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RIKRISHNAN_TR_PGRecon\"/>
    </mc:Choice>
  </mc:AlternateContent>
  <xr:revisionPtr revIDLastSave="0" documentId="13_ncr:1_{118A48CC-413F-4109-AF8B-1CA396AA943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" sheetId="1" r:id="rId1"/>
    <sheet name="bridge" sheetId="2" r:id="rId2"/>
    <sheet name="batch_recon" sheetId="3" r:id="rId3"/>
    <sheet name="orders" sheetId="4" r:id="rId4"/>
    <sheet name="pg_transaction_cleaned" sheetId="5" r:id="rId5"/>
    <sheet name="mdr_check" sheetId="6" r:id="rId6"/>
    <sheet name="mdr_rate_cleaned" sheetId="7" r:id="rId7"/>
    <sheet name="bank_statement_cleaned" sheetId="8" r:id="rId8"/>
    <sheet name="pg_dup_removed" sheetId="9" r:id="rId9"/>
    <sheet name="exceptions" sheetId="10" r:id="rId10"/>
    <sheet name="Data Quality Log" sheetId="11" r:id="rId11"/>
    <sheet name="chart_data" sheetId="12" r:id="rId12"/>
  </sheets>
  <definedNames>
    <definedName name="_xlnm._FilterDatabase" localSheetId="9" hidden="1">exceptions!$A$1:$D$130</definedName>
    <definedName name="_xlnm._FilterDatabase" localSheetId="5" hidden="1">mdr_check!$A$1:$L$5500</definedName>
    <definedName name="_xlnm._FilterDatabase" localSheetId="3" hidden="1">orders!$A$1:$O$6001</definedName>
    <definedName name="_xlnm._FilterDatabase" localSheetId="4" hidden="1">pg_transaction_cleaned!$A$1:$Q$5743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12" l="1"/>
  <c r="E17" i="12"/>
  <c r="E16" i="12"/>
  <c r="E15" i="12"/>
  <c r="D14" i="12"/>
  <c r="E13" i="12"/>
  <c r="E12" i="12"/>
  <c r="E11" i="12"/>
  <c r="E10" i="12"/>
  <c r="D9" i="12"/>
  <c r="E8" i="12"/>
  <c r="E7" i="12"/>
  <c r="E6" i="12"/>
  <c r="E5" i="12"/>
  <c r="E4" i="12"/>
  <c r="D3" i="12"/>
  <c r="D36" i="11"/>
  <c r="D35" i="11"/>
  <c r="D34" i="11"/>
  <c r="D33" i="11"/>
  <c r="E29" i="11"/>
  <c r="E28" i="11"/>
  <c r="E27" i="11"/>
  <c r="G12" i="9"/>
  <c r="F12" i="9"/>
  <c r="I36" i="8"/>
  <c r="J36" i="8" s="1"/>
  <c r="H36" i="8"/>
  <c r="G36" i="8"/>
  <c r="F36" i="8"/>
  <c r="I35" i="8"/>
  <c r="J35" i="8" s="1"/>
  <c r="H35" i="8"/>
  <c r="G35" i="8"/>
  <c r="F35" i="8"/>
  <c r="I34" i="8"/>
  <c r="J34" i="8" s="1"/>
  <c r="H34" i="8"/>
  <c r="G34" i="8"/>
  <c r="F34" i="8"/>
  <c r="I33" i="8"/>
  <c r="J33" i="8" s="1"/>
  <c r="H33" i="8"/>
  <c r="G33" i="8"/>
  <c r="F33" i="8"/>
  <c r="I32" i="8"/>
  <c r="J32" i="8" s="1"/>
  <c r="H32" i="8"/>
  <c r="G32" i="8"/>
  <c r="F32" i="8"/>
  <c r="I31" i="8"/>
  <c r="J31" i="8" s="1"/>
  <c r="H31" i="8"/>
  <c r="G31" i="8"/>
  <c r="F31" i="8"/>
  <c r="I30" i="8"/>
  <c r="J30" i="8" s="1"/>
  <c r="H30" i="8"/>
  <c r="G30" i="8"/>
  <c r="F30" i="8"/>
  <c r="I29" i="8"/>
  <c r="J29" i="8" s="1"/>
  <c r="H29" i="8"/>
  <c r="G29" i="8"/>
  <c r="F29" i="8"/>
  <c r="I28" i="8"/>
  <c r="J28" i="8" s="1"/>
  <c r="H28" i="8"/>
  <c r="G28" i="8"/>
  <c r="F28" i="8"/>
  <c r="I27" i="8"/>
  <c r="J27" i="8" s="1"/>
  <c r="H27" i="8"/>
  <c r="G27" i="8"/>
  <c r="F27" i="8"/>
  <c r="I26" i="8"/>
  <c r="J26" i="8" s="1"/>
  <c r="H26" i="8"/>
  <c r="G26" i="8"/>
  <c r="F26" i="8"/>
  <c r="I25" i="8"/>
  <c r="J25" i="8" s="1"/>
  <c r="H25" i="8"/>
  <c r="G25" i="8"/>
  <c r="F25" i="8"/>
  <c r="I24" i="8"/>
  <c r="J24" i="8" s="1"/>
  <c r="H24" i="8"/>
  <c r="G24" i="8"/>
  <c r="F24" i="8"/>
  <c r="I23" i="8"/>
  <c r="J23" i="8" s="1"/>
  <c r="H23" i="8"/>
  <c r="G23" i="8"/>
  <c r="F23" i="8"/>
  <c r="I22" i="8"/>
  <c r="J22" i="8" s="1"/>
  <c r="H22" i="8"/>
  <c r="G22" i="8"/>
  <c r="F22" i="8"/>
  <c r="I21" i="8"/>
  <c r="J21" i="8" s="1"/>
  <c r="H21" i="8"/>
  <c r="G21" i="8"/>
  <c r="F21" i="8"/>
  <c r="I20" i="8"/>
  <c r="J20" i="8" s="1"/>
  <c r="H20" i="8"/>
  <c r="G20" i="8"/>
  <c r="F20" i="8"/>
  <c r="I19" i="8"/>
  <c r="J19" i="8" s="1"/>
  <c r="H19" i="8"/>
  <c r="G19" i="8"/>
  <c r="F19" i="8"/>
  <c r="I18" i="8"/>
  <c r="J18" i="8" s="1"/>
  <c r="H18" i="8"/>
  <c r="G18" i="8"/>
  <c r="F18" i="8"/>
  <c r="I17" i="8"/>
  <c r="J17" i="8" s="1"/>
  <c r="H17" i="8"/>
  <c r="G17" i="8"/>
  <c r="F17" i="8"/>
  <c r="I16" i="8"/>
  <c r="J16" i="8" s="1"/>
  <c r="H16" i="8"/>
  <c r="G16" i="8"/>
  <c r="F16" i="8"/>
  <c r="I15" i="8"/>
  <c r="J15" i="8" s="1"/>
  <c r="H15" i="8"/>
  <c r="G15" i="8"/>
  <c r="F15" i="8"/>
  <c r="I14" i="8"/>
  <c r="J14" i="8" s="1"/>
  <c r="H14" i="8"/>
  <c r="G14" i="8"/>
  <c r="F14" i="8"/>
  <c r="I13" i="8"/>
  <c r="J13" i="8" s="1"/>
  <c r="H13" i="8"/>
  <c r="G13" i="8"/>
  <c r="F13" i="8"/>
  <c r="I12" i="8"/>
  <c r="J12" i="8" s="1"/>
  <c r="H12" i="8"/>
  <c r="G12" i="8"/>
  <c r="F12" i="8"/>
  <c r="I11" i="8"/>
  <c r="J11" i="8" s="1"/>
  <c r="H11" i="8"/>
  <c r="G11" i="8"/>
  <c r="F11" i="8"/>
  <c r="I10" i="8"/>
  <c r="J10" i="8" s="1"/>
  <c r="H10" i="8"/>
  <c r="G10" i="8"/>
  <c r="F10" i="8"/>
  <c r="I9" i="8"/>
  <c r="J9" i="8" s="1"/>
  <c r="H9" i="8"/>
  <c r="G9" i="8"/>
  <c r="F9" i="8"/>
  <c r="I8" i="8"/>
  <c r="J8" i="8" s="1"/>
  <c r="H8" i="8"/>
  <c r="G8" i="8"/>
  <c r="F8" i="8"/>
  <c r="I7" i="8"/>
  <c r="J7" i="8" s="1"/>
  <c r="H7" i="8"/>
  <c r="G7" i="8"/>
  <c r="F7" i="8"/>
  <c r="I6" i="8"/>
  <c r="J6" i="8" s="1"/>
  <c r="H6" i="8"/>
  <c r="G6" i="8"/>
  <c r="F6" i="8"/>
  <c r="I5" i="8"/>
  <c r="J5" i="8" s="1"/>
  <c r="H5" i="8"/>
  <c r="G5" i="8"/>
  <c r="F5" i="8"/>
  <c r="I4" i="8"/>
  <c r="J4" i="8" s="1"/>
  <c r="H4" i="8"/>
  <c r="G4" i="8"/>
  <c r="F4" i="8"/>
  <c r="I3" i="8"/>
  <c r="J3" i="8" s="1"/>
  <c r="H3" i="8"/>
  <c r="G3" i="8"/>
  <c r="F3" i="8"/>
  <c r="I2" i="8"/>
  <c r="J2" i="8" s="1"/>
  <c r="H2" i="8"/>
  <c r="G2" i="8"/>
  <c r="F2" i="8"/>
  <c r="H10" i="7"/>
  <c r="G10" i="7"/>
  <c r="F10" i="7"/>
  <c r="H9" i="7"/>
  <c r="G9" i="7"/>
  <c r="F9" i="7"/>
  <c r="H8" i="7"/>
  <c r="G8" i="7"/>
  <c r="F8" i="7"/>
  <c r="H7" i="7"/>
  <c r="G7" i="7"/>
  <c r="F7" i="7"/>
  <c r="H6" i="7"/>
  <c r="G6" i="7"/>
  <c r="F6" i="7"/>
  <c r="H5" i="7"/>
  <c r="G5" i="7"/>
  <c r="F5" i="7"/>
  <c r="H4" i="7"/>
  <c r="G4" i="7"/>
  <c r="F4" i="7"/>
  <c r="H3" i="7"/>
  <c r="G3" i="7"/>
  <c r="F3" i="7"/>
  <c r="H2" i="7"/>
  <c r="G2" i="7"/>
  <c r="F2" i="7"/>
  <c r="J5500" i="6"/>
  <c r="G5500" i="6"/>
  <c r="H5500" i="6" s="1"/>
  <c r="F5500" i="6"/>
  <c r="J5499" i="6"/>
  <c r="G5499" i="6"/>
  <c r="H5499" i="6" s="1"/>
  <c r="F5499" i="6"/>
  <c r="J5498" i="6"/>
  <c r="G5498" i="6"/>
  <c r="H5498" i="6" s="1"/>
  <c r="F5498" i="6"/>
  <c r="J5497" i="6"/>
  <c r="G5497" i="6"/>
  <c r="H5497" i="6" s="1"/>
  <c r="F5497" i="6"/>
  <c r="J5496" i="6"/>
  <c r="G5496" i="6"/>
  <c r="H5496" i="6" s="1"/>
  <c r="F5496" i="6"/>
  <c r="J5495" i="6"/>
  <c r="G5495" i="6"/>
  <c r="H5495" i="6" s="1"/>
  <c r="F5495" i="6"/>
  <c r="J5494" i="6"/>
  <c r="G5494" i="6"/>
  <c r="H5494" i="6" s="1"/>
  <c r="F5494" i="6"/>
  <c r="J5493" i="6"/>
  <c r="G5493" i="6"/>
  <c r="H5493" i="6" s="1"/>
  <c r="F5493" i="6"/>
  <c r="J5492" i="6"/>
  <c r="G5492" i="6"/>
  <c r="H5492" i="6" s="1"/>
  <c r="F5492" i="6"/>
  <c r="J5491" i="6"/>
  <c r="G5491" i="6"/>
  <c r="H5491" i="6" s="1"/>
  <c r="F5491" i="6"/>
  <c r="J5490" i="6"/>
  <c r="G5490" i="6"/>
  <c r="H5490" i="6" s="1"/>
  <c r="F5490" i="6"/>
  <c r="J5489" i="6"/>
  <c r="G5489" i="6"/>
  <c r="H5489" i="6" s="1"/>
  <c r="F5489" i="6"/>
  <c r="J5488" i="6"/>
  <c r="G5488" i="6"/>
  <c r="H5488" i="6" s="1"/>
  <c r="F5488" i="6"/>
  <c r="J5487" i="6"/>
  <c r="G5487" i="6"/>
  <c r="H5487" i="6" s="1"/>
  <c r="F5487" i="6"/>
  <c r="J5486" i="6"/>
  <c r="G5486" i="6"/>
  <c r="H5486" i="6" s="1"/>
  <c r="F5486" i="6"/>
  <c r="J5485" i="6"/>
  <c r="G5485" i="6"/>
  <c r="H5485" i="6" s="1"/>
  <c r="F5485" i="6"/>
  <c r="J5484" i="6"/>
  <c r="G5484" i="6"/>
  <c r="H5484" i="6" s="1"/>
  <c r="F5484" i="6"/>
  <c r="J5483" i="6"/>
  <c r="G5483" i="6"/>
  <c r="H5483" i="6" s="1"/>
  <c r="F5483" i="6"/>
  <c r="J5482" i="6"/>
  <c r="G5482" i="6"/>
  <c r="H5482" i="6" s="1"/>
  <c r="F5482" i="6"/>
  <c r="J5481" i="6"/>
  <c r="G5481" i="6"/>
  <c r="H5481" i="6" s="1"/>
  <c r="F5481" i="6"/>
  <c r="J5480" i="6"/>
  <c r="G5480" i="6"/>
  <c r="H5480" i="6" s="1"/>
  <c r="F5480" i="6"/>
  <c r="J5479" i="6"/>
  <c r="G5479" i="6"/>
  <c r="H5479" i="6" s="1"/>
  <c r="F5479" i="6"/>
  <c r="J5478" i="6"/>
  <c r="G5478" i="6"/>
  <c r="H5478" i="6" s="1"/>
  <c r="F5478" i="6"/>
  <c r="J5477" i="6"/>
  <c r="G5477" i="6"/>
  <c r="H5477" i="6" s="1"/>
  <c r="F5477" i="6"/>
  <c r="J5476" i="6"/>
  <c r="G5476" i="6"/>
  <c r="H5476" i="6" s="1"/>
  <c r="F5476" i="6"/>
  <c r="J5475" i="6"/>
  <c r="G5475" i="6"/>
  <c r="H5475" i="6" s="1"/>
  <c r="F5475" i="6"/>
  <c r="J5474" i="6"/>
  <c r="G5474" i="6"/>
  <c r="H5474" i="6" s="1"/>
  <c r="F5474" i="6"/>
  <c r="J5473" i="6"/>
  <c r="G5473" i="6"/>
  <c r="H5473" i="6" s="1"/>
  <c r="F5473" i="6"/>
  <c r="J5472" i="6"/>
  <c r="G5472" i="6"/>
  <c r="H5472" i="6" s="1"/>
  <c r="F5472" i="6"/>
  <c r="J5471" i="6"/>
  <c r="G5471" i="6"/>
  <c r="H5471" i="6" s="1"/>
  <c r="F5471" i="6"/>
  <c r="J5470" i="6"/>
  <c r="G5470" i="6"/>
  <c r="H5470" i="6" s="1"/>
  <c r="F5470" i="6"/>
  <c r="J5469" i="6"/>
  <c r="G5469" i="6"/>
  <c r="H5469" i="6" s="1"/>
  <c r="F5469" i="6"/>
  <c r="J5468" i="6"/>
  <c r="G5468" i="6"/>
  <c r="H5468" i="6" s="1"/>
  <c r="F5468" i="6"/>
  <c r="J5467" i="6"/>
  <c r="G5467" i="6"/>
  <c r="H5467" i="6" s="1"/>
  <c r="F5467" i="6"/>
  <c r="J5466" i="6"/>
  <c r="G5466" i="6"/>
  <c r="H5466" i="6" s="1"/>
  <c r="F5466" i="6"/>
  <c r="J5465" i="6"/>
  <c r="G5465" i="6"/>
  <c r="H5465" i="6" s="1"/>
  <c r="F5465" i="6"/>
  <c r="J5464" i="6"/>
  <c r="G5464" i="6"/>
  <c r="H5464" i="6" s="1"/>
  <c r="F5464" i="6"/>
  <c r="J5463" i="6"/>
  <c r="G5463" i="6"/>
  <c r="H5463" i="6" s="1"/>
  <c r="F5463" i="6"/>
  <c r="J5462" i="6"/>
  <c r="G5462" i="6"/>
  <c r="H5462" i="6" s="1"/>
  <c r="F5462" i="6"/>
  <c r="J5461" i="6"/>
  <c r="G5461" i="6"/>
  <c r="H5461" i="6" s="1"/>
  <c r="F5461" i="6"/>
  <c r="J5460" i="6"/>
  <c r="G5460" i="6"/>
  <c r="H5460" i="6" s="1"/>
  <c r="F5460" i="6"/>
  <c r="J5459" i="6"/>
  <c r="G5459" i="6"/>
  <c r="H5459" i="6" s="1"/>
  <c r="F5459" i="6"/>
  <c r="J5458" i="6"/>
  <c r="G5458" i="6"/>
  <c r="H5458" i="6" s="1"/>
  <c r="F5458" i="6"/>
  <c r="J5457" i="6"/>
  <c r="G5457" i="6"/>
  <c r="H5457" i="6" s="1"/>
  <c r="F5457" i="6"/>
  <c r="J5456" i="6"/>
  <c r="G5456" i="6"/>
  <c r="H5456" i="6" s="1"/>
  <c r="F5456" i="6"/>
  <c r="J5455" i="6"/>
  <c r="G5455" i="6"/>
  <c r="H5455" i="6" s="1"/>
  <c r="F5455" i="6"/>
  <c r="J5454" i="6"/>
  <c r="G5454" i="6"/>
  <c r="H5454" i="6" s="1"/>
  <c r="F5454" i="6"/>
  <c r="J5453" i="6"/>
  <c r="G5453" i="6"/>
  <c r="H5453" i="6" s="1"/>
  <c r="F5453" i="6"/>
  <c r="J5452" i="6"/>
  <c r="G5452" i="6"/>
  <c r="H5452" i="6" s="1"/>
  <c r="F5452" i="6"/>
  <c r="J5451" i="6"/>
  <c r="G5451" i="6"/>
  <c r="H5451" i="6" s="1"/>
  <c r="F5451" i="6"/>
  <c r="J5450" i="6"/>
  <c r="G5450" i="6"/>
  <c r="H5450" i="6" s="1"/>
  <c r="F5450" i="6"/>
  <c r="J5449" i="6"/>
  <c r="G5449" i="6"/>
  <c r="H5449" i="6" s="1"/>
  <c r="F5449" i="6"/>
  <c r="J5448" i="6"/>
  <c r="G5448" i="6"/>
  <c r="H5448" i="6" s="1"/>
  <c r="F5448" i="6"/>
  <c r="J5447" i="6"/>
  <c r="G5447" i="6"/>
  <c r="H5447" i="6" s="1"/>
  <c r="F5447" i="6"/>
  <c r="J5446" i="6"/>
  <c r="G5446" i="6"/>
  <c r="H5446" i="6" s="1"/>
  <c r="F5446" i="6"/>
  <c r="J5445" i="6"/>
  <c r="G5445" i="6"/>
  <c r="H5445" i="6" s="1"/>
  <c r="F5445" i="6"/>
  <c r="J5444" i="6"/>
  <c r="G5444" i="6"/>
  <c r="H5444" i="6" s="1"/>
  <c r="F5444" i="6"/>
  <c r="J5443" i="6"/>
  <c r="G5443" i="6"/>
  <c r="H5443" i="6" s="1"/>
  <c r="F5443" i="6"/>
  <c r="J5442" i="6"/>
  <c r="G5442" i="6"/>
  <c r="H5442" i="6" s="1"/>
  <c r="F5442" i="6"/>
  <c r="J5441" i="6"/>
  <c r="G5441" i="6"/>
  <c r="H5441" i="6" s="1"/>
  <c r="F5441" i="6"/>
  <c r="J5440" i="6"/>
  <c r="G5440" i="6"/>
  <c r="H5440" i="6" s="1"/>
  <c r="F5440" i="6"/>
  <c r="J5439" i="6"/>
  <c r="G5439" i="6"/>
  <c r="H5439" i="6" s="1"/>
  <c r="F5439" i="6"/>
  <c r="J5438" i="6"/>
  <c r="G5438" i="6"/>
  <c r="H5438" i="6" s="1"/>
  <c r="F5438" i="6"/>
  <c r="J5437" i="6"/>
  <c r="G5437" i="6"/>
  <c r="H5437" i="6" s="1"/>
  <c r="F5437" i="6"/>
  <c r="J5436" i="6"/>
  <c r="G5436" i="6"/>
  <c r="H5436" i="6" s="1"/>
  <c r="F5436" i="6"/>
  <c r="J5435" i="6"/>
  <c r="G5435" i="6"/>
  <c r="H5435" i="6" s="1"/>
  <c r="F5435" i="6"/>
  <c r="J5434" i="6"/>
  <c r="G5434" i="6"/>
  <c r="H5434" i="6" s="1"/>
  <c r="F5434" i="6"/>
  <c r="J5433" i="6"/>
  <c r="G5433" i="6"/>
  <c r="H5433" i="6" s="1"/>
  <c r="F5433" i="6"/>
  <c r="J5432" i="6"/>
  <c r="G5432" i="6"/>
  <c r="H5432" i="6" s="1"/>
  <c r="F5432" i="6"/>
  <c r="J5431" i="6"/>
  <c r="G5431" i="6"/>
  <c r="H5431" i="6" s="1"/>
  <c r="F5431" i="6"/>
  <c r="J5430" i="6"/>
  <c r="G5430" i="6"/>
  <c r="H5430" i="6" s="1"/>
  <c r="F5430" i="6"/>
  <c r="J5429" i="6"/>
  <c r="G5429" i="6"/>
  <c r="H5429" i="6" s="1"/>
  <c r="F5429" i="6"/>
  <c r="J5428" i="6"/>
  <c r="G5428" i="6"/>
  <c r="H5428" i="6" s="1"/>
  <c r="F5428" i="6"/>
  <c r="J5427" i="6"/>
  <c r="G5427" i="6"/>
  <c r="H5427" i="6" s="1"/>
  <c r="F5427" i="6"/>
  <c r="J5426" i="6"/>
  <c r="G5426" i="6"/>
  <c r="H5426" i="6" s="1"/>
  <c r="F5426" i="6"/>
  <c r="J5425" i="6"/>
  <c r="G5425" i="6"/>
  <c r="H5425" i="6" s="1"/>
  <c r="F5425" i="6"/>
  <c r="J5424" i="6"/>
  <c r="G5424" i="6"/>
  <c r="H5424" i="6" s="1"/>
  <c r="F5424" i="6"/>
  <c r="J5423" i="6"/>
  <c r="G5423" i="6"/>
  <c r="H5423" i="6" s="1"/>
  <c r="F5423" i="6"/>
  <c r="J5422" i="6"/>
  <c r="G5422" i="6"/>
  <c r="H5422" i="6" s="1"/>
  <c r="F5422" i="6"/>
  <c r="J5421" i="6"/>
  <c r="G5421" i="6"/>
  <c r="H5421" i="6" s="1"/>
  <c r="F5421" i="6"/>
  <c r="J5420" i="6"/>
  <c r="G5420" i="6"/>
  <c r="H5420" i="6" s="1"/>
  <c r="F5420" i="6"/>
  <c r="J5419" i="6"/>
  <c r="G5419" i="6"/>
  <c r="H5419" i="6" s="1"/>
  <c r="F5419" i="6"/>
  <c r="J5418" i="6"/>
  <c r="G5418" i="6"/>
  <c r="H5418" i="6" s="1"/>
  <c r="F5418" i="6"/>
  <c r="J5417" i="6"/>
  <c r="G5417" i="6"/>
  <c r="H5417" i="6" s="1"/>
  <c r="F5417" i="6"/>
  <c r="J5416" i="6"/>
  <c r="G5416" i="6"/>
  <c r="H5416" i="6" s="1"/>
  <c r="F5416" i="6"/>
  <c r="J5415" i="6"/>
  <c r="G5415" i="6"/>
  <c r="H5415" i="6" s="1"/>
  <c r="F5415" i="6"/>
  <c r="J5414" i="6"/>
  <c r="G5414" i="6"/>
  <c r="H5414" i="6" s="1"/>
  <c r="F5414" i="6"/>
  <c r="J5413" i="6"/>
  <c r="G5413" i="6"/>
  <c r="H5413" i="6" s="1"/>
  <c r="F5413" i="6"/>
  <c r="J5412" i="6"/>
  <c r="G5412" i="6"/>
  <c r="H5412" i="6" s="1"/>
  <c r="F5412" i="6"/>
  <c r="J5411" i="6"/>
  <c r="G5411" i="6"/>
  <c r="H5411" i="6" s="1"/>
  <c r="F5411" i="6"/>
  <c r="J5410" i="6"/>
  <c r="G5410" i="6"/>
  <c r="H5410" i="6" s="1"/>
  <c r="F5410" i="6"/>
  <c r="J5409" i="6"/>
  <c r="G5409" i="6"/>
  <c r="H5409" i="6" s="1"/>
  <c r="F5409" i="6"/>
  <c r="J5408" i="6"/>
  <c r="G5408" i="6"/>
  <c r="H5408" i="6" s="1"/>
  <c r="F5408" i="6"/>
  <c r="J5407" i="6"/>
  <c r="G5407" i="6"/>
  <c r="H5407" i="6" s="1"/>
  <c r="F5407" i="6"/>
  <c r="J5406" i="6"/>
  <c r="G5406" i="6"/>
  <c r="H5406" i="6" s="1"/>
  <c r="F5406" i="6"/>
  <c r="J5405" i="6"/>
  <c r="G5405" i="6"/>
  <c r="H5405" i="6" s="1"/>
  <c r="F5405" i="6"/>
  <c r="J5404" i="6"/>
  <c r="G5404" i="6"/>
  <c r="H5404" i="6" s="1"/>
  <c r="F5404" i="6"/>
  <c r="J5403" i="6"/>
  <c r="G5403" i="6"/>
  <c r="H5403" i="6" s="1"/>
  <c r="F5403" i="6"/>
  <c r="J5402" i="6"/>
  <c r="G5402" i="6"/>
  <c r="H5402" i="6" s="1"/>
  <c r="F5402" i="6"/>
  <c r="J5401" i="6"/>
  <c r="G5401" i="6"/>
  <c r="H5401" i="6" s="1"/>
  <c r="F5401" i="6"/>
  <c r="J5400" i="6"/>
  <c r="G5400" i="6"/>
  <c r="H5400" i="6" s="1"/>
  <c r="F5400" i="6"/>
  <c r="J5399" i="6"/>
  <c r="G5399" i="6"/>
  <c r="H5399" i="6" s="1"/>
  <c r="F5399" i="6"/>
  <c r="J5398" i="6"/>
  <c r="G5398" i="6"/>
  <c r="H5398" i="6" s="1"/>
  <c r="F5398" i="6"/>
  <c r="J5397" i="6"/>
  <c r="G5397" i="6"/>
  <c r="H5397" i="6" s="1"/>
  <c r="F5397" i="6"/>
  <c r="J5396" i="6"/>
  <c r="G5396" i="6"/>
  <c r="H5396" i="6" s="1"/>
  <c r="F5396" i="6"/>
  <c r="J5395" i="6"/>
  <c r="G5395" i="6"/>
  <c r="H5395" i="6" s="1"/>
  <c r="F5395" i="6"/>
  <c r="J5394" i="6"/>
  <c r="G5394" i="6"/>
  <c r="H5394" i="6" s="1"/>
  <c r="F5394" i="6"/>
  <c r="J5393" i="6"/>
  <c r="G5393" i="6"/>
  <c r="H5393" i="6" s="1"/>
  <c r="F5393" i="6"/>
  <c r="J5392" i="6"/>
  <c r="G5392" i="6"/>
  <c r="H5392" i="6" s="1"/>
  <c r="F5392" i="6"/>
  <c r="J5391" i="6"/>
  <c r="G5391" i="6"/>
  <c r="H5391" i="6" s="1"/>
  <c r="F5391" i="6"/>
  <c r="J5390" i="6"/>
  <c r="G5390" i="6"/>
  <c r="H5390" i="6" s="1"/>
  <c r="F5390" i="6"/>
  <c r="J5389" i="6"/>
  <c r="G5389" i="6"/>
  <c r="H5389" i="6" s="1"/>
  <c r="F5389" i="6"/>
  <c r="J5388" i="6"/>
  <c r="G5388" i="6"/>
  <c r="H5388" i="6" s="1"/>
  <c r="F5388" i="6"/>
  <c r="J5387" i="6"/>
  <c r="G5387" i="6"/>
  <c r="H5387" i="6" s="1"/>
  <c r="F5387" i="6"/>
  <c r="J5386" i="6"/>
  <c r="G5386" i="6"/>
  <c r="H5386" i="6" s="1"/>
  <c r="F5386" i="6"/>
  <c r="J5385" i="6"/>
  <c r="G5385" i="6"/>
  <c r="H5385" i="6" s="1"/>
  <c r="F5385" i="6"/>
  <c r="J5384" i="6"/>
  <c r="G5384" i="6"/>
  <c r="H5384" i="6" s="1"/>
  <c r="F5384" i="6"/>
  <c r="J5383" i="6"/>
  <c r="G5383" i="6"/>
  <c r="H5383" i="6" s="1"/>
  <c r="F5383" i="6"/>
  <c r="J5382" i="6"/>
  <c r="G5382" i="6"/>
  <c r="H5382" i="6" s="1"/>
  <c r="F5382" i="6"/>
  <c r="J5381" i="6"/>
  <c r="G5381" i="6"/>
  <c r="H5381" i="6" s="1"/>
  <c r="F5381" i="6"/>
  <c r="J5380" i="6"/>
  <c r="G5380" i="6"/>
  <c r="H5380" i="6" s="1"/>
  <c r="F5380" i="6"/>
  <c r="J5379" i="6"/>
  <c r="G5379" i="6"/>
  <c r="H5379" i="6" s="1"/>
  <c r="F5379" i="6"/>
  <c r="J5378" i="6"/>
  <c r="G5378" i="6"/>
  <c r="H5378" i="6" s="1"/>
  <c r="F5378" i="6"/>
  <c r="J5377" i="6"/>
  <c r="G5377" i="6"/>
  <c r="H5377" i="6" s="1"/>
  <c r="F5377" i="6"/>
  <c r="J5376" i="6"/>
  <c r="G5376" i="6"/>
  <c r="H5376" i="6" s="1"/>
  <c r="F5376" i="6"/>
  <c r="J5375" i="6"/>
  <c r="G5375" i="6"/>
  <c r="H5375" i="6" s="1"/>
  <c r="F5375" i="6"/>
  <c r="J5374" i="6"/>
  <c r="G5374" i="6"/>
  <c r="H5374" i="6" s="1"/>
  <c r="F5374" i="6"/>
  <c r="J5373" i="6"/>
  <c r="G5373" i="6"/>
  <c r="H5373" i="6" s="1"/>
  <c r="F5373" i="6"/>
  <c r="J5372" i="6"/>
  <c r="G5372" i="6"/>
  <c r="H5372" i="6" s="1"/>
  <c r="F5372" i="6"/>
  <c r="J5371" i="6"/>
  <c r="G5371" i="6"/>
  <c r="H5371" i="6" s="1"/>
  <c r="F5371" i="6"/>
  <c r="J5370" i="6"/>
  <c r="G5370" i="6"/>
  <c r="H5370" i="6" s="1"/>
  <c r="F5370" i="6"/>
  <c r="J5369" i="6"/>
  <c r="G5369" i="6"/>
  <c r="H5369" i="6" s="1"/>
  <c r="F5369" i="6"/>
  <c r="J5368" i="6"/>
  <c r="G5368" i="6"/>
  <c r="H5368" i="6" s="1"/>
  <c r="F5368" i="6"/>
  <c r="J5367" i="6"/>
  <c r="G5367" i="6"/>
  <c r="H5367" i="6" s="1"/>
  <c r="F5367" i="6"/>
  <c r="J5366" i="6"/>
  <c r="G5366" i="6"/>
  <c r="H5366" i="6" s="1"/>
  <c r="F5366" i="6"/>
  <c r="J5365" i="6"/>
  <c r="G5365" i="6"/>
  <c r="H5365" i="6" s="1"/>
  <c r="F5365" i="6"/>
  <c r="J5364" i="6"/>
  <c r="G5364" i="6"/>
  <c r="H5364" i="6" s="1"/>
  <c r="F5364" i="6"/>
  <c r="J5363" i="6"/>
  <c r="G5363" i="6"/>
  <c r="H5363" i="6" s="1"/>
  <c r="F5363" i="6"/>
  <c r="J5362" i="6"/>
  <c r="G5362" i="6"/>
  <c r="H5362" i="6" s="1"/>
  <c r="F5362" i="6"/>
  <c r="J5361" i="6"/>
  <c r="G5361" i="6"/>
  <c r="H5361" i="6" s="1"/>
  <c r="F5361" i="6"/>
  <c r="J5360" i="6"/>
  <c r="G5360" i="6"/>
  <c r="H5360" i="6" s="1"/>
  <c r="F5360" i="6"/>
  <c r="J5359" i="6"/>
  <c r="G5359" i="6"/>
  <c r="H5359" i="6" s="1"/>
  <c r="F5359" i="6"/>
  <c r="J5358" i="6"/>
  <c r="G5358" i="6"/>
  <c r="H5358" i="6" s="1"/>
  <c r="F5358" i="6"/>
  <c r="J5357" i="6"/>
  <c r="G5357" i="6"/>
  <c r="H5357" i="6" s="1"/>
  <c r="F5357" i="6"/>
  <c r="J5356" i="6"/>
  <c r="G5356" i="6"/>
  <c r="H5356" i="6" s="1"/>
  <c r="F5356" i="6"/>
  <c r="J5355" i="6"/>
  <c r="G5355" i="6"/>
  <c r="H5355" i="6" s="1"/>
  <c r="F5355" i="6"/>
  <c r="J5354" i="6"/>
  <c r="G5354" i="6"/>
  <c r="H5354" i="6" s="1"/>
  <c r="F5354" i="6"/>
  <c r="J5353" i="6"/>
  <c r="G5353" i="6"/>
  <c r="H5353" i="6" s="1"/>
  <c r="F5353" i="6"/>
  <c r="J5352" i="6"/>
  <c r="G5352" i="6"/>
  <c r="H5352" i="6" s="1"/>
  <c r="F5352" i="6"/>
  <c r="J5351" i="6"/>
  <c r="G5351" i="6"/>
  <c r="H5351" i="6" s="1"/>
  <c r="F5351" i="6"/>
  <c r="J5350" i="6"/>
  <c r="G5350" i="6"/>
  <c r="H5350" i="6" s="1"/>
  <c r="F5350" i="6"/>
  <c r="J5349" i="6"/>
  <c r="G5349" i="6"/>
  <c r="H5349" i="6" s="1"/>
  <c r="F5349" i="6"/>
  <c r="J5348" i="6"/>
  <c r="G5348" i="6"/>
  <c r="H5348" i="6" s="1"/>
  <c r="F5348" i="6"/>
  <c r="J5347" i="6"/>
  <c r="G5347" i="6"/>
  <c r="H5347" i="6" s="1"/>
  <c r="F5347" i="6"/>
  <c r="J5346" i="6"/>
  <c r="G5346" i="6"/>
  <c r="H5346" i="6" s="1"/>
  <c r="F5346" i="6"/>
  <c r="J5345" i="6"/>
  <c r="G5345" i="6"/>
  <c r="H5345" i="6" s="1"/>
  <c r="F5345" i="6"/>
  <c r="J5344" i="6"/>
  <c r="G5344" i="6"/>
  <c r="H5344" i="6" s="1"/>
  <c r="F5344" i="6"/>
  <c r="J5343" i="6"/>
  <c r="G5343" i="6"/>
  <c r="H5343" i="6" s="1"/>
  <c r="F5343" i="6"/>
  <c r="J5342" i="6"/>
  <c r="G5342" i="6"/>
  <c r="H5342" i="6" s="1"/>
  <c r="F5342" i="6"/>
  <c r="J5341" i="6"/>
  <c r="G5341" i="6"/>
  <c r="H5341" i="6" s="1"/>
  <c r="F5341" i="6"/>
  <c r="J5340" i="6"/>
  <c r="G5340" i="6"/>
  <c r="H5340" i="6" s="1"/>
  <c r="F5340" i="6"/>
  <c r="J5339" i="6"/>
  <c r="G5339" i="6"/>
  <c r="H5339" i="6" s="1"/>
  <c r="F5339" i="6"/>
  <c r="J5338" i="6"/>
  <c r="G5338" i="6"/>
  <c r="H5338" i="6" s="1"/>
  <c r="F5338" i="6"/>
  <c r="J5337" i="6"/>
  <c r="G5337" i="6"/>
  <c r="H5337" i="6" s="1"/>
  <c r="F5337" i="6"/>
  <c r="J5336" i="6"/>
  <c r="G5336" i="6"/>
  <c r="H5336" i="6" s="1"/>
  <c r="F5336" i="6"/>
  <c r="J5335" i="6"/>
  <c r="G5335" i="6"/>
  <c r="H5335" i="6" s="1"/>
  <c r="F5335" i="6"/>
  <c r="J5334" i="6"/>
  <c r="G5334" i="6"/>
  <c r="H5334" i="6" s="1"/>
  <c r="F5334" i="6"/>
  <c r="J5333" i="6"/>
  <c r="G5333" i="6"/>
  <c r="H5333" i="6" s="1"/>
  <c r="F5333" i="6"/>
  <c r="J5332" i="6"/>
  <c r="G5332" i="6"/>
  <c r="H5332" i="6" s="1"/>
  <c r="F5332" i="6"/>
  <c r="J5331" i="6"/>
  <c r="G5331" i="6"/>
  <c r="H5331" i="6" s="1"/>
  <c r="F5331" i="6"/>
  <c r="J5330" i="6"/>
  <c r="G5330" i="6"/>
  <c r="H5330" i="6" s="1"/>
  <c r="F5330" i="6"/>
  <c r="J5329" i="6"/>
  <c r="G5329" i="6"/>
  <c r="H5329" i="6" s="1"/>
  <c r="F5329" i="6"/>
  <c r="J5328" i="6"/>
  <c r="G5328" i="6"/>
  <c r="H5328" i="6" s="1"/>
  <c r="F5328" i="6"/>
  <c r="J5327" i="6"/>
  <c r="G5327" i="6"/>
  <c r="H5327" i="6" s="1"/>
  <c r="F5327" i="6"/>
  <c r="J5326" i="6"/>
  <c r="G5326" i="6"/>
  <c r="H5326" i="6" s="1"/>
  <c r="F5326" i="6"/>
  <c r="J5325" i="6"/>
  <c r="G5325" i="6"/>
  <c r="H5325" i="6" s="1"/>
  <c r="F5325" i="6"/>
  <c r="J5324" i="6"/>
  <c r="G5324" i="6"/>
  <c r="H5324" i="6" s="1"/>
  <c r="F5324" i="6"/>
  <c r="J5323" i="6"/>
  <c r="G5323" i="6"/>
  <c r="H5323" i="6" s="1"/>
  <c r="F5323" i="6"/>
  <c r="J5322" i="6"/>
  <c r="G5322" i="6"/>
  <c r="H5322" i="6" s="1"/>
  <c r="F5322" i="6"/>
  <c r="J5321" i="6"/>
  <c r="G5321" i="6"/>
  <c r="H5321" i="6" s="1"/>
  <c r="F5321" i="6"/>
  <c r="J5320" i="6"/>
  <c r="G5320" i="6"/>
  <c r="H5320" i="6" s="1"/>
  <c r="F5320" i="6"/>
  <c r="J5319" i="6"/>
  <c r="G5319" i="6"/>
  <c r="H5319" i="6" s="1"/>
  <c r="F5319" i="6"/>
  <c r="J5318" i="6"/>
  <c r="G5318" i="6"/>
  <c r="H5318" i="6" s="1"/>
  <c r="F5318" i="6"/>
  <c r="J5317" i="6"/>
  <c r="G5317" i="6"/>
  <c r="H5317" i="6" s="1"/>
  <c r="F5317" i="6"/>
  <c r="J5316" i="6"/>
  <c r="G5316" i="6"/>
  <c r="H5316" i="6" s="1"/>
  <c r="F5316" i="6"/>
  <c r="J5315" i="6"/>
  <c r="G5315" i="6"/>
  <c r="H5315" i="6" s="1"/>
  <c r="F5315" i="6"/>
  <c r="J5314" i="6"/>
  <c r="G5314" i="6"/>
  <c r="H5314" i="6" s="1"/>
  <c r="F5314" i="6"/>
  <c r="J5313" i="6"/>
  <c r="G5313" i="6"/>
  <c r="H5313" i="6" s="1"/>
  <c r="F5313" i="6"/>
  <c r="J5312" i="6"/>
  <c r="G5312" i="6"/>
  <c r="H5312" i="6" s="1"/>
  <c r="F5312" i="6"/>
  <c r="J5311" i="6"/>
  <c r="G5311" i="6"/>
  <c r="H5311" i="6" s="1"/>
  <c r="F5311" i="6"/>
  <c r="J5310" i="6"/>
  <c r="G5310" i="6"/>
  <c r="H5310" i="6" s="1"/>
  <c r="F5310" i="6"/>
  <c r="J5309" i="6"/>
  <c r="G5309" i="6"/>
  <c r="H5309" i="6" s="1"/>
  <c r="F5309" i="6"/>
  <c r="J5308" i="6"/>
  <c r="G5308" i="6"/>
  <c r="H5308" i="6" s="1"/>
  <c r="F5308" i="6"/>
  <c r="J5307" i="6"/>
  <c r="G5307" i="6"/>
  <c r="H5307" i="6" s="1"/>
  <c r="F5307" i="6"/>
  <c r="J5306" i="6"/>
  <c r="G5306" i="6"/>
  <c r="H5306" i="6" s="1"/>
  <c r="F5306" i="6"/>
  <c r="J5305" i="6"/>
  <c r="G5305" i="6"/>
  <c r="H5305" i="6" s="1"/>
  <c r="F5305" i="6"/>
  <c r="J5304" i="6"/>
  <c r="G5304" i="6"/>
  <c r="H5304" i="6" s="1"/>
  <c r="F5304" i="6"/>
  <c r="J5303" i="6"/>
  <c r="G5303" i="6"/>
  <c r="H5303" i="6" s="1"/>
  <c r="F5303" i="6"/>
  <c r="J5302" i="6"/>
  <c r="G5302" i="6"/>
  <c r="H5302" i="6" s="1"/>
  <c r="F5302" i="6"/>
  <c r="J5301" i="6"/>
  <c r="G5301" i="6"/>
  <c r="H5301" i="6" s="1"/>
  <c r="F5301" i="6"/>
  <c r="J5300" i="6"/>
  <c r="G5300" i="6"/>
  <c r="H5300" i="6" s="1"/>
  <c r="F5300" i="6"/>
  <c r="J5299" i="6"/>
  <c r="G5299" i="6"/>
  <c r="H5299" i="6" s="1"/>
  <c r="F5299" i="6"/>
  <c r="J5298" i="6"/>
  <c r="G5298" i="6"/>
  <c r="H5298" i="6" s="1"/>
  <c r="F5298" i="6"/>
  <c r="J5297" i="6"/>
  <c r="G5297" i="6"/>
  <c r="H5297" i="6" s="1"/>
  <c r="F5297" i="6"/>
  <c r="J5296" i="6"/>
  <c r="G5296" i="6"/>
  <c r="H5296" i="6" s="1"/>
  <c r="F5296" i="6"/>
  <c r="J5295" i="6"/>
  <c r="G5295" i="6"/>
  <c r="H5295" i="6" s="1"/>
  <c r="F5295" i="6"/>
  <c r="J5294" i="6"/>
  <c r="G5294" i="6"/>
  <c r="H5294" i="6" s="1"/>
  <c r="F5294" i="6"/>
  <c r="J5293" i="6"/>
  <c r="G5293" i="6"/>
  <c r="H5293" i="6" s="1"/>
  <c r="F5293" i="6"/>
  <c r="J5292" i="6"/>
  <c r="G5292" i="6"/>
  <c r="H5292" i="6" s="1"/>
  <c r="F5292" i="6"/>
  <c r="J5291" i="6"/>
  <c r="G5291" i="6"/>
  <c r="H5291" i="6" s="1"/>
  <c r="F5291" i="6"/>
  <c r="J5290" i="6"/>
  <c r="G5290" i="6"/>
  <c r="H5290" i="6" s="1"/>
  <c r="F5290" i="6"/>
  <c r="J5289" i="6"/>
  <c r="G5289" i="6"/>
  <c r="H5289" i="6" s="1"/>
  <c r="F5289" i="6"/>
  <c r="J5288" i="6"/>
  <c r="G5288" i="6"/>
  <c r="H5288" i="6" s="1"/>
  <c r="F5288" i="6"/>
  <c r="J5287" i="6"/>
  <c r="G5287" i="6"/>
  <c r="H5287" i="6" s="1"/>
  <c r="F5287" i="6"/>
  <c r="J5286" i="6"/>
  <c r="G5286" i="6"/>
  <c r="H5286" i="6" s="1"/>
  <c r="F5286" i="6"/>
  <c r="J5285" i="6"/>
  <c r="G5285" i="6"/>
  <c r="H5285" i="6" s="1"/>
  <c r="F5285" i="6"/>
  <c r="J5284" i="6"/>
  <c r="G5284" i="6"/>
  <c r="H5284" i="6" s="1"/>
  <c r="F5284" i="6"/>
  <c r="J5283" i="6"/>
  <c r="G5283" i="6"/>
  <c r="H5283" i="6" s="1"/>
  <c r="F5283" i="6"/>
  <c r="J5282" i="6"/>
  <c r="G5282" i="6"/>
  <c r="H5282" i="6" s="1"/>
  <c r="F5282" i="6"/>
  <c r="J5281" i="6"/>
  <c r="G5281" i="6"/>
  <c r="H5281" i="6" s="1"/>
  <c r="F5281" i="6"/>
  <c r="J5280" i="6"/>
  <c r="G5280" i="6"/>
  <c r="H5280" i="6" s="1"/>
  <c r="F5280" i="6"/>
  <c r="J5279" i="6"/>
  <c r="G5279" i="6"/>
  <c r="H5279" i="6" s="1"/>
  <c r="F5279" i="6"/>
  <c r="J5278" i="6"/>
  <c r="G5278" i="6"/>
  <c r="H5278" i="6" s="1"/>
  <c r="F5278" i="6"/>
  <c r="J5277" i="6"/>
  <c r="G5277" i="6"/>
  <c r="H5277" i="6" s="1"/>
  <c r="F5277" i="6"/>
  <c r="J5276" i="6"/>
  <c r="G5276" i="6"/>
  <c r="H5276" i="6" s="1"/>
  <c r="F5276" i="6"/>
  <c r="J5275" i="6"/>
  <c r="G5275" i="6"/>
  <c r="H5275" i="6" s="1"/>
  <c r="F5275" i="6"/>
  <c r="J5274" i="6"/>
  <c r="G5274" i="6"/>
  <c r="H5274" i="6" s="1"/>
  <c r="F5274" i="6"/>
  <c r="J5273" i="6"/>
  <c r="G5273" i="6"/>
  <c r="H5273" i="6" s="1"/>
  <c r="F5273" i="6"/>
  <c r="J5272" i="6"/>
  <c r="G5272" i="6"/>
  <c r="H5272" i="6" s="1"/>
  <c r="F5272" i="6"/>
  <c r="J5271" i="6"/>
  <c r="G5271" i="6"/>
  <c r="H5271" i="6" s="1"/>
  <c r="F5271" i="6"/>
  <c r="J5270" i="6"/>
  <c r="G5270" i="6"/>
  <c r="H5270" i="6" s="1"/>
  <c r="F5270" i="6"/>
  <c r="J5269" i="6"/>
  <c r="G5269" i="6"/>
  <c r="H5269" i="6" s="1"/>
  <c r="F5269" i="6"/>
  <c r="J5268" i="6"/>
  <c r="G5268" i="6"/>
  <c r="H5268" i="6" s="1"/>
  <c r="F5268" i="6"/>
  <c r="J5267" i="6"/>
  <c r="G5267" i="6"/>
  <c r="H5267" i="6" s="1"/>
  <c r="F5267" i="6"/>
  <c r="J5266" i="6"/>
  <c r="G5266" i="6"/>
  <c r="H5266" i="6" s="1"/>
  <c r="F5266" i="6"/>
  <c r="J5265" i="6"/>
  <c r="G5265" i="6"/>
  <c r="H5265" i="6" s="1"/>
  <c r="F5265" i="6"/>
  <c r="J5264" i="6"/>
  <c r="G5264" i="6"/>
  <c r="H5264" i="6" s="1"/>
  <c r="F5264" i="6"/>
  <c r="J5263" i="6"/>
  <c r="G5263" i="6"/>
  <c r="H5263" i="6" s="1"/>
  <c r="F5263" i="6"/>
  <c r="J5262" i="6"/>
  <c r="G5262" i="6"/>
  <c r="H5262" i="6" s="1"/>
  <c r="F5262" i="6"/>
  <c r="J5261" i="6"/>
  <c r="G5261" i="6"/>
  <c r="H5261" i="6" s="1"/>
  <c r="F5261" i="6"/>
  <c r="J5260" i="6"/>
  <c r="G5260" i="6"/>
  <c r="H5260" i="6" s="1"/>
  <c r="F5260" i="6"/>
  <c r="J5259" i="6"/>
  <c r="G5259" i="6"/>
  <c r="H5259" i="6" s="1"/>
  <c r="F5259" i="6"/>
  <c r="J5258" i="6"/>
  <c r="G5258" i="6"/>
  <c r="H5258" i="6" s="1"/>
  <c r="F5258" i="6"/>
  <c r="J5257" i="6"/>
  <c r="G5257" i="6"/>
  <c r="H5257" i="6" s="1"/>
  <c r="F5257" i="6"/>
  <c r="J5256" i="6"/>
  <c r="G5256" i="6"/>
  <c r="H5256" i="6" s="1"/>
  <c r="F5256" i="6"/>
  <c r="J5255" i="6"/>
  <c r="G5255" i="6"/>
  <c r="H5255" i="6" s="1"/>
  <c r="F5255" i="6"/>
  <c r="J5254" i="6"/>
  <c r="G5254" i="6"/>
  <c r="H5254" i="6" s="1"/>
  <c r="F5254" i="6"/>
  <c r="J5253" i="6"/>
  <c r="G5253" i="6"/>
  <c r="H5253" i="6" s="1"/>
  <c r="F5253" i="6"/>
  <c r="J5252" i="6"/>
  <c r="G5252" i="6"/>
  <c r="H5252" i="6" s="1"/>
  <c r="F5252" i="6"/>
  <c r="J5251" i="6"/>
  <c r="G5251" i="6"/>
  <c r="H5251" i="6" s="1"/>
  <c r="F5251" i="6"/>
  <c r="J5250" i="6"/>
  <c r="G5250" i="6"/>
  <c r="H5250" i="6" s="1"/>
  <c r="F5250" i="6"/>
  <c r="J5249" i="6"/>
  <c r="G5249" i="6"/>
  <c r="H5249" i="6" s="1"/>
  <c r="F5249" i="6"/>
  <c r="J5248" i="6"/>
  <c r="G5248" i="6"/>
  <c r="H5248" i="6" s="1"/>
  <c r="F5248" i="6"/>
  <c r="J5247" i="6"/>
  <c r="G5247" i="6"/>
  <c r="H5247" i="6" s="1"/>
  <c r="F5247" i="6"/>
  <c r="J5246" i="6"/>
  <c r="G5246" i="6"/>
  <c r="H5246" i="6" s="1"/>
  <c r="F5246" i="6"/>
  <c r="J5245" i="6"/>
  <c r="G5245" i="6"/>
  <c r="H5245" i="6" s="1"/>
  <c r="F5245" i="6"/>
  <c r="J5244" i="6"/>
  <c r="G5244" i="6"/>
  <c r="H5244" i="6" s="1"/>
  <c r="F5244" i="6"/>
  <c r="J5243" i="6"/>
  <c r="G5243" i="6"/>
  <c r="H5243" i="6" s="1"/>
  <c r="F5243" i="6"/>
  <c r="J5242" i="6"/>
  <c r="G5242" i="6"/>
  <c r="H5242" i="6" s="1"/>
  <c r="F5242" i="6"/>
  <c r="J5241" i="6"/>
  <c r="G5241" i="6"/>
  <c r="H5241" i="6" s="1"/>
  <c r="F5241" i="6"/>
  <c r="J5240" i="6"/>
  <c r="G5240" i="6"/>
  <c r="H5240" i="6" s="1"/>
  <c r="F5240" i="6"/>
  <c r="J5239" i="6"/>
  <c r="G5239" i="6"/>
  <c r="H5239" i="6" s="1"/>
  <c r="F5239" i="6"/>
  <c r="J5238" i="6"/>
  <c r="G5238" i="6"/>
  <c r="H5238" i="6" s="1"/>
  <c r="F5238" i="6"/>
  <c r="J5237" i="6"/>
  <c r="G5237" i="6"/>
  <c r="H5237" i="6" s="1"/>
  <c r="F5237" i="6"/>
  <c r="J5236" i="6"/>
  <c r="G5236" i="6"/>
  <c r="H5236" i="6" s="1"/>
  <c r="F5236" i="6"/>
  <c r="J5235" i="6"/>
  <c r="G5235" i="6"/>
  <c r="H5235" i="6" s="1"/>
  <c r="F5235" i="6"/>
  <c r="J5234" i="6"/>
  <c r="G5234" i="6"/>
  <c r="H5234" i="6" s="1"/>
  <c r="F5234" i="6"/>
  <c r="J5233" i="6"/>
  <c r="G5233" i="6"/>
  <c r="H5233" i="6" s="1"/>
  <c r="F5233" i="6"/>
  <c r="J5232" i="6"/>
  <c r="G5232" i="6"/>
  <c r="H5232" i="6" s="1"/>
  <c r="F5232" i="6"/>
  <c r="J5231" i="6"/>
  <c r="G5231" i="6"/>
  <c r="H5231" i="6" s="1"/>
  <c r="F5231" i="6"/>
  <c r="J5230" i="6"/>
  <c r="G5230" i="6"/>
  <c r="H5230" i="6" s="1"/>
  <c r="F5230" i="6"/>
  <c r="J5229" i="6"/>
  <c r="G5229" i="6"/>
  <c r="H5229" i="6" s="1"/>
  <c r="F5229" i="6"/>
  <c r="J5228" i="6"/>
  <c r="G5228" i="6"/>
  <c r="H5228" i="6" s="1"/>
  <c r="F5228" i="6"/>
  <c r="J5227" i="6"/>
  <c r="G5227" i="6"/>
  <c r="H5227" i="6" s="1"/>
  <c r="F5227" i="6"/>
  <c r="J5226" i="6"/>
  <c r="G5226" i="6"/>
  <c r="H5226" i="6" s="1"/>
  <c r="F5226" i="6"/>
  <c r="J5225" i="6"/>
  <c r="G5225" i="6"/>
  <c r="H5225" i="6" s="1"/>
  <c r="F5225" i="6"/>
  <c r="J5224" i="6"/>
  <c r="G5224" i="6"/>
  <c r="H5224" i="6" s="1"/>
  <c r="F5224" i="6"/>
  <c r="J5223" i="6"/>
  <c r="G5223" i="6"/>
  <c r="H5223" i="6" s="1"/>
  <c r="F5223" i="6"/>
  <c r="J5222" i="6"/>
  <c r="G5222" i="6"/>
  <c r="H5222" i="6" s="1"/>
  <c r="F5222" i="6"/>
  <c r="J5221" i="6"/>
  <c r="G5221" i="6"/>
  <c r="H5221" i="6" s="1"/>
  <c r="F5221" i="6"/>
  <c r="J5220" i="6"/>
  <c r="G5220" i="6"/>
  <c r="H5220" i="6" s="1"/>
  <c r="F5220" i="6"/>
  <c r="J5219" i="6"/>
  <c r="G5219" i="6"/>
  <c r="H5219" i="6" s="1"/>
  <c r="F5219" i="6"/>
  <c r="J5218" i="6"/>
  <c r="G5218" i="6"/>
  <c r="H5218" i="6" s="1"/>
  <c r="F5218" i="6"/>
  <c r="J5217" i="6"/>
  <c r="G5217" i="6"/>
  <c r="H5217" i="6" s="1"/>
  <c r="F5217" i="6"/>
  <c r="J5216" i="6"/>
  <c r="G5216" i="6"/>
  <c r="H5216" i="6" s="1"/>
  <c r="F5216" i="6"/>
  <c r="J5215" i="6"/>
  <c r="G5215" i="6"/>
  <c r="H5215" i="6" s="1"/>
  <c r="F5215" i="6"/>
  <c r="J5214" i="6"/>
  <c r="G5214" i="6"/>
  <c r="H5214" i="6" s="1"/>
  <c r="F5214" i="6"/>
  <c r="J5213" i="6"/>
  <c r="G5213" i="6"/>
  <c r="H5213" i="6" s="1"/>
  <c r="F5213" i="6"/>
  <c r="J5212" i="6"/>
  <c r="G5212" i="6"/>
  <c r="H5212" i="6" s="1"/>
  <c r="F5212" i="6"/>
  <c r="J5211" i="6"/>
  <c r="G5211" i="6"/>
  <c r="H5211" i="6" s="1"/>
  <c r="F5211" i="6"/>
  <c r="J5210" i="6"/>
  <c r="G5210" i="6"/>
  <c r="H5210" i="6" s="1"/>
  <c r="F5210" i="6"/>
  <c r="J5209" i="6"/>
  <c r="G5209" i="6"/>
  <c r="H5209" i="6" s="1"/>
  <c r="F5209" i="6"/>
  <c r="J5208" i="6"/>
  <c r="G5208" i="6"/>
  <c r="H5208" i="6" s="1"/>
  <c r="F5208" i="6"/>
  <c r="J5207" i="6"/>
  <c r="G5207" i="6"/>
  <c r="H5207" i="6" s="1"/>
  <c r="F5207" i="6"/>
  <c r="J5206" i="6"/>
  <c r="G5206" i="6"/>
  <c r="H5206" i="6" s="1"/>
  <c r="F5206" i="6"/>
  <c r="J5205" i="6"/>
  <c r="G5205" i="6"/>
  <c r="H5205" i="6" s="1"/>
  <c r="F5205" i="6"/>
  <c r="J5204" i="6"/>
  <c r="G5204" i="6"/>
  <c r="H5204" i="6" s="1"/>
  <c r="F5204" i="6"/>
  <c r="J5203" i="6"/>
  <c r="G5203" i="6"/>
  <c r="H5203" i="6" s="1"/>
  <c r="F5203" i="6"/>
  <c r="J5202" i="6"/>
  <c r="G5202" i="6"/>
  <c r="H5202" i="6" s="1"/>
  <c r="F5202" i="6"/>
  <c r="J5201" i="6"/>
  <c r="G5201" i="6"/>
  <c r="H5201" i="6" s="1"/>
  <c r="F5201" i="6"/>
  <c r="J5200" i="6"/>
  <c r="G5200" i="6"/>
  <c r="H5200" i="6" s="1"/>
  <c r="F5200" i="6"/>
  <c r="J5199" i="6"/>
  <c r="G5199" i="6"/>
  <c r="H5199" i="6" s="1"/>
  <c r="F5199" i="6"/>
  <c r="J5198" i="6"/>
  <c r="G5198" i="6"/>
  <c r="H5198" i="6" s="1"/>
  <c r="F5198" i="6"/>
  <c r="J5197" i="6"/>
  <c r="G5197" i="6"/>
  <c r="H5197" i="6" s="1"/>
  <c r="F5197" i="6"/>
  <c r="J5196" i="6"/>
  <c r="G5196" i="6"/>
  <c r="H5196" i="6" s="1"/>
  <c r="F5196" i="6"/>
  <c r="J5195" i="6"/>
  <c r="G5195" i="6"/>
  <c r="H5195" i="6" s="1"/>
  <c r="F5195" i="6"/>
  <c r="J5194" i="6"/>
  <c r="G5194" i="6"/>
  <c r="H5194" i="6" s="1"/>
  <c r="F5194" i="6"/>
  <c r="J5193" i="6"/>
  <c r="G5193" i="6"/>
  <c r="H5193" i="6" s="1"/>
  <c r="F5193" i="6"/>
  <c r="J5192" i="6"/>
  <c r="G5192" i="6"/>
  <c r="H5192" i="6" s="1"/>
  <c r="F5192" i="6"/>
  <c r="J5191" i="6"/>
  <c r="G5191" i="6"/>
  <c r="H5191" i="6" s="1"/>
  <c r="F5191" i="6"/>
  <c r="J5190" i="6"/>
  <c r="G5190" i="6"/>
  <c r="H5190" i="6" s="1"/>
  <c r="F5190" i="6"/>
  <c r="J5189" i="6"/>
  <c r="G5189" i="6"/>
  <c r="H5189" i="6" s="1"/>
  <c r="F5189" i="6"/>
  <c r="J5188" i="6"/>
  <c r="G5188" i="6"/>
  <c r="H5188" i="6" s="1"/>
  <c r="F5188" i="6"/>
  <c r="J5187" i="6"/>
  <c r="G5187" i="6"/>
  <c r="H5187" i="6" s="1"/>
  <c r="F5187" i="6"/>
  <c r="J5186" i="6"/>
  <c r="G5186" i="6"/>
  <c r="H5186" i="6" s="1"/>
  <c r="F5186" i="6"/>
  <c r="J5185" i="6"/>
  <c r="G5185" i="6"/>
  <c r="H5185" i="6" s="1"/>
  <c r="F5185" i="6"/>
  <c r="J5184" i="6"/>
  <c r="G5184" i="6"/>
  <c r="H5184" i="6" s="1"/>
  <c r="F5184" i="6"/>
  <c r="J5183" i="6"/>
  <c r="G5183" i="6"/>
  <c r="H5183" i="6" s="1"/>
  <c r="F5183" i="6"/>
  <c r="J5182" i="6"/>
  <c r="G5182" i="6"/>
  <c r="H5182" i="6" s="1"/>
  <c r="F5182" i="6"/>
  <c r="J5181" i="6"/>
  <c r="G5181" i="6"/>
  <c r="H5181" i="6" s="1"/>
  <c r="F5181" i="6"/>
  <c r="J5180" i="6"/>
  <c r="G5180" i="6"/>
  <c r="H5180" i="6" s="1"/>
  <c r="F5180" i="6"/>
  <c r="J5179" i="6"/>
  <c r="G5179" i="6"/>
  <c r="H5179" i="6" s="1"/>
  <c r="F5179" i="6"/>
  <c r="J5178" i="6"/>
  <c r="G5178" i="6"/>
  <c r="H5178" i="6" s="1"/>
  <c r="F5178" i="6"/>
  <c r="J5177" i="6"/>
  <c r="G5177" i="6"/>
  <c r="H5177" i="6" s="1"/>
  <c r="F5177" i="6"/>
  <c r="J5176" i="6"/>
  <c r="G5176" i="6"/>
  <c r="H5176" i="6" s="1"/>
  <c r="F5176" i="6"/>
  <c r="J5175" i="6"/>
  <c r="G5175" i="6"/>
  <c r="H5175" i="6" s="1"/>
  <c r="F5175" i="6"/>
  <c r="J5174" i="6"/>
  <c r="G5174" i="6"/>
  <c r="H5174" i="6" s="1"/>
  <c r="F5174" i="6"/>
  <c r="J5173" i="6"/>
  <c r="G5173" i="6"/>
  <c r="H5173" i="6" s="1"/>
  <c r="F5173" i="6"/>
  <c r="J5172" i="6"/>
  <c r="G5172" i="6"/>
  <c r="H5172" i="6" s="1"/>
  <c r="F5172" i="6"/>
  <c r="J5171" i="6"/>
  <c r="G5171" i="6"/>
  <c r="H5171" i="6" s="1"/>
  <c r="F5171" i="6"/>
  <c r="J5170" i="6"/>
  <c r="G5170" i="6"/>
  <c r="H5170" i="6" s="1"/>
  <c r="F5170" i="6"/>
  <c r="J5169" i="6"/>
  <c r="G5169" i="6"/>
  <c r="H5169" i="6" s="1"/>
  <c r="F5169" i="6"/>
  <c r="J5168" i="6"/>
  <c r="G5168" i="6"/>
  <c r="H5168" i="6" s="1"/>
  <c r="F5168" i="6"/>
  <c r="J5167" i="6"/>
  <c r="G5167" i="6"/>
  <c r="H5167" i="6" s="1"/>
  <c r="F5167" i="6"/>
  <c r="J5166" i="6"/>
  <c r="G5166" i="6"/>
  <c r="H5166" i="6" s="1"/>
  <c r="F5166" i="6"/>
  <c r="J5165" i="6"/>
  <c r="G5165" i="6"/>
  <c r="H5165" i="6" s="1"/>
  <c r="F5165" i="6"/>
  <c r="J5164" i="6"/>
  <c r="G5164" i="6"/>
  <c r="H5164" i="6" s="1"/>
  <c r="F5164" i="6"/>
  <c r="J5163" i="6"/>
  <c r="G5163" i="6"/>
  <c r="H5163" i="6" s="1"/>
  <c r="F5163" i="6"/>
  <c r="J5162" i="6"/>
  <c r="G5162" i="6"/>
  <c r="H5162" i="6" s="1"/>
  <c r="F5162" i="6"/>
  <c r="J5161" i="6"/>
  <c r="G5161" i="6"/>
  <c r="H5161" i="6" s="1"/>
  <c r="F5161" i="6"/>
  <c r="J5160" i="6"/>
  <c r="G5160" i="6"/>
  <c r="H5160" i="6" s="1"/>
  <c r="F5160" i="6"/>
  <c r="J5159" i="6"/>
  <c r="G5159" i="6"/>
  <c r="H5159" i="6" s="1"/>
  <c r="F5159" i="6"/>
  <c r="J5158" i="6"/>
  <c r="G5158" i="6"/>
  <c r="H5158" i="6" s="1"/>
  <c r="F5158" i="6"/>
  <c r="J5157" i="6"/>
  <c r="G5157" i="6"/>
  <c r="H5157" i="6" s="1"/>
  <c r="F5157" i="6"/>
  <c r="J5156" i="6"/>
  <c r="G5156" i="6"/>
  <c r="H5156" i="6" s="1"/>
  <c r="F5156" i="6"/>
  <c r="J5155" i="6"/>
  <c r="G5155" i="6"/>
  <c r="H5155" i="6" s="1"/>
  <c r="F5155" i="6"/>
  <c r="J5154" i="6"/>
  <c r="G5154" i="6"/>
  <c r="H5154" i="6" s="1"/>
  <c r="F5154" i="6"/>
  <c r="J5153" i="6"/>
  <c r="G5153" i="6"/>
  <c r="H5153" i="6" s="1"/>
  <c r="F5153" i="6"/>
  <c r="J5152" i="6"/>
  <c r="G5152" i="6"/>
  <c r="H5152" i="6" s="1"/>
  <c r="F5152" i="6"/>
  <c r="J5151" i="6"/>
  <c r="G5151" i="6"/>
  <c r="H5151" i="6" s="1"/>
  <c r="F5151" i="6"/>
  <c r="J5150" i="6"/>
  <c r="G5150" i="6"/>
  <c r="H5150" i="6" s="1"/>
  <c r="F5150" i="6"/>
  <c r="J5149" i="6"/>
  <c r="G5149" i="6"/>
  <c r="H5149" i="6" s="1"/>
  <c r="F5149" i="6"/>
  <c r="J5148" i="6"/>
  <c r="G5148" i="6"/>
  <c r="H5148" i="6" s="1"/>
  <c r="F5148" i="6"/>
  <c r="J5147" i="6"/>
  <c r="G5147" i="6"/>
  <c r="H5147" i="6" s="1"/>
  <c r="F5147" i="6"/>
  <c r="J5146" i="6"/>
  <c r="G5146" i="6"/>
  <c r="H5146" i="6" s="1"/>
  <c r="F5146" i="6"/>
  <c r="J5145" i="6"/>
  <c r="G5145" i="6"/>
  <c r="H5145" i="6" s="1"/>
  <c r="F5145" i="6"/>
  <c r="J5144" i="6"/>
  <c r="G5144" i="6"/>
  <c r="H5144" i="6" s="1"/>
  <c r="F5144" i="6"/>
  <c r="J5143" i="6"/>
  <c r="G5143" i="6"/>
  <c r="H5143" i="6" s="1"/>
  <c r="F5143" i="6"/>
  <c r="J5142" i="6"/>
  <c r="G5142" i="6"/>
  <c r="H5142" i="6" s="1"/>
  <c r="F5142" i="6"/>
  <c r="J5141" i="6"/>
  <c r="G5141" i="6"/>
  <c r="H5141" i="6" s="1"/>
  <c r="F5141" i="6"/>
  <c r="J5140" i="6"/>
  <c r="G5140" i="6"/>
  <c r="H5140" i="6" s="1"/>
  <c r="F5140" i="6"/>
  <c r="J5139" i="6"/>
  <c r="G5139" i="6"/>
  <c r="H5139" i="6" s="1"/>
  <c r="F5139" i="6"/>
  <c r="J5138" i="6"/>
  <c r="G5138" i="6"/>
  <c r="H5138" i="6" s="1"/>
  <c r="F5138" i="6"/>
  <c r="J5137" i="6"/>
  <c r="G5137" i="6"/>
  <c r="H5137" i="6" s="1"/>
  <c r="F5137" i="6"/>
  <c r="J5136" i="6"/>
  <c r="G5136" i="6"/>
  <c r="H5136" i="6" s="1"/>
  <c r="F5136" i="6"/>
  <c r="J5135" i="6"/>
  <c r="G5135" i="6"/>
  <c r="H5135" i="6" s="1"/>
  <c r="F5135" i="6"/>
  <c r="J5134" i="6"/>
  <c r="G5134" i="6"/>
  <c r="H5134" i="6" s="1"/>
  <c r="F5134" i="6"/>
  <c r="J5133" i="6"/>
  <c r="G5133" i="6"/>
  <c r="H5133" i="6" s="1"/>
  <c r="F5133" i="6"/>
  <c r="J5132" i="6"/>
  <c r="G5132" i="6"/>
  <c r="H5132" i="6" s="1"/>
  <c r="F5132" i="6"/>
  <c r="J5131" i="6"/>
  <c r="G5131" i="6"/>
  <c r="H5131" i="6" s="1"/>
  <c r="F5131" i="6"/>
  <c r="J5130" i="6"/>
  <c r="G5130" i="6"/>
  <c r="H5130" i="6" s="1"/>
  <c r="F5130" i="6"/>
  <c r="J5129" i="6"/>
  <c r="G5129" i="6"/>
  <c r="H5129" i="6" s="1"/>
  <c r="F5129" i="6"/>
  <c r="J5128" i="6"/>
  <c r="G5128" i="6"/>
  <c r="H5128" i="6" s="1"/>
  <c r="F5128" i="6"/>
  <c r="J5127" i="6"/>
  <c r="G5127" i="6"/>
  <c r="H5127" i="6" s="1"/>
  <c r="F5127" i="6"/>
  <c r="J5126" i="6"/>
  <c r="G5126" i="6"/>
  <c r="H5126" i="6" s="1"/>
  <c r="F5126" i="6"/>
  <c r="J5125" i="6"/>
  <c r="G5125" i="6"/>
  <c r="H5125" i="6" s="1"/>
  <c r="F5125" i="6"/>
  <c r="J5124" i="6"/>
  <c r="G5124" i="6"/>
  <c r="H5124" i="6" s="1"/>
  <c r="F5124" i="6"/>
  <c r="J5123" i="6"/>
  <c r="G5123" i="6"/>
  <c r="H5123" i="6" s="1"/>
  <c r="F5123" i="6"/>
  <c r="J5122" i="6"/>
  <c r="G5122" i="6"/>
  <c r="H5122" i="6" s="1"/>
  <c r="F5122" i="6"/>
  <c r="J5121" i="6"/>
  <c r="G5121" i="6"/>
  <c r="H5121" i="6" s="1"/>
  <c r="F5121" i="6"/>
  <c r="J5120" i="6"/>
  <c r="G5120" i="6"/>
  <c r="H5120" i="6" s="1"/>
  <c r="F5120" i="6"/>
  <c r="J5119" i="6"/>
  <c r="G5119" i="6"/>
  <c r="H5119" i="6" s="1"/>
  <c r="F5119" i="6"/>
  <c r="J5118" i="6"/>
  <c r="G5118" i="6"/>
  <c r="H5118" i="6" s="1"/>
  <c r="F5118" i="6"/>
  <c r="J5117" i="6"/>
  <c r="G5117" i="6"/>
  <c r="H5117" i="6" s="1"/>
  <c r="F5117" i="6"/>
  <c r="J5116" i="6"/>
  <c r="G5116" i="6"/>
  <c r="H5116" i="6" s="1"/>
  <c r="F5116" i="6"/>
  <c r="J5115" i="6"/>
  <c r="G5115" i="6"/>
  <c r="H5115" i="6" s="1"/>
  <c r="F5115" i="6"/>
  <c r="J5114" i="6"/>
  <c r="G5114" i="6"/>
  <c r="H5114" i="6" s="1"/>
  <c r="F5114" i="6"/>
  <c r="J5113" i="6"/>
  <c r="G5113" i="6"/>
  <c r="H5113" i="6" s="1"/>
  <c r="F5113" i="6"/>
  <c r="J5112" i="6"/>
  <c r="G5112" i="6"/>
  <c r="H5112" i="6" s="1"/>
  <c r="F5112" i="6"/>
  <c r="J5111" i="6"/>
  <c r="G5111" i="6"/>
  <c r="H5111" i="6" s="1"/>
  <c r="F5111" i="6"/>
  <c r="J5110" i="6"/>
  <c r="G5110" i="6"/>
  <c r="H5110" i="6" s="1"/>
  <c r="F5110" i="6"/>
  <c r="J5109" i="6"/>
  <c r="G5109" i="6"/>
  <c r="H5109" i="6" s="1"/>
  <c r="F5109" i="6"/>
  <c r="J5108" i="6"/>
  <c r="G5108" i="6"/>
  <c r="H5108" i="6" s="1"/>
  <c r="F5108" i="6"/>
  <c r="J5107" i="6"/>
  <c r="G5107" i="6"/>
  <c r="H5107" i="6" s="1"/>
  <c r="F5107" i="6"/>
  <c r="J5106" i="6"/>
  <c r="G5106" i="6"/>
  <c r="H5106" i="6" s="1"/>
  <c r="F5106" i="6"/>
  <c r="J5105" i="6"/>
  <c r="G5105" i="6"/>
  <c r="H5105" i="6" s="1"/>
  <c r="F5105" i="6"/>
  <c r="J5104" i="6"/>
  <c r="G5104" i="6"/>
  <c r="H5104" i="6" s="1"/>
  <c r="F5104" i="6"/>
  <c r="J5103" i="6"/>
  <c r="G5103" i="6"/>
  <c r="H5103" i="6" s="1"/>
  <c r="F5103" i="6"/>
  <c r="J5102" i="6"/>
  <c r="G5102" i="6"/>
  <c r="H5102" i="6" s="1"/>
  <c r="F5102" i="6"/>
  <c r="J5101" i="6"/>
  <c r="G5101" i="6"/>
  <c r="H5101" i="6" s="1"/>
  <c r="F5101" i="6"/>
  <c r="J5100" i="6"/>
  <c r="G5100" i="6"/>
  <c r="H5100" i="6" s="1"/>
  <c r="F5100" i="6"/>
  <c r="J5099" i="6"/>
  <c r="G5099" i="6"/>
  <c r="H5099" i="6" s="1"/>
  <c r="F5099" i="6"/>
  <c r="J5098" i="6"/>
  <c r="G5098" i="6"/>
  <c r="H5098" i="6" s="1"/>
  <c r="F5098" i="6"/>
  <c r="J5097" i="6"/>
  <c r="G5097" i="6"/>
  <c r="H5097" i="6" s="1"/>
  <c r="F5097" i="6"/>
  <c r="J5096" i="6"/>
  <c r="G5096" i="6"/>
  <c r="H5096" i="6" s="1"/>
  <c r="F5096" i="6"/>
  <c r="J5095" i="6"/>
  <c r="G5095" i="6"/>
  <c r="H5095" i="6" s="1"/>
  <c r="F5095" i="6"/>
  <c r="J5094" i="6"/>
  <c r="G5094" i="6"/>
  <c r="H5094" i="6" s="1"/>
  <c r="F5094" i="6"/>
  <c r="J5093" i="6"/>
  <c r="G5093" i="6"/>
  <c r="H5093" i="6" s="1"/>
  <c r="F5093" i="6"/>
  <c r="J5092" i="6"/>
  <c r="G5092" i="6"/>
  <c r="H5092" i="6" s="1"/>
  <c r="F5092" i="6"/>
  <c r="J5091" i="6"/>
  <c r="G5091" i="6"/>
  <c r="H5091" i="6" s="1"/>
  <c r="F5091" i="6"/>
  <c r="J5090" i="6"/>
  <c r="G5090" i="6"/>
  <c r="H5090" i="6" s="1"/>
  <c r="F5090" i="6"/>
  <c r="J5089" i="6"/>
  <c r="G5089" i="6"/>
  <c r="H5089" i="6" s="1"/>
  <c r="F5089" i="6"/>
  <c r="J5088" i="6"/>
  <c r="G5088" i="6"/>
  <c r="H5088" i="6" s="1"/>
  <c r="F5088" i="6"/>
  <c r="J5087" i="6"/>
  <c r="G5087" i="6"/>
  <c r="H5087" i="6" s="1"/>
  <c r="F5087" i="6"/>
  <c r="J5086" i="6"/>
  <c r="G5086" i="6"/>
  <c r="H5086" i="6" s="1"/>
  <c r="F5086" i="6"/>
  <c r="J5085" i="6"/>
  <c r="G5085" i="6"/>
  <c r="H5085" i="6" s="1"/>
  <c r="F5085" i="6"/>
  <c r="J5084" i="6"/>
  <c r="G5084" i="6"/>
  <c r="H5084" i="6" s="1"/>
  <c r="F5084" i="6"/>
  <c r="J5083" i="6"/>
  <c r="G5083" i="6"/>
  <c r="H5083" i="6" s="1"/>
  <c r="F5083" i="6"/>
  <c r="J5082" i="6"/>
  <c r="G5082" i="6"/>
  <c r="H5082" i="6" s="1"/>
  <c r="F5082" i="6"/>
  <c r="J5081" i="6"/>
  <c r="G5081" i="6"/>
  <c r="H5081" i="6" s="1"/>
  <c r="F5081" i="6"/>
  <c r="J5080" i="6"/>
  <c r="G5080" i="6"/>
  <c r="H5080" i="6" s="1"/>
  <c r="F5080" i="6"/>
  <c r="J5079" i="6"/>
  <c r="G5079" i="6"/>
  <c r="H5079" i="6" s="1"/>
  <c r="F5079" i="6"/>
  <c r="J5078" i="6"/>
  <c r="G5078" i="6"/>
  <c r="H5078" i="6" s="1"/>
  <c r="F5078" i="6"/>
  <c r="J5077" i="6"/>
  <c r="G5077" i="6"/>
  <c r="H5077" i="6" s="1"/>
  <c r="F5077" i="6"/>
  <c r="J5076" i="6"/>
  <c r="G5076" i="6"/>
  <c r="H5076" i="6" s="1"/>
  <c r="F5076" i="6"/>
  <c r="J5075" i="6"/>
  <c r="G5075" i="6"/>
  <c r="H5075" i="6" s="1"/>
  <c r="F5075" i="6"/>
  <c r="J5074" i="6"/>
  <c r="G5074" i="6"/>
  <c r="H5074" i="6" s="1"/>
  <c r="F5074" i="6"/>
  <c r="J5073" i="6"/>
  <c r="G5073" i="6"/>
  <c r="H5073" i="6" s="1"/>
  <c r="F5073" i="6"/>
  <c r="J5072" i="6"/>
  <c r="G5072" i="6"/>
  <c r="H5072" i="6" s="1"/>
  <c r="F5072" i="6"/>
  <c r="J5071" i="6"/>
  <c r="G5071" i="6"/>
  <c r="H5071" i="6" s="1"/>
  <c r="F5071" i="6"/>
  <c r="J5070" i="6"/>
  <c r="G5070" i="6"/>
  <c r="H5070" i="6" s="1"/>
  <c r="F5070" i="6"/>
  <c r="J5069" i="6"/>
  <c r="G5069" i="6"/>
  <c r="H5069" i="6" s="1"/>
  <c r="F5069" i="6"/>
  <c r="J5068" i="6"/>
  <c r="G5068" i="6"/>
  <c r="H5068" i="6" s="1"/>
  <c r="F5068" i="6"/>
  <c r="J5067" i="6"/>
  <c r="G5067" i="6"/>
  <c r="H5067" i="6" s="1"/>
  <c r="F5067" i="6"/>
  <c r="J5066" i="6"/>
  <c r="G5066" i="6"/>
  <c r="H5066" i="6" s="1"/>
  <c r="F5066" i="6"/>
  <c r="J5065" i="6"/>
  <c r="G5065" i="6"/>
  <c r="H5065" i="6" s="1"/>
  <c r="F5065" i="6"/>
  <c r="J5064" i="6"/>
  <c r="G5064" i="6"/>
  <c r="H5064" i="6" s="1"/>
  <c r="F5064" i="6"/>
  <c r="J5063" i="6"/>
  <c r="G5063" i="6"/>
  <c r="H5063" i="6" s="1"/>
  <c r="F5063" i="6"/>
  <c r="J5062" i="6"/>
  <c r="G5062" i="6"/>
  <c r="H5062" i="6" s="1"/>
  <c r="F5062" i="6"/>
  <c r="J5061" i="6"/>
  <c r="G5061" i="6"/>
  <c r="H5061" i="6" s="1"/>
  <c r="F5061" i="6"/>
  <c r="J5060" i="6"/>
  <c r="G5060" i="6"/>
  <c r="H5060" i="6" s="1"/>
  <c r="F5060" i="6"/>
  <c r="J5059" i="6"/>
  <c r="G5059" i="6"/>
  <c r="H5059" i="6" s="1"/>
  <c r="F5059" i="6"/>
  <c r="J5058" i="6"/>
  <c r="G5058" i="6"/>
  <c r="H5058" i="6" s="1"/>
  <c r="F5058" i="6"/>
  <c r="J5057" i="6"/>
  <c r="G5057" i="6"/>
  <c r="H5057" i="6" s="1"/>
  <c r="F5057" i="6"/>
  <c r="J5056" i="6"/>
  <c r="G5056" i="6"/>
  <c r="H5056" i="6" s="1"/>
  <c r="F5056" i="6"/>
  <c r="J5055" i="6"/>
  <c r="G5055" i="6"/>
  <c r="H5055" i="6" s="1"/>
  <c r="F5055" i="6"/>
  <c r="J5054" i="6"/>
  <c r="G5054" i="6"/>
  <c r="H5054" i="6" s="1"/>
  <c r="F5054" i="6"/>
  <c r="J5053" i="6"/>
  <c r="G5053" i="6"/>
  <c r="H5053" i="6" s="1"/>
  <c r="F5053" i="6"/>
  <c r="J5052" i="6"/>
  <c r="G5052" i="6"/>
  <c r="H5052" i="6" s="1"/>
  <c r="F5052" i="6"/>
  <c r="J5051" i="6"/>
  <c r="G5051" i="6"/>
  <c r="H5051" i="6" s="1"/>
  <c r="F5051" i="6"/>
  <c r="J5050" i="6"/>
  <c r="G5050" i="6"/>
  <c r="H5050" i="6" s="1"/>
  <c r="F5050" i="6"/>
  <c r="J5049" i="6"/>
  <c r="G5049" i="6"/>
  <c r="H5049" i="6" s="1"/>
  <c r="F5049" i="6"/>
  <c r="J5048" i="6"/>
  <c r="G5048" i="6"/>
  <c r="H5048" i="6" s="1"/>
  <c r="F5048" i="6"/>
  <c r="J5047" i="6"/>
  <c r="G5047" i="6"/>
  <c r="H5047" i="6" s="1"/>
  <c r="F5047" i="6"/>
  <c r="J5046" i="6"/>
  <c r="G5046" i="6"/>
  <c r="H5046" i="6" s="1"/>
  <c r="F5046" i="6"/>
  <c r="J5045" i="6"/>
  <c r="G5045" i="6"/>
  <c r="H5045" i="6" s="1"/>
  <c r="F5045" i="6"/>
  <c r="J5044" i="6"/>
  <c r="G5044" i="6"/>
  <c r="H5044" i="6" s="1"/>
  <c r="F5044" i="6"/>
  <c r="J5043" i="6"/>
  <c r="G5043" i="6"/>
  <c r="H5043" i="6" s="1"/>
  <c r="F5043" i="6"/>
  <c r="J5042" i="6"/>
  <c r="G5042" i="6"/>
  <c r="H5042" i="6" s="1"/>
  <c r="F5042" i="6"/>
  <c r="J5041" i="6"/>
  <c r="G5041" i="6"/>
  <c r="H5041" i="6" s="1"/>
  <c r="F5041" i="6"/>
  <c r="J5040" i="6"/>
  <c r="G5040" i="6"/>
  <c r="H5040" i="6" s="1"/>
  <c r="F5040" i="6"/>
  <c r="J5039" i="6"/>
  <c r="G5039" i="6"/>
  <c r="H5039" i="6" s="1"/>
  <c r="F5039" i="6"/>
  <c r="J5038" i="6"/>
  <c r="G5038" i="6"/>
  <c r="H5038" i="6" s="1"/>
  <c r="F5038" i="6"/>
  <c r="J5037" i="6"/>
  <c r="G5037" i="6"/>
  <c r="H5037" i="6" s="1"/>
  <c r="F5037" i="6"/>
  <c r="J5036" i="6"/>
  <c r="G5036" i="6"/>
  <c r="H5036" i="6" s="1"/>
  <c r="F5036" i="6"/>
  <c r="J5035" i="6"/>
  <c r="G5035" i="6"/>
  <c r="H5035" i="6" s="1"/>
  <c r="F5035" i="6"/>
  <c r="J5034" i="6"/>
  <c r="G5034" i="6"/>
  <c r="H5034" i="6" s="1"/>
  <c r="F5034" i="6"/>
  <c r="J5033" i="6"/>
  <c r="G5033" i="6"/>
  <c r="H5033" i="6" s="1"/>
  <c r="F5033" i="6"/>
  <c r="J5032" i="6"/>
  <c r="G5032" i="6"/>
  <c r="H5032" i="6" s="1"/>
  <c r="F5032" i="6"/>
  <c r="J5031" i="6"/>
  <c r="G5031" i="6"/>
  <c r="H5031" i="6" s="1"/>
  <c r="F5031" i="6"/>
  <c r="J5030" i="6"/>
  <c r="G5030" i="6"/>
  <c r="H5030" i="6" s="1"/>
  <c r="F5030" i="6"/>
  <c r="J5029" i="6"/>
  <c r="G5029" i="6"/>
  <c r="H5029" i="6" s="1"/>
  <c r="F5029" i="6"/>
  <c r="J5028" i="6"/>
  <c r="G5028" i="6"/>
  <c r="H5028" i="6" s="1"/>
  <c r="F5028" i="6"/>
  <c r="J5027" i="6"/>
  <c r="G5027" i="6"/>
  <c r="H5027" i="6" s="1"/>
  <c r="F5027" i="6"/>
  <c r="J5026" i="6"/>
  <c r="G5026" i="6"/>
  <c r="H5026" i="6" s="1"/>
  <c r="F5026" i="6"/>
  <c r="J5025" i="6"/>
  <c r="G5025" i="6"/>
  <c r="H5025" i="6" s="1"/>
  <c r="F5025" i="6"/>
  <c r="J5024" i="6"/>
  <c r="G5024" i="6"/>
  <c r="H5024" i="6" s="1"/>
  <c r="F5024" i="6"/>
  <c r="J5023" i="6"/>
  <c r="G5023" i="6"/>
  <c r="H5023" i="6" s="1"/>
  <c r="F5023" i="6"/>
  <c r="J5022" i="6"/>
  <c r="G5022" i="6"/>
  <c r="H5022" i="6" s="1"/>
  <c r="F5022" i="6"/>
  <c r="J5021" i="6"/>
  <c r="G5021" i="6"/>
  <c r="H5021" i="6" s="1"/>
  <c r="F5021" i="6"/>
  <c r="J5020" i="6"/>
  <c r="G5020" i="6"/>
  <c r="H5020" i="6" s="1"/>
  <c r="F5020" i="6"/>
  <c r="J5019" i="6"/>
  <c r="G5019" i="6"/>
  <c r="H5019" i="6" s="1"/>
  <c r="F5019" i="6"/>
  <c r="J5018" i="6"/>
  <c r="G5018" i="6"/>
  <c r="H5018" i="6" s="1"/>
  <c r="F5018" i="6"/>
  <c r="J5017" i="6"/>
  <c r="G5017" i="6"/>
  <c r="H5017" i="6" s="1"/>
  <c r="F5017" i="6"/>
  <c r="J5016" i="6"/>
  <c r="G5016" i="6"/>
  <c r="H5016" i="6" s="1"/>
  <c r="F5016" i="6"/>
  <c r="J5015" i="6"/>
  <c r="G5015" i="6"/>
  <c r="H5015" i="6" s="1"/>
  <c r="F5015" i="6"/>
  <c r="J5014" i="6"/>
  <c r="G5014" i="6"/>
  <c r="H5014" i="6" s="1"/>
  <c r="F5014" i="6"/>
  <c r="J5013" i="6"/>
  <c r="G5013" i="6"/>
  <c r="H5013" i="6" s="1"/>
  <c r="F5013" i="6"/>
  <c r="J5012" i="6"/>
  <c r="G5012" i="6"/>
  <c r="H5012" i="6" s="1"/>
  <c r="F5012" i="6"/>
  <c r="J5011" i="6"/>
  <c r="G5011" i="6"/>
  <c r="H5011" i="6" s="1"/>
  <c r="F5011" i="6"/>
  <c r="J5010" i="6"/>
  <c r="G5010" i="6"/>
  <c r="H5010" i="6" s="1"/>
  <c r="F5010" i="6"/>
  <c r="J5009" i="6"/>
  <c r="G5009" i="6"/>
  <c r="H5009" i="6" s="1"/>
  <c r="F5009" i="6"/>
  <c r="J5008" i="6"/>
  <c r="G5008" i="6"/>
  <c r="H5008" i="6" s="1"/>
  <c r="F5008" i="6"/>
  <c r="J5007" i="6"/>
  <c r="G5007" i="6"/>
  <c r="H5007" i="6" s="1"/>
  <c r="F5007" i="6"/>
  <c r="J5006" i="6"/>
  <c r="G5006" i="6"/>
  <c r="H5006" i="6" s="1"/>
  <c r="F5006" i="6"/>
  <c r="J5005" i="6"/>
  <c r="G5005" i="6"/>
  <c r="H5005" i="6" s="1"/>
  <c r="F5005" i="6"/>
  <c r="J5004" i="6"/>
  <c r="G5004" i="6"/>
  <c r="H5004" i="6" s="1"/>
  <c r="F5004" i="6"/>
  <c r="J5003" i="6"/>
  <c r="G5003" i="6"/>
  <c r="H5003" i="6" s="1"/>
  <c r="F5003" i="6"/>
  <c r="J5002" i="6"/>
  <c r="G5002" i="6"/>
  <c r="H5002" i="6" s="1"/>
  <c r="F5002" i="6"/>
  <c r="J5001" i="6"/>
  <c r="G5001" i="6"/>
  <c r="H5001" i="6" s="1"/>
  <c r="F5001" i="6"/>
  <c r="J5000" i="6"/>
  <c r="G5000" i="6"/>
  <c r="H5000" i="6" s="1"/>
  <c r="F5000" i="6"/>
  <c r="J4999" i="6"/>
  <c r="G4999" i="6"/>
  <c r="H4999" i="6" s="1"/>
  <c r="F4999" i="6"/>
  <c r="J4998" i="6"/>
  <c r="G4998" i="6"/>
  <c r="H4998" i="6" s="1"/>
  <c r="F4998" i="6"/>
  <c r="J4997" i="6"/>
  <c r="G4997" i="6"/>
  <c r="H4997" i="6" s="1"/>
  <c r="F4997" i="6"/>
  <c r="J4996" i="6"/>
  <c r="G4996" i="6"/>
  <c r="H4996" i="6" s="1"/>
  <c r="F4996" i="6"/>
  <c r="J4995" i="6"/>
  <c r="G4995" i="6"/>
  <c r="H4995" i="6" s="1"/>
  <c r="F4995" i="6"/>
  <c r="J4994" i="6"/>
  <c r="G4994" i="6"/>
  <c r="H4994" i="6" s="1"/>
  <c r="F4994" i="6"/>
  <c r="J4993" i="6"/>
  <c r="G4993" i="6"/>
  <c r="H4993" i="6" s="1"/>
  <c r="F4993" i="6"/>
  <c r="J4992" i="6"/>
  <c r="G4992" i="6"/>
  <c r="H4992" i="6" s="1"/>
  <c r="F4992" i="6"/>
  <c r="J4991" i="6"/>
  <c r="G4991" i="6"/>
  <c r="H4991" i="6" s="1"/>
  <c r="F4991" i="6"/>
  <c r="J4990" i="6"/>
  <c r="G4990" i="6"/>
  <c r="H4990" i="6" s="1"/>
  <c r="F4990" i="6"/>
  <c r="J4989" i="6"/>
  <c r="G4989" i="6"/>
  <c r="H4989" i="6" s="1"/>
  <c r="F4989" i="6"/>
  <c r="J4988" i="6"/>
  <c r="G4988" i="6"/>
  <c r="H4988" i="6" s="1"/>
  <c r="F4988" i="6"/>
  <c r="J4987" i="6"/>
  <c r="G4987" i="6"/>
  <c r="H4987" i="6" s="1"/>
  <c r="F4987" i="6"/>
  <c r="J4986" i="6"/>
  <c r="G4986" i="6"/>
  <c r="H4986" i="6" s="1"/>
  <c r="F4986" i="6"/>
  <c r="J4985" i="6"/>
  <c r="G4985" i="6"/>
  <c r="H4985" i="6" s="1"/>
  <c r="F4985" i="6"/>
  <c r="J4984" i="6"/>
  <c r="G4984" i="6"/>
  <c r="H4984" i="6" s="1"/>
  <c r="F4984" i="6"/>
  <c r="J4983" i="6"/>
  <c r="G4983" i="6"/>
  <c r="H4983" i="6" s="1"/>
  <c r="F4983" i="6"/>
  <c r="J4982" i="6"/>
  <c r="G4982" i="6"/>
  <c r="H4982" i="6" s="1"/>
  <c r="F4982" i="6"/>
  <c r="J4981" i="6"/>
  <c r="G4981" i="6"/>
  <c r="H4981" i="6" s="1"/>
  <c r="F4981" i="6"/>
  <c r="J4980" i="6"/>
  <c r="G4980" i="6"/>
  <c r="H4980" i="6" s="1"/>
  <c r="F4980" i="6"/>
  <c r="J4979" i="6"/>
  <c r="G4979" i="6"/>
  <c r="H4979" i="6" s="1"/>
  <c r="F4979" i="6"/>
  <c r="J4978" i="6"/>
  <c r="G4978" i="6"/>
  <c r="H4978" i="6" s="1"/>
  <c r="F4978" i="6"/>
  <c r="J4977" i="6"/>
  <c r="G4977" i="6"/>
  <c r="H4977" i="6" s="1"/>
  <c r="F4977" i="6"/>
  <c r="J4976" i="6"/>
  <c r="G4976" i="6"/>
  <c r="H4976" i="6" s="1"/>
  <c r="F4976" i="6"/>
  <c r="J4975" i="6"/>
  <c r="G4975" i="6"/>
  <c r="H4975" i="6" s="1"/>
  <c r="F4975" i="6"/>
  <c r="J4974" i="6"/>
  <c r="G4974" i="6"/>
  <c r="H4974" i="6" s="1"/>
  <c r="F4974" i="6"/>
  <c r="J4973" i="6"/>
  <c r="G4973" i="6"/>
  <c r="H4973" i="6" s="1"/>
  <c r="F4973" i="6"/>
  <c r="J4972" i="6"/>
  <c r="G4972" i="6"/>
  <c r="H4972" i="6" s="1"/>
  <c r="F4972" i="6"/>
  <c r="J4971" i="6"/>
  <c r="G4971" i="6"/>
  <c r="H4971" i="6" s="1"/>
  <c r="F4971" i="6"/>
  <c r="J4970" i="6"/>
  <c r="G4970" i="6"/>
  <c r="H4970" i="6" s="1"/>
  <c r="F4970" i="6"/>
  <c r="J4969" i="6"/>
  <c r="G4969" i="6"/>
  <c r="H4969" i="6" s="1"/>
  <c r="F4969" i="6"/>
  <c r="J4968" i="6"/>
  <c r="G4968" i="6"/>
  <c r="H4968" i="6" s="1"/>
  <c r="F4968" i="6"/>
  <c r="J4967" i="6"/>
  <c r="G4967" i="6"/>
  <c r="H4967" i="6" s="1"/>
  <c r="F4967" i="6"/>
  <c r="J4966" i="6"/>
  <c r="G4966" i="6"/>
  <c r="H4966" i="6" s="1"/>
  <c r="F4966" i="6"/>
  <c r="J4965" i="6"/>
  <c r="G4965" i="6"/>
  <c r="H4965" i="6" s="1"/>
  <c r="F4965" i="6"/>
  <c r="J4964" i="6"/>
  <c r="G4964" i="6"/>
  <c r="H4964" i="6" s="1"/>
  <c r="F4964" i="6"/>
  <c r="J4963" i="6"/>
  <c r="G4963" i="6"/>
  <c r="H4963" i="6" s="1"/>
  <c r="F4963" i="6"/>
  <c r="J4962" i="6"/>
  <c r="G4962" i="6"/>
  <c r="H4962" i="6" s="1"/>
  <c r="F4962" i="6"/>
  <c r="J4961" i="6"/>
  <c r="G4961" i="6"/>
  <c r="H4961" i="6" s="1"/>
  <c r="F4961" i="6"/>
  <c r="J4960" i="6"/>
  <c r="G4960" i="6"/>
  <c r="H4960" i="6" s="1"/>
  <c r="F4960" i="6"/>
  <c r="J4959" i="6"/>
  <c r="G4959" i="6"/>
  <c r="H4959" i="6" s="1"/>
  <c r="F4959" i="6"/>
  <c r="J4958" i="6"/>
  <c r="G4958" i="6"/>
  <c r="H4958" i="6" s="1"/>
  <c r="F4958" i="6"/>
  <c r="J4957" i="6"/>
  <c r="G4957" i="6"/>
  <c r="H4957" i="6" s="1"/>
  <c r="F4957" i="6"/>
  <c r="J4956" i="6"/>
  <c r="G4956" i="6"/>
  <c r="H4956" i="6" s="1"/>
  <c r="F4956" i="6"/>
  <c r="J4955" i="6"/>
  <c r="G4955" i="6"/>
  <c r="H4955" i="6" s="1"/>
  <c r="F4955" i="6"/>
  <c r="J4954" i="6"/>
  <c r="G4954" i="6"/>
  <c r="H4954" i="6" s="1"/>
  <c r="F4954" i="6"/>
  <c r="J4953" i="6"/>
  <c r="G4953" i="6"/>
  <c r="H4953" i="6" s="1"/>
  <c r="F4953" i="6"/>
  <c r="J4952" i="6"/>
  <c r="G4952" i="6"/>
  <c r="H4952" i="6" s="1"/>
  <c r="F4952" i="6"/>
  <c r="J4951" i="6"/>
  <c r="G4951" i="6"/>
  <c r="H4951" i="6" s="1"/>
  <c r="F4951" i="6"/>
  <c r="J4950" i="6"/>
  <c r="G4950" i="6"/>
  <c r="H4950" i="6" s="1"/>
  <c r="F4950" i="6"/>
  <c r="J4949" i="6"/>
  <c r="G4949" i="6"/>
  <c r="H4949" i="6" s="1"/>
  <c r="F4949" i="6"/>
  <c r="J4948" i="6"/>
  <c r="G4948" i="6"/>
  <c r="H4948" i="6" s="1"/>
  <c r="F4948" i="6"/>
  <c r="J4947" i="6"/>
  <c r="G4947" i="6"/>
  <c r="H4947" i="6" s="1"/>
  <c r="F4947" i="6"/>
  <c r="J4946" i="6"/>
  <c r="G4946" i="6"/>
  <c r="H4946" i="6" s="1"/>
  <c r="F4946" i="6"/>
  <c r="J4945" i="6"/>
  <c r="G4945" i="6"/>
  <c r="H4945" i="6" s="1"/>
  <c r="F4945" i="6"/>
  <c r="J4944" i="6"/>
  <c r="G4944" i="6"/>
  <c r="H4944" i="6" s="1"/>
  <c r="F4944" i="6"/>
  <c r="J4943" i="6"/>
  <c r="G4943" i="6"/>
  <c r="H4943" i="6" s="1"/>
  <c r="F4943" i="6"/>
  <c r="J4942" i="6"/>
  <c r="G4942" i="6"/>
  <c r="H4942" i="6" s="1"/>
  <c r="F4942" i="6"/>
  <c r="J4941" i="6"/>
  <c r="G4941" i="6"/>
  <c r="H4941" i="6" s="1"/>
  <c r="F4941" i="6"/>
  <c r="J4940" i="6"/>
  <c r="G4940" i="6"/>
  <c r="H4940" i="6" s="1"/>
  <c r="F4940" i="6"/>
  <c r="J4939" i="6"/>
  <c r="G4939" i="6"/>
  <c r="H4939" i="6" s="1"/>
  <c r="F4939" i="6"/>
  <c r="J4938" i="6"/>
  <c r="G4938" i="6"/>
  <c r="H4938" i="6" s="1"/>
  <c r="F4938" i="6"/>
  <c r="J4937" i="6"/>
  <c r="G4937" i="6"/>
  <c r="H4937" i="6" s="1"/>
  <c r="F4937" i="6"/>
  <c r="J4936" i="6"/>
  <c r="G4936" i="6"/>
  <c r="H4936" i="6" s="1"/>
  <c r="F4936" i="6"/>
  <c r="J4935" i="6"/>
  <c r="G4935" i="6"/>
  <c r="H4935" i="6" s="1"/>
  <c r="F4935" i="6"/>
  <c r="J4934" i="6"/>
  <c r="G4934" i="6"/>
  <c r="H4934" i="6" s="1"/>
  <c r="F4934" i="6"/>
  <c r="J4933" i="6"/>
  <c r="G4933" i="6"/>
  <c r="H4933" i="6" s="1"/>
  <c r="F4933" i="6"/>
  <c r="J4932" i="6"/>
  <c r="G4932" i="6"/>
  <c r="H4932" i="6" s="1"/>
  <c r="F4932" i="6"/>
  <c r="J4931" i="6"/>
  <c r="G4931" i="6"/>
  <c r="H4931" i="6" s="1"/>
  <c r="F4931" i="6"/>
  <c r="J4930" i="6"/>
  <c r="G4930" i="6"/>
  <c r="H4930" i="6" s="1"/>
  <c r="F4930" i="6"/>
  <c r="J4929" i="6"/>
  <c r="G4929" i="6"/>
  <c r="H4929" i="6" s="1"/>
  <c r="F4929" i="6"/>
  <c r="J4928" i="6"/>
  <c r="G4928" i="6"/>
  <c r="H4928" i="6" s="1"/>
  <c r="F4928" i="6"/>
  <c r="J4927" i="6"/>
  <c r="G4927" i="6"/>
  <c r="H4927" i="6" s="1"/>
  <c r="F4927" i="6"/>
  <c r="J4926" i="6"/>
  <c r="G4926" i="6"/>
  <c r="H4926" i="6" s="1"/>
  <c r="F4926" i="6"/>
  <c r="J4925" i="6"/>
  <c r="G4925" i="6"/>
  <c r="H4925" i="6" s="1"/>
  <c r="F4925" i="6"/>
  <c r="J4924" i="6"/>
  <c r="G4924" i="6"/>
  <c r="H4924" i="6" s="1"/>
  <c r="F4924" i="6"/>
  <c r="J4923" i="6"/>
  <c r="G4923" i="6"/>
  <c r="H4923" i="6" s="1"/>
  <c r="F4923" i="6"/>
  <c r="J4922" i="6"/>
  <c r="G4922" i="6"/>
  <c r="H4922" i="6" s="1"/>
  <c r="F4922" i="6"/>
  <c r="J4921" i="6"/>
  <c r="G4921" i="6"/>
  <c r="H4921" i="6" s="1"/>
  <c r="F4921" i="6"/>
  <c r="J4920" i="6"/>
  <c r="G4920" i="6"/>
  <c r="H4920" i="6" s="1"/>
  <c r="F4920" i="6"/>
  <c r="J4919" i="6"/>
  <c r="G4919" i="6"/>
  <c r="H4919" i="6" s="1"/>
  <c r="F4919" i="6"/>
  <c r="J4918" i="6"/>
  <c r="G4918" i="6"/>
  <c r="H4918" i="6" s="1"/>
  <c r="F4918" i="6"/>
  <c r="J4917" i="6"/>
  <c r="G4917" i="6"/>
  <c r="H4917" i="6" s="1"/>
  <c r="F4917" i="6"/>
  <c r="J4916" i="6"/>
  <c r="G4916" i="6"/>
  <c r="H4916" i="6" s="1"/>
  <c r="F4916" i="6"/>
  <c r="J4915" i="6"/>
  <c r="G4915" i="6"/>
  <c r="H4915" i="6" s="1"/>
  <c r="F4915" i="6"/>
  <c r="J4914" i="6"/>
  <c r="G4914" i="6"/>
  <c r="H4914" i="6" s="1"/>
  <c r="F4914" i="6"/>
  <c r="J4913" i="6"/>
  <c r="G4913" i="6"/>
  <c r="H4913" i="6" s="1"/>
  <c r="F4913" i="6"/>
  <c r="J4912" i="6"/>
  <c r="G4912" i="6"/>
  <c r="H4912" i="6" s="1"/>
  <c r="F4912" i="6"/>
  <c r="J4911" i="6"/>
  <c r="G4911" i="6"/>
  <c r="H4911" i="6" s="1"/>
  <c r="F4911" i="6"/>
  <c r="J4910" i="6"/>
  <c r="G4910" i="6"/>
  <c r="H4910" i="6" s="1"/>
  <c r="F4910" i="6"/>
  <c r="J4909" i="6"/>
  <c r="G4909" i="6"/>
  <c r="H4909" i="6" s="1"/>
  <c r="F4909" i="6"/>
  <c r="J4908" i="6"/>
  <c r="G4908" i="6"/>
  <c r="H4908" i="6" s="1"/>
  <c r="F4908" i="6"/>
  <c r="J4907" i="6"/>
  <c r="G4907" i="6"/>
  <c r="H4907" i="6" s="1"/>
  <c r="F4907" i="6"/>
  <c r="J4906" i="6"/>
  <c r="G4906" i="6"/>
  <c r="H4906" i="6" s="1"/>
  <c r="F4906" i="6"/>
  <c r="J4905" i="6"/>
  <c r="G4905" i="6"/>
  <c r="H4905" i="6" s="1"/>
  <c r="F4905" i="6"/>
  <c r="J4904" i="6"/>
  <c r="G4904" i="6"/>
  <c r="H4904" i="6" s="1"/>
  <c r="F4904" i="6"/>
  <c r="J4903" i="6"/>
  <c r="G4903" i="6"/>
  <c r="H4903" i="6" s="1"/>
  <c r="F4903" i="6"/>
  <c r="J4902" i="6"/>
  <c r="G4902" i="6"/>
  <c r="H4902" i="6" s="1"/>
  <c r="F4902" i="6"/>
  <c r="J4901" i="6"/>
  <c r="G4901" i="6"/>
  <c r="H4901" i="6" s="1"/>
  <c r="F4901" i="6"/>
  <c r="J4900" i="6"/>
  <c r="G4900" i="6"/>
  <c r="H4900" i="6" s="1"/>
  <c r="F4900" i="6"/>
  <c r="J4899" i="6"/>
  <c r="G4899" i="6"/>
  <c r="H4899" i="6" s="1"/>
  <c r="F4899" i="6"/>
  <c r="J4898" i="6"/>
  <c r="G4898" i="6"/>
  <c r="H4898" i="6" s="1"/>
  <c r="F4898" i="6"/>
  <c r="J4897" i="6"/>
  <c r="G4897" i="6"/>
  <c r="H4897" i="6" s="1"/>
  <c r="F4897" i="6"/>
  <c r="J4896" i="6"/>
  <c r="G4896" i="6"/>
  <c r="H4896" i="6" s="1"/>
  <c r="F4896" i="6"/>
  <c r="J4895" i="6"/>
  <c r="G4895" i="6"/>
  <c r="H4895" i="6" s="1"/>
  <c r="F4895" i="6"/>
  <c r="J4894" i="6"/>
  <c r="G4894" i="6"/>
  <c r="H4894" i="6" s="1"/>
  <c r="F4894" i="6"/>
  <c r="J4893" i="6"/>
  <c r="G4893" i="6"/>
  <c r="H4893" i="6" s="1"/>
  <c r="F4893" i="6"/>
  <c r="J4892" i="6"/>
  <c r="G4892" i="6"/>
  <c r="H4892" i="6" s="1"/>
  <c r="F4892" i="6"/>
  <c r="J4891" i="6"/>
  <c r="G4891" i="6"/>
  <c r="H4891" i="6" s="1"/>
  <c r="F4891" i="6"/>
  <c r="J4890" i="6"/>
  <c r="G4890" i="6"/>
  <c r="H4890" i="6" s="1"/>
  <c r="F4890" i="6"/>
  <c r="J4889" i="6"/>
  <c r="G4889" i="6"/>
  <c r="H4889" i="6" s="1"/>
  <c r="F4889" i="6"/>
  <c r="J4888" i="6"/>
  <c r="G4888" i="6"/>
  <c r="H4888" i="6" s="1"/>
  <c r="F4888" i="6"/>
  <c r="J4887" i="6"/>
  <c r="G4887" i="6"/>
  <c r="H4887" i="6" s="1"/>
  <c r="F4887" i="6"/>
  <c r="J4886" i="6"/>
  <c r="G4886" i="6"/>
  <c r="H4886" i="6" s="1"/>
  <c r="F4886" i="6"/>
  <c r="J4885" i="6"/>
  <c r="G4885" i="6"/>
  <c r="H4885" i="6" s="1"/>
  <c r="F4885" i="6"/>
  <c r="J4884" i="6"/>
  <c r="G4884" i="6"/>
  <c r="H4884" i="6" s="1"/>
  <c r="F4884" i="6"/>
  <c r="J4883" i="6"/>
  <c r="G4883" i="6"/>
  <c r="H4883" i="6" s="1"/>
  <c r="F4883" i="6"/>
  <c r="J4882" i="6"/>
  <c r="G4882" i="6"/>
  <c r="H4882" i="6" s="1"/>
  <c r="F4882" i="6"/>
  <c r="J4881" i="6"/>
  <c r="G4881" i="6"/>
  <c r="H4881" i="6" s="1"/>
  <c r="F4881" i="6"/>
  <c r="J4880" i="6"/>
  <c r="G4880" i="6"/>
  <c r="H4880" i="6" s="1"/>
  <c r="F4880" i="6"/>
  <c r="J4879" i="6"/>
  <c r="G4879" i="6"/>
  <c r="H4879" i="6" s="1"/>
  <c r="F4879" i="6"/>
  <c r="J4878" i="6"/>
  <c r="G4878" i="6"/>
  <c r="H4878" i="6" s="1"/>
  <c r="F4878" i="6"/>
  <c r="J4877" i="6"/>
  <c r="G4877" i="6"/>
  <c r="H4877" i="6" s="1"/>
  <c r="F4877" i="6"/>
  <c r="J4876" i="6"/>
  <c r="G4876" i="6"/>
  <c r="H4876" i="6" s="1"/>
  <c r="F4876" i="6"/>
  <c r="J4875" i="6"/>
  <c r="G4875" i="6"/>
  <c r="H4875" i="6" s="1"/>
  <c r="F4875" i="6"/>
  <c r="J4874" i="6"/>
  <c r="G4874" i="6"/>
  <c r="H4874" i="6" s="1"/>
  <c r="F4874" i="6"/>
  <c r="J4873" i="6"/>
  <c r="G4873" i="6"/>
  <c r="H4873" i="6" s="1"/>
  <c r="F4873" i="6"/>
  <c r="J4872" i="6"/>
  <c r="G4872" i="6"/>
  <c r="H4872" i="6" s="1"/>
  <c r="F4872" i="6"/>
  <c r="J4871" i="6"/>
  <c r="G4871" i="6"/>
  <c r="H4871" i="6" s="1"/>
  <c r="F4871" i="6"/>
  <c r="J4870" i="6"/>
  <c r="G4870" i="6"/>
  <c r="H4870" i="6" s="1"/>
  <c r="F4870" i="6"/>
  <c r="J4869" i="6"/>
  <c r="G4869" i="6"/>
  <c r="H4869" i="6" s="1"/>
  <c r="F4869" i="6"/>
  <c r="J4868" i="6"/>
  <c r="G4868" i="6"/>
  <c r="H4868" i="6" s="1"/>
  <c r="F4868" i="6"/>
  <c r="J4867" i="6"/>
  <c r="G4867" i="6"/>
  <c r="H4867" i="6" s="1"/>
  <c r="F4867" i="6"/>
  <c r="J4866" i="6"/>
  <c r="G4866" i="6"/>
  <c r="H4866" i="6" s="1"/>
  <c r="F4866" i="6"/>
  <c r="J4865" i="6"/>
  <c r="G4865" i="6"/>
  <c r="H4865" i="6" s="1"/>
  <c r="F4865" i="6"/>
  <c r="J4864" i="6"/>
  <c r="G4864" i="6"/>
  <c r="H4864" i="6" s="1"/>
  <c r="F4864" i="6"/>
  <c r="J4863" i="6"/>
  <c r="G4863" i="6"/>
  <c r="H4863" i="6" s="1"/>
  <c r="F4863" i="6"/>
  <c r="J4862" i="6"/>
  <c r="G4862" i="6"/>
  <c r="H4862" i="6" s="1"/>
  <c r="F4862" i="6"/>
  <c r="J4861" i="6"/>
  <c r="G4861" i="6"/>
  <c r="H4861" i="6" s="1"/>
  <c r="F4861" i="6"/>
  <c r="J4860" i="6"/>
  <c r="G4860" i="6"/>
  <c r="H4860" i="6" s="1"/>
  <c r="F4860" i="6"/>
  <c r="J4859" i="6"/>
  <c r="G4859" i="6"/>
  <c r="H4859" i="6" s="1"/>
  <c r="F4859" i="6"/>
  <c r="J4858" i="6"/>
  <c r="G4858" i="6"/>
  <c r="H4858" i="6" s="1"/>
  <c r="F4858" i="6"/>
  <c r="J4857" i="6"/>
  <c r="G4857" i="6"/>
  <c r="H4857" i="6" s="1"/>
  <c r="F4857" i="6"/>
  <c r="J4856" i="6"/>
  <c r="G4856" i="6"/>
  <c r="H4856" i="6" s="1"/>
  <c r="F4856" i="6"/>
  <c r="J4855" i="6"/>
  <c r="G4855" i="6"/>
  <c r="H4855" i="6" s="1"/>
  <c r="F4855" i="6"/>
  <c r="J4854" i="6"/>
  <c r="G4854" i="6"/>
  <c r="H4854" i="6" s="1"/>
  <c r="F4854" i="6"/>
  <c r="J4853" i="6"/>
  <c r="G4853" i="6"/>
  <c r="H4853" i="6" s="1"/>
  <c r="F4853" i="6"/>
  <c r="J4852" i="6"/>
  <c r="G4852" i="6"/>
  <c r="H4852" i="6" s="1"/>
  <c r="F4852" i="6"/>
  <c r="J4851" i="6"/>
  <c r="G4851" i="6"/>
  <c r="H4851" i="6" s="1"/>
  <c r="F4851" i="6"/>
  <c r="J4850" i="6"/>
  <c r="G4850" i="6"/>
  <c r="H4850" i="6" s="1"/>
  <c r="F4850" i="6"/>
  <c r="J4849" i="6"/>
  <c r="G4849" i="6"/>
  <c r="H4849" i="6" s="1"/>
  <c r="F4849" i="6"/>
  <c r="J4848" i="6"/>
  <c r="G4848" i="6"/>
  <c r="H4848" i="6" s="1"/>
  <c r="F4848" i="6"/>
  <c r="J4847" i="6"/>
  <c r="G4847" i="6"/>
  <c r="H4847" i="6" s="1"/>
  <c r="F4847" i="6"/>
  <c r="J4846" i="6"/>
  <c r="G4846" i="6"/>
  <c r="H4846" i="6" s="1"/>
  <c r="F4846" i="6"/>
  <c r="J4845" i="6"/>
  <c r="G4845" i="6"/>
  <c r="H4845" i="6" s="1"/>
  <c r="F4845" i="6"/>
  <c r="J4844" i="6"/>
  <c r="G4844" i="6"/>
  <c r="H4844" i="6" s="1"/>
  <c r="F4844" i="6"/>
  <c r="J4843" i="6"/>
  <c r="G4843" i="6"/>
  <c r="H4843" i="6" s="1"/>
  <c r="F4843" i="6"/>
  <c r="J4842" i="6"/>
  <c r="G4842" i="6"/>
  <c r="H4842" i="6" s="1"/>
  <c r="F4842" i="6"/>
  <c r="J4841" i="6"/>
  <c r="G4841" i="6"/>
  <c r="H4841" i="6" s="1"/>
  <c r="F4841" i="6"/>
  <c r="J4840" i="6"/>
  <c r="G4840" i="6"/>
  <c r="H4840" i="6" s="1"/>
  <c r="F4840" i="6"/>
  <c r="J4839" i="6"/>
  <c r="G4839" i="6"/>
  <c r="H4839" i="6" s="1"/>
  <c r="F4839" i="6"/>
  <c r="J4838" i="6"/>
  <c r="G4838" i="6"/>
  <c r="H4838" i="6" s="1"/>
  <c r="F4838" i="6"/>
  <c r="J4837" i="6"/>
  <c r="G4837" i="6"/>
  <c r="H4837" i="6" s="1"/>
  <c r="F4837" i="6"/>
  <c r="J4836" i="6"/>
  <c r="G4836" i="6"/>
  <c r="H4836" i="6" s="1"/>
  <c r="F4836" i="6"/>
  <c r="J4835" i="6"/>
  <c r="G4835" i="6"/>
  <c r="H4835" i="6" s="1"/>
  <c r="F4835" i="6"/>
  <c r="J4834" i="6"/>
  <c r="G4834" i="6"/>
  <c r="H4834" i="6" s="1"/>
  <c r="F4834" i="6"/>
  <c r="J4833" i="6"/>
  <c r="G4833" i="6"/>
  <c r="H4833" i="6" s="1"/>
  <c r="F4833" i="6"/>
  <c r="J4832" i="6"/>
  <c r="G4832" i="6"/>
  <c r="H4832" i="6" s="1"/>
  <c r="F4832" i="6"/>
  <c r="J4831" i="6"/>
  <c r="G4831" i="6"/>
  <c r="H4831" i="6" s="1"/>
  <c r="F4831" i="6"/>
  <c r="J4830" i="6"/>
  <c r="G4830" i="6"/>
  <c r="H4830" i="6" s="1"/>
  <c r="F4830" i="6"/>
  <c r="J4829" i="6"/>
  <c r="G4829" i="6"/>
  <c r="H4829" i="6" s="1"/>
  <c r="F4829" i="6"/>
  <c r="J4828" i="6"/>
  <c r="G4828" i="6"/>
  <c r="H4828" i="6" s="1"/>
  <c r="F4828" i="6"/>
  <c r="J4827" i="6"/>
  <c r="G4827" i="6"/>
  <c r="H4827" i="6" s="1"/>
  <c r="F4827" i="6"/>
  <c r="J4826" i="6"/>
  <c r="G4826" i="6"/>
  <c r="H4826" i="6" s="1"/>
  <c r="F4826" i="6"/>
  <c r="J4825" i="6"/>
  <c r="G4825" i="6"/>
  <c r="H4825" i="6" s="1"/>
  <c r="F4825" i="6"/>
  <c r="J4824" i="6"/>
  <c r="G4824" i="6"/>
  <c r="H4824" i="6" s="1"/>
  <c r="F4824" i="6"/>
  <c r="J4823" i="6"/>
  <c r="G4823" i="6"/>
  <c r="H4823" i="6" s="1"/>
  <c r="F4823" i="6"/>
  <c r="J4822" i="6"/>
  <c r="G4822" i="6"/>
  <c r="H4822" i="6" s="1"/>
  <c r="F4822" i="6"/>
  <c r="J4821" i="6"/>
  <c r="G4821" i="6"/>
  <c r="H4821" i="6" s="1"/>
  <c r="F4821" i="6"/>
  <c r="J4820" i="6"/>
  <c r="G4820" i="6"/>
  <c r="H4820" i="6" s="1"/>
  <c r="F4820" i="6"/>
  <c r="J4819" i="6"/>
  <c r="G4819" i="6"/>
  <c r="H4819" i="6" s="1"/>
  <c r="F4819" i="6"/>
  <c r="J4818" i="6"/>
  <c r="G4818" i="6"/>
  <c r="H4818" i="6" s="1"/>
  <c r="F4818" i="6"/>
  <c r="J4817" i="6"/>
  <c r="G4817" i="6"/>
  <c r="H4817" i="6" s="1"/>
  <c r="F4817" i="6"/>
  <c r="J4816" i="6"/>
  <c r="G4816" i="6"/>
  <c r="H4816" i="6" s="1"/>
  <c r="F4816" i="6"/>
  <c r="J4815" i="6"/>
  <c r="G4815" i="6"/>
  <c r="H4815" i="6" s="1"/>
  <c r="F4815" i="6"/>
  <c r="J4814" i="6"/>
  <c r="G4814" i="6"/>
  <c r="H4814" i="6" s="1"/>
  <c r="F4814" i="6"/>
  <c r="J4813" i="6"/>
  <c r="G4813" i="6"/>
  <c r="H4813" i="6" s="1"/>
  <c r="F4813" i="6"/>
  <c r="J4812" i="6"/>
  <c r="G4812" i="6"/>
  <c r="H4812" i="6" s="1"/>
  <c r="F4812" i="6"/>
  <c r="J4811" i="6"/>
  <c r="G4811" i="6"/>
  <c r="H4811" i="6" s="1"/>
  <c r="F4811" i="6"/>
  <c r="J4810" i="6"/>
  <c r="G4810" i="6"/>
  <c r="H4810" i="6" s="1"/>
  <c r="F4810" i="6"/>
  <c r="J4809" i="6"/>
  <c r="G4809" i="6"/>
  <c r="H4809" i="6" s="1"/>
  <c r="F4809" i="6"/>
  <c r="J4808" i="6"/>
  <c r="G4808" i="6"/>
  <c r="H4808" i="6" s="1"/>
  <c r="F4808" i="6"/>
  <c r="J4807" i="6"/>
  <c r="G4807" i="6"/>
  <c r="H4807" i="6" s="1"/>
  <c r="F4807" i="6"/>
  <c r="J4806" i="6"/>
  <c r="G4806" i="6"/>
  <c r="H4806" i="6" s="1"/>
  <c r="F4806" i="6"/>
  <c r="J4805" i="6"/>
  <c r="G4805" i="6"/>
  <c r="H4805" i="6" s="1"/>
  <c r="F4805" i="6"/>
  <c r="J4804" i="6"/>
  <c r="G4804" i="6"/>
  <c r="H4804" i="6" s="1"/>
  <c r="F4804" i="6"/>
  <c r="J4803" i="6"/>
  <c r="G4803" i="6"/>
  <c r="H4803" i="6" s="1"/>
  <c r="F4803" i="6"/>
  <c r="J4802" i="6"/>
  <c r="G4802" i="6"/>
  <c r="H4802" i="6" s="1"/>
  <c r="F4802" i="6"/>
  <c r="J4801" i="6"/>
  <c r="G4801" i="6"/>
  <c r="H4801" i="6" s="1"/>
  <c r="F4801" i="6"/>
  <c r="J4800" i="6"/>
  <c r="G4800" i="6"/>
  <c r="H4800" i="6" s="1"/>
  <c r="F4800" i="6"/>
  <c r="J4799" i="6"/>
  <c r="G4799" i="6"/>
  <c r="H4799" i="6" s="1"/>
  <c r="F4799" i="6"/>
  <c r="J4798" i="6"/>
  <c r="G4798" i="6"/>
  <c r="H4798" i="6" s="1"/>
  <c r="F4798" i="6"/>
  <c r="J4797" i="6"/>
  <c r="G4797" i="6"/>
  <c r="H4797" i="6" s="1"/>
  <c r="F4797" i="6"/>
  <c r="J4796" i="6"/>
  <c r="G4796" i="6"/>
  <c r="H4796" i="6" s="1"/>
  <c r="F4796" i="6"/>
  <c r="J4795" i="6"/>
  <c r="G4795" i="6"/>
  <c r="H4795" i="6" s="1"/>
  <c r="F4795" i="6"/>
  <c r="J4794" i="6"/>
  <c r="G4794" i="6"/>
  <c r="H4794" i="6" s="1"/>
  <c r="F4794" i="6"/>
  <c r="J4793" i="6"/>
  <c r="G4793" i="6"/>
  <c r="H4793" i="6" s="1"/>
  <c r="F4793" i="6"/>
  <c r="J4792" i="6"/>
  <c r="G4792" i="6"/>
  <c r="H4792" i="6" s="1"/>
  <c r="F4792" i="6"/>
  <c r="J4791" i="6"/>
  <c r="G4791" i="6"/>
  <c r="H4791" i="6" s="1"/>
  <c r="F4791" i="6"/>
  <c r="J4790" i="6"/>
  <c r="G4790" i="6"/>
  <c r="H4790" i="6" s="1"/>
  <c r="F4790" i="6"/>
  <c r="J4789" i="6"/>
  <c r="G4789" i="6"/>
  <c r="H4789" i="6" s="1"/>
  <c r="F4789" i="6"/>
  <c r="J4788" i="6"/>
  <c r="G4788" i="6"/>
  <c r="H4788" i="6" s="1"/>
  <c r="F4788" i="6"/>
  <c r="J4787" i="6"/>
  <c r="G4787" i="6"/>
  <c r="H4787" i="6" s="1"/>
  <c r="F4787" i="6"/>
  <c r="J4786" i="6"/>
  <c r="G4786" i="6"/>
  <c r="H4786" i="6" s="1"/>
  <c r="F4786" i="6"/>
  <c r="J4785" i="6"/>
  <c r="G4785" i="6"/>
  <c r="H4785" i="6" s="1"/>
  <c r="F4785" i="6"/>
  <c r="J4784" i="6"/>
  <c r="G4784" i="6"/>
  <c r="H4784" i="6" s="1"/>
  <c r="F4784" i="6"/>
  <c r="J4783" i="6"/>
  <c r="G4783" i="6"/>
  <c r="H4783" i="6" s="1"/>
  <c r="F4783" i="6"/>
  <c r="J4782" i="6"/>
  <c r="G4782" i="6"/>
  <c r="H4782" i="6" s="1"/>
  <c r="F4782" i="6"/>
  <c r="J4781" i="6"/>
  <c r="G4781" i="6"/>
  <c r="H4781" i="6" s="1"/>
  <c r="F4781" i="6"/>
  <c r="J4780" i="6"/>
  <c r="G4780" i="6"/>
  <c r="H4780" i="6" s="1"/>
  <c r="F4780" i="6"/>
  <c r="J4779" i="6"/>
  <c r="G4779" i="6"/>
  <c r="H4779" i="6" s="1"/>
  <c r="F4779" i="6"/>
  <c r="J4778" i="6"/>
  <c r="G4778" i="6"/>
  <c r="H4778" i="6" s="1"/>
  <c r="F4778" i="6"/>
  <c r="J4777" i="6"/>
  <c r="G4777" i="6"/>
  <c r="H4777" i="6" s="1"/>
  <c r="F4777" i="6"/>
  <c r="J4776" i="6"/>
  <c r="G4776" i="6"/>
  <c r="H4776" i="6" s="1"/>
  <c r="F4776" i="6"/>
  <c r="J4775" i="6"/>
  <c r="G4775" i="6"/>
  <c r="H4775" i="6" s="1"/>
  <c r="F4775" i="6"/>
  <c r="J4774" i="6"/>
  <c r="G4774" i="6"/>
  <c r="H4774" i="6" s="1"/>
  <c r="F4774" i="6"/>
  <c r="J4773" i="6"/>
  <c r="G4773" i="6"/>
  <c r="H4773" i="6" s="1"/>
  <c r="F4773" i="6"/>
  <c r="J4772" i="6"/>
  <c r="G4772" i="6"/>
  <c r="H4772" i="6" s="1"/>
  <c r="F4772" i="6"/>
  <c r="J4771" i="6"/>
  <c r="G4771" i="6"/>
  <c r="H4771" i="6" s="1"/>
  <c r="F4771" i="6"/>
  <c r="J4770" i="6"/>
  <c r="G4770" i="6"/>
  <c r="H4770" i="6" s="1"/>
  <c r="F4770" i="6"/>
  <c r="J4769" i="6"/>
  <c r="G4769" i="6"/>
  <c r="H4769" i="6" s="1"/>
  <c r="F4769" i="6"/>
  <c r="J4768" i="6"/>
  <c r="G4768" i="6"/>
  <c r="H4768" i="6" s="1"/>
  <c r="F4768" i="6"/>
  <c r="J4767" i="6"/>
  <c r="G4767" i="6"/>
  <c r="H4767" i="6" s="1"/>
  <c r="F4767" i="6"/>
  <c r="J4766" i="6"/>
  <c r="G4766" i="6"/>
  <c r="H4766" i="6" s="1"/>
  <c r="F4766" i="6"/>
  <c r="J4765" i="6"/>
  <c r="G4765" i="6"/>
  <c r="H4765" i="6" s="1"/>
  <c r="F4765" i="6"/>
  <c r="J4764" i="6"/>
  <c r="G4764" i="6"/>
  <c r="H4764" i="6" s="1"/>
  <c r="F4764" i="6"/>
  <c r="J4763" i="6"/>
  <c r="G4763" i="6"/>
  <c r="H4763" i="6" s="1"/>
  <c r="F4763" i="6"/>
  <c r="J4762" i="6"/>
  <c r="G4762" i="6"/>
  <c r="H4762" i="6" s="1"/>
  <c r="F4762" i="6"/>
  <c r="J4761" i="6"/>
  <c r="G4761" i="6"/>
  <c r="H4761" i="6" s="1"/>
  <c r="F4761" i="6"/>
  <c r="J4760" i="6"/>
  <c r="G4760" i="6"/>
  <c r="H4760" i="6" s="1"/>
  <c r="F4760" i="6"/>
  <c r="J4759" i="6"/>
  <c r="G4759" i="6"/>
  <c r="H4759" i="6" s="1"/>
  <c r="F4759" i="6"/>
  <c r="J4758" i="6"/>
  <c r="G4758" i="6"/>
  <c r="H4758" i="6" s="1"/>
  <c r="F4758" i="6"/>
  <c r="J4757" i="6"/>
  <c r="G4757" i="6"/>
  <c r="H4757" i="6" s="1"/>
  <c r="F4757" i="6"/>
  <c r="J4756" i="6"/>
  <c r="G4756" i="6"/>
  <c r="H4756" i="6" s="1"/>
  <c r="F4756" i="6"/>
  <c r="J4755" i="6"/>
  <c r="G4755" i="6"/>
  <c r="H4755" i="6" s="1"/>
  <c r="F4755" i="6"/>
  <c r="J4754" i="6"/>
  <c r="G4754" i="6"/>
  <c r="H4754" i="6" s="1"/>
  <c r="F4754" i="6"/>
  <c r="J4753" i="6"/>
  <c r="G4753" i="6"/>
  <c r="H4753" i="6" s="1"/>
  <c r="F4753" i="6"/>
  <c r="J4752" i="6"/>
  <c r="G4752" i="6"/>
  <c r="H4752" i="6" s="1"/>
  <c r="F4752" i="6"/>
  <c r="J4751" i="6"/>
  <c r="G4751" i="6"/>
  <c r="H4751" i="6" s="1"/>
  <c r="F4751" i="6"/>
  <c r="J4750" i="6"/>
  <c r="G4750" i="6"/>
  <c r="H4750" i="6" s="1"/>
  <c r="F4750" i="6"/>
  <c r="J4749" i="6"/>
  <c r="G4749" i="6"/>
  <c r="H4749" i="6" s="1"/>
  <c r="F4749" i="6"/>
  <c r="J4748" i="6"/>
  <c r="G4748" i="6"/>
  <c r="H4748" i="6" s="1"/>
  <c r="F4748" i="6"/>
  <c r="J4747" i="6"/>
  <c r="G4747" i="6"/>
  <c r="H4747" i="6" s="1"/>
  <c r="F4747" i="6"/>
  <c r="J4746" i="6"/>
  <c r="G4746" i="6"/>
  <c r="H4746" i="6" s="1"/>
  <c r="F4746" i="6"/>
  <c r="J4745" i="6"/>
  <c r="G4745" i="6"/>
  <c r="H4745" i="6" s="1"/>
  <c r="F4745" i="6"/>
  <c r="J4744" i="6"/>
  <c r="G4744" i="6"/>
  <c r="H4744" i="6" s="1"/>
  <c r="F4744" i="6"/>
  <c r="J4743" i="6"/>
  <c r="G4743" i="6"/>
  <c r="H4743" i="6" s="1"/>
  <c r="F4743" i="6"/>
  <c r="J4742" i="6"/>
  <c r="G4742" i="6"/>
  <c r="H4742" i="6" s="1"/>
  <c r="F4742" i="6"/>
  <c r="J4741" i="6"/>
  <c r="G4741" i="6"/>
  <c r="H4741" i="6" s="1"/>
  <c r="F4741" i="6"/>
  <c r="J4740" i="6"/>
  <c r="G4740" i="6"/>
  <c r="H4740" i="6" s="1"/>
  <c r="F4740" i="6"/>
  <c r="J4739" i="6"/>
  <c r="G4739" i="6"/>
  <c r="H4739" i="6" s="1"/>
  <c r="F4739" i="6"/>
  <c r="J4738" i="6"/>
  <c r="G4738" i="6"/>
  <c r="H4738" i="6" s="1"/>
  <c r="F4738" i="6"/>
  <c r="J4737" i="6"/>
  <c r="G4737" i="6"/>
  <c r="H4737" i="6" s="1"/>
  <c r="F4737" i="6"/>
  <c r="J4736" i="6"/>
  <c r="G4736" i="6"/>
  <c r="H4736" i="6" s="1"/>
  <c r="F4736" i="6"/>
  <c r="J4735" i="6"/>
  <c r="G4735" i="6"/>
  <c r="H4735" i="6" s="1"/>
  <c r="F4735" i="6"/>
  <c r="J4734" i="6"/>
  <c r="G4734" i="6"/>
  <c r="H4734" i="6" s="1"/>
  <c r="F4734" i="6"/>
  <c r="J4733" i="6"/>
  <c r="G4733" i="6"/>
  <c r="H4733" i="6" s="1"/>
  <c r="F4733" i="6"/>
  <c r="J4732" i="6"/>
  <c r="G4732" i="6"/>
  <c r="H4732" i="6" s="1"/>
  <c r="F4732" i="6"/>
  <c r="J4731" i="6"/>
  <c r="G4731" i="6"/>
  <c r="H4731" i="6" s="1"/>
  <c r="F4731" i="6"/>
  <c r="J4730" i="6"/>
  <c r="G4730" i="6"/>
  <c r="H4730" i="6" s="1"/>
  <c r="F4730" i="6"/>
  <c r="J4729" i="6"/>
  <c r="G4729" i="6"/>
  <c r="H4729" i="6" s="1"/>
  <c r="F4729" i="6"/>
  <c r="J4728" i="6"/>
  <c r="G4728" i="6"/>
  <c r="H4728" i="6" s="1"/>
  <c r="F4728" i="6"/>
  <c r="J4727" i="6"/>
  <c r="G4727" i="6"/>
  <c r="H4727" i="6" s="1"/>
  <c r="F4727" i="6"/>
  <c r="J4726" i="6"/>
  <c r="G4726" i="6"/>
  <c r="H4726" i="6" s="1"/>
  <c r="F4726" i="6"/>
  <c r="J4725" i="6"/>
  <c r="G4725" i="6"/>
  <c r="H4725" i="6" s="1"/>
  <c r="F4725" i="6"/>
  <c r="J4724" i="6"/>
  <c r="G4724" i="6"/>
  <c r="H4724" i="6" s="1"/>
  <c r="F4724" i="6"/>
  <c r="J4723" i="6"/>
  <c r="G4723" i="6"/>
  <c r="H4723" i="6" s="1"/>
  <c r="F4723" i="6"/>
  <c r="J4722" i="6"/>
  <c r="G4722" i="6"/>
  <c r="H4722" i="6" s="1"/>
  <c r="F4722" i="6"/>
  <c r="J4721" i="6"/>
  <c r="G4721" i="6"/>
  <c r="H4721" i="6" s="1"/>
  <c r="F4721" i="6"/>
  <c r="J4720" i="6"/>
  <c r="G4720" i="6"/>
  <c r="H4720" i="6" s="1"/>
  <c r="F4720" i="6"/>
  <c r="J4719" i="6"/>
  <c r="G4719" i="6"/>
  <c r="H4719" i="6" s="1"/>
  <c r="F4719" i="6"/>
  <c r="J4718" i="6"/>
  <c r="G4718" i="6"/>
  <c r="H4718" i="6" s="1"/>
  <c r="F4718" i="6"/>
  <c r="J4717" i="6"/>
  <c r="G4717" i="6"/>
  <c r="H4717" i="6" s="1"/>
  <c r="F4717" i="6"/>
  <c r="J4716" i="6"/>
  <c r="G4716" i="6"/>
  <c r="H4716" i="6" s="1"/>
  <c r="F4716" i="6"/>
  <c r="J4715" i="6"/>
  <c r="G4715" i="6"/>
  <c r="H4715" i="6" s="1"/>
  <c r="F4715" i="6"/>
  <c r="J4714" i="6"/>
  <c r="G4714" i="6"/>
  <c r="H4714" i="6" s="1"/>
  <c r="F4714" i="6"/>
  <c r="J4713" i="6"/>
  <c r="G4713" i="6"/>
  <c r="H4713" i="6" s="1"/>
  <c r="F4713" i="6"/>
  <c r="J4712" i="6"/>
  <c r="G4712" i="6"/>
  <c r="H4712" i="6" s="1"/>
  <c r="F4712" i="6"/>
  <c r="J4711" i="6"/>
  <c r="G4711" i="6"/>
  <c r="H4711" i="6" s="1"/>
  <c r="F4711" i="6"/>
  <c r="J4710" i="6"/>
  <c r="G4710" i="6"/>
  <c r="H4710" i="6" s="1"/>
  <c r="F4710" i="6"/>
  <c r="J4709" i="6"/>
  <c r="G4709" i="6"/>
  <c r="H4709" i="6" s="1"/>
  <c r="F4709" i="6"/>
  <c r="J4708" i="6"/>
  <c r="G4708" i="6"/>
  <c r="H4708" i="6" s="1"/>
  <c r="F4708" i="6"/>
  <c r="J4707" i="6"/>
  <c r="G4707" i="6"/>
  <c r="H4707" i="6" s="1"/>
  <c r="F4707" i="6"/>
  <c r="J4706" i="6"/>
  <c r="G4706" i="6"/>
  <c r="H4706" i="6" s="1"/>
  <c r="F4706" i="6"/>
  <c r="J4705" i="6"/>
  <c r="G4705" i="6"/>
  <c r="H4705" i="6" s="1"/>
  <c r="F4705" i="6"/>
  <c r="J4704" i="6"/>
  <c r="G4704" i="6"/>
  <c r="H4704" i="6" s="1"/>
  <c r="F4704" i="6"/>
  <c r="J4703" i="6"/>
  <c r="G4703" i="6"/>
  <c r="H4703" i="6" s="1"/>
  <c r="F4703" i="6"/>
  <c r="J4702" i="6"/>
  <c r="G4702" i="6"/>
  <c r="H4702" i="6" s="1"/>
  <c r="F4702" i="6"/>
  <c r="J4701" i="6"/>
  <c r="G4701" i="6"/>
  <c r="H4701" i="6" s="1"/>
  <c r="F4701" i="6"/>
  <c r="J4700" i="6"/>
  <c r="G4700" i="6"/>
  <c r="H4700" i="6" s="1"/>
  <c r="F4700" i="6"/>
  <c r="J4699" i="6"/>
  <c r="G4699" i="6"/>
  <c r="H4699" i="6" s="1"/>
  <c r="F4699" i="6"/>
  <c r="J4698" i="6"/>
  <c r="G4698" i="6"/>
  <c r="H4698" i="6" s="1"/>
  <c r="F4698" i="6"/>
  <c r="J4697" i="6"/>
  <c r="G4697" i="6"/>
  <c r="H4697" i="6" s="1"/>
  <c r="F4697" i="6"/>
  <c r="J4696" i="6"/>
  <c r="G4696" i="6"/>
  <c r="H4696" i="6" s="1"/>
  <c r="F4696" i="6"/>
  <c r="J4695" i="6"/>
  <c r="G4695" i="6"/>
  <c r="H4695" i="6" s="1"/>
  <c r="F4695" i="6"/>
  <c r="J4694" i="6"/>
  <c r="G4694" i="6"/>
  <c r="H4694" i="6" s="1"/>
  <c r="F4694" i="6"/>
  <c r="J4693" i="6"/>
  <c r="G4693" i="6"/>
  <c r="H4693" i="6" s="1"/>
  <c r="F4693" i="6"/>
  <c r="J4692" i="6"/>
  <c r="G4692" i="6"/>
  <c r="H4692" i="6" s="1"/>
  <c r="F4692" i="6"/>
  <c r="J4691" i="6"/>
  <c r="G4691" i="6"/>
  <c r="H4691" i="6" s="1"/>
  <c r="F4691" i="6"/>
  <c r="J4690" i="6"/>
  <c r="G4690" i="6"/>
  <c r="H4690" i="6" s="1"/>
  <c r="F4690" i="6"/>
  <c r="J4689" i="6"/>
  <c r="G4689" i="6"/>
  <c r="H4689" i="6" s="1"/>
  <c r="F4689" i="6"/>
  <c r="J4688" i="6"/>
  <c r="G4688" i="6"/>
  <c r="H4688" i="6" s="1"/>
  <c r="F4688" i="6"/>
  <c r="J4687" i="6"/>
  <c r="G4687" i="6"/>
  <c r="H4687" i="6" s="1"/>
  <c r="F4687" i="6"/>
  <c r="J4686" i="6"/>
  <c r="G4686" i="6"/>
  <c r="H4686" i="6" s="1"/>
  <c r="F4686" i="6"/>
  <c r="J4685" i="6"/>
  <c r="G4685" i="6"/>
  <c r="H4685" i="6" s="1"/>
  <c r="F4685" i="6"/>
  <c r="J4684" i="6"/>
  <c r="G4684" i="6"/>
  <c r="H4684" i="6" s="1"/>
  <c r="F4684" i="6"/>
  <c r="J4683" i="6"/>
  <c r="G4683" i="6"/>
  <c r="H4683" i="6" s="1"/>
  <c r="F4683" i="6"/>
  <c r="J4682" i="6"/>
  <c r="G4682" i="6"/>
  <c r="H4682" i="6" s="1"/>
  <c r="F4682" i="6"/>
  <c r="J4681" i="6"/>
  <c r="G4681" i="6"/>
  <c r="H4681" i="6" s="1"/>
  <c r="F4681" i="6"/>
  <c r="J4680" i="6"/>
  <c r="G4680" i="6"/>
  <c r="H4680" i="6" s="1"/>
  <c r="F4680" i="6"/>
  <c r="J4679" i="6"/>
  <c r="G4679" i="6"/>
  <c r="H4679" i="6" s="1"/>
  <c r="F4679" i="6"/>
  <c r="J4678" i="6"/>
  <c r="G4678" i="6"/>
  <c r="H4678" i="6" s="1"/>
  <c r="F4678" i="6"/>
  <c r="J4677" i="6"/>
  <c r="G4677" i="6"/>
  <c r="H4677" i="6" s="1"/>
  <c r="F4677" i="6"/>
  <c r="J4676" i="6"/>
  <c r="G4676" i="6"/>
  <c r="H4676" i="6" s="1"/>
  <c r="F4676" i="6"/>
  <c r="J4675" i="6"/>
  <c r="G4675" i="6"/>
  <c r="H4675" i="6" s="1"/>
  <c r="F4675" i="6"/>
  <c r="J4674" i="6"/>
  <c r="G4674" i="6"/>
  <c r="H4674" i="6" s="1"/>
  <c r="F4674" i="6"/>
  <c r="J4673" i="6"/>
  <c r="G4673" i="6"/>
  <c r="H4673" i="6" s="1"/>
  <c r="F4673" i="6"/>
  <c r="J4672" i="6"/>
  <c r="G4672" i="6"/>
  <c r="H4672" i="6" s="1"/>
  <c r="F4672" i="6"/>
  <c r="J4671" i="6"/>
  <c r="G4671" i="6"/>
  <c r="H4671" i="6" s="1"/>
  <c r="F4671" i="6"/>
  <c r="J4670" i="6"/>
  <c r="G4670" i="6"/>
  <c r="H4670" i="6" s="1"/>
  <c r="F4670" i="6"/>
  <c r="J4669" i="6"/>
  <c r="G4669" i="6"/>
  <c r="H4669" i="6" s="1"/>
  <c r="F4669" i="6"/>
  <c r="J4668" i="6"/>
  <c r="G4668" i="6"/>
  <c r="H4668" i="6" s="1"/>
  <c r="F4668" i="6"/>
  <c r="J4667" i="6"/>
  <c r="G4667" i="6"/>
  <c r="H4667" i="6" s="1"/>
  <c r="F4667" i="6"/>
  <c r="J4666" i="6"/>
  <c r="G4666" i="6"/>
  <c r="H4666" i="6" s="1"/>
  <c r="F4666" i="6"/>
  <c r="J4665" i="6"/>
  <c r="G4665" i="6"/>
  <c r="H4665" i="6" s="1"/>
  <c r="F4665" i="6"/>
  <c r="J4664" i="6"/>
  <c r="G4664" i="6"/>
  <c r="H4664" i="6" s="1"/>
  <c r="F4664" i="6"/>
  <c r="J4663" i="6"/>
  <c r="G4663" i="6"/>
  <c r="H4663" i="6" s="1"/>
  <c r="F4663" i="6"/>
  <c r="J4662" i="6"/>
  <c r="G4662" i="6"/>
  <c r="H4662" i="6" s="1"/>
  <c r="F4662" i="6"/>
  <c r="J4661" i="6"/>
  <c r="G4661" i="6"/>
  <c r="H4661" i="6" s="1"/>
  <c r="F4661" i="6"/>
  <c r="J4660" i="6"/>
  <c r="G4660" i="6"/>
  <c r="H4660" i="6" s="1"/>
  <c r="F4660" i="6"/>
  <c r="J4659" i="6"/>
  <c r="G4659" i="6"/>
  <c r="H4659" i="6" s="1"/>
  <c r="F4659" i="6"/>
  <c r="J4658" i="6"/>
  <c r="G4658" i="6"/>
  <c r="H4658" i="6" s="1"/>
  <c r="F4658" i="6"/>
  <c r="J4657" i="6"/>
  <c r="G4657" i="6"/>
  <c r="H4657" i="6" s="1"/>
  <c r="F4657" i="6"/>
  <c r="J4656" i="6"/>
  <c r="G4656" i="6"/>
  <c r="H4656" i="6" s="1"/>
  <c r="F4656" i="6"/>
  <c r="J4655" i="6"/>
  <c r="G4655" i="6"/>
  <c r="H4655" i="6" s="1"/>
  <c r="F4655" i="6"/>
  <c r="J4654" i="6"/>
  <c r="G4654" i="6"/>
  <c r="H4654" i="6" s="1"/>
  <c r="F4654" i="6"/>
  <c r="J4653" i="6"/>
  <c r="G4653" i="6"/>
  <c r="H4653" i="6" s="1"/>
  <c r="F4653" i="6"/>
  <c r="J4652" i="6"/>
  <c r="G4652" i="6"/>
  <c r="H4652" i="6" s="1"/>
  <c r="F4652" i="6"/>
  <c r="J4651" i="6"/>
  <c r="G4651" i="6"/>
  <c r="H4651" i="6" s="1"/>
  <c r="F4651" i="6"/>
  <c r="J4650" i="6"/>
  <c r="G4650" i="6"/>
  <c r="H4650" i="6" s="1"/>
  <c r="F4650" i="6"/>
  <c r="J4649" i="6"/>
  <c r="G4649" i="6"/>
  <c r="H4649" i="6" s="1"/>
  <c r="F4649" i="6"/>
  <c r="J4648" i="6"/>
  <c r="G4648" i="6"/>
  <c r="H4648" i="6" s="1"/>
  <c r="F4648" i="6"/>
  <c r="J4647" i="6"/>
  <c r="G4647" i="6"/>
  <c r="H4647" i="6" s="1"/>
  <c r="F4647" i="6"/>
  <c r="J4646" i="6"/>
  <c r="G4646" i="6"/>
  <c r="H4646" i="6" s="1"/>
  <c r="F4646" i="6"/>
  <c r="J4645" i="6"/>
  <c r="G4645" i="6"/>
  <c r="H4645" i="6" s="1"/>
  <c r="F4645" i="6"/>
  <c r="J4644" i="6"/>
  <c r="G4644" i="6"/>
  <c r="H4644" i="6" s="1"/>
  <c r="F4644" i="6"/>
  <c r="J4643" i="6"/>
  <c r="G4643" i="6"/>
  <c r="H4643" i="6" s="1"/>
  <c r="F4643" i="6"/>
  <c r="J4642" i="6"/>
  <c r="G4642" i="6"/>
  <c r="H4642" i="6" s="1"/>
  <c r="F4642" i="6"/>
  <c r="J4641" i="6"/>
  <c r="G4641" i="6"/>
  <c r="H4641" i="6" s="1"/>
  <c r="F4641" i="6"/>
  <c r="J4640" i="6"/>
  <c r="G4640" i="6"/>
  <c r="H4640" i="6" s="1"/>
  <c r="F4640" i="6"/>
  <c r="J4639" i="6"/>
  <c r="G4639" i="6"/>
  <c r="H4639" i="6" s="1"/>
  <c r="F4639" i="6"/>
  <c r="J4638" i="6"/>
  <c r="G4638" i="6"/>
  <c r="H4638" i="6" s="1"/>
  <c r="F4638" i="6"/>
  <c r="J4637" i="6"/>
  <c r="G4637" i="6"/>
  <c r="H4637" i="6" s="1"/>
  <c r="F4637" i="6"/>
  <c r="J4636" i="6"/>
  <c r="G4636" i="6"/>
  <c r="H4636" i="6" s="1"/>
  <c r="F4636" i="6"/>
  <c r="J4635" i="6"/>
  <c r="G4635" i="6"/>
  <c r="H4635" i="6" s="1"/>
  <c r="F4635" i="6"/>
  <c r="J4634" i="6"/>
  <c r="G4634" i="6"/>
  <c r="H4634" i="6" s="1"/>
  <c r="F4634" i="6"/>
  <c r="J4633" i="6"/>
  <c r="G4633" i="6"/>
  <c r="H4633" i="6" s="1"/>
  <c r="F4633" i="6"/>
  <c r="J4632" i="6"/>
  <c r="G4632" i="6"/>
  <c r="H4632" i="6" s="1"/>
  <c r="F4632" i="6"/>
  <c r="J4631" i="6"/>
  <c r="G4631" i="6"/>
  <c r="H4631" i="6" s="1"/>
  <c r="F4631" i="6"/>
  <c r="J4630" i="6"/>
  <c r="G4630" i="6"/>
  <c r="H4630" i="6" s="1"/>
  <c r="F4630" i="6"/>
  <c r="J4629" i="6"/>
  <c r="G4629" i="6"/>
  <c r="H4629" i="6" s="1"/>
  <c r="F4629" i="6"/>
  <c r="J4628" i="6"/>
  <c r="G4628" i="6"/>
  <c r="H4628" i="6" s="1"/>
  <c r="F4628" i="6"/>
  <c r="J4627" i="6"/>
  <c r="G4627" i="6"/>
  <c r="H4627" i="6" s="1"/>
  <c r="F4627" i="6"/>
  <c r="J4626" i="6"/>
  <c r="G4626" i="6"/>
  <c r="H4626" i="6" s="1"/>
  <c r="F4626" i="6"/>
  <c r="J4625" i="6"/>
  <c r="G4625" i="6"/>
  <c r="H4625" i="6" s="1"/>
  <c r="F4625" i="6"/>
  <c r="J4624" i="6"/>
  <c r="G4624" i="6"/>
  <c r="H4624" i="6" s="1"/>
  <c r="F4624" i="6"/>
  <c r="J4623" i="6"/>
  <c r="G4623" i="6"/>
  <c r="H4623" i="6" s="1"/>
  <c r="F4623" i="6"/>
  <c r="J4622" i="6"/>
  <c r="G4622" i="6"/>
  <c r="H4622" i="6" s="1"/>
  <c r="F4622" i="6"/>
  <c r="J4621" i="6"/>
  <c r="G4621" i="6"/>
  <c r="H4621" i="6" s="1"/>
  <c r="F4621" i="6"/>
  <c r="J4620" i="6"/>
  <c r="G4620" i="6"/>
  <c r="H4620" i="6" s="1"/>
  <c r="F4620" i="6"/>
  <c r="J4619" i="6"/>
  <c r="G4619" i="6"/>
  <c r="H4619" i="6" s="1"/>
  <c r="F4619" i="6"/>
  <c r="J4618" i="6"/>
  <c r="G4618" i="6"/>
  <c r="H4618" i="6" s="1"/>
  <c r="F4618" i="6"/>
  <c r="J4617" i="6"/>
  <c r="G4617" i="6"/>
  <c r="H4617" i="6" s="1"/>
  <c r="F4617" i="6"/>
  <c r="J4616" i="6"/>
  <c r="G4616" i="6"/>
  <c r="H4616" i="6" s="1"/>
  <c r="F4616" i="6"/>
  <c r="J4615" i="6"/>
  <c r="G4615" i="6"/>
  <c r="H4615" i="6" s="1"/>
  <c r="F4615" i="6"/>
  <c r="J4614" i="6"/>
  <c r="G4614" i="6"/>
  <c r="H4614" i="6" s="1"/>
  <c r="F4614" i="6"/>
  <c r="J4613" i="6"/>
  <c r="G4613" i="6"/>
  <c r="H4613" i="6" s="1"/>
  <c r="F4613" i="6"/>
  <c r="J4612" i="6"/>
  <c r="G4612" i="6"/>
  <c r="H4612" i="6" s="1"/>
  <c r="F4612" i="6"/>
  <c r="J4611" i="6"/>
  <c r="G4611" i="6"/>
  <c r="H4611" i="6" s="1"/>
  <c r="F4611" i="6"/>
  <c r="J4610" i="6"/>
  <c r="G4610" i="6"/>
  <c r="H4610" i="6" s="1"/>
  <c r="F4610" i="6"/>
  <c r="J4609" i="6"/>
  <c r="G4609" i="6"/>
  <c r="H4609" i="6" s="1"/>
  <c r="F4609" i="6"/>
  <c r="J4608" i="6"/>
  <c r="G4608" i="6"/>
  <c r="H4608" i="6" s="1"/>
  <c r="F4608" i="6"/>
  <c r="J4607" i="6"/>
  <c r="G4607" i="6"/>
  <c r="H4607" i="6" s="1"/>
  <c r="F4607" i="6"/>
  <c r="J4606" i="6"/>
  <c r="G4606" i="6"/>
  <c r="H4606" i="6" s="1"/>
  <c r="F4606" i="6"/>
  <c r="J4605" i="6"/>
  <c r="G4605" i="6"/>
  <c r="H4605" i="6" s="1"/>
  <c r="F4605" i="6"/>
  <c r="J4604" i="6"/>
  <c r="G4604" i="6"/>
  <c r="H4604" i="6" s="1"/>
  <c r="F4604" i="6"/>
  <c r="J4603" i="6"/>
  <c r="G4603" i="6"/>
  <c r="H4603" i="6" s="1"/>
  <c r="F4603" i="6"/>
  <c r="J4602" i="6"/>
  <c r="G4602" i="6"/>
  <c r="H4602" i="6" s="1"/>
  <c r="F4602" i="6"/>
  <c r="J4601" i="6"/>
  <c r="G4601" i="6"/>
  <c r="H4601" i="6" s="1"/>
  <c r="F4601" i="6"/>
  <c r="J4600" i="6"/>
  <c r="G4600" i="6"/>
  <c r="H4600" i="6" s="1"/>
  <c r="F4600" i="6"/>
  <c r="J4599" i="6"/>
  <c r="G4599" i="6"/>
  <c r="H4599" i="6" s="1"/>
  <c r="F4599" i="6"/>
  <c r="J4598" i="6"/>
  <c r="G4598" i="6"/>
  <c r="H4598" i="6" s="1"/>
  <c r="F4598" i="6"/>
  <c r="J4597" i="6"/>
  <c r="G4597" i="6"/>
  <c r="H4597" i="6" s="1"/>
  <c r="F4597" i="6"/>
  <c r="J4596" i="6"/>
  <c r="G4596" i="6"/>
  <c r="H4596" i="6" s="1"/>
  <c r="F4596" i="6"/>
  <c r="J4595" i="6"/>
  <c r="G4595" i="6"/>
  <c r="H4595" i="6" s="1"/>
  <c r="F4595" i="6"/>
  <c r="J4594" i="6"/>
  <c r="G4594" i="6"/>
  <c r="H4594" i="6" s="1"/>
  <c r="F4594" i="6"/>
  <c r="J4593" i="6"/>
  <c r="G4593" i="6"/>
  <c r="H4593" i="6" s="1"/>
  <c r="F4593" i="6"/>
  <c r="J4592" i="6"/>
  <c r="G4592" i="6"/>
  <c r="H4592" i="6" s="1"/>
  <c r="F4592" i="6"/>
  <c r="J4591" i="6"/>
  <c r="G4591" i="6"/>
  <c r="H4591" i="6" s="1"/>
  <c r="F4591" i="6"/>
  <c r="J4590" i="6"/>
  <c r="G4590" i="6"/>
  <c r="H4590" i="6" s="1"/>
  <c r="F4590" i="6"/>
  <c r="J4589" i="6"/>
  <c r="G4589" i="6"/>
  <c r="H4589" i="6" s="1"/>
  <c r="F4589" i="6"/>
  <c r="J4588" i="6"/>
  <c r="G4588" i="6"/>
  <c r="H4588" i="6" s="1"/>
  <c r="F4588" i="6"/>
  <c r="J4587" i="6"/>
  <c r="G4587" i="6"/>
  <c r="H4587" i="6" s="1"/>
  <c r="F4587" i="6"/>
  <c r="J4586" i="6"/>
  <c r="G4586" i="6"/>
  <c r="H4586" i="6" s="1"/>
  <c r="F4586" i="6"/>
  <c r="J4585" i="6"/>
  <c r="G4585" i="6"/>
  <c r="H4585" i="6" s="1"/>
  <c r="F4585" i="6"/>
  <c r="J4584" i="6"/>
  <c r="G4584" i="6"/>
  <c r="H4584" i="6" s="1"/>
  <c r="F4584" i="6"/>
  <c r="J4583" i="6"/>
  <c r="G4583" i="6"/>
  <c r="H4583" i="6" s="1"/>
  <c r="F4583" i="6"/>
  <c r="J4582" i="6"/>
  <c r="G4582" i="6"/>
  <c r="H4582" i="6" s="1"/>
  <c r="F4582" i="6"/>
  <c r="J4581" i="6"/>
  <c r="G4581" i="6"/>
  <c r="H4581" i="6" s="1"/>
  <c r="F4581" i="6"/>
  <c r="J4580" i="6"/>
  <c r="G4580" i="6"/>
  <c r="H4580" i="6" s="1"/>
  <c r="F4580" i="6"/>
  <c r="J4579" i="6"/>
  <c r="G4579" i="6"/>
  <c r="H4579" i="6" s="1"/>
  <c r="F4579" i="6"/>
  <c r="J4578" i="6"/>
  <c r="G4578" i="6"/>
  <c r="H4578" i="6" s="1"/>
  <c r="F4578" i="6"/>
  <c r="J4577" i="6"/>
  <c r="G4577" i="6"/>
  <c r="H4577" i="6" s="1"/>
  <c r="F4577" i="6"/>
  <c r="J4576" i="6"/>
  <c r="G4576" i="6"/>
  <c r="H4576" i="6" s="1"/>
  <c r="F4576" i="6"/>
  <c r="J4575" i="6"/>
  <c r="G4575" i="6"/>
  <c r="H4575" i="6" s="1"/>
  <c r="F4575" i="6"/>
  <c r="J4574" i="6"/>
  <c r="G4574" i="6"/>
  <c r="H4574" i="6" s="1"/>
  <c r="F4574" i="6"/>
  <c r="J4573" i="6"/>
  <c r="G4573" i="6"/>
  <c r="H4573" i="6" s="1"/>
  <c r="F4573" i="6"/>
  <c r="J4572" i="6"/>
  <c r="G4572" i="6"/>
  <c r="H4572" i="6" s="1"/>
  <c r="F4572" i="6"/>
  <c r="J4571" i="6"/>
  <c r="G4571" i="6"/>
  <c r="H4571" i="6" s="1"/>
  <c r="F4571" i="6"/>
  <c r="J4570" i="6"/>
  <c r="G4570" i="6"/>
  <c r="H4570" i="6" s="1"/>
  <c r="F4570" i="6"/>
  <c r="J4569" i="6"/>
  <c r="G4569" i="6"/>
  <c r="H4569" i="6" s="1"/>
  <c r="F4569" i="6"/>
  <c r="J4568" i="6"/>
  <c r="G4568" i="6"/>
  <c r="H4568" i="6" s="1"/>
  <c r="F4568" i="6"/>
  <c r="J4567" i="6"/>
  <c r="G4567" i="6"/>
  <c r="H4567" i="6" s="1"/>
  <c r="F4567" i="6"/>
  <c r="J4566" i="6"/>
  <c r="G4566" i="6"/>
  <c r="H4566" i="6" s="1"/>
  <c r="F4566" i="6"/>
  <c r="J4565" i="6"/>
  <c r="G4565" i="6"/>
  <c r="H4565" i="6" s="1"/>
  <c r="F4565" i="6"/>
  <c r="J4564" i="6"/>
  <c r="G4564" i="6"/>
  <c r="H4564" i="6" s="1"/>
  <c r="F4564" i="6"/>
  <c r="J4563" i="6"/>
  <c r="G4563" i="6"/>
  <c r="H4563" i="6" s="1"/>
  <c r="F4563" i="6"/>
  <c r="J4562" i="6"/>
  <c r="G4562" i="6"/>
  <c r="H4562" i="6" s="1"/>
  <c r="F4562" i="6"/>
  <c r="J4561" i="6"/>
  <c r="G4561" i="6"/>
  <c r="H4561" i="6" s="1"/>
  <c r="F4561" i="6"/>
  <c r="J4560" i="6"/>
  <c r="G4560" i="6"/>
  <c r="H4560" i="6" s="1"/>
  <c r="F4560" i="6"/>
  <c r="J4559" i="6"/>
  <c r="G4559" i="6"/>
  <c r="H4559" i="6" s="1"/>
  <c r="F4559" i="6"/>
  <c r="J4558" i="6"/>
  <c r="G4558" i="6"/>
  <c r="H4558" i="6" s="1"/>
  <c r="F4558" i="6"/>
  <c r="J4557" i="6"/>
  <c r="G4557" i="6"/>
  <c r="H4557" i="6" s="1"/>
  <c r="F4557" i="6"/>
  <c r="J4556" i="6"/>
  <c r="G4556" i="6"/>
  <c r="H4556" i="6" s="1"/>
  <c r="F4556" i="6"/>
  <c r="J4555" i="6"/>
  <c r="G4555" i="6"/>
  <c r="H4555" i="6" s="1"/>
  <c r="F4555" i="6"/>
  <c r="J4554" i="6"/>
  <c r="G4554" i="6"/>
  <c r="H4554" i="6" s="1"/>
  <c r="F4554" i="6"/>
  <c r="J4553" i="6"/>
  <c r="G4553" i="6"/>
  <c r="H4553" i="6" s="1"/>
  <c r="F4553" i="6"/>
  <c r="J4552" i="6"/>
  <c r="G4552" i="6"/>
  <c r="H4552" i="6" s="1"/>
  <c r="F4552" i="6"/>
  <c r="J4551" i="6"/>
  <c r="G4551" i="6"/>
  <c r="H4551" i="6" s="1"/>
  <c r="F4551" i="6"/>
  <c r="J4550" i="6"/>
  <c r="G4550" i="6"/>
  <c r="H4550" i="6" s="1"/>
  <c r="F4550" i="6"/>
  <c r="J4549" i="6"/>
  <c r="G4549" i="6"/>
  <c r="H4549" i="6" s="1"/>
  <c r="F4549" i="6"/>
  <c r="J4548" i="6"/>
  <c r="G4548" i="6"/>
  <c r="H4548" i="6" s="1"/>
  <c r="F4548" i="6"/>
  <c r="J4547" i="6"/>
  <c r="G4547" i="6"/>
  <c r="H4547" i="6" s="1"/>
  <c r="F4547" i="6"/>
  <c r="J4546" i="6"/>
  <c r="G4546" i="6"/>
  <c r="H4546" i="6" s="1"/>
  <c r="F4546" i="6"/>
  <c r="J4545" i="6"/>
  <c r="G4545" i="6"/>
  <c r="H4545" i="6" s="1"/>
  <c r="F4545" i="6"/>
  <c r="J4544" i="6"/>
  <c r="G4544" i="6"/>
  <c r="H4544" i="6" s="1"/>
  <c r="F4544" i="6"/>
  <c r="J4543" i="6"/>
  <c r="G4543" i="6"/>
  <c r="H4543" i="6" s="1"/>
  <c r="F4543" i="6"/>
  <c r="J4542" i="6"/>
  <c r="G4542" i="6"/>
  <c r="H4542" i="6" s="1"/>
  <c r="F4542" i="6"/>
  <c r="J4541" i="6"/>
  <c r="G4541" i="6"/>
  <c r="H4541" i="6" s="1"/>
  <c r="F4541" i="6"/>
  <c r="J4540" i="6"/>
  <c r="G4540" i="6"/>
  <c r="H4540" i="6" s="1"/>
  <c r="F4540" i="6"/>
  <c r="J4539" i="6"/>
  <c r="G4539" i="6"/>
  <c r="H4539" i="6" s="1"/>
  <c r="F4539" i="6"/>
  <c r="J4538" i="6"/>
  <c r="G4538" i="6"/>
  <c r="H4538" i="6" s="1"/>
  <c r="F4538" i="6"/>
  <c r="J4537" i="6"/>
  <c r="G4537" i="6"/>
  <c r="H4537" i="6" s="1"/>
  <c r="F4537" i="6"/>
  <c r="J4536" i="6"/>
  <c r="G4536" i="6"/>
  <c r="H4536" i="6" s="1"/>
  <c r="F4536" i="6"/>
  <c r="J4535" i="6"/>
  <c r="G4535" i="6"/>
  <c r="H4535" i="6" s="1"/>
  <c r="F4535" i="6"/>
  <c r="J4534" i="6"/>
  <c r="G4534" i="6"/>
  <c r="H4534" i="6" s="1"/>
  <c r="F4534" i="6"/>
  <c r="J4533" i="6"/>
  <c r="G4533" i="6"/>
  <c r="H4533" i="6" s="1"/>
  <c r="F4533" i="6"/>
  <c r="J4532" i="6"/>
  <c r="G4532" i="6"/>
  <c r="H4532" i="6" s="1"/>
  <c r="F4532" i="6"/>
  <c r="J4531" i="6"/>
  <c r="G4531" i="6"/>
  <c r="H4531" i="6" s="1"/>
  <c r="F4531" i="6"/>
  <c r="J4530" i="6"/>
  <c r="G4530" i="6"/>
  <c r="H4530" i="6" s="1"/>
  <c r="F4530" i="6"/>
  <c r="J4529" i="6"/>
  <c r="G4529" i="6"/>
  <c r="H4529" i="6" s="1"/>
  <c r="F4529" i="6"/>
  <c r="J4528" i="6"/>
  <c r="G4528" i="6"/>
  <c r="H4528" i="6" s="1"/>
  <c r="F4528" i="6"/>
  <c r="J4527" i="6"/>
  <c r="G4527" i="6"/>
  <c r="H4527" i="6" s="1"/>
  <c r="F4527" i="6"/>
  <c r="J4526" i="6"/>
  <c r="G4526" i="6"/>
  <c r="H4526" i="6" s="1"/>
  <c r="F4526" i="6"/>
  <c r="J4525" i="6"/>
  <c r="G4525" i="6"/>
  <c r="H4525" i="6" s="1"/>
  <c r="F4525" i="6"/>
  <c r="J4524" i="6"/>
  <c r="G4524" i="6"/>
  <c r="H4524" i="6" s="1"/>
  <c r="F4524" i="6"/>
  <c r="J4523" i="6"/>
  <c r="G4523" i="6"/>
  <c r="H4523" i="6" s="1"/>
  <c r="F4523" i="6"/>
  <c r="J4522" i="6"/>
  <c r="G4522" i="6"/>
  <c r="H4522" i="6" s="1"/>
  <c r="F4522" i="6"/>
  <c r="J4521" i="6"/>
  <c r="G4521" i="6"/>
  <c r="H4521" i="6" s="1"/>
  <c r="F4521" i="6"/>
  <c r="J4520" i="6"/>
  <c r="G4520" i="6"/>
  <c r="H4520" i="6" s="1"/>
  <c r="F4520" i="6"/>
  <c r="J4519" i="6"/>
  <c r="G4519" i="6"/>
  <c r="H4519" i="6" s="1"/>
  <c r="F4519" i="6"/>
  <c r="J4518" i="6"/>
  <c r="G4518" i="6"/>
  <c r="H4518" i="6" s="1"/>
  <c r="F4518" i="6"/>
  <c r="J4517" i="6"/>
  <c r="G4517" i="6"/>
  <c r="H4517" i="6" s="1"/>
  <c r="F4517" i="6"/>
  <c r="J4516" i="6"/>
  <c r="G4516" i="6"/>
  <c r="H4516" i="6" s="1"/>
  <c r="F4516" i="6"/>
  <c r="J4515" i="6"/>
  <c r="G4515" i="6"/>
  <c r="H4515" i="6" s="1"/>
  <c r="F4515" i="6"/>
  <c r="J4514" i="6"/>
  <c r="G4514" i="6"/>
  <c r="H4514" i="6" s="1"/>
  <c r="F4514" i="6"/>
  <c r="J4513" i="6"/>
  <c r="G4513" i="6"/>
  <c r="H4513" i="6" s="1"/>
  <c r="F4513" i="6"/>
  <c r="J4512" i="6"/>
  <c r="G4512" i="6"/>
  <c r="H4512" i="6" s="1"/>
  <c r="F4512" i="6"/>
  <c r="J4511" i="6"/>
  <c r="G4511" i="6"/>
  <c r="H4511" i="6" s="1"/>
  <c r="F4511" i="6"/>
  <c r="J4510" i="6"/>
  <c r="G4510" i="6"/>
  <c r="H4510" i="6" s="1"/>
  <c r="F4510" i="6"/>
  <c r="J4509" i="6"/>
  <c r="G4509" i="6"/>
  <c r="H4509" i="6" s="1"/>
  <c r="F4509" i="6"/>
  <c r="J4508" i="6"/>
  <c r="G4508" i="6"/>
  <c r="H4508" i="6" s="1"/>
  <c r="F4508" i="6"/>
  <c r="J4507" i="6"/>
  <c r="G4507" i="6"/>
  <c r="H4507" i="6" s="1"/>
  <c r="F4507" i="6"/>
  <c r="J4506" i="6"/>
  <c r="G4506" i="6"/>
  <c r="H4506" i="6" s="1"/>
  <c r="F4506" i="6"/>
  <c r="J4505" i="6"/>
  <c r="G4505" i="6"/>
  <c r="H4505" i="6" s="1"/>
  <c r="F4505" i="6"/>
  <c r="J4504" i="6"/>
  <c r="G4504" i="6"/>
  <c r="H4504" i="6" s="1"/>
  <c r="F4504" i="6"/>
  <c r="J4503" i="6"/>
  <c r="G4503" i="6"/>
  <c r="H4503" i="6" s="1"/>
  <c r="F4503" i="6"/>
  <c r="J4502" i="6"/>
  <c r="G4502" i="6"/>
  <c r="H4502" i="6" s="1"/>
  <c r="F4502" i="6"/>
  <c r="J4501" i="6"/>
  <c r="G4501" i="6"/>
  <c r="H4501" i="6" s="1"/>
  <c r="F4501" i="6"/>
  <c r="J4500" i="6"/>
  <c r="G4500" i="6"/>
  <c r="H4500" i="6" s="1"/>
  <c r="F4500" i="6"/>
  <c r="J4499" i="6"/>
  <c r="G4499" i="6"/>
  <c r="H4499" i="6" s="1"/>
  <c r="F4499" i="6"/>
  <c r="J4498" i="6"/>
  <c r="G4498" i="6"/>
  <c r="H4498" i="6" s="1"/>
  <c r="F4498" i="6"/>
  <c r="J4497" i="6"/>
  <c r="G4497" i="6"/>
  <c r="H4497" i="6" s="1"/>
  <c r="F4497" i="6"/>
  <c r="J4496" i="6"/>
  <c r="G4496" i="6"/>
  <c r="H4496" i="6" s="1"/>
  <c r="F4496" i="6"/>
  <c r="J4495" i="6"/>
  <c r="G4495" i="6"/>
  <c r="H4495" i="6" s="1"/>
  <c r="F4495" i="6"/>
  <c r="J4494" i="6"/>
  <c r="G4494" i="6"/>
  <c r="H4494" i="6" s="1"/>
  <c r="F4494" i="6"/>
  <c r="J4493" i="6"/>
  <c r="G4493" i="6"/>
  <c r="H4493" i="6" s="1"/>
  <c r="F4493" i="6"/>
  <c r="J4492" i="6"/>
  <c r="G4492" i="6"/>
  <c r="H4492" i="6" s="1"/>
  <c r="F4492" i="6"/>
  <c r="J4491" i="6"/>
  <c r="G4491" i="6"/>
  <c r="H4491" i="6" s="1"/>
  <c r="F4491" i="6"/>
  <c r="J4490" i="6"/>
  <c r="G4490" i="6"/>
  <c r="H4490" i="6" s="1"/>
  <c r="F4490" i="6"/>
  <c r="J4489" i="6"/>
  <c r="G4489" i="6"/>
  <c r="H4489" i="6" s="1"/>
  <c r="F4489" i="6"/>
  <c r="J4488" i="6"/>
  <c r="G4488" i="6"/>
  <c r="H4488" i="6" s="1"/>
  <c r="F4488" i="6"/>
  <c r="J4487" i="6"/>
  <c r="G4487" i="6"/>
  <c r="H4487" i="6" s="1"/>
  <c r="F4487" i="6"/>
  <c r="J4486" i="6"/>
  <c r="G4486" i="6"/>
  <c r="H4486" i="6" s="1"/>
  <c r="F4486" i="6"/>
  <c r="J4485" i="6"/>
  <c r="G4485" i="6"/>
  <c r="H4485" i="6" s="1"/>
  <c r="F4485" i="6"/>
  <c r="J4484" i="6"/>
  <c r="G4484" i="6"/>
  <c r="H4484" i="6" s="1"/>
  <c r="F4484" i="6"/>
  <c r="J4483" i="6"/>
  <c r="G4483" i="6"/>
  <c r="H4483" i="6" s="1"/>
  <c r="F4483" i="6"/>
  <c r="J4482" i="6"/>
  <c r="G4482" i="6"/>
  <c r="H4482" i="6" s="1"/>
  <c r="F4482" i="6"/>
  <c r="J4481" i="6"/>
  <c r="G4481" i="6"/>
  <c r="H4481" i="6" s="1"/>
  <c r="F4481" i="6"/>
  <c r="J4480" i="6"/>
  <c r="G4480" i="6"/>
  <c r="H4480" i="6" s="1"/>
  <c r="F4480" i="6"/>
  <c r="J4479" i="6"/>
  <c r="G4479" i="6"/>
  <c r="H4479" i="6" s="1"/>
  <c r="F4479" i="6"/>
  <c r="J4478" i="6"/>
  <c r="G4478" i="6"/>
  <c r="H4478" i="6" s="1"/>
  <c r="F4478" i="6"/>
  <c r="J4477" i="6"/>
  <c r="G4477" i="6"/>
  <c r="H4477" i="6" s="1"/>
  <c r="F4477" i="6"/>
  <c r="J4476" i="6"/>
  <c r="G4476" i="6"/>
  <c r="H4476" i="6" s="1"/>
  <c r="F4476" i="6"/>
  <c r="J4475" i="6"/>
  <c r="G4475" i="6"/>
  <c r="H4475" i="6" s="1"/>
  <c r="F4475" i="6"/>
  <c r="J4474" i="6"/>
  <c r="G4474" i="6"/>
  <c r="H4474" i="6" s="1"/>
  <c r="F4474" i="6"/>
  <c r="J4473" i="6"/>
  <c r="G4473" i="6"/>
  <c r="H4473" i="6" s="1"/>
  <c r="F4473" i="6"/>
  <c r="J4472" i="6"/>
  <c r="G4472" i="6"/>
  <c r="H4472" i="6" s="1"/>
  <c r="F4472" i="6"/>
  <c r="J4471" i="6"/>
  <c r="G4471" i="6"/>
  <c r="H4471" i="6" s="1"/>
  <c r="F4471" i="6"/>
  <c r="J4470" i="6"/>
  <c r="G4470" i="6"/>
  <c r="H4470" i="6" s="1"/>
  <c r="F4470" i="6"/>
  <c r="J4469" i="6"/>
  <c r="G4469" i="6"/>
  <c r="H4469" i="6" s="1"/>
  <c r="F4469" i="6"/>
  <c r="J4468" i="6"/>
  <c r="G4468" i="6"/>
  <c r="H4468" i="6" s="1"/>
  <c r="F4468" i="6"/>
  <c r="J4467" i="6"/>
  <c r="G4467" i="6"/>
  <c r="H4467" i="6" s="1"/>
  <c r="F4467" i="6"/>
  <c r="J4466" i="6"/>
  <c r="G4466" i="6"/>
  <c r="H4466" i="6" s="1"/>
  <c r="F4466" i="6"/>
  <c r="J4465" i="6"/>
  <c r="G4465" i="6"/>
  <c r="H4465" i="6" s="1"/>
  <c r="F4465" i="6"/>
  <c r="J4464" i="6"/>
  <c r="G4464" i="6"/>
  <c r="H4464" i="6" s="1"/>
  <c r="F4464" i="6"/>
  <c r="J4463" i="6"/>
  <c r="G4463" i="6"/>
  <c r="H4463" i="6" s="1"/>
  <c r="F4463" i="6"/>
  <c r="J4462" i="6"/>
  <c r="G4462" i="6"/>
  <c r="H4462" i="6" s="1"/>
  <c r="F4462" i="6"/>
  <c r="J4461" i="6"/>
  <c r="G4461" i="6"/>
  <c r="H4461" i="6" s="1"/>
  <c r="F4461" i="6"/>
  <c r="J4460" i="6"/>
  <c r="G4460" i="6"/>
  <c r="H4460" i="6" s="1"/>
  <c r="F4460" i="6"/>
  <c r="J4459" i="6"/>
  <c r="G4459" i="6"/>
  <c r="H4459" i="6" s="1"/>
  <c r="F4459" i="6"/>
  <c r="J4458" i="6"/>
  <c r="G4458" i="6"/>
  <c r="H4458" i="6" s="1"/>
  <c r="F4458" i="6"/>
  <c r="J4457" i="6"/>
  <c r="G4457" i="6"/>
  <c r="H4457" i="6" s="1"/>
  <c r="F4457" i="6"/>
  <c r="J4456" i="6"/>
  <c r="G4456" i="6"/>
  <c r="H4456" i="6" s="1"/>
  <c r="F4456" i="6"/>
  <c r="J4455" i="6"/>
  <c r="G4455" i="6"/>
  <c r="H4455" i="6" s="1"/>
  <c r="F4455" i="6"/>
  <c r="J4454" i="6"/>
  <c r="G4454" i="6"/>
  <c r="H4454" i="6" s="1"/>
  <c r="F4454" i="6"/>
  <c r="J4453" i="6"/>
  <c r="G4453" i="6"/>
  <c r="H4453" i="6" s="1"/>
  <c r="F4453" i="6"/>
  <c r="J4452" i="6"/>
  <c r="G4452" i="6"/>
  <c r="H4452" i="6" s="1"/>
  <c r="F4452" i="6"/>
  <c r="J4451" i="6"/>
  <c r="G4451" i="6"/>
  <c r="H4451" i="6" s="1"/>
  <c r="F4451" i="6"/>
  <c r="J4450" i="6"/>
  <c r="G4450" i="6"/>
  <c r="H4450" i="6" s="1"/>
  <c r="F4450" i="6"/>
  <c r="J4449" i="6"/>
  <c r="G4449" i="6"/>
  <c r="H4449" i="6" s="1"/>
  <c r="F4449" i="6"/>
  <c r="J4448" i="6"/>
  <c r="G4448" i="6"/>
  <c r="H4448" i="6" s="1"/>
  <c r="F4448" i="6"/>
  <c r="J4447" i="6"/>
  <c r="G4447" i="6"/>
  <c r="H4447" i="6" s="1"/>
  <c r="F4447" i="6"/>
  <c r="J4446" i="6"/>
  <c r="G4446" i="6"/>
  <c r="H4446" i="6" s="1"/>
  <c r="F4446" i="6"/>
  <c r="J4445" i="6"/>
  <c r="G4445" i="6"/>
  <c r="H4445" i="6" s="1"/>
  <c r="F4445" i="6"/>
  <c r="J4444" i="6"/>
  <c r="G4444" i="6"/>
  <c r="H4444" i="6" s="1"/>
  <c r="F4444" i="6"/>
  <c r="J4443" i="6"/>
  <c r="G4443" i="6"/>
  <c r="H4443" i="6" s="1"/>
  <c r="F4443" i="6"/>
  <c r="J4442" i="6"/>
  <c r="G4442" i="6"/>
  <c r="H4442" i="6" s="1"/>
  <c r="F4442" i="6"/>
  <c r="J4441" i="6"/>
  <c r="G4441" i="6"/>
  <c r="H4441" i="6" s="1"/>
  <c r="F4441" i="6"/>
  <c r="J4440" i="6"/>
  <c r="G4440" i="6"/>
  <c r="H4440" i="6" s="1"/>
  <c r="F4440" i="6"/>
  <c r="J4439" i="6"/>
  <c r="G4439" i="6"/>
  <c r="H4439" i="6" s="1"/>
  <c r="F4439" i="6"/>
  <c r="J4438" i="6"/>
  <c r="G4438" i="6"/>
  <c r="H4438" i="6" s="1"/>
  <c r="F4438" i="6"/>
  <c r="J4437" i="6"/>
  <c r="G4437" i="6"/>
  <c r="H4437" i="6" s="1"/>
  <c r="F4437" i="6"/>
  <c r="J4436" i="6"/>
  <c r="G4436" i="6"/>
  <c r="H4436" i="6" s="1"/>
  <c r="F4436" i="6"/>
  <c r="J4435" i="6"/>
  <c r="G4435" i="6"/>
  <c r="H4435" i="6" s="1"/>
  <c r="F4435" i="6"/>
  <c r="J4434" i="6"/>
  <c r="G4434" i="6"/>
  <c r="H4434" i="6" s="1"/>
  <c r="F4434" i="6"/>
  <c r="J4433" i="6"/>
  <c r="G4433" i="6"/>
  <c r="H4433" i="6" s="1"/>
  <c r="F4433" i="6"/>
  <c r="J4432" i="6"/>
  <c r="G4432" i="6"/>
  <c r="H4432" i="6" s="1"/>
  <c r="F4432" i="6"/>
  <c r="J4431" i="6"/>
  <c r="G4431" i="6"/>
  <c r="H4431" i="6" s="1"/>
  <c r="F4431" i="6"/>
  <c r="J4430" i="6"/>
  <c r="G4430" i="6"/>
  <c r="H4430" i="6" s="1"/>
  <c r="F4430" i="6"/>
  <c r="J4429" i="6"/>
  <c r="G4429" i="6"/>
  <c r="H4429" i="6" s="1"/>
  <c r="F4429" i="6"/>
  <c r="J4428" i="6"/>
  <c r="G4428" i="6"/>
  <c r="H4428" i="6" s="1"/>
  <c r="F4428" i="6"/>
  <c r="J4427" i="6"/>
  <c r="G4427" i="6"/>
  <c r="H4427" i="6" s="1"/>
  <c r="F4427" i="6"/>
  <c r="J4426" i="6"/>
  <c r="G4426" i="6"/>
  <c r="H4426" i="6" s="1"/>
  <c r="F4426" i="6"/>
  <c r="J4425" i="6"/>
  <c r="G4425" i="6"/>
  <c r="H4425" i="6" s="1"/>
  <c r="F4425" i="6"/>
  <c r="J4424" i="6"/>
  <c r="G4424" i="6"/>
  <c r="H4424" i="6" s="1"/>
  <c r="F4424" i="6"/>
  <c r="J4423" i="6"/>
  <c r="G4423" i="6"/>
  <c r="H4423" i="6" s="1"/>
  <c r="F4423" i="6"/>
  <c r="J4422" i="6"/>
  <c r="G4422" i="6"/>
  <c r="H4422" i="6" s="1"/>
  <c r="F4422" i="6"/>
  <c r="J4421" i="6"/>
  <c r="G4421" i="6"/>
  <c r="H4421" i="6" s="1"/>
  <c r="F4421" i="6"/>
  <c r="J4420" i="6"/>
  <c r="G4420" i="6"/>
  <c r="H4420" i="6" s="1"/>
  <c r="F4420" i="6"/>
  <c r="J4419" i="6"/>
  <c r="G4419" i="6"/>
  <c r="H4419" i="6" s="1"/>
  <c r="F4419" i="6"/>
  <c r="J4418" i="6"/>
  <c r="G4418" i="6"/>
  <c r="H4418" i="6" s="1"/>
  <c r="F4418" i="6"/>
  <c r="J4417" i="6"/>
  <c r="G4417" i="6"/>
  <c r="H4417" i="6" s="1"/>
  <c r="F4417" i="6"/>
  <c r="J4416" i="6"/>
  <c r="G4416" i="6"/>
  <c r="H4416" i="6" s="1"/>
  <c r="F4416" i="6"/>
  <c r="J4415" i="6"/>
  <c r="G4415" i="6"/>
  <c r="H4415" i="6" s="1"/>
  <c r="F4415" i="6"/>
  <c r="J4414" i="6"/>
  <c r="G4414" i="6"/>
  <c r="H4414" i="6" s="1"/>
  <c r="F4414" i="6"/>
  <c r="J4413" i="6"/>
  <c r="G4413" i="6"/>
  <c r="H4413" i="6" s="1"/>
  <c r="F4413" i="6"/>
  <c r="J4412" i="6"/>
  <c r="G4412" i="6"/>
  <c r="H4412" i="6" s="1"/>
  <c r="F4412" i="6"/>
  <c r="J4411" i="6"/>
  <c r="G4411" i="6"/>
  <c r="H4411" i="6" s="1"/>
  <c r="F4411" i="6"/>
  <c r="J4410" i="6"/>
  <c r="G4410" i="6"/>
  <c r="H4410" i="6" s="1"/>
  <c r="F4410" i="6"/>
  <c r="J4409" i="6"/>
  <c r="G4409" i="6"/>
  <c r="H4409" i="6" s="1"/>
  <c r="F4409" i="6"/>
  <c r="J4408" i="6"/>
  <c r="G4408" i="6"/>
  <c r="H4408" i="6" s="1"/>
  <c r="F4408" i="6"/>
  <c r="J4407" i="6"/>
  <c r="G4407" i="6"/>
  <c r="H4407" i="6" s="1"/>
  <c r="F4407" i="6"/>
  <c r="J4406" i="6"/>
  <c r="G4406" i="6"/>
  <c r="H4406" i="6" s="1"/>
  <c r="F4406" i="6"/>
  <c r="J4405" i="6"/>
  <c r="G4405" i="6"/>
  <c r="H4405" i="6" s="1"/>
  <c r="F4405" i="6"/>
  <c r="J4404" i="6"/>
  <c r="G4404" i="6"/>
  <c r="H4404" i="6" s="1"/>
  <c r="F4404" i="6"/>
  <c r="J4403" i="6"/>
  <c r="G4403" i="6"/>
  <c r="H4403" i="6" s="1"/>
  <c r="F4403" i="6"/>
  <c r="J4402" i="6"/>
  <c r="G4402" i="6"/>
  <c r="H4402" i="6" s="1"/>
  <c r="F4402" i="6"/>
  <c r="J4401" i="6"/>
  <c r="G4401" i="6"/>
  <c r="H4401" i="6" s="1"/>
  <c r="F4401" i="6"/>
  <c r="J4400" i="6"/>
  <c r="G4400" i="6"/>
  <c r="H4400" i="6" s="1"/>
  <c r="F4400" i="6"/>
  <c r="J4399" i="6"/>
  <c r="G4399" i="6"/>
  <c r="H4399" i="6" s="1"/>
  <c r="F4399" i="6"/>
  <c r="J4398" i="6"/>
  <c r="G4398" i="6"/>
  <c r="H4398" i="6" s="1"/>
  <c r="F4398" i="6"/>
  <c r="J4397" i="6"/>
  <c r="G4397" i="6"/>
  <c r="H4397" i="6" s="1"/>
  <c r="F4397" i="6"/>
  <c r="J4396" i="6"/>
  <c r="G4396" i="6"/>
  <c r="H4396" i="6" s="1"/>
  <c r="F4396" i="6"/>
  <c r="J4395" i="6"/>
  <c r="G4395" i="6"/>
  <c r="H4395" i="6" s="1"/>
  <c r="F4395" i="6"/>
  <c r="J4394" i="6"/>
  <c r="G4394" i="6"/>
  <c r="H4394" i="6" s="1"/>
  <c r="F4394" i="6"/>
  <c r="J4393" i="6"/>
  <c r="G4393" i="6"/>
  <c r="H4393" i="6" s="1"/>
  <c r="F4393" i="6"/>
  <c r="J4392" i="6"/>
  <c r="G4392" i="6"/>
  <c r="H4392" i="6" s="1"/>
  <c r="F4392" i="6"/>
  <c r="J4391" i="6"/>
  <c r="G4391" i="6"/>
  <c r="H4391" i="6" s="1"/>
  <c r="F4391" i="6"/>
  <c r="J4390" i="6"/>
  <c r="G4390" i="6"/>
  <c r="H4390" i="6" s="1"/>
  <c r="F4390" i="6"/>
  <c r="J4389" i="6"/>
  <c r="G4389" i="6"/>
  <c r="H4389" i="6" s="1"/>
  <c r="F4389" i="6"/>
  <c r="J4388" i="6"/>
  <c r="G4388" i="6"/>
  <c r="H4388" i="6" s="1"/>
  <c r="F4388" i="6"/>
  <c r="J4387" i="6"/>
  <c r="G4387" i="6"/>
  <c r="H4387" i="6" s="1"/>
  <c r="F4387" i="6"/>
  <c r="J4386" i="6"/>
  <c r="G4386" i="6"/>
  <c r="H4386" i="6" s="1"/>
  <c r="F4386" i="6"/>
  <c r="J4385" i="6"/>
  <c r="G4385" i="6"/>
  <c r="H4385" i="6" s="1"/>
  <c r="F4385" i="6"/>
  <c r="J4384" i="6"/>
  <c r="G4384" i="6"/>
  <c r="H4384" i="6" s="1"/>
  <c r="F4384" i="6"/>
  <c r="J4383" i="6"/>
  <c r="G4383" i="6"/>
  <c r="H4383" i="6" s="1"/>
  <c r="F4383" i="6"/>
  <c r="J4382" i="6"/>
  <c r="G4382" i="6"/>
  <c r="H4382" i="6" s="1"/>
  <c r="F4382" i="6"/>
  <c r="J4381" i="6"/>
  <c r="G4381" i="6"/>
  <c r="H4381" i="6" s="1"/>
  <c r="F4381" i="6"/>
  <c r="J4380" i="6"/>
  <c r="G4380" i="6"/>
  <c r="H4380" i="6" s="1"/>
  <c r="F4380" i="6"/>
  <c r="J4379" i="6"/>
  <c r="G4379" i="6"/>
  <c r="H4379" i="6" s="1"/>
  <c r="F4379" i="6"/>
  <c r="J4378" i="6"/>
  <c r="G4378" i="6"/>
  <c r="H4378" i="6" s="1"/>
  <c r="F4378" i="6"/>
  <c r="J4377" i="6"/>
  <c r="G4377" i="6"/>
  <c r="H4377" i="6" s="1"/>
  <c r="F4377" i="6"/>
  <c r="J4376" i="6"/>
  <c r="G4376" i="6"/>
  <c r="H4376" i="6" s="1"/>
  <c r="F4376" i="6"/>
  <c r="J4375" i="6"/>
  <c r="G4375" i="6"/>
  <c r="H4375" i="6" s="1"/>
  <c r="F4375" i="6"/>
  <c r="J4374" i="6"/>
  <c r="G4374" i="6"/>
  <c r="H4374" i="6" s="1"/>
  <c r="F4374" i="6"/>
  <c r="J4373" i="6"/>
  <c r="G4373" i="6"/>
  <c r="H4373" i="6" s="1"/>
  <c r="F4373" i="6"/>
  <c r="J4372" i="6"/>
  <c r="G4372" i="6"/>
  <c r="H4372" i="6" s="1"/>
  <c r="F4372" i="6"/>
  <c r="J4371" i="6"/>
  <c r="G4371" i="6"/>
  <c r="H4371" i="6" s="1"/>
  <c r="F4371" i="6"/>
  <c r="J4370" i="6"/>
  <c r="G4370" i="6"/>
  <c r="H4370" i="6" s="1"/>
  <c r="F4370" i="6"/>
  <c r="J4369" i="6"/>
  <c r="G4369" i="6"/>
  <c r="H4369" i="6" s="1"/>
  <c r="F4369" i="6"/>
  <c r="J4368" i="6"/>
  <c r="G4368" i="6"/>
  <c r="H4368" i="6" s="1"/>
  <c r="F4368" i="6"/>
  <c r="J4367" i="6"/>
  <c r="G4367" i="6"/>
  <c r="H4367" i="6" s="1"/>
  <c r="F4367" i="6"/>
  <c r="J4366" i="6"/>
  <c r="G4366" i="6"/>
  <c r="H4366" i="6" s="1"/>
  <c r="F4366" i="6"/>
  <c r="J4365" i="6"/>
  <c r="G4365" i="6"/>
  <c r="H4365" i="6" s="1"/>
  <c r="F4365" i="6"/>
  <c r="J4364" i="6"/>
  <c r="G4364" i="6"/>
  <c r="H4364" i="6" s="1"/>
  <c r="F4364" i="6"/>
  <c r="J4363" i="6"/>
  <c r="G4363" i="6"/>
  <c r="H4363" i="6" s="1"/>
  <c r="F4363" i="6"/>
  <c r="J4362" i="6"/>
  <c r="G4362" i="6"/>
  <c r="H4362" i="6" s="1"/>
  <c r="F4362" i="6"/>
  <c r="J4361" i="6"/>
  <c r="G4361" i="6"/>
  <c r="H4361" i="6" s="1"/>
  <c r="F4361" i="6"/>
  <c r="J4360" i="6"/>
  <c r="G4360" i="6"/>
  <c r="H4360" i="6" s="1"/>
  <c r="F4360" i="6"/>
  <c r="J4359" i="6"/>
  <c r="G4359" i="6"/>
  <c r="H4359" i="6" s="1"/>
  <c r="F4359" i="6"/>
  <c r="J4358" i="6"/>
  <c r="G4358" i="6"/>
  <c r="H4358" i="6" s="1"/>
  <c r="F4358" i="6"/>
  <c r="J4357" i="6"/>
  <c r="G4357" i="6"/>
  <c r="H4357" i="6" s="1"/>
  <c r="F4357" i="6"/>
  <c r="J4356" i="6"/>
  <c r="G4356" i="6"/>
  <c r="H4356" i="6" s="1"/>
  <c r="F4356" i="6"/>
  <c r="J4355" i="6"/>
  <c r="G4355" i="6"/>
  <c r="H4355" i="6" s="1"/>
  <c r="F4355" i="6"/>
  <c r="J4354" i="6"/>
  <c r="G4354" i="6"/>
  <c r="H4354" i="6" s="1"/>
  <c r="F4354" i="6"/>
  <c r="J4353" i="6"/>
  <c r="G4353" i="6"/>
  <c r="H4353" i="6" s="1"/>
  <c r="F4353" i="6"/>
  <c r="J4352" i="6"/>
  <c r="G4352" i="6"/>
  <c r="H4352" i="6" s="1"/>
  <c r="F4352" i="6"/>
  <c r="J4351" i="6"/>
  <c r="G4351" i="6"/>
  <c r="H4351" i="6" s="1"/>
  <c r="F4351" i="6"/>
  <c r="J4350" i="6"/>
  <c r="G4350" i="6"/>
  <c r="H4350" i="6" s="1"/>
  <c r="F4350" i="6"/>
  <c r="J4349" i="6"/>
  <c r="G4349" i="6"/>
  <c r="H4349" i="6" s="1"/>
  <c r="F4349" i="6"/>
  <c r="J4348" i="6"/>
  <c r="G4348" i="6"/>
  <c r="H4348" i="6" s="1"/>
  <c r="F4348" i="6"/>
  <c r="J4347" i="6"/>
  <c r="G4347" i="6"/>
  <c r="H4347" i="6" s="1"/>
  <c r="F4347" i="6"/>
  <c r="J4346" i="6"/>
  <c r="G4346" i="6"/>
  <c r="H4346" i="6" s="1"/>
  <c r="F4346" i="6"/>
  <c r="J4345" i="6"/>
  <c r="G4345" i="6"/>
  <c r="H4345" i="6" s="1"/>
  <c r="F4345" i="6"/>
  <c r="J4344" i="6"/>
  <c r="G4344" i="6"/>
  <c r="H4344" i="6" s="1"/>
  <c r="F4344" i="6"/>
  <c r="J4343" i="6"/>
  <c r="G4343" i="6"/>
  <c r="H4343" i="6" s="1"/>
  <c r="F4343" i="6"/>
  <c r="J4342" i="6"/>
  <c r="G4342" i="6"/>
  <c r="H4342" i="6" s="1"/>
  <c r="F4342" i="6"/>
  <c r="J4341" i="6"/>
  <c r="G4341" i="6"/>
  <c r="H4341" i="6" s="1"/>
  <c r="F4341" i="6"/>
  <c r="J4340" i="6"/>
  <c r="G4340" i="6"/>
  <c r="H4340" i="6" s="1"/>
  <c r="F4340" i="6"/>
  <c r="J4339" i="6"/>
  <c r="G4339" i="6"/>
  <c r="H4339" i="6" s="1"/>
  <c r="F4339" i="6"/>
  <c r="J4338" i="6"/>
  <c r="G4338" i="6"/>
  <c r="H4338" i="6" s="1"/>
  <c r="F4338" i="6"/>
  <c r="J4337" i="6"/>
  <c r="G4337" i="6"/>
  <c r="H4337" i="6" s="1"/>
  <c r="F4337" i="6"/>
  <c r="J4336" i="6"/>
  <c r="G4336" i="6"/>
  <c r="H4336" i="6" s="1"/>
  <c r="F4336" i="6"/>
  <c r="J4335" i="6"/>
  <c r="G4335" i="6"/>
  <c r="H4335" i="6" s="1"/>
  <c r="F4335" i="6"/>
  <c r="J4334" i="6"/>
  <c r="G4334" i="6"/>
  <c r="H4334" i="6" s="1"/>
  <c r="F4334" i="6"/>
  <c r="J4333" i="6"/>
  <c r="G4333" i="6"/>
  <c r="H4333" i="6" s="1"/>
  <c r="F4333" i="6"/>
  <c r="J4332" i="6"/>
  <c r="G4332" i="6"/>
  <c r="H4332" i="6" s="1"/>
  <c r="F4332" i="6"/>
  <c r="J4331" i="6"/>
  <c r="G4331" i="6"/>
  <c r="H4331" i="6" s="1"/>
  <c r="F4331" i="6"/>
  <c r="J4330" i="6"/>
  <c r="G4330" i="6"/>
  <c r="H4330" i="6" s="1"/>
  <c r="F4330" i="6"/>
  <c r="J4329" i="6"/>
  <c r="G4329" i="6"/>
  <c r="H4329" i="6" s="1"/>
  <c r="F4329" i="6"/>
  <c r="J4328" i="6"/>
  <c r="G4328" i="6"/>
  <c r="H4328" i="6" s="1"/>
  <c r="F4328" i="6"/>
  <c r="J4327" i="6"/>
  <c r="G4327" i="6"/>
  <c r="H4327" i="6" s="1"/>
  <c r="F4327" i="6"/>
  <c r="J4326" i="6"/>
  <c r="G4326" i="6"/>
  <c r="H4326" i="6" s="1"/>
  <c r="F4326" i="6"/>
  <c r="J4325" i="6"/>
  <c r="G4325" i="6"/>
  <c r="H4325" i="6" s="1"/>
  <c r="F4325" i="6"/>
  <c r="J4324" i="6"/>
  <c r="G4324" i="6"/>
  <c r="H4324" i="6" s="1"/>
  <c r="F4324" i="6"/>
  <c r="J4323" i="6"/>
  <c r="G4323" i="6"/>
  <c r="H4323" i="6" s="1"/>
  <c r="F4323" i="6"/>
  <c r="J4322" i="6"/>
  <c r="G4322" i="6"/>
  <c r="H4322" i="6" s="1"/>
  <c r="F4322" i="6"/>
  <c r="J4321" i="6"/>
  <c r="G4321" i="6"/>
  <c r="H4321" i="6" s="1"/>
  <c r="F4321" i="6"/>
  <c r="J4320" i="6"/>
  <c r="G4320" i="6"/>
  <c r="H4320" i="6" s="1"/>
  <c r="F4320" i="6"/>
  <c r="J4319" i="6"/>
  <c r="G4319" i="6"/>
  <c r="H4319" i="6" s="1"/>
  <c r="F4319" i="6"/>
  <c r="J4318" i="6"/>
  <c r="G4318" i="6"/>
  <c r="H4318" i="6" s="1"/>
  <c r="F4318" i="6"/>
  <c r="J4317" i="6"/>
  <c r="G4317" i="6"/>
  <c r="H4317" i="6" s="1"/>
  <c r="F4317" i="6"/>
  <c r="J4316" i="6"/>
  <c r="G4316" i="6"/>
  <c r="H4316" i="6" s="1"/>
  <c r="F4316" i="6"/>
  <c r="J4315" i="6"/>
  <c r="G4315" i="6"/>
  <c r="H4315" i="6" s="1"/>
  <c r="F4315" i="6"/>
  <c r="J4314" i="6"/>
  <c r="G4314" i="6"/>
  <c r="H4314" i="6" s="1"/>
  <c r="F4314" i="6"/>
  <c r="J4313" i="6"/>
  <c r="G4313" i="6"/>
  <c r="H4313" i="6" s="1"/>
  <c r="F4313" i="6"/>
  <c r="J4312" i="6"/>
  <c r="G4312" i="6"/>
  <c r="H4312" i="6" s="1"/>
  <c r="F4312" i="6"/>
  <c r="J4311" i="6"/>
  <c r="G4311" i="6"/>
  <c r="H4311" i="6" s="1"/>
  <c r="F4311" i="6"/>
  <c r="J4310" i="6"/>
  <c r="G4310" i="6"/>
  <c r="H4310" i="6" s="1"/>
  <c r="F4310" i="6"/>
  <c r="J4309" i="6"/>
  <c r="G4309" i="6"/>
  <c r="H4309" i="6" s="1"/>
  <c r="F4309" i="6"/>
  <c r="J4308" i="6"/>
  <c r="G4308" i="6"/>
  <c r="H4308" i="6" s="1"/>
  <c r="F4308" i="6"/>
  <c r="J4307" i="6"/>
  <c r="G4307" i="6"/>
  <c r="H4307" i="6" s="1"/>
  <c r="F4307" i="6"/>
  <c r="J4306" i="6"/>
  <c r="G4306" i="6"/>
  <c r="H4306" i="6" s="1"/>
  <c r="F4306" i="6"/>
  <c r="J4305" i="6"/>
  <c r="G4305" i="6"/>
  <c r="H4305" i="6" s="1"/>
  <c r="F4305" i="6"/>
  <c r="J4304" i="6"/>
  <c r="G4304" i="6"/>
  <c r="H4304" i="6" s="1"/>
  <c r="F4304" i="6"/>
  <c r="J4303" i="6"/>
  <c r="G4303" i="6"/>
  <c r="H4303" i="6" s="1"/>
  <c r="F4303" i="6"/>
  <c r="J4302" i="6"/>
  <c r="G4302" i="6"/>
  <c r="H4302" i="6" s="1"/>
  <c r="F4302" i="6"/>
  <c r="J4301" i="6"/>
  <c r="G4301" i="6"/>
  <c r="H4301" i="6" s="1"/>
  <c r="F4301" i="6"/>
  <c r="J4300" i="6"/>
  <c r="G4300" i="6"/>
  <c r="H4300" i="6" s="1"/>
  <c r="F4300" i="6"/>
  <c r="J4299" i="6"/>
  <c r="G4299" i="6"/>
  <c r="H4299" i="6" s="1"/>
  <c r="F4299" i="6"/>
  <c r="J4298" i="6"/>
  <c r="G4298" i="6"/>
  <c r="H4298" i="6" s="1"/>
  <c r="F4298" i="6"/>
  <c r="J4297" i="6"/>
  <c r="G4297" i="6"/>
  <c r="H4297" i="6" s="1"/>
  <c r="F4297" i="6"/>
  <c r="J4296" i="6"/>
  <c r="G4296" i="6"/>
  <c r="H4296" i="6" s="1"/>
  <c r="F4296" i="6"/>
  <c r="J4295" i="6"/>
  <c r="G4295" i="6"/>
  <c r="H4295" i="6" s="1"/>
  <c r="F4295" i="6"/>
  <c r="J4294" i="6"/>
  <c r="G4294" i="6"/>
  <c r="H4294" i="6" s="1"/>
  <c r="F4294" i="6"/>
  <c r="J4293" i="6"/>
  <c r="G4293" i="6"/>
  <c r="H4293" i="6" s="1"/>
  <c r="F4293" i="6"/>
  <c r="J4292" i="6"/>
  <c r="G4292" i="6"/>
  <c r="H4292" i="6" s="1"/>
  <c r="F4292" i="6"/>
  <c r="J4291" i="6"/>
  <c r="G4291" i="6"/>
  <c r="H4291" i="6" s="1"/>
  <c r="F4291" i="6"/>
  <c r="J4290" i="6"/>
  <c r="G4290" i="6"/>
  <c r="H4290" i="6" s="1"/>
  <c r="F4290" i="6"/>
  <c r="J4289" i="6"/>
  <c r="G4289" i="6"/>
  <c r="H4289" i="6" s="1"/>
  <c r="F4289" i="6"/>
  <c r="J4288" i="6"/>
  <c r="G4288" i="6"/>
  <c r="H4288" i="6" s="1"/>
  <c r="F4288" i="6"/>
  <c r="J4287" i="6"/>
  <c r="G4287" i="6"/>
  <c r="H4287" i="6" s="1"/>
  <c r="F4287" i="6"/>
  <c r="J4286" i="6"/>
  <c r="G4286" i="6"/>
  <c r="H4286" i="6" s="1"/>
  <c r="F4286" i="6"/>
  <c r="J4285" i="6"/>
  <c r="G4285" i="6"/>
  <c r="H4285" i="6" s="1"/>
  <c r="F4285" i="6"/>
  <c r="J4284" i="6"/>
  <c r="G4284" i="6"/>
  <c r="H4284" i="6" s="1"/>
  <c r="F4284" i="6"/>
  <c r="J4283" i="6"/>
  <c r="G4283" i="6"/>
  <c r="H4283" i="6" s="1"/>
  <c r="F4283" i="6"/>
  <c r="J4282" i="6"/>
  <c r="G4282" i="6"/>
  <c r="H4282" i="6" s="1"/>
  <c r="F4282" i="6"/>
  <c r="J4281" i="6"/>
  <c r="G4281" i="6"/>
  <c r="H4281" i="6" s="1"/>
  <c r="F4281" i="6"/>
  <c r="J4280" i="6"/>
  <c r="G4280" i="6"/>
  <c r="H4280" i="6" s="1"/>
  <c r="F4280" i="6"/>
  <c r="J4279" i="6"/>
  <c r="G4279" i="6"/>
  <c r="H4279" i="6" s="1"/>
  <c r="F4279" i="6"/>
  <c r="J4278" i="6"/>
  <c r="G4278" i="6"/>
  <c r="H4278" i="6" s="1"/>
  <c r="F4278" i="6"/>
  <c r="J4277" i="6"/>
  <c r="G4277" i="6"/>
  <c r="H4277" i="6" s="1"/>
  <c r="F4277" i="6"/>
  <c r="J4276" i="6"/>
  <c r="G4276" i="6"/>
  <c r="H4276" i="6" s="1"/>
  <c r="F4276" i="6"/>
  <c r="J4275" i="6"/>
  <c r="G4275" i="6"/>
  <c r="H4275" i="6" s="1"/>
  <c r="F4275" i="6"/>
  <c r="J4274" i="6"/>
  <c r="G4274" i="6"/>
  <c r="H4274" i="6" s="1"/>
  <c r="F4274" i="6"/>
  <c r="J4273" i="6"/>
  <c r="G4273" i="6"/>
  <c r="H4273" i="6" s="1"/>
  <c r="F4273" i="6"/>
  <c r="J4272" i="6"/>
  <c r="G4272" i="6"/>
  <c r="H4272" i="6" s="1"/>
  <c r="F4272" i="6"/>
  <c r="J4271" i="6"/>
  <c r="G4271" i="6"/>
  <c r="H4271" i="6" s="1"/>
  <c r="F4271" i="6"/>
  <c r="J4270" i="6"/>
  <c r="G4270" i="6"/>
  <c r="H4270" i="6" s="1"/>
  <c r="F4270" i="6"/>
  <c r="J4269" i="6"/>
  <c r="G4269" i="6"/>
  <c r="H4269" i="6" s="1"/>
  <c r="F4269" i="6"/>
  <c r="J4268" i="6"/>
  <c r="G4268" i="6"/>
  <c r="H4268" i="6" s="1"/>
  <c r="F4268" i="6"/>
  <c r="J4267" i="6"/>
  <c r="G4267" i="6"/>
  <c r="H4267" i="6" s="1"/>
  <c r="F4267" i="6"/>
  <c r="J4266" i="6"/>
  <c r="G4266" i="6"/>
  <c r="H4266" i="6" s="1"/>
  <c r="F4266" i="6"/>
  <c r="J4265" i="6"/>
  <c r="G4265" i="6"/>
  <c r="H4265" i="6" s="1"/>
  <c r="F4265" i="6"/>
  <c r="J4264" i="6"/>
  <c r="G4264" i="6"/>
  <c r="H4264" i="6" s="1"/>
  <c r="F4264" i="6"/>
  <c r="J4263" i="6"/>
  <c r="G4263" i="6"/>
  <c r="H4263" i="6" s="1"/>
  <c r="F4263" i="6"/>
  <c r="J4262" i="6"/>
  <c r="G4262" i="6"/>
  <c r="H4262" i="6" s="1"/>
  <c r="F4262" i="6"/>
  <c r="J4261" i="6"/>
  <c r="G4261" i="6"/>
  <c r="H4261" i="6" s="1"/>
  <c r="F4261" i="6"/>
  <c r="J4260" i="6"/>
  <c r="G4260" i="6"/>
  <c r="H4260" i="6" s="1"/>
  <c r="F4260" i="6"/>
  <c r="J4259" i="6"/>
  <c r="G4259" i="6"/>
  <c r="H4259" i="6" s="1"/>
  <c r="F4259" i="6"/>
  <c r="J4258" i="6"/>
  <c r="G4258" i="6"/>
  <c r="H4258" i="6" s="1"/>
  <c r="F4258" i="6"/>
  <c r="J4257" i="6"/>
  <c r="G4257" i="6"/>
  <c r="H4257" i="6" s="1"/>
  <c r="F4257" i="6"/>
  <c r="J4256" i="6"/>
  <c r="G4256" i="6"/>
  <c r="H4256" i="6" s="1"/>
  <c r="F4256" i="6"/>
  <c r="J4255" i="6"/>
  <c r="G4255" i="6"/>
  <c r="H4255" i="6" s="1"/>
  <c r="F4255" i="6"/>
  <c r="J4254" i="6"/>
  <c r="G4254" i="6"/>
  <c r="H4254" i="6" s="1"/>
  <c r="F4254" i="6"/>
  <c r="J4253" i="6"/>
  <c r="G4253" i="6"/>
  <c r="H4253" i="6" s="1"/>
  <c r="F4253" i="6"/>
  <c r="J4252" i="6"/>
  <c r="G4252" i="6"/>
  <c r="H4252" i="6" s="1"/>
  <c r="F4252" i="6"/>
  <c r="J4251" i="6"/>
  <c r="G4251" i="6"/>
  <c r="H4251" i="6" s="1"/>
  <c r="F4251" i="6"/>
  <c r="J4250" i="6"/>
  <c r="G4250" i="6"/>
  <c r="H4250" i="6" s="1"/>
  <c r="F4250" i="6"/>
  <c r="J4249" i="6"/>
  <c r="G4249" i="6"/>
  <c r="H4249" i="6" s="1"/>
  <c r="F4249" i="6"/>
  <c r="J4248" i="6"/>
  <c r="G4248" i="6"/>
  <c r="H4248" i="6" s="1"/>
  <c r="F4248" i="6"/>
  <c r="J4247" i="6"/>
  <c r="G4247" i="6"/>
  <c r="H4247" i="6" s="1"/>
  <c r="F4247" i="6"/>
  <c r="J4246" i="6"/>
  <c r="G4246" i="6"/>
  <c r="H4246" i="6" s="1"/>
  <c r="F4246" i="6"/>
  <c r="J4245" i="6"/>
  <c r="G4245" i="6"/>
  <c r="H4245" i="6" s="1"/>
  <c r="F4245" i="6"/>
  <c r="J4244" i="6"/>
  <c r="G4244" i="6"/>
  <c r="H4244" i="6" s="1"/>
  <c r="F4244" i="6"/>
  <c r="J4243" i="6"/>
  <c r="G4243" i="6"/>
  <c r="H4243" i="6" s="1"/>
  <c r="F4243" i="6"/>
  <c r="J4242" i="6"/>
  <c r="G4242" i="6"/>
  <c r="H4242" i="6" s="1"/>
  <c r="F4242" i="6"/>
  <c r="J4241" i="6"/>
  <c r="G4241" i="6"/>
  <c r="H4241" i="6" s="1"/>
  <c r="F4241" i="6"/>
  <c r="J4240" i="6"/>
  <c r="G4240" i="6"/>
  <c r="H4240" i="6" s="1"/>
  <c r="F4240" i="6"/>
  <c r="J4239" i="6"/>
  <c r="G4239" i="6"/>
  <c r="H4239" i="6" s="1"/>
  <c r="F4239" i="6"/>
  <c r="J4238" i="6"/>
  <c r="G4238" i="6"/>
  <c r="H4238" i="6" s="1"/>
  <c r="F4238" i="6"/>
  <c r="J4237" i="6"/>
  <c r="G4237" i="6"/>
  <c r="H4237" i="6" s="1"/>
  <c r="F4237" i="6"/>
  <c r="J4236" i="6"/>
  <c r="G4236" i="6"/>
  <c r="H4236" i="6" s="1"/>
  <c r="F4236" i="6"/>
  <c r="J4235" i="6"/>
  <c r="G4235" i="6"/>
  <c r="H4235" i="6" s="1"/>
  <c r="F4235" i="6"/>
  <c r="J4234" i="6"/>
  <c r="G4234" i="6"/>
  <c r="H4234" i="6" s="1"/>
  <c r="F4234" i="6"/>
  <c r="J4233" i="6"/>
  <c r="G4233" i="6"/>
  <c r="H4233" i="6" s="1"/>
  <c r="F4233" i="6"/>
  <c r="J4232" i="6"/>
  <c r="G4232" i="6"/>
  <c r="H4232" i="6" s="1"/>
  <c r="F4232" i="6"/>
  <c r="J4231" i="6"/>
  <c r="G4231" i="6"/>
  <c r="H4231" i="6" s="1"/>
  <c r="F4231" i="6"/>
  <c r="J4230" i="6"/>
  <c r="G4230" i="6"/>
  <c r="H4230" i="6" s="1"/>
  <c r="F4230" i="6"/>
  <c r="J4229" i="6"/>
  <c r="G4229" i="6"/>
  <c r="H4229" i="6" s="1"/>
  <c r="F4229" i="6"/>
  <c r="J4228" i="6"/>
  <c r="G4228" i="6"/>
  <c r="H4228" i="6" s="1"/>
  <c r="F4228" i="6"/>
  <c r="J4227" i="6"/>
  <c r="G4227" i="6"/>
  <c r="H4227" i="6" s="1"/>
  <c r="F4227" i="6"/>
  <c r="J4226" i="6"/>
  <c r="G4226" i="6"/>
  <c r="H4226" i="6" s="1"/>
  <c r="F4226" i="6"/>
  <c r="J4225" i="6"/>
  <c r="G4225" i="6"/>
  <c r="H4225" i="6" s="1"/>
  <c r="F4225" i="6"/>
  <c r="J4224" i="6"/>
  <c r="G4224" i="6"/>
  <c r="H4224" i="6" s="1"/>
  <c r="F4224" i="6"/>
  <c r="J4223" i="6"/>
  <c r="G4223" i="6"/>
  <c r="H4223" i="6" s="1"/>
  <c r="F4223" i="6"/>
  <c r="J4222" i="6"/>
  <c r="G4222" i="6"/>
  <c r="H4222" i="6" s="1"/>
  <c r="F4222" i="6"/>
  <c r="J4221" i="6"/>
  <c r="G4221" i="6"/>
  <c r="H4221" i="6" s="1"/>
  <c r="F4221" i="6"/>
  <c r="J4220" i="6"/>
  <c r="G4220" i="6"/>
  <c r="H4220" i="6" s="1"/>
  <c r="F4220" i="6"/>
  <c r="J4219" i="6"/>
  <c r="G4219" i="6"/>
  <c r="H4219" i="6" s="1"/>
  <c r="F4219" i="6"/>
  <c r="J4218" i="6"/>
  <c r="G4218" i="6"/>
  <c r="H4218" i="6" s="1"/>
  <c r="F4218" i="6"/>
  <c r="J4217" i="6"/>
  <c r="G4217" i="6"/>
  <c r="H4217" i="6" s="1"/>
  <c r="F4217" i="6"/>
  <c r="J4216" i="6"/>
  <c r="G4216" i="6"/>
  <c r="H4216" i="6" s="1"/>
  <c r="F4216" i="6"/>
  <c r="J4215" i="6"/>
  <c r="G4215" i="6"/>
  <c r="H4215" i="6" s="1"/>
  <c r="F4215" i="6"/>
  <c r="J4214" i="6"/>
  <c r="G4214" i="6"/>
  <c r="H4214" i="6" s="1"/>
  <c r="F4214" i="6"/>
  <c r="J4213" i="6"/>
  <c r="G4213" i="6"/>
  <c r="H4213" i="6" s="1"/>
  <c r="F4213" i="6"/>
  <c r="J4212" i="6"/>
  <c r="G4212" i="6"/>
  <c r="H4212" i="6" s="1"/>
  <c r="F4212" i="6"/>
  <c r="J4211" i="6"/>
  <c r="G4211" i="6"/>
  <c r="H4211" i="6" s="1"/>
  <c r="F4211" i="6"/>
  <c r="J4210" i="6"/>
  <c r="G4210" i="6"/>
  <c r="H4210" i="6" s="1"/>
  <c r="F4210" i="6"/>
  <c r="J4209" i="6"/>
  <c r="G4209" i="6"/>
  <c r="H4209" i="6" s="1"/>
  <c r="F4209" i="6"/>
  <c r="J4208" i="6"/>
  <c r="G4208" i="6"/>
  <c r="H4208" i="6" s="1"/>
  <c r="F4208" i="6"/>
  <c r="J4207" i="6"/>
  <c r="G4207" i="6"/>
  <c r="H4207" i="6" s="1"/>
  <c r="F4207" i="6"/>
  <c r="J4206" i="6"/>
  <c r="G4206" i="6"/>
  <c r="H4206" i="6" s="1"/>
  <c r="F4206" i="6"/>
  <c r="J4205" i="6"/>
  <c r="G4205" i="6"/>
  <c r="H4205" i="6" s="1"/>
  <c r="F4205" i="6"/>
  <c r="J4204" i="6"/>
  <c r="G4204" i="6"/>
  <c r="H4204" i="6" s="1"/>
  <c r="F4204" i="6"/>
  <c r="J4203" i="6"/>
  <c r="G4203" i="6"/>
  <c r="H4203" i="6" s="1"/>
  <c r="F4203" i="6"/>
  <c r="J4202" i="6"/>
  <c r="G4202" i="6"/>
  <c r="H4202" i="6" s="1"/>
  <c r="F4202" i="6"/>
  <c r="J4201" i="6"/>
  <c r="G4201" i="6"/>
  <c r="H4201" i="6" s="1"/>
  <c r="F4201" i="6"/>
  <c r="J4200" i="6"/>
  <c r="G4200" i="6"/>
  <c r="H4200" i="6" s="1"/>
  <c r="F4200" i="6"/>
  <c r="J4199" i="6"/>
  <c r="G4199" i="6"/>
  <c r="H4199" i="6" s="1"/>
  <c r="F4199" i="6"/>
  <c r="J4198" i="6"/>
  <c r="G4198" i="6"/>
  <c r="H4198" i="6" s="1"/>
  <c r="F4198" i="6"/>
  <c r="J4197" i="6"/>
  <c r="G4197" i="6"/>
  <c r="H4197" i="6" s="1"/>
  <c r="F4197" i="6"/>
  <c r="J4196" i="6"/>
  <c r="G4196" i="6"/>
  <c r="H4196" i="6" s="1"/>
  <c r="F4196" i="6"/>
  <c r="J4195" i="6"/>
  <c r="G4195" i="6"/>
  <c r="H4195" i="6" s="1"/>
  <c r="F4195" i="6"/>
  <c r="J4194" i="6"/>
  <c r="G4194" i="6"/>
  <c r="H4194" i="6" s="1"/>
  <c r="F4194" i="6"/>
  <c r="J4193" i="6"/>
  <c r="G4193" i="6"/>
  <c r="H4193" i="6" s="1"/>
  <c r="F4193" i="6"/>
  <c r="J4192" i="6"/>
  <c r="G4192" i="6"/>
  <c r="H4192" i="6" s="1"/>
  <c r="F4192" i="6"/>
  <c r="J4191" i="6"/>
  <c r="G4191" i="6"/>
  <c r="H4191" i="6" s="1"/>
  <c r="F4191" i="6"/>
  <c r="J4190" i="6"/>
  <c r="G4190" i="6"/>
  <c r="H4190" i="6" s="1"/>
  <c r="F4190" i="6"/>
  <c r="J4189" i="6"/>
  <c r="G4189" i="6"/>
  <c r="H4189" i="6" s="1"/>
  <c r="F4189" i="6"/>
  <c r="J4188" i="6"/>
  <c r="G4188" i="6"/>
  <c r="H4188" i="6" s="1"/>
  <c r="F4188" i="6"/>
  <c r="J4187" i="6"/>
  <c r="G4187" i="6"/>
  <c r="H4187" i="6" s="1"/>
  <c r="F4187" i="6"/>
  <c r="J4186" i="6"/>
  <c r="G4186" i="6"/>
  <c r="H4186" i="6" s="1"/>
  <c r="F4186" i="6"/>
  <c r="J4185" i="6"/>
  <c r="G4185" i="6"/>
  <c r="H4185" i="6" s="1"/>
  <c r="F4185" i="6"/>
  <c r="J4184" i="6"/>
  <c r="G4184" i="6"/>
  <c r="H4184" i="6" s="1"/>
  <c r="F4184" i="6"/>
  <c r="J4183" i="6"/>
  <c r="G4183" i="6"/>
  <c r="H4183" i="6" s="1"/>
  <c r="F4183" i="6"/>
  <c r="J4182" i="6"/>
  <c r="G4182" i="6"/>
  <c r="H4182" i="6" s="1"/>
  <c r="F4182" i="6"/>
  <c r="J4181" i="6"/>
  <c r="G4181" i="6"/>
  <c r="H4181" i="6" s="1"/>
  <c r="F4181" i="6"/>
  <c r="J4180" i="6"/>
  <c r="G4180" i="6"/>
  <c r="H4180" i="6" s="1"/>
  <c r="F4180" i="6"/>
  <c r="J4179" i="6"/>
  <c r="G4179" i="6"/>
  <c r="H4179" i="6" s="1"/>
  <c r="F4179" i="6"/>
  <c r="J4178" i="6"/>
  <c r="G4178" i="6"/>
  <c r="H4178" i="6" s="1"/>
  <c r="F4178" i="6"/>
  <c r="J4177" i="6"/>
  <c r="G4177" i="6"/>
  <c r="H4177" i="6" s="1"/>
  <c r="F4177" i="6"/>
  <c r="J4176" i="6"/>
  <c r="G4176" i="6"/>
  <c r="H4176" i="6" s="1"/>
  <c r="F4176" i="6"/>
  <c r="J4175" i="6"/>
  <c r="G4175" i="6"/>
  <c r="H4175" i="6" s="1"/>
  <c r="F4175" i="6"/>
  <c r="J4174" i="6"/>
  <c r="G4174" i="6"/>
  <c r="H4174" i="6" s="1"/>
  <c r="F4174" i="6"/>
  <c r="J4173" i="6"/>
  <c r="G4173" i="6"/>
  <c r="H4173" i="6" s="1"/>
  <c r="F4173" i="6"/>
  <c r="J4172" i="6"/>
  <c r="G4172" i="6"/>
  <c r="H4172" i="6" s="1"/>
  <c r="F4172" i="6"/>
  <c r="J4171" i="6"/>
  <c r="G4171" i="6"/>
  <c r="H4171" i="6" s="1"/>
  <c r="F4171" i="6"/>
  <c r="J4170" i="6"/>
  <c r="G4170" i="6"/>
  <c r="H4170" i="6" s="1"/>
  <c r="F4170" i="6"/>
  <c r="J4169" i="6"/>
  <c r="G4169" i="6"/>
  <c r="H4169" i="6" s="1"/>
  <c r="F4169" i="6"/>
  <c r="J4168" i="6"/>
  <c r="G4168" i="6"/>
  <c r="H4168" i="6" s="1"/>
  <c r="F4168" i="6"/>
  <c r="J4167" i="6"/>
  <c r="G4167" i="6"/>
  <c r="H4167" i="6" s="1"/>
  <c r="F4167" i="6"/>
  <c r="J4166" i="6"/>
  <c r="G4166" i="6"/>
  <c r="H4166" i="6" s="1"/>
  <c r="F4166" i="6"/>
  <c r="J4165" i="6"/>
  <c r="G4165" i="6"/>
  <c r="H4165" i="6" s="1"/>
  <c r="F4165" i="6"/>
  <c r="J4164" i="6"/>
  <c r="G4164" i="6"/>
  <c r="H4164" i="6" s="1"/>
  <c r="F4164" i="6"/>
  <c r="J4163" i="6"/>
  <c r="G4163" i="6"/>
  <c r="H4163" i="6" s="1"/>
  <c r="F4163" i="6"/>
  <c r="J4162" i="6"/>
  <c r="G4162" i="6"/>
  <c r="H4162" i="6" s="1"/>
  <c r="F4162" i="6"/>
  <c r="J4161" i="6"/>
  <c r="G4161" i="6"/>
  <c r="H4161" i="6" s="1"/>
  <c r="F4161" i="6"/>
  <c r="J4160" i="6"/>
  <c r="G4160" i="6"/>
  <c r="H4160" i="6" s="1"/>
  <c r="F4160" i="6"/>
  <c r="J4159" i="6"/>
  <c r="G4159" i="6"/>
  <c r="H4159" i="6" s="1"/>
  <c r="F4159" i="6"/>
  <c r="J4158" i="6"/>
  <c r="G4158" i="6"/>
  <c r="H4158" i="6" s="1"/>
  <c r="F4158" i="6"/>
  <c r="J4157" i="6"/>
  <c r="G4157" i="6"/>
  <c r="H4157" i="6" s="1"/>
  <c r="F4157" i="6"/>
  <c r="J4156" i="6"/>
  <c r="G4156" i="6"/>
  <c r="H4156" i="6" s="1"/>
  <c r="F4156" i="6"/>
  <c r="J4155" i="6"/>
  <c r="G4155" i="6"/>
  <c r="H4155" i="6" s="1"/>
  <c r="F4155" i="6"/>
  <c r="J4154" i="6"/>
  <c r="G4154" i="6"/>
  <c r="H4154" i="6" s="1"/>
  <c r="F4154" i="6"/>
  <c r="J4153" i="6"/>
  <c r="G4153" i="6"/>
  <c r="H4153" i="6" s="1"/>
  <c r="F4153" i="6"/>
  <c r="J4152" i="6"/>
  <c r="G4152" i="6"/>
  <c r="H4152" i="6" s="1"/>
  <c r="F4152" i="6"/>
  <c r="J4151" i="6"/>
  <c r="G4151" i="6"/>
  <c r="H4151" i="6" s="1"/>
  <c r="F4151" i="6"/>
  <c r="J4150" i="6"/>
  <c r="G4150" i="6"/>
  <c r="H4150" i="6" s="1"/>
  <c r="F4150" i="6"/>
  <c r="J4149" i="6"/>
  <c r="G4149" i="6"/>
  <c r="H4149" i="6" s="1"/>
  <c r="F4149" i="6"/>
  <c r="J4148" i="6"/>
  <c r="G4148" i="6"/>
  <c r="H4148" i="6" s="1"/>
  <c r="F4148" i="6"/>
  <c r="J4147" i="6"/>
  <c r="G4147" i="6"/>
  <c r="H4147" i="6" s="1"/>
  <c r="F4147" i="6"/>
  <c r="J4146" i="6"/>
  <c r="G4146" i="6"/>
  <c r="H4146" i="6" s="1"/>
  <c r="F4146" i="6"/>
  <c r="J4145" i="6"/>
  <c r="G4145" i="6"/>
  <c r="H4145" i="6" s="1"/>
  <c r="F4145" i="6"/>
  <c r="J4144" i="6"/>
  <c r="G4144" i="6"/>
  <c r="H4144" i="6" s="1"/>
  <c r="F4144" i="6"/>
  <c r="J4143" i="6"/>
  <c r="G4143" i="6"/>
  <c r="H4143" i="6" s="1"/>
  <c r="F4143" i="6"/>
  <c r="J4142" i="6"/>
  <c r="G4142" i="6"/>
  <c r="H4142" i="6" s="1"/>
  <c r="F4142" i="6"/>
  <c r="J4141" i="6"/>
  <c r="G4141" i="6"/>
  <c r="H4141" i="6" s="1"/>
  <c r="F4141" i="6"/>
  <c r="J4140" i="6"/>
  <c r="G4140" i="6"/>
  <c r="H4140" i="6" s="1"/>
  <c r="F4140" i="6"/>
  <c r="J4139" i="6"/>
  <c r="G4139" i="6"/>
  <c r="H4139" i="6" s="1"/>
  <c r="F4139" i="6"/>
  <c r="J4138" i="6"/>
  <c r="G4138" i="6"/>
  <c r="H4138" i="6" s="1"/>
  <c r="F4138" i="6"/>
  <c r="J4137" i="6"/>
  <c r="G4137" i="6"/>
  <c r="H4137" i="6" s="1"/>
  <c r="F4137" i="6"/>
  <c r="J4136" i="6"/>
  <c r="G4136" i="6"/>
  <c r="H4136" i="6" s="1"/>
  <c r="F4136" i="6"/>
  <c r="J4135" i="6"/>
  <c r="G4135" i="6"/>
  <c r="H4135" i="6" s="1"/>
  <c r="F4135" i="6"/>
  <c r="J4134" i="6"/>
  <c r="G4134" i="6"/>
  <c r="H4134" i="6" s="1"/>
  <c r="F4134" i="6"/>
  <c r="J4133" i="6"/>
  <c r="G4133" i="6"/>
  <c r="H4133" i="6" s="1"/>
  <c r="F4133" i="6"/>
  <c r="J4132" i="6"/>
  <c r="G4132" i="6"/>
  <c r="H4132" i="6" s="1"/>
  <c r="F4132" i="6"/>
  <c r="J4131" i="6"/>
  <c r="G4131" i="6"/>
  <c r="H4131" i="6" s="1"/>
  <c r="F4131" i="6"/>
  <c r="J4130" i="6"/>
  <c r="G4130" i="6"/>
  <c r="H4130" i="6" s="1"/>
  <c r="F4130" i="6"/>
  <c r="J4129" i="6"/>
  <c r="G4129" i="6"/>
  <c r="H4129" i="6" s="1"/>
  <c r="F4129" i="6"/>
  <c r="J4128" i="6"/>
  <c r="G4128" i="6"/>
  <c r="H4128" i="6" s="1"/>
  <c r="F4128" i="6"/>
  <c r="J4127" i="6"/>
  <c r="G4127" i="6"/>
  <c r="H4127" i="6" s="1"/>
  <c r="F4127" i="6"/>
  <c r="J4126" i="6"/>
  <c r="G4126" i="6"/>
  <c r="H4126" i="6" s="1"/>
  <c r="F4126" i="6"/>
  <c r="J4125" i="6"/>
  <c r="G4125" i="6"/>
  <c r="H4125" i="6" s="1"/>
  <c r="F4125" i="6"/>
  <c r="J4124" i="6"/>
  <c r="G4124" i="6"/>
  <c r="H4124" i="6" s="1"/>
  <c r="F4124" i="6"/>
  <c r="J4123" i="6"/>
  <c r="G4123" i="6"/>
  <c r="H4123" i="6" s="1"/>
  <c r="F4123" i="6"/>
  <c r="J4122" i="6"/>
  <c r="G4122" i="6"/>
  <c r="H4122" i="6" s="1"/>
  <c r="F4122" i="6"/>
  <c r="J4121" i="6"/>
  <c r="G4121" i="6"/>
  <c r="H4121" i="6" s="1"/>
  <c r="F4121" i="6"/>
  <c r="J4120" i="6"/>
  <c r="G4120" i="6"/>
  <c r="H4120" i="6" s="1"/>
  <c r="F4120" i="6"/>
  <c r="J4119" i="6"/>
  <c r="G4119" i="6"/>
  <c r="H4119" i="6" s="1"/>
  <c r="F4119" i="6"/>
  <c r="J4118" i="6"/>
  <c r="G4118" i="6"/>
  <c r="H4118" i="6" s="1"/>
  <c r="F4118" i="6"/>
  <c r="J4117" i="6"/>
  <c r="G4117" i="6"/>
  <c r="H4117" i="6" s="1"/>
  <c r="F4117" i="6"/>
  <c r="J4116" i="6"/>
  <c r="G4116" i="6"/>
  <c r="H4116" i="6" s="1"/>
  <c r="F4116" i="6"/>
  <c r="J4115" i="6"/>
  <c r="G4115" i="6"/>
  <c r="H4115" i="6" s="1"/>
  <c r="F4115" i="6"/>
  <c r="J4114" i="6"/>
  <c r="G4114" i="6"/>
  <c r="H4114" i="6" s="1"/>
  <c r="F4114" i="6"/>
  <c r="J4113" i="6"/>
  <c r="G4113" i="6"/>
  <c r="H4113" i="6" s="1"/>
  <c r="F4113" i="6"/>
  <c r="J4112" i="6"/>
  <c r="G4112" i="6"/>
  <c r="H4112" i="6" s="1"/>
  <c r="F4112" i="6"/>
  <c r="J4111" i="6"/>
  <c r="G4111" i="6"/>
  <c r="H4111" i="6" s="1"/>
  <c r="F4111" i="6"/>
  <c r="J4110" i="6"/>
  <c r="G4110" i="6"/>
  <c r="H4110" i="6" s="1"/>
  <c r="F4110" i="6"/>
  <c r="J4109" i="6"/>
  <c r="G4109" i="6"/>
  <c r="H4109" i="6" s="1"/>
  <c r="F4109" i="6"/>
  <c r="J4108" i="6"/>
  <c r="G4108" i="6"/>
  <c r="H4108" i="6" s="1"/>
  <c r="F4108" i="6"/>
  <c r="J4107" i="6"/>
  <c r="G4107" i="6"/>
  <c r="H4107" i="6" s="1"/>
  <c r="F4107" i="6"/>
  <c r="J4106" i="6"/>
  <c r="J4105" i="6"/>
  <c r="J4104" i="6"/>
  <c r="J4103" i="6"/>
  <c r="J4102" i="6"/>
  <c r="J4101" i="6"/>
  <c r="J4100" i="6"/>
  <c r="J4099" i="6"/>
  <c r="J4098" i="6"/>
  <c r="J4097" i="6"/>
  <c r="J4096" i="6"/>
  <c r="J4095" i="6"/>
  <c r="J4094" i="6"/>
  <c r="J4093" i="6"/>
  <c r="J4092" i="6"/>
  <c r="J4091" i="6"/>
  <c r="J4090" i="6"/>
  <c r="J4089" i="6"/>
  <c r="J4088" i="6"/>
  <c r="J4087" i="6"/>
  <c r="J4086" i="6"/>
  <c r="J4085" i="6"/>
  <c r="J4084" i="6"/>
  <c r="J4083" i="6"/>
  <c r="J4082" i="6"/>
  <c r="J4081" i="6"/>
  <c r="J4080" i="6"/>
  <c r="J4079" i="6"/>
  <c r="J4078" i="6"/>
  <c r="J4077" i="6"/>
  <c r="J4076" i="6"/>
  <c r="J4075" i="6"/>
  <c r="J4074" i="6"/>
  <c r="J4073" i="6"/>
  <c r="J4072" i="6"/>
  <c r="J4071" i="6"/>
  <c r="J4070" i="6"/>
  <c r="J4069" i="6"/>
  <c r="J4068" i="6"/>
  <c r="J4067" i="6"/>
  <c r="J4066" i="6"/>
  <c r="J4065" i="6"/>
  <c r="J4064" i="6"/>
  <c r="J4063" i="6"/>
  <c r="J4062" i="6"/>
  <c r="J4061" i="6"/>
  <c r="J4060" i="6"/>
  <c r="J4059" i="6"/>
  <c r="J4058" i="6"/>
  <c r="J4057" i="6"/>
  <c r="J4056" i="6"/>
  <c r="J4055" i="6"/>
  <c r="J4054" i="6"/>
  <c r="J4053" i="6"/>
  <c r="J4052" i="6"/>
  <c r="J4051" i="6"/>
  <c r="J4050" i="6"/>
  <c r="J4049" i="6"/>
  <c r="J4048" i="6"/>
  <c r="J4047" i="6"/>
  <c r="J4046" i="6"/>
  <c r="J4045" i="6"/>
  <c r="J4044" i="6"/>
  <c r="J4043" i="6"/>
  <c r="J4042" i="6"/>
  <c r="J4041" i="6"/>
  <c r="J4040" i="6"/>
  <c r="J4039" i="6"/>
  <c r="J4038" i="6"/>
  <c r="J4037" i="6"/>
  <c r="J4036" i="6"/>
  <c r="J4035" i="6"/>
  <c r="J4034" i="6"/>
  <c r="J4033" i="6"/>
  <c r="J4032" i="6"/>
  <c r="J4031" i="6"/>
  <c r="J4030" i="6"/>
  <c r="J4029" i="6"/>
  <c r="J4028" i="6"/>
  <c r="J4027" i="6"/>
  <c r="J4026" i="6"/>
  <c r="J4025" i="6"/>
  <c r="J4024" i="6"/>
  <c r="J4023" i="6"/>
  <c r="J4022" i="6"/>
  <c r="J4021" i="6"/>
  <c r="J4020" i="6"/>
  <c r="J4019" i="6"/>
  <c r="J4018" i="6"/>
  <c r="J4017" i="6"/>
  <c r="J4016" i="6"/>
  <c r="J4015" i="6"/>
  <c r="J4014" i="6"/>
  <c r="J4013" i="6"/>
  <c r="J4012" i="6"/>
  <c r="J4011" i="6"/>
  <c r="J4010" i="6"/>
  <c r="J4009" i="6"/>
  <c r="J4008" i="6"/>
  <c r="J4007" i="6"/>
  <c r="J4006" i="6"/>
  <c r="J4005" i="6"/>
  <c r="J4004" i="6"/>
  <c r="J4003" i="6"/>
  <c r="J4002" i="6"/>
  <c r="J4001" i="6"/>
  <c r="J4000" i="6"/>
  <c r="J3999" i="6"/>
  <c r="J3998" i="6"/>
  <c r="J3997" i="6"/>
  <c r="J3996" i="6"/>
  <c r="J3995" i="6"/>
  <c r="J3994" i="6"/>
  <c r="J3993" i="6"/>
  <c r="J3992" i="6"/>
  <c r="J3991" i="6"/>
  <c r="J3990" i="6"/>
  <c r="J3989" i="6"/>
  <c r="J3988" i="6"/>
  <c r="J3987" i="6"/>
  <c r="J3986" i="6"/>
  <c r="J3985" i="6"/>
  <c r="J3984" i="6"/>
  <c r="J3983" i="6"/>
  <c r="J3982" i="6"/>
  <c r="J3981" i="6"/>
  <c r="J3980" i="6"/>
  <c r="J3979" i="6"/>
  <c r="J3978" i="6"/>
  <c r="J3977" i="6"/>
  <c r="J3976" i="6"/>
  <c r="J3975" i="6"/>
  <c r="J3974" i="6"/>
  <c r="J3973" i="6"/>
  <c r="J3972" i="6"/>
  <c r="J3971" i="6"/>
  <c r="J3970" i="6"/>
  <c r="J3969" i="6"/>
  <c r="J3968" i="6"/>
  <c r="J3967" i="6"/>
  <c r="J3966" i="6"/>
  <c r="J3965" i="6"/>
  <c r="J3964" i="6"/>
  <c r="J3963" i="6"/>
  <c r="J3962" i="6"/>
  <c r="J3961" i="6"/>
  <c r="J3960" i="6"/>
  <c r="J3959" i="6"/>
  <c r="J3958" i="6"/>
  <c r="J3957" i="6"/>
  <c r="J3956" i="6"/>
  <c r="J3955" i="6"/>
  <c r="J3954" i="6"/>
  <c r="J3953" i="6"/>
  <c r="J3952" i="6"/>
  <c r="J3951" i="6"/>
  <c r="J3950" i="6"/>
  <c r="J3949" i="6"/>
  <c r="J3948" i="6"/>
  <c r="J3947" i="6"/>
  <c r="J3946" i="6"/>
  <c r="J3945" i="6"/>
  <c r="J3944" i="6"/>
  <c r="J3943" i="6"/>
  <c r="J3942" i="6"/>
  <c r="J3941" i="6"/>
  <c r="J3940" i="6"/>
  <c r="J3939" i="6"/>
  <c r="J3938" i="6"/>
  <c r="J3937" i="6"/>
  <c r="J3936" i="6"/>
  <c r="J3935" i="6"/>
  <c r="J3934" i="6"/>
  <c r="J3933" i="6"/>
  <c r="J3932" i="6"/>
  <c r="J3931" i="6"/>
  <c r="J3930" i="6"/>
  <c r="J3929" i="6"/>
  <c r="J3928" i="6"/>
  <c r="J3927" i="6"/>
  <c r="J3926" i="6"/>
  <c r="J3925" i="6"/>
  <c r="J3924" i="6"/>
  <c r="J3923" i="6"/>
  <c r="J3922" i="6"/>
  <c r="J3921" i="6"/>
  <c r="J3920" i="6"/>
  <c r="J3919" i="6"/>
  <c r="J3918" i="6"/>
  <c r="J3917" i="6"/>
  <c r="J3916" i="6"/>
  <c r="J3915" i="6"/>
  <c r="J3914" i="6"/>
  <c r="J3913" i="6"/>
  <c r="J3912" i="6"/>
  <c r="J3911" i="6"/>
  <c r="J3910" i="6"/>
  <c r="J3909" i="6"/>
  <c r="J3908" i="6"/>
  <c r="J3907" i="6"/>
  <c r="J3906" i="6"/>
  <c r="J3905" i="6"/>
  <c r="J3904" i="6"/>
  <c r="J3903" i="6"/>
  <c r="J3902" i="6"/>
  <c r="J3901" i="6"/>
  <c r="J3900" i="6"/>
  <c r="J3899" i="6"/>
  <c r="J3898" i="6"/>
  <c r="J3897" i="6"/>
  <c r="J3896" i="6"/>
  <c r="J3895" i="6"/>
  <c r="J3894" i="6"/>
  <c r="J3893" i="6"/>
  <c r="J3892" i="6"/>
  <c r="J3891" i="6"/>
  <c r="J3890" i="6"/>
  <c r="J3889" i="6"/>
  <c r="J3888" i="6"/>
  <c r="J3887" i="6"/>
  <c r="J3886" i="6"/>
  <c r="J3885" i="6"/>
  <c r="J3884" i="6"/>
  <c r="J3883" i="6"/>
  <c r="J3882" i="6"/>
  <c r="J3881" i="6"/>
  <c r="J3880" i="6"/>
  <c r="J3879" i="6"/>
  <c r="J3878" i="6"/>
  <c r="J3877" i="6"/>
  <c r="J3876" i="6"/>
  <c r="J3875" i="6"/>
  <c r="J3874" i="6"/>
  <c r="J3873" i="6"/>
  <c r="J3872" i="6"/>
  <c r="J3871" i="6"/>
  <c r="J3870" i="6"/>
  <c r="J3869" i="6"/>
  <c r="J3868" i="6"/>
  <c r="J3867" i="6"/>
  <c r="J3866" i="6"/>
  <c r="J3865" i="6"/>
  <c r="J3864" i="6"/>
  <c r="J3863" i="6"/>
  <c r="J3862" i="6"/>
  <c r="J3861" i="6"/>
  <c r="J3860" i="6"/>
  <c r="J3859" i="6"/>
  <c r="J3858" i="6"/>
  <c r="J3857" i="6"/>
  <c r="J3856" i="6"/>
  <c r="J3855" i="6"/>
  <c r="J3854" i="6"/>
  <c r="J3853" i="6"/>
  <c r="J3852" i="6"/>
  <c r="J3851" i="6"/>
  <c r="J3850" i="6"/>
  <c r="J3849" i="6"/>
  <c r="J3848" i="6"/>
  <c r="J3847" i="6"/>
  <c r="J3846" i="6"/>
  <c r="J3845" i="6"/>
  <c r="J3844" i="6"/>
  <c r="J3843" i="6"/>
  <c r="J3842" i="6"/>
  <c r="J3841" i="6"/>
  <c r="J3840" i="6"/>
  <c r="J3839" i="6"/>
  <c r="J3838" i="6"/>
  <c r="J3837" i="6"/>
  <c r="J3836" i="6"/>
  <c r="J3835" i="6"/>
  <c r="J3834" i="6"/>
  <c r="J3833" i="6"/>
  <c r="J3832" i="6"/>
  <c r="J3831" i="6"/>
  <c r="J3830" i="6"/>
  <c r="J3829" i="6"/>
  <c r="J3828" i="6"/>
  <c r="J3827" i="6"/>
  <c r="J3826" i="6"/>
  <c r="J3825" i="6"/>
  <c r="J3824" i="6"/>
  <c r="J3823" i="6"/>
  <c r="J3822" i="6"/>
  <c r="J3821" i="6"/>
  <c r="J3820" i="6"/>
  <c r="J3819" i="6"/>
  <c r="J3818" i="6"/>
  <c r="J3817" i="6"/>
  <c r="J3816" i="6"/>
  <c r="J3815" i="6"/>
  <c r="J3814" i="6"/>
  <c r="J3813" i="6"/>
  <c r="J3812" i="6"/>
  <c r="J3811" i="6"/>
  <c r="J3810" i="6"/>
  <c r="J3809" i="6"/>
  <c r="J3808" i="6"/>
  <c r="J3807" i="6"/>
  <c r="J3806" i="6"/>
  <c r="J3805" i="6"/>
  <c r="J3804" i="6"/>
  <c r="J3803" i="6"/>
  <c r="J3802" i="6"/>
  <c r="J3801" i="6"/>
  <c r="J3800" i="6"/>
  <c r="J3799" i="6"/>
  <c r="J3798" i="6"/>
  <c r="J3797" i="6"/>
  <c r="J3796" i="6"/>
  <c r="J3795" i="6"/>
  <c r="J3794" i="6"/>
  <c r="J3793" i="6"/>
  <c r="J3792" i="6"/>
  <c r="J3791" i="6"/>
  <c r="J3790" i="6"/>
  <c r="J3789" i="6"/>
  <c r="J3788" i="6"/>
  <c r="J3787" i="6"/>
  <c r="J3786" i="6"/>
  <c r="J3785" i="6"/>
  <c r="J3784" i="6"/>
  <c r="J3783" i="6"/>
  <c r="J3782" i="6"/>
  <c r="J3781" i="6"/>
  <c r="J3780" i="6"/>
  <c r="J3779" i="6"/>
  <c r="J3778" i="6"/>
  <c r="J3777" i="6"/>
  <c r="J3776" i="6"/>
  <c r="J3775" i="6"/>
  <c r="J3774" i="6"/>
  <c r="J3773" i="6"/>
  <c r="J3772" i="6"/>
  <c r="J3771" i="6"/>
  <c r="J3770" i="6"/>
  <c r="J3769" i="6"/>
  <c r="J3768" i="6"/>
  <c r="J3767" i="6"/>
  <c r="J3766" i="6"/>
  <c r="J3765" i="6"/>
  <c r="J3764" i="6"/>
  <c r="J3763" i="6"/>
  <c r="J3762" i="6"/>
  <c r="J3761" i="6"/>
  <c r="J3760" i="6"/>
  <c r="J3759" i="6"/>
  <c r="J3758" i="6"/>
  <c r="J3757" i="6"/>
  <c r="J3756" i="6"/>
  <c r="J3755" i="6"/>
  <c r="J3754" i="6"/>
  <c r="J3753" i="6"/>
  <c r="J3752" i="6"/>
  <c r="J3751" i="6"/>
  <c r="J3750" i="6"/>
  <c r="J3749" i="6"/>
  <c r="J3748" i="6"/>
  <c r="J3747" i="6"/>
  <c r="J3746" i="6"/>
  <c r="J3745" i="6"/>
  <c r="J3744" i="6"/>
  <c r="J3743" i="6"/>
  <c r="J3742" i="6"/>
  <c r="J3741" i="6"/>
  <c r="J3740" i="6"/>
  <c r="J3739" i="6"/>
  <c r="J3738" i="6"/>
  <c r="J3737" i="6"/>
  <c r="J3736" i="6"/>
  <c r="J3735" i="6"/>
  <c r="J3734" i="6"/>
  <c r="J3733" i="6"/>
  <c r="J3732" i="6"/>
  <c r="J3731" i="6"/>
  <c r="J3730" i="6"/>
  <c r="J3729" i="6"/>
  <c r="J3728" i="6"/>
  <c r="J3727" i="6"/>
  <c r="J3726" i="6"/>
  <c r="J3725" i="6"/>
  <c r="J3724" i="6"/>
  <c r="J3723" i="6"/>
  <c r="J3722" i="6"/>
  <c r="J3721" i="6"/>
  <c r="J3720" i="6"/>
  <c r="J3719" i="6"/>
  <c r="J3718" i="6"/>
  <c r="J3717" i="6"/>
  <c r="J3716" i="6"/>
  <c r="J3715" i="6"/>
  <c r="J3714" i="6"/>
  <c r="J3713" i="6"/>
  <c r="J3712" i="6"/>
  <c r="J3711" i="6"/>
  <c r="J3710" i="6"/>
  <c r="J3709" i="6"/>
  <c r="J3708" i="6"/>
  <c r="J3707" i="6"/>
  <c r="J3706" i="6"/>
  <c r="J3705" i="6"/>
  <c r="J3704" i="6"/>
  <c r="J3703" i="6"/>
  <c r="J3702" i="6"/>
  <c r="J3701" i="6"/>
  <c r="J3700" i="6"/>
  <c r="J3699" i="6"/>
  <c r="J3698" i="6"/>
  <c r="J3697" i="6"/>
  <c r="J3696" i="6"/>
  <c r="J3695" i="6"/>
  <c r="J3694" i="6"/>
  <c r="J3693" i="6"/>
  <c r="J3692" i="6"/>
  <c r="J3691" i="6"/>
  <c r="J3690" i="6"/>
  <c r="J3689" i="6"/>
  <c r="J3688" i="6"/>
  <c r="J3687" i="6"/>
  <c r="J3686" i="6"/>
  <c r="J3685" i="6"/>
  <c r="J3684" i="6"/>
  <c r="J3683" i="6"/>
  <c r="J3682" i="6"/>
  <c r="J3681" i="6"/>
  <c r="J3680" i="6"/>
  <c r="J3679" i="6"/>
  <c r="J3678" i="6"/>
  <c r="J3677" i="6"/>
  <c r="J3676" i="6"/>
  <c r="J3675" i="6"/>
  <c r="J3674" i="6"/>
  <c r="J3673" i="6"/>
  <c r="J3672" i="6"/>
  <c r="J3671" i="6"/>
  <c r="J3670" i="6"/>
  <c r="J3669" i="6"/>
  <c r="J3668" i="6"/>
  <c r="J3667" i="6"/>
  <c r="J3666" i="6"/>
  <c r="J3665" i="6"/>
  <c r="J3664" i="6"/>
  <c r="J3663" i="6"/>
  <c r="J3662" i="6"/>
  <c r="J3661" i="6"/>
  <c r="J3660" i="6"/>
  <c r="J3659" i="6"/>
  <c r="J3658" i="6"/>
  <c r="J3657" i="6"/>
  <c r="J3656" i="6"/>
  <c r="J3655" i="6"/>
  <c r="J3654" i="6"/>
  <c r="J3653" i="6"/>
  <c r="J3652" i="6"/>
  <c r="J3651" i="6"/>
  <c r="J3650" i="6"/>
  <c r="J3649" i="6"/>
  <c r="J3648" i="6"/>
  <c r="J3647" i="6"/>
  <c r="J3646" i="6"/>
  <c r="J3645" i="6"/>
  <c r="J3644" i="6"/>
  <c r="J3643" i="6"/>
  <c r="J3642" i="6"/>
  <c r="J3641" i="6"/>
  <c r="J3640" i="6"/>
  <c r="J3639" i="6"/>
  <c r="J3638" i="6"/>
  <c r="J3637" i="6"/>
  <c r="J3636" i="6"/>
  <c r="J3635" i="6"/>
  <c r="J3634" i="6"/>
  <c r="J3633" i="6"/>
  <c r="J3632" i="6"/>
  <c r="J3631" i="6"/>
  <c r="J3630" i="6"/>
  <c r="J3629" i="6"/>
  <c r="J3628" i="6"/>
  <c r="J3627" i="6"/>
  <c r="J3626" i="6"/>
  <c r="J3625" i="6"/>
  <c r="J3624" i="6"/>
  <c r="J3623" i="6"/>
  <c r="J3622" i="6"/>
  <c r="J3621" i="6"/>
  <c r="J3620" i="6"/>
  <c r="J3619" i="6"/>
  <c r="J3618" i="6"/>
  <c r="J3617" i="6"/>
  <c r="J3616" i="6"/>
  <c r="J3615" i="6"/>
  <c r="J3614" i="6"/>
  <c r="J3613" i="6"/>
  <c r="J3612" i="6"/>
  <c r="J3611" i="6"/>
  <c r="J3610" i="6"/>
  <c r="J3609" i="6"/>
  <c r="J3608" i="6"/>
  <c r="J3607" i="6"/>
  <c r="J3606" i="6"/>
  <c r="J3605" i="6"/>
  <c r="J3604" i="6"/>
  <c r="J3603" i="6"/>
  <c r="J3602" i="6"/>
  <c r="J3601" i="6"/>
  <c r="J3600" i="6"/>
  <c r="J3599" i="6"/>
  <c r="J3598" i="6"/>
  <c r="J3597" i="6"/>
  <c r="J3596" i="6"/>
  <c r="J3595" i="6"/>
  <c r="J3594" i="6"/>
  <c r="J3593" i="6"/>
  <c r="J3592" i="6"/>
  <c r="J3591" i="6"/>
  <c r="J3590" i="6"/>
  <c r="J3589" i="6"/>
  <c r="J3588" i="6"/>
  <c r="J3587" i="6"/>
  <c r="J3586" i="6"/>
  <c r="J3585" i="6"/>
  <c r="J3584" i="6"/>
  <c r="J3583" i="6"/>
  <c r="J3582" i="6"/>
  <c r="J3581" i="6"/>
  <c r="J3580" i="6"/>
  <c r="J3579" i="6"/>
  <c r="J3578" i="6"/>
  <c r="J3577" i="6"/>
  <c r="J3576" i="6"/>
  <c r="J3575" i="6"/>
  <c r="J3574" i="6"/>
  <c r="J3573" i="6"/>
  <c r="J3572" i="6"/>
  <c r="J3571" i="6"/>
  <c r="J3570" i="6"/>
  <c r="J3569" i="6"/>
  <c r="J3568" i="6"/>
  <c r="J3567" i="6"/>
  <c r="J3566" i="6"/>
  <c r="J3565" i="6"/>
  <c r="J3564" i="6"/>
  <c r="J3563" i="6"/>
  <c r="J3562" i="6"/>
  <c r="J3561" i="6"/>
  <c r="J3560" i="6"/>
  <c r="J3559" i="6"/>
  <c r="J3558" i="6"/>
  <c r="J3557" i="6"/>
  <c r="J3556" i="6"/>
  <c r="J3555" i="6"/>
  <c r="J3554" i="6"/>
  <c r="J3553" i="6"/>
  <c r="J3552" i="6"/>
  <c r="J3551" i="6"/>
  <c r="J3550" i="6"/>
  <c r="J3549" i="6"/>
  <c r="J3548" i="6"/>
  <c r="J3547" i="6"/>
  <c r="J3546" i="6"/>
  <c r="J3545" i="6"/>
  <c r="J3544" i="6"/>
  <c r="J3543" i="6"/>
  <c r="J3542" i="6"/>
  <c r="J3541" i="6"/>
  <c r="J3540" i="6"/>
  <c r="J3539" i="6"/>
  <c r="J3538" i="6"/>
  <c r="J3537" i="6"/>
  <c r="J3536" i="6"/>
  <c r="J3535" i="6"/>
  <c r="J3534" i="6"/>
  <c r="J3533" i="6"/>
  <c r="J3532" i="6"/>
  <c r="J3531" i="6"/>
  <c r="J3530" i="6"/>
  <c r="J3529" i="6"/>
  <c r="J3528" i="6"/>
  <c r="J3527" i="6"/>
  <c r="J3526" i="6"/>
  <c r="J3525" i="6"/>
  <c r="J3524" i="6"/>
  <c r="J3523" i="6"/>
  <c r="J3522" i="6"/>
  <c r="J3521" i="6"/>
  <c r="J3520" i="6"/>
  <c r="J3519" i="6"/>
  <c r="J3518" i="6"/>
  <c r="J3517" i="6"/>
  <c r="J3516" i="6"/>
  <c r="J3515" i="6"/>
  <c r="J3514" i="6"/>
  <c r="J3513" i="6"/>
  <c r="J3512" i="6"/>
  <c r="J3511" i="6"/>
  <c r="J3510" i="6"/>
  <c r="J3509" i="6"/>
  <c r="J3508" i="6"/>
  <c r="J3507" i="6"/>
  <c r="J3506" i="6"/>
  <c r="J3505" i="6"/>
  <c r="J3504" i="6"/>
  <c r="J3503" i="6"/>
  <c r="J3502" i="6"/>
  <c r="J3501" i="6"/>
  <c r="J3500" i="6"/>
  <c r="J3499" i="6"/>
  <c r="J3498" i="6"/>
  <c r="J3497" i="6"/>
  <c r="J3496" i="6"/>
  <c r="J3495" i="6"/>
  <c r="J3494" i="6"/>
  <c r="J3493" i="6"/>
  <c r="J3492" i="6"/>
  <c r="J3491" i="6"/>
  <c r="J3490" i="6"/>
  <c r="J3489" i="6"/>
  <c r="J3488" i="6"/>
  <c r="J3487" i="6"/>
  <c r="J3486" i="6"/>
  <c r="J3485" i="6"/>
  <c r="J3484" i="6"/>
  <c r="J3483" i="6"/>
  <c r="J3482" i="6"/>
  <c r="J3481" i="6"/>
  <c r="J3480" i="6"/>
  <c r="J3479" i="6"/>
  <c r="J3478" i="6"/>
  <c r="J3477" i="6"/>
  <c r="J3476" i="6"/>
  <c r="J3475" i="6"/>
  <c r="J3474" i="6"/>
  <c r="J3473" i="6"/>
  <c r="J3472" i="6"/>
  <c r="J3471" i="6"/>
  <c r="J3470" i="6"/>
  <c r="J3469" i="6"/>
  <c r="J3468" i="6"/>
  <c r="J3467" i="6"/>
  <c r="J3466" i="6"/>
  <c r="J3465" i="6"/>
  <c r="J3464" i="6"/>
  <c r="J3463" i="6"/>
  <c r="J3462" i="6"/>
  <c r="J3461" i="6"/>
  <c r="J3460" i="6"/>
  <c r="J3459" i="6"/>
  <c r="J3458" i="6"/>
  <c r="J3457" i="6"/>
  <c r="J3456" i="6"/>
  <c r="J3455" i="6"/>
  <c r="J3454" i="6"/>
  <c r="J3453" i="6"/>
  <c r="J3452" i="6"/>
  <c r="J3451" i="6"/>
  <c r="J3450" i="6"/>
  <c r="J3449" i="6"/>
  <c r="J3448" i="6"/>
  <c r="J3447" i="6"/>
  <c r="J3446" i="6"/>
  <c r="J3445" i="6"/>
  <c r="J3444" i="6"/>
  <c r="J3443" i="6"/>
  <c r="J3442" i="6"/>
  <c r="J3441" i="6"/>
  <c r="J3440" i="6"/>
  <c r="J3439" i="6"/>
  <c r="J3438" i="6"/>
  <c r="J3437" i="6"/>
  <c r="J3436" i="6"/>
  <c r="J3435" i="6"/>
  <c r="J3434" i="6"/>
  <c r="J3433" i="6"/>
  <c r="J3432" i="6"/>
  <c r="J3431" i="6"/>
  <c r="J3430" i="6"/>
  <c r="J3429" i="6"/>
  <c r="J3428" i="6"/>
  <c r="J3427" i="6"/>
  <c r="J3426" i="6"/>
  <c r="J3425" i="6"/>
  <c r="J3424" i="6"/>
  <c r="J3423" i="6"/>
  <c r="J3422" i="6"/>
  <c r="J3421" i="6"/>
  <c r="J3420" i="6"/>
  <c r="J3419" i="6"/>
  <c r="J3418" i="6"/>
  <c r="J3417" i="6"/>
  <c r="J3416" i="6"/>
  <c r="J3415" i="6"/>
  <c r="J3414" i="6"/>
  <c r="J3413" i="6"/>
  <c r="J3412" i="6"/>
  <c r="J3411" i="6"/>
  <c r="J3410" i="6"/>
  <c r="J3409" i="6"/>
  <c r="J3408" i="6"/>
  <c r="J3407" i="6"/>
  <c r="J3406" i="6"/>
  <c r="J3405" i="6"/>
  <c r="J3404" i="6"/>
  <c r="J3403" i="6"/>
  <c r="J3402" i="6"/>
  <c r="J3401" i="6"/>
  <c r="J3400" i="6"/>
  <c r="J3399" i="6"/>
  <c r="J3398" i="6"/>
  <c r="J3397" i="6"/>
  <c r="J3396" i="6"/>
  <c r="J3395" i="6"/>
  <c r="J3394" i="6"/>
  <c r="J3393" i="6"/>
  <c r="J3392" i="6"/>
  <c r="J3391" i="6"/>
  <c r="J3390" i="6"/>
  <c r="J3389" i="6"/>
  <c r="J3388" i="6"/>
  <c r="J3387" i="6"/>
  <c r="J3386" i="6"/>
  <c r="J3385" i="6"/>
  <c r="J3384" i="6"/>
  <c r="J3383" i="6"/>
  <c r="J3382" i="6"/>
  <c r="J3381" i="6"/>
  <c r="J3380" i="6"/>
  <c r="J3379" i="6"/>
  <c r="J3378" i="6"/>
  <c r="J3377" i="6"/>
  <c r="J3376" i="6"/>
  <c r="J3375" i="6"/>
  <c r="J3374" i="6"/>
  <c r="J3373" i="6"/>
  <c r="J3372" i="6"/>
  <c r="J3371" i="6"/>
  <c r="J3370" i="6"/>
  <c r="J3369" i="6"/>
  <c r="J3368" i="6"/>
  <c r="J3367" i="6"/>
  <c r="J3366" i="6"/>
  <c r="J3365" i="6"/>
  <c r="J3364" i="6"/>
  <c r="J3363" i="6"/>
  <c r="J3362" i="6"/>
  <c r="J3361" i="6"/>
  <c r="J3360" i="6"/>
  <c r="J3359" i="6"/>
  <c r="J3358" i="6"/>
  <c r="J3357" i="6"/>
  <c r="J3356" i="6"/>
  <c r="J3355" i="6"/>
  <c r="J3354" i="6"/>
  <c r="J3353" i="6"/>
  <c r="J3352" i="6"/>
  <c r="J3351" i="6"/>
  <c r="J3350" i="6"/>
  <c r="J3349" i="6"/>
  <c r="J3348" i="6"/>
  <c r="J3347" i="6"/>
  <c r="J3346" i="6"/>
  <c r="J3345" i="6"/>
  <c r="J3344" i="6"/>
  <c r="J3343" i="6"/>
  <c r="J3342" i="6"/>
  <c r="J3341" i="6"/>
  <c r="J3340" i="6"/>
  <c r="J3339" i="6"/>
  <c r="J3338" i="6"/>
  <c r="J3337" i="6"/>
  <c r="J3336" i="6"/>
  <c r="J3335" i="6"/>
  <c r="J3334" i="6"/>
  <c r="J3333" i="6"/>
  <c r="J3332" i="6"/>
  <c r="J3331" i="6"/>
  <c r="J3330" i="6"/>
  <c r="J3329" i="6"/>
  <c r="J3328" i="6"/>
  <c r="J3327" i="6"/>
  <c r="J3326" i="6"/>
  <c r="J3325" i="6"/>
  <c r="J3324" i="6"/>
  <c r="J3323" i="6"/>
  <c r="J3322" i="6"/>
  <c r="J3321" i="6"/>
  <c r="J3320" i="6"/>
  <c r="J3319" i="6"/>
  <c r="J3318" i="6"/>
  <c r="J3317" i="6"/>
  <c r="J3316" i="6"/>
  <c r="J3315" i="6"/>
  <c r="J3314" i="6"/>
  <c r="J3313" i="6"/>
  <c r="J3312" i="6"/>
  <c r="J3311" i="6"/>
  <c r="J3310" i="6"/>
  <c r="J3309" i="6"/>
  <c r="J3308" i="6"/>
  <c r="J3307" i="6"/>
  <c r="J3306" i="6"/>
  <c r="J3305" i="6"/>
  <c r="J3304" i="6"/>
  <c r="J3303" i="6"/>
  <c r="J3302" i="6"/>
  <c r="J3301" i="6"/>
  <c r="J3300" i="6"/>
  <c r="J3299" i="6"/>
  <c r="J3298" i="6"/>
  <c r="J3297" i="6"/>
  <c r="J3296" i="6"/>
  <c r="J3295" i="6"/>
  <c r="J3294" i="6"/>
  <c r="J3293" i="6"/>
  <c r="J3292" i="6"/>
  <c r="J3291" i="6"/>
  <c r="J3290" i="6"/>
  <c r="J3289" i="6"/>
  <c r="J3288" i="6"/>
  <c r="J3287" i="6"/>
  <c r="J3286" i="6"/>
  <c r="J3285" i="6"/>
  <c r="J3284" i="6"/>
  <c r="J3283" i="6"/>
  <c r="J3282" i="6"/>
  <c r="J3281" i="6"/>
  <c r="J3280" i="6"/>
  <c r="J3279" i="6"/>
  <c r="J3278" i="6"/>
  <c r="J3277" i="6"/>
  <c r="J3276" i="6"/>
  <c r="J3275" i="6"/>
  <c r="J3274" i="6"/>
  <c r="J3273" i="6"/>
  <c r="J3272" i="6"/>
  <c r="J3271" i="6"/>
  <c r="J3270" i="6"/>
  <c r="J3269" i="6"/>
  <c r="J3268" i="6"/>
  <c r="J3267" i="6"/>
  <c r="J3266" i="6"/>
  <c r="J3265" i="6"/>
  <c r="J3264" i="6"/>
  <c r="J3263" i="6"/>
  <c r="J3262" i="6"/>
  <c r="J3261" i="6"/>
  <c r="J3260" i="6"/>
  <c r="J3259" i="6"/>
  <c r="J3258" i="6"/>
  <c r="J3257" i="6"/>
  <c r="J3256" i="6"/>
  <c r="J3255" i="6"/>
  <c r="J3254" i="6"/>
  <c r="J3253" i="6"/>
  <c r="J3252" i="6"/>
  <c r="J3251" i="6"/>
  <c r="J3250" i="6"/>
  <c r="J3249" i="6"/>
  <c r="J3248" i="6"/>
  <c r="J3247" i="6"/>
  <c r="J3246" i="6"/>
  <c r="J3245" i="6"/>
  <c r="J3244" i="6"/>
  <c r="J3243" i="6"/>
  <c r="J3242" i="6"/>
  <c r="J3241" i="6"/>
  <c r="J3240" i="6"/>
  <c r="J3239" i="6"/>
  <c r="J3238" i="6"/>
  <c r="J3237" i="6"/>
  <c r="J3236" i="6"/>
  <c r="J3235" i="6"/>
  <c r="J3234" i="6"/>
  <c r="J3233" i="6"/>
  <c r="J3232" i="6"/>
  <c r="J3231" i="6"/>
  <c r="J3230" i="6"/>
  <c r="J3229" i="6"/>
  <c r="J3228" i="6"/>
  <c r="J3227" i="6"/>
  <c r="J3226" i="6"/>
  <c r="J3225" i="6"/>
  <c r="J3224" i="6"/>
  <c r="J3223" i="6"/>
  <c r="J3222" i="6"/>
  <c r="J3221" i="6"/>
  <c r="J3220" i="6"/>
  <c r="J3219" i="6"/>
  <c r="J3218" i="6"/>
  <c r="J3217" i="6"/>
  <c r="J3216" i="6"/>
  <c r="J3215" i="6"/>
  <c r="J3214" i="6"/>
  <c r="J3213" i="6"/>
  <c r="J3212" i="6"/>
  <c r="J3211" i="6"/>
  <c r="J3210" i="6"/>
  <c r="J3209" i="6"/>
  <c r="J3208" i="6"/>
  <c r="J3207" i="6"/>
  <c r="J3206" i="6"/>
  <c r="J3205" i="6"/>
  <c r="J3204" i="6"/>
  <c r="J3203" i="6"/>
  <c r="J3202" i="6"/>
  <c r="J3201" i="6"/>
  <c r="J3200" i="6"/>
  <c r="J3199" i="6"/>
  <c r="J3198" i="6"/>
  <c r="J3197" i="6"/>
  <c r="J3196" i="6"/>
  <c r="J3195" i="6"/>
  <c r="J3194" i="6"/>
  <c r="J3193" i="6"/>
  <c r="J3192" i="6"/>
  <c r="J3191" i="6"/>
  <c r="J3190" i="6"/>
  <c r="J3189" i="6"/>
  <c r="J3188" i="6"/>
  <c r="J3187" i="6"/>
  <c r="J3186" i="6"/>
  <c r="J3185" i="6"/>
  <c r="J3184" i="6"/>
  <c r="J3183" i="6"/>
  <c r="J3182" i="6"/>
  <c r="J3181" i="6"/>
  <c r="J3180" i="6"/>
  <c r="J3179" i="6"/>
  <c r="J3178" i="6"/>
  <c r="J3177" i="6"/>
  <c r="J3176" i="6"/>
  <c r="J3175" i="6"/>
  <c r="J3174" i="6"/>
  <c r="J3173" i="6"/>
  <c r="J3172" i="6"/>
  <c r="J3171" i="6"/>
  <c r="J3170" i="6"/>
  <c r="J3169" i="6"/>
  <c r="J3168" i="6"/>
  <c r="J3167" i="6"/>
  <c r="J3166" i="6"/>
  <c r="J3165" i="6"/>
  <c r="J3164" i="6"/>
  <c r="J3163" i="6"/>
  <c r="J3162" i="6"/>
  <c r="J3161" i="6"/>
  <c r="J3160" i="6"/>
  <c r="J3159" i="6"/>
  <c r="J3158" i="6"/>
  <c r="J3157" i="6"/>
  <c r="J3156" i="6"/>
  <c r="J3155" i="6"/>
  <c r="J3154" i="6"/>
  <c r="J3153" i="6"/>
  <c r="J3152" i="6"/>
  <c r="J3151" i="6"/>
  <c r="J3150" i="6"/>
  <c r="J3149" i="6"/>
  <c r="J3148" i="6"/>
  <c r="J3147" i="6"/>
  <c r="J3146" i="6"/>
  <c r="J3145" i="6"/>
  <c r="J3144" i="6"/>
  <c r="J3143" i="6"/>
  <c r="J3142" i="6"/>
  <c r="J3141" i="6"/>
  <c r="J3140" i="6"/>
  <c r="J3139" i="6"/>
  <c r="J3138" i="6"/>
  <c r="J3137" i="6"/>
  <c r="J3136" i="6"/>
  <c r="J3135" i="6"/>
  <c r="J3134" i="6"/>
  <c r="J3133" i="6"/>
  <c r="J3132" i="6"/>
  <c r="J3131" i="6"/>
  <c r="J3130" i="6"/>
  <c r="J3129" i="6"/>
  <c r="J3128" i="6"/>
  <c r="J3127" i="6"/>
  <c r="J3126" i="6"/>
  <c r="J3125" i="6"/>
  <c r="J3124" i="6"/>
  <c r="J3123" i="6"/>
  <c r="J3122" i="6"/>
  <c r="J3121" i="6"/>
  <c r="J3120" i="6"/>
  <c r="J3119" i="6"/>
  <c r="J3118" i="6"/>
  <c r="J3117" i="6"/>
  <c r="J3116" i="6"/>
  <c r="J3115" i="6"/>
  <c r="J3114" i="6"/>
  <c r="J3113" i="6"/>
  <c r="J3112" i="6"/>
  <c r="J3111" i="6"/>
  <c r="J3110" i="6"/>
  <c r="J3109" i="6"/>
  <c r="J3108" i="6"/>
  <c r="J3107" i="6"/>
  <c r="J3106" i="6"/>
  <c r="J3105" i="6"/>
  <c r="J3104" i="6"/>
  <c r="J3103" i="6"/>
  <c r="J3102" i="6"/>
  <c r="J3101" i="6"/>
  <c r="J3100" i="6"/>
  <c r="J3099" i="6"/>
  <c r="J3098" i="6"/>
  <c r="J3097" i="6"/>
  <c r="J3096" i="6"/>
  <c r="J3095" i="6"/>
  <c r="J3094" i="6"/>
  <c r="J3093" i="6"/>
  <c r="J3092" i="6"/>
  <c r="J3091" i="6"/>
  <c r="J3090" i="6"/>
  <c r="J3089" i="6"/>
  <c r="J3088" i="6"/>
  <c r="J3087" i="6"/>
  <c r="J3086" i="6"/>
  <c r="J3085" i="6"/>
  <c r="J3084" i="6"/>
  <c r="J3083" i="6"/>
  <c r="J3082" i="6"/>
  <c r="J3081" i="6"/>
  <c r="J3080" i="6"/>
  <c r="J3079" i="6"/>
  <c r="J3078" i="6"/>
  <c r="J3077" i="6"/>
  <c r="J3076" i="6"/>
  <c r="J3075" i="6"/>
  <c r="J3074" i="6"/>
  <c r="J3073" i="6"/>
  <c r="J3072" i="6"/>
  <c r="J3071" i="6"/>
  <c r="J3070" i="6"/>
  <c r="J3069" i="6"/>
  <c r="J3068" i="6"/>
  <c r="J3067" i="6"/>
  <c r="J3066" i="6"/>
  <c r="J3065" i="6"/>
  <c r="J3064" i="6"/>
  <c r="J3063" i="6"/>
  <c r="J3062" i="6"/>
  <c r="J3061" i="6"/>
  <c r="J3060" i="6"/>
  <c r="J3059" i="6"/>
  <c r="J3058" i="6"/>
  <c r="J3057" i="6"/>
  <c r="J3056" i="6"/>
  <c r="J3055" i="6"/>
  <c r="J3054" i="6"/>
  <c r="J3053" i="6"/>
  <c r="J3052" i="6"/>
  <c r="J3051" i="6"/>
  <c r="J3050" i="6"/>
  <c r="J3049" i="6"/>
  <c r="J3048" i="6"/>
  <c r="J3047" i="6"/>
  <c r="J3046" i="6"/>
  <c r="J3045" i="6"/>
  <c r="J3044" i="6"/>
  <c r="J3043" i="6"/>
  <c r="J3042" i="6"/>
  <c r="J3041" i="6"/>
  <c r="J3040" i="6"/>
  <c r="J3039" i="6"/>
  <c r="J3038" i="6"/>
  <c r="J3037" i="6"/>
  <c r="J3036" i="6"/>
  <c r="J3035" i="6"/>
  <c r="J3034" i="6"/>
  <c r="J3033" i="6"/>
  <c r="J3032" i="6"/>
  <c r="J3031" i="6"/>
  <c r="J3030" i="6"/>
  <c r="J3029" i="6"/>
  <c r="J3028" i="6"/>
  <c r="J3027" i="6"/>
  <c r="J3026" i="6"/>
  <c r="J3025" i="6"/>
  <c r="J3024" i="6"/>
  <c r="J3023" i="6"/>
  <c r="J3022" i="6"/>
  <c r="J3021" i="6"/>
  <c r="J3020" i="6"/>
  <c r="J3019" i="6"/>
  <c r="J3018" i="6"/>
  <c r="J3017" i="6"/>
  <c r="J3016" i="6"/>
  <c r="J3015" i="6"/>
  <c r="J3014" i="6"/>
  <c r="J3013" i="6"/>
  <c r="J3012" i="6"/>
  <c r="J3011" i="6"/>
  <c r="J3010" i="6"/>
  <c r="J3009" i="6"/>
  <c r="J3008" i="6"/>
  <c r="J3007" i="6"/>
  <c r="J3006" i="6"/>
  <c r="J3005" i="6"/>
  <c r="J3004" i="6"/>
  <c r="J3003" i="6"/>
  <c r="J3002" i="6"/>
  <c r="J3001" i="6"/>
  <c r="J3000" i="6"/>
  <c r="J2999" i="6"/>
  <c r="J2998" i="6"/>
  <c r="J2997" i="6"/>
  <c r="J2996" i="6"/>
  <c r="J2995" i="6"/>
  <c r="J2994" i="6"/>
  <c r="J2993" i="6"/>
  <c r="J2992" i="6"/>
  <c r="J2991" i="6"/>
  <c r="J2990" i="6"/>
  <c r="J2989" i="6"/>
  <c r="J2988" i="6"/>
  <c r="J2987" i="6"/>
  <c r="J2986" i="6"/>
  <c r="J2985" i="6"/>
  <c r="J2984" i="6"/>
  <c r="J2983" i="6"/>
  <c r="J2982" i="6"/>
  <c r="J2981" i="6"/>
  <c r="J2980" i="6"/>
  <c r="J2979" i="6"/>
  <c r="J2978" i="6"/>
  <c r="J2977" i="6"/>
  <c r="J2976" i="6"/>
  <c r="J2975" i="6"/>
  <c r="J2974" i="6"/>
  <c r="J2973" i="6"/>
  <c r="J2972" i="6"/>
  <c r="J2971" i="6"/>
  <c r="J2970" i="6"/>
  <c r="J2969" i="6"/>
  <c r="J2968" i="6"/>
  <c r="J2967" i="6"/>
  <c r="J2966" i="6"/>
  <c r="J2965" i="6"/>
  <c r="J2964" i="6"/>
  <c r="J2963" i="6"/>
  <c r="J2962" i="6"/>
  <c r="J2961" i="6"/>
  <c r="J2960" i="6"/>
  <c r="J2959" i="6"/>
  <c r="J2958" i="6"/>
  <c r="J2957" i="6"/>
  <c r="J2956" i="6"/>
  <c r="J2955" i="6"/>
  <c r="J2954" i="6"/>
  <c r="J2953" i="6"/>
  <c r="J2952" i="6"/>
  <c r="J2951" i="6"/>
  <c r="J2950" i="6"/>
  <c r="J2949" i="6"/>
  <c r="J2948" i="6"/>
  <c r="J2947" i="6"/>
  <c r="J2946" i="6"/>
  <c r="J2945" i="6"/>
  <c r="J2944" i="6"/>
  <c r="J2943" i="6"/>
  <c r="J2942" i="6"/>
  <c r="J2941" i="6"/>
  <c r="J2940" i="6"/>
  <c r="J2939" i="6"/>
  <c r="J2938" i="6"/>
  <c r="J2937" i="6"/>
  <c r="J2936" i="6"/>
  <c r="J2935" i="6"/>
  <c r="J2934" i="6"/>
  <c r="J2933" i="6"/>
  <c r="J2932" i="6"/>
  <c r="J2931" i="6"/>
  <c r="J2930" i="6"/>
  <c r="J2929" i="6"/>
  <c r="J2928" i="6"/>
  <c r="J2927" i="6"/>
  <c r="J2926" i="6"/>
  <c r="J2925" i="6"/>
  <c r="J2924" i="6"/>
  <c r="J2923" i="6"/>
  <c r="J2922" i="6"/>
  <c r="J2921" i="6"/>
  <c r="J2920" i="6"/>
  <c r="J2919" i="6"/>
  <c r="J2918" i="6"/>
  <c r="J2917" i="6"/>
  <c r="J2916" i="6"/>
  <c r="J2915" i="6"/>
  <c r="J2914" i="6"/>
  <c r="J2913" i="6"/>
  <c r="J2912" i="6"/>
  <c r="J2911" i="6"/>
  <c r="J2910" i="6"/>
  <c r="J2909" i="6"/>
  <c r="J2908" i="6"/>
  <c r="J2907" i="6"/>
  <c r="J2906" i="6"/>
  <c r="J2905" i="6"/>
  <c r="J2904" i="6"/>
  <c r="J2903" i="6"/>
  <c r="J2902" i="6"/>
  <c r="J2901" i="6"/>
  <c r="J2900" i="6"/>
  <c r="J2899" i="6"/>
  <c r="J2898" i="6"/>
  <c r="J2897" i="6"/>
  <c r="J2896" i="6"/>
  <c r="J2895" i="6"/>
  <c r="J2894" i="6"/>
  <c r="J2893" i="6"/>
  <c r="J2892" i="6"/>
  <c r="J2891" i="6"/>
  <c r="J2890" i="6"/>
  <c r="J2889" i="6"/>
  <c r="J2888" i="6"/>
  <c r="J2887" i="6"/>
  <c r="J2886" i="6"/>
  <c r="J2885" i="6"/>
  <c r="J2884" i="6"/>
  <c r="J2883" i="6"/>
  <c r="J2882" i="6"/>
  <c r="J2881" i="6"/>
  <c r="J2880" i="6"/>
  <c r="J2879" i="6"/>
  <c r="J2878" i="6"/>
  <c r="J2877" i="6"/>
  <c r="J2876" i="6"/>
  <c r="J2875" i="6"/>
  <c r="J2874" i="6"/>
  <c r="J2873" i="6"/>
  <c r="J2872" i="6"/>
  <c r="J2871" i="6"/>
  <c r="J2870" i="6"/>
  <c r="J2869" i="6"/>
  <c r="J2868" i="6"/>
  <c r="J2867" i="6"/>
  <c r="J2866" i="6"/>
  <c r="J2865" i="6"/>
  <c r="J2864" i="6"/>
  <c r="J2863" i="6"/>
  <c r="J2862" i="6"/>
  <c r="J2861" i="6"/>
  <c r="J2860" i="6"/>
  <c r="J2859" i="6"/>
  <c r="J2858" i="6"/>
  <c r="J2857" i="6"/>
  <c r="J2856" i="6"/>
  <c r="J2855" i="6"/>
  <c r="J2854" i="6"/>
  <c r="J2853" i="6"/>
  <c r="J2852" i="6"/>
  <c r="J2851" i="6"/>
  <c r="J2850" i="6"/>
  <c r="J2849" i="6"/>
  <c r="J2848" i="6"/>
  <c r="J2847" i="6"/>
  <c r="J2846" i="6"/>
  <c r="J2845" i="6"/>
  <c r="J2844" i="6"/>
  <c r="J2843" i="6"/>
  <c r="J2842" i="6"/>
  <c r="J2841" i="6"/>
  <c r="J2840" i="6"/>
  <c r="J2839" i="6"/>
  <c r="J2838" i="6"/>
  <c r="J2837" i="6"/>
  <c r="J2836" i="6"/>
  <c r="J2835" i="6"/>
  <c r="J2834" i="6"/>
  <c r="J2833" i="6"/>
  <c r="J2832" i="6"/>
  <c r="J2831" i="6"/>
  <c r="J2830" i="6"/>
  <c r="J2829" i="6"/>
  <c r="J2828" i="6"/>
  <c r="J2827" i="6"/>
  <c r="J2826" i="6"/>
  <c r="J2825" i="6"/>
  <c r="J2824" i="6"/>
  <c r="J2823" i="6"/>
  <c r="J2822" i="6"/>
  <c r="J2821" i="6"/>
  <c r="J2820" i="6"/>
  <c r="J2819" i="6"/>
  <c r="J2818" i="6"/>
  <c r="J2817" i="6"/>
  <c r="J2816" i="6"/>
  <c r="J2815" i="6"/>
  <c r="J2814" i="6"/>
  <c r="J2813" i="6"/>
  <c r="J2812" i="6"/>
  <c r="J2811" i="6"/>
  <c r="J2810" i="6"/>
  <c r="J2809" i="6"/>
  <c r="J2808" i="6"/>
  <c r="J2807" i="6"/>
  <c r="J2806" i="6"/>
  <c r="J2805" i="6"/>
  <c r="J2804" i="6"/>
  <c r="J2803" i="6"/>
  <c r="J2802" i="6"/>
  <c r="J2801" i="6"/>
  <c r="J2800" i="6"/>
  <c r="J2799" i="6"/>
  <c r="J2798" i="6"/>
  <c r="J2797" i="6"/>
  <c r="J2796" i="6"/>
  <c r="J2795" i="6"/>
  <c r="J2794" i="6"/>
  <c r="J2793" i="6"/>
  <c r="J2792" i="6"/>
  <c r="J2791" i="6"/>
  <c r="J2790" i="6"/>
  <c r="J2789" i="6"/>
  <c r="J2788" i="6"/>
  <c r="J2787" i="6"/>
  <c r="J2786" i="6"/>
  <c r="J2785" i="6"/>
  <c r="J2784" i="6"/>
  <c r="J2783" i="6"/>
  <c r="J2782" i="6"/>
  <c r="J2781" i="6"/>
  <c r="J2780" i="6"/>
  <c r="J2779" i="6"/>
  <c r="J2778" i="6"/>
  <c r="J2777" i="6"/>
  <c r="J2776" i="6"/>
  <c r="J2775" i="6"/>
  <c r="J2774" i="6"/>
  <c r="J2773" i="6"/>
  <c r="J2772" i="6"/>
  <c r="J2771" i="6"/>
  <c r="J2770" i="6"/>
  <c r="J2769" i="6"/>
  <c r="J2768" i="6"/>
  <c r="J2767" i="6"/>
  <c r="J2766" i="6"/>
  <c r="J2765" i="6"/>
  <c r="J2764" i="6"/>
  <c r="J2763" i="6"/>
  <c r="J2762" i="6"/>
  <c r="J2761" i="6"/>
  <c r="J2760" i="6"/>
  <c r="J2759" i="6"/>
  <c r="J2758" i="6"/>
  <c r="J2757" i="6"/>
  <c r="J2756" i="6"/>
  <c r="J2755" i="6"/>
  <c r="J2754" i="6"/>
  <c r="J2753" i="6"/>
  <c r="J2752" i="6"/>
  <c r="J2751" i="6"/>
  <c r="J2750" i="6"/>
  <c r="J2749" i="6"/>
  <c r="J2748" i="6"/>
  <c r="J2747" i="6"/>
  <c r="J2746" i="6"/>
  <c r="J2745" i="6"/>
  <c r="J2744" i="6"/>
  <c r="J2743" i="6"/>
  <c r="J2742" i="6"/>
  <c r="J2741" i="6"/>
  <c r="J2740" i="6"/>
  <c r="J2739" i="6"/>
  <c r="J2738" i="6"/>
  <c r="J2737" i="6"/>
  <c r="J2736" i="6"/>
  <c r="J2735" i="6"/>
  <c r="J2734" i="6"/>
  <c r="J2733" i="6"/>
  <c r="J2732" i="6"/>
  <c r="J2731" i="6"/>
  <c r="J2730" i="6"/>
  <c r="J2729" i="6"/>
  <c r="J2728" i="6"/>
  <c r="J2727" i="6"/>
  <c r="J2726" i="6"/>
  <c r="J2725" i="6"/>
  <c r="J2724" i="6"/>
  <c r="J2723" i="6"/>
  <c r="J2722" i="6"/>
  <c r="J2721" i="6"/>
  <c r="J2720" i="6"/>
  <c r="J2719" i="6"/>
  <c r="J2718" i="6"/>
  <c r="J2717" i="6"/>
  <c r="J2716" i="6"/>
  <c r="J2715" i="6"/>
  <c r="J2714" i="6"/>
  <c r="J2713" i="6"/>
  <c r="J2712" i="6"/>
  <c r="J2711" i="6"/>
  <c r="J2710" i="6"/>
  <c r="J2709" i="6"/>
  <c r="J2708" i="6"/>
  <c r="J2707" i="6"/>
  <c r="J2706" i="6"/>
  <c r="J2705" i="6"/>
  <c r="J2704" i="6"/>
  <c r="J2703" i="6"/>
  <c r="J2702" i="6"/>
  <c r="J2701" i="6"/>
  <c r="J2700" i="6"/>
  <c r="J2699" i="6"/>
  <c r="J2698" i="6"/>
  <c r="J2697" i="6"/>
  <c r="J2696" i="6"/>
  <c r="J2695" i="6"/>
  <c r="J2694" i="6"/>
  <c r="J2693" i="6"/>
  <c r="J2692" i="6"/>
  <c r="J2691" i="6"/>
  <c r="J2690" i="6"/>
  <c r="J2689" i="6"/>
  <c r="J2688" i="6"/>
  <c r="J2687" i="6"/>
  <c r="J2686" i="6"/>
  <c r="J2685" i="6"/>
  <c r="J2684" i="6"/>
  <c r="J2683" i="6"/>
  <c r="J2682" i="6"/>
  <c r="J2681" i="6"/>
  <c r="J2680" i="6"/>
  <c r="J2679" i="6"/>
  <c r="J2678" i="6"/>
  <c r="J2677" i="6"/>
  <c r="J2676" i="6"/>
  <c r="J2675" i="6"/>
  <c r="J2674" i="6"/>
  <c r="J2673" i="6"/>
  <c r="J2672" i="6"/>
  <c r="J2671" i="6"/>
  <c r="J2670" i="6"/>
  <c r="J2669" i="6"/>
  <c r="J2668" i="6"/>
  <c r="J2667" i="6"/>
  <c r="J2666" i="6"/>
  <c r="J2665" i="6"/>
  <c r="J2664" i="6"/>
  <c r="J2663" i="6"/>
  <c r="J2662" i="6"/>
  <c r="J2661" i="6"/>
  <c r="J2660" i="6"/>
  <c r="J2659" i="6"/>
  <c r="J2658" i="6"/>
  <c r="J2657" i="6"/>
  <c r="J2656" i="6"/>
  <c r="J2655" i="6"/>
  <c r="J2654" i="6"/>
  <c r="J2653" i="6"/>
  <c r="J2652" i="6"/>
  <c r="J2651" i="6"/>
  <c r="J2650" i="6"/>
  <c r="J2649" i="6"/>
  <c r="J2648" i="6"/>
  <c r="J2647" i="6"/>
  <c r="J2646" i="6"/>
  <c r="J2645" i="6"/>
  <c r="J2644" i="6"/>
  <c r="J2643" i="6"/>
  <c r="J2642" i="6"/>
  <c r="J2641" i="6"/>
  <c r="J2640" i="6"/>
  <c r="J2639" i="6"/>
  <c r="J2638" i="6"/>
  <c r="J2637" i="6"/>
  <c r="J2636" i="6"/>
  <c r="J2635" i="6"/>
  <c r="J2634" i="6"/>
  <c r="J2633" i="6"/>
  <c r="J2632" i="6"/>
  <c r="J2631" i="6"/>
  <c r="J2630" i="6"/>
  <c r="J2629" i="6"/>
  <c r="J2628" i="6"/>
  <c r="J2627" i="6"/>
  <c r="J2626" i="6"/>
  <c r="J2625" i="6"/>
  <c r="J2624" i="6"/>
  <c r="J2623" i="6"/>
  <c r="J2622" i="6"/>
  <c r="J2621" i="6"/>
  <c r="J2620" i="6"/>
  <c r="J2619" i="6"/>
  <c r="J2618" i="6"/>
  <c r="J2617" i="6"/>
  <c r="J2616" i="6"/>
  <c r="J2615" i="6"/>
  <c r="J2614" i="6"/>
  <c r="J2613" i="6"/>
  <c r="J2612" i="6"/>
  <c r="J2611" i="6"/>
  <c r="J2610" i="6"/>
  <c r="J2609" i="6"/>
  <c r="J2608" i="6"/>
  <c r="J2607" i="6"/>
  <c r="J2606" i="6"/>
  <c r="J2605" i="6"/>
  <c r="J2604" i="6"/>
  <c r="J2603" i="6"/>
  <c r="J2602" i="6"/>
  <c r="J2601" i="6"/>
  <c r="J2600" i="6"/>
  <c r="J2599" i="6"/>
  <c r="J2598" i="6"/>
  <c r="J2597" i="6"/>
  <c r="J2596" i="6"/>
  <c r="J2595" i="6"/>
  <c r="J2594" i="6"/>
  <c r="J2593" i="6"/>
  <c r="J2592" i="6"/>
  <c r="J2591" i="6"/>
  <c r="J2590" i="6"/>
  <c r="J2589" i="6"/>
  <c r="J2588" i="6"/>
  <c r="J2587" i="6"/>
  <c r="J2586" i="6"/>
  <c r="J2585" i="6"/>
  <c r="J2584" i="6"/>
  <c r="J2583" i="6"/>
  <c r="J2582" i="6"/>
  <c r="J2581" i="6"/>
  <c r="J2580" i="6"/>
  <c r="J2579" i="6"/>
  <c r="J2578" i="6"/>
  <c r="J2577" i="6"/>
  <c r="J2576" i="6"/>
  <c r="J2575" i="6"/>
  <c r="J2574" i="6"/>
  <c r="J2573" i="6"/>
  <c r="J2572" i="6"/>
  <c r="J2571" i="6"/>
  <c r="J2570" i="6"/>
  <c r="J2569" i="6"/>
  <c r="J2568" i="6"/>
  <c r="J2567" i="6"/>
  <c r="J2566" i="6"/>
  <c r="J2565" i="6"/>
  <c r="J2564" i="6"/>
  <c r="J2563" i="6"/>
  <c r="J2562" i="6"/>
  <c r="J2561" i="6"/>
  <c r="J2560" i="6"/>
  <c r="J2559" i="6"/>
  <c r="J2558" i="6"/>
  <c r="J2557" i="6"/>
  <c r="J2556" i="6"/>
  <c r="J2555" i="6"/>
  <c r="J2554" i="6"/>
  <c r="J2553" i="6"/>
  <c r="J2552" i="6"/>
  <c r="J2551" i="6"/>
  <c r="J2550" i="6"/>
  <c r="J2549" i="6"/>
  <c r="J2548" i="6"/>
  <c r="J2547" i="6"/>
  <c r="J2546" i="6"/>
  <c r="J2545" i="6"/>
  <c r="J2544" i="6"/>
  <c r="J2543" i="6"/>
  <c r="J2542" i="6"/>
  <c r="J2541" i="6"/>
  <c r="J2540" i="6"/>
  <c r="J2539" i="6"/>
  <c r="J2538" i="6"/>
  <c r="J2537" i="6"/>
  <c r="J2536" i="6"/>
  <c r="J2535" i="6"/>
  <c r="J2534" i="6"/>
  <c r="J2533" i="6"/>
  <c r="J2532" i="6"/>
  <c r="J2531" i="6"/>
  <c r="J2530" i="6"/>
  <c r="J2529" i="6"/>
  <c r="J2528" i="6"/>
  <c r="J2527" i="6"/>
  <c r="J2526" i="6"/>
  <c r="J2525" i="6"/>
  <c r="J2524" i="6"/>
  <c r="J2523" i="6"/>
  <c r="J2522" i="6"/>
  <c r="J2521" i="6"/>
  <c r="J2520" i="6"/>
  <c r="J2519" i="6"/>
  <c r="J2518" i="6"/>
  <c r="J2517" i="6"/>
  <c r="J2516" i="6"/>
  <c r="J2515" i="6"/>
  <c r="J2514" i="6"/>
  <c r="J2513" i="6"/>
  <c r="J2512" i="6"/>
  <c r="J2511" i="6"/>
  <c r="J2510" i="6"/>
  <c r="J2509" i="6"/>
  <c r="J2508" i="6"/>
  <c r="J2507" i="6"/>
  <c r="J2506" i="6"/>
  <c r="J2505" i="6"/>
  <c r="J2504" i="6"/>
  <c r="J2503" i="6"/>
  <c r="J2502" i="6"/>
  <c r="J2501" i="6"/>
  <c r="J2500" i="6"/>
  <c r="J2499" i="6"/>
  <c r="J2498" i="6"/>
  <c r="J2497" i="6"/>
  <c r="J2496" i="6"/>
  <c r="J2495" i="6"/>
  <c r="J2494" i="6"/>
  <c r="J2493" i="6"/>
  <c r="J2492" i="6"/>
  <c r="J2491" i="6"/>
  <c r="J2490" i="6"/>
  <c r="J2489" i="6"/>
  <c r="J2488" i="6"/>
  <c r="J2487" i="6"/>
  <c r="J2486" i="6"/>
  <c r="J2485" i="6"/>
  <c r="J2484" i="6"/>
  <c r="J2483" i="6"/>
  <c r="J2482" i="6"/>
  <c r="J2481" i="6"/>
  <c r="J2480" i="6"/>
  <c r="J2479" i="6"/>
  <c r="J2478" i="6"/>
  <c r="J2477" i="6"/>
  <c r="J2476" i="6"/>
  <c r="J2475" i="6"/>
  <c r="J2474" i="6"/>
  <c r="J2473" i="6"/>
  <c r="J2472" i="6"/>
  <c r="J2471" i="6"/>
  <c r="J2470" i="6"/>
  <c r="J2469" i="6"/>
  <c r="J2468" i="6"/>
  <c r="J2467" i="6"/>
  <c r="J2466" i="6"/>
  <c r="J2465" i="6"/>
  <c r="J2464" i="6"/>
  <c r="J2463" i="6"/>
  <c r="J2462" i="6"/>
  <c r="J2461" i="6"/>
  <c r="J2460" i="6"/>
  <c r="J2459" i="6"/>
  <c r="J2458" i="6"/>
  <c r="J2457" i="6"/>
  <c r="J2456" i="6"/>
  <c r="J2455" i="6"/>
  <c r="J2454" i="6"/>
  <c r="J2453" i="6"/>
  <c r="J2452" i="6"/>
  <c r="J2451" i="6"/>
  <c r="J2450" i="6"/>
  <c r="J2449" i="6"/>
  <c r="J2448" i="6"/>
  <c r="J2447" i="6"/>
  <c r="J2446" i="6"/>
  <c r="J2445" i="6"/>
  <c r="J2444" i="6"/>
  <c r="J2443" i="6"/>
  <c r="J2442" i="6"/>
  <c r="J2441" i="6"/>
  <c r="J2440" i="6"/>
  <c r="J2439" i="6"/>
  <c r="J2438" i="6"/>
  <c r="J2437" i="6"/>
  <c r="J2436" i="6"/>
  <c r="J2435" i="6"/>
  <c r="J2434" i="6"/>
  <c r="J2433" i="6"/>
  <c r="J2432" i="6"/>
  <c r="J2431" i="6"/>
  <c r="J2430" i="6"/>
  <c r="J2429" i="6"/>
  <c r="J2428" i="6"/>
  <c r="J2427" i="6"/>
  <c r="J2426" i="6"/>
  <c r="J2425" i="6"/>
  <c r="J2424" i="6"/>
  <c r="J2423" i="6"/>
  <c r="J2422" i="6"/>
  <c r="J2421" i="6"/>
  <c r="J2420" i="6"/>
  <c r="J2419" i="6"/>
  <c r="J2418" i="6"/>
  <c r="J2417" i="6"/>
  <c r="J2416" i="6"/>
  <c r="J2415" i="6"/>
  <c r="J2414" i="6"/>
  <c r="J2413" i="6"/>
  <c r="J2412" i="6"/>
  <c r="J2411" i="6"/>
  <c r="J2410" i="6"/>
  <c r="J2409" i="6"/>
  <c r="J2408" i="6"/>
  <c r="J2407" i="6"/>
  <c r="J2406" i="6"/>
  <c r="J2405" i="6"/>
  <c r="J2404" i="6"/>
  <c r="J2403" i="6"/>
  <c r="J2402" i="6"/>
  <c r="J2401" i="6"/>
  <c r="J2400" i="6"/>
  <c r="J2399" i="6"/>
  <c r="J2398" i="6"/>
  <c r="J2397" i="6"/>
  <c r="J2396" i="6"/>
  <c r="J2395" i="6"/>
  <c r="J2394" i="6"/>
  <c r="J2393" i="6"/>
  <c r="J2392" i="6"/>
  <c r="J2391" i="6"/>
  <c r="J2390" i="6"/>
  <c r="J2389" i="6"/>
  <c r="J2388" i="6"/>
  <c r="J2387" i="6"/>
  <c r="J2386" i="6"/>
  <c r="J2385" i="6"/>
  <c r="J2384" i="6"/>
  <c r="J2383" i="6"/>
  <c r="J2382" i="6"/>
  <c r="J2381" i="6"/>
  <c r="J2380" i="6"/>
  <c r="J2379" i="6"/>
  <c r="J2378" i="6"/>
  <c r="J2377" i="6"/>
  <c r="J2376" i="6"/>
  <c r="J2375" i="6"/>
  <c r="J2374" i="6"/>
  <c r="J2373" i="6"/>
  <c r="J2372" i="6"/>
  <c r="J2371" i="6"/>
  <c r="J2370" i="6"/>
  <c r="J2369" i="6"/>
  <c r="J2368" i="6"/>
  <c r="J2367" i="6"/>
  <c r="J2366" i="6"/>
  <c r="J2365" i="6"/>
  <c r="J2364" i="6"/>
  <c r="J2363" i="6"/>
  <c r="J2362" i="6"/>
  <c r="J2361" i="6"/>
  <c r="J2360" i="6"/>
  <c r="J2359" i="6"/>
  <c r="J2358" i="6"/>
  <c r="J2357" i="6"/>
  <c r="J2356" i="6"/>
  <c r="J2355" i="6"/>
  <c r="J2354" i="6"/>
  <c r="J2353" i="6"/>
  <c r="J2352" i="6"/>
  <c r="J2351" i="6"/>
  <c r="J2350" i="6"/>
  <c r="J2349" i="6"/>
  <c r="J2348" i="6"/>
  <c r="J2347" i="6"/>
  <c r="J2346" i="6"/>
  <c r="J2345" i="6"/>
  <c r="J2344" i="6"/>
  <c r="J2343" i="6"/>
  <c r="J2342" i="6"/>
  <c r="J2341" i="6"/>
  <c r="J2340" i="6"/>
  <c r="J2339" i="6"/>
  <c r="J2338" i="6"/>
  <c r="J2337" i="6"/>
  <c r="J2336" i="6"/>
  <c r="J2335" i="6"/>
  <c r="J2334" i="6"/>
  <c r="J2333" i="6"/>
  <c r="J2332" i="6"/>
  <c r="J2331" i="6"/>
  <c r="J2330" i="6"/>
  <c r="J2329" i="6"/>
  <c r="J2328" i="6"/>
  <c r="J2327" i="6"/>
  <c r="J2326" i="6"/>
  <c r="J2325" i="6"/>
  <c r="J2324" i="6"/>
  <c r="J2323" i="6"/>
  <c r="J2322" i="6"/>
  <c r="J2321" i="6"/>
  <c r="J2320" i="6"/>
  <c r="J2319" i="6"/>
  <c r="J2318" i="6"/>
  <c r="J2317" i="6"/>
  <c r="J2316" i="6"/>
  <c r="J2315" i="6"/>
  <c r="J2314" i="6"/>
  <c r="J2313" i="6"/>
  <c r="J2312" i="6"/>
  <c r="J2311" i="6"/>
  <c r="J2310" i="6"/>
  <c r="J2309" i="6"/>
  <c r="J2308" i="6"/>
  <c r="J2307" i="6"/>
  <c r="J2306" i="6"/>
  <c r="J2305" i="6"/>
  <c r="J2304" i="6"/>
  <c r="J2303" i="6"/>
  <c r="J2302" i="6"/>
  <c r="J2301" i="6"/>
  <c r="J2300" i="6"/>
  <c r="J2299" i="6"/>
  <c r="J2298" i="6"/>
  <c r="J2297" i="6"/>
  <c r="J2296" i="6"/>
  <c r="J2295" i="6"/>
  <c r="J2294" i="6"/>
  <c r="J2293" i="6"/>
  <c r="J2292" i="6"/>
  <c r="J2291" i="6"/>
  <c r="J2290" i="6"/>
  <c r="J2289" i="6"/>
  <c r="J2288" i="6"/>
  <c r="J2287" i="6"/>
  <c r="J2286" i="6"/>
  <c r="J2285" i="6"/>
  <c r="J2284" i="6"/>
  <c r="J2283" i="6"/>
  <c r="J2282" i="6"/>
  <c r="J2281" i="6"/>
  <c r="J2280" i="6"/>
  <c r="J2279" i="6"/>
  <c r="J2278" i="6"/>
  <c r="J2277" i="6"/>
  <c r="J2276" i="6"/>
  <c r="J2275" i="6"/>
  <c r="J2274" i="6"/>
  <c r="J2273" i="6"/>
  <c r="J2272" i="6"/>
  <c r="J2271" i="6"/>
  <c r="J2270" i="6"/>
  <c r="J2269" i="6"/>
  <c r="J2268" i="6"/>
  <c r="J2267" i="6"/>
  <c r="J2266" i="6"/>
  <c r="J2265" i="6"/>
  <c r="J2264" i="6"/>
  <c r="J2263" i="6"/>
  <c r="J2262" i="6"/>
  <c r="J2261" i="6"/>
  <c r="J2260" i="6"/>
  <c r="J2259" i="6"/>
  <c r="J2258" i="6"/>
  <c r="J2257" i="6"/>
  <c r="J2256" i="6"/>
  <c r="J2255" i="6"/>
  <c r="J2254" i="6"/>
  <c r="J2253" i="6"/>
  <c r="J2252" i="6"/>
  <c r="J2251" i="6"/>
  <c r="J2250" i="6"/>
  <c r="J2249" i="6"/>
  <c r="J2248" i="6"/>
  <c r="J2247" i="6"/>
  <c r="J2246" i="6"/>
  <c r="J2245" i="6"/>
  <c r="J2244" i="6"/>
  <c r="J2243" i="6"/>
  <c r="J2242" i="6"/>
  <c r="J2241" i="6"/>
  <c r="J2240" i="6"/>
  <c r="J2239" i="6"/>
  <c r="J2238" i="6"/>
  <c r="J2237" i="6"/>
  <c r="J2236" i="6"/>
  <c r="J2235" i="6"/>
  <c r="J2234" i="6"/>
  <c r="J2233" i="6"/>
  <c r="J2232" i="6"/>
  <c r="J2231" i="6"/>
  <c r="J2230" i="6"/>
  <c r="J2229" i="6"/>
  <c r="J2228" i="6"/>
  <c r="J2227" i="6"/>
  <c r="J2226" i="6"/>
  <c r="J2225" i="6"/>
  <c r="J2224" i="6"/>
  <c r="J2223" i="6"/>
  <c r="J2222" i="6"/>
  <c r="J2221" i="6"/>
  <c r="J2220" i="6"/>
  <c r="J2219" i="6"/>
  <c r="J2218" i="6"/>
  <c r="J2217" i="6"/>
  <c r="J2216" i="6"/>
  <c r="J2215" i="6"/>
  <c r="J2214" i="6"/>
  <c r="J2213" i="6"/>
  <c r="J2212" i="6"/>
  <c r="J2211" i="6"/>
  <c r="J2210" i="6"/>
  <c r="J2209" i="6"/>
  <c r="J2208" i="6"/>
  <c r="J2207" i="6"/>
  <c r="J2206" i="6"/>
  <c r="J2205" i="6"/>
  <c r="J2204" i="6"/>
  <c r="J2203" i="6"/>
  <c r="J2202" i="6"/>
  <c r="J2201" i="6"/>
  <c r="J2200" i="6"/>
  <c r="J2199" i="6"/>
  <c r="J2198" i="6"/>
  <c r="J2197" i="6"/>
  <c r="J2196" i="6"/>
  <c r="J2195" i="6"/>
  <c r="J2194" i="6"/>
  <c r="J2193" i="6"/>
  <c r="J2192" i="6"/>
  <c r="J2191" i="6"/>
  <c r="J2190" i="6"/>
  <c r="J2189" i="6"/>
  <c r="J2188" i="6"/>
  <c r="J2187" i="6"/>
  <c r="J2186" i="6"/>
  <c r="J2185" i="6"/>
  <c r="J2184" i="6"/>
  <c r="J2183" i="6"/>
  <c r="J2182" i="6"/>
  <c r="J2181" i="6"/>
  <c r="J2180" i="6"/>
  <c r="J2179" i="6"/>
  <c r="J2178" i="6"/>
  <c r="J2177" i="6"/>
  <c r="J2176" i="6"/>
  <c r="J2175" i="6"/>
  <c r="J2174" i="6"/>
  <c r="J2173" i="6"/>
  <c r="J2172" i="6"/>
  <c r="J2171" i="6"/>
  <c r="J2170" i="6"/>
  <c r="J2169" i="6"/>
  <c r="J2168" i="6"/>
  <c r="J2167" i="6"/>
  <c r="J2166" i="6"/>
  <c r="J2165" i="6"/>
  <c r="J2164" i="6"/>
  <c r="J2163" i="6"/>
  <c r="J2162" i="6"/>
  <c r="J2161" i="6"/>
  <c r="J2160" i="6"/>
  <c r="J2159" i="6"/>
  <c r="J2158" i="6"/>
  <c r="J2157" i="6"/>
  <c r="J2156" i="6"/>
  <c r="J2155" i="6"/>
  <c r="J2154" i="6"/>
  <c r="J2153" i="6"/>
  <c r="J2152" i="6"/>
  <c r="J2151" i="6"/>
  <c r="J2150" i="6"/>
  <c r="J2149" i="6"/>
  <c r="J2148" i="6"/>
  <c r="J2147" i="6"/>
  <c r="J2146" i="6"/>
  <c r="J2145" i="6"/>
  <c r="J2144" i="6"/>
  <c r="J2143" i="6"/>
  <c r="J2142" i="6"/>
  <c r="J2141" i="6"/>
  <c r="J2140" i="6"/>
  <c r="J2139" i="6"/>
  <c r="J2138" i="6"/>
  <c r="J2137" i="6"/>
  <c r="J2136" i="6"/>
  <c r="J2135" i="6"/>
  <c r="J2134" i="6"/>
  <c r="J2133" i="6"/>
  <c r="J2132" i="6"/>
  <c r="J2131" i="6"/>
  <c r="J2130" i="6"/>
  <c r="J2129" i="6"/>
  <c r="J2128" i="6"/>
  <c r="J2127" i="6"/>
  <c r="J2126" i="6"/>
  <c r="J2125" i="6"/>
  <c r="J2124" i="6"/>
  <c r="J2123" i="6"/>
  <c r="J2122" i="6"/>
  <c r="J2121" i="6"/>
  <c r="J2120" i="6"/>
  <c r="J2119" i="6"/>
  <c r="J2118" i="6"/>
  <c r="J2117" i="6"/>
  <c r="J2116" i="6"/>
  <c r="J2115" i="6"/>
  <c r="J2114" i="6"/>
  <c r="J2113" i="6"/>
  <c r="J2112" i="6"/>
  <c r="J2111" i="6"/>
  <c r="J2110" i="6"/>
  <c r="J2109" i="6"/>
  <c r="J2108" i="6"/>
  <c r="J2107" i="6"/>
  <c r="J2106" i="6"/>
  <c r="J2105" i="6"/>
  <c r="J2104" i="6"/>
  <c r="J2103" i="6"/>
  <c r="J2102" i="6"/>
  <c r="J2101" i="6"/>
  <c r="J2100" i="6"/>
  <c r="J2099" i="6"/>
  <c r="J2098" i="6"/>
  <c r="J2097" i="6"/>
  <c r="J2096" i="6"/>
  <c r="J2095" i="6"/>
  <c r="J2094" i="6"/>
  <c r="J2093" i="6"/>
  <c r="J2092" i="6"/>
  <c r="J2091" i="6"/>
  <c r="J2090" i="6"/>
  <c r="J2089" i="6"/>
  <c r="J2088" i="6"/>
  <c r="J2087" i="6"/>
  <c r="J2086" i="6"/>
  <c r="J2085" i="6"/>
  <c r="J2084" i="6"/>
  <c r="J2083" i="6"/>
  <c r="J2082" i="6"/>
  <c r="J2081" i="6"/>
  <c r="J2080" i="6"/>
  <c r="J2079" i="6"/>
  <c r="J2078" i="6"/>
  <c r="J2077" i="6"/>
  <c r="J2076" i="6"/>
  <c r="J2075" i="6"/>
  <c r="J2074" i="6"/>
  <c r="J2073" i="6"/>
  <c r="J2072" i="6"/>
  <c r="J2071" i="6"/>
  <c r="J2070" i="6"/>
  <c r="J2069" i="6"/>
  <c r="J2068" i="6"/>
  <c r="J2067" i="6"/>
  <c r="J2066" i="6"/>
  <c r="J2065" i="6"/>
  <c r="J2064" i="6"/>
  <c r="J2063" i="6"/>
  <c r="J2062" i="6"/>
  <c r="J2061" i="6"/>
  <c r="J2060" i="6"/>
  <c r="J2059" i="6"/>
  <c r="J2058" i="6"/>
  <c r="J2057" i="6"/>
  <c r="J2056" i="6"/>
  <c r="J2055" i="6"/>
  <c r="J2054" i="6"/>
  <c r="J2053" i="6"/>
  <c r="J2052" i="6"/>
  <c r="J2051" i="6"/>
  <c r="J2050" i="6"/>
  <c r="J2049" i="6"/>
  <c r="J2048" i="6"/>
  <c r="J2047" i="6"/>
  <c r="J2046" i="6"/>
  <c r="J2045" i="6"/>
  <c r="J2044" i="6"/>
  <c r="J2043" i="6"/>
  <c r="J2042" i="6"/>
  <c r="J2041" i="6"/>
  <c r="J2040" i="6"/>
  <c r="J2039" i="6"/>
  <c r="J2038" i="6"/>
  <c r="J2037" i="6"/>
  <c r="J2036" i="6"/>
  <c r="J2035" i="6"/>
  <c r="J2034" i="6"/>
  <c r="J2033" i="6"/>
  <c r="J2032" i="6"/>
  <c r="J2031" i="6"/>
  <c r="J2030" i="6"/>
  <c r="J2029" i="6"/>
  <c r="J2028" i="6"/>
  <c r="J2027" i="6"/>
  <c r="J2026" i="6"/>
  <c r="J2025" i="6"/>
  <c r="J2024" i="6"/>
  <c r="J2023" i="6"/>
  <c r="J2022" i="6"/>
  <c r="J2021" i="6"/>
  <c r="J2020" i="6"/>
  <c r="J2019" i="6"/>
  <c r="J2018" i="6"/>
  <c r="J2017" i="6"/>
  <c r="J2016" i="6"/>
  <c r="J2015" i="6"/>
  <c r="J2014" i="6"/>
  <c r="J2013" i="6"/>
  <c r="J2012" i="6"/>
  <c r="J2011" i="6"/>
  <c r="J2010" i="6"/>
  <c r="J2009" i="6"/>
  <c r="J2008" i="6"/>
  <c r="J2007" i="6"/>
  <c r="J2006" i="6"/>
  <c r="J2005" i="6"/>
  <c r="J2004" i="6"/>
  <c r="J2003" i="6"/>
  <c r="J2002" i="6"/>
  <c r="J2001" i="6"/>
  <c r="J2000" i="6"/>
  <c r="J1999" i="6"/>
  <c r="J1998" i="6"/>
  <c r="J1997" i="6"/>
  <c r="J1996" i="6"/>
  <c r="J1995" i="6"/>
  <c r="J1994" i="6"/>
  <c r="J1993" i="6"/>
  <c r="J1992" i="6"/>
  <c r="J1991" i="6"/>
  <c r="J1990" i="6"/>
  <c r="J1989" i="6"/>
  <c r="J1988" i="6"/>
  <c r="J1987" i="6"/>
  <c r="J1986" i="6"/>
  <c r="J1985" i="6"/>
  <c r="J1984" i="6"/>
  <c r="J1983" i="6"/>
  <c r="J1982" i="6"/>
  <c r="J1981" i="6"/>
  <c r="J1980" i="6"/>
  <c r="J1979" i="6"/>
  <c r="J1978" i="6"/>
  <c r="J1977" i="6"/>
  <c r="J1976" i="6"/>
  <c r="J1975" i="6"/>
  <c r="J1974" i="6"/>
  <c r="J1973" i="6"/>
  <c r="J1972" i="6"/>
  <c r="J1971" i="6"/>
  <c r="J1970" i="6"/>
  <c r="J1969" i="6"/>
  <c r="J1968" i="6"/>
  <c r="J1967" i="6"/>
  <c r="J1966" i="6"/>
  <c r="J1965" i="6"/>
  <c r="J1964" i="6"/>
  <c r="J1963" i="6"/>
  <c r="J1962" i="6"/>
  <c r="J1961" i="6"/>
  <c r="J1960" i="6"/>
  <c r="J1959" i="6"/>
  <c r="J1958" i="6"/>
  <c r="J1957" i="6"/>
  <c r="J1956" i="6"/>
  <c r="J1955" i="6"/>
  <c r="J1954" i="6"/>
  <c r="J1953" i="6"/>
  <c r="J1952" i="6"/>
  <c r="J1951" i="6"/>
  <c r="J1950" i="6"/>
  <c r="J1949" i="6"/>
  <c r="J1948" i="6"/>
  <c r="J1947" i="6"/>
  <c r="J1946" i="6"/>
  <c r="J1945" i="6"/>
  <c r="J1944" i="6"/>
  <c r="J1943" i="6"/>
  <c r="J1942" i="6"/>
  <c r="J1941" i="6"/>
  <c r="J1940" i="6"/>
  <c r="J1939" i="6"/>
  <c r="J1938" i="6"/>
  <c r="J1937" i="6"/>
  <c r="J1936" i="6"/>
  <c r="J1935" i="6"/>
  <c r="J1934" i="6"/>
  <c r="J1933" i="6"/>
  <c r="J1932" i="6"/>
  <c r="J1931" i="6"/>
  <c r="J1930" i="6"/>
  <c r="J1929" i="6"/>
  <c r="J1928" i="6"/>
  <c r="J1927" i="6"/>
  <c r="J1926" i="6"/>
  <c r="J1925" i="6"/>
  <c r="J1924" i="6"/>
  <c r="J1923" i="6"/>
  <c r="J1922" i="6"/>
  <c r="J1921" i="6"/>
  <c r="J1920" i="6"/>
  <c r="J1919" i="6"/>
  <c r="J1918" i="6"/>
  <c r="J1917" i="6"/>
  <c r="J1916" i="6"/>
  <c r="J1915" i="6"/>
  <c r="J1914" i="6"/>
  <c r="J1913" i="6"/>
  <c r="J1912" i="6"/>
  <c r="J1911" i="6"/>
  <c r="J1910" i="6"/>
  <c r="J1909" i="6"/>
  <c r="J1908" i="6"/>
  <c r="J1907" i="6"/>
  <c r="J1906" i="6"/>
  <c r="J1905" i="6"/>
  <c r="J1904" i="6"/>
  <c r="J1903" i="6"/>
  <c r="J1902" i="6"/>
  <c r="J1901" i="6"/>
  <c r="J1900" i="6"/>
  <c r="J1899" i="6"/>
  <c r="J1898" i="6"/>
  <c r="J1897" i="6"/>
  <c r="J1896" i="6"/>
  <c r="J1895" i="6"/>
  <c r="J1894" i="6"/>
  <c r="J1893" i="6"/>
  <c r="J1892" i="6"/>
  <c r="J1891" i="6"/>
  <c r="J1890" i="6"/>
  <c r="J1889" i="6"/>
  <c r="J1888" i="6"/>
  <c r="J1887" i="6"/>
  <c r="J1886" i="6"/>
  <c r="J1885" i="6"/>
  <c r="J1884" i="6"/>
  <c r="J1883" i="6"/>
  <c r="J1882" i="6"/>
  <c r="J1881" i="6"/>
  <c r="J1880" i="6"/>
  <c r="J1879" i="6"/>
  <c r="J1878" i="6"/>
  <c r="J1877" i="6"/>
  <c r="J1876" i="6"/>
  <c r="J1875" i="6"/>
  <c r="J1874" i="6"/>
  <c r="J1873" i="6"/>
  <c r="J1872" i="6"/>
  <c r="J1871" i="6"/>
  <c r="J1870" i="6"/>
  <c r="J1869" i="6"/>
  <c r="J1868" i="6"/>
  <c r="J1867" i="6"/>
  <c r="J1866" i="6"/>
  <c r="J1865" i="6"/>
  <c r="J1864" i="6"/>
  <c r="J1863" i="6"/>
  <c r="J1862" i="6"/>
  <c r="J1861" i="6"/>
  <c r="J1860" i="6"/>
  <c r="J1859" i="6"/>
  <c r="J1858" i="6"/>
  <c r="J1857" i="6"/>
  <c r="J1856" i="6"/>
  <c r="J1855" i="6"/>
  <c r="J1854" i="6"/>
  <c r="J1853" i="6"/>
  <c r="J1852" i="6"/>
  <c r="J1851" i="6"/>
  <c r="J1850" i="6"/>
  <c r="J1849" i="6"/>
  <c r="J1848" i="6"/>
  <c r="J1847" i="6"/>
  <c r="J1846" i="6"/>
  <c r="J1845" i="6"/>
  <c r="J1844" i="6"/>
  <c r="J1843" i="6"/>
  <c r="J1842" i="6"/>
  <c r="J1841" i="6"/>
  <c r="J1840" i="6"/>
  <c r="J1839" i="6"/>
  <c r="J1838" i="6"/>
  <c r="J1837" i="6"/>
  <c r="J1836" i="6"/>
  <c r="J1835" i="6"/>
  <c r="J1834" i="6"/>
  <c r="J1833" i="6"/>
  <c r="J1832" i="6"/>
  <c r="J1831" i="6"/>
  <c r="J1830" i="6"/>
  <c r="J1829" i="6"/>
  <c r="J1828" i="6"/>
  <c r="J1827" i="6"/>
  <c r="J1826" i="6"/>
  <c r="J1825" i="6"/>
  <c r="J1824" i="6"/>
  <c r="J1823" i="6"/>
  <c r="J1822" i="6"/>
  <c r="J1821" i="6"/>
  <c r="J1820" i="6"/>
  <c r="J1819" i="6"/>
  <c r="J1818" i="6"/>
  <c r="J1817" i="6"/>
  <c r="J1816" i="6"/>
  <c r="J1815" i="6"/>
  <c r="J1814" i="6"/>
  <c r="J1813" i="6"/>
  <c r="J1812" i="6"/>
  <c r="J1811" i="6"/>
  <c r="J1810" i="6"/>
  <c r="J1809" i="6"/>
  <c r="J1808" i="6"/>
  <c r="J1807" i="6"/>
  <c r="J1806" i="6"/>
  <c r="J1805" i="6"/>
  <c r="J1804" i="6"/>
  <c r="J1803" i="6"/>
  <c r="J1802" i="6"/>
  <c r="J1801" i="6"/>
  <c r="J1800" i="6"/>
  <c r="J1799" i="6"/>
  <c r="J1798" i="6"/>
  <c r="J1797" i="6"/>
  <c r="J1796" i="6"/>
  <c r="J1795" i="6"/>
  <c r="J1794" i="6"/>
  <c r="J1793" i="6"/>
  <c r="J1792" i="6"/>
  <c r="J1791" i="6"/>
  <c r="J1790" i="6"/>
  <c r="J1789" i="6"/>
  <c r="J1788" i="6"/>
  <c r="J1787" i="6"/>
  <c r="J1786" i="6"/>
  <c r="J1785" i="6"/>
  <c r="J1784" i="6"/>
  <c r="J1783" i="6"/>
  <c r="J1782" i="6"/>
  <c r="J1781" i="6"/>
  <c r="J1780" i="6"/>
  <c r="J1779" i="6"/>
  <c r="J1778" i="6"/>
  <c r="J1777" i="6"/>
  <c r="J1776" i="6"/>
  <c r="J1775" i="6"/>
  <c r="J1774" i="6"/>
  <c r="J1773" i="6"/>
  <c r="J1772" i="6"/>
  <c r="J1771" i="6"/>
  <c r="J1770" i="6"/>
  <c r="J1769" i="6"/>
  <c r="J1768" i="6"/>
  <c r="J1767" i="6"/>
  <c r="J1766" i="6"/>
  <c r="J1765" i="6"/>
  <c r="J1764" i="6"/>
  <c r="J1763" i="6"/>
  <c r="J1762" i="6"/>
  <c r="J1761" i="6"/>
  <c r="J1760" i="6"/>
  <c r="J1759" i="6"/>
  <c r="J1758" i="6"/>
  <c r="J1757" i="6"/>
  <c r="J1756" i="6"/>
  <c r="J1755" i="6"/>
  <c r="J1754" i="6"/>
  <c r="J1753" i="6"/>
  <c r="J1752" i="6"/>
  <c r="J1751" i="6"/>
  <c r="J1750" i="6"/>
  <c r="J1749" i="6"/>
  <c r="J1748" i="6"/>
  <c r="J1747" i="6"/>
  <c r="J1746" i="6"/>
  <c r="J1745" i="6"/>
  <c r="J1744" i="6"/>
  <c r="J1743" i="6"/>
  <c r="J1742" i="6"/>
  <c r="J1741" i="6"/>
  <c r="J1740" i="6"/>
  <c r="J1739" i="6"/>
  <c r="J1738" i="6"/>
  <c r="J1737" i="6"/>
  <c r="J1736" i="6"/>
  <c r="J1735" i="6"/>
  <c r="J1734" i="6"/>
  <c r="J1733" i="6"/>
  <c r="J1732" i="6"/>
  <c r="J1731" i="6"/>
  <c r="J1730" i="6"/>
  <c r="J1729" i="6"/>
  <c r="J1728" i="6"/>
  <c r="J1727" i="6"/>
  <c r="J1726" i="6"/>
  <c r="J1725" i="6"/>
  <c r="J1724" i="6"/>
  <c r="J1723" i="6"/>
  <c r="J1722" i="6"/>
  <c r="J1721" i="6"/>
  <c r="J1720" i="6"/>
  <c r="J1719" i="6"/>
  <c r="J1718" i="6"/>
  <c r="J1717" i="6"/>
  <c r="J1716" i="6"/>
  <c r="J1715" i="6"/>
  <c r="J1714" i="6"/>
  <c r="J1713" i="6"/>
  <c r="J1712" i="6"/>
  <c r="J1711" i="6"/>
  <c r="J1710" i="6"/>
  <c r="J1709" i="6"/>
  <c r="J1708" i="6"/>
  <c r="J1707" i="6"/>
  <c r="J1706" i="6"/>
  <c r="J1705" i="6"/>
  <c r="J1704" i="6"/>
  <c r="J1703" i="6"/>
  <c r="J1702" i="6"/>
  <c r="J1701" i="6"/>
  <c r="J1700" i="6"/>
  <c r="J1699" i="6"/>
  <c r="J1698" i="6"/>
  <c r="J1697" i="6"/>
  <c r="J1696" i="6"/>
  <c r="J1695" i="6"/>
  <c r="J1694" i="6"/>
  <c r="J1693" i="6"/>
  <c r="J1692" i="6"/>
  <c r="J1691" i="6"/>
  <c r="J1690" i="6"/>
  <c r="J1689" i="6"/>
  <c r="J1688" i="6"/>
  <c r="J1687" i="6"/>
  <c r="J1686" i="6"/>
  <c r="J1685" i="6"/>
  <c r="J1684" i="6"/>
  <c r="J1683" i="6"/>
  <c r="J1682" i="6"/>
  <c r="J1681" i="6"/>
  <c r="J1680" i="6"/>
  <c r="J1679" i="6"/>
  <c r="J1678" i="6"/>
  <c r="J1677" i="6"/>
  <c r="J1676" i="6"/>
  <c r="J1675" i="6"/>
  <c r="J1674" i="6"/>
  <c r="J1673" i="6"/>
  <c r="J1672" i="6"/>
  <c r="J1671" i="6"/>
  <c r="J1670" i="6"/>
  <c r="J1669" i="6"/>
  <c r="J1668" i="6"/>
  <c r="J1667" i="6"/>
  <c r="J1666" i="6"/>
  <c r="J1665" i="6"/>
  <c r="J1664" i="6"/>
  <c r="J1663" i="6"/>
  <c r="J1662" i="6"/>
  <c r="J1661" i="6"/>
  <c r="J1660" i="6"/>
  <c r="J1659" i="6"/>
  <c r="J1658" i="6"/>
  <c r="J1657" i="6"/>
  <c r="J1656" i="6"/>
  <c r="J1655" i="6"/>
  <c r="J1654" i="6"/>
  <c r="J1653" i="6"/>
  <c r="J1652" i="6"/>
  <c r="J1651" i="6"/>
  <c r="J1650" i="6"/>
  <c r="J1649" i="6"/>
  <c r="J1648" i="6"/>
  <c r="J1647" i="6"/>
  <c r="J1646" i="6"/>
  <c r="J1645" i="6"/>
  <c r="J1644" i="6"/>
  <c r="J1643" i="6"/>
  <c r="J1642" i="6"/>
  <c r="J1641" i="6"/>
  <c r="J1640" i="6"/>
  <c r="J1639" i="6"/>
  <c r="J1638" i="6"/>
  <c r="J1637" i="6"/>
  <c r="J1636" i="6"/>
  <c r="J1635" i="6"/>
  <c r="J1634" i="6"/>
  <c r="J1633" i="6"/>
  <c r="J1632" i="6"/>
  <c r="J1631" i="6"/>
  <c r="J1630" i="6"/>
  <c r="J1629" i="6"/>
  <c r="J1628" i="6"/>
  <c r="J1627" i="6"/>
  <c r="J1626" i="6"/>
  <c r="J1625" i="6"/>
  <c r="J1624" i="6"/>
  <c r="J1623" i="6"/>
  <c r="J1622" i="6"/>
  <c r="J1621" i="6"/>
  <c r="J1620" i="6"/>
  <c r="J1619" i="6"/>
  <c r="J1618" i="6"/>
  <c r="J1617" i="6"/>
  <c r="J1616" i="6"/>
  <c r="J1615" i="6"/>
  <c r="J1614" i="6"/>
  <c r="J1613" i="6"/>
  <c r="J1612" i="6"/>
  <c r="J1611" i="6"/>
  <c r="J1610" i="6"/>
  <c r="J1609" i="6"/>
  <c r="J1608" i="6"/>
  <c r="J1607" i="6"/>
  <c r="J1606" i="6"/>
  <c r="J1605" i="6"/>
  <c r="J1604" i="6"/>
  <c r="J1603" i="6"/>
  <c r="J1602" i="6"/>
  <c r="J1601" i="6"/>
  <c r="J1600" i="6"/>
  <c r="J1599" i="6"/>
  <c r="J1598" i="6"/>
  <c r="J1597" i="6"/>
  <c r="J1596" i="6"/>
  <c r="J1595" i="6"/>
  <c r="J1594" i="6"/>
  <c r="J1593" i="6"/>
  <c r="J1592" i="6"/>
  <c r="J1591" i="6"/>
  <c r="J1590" i="6"/>
  <c r="J1589" i="6"/>
  <c r="J1588" i="6"/>
  <c r="J1587" i="6"/>
  <c r="J1586" i="6"/>
  <c r="J1585" i="6"/>
  <c r="J1584" i="6"/>
  <c r="J1583" i="6"/>
  <c r="J1582" i="6"/>
  <c r="J1581" i="6"/>
  <c r="J1580" i="6"/>
  <c r="J1579" i="6"/>
  <c r="J1578" i="6"/>
  <c r="J1577" i="6"/>
  <c r="J1576" i="6"/>
  <c r="J1575" i="6"/>
  <c r="J1574" i="6"/>
  <c r="J1573" i="6"/>
  <c r="J1572" i="6"/>
  <c r="J1571" i="6"/>
  <c r="J1570" i="6"/>
  <c r="J1569" i="6"/>
  <c r="J1568" i="6"/>
  <c r="J1567" i="6"/>
  <c r="J1566" i="6"/>
  <c r="J1565" i="6"/>
  <c r="J1564" i="6"/>
  <c r="J1563" i="6"/>
  <c r="J1562" i="6"/>
  <c r="J1561" i="6"/>
  <c r="J1560" i="6"/>
  <c r="J1559" i="6"/>
  <c r="J1558" i="6"/>
  <c r="J1557" i="6"/>
  <c r="J1556" i="6"/>
  <c r="J1555" i="6"/>
  <c r="J1554" i="6"/>
  <c r="J1553" i="6"/>
  <c r="J1552" i="6"/>
  <c r="J1551" i="6"/>
  <c r="J1550" i="6"/>
  <c r="J1549" i="6"/>
  <c r="J1548" i="6"/>
  <c r="J1547" i="6"/>
  <c r="J1546" i="6"/>
  <c r="J1545" i="6"/>
  <c r="J1544" i="6"/>
  <c r="J1543" i="6"/>
  <c r="J1542" i="6"/>
  <c r="J1541" i="6"/>
  <c r="J1540" i="6"/>
  <c r="J1539" i="6"/>
  <c r="J1538" i="6"/>
  <c r="J1537" i="6"/>
  <c r="J1536" i="6"/>
  <c r="J1535" i="6"/>
  <c r="J1534" i="6"/>
  <c r="J1533" i="6"/>
  <c r="J1532" i="6"/>
  <c r="J1531" i="6"/>
  <c r="J1530" i="6"/>
  <c r="J1529" i="6"/>
  <c r="J1528" i="6"/>
  <c r="J1527" i="6"/>
  <c r="J1526" i="6"/>
  <c r="J1525" i="6"/>
  <c r="J1524" i="6"/>
  <c r="J1523" i="6"/>
  <c r="J1522" i="6"/>
  <c r="J1521" i="6"/>
  <c r="J1520" i="6"/>
  <c r="J1519" i="6"/>
  <c r="J1518" i="6"/>
  <c r="J1517" i="6"/>
  <c r="J1516" i="6"/>
  <c r="J1515" i="6"/>
  <c r="J1514" i="6"/>
  <c r="J1513" i="6"/>
  <c r="J1512" i="6"/>
  <c r="J1511" i="6"/>
  <c r="J1510" i="6"/>
  <c r="J1509" i="6"/>
  <c r="J1508" i="6"/>
  <c r="J1507" i="6"/>
  <c r="J1506" i="6"/>
  <c r="J1505" i="6"/>
  <c r="J1504" i="6"/>
  <c r="J1503" i="6"/>
  <c r="J1502" i="6"/>
  <c r="J1501" i="6"/>
  <c r="J1500" i="6"/>
  <c r="J1499" i="6"/>
  <c r="J1498" i="6"/>
  <c r="J1497" i="6"/>
  <c r="J1496" i="6"/>
  <c r="J1495" i="6"/>
  <c r="J1494" i="6"/>
  <c r="J1493" i="6"/>
  <c r="J1492" i="6"/>
  <c r="J1491" i="6"/>
  <c r="J1490" i="6"/>
  <c r="J1489" i="6"/>
  <c r="J1488" i="6"/>
  <c r="J1487" i="6"/>
  <c r="J1486" i="6"/>
  <c r="J1485" i="6"/>
  <c r="J1484" i="6"/>
  <c r="J1483" i="6"/>
  <c r="J1482" i="6"/>
  <c r="J1481" i="6"/>
  <c r="J1480" i="6"/>
  <c r="J1479" i="6"/>
  <c r="J1478" i="6"/>
  <c r="J1477" i="6"/>
  <c r="J1476" i="6"/>
  <c r="J1475" i="6"/>
  <c r="J1474" i="6"/>
  <c r="J1473" i="6"/>
  <c r="J1472" i="6"/>
  <c r="J1471" i="6"/>
  <c r="J1470" i="6"/>
  <c r="J1469" i="6"/>
  <c r="J1468" i="6"/>
  <c r="J1467" i="6"/>
  <c r="J1466" i="6"/>
  <c r="J1465" i="6"/>
  <c r="J1464" i="6"/>
  <c r="J1463" i="6"/>
  <c r="J1462" i="6"/>
  <c r="J1461" i="6"/>
  <c r="J1460" i="6"/>
  <c r="J1459" i="6"/>
  <c r="J1458" i="6"/>
  <c r="J1457" i="6"/>
  <c r="J1456" i="6"/>
  <c r="J1455" i="6"/>
  <c r="J1454" i="6"/>
  <c r="J1453" i="6"/>
  <c r="J1452" i="6"/>
  <c r="J1451" i="6"/>
  <c r="J1450" i="6"/>
  <c r="J1449" i="6"/>
  <c r="J1448" i="6"/>
  <c r="J1447" i="6"/>
  <c r="J1446" i="6"/>
  <c r="J1445" i="6"/>
  <c r="J1444" i="6"/>
  <c r="J1443" i="6"/>
  <c r="J1442" i="6"/>
  <c r="J1441" i="6"/>
  <c r="J1440" i="6"/>
  <c r="J1439" i="6"/>
  <c r="J1438" i="6"/>
  <c r="J1437" i="6"/>
  <c r="J1436" i="6"/>
  <c r="J1435" i="6"/>
  <c r="J1434" i="6"/>
  <c r="J1433" i="6"/>
  <c r="J1432" i="6"/>
  <c r="J1431" i="6"/>
  <c r="J1430" i="6"/>
  <c r="J1429" i="6"/>
  <c r="J1428" i="6"/>
  <c r="J1427" i="6"/>
  <c r="J1426" i="6"/>
  <c r="J1425" i="6"/>
  <c r="J1424" i="6"/>
  <c r="J1423" i="6"/>
  <c r="J1422" i="6"/>
  <c r="J1421" i="6"/>
  <c r="J1420" i="6"/>
  <c r="J1419" i="6"/>
  <c r="J1418" i="6"/>
  <c r="J1417" i="6"/>
  <c r="J1416" i="6"/>
  <c r="J1415" i="6"/>
  <c r="J1414" i="6"/>
  <c r="J1413" i="6"/>
  <c r="J1412" i="6"/>
  <c r="J1411" i="6"/>
  <c r="J1410" i="6"/>
  <c r="J1409" i="6"/>
  <c r="J1408" i="6"/>
  <c r="J1407" i="6"/>
  <c r="J1406" i="6"/>
  <c r="J1405" i="6"/>
  <c r="J1404" i="6"/>
  <c r="J1403" i="6"/>
  <c r="J1402" i="6"/>
  <c r="J1401" i="6"/>
  <c r="J1400" i="6"/>
  <c r="J1399" i="6"/>
  <c r="J1398" i="6"/>
  <c r="J1397" i="6"/>
  <c r="J1396" i="6"/>
  <c r="J1395" i="6"/>
  <c r="J1394" i="6"/>
  <c r="J1393" i="6"/>
  <c r="J1392" i="6"/>
  <c r="J1391" i="6"/>
  <c r="J1390" i="6"/>
  <c r="J1389" i="6"/>
  <c r="J1388" i="6"/>
  <c r="J1387" i="6"/>
  <c r="J1386" i="6"/>
  <c r="J1385" i="6"/>
  <c r="J1384" i="6"/>
  <c r="J1383" i="6"/>
  <c r="J1382" i="6"/>
  <c r="J1381" i="6"/>
  <c r="J1380" i="6"/>
  <c r="J1379" i="6"/>
  <c r="J1378" i="6"/>
  <c r="J1377" i="6"/>
  <c r="J1376" i="6"/>
  <c r="J1375" i="6"/>
  <c r="J1374" i="6"/>
  <c r="J1373" i="6"/>
  <c r="J1372" i="6"/>
  <c r="J1371" i="6"/>
  <c r="J1370" i="6"/>
  <c r="J1369" i="6"/>
  <c r="J1368" i="6"/>
  <c r="J1367" i="6"/>
  <c r="J1366" i="6"/>
  <c r="J1365" i="6"/>
  <c r="J1364" i="6"/>
  <c r="J1363" i="6"/>
  <c r="J1362" i="6"/>
  <c r="J1361" i="6"/>
  <c r="J1360" i="6"/>
  <c r="J1359" i="6"/>
  <c r="J1358" i="6"/>
  <c r="J1357" i="6"/>
  <c r="J1356" i="6"/>
  <c r="J1355" i="6"/>
  <c r="J1354" i="6"/>
  <c r="J1353" i="6"/>
  <c r="J1352" i="6"/>
  <c r="J1351" i="6"/>
  <c r="J1350" i="6"/>
  <c r="J1349" i="6"/>
  <c r="J1348" i="6"/>
  <c r="J1347" i="6"/>
  <c r="J1346" i="6"/>
  <c r="J1345" i="6"/>
  <c r="J1344" i="6"/>
  <c r="J1343" i="6"/>
  <c r="J1342" i="6"/>
  <c r="J1341" i="6"/>
  <c r="J1340" i="6"/>
  <c r="J1339" i="6"/>
  <c r="J1338" i="6"/>
  <c r="J1337" i="6"/>
  <c r="J1336" i="6"/>
  <c r="J1335" i="6"/>
  <c r="J1334" i="6"/>
  <c r="J1333" i="6"/>
  <c r="J1332" i="6"/>
  <c r="J1331" i="6"/>
  <c r="J1330" i="6"/>
  <c r="J1329" i="6"/>
  <c r="J1328" i="6"/>
  <c r="J1327" i="6"/>
  <c r="J1326" i="6"/>
  <c r="J1325" i="6"/>
  <c r="J1324" i="6"/>
  <c r="J1323" i="6"/>
  <c r="J1322" i="6"/>
  <c r="J1321" i="6"/>
  <c r="J1320" i="6"/>
  <c r="J1319" i="6"/>
  <c r="J1318" i="6"/>
  <c r="J1317" i="6"/>
  <c r="J1316" i="6"/>
  <c r="J1315" i="6"/>
  <c r="J1314" i="6"/>
  <c r="J1313" i="6"/>
  <c r="J1312" i="6"/>
  <c r="J1311" i="6"/>
  <c r="J1310" i="6"/>
  <c r="J1309" i="6"/>
  <c r="J1308" i="6"/>
  <c r="J1307" i="6"/>
  <c r="J1306" i="6"/>
  <c r="J1305" i="6"/>
  <c r="J1304" i="6"/>
  <c r="J1303" i="6"/>
  <c r="J1302" i="6"/>
  <c r="J1301" i="6"/>
  <c r="J1300" i="6"/>
  <c r="J1299" i="6"/>
  <c r="J1298" i="6"/>
  <c r="J1297" i="6"/>
  <c r="J1296" i="6"/>
  <c r="J1295" i="6"/>
  <c r="J1294" i="6"/>
  <c r="J1293" i="6"/>
  <c r="J1292" i="6"/>
  <c r="J1291" i="6"/>
  <c r="J1290" i="6"/>
  <c r="J1289" i="6"/>
  <c r="J1288" i="6"/>
  <c r="J1287" i="6"/>
  <c r="J1286" i="6"/>
  <c r="J1285" i="6"/>
  <c r="J1284" i="6"/>
  <c r="J1283" i="6"/>
  <c r="J1282" i="6"/>
  <c r="J1281" i="6"/>
  <c r="J1280" i="6"/>
  <c r="J1279" i="6"/>
  <c r="J1278" i="6"/>
  <c r="J1277" i="6"/>
  <c r="J1276" i="6"/>
  <c r="J1275" i="6"/>
  <c r="J1274" i="6"/>
  <c r="J1273" i="6"/>
  <c r="J1272" i="6"/>
  <c r="J1271" i="6"/>
  <c r="J1270" i="6"/>
  <c r="J1269" i="6"/>
  <c r="J1268" i="6"/>
  <c r="J1267" i="6"/>
  <c r="J1266" i="6"/>
  <c r="J1265" i="6"/>
  <c r="J1264" i="6"/>
  <c r="J1263" i="6"/>
  <c r="J1262" i="6"/>
  <c r="J1261" i="6"/>
  <c r="J1260" i="6"/>
  <c r="J1259" i="6"/>
  <c r="J1258" i="6"/>
  <c r="J1257" i="6"/>
  <c r="J1256" i="6"/>
  <c r="J1255" i="6"/>
  <c r="J1254" i="6"/>
  <c r="J1253" i="6"/>
  <c r="J1252" i="6"/>
  <c r="J1251" i="6"/>
  <c r="J1250" i="6"/>
  <c r="J1249" i="6"/>
  <c r="J1248" i="6"/>
  <c r="J1247" i="6"/>
  <c r="J1246" i="6"/>
  <c r="J1245" i="6"/>
  <c r="J1244" i="6"/>
  <c r="J1243" i="6"/>
  <c r="J1242" i="6"/>
  <c r="J1241" i="6"/>
  <c r="J1240" i="6"/>
  <c r="J1239" i="6"/>
  <c r="J1238" i="6"/>
  <c r="J1237" i="6"/>
  <c r="J1236" i="6"/>
  <c r="J1235" i="6"/>
  <c r="J1234" i="6"/>
  <c r="J1233" i="6"/>
  <c r="J1232" i="6"/>
  <c r="J1231" i="6"/>
  <c r="J1230" i="6"/>
  <c r="J1229" i="6"/>
  <c r="J1228" i="6"/>
  <c r="J1227" i="6"/>
  <c r="J1226" i="6"/>
  <c r="J1225" i="6"/>
  <c r="J1224" i="6"/>
  <c r="J1223" i="6"/>
  <c r="J1222" i="6"/>
  <c r="J1221" i="6"/>
  <c r="J1220" i="6"/>
  <c r="J1219" i="6"/>
  <c r="J1218" i="6"/>
  <c r="J1217" i="6"/>
  <c r="J1216" i="6"/>
  <c r="J1215" i="6"/>
  <c r="J1214" i="6"/>
  <c r="J1213" i="6"/>
  <c r="J1212" i="6"/>
  <c r="J1211" i="6"/>
  <c r="J1210" i="6"/>
  <c r="J1209" i="6"/>
  <c r="J1208" i="6"/>
  <c r="J1207" i="6"/>
  <c r="J1206" i="6"/>
  <c r="J1205" i="6"/>
  <c r="J1204" i="6"/>
  <c r="J1203" i="6"/>
  <c r="J1202" i="6"/>
  <c r="J1201" i="6"/>
  <c r="J1200" i="6"/>
  <c r="J1199" i="6"/>
  <c r="J1198" i="6"/>
  <c r="J1197" i="6"/>
  <c r="J1196" i="6"/>
  <c r="J1195" i="6"/>
  <c r="J1194" i="6"/>
  <c r="J1193" i="6"/>
  <c r="J1192" i="6"/>
  <c r="J1191" i="6"/>
  <c r="J1190" i="6"/>
  <c r="J1189" i="6"/>
  <c r="J1188" i="6"/>
  <c r="J1187" i="6"/>
  <c r="J1186" i="6"/>
  <c r="J1185" i="6"/>
  <c r="J1184" i="6"/>
  <c r="J1183" i="6"/>
  <c r="J1182" i="6"/>
  <c r="J1181" i="6"/>
  <c r="J1180" i="6"/>
  <c r="J1179" i="6"/>
  <c r="J1178" i="6"/>
  <c r="J1177" i="6"/>
  <c r="J1176" i="6"/>
  <c r="J1175" i="6"/>
  <c r="J1174" i="6"/>
  <c r="J1173" i="6"/>
  <c r="J1172" i="6"/>
  <c r="J1171" i="6"/>
  <c r="J1170" i="6"/>
  <c r="J1169" i="6"/>
  <c r="J1168" i="6"/>
  <c r="J1167" i="6"/>
  <c r="J1166" i="6"/>
  <c r="J1165" i="6"/>
  <c r="J1164" i="6"/>
  <c r="J1163" i="6"/>
  <c r="J1162" i="6"/>
  <c r="J1161" i="6"/>
  <c r="J1160" i="6"/>
  <c r="J1159" i="6"/>
  <c r="J1158" i="6"/>
  <c r="J1157" i="6"/>
  <c r="J1156" i="6"/>
  <c r="J1155" i="6"/>
  <c r="J1154" i="6"/>
  <c r="J1153" i="6"/>
  <c r="J1152" i="6"/>
  <c r="J1151" i="6"/>
  <c r="J1150" i="6"/>
  <c r="J1149" i="6"/>
  <c r="J1148" i="6"/>
  <c r="J1147" i="6"/>
  <c r="J1146" i="6"/>
  <c r="J1145" i="6"/>
  <c r="J1144" i="6"/>
  <c r="J1143" i="6"/>
  <c r="J1142" i="6"/>
  <c r="J1141" i="6"/>
  <c r="J1140" i="6"/>
  <c r="J1139" i="6"/>
  <c r="J1138" i="6"/>
  <c r="J1137" i="6"/>
  <c r="J1136" i="6"/>
  <c r="J1135" i="6"/>
  <c r="J1134" i="6"/>
  <c r="J1133" i="6"/>
  <c r="J1132" i="6"/>
  <c r="J1131" i="6"/>
  <c r="J1130" i="6"/>
  <c r="J1129" i="6"/>
  <c r="J1128" i="6"/>
  <c r="J1127" i="6"/>
  <c r="J1126" i="6"/>
  <c r="J1125" i="6"/>
  <c r="J1124" i="6"/>
  <c r="J1123" i="6"/>
  <c r="J1122" i="6"/>
  <c r="J1121" i="6"/>
  <c r="J1120" i="6"/>
  <c r="J1119" i="6"/>
  <c r="J1118" i="6"/>
  <c r="J1117" i="6"/>
  <c r="J1116" i="6"/>
  <c r="J1115" i="6"/>
  <c r="J1114" i="6"/>
  <c r="J1113" i="6"/>
  <c r="J1112" i="6"/>
  <c r="J1111" i="6"/>
  <c r="J1110" i="6"/>
  <c r="J1109" i="6"/>
  <c r="J1108" i="6"/>
  <c r="J1107" i="6"/>
  <c r="J1106" i="6"/>
  <c r="J1105" i="6"/>
  <c r="J1104" i="6"/>
  <c r="J1103" i="6"/>
  <c r="J1102" i="6"/>
  <c r="J1101" i="6"/>
  <c r="J1100" i="6"/>
  <c r="J1099" i="6"/>
  <c r="J1098" i="6"/>
  <c r="J1097" i="6"/>
  <c r="J1096" i="6"/>
  <c r="J1095" i="6"/>
  <c r="J1094" i="6"/>
  <c r="J1093" i="6"/>
  <c r="J1092" i="6"/>
  <c r="J1091" i="6"/>
  <c r="J1090" i="6"/>
  <c r="J1089" i="6"/>
  <c r="J1088" i="6"/>
  <c r="J1087" i="6"/>
  <c r="J1086" i="6"/>
  <c r="J1085" i="6"/>
  <c r="J1084" i="6"/>
  <c r="J1083" i="6"/>
  <c r="J1082" i="6"/>
  <c r="J1081" i="6"/>
  <c r="J1080" i="6"/>
  <c r="J1079" i="6"/>
  <c r="J1078" i="6"/>
  <c r="J1077" i="6"/>
  <c r="J1076" i="6"/>
  <c r="J1075" i="6"/>
  <c r="J1074" i="6"/>
  <c r="J1073" i="6"/>
  <c r="J1072" i="6"/>
  <c r="J1071" i="6"/>
  <c r="J1070" i="6"/>
  <c r="J1069" i="6"/>
  <c r="J1068" i="6"/>
  <c r="J1067" i="6"/>
  <c r="J1066" i="6"/>
  <c r="J1065" i="6"/>
  <c r="J1064" i="6"/>
  <c r="J1063" i="6"/>
  <c r="J1062" i="6"/>
  <c r="J1061" i="6"/>
  <c r="J1060" i="6"/>
  <c r="J1059" i="6"/>
  <c r="J1058" i="6"/>
  <c r="J1057" i="6"/>
  <c r="J1056" i="6"/>
  <c r="J1055" i="6"/>
  <c r="J1054" i="6"/>
  <c r="J1053" i="6"/>
  <c r="J1052" i="6"/>
  <c r="J1051" i="6"/>
  <c r="J1050" i="6"/>
  <c r="J1049" i="6"/>
  <c r="J1048" i="6"/>
  <c r="J1047" i="6"/>
  <c r="J1046" i="6"/>
  <c r="J1045" i="6"/>
  <c r="J1044" i="6"/>
  <c r="J1043" i="6"/>
  <c r="J1042" i="6"/>
  <c r="J1041" i="6"/>
  <c r="J1040" i="6"/>
  <c r="J1039" i="6"/>
  <c r="J1038" i="6"/>
  <c r="J1037" i="6"/>
  <c r="J1036" i="6"/>
  <c r="J1035" i="6"/>
  <c r="J1034" i="6"/>
  <c r="J1033" i="6"/>
  <c r="J1032" i="6"/>
  <c r="J1031" i="6"/>
  <c r="J1030" i="6"/>
  <c r="J1029" i="6"/>
  <c r="J1028" i="6"/>
  <c r="J1027" i="6"/>
  <c r="J1026" i="6"/>
  <c r="J1025" i="6"/>
  <c r="J1024" i="6"/>
  <c r="J1023" i="6"/>
  <c r="J1022" i="6"/>
  <c r="J1021" i="6"/>
  <c r="J1020" i="6"/>
  <c r="J1019" i="6"/>
  <c r="J1018" i="6"/>
  <c r="J1017" i="6"/>
  <c r="J1016" i="6"/>
  <c r="J1015" i="6"/>
  <c r="J1014" i="6"/>
  <c r="J1013" i="6"/>
  <c r="J1012" i="6"/>
  <c r="J1011" i="6"/>
  <c r="J1010" i="6"/>
  <c r="J1009" i="6"/>
  <c r="J1008" i="6"/>
  <c r="J1007" i="6"/>
  <c r="J1006" i="6"/>
  <c r="J1005" i="6"/>
  <c r="J1004" i="6"/>
  <c r="J1003" i="6"/>
  <c r="J1002" i="6"/>
  <c r="J1001" i="6"/>
  <c r="J1000" i="6"/>
  <c r="J999" i="6"/>
  <c r="J998" i="6"/>
  <c r="J997" i="6"/>
  <c r="J996" i="6"/>
  <c r="J995" i="6"/>
  <c r="J994" i="6"/>
  <c r="J993" i="6"/>
  <c r="J992" i="6"/>
  <c r="J991" i="6"/>
  <c r="J990" i="6"/>
  <c r="J989" i="6"/>
  <c r="J988" i="6"/>
  <c r="J987" i="6"/>
  <c r="J986" i="6"/>
  <c r="J985" i="6"/>
  <c r="J984" i="6"/>
  <c r="J983" i="6"/>
  <c r="J982" i="6"/>
  <c r="J981" i="6"/>
  <c r="J980" i="6"/>
  <c r="J979" i="6"/>
  <c r="J978" i="6"/>
  <c r="J977" i="6"/>
  <c r="J976" i="6"/>
  <c r="J975" i="6"/>
  <c r="J974" i="6"/>
  <c r="J973" i="6"/>
  <c r="J972" i="6"/>
  <c r="J971" i="6"/>
  <c r="J970" i="6"/>
  <c r="J969" i="6"/>
  <c r="J968" i="6"/>
  <c r="J967" i="6"/>
  <c r="J966" i="6"/>
  <c r="J965" i="6"/>
  <c r="J964" i="6"/>
  <c r="J963" i="6"/>
  <c r="J962" i="6"/>
  <c r="J961" i="6"/>
  <c r="J960" i="6"/>
  <c r="J959" i="6"/>
  <c r="J958" i="6"/>
  <c r="J957" i="6"/>
  <c r="J956" i="6"/>
  <c r="J955" i="6"/>
  <c r="J954" i="6"/>
  <c r="J953" i="6"/>
  <c r="J952" i="6"/>
  <c r="J951" i="6"/>
  <c r="J950" i="6"/>
  <c r="J949" i="6"/>
  <c r="J948" i="6"/>
  <c r="J947" i="6"/>
  <c r="J946" i="6"/>
  <c r="J945" i="6"/>
  <c r="J944" i="6"/>
  <c r="J943" i="6"/>
  <c r="J942" i="6"/>
  <c r="J941" i="6"/>
  <c r="J940" i="6"/>
  <c r="J939" i="6"/>
  <c r="J938" i="6"/>
  <c r="J937" i="6"/>
  <c r="J936" i="6"/>
  <c r="J935" i="6"/>
  <c r="J934" i="6"/>
  <c r="J933" i="6"/>
  <c r="J932" i="6"/>
  <c r="J931" i="6"/>
  <c r="J930" i="6"/>
  <c r="J929" i="6"/>
  <c r="J928" i="6"/>
  <c r="J927" i="6"/>
  <c r="J926" i="6"/>
  <c r="J925" i="6"/>
  <c r="J924" i="6"/>
  <c r="J923" i="6"/>
  <c r="J922" i="6"/>
  <c r="J921" i="6"/>
  <c r="J920" i="6"/>
  <c r="J919" i="6"/>
  <c r="J918" i="6"/>
  <c r="J917" i="6"/>
  <c r="J916" i="6"/>
  <c r="J915" i="6"/>
  <c r="J914" i="6"/>
  <c r="J913" i="6"/>
  <c r="J912" i="6"/>
  <c r="J911" i="6"/>
  <c r="J910" i="6"/>
  <c r="J909" i="6"/>
  <c r="J908" i="6"/>
  <c r="J907" i="6"/>
  <c r="J906" i="6"/>
  <c r="J905" i="6"/>
  <c r="J904" i="6"/>
  <c r="J903" i="6"/>
  <c r="J902" i="6"/>
  <c r="J901" i="6"/>
  <c r="J900" i="6"/>
  <c r="J899" i="6"/>
  <c r="J898" i="6"/>
  <c r="J897" i="6"/>
  <c r="J896" i="6"/>
  <c r="J895" i="6"/>
  <c r="J894" i="6"/>
  <c r="J893" i="6"/>
  <c r="J892" i="6"/>
  <c r="J891" i="6"/>
  <c r="J890" i="6"/>
  <c r="J889" i="6"/>
  <c r="J888" i="6"/>
  <c r="J887" i="6"/>
  <c r="J886" i="6"/>
  <c r="J885" i="6"/>
  <c r="J884" i="6"/>
  <c r="J883" i="6"/>
  <c r="J882" i="6"/>
  <c r="J881" i="6"/>
  <c r="J880" i="6"/>
  <c r="J879" i="6"/>
  <c r="J878" i="6"/>
  <c r="J877" i="6"/>
  <c r="J876" i="6"/>
  <c r="J875" i="6"/>
  <c r="J874" i="6"/>
  <c r="J873" i="6"/>
  <c r="J872" i="6"/>
  <c r="J871" i="6"/>
  <c r="J870" i="6"/>
  <c r="J869" i="6"/>
  <c r="J868" i="6"/>
  <c r="J867" i="6"/>
  <c r="J866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Q5743" i="5"/>
  <c r="P5743" i="5"/>
  <c r="N5743" i="5"/>
  <c r="D5743" i="5"/>
  <c r="Q5742" i="5"/>
  <c r="P5742" i="5"/>
  <c r="N5742" i="5"/>
  <c r="D5742" i="5"/>
  <c r="Q5741" i="5"/>
  <c r="P5741" i="5"/>
  <c r="N5741" i="5"/>
  <c r="D5741" i="5"/>
  <c r="Q5740" i="5"/>
  <c r="P5740" i="5"/>
  <c r="N5740" i="5"/>
  <c r="D5740" i="5"/>
  <c r="Q5739" i="5"/>
  <c r="P5739" i="5"/>
  <c r="N5739" i="5"/>
  <c r="D5739" i="5"/>
  <c r="Q5738" i="5"/>
  <c r="P5738" i="5"/>
  <c r="N5738" i="5"/>
  <c r="D5738" i="5"/>
  <c r="Q5737" i="5"/>
  <c r="P5737" i="5"/>
  <c r="N5737" i="5"/>
  <c r="D5737" i="5"/>
  <c r="Q5736" i="5"/>
  <c r="P5736" i="5"/>
  <c r="N5736" i="5"/>
  <c r="D5736" i="5"/>
  <c r="Q5735" i="5"/>
  <c r="P5735" i="5"/>
  <c r="N5735" i="5"/>
  <c r="D5735" i="5"/>
  <c r="Q5734" i="5"/>
  <c r="P5734" i="5"/>
  <c r="N5734" i="5"/>
  <c r="D5734" i="5"/>
  <c r="Q5733" i="5"/>
  <c r="P5733" i="5"/>
  <c r="N5733" i="5"/>
  <c r="D5733" i="5"/>
  <c r="Q5732" i="5"/>
  <c r="P5732" i="5"/>
  <c r="N5732" i="5"/>
  <c r="D5732" i="5"/>
  <c r="Q5731" i="5"/>
  <c r="P5731" i="5"/>
  <c r="N5731" i="5"/>
  <c r="D5731" i="5"/>
  <c r="Q5730" i="5"/>
  <c r="P5730" i="5"/>
  <c r="N5730" i="5"/>
  <c r="D5730" i="5"/>
  <c r="Q5729" i="5"/>
  <c r="P5729" i="5"/>
  <c r="N5729" i="5"/>
  <c r="D5729" i="5"/>
  <c r="Q5728" i="5"/>
  <c r="P5728" i="5"/>
  <c r="N5728" i="5"/>
  <c r="D5728" i="5"/>
  <c r="Q5727" i="5"/>
  <c r="P5727" i="5"/>
  <c r="N5727" i="5"/>
  <c r="D5727" i="5"/>
  <c r="Q5726" i="5"/>
  <c r="P5726" i="5"/>
  <c r="N5726" i="5"/>
  <c r="D5726" i="5"/>
  <c r="Q5725" i="5"/>
  <c r="P5725" i="5"/>
  <c r="N5725" i="5"/>
  <c r="D5725" i="5"/>
  <c r="Q5724" i="5"/>
  <c r="P5724" i="5"/>
  <c r="N5724" i="5"/>
  <c r="D5724" i="5"/>
  <c r="Q5723" i="5"/>
  <c r="P5723" i="5"/>
  <c r="N5723" i="5"/>
  <c r="D5723" i="5"/>
  <c r="Q5722" i="5"/>
  <c r="P5722" i="5"/>
  <c r="N5722" i="5"/>
  <c r="D5722" i="5"/>
  <c r="Q5721" i="5"/>
  <c r="P5721" i="5"/>
  <c r="N5721" i="5"/>
  <c r="D5721" i="5"/>
  <c r="Q5720" i="5"/>
  <c r="P5720" i="5"/>
  <c r="N5720" i="5"/>
  <c r="D5720" i="5"/>
  <c r="Q5719" i="5"/>
  <c r="P5719" i="5"/>
  <c r="N5719" i="5"/>
  <c r="D5719" i="5"/>
  <c r="Q5718" i="5"/>
  <c r="P5718" i="5"/>
  <c r="N5718" i="5"/>
  <c r="D5718" i="5"/>
  <c r="Q5717" i="5"/>
  <c r="P5717" i="5"/>
  <c r="N5717" i="5"/>
  <c r="D5717" i="5"/>
  <c r="Q5716" i="5"/>
  <c r="P5716" i="5"/>
  <c r="N5716" i="5"/>
  <c r="D5716" i="5"/>
  <c r="Q5715" i="5"/>
  <c r="P5715" i="5"/>
  <c r="N5715" i="5"/>
  <c r="D5715" i="5"/>
  <c r="Q5714" i="5"/>
  <c r="P5714" i="5"/>
  <c r="N5714" i="5"/>
  <c r="D5714" i="5"/>
  <c r="Q5713" i="5"/>
  <c r="P5713" i="5"/>
  <c r="N5713" i="5"/>
  <c r="D5713" i="5"/>
  <c r="Q5712" i="5"/>
  <c r="P5712" i="5"/>
  <c r="N5712" i="5"/>
  <c r="D5712" i="5"/>
  <c r="Q5711" i="5"/>
  <c r="P5711" i="5"/>
  <c r="N5711" i="5"/>
  <c r="D5711" i="5"/>
  <c r="Q5710" i="5"/>
  <c r="P5710" i="5"/>
  <c r="N5710" i="5"/>
  <c r="D5710" i="5"/>
  <c r="Q5709" i="5"/>
  <c r="P5709" i="5"/>
  <c r="N5709" i="5"/>
  <c r="D5709" i="5"/>
  <c r="P5708" i="5"/>
  <c r="N5708" i="5"/>
  <c r="D5708" i="5"/>
  <c r="O5708" i="5" s="1"/>
  <c r="Q5708" i="5" s="1"/>
  <c r="P5707" i="5"/>
  <c r="N5707" i="5"/>
  <c r="D5707" i="5"/>
  <c r="O5707" i="5" s="1"/>
  <c r="Q5707" i="5" s="1"/>
  <c r="P5706" i="5"/>
  <c r="N5706" i="5"/>
  <c r="D5706" i="5"/>
  <c r="O5706" i="5" s="1"/>
  <c r="Q5706" i="5" s="1"/>
  <c r="P5705" i="5"/>
  <c r="N5705" i="5"/>
  <c r="D5705" i="5"/>
  <c r="O5705" i="5" s="1"/>
  <c r="Q5705" i="5" s="1"/>
  <c r="P5704" i="5"/>
  <c r="N5704" i="5"/>
  <c r="D5704" i="5"/>
  <c r="O5704" i="5" s="1"/>
  <c r="Q5704" i="5" s="1"/>
  <c r="P5703" i="5"/>
  <c r="N5703" i="5"/>
  <c r="D5703" i="5"/>
  <c r="O5703" i="5" s="1"/>
  <c r="Q5703" i="5" s="1"/>
  <c r="P5702" i="5"/>
  <c r="N5702" i="5"/>
  <c r="D5702" i="5"/>
  <c r="O5702" i="5" s="1"/>
  <c r="Q5702" i="5" s="1"/>
  <c r="P5701" i="5"/>
  <c r="N5701" i="5"/>
  <c r="D5701" i="5"/>
  <c r="O5701" i="5" s="1"/>
  <c r="Q5701" i="5" s="1"/>
  <c r="P5700" i="5"/>
  <c r="N5700" i="5"/>
  <c r="D5700" i="5"/>
  <c r="O5700" i="5" s="1"/>
  <c r="Q5700" i="5" s="1"/>
  <c r="P5699" i="5"/>
  <c r="N5699" i="5"/>
  <c r="D5699" i="5"/>
  <c r="O5699" i="5" s="1"/>
  <c r="Q5699" i="5" s="1"/>
  <c r="P5698" i="5"/>
  <c r="N5698" i="5"/>
  <c r="D5698" i="5"/>
  <c r="O5698" i="5" s="1"/>
  <c r="Q5698" i="5" s="1"/>
  <c r="P5697" i="5"/>
  <c r="N5697" i="5"/>
  <c r="D5697" i="5"/>
  <c r="O5697" i="5" s="1"/>
  <c r="Q5697" i="5" s="1"/>
  <c r="P5696" i="5"/>
  <c r="N5696" i="5"/>
  <c r="D5696" i="5"/>
  <c r="O5696" i="5" s="1"/>
  <c r="Q5696" i="5" s="1"/>
  <c r="P5695" i="5"/>
  <c r="N5695" i="5"/>
  <c r="D5695" i="5"/>
  <c r="P5694" i="5"/>
  <c r="N5694" i="5"/>
  <c r="D5694" i="5"/>
  <c r="O5694" i="5" s="1"/>
  <c r="Q5694" i="5" s="1"/>
  <c r="P5693" i="5"/>
  <c r="N5693" i="5"/>
  <c r="D5693" i="5"/>
  <c r="O5693" i="5" s="1"/>
  <c r="Q5693" i="5" s="1"/>
  <c r="P5692" i="5"/>
  <c r="N5692" i="5"/>
  <c r="D5692" i="5"/>
  <c r="O5692" i="5" s="1"/>
  <c r="Q5692" i="5" s="1"/>
  <c r="P5691" i="5"/>
  <c r="N5691" i="5"/>
  <c r="D5691" i="5"/>
  <c r="O5691" i="5" s="1"/>
  <c r="Q5691" i="5" s="1"/>
  <c r="P5690" i="5"/>
  <c r="N5690" i="5"/>
  <c r="D5690" i="5"/>
  <c r="O5690" i="5" s="1"/>
  <c r="Q5690" i="5" s="1"/>
  <c r="P5689" i="5"/>
  <c r="N5689" i="5"/>
  <c r="D5689" i="5"/>
  <c r="O5689" i="5" s="1"/>
  <c r="Q5689" i="5" s="1"/>
  <c r="P5688" i="5"/>
  <c r="N5688" i="5"/>
  <c r="D5688" i="5"/>
  <c r="O5688" i="5" s="1"/>
  <c r="Q5688" i="5" s="1"/>
  <c r="P5687" i="5"/>
  <c r="N5687" i="5"/>
  <c r="D5687" i="5"/>
  <c r="O5687" i="5" s="1"/>
  <c r="Q5687" i="5" s="1"/>
  <c r="P5686" i="5"/>
  <c r="N5686" i="5"/>
  <c r="D5686" i="5"/>
  <c r="O5686" i="5" s="1"/>
  <c r="Q5686" i="5" s="1"/>
  <c r="P5685" i="5"/>
  <c r="N5685" i="5"/>
  <c r="D5685" i="5"/>
  <c r="O5685" i="5" s="1"/>
  <c r="Q5685" i="5" s="1"/>
  <c r="P5684" i="5"/>
  <c r="N5684" i="5"/>
  <c r="D5684" i="5"/>
  <c r="O5684" i="5" s="1"/>
  <c r="Q5684" i="5" s="1"/>
  <c r="P5683" i="5"/>
  <c r="N5683" i="5"/>
  <c r="D5683" i="5"/>
  <c r="O5683" i="5" s="1"/>
  <c r="Q5683" i="5" s="1"/>
  <c r="P5682" i="5"/>
  <c r="N5682" i="5"/>
  <c r="D5682" i="5"/>
  <c r="O5682" i="5" s="1"/>
  <c r="Q5682" i="5" s="1"/>
  <c r="P5681" i="5"/>
  <c r="N5681" i="5"/>
  <c r="D5681" i="5"/>
  <c r="O5681" i="5" s="1"/>
  <c r="Q5681" i="5" s="1"/>
  <c r="P5680" i="5"/>
  <c r="N5680" i="5"/>
  <c r="D5680" i="5"/>
  <c r="O5680" i="5" s="1"/>
  <c r="Q5680" i="5" s="1"/>
  <c r="P5679" i="5"/>
  <c r="N5679" i="5"/>
  <c r="D5679" i="5"/>
  <c r="O5679" i="5" s="1"/>
  <c r="Q5679" i="5" s="1"/>
  <c r="P5678" i="5"/>
  <c r="N5678" i="5"/>
  <c r="D5678" i="5"/>
  <c r="O5678" i="5" s="1"/>
  <c r="Q5678" i="5" s="1"/>
  <c r="P5677" i="5"/>
  <c r="N5677" i="5"/>
  <c r="D5677" i="5"/>
  <c r="O5677" i="5" s="1"/>
  <c r="Q5677" i="5" s="1"/>
  <c r="P5676" i="5"/>
  <c r="N5676" i="5"/>
  <c r="D5676" i="5"/>
  <c r="O5676" i="5" s="1"/>
  <c r="Q5676" i="5" s="1"/>
  <c r="P5675" i="5"/>
  <c r="N5675" i="5"/>
  <c r="D5675" i="5"/>
  <c r="O5675" i="5" s="1"/>
  <c r="Q5675" i="5" s="1"/>
  <c r="P5674" i="5"/>
  <c r="N5674" i="5"/>
  <c r="D5674" i="5"/>
  <c r="O5674" i="5" s="1"/>
  <c r="Q5674" i="5" s="1"/>
  <c r="P5673" i="5"/>
  <c r="N5673" i="5"/>
  <c r="D5673" i="5"/>
  <c r="O5673" i="5" s="1"/>
  <c r="Q5673" i="5" s="1"/>
  <c r="P5672" i="5"/>
  <c r="N5672" i="5"/>
  <c r="D5672" i="5"/>
  <c r="O5672" i="5" s="1"/>
  <c r="Q5672" i="5" s="1"/>
  <c r="P5671" i="5"/>
  <c r="N5671" i="5"/>
  <c r="D5671" i="5"/>
  <c r="O5671" i="5" s="1"/>
  <c r="Q5671" i="5" s="1"/>
  <c r="P5670" i="5"/>
  <c r="N5670" i="5"/>
  <c r="D5670" i="5"/>
  <c r="O5670" i="5" s="1"/>
  <c r="Q5670" i="5" s="1"/>
  <c r="P5669" i="5"/>
  <c r="N5669" i="5"/>
  <c r="D5669" i="5"/>
  <c r="O5669" i="5" s="1"/>
  <c r="Q5669" i="5" s="1"/>
  <c r="P5668" i="5"/>
  <c r="N5668" i="5"/>
  <c r="D5668" i="5"/>
  <c r="O5668" i="5" s="1"/>
  <c r="Q5668" i="5" s="1"/>
  <c r="P5667" i="5"/>
  <c r="N5667" i="5"/>
  <c r="D5667" i="5"/>
  <c r="O5667" i="5" s="1"/>
  <c r="Q5667" i="5" s="1"/>
  <c r="P5666" i="5"/>
  <c r="N5666" i="5"/>
  <c r="D5666" i="5"/>
  <c r="O5666" i="5" s="1"/>
  <c r="Q5666" i="5" s="1"/>
  <c r="P5665" i="5"/>
  <c r="N5665" i="5"/>
  <c r="D5665" i="5"/>
  <c r="O5665" i="5" s="1"/>
  <c r="Q5665" i="5" s="1"/>
  <c r="P5664" i="5"/>
  <c r="N5664" i="5"/>
  <c r="D5664" i="5"/>
  <c r="O5664" i="5" s="1"/>
  <c r="Q5664" i="5" s="1"/>
  <c r="P5663" i="5"/>
  <c r="N5663" i="5"/>
  <c r="D5663" i="5"/>
  <c r="O5663" i="5" s="1"/>
  <c r="Q5663" i="5" s="1"/>
  <c r="P5662" i="5"/>
  <c r="N5662" i="5"/>
  <c r="D5662" i="5"/>
  <c r="O5662" i="5" s="1"/>
  <c r="Q5662" i="5" s="1"/>
  <c r="P5661" i="5"/>
  <c r="N5661" i="5"/>
  <c r="D5661" i="5"/>
  <c r="O5661" i="5" s="1"/>
  <c r="Q5661" i="5" s="1"/>
  <c r="P5660" i="5"/>
  <c r="N5660" i="5"/>
  <c r="D5660" i="5"/>
  <c r="O5660" i="5" s="1"/>
  <c r="Q5660" i="5" s="1"/>
  <c r="P5659" i="5"/>
  <c r="N5659" i="5"/>
  <c r="D5659" i="5"/>
  <c r="O5659" i="5" s="1"/>
  <c r="Q5659" i="5" s="1"/>
  <c r="P5658" i="5"/>
  <c r="N5658" i="5"/>
  <c r="D5658" i="5"/>
  <c r="O5658" i="5" s="1"/>
  <c r="Q5658" i="5" s="1"/>
  <c r="P5657" i="5"/>
  <c r="N5657" i="5"/>
  <c r="D5657" i="5"/>
  <c r="O5657" i="5" s="1"/>
  <c r="Q5657" i="5" s="1"/>
  <c r="P5656" i="5"/>
  <c r="N5656" i="5"/>
  <c r="D5656" i="5"/>
  <c r="O5656" i="5" s="1"/>
  <c r="Q5656" i="5" s="1"/>
  <c r="P5655" i="5"/>
  <c r="N5655" i="5"/>
  <c r="D5655" i="5"/>
  <c r="O5655" i="5" s="1"/>
  <c r="Q5655" i="5" s="1"/>
  <c r="P5654" i="5"/>
  <c r="N5654" i="5"/>
  <c r="D5654" i="5"/>
  <c r="O5654" i="5" s="1"/>
  <c r="Q5654" i="5" s="1"/>
  <c r="P5653" i="5"/>
  <c r="N5653" i="5"/>
  <c r="D5653" i="5"/>
  <c r="O5653" i="5" s="1"/>
  <c r="Q5653" i="5" s="1"/>
  <c r="P5652" i="5"/>
  <c r="N5652" i="5"/>
  <c r="D5652" i="5"/>
  <c r="O5652" i="5" s="1"/>
  <c r="Q5652" i="5" s="1"/>
  <c r="P5651" i="5"/>
  <c r="N5651" i="5"/>
  <c r="D5651" i="5"/>
  <c r="O5651" i="5" s="1"/>
  <c r="Q5651" i="5" s="1"/>
  <c r="P5650" i="5"/>
  <c r="N5650" i="5"/>
  <c r="D5650" i="5"/>
  <c r="O5650" i="5" s="1"/>
  <c r="Q5650" i="5" s="1"/>
  <c r="P5649" i="5"/>
  <c r="N5649" i="5"/>
  <c r="D5649" i="5"/>
  <c r="O5649" i="5" s="1"/>
  <c r="Q5649" i="5" s="1"/>
  <c r="P5648" i="5"/>
  <c r="N5648" i="5"/>
  <c r="D5648" i="5"/>
  <c r="O5648" i="5" s="1"/>
  <c r="Q5648" i="5" s="1"/>
  <c r="P5647" i="5"/>
  <c r="N5647" i="5"/>
  <c r="D5647" i="5"/>
  <c r="O5647" i="5" s="1"/>
  <c r="Q5647" i="5" s="1"/>
  <c r="P5646" i="5"/>
  <c r="N5646" i="5"/>
  <c r="D5646" i="5"/>
  <c r="O5646" i="5" s="1"/>
  <c r="Q5646" i="5" s="1"/>
  <c r="P5645" i="5"/>
  <c r="N5645" i="5"/>
  <c r="D5645" i="5"/>
  <c r="O5645" i="5" s="1"/>
  <c r="Q5645" i="5" s="1"/>
  <c r="P5644" i="5"/>
  <c r="N5644" i="5"/>
  <c r="D5644" i="5"/>
  <c r="O5644" i="5" s="1"/>
  <c r="Q5644" i="5" s="1"/>
  <c r="P5643" i="5"/>
  <c r="N5643" i="5"/>
  <c r="D5643" i="5"/>
  <c r="O5643" i="5" s="1"/>
  <c r="Q5643" i="5" s="1"/>
  <c r="P5642" i="5"/>
  <c r="N5642" i="5"/>
  <c r="D5642" i="5"/>
  <c r="O5642" i="5" s="1"/>
  <c r="Q5642" i="5" s="1"/>
  <c r="P5641" i="5"/>
  <c r="N5641" i="5"/>
  <c r="D5641" i="5"/>
  <c r="P5640" i="5"/>
  <c r="N5640" i="5"/>
  <c r="D5640" i="5"/>
  <c r="O5640" i="5" s="1"/>
  <c r="Q5640" i="5" s="1"/>
  <c r="P5639" i="5"/>
  <c r="N5639" i="5"/>
  <c r="D5639" i="5"/>
  <c r="O5639" i="5" s="1"/>
  <c r="Q5639" i="5" s="1"/>
  <c r="P5638" i="5"/>
  <c r="N5638" i="5"/>
  <c r="D5638" i="5"/>
  <c r="O5638" i="5" s="1"/>
  <c r="Q5638" i="5" s="1"/>
  <c r="P5637" i="5"/>
  <c r="N5637" i="5"/>
  <c r="D5637" i="5"/>
  <c r="O5637" i="5" s="1"/>
  <c r="Q5637" i="5" s="1"/>
  <c r="P5636" i="5"/>
  <c r="N5636" i="5"/>
  <c r="D5636" i="5"/>
  <c r="O5636" i="5" s="1"/>
  <c r="Q5636" i="5" s="1"/>
  <c r="P5635" i="5"/>
  <c r="N5635" i="5"/>
  <c r="D5635" i="5"/>
  <c r="O5635" i="5" s="1"/>
  <c r="Q5635" i="5" s="1"/>
  <c r="P5634" i="5"/>
  <c r="N5634" i="5"/>
  <c r="D5634" i="5"/>
  <c r="O5634" i="5" s="1"/>
  <c r="Q5634" i="5" s="1"/>
  <c r="P5633" i="5"/>
  <c r="N5633" i="5"/>
  <c r="D5633" i="5"/>
  <c r="O5633" i="5" s="1"/>
  <c r="Q5633" i="5" s="1"/>
  <c r="P5632" i="5"/>
  <c r="N5632" i="5"/>
  <c r="D5632" i="5"/>
  <c r="O5632" i="5" s="1"/>
  <c r="Q5632" i="5" s="1"/>
  <c r="P5631" i="5"/>
  <c r="N5631" i="5"/>
  <c r="D5631" i="5"/>
  <c r="O5631" i="5" s="1"/>
  <c r="Q5631" i="5" s="1"/>
  <c r="P5630" i="5"/>
  <c r="N5630" i="5"/>
  <c r="D5630" i="5"/>
  <c r="O5630" i="5" s="1"/>
  <c r="Q5630" i="5" s="1"/>
  <c r="P5629" i="5"/>
  <c r="N5629" i="5"/>
  <c r="D5629" i="5"/>
  <c r="O5629" i="5" s="1"/>
  <c r="Q5629" i="5" s="1"/>
  <c r="P5628" i="5"/>
  <c r="N5628" i="5"/>
  <c r="D5628" i="5"/>
  <c r="O5628" i="5" s="1"/>
  <c r="Q5628" i="5" s="1"/>
  <c r="P5627" i="5"/>
  <c r="N5627" i="5"/>
  <c r="D5627" i="5"/>
  <c r="O5627" i="5" s="1"/>
  <c r="Q5627" i="5" s="1"/>
  <c r="P5626" i="5"/>
  <c r="N5626" i="5"/>
  <c r="D5626" i="5"/>
  <c r="O5626" i="5" s="1"/>
  <c r="Q5626" i="5" s="1"/>
  <c r="P5625" i="5"/>
  <c r="N5625" i="5"/>
  <c r="D5625" i="5"/>
  <c r="O5625" i="5" s="1"/>
  <c r="Q5625" i="5" s="1"/>
  <c r="P5624" i="5"/>
  <c r="N5624" i="5"/>
  <c r="D5624" i="5"/>
  <c r="O5624" i="5" s="1"/>
  <c r="Q5624" i="5" s="1"/>
  <c r="P5623" i="5"/>
  <c r="N5623" i="5"/>
  <c r="D5623" i="5"/>
  <c r="O5623" i="5" s="1"/>
  <c r="Q5623" i="5" s="1"/>
  <c r="P5622" i="5"/>
  <c r="N5622" i="5"/>
  <c r="D5622" i="5"/>
  <c r="O5622" i="5" s="1"/>
  <c r="Q5622" i="5" s="1"/>
  <c r="P5621" i="5"/>
  <c r="N5621" i="5"/>
  <c r="D5621" i="5"/>
  <c r="O5621" i="5" s="1"/>
  <c r="Q5621" i="5" s="1"/>
  <c r="P5620" i="5"/>
  <c r="N5620" i="5"/>
  <c r="D5620" i="5"/>
  <c r="O5620" i="5" s="1"/>
  <c r="Q5620" i="5" s="1"/>
  <c r="P5619" i="5"/>
  <c r="N5619" i="5"/>
  <c r="D5619" i="5"/>
  <c r="O5619" i="5" s="1"/>
  <c r="Q5619" i="5" s="1"/>
  <c r="P5618" i="5"/>
  <c r="N5618" i="5"/>
  <c r="D5618" i="5"/>
  <c r="O5618" i="5" s="1"/>
  <c r="Q5618" i="5" s="1"/>
  <c r="P5617" i="5"/>
  <c r="N5617" i="5"/>
  <c r="D5617" i="5"/>
  <c r="O5617" i="5" s="1"/>
  <c r="Q5617" i="5" s="1"/>
  <c r="P5616" i="5"/>
  <c r="N5616" i="5"/>
  <c r="D5616" i="5"/>
  <c r="O5616" i="5" s="1"/>
  <c r="Q5616" i="5" s="1"/>
  <c r="P5615" i="5"/>
  <c r="N5615" i="5"/>
  <c r="D5615" i="5"/>
  <c r="O5615" i="5" s="1"/>
  <c r="Q5615" i="5" s="1"/>
  <c r="P5614" i="5"/>
  <c r="N5614" i="5"/>
  <c r="D5614" i="5"/>
  <c r="O5614" i="5" s="1"/>
  <c r="Q5614" i="5" s="1"/>
  <c r="P5613" i="5"/>
  <c r="N5613" i="5"/>
  <c r="D5613" i="5"/>
  <c r="O5613" i="5" s="1"/>
  <c r="Q5613" i="5" s="1"/>
  <c r="P5612" i="5"/>
  <c r="N5612" i="5"/>
  <c r="D5612" i="5"/>
  <c r="O5612" i="5" s="1"/>
  <c r="Q5612" i="5" s="1"/>
  <c r="P5611" i="5"/>
  <c r="N5611" i="5"/>
  <c r="D5611" i="5"/>
  <c r="O5611" i="5" s="1"/>
  <c r="Q5611" i="5" s="1"/>
  <c r="P5610" i="5"/>
  <c r="N5610" i="5"/>
  <c r="D5610" i="5"/>
  <c r="O5610" i="5" s="1"/>
  <c r="Q5610" i="5" s="1"/>
  <c r="P5609" i="5"/>
  <c r="N5609" i="5"/>
  <c r="D5609" i="5"/>
  <c r="O5609" i="5" s="1"/>
  <c r="Q5609" i="5" s="1"/>
  <c r="P5608" i="5"/>
  <c r="N5608" i="5"/>
  <c r="D5608" i="5"/>
  <c r="O5608" i="5" s="1"/>
  <c r="Q5608" i="5" s="1"/>
  <c r="P5607" i="5"/>
  <c r="N5607" i="5"/>
  <c r="D5607" i="5"/>
  <c r="O5607" i="5" s="1"/>
  <c r="Q5607" i="5" s="1"/>
  <c r="P5606" i="5"/>
  <c r="N5606" i="5"/>
  <c r="D5606" i="5"/>
  <c r="O5606" i="5" s="1"/>
  <c r="Q5606" i="5" s="1"/>
  <c r="P5605" i="5"/>
  <c r="N5605" i="5"/>
  <c r="D5605" i="5"/>
  <c r="O5605" i="5" s="1"/>
  <c r="Q5605" i="5" s="1"/>
  <c r="P5604" i="5"/>
  <c r="N5604" i="5"/>
  <c r="D5604" i="5"/>
  <c r="O5604" i="5" s="1"/>
  <c r="Q5604" i="5" s="1"/>
  <c r="P5603" i="5"/>
  <c r="N5603" i="5"/>
  <c r="D5603" i="5"/>
  <c r="O5603" i="5" s="1"/>
  <c r="Q5603" i="5" s="1"/>
  <c r="P5602" i="5"/>
  <c r="N5602" i="5"/>
  <c r="D5602" i="5"/>
  <c r="O5602" i="5" s="1"/>
  <c r="Q5602" i="5" s="1"/>
  <c r="P5601" i="5"/>
  <c r="N5601" i="5"/>
  <c r="D5601" i="5"/>
  <c r="O5601" i="5" s="1"/>
  <c r="Q5601" i="5" s="1"/>
  <c r="P5600" i="5"/>
  <c r="N5600" i="5"/>
  <c r="D5600" i="5"/>
  <c r="O5600" i="5" s="1"/>
  <c r="Q5600" i="5" s="1"/>
  <c r="P5599" i="5"/>
  <c r="N5599" i="5"/>
  <c r="D5599" i="5"/>
  <c r="O5599" i="5" s="1"/>
  <c r="Q5599" i="5" s="1"/>
  <c r="P5598" i="5"/>
  <c r="N5598" i="5"/>
  <c r="D5598" i="5"/>
  <c r="O5598" i="5" s="1"/>
  <c r="Q5598" i="5" s="1"/>
  <c r="P5597" i="5"/>
  <c r="N5597" i="5"/>
  <c r="D5597" i="5"/>
  <c r="O5597" i="5" s="1"/>
  <c r="Q5597" i="5" s="1"/>
  <c r="P5596" i="5"/>
  <c r="N5596" i="5"/>
  <c r="D5596" i="5"/>
  <c r="O5596" i="5" s="1"/>
  <c r="Q5596" i="5" s="1"/>
  <c r="P5595" i="5"/>
  <c r="N5595" i="5"/>
  <c r="D5595" i="5"/>
  <c r="O5595" i="5" s="1"/>
  <c r="Q5595" i="5" s="1"/>
  <c r="P5594" i="5"/>
  <c r="N5594" i="5"/>
  <c r="D5594" i="5"/>
  <c r="O5594" i="5" s="1"/>
  <c r="Q5594" i="5" s="1"/>
  <c r="P5593" i="5"/>
  <c r="N5593" i="5"/>
  <c r="D5593" i="5"/>
  <c r="P5592" i="5"/>
  <c r="N5592" i="5"/>
  <c r="D5592" i="5"/>
  <c r="O5592" i="5" s="1"/>
  <c r="Q5592" i="5" s="1"/>
  <c r="P5591" i="5"/>
  <c r="N5591" i="5"/>
  <c r="D5591" i="5"/>
  <c r="O5591" i="5" s="1"/>
  <c r="Q5591" i="5" s="1"/>
  <c r="P5590" i="5"/>
  <c r="N5590" i="5"/>
  <c r="D5590" i="5"/>
  <c r="O5590" i="5" s="1"/>
  <c r="Q5590" i="5" s="1"/>
  <c r="P5589" i="5"/>
  <c r="N5589" i="5"/>
  <c r="D5589" i="5"/>
  <c r="O5589" i="5" s="1"/>
  <c r="Q5589" i="5" s="1"/>
  <c r="P5588" i="5"/>
  <c r="N5588" i="5"/>
  <c r="D5588" i="5"/>
  <c r="O5588" i="5" s="1"/>
  <c r="Q5588" i="5" s="1"/>
  <c r="P5587" i="5"/>
  <c r="N5587" i="5"/>
  <c r="D5587" i="5"/>
  <c r="O5587" i="5" s="1"/>
  <c r="Q5587" i="5" s="1"/>
  <c r="P5586" i="5"/>
  <c r="N5586" i="5"/>
  <c r="D5586" i="5"/>
  <c r="O5586" i="5" s="1"/>
  <c r="Q5586" i="5" s="1"/>
  <c r="P5585" i="5"/>
  <c r="N5585" i="5"/>
  <c r="D5585" i="5"/>
  <c r="O5585" i="5" s="1"/>
  <c r="Q5585" i="5" s="1"/>
  <c r="P5584" i="5"/>
  <c r="N5584" i="5"/>
  <c r="D5584" i="5"/>
  <c r="O5584" i="5" s="1"/>
  <c r="Q5584" i="5" s="1"/>
  <c r="P5583" i="5"/>
  <c r="N5583" i="5"/>
  <c r="D5583" i="5"/>
  <c r="O5583" i="5" s="1"/>
  <c r="Q5583" i="5" s="1"/>
  <c r="P5582" i="5"/>
  <c r="N5582" i="5"/>
  <c r="D5582" i="5"/>
  <c r="O5582" i="5" s="1"/>
  <c r="Q5582" i="5" s="1"/>
  <c r="P5581" i="5"/>
  <c r="N5581" i="5"/>
  <c r="D5581" i="5"/>
  <c r="O5581" i="5" s="1"/>
  <c r="Q5581" i="5" s="1"/>
  <c r="P5580" i="5"/>
  <c r="N5580" i="5"/>
  <c r="D5580" i="5"/>
  <c r="O5580" i="5" s="1"/>
  <c r="Q5580" i="5" s="1"/>
  <c r="P5579" i="5"/>
  <c r="N5579" i="5"/>
  <c r="D5579" i="5"/>
  <c r="O5579" i="5" s="1"/>
  <c r="Q5579" i="5" s="1"/>
  <c r="P5578" i="5"/>
  <c r="N5578" i="5"/>
  <c r="D5578" i="5"/>
  <c r="P5577" i="5"/>
  <c r="N5577" i="5"/>
  <c r="D5577" i="5"/>
  <c r="O5577" i="5" s="1"/>
  <c r="Q5577" i="5" s="1"/>
  <c r="P5576" i="5"/>
  <c r="N5576" i="5"/>
  <c r="D5576" i="5"/>
  <c r="O5576" i="5" s="1"/>
  <c r="Q5576" i="5" s="1"/>
  <c r="P5575" i="5"/>
  <c r="N5575" i="5"/>
  <c r="D5575" i="5"/>
  <c r="O5575" i="5" s="1"/>
  <c r="Q5575" i="5" s="1"/>
  <c r="P5574" i="5"/>
  <c r="N5574" i="5"/>
  <c r="D5574" i="5"/>
  <c r="P5573" i="5"/>
  <c r="N5573" i="5"/>
  <c r="D5573" i="5"/>
  <c r="O5573" i="5" s="1"/>
  <c r="Q5573" i="5" s="1"/>
  <c r="P5572" i="5"/>
  <c r="N5572" i="5"/>
  <c r="D5572" i="5"/>
  <c r="O5572" i="5" s="1"/>
  <c r="Q5572" i="5" s="1"/>
  <c r="P5571" i="5"/>
  <c r="N5571" i="5"/>
  <c r="D5571" i="5"/>
  <c r="O5571" i="5" s="1"/>
  <c r="Q5571" i="5" s="1"/>
  <c r="P5570" i="5"/>
  <c r="N5570" i="5"/>
  <c r="D5570" i="5"/>
  <c r="O5570" i="5" s="1"/>
  <c r="Q5570" i="5" s="1"/>
  <c r="P5569" i="5"/>
  <c r="N5569" i="5"/>
  <c r="D5569" i="5"/>
  <c r="O5569" i="5" s="1"/>
  <c r="Q5569" i="5" s="1"/>
  <c r="P5568" i="5"/>
  <c r="N5568" i="5"/>
  <c r="D5568" i="5"/>
  <c r="O5568" i="5" s="1"/>
  <c r="Q5568" i="5" s="1"/>
  <c r="P5567" i="5"/>
  <c r="N5567" i="5"/>
  <c r="D5567" i="5"/>
  <c r="O5567" i="5" s="1"/>
  <c r="Q5567" i="5" s="1"/>
  <c r="P5566" i="5"/>
  <c r="N5566" i="5"/>
  <c r="D5566" i="5"/>
  <c r="O5566" i="5" s="1"/>
  <c r="Q5566" i="5" s="1"/>
  <c r="P5565" i="5"/>
  <c r="N5565" i="5"/>
  <c r="D5565" i="5"/>
  <c r="O5565" i="5" s="1"/>
  <c r="Q5565" i="5" s="1"/>
  <c r="P5564" i="5"/>
  <c r="N5564" i="5"/>
  <c r="D5564" i="5"/>
  <c r="O5564" i="5" s="1"/>
  <c r="Q5564" i="5" s="1"/>
  <c r="P5563" i="5"/>
  <c r="N5563" i="5"/>
  <c r="D5563" i="5"/>
  <c r="O5563" i="5" s="1"/>
  <c r="Q5563" i="5" s="1"/>
  <c r="P5562" i="5"/>
  <c r="N5562" i="5"/>
  <c r="D5562" i="5"/>
  <c r="O5562" i="5" s="1"/>
  <c r="Q5562" i="5" s="1"/>
  <c r="P5561" i="5"/>
  <c r="N5561" i="5"/>
  <c r="D5561" i="5"/>
  <c r="O5561" i="5" s="1"/>
  <c r="Q5561" i="5" s="1"/>
  <c r="P5560" i="5"/>
  <c r="N5560" i="5"/>
  <c r="D5560" i="5"/>
  <c r="O5560" i="5" s="1"/>
  <c r="Q5560" i="5" s="1"/>
  <c r="P5559" i="5"/>
  <c r="N5559" i="5"/>
  <c r="D5559" i="5"/>
  <c r="O5559" i="5" s="1"/>
  <c r="Q5559" i="5" s="1"/>
  <c r="P5558" i="5"/>
  <c r="N5558" i="5"/>
  <c r="D5558" i="5"/>
  <c r="O5558" i="5" s="1"/>
  <c r="Q5558" i="5" s="1"/>
  <c r="P5557" i="5"/>
  <c r="N5557" i="5"/>
  <c r="D5557" i="5"/>
  <c r="O5557" i="5" s="1"/>
  <c r="Q5557" i="5" s="1"/>
  <c r="P5556" i="5"/>
  <c r="N5556" i="5"/>
  <c r="D5556" i="5"/>
  <c r="O5556" i="5" s="1"/>
  <c r="Q5556" i="5" s="1"/>
  <c r="P5555" i="5"/>
  <c r="N5555" i="5"/>
  <c r="D5555" i="5"/>
  <c r="O5555" i="5" s="1"/>
  <c r="Q5555" i="5" s="1"/>
  <c r="P5554" i="5"/>
  <c r="N5554" i="5"/>
  <c r="D5554" i="5"/>
  <c r="O5554" i="5" s="1"/>
  <c r="Q5554" i="5" s="1"/>
  <c r="P5553" i="5"/>
  <c r="N5553" i="5"/>
  <c r="D5553" i="5"/>
  <c r="O5553" i="5" s="1"/>
  <c r="Q5553" i="5" s="1"/>
  <c r="P5552" i="5"/>
  <c r="N5552" i="5"/>
  <c r="D5552" i="5"/>
  <c r="O5552" i="5" s="1"/>
  <c r="Q5552" i="5" s="1"/>
  <c r="P5551" i="5"/>
  <c r="N5551" i="5"/>
  <c r="D5551" i="5"/>
  <c r="O5551" i="5" s="1"/>
  <c r="Q5551" i="5" s="1"/>
  <c r="P5550" i="5"/>
  <c r="N5550" i="5"/>
  <c r="D5550" i="5"/>
  <c r="O5550" i="5" s="1"/>
  <c r="Q5550" i="5" s="1"/>
  <c r="P5549" i="5"/>
  <c r="N5549" i="5"/>
  <c r="D5549" i="5"/>
  <c r="O5549" i="5" s="1"/>
  <c r="Q5549" i="5" s="1"/>
  <c r="P5548" i="5"/>
  <c r="N5548" i="5"/>
  <c r="D5548" i="5"/>
  <c r="O5548" i="5" s="1"/>
  <c r="Q5548" i="5" s="1"/>
  <c r="P5547" i="5"/>
  <c r="N5547" i="5"/>
  <c r="D5547" i="5"/>
  <c r="O5547" i="5" s="1"/>
  <c r="Q5547" i="5" s="1"/>
  <c r="P5546" i="5"/>
  <c r="N5546" i="5"/>
  <c r="D5546" i="5"/>
  <c r="O5546" i="5" s="1"/>
  <c r="Q5546" i="5" s="1"/>
  <c r="P5545" i="5"/>
  <c r="N5545" i="5"/>
  <c r="D5545" i="5"/>
  <c r="O5545" i="5" s="1"/>
  <c r="Q5545" i="5" s="1"/>
  <c r="P5544" i="5"/>
  <c r="N5544" i="5"/>
  <c r="D5544" i="5"/>
  <c r="O5544" i="5" s="1"/>
  <c r="Q5544" i="5" s="1"/>
  <c r="P5543" i="5"/>
  <c r="N5543" i="5"/>
  <c r="D5543" i="5"/>
  <c r="O5543" i="5" s="1"/>
  <c r="Q5543" i="5" s="1"/>
  <c r="P5542" i="5"/>
  <c r="N5542" i="5"/>
  <c r="D5542" i="5"/>
  <c r="O5542" i="5" s="1"/>
  <c r="Q5542" i="5" s="1"/>
  <c r="P5541" i="5"/>
  <c r="N5541" i="5"/>
  <c r="D5541" i="5"/>
  <c r="O5541" i="5" s="1"/>
  <c r="Q5541" i="5" s="1"/>
  <c r="P5540" i="5"/>
  <c r="N5540" i="5"/>
  <c r="D5540" i="5"/>
  <c r="O5540" i="5" s="1"/>
  <c r="Q5540" i="5" s="1"/>
  <c r="P5539" i="5"/>
  <c r="N5539" i="5"/>
  <c r="D5539" i="5"/>
  <c r="O5539" i="5" s="1"/>
  <c r="Q5539" i="5" s="1"/>
  <c r="P5538" i="5"/>
  <c r="N5538" i="5"/>
  <c r="D5538" i="5"/>
  <c r="P5537" i="5"/>
  <c r="N5537" i="5"/>
  <c r="D5537" i="5"/>
  <c r="O5537" i="5" s="1"/>
  <c r="Q5537" i="5" s="1"/>
  <c r="P5536" i="5"/>
  <c r="N5536" i="5"/>
  <c r="D5536" i="5"/>
  <c r="O5536" i="5" s="1"/>
  <c r="Q5536" i="5" s="1"/>
  <c r="P5535" i="5"/>
  <c r="N5535" i="5"/>
  <c r="D5535" i="5"/>
  <c r="O5535" i="5" s="1"/>
  <c r="Q5535" i="5" s="1"/>
  <c r="P5534" i="5"/>
  <c r="N5534" i="5"/>
  <c r="D5534" i="5"/>
  <c r="O5534" i="5" s="1"/>
  <c r="Q5534" i="5" s="1"/>
  <c r="P5533" i="5"/>
  <c r="N5533" i="5"/>
  <c r="D5533" i="5"/>
  <c r="O5533" i="5" s="1"/>
  <c r="Q5533" i="5" s="1"/>
  <c r="P5532" i="5"/>
  <c r="N5532" i="5"/>
  <c r="D5532" i="5"/>
  <c r="O5532" i="5" s="1"/>
  <c r="Q5532" i="5" s="1"/>
  <c r="P5531" i="5"/>
  <c r="N5531" i="5"/>
  <c r="D5531" i="5"/>
  <c r="O5531" i="5" s="1"/>
  <c r="Q5531" i="5" s="1"/>
  <c r="P5530" i="5"/>
  <c r="N5530" i="5"/>
  <c r="D5530" i="5"/>
  <c r="O5530" i="5" s="1"/>
  <c r="Q5530" i="5" s="1"/>
  <c r="P5529" i="5"/>
  <c r="N5529" i="5"/>
  <c r="D5529" i="5"/>
  <c r="O5529" i="5" s="1"/>
  <c r="Q5529" i="5" s="1"/>
  <c r="P5528" i="5"/>
  <c r="N5528" i="5"/>
  <c r="D5528" i="5"/>
  <c r="O5528" i="5" s="1"/>
  <c r="Q5528" i="5" s="1"/>
  <c r="P5527" i="5"/>
  <c r="N5527" i="5"/>
  <c r="D5527" i="5"/>
  <c r="O5527" i="5" s="1"/>
  <c r="Q5527" i="5" s="1"/>
  <c r="P5526" i="5"/>
  <c r="N5526" i="5"/>
  <c r="D5526" i="5"/>
  <c r="O5526" i="5" s="1"/>
  <c r="Q5526" i="5" s="1"/>
  <c r="P5525" i="5"/>
  <c r="N5525" i="5"/>
  <c r="D5525" i="5"/>
  <c r="O5525" i="5" s="1"/>
  <c r="Q5525" i="5" s="1"/>
  <c r="P5524" i="5"/>
  <c r="N5524" i="5"/>
  <c r="D5524" i="5"/>
  <c r="O5524" i="5" s="1"/>
  <c r="Q5524" i="5" s="1"/>
  <c r="P5523" i="5"/>
  <c r="N5523" i="5"/>
  <c r="D5523" i="5"/>
  <c r="O5523" i="5" s="1"/>
  <c r="Q5523" i="5" s="1"/>
  <c r="P5522" i="5"/>
  <c r="N5522" i="5"/>
  <c r="D5522" i="5"/>
  <c r="O5522" i="5" s="1"/>
  <c r="Q5522" i="5" s="1"/>
  <c r="P5521" i="5"/>
  <c r="N5521" i="5"/>
  <c r="D5521" i="5"/>
  <c r="O5521" i="5" s="1"/>
  <c r="Q5521" i="5" s="1"/>
  <c r="P5520" i="5"/>
  <c r="N5520" i="5"/>
  <c r="D5520" i="5"/>
  <c r="O5520" i="5" s="1"/>
  <c r="Q5520" i="5" s="1"/>
  <c r="P5519" i="5"/>
  <c r="N5519" i="5"/>
  <c r="D5519" i="5"/>
  <c r="O5519" i="5" s="1"/>
  <c r="Q5519" i="5" s="1"/>
  <c r="P5518" i="5"/>
  <c r="N5518" i="5"/>
  <c r="D5518" i="5"/>
  <c r="O5518" i="5" s="1"/>
  <c r="Q5518" i="5" s="1"/>
  <c r="P5517" i="5"/>
  <c r="N5517" i="5"/>
  <c r="D5517" i="5"/>
  <c r="O5517" i="5" s="1"/>
  <c r="Q5517" i="5" s="1"/>
  <c r="P5516" i="5"/>
  <c r="N5516" i="5"/>
  <c r="D5516" i="5"/>
  <c r="O5516" i="5" s="1"/>
  <c r="Q5516" i="5" s="1"/>
  <c r="P5515" i="5"/>
  <c r="N5515" i="5"/>
  <c r="D5515" i="5"/>
  <c r="O5515" i="5" s="1"/>
  <c r="Q5515" i="5" s="1"/>
  <c r="P5514" i="5"/>
  <c r="N5514" i="5"/>
  <c r="D5514" i="5"/>
  <c r="O5514" i="5" s="1"/>
  <c r="Q5514" i="5" s="1"/>
  <c r="P5513" i="5"/>
  <c r="N5513" i="5"/>
  <c r="D5513" i="5"/>
  <c r="O5513" i="5" s="1"/>
  <c r="Q5513" i="5" s="1"/>
  <c r="P5512" i="5"/>
  <c r="N5512" i="5"/>
  <c r="D5512" i="5"/>
  <c r="O5512" i="5" s="1"/>
  <c r="Q5512" i="5" s="1"/>
  <c r="P5511" i="5"/>
  <c r="N5511" i="5"/>
  <c r="D5511" i="5"/>
  <c r="O5511" i="5" s="1"/>
  <c r="Q5511" i="5" s="1"/>
  <c r="P5510" i="5"/>
  <c r="N5510" i="5"/>
  <c r="D5510" i="5"/>
  <c r="O5510" i="5" s="1"/>
  <c r="Q5510" i="5" s="1"/>
  <c r="P5509" i="5"/>
  <c r="N5509" i="5"/>
  <c r="D5509" i="5"/>
  <c r="O5509" i="5" s="1"/>
  <c r="Q5509" i="5" s="1"/>
  <c r="P5508" i="5"/>
  <c r="N5508" i="5"/>
  <c r="D5508" i="5"/>
  <c r="O5508" i="5" s="1"/>
  <c r="Q5508" i="5" s="1"/>
  <c r="P5507" i="5"/>
  <c r="N5507" i="5"/>
  <c r="D5507" i="5"/>
  <c r="O5507" i="5" s="1"/>
  <c r="Q5507" i="5" s="1"/>
  <c r="P5506" i="5"/>
  <c r="N5506" i="5"/>
  <c r="D5506" i="5"/>
  <c r="O5506" i="5" s="1"/>
  <c r="Q5506" i="5" s="1"/>
  <c r="P5505" i="5"/>
  <c r="N5505" i="5"/>
  <c r="D5505" i="5"/>
  <c r="O5505" i="5" s="1"/>
  <c r="Q5505" i="5" s="1"/>
  <c r="P5504" i="5"/>
  <c r="N5504" i="5"/>
  <c r="D5504" i="5"/>
  <c r="O5504" i="5" s="1"/>
  <c r="Q5504" i="5" s="1"/>
  <c r="P5503" i="5"/>
  <c r="N5503" i="5"/>
  <c r="D5503" i="5"/>
  <c r="O5503" i="5" s="1"/>
  <c r="Q5503" i="5" s="1"/>
  <c r="P5502" i="5"/>
  <c r="N5502" i="5"/>
  <c r="D5502" i="5"/>
  <c r="O5502" i="5" s="1"/>
  <c r="Q5502" i="5" s="1"/>
  <c r="P5501" i="5"/>
  <c r="N5501" i="5"/>
  <c r="D5501" i="5"/>
  <c r="O5501" i="5" s="1"/>
  <c r="Q5501" i="5" s="1"/>
  <c r="P5500" i="5"/>
  <c r="N5500" i="5"/>
  <c r="D5500" i="5"/>
  <c r="O5500" i="5" s="1"/>
  <c r="Q5500" i="5" s="1"/>
  <c r="P5499" i="5"/>
  <c r="N5499" i="5"/>
  <c r="D5499" i="5"/>
  <c r="O5499" i="5" s="1"/>
  <c r="Q5499" i="5" s="1"/>
  <c r="Q5498" i="5"/>
  <c r="P5498" i="5"/>
  <c r="N5498" i="5"/>
  <c r="D5498" i="5"/>
  <c r="Q5497" i="5"/>
  <c r="P5497" i="5"/>
  <c r="N5497" i="5"/>
  <c r="D5497" i="5"/>
  <c r="Q5496" i="5"/>
  <c r="P5496" i="5"/>
  <c r="N5496" i="5"/>
  <c r="D5496" i="5"/>
  <c r="Q5495" i="5"/>
  <c r="P5495" i="5"/>
  <c r="N5495" i="5"/>
  <c r="D5495" i="5"/>
  <c r="Q5494" i="5"/>
  <c r="P5494" i="5"/>
  <c r="N5494" i="5"/>
  <c r="D5494" i="5"/>
  <c r="Q5493" i="5"/>
  <c r="P5493" i="5"/>
  <c r="N5493" i="5"/>
  <c r="D5493" i="5"/>
  <c r="Q5492" i="5"/>
  <c r="P5492" i="5"/>
  <c r="N5492" i="5"/>
  <c r="D5492" i="5"/>
  <c r="Q5491" i="5"/>
  <c r="P5491" i="5"/>
  <c r="N5491" i="5"/>
  <c r="D5491" i="5"/>
  <c r="Q5490" i="5"/>
  <c r="P5490" i="5"/>
  <c r="N5490" i="5"/>
  <c r="D5490" i="5"/>
  <c r="Q5489" i="5"/>
  <c r="P5489" i="5"/>
  <c r="N5489" i="5"/>
  <c r="D5489" i="5"/>
  <c r="Q5488" i="5"/>
  <c r="P5488" i="5"/>
  <c r="N5488" i="5"/>
  <c r="D5488" i="5"/>
  <c r="Q5487" i="5"/>
  <c r="P5487" i="5"/>
  <c r="N5487" i="5"/>
  <c r="D5487" i="5"/>
  <c r="P5486" i="5"/>
  <c r="N5486" i="5"/>
  <c r="D5486" i="5"/>
  <c r="O5486" i="5" s="1"/>
  <c r="Q5486" i="5" s="1"/>
  <c r="P5485" i="5"/>
  <c r="N5485" i="5"/>
  <c r="D5485" i="5"/>
  <c r="O5485" i="5" s="1"/>
  <c r="Q5485" i="5" s="1"/>
  <c r="P5484" i="5"/>
  <c r="N5484" i="5"/>
  <c r="D5484" i="5"/>
  <c r="O5484" i="5" s="1"/>
  <c r="Q5484" i="5" s="1"/>
  <c r="P5483" i="5"/>
  <c r="N5483" i="5"/>
  <c r="D5483" i="5"/>
  <c r="O5483" i="5" s="1"/>
  <c r="Q5483" i="5" s="1"/>
  <c r="P5482" i="5"/>
  <c r="N5482" i="5"/>
  <c r="D5482" i="5"/>
  <c r="O5482" i="5" s="1"/>
  <c r="Q5482" i="5" s="1"/>
  <c r="P5481" i="5"/>
  <c r="N5481" i="5"/>
  <c r="D5481" i="5"/>
  <c r="O5481" i="5" s="1"/>
  <c r="Q5481" i="5" s="1"/>
  <c r="P5480" i="5"/>
  <c r="N5480" i="5"/>
  <c r="D5480" i="5"/>
  <c r="O5480" i="5" s="1"/>
  <c r="Q5480" i="5" s="1"/>
  <c r="P5479" i="5"/>
  <c r="N5479" i="5"/>
  <c r="D5479" i="5"/>
  <c r="O5479" i="5" s="1"/>
  <c r="Q5479" i="5" s="1"/>
  <c r="P5478" i="5"/>
  <c r="N5478" i="5"/>
  <c r="D5478" i="5"/>
  <c r="O5478" i="5" s="1"/>
  <c r="Q5478" i="5" s="1"/>
  <c r="P5477" i="5"/>
  <c r="N5477" i="5"/>
  <c r="D5477" i="5"/>
  <c r="O5477" i="5" s="1"/>
  <c r="Q5477" i="5" s="1"/>
  <c r="P5476" i="5"/>
  <c r="N5476" i="5"/>
  <c r="D5476" i="5"/>
  <c r="O5476" i="5" s="1"/>
  <c r="Q5476" i="5" s="1"/>
  <c r="P5475" i="5"/>
  <c r="N5475" i="5"/>
  <c r="D5475" i="5"/>
  <c r="O5475" i="5" s="1"/>
  <c r="Q5475" i="5" s="1"/>
  <c r="P5474" i="5"/>
  <c r="N5474" i="5"/>
  <c r="D5474" i="5"/>
  <c r="O5474" i="5" s="1"/>
  <c r="Q5474" i="5" s="1"/>
  <c r="P5473" i="5"/>
  <c r="N5473" i="5"/>
  <c r="D5473" i="5"/>
  <c r="O5473" i="5" s="1"/>
  <c r="Q5473" i="5" s="1"/>
  <c r="P5472" i="5"/>
  <c r="N5472" i="5"/>
  <c r="D5472" i="5"/>
  <c r="O5472" i="5" s="1"/>
  <c r="Q5472" i="5" s="1"/>
  <c r="P5471" i="5"/>
  <c r="N5471" i="5"/>
  <c r="D5471" i="5"/>
  <c r="O5471" i="5" s="1"/>
  <c r="Q5471" i="5" s="1"/>
  <c r="P5470" i="5"/>
  <c r="N5470" i="5"/>
  <c r="D5470" i="5"/>
  <c r="O5470" i="5" s="1"/>
  <c r="Q5470" i="5" s="1"/>
  <c r="P5469" i="5"/>
  <c r="N5469" i="5"/>
  <c r="D5469" i="5"/>
  <c r="O5469" i="5" s="1"/>
  <c r="Q5469" i="5" s="1"/>
  <c r="P5468" i="5"/>
  <c r="N5468" i="5"/>
  <c r="D5468" i="5"/>
  <c r="O5468" i="5" s="1"/>
  <c r="Q5468" i="5" s="1"/>
  <c r="P5467" i="5"/>
  <c r="N5467" i="5"/>
  <c r="D5467" i="5"/>
  <c r="P5466" i="5"/>
  <c r="N5466" i="5"/>
  <c r="D5466" i="5"/>
  <c r="O5466" i="5" s="1"/>
  <c r="Q5466" i="5" s="1"/>
  <c r="P5465" i="5"/>
  <c r="N5465" i="5"/>
  <c r="D5465" i="5"/>
  <c r="O5465" i="5" s="1"/>
  <c r="Q5465" i="5" s="1"/>
  <c r="P5464" i="5"/>
  <c r="N5464" i="5"/>
  <c r="D5464" i="5"/>
  <c r="O5464" i="5" s="1"/>
  <c r="Q5464" i="5" s="1"/>
  <c r="P5463" i="5"/>
  <c r="N5463" i="5"/>
  <c r="D5463" i="5"/>
  <c r="O5463" i="5" s="1"/>
  <c r="Q5463" i="5" s="1"/>
  <c r="P5462" i="5"/>
  <c r="N5462" i="5"/>
  <c r="D5462" i="5"/>
  <c r="O5462" i="5" s="1"/>
  <c r="Q5462" i="5" s="1"/>
  <c r="P5461" i="5"/>
  <c r="N5461" i="5"/>
  <c r="D5461" i="5"/>
  <c r="O5461" i="5" s="1"/>
  <c r="Q5461" i="5" s="1"/>
  <c r="P5460" i="5"/>
  <c r="N5460" i="5"/>
  <c r="D5460" i="5"/>
  <c r="P5459" i="5"/>
  <c r="N5459" i="5"/>
  <c r="D5459" i="5"/>
  <c r="O5459" i="5" s="1"/>
  <c r="Q5459" i="5" s="1"/>
  <c r="P5458" i="5"/>
  <c r="N5458" i="5"/>
  <c r="D5458" i="5"/>
  <c r="O5458" i="5" s="1"/>
  <c r="Q5458" i="5" s="1"/>
  <c r="P5457" i="5"/>
  <c r="N5457" i="5"/>
  <c r="D5457" i="5"/>
  <c r="O5457" i="5" s="1"/>
  <c r="Q5457" i="5" s="1"/>
  <c r="P5456" i="5"/>
  <c r="N5456" i="5"/>
  <c r="D5456" i="5"/>
  <c r="O5456" i="5" s="1"/>
  <c r="Q5456" i="5" s="1"/>
  <c r="P5455" i="5"/>
  <c r="N5455" i="5"/>
  <c r="D5455" i="5"/>
  <c r="O5455" i="5" s="1"/>
  <c r="Q5455" i="5" s="1"/>
  <c r="P5454" i="5"/>
  <c r="N5454" i="5"/>
  <c r="D5454" i="5"/>
  <c r="O5454" i="5" s="1"/>
  <c r="Q5454" i="5" s="1"/>
  <c r="P5453" i="5"/>
  <c r="N5453" i="5"/>
  <c r="D5453" i="5"/>
  <c r="O5453" i="5" s="1"/>
  <c r="Q5453" i="5" s="1"/>
  <c r="P5452" i="5"/>
  <c r="N5452" i="5"/>
  <c r="D5452" i="5"/>
  <c r="O5452" i="5" s="1"/>
  <c r="Q5452" i="5" s="1"/>
  <c r="P5451" i="5"/>
  <c r="N5451" i="5"/>
  <c r="D5451" i="5"/>
  <c r="O5451" i="5" s="1"/>
  <c r="Q5451" i="5" s="1"/>
  <c r="P5450" i="5"/>
  <c r="N5450" i="5"/>
  <c r="D5450" i="5"/>
  <c r="P5449" i="5"/>
  <c r="N5449" i="5"/>
  <c r="D5449" i="5"/>
  <c r="O5449" i="5" s="1"/>
  <c r="Q5449" i="5" s="1"/>
  <c r="P5448" i="5"/>
  <c r="N5448" i="5"/>
  <c r="D5448" i="5"/>
  <c r="O5448" i="5" s="1"/>
  <c r="Q5448" i="5" s="1"/>
  <c r="P5447" i="5"/>
  <c r="N5447" i="5"/>
  <c r="D5447" i="5"/>
  <c r="O5447" i="5" s="1"/>
  <c r="Q5447" i="5" s="1"/>
  <c r="P5446" i="5"/>
  <c r="N5446" i="5"/>
  <c r="D5446" i="5"/>
  <c r="O5446" i="5" s="1"/>
  <c r="Q5446" i="5" s="1"/>
  <c r="P5445" i="5"/>
  <c r="N5445" i="5"/>
  <c r="D5445" i="5"/>
  <c r="O5445" i="5" s="1"/>
  <c r="Q5445" i="5" s="1"/>
  <c r="P5444" i="5"/>
  <c r="N5444" i="5"/>
  <c r="D5444" i="5"/>
  <c r="O5444" i="5" s="1"/>
  <c r="Q5444" i="5" s="1"/>
  <c r="P5443" i="5"/>
  <c r="N5443" i="5"/>
  <c r="D5443" i="5"/>
  <c r="O5443" i="5" s="1"/>
  <c r="Q5443" i="5" s="1"/>
  <c r="P5442" i="5"/>
  <c r="N5442" i="5"/>
  <c r="D5442" i="5"/>
  <c r="O5442" i="5" s="1"/>
  <c r="Q5442" i="5" s="1"/>
  <c r="P5441" i="5"/>
  <c r="N5441" i="5"/>
  <c r="D5441" i="5"/>
  <c r="O5441" i="5" s="1"/>
  <c r="Q5441" i="5" s="1"/>
  <c r="P5440" i="5"/>
  <c r="N5440" i="5"/>
  <c r="D5440" i="5"/>
  <c r="O5440" i="5" s="1"/>
  <c r="Q5440" i="5" s="1"/>
  <c r="P5439" i="5"/>
  <c r="N5439" i="5"/>
  <c r="D5439" i="5"/>
  <c r="O5439" i="5" s="1"/>
  <c r="Q5439" i="5" s="1"/>
  <c r="P5438" i="5"/>
  <c r="N5438" i="5"/>
  <c r="D5438" i="5"/>
  <c r="O5438" i="5" s="1"/>
  <c r="Q5438" i="5" s="1"/>
  <c r="P5437" i="5"/>
  <c r="N5437" i="5"/>
  <c r="D5437" i="5"/>
  <c r="O5437" i="5" s="1"/>
  <c r="Q5437" i="5" s="1"/>
  <c r="P5436" i="5"/>
  <c r="N5436" i="5"/>
  <c r="D5436" i="5"/>
  <c r="O5436" i="5" s="1"/>
  <c r="Q5436" i="5" s="1"/>
  <c r="P5435" i="5"/>
  <c r="N5435" i="5"/>
  <c r="D5435" i="5"/>
  <c r="O5435" i="5" s="1"/>
  <c r="Q5435" i="5" s="1"/>
  <c r="P5434" i="5"/>
  <c r="N5434" i="5"/>
  <c r="D5434" i="5"/>
  <c r="O5434" i="5" s="1"/>
  <c r="Q5434" i="5" s="1"/>
  <c r="P5433" i="5"/>
  <c r="N5433" i="5"/>
  <c r="D5433" i="5"/>
  <c r="O5433" i="5" s="1"/>
  <c r="Q5433" i="5" s="1"/>
  <c r="P5432" i="5"/>
  <c r="N5432" i="5"/>
  <c r="D5432" i="5"/>
  <c r="O5432" i="5" s="1"/>
  <c r="Q5432" i="5" s="1"/>
  <c r="P5431" i="5"/>
  <c r="N5431" i="5"/>
  <c r="D5431" i="5"/>
  <c r="O5431" i="5" s="1"/>
  <c r="Q5431" i="5" s="1"/>
  <c r="P5430" i="5"/>
  <c r="N5430" i="5"/>
  <c r="D5430" i="5"/>
  <c r="O5430" i="5" s="1"/>
  <c r="Q5430" i="5" s="1"/>
  <c r="P5429" i="5"/>
  <c r="N5429" i="5"/>
  <c r="D5429" i="5"/>
  <c r="O5429" i="5" s="1"/>
  <c r="Q5429" i="5" s="1"/>
  <c r="P5428" i="5"/>
  <c r="N5428" i="5"/>
  <c r="D5428" i="5"/>
  <c r="O5428" i="5" s="1"/>
  <c r="Q5428" i="5" s="1"/>
  <c r="P5427" i="5"/>
  <c r="N5427" i="5"/>
  <c r="D5427" i="5"/>
  <c r="O5427" i="5" s="1"/>
  <c r="Q5427" i="5" s="1"/>
  <c r="P5426" i="5"/>
  <c r="N5426" i="5"/>
  <c r="D5426" i="5"/>
  <c r="O5426" i="5" s="1"/>
  <c r="Q5426" i="5" s="1"/>
  <c r="P5425" i="5"/>
  <c r="N5425" i="5"/>
  <c r="D5425" i="5"/>
  <c r="O5425" i="5" s="1"/>
  <c r="Q5425" i="5" s="1"/>
  <c r="P5424" i="5"/>
  <c r="N5424" i="5"/>
  <c r="D5424" i="5"/>
  <c r="O5424" i="5" s="1"/>
  <c r="Q5424" i="5" s="1"/>
  <c r="P5423" i="5"/>
  <c r="N5423" i="5"/>
  <c r="D5423" i="5"/>
  <c r="O5423" i="5" s="1"/>
  <c r="Q5423" i="5" s="1"/>
  <c r="P5422" i="5"/>
  <c r="N5422" i="5"/>
  <c r="D5422" i="5"/>
  <c r="O5422" i="5" s="1"/>
  <c r="Q5422" i="5" s="1"/>
  <c r="P5421" i="5"/>
  <c r="N5421" i="5"/>
  <c r="D5421" i="5"/>
  <c r="O5421" i="5" s="1"/>
  <c r="Q5421" i="5" s="1"/>
  <c r="P5420" i="5"/>
  <c r="N5420" i="5"/>
  <c r="D5420" i="5"/>
  <c r="O5420" i="5" s="1"/>
  <c r="Q5420" i="5" s="1"/>
  <c r="P5419" i="5"/>
  <c r="N5419" i="5"/>
  <c r="D5419" i="5"/>
  <c r="O5419" i="5" s="1"/>
  <c r="Q5419" i="5" s="1"/>
  <c r="P5418" i="5"/>
  <c r="N5418" i="5"/>
  <c r="D5418" i="5"/>
  <c r="O5418" i="5" s="1"/>
  <c r="Q5418" i="5" s="1"/>
  <c r="P5417" i="5"/>
  <c r="N5417" i="5"/>
  <c r="D5417" i="5"/>
  <c r="P5416" i="5"/>
  <c r="N5416" i="5"/>
  <c r="D5416" i="5"/>
  <c r="O5416" i="5" s="1"/>
  <c r="Q5416" i="5" s="1"/>
  <c r="P5415" i="5"/>
  <c r="N5415" i="5"/>
  <c r="D5415" i="5"/>
  <c r="P5414" i="5"/>
  <c r="N5414" i="5"/>
  <c r="D5414" i="5"/>
  <c r="O5414" i="5" s="1"/>
  <c r="Q5414" i="5" s="1"/>
  <c r="P5413" i="5"/>
  <c r="N5413" i="5"/>
  <c r="D5413" i="5"/>
  <c r="O5413" i="5" s="1"/>
  <c r="Q5413" i="5" s="1"/>
  <c r="P5412" i="5"/>
  <c r="N5412" i="5"/>
  <c r="D5412" i="5"/>
  <c r="O5412" i="5" s="1"/>
  <c r="Q5412" i="5" s="1"/>
  <c r="P5411" i="5"/>
  <c r="N5411" i="5"/>
  <c r="D5411" i="5"/>
  <c r="O5411" i="5" s="1"/>
  <c r="Q5411" i="5" s="1"/>
  <c r="P5410" i="5"/>
  <c r="N5410" i="5"/>
  <c r="D5410" i="5"/>
  <c r="O5410" i="5" s="1"/>
  <c r="Q5410" i="5" s="1"/>
  <c r="P5409" i="5"/>
  <c r="N5409" i="5"/>
  <c r="D5409" i="5"/>
  <c r="O5409" i="5" s="1"/>
  <c r="Q5409" i="5" s="1"/>
  <c r="P5408" i="5"/>
  <c r="N5408" i="5"/>
  <c r="D5408" i="5"/>
  <c r="O5408" i="5" s="1"/>
  <c r="Q5408" i="5" s="1"/>
  <c r="P5407" i="5"/>
  <c r="N5407" i="5"/>
  <c r="D5407" i="5"/>
  <c r="O5407" i="5" s="1"/>
  <c r="Q5407" i="5" s="1"/>
  <c r="P5406" i="5"/>
  <c r="N5406" i="5"/>
  <c r="D5406" i="5"/>
  <c r="O5406" i="5" s="1"/>
  <c r="Q5406" i="5" s="1"/>
  <c r="P5405" i="5"/>
  <c r="N5405" i="5"/>
  <c r="D5405" i="5"/>
  <c r="O5405" i="5" s="1"/>
  <c r="Q5405" i="5" s="1"/>
  <c r="P5404" i="5"/>
  <c r="N5404" i="5"/>
  <c r="D5404" i="5"/>
  <c r="O5404" i="5" s="1"/>
  <c r="Q5404" i="5" s="1"/>
  <c r="P5403" i="5"/>
  <c r="N5403" i="5"/>
  <c r="D5403" i="5"/>
  <c r="O5403" i="5" s="1"/>
  <c r="Q5403" i="5" s="1"/>
  <c r="P5402" i="5"/>
  <c r="N5402" i="5"/>
  <c r="D5402" i="5"/>
  <c r="O5402" i="5" s="1"/>
  <c r="Q5402" i="5" s="1"/>
  <c r="P5401" i="5"/>
  <c r="N5401" i="5"/>
  <c r="D5401" i="5"/>
  <c r="O5401" i="5" s="1"/>
  <c r="Q5401" i="5" s="1"/>
  <c r="P5400" i="5"/>
  <c r="N5400" i="5"/>
  <c r="D5400" i="5"/>
  <c r="O5400" i="5" s="1"/>
  <c r="Q5400" i="5" s="1"/>
  <c r="P5399" i="5"/>
  <c r="N5399" i="5"/>
  <c r="D5399" i="5"/>
  <c r="O5399" i="5" s="1"/>
  <c r="Q5399" i="5" s="1"/>
  <c r="P5398" i="5"/>
  <c r="N5398" i="5"/>
  <c r="D5398" i="5"/>
  <c r="O5398" i="5" s="1"/>
  <c r="Q5398" i="5" s="1"/>
  <c r="P5397" i="5"/>
  <c r="N5397" i="5"/>
  <c r="D5397" i="5"/>
  <c r="O5397" i="5" s="1"/>
  <c r="Q5397" i="5" s="1"/>
  <c r="P5396" i="5"/>
  <c r="N5396" i="5"/>
  <c r="D5396" i="5"/>
  <c r="O5396" i="5" s="1"/>
  <c r="Q5396" i="5" s="1"/>
  <c r="P5395" i="5"/>
  <c r="N5395" i="5"/>
  <c r="D5395" i="5"/>
  <c r="O5395" i="5" s="1"/>
  <c r="Q5395" i="5" s="1"/>
  <c r="P5394" i="5"/>
  <c r="N5394" i="5"/>
  <c r="D5394" i="5"/>
  <c r="O5394" i="5" s="1"/>
  <c r="Q5394" i="5" s="1"/>
  <c r="P5393" i="5"/>
  <c r="N5393" i="5"/>
  <c r="D5393" i="5"/>
  <c r="O5393" i="5" s="1"/>
  <c r="Q5393" i="5" s="1"/>
  <c r="P5392" i="5"/>
  <c r="N5392" i="5"/>
  <c r="D5392" i="5"/>
  <c r="O5392" i="5" s="1"/>
  <c r="Q5392" i="5" s="1"/>
  <c r="P5391" i="5"/>
  <c r="N5391" i="5"/>
  <c r="D5391" i="5"/>
  <c r="O5391" i="5" s="1"/>
  <c r="Q5391" i="5" s="1"/>
  <c r="P5390" i="5"/>
  <c r="N5390" i="5"/>
  <c r="D5390" i="5"/>
  <c r="O5390" i="5" s="1"/>
  <c r="Q5390" i="5" s="1"/>
  <c r="P5389" i="5"/>
  <c r="N5389" i="5"/>
  <c r="D5389" i="5"/>
  <c r="O5389" i="5" s="1"/>
  <c r="Q5389" i="5" s="1"/>
  <c r="P5388" i="5"/>
  <c r="N5388" i="5"/>
  <c r="D5388" i="5"/>
  <c r="O5388" i="5" s="1"/>
  <c r="Q5388" i="5" s="1"/>
  <c r="P5387" i="5"/>
  <c r="N5387" i="5"/>
  <c r="D5387" i="5"/>
  <c r="O5387" i="5" s="1"/>
  <c r="Q5387" i="5" s="1"/>
  <c r="P5386" i="5"/>
  <c r="N5386" i="5"/>
  <c r="D5386" i="5"/>
  <c r="O5386" i="5" s="1"/>
  <c r="Q5386" i="5" s="1"/>
  <c r="P5385" i="5"/>
  <c r="N5385" i="5"/>
  <c r="D5385" i="5"/>
  <c r="O5385" i="5" s="1"/>
  <c r="Q5385" i="5" s="1"/>
  <c r="P5384" i="5"/>
  <c r="N5384" i="5"/>
  <c r="D5384" i="5"/>
  <c r="O5384" i="5" s="1"/>
  <c r="Q5384" i="5" s="1"/>
  <c r="P5383" i="5"/>
  <c r="N5383" i="5"/>
  <c r="D5383" i="5"/>
  <c r="O5383" i="5" s="1"/>
  <c r="Q5383" i="5" s="1"/>
  <c r="P5382" i="5"/>
  <c r="N5382" i="5"/>
  <c r="D5382" i="5"/>
  <c r="O5382" i="5" s="1"/>
  <c r="Q5382" i="5" s="1"/>
  <c r="P5381" i="5"/>
  <c r="N5381" i="5"/>
  <c r="D5381" i="5"/>
  <c r="O5381" i="5" s="1"/>
  <c r="Q5381" i="5" s="1"/>
  <c r="P5380" i="5"/>
  <c r="N5380" i="5"/>
  <c r="D5380" i="5"/>
  <c r="O5380" i="5" s="1"/>
  <c r="Q5380" i="5" s="1"/>
  <c r="P5379" i="5"/>
  <c r="N5379" i="5"/>
  <c r="D5379" i="5"/>
  <c r="O5379" i="5" s="1"/>
  <c r="Q5379" i="5" s="1"/>
  <c r="P5378" i="5"/>
  <c r="N5378" i="5"/>
  <c r="D5378" i="5"/>
  <c r="O5378" i="5" s="1"/>
  <c r="Q5378" i="5" s="1"/>
  <c r="P5377" i="5"/>
  <c r="N5377" i="5"/>
  <c r="D5377" i="5"/>
  <c r="O5377" i="5" s="1"/>
  <c r="Q5377" i="5" s="1"/>
  <c r="P5376" i="5"/>
  <c r="N5376" i="5"/>
  <c r="D5376" i="5"/>
  <c r="O5376" i="5" s="1"/>
  <c r="Q5376" i="5" s="1"/>
  <c r="P5375" i="5"/>
  <c r="N5375" i="5"/>
  <c r="D5375" i="5"/>
  <c r="O5375" i="5" s="1"/>
  <c r="Q5375" i="5" s="1"/>
  <c r="P5374" i="5"/>
  <c r="N5374" i="5"/>
  <c r="D5374" i="5"/>
  <c r="O5374" i="5" s="1"/>
  <c r="Q5374" i="5" s="1"/>
  <c r="P5373" i="5"/>
  <c r="N5373" i="5"/>
  <c r="D5373" i="5"/>
  <c r="O5373" i="5" s="1"/>
  <c r="Q5373" i="5" s="1"/>
  <c r="P5372" i="5"/>
  <c r="N5372" i="5"/>
  <c r="D5372" i="5"/>
  <c r="O5372" i="5" s="1"/>
  <c r="Q5372" i="5" s="1"/>
  <c r="P5371" i="5"/>
  <c r="N5371" i="5"/>
  <c r="D5371" i="5"/>
  <c r="O5371" i="5" s="1"/>
  <c r="Q5371" i="5" s="1"/>
  <c r="P5370" i="5"/>
  <c r="N5370" i="5"/>
  <c r="D5370" i="5"/>
  <c r="O5370" i="5" s="1"/>
  <c r="Q5370" i="5" s="1"/>
  <c r="P5369" i="5"/>
  <c r="N5369" i="5"/>
  <c r="D5369" i="5"/>
  <c r="O5369" i="5" s="1"/>
  <c r="Q5369" i="5" s="1"/>
  <c r="P5368" i="5"/>
  <c r="N5368" i="5"/>
  <c r="D5368" i="5"/>
  <c r="O5368" i="5" s="1"/>
  <c r="Q5368" i="5" s="1"/>
  <c r="P5367" i="5"/>
  <c r="N5367" i="5"/>
  <c r="D5367" i="5"/>
  <c r="O5367" i="5" s="1"/>
  <c r="Q5367" i="5" s="1"/>
  <c r="P5366" i="5"/>
  <c r="N5366" i="5"/>
  <c r="D5366" i="5"/>
  <c r="O5366" i="5" s="1"/>
  <c r="Q5366" i="5" s="1"/>
  <c r="P5365" i="5"/>
  <c r="N5365" i="5"/>
  <c r="D5365" i="5"/>
  <c r="O5365" i="5" s="1"/>
  <c r="Q5365" i="5" s="1"/>
  <c r="P5364" i="5"/>
  <c r="N5364" i="5"/>
  <c r="D5364" i="5"/>
  <c r="O5364" i="5" s="1"/>
  <c r="Q5364" i="5" s="1"/>
  <c r="P5363" i="5"/>
  <c r="N5363" i="5"/>
  <c r="D5363" i="5"/>
  <c r="O5363" i="5" s="1"/>
  <c r="Q5363" i="5" s="1"/>
  <c r="P5362" i="5"/>
  <c r="N5362" i="5"/>
  <c r="D5362" i="5"/>
  <c r="O5362" i="5" s="1"/>
  <c r="Q5362" i="5" s="1"/>
  <c r="P5361" i="5"/>
  <c r="N5361" i="5"/>
  <c r="D5361" i="5"/>
  <c r="O5361" i="5" s="1"/>
  <c r="Q5361" i="5" s="1"/>
  <c r="P5360" i="5"/>
  <c r="N5360" i="5"/>
  <c r="D5360" i="5"/>
  <c r="O5360" i="5" s="1"/>
  <c r="Q5360" i="5" s="1"/>
  <c r="P5359" i="5"/>
  <c r="N5359" i="5"/>
  <c r="D5359" i="5"/>
  <c r="O5359" i="5" s="1"/>
  <c r="Q5359" i="5" s="1"/>
  <c r="P5358" i="5"/>
  <c r="N5358" i="5"/>
  <c r="D5358" i="5"/>
  <c r="O5358" i="5" s="1"/>
  <c r="Q5358" i="5" s="1"/>
  <c r="P5357" i="5"/>
  <c r="N5357" i="5"/>
  <c r="D5357" i="5"/>
  <c r="O5357" i="5" s="1"/>
  <c r="Q5357" i="5" s="1"/>
  <c r="P5356" i="5"/>
  <c r="N5356" i="5"/>
  <c r="D5356" i="5"/>
  <c r="O5356" i="5" s="1"/>
  <c r="Q5356" i="5" s="1"/>
  <c r="P5355" i="5"/>
  <c r="N5355" i="5"/>
  <c r="D5355" i="5"/>
  <c r="O5355" i="5" s="1"/>
  <c r="Q5355" i="5" s="1"/>
  <c r="P5354" i="5"/>
  <c r="N5354" i="5"/>
  <c r="D5354" i="5"/>
  <c r="O5354" i="5" s="1"/>
  <c r="Q5354" i="5" s="1"/>
  <c r="P5353" i="5"/>
  <c r="N5353" i="5"/>
  <c r="D5353" i="5"/>
  <c r="O5353" i="5" s="1"/>
  <c r="Q5353" i="5" s="1"/>
  <c r="P5352" i="5"/>
  <c r="N5352" i="5"/>
  <c r="D5352" i="5"/>
  <c r="O5352" i="5" s="1"/>
  <c r="Q5352" i="5" s="1"/>
  <c r="P5351" i="5"/>
  <c r="N5351" i="5"/>
  <c r="D5351" i="5"/>
  <c r="O5351" i="5" s="1"/>
  <c r="Q5351" i="5" s="1"/>
  <c r="P5350" i="5"/>
  <c r="N5350" i="5"/>
  <c r="D5350" i="5"/>
  <c r="O5350" i="5" s="1"/>
  <c r="Q5350" i="5" s="1"/>
  <c r="P5349" i="5"/>
  <c r="N5349" i="5"/>
  <c r="D5349" i="5"/>
  <c r="O5349" i="5" s="1"/>
  <c r="Q5349" i="5" s="1"/>
  <c r="P5348" i="5"/>
  <c r="N5348" i="5"/>
  <c r="D5348" i="5"/>
  <c r="P5347" i="5"/>
  <c r="N5347" i="5"/>
  <c r="D5347" i="5"/>
  <c r="O5347" i="5" s="1"/>
  <c r="Q5347" i="5" s="1"/>
  <c r="P5346" i="5"/>
  <c r="N5346" i="5"/>
  <c r="D5346" i="5"/>
  <c r="O5346" i="5" s="1"/>
  <c r="Q5346" i="5" s="1"/>
  <c r="P5345" i="5"/>
  <c r="N5345" i="5"/>
  <c r="D5345" i="5"/>
  <c r="O5345" i="5" s="1"/>
  <c r="Q5345" i="5" s="1"/>
  <c r="P5344" i="5"/>
  <c r="N5344" i="5"/>
  <c r="D5344" i="5"/>
  <c r="O5344" i="5" s="1"/>
  <c r="Q5344" i="5" s="1"/>
  <c r="P5343" i="5"/>
  <c r="N5343" i="5"/>
  <c r="D5343" i="5"/>
  <c r="O5343" i="5" s="1"/>
  <c r="Q5343" i="5" s="1"/>
  <c r="P5342" i="5"/>
  <c r="N5342" i="5"/>
  <c r="D5342" i="5"/>
  <c r="O5342" i="5" s="1"/>
  <c r="Q5342" i="5" s="1"/>
  <c r="P5341" i="5"/>
  <c r="N5341" i="5"/>
  <c r="D5341" i="5"/>
  <c r="O5341" i="5" s="1"/>
  <c r="Q5341" i="5" s="1"/>
  <c r="P5340" i="5"/>
  <c r="N5340" i="5"/>
  <c r="D5340" i="5"/>
  <c r="O5340" i="5" s="1"/>
  <c r="Q5340" i="5" s="1"/>
  <c r="P5339" i="5"/>
  <c r="N5339" i="5"/>
  <c r="D5339" i="5"/>
  <c r="O5339" i="5" s="1"/>
  <c r="Q5339" i="5" s="1"/>
  <c r="P5338" i="5"/>
  <c r="N5338" i="5"/>
  <c r="D5338" i="5"/>
  <c r="P5337" i="5"/>
  <c r="N5337" i="5"/>
  <c r="D5337" i="5"/>
  <c r="O5337" i="5" s="1"/>
  <c r="Q5337" i="5" s="1"/>
  <c r="P5336" i="5"/>
  <c r="N5336" i="5"/>
  <c r="D5336" i="5"/>
  <c r="O5336" i="5" s="1"/>
  <c r="Q5336" i="5" s="1"/>
  <c r="P5335" i="5"/>
  <c r="N5335" i="5"/>
  <c r="D5335" i="5"/>
  <c r="O5335" i="5" s="1"/>
  <c r="Q5335" i="5" s="1"/>
  <c r="P5334" i="5"/>
  <c r="N5334" i="5"/>
  <c r="D5334" i="5"/>
  <c r="O5334" i="5" s="1"/>
  <c r="Q5334" i="5" s="1"/>
  <c r="P5333" i="5"/>
  <c r="N5333" i="5"/>
  <c r="D5333" i="5"/>
  <c r="O5333" i="5" s="1"/>
  <c r="Q5333" i="5" s="1"/>
  <c r="P5332" i="5"/>
  <c r="N5332" i="5"/>
  <c r="D5332" i="5"/>
  <c r="O5332" i="5" s="1"/>
  <c r="Q5332" i="5" s="1"/>
  <c r="P5331" i="5"/>
  <c r="N5331" i="5"/>
  <c r="D5331" i="5"/>
  <c r="O5331" i="5" s="1"/>
  <c r="Q5331" i="5" s="1"/>
  <c r="P5330" i="5"/>
  <c r="N5330" i="5"/>
  <c r="D5330" i="5"/>
  <c r="O5330" i="5" s="1"/>
  <c r="Q5330" i="5" s="1"/>
  <c r="P5329" i="5"/>
  <c r="N5329" i="5"/>
  <c r="D5329" i="5"/>
  <c r="O5329" i="5" s="1"/>
  <c r="Q5329" i="5" s="1"/>
  <c r="P5328" i="5"/>
  <c r="N5328" i="5"/>
  <c r="D5328" i="5"/>
  <c r="O5328" i="5" s="1"/>
  <c r="Q5328" i="5" s="1"/>
  <c r="P5327" i="5"/>
  <c r="N5327" i="5"/>
  <c r="D5327" i="5"/>
  <c r="O5327" i="5" s="1"/>
  <c r="Q5327" i="5" s="1"/>
  <c r="P5326" i="5"/>
  <c r="N5326" i="5"/>
  <c r="D5326" i="5"/>
  <c r="O5326" i="5" s="1"/>
  <c r="Q5326" i="5" s="1"/>
  <c r="P5325" i="5"/>
  <c r="N5325" i="5"/>
  <c r="D5325" i="5"/>
  <c r="O5325" i="5" s="1"/>
  <c r="Q5325" i="5" s="1"/>
  <c r="P5324" i="5"/>
  <c r="N5324" i="5"/>
  <c r="D5324" i="5"/>
  <c r="O5324" i="5" s="1"/>
  <c r="Q5324" i="5" s="1"/>
  <c r="P5323" i="5"/>
  <c r="N5323" i="5"/>
  <c r="D5323" i="5"/>
  <c r="O5323" i="5" s="1"/>
  <c r="Q5323" i="5" s="1"/>
  <c r="P5322" i="5"/>
  <c r="N5322" i="5"/>
  <c r="D5322" i="5"/>
  <c r="O5322" i="5" s="1"/>
  <c r="Q5322" i="5" s="1"/>
  <c r="P5321" i="5"/>
  <c r="N5321" i="5"/>
  <c r="D5321" i="5"/>
  <c r="O5321" i="5" s="1"/>
  <c r="Q5321" i="5" s="1"/>
  <c r="P5320" i="5"/>
  <c r="N5320" i="5"/>
  <c r="D5320" i="5"/>
  <c r="O5320" i="5" s="1"/>
  <c r="Q5320" i="5" s="1"/>
  <c r="P5319" i="5"/>
  <c r="N5319" i="5"/>
  <c r="D5319" i="5"/>
  <c r="O5319" i="5" s="1"/>
  <c r="Q5319" i="5" s="1"/>
  <c r="P5318" i="5"/>
  <c r="N5318" i="5"/>
  <c r="D5318" i="5"/>
  <c r="O5318" i="5" s="1"/>
  <c r="Q5318" i="5" s="1"/>
  <c r="P5317" i="5"/>
  <c r="N5317" i="5"/>
  <c r="D5317" i="5"/>
  <c r="O5317" i="5" s="1"/>
  <c r="Q5317" i="5" s="1"/>
  <c r="P5316" i="5"/>
  <c r="N5316" i="5"/>
  <c r="D5316" i="5"/>
  <c r="O5316" i="5" s="1"/>
  <c r="Q5316" i="5" s="1"/>
  <c r="P5315" i="5"/>
  <c r="N5315" i="5"/>
  <c r="D5315" i="5"/>
  <c r="O5315" i="5" s="1"/>
  <c r="Q5315" i="5" s="1"/>
  <c r="P5314" i="5"/>
  <c r="N5314" i="5"/>
  <c r="D5314" i="5"/>
  <c r="O5314" i="5" s="1"/>
  <c r="Q5314" i="5" s="1"/>
  <c r="P5313" i="5"/>
  <c r="N5313" i="5"/>
  <c r="D5313" i="5"/>
  <c r="O5313" i="5" s="1"/>
  <c r="Q5313" i="5" s="1"/>
  <c r="P5312" i="5"/>
  <c r="N5312" i="5"/>
  <c r="D5312" i="5"/>
  <c r="O5312" i="5" s="1"/>
  <c r="Q5312" i="5" s="1"/>
  <c r="P5311" i="5"/>
  <c r="N5311" i="5"/>
  <c r="D5311" i="5"/>
  <c r="O5311" i="5" s="1"/>
  <c r="Q5311" i="5" s="1"/>
  <c r="P5310" i="5"/>
  <c r="N5310" i="5"/>
  <c r="D5310" i="5"/>
  <c r="O5310" i="5" s="1"/>
  <c r="Q5310" i="5" s="1"/>
  <c r="P5309" i="5"/>
  <c r="N5309" i="5"/>
  <c r="D5309" i="5"/>
  <c r="O5309" i="5" s="1"/>
  <c r="Q5309" i="5" s="1"/>
  <c r="P5308" i="5"/>
  <c r="N5308" i="5"/>
  <c r="D5308" i="5"/>
  <c r="O5308" i="5" s="1"/>
  <c r="Q5308" i="5" s="1"/>
  <c r="Q5307" i="5"/>
  <c r="P5307" i="5"/>
  <c r="N5307" i="5"/>
  <c r="D5307" i="5"/>
  <c r="Q5306" i="5"/>
  <c r="P5306" i="5"/>
  <c r="N5306" i="5"/>
  <c r="D5306" i="5"/>
  <c r="Q5305" i="5"/>
  <c r="P5305" i="5"/>
  <c r="N5305" i="5"/>
  <c r="D5305" i="5"/>
  <c r="Q5304" i="5"/>
  <c r="P5304" i="5"/>
  <c r="N5304" i="5"/>
  <c r="D5304" i="5"/>
  <c r="Q5303" i="5"/>
  <c r="P5303" i="5"/>
  <c r="N5303" i="5"/>
  <c r="D5303" i="5"/>
  <c r="Q5302" i="5"/>
  <c r="P5302" i="5"/>
  <c r="N5302" i="5"/>
  <c r="D5302" i="5"/>
  <c r="Q5301" i="5"/>
  <c r="P5301" i="5"/>
  <c r="N5301" i="5"/>
  <c r="D5301" i="5"/>
  <c r="P5300" i="5"/>
  <c r="N5300" i="5"/>
  <c r="D5300" i="5"/>
  <c r="O5300" i="5" s="1"/>
  <c r="Q5300" i="5" s="1"/>
  <c r="P5299" i="5"/>
  <c r="N5299" i="5"/>
  <c r="D5299" i="5"/>
  <c r="O5299" i="5" s="1"/>
  <c r="Q5299" i="5" s="1"/>
  <c r="P5298" i="5"/>
  <c r="N5298" i="5"/>
  <c r="D5298" i="5"/>
  <c r="O5298" i="5" s="1"/>
  <c r="Q5298" i="5" s="1"/>
  <c r="P5297" i="5"/>
  <c r="N5297" i="5"/>
  <c r="D5297" i="5"/>
  <c r="O5297" i="5" s="1"/>
  <c r="Q5297" i="5" s="1"/>
  <c r="P5296" i="5"/>
  <c r="N5296" i="5"/>
  <c r="D5296" i="5"/>
  <c r="O5296" i="5" s="1"/>
  <c r="Q5296" i="5" s="1"/>
  <c r="P5295" i="5"/>
  <c r="N5295" i="5"/>
  <c r="D5295" i="5"/>
  <c r="O5295" i="5" s="1"/>
  <c r="Q5295" i="5" s="1"/>
  <c r="P5294" i="5"/>
  <c r="N5294" i="5"/>
  <c r="D5294" i="5"/>
  <c r="O5294" i="5" s="1"/>
  <c r="Q5294" i="5" s="1"/>
  <c r="P5293" i="5"/>
  <c r="N5293" i="5"/>
  <c r="D5293" i="5"/>
  <c r="O5293" i="5" s="1"/>
  <c r="Q5293" i="5" s="1"/>
  <c r="P5292" i="5"/>
  <c r="N5292" i="5"/>
  <c r="D5292" i="5"/>
  <c r="P5291" i="5"/>
  <c r="N5291" i="5"/>
  <c r="D5291" i="5"/>
  <c r="O5291" i="5" s="1"/>
  <c r="Q5291" i="5" s="1"/>
  <c r="P5290" i="5"/>
  <c r="N5290" i="5"/>
  <c r="D5290" i="5"/>
  <c r="O5290" i="5" s="1"/>
  <c r="Q5290" i="5" s="1"/>
  <c r="P5289" i="5"/>
  <c r="N5289" i="5"/>
  <c r="D5289" i="5"/>
  <c r="O5289" i="5" s="1"/>
  <c r="Q5289" i="5" s="1"/>
  <c r="P5288" i="5"/>
  <c r="N5288" i="5"/>
  <c r="D5288" i="5"/>
  <c r="O5288" i="5" s="1"/>
  <c r="Q5288" i="5" s="1"/>
  <c r="P5287" i="5"/>
  <c r="N5287" i="5"/>
  <c r="D5287" i="5"/>
  <c r="O5287" i="5" s="1"/>
  <c r="Q5287" i="5" s="1"/>
  <c r="P5286" i="5"/>
  <c r="N5286" i="5"/>
  <c r="D5286" i="5"/>
  <c r="O5286" i="5" s="1"/>
  <c r="Q5286" i="5" s="1"/>
  <c r="P5285" i="5"/>
  <c r="N5285" i="5"/>
  <c r="D5285" i="5"/>
  <c r="O5285" i="5" s="1"/>
  <c r="Q5285" i="5" s="1"/>
  <c r="P5284" i="5"/>
  <c r="N5284" i="5"/>
  <c r="D5284" i="5"/>
  <c r="O5284" i="5" s="1"/>
  <c r="Q5284" i="5" s="1"/>
  <c r="P5283" i="5"/>
  <c r="N5283" i="5"/>
  <c r="D5283" i="5"/>
  <c r="O5283" i="5" s="1"/>
  <c r="Q5283" i="5" s="1"/>
  <c r="P5282" i="5"/>
  <c r="N5282" i="5"/>
  <c r="D5282" i="5"/>
  <c r="O5282" i="5" s="1"/>
  <c r="Q5282" i="5" s="1"/>
  <c r="P5281" i="5"/>
  <c r="N5281" i="5"/>
  <c r="D5281" i="5"/>
  <c r="O5281" i="5" s="1"/>
  <c r="Q5281" i="5" s="1"/>
  <c r="P5280" i="5"/>
  <c r="N5280" i="5"/>
  <c r="D5280" i="5"/>
  <c r="O5280" i="5" s="1"/>
  <c r="Q5280" i="5" s="1"/>
  <c r="P5279" i="5"/>
  <c r="N5279" i="5"/>
  <c r="D5279" i="5"/>
  <c r="O5279" i="5" s="1"/>
  <c r="Q5279" i="5" s="1"/>
  <c r="P5278" i="5"/>
  <c r="N5278" i="5"/>
  <c r="D5278" i="5"/>
  <c r="O5278" i="5" s="1"/>
  <c r="Q5278" i="5" s="1"/>
  <c r="P5277" i="5"/>
  <c r="N5277" i="5"/>
  <c r="D5277" i="5"/>
  <c r="O5277" i="5" s="1"/>
  <c r="Q5277" i="5" s="1"/>
  <c r="P5276" i="5"/>
  <c r="N5276" i="5"/>
  <c r="D5276" i="5"/>
  <c r="O5276" i="5" s="1"/>
  <c r="Q5276" i="5" s="1"/>
  <c r="P5275" i="5"/>
  <c r="N5275" i="5"/>
  <c r="D5275" i="5"/>
  <c r="O5275" i="5" s="1"/>
  <c r="Q5275" i="5" s="1"/>
  <c r="P5274" i="5"/>
  <c r="N5274" i="5"/>
  <c r="D5274" i="5"/>
  <c r="O5274" i="5" s="1"/>
  <c r="Q5274" i="5" s="1"/>
  <c r="P5273" i="5"/>
  <c r="N5273" i="5"/>
  <c r="D5273" i="5"/>
  <c r="P5272" i="5"/>
  <c r="N5272" i="5"/>
  <c r="D5272" i="5"/>
  <c r="O5272" i="5" s="1"/>
  <c r="Q5272" i="5" s="1"/>
  <c r="P5271" i="5"/>
  <c r="N5271" i="5"/>
  <c r="D5271" i="5"/>
  <c r="P5270" i="5"/>
  <c r="N5270" i="5"/>
  <c r="D5270" i="5"/>
  <c r="O5270" i="5" s="1"/>
  <c r="Q5270" i="5" s="1"/>
  <c r="P5269" i="5"/>
  <c r="N5269" i="5"/>
  <c r="D5269" i="5"/>
  <c r="O5269" i="5" s="1"/>
  <c r="Q5269" i="5" s="1"/>
  <c r="P5268" i="5"/>
  <c r="N5268" i="5"/>
  <c r="D5268" i="5"/>
  <c r="O5268" i="5" s="1"/>
  <c r="Q5268" i="5" s="1"/>
  <c r="P5267" i="5"/>
  <c r="N5267" i="5"/>
  <c r="D5267" i="5"/>
  <c r="O5267" i="5" s="1"/>
  <c r="Q5267" i="5" s="1"/>
  <c r="P5266" i="5"/>
  <c r="N5266" i="5"/>
  <c r="D5266" i="5"/>
  <c r="O5266" i="5" s="1"/>
  <c r="Q5266" i="5" s="1"/>
  <c r="P5265" i="5"/>
  <c r="N5265" i="5"/>
  <c r="D5265" i="5"/>
  <c r="O5265" i="5" s="1"/>
  <c r="Q5265" i="5" s="1"/>
  <c r="P5264" i="5"/>
  <c r="N5264" i="5"/>
  <c r="D5264" i="5"/>
  <c r="O5264" i="5" s="1"/>
  <c r="Q5264" i="5" s="1"/>
  <c r="P5263" i="5"/>
  <c r="N5263" i="5"/>
  <c r="D5263" i="5"/>
  <c r="O5263" i="5" s="1"/>
  <c r="Q5263" i="5" s="1"/>
  <c r="P5262" i="5"/>
  <c r="N5262" i="5"/>
  <c r="D5262" i="5"/>
  <c r="O5262" i="5" s="1"/>
  <c r="Q5262" i="5" s="1"/>
  <c r="P5261" i="5"/>
  <c r="N5261" i="5"/>
  <c r="D5261" i="5"/>
  <c r="O5261" i="5" s="1"/>
  <c r="Q5261" i="5" s="1"/>
  <c r="P5260" i="5"/>
  <c r="N5260" i="5"/>
  <c r="D5260" i="5"/>
  <c r="O5260" i="5" s="1"/>
  <c r="Q5260" i="5" s="1"/>
  <c r="P5259" i="5"/>
  <c r="N5259" i="5"/>
  <c r="D5259" i="5"/>
  <c r="O5259" i="5" s="1"/>
  <c r="Q5259" i="5" s="1"/>
  <c r="P5258" i="5"/>
  <c r="N5258" i="5"/>
  <c r="D5258" i="5"/>
  <c r="O5258" i="5" s="1"/>
  <c r="Q5258" i="5" s="1"/>
  <c r="P5257" i="5"/>
  <c r="N5257" i="5"/>
  <c r="D5257" i="5"/>
  <c r="O5257" i="5" s="1"/>
  <c r="Q5257" i="5" s="1"/>
  <c r="P5256" i="5"/>
  <c r="N5256" i="5"/>
  <c r="D5256" i="5"/>
  <c r="O5256" i="5" s="1"/>
  <c r="Q5256" i="5" s="1"/>
  <c r="P5255" i="5"/>
  <c r="N5255" i="5"/>
  <c r="D5255" i="5"/>
  <c r="O5255" i="5" s="1"/>
  <c r="Q5255" i="5" s="1"/>
  <c r="P5254" i="5"/>
  <c r="N5254" i="5"/>
  <c r="D5254" i="5"/>
  <c r="O5254" i="5" s="1"/>
  <c r="Q5254" i="5" s="1"/>
  <c r="P5253" i="5"/>
  <c r="N5253" i="5"/>
  <c r="D5253" i="5"/>
  <c r="O5253" i="5" s="1"/>
  <c r="Q5253" i="5" s="1"/>
  <c r="P5252" i="5"/>
  <c r="N5252" i="5"/>
  <c r="D5252" i="5"/>
  <c r="O5252" i="5" s="1"/>
  <c r="Q5252" i="5" s="1"/>
  <c r="P5251" i="5"/>
  <c r="N5251" i="5"/>
  <c r="D5251" i="5"/>
  <c r="O5251" i="5" s="1"/>
  <c r="Q5251" i="5" s="1"/>
  <c r="P5250" i="5"/>
  <c r="N5250" i="5"/>
  <c r="D5250" i="5"/>
  <c r="O5250" i="5" s="1"/>
  <c r="Q5250" i="5" s="1"/>
  <c r="P5249" i="5"/>
  <c r="N5249" i="5"/>
  <c r="D5249" i="5"/>
  <c r="O5249" i="5" s="1"/>
  <c r="Q5249" i="5" s="1"/>
  <c r="P5248" i="5"/>
  <c r="N5248" i="5"/>
  <c r="D5248" i="5"/>
  <c r="O5248" i="5" s="1"/>
  <c r="Q5248" i="5" s="1"/>
  <c r="P5247" i="5"/>
  <c r="N5247" i="5"/>
  <c r="D5247" i="5"/>
  <c r="P5246" i="5"/>
  <c r="N5246" i="5"/>
  <c r="D5246" i="5"/>
  <c r="O5246" i="5" s="1"/>
  <c r="Q5246" i="5" s="1"/>
  <c r="P5245" i="5"/>
  <c r="N5245" i="5"/>
  <c r="D5245" i="5"/>
  <c r="O5245" i="5" s="1"/>
  <c r="Q5245" i="5" s="1"/>
  <c r="P5244" i="5"/>
  <c r="N5244" i="5"/>
  <c r="D5244" i="5"/>
  <c r="O5244" i="5" s="1"/>
  <c r="Q5244" i="5" s="1"/>
  <c r="P5243" i="5"/>
  <c r="N5243" i="5"/>
  <c r="D5243" i="5"/>
  <c r="O5243" i="5" s="1"/>
  <c r="Q5243" i="5" s="1"/>
  <c r="P5242" i="5"/>
  <c r="N5242" i="5"/>
  <c r="D5242" i="5"/>
  <c r="O5242" i="5" s="1"/>
  <c r="Q5242" i="5" s="1"/>
  <c r="P5241" i="5"/>
  <c r="N5241" i="5"/>
  <c r="D5241" i="5"/>
  <c r="O5241" i="5" s="1"/>
  <c r="Q5241" i="5" s="1"/>
  <c r="P5240" i="5"/>
  <c r="N5240" i="5"/>
  <c r="D5240" i="5"/>
  <c r="O5240" i="5" s="1"/>
  <c r="Q5240" i="5" s="1"/>
  <c r="P5239" i="5"/>
  <c r="N5239" i="5"/>
  <c r="D5239" i="5"/>
  <c r="O5239" i="5" s="1"/>
  <c r="Q5239" i="5" s="1"/>
  <c r="P5238" i="5"/>
  <c r="N5238" i="5"/>
  <c r="D5238" i="5"/>
  <c r="O5238" i="5" s="1"/>
  <c r="Q5238" i="5" s="1"/>
  <c r="P5237" i="5"/>
  <c r="N5237" i="5"/>
  <c r="D5237" i="5"/>
  <c r="O5237" i="5" s="1"/>
  <c r="Q5237" i="5" s="1"/>
  <c r="P5236" i="5"/>
  <c r="N5236" i="5"/>
  <c r="D5236" i="5"/>
  <c r="O5236" i="5" s="1"/>
  <c r="Q5236" i="5" s="1"/>
  <c r="P5235" i="5"/>
  <c r="N5235" i="5"/>
  <c r="D5235" i="5"/>
  <c r="O5235" i="5" s="1"/>
  <c r="Q5235" i="5" s="1"/>
  <c r="P5234" i="5"/>
  <c r="N5234" i="5"/>
  <c r="D5234" i="5"/>
  <c r="O5234" i="5" s="1"/>
  <c r="Q5234" i="5" s="1"/>
  <c r="P5233" i="5"/>
  <c r="N5233" i="5"/>
  <c r="D5233" i="5"/>
  <c r="O5233" i="5" s="1"/>
  <c r="Q5233" i="5" s="1"/>
  <c r="P5232" i="5"/>
  <c r="N5232" i="5"/>
  <c r="D5232" i="5"/>
  <c r="O5232" i="5" s="1"/>
  <c r="Q5232" i="5" s="1"/>
  <c r="P5231" i="5"/>
  <c r="N5231" i="5"/>
  <c r="D5231" i="5"/>
  <c r="O5231" i="5" s="1"/>
  <c r="Q5231" i="5" s="1"/>
  <c r="P5230" i="5"/>
  <c r="N5230" i="5"/>
  <c r="D5230" i="5"/>
  <c r="O5230" i="5" s="1"/>
  <c r="Q5230" i="5" s="1"/>
  <c r="P5229" i="5"/>
  <c r="N5229" i="5"/>
  <c r="D5229" i="5"/>
  <c r="O5229" i="5" s="1"/>
  <c r="Q5229" i="5" s="1"/>
  <c r="P5228" i="5"/>
  <c r="N5228" i="5"/>
  <c r="D5228" i="5"/>
  <c r="O5228" i="5" s="1"/>
  <c r="Q5228" i="5" s="1"/>
  <c r="P5227" i="5"/>
  <c r="N5227" i="5"/>
  <c r="D5227" i="5"/>
  <c r="O5227" i="5" s="1"/>
  <c r="Q5227" i="5" s="1"/>
  <c r="P5226" i="5"/>
  <c r="N5226" i="5"/>
  <c r="D5226" i="5"/>
  <c r="O5226" i="5" s="1"/>
  <c r="Q5226" i="5" s="1"/>
  <c r="P5225" i="5"/>
  <c r="N5225" i="5"/>
  <c r="D5225" i="5"/>
  <c r="O5225" i="5" s="1"/>
  <c r="Q5225" i="5" s="1"/>
  <c r="P5224" i="5"/>
  <c r="N5224" i="5"/>
  <c r="D5224" i="5"/>
  <c r="O5224" i="5" s="1"/>
  <c r="Q5224" i="5" s="1"/>
  <c r="P5223" i="5"/>
  <c r="N5223" i="5"/>
  <c r="D5223" i="5"/>
  <c r="O5223" i="5" s="1"/>
  <c r="Q5223" i="5" s="1"/>
  <c r="P5222" i="5"/>
  <c r="N5222" i="5"/>
  <c r="D5222" i="5"/>
  <c r="O5222" i="5" s="1"/>
  <c r="Q5222" i="5" s="1"/>
  <c r="P5221" i="5"/>
  <c r="N5221" i="5"/>
  <c r="D5221" i="5"/>
  <c r="O5221" i="5" s="1"/>
  <c r="Q5221" i="5" s="1"/>
  <c r="P5220" i="5"/>
  <c r="N5220" i="5"/>
  <c r="D5220" i="5"/>
  <c r="O5220" i="5" s="1"/>
  <c r="Q5220" i="5" s="1"/>
  <c r="P5219" i="5"/>
  <c r="N5219" i="5"/>
  <c r="D5219" i="5"/>
  <c r="O5219" i="5" s="1"/>
  <c r="Q5219" i="5" s="1"/>
  <c r="P5218" i="5"/>
  <c r="N5218" i="5"/>
  <c r="D5218" i="5"/>
  <c r="O5218" i="5" s="1"/>
  <c r="Q5218" i="5" s="1"/>
  <c r="P5217" i="5"/>
  <c r="N5217" i="5"/>
  <c r="D5217" i="5"/>
  <c r="O5217" i="5" s="1"/>
  <c r="Q5217" i="5" s="1"/>
  <c r="P5216" i="5"/>
  <c r="N5216" i="5"/>
  <c r="D5216" i="5"/>
  <c r="O5216" i="5" s="1"/>
  <c r="Q5216" i="5" s="1"/>
  <c r="P5215" i="5"/>
  <c r="N5215" i="5"/>
  <c r="D5215" i="5"/>
  <c r="O5215" i="5" s="1"/>
  <c r="Q5215" i="5" s="1"/>
  <c r="P5214" i="5"/>
  <c r="N5214" i="5"/>
  <c r="D5214" i="5"/>
  <c r="O5214" i="5" s="1"/>
  <c r="Q5214" i="5" s="1"/>
  <c r="P5213" i="5"/>
  <c r="N5213" i="5"/>
  <c r="D5213" i="5"/>
  <c r="O5213" i="5" s="1"/>
  <c r="Q5213" i="5" s="1"/>
  <c r="P5212" i="5"/>
  <c r="N5212" i="5"/>
  <c r="D5212" i="5"/>
  <c r="P5211" i="5"/>
  <c r="N5211" i="5"/>
  <c r="D5211" i="5"/>
  <c r="O5211" i="5" s="1"/>
  <c r="Q5211" i="5" s="1"/>
  <c r="P5210" i="5"/>
  <c r="N5210" i="5"/>
  <c r="D5210" i="5"/>
  <c r="O5210" i="5" s="1"/>
  <c r="Q5210" i="5" s="1"/>
  <c r="P5209" i="5"/>
  <c r="N5209" i="5"/>
  <c r="D5209" i="5"/>
  <c r="O5209" i="5" s="1"/>
  <c r="Q5209" i="5" s="1"/>
  <c r="P5208" i="5"/>
  <c r="N5208" i="5"/>
  <c r="D5208" i="5"/>
  <c r="O5208" i="5" s="1"/>
  <c r="Q5208" i="5" s="1"/>
  <c r="P5207" i="5"/>
  <c r="N5207" i="5"/>
  <c r="D5207" i="5"/>
  <c r="O5207" i="5" s="1"/>
  <c r="Q5207" i="5" s="1"/>
  <c r="P5206" i="5"/>
  <c r="N5206" i="5"/>
  <c r="D5206" i="5"/>
  <c r="O5206" i="5" s="1"/>
  <c r="Q5206" i="5" s="1"/>
  <c r="P5205" i="5"/>
  <c r="N5205" i="5"/>
  <c r="D5205" i="5"/>
  <c r="O5205" i="5" s="1"/>
  <c r="Q5205" i="5" s="1"/>
  <c r="P5204" i="5"/>
  <c r="N5204" i="5"/>
  <c r="D5204" i="5"/>
  <c r="O5204" i="5" s="1"/>
  <c r="Q5204" i="5" s="1"/>
  <c r="P5203" i="5"/>
  <c r="N5203" i="5"/>
  <c r="D5203" i="5"/>
  <c r="O5203" i="5" s="1"/>
  <c r="Q5203" i="5" s="1"/>
  <c r="P5202" i="5"/>
  <c r="N5202" i="5"/>
  <c r="D5202" i="5"/>
  <c r="O5202" i="5" s="1"/>
  <c r="Q5202" i="5" s="1"/>
  <c r="P5201" i="5"/>
  <c r="N5201" i="5"/>
  <c r="D5201" i="5"/>
  <c r="O5201" i="5" s="1"/>
  <c r="Q5201" i="5" s="1"/>
  <c r="P5200" i="5"/>
  <c r="N5200" i="5"/>
  <c r="D5200" i="5"/>
  <c r="O5200" i="5" s="1"/>
  <c r="Q5200" i="5" s="1"/>
  <c r="P5199" i="5"/>
  <c r="N5199" i="5"/>
  <c r="D5199" i="5"/>
  <c r="O5199" i="5" s="1"/>
  <c r="Q5199" i="5" s="1"/>
  <c r="P5198" i="5"/>
  <c r="N5198" i="5"/>
  <c r="D5198" i="5"/>
  <c r="O5198" i="5" s="1"/>
  <c r="Q5198" i="5" s="1"/>
  <c r="P5197" i="5"/>
  <c r="N5197" i="5"/>
  <c r="D5197" i="5"/>
  <c r="O5197" i="5" s="1"/>
  <c r="Q5197" i="5" s="1"/>
  <c r="P5196" i="5"/>
  <c r="N5196" i="5"/>
  <c r="D5196" i="5"/>
  <c r="O5196" i="5" s="1"/>
  <c r="Q5196" i="5" s="1"/>
  <c r="P5195" i="5"/>
  <c r="N5195" i="5"/>
  <c r="D5195" i="5"/>
  <c r="O5195" i="5" s="1"/>
  <c r="Q5195" i="5" s="1"/>
  <c r="P5194" i="5"/>
  <c r="N5194" i="5"/>
  <c r="D5194" i="5"/>
  <c r="O5194" i="5" s="1"/>
  <c r="Q5194" i="5" s="1"/>
  <c r="P5193" i="5"/>
  <c r="N5193" i="5"/>
  <c r="D5193" i="5"/>
  <c r="O5193" i="5" s="1"/>
  <c r="Q5193" i="5" s="1"/>
  <c r="P5192" i="5"/>
  <c r="N5192" i="5"/>
  <c r="D5192" i="5"/>
  <c r="O5192" i="5" s="1"/>
  <c r="Q5192" i="5" s="1"/>
  <c r="P5191" i="5"/>
  <c r="N5191" i="5"/>
  <c r="D5191" i="5"/>
  <c r="O5191" i="5" s="1"/>
  <c r="Q5191" i="5" s="1"/>
  <c r="P5190" i="5"/>
  <c r="N5190" i="5"/>
  <c r="D5190" i="5"/>
  <c r="O5190" i="5" s="1"/>
  <c r="Q5190" i="5" s="1"/>
  <c r="P5189" i="5"/>
  <c r="N5189" i="5"/>
  <c r="D5189" i="5"/>
  <c r="O5189" i="5" s="1"/>
  <c r="Q5189" i="5" s="1"/>
  <c r="P5188" i="5"/>
  <c r="N5188" i="5"/>
  <c r="D5188" i="5"/>
  <c r="O5188" i="5" s="1"/>
  <c r="Q5188" i="5" s="1"/>
  <c r="P5187" i="5"/>
  <c r="N5187" i="5"/>
  <c r="D5187" i="5"/>
  <c r="O5187" i="5" s="1"/>
  <c r="Q5187" i="5" s="1"/>
  <c r="P5186" i="5"/>
  <c r="N5186" i="5"/>
  <c r="D5186" i="5"/>
  <c r="O5186" i="5" s="1"/>
  <c r="Q5186" i="5" s="1"/>
  <c r="P5185" i="5"/>
  <c r="N5185" i="5"/>
  <c r="D5185" i="5"/>
  <c r="O5185" i="5" s="1"/>
  <c r="Q5185" i="5" s="1"/>
  <c r="P5184" i="5"/>
  <c r="N5184" i="5"/>
  <c r="D5184" i="5"/>
  <c r="O5184" i="5" s="1"/>
  <c r="Q5184" i="5" s="1"/>
  <c r="P5183" i="5"/>
  <c r="N5183" i="5"/>
  <c r="D5183" i="5"/>
  <c r="O5183" i="5" s="1"/>
  <c r="Q5183" i="5" s="1"/>
  <c r="P5182" i="5"/>
  <c r="N5182" i="5"/>
  <c r="D5182" i="5"/>
  <c r="O5182" i="5" s="1"/>
  <c r="Q5182" i="5" s="1"/>
  <c r="P5181" i="5"/>
  <c r="N5181" i="5"/>
  <c r="D5181" i="5"/>
  <c r="O5181" i="5" s="1"/>
  <c r="Q5181" i="5" s="1"/>
  <c r="P5180" i="5"/>
  <c r="N5180" i="5"/>
  <c r="D5180" i="5"/>
  <c r="O5180" i="5" s="1"/>
  <c r="Q5180" i="5" s="1"/>
  <c r="P5179" i="5"/>
  <c r="N5179" i="5"/>
  <c r="D5179" i="5"/>
  <c r="O5179" i="5" s="1"/>
  <c r="Q5179" i="5" s="1"/>
  <c r="P5178" i="5"/>
  <c r="N5178" i="5"/>
  <c r="D5178" i="5"/>
  <c r="P5177" i="5"/>
  <c r="N5177" i="5"/>
  <c r="D5177" i="5"/>
  <c r="O5177" i="5" s="1"/>
  <c r="Q5177" i="5" s="1"/>
  <c r="P5176" i="5"/>
  <c r="N5176" i="5"/>
  <c r="D5176" i="5"/>
  <c r="O5176" i="5" s="1"/>
  <c r="Q5176" i="5" s="1"/>
  <c r="P5175" i="5"/>
  <c r="N5175" i="5"/>
  <c r="D5175" i="5"/>
  <c r="O5175" i="5" s="1"/>
  <c r="Q5175" i="5" s="1"/>
  <c r="P5174" i="5"/>
  <c r="N5174" i="5"/>
  <c r="D5174" i="5"/>
  <c r="O5174" i="5" s="1"/>
  <c r="Q5174" i="5" s="1"/>
  <c r="P5173" i="5"/>
  <c r="N5173" i="5"/>
  <c r="D5173" i="5"/>
  <c r="O5173" i="5" s="1"/>
  <c r="Q5173" i="5" s="1"/>
  <c r="P5172" i="5"/>
  <c r="N5172" i="5"/>
  <c r="D5172" i="5"/>
  <c r="O5172" i="5" s="1"/>
  <c r="Q5172" i="5" s="1"/>
  <c r="P5171" i="5"/>
  <c r="N5171" i="5"/>
  <c r="D5171" i="5"/>
  <c r="O5171" i="5" s="1"/>
  <c r="Q5171" i="5" s="1"/>
  <c r="P5170" i="5"/>
  <c r="N5170" i="5"/>
  <c r="D5170" i="5"/>
  <c r="O5170" i="5" s="1"/>
  <c r="Q5170" i="5" s="1"/>
  <c r="P5169" i="5"/>
  <c r="N5169" i="5"/>
  <c r="D5169" i="5"/>
  <c r="O5169" i="5" s="1"/>
  <c r="Q5169" i="5" s="1"/>
  <c r="P5168" i="5"/>
  <c r="N5168" i="5"/>
  <c r="D5168" i="5"/>
  <c r="O5168" i="5" s="1"/>
  <c r="Q5168" i="5" s="1"/>
  <c r="P5167" i="5"/>
  <c r="N5167" i="5"/>
  <c r="D5167" i="5"/>
  <c r="O5167" i="5" s="1"/>
  <c r="Q5167" i="5" s="1"/>
  <c r="P5166" i="5"/>
  <c r="N5166" i="5"/>
  <c r="D5166" i="5"/>
  <c r="O5166" i="5" s="1"/>
  <c r="Q5166" i="5" s="1"/>
  <c r="P5165" i="5"/>
  <c r="N5165" i="5"/>
  <c r="D5165" i="5"/>
  <c r="O5165" i="5" s="1"/>
  <c r="Q5165" i="5" s="1"/>
  <c r="P5164" i="5"/>
  <c r="N5164" i="5"/>
  <c r="D5164" i="5"/>
  <c r="O5164" i="5" s="1"/>
  <c r="Q5164" i="5" s="1"/>
  <c r="P5163" i="5"/>
  <c r="N5163" i="5"/>
  <c r="D5163" i="5"/>
  <c r="O5163" i="5" s="1"/>
  <c r="Q5163" i="5" s="1"/>
  <c r="P5162" i="5"/>
  <c r="N5162" i="5"/>
  <c r="D5162" i="5"/>
  <c r="O5162" i="5" s="1"/>
  <c r="Q5162" i="5" s="1"/>
  <c r="P5161" i="5"/>
  <c r="N5161" i="5"/>
  <c r="D5161" i="5"/>
  <c r="O5161" i="5" s="1"/>
  <c r="Q5161" i="5" s="1"/>
  <c r="P5160" i="5"/>
  <c r="N5160" i="5"/>
  <c r="D5160" i="5"/>
  <c r="O5160" i="5" s="1"/>
  <c r="Q5160" i="5" s="1"/>
  <c r="P5159" i="5"/>
  <c r="N5159" i="5"/>
  <c r="D5159" i="5"/>
  <c r="O5159" i="5" s="1"/>
  <c r="Q5159" i="5" s="1"/>
  <c r="P5158" i="5"/>
  <c r="N5158" i="5"/>
  <c r="D5158" i="5"/>
  <c r="O5158" i="5" s="1"/>
  <c r="Q5158" i="5" s="1"/>
  <c r="P5157" i="5"/>
  <c r="N5157" i="5"/>
  <c r="D5157" i="5"/>
  <c r="O5157" i="5" s="1"/>
  <c r="Q5157" i="5" s="1"/>
  <c r="P5156" i="5"/>
  <c r="N5156" i="5"/>
  <c r="D5156" i="5"/>
  <c r="O5156" i="5" s="1"/>
  <c r="Q5156" i="5" s="1"/>
  <c r="P5155" i="5"/>
  <c r="N5155" i="5"/>
  <c r="D5155" i="5"/>
  <c r="O5155" i="5" s="1"/>
  <c r="Q5155" i="5" s="1"/>
  <c r="P5154" i="5"/>
  <c r="N5154" i="5"/>
  <c r="D5154" i="5"/>
  <c r="O5154" i="5" s="1"/>
  <c r="Q5154" i="5" s="1"/>
  <c r="P5153" i="5"/>
  <c r="N5153" i="5"/>
  <c r="D5153" i="5"/>
  <c r="O5153" i="5" s="1"/>
  <c r="Q5153" i="5" s="1"/>
  <c r="P5152" i="5"/>
  <c r="N5152" i="5"/>
  <c r="D5152" i="5"/>
  <c r="O5152" i="5" s="1"/>
  <c r="Q5152" i="5" s="1"/>
  <c r="P5151" i="5"/>
  <c r="N5151" i="5"/>
  <c r="D5151" i="5"/>
  <c r="O5151" i="5" s="1"/>
  <c r="Q5151" i="5" s="1"/>
  <c r="P5150" i="5"/>
  <c r="N5150" i="5"/>
  <c r="D5150" i="5"/>
  <c r="O5150" i="5" s="1"/>
  <c r="Q5150" i="5" s="1"/>
  <c r="P5149" i="5"/>
  <c r="N5149" i="5"/>
  <c r="D5149" i="5"/>
  <c r="O5149" i="5" s="1"/>
  <c r="Q5149" i="5" s="1"/>
  <c r="P5148" i="5"/>
  <c r="N5148" i="5"/>
  <c r="D5148" i="5"/>
  <c r="O5148" i="5" s="1"/>
  <c r="Q5148" i="5" s="1"/>
  <c r="P5147" i="5"/>
  <c r="N5147" i="5"/>
  <c r="D5147" i="5"/>
  <c r="O5147" i="5" s="1"/>
  <c r="Q5147" i="5" s="1"/>
  <c r="P5146" i="5"/>
  <c r="N5146" i="5"/>
  <c r="D5146" i="5"/>
  <c r="O5146" i="5" s="1"/>
  <c r="Q5146" i="5" s="1"/>
  <c r="P5145" i="5"/>
  <c r="N5145" i="5"/>
  <c r="D5145" i="5"/>
  <c r="O5145" i="5" s="1"/>
  <c r="Q5145" i="5" s="1"/>
  <c r="P5144" i="5"/>
  <c r="N5144" i="5"/>
  <c r="D5144" i="5"/>
  <c r="O5144" i="5" s="1"/>
  <c r="Q5144" i="5" s="1"/>
  <c r="P5143" i="5"/>
  <c r="N5143" i="5"/>
  <c r="D5143" i="5"/>
  <c r="O5143" i="5" s="1"/>
  <c r="Q5143" i="5" s="1"/>
  <c r="P5142" i="5"/>
  <c r="N5142" i="5"/>
  <c r="D5142" i="5"/>
  <c r="O5142" i="5" s="1"/>
  <c r="Q5142" i="5" s="1"/>
  <c r="P5141" i="5"/>
  <c r="N5141" i="5"/>
  <c r="D5141" i="5"/>
  <c r="O5141" i="5" s="1"/>
  <c r="Q5141" i="5" s="1"/>
  <c r="P5140" i="5"/>
  <c r="N5140" i="5"/>
  <c r="D5140" i="5"/>
  <c r="O5140" i="5" s="1"/>
  <c r="Q5140" i="5" s="1"/>
  <c r="P5139" i="5"/>
  <c r="N5139" i="5"/>
  <c r="D5139" i="5"/>
  <c r="O5139" i="5" s="1"/>
  <c r="Q5139" i="5" s="1"/>
  <c r="P5138" i="5"/>
  <c r="N5138" i="5"/>
  <c r="D5138" i="5"/>
  <c r="O5138" i="5" s="1"/>
  <c r="Q5138" i="5" s="1"/>
  <c r="P5137" i="5"/>
  <c r="N5137" i="5"/>
  <c r="D5137" i="5"/>
  <c r="O5137" i="5" s="1"/>
  <c r="Q5137" i="5" s="1"/>
  <c r="P5136" i="5"/>
  <c r="N5136" i="5"/>
  <c r="D5136" i="5"/>
  <c r="O5136" i="5" s="1"/>
  <c r="Q5136" i="5" s="1"/>
  <c r="P5135" i="5"/>
  <c r="N5135" i="5"/>
  <c r="D5135" i="5"/>
  <c r="O5135" i="5" s="1"/>
  <c r="Q5135" i="5" s="1"/>
  <c r="P5134" i="5"/>
  <c r="N5134" i="5"/>
  <c r="D5134" i="5"/>
  <c r="O5134" i="5" s="1"/>
  <c r="Q5134" i="5" s="1"/>
  <c r="P5133" i="5"/>
  <c r="N5133" i="5"/>
  <c r="D5133" i="5"/>
  <c r="O5133" i="5" s="1"/>
  <c r="Q5133" i="5" s="1"/>
  <c r="P5132" i="5"/>
  <c r="N5132" i="5"/>
  <c r="D5132" i="5"/>
  <c r="O5132" i="5" s="1"/>
  <c r="Q5132" i="5" s="1"/>
  <c r="P5131" i="5"/>
  <c r="N5131" i="5"/>
  <c r="D5131" i="5"/>
  <c r="O5131" i="5" s="1"/>
  <c r="Q5131" i="5" s="1"/>
  <c r="P5130" i="5"/>
  <c r="N5130" i="5"/>
  <c r="D5130" i="5"/>
  <c r="O5130" i="5" s="1"/>
  <c r="Q5130" i="5" s="1"/>
  <c r="P5129" i="5"/>
  <c r="N5129" i="5"/>
  <c r="D5129" i="5"/>
  <c r="O5129" i="5" s="1"/>
  <c r="Q5129" i="5" s="1"/>
  <c r="P5128" i="5"/>
  <c r="N5128" i="5"/>
  <c r="D5128" i="5"/>
  <c r="O5128" i="5" s="1"/>
  <c r="Q5128" i="5" s="1"/>
  <c r="P5127" i="5"/>
  <c r="N5127" i="5"/>
  <c r="D5127" i="5"/>
  <c r="O5127" i="5" s="1"/>
  <c r="Q5127" i="5" s="1"/>
  <c r="P5126" i="5"/>
  <c r="N5126" i="5"/>
  <c r="D5126" i="5"/>
  <c r="O5126" i="5" s="1"/>
  <c r="Q5126" i="5" s="1"/>
  <c r="P5125" i="5"/>
  <c r="N5125" i="5"/>
  <c r="D5125" i="5"/>
  <c r="O5125" i="5" s="1"/>
  <c r="Q5125" i="5" s="1"/>
  <c r="P5124" i="5"/>
  <c r="N5124" i="5"/>
  <c r="D5124" i="5"/>
  <c r="O5124" i="5" s="1"/>
  <c r="Q5124" i="5" s="1"/>
  <c r="P5123" i="5"/>
  <c r="N5123" i="5"/>
  <c r="D5123" i="5"/>
  <c r="O5123" i="5" s="1"/>
  <c r="Q5123" i="5" s="1"/>
  <c r="P5122" i="5"/>
  <c r="N5122" i="5"/>
  <c r="D5122" i="5"/>
  <c r="O5122" i="5" s="1"/>
  <c r="Q5122" i="5" s="1"/>
  <c r="P5121" i="5"/>
  <c r="N5121" i="5"/>
  <c r="D5121" i="5"/>
  <c r="O5121" i="5" s="1"/>
  <c r="Q5121" i="5" s="1"/>
  <c r="P5120" i="5"/>
  <c r="N5120" i="5"/>
  <c r="D5120" i="5"/>
  <c r="O5120" i="5" s="1"/>
  <c r="Q5120" i="5" s="1"/>
  <c r="P5119" i="5"/>
  <c r="N5119" i="5"/>
  <c r="D5119" i="5"/>
  <c r="P5118" i="5"/>
  <c r="N5118" i="5"/>
  <c r="D5118" i="5"/>
  <c r="O5118" i="5" s="1"/>
  <c r="Q5118" i="5" s="1"/>
  <c r="P5117" i="5"/>
  <c r="N5117" i="5"/>
  <c r="D5117" i="5"/>
  <c r="O5117" i="5" s="1"/>
  <c r="Q5117" i="5" s="1"/>
  <c r="P5116" i="5"/>
  <c r="N5116" i="5"/>
  <c r="D5116" i="5"/>
  <c r="O5116" i="5" s="1"/>
  <c r="Q5116" i="5" s="1"/>
  <c r="P5115" i="5"/>
  <c r="N5115" i="5"/>
  <c r="D5115" i="5"/>
  <c r="O5115" i="5" s="1"/>
  <c r="Q5115" i="5" s="1"/>
  <c r="Q5114" i="5"/>
  <c r="P5114" i="5"/>
  <c r="N5114" i="5"/>
  <c r="D5114" i="5"/>
  <c r="Q5113" i="5"/>
  <c r="P5113" i="5"/>
  <c r="N5113" i="5"/>
  <c r="D5113" i="5"/>
  <c r="Q5112" i="5"/>
  <c r="P5112" i="5"/>
  <c r="N5112" i="5"/>
  <c r="D5112" i="5"/>
  <c r="Q5111" i="5"/>
  <c r="P5111" i="5"/>
  <c r="N5111" i="5"/>
  <c r="D5111" i="5"/>
  <c r="Q5110" i="5"/>
  <c r="P5110" i="5"/>
  <c r="N5110" i="5"/>
  <c r="D5110" i="5"/>
  <c r="Q5109" i="5"/>
  <c r="P5109" i="5"/>
  <c r="N5109" i="5"/>
  <c r="D5109" i="5"/>
  <c r="P5108" i="5"/>
  <c r="N5108" i="5"/>
  <c r="D5108" i="5"/>
  <c r="O5108" i="5" s="1"/>
  <c r="Q5108" i="5" s="1"/>
  <c r="P5107" i="5"/>
  <c r="N5107" i="5"/>
  <c r="D5107" i="5"/>
  <c r="P5106" i="5"/>
  <c r="N5106" i="5"/>
  <c r="D5106" i="5"/>
  <c r="O5106" i="5" s="1"/>
  <c r="Q5106" i="5" s="1"/>
  <c r="P5105" i="5"/>
  <c r="N5105" i="5"/>
  <c r="D5105" i="5"/>
  <c r="O5105" i="5" s="1"/>
  <c r="Q5105" i="5" s="1"/>
  <c r="P5104" i="5"/>
  <c r="N5104" i="5"/>
  <c r="D5104" i="5"/>
  <c r="O5104" i="5" s="1"/>
  <c r="Q5104" i="5" s="1"/>
  <c r="P5103" i="5"/>
  <c r="N5103" i="5"/>
  <c r="D5103" i="5"/>
  <c r="O5103" i="5" s="1"/>
  <c r="Q5103" i="5" s="1"/>
  <c r="P5102" i="5"/>
  <c r="N5102" i="5"/>
  <c r="D5102" i="5"/>
  <c r="O5102" i="5" s="1"/>
  <c r="Q5102" i="5" s="1"/>
  <c r="P5101" i="5"/>
  <c r="N5101" i="5"/>
  <c r="D5101" i="5"/>
  <c r="O5101" i="5" s="1"/>
  <c r="Q5101" i="5" s="1"/>
  <c r="P5100" i="5"/>
  <c r="N5100" i="5"/>
  <c r="D5100" i="5"/>
  <c r="O5100" i="5" s="1"/>
  <c r="Q5100" i="5" s="1"/>
  <c r="P5099" i="5"/>
  <c r="N5099" i="5"/>
  <c r="D5099" i="5"/>
  <c r="O5099" i="5" s="1"/>
  <c r="Q5099" i="5" s="1"/>
  <c r="P5098" i="5"/>
  <c r="N5098" i="5"/>
  <c r="D5098" i="5"/>
  <c r="O5098" i="5" s="1"/>
  <c r="Q5098" i="5" s="1"/>
  <c r="P5097" i="5"/>
  <c r="N5097" i="5"/>
  <c r="D5097" i="5"/>
  <c r="O5097" i="5" s="1"/>
  <c r="Q5097" i="5" s="1"/>
  <c r="P5096" i="5"/>
  <c r="N5096" i="5"/>
  <c r="D5096" i="5"/>
  <c r="O5096" i="5" s="1"/>
  <c r="Q5096" i="5" s="1"/>
  <c r="P5095" i="5"/>
  <c r="N5095" i="5"/>
  <c r="D5095" i="5"/>
  <c r="O5095" i="5" s="1"/>
  <c r="Q5095" i="5" s="1"/>
  <c r="P5094" i="5"/>
  <c r="N5094" i="5"/>
  <c r="D5094" i="5"/>
  <c r="O5094" i="5" s="1"/>
  <c r="Q5094" i="5" s="1"/>
  <c r="P5093" i="5"/>
  <c r="N5093" i="5"/>
  <c r="D5093" i="5"/>
  <c r="O5093" i="5" s="1"/>
  <c r="Q5093" i="5" s="1"/>
  <c r="P5092" i="5"/>
  <c r="N5092" i="5"/>
  <c r="D5092" i="5"/>
  <c r="P5091" i="5"/>
  <c r="N5091" i="5"/>
  <c r="D5091" i="5"/>
  <c r="O5091" i="5" s="1"/>
  <c r="Q5091" i="5" s="1"/>
  <c r="P5090" i="5"/>
  <c r="N5090" i="5"/>
  <c r="D5090" i="5"/>
  <c r="O5090" i="5" s="1"/>
  <c r="Q5090" i="5" s="1"/>
  <c r="P5089" i="5"/>
  <c r="N5089" i="5"/>
  <c r="D5089" i="5"/>
  <c r="O5089" i="5" s="1"/>
  <c r="Q5089" i="5" s="1"/>
  <c r="P5088" i="5"/>
  <c r="N5088" i="5"/>
  <c r="D5088" i="5"/>
  <c r="O5088" i="5" s="1"/>
  <c r="Q5088" i="5" s="1"/>
  <c r="P5087" i="5"/>
  <c r="N5087" i="5"/>
  <c r="D5087" i="5"/>
  <c r="O5087" i="5" s="1"/>
  <c r="Q5087" i="5" s="1"/>
  <c r="P5086" i="5"/>
  <c r="N5086" i="5"/>
  <c r="D5086" i="5"/>
  <c r="O5086" i="5" s="1"/>
  <c r="Q5086" i="5" s="1"/>
  <c r="P5085" i="5"/>
  <c r="N5085" i="5"/>
  <c r="D5085" i="5"/>
  <c r="O5085" i="5" s="1"/>
  <c r="Q5085" i="5" s="1"/>
  <c r="P5084" i="5"/>
  <c r="N5084" i="5"/>
  <c r="D5084" i="5"/>
  <c r="O5084" i="5" s="1"/>
  <c r="Q5084" i="5" s="1"/>
  <c r="P5083" i="5"/>
  <c r="N5083" i="5"/>
  <c r="D5083" i="5"/>
  <c r="O5083" i="5" s="1"/>
  <c r="Q5083" i="5" s="1"/>
  <c r="P5082" i="5"/>
  <c r="N5082" i="5"/>
  <c r="D5082" i="5"/>
  <c r="O5082" i="5" s="1"/>
  <c r="Q5082" i="5" s="1"/>
  <c r="P5081" i="5"/>
  <c r="N5081" i="5"/>
  <c r="D5081" i="5"/>
  <c r="O5081" i="5" s="1"/>
  <c r="Q5081" i="5" s="1"/>
  <c r="P5080" i="5"/>
  <c r="N5080" i="5"/>
  <c r="D5080" i="5"/>
  <c r="O5080" i="5" s="1"/>
  <c r="Q5080" i="5" s="1"/>
  <c r="P5079" i="5"/>
  <c r="N5079" i="5"/>
  <c r="D5079" i="5"/>
  <c r="P5078" i="5"/>
  <c r="N5078" i="5"/>
  <c r="D5078" i="5"/>
  <c r="O5078" i="5" s="1"/>
  <c r="Q5078" i="5" s="1"/>
  <c r="P5077" i="5"/>
  <c r="N5077" i="5"/>
  <c r="D5077" i="5"/>
  <c r="O5077" i="5" s="1"/>
  <c r="Q5077" i="5" s="1"/>
  <c r="P5076" i="5"/>
  <c r="N5076" i="5"/>
  <c r="D5076" i="5"/>
  <c r="O5076" i="5" s="1"/>
  <c r="Q5076" i="5" s="1"/>
  <c r="P5075" i="5"/>
  <c r="N5075" i="5"/>
  <c r="D5075" i="5"/>
  <c r="O5075" i="5" s="1"/>
  <c r="Q5075" i="5" s="1"/>
  <c r="P5074" i="5"/>
  <c r="N5074" i="5"/>
  <c r="D5074" i="5"/>
  <c r="O5074" i="5" s="1"/>
  <c r="Q5074" i="5" s="1"/>
  <c r="P5073" i="5"/>
  <c r="N5073" i="5"/>
  <c r="D5073" i="5"/>
  <c r="O5073" i="5" s="1"/>
  <c r="Q5073" i="5" s="1"/>
  <c r="P5072" i="5"/>
  <c r="N5072" i="5"/>
  <c r="D5072" i="5"/>
  <c r="O5072" i="5" s="1"/>
  <c r="Q5072" i="5" s="1"/>
  <c r="P5071" i="5"/>
  <c r="N5071" i="5"/>
  <c r="D5071" i="5"/>
  <c r="O5071" i="5" s="1"/>
  <c r="Q5071" i="5" s="1"/>
  <c r="P5070" i="5"/>
  <c r="N5070" i="5"/>
  <c r="D5070" i="5"/>
  <c r="O5070" i="5" s="1"/>
  <c r="Q5070" i="5" s="1"/>
  <c r="P5069" i="5"/>
  <c r="N5069" i="5"/>
  <c r="D5069" i="5"/>
  <c r="O5069" i="5" s="1"/>
  <c r="Q5069" i="5" s="1"/>
  <c r="P5068" i="5"/>
  <c r="N5068" i="5"/>
  <c r="D5068" i="5"/>
  <c r="O5068" i="5" s="1"/>
  <c r="Q5068" i="5" s="1"/>
  <c r="P5067" i="5"/>
  <c r="N5067" i="5"/>
  <c r="D5067" i="5"/>
  <c r="O5067" i="5" s="1"/>
  <c r="Q5067" i="5" s="1"/>
  <c r="P5066" i="5"/>
  <c r="N5066" i="5"/>
  <c r="D5066" i="5"/>
  <c r="O5066" i="5" s="1"/>
  <c r="Q5066" i="5" s="1"/>
  <c r="P5065" i="5"/>
  <c r="N5065" i="5"/>
  <c r="D5065" i="5"/>
  <c r="O5065" i="5" s="1"/>
  <c r="Q5065" i="5" s="1"/>
  <c r="P5064" i="5"/>
  <c r="N5064" i="5"/>
  <c r="D5064" i="5"/>
  <c r="O5064" i="5" s="1"/>
  <c r="Q5064" i="5" s="1"/>
  <c r="P5063" i="5"/>
  <c r="N5063" i="5"/>
  <c r="D5063" i="5"/>
  <c r="O5063" i="5" s="1"/>
  <c r="Q5063" i="5" s="1"/>
  <c r="P5062" i="5"/>
  <c r="N5062" i="5"/>
  <c r="D5062" i="5"/>
  <c r="O5062" i="5" s="1"/>
  <c r="Q5062" i="5" s="1"/>
  <c r="P5061" i="5"/>
  <c r="N5061" i="5"/>
  <c r="D5061" i="5"/>
  <c r="O5061" i="5" s="1"/>
  <c r="Q5061" i="5" s="1"/>
  <c r="P5060" i="5"/>
  <c r="N5060" i="5"/>
  <c r="D5060" i="5"/>
  <c r="O5060" i="5" s="1"/>
  <c r="Q5060" i="5" s="1"/>
  <c r="P5059" i="5"/>
  <c r="N5059" i="5"/>
  <c r="D5059" i="5"/>
  <c r="O5059" i="5" s="1"/>
  <c r="Q5059" i="5" s="1"/>
  <c r="P5058" i="5"/>
  <c r="N5058" i="5"/>
  <c r="D5058" i="5"/>
  <c r="O5058" i="5" s="1"/>
  <c r="Q5058" i="5" s="1"/>
  <c r="P5057" i="5"/>
  <c r="N5057" i="5"/>
  <c r="D5057" i="5"/>
  <c r="O5057" i="5" s="1"/>
  <c r="Q5057" i="5" s="1"/>
  <c r="P5056" i="5"/>
  <c r="N5056" i="5"/>
  <c r="D5056" i="5"/>
  <c r="O5056" i="5" s="1"/>
  <c r="Q5056" i="5" s="1"/>
  <c r="P5055" i="5"/>
  <c r="N5055" i="5"/>
  <c r="D5055" i="5"/>
  <c r="O5055" i="5" s="1"/>
  <c r="Q5055" i="5" s="1"/>
  <c r="P5054" i="5"/>
  <c r="N5054" i="5"/>
  <c r="D5054" i="5"/>
  <c r="O5054" i="5" s="1"/>
  <c r="Q5054" i="5" s="1"/>
  <c r="P5053" i="5"/>
  <c r="N5053" i="5"/>
  <c r="D5053" i="5"/>
  <c r="O5053" i="5" s="1"/>
  <c r="Q5053" i="5" s="1"/>
  <c r="P5052" i="5"/>
  <c r="N5052" i="5"/>
  <c r="D5052" i="5"/>
  <c r="P5051" i="5"/>
  <c r="N5051" i="5"/>
  <c r="D5051" i="5"/>
  <c r="O5051" i="5" s="1"/>
  <c r="Q5051" i="5" s="1"/>
  <c r="P5050" i="5"/>
  <c r="N5050" i="5"/>
  <c r="D5050" i="5"/>
  <c r="O5050" i="5" s="1"/>
  <c r="Q5050" i="5" s="1"/>
  <c r="P5049" i="5"/>
  <c r="N5049" i="5"/>
  <c r="D5049" i="5"/>
  <c r="O5049" i="5" s="1"/>
  <c r="Q5049" i="5" s="1"/>
  <c r="P5048" i="5"/>
  <c r="N5048" i="5"/>
  <c r="D5048" i="5"/>
  <c r="O5048" i="5" s="1"/>
  <c r="Q5048" i="5" s="1"/>
  <c r="P5047" i="5"/>
  <c r="N5047" i="5"/>
  <c r="D5047" i="5"/>
  <c r="O5047" i="5" s="1"/>
  <c r="Q5047" i="5" s="1"/>
  <c r="P5046" i="5"/>
  <c r="N5046" i="5"/>
  <c r="D5046" i="5"/>
  <c r="O5046" i="5" s="1"/>
  <c r="Q5046" i="5" s="1"/>
  <c r="P5045" i="5"/>
  <c r="N5045" i="5"/>
  <c r="D5045" i="5"/>
  <c r="O5045" i="5" s="1"/>
  <c r="Q5045" i="5" s="1"/>
  <c r="P5044" i="5"/>
  <c r="N5044" i="5"/>
  <c r="D5044" i="5"/>
  <c r="O5044" i="5" s="1"/>
  <c r="Q5044" i="5" s="1"/>
  <c r="P5043" i="5"/>
  <c r="N5043" i="5"/>
  <c r="D5043" i="5"/>
  <c r="O5043" i="5" s="1"/>
  <c r="Q5043" i="5" s="1"/>
  <c r="P5042" i="5"/>
  <c r="N5042" i="5"/>
  <c r="D5042" i="5"/>
  <c r="O5042" i="5" s="1"/>
  <c r="Q5042" i="5" s="1"/>
  <c r="P5041" i="5"/>
  <c r="N5041" i="5"/>
  <c r="D5041" i="5"/>
  <c r="O5041" i="5" s="1"/>
  <c r="Q5041" i="5" s="1"/>
  <c r="P5040" i="5"/>
  <c r="N5040" i="5"/>
  <c r="D5040" i="5"/>
  <c r="O5040" i="5" s="1"/>
  <c r="Q5040" i="5" s="1"/>
  <c r="P5039" i="5"/>
  <c r="N5039" i="5"/>
  <c r="D5039" i="5"/>
  <c r="P5038" i="5"/>
  <c r="N5038" i="5"/>
  <c r="D5038" i="5"/>
  <c r="O5038" i="5" s="1"/>
  <c r="Q5038" i="5" s="1"/>
  <c r="P5037" i="5"/>
  <c r="N5037" i="5"/>
  <c r="D5037" i="5"/>
  <c r="O5037" i="5" s="1"/>
  <c r="Q5037" i="5" s="1"/>
  <c r="P5036" i="5"/>
  <c r="N5036" i="5"/>
  <c r="D5036" i="5"/>
  <c r="O5036" i="5" s="1"/>
  <c r="Q5036" i="5" s="1"/>
  <c r="P5035" i="5"/>
  <c r="N5035" i="5"/>
  <c r="D5035" i="5"/>
  <c r="O5035" i="5" s="1"/>
  <c r="Q5035" i="5" s="1"/>
  <c r="P5034" i="5"/>
  <c r="N5034" i="5"/>
  <c r="D5034" i="5"/>
  <c r="O5034" i="5" s="1"/>
  <c r="Q5034" i="5" s="1"/>
  <c r="P5033" i="5"/>
  <c r="N5033" i="5"/>
  <c r="D5033" i="5"/>
  <c r="O5033" i="5" s="1"/>
  <c r="Q5033" i="5" s="1"/>
  <c r="P5032" i="5"/>
  <c r="N5032" i="5"/>
  <c r="D5032" i="5"/>
  <c r="O5032" i="5" s="1"/>
  <c r="Q5032" i="5" s="1"/>
  <c r="P5031" i="5"/>
  <c r="N5031" i="5"/>
  <c r="D5031" i="5"/>
  <c r="O5031" i="5" s="1"/>
  <c r="Q5031" i="5" s="1"/>
  <c r="P5030" i="5"/>
  <c r="N5030" i="5"/>
  <c r="D5030" i="5"/>
  <c r="O5030" i="5" s="1"/>
  <c r="Q5030" i="5" s="1"/>
  <c r="P5029" i="5"/>
  <c r="N5029" i="5"/>
  <c r="D5029" i="5"/>
  <c r="O5029" i="5" s="1"/>
  <c r="Q5029" i="5" s="1"/>
  <c r="P5028" i="5"/>
  <c r="N5028" i="5"/>
  <c r="D5028" i="5"/>
  <c r="O5028" i="5" s="1"/>
  <c r="Q5028" i="5" s="1"/>
  <c r="P5027" i="5"/>
  <c r="N5027" i="5"/>
  <c r="D5027" i="5"/>
  <c r="O5027" i="5" s="1"/>
  <c r="Q5027" i="5" s="1"/>
  <c r="P5026" i="5"/>
  <c r="N5026" i="5"/>
  <c r="D5026" i="5"/>
  <c r="O5026" i="5" s="1"/>
  <c r="Q5026" i="5" s="1"/>
  <c r="P5025" i="5"/>
  <c r="N5025" i="5"/>
  <c r="D5025" i="5"/>
  <c r="O5025" i="5" s="1"/>
  <c r="Q5025" i="5" s="1"/>
  <c r="P5024" i="5"/>
  <c r="N5024" i="5"/>
  <c r="D5024" i="5"/>
  <c r="O5024" i="5" s="1"/>
  <c r="Q5024" i="5" s="1"/>
  <c r="P5023" i="5"/>
  <c r="N5023" i="5"/>
  <c r="D5023" i="5"/>
  <c r="O5023" i="5" s="1"/>
  <c r="Q5023" i="5" s="1"/>
  <c r="P5022" i="5"/>
  <c r="N5022" i="5"/>
  <c r="D5022" i="5"/>
  <c r="O5022" i="5" s="1"/>
  <c r="Q5022" i="5" s="1"/>
  <c r="P5021" i="5"/>
  <c r="N5021" i="5"/>
  <c r="D5021" i="5"/>
  <c r="O5021" i="5" s="1"/>
  <c r="Q5021" i="5" s="1"/>
  <c r="P5020" i="5"/>
  <c r="N5020" i="5"/>
  <c r="D5020" i="5"/>
  <c r="O5020" i="5" s="1"/>
  <c r="Q5020" i="5" s="1"/>
  <c r="P5019" i="5"/>
  <c r="N5019" i="5"/>
  <c r="D5019" i="5"/>
  <c r="O5019" i="5" s="1"/>
  <c r="Q5019" i="5" s="1"/>
  <c r="P5018" i="5"/>
  <c r="N5018" i="5"/>
  <c r="D5018" i="5"/>
  <c r="O5018" i="5" s="1"/>
  <c r="Q5018" i="5" s="1"/>
  <c r="P5017" i="5"/>
  <c r="N5017" i="5"/>
  <c r="D5017" i="5"/>
  <c r="P5016" i="5"/>
  <c r="N5016" i="5"/>
  <c r="D5016" i="5"/>
  <c r="O5016" i="5" s="1"/>
  <c r="Q5016" i="5" s="1"/>
  <c r="P5015" i="5"/>
  <c r="N5015" i="5"/>
  <c r="D5015" i="5"/>
  <c r="O5015" i="5" s="1"/>
  <c r="Q5015" i="5" s="1"/>
  <c r="P5014" i="5"/>
  <c r="N5014" i="5"/>
  <c r="D5014" i="5"/>
  <c r="P5013" i="5"/>
  <c r="N5013" i="5"/>
  <c r="D5013" i="5"/>
  <c r="O5013" i="5" s="1"/>
  <c r="Q5013" i="5" s="1"/>
  <c r="P5012" i="5"/>
  <c r="N5012" i="5"/>
  <c r="D5012" i="5"/>
  <c r="O5012" i="5" s="1"/>
  <c r="Q5012" i="5" s="1"/>
  <c r="P5011" i="5"/>
  <c r="N5011" i="5"/>
  <c r="D5011" i="5"/>
  <c r="O5011" i="5" s="1"/>
  <c r="Q5011" i="5" s="1"/>
  <c r="P5010" i="5"/>
  <c r="N5010" i="5"/>
  <c r="D5010" i="5"/>
  <c r="O5010" i="5" s="1"/>
  <c r="Q5010" i="5" s="1"/>
  <c r="P5009" i="5"/>
  <c r="N5009" i="5"/>
  <c r="D5009" i="5"/>
  <c r="O5009" i="5" s="1"/>
  <c r="Q5009" i="5" s="1"/>
  <c r="P5008" i="5"/>
  <c r="N5008" i="5"/>
  <c r="D5008" i="5"/>
  <c r="O5008" i="5" s="1"/>
  <c r="Q5008" i="5" s="1"/>
  <c r="P5007" i="5"/>
  <c r="N5007" i="5"/>
  <c r="D5007" i="5"/>
  <c r="O5007" i="5" s="1"/>
  <c r="Q5007" i="5" s="1"/>
  <c r="P5006" i="5"/>
  <c r="N5006" i="5"/>
  <c r="D5006" i="5"/>
  <c r="O5006" i="5" s="1"/>
  <c r="Q5006" i="5" s="1"/>
  <c r="P5005" i="5"/>
  <c r="N5005" i="5"/>
  <c r="D5005" i="5"/>
  <c r="O5005" i="5" s="1"/>
  <c r="Q5005" i="5" s="1"/>
  <c r="P5004" i="5"/>
  <c r="N5004" i="5"/>
  <c r="D5004" i="5"/>
  <c r="O5004" i="5" s="1"/>
  <c r="Q5004" i="5" s="1"/>
  <c r="P5003" i="5"/>
  <c r="N5003" i="5"/>
  <c r="D5003" i="5"/>
  <c r="O5003" i="5" s="1"/>
  <c r="Q5003" i="5" s="1"/>
  <c r="P5002" i="5"/>
  <c r="N5002" i="5"/>
  <c r="D5002" i="5"/>
  <c r="O5002" i="5" s="1"/>
  <c r="Q5002" i="5" s="1"/>
  <c r="P5001" i="5"/>
  <c r="N5001" i="5"/>
  <c r="D5001" i="5"/>
  <c r="O5001" i="5" s="1"/>
  <c r="Q5001" i="5" s="1"/>
  <c r="P5000" i="5"/>
  <c r="N5000" i="5"/>
  <c r="D5000" i="5"/>
  <c r="O5000" i="5" s="1"/>
  <c r="Q5000" i="5" s="1"/>
  <c r="P4999" i="5"/>
  <c r="N4999" i="5"/>
  <c r="D4999" i="5"/>
  <c r="O4999" i="5" s="1"/>
  <c r="Q4999" i="5" s="1"/>
  <c r="P4998" i="5"/>
  <c r="N4998" i="5"/>
  <c r="D4998" i="5"/>
  <c r="O4998" i="5" s="1"/>
  <c r="Q4998" i="5" s="1"/>
  <c r="P4997" i="5"/>
  <c r="N4997" i="5"/>
  <c r="D4997" i="5"/>
  <c r="O4997" i="5" s="1"/>
  <c r="Q4997" i="5" s="1"/>
  <c r="P4996" i="5"/>
  <c r="N4996" i="5"/>
  <c r="D4996" i="5"/>
  <c r="O4996" i="5" s="1"/>
  <c r="Q4996" i="5" s="1"/>
  <c r="P4995" i="5"/>
  <c r="N4995" i="5"/>
  <c r="D4995" i="5"/>
  <c r="O4995" i="5" s="1"/>
  <c r="Q4995" i="5" s="1"/>
  <c r="P4994" i="5"/>
  <c r="N4994" i="5"/>
  <c r="D4994" i="5"/>
  <c r="O4994" i="5" s="1"/>
  <c r="Q4994" i="5" s="1"/>
  <c r="P4993" i="5"/>
  <c r="N4993" i="5"/>
  <c r="D4993" i="5"/>
  <c r="O4993" i="5" s="1"/>
  <c r="Q4993" i="5" s="1"/>
  <c r="P4992" i="5"/>
  <c r="N4992" i="5"/>
  <c r="D4992" i="5"/>
  <c r="O4992" i="5" s="1"/>
  <c r="Q4992" i="5" s="1"/>
  <c r="P4991" i="5"/>
  <c r="N4991" i="5"/>
  <c r="D4991" i="5"/>
  <c r="O4991" i="5" s="1"/>
  <c r="Q4991" i="5" s="1"/>
  <c r="P4990" i="5"/>
  <c r="N4990" i="5"/>
  <c r="D4990" i="5"/>
  <c r="O4990" i="5" s="1"/>
  <c r="Q4990" i="5" s="1"/>
  <c r="P4989" i="5"/>
  <c r="N4989" i="5"/>
  <c r="D4989" i="5"/>
  <c r="O4989" i="5" s="1"/>
  <c r="Q4989" i="5" s="1"/>
  <c r="P4988" i="5"/>
  <c r="N4988" i="5"/>
  <c r="D4988" i="5"/>
  <c r="O4988" i="5" s="1"/>
  <c r="Q4988" i="5" s="1"/>
  <c r="P4987" i="5"/>
  <c r="N4987" i="5"/>
  <c r="D4987" i="5"/>
  <c r="O4987" i="5" s="1"/>
  <c r="Q4987" i="5" s="1"/>
  <c r="P4986" i="5"/>
  <c r="N4986" i="5"/>
  <c r="D4986" i="5"/>
  <c r="O4986" i="5" s="1"/>
  <c r="Q4986" i="5" s="1"/>
  <c r="P4985" i="5"/>
  <c r="N4985" i="5"/>
  <c r="D4985" i="5"/>
  <c r="O4985" i="5" s="1"/>
  <c r="Q4985" i="5" s="1"/>
  <c r="P4984" i="5"/>
  <c r="N4984" i="5"/>
  <c r="D4984" i="5"/>
  <c r="O4984" i="5" s="1"/>
  <c r="Q4984" i="5" s="1"/>
  <c r="P4983" i="5"/>
  <c r="N4983" i="5"/>
  <c r="D4983" i="5"/>
  <c r="O4983" i="5" s="1"/>
  <c r="Q4983" i="5" s="1"/>
  <c r="P4982" i="5"/>
  <c r="N4982" i="5"/>
  <c r="D4982" i="5"/>
  <c r="O4982" i="5" s="1"/>
  <c r="Q4982" i="5" s="1"/>
  <c r="P4981" i="5"/>
  <c r="N4981" i="5"/>
  <c r="D4981" i="5"/>
  <c r="O4981" i="5" s="1"/>
  <c r="Q4981" i="5" s="1"/>
  <c r="P4980" i="5"/>
  <c r="N4980" i="5"/>
  <c r="D4980" i="5"/>
  <c r="O4980" i="5" s="1"/>
  <c r="Q4980" i="5" s="1"/>
  <c r="P4979" i="5"/>
  <c r="N4979" i="5"/>
  <c r="D4979" i="5"/>
  <c r="O4979" i="5" s="1"/>
  <c r="Q4979" i="5" s="1"/>
  <c r="P4978" i="5"/>
  <c r="N4978" i="5"/>
  <c r="D4978" i="5"/>
  <c r="O4978" i="5" s="1"/>
  <c r="Q4978" i="5" s="1"/>
  <c r="P4977" i="5"/>
  <c r="N4977" i="5"/>
  <c r="D4977" i="5"/>
  <c r="O4977" i="5" s="1"/>
  <c r="Q4977" i="5" s="1"/>
  <c r="P4976" i="5"/>
  <c r="N4976" i="5"/>
  <c r="D4976" i="5"/>
  <c r="O4976" i="5" s="1"/>
  <c r="Q4976" i="5" s="1"/>
  <c r="P4975" i="5"/>
  <c r="N4975" i="5"/>
  <c r="D4975" i="5"/>
  <c r="O4975" i="5" s="1"/>
  <c r="Q4975" i="5" s="1"/>
  <c r="P4974" i="5"/>
  <c r="N4974" i="5"/>
  <c r="D4974" i="5"/>
  <c r="O4974" i="5" s="1"/>
  <c r="Q4974" i="5" s="1"/>
  <c r="P4973" i="5"/>
  <c r="N4973" i="5"/>
  <c r="D4973" i="5"/>
  <c r="O4973" i="5" s="1"/>
  <c r="Q4973" i="5" s="1"/>
  <c r="P4972" i="5"/>
  <c r="N4972" i="5"/>
  <c r="D4972" i="5"/>
  <c r="O4972" i="5" s="1"/>
  <c r="Q4972" i="5" s="1"/>
  <c r="P4971" i="5"/>
  <c r="N4971" i="5"/>
  <c r="D4971" i="5"/>
  <c r="O4971" i="5" s="1"/>
  <c r="Q4971" i="5" s="1"/>
  <c r="P4970" i="5"/>
  <c r="N4970" i="5"/>
  <c r="D4970" i="5"/>
  <c r="O4970" i="5" s="1"/>
  <c r="Q4970" i="5" s="1"/>
  <c r="P4969" i="5"/>
  <c r="N4969" i="5"/>
  <c r="D4969" i="5"/>
  <c r="O4969" i="5" s="1"/>
  <c r="Q4969" i="5" s="1"/>
  <c r="P4968" i="5"/>
  <c r="N4968" i="5"/>
  <c r="D4968" i="5"/>
  <c r="O4968" i="5" s="1"/>
  <c r="Q4968" i="5" s="1"/>
  <c r="P4967" i="5"/>
  <c r="N4967" i="5"/>
  <c r="D4967" i="5"/>
  <c r="O4967" i="5" s="1"/>
  <c r="Q4967" i="5" s="1"/>
  <c r="P4966" i="5"/>
  <c r="N4966" i="5"/>
  <c r="D4966" i="5"/>
  <c r="O4966" i="5" s="1"/>
  <c r="Q4966" i="5" s="1"/>
  <c r="P4965" i="5"/>
  <c r="N4965" i="5"/>
  <c r="D4965" i="5"/>
  <c r="O4965" i="5" s="1"/>
  <c r="Q4965" i="5" s="1"/>
  <c r="P4964" i="5"/>
  <c r="N4964" i="5"/>
  <c r="D4964" i="5"/>
  <c r="O4964" i="5" s="1"/>
  <c r="Q4964" i="5" s="1"/>
  <c r="P4963" i="5"/>
  <c r="N4963" i="5"/>
  <c r="D4963" i="5"/>
  <c r="O4963" i="5" s="1"/>
  <c r="Q4963" i="5" s="1"/>
  <c r="P4962" i="5"/>
  <c r="N4962" i="5"/>
  <c r="D4962" i="5"/>
  <c r="O4962" i="5" s="1"/>
  <c r="Q4962" i="5" s="1"/>
  <c r="P4961" i="5"/>
  <c r="N4961" i="5"/>
  <c r="D4961" i="5"/>
  <c r="O4961" i="5" s="1"/>
  <c r="Q4961" i="5" s="1"/>
  <c r="P4960" i="5"/>
  <c r="N4960" i="5"/>
  <c r="D4960" i="5"/>
  <c r="O4960" i="5" s="1"/>
  <c r="Q4960" i="5" s="1"/>
  <c r="P4959" i="5"/>
  <c r="N4959" i="5"/>
  <c r="D4959" i="5"/>
  <c r="O4959" i="5" s="1"/>
  <c r="Q4959" i="5" s="1"/>
  <c r="P4958" i="5"/>
  <c r="N4958" i="5"/>
  <c r="D4958" i="5"/>
  <c r="O4958" i="5" s="1"/>
  <c r="Q4958" i="5" s="1"/>
  <c r="P4957" i="5"/>
  <c r="N4957" i="5"/>
  <c r="D4957" i="5"/>
  <c r="O4957" i="5" s="1"/>
  <c r="Q4957" i="5" s="1"/>
  <c r="P4956" i="5"/>
  <c r="N4956" i="5"/>
  <c r="D4956" i="5"/>
  <c r="O4956" i="5" s="1"/>
  <c r="Q4956" i="5" s="1"/>
  <c r="P4955" i="5"/>
  <c r="N4955" i="5"/>
  <c r="D4955" i="5"/>
  <c r="O4955" i="5" s="1"/>
  <c r="Q4955" i="5" s="1"/>
  <c r="P4954" i="5"/>
  <c r="N4954" i="5"/>
  <c r="D4954" i="5"/>
  <c r="O4954" i="5" s="1"/>
  <c r="Q4954" i="5" s="1"/>
  <c r="P4953" i="5"/>
  <c r="N4953" i="5"/>
  <c r="D4953" i="5"/>
  <c r="O4953" i="5" s="1"/>
  <c r="Q4953" i="5" s="1"/>
  <c r="P4952" i="5"/>
  <c r="N4952" i="5"/>
  <c r="D4952" i="5"/>
  <c r="O4952" i="5" s="1"/>
  <c r="Q4952" i="5" s="1"/>
  <c r="P4951" i="5"/>
  <c r="N4951" i="5"/>
  <c r="D4951" i="5"/>
  <c r="O4951" i="5" s="1"/>
  <c r="Q4951" i="5" s="1"/>
  <c r="P4950" i="5"/>
  <c r="N4950" i="5"/>
  <c r="D4950" i="5"/>
  <c r="O4950" i="5" s="1"/>
  <c r="Q4950" i="5" s="1"/>
  <c r="P4949" i="5"/>
  <c r="N4949" i="5"/>
  <c r="D4949" i="5"/>
  <c r="O4949" i="5" s="1"/>
  <c r="Q4949" i="5" s="1"/>
  <c r="P4948" i="5"/>
  <c r="N4948" i="5"/>
  <c r="D4948" i="5"/>
  <c r="O4948" i="5" s="1"/>
  <c r="Q4948" i="5" s="1"/>
  <c r="P4947" i="5"/>
  <c r="N4947" i="5"/>
  <c r="D4947" i="5"/>
  <c r="O4947" i="5" s="1"/>
  <c r="Q4947" i="5" s="1"/>
  <c r="P4946" i="5"/>
  <c r="N4946" i="5"/>
  <c r="D4946" i="5"/>
  <c r="O4946" i="5" s="1"/>
  <c r="Q4946" i="5" s="1"/>
  <c r="P4945" i="5"/>
  <c r="N4945" i="5"/>
  <c r="D4945" i="5"/>
  <c r="O4945" i="5" s="1"/>
  <c r="Q4945" i="5" s="1"/>
  <c r="P4944" i="5"/>
  <c r="N4944" i="5"/>
  <c r="D4944" i="5"/>
  <c r="O4944" i="5" s="1"/>
  <c r="Q4944" i="5" s="1"/>
  <c r="P4943" i="5"/>
  <c r="N4943" i="5"/>
  <c r="D4943" i="5"/>
  <c r="O4943" i="5" s="1"/>
  <c r="Q4943" i="5" s="1"/>
  <c r="P4942" i="5"/>
  <c r="N4942" i="5"/>
  <c r="D4942" i="5"/>
  <c r="O4942" i="5" s="1"/>
  <c r="Q4942" i="5" s="1"/>
  <c r="P4941" i="5"/>
  <c r="N4941" i="5"/>
  <c r="D4941" i="5"/>
  <c r="O4941" i="5" s="1"/>
  <c r="Q4941" i="5" s="1"/>
  <c r="P4940" i="5"/>
  <c r="N4940" i="5"/>
  <c r="D4940" i="5"/>
  <c r="O4940" i="5" s="1"/>
  <c r="Q4940" i="5" s="1"/>
  <c r="P4939" i="5"/>
  <c r="N4939" i="5"/>
  <c r="D4939" i="5"/>
  <c r="O4939" i="5" s="1"/>
  <c r="Q4939" i="5" s="1"/>
  <c r="P4938" i="5"/>
  <c r="N4938" i="5"/>
  <c r="D4938" i="5"/>
  <c r="O4938" i="5" s="1"/>
  <c r="Q4938" i="5" s="1"/>
  <c r="P4937" i="5"/>
  <c r="N4937" i="5"/>
  <c r="D4937" i="5"/>
  <c r="O4937" i="5" s="1"/>
  <c r="Q4937" i="5" s="1"/>
  <c r="P4936" i="5"/>
  <c r="N4936" i="5"/>
  <c r="D4936" i="5"/>
  <c r="O4936" i="5" s="1"/>
  <c r="Q4936" i="5" s="1"/>
  <c r="P4935" i="5"/>
  <c r="N4935" i="5"/>
  <c r="D4935" i="5"/>
  <c r="O4935" i="5" s="1"/>
  <c r="Q4935" i="5" s="1"/>
  <c r="P4934" i="5"/>
  <c r="N4934" i="5"/>
  <c r="D4934" i="5"/>
  <c r="O4934" i="5" s="1"/>
  <c r="Q4934" i="5" s="1"/>
  <c r="P4933" i="5"/>
  <c r="N4933" i="5"/>
  <c r="D4933" i="5"/>
  <c r="O4933" i="5" s="1"/>
  <c r="Q4933" i="5" s="1"/>
  <c r="P4932" i="5"/>
  <c r="N4932" i="5"/>
  <c r="D4932" i="5"/>
  <c r="O4932" i="5" s="1"/>
  <c r="Q4932" i="5" s="1"/>
  <c r="P4931" i="5"/>
  <c r="N4931" i="5"/>
  <c r="D4931" i="5"/>
  <c r="O4931" i="5" s="1"/>
  <c r="Q4931" i="5" s="1"/>
  <c r="P4930" i="5"/>
  <c r="N4930" i="5"/>
  <c r="D4930" i="5"/>
  <c r="O4930" i="5" s="1"/>
  <c r="Q4930" i="5" s="1"/>
  <c r="P4929" i="5"/>
  <c r="N4929" i="5"/>
  <c r="D4929" i="5"/>
  <c r="O4929" i="5" s="1"/>
  <c r="Q4929" i="5" s="1"/>
  <c r="P4928" i="5"/>
  <c r="N4928" i="5"/>
  <c r="D4928" i="5"/>
  <c r="O4928" i="5" s="1"/>
  <c r="Q4928" i="5" s="1"/>
  <c r="P4927" i="5"/>
  <c r="N4927" i="5"/>
  <c r="D4927" i="5"/>
  <c r="O4927" i="5" s="1"/>
  <c r="Q4927" i="5" s="1"/>
  <c r="P4926" i="5"/>
  <c r="N4926" i="5"/>
  <c r="D4926" i="5"/>
  <c r="O4926" i="5" s="1"/>
  <c r="Q4926" i="5" s="1"/>
  <c r="P4925" i="5"/>
  <c r="N4925" i="5"/>
  <c r="D4925" i="5"/>
  <c r="O4925" i="5" s="1"/>
  <c r="Q4925" i="5" s="1"/>
  <c r="P4924" i="5"/>
  <c r="N4924" i="5"/>
  <c r="D4924" i="5"/>
  <c r="O4924" i="5" s="1"/>
  <c r="Q4924" i="5" s="1"/>
  <c r="P4923" i="5"/>
  <c r="N4923" i="5"/>
  <c r="D4923" i="5"/>
  <c r="O4923" i="5" s="1"/>
  <c r="Q4923" i="5" s="1"/>
  <c r="P4922" i="5"/>
  <c r="N4922" i="5"/>
  <c r="D4922" i="5"/>
  <c r="O4922" i="5" s="1"/>
  <c r="Q4922" i="5" s="1"/>
  <c r="P4921" i="5"/>
  <c r="N4921" i="5"/>
  <c r="D4921" i="5"/>
  <c r="O4921" i="5" s="1"/>
  <c r="Q4921" i="5" s="1"/>
  <c r="P4920" i="5"/>
  <c r="N4920" i="5"/>
  <c r="D4920" i="5"/>
  <c r="O4920" i="5" s="1"/>
  <c r="Q4920" i="5" s="1"/>
  <c r="Q4919" i="5"/>
  <c r="P4919" i="5"/>
  <c r="N4919" i="5"/>
  <c r="D4919" i="5"/>
  <c r="Q4918" i="5"/>
  <c r="P4918" i="5"/>
  <c r="N4918" i="5"/>
  <c r="D4918" i="5"/>
  <c r="Q4917" i="5"/>
  <c r="P4917" i="5"/>
  <c r="N4917" i="5"/>
  <c r="D4917" i="5"/>
  <c r="Q4916" i="5"/>
  <c r="P4916" i="5"/>
  <c r="N4916" i="5"/>
  <c r="D4916" i="5"/>
  <c r="Q4915" i="5"/>
  <c r="P4915" i="5"/>
  <c r="N4915" i="5"/>
  <c r="D4915" i="5"/>
  <c r="Q4914" i="5"/>
  <c r="P4914" i="5"/>
  <c r="N4914" i="5"/>
  <c r="D4914" i="5"/>
  <c r="Q4913" i="5"/>
  <c r="P4913" i="5"/>
  <c r="N4913" i="5"/>
  <c r="D4913" i="5"/>
  <c r="Q4912" i="5"/>
  <c r="P4912" i="5"/>
  <c r="N4912" i="5"/>
  <c r="D4912" i="5"/>
  <c r="Q4911" i="5"/>
  <c r="P4911" i="5"/>
  <c r="N4911" i="5"/>
  <c r="D4911" i="5"/>
  <c r="Q4910" i="5"/>
  <c r="P4910" i="5"/>
  <c r="N4910" i="5"/>
  <c r="D4910" i="5"/>
  <c r="Q4909" i="5"/>
  <c r="P4909" i="5"/>
  <c r="N4909" i="5"/>
  <c r="D4909" i="5"/>
  <c r="Q4908" i="5"/>
  <c r="P4908" i="5"/>
  <c r="N4908" i="5"/>
  <c r="D4908" i="5"/>
  <c r="Q4907" i="5"/>
  <c r="P4907" i="5"/>
  <c r="N4907" i="5"/>
  <c r="D4907" i="5"/>
  <c r="Q4906" i="5"/>
  <c r="P4906" i="5"/>
  <c r="N4906" i="5"/>
  <c r="D4906" i="5"/>
  <c r="P4905" i="5"/>
  <c r="N4905" i="5"/>
  <c r="D4905" i="5"/>
  <c r="O4905" i="5" s="1"/>
  <c r="Q4905" i="5" s="1"/>
  <c r="P4904" i="5"/>
  <c r="N4904" i="5"/>
  <c r="D4904" i="5"/>
  <c r="O4904" i="5" s="1"/>
  <c r="Q4904" i="5" s="1"/>
  <c r="P4903" i="5"/>
  <c r="N4903" i="5"/>
  <c r="D4903" i="5"/>
  <c r="O4903" i="5" s="1"/>
  <c r="Q4903" i="5" s="1"/>
  <c r="P4902" i="5"/>
  <c r="N4902" i="5"/>
  <c r="D4902" i="5"/>
  <c r="O4902" i="5" s="1"/>
  <c r="Q4902" i="5" s="1"/>
  <c r="P4901" i="5"/>
  <c r="N4901" i="5"/>
  <c r="D4901" i="5"/>
  <c r="O4901" i="5" s="1"/>
  <c r="Q4901" i="5" s="1"/>
  <c r="P4900" i="5"/>
  <c r="N4900" i="5"/>
  <c r="D4900" i="5"/>
  <c r="O4900" i="5" s="1"/>
  <c r="Q4900" i="5" s="1"/>
  <c r="P4899" i="5"/>
  <c r="N4899" i="5"/>
  <c r="D4899" i="5"/>
  <c r="O4899" i="5" s="1"/>
  <c r="Q4899" i="5" s="1"/>
  <c r="P4898" i="5"/>
  <c r="N4898" i="5"/>
  <c r="D4898" i="5"/>
  <c r="O4898" i="5" s="1"/>
  <c r="Q4898" i="5" s="1"/>
  <c r="P4897" i="5"/>
  <c r="N4897" i="5"/>
  <c r="D4897" i="5"/>
  <c r="O4897" i="5" s="1"/>
  <c r="Q4897" i="5" s="1"/>
  <c r="P4896" i="5"/>
  <c r="N4896" i="5"/>
  <c r="D4896" i="5"/>
  <c r="O4896" i="5" s="1"/>
  <c r="Q4896" i="5" s="1"/>
  <c r="P4895" i="5"/>
  <c r="N4895" i="5"/>
  <c r="D4895" i="5"/>
  <c r="O4895" i="5" s="1"/>
  <c r="Q4895" i="5" s="1"/>
  <c r="P4894" i="5"/>
  <c r="N4894" i="5"/>
  <c r="D4894" i="5"/>
  <c r="O4894" i="5" s="1"/>
  <c r="Q4894" i="5" s="1"/>
  <c r="P4893" i="5"/>
  <c r="N4893" i="5"/>
  <c r="D4893" i="5"/>
  <c r="O4893" i="5" s="1"/>
  <c r="Q4893" i="5" s="1"/>
  <c r="P4892" i="5"/>
  <c r="N4892" i="5"/>
  <c r="D4892" i="5"/>
  <c r="O4892" i="5" s="1"/>
  <c r="Q4892" i="5" s="1"/>
  <c r="P4891" i="5"/>
  <c r="N4891" i="5"/>
  <c r="D4891" i="5"/>
  <c r="O4891" i="5" s="1"/>
  <c r="Q4891" i="5" s="1"/>
  <c r="P4890" i="5"/>
  <c r="N4890" i="5"/>
  <c r="D4890" i="5"/>
  <c r="O4890" i="5" s="1"/>
  <c r="Q4890" i="5" s="1"/>
  <c r="P4889" i="5"/>
  <c r="N4889" i="5"/>
  <c r="D4889" i="5"/>
  <c r="O4889" i="5" s="1"/>
  <c r="Q4889" i="5" s="1"/>
  <c r="P4888" i="5"/>
  <c r="N4888" i="5"/>
  <c r="D4888" i="5"/>
  <c r="O4888" i="5" s="1"/>
  <c r="Q4888" i="5" s="1"/>
  <c r="P4887" i="5"/>
  <c r="N4887" i="5"/>
  <c r="D4887" i="5"/>
  <c r="O4887" i="5" s="1"/>
  <c r="Q4887" i="5" s="1"/>
  <c r="P4886" i="5"/>
  <c r="N4886" i="5"/>
  <c r="D4886" i="5"/>
  <c r="O4886" i="5" s="1"/>
  <c r="Q4886" i="5" s="1"/>
  <c r="P4885" i="5"/>
  <c r="N4885" i="5"/>
  <c r="D4885" i="5"/>
  <c r="O4885" i="5" s="1"/>
  <c r="Q4885" i="5" s="1"/>
  <c r="P4884" i="5"/>
  <c r="N4884" i="5"/>
  <c r="D4884" i="5"/>
  <c r="O4884" i="5" s="1"/>
  <c r="Q4884" i="5" s="1"/>
  <c r="P4883" i="5"/>
  <c r="N4883" i="5"/>
  <c r="D4883" i="5"/>
  <c r="O4883" i="5" s="1"/>
  <c r="Q4883" i="5" s="1"/>
  <c r="P4882" i="5"/>
  <c r="N4882" i="5"/>
  <c r="D4882" i="5"/>
  <c r="O4882" i="5" s="1"/>
  <c r="Q4882" i="5" s="1"/>
  <c r="P4881" i="5"/>
  <c r="N4881" i="5"/>
  <c r="D4881" i="5"/>
  <c r="O4881" i="5" s="1"/>
  <c r="Q4881" i="5" s="1"/>
  <c r="P4880" i="5"/>
  <c r="N4880" i="5"/>
  <c r="D4880" i="5"/>
  <c r="O4880" i="5" s="1"/>
  <c r="Q4880" i="5" s="1"/>
  <c r="P4879" i="5"/>
  <c r="N4879" i="5"/>
  <c r="D4879" i="5"/>
  <c r="O4879" i="5" s="1"/>
  <c r="Q4879" i="5" s="1"/>
  <c r="P4878" i="5"/>
  <c r="N4878" i="5"/>
  <c r="D4878" i="5"/>
  <c r="O4878" i="5" s="1"/>
  <c r="Q4878" i="5" s="1"/>
  <c r="P4877" i="5"/>
  <c r="N4877" i="5"/>
  <c r="D4877" i="5"/>
  <c r="O4877" i="5" s="1"/>
  <c r="Q4877" i="5" s="1"/>
  <c r="P4876" i="5"/>
  <c r="N4876" i="5"/>
  <c r="D4876" i="5"/>
  <c r="O4876" i="5" s="1"/>
  <c r="Q4876" i="5" s="1"/>
  <c r="P4875" i="5"/>
  <c r="N4875" i="5"/>
  <c r="D4875" i="5"/>
  <c r="P4874" i="5"/>
  <c r="N4874" i="5"/>
  <c r="D4874" i="5"/>
  <c r="O4874" i="5" s="1"/>
  <c r="Q4874" i="5" s="1"/>
  <c r="P4873" i="5"/>
  <c r="N4873" i="5"/>
  <c r="D4873" i="5"/>
  <c r="O4873" i="5" s="1"/>
  <c r="Q4873" i="5" s="1"/>
  <c r="P4872" i="5"/>
  <c r="N4872" i="5"/>
  <c r="D4872" i="5"/>
  <c r="P4871" i="5"/>
  <c r="N4871" i="5"/>
  <c r="D4871" i="5"/>
  <c r="O4871" i="5" s="1"/>
  <c r="Q4871" i="5" s="1"/>
  <c r="P4870" i="5"/>
  <c r="N4870" i="5"/>
  <c r="D4870" i="5"/>
  <c r="O4870" i="5" s="1"/>
  <c r="Q4870" i="5" s="1"/>
  <c r="P4869" i="5"/>
  <c r="N4869" i="5"/>
  <c r="D4869" i="5"/>
  <c r="O4869" i="5" s="1"/>
  <c r="Q4869" i="5" s="1"/>
  <c r="P4868" i="5"/>
  <c r="N4868" i="5"/>
  <c r="D4868" i="5"/>
  <c r="O4868" i="5" s="1"/>
  <c r="Q4868" i="5" s="1"/>
  <c r="P4867" i="5"/>
  <c r="N4867" i="5"/>
  <c r="D4867" i="5"/>
  <c r="O4867" i="5" s="1"/>
  <c r="Q4867" i="5" s="1"/>
  <c r="P4866" i="5"/>
  <c r="N4866" i="5"/>
  <c r="D4866" i="5"/>
  <c r="O4866" i="5" s="1"/>
  <c r="Q4866" i="5" s="1"/>
  <c r="P4865" i="5"/>
  <c r="N4865" i="5"/>
  <c r="D4865" i="5"/>
  <c r="O4865" i="5" s="1"/>
  <c r="Q4865" i="5" s="1"/>
  <c r="P4864" i="5"/>
  <c r="N4864" i="5"/>
  <c r="D4864" i="5"/>
  <c r="O4864" i="5" s="1"/>
  <c r="Q4864" i="5" s="1"/>
  <c r="P4863" i="5"/>
  <c r="N4863" i="5"/>
  <c r="D4863" i="5"/>
  <c r="O4863" i="5" s="1"/>
  <c r="Q4863" i="5" s="1"/>
  <c r="P4862" i="5"/>
  <c r="N4862" i="5"/>
  <c r="D4862" i="5"/>
  <c r="O4862" i="5" s="1"/>
  <c r="Q4862" i="5" s="1"/>
  <c r="P4861" i="5"/>
  <c r="N4861" i="5"/>
  <c r="D4861" i="5"/>
  <c r="P4860" i="5"/>
  <c r="N4860" i="5"/>
  <c r="D4860" i="5"/>
  <c r="O4860" i="5" s="1"/>
  <c r="Q4860" i="5" s="1"/>
  <c r="P4859" i="5"/>
  <c r="N4859" i="5"/>
  <c r="D4859" i="5"/>
  <c r="O4859" i="5" s="1"/>
  <c r="Q4859" i="5" s="1"/>
  <c r="P4858" i="5"/>
  <c r="N4858" i="5"/>
  <c r="D4858" i="5"/>
  <c r="O4858" i="5" s="1"/>
  <c r="Q4858" i="5" s="1"/>
  <c r="P4857" i="5"/>
  <c r="N4857" i="5"/>
  <c r="D4857" i="5"/>
  <c r="O4857" i="5" s="1"/>
  <c r="Q4857" i="5" s="1"/>
  <c r="P4856" i="5"/>
  <c r="N4856" i="5"/>
  <c r="D4856" i="5"/>
  <c r="O4856" i="5" s="1"/>
  <c r="Q4856" i="5" s="1"/>
  <c r="P4855" i="5"/>
  <c r="N4855" i="5"/>
  <c r="D4855" i="5"/>
  <c r="O4855" i="5" s="1"/>
  <c r="Q4855" i="5" s="1"/>
  <c r="P4854" i="5"/>
  <c r="N4854" i="5"/>
  <c r="D4854" i="5"/>
  <c r="O4854" i="5" s="1"/>
  <c r="Q4854" i="5" s="1"/>
  <c r="P4853" i="5"/>
  <c r="N4853" i="5"/>
  <c r="D4853" i="5"/>
  <c r="O4853" i="5" s="1"/>
  <c r="Q4853" i="5" s="1"/>
  <c r="P4852" i="5"/>
  <c r="N4852" i="5"/>
  <c r="D4852" i="5"/>
  <c r="P4851" i="5"/>
  <c r="N4851" i="5"/>
  <c r="D4851" i="5"/>
  <c r="O4851" i="5" s="1"/>
  <c r="Q4851" i="5" s="1"/>
  <c r="P4850" i="5"/>
  <c r="N4850" i="5"/>
  <c r="D4850" i="5"/>
  <c r="O4850" i="5" s="1"/>
  <c r="Q4850" i="5" s="1"/>
  <c r="P4849" i="5"/>
  <c r="N4849" i="5"/>
  <c r="D4849" i="5"/>
  <c r="O4849" i="5" s="1"/>
  <c r="Q4849" i="5" s="1"/>
  <c r="P4848" i="5"/>
  <c r="N4848" i="5"/>
  <c r="D4848" i="5"/>
  <c r="O4848" i="5" s="1"/>
  <c r="Q4848" i="5" s="1"/>
  <c r="P4847" i="5"/>
  <c r="N4847" i="5"/>
  <c r="D4847" i="5"/>
  <c r="O4847" i="5" s="1"/>
  <c r="Q4847" i="5" s="1"/>
  <c r="P4846" i="5"/>
  <c r="N4846" i="5"/>
  <c r="D4846" i="5"/>
  <c r="P4845" i="5"/>
  <c r="N4845" i="5"/>
  <c r="D4845" i="5"/>
  <c r="O4845" i="5" s="1"/>
  <c r="Q4845" i="5" s="1"/>
  <c r="P4844" i="5"/>
  <c r="N4844" i="5"/>
  <c r="D4844" i="5"/>
  <c r="O4844" i="5" s="1"/>
  <c r="Q4844" i="5" s="1"/>
  <c r="P4843" i="5"/>
  <c r="N4843" i="5"/>
  <c r="D4843" i="5"/>
  <c r="O4843" i="5" s="1"/>
  <c r="Q4843" i="5" s="1"/>
  <c r="P4842" i="5"/>
  <c r="N4842" i="5"/>
  <c r="D4842" i="5"/>
  <c r="O4842" i="5" s="1"/>
  <c r="Q4842" i="5" s="1"/>
  <c r="P4841" i="5"/>
  <c r="N4841" i="5"/>
  <c r="D4841" i="5"/>
  <c r="O4841" i="5" s="1"/>
  <c r="Q4841" i="5" s="1"/>
  <c r="P4840" i="5"/>
  <c r="N4840" i="5"/>
  <c r="D4840" i="5"/>
  <c r="O4840" i="5" s="1"/>
  <c r="Q4840" i="5" s="1"/>
  <c r="P4839" i="5"/>
  <c r="N4839" i="5"/>
  <c r="D4839" i="5"/>
  <c r="O4839" i="5" s="1"/>
  <c r="Q4839" i="5" s="1"/>
  <c r="P4838" i="5"/>
  <c r="N4838" i="5"/>
  <c r="D4838" i="5"/>
  <c r="O4838" i="5" s="1"/>
  <c r="Q4838" i="5" s="1"/>
  <c r="P4837" i="5"/>
  <c r="N4837" i="5"/>
  <c r="D4837" i="5"/>
  <c r="O4837" i="5" s="1"/>
  <c r="Q4837" i="5" s="1"/>
  <c r="P4836" i="5"/>
  <c r="N4836" i="5"/>
  <c r="D4836" i="5"/>
  <c r="O4836" i="5" s="1"/>
  <c r="Q4836" i="5" s="1"/>
  <c r="P4835" i="5"/>
  <c r="N4835" i="5"/>
  <c r="D4835" i="5"/>
  <c r="O4835" i="5" s="1"/>
  <c r="Q4835" i="5" s="1"/>
  <c r="P4834" i="5"/>
  <c r="N4834" i="5"/>
  <c r="D4834" i="5"/>
  <c r="O4834" i="5" s="1"/>
  <c r="Q4834" i="5" s="1"/>
  <c r="P4833" i="5"/>
  <c r="N4833" i="5"/>
  <c r="D4833" i="5"/>
  <c r="P4832" i="5"/>
  <c r="N4832" i="5"/>
  <c r="D4832" i="5"/>
  <c r="O4832" i="5" s="1"/>
  <c r="Q4832" i="5" s="1"/>
  <c r="P4831" i="5"/>
  <c r="N4831" i="5"/>
  <c r="D4831" i="5"/>
  <c r="O4831" i="5" s="1"/>
  <c r="Q4831" i="5" s="1"/>
  <c r="P4830" i="5"/>
  <c r="N4830" i="5"/>
  <c r="D4830" i="5"/>
  <c r="O4830" i="5" s="1"/>
  <c r="Q4830" i="5" s="1"/>
  <c r="P4829" i="5"/>
  <c r="N4829" i="5"/>
  <c r="D4829" i="5"/>
  <c r="O4829" i="5" s="1"/>
  <c r="Q4829" i="5" s="1"/>
  <c r="P4828" i="5"/>
  <c r="N4828" i="5"/>
  <c r="D4828" i="5"/>
  <c r="O4828" i="5" s="1"/>
  <c r="Q4828" i="5" s="1"/>
  <c r="P4827" i="5"/>
  <c r="N4827" i="5"/>
  <c r="D4827" i="5"/>
  <c r="O4827" i="5" s="1"/>
  <c r="Q4827" i="5" s="1"/>
  <c r="P4826" i="5"/>
  <c r="N4826" i="5"/>
  <c r="D4826" i="5"/>
  <c r="O4826" i="5" s="1"/>
  <c r="Q4826" i="5" s="1"/>
  <c r="P4825" i="5"/>
  <c r="N4825" i="5"/>
  <c r="D4825" i="5"/>
  <c r="O4825" i="5" s="1"/>
  <c r="Q4825" i="5" s="1"/>
  <c r="P4824" i="5"/>
  <c r="N4824" i="5"/>
  <c r="D4824" i="5"/>
  <c r="O4824" i="5" s="1"/>
  <c r="Q4824" i="5" s="1"/>
  <c r="P4823" i="5"/>
  <c r="N4823" i="5"/>
  <c r="D4823" i="5"/>
  <c r="O4823" i="5" s="1"/>
  <c r="Q4823" i="5" s="1"/>
  <c r="P4822" i="5"/>
  <c r="N4822" i="5"/>
  <c r="D4822" i="5"/>
  <c r="O4822" i="5" s="1"/>
  <c r="Q4822" i="5" s="1"/>
  <c r="P4821" i="5"/>
  <c r="N4821" i="5"/>
  <c r="D4821" i="5"/>
  <c r="O4821" i="5" s="1"/>
  <c r="Q4821" i="5" s="1"/>
  <c r="P4820" i="5"/>
  <c r="N4820" i="5"/>
  <c r="D4820" i="5"/>
  <c r="O4820" i="5" s="1"/>
  <c r="Q4820" i="5" s="1"/>
  <c r="P4819" i="5"/>
  <c r="N4819" i="5"/>
  <c r="D4819" i="5"/>
  <c r="O4819" i="5" s="1"/>
  <c r="Q4819" i="5" s="1"/>
  <c r="P4818" i="5"/>
  <c r="N4818" i="5"/>
  <c r="D4818" i="5"/>
  <c r="O4818" i="5" s="1"/>
  <c r="Q4818" i="5" s="1"/>
  <c r="P4817" i="5"/>
  <c r="N4817" i="5"/>
  <c r="D4817" i="5"/>
  <c r="O4817" i="5" s="1"/>
  <c r="Q4817" i="5" s="1"/>
  <c r="P4816" i="5"/>
  <c r="N4816" i="5"/>
  <c r="D4816" i="5"/>
  <c r="O4816" i="5" s="1"/>
  <c r="Q4816" i="5" s="1"/>
  <c r="P4815" i="5"/>
  <c r="N4815" i="5"/>
  <c r="D4815" i="5"/>
  <c r="O4815" i="5" s="1"/>
  <c r="Q4815" i="5" s="1"/>
  <c r="P4814" i="5"/>
  <c r="N4814" i="5"/>
  <c r="D4814" i="5"/>
  <c r="O4814" i="5" s="1"/>
  <c r="Q4814" i="5" s="1"/>
  <c r="P4813" i="5"/>
  <c r="N4813" i="5"/>
  <c r="D4813" i="5"/>
  <c r="O4813" i="5" s="1"/>
  <c r="Q4813" i="5" s="1"/>
  <c r="P4812" i="5"/>
  <c r="N4812" i="5"/>
  <c r="D4812" i="5"/>
  <c r="O4812" i="5" s="1"/>
  <c r="Q4812" i="5" s="1"/>
  <c r="P4811" i="5"/>
  <c r="N4811" i="5"/>
  <c r="D4811" i="5"/>
  <c r="O4811" i="5" s="1"/>
  <c r="Q4811" i="5" s="1"/>
  <c r="P4810" i="5"/>
  <c r="N4810" i="5"/>
  <c r="D4810" i="5"/>
  <c r="O4810" i="5" s="1"/>
  <c r="Q4810" i="5" s="1"/>
  <c r="P4809" i="5"/>
  <c r="N4809" i="5"/>
  <c r="D4809" i="5"/>
  <c r="O4809" i="5" s="1"/>
  <c r="Q4809" i="5" s="1"/>
  <c r="P4808" i="5"/>
  <c r="N4808" i="5"/>
  <c r="D4808" i="5"/>
  <c r="O4808" i="5" s="1"/>
  <c r="Q4808" i="5" s="1"/>
  <c r="P4807" i="5"/>
  <c r="N4807" i="5"/>
  <c r="D4807" i="5"/>
  <c r="O4807" i="5" s="1"/>
  <c r="Q4807" i="5" s="1"/>
  <c r="P4806" i="5"/>
  <c r="N4806" i="5"/>
  <c r="D4806" i="5"/>
  <c r="O4806" i="5" s="1"/>
  <c r="Q4806" i="5" s="1"/>
  <c r="P4805" i="5"/>
  <c r="N4805" i="5"/>
  <c r="D4805" i="5"/>
  <c r="O4805" i="5" s="1"/>
  <c r="Q4805" i="5" s="1"/>
  <c r="P4804" i="5"/>
  <c r="N4804" i="5"/>
  <c r="D4804" i="5"/>
  <c r="O4804" i="5" s="1"/>
  <c r="Q4804" i="5" s="1"/>
  <c r="P4803" i="5"/>
  <c r="N4803" i="5"/>
  <c r="D4803" i="5"/>
  <c r="O4803" i="5" s="1"/>
  <c r="Q4803" i="5" s="1"/>
  <c r="P4802" i="5"/>
  <c r="N4802" i="5"/>
  <c r="D4802" i="5"/>
  <c r="O4802" i="5" s="1"/>
  <c r="Q4802" i="5" s="1"/>
  <c r="P4801" i="5"/>
  <c r="N4801" i="5"/>
  <c r="D4801" i="5"/>
  <c r="O4801" i="5" s="1"/>
  <c r="Q4801" i="5" s="1"/>
  <c r="P4800" i="5"/>
  <c r="N4800" i="5"/>
  <c r="D4800" i="5"/>
  <c r="O4800" i="5" s="1"/>
  <c r="Q4800" i="5" s="1"/>
  <c r="P4799" i="5"/>
  <c r="N4799" i="5"/>
  <c r="D4799" i="5"/>
  <c r="O4799" i="5" s="1"/>
  <c r="Q4799" i="5" s="1"/>
  <c r="P4798" i="5"/>
  <c r="N4798" i="5"/>
  <c r="D4798" i="5"/>
  <c r="O4798" i="5" s="1"/>
  <c r="Q4798" i="5" s="1"/>
  <c r="P4797" i="5"/>
  <c r="N4797" i="5"/>
  <c r="D4797" i="5"/>
  <c r="O4797" i="5" s="1"/>
  <c r="Q4797" i="5" s="1"/>
  <c r="P4796" i="5"/>
  <c r="N4796" i="5"/>
  <c r="D4796" i="5"/>
  <c r="O4796" i="5" s="1"/>
  <c r="Q4796" i="5" s="1"/>
  <c r="P4795" i="5"/>
  <c r="N4795" i="5"/>
  <c r="D4795" i="5"/>
  <c r="O4795" i="5" s="1"/>
  <c r="Q4795" i="5" s="1"/>
  <c r="P4794" i="5"/>
  <c r="N4794" i="5"/>
  <c r="D4794" i="5"/>
  <c r="O4794" i="5" s="1"/>
  <c r="Q4794" i="5" s="1"/>
  <c r="P4793" i="5"/>
  <c r="N4793" i="5"/>
  <c r="D4793" i="5"/>
  <c r="O4793" i="5" s="1"/>
  <c r="Q4793" i="5" s="1"/>
  <c r="P4792" i="5"/>
  <c r="N4792" i="5"/>
  <c r="D4792" i="5"/>
  <c r="O4792" i="5" s="1"/>
  <c r="Q4792" i="5" s="1"/>
  <c r="P4791" i="5"/>
  <c r="N4791" i="5"/>
  <c r="D4791" i="5"/>
  <c r="O4791" i="5" s="1"/>
  <c r="Q4791" i="5" s="1"/>
  <c r="P4790" i="5"/>
  <c r="N4790" i="5"/>
  <c r="D4790" i="5"/>
  <c r="O4790" i="5" s="1"/>
  <c r="Q4790" i="5" s="1"/>
  <c r="P4789" i="5"/>
  <c r="N4789" i="5"/>
  <c r="D4789" i="5"/>
  <c r="O4789" i="5" s="1"/>
  <c r="Q4789" i="5" s="1"/>
  <c r="P4788" i="5"/>
  <c r="N4788" i="5"/>
  <c r="D4788" i="5"/>
  <c r="O4788" i="5" s="1"/>
  <c r="Q4788" i="5" s="1"/>
  <c r="P4787" i="5"/>
  <c r="N4787" i="5"/>
  <c r="D4787" i="5"/>
  <c r="O4787" i="5" s="1"/>
  <c r="Q4787" i="5" s="1"/>
  <c r="P4786" i="5"/>
  <c r="N4786" i="5"/>
  <c r="D4786" i="5"/>
  <c r="O4786" i="5" s="1"/>
  <c r="Q4786" i="5" s="1"/>
  <c r="P4785" i="5"/>
  <c r="N4785" i="5"/>
  <c r="D4785" i="5"/>
  <c r="O4785" i="5" s="1"/>
  <c r="Q4785" i="5" s="1"/>
  <c r="P4784" i="5"/>
  <c r="N4784" i="5"/>
  <c r="D4784" i="5"/>
  <c r="O4784" i="5" s="1"/>
  <c r="Q4784" i="5" s="1"/>
  <c r="P4783" i="5"/>
  <c r="N4783" i="5"/>
  <c r="D4783" i="5"/>
  <c r="O4783" i="5" s="1"/>
  <c r="Q4783" i="5" s="1"/>
  <c r="P4782" i="5"/>
  <c r="N4782" i="5"/>
  <c r="D4782" i="5"/>
  <c r="O4782" i="5" s="1"/>
  <c r="Q4782" i="5" s="1"/>
  <c r="P4781" i="5"/>
  <c r="N4781" i="5"/>
  <c r="D4781" i="5"/>
  <c r="O4781" i="5" s="1"/>
  <c r="Q4781" i="5" s="1"/>
  <c r="P4780" i="5"/>
  <c r="N4780" i="5"/>
  <c r="D4780" i="5"/>
  <c r="O4780" i="5" s="1"/>
  <c r="Q4780" i="5" s="1"/>
  <c r="P4779" i="5"/>
  <c r="N4779" i="5"/>
  <c r="D4779" i="5"/>
  <c r="O4779" i="5" s="1"/>
  <c r="Q4779" i="5" s="1"/>
  <c r="P4778" i="5"/>
  <c r="N4778" i="5"/>
  <c r="D4778" i="5"/>
  <c r="O4778" i="5" s="1"/>
  <c r="Q4778" i="5" s="1"/>
  <c r="P4777" i="5"/>
  <c r="N4777" i="5"/>
  <c r="D4777" i="5"/>
  <c r="P4776" i="5"/>
  <c r="N4776" i="5"/>
  <c r="D4776" i="5"/>
  <c r="O4776" i="5" s="1"/>
  <c r="Q4776" i="5" s="1"/>
  <c r="P4775" i="5"/>
  <c r="N4775" i="5"/>
  <c r="D4775" i="5"/>
  <c r="O4775" i="5" s="1"/>
  <c r="Q4775" i="5" s="1"/>
  <c r="P4774" i="5"/>
  <c r="N4774" i="5"/>
  <c r="D4774" i="5"/>
  <c r="O4774" i="5" s="1"/>
  <c r="Q4774" i="5" s="1"/>
  <c r="P4773" i="5"/>
  <c r="N4773" i="5"/>
  <c r="D4773" i="5"/>
  <c r="O4773" i="5" s="1"/>
  <c r="Q4773" i="5" s="1"/>
  <c r="P4772" i="5"/>
  <c r="N4772" i="5"/>
  <c r="D4772" i="5"/>
  <c r="O4772" i="5" s="1"/>
  <c r="Q4772" i="5" s="1"/>
  <c r="P4771" i="5"/>
  <c r="N4771" i="5"/>
  <c r="D4771" i="5"/>
  <c r="O4771" i="5" s="1"/>
  <c r="Q4771" i="5" s="1"/>
  <c r="P4770" i="5"/>
  <c r="N4770" i="5"/>
  <c r="D4770" i="5"/>
  <c r="O4770" i="5" s="1"/>
  <c r="Q4770" i="5" s="1"/>
  <c r="P4769" i="5"/>
  <c r="N4769" i="5"/>
  <c r="D4769" i="5"/>
  <c r="O4769" i="5" s="1"/>
  <c r="Q4769" i="5" s="1"/>
  <c r="P4768" i="5"/>
  <c r="N4768" i="5"/>
  <c r="D4768" i="5"/>
  <c r="O4768" i="5" s="1"/>
  <c r="Q4768" i="5" s="1"/>
  <c r="P4767" i="5"/>
  <c r="N4767" i="5"/>
  <c r="D4767" i="5"/>
  <c r="O4767" i="5" s="1"/>
  <c r="Q4767" i="5" s="1"/>
  <c r="P4766" i="5"/>
  <c r="N4766" i="5"/>
  <c r="D4766" i="5"/>
  <c r="O4766" i="5" s="1"/>
  <c r="Q4766" i="5" s="1"/>
  <c r="P4765" i="5"/>
  <c r="N4765" i="5"/>
  <c r="D4765" i="5"/>
  <c r="P4764" i="5"/>
  <c r="N4764" i="5"/>
  <c r="D4764" i="5"/>
  <c r="O4764" i="5" s="1"/>
  <c r="Q4764" i="5" s="1"/>
  <c r="P4763" i="5"/>
  <c r="N4763" i="5"/>
  <c r="D4763" i="5"/>
  <c r="O4763" i="5" s="1"/>
  <c r="Q4763" i="5" s="1"/>
  <c r="P4762" i="5"/>
  <c r="N4762" i="5"/>
  <c r="D4762" i="5"/>
  <c r="O4762" i="5" s="1"/>
  <c r="Q4762" i="5" s="1"/>
  <c r="P4761" i="5"/>
  <c r="N4761" i="5"/>
  <c r="D4761" i="5"/>
  <c r="O4761" i="5" s="1"/>
  <c r="Q4761" i="5" s="1"/>
  <c r="P4760" i="5"/>
  <c r="N4760" i="5"/>
  <c r="D4760" i="5"/>
  <c r="O4760" i="5" s="1"/>
  <c r="Q4760" i="5" s="1"/>
  <c r="P4759" i="5"/>
  <c r="N4759" i="5"/>
  <c r="D4759" i="5"/>
  <c r="O4759" i="5" s="1"/>
  <c r="Q4759" i="5" s="1"/>
  <c r="P4758" i="5"/>
  <c r="N4758" i="5"/>
  <c r="D4758" i="5"/>
  <c r="O4758" i="5" s="1"/>
  <c r="Q4758" i="5" s="1"/>
  <c r="P4757" i="5"/>
  <c r="N4757" i="5"/>
  <c r="D4757" i="5"/>
  <c r="O4757" i="5" s="1"/>
  <c r="Q4757" i="5" s="1"/>
  <c r="P4756" i="5"/>
  <c r="N4756" i="5"/>
  <c r="D4756" i="5"/>
  <c r="O4756" i="5" s="1"/>
  <c r="Q4756" i="5" s="1"/>
  <c r="P4755" i="5"/>
  <c r="N4755" i="5"/>
  <c r="D4755" i="5"/>
  <c r="O4755" i="5" s="1"/>
  <c r="Q4755" i="5" s="1"/>
  <c r="P4754" i="5"/>
  <c r="N4754" i="5"/>
  <c r="D4754" i="5"/>
  <c r="O4754" i="5" s="1"/>
  <c r="Q4754" i="5" s="1"/>
  <c r="P4753" i="5"/>
  <c r="N4753" i="5"/>
  <c r="D4753" i="5"/>
  <c r="O4753" i="5" s="1"/>
  <c r="Q4753" i="5" s="1"/>
  <c r="P4752" i="5"/>
  <c r="N4752" i="5"/>
  <c r="D4752" i="5"/>
  <c r="O4752" i="5" s="1"/>
  <c r="Q4752" i="5" s="1"/>
  <c r="P4751" i="5"/>
  <c r="N4751" i="5"/>
  <c r="D4751" i="5"/>
  <c r="O4751" i="5" s="1"/>
  <c r="Q4751" i="5" s="1"/>
  <c r="P4750" i="5"/>
  <c r="N4750" i="5"/>
  <c r="D4750" i="5"/>
  <c r="O4750" i="5" s="1"/>
  <c r="Q4750" i="5" s="1"/>
  <c r="P4749" i="5"/>
  <c r="N4749" i="5"/>
  <c r="D4749" i="5"/>
  <c r="O4749" i="5" s="1"/>
  <c r="Q4749" i="5" s="1"/>
  <c r="P4748" i="5"/>
  <c r="N4748" i="5"/>
  <c r="D4748" i="5"/>
  <c r="O4748" i="5" s="1"/>
  <c r="Q4748" i="5" s="1"/>
  <c r="P4747" i="5"/>
  <c r="N4747" i="5"/>
  <c r="D4747" i="5"/>
  <c r="O4747" i="5" s="1"/>
  <c r="Q4747" i="5" s="1"/>
  <c r="P4746" i="5"/>
  <c r="N4746" i="5"/>
  <c r="D4746" i="5"/>
  <c r="O4746" i="5" s="1"/>
  <c r="Q4746" i="5" s="1"/>
  <c r="P4745" i="5"/>
  <c r="N4745" i="5"/>
  <c r="D4745" i="5"/>
  <c r="O4745" i="5" s="1"/>
  <c r="Q4745" i="5" s="1"/>
  <c r="P4744" i="5"/>
  <c r="N4744" i="5"/>
  <c r="D4744" i="5"/>
  <c r="O4744" i="5" s="1"/>
  <c r="Q4744" i="5" s="1"/>
  <c r="P4743" i="5"/>
  <c r="N4743" i="5"/>
  <c r="D4743" i="5"/>
  <c r="O4743" i="5" s="1"/>
  <c r="Q4743" i="5" s="1"/>
  <c r="P4742" i="5"/>
  <c r="N4742" i="5"/>
  <c r="D4742" i="5"/>
  <c r="O4742" i="5" s="1"/>
  <c r="Q4742" i="5" s="1"/>
  <c r="P4741" i="5"/>
  <c r="N4741" i="5"/>
  <c r="D4741" i="5"/>
  <c r="O4741" i="5" s="1"/>
  <c r="Q4741" i="5" s="1"/>
  <c r="P4740" i="5"/>
  <c r="N4740" i="5"/>
  <c r="D4740" i="5"/>
  <c r="O4740" i="5" s="1"/>
  <c r="Q4740" i="5" s="1"/>
  <c r="P4739" i="5"/>
  <c r="N4739" i="5"/>
  <c r="D4739" i="5"/>
  <c r="Q4738" i="5"/>
  <c r="P4738" i="5"/>
  <c r="N4738" i="5"/>
  <c r="D4738" i="5"/>
  <c r="Q4737" i="5"/>
  <c r="P4737" i="5"/>
  <c r="N4737" i="5"/>
  <c r="D4737" i="5"/>
  <c r="P4736" i="5"/>
  <c r="N4736" i="5"/>
  <c r="D4736" i="5"/>
  <c r="O4736" i="5" s="1"/>
  <c r="Q4736" i="5" s="1"/>
  <c r="P4735" i="5"/>
  <c r="N4735" i="5"/>
  <c r="D4735" i="5"/>
  <c r="O4735" i="5" s="1"/>
  <c r="Q4735" i="5" s="1"/>
  <c r="P4734" i="5"/>
  <c r="N4734" i="5"/>
  <c r="D4734" i="5"/>
  <c r="O4734" i="5" s="1"/>
  <c r="Q4734" i="5" s="1"/>
  <c r="P4733" i="5"/>
  <c r="N4733" i="5"/>
  <c r="D4733" i="5"/>
  <c r="O4733" i="5" s="1"/>
  <c r="Q4733" i="5" s="1"/>
  <c r="P4732" i="5"/>
  <c r="N4732" i="5"/>
  <c r="D4732" i="5"/>
  <c r="O4732" i="5" s="1"/>
  <c r="Q4732" i="5" s="1"/>
  <c r="P4731" i="5"/>
  <c r="N4731" i="5"/>
  <c r="D4731" i="5"/>
  <c r="O4731" i="5" s="1"/>
  <c r="Q4731" i="5" s="1"/>
  <c r="P4730" i="5"/>
  <c r="N4730" i="5"/>
  <c r="D4730" i="5"/>
  <c r="O4730" i="5" s="1"/>
  <c r="Q4730" i="5" s="1"/>
  <c r="P4729" i="5"/>
  <c r="N4729" i="5"/>
  <c r="D4729" i="5"/>
  <c r="O4729" i="5" s="1"/>
  <c r="Q4729" i="5" s="1"/>
  <c r="P4728" i="5"/>
  <c r="N4728" i="5"/>
  <c r="D4728" i="5"/>
  <c r="O4728" i="5" s="1"/>
  <c r="Q4728" i="5" s="1"/>
  <c r="P4727" i="5"/>
  <c r="N4727" i="5"/>
  <c r="D4727" i="5"/>
  <c r="O4727" i="5" s="1"/>
  <c r="Q4727" i="5" s="1"/>
  <c r="P4726" i="5"/>
  <c r="N4726" i="5"/>
  <c r="D4726" i="5"/>
  <c r="O4726" i="5" s="1"/>
  <c r="Q4726" i="5" s="1"/>
  <c r="P4725" i="5"/>
  <c r="N4725" i="5"/>
  <c r="D4725" i="5"/>
  <c r="O4725" i="5" s="1"/>
  <c r="Q4725" i="5" s="1"/>
  <c r="P4724" i="5"/>
  <c r="N4724" i="5"/>
  <c r="D4724" i="5"/>
  <c r="O4724" i="5" s="1"/>
  <c r="Q4724" i="5" s="1"/>
  <c r="P4723" i="5"/>
  <c r="N4723" i="5"/>
  <c r="D4723" i="5"/>
  <c r="O4723" i="5" s="1"/>
  <c r="Q4723" i="5" s="1"/>
  <c r="P4722" i="5"/>
  <c r="N4722" i="5"/>
  <c r="D4722" i="5"/>
  <c r="O4722" i="5" s="1"/>
  <c r="Q4722" i="5" s="1"/>
  <c r="P4721" i="5"/>
  <c r="N4721" i="5"/>
  <c r="D4721" i="5"/>
  <c r="O4721" i="5" s="1"/>
  <c r="Q4721" i="5" s="1"/>
  <c r="P4720" i="5"/>
  <c r="N4720" i="5"/>
  <c r="D4720" i="5"/>
  <c r="P4719" i="5"/>
  <c r="N4719" i="5"/>
  <c r="D4719" i="5"/>
  <c r="O4719" i="5" s="1"/>
  <c r="Q4719" i="5" s="1"/>
  <c r="P4718" i="5"/>
  <c r="N4718" i="5"/>
  <c r="D4718" i="5"/>
  <c r="O4718" i="5" s="1"/>
  <c r="Q4718" i="5" s="1"/>
  <c r="P4717" i="5"/>
  <c r="N4717" i="5"/>
  <c r="D4717" i="5"/>
  <c r="O4717" i="5" s="1"/>
  <c r="Q4717" i="5" s="1"/>
  <c r="P4716" i="5"/>
  <c r="N4716" i="5"/>
  <c r="D4716" i="5"/>
  <c r="O4716" i="5" s="1"/>
  <c r="Q4716" i="5" s="1"/>
  <c r="P4715" i="5"/>
  <c r="N4715" i="5"/>
  <c r="D4715" i="5"/>
  <c r="O4715" i="5" s="1"/>
  <c r="Q4715" i="5" s="1"/>
  <c r="P4714" i="5"/>
  <c r="N4714" i="5"/>
  <c r="D4714" i="5"/>
  <c r="O4714" i="5" s="1"/>
  <c r="Q4714" i="5" s="1"/>
  <c r="P4713" i="5"/>
  <c r="N4713" i="5"/>
  <c r="D4713" i="5"/>
  <c r="O4713" i="5" s="1"/>
  <c r="Q4713" i="5" s="1"/>
  <c r="P4712" i="5"/>
  <c r="N4712" i="5"/>
  <c r="D4712" i="5"/>
  <c r="O4712" i="5" s="1"/>
  <c r="Q4712" i="5" s="1"/>
  <c r="P4711" i="5"/>
  <c r="N4711" i="5"/>
  <c r="D4711" i="5"/>
  <c r="O4711" i="5" s="1"/>
  <c r="Q4711" i="5" s="1"/>
  <c r="P4710" i="5"/>
  <c r="N4710" i="5"/>
  <c r="D4710" i="5"/>
  <c r="O4710" i="5" s="1"/>
  <c r="Q4710" i="5" s="1"/>
  <c r="P4709" i="5"/>
  <c r="N4709" i="5"/>
  <c r="D4709" i="5"/>
  <c r="O4709" i="5" s="1"/>
  <c r="Q4709" i="5" s="1"/>
  <c r="P4708" i="5"/>
  <c r="N4708" i="5"/>
  <c r="D4708" i="5"/>
  <c r="O4708" i="5" s="1"/>
  <c r="Q4708" i="5" s="1"/>
  <c r="P4707" i="5"/>
  <c r="N4707" i="5"/>
  <c r="D4707" i="5"/>
  <c r="O4707" i="5" s="1"/>
  <c r="Q4707" i="5" s="1"/>
  <c r="P4706" i="5"/>
  <c r="N4706" i="5"/>
  <c r="D4706" i="5"/>
  <c r="O4706" i="5" s="1"/>
  <c r="Q4706" i="5" s="1"/>
  <c r="P4705" i="5"/>
  <c r="N4705" i="5"/>
  <c r="D4705" i="5"/>
  <c r="O4705" i="5" s="1"/>
  <c r="Q4705" i="5" s="1"/>
  <c r="P4704" i="5"/>
  <c r="N4704" i="5"/>
  <c r="D4704" i="5"/>
  <c r="O4704" i="5" s="1"/>
  <c r="Q4704" i="5" s="1"/>
  <c r="P4703" i="5"/>
  <c r="N4703" i="5"/>
  <c r="D4703" i="5"/>
  <c r="P4702" i="5"/>
  <c r="N4702" i="5"/>
  <c r="D4702" i="5"/>
  <c r="O4702" i="5" s="1"/>
  <c r="Q4702" i="5" s="1"/>
  <c r="P4701" i="5"/>
  <c r="N4701" i="5"/>
  <c r="D4701" i="5"/>
  <c r="O4701" i="5" s="1"/>
  <c r="Q4701" i="5" s="1"/>
  <c r="P4700" i="5"/>
  <c r="N4700" i="5"/>
  <c r="D4700" i="5"/>
  <c r="O4700" i="5" s="1"/>
  <c r="Q4700" i="5" s="1"/>
  <c r="P4699" i="5"/>
  <c r="N4699" i="5"/>
  <c r="D4699" i="5"/>
  <c r="O4699" i="5" s="1"/>
  <c r="Q4699" i="5" s="1"/>
  <c r="P4698" i="5"/>
  <c r="N4698" i="5"/>
  <c r="D4698" i="5"/>
  <c r="P4697" i="5"/>
  <c r="N4697" i="5"/>
  <c r="D4697" i="5"/>
  <c r="O4697" i="5" s="1"/>
  <c r="Q4697" i="5" s="1"/>
  <c r="P4696" i="5"/>
  <c r="N4696" i="5"/>
  <c r="D4696" i="5"/>
  <c r="O4696" i="5" s="1"/>
  <c r="Q4696" i="5" s="1"/>
  <c r="P4695" i="5"/>
  <c r="N4695" i="5"/>
  <c r="D4695" i="5"/>
  <c r="O4695" i="5" s="1"/>
  <c r="Q4695" i="5" s="1"/>
  <c r="P4694" i="5"/>
  <c r="N4694" i="5"/>
  <c r="D4694" i="5"/>
  <c r="O4694" i="5" s="1"/>
  <c r="Q4694" i="5" s="1"/>
  <c r="P4693" i="5"/>
  <c r="N4693" i="5"/>
  <c r="D4693" i="5"/>
  <c r="O4693" i="5" s="1"/>
  <c r="Q4693" i="5" s="1"/>
  <c r="P4692" i="5"/>
  <c r="N4692" i="5"/>
  <c r="D4692" i="5"/>
  <c r="O4692" i="5" s="1"/>
  <c r="Q4692" i="5" s="1"/>
  <c r="P4691" i="5"/>
  <c r="N4691" i="5"/>
  <c r="D4691" i="5"/>
  <c r="O4691" i="5" s="1"/>
  <c r="Q4691" i="5" s="1"/>
  <c r="P4690" i="5"/>
  <c r="N4690" i="5"/>
  <c r="D4690" i="5"/>
  <c r="O4690" i="5" s="1"/>
  <c r="Q4690" i="5" s="1"/>
  <c r="P4689" i="5"/>
  <c r="N4689" i="5"/>
  <c r="D4689" i="5"/>
  <c r="O4689" i="5" s="1"/>
  <c r="Q4689" i="5" s="1"/>
  <c r="P4688" i="5"/>
  <c r="N4688" i="5"/>
  <c r="D4688" i="5"/>
  <c r="O4688" i="5" s="1"/>
  <c r="Q4688" i="5" s="1"/>
  <c r="P4687" i="5"/>
  <c r="N4687" i="5"/>
  <c r="D4687" i="5"/>
  <c r="O4687" i="5" s="1"/>
  <c r="Q4687" i="5" s="1"/>
  <c r="P4686" i="5"/>
  <c r="N4686" i="5"/>
  <c r="D4686" i="5"/>
  <c r="O4686" i="5" s="1"/>
  <c r="Q4686" i="5" s="1"/>
  <c r="P4685" i="5"/>
  <c r="N4685" i="5"/>
  <c r="D4685" i="5"/>
  <c r="P4684" i="5"/>
  <c r="N4684" i="5"/>
  <c r="D4684" i="5"/>
  <c r="P4683" i="5"/>
  <c r="N4683" i="5"/>
  <c r="D4683" i="5"/>
  <c r="O4683" i="5" s="1"/>
  <c r="Q4683" i="5" s="1"/>
  <c r="P4682" i="5"/>
  <c r="N4682" i="5"/>
  <c r="D4682" i="5"/>
  <c r="O4682" i="5" s="1"/>
  <c r="Q4682" i="5" s="1"/>
  <c r="P4681" i="5"/>
  <c r="N4681" i="5"/>
  <c r="D4681" i="5"/>
  <c r="O4681" i="5" s="1"/>
  <c r="Q4681" i="5" s="1"/>
  <c r="P4680" i="5"/>
  <c r="N4680" i="5"/>
  <c r="D4680" i="5"/>
  <c r="O4680" i="5" s="1"/>
  <c r="Q4680" i="5" s="1"/>
  <c r="P4679" i="5"/>
  <c r="N4679" i="5"/>
  <c r="D4679" i="5"/>
  <c r="O4679" i="5" s="1"/>
  <c r="Q4679" i="5" s="1"/>
  <c r="P4678" i="5"/>
  <c r="N4678" i="5"/>
  <c r="D4678" i="5"/>
  <c r="O4678" i="5" s="1"/>
  <c r="Q4678" i="5" s="1"/>
  <c r="P4677" i="5"/>
  <c r="N4677" i="5"/>
  <c r="D4677" i="5"/>
  <c r="O4677" i="5" s="1"/>
  <c r="Q4677" i="5" s="1"/>
  <c r="P4676" i="5"/>
  <c r="N4676" i="5"/>
  <c r="D4676" i="5"/>
  <c r="O4676" i="5" s="1"/>
  <c r="Q4676" i="5" s="1"/>
  <c r="P4675" i="5"/>
  <c r="N4675" i="5"/>
  <c r="D4675" i="5"/>
  <c r="O4675" i="5" s="1"/>
  <c r="Q4675" i="5" s="1"/>
  <c r="P4674" i="5"/>
  <c r="N4674" i="5"/>
  <c r="D4674" i="5"/>
  <c r="O4674" i="5" s="1"/>
  <c r="Q4674" i="5" s="1"/>
  <c r="P4673" i="5"/>
  <c r="N4673" i="5"/>
  <c r="D4673" i="5"/>
  <c r="O4673" i="5" s="1"/>
  <c r="Q4673" i="5" s="1"/>
  <c r="P4672" i="5"/>
  <c r="N4672" i="5"/>
  <c r="D4672" i="5"/>
  <c r="O4672" i="5" s="1"/>
  <c r="Q4672" i="5" s="1"/>
  <c r="P4671" i="5"/>
  <c r="N4671" i="5"/>
  <c r="D4671" i="5"/>
  <c r="O4671" i="5" s="1"/>
  <c r="Q4671" i="5" s="1"/>
  <c r="P4670" i="5"/>
  <c r="N4670" i="5"/>
  <c r="D4670" i="5"/>
  <c r="O4670" i="5" s="1"/>
  <c r="Q4670" i="5" s="1"/>
  <c r="P4669" i="5"/>
  <c r="N4669" i="5"/>
  <c r="D4669" i="5"/>
  <c r="O4669" i="5" s="1"/>
  <c r="Q4669" i="5" s="1"/>
  <c r="P4668" i="5"/>
  <c r="N4668" i="5"/>
  <c r="D4668" i="5"/>
  <c r="O4668" i="5" s="1"/>
  <c r="Q4668" i="5" s="1"/>
  <c r="P4667" i="5"/>
  <c r="N4667" i="5"/>
  <c r="D4667" i="5"/>
  <c r="O4667" i="5" s="1"/>
  <c r="Q4667" i="5" s="1"/>
  <c r="P4666" i="5"/>
  <c r="N4666" i="5"/>
  <c r="D4666" i="5"/>
  <c r="O4666" i="5" s="1"/>
  <c r="Q4666" i="5" s="1"/>
  <c r="P4665" i="5"/>
  <c r="N4665" i="5"/>
  <c r="D4665" i="5"/>
  <c r="O4665" i="5" s="1"/>
  <c r="Q4665" i="5" s="1"/>
  <c r="P4664" i="5"/>
  <c r="N4664" i="5"/>
  <c r="D4664" i="5"/>
  <c r="P4663" i="5"/>
  <c r="N4663" i="5"/>
  <c r="D4663" i="5"/>
  <c r="O4663" i="5" s="1"/>
  <c r="Q4663" i="5" s="1"/>
  <c r="P4662" i="5"/>
  <c r="N4662" i="5"/>
  <c r="D4662" i="5"/>
  <c r="O4662" i="5" s="1"/>
  <c r="Q4662" i="5" s="1"/>
  <c r="P4661" i="5"/>
  <c r="N4661" i="5"/>
  <c r="D4661" i="5"/>
  <c r="O4661" i="5" s="1"/>
  <c r="Q4661" i="5" s="1"/>
  <c r="P4660" i="5"/>
  <c r="N4660" i="5"/>
  <c r="D4660" i="5"/>
  <c r="O4660" i="5" s="1"/>
  <c r="Q4660" i="5" s="1"/>
  <c r="P4659" i="5"/>
  <c r="N4659" i="5"/>
  <c r="D4659" i="5"/>
  <c r="O4659" i="5" s="1"/>
  <c r="Q4659" i="5" s="1"/>
  <c r="P4658" i="5"/>
  <c r="N4658" i="5"/>
  <c r="D4658" i="5"/>
  <c r="O4658" i="5" s="1"/>
  <c r="Q4658" i="5" s="1"/>
  <c r="P4657" i="5"/>
  <c r="N4657" i="5"/>
  <c r="D4657" i="5"/>
  <c r="O4657" i="5" s="1"/>
  <c r="Q4657" i="5" s="1"/>
  <c r="P4656" i="5"/>
  <c r="N4656" i="5"/>
  <c r="D4656" i="5"/>
  <c r="O4656" i="5" s="1"/>
  <c r="Q4656" i="5" s="1"/>
  <c r="P4655" i="5"/>
  <c r="N4655" i="5"/>
  <c r="D4655" i="5"/>
  <c r="O4655" i="5" s="1"/>
  <c r="Q4655" i="5" s="1"/>
  <c r="P4654" i="5"/>
  <c r="N4654" i="5"/>
  <c r="D4654" i="5"/>
  <c r="O4654" i="5" s="1"/>
  <c r="Q4654" i="5" s="1"/>
  <c r="P4653" i="5"/>
  <c r="N4653" i="5"/>
  <c r="D4653" i="5"/>
  <c r="P4652" i="5"/>
  <c r="N4652" i="5"/>
  <c r="D4652" i="5"/>
  <c r="O4652" i="5" s="1"/>
  <c r="Q4652" i="5" s="1"/>
  <c r="P4651" i="5"/>
  <c r="N4651" i="5"/>
  <c r="D4651" i="5"/>
  <c r="O4651" i="5" s="1"/>
  <c r="Q4651" i="5" s="1"/>
  <c r="P4650" i="5"/>
  <c r="N4650" i="5"/>
  <c r="D4650" i="5"/>
  <c r="O4650" i="5" s="1"/>
  <c r="Q4650" i="5" s="1"/>
  <c r="P4649" i="5"/>
  <c r="N4649" i="5"/>
  <c r="D4649" i="5"/>
  <c r="O4649" i="5" s="1"/>
  <c r="Q4649" i="5" s="1"/>
  <c r="P4648" i="5"/>
  <c r="N4648" i="5"/>
  <c r="D4648" i="5"/>
  <c r="O4648" i="5" s="1"/>
  <c r="Q4648" i="5" s="1"/>
  <c r="P4647" i="5"/>
  <c r="N4647" i="5"/>
  <c r="D4647" i="5"/>
  <c r="O4647" i="5" s="1"/>
  <c r="Q4647" i="5" s="1"/>
  <c r="P4646" i="5"/>
  <c r="N4646" i="5"/>
  <c r="D4646" i="5"/>
  <c r="O4646" i="5" s="1"/>
  <c r="Q4646" i="5" s="1"/>
  <c r="P4645" i="5"/>
  <c r="N4645" i="5"/>
  <c r="D4645" i="5"/>
  <c r="O4645" i="5" s="1"/>
  <c r="Q4645" i="5" s="1"/>
  <c r="P4644" i="5"/>
  <c r="N4644" i="5"/>
  <c r="D4644" i="5"/>
  <c r="P4643" i="5"/>
  <c r="N4643" i="5"/>
  <c r="D4643" i="5"/>
  <c r="O4643" i="5" s="1"/>
  <c r="Q4643" i="5" s="1"/>
  <c r="P4642" i="5"/>
  <c r="N4642" i="5"/>
  <c r="D4642" i="5"/>
  <c r="O4642" i="5" s="1"/>
  <c r="Q4642" i="5" s="1"/>
  <c r="P4641" i="5"/>
  <c r="N4641" i="5"/>
  <c r="D4641" i="5"/>
  <c r="O4641" i="5" s="1"/>
  <c r="Q4641" i="5" s="1"/>
  <c r="P4640" i="5"/>
  <c r="N4640" i="5"/>
  <c r="D4640" i="5"/>
  <c r="O4640" i="5" s="1"/>
  <c r="Q4640" i="5" s="1"/>
  <c r="P4639" i="5"/>
  <c r="N4639" i="5"/>
  <c r="D4639" i="5"/>
  <c r="O4639" i="5" s="1"/>
  <c r="Q4639" i="5" s="1"/>
  <c r="P4638" i="5"/>
  <c r="N4638" i="5"/>
  <c r="D4638" i="5"/>
  <c r="O4638" i="5" s="1"/>
  <c r="Q4638" i="5" s="1"/>
  <c r="P4637" i="5"/>
  <c r="N4637" i="5"/>
  <c r="D4637" i="5"/>
  <c r="O4637" i="5" s="1"/>
  <c r="Q4637" i="5" s="1"/>
  <c r="P4636" i="5"/>
  <c r="N4636" i="5"/>
  <c r="D4636" i="5"/>
  <c r="O4636" i="5" s="1"/>
  <c r="Q4636" i="5" s="1"/>
  <c r="P4635" i="5"/>
  <c r="N4635" i="5"/>
  <c r="D4635" i="5"/>
  <c r="O4635" i="5" s="1"/>
  <c r="Q4635" i="5" s="1"/>
  <c r="P4634" i="5"/>
  <c r="N4634" i="5"/>
  <c r="D4634" i="5"/>
  <c r="O4634" i="5" s="1"/>
  <c r="Q4634" i="5" s="1"/>
  <c r="P4633" i="5"/>
  <c r="N4633" i="5"/>
  <c r="D4633" i="5"/>
  <c r="O4633" i="5" s="1"/>
  <c r="Q4633" i="5" s="1"/>
  <c r="P4632" i="5"/>
  <c r="N4632" i="5"/>
  <c r="D4632" i="5"/>
  <c r="O4632" i="5" s="1"/>
  <c r="Q4632" i="5" s="1"/>
  <c r="P4631" i="5"/>
  <c r="N4631" i="5"/>
  <c r="D4631" i="5"/>
  <c r="O4631" i="5" s="1"/>
  <c r="Q4631" i="5" s="1"/>
  <c r="P4630" i="5"/>
  <c r="N4630" i="5"/>
  <c r="D4630" i="5"/>
  <c r="O4630" i="5" s="1"/>
  <c r="Q4630" i="5" s="1"/>
  <c r="P4629" i="5"/>
  <c r="N4629" i="5"/>
  <c r="D4629" i="5"/>
  <c r="O4629" i="5" s="1"/>
  <c r="Q4629" i="5" s="1"/>
  <c r="P4628" i="5"/>
  <c r="N4628" i="5"/>
  <c r="D4628" i="5"/>
  <c r="O4628" i="5" s="1"/>
  <c r="Q4628" i="5" s="1"/>
  <c r="P4627" i="5"/>
  <c r="N4627" i="5"/>
  <c r="D4627" i="5"/>
  <c r="O4627" i="5" s="1"/>
  <c r="Q4627" i="5" s="1"/>
  <c r="P4626" i="5"/>
  <c r="N4626" i="5"/>
  <c r="D4626" i="5"/>
  <c r="O4626" i="5" s="1"/>
  <c r="Q4626" i="5" s="1"/>
  <c r="P4625" i="5"/>
  <c r="N4625" i="5"/>
  <c r="D4625" i="5"/>
  <c r="O4625" i="5" s="1"/>
  <c r="Q4625" i="5" s="1"/>
  <c r="P4624" i="5"/>
  <c r="N4624" i="5"/>
  <c r="D4624" i="5"/>
  <c r="O4624" i="5" s="1"/>
  <c r="Q4624" i="5" s="1"/>
  <c r="P4623" i="5"/>
  <c r="N4623" i="5"/>
  <c r="D4623" i="5"/>
  <c r="O4623" i="5" s="1"/>
  <c r="Q4623" i="5" s="1"/>
  <c r="P4622" i="5"/>
  <c r="N4622" i="5"/>
  <c r="D4622" i="5"/>
  <c r="O4622" i="5" s="1"/>
  <c r="Q4622" i="5" s="1"/>
  <c r="P4621" i="5"/>
  <c r="N4621" i="5"/>
  <c r="D4621" i="5"/>
  <c r="O4621" i="5" s="1"/>
  <c r="Q4621" i="5" s="1"/>
  <c r="P4620" i="5"/>
  <c r="N4620" i="5"/>
  <c r="D4620" i="5"/>
  <c r="O4620" i="5" s="1"/>
  <c r="Q4620" i="5" s="1"/>
  <c r="P4619" i="5"/>
  <c r="N4619" i="5"/>
  <c r="D4619" i="5"/>
  <c r="O4619" i="5" s="1"/>
  <c r="Q4619" i="5" s="1"/>
  <c r="P4618" i="5"/>
  <c r="N4618" i="5"/>
  <c r="D4618" i="5"/>
  <c r="O4618" i="5" s="1"/>
  <c r="Q4618" i="5" s="1"/>
  <c r="P4617" i="5"/>
  <c r="N4617" i="5"/>
  <c r="D4617" i="5"/>
  <c r="P4616" i="5"/>
  <c r="N4616" i="5"/>
  <c r="D4616" i="5"/>
  <c r="O4616" i="5" s="1"/>
  <c r="Q4616" i="5" s="1"/>
  <c r="P4615" i="5"/>
  <c r="N4615" i="5"/>
  <c r="D4615" i="5"/>
  <c r="O4615" i="5" s="1"/>
  <c r="Q4615" i="5" s="1"/>
  <c r="P4614" i="5"/>
  <c r="N4614" i="5"/>
  <c r="D4614" i="5"/>
  <c r="O4614" i="5" s="1"/>
  <c r="Q4614" i="5" s="1"/>
  <c r="P4613" i="5"/>
  <c r="N4613" i="5"/>
  <c r="D4613" i="5"/>
  <c r="O4613" i="5" s="1"/>
  <c r="Q4613" i="5" s="1"/>
  <c r="P4612" i="5"/>
  <c r="N4612" i="5"/>
  <c r="D4612" i="5"/>
  <c r="O4612" i="5" s="1"/>
  <c r="Q4612" i="5" s="1"/>
  <c r="P4611" i="5"/>
  <c r="N4611" i="5"/>
  <c r="D4611" i="5"/>
  <c r="O4611" i="5" s="1"/>
  <c r="Q4611" i="5" s="1"/>
  <c r="P4610" i="5"/>
  <c r="N4610" i="5"/>
  <c r="D4610" i="5"/>
  <c r="O4610" i="5" s="1"/>
  <c r="Q4610" i="5" s="1"/>
  <c r="P4609" i="5"/>
  <c r="N4609" i="5"/>
  <c r="D4609" i="5"/>
  <c r="O4609" i="5" s="1"/>
  <c r="Q4609" i="5" s="1"/>
  <c r="P4608" i="5"/>
  <c r="N4608" i="5"/>
  <c r="D4608" i="5"/>
  <c r="O4608" i="5" s="1"/>
  <c r="Q4608" i="5" s="1"/>
  <c r="P4607" i="5"/>
  <c r="N4607" i="5"/>
  <c r="D4607" i="5"/>
  <c r="O4607" i="5" s="1"/>
  <c r="Q4607" i="5" s="1"/>
  <c r="P4606" i="5"/>
  <c r="N4606" i="5"/>
  <c r="D4606" i="5"/>
  <c r="O4606" i="5" s="1"/>
  <c r="Q4606" i="5" s="1"/>
  <c r="P4605" i="5"/>
  <c r="N4605" i="5"/>
  <c r="D4605" i="5"/>
  <c r="O4605" i="5" s="1"/>
  <c r="Q4605" i="5" s="1"/>
  <c r="P4604" i="5"/>
  <c r="N4604" i="5"/>
  <c r="D4604" i="5"/>
  <c r="O4604" i="5" s="1"/>
  <c r="Q4604" i="5" s="1"/>
  <c r="P4603" i="5"/>
  <c r="N4603" i="5"/>
  <c r="D4603" i="5"/>
  <c r="O4603" i="5" s="1"/>
  <c r="Q4603" i="5" s="1"/>
  <c r="P4602" i="5"/>
  <c r="N4602" i="5"/>
  <c r="D4602" i="5"/>
  <c r="O4602" i="5" s="1"/>
  <c r="Q4602" i="5" s="1"/>
  <c r="P4601" i="5"/>
  <c r="N4601" i="5"/>
  <c r="D4601" i="5"/>
  <c r="O4601" i="5" s="1"/>
  <c r="Q4601" i="5" s="1"/>
  <c r="P4600" i="5"/>
  <c r="N4600" i="5"/>
  <c r="D4600" i="5"/>
  <c r="O4600" i="5" s="1"/>
  <c r="Q4600" i="5" s="1"/>
  <c r="P4599" i="5"/>
  <c r="N4599" i="5"/>
  <c r="D4599" i="5"/>
  <c r="O4599" i="5" s="1"/>
  <c r="Q4599" i="5" s="1"/>
  <c r="P4598" i="5"/>
  <c r="N4598" i="5"/>
  <c r="D4598" i="5"/>
  <c r="O4598" i="5" s="1"/>
  <c r="Q4598" i="5" s="1"/>
  <c r="P4597" i="5"/>
  <c r="N4597" i="5"/>
  <c r="D4597" i="5"/>
  <c r="O4597" i="5" s="1"/>
  <c r="Q4597" i="5" s="1"/>
  <c r="P4596" i="5"/>
  <c r="N4596" i="5"/>
  <c r="D4596" i="5"/>
  <c r="O4596" i="5" s="1"/>
  <c r="Q4596" i="5" s="1"/>
  <c r="P4595" i="5"/>
  <c r="N4595" i="5"/>
  <c r="D4595" i="5"/>
  <c r="O4595" i="5" s="1"/>
  <c r="Q4595" i="5" s="1"/>
  <c r="P4594" i="5"/>
  <c r="N4594" i="5"/>
  <c r="D4594" i="5"/>
  <c r="O4594" i="5" s="1"/>
  <c r="Q4594" i="5" s="1"/>
  <c r="P4593" i="5"/>
  <c r="N4593" i="5"/>
  <c r="D4593" i="5"/>
  <c r="P4592" i="5"/>
  <c r="N4592" i="5"/>
  <c r="D4592" i="5"/>
  <c r="O4592" i="5" s="1"/>
  <c r="Q4592" i="5" s="1"/>
  <c r="P4591" i="5"/>
  <c r="N4591" i="5"/>
  <c r="D4591" i="5"/>
  <c r="O4591" i="5" s="1"/>
  <c r="Q4591" i="5" s="1"/>
  <c r="P4590" i="5"/>
  <c r="N4590" i="5"/>
  <c r="D4590" i="5"/>
  <c r="O4590" i="5" s="1"/>
  <c r="Q4590" i="5" s="1"/>
  <c r="P4589" i="5"/>
  <c r="N4589" i="5"/>
  <c r="D4589" i="5"/>
  <c r="O4589" i="5" s="1"/>
  <c r="Q4589" i="5" s="1"/>
  <c r="P4588" i="5"/>
  <c r="N4588" i="5"/>
  <c r="D4588" i="5"/>
  <c r="P4587" i="5"/>
  <c r="N4587" i="5"/>
  <c r="D4587" i="5"/>
  <c r="O4587" i="5" s="1"/>
  <c r="Q4587" i="5" s="1"/>
  <c r="P4586" i="5"/>
  <c r="N4586" i="5"/>
  <c r="D4586" i="5"/>
  <c r="O4586" i="5" s="1"/>
  <c r="Q4586" i="5" s="1"/>
  <c r="P4585" i="5"/>
  <c r="N4585" i="5"/>
  <c r="D4585" i="5"/>
  <c r="O4585" i="5" s="1"/>
  <c r="Q4585" i="5" s="1"/>
  <c r="P4584" i="5"/>
  <c r="N4584" i="5"/>
  <c r="D4584" i="5"/>
  <c r="O4584" i="5" s="1"/>
  <c r="Q4584" i="5" s="1"/>
  <c r="P4583" i="5"/>
  <c r="N4583" i="5"/>
  <c r="D4583" i="5"/>
  <c r="O4583" i="5" s="1"/>
  <c r="Q4583" i="5" s="1"/>
  <c r="P4582" i="5"/>
  <c r="N4582" i="5"/>
  <c r="D4582" i="5"/>
  <c r="O4582" i="5" s="1"/>
  <c r="Q4582" i="5" s="1"/>
  <c r="P4581" i="5"/>
  <c r="N4581" i="5"/>
  <c r="D4581" i="5"/>
  <c r="O4581" i="5" s="1"/>
  <c r="Q4581" i="5" s="1"/>
  <c r="P4580" i="5"/>
  <c r="N4580" i="5"/>
  <c r="D4580" i="5"/>
  <c r="O4580" i="5" s="1"/>
  <c r="Q4580" i="5" s="1"/>
  <c r="P4579" i="5"/>
  <c r="N4579" i="5"/>
  <c r="D4579" i="5"/>
  <c r="O4579" i="5" s="1"/>
  <c r="Q4579" i="5" s="1"/>
  <c r="P4578" i="5"/>
  <c r="N4578" i="5"/>
  <c r="D4578" i="5"/>
  <c r="O4578" i="5" s="1"/>
  <c r="Q4578" i="5" s="1"/>
  <c r="P4577" i="5"/>
  <c r="N4577" i="5"/>
  <c r="D4577" i="5"/>
  <c r="O4577" i="5" s="1"/>
  <c r="Q4577" i="5" s="1"/>
  <c r="P4576" i="5"/>
  <c r="N4576" i="5"/>
  <c r="D4576" i="5"/>
  <c r="O4576" i="5" s="1"/>
  <c r="Q4576" i="5" s="1"/>
  <c r="P4575" i="5"/>
  <c r="N4575" i="5"/>
  <c r="D4575" i="5"/>
  <c r="O4575" i="5" s="1"/>
  <c r="Q4575" i="5" s="1"/>
  <c r="P4574" i="5"/>
  <c r="N4574" i="5"/>
  <c r="D4574" i="5"/>
  <c r="O4574" i="5" s="1"/>
  <c r="Q4574" i="5" s="1"/>
  <c r="P4573" i="5"/>
  <c r="N4573" i="5"/>
  <c r="D4573" i="5"/>
  <c r="O4573" i="5" s="1"/>
  <c r="Q4573" i="5" s="1"/>
  <c r="P4572" i="5"/>
  <c r="N4572" i="5"/>
  <c r="D4572" i="5"/>
  <c r="P4571" i="5"/>
  <c r="N4571" i="5"/>
  <c r="D4571" i="5"/>
  <c r="O4571" i="5" s="1"/>
  <c r="Q4571" i="5" s="1"/>
  <c r="P4570" i="5"/>
  <c r="N4570" i="5"/>
  <c r="D4570" i="5"/>
  <c r="O4570" i="5" s="1"/>
  <c r="Q4570" i="5" s="1"/>
  <c r="P4569" i="5"/>
  <c r="N4569" i="5"/>
  <c r="D4569" i="5"/>
  <c r="O4569" i="5" s="1"/>
  <c r="Q4569" i="5" s="1"/>
  <c r="P4568" i="5"/>
  <c r="N4568" i="5"/>
  <c r="D4568" i="5"/>
  <c r="O4568" i="5" s="1"/>
  <c r="Q4568" i="5" s="1"/>
  <c r="P4567" i="5"/>
  <c r="N4567" i="5"/>
  <c r="D4567" i="5"/>
  <c r="O4567" i="5" s="1"/>
  <c r="Q4567" i="5" s="1"/>
  <c r="P4566" i="5"/>
  <c r="N4566" i="5"/>
  <c r="D4566" i="5"/>
  <c r="O4566" i="5" s="1"/>
  <c r="Q4566" i="5" s="1"/>
  <c r="P4565" i="5"/>
  <c r="N4565" i="5"/>
  <c r="D4565" i="5"/>
  <c r="O4565" i="5" s="1"/>
  <c r="Q4565" i="5" s="1"/>
  <c r="P4564" i="5"/>
  <c r="N4564" i="5"/>
  <c r="D4564" i="5"/>
  <c r="O4564" i="5" s="1"/>
  <c r="Q4564" i="5" s="1"/>
  <c r="P4563" i="5"/>
  <c r="N4563" i="5"/>
  <c r="D4563" i="5"/>
  <c r="O4563" i="5" s="1"/>
  <c r="Q4563" i="5" s="1"/>
  <c r="P4562" i="5"/>
  <c r="N4562" i="5"/>
  <c r="D4562" i="5"/>
  <c r="O4562" i="5" s="1"/>
  <c r="Q4562" i="5" s="1"/>
  <c r="P4561" i="5"/>
  <c r="N4561" i="5"/>
  <c r="D4561" i="5"/>
  <c r="O4561" i="5" s="1"/>
  <c r="Q4561" i="5" s="1"/>
  <c r="P4560" i="5"/>
  <c r="N4560" i="5"/>
  <c r="D4560" i="5"/>
  <c r="O4560" i="5" s="1"/>
  <c r="Q4560" i="5" s="1"/>
  <c r="P4559" i="5"/>
  <c r="N4559" i="5"/>
  <c r="D4559" i="5"/>
  <c r="P4558" i="5"/>
  <c r="N4558" i="5"/>
  <c r="D4558" i="5"/>
  <c r="O4558" i="5" s="1"/>
  <c r="Q4558" i="5" s="1"/>
  <c r="P4557" i="5"/>
  <c r="N4557" i="5"/>
  <c r="D4557" i="5"/>
  <c r="O4557" i="5" s="1"/>
  <c r="Q4557" i="5" s="1"/>
  <c r="P4556" i="5"/>
  <c r="N4556" i="5"/>
  <c r="D4556" i="5"/>
  <c r="O4556" i="5" s="1"/>
  <c r="Q4556" i="5" s="1"/>
  <c r="P4555" i="5"/>
  <c r="N4555" i="5"/>
  <c r="D4555" i="5"/>
  <c r="O4555" i="5" s="1"/>
  <c r="Q4555" i="5" s="1"/>
  <c r="P4554" i="5"/>
  <c r="N4554" i="5"/>
  <c r="D4554" i="5"/>
  <c r="O4554" i="5" s="1"/>
  <c r="Q4554" i="5" s="1"/>
  <c r="P4553" i="5"/>
  <c r="N4553" i="5"/>
  <c r="D4553" i="5"/>
  <c r="O4553" i="5" s="1"/>
  <c r="Q4553" i="5" s="1"/>
  <c r="P4552" i="5"/>
  <c r="N4552" i="5"/>
  <c r="D4552" i="5"/>
  <c r="O4552" i="5" s="1"/>
  <c r="Q4552" i="5" s="1"/>
  <c r="P4551" i="5"/>
  <c r="N4551" i="5"/>
  <c r="D4551" i="5"/>
  <c r="O4551" i="5" s="1"/>
  <c r="Q4551" i="5" s="1"/>
  <c r="P4550" i="5"/>
  <c r="N4550" i="5"/>
  <c r="D4550" i="5"/>
  <c r="O4550" i="5" s="1"/>
  <c r="Q4550" i="5" s="1"/>
  <c r="P4549" i="5"/>
  <c r="N4549" i="5"/>
  <c r="D4549" i="5"/>
  <c r="O4549" i="5" s="1"/>
  <c r="Q4549" i="5" s="1"/>
  <c r="P4548" i="5"/>
  <c r="N4548" i="5"/>
  <c r="D4548" i="5"/>
  <c r="O4548" i="5" s="1"/>
  <c r="Q4548" i="5" s="1"/>
  <c r="P4547" i="5"/>
  <c r="N4547" i="5"/>
  <c r="D4547" i="5"/>
  <c r="O4547" i="5" s="1"/>
  <c r="Q4547" i="5" s="1"/>
  <c r="P4546" i="5"/>
  <c r="N4546" i="5"/>
  <c r="D4546" i="5"/>
  <c r="O4546" i="5" s="1"/>
  <c r="Q4546" i="5" s="1"/>
  <c r="P4545" i="5"/>
  <c r="N4545" i="5"/>
  <c r="D4545" i="5"/>
  <c r="O4545" i="5" s="1"/>
  <c r="Q4545" i="5" s="1"/>
  <c r="P4544" i="5"/>
  <c r="N4544" i="5"/>
  <c r="D4544" i="5"/>
  <c r="O4544" i="5" s="1"/>
  <c r="Q4544" i="5" s="1"/>
  <c r="P4543" i="5"/>
  <c r="N4543" i="5"/>
  <c r="D4543" i="5"/>
  <c r="O4543" i="5" s="1"/>
  <c r="Q4543" i="5" s="1"/>
  <c r="P4542" i="5"/>
  <c r="N4542" i="5"/>
  <c r="D4542" i="5"/>
  <c r="O4542" i="5" s="1"/>
  <c r="Q4542" i="5" s="1"/>
  <c r="P4541" i="5"/>
  <c r="N4541" i="5"/>
  <c r="D4541" i="5"/>
  <c r="O4541" i="5" s="1"/>
  <c r="Q4541" i="5" s="1"/>
  <c r="P4540" i="5"/>
  <c r="N4540" i="5"/>
  <c r="D4540" i="5"/>
  <c r="O4540" i="5" s="1"/>
  <c r="Q4540" i="5" s="1"/>
  <c r="P4539" i="5"/>
  <c r="N4539" i="5"/>
  <c r="D4539" i="5"/>
  <c r="O4539" i="5" s="1"/>
  <c r="Q4539" i="5" s="1"/>
  <c r="P4538" i="5"/>
  <c r="N4538" i="5"/>
  <c r="D4538" i="5"/>
  <c r="O4538" i="5" s="1"/>
  <c r="Q4538" i="5" s="1"/>
  <c r="P4537" i="5"/>
  <c r="N4537" i="5"/>
  <c r="D4537" i="5"/>
  <c r="P4536" i="5"/>
  <c r="N4536" i="5"/>
  <c r="D4536" i="5"/>
  <c r="O4536" i="5" s="1"/>
  <c r="Q4536" i="5" s="1"/>
  <c r="P4535" i="5"/>
  <c r="N4535" i="5"/>
  <c r="D4535" i="5"/>
  <c r="O4535" i="5" s="1"/>
  <c r="Q4535" i="5" s="1"/>
  <c r="P4534" i="5"/>
  <c r="N4534" i="5"/>
  <c r="D4534" i="5"/>
  <c r="O4534" i="5" s="1"/>
  <c r="Q4534" i="5" s="1"/>
  <c r="P4533" i="5"/>
  <c r="N4533" i="5"/>
  <c r="D4533" i="5"/>
  <c r="O4533" i="5" s="1"/>
  <c r="Q4533" i="5" s="1"/>
  <c r="Q4532" i="5"/>
  <c r="P4532" i="5"/>
  <c r="N4532" i="5"/>
  <c r="D4532" i="5"/>
  <c r="Q4531" i="5"/>
  <c r="P4531" i="5"/>
  <c r="N4531" i="5"/>
  <c r="D4531" i="5"/>
  <c r="Q4530" i="5"/>
  <c r="P4530" i="5"/>
  <c r="N4530" i="5"/>
  <c r="D4530" i="5"/>
  <c r="Q4529" i="5"/>
  <c r="P4529" i="5"/>
  <c r="N4529" i="5"/>
  <c r="D4529" i="5"/>
  <c r="Q4528" i="5"/>
  <c r="P4528" i="5"/>
  <c r="N4528" i="5"/>
  <c r="D4528" i="5"/>
  <c r="Q4527" i="5"/>
  <c r="P4527" i="5"/>
  <c r="N4527" i="5"/>
  <c r="D4527" i="5"/>
  <c r="Q4526" i="5"/>
  <c r="P4526" i="5"/>
  <c r="N4526" i="5"/>
  <c r="D4526" i="5"/>
  <c r="P4525" i="5"/>
  <c r="N4525" i="5"/>
  <c r="D4525" i="5"/>
  <c r="O4525" i="5" s="1"/>
  <c r="Q4525" i="5" s="1"/>
  <c r="P4524" i="5"/>
  <c r="N4524" i="5"/>
  <c r="D4524" i="5"/>
  <c r="O4524" i="5" s="1"/>
  <c r="Q4524" i="5" s="1"/>
  <c r="P4523" i="5"/>
  <c r="N4523" i="5"/>
  <c r="D4523" i="5"/>
  <c r="O4523" i="5" s="1"/>
  <c r="Q4523" i="5" s="1"/>
  <c r="P4522" i="5"/>
  <c r="N4522" i="5"/>
  <c r="D4522" i="5"/>
  <c r="O4522" i="5" s="1"/>
  <c r="Q4522" i="5" s="1"/>
  <c r="P4521" i="5"/>
  <c r="N4521" i="5"/>
  <c r="D4521" i="5"/>
  <c r="O4521" i="5" s="1"/>
  <c r="Q4521" i="5" s="1"/>
  <c r="P4520" i="5"/>
  <c r="N4520" i="5"/>
  <c r="D4520" i="5"/>
  <c r="O4520" i="5" s="1"/>
  <c r="Q4520" i="5" s="1"/>
  <c r="P4519" i="5"/>
  <c r="N4519" i="5"/>
  <c r="D4519" i="5"/>
  <c r="O4519" i="5" s="1"/>
  <c r="Q4519" i="5" s="1"/>
  <c r="P4518" i="5"/>
  <c r="N4518" i="5"/>
  <c r="D4518" i="5"/>
  <c r="O4518" i="5" s="1"/>
  <c r="Q4518" i="5" s="1"/>
  <c r="P4517" i="5"/>
  <c r="N4517" i="5"/>
  <c r="D4517" i="5"/>
  <c r="O4517" i="5" s="1"/>
  <c r="Q4517" i="5" s="1"/>
  <c r="P4516" i="5"/>
  <c r="N4516" i="5"/>
  <c r="D4516" i="5"/>
  <c r="O4516" i="5" s="1"/>
  <c r="Q4516" i="5" s="1"/>
  <c r="P4515" i="5"/>
  <c r="N4515" i="5"/>
  <c r="D4515" i="5"/>
  <c r="O4515" i="5" s="1"/>
  <c r="Q4515" i="5" s="1"/>
  <c r="P4514" i="5"/>
  <c r="N4514" i="5"/>
  <c r="D4514" i="5"/>
  <c r="O4514" i="5" s="1"/>
  <c r="Q4514" i="5" s="1"/>
  <c r="P4513" i="5"/>
  <c r="N4513" i="5"/>
  <c r="D4513" i="5"/>
  <c r="O4513" i="5" s="1"/>
  <c r="Q4513" i="5" s="1"/>
  <c r="P4512" i="5"/>
  <c r="N4512" i="5"/>
  <c r="D4512" i="5"/>
  <c r="O4512" i="5" s="1"/>
  <c r="Q4512" i="5" s="1"/>
  <c r="P4511" i="5"/>
  <c r="N4511" i="5"/>
  <c r="D4511" i="5"/>
  <c r="O4511" i="5" s="1"/>
  <c r="Q4511" i="5" s="1"/>
  <c r="P4510" i="5"/>
  <c r="N4510" i="5"/>
  <c r="D4510" i="5"/>
  <c r="O4510" i="5" s="1"/>
  <c r="Q4510" i="5" s="1"/>
  <c r="P4509" i="5"/>
  <c r="N4509" i="5"/>
  <c r="D4509" i="5"/>
  <c r="O4509" i="5" s="1"/>
  <c r="Q4509" i="5" s="1"/>
  <c r="P4508" i="5"/>
  <c r="N4508" i="5"/>
  <c r="D4508" i="5"/>
  <c r="O4508" i="5" s="1"/>
  <c r="Q4508" i="5" s="1"/>
  <c r="P4507" i="5"/>
  <c r="N4507" i="5"/>
  <c r="D4507" i="5"/>
  <c r="P4506" i="5"/>
  <c r="N4506" i="5"/>
  <c r="D4506" i="5"/>
  <c r="O4506" i="5" s="1"/>
  <c r="Q4506" i="5" s="1"/>
  <c r="P4505" i="5"/>
  <c r="N4505" i="5"/>
  <c r="D4505" i="5"/>
  <c r="O4505" i="5" s="1"/>
  <c r="Q4505" i="5" s="1"/>
  <c r="P4504" i="5"/>
  <c r="N4504" i="5"/>
  <c r="D4504" i="5"/>
  <c r="O4504" i="5" s="1"/>
  <c r="Q4504" i="5" s="1"/>
  <c r="P4503" i="5"/>
  <c r="N4503" i="5"/>
  <c r="D4503" i="5"/>
  <c r="O4503" i="5" s="1"/>
  <c r="Q4503" i="5" s="1"/>
  <c r="P4502" i="5"/>
  <c r="N4502" i="5"/>
  <c r="D4502" i="5"/>
  <c r="O4502" i="5" s="1"/>
  <c r="Q4502" i="5" s="1"/>
  <c r="P4501" i="5"/>
  <c r="N4501" i="5"/>
  <c r="D4501" i="5"/>
  <c r="O4501" i="5" s="1"/>
  <c r="Q4501" i="5" s="1"/>
  <c r="P4500" i="5"/>
  <c r="N4500" i="5"/>
  <c r="D4500" i="5"/>
  <c r="O4500" i="5" s="1"/>
  <c r="Q4500" i="5" s="1"/>
  <c r="P4499" i="5"/>
  <c r="N4499" i="5"/>
  <c r="D4499" i="5"/>
  <c r="O4499" i="5" s="1"/>
  <c r="Q4499" i="5" s="1"/>
  <c r="P4498" i="5"/>
  <c r="N4498" i="5"/>
  <c r="D4498" i="5"/>
  <c r="P4497" i="5"/>
  <c r="N4497" i="5"/>
  <c r="D4497" i="5"/>
  <c r="O4497" i="5" s="1"/>
  <c r="Q4497" i="5" s="1"/>
  <c r="P4496" i="5"/>
  <c r="N4496" i="5"/>
  <c r="D4496" i="5"/>
  <c r="O4496" i="5" s="1"/>
  <c r="Q4496" i="5" s="1"/>
  <c r="P4495" i="5"/>
  <c r="N4495" i="5"/>
  <c r="D4495" i="5"/>
  <c r="O4495" i="5" s="1"/>
  <c r="Q4495" i="5" s="1"/>
  <c r="P4494" i="5"/>
  <c r="N4494" i="5"/>
  <c r="D4494" i="5"/>
  <c r="O4494" i="5" s="1"/>
  <c r="Q4494" i="5" s="1"/>
  <c r="P4493" i="5"/>
  <c r="N4493" i="5"/>
  <c r="D4493" i="5"/>
  <c r="O4493" i="5" s="1"/>
  <c r="Q4493" i="5" s="1"/>
  <c r="P4492" i="5"/>
  <c r="N4492" i="5"/>
  <c r="D4492" i="5"/>
  <c r="O4492" i="5" s="1"/>
  <c r="Q4492" i="5" s="1"/>
  <c r="P4491" i="5"/>
  <c r="N4491" i="5"/>
  <c r="D4491" i="5"/>
  <c r="O4491" i="5" s="1"/>
  <c r="Q4491" i="5" s="1"/>
  <c r="P4490" i="5"/>
  <c r="N4490" i="5"/>
  <c r="D4490" i="5"/>
  <c r="O4490" i="5" s="1"/>
  <c r="Q4490" i="5" s="1"/>
  <c r="P4489" i="5"/>
  <c r="N4489" i="5"/>
  <c r="D4489" i="5"/>
  <c r="O4489" i="5" s="1"/>
  <c r="Q4489" i="5" s="1"/>
  <c r="P4488" i="5"/>
  <c r="N4488" i="5"/>
  <c r="D4488" i="5"/>
  <c r="O4488" i="5" s="1"/>
  <c r="Q4488" i="5" s="1"/>
  <c r="P4487" i="5"/>
  <c r="N4487" i="5"/>
  <c r="D4487" i="5"/>
  <c r="O4487" i="5" s="1"/>
  <c r="Q4487" i="5" s="1"/>
  <c r="P4486" i="5"/>
  <c r="N4486" i="5"/>
  <c r="D4486" i="5"/>
  <c r="O4486" i="5" s="1"/>
  <c r="Q4486" i="5" s="1"/>
  <c r="P4485" i="5"/>
  <c r="N4485" i="5"/>
  <c r="D4485" i="5"/>
  <c r="O4485" i="5" s="1"/>
  <c r="Q4485" i="5" s="1"/>
  <c r="P4484" i="5"/>
  <c r="N4484" i="5"/>
  <c r="D4484" i="5"/>
  <c r="O4484" i="5" s="1"/>
  <c r="Q4484" i="5" s="1"/>
  <c r="P4483" i="5"/>
  <c r="N4483" i="5"/>
  <c r="D4483" i="5"/>
  <c r="O4483" i="5" s="1"/>
  <c r="Q4483" i="5" s="1"/>
  <c r="P4482" i="5"/>
  <c r="N4482" i="5"/>
  <c r="D4482" i="5"/>
  <c r="O4482" i="5" s="1"/>
  <c r="Q4482" i="5" s="1"/>
  <c r="P4481" i="5"/>
  <c r="N4481" i="5"/>
  <c r="D4481" i="5"/>
  <c r="O4481" i="5" s="1"/>
  <c r="Q4481" i="5" s="1"/>
  <c r="P4480" i="5"/>
  <c r="N4480" i="5"/>
  <c r="D4480" i="5"/>
  <c r="O4480" i="5" s="1"/>
  <c r="Q4480" i="5" s="1"/>
  <c r="P4479" i="5"/>
  <c r="N4479" i="5"/>
  <c r="D4479" i="5"/>
  <c r="O4479" i="5" s="1"/>
  <c r="Q4479" i="5" s="1"/>
  <c r="P4478" i="5"/>
  <c r="N4478" i="5"/>
  <c r="D4478" i="5"/>
  <c r="O4478" i="5" s="1"/>
  <c r="Q4478" i="5" s="1"/>
  <c r="P4477" i="5"/>
  <c r="N4477" i="5"/>
  <c r="D4477" i="5"/>
  <c r="O4477" i="5" s="1"/>
  <c r="Q4477" i="5" s="1"/>
  <c r="P4476" i="5"/>
  <c r="N4476" i="5"/>
  <c r="D4476" i="5"/>
  <c r="O4476" i="5" s="1"/>
  <c r="Q4476" i="5" s="1"/>
  <c r="P4475" i="5"/>
  <c r="N4475" i="5"/>
  <c r="D4475" i="5"/>
  <c r="O4475" i="5" s="1"/>
  <c r="Q4475" i="5" s="1"/>
  <c r="P4474" i="5"/>
  <c r="N4474" i="5"/>
  <c r="D4474" i="5"/>
  <c r="O4474" i="5" s="1"/>
  <c r="Q4474" i="5" s="1"/>
  <c r="P4473" i="5"/>
  <c r="N4473" i="5"/>
  <c r="D4473" i="5"/>
  <c r="O4473" i="5" s="1"/>
  <c r="Q4473" i="5" s="1"/>
  <c r="P4472" i="5"/>
  <c r="N4472" i="5"/>
  <c r="D4472" i="5"/>
  <c r="O4472" i="5" s="1"/>
  <c r="Q4472" i="5" s="1"/>
  <c r="P4471" i="5"/>
  <c r="N4471" i="5"/>
  <c r="D4471" i="5"/>
  <c r="O4471" i="5" s="1"/>
  <c r="Q4471" i="5" s="1"/>
  <c r="P4470" i="5"/>
  <c r="N4470" i="5"/>
  <c r="D4470" i="5"/>
  <c r="O4470" i="5" s="1"/>
  <c r="Q4470" i="5" s="1"/>
  <c r="P4469" i="5"/>
  <c r="N4469" i="5"/>
  <c r="D4469" i="5"/>
  <c r="O4469" i="5" s="1"/>
  <c r="Q4469" i="5" s="1"/>
  <c r="P4468" i="5"/>
  <c r="N4468" i="5"/>
  <c r="D4468" i="5"/>
  <c r="O4468" i="5" s="1"/>
  <c r="Q4468" i="5" s="1"/>
  <c r="P4467" i="5"/>
  <c r="N4467" i="5"/>
  <c r="D4467" i="5"/>
  <c r="O4467" i="5" s="1"/>
  <c r="Q4467" i="5" s="1"/>
  <c r="P4466" i="5"/>
  <c r="N4466" i="5"/>
  <c r="D4466" i="5"/>
  <c r="O4466" i="5" s="1"/>
  <c r="Q4466" i="5" s="1"/>
  <c r="P4465" i="5"/>
  <c r="N4465" i="5"/>
  <c r="D4465" i="5"/>
  <c r="O4465" i="5" s="1"/>
  <c r="Q4465" i="5" s="1"/>
  <c r="P4464" i="5"/>
  <c r="N4464" i="5"/>
  <c r="D4464" i="5"/>
  <c r="O4464" i="5" s="1"/>
  <c r="Q4464" i="5" s="1"/>
  <c r="P4463" i="5"/>
  <c r="N4463" i="5"/>
  <c r="D4463" i="5"/>
  <c r="O4463" i="5" s="1"/>
  <c r="Q4463" i="5" s="1"/>
  <c r="P4462" i="5"/>
  <c r="N4462" i="5"/>
  <c r="D4462" i="5"/>
  <c r="O4462" i="5" s="1"/>
  <c r="Q4462" i="5" s="1"/>
  <c r="P4461" i="5"/>
  <c r="N4461" i="5"/>
  <c r="D4461" i="5"/>
  <c r="O4461" i="5" s="1"/>
  <c r="Q4461" i="5" s="1"/>
  <c r="P4460" i="5"/>
  <c r="N4460" i="5"/>
  <c r="D4460" i="5"/>
  <c r="O4460" i="5" s="1"/>
  <c r="Q4460" i="5" s="1"/>
  <c r="P4459" i="5"/>
  <c r="N4459" i="5"/>
  <c r="D4459" i="5"/>
  <c r="O4459" i="5" s="1"/>
  <c r="Q4459" i="5" s="1"/>
  <c r="P4458" i="5"/>
  <c r="N4458" i="5"/>
  <c r="D4458" i="5"/>
  <c r="O4458" i="5" s="1"/>
  <c r="Q4458" i="5" s="1"/>
  <c r="P4457" i="5"/>
  <c r="N4457" i="5"/>
  <c r="D4457" i="5"/>
  <c r="O4457" i="5" s="1"/>
  <c r="Q4457" i="5" s="1"/>
  <c r="P4456" i="5"/>
  <c r="N4456" i="5"/>
  <c r="D4456" i="5"/>
  <c r="O4456" i="5" s="1"/>
  <c r="Q4456" i="5" s="1"/>
  <c r="P4455" i="5"/>
  <c r="N4455" i="5"/>
  <c r="D4455" i="5"/>
  <c r="O4455" i="5" s="1"/>
  <c r="Q4455" i="5" s="1"/>
  <c r="P4454" i="5"/>
  <c r="N4454" i="5"/>
  <c r="D4454" i="5"/>
  <c r="O4454" i="5" s="1"/>
  <c r="Q4454" i="5" s="1"/>
  <c r="P4453" i="5"/>
  <c r="N4453" i="5"/>
  <c r="D4453" i="5"/>
  <c r="P4452" i="5"/>
  <c r="N4452" i="5"/>
  <c r="D4452" i="5"/>
  <c r="O4452" i="5" s="1"/>
  <c r="Q4452" i="5" s="1"/>
  <c r="P4451" i="5"/>
  <c r="N4451" i="5"/>
  <c r="D4451" i="5"/>
  <c r="O4451" i="5" s="1"/>
  <c r="Q4451" i="5" s="1"/>
  <c r="P4450" i="5"/>
  <c r="N4450" i="5"/>
  <c r="D4450" i="5"/>
  <c r="O4450" i="5" s="1"/>
  <c r="Q4450" i="5" s="1"/>
  <c r="P4449" i="5"/>
  <c r="N4449" i="5"/>
  <c r="D4449" i="5"/>
  <c r="O4449" i="5" s="1"/>
  <c r="Q4449" i="5" s="1"/>
  <c r="P4448" i="5"/>
  <c r="N4448" i="5"/>
  <c r="D4448" i="5"/>
  <c r="O4448" i="5" s="1"/>
  <c r="Q4448" i="5" s="1"/>
  <c r="P4447" i="5"/>
  <c r="N4447" i="5"/>
  <c r="D4447" i="5"/>
  <c r="O4447" i="5" s="1"/>
  <c r="Q4447" i="5" s="1"/>
  <c r="P4446" i="5"/>
  <c r="N4446" i="5"/>
  <c r="D4446" i="5"/>
  <c r="O4446" i="5" s="1"/>
  <c r="Q4446" i="5" s="1"/>
  <c r="P4445" i="5"/>
  <c r="N4445" i="5"/>
  <c r="D4445" i="5"/>
  <c r="O4445" i="5" s="1"/>
  <c r="Q4445" i="5" s="1"/>
  <c r="P4444" i="5"/>
  <c r="N4444" i="5"/>
  <c r="D4444" i="5"/>
  <c r="O4444" i="5" s="1"/>
  <c r="Q4444" i="5" s="1"/>
  <c r="P4443" i="5"/>
  <c r="N4443" i="5"/>
  <c r="D4443" i="5"/>
  <c r="O4443" i="5" s="1"/>
  <c r="Q4443" i="5" s="1"/>
  <c r="P4442" i="5"/>
  <c r="N4442" i="5"/>
  <c r="D4442" i="5"/>
  <c r="O4442" i="5" s="1"/>
  <c r="Q4442" i="5" s="1"/>
  <c r="P4441" i="5"/>
  <c r="N4441" i="5"/>
  <c r="D4441" i="5"/>
  <c r="O4441" i="5" s="1"/>
  <c r="Q4441" i="5" s="1"/>
  <c r="P4440" i="5"/>
  <c r="N4440" i="5"/>
  <c r="D4440" i="5"/>
  <c r="O4440" i="5" s="1"/>
  <c r="Q4440" i="5" s="1"/>
  <c r="P4439" i="5"/>
  <c r="N4439" i="5"/>
  <c r="D4439" i="5"/>
  <c r="O4439" i="5" s="1"/>
  <c r="Q4439" i="5" s="1"/>
  <c r="P4438" i="5"/>
  <c r="N4438" i="5"/>
  <c r="D4438" i="5"/>
  <c r="O4438" i="5" s="1"/>
  <c r="Q4438" i="5" s="1"/>
  <c r="P4437" i="5"/>
  <c r="N4437" i="5"/>
  <c r="D4437" i="5"/>
  <c r="O4437" i="5" s="1"/>
  <c r="Q4437" i="5" s="1"/>
  <c r="P4436" i="5"/>
  <c r="N4436" i="5"/>
  <c r="D4436" i="5"/>
  <c r="O4436" i="5" s="1"/>
  <c r="Q4436" i="5" s="1"/>
  <c r="P4435" i="5"/>
  <c r="N4435" i="5"/>
  <c r="D4435" i="5"/>
  <c r="O4435" i="5" s="1"/>
  <c r="Q4435" i="5" s="1"/>
  <c r="P4434" i="5"/>
  <c r="N4434" i="5"/>
  <c r="D4434" i="5"/>
  <c r="P4433" i="5"/>
  <c r="N4433" i="5"/>
  <c r="D4433" i="5"/>
  <c r="O4433" i="5" s="1"/>
  <c r="Q4433" i="5" s="1"/>
  <c r="P4432" i="5"/>
  <c r="N4432" i="5"/>
  <c r="D4432" i="5"/>
  <c r="O4432" i="5" s="1"/>
  <c r="Q4432" i="5" s="1"/>
  <c r="P4431" i="5"/>
  <c r="N4431" i="5"/>
  <c r="D4431" i="5"/>
  <c r="O4431" i="5" s="1"/>
  <c r="Q4431" i="5" s="1"/>
  <c r="P4430" i="5"/>
  <c r="N4430" i="5"/>
  <c r="D4430" i="5"/>
  <c r="O4430" i="5" s="1"/>
  <c r="Q4430" i="5" s="1"/>
  <c r="P4429" i="5"/>
  <c r="N4429" i="5"/>
  <c r="D4429" i="5"/>
  <c r="O4429" i="5" s="1"/>
  <c r="Q4429" i="5" s="1"/>
  <c r="P4428" i="5"/>
  <c r="N4428" i="5"/>
  <c r="D4428" i="5"/>
  <c r="O4428" i="5" s="1"/>
  <c r="Q4428" i="5" s="1"/>
  <c r="P4427" i="5"/>
  <c r="N4427" i="5"/>
  <c r="D4427" i="5"/>
  <c r="O4427" i="5" s="1"/>
  <c r="Q4427" i="5" s="1"/>
  <c r="P4426" i="5"/>
  <c r="N4426" i="5"/>
  <c r="D4426" i="5"/>
  <c r="O4426" i="5" s="1"/>
  <c r="Q4426" i="5" s="1"/>
  <c r="P4425" i="5"/>
  <c r="N4425" i="5"/>
  <c r="D4425" i="5"/>
  <c r="O4425" i="5" s="1"/>
  <c r="Q4425" i="5" s="1"/>
  <c r="P4424" i="5"/>
  <c r="N4424" i="5"/>
  <c r="D4424" i="5"/>
  <c r="O4424" i="5" s="1"/>
  <c r="Q4424" i="5" s="1"/>
  <c r="P4423" i="5"/>
  <c r="N4423" i="5"/>
  <c r="D4423" i="5"/>
  <c r="O4423" i="5" s="1"/>
  <c r="Q4423" i="5" s="1"/>
  <c r="P4422" i="5"/>
  <c r="N4422" i="5"/>
  <c r="D4422" i="5"/>
  <c r="O4422" i="5" s="1"/>
  <c r="Q4422" i="5" s="1"/>
  <c r="P4421" i="5"/>
  <c r="N4421" i="5"/>
  <c r="D4421" i="5"/>
  <c r="O4421" i="5" s="1"/>
  <c r="Q4421" i="5" s="1"/>
  <c r="P4420" i="5"/>
  <c r="N4420" i="5"/>
  <c r="D4420" i="5"/>
  <c r="O4420" i="5" s="1"/>
  <c r="Q4420" i="5" s="1"/>
  <c r="P4419" i="5"/>
  <c r="N4419" i="5"/>
  <c r="D4419" i="5"/>
  <c r="O4419" i="5" s="1"/>
  <c r="Q4419" i="5" s="1"/>
  <c r="P4418" i="5"/>
  <c r="N4418" i="5"/>
  <c r="D4418" i="5"/>
  <c r="O4418" i="5" s="1"/>
  <c r="Q4418" i="5" s="1"/>
  <c r="P4417" i="5"/>
  <c r="N4417" i="5"/>
  <c r="D4417" i="5"/>
  <c r="O4417" i="5" s="1"/>
  <c r="Q4417" i="5" s="1"/>
  <c r="P4416" i="5"/>
  <c r="N4416" i="5"/>
  <c r="D4416" i="5"/>
  <c r="O4416" i="5" s="1"/>
  <c r="Q4416" i="5" s="1"/>
  <c r="P4415" i="5"/>
  <c r="N4415" i="5"/>
  <c r="D4415" i="5"/>
  <c r="O4415" i="5" s="1"/>
  <c r="Q4415" i="5" s="1"/>
  <c r="P4414" i="5"/>
  <c r="N4414" i="5"/>
  <c r="D4414" i="5"/>
  <c r="O4414" i="5" s="1"/>
  <c r="Q4414" i="5" s="1"/>
  <c r="P4413" i="5"/>
  <c r="N4413" i="5"/>
  <c r="D4413" i="5"/>
  <c r="O4413" i="5" s="1"/>
  <c r="Q4413" i="5" s="1"/>
  <c r="P4412" i="5"/>
  <c r="N4412" i="5"/>
  <c r="D4412" i="5"/>
  <c r="O4412" i="5" s="1"/>
  <c r="Q4412" i="5" s="1"/>
  <c r="P4411" i="5"/>
  <c r="N4411" i="5"/>
  <c r="D4411" i="5"/>
  <c r="O4411" i="5" s="1"/>
  <c r="Q4411" i="5" s="1"/>
  <c r="P4410" i="5"/>
  <c r="N4410" i="5"/>
  <c r="D4410" i="5"/>
  <c r="O4410" i="5" s="1"/>
  <c r="Q4410" i="5" s="1"/>
  <c r="P4409" i="5"/>
  <c r="N4409" i="5"/>
  <c r="D4409" i="5"/>
  <c r="O4409" i="5" s="1"/>
  <c r="Q4409" i="5" s="1"/>
  <c r="P4408" i="5"/>
  <c r="N4408" i="5"/>
  <c r="D4408" i="5"/>
  <c r="O4408" i="5" s="1"/>
  <c r="Q4408" i="5" s="1"/>
  <c r="P4407" i="5"/>
  <c r="N4407" i="5"/>
  <c r="D4407" i="5"/>
  <c r="O4407" i="5" s="1"/>
  <c r="Q4407" i="5" s="1"/>
  <c r="P4406" i="5"/>
  <c r="N4406" i="5"/>
  <c r="D4406" i="5"/>
  <c r="O4406" i="5" s="1"/>
  <c r="Q4406" i="5" s="1"/>
  <c r="P4405" i="5"/>
  <c r="N4405" i="5"/>
  <c r="D4405" i="5"/>
  <c r="O4405" i="5" s="1"/>
  <c r="Q4405" i="5" s="1"/>
  <c r="P4404" i="5"/>
  <c r="N4404" i="5"/>
  <c r="D4404" i="5"/>
  <c r="O4404" i="5" s="1"/>
  <c r="Q4404" i="5" s="1"/>
  <c r="P4403" i="5"/>
  <c r="N4403" i="5"/>
  <c r="D4403" i="5"/>
  <c r="O4403" i="5" s="1"/>
  <c r="Q4403" i="5" s="1"/>
  <c r="P4402" i="5"/>
  <c r="N4402" i="5"/>
  <c r="D4402" i="5"/>
  <c r="O4402" i="5" s="1"/>
  <c r="Q4402" i="5" s="1"/>
  <c r="P4401" i="5"/>
  <c r="N4401" i="5"/>
  <c r="D4401" i="5"/>
  <c r="O4401" i="5" s="1"/>
  <c r="Q4401" i="5" s="1"/>
  <c r="P4400" i="5"/>
  <c r="N4400" i="5"/>
  <c r="D4400" i="5"/>
  <c r="O4400" i="5" s="1"/>
  <c r="Q4400" i="5" s="1"/>
  <c r="P4399" i="5"/>
  <c r="N4399" i="5"/>
  <c r="D4399" i="5"/>
  <c r="O4399" i="5" s="1"/>
  <c r="Q4399" i="5" s="1"/>
  <c r="P4398" i="5"/>
  <c r="N4398" i="5"/>
  <c r="D4398" i="5"/>
  <c r="O4398" i="5" s="1"/>
  <c r="Q4398" i="5" s="1"/>
  <c r="P4397" i="5"/>
  <c r="N4397" i="5"/>
  <c r="D4397" i="5"/>
  <c r="O4397" i="5" s="1"/>
  <c r="Q4397" i="5" s="1"/>
  <c r="P4396" i="5"/>
  <c r="N4396" i="5"/>
  <c r="D4396" i="5"/>
  <c r="O4396" i="5" s="1"/>
  <c r="Q4396" i="5" s="1"/>
  <c r="P4395" i="5"/>
  <c r="N4395" i="5"/>
  <c r="D4395" i="5"/>
  <c r="O4395" i="5" s="1"/>
  <c r="Q4395" i="5" s="1"/>
  <c r="P4394" i="5"/>
  <c r="N4394" i="5"/>
  <c r="D4394" i="5"/>
  <c r="O4394" i="5" s="1"/>
  <c r="Q4394" i="5" s="1"/>
  <c r="P4393" i="5"/>
  <c r="N4393" i="5"/>
  <c r="D4393" i="5"/>
  <c r="O4393" i="5" s="1"/>
  <c r="Q4393" i="5" s="1"/>
  <c r="P4392" i="5"/>
  <c r="N4392" i="5"/>
  <c r="D4392" i="5"/>
  <c r="O4392" i="5" s="1"/>
  <c r="Q4392" i="5" s="1"/>
  <c r="P4391" i="5"/>
  <c r="N4391" i="5"/>
  <c r="D4391" i="5"/>
  <c r="O4391" i="5" s="1"/>
  <c r="Q4391" i="5" s="1"/>
  <c r="P4390" i="5"/>
  <c r="N4390" i="5"/>
  <c r="D4390" i="5"/>
  <c r="O4390" i="5" s="1"/>
  <c r="Q4390" i="5" s="1"/>
  <c r="P4389" i="5"/>
  <c r="N4389" i="5"/>
  <c r="D4389" i="5"/>
  <c r="O4389" i="5" s="1"/>
  <c r="Q4389" i="5" s="1"/>
  <c r="P4388" i="5"/>
  <c r="N4388" i="5"/>
  <c r="D4388" i="5"/>
  <c r="O4388" i="5" s="1"/>
  <c r="Q4388" i="5" s="1"/>
  <c r="P4387" i="5"/>
  <c r="N4387" i="5"/>
  <c r="D4387" i="5"/>
  <c r="O4387" i="5" s="1"/>
  <c r="Q4387" i="5" s="1"/>
  <c r="P4386" i="5"/>
  <c r="N4386" i="5"/>
  <c r="D4386" i="5"/>
  <c r="P4385" i="5"/>
  <c r="N4385" i="5"/>
  <c r="D4385" i="5"/>
  <c r="P4384" i="5"/>
  <c r="N4384" i="5"/>
  <c r="D4384" i="5"/>
  <c r="O4384" i="5" s="1"/>
  <c r="Q4384" i="5" s="1"/>
  <c r="P4383" i="5"/>
  <c r="N4383" i="5"/>
  <c r="D4383" i="5"/>
  <c r="O4383" i="5" s="1"/>
  <c r="Q4383" i="5" s="1"/>
  <c r="P4382" i="5"/>
  <c r="N4382" i="5"/>
  <c r="D4382" i="5"/>
  <c r="O4382" i="5" s="1"/>
  <c r="Q4382" i="5" s="1"/>
  <c r="P4381" i="5"/>
  <c r="N4381" i="5"/>
  <c r="D4381" i="5"/>
  <c r="O4381" i="5" s="1"/>
  <c r="Q4381" i="5" s="1"/>
  <c r="P4380" i="5"/>
  <c r="N4380" i="5"/>
  <c r="D4380" i="5"/>
  <c r="O4380" i="5" s="1"/>
  <c r="Q4380" i="5" s="1"/>
  <c r="P4379" i="5"/>
  <c r="N4379" i="5"/>
  <c r="D4379" i="5"/>
  <c r="O4379" i="5" s="1"/>
  <c r="Q4379" i="5" s="1"/>
  <c r="P4378" i="5"/>
  <c r="N4378" i="5"/>
  <c r="D4378" i="5"/>
  <c r="O4378" i="5" s="1"/>
  <c r="Q4378" i="5" s="1"/>
  <c r="P4377" i="5"/>
  <c r="N4377" i="5"/>
  <c r="D4377" i="5"/>
  <c r="O4377" i="5" s="1"/>
  <c r="Q4377" i="5" s="1"/>
  <c r="P4376" i="5"/>
  <c r="N4376" i="5"/>
  <c r="D4376" i="5"/>
  <c r="O4376" i="5" s="1"/>
  <c r="Q4376" i="5" s="1"/>
  <c r="P4375" i="5"/>
  <c r="N4375" i="5"/>
  <c r="D4375" i="5"/>
  <c r="O4375" i="5" s="1"/>
  <c r="Q4375" i="5" s="1"/>
  <c r="P4374" i="5"/>
  <c r="N4374" i="5"/>
  <c r="D4374" i="5"/>
  <c r="O4374" i="5" s="1"/>
  <c r="Q4374" i="5" s="1"/>
  <c r="P4373" i="5"/>
  <c r="N4373" i="5"/>
  <c r="D4373" i="5"/>
  <c r="O4373" i="5" s="1"/>
  <c r="Q4373" i="5" s="1"/>
  <c r="P4372" i="5"/>
  <c r="N4372" i="5"/>
  <c r="D4372" i="5"/>
  <c r="O4372" i="5" s="1"/>
  <c r="Q4372" i="5" s="1"/>
  <c r="P4371" i="5"/>
  <c r="N4371" i="5"/>
  <c r="D4371" i="5"/>
  <c r="O4371" i="5" s="1"/>
  <c r="Q4371" i="5" s="1"/>
  <c r="P4370" i="5"/>
  <c r="N4370" i="5"/>
  <c r="D4370" i="5"/>
  <c r="O4370" i="5" s="1"/>
  <c r="Q4370" i="5" s="1"/>
  <c r="P4369" i="5"/>
  <c r="N4369" i="5"/>
  <c r="D4369" i="5"/>
  <c r="O4369" i="5" s="1"/>
  <c r="Q4369" i="5" s="1"/>
  <c r="P4368" i="5"/>
  <c r="N4368" i="5"/>
  <c r="D4368" i="5"/>
  <c r="O4368" i="5" s="1"/>
  <c r="Q4368" i="5" s="1"/>
  <c r="P4367" i="5"/>
  <c r="N4367" i="5"/>
  <c r="D4367" i="5"/>
  <c r="O4367" i="5" s="1"/>
  <c r="Q4367" i="5" s="1"/>
  <c r="P4366" i="5"/>
  <c r="N4366" i="5"/>
  <c r="D4366" i="5"/>
  <c r="O4366" i="5" s="1"/>
  <c r="Q4366" i="5" s="1"/>
  <c r="P4365" i="5"/>
  <c r="N4365" i="5"/>
  <c r="D4365" i="5"/>
  <c r="O4365" i="5" s="1"/>
  <c r="Q4365" i="5" s="1"/>
  <c r="P4364" i="5"/>
  <c r="N4364" i="5"/>
  <c r="D4364" i="5"/>
  <c r="O4364" i="5" s="1"/>
  <c r="Q4364" i="5" s="1"/>
  <c r="P4363" i="5"/>
  <c r="N4363" i="5"/>
  <c r="D4363" i="5"/>
  <c r="O4363" i="5" s="1"/>
  <c r="Q4363" i="5" s="1"/>
  <c r="P4362" i="5"/>
  <c r="N4362" i="5"/>
  <c r="D4362" i="5"/>
  <c r="O4362" i="5" s="1"/>
  <c r="Q4362" i="5" s="1"/>
  <c r="P4361" i="5"/>
  <c r="N4361" i="5"/>
  <c r="D4361" i="5"/>
  <c r="O4361" i="5" s="1"/>
  <c r="Q4361" i="5" s="1"/>
  <c r="P4360" i="5"/>
  <c r="N4360" i="5"/>
  <c r="D4360" i="5"/>
  <c r="O4360" i="5" s="1"/>
  <c r="Q4360" i="5" s="1"/>
  <c r="P4359" i="5"/>
  <c r="N4359" i="5"/>
  <c r="D4359" i="5"/>
  <c r="O4359" i="5" s="1"/>
  <c r="Q4359" i="5" s="1"/>
  <c r="P4358" i="5"/>
  <c r="N4358" i="5"/>
  <c r="D4358" i="5"/>
  <c r="O4358" i="5" s="1"/>
  <c r="Q4358" i="5" s="1"/>
  <c r="P4357" i="5"/>
  <c r="N4357" i="5"/>
  <c r="D4357" i="5"/>
  <c r="O4357" i="5" s="1"/>
  <c r="Q4357" i="5" s="1"/>
  <c r="P4356" i="5"/>
  <c r="N4356" i="5"/>
  <c r="D4356" i="5"/>
  <c r="O4356" i="5" s="1"/>
  <c r="Q4356" i="5" s="1"/>
  <c r="P4355" i="5"/>
  <c r="N4355" i="5"/>
  <c r="D4355" i="5"/>
  <c r="O4355" i="5" s="1"/>
  <c r="Q4355" i="5" s="1"/>
  <c r="P4354" i="5"/>
  <c r="N4354" i="5"/>
  <c r="D4354" i="5"/>
  <c r="O4354" i="5" s="1"/>
  <c r="Q4354" i="5" s="1"/>
  <c r="P4353" i="5"/>
  <c r="N4353" i="5"/>
  <c r="D4353" i="5"/>
  <c r="O4353" i="5" s="1"/>
  <c r="Q4353" i="5" s="1"/>
  <c r="P4352" i="5"/>
  <c r="N4352" i="5"/>
  <c r="D4352" i="5"/>
  <c r="O4352" i="5" s="1"/>
  <c r="Q4352" i="5" s="1"/>
  <c r="P4351" i="5"/>
  <c r="N4351" i="5"/>
  <c r="D4351" i="5"/>
  <c r="O4351" i="5" s="1"/>
  <c r="Q4351" i="5" s="1"/>
  <c r="P4350" i="5"/>
  <c r="N4350" i="5"/>
  <c r="D4350" i="5"/>
  <c r="O4350" i="5" s="1"/>
  <c r="Q4350" i="5" s="1"/>
  <c r="P4349" i="5"/>
  <c r="N4349" i="5"/>
  <c r="D4349" i="5"/>
  <c r="O4349" i="5" s="1"/>
  <c r="Q4349" i="5" s="1"/>
  <c r="P4348" i="5"/>
  <c r="N4348" i="5"/>
  <c r="D4348" i="5"/>
  <c r="O4348" i="5" s="1"/>
  <c r="Q4348" i="5" s="1"/>
  <c r="P4347" i="5"/>
  <c r="N4347" i="5"/>
  <c r="D4347" i="5"/>
  <c r="O4347" i="5" s="1"/>
  <c r="Q4347" i="5" s="1"/>
  <c r="P4346" i="5"/>
  <c r="N4346" i="5"/>
  <c r="D4346" i="5"/>
  <c r="O4346" i="5" s="1"/>
  <c r="Q4346" i="5" s="1"/>
  <c r="P4345" i="5"/>
  <c r="N4345" i="5"/>
  <c r="D4345" i="5"/>
  <c r="O4345" i="5" s="1"/>
  <c r="Q4345" i="5" s="1"/>
  <c r="P4344" i="5"/>
  <c r="N4344" i="5"/>
  <c r="D4344" i="5"/>
  <c r="O4344" i="5" s="1"/>
  <c r="Q4344" i="5" s="1"/>
  <c r="P4343" i="5"/>
  <c r="N4343" i="5"/>
  <c r="D4343" i="5"/>
  <c r="O4343" i="5" s="1"/>
  <c r="Q4343" i="5" s="1"/>
  <c r="P4342" i="5"/>
  <c r="N4342" i="5"/>
  <c r="D4342" i="5"/>
  <c r="O4342" i="5" s="1"/>
  <c r="Q4342" i="5" s="1"/>
  <c r="P4341" i="5"/>
  <c r="N4341" i="5"/>
  <c r="D4341" i="5"/>
  <c r="O4341" i="5" s="1"/>
  <c r="Q4341" i="5" s="1"/>
  <c r="P4340" i="5"/>
  <c r="N4340" i="5"/>
  <c r="D4340" i="5"/>
  <c r="O4340" i="5" s="1"/>
  <c r="Q4340" i="5" s="1"/>
  <c r="P4339" i="5"/>
  <c r="N4339" i="5"/>
  <c r="D4339" i="5"/>
  <c r="O4339" i="5" s="1"/>
  <c r="Q4339" i="5" s="1"/>
  <c r="P4338" i="5"/>
  <c r="N4338" i="5"/>
  <c r="D4338" i="5"/>
  <c r="O4338" i="5" s="1"/>
  <c r="Q4338" i="5" s="1"/>
  <c r="P4337" i="5"/>
  <c r="N4337" i="5"/>
  <c r="D4337" i="5"/>
  <c r="O4337" i="5" s="1"/>
  <c r="Q4337" i="5" s="1"/>
  <c r="P4336" i="5"/>
  <c r="N4336" i="5"/>
  <c r="D4336" i="5"/>
  <c r="O4336" i="5" s="1"/>
  <c r="Q4336" i="5" s="1"/>
  <c r="P4335" i="5"/>
  <c r="N4335" i="5"/>
  <c r="D4335" i="5"/>
  <c r="O4335" i="5" s="1"/>
  <c r="Q4335" i="5" s="1"/>
  <c r="Q4334" i="5"/>
  <c r="P4334" i="5"/>
  <c r="N4334" i="5"/>
  <c r="D4334" i="5"/>
  <c r="Q4333" i="5"/>
  <c r="P4333" i="5"/>
  <c r="N4333" i="5"/>
  <c r="D4333" i="5"/>
  <c r="Q4332" i="5"/>
  <c r="P4332" i="5"/>
  <c r="N4332" i="5"/>
  <c r="D4332" i="5"/>
  <c r="P4331" i="5"/>
  <c r="N4331" i="5"/>
  <c r="D4331" i="5"/>
  <c r="O4331" i="5" s="1"/>
  <c r="Q4331" i="5" s="1"/>
  <c r="P4330" i="5"/>
  <c r="N4330" i="5"/>
  <c r="D4330" i="5"/>
  <c r="P4329" i="5"/>
  <c r="N4329" i="5"/>
  <c r="D4329" i="5"/>
  <c r="O4329" i="5" s="1"/>
  <c r="Q4329" i="5" s="1"/>
  <c r="P4328" i="5"/>
  <c r="N4328" i="5"/>
  <c r="D4328" i="5"/>
  <c r="O4328" i="5" s="1"/>
  <c r="Q4328" i="5" s="1"/>
  <c r="P4327" i="5"/>
  <c r="N4327" i="5"/>
  <c r="D4327" i="5"/>
  <c r="O4327" i="5" s="1"/>
  <c r="Q4327" i="5" s="1"/>
  <c r="P4326" i="5"/>
  <c r="N4326" i="5"/>
  <c r="D4326" i="5"/>
  <c r="O4326" i="5" s="1"/>
  <c r="Q4326" i="5" s="1"/>
  <c r="P4325" i="5"/>
  <c r="N4325" i="5"/>
  <c r="D4325" i="5"/>
  <c r="O4325" i="5" s="1"/>
  <c r="Q4325" i="5" s="1"/>
  <c r="P4324" i="5"/>
  <c r="N4324" i="5"/>
  <c r="D4324" i="5"/>
  <c r="O4324" i="5" s="1"/>
  <c r="Q4324" i="5" s="1"/>
  <c r="P4323" i="5"/>
  <c r="N4323" i="5"/>
  <c r="D4323" i="5"/>
  <c r="O4323" i="5" s="1"/>
  <c r="Q4323" i="5" s="1"/>
  <c r="P4322" i="5"/>
  <c r="N4322" i="5"/>
  <c r="D4322" i="5"/>
  <c r="O4322" i="5" s="1"/>
  <c r="Q4322" i="5" s="1"/>
  <c r="P4321" i="5"/>
  <c r="N4321" i="5"/>
  <c r="D4321" i="5"/>
  <c r="O4321" i="5" s="1"/>
  <c r="Q4321" i="5" s="1"/>
  <c r="P4320" i="5"/>
  <c r="N4320" i="5"/>
  <c r="D4320" i="5"/>
  <c r="O4320" i="5" s="1"/>
  <c r="Q4320" i="5" s="1"/>
  <c r="P4319" i="5"/>
  <c r="N4319" i="5"/>
  <c r="D4319" i="5"/>
  <c r="O4319" i="5" s="1"/>
  <c r="Q4319" i="5" s="1"/>
  <c r="P4318" i="5"/>
  <c r="N4318" i="5"/>
  <c r="D4318" i="5"/>
  <c r="O4318" i="5" s="1"/>
  <c r="Q4318" i="5" s="1"/>
  <c r="P4317" i="5"/>
  <c r="N4317" i="5"/>
  <c r="D4317" i="5"/>
  <c r="O4317" i="5" s="1"/>
  <c r="Q4317" i="5" s="1"/>
  <c r="P4316" i="5"/>
  <c r="N4316" i="5"/>
  <c r="D4316" i="5"/>
  <c r="O4316" i="5" s="1"/>
  <c r="Q4316" i="5" s="1"/>
  <c r="P4315" i="5"/>
  <c r="N4315" i="5"/>
  <c r="D4315" i="5"/>
  <c r="O4315" i="5" s="1"/>
  <c r="Q4315" i="5" s="1"/>
  <c r="P4314" i="5"/>
  <c r="N4314" i="5"/>
  <c r="D4314" i="5"/>
  <c r="O4314" i="5" s="1"/>
  <c r="Q4314" i="5" s="1"/>
  <c r="P4313" i="5"/>
  <c r="N4313" i="5"/>
  <c r="D4313" i="5"/>
  <c r="O4313" i="5" s="1"/>
  <c r="Q4313" i="5" s="1"/>
  <c r="P4312" i="5"/>
  <c r="N4312" i="5"/>
  <c r="D4312" i="5"/>
  <c r="O4312" i="5" s="1"/>
  <c r="Q4312" i="5" s="1"/>
  <c r="P4311" i="5"/>
  <c r="N4311" i="5"/>
  <c r="D4311" i="5"/>
  <c r="O4311" i="5" s="1"/>
  <c r="Q4311" i="5" s="1"/>
  <c r="P4310" i="5"/>
  <c r="N4310" i="5"/>
  <c r="D4310" i="5"/>
  <c r="O4310" i="5" s="1"/>
  <c r="Q4310" i="5" s="1"/>
  <c r="P4309" i="5"/>
  <c r="N4309" i="5"/>
  <c r="D4309" i="5"/>
  <c r="O4309" i="5" s="1"/>
  <c r="Q4309" i="5" s="1"/>
  <c r="P4308" i="5"/>
  <c r="N4308" i="5"/>
  <c r="D4308" i="5"/>
  <c r="O4308" i="5" s="1"/>
  <c r="Q4308" i="5" s="1"/>
  <c r="P4307" i="5"/>
  <c r="N4307" i="5"/>
  <c r="D4307" i="5"/>
  <c r="O4307" i="5" s="1"/>
  <c r="Q4307" i="5" s="1"/>
  <c r="P4306" i="5"/>
  <c r="N4306" i="5"/>
  <c r="D4306" i="5"/>
  <c r="O4306" i="5" s="1"/>
  <c r="Q4306" i="5" s="1"/>
  <c r="P4305" i="5"/>
  <c r="N4305" i="5"/>
  <c r="D4305" i="5"/>
  <c r="O4305" i="5" s="1"/>
  <c r="Q4305" i="5" s="1"/>
  <c r="P4304" i="5"/>
  <c r="N4304" i="5"/>
  <c r="D4304" i="5"/>
  <c r="O4304" i="5" s="1"/>
  <c r="Q4304" i="5" s="1"/>
  <c r="P4303" i="5"/>
  <c r="N4303" i="5"/>
  <c r="D4303" i="5"/>
  <c r="O4303" i="5" s="1"/>
  <c r="Q4303" i="5" s="1"/>
  <c r="P4302" i="5"/>
  <c r="N4302" i="5"/>
  <c r="D4302" i="5"/>
  <c r="P4301" i="5"/>
  <c r="N4301" i="5"/>
  <c r="D4301" i="5"/>
  <c r="O4301" i="5" s="1"/>
  <c r="Q4301" i="5" s="1"/>
  <c r="P4300" i="5"/>
  <c r="N4300" i="5"/>
  <c r="D4300" i="5"/>
  <c r="O4300" i="5" s="1"/>
  <c r="Q4300" i="5" s="1"/>
  <c r="P4299" i="5"/>
  <c r="N4299" i="5"/>
  <c r="D4299" i="5"/>
  <c r="O4299" i="5" s="1"/>
  <c r="Q4299" i="5" s="1"/>
  <c r="P4298" i="5"/>
  <c r="N4298" i="5"/>
  <c r="D4298" i="5"/>
  <c r="O4298" i="5" s="1"/>
  <c r="Q4298" i="5" s="1"/>
  <c r="P4297" i="5"/>
  <c r="N4297" i="5"/>
  <c r="D4297" i="5"/>
  <c r="O4297" i="5" s="1"/>
  <c r="Q4297" i="5" s="1"/>
  <c r="P4296" i="5"/>
  <c r="N4296" i="5"/>
  <c r="D4296" i="5"/>
  <c r="O4296" i="5" s="1"/>
  <c r="Q4296" i="5" s="1"/>
  <c r="P4295" i="5"/>
  <c r="N4295" i="5"/>
  <c r="D4295" i="5"/>
  <c r="P4294" i="5"/>
  <c r="N4294" i="5"/>
  <c r="D4294" i="5"/>
  <c r="O4294" i="5" s="1"/>
  <c r="Q4294" i="5" s="1"/>
  <c r="P4293" i="5"/>
  <c r="N4293" i="5"/>
  <c r="D4293" i="5"/>
  <c r="O4293" i="5" s="1"/>
  <c r="Q4293" i="5" s="1"/>
  <c r="P4292" i="5"/>
  <c r="N4292" i="5"/>
  <c r="D4292" i="5"/>
  <c r="O4292" i="5" s="1"/>
  <c r="Q4292" i="5" s="1"/>
  <c r="P4291" i="5"/>
  <c r="N4291" i="5"/>
  <c r="D4291" i="5"/>
  <c r="O4291" i="5" s="1"/>
  <c r="Q4291" i="5" s="1"/>
  <c r="P4290" i="5"/>
  <c r="N4290" i="5"/>
  <c r="D4290" i="5"/>
  <c r="O4290" i="5" s="1"/>
  <c r="Q4290" i="5" s="1"/>
  <c r="P4289" i="5"/>
  <c r="N4289" i="5"/>
  <c r="D4289" i="5"/>
  <c r="O4289" i="5" s="1"/>
  <c r="Q4289" i="5" s="1"/>
  <c r="P4288" i="5"/>
  <c r="N4288" i="5"/>
  <c r="D4288" i="5"/>
  <c r="O4288" i="5" s="1"/>
  <c r="Q4288" i="5" s="1"/>
  <c r="P4287" i="5"/>
  <c r="N4287" i="5"/>
  <c r="D4287" i="5"/>
  <c r="O4287" i="5" s="1"/>
  <c r="Q4287" i="5" s="1"/>
  <c r="P4286" i="5"/>
  <c r="N4286" i="5"/>
  <c r="D4286" i="5"/>
  <c r="O4286" i="5" s="1"/>
  <c r="Q4286" i="5" s="1"/>
  <c r="P4285" i="5"/>
  <c r="N4285" i="5"/>
  <c r="D4285" i="5"/>
  <c r="O4285" i="5" s="1"/>
  <c r="Q4285" i="5" s="1"/>
  <c r="P4284" i="5"/>
  <c r="N4284" i="5"/>
  <c r="D4284" i="5"/>
  <c r="O4284" i="5" s="1"/>
  <c r="Q4284" i="5" s="1"/>
  <c r="P4283" i="5"/>
  <c r="N4283" i="5"/>
  <c r="D4283" i="5"/>
  <c r="O4283" i="5" s="1"/>
  <c r="Q4283" i="5" s="1"/>
  <c r="P4282" i="5"/>
  <c r="N4282" i="5"/>
  <c r="D4282" i="5"/>
  <c r="O4282" i="5" s="1"/>
  <c r="Q4282" i="5" s="1"/>
  <c r="P4281" i="5"/>
  <c r="N4281" i="5"/>
  <c r="D4281" i="5"/>
  <c r="O4281" i="5" s="1"/>
  <c r="Q4281" i="5" s="1"/>
  <c r="P4280" i="5"/>
  <c r="N4280" i="5"/>
  <c r="D4280" i="5"/>
  <c r="O4280" i="5" s="1"/>
  <c r="Q4280" i="5" s="1"/>
  <c r="P4279" i="5"/>
  <c r="N4279" i="5"/>
  <c r="D4279" i="5"/>
  <c r="O4279" i="5" s="1"/>
  <c r="Q4279" i="5" s="1"/>
  <c r="P4278" i="5"/>
  <c r="N4278" i="5"/>
  <c r="D4278" i="5"/>
  <c r="O4278" i="5" s="1"/>
  <c r="Q4278" i="5" s="1"/>
  <c r="P4277" i="5"/>
  <c r="N4277" i="5"/>
  <c r="D4277" i="5"/>
  <c r="O4277" i="5" s="1"/>
  <c r="Q4277" i="5" s="1"/>
  <c r="P4276" i="5"/>
  <c r="N4276" i="5"/>
  <c r="D4276" i="5"/>
  <c r="O4276" i="5" s="1"/>
  <c r="Q4276" i="5" s="1"/>
  <c r="P4275" i="5"/>
  <c r="N4275" i="5"/>
  <c r="D4275" i="5"/>
  <c r="O4275" i="5" s="1"/>
  <c r="Q4275" i="5" s="1"/>
  <c r="P4274" i="5"/>
  <c r="N4274" i="5"/>
  <c r="D4274" i="5"/>
  <c r="O4274" i="5" s="1"/>
  <c r="Q4274" i="5" s="1"/>
  <c r="P4273" i="5"/>
  <c r="N4273" i="5"/>
  <c r="D4273" i="5"/>
  <c r="O4273" i="5" s="1"/>
  <c r="Q4273" i="5" s="1"/>
  <c r="P4272" i="5"/>
  <c r="N4272" i="5"/>
  <c r="D4272" i="5"/>
  <c r="O4272" i="5" s="1"/>
  <c r="Q4272" i="5" s="1"/>
  <c r="P4271" i="5"/>
  <c r="N4271" i="5"/>
  <c r="D4271" i="5"/>
  <c r="O4271" i="5" s="1"/>
  <c r="Q4271" i="5" s="1"/>
  <c r="P4270" i="5"/>
  <c r="N4270" i="5"/>
  <c r="D4270" i="5"/>
  <c r="O4270" i="5" s="1"/>
  <c r="Q4270" i="5" s="1"/>
  <c r="P4269" i="5"/>
  <c r="N4269" i="5"/>
  <c r="D4269" i="5"/>
  <c r="P4268" i="5"/>
  <c r="N4268" i="5"/>
  <c r="D4268" i="5"/>
  <c r="O4268" i="5" s="1"/>
  <c r="Q4268" i="5" s="1"/>
  <c r="P4267" i="5"/>
  <c r="N4267" i="5"/>
  <c r="D4267" i="5"/>
  <c r="O4267" i="5" s="1"/>
  <c r="Q4267" i="5" s="1"/>
  <c r="P4266" i="5"/>
  <c r="N4266" i="5"/>
  <c r="D4266" i="5"/>
  <c r="O4266" i="5" s="1"/>
  <c r="Q4266" i="5" s="1"/>
  <c r="P4265" i="5"/>
  <c r="N4265" i="5"/>
  <c r="D4265" i="5"/>
  <c r="O4265" i="5" s="1"/>
  <c r="Q4265" i="5" s="1"/>
  <c r="P4264" i="5"/>
  <c r="N4264" i="5"/>
  <c r="D4264" i="5"/>
  <c r="O4264" i="5" s="1"/>
  <c r="Q4264" i="5" s="1"/>
  <c r="P4263" i="5"/>
  <c r="N4263" i="5"/>
  <c r="D4263" i="5"/>
  <c r="O4263" i="5" s="1"/>
  <c r="Q4263" i="5" s="1"/>
  <c r="P4262" i="5"/>
  <c r="N4262" i="5"/>
  <c r="D4262" i="5"/>
  <c r="O4262" i="5" s="1"/>
  <c r="Q4262" i="5" s="1"/>
  <c r="P4261" i="5"/>
  <c r="N4261" i="5"/>
  <c r="D4261" i="5"/>
  <c r="O4261" i="5" s="1"/>
  <c r="Q4261" i="5" s="1"/>
  <c r="P4260" i="5"/>
  <c r="N4260" i="5"/>
  <c r="D4260" i="5"/>
  <c r="O4260" i="5" s="1"/>
  <c r="Q4260" i="5" s="1"/>
  <c r="P4259" i="5"/>
  <c r="N4259" i="5"/>
  <c r="D4259" i="5"/>
  <c r="O4259" i="5" s="1"/>
  <c r="Q4259" i="5" s="1"/>
  <c r="P4258" i="5"/>
  <c r="N4258" i="5"/>
  <c r="D4258" i="5"/>
  <c r="O4258" i="5" s="1"/>
  <c r="Q4258" i="5" s="1"/>
  <c r="P4257" i="5"/>
  <c r="N4257" i="5"/>
  <c r="D4257" i="5"/>
  <c r="O4257" i="5" s="1"/>
  <c r="Q4257" i="5" s="1"/>
  <c r="P4256" i="5"/>
  <c r="N4256" i="5"/>
  <c r="D4256" i="5"/>
  <c r="O4256" i="5" s="1"/>
  <c r="Q4256" i="5" s="1"/>
  <c r="P4255" i="5"/>
  <c r="N4255" i="5"/>
  <c r="D4255" i="5"/>
  <c r="O4255" i="5" s="1"/>
  <c r="Q4255" i="5" s="1"/>
  <c r="P4254" i="5"/>
  <c r="N4254" i="5"/>
  <c r="D4254" i="5"/>
  <c r="O4254" i="5" s="1"/>
  <c r="Q4254" i="5" s="1"/>
  <c r="P4253" i="5"/>
  <c r="N4253" i="5"/>
  <c r="D4253" i="5"/>
  <c r="O4253" i="5" s="1"/>
  <c r="Q4253" i="5" s="1"/>
  <c r="P4252" i="5"/>
  <c r="N4252" i="5"/>
  <c r="D4252" i="5"/>
  <c r="O4252" i="5" s="1"/>
  <c r="Q4252" i="5" s="1"/>
  <c r="P4251" i="5"/>
  <c r="N4251" i="5"/>
  <c r="D4251" i="5"/>
  <c r="O4251" i="5" s="1"/>
  <c r="Q4251" i="5" s="1"/>
  <c r="P4250" i="5"/>
  <c r="N4250" i="5"/>
  <c r="D4250" i="5"/>
  <c r="O4250" i="5" s="1"/>
  <c r="Q4250" i="5" s="1"/>
  <c r="P4249" i="5"/>
  <c r="N4249" i="5"/>
  <c r="D4249" i="5"/>
  <c r="O4249" i="5" s="1"/>
  <c r="Q4249" i="5" s="1"/>
  <c r="P4248" i="5"/>
  <c r="N4248" i="5"/>
  <c r="D4248" i="5"/>
  <c r="O4248" i="5" s="1"/>
  <c r="Q4248" i="5" s="1"/>
  <c r="P4247" i="5"/>
  <c r="N4247" i="5"/>
  <c r="D4247" i="5"/>
  <c r="O4247" i="5" s="1"/>
  <c r="Q4247" i="5" s="1"/>
  <c r="P4246" i="5"/>
  <c r="N4246" i="5"/>
  <c r="D4246" i="5"/>
  <c r="O4246" i="5" s="1"/>
  <c r="Q4246" i="5" s="1"/>
  <c r="P4245" i="5"/>
  <c r="N4245" i="5"/>
  <c r="D4245" i="5"/>
  <c r="O4245" i="5" s="1"/>
  <c r="Q4245" i="5" s="1"/>
  <c r="P4244" i="5"/>
  <c r="N4244" i="5"/>
  <c r="D4244" i="5"/>
  <c r="O4244" i="5" s="1"/>
  <c r="Q4244" i="5" s="1"/>
  <c r="P4243" i="5"/>
  <c r="N4243" i="5"/>
  <c r="D4243" i="5"/>
  <c r="O4243" i="5" s="1"/>
  <c r="Q4243" i="5" s="1"/>
  <c r="P4242" i="5"/>
  <c r="N4242" i="5"/>
  <c r="D4242" i="5"/>
  <c r="O4242" i="5" s="1"/>
  <c r="Q4242" i="5" s="1"/>
  <c r="P4241" i="5"/>
  <c r="N4241" i="5"/>
  <c r="D4241" i="5"/>
  <c r="O4241" i="5" s="1"/>
  <c r="Q4241" i="5" s="1"/>
  <c r="P4240" i="5"/>
  <c r="N4240" i="5"/>
  <c r="D4240" i="5"/>
  <c r="O4240" i="5" s="1"/>
  <c r="Q4240" i="5" s="1"/>
  <c r="P4239" i="5"/>
  <c r="N4239" i="5"/>
  <c r="D4239" i="5"/>
  <c r="O4239" i="5" s="1"/>
  <c r="Q4239" i="5" s="1"/>
  <c r="P4238" i="5"/>
  <c r="N4238" i="5"/>
  <c r="D4238" i="5"/>
  <c r="O4238" i="5" s="1"/>
  <c r="Q4238" i="5" s="1"/>
  <c r="P4237" i="5"/>
  <c r="N4237" i="5"/>
  <c r="D4237" i="5"/>
  <c r="O4237" i="5" s="1"/>
  <c r="Q4237" i="5" s="1"/>
  <c r="P4236" i="5"/>
  <c r="N4236" i="5"/>
  <c r="D4236" i="5"/>
  <c r="O4236" i="5" s="1"/>
  <c r="Q4236" i="5" s="1"/>
  <c r="P4235" i="5"/>
  <c r="N4235" i="5"/>
  <c r="D4235" i="5"/>
  <c r="O4235" i="5" s="1"/>
  <c r="Q4235" i="5" s="1"/>
  <c r="P4234" i="5"/>
  <c r="N4234" i="5"/>
  <c r="D4234" i="5"/>
  <c r="O4234" i="5" s="1"/>
  <c r="Q4234" i="5" s="1"/>
  <c r="P4233" i="5"/>
  <c r="N4233" i="5"/>
  <c r="D4233" i="5"/>
  <c r="O4233" i="5" s="1"/>
  <c r="Q4233" i="5" s="1"/>
  <c r="P4232" i="5"/>
  <c r="N4232" i="5"/>
  <c r="D4232" i="5"/>
  <c r="O4232" i="5" s="1"/>
  <c r="Q4232" i="5" s="1"/>
  <c r="P4231" i="5"/>
  <c r="N4231" i="5"/>
  <c r="D4231" i="5"/>
  <c r="O4231" i="5" s="1"/>
  <c r="Q4231" i="5" s="1"/>
  <c r="P4230" i="5"/>
  <c r="N4230" i="5"/>
  <c r="D4230" i="5"/>
  <c r="O4230" i="5" s="1"/>
  <c r="Q4230" i="5" s="1"/>
  <c r="P4229" i="5"/>
  <c r="N4229" i="5"/>
  <c r="D4229" i="5"/>
  <c r="O4229" i="5" s="1"/>
  <c r="Q4229" i="5" s="1"/>
  <c r="P4228" i="5"/>
  <c r="N4228" i="5"/>
  <c r="D4228" i="5"/>
  <c r="O4228" i="5" s="1"/>
  <c r="Q4228" i="5" s="1"/>
  <c r="P4227" i="5"/>
  <c r="N4227" i="5"/>
  <c r="D4227" i="5"/>
  <c r="O4227" i="5" s="1"/>
  <c r="Q4227" i="5" s="1"/>
  <c r="P4226" i="5"/>
  <c r="N4226" i="5"/>
  <c r="D4226" i="5"/>
  <c r="P4225" i="5"/>
  <c r="N4225" i="5"/>
  <c r="D4225" i="5"/>
  <c r="O4225" i="5" s="1"/>
  <c r="Q4225" i="5" s="1"/>
  <c r="P4224" i="5"/>
  <c r="N4224" i="5"/>
  <c r="D4224" i="5"/>
  <c r="O4224" i="5" s="1"/>
  <c r="Q4224" i="5" s="1"/>
  <c r="P4223" i="5"/>
  <c r="N4223" i="5"/>
  <c r="D4223" i="5"/>
  <c r="O4223" i="5" s="1"/>
  <c r="Q4223" i="5" s="1"/>
  <c r="P4222" i="5"/>
  <c r="N4222" i="5"/>
  <c r="D4222" i="5"/>
  <c r="P4221" i="5"/>
  <c r="N4221" i="5"/>
  <c r="D4221" i="5"/>
  <c r="O4221" i="5" s="1"/>
  <c r="Q4221" i="5" s="1"/>
  <c r="P4220" i="5"/>
  <c r="N4220" i="5"/>
  <c r="D4220" i="5"/>
  <c r="O4220" i="5" s="1"/>
  <c r="Q4220" i="5" s="1"/>
  <c r="P4219" i="5"/>
  <c r="N4219" i="5"/>
  <c r="D4219" i="5"/>
  <c r="O4219" i="5" s="1"/>
  <c r="Q4219" i="5" s="1"/>
  <c r="P4218" i="5"/>
  <c r="N4218" i="5"/>
  <c r="D4218" i="5"/>
  <c r="O4218" i="5" s="1"/>
  <c r="Q4218" i="5" s="1"/>
  <c r="P4217" i="5"/>
  <c r="N4217" i="5"/>
  <c r="D4217" i="5"/>
  <c r="O4217" i="5" s="1"/>
  <c r="Q4217" i="5" s="1"/>
  <c r="P4216" i="5"/>
  <c r="N4216" i="5"/>
  <c r="D4216" i="5"/>
  <c r="O4216" i="5" s="1"/>
  <c r="Q4216" i="5" s="1"/>
  <c r="P4215" i="5"/>
  <c r="N4215" i="5"/>
  <c r="D4215" i="5"/>
  <c r="O4215" i="5" s="1"/>
  <c r="Q4215" i="5" s="1"/>
  <c r="P4214" i="5"/>
  <c r="N4214" i="5"/>
  <c r="D4214" i="5"/>
  <c r="O4214" i="5" s="1"/>
  <c r="Q4214" i="5" s="1"/>
  <c r="P4213" i="5"/>
  <c r="N4213" i="5"/>
  <c r="D4213" i="5"/>
  <c r="O4213" i="5" s="1"/>
  <c r="Q4213" i="5" s="1"/>
  <c r="P4212" i="5"/>
  <c r="N4212" i="5"/>
  <c r="D4212" i="5"/>
  <c r="O4212" i="5" s="1"/>
  <c r="Q4212" i="5" s="1"/>
  <c r="P4211" i="5"/>
  <c r="N4211" i="5"/>
  <c r="D4211" i="5"/>
  <c r="O4211" i="5" s="1"/>
  <c r="Q4211" i="5" s="1"/>
  <c r="P4210" i="5"/>
  <c r="N4210" i="5"/>
  <c r="D4210" i="5"/>
  <c r="O4210" i="5" s="1"/>
  <c r="Q4210" i="5" s="1"/>
  <c r="P4209" i="5"/>
  <c r="N4209" i="5"/>
  <c r="D4209" i="5"/>
  <c r="O4209" i="5" s="1"/>
  <c r="Q4209" i="5" s="1"/>
  <c r="P4208" i="5"/>
  <c r="N4208" i="5"/>
  <c r="D4208" i="5"/>
  <c r="O4208" i="5" s="1"/>
  <c r="Q4208" i="5" s="1"/>
  <c r="P4207" i="5"/>
  <c r="N4207" i="5"/>
  <c r="D4207" i="5"/>
  <c r="O4207" i="5" s="1"/>
  <c r="Q4207" i="5" s="1"/>
  <c r="P4206" i="5"/>
  <c r="N4206" i="5"/>
  <c r="D4206" i="5"/>
  <c r="O4206" i="5" s="1"/>
  <c r="Q4206" i="5" s="1"/>
  <c r="P4205" i="5"/>
  <c r="N4205" i="5"/>
  <c r="D4205" i="5"/>
  <c r="O4205" i="5" s="1"/>
  <c r="Q4205" i="5" s="1"/>
  <c r="P4204" i="5"/>
  <c r="N4204" i="5"/>
  <c r="D4204" i="5"/>
  <c r="O4204" i="5" s="1"/>
  <c r="Q4204" i="5" s="1"/>
  <c r="P4203" i="5"/>
  <c r="N4203" i="5"/>
  <c r="D4203" i="5"/>
  <c r="O4203" i="5" s="1"/>
  <c r="Q4203" i="5" s="1"/>
  <c r="P4202" i="5"/>
  <c r="N4202" i="5"/>
  <c r="D4202" i="5"/>
  <c r="O4202" i="5" s="1"/>
  <c r="Q4202" i="5" s="1"/>
  <c r="P4201" i="5"/>
  <c r="N4201" i="5"/>
  <c r="D4201" i="5"/>
  <c r="O4201" i="5" s="1"/>
  <c r="Q4201" i="5" s="1"/>
  <c r="P4200" i="5"/>
  <c r="N4200" i="5"/>
  <c r="D4200" i="5"/>
  <c r="O4200" i="5" s="1"/>
  <c r="Q4200" i="5" s="1"/>
  <c r="P4199" i="5"/>
  <c r="N4199" i="5"/>
  <c r="D4199" i="5"/>
  <c r="O4199" i="5" s="1"/>
  <c r="Q4199" i="5" s="1"/>
  <c r="P4198" i="5"/>
  <c r="N4198" i="5"/>
  <c r="D4198" i="5"/>
  <c r="O4198" i="5" s="1"/>
  <c r="Q4198" i="5" s="1"/>
  <c r="P4197" i="5"/>
  <c r="N4197" i="5"/>
  <c r="D4197" i="5"/>
  <c r="O4197" i="5" s="1"/>
  <c r="Q4197" i="5" s="1"/>
  <c r="P4196" i="5"/>
  <c r="N4196" i="5"/>
  <c r="D4196" i="5"/>
  <c r="O4196" i="5" s="1"/>
  <c r="Q4196" i="5" s="1"/>
  <c r="P4195" i="5"/>
  <c r="N4195" i="5"/>
  <c r="D4195" i="5"/>
  <c r="O4195" i="5" s="1"/>
  <c r="Q4195" i="5" s="1"/>
  <c r="P4194" i="5"/>
  <c r="N4194" i="5"/>
  <c r="D4194" i="5"/>
  <c r="O4194" i="5" s="1"/>
  <c r="Q4194" i="5" s="1"/>
  <c r="P4193" i="5"/>
  <c r="N4193" i="5"/>
  <c r="D4193" i="5"/>
  <c r="O4193" i="5" s="1"/>
  <c r="Q4193" i="5" s="1"/>
  <c r="P4192" i="5"/>
  <c r="N4192" i="5"/>
  <c r="D4192" i="5"/>
  <c r="P4191" i="5"/>
  <c r="N4191" i="5"/>
  <c r="D4191" i="5"/>
  <c r="O4191" i="5" s="1"/>
  <c r="Q4191" i="5" s="1"/>
  <c r="P4190" i="5"/>
  <c r="N4190" i="5"/>
  <c r="D4190" i="5"/>
  <c r="O4190" i="5" s="1"/>
  <c r="Q4190" i="5" s="1"/>
  <c r="P4189" i="5"/>
  <c r="N4189" i="5"/>
  <c r="D4189" i="5"/>
  <c r="O4189" i="5" s="1"/>
  <c r="Q4189" i="5" s="1"/>
  <c r="P4188" i="5"/>
  <c r="N4188" i="5"/>
  <c r="D4188" i="5"/>
  <c r="O4188" i="5" s="1"/>
  <c r="Q4188" i="5" s="1"/>
  <c r="P4187" i="5"/>
  <c r="N4187" i="5"/>
  <c r="D4187" i="5"/>
  <c r="O4187" i="5" s="1"/>
  <c r="Q4187" i="5" s="1"/>
  <c r="P4186" i="5"/>
  <c r="N4186" i="5"/>
  <c r="D4186" i="5"/>
  <c r="O4186" i="5" s="1"/>
  <c r="Q4186" i="5" s="1"/>
  <c r="P4185" i="5"/>
  <c r="N4185" i="5"/>
  <c r="D4185" i="5"/>
  <c r="O4185" i="5" s="1"/>
  <c r="Q4185" i="5" s="1"/>
  <c r="P4184" i="5"/>
  <c r="N4184" i="5"/>
  <c r="D4184" i="5"/>
  <c r="P4183" i="5"/>
  <c r="N4183" i="5"/>
  <c r="D4183" i="5"/>
  <c r="O4183" i="5" s="1"/>
  <c r="Q4183" i="5" s="1"/>
  <c r="P4182" i="5"/>
  <c r="N4182" i="5"/>
  <c r="D4182" i="5"/>
  <c r="O4182" i="5" s="1"/>
  <c r="Q4182" i="5" s="1"/>
  <c r="P4181" i="5"/>
  <c r="N4181" i="5"/>
  <c r="D4181" i="5"/>
  <c r="O4181" i="5" s="1"/>
  <c r="Q4181" i="5" s="1"/>
  <c r="P4180" i="5"/>
  <c r="N4180" i="5"/>
  <c r="D4180" i="5"/>
  <c r="O4180" i="5" s="1"/>
  <c r="Q4180" i="5" s="1"/>
  <c r="P4179" i="5"/>
  <c r="N4179" i="5"/>
  <c r="D4179" i="5"/>
  <c r="O4179" i="5" s="1"/>
  <c r="Q4179" i="5" s="1"/>
  <c r="P4178" i="5"/>
  <c r="N4178" i="5"/>
  <c r="D4178" i="5"/>
  <c r="O4178" i="5" s="1"/>
  <c r="Q4178" i="5" s="1"/>
  <c r="P4177" i="5"/>
  <c r="N4177" i="5"/>
  <c r="D4177" i="5"/>
  <c r="O4177" i="5" s="1"/>
  <c r="Q4177" i="5" s="1"/>
  <c r="P4176" i="5"/>
  <c r="N4176" i="5"/>
  <c r="D4176" i="5"/>
  <c r="O4176" i="5" s="1"/>
  <c r="Q4176" i="5" s="1"/>
  <c r="P4175" i="5"/>
  <c r="N4175" i="5"/>
  <c r="D4175" i="5"/>
  <c r="O4175" i="5" s="1"/>
  <c r="Q4175" i="5" s="1"/>
  <c r="P4174" i="5"/>
  <c r="N4174" i="5"/>
  <c r="D4174" i="5"/>
  <c r="O4174" i="5" s="1"/>
  <c r="Q4174" i="5" s="1"/>
  <c r="P4173" i="5"/>
  <c r="N4173" i="5"/>
  <c r="D4173" i="5"/>
  <c r="O4173" i="5" s="1"/>
  <c r="Q4173" i="5" s="1"/>
  <c r="P4172" i="5"/>
  <c r="N4172" i="5"/>
  <c r="D4172" i="5"/>
  <c r="O4172" i="5" s="1"/>
  <c r="Q4172" i="5" s="1"/>
  <c r="P4171" i="5"/>
  <c r="N4171" i="5"/>
  <c r="D4171" i="5"/>
  <c r="O4171" i="5" s="1"/>
  <c r="Q4171" i="5" s="1"/>
  <c r="P4170" i="5"/>
  <c r="N4170" i="5"/>
  <c r="D4170" i="5"/>
  <c r="O4170" i="5" s="1"/>
  <c r="Q4170" i="5" s="1"/>
  <c r="P4169" i="5"/>
  <c r="N4169" i="5"/>
  <c r="D4169" i="5"/>
  <c r="P4168" i="5"/>
  <c r="N4168" i="5"/>
  <c r="D4168" i="5"/>
  <c r="O4168" i="5" s="1"/>
  <c r="Q4168" i="5" s="1"/>
  <c r="P4167" i="5"/>
  <c r="N4167" i="5"/>
  <c r="D4167" i="5"/>
  <c r="O4167" i="5" s="1"/>
  <c r="Q4167" i="5" s="1"/>
  <c r="Q4166" i="5"/>
  <c r="P4166" i="5"/>
  <c r="N4166" i="5"/>
  <c r="D4166" i="5"/>
  <c r="Q4165" i="5"/>
  <c r="P4165" i="5"/>
  <c r="N4165" i="5"/>
  <c r="D4165" i="5"/>
  <c r="Q4164" i="5"/>
  <c r="P4164" i="5"/>
  <c r="N4164" i="5"/>
  <c r="D4164" i="5"/>
  <c r="Q4163" i="5"/>
  <c r="P4163" i="5"/>
  <c r="N4163" i="5"/>
  <c r="D4163" i="5"/>
  <c r="Q4162" i="5"/>
  <c r="P4162" i="5"/>
  <c r="N4162" i="5"/>
  <c r="D4162" i="5"/>
  <c r="Q4161" i="5"/>
  <c r="P4161" i="5"/>
  <c r="N4161" i="5"/>
  <c r="D4161" i="5"/>
  <c r="Q4160" i="5"/>
  <c r="P4160" i="5"/>
  <c r="N4160" i="5"/>
  <c r="D4160" i="5"/>
  <c r="Q4159" i="5"/>
  <c r="P4159" i="5"/>
  <c r="N4159" i="5"/>
  <c r="D4159" i="5"/>
  <c r="Q4158" i="5"/>
  <c r="P4158" i="5"/>
  <c r="N4158" i="5"/>
  <c r="D4158" i="5"/>
  <c r="P4157" i="5"/>
  <c r="N4157" i="5"/>
  <c r="D4157" i="5"/>
  <c r="O4157" i="5" s="1"/>
  <c r="Q4157" i="5" s="1"/>
  <c r="P4156" i="5"/>
  <c r="N4156" i="5"/>
  <c r="D4156" i="5"/>
  <c r="O4156" i="5" s="1"/>
  <c r="Q4156" i="5" s="1"/>
  <c r="P4155" i="5"/>
  <c r="N4155" i="5"/>
  <c r="D4155" i="5"/>
  <c r="O4155" i="5" s="1"/>
  <c r="Q4155" i="5" s="1"/>
  <c r="P4154" i="5"/>
  <c r="N4154" i="5"/>
  <c r="D4154" i="5"/>
  <c r="O4154" i="5" s="1"/>
  <c r="Q4154" i="5" s="1"/>
  <c r="P4153" i="5"/>
  <c r="N4153" i="5"/>
  <c r="D4153" i="5"/>
  <c r="O4153" i="5" s="1"/>
  <c r="Q4153" i="5" s="1"/>
  <c r="P4152" i="5"/>
  <c r="N4152" i="5"/>
  <c r="D4152" i="5"/>
  <c r="O4152" i="5" s="1"/>
  <c r="Q4152" i="5" s="1"/>
  <c r="P4151" i="5"/>
  <c r="N4151" i="5"/>
  <c r="D4151" i="5"/>
  <c r="O4151" i="5" s="1"/>
  <c r="Q4151" i="5" s="1"/>
  <c r="P4150" i="5"/>
  <c r="N4150" i="5"/>
  <c r="D4150" i="5"/>
  <c r="O4150" i="5" s="1"/>
  <c r="Q4150" i="5" s="1"/>
  <c r="P4149" i="5"/>
  <c r="N4149" i="5"/>
  <c r="D4149" i="5"/>
  <c r="O4149" i="5" s="1"/>
  <c r="Q4149" i="5" s="1"/>
  <c r="P4148" i="5"/>
  <c r="N4148" i="5"/>
  <c r="D4148" i="5"/>
  <c r="O4148" i="5" s="1"/>
  <c r="Q4148" i="5" s="1"/>
  <c r="P4147" i="5"/>
  <c r="N4147" i="5"/>
  <c r="D4147" i="5"/>
  <c r="O4147" i="5" s="1"/>
  <c r="Q4147" i="5" s="1"/>
  <c r="P4146" i="5"/>
  <c r="N4146" i="5"/>
  <c r="D4146" i="5"/>
  <c r="O4146" i="5" s="1"/>
  <c r="Q4146" i="5" s="1"/>
  <c r="P4145" i="5"/>
  <c r="N4145" i="5"/>
  <c r="D4145" i="5"/>
  <c r="O4145" i="5" s="1"/>
  <c r="Q4145" i="5" s="1"/>
  <c r="P4144" i="5"/>
  <c r="N4144" i="5"/>
  <c r="D4144" i="5"/>
  <c r="O4144" i="5" s="1"/>
  <c r="Q4144" i="5" s="1"/>
  <c r="P4143" i="5"/>
  <c r="N4143" i="5"/>
  <c r="D4143" i="5"/>
  <c r="O4143" i="5" s="1"/>
  <c r="Q4143" i="5" s="1"/>
  <c r="P4142" i="5"/>
  <c r="N4142" i="5"/>
  <c r="D4142" i="5"/>
  <c r="O4142" i="5" s="1"/>
  <c r="Q4142" i="5" s="1"/>
  <c r="P4141" i="5"/>
  <c r="N4141" i="5"/>
  <c r="D4141" i="5"/>
  <c r="O4141" i="5" s="1"/>
  <c r="Q4141" i="5" s="1"/>
  <c r="P4140" i="5"/>
  <c r="N4140" i="5"/>
  <c r="D4140" i="5"/>
  <c r="O4140" i="5" s="1"/>
  <c r="Q4140" i="5" s="1"/>
  <c r="P4139" i="5"/>
  <c r="N4139" i="5"/>
  <c r="D4139" i="5"/>
  <c r="O4139" i="5" s="1"/>
  <c r="Q4139" i="5" s="1"/>
  <c r="P4138" i="5"/>
  <c r="N4138" i="5"/>
  <c r="D4138" i="5"/>
  <c r="O4138" i="5" s="1"/>
  <c r="Q4138" i="5" s="1"/>
  <c r="P4137" i="5"/>
  <c r="N4137" i="5"/>
  <c r="D4137" i="5"/>
  <c r="O4137" i="5" s="1"/>
  <c r="Q4137" i="5" s="1"/>
  <c r="P4136" i="5"/>
  <c r="N4136" i="5"/>
  <c r="D4136" i="5"/>
  <c r="O4136" i="5" s="1"/>
  <c r="Q4136" i="5" s="1"/>
  <c r="P4135" i="5"/>
  <c r="N4135" i="5"/>
  <c r="D4135" i="5"/>
  <c r="O4135" i="5" s="1"/>
  <c r="Q4135" i="5" s="1"/>
  <c r="P4134" i="5"/>
  <c r="N4134" i="5"/>
  <c r="D4134" i="5"/>
  <c r="O4134" i="5" s="1"/>
  <c r="Q4134" i="5" s="1"/>
  <c r="P4133" i="5"/>
  <c r="N4133" i="5"/>
  <c r="D4133" i="5"/>
  <c r="O4133" i="5" s="1"/>
  <c r="Q4133" i="5" s="1"/>
  <c r="P4132" i="5"/>
  <c r="N4132" i="5"/>
  <c r="D4132" i="5"/>
  <c r="O4132" i="5" s="1"/>
  <c r="Q4132" i="5" s="1"/>
  <c r="P4131" i="5"/>
  <c r="N4131" i="5"/>
  <c r="D4131" i="5"/>
  <c r="O4131" i="5" s="1"/>
  <c r="Q4131" i="5" s="1"/>
  <c r="P4130" i="5"/>
  <c r="N4130" i="5"/>
  <c r="D4130" i="5"/>
  <c r="P4129" i="5"/>
  <c r="N4129" i="5"/>
  <c r="D4129" i="5"/>
  <c r="O4129" i="5" s="1"/>
  <c r="Q4129" i="5" s="1"/>
  <c r="P4128" i="5"/>
  <c r="N4128" i="5"/>
  <c r="D4128" i="5"/>
  <c r="O4128" i="5" s="1"/>
  <c r="Q4128" i="5" s="1"/>
  <c r="P4127" i="5"/>
  <c r="N4127" i="5"/>
  <c r="D4127" i="5"/>
  <c r="O4127" i="5" s="1"/>
  <c r="Q4127" i="5" s="1"/>
  <c r="P4126" i="5"/>
  <c r="N4126" i="5"/>
  <c r="D4126" i="5"/>
  <c r="O4126" i="5" s="1"/>
  <c r="Q4126" i="5" s="1"/>
  <c r="P4125" i="5"/>
  <c r="N4125" i="5"/>
  <c r="D4125" i="5"/>
  <c r="O4125" i="5" s="1"/>
  <c r="Q4125" i="5" s="1"/>
  <c r="P4124" i="5"/>
  <c r="N4124" i="5"/>
  <c r="D4124" i="5"/>
  <c r="O4124" i="5" s="1"/>
  <c r="Q4124" i="5" s="1"/>
  <c r="P4123" i="5"/>
  <c r="N4123" i="5"/>
  <c r="D4123" i="5"/>
  <c r="O4123" i="5" s="1"/>
  <c r="Q4123" i="5" s="1"/>
  <c r="P4122" i="5"/>
  <c r="N4122" i="5"/>
  <c r="D4122" i="5"/>
  <c r="O4122" i="5" s="1"/>
  <c r="Q4122" i="5" s="1"/>
  <c r="P4121" i="5"/>
  <c r="N4121" i="5"/>
  <c r="D4121" i="5"/>
  <c r="O4121" i="5" s="1"/>
  <c r="Q4121" i="5" s="1"/>
  <c r="P4120" i="5"/>
  <c r="N4120" i="5"/>
  <c r="D4120" i="5"/>
  <c r="O4120" i="5" s="1"/>
  <c r="Q4120" i="5" s="1"/>
  <c r="P4119" i="5"/>
  <c r="N4119" i="5"/>
  <c r="D4119" i="5"/>
  <c r="O4119" i="5" s="1"/>
  <c r="Q4119" i="5" s="1"/>
  <c r="P4118" i="5"/>
  <c r="N4118" i="5"/>
  <c r="D4118" i="5"/>
  <c r="O4118" i="5" s="1"/>
  <c r="Q4118" i="5" s="1"/>
  <c r="P4117" i="5"/>
  <c r="N4117" i="5"/>
  <c r="D4117" i="5"/>
  <c r="O4117" i="5" s="1"/>
  <c r="Q4117" i="5" s="1"/>
  <c r="P4116" i="5"/>
  <c r="N4116" i="5"/>
  <c r="D4116" i="5"/>
  <c r="O4116" i="5" s="1"/>
  <c r="Q4116" i="5" s="1"/>
  <c r="P4115" i="5"/>
  <c r="N4115" i="5"/>
  <c r="D4115" i="5"/>
  <c r="O4115" i="5" s="1"/>
  <c r="Q4115" i="5" s="1"/>
  <c r="P4114" i="5"/>
  <c r="N4114" i="5"/>
  <c r="D4114" i="5"/>
  <c r="O4114" i="5" s="1"/>
  <c r="Q4114" i="5" s="1"/>
  <c r="P4113" i="5"/>
  <c r="N4113" i="5"/>
  <c r="D4113" i="5"/>
  <c r="O4113" i="5" s="1"/>
  <c r="Q4113" i="5" s="1"/>
  <c r="P4112" i="5"/>
  <c r="N4112" i="5"/>
  <c r="D4112" i="5"/>
  <c r="O4112" i="5" s="1"/>
  <c r="Q4112" i="5" s="1"/>
  <c r="P4111" i="5"/>
  <c r="N4111" i="5"/>
  <c r="D4111" i="5"/>
  <c r="O4111" i="5" s="1"/>
  <c r="Q4111" i="5" s="1"/>
  <c r="P4110" i="5"/>
  <c r="N4110" i="5"/>
  <c r="D4110" i="5"/>
  <c r="O4110" i="5" s="1"/>
  <c r="Q4110" i="5" s="1"/>
  <c r="P4109" i="5"/>
  <c r="N4109" i="5"/>
  <c r="D4109" i="5"/>
  <c r="O4109" i="5" s="1"/>
  <c r="Q4109" i="5" s="1"/>
  <c r="P4108" i="5"/>
  <c r="N4108" i="5"/>
  <c r="D4108" i="5"/>
  <c r="O4108" i="5" s="1"/>
  <c r="Q4108" i="5" s="1"/>
  <c r="P4107" i="5"/>
  <c r="N4107" i="5"/>
  <c r="D4107" i="5"/>
  <c r="O4107" i="5" s="1"/>
  <c r="Q4107" i="5" s="1"/>
  <c r="P4106" i="5"/>
  <c r="N4106" i="5"/>
  <c r="D4106" i="5"/>
  <c r="O4106" i="5" s="1"/>
  <c r="Q4106" i="5" s="1"/>
  <c r="P4105" i="5"/>
  <c r="N4105" i="5"/>
  <c r="D4105" i="5"/>
  <c r="O4105" i="5" s="1"/>
  <c r="Q4105" i="5" s="1"/>
  <c r="P4104" i="5"/>
  <c r="N4104" i="5"/>
  <c r="D4104" i="5"/>
  <c r="O4104" i="5" s="1"/>
  <c r="Q4104" i="5" s="1"/>
  <c r="P4103" i="5"/>
  <c r="N4103" i="5"/>
  <c r="D4103" i="5"/>
  <c r="O4103" i="5" s="1"/>
  <c r="Q4103" i="5" s="1"/>
  <c r="P4102" i="5"/>
  <c r="N4102" i="5"/>
  <c r="D4102" i="5"/>
  <c r="O4102" i="5" s="1"/>
  <c r="Q4102" i="5" s="1"/>
  <c r="P4101" i="5"/>
  <c r="N4101" i="5"/>
  <c r="D4101" i="5"/>
  <c r="O4101" i="5" s="1"/>
  <c r="Q4101" i="5" s="1"/>
  <c r="P4100" i="5"/>
  <c r="N4100" i="5"/>
  <c r="D4100" i="5"/>
  <c r="O4100" i="5" s="1"/>
  <c r="Q4100" i="5" s="1"/>
  <c r="P4099" i="5"/>
  <c r="N4099" i="5"/>
  <c r="D4099" i="5"/>
  <c r="P4098" i="5"/>
  <c r="N4098" i="5"/>
  <c r="D4098" i="5"/>
  <c r="O4098" i="5" s="1"/>
  <c r="Q4098" i="5" s="1"/>
  <c r="P4097" i="5"/>
  <c r="N4097" i="5"/>
  <c r="D4097" i="5"/>
  <c r="O4097" i="5" s="1"/>
  <c r="Q4097" i="5" s="1"/>
  <c r="P4096" i="5"/>
  <c r="N4096" i="5"/>
  <c r="D4096" i="5"/>
  <c r="O4096" i="5" s="1"/>
  <c r="Q4096" i="5" s="1"/>
  <c r="P4095" i="5"/>
  <c r="N4095" i="5"/>
  <c r="D4095" i="5"/>
  <c r="O4095" i="5" s="1"/>
  <c r="Q4095" i="5" s="1"/>
  <c r="P4094" i="5"/>
  <c r="N4094" i="5"/>
  <c r="D4094" i="5"/>
  <c r="O4094" i="5" s="1"/>
  <c r="Q4094" i="5" s="1"/>
  <c r="P4093" i="5"/>
  <c r="N4093" i="5"/>
  <c r="D4093" i="5"/>
  <c r="O4093" i="5" s="1"/>
  <c r="Q4093" i="5" s="1"/>
  <c r="P4092" i="5"/>
  <c r="N4092" i="5"/>
  <c r="D4092" i="5"/>
  <c r="O4092" i="5" s="1"/>
  <c r="Q4092" i="5" s="1"/>
  <c r="P4091" i="5"/>
  <c r="N4091" i="5"/>
  <c r="D4091" i="5"/>
  <c r="O4091" i="5" s="1"/>
  <c r="Q4091" i="5" s="1"/>
  <c r="P4090" i="5"/>
  <c r="N4090" i="5"/>
  <c r="D4090" i="5"/>
  <c r="O4090" i="5" s="1"/>
  <c r="Q4090" i="5" s="1"/>
  <c r="P4089" i="5"/>
  <c r="N4089" i="5"/>
  <c r="D4089" i="5"/>
  <c r="O4089" i="5" s="1"/>
  <c r="Q4089" i="5" s="1"/>
  <c r="P4088" i="5"/>
  <c r="N4088" i="5"/>
  <c r="D4088" i="5"/>
  <c r="O4088" i="5" s="1"/>
  <c r="Q4088" i="5" s="1"/>
  <c r="P4087" i="5"/>
  <c r="N4087" i="5"/>
  <c r="D4087" i="5"/>
  <c r="O4087" i="5" s="1"/>
  <c r="Q4087" i="5" s="1"/>
  <c r="P4086" i="5"/>
  <c r="N4086" i="5"/>
  <c r="D4086" i="5"/>
  <c r="O4086" i="5" s="1"/>
  <c r="Q4086" i="5" s="1"/>
  <c r="P4085" i="5"/>
  <c r="N4085" i="5"/>
  <c r="D4085" i="5"/>
  <c r="O4085" i="5" s="1"/>
  <c r="Q4085" i="5" s="1"/>
  <c r="P4084" i="5"/>
  <c r="N4084" i="5"/>
  <c r="D4084" i="5"/>
  <c r="O4084" i="5" s="1"/>
  <c r="Q4084" i="5" s="1"/>
  <c r="P4083" i="5"/>
  <c r="N4083" i="5"/>
  <c r="D4083" i="5"/>
  <c r="O4083" i="5" s="1"/>
  <c r="Q4083" i="5" s="1"/>
  <c r="P4082" i="5"/>
  <c r="N4082" i="5"/>
  <c r="D4082" i="5"/>
  <c r="O4082" i="5" s="1"/>
  <c r="Q4082" i="5" s="1"/>
  <c r="P4081" i="5"/>
  <c r="N4081" i="5"/>
  <c r="D4081" i="5"/>
  <c r="O4081" i="5" s="1"/>
  <c r="Q4081" i="5" s="1"/>
  <c r="P4080" i="5"/>
  <c r="N4080" i="5"/>
  <c r="D4080" i="5"/>
  <c r="O4080" i="5" s="1"/>
  <c r="Q4080" i="5" s="1"/>
  <c r="P4079" i="5"/>
  <c r="N4079" i="5"/>
  <c r="D4079" i="5"/>
  <c r="O4079" i="5" s="1"/>
  <c r="Q4079" i="5" s="1"/>
  <c r="P4078" i="5"/>
  <c r="N4078" i="5"/>
  <c r="D4078" i="5"/>
  <c r="O4078" i="5" s="1"/>
  <c r="Q4078" i="5" s="1"/>
  <c r="P4077" i="5"/>
  <c r="N4077" i="5"/>
  <c r="D4077" i="5"/>
  <c r="O4077" i="5" s="1"/>
  <c r="Q4077" i="5" s="1"/>
  <c r="P4076" i="5"/>
  <c r="N4076" i="5"/>
  <c r="D4076" i="5"/>
  <c r="O4076" i="5" s="1"/>
  <c r="Q4076" i="5" s="1"/>
  <c r="P4075" i="5"/>
  <c r="N4075" i="5"/>
  <c r="D4075" i="5"/>
  <c r="O4075" i="5" s="1"/>
  <c r="Q4075" i="5" s="1"/>
  <c r="P4074" i="5"/>
  <c r="N4074" i="5"/>
  <c r="D4074" i="5"/>
  <c r="O4074" i="5" s="1"/>
  <c r="Q4074" i="5" s="1"/>
  <c r="P4073" i="5"/>
  <c r="N4073" i="5"/>
  <c r="D4073" i="5"/>
  <c r="O4073" i="5" s="1"/>
  <c r="Q4073" i="5" s="1"/>
  <c r="P4072" i="5"/>
  <c r="N4072" i="5"/>
  <c r="D4072" i="5"/>
  <c r="O4072" i="5" s="1"/>
  <c r="Q4072" i="5" s="1"/>
  <c r="P4071" i="5"/>
  <c r="N4071" i="5"/>
  <c r="D4071" i="5"/>
  <c r="O4071" i="5" s="1"/>
  <c r="Q4071" i="5" s="1"/>
  <c r="P4070" i="5"/>
  <c r="N4070" i="5"/>
  <c r="D4070" i="5"/>
  <c r="O4070" i="5" s="1"/>
  <c r="Q4070" i="5" s="1"/>
  <c r="P4069" i="5"/>
  <c r="N4069" i="5"/>
  <c r="D4069" i="5"/>
  <c r="O4069" i="5" s="1"/>
  <c r="Q4069" i="5" s="1"/>
  <c r="P4068" i="5"/>
  <c r="N4068" i="5"/>
  <c r="D4068" i="5"/>
  <c r="O4068" i="5" s="1"/>
  <c r="Q4068" i="5" s="1"/>
  <c r="P4067" i="5"/>
  <c r="N4067" i="5"/>
  <c r="D4067" i="5"/>
  <c r="O4067" i="5" s="1"/>
  <c r="Q4067" i="5" s="1"/>
  <c r="P4066" i="5"/>
  <c r="N4066" i="5"/>
  <c r="D4066" i="5"/>
  <c r="O4066" i="5" s="1"/>
  <c r="Q4066" i="5" s="1"/>
  <c r="P4065" i="5"/>
  <c r="N4065" i="5"/>
  <c r="D4065" i="5"/>
  <c r="O4065" i="5" s="1"/>
  <c r="Q4065" i="5" s="1"/>
  <c r="P4064" i="5"/>
  <c r="N4064" i="5"/>
  <c r="D4064" i="5"/>
  <c r="O4064" i="5" s="1"/>
  <c r="Q4064" i="5" s="1"/>
  <c r="P4063" i="5"/>
  <c r="N4063" i="5"/>
  <c r="D4063" i="5"/>
  <c r="O4063" i="5" s="1"/>
  <c r="Q4063" i="5" s="1"/>
  <c r="P4062" i="5"/>
  <c r="N4062" i="5"/>
  <c r="D4062" i="5"/>
  <c r="O4062" i="5" s="1"/>
  <c r="Q4062" i="5" s="1"/>
  <c r="P4061" i="5"/>
  <c r="N4061" i="5"/>
  <c r="D4061" i="5"/>
  <c r="O4061" i="5" s="1"/>
  <c r="Q4061" i="5" s="1"/>
  <c r="P4060" i="5"/>
  <c r="N4060" i="5"/>
  <c r="D4060" i="5"/>
  <c r="O4060" i="5" s="1"/>
  <c r="Q4060" i="5" s="1"/>
  <c r="P4059" i="5"/>
  <c r="N4059" i="5"/>
  <c r="D4059" i="5"/>
  <c r="O4059" i="5" s="1"/>
  <c r="Q4059" i="5" s="1"/>
  <c r="P4058" i="5"/>
  <c r="N4058" i="5"/>
  <c r="D4058" i="5"/>
  <c r="O4058" i="5" s="1"/>
  <c r="Q4058" i="5" s="1"/>
  <c r="P4057" i="5"/>
  <c r="N4057" i="5"/>
  <c r="D4057" i="5"/>
  <c r="O4057" i="5" s="1"/>
  <c r="Q4057" i="5" s="1"/>
  <c r="P4056" i="5"/>
  <c r="N4056" i="5"/>
  <c r="D4056" i="5"/>
  <c r="P4055" i="5"/>
  <c r="N4055" i="5"/>
  <c r="D4055" i="5"/>
  <c r="O4055" i="5" s="1"/>
  <c r="Q4055" i="5" s="1"/>
  <c r="P4054" i="5"/>
  <c r="N4054" i="5"/>
  <c r="D4054" i="5"/>
  <c r="O4054" i="5" s="1"/>
  <c r="Q4054" i="5" s="1"/>
  <c r="P4053" i="5"/>
  <c r="N4053" i="5"/>
  <c r="D4053" i="5"/>
  <c r="O4053" i="5" s="1"/>
  <c r="Q4053" i="5" s="1"/>
  <c r="P4052" i="5"/>
  <c r="N4052" i="5"/>
  <c r="D4052" i="5"/>
  <c r="O4052" i="5" s="1"/>
  <c r="Q4052" i="5" s="1"/>
  <c r="P4051" i="5"/>
  <c r="N4051" i="5"/>
  <c r="D4051" i="5"/>
  <c r="O4051" i="5" s="1"/>
  <c r="Q4051" i="5" s="1"/>
  <c r="P4050" i="5"/>
  <c r="N4050" i="5"/>
  <c r="D4050" i="5"/>
  <c r="O4050" i="5" s="1"/>
  <c r="Q4050" i="5" s="1"/>
  <c r="P4049" i="5"/>
  <c r="N4049" i="5"/>
  <c r="D4049" i="5"/>
  <c r="P4048" i="5"/>
  <c r="N4048" i="5"/>
  <c r="D4048" i="5"/>
  <c r="O4048" i="5" s="1"/>
  <c r="Q4048" i="5" s="1"/>
  <c r="P4047" i="5"/>
  <c r="N4047" i="5"/>
  <c r="D4047" i="5"/>
  <c r="O4047" i="5" s="1"/>
  <c r="Q4047" i="5" s="1"/>
  <c r="P4046" i="5"/>
  <c r="N4046" i="5"/>
  <c r="D4046" i="5"/>
  <c r="O4046" i="5" s="1"/>
  <c r="Q4046" i="5" s="1"/>
  <c r="P4045" i="5"/>
  <c r="N4045" i="5"/>
  <c r="D4045" i="5"/>
  <c r="O4045" i="5" s="1"/>
  <c r="Q4045" i="5" s="1"/>
  <c r="P4044" i="5"/>
  <c r="N4044" i="5"/>
  <c r="D4044" i="5"/>
  <c r="O4044" i="5" s="1"/>
  <c r="Q4044" i="5" s="1"/>
  <c r="P4043" i="5"/>
  <c r="N4043" i="5"/>
  <c r="D4043" i="5"/>
  <c r="O4043" i="5" s="1"/>
  <c r="Q4043" i="5" s="1"/>
  <c r="P4042" i="5"/>
  <c r="N4042" i="5"/>
  <c r="D4042" i="5"/>
  <c r="O4042" i="5" s="1"/>
  <c r="Q4042" i="5" s="1"/>
  <c r="P4041" i="5"/>
  <c r="N4041" i="5"/>
  <c r="D4041" i="5"/>
  <c r="O4041" i="5" s="1"/>
  <c r="Q4041" i="5" s="1"/>
  <c r="P4040" i="5"/>
  <c r="N4040" i="5"/>
  <c r="D4040" i="5"/>
  <c r="O4040" i="5" s="1"/>
  <c r="Q4040" i="5" s="1"/>
  <c r="P4039" i="5"/>
  <c r="N4039" i="5"/>
  <c r="D4039" i="5"/>
  <c r="O4039" i="5" s="1"/>
  <c r="Q4039" i="5" s="1"/>
  <c r="P4038" i="5"/>
  <c r="N4038" i="5"/>
  <c r="D4038" i="5"/>
  <c r="O4038" i="5" s="1"/>
  <c r="Q4038" i="5" s="1"/>
  <c r="P4037" i="5"/>
  <c r="N4037" i="5"/>
  <c r="D4037" i="5"/>
  <c r="O4037" i="5" s="1"/>
  <c r="Q4037" i="5" s="1"/>
  <c r="P4036" i="5"/>
  <c r="N4036" i="5"/>
  <c r="D4036" i="5"/>
  <c r="O4036" i="5" s="1"/>
  <c r="Q4036" i="5" s="1"/>
  <c r="P4035" i="5"/>
  <c r="N4035" i="5"/>
  <c r="D4035" i="5"/>
  <c r="O4035" i="5" s="1"/>
  <c r="Q4035" i="5" s="1"/>
  <c r="P4034" i="5"/>
  <c r="N4034" i="5"/>
  <c r="D4034" i="5"/>
  <c r="O4034" i="5" s="1"/>
  <c r="Q4034" i="5" s="1"/>
  <c r="P4033" i="5"/>
  <c r="N4033" i="5"/>
  <c r="D4033" i="5"/>
  <c r="O4033" i="5" s="1"/>
  <c r="Q4033" i="5" s="1"/>
  <c r="P4032" i="5"/>
  <c r="N4032" i="5"/>
  <c r="D4032" i="5"/>
  <c r="O4032" i="5" s="1"/>
  <c r="Q4032" i="5" s="1"/>
  <c r="P4031" i="5"/>
  <c r="N4031" i="5"/>
  <c r="D4031" i="5"/>
  <c r="O4031" i="5" s="1"/>
  <c r="Q4031" i="5" s="1"/>
  <c r="P4030" i="5"/>
  <c r="N4030" i="5"/>
  <c r="D4030" i="5"/>
  <c r="O4030" i="5" s="1"/>
  <c r="Q4030" i="5" s="1"/>
  <c r="P4029" i="5"/>
  <c r="N4029" i="5"/>
  <c r="D4029" i="5"/>
  <c r="O4029" i="5" s="1"/>
  <c r="Q4029" i="5" s="1"/>
  <c r="P4028" i="5"/>
  <c r="N4028" i="5"/>
  <c r="D4028" i="5"/>
  <c r="O4028" i="5" s="1"/>
  <c r="Q4028" i="5" s="1"/>
  <c r="P4027" i="5"/>
  <c r="N4027" i="5"/>
  <c r="D4027" i="5"/>
  <c r="O4027" i="5" s="1"/>
  <c r="Q4027" i="5" s="1"/>
  <c r="P4026" i="5"/>
  <c r="N4026" i="5"/>
  <c r="D4026" i="5"/>
  <c r="O4026" i="5" s="1"/>
  <c r="Q4026" i="5" s="1"/>
  <c r="P4025" i="5"/>
  <c r="N4025" i="5"/>
  <c r="D4025" i="5"/>
  <c r="P4024" i="5"/>
  <c r="N4024" i="5"/>
  <c r="D4024" i="5"/>
  <c r="O4024" i="5" s="1"/>
  <c r="Q4024" i="5" s="1"/>
  <c r="P4023" i="5"/>
  <c r="N4023" i="5"/>
  <c r="D4023" i="5"/>
  <c r="O4023" i="5" s="1"/>
  <c r="Q4023" i="5" s="1"/>
  <c r="P4022" i="5"/>
  <c r="N4022" i="5"/>
  <c r="D4022" i="5"/>
  <c r="O4022" i="5" s="1"/>
  <c r="Q4022" i="5" s="1"/>
  <c r="P4021" i="5"/>
  <c r="N4021" i="5"/>
  <c r="D4021" i="5"/>
  <c r="O4021" i="5" s="1"/>
  <c r="Q4021" i="5" s="1"/>
  <c r="P4020" i="5"/>
  <c r="N4020" i="5"/>
  <c r="D4020" i="5"/>
  <c r="O4020" i="5" s="1"/>
  <c r="Q4020" i="5" s="1"/>
  <c r="P4019" i="5"/>
  <c r="N4019" i="5"/>
  <c r="D4019" i="5"/>
  <c r="O4019" i="5" s="1"/>
  <c r="Q4019" i="5" s="1"/>
  <c r="P4018" i="5"/>
  <c r="N4018" i="5"/>
  <c r="D4018" i="5"/>
  <c r="O4018" i="5" s="1"/>
  <c r="Q4018" i="5" s="1"/>
  <c r="P4017" i="5"/>
  <c r="N4017" i="5"/>
  <c r="D4017" i="5"/>
  <c r="O4017" i="5" s="1"/>
  <c r="Q4017" i="5" s="1"/>
  <c r="P4016" i="5"/>
  <c r="N4016" i="5"/>
  <c r="D4016" i="5"/>
  <c r="O4016" i="5" s="1"/>
  <c r="Q4016" i="5" s="1"/>
  <c r="P4015" i="5"/>
  <c r="N4015" i="5"/>
  <c r="D4015" i="5"/>
  <c r="P4014" i="5"/>
  <c r="N4014" i="5"/>
  <c r="D4014" i="5"/>
  <c r="O4014" i="5" s="1"/>
  <c r="Q4014" i="5" s="1"/>
  <c r="P4013" i="5"/>
  <c r="N4013" i="5"/>
  <c r="D4013" i="5"/>
  <c r="O4013" i="5" s="1"/>
  <c r="Q4013" i="5" s="1"/>
  <c r="P4012" i="5"/>
  <c r="N4012" i="5"/>
  <c r="D4012" i="5"/>
  <c r="O4012" i="5" s="1"/>
  <c r="Q4012" i="5" s="1"/>
  <c r="P4011" i="5"/>
  <c r="N4011" i="5"/>
  <c r="D4011" i="5"/>
  <c r="O4011" i="5" s="1"/>
  <c r="Q4011" i="5" s="1"/>
  <c r="P4010" i="5"/>
  <c r="N4010" i="5"/>
  <c r="D4010" i="5"/>
  <c r="O4010" i="5" s="1"/>
  <c r="Q4010" i="5" s="1"/>
  <c r="P4009" i="5"/>
  <c r="N4009" i="5"/>
  <c r="D4009" i="5"/>
  <c r="O4009" i="5" s="1"/>
  <c r="Q4009" i="5" s="1"/>
  <c r="P4008" i="5"/>
  <c r="N4008" i="5"/>
  <c r="D4008" i="5"/>
  <c r="O4008" i="5" s="1"/>
  <c r="Q4008" i="5" s="1"/>
  <c r="P4007" i="5"/>
  <c r="N4007" i="5"/>
  <c r="D4007" i="5"/>
  <c r="O4007" i="5" s="1"/>
  <c r="Q4007" i="5" s="1"/>
  <c r="P4006" i="5"/>
  <c r="N4006" i="5"/>
  <c r="D4006" i="5"/>
  <c r="O4006" i="5" s="1"/>
  <c r="Q4006" i="5" s="1"/>
  <c r="P4005" i="5"/>
  <c r="N4005" i="5"/>
  <c r="D4005" i="5"/>
  <c r="O4005" i="5" s="1"/>
  <c r="Q4005" i="5" s="1"/>
  <c r="P4004" i="5"/>
  <c r="N4004" i="5"/>
  <c r="D4004" i="5"/>
  <c r="O4004" i="5" s="1"/>
  <c r="Q4004" i="5" s="1"/>
  <c r="P4003" i="5"/>
  <c r="N4003" i="5"/>
  <c r="D4003" i="5"/>
  <c r="O4003" i="5" s="1"/>
  <c r="Q4003" i="5" s="1"/>
  <c r="P4002" i="5"/>
  <c r="N4002" i="5"/>
  <c r="D4002" i="5"/>
  <c r="O4002" i="5" s="1"/>
  <c r="Q4002" i="5" s="1"/>
  <c r="P4001" i="5"/>
  <c r="N4001" i="5"/>
  <c r="D4001" i="5"/>
  <c r="O4001" i="5" s="1"/>
  <c r="Q4001" i="5" s="1"/>
  <c r="P4000" i="5"/>
  <c r="N4000" i="5"/>
  <c r="D4000" i="5"/>
  <c r="O4000" i="5" s="1"/>
  <c r="Q4000" i="5" s="1"/>
  <c r="P3999" i="5"/>
  <c r="N3999" i="5"/>
  <c r="D3999" i="5"/>
  <c r="O3999" i="5" s="1"/>
  <c r="Q3999" i="5" s="1"/>
  <c r="Q3998" i="5"/>
  <c r="P3998" i="5"/>
  <c r="N3998" i="5"/>
  <c r="D3998" i="5"/>
  <c r="Q3997" i="5"/>
  <c r="P3997" i="5"/>
  <c r="N3997" i="5"/>
  <c r="D3997" i="5"/>
  <c r="Q3996" i="5"/>
  <c r="P3996" i="5"/>
  <c r="N3996" i="5"/>
  <c r="D3996" i="5"/>
  <c r="Q3995" i="5"/>
  <c r="P3995" i="5"/>
  <c r="N3995" i="5"/>
  <c r="D3995" i="5"/>
  <c r="Q3994" i="5"/>
  <c r="P3994" i="5"/>
  <c r="N3994" i="5"/>
  <c r="D3994" i="5"/>
  <c r="Q3993" i="5"/>
  <c r="P3993" i="5"/>
  <c r="N3993" i="5"/>
  <c r="D3993" i="5"/>
  <c r="Q3992" i="5"/>
  <c r="P3992" i="5"/>
  <c r="N3992" i="5"/>
  <c r="D3992" i="5"/>
  <c r="Q3991" i="5"/>
  <c r="P3991" i="5"/>
  <c r="N3991" i="5"/>
  <c r="D3991" i="5"/>
  <c r="Q3990" i="5"/>
  <c r="P3990" i="5"/>
  <c r="N3990" i="5"/>
  <c r="D3990" i="5"/>
  <c r="Q3989" i="5"/>
  <c r="P3989" i="5"/>
  <c r="N3989" i="5"/>
  <c r="D3989" i="5"/>
  <c r="Q3988" i="5"/>
  <c r="P3988" i="5"/>
  <c r="N3988" i="5"/>
  <c r="D3988" i="5"/>
  <c r="P3987" i="5"/>
  <c r="N3987" i="5"/>
  <c r="D3987" i="5"/>
  <c r="O3987" i="5" s="1"/>
  <c r="Q3987" i="5" s="1"/>
  <c r="P3986" i="5"/>
  <c r="N3986" i="5"/>
  <c r="D3986" i="5"/>
  <c r="P3985" i="5"/>
  <c r="N3985" i="5"/>
  <c r="D3985" i="5"/>
  <c r="O3985" i="5" s="1"/>
  <c r="Q3985" i="5" s="1"/>
  <c r="P3984" i="5"/>
  <c r="N3984" i="5"/>
  <c r="D3984" i="5"/>
  <c r="O3984" i="5" s="1"/>
  <c r="Q3984" i="5" s="1"/>
  <c r="P3983" i="5"/>
  <c r="N3983" i="5"/>
  <c r="D3983" i="5"/>
  <c r="O3983" i="5" s="1"/>
  <c r="Q3983" i="5" s="1"/>
  <c r="P3982" i="5"/>
  <c r="N3982" i="5"/>
  <c r="D3982" i="5"/>
  <c r="O3982" i="5" s="1"/>
  <c r="Q3982" i="5" s="1"/>
  <c r="P3981" i="5"/>
  <c r="N3981" i="5"/>
  <c r="D3981" i="5"/>
  <c r="O3981" i="5" s="1"/>
  <c r="Q3981" i="5" s="1"/>
  <c r="P3980" i="5"/>
  <c r="N3980" i="5"/>
  <c r="D3980" i="5"/>
  <c r="O3980" i="5" s="1"/>
  <c r="Q3980" i="5" s="1"/>
  <c r="P3979" i="5"/>
  <c r="N3979" i="5"/>
  <c r="D3979" i="5"/>
  <c r="O3979" i="5" s="1"/>
  <c r="Q3979" i="5" s="1"/>
  <c r="P3978" i="5"/>
  <c r="N3978" i="5"/>
  <c r="D3978" i="5"/>
  <c r="O3978" i="5" s="1"/>
  <c r="Q3978" i="5" s="1"/>
  <c r="P3977" i="5"/>
  <c r="N3977" i="5"/>
  <c r="D3977" i="5"/>
  <c r="O3977" i="5" s="1"/>
  <c r="Q3977" i="5" s="1"/>
  <c r="P3976" i="5"/>
  <c r="N3976" i="5"/>
  <c r="D3976" i="5"/>
  <c r="O3976" i="5" s="1"/>
  <c r="Q3976" i="5" s="1"/>
  <c r="P3975" i="5"/>
  <c r="N3975" i="5"/>
  <c r="D3975" i="5"/>
  <c r="O3975" i="5" s="1"/>
  <c r="Q3975" i="5" s="1"/>
  <c r="P3974" i="5"/>
  <c r="N3974" i="5"/>
  <c r="D3974" i="5"/>
  <c r="O3974" i="5" s="1"/>
  <c r="Q3974" i="5" s="1"/>
  <c r="P3973" i="5"/>
  <c r="N3973" i="5"/>
  <c r="D3973" i="5"/>
  <c r="O3973" i="5" s="1"/>
  <c r="Q3973" i="5" s="1"/>
  <c r="P3972" i="5"/>
  <c r="N3972" i="5"/>
  <c r="D3972" i="5"/>
  <c r="O3972" i="5" s="1"/>
  <c r="Q3972" i="5" s="1"/>
  <c r="P3971" i="5"/>
  <c r="N3971" i="5"/>
  <c r="D3971" i="5"/>
  <c r="P3970" i="5"/>
  <c r="N3970" i="5"/>
  <c r="D3970" i="5"/>
  <c r="O3970" i="5" s="1"/>
  <c r="Q3970" i="5" s="1"/>
  <c r="P3969" i="5"/>
  <c r="N3969" i="5"/>
  <c r="D3969" i="5"/>
  <c r="O3969" i="5" s="1"/>
  <c r="Q3969" i="5" s="1"/>
  <c r="P3968" i="5"/>
  <c r="N3968" i="5"/>
  <c r="D3968" i="5"/>
  <c r="O3968" i="5" s="1"/>
  <c r="Q3968" i="5" s="1"/>
  <c r="P3967" i="5"/>
  <c r="N3967" i="5"/>
  <c r="D3967" i="5"/>
  <c r="O3967" i="5" s="1"/>
  <c r="Q3967" i="5" s="1"/>
  <c r="P3966" i="5"/>
  <c r="N3966" i="5"/>
  <c r="D3966" i="5"/>
  <c r="O3966" i="5" s="1"/>
  <c r="Q3966" i="5" s="1"/>
  <c r="P3965" i="5"/>
  <c r="N3965" i="5"/>
  <c r="D3965" i="5"/>
  <c r="O3965" i="5" s="1"/>
  <c r="Q3965" i="5" s="1"/>
  <c r="P3964" i="5"/>
  <c r="N3964" i="5"/>
  <c r="D3964" i="5"/>
  <c r="O3964" i="5" s="1"/>
  <c r="Q3964" i="5" s="1"/>
  <c r="P3963" i="5"/>
  <c r="N3963" i="5"/>
  <c r="D3963" i="5"/>
  <c r="O3963" i="5" s="1"/>
  <c r="Q3963" i="5" s="1"/>
  <c r="P3962" i="5"/>
  <c r="N3962" i="5"/>
  <c r="D3962" i="5"/>
  <c r="O3962" i="5" s="1"/>
  <c r="Q3962" i="5" s="1"/>
  <c r="P3961" i="5"/>
  <c r="N3961" i="5"/>
  <c r="D3961" i="5"/>
  <c r="O3961" i="5" s="1"/>
  <c r="Q3961" i="5" s="1"/>
  <c r="P3960" i="5"/>
  <c r="N3960" i="5"/>
  <c r="D3960" i="5"/>
  <c r="O3960" i="5" s="1"/>
  <c r="Q3960" i="5" s="1"/>
  <c r="P3959" i="5"/>
  <c r="N3959" i="5"/>
  <c r="D3959" i="5"/>
  <c r="O3959" i="5" s="1"/>
  <c r="Q3959" i="5" s="1"/>
  <c r="P3958" i="5"/>
  <c r="N3958" i="5"/>
  <c r="D3958" i="5"/>
  <c r="O3958" i="5" s="1"/>
  <c r="Q3958" i="5" s="1"/>
  <c r="P3957" i="5"/>
  <c r="N3957" i="5"/>
  <c r="D3957" i="5"/>
  <c r="O3957" i="5" s="1"/>
  <c r="Q3957" i="5" s="1"/>
  <c r="P3956" i="5"/>
  <c r="N3956" i="5"/>
  <c r="D3956" i="5"/>
  <c r="O3956" i="5" s="1"/>
  <c r="Q3956" i="5" s="1"/>
  <c r="P3955" i="5"/>
  <c r="N3955" i="5"/>
  <c r="D3955" i="5"/>
  <c r="P3954" i="5"/>
  <c r="N3954" i="5"/>
  <c r="D3954" i="5"/>
  <c r="O3954" i="5" s="1"/>
  <c r="Q3954" i="5" s="1"/>
  <c r="P3953" i="5"/>
  <c r="N3953" i="5"/>
  <c r="D3953" i="5"/>
  <c r="O3953" i="5" s="1"/>
  <c r="Q3953" i="5" s="1"/>
  <c r="P3952" i="5"/>
  <c r="N3952" i="5"/>
  <c r="D3952" i="5"/>
  <c r="O3952" i="5" s="1"/>
  <c r="Q3952" i="5" s="1"/>
  <c r="P3951" i="5"/>
  <c r="N3951" i="5"/>
  <c r="D3951" i="5"/>
  <c r="O3951" i="5" s="1"/>
  <c r="Q3951" i="5" s="1"/>
  <c r="P3950" i="5"/>
  <c r="N3950" i="5"/>
  <c r="D3950" i="5"/>
  <c r="O3950" i="5" s="1"/>
  <c r="Q3950" i="5" s="1"/>
  <c r="P3949" i="5"/>
  <c r="N3949" i="5"/>
  <c r="D3949" i="5"/>
  <c r="O3949" i="5" s="1"/>
  <c r="Q3949" i="5" s="1"/>
  <c r="P3948" i="5"/>
  <c r="N3948" i="5"/>
  <c r="D3948" i="5"/>
  <c r="O3948" i="5" s="1"/>
  <c r="Q3948" i="5" s="1"/>
  <c r="P3947" i="5"/>
  <c r="N3947" i="5"/>
  <c r="D3947" i="5"/>
  <c r="O3947" i="5" s="1"/>
  <c r="Q3947" i="5" s="1"/>
  <c r="P3946" i="5"/>
  <c r="N3946" i="5"/>
  <c r="D3946" i="5"/>
  <c r="O3946" i="5" s="1"/>
  <c r="Q3946" i="5" s="1"/>
  <c r="P3945" i="5"/>
  <c r="N3945" i="5"/>
  <c r="D3945" i="5"/>
  <c r="O3945" i="5" s="1"/>
  <c r="Q3945" i="5" s="1"/>
  <c r="P3944" i="5"/>
  <c r="N3944" i="5"/>
  <c r="D3944" i="5"/>
  <c r="O3944" i="5" s="1"/>
  <c r="Q3944" i="5" s="1"/>
  <c r="P3943" i="5"/>
  <c r="N3943" i="5"/>
  <c r="D3943" i="5"/>
  <c r="O3943" i="5" s="1"/>
  <c r="Q3943" i="5" s="1"/>
  <c r="P3942" i="5"/>
  <c r="N3942" i="5"/>
  <c r="D3942" i="5"/>
  <c r="O3942" i="5" s="1"/>
  <c r="Q3942" i="5" s="1"/>
  <c r="P3941" i="5"/>
  <c r="N3941" i="5"/>
  <c r="D3941" i="5"/>
  <c r="O3941" i="5" s="1"/>
  <c r="Q3941" i="5" s="1"/>
  <c r="P3940" i="5"/>
  <c r="N3940" i="5"/>
  <c r="D3940" i="5"/>
  <c r="O3940" i="5" s="1"/>
  <c r="Q3940" i="5" s="1"/>
  <c r="P3939" i="5"/>
  <c r="N3939" i="5"/>
  <c r="D3939" i="5"/>
  <c r="O3939" i="5" s="1"/>
  <c r="Q3939" i="5" s="1"/>
  <c r="P3938" i="5"/>
  <c r="N3938" i="5"/>
  <c r="D3938" i="5"/>
  <c r="O3938" i="5" s="1"/>
  <c r="Q3938" i="5" s="1"/>
  <c r="P3937" i="5"/>
  <c r="N3937" i="5"/>
  <c r="D3937" i="5"/>
  <c r="O3937" i="5" s="1"/>
  <c r="Q3937" i="5" s="1"/>
  <c r="P3936" i="5"/>
  <c r="N3936" i="5"/>
  <c r="D3936" i="5"/>
  <c r="O3936" i="5" s="1"/>
  <c r="Q3936" i="5" s="1"/>
  <c r="P3935" i="5"/>
  <c r="N3935" i="5"/>
  <c r="D3935" i="5"/>
  <c r="O3935" i="5" s="1"/>
  <c r="Q3935" i="5" s="1"/>
  <c r="P3934" i="5"/>
  <c r="N3934" i="5"/>
  <c r="D3934" i="5"/>
  <c r="O3934" i="5" s="1"/>
  <c r="Q3934" i="5" s="1"/>
  <c r="P3933" i="5"/>
  <c r="N3933" i="5"/>
  <c r="D3933" i="5"/>
  <c r="O3933" i="5" s="1"/>
  <c r="Q3933" i="5" s="1"/>
  <c r="P3932" i="5"/>
  <c r="N3932" i="5"/>
  <c r="D3932" i="5"/>
  <c r="P3931" i="5"/>
  <c r="N3931" i="5"/>
  <c r="D3931" i="5"/>
  <c r="O3931" i="5" s="1"/>
  <c r="Q3931" i="5" s="1"/>
  <c r="P3930" i="5"/>
  <c r="N3930" i="5"/>
  <c r="D3930" i="5"/>
  <c r="O3930" i="5" s="1"/>
  <c r="Q3930" i="5" s="1"/>
  <c r="P3929" i="5"/>
  <c r="N3929" i="5"/>
  <c r="D3929" i="5"/>
  <c r="O3929" i="5" s="1"/>
  <c r="Q3929" i="5" s="1"/>
  <c r="P3928" i="5"/>
  <c r="N3928" i="5"/>
  <c r="D3928" i="5"/>
  <c r="O3928" i="5" s="1"/>
  <c r="Q3928" i="5" s="1"/>
  <c r="P3927" i="5"/>
  <c r="N3927" i="5"/>
  <c r="D3927" i="5"/>
  <c r="O3927" i="5" s="1"/>
  <c r="Q3927" i="5" s="1"/>
  <c r="P3926" i="5"/>
  <c r="N3926" i="5"/>
  <c r="D3926" i="5"/>
  <c r="O3926" i="5" s="1"/>
  <c r="Q3926" i="5" s="1"/>
  <c r="P3925" i="5"/>
  <c r="N3925" i="5"/>
  <c r="D3925" i="5"/>
  <c r="O3925" i="5" s="1"/>
  <c r="Q3925" i="5" s="1"/>
  <c r="P3924" i="5"/>
  <c r="N3924" i="5"/>
  <c r="D3924" i="5"/>
  <c r="O3924" i="5" s="1"/>
  <c r="Q3924" i="5" s="1"/>
  <c r="P3923" i="5"/>
  <c r="N3923" i="5"/>
  <c r="D3923" i="5"/>
  <c r="O3923" i="5" s="1"/>
  <c r="Q3923" i="5" s="1"/>
  <c r="P3922" i="5"/>
  <c r="N3922" i="5"/>
  <c r="D3922" i="5"/>
  <c r="O3922" i="5" s="1"/>
  <c r="Q3922" i="5" s="1"/>
  <c r="P3921" i="5"/>
  <c r="N3921" i="5"/>
  <c r="D3921" i="5"/>
  <c r="O3921" i="5" s="1"/>
  <c r="Q3921" i="5" s="1"/>
  <c r="P3920" i="5"/>
  <c r="N3920" i="5"/>
  <c r="D3920" i="5"/>
  <c r="O3920" i="5" s="1"/>
  <c r="Q3920" i="5" s="1"/>
  <c r="P3919" i="5"/>
  <c r="N3919" i="5"/>
  <c r="D3919" i="5"/>
  <c r="O3919" i="5" s="1"/>
  <c r="Q3919" i="5" s="1"/>
  <c r="P3918" i="5"/>
  <c r="N3918" i="5"/>
  <c r="D3918" i="5"/>
  <c r="O3918" i="5" s="1"/>
  <c r="Q3918" i="5" s="1"/>
  <c r="P3917" i="5"/>
  <c r="N3917" i="5"/>
  <c r="D3917" i="5"/>
  <c r="O3917" i="5" s="1"/>
  <c r="Q3917" i="5" s="1"/>
  <c r="P3916" i="5"/>
  <c r="N3916" i="5"/>
  <c r="D3916" i="5"/>
  <c r="O3916" i="5" s="1"/>
  <c r="Q3916" i="5" s="1"/>
  <c r="P3915" i="5"/>
  <c r="N3915" i="5"/>
  <c r="D3915" i="5"/>
  <c r="O3915" i="5" s="1"/>
  <c r="Q3915" i="5" s="1"/>
  <c r="P3914" i="5"/>
  <c r="N3914" i="5"/>
  <c r="D3914" i="5"/>
  <c r="O3914" i="5" s="1"/>
  <c r="Q3914" i="5" s="1"/>
  <c r="P3913" i="5"/>
  <c r="N3913" i="5"/>
  <c r="D3913" i="5"/>
  <c r="O3913" i="5" s="1"/>
  <c r="Q3913" i="5" s="1"/>
  <c r="P3912" i="5"/>
  <c r="N3912" i="5"/>
  <c r="D3912" i="5"/>
  <c r="O3912" i="5" s="1"/>
  <c r="Q3912" i="5" s="1"/>
  <c r="P3911" i="5"/>
  <c r="N3911" i="5"/>
  <c r="D3911" i="5"/>
  <c r="O3911" i="5" s="1"/>
  <c r="Q3911" i="5" s="1"/>
  <c r="P3910" i="5"/>
  <c r="N3910" i="5"/>
  <c r="D3910" i="5"/>
  <c r="O3910" i="5" s="1"/>
  <c r="Q3910" i="5" s="1"/>
  <c r="P3909" i="5"/>
  <c r="N3909" i="5"/>
  <c r="D3909" i="5"/>
  <c r="O3909" i="5" s="1"/>
  <c r="Q3909" i="5" s="1"/>
  <c r="P3908" i="5"/>
  <c r="N3908" i="5"/>
  <c r="D3908" i="5"/>
  <c r="P3907" i="5"/>
  <c r="N3907" i="5"/>
  <c r="D3907" i="5"/>
  <c r="O3907" i="5" s="1"/>
  <c r="Q3907" i="5" s="1"/>
  <c r="P3906" i="5"/>
  <c r="N3906" i="5"/>
  <c r="D3906" i="5"/>
  <c r="O3906" i="5" s="1"/>
  <c r="Q3906" i="5" s="1"/>
  <c r="P3905" i="5"/>
  <c r="N3905" i="5"/>
  <c r="D3905" i="5"/>
  <c r="O3905" i="5" s="1"/>
  <c r="Q3905" i="5" s="1"/>
  <c r="P3904" i="5"/>
  <c r="N3904" i="5"/>
  <c r="D3904" i="5"/>
  <c r="O3904" i="5" s="1"/>
  <c r="Q3904" i="5" s="1"/>
  <c r="P3903" i="5"/>
  <c r="N3903" i="5"/>
  <c r="D3903" i="5"/>
  <c r="O3903" i="5" s="1"/>
  <c r="Q3903" i="5" s="1"/>
  <c r="P3902" i="5"/>
  <c r="N3902" i="5"/>
  <c r="D3902" i="5"/>
  <c r="O3902" i="5" s="1"/>
  <c r="Q3902" i="5" s="1"/>
  <c r="P3901" i="5"/>
  <c r="N3901" i="5"/>
  <c r="D3901" i="5"/>
  <c r="O3901" i="5" s="1"/>
  <c r="Q3901" i="5" s="1"/>
  <c r="P3900" i="5"/>
  <c r="N3900" i="5"/>
  <c r="D3900" i="5"/>
  <c r="O3900" i="5" s="1"/>
  <c r="Q3900" i="5" s="1"/>
  <c r="P3899" i="5"/>
  <c r="N3899" i="5"/>
  <c r="D3899" i="5"/>
  <c r="O3899" i="5" s="1"/>
  <c r="Q3899" i="5" s="1"/>
  <c r="P3898" i="5"/>
  <c r="N3898" i="5"/>
  <c r="D3898" i="5"/>
  <c r="O3898" i="5" s="1"/>
  <c r="Q3898" i="5" s="1"/>
  <c r="P3897" i="5"/>
  <c r="N3897" i="5"/>
  <c r="D3897" i="5"/>
  <c r="O3897" i="5" s="1"/>
  <c r="Q3897" i="5" s="1"/>
  <c r="P3896" i="5"/>
  <c r="N3896" i="5"/>
  <c r="D3896" i="5"/>
  <c r="O3896" i="5" s="1"/>
  <c r="Q3896" i="5" s="1"/>
  <c r="P3895" i="5"/>
  <c r="N3895" i="5"/>
  <c r="D3895" i="5"/>
  <c r="P3894" i="5"/>
  <c r="N3894" i="5"/>
  <c r="D3894" i="5"/>
  <c r="O3894" i="5" s="1"/>
  <c r="Q3894" i="5" s="1"/>
  <c r="P3893" i="5"/>
  <c r="N3893" i="5"/>
  <c r="D3893" i="5"/>
  <c r="O3893" i="5" s="1"/>
  <c r="Q3893" i="5" s="1"/>
  <c r="P3892" i="5"/>
  <c r="N3892" i="5"/>
  <c r="D3892" i="5"/>
  <c r="O3892" i="5" s="1"/>
  <c r="Q3892" i="5" s="1"/>
  <c r="P3891" i="5"/>
  <c r="N3891" i="5"/>
  <c r="D3891" i="5"/>
  <c r="O3891" i="5" s="1"/>
  <c r="Q3891" i="5" s="1"/>
  <c r="P3890" i="5"/>
  <c r="N3890" i="5"/>
  <c r="D3890" i="5"/>
  <c r="O3890" i="5" s="1"/>
  <c r="Q3890" i="5" s="1"/>
  <c r="P3889" i="5"/>
  <c r="N3889" i="5"/>
  <c r="D3889" i="5"/>
  <c r="O3889" i="5" s="1"/>
  <c r="Q3889" i="5" s="1"/>
  <c r="P3888" i="5"/>
  <c r="N3888" i="5"/>
  <c r="D3888" i="5"/>
  <c r="O3888" i="5" s="1"/>
  <c r="Q3888" i="5" s="1"/>
  <c r="P3887" i="5"/>
  <c r="N3887" i="5"/>
  <c r="D3887" i="5"/>
  <c r="O3887" i="5" s="1"/>
  <c r="Q3887" i="5" s="1"/>
  <c r="P3886" i="5"/>
  <c r="N3886" i="5"/>
  <c r="D3886" i="5"/>
  <c r="O3886" i="5" s="1"/>
  <c r="Q3886" i="5" s="1"/>
  <c r="P3885" i="5"/>
  <c r="N3885" i="5"/>
  <c r="D3885" i="5"/>
  <c r="O3885" i="5" s="1"/>
  <c r="Q3885" i="5" s="1"/>
  <c r="P3884" i="5"/>
  <c r="N3884" i="5"/>
  <c r="D3884" i="5"/>
  <c r="O3884" i="5" s="1"/>
  <c r="Q3884" i="5" s="1"/>
  <c r="P3883" i="5"/>
  <c r="N3883" i="5"/>
  <c r="D3883" i="5"/>
  <c r="O3883" i="5" s="1"/>
  <c r="Q3883" i="5" s="1"/>
  <c r="P3882" i="5"/>
  <c r="N3882" i="5"/>
  <c r="D3882" i="5"/>
  <c r="O3882" i="5" s="1"/>
  <c r="Q3882" i="5" s="1"/>
  <c r="P3881" i="5"/>
  <c r="N3881" i="5"/>
  <c r="D3881" i="5"/>
  <c r="O3881" i="5" s="1"/>
  <c r="Q3881" i="5" s="1"/>
  <c r="P3880" i="5"/>
  <c r="N3880" i="5"/>
  <c r="D3880" i="5"/>
  <c r="O3880" i="5" s="1"/>
  <c r="Q3880" i="5" s="1"/>
  <c r="P3879" i="5"/>
  <c r="N3879" i="5"/>
  <c r="D3879" i="5"/>
  <c r="O3879" i="5" s="1"/>
  <c r="Q3879" i="5" s="1"/>
  <c r="P3878" i="5"/>
  <c r="N3878" i="5"/>
  <c r="D3878" i="5"/>
  <c r="O3878" i="5" s="1"/>
  <c r="Q3878" i="5" s="1"/>
  <c r="P3877" i="5"/>
  <c r="N3877" i="5"/>
  <c r="D3877" i="5"/>
  <c r="O3877" i="5" s="1"/>
  <c r="Q3877" i="5" s="1"/>
  <c r="P3876" i="5"/>
  <c r="N3876" i="5"/>
  <c r="D3876" i="5"/>
  <c r="O3876" i="5" s="1"/>
  <c r="Q3876" i="5" s="1"/>
  <c r="P3875" i="5"/>
  <c r="N3875" i="5"/>
  <c r="D3875" i="5"/>
  <c r="O3875" i="5" s="1"/>
  <c r="Q3875" i="5" s="1"/>
  <c r="P3874" i="5"/>
  <c r="N3874" i="5"/>
  <c r="D3874" i="5"/>
  <c r="O3874" i="5" s="1"/>
  <c r="Q3874" i="5" s="1"/>
  <c r="P3873" i="5"/>
  <c r="N3873" i="5"/>
  <c r="D3873" i="5"/>
  <c r="O3873" i="5" s="1"/>
  <c r="Q3873" i="5" s="1"/>
  <c r="P3872" i="5"/>
  <c r="N3872" i="5"/>
  <c r="D3872" i="5"/>
  <c r="O3872" i="5" s="1"/>
  <c r="Q3872" i="5" s="1"/>
  <c r="P3871" i="5"/>
  <c r="N3871" i="5"/>
  <c r="D3871" i="5"/>
  <c r="O3871" i="5" s="1"/>
  <c r="Q3871" i="5" s="1"/>
  <c r="P3870" i="5"/>
  <c r="N3870" i="5"/>
  <c r="D3870" i="5"/>
  <c r="O3870" i="5" s="1"/>
  <c r="Q3870" i="5" s="1"/>
  <c r="P3869" i="5"/>
  <c r="N3869" i="5"/>
  <c r="D3869" i="5"/>
  <c r="O3869" i="5" s="1"/>
  <c r="Q3869" i="5" s="1"/>
  <c r="P3868" i="5"/>
  <c r="N3868" i="5"/>
  <c r="D3868" i="5"/>
  <c r="O3868" i="5" s="1"/>
  <c r="Q3868" i="5" s="1"/>
  <c r="P3867" i="5"/>
  <c r="N3867" i="5"/>
  <c r="D3867" i="5"/>
  <c r="O3867" i="5" s="1"/>
  <c r="Q3867" i="5" s="1"/>
  <c r="P3866" i="5"/>
  <c r="N3866" i="5"/>
  <c r="D3866" i="5"/>
  <c r="O3866" i="5" s="1"/>
  <c r="Q3866" i="5" s="1"/>
  <c r="P3865" i="5"/>
  <c r="N3865" i="5"/>
  <c r="D3865" i="5"/>
  <c r="O3865" i="5" s="1"/>
  <c r="Q3865" i="5" s="1"/>
  <c r="P3864" i="5"/>
  <c r="N3864" i="5"/>
  <c r="D3864" i="5"/>
  <c r="O3864" i="5" s="1"/>
  <c r="Q3864" i="5" s="1"/>
  <c r="P3863" i="5"/>
  <c r="N3863" i="5"/>
  <c r="D3863" i="5"/>
  <c r="O3863" i="5" s="1"/>
  <c r="Q3863" i="5" s="1"/>
  <c r="P3862" i="5"/>
  <c r="N3862" i="5"/>
  <c r="D3862" i="5"/>
  <c r="O3862" i="5" s="1"/>
  <c r="Q3862" i="5" s="1"/>
  <c r="P3861" i="5"/>
  <c r="N3861" i="5"/>
  <c r="D3861" i="5"/>
  <c r="O3861" i="5" s="1"/>
  <c r="Q3861" i="5" s="1"/>
  <c r="P3860" i="5"/>
  <c r="N3860" i="5"/>
  <c r="D3860" i="5"/>
  <c r="O3860" i="5" s="1"/>
  <c r="Q3860" i="5" s="1"/>
  <c r="P3859" i="5"/>
  <c r="N3859" i="5"/>
  <c r="D3859" i="5"/>
  <c r="O3859" i="5" s="1"/>
  <c r="Q3859" i="5" s="1"/>
  <c r="P3858" i="5"/>
  <c r="N3858" i="5"/>
  <c r="D3858" i="5"/>
  <c r="O3858" i="5" s="1"/>
  <c r="Q3858" i="5" s="1"/>
  <c r="P3857" i="5"/>
  <c r="N3857" i="5"/>
  <c r="D3857" i="5"/>
  <c r="O3857" i="5" s="1"/>
  <c r="Q3857" i="5" s="1"/>
  <c r="P3856" i="5"/>
  <c r="N3856" i="5"/>
  <c r="D3856" i="5"/>
  <c r="O3856" i="5" s="1"/>
  <c r="Q3856" i="5" s="1"/>
  <c r="P3855" i="5"/>
  <c r="N3855" i="5"/>
  <c r="D3855" i="5"/>
  <c r="O3855" i="5" s="1"/>
  <c r="Q3855" i="5" s="1"/>
  <c r="P3854" i="5"/>
  <c r="N3854" i="5"/>
  <c r="D3854" i="5"/>
  <c r="O3854" i="5" s="1"/>
  <c r="Q3854" i="5" s="1"/>
  <c r="P3853" i="5"/>
  <c r="N3853" i="5"/>
  <c r="D3853" i="5"/>
  <c r="O3853" i="5" s="1"/>
  <c r="Q3853" i="5" s="1"/>
  <c r="P3852" i="5"/>
  <c r="N3852" i="5"/>
  <c r="D3852" i="5"/>
  <c r="O3852" i="5" s="1"/>
  <c r="Q3852" i="5" s="1"/>
  <c r="P3851" i="5"/>
  <c r="N3851" i="5"/>
  <c r="D3851" i="5"/>
  <c r="O3851" i="5" s="1"/>
  <c r="Q3851" i="5" s="1"/>
  <c r="P3850" i="5"/>
  <c r="N3850" i="5"/>
  <c r="D3850" i="5"/>
  <c r="O3850" i="5" s="1"/>
  <c r="Q3850" i="5" s="1"/>
  <c r="P3849" i="5"/>
  <c r="N3849" i="5"/>
  <c r="D3849" i="5"/>
  <c r="O3849" i="5" s="1"/>
  <c r="Q3849" i="5" s="1"/>
  <c r="P3848" i="5"/>
  <c r="N3848" i="5"/>
  <c r="D3848" i="5"/>
  <c r="O3848" i="5" s="1"/>
  <c r="Q3848" i="5" s="1"/>
  <c r="P3847" i="5"/>
  <c r="N3847" i="5"/>
  <c r="D3847" i="5"/>
  <c r="O3847" i="5" s="1"/>
  <c r="Q3847" i="5" s="1"/>
  <c r="P3846" i="5"/>
  <c r="N3846" i="5"/>
  <c r="D3846" i="5"/>
  <c r="O3846" i="5" s="1"/>
  <c r="Q3846" i="5" s="1"/>
  <c r="P3845" i="5"/>
  <c r="N3845" i="5"/>
  <c r="D3845" i="5"/>
  <c r="O3845" i="5" s="1"/>
  <c r="Q3845" i="5" s="1"/>
  <c r="P3844" i="5"/>
  <c r="N3844" i="5"/>
  <c r="D3844" i="5"/>
  <c r="O3844" i="5" s="1"/>
  <c r="Q3844" i="5" s="1"/>
  <c r="P3843" i="5"/>
  <c r="N3843" i="5"/>
  <c r="D3843" i="5"/>
  <c r="P3842" i="5"/>
  <c r="N3842" i="5"/>
  <c r="D3842" i="5"/>
  <c r="O3842" i="5" s="1"/>
  <c r="Q3842" i="5" s="1"/>
  <c r="P3841" i="5"/>
  <c r="N3841" i="5"/>
  <c r="D3841" i="5"/>
  <c r="O3841" i="5" s="1"/>
  <c r="Q3841" i="5" s="1"/>
  <c r="P3840" i="5"/>
  <c r="N3840" i="5"/>
  <c r="D3840" i="5"/>
  <c r="O3840" i="5" s="1"/>
  <c r="Q3840" i="5" s="1"/>
  <c r="P3839" i="5"/>
  <c r="N3839" i="5"/>
  <c r="D3839" i="5"/>
  <c r="O3839" i="5" s="1"/>
  <c r="Q3839" i="5" s="1"/>
  <c r="P3838" i="5"/>
  <c r="N3838" i="5"/>
  <c r="D3838" i="5"/>
  <c r="O3838" i="5" s="1"/>
  <c r="Q3838" i="5" s="1"/>
  <c r="P3837" i="5"/>
  <c r="N3837" i="5"/>
  <c r="D3837" i="5"/>
  <c r="O3837" i="5" s="1"/>
  <c r="Q3837" i="5" s="1"/>
  <c r="P3836" i="5"/>
  <c r="N3836" i="5"/>
  <c r="D3836" i="5"/>
  <c r="O3836" i="5" s="1"/>
  <c r="Q3836" i="5" s="1"/>
  <c r="P3835" i="5"/>
  <c r="N3835" i="5"/>
  <c r="D3835" i="5"/>
  <c r="O3835" i="5" s="1"/>
  <c r="Q3835" i="5" s="1"/>
  <c r="P3834" i="5"/>
  <c r="N3834" i="5"/>
  <c r="D3834" i="5"/>
  <c r="O3834" i="5" s="1"/>
  <c r="Q3834" i="5" s="1"/>
  <c r="P3833" i="5"/>
  <c r="N3833" i="5"/>
  <c r="D3833" i="5"/>
  <c r="O3833" i="5" s="1"/>
  <c r="Q3833" i="5" s="1"/>
  <c r="P3832" i="5"/>
  <c r="N3832" i="5"/>
  <c r="D3832" i="5"/>
  <c r="O3832" i="5" s="1"/>
  <c r="Q3832" i="5" s="1"/>
  <c r="P3831" i="5"/>
  <c r="N3831" i="5"/>
  <c r="D3831" i="5"/>
  <c r="P3830" i="5"/>
  <c r="N3830" i="5"/>
  <c r="D3830" i="5"/>
  <c r="O3830" i="5" s="1"/>
  <c r="Q3830" i="5" s="1"/>
  <c r="P3829" i="5"/>
  <c r="N3829" i="5"/>
  <c r="D3829" i="5"/>
  <c r="O3829" i="5" s="1"/>
  <c r="Q3829" i="5" s="1"/>
  <c r="P3828" i="5"/>
  <c r="N3828" i="5"/>
  <c r="D3828" i="5"/>
  <c r="O3828" i="5" s="1"/>
  <c r="Q3828" i="5" s="1"/>
  <c r="P3827" i="5"/>
  <c r="N3827" i="5"/>
  <c r="D3827" i="5"/>
  <c r="O3827" i="5" s="1"/>
  <c r="Q3827" i="5" s="1"/>
  <c r="P3826" i="5"/>
  <c r="N3826" i="5"/>
  <c r="D3826" i="5"/>
  <c r="O3826" i="5" s="1"/>
  <c r="Q3826" i="5" s="1"/>
  <c r="P3825" i="5"/>
  <c r="N3825" i="5"/>
  <c r="D3825" i="5"/>
  <c r="P3824" i="5"/>
  <c r="N3824" i="5"/>
  <c r="D3824" i="5"/>
  <c r="O3824" i="5" s="1"/>
  <c r="Q3824" i="5" s="1"/>
  <c r="P3823" i="5"/>
  <c r="N3823" i="5"/>
  <c r="D3823" i="5"/>
  <c r="O3823" i="5" s="1"/>
  <c r="Q3823" i="5" s="1"/>
  <c r="P3822" i="5"/>
  <c r="N3822" i="5"/>
  <c r="D3822" i="5"/>
  <c r="O3822" i="5" s="1"/>
  <c r="Q3822" i="5" s="1"/>
  <c r="P3821" i="5"/>
  <c r="N3821" i="5"/>
  <c r="D3821" i="5"/>
  <c r="O3821" i="5" s="1"/>
  <c r="Q3821" i="5" s="1"/>
  <c r="P3820" i="5"/>
  <c r="N3820" i="5"/>
  <c r="D3820" i="5"/>
  <c r="P3819" i="5"/>
  <c r="N3819" i="5"/>
  <c r="D3819" i="5"/>
  <c r="O3819" i="5" s="1"/>
  <c r="Q3819" i="5" s="1"/>
  <c r="P3818" i="5"/>
  <c r="N3818" i="5"/>
  <c r="D3818" i="5"/>
  <c r="P3817" i="5"/>
  <c r="N3817" i="5"/>
  <c r="D3817" i="5"/>
  <c r="O3817" i="5" s="1"/>
  <c r="Q3817" i="5" s="1"/>
  <c r="P3816" i="5"/>
  <c r="N3816" i="5"/>
  <c r="D3816" i="5"/>
  <c r="O3816" i="5" s="1"/>
  <c r="Q3816" i="5" s="1"/>
  <c r="P3815" i="5"/>
  <c r="N3815" i="5"/>
  <c r="D3815" i="5"/>
  <c r="O3815" i="5" s="1"/>
  <c r="Q3815" i="5" s="1"/>
  <c r="Q3814" i="5"/>
  <c r="P3814" i="5"/>
  <c r="N3814" i="5"/>
  <c r="D3814" i="5"/>
  <c r="Q3813" i="5"/>
  <c r="P3813" i="5"/>
  <c r="N3813" i="5"/>
  <c r="D3813" i="5"/>
  <c r="Q3812" i="5"/>
  <c r="P3812" i="5"/>
  <c r="N3812" i="5"/>
  <c r="D3812" i="5"/>
  <c r="Q3811" i="5"/>
  <c r="P3811" i="5"/>
  <c r="N3811" i="5"/>
  <c r="D3811" i="5"/>
  <c r="Q3810" i="5"/>
  <c r="P3810" i="5"/>
  <c r="N3810" i="5"/>
  <c r="D3810" i="5"/>
  <c r="Q3809" i="5"/>
  <c r="P3809" i="5"/>
  <c r="N3809" i="5"/>
  <c r="D3809" i="5"/>
  <c r="Q3808" i="5"/>
  <c r="P3808" i="5"/>
  <c r="N3808" i="5"/>
  <c r="D3808" i="5"/>
  <c r="Q3807" i="5"/>
  <c r="P3807" i="5"/>
  <c r="N3807" i="5"/>
  <c r="D3807" i="5"/>
  <c r="Q3806" i="5"/>
  <c r="P3806" i="5"/>
  <c r="N3806" i="5"/>
  <c r="D3806" i="5"/>
  <c r="P3805" i="5"/>
  <c r="N3805" i="5"/>
  <c r="D3805" i="5"/>
  <c r="O3805" i="5" s="1"/>
  <c r="Q3805" i="5" s="1"/>
  <c r="P3804" i="5"/>
  <c r="N3804" i="5"/>
  <c r="D3804" i="5"/>
  <c r="O3804" i="5" s="1"/>
  <c r="Q3804" i="5" s="1"/>
  <c r="P3803" i="5"/>
  <c r="N3803" i="5"/>
  <c r="D3803" i="5"/>
  <c r="O3803" i="5" s="1"/>
  <c r="Q3803" i="5" s="1"/>
  <c r="P3802" i="5"/>
  <c r="N3802" i="5"/>
  <c r="D3802" i="5"/>
  <c r="O3802" i="5" s="1"/>
  <c r="Q3802" i="5" s="1"/>
  <c r="P3801" i="5"/>
  <c r="N3801" i="5"/>
  <c r="D3801" i="5"/>
  <c r="O3801" i="5" s="1"/>
  <c r="Q3801" i="5" s="1"/>
  <c r="P3800" i="5"/>
  <c r="N3800" i="5"/>
  <c r="D3800" i="5"/>
  <c r="O3800" i="5" s="1"/>
  <c r="Q3800" i="5" s="1"/>
  <c r="P3799" i="5"/>
  <c r="N3799" i="5"/>
  <c r="D3799" i="5"/>
  <c r="O3799" i="5" s="1"/>
  <c r="Q3799" i="5" s="1"/>
  <c r="P3798" i="5"/>
  <c r="N3798" i="5"/>
  <c r="D3798" i="5"/>
  <c r="O3798" i="5" s="1"/>
  <c r="Q3798" i="5" s="1"/>
  <c r="P3797" i="5"/>
  <c r="N3797" i="5"/>
  <c r="D3797" i="5"/>
  <c r="O3797" i="5" s="1"/>
  <c r="Q3797" i="5" s="1"/>
  <c r="P3796" i="5"/>
  <c r="N3796" i="5"/>
  <c r="D3796" i="5"/>
  <c r="O3796" i="5" s="1"/>
  <c r="Q3796" i="5" s="1"/>
  <c r="P3795" i="5"/>
  <c r="N3795" i="5"/>
  <c r="D3795" i="5"/>
  <c r="O3795" i="5" s="1"/>
  <c r="Q3795" i="5" s="1"/>
  <c r="P3794" i="5"/>
  <c r="N3794" i="5"/>
  <c r="D3794" i="5"/>
  <c r="O3794" i="5" s="1"/>
  <c r="Q3794" i="5" s="1"/>
  <c r="P3793" i="5"/>
  <c r="N3793" i="5"/>
  <c r="D3793" i="5"/>
  <c r="O3793" i="5" s="1"/>
  <c r="Q3793" i="5" s="1"/>
  <c r="P3792" i="5"/>
  <c r="N3792" i="5"/>
  <c r="D3792" i="5"/>
  <c r="O3792" i="5" s="1"/>
  <c r="Q3792" i="5" s="1"/>
  <c r="P3791" i="5"/>
  <c r="N3791" i="5"/>
  <c r="D3791" i="5"/>
  <c r="O3791" i="5" s="1"/>
  <c r="Q3791" i="5" s="1"/>
  <c r="P3790" i="5"/>
  <c r="N3790" i="5"/>
  <c r="D3790" i="5"/>
  <c r="O3790" i="5" s="1"/>
  <c r="Q3790" i="5" s="1"/>
  <c r="P3789" i="5"/>
  <c r="N3789" i="5"/>
  <c r="D3789" i="5"/>
  <c r="O3789" i="5" s="1"/>
  <c r="Q3789" i="5" s="1"/>
  <c r="P3788" i="5"/>
  <c r="N3788" i="5"/>
  <c r="D3788" i="5"/>
  <c r="O3788" i="5" s="1"/>
  <c r="Q3788" i="5" s="1"/>
  <c r="P3787" i="5"/>
  <c r="N3787" i="5"/>
  <c r="D3787" i="5"/>
  <c r="O3787" i="5" s="1"/>
  <c r="Q3787" i="5" s="1"/>
  <c r="P3786" i="5"/>
  <c r="N3786" i="5"/>
  <c r="D3786" i="5"/>
  <c r="O3786" i="5" s="1"/>
  <c r="Q3786" i="5" s="1"/>
  <c r="P3785" i="5"/>
  <c r="N3785" i="5"/>
  <c r="D3785" i="5"/>
  <c r="O3785" i="5" s="1"/>
  <c r="Q3785" i="5" s="1"/>
  <c r="P3784" i="5"/>
  <c r="N3784" i="5"/>
  <c r="D3784" i="5"/>
  <c r="O3784" i="5" s="1"/>
  <c r="Q3784" i="5" s="1"/>
  <c r="P3783" i="5"/>
  <c r="N3783" i="5"/>
  <c r="D3783" i="5"/>
  <c r="O3783" i="5" s="1"/>
  <c r="Q3783" i="5" s="1"/>
  <c r="P3782" i="5"/>
  <c r="N3782" i="5"/>
  <c r="D3782" i="5"/>
  <c r="O3782" i="5" s="1"/>
  <c r="Q3782" i="5" s="1"/>
  <c r="P3781" i="5"/>
  <c r="N3781" i="5"/>
  <c r="D3781" i="5"/>
  <c r="O3781" i="5" s="1"/>
  <c r="Q3781" i="5" s="1"/>
  <c r="P3780" i="5"/>
  <c r="N3780" i="5"/>
  <c r="D3780" i="5"/>
  <c r="O3780" i="5" s="1"/>
  <c r="Q3780" i="5" s="1"/>
  <c r="P3779" i="5"/>
  <c r="N3779" i="5"/>
  <c r="D3779" i="5"/>
  <c r="O3779" i="5" s="1"/>
  <c r="Q3779" i="5" s="1"/>
  <c r="P3778" i="5"/>
  <c r="N3778" i="5"/>
  <c r="D3778" i="5"/>
  <c r="O3778" i="5" s="1"/>
  <c r="Q3778" i="5" s="1"/>
  <c r="P3777" i="5"/>
  <c r="N3777" i="5"/>
  <c r="D3777" i="5"/>
  <c r="O3777" i="5" s="1"/>
  <c r="Q3777" i="5" s="1"/>
  <c r="P3776" i="5"/>
  <c r="N3776" i="5"/>
  <c r="D3776" i="5"/>
  <c r="O3776" i="5" s="1"/>
  <c r="Q3776" i="5" s="1"/>
  <c r="P3775" i="5"/>
  <c r="N3775" i="5"/>
  <c r="D3775" i="5"/>
  <c r="O3775" i="5" s="1"/>
  <c r="Q3775" i="5" s="1"/>
  <c r="P3774" i="5"/>
  <c r="N3774" i="5"/>
  <c r="D3774" i="5"/>
  <c r="O3774" i="5" s="1"/>
  <c r="Q3774" i="5" s="1"/>
  <c r="P3773" i="5"/>
  <c r="N3773" i="5"/>
  <c r="D3773" i="5"/>
  <c r="O3773" i="5" s="1"/>
  <c r="Q3773" i="5" s="1"/>
  <c r="P3772" i="5"/>
  <c r="N3772" i="5"/>
  <c r="D3772" i="5"/>
  <c r="O3772" i="5" s="1"/>
  <c r="Q3772" i="5" s="1"/>
  <c r="P3771" i="5"/>
  <c r="N3771" i="5"/>
  <c r="D3771" i="5"/>
  <c r="O3771" i="5" s="1"/>
  <c r="Q3771" i="5" s="1"/>
  <c r="P3770" i="5"/>
  <c r="N3770" i="5"/>
  <c r="D3770" i="5"/>
  <c r="P3769" i="5"/>
  <c r="N3769" i="5"/>
  <c r="D3769" i="5"/>
  <c r="O3769" i="5" s="1"/>
  <c r="Q3769" i="5" s="1"/>
  <c r="P3768" i="5"/>
  <c r="N3768" i="5"/>
  <c r="D3768" i="5"/>
  <c r="O3768" i="5" s="1"/>
  <c r="Q3768" i="5" s="1"/>
  <c r="P3767" i="5"/>
  <c r="N3767" i="5"/>
  <c r="D3767" i="5"/>
  <c r="O3767" i="5" s="1"/>
  <c r="Q3767" i="5" s="1"/>
  <c r="P3766" i="5"/>
  <c r="N3766" i="5"/>
  <c r="D3766" i="5"/>
  <c r="O3766" i="5" s="1"/>
  <c r="Q3766" i="5" s="1"/>
  <c r="P3765" i="5"/>
  <c r="N3765" i="5"/>
  <c r="D3765" i="5"/>
  <c r="O3765" i="5" s="1"/>
  <c r="Q3765" i="5" s="1"/>
  <c r="P3764" i="5"/>
  <c r="N3764" i="5"/>
  <c r="D3764" i="5"/>
  <c r="O3764" i="5" s="1"/>
  <c r="Q3764" i="5" s="1"/>
  <c r="P3763" i="5"/>
  <c r="N3763" i="5"/>
  <c r="D3763" i="5"/>
  <c r="O3763" i="5" s="1"/>
  <c r="Q3763" i="5" s="1"/>
  <c r="P3762" i="5"/>
  <c r="N3762" i="5"/>
  <c r="D3762" i="5"/>
  <c r="O3762" i="5" s="1"/>
  <c r="Q3762" i="5" s="1"/>
  <c r="P3761" i="5"/>
  <c r="N3761" i="5"/>
  <c r="D3761" i="5"/>
  <c r="P3760" i="5"/>
  <c r="N3760" i="5"/>
  <c r="D3760" i="5"/>
  <c r="O3760" i="5" s="1"/>
  <c r="Q3760" i="5" s="1"/>
  <c r="P3759" i="5"/>
  <c r="N3759" i="5"/>
  <c r="D3759" i="5"/>
  <c r="O3759" i="5" s="1"/>
  <c r="Q3759" i="5" s="1"/>
  <c r="P3758" i="5"/>
  <c r="N3758" i="5"/>
  <c r="D3758" i="5"/>
  <c r="O3758" i="5" s="1"/>
  <c r="Q3758" i="5" s="1"/>
  <c r="P3757" i="5"/>
  <c r="N3757" i="5"/>
  <c r="D3757" i="5"/>
  <c r="O3757" i="5" s="1"/>
  <c r="Q3757" i="5" s="1"/>
  <c r="P3756" i="5"/>
  <c r="N3756" i="5"/>
  <c r="D3756" i="5"/>
  <c r="O3756" i="5" s="1"/>
  <c r="Q3756" i="5" s="1"/>
  <c r="P3755" i="5"/>
  <c r="N3755" i="5"/>
  <c r="D3755" i="5"/>
  <c r="O3755" i="5" s="1"/>
  <c r="Q3755" i="5" s="1"/>
  <c r="P3754" i="5"/>
  <c r="N3754" i="5"/>
  <c r="D3754" i="5"/>
  <c r="O3754" i="5" s="1"/>
  <c r="Q3754" i="5" s="1"/>
  <c r="P3753" i="5"/>
  <c r="N3753" i="5"/>
  <c r="D3753" i="5"/>
  <c r="O3753" i="5" s="1"/>
  <c r="Q3753" i="5" s="1"/>
  <c r="P3752" i="5"/>
  <c r="N3752" i="5"/>
  <c r="D3752" i="5"/>
  <c r="O3752" i="5" s="1"/>
  <c r="Q3752" i="5" s="1"/>
  <c r="P3751" i="5"/>
  <c r="N3751" i="5"/>
  <c r="D3751" i="5"/>
  <c r="O3751" i="5" s="1"/>
  <c r="Q3751" i="5" s="1"/>
  <c r="P3750" i="5"/>
  <c r="N3750" i="5"/>
  <c r="D3750" i="5"/>
  <c r="O3750" i="5" s="1"/>
  <c r="Q3750" i="5" s="1"/>
  <c r="P3749" i="5"/>
  <c r="N3749" i="5"/>
  <c r="D3749" i="5"/>
  <c r="O3749" i="5" s="1"/>
  <c r="Q3749" i="5" s="1"/>
  <c r="P3748" i="5"/>
  <c r="N3748" i="5"/>
  <c r="D3748" i="5"/>
  <c r="O3748" i="5" s="1"/>
  <c r="Q3748" i="5" s="1"/>
  <c r="P3747" i="5"/>
  <c r="N3747" i="5"/>
  <c r="D3747" i="5"/>
  <c r="P3746" i="5"/>
  <c r="N3746" i="5"/>
  <c r="D3746" i="5"/>
  <c r="O3746" i="5" s="1"/>
  <c r="Q3746" i="5" s="1"/>
  <c r="P3745" i="5"/>
  <c r="N3745" i="5"/>
  <c r="D3745" i="5"/>
  <c r="O3745" i="5" s="1"/>
  <c r="Q3745" i="5" s="1"/>
  <c r="P3744" i="5"/>
  <c r="N3744" i="5"/>
  <c r="D3744" i="5"/>
  <c r="O3744" i="5" s="1"/>
  <c r="Q3744" i="5" s="1"/>
  <c r="P3743" i="5"/>
  <c r="N3743" i="5"/>
  <c r="D3743" i="5"/>
  <c r="O3743" i="5" s="1"/>
  <c r="Q3743" i="5" s="1"/>
  <c r="P3742" i="5"/>
  <c r="N3742" i="5"/>
  <c r="D3742" i="5"/>
  <c r="O3742" i="5" s="1"/>
  <c r="Q3742" i="5" s="1"/>
  <c r="P3741" i="5"/>
  <c r="N3741" i="5"/>
  <c r="D3741" i="5"/>
  <c r="O3741" i="5" s="1"/>
  <c r="Q3741" i="5" s="1"/>
  <c r="P3740" i="5"/>
  <c r="N3740" i="5"/>
  <c r="D3740" i="5"/>
  <c r="P3739" i="5"/>
  <c r="N3739" i="5"/>
  <c r="D3739" i="5"/>
  <c r="O3739" i="5" s="1"/>
  <c r="Q3739" i="5" s="1"/>
  <c r="P3738" i="5"/>
  <c r="N3738" i="5"/>
  <c r="D3738" i="5"/>
  <c r="O3738" i="5" s="1"/>
  <c r="Q3738" i="5" s="1"/>
  <c r="P3737" i="5"/>
  <c r="N3737" i="5"/>
  <c r="D3737" i="5"/>
  <c r="O3737" i="5" s="1"/>
  <c r="Q3737" i="5" s="1"/>
  <c r="P3736" i="5"/>
  <c r="N3736" i="5"/>
  <c r="D3736" i="5"/>
  <c r="O3736" i="5" s="1"/>
  <c r="Q3736" i="5" s="1"/>
  <c r="P3735" i="5"/>
  <c r="N3735" i="5"/>
  <c r="D3735" i="5"/>
  <c r="O3735" i="5" s="1"/>
  <c r="Q3735" i="5" s="1"/>
  <c r="P3734" i="5"/>
  <c r="N3734" i="5"/>
  <c r="D3734" i="5"/>
  <c r="O3734" i="5" s="1"/>
  <c r="Q3734" i="5" s="1"/>
  <c r="P3733" i="5"/>
  <c r="N3733" i="5"/>
  <c r="D3733" i="5"/>
  <c r="P3732" i="5"/>
  <c r="N3732" i="5"/>
  <c r="D3732" i="5"/>
  <c r="P3731" i="5"/>
  <c r="N3731" i="5"/>
  <c r="D3731" i="5"/>
  <c r="O3731" i="5" s="1"/>
  <c r="Q3731" i="5" s="1"/>
  <c r="P3730" i="5"/>
  <c r="N3730" i="5"/>
  <c r="D3730" i="5"/>
  <c r="O3730" i="5" s="1"/>
  <c r="Q3730" i="5" s="1"/>
  <c r="P3729" i="5"/>
  <c r="N3729" i="5"/>
  <c r="D3729" i="5"/>
  <c r="O3729" i="5" s="1"/>
  <c r="Q3729" i="5" s="1"/>
  <c r="P3728" i="5"/>
  <c r="N3728" i="5"/>
  <c r="D3728" i="5"/>
  <c r="O3728" i="5" s="1"/>
  <c r="Q3728" i="5" s="1"/>
  <c r="P3727" i="5"/>
  <c r="N3727" i="5"/>
  <c r="D3727" i="5"/>
  <c r="O3727" i="5" s="1"/>
  <c r="Q3727" i="5" s="1"/>
  <c r="P3726" i="5"/>
  <c r="N3726" i="5"/>
  <c r="D3726" i="5"/>
  <c r="O3726" i="5" s="1"/>
  <c r="Q3726" i="5" s="1"/>
  <c r="P3725" i="5"/>
  <c r="N3725" i="5"/>
  <c r="D3725" i="5"/>
  <c r="O3725" i="5" s="1"/>
  <c r="Q3725" i="5" s="1"/>
  <c r="P3724" i="5"/>
  <c r="N3724" i="5"/>
  <c r="D3724" i="5"/>
  <c r="O3724" i="5" s="1"/>
  <c r="Q3724" i="5" s="1"/>
  <c r="P3723" i="5"/>
  <c r="N3723" i="5"/>
  <c r="D3723" i="5"/>
  <c r="O3723" i="5" s="1"/>
  <c r="Q3723" i="5" s="1"/>
  <c r="P3722" i="5"/>
  <c r="N3722" i="5"/>
  <c r="D3722" i="5"/>
  <c r="O3722" i="5" s="1"/>
  <c r="Q3722" i="5" s="1"/>
  <c r="P3721" i="5"/>
  <c r="N3721" i="5"/>
  <c r="D3721" i="5"/>
  <c r="O3721" i="5" s="1"/>
  <c r="Q3721" i="5" s="1"/>
  <c r="P3720" i="5"/>
  <c r="N3720" i="5"/>
  <c r="D3720" i="5"/>
  <c r="P3719" i="5"/>
  <c r="N3719" i="5"/>
  <c r="D3719" i="5"/>
  <c r="O3719" i="5" s="1"/>
  <c r="Q3719" i="5" s="1"/>
  <c r="P3718" i="5"/>
  <c r="N3718" i="5"/>
  <c r="D3718" i="5"/>
  <c r="O3718" i="5" s="1"/>
  <c r="Q3718" i="5" s="1"/>
  <c r="P3717" i="5"/>
  <c r="N3717" i="5"/>
  <c r="D3717" i="5"/>
  <c r="O3717" i="5" s="1"/>
  <c r="Q3717" i="5" s="1"/>
  <c r="P3716" i="5"/>
  <c r="N3716" i="5"/>
  <c r="D3716" i="5"/>
  <c r="O3716" i="5" s="1"/>
  <c r="Q3716" i="5" s="1"/>
  <c r="P3715" i="5"/>
  <c r="N3715" i="5"/>
  <c r="D3715" i="5"/>
  <c r="O3715" i="5" s="1"/>
  <c r="Q3715" i="5" s="1"/>
  <c r="P3714" i="5"/>
  <c r="N3714" i="5"/>
  <c r="D3714" i="5"/>
  <c r="O3714" i="5" s="1"/>
  <c r="Q3714" i="5" s="1"/>
  <c r="P3713" i="5"/>
  <c r="N3713" i="5"/>
  <c r="D3713" i="5"/>
  <c r="O3713" i="5" s="1"/>
  <c r="Q3713" i="5" s="1"/>
  <c r="P3712" i="5"/>
  <c r="N3712" i="5"/>
  <c r="D3712" i="5"/>
  <c r="O3712" i="5" s="1"/>
  <c r="Q3712" i="5" s="1"/>
  <c r="P3711" i="5"/>
  <c r="N3711" i="5"/>
  <c r="D3711" i="5"/>
  <c r="O3711" i="5" s="1"/>
  <c r="Q3711" i="5" s="1"/>
  <c r="P3710" i="5"/>
  <c r="N3710" i="5"/>
  <c r="D3710" i="5"/>
  <c r="O3710" i="5" s="1"/>
  <c r="Q3710" i="5" s="1"/>
  <c r="P3709" i="5"/>
  <c r="N3709" i="5"/>
  <c r="D3709" i="5"/>
  <c r="O3709" i="5" s="1"/>
  <c r="Q3709" i="5" s="1"/>
  <c r="P3708" i="5"/>
  <c r="N3708" i="5"/>
  <c r="D3708" i="5"/>
  <c r="O3708" i="5" s="1"/>
  <c r="Q3708" i="5" s="1"/>
  <c r="P3707" i="5"/>
  <c r="N3707" i="5"/>
  <c r="D3707" i="5"/>
  <c r="O3707" i="5" s="1"/>
  <c r="Q3707" i="5" s="1"/>
  <c r="P3706" i="5"/>
  <c r="N3706" i="5"/>
  <c r="D3706" i="5"/>
  <c r="O3706" i="5" s="1"/>
  <c r="Q3706" i="5" s="1"/>
  <c r="P3705" i="5"/>
  <c r="N3705" i="5"/>
  <c r="D3705" i="5"/>
  <c r="O3705" i="5" s="1"/>
  <c r="Q3705" i="5" s="1"/>
  <c r="P3704" i="5"/>
  <c r="N3704" i="5"/>
  <c r="D3704" i="5"/>
  <c r="O3704" i="5" s="1"/>
  <c r="Q3704" i="5" s="1"/>
  <c r="P3703" i="5"/>
  <c r="N3703" i="5"/>
  <c r="D3703" i="5"/>
  <c r="O3703" i="5" s="1"/>
  <c r="Q3703" i="5" s="1"/>
  <c r="P3702" i="5"/>
  <c r="N3702" i="5"/>
  <c r="D3702" i="5"/>
  <c r="O3702" i="5" s="1"/>
  <c r="Q3702" i="5" s="1"/>
  <c r="P3701" i="5"/>
  <c r="N3701" i="5"/>
  <c r="D3701" i="5"/>
  <c r="O3701" i="5" s="1"/>
  <c r="Q3701" i="5" s="1"/>
  <c r="P3700" i="5"/>
  <c r="N3700" i="5"/>
  <c r="D3700" i="5"/>
  <c r="O3700" i="5" s="1"/>
  <c r="Q3700" i="5" s="1"/>
  <c r="P3699" i="5"/>
  <c r="N3699" i="5"/>
  <c r="D3699" i="5"/>
  <c r="O3699" i="5" s="1"/>
  <c r="Q3699" i="5" s="1"/>
  <c r="P3698" i="5"/>
  <c r="N3698" i="5"/>
  <c r="D3698" i="5"/>
  <c r="O3698" i="5" s="1"/>
  <c r="Q3698" i="5" s="1"/>
  <c r="P3697" i="5"/>
  <c r="N3697" i="5"/>
  <c r="D3697" i="5"/>
  <c r="O3697" i="5" s="1"/>
  <c r="Q3697" i="5" s="1"/>
  <c r="P3696" i="5"/>
  <c r="N3696" i="5"/>
  <c r="D3696" i="5"/>
  <c r="O3696" i="5" s="1"/>
  <c r="Q3696" i="5" s="1"/>
  <c r="P3695" i="5"/>
  <c r="N3695" i="5"/>
  <c r="D3695" i="5"/>
  <c r="O3695" i="5" s="1"/>
  <c r="Q3695" i="5" s="1"/>
  <c r="P3694" i="5"/>
  <c r="N3694" i="5"/>
  <c r="D3694" i="5"/>
  <c r="O3694" i="5" s="1"/>
  <c r="Q3694" i="5" s="1"/>
  <c r="P3693" i="5"/>
  <c r="N3693" i="5"/>
  <c r="D3693" i="5"/>
  <c r="O3693" i="5" s="1"/>
  <c r="Q3693" i="5" s="1"/>
  <c r="P3692" i="5"/>
  <c r="N3692" i="5"/>
  <c r="D3692" i="5"/>
  <c r="O3692" i="5" s="1"/>
  <c r="Q3692" i="5" s="1"/>
  <c r="P3691" i="5"/>
  <c r="N3691" i="5"/>
  <c r="D3691" i="5"/>
  <c r="O3691" i="5" s="1"/>
  <c r="Q3691" i="5" s="1"/>
  <c r="P3690" i="5"/>
  <c r="N3690" i="5"/>
  <c r="D3690" i="5"/>
  <c r="O3690" i="5" s="1"/>
  <c r="Q3690" i="5" s="1"/>
  <c r="P3689" i="5"/>
  <c r="N3689" i="5"/>
  <c r="D3689" i="5"/>
  <c r="O3689" i="5" s="1"/>
  <c r="Q3689" i="5" s="1"/>
  <c r="P3688" i="5"/>
  <c r="N3688" i="5"/>
  <c r="D3688" i="5"/>
  <c r="O3688" i="5" s="1"/>
  <c r="Q3688" i="5" s="1"/>
  <c r="P3687" i="5"/>
  <c r="N3687" i="5"/>
  <c r="D3687" i="5"/>
  <c r="O3687" i="5" s="1"/>
  <c r="Q3687" i="5" s="1"/>
  <c r="P3686" i="5"/>
  <c r="N3686" i="5"/>
  <c r="D3686" i="5"/>
  <c r="O3686" i="5" s="1"/>
  <c r="Q3686" i="5" s="1"/>
  <c r="P3685" i="5"/>
  <c r="N3685" i="5"/>
  <c r="D3685" i="5"/>
  <c r="O3685" i="5" s="1"/>
  <c r="Q3685" i="5" s="1"/>
  <c r="P3684" i="5"/>
  <c r="N3684" i="5"/>
  <c r="D3684" i="5"/>
  <c r="O3684" i="5" s="1"/>
  <c r="Q3684" i="5" s="1"/>
  <c r="P3683" i="5"/>
  <c r="N3683" i="5"/>
  <c r="D3683" i="5"/>
  <c r="O3683" i="5" s="1"/>
  <c r="Q3683" i="5" s="1"/>
  <c r="P3682" i="5"/>
  <c r="N3682" i="5"/>
  <c r="D3682" i="5"/>
  <c r="O3682" i="5" s="1"/>
  <c r="Q3682" i="5" s="1"/>
  <c r="P3681" i="5"/>
  <c r="N3681" i="5"/>
  <c r="D3681" i="5"/>
  <c r="O3681" i="5" s="1"/>
  <c r="Q3681" i="5" s="1"/>
  <c r="P3680" i="5"/>
  <c r="N3680" i="5"/>
  <c r="D3680" i="5"/>
  <c r="O3680" i="5" s="1"/>
  <c r="Q3680" i="5" s="1"/>
  <c r="P3679" i="5"/>
  <c r="N3679" i="5"/>
  <c r="D3679" i="5"/>
  <c r="O3679" i="5" s="1"/>
  <c r="Q3679" i="5" s="1"/>
  <c r="P3678" i="5"/>
  <c r="N3678" i="5"/>
  <c r="D3678" i="5"/>
  <c r="O3678" i="5" s="1"/>
  <c r="Q3678" i="5" s="1"/>
  <c r="P3677" i="5"/>
  <c r="N3677" i="5"/>
  <c r="D3677" i="5"/>
  <c r="O3677" i="5" s="1"/>
  <c r="Q3677" i="5" s="1"/>
  <c r="P3676" i="5"/>
  <c r="N3676" i="5"/>
  <c r="D3676" i="5"/>
  <c r="O3676" i="5" s="1"/>
  <c r="Q3676" i="5" s="1"/>
  <c r="P3675" i="5"/>
  <c r="N3675" i="5"/>
  <c r="D3675" i="5"/>
  <c r="O3675" i="5" s="1"/>
  <c r="Q3675" i="5" s="1"/>
  <c r="P3674" i="5"/>
  <c r="N3674" i="5"/>
  <c r="D3674" i="5"/>
  <c r="O3674" i="5" s="1"/>
  <c r="Q3674" i="5" s="1"/>
  <c r="P3673" i="5"/>
  <c r="N3673" i="5"/>
  <c r="D3673" i="5"/>
  <c r="O3673" i="5" s="1"/>
  <c r="Q3673" i="5" s="1"/>
  <c r="P3672" i="5"/>
  <c r="N3672" i="5"/>
  <c r="D3672" i="5"/>
  <c r="O3672" i="5" s="1"/>
  <c r="Q3672" i="5" s="1"/>
  <c r="P3671" i="5"/>
  <c r="N3671" i="5"/>
  <c r="D3671" i="5"/>
  <c r="O3671" i="5" s="1"/>
  <c r="Q3671" i="5" s="1"/>
  <c r="P3670" i="5"/>
  <c r="N3670" i="5"/>
  <c r="D3670" i="5"/>
  <c r="O3670" i="5" s="1"/>
  <c r="Q3670" i="5" s="1"/>
  <c r="P3669" i="5"/>
  <c r="N3669" i="5"/>
  <c r="D3669" i="5"/>
  <c r="O3669" i="5" s="1"/>
  <c r="Q3669" i="5" s="1"/>
  <c r="P3668" i="5"/>
  <c r="N3668" i="5"/>
  <c r="D3668" i="5"/>
  <c r="O3668" i="5" s="1"/>
  <c r="Q3668" i="5" s="1"/>
  <c r="P3667" i="5"/>
  <c r="N3667" i="5"/>
  <c r="D3667" i="5"/>
  <c r="O3667" i="5" s="1"/>
  <c r="Q3667" i="5" s="1"/>
  <c r="P3666" i="5"/>
  <c r="N3666" i="5"/>
  <c r="D3666" i="5"/>
  <c r="O3666" i="5" s="1"/>
  <c r="Q3666" i="5" s="1"/>
  <c r="P3665" i="5"/>
  <c r="N3665" i="5"/>
  <c r="D3665" i="5"/>
  <c r="O3665" i="5" s="1"/>
  <c r="Q3665" i="5" s="1"/>
  <c r="P3664" i="5"/>
  <c r="N3664" i="5"/>
  <c r="D3664" i="5"/>
  <c r="O3664" i="5" s="1"/>
  <c r="Q3664" i="5" s="1"/>
  <c r="P3663" i="5"/>
  <c r="N3663" i="5"/>
  <c r="D3663" i="5"/>
  <c r="O3663" i="5" s="1"/>
  <c r="Q3663" i="5" s="1"/>
  <c r="P3662" i="5"/>
  <c r="N3662" i="5"/>
  <c r="D3662" i="5"/>
  <c r="O3662" i="5" s="1"/>
  <c r="Q3662" i="5" s="1"/>
  <c r="P3661" i="5"/>
  <c r="N3661" i="5"/>
  <c r="D3661" i="5"/>
  <c r="O3661" i="5" s="1"/>
  <c r="Q3661" i="5" s="1"/>
  <c r="P3660" i="5"/>
  <c r="N3660" i="5"/>
  <c r="D3660" i="5"/>
  <c r="O3660" i="5" s="1"/>
  <c r="Q3660" i="5" s="1"/>
  <c r="P3659" i="5"/>
  <c r="N3659" i="5"/>
  <c r="D3659" i="5"/>
  <c r="O3659" i="5" s="1"/>
  <c r="Q3659" i="5" s="1"/>
  <c r="P3658" i="5"/>
  <c r="N3658" i="5"/>
  <c r="D3658" i="5"/>
  <c r="O3658" i="5" s="1"/>
  <c r="Q3658" i="5" s="1"/>
  <c r="P3657" i="5"/>
  <c r="N3657" i="5"/>
  <c r="D3657" i="5"/>
  <c r="O3657" i="5" s="1"/>
  <c r="Q3657" i="5" s="1"/>
  <c r="P3656" i="5"/>
  <c r="N3656" i="5"/>
  <c r="D3656" i="5"/>
  <c r="O3656" i="5" s="1"/>
  <c r="Q3656" i="5" s="1"/>
  <c r="P3655" i="5"/>
  <c r="N3655" i="5"/>
  <c r="D3655" i="5"/>
  <c r="O3655" i="5" s="1"/>
  <c r="Q3655" i="5" s="1"/>
  <c r="P3654" i="5"/>
  <c r="N3654" i="5"/>
  <c r="D3654" i="5"/>
  <c r="O3654" i="5" s="1"/>
  <c r="Q3654" i="5" s="1"/>
  <c r="P3653" i="5"/>
  <c r="N3653" i="5"/>
  <c r="D3653" i="5"/>
  <c r="O3653" i="5" s="1"/>
  <c r="Q3653" i="5" s="1"/>
  <c r="P3652" i="5"/>
  <c r="N3652" i="5"/>
  <c r="D3652" i="5"/>
  <c r="O3652" i="5" s="1"/>
  <c r="Q3652" i="5" s="1"/>
  <c r="P3651" i="5"/>
  <c r="N3651" i="5"/>
  <c r="D3651" i="5"/>
  <c r="O3651" i="5" s="1"/>
  <c r="Q3651" i="5" s="1"/>
  <c r="P3650" i="5"/>
  <c r="N3650" i="5"/>
  <c r="D3650" i="5"/>
  <c r="O3650" i="5" s="1"/>
  <c r="Q3650" i="5" s="1"/>
  <c r="P3649" i="5"/>
  <c r="N3649" i="5"/>
  <c r="D3649" i="5"/>
  <c r="O3649" i="5" s="1"/>
  <c r="Q3649" i="5" s="1"/>
  <c r="P3648" i="5"/>
  <c r="N3648" i="5"/>
  <c r="D3648" i="5"/>
  <c r="O3648" i="5" s="1"/>
  <c r="Q3648" i="5" s="1"/>
  <c r="P3647" i="5"/>
  <c r="N3647" i="5"/>
  <c r="D3647" i="5"/>
  <c r="O3647" i="5" s="1"/>
  <c r="Q3647" i="5" s="1"/>
  <c r="P3646" i="5"/>
  <c r="N3646" i="5"/>
  <c r="D3646" i="5"/>
  <c r="O3646" i="5" s="1"/>
  <c r="Q3646" i="5" s="1"/>
  <c r="P3645" i="5"/>
  <c r="N3645" i="5"/>
  <c r="D3645" i="5"/>
  <c r="O3645" i="5" s="1"/>
  <c r="Q3645" i="5" s="1"/>
  <c r="P3644" i="5"/>
  <c r="N3644" i="5"/>
  <c r="D3644" i="5"/>
  <c r="O3644" i="5" s="1"/>
  <c r="Q3644" i="5" s="1"/>
  <c r="P3643" i="5"/>
  <c r="N3643" i="5"/>
  <c r="D3643" i="5"/>
  <c r="O3643" i="5" s="1"/>
  <c r="Q3643" i="5" s="1"/>
  <c r="P3642" i="5"/>
  <c r="N3642" i="5"/>
  <c r="D3642" i="5"/>
  <c r="O3642" i="5" s="1"/>
  <c r="Q3642" i="5" s="1"/>
  <c r="P3641" i="5"/>
  <c r="N3641" i="5"/>
  <c r="D3641" i="5"/>
  <c r="O3641" i="5" s="1"/>
  <c r="Q3641" i="5" s="1"/>
  <c r="P3640" i="5"/>
  <c r="N3640" i="5"/>
  <c r="D3640" i="5"/>
  <c r="O3640" i="5" s="1"/>
  <c r="Q3640" i="5" s="1"/>
  <c r="P3639" i="5"/>
  <c r="N3639" i="5"/>
  <c r="D3639" i="5"/>
  <c r="O3639" i="5" s="1"/>
  <c r="Q3639" i="5" s="1"/>
  <c r="P3638" i="5"/>
  <c r="N3638" i="5"/>
  <c r="D3638" i="5"/>
  <c r="O3638" i="5" s="1"/>
  <c r="Q3638" i="5" s="1"/>
  <c r="P3637" i="5"/>
  <c r="N3637" i="5"/>
  <c r="D3637" i="5"/>
  <c r="O3637" i="5" s="1"/>
  <c r="Q3637" i="5" s="1"/>
  <c r="P3636" i="5"/>
  <c r="N3636" i="5"/>
  <c r="D3636" i="5"/>
  <c r="O3636" i="5" s="1"/>
  <c r="Q3636" i="5" s="1"/>
  <c r="P3635" i="5"/>
  <c r="N3635" i="5"/>
  <c r="D3635" i="5"/>
  <c r="O3635" i="5" s="1"/>
  <c r="Q3635" i="5" s="1"/>
  <c r="P3634" i="5"/>
  <c r="N3634" i="5"/>
  <c r="D3634" i="5"/>
  <c r="O3634" i="5" s="1"/>
  <c r="Q3634" i="5" s="1"/>
  <c r="P3633" i="5"/>
  <c r="N3633" i="5"/>
  <c r="D3633" i="5"/>
  <c r="O3633" i="5" s="1"/>
  <c r="Q3633" i="5" s="1"/>
  <c r="P3632" i="5"/>
  <c r="N3632" i="5"/>
  <c r="D3632" i="5"/>
  <c r="O3632" i="5" s="1"/>
  <c r="Q3632" i="5" s="1"/>
  <c r="P3631" i="5"/>
  <c r="N3631" i="5"/>
  <c r="D3631" i="5"/>
  <c r="O3631" i="5" s="1"/>
  <c r="Q3631" i="5" s="1"/>
  <c r="P3630" i="5"/>
  <c r="N3630" i="5"/>
  <c r="D3630" i="5"/>
  <c r="O3630" i="5" s="1"/>
  <c r="Q3630" i="5" s="1"/>
  <c r="P3629" i="5"/>
  <c r="N3629" i="5"/>
  <c r="D3629" i="5"/>
  <c r="O3629" i="5" s="1"/>
  <c r="Q3629" i="5" s="1"/>
  <c r="P3628" i="5"/>
  <c r="N3628" i="5"/>
  <c r="D3628" i="5"/>
  <c r="O3628" i="5" s="1"/>
  <c r="Q3628" i="5" s="1"/>
  <c r="P3627" i="5"/>
  <c r="N3627" i="5"/>
  <c r="D3627" i="5"/>
  <c r="O3627" i="5" s="1"/>
  <c r="Q3627" i="5" s="1"/>
  <c r="P3626" i="5"/>
  <c r="N3626" i="5"/>
  <c r="D3626" i="5"/>
  <c r="P3625" i="5"/>
  <c r="N3625" i="5"/>
  <c r="D3625" i="5"/>
  <c r="O3625" i="5" s="1"/>
  <c r="Q3625" i="5" s="1"/>
  <c r="P3624" i="5"/>
  <c r="N3624" i="5"/>
  <c r="D3624" i="5"/>
  <c r="O3624" i="5" s="1"/>
  <c r="Q3624" i="5" s="1"/>
  <c r="P3623" i="5"/>
  <c r="N3623" i="5"/>
  <c r="D3623" i="5"/>
  <c r="O3623" i="5" s="1"/>
  <c r="Q3623" i="5" s="1"/>
  <c r="P3622" i="5"/>
  <c r="N3622" i="5"/>
  <c r="D3622" i="5"/>
  <c r="P3621" i="5"/>
  <c r="N3621" i="5"/>
  <c r="D3621" i="5"/>
  <c r="O3621" i="5" s="1"/>
  <c r="Q3621" i="5" s="1"/>
  <c r="P3620" i="5"/>
  <c r="N3620" i="5"/>
  <c r="D3620" i="5"/>
  <c r="O3620" i="5" s="1"/>
  <c r="Q3620" i="5" s="1"/>
  <c r="P3619" i="5"/>
  <c r="N3619" i="5"/>
  <c r="D3619" i="5"/>
  <c r="O3619" i="5" s="1"/>
  <c r="Q3619" i="5" s="1"/>
  <c r="P3618" i="5"/>
  <c r="N3618" i="5"/>
  <c r="D3618" i="5"/>
  <c r="O3618" i="5" s="1"/>
  <c r="Q3618" i="5" s="1"/>
  <c r="P3617" i="5"/>
  <c r="N3617" i="5"/>
  <c r="D3617" i="5"/>
  <c r="O3617" i="5" s="1"/>
  <c r="Q3617" i="5" s="1"/>
  <c r="P3616" i="5"/>
  <c r="N3616" i="5"/>
  <c r="D3616" i="5"/>
  <c r="O3616" i="5" s="1"/>
  <c r="Q3616" i="5" s="1"/>
  <c r="P3615" i="5"/>
  <c r="N3615" i="5"/>
  <c r="D3615" i="5"/>
  <c r="O3615" i="5" s="1"/>
  <c r="Q3615" i="5" s="1"/>
  <c r="P3614" i="5"/>
  <c r="N3614" i="5"/>
  <c r="D3614" i="5"/>
  <c r="O3614" i="5" s="1"/>
  <c r="Q3614" i="5" s="1"/>
  <c r="P3613" i="5"/>
  <c r="N3613" i="5"/>
  <c r="D3613" i="5"/>
  <c r="O3613" i="5" s="1"/>
  <c r="Q3613" i="5" s="1"/>
  <c r="Q3612" i="5"/>
  <c r="P3612" i="5"/>
  <c r="N3612" i="5"/>
  <c r="D3612" i="5"/>
  <c r="Q3611" i="5"/>
  <c r="P3611" i="5"/>
  <c r="N3611" i="5"/>
  <c r="D3611" i="5"/>
  <c r="Q3610" i="5"/>
  <c r="P3610" i="5"/>
  <c r="N3610" i="5"/>
  <c r="D3610" i="5"/>
  <c r="Q3609" i="5"/>
  <c r="P3609" i="5"/>
  <c r="N3609" i="5"/>
  <c r="D3609" i="5"/>
  <c r="Q3608" i="5"/>
  <c r="P3608" i="5"/>
  <c r="N3608" i="5"/>
  <c r="D3608" i="5"/>
  <c r="Q3607" i="5"/>
  <c r="P3607" i="5"/>
  <c r="N3607" i="5"/>
  <c r="D3607" i="5"/>
  <c r="Q3606" i="5"/>
  <c r="P3606" i="5"/>
  <c r="N3606" i="5"/>
  <c r="D3606" i="5"/>
  <c r="Q3605" i="5"/>
  <c r="P3605" i="5"/>
  <c r="N3605" i="5"/>
  <c r="D3605" i="5"/>
  <c r="Q3604" i="5"/>
  <c r="P3604" i="5"/>
  <c r="N3604" i="5"/>
  <c r="D3604" i="5"/>
  <c r="Q3603" i="5"/>
  <c r="P3603" i="5"/>
  <c r="N3603" i="5"/>
  <c r="D3603" i="5"/>
  <c r="Q3602" i="5"/>
  <c r="P3602" i="5"/>
  <c r="N3602" i="5"/>
  <c r="D3602" i="5"/>
  <c r="P3601" i="5"/>
  <c r="N3601" i="5"/>
  <c r="D3601" i="5"/>
  <c r="O3601" i="5" s="1"/>
  <c r="Q3601" i="5" s="1"/>
  <c r="P3600" i="5"/>
  <c r="N3600" i="5"/>
  <c r="D3600" i="5"/>
  <c r="O3600" i="5" s="1"/>
  <c r="Q3600" i="5" s="1"/>
  <c r="P3599" i="5"/>
  <c r="N3599" i="5"/>
  <c r="D3599" i="5"/>
  <c r="O3599" i="5" s="1"/>
  <c r="Q3599" i="5" s="1"/>
  <c r="P3598" i="5"/>
  <c r="N3598" i="5"/>
  <c r="D3598" i="5"/>
  <c r="O3598" i="5" s="1"/>
  <c r="Q3598" i="5" s="1"/>
  <c r="P3597" i="5"/>
  <c r="N3597" i="5"/>
  <c r="D3597" i="5"/>
  <c r="O3597" i="5" s="1"/>
  <c r="Q3597" i="5" s="1"/>
  <c r="P3596" i="5"/>
  <c r="N3596" i="5"/>
  <c r="D3596" i="5"/>
  <c r="O3596" i="5" s="1"/>
  <c r="Q3596" i="5" s="1"/>
  <c r="P3595" i="5"/>
  <c r="N3595" i="5"/>
  <c r="D3595" i="5"/>
  <c r="O3595" i="5" s="1"/>
  <c r="Q3595" i="5" s="1"/>
  <c r="P3594" i="5"/>
  <c r="N3594" i="5"/>
  <c r="D3594" i="5"/>
  <c r="O3594" i="5" s="1"/>
  <c r="Q3594" i="5" s="1"/>
  <c r="P3593" i="5"/>
  <c r="N3593" i="5"/>
  <c r="D3593" i="5"/>
  <c r="O3593" i="5" s="1"/>
  <c r="Q3593" i="5" s="1"/>
  <c r="P3592" i="5"/>
  <c r="N3592" i="5"/>
  <c r="D3592" i="5"/>
  <c r="O3592" i="5" s="1"/>
  <c r="Q3592" i="5" s="1"/>
  <c r="P3591" i="5"/>
  <c r="N3591" i="5"/>
  <c r="D3591" i="5"/>
  <c r="O3591" i="5" s="1"/>
  <c r="Q3591" i="5" s="1"/>
  <c r="P3590" i="5"/>
  <c r="N3590" i="5"/>
  <c r="D3590" i="5"/>
  <c r="O3590" i="5" s="1"/>
  <c r="Q3590" i="5" s="1"/>
  <c r="P3589" i="5"/>
  <c r="N3589" i="5"/>
  <c r="D3589" i="5"/>
  <c r="O3589" i="5" s="1"/>
  <c r="Q3589" i="5" s="1"/>
  <c r="P3588" i="5"/>
  <c r="N3588" i="5"/>
  <c r="D3588" i="5"/>
  <c r="O3588" i="5" s="1"/>
  <c r="Q3588" i="5" s="1"/>
  <c r="P3587" i="5"/>
  <c r="N3587" i="5"/>
  <c r="D3587" i="5"/>
  <c r="O3587" i="5" s="1"/>
  <c r="Q3587" i="5" s="1"/>
  <c r="P3586" i="5"/>
  <c r="N3586" i="5"/>
  <c r="D3586" i="5"/>
  <c r="O3586" i="5" s="1"/>
  <c r="Q3586" i="5" s="1"/>
  <c r="P3585" i="5"/>
  <c r="N3585" i="5"/>
  <c r="D3585" i="5"/>
  <c r="O3585" i="5" s="1"/>
  <c r="Q3585" i="5" s="1"/>
  <c r="P3584" i="5"/>
  <c r="N3584" i="5"/>
  <c r="D3584" i="5"/>
  <c r="O3584" i="5" s="1"/>
  <c r="Q3584" i="5" s="1"/>
  <c r="P3583" i="5"/>
  <c r="N3583" i="5"/>
  <c r="D3583" i="5"/>
  <c r="O3583" i="5" s="1"/>
  <c r="Q3583" i="5" s="1"/>
  <c r="P3582" i="5"/>
  <c r="N3582" i="5"/>
  <c r="D3582" i="5"/>
  <c r="O3582" i="5" s="1"/>
  <c r="Q3582" i="5" s="1"/>
  <c r="P3581" i="5"/>
  <c r="N3581" i="5"/>
  <c r="D3581" i="5"/>
  <c r="O3581" i="5" s="1"/>
  <c r="Q3581" i="5" s="1"/>
  <c r="P3580" i="5"/>
  <c r="N3580" i="5"/>
  <c r="D3580" i="5"/>
  <c r="O3580" i="5" s="1"/>
  <c r="Q3580" i="5" s="1"/>
  <c r="P3579" i="5"/>
  <c r="N3579" i="5"/>
  <c r="D3579" i="5"/>
  <c r="O3579" i="5" s="1"/>
  <c r="Q3579" i="5" s="1"/>
  <c r="P3578" i="5"/>
  <c r="N3578" i="5"/>
  <c r="D3578" i="5"/>
  <c r="O3578" i="5" s="1"/>
  <c r="Q3578" i="5" s="1"/>
  <c r="P3577" i="5"/>
  <c r="N3577" i="5"/>
  <c r="D3577" i="5"/>
  <c r="O3577" i="5" s="1"/>
  <c r="Q3577" i="5" s="1"/>
  <c r="P3576" i="5"/>
  <c r="N3576" i="5"/>
  <c r="D3576" i="5"/>
  <c r="O3576" i="5" s="1"/>
  <c r="Q3576" i="5" s="1"/>
  <c r="P3575" i="5"/>
  <c r="N3575" i="5"/>
  <c r="D3575" i="5"/>
  <c r="O3575" i="5" s="1"/>
  <c r="Q3575" i="5" s="1"/>
  <c r="P3574" i="5"/>
  <c r="N3574" i="5"/>
  <c r="D3574" i="5"/>
  <c r="O3574" i="5" s="1"/>
  <c r="Q3574" i="5" s="1"/>
  <c r="P3573" i="5"/>
  <c r="N3573" i="5"/>
  <c r="D3573" i="5"/>
  <c r="O3573" i="5" s="1"/>
  <c r="Q3573" i="5" s="1"/>
  <c r="P3572" i="5"/>
  <c r="N3572" i="5"/>
  <c r="D3572" i="5"/>
  <c r="O3572" i="5" s="1"/>
  <c r="Q3572" i="5" s="1"/>
  <c r="P3571" i="5"/>
  <c r="N3571" i="5"/>
  <c r="D3571" i="5"/>
  <c r="O3571" i="5" s="1"/>
  <c r="Q3571" i="5" s="1"/>
  <c r="P3570" i="5"/>
  <c r="N3570" i="5"/>
  <c r="D3570" i="5"/>
  <c r="O3570" i="5" s="1"/>
  <c r="Q3570" i="5" s="1"/>
  <c r="P3569" i="5"/>
  <c r="N3569" i="5"/>
  <c r="D3569" i="5"/>
  <c r="O3569" i="5" s="1"/>
  <c r="Q3569" i="5" s="1"/>
  <c r="P3568" i="5"/>
  <c r="N3568" i="5"/>
  <c r="D3568" i="5"/>
  <c r="O3568" i="5" s="1"/>
  <c r="Q3568" i="5" s="1"/>
  <c r="P3567" i="5"/>
  <c r="N3567" i="5"/>
  <c r="D3567" i="5"/>
  <c r="O3567" i="5" s="1"/>
  <c r="Q3567" i="5" s="1"/>
  <c r="P3566" i="5"/>
  <c r="N3566" i="5"/>
  <c r="D3566" i="5"/>
  <c r="O3566" i="5" s="1"/>
  <c r="Q3566" i="5" s="1"/>
  <c r="P3565" i="5"/>
  <c r="N3565" i="5"/>
  <c r="D3565" i="5"/>
  <c r="O3565" i="5" s="1"/>
  <c r="Q3565" i="5" s="1"/>
  <c r="P3564" i="5"/>
  <c r="N3564" i="5"/>
  <c r="D3564" i="5"/>
  <c r="O3564" i="5" s="1"/>
  <c r="Q3564" i="5" s="1"/>
  <c r="P3563" i="5"/>
  <c r="N3563" i="5"/>
  <c r="D3563" i="5"/>
  <c r="O3563" i="5" s="1"/>
  <c r="Q3563" i="5" s="1"/>
  <c r="P3562" i="5"/>
  <c r="N3562" i="5"/>
  <c r="D3562" i="5"/>
  <c r="O3562" i="5" s="1"/>
  <c r="Q3562" i="5" s="1"/>
  <c r="P3561" i="5"/>
  <c r="N3561" i="5"/>
  <c r="D3561" i="5"/>
  <c r="O3561" i="5" s="1"/>
  <c r="Q3561" i="5" s="1"/>
  <c r="P3560" i="5"/>
  <c r="N3560" i="5"/>
  <c r="D3560" i="5"/>
  <c r="O3560" i="5" s="1"/>
  <c r="Q3560" i="5" s="1"/>
  <c r="P3559" i="5"/>
  <c r="N3559" i="5"/>
  <c r="D3559" i="5"/>
  <c r="O3559" i="5" s="1"/>
  <c r="Q3559" i="5" s="1"/>
  <c r="P3558" i="5"/>
  <c r="N3558" i="5"/>
  <c r="D3558" i="5"/>
  <c r="P3557" i="5"/>
  <c r="N3557" i="5"/>
  <c r="D3557" i="5"/>
  <c r="O3557" i="5" s="1"/>
  <c r="Q3557" i="5" s="1"/>
  <c r="P3556" i="5"/>
  <c r="N3556" i="5"/>
  <c r="D3556" i="5"/>
  <c r="O3556" i="5" s="1"/>
  <c r="Q3556" i="5" s="1"/>
  <c r="P3555" i="5"/>
  <c r="N3555" i="5"/>
  <c r="D3555" i="5"/>
  <c r="O3555" i="5" s="1"/>
  <c r="Q3555" i="5" s="1"/>
  <c r="P3554" i="5"/>
  <c r="N3554" i="5"/>
  <c r="D3554" i="5"/>
  <c r="O3554" i="5" s="1"/>
  <c r="Q3554" i="5" s="1"/>
  <c r="P3553" i="5"/>
  <c r="N3553" i="5"/>
  <c r="D3553" i="5"/>
  <c r="O3553" i="5" s="1"/>
  <c r="Q3553" i="5" s="1"/>
  <c r="P3552" i="5"/>
  <c r="N3552" i="5"/>
  <c r="D3552" i="5"/>
  <c r="O3552" i="5" s="1"/>
  <c r="Q3552" i="5" s="1"/>
  <c r="P3551" i="5"/>
  <c r="N3551" i="5"/>
  <c r="D3551" i="5"/>
  <c r="O3551" i="5" s="1"/>
  <c r="Q3551" i="5" s="1"/>
  <c r="P3550" i="5"/>
  <c r="N3550" i="5"/>
  <c r="D3550" i="5"/>
  <c r="O3550" i="5" s="1"/>
  <c r="Q3550" i="5" s="1"/>
  <c r="P3549" i="5"/>
  <c r="N3549" i="5"/>
  <c r="D3549" i="5"/>
  <c r="O3549" i="5" s="1"/>
  <c r="Q3549" i="5" s="1"/>
  <c r="P3548" i="5"/>
  <c r="N3548" i="5"/>
  <c r="D3548" i="5"/>
  <c r="O3548" i="5" s="1"/>
  <c r="Q3548" i="5" s="1"/>
  <c r="P3547" i="5"/>
  <c r="N3547" i="5"/>
  <c r="D3547" i="5"/>
  <c r="O3547" i="5" s="1"/>
  <c r="Q3547" i="5" s="1"/>
  <c r="P3546" i="5"/>
  <c r="N3546" i="5"/>
  <c r="D3546" i="5"/>
  <c r="O3546" i="5" s="1"/>
  <c r="Q3546" i="5" s="1"/>
  <c r="P3545" i="5"/>
  <c r="N3545" i="5"/>
  <c r="D3545" i="5"/>
  <c r="O3545" i="5" s="1"/>
  <c r="Q3545" i="5" s="1"/>
  <c r="P3544" i="5"/>
  <c r="N3544" i="5"/>
  <c r="D3544" i="5"/>
  <c r="O3544" i="5" s="1"/>
  <c r="Q3544" i="5" s="1"/>
  <c r="P3543" i="5"/>
  <c r="N3543" i="5"/>
  <c r="D3543" i="5"/>
  <c r="O3543" i="5" s="1"/>
  <c r="Q3543" i="5" s="1"/>
  <c r="P3542" i="5"/>
  <c r="N3542" i="5"/>
  <c r="D3542" i="5"/>
  <c r="O3542" i="5" s="1"/>
  <c r="Q3542" i="5" s="1"/>
  <c r="P3541" i="5"/>
  <c r="N3541" i="5"/>
  <c r="D3541" i="5"/>
  <c r="O3541" i="5" s="1"/>
  <c r="Q3541" i="5" s="1"/>
  <c r="P3540" i="5"/>
  <c r="N3540" i="5"/>
  <c r="D3540" i="5"/>
  <c r="O3540" i="5" s="1"/>
  <c r="Q3540" i="5" s="1"/>
  <c r="P3539" i="5"/>
  <c r="N3539" i="5"/>
  <c r="D3539" i="5"/>
  <c r="O3539" i="5" s="1"/>
  <c r="Q3539" i="5" s="1"/>
  <c r="P3538" i="5"/>
  <c r="N3538" i="5"/>
  <c r="D3538" i="5"/>
  <c r="O3538" i="5" s="1"/>
  <c r="Q3538" i="5" s="1"/>
  <c r="P3537" i="5"/>
  <c r="N3537" i="5"/>
  <c r="D3537" i="5"/>
  <c r="O3537" i="5" s="1"/>
  <c r="Q3537" i="5" s="1"/>
  <c r="P3536" i="5"/>
  <c r="N3536" i="5"/>
  <c r="D3536" i="5"/>
  <c r="O3536" i="5" s="1"/>
  <c r="Q3536" i="5" s="1"/>
  <c r="P3535" i="5"/>
  <c r="N3535" i="5"/>
  <c r="D3535" i="5"/>
  <c r="O3535" i="5" s="1"/>
  <c r="Q3535" i="5" s="1"/>
  <c r="P3534" i="5"/>
  <c r="N3534" i="5"/>
  <c r="D3534" i="5"/>
  <c r="O3534" i="5" s="1"/>
  <c r="Q3534" i="5" s="1"/>
  <c r="P3533" i="5"/>
  <c r="N3533" i="5"/>
  <c r="D3533" i="5"/>
  <c r="O3533" i="5" s="1"/>
  <c r="Q3533" i="5" s="1"/>
  <c r="P3532" i="5"/>
  <c r="N3532" i="5"/>
  <c r="D3532" i="5"/>
  <c r="O3532" i="5" s="1"/>
  <c r="Q3532" i="5" s="1"/>
  <c r="P3531" i="5"/>
  <c r="N3531" i="5"/>
  <c r="D3531" i="5"/>
  <c r="O3531" i="5" s="1"/>
  <c r="Q3531" i="5" s="1"/>
  <c r="P3530" i="5"/>
  <c r="N3530" i="5"/>
  <c r="D3530" i="5"/>
  <c r="O3530" i="5" s="1"/>
  <c r="Q3530" i="5" s="1"/>
  <c r="P3529" i="5"/>
  <c r="N3529" i="5"/>
  <c r="D3529" i="5"/>
  <c r="O3529" i="5" s="1"/>
  <c r="Q3529" i="5" s="1"/>
  <c r="P3528" i="5"/>
  <c r="N3528" i="5"/>
  <c r="D3528" i="5"/>
  <c r="O3528" i="5" s="1"/>
  <c r="Q3528" i="5" s="1"/>
  <c r="P3527" i="5"/>
  <c r="N3527" i="5"/>
  <c r="D3527" i="5"/>
  <c r="O3527" i="5" s="1"/>
  <c r="Q3527" i="5" s="1"/>
  <c r="P3526" i="5"/>
  <c r="N3526" i="5"/>
  <c r="D3526" i="5"/>
  <c r="O3526" i="5" s="1"/>
  <c r="Q3526" i="5" s="1"/>
  <c r="P3525" i="5"/>
  <c r="N3525" i="5"/>
  <c r="D3525" i="5"/>
  <c r="O3525" i="5" s="1"/>
  <c r="Q3525" i="5" s="1"/>
  <c r="P3524" i="5"/>
  <c r="N3524" i="5"/>
  <c r="D3524" i="5"/>
  <c r="O3524" i="5" s="1"/>
  <c r="Q3524" i="5" s="1"/>
  <c r="P3523" i="5"/>
  <c r="N3523" i="5"/>
  <c r="D3523" i="5"/>
  <c r="O3523" i="5" s="1"/>
  <c r="Q3523" i="5" s="1"/>
  <c r="P3522" i="5"/>
  <c r="N3522" i="5"/>
  <c r="D3522" i="5"/>
  <c r="O3522" i="5" s="1"/>
  <c r="Q3522" i="5" s="1"/>
  <c r="P3521" i="5"/>
  <c r="N3521" i="5"/>
  <c r="D3521" i="5"/>
  <c r="O3521" i="5" s="1"/>
  <c r="Q3521" i="5" s="1"/>
  <c r="P3520" i="5"/>
  <c r="N3520" i="5"/>
  <c r="D3520" i="5"/>
  <c r="O3520" i="5" s="1"/>
  <c r="Q3520" i="5" s="1"/>
  <c r="P3519" i="5"/>
  <c r="N3519" i="5"/>
  <c r="D3519" i="5"/>
  <c r="O3519" i="5" s="1"/>
  <c r="Q3519" i="5" s="1"/>
  <c r="P3518" i="5"/>
  <c r="N3518" i="5"/>
  <c r="D3518" i="5"/>
  <c r="O3518" i="5" s="1"/>
  <c r="Q3518" i="5" s="1"/>
  <c r="P3517" i="5"/>
  <c r="N3517" i="5"/>
  <c r="D3517" i="5"/>
  <c r="O3517" i="5" s="1"/>
  <c r="Q3517" i="5" s="1"/>
  <c r="P3516" i="5"/>
  <c r="N3516" i="5"/>
  <c r="D3516" i="5"/>
  <c r="O3516" i="5" s="1"/>
  <c r="Q3516" i="5" s="1"/>
  <c r="P3515" i="5"/>
  <c r="N3515" i="5"/>
  <c r="D3515" i="5"/>
  <c r="O3515" i="5" s="1"/>
  <c r="Q3515" i="5" s="1"/>
  <c r="P3514" i="5"/>
  <c r="N3514" i="5"/>
  <c r="D3514" i="5"/>
  <c r="O3514" i="5" s="1"/>
  <c r="Q3514" i="5" s="1"/>
  <c r="P3513" i="5"/>
  <c r="N3513" i="5"/>
  <c r="D3513" i="5"/>
  <c r="O3513" i="5" s="1"/>
  <c r="Q3513" i="5" s="1"/>
  <c r="P3512" i="5"/>
  <c r="N3512" i="5"/>
  <c r="D3512" i="5"/>
  <c r="O3512" i="5" s="1"/>
  <c r="Q3512" i="5" s="1"/>
  <c r="P3511" i="5"/>
  <c r="N3511" i="5"/>
  <c r="D3511" i="5"/>
  <c r="O3511" i="5" s="1"/>
  <c r="Q3511" i="5" s="1"/>
  <c r="P3510" i="5"/>
  <c r="N3510" i="5"/>
  <c r="D3510" i="5"/>
  <c r="O3510" i="5" s="1"/>
  <c r="Q3510" i="5" s="1"/>
  <c r="P3509" i="5"/>
  <c r="N3509" i="5"/>
  <c r="D3509" i="5"/>
  <c r="O3509" i="5" s="1"/>
  <c r="Q3509" i="5" s="1"/>
  <c r="P3508" i="5"/>
  <c r="N3508" i="5"/>
  <c r="D3508" i="5"/>
  <c r="O3508" i="5" s="1"/>
  <c r="Q3508" i="5" s="1"/>
  <c r="P3507" i="5"/>
  <c r="N3507" i="5"/>
  <c r="D3507" i="5"/>
  <c r="O3507" i="5" s="1"/>
  <c r="Q3507" i="5" s="1"/>
  <c r="P3506" i="5"/>
  <c r="N3506" i="5"/>
  <c r="D3506" i="5"/>
  <c r="O3506" i="5" s="1"/>
  <c r="Q3506" i="5" s="1"/>
  <c r="P3505" i="5"/>
  <c r="N3505" i="5"/>
  <c r="D3505" i="5"/>
  <c r="O3505" i="5" s="1"/>
  <c r="Q3505" i="5" s="1"/>
  <c r="P3504" i="5"/>
  <c r="N3504" i="5"/>
  <c r="D3504" i="5"/>
  <c r="O3504" i="5" s="1"/>
  <c r="Q3504" i="5" s="1"/>
  <c r="P3503" i="5"/>
  <c r="N3503" i="5"/>
  <c r="D3503" i="5"/>
  <c r="O3503" i="5" s="1"/>
  <c r="Q3503" i="5" s="1"/>
  <c r="P3502" i="5"/>
  <c r="N3502" i="5"/>
  <c r="D3502" i="5"/>
  <c r="O3502" i="5" s="1"/>
  <c r="Q3502" i="5" s="1"/>
  <c r="P3501" i="5"/>
  <c r="N3501" i="5"/>
  <c r="D3501" i="5"/>
  <c r="O3501" i="5" s="1"/>
  <c r="Q3501" i="5" s="1"/>
  <c r="P3500" i="5"/>
  <c r="N3500" i="5"/>
  <c r="D3500" i="5"/>
  <c r="O3500" i="5" s="1"/>
  <c r="Q3500" i="5" s="1"/>
  <c r="P3499" i="5"/>
  <c r="N3499" i="5"/>
  <c r="D3499" i="5"/>
  <c r="O3499" i="5" s="1"/>
  <c r="Q3499" i="5" s="1"/>
  <c r="P3498" i="5"/>
  <c r="N3498" i="5"/>
  <c r="D3498" i="5"/>
  <c r="O3498" i="5" s="1"/>
  <c r="Q3498" i="5" s="1"/>
  <c r="P3497" i="5"/>
  <c r="N3497" i="5"/>
  <c r="D3497" i="5"/>
  <c r="O3497" i="5" s="1"/>
  <c r="Q3497" i="5" s="1"/>
  <c r="P3496" i="5"/>
  <c r="N3496" i="5"/>
  <c r="D3496" i="5"/>
  <c r="O3496" i="5" s="1"/>
  <c r="Q3496" i="5" s="1"/>
  <c r="P3495" i="5"/>
  <c r="N3495" i="5"/>
  <c r="D3495" i="5"/>
  <c r="O3495" i="5" s="1"/>
  <c r="Q3495" i="5" s="1"/>
  <c r="P3494" i="5"/>
  <c r="N3494" i="5"/>
  <c r="D3494" i="5"/>
  <c r="O3494" i="5" s="1"/>
  <c r="Q3494" i="5" s="1"/>
  <c r="P3493" i="5"/>
  <c r="N3493" i="5"/>
  <c r="D3493" i="5"/>
  <c r="O3493" i="5" s="1"/>
  <c r="Q3493" i="5" s="1"/>
  <c r="P3492" i="5"/>
  <c r="N3492" i="5"/>
  <c r="D3492" i="5"/>
  <c r="O3492" i="5" s="1"/>
  <c r="Q3492" i="5" s="1"/>
  <c r="P3491" i="5"/>
  <c r="N3491" i="5"/>
  <c r="D3491" i="5"/>
  <c r="O3491" i="5" s="1"/>
  <c r="Q3491" i="5" s="1"/>
  <c r="P3490" i="5"/>
  <c r="N3490" i="5"/>
  <c r="D3490" i="5"/>
  <c r="O3490" i="5" s="1"/>
  <c r="Q3490" i="5" s="1"/>
  <c r="P3489" i="5"/>
  <c r="N3489" i="5"/>
  <c r="D3489" i="5"/>
  <c r="O3489" i="5" s="1"/>
  <c r="Q3489" i="5" s="1"/>
  <c r="P3488" i="5"/>
  <c r="N3488" i="5"/>
  <c r="D3488" i="5"/>
  <c r="O3488" i="5" s="1"/>
  <c r="Q3488" i="5" s="1"/>
  <c r="P3487" i="5"/>
  <c r="N3487" i="5"/>
  <c r="D3487" i="5"/>
  <c r="O3487" i="5" s="1"/>
  <c r="Q3487" i="5" s="1"/>
  <c r="P3486" i="5"/>
  <c r="N3486" i="5"/>
  <c r="D3486" i="5"/>
  <c r="P3485" i="5"/>
  <c r="N3485" i="5"/>
  <c r="D3485" i="5"/>
  <c r="O3485" i="5" s="1"/>
  <c r="Q3485" i="5" s="1"/>
  <c r="P3484" i="5"/>
  <c r="N3484" i="5"/>
  <c r="D3484" i="5"/>
  <c r="O3484" i="5" s="1"/>
  <c r="Q3484" i="5" s="1"/>
  <c r="P3483" i="5"/>
  <c r="N3483" i="5"/>
  <c r="D3483" i="5"/>
  <c r="O3483" i="5" s="1"/>
  <c r="Q3483" i="5" s="1"/>
  <c r="P3482" i="5"/>
  <c r="N3482" i="5"/>
  <c r="D3482" i="5"/>
  <c r="O3482" i="5" s="1"/>
  <c r="Q3482" i="5" s="1"/>
  <c r="P3481" i="5"/>
  <c r="N3481" i="5"/>
  <c r="D3481" i="5"/>
  <c r="O3481" i="5" s="1"/>
  <c r="Q3481" i="5" s="1"/>
  <c r="P3480" i="5"/>
  <c r="N3480" i="5"/>
  <c r="D3480" i="5"/>
  <c r="O3480" i="5" s="1"/>
  <c r="Q3480" i="5" s="1"/>
  <c r="P3479" i="5"/>
  <c r="N3479" i="5"/>
  <c r="D3479" i="5"/>
  <c r="O3479" i="5" s="1"/>
  <c r="Q3479" i="5" s="1"/>
  <c r="P3478" i="5"/>
  <c r="N3478" i="5"/>
  <c r="D3478" i="5"/>
  <c r="P3477" i="5"/>
  <c r="N3477" i="5"/>
  <c r="D3477" i="5"/>
  <c r="P3476" i="5"/>
  <c r="N3476" i="5"/>
  <c r="D3476" i="5"/>
  <c r="O3476" i="5" s="1"/>
  <c r="Q3476" i="5" s="1"/>
  <c r="P3475" i="5"/>
  <c r="N3475" i="5"/>
  <c r="D3475" i="5"/>
  <c r="O3475" i="5" s="1"/>
  <c r="Q3475" i="5" s="1"/>
  <c r="P3474" i="5"/>
  <c r="N3474" i="5"/>
  <c r="D3474" i="5"/>
  <c r="O3474" i="5" s="1"/>
  <c r="Q3474" i="5" s="1"/>
  <c r="P3473" i="5"/>
  <c r="N3473" i="5"/>
  <c r="D3473" i="5"/>
  <c r="O3473" i="5" s="1"/>
  <c r="Q3473" i="5" s="1"/>
  <c r="P3472" i="5"/>
  <c r="N3472" i="5"/>
  <c r="D3472" i="5"/>
  <c r="O3472" i="5" s="1"/>
  <c r="Q3472" i="5" s="1"/>
  <c r="P3471" i="5"/>
  <c r="N3471" i="5"/>
  <c r="D3471" i="5"/>
  <c r="O3471" i="5" s="1"/>
  <c r="Q3471" i="5" s="1"/>
  <c r="P3470" i="5"/>
  <c r="N3470" i="5"/>
  <c r="D3470" i="5"/>
  <c r="O3470" i="5" s="1"/>
  <c r="Q3470" i="5" s="1"/>
  <c r="P3469" i="5"/>
  <c r="N3469" i="5"/>
  <c r="D3469" i="5"/>
  <c r="O3469" i="5" s="1"/>
  <c r="Q3469" i="5" s="1"/>
  <c r="P3468" i="5"/>
  <c r="N3468" i="5"/>
  <c r="D3468" i="5"/>
  <c r="O3468" i="5" s="1"/>
  <c r="Q3468" i="5" s="1"/>
  <c r="P3467" i="5"/>
  <c r="N3467" i="5"/>
  <c r="D3467" i="5"/>
  <c r="O3467" i="5" s="1"/>
  <c r="Q3467" i="5" s="1"/>
  <c r="P3466" i="5"/>
  <c r="N3466" i="5"/>
  <c r="D3466" i="5"/>
  <c r="O3466" i="5" s="1"/>
  <c r="Q3466" i="5" s="1"/>
  <c r="P3465" i="5"/>
  <c r="N3465" i="5"/>
  <c r="D3465" i="5"/>
  <c r="O3465" i="5" s="1"/>
  <c r="Q3465" i="5" s="1"/>
  <c r="P3464" i="5"/>
  <c r="N3464" i="5"/>
  <c r="D3464" i="5"/>
  <c r="O3464" i="5" s="1"/>
  <c r="Q3464" i="5" s="1"/>
  <c r="P3463" i="5"/>
  <c r="N3463" i="5"/>
  <c r="D3463" i="5"/>
  <c r="O3463" i="5" s="1"/>
  <c r="Q3463" i="5" s="1"/>
  <c r="P3462" i="5"/>
  <c r="N3462" i="5"/>
  <c r="D3462" i="5"/>
  <c r="O3462" i="5" s="1"/>
  <c r="Q3462" i="5" s="1"/>
  <c r="P3461" i="5"/>
  <c r="N3461" i="5"/>
  <c r="D3461" i="5"/>
  <c r="O3461" i="5" s="1"/>
  <c r="Q3461" i="5" s="1"/>
  <c r="P3460" i="5"/>
  <c r="N3460" i="5"/>
  <c r="D3460" i="5"/>
  <c r="O3460" i="5" s="1"/>
  <c r="Q3460" i="5" s="1"/>
  <c r="P3459" i="5"/>
  <c r="N3459" i="5"/>
  <c r="D3459" i="5"/>
  <c r="O3459" i="5" s="1"/>
  <c r="Q3459" i="5" s="1"/>
  <c r="P3458" i="5"/>
  <c r="N3458" i="5"/>
  <c r="D3458" i="5"/>
  <c r="O3458" i="5" s="1"/>
  <c r="Q3458" i="5" s="1"/>
  <c r="P3457" i="5"/>
  <c r="N3457" i="5"/>
  <c r="D3457" i="5"/>
  <c r="O3457" i="5" s="1"/>
  <c r="Q3457" i="5" s="1"/>
  <c r="P3456" i="5"/>
  <c r="N3456" i="5"/>
  <c r="D3456" i="5"/>
  <c r="O3456" i="5" s="1"/>
  <c r="Q3456" i="5" s="1"/>
  <c r="P3455" i="5"/>
  <c r="N3455" i="5"/>
  <c r="D3455" i="5"/>
  <c r="O3455" i="5" s="1"/>
  <c r="Q3455" i="5" s="1"/>
  <c r="P3454" i="5"/>
  <c r="N3454" i="5"/>
  <c r="D3454" i="5"/>
  <c r="O3454" i="5" s="1"/>
  <c r="Q3454" i="5" s="1"/>
  <c r="P3453" i="5"/>
  <c r="N3453" i="5"/>
  <c r="D3453" i="5"/>
  <c r="O3453" i="5" s="1"/>
  <c r="Q3453" i="5" s="1"/>
  <c r="P3452" i="5"/>
  <c r="N3452" i="5"/>
  <c r="D3452" i="5"/>
  <c r="O3452" i="5" s="1"/>
  <c r="Q3452" i="5" s="1"/>
  <c r="P3451" i="5"/>
  <c r="N3451" i="5"/>
  <c r="D3451" i="5"/>
  <c r="O3451" i="5" s="1"/>
  <c r="Q3451" i="5" s="1"/>
  <c r="P3450" i="5"/>
  <c r="N3450" i="5"/>
  <c r="D3450" i="5"/>
  <c r="O3450" i="5" s="1"/>
  <c r="Q3450" i="5" s="1"/>
  <c r="P3449" i="5"/>
  <c r="N3449" i="5"/>
  <c r="D3449" i="5"/>
  <c r="O3449" i="5" s="1"/>
  <c r="Q3449" i="5" s="1"/>
  <c r="P3448" i="5"/>
  <c r="N3448" i="5"/>
  <c r="D3448" i="5"/>
  <c r="O3448" i="5" s="1"/>
  <c r="Q3448" i="5" s="1"/>
  <c r="P3447" i="5"/>
  <c r="N3447" i="5"/>
  <c r="D3447" i="5"/>
  <c r="O3447" i="5" s="1"/>
  <c r="Q3447" i="5" s="1"/>
  <c r="P3446" i="5"/>
  <c r="N3446" i="5"/>
  <c r="D3446" i="5"/>
  <c r="O3446" i="5" s="1"/>
  <c r="Q3446" i="5" s="1"/>
  <c r="P3445" i="5"/>
  <c r="N3445" i="5"/>
  <c r="D3445" i="5"/>
  <c r="O3445" i="5" s="1"/>
  <c r="Q3445" i="5" s="1"/>
  <c r="P3444" i="5"/>
  <c r="N3444" i="5"/>
  <c r="D3444" i="5"/>
  <c r="O3444" i="5" s="1"/>
  <c r="Q3444" i="5" s="1"/>
  <c r="P3443" i="5"/>
  <c r="N3443" i="5"/>
  <c r="D3443" i="5"/>
  <c r="O3443" i="5" s="1"/>
  <c r="Q3443" i="5" s="1"/>
  <c r="P3442" i="5"/>
  <c r="N3442" i="5"/>
  <c r="D3442" i="5"/>
  <c r="O3442" i="5" s="1"/>
  <c r="Q3442" i="5" s="1"/>
  <c r="P3441" i="5"/>
  <c r="N3441" i="5"/>
  <c r="D3441" i="5"/>
  <c r="O3441" i="5" s="1"/>
  <c r="Q3441" i="5" s="1"/>
  <c r="P3440" i="5"/>
  <c r="N3440" i="5"/>
  <c r="D3440" i="5"/>
  <c r="O3440" i="5" s="1"/>
  <c r="Q3440" i="5" s="1"/>
  <c r="P3439" i="5"/>
  <c r="N3439" i="5"/>
  <c r="D3439" i="5"/>
  <c r="O3439" i="5" s="1"/>
  <c r="Q3439" i="5" s="1"/>
  <c r="P3438" i="5"/>
  <c r="N3438" i="5"/>
  <c r="D3438" i="5"/>
  <c r="O3438" i="5" s="1"/>
  <c r="Q3438" i="5" s="1"/>
  <c r="P3437" i="5"/>
  <c r="N3437" i="5"/>
  <c r="D3437" i="5"/>
  <c r="O3437" i="5" s="1"/>
  <c r="Q3437" i="5" s="1"/>
  <c r="P3436" i="5"/>
  <c r="N3436" i="5"/>
  <c r="D3436" i="5"/>
  <c r="O3436" i="5" s="1"/>
  <c r="Q3436" i="5" s="1"/>
  <c r="P3435" i="5"/>
  <c r="N3435" i="5"/>
  <c r="D3435" i="5"/>
  <c r="O3435" i="5" s="1"/>
  <c r="Q3435" i="5" s="1"/>
  <c r="P3434" i="5"/>
  <c r="N3434" i="5"/>
  <c r="D3434" i="5"/>
  <c r="O3434" i="5" s="1"/>
  <c r="Q3434" i="5" s="1"/>
  <c r="P3433" i="5"/>
  <c r="N3433" i="5"/>
  <c r="D3433" i="5"/>
  <c r="O3433" i="5" s="1"/>
  <c r="Q3433" i="5" s="1"/>
  <c r="P3432" i="5"/>
  <c r="N3432" i="5"/>
  <c r="D3432" i="5"/>
  <c r="O3432" i="5" s="1"/>
  <c r="Q3432" i="5" s="1"/>
  <c r="P3431" i="5"/>
  <c r="N3431" i="5"/>
  <c r="D3431" i="5"/>
  <c r="O3431" i="5" s="1"/>
  <c r="Q3431" i="5" s="1"/>
  <c r="P3430" i="5"/>
  <c r="N3430" i="5"/>
  <c r="D3430" i="5"/>
  <c r="O3430" i="5" s="1"/>
  <c r="Q3430" i="5" s="1"/>
  <c r="P3429" i="5"/>
  <c r="N3429" i="5"/>
  <c r="D3429" i="5"/>
  <c r="O3429" i="5" s="1"/>
  <c r="Q3429" i="5" s="1"/>
  <c r="P3428" i="5"/>
  <c r="N3428" i="5"/>
  <c r="D3428" i="5"/>
  <c r="O3428" i="5" s="1"/>
  <c r="Q3428" i="5" s="1"/>
  <c r="P3427" i="5"/>
  <c r="N3427" i="5"/>
  <c r="D3427" i="5"/>
  <c r="O3427" i="5" s="1"/>
  <c r="Q3427" i="5" s="1"/>
  <c r="P3426" i="5"/>
  <c r="N3426" i="5"/>
  <c r="D3426" i="5"/>
  <c r="O3426" i="5" s="1"/>
  <c r="Q3426" i="5" s="1"/>
  <c r="P3425" i="5"/>
  <c r="N3425" i="5"/>
  <c r="D3425" i="5"/>
  <c r="O3425" i="5" s="1"/>
  <c r="Q3425" i="5" s="1"/>
  <c r="P3424" i="5"/>
  <c r="N3424" i="5"/>
  <c r="D3424" i="5"/>
  <c r="O3424" i="5" s="1"/>
  <c r="Q3424" i="5" s="1"/>
  <c r="P3423" i="5"/>
  <c r="N3423" i="5"/>
  <c r="D3423" i="5"/>
  <c r="O3423" i="5" s="1"/>
  <c r="Q3423" i="5" s="1"/>
  <c r="P3422" i="5"/>
  <c r="N3422" i="5"/>
  <c r="D3422" i="5"/>
  <c r="O3422" i="5" s="1"/>
  <c r="Q3422" i="5" s="1"/>
  <c r="P3421" i="5"/>
  <c r="N3421" i="5"/>
  <c r="D3421" i="5"/>
  <c r="O3421" i="5" s="1"/>
  <c r="Q3421" i="5" s="1"/>
  <c r="P3420" i="5"/>
  <c r="N3420" i="5"/>
  <c r="D3420" i="5"/>
  <c r="O3420" i="5" s="1"/>
  <c r="Q3420" i="5" s="1"/>
  <c r="P3419" i="5"/>
  <c r="N3419" i="5"/>
  <c r="D3419" i="5"/>
  <c r="O3419" i="5" s="1"/>
  <c r="Q3419" i="5" s="1"/>
  <c r="P3418" i="5"/>
  <c r="N3418" i="5"/>
  <c r="D3418" i="5"/>
  <c r="O3418" i="5" s="1"/>
  <c r="Q3418" i="5" s="1"/>
  <c r="P3417" i="5"/>
  <c r="N3417" i="5"/>
  <c r="D3417" i="5"/>
  <c r="O3417" i="5" s="1"/>
  <c r="Q3417" i="5" s="1"/>
  <c r="P3416" i="5"/>
  <c r="N3416" i="5"/>
  <c r="D3416" i="5"/>
  <c r="O3416" i="5" s="1"/>
  <c r="Q3416" i="5" s="1"/>
  <c r="P3415" i="5"/>
  <c r="N3415" i="5"/>
  <c r="D3415" i="5"/>
  <c r="O3415" i="5" s="1"/>
  <c r="Q3415" i="5" s="1"/>
  <c r="P3414" i="5"/>
  <c r="N3414" i="5"/>
  <c r="D3414" i="5"/>
  <c r="O3414" i="5" s="1"/>
  <c r="Q3414" i="5" s="1"/>
  <c r="P3413" i="5"/>
  <c r="N3413" i="5"/>
  <c r="D3413" i="5"/>
  <c r="O3413" i="5" s="1"/>
  <c r="Q3413" i="5" s="1"/>
  <c r="Q3412" i="5"/>
  <c r="P3412" i="5"/>
  <c r="N3412" i="5"/>
  <c r="D3412" i="5"/>
  <c r="Q3411" i="5"/>
  <c r="P3411" i="5"/>
  <c r="N3411" i="5"/>
  <c r="D3411" i="5"/>
  <c r="Q3410" i="5"/>
  <c r="P3410" i="5"/>
  <c r="N3410" i="5"/>
  <c r="D3410" i="5"/>
  <c r="Q3409" i="5"/>
  <c r="P3409" i="5"/>
  <c r="N3409" i="5"/>
  <c r="D3409" i="5"/>
  <c r="Q3408" i="5"/>
  <c r="P3408" i="5"/>
  <c r="N3408" i="5"/>
  <c r="D3408" i="5"/>
  <c r="Q3407" i="5"/>
  <c r="P3407" i="5"/>
  <c r="N3407" i="5"/>
  <c r="D3407" i="5"/>
  <c r="Q3406" i="5"/>
  <c r="P3406" i="5"/>
  <c r="N3406" i="5"/>
  <c r="D3406" i="5"/>
  <c r="Q3405" i="5"/>
  <c r="P3405" i="5"/>
  <c r="N3405" i="5"/>
  <c r="D3405" i="5"/>
  <c r="Q3404" i="5"/>
  <c r="P3404" i="5"/>
  <c r="N3404" i="5"/>
  <c r="D3404" i="5"/>
  <c r="P3403" i="5"/>
  <c r="N3403" i="5"/>
  <c r="D3403" i="5"/>
  <c r="O3403" i="5" s="1"/>
  <c r="Q3403" i="5" s="1"/>
  <c r="P3402" i="5"/>
  <c r="N3402" i="5"/>
  <c r="D3402" i="5"/>
  <c r="O3402" i="5" s="1"/>
  <c r="Q3402" i="5" s="1"/>
  <c r="P3401" i="5"/>
  <c r="N3401" i="5"/>
  <c r="D3401" i="5"/>
  <c r="O3401" i="5" s="1"/>
  <c r="Q3401" i="5" s="1"/>
  <c r="P3400" i="5"/>
  <c r="N3400" i="5"/>
  <c r="D3400" i="5"/>
  <c r="O3400" i="5" s="1"/>
  <c r="Q3400" i="5" s="1"/>
  <c r="P3399" i="5"/>
  <c r="N3399" i="5"/>
  <c r="D3399" i="5"/>
  <c r="O3399" i="5" s="1"/>
  <c r="Q3399" i="5" s="1"/>
  <c r="P3398" i="5"/>
  <c r="N3398" i="5"/>
  <c r="D3398" i="5"/>
  <c r="O3398" i="5" s="1"/>
  <c r="Q3398" i="5" s="1"/>
  <c r="P3397" i="5"/>
  <c r="N3397" i="5"/>
  <c r="D3397" i="5"/>
  <c r="O3397" i="5" s="1"/>
  <c r="Q3397" i="5" s="1"/>
  <c r="P3396" i="5"/>
  <c r="N3396" i="5"/>
  <c r="D3396" i="5"/>
  <c r="O3396" i="5" s="1"/>
  <c r="Q3396" i="5" s="1"/>
  <c r="P3395" i="5"/>
  <c r="N3395" i="5"/>
  <c r="D3395" i="5"/>
  <c r="O3395" i="5" s="1"/>
  <c r="Q3395" i="5" s="1"/>
  <c r="P3394" i="5"/>
  <c r="N3394" i="5"/>
  <c r="D3394" i="5"/>
  <c r="O3394" i="5" s="1"/>
  <c r="Q3394" i="5" s="1"/>
  <c r="P3393" i="5"/>
  <c r="N3393" i="5"/>
  <c r="D3393" i="5"/>
  <c r="O3393" i="5" s="1"/>
  <c r="Q3393" i="5" s="1"/>
  <c r="P3392" i="5"/>
  <c r="N3392" i="5"/>
  <c r="D3392" i="5"/>
  <c r="O3392" i="5" s="1"/>
  <c r="Q3392" i="5" s="1"/>
  <c r="P3391" i="5"/>
  <c r="N3391" i="5"/>
  <c r="D3391" i="5"/>
  <c r="O3391" i="5" s="1"/>
  <c r="Q3391" i="5" s="1"/>
  <c r="P3390" i="5"/>
  <c r="N3390" i="5"/>
  <c r="D3390" i="5"/>
  <c r="O3390" i="5" s="1"/>
  <c r="Q3390" i="5" s="1"/>
  <c r="P3389" i="5"/>
  <c r="N3389" i="5"/>
  <c r="D3389" i="5"/>
  <c r="O3389" i="5" s="1"/>
  <c r="Q3389" i="5" s="1"/>
  <c r="P3388" i="5"/>
  <c r="N3388" i="5"/>
  <c r="D3388" i="5"/>
  <c r="O3388" i="5" s="1"/>
  <c r="Q3388" i="5" s="1"/>
  <c r="P3387" i="5"/>
  <c r="N3387" i="5"/>
  <c r="D3387" i="5"/>
  <c r="O3387" i="5" s="1"/>
  <c r="Q3387" i="5" s="1"/>
  <c r="P3386" i="5"/>
  <c r="N3386" i="5"/>
  <c r="D3386" i="5"/>
  <c r="O3386" i="5" s="1"/>
  <c r="Q3386" i="5" s="1"/>
  <c r="P3385" i="5"/>
  <c r="N3385" i="5"/>
  <c r="D3385" i="5"/>
  <c r="P3384" i="5"/>
  <c r="N3384" i="5"/>
  <c r="D3384" i="5"/>
  <c r="O3384" i="5" s="1"/>
  <c r="Q3384" i="5" s="1"/>
  <c r="P3383" i="5"/>
  <c r="N3383" i="5"/>
  <c r="D3383" i="5"/>
  <c r="O3383" i="5" s="1"/>
  <c r="Q3383" i="5" s="1"/>
  <c r="P3382" i="5"/>
  <c r="N3382" i="5"/>
  <c r="D3382" i="5"/>
  <c r="O3382" i="5" s="1"/>
  <c r="Q3382" i="5" s="1"/>
  <c r="P3381" i="5"/>
  <c r="N3381" i="5"/>
  <c r="D3381" i="5"/>
  <c r="O3381" i="5" s="1"/>
  <c r="Q3381" i="5" s="1"/>
  <c r="P3380" i="5"/>
  <c r="N3380" i="5"/>
  <c r="D3380" i="5"/>
  <c r="O3380" i="5" s="1"/>
  <c r="Q3380" i="5" s="1"/>
  <c r="P3379" i="5"/>
  <c r="N3379" i="5"/>
  <c r="D3379" i="5"/>
  <c r="O3379" i="5" s="1"/>
  <c r="Q3379" i="5" s="1"/>
  <c r="P3378" i="5"/>
  <c r="N3378" i="5"/>
  <c r="D3378" i="5"/>
  <c r="O3378" i="5" s="1"/>
  <c r="Q3378" i="5" s="1"/>
  <c r="P3377" i="5"/>
  <c r="N3377" i="5"/>
  <c r="D3377" i="5"/>
  <c r="O3377" i="5" s="1"/>
  <c r="Q3377" i="5" s="1"/>
  <c r="P3376" i="5"/>
  <c r="N3376" i="5"/>
  <c r="D3376" i="5"/>
  <c r="O3376" i="5" s="1"/>
  <c r="Q3376" i="5" s="1"/>
  <c r="P3375" i="5"/>
  <c r="N3375" i="5"/>
  <c r="D3375" i="5"/>
  <c r="O3375" i="5" s="1"/>
  <c r="Q3375" i="5" s="1"/>
  <c r="P3374" i="5"/>
  <c r="N3374" i="5"/>
  <c r="D3374" i="5"/>
  <c r="O3374" i="5" s="1"/>
  <c r="Q3374" i="5" s="1"/>
  <c r="P3373" i="5"/>
  <c r="N3373" i="5"/>
  <c r="D3373" i="5"/>
  <c r="O3373" i="5" s="1"/>
  <c r="Q3373" i="5" s="1"/>
  <c r="P3372" i="5"/>
  <c r="N3372" i="5"/>
  <c r="D3372" i="5"/>
  <c r="O3372" i="5" s="1"/>
  <c r="Q3372" i="5" s="1"/>
  <c r="P3371" i="5"/>
  <c r="N3371" i="5"/>
  <c r="D3371" i="5"/>
  <c r="O3371" i="5" s="1"/>
  <c r="Q3371" i="5" s="1"/>
  <c r="P3370" i="5"/>
  <c r="N3370" i="5"/>
  <c r="D3370" i="5"/>
  <c r="O3370" i="5" s="1"/>
  <c r="Q3370" i="5" s="1"/>
  <c r="P3369" i="5"/>
  <c r="N3369" i="5"/>
  <c r="D3369" i="5"/>
  <c r="P3368" i="5"/>
  <c r="N3368" i="5"/>
  <c r="D3368" i="5"/>
  <c r="O3368" i="5" s="1"/>
  <c r="Q3368" i="5" s="1"/>
  <c r="P3367" i="5"/>
  <c r="N3367" i="5"/>
  <c r="D3367" i="5"/>
  <c r="O3367" i="5" s="1"/>
  <c r="Q3367" i="5" s="1"/>
  <c r="P3366" i="5"/>
  <c r="N3366" i="5"/>
  <c r="D3366" i="5"/>
  <c r="O3366" i="5" s="1"/>
  <c r="Q3366" i="5" s="1"/>
  <c r="P3365" i="5"/>
  <c r="N3365" i="5"/>
  <c r="D3365" i="5"/>
  <c r="P3364" i="5"/>
  <c r="N3364" i="5"/>
  <c r="D3364" i="5"/>
  <c r="O3364" i="5" s="1"/>
  <c r="Q3364" i="5" s="1"/>
  <c r="P3363" i="5"/>
  <c r="N3363" i="5"/>
  <c r="D3363" i="5"/>
  <c r="O3363" i="5" s="1"/>
  <c r="Q3363" i="5" s="1"/>
  <c r="P3362" i="5"/>
  <c r="N3362" i="5"/>
  <c r="D3362" i="5"/>
  <c r="O3362" i="5" s="1"/>
  <c r="Q3362" i="5" s="1"/>
  <c r="P3361" i="5"/>
  <c r="N3361" i="5"/>
  <c r="D3361" i="5"/>
  <c r="O3361" i="5" s="1"/>
  <c r="Q3361" i="5" s="1"/>
  <c r="P3360" i="5"/>
  <c r="N3360" i="5"/>
  <c r="D3360" i="5"/>
  <c r="O3360" i="5" s="1"/>
  <c r="Q3360" i="5" s="1"/>
  <c r="P3359" i="5"/>
  <c r="N3359" i="5"/>
  <c r="D3359" i="5"/>
  <c r="O3359" i="5" s="1"/>
  <c r="Q3359" i="5" s="1"/>
  <c r="P3358" i="5"/>
  <c r="N3358" i="5"/>
  <c r="D3358" i="5"/>
  <c r="O3358" i="5" s="1"/>
  <c r="Q3358" i="5" s="1"/>
  <c r="P3357" i="5"/>
  <c r="N3357" i="5"/>
  <c r="D3357" i="5"/>
  <c r="O3357" i="5" s="1"/>
  <c r="Q3357" i="5" s="1"/>
  <c r="P3356" i="5"/>
  <c r="N3356" i="5"/>
  <c r="D3356" i="5"/>
  <c r="O3356" i="5" s="1"/>
  <c r="Q3356" i="5" s="1"/>
  <c r="P3355" i="5"/>
  <c r="N3355" i="5"/>
  <c r="D3355" i="5"/>
  <c r="O3355" i="5" s="1"/>
  <c r="Q3355" i="5" s="1"/>
  <c r="P3354" i="5"/>
  <c r="N3354" i="5"/>
  <c r="D3354" i="5"/>
  <c r="O3354" i="5" s="1"/>
  <c r="Q3354" i="5" s="1"/>
  <c r="P3353" i="5"/>
  <c r="N3353" i="5"/>
  <c r="D3353" i="5"/>
  <c r="O3353" i="5" s="1"/>
  <c r="Q3353" i="5" s="1"/>
  <c r="P3352" i="5"/>
  <c r="N3352" i="5"/>
  <c r="D3352" i="5"/>
  <c r="P3351" i="5"/>
  <c r="N3351" i="5"/>
  <c r="D3351" i="5"/>
  <c r="O3351" i="5" s="1"/>
  <c r="Q3351" i="5" s="1"/>
  <c r="P3350" i="5"/>
  <c r="N3350" i="5"/>
  <c r="D3350" i="5"/>
  <c r="O3350" i="5" s="1"/>
  <c r="Q3350" i="5" s="1"/>
  <c r="P3349" i="5"/>
  <c r="N3349" i="5"/>
  <c r="D3349" i="5"/>
  <c r="O3349" i="5" s="1"/>
  <c r="Q3349" i="5" s="1"/>
  <c r="P3348" i="5"/>
  <c r="N3348" i="5"/>
  <c r="D3348" i="5"/>
  <c r="O3348" i="5" s="1"/>
  <c r="Q3348" i="5" s="1"/>
  <c r="P3347" i="5"/>
  <c r="N3347" i="5"/>
  <c r="D3347" i="5"/>
  <c r="O3347" i="5" s="1"/>
  <c r="Q3347" i="5" s="1"/>
  <c r="P3346" i="5"/>
  <c r="N3346" i="5"/>
  <c r="D3346" i="5"/>
  <c r="O3346" i="5" s="1"/>
  <c r="Q3346" i="5" s="1"/>
  <c r="P3345" i="5"/>
  <c r="N3345" i="5"/>
  <c r="D3345" i="5"/>
  <c r="O3345" i="5" s="1"/>
  <c r="Q3345" i="5" s="1"/>
  <c r="P3344" i="5"/>
  <c r="N3344" i="5"/>
  <c r="D3344" i="5"/>
  <c r="O3344" i="5" s="1"/>
  <c r="Q3344" i="5" s="1"/>
  <c r="P3343" i="5"/>
  <c r="N3343" i="5"/>
  <c r="D3343" i="5"/>
  <c r="O3343" i="5" s="1"/>
  <c r="Q3343" i="5" s="1"/>
  <c r="P3342" i="5"/>
  <c r="N3342" i="5"/>
  <c r="D3342" i="5"/>
  <c r="O3342" i="5" s="1"/>
  <c r="Q3342" i="5" s="1"/>
  <c r="P3341" i="5"/>
  <c r="N3341" i="5"/>
  <c r="D3341" i="5"/>
  <c r="O3341" i="5" s="1"/>
  <c r="Q3341" i="5" s="1"/>
  <c r="P3340" i="5"/>
  <c r="N3340" i="5"/>
  <c r="D3340" i="5"/>
  <c r="O3340" i="5" s="1"/>
  <c r="Q3340" i="5" s="1"/>
  <c r="P3339" i="5"/>
  <c r="N3339" i="5"/>
  <c r="D3339" i="5"/>
  <c r="O3339" i="5" s="1"/>
  <c r="Q3339" i="5" s="1"/>
  <c r="P3338" i="5"/>
  <c r="N3338" i="5"/>
  <c r="D3338" i="5"/>
  <c r="O3338" i="5" s="1"/>
  <c r="Q3338" i="5" s="1"/>
  <c r="P3337" i="5"/>
  <c r="N3337" i="5"/>
  <c r="D3337" i="5"/>
  <c r="O3337" i="5" s="1"/>
  <c r="Q3337" i="5" s="1"/>
  <c r="P3336" i="5"/>
  <c r="N3336" i="5"/>
  <c r="D3336" i="5"/>
  <c r="O3336" i="5" s="1"/>
  <c r="Q3336" i="5" s="1"/>
  <c r="P3335" i="5"/>
  <c r="N3335" i="5"/>
  <c r="D3335" i="5"/>
  <c r="O3335" i="5" s="1"/>
  <c r="Q3335" i="5" s="1"/>
  <c r="P3334" i="5"/>
  <c r="N3334" i="5"/>
  <c r="D3334" i="5"/>
  <c r="O3334" i="5" s="1"/>
  <c r="Q3334" i="5" s="1"/>
  <c r="P3333" i="5"/>
  <c r="N3333" i="5"/>
  <c r="D3333" i="5"/>
  <c r="O3333" i="5" s="1"/>
  <c r="Q3333" i="5" s="1"/>
  <c r="P3332" i="5"/>
  <c r="N3332" i="5"/>
  <c r="D3332" i="5"/>
  <c r="O3332" i="5" s="1"/>
  <c r="Q3332" i="5" s="1"/>
  <c r="P3331" i="5"/>
  <c r="N3331" i="5"/>
  <c r="D3331" i="5"/>
  <c r="O3331" i="5" s="1"/>
  <c r="Q3331" i="5" s="1"/>
  <c r="P3330" i="5"/>
  <c r="N3330" i="5"/>
  <c r="D3330" i="5"/>
  <c r="O3330" i="5" s="1"/>
  <c r="Q3330" i="5" s="1"/>
  <c r="P3329" i="5"/>
  <c r="N3329" i="5"/>
  <c r="D3329" i="5"/>
  <c r="O3329" i="5" s="1"/>
  <c r="Q3329" i="5" s="1"/>
  <c r="P3328" i="5"/>
  <c r="N3328" i="5"/>
  <c r="D3328" i="5"/>
  <c r="O3328" i="5" s="1"/>
  <c r="Q3328" i="5" s="1"/>
  <c r="P3327" i="5"/>
  <c r="N3327" i="5"/>
  <c r="D3327" i="5"/>
  <c r="O3327" i="5" s="1"/>
  <c r="Q3327" i="5" s="1"/>
  <c r="P3326" i="5"/>
  <c r="N3326" i="5"/>
  <c r="D3326" i="5"/>
  <c r="O3326" i="5" s="1"/>
  <c r="Q3326" i="5" s="1"/>
  <c r="P3325" i="5"/>
  <c r="N3325" i="5"/>
  <c r="D3325" i="5"/>
  <c r="O3325" i="5" s="1"/>
  <c r="Q3325" i="5" s="1"/>
  <c r="P3324" i="5"/>
  <c r="N3324" i="5"/>
  <c r="D3324" i="5"/>
  <c r="O3324" i="5" s="1"/>
  <c r="Q3324" i="5" s="1"/>
  <c r="P3323" i="5"/>
  <c r="N3323" i="5"/>
  <c r="D3323" i="5"/>
  <c r="O3323" i="5" s="1"/>
  <c r="Q3323" i="5" s="1"/>
  <c r="P3322" i="5"/>
  <c r="N3322" i="5"/>
  <c r="D3322" i="5"/>
  <c r="O3322" i="5" s="1"/>
  <c r="Q3322" i="5" s="1"/>
  <c r="P3321" i="5"/>
  <c r="N3321" i="5"/>
  <c r="D3321" i="5"/>
  <c r="O3321" i="5" s="1"/>
  <c r="Q3321" i="5" s="1"/>
  <c r="P3320" i="5"/>
  <c r="N3320" i="5"/>
  <c r="D3320" i="5"/>
  <c r="O3320" i="5" s="1"/>
  <c r="Q3320" i="5" s="1"/>
  <c r="P3319" i="5"/>
  <c r="N3319" i="5"/>
  <c r="D3319" i="5"/>
  <c r="O3319" i="5" s="1"/>
  <c r="Q3319" i="5" s="1"/>
  <c r="P3318" i="5"/>
  <c r="N3318" i="5"/>
  <c r="D3318" i="5"/>
  <c r="O3318" i="5" s="1"/>
  <c r="Q3318" i="5" s="1"/>
  <c r="P3317" i="5"/>
  <c r="N3317" i="5"/>
  <c r="D3317" i="5"/>
  <c r="O3317" i="5" s="1"/>
  <c r="Q3317" i="5" s="1"/>
  <c r="P3316" i="5"/>
  <c r="N3316" i="5"/>
  <c r="D3316" i="5"/>
  <c r="O3316" i="5" s="1"/>
  <c r="Q3316" i="5" s="1"/>
  <c r="P3315" i="5"/>
  <c r="N3315" i="5"/>
  <c r="D3315" i="5"/>
  <c r="P3314" i="5"/>
  <c r="N3314" i="5"/>
  <c r="D3314" i="5"/>
  <c r="O3314" i="5" s="1"/>
  <c r="Q3314" i="5" s="1"/>
  <c r="P3313" i="5"/>
  <c r="N3313" i="5"/>
  <c r="D3313" i="5"/>
  <c r="O3313" i="5" s="1"/>
  <c r="Q3313" i="5" s="1"/>
  <c r="P3312" i="5"/>
  <c r="N3312" i="5"/>
  <c r="D3312" i="5"/>
  <c r="O3312" i="5" s="1"/>
  <c r="Q3312" i="5" s="1"/>
  <c r="P3311" i="5"/>
  <c r="N3311" i="5"/>
  <c r="D3311" i="5"/>
  <c r="O3311" i="5" s="1"/>
  <c r="Q3311" i="5" s="1"/>
  <c r="P3310" i="5"/>
  <c r="N3310" i="5"/>
  <c r="D3310" i="5"/>
  <c r="O3310" i="5" s="1"/>
  <c r="Q3310" i="5" s="1"/>
  <c r="P3309" i="5"/>
  <c r="N3309" i="5"/>
  <c r="D3309" i="5"/>
  <c r="O3309" i="5" s="1"/>
  <c r="Q3309" i="5" s="1"/>
  <c r="P3308" i="5"/>
  <c r="N3308" i="5"/>
  <c r="D3308" i="5"/>
  <c r="O3308" i="5" s="1"/>
  <c r="Q3308" i="5" s="1"/>
  <c r="P3307" i="5"/>
  <c r="N3307" i="5"/>
  <c r="D3307" i="5"/>
  <c r="O3307" i="5" s="1"/>
  <c r="Q3307" i="5" s="1"/>
  <c r="P3306" i="5"/>
  <c r="N3306" i="5"/>
  <c r="D3306" i="5"/>
  <c r="O3306" i="5" s="1"/>
  <c r="Q3306" i="5" s="1"/>
  <c r="P3305" i="5"/>
  <c r="N3305" i="5"/>
  <c r="D3305" i="5"/>
  <c r="O3305" i="5" s="1"/>
  <c r="Q3305" i="5" s="1"/>
  <c r="P3304" i="5"/>
  <c r="N3304" i="5"/>
  <c r="D3304" i="5"/>
  <c r="O3304" i="5" s="1"/>
  <c r="Q3304" i="5" s="1"/>
  <c r="P3303" i="5"/>
  <c r="N3303" i="5"/>
  <c r="D3303" i="5"/>
  <c r="O3303" i="5" s="1"/>
  <c r="Q3303" i="5" s="1"/>
  <c r="P3302" i="5"/>
  <c r="N3302" i="5"/>
  <c r="D3302" i="5"/>
  <c r="O3302" i="5" s="1"/>
  <c r="Q3302" i="5" s="1"/>
  <c r="P3301" i="5"/>
  <c r="N3301" i="5"/>
  <c r="D3301" i="5"/>
  <c r="O3301" i="5" s="1"/>
  <c r="Q3301" i="5" s="1"/>
  <c r="P3300" i="5"/>
  <c r="N3300" i="5"/>
  <c r="D3300" i="5"/>
  <c r="O3300" i="5" s="1"/>
  <c r="Q3300" i="5" s="1"/>
  <c r="P3299" i="5"/>
  <c r="N3299" i="5"/>
  <c r="D3299" i="5"/>
  <c r="O3299" i="5" s="1"/>
  <c r="Q3299" i="5" s="1"/>
  <c r="P3298" i="5"/>
  <c r="N3298" i="5"/>
  <c r="D3298" i="5"/>
  <c r="O3298" i="5" s="1"/>
  <c r="Q3298" i="5" s="1"/>
  <c r="P3297" i="5"/>
  <c r="N3297" i="5"/>
  <c r="D3297" i="5"/>
  <c r="O3297" i="5" s="1"/>
  <c r="Q3297" i="5" s="1"/>
  <c r="P3296" i="5"/>
  <c r="N3296" i="5"/>
  <c r="D3296" i="5"/>
  <c r="O3296" i="5" s="1"/>
  <c r="Q3296" i="5" s="1"/>
  <c r="P3295" i="5"/>
  <c r="N3295" i="5"/>
  <c r="D3295" i="5"/>
  <c r="O3295" i="5" s="1"/>
  <c r="Q3295" i="5" s="1"/>
  <c r="P3294" i="5"/>
  <c r="N3294" i="5"/>
  <c r="D3294" i="5"/>
  <c r="O3294" i="5" s="1"/>
  <c r="Q3294" i="5" s="1"/>
  <c r="P3293" i="5"/>
  <c r="N3293" i="5"/>
  <c r="D3293" i="5"/>
  <c r="O3293" i="5" s="1"/>
  <c r="Q3293" i="5" s="1"/>
  <c r="P3292" i="5"/>
  <c r="N3292" i="5"/>
  <c r="D3292" i="5"/>
  <c r="O3292" i="5" s="1"/>
  <c r="Q3292" i="5" s="1"/>
  <c r="P3291" i="5"/>
  <c r="N3291" i="5"/>
  <c r="D3291" i="5"/>
  <c r="O3291" i="5" s="1"/>
  <c r="Q3291" i="5" s="1"/>
  <c r="P3290" i="5"/>
  <c r="N3290" i="5"/>
  <c r="D3290" i="5"/>
  <c r="O3290" i="5" s="1"/>
  <c r="Q3290" i="5" s="1"/>
  <c r="P3289" i="5"/>
  <c r="N3289" i="5"/>
  <c r="D3289" i="5"/>
  <c r="O3289" i="5" s="1"/>
  <c r="Q3289" i="5" s="1"/>
  <c r="P3288" i="5"/>
  <c r="N3288" i="5"/>
  <c r="D3288" i="5"/>
  <c r="O3288" i="5" s="1"/>
  <c r="Q3288" i="5" s="1"/>
  <c r="P3287" i="5"/>
  <c r="N3287" i="5"/>
  <c r="D3287" i="5"/>
  <c r="O3287" i="5" s="1"/>
  <c r="Q3287" i="5" s="1"/>
  <c r="P3286" i="5"/>
  <c r="N3286" i="5"/>
  <c r="D3286" i="5"/>
  <c r="O3286" i="5" s="1"/>
  <c r="Q3286" i="5" s="1"/>
  <c r="P3285" i="5"/>
  <c r="N3285" i="5"/>
  <c r="D3285" i="5"/>
  <c r="O3285" i="5" s="1"/>
  <c r="Q3285" i="5" s="1"/>
  <c r="P3284" i="5"/>
  <c r="N3284" i="5"/>
  <c r="D3284" i="5"/>
  <c r="O3284" i="5" s="1"/>
  <c r="Q3284" i="5" s="1"/>
  <c r="P3283" i="5"/>
  <c r="N3283" i="5"/>
  <c r="D3283" i="5"/>
  <c r="O3283" i="5" s="1"/>
  <c r="Q3283" i="5" s="1"/>
  <c r="P3282" i="5"/>
  <c r="N3282" i="5"/>
  <c r="D3282" i="5"/>
  <c r="O3282" i="5" s="1"/>
  <c r="Q3282" i="5" s="1"/>
  <c r="P3281" i="5"/>
  <c r="N3281" i="5"/>
  <c r="D3281" i="5"/>
  <c r="O3281" i="5" s="1"/>
  <c r="Q3281" i="5" s="1"/>
  <c r="P3280" i="5"/>
  <c r="N3280" i="5"/>
  <c r="D3280" i="5"/>
  <c r="O3280" i="5" s="1"/>
  <c r="Q3280" i="5" s="1"/>
  <c r="P3279" i="5"/>
  <c r="N3279" i="5"/>
  <c r="D3279" i="5"/>
  <c r="O3279" i="5" s="1"/>
  <c r="Q3279" i="5" s="1"/>
  <c r="P3278" i="5"/>
  <c r="N3278" i="5"/>
  <c r="D3278" i="5"/>
  <c r="O3278" i="5" s="1"/>
  <c r="Q3278" i="5" s="1"/>
  <c r="P3277" i="5"/>
  <c r="N3277" i="5"/>
  <c r="D3277" i="5"/>
  <c r="O3277" i="5" s="1"/>
  <c r="Q3277" i="5" s="1"/>
  <c r="P3276" i="5"/>
  <c r="N3276" i="5"/>
  <c r="D3276" i="5"/>
  <c r="P3275" i="5"/>
  <c r="N3275" i="5"/>
  <c r="D3275" i="5"/>
  <c r="O3275" i="5" s="1"/>
  <c r="Q3275" i="5" s="1"/>
  <c r="P3274" i="5"/>
  <c r="N3274" i="5"/>
  <c r="D3274" i="5"/>
  <c r="O3274" i="5" s="1"/>
  <c r="Q3274" i="5" s="1"/>
  <c r="P3273" i="5"/>
  <c r="N3273" i="5"/>
  <c r="D3273" i="5"/>
  <c r="O3273" i="5" s="1"/>
  <c r="Q3273" i="5" s="1"/>
  <c r="P3272" i="5"/>
  <c r="N3272" i="5"/>
  <c r="D3272" i="5"/>
  <c r="O3272" i="5" s="1"/>
  <c r="Q3272" i="5" s="1"/>
  <c r="P3271" i="5"/>
  <c r="N3271" i="5"/>
  <c r="D3271" i="5"/>
  <c r="O3271" i="5" s="1"/>
  <c r="Q3271" i="5" s="1"/>
  <c r="P3270" i="5"/>
  <c r="N3270" i="5"/>
  <c r="D3270" i="5"/>
  <c r="O3270" i="5" s="1"/>
  <c r="Q3270" i="5" s="1"/>
  <c r="P3269" i="5"/>
  <c r="N3269" i="5"/>
  <c r="D3269" i="5"/>
  <c r="O3269" i="5" s="1"/>
  <c r="Q3269" i="5" s="1"/>
  <c r="P3268" i="5"/>
  <c r="N3268" i="5"/>
  <c r="D3268" i="5"/>
  <c r="O3268" i="5" s="1"/>
  <c r="Q3268" i="5" s="1"/>
  <c r="P3267" i="5"/>
  <c r="N3267" i="5"/>
  <c r="D3267" i="5"/>
  <c r="O3267" i="5" s="1"/>
  <c r="Q3267" i="5" s="1"/>
  <c r="P3266" i="5"/>
  <c r="N3266" i="5"/>
  <c r="D3266" i="5"/>
  <c r="O3266" i="5" s="1"/>
  <c r="Q3266" i="5" s="1"/>
  <c r="P3265" i="5"/>
  <c r="N3265" i="5"/>
  <c r="D3265" i="5"/>
  <c r="O3265" i="5" s="1"/>
  <c r="Q3265" i="5" s="1"/>
  <c r="P3264" i="5"/>
  <c r="N3264" i="5"/>
  <c r="D3264" i="5"/>
  <c r="O3264" i="5" s="1"/>
  <c r="Q3264" i="5" s="1"/>
  <c r="P3263" i="5"/>
  <c r="N3263" i="5"/>
  <c r="D3263" i="5"/>
  <c r="O3263" i="5" s="1"/>
  <c r="Q3263" i="5" s="1"/>
  <c r="P3262" i="5"/>
  <c r="N3262" i="5"/>
  <c r="D3262" i="5"/>
  <c r="O3262" i="5" s="1"/>
  <c r="Q3262" i="5" s="1"/>
  <c r="P3261" i="5"/>
  <c r="N3261" i="5"/>
  <c r="D3261" i="5"/>
  <c r="O3261" i="5" s="1"/>
  <c r="Q3261" i="5" s="1"/>
  <c r="P3260" i="5"/>
  <c r="N3260" i="5"/>
  <c r="D3260" i="5"/>
  <c r="O3260" i="5" s="1"/>
  <c r="Q3260" i="5" s="1"/>
  <c r="P3259" i="5"/>
  <c r="N3259" i="5"/>
  <c r="D3259" i="5"/>
  <c r="O3259" i="5" s="1"/>
  <c r="Q3259" i="5" s="1"/>
  <c r="P3258" i="5"/>
  <c r="N3258" i="5"/>
  <c r="D3258" i="5"/>
  <c r="O3258" i="5" s="1"/>
  <c r="Q3258" i="5" s="1"/>
  <c r="P3257" i="5"/>
  <c r="N3257" i="5"/>
  <c r="D3257" i="5"/>
  <c r="O3257" i="5" s="1"/>
  <c r="Q3257" i="5" s="1"/>
  <c r="P3256" i="5"/>
  <c r="N3256" i="5"/>
  <c r="D3256" i="5"/>
  <c r="O3256" i="5" s="1"/>
  <c r="Q3256" i="5" s="1"/>
  <c r="P3255" i="5"/>
  <c r="N3255" i="5"/>
  <c r="D3255" i="5"/>
  <c r="O3255" i="5" s="1"/>
  <c r="Q3255" i="5" s="1"/>
  <c r="P3254" i="5"/>
  <c r="N3254" i="5"/>
  <c r="D3254" i="5"/>
  <c r="O3254" i="5" s="1"/>
  <c r="Q3254" i="5" s="1"/>
  <c r="P3253" i="5"/>
  <c r="N3253" i="5"/>
  <c r="D3253" i="5"/>
  <c r="O3253" i="5" s="1"/>
  <c r="Q3253" i="5" s="1"/>
  <c r="P3252" i="5"/>
  <c r="N3252" i="5"/>
  <c r="D3252" i="5"/>
  <c r="O3252" i="5" s="1"/>
  <c r="Q3252" i="5" s="1"/>
  <c r="P3251" i="5"/>
  <c r="N3251" i="5"/>
  <c r="D3251" i="5"/>
  <c r="O3251" i="5" s="1"/>
  <c r="Q3251" i="5" s="1"/>
  <c r="P3250" i="5"/>
  <c r="N3250" i="5"/>
  <c r="D3250" i="5"/>
  <c r="O3250" i="5" s="1"/>
  <c r="Q3250" i="5" s="1"/>
  <c r="P3249" i="5"/>
  <c r="N3249" i="5"/>
  <c r="D3249" i="5"/>
  <c r="O3249" i="5" s="1"/>
  <c r="Q3249" i="5" s="1"/>
  <c r="P3248" i="5"/>
  <c r="N3248" i="5"/>
  <c r="D3248" i="5"/>
  <c r="O3248" i="5" s="1"/>
  <c r="Q3248" i="5" s="1"/>
  <c r="P3247" i="5"/>
  <c r="N3247" i="5"/>
  <c r="D3247" i="5"/>
  <c r="O3247" i="5" s="1"/>
  <c r="Q3247" i="5" s="1"/>
  <c r="P3246" i="5"/>
  <c r="N3246" i="5"/>
  <c r="D3246" i="5"/>
  <c r="O3246" i="5" s="1"/>
  <c r="Q3246" i="5" s="1"/>
  <c r="P3245" i="5"/>
  <c r="N3245" i="5"/>
  <c r="D3245" i="5"/>
  <c r="O3245" i="5" s="1"/>
  <c r="Q3245" i="5" s="1"/>
  <c r="P3244" i="5"/>
  <c r="N3244" i="5"/>
  <c r="D3244" i="5"/>
  <c r="O3244" i="5" s="1"/>
  <c r="Q3244" i="5" s="1"/>
  <c r="P3243" i="5"/>
  <c r="N3243" i="5"/>
  <c r="D3243" i="5"/>
  <c r="O3243" i="5" s="1"/>
  <c r="Q3243" i="5" s="1"/>
  <c r="P3242" i="5"/>
  <c r="N3242" i="5"/>
  <c r="D3242" i="5"/>
  <c r="O3242" i="5" s="1"/>
  <c r="Q3242" i="5" s="1"/>
  <c r="P3241" i="5"/>
  <c r="N3241" i="5"/>
  <c r="D3241" i="5"/>
  <c r="O3241" i="5" s="1"/>
  <c r="Q3241" i="5" s="1"/>
  <c r="P3240" i="5"/>
  <c r="N3240" i="5"/>
  <c r="D3240" i="5"/>
  <c r="O3240" i="5" s="1"/>
  <c r="Q3240" i="5" s="1"/>
  <c r="P3239" i="5"/>
  <c r="N3239" i="5"/>
  <c r="D3239" i="5"/>
  <c r="O3239" i="5" s="1"/>
  <c r="Q3239" i="5" s="1"/>
  <c r="P3238" i="5"/>
  <c r="N3238" i="5"/>
  <c r="D3238" i="5"/>
  <c r="O3238" i="5" s="1"/>
  <c r="Q3238" i="5" s="1"/>
  <c r="P3237" i="5"/>
  <c r="N3237" i="5"/>
  <c r="D3237" i="5"/>
  <c r="O3237" i="5" s="1"/>
  <c r="Q3237" i="5" s="1"/>
  <c r="P3236" i="5"/>
  <c r="N3236" i="5"/>
  <c r="D3236" i="5"/>
  <c r="O3236" i="5" s="1"/>
  <c r="Q3236" i="5" s="1"/>
  <c r="P3235" i="5"/>
  <c r="N3235" i="5"/>
  <c r="D3235" i="5"/>
  <c r="O3235" i="5" s="1"/>
  <c r="Q3235" i="5" s="1"/>
  <c r="P3234" i="5"/>
  <c r="N3234" i="5"/>
  <c r="D3234" i="5"/>
  <c r="O3234" i="5" s="1"/>
  <c r="Q3234" i="5" s="1"/>
  <c r="P3233" i="5"/>
  <c r="N3233" i="5"/>
  <c r="D3233" i="5"/>
  <c r="O3233" i="5" s="1"/>
  <c r="Q3233" i="5" s="1"/>
  <c r="Q3232" i="5"/>
  <c r="P3232" i="5"/>
  <c r="N3232" i="5"/>
  <c r="D3232" i="5"/>
  <c r="Q3231" i="5"/>
  <c r="P3231" i="5"/>
  <c r="N3231" i="5"/>
  <c r="D3231" i="5"/>
  <c r="Q3230" i="5"/>
  <c r="P3230" i="5"/>
  <c r="N3230" i="5"/>
  <c r="D3230" i="5"/>
  <c r="Q3229" i="5"/>
  <c r="P3229" i="5"/>
  <c r="N3229" i="5"/>
  <c r="D3229" i="5"/>
  <c r="Q3228" i="5"/>
  <c r="P3228" i="5"/>
  <c r="N3228" i="5"/>
  <c r="D3228" i="5"/>
  <c r="Q3227" i="5"/>
  <c r="P3227" i="5"/>
  <c r="N3227" i="5"/>
  <c r="D3227" i="5"/>
  <c r="Q3226" i="5"/>
  <c r="P3226" i="5"/>
  <c r="N3226" i="5"/>
  <c r="D3226" i="5"/>
  <c r="Q3225" i="5"/>
  <c r="P3225" i="5"/>
  <c r="N3225" i="5"/>
  <c r="D3225" i="5"/>
  <c r="Q3224" i="5"/>
  <c r="P3224" i="5"/>
  <c r="N3224" i="5"/>
  <c r="D3224" i="5"/>
  <c r="P3223" i="5"/>
  <c r="N3223" i="5"/>
  <c r="D3223" i="5"/>
  <c r="P3222" i="5"/>
  <c r="N3222" i="5"/>
  <c r="D3222" i="5"/>
  <c r="O3222" i="5" s="1"/>
  <c r="Q3222" i="5" s="1"/>
  <c r="P3221" i="5"/>
  <c r="N3221" i="5"/>
  <c r="D3221" i="5"/>
  <c r="P3220" i="5"/>
  <c r="N3220" i="5"/>
  <c r="D3220" i="5"/>
  <c r="O3220" i="5" s="1"/>
  <c r="Q3220" i="5" s="1"/>
  <c r="P3219" i="5"/>
  <c r="N3219" i="5"/>
  <c r="D3219" i="5"/>
  <c r="O3219" i="5" s="1"/>
  <c r="Q3219" i="5" s="1"/>
  <c r="P3218" i="5"/>
  <c r="N3218" i="5"/>
  <c r="D3218" i="5"/>
  <c r="O3218" i="5" s="1"/>
  <c r="Q3218" i="5" s="1"/>
  <c r="P3217" i="5"/>
  <c r="N3217" i="5"/>
  <c r="D3217" i="5"/>
  <c r="O3217" i="5" s="1"/>
  <c r="Q3217" i="5" s="1"/>
  <c r="P3216" i="5"/>
  <c r="N3216" i="5"/>
  <c r="D3216" i="5"/>
  <c r="O3216" i="5" s="1"/>
  <c r="Q3216" i="5" s="1"/>
  <c r="P3215" i="5"/>
  <c r="N3215" i="5"/>
  <c r="D3215" i="5"/>
  <c r="O3215" i="5" s="1"/>
  <c r="Q3215" i="5" s="1"/>
  <c r="P3214" i="5"/>
  <c r="N3214" i="5"/>
  <c r="D3214" i="5"/>
  <c r="O3214" i="5" s="1"/>
  <c r="Q3214" i="5" s="1"/>
  <c r="P3213" i="5"/>
  <c r="N3213" i="5"/>
  <c r="D3213" i="5"/>
  <c r="O3213" i="5" s="1"/>
  <c r="Q3213" i="5" s="1"/>
  <c r="P3212" i="5"/>
  <c r="N3212" i="5"/>
  <c r="D3212" i="5"/>
  <c r="O3212" i="5" s="1"/>
  <c r="Q3212" i="5" s="1"/>
  <c r="P3211" i="5"/>
  <c r="N3211" i="5"/>
  <c r="D3211" i="5"/>
  <c r="O3211" i="5" s="1"/>
  <c r="Q3211" i="5" s="1"/>
  <c r="P3210" i="5"/>
  <c r="N3210" i="5"/>
  <c r="D3210" i="5"/>
  <c r="O3210" i="5" s="1"/>
  <c r="Q3210" i="5" s="1"/>
  <c r="P3209" i="5"/>
  <c r="N3209" i="5"/>
  <c r="D3209" i="5"/>
  <c r="O3209" i="5" s="1"/>
  <c r="Q3209" i="5" s="1"/>
  <c r="P3208" i="5"/>
  <c r="N3208" i="5"/>
  <c r="D3208" i="5"/>
  <c r="O3208" i="5" s="1"/>
  <c r="Q3208" i="5" s="1"/>
  <c r="P3207" i="5"/>
  <c r="N3207" i="5"/>
  <c r="D3207" i="5"/>
  <c r="O3207" i="5" s="1"/>
  <c r="Q3207" i="5" s="1"/>
  <c r="P3206" i="5"/>
  <c r="N3206" i="5"/>
  <c r="D3206" i="5"/>
  <c r="O3206" i="5" s="1"/>
  <c r="Q3206" i="5" s="1"/>
  <c r="P3205" i="5"/>
  <c r="N3205" i="5"/>
  <c r="D3205" i="5"/>
  <c r="O3205" i="5" s="1"/>
  <c r="Q3205" i="5" s="1"/>
  <c r="P3204" i="5"/>
  <c r="N3204" i="5"/>
  <c r="D3204" i="5"/>
  <c r="O3204" i="5" s="1"/>
  <c r="Q3204" i="5" s="1"/>
  <c r="P3203" i="5"/>
  <c r="N3203" i="5"/>
  <c r="D3203" i="5"/>
  <c r="O3203" i="5" s="1"/>
  <c r="Q3203" i="5" s="1"/>
  <c r="P3202" i="5"/>
  <c r="N3202" i="5"/>
  <c r="D3202" i="5"/>
  <c r="O3202" i="5" s="1"/>
  <c r="Q3202" i="5" s="1"/>
  <c r="P3201" i="5"/>
  <c r="N3201" i="5"/>
  <c r="D3201" i="5"/>
  <c r="O3201" i="5" s="1"/>
  <c r="Q3201" i="5" s="1"/>
  <c r="P3200" i="5"/>
  <c r="N3200" i="5"/>
  <c r="D3200" i="5"/>
  <c r="O3200" i="5" s="1"/>
  <c r="Q3200" i="5" s="1"/>
  <c r="P3199" i="5"/>
  <c r="N3199" i="5"/>
  <c r="D3199" i="5"/>
  <c r="O3199" i="5" s="1"/>
  <c r="Q3199" i="5" s="1"/>
  <c r="P3198" i="5"/>
  <c r="N3198" i="5"/>
  <c r="D3198" i="5"/>
  <c r="O3198" i="5" s="1"/>
  <c r="Q3198" i="5" s="1"/>
  <c r="P3197" i="5"/>
  <c r="N3197" i="5"/>
  <c r="D3197" i="5"/>
  <c r="O3197" i="5" s="1"/>
  <c r="Q3197" i="5" s="1"/>
  <c r="P3196" i="5"/>
  <c r="N3196" i="5"/>
  <c r="D3196" i="5"/>
  <c r="O3196" i="5" s="1"/>
  <c r="Q3196" i="5" s="1"/>
  <c r="P3195" i="5"/>
  <c r="N3195" i="5"/>
  <c r="D3195" i="5"/>
  <c r="O3195" i="5" s="1"/>
  <c r="Q3195" i="5" s="1"/>
  <c r="P3194" i="5"/>
  <c r="N3194" i="5"/>
  <c r="D3194" i="5"/>
  <c r="O3194" i="5" s="1"/>
  <c r="Q3194" i="5" s="1"/>
  <c r="P3193" i="5"/>
  <c r="N3193" i="5"/>
  <c r="D3193" i="5"/>
  <c r="P3192" i="5"/>
  <c r="N3192" i="5"/>
  <c r="D3192" i="5"/>
  <c r="O3192" i="5" s="1"/>
  <c r="Q3192" i="5" s="1"/>
  <c r="P3191" i="5"/>
  <c r="N3191" i="5"/>
  <c r="D3191" i="5"/>
  <c r="O3191" i="5" s="1"/>
  <c r="Q3191" i="5" s="1"/>
  <c r="P3190" i="5"/>
  <c r="N3190" i="5"/>
  <c r="D3190" i="5"/>
  <c r="O3190" i="5" s="1"/>
  <c r="Q3190" i="5" s="1"/>
  <c r="P3189" i="5"/>
  <c r="N3189" i="5"/>
  <c r="D3189" i="5"/>
  <c r="O3189" i="5" s="1"/>
  <c r="Q3189" i="5" s="1"/>
  <c r="P3188" i="5"/>
  <c r="N3188" i="5"/>
  <c r="D3188" i="5"/>
  <c r="O3188" i="5" s="1"/>
  <c r="Q3188" i="5" s="1"/>
  <c r="P3187" i="5"/>
  <c r="N3187" i="5"/>
  <c r="D3187" i="5"/>
  <c r="O3187" i="5" s="1"/>
  <c r="Q3187" i="5" s="1"/>
  <c r="P3186" i="5"/>
  <c r="N3186" i="5"/>
  <c r="D3186" i="5"/>
  <c r="O3186" i="5" s="1"/>
  <c r="Q3186" i="5" s="1"/>
  <c r="P3185" i="5"/>
  <c r="N3185" i="5"/>
  <c r="D3185" i="5"/>
  <c r="O3185" i="5" s="1"/>
  <c r="Q3185" i="5" s="1"/>
  <c r="P3184" i="5"/>
  <c r="N3184" i="5"/>
  <c r="D3184" i="5"/>
  <c r="O3184" i="5" s="1"/>
  <c r="Q3184" i="5" s="1"/>
  <c r="P3183" i="5"/>
  <c r="N3183" i="5"/>
  <c r="D3183" i="5"/>
  <c r="O3183" i="5" s="1"/>
  <c r="Q3183" i="5" s="1"/>
  <c r="P3182" i="5"/>
  <c r="N3182" i="5"/>
  <c r="D3182" i="5"/>
  <c r="O3182" i="5" s="1"/>
  <c r="Q3182" i="5" s="1"/>
  <c r="P3181" i="5"/>
  <c r="N3181" i="5"/>
  <c r="D3181" i="5"/>
  <c r="O3181" i="5" s="1"/>
  <c r="Q3181" i="5" s="1"/>
  <c r="P3180" i="5"/>
  <c r="N3180" i="5"/>
  <c r="D3180" i="5"/>
  <c r="P3179" i="5"/>
  <c r="N3179" i="5"/>
  <c r="D3179" i="5"/>
  <c r="O3179" i="5" s="1"/>
  <c r="Q3179" i="5" s="1"/>
  <c r="P3178" i="5"/>
  <c r="N3178" i="5"/>
  <c r="D3178" i="5"/>
  <c r="O3178" i="5" s="1"/>
  <c r="Q3178" i="5" s="1"/>
  <c r="P3177" i="5"/>
  <c r="N3177" i="5"/>
  <c r="D3177" i="5"/>
  <c r="O3177" i="5" s="1"/>
  <c r="Q3177" i="5" s="1"/>
  <c r="P3176" i="5"/>
  <c r="N3176" i="5"/>
  <c r="D3176" i="5"/>
  <c r="O3176" i="5" s="1"/>
  <c r="Q3176" i="5" s="1"/>
  <c r="P3175" i="5"/>
  <c r="N3175" i="5"/>
  <c r="D3175" i="5"/>
  <c r="O3175" i="5" s="1"/>
  <c r="Q3175" i="5" s="1"/>
  <c r="P3174" i="5"/>
  <c r="N3174" i="5"/>
  <c r="D3174" i="5"/>
  <c r="O3174" i="5" s="1"/>
  <c r="Q3174" i="5" s="1"/>
  <c r="P3173" i="5"/>
  <c r="N3173" i="5"/>
  <c r="D3173" i="5"/>
  <c r="O3173" i="5" s="1"/>
  <c r="Q3173" i="5" s="1"/>
  <c r="P3172" i="5"/>
  <c r="N3172" i="5"/>
  <c r="D3172" i="5"/>
  <c r="O3172" i="5" s="1"/>
  <c r="Q3172" i="5" s="1"/>
  <c r="P3171" i="5"/>
  <c r="N3171" i="5"/>
  <c r="D3171" i="5"/>
  <c r="O3171" i="5" s="1"/>
  <c r="Q3171" i="5" s="1"/>
  <c r="P3170" i="5"/>
  <c r="N3170" i="5"/>
  <c r="D3170" i="5"/>
  <c r="O3170" i="5" s="1"/>
  <c r="Q3170" i="5" s="1"/>
  <c r="P3169" i="5"/>
  <c r="N3169" i="5"/>
  <c r="D3169" i="5"/>
  <c r="O3169" i="5" s="1"/>
  <c r="Q3169" i="5" s="1"/>
  <c r="P3168" i="5"/>
  <c r="N3168" i="5"/>
  <c r="D3168" i="5"/>
  <c r="O3168" i="5" s="1"/>
  <c r="Q3168" i="5" s="1"/>
  <c r="P3167" i="5"/>
  <c r="N3167" i="5"/>
  <c r="D3167" i="5"/>
  <c r="P3166" i="5"/>
  <c r="N3166" i="5"/>
  <c r="D3166" i="5"/>
  <c r="O3166" i="5" s="1"/>
  <c r="Q3166" i="5" s="1"/>
  <c r="P3165" i="5"/>
  <c r="N3165" i="5"/>
  <c r="D3165" i="5"/>
  <c r="O3165" i="5" s="1"/>
  <c r="Q3165" i="5" s="1"/>
  <c r="P3164" i="5"/>
  <c r="N3164" i="5"/>
  <c r="D3164" i="5"/>
  <c r="O3164" i="5" s="1"/>
  <c r="Q3164" i="5" s="1"/>
  <c r="P3163" i="5"/>
  <c r="N3163" i="5"/>
  <c r="D3163" i="5"/>
  <c r="O3163" i="5" s="1"/>
  <c r="Q3163" i="5" s="1"/>
  <c r="P3162" i="5"/>
  <c r="N3162" i="5"/>
  <c r="D3162" i="5"/>
  <c r="O3162" i="5" s="1"/>
  <c r="Q3162" i="5" s="1"/>
  <c r="P3161" i="5"/>
  <c r="N3161" i="5"/>
  <c r="D3161" i="5"/>
  <c r="P3160" i="5"/>
  <c r="N3160" i="5"/>
  <c r="D3160" i="5"/>
  <c r="O3160" i="5" s="1"/>
  <c r="Q3160" i="5" s="1"/>
  <c r="P3159" i="5"/>
  <c r="N3159" i="5"/>
  <c r="D3159" i="5"/>
  <c r="O3159" i="5" s="1"/>
  <c r="Q3159" i="5" s="1"/>
  <c r="P3158" i="5"/>
  <c r="N3158" i="5"/>
  <c r="D3158" i="5"/>
  <c r="O3158" i="5" s="1"/>
  <c r="Q3158" i="5" s="1"/>
  <c r="P3157" i="5"/>
  <c r="N3157" i="5"/>
  <c r="D3157" i="5"/>
  <c r="O3157" i="5" s="1"/>
  <c r="Q3157" i="5" s="1"/>
  <c r="P3156" i="5"/>
  <c r="N3156" i="5"/>
  <c r="D3156" i="5"/>
  <c r="O3156" i="5" s="1"/>
  <c r="Q3156" i="5" s="1"/>
  <c r="P3155" i="5"/>
  <c r="N3155" i="5"/>
  <c r="D3155" i="5"/>
  <c r="O3155" i="5" s="1"/>
  <c r="Q3155" i="5" s="1"/>
  <c r="P3154" i="5"/>
  <c r="N3154" i="5"/>
  <c r="D3154" i="5"/>
  <c r="O3154" i="5" s="1"/>
  <c r="Q3154" i="5" s="1"/>
  <c r="P3153" i="5"/>
  <c r="N3153" i="5"/>
  <c r="D3153" i="5"/>
  <c r="O3153" i="5" s="1"/>
  <c r="Q3153" i="5" s="1"/>
  <c r="P3152" i="5"/>
  <c r="N3152" i="5"/>
  <c r="D3152" i="5"/>
  <c r="P3151" i="5"/>
  <c r="N3151" i="5"/>
  <c r="D3151" i="5"/>
  <c r="O3151" i="5" s="1"/>
  <c r="Q3151" i="5" s="1"/>
  <c r="P3150" i="5"/>
  <c r="N3150" i="5"/>
  <c r="D3150" i="5"/>
  <c r="O3150" i="5" s="1"/>
  <c r="Q3150" i="5" s="1"/>
  <c r="P3149" i="5"/>
  <c r="N3149" i="5"/>
  <c r="D3149" i="5"/>
  <c r="O3149" i="5" s="1"/>
  <c r="Q3149" i="5" s="1"/>
  <c r="P3148" i="5"/>
  <c r="N3148" i="5"/>
  <c r="D3148" i="5"/>
  <c r="O3148" i="5" s="1"/>
  <c r="Q3148" i="5" s="1"/>
  <c r="P3147" i="5"/>
  <c r="N3147" i="5"/>
  <c r="D3147" i="5"/>
  <c r="O3147" i="5" s="1"/>
  <c r="Q3147" i="5" s="1"/>
  <c r="P3146" i="5"/>
  <c r="N3146" i="5"/>
  <c r="D3146" i="5"/>
  <c r="O3146" i="5" s="1"/>
  <c r="Q3146" i="5" s="1"/>
  <c r="P3145" i="5"/>
  <c r="N3145" i="5"/>
  <c r="D3145" i="5"/>
  <c r="O3145" i="5" s="1"/>
  <c r="Q3145" i="5" s="1"/>
  <c r="P3144" i="5"/>
  <c r="N3144" i="5"/>
  <c r="D3144" i="5"/>
  <c r="O3144" i="5" s="1"/>
  <c r="Q3144" i="5" s="1"/>
  <c r="P3143" i="5"/>
  <c r="N3143" i="5"/>
  <c r="D3143" i="5"/>
  <c r="O3143" i="5" s="1"/>
  <c r="Q3143" i="5" s="1"/>
  <c r="P3142" i="5"/>
  <c r="N3142" i="5"/>
  <c r="D3142" i="5"/>
  <c r="O3142" i="5" s="1"/>
  <c r="Q3142" i="5" s="1"/>
  <c r="P3141" i="5"/>
  <c r="N3141" i="5"/>
  <c r="D3141" i="5"/>
  <c r="O3141" i="5" s="1"/>
  <c r="Q3141" i="5" s="1"/>
  <c r="P3140" i="5"/>
  <c r="N3140" i="5"/>
  <c r="D3140" i="5"/>
  <c r="O3140" i="5" s="1"/>
  <c r="Q3140" i="5" s="1"/>
  <c r="P3139" i="5"/>
  <c r="N3139" i="5"/>
  <c r="D3139" i="5"/>
  <c r="O3139" i="5" s="1"/>
  <c r="Q3139" i="5" s="1"/>
  <c r="P3138" i="5"/>
  <c r="N3138" i="5"/>
  <c r="D3138" i="5"/>
  <c r="O3138" i="5" s="1"/>
  <c r="Q3138" i="5" s="1"/>
  <c r="P3137" i="5"/>
  <c r="N3137" i="5"/>
  <c r="D3137" i="5"/>
  <c r="O3137" i="5" s="1"/>
  <c r="Q3137" i="5" s="1"/>
  <c r="P3136" i="5"/>
  <c r="N3136" i="5"/>
  <c r="D3136" i="5"/>
  <c r="O3136" i="5" s="1"/>
  <c r="Q3136" i="5" s="1"/>
  <c r="P3135" i="5"/>
  <c r="N3135" i="5"/>
  <c r="D3135" i="5"/>
  <c r="O3135" i="5" s="1"/>
  <c r="Q3135" i="5" s="1"/>
  <c r="P3134" i="5"/>
  <c r="N3134" i="5"/>
  <c r="D3134" i="5"/>
  <c r="O3134" i="5" s="1"/>
  <c r="Q3134" i="5" s="1"/>
  <c r="P3133" i="5"/>
  <c r="N3133" i="5"/>
  <c r="D3133" i="5"/>
  <c r="O3133" i="5" s="1"/>
  <c r="Q3133" i="5" s="1"/>
  <c r="P3132" i="5"/>
  <c r="N3132" i="5"/>
  <c r="D3132" i="5"/>
  <c r="O3132" i="5" s="1"/>
  <c r="Q3132" i="5" s="1"/>
  <c r="P3131" i="5"/>
  <c r="N3131" i="5"/>
  <c r="D3131" i="5"/>
  <c r="O3131" i="5" s="1"/>
  <c r="Q3131" i="5" s="1"/>
  <c r="P3130" i="5"/>
  <c r="N3130" i="5"/>
  <c r="D3130" i="5"/>
  <c r="O3130" i="5" s="1"/>
  <c r="Q3130" i="5" s="1"/>
  <c r="P3129" i="5"/>
  <c r="N3129" i="5"/>
  <c r="D3129" i="5"/>
  <c r="O3129" i="5" s="1"/>
  <c r="Q3129" i="5" s="1"/>
  <c r="P3128" i="5"/>
  <c r="N3128" i="5"/>
  <c r="D3128" i="5"/>
  <c r="P3127" i="5"/>
  <c r="N3127" i="5"/>
  <c r="D3127" i="5"/>
  <c r="O3127" i="5" s="1"/>
  <c r="Q3127" i="5" s="1"/>
  <c r="P3126" i="5"/>
  <c r="N3126" i="5"/>
  <c r="D3126" i="5"/>
  <c r="O3126" i="5" s="1"/>
  <c r="Q3126" i="5" s="1"/>
  <c r="P3125" i="5"/>
  <c r="N3125" i="5"/>
  <c r="D3125" i="5"/>
  <c r="O3125" i="5" s="1"/>
  <c r="Q3125" i="5" s="1"/>
  <c r="P3124" i="5"/>
  <c r="N3124" i="5"/>
  <c r="D3124" i="5"/>
  <c r="O3124" i="5" s="1"/>
  <c r="Q3124" i="5" s="1"/>
  <c r="P3123" i="5"/>
  <c r="N3123" i="5"/>
  <c r="D3123" i="5"/>
  <c r="O3123" i="5" s="1"/>
  <c r="Q3123" i="5" s="1"/>
  <c r="P3122" i="5"/>
  <c r="N3122" i="5"/>
  <c r="D3122" i="5"/>
  <c r="O3122" i="5" s="1"/>
  <c r="Q3122" i="5" s="1"/>
  <c r="P3121" i="5"/>
  <c r="N3121" i="5"/>
  <c r="D3121" i="5"/>
  <c r="O3121" i="5" s="1"/>
  <c r="Q3121" i="5" s="1"/>
  <c r="P3120" i="5"/>
  <c r="N3120" i="5"/>
  <c r="D3120" i="5"/>
  <c r="O3120" i="5" s="1"/>
  <c r="Q3120" i="5" s="1"/>
  <c r="P3119" i="5"/>
  <c r="N3119" i="5"/>
  <c r="D3119" i="5"/>
  <c r="O3119" i="5" s="1"/>
  <c r="Q3119" i="5" s="1"/>
  <c r="P3118" i="5"/>
  <c r="N3118" i="5"/>
  <c r="D3118" i="5"/>
  <c r="O3118" i="5" s="1"/>
  <c r="Q3118" i="5" s="1"/>
  <c r="P3117" i="5"/>
  <c r="N3117" i="5"/>
  <c r="D3117" i="5"/>
  <c r="O3117" i="5" s="1"/>
  <c r="Q3117" i="5" s="1"/>
  <c r="P3116" i="5"/>
  <c r="N3116" i="5"/>
  <c r="D3116" i="5"/>
  <c r="O3116" i="5" s="1"/>
  <c r="Q3116" i="5" s="1"/>
  <c r="P3115" i="5"/>
  <c r="N3115" i="5"/>
  <c r="D3115" i="5"/>
  <c r="O3115" i="5" s="1"/>
  <c r="Q3115" i="5" s="1"/>
  <c r="P3114" i="5"/>
  <c r="N3114" i="5"/>
  <c r="D3114" i="5"/>
  <c r="O3114" i="5" s="1"/>
  <c r="Q3114" i="5" s="1"/>
  <c r="P3113" i="5"/>
  <c r="N3113" i="5"/>
  <c r="D3113" i="5"/>
  <c r="O3113" i="5" s="1"/>
  <c r="Q3113" i="5" s="1"/>
  <c r="P3112" i="5"/>
  <c r="N3112" i="5"/>
  <c r="D3112" i="5"/>
  <c r="O3112" i="5" s="1"/>
  <c r="Q3112" i="5" s="1"/>
  <c r="P3111" i="5"/>
  <c r="N3111" i="5"/>
  <c r="D3111" i="5"/>
  <c r="O3111" i="5" s="1"/>
  <c r="Q3111" i="5" s="1"/>
  <c r="P3110" i="5"/>
  <c r="N3110" i="5"/>
  <c r="D3110" i="5"/>
  <c r="O3110" i="5" s="1"/>
  <c r="Q3110" i="5" s="1"/>
  <c r="P3109" i="5"/>
  <c r="N3109" i="5"/>
  <c r="D3109" i="5"/>
  <c r="O3109" i="5" s="1"/>
  <c r="Q3109" i="5" s="1"/>
  <c r="P3108" i="5"/>
  <c r="N3108" i="5"/>
  <c r="D3108" i="5"/>
  <c r="O3108" i="5" s="1"/>
  <c r="Q3108" i="5" s="1"/>
  <c r="P3107" i="5"/>
  <c r="N3107" i="5"/>
  <c r="D3107" i="5"/>
  <c r="O3107" i="5" s="1"/>
  <c r="Q3107" i="5" s="1"/>
  <c r="P3106" i="5"/>
  <c r="N3106" i="5"/>
  <c r="D3106" i="5"/>
  <c r="O3106" i="5" s="1"/>
  <c r="Q3106" i="5" s="1"/>
  <c r="P3105" i="5"/>
  <c r="N3105" i="5"/>
  <c r="D3105" i="5"/>
  <c r="O3105" i="5" s="1"/>
  <c r="Q3105" i="5" s="1"/>
  <c r="P3104" i="5"/>
  <c r="N3104" i="5"/>
  <c r="D3104" i="5"/>
  <c r="O3104" i="5" s="1"/>
  <c r="Q3104" i="5" s="1"/>
  <c r="P3103" i="5"/>
  <c r="N3103" i="5"/>
  <c r="D3103" i="5"/>
  <c r="O3103" i="5" s="1"/>
  <c r="Q3103" i="5" s="1"/>
  <c r="P3102" i="5"/>
  <c r="N3102" i="5"/>
  <c r="D3102" i="5"/>
  <c r="O3102" i="5" s="1"/>
  <c r="Q3102" i="5" s="1"/>
  <c r="P3101" i="5"/>
  <c r="N3101" i="5"/>
  <c r="D3101" i="5"/>
  <c r="O3101" i="5" s="1"/>
  <c r="Q3101" i="5" s="1"/>
  <c r="P3100" i="5"/>
  <c r="N3100" i="5"/>
  <c r="D3100" i="5"/>
  <c r="O3100" i="5" s="1"/>
  <c r="Q3100" i="5" s="1"/>
  <c r="P3099" i="5"/>
  <c r="N3099" i="5"/>
  <c r="D3099" i="5"/>
  <c r="O3099" i="5" s="1"/>
  <c r="Q3099" i="5" s="1"/>
  <c r="P3098" i="5"/>
  <c r="N3098" i="5"/>
  <c r="D3098" i="5"/>
  <c r="P3097" i="5"/>
  <c r="N3097" i="5"/>
  <c r="D3097" i="5"/>
  <c r="O3097" i="5" s="1"/>
  <c r="Q3097" i="5" s="1"/>
  <c r="P3096" i="5"/>
  <c r="N3096" i="5"/>
  <c r="D3096" i="5"/>
  <c r="O3096" i="5" s="1"/>
  <c r="Q3096" i="5" s="1"/>
  <c r="P3095" i="5"/>
  <c r="N3095" i="5"/>
  <c r="D3095" i="5"/>
  <c r="O3095" i="5" s="1"/>
  <c r="Q3095" i="5" s="1"/>
  <c r="P3094" i="5"/>
  <c r="N3094" i="5"/>
  <c r="D3094" i="5"/>
  <c r="O3094" i="5" s="1"/>
  <c r="Q3094" i="5" s="1"/>
  <c r="P3093" i="5"/>
  <c r="N3093" i="5"/>
  <c r="D3093" i="5"/>
  <c r="O3093" i="5" s="1"/>
  <c r="Q3093" i="5" s="1"/>
  <c r="P3092" i="5"/>
  <c r="N3092" i="5"/>
  <c r="D3092" i="5"/>
  <c r="O3092" i="5" s="1"/>
  <c r="Q3092" i="5" s="1"/>
  <c r="P3091" i="5"/>
  <c r="N3091" i="5"/>
  <c r="D3091" i="5"/>
  <c r="O3091" i="5" s="1"/>
  <c r="Q3091" i="5" s="1"/>
  <c r="P3090" i="5"/>
  <c r="N3090" i="5"/>
  <c r="D3090" i="5"/>
  <c r="O3090" i="5" s="1"/>
  <c r="Q3090" i="5" s="1"/>
  <c r="P3089" i="5"/>
  <c r="N3089" i="5"/>
  <c r="D3089" i="5"/>
  <c r="O3089" i="5" s="1"/>
  <c r="Q3089" i="5" s="1"/>
  <c r="P3088" i="5"/>
  <c r="N3088" i="5"/>
  <c r="D3088" i="5"/>
  <c r="O3088" i="5" s="1"/>
  <c r="Q3088" i="5" s="1"/>
  <c r="P3087" i="5"/>
  <c r="N3087" i="5"/>
  <c r="D3087" i="5"/>
  <c r="O3087" i="5" s="1"/>
  <c r="Q3087" i="5" s="1"/>
  <c r="P3086" i="5"/>
  <c r="N3086" i="5"/>
  <c r="D3086" i="5"/>
  <c r="O3086" i="5" s="1"/>
  <c r="Q3086" i="5" s="1"/>
  <c r="P3085" i="5"/>
  <c r="N3085" i="5"/>
  <c r="D3085" i="5"/>
  <c r="O3085" i="5" s="1"/>
  <c r="Q3085" i="5" s="1"/>
  <c r="P3084" i="5"/>
  <c r="N3084" i="5"/>
  <c r="D3084" i="5"/>
  <c r="O3084" i="5" s="1"/>
  <c r="Q3084" i="5" s="1"/>
  <c r="P3083" i="5"/>
  <c r="N3083" i="5"/>
  <c r="D3083" i="5"/>
  <c r="O3083" i="5" s="1"/>
  <c r="Q3083" i="5" s="1"/>
  <c r="P3082" i="5"/>
  <c r="N3082" i="5"/>
  <c r="D3082" i="5"/>
  <c r="O3082" i="5" s="1"/>
  <c r="Q3082" i="5" s="1"/>
  <c r="P3081" i="5"/>
  <c r="N3081" i="5"/>
  <c r="D3081" i="5"/>
  <c r="O3081" i="5" s="1"/>
  <c r="Q3081" i="5" s="1"/>
  <c r="P3080" i="5"/>
  <c r="N3080" i="5"/>
  <c r="D3080" i="5"/>
  <c r="O3080" i="5" s="1"/>
  <c r="Q3080" i="5" s="1"/>
  <c r="P3079" i="5"/>
  <c r="N3079" i="5"/>
  <c r="D3079" i="5"/>
  <c r="O3079" i="5" s="1"/>
  <c r="Q3079" i="5" s="1"/>
  <c r="P3078" i="5"/>
  <c r="N3078" i="5"/>
  <c r="D3078" i="5"/>
  <c r="O3078" i="5" s="1"/>
  <c r="Q3078" i="5" s="1"/>
  <c r="P3077" i="5"/>
  <c r="N3077" i="5"/>
  <c r="D3077" i="5"/>
  <c r="O3077" i="5" s="1"/>
  <c r="Q3077" i="5" s="1"/>
  <c r="P3076" i="5"/>
  <c r="N3076" i="5"/>
  <c r="D3076" i="5"/>
  <c r="O3076" i="5" s="1"/>
  <c r="Q3076" i="5" s="1"/>
  <c r="P3075" i="5"/>
  <c r="N3075" i="5"/>
  <c r="D3075" i="5"/>
  <c r="O3075" i="5" s="1"/>
  <c r="Q3075" i="5" s="1"/>
  <c r="P3074" i="5"/>
  <c r="N3074" i="5"/>
  <c r="D3074" i="5"/>
  <c r="O3074" i="5" s="1"/>
  <c r="Q3074" i="5" s="1"/>
  <c r="P3073" i="5"/>
  <c r="N3073" i="5"/>
  <c r="D3073" i="5"/>
  <c r="O3073" i="5" s="1"/>
  <c r="Q3073" i="5" s="1"/>
  <c r="P3072" i="5"/>
  <c r="N3072" i="5"/>
  <c r="D3072" i="5"/>
  <c r="O3072" i="5" s="1"/>
  <c r="Q3072" i="5" s="1"/>
  <c r="P3071" i="5"/>
  <c r="N3071" i="5"/>
  <c r="D3071" i="5"/>
  <c r="O3071" i="5" s="1"/>
  <c r="Q3071" i="5" s="1"/>
  <c r="P3070" i="5"/>
  <c r="N3070" i="5"/>
  <c r="D3070" i="5"/>
  <c r="O3070" i="5" s="1"/>
  <c r="Q3070" i="5" s="1"/>
  <c r="P3069" i="5"/>
  <c r="N3069" i="5"/>
  <c r="D3069" i="5"/>
  <c r="O3069" i="5" s="1"/>
  <c r="Q3069" i="5" s="1"/>
  <c r="P3068" i="5"/>
  <c r="N3068" i="5"/>
  <c r="D3068" i="5"/>
  <c r="O3068" i="5" s="1"/>
  <c r="Q3068" i="5" s="1"/>
  <c r="P3067" i="5"/>
  <c r="N3067" i="5"/>
  <c r="D3067" i="5"/>
  <c r="O3067" i="5" s="1"/>
  <c r="Q3067" i="5" s="1"/>
  <c r="P3066" i="5"/>
  <c r="N3066" i="5"/>
  <c r="D3066" i="5"/>
  <c r="O3066" i="5" s="1"/>
  <c r="Q3066" i="5" s="1"/>
  <c r="P3065" i="5"/>
  <c r="N3065" i="5"/>
  <c r="D3065" i="5"/>
  <c r="O3065" i="5" s="1"/>
  <c r="Q3065" i="5" s="1"/>
  <c r="P3064" i="5"/>
  <c r="N3064" i="5"/>
  <c r="D3064" i="5"/>
  <c r="O3064" i="5" s="1"/>
  <c r="Q3064" i="5" s="1"/>
  <c r="P3063" i="5"/>
  <c r="N3063" i="5"/>
  <c r="D3063" i="5"/>
  <c r="O3063" i="5" s="1"/>
  <c r="Q3063" i="5" s="1"/>
  <c r="P3062" i="5"/>
  <c r="N3062" i="5"/>
  <c r="D3062" i="5"/>
  <c r="O3062" i="5" s="1"/>
  <c r="Q3062" i="5" s="1"/>
  <c r="P3061" i="5"/>
  <c r="N3061" i="5"/>
  <c r="D3061" i="5"/>
  <c r="O3061" i="5" s="1"/>
  <c r="Q3061" i="5" s="1"/>
  <c r="P3060" i="5"/>
  <c r="N3060" i="5"/>
  <c r="D3060" i="5"/>
  <c r="O3060" i="5" s="1"/>
  <c r="Q3060" i="5" s="1"/>
  <c r="P3059" i="5"/>
  <c r="N3059" i="5"/>
  <c r="D3059" i="5"/>
  <c r="O3059" i="5" s="1"/>
  <c r="Q3059" i="5" s="1"/>
  <c r="P3058" i="5"/>
  <c r="N3058" i="5"/>
  <c r="D3058" i="5"/>
  <c r="O3058" i="5" s="1"/>
  <c r="Q3058" i="5" s="1"/>
  <c r="P3057" i="5"/>
  <c r="N3057" i="5"/>
  <c r="D3057" i="5"/>
  <c r="O3057" i="5" s="1"/>
  <c r="Q3057" i="5" s="1"/>
  <c r="Q3056" i="5"/>
  <c r="P3056" i="5"/>
  <c r="N3056" i="5"/>
  <c r="D3056" i="5"/>
  <c r="Q3055" i="5"/>
  <c r="P3055" i="5"/>
  <c r="N3055" i="5"/>
  <c r="D3055" i="5"/>
  <c r="Q3054" i="5"/>
  <c r="P3054" i="5"/>
  <c r="N3054" i="5"/>
  <c r="D3054" i="5"/>
  <c r="Q3053" i="5"/>
  <c r="P3053" i="5"/>
  <c r="N3053" i="5"/>
  <c r="D3053" i="5"/>
  <c r="P3052" i="5"/>
  <c r="N3052" i="5"/>
  <c r="D3052" i="5"/>
  <c r="O3052" i="5" s="1"/>
  <c r="Q3052" i="5" s="1"/>
  <c r="P3051" i="5"/>
  <c r="N3051" i="5"/>
  <c r="D3051" i="5"/>
  <c r="O3051" i="5" s="1"/>
  <c r="Q3051" i="5" s="1"/>
  <c r="P3050" i="5"/>
  <c r="N3050" i="5"/>
  <c r="D3050" i="5"/>
  <c r="O3050" i="5" s="1"/>
  <c r="Q3050" i="5" s="1"/>
  <c r="P3049" i="5"/>
  <c r="N3049" i="5"/>
  <c r="D3049" i="5"/>
  <c r="O3049" i="5" s="1"/>
  <c r="Q3049" i="5" s="1"/>
  <c r="P3048" i="5"/>
  <c r="N3048" i="5"/>
  <c r="D3048" i="5"/>
  <c r="O3048" i="5" s="1"/>
  <c r="Q3048" i="5" s="1"/>
  <c r="P3047" i="5"/>
  <c r="N3047" i="5"/>
  <c r="D3047" i="5"/>
  <c r="P3046" i="5"/>
  <c r="N3046" i="5"/>
  <c r="D3046" i="5"/>
  <c r="O3046" i="5" s="1"/>
  <c r="Q3046" i="5" s="1"/>
  <c r="P3045" i="5"/>
  <c r="N3045" i="5"/>
  <c r="D3045" i="5"/>
  <c r="O3045" i="5" s="1"/>
  <c r="Q3045" i="5" s="1"/>
  <c r="P3044" i="5"/>
  <c r="N3044" i="5"/>
  <c r="D3044" i="5"/>
  <c r="O3044" i="5" s="1"/>
  <c r="Q3044" i="5" s="1"/>
  <c r="P3043" i="5"/>
  <c r="N3043" i="5"/>
  <c r="D3043" i="5"/>
  <c r="O3043" i="5" s="1"/>
  <c r="Q3043" i="5" s="1"/>
  <c r="P3042" i="5"/>
  <c r="N3042" i="5"/>
  <c r="D3042" i="5"/>
  <c r="O3042" i="5" s="1"/>
  <c r="Q3042" i="5" s="1"/>
  <c r="P3041" i="5"/>
  <c r="N3041" i="5"/>
  <c r="D3041" i="5"/>
  <c r="O3041" i="5" s="1"/>
  <c r="Q3041" i="5" s="1"/>
  <c r="P3040" i="5"/>
  <c r="N3040" i="5"/>
  <c r="D3040" i="5"/>
  <c r="O3040" i="5" s="1"/>
  <c r="Q3040" i="5" s="1"/>
  <c r="P3039" i="5"/>
  <c r="N3039" i="5"/>
  <c r="D3039" i="5"/>
  <c r="O3039" i="5" s="1"/>
  <c r="Q3039" i="5" s="1"/>
  <c r="P3038" i="5"/>
  <c r="N3038" i="5"/>
  <c r="D3038" i="5"/>
  <c r="O3038" i="5" s="1"/>
  <c r="Q3038" i="5" s="1"/>
  <c r="P3037" i="5"/>
  <c r="N3037" i="5"/>
  <c r="D3037" i="5"/>
  <c r="O3037" i="5" s="1"/>
  <c r="Q3037" i="5" s="1"/>
  <c r="P3036" i="5"/>
  <c r="N3036" i="5"/>
  <c r="D3036" i="5"/>
  <c r="O3036" i="5" s="1"/>
  <c r="Q3036" i="5" s="1"/>
  <c r="P3035" i="5"/>
  <c r="N3035" i="5"/>
  <c r="D3035" i="5"/>
  <c r="O3035" i="5" s="1"/>
  <c r="Q3035" i="5" s="1"/>
  <c r="P3034" i="5"/>
  <c r="N3034" i="5"/>
  <c r="D3034" i="5"/>
  <c r="O3034" i="5" s="1"/>
  <c r="Q3034" i="5" s="1"/>
  <c r="P3033" i="5"/>
  <c r="N3033" i="5"/>
  <c r="D3033" i="5"/>
  <c r="O3033" i="5" s="1"/>
  <c r="Q3033" i="5" s="1"/>
  <c r="P3032" i="5"/>
  <c r="N3032" i="5"/>
  <c r="D3032" i="5"/>
  <c r="O3032" i="5" s="1"/>
  <c r="Q3032" i="5" s="1"/>
  <c r="P3031" i="5"/>
  <c r="N3031" i="5"/>
  <c r="D3031" i="5"/>
  <c r="O3031" i="5" s="1"/>
  <c r="Q3031" i="5" s="1"/>
  <c r="P3030" i="5"/>
  <c r="N3030" i="5"/>
  <c r="D3030" i="5"/>
  <c r="O3030" i="5" s="1"/>
  <c r="Q3030" i="5" s="1"/>
  <c r="P3029" i="5"/>
  <c r="N3029" i="5"/>
  <c r="D3029" i="5"/>
  <c r="O3029" i="5" s="1"/>
  <c r="Q3029" i="5" s="1"/>
  <c r="P3028" i="5"/>
  <c r="N3028" i="5"/>
  <c r="D3028" i="5"/>
  <c r="O3028" i="5" s="1"/>
  <c r="Q3028" i="5" s="1"/>
  <c r="P3027" i="5"/>
  <c r="N3027" i="5"/>
  <c r="D3027" i="5"/>
  <c r="O3027" i="5" s="1"/>
  <c r="Q3027" i="5" s="1"/>
  <c r="P3026" i="5"/>
  <c r="N3026" i="5"/>
  <c r="D3026" i="5"/>
  <c r="O3026" i="5" s="1"/>
  <c r="Q3026" i="5" s="1"/>
  <c r="P3025" i="5"/>
  <c r="N3025" i="5"/>
  <c r="D3025" i="5"/>
  <c r="O3025" i="5" s="1"/>
  <c r="Q3025" i="5" s="1"/>
  <c r="P3024" i="5"/>
  <c r="N3024" i="5"/>
  <c r="D3024" i="5"/>
  <c r="O3024" i="5" s="1"/>
  <c r="Q3024" i="5" s="1"/>
  <c r="P3023" i="5"/>
  <c r="N3023" i="5"/>
  <c r="D3023" i="5"/>
  <c r="O3023" i="5" s="1"/>
  <c r="Q3023" i="5" s="1"/>
  <c r="P3022" i="5"/>
  <c r="N3022" i="5"/>
  <c r="D3022" i="5"/>
  <c r="O3022" i="5" s="1"/>
  <c r="Q3022" i="5" s="1"/>
  <c r="P3021" i="5"/>
  <c r="N3021" i="5"/>
  <c r="D3021" i="5"/>
  <c r="O3021" i="5" s="1"/>
  <c r="Q3021" i="5" s="1"/>
  <c r="P3020" i="5"/>
  <c r="N3020" i="5"/>
  <c r="D3020" i="5"/>
  <c r="O3020" i="5" s="1"/>
  <c r="Q3020" i="5" s="1"/>
  <c r="P3019" i="5"/>
  <c r="N3019" i="5"/>
  <c r="D3019" i="5"/>
  <c r="O3019" i="5" s="1"/>
  <c r="Q3019" i="5" s="1"/>
  <c r="P3018" i="5"/>
  <c r="N3018" i="5"/>
  <c r="D3018" i="5"/>
  <c r="O3018" i="5" s="1"/>
  <c r="Q3018" i="5" s="1"/>
  <c r="P3017" i="5"/>
  <c r="N3017" i="5"/>
  <c r="D3017" i="5"/>
  <c r="O3017" i="5" s="1"/>
  <c r="Q3017" i="5" s="1"/>
  <c r="P3016" i="5"/>
  <c r="N3016" i="5"/>
  <c r="D3016" i="5"/>
  <c r="O3016" i="5" s="1"/>
  <c r="Q3016" i="5" s="1"/>
  <c r="P3015" i="5"/>
  <c r="N3015" i="5"/>
  <c r="D3015" i="5"/>
  <c r="O3015" i="5" s="1"/>
  <c r="Q3015" i="5" s="1"/>
  <c r="P3014" i="5"/>
  <c r="N3014" i="5"/>
  <c r="D3014" i="5"/>
  <c r="O3014" i="5" s="1"/>
  <c r="Q3014" i="5" s="1"/>
  <c r="P3013" i="5"/>
  <c r="N3013" i="5"/>
  <c r="D3013" i="5"/>
  <c r="O3013" i="5" s="1"/>
  <c r="Q3013" i="5" s="1"/>
  <c r="P3012" i="5"/>
  <c r="N3012" i="5"/>
  <c r="D3012" i="5"/>
  <c r="O3012" i="5" s="1"/>
  <c r="Q3012" i="5" s="1"/>
  <c r="P3011" i="5"/>
  <c r="N3011" i="5"/>
  <c r="D3011" i="5"/>
  <c r="O3011" i="5" s="1"/>
  <c r="Q3011" i="5" s="1"/>
  <c r="P3010" i="5"/>
  <c r="N3010" i="5"/>
  <c r="D3010" i="5"/>
  <c r="O3010" i="5" s="1"/>
  <c r="Q3010" i="5" s="1"/>
  <c r="P3009" i="5"/>
  <c r="N3009" i="5"/>
  <c r="D3009" i="5"/>
  <c r="O3009" i="5" s="1"/>
  <c r="Q3009" i="5" s="1"/>
  <c r="P3008" i="5"/>
  <c r="N3008" i="5"/>
  <c r="D3008" i="5"/>
  <c r="O3008" i="5" s="1"/>
  <c r="Q3008" i="5" s="1"/>
  <c r="P3007" i="5"/>
  <c r="N3007" i="5"/>
  <c r="D3007" i="5"/>
  <c r="P3006" i="5"/>
  <c r="N3006" i="5"/>
  <c r="D3006" i="5"/>
  <c r="O3006" i="5" s="1"/>
  <c r="Q3006" i="5" s="1"/>
  <c r="P3005" i="5"/>
  <c r="N3005" i="5"/>
  <c r="D3005" i="5"/>
  <c r="O3005" i="5" s="1"/>
  <c r="Q3005" i="5" s="1"/>
  <c r="P3004" i="5"/>
  <c r="N3004" i="5"/>
  <c r="D3004" i="5"/>
  <c r="O3004" i="5" s="1"/>
  <c r="Q3004" i="5" s="1"/>
  <c r="P3003" i="5"/>
  <c r="N3003" i="5"/>
  <c r="D3003" i="5"/>
  <c r="O3003" i="5" s="1"/>
  <c r="Q3003" i="5" s="1"/>
  <c r="P3002" i="5"/>
  <c r="N3002" i="5"/>
  <c r="D3002" i="5"/>
  <c r="O3002" i="5" s="1"/>
  <c r="Q3002" i="5" s="1"/>
  <c r="P3001" i="5"/>
  <c r="N3001" i="5"/>
  <c r="D3001" i="5"/>
  <c r="O3001" i="5" s="1"/>
  <c r="Q3001" i="5" s="1"/>
  <c r="P3000" i="5"/>
  <c r="N3000" i="5"/>
  <c r="D3000" i="5"/>
  <c r="O3000" i="5" s="1"/>
  <c r="Q3000" i="5" s="1"/>
  <c r="P2999" i="5"/>
  <c r="N2999" i="5"/>
  <c r="D2999" i="5"/>
  <c r="O2999" i="5" s="1"/>
  <c r="Q2999" i="5" s="1"/>
  <c r="P2998" i="5"/>
  <c r="N2998" i="5"/>
  <c r="D2998" i="5"/>
  <c r="O2998" i="5" s="1"/>
  <c r="Q2998" i="5" s="1"/>
  <c r="P2997" i="5"/>
  <c r="N2997" i="5"/>
  <c r="D2997" i="5"/>
  <c r="O2997" i="5" s="1"/>
  <c r="Q2997" i="5" s="1"/>
  <c r="P2996" i="5"/>
  <c r="N2996" i="5"/>
  <c r="D2996" i="5"/>
  <c r="O2996" i="5" s="1"/>
  <c r="Q2996" i="5" s="1"/>
  <c r="P2995" i="5"/>
  <c r="N2995" i="5"/>
  <c r="D2995" i="5"/>
  <c r="O2995" i="5" s="1"/>
  <c r="Q2995" i="5" s="1"/>
  <c r="P2994" i="5"/>
  <c r="N2994" i="5"/>
  <c r="D2994" i="5"/>
  <c r="O2994" i="5" s="1"/>
  <c r="Q2994" i="5" s="1"/>
  <c r="P2993" i="5"/>
  <c r="N2993" i="5"/>
  <c r="D2993" i="5"/>
  <c r="O2993" i="5" s="1"/>
  <c r="Q2993" i="5" s="1"/>
  <c r="P2992" i="5"/>
  <c r="N2992" i="5"/>
  <c r="D2992" i="5"/>
  <c r="O2992" i="5" s="1"/>
  <c r="Q2992" i="5" s="1"/>
  <c r="P2991" i="5"/>
  <c r="N2991" i="5"/>
  <c r="D2991" i="5"/>
  <c r="O2991" i="5" s="1"/>
  <c r="Q2991" i="5" s="1"/>
  <c r="P2990" i="5"/>
  <c r="N2990" i="5"/>
  <c r="D2990" i="5"/>
  <c r="P2989" i="5"/>
  <c r="N2989" i="5"/>
  <c r="D2989" i="5"/>
  <c r="O2989" i="5" s="1"/>
  <c r="Q2989" i="5" s="1"/>
  <c r="P2988" i="5"/>
  <c r="N2988" i="5"/>
  <c r="D2988" i="5"/>
  <c r="O2988" i="5" s="1"/>
  <c r="Q2988" i="5" s="1"/>
  <c r="P2987" i="5"/>
  <c r="N2987" i="5"/>
  <c r="D2987" i="5"/>
  <c r="O2987" i="5" s="1"/>
  <c r="Q2987" i="5" s="1"/>
  <c r="P2986" i="5"/>
  <c r="N2986" i="5"/>
  <c r="D2986" i="5"/>
  <c r="O2986" i="5" s="1"/>
  <c r="Q2986" i="5" s="1"/>
  <c r="P2985" i="5"/>
  <c r="N2985" i="5"/>
  <c r="D2985" i="5"/>
  <c r="O2985" i="5" s="1"/>
  <c r="Q2985" i="5" s="1"/>
  <c r="P2984" i="5"/>
  <c r="N2984" i="5"/>
  <c r="D2984" i="5"/>
  <c r="O2984" i="5" s="1"/>
  <c r="Q2984" i="5" s="1"/>
  <c r="P2983" i="5"/>
  <c r="N2983" i="5"/>
  <c r="D2983" i="5"/>
  <c r="O2983" i="5" s="1"/>
  <c r="Q2983" i="5" s="1"/>
  <c r="P2982" i="5"/>
  <c r="N2982" i="5"/>
  <c r="D2982" i="5"/>
  <c r="O2982" i="5" s="1"/>
  <c r="Q2982" i="5" s="1"/>
  <c r="P2981" i="5"/>
  <c r="N2981" i="5"/>
  <c r="D2981" i="5"/>
  <c r="O2981" i="5" s="1"/>
  <c r="Q2981" i="5" s="1"/>
  <c r="P2980" i="5"/>
  <c r="N2980" i="5"/>
  <c r="D2980" i="5"/>
  <c r="O2980" i="5" s="1"/>
  <c r="Q2980" i="5" s="1"/>
  <c r="P2979" i="5"/>
  <c r="N2979" i="5"/>
  <c r="D2979" i="5"/>
  <c r="O2979" i="5" s="1"/>
  <c r="Q2979" i="5" s="1"/>
  <c r="P2978" i="5"/>
  <c r="N2978" i="5"/>
  <c r="D2978" i="5"/>
  <c r="O2978" i="5" s="1"/>
  <c r="Q2978" i="5" s="1"/>
  <c r="P2977" i="5"/>
  <c r="N2977" i="5"/>
  <c r="D2977" i="5"/>
  <c r="O2977" i="5" s="1"/>
  <c r="Q2977" i="5" s="1"/>
  <c r="P2976" i="5"/>
  <c r="N2976" i="5"/>
  <c r="D2976" i="5"/>
  <c r="O2976" i="5" s="1"/>
  <c r="Q2976" i="5" s="1"/>
  <c r="P2975" i="5"/>
  <c r="N2975" i="5"/>
  <c r="D2975" i="5"/>
  <c r="O2975" i="5" s="1"/>
  <c r="Q2975" i="5" s="1"/>
  <c r="P2974" i="5"/>
  <c r="N2974" i="5"/>
  <c r="D2974" i="5"/>
  <c r="O2974" i="5" s="1"/>
  <c r="Q2974" i="5" s="1"/>
  <c r="P2973" i="5"/>
  <c r="N2973" i="5"/>
  <c r="D2973" i="5"/>
  <c r="O2973" i="5" s="1"/>
  <c r="Q2973" i="5" s="1"/>
  <c r="P2972" i="5"/>
  <c r="N2972" i="5"/>
  <c r="D2972" i="5"/>
  <c r="O2972" i="5" s="1"/>
  <c r="Q2972" i="5" s="1"/>
  <c r="P2971" i="5"/>
  <c r="N2971" i="5"/>
  <c r="D2971" i="5"/>
  <c r="O2971" i="5" s="1"/>
  <c r="Q2971" i="5" s="1"/>
  <c r="P2970" i="5"/>
  <c r="N2970" i="5"/>
  <c r="D2970" i="5"/>
  <c r="O2970" i="5" s="1"/>
  <c r="Q2970" i="5" s="1"/>
  <c r="P2969" i="5"/>
  <c r="N2969" i="5"/>
  <c r="D2969" i="5"/>
  <c r="O2969" i="5" s="1"/>
  <c r="Q2969" i="5" s="1"/>
  <c r="P2968" i="5"/>
  <c r="N2968" i="5"/>
  <c r="D2968" i="5"/>
  <c r="O2968" i="5" s="1"/>
  <c r="Q2968" i="5" s="1"/>
  <c r="P2967" i="5"/>
  <c r="N2967" i="5"/>
  <c r="D2967" i="5"/>
  <c r="O2967" i="5" s="1"/>
  <c r="Q2967" i="5" s="1"/>
  <c r="P2966" i="5"/>
  <c r="N2966" i="5"/>
  <c r="D2966" i="5"/>
  <c r="O2966" i="5" s="1"/>
  <c r="Q2966" i="5" s="1"/>
  <c r="P2965" i="5"/>
  <c r="N2965" i="5"/>
  <c r="D2965" i="5"/>
  <c r="O2965" i="5" s="1"/>
  <c r="Q2965" i="5" s="1"/>
  <c r="P2964" i="5"/>
  <c r="N2964" i="5"/>
  <c r="D2964" i="5"/>
  <c r="O2964" i="5" s="1"/>
  <c r="Q2964" i="5" s="1"/>
  <c r="P2963" i="5"/>
  <c r="N2963" i="5"/>
  <c r="D2963" i="5"/>
  <c r="O2963" i="5" s="1"/>
  <c r="Q2963" i="5" s="1"/>
  <c r="P2962" i="5"/>
  <c r="N2962" i="5"/>
  <c r="D2962" i="5"/>
  <c r="O2962" i="5" s="1"/>
  <c r="Q2962" i="5" s="1"/>
  <c r="P2961" i="5"/>
  <c r="N2961" i="5"/>
  <c r="D2961" i="5"/>
  <c r="O2961" i="5" s="1"/>
  <c r="Q2961" i="5" s="1"/>
  <c r="P2960" i="5"/>
  <c r="N2960" i="5"/>
  <c r="D2960" i="5"/>
  <c r="O2960" i="5" s="1"/>
  <c r="Q2960" i="5" s="1"/>
  <c r="P2959" i="5"/>
  <c r="N2959" i="5"/>
  <c r="D2959" i="5"/>
  <c r="O2959" i="5" s="1"/>
  <c r="Q2959" i="5" s="1"/>
  <c r="P2958" i="5"/>
  <c r="N2958" i="5"/>
  <c r="D2958" i="5"/>
  <c r="O2958" i="5" s="1"/>
  <c r="Q2958" i="5" s="1"/>
  <c r="P2957" i="5"/>
  <c r="N2957" i="5"/>
  <c r="D2957" i="5"/>
  <c r="O2957" i="5" s="1"/>
  <c r="Q2957" i="5" s="1"/>
  <c r="P2956" i="5"/>
  <c r="N2956" i="5"/>
  <c r="D2956" i="5"/>
  <c r="O2956" i="5" s="1"/>
  <c r="Q2956" i="5" s="1"/>
  <c r="P2955" i="5"/>
  <c r="N2955" i="5"/>
  <c r="D2955" i="5"/>
  <c r="O2955" i="5" s="1"/>
  <c r="Q2955" i="5" s="1"/>
  <c r="P2954" i="5"/>
  <c r="N2954" i="5"/>
  <c r="D2954" i="5"/>
  <c r="O2954" i="5" s="1"/>
  <c r="Q2954" i="5" s="1"/>
  <c r="P2953" i="5"/>
  <c r="N2953" i="5"/>
  <c r="D2953" i="5"/>
  <c r="O2953" i="5" s="1"/>
  <c r="Q2953" i="5" s="1"/>
  <c r="P2952" i="5"/>
  <c r="N2952" i="5"/>
  <c r="D2952" i="5"/>
  <c r="O2952" i="5" s="1"/>
  <c r="Q2952" i="5" s="1"/>
  <c r="P2951" i="5"/>
  <c r="N2951" i="5"/>
  <c r="D2951" i="5"/>
  <c r="O2951" i="5" s="1"/>
  <c r="Q2951" i="5" s="1"/>
  <c r="P2950" i="5"/>
  <c r="N2950" i="5"/>
  <c r="D2950" i="5"/>
  <c r="O2950" i="5" s="1"/>
  <c r="Q2950" i="5" s="1"/>
  <c r="P2949" i="5"/>
  <c r="N2949" i="5"/>
  <c r="D2949" i="5"/>
  <c r="O2949" i="5" s="1"/>
  <c r="Q2949" i="5" s="1"/>
  <c r="P2948" i="5"/>
  <c r="N2948" i="5"/>
  <c r="D2948" i="5"/>
  <c r="O2948" i="5" s="1"/>
  <c r="Q2948" i="5" s="1"/>
  <c r="P2947" i="5"/>
  <c r="N2947" i="5"/>
  <c r="D2947" i="5"/>
  <c r="O2947" i="5" s="1"/>
  <c r="Q2947" i="5" s="1"/>
  <c r="P2946" i="5"/>
  <c r="N2946" i="5"/>
  <c r="D2946" i="5"/>
  <c r="O2946" i="5" s="1"/>
  <c r="Q2946" i="5" s="1"/>
  <c r="P2945" i="5"/>
  <c r="N2945" i="5"/>
  <c r="D2945" i="5"/>
  <c r="O2945" i="5" s="1"/>
  <c r="Q2945" i="5" s="1"/>
  <c r="P2944" i="5"/>
  <c r="N2944" i="5"/>
  <c r="D2944" i="5"/>
  <c r="O2944" i="5" s="1"/>
  <c r="Q2944" i="5" s="1"/>
  <c r="P2943" i="5"/>
  <c r="N2943" i="5"/>
  <c r="D2943" i="5"/>
  <c r="O2943" i="5" s="1"/>
  <c r="Q2943" i="5" s="1"/>
  <c r="P2942" i="5"/>
  <c r="N2942" i="5"/>
  <c r="D2942" i="5"/>
  <c r="O2942" i="5" s="1"/>
  <c r="Q2942" i="5" s="1"/>
  <c r="P2941" i="5"/>
  <c r="N2941" i="5"/>
  <c r="D2941" i="5"/>
  <c r="O2941" i="5" s="1"/>
  <c r="Q2941" i="5" s="1"/>
  <c r="P2940" i="5"/>
  <c r="N2940" i="5"/>
  <c r="D2940" i="5"/>
  <c r="O2940" i="5" s="1"/>
  <c r="Q2940" i="5" s="1"/>
  <c r="P2939" i="5"/>
  <c r="N2939" i="5"/>
  <c r="D2939" i="5"/>
  <c r="O2939" i="5" s="1"/>
  <c r="Q2939" i="5" s="1"/>
  <c r="P2938" i="5"/>
  <c r="N2938" i="5"/>
  <c r="D2938" i="5"/>
  <c r="O2938" i="5" s="1"/>
  <c r="Q2938" i="5" s="1"/>
  <c r="P2937" i="5"/>
  <c r="N2937" i="5"/>
  <c r="D2937" i="5"/>
  <c r="O2937" i="5" s="1"/>
  <c r="Q2937" i="5" s="1"/>
  <c r="P2936" i="5"/>
  <c r="N2936" i="5"/>
  <c r="D2936" i="5"/>
  <c r="O2936" i="5" s="1"/>
  <c r="Q2936" i="5" s="1"/>
  <c r="P2935" i="5"/>
  <c r="N2935" i="5"/>
  <c r="D2935" i="5"/>
  <c r="O2935" i="5" s="1"/>
  <c r="Q2935" i="5" s="1"/>
  <c r="P2934" i="5"/>
  <c r="N2934" i="5"/>
  <c r="D2934" i="5"/>
  <c r="O2934" i="5" s="1"/>
  <c r="Q2934" i="5" s="1"/>
  <c r="P2933" i="5"/>
  <c r="N2933" i="5"/>
  <c r="D2933" i="5"/>
  <c r="O2933" i="5" s="1"/>
  <c r="Q2933" i="5" s="1"/>
  <c r="P2932" i="5"/>
  <c r="N2932" i="5"/>
  <c r="D2932" i="5"/>
  <c r="O2932" i="5" s="1"/>
  <c r="Q2932" i="5" s="1"/>
  <c r="P2931" i="5"/>
  <c r="N2931" i="5"/>
  <c r="D2931" i="5"/>
  <c r="P2930" i="5"/>
  <c r="N2930" i="5"/>
  <c r="D2930" i="5"/>
  <c r="O2930" i="5" s="1"/>
  <c r="Q2930" i="5" s="1"/>
  <c r="P2929" i="5"/>
  <c r="N2929" i="5"/>
  <c r="D2929" i="5"/>
  <c r="O2929" i="5" s="1"/>
  <c r="Q2929" i="5" s="1"/>
  <c r="P2928" i="5"/>
  <c r="N2928" i="5"/>
  <c r="D2928" i="5"/>
  <c r="P2927" i="5"/>
  <c r="N2927" i="5"/>
  <c r="D2927" i="5"/>
  <c r="O2927" i="5" s="1"/>
  <c r="Q2927" i="5" s="1"/>
  <c r="P2926" i="5"/>
  <c r="N2926" i="5"/>
  <c r="D2926" i="5"/>
  <c r="O2926" i="5" s="1"/>
  <c r="Q2926" i="5" s="1"/>
  <c r="P2925" i="5"/>
  <c r="N2925" i="5"/>
  <c r="D2925" i="5"/>
  <c r="O2925" i="5" s="1"/>
  <c r="Q2925" i="5" s="1"/>
  <c r="P2924" i="5"/>
  <c r="N2924" i="5"/>
  <c r="D2924" i="5"/>
  <c r="O2924" i="5" s="1"/>
  <c r="Q2924" i="5" s="1"/>
  <c r="P2923" i="5"/>
  <c r="N2923" i="5"/>
  <c r="D2923" i="5"/>
  <c r="O2923" i="5" s="1"/>
  <c r="Q2923" i="5" s="1"/>
  <c r="P2922" i="5"/>
  <c r="N2922" i="5"/>
  <c r="D2922" i="5"/>
  <c r="O2922" i="5" s="1"/>
  <c r="Q2922" i="5" s="1"/>
  <c r="P2921" i="5"/>
  <c r="N2921" i="5"/>
  <c r="D2921" i="5"/>
  <c r="O2921" i="5" s="1"/>
  <c r="Q2921" i="5" s="1"/>
  <c r="P2920" i="5"/>
  <c r="N2920" i="5"/>
  <c r="D2920" i="5"/>
  <c r="O2920" i="5" s="1"/>
  <c r="Q2920" i="5" s="1"/>
  <c r="P2919" i="5"/>
  <c r="N2919" i="5"/>
  <c r="D2919" i="5"/>
  <c r="O2919" i="5" s="1"/>
  <c r="Q2919" i="5" s="1"/>
  <c r="P2918" i="5"/>
  <c r="N2918" i="5"/>
  <c r="D2918" i="5"/>
  <c r="P2917" i="5"/>
  <c r="N2917" i="5"/>
  <c r="D2917" i="5"/>
  <c r="O2917" i="5" s="1"/>
  <c r="Q2917" i="5" s="1"/>
  <c r="P2916" i="5"/>
  <c r="N2916" i="5"/>
  <c r="D2916" i="5"/>
  <c r="O2916" i="5" s="1"/>
  <c r="Q2916" i="5" s="1"/>
  <c r="P2915" i="5"/>
  <c r="N2915" i="5"/>
  <c r="D2915" i="5"/>
  <c r="O2915" i="5" s="1"/>
  <c r="Q2915" i="5" s="1"/>
  <c r="P2914" i="5"/>
  <c r="N2914" i="5"/>
  <c r="D2914" i="5"/>
  <c r="P2913" i="5"/>
  <c r="N2913" i="5"/>
  <c r="D2913" i="5"/>
  <c r="O2913" i="5" s="1"/>
  <c r="Q2913" i="5" s="1"/>
  <c r="P2912" i="5"/>
  <c r="N2912" i="5"/>
  <c r="D2912" i="5"/>
  <c r="O2912" i="5" s="1"/>
  <c r="Q2912" i="5" s="1"/>
  <c r="P2911" i="5"/>
  <c r="N2911" i="5"/>
  <c r="D2911" i="5"/>
  <c r="O2911" i="5" s="1"/>
  <c r="Q2911" i="5" s="1"/>
  <c r="P2910" i="5"/>
  <c r="N2910" i="5"/>
  <c r="D2910" i="5"/>
  <c r="O2910" i="5" s="1"/>
  <c r="Q2910" i="5" s="1"/>
  <c r="P2909" i="5"/>
  <c r="N2909" i="5"/>
  <c r="D2909" i="5"/>
  <c r="O2909" i="5" s="1"/>
  <c r="Q2909" i="5" s="1"/>
  <c r="P2908" i="5"/>
  <c r="N2908" i="5"/>
  <c r="D2908" i="5"/>
  <c r="O2908" i="5" s="1"/>
  <c r="Q2908" i="5" s="1"/>
  <c r="P2907" i="5"/>
  <c r="N2907" i="5"/>
  <c r="D2907" i="5"/>
  <c r="O2907" i="5" s="1"/>
  <c r="Q2907" i="5" s="1"/>
  <c r="P2906" i="5"/>
  <c r="N2906" i="5"/>
  <c r="D2906" i="5"/>
  <c r="O2906" i="5" s="1"/>
  <c r="Q2906" i="5" s="1"/>
  <c r="P2905" i="5"/>
  <c r="N2905" i="5"/>
  <c r="D2905" i="5"/>
  <c r="O2905" i="5" s="1"/>
  <c r="Q2905" i="5" s="1"/>
  <c r="P2904" i="5"/>
  <c r="N2904" i="5"/>
  <c r="D2904" i="5"/>
  <c r="O2904" i="5" s="1"/>
  <c r="Q2904" i="5" s="1"/>
  <c r="P2903" i="5"/>
  <c r="N2903" i="5"/>
  <c r="D2903" i="5"/>
  <c r="P2902" i="5"/>
  <c r="N2902" i="5"/>
  <c r="D2902" i="5"/>
  <c r="O2902" i="5" s="1"/>
  <c r="Q2902" i="5" s="1"/>
  <c r="P2901" i="5"/>
  <c r="N2901" i="5"/>
  <c r="D2901" i="5"/>
  <c r="O2901" i="5" s="1"/>
  <c r="Q2901" i="5" s="1"/>
  <c r="P2900" i="5"/>
  <c r="N2900" i="5"/>
  <c r="D2900" i="5"/>
  <c r="O2900" i="5" s="1"/>
  <c r="Q2900" i="5" s="1"/>
  <c r="P2899" i="5"/>
  <c r="N2899" i="5"/>
  <c r="D2899" i="5"/>
  <c r="O2899" i="5" s="1"/>
  <c r="Q2899" i="5" s="1"/>
  <c r="P2898" i="5"/>
  <c r="N2898" i="5"/>
  <c r="D2898" i="5"/>
  <c r="P2897" i="5"/>
  <c r="N2897" i="5"/>
  <c r="D2897" i="5"/>
  <c r="O2897" i="5" s="1"/>
  <c r="Q2897" i="5" s="1"/>
  <c r="P2896" i="5"/>
  <c r="N2896" i="5"/>
  <c r="D2896" i="5"/>
  <c r="O2896" i="5" s="1"/>
  <c r="Q2896" i="5" s="1"/>
  <c r="P2895" i="5"/>
  <c r="N2895" i="5"/>
  <c r="D2895" i="5"/>
  <c r="O2895" i="5" s="1"/>
  <c r="Q2895" i="5" s="1"/>
  <c r="P2894" i="5"/>
  <c r="N2894" i="5"/>
  <c r="D2894" i="5"/>
  <c r="O2894" i="5" s="1"/>
  <c r="Q2894" i="5" s="1"/>
  <c r="P2893" i="5"/>
  <c r="N2893" i="5"/>
  <c r="D2893" i="5"/>
  <c r="O2893" i="5" s="1"/>
  <c r="Q2893" i="5" s="1"/>
  <c r="P2892" i="5"/>
  <c r="N2892" i="5"/>
  <c r="D2892" i="5"/>
  <c r="O2892" i="5" s="1"/>
  <c r="Q2892" i="5" s="1"/>
  <c r="P2891" i="5"/>
  <c r="N2891" i="5"/>
  <c r="D2891" i="5"/>
  <c r="O2891" i="5" s="1"/>
  <c r="Q2891" i="5" s="1"/>
  <c r="P2890" i="5"/>
  <c r="N2890" i="5"/>
  <c r="D2890" i="5"/>
  <c r="O2890" i="5" s="1"/>
  <c r="Q2890" i="5" s="1"/>
  <c r="P2889" i="5"/>
  <c r="N2889" i="5"/>
  <c r="D2889" i="5"/>
  <c r="O2889" i="5" s="1"/>
  <c r="Q2889" i="5" s="1"/>
  <c r="P2888" i="5"/>
  <c r="N2888" i="5"/>
  <c r="D2888" i="5"/>
  <c r="O2888" i="5" s="1"/>
  <c r="Q2888" i="5" s="1"/>
  <c r="P2887" i="5"/>
  <c r="N2887" i="5"/>
  <c r="D2887" i="5"/>
  <c r="O2887" i="5" s="1"/>
  <c r="Q2887" i="5" s="1"/>
  <c r="Q2886" i="5"/>
  <c r="P2886" i="5"/>
  <c r="N2886" i="5"/>
  <c r="D2886" i="5"/>
  <c r="Q2885" i="5"/>
  <c r="P2885" i="5"/>
  <c r="N2885" i="5"/>
  <c r="D2885" i="5"/>
  <c r="Q2884" i="5"/>
  <c r="P2884" i="5"/>
  <c r="N2884" i="5"/>
  <c r="D2884" i="5"/>
  <c r="Q2883" i="5"/>
  <c r="P2883" i="5"/>
  <c r="N2883" i="5"/>
  <c r="D2883" i="5"/>
  <c r="Q2882" i="5"/>
  <c r="P2882" i="5"/>
  <c r="N2882" i="5"/>
  <c r="D2882" i="5"/>
  <c r="Q2881" i="5"/>
  <c r="P2881" i="5"/>
  <c r="N2881" i="5"/>
  <c r="D2881" i="5"/>
  <c r="Q2880" i="5"/>
  <c r="P2880" i="5"/>
  <c r="N2880" i="5"/>
  <c r="D2880" i="5"/>
  <c r="Q2879" i="5"/>
  <c r="P2879" i="5"/>
  <c r="N2879" i="5"/>
  <c r="D2879" i="5"/>
  <c r="Q2878" i="5"/>
  <c r="P2878" i="5"/>
  <c r="N2878" i="5"/>
  <c r="D2878" i="5"/>
  <c r="Q2877" i="5"/>
  <c r="P2877" i="5"/>
  <c r="N2877" i="5"/>
  <c r="D2877" i="5"/>
  <c r="Q2876" i="5"/>
  <c r="P2876" i="5"/>
  <c r="N2876" i="5"/>
  <c r="D2876" i="5"/>
  <c r="Q2875" i="5"/>
  <c r="P2875" i="5"/>
  <c r="N2875" i="5"/>
  <c r="D2875" i="5"/>
  <c r="Q2874" i="5"/>
  <c r="P2874" i="5"/>
  <c r="N2874" i="5"/>
  <c r="D2874" i="5"/>
  <c r="P2873" i="5"/>
  <c r="N2873" i="5"/>
  <c r="D2873" i="5"/>
  <c r="O2873" i="5" s="1"/>
  <c r="Q2873" i="5" s="1"/>
  <c r="P2872" i="5"/>
  <c r="N2872" i="5"/>
  <c r="D2872" i="5"/>
  <c r="O2872" i="5" s="1"/>
  <c r="Q2872" i="5" s="1"/>
  <c r="P2871" i="5"/>
  <c r="N2871" i="5"/>
  <c r="D2871" i="5"/>
  <c r="O2871" i="5" s="1"/>
  <c r="Q2871" i="5" s="1"/>
  <c r="P2870" i="5"/>
  <c r="N2870" i="5"/>
  <c r="D2870" i="5"/>
  <c r="O2870" i="5" s="1"/>
  <c r="Q2870" i="5" s="1"/>
  <c r="P2869" i="5"/>
  <c r="N2869" i="5"/>
  <c r="D2869" i="5"/>
  <c r="O2869" i="5" s="1"/>
  <c r="Q2869" i="5" s="1"/>
  <c r="P2868" i="5"/>
  <c r="N2868" i="5"/>
  <c r="D2868" i="5"/>
  <c r="O2868" i="5" s="1"/>
  <c r="Q2868" i="5" s="1"/>
  <c r="P2867" i="5"/>
  <c r="N2867" i="5"/>
  <c r="D2867" i="5"/>
  <c r="O2867" i="5" s="1"/>
  <c r="Q2867" i="5" s="1"/>
  <c r="P2866" i="5"/>
  <c r="N2866" i="5"/>
  <c r="D2866" i="5"/>
  <c r="O2866" i="5" s="1"/>
  <c r="Q2866" i="5" s="1"/>
  <c r="P2865" i="5"/>
  <c r="N2865" i="5"/>
  <c r="D2865" i="5"/>
  <c r="O2865" i="5" s="1"/>
  <c r="Q2865" i="5" s="1"/>
  <c r="P2864" i="5"/>
  <c r="N2864" i="5"/>
  <c r="D2864" i="5"/>
  <c r="O2864" i="5" s="1"/>
  <c r="Q2864" i="5" s="1"/>
  <c r="P2863" i="5"/>
  <c r="N2863" i="5"/>
  <c r="D2863" i="5"/>
  <c r="O2863" i="5" s="1"/>
  <c r="Q2863" i="5" s="1"/>
  <c r="P2862" i="5"/>
  <c r="N2862" i="5"/>
  <c r="D2862" i="5"/>
  <c r="O2862" i="5" s="1"/>
  <c r="Q2862" i="5" s="1"/>
  <c r="P2861" i="5"/>
  <c r="N2861" i="5"/>
  <c r="D2861" i="5"/>
  <c r="O2861" i="5" s="1"/>
  <c r="Q2861" i="5" s="1"/>
  <c r="P2860" i="5"/>
  <c r="N2860" i="5"/>
  <c r="D2860" i="5"/>
  <c r="O2860" i="5" s="1"/>
  <c r="Q2860" i="5" s="1"/>
  <c r="P2859" i="5"/>
  <c r="N2859" i="5"/>
  <c r="D2859" i="5"/>
  <c r="O2859" i="5" s="1"/>
  <c r="Q2859" i="5" s="1"/>
  <c r="P2858" i="5"/>
  <c r="N2858" i="5"/>
  <c r="D2858" i="5"/>
  <c r="O2858" i="5" s="1"/>
  <c r="Q2858" i="5" s="1"/>
  <c r="P2857" i="5"/>
  <c r="N2857" i="5"/>
  <c r="D2857" i="5"/>
  <c r="O2857" i="5" s="1"/>
  <c r="Q2857" i="5" s="1"/>
  <c r="P2856" i="5"/>
  <c r="N2856" i="5"/>
  <c r="D2856" i="5"/>
  <c r="O2856" i="5" s="1"/>
  <c r="Q2856" i="5" s="1"/>
  <c r="P2855" i="5"/>
  <c r="N2855" i="5"/>
  <c r="D2855" i="5"/>
  <c r="O2855" i="5" s="1"/>
  <c r="Q2855" i="5" s="1"/>
  <c r="P2854" i="5"/>
  <c r="N2854" i="5"/>
  <c r="D2854" i="5"/>
  <c r="O2854" i="5" s="1"/>
  <c r="Q2854" i="5" s="1"/>
  <c r="P2853" i="5"/>
  <c r="N2853" i="5"/>
  <c r="D2853" i="5"/>
  <c r="O2853" i="5" s="1"/>
  <c r="Q2853" i="5" s="1"/>
  <c r="P2852" i="5"/>
  <c r="N2852" i="5"/>
  <c r="D2852" i="5"/>
  <c r="O2852" i="5" s="1"/>
  <c r="Q2852" i="5" s="1"/>
  <c r="P2851" i="5"/>
  <c r="N2851" i="5"/>
  <c r="D2851" i="5"/>
  <c r="O2851" i="5" s="1"/>
  <c r="Q2851" i="5" s="1"/>
  <c r="P2850" i="5"/>
  <c r="N2850" i="5"/>
  <c r="D2850" i="5"/>
  <c r="O2850" i="5" s="1"/>
  <c r="Q2850" i="5" s="1"/>
  <c r="P2849" i="5"/>
  <c r="N2849" i="5"/>
  <c r="D2849" i="5"/>
  <c r="O2849" i="5" s="1"/>
  <c r="Q2849" i="5" s="1"/>
  <c r="P2848" i="5"/>
  <c r="N2848" i="5"/>
  <c r="D2848" i="5"/>
  <c r="O2848" i="5" s="1"/>
  <c r="Q2848" i="5" s="1"/>
  <c r="P2847" i="5"/>
  <c r="N2847" i="5"/>
  <c r="D2847" i="5"/>
  <c r="O2847" i="5" s="1"/>
  <c r="Q2847" i="5" s="1"/>
  <c r="P2846" i="5"/>
  <c r="N2846" i="5"/>
  <c r="D2846" i="5"/>
  <c r="O2846" i="5" s="1"/>
  <c r="Q2846" i="5" s="1"/>
  <c r="P2845" i="5"/>
  <c r="N2845" i="5"/>
  <c r="D2845" i="5"/>
  <c r="O2845" i="5" s="1"/>
  <c r="Q2845" i="5" s="1"/>
  <c r="P2844" i="5"/>
  <c r="N2844" i="5"/>
  <c r="D2844" i="5"/>
  <c r="O2844" i="5" s="1"/>
  <c r="Q2844" i="5" s="1"/>
  <c r="P2843" i="5"/>
  <c r="N2843" i="5"/>
  <c r="D2843" i="5"/>
  <c r="O2843" i="5" s="1"/>
  <c r="Q2843" i="5" s="1"/>
  <c r="P2842" i="5"/>
  <c r="N2842" i="5"/>
  <c r="D2842" i="5"/>
  <c r="O2842" i="5" s="1"/>
  <c r="Q2842" i="5" s="1"/>
  <c r="P2841" i="5"/>
  <c r="N2841" i="5"/>
  <c r="D2841" i="5"/>
  <c r="O2841" i="5" s="1"/>
  <c r="Q2841" i="5" s="1"/>
  <c r="P2840" i="5"/>
  <c r="N2840" i="5"/>
  <c r="D2840" i="5"/>
  <c r="O2840" i="5" s="1"/>
  <c r="Q2840" i="5" s="1"/>
  <c r="P2839" i="5"/>
  <c r="N2839" i="5"/>
  <c r="D2839" i="5"/>
  <c r="O2839" i="5" s="1"/>
  <c r="Q2839" i="5" s="1"/>
  <c r="P2838" i="5"/>
  <c r="N2838" i="5"/>
  <c r="D2838" i="5"/>
  <c r="O2838" i="5" s="1"/>
  <c r="Q2838" i="5" s="1"/>
  <c r="P2837" i="5"/>
  <c r="N2837" i="5"/>
  <c r="D2837" i="5"/>
  <c r="O2837" i="5" s="1"/>
  <c r="Q2837" i="5" s="1"/>
  <c r="P2836" i="5"/>
  <c r="N2836" i="5"/>
  <c r="D2836" i="5"/>
  <c r="O2836" i="5" s="1"/>
  <c r="Q2836" i="5" s="1"/>
  <c r="P2835" i="5"/>
  <c r="N2835" i="5"/>
  <c r="D2835" i="5"/>
  <c r="O2835" i="5" s="1"/>
  <c r="Q2835" i="5" s="1"/>
  <c r="P2834" i="5"/>
  <c r="N2834" i="5"/>
  <c r="D2834" i="5"/>
  <c r="O2834" i="5" s="1"/>
  <c r="Q2834" i="5" s="1"/>
  <c r="P2833" i="5"/>
  <c r="N2833" i="5"/>
  <c r="D2833" i="5"/>
  <c r="O2833" i="5" s="1"/>
  <c r="Q2833" i="5" s="1"/>
  <c r="P2832" i="5"/>
  <c r="N2832" i="5"/>
  <c r="D2832" i="5"/>
  <c r="O2832" i="5" s="1"/>
  <c r="Q2832" i="5" s="1"/>
  <c r="P2831" i="5"/>
  <c r="N2831" i="5"/>
  <c r="D2831" i="5"/>
  <c r="O2831" i="5" s="1"/>
  <c r="Q2831" i="5" s="1"/>
  <c r="P2830" i="5"/>
  <c r="N2830" i="5"/>
  <c r="D2830" i="5"/>
  <c r="O2830" i="5" s="1"/>
  <c r="Q2830" i="5" s="1"/>
  <c r="P2829" i="5"/>
  <c r="N2829" i="5"/>
  <c r="D2829" i="5"/>
  <c r="O2829" i="5" s="1"/>
  <c r="Q2829" i="5" s="1"/>
  <c r="P2828" i="5"/>
  <c r="N2828" i="5"/>
  <c r="D2828" i="5"/>
  <c r="O2828" i="5" s="1"/>
  <c r="Q2828" i="5" s="1"/>
  <c r="P2827" i="5"/>
  <c r="N2827" i="5"/>
  <c r="D2827" i="5"/>
  <c r="O2827" i="5" s="1"/>
  <c r="Q2827" i="5" s="1"/>
  <c r="P2826" i="5"/>
  <c r="N2826" i="5"/>
  <c r="D2826" i="5"/>
  <c r="O2826" i="5" s="1"/>
  <c r="Q2826" i="5" s="1"/>
  <c r="P2825" i="5"/>
  <c r="N2825" i="5"/>
  <c r="D2825" i="5"/>
  <c r="O2825" i="5" s="1"/>
  <c r="Q2825" i="5" s="1"/>
  <c r="P2824" i="5"/>
  <c r="N2824" i="5"/>
  <c r="D2824" i="5"/>
  <c r="O2824" i="5" s="1"/>
  <c r="Q2824" i="5" s="1"/>
  <c r="P2823" i="5"/>
  <c r="N2823" i="5"/>
  <c r="D2823" i="5"/>
  <c r="O2823" i="5" s="1"/>
  <c r="Q2823" i="5" s="1"/>
  <c r="P2822" i="5"/>
  <c r="N2822" i="5"/>
  <c r="D2822" i="5"/>
  <c r="O2822" i="5" s="1"/>
  <c r="Q2822" i="5" s="1"/>
  <c r="P2821" i="5"/>
  <c r="N2821" i="5"/>
  <c r="D2821" i="5"/>
  <c r="O2821" i="5" s="1"/>
  <c r="Q2821" i="5" s="1"/>
  <c r="P2820" i="5"/>
  <c r="N2820" i="5"/>
  <c r="D2820" i="5"/>
  <c r="O2820" i="5" s="1"/>
  <c r="Q2820" i="5" s="1"/>
  <c r="P2819" i="5"/>
  <c r="N2819" i="5"/>
  <c r="D2819" i="5"/>
  <c r="O2819" i="5" s="1"/>
  <c r="Q2819" i="5" s="1"/>
  <c r="P2818" i="5"/>
  <c r="N2818" i="5"/>
  <c r="D2818" i="5"/>
  <c r="O2818" i="5" s="1"/>
  <c r="Q2818" i="5" s="1"/>
  <c r="P2817" i="5"/>
  <c r="N2817" i="5"/>
  <c r="D2817" i="5"/>
  <c r="O2817" i="5" s="1"/>
  <c r="Q2817" i="5" s="1"/>
  <c r="P2816" i="5"/>
  <c r="N2816" i="5"/>
  <c r="D2816" i="5"/>
  <c r="O2816" i="5" s="1"/>
  <c r="Q2816" i="5" s="1"/>
  <c r="P2815" i="5"/>
  <c r="N2815" i="5"/>
  <c r="D2815" i="5"/>
  <c r="O2815" i="5" s="1"/>
  <c r="Q2815" i="5" s="1"/>
  <c r="P2814" i="5"/>
  <c r="N2814" i="5"/>
  <c r="D2814" i="5"/>
  <c r="O2814" i="5" s="1"/>
  <c r="Q2814" i="5" s="1"/>
  <c r="P2813" i="5"/>
  <c r="N2813" i="5"/>
  <c r="D2813" i="5"/>
  <c r="O2813" i="5" s="1"/>
  <c r="Q2813" i="5" s="1"/>
  <c r="P2812" i="5"/>
  <c r="N2812" i="5"/>
  <c r="D2812" i="5"/>
  <c r="O2812" i="5" s="1"/>
  <c r="Q2812" i="5" s="1"/>
  <c r="P2811" i="5"/>
  <c r="N2811" i="5"/>
  <c r="D2811" i="5"/>
  <c r="O2811" i="5" s="1"/>
  <c r="Q2811" i="5" s="1"/>
  <c r="P2810" i="5"/>
  <c r="N2810" i="5"/>
  <c r="D2810" i="5"/>
  <c r="O2810" i="5" s="1"/>
  <c r="Q2810" i="5" s="1"/>
  <c r="P2809" i="5"/>
  <c r="N2809" i="5"/>
  <c r="D2809" i="5"/>
  <c r="O2809" i="5" s="1"/>
  <c r="Q2809" i="5" s="1"/>
  <c r="P2808" i="5"/>
  <c r="N2808" i="5"/>
  <c r="D2808" i="5"/>
  <c r="O2808" i="5" s="1"/>
  <c r="Q2808" i="5" s="1"/>
  <c r="P2807" i="5"/>
  <c r="N2807" i="5"/>
  <c r="D2807" i="5"/>
  <c r="O2807" i="5" s="1"/>
  <c r="Q2807" i="5" s="1"/>
  <c r="P2806" i="5"/>
  <c r="N2806" i="5"/>
  <c r="D2806" i="5"/>
  <c r="O2806" i="5" s="1"/>
  <c r="Q2806" i="5" s="1"/>
  <c r="P2805" i="5"/>
  <c r="N2805" i="5"/>
  <c r="D2805" i="5"/>
  <c r="O2805" i="5" s="1"/>
  <c r="Q2805" i="5" s="1"/>
  <c r="P2804" i="5"/>
  <c r="N2804" i="5"/>
  <c r="D2804" i="5"/>
  <c r="O2804" i="5" s="1"/>
  <c r="Q2804" i="5" s="1"/>
  <c r="P2803" i="5"/>
  <c r="N2803" i="5"/>
  <c r="D2803" i="5"/>
  <c r="O2803" i="5" s="1"/>
  <c r="Q2803" i="5" s="1"/>
  <c r="P2802" i="5"/>
  <c r="N2802" i="5"/>
  <c r="D2802" i="5"/>
  <c r="O2802" i="5" s="1"/>
  <c r="Q2802" i="5" s="1"/>
  <c r="P2801" i="5"/>
  <c r="N2801" i="5"/>
  <c r="D2801" i="5"/>
  <c r="O2801" i="5" s="1"/>
  <c r="Q2801" i="5" s="1"/>
  <c r="P2800" i="5"/>
  <c r="N2800" i="5"/>
  <c r="D2800" i="5"/>
  <c r="O2800" i="5" s="1"/>
  <c r="Q2800" i="5" s="1"/>
  <c r="P2799" i="5"/>
  <c r="N2799" i="5"/>
  <c r="D2799" i="5"/>
  <c r="O2799" i="5" s="1"/>
  <c r="Q2799" i="5" s="1"/>
  <c r="P2798" i="5"/>
  <c r="N2798" i="5"/>
  <c r="D2798" i="5"/>
  <c r="O2798" i="5" s="1"/>
  <c r="Q2798" i="5" s="1"/>
  <c r="P2797" i="5"/>
  <c r="N2797" i="5"/>
  <c r="D2797" i="5"/>
  <c r="O2797" i="5" s="1"/>
  <c r="Q2797" i="5" s="1"/>
  <c r="P2796" i="5"/>
  <c r="N2796" i="5"/>
  <c r="D2796" i="5"/>
  <c r="O2796" i="5" s="1"/>
  <c r="Q2796" i="5" s="1"/>
  <c r="P2795" i="5"/>
  <c r="N2795" i="5"/>
  <c r="D2795" i="5"/>
  <c r="O2795" i="5" s="1"/>
  <c r="Q2795" i="5" s="1"/>
  <c r="P2794" i="5"/>
  <c r="N2794" i="5"/>
  <c r="D2794" i="5"/>
  <c r="O2794" i="5" s="1"/>
  <c r="Q2794" i="5" s="1"/>
  <c r="P2793" i="5"/>
  <c r="N2793" i="5"/>
  <c r="D2793" i="5"/>
  <c r="O2793" i="5" s="1"/>
  <c r="Q2793" i="5" s="1"/>
  <c r="P2792" i="5"/>
  <c r="N2792" i="5"/>
  <c r="D2792" i="5"/>
  <c r="O2792" i="5" s="1"/>
  <c r="Q2792" i="5" s="1"/>
  <c r="P2791" i="5"/>
  <c r="N2791" i="5"/>
  <c r="D2791" i="5"/>
  <c r="O2791" i="5" s="1"/>
  <c r="Q2791" i="5" s="1"/>
  <c r="P2790" i="5"/>
  <c r="N2790" i="5"/>
  <c r="D2790" i="5"/>
  <c r="O2790" i="5" s="1"/>
  <c r="Q2790" i="5" s="1"/>
  <c r="P2789" i="5"/>
  <c r="N2789" i="5"/>
  <c r="D2789" i="5"/>
  <c r="O2789" i="5" s="1"/>
  <c r="Q2789" i="5" s="1"/>
  <c r="P2788" i="5"/>
  <c r="N2788" i="5"/>
  <c r="D2788" i="5"/>
  <c r="O2788" i="5" s="1"/>
  <c r="Q2788" i="5" s="1"/>
  <c r="P2787" i="5"/>
  <c r="N2787" i="5"/>
  <c r="D2787" i="5"/>
  <c r="O2787" i="5" s="1"/>
  <c r="Q2787" i="5" s="1"/>
  <c r="P2786" i="5"/>
  <c r="N2786" i="5"/>
  <c r="D2786" i="5"/>
  <c r="O2786" i="5" s="1"/>
  <c r="Q2786" i="5" s="1"/>
  <c r="P2785" i="5"/>
  <c r="N2785" i="5"/>
  <c r="D2785" i="5"/>
  <c r="O2785" i="5" s="1"/>
  <c r="Q2785" i="5" s="1"/>
  <c r="P2784" i="5"/>
  <c r="N2784" i="5"/>
  <c r="D2784" i="5"/>
  <c r="O2784" i="5" s="1"/>
  <c r="Q2784" i="5" s="1"/>
  <c r="P2783" i="5"/>
  <c r="N2783" i="5"/>
  <c r="D2783" i="5"/>
  <c r="O2783" i="5" s="1"/>
  <c r="Q2783" i="5" s="1"/>
  <c r="P2782" i="5"/>
  <c r="N2782" i="5"/>
  <c r="D2782" i="5"/>
  <c r="O2782" i="5" s="1"/>
  <c r="Q2782" i="5" s="1"/>
  <c r="P2781" i="5"/>
  <c r="N2781" i="5"/>
  <c r="D2781" i="5"/>
  <c r="O2781" i="5" s="1"/>
  <c r="Q2781" i="5" s="1"/>
  <c r="P2780" i="5"/>
  <c r="N2780" i="5"/>
  <c r="D2780" i="5"/>
  <c r="O2780" i="5" s="1"/>
  <c r="Q2780" i="5" s="1"/>
  <c r="P2779" i="5"/>
  <c r="N2779" i="5"/>
  <c r="D2779" i="5"/>
  <c r="O2779" i="5" s="1"/>
  <c r="Q2779" i="5" s="1"/>
  <c r="P2778" i="5"/>
  <c r="N2778" i="5"/>
  <c r="D2778" i="5"/>
  <c r="O2778" i="5" s="1"/>
  <c r="Q2778" i="5" s="1"/>
  <c r="P2777" i="5"/>
  <c r="N2777" i="5"/>
  <c r="D2777" i="5"/>
  <c r="O2777" i="5" s="1"/>
  <c r="Q2777" i="5" s="1"/>
  <c r="P2776" i="5"/>
  <c r="N2776" i="5"/>
  <c r="D2776" i="5"/>
  <c r="O2776" i="5" s="1"/>
  <c r="Q2776" i="5" s="1"/>
  <c r="P2775" i="5"/>
  <c r="N2775" i="5"/>
  <c r="D2775" i="5"/>
  <c r="O2775" i="5" s="1"/>
  <c r="Q2775" i="5" s="1"/>
  <c r="P2774" i="5"/>
  <c r="N2774" i="5"/>
  <c r="D2774" i="5"/>
  <c r="O2774" i="5" s="1"/>
  <c r="Q2774" i="5" s="1"/>
  <c r="P2773" i="5"/>
  <c r="N2773" i="5"/>
  <c r="D2773" i="5"/>
  <c r="O2773" i="5" s="1"/>
  <c r="Q2773" i="5" s="1"/>
  <c r="P2772" i="5"/>
  <c r="N2772" i="5"/>
  <c r="D2772" i="5"/>
  <c r="O2772" i="5" s="1"/>
  <c r="Q2772" i="5" s="1"/>
  <c r="P2771" i="5"/>
  <c r="N2771" i="5"/>
  <c r="D2771" i="5"/>
  <c r="O2771" i="5" s="1"/>
  <c r="Q2771" i="5" s="1"/>
  <c r="P2770" i="5"/>
  <c r="N2770" i="5"/>
  <c r="D2770" i="5"/>
  <c r="O2770" i="5" s="1"/>
  <c r="Q2770" i="5" s="1"/>
  <c r="P2769" i="5"/>
  <c r="N2769" i="5"/>
  <c r="D2769" i="5"/>
  <c r="P2768" i="5"/>
  <c r="N2768" i="5"/>
  <c r="D2768" i="5"/>
  <c r="O2768" i="5" s="1"/>
  <c r="Q2768" i="5" s="1"/>
  <c r="P2767" i="5"/>
  <c r="N2767" i="5"/>
  <c r="D2767" i="5"/>
  <c r="O2767" i="5" s="1"/>
  <c r="Q2767" i="5" s="1"/>
  <c r="P2766" i="5"/>
  <c r="N2766" i="5"/>
  <c r="D2766" i="5"/>
  <c r="O2766" i="5" s="1"/>
  <c r="Q2766" i="5" s="1"/>
  <c r="P2765" i="5"/>
  <c r="N2765" i="5"/>
  <c r="D2765" i="5"/>
  <c r="O2765" i="5" s="1"/>
  <c r="Q2765" i="5" s="1"/>
  <c r="P2764" i="5"/>
  <c r="N2764" i="5"/>
  <c r="D2764" i="5"/>
  <c r="O2764" i="5" s="1"/>
  <c r="Q2764" i="5" s="1"/>
  <c r="P2763" i="5"/>
  <c r="N2763" i="5"/>
  <c r="D2763" i="5"/>
  <c r="O2763" i="5" s="1"/>
  <c r="Q2763" i="5" s="1"/>
  <c r="P2762" i="5"/>
  <c r="N2762" i="5"/>
  <c r="D2762" i="5"/>
  <c r="O2762" i="5" s="1"/>
  <c r="Q2762" i="5" s="1"/>
  <c r="P2761" i="5"/>
  <c r="N2761" i="5"/>
  <c r="D2761" i="5"/>
  <c r="O2761" i="5" s="1"/>
  <c r="Q2761" i="5" s="1"/>
  <c r="P2760" i="5"/>
  <c r="N2760" i="5"/>
  <c r="D2760" i="5"/>
  <c r="O2760" i="5" s="1"/>
  <c r="Q2760" i="5" s="1"/>
  <c r="P2759" i="5"/>
  <c r="N2759" i="5"/>
  <c r="D2759" i="5"/>
  <c r="O2759" i="5" s="1"/>
  <c r="Q2759" i="5" s="1"/>
  <c r="P2758" i="5"/>
  <c r="N2758" i="5"/>
  <c r="D2758" i="5"/>
  <c r="O2758" i="5" s="1"/>
  <c r="Q2758" i="5" s="1"/>
  <c r="P2757" i="5"/>
  <c r="N2757" i="5"/>
  <c r="D2757" i="5"/>
  <c r="O2757" i="5" s="1"/>
  <c r="Q2757" i="5" s="1"/>
  <c r="P2756" i="5"/>
  <c r="N2756" i="5"/>
  <c r="D2756" i="5"/>
  <c r="O2756" i="5" s="1"/>
  <c r="Q2756" i="5" s="1"/>
  <c r="P2755" i="5"/>
  <c r="N2755" i="5"/>
  <c r="D2755" i="5"/>
  <c r="O2755" i="5" s="1"/>
  <c r="Q2755" i="5" s="1"/>
  <c r="P2754" i="5"/>
  <c r="N2754" i="5"/>
  <c r="D2754" i="5"/>
  <c r="O2754" i="5" s="1"/>
  <c r="Q2754" i="5" s="1"/>
  <c r="P2753" i="5"/>
  <c r="N2753" i="5"/>
  <c r="D2753" i="5"/>
  <c r="O2753" i="5" s="1"/>
  <c r="Q2753" i="5" s="1"/>
  <c r="P2752" i="5"/>
  <c r="N2752" i="5"/>
  <c r="D2752" i="5"/>
  <c r="O2752" i="5" s="1"/>
  <c r="Q2752" i="5" s="1"/>
  <c r="P2751" i="5"/>
  <c r="N2751" i="5"/>
  <c r="D2751" i="5"/>
  <c r="P2750" i="5"/>
  <c r="N2750" i="5"/>
  <c r="D2750" i="5"/>
  <c r="O2750" i="5" s="1"/>
  <c r="Q2750" i="5" s="1"/>
  <c r="P2749" i="5"/>
  <c r="N2749" i="5"/>
  <c r="D2749" i="5"/>
  <c r="O2749" i="5" s="1"/>
  <c r="Q2749" i="5" s="1"/>
  <c r="P2748" i="5"/>
  <c r="N2748" i="5"/>
  <c r="D2748" i="5"/>
  <c r="O2748" i="5" s="1"/>
  <c r="Q2748" i="5" s="1"/>
  <c r="P2747" i="5"/>
  <c r="N2747" i="5"/>
  <c r="D2747" i="5"/>
  <c r="O2747" i="5" s="1"/>
  <c r="Q2747" i="5" s="1"/>
  <c r="P2746" i="5"/>
  <c r="N2746" i="5"/>
  <c r="D2746" i="5"/>
  <c r="O2746" i="5" s="1"/>
  <c r="Q2746" i="5" s="1"/>
  <c r="P2745" i="5"/>
  <c r="N2745" i="5"/>
  <c r="D2745" i="5"/>
  <c r="O2745" i="5" s="1"/>
  <c r="Q2745" i="5" s="1"/>
  <c r="P2744" i="5"/>
  <c r="N2744" i="5"/>
  <c r="D2744" i="5"/>
  <c r="O2744" i="5" s="1"/>
  <c r="Q2744" i="5" s="1"/>
  <c r="P2743" i="5"/>
  <c r="N2743" i="5"/>
  <c r="D2743" i="5"/>
  <c r="P2742" i="5"/>
  <c r="N2742" i="5"/>
  <c r="D2742" i="5"/>
  <c r="O2742" i="5" s="1"/>
  <c r="Q2742" i="5" s="1"/>
  <c r="P2741" i="5"/>
  <c r="N2741" i="5"/>
  <c r="D2741" i="5"/>
  <c r="O2741" i="5" s="1"/>
  <c r="Q2741" i="5" s="1"/>
  <c r="P2740" i="5"/>
  <c r="N2740" i="5"/>
  <c r="D2740" i="5"/>
  <c r="O2740" i="5" s="1"/>
  <c r="Q2740" i="5" s="1"/>
  <c r="P2739" i="5"/>
  <c r="N2739" i="5"/>
  <c r="D2739" i="5"/>
  <c r="O2739" i="5" s="1"/>
  <c r="Q2739" i="5" s="1"/>
  <c r="P2738" i="5"/>
  <c r="N2738" i="5"/>
  <c r="D2738" i="5"/>
  <c r="O2738" i="5" s="1"/>
  <c r="Q2738" i="5" s="1"/>
  <c r="P2737" i="5"/>
  <c r="N2737" i="5"/>
  <c r="D2737" i="5"/>
  <c r="O2737" i="5" s="1"/>
  <c r="Q2737" i="5" s="1"/>
  <c r="P2736" i="5"/>
  <c r="N2736" i="5"/>
  <c r="D2736" i="5"/>
  <c r="O2736" i="5" s="1"/>
  <c r="Q2736" i="5" s="1"/>
  <c r="P2735" i="5"/>
  <c r="N2735" i="5"/>
  <c r="D2735" i="5"/>
  <c r="O2735" i="5" s="1"/>
  <c r="Q2735" i="5" s="1"/>
  <c r="P2734" i="5"/>
  <c r="N2734" i="5"/>
  <c r="D2734" i="5"/>
  <c r="O2734" i="5" s="1"/>
  <c r="Q2734" i="5" s="1"/>
  <c r="P2733" i="5"/>
  <c r="N2733" i="5"/>
  <c r="D2733" i="5"/>
  <c r="O2733" i="5" s="1"/>
  <c r="Q2733" i="5" s="1"/>
  <c r="P2732" i="5"/>
  <c r="N2732" i="5"/>
  <c r="D2732" i="5"/>
  <c r="O2732" i="5" s="1"/>
  <c r="Q2732" i="5" s="1"/>
  <c r="P2731" i="5"/>
  <c r="N2731" i="5"/>
  <c r="D2731" i="5"/>
  <c r="O2731" i="5" s="1"/>
  <c r="Q2731" i="5" s="1"/>
  <c r="P2730" i="5"/>
  <c r="N2730" i="5"/>
  <c r="D2730" i="5"/>
  <c r="O2730" i="5" s="1"/>
  <c r="Q2730" i="5" s="1"/>
  <c r="P2729" i="5"/>
  <c r="N2729" i="5"/>
  <c r="D2729" i="5"/>
  <c r="O2729" i="5" s="1"/>
  <c r="Q2729" i="5" s="1"/>
  <c r="P2728" i="5"/>
  <c r="N2728" i="5"/>
  <c r="D2728" i="5"/>
  <c r="O2728" i="5" s="1"/>
  <c r="Q2728" i="5" s="1"/>
  <c r="P2727" i="5"/>
  <c r="N2727" i="5"/>
  <c r="D2727" i="5"/>
  <c r="O2727" i="5" s="1"/>
  <c r="Q2727" i="5" s="1"/>
  <c r="P2726" i="5"/>
  <c r="N2726" i="5"/>
  <c r="D2726" i="5"/>
  <c r="O2726" i="5" s="1"/>
  <c r="Q2726" i="5" s="1"/>
  <c r="P2725" i="5"/>
  <c r="N2725" i="5"/>
  <c r="D2725" i="5"/>
  <c r="O2725" i="5" s="1"/>
  <c r="Q2725" i="5" s="1"/>
  <c r="P2724" i="5"/>
  <c r="N2724" i="5"/>
  <c r="D2724" i="5"/>
  <c r="P2723" i="5"/>
  <c r="N2723" i="5"/>
  <c r="D2723" i="5"/>
  <c r="O2723" i="5" s="1"/>
  <c r="Q2723" i="5" s="1"/>
  <c r="P2722" i="5"/>
  <c r="N2722" i="5"/>
  <c r="D2722" i="5"/>
  <c r="O2722" i="5" s="1"/>
  <c r="Q2722" i="5" s="1"/>
  <c r="P2721" i="5"/>
  <c r="N2721" i="5"/>
  <c r="D2721" i="5"/>
  <c r="O2721" i="5" s="1"/>
  <c r="Q2721" i="5" s="1"/>
  <c r="P2720" i="5"/>
  <c r="N2720" i="5"/>
  <c r="D2720" i="5"/>
  <c r="O2720" i="5" s="1"/>
  <c r="Q2720" i="5" s="1"/>
  <c r="P2719" i="5"/>
  <c r="N2719" i="5"/>
  <c r="D2719" i="5"/>
  <c r="O2719" i="5" s="1"/>
  <c r="Q2719" i="5" s="1"/>
  <c r="P2718" i="5"/>
  <c r="N2718" i="5"/>
  <c r="D2718" i="5"/>
  <c r="O2718" i="5" s="1"/>
  <c r="Q2718" i="5" s="1"/>
  <c r="P2717" i="5"/>
  <c r="N2717" i="5"/>
  <c r="D2717" i="5"/>
  <c r="O2717" i="5" s="1"/>
  <c r="Q2717" i="5" s="1"/>
  <c r="P2716" i="5"/>
  <c r="N2716" i="5"/>
  <c r="D2716" i="5"/>
  <c r="O2716" i="5" s="1"/>
  <c r="Q2716" i="5" s="1"/>
  <c r="P2715" i="5"/>
  <c r="N2715" i="5"/>
  <c r="D2715" i="5"/>
  <c r="O2715" i="5" s="1"/>
  <c r="Q2715" i="5" s="1"/>
  <c r="P2714" i="5"/>
  <c r="N2714" i="5"/>
  <c r="D2714" i="5"/>
  <c r="O2714" i="5" s="1"/>
  <c r="Q2714" i="5" s="1"/>
  <c r="P2713" i="5"/>
  <c r="N2713" i="5"/>
  <c r="D2713" i="5"/>
  <c r="O2713" i="5" s="1"/>
  <c r="Q2713" i="5" s="1"/>
  <c r="P2712" i="5"/>
  <c r="N2712" i="5"/>
  <c r="D2712" i="5"/>
  <c r="O2712" i="5" s="1"/>
  <c r="Q2712" i="5" s="1"/>
  <c r="P2711" i="5"/>
  <c r="N2711" i="5"/>
  <c r="D2711" i="5"/>
  <c r="O2711" i="5" s="1"/>
  <c r="Q2711" i="5" s="1"/>
  <c r="P2710" i="5"/>
  <c r="N2710" i="5"/>
  <c r="D2710" i="5"/>
  <c r="O2710" i="5" s="1"/>
  <c r="Q2710" i="5" s="1"/>
  <c r="P2709" i="5"/>
  <c r="N2709" i="5"/>
  <c r="D2709" i="5"/>
  <c r="O2709" i="5" s="1"/>
  <c r="Q2709" i="5" s="1"/>
  <c r="P2708" i="5"/>
  <c r="N2708" i="5"/>
  <c r="D2708" i="5"/>
  <c r="O2708" i="5" s="1"/>
  <c r="Q2708" i="5" s="1"/>
  <c r="P2707" i="5"/>
  <c r="N2707" i="5"/>
  <c r="D2707" i="5"/>
  <c r="O2707" i="5" s="1"/>
  <c r="Q2707" i="5" s="1"/>
  <c r="P2706" i="5"/>
  <c r="N2706" i="5"/>
  <c r="D2706" i="5"/>
  <c r="O2706" i="5" s="1"/>
  <c r="Q2706" i="5" s="1"/>
  <c r="P2705" i="5"/>
  <c r="N2705" i="5"/>
  <c r="D2705" i="5"/>
  <c r="O2705" i="5" s="1"/>
  <c r="Q2705" i="5" s="1"/>
  <c r="P2704" i="5"/>
  <c r="N2704" i="5"/>
  <c r="D2704" i="5"/>
  <c r="O2704" i="5" s="1"/>
  <c r="Q2704" i="5" s="1"/>
  <c r="P2703" i="5"/>
  <c r="N2703" i="5"/>
  <c r="D2703" i="5"/>
  <c r="P2702" i="5"/>
  <c r="N2702" i="5"/>
  <c r="D2702" i="5"/>
  <c r="O2702" i="5" s="1"/>
  <c r="Q2702" i="5" s="1"/>
  <c r="P2701" i="5"/>
  <c r="N2701" i="5"/>
  <c r="D2701" i="5"/>
  <c r="O2701" i="5" s="1"/>
  <c r="Q2701" i="5" s="1"/>
  <c r="P2700" i="5"/>
  <c r="N2700" i="5"/>
  <c r="D2700" i="5"/>
  <c r="O2700" i="5" s="1"/>
  <c r="Q2700" i="5" s="1"/>
  <c r="P2699" i="5"/>
  <c r="N2699" i="5"/>
  <c r="D2699" i="5"/>
  <c r="O2699" i="5" s="1"/>
  <c r="Q2699" i="5" s="1"/>
  <c r="P2698" i="5"/>
  <c r="N2698" i="5"/>
  <c r="D2698" i="5"/>
  <c r="P2697" i="5"/>
  <c r="N2697" i="5"/>
  <c r="D2697" i="5"/>
  <c r="P2696" i="5"/>
  <c r="N2696" i="5"/>
  <c r="D2696" i="5"/>
  <c r="O2696" i="5" s="1"/>
  <c r="Q2696" i="5" s="1"/>
  <c r="P2695" i="5"/>
  <c r="N2695" i="5"/>
  <c r="D2695" i="5"/>
  <c r="O2695" i="5" s="1"/>
  <c r="Q2695" i="5" s="1"/>
  <c r="P2694" i="5"/>
  <c r="N2694" i="5"/>
  <c r="D2694" i="5"/>
  <c r="O2694" i="5" s="1"/>
  <c r="Q2694" i="5" s="1"/>
  <c r="P2693" i="5"/>
  <c r="N2693" i="5"/>
  <c r="D2693" i="5"/>
  <c r="O2693" i="5" s="1"/>
  <c r="Q2693" i="5" s="1"/>
  <c r="P2692" i="5"/>
  <c r="N2692" i="5"/>
  <c r="D2692" i="5"/>
  <c r="O2692" i="5" s="1"/>
  <c r="Q2692" i="5" s="1"/>
  <c r="P2691" i="5"/>
  <c r="N2691" i="5"/>
  <c r="D2691" i="5"/>
  <c r="O2691" i="5" s="1"/>
  <c r="Q2691" i="5" s="1"/>
  <c r="P2690" i="5"/>
  <c r="N2690" i="5"/>
  <c r="D2690" i="5"/>
  <c r="O2690" i="5" s="1"/>
  <c r="Q2690" i="5" s="1"/>
  <c r="P2689" i="5"/>
  <c r="N2689" i="5"/>
  <c r="D2689" i="5"/>
  <c r="O2689" i="5" s="1"/>
  <c r="Q2689" i="5" s="1"/>
  <c r="P2688" i="5"/>
  <c r="N2688" i="5"/>
  <c r="D2688" i="5"/>
  <c r="O2688" i="5" s="1"/>
  <c r="Q2688" i="5" s="1"/>
  <c r="P2687" i="5"/>
  <c r="N2687" i="5"/>
  <c r="D2687" i="5"/>
  <c r="O2687" i="5" s="1"/>
  <c r="Q2687" i="5" s="1"/>
  <c r="P2686" i="5"/>
  <c r="N2686" i="5"/>
  <c r="D2686" i="5"/>
  <c r="O2686" i="5" s="1"/>
  <c r="Q2686" i="5" s="1"/>
  <c r="P2685" i="5"/>
  <c r="N2685" i="5"/>
  <c r="D2685" i="5"/>
  <c r="O2685" i="5" s="1"/>
  <c r="Q2685" i="5" s="1"/>
  <c r="P2684" i="5"/>
  <c r="N2684" i="5"/>
  <c r="D2684" i="5"/>
  <c r="O2684" i="5" s="1"/>
  <c r="Q2684" i="5" s="1"/>
  <c r="Q2683" i="5"/>
  <c r="P2683" i="5"/>
  <c r="N2683" i="5"/>
  <c r="D2683" i="5"/>
  <c r="Q2682" i="5"/>
  <c r="P2682" i="5"/>
  <c r="N2682" i="5"/>
  <c r="D2682" i="5"/>
  <c r="Q2681" i="5"/>
  <c r="P2681" i="5"/>
  <c r="N2681" i="5"/>
  <c r="D2681" i="5"/>
  <c r="Q2680" i="5"/>
  <c r="P2680" i="5"/>
  <c r="N2680" i="5"/>
  <c r="D2680" i="5"/>
  <c r="Q2679" i="5"/>
  <c r="P2679" i="5"/>
  <c r="N2679" i="5"/>
  <c r="D2679" i="5"/>
  <c r="Q2678" i="5"/>
  <c r="P2678" i="5"/>
  <c r="N2678" i="5"/>
  <c r="D2678" i="5"/>
  <c r="Q2677" i="5"/>
  <c r="P2677" i="5"/>
  <c r="N2677" i="5"/>
  <c r="D2677" i="5"/>
  <c r="Q2676" i="5"/>
  <c r="P2676" i="5"/>
  <c r="N2676" i="5"/>
  <c r="D2676" i="5"/>
  <c r="Q2675" i="5"/>
  <c r="P2675" i="5"/>
  <c r="N2675" i="5"/>
  <c r="D2675" i="5"/>
  <c r="P2674" i="5"/>
  <c r="N2674" i="5"/>
  <c r="D2674" i="5"/>
  <c r="O2674" i="5" s="1"/>
  <c r="Q2674" i="5" s="1"/>
  <c r="P2673" i="5"/>
  <c r="N2673" i="5"/>
  <c r="D2673" i="5"/>
  <c r="O2673" i="5" s="1"/>
  <c r="Q2673" i="5" s="1"/>
  <c r="P2672" i="5"/>
  <c r="N2672" i="5"/>
  <c r="D2672" i="5"/>
  <c r="O2672" i="5" s="1"/>
  <c r="Q2672" i="5" s="1"/>
  <c r="P2671" i="5"/>
  <c r="N2671" i="5"/>
  <c r="D2671" i="5"/>
  <c r="O2671" i="5" s="1"/>
  <c r="Q2671" i="5" s="1"/>
  <c r="P2670" i="5"/>
  <c r="N2670" i="5"/>
  <c r="D2670" i="5"/>
  <c r="O2670" i="5" s="1"/>
  <c r="Q2670" i="5" s="1"/>
  <c r="P2669" i="5"/>
  <c r="N2669" i="5"/>
  <c r="D2669" i="5"/>
  <c r="O2669" i="5" s="1"/>
  <c r="Q2669" i="5" s="1"/>
  <c r="P2668" i="5"/>
  <c r="N2668" i="5"/>
  <c r="D2668" i="5"/>
  <c r="O2668" i="5" s="1"/>
  <c r="Q2668" i="5" s="1"/>
  <c r="P2667" i="5"/>
  <c r="N2667" i="5"/>
  <c r="D2667" i="5"/>
  <c r="O2667" i="5" s="1"/>
  <c r="Q2667" i="5" s="1"/>
  <c r="P2666" i="5"/>
  <c r="N2666" i="5"/>
  <c r="D2666" i="5"/>
  <c r="O2666" i="5" s="1"/>
  <c r="Q2666" i="5" s="1"/>
  <c r="P2665" i="5"/>
  <c r="N2665" i="5"/>
  <c r="D2665" i="5"/>
  <c r="O2665" i="5" s="1"/>
  <c r="Q2665" i="5" s="1"/>
  <c r="P2664" i="5"/>
  <c r="N2664" i="5"/>
  <c r="D2664" i="5"/>
  <c r="O2664" i="5" s="1"/>
  <c r="Q2664" i="5" s="1"/>
  <c r="P2663" i="5"/>
  <c r="N2663" i="5"/>
  <c r="D2663" i="5"/>
  <c r="O2663" i="5" s="1"/>
  <c r="Q2663" i="5" s="1"/>
  <c r="P2662" i="5"/>
  <c r="N2662" i="5"/>
  <c r="D2662" i="5"/>
  <c r="O2662" i="5" s="1"/>
  <c r="Q2662" i="5" s="1"/>
  <c r="P2661" i="5"/>
  <c r="N2661" i="5"/>
  <c r="D2661" i="5"/>
  <c r="O2661" i="5" s="1"/>
  <c r="Q2661" i="5" s="1"/>
  <c r="P2660" i="5"/>
  <c r="N2660" i="5"/>
  <c r="D2660" i="5"/>
  <c r="O2660" i="5" s="1"/>
  <c r="Q2660" i="5" s="1"/>
  <c r="P2659" i="5"/>
  <c r="N2659" i="5"/>
  <c r="D2659" i="5"/>
  <c r="O2659" i="5" s="1"/>
  <c r="Q2659" i="5" s="1"/>
  <c r="P2658" i="5"/>
  <c r="N2658" i="5"/>
  <c r="D2658" i="5"/>
  <c r="O2658" i="5" s="1"/>
  <c r="Q2658" i="5" s="1"/>
  <c r="P2657" i="5"/>
  <c r="N2657" i="5"/>
  <c r="D2657" i="5"/>
  <c r="O2657" i="5" s="1"/>
  <c r="Q2657" i="5" s="1"/>
  <c r="P2656" i="5"/>
  <c r="N2656" i="5"/>
  <c r="D2656" i="5"/>
  <c r="O2656" i="5" s="1"/>
  <c r="Q2656" i="5" s="1"/>
  <c r="P2655" i="5"/>
  <c r="N2655" i="5"/>
  <c r="D2655" i="5"/>
  <c r="O2655" i="5" s="1"/>
  <c r="Q2655" i="5" s="1"/>
  <c r="P2654" i="5"/>
  <c r="N2654" i="5"/>
  <c r="D2654" i="5"/>
  <c r="O2654" i="5" s="1"/>
  <c r="Q2654" i="5" s="1"/>
  <c r="P2653" i="5"/>
  <c r="N2653" i="5"/>
  <c r="D2653" i="5"/>
  <c r="O2653" i="5" s="1"/>
  <c r="Q2653" i="5" s="1"/>
  <c r="P2652" i="5"/>
  <c r="N2652" i="5"/>
  <c r="D2652" i="5"/>
  <c r="O2652" i="5" s="1"/>
  <c r="Q2652" i="5" s="1"/>
  <c r="P2651" i="5"/>
  <c r="N2651" i="5"/>
  <c r="D2651" i="5"/>
  <c r="O2651" i="5" s="1"/>
  <c r="Q2651" i="5" s="1"/>
  <c r="P2650" i="5"/>
  <c r="N2650" i="5"/>
  <c r="D2650" i="5"/>
  <c r="O2650" i="5" s="1"/>
  <c r="Q2650" i="5" s="1"/>
  <c r="P2649" i="5"/>
  <c r="N2649" i="5"/>
  <c r="D2649" i="5"/>
  <c r="O2649" i="5" s="1"/>
  <c r="Q2649" i="5" s="1"/>
  <c r="P2648" i="5"/>
  <c r="N2648" i="5"/>
  <c r="D2648" i="5"/>
  <c r="P2647" i="5"/>
  <c r="N2647" i="5"/>
  <c r="D2647" i="5"/>
  <c r="O2647" i="5" s="1"/>
  <c r="Q2647" i="5" s="1"/>
  <c r="P2646" i="5"/>
  <c r="N2646" i="5"/>
  <c r="D2646" i="5"/>
  <c r="O2646" i="5" s="1"/>
  <c r="Q2646" i="5" s="1"/>
  <c r="P2645" i="5"/>
  <c r="N2645" i="5"/>
  <c r="D2645" i="5"/>
  <c r="O2645" i="5" s="1"/>
  <c r="Q2645" i="5" s="1"/>
  <c r="P2644" i="5"/>
  <c r="N2644" i="5"/>
  <c r="D2644" i="5"/>
  <c r="O2644" i="5" s="1"/>
  <c r="Q2644" i="5" s="1"/>
  <c r="P2643" i="5"/>
  <c r="N2643" i="5"/>
  <c r="D2643" i="5"/>
  <c r="O2643" i="5" s="1"/>
  <c r="Q2643" i="5" s="1"/>
  <c r="P2642" i="5"/>
  <c r="N2642" i="5"/>
  <c r="D2642" i="5"/>
  <c r="O2642" i="5" s="1"/>
  <c r="Q2642" i="5" s="1"/>
  <c r="P2641" i="5"/>
  <c r="N2641" i="5"/>
  <c r="D2641" i="5"/>
  <c r="O2641" i="5" s="1"/>
  <c r="Q2641" i="5" s="1"/>
  <c r="P2640" i="5"/>
  <c r="N2640" i="5"/>
  <c r="D2640" i="5"/>
  <c r="O2640" i="5" s="1"/>
  <c r="Q2640" i="5" s="1"/>
  <c r="P2639" i="5"/>
  <c r="N2639" i="5"/>
  <c r="D2639" i="5"/>
  <c r="O2639" i="5" s="1"/>
  <c r="Q2639" i="5" s="1"/>
  <c r="P2638" i="5"/>
  <c r="N2638" i="5"/>
  <c r="D2638" i="5"/>
  <c r="O2638" i="5" s="1"/>
  <c r="Q2638" i="5" s="1"/>
  <c r="P2637" i="5"/>
  <c r="N2637" i="5"/>
  <c r="D2637" i="5"/>
  <c r="O2637" i="5" s="1"/>
  <c r="Q2637" i="5" s="1"/>
  <c r="P2636" i="5"/>
  <c r="N2636" i="5"/>
  <c r="D2636" i="5"/>
  <c r="O2636" i="5" s="1"/>
  <c r="Q2636" i="5" s="1"/>
  <c r="P2635" i="5"/>
  <c r="N2635" i="5"/>
  <c r="D2635" i="5"/>
  <c r="O2635" i="5" s="1"/>
  <c r="Q2635" i="5" s="1"/>
  <c r="P2634" i="5"/>
  <c r="N2634" i="5"/>
  <c r="D2634" i="5"/>
  <c r="O2634" i="5" s="1"/>
  <c r="Q2634" i="5" s="1"/>
  <c r="P2633" i="5"/>
  <c r="N2633" i="5"/>
  <c r="D2633" i="5"/>
  <c r="O2633" i="5" s="1"/>
  <c r="Q2633" i="5" s="1"/>
  <c r="P2632" i="5"/>
  <c r="N2632" i="5"/>
  <c r="D2632" i="5"/>
  <c r="O2632" i="5" s="1"/>
  <c r="Q2632" i="5" s="1"/>
  <c r="P2631" i="5"/>
  <c r="N2631" i="5"/>
  <c r="D2631" i="5"/>
  <c r="O2631" i="5" s="1"/>
  <c r="Q2631" i="5" s="1"/>
  <c r="P2630" i="5"/>
  <c r="N2630" i="5"/>
  <c r="D2630" i="5"/>
  <c r="O2630" i="5" s="1"/>
  <c r="Q2630" i="5" s="1"/>
  <c r="P2629" i="5"/>
  <c r="N2629" i="5"/>
  <c r="D2629" i="5"/>
  <c r="O2629" i="5" s="1"/>
  <c r="Q2629" i="5" s="1"/>
  <c r="P2628" i="5"/>
  <c r="N2628" i="5"/>
  <c r="D2628" i="5"/>
  <c r="O2628" i="5" s="1"/>
  <c r="Q2628" i="5" s="1"/>
  <c r="P2627" i="5"/>
  <c r="N2627" i="5"/>
  <c r="D2627" i="5"/>
  <c r="O2627" i="5" s="1"/>
  <c r="Q2627" i="5" s="1"/>
  <c r="P2626" i="5"/>
  <c r="N2626" i="5"/>
  <c r="D2626" i="5"/>
  <c r="O2626" i="5" s="1"/>
  <c r="Q2626" i="5" s="1"/>
  <c r="P2625" i="5"/>
  <c r="N2625" i="5"/>
  <c r="D2625" i="5"/>
  <c r="O2625" i="5" s="1"/>
  <c r="Q2625" i="5" s="1"/>
  <c r="P2624" i="5"/>
  <c r="N2624" i="5"/>
  <c r="D2624" i="5"/>
  <c r="O2624" i="5" s="1"/>
  <c r="Q2624" i="5" s="1"/>
  <c r="P2623" i="5"/>
  <c r="N2623" i="5"/>
  <c r="D2623" i="5"/>
  <c r="O2623" i="5" s="1"/>
  <c r="Q2623" i="5" s="1"/>
  <c r="P2622" i="5"/>
  <c r="N2622" i="5"/>
  <c r="D2622" i="5"/>
  <c r="O2622" i="5" s="1"/>
  <c r="Q2622" i="5" s="1"/>
  <c r="P2621" i="5"/>
  <c r="N2621" i="5"/>
  <c r="D2621" i="5"/>
  <c r="O2621" i="5" s="1"/>
  <c r="Q2621" i="5" s="1"/>
  <c r="P2620" i="5"/>
  <c r="N2620" i="5"/>
  <c r="D2620" i="5"/>
  <c r="O2620" i="5" s="1"/>
  <c r="Q2620" i="5" s="1"/>
  <c r="P2619" i="5"/>
  <c r="N2619" i="5"/>
  <c r="D2619" i="5"/>
  <c r="O2619" i="5" s="1"/>
  <c r="Q2619" i="5" s="1"/>
  <c r="P2618" i="5"/>
  <c r="N2618" i="5"/>
  <c r="D2618" i="5"/>
  <c r="O2618" i="5" s="1"/>
  <c r="Q2618" i="5" s="1"/>
  <c r="P2617" i="5"/>
  <c r="N2617" i="5"/>
  <c r="D2617" i="5"/>
  <c r="O2617" i="5" s="1"/>
  <c r="Q2617" i="5" s="1"/>
  <c r="P2616" i="5"/>
  <c r="N2616" i="5"/>
  <c r="D2616" i="5"/>
  <c r="O2616" i="5" s="1"/>
  <c r="Q2616" i="5" s="1"/>
  <c r="P2615" i="5"/>
  <c r="N2615" i="5"/>
  <c r="D2615" i="5"/>
  <c r="O2615" i="5" s="1"/>
  <c r="Q2615" i="5" s="1"/>
  <c r="P2614" i="5"/>
  <c r="N2614" i="5"/>
  <c r="D2614" i="5"/>
  <c r="O2614" i="5" s="1"/>
  <c r="Q2614" i="5" s="1"/>
  <c r="P2613" i="5"/>
  <c r="N2613" i="5"/>
  <c r="D2613" i="5"/>
  <c r="O2613" i="5" s="1"/>
  <c r="Q2613" i="5" s="1"/>
  <c r="P2612" i="5"/>
  <c r="N2612" i="5"/>
  <c r="D2612" i="5"/>
  <c r="O2612" i="5" s="1"/>
  <c r="Q2612" i="5" s="1"/>
  <c r="P2611" i="5"/>
  <c r="N2611" i="5"/>
  <c r="D2611" i="5"/>
  <c r="O2611" i="5" s="1"/>
  <c r="Q2611" i="5" s="1"/>
  <c r="P2610" i="5"/>
  <c r="N2610" i="5"/>
  <c r="D2610" i="5"/>
  <c r="O2610" i="5" s="1"/>
  <c r="Q2610" i="5" s="1"/>
  <c r="P2609" i="5"/>
  <c r="N2609" i="5"/>
  <c r="D2609" i="5"/>
  <c r="O2609" i="5" s="1"/>
  <c r="Q2609" i="5" s="1"/>
  <c r="P2608" i="5"/>
  <c r="N2608" i="5"/>
  <c r="D2608" i="5"/>
  <c r="O2608" i="5" s="1"/>
  <c r="Q2608" i="5" s="1"/>
  <c r="P2607" i="5"/>
  <c r="N2607" i="5"/>
  <c r="D2607" i="5"/>
  <c r="O2607" i="5" s="1"/>
  <c r="Q2607" i="5" s="1"/>
  <c r="P2606" i="5"/>
  <c r="N2606" i="5"/>
  <c r="D2606" i="5"/>
  <c r="O2606" i="5" s="1"/>
  <c r="Q2606" i="5" s="1"/>
  <c r="P2605" i="5"/>
  <c r="N2605" i="5"/>
  <c r="D2605" i="5"/>
  <c r="O2605" i="5" s="1"/>
  <c r="Q2605" i="5" s="1"/>
  <c r="P2604" i="5"/>
  <c r="N2604" i="5"/>
  <c r="D2604" i="5"/>
  <c r="O2604" i="5" s="1"/>
  <c r="Q2604" i="5" s="1"/>
  <c r="P2603" i="5"/>
  <c r="N2603" i="5"/>
  <c r="D2603" i="5"/>
  <c r="O2603" i="5" s="1"/>
  <c r="Q2603" i="5" s="1"/>
  <c r="P2602" i="5"/>
  <c r="N2602" i="5"/>
  <c r="D2602" i="5"/>
  <c r="O2602" i="5" s="1"/>
  <c r="Q2602" i="5" s="1"/>
  <c r="P2601" i="5"/>
  <c r="N2601" i="5"/>
  <c r="D2601" i="5"/>
  <c r="P2600" i="5"/>
  <c r="N2600" i="5"/>
  <c r="D2600" i="5"/>
  <c r="O2600" i="5" s="1"/>
  <c r="Q2600" i="5" s="1"/>
  <c r="P2599" i="5"/>
  <c r="N2599" i="5"/>
  <c r="D2599" i="5"/>
  <c r="O2599" i="5" s="1"/>
  <c r="Q2599" i="5" s="1"/>
  <c r="P2598" i="5"/>
  <c r="N2598" i="5"/>
  <c r="D2598" i="5"/>
  <c r="O2598" i="5" s="1"/>
  <c r="Q2598" i="5" s="1"/>
  <c r="P2597" i="5"/>
  <c r="N2597" i="5"/>
  <c r="D2597" i="5"/>
  <c r="O2597" i="5" s="1"/>
  <c r="Q2597" i="5" s="1"/>
  <c r="P2596" i="5"/>
  <c r="N2596" i="5"/>
  <c r="D2596" i="5"/>
  <c r="O2596" i="5" s="1"/>
  <c r="Q2596" i="5" s="1"/>
  <c r="P2595" i="5"/>
  <c r="N2595" i="5"/>
  <c r="D2595" i="5"/>
  <c r="O2595" i="5" s="1"/>
  <c r="Q2595" i="5" s="1"/>
  <c r="P2594" i="5"/>
  <c r="N2594" i="5"/>
  <c r="D2594" i="5"/>
  <c r="O2594" i="5" s="1"/>
  <c r="Q2594" i="5" s="1"/>
  <c r="P2593" i="5"/>
  <c r="N2593" i="5"/>
  <c r="D2593" i="5"/>
  <c r="O2593" i="5" s="1"/>
  <c r="Q2593" i="5" s="1"/>
  <c r="P2592" i="5"/>
  <c r="N2592" i="5"/>
  <c r="D2592" i="5"/>
  <c r="O2592" i="5" s="1"/>
  <c r="Q2592" i="5" s="1"/>
  <c r="P2591" i="5"/>
  <c r="N2591" i="5"/>
  <c r="D2591" i="5"/>
  <c r="O2591" i="5" s="1"/>
  <c r="Q2591" i="5" s="1"/>
  <c r="P2590" i="5"/>
  <c r="N2590" i="5"/>
  <c r="D2590" i="5"/>
  <c r="O2590" i="5" s="1"/>
  <c r="Q2590" i="5" s="1"/>
  <c r="P2589" i="5"/>
  <c r="N2589" i="5"/>
  <c r="D2589" i="5"/>
  <c r="O2589" i="5" s="1"/>
  <c r="Q2589" i="5" s="1"/>
  <c r="P2588" i="5"/>
  <c r="N2588" i="5"/>
  <c r="D2588" i="5"/>
  <c r="O2588" i="5" s="1"/>
  <c r="Q2588" i="5" s="1"/>
  <c r="P2587" i="5"/>
  <c r="N2587" i="5"/>
  <c r="D2587" i="5"/>
  <c r="P2586" i="5"/>
  <c r="N2586" i="5"/>
  <c r="D2586" i="5"/>
  <c r="O2586" i="5" s="1"/>
  <c r="Q2586" i="5" s="1"/>
  <c r="P2585" i="5"/>
  <c r="N2585" i="5"/>
  <c r="D2585" i="5"/>
  <c r="O2585" i="5" s="1"/>
  <c r="Q2585" i="5" s="1"/>
  <c r="P2584" i="5"/>
  <c r="N2584" i="5"/>
  <c r="D2584" i="5"/>
  <c r="O2584" i="5" s="1"/>
  <c r="Q2584" i="5" s="1"/>
  <c r="P2583" i="5"/>
  <c r="N2583" i="5"/>
  <c r="D2583" i="5"/>
  <c r="O2583" i="5" s="1"/>
  <c r="Q2583" i="5" s="1"/>
  <c r="P2582" i="5"/>
  <c r="N2582" i="5"/>
  <c r="D2582" i="5"/>
  <c r="O2582" i="5" s="1"/>
  <c r="Q2582" i="5" s="1"/>
  <c r="P2581" i="5"/>
  <c r="N2581" i="5"/>
  <c r="D2581" i="5"/>
  <c r="O2581" i="5" s="1"/>
  <c r="Q2581" i="5" s="1"/>
  <c r="P2580" i="5"/>
  <c r="N2580" i="5"/>
  <c r="D2580" i="5"/>
  <c r="O2580" i="5" s="1"/>
  <c r="Q2580" i="5" s="1"/>
  <c r="P2579" i="5"/>
  <c r="N2579" i="5"/>
  <c r="D2579" i="5"/>
  <c r="O2579" i="5" s="1"/>
  <c r="Q2579" i="5" s="1"/>
  <c r="P2578" i="5"/>
  <c r="N2578" i="5"/>
  <c r="D2578" i="5"/>
  <c r="O2578" i="5" s="1"/>
  <c r="Q2578" i="5" s="1"/>
  <c r="P2577" i="5"/>
  <c r="N2577" i="5"/>
  <c r="D2577" i="5"/>
  <c r="O2577" i="5" s="1"/>
  <c r="Q2577" i="5" s="1"/>
  <c r="P2576" i="5"/>
  <c r="N2576" i="5"/>
  <c r="D2576" i="5"/>
  <c r="O2576" i="5" s="1"/>
  <c r="Q2576" i="5" s="1"/>
  <c r="P2575" i="5"/>
  <c r="N2575" i="5"/>
  <c r="D2575" i="5"/>
  <c r="O2575" i="5" s="1"/>
  <c r="Q2575" i="5" s="1"/>
  <c r="P2574" i="5"/>
  <c r="N2574" i="5"/>
  <c r="D2574" i="5"/>
  <c r="P2573" i="5"/>
  <c r="N2573" i="5"/>
  <c r="D2573" i="5"/>
  <c r="O2573" i="5" s="1"/>
  <c r="Q2573" i="5" s="1"/>
  <c r="P2572" i="5"/>
  <c r="N2572" i="5"/>
  <c r="D2572" i="5"/>
  <c r="O2572" i="5" s="1"/>
  <c r="Q2572" i="5" s="1"/>
  <c r="P2571" i="5"/>
  <c r="N2571" i="5"/>
  <c r="D2571" i="5"/>
  <c r="O2571" i="5" s="1"/>
  <c r="Q2571" i="5" s="1"/>
  <c r="P2570" i="5"/>
  <c r="N2570" i="5"/>
  <c r="D2570" i="5"/>
  <c r="O2570" i="5" s="1"/>
  <c r="Q2570" i="5" s="1"/>
  <c r="P2569" i="5"/>
  <c r="N2569" i="5"/>
  <c r="D2569" i="5"/>
  <c r="O2569" i="5" s="1"/>
  <c r="Q2569" i="5" s="1"/>
  <c r="P2568" i="5"/>
  <c r="N2568" i="5"/>
  <c r="D2568" i="5"/>
  <c r="O2568" i="5" s="1"/>
  <c r="Q2568" i="5" s="1"/>
  <c r="P2567" i="5"/>
  <c r="N2567" i="5"/>
  <c r="D2567" i="5"/>
  <c r="O2567" i="5" s="1"/>
  <c r="Q2567" i="5" s="1"/>
  <c r="P2566" i="5"/>
  <c r="N2566" i="5"/>
  <c r="D2566" i="5"/>
  <c r="O2566" i="5" s="1"/>
  <c r="Q2566" i="5" s="1"/>
  <c r="P2565" i="5"/>
  <c r="N2565" i="5"/>
  <c r="D2565" i="5"/>
  <c r="O2565" i="5" s="1"/>
  <c r="Q2565" i="5" s="1"/>
  <c r="P2564" i="5"/>
  <c r="N2564" i="5"/>
  <c r="D2564" i="5"/>
  <c r="O2564" i="5" s="1"/>
  <c r="Q2564" i="5" s="1"/>
  <c r="P2563" i="5"/>
  <c r="N2563" i="5"/>
  <c r="D2563" i="5"/>
  <c r="O2563" i="5" s="1"/>
  <c r="Q2563" i="5" s="1"/>
  <c r="P2562" i="5"/>
  <c r="N2562" i="5"/>
  <c r="D2562" i="5"/>
  <c r="O2562" i="5" s="1"/>
  <c r="Q2562" i="5" s="1"/>
  <c r="P2561" i="5"/>
  <c r="N2561" i="5"/>
  <c r="D2561" i="5"/>
  <c r="O2561" i="5" s="1"/>
  <c r="Q2561" i="5" s="1"/>
  <c r="P2560" i="5"/>
  <c r="N2560" i="5"/>
  <c r="D2560" i="5"/>
  <c r="O2560" i="5" s="1"/>
  <c r="Q2560" i="5" s="1"/>
  <c r="P2559" i="5"/>
  <c r="N2559" i="5"/>
  <c r="D2559" i="5"/>
  <c r="O2559" i="5" s="1"/>
  <c r="Q2559" i="5" s="1"/>
  <c r="P2558" i="5"/>
  <c r="N2558" i="5"/>
  <c r="D2558" i="5"/>
  <c r="P2557" i="5"/>
  <c r="N2557" i="5"/>
  <c r="D2557" i="5"/>
  <c r="O2557" i="5" s="1"/>
  <c r="Q2557" i="5" s="1"/>
  <c r="P2556" i="5"/>
  <c r="N2556" i="5"/>
  <c r="D2556" i="5"/>
  <c r="O2556" i="5" s="1"/>
  <c r="Q2556" i="5" s="1"/>
  <c r="P2555" i="5"/>
  <c r="N2555" i="5"/>
  <c r="D2555" i="5"/>
  <c r="O2555" i="5" s="1"/>
  <c r="Q2555" i="5" s="1"/>
  <c r="P2554" i="5"/>
  <c r="N2554" i="5"/>
  <c r="D2554" i="5"/>
  <c r="O2554" i="5" s="1"/>
  <c r="Q2554" i="5" s="1"/>
  <c r="P2553" i="5"/>
  <c r="N2553" i="5"/>
  <c r="D2553" i="5"/>
  <c r="O2553" i="5" s="1"/>
  <c r="Q2553" i="5" s="1"/>
  <c r="P2552" i="5"/>
  <c r="N2552" i="5"/>
  <c r="D2552" i="5"/>
  <c r="O2552" i="5" s="1"/>
  <c r="Q2552" i="5" s="1"/>
  <c r="P2551" i="5"/>
  <c r="N2551" i="5"/>
  <c r="D2551" i="5"/>
  <c r="O2551" i="5" s="1"/>
  <c r="Q2551" i="5" s="1"/>
  <c r="P2550" i="5"/>
  <c r="N2550" i="5"/>
  <c r="D2550" i="5"/>
  <c r="O2550" i="5" s="1"/>
  <c r="Q2550" i="5" s="1"/>
  <c r="P2549" i="5"/>
  <c r="N2549" i="5"/>
  <c r="D2549" i="5"/>
  <c r="P2548" i="5"/>
  <c r="N2548" i="5"/>
  <c r="D2548" i="5"/>
  <c r="O2548" i="5" s="1"/>
  <c r="Q2548" i="5" s="1"/>
  <c r="P2547" i="5"/>
  <c r="N2547" i="5"/>
  <c r="D2547" i="5"/>
  <c r="O2547" i="5" s="1"/>
  <c r="Q2547" i="5" s="1"/>
  <c r="P2546" i="5"/>
  <c r="N2546" i="5"/>
  <c r="D2546" i="5"/>
  <c r="O2546" i="5" s="1"/>
  <c r="Q2546" i="5" s="1"/>
  <c r="P2545" i="5"/>
  <c r="N2545" i="5"/>
  <c r="D2545" i="5"/>
  <c r="O2545" i="5" s="1"/>
  <c r="Q2545" i="5" s="1"/>
  <c r="P2544" i="5"/>
  <c r="N2544" i="5"/>
  <c r="D2544" i="5"/>
  <c r="P2543" i="5"/>
  <c r="N2543" i="5"/>
  <c r="D2543" i="5"/>
  <c r="O2543" i="5" s="1"/>
  <c r="Q2543" i="5" s="1"/>
  <c r="P2542" i="5"/>
  <c r="N2542" i="5"/>
  <c r="D2542" i="5"/>
  <c r="O2542" i="5" s="1"/>
  <c r="Q2542" i="5" s="1"/>
  <c r="P2541" i="5"/>
  <c r="N2541" i="5"/>
  <c r="D2541" i="5"/>
  <c r="O2541" i="5" s="1"/>
  <c r="Q2541" i="5" s="1"/>
  <c r="P2540" i="5"/>
  <c r="N2540" i="5"/>
  <c r="D2540" i="5"/>
  <c r="O2540" i="5" s="1"/>
  <c r="Q2540" i="5" s="1"/>
  <c r="P2539" i="5"/>
  <c r="N2539" i="5"/>
  <c r="D2539" i="5"/>
  <c r="O2539" i="5" s="1"/>
  <c r="Q2539" i="5" s="1"/>
  <c r="P2538" i="5"/>
  <c r="N2538" i="5"/>
  <c r="D2538" i="5"/>
  <c r="O2538" i="5" s="1"/>
  <c r="Q2538" i="5" s="1"/>
  <c r="P2537" i="5"/>
  <c r="N2537" i="5"/>
  <c r="D2537" i="5"/>
  <c r="O2537" i="5" s="1"/>
  <c r="Q2537" i="5" s="1"/>
  <c r="P2536" i="5"/>
  <c r="N2536" i="5"/>
  <c r="D2536" i="5"/>
  <c r="O2536" i="5" s="1"/>
  <c r="Q2536" i="5" s="1"/>
  <c r="P2535" i="5"/>
  <c r="N2535" i="5"/>
  <c r="D2535" i="5"/>
  <c r="O2535" i="5" s="1"/>
  <c r="Q2535" i="5" s="1"/>
  <c r="P2534" i="5"/>
  <c r="N2534" i="5"/>
  <c r="D2534" i="5"/>
  <c r="O2534" i="5" s="1"/>
  <c r="Q2534" i="5" s="1"/>
  <c r="P2533" i="5"/>
  <c r="N2533" i="5"/>
  <c r="D2533" i="5"/>
  <c r="O2533" i="5" s="1"/>
  <c r="Q2533" i="5" s="1"/>
  <c r="P2532" i="5"/>
  <c r="N2532" i="5"/>
  <c r="D2532" i="5"/>
  <c r="O2532" i="5" s="1"/>
  <c r="Q2532" i="5" s="1"/>
  <c r="P2531" i="5"/>
  <c r="N2531" i="5"/>
  <c r="D2531" i="5"/>
  <c r="O2531" i="5" s="1"/>
  <c r="Q2531" i="5" s="1"/>
  <c r="P2530" i="5"/>
  <c r="N2530" i="5"/>
  <c r="D2530" i="5"/>
  <c r="O2530" i="5" s="1"/>
  <c r="Q2530" i="5" s="1"/>
  <c r="P2529" i="5"/>
  <c r="N2529" i="5"/>
  <c r="D2529" i="5"/>
  <c r="O2529" i="5" s="1"/>
  <c r="Q2529" i="5" s="1"/>
  <c r="P2528" i="5"/>
  <c r="N2528" i="5"/>
  <c r="D2528" i="5"/>
  <c r="O2528" i="5" s="1"/>
  <c r="Q2528" i="5" s="1"/>
  <c r="P2527" i="5"/>
  <c r="N2527" i="5"/>
  <c r="D2527" i="5"/>
  <c r="O2527" i="5" s="1"/>
  <c r="Q2527" i="5" s="1"/>
  <c r="P2526" i="5"/>
  <c r="N2526" i="5"/>
  <c r="D2526" i="5"/>
  <c r="P2525" i="5"/>
  <c r="N2525" i="5"/>
  <c r="D2525" i="5"/>
  <c r="O2525" i="5" s="1"/>
  <c r="Q2525" i="5" s="1"/>
  <c r="P2524" i="5"/>
  <c r="N2524" i="5"/>
  <c r="D2524" i="5"/>
  <c r="P2523" i="5"/>
  <c r="N2523" i="5"/>
  <c r="D2523" i="5"/>
  <c r="O2523" i="5" s="1"/>
  <c r="Q2523" i="5" s="1"/>
  <c r="P2522" i="5"/>
  <c r="N2522" i="5"/>
  <c r="D2522" i="5"/>
  <c r="O2522" i="5" s="1"/>
  <c r="Q2522" i="5" s="1"/>
  <c r="P2521" i="5"/>
  <c r="N2521" i="5"/>
  <c r="D2521" i="5"/>
  <c r="O2521" i="5" s="1"/>
  <c r="Q2521" i="5" s="1"/>
  <c r="P2520" i="5"/>
  <c r="N2520" i="5"/>
  <c r="D2520" i="5"/>
  <c r="O2520" i="5" s="1"/>
  <c r="Q2520" i="5" s="1"/>
  <c r="P2519" i="5"/>
  <c r="N2519" i="5"/>
  <c r="D2519" i="5"/>
  <c r="O2519" i="5" s="1"/>
  <c r="Q2519" i="5" s="1"/>
  <c r="P2518" i="5"/>
  <c r="N2518" i="5"/>
  <c r="D2518" i="5"/>
  <c r="O2518" i="5" s="1"/>
  <c r="Q2518" i="5" s="1"/>
  <c r="P2517" i="5"/>
  <c r="N2517" i="5"/>
  <c r="D2517" i="5"/>
  <c r="O2517" i="5" s="1"/>
  <c r="Q2517" i="5" s="1"/>
  <c r="P2516" i="5"/>
  <c r="N2516" i="5"/>
  <c r="D2516" i="5"/>
  <c r="O2516" i="5" s="1"/>
  <c r="Q2516" i="5" s="1"/>
  <c r="P2515" i="5"/>
  <c r="N2515" i="5"/>
  <c r="D2515" i="5"/>
  <c r="O2515" i="5" s="1"/>
  <c r="Q2515" i="5" s="1"/>
  <c r="P2514" i="5"/>
  <c r="N2514" i="5"/>
  <c r="D2514" i="5"/>
  <c r="O2514" i="5" s="1"/>
  <c r="Q2514" i="5" s="1"/>
  <c r="P2513" i="5"/>
  <c r="N2513" i="5"/>
  <c r="D2513" i="5"/>
  <c r="O2513" i="5" s="1"/>
  <c r="Q2513" i="5" s="1"/>
  <c r="P2512" i="5"/>
  <c r="N2512" i="5"/>
  <c r="D2512" i="5"/>
  <c r="O2512" i="5" s="1"/>
  <c r="Q2512" i="5" s="1"/>
  <c r="P2511" i="5"/>
  <c r="N2511" i="5"/>
  <c r="D2511" i="5"/>
  <c r="O2511" i="5" s="1"/>
  <c r="Q2511" i="5" s="1"/>
  <c r="P2510" i="5"/>
  <c r="N2510" i="5"/>
  <c r="D2510" i="5"/>
  <c r="O2510" i="5" s="1"/>
  <c r="Q2510" i="5" s="1"/>
  <c r="P2509" i="5"/>
  <c r="N2509" i="5"/>
  <c r="D2509" i="5"/>
  <c r="O2509" i="5" s="1"/>
  <c r="Q2509" i="5" s="1"/>
  <c r="P2508" i="5"/>
  <c r="N2508" i="5"/>
  <c r="D2508" i="5"/>
  <c r="O2508" i="5" s="1"/>
  <c r="Q2508" i="5" s="1"/>
  <c r="P2507" i="5"/>
  <c r="N2507" i="5"/>
  <c r="D2507" i="5"/>
  <c r="O2507" i="5" s="1"/>
  <c r="Q2507" i="5" s="1"/>
  <c r="P2506" i="5"/>
  <c r="N2506" i="5"/>
  <c r="D2506" i="5"/>
  <c r="O2506" i="5" s="1"/>
  <c r="Q2506" i="5" s="1"/>
  <c r="P2505" i="5"/>
  <c r="N2505" i="5"/>
  <c r="D2505" i="5"/>
  <c r="O2505" i="5" s="1"/>
  <c r="Q2505" i="5" s="1"/>
  <c r="P2504" i="5"/>
  <c r="N2504" i="5"/>
  <c r="D2504" i="5"/>
  <c r="O2504" i="5" s="1"/>
  <c r="Q2504" i="5" s="1"/>
  <c r="P2503" i="5"/>
  <c r="N2503" i="5"/>
  <c r="D2503" i="5"/>
  <c r="O2503" i="5" s="1"/>
  <c r="Q2503" i="5" s="1"/>
  <c r="P2502" i="5"/>
  <c r="N2502" i="5"/>
  <c r="D2502" i="5"/>
  <c r="O2502" i="5" s="1"/>
  <c r="Q2502" i="5" s="1"/>
  <c r="P2501" i="5"/>
  <c r="N2501" i="5"/>
  <c r="D2501" i="5"/>
  <c r="O2501" i="5" s="1"/>
  <c r="Q2501" i="5" s="1"/>
  <c r="P2500" i="5"/>
  <c r="N2500" i="5"/>
  <c r="D2500" i="5"/>
  <c r="O2500" i="5" s="1"/>
  <c r="Q2500" i="5" s="1"/>
  <c r="P2499" i="5"/>
  <c r="N2499" i="5"/>
  <c r="D2499" i="5"/>
  <c r="O2499" i="5" s="1"/>
  <c r="Q2499" i="5" s="1"/>
  <c r="P2498" i="5"/>
  <c r="N2498" i="5"/>
  <c r="D2498" i="5"/>
  <c r="O2498" i="5" s="1"/>
  <c r="Q2498" i="5" s="1"/>
  <c r="P2497" i="5"/>
  <c r="N2497" i="5"/>
  <c r="D2497" i="5"/>
  <c r="P2496" i="5"/>
  <c r="N2496" i="5"/>
  <c r="D2496" i="5"/>
  <c r="O2496" i="5" s="1"/>
  <c r="Q2496" i="5" s="1"/>
  <c r="P2495" i="5"/>
  <c r="N2495" i="5"/>
  <c r="D2495" i="5"/>
  <c r="O2495" i="5" s="1"/>
  <c r="Q2495" i="5" s="1"/>
  <c r="P2494" i="5"/>
  <c r="N2494" i="5"/>
  <c r="D2494" i="5"/>
  <c r="O2494" i="5" s="1"/>
  <c r="Q2494" i="5" s="1"/>
  <c r="P2493" i="5"/>
  <c r="N2493" i="5"/>
  <c r="D2493" i="5"/>
  <c r="O2493" i="5" s="1"/>
  <c r="Q2493" i="5" s="1"/>
  <c r="P2492" i="5"/>
  <c r="N2492" i="5"/>
  <c r="D2492" i="5"/>
  <c r="O2492" i="5" s="1"/>
  <c r="Q2492" i="5" s="1"/>
  <c r="P2491" i="5"/>
  <c r="N2491" i="5"/>
  <c r="D2491" i="5"/>
  <c r="P2490" i="5"/>
  <c r="N2490" i="5"/>
  <c r="D2490" i="5"/>
  <c r="O2490" i="5" s="1"/>
  <c r="Q2490" i="5" s="1"/>
  <c r="P2489" i="5"/>
  <c r="N2489" i="5"/>
  <c r="D2489" i="5"/>
  <c r="O2489" i="5" s="1"/>
  <c r="Q2489" i="5" s="1"/>
  <c r="P2488" i="5"/>
  <c r="N2488" i="5"/>
  <c r="D2488" i="5"/>
  <c r="O2488" i="5" s="1"/>
  <c r="Q2488" i="5" s="1"/>
  <c r="P2487" i="5"/>
  <c r="N2487" i="5"/>
  <c r="D2487" i="5"/>
  <c r="O2487" i="5" s="1"/>
  <c r="Q2487" i="5" s="1"/>
  <c r="P2486" i="5"/>
  <c r="N2486" i="5"/>
  <c r="D2486" i="5"/>
  <c r="O2486" i="5" s="1"/>
  <c r="Q2486" i="5" s="1"/>
  <c r="P2485" i="5"/>
  <c r="N2485" i="5"/>
  <c r="D2485" i="5"/>
  <c r="O2485" i="5" s="1"/>
  <c r="Q2485" i="5" s="1"/>
  <c r="P2484" i="5"/>
  <c r="N2484" i="5"/>
  <c r="D2484" i="5"/>
  <c r="O2484" i="5" s="1"/>
  <c r="Q2484" i="5" s="1"/>
  <c r="P2483" i="5"/>
  <c r="N2483" i="5"/>
  <c r="D2483" i="5"/>
  <c r="P2482" i="5"/>
  <c r="N2482" i="5"/>
  <c r="D2482" i="5"/>
  <c r="O2482" i="5" s="1"/>
  <c r="Q2482" i="5" s="1"/>
  <c r="P2481" i="5"/>
  <c r="N2481" i="5"/>
  <c r="D2481" i="5"/>
  <c r="O2481" i="5" s="1"/>
  <c r="Q2481" i="5" s="1"/>
  <c r="Q2480" i="5"/>
  <c r="P2480" i="5"/>
  <c r="N2480" i="5"/>
  <c r="D2480" i="5"/>
  <c r="Q2479" i="5"/>
  <c r="P2479" i="5"/>
  <c r="N2479" i="5"/>
  <c r="D2479" i="5"/>
  <c r="Q2478" i="5"/>
  <c r="P2478" i="5"/>
  <c r="N2478" i="5"/>
  <c r="D2478" i="5"/>
  <c r="Q2477" i="5"/>
  <c r="P2477" i="5"/>
  <c r="N2477" i="5"/>
  <c r="D2477" i="5"/>
  <c r="Q2476" i="5"/>
  <c r="P2476" i="5"/>
  <c r="N2476" i="5"/>
  <c r="D2476" i="5"/>
  <c r="Q2475" i="5"/>
  <c r="P2475" i="5"/>
  <c r="N2475" i="5"/>
  <c r="D2475" i="5"/>
  <c r="Q2474" i="5"/>
  <c r="P2474" i="5"/>
  <c r="N2474" i="5"/>
  <c r="D2474" i="5"/>
  <c r="Q2473" i="5"/>
  <c r="P2473" i="5"/>
  <c r="N2473" i="5"/>
  <c r="D2473" i="5"/>
  <c r="Q2472" i="5"/>
  <c r="P2472" i="5"/>
  <c r="N2472" i="5"/>
  <c r="D2472" i="5"/>
  <c r="Q2471" i="5"/>
  <c r="P2471" i="5"/>
  <c r="N2471" i="5"/>
  <c r="D2471" i="5"/>
  <c r="Q2470" i="5"/>
  <c r="P2470" i="5"/>
  <c r="N2470" i="5"/>
  <c r="D2470" i="5"/>
  <c r="P2469" i="5"/>
  <c r="N2469" i="5"/>
  <c r="D2469" i="5"/>
  <c r="O2469" i="5" s="1"/>
  <c r="Q2469" i="5" s="1"/>
  <c r="P2468" i="5"/>
  <c r="N2468" i="5"/>
  <c r="D2468" i="5"/>
  <c r="P2467" i="5"/>
  <c r="N2467" i="5"/>
  <c r="D2467" i="5"/>
  <c r="O2467" i="5" s="1"/>
  <c r="Q2467" i="5" s="1"/>
  <c r="P2466" i="5"/>
  <c r="N2466" i="5"/>
  <c r="D2466" i="5"/>
  <c r="O2466" i="5" s="1"/>
  <c r="Q2466" i="5" s="1"/>
  <c r="P2465" i="5"/>
  <c r="N2465" i="5"/>
  <c r="D2465" i="5"/>
  <c r="O2465" i="5" s="1"/>
  <c r="Q2465" i="5" s="1"/>
  <c r="P2464" i="5"/>
  <c r="N2464" i="5"/>
  <c r="D2464" i="5"/>
  <c r="O2464" i="5" s="1"/>
  <c r="Q2464" i="5" s="1"/>
  <c r="P2463" i="5"/>
  <c r="N2463" i="5"/>
  <c r="D2463" i="5"/>
  <c r="O2463" i="5" s="1"/>
  <c r="Q2463" i="5" s="1"/>
  <c r="P2462" i="5"/>
  <c r="N2462" i="5"/>
  <c r="D2462" i="5"/>
  <c r="O2462" i="5" s="1"/>
  <c r="Q2462" i="5" s="1"/>
  <c r="P2461" i="5"/>
  <c r="N2461" i="5"/>
  <c r="D2461" i="5"/>
  <c r="O2461" i="5" s="1"/>
  <c r="Q2461" i="5" s="1"/>
  <c r="P2460" i="5"/>
  <c r="N2460" i="5"/>
  <c r="D2460" i="5"/>
  <c r="O2460" i="5" s="1"/>
  <c r="Q2460" i="5" s="1"/>
  <c r="P2459" i="5"/>
  <c r="N2459" i="5"/>
  <c r="D2459" i="5"/>
  <c r="O2459" i="5" s="1"/>
  <c r="Q2459" i="5" s="1"/>
  <c r="P2458" i="5"/>
  <c r="N2458" i="5"/>
  <c r="D2458" i="5"/>
  <c r="O2458" i="5" s="1"/>
  <c r="Q2458" i="5" s="1"/>
  <c r="P2457" i="5"/>
  <c r="N2457" i="5"/>
  <c r="D2457" i="5"/>
  <c r="O2457" i="5" s="1"/>
  <c r="Q2457" i="5" s="1"/>
  <c r="P2456" i="5"/>
  <c r="N2456" i="5"/>
  <c r="D2456" i="5"/>
  <c r="O2456" i="5" s="1"/>
  <c r="Q2456" i="5" s="1"/>
  <c r="P2455" i="5"/>
  <c r="N2455" i="5"/>
  <c r="D2455" i="5"/>
  <c r="O2455" i="5" s="1"/>
  <c r="Q2455" i="5" s="1"/>
  <c r="P2454" i="5"/>
  <c r="N2454" i="5"/>
  <c r="D2454" i="5"/>
  <c r="O2454" i="5" s="1"/>
  <c r="Q2454" i="5" s="1"/>
  <c r="P2453" i="5"/>
  <c r="N2453" i="5"/>
  <c r="D2453" i="5"/>
  <c r="O2453" i="5" s="1"/>
  <c r="Q2453" i="5" s="1"/>
  <c r="P2452" i="5"/>
  <c r="N2452" i="5"/>
  <c r="D2452" i="5"/>
  <c r="O2452" i="5" s="1"/>
  <c r="Q2452" i="5" s="1"/>
  <c r="P2451" i="5"/>
  <c r="N2451" i="5"/>
  <c r="D2451" i="5"/>
  <c r="O2451" i="5" s="1"/>
  <c r="Q2451" i="5" s="1"/>
  <c r="P2450" i="5"/>
  <c r="N2450" i="5"/>
  <c r="D2450" i="5"/>
  <c r="O2450" i="5" s="1"/>
  <c r="Q2450" i="5" s="1"/>
  <c r="P2449" i="5"/>
  <c r="N2449" i="5"/>
  <c r="D2449" i="5"/>
  <c r="O2449" i="5" s="1"/>
  <c r="Q2449" i="5" s="1"/>
  <c r="P2448" i="5"/>
  <c r="N2448" i="5"/>
  <c r="D2448" i="5"/>
  <c r="O2448" i="5" s="1"/>
  <c r="Q2448" i="5" s="1"/>
  <c r="P2447" i="5"/>
  <c r="N2447" i="5"/>
  <c r="D2447" i="5"/>
  <c r="O2447" i="5" s="1"/>
  <c r="Q2447" i="5" s="1"/>
  <c r="P2446" i="5"/>
  <c r="N2446" i="5"/>
  <c r="D2446" i="5"/>
  <c r="O2446" i="5" s="1"/>
  <c r="Q2446" i="5" s="1"/>
  <c r="P2445" i="5"/>
  <c r="N2445" i="5"/>
  <c r="D2445" i="5"/>
  <c r="O2445" i="5" s="1"/>
  <c r="Q2445" i="5" s="1"/>
  <c r="P2444" i="5"/>
  <c r="N2444" i="5"/>
  <c r="D2444" i="5"/>
  <c r="O2444" i="5" s="1"/>
  <c r="Q2444" i="5" s="1"/>
  <c r="P2443" i="5"/>
  <c r="N2443" i="5"/>
  <c r="D2443" i="5"/>
  <c r="O2443" i="5" s="1"/>
  <c r="Q2443" i="5" s="1"/>
  <c r="P2442" i="5"/>
  <c r="N2442" i="5"/>
  <c r="D2442" i="5"/>
  <c r="O2442" i="5" s="1"/>
  <c r="Q2442" i="5" s="1"/>
  <c r="P2441" i="5"/>
  <c r="N2441" i="5"/>
  <c r="D2441" i="5"/>
  <c r="O2441" i="5" s="1"/>
  <c r="Q2441" i="5" s="1"/>
  <c r="P2440" i="5"/>
  <c r="N2440" i="5"/>
  <c r="D2440" i="5"/>
  <c r="O2440" i="5" s="1"/>
  <c r="Q2440" i="5" s="1"/>
  <c r="P2439" i="5"/>
  <c r="N2439" i="5"/>
  <c r="D2439" i="5"/>
  <c r="O2439" i="5" s="1"/>
  <c r="Q2439" i="5" s="1"/>
  <c r="P2438" i="5"/>
  <c r="N2438" i="5"/>
  <c r="D2438" i="5"/>
  <c r="P2437" i="5"/>
  <c r="N2437" i="5"/>
  <c r="D2437" i="5"/>
  <c r="O2437" i="5" s="1"/>
  <c r="Q2437" i="5" s="1"/>
  <c r="P2436" i="5"/>
  <c r="N2436" i="5"/>
  <c r="D2436" i="5"/>
  <c r="O2436" i="5" s="1"/>
  <c r="Q2436" i="5" s="1"/>
  <c r="P2435" i="5"/>
  <c r="N2435" i="5"/>
  <c r="D2435" i="5"/>
  <c r="O2435" i="5" s="1"/>
  <c r="Q2435" i="5" s="1"/>
  <c r="P2434" i="5"/>
  <c r="N2434" i="5"/>
  <c r="D2434" i="5"/>
  <c r="O2434" i="5" s="1"/>
  <c r="Q2434" i="5" s="1"/>
  <c r="P2433" i="5"/>
  <c r="N2433" i="5"/>
  <c r="D2433" i="5"/>
  <c r="O2433" i="5" s="1"/>
  <c r="Q2433" i="5" s="1"/>
  <c r="P2432" i="5"/>
  <c r="N2432" i="5"/>
  <c r="D2432" i="5"/>
  <c r="O2432" i="5" s="1"/>
  <c r="Q2432" i="5" s="1"/>
  <c r="P2431" i="5"/>
  <c r="N2431" i="5"/>
  <c r="D2431" i="5"/>
  <c r="P2430" i="5"/>
  <c r="N2430" i="5"/>
  <c r="D2430" i="5"/>
  <c r="O2430" i="5" s="1"/>
  <c r="Q2430" i="5" s="1"/>
  <c r="P2429" i="5"/>
  <c r="N2429" i="5"/>
  <c r="D2429" i="5"/>
  <c r="O2429" i="5" s="1"/>
  <c r="Q2429" i="5" s="1"/>
  <c r="P2428" i="5"/>
  <c r="N2428" i="5"/>
  <c r="D2428" i="5"/>
  <c r="O2428" i="5" s="1"/>
  <c r="Q2428" i="5" s="1"/>
  <c r="P2427" i="5"/>
  <c r="N2427" i="5"/>
  <c r="D2427" i="5"/>
  <c r="O2427" i="5" s="1"/>
  <c r="Q2427" i="5" s="1"/>
  <c r="P2426" i="5"/>
  <c r="N2426" i="5"/>
  <c r="D2426" i="5"/>
  <c r="O2426" i="5" s="1"/>
  <c r="Q2426" i="5" s="1"/>
  <c r="P2425" i="5"/>
  <c r="N2425" i="5"/>
  <c r="D2425" i="5"/>
  <c r="O2425" i="5" s="1"/>
  <c r="Q2425" i="5" s="1"/>
  <c r="P2424" i="5"/>
  <c r="N2424" i="5"/>
  <c r="D2424" i="5"/>
  <c r="O2424" i="5" s="1"/>
  <c r="Q2424" i="5" s="1"/>
  <c r="P2423" i="5"/>
  <c r="N2423" i="5"/>
  <c r="D2423" i="5"/>
  <c r="O2423" i="5" s="1"/>
  <c r="Q2423" i="5" s="1"/>
  <c r="P2422" i="5"/>
  <c r="N2422" i="5"/>
  <c r="D2422" i="5"/>
  <c r="O2422" i="5" s="1"/>
  <c r="Q2422" i="5" s="1"/>
  <c r="P2421" i="5"/>
  <c r="N2421" i="5"/>
  <c r="D2421" i="5"/>
  <c r="O2421" i="5" s="1"/>
  <c r="Q2421" i="5" s="1"/>
  <c r="P2420" i="5"/>
  <c r="N2420" i="5"/>
  <c r="D2420" i="5"/>
  <c r="O2420" i="5" s="1"/>
  <c r="Q2420" i="5" s="1"/>
  <c r="P2419" i="5"/>
  <c r="N2419" i="5"/>
  <c r="D2419" i="5"/>
  <c r="O2419" i="5" s="1"/>
  <c r="Q2419" i="5" s="1"/>
  <c r="P2418" i="5"/>
  <c r="N2418" i="5"/>
  <c r="D2418" i="5"/>
  <c r="O2418" i="5" s="1"/>
  <c r="Q2418" i="5" s="1"/>
  <c r="P2417" i="5"/>
  <c r="N2417" i="5"/>
  <c r="D2417" i="5"/>
  <c r="O2417" i="5" s="1"/>
  <c r="Q2417" i="5" s="1"/>
  <c r="P2416" i="5"/>
  <c r="N2416" i="5"/>
  <c r="D2416" i="5"/>
  <c r="O2416" i="5" s="1"/>
  <c r="Q2416" i="5" s="1"/>
  <c r="P2415" i="5"/>
  <c r="N2415" i="5"/>
  <c r="D2415" i="5"/>
  <c r="O2415" i="5" s="1"/>
  <c r="Q2415" i="5" s="1"/>
  <c r="P2414" i="5"/>
  <c r="N2414" i="5"/>
  <c r="D2414" i="5"/>
  <c r="O2414" i="5" s="1"/>
  <c r="Q2414" i="5" s="1"/>
  <c r="P2413" i="5"/>
  <c r="N2413" i="5"/>
  <c r="D2413" i="5"/>
  <c r="O2413" i="5" s="1"/>
  <c r="Q2413" i="5" s="1"/>
  <c r="P2412" i="5"/>
  <c r="N2412" i="5"/>
  <c r="D2412" i="5"/>
  <c r="O2412" i="5" s="1"/>
  <c r="Q2412" i="5" s="1"/>
  <c r="P2411" i="5"/>
  <c r="N2411" i="5"/>
  <c r="D2411" i="5"/>
  <c r="O2411" i="5" s="1"/>
  <c r="Q2411" i="5" s="1"/>
  <c r="P2410" i="5"/>
  <c r="N2410" i="5"/>
  <c r="D2410" i="5"/>
  <c r="O2410" i="5" s="1"/>
  <c r="Q2410" i="5" s="1"/>
  <c r="P2409" i="5"/>
  <c r="N2409" i="5"/>
  <c r="D2409" i="5"/>
  <c r="O2409" i="5" s="1"/>
  <c r="Q2409" i="5" s="1"/>
  <c r="P2408" i="5"/>
  <c r="N2408" i="5"/>
  <c r="D2408" i="5"/>
  <c r="P2407" i="5"/>
  <c r="N2407" i="5"/>
  <c r="D2407" i="5"/>
  <c r="O2407" i="5" s="1"/>
  <c r="Q2407" i="5" s="1"/>
  <c r="P2406" i="5"/>
  <c r="N2406" i="5"/>
  <c r="D2406" i="5"/>
  <c r="O2406" i="5" s="1"/>
  <c r="Q2406" i="5" s="1"/>
  <c r="P2405" i="5"/>
  <c r="N2405" i="5"/>
  <c r="D2405" i="5"/>
  <c r="O2405" i="5" s="1"/>
  <c r="Q2405" i="5" s="1"/>
  <c r="P2404" i="5"/>
  <c r="N2404" i="5"/>
  <c r="D2404" i="5"/>
  <c r="O2404" i="5" s="1"/>
  <c r="Q2404" i="5" s="1"/>
  <c r="P2403" i="5"/>
  <c r="N2403" i="5"/>
  <c r="D2403" i="5"/>
  <c r="O2403" i="5" s="1"/>
  <c r="Q2403" i="5" s="1"/>
  <c r="P2402" i="5"/>
  <c r="N2402" i="5"/>
  <c r="D2402" i="5"/>
  <c r="O2402" i="5" s="1"/>
  <c r="Q2402" i="5" s="1"/>
  <c r="P2401" i="5"/>
  <c r="N2401" i="5"/>
  <c r="D2401" i="5"/>
  <c r="O2401" i="5" s="1"/>
  <c r="Q2401" i="5" s="1"/>
  <c r="P2400" i="5"/>
  <c r="N2400" i="5"/>
  <c r="D2400" i="5"/>
  <c r="O2400" i="5" s="1"/>
  <c r="Q2400" i="5" s="1"/>
  <c r="P2399" i="5"/>
  <c r="N2399" i="5"/>
  <c r="D2399" i="5"/>
  <c r="O2399" i="5" s="1"/>
  <c r="Q2399" i="5" s="1"/>
  <c r="P2398" i="5"/>
  <c r="N2398" i="5"/>
  <c r="D2398" i="5"/>
  <c r="O2398" i="5" s="1"/>
  <c r="Q2398" i="5" s="1"/>
  <c r="P2397" i="5"/>
  <c r="N2397" i="5"/>
  <c r="D2397" i="5"/>
  <c r="O2397" i="5" s="1"/>
  <c r="Q2397" i="5" s="1"/>
  <c r="P2396" i="5"/>
  <c r="N2396" i="5"/>
  <c r="D2396" i="5"/>
  <c r="O2396" i="5" s="1"/>
  <c r="Q2396" i="5" s="1"/>
  <c r="P2395" i="5"/>
  <c r="N2395" i="5"/>
  <c r="D2395" i="5"/>
  <c r="O2395" i="5" s="1"/>
  <c r="Q2395" i="5" s="1"/>
  <c r="P2394" i="5"/>
  <c r="N2394" i="5"/>
  <c r="D2394" i="5"/>
  <c r="O2394" i="5" s="1"/>
  <c r="Q2394" i="5" s="1"/>
  <c r="P2393" i="5"/>
  <c r="N2393" i="5"/>
  <c r="D2393" i="5"/>
  <c r="O2393" i="5" s="1"/>
  <c r="Q2393" i="5" s="1"/>
  <c r="P2392" i="5"/>
  <c r="N2392" i="5"/>
  <c r="D2392" i="5"/>
  <c r="O2392" i="5" s="1"/>
  <c r="Q2392" i="5" s="1"/>
  <c r="P2391" i="5"/>
  <c r="N2391" i="5"/>
  <c r="D2391" i="5"/>
  <c r="O2391" i="5" s="1"/>
  <c r="Q2391" i="5" s="1"/>
  <c r="P2390" i="5"/>
  <c r="N2390" i="5"/>
  <c r="D2390" i="5"/>
  <c r="O2390" i="5" s="1"/>
  <c r="Q2390" i="5" s="1"/>
  <c r="P2389" i="5"/>
  <c r="N2389" i="5"/>
  <c r="D2389" i="5"/>
  <c r="O2389" i="5" s="1"/>
  <c r="Q2389" i="5" s="1"/>
  <c r="P2388" i="5"/>
  <c r="N2388" i="5"/>
  <c r="D2388" i="5"/>
  <c r="O2388" i="5" s="1"/>
  <c r="Q2388" i="5" s="1"/>
  <c r="P2387" i="5"/>
  <c r="N2387" i="5"/>
  <c r="D2387" i="5"/>
  <c r="O2387" i="5" s="1"/>
  <c r="Q2387" i="5" s="1"/>
  <c r="P2386" i="5"/>
  <c r="N2386" i="5"/>
  <c r="D2386" i="5"/>
  <c r="O2386" i="5" s="1"/>
  <c r="Q2386" i="5" s="1"/>
  <c r="P2385" i="5"/>
  <c r="N2385" i="5"/>
  <c r="D2385" i="5"/>
  <c r="O2385" i="5" s="1"/>
  <c r="Q2385" i="5" s="1"/>
  <c r="P2384" i="5"/>
  <c r="N2384" i="5"/>
  <c r="D2384" i="5"/>
  <c r="O2384" i="5" s="1"/>
  <c r="Q2384" i="5" s="1"/>
  <c r="P2383" i="5"/>
  <c r="N2383" i="5"/>
  <c r="D2383" i="5"/>
  <c r="O2383" i="5" s="1"/>
  <c r="Q2383" i="5" s="1"/>
  <c r="P2382" i="5"/>
  <c r="N2382" i="5"/>
  <c r="D2382" i="5"/>
  <c r="O2382" i="5" s="1"/>
  <c r="Q2382" i="5" s="1"/>
  <c r="P2381" i="5"/>
  <c r="N2381" i="5"/>
  <c r="D2381" i="5"/>
  <c r="O2381" i="5" s="1"/>
  <c r="Q2381" i="5" s="1"/>
  <c r="P2380" i="5"/>
  <c r="N2380" i="5"/>
  <c r="D2380" i="5"/>
  <c r="O2380" i="5" s="1"/>
  <c r="Q2380" i="5" s="1"/>
  <c r="P2379" i="5"/>
  <c r="N2379" i="5"/>
  <c r="D2379" i="5"/>
  <c r="O2379" i="5" s="1"/>
  <c r="Q2379" i="5" s="1"/>
  <c r="P2378" i="5"/>
  <c r="N2378" i="5"/>
  <c r="D2378" i="5"/>
  <c r="O2378" i="5" s="1"/>
  <c r="Q2378" i="5" s="1"/>
  <c r="P2377" i="5"/>
  <c r="N2377" i="5"/>
  <c r="D2377" i="5"/>
  <c r="O2377" i="5" s="1"/>
  <c r="Q2377" i="5" s="1"/>
  <c r="P2376" i="5"/>
  <c r="N2376" i="5"/>
  <c r="D2376" i="5"/>
  <c r="O2376" i="5" s="1"/>
  <c r="Q2376" i="5" s="1"/>
  <c r="P2375" i="5"/>
  <c r="N2375" i="5"/>
  <c r="D2375" i="5"/>
  <c r="O2375" i="5" s="1"/>
  <c r="Q2375" i="5" s="1"/>
  <c r="P2374" i="5"/>
  <c r="N2374" i="5"/>
  <c r="D2374" i="5"/>
  <c r="O2374" i="5" s="1"/>
  <c r="Q2374" i="5" s="1"/>
  <c r="P2373" i="5"/>
  <c r="N2373" i="5"/>
  <c r="D2373" i="5"/>
  <c r="O2373" i="5" s="1"/>
  <c r="Q2373" i="5" s="1"/>
  <c r="P2372" i="5"/>
  <c r="N2372" i="5"/>
  <c r="D2372" i="5"/>
  <c r="O2372" i="5" s="1"/>
  <c r="Q2372" i="5" s="1"/>
  <c r="P2371" i="5"/>
  <c r="N2371" i="5"/>
  <c r="D2371" i="5"/>
  <c r="O2371" i="5" s="1"/>
  <c r="Q2371" i="5" s="1"/>
  <c r="P2370" i="5"/>
  <c r="N2370" i="5"/>
  <c r="D2370" i="5"/>
  <c r="O2370" i="5" s="1"/>
  <c r="Q2370" i="5" s="1"/>
  <c r="P2369" i="5"/>
  <c r="N2369" i="5"/>
  <c r="D2369" i="5"/>
  <c r="O2369" i="5" s="1"/>
  <c r="Q2369" i="5" s="1"/>
  <c r="P2368" i="5"/>
  <c r="N2368" i="5"/>
  <c r="D2368" i="5"/>
  <c r="O2368" i="5" s="1"/>
  <c r="Q2368" i="5" s="1"/>
  <c r="P2367" i="5"/>
  <c r="N2367" i="5"/>
  <c r="D2367" i="5"/>
  <c r="O2367" i="5" s="1"/>
  <c r="Q2367" i="5" s="1"/>
  <c r="P2366" i="5"/>
  <c r="N2366" i="5"/>
  <c r="D2366" i="5"/>
  <c r="O2366" i="5" s="1"/>
  <c r="Q2366" i="5" s="1"/>
  <c r="P2365" i="5"/>
  <c r="N2365" i="5"/>
  <c r="D2365" i="5"/>
  <c r="O2365" i="5" s="1"/>
  <c r="Q2365" i="5" s="1"/>
  <c r="P2364" i="5"/>
  <c r="N2364" i="5"/>
  <c r="D2364" i="5"/>
  <c r="O2364" i="5" s="1"/>
  <c r="Q2364" i="5" s="1"/>
  <c r="P2363" i="5"/>
  <c r="N2363" i="5"/>
  <c r="D2363" i="5"/>
  <c r="O2363" i="5" s="1"/>
  <c r="Q2363" i="5" s="1"/>
  <c r="P2362" i="5"/>
  <c r="N2362" i="5"/>
  <c r="D2362" i="5"/>
  <c r="O2362" i="5" s="1"/>
  <c r="Q2362" i="5" s="1"/>
  <c r="P2361" i="5"/>
  <c r="N2361" i="5"/>
  <c r="D2361" i="5"/>
  <c r="O2361" i="5" s="1"/>
  <c r="Q2361" i="5" s="1"/>
  <c r="P2360" i="5"/>
  <c r="N2360" i="5"/>
  <c r="D2360" i="5"/>
  <c r="O2360" i="5" s="1"/>
  <c r="Q2360" i="5" s="1"/>
  <c r="P2359" i="5"/>
  <c r="N2359" i="5"/>
  <c r="D2359" i="5"/>
  <c r="O2359" i="5" s="1"/>
  <c r="Q2359" i="5" s="1"/>
  <c r="P2358" i="5"/>
  <c r="N2358" i="5"/>
  <c r="D2358" i="5"/>
  <c r="O2358" i="5" s="1"/>
  <c r="Q2358" i="5" s="1"/>
  <c r="P2357" i="5"/>
  <c r="N2357" i="5"/>
  <c r="D2357" i="5"/>
  <c r="O2357" i="5" s="1"/>
  <c r="Q2357" i="5" s="1"/>
  <c r="P2356" i="5"/>
  <c r="N2356" i="5"/>
  <c r="D2356" i="5"/>
  <c r="O2356" i="5" s="1"/>
  <c r="Q2356" i="5" s="1"/>
  <c r="P2355" i="5"/>
  <c r="N2355" i="5"/>
  <c r="D2355" i="5"/>
  <c r="P2354" i="5"/>
  <c r="N2354" i="5"/>
  <c r="D2354" i="5"/>
  <c r="O2354" i="5" s="1"/>
  <c r="Q2354" i="5" s="1"/>
  <c r="P2353" i="5"/>
  <c r="N2353" i="5"/>
  <c r="D2353" i="5"/>
  <c r="O2353" i="5" s="1"/>
  <c r="Q2353" i="5" s="1"/>
  <c r="P2352" i="5"/>
  <c r="N2352" i="5"/>
  <c r="D2352" i="5"/>
  <c r="O2352" i="5" s="1"/>
  <c r="Q2352" i="5" s="1"/>
  <c r="P2351" i="5"/>
  <c r="N2351" i="5"/>
  <c r="D2351" i="5"/>
  <c r="O2351" i="5" s="1"/>
  <c r="Q2351" i="5" s="1"/>
  <c r="P2350" i="5"/>
  <c r="N2350" i="5"/>
  <c r="D2350" i="5"/>
  <c r="O2350" i="5" s="1"/>
  <c r="Q2350" i="5" s="1"/>
  <c r="P2349" i="5"/>
  <c r="N2349" i="5"/>
  <c r="D2349" i="5"/>
  <c r="O2349" i="5" s="1"/>
  <c r="Q2349" i="5" s="1"/>
  <c r="P2348" i="5"/>
  <c r="N2348" i="5"/>
  <c r="D2348" i="5"/>
  <c r="O2348" i="5" s="1"/>
  <c r="Q2348" i="5" s="1"/>
  <c r="P2347" i="5"/>
  <c r="N2347" i="5"/>
  <c r="D2347" i="5"/>
  <c r="O2347" i="5" s="1"/>
  <c r="Q2347" i="5" s="1"/>
  <c r="P2346" i="5"/>
  <c r="N2346" i="5"/>
  <c r="D2346" i="5"/>
  <c r="O2346" i="5" s="1"/>
  <c r="Q2346" i="5" s="1"/>
  <c r="P2345" i="5"/>
  <c r="N2345" i="5"/>
  <c r="D2345" i="5"/>
  <c r="O2345" i="5" s="1"/>
  <c r="Q2345" i="5" s="1"/>
  <c r="P2344" i="5"/>
  <c r="N2344" i="5"/>
  <c r="D2344" i="5"/>
  <c r="O2344" i="5" s="1"/>
  <c r="Q2344" i="5" s="1"/>
  <c r="P2343" i="5"/>
  <c r="N2343" i="5"/>
  <c r="D2343" i="5"/>
  <c r="O2343" i="5" s="1"/>
  <c r="Q2343" i="5" s="1"/>
  <c r="P2342" i="5"/>
  <c r="N2342" i="5"/>
  <c r="D2342" i="5"/>
  <c r="O2342" i="5" s="1"/>
  <c r="Q2342" i="5" s="1"/>
  <c r="P2341" i="5"/>
  <c r="N2341" i="5"/>
  <c r="D2341" i="5"/>
  <c r="O2341" i="5" s="1"/>
  <c r="Q2341" i="5" s="1"/>
  <c r="P2340" i="5"/>
  <c r="N2340" i="5"/>
  <c r="D2340" i="5"/>
  <c r="O2340" i="5" s="1"/>
  <c r="Q2340" i="5" s="1"/>
  <c r="P2339" i="5"/>
  <c r="N2339" i="5"/>
  <c r="D2339" i="5"/>
  <c r="O2339" i="5" s="1"/>
  <c r="Q2339" i="5" s="1"/>
  <c r="P2338" i="5"/>
  <c r="N2338" i="5"/>
  <c r="D2338" i="5"/>
  <c r="O2338" i="5" s="1"/>
  <c r="Q2338" i="5" s="1"/>
  <c r="P2337" i="5"/>
  <c r="N2337" i="5"/>
  <c r="D2337" i="5"/>
  <c r="O2337" i="5" s="1"/>
  <c r="Q2337" i="5" s="1"/>
  <c r="P2336" i="5"/>
  <c r="N2336" i="5"/>
  <c r="D2336" i="5"/>
  <c r="O2336" i="5" s="1"/>
  <c r="Q2336" i="5" s="1"/>
  <c r="P2335" i="5"/>
  <c r="N2335" i="5"/>
  <c r="D2335" i="5"/>
  <c r="O2335" i="5" s="1"/>
  <c r="Q2335" i="5" s="1"/>
  <c r="P2334" i="5"/>
  <c r="N2334" i="5"/>
  <c r="D2334" i="5"/>
  <c r="O2334" i="5" s="1"/>
  <c r="Q2334" i="5" s="1"/>
  <c r="P2333" i="5"/>
  <c r="N2333" i="5"/>
  <c r="D2333" i="5"/>
  <c r="O2333" i="5" s="1"/>
  <c r="Q2333" i="5" s="1"/>
  <c r="P2332" i="5"/>
  <c r="N2332" i="5"/>
  <c r="D2332" i="5"/>
  <c r="O2332" i="5" s="1"/>
  <c r="Q2332" i="5" s="1"/>
  <c r="P2331" i="5"/>
  <c r="N2331" i="5"/>
  <c r="D2331" i="5"/>
  <c r="O2331" i="5" s="1"/>
  <c r="Q2331" i="5" s="1"/>
  <c r="P2330" i="5"/>
  <c r="N2330" i="5"/>
  <c r="D2330" i="5"/>
  <c r="O2330" i="5" s="1"/>
  <c r="Q2330" i="5" s="1"/>
  <c r="P2329" i="5"/>
  <c r="N2329" i="5"/>
  <c r="D2329" i="5"/>
  <c r="O2329" i="5" s="1"/>
  <c r="Q2329" i="5" s="1"/>
  <c r="P2328" i="5"/>
  <c r="N2328" i="5"/>
  <c r="D2328" i="5"/>
  <c r="O2328" i="5" s="1"/>
  <c r="Q2328" i="5" s="1"/>
  <c r="P2327" i="5"/>
  <c r="N2327" i="5"/>
  <c r="D2327" i="5"/>
  <c r="O2327" i="5" s="1"/>
  <c r="Q2327" i="5" s="1"/>
  <c r="P2326" i="5"/>
  <c r="N2326" i="5"/>
  <c r="D2326" i="5"/>
  <c r="O2326" i="5" s="1"/>
  <c r="Q2326" i="5" s="1"/>
  <c r="P2325" i="5"/>
  <c r="N2325" i="5"/>
  <c r="D2325" i="5"/>
  <c r="O2325" i="5" s="1"/>
  <c r="Q2325" i="5" s="1"/>
  <c r="P2324" i="5"/>
  <c r="N2324" i="5"/>
  <c r="D2324" i="5"/>
  <c r="O2324" i="5" s="1"/>
  <c r="Q2324" i="5" s="1"/>
  <c r="P2323" i="5"/>
  <c r="N2323" i="5"/>
  <c r="D2323" i="5"/>
  <c r="O2323" i="5" s="1"/>
  <c r="Q2323" i="5" s="1"/>
  <c r="P2322" i="5"/>
  <c r="N2322" i="5"/>
  <c r="D2322" i="5"/>
  <c r="O2322" i="5" s="1"/>
  <c r="Q2322" i="5" s="1"/>
  <c r="P2321" i="5"/>
  <c r="N2321" i="5"/>
  <c r="D2321" i="5"/>
  <c r="O2321" i="5" s="1"/>
  <c r="Q2321" i="5" s="1"/>
  <c r="P2320" i="5"/>
  <c r="N2320" i="5"/>
  <c r="D2320" i="5"/>
  <c r="O2320" i="5" s="1"/>
  <c r="Q2320" i="5" s="1"/>
  <c r="P2319" i="5"/>
  <c r="N2319" i="5"/>
  <c r="D2319" i="5"/>
  <c r="O2319" i="5" s="1"/>
  <c r="Q2319" i="5" s="1"/>
  <c r="P2318" i="5"/>
  <c r="N2318" i="5"/>
  <c r="D2318" i="5"/>
  <c r="O2318" i="5" s="1"/>
  <c r="Q2318" i="5" s="1"/>
  <c r="P2317" i="5"/>
  <c r="N2317" i="5"/>
  <c r="D2317" i="5"/>
  <c r="O2317" i="5" s="1"/>
  <c r="Q2317" i="5" s="1"/>
  <c r="P2316" i="5"/>
  <c r="N2316" i="5"/>
  <c r="D2316" i="5"/>
  <c r="O2316" i="5" s="1"/>
  <c r="Q2316" i="5" s="1"/>
  <c r="P2315" i="5"/>
  <c r="N2315" i="5"/>
  <c r="D2315" i="5"/>
  <c r="O2315" i="5" s="1"/>
  <c r="Q2315" i="5" s="1"/>
  <c r="P2314" i="5"/>
  <c r="N2314" i="5"/>
  <c r="D2314" i="5"/>
  <c r="O2314" i="5" s="1"/>
  <c r="Q2314" i="5" s="1"/>
  <c r="P2313" i="5"/>
  <c r="N2313" i="5"/>
  <c r="D2313" i="5"/>
  <c r="P2312" i="5"/>
  <c r="N2312" i="5"/>
  <c r="D2312" i="5"/>
  <c r="O2312" i="5" s="1"/>
  <c r="Q2312" i="5" s="1"/>
  <c r="P2311" i="5"/>
  <c r="N2311" i="5"/>
  <c r="D2311" i="5"/>
  <c r="O2311" i="5" s="1"/>
  <c r="Q2311" i="5" s="1"/>
  <c r="P2310" i="5"/>
  <c r="N2310" i="5"/>
  <c r="D2310" i="5"/>
  <c r="O2310" i="5" s="1"/>
  <c r="Q2310" i="5" s="1"/>
  <c r="P2309" i="5"/>
  <c r="N2309" i="5"/>
  <c r="D2309" i="5"/>
  <c r="O2309" i="5" s="1"/>
  <c r="Q2309" i="5" s="1"/>
  <c r="P2308" i="5"/>
  <c r="N2308" i="5"/>
  <c r="D2308" i="5"/>
  <c r="O2308" i="5" s="1"/>
  <c r="Q2308" i="5" s="1"/>
  <c r="P2307" i="5"/>
  <c r="N2307" i="5"/>
  <c r="D2307" i="5"/>
  <c r="O2307" i="5" s="1"/>
  <c r="Q2307" i="5" s="1"/>
  <c r="P2306" i="5"/>
  <c r="N2306" i="5"/>
  <c r="D2306" i="5"/>
  <c r="O2306" i="5" s="1"/>
  <c r="Q2306" i="5" s="1"/>
  <c r="P2305" i="5"/>
  <c r="N2305" i="5"/>
  <c r="D2305" i="5"/>
  <c r="O2305" i="5" s="1"/>
  <c r="Q2305" i="5" s="1"/>
  <c r="P2304" i="5"/>
  <c r="N2304" i="5"/>
  <c r="D2304" i="5"/>
  <c r="O2304" i="5" s="1"/>
  <c r="Q2304" i="5" s="1"/>
  <c r="P2303" i="5"/>
  <c r="N2303" i="5"/>
  <c r="D2303" i="5"/>
  <c r="O2303" i="5" s="1"/>
  <c r="Q2303" i="5" s="1"/>
  <c r="P2302" i="5"/>
  <c r="N2302" i="5"/>
  <c r="D2302" i="5"/>
  <c r="O2302" i="5" s="1"/>
  <c r="Q2302" i="5" s="1"/>
  <c r="P2301" i="5"/>
  <c r="N2301" i="5"/>
  <c r="D2301" i="5"/>
  <c r="O2301" i="5" s="1"/>
  <c r="Q2301" i="5" s="1"/>
  <c r="P2300" i="5"/>
  <c r="N2300" i="5"/>
  <c r="D2300" i="5"/>
  <c r="O2300" i="5" s="1"/>
  <c r="Q2300" i="5" s="1"/>
  <c r="P2299" i="5"/>
  <c r="N2299" i="5"/>
  <c r="D2299" i="5"/>
  <c r="O2299" i="5" s="1"/>
  <c r="Q2299" i="5" s="1"/>
  <c r="P2298" i="5"/>
  <c r="N2298" i="5"/>
  <c r="D2298" i="5"/>
  <c r="O2298" i="5" s="1"/>
  <c r="Q2298" i="5" s="1"/>
  <c r="P2297" i="5"/>
  <c r="N2297" i="5"/>
  <c r="D2297" i="5"/>
  <c r="O2297" i="5" s="1"/>
  <c r="Q2297" i="5" s="1"/>
  <c r="P2296" i="5"/>
  <c r="N2296" i="5"/>
  <c r="D2296" i="5"/>
  <c r="O2296" i="5" s="1"/>
  <c r="Q2296" i="5" s="1"/>
  <c r="P2295" i="5"/>
  <c r="N2295" i="5"/>
  <c r="D2295" i="5"/>
  <c r="O2295" i="5" s="1"/>
  <c r="Q2295" i="5" s="1"/>
  <c r="P2294" i="5"/>
  <c r="N2294" i="5"/>
  <c r="D2294" i="5"/>
  <c r="O2294" i="5" s="1"/>
  <c r="Q2294" i="5" s="1"/>
  <c r="P2293" i="5"/>
  <c r="N2293" i="5"/>
  <c r="D2293" i="5"/>
  <c r="O2293" i="5" s="1"/>
  <c r="Q2293" i="5" s="1"/>
  <c r="P2292" i="5"/>
  <c r="N2292" i="5"/>
  <c r="D2292" i="5"/>
  <c r="O2292" i="5" s="1"/>
  <c r="Q2292" i="5" s="1"/>
  <c r="P2291" i="5"/>
  <c r="N2291" i="5"/>
  <c r="D2291" i="5"/>
  <c r="O2291" i="5" s="1"/>
  <c r="Q2291" i="5" s="1"/>
  <c r="P2290" i="5"/>
  <c r="N2290" i="5"/>
  <c r="D2290" i="5"/>
  <c r="O2290" i="5" s="1"/>
  <c r="Q2290" i="5" s="1"/>
  <c r="P2289" i="5"/>
  <c r="N2289" i="5"/>
  <c r="D2289" i="5"/>
  <c r="O2289" i="5" s="1"/>
  <c r="Q2289" i="5" s="1"/>
  <c r="P2288" i="5"/>
  <c r="N2288" i="5"/>
  <c r="D2288" i="5"/>
  <c r="O2288" i="5" s="1"/>
  <c r="Q2288" i="5" s="1"/>
  <c r="P2287" i="5"/>
  <c r="N2287" i="5"/>
  <c r="D2287" i="5"/>
  <c r="O2287" i="5" s="1"/>
  <c r="Q2287" i="5" s="1"/>
  <c r="P2286" i="5"/>
  <c r="N2286" i="5"/>
  <c r="D2286" i="5"/>
  <c r="O2286" i="5" s="1"/>
  <c r="Q2286" i="5" s="1"/>
  <c r="P2285" i="5"/>
  <c r="N2285" i="5"/>
  <c r="D2285" i="5"/>
  <c r="O2285" i="5" s="1"/>
  <c r="Q2285" i="5" s="1"/>
  <c r="P2284" i="5"/>
  <c r="N2284" i="5"/>
  <c r="D2284" i="5"/>
  <c r="O2284" i="5" s="1"/>
  <c r="Q2284" i="5" s="1"/>
  <c r="P2283" i="5"/>
  <c r="N2283" i="5"/>
  <c r="D2283" i="5"/>
  <c r="O2283" i="5" s="1"/>
  <c r="Q2283" i="5" s="1"/>
  <c r="P2282" i="5"/>
  <c r="N2282" i="5"/>
  <c r="D2282" i="5"/>
  <c r="O2282" i="5" s="1"/>
  <c r="Q2282" i="5" s="1"/>
  <c r="P2281" i="5"/>
  <c r="N2281" i="5"/>
  <c r="D2281" i="5"/>
  <c r="O2281" i="5" s="1"/>
  <c r="Q2281" i="5" s="1"/>
  <c r="P2280" i="5"/>
  <c r="N2280" i="5"/>
  <c r="D2280" i="5"/>
  <c r="P2279" i="5"/>
  <c r="N2279" i="5"/>
  <c r="D2279" i="5"/>
  <c r="O2279" i="5" s="1"/>
  <c r="Q2279" i="5" s="1"/>
  <c r="P2278" i="5"/>
  <c r="N2278" i="5"/>
  <c r="D2278" i="5"/>
  <c r="O2278" i="5" s="1"/>
  <c r="Q2278" i="5" s="1"/>
  <c r="P2277" i="5"/>
  <c r="N2277" i="5"/>
  <c r="D2277" i="5"/>
  <c r="O2277" i="5" s="1"/>
  <c r="Q2277" i="5" s="1"/>
  <c r="P2276" i="5"/>
  <c r="N2276" i="5"/>
  <c r="D2276" i="5"/>
  <c r="O2276" i="5" s="1"/>
  <c r="Q2276" i="5" s="1"/>
  <c r="P2275" i="5"/>
  <c r="N2275" i="5"/>
  <c r="D2275" i="5"/>
  <c r="O2275" i="5" s="1"/>
  <c r="Q2275" i="5" s="1"/>
  <c r="P2274" i="5"/>
  <c r="N2274" i="5"/>
  <c r="D2274" i="5"/>
  <c r="O2274" i="5" s="1"/>
  <c r="Q2274" i="5" s="1"/>
  <c r="P2273" i="5"/>
  <c r="N2273" i="5"/>
  <c r="D2273" i="5"/>
  <c r="O2273" i="5" s="1"/>
  <c r="Q2273" i="5" s="1"/>
  <c r="P2272" i="5"/>
  <c r="N2272" i="5"/>
  <c r="D2272" i="5"/>
  <c r="O2272" i="5" s="1"/>
  <c r="Q2272" i="5" s="1"/>
  <c r="P2271" i="5"/>
  <c r="N2271" i="5"/>
  <c r="D2271" i="5"/>
  <c r="O2271" i="5" s="1"/>
  <c r="Q2271" i="5" s="1"/>
  <c r="P2270" i="5"/>
  <c r="N2270" i="5"/>
  <c r="D2270" i="5"/>
  <c r="O2270" i="5" s="1"/>
  <c r="Q2270" i="5" s="1"/>
  <c r="P2269" i="5"/>
  <c r="N2269" i="5"/>
  <c r="D2269" i="5"/>
  <c r="P2268" i="5"/>
  <c r="N2268" i="5"/>
  <c r="D2268" i="5"/>
  <c r="O2268" i="5" s="1"/>
  <c r="Q2268" i="5" s="1"/>
  <c r="P2267" i="5"/>
  <c r="N2267" i="5"/>
  <c r="D2267" i="5"/>
  <c r="O2267" i="5" s="1"/>
  <c r="Q2267" i="5" s="1"/>
  <c r="P2266" i="5"/>
  <c r="N2266" i="5"/>
  <c r="D2266" i="5"/>
  <c r="O2266" i="5" s="1"/>
  <c r="Q2266" i="5" s="1"/>
  <c r="P2265" i="5"/>
  <c r="N2265" i="5"/>
  <c r="D2265" i="5"/>
  <c r="O2265" i="5" s="1"/>
  <c r="Q2265" i="5" s="1"/>
  <c r="P2264" i="5"/>
  <c r="N2264" i="5"/>
  <c r="D2264" i="5"/>
  <c r="P2263" i="5"/>
  <c r="N2263" i="5"/>
  <c r="D2263" i="5"/>
  <c r="O2263" i="5" s="1"/>
  <c r="Q2263" i="5" s="1"/>
  <c r="P2262" i="5"/>
  <c r="N2262" i="5"/>
  <c r="D2262" i="5"/>
  <c r="O2262" i="5" s="1"/>
  <c r="Q2262" i="5" s="1"/>
  <c r="P2261" i="5"/>
  <c r="N2261" i="5"/>
  <c r="D2261" i="5"/>
  <c r="O2261" i="5" s="1"/>
  <c r="Q2261" i="5" s="1"/>
  <c r="P2260" i="5"/>
  <c r="N2260" i="5"/>
  <c r="D2260" i="5"/>
  <c r="O2260" i="5" s="1"/>
  <c r="Q2260" i="5" s="1"/>
  <c r="P2259" i="5"/>
  <c r="N2259" i="5"/>
  <c r="D2259" i="5"/>
  <c r="O2259" i="5" s="1"/>
  <c r="Q2259" i="5" s="1"/>
  <c r="P2258" i="5"/>
  <c r="N2258" i="5"/>
  <c r="D2258" i="5"/>
  <c r="O2258" i="5" s="1"/>
  <c r="Q2258" i="5" s="1"/>
  <c r="Q2257" i="5"/>
  <c r="P2257" i="5"/>
  <c r="N2257" i="5"/>
  <c r="D2257" i="5"/>
  <c r="Q2256" i="5"/>
  <c r="P2256" i="5"/>
  <c r="N2256" i="5"/>
  <c r="D2256" i="5"/>
  <c r="Q2255" i="5"/>
  <c r="P2255" i="5"/>
  <c r="N2255" i="5"/>
  <c r="D2255" i="5"/>
  <c r="Q2254" i="5"/>
  <c r="P2254" i="5"/>
  <c r="N2254" i="5"/>
  <c r="D2254" i="5"/>
  <c r="Q2253" i="5"/>
  <c r="P2253" i="5"/>
  <c r="N2253" i="5"/>
  <c r="D2253" i="5"/>
  <c r="Q2252" i="5"/>
  <c r="P2252" i="5"/>
  <c r="N2252" i="5"/>
  <c r="D2252" i="5"/>
  <c r="Q2251" i="5"/>
  <c r="P2251" i="5"/>
  <c r="N2251" i="5"/>
  <c r="D2251" i="5"/>
  <c r="Q2250" i="5"/>
  <c r="P2250" i="5"/>
  <c r="N2250" i="5"/>
  <c r="D2250" i="5"/>
  <c r="Q2249" i="5"/>
  <c r="P2249" i="5"/>
  <c r="N2249" i="5"/>
  <c r="D2249" i="5"/>
  <c r="P2248" i="5"/>
  <c r="N2248" i="5"/>
  <c r="D2248" i="5"/>
  <c r="O2248" i="5" s="1"/>
  <c r="Q2248" i="5" s="1"/>
  <c r="P2247" i="5"/>
  <c r="N2247" i="5"/>
  <c r="D2247" i="5"/>
  <c r="O2247" i="5" s="1"/>
  <c r="Q2247" i="5" s="1"/>
  <c r="P2246" i="5"/>
  <c r="N2246" i="5"/>
  <c r="D2246" i="5"/>
  <c r="O2246" i="5" s="1"/>
  <c r="Q2246" i="5" s="1"/>
  <c r="P2245" i="5"/>
  <c r="N2245" i="5"/>
  <c r="D2245" i="5"/>
  <c r="O2245" i="5" s="1"/>
  <c r="Q2245" i="5" s="1"/>
  <c r="P2244" i="5"/>
  <c r="N2244" i="5"/>
  <c r="D2244" i="5"/>
  <c r="O2244" i="5" s="1"/>
  <c r="Q2244" i="5" s="1"/>
  <c r="P2243" i="5"/>
  <c r="N2243" i="5"/>
  <c r="D2243" i="5"/>
  <c r="O2243" i="5" s="1"/>
  <c r="Q2243" i="5" s="1"/>
  <c r="P2242" i="5"/>
  <c r="N2242" i="5"/>
  <c r="D2242" i="5"/>
  <c r="O2242" i="5" s="1"/>
  <c r="Q2242" i="5" s="1"/>
  <c r="P2241" i="5"/>
  <c r="N2241" i="5"/>
  <c r="D2241" i="5"/>
  <c r="O2241" i="5" s="1"/>
  <c r="Q2241" i="5" s="1"/>
  <c r="P2240" i="5"/>
  <c r="N2240" i="5"/>
  <c r="D2240" i="5"/>
  <c r="P2239" i="5"/>
  <c r="N2239" i="5"/>
  <c r="D2239" i="5"/>
  <c r="O2239" i="5" s="1"/>
  <c r="Q2239" i="5" s="1"/>
  <c r="P2238" i="5"/>
  <c r="N2238" i="5"/>
  <c r="D2238" i="5"/>
  <c r="O2238" i="5" s="1"/>
  <c r="Q2238" i="5" s="1"/>
  <c r="P2237" i="5"/>
  <c r="N2237" i="5"/>
  <c r="D2237" i="5"/>
  <c r="O2237" i="5" s="1"/>
  <c r="Q2237" i="5" s="1"/>
  <c r="P2236" i="5"/>
  <c r="N2236" i="5"/>
  <c r="D2236" i="5"/>
  <c r="O2236" i="5" s="1"/>
  <c r="Q2236" i="5" s="1"/>
  <c r="P2235" i="5"/>
  <c r="N2235" i="5"/>
  <c r="D2235" i="5"/>
  <c r="O2235" i="5" s="1"/>
  <c r="Q2235" i="5" s="1"/>
  <c r="P2234" i="5"/>
  <c r="N2234" i="5"/>
  <c r="D2234" i="5"/>
  <c r="O2234" i="5" s="1"/>
  <c r="Q2234" i="5" s="1"/>
  <c r="P2233" i="5"/>
  <c r="N2233" i="5"/>
  <c r="D2233" i="5"/>
  <c r="P2232" i="5"/>
  <c r="N2232" i="5"/>
  <c r="D2232" i="5"/>
  <c r="O2232" i="5" s="1"/>
  <c r="Q2232" i="5" s="1"/>
  <c r="P2231" i="5"/>
  <c r="N2231" i="5"/>
  <c r="D2231" i="5"/>
  <c r="O2231" i="5" s="1"/>
  <c r="Q2231" i="5" s="1"/>
  <c r="P2230" i="5"/>
  <c r="N2230" i="5"/>
  <c r="D2230" i="5"/>
  <c r="P2229" i="5"/>
  <c r="N2229" i="5"/>
  <c r="D2229" i="5"/>
  <c r="O2229" i="5" s="1"/>
  <c r="Q2229" i="5" s="1"/>
  <c r="P2228" i="5"/>
  <c r="N2228" i="5"/>
  <c r="D2228" i="5"/>
  <c r="O2228" i="5" s="1"/>
  <c r="Q2228" i="5" s="1"/>
  <c r="P2227" i="5"/>
  <c r="N2227" i="5"/>
  <c r="D2227" i="5"/>
  <c r="O2227" i="5" s="1"/>
  <c r="Q2227" i="5" s="1"/>
  <c r="P2226" i="5"/>
  <c r="N2226" i="5"/>
  <c r="D2226" i="5"/>
  <c r="O2226" i="5" s="1"/>
  <c r="Q2226" i="5" s="1"/>
  <c r="P2225" i="5"/>
  <c r="N2225" i="5"/>
  <c r="D2225" i="5"/>
  <c r="O2225" i="5" s="1"/>
  <c r="Q2225" i="5" s="1"/>
  <c r="P2224" i="5"/>
  <c r="N2224" i="5"/>
  <c r="D2224" i="5"/>
  <c r="O2224" i="5" s="1"/>
  <c r="Q2224" i="5" s="1"/>
  <c r="P2223" i="5"/>
  <c r="N2223" i="5"/>
  <c r="D2223" i="5"/>
  <c r="O2223" i="5" s="1"/>
  <c r="Q2223" i="5" s="1"/>
  <c r="P2222" i="5"/>
  <c r="N2222" i="5"/>
  <c r="D2222" i="5"/>
  <c r="O2222" i="5" s="1"/>
  <c r="Q2222" i="5" s="1"/>
  <c r="P2221" i="5"/>
  <c r="N2221" i="5"/>
  <c r="D2221" i="5"/>
  <c r="O2221" i="5" s="1"/>
  <c r="Q2221" i="5" s="1"/>
  <c r="P2220" i="5"/>
  <c r="N2220" i="5"/>
  <c r="D2220" i="5"/>
  <c r="O2220" i="5" s="1"/>
  <c r="Q2220" i="5" s="1"/>
  <c r="P2219" i="5"/>
  <c r="N2219" i="5"/>
  <c r="D2219" i="5"/>
  <c r="O2219" i="5" s="1"/>
  <c r="Q2219" i="5" s="1"/>
  <c r="P2218" i="5"/>
  <c r="N2218" i="5"/>
  <c r="D2218" i="5"/>
  <c r="O2218" i="5" s="1"/>
  <c r="Q2218" i="5" s="1"/>
  <c r="P2217" i="5"/>
  <c r="N2217" i="5"/>
  <c r="D2217" i="5"/>
  <c r="O2217" i="5" s="1"/>
  <c r="Q2217" i="5" s="1"/>
  <c r="P2216" i="5"/>
  <c r="N2216" i="5"/>
  <c r="D2216" i="5"/>
  <c r="O2216" i="5" s="1"/>
  <c r="Q2216" i="5" s="1"/>
  <c r="P2215" i="5"/>
  <c r="N2215" i="5"/>
  <c r="D2215" i="5"/>
  <c r="O2215" i="5" s="1"/>
  <c r="Q2215" i="5" s="1"/>
  <c r="P2214" i="5"/>
  <c r="N2214" i="5"/>
  <c r="D2214" i="5"/>
  <c r="O2214" i="5" s="1"/>
  <c r="Q2214" i="5" s="1"/>
  <c r="P2213" i="5"/>
  <c r="N2213" i="5"/>
  <c r="D2213" i="5"/>
  <c r="O2213" i="5" s="1"/>
  <c r="Q2213" i="5" s="1"/>
  <c r="P2212" i="5"/>
  <c r="N2212" i="5"/>
  <c r="D2212" i="5"/>
  <c r="O2212" i="5" s="1"/>
  <c r="Q2212" i="5" s="1"/>
  <c r="P2211" i="5"/>
  <c r="N2211" i="5"/>
  <c r="D2211" i="5"/>
  <c r="O2211" i="5" s="1"/>
  <c r="Q2211" i="5" s="1"/>
  <c r="P2210" i="5"/>
  <c r="N2210" i="5"/>
  <c r="D2210" i="5"/>
  <c r="O2210" i="5" s="1"/>
  <c r="Q2210" i="5" s="1"/>
  <c r="P2209" i="5"/>
  <c r="N2209" i="5"/>
  <c r="D2209" i="5"/>
  <c r="O2209" i="5" s="1"/>
  <c r="Q2209" i="5" s="1"/>
  <c r="P2208" i="5"/>
  <c r="N2208" i="5"/>
  <c r="D2208" i="5"/>
  <c r="O2208" i="5" s="1"/>
  <c r="Q2208" i="5" s="1"/>
  <c r="P2207" i="5"/>
  <c r="N2207" i="5"/>
  <c r="D2207" i="5"/>
  <c r="O2207" i="5" s="1"/>
  <c r="Q2207" i="5" s="1"/>
  <c r="P2206" i="5"/>
  <c r="N2206" i="5"/>
  <c r="D2206" i="5"/>
  <c r="O2206" i="5" s="1"/>
  <c r="Q2206" i="5" s="1"/>
  <c r="P2205" i="5"/>
  <c r="N2205" i="5"/>
  <c r="D2205" i="5"/>
  <c r="O2205" i="5" s="1"/>
  <c r="Q2205" i="5" s="1"/>
  <c r="P2204" i="5"/>
  <c r="N2204" i="5"/>
  <c r="D2204" i="5"/>
  <c r="O2204" i="5" s="1"/>
  <c r="Q2204" i="5" s="1"/>
  <c r="P2203" i="5"/>
  <c r="N2203" i="5"/>
  <c r="D2203" i="5"/>
  <c r="O2203" i="5" s="1"/>
  <c r="Q2203" i="5" s="1"/>
  <c r="P2202" i="5"/>
  <c r="N2202" i="5"/>
  <c r="D2202" i="5"/>
  <c r="O2202" i="5" s="1"/>
  <c r="Q2202" i="5" s="1"/>
  <c r="P2201" i="5"/>
  <c r="N2201" i="5"/>
  <c r="D2201" i="5"/>
  <c r="O2201" i="5" s="1"/>
  <c r="Q2201" i="5" s="1"/>
  <c r="P2200" i="5"/>
  <c r="N2200" i="5"/>
  <c r="D2200" i="5"/>
  <c r="O2200" i="5" s="1"/>
  <c r="Q2200" i="5" s="1"/>
  <c r="P2199" i="5"/>
  <c r="N2199" i="5"/>
  <c r="D2199" i="5"/>
  <c r="O2199" i="5" s="1"/>
  <c r="Q2199" i="5" s="1"/>
  <c r="P2198" i="5"/>
  <c r="N2198" i="5"/>
  <c r="D2198" i="5"/>
  <c r="O2198" i="5" s="1"/>
  <c r="Q2198" i="5" s="1"/>
  <c r="P2197" i="5"/>
  <c r="N2197" i="5"/>
  <c r="D2197" i="5"/>
  <c r="O2197" i="5" s="1"/>
  <c r="Q2197" i="5" s="1"/>
  <c r="P2196" i="5"/>
  <c r="N2196" i="5"/>
  <c r="D2196" i="5"/>
  <c r="O2196" i="5" s="1"/>
  <c r="Q2196" i="5" s="1"/>
  <c r="P2195" i="5"/>
  <c r="N2195" i="5"/>
  <c r="D2195" i="5"/>
  <c r="P2194" i="5"/>
  <c r="N2194" i="5"/>
  <c r="D2194" i="5"/>
  <c r="O2194" i="5" s="1"/>
  <c r="Q2194" i="5" s="1"/>
  <c r="P2193" i="5"/>
  <c r="N2193" i="5"/>
  <c r="D2193" i="5"/>
  <c r="P2192" i="5"/>
  <c r="N2192" i="5"/>
  <c r="D2192" i="5"/>
  <c r="O2192" i="5" s="1"/>
  <c r="Q2192" i="5" s="1"/>
  <c r="P2191" i="5"/>
  <c r="N2191" i="5"/>
  <c r="D2191" i="5"/>
  <c r="O2191" i="5" s="1"/>
  <c r="Q2191" i="5" s="1"/>
  <c r="P2190" i="5"/>
  <c r="N2190" i="5"/>
  <c r="D2190" i="5"/>
  <c r="O2190" i="5" s="1"/>
  <c r="Q2190" i="5" s="1"/>
  <c r="P2189" i="5"/>
  <c r="N2189" i="5"/>
  <c r="D2189" i="5"/>
  <c r="O2189" i="5" s="1"/>
  <c r="Q2189" i="5" s="1"/>
  <c r="P2188" i="5"/>
  <c r="N2188" i="5"/>
  <c r="D2188" i="5"/>
  <c r="O2188" i="5" s="1"/>
  <c r="Q2188" i="5" s="1"/>
  <c r="P2187" i="5"/>
  <c r="N2187" i="5"/>
  <c r="D2187" i="5"/>
  <c r="O2187" i="5" s="1"/>
  <c r="Q2187" i="5" s="1"/>
  <c r="P2186" i="5"/>
  <c r="N2186" i="5"/>
  <c r="D2186" i="5"/>
  <c r="O2186" i="5" s="1"/>
  <c r="Q2186" i="5" s="1"/>
  <c r="P2185" i="5"/>
  <c r="N2185" i="5"/>
  <c r="D2185" i="5"/>
  <c r="O2185" i="5" s="1"/>
  <c r="Q2185" i="5" s="1"/>
  <c r="P2184" i="5"/>
  <c r="N2184" i="5"/>
  <c r="D2184" i="5"/>
  <c r="O2184" i="5" s="1"/>
  <c r="Q2184" i="5" s="1"/>
  <c r="P2183" i="5"/>
  <c r="N2183" i="5"/>
  <c r="D2183" i="5"/>
  <c r="O2183" i="5" s="1"/>
  <c r="Q2183" i="5" s="1"/>
  <c r="P2182" i="5"/>
  <c r="N2182" i="5"/>
  <c r="D2182" i="5"/>
  <c r="O2182" i="5" s="1"/>
  <c r="Q2182" i="5" s="1"/>
  <c r="P2181" i="5"/>
  <c r="N2181" i="5"/>
  <c r="D2181" i="5"/>
  <c r="O2181" i="5" s="1"/>
  <c r="Q2181" i="5" s="1"/>
  <c r="P2180" i="5"/>
  <c r="N2180" i="5"/>
  <c r="D2180" i="5"/>
  <c r="O2180" i="5" s="1"/>
  <c r="Q2180" i="5" s="1"/>
  <c r="P2179" i="5"/>
  <c r="N2179" i="5"/>
  <c r="D2179" i="5"/>
  <c r="O2179" i="5" s="1"/>
  <c r="Q2179" i="5" s="1"/>
  <c r="P2178" i="5"/>
  <c r="N2178" i="5"/>
  <c r="D2178" i="5"/>
  <c r="O2178" i="5" s="1"/>
  <c r="Q2178" i="5" s="1"/>
  <c r="P2177" i="5"/>
  <c r="N2177" i="5"/>
  <c r="D2177" i="5"/>
  <c r="O2177" i="5" s="1"/>
  <c r="Q2177" i="5" s="1"/>
  <c r="P2176" i="5"/>
  <c r="N2176" i="5"/>
  <c r="D2176" i="5"/>
  <c r="O2176" i="5" s="1"/>
  <c r="Q2176" i="5" s="1"/>
  <c r="P2175" i="5"/>
  <c r="N2175" i="5"/>
  <c r="D2175" i="5"/>
  <c r="O2175" i="5" s="1"/>
  <c r="Q2175" i="5" s="1"/>
  <c r="P2174" i="5"/>
  <c r="N2174" i="5"/>
  <c r="D2174" i="5"/>
  <c r="O2174" i="5" s="1"/>
  <c r="Q2174" i="5" s="1"/>
  <c r="P2173" i="5"/>
  <c r="N2173" i="5"/>
  <c r="D2173" i="5"/>
  <c r="O2173" i="5" s="1"/>
  <c r="Q2173" i="5" s="1"/>
  <c r="P2172" i="5"/>
  <c r="N2172" i="5"/>
  <c r="D2172" i="5"/>
  <c r="O2172" i="5" s="1"/>
  <c r="Q2172" i="5" s="1"/>
  <c r="P2171" i="5"/>
  <c r="N2171" i="5"/>
  <c r="D2171" i="5"/>
  <c r="O2171" i="5" s="1"/>
  <c r="Q2171" i="5" s="1"/>
  <c r="P2170" i="5"/>
  <c r="N2170" i="5"/>
  <c r="D2170" i="5"/>
  <c r="O2170" i="5" s="1"/>
  <c r="Q2170" i="5" s="1"/>
  <c r="P2169" i="5"/>
  <c r="N2169" i="5"/>
  <c r="D2169" i="5"/>
  <c r="O2169" i="5" s="1"/>
  <c r="Q2169" i="5" s="1"/>
  <c r="P2168" i="5"/>
  <c r="N2168" i="5"/>
  <c r="D2168" i="5"/>
  <c r="O2168" i="5" s="1"/>
  <c r="Q2168" i="5" s="1"/>
  <c r="P2167" i="5"/>
  <c r="N2167" i="5"/>
  <c r="D2167" i="5"/>
  <c r="O2167" i="5" s="1"/>
  <c r="Q2167" i="5" s="1"/>
  <c r="P2166" i="5"/>
  <c r="N2166" i="5"/>
  <c r="D2166" i="5"/>
  <c r="O2166" i="5" s="1"/>
  <c r="Q2166" i="5" s="1"/>
  <c r="P2165" i="5"/>
  <c r="N2165" i="5"/>
  <c r="D2165" i="5"/>
  <c r="O2165" i="5" s="1"/>
  <c r="Q2165" i="5" s="1"/>
  <c r="P2164" i="5"/>
  <c r="N2164" i="5"/>
  <c r="D2164" i="5"/>
  <c r="O2164" i="5" s="1"/>
  <c r="Q2164" i="5" s="1"/>
  <c r="P2163" i="5"/>
  <c r="N2163" i="5"/>
  <c r="D2163" i="5"/>
  <c r="O2163" i="5" s="1"/>
  <c r="Q2163" i="5" s="1"/>
  <c r="P2162" i="5"/>
  <c r="N2162" i="5"/>
  <c r="D2162" i="5"/>
  <c r="O2162" i="5" s="1"/>
  <c r="Q2162" i="5" s="1"/>
  <c r="P2161" i="5"/>
  <c r="N2161" i="5"/>
  <c r="D2161" i="5"/>
  <c r="O2161" i="5" s="1"/>
  <c r="Q2161" i="5" s="1"/>
  <c r="P2160" i="5"/>
  <c r="N2160" i="5"/>
  <c r="D2160" i="5"/>
  <c r="O2160" i="5" s="1"/>
  <c r="Q2160" i="5" s="1"/>
  <c r="P2159" i="5"/>
  <c r="N2159" i="5"/>
  <c r="D2159" i="5"/>
  <c r="O2159" i="5" s="1"/>
  <c r="Q2159" i="5" s="1"/>
  <c r="P2158" i="5"/>
  <c r="N2158" i="5"/>
  <c r="D2158" i="5"/>
  <c r="O2158" i="5" s="1"/>
  <c r="Q2158" i="5" s="1"/>
  <c r="P2157" i="5"/>
  <c r="N2157" i="5"/>
  <c r="D2157" i="5"/>
  <c r="O2157" i="5" s="1"/>
  <c r="Q2157" i="5" s="1"/>
  <c r="P2156" i="5"/>
  <c r="N2156" i="5"/>
  <c r="D2156" i="5"/>
  <c r="O2156" i="5" s="1"/>
  <c r="Q2156" i="5" s="1"/>
  <c r="P2155" i="5"/>
  <c r="N2155" i="5"/>
  <c r="D2155" i="5"/>
  <c r="O2155" i="5" s="1"/>
  <c r="Q2155" i="5" s="1"/>
  <c r="P2154" i="5"/>
  <c r="N2154" i="5"/>
  <c r="D2154" i="5"/>
  <c r="O2154" i="5" s="1"/>
  <c r="Q2154" i="5" s="1"/>
  <c r="P2153" i="5"/>
  <c r="N2153" i="5"/>
  <c r="D2153" i="5"/>
  <c r="O2153" i="5" s="1"/>
  <c r="Q2153" i="5" s="1"/>
  <c r="P2152" i="5"/>
  <c r="N2152" i="5"/>
  <c r="D2152" i="5"/>
  <c r="O2152" i="5" s="1"/>
  <c r="Q2152" i="5" s="1"/>
  <c r="P2151" i="5"/>
  <c r="N2151" i="5"/>
  <c r="D2151" i="5"/>
  <c r="O2151" i="5" s="1"/>
  <c r="Q2151" i="5" s="1"/>
  <c r="P2150" i="5"/>
  <c r="N2150" i="5"/>
  <c r="D2150" i="5"/>
  <c r="O2150" i="5" s="1"/>
  <c r="Q2150" i="5" s="1"/>
  <c r="P2149" i="5"/>
  <c r="N2149" i="5"/>
  <c r="D2149" i="5"/>
  <c r="O2149" i="5" s="1"/>
  <c r="Q2149" i="5" s="1"/>
  <c r="P2148" i="5"/>
  <c r="N2148" i="5"/>
  <c r="D2148" i="5"/>
  <c r="O2148" i="5" s="1"/>
  <c r="Q2148" i="5" s="1"/>
  <c r="P2147" i="5"/>
  <c r="N2147" i="5"/>
  <c r="D2147" i="5"/>
  <c r="O2147" i="5" s="1"/>
  <c r="Q2147" i="5" s="1"/>
  <c r="P2146" i="5"/>
  <c r="N2146" i="5"/>
  <c r="D2146" i="5"/>
  <c r="O2146" i="5" s="1"/>
  <c r="Q2146" i="5" s="1"/>
  <c r="P2145" i="5"/>
  <c r="N2145" i="5"/>
  <c r="D2145" i="5"/>
  <c r="O2145" i="5" s="1"/>
  <c r="Q2145" i="5" s="1"/>
  <c r="P2144" i="5"/>
  <c r="N2144" i="5"/>
  <c r="D2144" i="5"/>
  <c r="P2143" i="5"/>
  <c r="N2143" i="5"/>
  <c r="D2143" i="5"/>
  <c r="O2143" i="5" s="1"/>
  <c r="Q2143" i="5" s="1"/>
  <c r="P2142" i="5"/>
  <c r="N2142" i="5"/>
  <c r="D2142" i="5"/>
  <c r="O2142" i="5" s="1"/>
  <c r="Q2142" i="5" s="1"/>
  <c r="P2141" i="5"/>
  <c r="N2141" i="5"/>
  <c r="D2141" i="5"/>
  <c r="O2141" i="5" s="1"/>
  <c r="Q2141" i="5" s="1"/>
  <c r="P2140" i="5"/>
  <c r="N2140" i="5"/>
  <c r="D2140" i="5"/>
  <c r="O2140" i="5" s="1"/>
  <c r="Q2140" i="5" s="1"/>
  <c r="P2139" i="5"/>
  <c r="N2139" i="5"/>
  <c r="D2139" i="5"/>
  <c r="O2139" i="5" s="1"/>
  <c r="Q2139" i="5" s="1"/>
  <c r="P2138" i="5"/>
  <c r="N2138" i="5"/>
  <c r="D2138" i="5"/>
  <c r="O2138" i="5" s="1"/>
  <c r="Q2138" i="5" s="1"/>
  <c r="P2137" i="5"/>
  <c r="N2137" i="5"/>
  <c r="D2137" i="5"/>
  <c r="O2137" i="5" s="1"/>
  <c r="Q2137" i="5" s="1"/>
  <c r="P2136" i="5"/>
  <c r="N2136" i="5"/>
  <c r="D2136" i="5"/>
  <c r="O2136" i="5" s="1"/>
  <c r="Q2136" i="5" s="1"/>
  <c r="P2135" i="5"/>
  <c r="N2135" i="5"/>
  <c r="D2135" i="5"/>
  <c r="P2134" i="5"/>
  <c r="N2134" i="5"/>
  <c r="D2134" i="5"/>
  <c r="O2134" i="5" s="1"/>
  <c r="Q2134" i="5" s="1"/>
  <c r="P2133" i="5"/>
  <c r="N2133" i="5"/>
  <c r="D2133" i="5"/>
  <c r="O2133" i="5" s="1"/>
  <c r="Q2133" i="5" s="1"/>
  <c r="P2132" i="5"/>
  <c r="N2132" i="5"/>
  <c r="D2132" i="5"/>
  <c r="O2132" i="5" s="1"/>
  <c r="Q2132" i="5" s="1"/>
  <c r="P2131" i="5"/>
  <c r="N2131" i="5"/>
  <c r="D2131" i="5"/>
  <c r="O2131" i="5" s="1"/>
  <c r="Q2131" i="5" s="1"/>
  <c r="P2130" i="5"/>
  <c r="N2130" i="5"/>
  <c r="D2130" i="5"/>
  <c r="O2130" i="5" s="1"/>
  <c r="Q2130" i="5" s="1"/>
  <c r="P2129" i="5"/>
  <c r="N2129" i="5"/>
  <c r="D2129" i="5"/>
  <c r="O2129" i="5" s="1"/>
  <c r="Q2129" i="5" s="1"/>
  <c r="P2128" i="5"/>
  <c r="N2128" i="5"/>
  <c r="D2128" i="5"/>
  <c r="O2128" i="5" s="1"/>
  <c r="Q2128" i="5" s="1"/>
  <c r="P2127" i="5"/>
  <c r="N2127" i="5"/>
  <c r="D2127" i="5"/>
  <c r="O2127" i="5" s="1"/>
  <c r="Q2127" i="5" s="1"/>
  <c r="P2126" i="5"/>
  <c r="N2126" i="5"/>
  <c r="D2126" i="5"/>
  <c r="O2126" i="5" s="1"/>
  <c r="Q2126" i="5" s="1"/>
  <c r="P2125" i="5"/>
  <c r="N2125" i="5"/>
  <c r="D2125" i="5"/>
  <c r="O2125" i="5" s="1"/>
  <c r="Q2125" i="5" s="1"/>
  <c r="P2124" i="5"/>
  <c r="N2124" i="5"/>
  <c r="D2124" i="5"/>
  <c r="O2124" i="5" s="1"/>
  <c r="Q2124" i="5" s="1"/>
  <c r="P2123" i="5"/>
  <c r="N2123" i="5"/>
  <c r="D2123" i="5"/>
  <c r="O2123" i="5" s="1"/>
  <c r="Q2123" i="5" s="1"/>
  <c r="P2122" i="5"/>
  <c r="N2122" i="5"/>
  <c r="D2122" i="5"/>
  <c r="P2121" i="5"/>
  <c r="N2121" i="5"/>
  <c r="D2121" i="5"/>
  <c r="O2121" i="5" s="1"/>
  <c r="Q2121" i="5" s="1"/>
  <c r="P2120" i="5"/>
  <c r="N2120" i="5"/>
  <c r="D2120" i="5"/>
  <c r="O2120" i="5" s="1"/>
  <c r="Q2120" i="5" s="1"/>
  <c r="P2119" i="5"/>
  <c r="N2119" i="5"/>
  <c r="D2119" i="5"/>
  <c r="O2119" i="5" s="1"/>
  <c r="Q2119" i="5" s="1"/>
  <c r="P2118" i="5"/>
  <c r="N2118" i="5"/>
  <c r="D2118" i="5"/>
  <c r="O2118" i="5" s="1"/>
  <c r="Q2118" i="5" s="1"/>
  <c r="P2117" i="5"/>
  <c r="N2117" i="5"/>
  <c r="D2117" i="5"/>
  <c r="O2117" i="5" s="1"/>
  <c r="Q2117" i="5" s="1"/>
  <c r="P2116" i="5"/>
  <c r="N2116" i="5"/>
  <c r="D2116" i="5"/>
  <c r="O2116" i="5" s="1"/>
  <c r="Q2116" i="5" s="1"/>
  <c r="P2115" i="5"/>
  <c r="N2115" i="5"/>
  <c r="D2115" i="5"/>
  <c r="O2115" i="5" s="1"/>
  <c r="Q2115" i="5" s="1"/>
  <c r="P2114" i="5"/>
  <c r="N2114" i="5"/>
  <c r="D2114" i="5"/>
  <c r="O2114" i="5" s="1"/>
  <c r="Q2114" i="5" s="1"/>
  <c r="P2113" i="5"/>
  <c r="N2113" i="5"/>
  <c r="D2113" i="5"/>
  <c r="P2112" i="5"/>
  <c r="N2112" i="5"/>
  <c r="D2112" i="5"/>
  <c r="O2112" i="5" s="1"/>
  <c r="Q2112" i="5" s="1"/>
  <c r="P2111" i="5"/>
  <c r="N2111" i="5"/>
  <c r="D2111" i="5"/>
  <c r="O2111" i="5" s="1"/>
  <c r="Q2111" i="5" s="1"/>
  <c r="P2110" i="5"/>
  <c r="N2110" i="5"/>
  <c r="D2110" i="5"/>
  <c r="O2110" i="5" s="1"/>
  <c r="Q2110" i="5" s="1"/>
  <c r="P2109" i="5"/>
  <c r="N2109" i="5"/>
  <c r="D2109" i="5"/>
  <c r="O2109" i="5" s="1"/>
  <c r="Q2109" i="5" s="1"/>
  <c r="P2108" i="5"/>
  <c r="N2108" i="5"/>
  <c r="D2108" i="5"/>
  <c r="O2108" i="5" s="1"/>
  <c r="Q2108" i="5" s="1"/>
  <c r="P2107" i="5"/>
  <c r="N2107" i="5"/>
  <c r="D2107" i="5"/>
  <c r="O2107" i="5" s="1"/>
  <c r="Q2107" i="5" s="1"/>
  <c r="P2106" i="5"/>
  <c r="N2106" i="5"/>
  <c r="D2106" i="5"/>
  <c r="O2106" i="5" s="1"/>
  <c r="Q2106" i="5" s="1"/>
  <c r="P2105" i="5"/>
  <c r="N2105" i="5"/>
  <c r="D2105" i="5"/>
  <c r="O2105" i="5" s="1"/>
  <c r="Q2105" i="5" s="1"/>
  <c r="P2104" i="5"/>
  <c r="N2104" i="5"/>
  <c r="D2104" i="5"/>
  <c r="O2104" i="5" s="1"/>
  <c r="Q2104" i="5" s="1"/>
  <c r="P2103" i="5"/>
  <c r="N2103" i="5"/>
  <c r="D2103" i="5"/>
  <c r="O2103" i="5" s="1"/>
  <c r="Q2103" i="5" s="1"/>
  <c r="P2102" i="5"/>
  <c r="N2102" i="5"/>
  <c r="D2102" i="5"/>
  <c r="O2102" i="5" s="1"/>
  <c r="Q2102" i="5" s="1"/>
  <c r="P2101" i="5"/>
  <c r="N2101" i="5"/>
  <c r="D2101" i="5"/>
  <c r="O2101" i="5" s="1"/>
  <c r="Q2101" i="5" s="1"/>
  <c r="P2100" i="5"/>
  <c r="N2100" i="5"/>
  <c r="D2100" i="5"/>
  <c r="O2100" i="5" s="1"/>
  <c r="Q2100" i="5" s="1"/>
  <c r="P2099" i="5"/>
  <c r="N2099" i="5"/>
  <c r="D2099" i="5"/>
  <c r="O2099" i="5" s="1"/>
  <c r="Q2099" i="5" s="1"/>
  <c r="P2098" i="5"/>
  <c r="N2098" i="5"/>
  <c r="D2098" i="5"/>
  <c r="O2098" i="5" s="1"/>
  <c r="Q2098" i="5" s="1"/>
  <c r="P2097" i="5"/>
  <c r="N2097" i="5"/>
  <c r="D2097" i="5"/>
  <c r="O2097" i="5" s="1"/>
  <c r="Q2097" i="5" s="1"/>
  <c r="P2096" i="5"/>
  <c r="N2096" i="5"/>
  <c r="D2096" i="5"/>
  <c r="O2096" i="5" s="1"/>
  <c r="Q2096" i="5" s="1"/>
  <c r="P2095" i="5"/>
  <c r="N2095" i="5"/>
  <c r="D2095" i="5"/>
  <c r="O2095" i="5" s="1"/>
  <c r="Q2095" i="5" s="1"/>
  <c r="P2094" i="5"/>
  <c r="N2094" i="5"/>
  <c r="D2094" i="5"/>
  <c r="O2094" i="5" s="1"/>
  <c r="Q2094" i="5" s="1"/>
  <c r="P2093" i="5"/>
  <c r="N2093" i="5"/>
  <c r="D2093" i="5"/>
  <c r="O2093" i="5" s="1"/>
  <c r="Q2093" i="5" s="1"/>
  <c r="P2092" i="5"/>
  <c r="N2092" i="5"/>
  <c r="D2092" i="5"/>
  <c r="O2092" i="5" s="1"/>
  <c r="Q2092" i="5" s="1"/>
  <c r="P2091" i="5"/>
  <c r="N2091" i="5"/>
  <c r="D2091" i="5"/>
  <c r="O2091" i="5" s="1"/>
  <c r="Q2091" i="5" s="1"/>
  <c r="P2090" i="5"/>
  <c r="N2090" i="5"/>
  <c r="D2090" i="5"/>
  <c r="O2090" i="5" s="1"/>
  <c r="Q2090" i="5" s="1"/>
  <c r="P2089" i="5"/>
  <c r="N2089" i="5"/>
  <c r="D2089" i="5"/>
  <c r="O2089" i="5" s="1"/>
  <c r="Q2089" i="5" s="1"/>
  <c r="P2088" i="5"/>
  <c r="N2088" i="5"/>
  <c r="D2088" i="5"/>
  <c r="O2088" i="5" s="1"/>
  <c r="Q2088" i="5" s="1"/>
  <c r="P2087" i="5"/>
  <c r="N2087" i="5"/>
  <c r="D2087" i="5"/>
  <c r="O2087" i="5" s="1"/>
  <c r="Q2087" i="5" s="1"/>
  <c r="P2086" i="5"/>
  <c r="N2086" i="5"/>
  <c r="D2086" i="5"/>
  <c r="O2086" i="5" s="1"/>
  <c r="Q2086" i="5" s="1"/>
  <c r="P2085" i="5"/>
  <c r="N2085" i="5"/>
  <c r="D2085" i="5"/>
  <c r="O2085" i="5" s="1"/>
  <c r="Q2085" i="5" s="1"/>
  <c r="P2084" i="5"/>
  <c r="N2084" i="5"/>
  <c r="D2084" i="5"/>
  <c r="O2084" i="5" s="1"/>
  <c r="Q2084" i="5" s="1"/>
  <c r="P2083" i="5"/>
  <c r="N2083" i="5"/>
  <c r="D2083" i="5"/>
  <c r="O2083" i="5" s="1"/>
  <c r="Q2083" i="5" s="1"/>
  <c r="P2082" i="5"/>
  <c r="N2082" i="5"/>
  <c r="D2082" i="5"/>
  <c r="O2082" i="5" s="1"/>
  <c r="Q2082" i="5" s="1"/>
  <c r="P2081" i="5"/>
  <c r="N2081" i="5"/>
  <c r="D2081" i="5"/>
  <c r="O2081" i="5" s="1"/>
  <c r="Q2081" i="5" s="1"/>
  <c r="P2080" i="5"/>
  <c r="N2080" i="5"/>
  <c r="D2080" i="5"/>
  <c r="O2080" i="5" s="1"/>
  <c r="Q2080" i="5" s="1"/>
  <c r="P2079" i="5"/>
  <c r="N2079" i="5"/>
  <c r="D2079" i="5"/>
  <c r="O2079" i="5" s="1"/>
  <c r="Q2079" i="5" s="1"/>
  <c r="P2078" i="5"/>
  <c r="N2078" i="5"/>
  <c r="D2078" i="5"/>
  <c r="O2078" i="5" s="1"/>
  <c r="Q2078" i="5" s="1"/>
  <c r="P2077" i="5"/>
  <c r="N2077" i="5"/>
  <c r="D2077" i="5"/>
  <c r="O2077" i="5" s="1"/>
  <c r="Q2077" i="5" s="1"/>
  <c r="P2076" i="5"/>
  <c r="N2076" i="5"/>
  <c r="D2076" i="5"/>
  <c r="O2076" i="5" s="1"/>
  <c r="Q2076" i="5" s="1"/>
  <c r="P2075" i="5"/>
  <c r="N2075" i="5"/>
  <c r="D2075" i="5"/>
  <c r="O2075" i="5" s="1"/>
  <c r="Q2075" i="5" s="1"/>
  <c r="Q2074" i="5"/>
  <c r="P2074" i="5"/>
  <c r="N2074" i="5"/>
  <c r="D2074" i="5"/>
  <c r="Q2073" i="5"/>
  <c r="P2073" i="5"/>
  <c r="N2073" i="5"/>
  <c r="D2073" i="5"/>
  <c r="Q2072" i="5"/>
  <c r="P2072" i="5"/>
  <c r="N2072" i="5"/>
  <c r="D2072" i="5"/>
  <c r="Q2071" i="5"/>
  <c r="P2071" i="5"/>
  <c r="N2071" i="5"/>
  <c r="D2071" i="5"/>
  <c r="Q2070" i="5"/>
  <c r="P2070" i="5"/>
  <c r="N2070" i="5"/>
  <c r="D2070" i="5"/>
  <c r="Q2069" i="5"/>
  <c r="P2069" i="5"/>
  <c r="N2069" i="5"/>
  <c r="D2069" i="5"/>
  <c r="Q2068" i="5"/>
  <c r="P2068" i="5"/>
  <c r="N2068" i="5"/>
  <c r="D2068" i="5"/>
  <c r="Q2067" i="5"/>
  <c r="P2067" i="5"/>
  <c r="N2067" i="5"/>
  <c r="D2067" i="5"/>
  <c r="Q2066" i="5"/>
  <c r="P2066" i="5"/>
  <c r="N2066" i="5"/>
  <c r="D2066" i="5"/>
  <c r="Q2065" i="5"/>
  <c r="P2065" i="5"/>
  <c r="N2065" i="5"/>
  <c r="D2065" i="5"/>
  <c r="Q2064" i="5"/>
  <c r="P2064" i="5"/>
  <c r="N2064" i="5"/>
  <c r="D2064" i="5"/>
  <c r="Q2063" i="5"/>
  <c r="P2063" i="5"/>
  <c r="N2063" i="5"/>
  <c r="D2063" i="5"/>
  <c r="P2062" i="5"/>
  <c r="N2062" i="5"/>
  <c r="D2062" i="5"/>
  <c r="O2062" i="5" s="1"/>
  <c r="Q2062" i="5" s="1"/>
  <c r="P2061" i="5"/>
  <c r="N2061" i="5"/>
  <c r="D2061" i="5"/>
  <c r="O2061" i="5" s="1"/>
  <c r="Q2061" i="5" s="1"/>
  <c r="P2060" i="5"/>
  <c r="N2060" i="5"/>
  <c r="D2060" i="5"/>
  <c r="O2060" i="5" s="1"/>
  <c r="Q2060" i="5" s="1"/>
  <c r="P2059" i="5"/>
  <c r="N2059" i="5"/>
  <c r="D2059" i="5"/>
  <c r="O2059" i="5" s="1"/>
  <c r="Q2059" i="5" s="1"/>
  <c r="P2058" i="5"/>
  <c r="N2058" i="5"/>
  <c r="D2058" i="5"/>
  <c r="O2058" i="5" s="1"/>
  <c r="Q2058" i="5" s="1"/>
  <c r="P2057" i="5"/>
  <c r="N2057" i="5"/>
  <c r="D2057" i="5"/>
  <c r="O2057" i="5" s="1"/>
  <c r="Q2057" i="5" s="1"/>
  <c r="P2056" i="5"/>
  <c r="N2056" i="5"/>
  <c r="D2056" i="5"/>
  <c r="O2056" i="5" s="1"/>
  <c r="Q2056" i="5" s="1"/>
  <c r="P2055" i="5"/>
  <c r="N2055" i="5"/>
  <c r="D2055" i="5"/>
  <c r="O2055" i="5" s="1"/>
  <c r="Q2055" i="5" s="1"/>
  <c r="P2054" i="5"/>
  <c r="N2054" i="5"/>
  <c r="D2054" i="5"/>
  <c r="O2054" i="5" s="1"/>
  <c r="Q2054" i="5" s="1"/>
  <c r="P2053" i="5"/>
  <c r="N2053" i="5"/>
  <c r="D2053" i="5"/>
  <c r="O2053" i="5" s="1"/>
  <c r="Q2053" i="5" s="1"/>
  <c r="P2052" i="5"/>
  <c r="N2052" i="5"/>
  <c r="D2052" i="5"/>
  <c r="O2052" i="5" s="1"/>
  <c r="Q2052" i="5" s="1"/>
  <c r="P2051" i="5"/>
  <c r="N2051" i="5"/>
  <c r="D2051" i="5"/>
  <c r="O2051" i="5" s="1"/>
  <c r="Q2051" i="5" s="1"/>
  <c r="P2050" i="5"/>
  <c r="N2050" i="5"/>
  <c r="D2050" i="5"/>
  <c r="O2050" i="5" s="1"/>
  <c r="Q2050" i="5" s="1"/>
  <c r="P2049" i="5"/>
  <c r="N2049" i="5"/>
  <c r="D2049" i="5"/>
  <c r="O2049" i="5" s="1"/>
  <c r="Q2049" i="5" s="1"/>
  <c r="P2048" i="5"/>
  <c r="N2048" i="5"/>
  <c r="D2048" i="5"/>
  <c r="P2047" i="5"/>
  <c r="N2047" i="5"/>
  <c r="D2047" i="5"/>
  <c r="O2047" i="5" s="1"/>
  <c r="Q2047" i="5" s="1"/>
  <c r="P2046" i="5"/>
  <c r="N2046" i="5"/>
  <c r="D2046" i="5"/>
  <c r="O2046" i="5" s="1"/>
  <c r="Q2046" i="5" s="1"/>
  <c r="P2045" i="5"/>
  <c r="N2045" i="5"/>
  <c r="D2045" i="5"/>
  <c r="O2045" i="5" s="1"/>
  <c r="Q2045" i="5" s="1"/>
  <c r="P2044" i="5"/>
  <c r="N2044" i="5"/>
  <c r="D2044" i="5"/>
  <c r="O2044" i="5" s="1"/>
  <c r="Q2044" i="5" s="1"/>
  <c r="P2043" i="5"/>
  <c r="N2043" i="5"/>
  <c r="D2043" i="5"/>
  <c r="O2043" i="5" s="1"/>
  <c r="Q2043" i="5" s="1"/>
  <c r="P2042" i="5"/>
  <c r="N2042" i="5"/>
  <c r="D2042" i="5"/>
  <c r="O2042" i="5" s="1"/>
  <c r="Q2042" i="5" s="1"/>
  <c r="P2041" i="5"/>
  <c r="N2041" i="5"/>
  <c r="D2041" i="5"/>
  <c r="O2041" i="5" s="1"/>
  <c r="Q2041" i="5" s="1"/>
  <c r="P2040" i="5"/>
  <c r="N2040" i="5"/>
  <c r="D2040" i="5"/>
  <c r="O2040" i="5" s="1"/>
  <c r="Q2040" i="5" s="1"/>
  <c r="P2039" i="5"/>
  <c r="N2039" i="5"/>
  <c r="D2039" i="5"/>
  <c r="O2039" i="5" s="1"/>
  <c r="Q2039" i="5" s="1"/>
  <c r="P2038" i="5"/>
  <c r="N2038" i="5"/>
  <c r="D2038" i="5"/>
  <c r="P2037" i="5"/>
  <c r="N2037" i="5"/>
  <c r="D2037" i="5"/>
  <c r="O2037" i="5" s="1"/>
  <c r="Q2037" i="5" s="1"/>
  <c r="P2036" i="5"/>
  <c r="N2036" i="5"/>
  <c r="D2036" i="5"/>
  <c r="O2036" i="5" s="1"/>
  <c r="Q2036" i="5" s="1"/>
  <c r="P2035" i="5"/>
  <c r="N2035" i="5"/>
  <c r="D2035" i="5"/>
  <c r="O2035" i="5" s="1"/>
  <c r="Q2035" i="5" s="1"/>
  <c r="P2034" i="5"/>
  <c r="N2034" i="5"/>
  <c r="D2034" i="5"/>
  <c r="P2033" i="5"/>
  <c r="N2033" i="5"/>
  <c r="D2033" i="5"/>
  <c r="O2033" i="5" s="1"/>
  <c r="Q2033" i="5" s="1"/>
  <c r="P2032" i="5"/>
  <c r="N2032" i="5"/>
  <c r="D2032" i="5"/>
  <c r="O2032" i="5" s="1"/>
  <c r="Q2032" i="5" s="1"/>
  <c r="P2031" i="5"/>
  <c r="N2031" i="5"/>
  <c r="D2031" i="5"/>
  <c r="O2031" i="5" s="1"/>
  <c r="Q2031" i="5" s="1"/>
  <c r="P2030" i="5"/>
  <c r="N2030" i="5"/>
  <c r="D2030" i="5"/>
  <c r="O2030" i="5" s="1"/>
  <c r="Q2030" i="5" s="1"/>
  <c r="P2029" i="5"/>
  <c r="N2029" i="5"/>
  <c r="D2029" i="5"/>
  <c r="O2029" i="5" s="1"/>
  <c r="Q2029" i="5" s="1"/>
  <c r="P2028" i="5"/>
  <c r="N2028" i="5"/>
  <c r="D2028" i="5"/>
  <c r="O2028" i="5" s="1"/>
  <c r="Q2028" i="5" s="1"/>
  <c r="P2027" i="5"/>
  <c r="N2027" i="5"/>
  <c r="D2027" i="5"/>
  <c r="O2027" i="5" s="1"/>
  <c r="Q2027" i="5" s="1"/>
  <c r="P2026" i="5"/>
  <c r="N2026" i="5"/>
  <c r="D2026" i="5"/>
  <c r="O2026" i="5" s="1"/>
  <c r="Q2026" i="5" s="1"/>
  <c r="P2025" i="5"/>
  <c r="N2025" i="5"/>
  <c r="D2025" i="5"/>
  <c r="O2025" i="5" s="1"/>
  <c r="Q2025" i="5" s="1"/>
  <c r="P2024" i="5"/>
  <c r="N2024" i="5"/>
  <c r="D2024" i="5"/>
  <c r="P2023" i="5"/>
  <c r="N2023" i="5"/>
  <c r="D2023" i="5"/>
  <c r="O2023" i="5" s="1"/>
  <c r="Q2023" i="5" s="1"/>
  <c r="P2022" i="5"/>
  <c r="N2022" i="5"/>
  <c r="D2022" i="5"/>
  <c r="O2022" i="5" s="1"/>
  <c r="Q2022" i="5" s="1"/>
  <c r="P2021" i="5"/>
  <c r="N2021" i="5"/>
  <c r="D2021" i="5"/>
  <c r="O2021" i="5" s="1"/>
  <c r="Q2021" i="5" s="1"/>
  <c r="P2020" i="5"/>
  <c r="N2020" i="5"/>
  <c r="D2020" i="5"/>
  <c r="O2020" i="5" s="1"/>
  <c r="Q2020" i="5" s="1"/>
  <c r="P2019" i="5"/>
  <c r="N2019" i="5"/>
  <c r="D2019" i="5"/>
  <c r="O2019" i="5" s="1"/>
  <c r="Q2019" i="5" s="1"/>
  <c r="P2018" i="5"/>
  <c r="N2018" i="5"/>
  <c r="D2018" i="5"/>
  <c r="O2018" i="5" s="1"/>
  <c r="Q2018" i="5" s="1"/>
  <c r="P2017" i="5"/>
  <c r="N2017" i="5"/>
  <c r="D2017" i="5"/>
  <c r="O2017" i="5" s="1"/>
  <c r="Q2017" i="5" s="1"/>
  <c r="P2016" i="5"/>
  <c r="N2016" i="5"/>
  <c r="D2016" i="5"/>
  <c r="O2016" i="5" s="1"/>
  <c r="Q2016" i="5" s="1"/>
  <c r="P2015" i="5"/>
  <c r="N2015" i="5"/>
  <c r="D2015" i="5"/>
  <c r="O2015" i="5" s="1"/>
  <c r="Q2015" i="5" s="1"/>
  <c r="P2014" i="5"/>
  <c r="N2014" i="5"/>
  <c r="D2014" i="5"/>
  <c r="O2014" i="5" s="1"/>
  <c r="Q2014" i="5" s="1"/>
  <c r="P2013" i="5"/>
  <c r="N2013" i="5"/>
  <c r="D2013" i="5"/>
  <c r="O2013" i="5" s="1"/>
  <c r="Q2013" i="5" s="1"/>
  <c r="P2012" i="5"/>
  <c r="N2012" i="5"/>
  <c r="D2012" i="5"/>
  <c r="O2012" i="5" s="1"/>
  <c r="Q2012" i="5" s="1"/>
  <c r="P2011" i="5"/>
  <c r="N2011" i="5"/>
  <c r="D2011" i="5"/>
  <c r="O2011" i="5" s="1"/>
  <c r="Q2011" i="5" s="1"/>
  <c r="P2010" i="5"/>
  <c r="N2010" i="5"/>
  <c r="D2010" i="5"/>
  <c r="O2010" i="5" s="1"/>
  <c r="Q2010" i="5" s="1"/>
  <c r="P2009" i="5"/>
  <c r="N2009" i="5"/>
  <c r="D2009" i="5"/>
  <c r="O2009" i="5" s="1"/>
  <c r="Q2009" i="5" s="1"/>
  <c r="P2008" i="5"/>
  <c r="N2008" i="5"/>
  <c r="D2008" i="5"/>
  <c r="O2008" i="5" s="1"/>
  <c r="Q2008" i="5" s="1"/>
  <c r="P2007" i="5"/>
  <c r="N2007" i="5"/>
  <c r="D2007" i="5"/>
  <c r="O2007" i="5" s="1"/>
  <c r="Q2007" i="5" s="1"/>
  <c r="P2006" i="5"/>
  <c r="N2006" i="5"/>
  <c r="D2006" i="5"/>
  <c r="O2006" i="5" s="1"/>
  <c r="Q2006" i="5" s="1"/>
  <c r="P2005" i="5"/>
  <c r="N2005" i="5"/>
  <c r="D2005" i="5"/>
  <c r="O2005" i="5" s="1"/>
  <c r="Q2005" i="5" s="1"/>
  <c r="P2004" i="5"/>
  <c r="N2004" i="5"/>
  <c r="D2004" i="5"/>
  <c r="O2004" i="5" s="1"/>
  <c r="Q2004" i="5" s="1"/>
  <c r="P2003" i="5"/>
  <c r="N2003" i="5"/>
  <c r="D2003" i="5"/>
  <c r="O2003" i="5" s="1"/>
  <c r="Q2003" i="5" s="1"/>
  <c r="P2002" i="5"/>
  <c r="N2002" i="5"/>
  <c r="D2002" i="5"/>
  <c r="O2002" i="5" s="1"/>
  <c r="Q2002" i="5" s="1"/>
  <c r="P2001" i="5"/>
  <c r="N2001" i="5"/>
  <c r="D2001" i="5"/>
  <c r="O2001" i="5" s="1"/>
  <c r="Q2001" i="5" s="1"/>
  <c r="P2000" i="5"/>
  <c r="N2000" i="5"/>
  <c r="D2000" i="5"/>
  <c r="O2000" i="5" s="1"/>
  <c r="Q2000" i="5" s="1"/>
  <c r="P1999" i="5"/>
  <c r="N1999" i="5"/>
  <c r="D1999" i="5"/>
  <c r="O1999" i="5" s="1"/>
  <c r="Q1999" i="5" s="1"/>
  <c r="P1998" i="5"/>
  <c r="N1998" i="5"/>
  <c r="D1998" i="5"/>
  <c r="O1998" i="5" s="1"/>
  <c r="Q1998" i="5" s="1"/>
  <c r="P1997" i="5"/>
  <c r="N1997" i="5"/>
  <c r="D1997" i="5"/>
  <c r="O1997" i="5" s="1"/>
  <c r="Q1997" i="5" s="1"/>
  <c r="P1996" i="5"/>
  <c r="N1996" i="5"/>
  <c r="D1996" i="5"/>
  <c r="O1996" i="5" s="1"/>
  <c r="Q1996" i="5" s="1"/>
  <c r="P1995" i="5"/>
  <c r="N1995" i="5"/>
  <c r="D1995" i="5"/>
  <c r="O1995" i="5" s="1"/>
  <c r="Q1995" i="5" s="1"/>
  <c r="P1994" i="5"/>
  <c r="N1994" i="5"/>
  <c r="D1994" i="5"/>
  <c r="O1994" i="5" s="1"/>
  <c r="Q1994" i="5" s="1"/>
  <c r="P1993" i="5"/>
  <c r="N1993" i="5"/>
  <c r="D1993" i="5"/>
  <c r="O1993" i="5" s="1"/>
  <c r="Q1993" i="5" s="1"/>
  <c r="P1992" i="5"/>
  <c r="N1992" i="5"/>
  <c r="D1992" i="5"/>
  <c r="O1992" i="5" s="1"/>
  <c r="Q1992" i="5" s="1"/>
  <c r="P1991" i="5"/>
  <c r="N1991" i="5"/>
  <c r="D1991" i="5"/>
  <c r="O1991" i="5" s="1"/>
  <c r="Q1991" i="5" s="1"/>
  <c r="P1990" i="5"/>
  <c r="N1990" i="5"/>
  <c r="D1990" i="5"/>
  <c r="O1990" i="5" s="1"/>
  <c r="Q1990" i="5" s="1"/>
  <c r="P1989" i="5"/>
  <c r="N1989" i="5"/>
  <c r="D1989" i="5"/>
  <c r="O1989" i="5" s="1"/>
  <c r="Q1989" i="5" s="1"/>
  <c r="P1988" i="5"/>
  <c r="N1988" i="5"/>
  <c r="D1988" i="5"/>
  <c r="O1988" i="5" s="1"/>
  <c r="Q1988" i="5" s="1"/>
  <c r="P1987" i="5"/>
  <c r="N1987" i="5"/>
  <c r="D1987" i="5"/>
  <c r="O1987" i="5" s="1"/>
  <c r="Q1987" i="5" s="1"/>
  <c r="P1986" i="5"/>
  <c r="N1986" i="5"/>
  <c r="D1986" i="5"/>
  <c r="O1986" i="5" s="1"/>
  <c r="Q1986" i="5" s="1"/>
  <c r="P1985" i="5"/>
  <c r="N1985" i="5"/>
  <c r="D1985" i="5"/>
  <c r="O1985" i="5" s="1"/>
  <c r="Q1985" i="5" s="1"/>
  <c r="P1984" i="5"/>
  <c r="N1984" i="5"/>
  <c r="D1984" i="5"/>
  <c r="O1984" i="5" s="1"/>
  <c r="Q1984" i="5" s="1"/>
  <c r="P1983" i="5"/>
  <c r="N1983" i="5"/>
  <c r="D1983" i="5"/>
  <c r="O1983" i="5" s="1"/>
  <c r="Q1983" i="5" s="1"/>
  <c r="P1982" i="5"/>
  <c r="N1982" i="5"/>
  <c r="D1982" i="5"/>
  <c r="O1982" i="5" s="1"/>
  <c r="Q1982" i="5" s="1"/>
  <c r="P1981" i="5"/>
  <c r="N1981" i="5"/>
  <c r="D1981" i="5"/>
  <c r="O1981" i="5" s="1"/>
  <c r="Q1981" i="5" s="1"/>
  <c r="P1980" i="5"/>
  <c r="N1980" i="5"/>
  <c r="D1980" i="5"/>
  <c r="O1980" i="5" s="1"/>
  <c r="Q1980" i="5" s="1"/>
  <c r="P1979" i="5"/>
  <c r="N1979" i="5"/>
  <c r="D1979" i="5"/>
  <c r="O1979" i="5" s="1"/>
  <c r="Q1979" i="5" s="1"/>
  <c r="P1978" i="5"/>
  <c r="N1978" i="5"/>
  <c r="D1978" i="5"/>
  <c r="O1978" i="5" s="1"/>
  <c r="Q1978" i="5" s="1"/>
  <c r="P1977" i="5"/>
  <c r="N1977" i="5"/>
  <c r="D1977" i="5"/>
  <c r="O1977" i="5" s="1"/>
  <c r="Q1977" i="5" s="1"/>
  <c r="P1976" i="5"/>
  <c r="N1976" i="5"/>
  <c r="D1976" i="5"/>
  <c r="O1976" i="5" s="1"/>
  <c r="Q1976" i="5" s="1"/>
  <c r="P1975" i="5"/>
  <c r="N1975" i="5"/>
  <c r="D1975" i="5"/>
  <c r="P1974" i="5"/>
  <c r="N1974" i="5"/>
  <c r="D1974" i="5"/>
  <c r="O1974" i="5" s="1"/>
  <c r="Q1974" i="5" s="1"/>
  <c r="P1973" i="5"/>
  <c r="N1973" i="5"/>
  <c r="D1973" i="5"/>
  <c r="O1973" i="5" s="1"/>
  <c r="Q1973" i="5" s="1"/>
  <c r="P1972" i="5"/>
  <c r="N1972" i="5"/>
  <c r="D1972" i="5"/>
  <c r="O1972" i="5" s="1"/>
  <c r="Q1972" i="5" s="1"/>
  <c r="P1971" i="5"/>
  <c r="N1971" i="5"/>
  <c r="D1971" i="5"/>
  <c r="O1971" i="5" s="1"/>
  <c r="Q1971" i="5" s="1"/>
  <c r="P1970" i="5"/>
  <c r="N1970" i="5"/>
  <c r="D1970" i="5"/>
  <c r="P1969" i="5"/>
  <c r="N1969" i="5"/>
  <c r="D1969" i="5"/>
  <c r="O1969" i="5" s="1"/>
  <c r="Q1969" i="5" s="1"/>
  <c r="P1968" i="5"/>
  <c r="N1968" i="5"/>
  <c r="D1968" i="5"/>
  <c r="O1968" i="5" s="1"/>
  <c r="Q1968" i="5" s="1"/>
  <c r="P1967" i="5"/>
  <c r="N1967" i="5"/>
  <c r="D1967" i="5"/>
  <c r="O1967" i="5" s="1"/>
  <c r="Q1967" i="5" s="1"/>
  <c r="P1966" i="5"/>
  <c r="N1966" i="5"/>
  <c r="D1966" i="5"/>
  <c r="O1966" i="5" s="1"/>
  <c r="Q1966" i="5" s="1"/>
  <c r="P1965" i="5"/>
  <c r="N1965" i="5"/>
  <c r="D1965" i="5"/>
  <c r="P1964" i="5"/>
  <c r="N1964" i="5"/>
  <c r="D1964" i="5"/>
  <c r="O1964" i="5" s="1"/>
  <c r="Q1964" i="5" s="1"/>
  <c r="P1963" i="5"/>
  <c r="N1963" i="5"/>
  <c r="D1963" i="5"/>
  <c r="O1963" i="5" s="1"/>
  <c r="Q1963" i="5" s="1"/>
  <c r="P1962" i="5"/>
  <c r="N1962" i="5"/>
  <c r="D1962" i="5"/>
  <c r="O1962" i="5" s="1"/>
  <c r="Q1962" i="5" s="1"/>
  <c r="P1961" i="5"/>
  <c r="N1961" i="5"/>
  <c r="D1961" i="5"/>
  <c r="O1961" i="5" s="1"/>
  <c r="Q1961" i="5" s="1"/>
  <c r="P1960" i="5"/>
  <c r="N1960" i="5"/>
  <c r="D1960" i="5"/>
  <c r="O1960" i="5" s="1"/>
  <c r="Q1960" i="5" s="1"/>
  <c r="P1959" i="5"/>
  <c r="N1959" i="5"/>
  <c r="D1959" i="5"/>
  <c r="O1959" i="5" s="1"/>
  <c r="Q1959" i="5" s="1"/>
  <c r="P1958" i="5"/>
  <c r="N1958" i="5"/>
  <c r="D1958" i="5"/>
  <c r="O1958" i="5" s="1"/>
  <c r="Q1958" i="5" s="1"/>
  <c r="P1957" i="5"/>
  <c r="N1957" i="5"/>
  <c r="D1957" i="5"/>
  <c r="O1957" i="5" s="1"/>
  <c r="Q1957" i="5" s="1"/>
  <c r="P1956" i="5"/>
  <c r="N1956" i="5"/>
  <c r="D1956" i="5"/>
  <c r="O1956" i="5" s="1"/>
  <c r="Q1956" i="5" s="1"/>
  <c r="P1955" i="5"/>
  <c r="N1955" i="5"/>
  <c r="D1955" i="5"/>
  <c r="O1955" i="5" s="1"/>
  <c r="Q1955" i="5" s="1"/>
  <c r="P1954" i="5"/>
  <c r="N1954" i="5"/>
  <c r="D1954" i="5"/>
  <c r="O1954" i="5" s="1"/>
  <c r="Q1954" i="5" s="1"/>
  <c r="P1953" i="5"/>
  <c r="N1953" i="5"/>
  <c r="D1953" i="5"/>
  <c r="O1953" i="5" s="1"/>
  <c r="Q1953" i="5" s="1"/>
  <c r="P1952" i="5"/>
  <c r="N1952" i="5"/>
  <c r="D1952" i="5"/>
  <c r="O1952" i="5" s="1"/>
  <c r="Q1952" i="5" s="1"/>
  <c r="P1951" i="5"/>
  <c r="N1951" i="5"/>
  <c r="D1951" i="5"/>
  <c r="O1951" i="5" s="1"/>
  <c r="Q1951" i="5" s="1"/>
  <c r="P1950" i="5"/>
  <c r="N1950" i="5"/>
  <c r="D1950" i="5"/>
  <c r="O1950" i="5" s="1"/>
  <c r="Q1950" i="5" s="1"/>
  <c r="P1949" i="5"/>
  <c r="N1949" i="5"/>
  <c r="D1949" i="5"/>
  <c r="O1949" i="5" s="1"/>
  <c r="Q1949" i="5" s="1"/>
  <c r="P1948" i="5"/>
  <c r="N1948" i="5"/>
  <c r="D1948" i="5"/>
  <c r="P1947" i="5"/>
  <c r="N1947" i="5"/>
  <c r="D1947" i="5"/>
  <c r="O1947" i="5" s="1"/>
  <c r="Q1947" i="5" s="1"/>
  <c r="P1946" i="5"/>
  <c r="N1946" i="5"/>
  <c r="D1946" i="5"/>
  <c r="O1946" i="5" s="1"/>
  <c r="Q1946" i="5" s="1"/>
  <c r="P1945" i="5"/>
  <c r="N1945" i="5"/>
  <c r="D1945" i="5"/>
  <c r="O1945" i="5" s="1"/>
  <c r="Q1945" i="5" s="1"/>
  <c r="P1944" i="5"/>
  <c r="N1944" i="5"/>
  <c r="D1944" i="5"/>
  <c r="P1943" i="5"/>
  <c r="N1943" i="5"/>
  <c r="D1943" i="5"/>
  <c r="O1943" i="5" s="1"/>
  <c r="Q1943" i="5" s="1"/>
  <c r="P1942" i="5"/>
  <c r="N1942" i="5"/>
  <c r="D1942" i="5"/>
  <c r="O1942" i="5" s="1"/>
  <c r="Q1942" i="5" s="1"/>
  <c r="P1941" i="5"/>
  <c r="N1941" i="5"/>
  <c r="D1941" i="5"/>
  <c r="P1940" i="5"/>
  <c r="N1940" i="5"/>
  <c r="D1940" i="5"/>
  <c r="O1940" i="5" s="1"/>
  <c r="Q1940" i="5" s="1"/>
  <c r="P1939" i="5"/>
  <c r="N1939" i="5"/>
  <c r="D1939" i="5"/>
  <c r="O1939" i="5" s="1"/>
  <c r="Q1939" i="5" s="1"/>
  <c r="P1938" i="5"/>
  <c r="N1938" i="5"/>
  <c r="D1938" i="5"/>
  <c r="O1938" i="5" s="1"/>
  <c r="Q1938" i="5" s="1"/>
  <c r="P1937" i="5"/>
  <c r="N1937" i="5"/>
  <c r="D1937" i="5"/>
  <c r="O1937" i="5" s="1"/>
  <c r="Q1937" i="5" s="1"/>
  <c r="P1936" i="5"/>
  <c r="N1936" i="5"/>
  <c r="D1936" i="5"/>
  <c r="O1936" i="5" s="1"/>
  <c r="Q1936" i="5" s="1"/>
  <c r="P1935" i="5"/>
  <c r="N1935" i="5"/>
  <c r="D1935" i="5"/>
  <c r="O1935" i="5" s="1"/>
  <c r="Q1935" i="5" s="1"/>
  <c r="P1934" i="5"/>
  <c r="N1934" i="5"/>
  <c r="D1934" i="5"/>
  <c r="O1934" i="5" s="1"/>
  <c r="Q1934" i="5" s="1"/>
  <c r="P1933" i="5"/>
  <c r="N1933" i="5"/>
  <c r="D1933" i="5"/>
  <c r="O1933" i="5" s="1"/>
  <c r="Q1933" i="5" s="1"/>
  <c r="P1932" i="5"/>
  <c r="N1932" i="5"/>
  <c r="D1932" i="5"/>
  <c r="O1932" i="5" s="1"/>
  <c r="Q1932" i="5" s="1"/>
  <c r="P1931" i="5"/>
  <c r="N1931" i="5"/>
  <c r="D1931" i="5"/>
  <c r="O1931" i="5" s="1"/>
  <c r="Q1931" i="5" s="1"/>
  <c r="P1930" i="5"/>
  <c r="N1930" i="5"/>
  <c r="D1930" i="5"/>
  <c r="O1930" i="5" s="1"/>
  <c r="Q1930" i="5" s="1"/>
  <c r="P1929" i="5"/>
  <c r="N1929" i="5"/>
  <c r="D1929" i="5"/>
  <c r="O1929" i="5" s="1"/>
  <c r="Q1929" i="5" s="1"/>
  <c r="P1928" i="5"/>
  <c r="N1928" i="5"/>
  <c r="D1928" i="5"/>
  <c r="O1928" i="5" s="1"/>
  <c r="Q1928" i="5" s="1"/>
  <c r="P1927" i="5"/>
  <c r="N1927" i="5"/>
  <c r="D1927" i="5"/>
  <c r="O1927" i="5" s="1"/>
  <c r="Q1927" i="5" s="1"/>
  <c r="P1926" i="5"/>
  <c r="N1926" i="5"/>
  <c r="D1926" i="5"/>
  <c r="O1926" i="5" s="1"/>
  <c r="Q1926" i="5" s="1"/>
  <c r="P1925" i="5"/>
  <c r="N1925" i="5"/>
  <c r="D1925" i="5"/>
  <c r="O1925" i="5" s="1"/>
  <c r="Q1925" i="5" s="1"/>
  <c r="P1924" i="5"/>
  <c r="N1924" i="5"/>
  <c r="D1924" i="5"/>
  <c r="O1924" i="5" s="1"/>
  <c r="Q1924" i="5" s="1"/>
  <c r="P1923" i="5"/>
  <c r="N1923" i="5"/>
  <c r="D1923" i="5"/>
  <c r="O1923" i="5" s="1"/>
  <c r="Q1923" i="5" s="1"/>
  <c r="P1922" i="5"/>
  <c r="N1922" i="5"/>
  <c r="D1922" i="5"/>
  <c r="O1922" i="5" s="1"/>
  <c r="Q1922" i="5" s="1"/>
  <c r="P1921" i="5"/>
  <c r="N1921" i="5"/>
  <c r="D1921" i="5"/>
  <c r="O1921" i="5" s="1"/>
  <c r="Q1921" i="5" s="1"/>
  <c r="P1920" i="5"/>
  <c r="N1920" i="5"/>
  <c r="D1920" i="5"/>
  <c r="O1920" i="5" s="1"/>
  <c r="Q1920" i="5" s="1"/>
  <c r="P1919" i="5"/>
  <c r="N1919" i="5"/>
  <c r="D1919" i="5"/>
  <c r="O1919" i="5" s="1"/>
  <c r="Q1919" i="5" s="1"/>
  <c r="P1918" i="5"/>
  <c r="N1918" i="5"/>
  <c r="D1918" i="5"/>
  <c r="O1918" i="5" s="1"/>
  <c r="Q1918" i="5" s="1"/>
  <c r="P1917" i="5"/>
  <c r="N1917" i="5"/>
  <c r="D1917" i="5"/>
  <c r="O1917" i="5" s="1"/>
  <c r="Q1917" i="5" s="1"/>
  <c r="P1916" i="5"/>
  <c r="N1916" i="5"/>
  <c r="D1916" i="5"/>
  <c r="O1916" i="5" s="1"/>
  <c r="Q1916" i="5" s="1"/>
  <c r="P1915" i="5"/>
  <c r="N1915" i="5"/>
  <c r="D1915" i="5"/>
  <c r="O1915" i="5" s="1"/>
  <c r="Q1915" i="5" s="1"/>
  <c r="P1914" i="5"/>
  <c r="N1914" i="5"/>
  <c r="D1914" i="5"/>
  <c r="O1914" i="5" s="1"/>
  <c r="Q1914" i="5" s="1"/>
  <c r="P1913" i="5"/>
  <c r="N1913" i="5"/>
  <c r="D1913" i="5"/>
  <c r="O1913" i="5" s="1"/>
  <c r="Q1913" i="5" s="1"/>
  <c r="P1912" i="5"/>
  <c r="N1912" i="5"/>
  <c r="D1912" i="5"/>
  <c r="O1912" i="5" s="1"/>
  <c r="Q1912" i="5" s="1"/>
  <c r="P1911" i="5"/>
  <c r="N1911" i="5"/>
  <c r="D1911" i="5"/>
  <c r="O1911" i="5" s="1"/>
  <c r="Q1911" i="5" s="1"/>
  <c r="P1910" i="5"/>
  <c r="N1910" i="5"/>
  <c r="D1910" i="5"/>
  <c r="O1910" i="5" s="1"/>
  <c r="Q1910" i="5" s="1"/>
  <c r="P1909" i="5"/>
  <c r="N1909" i="5"/>
  <c r="D1909" i="5"/>
  <c r="O1909" i="5" s="1"/>
  <c r="Q1909" i="5" s="1"/>
  <c r="P1908" i="5"/>
  <c r="N1908" i="5"/>
  <c r="D1908" i="5"/>
  <c r="O1908" i="5" s="1"/>
  <c r="Q1908" i="5" s="1"/>
  <c r="P1907" i="5"/>
  <c r="N1907" i="5"/>
  <c r="D1907" i="5"/>
  <c r="O1907" i="5" s="1"/>
  <c r="Q1907" i="5" s="1"/>
  <c r="P1906" i="5"/>
  <c r="N1906" i="5"/>
  <c r="D1906" i="5"/>
  <c r="O1906" i="5" s="1"/>
  <c r="Q1906" i="5" s="1"/>
  <c r="P1905" i="5"/>
  <c r="N1905" i="5"/>
  <c r="D1905" i="5"/>
  <c r="O1905" i="5" s="1"/>
  <c r="Q1905" i="5" s="1"/>
  <c r="P1904" i="5"/>
  <c r="N1904" i="5"/>
  <c r="D1904" i="5"/>
  <c r="O1904" i="5" s="1"/>
  <c r="Q1904" i="5" s="1"/>
  <c r="P1903" i="5"/>
  <c r="N1903" i="5"/>
  <c r="D1903" i="5"/>
  <c r="O1903" i="5" s="1"/>
  <c r="Q1903" i="5" s="1"/>
  <c r="P1902" i="5"/>
  <c r="N1902" i="5"/>
  <c r="D1902" i="5"/>
  <c r="O1902" i="5" s="1"/>
  <c r="Q1902" i="5" s="1"/>
  <c r="P1901" i="5"/>
  <c r="N1901" i="5"/>
  <c r="D1901" i="5"/>
  <c r="O1901" i="5" s="1"/>
  <c r="Q1901" i="5" s="1"/>
  <c r="P1900" i="5"/>
  <c r="N1900" i="5"/>
  <c r="D1900" i="5"/>
  <c r="O1900" i="5" s="1"/>
  <c r="Q1900" i="5" s="1"/>
  <c r="P1899" i="5"/>
  <c r="N1899" i="5"/>
  <c r="D1899" i="5"/>
  <c r="O1899" i="5" s="1"/>
  <c r="Q1899" i="5" s="1"/>
  <c r="P1898" i="5"/>
  <c r="N1898" i="5"/>
  <c r="D1898" i="5"/>
  <c r="O1898" i="5" s="1"/>
  <c r="Q1898" i="5" s="1"/>
  <c r="P1897" i="5"/>
  <c r="N1897" i="5"/>
  <c r="D1897" i="5"/>
  <c r="O1897" i="5" s="1"/>
  <c r="Q1897" i="5" s="1"/>
  <c r="P1896" i="5"/>
  <c r="N1896" i="5"/>
  <c r="D1896" i="5"/>
  <c r="O1896" i="5" s="1"/>
  <c r="Q1896" i="5" s="1"/>
  <c r="P1895" i="5"/>
  <c r="N1895" i="5"/>
  <c r="D1895" i="5"/>
  <c r="O1895" i="5" s="1"/>
  <c r="Q1895" i="5" s="1"/>
  <c r="P1894" i="5"/>
  <c r="N1894" i="5"/>
  <c r="D1894" i="5"/>
  <c r="O1894" i="5" s="1"/>
  <c r="Q1894" i="5" s="1"/>
  <c r="P1893" i="5"/>
  <c r="N1893" i="5"/>
  <c r="D1893" i="5"/>
  <c r="O1893" i="5" s="1"/>
  <c r="Q1893" i="5" s="1"/>
  <c r="P1892" i="5"/>
  <c r="N1892" i="5"/>
  <c r="D1892" i="5"/>
  <c r="P1891" i="5"/>
  <c r="N1891" i="5"/>
  <c r="D1891" i="5"/>
  <c r="O1891" i="5" s="1"/>
  <c r="Q1891" i="5" s="1"/>
  <c r="P1890" i="5"/>
  <c r="N1890" i="5"/>
  <c r="D1890" i="5"/>
  <c r="O1890" i="5" s="1"/>
  <c r="Q1890" i="5" s="1"/>
  <c r="P1889" i="5"/>
  <c r="N1889" i="5"/>
  <c r="D1889" i="5"/>
  <c r="O1889" i="5" s="1"/>
  <c r="Q1889" i="5" s="1"/>
  <c r="P1888" i="5"/>
  <c r="N1888" i="5"/>
  <c r="D1888" i="5"/>
  <c r="O1888" i="5" s="1"/>
  <c r="Q1888" i="5" s="1"/>
  <c r="P1887" i="5"/>
  <c r="N1887" i="5"/>
  <c r="D1887" i="5"/>
  <c r="O1887" i="5" s="1"/>
  <c r="Q1887" i="5" s="1"/>
  <c r="P1886" i="5"/>
  <c r="N1886" i="5"/>
  <c r="D1886" i="5"/>
  <c r="O1886" i="5" s="1"/>
  <c r="Q1886" i="5" s="1"/>
  <c r="P1885" i="5"/>
  <c r="N1885" i="5"/>
  <c r="D1885" i="5"/>
  <c r="O1885" i="5" s="1"/>
  <c r="Q1885" i="5" s="1"/>
  <c r="P1884" i="5"/>
  <c r="N1884" i="5"/>
  <c r="D1884" i="5"/>
  <c r="O1884" i="5" s="1"/>
  <c r="Q1884" i="5" s="1"/>
  <c r="P1883" i="5"/>
  <c r="N1883" i="5"/>
  <c r="D1883" i="5"/>
  <c r="O1883" i="5" s="1"/>
  <c r="Q1883" i="5" s="1"/>
  <c r="P1882" i="5"/>
  <c r="N1882" i="5"/>
  <c r="D1882" i="5"/>
  <c r="O1882" i="5" s="1"/>
  <c r="Q1882" i="5" s="1"/>
  <c r="P1881" i="5"/>
  <c r="N1881" i="5"/>
  <c r="D1881" i="5"/>
  <c r="O1881" i="5" s="1"/>
  <c r="Q1881" i="5" s="1"/>
  <c r="P1880" i="5"/>
  <c r="N1880" i="5"/>
  <c r="D1880" i="5"/>
  <c r="O1880" i="5" s="1"/>
  <c r="Q1880" i="5" s="1"/>
  <c r="P1879" i="5"/>
  <c r="N1879" i="5"/>
  <c r="D1879" i="5"/>
  <c r="O1879" i="5" s="1"/>
  <c r="Q1879" i="5" s="1"/>
  <c r="P1878" i="5"/>
  <c r="N1878" i="5"/>
  <c r="D1878" i="5"/>
  <c r="O1878" i="5" s="1"/>
  <c r="Q1878" i="5" s="1"/>
  <c r="P1877" i="5"/>
  <c r="N1877" i="5"/>
  <c r="D1877" i="5"/>
  <c r="O1877" i="5" s="1"/>
  <c r="Q1877" i="5" s="1"/>
  <c r="P1876" i="5"/>
  <c r="N1876" i="5"/>
  <c r="D1876" i="5"/>
  <c r="O1876" i="5" s="1"/>
  <c r="Q1876" i="5" s="1"/>
  <c r="P1875" i="5"/>
  <c r="N1875" i="5"/>
  <c r="D1875" i="5"/>
  <c r="O1875" i="5" s="1"/>
  <c r="Q1875" i="5" s="1"/>
  <c r="P1874" i="5"/>
  <c r="N1874" i="5"/>
  <c r="D1874" i="5"/>
  <c r="O1874" i="5" s="1"/>
  <c r="Q1874" i="5" s="1"/>
  <c r="P1873" i="5"/>
  <c r="N1873" i="5"/>
  <c r="D1873" i="5"/>
  <c r="O1873" i="5" s="1"/>
  <c r="Q1873" i="5" s="1"/>
  <c r="P1872" i="5"/>
  <c r="N1872" i="5"/>
  <c r="D1872" i="5"/>
  <c r="O1872" i="5" s="1"/>
  <c r="Q1872" i="5" s="1"/>
  <c r="P1871" i="5"/>
  <c r="N1871" i="5"/>
  <c r="D1871" i="5"/>
  <c r="O1871" i="5" s="1"/>
  <c r="Q1871" i="5" s="1"/>
  <c r="P1870" i="5"/>
  <c r="N1870" i="5"/>
  <c r="D1870" i="5"/>
  <c r="O1870" i="5" s="1"/>
  <c r="Q1870" i="5" s="1"/>
  <c r="P1869" i="5"/>
  <c r="N1869" i="5"/>
  <c r="D1869" i="5"/>
  <c r="O1869" i="5" s="1"/>
  <c r="Q1869" i="5" s="1"/>
  <c r="P1868" i="5"/>
  <c r="N1868" i="5"/>
  <c r="D1868" i="5"/>
  <c r="O1868" i="5" s="1"/>
  <c r="Q1868" i="5" s="1"/>
  <c r="P1867" i="5"/>
  <c r="N1867" i="5"/>
  <c r="D1867" i="5"/>
  <c r="O1867" i="5" s="1"/>
  <c r="Q1867" i="5" s="1"/>
  <c r="P1866" i="5"/>
  <c r="N1866" i="5"/>
  <c r="D1866" i="5"/>
  <c r="O1866" i="5" s="1"/>
  <c r="Q1866" i="5" s="1"/>
  <c r="P1865" i="5"/>
  <c r="N1865" i="5"/>
  <c r="D1865" i="5"/>
  <c r="O1865" i="5" s="1"/>
  <c r="Q1865" i="5" s="1"/>
  <c r="P1864" i="5"/>
  <c r="N1864" i="5"/>
  <c r="D1864" i="5"/>
  <c r="O1864" i="5" s="1"/>
  <c r="Q1864" i="5" s="1"/>
  <c r="P1863" i="5"/>
  <c r="N1863" i="5"/>
  <c r="D1863" i="5"/>
  <c r="O1863" i="5" s="1"/>
  <c r="Q1863" i="5" s="1"/>
  <c r="P1862" i="5"/>
  <c r="N1862" i="5"/>
  <c r="D1862" i="5"/>
  <c r="O1862" i="5" s="1"/>
  <c r="Q1862" i="5" s="1"/>
  <c r="P1861" i="5"/>
  <c r="N1861" i="5"/>
  <c r="D1861" i="5"/>
  <c r="O1861" i="5" s="1"/>
  <c r="Q1861" i="5" s="1"/>
  <c r="P1860" i="5"/>
  <c r="N1860" i="5"/>
  <c r="D1860" i="5"/>
  <c r="O1860" i="5" s="1"/>
  <c r="Q1860" i="5" s="1"/>
  <c r="P1859" i="5"/>
  <c r="N1859" i="5"/>
  <c r="D1859" i="5"/>
  <c r="P1858" i="5"/>
  <c r="N1858" i="5"/>
  <c r="D1858" i="5"/>
  <c r="O1858" i="5" s="1"/>
  <c r="Q1858" i="5" s="1"/>
  <c r="Q1857" i="5"/>
  <c r="P1857" i="5"/>
  <c r="N1857" i="5"/>
  <c r="D1857" i="5"/>
  <c r="Q1856" i="5"/>
  <c r="P1856" i="5"/>
  <c r="N1856" i="5"/>
  <c r="D1856" i="5"/>
  <c r="Q1855" i="5"/>
  <c r="P1855" i="5"/>
  <c r="N1855" i="5"/>
  <c r="D1855" i="5"/>
  <c r="Q1854" i="5"/>
  <c r="P1854" i="5"/>
  <c r="N1854" i="5"/>
  <c r="D1854" i="5"/>
  <c r="Q1853" i="5"/>
  <c r="P1853" i="5"/>
  <c r="N1853" i="5"/>
  <c r="D1853" i="5"/>
  <c r="Q1852" i="5"/>
  <c r="P1852" i="5"/>
  <c r="N1852" i="5"/>
  <c r="D1852" i="5"/>
  <c r="Q1851" i="5"/>
  <c r="P1851" i="5"/>
  <c r="N1851" i="5"/>
  <c r="D1851" i="5"/>
  <c r="Q1850" i="5"/>
  <c r="P1850" i="5"/>
  <c r="N1850" i="5"/>
  <c r="D1850" i="5"/>
  <c r="Q1849" i="5"/>
  <c r="P1849" i="5"/>
  <c r="N1849" i="5"/>
  <c r="D1849" i="5"/>
  <c r="Q1848" i="5"/>
  <c r="P1848" i="5"/>
  <c r="N1848" i="5"/>
  <c r="D1848" i="5"/>
  <c r="Q1847" i="5"/>
  <c r="P1847" i="5"/>
  <c r="N1847" i="5"/>
  <c r="D1847" i="5"/>
  <c r="P1846" i="5"/>
  <c r="N1846" i="5"/>
  <c r="D1846" i="5"/>
  <c r="O1846" i="5" s="1"/>
  <c r="Q1846" i="5" s="1"/>
  <c r="P1845" i="5"/>
  <c r="N1845" i="5"/>
  <c r="D1845" i="5"/>
  <c r="O1845" i="5" s="1"/>
  <c r="Q1845" i="5" s="1"/>
  <c r="P1844" i="5"/>
  <c r="N1844" i="5"/>
  <c r="D1844" i="5"/>
  <c r="O1844" i="5" s="1"/>
  <c r="Q1844" i="5" s="1"/>
  <c r="P1843" i="5"/>
  <c r="N1843" i="5"/>
  <c r="D1843" i="5"/>
  <c r="O1843" i="5" s="1"/>
  <c r="Q1843" i="5" s="1"/>
  <c r="P1842" i="5"/>
  <c r="N1842" i="5"/>
  <c r="D1842" i="5"/>
  <c r="O1842" i="5" s="1"/>
  <c r="Q1842" i="5" s="1"/>
  <c r="P1841" i="5"/>
  <c r="N1841" i="5"/>
  <c r="D1841" i="5"/>
  <c r="O1841" i="5" s="1"/>
  <c r="Q1841" i="5" s="1"/>
  <c r="P1840" i="5"/>
  <c r="N1840" i="5"/>
  <c r="D1840" i="5"/>
  <c r="O1840" i="5" s="1"/>
  <c r="Q1840" i="5" s="1"/>
  <c r="P1839" i="5"/>
  <c r="N1839" i="5"/>
  <c r="D1839" i="5"/>
  <c r="O1839" i="5" s="1"/>
  <c r="Q1839" i="5" s="1"/>
  <c r="P1838" i="5"/>
  <c r="N1838" i="5"/>
  <c r="D1838" i="5"/>
  <c r="O1838" i="5" s="1"/>
  <c r="Q1838" i="5" s="1"/>
  <c r="P1837" i="5"/>
  <c r="N1837" i="5"/>
  <c r="D1837" i="5"/>
  <c r="O1837" i="5" s="1"/>
  <c r="Q1837" i="5" s="1"/>
  <c r="P1836" i="5"/>
  <c r="N1836" i="5"/>
  <c r="D1836" i="5"/>
  <c r="O1836" i="5" s="1"/>
  <c r="Q1836" i="5" s="1"/>
  <c r="P1835" i="5"/>
  <c r="N1835" i="5"/>
  <c r="D1835" i="5"/>
  <c r="O1835" i="5" s="1"/>
  <c r="Q1835" i="5" s="1"/>
  <c r="P1834" i="5"/>
  <c r="N1834" i="5"/>
  <c r="D1834" i="5"/>
  <c r="O1834" i="5" s="1"/>
  <c r="Q1834" i="5" s="1"/>
  <c r="P1833" i="5"/>
  <c r="N1833" i="5"/>
  <c r="D1833" i="5"/>
  <c r="O1833" i="5" s="1"/>
  <c r="Q1833" i="5" s="1"/>
  <c r="P1832" i="5"/>
  <c r="N1832" i="5"/>
  <c r="D1832" i="5"/>
  <c r="O1832" i="5" s="1"/>
  <c r="Q1832" i="5" s="1"/>
  <c r="P1831" i="5"/>
  <c r="N1831" i="5"/>
  <c r="D1831" i="5"/>
  <c r="O1831" i="5" s="1"/>
  <c r="Q1831" i="5" s="1"/>
  <c r="P1830" i="5"/>
  <c r="N1830" i="5"/>
  <c r="D1830" i="5"/>
  <c r="O1830" i="5" s="1"/>
  <c r="Q1830" i="5" s="1"/>
  <c r="P1829" i="5"/>
  <c r="N1829" i="5"/>
  <c r="D1829" i="5"/>
  <c r="O1829" i="5" s="1"/>
  <c r="Q1829" i="5" s="1"/>
  <c r="P1828" i="5"/>
  <c r="N1828" i="5"/>
  <c r="D1828" i="5"/>
  <c r="O1828" i="5" s="1"/>
  <c r="Q1828" i="5" s="1"/>
  <c r="P1827" i="5"/>
  <c r="N1827" i="5"/>
  <c r="D1827" i="5"/>
  <c r="O1827" i="5" s="1"/>
  <c r="Q1827" i="5" s="1"/>
  <c r="P1826" i="5"/>
  <c r="N1826" i="5"/>
  <c r="D1826" i="5"/>
  <c r="O1826" i="5" s="1"/>
  <c r="Q1826" i="5" s="1"/>
  <c r="P1825" i="5"/>
  <c r="N1825" i="5"/>
  <c r="D1825" i="5"/>
  <c r="O1825" i="5" s="1"/>
  <c r="Q1825" i="5" s="1"/>
  <c r="P1824" i="5"/>
  <c r="N1824" i="5"/>
  <c r="D1824" i="5"/>
  <c r="O1824" i="5" s="1"/>
  <c r="Q1824" i="5" s="1"/>
  <c r="P1823" i="5"/>
  <c r="N1823" i="5"/>
  <c r="D1823" i="5"/>
  <c r="O1823" i="5" s="1"/>
  <c r="Q1823" i="5" s="1"/>
  <c r="P1822" i="5"/>
  <c r="N1822" i="5"/>
  <c r="D1822" i="5"/>
  <c r="O1822" i="5" s="1"/>
  <c r="Q1822" i="5" s="1"/>
  <c r="P1821" i="5"/>
  <c r="N1821" i="5"/>
  <c r="D1821" i="5"/>
  <c r="O1821" i="5" s="1"/>
  <c r="Q1821" i="5" s="1"/>
  <c r="P1820" i="5"/>
  <c r="N1820" i="5"/>
  <c r="D1820" i="5"/>
  <c r="O1820" i="5" s="1"/>
  <c r="Q1820" i="5" s="1"/>
  <c r="P1819" i="5"/>
  <c r="N1819" i="5"/>
  <c r="D1819" i="5"/>
  <c r="O1819" i="5" s="1"/>
  <c r="Q1819" i="5" s="1"/>
  <c r="P1818" i="5"/>
  <c r="N1818" i="5"/>
  <c r="D1818" i="5"/>
  <c r="P1817" i="5"/>
  <c r="N1817" i="5"/>
  <c r="D1817" i="5"/>
  <c r="O1817" i="5" s="1"/>
  <c r="Q1817" i="5" s="1"/>
  <c r="P1816" i="5"/>
  <c r="N1816" i="5"/>
  <c r="D1816" i="5"/>
  <c r="O1816" i="5" s="1"/>
  <c r="Q1816" i="5" s="1"/>
  <c r="P1815" i="5"/>
  <c r="N1815" i="5"/>
  <c r="D1815" i="5"/>
  <c r="O1815" i="5" s="1"/>
  <c r="Q1815" i="5" s="1"/>
  <c r="P1814" i="5"/>
  <c r="N1814" i="5"/>
  <c r="D1814" i="5"/>
  <c r="O1814" i="5" s="1"/>
  <c r="Q1814" i="5" s="1"/>
  <c r="P1813" i="5"/>
  <c r="N1813" i="5"/>
  <c r="D1813" i="5"/>
  <c r="O1813" i="5" s="1"/>
  <c r="Q1813" i="5" s="1"/>
  <c r="P1812" i="5"/>
  <c r="N1812" i="5"/>
  <c r="D1812" i="5"/>
  <c r="O1812" i="5" s="1"/>
  <c r="Q1812" i="5" s="1"/>
  <c r="P1811" i="5"/>
  <c r="N1811" i="5"/>
  <c r="D1811" i="5"/>
  <c r="O1811" i="5" s="1"/>
  <c r="Q1811" i="5" s="1"/>
  <c r="P1810" i="5"/>
  <c r="N1810" i="5"/>
  <c r="D1810" i="5"/>
  <c r="O1810" i="5" s="1"/>
  <c r="Q1810" i="5" s="1"/>
  <c r="P1809" i="5"/>
  <c r="N1809" i="5"/>
  <c r="D1809" i="5"/>
  <c r="O1809" i="5" s="1"/>
  <c r="Q1809" i="5" s="1"/>
  <c r="P1808" i="5"/>
  <c r="N1808" i="5"/>
  <c r="D1808" i="5"/>
  <c r="O1808" i="5" s="1"/>
  <c r="Q1808" i="5" s="1"/>
  <c r="P1807" i="5"/>
  <c r="N1807" i="5"/>
  <c r="D1807" i="5"/>
  <c r="O1807" i="5" s="1"/>
  <c r="Q1807" i="5" s="1"/>
  <c r="P1806" i="5"/>
  <c r="N1806" i="5"/>
  <c r="D1806" i="5"/>
  <c r="O1806" i="5" s="1"/>
  <c r="Q1806" i="5" s="1"/>
  <c r="P1805" i="5"/>
  <c r="N1805" i="5"/>
  <c r="D1805" i="5"/>
  <c r="O1805" i="5" s="1"/>
  <c r="Q1805" i="5" s="1"/>
  <c r="P1804" i="5"/>
  <c r="N1804" i="5"/>
  <c r="D1804" i="5"/>
  <c r="O1804" i="5" s="1"/>
  <c r="Q1804" i="5" s="1"/>
  <c r="P1803" i="5"/>
  <c r="N1803" i="5"/>
  <c r="D1803" i="5"/>
  <c r="O1803" i="5" s="1"/>
  <c r="Q1803" i="5" s="1"/>
  <c r="P1802" i="5"/>
  <c r="N1802" i="5"/>
  <c r="D1802" i="5"/>
  <c r="O1802" i="5" s="1"/>
  <c r="Q1802" i="5" s="1"/>
  <c r="P1801" i="5"/>
  <c r="N1801" i="5"/>
  <c r="D1801" i="5"/>
  <c r="O1801" i="5" s="1"/>
  <c r="Q1801" i="5" s="1"/>
  <c r="P1800" i="5"/>
  <c r="N1800" i="5"/>
  <c r="D1800" i="5"/>
  <c r="O1800" i="5" s="1"/>
  <c r="Q1800" i="5" s="1"/>
  <c r="P1799" i="5"/>
  <c r="N1799" i="5"/>
  <c r="D1799" i="5"/>
  <c r="O1799" i="5" s="1"/>
  <c r="Q1799" i="5" s="1"/>
  <c r="P1798" i="5"/>
  <c r="N1798" i="5"/>
  <c r="D1798" i="5"/>
  <c r="O1798" i="5" s="1"/>
  <c r="Q1798" i="5" s="1"/>
  <c r="P1797" i="5"/>
  <c r="N1797" i="5"/>
  <c r="D1797" i="5"/>
  <c r="O1797" i="5" s="1"/>
  <c r="Q1797" i="5" s="1"/>
  <c r="P1796" i="5"/>
  <c r="N1796" i="5"/>
  <c r="D1796" i="5"/>
  <c r="O1796" i="5" s="1"/>
  <c r="Q1796" i="5" s="1"/>
  <c r="P1795" i="5"/>
  <c r="N1795" i="5"/>
  <c r="D1795" i="5"/>
  <c r="O1795" i="5" s="1"/>
  <c r="Q1795" i="5" s="1"/>
  <c r="P1794" i="5"/>
  <c r="N1794" i="5"/>
  <c r="D1794" i="5"/>
  <c r="O1794" i="5" s="1"/>
  <c r="Q1794" i="5" s="1"/>
  <c r="P1793" i="5"/>
  <c r="N1793" i="5"/>
  <c r="D1793" i="5"/>
  <c r="O1793" i="5" s="1"/>
  <c r="Q1793" i="5" s="1"/>
  <c r="P1792" i="5"/>
  <c r="N1792" i="5"/>
  <c r="D1792" i="5"/>
  <c r="P1791" i="5"/>
  <c r="N1791" i="5"/>
  <c r="D1791" i="5"/>
  <c r="O1791" i="5" s="1"/>
  <c r="Q1791" i="5" s="1"/>
  <c r="P1790" i="5"/>
  <c r="N1790" i="5"/>
  <c r="D1790" i="5"/>
  <c r="O1790" i="5" s="1"/>
  <c r="Q1790" i="5" s="1"/>
  <c r="P1789" i="5"/>
  <c r="N1789" i="5"/>
  <c r="D1789" i="5"/>
  <c r="O1789" i="5" s="1"/>
  <c r="Q1789" i="5" s="1"/>
  <c r="P1788" i="5"/>
  <c r="N1788" i="5"/>
  <c r="D1788" i="5"/>
  <c r="P1787" i="5"/>
  <c r="N1787" i="5"/>
  <c r="D1787" i="5"/>
  <c r="O1787" i="5" s="1"/>
  <c r="Q1787" i="5" s="1"/>
  <c r="P1786" i="5"/>
  <c r="N1786" i="5"/>
  <c r="D1786" i="5"/>
  <c r="P1785" i="5"/>
  <c r="N1785" i="5"/>
  <c r="D1785" i="5"/>
  <c r="O1785" i="5" s="1"/>
  <c r="Q1785" i="5" s="1"/>
  <c r="P1784" i="5"/>
  <c r="N1784" i="5"/>
  <c r="D1784" i="5"/>
  <c r="O1784" i="5" s="1"/>
  <c r="Q1784" i="5" s="1"/>
  <c r="P1783" i="5"/>
  <c r="N1783" i="5"/>
  <c r="D1783" i="5"/>
  <c r="O1783" i="5" s="1"/>
  <c r="Q1783" i="5" s="1"/>
  <c r="P1782" i="5"/>
  <c r="N1782" i="5"/>
  <c r="D1782" i="5"/>
  <c r="O1782" i="5" s="1"/>
  <c r="Q1782" i="5" s="1"/>
  <c r="P1781" i="5"/>
  <c r="N1781" i="5"/>
  <c r="D1781" i="5"/>
  <c r="O1781" i="5" s="1"/>
  <c r="Q1781" i="5" s="1"/>
  <c r="P1780" i="5"/>
  <c r="N1780" i="5"/>
  <c r="D1780" i="5"/>
  <c r="O1780" i="5" s="1"/>
  <c r="Q1780" i="5" s="1"/>
  <c r="P1779" i="5"/>
  <c r="N1779" i="5"/>
  <c r="D1779" i="5"/>
  <c r="O1779" i="5" s="1"/>
  <c r="Q1779" i="5" s="1"/>
  <c r="P1778" i="5"/>
  <c r="N1778" i="5"/>
  <c r="D1778" i="5"/>
  <c r="O1778" i="5" s="1"/>
  <c r="Q1778" i="5" s="1"/>
  <c r="P1777" i="5"/>
  <c r="N1777" i="5"/>
  <c r="D1777" i="5"/>
  <c r="O1777" i="5" s="1"/>
  <c r="Q1777" i="5" s="1"/>
  <c r="P1776" i="5"/>
  <c r="N1776" i="5"/>
  <c r="D1776" i="5"/>
  <c r="O1776" i="5" s="1"/>
  <c r="Q1776" i="5" s="1"/>
  <c r="P1775" i="5"/>
  <c r="N1775" i="5"/>
  <c r="D1775" i="5"/>
  <c r="O1775" i="5" s="1"/>
  <c r="Q1775" i="5" s="1"/>
  <c r="P1774" i="5"/>
  <c r="N1774" i="5"/>
  <c r="D1774" i="5"/>
  <c r="O1774" i="5" s="1"/>
  <c r="Q1774" i="5" s="1"/>
  <c r="P1773" i="5"/>
  <c r="N1773" i="5"/>
  <c r="D1773" i="5"/>
  <c r="O1773" i="5" s="1"/>
  <c r="Q1773" i="5" s="1"/>
  <c r="P1772" i="5"/>
  <c r="N1772" i="5"/>
  <c r="D1772" i="5"/>
  <c r="O1772" i="5" s="1"/>
  <c r="Q1772" i="5" s="1"/>
  <c r="P1771" i="5"/>
  <c r="N1771" i="5"/>
  <c r="D1771" i="5"/>
  <c r="O1771" i="5" s="1"/>
  <c r="Q1771" i="5" s="1"/>
  <c r="P1770" i="5"/>
  <c r="N1770" i="5"/>
  <c r="D1770" i="5"/>
  <c r="O1770" i="5" s="1"/>
  <c r="Q1770" i="5" s="1"/>
  <c r="P1769" i="5"/>
  <c r="N1769" i="5"/>
  <c r="D1769" i="5"/>
  <c r="O1769" i="5" s="1"/>
  <c r="Q1769" i="5" s="1"/>
  <c r="P1768" i="5"/>
  <c r="N1768" i="5"/>
  <c r="D1768" i="5"/>
  <c r="O1768" i="5" s="1"/>
  <c r="Q1768" i="5" s="1"/>
  <c r="P1767" i="5"/>
  <c r="N1767" i="5"/>
  <c r="D1767" i="5"/>
  <c r="O1767" i="5" s="1"/>
  <c r="Q1767" i="5" s="1"/>
  <c r="P1766" i="5"/>
  <c r="N1766" i="5"/>
  <c r="D1766" i="5"/>
  <c r="O1766" i="5" s="1"/>
  <c r="Q1766" i="5" s="1"/>
  <c r="P1765" i="5"/>
  <c r="N1765" i="5"/>
  <c r="D1765" i="5"/>
  <c r="O1765" i="5" s="1"/>
  <c r="Q1765" i="5" s="1"/>
  <c r="P1764" i="5"/>
  <c r="N1764" i="5"/>
  <c r="D1764" i="5"/>
  <c r="O1764" i="5" s="1"/>
  <c r="Q1764" i="5" s="1"/>
  <c r="P1763" i="5"/>
  <c r="N1763" i="5"/>
  <c r="D1763" i="5"/>
  <c r="O1763" i="5" s="1"/>
  <c r="Q1763" i="5" s="1"/>
  <c r="P1762" i="5"/>
  <c r="N1762" i="5"/>
  <c r="D1762" i="5"/>
  <c r="O1762" i="5" s="1"/>
  <c r="Q1762" i="5" s="1"/>
  <c r="P1761" i="5"/>
  <c r="N1761" i="5"/>
  <c r="D1761" i="5"/>
  <c r="O1761" i="5" s="1"/>
  <c r="Q1761" i="5" s="1"/>
  <c r="P1760" i="5"/>
  <c r="N1760" i="5"/>
  <c r="D1760" i="5"/>
  <c r="O1760" i="5" s="1"/>
  <c r="Q1760" i="5" s="1"/>
  <c r="P1759" i="5"/>
  <c r="N1759" i="5"/>
  <c r="D1759" i="5"/>
  <c r="O1759" i="5" s="1"/>
  <c r="Q1759" i="5" s="1"/>
  <c r="P1758" i="5"/>
  <c r="N1758" i="5"/>
  <c r="D1758" i="5"/>
  <c r="O1758" i="5" s="1"/>
  <c r="Q1758" i="5" s="1"/>
  <c r="P1757" i="5"/>
  <c r="N1757" i="5"/>
  <c r="D1757" i="5"/>
  <c r="P1756" i="5"/>
  <c r="N1756" i="5"/>
  <c r="D1756" i="5"/>
  <c r="O1756" i="5" s="1"/>
  <c r="Q1756" i="5" s="1"/>
  <c r="P1755" i="5"/>
  <c r="N1755" i="5"/>
  <c r="D1755" i="5"/>
  <c r="O1755" i="5" s="1"/>
  <c r="Q1755" i="5" s="1"/>
  <c r="P1754" i="5"/>
  <c r="N1754" i="5"/>
  <c r="D1754" i="5"/>
  <c r="O1754" i="5" s="1"/>
  <c r="Q1754" i="5" s="1"/>
  <c r="P1753" i="5"/>
  <c r="N1753" i="5"/>
  <c r="D1753" i="5"/>
  <c r="O1753" i="5" s="1"/>
  <c r="Q1753" i="5" s="1"/>
  <c r="P1752" i="5"/>
  <c r="N1752" i="5"/>
  <c r="D1752" i="5"/>
  <c r="O1752" i="5" s="1"/>
  <c r="Q1752" i="5" s="1"/>
  <c r="P1751" i="5"/>
  <c r="N1751" i="5"/>
  <c r="D1751" i="5"/>
  <c r="O1751" i="5" s="1"/>
  <c r="Q1751" i="5" s="1"/>
  <c r="P1750" i="5"/>
  <c r="N1750" i="5"/>
  <c r="D1750" i="5"/>
  <c r="O1750" i="5" s="1"/>
  <c r="Q1750" i="5" s="1"/>
  <c r="P1749" i="5"/>
  <c r="N1749" i="5"/>
  <c r="D1749" i="5"/>
  <c r="O1749" i="5" s="1"/>
  <c r="Q1749" i="5" s="1"/>
  <c r="P1748" i="5"/>
  <c r="N1748" i="5"/>
  <c r="D1748" i="5"/>
  <c r="O1748" i="5" s="1"/>
  <c r="Q1748" i="5" s="1"/>
  <c r="P1747" i="5"/>
  <c r="N1747" i="5"/>
  <c r="D1747" i="5"/>
  <c r="O1747" i="5" s="1"/>
  <c r="Q1747" i="5" s="1"/>
  <c r="P1746" i="5"/>
  <c r="N1746" i="5"/>
  <c r="D1746" i="5"/>
  <c r="O1746" i="5" s="1"/>
  <c r="Q1746" i="5" s="1"/>
  <c r="P1745" i="5"/>
  <c r="N1745" i="5"/>
  <c r="D1745" i="5"/>
  <c r="O1745" i="5" s="1"/>
  <c r="Q1745" i="5" s="1"/>
  <c r="P1744" i="5"/>
  <c r="N1744" i="5"/>
  <c r="D1744" i="5"/>
  <c r="O1744" i="5" s="1"/>
  <c r="Q1744" i="5" s="1"/>
  <c r="P1743" i="5"/>
  <c r="N1743" i="5"/>
  <c r="D1743" i="5"/>
  <c r="O1743" i="5" s="1"/>
  <c r="Q1743" i="5" s="1"/>
  <c r="P1742" i="5"/>
  <c r="N1742" i="5"/>
  <c r="D1742" i="5"/>
  <c r="O1742" i="5" s="1"/>
  <c r="Q1742" i="5" s="1"/>
  <c r="P1741" i="5"/>
  <c r="N1741" i="5"/>
  <c r="D1741" i="5"/>
  <c r="O1741" i="5" s="1"/>
  <c r="Q1741" i="5" s="1"/>
  <c r="P1740" i="5"/>
  <c r="N1740" i="5"/>
  <c r="D1740" i="5"/>
  <c r="P1739" i="5"/>
  <c r="N1739" i="5"/>
  <c r="D1739" i="5"/>
  <c r="O1739" i="5" s="1"/>
  <c r="Q1739" i="5" s="1"/>
  <c r="P1738" i="5"/>
  <c r="N1738" i="5"/>
  <c r="D1738" i="5"/>
  <c r="O1738" i="5" s="1"/>
  <c r="Q1738" i="5" s="1"/>
  <c r="P1737" i="5"/>
  <c r="N1737" i="5"/>
  <c r="D1737" i="5"/>
  <c r="P1736" i="5"/>
  <c r="N1736" i="5"/>
  <c r="D1736" i="5"/>
  <c r="O1736" i="5" s="1"/>
  <c r="Q1736" i="5" s="1"/>
  <c r="P1735" i="5"/>
  <c r="N1735" i="5"/>
  <c r="D1735" i="5"/>
  <c r="P1734" i="5"/>
  <c r="N1734" i="5"/>
  <c r="D1734" i="5"/>
  <c r="O1734" i="5" s="1"/>
  <c r="Q1734" i="5" s="1"/>
  <c r="P1733" i="5"/>
  <c r="N1733" i="5"/>
  <c r="D1733" i="5"/>
  <c r="P1732" i="5"/>
  <c r="N1732" i="5"/>
  <c r="D1732" i="5"/>
  <c r="O1732" i="5" s="1"/>
  <c r="Q1732" i="5" s="1"/>
  <c r="P1731" i="5"/>
  <c r="N1731" i="5"/>
  <c r="D1731" i="5"/>
  <c r="O1731" i="5" s="1"/>
  <c r="Q1731" i="5" s="1"/>
  <c r="P1730" i="5"/>
  <c r="N1730" i="5"/>
  <c r="D1730" i="5"/>
  <c r="O1730" i="5" s="1"/>
  <c r="Q1730" i="5" s="1"/>
  <c r="P1729" i="5"/>
  <c r="N1729" i="5"/>
  <c r="D1729" i="5"/>
  <c r="O1729" i="5" s="1"/>
  <c r="Q1729" i="5" s="1"/>
  <c r="P1728" i="5"/>
  <c r="N1728" i="5"/>
  <c r="D1728" i="5"/>
  <c r="P1727" i="5"/>
  <c r="N1727" i="5"/>
  <c r="D1727" i="5"/>
  <c r="O1727" i="5" s="1"/>
  <c r="Q1727" i="5" s="1"/>
  <c r="P1726" i="5"/>
  <c r="N1726" i="5"/>
  <c r="D1726" i="5"/>
  <c r="O1726" i="5" s="1"/>
  <c r="Q1726" i="5" s="1"/>
  <c r="P1725" i="5"/>
  <c r="N1725" i="5"/>
  <c r="D1725" i="5"/>
  <c r="O1725" i="5" s="1"/>
  <c r="Q1725" i="5" s="1"/>
  <c r="P1724" i="5"/>
  <c r="N1724" i="5"/>
  <c r="D1724" i="5"/>
  <c r="O1724" i="5" s="1"/>
  <c r="Q1724" i="5" s="1"/>
  <c r="P1723" i="5"/>
  <c r="N1723" i="5"/>
  <c r="D1723" i="5"/>
  <c r="O1723" i="5" s="1"/>
  <c r="Q1723" i="5" s="1"/>
  <c r="P1722" i="5"/>
  <c r="N1722" i="5"/>
  <c r="D1722" i="5"/>
  <c r="O1722" i="5" s="1"/>
  <c r="Q1722" i="5" s="1"/>
  <c r="P1721" i="5"/>
  <c r="N1721" i="5"/>
  <c r="D1721" i="5"/>
  <c r="O1721" i="5" s="1"/>
  <c r="Q1721" i="5" s="1"/>
  <c r="P1720" i="5"/>
  <c r="N1720" i="5"/>
  <c r="D1720" i="5"/>
  <c r="O1720" i="5" s="1"/>
  <c r="Q1720" i="5" s="1"/>
  <c r="P1719" i="5"/>
  <c r="N1719" i="5"/>
  <c r="D1719" i="5"/>
  <c r="O1719" i="5" s="1"/>
  <c r="Q1719" i="5" s="1"/>
  <c r="P1718" i="5"/>
  <c r="N1718" i="5"/>
  <c r="D1718" i="5"/>
  <c r="O1718" i="5" s="1"/>
  <c r="Q1718" i="5" s="1"/>
  <c r="P1717" i="5"/>
  <c r="N1717" i="5"/>
  <c r="D1717" i="5"/>
  <c r="O1717" i="5" s="1"/>
  <c r="Q1717" i="5" s="1"/>
  <c r="P1716" i="5"/>
  <c r="N1716" i="5"/>
  <c r="D1716" i="5"/>
  <c r="O1716" i="5" s="1"/>
  <c r="Q1716" i="5" s="1"/>
  <c r="P1715" i="5"/>
  <c r="N1715" i="5"/>
  <c r="D1715" i="5"/>
  <c r="O1715" i="5" s="1"/>
  <c r="Q1715" i="5" s="1"/>
  <c r="P1714" i="5"/>
  <c r="N1714" i="5"/>
  <c r="D1714" i="5"/>
  <c r="O1714" i="5" s="1"/>
  <c r="Q1714" i="5" s="1"/>
  <c r="P1713" i="5"/>
  <c r="N1713" i="5"/>
  <c r="D1713" i="5"/>
  <c r="O1713" i="5" s="1"/>
  <c r="Q1713" i="5" s="1"/>
  <c r="P1712" i="5"/>
  <c r="N1712" i="5"/>
  <c r="D1712" i="5"/>
  <c r="O1712" i="5" s="1"/>
  <c r="Q1712" i="5" s="1"/>
  <c r="P1711" i="5"/>
  <c r="N1711" i="5"/>
  <c r="D1711" i="5"/>
  <c r="O1711" i="5" s="1"/>
  <c r="Q1711" i="5" s="1"/>
  <c r="P1710" i="5"/>
  <c r="N1710" i="5"/>
  <c r="D1710" i="5"/>
  <c r="O1710" i="5" s="1"/>
  <c r="Q1710" i="5" s="1"/>
  <c r="P1709" i="5"/>
  <c r="N1709" i="5"/>
  <c r="D1709" i="5"/>
  <c r="O1709" i="5" s="1"/>
  <c r="Q1709" i="5" s="1"/>
  <c r="P1708" i="5"/>
  <c r="N1708" i="5"/>
  <c r="D1708" i="5"/>
  <c r="O1708" i="5" s="1"/>
  <c r="Q1708" i="5" s="1"/>
  <c r="P1707" i="5"/>
  <c r="N1707" i="5"/>
  <c r="D1707" i="5"/>
  <c r="O1707" i="5" s="1"/>
  <c r="Q1707" i="5" s="1"/>
  <c r="P1706" i="5"/>
  <c r="N1706" i="5"/>
  <c r="D1706" i="5"/>
  <c r="O1706" i="5" s="1"/>
  <c r="Q1706" i="5" s="1"/>
  <c r="P1705" i="5"/>
  <c r="N1705" i="5"/>
  <c r="D1705" i="5"/>
  <c r="O1705" i="5" s="1"/>
  <c r="Q1705" i="5" s="1"/>
  <c r="P1704" i="5"/>
  <c r="N1704" i="5"/>
  <c r="D1704" i="5"/>
  <c r="O1704" i="5" s="1"/>
  <c r="Q1704" i="5" s="1"/>
  <c r="P1703" i="5"/>
  <c r="N1703" i="5"/>
  <c r="D1703" i="5"/>
  <c r="O1703" i="5" s="1"/>
  <c r="Q1703" i="5" s="1"/>
  <c r="P1702" i="5"/>
  <c r="N1702" i="5"/>
  <c r="D1702" i="5"/>
  <c r="O1702" i="5" s="1"/>
  <c r="Q1702" i="5" s="1"/>
  <c r="P1701" i="5"/>
  <c r="N1701" i="5"/>
  <c r="D1701" i="5"/>
  <c r="O1701" i="5" s="1"/>
  <c r="Q1701" i="5" s="1"/>
  <c r="P1700" i="5"/>
  <c r="N1700" i="5"/>
  <c r="D1700" i="5"/>
  <c r="O1700" i="5" s="1"/>
  <c r="Q1700" i="5" s="1"/>
  <c r="P1699" i="5"/>
  <c r="N1699" i="5"/>
  <c r="D1699" i="5"/>
  <c r="O1699" i="5" s="1"/>
  <c r="Q1699" i="5" s="1"/>
  <c r="P1698" i="5"/>
  <c r="N1698" i="5"/>
  <c r="D1698" i="5"/>
  <c r="O1698" i="5" s="1"/>
  <c r="Q1698" i="5" s="1"/>
  <c r="P1697" i="5"/>
  <c r="N1697" i="5"/>
  <c r="D1697" i="5"/>
  <c r="O1697" i="5" s="1"/>
  <c r="Q1697" i="5" s="1"/>
  <c r="P1696" i="5"/>
  <c r="N1696" i="5"/>
  <c r="D1696" i="5"/>
  <c r="O1696" i="5" s="1"/>
  <c r="Q1696" i="5" s="1"/>
  <c r="P1695" i="5"/>
  <c r="N1695" i="5"/>
  <c r="D1695" i="5"/>
  <c r="O1695" i="5" s="1"/>
  <c r="Q1695" i="5" s="1"/>
  <c r="P1694" i="5"/>
  <c r="N1694" i="5"/>
  <c r="D1694" i="5"/>
  <c r="O1694" i="5" s="1"/>
  <c r="Q1694" i="5" s="1"/>
  <c r="P1693" i="5"/>
  <c r="N1693" i="5"/>
  <c r="D1693" i="5"/>
  <c r="O1693" i="5" s="1"/>
  <c r="Q1693" i="5" s="1"/>
  <c r="P1692" i="5"/>
  <c r="N1692" i="5"/>
  <c r="D1692" i="5"/>
  <c r="O1692" i="5" s="1"/>
  <c r="Q1692" i="5" s="1"/>
  <c r="P1691" i="5"/>
  <c r="N1691" i="5"/>
  <c r="D1691" i="5"/>
  <c r="O1691" i="5" s="1"/>
  <c r="Q1691" i="5" s="1"/>
  <c r="P1690" i="5"/>
  <c r="N1690" i="5"/>
  <c r="D1690" i="5"/>
  <c r="O1690" i="5" s="1"/>
  <c r="Q1690" i="5" s="1"/>
  <c r="P1689" i="5"/>
  <c r="N1689" i="5"/>
  <c r="D1689" i="5"/>
  <c r="O1689" i="5" s="1"/>
  <c r="Q1689" i="5" s="1"/>
  <c r="P1688" i="5"/>
  <c r="N1688" i="5"/>
  <c r="D1688" i="5"/>
  <c r="O1688" i="5" s="1"/>
  <c r="Q1688" i="5" s="1"/>
  <c r="P1687" i="5"/>
  <c r="N1687" i="5"/>
  <c r="D1687" i="5"/>
  <c r="O1687" i="5" s="1"/>
  <c r="Q1687" i="5" s="1"/>
  <c r="P1686" i="5"/>
  <c r="N1686" i="5"/>
  <c r="D1686" i="5"/>
  <c r="O1686" i="5" s="1"/>
  <c r="Q1686" i="5" s="1"/>
  <c r="P1685" i="5"/>
  <c r="N1685" i="5"/>
  <c r="D1685" i="5"/>
  <c r="O1685" i="5" s="1"/>
  <c r="Q1685" i="5" s="1"/>
  <c r="P1684" i="5"/>
  <c r="N1684" i="5"/>
  <c r="D1684" i="5"/>
  <c r="O1684" i="5" s="1"/>
  <c r="Q1684" i="5" s="1"/>
  <c r="P1683" i="5"/>
  <c r="N1683" i="5"/>
  <c r="D1683" i="5"/>
  <c r="O1683" i="5" s="1"/>
  <c r="Q1683" i="5" s="1"/>
  <c r="P1682" i="5"/>
  <c r="N1682" i="5"/>
  <c r="D1682" i="5"/>
  <c r="P1681" i="5"/>
  <c r="N1681" i="5"/>
  <c r="D1681" i="5"/>
  <c r="O1681" i="5" s="1"/>
  <c r="Q1681" i="5" s="1"/>
  <c r="P1680" i="5"/>
  <c r="N1680" i="5"/>
  <c r="D1680" i="5"/>
  <c r="O1680" i="5" s="1"/>
  <c r="Q1680" i="5" s="1"/>
  <c r="P1679" i="5"/>
  <c r="N1679" i="5"/>
  <c r="D1679" i="5"/>
  <c r="O1679" i="5" s="1"/>
  <c r="Q1679" i="5" s="1"/>
  <c r="P1678" i="5"/>
  <c r="N1678" i="5"/>
  <c r="D1678" i="5"/>
  <c r="O1678" i="5" s="1"/>
  <c r="Q1678" i="5" s="1"/>
  <c r="P1677" i="5"/>
  <c r="N1677" i="5"/>
  <c r="D1677" i="5"/>
  <c r="O1677" i="5" s="1"/>
  <c r="Q1677" i="5" s="1"/>
  <c r="P1676" i="5"/>
  <c r="N1676" i="5"/>
  <c r="D1676" i="5"/>
  <c r="O1676" i="5" s="1"/>
  <c r="Q1676" i="5" s="1"/>
  <c r="P1675" i="5"/>
  <c r="N1675" i="5"/>
  <c r="D1675" i="5"/>
  <c r="O1675" i="5" s="1"/>
  <c r="Q1675" i="5" s="1"/>
  <c r="P1674" i="5"/>
  <c r="N1674" i="5"/>
  <c r="D1674" i="5"/>
  <c r="O1674" i="5" s="1"/>
  <c r="Q1674" i="5" s="1"/>
  <c r="P1673" i="5"/>
  <c r="N1673" i="5"/>
  <c r="D1673" i="5"/>
  <c r="O1673" i="5" s="1"/>
  <c r="Q1673" i="5" s="1"/>
  <c r="P1672" i="5"/>
  <c r="N1672" i="5"/>
  <c r="D1672" i="5"/>
  <c r="O1672" i="5" s="1"/>
  <c r="Q1672" i="5" s="1"/>
  <c r="P1671" i="5"/>
  <c r="N1671" i="5"/>
  <c r="D1671" i="5"/>
  <c r="O1671" i="5" s="1"/>
  <c r="Q1671" i="5" s="1"/>
  <c r="P1670" i="5"/>
  <c r="N1670" i="5"/>
  <c r="D1670" i="5"/>
  <c r="O1670" i="5" s="1"/>
  <c r="Q1670" i="5" s="1"/>
  <c r="P1669" i="5"/>
  <c r="N1669" i="5"/>
  <c r="D1669" i="5"/>
  <c r="O1669" i="5" s="1"/>
  <c r="Q1669" i="5" s="1"/>
  <c r="P1668" i="5"/>
  <c r="N1668" i="5"/>
  <c r="D1668" i="5"/>
  <c r="O1668" i="5" s="1"/>
  <c r="Q1668" i="5" s="1"/>
  <c r="P1667" i="5"/>
  <c r="N1667" i="5"/>
  <c r="D1667" i="5"/>
  <c r="O1667" i="5" s="1"/>
  <c r="Q1667" i="5" s="1"/>
  <c r="P1666" i="5"/>
  <c r="N1666" i="5"/>
  <c r="D1666" i="5"/>
  <c r="O1666" i="5" s="1"/>
  <c r="Q1666" i="5" s="1"/>
  <c r="Q1665" i="5"/>
  <c r="P1665" i="5"/>
  <c r="N1665" i="5"/>
  <c r="D1665" i="5"/>
  <c r="Q1664" i="5"/>
  <c r="P1664" i="5"/>
  <c r="N1664" i="5"/>
  <c r="D1664" i="5"/>
  <c r="Q1663" i="5"/>
  <c r="P1663" i="5"/>
  <c r="N1663" i="5"/>
  <c r="D1663" i="5"/>
  <c r="P1662" i="5"/>
  <c r="N1662" i="5"/>
  <c r="D1662" i="5"/>
  <c r="O1662" i="5" s="1"/>
  <c r="Q1662" i="5" s="1"/>
  <c r="P1661" i="5"/>
  <c r="N1661" i="5"/>
  <c r="D1661" i="5"/>
  <c r="O1661" i="5" s="1"/>
  <c r="Q1661" i="5" s="1"/>
  <c r="P1660" i="5"/>
  <c r="N1660" i="5"/>
  <c r="D1660" i="5"/>
  <c r="O1660" i="5" s="1"/>
  <c r="Q1660" i="5" s="1"/>
  <c r="P1659" i="5"/>
  <c r="N1659" i="5"/>
  <c r="D1659" i="5"/>
  <c r="O1659" i="5" s="1"/>
  <c r="Q1659" i="5" s="1"/>
  <c r="P1658" i="5"/>
  <c r="N1658" i="5"/>
  <c r="D1658" i="5"/>
  <c r="O1658" i="5" s="1"/>
  <c r="Q1658" i="5" s="1"/>
  <c r="P1657" i="5"/>
  <c r="N1657" i="5"/>
  <c r="D1657" i="5"/>
  <c r="O1657" i="5" s="1"/>
  <c r="Q1657" i="5" s="1"/>
  <c r="P1656" i="5"/>
  <c r="N1656" i="5"/>
  <c r="D1656" i="5"/>
  <c r="O1656" i="5" s="1"/>
  <c r="Q1656" i="5" s="1"/>
  <c r="P1655" i="5"/>
  <c r="N1655" i="5"/>
  <c r="D1655" i="5"/>
  <c r="O1655" i="5" s="1"/>
  <c r="Q1655" i="5" s="1"/>
  <c r="P1654" i="5"/>
  <c r="N1654" i="5"/>
  <c r="D1654" i="5"/>
  <c r="O1654" i="5" s="1"/>
  <c r="Q1654" i="5" s="1"/>
  <c r="P1653" i="5"/>
  <c r="N1653" i="5"/>
  <c r="D1653" i="5"/>
  <c r="O1653" i="5" s="1"/>
  <c r="Q1653" i="5" s="1"/>
  <c r="P1652" i="5"/>
  <c r="N1652" i="5"/>
  <c r="D1652" i="5"/>
  <c r="O1652" i="5" s="1"/>
  <c r="Q1652" i="5" s="1"/>
  <c r="P1651" i="5"/>
  <c r="N1651" i="5"/>
  <c r="D1651" i="5"/>
  <c r="O1651" i="5" s="1"/>
  <c r="Q1651" i="5" s="1"/>
  <c r="P1650" i="5"/>
  <c r="N1650" i="5"/>
  <c r="D1650" i="5"/>
  <c r="O1650" i="5" s="1"/>
  <c r="Q1650" i="5" s="1"/>
  <c r="P1649" i="5"/>
  <c r="N1649" i="5"/>
  <c r="D1649" i="5"/>
  <c r="O1649" i="5" s="1"/>
  <c r="Q1649" i="5" s="1"/>
  <c r="P1648" i="5"/>
  <c r="N1648" i="5"/>
  <c r="D1648" i="5"/>
  <c r="O1648" i="5" s="1"/>
  <c r="Q1648" i="5" s="1"/>
  <c r="P1647" i="5"/>
  <c r="N1647" i="5"/>
  <c r="D1647" i="5"/>
  <c r="O1647" i="5" s="1"/>
  <c r="Q1647" i="5" s="1"/>
  <c r="P1646" i="5"/>
  <c r="N1646" i="5"/>
  <c r="D1646" i="5"/>
  <c r="O1646" i="5" s="1"/>
  <c r="Q1646" i="5" s="1"/>
  <c r="P1645" i="5"/>
  <c r="N1645" i="5"/>
  <c r="D1645" i="5"/>
  <c r="O1645" i="5" s="1"/>
  <c r="Q1645" i="5" s="1"/>
  <c r="P1644" i="5"/>
  <c r="N1644" i="5"/>
  <c r="D1644" i="5"/>
  <c r="O1644" i="5" s="1"/>
  <c r="Q1644" i="5" s="1"/>
  <c r="P1643" i="5"/>
  <c r="N1643" i="5"/>
  <c r="D1643" i="5"/>
  <c r="O1643" i="5" s="1"/>
  <c r="Q1643" i="5" s="1"/>
  <c r="P1642" i="5"/>
  <c r="N1642" i="5"/>
  <c r="D1642" i="5"/>
  <c r="O1642" i="5" s="1"/>
  <c r="Q1642" i="5" s="1"/>
  <c r="P1641" i="5"/>
  <c r="N1641" i="5"/>
  <c r="D1641" i="5"/>
  <c r="O1641" i="5" s="1"/>
  <c r="Q1641" i="5" s="1"/>
  <c r="P1640" i="5"/>
  <c r="N1640" i="5"/>
  <c r="D1640" i="5"/>
  <c r="O1640" i="5" s="1"/>
  <c r="Q1640" i="5" s="1"/>
  <c r="P1639" i="5"/>
  <c r="N1639" i="5"/>
  <c r="D1639" i="5"/>
  <c r="O1639" i="5" s="1"/>
  <c r="Q1639" i="5" s="1"/>
  <c r="P1638" i="5"/>
  <c r="N1638" i="5"/>
  <c r="D1638" i="5"/>
  <c r="O1638" i="5" s="1"/>
  <c r="Q1638" i="5" s="1"/>
  <c r="P1637" i="5"/>
  <c r="N1637" i="5"/>
  <c r="D1637" i="5"/>
  <c r="O1637" i="5" s="1"/>
  <c r="Q1637" i="5" s="1"/>
  <c r="P1636" i="5"/>
  <c r="N1636" i="5"/>
  <c r="D1636" i="5"/>
  <c r="O1636" i="5" s="1"/>
  <c r="Q1636" i="5" s="1"/>
  <c r="P1635" i="5"/>
  <c r="N1635" i="5"/>
  <c r="D1635" i="5"/>
  <c r="O1635" i="5" s="1"/>
  <c r="Q1635" i="5" s="1"/>
  <c r="P1634" i="5"/>
  <c r="N1634" i="5"/>
  <c r="D1634" i="5"/>
  <c r="O1634" i="5" s="1"/>
  <c r="Q1634" i="5" s="1"/>
  <c r="P1633" i="5"/>
  <c r="N1633" i="5"/>
  <c r="D1633" i="5"/>
  <c r="O1633" i="5" s="1"/>
  <c r="Q1633" i="5" s="1"/>
  <c r="P1632" i="5"/>
  <c r="N1632" i="5"/>
  <c r="D1632" i="5"/>
  <c r="O1632" i="5" s="1"/>
  <c r="Q1632" i="5" s="1"/>
  <c r="P1631" i="5"/>
  <c r="N1631" i="5"/>
  <c r="D1631" i="5"/>
  <c r="O1631" i="5" s="1"/>
  <c r="Q1631" i="5" s="1"/>
  <c r="P1630" i="5"/>
  <c r="N1630" i="5"/>
  <c r="D1630" i="5"/>
  <c r="O1630" i="5" s="1"/>
  <c r="Q1630" i="5" s="1"/>
  <c r="P1629" i="5"/>
  <c r="N1629" i="5"/>
  <c r="D1629" i="5"/>
  <c r="O1629" i="5" s="1"/>
  <c r="Q1629" i="5" s="1"/>
  <c r="P1628" i="5"/>
  <c r="N1628" i="5"/>
  <c r="D1628" i="5"/>
  <c r="O1628" i="5" s="1"/>
  <c r="Q1628" i="5" s="1"/>
  <c r="P1627" i="5"/>
  <c r="N1627" i="5"/>
  <c r="D1627" i="5"/>
  <c r="O1627" i="5" s="1"/>
  <c r="Q1627" i="5" s="1"/>
  <c r="P1626" i="5"/>
  <c r="N1626" i="5"/>
  <c r="D1626" i="5"/>
  <c r="O1626" i="5" s="1"/>
  <c r="Q1626" i="5" s="1"/>
  <c r="P1625" i="5"/>
  <c r="N1625" i="5"/>
  <c r="D1625" i="5"/>
  <c r="O1625" i="5" s="1"/>
  <c r="Q1625" i="5" s="1"/>
  <c r="P1624" i="5"/>
  <c r="N1624" i="5"/>
  <c r="D1624" i="5"/>
  <c r="O1624" i="5" s="1"/>
  <c r="Q1624" i="5" s="1"/>
  <c r="P1623" i="5"/>
  <c r="N1623" i="5"/>
  <c r="D1623" i="5"/>
  <c r="O1623" i="5" s="1"/>
  <c r="Q1623" i="5" s="1"/>
  <c r="P1622" i="5"/>
  <c r="N1622" i="5"/>
  <c r="D1622" i="5"/>
  <c r="O1622" i="5" s="1"/>
  <c r="Q1622" i="5" s="1"/>
  <c r="P1621" i="5"/>
  <c r="N1621" i="5"/>
  <c r="D1621" i="5"/>
  <c r="O1621" i="5" s="1"/>
  <c r="Q1621" i="5" s="1"/>
  <c r="P1620" i="5"/>
  <c r="N1620" i="5"/>
  <c r="D1620" i="5"/>
  <c r="O1620" i="5" s="1"/>
  <c r="Q1620" i="5" s="1"/>
  <c r="P1619" i="5"/>
  <c r="N1619" i="5"/>
  <c r="D1619" i="5"/>
  <c r="O1619" i="5" s="1"/>
  <c r="Q1619" i="5" s="1"/>
  <c r="P1618" i="5"/>
  <c r="N1618" i="5"/>
  <c r="D1618" i="5"/>
  <c r="O1618" i="5" s="1"/>
  <c r="Q1618" i="5" s="1"/>
  <c r="P1617" i="5"/>
  <c r="N1617" i="5"/>
  <c r="D1617" i="5"/>
  <c r="O1617" i="5" s="1"/>
  <c r="Q1617" i="5" s="1"/>
  <c r="P1616" i="5"/>
  <c r="N1616" i="5"/>
  <c r="D1616" i="5"/>
  <c r="O1616" i="5" s="1"/>
  <c r="Q1616" i="5" s="1"/>
  <c r="P1615" i="5"/>
  <c r="N1615" i="5"/>
  <c r="D1615" i="5"/>
  <c r="O1615" i="5" s="1"/>
  <c r="Q1615" i="5" s="1"/>
  <c r="P1614" i="5"/>
  <c r="N1614" i="5"/>
  <c r="D1614" i="5"/>
  <c r="O1614" i="5" s="1"/>
  <c r="Q1614" i="5" s="1"/>
  <c r="P1613" i="5"/>
  <c r="N1613" i="5"/>
  <c r="D1613" i="5"/>
  <c r="P1612" i="5"/>
  <c r="N1612" i="5"/>
  <c r="D1612" i="5"/>
  <c r="O1612" i="5" s="1"/>
  <c r="Q1612" i="5" s="1"/>
  <c r="P1611" i="5"/>
  <c r="N1611" i="5"/>
  <c r="D1611" i="5"/>
  <c r="O1611" i="5" s="1"/>
  <c r="Q1611" i="5" s="1"/>
  <c r="P1610" i="5"/>
  <c r="N1610" i="5"/>
  <c r="D1610" i="5"/>
  <c r="O1610" i="5" s="1"/>
  <c r="Q1610" i="5" s="1"/>
  <c r="P1609" i="5"/>
  <c r="N1609" i="5"/>
  <c r="D1609" i="5"/>
  <c r="O1609" i="5" s="1"/>
  <c r="Q1609" i="5" s="1"/>
  <c r="P1608" i="5"/>
  <c r="N1608" i="5"/>
  <c r="D1608" i="5"/>
  <c r="O1608" i="5" s="1"/>
  <c r="Q1608" i="5" s="1"/>
  <c r="P1607" i="5"/>
  <c r="N1607" i="5"/>
  <c r="D1607" i="5"/>
  <c r="O1607" i="5" s="1"/>
  <c r="Q1607" i="5" s="1"/>
  <c r="P1606" i="5"/>
  <c r="N1606" i="5"/>
  <c r="D1606" i="5"/>
  <c r="O1606" i="5" s="1"/>
  <c r="Q1606" i="5" s="1"/>
  <c r="P1605" i="5"/>
  <c r="N1605" i="5"/>
  <c r="D1605" i="5"/>
  <c r="O1605" i="5" s="1"/>
  <c r="Q1605" i="5" s="1"/>
  <c r="P1604" i="5"/>
  <c r="N1604" i="5"/>
  <c r="D1604" i="5"/>
  <c r="O1604" i="5" s="1"/>
  <c r="Q1604" i="5" s="1"/>
  <c r="P1603" i="5"/>
  <c r="N1603" i="5"/>
  <c r="D1603" i="5"/>
  <c r="O1603" i="5" s="1"/>
  <c r="Q1603" i="5" s="1"/>
  <c r="P1602" i="5"/>
  <c r="N1602" i="5"/>
  <c r="D1602" i="5"/>
  <c r="O1602" i="5" s="1"/>
  <c r="Q1602" i="5" s="1"/>
  <c r="P1601" i="5"/>
  <c r="N1601" i="5"/>
  <c r="D1601" i="5"/>
  <c r="O1601" i="5" s="1"/>
  <c r="Q1601" i="5" s="1"/>
  <c r="P1600" i="5"/>
  <c r="N1600" i="5"/>
  <c r="D1600" i="5"/>
  <c r="O1600" i="5" s="1"/>
  <c r="Q1600" i="5" s="1"/>
  <c r="P1599" i="5"/>
  <c r="N1599" i="5"/>
  <c r="D1599" i="5"/>
  <c r="O1599" i="5" s="1"/>
  <c r="Q1599" i="5" s="1"/>
  <c r="P1598" i="5"/>
  <c r="N1598" i="5"/>
  <c r="D1598" i="5"/>
  <c r="O1598" i="5" s="1"/>
  <c r="Q1598" i="5" s="1"/>
  <c r="P1597" i="5"/>
  <c r="N1597" i="5"/>
  <c r="D1597" i="5"/>
  <c r="O1597" i="5" s="1"/>
  <c r="Q1597" i="5" s="1"/>
  <c r="P1596" i="5"/>
  <c r="N1596" i="5"/>
  <c r="D1596" i="5"/>
  <c r="O1596" i="5" s="1"/>
  <c r="Q1596" i="5" s="1"/>
  <c r="P1595" i="5"/>
  <c r="N1595" i="5"/>
  <c r="D1595" i="5"/>
  <c r="O1595" i="5" s="1"/>
  <c r="Q1595" i="5" s="1"/>
  <c r="P1594" i="5"/>
  <c r="N1594" i="5"/>
  <c r="D1594" i="5"/>
  <c r="O1594" i="5" s="1"/>
  <c r="Q1594" i="5" s="1"/>
  <c r="P1593" i="5"/>
  <c r="N1593" i="5"/>
  <c r="D1593" i="5"/>
  <c r="O1593" i="5" s="1"/>
  <c r="Q1593" i="5" s="1"/>
  <c r="P1592" i="5"/>
  <c r="N1592" i="5"/>
  <c r="D1592" i="5"/>
  <c r="O1592" i="5" s="1"/>
  <c r="Q1592" i="5" s="1"/>
  <c r="P1591" i="5"/>
  <c r="N1591" i="5"/>
  <c r="D1591" i="5"/>
  <c r="O1591" i="5" s="1"/>
  <c r="Q1591" i="5" s="1"/>
  <c r="P1590" i="5"/>
  <c r="N1590" i="5"/>
  <c r="D1590" i="5"/>
  <c r="O1590" i="5" s="1"/>
  <c r="Q1590" i="5" s="1"/>
  <c r="P1589" i="5"/>
  <c r="N1589" i="5"/>
  <c r="D1589" i="5"/>
  <c r="O1589" i="5" s="1"/>
  <c r="Q1589" i="5" s="1"/>
  <c r="P1588" i="5"/>
  <c r="N1588" i="5"/>
  <c r="D1588" i="5"/>
  <c r="O1588" i="5" s="1"/>
  <c r="Q1588" i="5" s="1"/>
  <c r="P1587" i="5"/>
  <c r="N1587" i="5"/>
  <c r="D1587" i="5"/>
  <c r="O1587" i="5" s="1"/>
  <c r="Q1587" i="5" s="1"/>
  <c r="P1586" i="5"/>
  <c r="N1586" i="5"/>
  <c r="D1586" i="5"/>
  <c r="O1586" i="5" s="1"/>
  <c r="Q1586" i="5" s="1"/>
  <c r="P1585" i="5"/>
  <c r="N1585" i="5"/>
  <c r="D1585" i="5"/>
  <c r="O1585" i="5" s="1"/>
  <c r="Q1585" i="5" s="1"/>
  <c r="P1584" i="5"/>
  <c r="N1584" i="5"/>
  <c r="D1584" i="5"/>
  <c r="O1584" i="5" s="1"/>
  <c r="Q1584" i="5" s="1"/>
  <c r="P1583" i="5"/>
  <c r="N1583" i="5"/>
  <c r="D1583" i="5"/>
  <c r="O1583" i="5" s="1"/>
  <c r="Q1583" i="5" s="1"/>
  <c r="P1582" i="5"/>
  <c r="N1582" i="5"/>
  <c r="D1582" i="5"/>
  <c r="O1582" i="5" s="1"/>
  <c r="Q1582" i="5" s="1"/>
  <c r="P1581" i="5"/>
  <c r="N1581" i="5"/>
  <c r="D1581" i="5"/>
  <c r="O1581" i="5" s="1"/>
  <c r="Q1581" i="5" s="1"/>
  <c r="P1580" i="5"/>
  <c r="N1580" i="5"/>
  <c r="D1580" i="5"/>
  <c r="O1580" i="5" s="1"/>
  <c r="Q1580" i="5" s="1"/>
  <c r="P1579" i="5"/>
  <c r="N1579" i="5"/>
  <c r="D1579" i="5"/>
  <c r="O1579" i="5" s="1"/>
  <c r="Q1579" i="5" s="1"/>
  <c r="P1578" i="5"/>
  <c r="N1578" i="5"/>
  <c r="D1578" i="5"/>
  <c r="O1578" i="5" s="1"/>
  <c r="Q1578" i="5" s="1"/>
  <c r="P1577" i="5"/>
  <c r="N1577" i="5"/>
  <c r="D1577" i="5"/>
  <c r="O1577" i="5" s="1"/>
  <c r="Q1577" i="5" s="1"/>
  <c r="P1576" i="5"/>
  <c r="N1576" i="5"/>
  <c r="D1576" i="5"/>
  <c r="O1576" i="5" s="1"/>
  <c r="Q1576" i="5" s="1"/>
  <c r="P1575" i="5"/>
  <c r="N1575" i="5"/>
  <c r="D1575" i="5"/>
  <c r="P1574" i="5"/>
  <c r="N1574" i="5"/>
  <c r="D1574" i="5"/>
  <c r="O1574" i="5" s="1"/>
  <c r="Q1574" i="5" s="1"/>
  <c r="P1573" i="5"/>
  <c r="N1573" i="5"/>
  <c r="D1573" i="5"/>
  <c r="O1573" i="5" s="1"/>
  <c r="Q1573" i="5" s="1"/>
  <c r="P1572" i="5"/>
  <c r="N1572" i="5"/>
  <c r="D1572" i="5"/>
  <c r="O1572" i="5" s="1"/>
  <c r="Q1572" i="5" s="1"/>
  <c r="P1571" i="5"/>
  <c r="N1571" i="5"/>
  <c r="D1571" i="5"/>
  <c r="O1571" i="5" s="1"/>
  <c r="Q1571" i="5" s="1"/>
  <c r="P1570" i="5"/>
  <c r="N1570" i="5"/>
  <c r="D1570" i="5"/>
  <c r="O1570" i="5" s="1"/>
  <c r="Q1570" i="5" s="1"/>
  <c r="P1569" i="5"/>
  <c r="N1569" i="5"/>
  <c r="D1569" i="5"/>
  <c r="O1569" i="5" s="1"/>
  <c r="Q1569" i="5" s="1"/>
  <c r="P1568" i="5"/>
  <c r="N1568" i="5"/>
  <c r="D1568" i="5"/>
  <c r="O1568" i="5" s="1"/>
  <c r="Q1568" i="5" s="1"/>
  <c r="P1567" i="5"/>
  <c r="N1567" i="5"/>
  <c r="D1567" i="5"/>
  <c r="O1567" i="5" s="1"/>
  <c r="Q1567" i="5" s="1"/>
  <c r="P1566" i="5"/>
  <c r="N1566" i="5"/>
  <c r="D1566" i="5"/>
  <c r="O1566" i="5" s="1"/>
  <c r="Q1566" i="5" s="1"/>
  <c r="P1565" i="5"/>
  <c r="N1565" i="5"/>
  <c r="D1565" i="5"/>
  <c r="O1565" i="5" s="1"/>
  <c r="Q1565" i="5" s="1"/>
  <c r="P1564" i="5"/>
  <c r="N1564" i="5"/>
  <c r="D1564" i="5"/>
  <c r="O1564" i="5" s="1"/>
  <c r="Q1564" i="5" s="1"/>
  <c r="P1563" i="5"/>
  <c r="N1563" i="5"/>
  <c r="D1563" i="5"/>
  <c r="O1563" i="5" s="1"/>
  <c r="Q1563" i="5" s="1"/>
  <c r="P1562" i="5"/>
  <c r="N1562" i="5"/>
  <c r="D1562" i="5"/>
  <c r="O1562" i="5" s="1"/>
  <c r="Q1562" i="5" s="1"/>
  <c r="P1561" i="5"/>
  <c r="N1561" i="5"/>
  <c r="D1561" i="5"/>
  <c r="O1561" i="5" s="1"/>
  <c r="Q1561" i="5" s="1"/>
  <c r="P1560" i="5"/>
  <c r="N1560" i="5"/>
  <c r="D1560" i="5"/>
  <c r="O1560" i="5" s="1"/>
  <c r="Q1560" i="5" s="1"/>
  <c r="P1559" i="5"/>
  <c r="N1559" i="5"/>
  <c r="D1559" i="5"/>
  <c r="O1559" i="5" s="1"/>
  <c r="Q1559" i="5" s="1"/>
  <c r="P1558" i="5"/>
  <c r="N1558" i="5"/>
  <c r="D1558" i="5"/>
  <c r="O1558" i="5" s="1"/>
  <c r="Q1558" i="5" s="1"/>
  <c r="P1557" i="5"/>
  <c r="N1557" i="5"/>
  <c r="D1557" i="5"/>
  <c r="O1557" i="5" s="1"/>
  <c r="Q1557" i="5" s="1"/>
  <c r="P1556" i="5"/>
  <c r="N1556" i="5"/>
  <c r="D1556" i="5"/>
  <c r="O1556" i="5" s="1"/>
  <c r="Q1556" i="5" s="1"/>
  <c r="P1555" i="5"/>
  <c r="N1555" i="5"/>
  <c r="D1555" i="5"/>
  <c r="O1555" i="5" s="1"/>
  <c r="Q1555" i="5" s="1"/>
  <c r="P1554" i="5"/>
  <c r="N1554" i="5"/>
  <c r="D1554" i="5"/>
  <c r="O1554" i="5" s="1"/>
  <c r="Q1554" i="5" s="1"/>
  <c r="P1553" i="5"/>
  <c r="N1553" i="5"/>
  <c r="D1553" i="5"/>
  <c r="O1553" i="5" s="1"/>
  <c r="Q1553" i="5" s="1"/>
  <c r="P1552" i="5"/>
  <c r="N1552" i="5"/>
  <c r="D1552" i="5"/>
  <c r="O1552" i="5" s="1"/>
  <c r="Q1552" i="5" s="1"/>
  <c r="P1551" i="5"/>
  <c r="N1551" i="5"/>
  <c r="D1551" i="5"/>
  <c r="O1551" i="5" s="1"/>
  <c r="Q1551" i="5" s="1"/>
  <c r="P1550" i="5"/>
  <c r="N1550" i="5"/>
  <c r="D1550" i="5"/>
  <c r="O1550" i="5" s="1"/>
  <c r="Q1550" i="5" s="1"/>
  <c r="P1549" i="5"/>
  <c r="N1549" i="5"/>
  <c r="D1549" i="5"/>
  <c r="O1549" i="5" s="1"/>
  <c r="Q1549" i="5" s="1"/>
  <c r="P1548" i="5"/>
  <c r="N1548" i="5"/>
  <c r="D1548" i="5"/>
  <c r="O1548" i="5" s="1"/>
  <c r="Q1548" i="5" s="1"/>
  <c r="P1547" i="5"/>
  <c r="N1547" i="5"/>
  <c r="D1547" i="5"/>
  <c r="O1547" i="5" s="1"/>
  <c r="Q1547" i="5" s="1"/>
  <c r="P1546" i="5"/>
  <c r="N1546" i="5"/>
  <c r="D1546" i="5"/>
  <c r="O1546" i="5" s="1"/>
  <c r="Q1546" i="5" s="1"/>
  <c r="P1545" i="5"/>
  <c r="N1545" i="5"/>
  <c r="D1545" i="5"/>
  <c r="O1545" i="5" s="1"/>
  <c r="Q1545" i="5" s="1"/>
  <c r="P1544" i="5"/>
  <c r="N1544" i="5"/>
  <c r="D1544" i="5"/>
  <c r="O1544" i="5" s="1"/>
  <c r="Q1544" i="5" s="1"/>
  <c r="P1543" i="5"/>
  <c r="N1543" i="5"/>
  <c r="D1543" i="5"/>
  <c r="O1543" i="5" s="1"/>
  <c r="Q1543" i="5" s="1"/>
  <c r="P1542" i="5"/>
  <c r="N1542" i="5"/>
  <c r="D1542" i="5"/>
  <c r="O1542" i="5" s="1"/>
  <c r="Q1542" i="5" s="1"/>
  <c r="P1541" i="5"/>
  <c r="N1541" i="5"/>
  <c r="D1541" i="5"/>
  <c r="O1541" i="5" s="1"/>
  <c r="Q1541" i="5" s="1"/>
  <c r="P1540" i="5"/>
  <c r="N1540" i="5"/>
  <c r="D1540" i="5"/>
  <c r="P1539" i="5"/>
  <c r="N1539" i="5"/>
  <c r="D1539" i="5"/>
  <c r="O1539" i="5" s="1"/>
  <c r="Q1539" i="5" s="1"/>
  <c r="P1538" i="5"/>
  <c r="N1538" i="5"/>
  <c r="D1538" i="5"/>
  <c r="O1538" i="5" s="1"/>
  <c r="Q1538" i="5" s="1"/>
  <c r="P1537" i="5"/>
  <c r="N1537" i="5"/>
  <c r="D1537" i="5"/>
  <c r="P1536" i="5"/>
  <c r="N1536" i="5"/>
  <c r="D1536" i="5"/>
  <c r="O1536" i="5" s="1"/>
  <c r="Q1536" i="5" s="1"/>
  <c r="P1535" i="5"/>
  <c r="N1535" i="5"/>
  <c r="D1535" i="5"/>
  <c r="O1535" i="5" s="1"/>
  <c r="Q1535" i="5" s="1"/>
  <c r="P1534" i="5"/>
  <c r="N1534" i="5"/>
  <c r="D1534" i="5"/>
  <c r="O1534" i="5" s="1"/>
  <c r="Q1534" i="5" s="1"/>
  <c r="P1533" i="5"/>
  <c r="N1533" i="5"/>
  <c r="D1533" i="5"/>
  <c r="O1533" i="5" s="1"/>
  <c r="Q1533" i="5" s="1"/>
  <c r="P1532" i="5"/>
  <c r="N1532" i="5"/>
  <c r="D1532" i="5"/>
  <c r="O1532" i="5" s="1"/>
  <c r="Q1532" i="5" s="1"/>
  <c r="P1531" i="5"/>
  <c r="N1531" i="5"/>
  <c r="D1531" i="5"/>
  <c r="O1531" i="5" s="1"/>
  <c r="Q1531" i="5" s="1"/>
  <c r="P1530" i="5"/>
  <c r="N1530" i="5"/>
  <c r="D1530" i="5"/>
  <c r="O1530" i="5" s="1"/>
  <c r="Q1530" i="5" s="1"/>
  <c r="P1529" i="5"/>
  <c r="N1529" i="5"/>
  <c r="D1529" i="5"/>
  <c r="O1529" i="5" s="1"/>
  <c r="Q1529" i="5" s="1"/>
  <c r="P1528" i="5"/>
  <c r="N1528" i="5"/>
  <c r="D1528" i="5"/>
  <c r="O1528" i="5" s="1"/>
  <c r="Q1528" i="5" s="1"/>
  <c r="P1527" i="5"/>
  <c r="N1527" i="5"/>
  <c r="D1527" i="5"/>
  <c r="P1526" i="5"/>
  <c r="N1526" i="5"/>
  <c r="D1526" i="5"/>
  <c r="O1526" i="5" s="1"/>
  <c r="Q1526" i="5" s="1"/>
  <c r="P1525" i="5"/>
  <c r="N1525" i="5"/>
  <c r="D1525" i="5"/>
  <c r="O1525" i="5" s="1"/>
  <c r="Q1525" i="5" s="1"/>
  <c r="P1524" i="5"/>
  <c r="N1524" i="5"/>
  <c r="D1524" i="5"/>
  <c r="O1524" i="5" s="1"/>
  <c r="Q1524" i="5" s="1"/>
  <c r="P1523" i="5"/>
  <c r="N1523" i="5"/>
  <c r="D1523" i="5"/>
  <c r="O1523" i="5" s="1"/>
  <c r="Q1523" i="5" s="1"/>
  <c r="P1522" i="5"/>
  <c r="N1522" i="5"/>
  <c r="D1522" i="5"/>
  <c r="O1522" i="5" s="1"/>
  <c r="Q1522" i="5" s="1"/>
  <c r="P1521" i="5"/>
  <c r="N1521" i="5"/>
  <c r="D1521" i="5"/>
  <c r="O1521" i="5" s="1"/>
  <c r="Q1521" i="5" s="1"/>
  <c r="P1520" i="5"/>
  <c r="N1520" i="5"/>
  <c r="D1520" i="5"/>
  <c r="P1519" i="5"/>
  <c r="N1519" i="5"/>
  <c r="D1519" i="5"/>
  <c r="O1519" i="5" s="1"/>
  <c r="Q1519" i="5" s="1"/>
  <c r="P1518" i="5"/>
  <c r="N1518" i="5"/>
  <c r="D1518" i="5"/>
  <c r="O1518" i="5" s="1"/>
  <c r="Q1518" i="5" s="1"/>
  <c r="P1517" i="5"/>
  <c r="N1517" i="5"/>
  <c r="D1517" i="5"/>
  <c r="O1517" i="5" s="1"/>
  <c r="Q1517" i="5" s="1"/>
  <c r="P1516" i="5"/>
  <c r="N1516" i="5"/>
  <c r="D1516" i="5"/>
  <c r="O1516" i="5" s="1"/>
  <c r="Q1516" i="5" s="1"/>
  <c r="P1515" i="5"/>
  <c r="N1515" i="5"/>
  <c r="D1515" i="5"/>
  <c r="O1515" i="5" s="1"/>
  <c r="Q1515" i="5" s="1"/>
  <c r="P1514" i="5"/>
  <c r="N1514" i="5"/>
  <c r="D1514" i="5"/>
  <c r="O1514" i="5" s="1"/>
  <c r="Q1514" i="5" s="1"/>
  <c r="P1513" i="5"/>
  <c r="N1513" i="5"/>
  <c r="D1513" i="5"/>
  <c r="O1513" i="5" s="1"/>
  <c r="Q1513" i="5" s="1"/>
  <c r="P1512" i="5"/>
  <c r="N1512" i="5"/>
  <c r="D1512" i="5"/>
  <c r="P1511" i="5"/>
  <c r="N1511" i="5"/>
  <c r="D1511" i="5"/>
  <c r="O1511" i="5" s="1"/>
  <c r="Q1511" i="5" s="1"/>
  <c r="P1510" i="5"/>
  <c r="N1510" i="5"/>
  <c r="D1510" i="5"/>
  <c r="O1510" i="5" s="1"/>
  <c r="Q1510" i="5" s="1"/>
  <c r="P1509" i="5"/>
  <c r="N1509" i="5"/>
  <c r="D1509" i="5"/>
  <c r="O1509" i="5" s="1"/>
  <c r="Q1509" i="5" s="1"/>
  <c r="P1508" i="5"/>
  <c r="N1508" i="5"/>
  <c r="D1508" i="5"/>
  <c r="O1508" i="5" s="1"/>
  <c r="Q1508" i="5" s="1"/>
  <c r="P1507" i="5"/>
  <c r="N1507" i="5"/>
  <c r="D1507" i="5"/>
  <c r="O1507" i="5" s="1"/>
  <c r="Q1507" i="5" s="1"/>
  <c r="P1506" i="5"/>
  <c r="N1506" i="5"/>
  <c r="D1506" i="5"/>
  <c r="O1506" i="5" s="1"/>
  <c r="Q1506" i="5" s="1"/>
  <c r="P1505" i="5"/>
  <c r="N1505" i="5"/>
  <c r="D1505" i="5"/>
  <c r="O1505" i="5" s="1"/>
  <c r="Q1505" i="5" s="1"/>
  <c r="P1504" i="5"/>
  <c r="N1504" i="5"/>
  <c r="D1504" i="5"/>
  <c r="O1504" i="5" s="1"/>
  <c r="Q1504" i="5" s="1"/>
  <c r="P1503" i="5"/>
  <c r="N1503" i="5"/>
  <c r="D1503" i="5"/>
  <c r="O1503" i="5" s="1"/>
  <c r="Q1503" i="5" s="1"/>
  <c r="P1502" i="5"/>
  <c r="N1502" i="5"/>
  <c r="D1502" i="5"/>
  <c r="O1502" i="5" s="1"/>
  <c r="Q1502" i="5" s="1"/>
  <c r="P1501" i="5"/>
  <c r="N1501" i="5"/>
  <c r="D1501" i="5"/>
  <c r="O1501" i="5" s="1"/>
  <c r="Q1501" i="5" s="1"/>
  <c r="P1500" i="5"/>
  <c r="N1500" i="5"/>
  <c r="D1500" i="5"/>
  <c r="O1500" i="5" s="1"/>
  <c r="Q1500" i="5" s="1"/>
  <c r="P1499" i="5"/>
  <c r="N1499" i="5"/>
  <c r="D1499" i="5"/>
  <c r="P1498" i="5"/>
  <c r="N1498" i="5"/>
  <c r="D1498" i="5"/>
  <c r="O1498" i="5" s="1"/>
  <c r="Q1498" i="5" s="1"/>
  <c r="P1497" i="5"/>
  <c r="N1497" i="5"/>
  <c r="D1497" i="5"/>
  <c r="O1497" i="5" s="1"/>
  <c r="Q1497" i="5" s="1"/>
  <c r="P1496" i="5"/>
  <c r="N1496" i="5"/>
  <c r="D1496" i="5"/>
  <c r="O1496" i="5" s="1"/>
  <c r="Q1496" i="5" s="1"/>
  <c r="P1495" i="5"/>
  <c r="N1495" i="5"/>
  <c r="D1495" i="5"/>
  <c r="O1495" i="5" s="1"/>
  <c r="Q1495" i="5" s="1"/>
  <c r="P1494" i="5"/>
  <c r="N1494" i="5"/>
  <c r="D1494" i="5"/>
  <c r="O1494" i="5" s="1"/>
  <c r="Q1494" i="5" s="1"/>
  <c r="P1493" i="5"/>
  <c r="N1493" i="5"/>
  <c r="D1493" i="5"/>
  <c r="O1493" i="5" s="1"/>
  <c r="Q1493" i="5" s="1"/>
  <c r="P1492" i="5"/>
  <c r="N1492" i="5"/>
  <c r="D1492" i="5"/>
  <c r="O1492" i="5" s="1"/>
  <c r="Q1492" i="5" s="1"/>
  <c r="P1491" i="5"/>
  <c r="N1491" i="5"/>
  <c r="D1491" i="5"/>
  <c r="O1491" i="5" s="1"/>
  <c r="Q1491" i="5" s="1"/>
  <c r="Q1490" i="5"/>
  <c r="P1490" i="5"/>
  <c r="N1490" i="5"/>
  <c r="D1490" i="5"/>
  <c r="Q1489" i="5"/>
  <c r="P1489" i="5"/>
  <c r="N1489" i="5"/>
  <c r="D1489" i="5"/>
  <c r="Q1488" i="5"/>
  <c r="P1488" i="5"/>
  <c r="N1488" i="5"/>
  <c r="D1488" i="5"/>
  <c r="Q1487" i="5"/>
  <c r="P1487" i="5"/>
  <c r="N1487" i="5"/>
  <c r="D1487" i="5"/>
  <c r="Q1486" i="5"/>
  <c r="P1486" i="5"/>
  <c r="N1486" i="5"/>
  <c r="D1486" i="5"/>
  <c r="Q1485" i="5"/>
  <c r="P1485" i="5"/>
  <c r="N1485" i="5"/>
  <c r="D1485" i="5"/>
  <c r="Q1484" i="5"/>
  <c r="P1484" i="5"/>
  <c r="N1484" i="5"/>
  <c r="D1484" i="5"/>
  <c r="P1483" i="5"/>
  <c r="N1483" i="5"/>
  <c r="D1483" i="5"/>
  <c r="O1483" i="5" s="1"/>
  <c r="Q1483" i="5" s="1"/>
  <c r="P1482" i="5"/>
  <c r="N1482" i="5"/>
  <c r="D1482" i="5"/>
  <c r="O1482" i="5" s="1"/>
  <c r="Q1482" i="5" s="1"/>
  <c r="P1481" i="5"/>
  <c r="N1481" i="5"/>
  <c r="D1481" i="5"/>
  <c r="O1481" i="5" s="1"/>
  <c r="Q1481" i="5" s="1"/>
  <c r="P1480" i="5"/>
  <c r="N1480" i="5"/>
  <c r="D1480" i="5"/>
  <c r="O1480" i="5" s="1"/>
  <c r="Q1480" i="5" s="1"/>
  <c r="P1479" i="5"/>
  <c r="N1479" i="5"/>
  <c r="D1479" i="5"/>
  <c r="O1479" i="5" s="1"/>
  <c r="Q1479" i="5" s="1"/>
  <c r="P1478" i="5"/>
  <c r="N1478" i="5"/>
  <c r="D1478" i="5"/>
  <c r="O1478" i="5" s="1"/>
  <c r="Q1478" i="5" s="1"/>
  <c r="P1477" i="5"/>
  <c r="N1477" i="5"/>
  <c r="D1477" i="5"/>
  <c r="O1477" i="5" s="1"/>
  <c r="Q1477" i="5" s="1"/>
  <c r="P1476" i="5"/>
  <c r="N1476" i="5"/>
  <c r="D1476" i="5"/>
  <c r="O1476" i="5" s="1"/>
  <c r="Q1476" i="5" s="1"/>
  <c r="P1475" i="5"/>
  <c r="N1475" i="5"/>
  <c r="D1475" i="5"/>
  <c r="O1475" i="5" s="1"/>
  <c r="Q1475" i="5" s="1"/>
  <c r="P1474" i="5"/>
  <c r="N1474" i="5"/>
  <c r="D1474" i="5"/>
  <c r="O1474" i="5" s="1"/>
  <c r="Q1474" i="5" s="1"/>
  <c r="P1473" i="5"/>
  <c r="N1473" i="5"/>
  <c r="D1473" i="5"/>
  <c r="O1473" i="5" s="1"/>
  <c r="Q1473" i="5" s="1"/>
  <c r="P1472" i="5"/>
  <c r="N1472" i="5"/>
  <c r="D1472" i="5"/>
  <c r="O1472" i="5" s="1"/>
  <c r="Q1472" i="5" s="1"/>
  <c r="P1471" i="5"/>
  <c r="N1471" i="5"/>
  <c r="D1471" i="5"/>
  <c r="O1471" i="5" s="1"/>
  <c r="Q1471" i="5" s="1"/>
  <c r="P1470" i="5"/>
  <c r="N1470" i="5"/>
  <c r="D1470" i="5"/>
  <c r="O1470" i="5" s="1"/>
  <c r="Q1470" i="5" s="1"/>
  <c r="P1469" i="5"/>
  <c r="N1469" i="5"/>
  <c r="D1469" i="5"/>
  <c r="O1469" i="5" s="1"/>
  <c r="Q1469" i="5" s="1"/>
  <c r="P1468" i="5"/>
  <c r="N1468" i="5"/>
  <c r="D1468" i="5"/>
  <c r="P1467" i="5"/>
  <c r="N1467" i="5"/>
  <c r="D1467" i="5"/>
  <c r="O1467" i="5" s="1"/>
  <c r="Q1467" i="5" s="1"/>
  <c r="P1466" i="5"/>
  <c r="N1466" i="5"/>
  <c r="D1466" i="5"/>
  <c r="O1466" i="5" s="1"/>
  <c r="Q1466" i="5" s="1"/>
  <c r="P1465" i="5"/>
  <c r="N1465" i="5"/>
  <c r="D1465" i="5"/>
  <c r="O1465" i="5" s="1"/>
  <c r="Q1465" i="5" s="1"/>
  <c r="P1464" i="5"/>
  <c r="N1464" i="5"/>
  <c r="D1464" i="5"/>
  <c r="O1464" i="5" s="1"/>
  <c r="Q1464" i="5" s="1"/>
  <c r="P1463" i="5"/>
  <c r="N1463" i="5"/>
  <c r="D1463" i="5"/>
  <c r="O1463" i="5" s="1"/>
  <c r="Q1463" i="5" s="1"/>
  <c r="P1462" i="5"/>
  <c r="N1462" i="5"/>
  <c r="D1462" i="5"/>
  <c r="O1462" i="5" s="1"/>
  <c r="Q1462" i="5" s="1"/>
  <c r="P1461" i="5"/>
  <c r="N1461" i="5"/>
  <c r="D1461" i="5"/>
  <c r="O1461" i="5" s="1"/>
  <c r="Q1461" i="5" s="1"/>
  <c r="P1460" i="5"/>
  <c r="N1460" i="5"/>
  <c r="D1460" i="5"/>
  <c r="O1460" i="5" s="1"/>
  <c r="Q1460" i="5" s="1"/>
  <c r="P1459" i="5"/>
  <c r="N1459" i="5"/>
  <c r="D1459" i="5"/>
  <c r="O1459" i="5" s="1"/>
  <c r="Q1459" i="5" s="1"/>
  <c r="P1458" i="5"/>
  <c r="N1458" i="5"/>
  <c r="D1458" i="5"/>
  <c r="O1458" i="5" s="1"/>
  <c r="Q1458" i="5" s="1"/>
  <c r="P1457" i="5"/>
  <c r="N1457" i="5"/>
  <c r="D1457" i="5"/>
  <c r="O1457" i="5" s="1"/>
  <c r="Q1457" i="5" s="1"/>
  <c r="P1456" i="5"/>
  <c r="N1456" i="5"/>
  <c r="D1456" i="5"/>
  <c r="O1456" i="5" s="1"/>
  <c r="Q1456" i="5" s="1"/>
  <c r="P1455" i="5"/>
  <c r="N1455" i="5"/>
  <c r="D1455" i="5"/>
  <c r="O1455" i="5" s="1"/>
  <c r="Q1455" i="5" s="1"/>
  <c r="P1454" i="5"/>
  <c r="N1454" i="5"/>
  <c r="D1454" i="5"/>
  <c r="O1454" i="5" s="1"/>
  <c r="Q1454" i="5" s="1"/>
  <c r="P1453" i="5"/>
  <c r="N1453" i="5"/>
  <c r="D1453" i="5"/>
  <c r="O1453" i="5" s="1"/>
  <c r="Q1453" i="5" s="1"/>
  <c r="P1452" i="5"/>
  <c r="N1452" i="5"/>
  <c r="D1452" i="5"/>
  <c r="O1452" i="5" s="1"/>
  <c r="Q1452" i="5" s="1"/>
  <c r="P1451" i="5"/>
  <c r="N1451" i="5"/>
  <c r="D1451" i="5"/>
  <c r="O1451" i="5" s="1"/>
  <c r="Q1451" i="5" s="1"/>
  <c r="P1450" i="5"/>
  <c r="N1450" i="5"/>
  <c r="D1450" i="5"/>
  <c r="O1450" i="5" s="1"/>
  <c r="Q1450" i="5" s="1"/>
  <c r="P1449" i="5"/>
  <c r="N1449" i="5"/>
  <c r="D1449" i="5"/>
  <c r="O1449" i="5" s="1"/>
  <c r="Q1449" i="5" s="1"/>
  <c r="P1448" i="5"/>
  <c r="N1448" i="5"/>
  <c r="D1448" i="5"/>
  <c r="O1448" i="5" s="1"/>
  <c r="Q1448" i="5" s="1"/>
  <c r="P1447" i="5"/>
  <c r="N1447" i="5"/>
  <c r="D1447" i="5"/>
  <c r="O1447" i="5" s="1"/>
  <c r="Q1447" i="5" s="1"/>
  <c r="P1446" i="5"/>
  <c r="N1446" i="5"/>
  <c r="D1446" i="5"/>
  <c r="O1446" i="5" s="1"/>
  <c r="Q1446" i="5" s="1"/>
  <c r="P1445" i="5"/>
  <c r="N1445" i="5"/>
  <c r="D1445" i="5"/>
  <c r="O1445" i="5" s="1"/>
  <c r="Q1445" i="5" s="1"/>
  <c r="P1444" i="5"/>
  <c r="N1444" i="5"/>
  <c r="D1444" i="5"/>
  <c r="O1444" i="5" s="1"/>
  <c r="Q1444" i="5" s="1"/>
  <c r="P1443" i="5"/>
  <c r="N1443" i="5"/>
  <c r="D1443" i="5"/>
  <c r="O1443" i="5" s="1"/>
  <c r="Q1443" i="5" s="1"/>
  <c r="P1442" i="5"/>
  <c r="N1442" i="5"/>
  <c r="D1442" i="5"/>
  <c r="O1442" i="5" s="1"/>
  <c r="Q1442" i="5" s="1"/>
  <c r="P1441" i="5"/>
  <c r="N1441" i="5"/>
  <c r="D1441" i="5"/>
  <c r="O1441" i="5" s="1"/>
  <c r="Q1441" i="5" s="1"/>
  <c r="P1440" i="5"/>
  <c r="N1440" i="5"/>
  <c r="D1440" i="5"/>
  <c r="O1440" i="5" s="1"/>
  <c r="Q1440" i="5" s="1"/>
  <c r="P1439" i="5"/>
  <c r="N1439" i="5"/>
  <c r="D1439" i="5"/>
  <c r="O1439" i="5" s="1"/>
  <c r="Q1439" i="5" s="1"/>
  <c r="P1438" i="5"/>
  <c r="N1438" i="5"/>
  <c r="D1438" i="5"/>
  <c r="O1438" i="5" s="1"/>
  <c r="Q1438" i="5" s="1"/>
  <c r="P1437" i="5"/>
  <c r="N1437" i="5"/>
  <c r="D1437" i="5"/>
  <c r="O1437" i="5" s="1"/>
  <c r="Q1437" i="5" s="1"/>
  <c r="P1436" i="5"/>
  <c r="N1436" i="5"/>
  <c r="D1436" i="5"/>
  <c r="P1435" i="5"/>
  <c r="N1435" i="5"/>
  <c r="D1435" i="5"/>
  <c r="O1435" i="5" s="1"/>
  <c r="Q1435" i="5" s="1"/>
  <c r="P1434" i="5"/>
  <c r="N1434" i="5"/>
  <c r="D1434" i="5"/>
  <c r="O1434" i="5" s="1"/>
  <c r="Q1434" i="5" s="1"/>
  <c r="P1433" i="5"/>
  <c r="N1433" i="5"/>
  <c r="D1433" i="5"/>
  <c r="O1433" i="5" s="1"/>
  <c r="Q1433" i="5" s="1"/>
  <c r="P1432" i="5"/>
  <c r="N1432" i="5"/>
  <c r="D1432" i="5"/>
  <c r="O1432" i="5" s="1"/>
  <c r="Q1432" i="5" s="1"/>
  <c r="P1431" i="5"/>
  <c r="N1431" i="5"/>
  <c r="D1431" i="5"/>
  <c r="O1431" i="5" s="1"/>
  <c r="Q1431" i="5" s="1"/>
  <c r="P1430" i="5"/>
  <c r="N1430" i="5"/>
  <c r="D1430" i="5"/>
  <c r="O1430" i="5" s="1"/>
  <c r="Q1430" i="5" s="1"/>
  <c r="P1429" i="5"/>
  <c r="N1429" i="5"/>
  <c r="D1429" i="5"/>
  <c r="O1429" i="5" s="1"/>
  <c r="Q1429" i="5" s="1"/>
  <c r="P1428" i="5"/>
  <c r="N1428" i="5"/>
  <c r="D1428" i="5"/>
  <c r="P1427" i="5"/>
  <c r="N1427" i="5"/>
  <c r="D1427" i="5"/>
  <c r="O1427" i="5" s="1"/>
  <c r="Q1427" i="5" s="1"/>
  <c r="P1426" i="5"/>
  <c r="N1426" i="5"/>
  <c r="D1426" i="5"/>
  <c r="O1426" i="5" s="1"/>
  <c r="Q1426" i="5" s="1"/>
  <c r="P1425" i="5"/>
  <c r="N1425" i="5"/>
  <c r="D1425" i="5"/>
  <c r="O1425" i="5" s="1"/>
  <c r="Q1425" i="5" s="1"/>
  <c r="P1424" i="5"/>
  <c r="N1424" i="5"/>
  <c r="D1424" i="5"/>
  <c r="O1424" i="5" s="1"/>
  <c r="Q1424" i="5" s="1"/>
  <c r="P1423" i="5"/>
  <c r="N1423" i="5"/>
  <c r="D1423" i="5"/>
  <c r="O1423" i="5" s="1"/>
  <c r="Q1423" i="5" s="1"/>
  <c r="P1422" i="5"/>
  <c r="N1422" i="5"/>
  <c r="D1422" i="5"/>
  <c r="O1422" i="5" s="1"/>
  <c r="Q1422" i="5" s="1"/>
  <c r="P1421" i="5"/>
  <c r="N1421" i="5"/>
  <c r="D1421" i="5"/>
  <c r="O1421" i="5" s="1"/>
  <c r="Q1421" i="5" s="1"/>
  <c r="P1420" i="5"/>
  <c r="N1420" i="5"/>
  <c r="D1420" i="5"/>
  <c r="O1420" i="5" s="1"/>
  <c r="Q1420" i="5" s="1"/>
  <c r="P1419" i="5"/>
  <c r="N1419" i="5"/>
  <c r="D1419" i="5"/>
  <c r="O1419" i="5" s="1"/>
  <c r="Q1419" i="5" s="1"/>
  <c r="P1418" i="5"/>
  <c r="N1418" i="5"/>
  <c r="D1418" i="5"/>
  <c r="O1418" i="5" s="1"/>
  <c r="Q1418" i="5" s="1"/>
  <c r="P1417" i="5"/>
  <c r="N1417" i="5"/>
  <c r="D1417" i="5"/>
  <c r="O1417" i="5" s="1"/>
  <c r="Q1417" i="5" s="1"/>
  <c r="P1416" i="5"/>
  <c r="N1416" i="5"/>
  <c r="D1416" i="5"/>
  <c r="O1416" i="5" s="1"/>
  <c r="Q1416" i="5" s="1"/>
  <c r="P1415" i="5"/>
  <c r="N1415" i="5"/>
  <c r="D1415" i="5"/>
  <c r="O1415" i="5" s="1"/>
  <c r="Q1415" i="5" s="1"/>
  <c r="P1414" i="5"/>
  <c r="N1414" i="5"/>
  <c r="D1414" i="5"/>
  <c r="P1413" i="5"/>
  <c r="N1413" i="5"/>
  <c r="D1413" i="5"/>
  <c r="O1413" i="5" s="1"/>
  <c r="Q1413" i="5" s="1"/>
  <c r="P1412" i="5"/>
  <c r="N1412" i="5"/>
  <c r="D1412" i="5"/>
  <c r="O1412" i="5" s="1"/>
  <c r="Q1412" i="5" s="1"/>
  <c r="P1411" i="5"/>
  <c r="N1411" i="5"/>
  <c r="D1411" i="5"/>
  <c r="O1411" i="5" s="1"/>
  <c r="Q1411" i="5" s="1"/>
  <c r="P1410" i="5"/>
  <c r="N1410" i="5"/>
  <c r="D1410" i="5"/>
  <c r="O1410" i="5" s="1"/>
  <c r="Q1410" i="5" s="1"/>
  <c r="P1409" i="5"/>
  <c r="N1409" i="5"/>
  <c r="D1409" i="5"/>
  <c r="O1409" i="5" s="1"/>
  <c r="Q1409" i="5" s="1"/>
  <c r="P1408" i="5"/>
  <c r="N1408" i="5"/>
  <c r="D1408" i="5"/>
  <c r="O1408" i="5" s="1"/>
  <c r="Q1408" i="5" s="1"/>
  <c r="P1407" i="5"/>
  <c r="N1407" i="5"/>
  <c r="D1407" i="5"/>
  <c r="O1407" i="5" s="1"/>
  <c r="Q1407" i="5" s="1"/>
  <c r="P1406" i="5"/>
  <c r="N1406" i="5"/>
  <c r="D1406" i="5"/>
  <c r="O1406" i="5" s="1"/>
  <c r="Q1406" i="5" s="1"/>
  <c r="P1405" i="5"/>
  <c r="N1405" i="5"/>
  <c r="D1405" i="5"/>
  <c r="O1405" i="5" s="1"/>
  <c r="Q1405" i="5" s="1"/>
  <c r="P1404" i="5"/>
  <c r="N1404" i="5"/>
  <c r="D1404" i="5"/>
  <c r="O1404" i="5" s="1"/>
  <c r="Q1404" i="5" s="1"/>
  <c r="P1403" i="5"/>
  <c r="N1403" i="5"/>
  <c r="D1403" i="5"/>
  <c r="O1403" i="5" s="1"/>
  <c r="Q1403" i="5" s="1"/>
  <c r="P1402" i="5"/>
  <c r="N1402" i="5"/>
  <c r="D1402" i="5"/>
  <c r="O1402" i="5" s="1"/>
  <c r="Q1402" i="5" s="1"/>
  <c r="P1401" i="5"/>
  <c r="N1401" i="5"/>
  <c r="D1401" i="5"/>
  <c r="O1401" i="5" s="1"/>
  <c r="Q1401" i="5" s="1"/>
  <c r="P1400" i="5"/>
  <c r="N1400" i="5"/>
  <c r="D1400" i="5"/>
  <c r="O1400" i="5" s="1"/>
  <c r="Q1400" i="5" s="1"/>
  <c r="P1399" i="5"/>
  <c r="N1399" i="5"/>
  <c r="D1399" i="5"/>
  <c r="O1399" i="5" s="1"/>
  <c r="Q1399" i="5" s="1"/>
  <c r="P1398" i="5"/>
  <c r="N1398" i="5"/>
  <c r="D1398" i="5"/>
  <c r="O1398" i="5" s="1"/>
  <c r="Q1398" i="5" s="1"/>
  <c r="P1397" i="5"/>
  <c r="N1397" i="5"/>
  <c r="D1397" i="5"/>
  <c r="O1397" i="5" s="1"/>
  <c r="Q1397" i="5" s="1"/>
  <c r="P1396" i="5"/>
  <c r="N1396" i="5"/>
  <c r="D1396" i="5"/>
  <c r="P1395" i="5"/>
  <c r="N1395" i="5"/>
  <c r="D1395" i="5"/>
  <c r="O1395" i="5" s="1"/>
  <c r="Q1395" i="5" s="1"/>
  <c r="P1394" i="5"/>
  <c r="N1394" i="5"/>
  <c r="D1394" i="5"/>
  <c r="O1394" i="5" s="1"/>
  <c r="Q1394" i="5" s="1"/>
  <c r="P1393" i="5"/>
  <c r="N1393" i="5"/>
  <c r="D1393" i="5"/>
  <c r="O1393" i="5" s="1"/>
  <c r="Q1393" i="5" s="1"/>
  <c r="P1392" i="5"/>
  <c r="N1392" i="5"/>
  <c r="D1392" i="5"/>
  <c r="O1392" i="5" s="1"/>
  <c r="Q1392" i="5" s="1"/>
  <c r="P1391" i="5"/>
  <c r="N1391" i="5"/>
  <c r="D1391" i="5"/>
  <c r="O1391" i="5" s="1"/>
  <c r="Q1391" i="5" s="1"/>
  <c r="P1390" i="5"/>
  <c r="N1390" i="5"/>
  <c r="D1390" i="5"/>
  <c r="O1390" i="5" s="1"/>
  <c r="Q1390" i="5" s="1"/>
  <c r="P1389" i="5"/>
  <c r="N1389" i="5"/>
  <c r="D1389" i="5"/>
  <c r="O1389" i="5" s="1"/>
  <c r="Q1389" i="5" s="1"/>
  <c r="P1388" i="5"/>
  <c r="N1388" i="5"/>
  <c r="D1388" i="5"/>
  <c r="O1388" i="5" s="1"/>
  <c r="Q1388" i="5" s="1"/>
  <c r="P1387" i="5"/>
  <c r="N1387" i="5"/>
  <c r="D1387" i="5"/>
  <c r="O1387" i="5" s="1"/>
  <c r="Q1387" i="5" s="1"/>
  <c r="P1386" i="5"/>
  <c r="N1386" i="5"/>
  <c r="D1386" i="5"/>
  <c r="O1386" i="5" s="1"/>
  <c r="Q1386" i="5" s="1"/>
  <c r="P1385" i="5"/>
  <c r="N1385" i="5"/>
  <c r="D1385" i="5"/>
  <c r="O1385" i="5" s="1"/>
  <c r="Q1385" i="5" s="1"/>
  <c r="P1384" i="5"/>
  <c r="N1384" i="5"/>
  <c r="D1384" i="5"/>
  <c r="O1384" i="5" s="1"/>
  <c r="Q1384" i="5" s="1"/>
  <c r="P1383" i="5"/>
  <c r="N1383" i="5"/>
  <c r="D1383" i="5"/>
  <c r="O1383" i="5" s="1"/>
  <c r="Q1383" i="5" s="1"/>
  <c r="P1382" i="5"/>
  <c r="N1382" i="5"/>
  <c r="D1382" i="5"/>
  <c r="O1382" i="5" s="1"/>
  <c r="Q1382" i="5" s="1"/>
  <c r="P1381" i="5"/>
  <c r="N1381" i="5"/>
  <c r="D1381" i="5"/>
  <c r="O1381" i="5" s="1"/>
  <c r="Q1381" i="5" s="1"/>
  <c r="P1380" i="5"/>
  <c r="N1380" i="5"/>
  <c r="D1380" i="5"/>
  <c r="O1380" i="5" s="1"/>
  <c r="Q1380" i="5" s="1"/>
  <c r="P1379" i="5"/>
  <c r="N1379" i="5"/>
  <c r="D1379" i="5"/>
  <c r="O1379" i="5" s="1"/>
  <c r="Q1379" i="5" s="1"/>
  <c r="P1378" i="5"/>
  <c r="N1378" i="5"/>
  <c r="D1378" i="5"/>
  <c r="O1378" i="5" s="1"/>
  <c r="Q1378" i="5" s="1"/>
  <c r="P1377" i="5"/>
  <c r="N1377" i="5"/>
  <c r="D1377" i="5"/>
  <c r="O1377" i="5" s="1"/>
  <c r="Q1377" i="5" s="1"/>
  <c r="P1376" i="5"/>
  <c r="N1376" i="5"/>
  <c r="D1376" i="5"/>
  <c r="O1376" i="5" s="1"/>
  <c r="Q1376" i="5" s="1"/>
  <c r="P1375" i="5"/>
  <c r="N1375" i="5"/>
  <c r="D1375" i="5"/>
  <c r="P1374" i="5"/>
  <c r="N1374" i="5"/>
  <c r="D1374" i="5"/>
  <c r="O1374" i="5" s="1"/>
  <c r="Q1374" i="5" s="1"/>
  <c r="P1373" i="5"/>
  <c r="N1373" i="5"/>
  <c r="D1373" i="5"/>
  <c r="O1373" i="5" s="1"/>
  <c r="Q1373" i="5" s="1"/>
  <c r="P1372" i="5"/>
  <c r="N1372" i="5"/>
  <c r="D1372" i="5"/>
  <c r="O1372" i="5" s="1"/>
  <c r="Q1372" i="5" s="1"/>
  <c r="P1371" i="5"/>
  <c r="N1371" i="5"/>
  <c r="D1371" i="5"/>
  <c r="O1371" i="5" s="1"/>
  <c r="Q1371" i="5" s="1"/>
  <c r="P1370" i="5"/>
  <c r="N1370" i="5"/>
  <c r="D1370" i="5"/>
  <c r="O1370" i="5" s="1"/>
  <c r="Q1370" i="5" s="1"/>
  <c r="P1369" i="5"/>
  <c r="N1369" i="5"/>
  <c r="D1369" i="5"/>
  <c r="O1369" i="5" s="1"/>
  <c r="Q1369" i="5" s="1"/>
  <c r="P1368" i="5"/>
  <c r="N1368" i="5"/>
  <c r="D1368" i="5"/>
  <c r="O1368" i="5" s="1"/>
  <c r="Q1368" i="5" s="1"/>
  <c r="P1367" i="5"/>
  <c r="N1367" i="5"/>
  <c r="D1367" i="5"/>
  <c r="O1367" i="5" s="1"/>
  <c r="Q1367" i="5" s="1"/>
  <c r="P1366" i="5"/>
  <c r="N1366" i="5"/>
  <c r="D1366" i="5"/>
  <c r="O1366" i="5" s="1"/>
  <c r="Q1366" i="5" s="1"/>
  <c r="P1365" i="5"/>
  <c r="N1365" i="5"/>
  <c r="D1365" i="5"/>
  <c r="O1365" i="5" s="1"/>
  <c r="Q1365" i="5" s="1"/>
  <c r="P1364" i="5"/>
  <c r="N1364" i="5"/>
  <c r="D1364" i="5"/>
  <c r="P1363" i="5"/>
  <c r="N1363" i="5"/>
  <c r="D1363" i="5"/>
  <c r="O1363" i="5" s="1"/>
  <c r="Q1363" i="5" s="1"/>
  <c r="P1362" i="5"/>
  <c r="N1362" i="5"/>
  <c r="D1362" i="5"/>
  <c r="O1362" i="5" s="1"/>
  <c r="Q1362" i="5" s="1"/>
  <c r="P1361" i="5"/>
  <c r="N1361" i="5"/>
  <c r="D1361" i="5"/>
  <c r="O1361" i="5" s="1"/>
  <c r="Q1361" i="5" s="1"/>
  <c r="P1360" i="5"/>
  <c r="N1360" i="5"/>
  <c r="D1360" i="5"/>
  <c r="O1360" i="5" s="1"/>
  <c r="Q1360" i="5" s="1"/>
  <c r="P1359" i="5"/>
  <c r="N1359" i="5"/>
  <c r="D1359" i="5"/>
  <c r="O1359" i="5" s="1"/>
  <c r="Q1359" i="5" s="1"/>
  <c r="P1358" i="5"/>
  <c r="N1358" i="5"/>
  <c r="D1358" i="5"/>
  <c r="O1358" i="5" s="1"/>
  <c r="Q1358" i="5" s="1"/>
  <c r="P1357" i="5"/>
  <c r="N1357" i="5"/>
  <c r="D1357" i="5"/>
  <c r="O1357" i="5" s="1"/>
  <c r="Q1357" i="5" s="1"/>
  <c r="P1356" i="5"/>
  <c r="N1356" i="5"/>
  <c r="D1356" i="5"/>
  <c r="O1356" i="5" s="1"/>
  <c r="Q1356" i="5" s="1"/>
  <c r="P1355" i="5"/>
  <c r="N1355" i="5"/>
  <c r="D1355" i="5"/>
  <c r="O1355" i="5" s="1"/>
  <c r="Q1355" i="5" s="1"/>
  <c r="P1354" i="5"/>
  <c r="N1354" i="5"/>
  <c r="D1354" i="5"/>
  <c r="O1354" i="5" s="1"/>
  <c r="Q1354" i="5" s="1"/>
  <c r="P1353" i="5"/>
  <c r="N1353" i="5"/>
  <c r="D1353" i="5"/>
  <c r="O1353" i="5" s="1"/>
  <c r="Q1353" i="5" s="1"/>
  <c r="P1352" i="5"/>
  <c r="N1352" i="5"/>
  <c r="D1352" i="5"/>
  <c r="O1352" i="5" s="1"/>
  <c r="Q1352" i="5" s="1"/>
  <c r="P1351" i="5"/>
  <c r="N1351" i="5"/>
  <c r="D1351" i="5"/>
  <c r="O1351" i="5" s="1"/>
  <c r="Q1351" i="5" s="1"/>
  <c r="P1350" i="5"/>
  <c r="N1350" i="5"/>
  <c r="D1350" i="5"/>
  <c r="O1350" i="5" s="1"/>
  <c r="Q1350" i="5" s="1"/>
  <c r="P1349" i="5"/>
  <c r="N1349" i="5"/>
  <c r="D1349" i="5"/>
  <c r="P1348" i="5"/>
  <c r="N1348" i="5"/>
  <c r="D1348" i="5"/>
  <c r="O1348" i="5" s="1"/>
  <c r="Q1348" i="5" s="1"/>
  <c r="P1347" i="5"/>
  <c r="N1347" i="5"/>
  <c r="D1347" i="5"/>
  <c r="P1346" i="5"/>
  <c r="N1346" i="5"/>
  <c r="D1346" i="5"/>
  <c r="O1346" i="5" s="1"/>
  <c r="Q1346" i="5" s="1"/>
  <c r="P1345" i="5"/>
  <c r="N1345" i="5"/>
  <c r="D1345" i="5"/>
  <c r="O1345" i="5" s="1"/>
  <c r="Q1345" i="5" s="1"/>
  <c r="P1344" i="5"/>
  <c r="N1344" i="5"/>
  <c r="D1344" i="5"/>
  <c r="O1344" i="5" s="1"/>
  <c r="Q1344" i="5" s="1"/>
  <c r="P1343" i="5"/>
  <c r="N1343" i="5"/>
  <c r="D1343" i="5"/>
  <c r="O1343" i="5" s="1"/>
  <c r="Q1343" i="5" s="1"/>
  <c r="P1342" i="5"/>
  <c r="N1342" i="5"/>
  <c r="D1342" i="5"/>
  <c r="O1342" i="5" s="1"/>
  <c r="Q1342" i="5" s="1"/>
  <c r="P1341" i="5"/>
  <c r="N1341" i="5"/>
  <c r="D1341" i="5"/>
  <c r="O1341" i="5" s="1"/>
  <c r="Q1341" i="5" s="1"/>
  <c r="P1340" i="5"/>
  <c r="N1340" i="5"/>
  <c r="D1340" i="5"/>
  <c r="O1340" i="5" s="1"/>
  <c r="Q1340" i="5" s="1"/>
  <c r="P1339" i="5"/>
  <c r="N1339" i="5"/>
  <c r="D1339" i="5"/>
  <c r="O1339" i="5" s="1"/>
  <c r="Q1339" i="5" s="1"/>
  <c r="P1338" i="5"/>
  <c r="N1338" i="5"/>
  <c r="D1338" i="5"/>
  <c r="O1338" i="5" s="1"/>
  <c r="Q1338" i="5" s="1"/>
  <c r="P1337" i="5"/>
  <c r="N1337" i="5"/>
  <c r="D1337" i="5"/>
  <c r="O1337" i="5" s="1"/>
  <c r="Q1337" i="5" s="1"/>
  <c r="P1336" i="5"/>
  <c r="N1336" i="5"/>
  <c r="D1336" i="5"/>
  <c r="O1336" i="5" s="1"/>
  <c r="Q1336" i="5" s="1"/>
  <c r="P1335" i="5"/>
  <c r="N1335" i="5"/>
  <c r="D1335" i="5"/>
  <c r="O1335" i="5" s="1"/>
  <c r="Q1335" i="5" s="1"/>
  <c r="P1334" i="5"/>
  <c r="N1334" i="5"/>
  <c r="D1334" i="5"/>
  <c r="O1334" i="5" s="1"/>
  <c r="Q1334" i="5" s="1"/>
  <c r="P1333" i="5"/>
  <c r="N1333" i="5"/>
  <c r="D1333" i="5"/>
  <c r="O1333" i="5" s="1"/>
  <c r="Q1333" i="5" s="1"/>
  <c r="P1332" i="5"/>
  <c r="N1332" i="5"/>
  <c r="D1332" i="5"/>
  <c r="O1332" i="5" s="1"/>
  <c r="Q1332" i="5" s="1"/>
  <c r="P1331" i="5"/>
  <c r="N1331" i="5"/>
  <c r="D1331" i="5"/>
  <c r="O1331" i="5" s="1"/>
  <c r="Q1331" i="5" s="1"/>
  <c r="P1330" i="5"/>
  <c r="N1330" i="5"/>
  <c r="D1330" i="5"/>
  <c r="O1330" i="5" s="1"/>
  <c r="Q1330" i="5" s="1"/>
  <c r="P1329" i="5"/>
  <c r="N1329" i="5"/>
  <c r="D1329" i="5"/>
  <c r="O1329" i="5" s="1"/>
  <c r="Q1329" i="5" s="1"/>
  <c r="P1328" i="5"/>
  <c r="N1328" i="5"/>
  <c r="D1328" i="5"/>
  <c r="O1328" i="5" s="1"/>
  <c r="Q1328" i="5" s="1"/>
  <c r="P1327" i="5"/>
  <c r="N1327" i="5"/>
  <c r="D1327" i="5"/>
  <c r="O1327" i="5" s="1"/>
  <c r="Q1327" i="5" s="1"/>
  <c r="P1326" i="5"/>
  <c r="N1326" i="5"/>
  <c r="D1326" i="5"/>
  <c r="O1326" i="5" s="1"/>
  <c r="Q1326" i="5" s="1"/>
  <c r="P1325" i="5"/>
  <c r="N1325" i="5"/>
  <c r="D1325" i="5"/>
  <c r="O1325" i="5" s="1"/>
  <c r="Q1325" i="5" s="1"/>
  <c r="P1324" i="5"/>
  <c r="N1324" i="5"/>
  <c r="D1324" i="5"/>
  <c r="O1324" i="5" s="1"/>
  <c r="Q1324" i="5" s="1"/>
  <c r="P1323" i="5"/>
  <c r="N1323" i="5"/>
  <c r="D1323" i="5"/>
  <c r="O1323" i="5" s="1"/>
  <c r="Q1323" i="5" s="1"/>
  <c r="P1322" i="5"/>
  <c r="N1322" i="5"/>
  <c r="D1322" i="5"/>
  <c r="O1322" i="5" s="1"/>
  <c r="Q1322" i="5" s="1"/>
  <c r="P1321" i="5"/>
  <c r="N1321" i="5"/>
  <c r="D1321" i="5"/>
  <c r="O1321" i="5" s="1"/>
  <c r="Q1321" i="5" s="1"/>
  <c r="P1320" i="5"/>
  <c r="N1320" i="5"/>
  <c r="D1320" i="5"/>
  <c r="O1320" i="5" s="1"/>
  <c r="Q1320" i="5" s="1"/>
  <c r="P1319" i="5"/>
  <c r="N1319" i="5"/>
  <c r="D1319" i="5"/>
  <c r="O1319" i="5" s="1"/>
  <c r="Q1319" i="5" s="1"/>
  <c r="P1318" i="5"/>
  <c r="N1318" i="5"/>
  <c r="D1318" i="5"/>
  <c r="O1318" i="5" s="1"/>
  <c r="Q1318" i="5" s="1"/>
  <c r="P1317" i="5"/>
  <c r="N1317" i="5"/>
  <c r="D1317" i="5"/>
  <c r="O1317" i="5" s="1"/>
  <c r="Q1317" i="5" s="1"/>
  <c r="P1316" i="5"/>
  <c r="N1316" i="5"/>
  <c r="D1316" i="5"/>
  <c r="O1316" i="5" s="1"/>
  <c r="Q1316" i="5" s="1"/>
  <c r="P1315" i="5"/>
  <c r="N1315" i="5"/>
  <c r="D1315" i="5"/>
  <c r="O1315" i="5" s="1"/>
  <c r="Q1315" i="5" s="1"/>
  <c r="P1314" i="5"/>
  <c r="N1314" i="5"/>
  <c r="D1314" i="5"/>
  <c r="O1314" i="5" s="1"/>
  <c r="Q1314" i="5" s="1"/>
  <c r="P1313" i="5"/>
  <c r="N1313" i="5"/>
  <c r="D1313" i="5"/>
  <c r="O1313" i="5" s="1"/>
  <c r="Q1313" i="5" s="1"/>
  <c r="P1312" i="5"/>
  <c r="N1312" i="5"/>
  <c r="D1312" i="5"/>
  <c r="P1311" i="5"/>
  <c r="N1311" i="5"/>
  <c r="D1311" i="5"/>
  <c r="O1311" i="5" s="1"/>
  <c r="Q1311" i="5" s="1"/>
  <c r="P1310" i="5"/>
  <c r="N1310" i="5"/>
  <c r="D1310" i="5"/>
  <c r="O1310" i="5" s="1"/>
  <c r="Q1310" i="5" s="1"/>
  <c r="P1309" i="5"/>
  <c r="N1309" i="5"/>
  <c r="D1309" i="5"/>
  <c r="O1309" i="5" s="1"/>
  <c r="Q1309" i="5" s="1"/>
  <c r="P1308" i="5"/>
  <c r="N1308" i="5"/>
  <c r="D1308" i="5"/>
  <c r="O1308" i="5" s="1"/>
  <c r="Q1308" i="5" s="1"/>
  <c r="P1307" i="5"/>
  <c r="N1307" i="5"/>
  <c r="D1307" i="5"/>
  <c r="O1307" i="5" s="1"/>
  <c r="Q1307" i="5" s="1"/>
  <c r="P1306" i="5"/>
  <c r="N1306" i="5"/>
  <c r="D1306" i="5"/>
  <c r="O1306" i="5" s="1"/>
  <c r="Q1306" i="5" s="1"/>
  <c r="P1305" i="5"/>
  <c r="N1305" i="5"/>
  <c r="D1305" i="5"/>
  <c r="P1304" i="5"/>
  <c r="N1304" i="5"/>
  <c r="D1304" i="5"/>
  <c r="O1304" i="5" s="1"/>
  <c r="Q1304" i="5" s="1"/>
  <c r="P1303" i="5"/>
  <c r="N1303" i="5"/>
  <c r="D1303" i="5"/>
  <c r="O1303" i="5" s="1"/>
  <c r="Q1303" i="5" s="1"/>
  <c r="P1302" i="5"/>
  <c r="N1302" i="5"/>
  <c r="D1302" i="5"/>
  <c r="O1302" i="5" s="1"/>
  <c r="Q1302" i="5" s="1"/>
  <c r="P1301" i="5"/>
  <c r="N1301" i="5"/>
  <c r="D1301" i="5"/>
  <c r="O1301" i="5" s="1"/>
  <c r="Q1301" i="5" s="1"/>
  <c r="P1300" i="5"/>
  <c r="N1300" i="5"/>
  <c r="D1300" i="5"/>
  <c r="O1300" i="5" s="1"/>
  <c r="Q1300" i="5" s="1"/>
  <c r="P1299" i="5"/>
  <c r="N1299" i="5"/>
  <c r="D1299" i="5"/>
  <c r="O1299" i="5" s="1"/>
  <c r="Q1299" i="5" s="1"/>
  <c r="P1298" i="5"/>
  <c r="N1298" i="5"/>
  <c r="D1298" i="5"/>
  <c r="P1297" i="5"/>
  <c r="N1297" i="5"/>
  <c r="D1297" i="5"/>
  <c r="O1297" i="5" s="1"/>
  <c r="Q1297" i="5" s="1"/>
  <c r="P1296" i="5"/>
  <c r="N1296" i="5"/>
  <c r="D1296" i="5"/>
  <c r="O1296" i="5" s="1"/>
  <c r="Q1296" i="5" s="1"/>
  <c r="P1295" i="5"/>
  <c r="N1295" i="5"/>
  <c r="D1295" i="5"/>
  <c r="O1295" i="5" s="1"/>
  <c r="Q1295" i="5" s="1"/>
  <c r="P1294" i="5"/>
  <c r="N1294" i="5"/>
  <c r="D1294" i="5"/>
  <c r="O1294" i="5" s="1"/>
  <c r="Q1294" i="5" s="1"/>
  <c r="P1293" i="5"/>
  <c r="N1293" i="5"/>
  <c r="D1293" i="5"/>
  <c r="O1293" i="5" s="1"/>
  <c r="Q1293" i="5" s="1"/>
  <c r="P1292" i="5"/>
  <c r="N1292" i="5"/>
  <c r="D1292" i="5"/>
  <c r="O1292" i="5" s="1"/>
  <c r="Q1292" i="5" s="1"/>
  <c r="P1291" i="5"/>
  <c r="N1291" i="5"/>
  <c r="D1291" i="5"/>
  <c r="O1291" i="5" s="1"/>
  <c r="Q1291" i="5" s="1"/>
  <c r="P1290" i="5"/>
  <c r="N1290" i="5"/>
  <c r="D1290" i="5"/>
  <c r="O1290" i="5" s="1"/>
  <c r="Q1290" i="5" s="1"/>
  <c r="P1289" i="5"/>
  <c r="N1289" i="5"/>
  <c r="D1289" i="5"/>
  <c r="O1289" i="5" s="1"/>
  <c r="Q1289" i="5" s="1"/>
  <c r="P1288" i="5"/>
  <c r="N1288" i="5"/>
  <c r="D1288" i="5"/>
  <c r="O1288" i="5" s="1"/>
  <c r="Q1288" i="5" s="1"/>
  <c r="P1287" i="5"/>
  <c r="N1287" i="5"/>
  <c r="D1287" i="5"/>
  <c r="O1287" i="5" s="1"/>
  <c r="Q1287" i="5" s="1"/>
  <c r="P1286" i="5"/>
  <c r="N1286" i="5"/>
  <c r="D1286" i="5"/>
  <c r="O1286" i="5" s="1"/>
  <c r="Q1286" i="5" s="1"/>
  <c r="P1285" i="5"/>
  <c r="N1285" i="5"/>
  <c r="D1285" i="5"/>
  <c r="O1285" i="5" s="1"/>
  <c r="Q1285" i="5" s="1"/>
  <c r="P1284" i="5"/>
  <c r="N1284" i="5"/>
  <c r="D1284" i="5"/>
  <c r="O1284" i="5" s="1"/>
  <c r="Q1284" i="5" s="1"/>
  <c r="P1283" i="5"/>
  <c r="N1283" i="5"/>
  <c r="D1283" i="5"/>
  <c r="O1283" i="5" s="1"/>
  <c r="Q1283" i="5" s="1"/>
  <c r="P1282" i="5"/>
  <c r="N1282" i="5"/>
  <c r="D1282" i="5"/>
  <c r="O1282" i="5" s="1"/>
  <c r="Q1282" i="5" s="1"/>
  <c r="P1281" i="5"/>
  <c r="N1281" i="5"/>
  <c r="D1281" i="5"/>
  <c r="O1281" i="5" s="1"/>
  <c r="Q1281" i="5" s="1"/>
  <c r="Q1280" i="5"/>
  <c r="P1280" i="5"/>
  <c r="N1280" i="5"/>
  <c r="D1280" i="5"/>
  <c r="Q1279" i="5"/>
  <c r="P1279" i="5"/>
  <c r="N1279" i="5"/>
  <c r="D1279" i="5"/>
  <c r="Q1278" i="5"/>
  <c r="P1278" i="5"/>
  <c r="N1278" i="5"/>
  <c r="D1278" i="5"/>
  <c r="Q1277" i="5"/>
  <c r="P1277" i="5"/>
  <c r="N1277" i="5"/>
  <c r="D1277" i="5"/>
  <c r="Q1276" i="5"/>
  <c r="P1276" i="5"/>
  <c r="N1276" i="5"/>
  <c r="D1276" i="5"/>
  <c r="Q1275" i="5"/>
  <c r="P1275" i="5"/>
  <c r="N1275" i="5"/>
  <c r="D1275" i="5"/>
  <c r="Q1274" i="5"/>
  <c r="P1274" i="5"/>
  <c r="N1274" i="5"/>
  <c r="D1274" i="5"/>
  <c r="Q1273" i="5"/>
  <c r="P1273" i="5"/>
  <c r="N1273" i="5"/>
  <c r="D1273" i="5"/>
  <c r="Q1272" i="5"/>
  <c r="P1272" i="5"/>
  <c r="N1272" i="5"/>
  <c r="D1272" i="5"/>
  <c r="P1271" i="5"/>
  <c r="N1271" i="5"/>
  <c r="D1271" i="5"/>
  <c r="O1271" i="5" s="1"/>
  <c r="Q1271" i="5" s="1"/>
  <c r="P1270" i="5"/>
  <c r="N1270" i="5"/>
  <c r="D1270" i="5"/>
  <c r="O1270" i="5" s="1"/>
  <c r="Q1270" i="5" s="1"/>
  <c r="P1269" i="5"/>
  <c r="N1269" i="5"/>
  <c r="D1269" i="5"/>
  <c r="O1269" i="5" s="1"/>
  <c r="Q1269" i="5" s="1"/>
  <c r="P1268" i="5"/>
  <c r="N1268" i="5"/>
  <c r="D1268" i="5"/>
  <c r="O1268" i="5" s="1"/>
  <c r="Q1268" i="5" s="1"/>
  <c r="P1267" i="5"/>
  <c r="N1267" i="5"/>
  <c r="D1267" i="5"/>
  <c r="O1267" i="5" s="1"/>
  <c r="Q1267" i="5" s="1"/>
  <c r="P1266" i="5"/>
  <c r="N1266" i="5"/>
  <c r="D1266" i="5"/>
  <c r="O1266" i="5" s="1"/>
  <c r="Q1266" i="5" s="1"/>
  <c r="P1265" i="5"/>
  <c r="N1265" i="5"/>
  <c r="D1265" i="5"/>
  <c r="O1265" i="5" s="1"/>
  <c r="Q1265" i="5" s="1"/>
  <c r="P1264" i="5"/>
  <c r="N1264" i="5"/>
  <c r="D1264" i="5"/>
  <c r="O1264" i="5" s="1"/>
  <c r="Q1264" i="5" s="1"/>
  <c r="P1263" i="5"/>
  <c r="N1263" i="5"/>
  <c r="D1263" i="5"/>
  <c r="O1263" i="5" s="1"/>
  <c r="Q1263" i="5" s="1"/>
  <c r="P1262" i="5"/>
  <c r="N1262" i="5"/>
  <c r="D1262" i="5"/>
  <c r="O1262" i="5" s="1"/>
  <c r="Q1262" i="5" s="1"/>
  <c r="P1261" i="5"/>
  <c r="N1261" i="5"/>
  <c r="D1261" i="5"/>
  <c r="O1261" i="5" s="1"/>
  <c r="Q1261" i="5" s="1"/>
  <c r="P1260" i="5"/>
  <c r="N1260" i="5"/>
  <c r="D1260" i="5"/>
  <c r="O1260" i="5" s="1"/>
  <c r="Q1260" i="5" s="1"/>
  <c r="P1259" i="5"/>
  <c r="N1259" i="5"/>
  <c r="D1259" i="5"/>
  <c r="O1259" i="5" s="1"/>
  <c r="Q1259" i="5" s="1"/>
  <c r="P1258" i="5"/>
  <c r="N1258" i="5"/>
  <c r="D1258" i="5"/>
  <c r="O1258" i="5" s="1"/>
  <c r="Q1258" i="5" s="1"/>
  <c r="P1257" i="5"/>
  <c r="N1257" i="5"/>
  <c r="D1257" i="5"/>
  <c r="O1257" i="5" s="1"/>
  <c r="Q1257" i="5" s="1"/>
  <c r="P1256" i="5"/>
  <c r="N1256" i="5"/>
  <c r="D1256" i="5"/>
  <c r="O1256" i="5" s="1"/>
  <c r="Q1256" i="5" s="1"/>
  <c r="P1255" i="5"/>
  <c r="N1255" i="5"/>
  <c r="D1255" i="5"/>
  <c r="O1255" i="5" s="1"/>
  <c r="Q1255" i="5" s="1"/>
  <c r="P1254" i="5"/>
  <c r="N1254" i="5"/>
  <c r="D1254" i="5"/>
  <c r="O1254" i="5" s="1"/>
  <c r="Q1254" i="5" s="1"/>
  <c r="P1253" i="5"/>
  <c r="N1253" i="5"/>
  <c r="D1253" i="5"/>
  <c r="O1253" i="5" s="1"/>
  <c r="Q1253" i="5" s="1"/>
  <c r="P1252" i="5"/>
  <c r="N1252" i="5"/>
  <c r="D1252" i="5"/>
  <c r="O1252" i="5" s="1"/>
  <c r="Q1252" i="5" s="1"/>
  <c r="P1251" i="5"/>
  <c r="N1251" i="5"/>
  <c r="D1251" i="5"/>
  <c r="O1251" i="5" s="1"/>
  <c r="Q1251" i="5" s="1"/>
  <c r="P1250" i="5"/>
  <c r="N1250" i="5"/>
  <c r="D1250" i="5"/>
  <c r="P1249" i="5"/>
  <c r="N1249" i="5"/>
  <c r="D1249" i="5"/>
  <c r="O1249" i="5" s="1"/>
  <c r="Q1249" i="5" s="1"/>
  <c r="P1248" i="5"/>
  <c r="N1248" i="5"/>
  <c r="D1248" i="5"/>
  <c r="O1248" i="5" s="1"/>
  <c r="Q1248" i="5" s="1"/>
  <c r="P1247" i="5"/>
  <c r="N1247" i="5"/>
  <c r="D1247" i="5"/>
  <c r="O1247" i="5" s="1"/>
  <c r="Q1247" i="5" s="1"/>
  <c r="P1246" i="5"/>
  <c r="N1246" i="5"/>
  <c r="D1246" i="5"/>
  <c r="O1246" i="5" s="1"/>
  <c r="Q1246" i="5" s="1"/>
  <c r="P1245" i="5"/>
  <c r="N1245" i="5"/>
  <c r="D1245" i="5"/>
  <c r="O1245" i="5" s="1"/>
  <c r="Q1245" i="5" s="1"/>
  <c r="P1244" i="5"/>
  <c r="N1244" i="5"/>
  <c r="D1244" i="5"/>
  <c r="O1244" i="5" s="1"/>
  <c r="Q1244" i="5" s="1"/>
  <c r="P1243" i="5"/>
  <c r="N1243" i="5"/>
  <c r="D1243" i="5"/>
  <c r="O1243" i="5" s="1"/>
  <c r="Q1243" i="5" s="1"/>
  <c r="P1242" i="5"/>
  <c r="N1242" i="5"/>
  <c r="D1242" i="5"/>
  <c r="O1242" i="5" s="1"/>
  <c r="Q1242" i="5" s="1"/>
  <c r="P1241" i="5"/>
  <c r="N1241" i="5"/>
  <c r="D1241" i="5"/>
  <c r="O1241" i="5" s="1"/>
  <c r="Q1241" i="5" s="1"/>
  <c r="P1240" i="5"/>
  <c r="N1240" i="5"/>
  <c r="D1240" i="5"/>
  <c r="O1240" i="5" s="1"/>
  <c r="Q1240" i="5" s="1"/>
  <c r="P1239" i="5"/>
  <c r="N1239" i="5"/>
  <c r="D1239" i="5"/>
  <c r="O1239" i="5" s="1"/>
  <c r="Q1239" i="5" s="1"/>
  <c r="P1238" i="5"/>
  <c r="N1238" i="5"/>
  <c r="D1238" i="5"/>
  <c r="O1238" i="5" s="1"/>
  <c r="Q1238" i="5" s="1"/>
  <c r="P1237" i="5"/>
  <c r="N1237" i="5"/>
  <c r="D1237" i="5"/>
  <c r="O1237" i="5" s="1"/>
  <c r="Q1237" i="5" s="1"/>
  <c r="P1236" i="5"/>
  <c r="N1236" i="5"/>
  <c r="D1236" i="5"/>
  <c r="O1236" i="5" s="1"/>
  <c r="Q1236" i="5" s="1"/>
  <c r="P1235" i="5"/>
  <c r="N1235" i="5"/>
  <c r="D1235" i="5"/>
  <c r="O1235" i="5" s="1"/>
  <c r="Q1235" i="5" s="1"/>
  <c r="P1234" i="5"/>
  <c r="N1234" i="5"/>
  <c r="D1234" i="5"/>
  <c r="O1234" i="5" s="1"/>
  <c r="Q1234" i="5" s="1"/>
  <c r="P1233" i="5"/>
  <c r="N1233" i="5"/>
  <c r="D1233" i="5"/>
  <c r="O1233" i="5" s="1"/>
  <c r="Q1233" i="5" s="1"/>
  <c r="P1232" i="5"/>
  <c r="N1232" i="5"/>
  <c r="D1232" i="5"/>
  <c r="O1232" i="5" s="1"/>
  <c r="Q1232" i="5" s="1"/>
  <c r="P1231" i="5"/>
  <c r="N1231" i="5"/>
  <c r="D1231" i="5"/>
  <c r="O1231" i="5" s="1"/>
  <c r="Q1231" i="5" s="1"/>
  <c r="P1230" i="5"/>
  <c r="N1230" i="5"/>
  <c r="D1230" i="5"/>
  <c r="O1230" i="5" s="1"/>
  <c r="Q1230" i="5" s="1"/>
  <c r="P1229" i="5"/>
  <c r="N1229" i="5"/>
  <c r="D1229" i="5"/>
  <c r="O1229" i="5" s="1"/>
  <c r="Q1229" i="5" s="1"/>
  <c r="P1228" i="5"/>
  <c r="N1228" i="5"/>
  <c r="D1228" i="5"/>
  <c r="O1228" i="5" s="1"/>
  <c r="Q1228" i="5" s="1"/>
  <c r="P1227" i="5"/>
  <c r="N1227" i="5"/>
  <c r="D1227" i="5"/>
  <c r="O1227" i="5" s="1"/>
  <c r="Q1227" i="5" s="1"/>
  <c r="P1226" i="5"/>
  <c r="N1226" i="5"/>
  <c r="D1226" i="5"/>
  <c r="O1226" i="5" s="1"/>
  <c r="Q1226" i="5" s="1"/>
  <c r="P1225" i="5"/>
  <c r="N1225" i="5"/>
  <c r="D1225" i="5"/>
  <c r="O1225" i="5" s="1"/>
  <c r="Q1225" i="5" s="1"/>
  <c r="P1224" i="5"/>
  <c r="N1224" i="5"/>
  <c r="D1224" i="5"/>
  <c r="O1224" i="5" s="1"/>
  <c r="Q1224" i="5" s="1"/>
  <c r="P1223" i="5"/>
  <c r="N1223" i="5"/>
  <c r="D1223" i="5"/>
  <c r="O1223" i="5" s="1"/>
  <c r="Q1223" i="5" s="1"/>
  <c r="P1222" i="5"/>
  <c r="N1222" i="5"/>
  <c r="D1222" i="5"/>
  <c r="O1222" i="5" s="1"/>
  <c r="Q1222" i="5" s="1"/>
  <c r="P1221" i="5"/>
  <c r="N1221" i="5"/>
  <c r="D1221" i="5"/>
  <c r="O1221" i="5" s="1"/>
  <c r="Q1221" i="5" s="1"/>
  <c r="P1220" i="5"/>
  <c r="N1220" i="5"/>
  <c r="D1220" i="5"/>
  <c r="O1220" i="5" s="1"/>
  <c r="Q1220" i="5" s="1"/>
  <c r="P1219" i="5"/>
  <c r="N1219" i="5"/>
  <c r="D1219" i="5"/>
  <c r="O1219" i="5" s="1"/>
  <c r="Q1219" i="5" s="1"/>
  <c r="P1218" i="5"/>
  <c r="N1218" i="5"/>
  <c r="D1218" i="5"/>
  <c r="O1218" i="5" s="1"/>
  <c r="Q1218" i="5" s="1"/>
  <c r="P1217" i="5"/>
  <c r="N1217" i="5"/>
  <c r="D1217" i="5"/>
  <c r="O1217" i="5" s="1"/>
  <c r="Q1217" i="5" s="1"/>
  <c r="P1216" i="5"/>
  <c r="N1216" i="5"/>
  <c r="D1216" i="5"/>
  <c r="O1216" i="5" s="1"/>
  <c r="Q1216" i="5" s="1"/>
  <c r="P1215" i="5"/>
  <c r="N1215" i="5"/>
  <c r="D1215" i="5"/>
  <c r="O1215" i="5" s="1"/>
  <c r="Q1215" i="5" s="1"/>
  <c r="P1214" i="5"/>
  <c r="N1214" i="5"/>
  <c r="D1214" i="5"/>
  <c r="O1214" i="5" s="1"/>
  <c r="Q1214" i="5" s="1"/>
  <c r="P1213" i="5"/>
  <c r="N1213" i="5"/>
  <c r="D1213" i="5"/>
  <c r="O1213" i="5" s="1"/>
  <c r="Q1213" i="5" s="1"/>
  <c r="P1212" i="5"/>
  <c r="N1212" i="5"/>
  <c r="D1212" i="5"/>
  <c r="O1212" i="5" s="1"/>
  <c r="Q1212" i="5" s="1"/>
  <c r="P1211" i="5"/>
  <c r="N1211" i="5"/>
  <c r="D1211" i="5"/>
  <c r="O1211" i="5" s="1"/>
  <c r="Q1211" i="5" s="1"/>
  <c r="P1210" i="5"/>
  <c r="N1210" i="5"/>
  <c r="D1210" i="5"/>
  <c r="O1210" i="5" s="1"/>
  <c r="Q1210" i="5" s="1"/>
  <c r="P1209" i="5"/>
  <c r="N1209" i="5"/>
  <c r="D1209" i="5"/>
  <c r="O1209" i="5" s="1"/>
  <c r="Q1209" i="5" s="1"/>
  <c r="P1208" i="5"/>
  <c r="N1208" i="5"/>
  <c r="D1208" i="5"/>
  <c r="O1208" i="5" s="1"/>
  <c r="Q1208" i="5" s="1"/>
  <c r="P1207" i="5"/>
  <c r="N1207" i="5"/>
  <c r="D1207" i="5"/>
  <c r="O1207" i="5" s="1"/>
  <c r="Q1207" i="5" s="1"/>
  <c r="P1206" i="5"/>
  <c r="N1206" i="5"/>
  <c r="D1206" i="5"/>
  <c r="O1206" i="5" s="1"/>
  <c r="Q1206" i="5" s="1"/>
  <c r="P1205" i="5"/>
  <c r="N1205" i="5"/>
  <c r="D1205" i="5"/>
  <c r="O1205" i="5" s="1"/>
  <c r="Q1205" i="5" s="1"/>
  <c r="P1204" i="5"/>
  <c r="N1204" i="5"/>
  <c r="D1204" i="5"/>
  <c r="O1204" i="5" s="1"/>
  <c r="Q1204" i="5" s="1"/>
  <c r="P1203" i="5"/>
  <c r="N1203" i="5"/>
  <c r="D1203" i="5"/>
  <c r="O1203" i="5" s="1"/>
  <c r="Q1203" i="5" s="1"/>
  <c r="P1202" i="5"/>
  <c r="N1202" i="5"/>
  <c r="D1202" i="5"/>
  <c r="O1202" i="5" s="1"/>
  <c r="Q1202" i="5" s="1"/>
  <c r="P1201" i="5"/>
  <c r="N1201" i="5"/>
  <c r="D1201" i="5"/>
  <c r="O1201" i="5" s="1"/>
  <c r="Q1201" i="5" s="1"/>
  <c r="P1200" i="5"/>
  <c r="N1200" i="5"/>
  <c r="D1200" i="5"/>
  <c r="O1200" i="5" s="1"/>
  <c r="Q1200" i="5" s="1"/>
  <c r="P1199" i="5"/>
  <c r="N1199" i="5"/>
  <c r="D1199" i="5"/>
  <c r="O1199" i="5" s="1"/>
  <c r="Q1199" i="5" s="1"/>
  <c r="P1198" i="5"/>
  <c r="N1198" i="5"/>
  <c r="D1198" i="5"/>
  <c r="O1198" i="5" s="1"/>
  <c r="Q1198" i="5" s="1"/>
  <c r="P1197" i="5"/>
  <c r="N1197" i="5"/>
  <c r="D1197" i="5"/>
  <c r="O1197" i="5" s="1"/>
  <c r="Q1197" i="5" s="1"/>
  <c r="P1196" i="5"/>
  <c r="N1196" i="5"/>
  <c r="D1196" i="5"/>
  <c r="O1196" i="5" s="1"/>
  <c r="Q1196" i="5" s="1"/>
  <c r="P1195" i="5"/>
  <c r="N1195" i="5"/>
  <c r="D1195" i="5"/>
  <c r="O1195" i="5" s="1"/>
  <c r="Q1195" i="5" s="1"/>
  <c r="P1194" i="5"/>
  <c r="N1194" i="5"/>
  <c r="D1194" i="5"/>
  <c r="O1194" i="5" s="1"/>
  <c r="Q1194" i="5" s="1"/>
  <c r="P1193" i="5"/>
  <c r="N1193" i="5"/>
  <c r="D1193" i="5"/>
  <c r="O1193" i="5" s="1"/>
  <c r="Q1193" i="5" s="1"/>
  <c r="P1192" i="5"/>
  <c r="N1192" i="5"/>
  <c r="D1192" i="5"/>
  <c r="O1192" i="5" s="1"/>
  <c r="Q1192" i="5" s="1"/>
  <c r="P1191" i="5"/>
  <c r="N1191" i="5"/>
  <c r="D1191" i="5"/>
  <c r="O1191" i="5" s="1"/>
  <c r="Q1191" i="5" s="1"/>
  <c r="P1190" i="5"/>
  <c r="N1190" i="5"/>
  <c r="D1190" i="5"/>
  <c r="O1190" i="5" s="1"/>
  <c r="Q1190" i="5" s="1"/>
  <c r="P1189" i="5"/>
  <c r="N1189" i="5"/>
  <c r="D1189" i="5"/>
  <c r="O1189" i="5" s="1"/>
  <c r="Q1189" i="5" s="1"/>
  <c r="P1188" i="5"/>
  <c r="N1188" i="5"/>
  <c r="D1188" i="5"/>
  <c r="O1188" i="5" s="1"/>
  <c r="Q1188" i="5" s="1"/>
  <c r="P1187" i="5"/>
  <c r="N1187" i="5"/>
  <c r="D1187" i="5"/>
  <c r="O1187" i="5" s="1"/>
  <c r="Q1187" i="5" s="1"/>
  <c r="P1186" i="5"/>
  <c r="N1186" i="5"/>
  <c r="D1186" i="5"/>
  <c r="O1186" i="5" s="1"/>
  <c r="Q1186" i="5" s="1"/>
  <c r="P1185" i="5"/>
  <c r="N1185" i="5"/>
  <c r="D1185" i="5"/>
  <c r="O1185" i="5" s="1"/>
  <c r="Q1185" i="5" s="1"/>
  <c r="P1184" i="5"/>
  <c r="N1184" i="5"/>
  <c r="D1184" i="5"/>
  <c r="P1183" i="5"/>
  <c r="N1183" i="5"/>
  <c r="D1183" i="5"/>
  <c r="O1183" i="5" s="1"/>
  <c r="Q1183" i="5" s="1"/>
  <c r="P1182" i="5"/>
  <c r="N1182" i="5"/>
  <c r="D1182" i="5"/>
  <c r="O1182" i="5" s="1"/>
  <c r="Q1182" i="5" s="1"/>
  <c r="P1181" i="5"/>
  <c r="N1181" i="5"/>
  <c r="D1181" i="5"/>
  <c r="O1181" i="5" s="1"/>
  <c r="Q1181" i="5" s="1"/>
  <c r="P1180" i="5"/>
  <c r="N1180" i="5"/>
  <c r="D1180" i="5"/>
  <c r="O1180" i="5" s="1"/>
  <c r="Q1180" i="5" s="1"/>
  <c r="P1179" i="5"/>
  <c r="N1179" i="5"/>
  <c r="D1179" i="5"/>
  <c r="O1179" i="5" s="1"/>
  <c r="Q1179" i="5" s="1"/>
  <c r="P1178" i="5"/>
  <c r="N1178" i="5"/>
  <c r="D1178" i="5"/>
  <c r="P1177" i="5"/>
  <c r="N1177" i="5"/>
  <c r="D1177" i="5"/>
  <c r="O1177" i="5" s="1"/>
  <c r="Q1177" i="5" s="1"/>
  <c r="P1176" i="5"/>
  <c r="N1176" i="5"/>
  <c r="D1176" i="5"/>
  <c r="O1176" i="5" s="1"/>
  <c r="Q1176" i="5" s="1"/>
  <c r="P1175" i="5"/>
  <c r="N1175" i="5"/>
  <c r="D1175" i="5"/>
  <c r="O1175" i="5" s="1"/>
  <c r="Q1175" i="5" s="1"/>
  <c r="P1174" i="5"/>
  <c r="N1174" i="5"/>
  <c r="D1174" i="5"/>
  <c r="O1174" i="5" s="1"/>
  <c r="Q1174" i="5" s="1"/>
  <c r="P1173" i="5"/>
  <c r="N1173" i="5"/>
  <c r="D1173" i="5"/>
  <c r="O1173" i="5" s="1"/>
  <c r="Q1173" i="5" s="1"/>
  <c r="P1172" i="5"/>
  <c r="N1172" i="5"/>
  <c r="D1172" i="5"/>
  <c r="O1172" i="5" s="1"/>
  <c r="Q1172" i="5" s="1"/>
  <c r="P1171" i="5"/>
  <c r="N1171" i="5"/>
  <c r="D1171" i="5"/>
  <c r="O1171" i="5" s="1"/>
  <c r="Q1171" i="5" s="1"/>
  <c r="P1170" i="5"/>
  <c r="N1170" i="5"/>
  <c r="D1170" i="5"/>
  <c r="O1170" i="5" s="1"/>
  <c r="Q1170" i="5" s="1"/>
  <c r="P1169" i="5"/>
  <c r="N1169" i="5"/>
  <c r="D1169" i="5"/>
  <c r="P1168" i="5"/>
  <c r="N1168" i="5"/>
  <c r="D1168" i="5"/>
  <c r="O1168" i="5" s="1"/>
  <c r="Q1168" i="5" s="1"/>
  <c r="P1167" i="5"/>
  <c r="N1167" i="5"/>
  <c r="D1167" i="5"/>
  <c r="O1167" i="5" s="1"/>
  <c r="Q1167" i="5" s="1"/>
  <c r="P1166" i="5"/>
  <c r="N1166" i="5"/>
  <c r="D1166" i="5"/>
  <c r="O1166" i="5" s="1"/>
  <c r="Q1166" i="5" s="1"/>
  <c r="P1165" i="5"/>
  <c r="N1165" i="5"/>
  <c r="D1165" i="5"/>
  <c r="O1165" i="5" s="1"/>
  <c r="Q1165" i="5" s="1"/>
  <c r="P1164" i="5"/>
  <c r="N1164" i="5"/>
  <c r="D1164" i="5"/>
  <c r="O1164" i="5" s="1"/>
  <c r="Q1164" i="5" s="1"/>
  <c r="P1163" i="5"/>
  <c r="N1163" i="5"/>
  <c r="D1163" i="5"/>
  <c r="O1163" i="5" s="1"/>
  <c r="Q1163" i="5" s="1"/>
  <c r="P1162" i="5"/>
  <c r="N1162" i="5"/>
  <c r="D1162" i="5"/>
  <c r="O1162" i="5" s="1"/>
  <c r="Q1162" i="5" s="1"/>
  <c r="P1161" i="5"/>
  <c r="N1161" i="5"/>
  <c r="D1161" i="5"/>
  <c r="O1161" i="5" s="1"/>
  <c r="Q1161" i="5" s="1"/>
  <c r="P1160" i="5"/>
  <c r="N1160" i="5"/>
  <c r="D1160" i="5"/>
  <c r="O1160" i="5" s="1"/>
  <c r="Q1160" i="5" s="1"/>
  <c r="P1159" i="5"/>
  <c r="N1159" i="5"/>
  <c r="D1159" i="5"/>
  <c r="O1159" i="5" s="1"/>
  <c r="Q1159" i="5" s="1"/>
  <c r="P1158" i="5"/>
  <c r="N1158" i="5"/>
  <c r="D1158" i="5"/>
  <c r="O1158" i="5" s="1"/>
  <c r="Q1158" i="5" s="1"/>
  <c r="P1157" i="5"/>
  <c r="N1157" i="5"/>
  <c r="D1157" i="5"/>
  <c r="O1157" i="5" s="1"/>
  <c r="Q1157" i="5" s="1"/>
  <c r="P1156" i="5"/>
  <c r="N1156" i="5"/>
  <c r="D1156" i="5"/>
  <c r="O1156" i="5" s="1"/>
  <c r="Q1156" i="5" s="1"/>
  <c r="P1155" i="5"/>
  <c r="N1155" i="5"/>
  <c r="D1155" i="5"/>
  <c r="O1155" i="5" s="1"/>
  <c r="Q1155" i="5" s="1"/>
  <c r="P1154" i="5"/>
  <c r="N1154" i="5"/>
  <c r="D1154" i="5"/>
  <c r="O1154" i="5" s="1"/>
  <c r="Q1154" i="5" s="1"/>
  <c r="P1153" i="5"/>
  <c r="N1153" i="5"/>
  <c r="D1153" i="5"/>
  <c r="O1153" i="5" s="1"/>
  <c r="Q1153" i="5" s="1"/>
  <c r="P1152" i="5"/>
  <c r="N1152" i="5"/>
  <c r="D1152" i="5"/>
  <c r="O1152" i="5" s="1"/>
  <c r="Q1152" i="5" s="1"/>
  <c r="P1151" i="5"/>
  <c r="N1151" i="5"/>
  <c r="D1151" i="5"/>
  <c r="O1151" i="5" s="1"/>
  <c r="Q1151" i="5" s="1"/>
  <c r="P1150" i="5"/>
  <c r="N1150" i="5"/>
  <c r="D1150" i="5"/>
  <c r="O1150" i="5" s="1"/>
  <c r="Q1150" i="5" s="1"/>
  <c r="P1149" i="5"/>
  <c r="N1149" i="5"/>
  <c r="D1149" i="5"/>
  <c r="O1149" i="5" s="1"/>
  <c r="Q1149" i="5" s="1"/>
  <c r="P1148" i="5"/>
  <c r="N1148" i="5"/>
  <c r="D1148" i="5"/>
  <c r="O1148" i="5" s="1"/>
  <c r="Q1148" i="5" s="1"/>
  <c r="P1147" i="5"/>
  <c r="N1147" i="5"/>
  <c r="D1147" i="5"/>
  <c r="O1147" i="5" s="1"/>
  <c r="Q1147" i="5" s="1"/>
  <c r="P1146" i="5"/>
  <c r="N1146" i="5"/>
  <c r="D1146" i="5"/>
  <c r="O1146" i="5" s="1"/>
  <c r="Q1146" i="5" s="1"/>
  <c r="P1145" i="5"/>
  <c r="N1145" i="5"/>
  <c r="D1145" i="5"/>
  <c r="O1145" i="5" s="1"/>
  <c r="Q1145" i="5" s="1"/>
  <c r="P1144" i="5"/>
  <c r="N1144" i="5"/>
  <c r="D1144" i="5"/>
  <c r="O1144" i="5" s="1"/>
  <c r="Q1144" i="5" s="1"/>
  <c r="P1143" i="5"/>
  <c r="N1143" i="5"/>
  <c r="D1143" i="5"/>
  <c r="O1143" i="5" s="1"/>
  <c r="Q1143" i="5" s="1"/>
  <c r="P1142" i="5"/>
  <c r="N1142" i="5"/>
  <c r="D1142" i="5"/>
  <c r="O1142" i="5" s="1"/>
  <c r="Q1142" i="5" s="1"/>
  <c r="P1141" i="5"/>
  <c r="N1141" i="5"/>
  <c r="D1141" i="5"/>
  <c r="O1141" i="5" s="1"/>
  <c r="Q1141" i="5" s="1"/>
  <c r="P1140" i="5"/>
  <c r="N1140" i="5"/>
  <c r="D1140" i="5"/>
  <c r="O1140" i="5" s="1"/>
  <c r="Q1140" i="5" s="1"/>
  <c r="P1139" i="5"/>
  <c r="N1139" i="5"/>
  <c r="D1139" i="5"/>
  <c r="O1139" i="5" s="1"/>
  <c r="Q1139" i="5" s="1"/>
  <c r="P1138" i="5"/>
  <c r="N1138" i="5"/>
  <c r="D1138" i="5"/>
  <c r="O1138" i="5" s="1"/>
  <c r="Q1138" i="5" s="1"/>
  <c r="P1137" i="5"/>
  <c r="N1137" i="5"/>
  <c r="D1137" i="5"/>
  <c r="O1137" i="5" s="1"/>
  <c r="Q1137" i="5" s="1"/>
  <c r="P1136" i="5"/>
  <c r="N1136" i="5"/>
  <c r="D1136" i="5"/>
  <c r="O1136" i="5" s="1"/>
  <c r="Q1136" i="5" s="1"/>
  <c r="P1135" i="5"/>
  <c r="N1135" i="5"/>
  <c r="D1135" i="5"/>
  <c r="O1135" i="5" s="1"/>
  <c r="Q1135" i="5" s="1"/>
  <c r="P1134" i="5"/>
  <c r="N1134" i="5"/>
  <c r="D1134" i="5"/>
  <c r="O1134" i="5" s="1"/>
  <c r="Q1134" i="5" s="1"/>
  <c r="P1133" i="5"/>
  <c r="N1133" i="5"/>
  <c r="D1133" i="5"/>
  <c r="O1133" i="5" s="1"/>
  <c r="Q1133" i="5" s="1"/>
  <c r="P1132" i="5"/>
  <c r="N1132" i="5"/>
  <c r="D1132" i="5"/>
  <c r="O1132" i="5" s="1"/>
  <c r="Q1132" i="5" s="1"/>
  <c r="P1131" i="5"/>
  <c r="N1131" i="5"/>
  <c r="D1131" i="5"/>
  <c r="O1131" i="5" s="1"/>
  <c r="Q1131" i="5" s="1"/>
  <c r="P1130" i="5"/>
  <c r="N1130" i="5"/>
  <c r="D1130" i="5"/>
  <c r="O1130" i="5" s="1"/>
  <c r="Q1130" i="5" s="1"/>
  <c r="P1129" i="5"/>
  <c r="N1129" i="5"/>
  <c r="D1129" i="5"/>
  <c r="O1129" i="5" s="1"/>
  <c r="Q1129" i="5" s="1"/>
  <c r="P1128" i="5"/>
  <c r="N1128" i="5"/>
  <c r="D1128" i="5"/>
  <c r="O1128" i="5" s="1"/>
  <c r="Q1128" i="5" s="1"/>
  <c r="P1127" i="5"/>
  <c r="N1127" i="5"/>
  <c r="D1127" i="5"/>
  <c r="O1127" i="5" s="1"/>
  <c r="Q1127" i="5" s="1"/>
  <c r="P1126" i="5"/>
  <c r="N1126" i="5"/>
  <c r="D1126" i="5"/>
  <c r="O1126" i="5" s="1"/>
  <c r="Q1126" i="5" s="1"/>
  <c r="P1125" i="5"/>
  <c r="N1125" i="5"/>
  <c r="D1125" i="5"/>
  <c r="O1125" i="5" s="1"/>
  <c r="Q1125" i="5" s="1"/>
  <c r="P1124" i="5"/>
  <c r="N1124" i="5"/>
  <c r="D1124" i="5"/>
  <c r="O1124" i="5" s="1"/>
  <c r="Q1124" i="5" s="1"/>
  <c r="P1123" i="5"/>
  <c r="N1123" i="5"/>
  <c r="D1123" i="5"/>
  <c r="O1123" i="5" s="1"/>
  <c r="Q1123" i="5" s="1"/>
  <c r="P1122" i="5"/>
  <c r="N1122" i="5"/>
  <c r="D1122" i="5"/>
  <c r="O1122" i="5" s="1"/>
  <c r="Q1122" i="5" s="1"/>
  <c r="P1121" i="5"/>
  <c r="N1121" i="5"/>
  <c r="D1121" i="5"/>
  <c r="O1121" i="5" s="1"/>
  <c r="Q1121" i="5" s="1"/>
  <c r="P1120" i="5"/>
  <c r="N1120" i="5"/>
  <c r="D1120" i="5"/>
  <c r="O1120" i="5" s="1"/>
  <c r="Q1120" i="5" s="1"/>
  <c r="P1119" i="5"/>
  <c r="N1119" i="5"/>
  <c r="D1119" i="5"/>
  <c r="O1119" i="5" s="1"/>
  <c r="Q1119" i="5" s="1"/>
  <c r="P1118" i="5"/>
  <c r="N1118" i="5"/>
  <c r="D1118" i="5"/>
  <c r="O1118" i="5" s="1"/>
  <c r="Q1118" i="5" s="1"/>
  <c r="P1117" i="5"/>
  <c r="N1117" i="5"/>
  <c r="D1117" i="5"/>
  <c r="O1117" i="5" s="1"/>
  <c r="Q1117" i="5" s="1"/>
  <c r="P1116" i="5"/>
  <c r="N1116" i="5"/>
  <c r="D1116" i="5"/>
  <c r="O1116" i="5" s="1"/>
  <c r="Q1116" i="5" s="1"/>
  <c r="P1115" i="5"/>
  <c r="N1115" i="5"/>
  <c r="D1115" i="5"/>
  <c r="O1115" i="5" s="1"/>
  <c r="Q1115" i="5" s="1"/>
  <c r="P1114" i="5"/>
  <c r="N1114" i="5"/>
  <c r="D1114" i="5"/>
  <c r="O1114" i="5" s="1"/>
  <c r="Q1114" i="5" s="1"/>
  <c r="P1113" i="5"/>
  <c r="N1113" i="5"/>
  <c r="D1113" i="5"/>
  <c r="O1113" i="5" s="1"/>
  <c r="Q1113" i="5" s="1"/>
  <c r="P1112" i="5"/>
  <c r="N1112" i="5"/>
  <c r="D1112" i="5"/>
  <c r="O1112" i="5" s="1"/>
  <c r="Q1112" i="5" s="1"/>
  <c r="P1111" i="5"/>
  <c r="N1111" i="5"/>
  <c r="D1111" i="5"/>
  <c r="O1111" i="5" s="1"/>
  <c r="Q1111" i="5" s="1"/>
  <c r="P1110" i="5"/>
  <c r="N1110" i="5"/>
  <c r="D1110" i="5"/>
  <c r="O1110" i="5" s="1"/>
  <c r="Q1110" i="5" s="1"/>
  <c r="P1109" i="5"/>
  <c r="N1109" i="5"/>
  <c r="D1109" i="5"/>
  <c r="O1109" i="5" s="1"/>
  <c r="Q1109" i="5" s="1"/>
  <c r="P1108" i="5"/>
  <c r="N1108" i="5"/>
  <c r="D1108" i="5"/>
  <c r="O1108" i="5" s="1"/>
  <c r="Q1108" i="5" s="1"/>
  <c r="P1107" i="5"/>
  <c r="N1107" i="5"/>
  <c r="D1107" i="5"/>
  <c r="O1107" i="5" s="1"/>
  <c r="Q1107" i="5" s="1"/>
  <c r="P1106" i="5"/>
  <c r="N1106" i="5"/>
  <c r="D1106" i="5"/>
  <c r="O1106" i="5" s="1"/>
  <c r="Q1106" i="5" s="1"/>
  <c r="P1105" i="5"/>
  <c r="N1105" i="5"/>
  <c r="D1105" i="5"/>
  <c r="O1105" i="5" s="1"/>
  <c r="Q1105" i="5" s="1"/>
  <c r="P1104" i="5"/>
  <c r="N1104" i="5"/>
  <c r="D1104" i="5"/>
  <c r="O1104" i="5" s="1"/>
  <c r="Q1104" i="5" s="1"/>
  <c r="P1103" i="5"/>
  <c r="N1103" i="5"/>
  <c r="D1103" i="5"/>
  <c r="O1103" i="5" s="1"/>
  <c r="Q1103" i="5" s="1"/>
  <c r="P1102" i="5"/>
  <c r="N1102" i="5"/>
  <c r="D1102" i="5"/>
  <c r="O1102" i="5" s="1"/>
  <c r="Q1102" i="5" s="1"/>
  <c r="P1101" i="5"/>
  <c r="N1101" i="5"/>
  <c r="D1101" i="5"/>
  <c r="O1101" i="5" s="1"/>
  <c r="Q1101" i="5" s="1"/>
  <c r="P1100" i="5"/>
  <c r="N1100" i="5"/>
  <c r="D1100" i="5"/>
  <c r="O1100" i="5" s="1"/>
  <c r="Q1100" i="5" s="1"/>
  <c r="P1099" i="5"/>
  <c r="N1099" i="5"/>
  <c r="D1099" i="5"/>
  <c r="O1099" i="5" s="1"/>
  <c r="Q1099" i="5" s="1"/>
  <c r="P1098" i="5"/>
  <c r="N1098" i="5"/>
  <c r="D1098" i="5"/>
  <c r="O1098" i="5" s="1"/>
  <c r="Q1098" i="5" s="1"/>
  <c r="P1097" i="5"/>
  <c r="N1097" i="5"/>
  <c r="D1097" i="5"/>
  <c r="O1097" i="5" s="1"/>
  <c r="Q1097" i="5" s="1"/>
  <c r="P1096" i="5"/>
  <c r="N1096" i="5"/>
  <c r="D1096" i="5"/>
  <c r="O1096" i="5" s="1"/>
  <c r="Q1096" i="5" s="1"/>
  <c r="P1095" i="5"/>
  <c r="N1095" i="5"/>
  <c r="D1095" i="5"/>
  <c r="O1095" i="5" s="1"/>
  <c r="Q1095" i="5" s="1"/>
  <c r="Q1094" i="5"/>
  <c r="P1094" i="5"/>
  <c r="N1094" i="5"/>
  <c r="D1094" i="5"/>
  <c r="Q1093" i="5"/>
  <c r="P1093" i="5"/>
  <c r="N1093" i="5"/>
  <c r="D1093" i="5"/>
  <c r="Q1092" i="5"/>
  <c r="P1092" i="5"/>
  <c r="N1092" i="5"/>
  <c r="D1092" i="5"/>
  <c r="P1091" i="5"/>
  <c r="N1091" i="5"/>
  <c r="D1091" i="5"/>
  <c r="O1091" i="5" s="1"/>
  <c r="Q1091" i="5" s="1"/>
  <c r="P1090" i="5"/>
  <c r="N1090" i="5"/>
  <c r="D1090" i="5"/>
  <c r="P1089" i="5"/>
  <c r="N1089" i="5"/>
  <c r="D1089" i="5"/>
  <c r="O1089" i="5" s="1"/>
  <c r="Q1089" i="5" s="1"/>
  <c r="P1088" i="5"/>
  <c r="N1088" i="5"/>
  <c r="D1088" i="5"/>
  <c r="O1088" i="5" s="1"/>
  <c r="Q1088" i="5" s="1"/>
  <c r="P1087" i="5"/>
  <c r="N1087" i="5"/>
  <c r="D1087" i="5"/>
  <c r="O1087" i="5" s="1"/>
  <c r="Q1087" i="5" s="1"/>
  <c r="P1086" i="5"/>
  <c r="N1086" i="5"/>
  <c r="D1086" i="5"/>
  <c r="O1086" i="5" s="1"/>
  <c r="Q1086" i="5" s="1"/>
  <c r="P1085" i="5"/>
  <c r="N1085" i="5"/>
  <c r="D1085" i="5"/>
  <c r="O1085" i="5" s="1"/>
  <c r="Q1085" i="5" s="1"/>
  <c r="P1084" i="5"/>
  <c r="N1084" i="5"/>
  <c r="D1084" i="5"/>
  <c r="O1084" i="5" s="1"/>
  <c r="Q1084" i="5" s="1"/>
  <c r="P1083" i="5"/>
  <c r="N1083" i="5"/>
  <c r="D1083" i="5"/>
  <c r="O1083" i="5" s="1"/>
  <c r="Q1083" i="5" s="1"/>
  <c r="P1082" i="5"/>
  <c r="N1082" i="5"/>
  <c r="D1082" i="5"/>
  <c r="O1082" i="5" s="1"/>
  <c r="Q1082" i="5" s="1"/>
  <c r="P1081" i="5"/>
  <c r="N1081" i="5"/>
  <c r="D1081" i="5"/>
  <c r="O1081" i="5" s="1"/>
  <c r="Q1081" i="5" s="1"/>
  <c r="P1080" i="5"/>
  <c r="N1080" i="5"/>
  <c r="D1080" i="5"/>
  <c r="O1080" i="5" s="1"/>
  <c r="Q1080" i="5" s="1"/>
  <c r="P1079" i="5"/>
  <c r="N1079" i="5"/>
  <c r="D1079" i="5"/>
  <c r="O1079" i="5" s="1"/>
  <c r="Q1079" i="5" s="1"/>
  <c r="P1078" i="5"/>
  <c r="N1078" i="5"/>
  <c r="D1078" i="5"/>
  <c r="O1078" i="5" s="1"/>
  <c r="Q1078" i="5" s="1"/>
  <c r="P1077" i="5"/>
  <c r="N1077" i="5"/>
  <c r="D1077" i="5"/>
  <c r="O1077" i="5" s="1"/>
  <c r="Q1077" i="5" s="1"/>
  <c r="P1076" i="5"/>
  <c r="N1076" i="5"/>
  <c r="D1076" i="5"/>
  <c r="O1076" i="5" s="1"/>
  <c r="Q1076" i="5" s="1"/>
  <c r="P1075" i="5"/>
  <c r="N1075" i="5"/>
  <c r="D1075" i="5"/>
  <c r="O1075" i="5" s="1"/>
  <c r="Q1075" i="5" s="1"/>
  <c r="P1074" i="5"/>
  <c r="N1074" i="5"/>
  <c r="D1074" i="5"/>
  <c r="O1074" i="5" s="1"/>
  <c r="Q1074" i="5" s="1"/>
  <c r="P1073" i="5"/>
  <c r="N1073" i="5"/>
  <c r="D1073" i="5"/>
  <c r="O1073" i="5" s="1"/>
  <c r="Q1073" i="5" s="1"/>
  <c r="P1072" i="5"/>
  <c r="N1072" i="5"/>
  <c r="D1072" i="5"/>
  <c r="O1072" i="5" s="1"/>
  <c r="Q1072" i="5" s="1"/>
  <c r="P1071" i="5"/>
  <c r="N1071" i="5"/>
  <c r="D1071" i="5"/>
  <c r="O1071" i="5" s="1"/>
  <c r="Q1071" i="5" s="1"/>
  <c r="P1070" i="5"/>
  <c r="N1070" i="5"/>
  <c r="D1070" i="5"/>
  <c r="O1070" i="5" s="1"/>
  <c r="Q1070" i="5" s="1"/>
  <c r="P1069" i="5"/>
  <c r="N1069" i="5"/>
  <c r="D1069" i="5"/>
  <c r="O1069" i="5" s="1"/>
  <c r="Q1069" i="5" s="1"/>
  <c r="P1068" i="5"/>
  <c r="N1068" i="5"/>
  <c r="D1068" i="5"/>
  <c r="O1068" i="5" s="1"/>
  <c r="Q1068" i="5" s="1"/>
  <c r="P1067" i="5"/>
  <c r="N1067" i="5"/>
  <c r="D1067" i="5"/>
  <c r="O1067" i="5" s="1"/>
  <c r="Q1067" i="5" s="1"/>
  <c r="P1066" i="5"/>
  <c r="N1066" i="5"/>
  <c r="D1066" i="5"/>
  <c r="O1066" i="5" s="1"/>
  <c r="Q1066" i="5" s="1"/>
  <c r="P1065" i="5"/>
  <c r="N1065" i="5"/>
  <c r="D1065" i="5"/>
  <c r="O1065" i="5" s="1"/>
  <c r="Q1065" i="5" s="1"/>
  <c r="P1064" i="5"/>
  <c r="N1064" i="5"/>
  <c r="D1064" i="5"/>
  <c r="O1064" i="5" s="1"/>
  <c r="Q1064" i="5" s="1"/>
  <c r="P1063" i="5"/>
  <c r="N1063" i="5"/>
  <c r="D1063" i="5"/>
  <c r="O1063" i="5" s="1"/>
  <c r="Q1063" i="5" s="1"/>
  <c r="P1062" i="5"/>
  <c r="N1062" i="5"/>
  <c r="D1062" i="5"/>
  <c r="O1062" i="5" s="1"/>
  <c r="Q1062" i="5" s="1"/>
  <c r="P1061" i="5"/>
  <c r="N1061" i="5"/>
  <c r="D1061" i="5"/>
  <c r="O1061" i="5" s="1"/>
  <c r="Q1061" i="5" s="1"/>
  <c r="P1060" i="5"/>
  <c r="N1060" i="5"/>
  <c r="D1060" i="5"/>
  <c r="O1060" i="5" s="1"/>
  <c r="Q1060" i="5" s="1"/>
  <c r="P1059" i="5"/>
  <c r="N1059" i="5"/>
  <c r="D1059" i="5"/>
  <c r="O1059" i="5" s="1"/>
  <c r="Q1059" i="5" s="1"/>
  <c r="P1058" i="5"/>
  <c r="N1058" i="5"/>
  <c r="D1058" i="5"/>
  <c r="P1057" i="5"/>
  <c r="N1057" i="5"/>
  <c r="D1057" i="5"/>
  <c r="O1057" i="5" s="1"/>
  <c r="Q1057" i="5" s="1"/>
  <c r="P1056" i="5"/>
  <c r="N1056" i="5"/>
  <c r="D1056" i="5"/>
  <c r="O1056" i="5" s="1"/>
  <c r="Q1056" i="5" s="1"/>
  <c r="P1055" i="5"/>
  <c r="N1055" i="5"/>
  <c r="D1055" i="5"/>
  <c r="O1055" i="5" s="1"/>
  <c r="Q1055" i="5" s="1"/>
  <c r="P1054" i="5"/>
  <c r="N1054" i="5"/>
  <c r="D1054" i="5"/>
  <c r="O1054" i="5" s="1"/>
  <c r="Q1054" i="5" s="1"/>
  <c r="P1053" i="5"/>
  <c r="N1053" i="5"/>
  <c r="D1053" i="5"/>
  <c r="O1053" i="5" s="1"/>
  <c r="Q1053" i="5" s="1"/>
  <c r="P1052" i="5"/>
  <c r="N1052" i="5"/>
  <c r="D1052" i="5"/>
  <c r="O1052" i="5" s="1"/>
  <c r="Q1052" i="5" s="1"/>
  <c r="P1051" i="5"/>
  <c r="N1051" i="5"/>
  <c r="D1051" i="5"/>
  <c r="O1051" i="5" s="1"/>
  <c r="Q1051" i="5" s="1"/>
  <c r="P1050" i="5"/>
  <c r="N1050" i="5"/>
  <c r="D1050" i="5"/>
  <c r="O1050" i="5" s="1"/>
  <c r="Q1050" i="5" s="1"/>
  <c r="P1049" i="5"/>
  <c r="N1049" i="5"/>
  <c r="D1049" i="5"/>
  <c r="O1049" i="5" s="1"/>
  <c r="Q1049" i="5" s="1"/>
  <c r="P1048" i="5"/>
  <c r="N1048" i="5"/>
  <c r="D1048" i="5"/>
  <c r="O1048" i="5" s="1"/>
  <c r="Q1048" i="5" s="1"/>
  <c r="P1047" i="5"/>
  <c r="N1047" i="5"/>
  <c r="D1047" i="5"/>
  <c r="O1047" i="5" s="1"/>
  <c r="Q1047" i="5" s="1"/>
  <c r="P1046" i="5"/>
  <c r="N1046" i="5"/>
  <c r="D1046" i="5"/>
  <c r="O1046" i="5" s="1"/>
  <c r="Q1046" i="5" s="1"/>
  <c r="P1045" i="5"/>
  <c r="N1045" i="5"/>
  <c r="D1045" i="5"/>
  <c r="O1045" i="5" s="1"/>
  <c r="Q1045" i="5" s="1"/>
  <c r="P1044" i="5"/>
  <c r="N1044" i="5"/>
  <c r="D1044" i="5"/>
  <c r="O1044" i="5" s="1"/>
  <c r="Q1044" i="5" s="1"/>
  <c r="P1043" i="5"/>
  <c r="N1043" i="5"/>
  <c r="D1043" i="5"/>
  <c r="O1043" i="5" s="1"/>
  <c r="Q1043" i="5" s="1"/>
  <c r="P1042" i="5"/>
  <c r="N1042" i="5"/>
  <c r="D1042" i="5"/>
  <c r="P1041" i="5"/>
  <c r="N1041" i="5"/>
  <c r="D1041" i="5"/>
  <c r="O1041" i="5" s="1"/>
  <c r="Q1041" i="5" s="1"/>
  <c r="P1040" i="5"/>
  <c r="N1040" i="5"/>
  <c r="D1040" i="5"/>
  <c r="O1040" i="5" s="1"/>
  <c r="Q1040" i="5" s="1"/>
  <c r="P1039" i="5"/>
  <c r="N1039" i="5"/>
  <c r="D1039" i="5"/>
  <c r="O1039" i="5" s="1"/>
  <c r="Q1039" i="5" s="1"/>
  <c r="P1038" i="5"/>
  <c r="N1038" i="5"/>
  <c r="D1038" i="5"/>
  <c r="O1038" i="5" s="1"/>
  <c r="Q1038" i="5" s="1"/>
  <c r="P1037" i="5"/>
  <c r="N1037" i="5"/>
  <c r="D1037" i="5"/>
  <c r="O1037" i="5" s="1"/>
  <c r="Q1037" i="5" s="1"/>
  <c r="P1036" i="5"/>
  <c r="N1036" i="5"/>
  <c r="D1036" i="5"/>
  <c r="O1036" i="5" s="1"/>
  <c r="Q1036" i="5" s="1"/>
  <c r="P1035" i="5"/>
  <c r="N1035" i="5"/>
  <c r="D1035" i="5"/>
  <c r="O1035" i="5" s="1"/>
  <c r="Q1035" i="5" s="1"/>
  <c r="P1034" i="5"/>
  <c r="N1034" i="5"/>
  <c r="D1034" i="5"/>
  <c r="O1034" i="5" s="1"/>
  <c r="Q1034" i="5" s="1"/>
  <c r="P1033" i="5"/>
  <c r="N1033" i="5"/>
  <c r="D1033" i="5"/>
  <c r="O1033" i="5" s="1"/>
  <c r="Q1033" i="5" s="1"/>
  <c r="P1032" i="5"/>
  <c r="N1032" i="5"/>
  <c r="D1032" i="5"/>
  <c r="O1032" i="5" s="1"/>
  <c r="Q1032" i="5" s="1"/>
  <c r="P1031" i="5"/>
  <c r="N1031" i="5"/>
  <c r="D1031" i="5"/>
  <c r="O1031" i="5" s="1"/>
  <c r="Q1031" i="5" s="1"/>
  <c r="P1030" i="5"/>
  <c r="N1030" i="5"/>
  <c r="D1030" i="5"/>
  <c r="O1030" i="5" s="1"/>
  <c r="Q1030" i="5" s="1"/>
  <c r="P1029" i="5"/>
  <c r="N1029" i="5"/>
  <c r="D1029" i="5"/>
  <c r="O1029" i="5" s="1"/>
  <c r="Q1029" i="5" s="1"/>
  <c r="P1028" i="5"/>
  <c r="N1028" i="5"/>
  <c r="D1028" i="5"/>
  <c r="O1028" i="5" s="1"/>
  <c r="Q1028" i="5" s="1"/>
  <c r="P1027" i="5"/>
  <c r="N1027" i="5"/>
  <c r="D1027" i="5"/>
  <c r="O1027" i="5" s="1"/>
  <c r="Q1027" i="5" s="1"/>
  <c r="P1026" i="5"/>
  <c r="N1026" i="5"/>
  <c r="D1026" i="5"/>
  <c r="O1026" i="5" s="1"/>
  <c r="Q1026" i="5" s="1"/>
  <c r="P1025" i="5"/>
  <c r="N1025" i="5"/>
  <c r="D1025" i="5"/>
  <c r="O1025" i="5" s="1"/>
  <c r="Q1025" i="5" s="1"/>
  <c r="P1024" i="5"/>
  <c r="N1024" i="5"/>
  <c r="D1024" i="5"/>
  <c r="O1024" i="5" s="1"/>
  <c r="Q1024" i="5" s="1"/>
  <c r="P1023" i="5"/>
  <c r="N1023" i="5"/>
  <c r="D1023" i="5"/>
  <c r="O1023" i="5" s="1"/>
  <c r="Q1023" i="5" s="1"/>
  <c r="P1022" i="5"/>
  <c r="N1022" i="5"/>
  <c r="D1022" i="5"/>
  <c r="O1022" i="5" s="1"/>
  <c r="Q1022" i="5" s="1"/>
  <c r="P1021" i="5"/>
  <c r="N1021" i="5"/>
  <c r="D1021" i="5"/>
  <c r="O1021" i="5" s="1"/>
  <c r="Q1021" i="5" s="1"/>
  <c r="P1020" i="5"/>
  <c r="N1020" i="5"/>
  <c r="D1020" i="5"/>
  <c r="O1020" i="5" s="1"/>
  <c r="Q1020" i="5" s="1"/>
  <c r="P1019" i="5"/>
  <c r="N1019" i="5"/>
  <c r="D1019" i="5"/>
  <c r="O1019" i="5" s="1"/>
  <c r="Q1019" i="5" s="1"/>
  <c r="P1018" i="5"/>
  <c r="N1018" i="5"/>
  <c r="D1018" i="5"/>
  <c r="O1018" i="5" s="1"/>
  <c r="Q1018" i="5" s="1"/>
  <c r="P1017" i="5"/>
  <c r="N1017" i="5"/>
  <c r="D1017" i="5"/>
  <c r="O1017" i="5" s="1"/>
  <c r="Q1017" i="5" s="1"/>
  <c r="P1016" i="5"/>
  <c r="N1016" i="5"/>
  <c r="D1016" i="5"/>
  <c r="O1016" i="5" s="1"/>
  <c r="Q1016" i="5" s="1"/>
  <c r="P1015" i="5"/>
  <c r="N1015" i="5"/>
  <c r="D1015" i="5"/>
  <c r="O1015" i="5" s="1"/>
  <c r="Q1015" i="5" s="1"/>
  <c r="P1014" i="5"/>
  <c r="N1014" i="5"/>
  <c r="D1014" i="5"/>
  <c r="O1014" i="5" s="1"/>
  <c r="Q1014" i="5" s="1"/>
  <c r="P1013" i="5"/>
  <c r="N1013" i="5"/>
  <c r="D1013" i="5"/>
  <c r="O1013" i="5" s="1"/>
  <c r="Q1013" i="5" s="1"/>
  <c r="P1012" i="5"/>
  <c r="N1012" i="5"/>
  <c r="D1012" i="5"/>
  <c r="O1012" i="5" s="1"/>
  <c r="Q1012" i="5" s="1"/>
  <c r="P1011" i="5"/>
  <c r="N1011" i="5"/>
  <c r="D1011" i="5"/>
  <c r="O1011" i="5" s="1"/>
  <c r="Q1011" i="5" s="1"/>
  <c r="P1010" i="5"/>
  <c r="N1010" i="5"/>
  <c r="D1010" i="5"/>
  <c r="O1010" i="5" s="1"/>
  <c r="Q1010" i="5" s="1"/>
  <c r="P1009" i="5"/>
  <c r="N1009" i="5"/>
  <c r="D1009" i="5"/>
  <c r="O1009" i="5" s="1"/>
  <c r="Q1009" i="5" s="1"/>
  <c r="P1008" i="5"/>
  <c r="N1008" i="5"/>
  <c r="D1008" i="5"/>
  <c r="O1008" i="5" s="1"/>
  <c r="Q1008" i="5" s="1"/>
  <c r="P1007" i="5"/>
  <c r="N1007" i="5"/>
  <c r="D1007" i="5"/>
  <c r="O1007" i="5" s="1"/>
  <c r="Q1007" i="5" s="1"/>
  <c r="P1006" i="5"/>
  <c r="N1006" i="5"/>
  <c r="D1006" i="5"/>
  <c r="O1006" i="5" s="1"/>
  <c r="Q1006" i="5" s="1"/>
  <c r="P1005" i="5"/>
  <c r="N1005" i="5"/>
  <c r="D1005" i="5"/>
  <c r="O1005" i="5" s="1"/>
  <c r="Q1005" i="5" s="1"/>
  <c r="P1004" i="5"/>
  <c r="N1004" i="5"/>
  <c r="D1004" i="5"/>
  <c r="O1004" i="5" s="1"/>
  <c r="Q1004" i="5" s="1"/>
  <c r="P1003" i="5"/>
  <c r="N1003" i="5"/>
  <c r="D1003" i="5"/>
  <c r="O1003" i="5" s="1"/>
  <c r="Q1003" i="5" s="1"/>
  <c r="P1002" i="5"/>
  <c r="N1002" i="5"/>
  <c r="D1002" i="5"/>
  <c r="O1002" i="5" s="1"/>
  <c r="Q1002" i="5" s="1"/>
  <c r="P1001" i="5"/>
  <c r="N1001" i="5"/>
  <c r="D1001" i="5"/>
  <c r="O1001" i="5" s="1"/>
  <c r="Q1001" i="5" s="1"/>
  <c r="P1000" i="5"/>
  <c r="N1000" i="5"/>
  <c r="D1000" i="5"/>
  <c r="O1000" i="5" s="1"/>
  <c r="Q1000" i="5" s="1"/>
  <c r="P999" i="5"/>
  <c r="N999" i="5"/>
  <c r="D999" i="5"/>
  <c r="O999" i="5" s="1"/>
  <c r="Q999" i="5" s="1"/>
  <c r="P998" i="5"/>
  <c r="N998" i="5"/>
  <c r="D998" i="5"/>
  <c r="O998" i="5" s="1"/>
  <c r="Q998" i="5" s="1"/>
  <c r="P997" i="5"/>
  <c r="N997" i="5"/>
  <c r="D997" i="5"/>
  <c r="P996" i="5"/>
  <c r="N996" i="5"/>
  <c r="D996" i="5"/>
  <c r="O996" i="5" s="1"/>
  <c r="Q996" i="5" s="1"/>
  <c r="P995" i="5"/>
  <c r="N995" i="5"/>
  <c r="D995" i="5"/>
  <c r="O995" i="5" s="1"/>
  <c r="Q995" i="5" s="1"/>
  <c r="P994" i="5"/>
  <c r="N994" i="5"/>
  <c r="D994" i="5"/>
  <c r="O994" i="5" s="1"/>
  <c r="Q994" i="5" s="1"/>
  <c r="P993" i="5"/>
  <c r="N993" i="5"/>
  <c r="D993" i="5"/>
  <c r="O993" i="5" s="1"/>
  <c r="Q993" i="5" s="1"/>
  <c r="P992" i="5"/>
  <c r="N992" i="5"/>
  <c r="D992" i="5"/>
  <c r="O992" i="5" s="1"/>
  <c r="Q992" i="5" s="1"/>
  <c r="P991" i="5"/>
  <c r="N991" i="5"/>
  <c r="D991" i="5"/>
  <c r="O991" i="5" s="1"/>
  <c r="Q991" i="5" s="1"/>
  <c r="P990" i="5"/>
  <c r="N990" i="5"/>
  <c r="D990" i="5"/>
  <c r="O990" i="5" s="1"/>
  <c r="Q990" i="5" s="1"/>
  <c r="P989" i="5"/>
  <c r="N989" i="5"/>
  <c r="D989" i="5"/>
  <c r="O989" i="5" s="1"/>
  <c r="Q989" i="5" s="1"/>
  <c r="P988" i="5"/>
  <c r="N988" i="5"/>
  <c r="D988" i="5"/>
  <c r="O988" i="5" s="1"/>
  <c r="Q988" i="5" s="1"/>
  <c r="P987" i="5"/>
  <c r="N987" i="5"/>
  <c r="D987" i="5"/>
  <c r="O987" i="5" s="1"/>
  <c r="Q987" i="5" s="1"/>
  <c r="P986" i="5"/>
  <c r="N986" i="5"/>
  <c r="D986" i="5"/>
  <c r="O986" i="5" s="1"/>
  <c r="Q986" i="5" s="1"/>
  <c r="P985" i="5"/>
  <c r="N985" i="5"/>
  <c r="D985" i="5"/>
  <c r="O985" i="5" s="1"/>
  <c r="Q985" i="5" s="1"/>
  <c r="P984" i="5"/>
  <c r="N984" i="5"/>
  <c r="D984" i="5"/>
  <c r="O984" i="5" s="1"/>
  <c r="Q984" i="5" s="1"/>
  <c r="P983" i="5"/>
  <c r="N983" i="5"/>
  <c r="D983" i="5"/>
  <c r="O983" i="5" s="1"/>
  <c r="Q983" i="5" s="1"/>
  <c r="P982" i="5"/>
  <c r="N982" i="5"/>
  <c r="D982" i="5"/>
  <c r="O982" i="5" s="1"/>
  <c r="Q982" i="5" s="1"/>
  <c r="P981" i="5"/>
  <c r="N981" i="5"/>
  <c r="D981" i="5"/>
  <c r="P980" i="5"/>
  <c r="N980" i="5"/>
  <c r="D980" i="5"/>
  <c r="O980" i="5" s="1"/>
  <c r="Q980" i="5" s="1"/>
  <c r="P979" i="5"/>
  <c r="N979" i="5"/>
  <c r="D979" i="5"/>
  <c r="P978" i="5"/>
  <c r="N978" i="5"/>
  <c r="D978" i="5"/>
  <c r="O978" i="5" s="1"/>
  <c r="Q978" i="5" s="1"/>
  <c r="P977" i="5"/>
  <c r="N977" i="5"/>
  <c r="D977" i="5"/>
  <c r="O977" i="5" s="1"/>
  <c r="Q977" i="5" s="1"/>
  <c r="P976" i="5"/>
  <c r="N976" i="5"/>
  <c r="D976" i="5"/>
  <c r="O976" i="5" s="1"/>
  <c r="Q976" i="5" s="1"/>
  <c r="P975" i="5"/>
  <c r="N975" i="5"/>
  <c r="D975" i="5"/>
  <c r="O975" i="5" s="1"/>
  <c r="Q975" i="5" s="1"/>
  <c r="P974" i="5"/>
  <c r="N974" i="5"/>
  <c r="D974" i="5"/>
  <c r="O974" i="5" s="1"/>
  <c r="Q974" i="5" s="1"/>
  <c r="P973" i="5"/>
  <c r="N973" i="5"/>
  <c r="D973" i="5"/>
  <c r="O973" i="5" s="1"/>
  <c r="Q973" i="5" s="1"/>
  <c r="P972" i="5"/>
  <c r="N972" i="5"/>
  <c r="D972" i="5"/>
  <c r="O972" i="5" s="1"/>
  <c r="Q972" i="5" s="1"/>
  <c r="P971" i="5"/>
  <c r="N971" i="5"/>
  <c r="D971" i="5"/>
  <c r="O971" i="5" s="1"/>
  <c r="Q971" i="5" s="1"/>
  <c r="P970" i="5"/>
  <c r="N970" i="5"/>
  <c r="D970" i="5"/>
  <c r="O970" i="5" s="1"/>
  <c r="Q970" i="5" s="1"/>
  <c r="P969" i="5"/>
  <c r="N969" i="5"/>
  <c r="D969" i="5"/>
  <c r="O969" i="5" s="1"/>
  <c r="Q969" i="5" s="1"/>
  <c r="P968" i="5"/>
  <c r="N968" i="5"/>
  <c r="D968" i="5"/>
  <c r="O968" i="5" s="1"/>
  <c r="Q968" i="5" s="1"/>
  <c r="P967" i="5"/>
  <c r="N967" i="5"/>
  <c r="D967" i="5"/>
  <c r="O967" i="5" s="1"/>
  <c r="Q967" i="5" s="1"/>
  <c r="P966" i="5"/>
  <c r="N966" i="5"/>
  <c r="D966" i="5"/>
  <c r="O966" i="5" s="1"/>
  <c r="Q966" i="5" s="1"/>
  <c r="P965" i="5"/>
  <c r="N965" i="5"/>
  <c r="D965" i="5"/>
  <c r="O965" i="5" s="1"/>
  <c r="Q965" i="5" s="1"/>
  <c r="P964" i="5"/>
  <c r="N964" i="5"/>
  <c r="D964" i="5"/>
  <c r="O964" i="5" s="1"/>
  <c r="Q964" i="5" s="1"/>
  <c r="P963" i="5"/>
  <c r="N963" i="5"/>
  <c r="D963" i="5"/>
  <c r="O963" i="5" s="1"/>
  <c r="Q963" i="5" s="1"/>
  <c r="P962" i="5"/>
  <c r="N962" i="5"/>
  <c r="D962" i="5"/>
  <c r="O962" i="5" s="1"/>
  <c r="Q962" i="5" s="1"/>
  <c r="P961" i="5"/>
  <c r="N961" i="5"/>
  <c r="D961" i="5"/>
  <c r="O961" i="5" s="1"/>
  <c r="Q961" i="5" s="1"/>
  <c r="P960" i="5"/>
  <c r="N960" i="5"/>
  <c r="D960" i="5"/>
  <c r="O960" i="5" s="1"/>
  <c r="Q960" i="5" s="1"/>
  <c r="P959" i="5"/>
  <c r="N959" i="5"/>
  <c r="D959" i="5"/>
  <c r="O959" i="5" s="1"/>
  <c r="Q959" i="5" s="1"/>
  <c r="P958" i="5"/>
  <c r="N958" i="5"/>
  <c r="D958" i="5"/>
  <c r="O958" i="5" s="1"/>
  <c r="Q958" i="5" s="1"/>
  <c r="P957" i="5"/>
  <c r="N957" i="5"/>
  <c r="D957" i="5"/>
  <c r="O957" i="5" s="1"/>
  <c r="Q957" i="5" s="1"/>
  <c r="P956" i="5"/>
  <c r="N956" i="5"/>
  <c r="D956" i="5"/>
  <c r="O956" i="5" s="1"/>
  <c r="Q956" i="5" s="1"/>
  <c r="P955" i="5"/>
  <c r="N955" i="5"/>
  <c r="D955" i="5"/>
  <c r="O955" i="5" s="1"/>
  <c r="Q955" i="5" s="1"/>
  <c r="P954" i="5"/>
  <c r="N954" i="5"/>
  <c r="D954" i="5"/>
  <c r="O954" i="5" s="1"/>
  <c r="Q954" i="5" s="1"/>
  <c r="P953" i="5"/>
  <c r="N953" i="5"/>
  <c r="D953" i="5"/>
  <c r="P952" i="5"/>
  <c r="N952" i="5"/>
  <c r="D952" i="5"/>
  <c r="O952" i="5" s="1"/>
  <c r="Q952" i="5" s="1"/>
  <c r="P951" i="5"/>
  <c r="N951" i="5"/>
  <c r="D951" i="5"/>
  <c r="O951" i="5" s="1"/>
  <c r="Q951" i="5" s="1"/>
  <c r="P950" i="5"/>
  <c r="N950" i="5"/>
  <c r="D950" i="5"/>
  <c r="O950" i="5" s="1"/>
  <c r="Q950" i="5" s="1"/>
  <c r="P949" i="5"/>
  <c r="N949" i="5"/>
  <c r="D949" i="5"/>
  <c r="O949" i="5" s="1"/>
  <c r="Q949" i="5" s="1"/>
  <c r="P948" i="5"/>
  <c r="N948" i="5"/>
  <c r="D948" i="5"/>
  <c r="O948" i="5" s="1"/>
  <c r="Q948" i="5" s="1"/>
  <c r="P947" i="5"/>
  <c r="N947" i="5"/>
  <c r="D947" i="5"/>
  <c r="O947" i="5" s="1"/>
  <c r="Q947" i="5" s="1"/>
  <c r="P946" i="5"/>
  <c r="N946" i="5"/>
  <c r="D946" i="5"/>
  <c r="O946" i="5" s="1"/>
  <c r="Q946" i="5" s="1"/>
  <c r="P945" i="5"/>
  <c r="N945" i="5"/>
  <c r="D945" i="5"/>
  <c r="O945" i="5" s="1"/>
  <c r="Q945" i="5" s="1"/>
  <c r="P944" i="5"/>
  <c r="N944" i="5"/>
  <c r="D944" i="5"/>
  <c r="O944" i="5" s="1"/>
  <c r="Q944" i="5" s="1"/>
  <c r="P943" i="5"/>
  <c r="N943" i="5"/>
  <c r="D943" i="5"/>
  <c r="P942" i="5"/>
  <c r="N942" i="5"/>
  <c r="D942" i="5"/>
  <c r="O942" i="5" s="1"/>
  <c r="Q942" i="5" s="1"/>
  <c r="P941" i="5"/>
  <c r="N941" i="5"/>
  <c r="D941" i="5"/>
  <c r="O941" i="5" s="1"/>
  <c r="Q941" i="5" s="1"/>
  <c r="P940" i="5"/>
  <c r="N940" i="5"/>
  <c r="D940" i="5"/>
  <c r="O940" i="5" s="1"/>
  <c r="Q940" i="5" s="1"/>
  <c r="P939" i="5"/>
  <c r="N939" i="5"/>
  <c r="D939" i="5"/>
  <c r="O939" i="5" s="1"/>
  <c r="Q939" i="5" s="1"/>
  <c r="P938" i="5"/>
  <c r="N938" i="5"/>
  <c r="D938" i="5"/>
  <c r="O938" i="5" s="1"/>
  <c r="Q938" i="5" s="1"/>
  <c r="P937" i="5"/>
  <c r="N937" i="5"/>
  <c r="D937" i="5"/>
  <c r="O937" i="5" s="1"/>
  <c r="Q937" i="5" s="1"/>
  <c r="P936" i="5"/>
  <c r="N936" i="5"/>
  <c r="D936" i="5"/>
  <c r="O936" i="5" s="1"/>
  <c r="Q936" i="5" s="1"/>
  <c r="P935" i="5"/>
  <c r="N935" i="5"/>
  <c r="D935" i="5"/>
  <c r="O935" i="5" s="1"/>
  <c r="Q935" i="5" s="1"/>
  <c r="P934" i="5"/>
  <c r="N934" i="5"/>
  <c r="D934" i="5"/>
  <c r="O934" i="5" s="1"/>
  <c r="Q934" i="5" s="1"/>
  <c r="P933" i="5"/>
  <c r="N933" i="5"/>
  <c r="D933" i="5"/>
  <c r="O933" i="5" s="1"/>
  <c r="Q933" i="5" s="1"/>
  <c r="P932" i="5"/>
  <c r="N932" i="5"/>
  <c r="D932" i="5"/>
  <c r="O932" i="5" s="1"/>
  <c r="Q932" i="5" s="1"/>
  <c r="P931" i="5"/>
  <c r="N931" i="5"/>
  <c r="D931" i="5"/>
  <c r="O931" i="5" s="1"/>
  <c r="Q931" i="5" s="1"/>
  <c r="P930" i="5"/>
  <c r="N930" i="5"/>
  <c r="D930" i="5"/>
  <c r="O930" i="5" s="1"/>
  <c r="Q930" i="5" s="1"/>
  <c r="P929" i="5"/>
  <c r="N929" i="5"/>
  <c r="D929" i="5"/>
  <c r="O929" i="5" s="1"/>
  <c r="Q929" i="5" s="1"/>
  <c r="P928" i="5"/>
  <c r="N928" i="5"/>
  <c r="D928" i="5"/>
  <c r="O928" i="5" s="1"/>
  <c r="Q928" i="5" s="1"/>
  <c r="P927" i="5"/>
  <c r="N927" i="5"/>
  <c r="D927" i="5"/>
  <c r="O927" i="5" s="1"/>
  <c r="Q927" i="5" s="1"/>
  <c r="P926" i="5"/>
  <c r="N926" i="5"/>
  <c r="D926" i="5"/>
  <c r="O926" i="5" s="1"/>
  <c r="Q926" i="5" s="1"/>
  <c r="P925" i="5"/>
  <c r="N925" i="5"/>
  <c r="D925" i="5"/>
  <c r="O925" i="5" s="1"/>
  <c r="Q925" i="5" s="1"/>
  <c r="P924" i="5"/>
  <c r="N924" i="5"/>
  <c r="D924" i="5"/>
  <c r="O924" i="5" s="1"/>
  <c r="Q924" i="5" s="1"/>
  <c r="P923" i="5"/>
  <c r="N923" i="5"/>
  <c r="D923" i="5"/>
  <c r="P922" i="5"/>
  <c r="N922" i="5"/>
  <c r="D922" i="5"/>
  <c r="O922" i="5" s="1"/>
  <c r="Q922" i="5" s="1"/>
  <c r="P921" i="5"/>
  <c r="N921" i="5"/>
  <c r="D921" i="5"/>
  <c r="O921" i="5" s="1"/>
  <c r="Q921" i="5" s="1"/>
  <c r="P920" i="5"/>
  <c r="N920" i="5"/>
  <c r="D920" i="5"/>
  <c r="O920" i="5" s="1"/>
  <c r="Q920" i="5" s="1"/>
  <c r="P919" i="5"/>
  <c r="N919" i="5"/>
  <c r="D919" i="5"/>
  <c r="O919" i="5" s="1"/>
  <c r="Q919" i="5" s="1"/>
  <c r="P918" i="5"/>
  <c r="N918" i="5"/>
  <c r="D918" i="5"/>
  <c r="O918" i="5" s="1"/>
  <c r="Q918" i="5" s="1"/>
  <c r="P917" i="5"/>
  <c r="N917" i="5"/>
  <c r="D917" i="5"/>
  <c r="O917" i="5" s="1"/>
  <c r="Q917" i="5" s="1"/>
  <c r="P916" i="5"/>
  <c r="N916" i="5"/>
  <c r="D916" i="5"/>
  <c r="O916" i="5" s="1"/>
  <c r="Q916" i="5" s="1"/>
  <c r="P915" i="5"/>
  <c r="N915" i="5"/>
  <c r="D915" i="5"/>
  <c r="O915" i="5" s="1"/>
  <c r="Q915" i="5" s="1"/>
  <c r="P914" i="5"/>
  <c r="N914" i="5"/>
  <c r="D914" i="5"/>
  <c r="O914" i="5" s="1"/>
  <c r="Q914" i="5" s="1"/>
  <c r="P913" i="5"/>
  <c r="N913" i="5"/>
  <c r="D913" i="5"/>
  <c r="O913" i="5" s="1"/>
  <c r="Q913" i="5" s="1"/>
  <c r="P912" i="5"/>
  <c r="N912" i="5"/>
  <c r="D912" i="5"/>
  <c r="O912" i="5" s="1"/>
  <c r="Q912" i="5" s="1"/>
  <c r="P911" i="5"/>
  <c r="N911" i="5"/>
  <c r="D911" i="5"/>
  <c r="O911" i="5" s="1"/>
  <c r="Q911" i="5" s="1"/>
  <c r="P910" i="5"/>
  <c r="N910" i="5"/>
  <c r="D910" i="5"/>
  <c r="O910" i="5" s="1"/>
  <c r="Q910" i="5" s="1"/>
  <c r="P909" i="5"/>
  <c r="N909" i="5"/>
  <c r="D909" i="5"/>
  <c r="O909" i="5" s="1"/>
  <c r="Q909" i="5" s="1"/>
  <c r="P908" i="5"/>
  <c r="N908" i="5"/>
  <c r="D908" i="5"/>
  <c r="O908" i="5" s="1"/>
  <c r="Q908" i="5" s="1"/>
  <c r="P907" i="5"/>
  <c r="N907" i="5"/>
  <c r="D907" i="5"/>
  <c r="O907" i="5" s="1"/>
  <c r="Q907" i="5" s="1"/>
  <c r="P906" i="5"/>
  <c r="N906" i="5"/>
  <c r="D906" i="5"/>
  <c r="O906" i="5" s="1"/>
  <c r="Q906" i="5" s="1"/>
  <c r="P905" i="5"/>
  <c r="N905" i="5"/>
  <c r="D905" i="5"/>
  <c r="O905" i="5" s="1"/>
  <c r="Q905" i="5" s="1"/>
  <c r="P904" i="5"/>
  <c r="N904" i="5"/>
  <c r="D904" i="5"/>
  <c r="O904" i="5" s="1"/>
  <c r="Q904" i="5" s="1"/>
  <c r="P903" i="5"/>
  <c r="N903" i="5"/>
  <c r="D903" i="5"/>
  <c r="O903" i="5" s="1"/>
  <c r="Q903" i="5" s="1"/>
  <c r="Q902" i="5"/>
  <c r="P902" i="5"/>
  <c r="N902" i="5"/>
  <c r="D902" i="5"/>
  <c r="Q901" i="5"/>
  <c r="P901" i="5"/>
  <c r="N901" i="5"/>
  <c r="D901" i="5"/>
  <c r="P900" i="5"/>
  <c r="N900" i="5"/>
  <c r="D900" i="5"/>
  <c r="O900" i="5" s="1"/>
  <c r="Q900" i="5" s="1"/>
  <c r="P899" i="5"/>
  <c r="N899" i="5"/>
  <c r="D899" i="5"/>
  <c r="O899" i="5" s="1"/>
  <c r="Q899" i="5" s="1"/>
  <c r="P898" i="5"/>
  <c r="N898" i="5"/>
  <c r="D898" i="5"/>
  <c r="O898" i="5" s="1"/>
  <c r="Q898" i="5" s="1"/>
  <c r="P897" i="5"/>
  <c r="N897" i="5"/>
  <c r="D897" i="5"/>
  <c r="O897" i="5" s="1"/>
  <c r="Q897" i="5" s="1"/>
  <c r="P896" i="5"/>
  <c r="N896" i="5"/>
  <c r="D896" i="5"/>
  <c r="O896" i="5" s="1"/>
  <c r="Q896" i="5" s="1"/>
  <c r="P895" i="5"/>
  <c r="N895" i="5"/>
  <c r="D895" i="5"/>
  <c r="O895" i="5" s="1"/>
  <c r="Q895" i="5" s="1"/>
  <c r="P894" i="5"/>
  <c r="N894" i="5"/>
  <c r="D894" i="5"/>
  <c r="O894" i="5" s="1"/>
  <c r="Q894" i="5" s="1"/>
  <c r="P893" i="5"/>
  <c r="N893" i="5"/>
  <c r="D893" i="5"/>
  <c r="O893" i="5" s="1"/>
  <c r="Q893" i="5" s="1"/>
  <c r="P892" i="5"/>
  <c r="N892" i="5"/>
  <c r="D892" i="5"/>
  <c r="O892" i="5" s="1"/>
  <c r="Q892" i="5" s="1"/>
  <c r="P891" i="5"/>
  <c r="N891" i="5"/>
  <c r="D891" i="5"/>
  <c r="O891" i="5" s="1"/>
  <c r="Q891" i="5" s="1"/>
  <c r="P890" i="5"/>
  <c r="N890" i="5"/>
  <c r="D890" i="5"/>
  <c r="O890" i="5" s="1"/>
  <c r="Q890" i="5" s="1"/>
  <c r="P889" i="5"/>
  <c r="N889" i="5"/>
  <c r="D889" i="5"/>
  <c r="O889" i="5" s="1"/>
  <c r="Q889" i="5" s="1"/>
  <c r="P888" i="5"/>
  <c r="N888" i="5"/>
  <c r="D888" i="5"/>
  <c r="O888" i="5" s="1"/>
  <c r="Q888" i="5" s="1"/>
  <c r="P887" i="5"/>
  <c r="N887" i="5"/>
  <c r="D887" i="5"/>
  <c r="O887" i="5" s="1"/>
  <c r="Q887" i="5" s="1"/>
  <c r="P886" i="5"/>
  <c r="N886" i="5"/>
  <c r="D886" i="5"/>
  <c r="O886" i="5" s="1"/>
  <c r="Q886" i="5" s="1"/>
  <c r="P885" i="5"/>
  <c r="N885" i="5"/>
  <c r="D885" i="5"/>
  <c r="O885" i="5" s="1"/>
  <c r="Q885" i="5" s="1"/>
  <c r="P884" i="5"/>
  <c r="N884" i="5"/>
  <c r="D884" i="5"/>
  <c r="O884" i="5" s="1"/>
  <c r="Q884" i="5" s="1"/>
  <c r="P883" i="5"/>
  <c r="N883" i="5"/>
  <c r="D883" i="5"/>
  <c r="O883" i="5" s="1"/>
  <c r="Q883" i="5" s="1"/>
  <c r="P882" i="5"/>
  <c r="N882" i="5"/>
  <c r="D882" i="5"/>
  <c r="O882" i="5" s="1"/>
  <c r="Q882" i="5" s="1"/>
  <c r="P881" i="5"/>
  <c r="N881" i="5"/>
  <c r="D881" i="5"/>
  <c r="O881" i="5" s="1"/>
  <c r="Q881" i="5" s="1"/>
  <c r="P880" i="5"/>
  <c r="N880" i="5"/>
  <c r="D880" i="5"/>
  <c r="O880" i="5" s="1"/>
  <c r="Q880" i="5" s="1"/>
  <c r="P879" i="5"/>
  <c r="N879" i="5"/>
  <c r="D879" i="5"/>
  <c r="O879" i="5" s="1"/>
  <c r="Q879" i="5" s="1"/>
  <c r="P878" i="5"/>
  <c r="N878" i="5"/>
  <c r="D878" i="5"/>
  <c r="O878" i="5" s="1"/>
  <c r="Q878" i="5" s="1"/>
  <c r="P877" i="5"/>
  <c r="N877" i="5"/>
  <c r="D877" i="5"/>
  <c r="O877" i="5" s="1"/>
  <c r="Q877" i="5" s="1"/>
  <c r="P876" i="5"/>
  <c r="N876" i="5"/>
  <c r="D876" i="5"/>
  <c r="O876" i="5" s="1"/>
  <c r="Q876" i="5" s="1"/>
  <c r="P875" i="5"/>
  <c r="N875" i="5"/>
  <c r="D875" i="5"/>
  <c r="O875" i="5" s="1"/>
  <c r="Q875" i="5" s="1"/>
  <c r="P874" i="5"/>
  <c r="N874" i="5"/>
  <c r="D874" i="5"/>
  <c r="O874" i="5" s="1"/>
  <c r="Q874" i="5" s="1"/>
  <c r="P873" i="5"/>
  <c r="N873" i="5"/>
  <c r="D873" i="5"/>
  <c r="O873" i="5" s="1"/>
  <c r="Q873" i="5" s="1"/>
  <c r="P872" i="5"/>
  <c r="N872" i="5"/>
  <c r="D872" i="5"/>
  <c r="O872" i="5" s="1"/>
  <c r="Q872" i="5" s="1"/>
  <c r="P871" i="5"/>
  <c r="N871" i="5"/>
  <c r="D871" i="5"/>
  <c r="O871" i="5" s="1"/>
  <c r="Q871" i="5" s="1"/>
  <c r="P870" i="5"/>
  <c r="N870" i="5"/>
  <c r="D870" i="5"/>
  <c r="P869" i="5"/>
  <c r="N869" i="5"/>
  <c r="D869" i="5"/>
  <c r="O869" i="5" s="1"/>
  <c r="Q869" i="5" s="1"/>
  <c r="P868" i="5"/>
  <c r="N868" i="5"/>
  <c r="D868" i="5"/>
  <c r="O868" i="5" s="1"/>
  <c r="Q868" i="5" s="1"/>
  <c r="P867" i="5"/>
  <c r="N867" i="5"/>
  <c r="D867" i="5"/>
  <c r="O867" i="5" s="1"/>
  <c r="Q867" i="5" s="1"/>
  <c r="P866" i="5"/>
  <c r="N866" i="5"/>
  <c r="D866" i="5"/>
  <c r="O866" i="5" s="1"/>
  <c r="Q866" i="5" s="1"/>
  <c r="P865" i="5"/>
  <c r="N865" i="5"/>
  <c r="D865" i="5"/>
  <c r="O865" i="5" s="1"/>
  <c r="Q865" i="5" s="1"/>
  <c r="P864" i="5"/>
  <c r="N864" i="5"/>
  <c r="D864" i="5"/>
  <c r="O864" i="5" s="1"/>
  <c r="Q864" i="5" s="1"/>
  <c r="P863" i="5"/>
  <c r="N863" i="5"/>
  <c r="D863" i="5"/>
  <c r="O863" i="5" s="1"/>
  <c r="Q863" i="5" s="1"/>
  <c r="P862" i="5"/>
  <c r="N862" i="5"/>
  <c r="D862" i="5"/>
  <c r="O862" i="5" s="1"/>
  <c r="Q862" i="5" s="1"/>
  <c r="P861" i="5"/>
  <c r="N861" i="5"/>
  <c r="D861" i="5"/>
  <c r="O861" i="5" s="1"/>
  <c r="Q861" i="5" s="1"/>
  <c r="P860" i="5"/>
  <c r="N860" i="5"/>
  <c r="D860" i="5"/>
  <c r="O860" i="5" s="1"/>
  <c r="Q860" i="5" s="1"/>
  <c r="P859" i="5"/>
  <c r="N859" i="5"/>
  <c r="D859" i="5"/>
  <c r="O859" i="5" s="1"/>
  <c r="Q859" i="5" s="1"/>
  <c r="P858" i="5"/>
  <c r="N858" i="5"/>
  <c r="D858" i="5"/>
  <c r="O858" i="5" s="1"/>
  <c r="Q858" i="5" s="1"/>
  <c r="P857" i="5"/>
  <c r="N857" i="5"/>
  <c r="D857" i="5"/>
  <c r="O857" i="5" s="1"/>
  <c r="Q857" i="5" s="1"/>
  <c r="P856" i="5"/>
  <c r="N856" i="5"/>
  <c r="D856" i="5"/>
  <c r="O856" i="5" s="1"/>
  <c r="Q856" i="5" s="1"/>
  <c r="P855" i="5"/>
  <c r="N855" i="5"/>
  <c r="D855" i="5"/>
  <c r="O855" i="5" s="1"/>
  <c r="Q855" i="5" s="1"/>
  <c r="P854" i="5"/>
  <c r="N854" i="5"/>
  <c r="D854" i="5"/>
  <c r="O854" i="5" s="1"/>
  <c r="Q854" i="5" s="1"/>
  <c r="P853" i="5"/>
  <c r="N853" i="5"/>
  <c r="D853" i="5"/>
  <c r="O853" i="5" s="1"/>
  <c r="Q853" i="5" s="1"/>
  <c r="P852" i="5"/>
  <c r="N852" i="5"/>
  <c r="D852" i="5"/>
  <c r="O852" i="5" s="1"/>
  <c r="Q852" i="5" s="1"/>
  <c r="P851" i="5"/>
  <c r="N851" i="5"/>
  <c r="D851" i="5"/>
  <c r="O851" i="5" s="1"/>
  <c r="Q851" i="5" s="1"/>
  <c r="P850" i="5"/>
  <c r="N850" i="5"/>
  <c r="D850" i="5"/>
  <c r="O850" i="5" s="1"/>
  <c r="Q850" i="5" s="1"/>
  <c r="P849" i="5"/>
  <c r="N849" i="5"/>
  <c r="D849" i="5"/>
  <c r="O849" i="5" s="1"/>
  <c r="Q849" i="5" s="1"/>
  <c r="P848" i="5"/>
  <c r="N848" i="5"/>
  <c r="D848" i="5"/>
  <c r="O848" i="5" s="1"/>
  <c r="Q848" i="5" s="1"/>
  <c r="P847" i="5"/>
  <c r="N847" i="5"/>
  <c r="D847" i="5"/>
  <c r="O847" i="5" s="1"/>
  <c r="Q847" i="5" s="1"/>
  <c r="P846" i="5"/>
  <c r="N846" i="5"/>
  <c r="D846" i="5"/>
  <c r="O846" i="5" s="1"/>
  <c r="Q846" i="5" s="1"/>
  <c r="P845" i="5"/>
  <c r="N845" i="5"/>
  <c r="D845" i="5"/>
  <c r="O845" i="5" s="1"/>
  <c r="Q845" i="5" s="1"/>
  <c r="P844" i="5"/>
  <c r="N844" i="5"/>
  <c r="D844" i="5"/>
  <c r="O844" i="5" s="1"/>
  <c r="Q844" i="5" s="1"/>
  <c r="P843" i="5"/>
  <c r="N843" i="5"/>
  <c r="D843" i="5"/>
  <c r="O843" i="5" s="1"/>
  <c r="Q843" i="5" s="1"/>
  <c r="P842" i="5"/>
  <c r="N842" i="5"/>
  <c r="D842" i="5"/>
  <c r="O842" i="5" s="1"/>
  <c r="Q842" i="5" s="1"/>
  <c r="P841" i="5"/>
  <c r="N841" i="5"/>
  <c r="D841" i="5"/>
  <c r="O841" i="5" s="1"/>
  <c r="Q841" i="5" s="1"/>
  <c r="P840" i="5"/>
  <c r="N840" i="5"/>
  <c r="D840" i="5"/>
  <c r="O840" i="5" s="1"/>
  <c r="Q840" i="5" s="1"/>
  <c r="P839" i="5"/>
  <c r="N839" i="5"/>
  <c r="D839" i="5"/>
  <c r="O839" i="5" s="1"/>
  <c r="Q839" i="5" s="1"/>
  <c r="P838" i="5"/>
  <c r="N838" i="5"/>
  <c r="D838" i="5"/>
  <c r="O838" i="5" s="1"/>
  <c r="Q838" i="5" s="1"/>
  <c r="P837" i="5"/>
  <c r="N837" i="5"/>
  <c r="D837" i="5"/>
  <c r="O837" i="5" s="1"/>
  <c r="Q837" i="5" s="1"/>
  <c r="P836" i="5"/>
  <c r="N836" i="5"/>
  <c r="D836" i="5"/>
  <c r="O836" i="5" s="1"/>
  <c r="Q836" i="5" s="1"/>
  <c r="P835" i="5"/>
  <c r="N835" i="5"/>
  <c r="D835" i="5"/>
  <c r="O835" i="5" s="1"/>
  <c r="Q835" i="5" s="1"/>
  <c r="P834" i="5"/>
  <c r="N834" i="5"/>
  <c r="D834" i="5"/>
  <c r="O834" i="5" s="1"/>
  <c r="Q834" i="5" s="1"/>
  <c r="P833" i="5"/>
  <c r="N833" i="5"/>
  <c r="D833" i="5"/>
  <c r="O833" i="5" s="1"/>
  <c r="Q833" i="5" s="1"/>
  <c r="P832" i="5"/>
  <c r="N832" i="5"/>
  <c r="D832" i="5"/>
  <c r="O832" i="5" s="1"/>
  <c r="Q832" i="5" s="1"/>
  <c r="P831" i="5"/>
  <c r="N831" i="5"/>
  <c r="D831" i="5"/>
  <c r="O831" i="5" s="1"/>
  <c r="Q831" i="5" s="1"/>
  <c r="P830" i="5"/>
  <c r="N830" i="5"/>
  <c r="D830" i="5"/>
  <c r="O830" i="5" s="1"/>
  <c r="Q830" i="5" s="1"/>
  <c r="P829" i="5"/>
  <c r="N829" i="5"/>
  <c r="D829" i="5"/>
  <c r="P828" i="5"/>
  <c r="N828" i="5"/>
  <c r="D828" i="5"/>
  <c r="O828" i="5" s="1"/>
  <c r="Q828" i="5" s="1"/>
  <c r="P827" i="5"/>
  <c r="N827" i="5"/>
  <c r="D827" i="5"/>
  <c r="O827" i="5" s="1"/>
  <c r="Q827" i="5" s="1"/>
  <c r="P826" i="5"/>
  <c r="N826" i="5"/>
  <c r="D826" i="5"/>
  <c r="O826" i="5" s="1"/>
  <c r="Q826" i="5" s="1"/>
  <c r="P825" i="5"/>
  <c r="N825" i="5"/>
  <c r="D825" i="5"/>
  <c r="O825" i="5" s="1"/>
  <c r="Q825" i="5" s="1"/>
  <c r="P824" i="5"/>
  <c r="N824" i="5"/>
  <c r="D824" i="5"/>
  <c r="O824" i="5" s="1"/>
  <c r="Q824" i="5" s="1"/>
  <c r="P823" i="5"/>
  <c r="N823" i="5"/>
  <c r="D823" i="5"/>
  <c r="O823" i="5" s="1"/>
  <c r="Q823" i="5" s="1"/>
  <c r="P822" i="5"/>
  <c r="N822" i="5"/>
  <c r="D822" i="5"/>
  <c r="O822" i="5" s="1"/>
  <c r="Q822" i="5" s="1"/>
  <c r="P821" i="5"/>
  <c r="N821" i="5"/>
  <c r="D821" i="5"/>
  <c r="O821" i="5" s="1"/>
  <c r="Q821" i="5" s="1"/>
  <c r="P820" i="5"/>
  <c r="N820" i="5"/>
  <c r="D820" i="5"/>
  <c r="O820" i="5" s="1"/>
  <c r="Q820" i="5" s="1"/>
  <c r="P819" i="5"/>
  <c r="N819" i="5"/>
  <c r="D819" i="5"/>
  <c r="O819" i="5" s="1"/>
  <c r="Q819" i="5" s="1"/>
  <c r="P818" i="5"/>
  <c r="N818" i="5"/>
  <c r="D818" i="5"/>
  <c r="O818" i="5" s="1"/>
  <c r="Q818" i="5" s="1"/>
  <c r="P817" i="5"/>
  <c r="N817" i="5"/>
  <c r="D817" i="5"/>
  <c r="O817" i="5" s="1"/>
  <c r="Q817" i="5" s="1"/>
  <c r="P816" i="5"/>
  <c r="N816" i="5"/>
  <c r="D816" i="5"/>
  <c r="O816" i="5" s="1"/>
  <c r="Q816" i="5" s="1"/>
  <c r="P815" i="5"/>
  <c r="N815" i="5"/>
  <c r="D815" i="5"/>
  <c r="O815" i="5" s="1"/>
  <c r="Q815" i="5" s="1"/>
  <c r="P814" i="5"/>
  <c r="N814" i="5"/>
  <c r="D814" i="5"/>
  <c r="O814" i="5" s="1"/>
  <c r="Q814" i="5" s="1"/>
  <c r="P813" i="5"/>
  <c r="N813" i="5"/>
  <c r="D813" i="5"/>
  <c r="O813" i="5" s="1"/>
  <c r="Q813" i="5" s="1"/>
  <c r="P812" i="5"/>
  <c r="N812" i="5"/>
  <c r="D812" i="5"/>
  <c r="O812" i="5" s="1"/>
  <c r="Q812" i="5" s="1"/>
  <c r="P811" i="5"/>
  <c r="N811" i="5"/>
  <c r="D811" i="5"/>
  <c r="O811" i="5" s="1"/>
  <c r="Q811" i="5" s="1"/>
  <c r="P810" i="5"/>
  <c r="N810" i="5"/>
  <c r="D810" i="5"/>
  <c r="O810" i="5" s="1"/>
  <c r="Q810" i="5" s="1"/>
  <c r="P809" i="5"/>
  <c r="N809" i="5"/>
  <c r="D809" i="5"/>
  <c r="O809" i="5" s="1"/>
  <c r="Q809" i="5" s="1"/>
  <c r="P808" i="5"/>
  <c r="N808" i="5"/>
  <c r="D808" i="5"/>
  <c r="O808" i="5" s="1"/>
  <c r="Q808" i="5" s="1"/>
  <c r="P807" i="5"/>
  <c r="N807" i="5"/>
  <c r="D807" i="5"/>
  <c r="O807" i="5" s="1"/>
  <c r="Q807" i="5" s="1"/>
  <c r="P806" i="5"/>
  <c r="N806" i="5"/>
  <c r="D806" i="5"/>
  <c r="O806" i="5" s="1"/>
  <c r="Q806" i="5" s="1"/>
  <c r="P805" i="5"/>
  <c r="N805" i="5"/>
  <c r="D805" i="5"/>
  <c r="O805" i="5" s="1"/>
  <c r="Q805" i="5" s="1"/>
  <c r="P804" i="5"/>
  <c r="N804" i="5"/>
  <c r="D804" i="5"/>
  <c r="O804" i="5" s="1"/>
  <c r="Q804" i="5" s="1"/>
  <c r="P803" i="5"/>
  <c r="N803" i="5"/>
  <c r="D803" i="5"/>
  <c r="O803" i="5" s="1"/>
  <c r="Q803" i="5" s="1"/>
  <c r="P802" i="5"/>
  <c r="N802" i="5"/>
  <c r="D802" i="5"/>
  <c r="O802" i="5" s="1"/>
  <c r="Q802" i="5" s="1"/>
  <c r="P801" i="5"/>
  <c r="N801" i="5"/>
  <c r="D801" i="5"/>
  <c r="O801" i="5" s="1"/>
  <c r="Q801" i="5" s="1"/>
  <c r="P800" i="5"/>
  <c r="N800" i="5"/>
  <c r="D800" i="5"/>
  <c r="O800" i="5" s="1"/>
  <c r="Q800" i="5" s="1"/>
  <c r="P799" i="5"/>
  <c r="N799" i="5"/>
  <c r="D799" i="5"/>
  <c r="O799" i="5" s="1"/>
  <c r="Q799" i="5" s="1"/>
  <c r="P798" i="5"/>
  <c r="N798" i="5"/>
  <c r="D798" i="5"/>
  <c r="O798" i="5" s="1"/>
  <c r="Q798" i="5" s="1"/>
  <c r="P797" i="5"/>
  <c r="N797" i="5"/>
  <c r="D797" i="5"/>
  <c r="O797" i="5" s="1"/>
  <c r="Q797" i="5" s="1"/>
  <c r="P796" i="5"/>
  <c r="N796" i="5"/>
  <c r="D796" i="5"/>
  <c r="O796" i="5" s="1"/>
  <c r="Q796" i="5" s="1"/>
  <c r="P795" i="5"/>
  <c r="N795" i="5"/>
  <c r="D795" i="5"/>
  <c r="O795" i="5" s="1"/>
  <c r="Q795" i="5" s="1"/>
  <c r="P794" i="5"/>
  <c r="N794" i="5"/>
  <c r="D794" i="5"/>
  <c r="O794" i="5" s="1"/>
  <c r="Q794" i="5" s="1"/>
  <c r="P793" i="5"/>
  <c r="N793" i="5"/>
  <c r="D793" i="5"/>
  <c r="O793" i="5" s="1"/>
  <c r="Q793" i="5" s="1"/>
  <c r="P792" i="5"/>
  <c r="N792" i="5"/>
  <c r="D792" i="5"/>
  <c r="O792" i="5" s="1"/>
  <c r="Q792" i="5" s="1"/>
  <c r="P791" i="5"/>
  <c r="N791" i="5"/>
  <c r="D791" i="5"/>
  <c r="O791" i="5" s="1"/>
  <c r="Q791" i="5" s="1"/>
  <c r="P790" i="5"/>
  <c r="N790" i="5"/>
  <c r="D790" i="5"/>
  <c r="O790" i="5" s="1"/>
  <c r="Q790" i="5" s="1"/>
  <c r="P789" i="5"/>
  <c r="N789" i="5"/>
  <c r="D789" i="5"/>
  <c r="O789" i="5" s="1"/>
  <c r="Q789" i="5" s="1"/>
  <c r="P788" i="5"/>
  <c r="N788" i="5"/>
  <c r="D788" i="5"/>
  <c r="O788" i="5" s="1"/>
  <c r="Q788" i="5" s="1"/>
  <c r="P787" i="5"/>
  <c r="N787" i="5"/>
  <c r="D787" i="5"/>
  <c r="P786" i="5"/>
  <c r="N786" i="5"/>
  <c r="D786" i="5"/>
  <c r="O786" i="5" s="1"/>
  <c r="Q786" i="5" s="1"/>
  <c r="P785" i="5"/>
  <c r="N785" i="5"/>
  <c r="D785" i="5"/>
  <c r="O785" i="5" s="1"/>
  <c r="Q785" i="5" s="1"/>
  <c r="P784" i="5"/>
  <c r="N784" i="5"/>
  <c r="D784" i="5"/>
  <c r="O784" i="5" s="1"/>
  <c r="Q784" i="5" s="1"/>
  <c r="P783" i="5"/>
  <c r="N783" i="5"/>
  <c r="D783" i="5"/>
  <c r="O783" i="5" s="1"/>
  <c r="Q783" i="5" s="1"/>
  <c r="P782" i="5"/>
  <c r="N782" i="5"/>
  <c r="D782" i="5"/>
  <c r="O782" i="5" s="1"/>
  <c r="Q782" i="5" s="1"/>
  <c r="P781" i="5"/>
  <c r="N781" i="5"/>
  <c r="D781" i="5"/>
  <c r="O781" i="5" s="1"/>
  <c r="Q781" i="5" s="1"/>
  <c r="P780" i="5"/>
  <c r="N780" i="5"/>
  <c r="D780" i="5"/>
  <c r="O780" i="5" s="1"/>
  <c r="Q780" i="5" s="1"/>
  <c r="P779" i="5"/>
  <c r="N779" i="5"/>
  <c r="D779" i="5"/>
  <c r="O779" i="5" s="1"/>
  <c r="Q779" i="5" s="1"/>
  <c r="P778" i="5"/>
  <c r="N778" i="5"/>
  <c r="D778" i="5"/>
  <c r="O778" i="5" s="1"/>
  <c r="Q778" i="5" s="1"/>
  <c r="P777" i="5"/>
  <c r="N777" i="5"/>
  <c r="D777" i="5"/>
  <c r="P776" i="5"/>
  <c r="N776" i="5"/>
  <c r="D776" i="5"/>
  <c r="O776" i="5" s="1"/>
  <c r="Q776" i="5" s="1"/>
  <c r="P775" i="5"/>
  <c r="N775" i="5"/>
  <c r="D775" i="5"/>
  <c r="P774" i="5"/>
  <c r="N774" i="5"/>
  <c r="D774" i="5"/>
  <c r="O774" i="5" s="1"/>
  <c r="Q774" i="5" s="1"/>
  <c r="P773" i="5"/>
  <c r="N773" i="5"/>
  <c r="D773" i="5"/>
  <c r="O773" i="5" s="1"/>
  <c r="Q773" i="5" s="1"/>
  <c r="P772" i="5"/>
  <c r="N772" i="5"/>
  <c r="D772" i="5"/>
  <c r="O772" i="5" s="1"/>
  <c r="Q772" i="5" s="1"/>
  <c r="P771" i="5"/>
  <c r="N771" i="5"/>
  <c r="D771" i="5"/>
  <c r="O771" i="5" s="1"/>
  <c r="Q771" i="5" s="1"/>
  <c r="P770" i="5"/>
  <c r="N770" i="5"/>
  <c r="D770" i="5"/>
  <c r="O770" i="5" s="1"/>
  <c r="Q770" i="5" s="1"/>
  <c r="P769" i="5"/>
  <c r="N769" i="5"/>
  <c r="D769" i="5"/>
  <c r="O769" i="5" s="1"/>
  <c r="Q769" i="5" s="1"/>
  <c r="P768" i="5"/>
  <c r="N768" i="5"/>
  <c r="D768" i="5"/>
  <c r="O768" i="5" s="1"/>
  <c r="Q768" i="5" s="1"/>
  <c r="P767" i="5"/>
  <c r="N767" i="5"/>
  <c r="D767" i="5"/>
  <c r="O767" i="5" s="1"/>
  <c r="Q767" i="5" s="1"/>
  <c r="P766" i="5"/>
  <c r="N766" i="5"/>
  <c r="D766" i="5"/>
  <c r="O766" i="5" s="1"/>
  <c r="Q766" i="5" s="1"/>
  <c r="P765" i="5"/>
  <c r="N765" i="5"/>
  <c r="D765" i="5"/>
  <c r="P764" i="5"/>
  <c r="N764" i="5"/>
  <c r="D764" i="5"/>
  <c r="O764" i="5" s="1"/>
  <c r="Q764" i="5" s="1"/>
  <c r="P763" i="5"/>
  <c r="N763" i="5"/>
  <c r="D763" i="5"/>
  <c r="O763" i="5" s="1"/>
  <c r="Q763" i="5" s="1"/>
  <c r="P762" i="5"/>
  <c r="N762" i="5"/>
  <c r="D762" i="5"/>
  <c r="O762" i="5" s="1"/>
  <c r="Q762" i="5" s="1"/>
  <c r="P761" i="5"/>
  <c r="N761" i="5"/>
  <c r="D761" i="5"/>
  <c r="O761" i="5" s="1"/>
  <c r="Q761" i="5" s="1"/>
  <c r="P760" i="5"/>
  <c r="N760" i="5"/>
  <c r="D760" i="5"/>
  <c r="O760" i="5" s="1"/>
  <c r="Q760" i="5" s="1"/>
  <c r="P759" i="5"/>
  <c r="N759" i="5"/>
  <c r="D759" i="5"/>
  <c r="O759" i="5" s="1"/>
  <c r="Q759" i="5" s="1"/>
  <c r="P758" i="5"/>
  <c r="N758" i="5"/>
  <c r="D758" i="5"/>
  <c r="O758" i="5" s="1"/>
  <c r="Q758" i="5" s="1"/>
  <c r="P757" i="5"/>
  <c r="N757" i="5"/>
  <c r="D757" i="5"/>
  <c r="O757" i="5" s="1"/>
  <c r="Q757" i="5" s="1"/>
  <c r="P756" i="5"/>
  <c r="N756" i="5"/>
  <c r="D756" i="5"/>
  <c r="O756" i="5" s="1"/>
  <c r="Q756" i="5" s="1"/>
  <c r="P755" i="5"/>
  <c r="N755" i="5"/>
  <c r="D755" i="5"/>
  <c r="O755" i="5" s="1"/>
  <c r="Q755" i="5" s="1"/>
  <c r="P754" i="5"/>
  <c r="N754" i="5"/>
  <c r="D754" i="5"/>
  <c r="O754" i="5" s="1"/>
  <c r="Q754" i="5" s="1"/>
  <c r="P753" i="5"/>
  <c r="N753" i="5"/>
  <c r="D753" i="5"/>
  <c r="O753" i="5" s="1"/>
  <c r="Q753" i="5" s="1"/>
  <c r="P752" i="5"/>
  <c r="N752" i="5"/>
  <c r="D752" i="5"/>
  <c r="O752" i="5" s="1"/>
  <c r="Q752" i="5" s="1"/>
  <c r="P751" i="5"/>
  <c r="N751" i="5"/>
  <c r="D751" i="5"/>
  <c r="O751" i="5" s="1"/>
  <c r="Q751" i="5" s="1"/>
  <c r="P750" i="5"/>
  <c r="N750" i="5"/>
  <c r="D750" i="5"/>
  <c r="O750" i="5" s="1"/>
  <c r="Q750" i="5" s="1"/>
  <c r="P749" i="5"/>
  <c r="N749" i="5"/>
  <c r="D749" i="5"/>
  <c r="O749" i="5" s="1"/>
  <c r="Q749" i="5" s="1"/>
  <c r="P748" i="5"/>
  <c r="N748" i="5"/>
  <c r="D748" i="5"/>
  <c r="O748" i="5" s="1"/>
  <c r="Q748" i="5" s="1"/>
  <c r="P747" i="5"/>
  <c r="N747" i="5"/>
  <c r="D747" i="5"/>
  <c r="O747" i="5" s="1"/>
  <c r="Q747" i="5" s="1"/>
  <c r="P746" i="5"/>
  <c r="N746" i="5"/>
  <c r="D746" i="5"/>
  <c r="O746" i="5" s="1"/>
  <c r="Q746" i="5" s="1"/>
  <c r="P745" i="5"/>
  <c r="N745" i="5"/>
  <c r="D745" i="5"/>
  <c r="O745" i="5" s="1"/>
  <c r="Q745" i="5" s="1"/>
  <c r="P744" i="5"/>
  <c r="N744" i="5"/>
  <c r="D744" i="5"/>
  <c r="O744" i="5" s="1"/>
  <c r="Q744" i="5" s="1"/>
  <c r="P743" i="5"/>
  <c r="N743" i="5"/>
  <c r="D743" i="5"/>
  <c r="O743" i="5" s="1"/>
  <c r="Q743" i="5" s="1"/>
  <c r="P742" i="5"/>
  <c r="N742" i="5"/>
  <c r="D742" i="5"/>
  <c r="O742" i="5" s="1"/>
  <c r="Q742" i="5" s="1"/>
  <c r="P741" i="5"/>
  <c r="N741" i="5"/>
  <c r="D741" i="5"/>
  <c r="O741" i="5" s="1"/>
  <c r="Q741" i="5" s="1"/>
  <c r="P740" i="5"/>
  <c r="N740" i="5"/>
  <c r="D740" i="5"/>
  <c r="O740" i="5" s="1"/>
  <c r="Q740" i="5" s="1"/>
  <c r="P739" i="5"/>
  <c r="N739" i="5"/>
  <c r="D739" i="5"/>
  <c r="O739" i="5" s="1"/>
  <c r="Q739" i="5" s="1"/>
  <c r="P738" i="5"/>
  <c r="N738" i="5"/>
  <c r="D738" i="5"/>
  <c r="O738" i="5" s="1"/>
  <c r="Q738" i="5" s="1"/>
  <c r="P737" i="5"/>
  <c r="N737" i="5"/>
  <c r="D737" i="5"/>
  <c r="O737" i="5" s="1"/>
  <c r="Q737" i="5" s="1"/>
  <c r="P736" i="5"/>
  <c r="N736" i="5"/>
  <c r="D736" i="5"/>
  <c r="O736" i="5" s="1"/>
  <c r="Q736" i="5" s="1"/>
  <c r="P735" i="5"/>
  <c r="N735" i="5"/>
  <c r="D735" i="5"/>
  <c r="O735" i="5" s="1"/>
  <c r="Q735" i="5" s="1"/>
  <c r="P734" i="5"/>
  <c r="N734" i="5"/>
  <c r="D734" i="5"/>
  <c r="O734" i="5" s="1"/>
  <c r="Q734" i="5" s="1"/>
  <c r="P733" i="5"/>
  <c r="N733" i="5"/>
  <c r="D733" i="5"/>
  <c r="O733" i="5" s="1"/>
  <c r="Q733" i="5" s="1"/>
  <c r="P732" i="5"/>
  <c r="N732" i="5"/>
  <c r="D732" i="5"/>
  <c r="O732" i="5" s="1"/>
  <c r="Q732" i="5" s="1"/>
  <c r="P731" i="5"/>
  <c r="N731" i="5"/>
  <c r="D731" i="5"/>
  <c r="O731" i="5" s="1"/>
  <c r="Q731" i="5" s="1"/>
  <c r="P730" i="5"/>
  <c r="N730" i="5"/>
  <c r="D730" i="5"/>
  <c r="O730" i="5" s="1"/>
  <c r="Q730" i="5" s="1"/>
  <c r="P729" i="5"/>
  <c r="N729" i="5"/>
  <c r="D729" i="5"/>
  <c r="O729" i="5" s="1"/>
  <c r="Q729" i="5" s="1"/>
  <c r="P728" i="5"/>
  <c r="N728" i="5"/>
  <c r="D728" i="5"/>
  <c r="P727" i="5"/>
  <c r="N727" i="5"/>
  <c r="D727" i="5"/>
  <c r="O727" i="5" s="1"/>
  <c r="Q727" i="5" s="1"/>
  <c r="P726" i="5"/>
  <c r="N726" i="5"/>
  <c r="D726" i="5"/>
  <c r="O726" i="5" s="1"/>
  <c r="Q726" i="5" s="1"/>
  <c r="P725" i="5"/>
  <c r="N725" i="5"/>
  <c r="D725" i="5"/>
  <c r="O725" i="5" s="1"/>
  <c r="Q725" i="5" s="1"/>
  <c r="P724" i="5"/>
  <c r="N724" i="5"/>
  <c r="D724" i="5"/>
  <c r="O724" i="5" s="1"/>
  <c r="Q724" i="5" s="1"/>
  <c r="P723" i="5"/>
  <c r="N723" i="5"/>
  <c r="D723" i="5"/>
  <c r="O723" i="5" s="1"/>
  <c r="Q723" i="5" s="1"/>
  <c r="P722" i="5"/>
  <c r="N722" i="5"/>
  <c r="D722" i="5"/>
  <c r="O722" i="5" s="1"/>
  <c r="Q722" i="5" s="1"/>
  <c r="P721" i="5"/>
  <c r="N721" i="5"/>
  <c r="D721" i="5"/>
  <c r="O721" i="5" s="1"/>
  <c r="Q721" i="5" s="1"/>
  <c r="P720" i="5"/>
  <c r="N720" i="5"/>
  <c r="D720" i="5"/>
  <c r="O720" i="5" s="1"/>
  <c r="Q720" i="5" s="1"/>
  <c r="Q719" i="5"/>
  <c r="P719" i="5"/>
  <c r="N719" i="5"/>
  <c r="D719" i="5"/>
  <c r="Q718" i="5"/>
  <c r="P718" i="5"/>
  <c r="N718" i="5"/>
  <c r="D718" i="5"/>
  <c r="P717" i="5"/>
  <c r="N717" i="5"/>
  <c r="D717" i="5"/>
  <c r="O717" i="5" s="1"/>
  <c r="Q717" i="5" s="1"/>
  <c r="P716" i="5"/>
  <c r="N716" i="5"/>
  <c r="D716" i="5"/>
  <c r="O716" i="5" s="1"/>
  <c r="Q716" i="5" s="1"/>
  <c r="P715" i="5"/>
  <c r="N715" i="5"/>
  <c r="D715" i="5"/>
  <c r="O715" i="5" s="1"/>
  <c r="Q715" i="5" s="1"/>
  <c r="P714" i="5"/>
  <c r="N714" i="5"/>
  <c r="D714" i="5"/>
  <c r="O714" i="5" s="1"/>
  <c r="Q714" i="5" s="1"/>
  <c r="P713" i="5"/>
  <c r="N713" i="5"/>
  <c r="D713" i="5"/>
  <c r="O713" i="5" s="1"/>
  <c r="Q713" i="5" s="1"/>
  <c r="P712" i="5"/>
  <c r="N712" i="5"/>
  <c r="D712" i="5"/>
  <c r="O712" i="5" s="1"/>
  <c r="Q712" i="5" s="1"/>
  <c r="P711" i="5"/>
  <c r="N711" i="5"/>
  <c r="D711" i="5"/>
  <c r="O711" i="5" s="1"/>
  <c r="Q711" i="5" s="1"/>
  <c r="P710" i="5"/>
  <c r="N710" i="5"/>
  <c r="D710" i="5"/>
  <c r="O710" i="5" s="1"/>
  <c r="Q710" i="5" s="1"/>
  <c r="P709" i="5"/>
  <c r="N709" i="5"/>
  <c r="D709" i="5"/>
  <c r="O709" i="5" s="1"/>
  <c r="Q709" i="5" s="1"/>
  <c r="P708" i="5"/>
  <c r="N708" i="5"/>
  <c r="D708" i="5"/>
  <c r="O708" i="5" s="1"/>
  <c r="Q708" i="5" s="1"/>
  <c r="P707" i="5"/>
  <c r="N707" i="5"/>
  <c r="D707" i="5"/>
  <c r="O707" i="5" s="1"/>
  <c r="Q707" i="5" s="1"/>
  <c r="P706" i="5"/>
  <c r="N706" i="5"/>
  <c r="D706" i="5"/>
  <c r="O706" i="5" s="1"/>
  <c r="Q706" i="5" s="1"/>
  <c r="P705" i="5"/>
  <c r="N705" i="5"/>
  <c r="D705" i="5"/>
  <c r="O705" i="5" s="1"/>
  <c r="Q705" i="5" s="1"/>
  <c r="P704" i="5"/>
  <c r="N704" i="5"/>
  <c r="D704" i="5"/>
  <c r="O704" i="5" s="1"/>
  <c r="Q704" i="5" s="1"/>
  <c r="P703" i="5"/>
  <c r="N703" i="5"/>
  <c r="D703" i="5"/>
  <c r="O703" i="5" s="1"/>
  <c r="Q703" i="5" s="1"/>
  <c r="P702" i="5"/>
  <c r="N702" i="5"/>
  <c r="D702" i="5"/>
  <c r="O702" i="5" s="1"/>
  <c r="Q702" i="5" s="1"/>
  <c r="P701" i="5"/>
  <c r="N701" i="5"/>
  <c r="D701" i="5"/>
  <c r="O701" i="5" s="1"/>
  <c r="Q701" i="5" s="1"/>
  <c r="P700" i="5"/>
  <c r="N700" i="5"/>
  <c r="D700" i="5"/>
  <c r="O700" i="5" s="1"/>
  <c r="Q700" i="5" s="1"/>
  <c r="P699" i="5"/>
  <c r="N699" i="5"/>
  <c r="D699" i="5"/>
  <c r="O699" i="5" s="1"/>
  <c r="Q699" i="5" s="1"/>
  <c r="P698" i="5"/>
  <c r="N698" i="5"/>
  <c r="D698" i="5"/>
  <c r="P697" i="5"/>
  <c r="N697" i="5"/>
  <c r="D697" i="5"/>
  <c r="O697" i="5" s="1"/>
  <c r="Q697" i="5" s="1"/>
  <c r="P696" i="5"/>
  <c r="N696" i="5"/>
  <c r="D696" i="5"/>
  <c r="O696" i="5" s="1"/>
  <c r="Q696" i="5" s="1"/>
  <c r="P695" i="5"/>
  <c r="N695" i="5"/>
  <c r="D695" i="5"/>
  <c r="O695" i="5" s="1"/>
  <c r="Q695" i="5" s="1"/>
  <c r="P694" i="5"/>
  <c r="N694" i="5"/>
  <c r="D694" i="5"/>
  <c r="O694" i="5" s="1"/>
  <c r="Q694" i="5" s="1"/>
  <c r="P693" i="5"/>
  <c r="N693" i="5"/>
  <c r="D693" i="5"/>
  <c r="O693" i="5" s="1"/>
  <c r="Q693" i="5" s="1"/>
  <c r="P692" i="5"/>
  <c r="N692" i="5"/>
  <c r="D692" i="5"/>
  <c r="O692" i="5" s="1"/>
  <c r="Q692" i="5" s="1"/>
  <c r="P691" i="5"/>
  <c r="N691" i="5"/>
  <c r="D691" i="5"/>
  <c r="P690" i="5"/>
  <c r="N690" i="5"/>
  <c r="D690" i="5"/>
  <c r="O690" i="5" s="1"/>
  <c r="Q690" i="5" s="1"/>
  <c r="P689" i="5"/>
  <c r="N689" i="5"/>
  <c r="D689" i="5"/>
  <c r="O689" i="5" s="1"/>
  <c r="Q689" i="5" s="1"/>
  <c r="P688" i="5"/>
  <c r="N688" i="5"/>
  <c r="D688" i="5"/>
  <c r="O688" i="5" s="1"/>
  <c r="Q688" i="5" s="1"/>
  <c r="P687" i="5"/>
  <c r="N687" i="5"/>
  <c r="D687" i="5"/>
  <c r="O687" i="5" s="1"/>
  <c r="Q687" i="5" s="1"/>
  <c r="P686" i="5"/>
  <c r="N686" i="5"/>
  <c r="D686" i="5"/>
  <c r="O686" i="5" s="1"/>
  <c r="Q686" i="5" s="1"/>
  <c r="P685" i="5"/>
  <c r="N685" i="5"/>
  <c r="D685" i="5"/>
  <c r="O685" i="5" s="1"/>
  <c r="Q685" i="5" s="1"/>
  <c r="P684" i="5"/>
  <c r="N684" i="5"/>
  <c r="D684" i="5"/>
  <c r="O684" i="5" s="1"/>
  <c r="Q684" i="5" s="1"/>
  <c r="P683" i="5"/>
  <c r="N683" i="5"/>
  <c r="D683" i="5"/>
  <c r="O683" i="5" s="1"/>
  <c r="Q683" i="5" s="1"/>
  <c r="P682" i="5"/>
  <c r="N682" i="5"/>
  <c r="D682" i="5"/>
  <c r="O682" i="5" s="1"/>
  <c r="Q682" i="5" s="1"/>
  <c r="P681" i="5"/>
  <c r="N681" i="5"/>
  <c r="D681" i="5"/>
  <c r="O681" i="5" s="1"/>
  <c r="Q681" i="5" s="1"/>
  <c r="P680" i="5"/>
  <c r="N680" i="5"/>
  <c r="D680" i="5"/>
  <c r="O680" i="5" s="1"/>
  <c r="Q680" i="5" s="1"/>
  <c r="P679" i="5"/>
  <c r="N679" i="5"/>
  <c r="D679" i="5"/>
  <c r="O679" i="5" s="1"/>
  <c r="Q679" i="5" s="1"/>
  <c r="P678" i="5"/>
  <c r="N678" i="5"/>
  <c r="D678" i="5"/>
  <c r="O678" i="5" s="1"/>
  <c r="Q678" i="5" s="1"/>
  <c r="P677" i="5"/>
  <c r="N677" i="5"/>
  <c r="D677" i="5"/>
  <c r="O677" i="5" s="1"/>
  <c r="Q677" i="5" s="1"/>
  <c r="P676" i="5"/>
  <c r="N676" i="5"/>
  <c r="D676" i="5"/>
  <c r="O676" i="5" s="1"/>
  <c r="Q676" i="5" s="1"/>
  <c r="P675" i="5"/>
  <c r="N675" i="5"/>
  <c r="D675" i="5"/>
  <c r="O675" i="5" s="1"/>
  <c r="Q675" i="5" s="1"/>
  <c r="P674" i="5"/>
  <c r="N674" i="5"/>
  <c r="D674" i="5"/>
  <c r="O674" i="5" s="1"/>
  <c r="Q674" i="5" s="1"/>
  <c r="P673" i="5"/>
  <c r="N673" i="5"/>
  <c r="D673" i="5"/>
  <c r="O673" i="5" s="1"/>
  <c r="Q673" i="5" s="1"/>
  <c r="P672" i="5"/>
  <c r="N672" i="5"/>
  <c r="D672" i="5"/>
  <c r="O672" i="5" s="1"/>
  <c r="Q672" i="5" s="1"/>
  <c r="P671" i="5"/>
  <c r="N671" i="5"/>
  <c r="D671" i="5"/>
  <c r="O671" i="5" s="1"/>
  <c r="Q671" i="5" s="1"/>
  <c r="P670" i="5"/>
  <c r="N670" i="5"/>
  <c r="D670" i="5"/>
  <c r="O670" i="5" s="1"/>
  <c r="Q670" i="5" s="1"/>
  <c r="P669" i="5"/>
  <c r="N669" i="5"/>
  <c r="D669" i="5"/>
  <c r="O669" i="5" s="1"/>
  <c r="Q669" i="5" s="1"/>
  <c r="P668" i="5"/>
  <c r="N668" i="5"/>
  <c r="D668" i="5"/>
  <c r="P667" i="5"/>
  <c r="N667" i="5"/>
  <c r="D667" i="5"/>
  <c r="O667" i="5" s="1"/>
  <c r="Q667" i="5" s="1"/>
  <c r="P666" i="5"/>
  <c r="N666" i="5"/>
  <c r="D666" i="5"/>
  <c r="O666" i="5" s="1"/>
  <c r="Q666" i="5" s="1"/>
  <c r="P665" i="5"/>
  <c r="N665" i="5"/>
  <c r="D665" i="5"/>
  <c r="O665" i="5" s="1"/>
  <c r="Q665" i="5" s="1"/>
  <c r="P664" i="5"/>
  <c r="N664" i="5"/>
  <c r="D664" i="5"/>
  <c r="O664" i="5" s="1"/>
  <c r="Q664" i="5" s="1"/>
  <c r="P663" i="5"/>
  <c r="N663" i="5"/>
  <c r="D663" i="5"/>
  <c r="O663" i="5" s="1"/>
  <c r="Q663" i="5" s="1"/>
  <c r="P662" i="5"/>
  <c r="N662" i="5"/>
  <c r="D662" i="5"/>
  <c r="O662" i="5" s="1"/>
  <c r="Q662" i="5" s="1"/>
  <c r="P661" i="5"/>
  <c r="N661" i="5"/>
  <c r="D661" i="5"/>
  <c r="O661" i="5" s="1"/>
  <c r="Q661" i="5" s="1"/>
  <c r="P660" i="5"/>
  <c r="N660" i="5"/>
  <c r="D660" i="5"/>
  <c r="O660" i="5" s="1"/>
  <c r="Q660" i="5" s="1"/>
  <c r="P659" i="5"/>
  <c r="N659" i="5"/>
  <c r="D659" i="5"/>
  <c r="O659" i="5" s="1"/>
  <c r="Q659" i="5" s="1"/>
  <c r="P658" i="5"/>
  <c r="N658" i="5"/>
  <c r="D658" i="5"/>
  <c r="O658" i="5" s="1"/>
  <c r="Q658" i="5" s="1"/>
  <c r="P657" i="5"/>
  <c r="N657" i="5"/>
  <c r="D657" i="5"/>
  <c r="O657" i="5" s="1"/>
  <c r="Q657" i="5" s="1"/>
  <c r="P656" i="5"/>
  <c r="N656" i="5"/>
  <c r="D656" i="5"/>
  <c r="O656" i="5" s="1"/>
  <c r="Q656" i="5" s="1"/>
  <c r="P655" i="5"/>
  <c r="N655" i="5"/>
  <c r="D655" i="5"/>
  <c r="O655" i="5" s="1"/>
  <c r="Q655" i="5" s="1"/>
  <c r="P654" i="5"/>
  <c r="N654" i="5"/>
  <c r="D654" i="5"/>
  <c r="O654" i="5" s="1"/>
  <c r="Q654" i="5" s="1"/>
  <c r="P653" i="5"/>
  <c r="N653" i="5"/>
  <c r="D653" i="5"/>
  <c r="O653" i="5" s="1"/>
  <c r="Q653" i="5" s="1"/>
  <c r="P652" i="5"/>
  <c r="N652" i="5"/>
  <c r="D652" i="5"/>
  <c r="O652" i="5" s="1"/>
  <c r="Q652" i="5" s="1"/>
  <c r="P651" i="5"/>
  <c r="N651" i="5"/>
  <c r="D651" i="5"/>
  <c r="O651" i="5" s="1"/>
  <c r="Q651" i="5" s="1"/>
  <c r="P650" i="5"/>
  <c r="N650" i="5"/>
  <c r="D650" i="5"/>
  <c r="O650" i="5" s="1"/>
  <c r="Q650" i="5" s="1"/>
  <c r="P649" i="5"/>
  <c r="N649" i="5"/>
  <c r="D649" i="5"/>
  <c r="O649" i="5" s="1"/>
  <c r="Q649" i="5" s="1"/>
  <c r="P648" i="5"/>
  <c r="N648" i="5"/>
  <c r="D648" i="5"/>
  <c r="O648" i="5" s="1"/>
  <c r="Q648" i="5" s="1"/>
  <c r="P647" i="5"/>
  <c r="N647" i="5"/>
  <c r="D647" i="5"/>
  <c r="O647" i="5" s="1"/>
  <c r="Q647" i="5" s="1"/>
  <c r="P646" i="5"/>
  <c r="N646" i="5"/>
  <c r="D646" i="5"/>
  <c r="O646" i="5" s="1"/>
  <c r="Q646" i="5" s="1"/>
  <c r="P645" i="5"/>
  <c r="N645" i="5"/>
  <c r="D645" i="5"/>
  <c r="O645" i="5" s="1"/>
  <c r="Q645" i="5" s="1"/>
  <c r="P644" i="5"/>
  <c r="N644" i="5"/>
  <c r="D644" i="5"/>
  <c r="O644" i="5" s="1"/>
  <c r="Q644" i="5" s="1"/>
  <c r="P643" i="5"/>
  <c r="N643" i="5"/>
  <c r="D643" i="5"/>
  <c r="O643" i="5" s="1"/>
  <c r="Q643" i="5" s="1"/>
  <c r="P642" i="5"/>
  <c r="N642" i="5"/>
  <c r="D642" i="5"/>
  <c r="P641" i="5"/>
  <c r="N641" i="5"/>
  <c r="D641" i="5"/>
  <c r="O641" i="5" s="1"/>
  <c r="Q641" i="5" s="1"/>
  <c r="P640" i="5"/>
  <c r="N640" i="5"/>
  <c r="D640" i="5"/>
  <c r="O640" i="5" s="1"/>
  <c r="Q640" i="5" s="1"/>
  <c r="P639" i="5"/>
  <c r="N639" i="5"/>
  <c r="D639" i="5"/>
  <c r="O639" i="5" s="1"/>
  <c r="Q639" i="5" s="1"/>
  <c r="P638" i="5"/>
  <c r="N638" i="5"/>
  <c r="D638" i="5"/>
  <c r="O638" i="5" s="1"/>
  <c r="Q638" i="5" s="1"/>
  <c r="P637" i="5"/>
  <c r="N637" i="5"/>
  <c r="D637" i="5"/>
  <c r="O637" i="5" s="1"/>
  <c r="Q637" i="5" s="1"/>
  <c r="P636" i="5"/>
  <c r="N636" i="5"/>
  <c r="D636" i="5"/>
  <c r="O636" i="5" s="1"/>
  <c r="Q636" i="5" s="1"/>
  <c r="P635" i="5"/>
  <c r="N635" i="5"/>
  <c r="D635" i="5"/>
  <c r="O635" i="5" s="1"/>
  <c r="Q635" i="5" s="1"/>
  <c r="P634" i="5"/>
  <c r="N634" i="5"/>
  <c r="D634" i="5"/>
  <c r="O634" i="5" s="1"/>
  <c r="Q634" i="5" s="1"/>
  <c r="P633" i="5"/>
  <c r="N633" i="5"/>
  <c r="D633" i="5"/>
  <c r="O633" i="5" s="1"/>
  <c r="Q633" i="5" s="1"/>
  <c r="P632" i="5"/>
  <c r="N632" i="5"/>
  <c r="D632" i="5"/>
  <c r="P631" i="5"/>
  <c r="N631" i="5"/>
  <c r="D631" i="5"/>
  <c r="O631" i="5" s="1"/>
  <c r="Q631" i="5" s="1"/>
  <c r="P630" i="5"/>
  <c r="N630" i="5"/>
  <c r="D630" i="5"/>
  <c r="O630" i="5" s="1"/>
  <c r="Q630" i="5" s="1"/>
  <c r="P629" i="5"/>
  <c r="N629" i="5"/>
  <c r="D629" i="5"/>
  <c r="O629" i="5" s="1"/>
  <c r="Q629" i="5" s="1"/>
  <c r="P628" i="5"/>
  <c r="N628" i="5"/>
  <c r="D628" i="5"/>
  <c r="O628" i="5" s="1"/>
  <c r="Q628" i="5" s="1"/>
  <c r="P627" i="5"/>
  <c r="N627" i="5"/>
  <c r="D627" i="5"/>
  <c r="O627" i="5" s="1"/>
  <c r="Q627" i="5" s="1"/>
  <c r="P626" i="5"/>
  <c r="N626" i="5"/>
  <c r="D626" i="5"/>
  <c r="O626" i="5" s="1"/>
  <c r="Q626" i="5" s="1"/>
  <c r="P625" i="5"/>
  <c r="N625" i="5"/>
  <c r="D625" i="5"/>
  <c r="O625" i="5" s="1"/>
  <c r="Q625" i="5" s="1"/>
  <c r="P624" i="5"/>
  <c r="N624" i="5"/>
  <c r="D624" i="5"/>
  <c r="O624" i="5" s="1"/>
  <c r="Q624" i="5" s="1"/>
  <c r="P623" i="5"/>
  <c r="N623" i="5"/>
  <c r="D623" i="5"/>
  <c r="O623" i="5" s="1"/>
  <c r="Q623" i="5" s="1"/>
  <c r="P622" i="5"/>
  <c r="N622" i="5"/>
  <c r="D622" i="5"/>
  <c r="O622" i="5" s="1"/>
  <c r="Q622" i="5" s="1"/>
  <c r="P621" i="5"/>
  <c r="N621" i="5"/>
  <c r="D621" i="5"/>
  <c r="O621" i="5" s="1"/>
  <c r="Q621" i="5" s="1"/>
  <c r="P620" i="5"/>
  <c r="N620" i="5"/>
  <c r="D620" i="5"/>
  <c r="O620" i="5" s="1"/>
  <c r="Q620" i="5" s="1"/>
  <c r="P619" i="5"/>
  <c r="N619" i="5"/>
  <c r="D619" i="5"/>
  <c r="O619" i="5" s="1"/>
  <c r="Q619" i="5" s="1"/>
  <c r="P618" i="5"/>
  <c r="N618" i="5"/>
  <c r="D618" i="5"/>
  <c r="O618" i="5" s="1"/>
  <c r="Q618" i="5" s="1"/>
  <c r="P617" i="5"/>
  <c r="N617" i="5"/>
  <c r="D617" i="5"/>
  <c r="O617" i="5" s="1"/>
  <c r="Q617" i="5" s="1"/>
  <c r="P616" i="5"/>
  <c r="N616" i="5"/>
  <c r="D616" i="5"/>
  <c r="O616" i="5" s="1"/>
  <c r="Q616" i="5" s="1"/>
  <c r="P615" i="5"/>
  <c r="N615" i="5"/>
  <c r="D615" i="5"/>
  <c r="O615" i="5" s="1"/>
  <c r="Q615" i="5" s="1"/>
  <c r="P614" i="5"/>
  <c r="N614" i="5"/>
  <c r="D614" i="5"/>
  <c r="O614" i="5" s="1"/>
  <c r="Q614" i="5" s="1"/>
  <c r="P613" i="5"/>
  <c r="N613" i="5"/>
  <c r="D613" i="5"/>
  <c r="O613" i="5" s="1"/>
  <c r="Q613" i="5" s="1"/>
  <c r="P612" i="5"/>
  <c r="N612" i="5"/>
  <c r="D612" i="5"/>
  <c r="O612" i="5" s="1"/>
  <c r="Q612" i="5" s="1"/>
  <c r="P611" i="5"/>
  <c r="N611" i="5"/>
  <c r="D611" i="5"/>
  <c r="O611" i="5" s="1"/>
  <c r="Q611" i="5" s="1"/>
  <c r="P610" i="5"/>
  <c r="N610" i="5"/>
  <c r="D610" i="5"/>
  <c r="O610" i="5" s="1"/>
  <c r="Q610" i="5" s="1"/>
  <c r="P609" i="5"/>
  <c r="N609" i="5"/>
  <c r="D609" i="5"/>
  <c r="O609" i="5" s="1"/>
  <c r="Q609" i="5" s="1"/>
  <c r="P608" i="5"/>
  <c r="N608" i="5"/>
  <c r="D608" i="5"/>
  <c r="O608" i="5" s="1"/>
  <c r="Q608" i="5" s="1"/>
  <c r="P607" i="5"/>
  <c r="N607" i="5"/>
  <c r="D607" i="5"/>
  <c r="O607" i="5" s="1"/>
  <c r="Q607" i="5" s="1"/>
  <c r="P606" i="5"/>
  <c r="N606" i="5"/>
  <c r="D606" i="5"/>
  <c r="O606" i="5" s="1"/>
  <c r="Q606" i="5" s="1"/>
  <c r="P605" i="5"/>
  <c r="N605" i="5"/>
  <c r="D605" i="5"/>
  <c r="O605" i="5" s="1"/>
  <c r="Q605" i="5" s="1"/>
  <c r="P604" i="5"/>
  <c r="N604" i="5"/>
  <c r="D604" i="5"/>
  <c r="O604" i="5" s="1"/>
  <c r="Q604" i="5" s="1"/>
  <c r="P603" i="5"/>
  <c r="N603" i="5"/>
  <c r="D603" i="5"/>
  <c r="O603" i="5" s="1"/>
  <c r="Q603" i="5" s="1"/>
  <c r="P602" i="5"/>
  <c r="N602" i="5"/>
  <c r="D602" i="5"/>
  <c r="O602" i="5" s="1"/>
  <c r="Q602" i="5" s="1"/>
  <c r="P601" i="5"/>
  <c r="N601" i="5"/>
  <c r="D601" i="5"/>
  <c r="O601" i="5" s="1"/>
  <c r="Q601" i="5" s="1"/>
  <c r="P600" i="5"/>
  <c r="N600" i="5"/>
  <c r="D600" i="5"/>
  <c r="O600" i="5" s="1"/>
  <c r="Q600" i="5" s="1"/>
  <c r="P599" i="5"/>
  <c r="N599" i="5"/>
  <c r="D599" i="5"/>
  <c r="O599" i="5" s="1"/>
  <c r="Q599" i="5" s="1"/>
  <c r="P598" i="5"/>
  <c r="N598" i="5"/>
  <c r="D598" i="5"/>
  <c r="O598" i="5" s="1"/>
  <c r="Q598" i="5" s="1"/>
  <c r="P597" i="5"/>
  <c r="N597" i="5"/>
  <c r="D597" i="5"/>
  <c r="O597" i="5" s="1"/>
  <c r="Q597" i="5" s="1"/>
  <c r="P596" i="5"/>
  <c r="N596" i="5"/>
  <c r="D596" i="5"/>
  <c r="O596" i="5" s="1"/>
  <c r="Q596" i="5" s="1"/>
  <c r="P595" i="5"/>
  <c r="N595" i="5"/>
  <c r="D595" i="5"/>
  <c r="O595" i="5" s="1"/>
  <c r="Q595" i="5" s="1"/>
  <c r="P594" i="5"/>
  <c r="N594" i="5"/>
  <c r="D594" i="5"/>
  <c r="O594" i="5" s="1"/>
  <c r="Q594" i="5" s="1"/>
  <c r="P593" i="5"/>
  <c r="N593" i="5"/>
  <c r="D593" i="5"/>
  <c r="O593" i="5" s="1"/>
  <c r="Q593" i="5" s="1"/>
  <c r="P592" i="5"/>
  <c r="N592" i="5"/>
  <c r="D592" i="5"/>
  <c r="O592" i="5" s="1"/>
  <c r="Q592" i="5" s="1"/>
  <c r="P591" i="5"/>
  <c r="N591" i="5"/>
  <c r="D591" i="5"/>
  <c r="O591" i="5" s="1"/>
  <c r="Q591" i="5" s="1"/>
  <c r="P590" i="5"/>
  <c r="N590" i="5"/>
  <c r="D590" i="5"/>
  <c r="O590" i="5" s="1"/>
  <c r="Q590" i="5" s="1"/>
  <c r="P589" i="5"/>
  <c r="N589" i="5"/>
  <c r="D589" i="5"/>
  <c r="O589" i="5" s="1"/>
  <c r="Q589" i="5" s="1"/>
  <c r="P588" i="5"/>
  <c r="N588" i="5"/>
  <c r="D588" i="5"/>
  <c r="O588" i="5" s="1"/>
  <c r="Q588" i="5" s="1"/>
  <c r="P587" i="5"/>
  <c r="N587" i="5"/>
  <c r="D587" i="5"/>
  <c r="O587" i="5" s="1"/>
  <c r="Q587" i="5" s="1"/>
  <c r="P586" i="5"/>
  <c r="N586" i="5"/>
  <c r="D586" i="5"/>
  <c r="O586" i="5" s="1"/>
  <c r="Q586" i="5" s="1"/>
  <c r="P585" i="5"/>
  <c r="N585" i="5"/>
  <c r="D585" i="5"/>
  <c r="O585" i="5" s="1"/>
  <c r="Q585" i="5" s="1"/>
  <c r="P584" i="5"/>
  <c r="N584" i="5"/>
  <c r="D584" i="5"/>
  <c r="O584" i="5" s="1"/>
  <c r="Q584" i="5" s="1"/>
  <c r="P583" i="5"/>
  <c r="N583" i="5"/>
  <c r="D583" i="5"/>
  <c r="O583" i="5" s="1"/>
  <c r="Q583" i="5" s="1"/>
  <c r="P582" i="5"/>
  <c r="N582" i="5"/>
  <c r="D582" i="5"/>
  <c r="O582" i="5" s="1"/>
  <c r="Q582" i="5" s="1"/>
  <c r="P581" i="5"/>
  <c r="N581" i="5"/>
  <c r="D581" i="5"/>
  <c r="O581" i="5" s="1"/>
  <c r="Q581" i="5" s="1"/>
  <c r="P580" i="5"/>
  <c r="N580" i="5"/>
  <c r="D580" i="5"/>
  <c r="O580" i="5" s="1"/>
  <c r="Q580" i="5" s="1"/>
  <c r="P579" i="5"/>
  <c r="N579" i="5"/>
  <c r="D579" i="5"/>
  <c r="O579" i="5" s="1"/>
  <c r="Q579" i="5" s="1"/>
  <c r="P578" i="5"/>
  <c r="N578" i="5"/>
  <c r="D578" i="5"/>
  <c r="O578" i="5" s="1"/>
  <c r="Q578" i="5" s="1"/>
  <c r="P577" i="5"/>
  <c r="N577" i="5"/>
  <c r="D577" i="5"/>
  <c r="O577" i="5" s="1"/>
  <c r="Q577" i="5" s="1"/>
  <c r="P576" i="5"/>
  <c r="N576" i="5"/>
  <c r="D576" i="5"/>
  <c r="O576" i="5" s="1"/>
  <c r="Q576" i="5" s="1"/>
  <c r="P575" i="5"/>
  <c r="N575" i="5"/>
  <c r="D575" i="5"/>
  <c r="O575" i="5" s="1"/>
  <c r="Q575" i="5" s="1"/>
  <c r="P574" i="5"/>
  <c r="N574" i="5"/>
  <c r="D574" i="5"/>
  <c r="O574" i="5" s="1"/>
  <c r="Q574" i="5" s="1"/>
  <c r="P573" i="5"/>
  <c r="N573" i="5"/>
  <c r="D573" i="5"/>
  <c r="O573" i="5" s="1"/>
  <c r="Q573" i="5" s="1"/>
  <c r="P572" i="5"/>
  <c r="N572" i="5"/>
  <c r="D572" i="5"/>
  <c r="O572" i="5" s="1"/>
  <c r="Q572" i="5" s="1"/>
  <c r="P571" i="5"/>
  <c r="N571" i="5"/>
  <c r="D571" i="5"/>
  <c r="O571" i="5" s="1"/>
  <c r="Q571" i="5" s="1"/>
  <c r="P570" i="5"/>
  <c r="N570" i="5"/>
  <c r="D570" i="5"/>
  <c r="O570" i="5" s="1"/>
  <c r="Q570" i="5" s="1"/>
  <c r="P569" i="5"/>
  <c r="N569" i="5"/>
  <c r="D569" i="5"/>
  <c r="O569" i="5" s="1"/>
  <c r="Q569" i="5" s="1"/>
  <c r="P568" i="5"/>
  <c r="N568" i="5"/>
  <c r="D568" i="5"/>
  <c r="O568" i="5" s="1"/>
  <c r="Q568" i="5" s="1"/>
  <c r="P567" i="5"/>
  <c r="N567" i="5"/>
  <c r="D567" i="5"/>
  <c r="O567" i="5" s="1"/>
  <c r="Q567" i="5" s="1"/>
  <c r="P566" i="5"/>
  <c r="N566" i="5"/>
  <c r="D566" i="5"/>
  <c r="O566" i="5" s="1"/>
  <c r="Q566" i="5" s="1"/>
  <c r="P565" i="5"/>
  <c r="N565" i="5"/>
  <c r="D565" i="5"/>
  <c r="O565" i="5" s="1"/>
  <c r="Q565" i="5" s="1"/>
  <c r="P564" i="5"/>
  <c r="N564" i="5"/>
  <c r="D564" i="5"/>
  <c r="P563" i="5"/>
  <c r="N563" i="5"/>
  <c r="D563" i="5"/>
  <c r="O563" i="5" s="1"/>
  <c r="Q563" i="5" s="1"/>
  <c r="P562" i="5"/>
  <c r="N562" i="5"/>
  <c r="D562" i="5"/>
  <c r="O562" i="5" s="1"/>
  <c r="Q562" i="5" s="1"/>
  <c r="P561" i="5"/>
  <c r="N561" i="5"/>
  <c r="D561" i="5"/>
  <c r="O561" i="5" s="1"/>
  <c r="Q561" i="5" s="1"/>
  <c r="P560" i="5"/>
  <c r="N560" i="5"/>
  <c r="D560" i="5"/>
  <c r="O560" i="5" s="1"/>
  <c r="Q560" i="5" s="1"/>
  <c r="P559" i="5"/>
  <c r="N559" i="5"/>
  <c r="D559" i="5"/>
  <c r="O559" i="5" s="1"/>
  <c r="Q559" i="5" s="1"/>
  <c r="P558" i="5"/>
  <c r="N558" i="5"/>
  <c r="D558" i="5"/>
  <c r="O558" i="5" s="1"/>
  <c r="Q558" i="5" s="1"/>
  <c r="P557" i="5"/>
  <c r="N557" i="5"/>
  <c r="D557" i="5"/>
  <c r="O557" i="5" s="1"/>
  <c r="Q557" i="5" s="1"/>
  <c r="P556" i="5"/>
  <c r="N556" i="5"/>
  <c r="D556" i="5"/>
  <c r="O556" i="5" s="1"/>
  <c r="Q556" i="5" s="1"/>
  <c r="P555" i="5"/>
  <c r="N555" i="5"/>
  <c r="D555" i="5"/>
  <c r="O555" i="5" s="1"/>
  <c r="Q555" i="5" s="1"/>
  <c r="P554" i="5"/>
  <c r="N554" i="5"/>
  <c r="D554" i="5"/>
  <c r="O554" i="5" s="1"/>
  <c r="Q554" i="5" s="1"/>
  <c r="P553" i="5"/>
  <c r="N553" i="5"/>
  <c r="D553" i="5"/>
  <c r="O553" i="5" s="1"/>
  <c r="Q553" i="5" s="1"/>
  <c r="P552" i="5"/>
  <c r="N552" i="5"/>
  <c r="D552" i="5"/>
  <c r="O552" i="5" s="1"/>
  <c r="Q552" i="5" s="1"/>
  <c r="P551" i="5"/>
  <c r="N551" i="5"/>
  <c r="D551" i="5"/>
  <c r="O551" i="5" s="1"/>
  <c r="Q551" i="5" s="1"/>
  <c r="P550" i="5"/>
  <c r="N550" i="5"/>
  <c r="D550" i="5"/>
  <c r="O550" i="5" s="1"/>
  <c r="Q550" i="5" s="1"/>
  <c r="P549" i="5"/>
  <c r="N549" i="5"/>
  <c r="D549" i="5"/>
  <c r="O549" i="5" s="1"/>
  <c r="Q549" i="5" s="1"/>
  <c r="P548" i="5"/>
  <c r="N548" i="5"/>
  <c r="D548" i="5"/>
  <c r="O548" i="5" s="1"/>
  <c r="Q548" i="5" s="1"/>
  <c r="P547" i="5"/>
  <c r="N547" i="5"/>
  <c r="D547" i="5"/>
  <c r="O547" i="5" s="1"/>
  <c r="Q547" i="5" s="1"/>
  <c r="P546" i="5"/>
  <c r="N546" i="5"/>
  <c r="D546" i="5"/>
  <c r="O546" i="5" s="1"/>
  <c r="Q546" i="5" s="1"/>
  <c r="P545" i="5"/>
  <c r="N545" i="5"/>
  <c r="D545" i="5"/>
  <c r="O545" i="5" s="1"/>
  <c r="Q545" i="5" s="1"/>
  <c r="P544" i="5"/>
  <c r="N544" i="5"/>
  <c r="D544" i="5"/>
  <c r="O544" i="5" s="1"/>
  <c r="Q544" i="5" s="1"/>
  <c r="P543" i="5"/>
  <c r="N543" i="5"/>
  <c r="D543" i="5"/>
  <c r="P542" i="5"/>
  <c r="N542" i="5"/>
  <c r="D542" i="5"/>
  <c r="O542" i="5" s="1"/>
  <c r="Q542" i="5" s="1"/>
  <c r="P541" i="5"/>
  <c r="N541" i="5"/>
  <c r="D541" i="5"/>
  <c r="P540" i="5"/>
  <c r="N540" i="5"/>
  <c r="D540" i="5"/>
  <c r="O540" i="5" s="1"/>
  <c r="Q540" i="5" s="1"/>
  <c r="P539" i="5"/>
  <c r="N539" i="5"/>
  <c r="D539" i="5"/>
  <c r="O539" i="5" s="1"/>
  <c r="Q539" i="5" s="1"/>
  <c r="P538" i="5"/>
  <c r="N538" i="5"/>
  <c r="D538" i="5"/>
  <c r="O538" i="5" s="1"/>
  <c r="Q538" i="5" s="1"/>
  <c r="P537" i="5"/>
  <c r="N537" i="5"/>
  <c r="D537" i="5"/>
  <c r="O537" i="5" s="1"/>
  <c r="Q537" i="5" s="1"/>
  <c r="P536" i="5"/>
  <c r="N536" i="5"/>
  <c r="D536" i="5"/>
  <c r="O536" i="5" s="1"/>
  <c r="Q536" i="5" s="1"/>
  <c r="P535" i="5"/>
  <c r="N535" i="5"/>
  <c r="D535" i="5"/>
  <c r="O535" i="5" s="1"/>
  <c r="Q535" i="5" s="1"/>
  <c r="P534" i="5"/>
  <c r="N534" i="5"/>
  <c r="D534" i="5"/>
  <c r="O534" i="5" s="1"/>
  <c r="Q534" i="5" s="1"/>
  <c r="P533" i="5"/>
  <c r="N533" i="5"/>
  <c r="D533" i="5"/>
  <c r="O533" i="5" s="1"/>
  <c r="Q533" i="5" s="1"/>
  <c r="P532" i="5"/>
  <c r="N532" i="5"/>
  <c r="D532" i="5"/>
  <c r="P531" i="5"/>
  <c r="N531" i="5"/>
  <c r="D531" i="5"/>
  <c r="O531" i="5" s="1"/>
  <c r="Q531" i="5" s="1"/>
  <c r="P530" i="5"/>
  <c r="N530" i="5"/>
  <c r="D530" i="5"/>
  <c r="O530" i="5" s="1"/>
  <c r="Q530" i="5" s="1"/>
  <c r="P529" i="5"/>
  <c r="N529" i="5"/>
  <c r="D529" i="5"/>
  <c r="O529" i="5" s="1"/>
  <c r="Q529" i="5" s="1"/>
  <c r="P528" i="5"/>
  <c r="N528" i="5"/>
  <c r="D528" i="5"/>
  <c r="O528" i="5" s="1"/>
  <c r="Q528" i="5" s="1"/>
  <c r="P527" i="5"/>
  <c r="N527" i="5"/>
  <c r="D527" i="5"/>
  <c r="O527" i="5" s="1"/>
  <c r="Q527" i="5" s="1"/>
  <c r="P526" i="5"/>
  <c r="N526" i="5"/>
  <c r="D526" i="5"/>
  <c r="O526" i="5" s="1"/>
  <c r="Q526" i="5" s="1"/>
  <c r="P525" i="5"/>
  <c r="N525" i="5"/>
  <c r="D525" i="5"/>
  <c r="O525" i="5" s="1"/>
  <c r="Q525" i="5" s="1"/>
  <c r="P524" i="5"/>
  <c r="N524" i="5"/>
  <c r="D524" i="5"/>
  <c r="O524" i="5" s="1"/>
  <c r="Q524" i="5" s="1"/>
  <c r="P523" i="5"/>
  <c r="N523" i="5"/>
  <c r="D523" i="5"/>
  <c r="O523" i="5" s="1"/>
  <c r="Q523" i="5" s="1"/>
  <c r="P522" i="5"/>
  <c r="N522" i="5"/>
  <c r="D522" i="5"/>
  <c r="O522" i="5" s="1"/>
  <c r="Q522" i="5" s="1"/>
  <c r="Q521" i="5"/>
  <c r="P521" i="5"/>
  <c r="N521" i="5"/>
  <c r="D521" i="5"/>
  <c r="Q520" i="5"/>
  <c r="P520" i="5"/>
  <c r="N520" i="5"/>
  <c r="D520" i="5"/>
  <c r="P519" i="5"/>
  <c r="N519" i="5"/>
  <c r="D519" i="5"/>
  <c r="O519" i="5" s="1"/>
  <c r="Q519" i="5" s="1"/>
  <c r="P518" i="5"/>
  <c r="N518" i="5"/>
  <c r="D518" i="5"/>
  <c r="O518" i="5" s="1"/>
  <c r="Q518" i="5" s="1"/>
  <c r="P517" i="5"/>
  <c r="N517" i="5"/>
  <c r="D517" i="5"/>
  <c r="O517" i="5" s="1"/>
  <c r="Q517" i="5" s="1"/>
  <c r="P516" i="5"/>
  <c r="N516" i="5"/>
  <c r="D516" i="5"/>
  <c r="O516" i="5" s="1"/>
  <c r="Q516" i="5" s="1"/>
  <c r="P515" i="5"/>
  <c r="N515" i="5"/>
  <c r="D515" i="5"/>
  <c r="O515" i="5" s="1"/>
  <c r="Q515" i="5" s="1"/>
  <c r="P514" i="5"/>
  <c r="N514" i="5"/>
  <c r="D514" i="5"/>
  <c r="O514" i="5" s="1"/>
  <c r="Q514" i="5" s="1"/>
  <c r="P513" i="5"/>
  <c r="N513" i="5"/>
  <c r="D513" i="5"/>
  <c r="O513" i="5" s="1"/>
  <c r="Q513" i="5" s="1"/>
  <c r="P512" i="5"/>
  <c r="N512" i="5"/>
  <c r="D512" i="5"/>
  <c r="O512" i="5" s="1"/>
  <c r="Q512" i="5" s="1"/>
  <c r="P511" i="5"/>
  <c r="N511" i="5"/>
  <c r="D511" i="5"/>
  <c r="O511" i="5" s="1"/>
  <c r="Q511" i="5" s="1"/>
  <c r="P510" i="5"/>
  <c r="N510" i="5"/>
  <c r="D510" i="5"/>
  <c r="O510" i="5" s="1"/>
  <c r="Q510" i="5" s="1"/>
  <c r="P509" i="5"/>
  <c r="N509" i="5"/>
  <c r="D509" i="5"/>
  <c r="O509" i="5" s="1"/>
  <c r="Q509" i="5" s="1"/>
  <c r="P508" i="5"/>
  <c r="N508" i="5"/>
  <c r="D508" i="5"/>
  <c r="O508" i="5" s="1"/>
  <c r="Q508" i="5" s="1"/>
  <c r="P507" i="5"/>
  <c r="N507" i="5"/>
  <c r="D507" i="5"/>
  <c r="O507" i="5" s="1"/>
  <c r="Q507" i="5" s="1"/>
  <c r="P506" i="5"/>
  <c r="N506" i="5"/>
  <c r="D506" i="5"/>
  <c r="O506" i="5" s="1"/>
  <c r="Q506" i="5" s="1"/>
  <c r="P505" i="5"/>
  <c r="N505" i="5"/>
  <c r="D505" i="5"/>
  <c r="P504" i="5"/>
  <c r="N504" i="5"/>
  <c r="D504" i="5"/>
  <c r="O504" i="5" s="1"/>
  <c r="Q504" i="5" s="1"/>
  <c r="P503" i="5"/>
  <c r="N503" i="5"/>
  <c r="D503" i="5"/>
  <c r="O503" i="5" s="1"/>
  <c r="Q503" i="5" s="1"/>
  <c r="P502" i="5"/>
  <c r="N502" i="5"/>
  <c r="D502" i="5"/>
  <c r="O502" i="5" s="1"/>
  <c r="Q502" i="5" s="1"/>
  <c r="P501" i="5"/>
  <c r="N501" i="5"/>
  <c r="D501" i="5"/>
  <c r="O501" i="5" s="1"/>
  <c r="Q501" i="5" s="1"/>
  <c r="P500" i="5"/>
  <c r="N500" i="5"/>
  <c r="D500" i="5"/>
  <c r="O500" i="5" s="1"/>
  <c r="Q500" i="5" s="1"/>
  <c r="P499" i="5"/>
  <c r="N499" i="5"/>
  <c r="D499" i="5"/>
  <c r="O499" i="5" s="1"/>
  <c r="Q499" i="5" s="1"/>
  <c r="P498" i="5"/>
  <c r="N498" i="5"/>
  <c r="D498" i="5"/>
  <c r="O498" i="5" s="1"/>
  <c r="Q498" i="5" s="1"/>
  <c r="P497" i="5"/>
  <c r="N497" i="5"/>
  <c r="D497" i="5"/>
  <c r="O497" i="5" s="1"/>
  <c r="Q497" i="5" s="1"/>
  <c r="P496" i="5"/>
  <c r="N496" i="5"/>
  <c r="D496" i="5"/>
  <c r="O496" i="5" s="1"/>
  <c r="Q496" i="5" s="1"/>
  <c r="P495" i="5"/>
  <c r="N495" i="5"/>
  <c r="D495" i="5"/>
  <c r="O495" i="5" s="1"/>
  <c r="Q495" i="5" s="1"/>
  <c r="P494" i="5"/>
  <c r="N494" i="5"/>
  <c r="D494" i="5"/>
  <c r="O494" i="5" s="1"/>
  <c r="Q494" i="5" s="1"/>
  <c r="P493" i="5"/>
  <c r="N493" i="5"/>
  <c r="D493" i="5"/>
  <c r="P492" i="5"/>
  <c r="N492" i="5"/>
  <c r="D492" i="5"/>
  <c r="O492" i="5" s="1"/>
  <c r="Q492" i="5" s="1"/>
  <c r="P491" i="5"/>
  <c r="N491" i="5"/>
  <c r="D491" i="5"/>
  <c r="O491" i="5" s="1"/>
  <c r="Q491" i="5" s="1"/>
  <c r="P490" i="5"/>
  <c r="N490" i="5"/>
  <c r="D490" i="5"/>
  <c r="O490" i="5" s="1"/>
  <c r="Q490" i="5" s="1"/>
  <c r="P489" i="5"/>
  <c r="N489" i="5"/>
  <c r="D489" i="5"/>
  <c r="O489" i="5" s="1"/>
  <c r="Q489" i="5" s="1"/>
  <c r="P488" i="5"/>
  <c r="N488" i="5"/>
  <c r="D488" i="5"/>
  <c r="O488" i="5" s="1"/>
  <c r="Q488" i="5" s="1"/>
  <c r="P487" i="5"/>
  <c r="N487" i="5"/>
  <c r="D487" i="5"/>
  <c r="O487" i="5" s="1"/>
  <c r="Q487" i="5" s="1"/>
  <c r="P486" i="5"/>
  <c r="N486" i="5"/>
  <c r="D486" i="5"/>
  <c r="O486" i="5" s="1"/>
  <c r="Q486" i="5" s="1"/>
  <c r="P485" i="5"/>
  <c r="N485" i="5"/>
  <c r="D485" i="5"/>
  <c r="O485" i="5" s="1"/>
  <c r="Q485" i="5" s="1"/>
  <c r="P484" i="5"/>
  <c r="N484" i="5"/>
  <c r="D484" i="5"/>
  <c r="O484" i="5" s="1"/>
  <c r="Q484" i="5" s="1"/>
  <c r="P483" i="5"/>
  <c r="N483" i="5"/>
  <c r="D483" i="5"/>
  <c r="O483" i="5" s="1"/>
  <c r="Q483" i="5" s="1"/>
  <c r="P482" i="5"/>
  <c r="N482" i="5"/>
  <c r="D482" i="5"/>
  <c r="O482" i="5" s="1"/>
  <c r="Q482" i="5" s="1"/>
  <c r="P481" i="5"/>
  <c r="N481" i="5"/>
  <c r="D481" i="5"/>
  <c r="O481" i="5" s="1"/>
  <c r="Q481" i="5" s="1"/>
  <c r="P480" i="5"/>
  <c r="N480" i="5"/>
  <c r="D480" i="5"/>
  <c r="O480" i="5" s="1"/>
  <c r="Q480" i="5" s="1"/>
  <c r="P479" i="5"/>
  <c r="N479" i="5"/>
  <c r="D479" i="5"/>
  <c r="O479" i="5" s="1"/>
  <c r="Q479" i="5" s="1"/>
  <c r="P478" i="5"/>
  <c r="N478" i="5"/>
  <c r="D478" i="5"/>
  <c r="O478" i="5" s="1"/>
  <c r="Q478" i="5" s="1"/>
  <c r="P477" i="5"/>
  <c r="N477" i="5"/>
  <c r="D477" i="5"/>
  <c r="O477" i="5" s="1"/>
  <c r="Q477" i="5" s="1"/>
  <c r="P476" i="5"/>
  <c r="N476" i="5"/>
  <c r="D476" i="5"/>
  <c r="O476" i="5" s="1"/>
  <c r="Q476" i="5" s="1"/>
  <c r="P475" i="5"/>
  <c r="N475" i="5"/>
  <c r="D475" i="5"/>
  <c r="O475" i="5" s="1"/>
  <c r="Q475" i="5" s="1"/>
  <c r="P474" i="5"/>
  <c r="N474" i="5"/>
  <c r="D474" i="5"/>
  <c r="O474" i="5" s="1"/>
  <c r="Q474" i="5" s="1"/>
  <c r="P473" i="5"/>
  <c r="N473" i="5"/>
  <c r="D473" i="5"/>
  <c r="O473" i="5" s="1"/>
  <c r="Q473" i="5" s="1"/>
  <c r="P472" i="5"/>
  <c r="N472" i="5"/>
  <c r="D472" i="5"/>
  <c r="O472" i="5" s="1"/>
  <c r="Q472" i="5" s="1"/>
  <c r="P471" i="5"/>
  <c r="N471" i="5"/>
  <c r="D471" i="5"/>
  <c r="O471" i="5" s="1"/>
  <c r="Q471" i="5" s="1"/>
  <c r="P470" i="5"/>
  <c r="N470" i="5"/>
  <c r="D470" i="5"/>
  <c r="O470" i="5" s="1"/>
  <c r="Q470" i="5" s="1"/>
  <c r="P469" i="5"/>
  <c r="N469" i="5"/>
  <c r="D469" i="5"/>
  <c r="P468" i="5"/>
  <c r="N468" i="5"/>
  <c r="D468" i="5"/>
  <c r="O468" i="5" s="1"/>
  <c r="Q468" i="5" s="1"/>
  <c r="P467" i="5"/>
  <c r="N467" i="5"/>
  <c r="D467" i="5"/>
  <c r="O467" i="5" s="1"/>
  <c r="Q467" i="5" s="1"/>
  <c r="P466" i="5"/>
  <c r="N466" i="5"/>
  <c r="D466" i="5"/>
  <c r="O466" i="5" s="1"/>
  <c r="Q466" i="5" s="1"/>
  <c r="P465" i="5"/>
  <c r="N465" i="5"/>
  <c r="D465" i="5"/>
  <c r="O465" i="5" s="1"/>
  <c r="Q465" i="5" s="1"/>
  <c r="P464" i="5"/>
  <c r="N464" i="5"/>
  <c r="D464" i="5"/>
  <c r="O464" i="5" s="1"/>
  <c r="Q464" i="5" s="1"/>
  <c r="P463" i="5"/>
  <c r="N463" i="5"/>
  <c r="D463" i="5"/>
  <c r="O463" i="5" s="1"/>
  <c r="Q463" i="5" s="1"/>
  <c r="P462" i="5"/>
  <c r="N462" i="5"/>
  <c r="D462" i="5"/>
  <c r="O462" i="5" s="1"/>
  <c r="Q462" i="5" s="1"/>
  <c r="P461" i="5"/>
  <c r="N461" i="5"/>
  <c r="D461" i="5"/>
  <c r="O461" i="5" s="1"/>
  <c r="Q461" i="5" s="1"/>
  <c r="P460" i="5"/>
  <c r="N460" i="5"/>
  <c r="D460" i="5"/>
  <c r="O460" i="5" s="1"/>
  <c r="Q460" i="5" s="1"/>
  <c r="P459" i="5"/>
  <c r="N459" i="5"/>
  <c r="D459" i="5"/>
  <c r="O459" i="5" s="1"/>
  <c r="Q459" i="5" s="1"/>
  <c r="P458" i="5"/>
  <c r="N458" i="5"/>
  <c r="D458" i="5"/>
  <c r="O458" i="5" s="1"/>
  <c r="Q458" i="5" s="1"/>
  <c r="P457" i="5"/>
  <c r="N457" i="5"/>
  <c r="D457" i="5"/>
  <c r="O457" i="5" s="1"/>
  <c r="Q457" i="5" s="1"/>
  <c r="P456" i="5"/>
  <c r="N456" i="5"/>
  <c r="D456" i="5"/>
  <c r="O456" i="5" s="1"/>
  <c r="Q456" i="5" s="1"/>
  <c r="P455" i="5"/>
  <c r="N455" i="5"/>
  <c r="D455" i="5"/>
  <c r="O455" i="5" s="1"/>
  <c r="Q455" i="5" s="1"/>
  <c r="P454" i="5"/>
  <c r="N454" i="5"/>
  <c r="D454" i="5"/>
  <c r="O454" i="5" s="1"/>
  <c r="Q454" i="5" s="1"/>
  <c r="P453" i="5"/>
  <c r="N453" i="5"/>
  <c r="D453" i="5"/>
  <c r="O453" i="5" s="1"/>
  <c r="Q453" i="5" s="1"/>
  <c r="P452" i="5"/>
  <c r="N452" i="5"/>
  <c r="D452" i="5"/>
  <c r="P451" i="5"/>
  <c r="N451" i="5"/>
  <c r="D451" i="5"/>
  <c r="O451" i="5" s="1"/>
  <c r="Q451" i="5" s="1"/>
  <c r="P450" i="5"/>
  <c r="N450" i="5"/>
  <c r="D450" i="5"/>
  <c r="O450" i="5" s="1"/>
  <c r="Q450" i="5" s="1"/>
  <c r="P449" i="5"/>
  <c r="N449" i="5"/>
  <c r="D449" i="5"/>
  <c r="O449" i="5" s="1"/>
  <c r="Q449" i="5" s="1"/>
  <c r="P448" i="5"/>
  <c r="N448" i="5"/>
  <c r="D448" i="5"/>
  <c r="O448" i="5" s="1"/>
  <c r="Q448" i="5" s="1"/>
  <c r="P447" i="5"/>
  <c r="N447" i="5"/>
  <c r="D447" i="5"/>
  <c r="O447" i="5" s="1"/>
  <c r="Q447" i="5" s="1"/>
  <c r="P446" i="5"/>
  <c r="N446" i="5"/>
  <c r="D446" i="5"/>
  <c r="O446" i="5" s="1"/>
  <c r="Q446" i="5" s="1"/>
  <c r="P445" i="5"/>
  <c r="N445" i="5"/>
  <c r="D445" i="5"/>
  <c r="O445" i="5" s="1"/>
  <c r="Q445" i="5" s="1"/>
  <c r="P444" i="5"/>
  <c r="N444" i="5"/>
  <c r="D444" i="5"/>
  <c r="O444" i="5" s="1"/>
  <c r="Q444" i="5" s="1"/>
  <c r="P443" i="5"/>
  <c r="N443" i="5"/>
  <c r="D443" i="5"/>
  <c r="O443" i="5" s="1"/>
  <c r="Q443" i="5" s="1"/>
  <c r="P442" i="5"/>
  <c r="N442" i="5"/>
  <c r="D442" i="5"/>
  <c r="O442" i="5" s="1"/>
  <c r="Q442" i="5" s="1"/>
  <c r="P441" i="5"/>
  <c r="N441" i="5"/>
  <c r="D441" i="5"/>
  <c r="O441" i="5" s="1"/>
  <c r="Q441" i="5" s="1"/>
  <c r="P440" i="5"/>
  <c r="N440" i="5"/>
  <c r="D440" i="5"/>
  <c r="O440" i="5" s="1"/>
  <c r="Q440" i="5" s="1"/>
  <c r="P439" i="5"/>
  <c r="N439" i="5"/>
  <c r="D439" i="5"/>
  <c r="O439" i="5" s="1"/>
  <c r="Q439" i="5" s="1"/>
  <c r="P438" i="5"/>
  <c r="N438" i="5"/>
  <c r="D438" i="5"/>
  <c r="O438" i="5" s="1"/>
  <c r="Q438" i="5" s="1"/>
  <c r="P437" i="5"/>
  <c r="N437" i="5"/>
  <c r="D437" i="5"/>
  <c r="O437" i="5" s="1"/>
  <c r="Q437" i="5" s="1"/>
  <c r="P436" i="5"/>
  <c r="N436" i="5"/>
  <c r="D436" i="5"/>
  <c r="O436" i="5" s="1"/>
  <c r="Q436" i="5" s="1"/>
  <c r="P435" i="5"/>
  <c r="N435" i="5"/>
  <c r="D435" i="5"/>
  <c r="O435" i="5" s="1"/>
  <c r="Q435" i="5" s="1"/>
  <c r="P434" i="5"/>
  <c r="N434" i="5"/>
  <c r="D434" i="5"/>
  <c r="O434" i="5" s="1"/>
  <c r="Q434" i="5" s="1"/>
  <c r="P433" i="5"/>
  <c r="N433" i="5"/>
  <c r="D433" i="5"/>
  <c r="O433" i="5" s="1"/>
  <c r="Q433" i="5" s="1"/>
  <c r="P432" i="5"/>
  <c r="N432" i="5"/>
  <c r="D432" i="5"/>
  <c r="O432" i="5" s="1"/>
  <c r="Q432" i="5" s="1"/>
  <c r="P431" i="5"/>
  <c r="N431" i="5"/>
  <c r="D431" i="5"/>
  <c r="O431" i="5" s="1"/>
  <c r="Q431" i="5" s="1"/>
  <c r="P430" i="5"/>
  <c r="N430" i="5"/>
  <c r="D430" i="5"/>
  <c r="O430" i="5" s="1"/>
  <c r="Q430" i="5" s="1"/>
  <c r="P429" i="5"/>
  <c r="N429" i="5"/>
  <c r="D429" i="5"/>
  <c r="O429" i="5" s="1"/>
  <c r="Q429" i="5" s="1"/>
  <c r="P428" i="5"/>
  <c r="N428" i="5"/>
  <c r="D428" i="5"/>
  <c r="O428" i="5" s="1"/>
  <c r="Q428" i="5" s="1"/>
  <c r="P427" i="5"/>
  <c r="N427" i="5"/>
  <c r="D427" i="5"/>
  <c r="O427" i="5" s="1"/>
  <c r="Q427" i="5" s="1"/>
  <c r="P426" i="5"/>
  <c r="N426" i="5"/>
  <c r="D426" i="5"/>
  <c r="P425" i="5"/>
  <c r="N425" i="5"/>
  <c r="D425" i="5"/>
  <c r="O425" i="5" s="1"/>
  <c r="Q425" i="5" s="1"/>
  <c r="P424" i="5"/>
  <c r="N424" i="5"/>
  <c r="D424" i="5"/>
  <c r="O424" i="5" s="1"/>
  <c r="Q424" i="5" s="1"/>
  <c r="P423" i="5"/>
  <c r="N423" i="5"/>
  <c r="D423" i="5"/>
  <c r="O423" i="5" s="1"/>
  <c r="Q423" i="5" s="1"/>
  <c r="P422" i="5"/>
  <c r="N422" i="5"/>
  <c r="D422" i="5"/>
  <c r="O422" i="5" s="1"/>
  <c r="Q422" i="5" s="1"/>
  <c r="P421" i="5"/>
  <c r="N421" i="5"/>
  <c r="D421" i="5"/>
  <c r="O421" i="5" s="1"/>
  <c r="Q421" i="5" s="1"/>
  <c r="P420" i="5"/>
  <c r="N420" i="5"/>
  <c r="D420" i="5"/>
  <c r="O420" i="5" s="1"/>
  <c r="Q420" i="5" s="1"/>
  <c r="P419" i="5"/>
  <c r="N419" i="5"/>
  <c r="D419" i="5"/>
  <c r="O419" i="5" s="1"/>
  <c r="Q419" i="5" s="1"/>
  <c r="P418" i="5"/>
  <c r="N418" i="5"/>
  <c r="D418" i="5"/>
  <c r="O418" i="5" s="1"/>
  <c r="Q418" i="5" s="1"/>
  <c r="P417" i="5"/>
  <c r="N417" i="5"/>
  <c r="D417" i="5"/>
  <c r="O417" i="5" s="1"/>
  <c r="Q417" i="5" s="1"/>
  <c r="P416" i="5"/>
  <c r="N416" i="5"/>
  <c r="D416" i="5"/>
  <c r="O416" i="5" s="1"/>
  <c r="Q416" i="5" s="1"/>
  <c r="P415" i="5"/>
  <c r="N415" i="5"/>
  <c r="D415" i="5"/>
  <c r="O415" i="5" s="1"/>
  <c r="Q415" i="5" s="1"/>
  <c r="P414" i="5"/>
  <c r="N414" i="5"/>
  <c r="D414" i="5"/>
  <c r="O414" i="5" s="1"/>
  <c r="Q414" i="5" s="1"/>
  <c r="P413" i="5"/>
  <c r="N413" i="5"/>
  <c r="D413" i="5"/>
  <c r="O413" i="5" s="1"/>
  <c r="Q413" i="5" s="1"/>
  <c r="P412" i="5"/>
  <c r="N412" i="5"/>
  <c r="D412" i="5"/>
  <c r="O412" i="5" s="1"/>
  <c r="Q412" i="5" s="1"/>
  <c r="P411" i="5"/>
  <c r="N411" i="5"/>
  <c r="D411" i="5"/>
  <c r="O411" i="5" s="1"/>
  <c r="Q411" i="5" s="1"/>
  <c r="P410" i="5"/>
  <c r="N410" i="5"/>
  <c r="D410" i="5"/>
  <c r="O410" i="5" s="1"/>
  <c r="Q410" i="5" s="1"/>
  <c r="P409" i="5"/>
  <c r="N409" i="5"/>
  <c r="D409" i="5"/>
  <c r="O409" i="5" s="1"/>
  <c r="Q409" i="5" s="1"/>
  <c r="P408" i="5"/>
  <c r="N408" i="5"/>
  <c r="D408" i="5"/>
  <c r="O408" i="5" s="1"/>
  <c r="Q408" i="5" s="1"/>
  <c r="P407" i="5"/>
  <c r="N407" i="5"/>
  <c r="D407" i="5"/>
  <c r="O407" i="5" s="1"/>
  <c r="Q407" i="5" s="1"/>
  <c r="P406" i="5"/>
  <c r="N406" i="5"/>
  <c r="D406" i="5"/>
  <c r="O406" i="5" s="1"/>
  <c r="Q406" i="5" s="1"/>
  <c r="P405" i="5"/>
  <c r="N405" i="5"/>
  <c r="D405" i="5"/>
  <c r="O405" i="5" s="1"/>
  <c r="Q405" i="5" s="1"/>
  <c r="P404" i="5"/>
  <c r="N404" i="5"/>
  <c r="D404" i="5"/>
  <c r="O404" i="5" s="1"/>
  <c r="Q404" i="5" s="1"/>
  <c r="P403" i="5"/>
  <c r="N403" i="5"/>
  <c r="D403" i="5"/>
  <c r="O403" i="5" s="1"/>
  <c r="Q403" i="5" s="1"/>
  <c r="P402" i="5"/>
  <c r="N402" i="5"/>
  <c r="D402" i="5"/>
  <c r="O402" i="5" s="1"/>
  <c r="Q402" i="5" s="1"/>
  <c r="P401" i="5"/>
  <c r="N401" i="5"/>
  <c r="D401" i="5"/>
  <c r="O401" i="5" s="1"/>
  <c r="Q401" i="5" s="1"/>
  <c r="P400" i="5"/>
  <c r="N400" i="5"/>
  <c r="D400" i="5"/>
  <c r="O400" i="5" s="1"/>
  <c r="Q400" i="5" s="1"/>
  <c r="P399" i="5"/>
  <c r="N399" i="5"/>
  <c r="D399" i="5"/>
  <c r="P398" i="5"/>
  <c r="N398" i="5"/>
  <c r="D398" i="5"/>
  <c r="O398" i="5" s="1"/>
  <c r="Q398" i="5" s="1"/>
  <c r="P397" i="5"/>
  <c r="N397" i="5"/>
  <c r="D397" i="5"/>
  <c r="O397" i="5" s="1"/>
  <c r="Q397" i="5" s="1"/>
  <c r="P396" i="5"/>
  <c r="N396" i="5"/>
  <c r="D396" i="5"/>
  <c r="O396" i="5" s="1"/>
  <c r="Q396" i="5" s="1"/>
  <c r="P395" i="5"/>
  <c r="N395" i="5"/>
  <c r="D395" i="5"/>
  <c r="O395" i="5" s="1"/>
  <c r="Q395" i="5" s="1"/>
  <c r="P394" i="5"/>
  <c r="N394" i="5"/>
  <c r="D394" i="5"/>
  <c r="O394" i="5" s="1"/>
  <c r="Q394" i="5" s="1"/>
  <c r="P393" i="5"/>
  <c r="N393" i="5"/>
  <c r="D393" i="5"/>
  <c r="O393" i="5" s="1"/>
  <c r="Q393" i="5" s="1"/>
  <c r="P392" i="5"/>
  <c r="N392" i="5"/>
  <c r="D392" i="5"/>
  <c r="O392" i="5" s="1"/>
  <c r="Q392" i="5" s="1"/>
  <c r="P391" i="5"/>
  <c r="N391" i="5"/>
  <c r="D391" i="5"/>
  <c r="O391" i="5" s="1"/>
  <c r="Q391" i="5" s="1"/>
  <c r="P390" i="5"/>
  <c r="N390" i="5"/>
  <c r="D390" i="5"/>
  <c r="O390" i="5" s="1"/>
  <c r="Q390" i="5" s="1"/>
  <c r="P389" i="5"/>
  <c r="N389" i="5"/>
  <c r="D389" i="5"/>
  <c r="O389" i="5" s="1"/>
  <c r="Q389" i="5" s="1"/>
  <c r="P388" i="5"/>
  <c r="N388" i="5"/>
  <c r="D388" i="5"/>
  <c r="O388" i="5" s="1"/>
  <c r="Q388" i="5" s="1"/>
  <c r="P387" i="5"/>
  <c r="N387" i="5"/>
  <c r="D387" i="5"/>
  <c r="O387" i="5" s="1"/>
  <c r="Q387" i="5" s="1"/>
  <c r="P386" i="5"/>
  <c r="N386" i="5"/>
  <c r="D386" i="5"/>
  <c r="O386" i="5" s="1"/>
  <c r="Q386" i="5" s="1"/>
  <c r="P385" i="5"/>
  <c r="N385" i="5"/>
  <c r="D385" i="5"/>
  <c r="O385" i="5" s="1"/>
  <c r="Q385" i="5" s="1"/>
  <c r="P384" i="5"/>
  <c r="N384" i="5"/>
  <c r="D384" i="5"/>
  <c r="O384" i="5" s="1"/>
  <c r="Q384" i="5" s="1"/>
  <c r="P383" i="5"/>
  <c r="N383" i="5"/>
  <c r="D383" i="5"/>
  <c r="O383" i="5" s="1"/>
  <c r="Q383" i="5" s="1"/>
  <c r="P382" i="5"/>
  <c r="N382" i="5"/>
  <c r="D382" i="5"/>
  <c r="O382" i="5" s="1"/>
  <c r="Q382" i="5" s="1"/>
  <c r="P381" i="5"/>
  <c r="N381" i="5"/>
  <c r="D381" i="5"/>
  <c r="O381" i="5" s="1"/>
  <c r="Q381" i="5" s="1"/>
  <c r="P380" i="5"/>
  <c r="N380" i="5"/>
  <c r="D380" i="5"/>
  <c r="O380" i="5" s="1"/>
  <c r="Q380" i="5" s="1"/>
  <c r="P379" i="5"/>
  <c r="N379" i="5"/>
  <c r="D379" i="5"/>
  <c r="O379" i="5" s="1"/>
  <c r="Q379" i="5" s="1"/>
  <c r="P378" i="5"/>
  <c r="N378" i="5"/>
  <c r="D378" i="5"/>
  <c r="O378" i="5" s="1"/>
  <c r="Q378" i="5" s="1"/>
  <c r="P377" i="5"/>
  <c r="N377" i="5"/>
  <c r="D377" i="5"/>
  <c r="O377" i="5" s="1"/>
  <c r="Q377" i="5" s="1"/>
  <c r="P376" i="5"/>
  <c r="N376" i="5"/>
  <c r="D376" i="5"/>
  <c r="O376" i="5" s="1"/>
  <c r="Q376" i="5" s="1"/>
  <c r="P375" i="5"/>
  <c r="N375" i="5"/>
  <c r="D375" i="5"/>
  <c r="O375" i="5" s="1"/>
  <c r="Q375" i="5" s="1"/>
  <c r="P374" i="5"/>
  <c r="N374" i="5"/>
  <c r="D374" i="5"/>
  <c r="O374" i="5" s="1"/>
  <c r="Q374" i="5" s="1"/>
  <c r="P373" i="5"/>
  <c r="N373" i="5"/>
  <c r="D373" i="5"/>
  <c r="O373" i="5" s="1"/>
  <c r="Q373" i="5" s="1"/>
  <c r="P372" i="5"/>
  <c r="N372" i="5"/>
  <c r="D372" i="5"/>
  <c r="O372" i="5" s="1"/>
  <c r="Q372" i="5" s="1"/>
  <c r="P371" i="5"/>
  <c r="N371" i="5"/>
  <c r="D371" i="5"/>
  <c r="O371" i="5" s="1"/>
  <c r="Q371" i="5" s="1"/>
  <c r="P370" i="5"/>
  <c r="N370" i="5"/>
  <c r="D370" i="5"/>
  <c r="O370" i="5" s="1"/>
  <c r="Q370" i="5" s="1"/>
  <c r="P369" i="5"/>
  <c r="N369" i="5"/>
  <c r="D369" i="5"/>
  <c r="O369" i="5" s="1"/>
  <c r="Q369" i="5" s="1"/>
  <c r="P368" i="5"/>
  <c r="N368" i="5"/>
  <c r="D368" i="5"/>
  <c r="O368" i="5" s="1"/>
  <c r="Q368" i="5" s="1"/>
  <c r="P367" i="5"/>
  <c r="N367" i="5"/>
  <c r="D367" i="5"/>
  <c r="O367" i="5" s="1"/>
  <c r="Q367" i="5" s="1"/>
  <c r="P366" i="5"/>
  <c r="N366" i="5"/>
  <c r="D366" i="5"/>
  <c r="O366" i="5" s="1"/>
  <c r="Q366" i="5" s="1"/>
  <c r="P365" i="5"/>
  <c r="N365" i="5"/>
  <c r="D365" i="5"/>
  <c r="O365" i="5" s="1"/>
  <c r="Q365" i="5" s="1"/>
  <c r="P364" i="5"/>
  <c r="N364" i="5"/>
  <c r="D364" i="5"/>
  <c r="O364" i="5" s="1"/>
  <c r="Q364" i="5" s="1"/>
  <c r="P363" i="5"/>
  <c r="N363" i="5"/>
  <c r="D363" i="5"/>
  <c r="O363" i="5" s="1"/>
  <c r="Q363" i="5" s="1"/>
  <c r="P362" i="5"/>
  <c r="N362" i="5"/>
  <c r="D362" i="5"/>
  <c r="O362" i="5" s="1"/>
  <c r="Q362" i="5" s="1"/>
  <c r="P361" i="5"/>
  <c r="N361" i="5"/>
  <c r="D361" i="5"/>
  <c r="O361" i="5" s="1"/>
  <c r="Q361" i="5" s="1"/>
  <c r="P360" i="5"/>
  <c r="N360" i="5"/>
  <c r="D360" i="5"/>
  <c r="O360" i="5" s="1"/>
  <c r="Q360" i="5" s="1"/>
  <c r="P359" i="5"/>
  <c r="N359" i="5"/>
  <c r="D359" i="5"/>
  <c r="O359" i="5" s="1"/>
  <c r="Q359" i="5" s="1"/>
  <c r="P358" i="5"/>
  <c r="N358" i="5"/>
  <c r="D358" i="5"/>
  <c r="O358" i="5" s="1"/>
  <c r="Q358" i="5" s="1"/>
  <c r="P357" i="5"/>
  <c r="N357" i="5"/>
  <c r="D357" i="5"/>
  <c r="O357" i="5" s="1"/>
  <c r="Q357" i="5" s="1"/>
  <c r="P356" i="5"/>
  <c r="N356" i="5"/>
  <c r="D356" i="5"/>
  <c r="O356" i="5" s="1"/>
  <c r="Q356" i="5" s="1"/>
  <c r="P355" i="5"/>
  <c r="N355" i="5"/>
  <c r="D355" i="5"/>
  <c r="O355" i="5" s="1"/>
  <c r="Q355" i="5" s="1"/>
  <c r="P354" i="5"/>
  <c r="N354" i="5"/>
  <c r="D354" i="5"/>
  <c r="O354" i="5" s="1"/>
  <c r="Q354" i="5" s="1"/>
  <c r="P353" i="5"/>
  <c r="N353" i="5"/>
  <c r="D353" i="5"/>
  <c r="O353" i="5" s="1"/>
  <c r="Q353" i="5" s="1"/>
  <c r="P352" i="5"/>
  <c r="N352" i="5"/>
  <c r="D352" i="5"/>
  <c r="O352" i="5" s="1"/>
  <c r="Q352" i="5" s="1"/>
  <c r="P351" i="5"/>
  <c r="N351" i="5"/>
  <c r="D351" i="5"/>
  <c r="P350" i="5"/>
  <c r="N350" i="5"/>
  <c r="D350" i="5"/>
  <c r="O350" i="5" s="1"/>
  <c r="Q350" i="5" s="1"/>
  <c r="P349" i="5"/>
  <c r="N349" i="5"/>
  <c r="D349" i="5"/>
  <c r="O349" i="5" s="1"/>
  <c r="Q349" i="5" s="1"/>
  <c r="P348" i="5"/>
  <c r="N348" i="5"/>
  <c r="D348" i="5"/>
  <c r="O348" i="5" s="1"/>
  <c r="Q348" i="5" s="1"/>
  <c r="P347" i="5"/>
  <c r="N347" i="5"/>
  <c r="D347" i="5"/>
  <c r="O347" i="5" s="1"/>
  <c r="Q347" i="5" s="1"/>
  <c r="P346" i="5"/>
  <c r="N346" i="5"/>
  <c r="D346" i="5"/>
  <c r="O346" i="5" s="1"/>
  <c r="Q346" i="5" s="1"/>
  <c r="P345" i="5"/>
  <c r="N345" i="5"/>
  <c r="D345" i="5"/>
  <c r="O345" i="5" s="1"/>
  <c r="Q345" i="5" s="1"/>
  <c r="P344" i="5"/>
  <c r="N344" i="5"/>
  <c r="D344" i="5"/>
  <c r="O344" i="5" s="1"/>
  <c r="Q344" i="5" s="1"/>
  <c r="P343" i="5"/>
  <c r="N343" i="5"/>
  <c r="D343" i="5"/>
  <c r="O343" i="5" s="1"/>
  <c r="Q343" i="5" s="1"/>
  <c r="P342" i="5"/>
  <c r="N342" i="5"/>
  <c r="D342" i="5"/>
  <c r="O342" i="5" s="1"/>
  <c r="Q342" i="5" s="1"/>
  <c r="P341" i="5"/>
  <c r="N341" i="5"/>
  <c r="D341" i="5"/>
  <c r="O341" i="5" s="1"/>
  <c r="Q341" i="5" s="1"/>
  <c r="P340" i="5"/>
  <c r="N340" i="5"/>
  <c r="D340" i="5"/>
  <c r="O340" i="5" s="1"/>
  <c r="Q340" i="5" s="1"/>
  <c r="P339" i="5"/>
  <c r="N339" i="5"/>
  <c r="D339" i="5"/>
  <c r="O339" i="5" s="1"/>
  <c r="Q339" i="5" s="1"/>
  <c r="P338" i="5"/>
  <c r="N338" i="5"/>
  <c r="D338" i="5"/>
  <c r="O338" i="5" s="1"/>
  <c r="Q338" i="5" s="1"/>
  <c r="P337" i="5"/>
  <c r="N337" i="5"/>
  <c r="D337" i="5"/>
  <c r="O337" i="5" s="1"/>
  <c r="Q337" i="5" s="1"/>
  <c r="P336" i="5"/>
  <c r="N336" i="5"/>
  <c r="D336" i="5"/>
  <c r="O336" i="5" s="1"/>
  <c r="Q336" i="5" s="1"/>
  <c r="P335" i="5"/>
  <c r="N335" i="5"/>
  <c r="D335" i="5"/>
  <c r="O335" i="5" s="1"/>
  <c r="Q335" i="5" s="1"/>
  <c r="P334" i="5"/>
  <c r="N334" i="5"/>
  <c r="D334" i="5"/>
  <c r="O334" i="5" s="1"/>
  <c r="Q334" i="5" s="1"/>
  <c r="P333" i="5"/>
  <c r="N333" i="5"/>
  <c r="D333" i="5"/>
  <c r="O333" i="5" s="1"/>
  <c r="Q333" i="5" s="1"/>
  <c r="P332" i="5"/>
  <c r="N332" i="5"/>
  <c r="D332" i="5"/>
  <c r="O332" i="5" s="1"/>
  <c r="Q332" i="5" s="1"/>
  <c r="Q331" i="5"/>
  <c r="P331" i="5"/>
  <c r="N331" i="5"/>
  <c r="D331" i="5"/>
  <c r="Q330" i="5"/>
  <c r="P330" i="5"/>
  <c r="N330" i="5"/>
  <c r="D330" i="5"/>
  <c r="P329" i="5"/>
  <c r="N329" i="5"/>
  <c r="D329" i="5"/>
  <c r="O329" i="5" s="1"/>
  <c r="Q329" i="5" s="1"/>
  <c r="P328" i="5"/>
  <c r="N328" i="5"/>
  <c r="D328" i="5"/>
  <c r="O328" i="5" s="1"/>
  <c r="Q328" i="5" s="1"/>
  <c r="P327" i="5"/>
  <c r="N327" i="5"/>
  <c r="D327" i="5"/>
  <c r="O327" i="5" s="1"/>
  <c r="Q327" i="5" s="1"/>
  <c r="P326" i="5"/>
  <c r="N326" i="5"/>
  <c r="D326" i="5"/>
  <c r="O326" i="5" s="1"/>
  <c r="Q326" i="5" s="1"/>
  <c r="P325" i="5"/>
  <c r="N325" i="5"/>
  <c r="D325" i="5"/>
  <c r="O325" i="5" s="1"/>
  <c r="Q325" i="5" s="1"/>
  <c r="P324" i="5"/>
  <c r="N324" i="5"/>
  <c r="D324" i="5"/>
  <c r="O324" i="5" s="1"/>
  <c r="Q324" i="5" s="1"/>
  <c r="P323" i="5"/>
  <c r="N323" i="5"/>
  <c r="D323" i="5"/>
  <c r="O323" i="5" s="1"/>
  <c r="Q323" i="5" s="1"/>
  <c r="P322" i="5"/>
  <c r="N322" i="5"/>
  <c r="D322" i="5"/>
  <c r="O322" i="5" s="1"/>
  <c r="Q322" i="5" s="1"/>
  <c r="P321" i="5"/>
  <c r="N321" i="5"/>
  <c r="D321" i="5"/>
  <c r="O321" i="5" s="1"/>
  <c r="Q321" i="5" s="1"/>
  <c r="P320" i="5"/>
  <c r="N320" i="5"/>
  <c r="D320" i="5"/>
  <c r="O320" i="5" s="1"/>
  <c r="Q320" i="5" s="1"/>
  <c r="P319" i="5"/>
  <c r="N319" i="5"/>
  <c r="D319" i="5"/>
  <c r="O319" i="5" s="1"/>
  <c r="Q319" i="5" s="1"/>
  <c r="P318" i="5"/>
  <c r="N318" i="5"/>
  <c r="D318" i="5"/>
  <c r="O318" i="5" s="1"/>
  <c r="Q318" i="5" s="1"/>
  <c r="P317" i="5"/>
  <c r="N317" i="5"/>
  <c r="D317" i="5"/>
  <c r="O317" i="5" s="1"/>
  <c r="Q317" i="5" s="1"/>
  <c r="P316" i="5"/>
  <c r="N316" i="5"/>
  <c r="D316" i="5"/>
  <c r="O316" i="5" s="1"/>
  <c r="Q316" i="5" s="1"/>
  <c r="P315" i="5"/>
  <c r="N315" i="5"/>
  <c r="D315" i="5"/>
  <c r="O315" i="5" s="1"/>
  <c r="Q315" i="5" s="1"/>
  <c r="P314" i="5"/>
  <c r="N314" i="5"/>
  <c r="D314" i="5"/>
  <c r="O314" i="5" s="1"/>
  <c r="Q314" i="5" s="1"/>
  <c r="P313" i="5"/>
  <c r="N313" i="5"/>
  <c r="D313" i="5"/>
  <c r="O313" i="5" s="1"/>
  <c r="Q313" i="5" s="1"/>
  <c r="P312" i="5"/>
  <c r="N312" i="5"/>
  <c r="D312" i="5"/>
  <c r="O312" i="5" s="1"/>
  <c r="Q312" i="5" s="1"/>
  <c r="P311" i="5"/>
  <c r="N311" i="5"/>
  <c r="D311" i="5"/>
  <c r="O311" i="5" s="1"/>
  <c r="Q311" i="5" s="1"/>
  <c r="P310" i="5"/>
  <c r="N310" i="5"/>
  <c r="D310" i="5"/>
  <c r="O310" i="5" s="1"/>
  <c r="Q310" i="5" s="1"/>
  <c r="P309" i="5"/>
  <c r="N309" i="5"/>
  <c r="D309" i="5"/>
  <c r="O309" i="5" s="1"/>
  <c r="Q309" i="5" s="1"/>
  <c r="P308" i="5"/>
  <c r="N308" i="5"/>
  <c r="D308" i="5"/>
  <c r="O308" i="5" s="1"/>
  <c r="Q308" i="5" s="1"/>
  <c r="P307" i="5"/>
  <c r="N307" i="5"/>
  <c r="D307" i="5"/>
  <c r="O307" i="5" s="1"/>
  <c r="Q307" i="5" s="1"/>
  <c r="P306" i="5"/>
  <c r="N306" i="5"/>
  <c r="D306" i="5"/>
  <c r="O306" i="5" s="1"/>
  <c r="Q306" i="5" s="1"/>
  <c r="P305" i="5"/>
  <c r="N305" i="5"/>
  <c r="D305" i="5"/>
  <c r="O305" i="5" s="1"/>
  <c r="Q305" i="5" s="1"/>
  <c r="P304" i="5"/>
  <c r="N304" i="5"/>
  <c r="D304" i="5"/>
  <c r="O304" i="5" s="1"/>
  <c r="Q304" i="5" s="1"/>
  <c r="P303" i="5"/>
  <c r="N303" i="5"/>
  <c r="D303" i="5"/>
  <c r="O303" i="5" s="1"/>
  <c r="Q303" i="5" s="1"/>
  <c r="P302" i="5"/>
  <c r="N302" i="5"/>
  <c r="D302" i="5"/>
  <c r="O302" i="5" s="1"/>
  <c r="Q302" i="5" s="1"/>
  <c r="P301" i="5"/>
  <c r="N301" i="5"/>
  <c r="D301" i="5"/>
  <c r="O301" i="5" s="1"/>
  <c r="Q301" i="5" s="1"/>
  <c r="P300" i="5"/>
  <c r="N300" i="5"/>
  <c r="D300" i="5"/>
  <c r="O300" i="5" s="1"/>
  <c r="Q300" i="5" s="1"/>
  <c r="P299" i="5"/>
  <c r="N299" i="5"/>
  <c r="D299" i="5"/>
  <c r="O299" i="5" s="1"/>
  <c r="Q299" i="5" s="1"/>
  <c r="P298" i="5"/>
  <c r="N298" i="5"/>
  <c r="D298" i="5"/>
  <c r="O298" i="5" s="1"/>
  <c r="Q298" i="5" s="1"/>
  <c r="P297" i="5"/>
  <c r="N297" i="5"/>
  <c r="D297" i="5"/>
  <c r="O297" i="5" s="1"/>
  <c r="Q297" i="5" s="1"/>
  <c r="P296" i="5"/>
  <c r="N296" i="5"/>
  <c r="D296" i="5"/>
  <c r="O296" i="5" s="1"/>
  <c r="Q296" i="5" s="1"/>
  <c r="P295" i="5"/>
  <c r="N295" i="5"/>
  <c r="D295" i="5"/>
  <c r="O295" i="5" s="1"/>
  <c r="Q295" i="5" s="1"/>
  <c r="P294" i="5"/>
  <c r="N294" i="5"/>
  <c r="D294" i="5"/>
  <c r="O294" i="5" s="1"/>
  <c r="Q294" i="5" s="1"/>
  <c r="P293" i="5"/>
  <c r="N293" i="5"/>
  <c r="D293" i="5"/>
  <c r="O293" i="5" s="1"/>
  <c r="Q293" i="5" s="1"/>
  <c r="P292" i="5"/>
  <c r="N292" i="5"/>
  <c r="D292" i="5"/>
  <c r="O292" i="5" s="1"/>
  <c r="Q292" i="5" s="1"/>
  <c r="P291" i="5"/>
  <c r="N291" i="5"/>
  <c r="D291" i="5"/>
  <c r="O291" i="5" s="1"/>
  <c r="Q291" i="5" s="1"/>
  <c r="P290" i="5"/>
  <c r="N290" i="5"/>
  <c r="D290" i="5"/>
  <c r="O290" i="5" s="1"/>
  <c r="Q290" i="5" s="1"/>
  <c r="P289" i="5"/>
  <c r="N289" i="5"/>
  <c r="D289" i="5"/>
  <c r="O289" i="5" s="1"/>
  <c r="Q289" i="5" s="1"/>
  <c r="P288" i="5"/>
  <c r="N288" i="5"/>
  <c r="D288" i="5"/>
  <c r="O288" i="5" s="1"/>
  <c r="Q288" i="5" s="1"/>
  <c r="P287" i="5"/>
  <c r="N287" i="5"/>
  <c r="D287" i="5"/>
  <c r="O287" i="5" s="1"/>
  <c r="Q287" i="5" s="1"/>
  <c r="P286" i="5"/>
  <c r="N286" i="5"/>
  <c r="D286" i="5"/>
  <c r="O286" i="5" s="1"/>
  <c r="Q286" i="5" s="1"/>
  <c r="P285" i="5"/>
  <c r="N285" i="5"/>
  <c r="D285" i="5"/>
  <c r="O285" i="5" s="1"/>
  <c r="Q285" i="5" s="1"/>
  <c r="P284" i="5"/>
  <c r="N284" i="5"/>
  <c r="D284" i="5"/>
  <c r="O284" i="5" s="1"/>
  <c r="Q284" i="5" s="1"/>
  <c r="P283" i="5"/>
  <c r="N283" i="5"/>
  <c r="D283" i="5"/>
  <c r="O283" i="5" s="1"/>
  <c r="Q283" i="5" s="1"/>
  <c r="P282" i="5"/>
  <c r="N282" i="5"/>
  <c r="D282" i="5"/>
  <c r="O282" i="5" s="1"/>
  <c r="Q282" i="5" s="1"/>
  <c r="P281" i="5"/>
  <c r="N281" i="5"/>
  <c r="D281" i="5"/>
  <c r="O281" i="5" s="1"/>
  <c r="Q281" i="5" s="1"/>
  <c r="P280" i="5"/>
  <c r="N280" i="5"/>
  <c r="D280" i="5"/>
  <c r="O280" i="5" s="1"/>
  <c r="Q280" i="5" s="1"/>
  <c r="P279" i="5"/>
  <c r="N279" i="5"/>
  <c r="D279" i="5"/>
  <c r="O279" i="5" s="1"/>
  <c r="Q279" i="5" s="1"/>
  <c r="P278" i="5"/>
  <c r="N278" i="5"/>
  <c r="D278" i="5"/>
  <c r="O278" i="5" s="1"/>
  <c r="Q278" i="5" s="1"/>
  <c r="P277" i="5"/>
  <c r="N277" i="5"/>
  <c r="D277" i="5"/>
  <c r="O277" i="5" s="1"/>
  <c r="Q277" i="5" s="1"/>
  <c r="P276" i="5"/>
  <c r="N276" i="5"/>
  <c r="D276" i="5"/>
  <c r="O276" i="5" s="1"/>
  <c r="Q276" i="5" s="1"/>
  <c r="P275" i="5"/>
  <c r="N275" i="5"/>
  <c r="D275" i="5"/>
  <c r="O275" i="5" s="1"/>
  <c r="Q275" i="5" s="1"/>
  <c r="P274" i="5"/>
  <c r="N274" i="5"/>
  <c r="D274" i="5"/>
  <c r="O274" i="5" s="1"/>
  <c r="Q274" i="5" s="1"/>
  <c r="P273" i="5"/>
  <c r="N273" i="5"/>
  <c r="D273" i="5"/>
  <c r="O273" i="5" s="1"/>
  <c r="Q273" i="5" s="1"/>
  <c r="P272" i="5"/>
  <c r="N272" i="5"/>
  <c r="D272" i="5"/>
  <c r="O272" i="5" s="1"/>
  <c r="Q272" i="5" s="1"/>
  <c r="P271" i="5"/>
  <c r="N271" i="5"/>
  <c r="D271" i="5"/>
  <c r="O271" i="5" s="1"/>
  <c r="Q271" i="5" s="1"/>
  <c r="P270" i="5"/>
  <c r="N270" i="5"/>
  <c r="D270" i="5"/>
  <c r="O270" i="5" s="1"/>
  <c r="Q270" i="5" s="1"/>
  <c r="P269" i="5"/>
  <c r="N269" i="5"/>
  <c r="D269" i="5"/>
  <c r="O269" i="5" s="1"/>
  <c r="Q269" i="5" s="1"/>
  <c r="P268" i="5"/>
  <c r="N268" i="5"/>
  <c r="D268" i="5"/>
  <c r="O268" i="5" s="1"/>
  <c r="Q268" i="5" s="1"/>
  <c r="P267" i="5"/>
  <c r="N267" i="5"/>
  <c r="D267" i="5"/>
  <c r="O267" i="5" s="1"/>
  <c r="Q267" i="5" s="1"/>
  <c r="P266" i="5"/>
  <c r="N266" i="5"/>
  <c r="D266" i="5"/>
  <c r="O266" i="5" s="1"/>
  <c r="Q266" i="5" s="1"/>
  <c r="P265" i="5"/>
  <c r="N265" i="5"/>
  <c r="D265" i="5"/>
  <c r="O265" i="5" s="1"/>
  <c r="Q265" i="5" s="1"/>
  <c r="P264" i="5"/>
  <c r="N264" i="5"/>
  <c r="D264" i="5"/>
  <c r="O264" i="5" s="1"/>
  <c r="Q264" i="5" s="1"/>
  <c r="P263" i="5"/>
  <c r="N263" i="5"/>
  <c r="D263" i="5"/>
  <c r="O263" i="5" s="1"/>
  <c r="Q263" i="5" s="1"/>
  <c r="P262" i="5"/>
  <c r="N262" i="5"/>
  <c r="D262" i="5"/>
  <c r="O262" i="5" s="1"/>
  <c r="Q262" i="5" s="1"/>
  <c r="P261" i="5"/>
  <c r="N261" i="5"/>
  <c r="D261" i="5"/>
  <c r="P260" i="5"/>
  <c r="N260" i="5"/>
  <c r="D260" i="5"/>
  <c r="O260" i="5" s="1"/>
  <c r="Q260" i="5" s="1"/>
  <c r="P259" i="5"/>
  <c r="N259" i="5"/>
  <c r="D259" i="5"/>
  <c r="O259" i="5" s="1"/>
  <c r="Q259" i="5" s="1"/>
  <c r="P258" i="5"/>
  <c r="N258" i="5"/>
  <c r="D258" i="5"/>
  <c r="O258" i="5" s="1"/>
  <c r="Q258" i="5" s="1"/>
  <c r="P257" i="5"/>
  <c r="N257" i="5"/>
  <c r="D257" i="5"/>
  <c r="O257" i="5" s="1"/>
  <c r="Q257" i="5" s="1"/>
  <c r="P256" i="5"/>
  <c r="N256" i="5"/>
  <c r="D256" i="5"/>
  <c r="O256" i="5" s="1"/>
  <c r="Q256" i="5" s="1"/>
  <c r="P255" i="5"/>
  <c r="N255" i="5"/>
  <c r="D255" i="5"/>
  <c r="O255" i="5" s="1"/>
  <c r="Q255" i="5" s="1"/>
  <c r="P254" i="5"/>
  <c r="N254" i="5"/>
  <c r="D254" i="5"/>
  <c r="O254" i="5" s="1"/>
  <c r="Q254" i="5" s="1"/>
  <c r="P253" i="5"/>
  <c r="N253" i="5"/>
  <c r="D253" i="5"/>
  <c r="O253" i="5" s="1"/>
  <c r="Q253" i="5" s="1"/>
  <c r="P252" i="5"/>
  <c r="N252" i="5"/>
  <c r="D252" i="5"/>
  <c r="O252" i="5" s="1"/>
  <c r="Q252" i="5" s="1"/>
  <c r="P251" i="5"/>
  <c r="N251" i="5"/>
  <c r="D251" i="5"/>
  <c r="O251" i="5" s="1"/>
  <c r="Q251" i="5" s="1"/>
  <c r="P250" i="5"/>
  <c r="N250" i="5"/>
  <c r="D250" i="5"/>
  <c r="O250" i="5" s="1"/>
  <c r="Q250" i="5" s="1"/>
  <c r="P249" i="5"/>
  <c r="N249" i="5"/>
  <c r="D249" i="5"/>
  <c r="O249" i="5" s="1"/>
  <c r="Q249" i="5" s="1"/>
  <c r="P248" i="5"/>
  <c r="N248" i="5"/>
  <c r="D248" i="5"/>
  <c r="O248" i="5" s="1"/>
  <c r="Q248" i="5" s="1"/>
  <c r="P247" i="5"/>
  <c r="N247" i="5"/>
  <c r="D247" i="5"/>
  <c r="O247" i="5" s="1"/>
  <c r="Q247" i="5" s="1"/>
  <c r="P246" i="5"/>
  <c r="N246" i="5"/>
  <c r="D246" i="5"/>
  <c r="O246" i="5" s="1"/>
  <c r="Q246" i="5" s="1"/>
  <c r="P245" i="5"/>
  <c r="N245" i="5"/>
  <c r="D245" i="5"/>
  <c r="O245" i="5" s="1"/>
  <c r="Q245" i="5" s="1"/>
  <c r="P244" i="5"/>
  <c r="N244" i="5"/>
  <c r="D244" i="5"/>
  <c r="O244" i="5" s="1"/>
  <c r="Q244" i="5" s="1"/>
  <c r="P243" i="5"/>
  <c r="N243" i="5"/>
  <c r="D243" i="5"/>
  <c r="O243" i="5" s="1"/>
  <c r="Q243" i="5" s="1"/>
  <c r="P242" i="5"/>
  <c r="N242" i="5"/>
  <c r="D242" i="5"/>
  <c r="O242" i="5" s="1"/>
  <c r="Q242" i="5" s="1"/>
  <c r="P241" i="5"/>
  <c r="N241" i="5"/>
  <c r="D241" i="5"/>
  <c r="O241" i="5" s="1"/>
  <c r="Q241" i="5" s="1"/>
  <c r="P240" i="5"/>
  <c r="N240" i="5"/>
  <c r="D240" i="5"/>
  <c r="O240" i="5" s="1"/>
  <c r="Q240" i="5" s="1"/>
  <c r="P239" i="5"/>
  <c r="N239" i="5"/>
  <c r="D239" i="5"/>
  <c r="O239" i="5" s="1"/>
  <c r="Q239" i="5" s="1"/>
  <c r="P238" i="5"/>
  <c r="N238" i="5"/>
  <c r="D238" i="5"/>
  <c r="O238" i="5" s="1"/>
  <c r="Q238" i="5" s="1"/>
  <c r="P237" i="5"/>
  <c r="N237" i="5"/>
  <c r="D237" i="5"/>
  <c r="O237" i="5" s="1"/>
  <c r="Q237" i="5" s="1"/>
  <c r="P236" i="5"/>
  <c r="N236" i="5"/>
  <c r="D236" i="5"/>
  <c r="O236" i="5" s="1"/>
  <c r="Q236" i="5" s="1"/>
  <c r="P235" i="5"/>
  <c r="N235" i="5"/>
  <c r="D235" i="5"/>
  <c r="O235" i="5" s="1"/>
  <c r="Q235" i="5" s="1"/>
  <c r="P234" i="5"/>
  <c r="N234" i="5"/>
  <c r="D234" i="5"/>
  <c r="O234" i="5" s="1"/>
  <c r="Q234" i="5" s="1"/>
  <c r="P233" i="5"/>
  <c r="N233" i="5"/>
  <c r="D233" i="5"/>
  <c r="O233" i="5" s="1"/>
  <c r="Q233" i="5" s="1"/>
  <c r="P232" i="5"/>
  <c r="N232" i="5"/>
  <c r="D232" i="5"/>
  <c r="O232" i="5" s="1"/>
  <c r="Q232" i="5" s="1"/>
  <c r="P231" i="5"/>
  <c r="N231" i="5"/>
  <c r="D231" i="5"/>
  <c r="O231" i="5" s="1"/>
  <c r="Q231" i="5" s="1"/>
  <c r="P230" i="5"/>
  <c r="N230" i="5"/>
  <c r="D230" i="5"/>
  <c r="O230" i="5" s="1"/>
  <c r="Q230" i="5" s="1"/>
  <c r="P229" i="5"/>
  <c r="N229" i="5"/>
  <c r="D229" i="5"/>
  <c r="O229" i="5" s="1"/>
  <c r="Q229" i="5" s="1"/>
  <c r="P228" i="5"/>
  <c r="N228" i="5"/>
  <c r="D228" i="5"/>
  <c r="O228" i="5" s="1"/>
  <c r="Q228" i="5" s="1"/>
  <c r="P227" i="5"/>
  <c r="N227" i="5"/>
  <c r="D227" i="5"/>
  <c r="O227" i="5" s="1"/>
  <c r="Q227" i="5" s="1"/>
  <c r="P226" i="5"/>
  <c r="N226" i="5"/>
  <c r="D226" i="5"/>
  <c r="O226" i="5" s="1"/>
  <c r="Q226" i="5" s="1"/>
  <c r="P225" i="5"/>
  <c r="N225" i="5"/>
  <c r="D225" i="5"/>
  <c r="O225" i="5" s="1"/>
  <c r="Q225" i="5" s="1"/>
  <c r="P224" i="5"/>
  <c r="N224" i="5"/>
  <c r="D224" i="5"/>
  <c r="O224" i="5" s="1"/>
  <c r="Q224" i="5" s="1"/>
  <c r="P223" i="5"/>
  <c r="N223" i="5"/>
  <c r="D223" i="5"/>
  <c r="O223" i="5" s="1"/>
  <c r="Q223" i="5" s="1"/>
  <c r="P222" i="5"/>
  <c r="N222" i="5"/>
  <c r="D222" i="5"/>
  <c r="O222" i="5" s="1"/>
  <c r="Q222" i="5" s="1"/>
  <c r="P221" i="5"/>
  <c r="N221" i="5"/>
  <c r="D221" i="5"/>
  <c r="O221" i="5" s="1"/>
  <c r="Q221" i="5" s="1"/>
  <c r="P220" i="5"/>
  <c r="N220" i="5"/>
  <c r="D220" i="5"/>
  <c r="O220" i="5" s="1"/>
  <c r="Q220" i="5" s="1"/>
  <c r="P219" i="5"/>
  <c r="N219" i="5"/>
  <c r="D219" i="5"/>
  <c r="O219" i="5" s="1"/>
  <c r="Q219" i="5" s="1"/>
  <c r="P218" i="5"/>
  <c r="N218" i="5"/>
  <c r="D218" i="5"/>
  <c r="O218" i="5" s="1"/>
  <c r="Q218" i="5" s="1"/>
  <c r="P217" i="5"/>
  <c r="N217" i="5"/>
  <c r="D217" i="5"/>
  <c r="O217" i="5" s="1"/>
  <c r="Q217" i="5" s="1"/>
  <c r="P216" i="5"/>
  <c r="N216" i="5"/>
  <c r="D216" i="5"/>
  <c r="O216" i="5" s="1"/>
  <c r="Q216" i="5" s="1"/>
  <c r="P215" i="5"/>
  <c r="N215" i="5"/>
  <c r="D215" i="5"/>
  <c r="O215" i="5" s="1"/>
  <c r="Q215" i="5" s="1"/>
  <c r="P214" i="5"/>
  <c r="N214" i="5"/>
  <c r="D214" i="5"/>
  <c r="O214" i="5" s="1"/>
  <c r="Q214" i="5" s="1"/>
  <c r="P213" i="5"/>
  <c r="N213" i="5"/>
  <c r="D213" i="5"/>
  <c r="O213" i="5" s="1"/>
  <c r="Q213" i="5" s="1"/>
  <c r="P212" i="5"/>
  <c r="N212" i="5"/>
  <c r="D212" i="5"/>
  <c r="O212" i="5" s="1"/>
  <c r="Q212" i="5" s="1"/>
  <c r="P211" i="5"/>
  <c r="N211" i="5"/>
  <c r="D211" i="5"/>
  <c r="O211" i="5" s="1"/>
  <c r="Q211" i="5" s="1"/>
  <c r="P210" i="5"/>
  <c r="N210" i="5"/>
  <c r="D210" i="5"/>
  <c r="O210" i="5" s="1"/>
  <c r="Q210" i="5" s="1"/>
  <c r="P209" i="5"/>
  <c r="N209" i="5"/>
  <c r="D209" i="5"/>
  <c r="O209" i="5" s="1"/>
  <c r="Q209" i="5" s="1"/>
  <c r="P208" i="5"/>
  <c r="N208" i="5"/>
  <c r="D208" i="5"/>
  <c r="O208" i="5" s="1"/>
  <c r="Q208" i="5" s="1"/>
  <c r="P207" i="5"/>
  <c r="N207" i="5"/>
  <c r="D207" i="5"/>
  <c r="O207" i="5" s="1"/>
  <c r="Q207" i="5" s="1"/>
  <c r="P206" i="5"/>
  <c r="N206" i="5"/>
  <c r="D206" i="5"/>
  <c r="O206" i="5" s="1"/>
  <c r="Q206" i="5" s="1"/>
  <c r="P205" i="5"/>
  <c r="N205" i="5"/>
  <c r="D205" i="5"/>
  <c r="O205" i="5" s="1"/>
  <c r="Q205" i="5" s="1"/>
  <c r="P204" i="5"/>
  <c r="N204" i="5"/>
  <c r="D204" i="5"/>
  <c r="O204" i="5" s="1"/>
  <c r="Q204" i="5" s="1"/>
  <c r="P203" i="5"/>
  <c r="N203" i="5"/>
  <c r="D203" i="5"/>
  <c r="O203" i="5" s="1"/>
  <c r="Q203" i="5" s="1"/>
  <c r="P202" i="5"/>
  <c r="N202" i="5"/>
  <c r="D202" i="5"/>
  <c r="O202" i="5" s="1"/>
  <c r="Q202" i="5" s="1"/>
  <c r="P201" i="5"/>
  <c r="N201" i="5"/>
  <c r="D201" i="5"/>
  <c r="O201" i="5" s="1"/>
  <c r="Q201" i="5" s="1"/>
  <c r="P200" i="5"/>
  <c r="N200" i="5"/>
  <c r="D200" i="5"/>
  <c r="O200" i="5" s="1"/>
  <c r="Q200" i="5" s="1"/>
  <c r="P199" i="5"/>
  <c r="N199" i="5"/>
  <c r="D199" i="5"/>
  <c r="O199" i="5" s="1"/>
  <c r="Q199" i="5" s="1"/>
  <c r="P198" i="5"/>
  <c r="N198" i="5"/>
  <c r="D198" i="5"/>
  <c r="O198" i="5" s="1"/>
  <c r="Q198" i="5" s="1"/>
  <c r="P197" i="5"/>
  <c r="N197" i="5"/>
  <c r="D197" i="5"/>
  <c r="O197" i="5" s="1"/>
  <c r="Q197" i="5" s="1"/>
  <c r="P196" i="5"/>
  <c r="N196" i="5"/>
  <c r="D196" i="5"/>
  <c r="O196" i="5" s="1"/>
  <c r="Q196" i="5" s="1"/>
  <c r="P195" i="5"/>
  <c r="N195" i="5"/>
  <c r="D195" i="5"/>
  <c r="O195" i="5" s="1"/>
  <c r="Q195" i="5" s="1"/>
  <c r="P194" i="5"/>
  <c r="N194" i="5"/>
  <c r="D194" i="5"/>
  <c r="O194" i="5" s="1"/>
  <c r="Q194" i="5" s="1"/>
  <c r="P193" i="5"/>
  <c r="N193" i="5"/>
  <c r="D193" i="5"/>
  <c r="O193" i="5" s="1"/>
  <c r="Q193" i="5" s="1"/>
  <c r="P192" i="5"/>
  <c r="N192" i="5"/>
  <c r="D192" i="5"/>
  <c r="O192" i="5" s="1"/>
  <c r="Q192" i="5" s="1"/>
  <c r="P191" i="5"/>
  <c r="N191" i="5"/>
  <c r="D191" i="5"/>
  <c r="O191" i="5" s="1"/>
  <c r="Q191" i="5" s="1"/>
  <c r="P190" i="5"/>
  <c r="N190" i="5"/>
  <c r="D190" i="5"/>
  <c r="O190" i="5" s="1"/>
  <c r="Q190" i="5" s="1"/>
  <c r="P189" i="5"/>
  <c r="N189" i="5"/>
  <c r="D189" i="5"/>
  <c r="P188" i="5"/>
  <c r="N188" i="5"/>
  <c r="D188" i="5"/>
  <c r="O188" i="5" s="1"/>
  <c r="Q188" i="5" s="1"/>
  <c r="P187" i="5"/>
  <c r="N187" i="5"/>
  <c r="D187" i="5"/>
  <c r="O187" i="5" s="1"/>
  <c r="Q187" i="5" s="1"/>
  <c r="P186" i="5"/>
  <c r="N186" i="5"/>
  <c r="D186" i="5"/>
  <c r="O186" i="5" s="1"/>
  <c r="Q186" i="5" s="1"/>
  <c r="P185" i="5"/>
  <c r="N185" i="5"/>
  <c r="D185" i="5"/>
  <c r="O185" i="5" s="1"/>
  <c r="Q185" i="5" s="1"/>
  <c r="P184" i="5"/>
  <c r="N184" i="5"/>
  <c r="D184" i="5"/>
  <c r="O184" i="5" s="1"/>
  <c r="Q184" i="5" s="1"/>
  <c r="P183" i="5"/>
  <c r="N183" i="5"/>
  <c r="D183" i="5"/>
  <c r="O183" i="5" s="1"/>
  <c r="Q183" i="5" s="1"/>
  <c r="P182" i="5"/>
  <c r="N182" i="5"/>
  <c r="D182" i="5"/>
  <c r="O182" i="5" s="1"/>
  <c r="Q182" i="5" s="1"/>
  <c r="P181" i="5"/>
  <c r="N181" i="5"/>
  <c r="D181" i="5"/>
  <c r="O181" i="5" s="1"/>
  <c r="Q181" i="5" s="1"/>
  <c r="P180" i="5"/>
  <c r="N180" i="5"/>
  <c r="D180" i="5"/>
  <c r="O180" i="5" s="1"/>
  <c r="Q180" i="5" s="1"/>
  <c r="P179" i="5"/>
  <c r="N179" i="5"/>
  <c r="D179" i="5"/>
  <c r="O179" i="5" s="1"/>
  <c r="Q179" i="5" s="1"/>
  <c r="P178" i="5"/>
  <c r="N178" i="5"/>
  <c r="D178" i="5"/>
  <c r="O178" i="5" s="1"/>
  <c r="Q178" i="5" s="1"/>
  <c r="P177" i="5"/>
  <c r="N177" i="5"/>
  <c r="D177" i="5"/>
  <c r="O177" i="5" s="1"/>
  <c r="Q177" i="5" s="1"/>
  <c r="P176" i="5"/>
  <c r="N176" i="5"/>
  <c r="D176" i="5"/>
  <c r="O176" i="5" s="1"/>
  <c r="Q176" i="5" s="1"/>
  <c r="P175" i="5"/>
  <c r="N175" i="5"/>
  <c r="D175" i="5"/>
  <c r="O175" i="5" s="1"/>
  <c r="Q175" i="5" s="1"/>
  <c r="P174" i="5"/>
  <c r="N174" i="5"/>
  <c r="D174" i="5"/>
  <c r="O174" i="5" s="1"/>
  <c r="Q174" i="5" s="1"/>
  <c r="P173" i="5"/>
  <c r="N173" i="5"/>
  <c r="D173" i="5"/>
  <c r="O173" i="5" s="1"/>
  <c r="Q173" i="5" s="1"/>
  <c r="P172" i="5"/>
  <c r="N172" i="5"/>
  <c r="D172" i="5"/>
  <c r="O172" i="5" s="1"/>
  <c r="Q172" i="5" s="1"/>
  <c r="P171" i="5"/>
  <c r="N171" i="5"/>
  <c r="D171" i="5"/>
  <c r="O171" i="5" s="1"/>
  <c r="Q171" i="5" s="1"/>
  <c r="P170" i="5"/>
  <c r="N170" i="5"/>
  <c r="D170" i="5"/>
  <c r="O170" i="5" s="1"/>
  <c r="Q170" i="5" s="1"/>
  <c r="P169" i="5"/>
  <c r="N169" i="5"/>
  <c r="D169" i="5"/>
  <c r="O169" i="5" s="1"/>
  <c r="Q169" i="5" s="1"/>
  <c r="P168" i="5"/>
  <c r="N168" i="5"/>
  <c r="D168" i="5"/>
  <c r="O168" i="5" s="1"/>
  <c r="Q168" i="5" s="1"/>
  <c r="P167" i="5"/>
  <c r="N167" i="5"/>
  <c r="D167" i="5"/>
  <c r="O167" i="5" s="1"/>
  <c r="Q167" i="5" s="1"/>
  <c r="P166" i="5"/>
  <c r="N166" i="5"/>
  <c r="D166" i="5"/>
  <c r="O166" i="5" s="1"/>
  <c r="Q166" i="5" s="1"/>
  <c r="P165" i="5"/>
  <c r="N165" i="5"/>
  <c r="D165" i="5"/>
  <c r="O165" i="5" s="1"/>
  <c r="Q165" i="5" s="1"/>
  <c r="P164" i="5"/>
  <c r="N164" i="5"/>
  <c r="D164" i="5"/>
  <c r="O164" i="5" s="1"/>
  <c r="Q164" i="5" s="1"/>
  <c r="P163" i="5"/>
  <c r="N163" i="5"/>
  <c r="D163" i="5"/>
  <c r="O163" i="5" s="1"/>
  <c r="Q163" i="5" s="1"/>
  <c r="P162" i="5"/>
  <c r="N162" i="5"/>
  <c r="D162" i="5"/>
  <c r="O162" i="5" s="1"/>
  <c r="Q162" i="5" s="1"/>
  <c r="P161" i="5"/>
  <c r="N161" i="5"/>
  <c r="D161" i="5"/>
  <c r="O161" i="5" s="1"/>
  <c r="Q161" i="5" s="1"/>
  <c r="P160" i="5"/>
  <c r="N160" i="5"/>
  <c r="D160" i="5"/>
  <c r="O160" i="5" s="1"/>
  <c r="Q160" i="5" s="1"/>
  <c r="P159" i="5"/>
  <c r="N159" i="5"/>
  <c r="D159" i="5"/>
  <c r="O159" i="5" s="1"/>
  <c r="Q159" i="5" s="1"/>
  <c r="P158" i="5"/>
  <c r="N158" i="5"/>
  <c r="D158" i="5"/>
  <c r="O158" i="5" s="1"/>
  <c r="Q158" i="5" s="1"/>
  <c r="P157" i="5"/>
  <c r="N157" i="5"/>
  <c r="D157" i="5"/>
  <c r="O157" i="5" s="1"/>
  <c r="Q157" i="5" s="1"/>
  <c r="P156" i="5"/>
  <c r="N156" i="5"/>
  <c r="D156" i="5"/>
  <c r="O156" i="5" s="1"/>
  <c r="Q156" i="5" s="1"/>
  <c r="P155" i="5"/>
  <c r="N155" i="5"/>
  <c r="D155" i="5"/>
  <c r="O155" i="5" s="1"/>
  <c r="Q155" i="5" s="1"/>
  <c r="P154" i="5"/>
  <c r="N154" i="5"/>
  <c r="D154" i="5"/>
  <c r="O154" i="5" s="1"/>
  <c r="Q154" i="5" s="1"/>
  <c r="P153" i="5"/>
  <c r="N153" i="5"/>
  <c r="D153" i="5"/>
  <c r="O153" i="5" s="1"/>
  <c r="Q153" i="5" s="1"/>
  <c r="P152" i="5"/>
  <c r="N152" i="5"/>
  <c r="D152" i="5"/>
  <c r="O152" i="5" s="1"/>
  <c r="Q152" i="5" s="1"/>
  <c r="P151" i="5"/>
  <c r="N151" i="5"/>
  <c r="D151" i="5"/>
  <c r="O151" i="5" s="1"/>
  <c r="Q151" i="5" s="1"/>
  <c r="P150" i="5"/>
  <c r="N150" i="5"/>
  <c r="D150" i="5"/>
  <c r="O150" i="5" s="1"/>
  <c r="Q150" i="5" s="1"/>
  <c r="P149" i="5"/>
  <c r="N149" i="5"/>
  <c r="D149" i="5"/>
  <c r="O149" i="5" s="1"/>
  <c r="Q149" i="5" s="1"/>
  <c r="P148" i="5"/>
  <c r="N148" i="5"/>
  <c r="D148" i="5"/>
  <c r="O148" i="5" s="1"/>
  <c r="Q148" i="5" s="1"/>
  <c r="P147" i="5"/>
  <c r="N147" i="5"/>
  <c r="D147" i="5"/>
  <c r="O147" i="5" s="1"/>
  <c r="Q147" i="5" s="1"/>
  <c r="P146" i="5"/>
  <c r="N146" i="5"/>
  <c r="D146" i="5"/>
  <c r="O146" i="5" s="1"/>
  <c r="Q146" i="5" s="1"/>
  <c r="P145" i="5"/>
  <c r="N145" i="5"/>
  <c r="D145" i="5"/>
  <c r="O145" i="5" s="1"/>
  <c r="Q145" i="5" s="1"/>
  <c r="P144" i="5"/>
  <c r="N144" i="5"/>
  <c r="D144" i="5"/>
  <c r="O144" i="5" s="1"/>
  <c r="Q144" i="5" s="1"/>
  <c r="P143" i="5"/>
  <c r="N143" i="5"/>
  <c r="D143" i="5"/>
  <c r="O143" i="5" s="1"/>
  <c r="Q143" i="5" s="1"/>
  <c r="P142" i="5"/>
  <c r="N142" i="5"/>
  <c r="D142" i="5"/>
  <c r="O142" i="5" s="1"/>
  <c r="Q142" i="5" s="1"/>
  <c r="P141" i="5"/>
  <c r="N141" i="5"/>
  <c r="D141" i="5"/>
  <c r="O141" i="5" s="1"/>
  <c r="Q141" i="5" s="1"/>
  <c r="P140" i="5"/>
  <c r="N140" i="5"/>
  <c r="D140" i="5"/>
  <c r="O140" i="5" s="1"/>
  <c r="Q140" i="5" s="1"/>
  <c r="P139" i="5"/>
  <c r="N139" i="5"/>
  <c r="D139" i="5"/>
  <c r="O139" i="5" s="1"/>
  <c r="Q139" i="5" s="1"/>
  <c r="P138" i="5"/>
  <c r="N138" i="5"/>
  <c r="D138" i="5"/>
  <c r="O138" i="5" s="1"/>
  <c r="Q138" i="5" s="1"/>
  <c r="P137" i="5"/>
  <c r="N137" i="5"/>
  <c r="D137" i="5"/>
  <c r="O137" i="5" s="1"/>
  <c r="Q137" i="5" s="1"/>
  <c r="P136" i="5"/>
  <c r="N136" i="5"/>
  <c r="D136" i="5"/>
  <c r="O136" i="5" s="1"/>
  <c r="Q136" i="5" s="1"/>
  <c r="P135" i="5"/>
  <c r="N135" i="5"/>
  <c r="D135" i="5"/>
  <c r="O135" i="5" s="1"/>
  <c r="Q135" i="5" s="1"/>
  <c r="P134" i="5"/>
  <c r="N134" i="5"/>
  <c r="D134" i="5"/>
  <c r="O134" i="5" s="1"/>
  <c r="Q134" i="5" s="1"/>
  <c r="P133" i="5"/>
  <c r="N133" i="5"/>
  <c r="D133" i="5"/>
  <c r="O133" i="5" s="1"/>
  <c r="Q133" i="5" s="1"/>
  <c r="P132" i="5"/>
  <c r="N132" i="5"/>
  <c r="D132" i="5"/>
  <c r="O132" i="5" s="1"/>
  <c r="Q132" i="5" s="1"/>
  <c r="P131" i="5"/>
  <c r="N131" i="5"/>
  <c r="D131" i="5"/>
  <c r="O131" i="5" s="1"/>
  <c r="Q131" i="5" s="1"/>
  <c r="P130" i="5"/>
  <c r="N130" i="5"/>
  <c r="D130" i="5"/>
  <c r="O130" i="5" s="1"/>
  <c r="Q130" i="5" s="1"/>
  <c r="P129" i="5"/>
  <c r="N129" i="5"/>
  <c r="D129" i="5"/>
  <c r="O129" i="5" s="1"/>
  <c r="Q129" i="5" s="1"/>
  <c r="P128" i="5"/>
  <c r="N128" i="5"/>
  <c r="D128" i="5"/>
  <c r="O128" i="5" s="1"/>
  <c r="Q128" i="5" s="1"/>
  <c r="P127" i="5"/>
  <c r="N127" i="5"/>
  <c r="D127" i="5"/>
  <c r="O127" i="5" s="1"/>
  <c r="Q127" i="5" s="1"/>
  <c r="P126" i="5"/>
  <c r="N126" i="5"/>
  <c r="D126" i="5"/>
  <c r="O126" i="5" s="1"/>
  <c r="Q126" i="5" s="1"/>
  <c r="P125" i="5"/>
  <c r="N125" i="5"/>
  <c r="D125" i="5"/>
  <c r="O125" i="5" s="1"/>
  <c r="Q125" i="5" s="1"/>
  <c r="P124" i="5"/>
  <c r="N124" i="5"/>
  <c r="D124" i="5"/>
  <c r="O124" i="5" s="1"/>
  <c r="Q124" i="5" s="1"/>
  <c r="P123" i="5"/>
  <c r="N123" i="5"/>
  <c r="D123" i="5"/>
  <c r="O123" i="5" s="1"/>
  <c r="Q123" i="5" s="1"/>
  <c r="P122" i="5"/>
  <c r="N122" i="5"/>
  <c r="D122" i="5"/>
  <c r="O122" i="5" s="1"/>
  <c r="Q122" i="5" s="1"/>
  <c r="P121" i="5"/>
  <c r="N121" i="5"/>
  <c r="D121" i="5"/>
  <c r="O121" i="5" s="1"/>
  <c r="Q121" i="5" s="1"/>
  <c r="P120" i="5"/>
  <c r="N120" i="5"/>
  <c r="D120" i="5"/>
  <c r="O120" i="5" s="1"/>
  <c r="Q120" i="5" s="1"/>
  <c r="P119" i="5"/>
  <c r="N119" i="5"/>
  <c r="D119" i="5"/>
  <c r="O119" i="5" s="1"/>
  <c r="Q119" i="5" s="1"/>
  <c r="P118" i="5"/>
  <c r="N118" i="5"/>
  <c r="D118" i="5"/>
  <c r="O118" i="5" s="1"/>
  <c r="Q118" i="5" s="1"/>
  <c r="P117" i="5"/>
  <c r="N117" i="5"/>
  <c r="D117" i="5"/>
  <c r="O117" i="5" s="1"/>
  <c r="Q117" i="5" s="1"/>
  <c r="P116" i="5"/>
  <c r="N116" i="5"/>
  <c r="D116" i="5"/>
  <c r="P115" i="5"/>
  <c r="N115" i="5"/>
  <c r="D115" i="5"/>
  <c r="O115" i="5" s="1"/>
  <c r="Q115" i="5" s="1"/>
  <c r="P114" i="5"/>
  <c r="N114" i="5"/>
  <c r="D114" i="5"/>
  <c r="P113" i="5"/>
  <c r="N113" i="5"/>
  <c r="D113" i="5"/>
  <c r="O113" i="5" s="1"/>
  <c r="Q113" i="5" s="1"/>
  <c r="P112" i="5"/>
  <c r="N112" i="5"/>
  <c r="D112" i="5"/>
  <c r="O112" i="5" s="1"/>
  <c r="Q112" i="5" s="1"/>
  <c r="P111" i="5"/>
  <c r="N111" i="5"/>
  <c r="D111" i="5"/>
  <c r="O111" i="5" s="1"/>
  <c r="Q111" i="5" s="1"/>
  <c r="P110" i="5"/>
  <c r="N110" i="5"/>
  <c r="D110" i="5"/>
  <c r="O110" i="5" s="1"/>
  <c r="Q110" i="5" s="1"/>
  <c r="P109" i="5"/>
  <c r="N109" i="5"/>
  <c r="D109" i="5"/>
  <c r="P108" i="5"/>
  <c r="N108" i="5"/>
  <c r="D108" i="5"/>
  <c r="O108" i="5" s="1"/>
  <c r="Q108" i="5" s="1"/>
  <c r="P107" i="5"/>
  <c r="N107" i="5"/>
  <c r="D107" i="5"/>
  <c r="O107" i="5" s="1"/>
  <c r="Q107" i="5" s="1"/>
  <c r="P106" i="5"/>
  <c r="N106" i="5"/>
  <c r="D106" i="5"/>
  <c r="O106" i="5" s="1"/>
  <c r="Q106" i="5" s="1"/>
  <c r="P105" i="5"/>
  <c r="N105" i="5"/>
  <c r="D105" i="5"/>
  <c r="O105" i="5" s="1"/>
  <c r="Q105" i="5" s="1"/>
  <c r="P104" i="5"/>
  <c r="N104" i="5"/>
  <c r="D104" i="5"/>
  <c r="O104" i="5" s="1"/>
  <c r="Q104" i="5" s="1"/>
  <c r="P103" i="5"/>
  <c r="N103" i="5"/>
  <c r="D103" i="5"/>
  <c r="O103" i="5" s="1"/>
  <c r="Q103" i="5" s="1"/>
  <c r="P102" i="5"/>
  <c r="N102" i="5"/>
  <c r="D102" i="5"/>
  <c r="O102" i="5" s="1"/>
  <c r="Q102" i="5" s="1"/>
  <c r="P101" i="5"/>
  <c r="N101" i="5"/>
  <c r="D101" i="5"/>
  <c r="O101" i="5" s="1"/>
  <c r="Q101" i="5" s="1"/>
  <c r="P100" i="5"/>
  <c r="N100" i="5"/>
  <c r="D100" i="5"/>
  <c r="O100" i="5" s="1"/>
  <c r="Q100" i="5" s="1"/>
  <c r="P99" i="5"/>
  <c r="N99" i="5"/>
  <c r="D99" i="5"/>
  <c r="O99" i="5" s="1"/>
  <c r="Q99" i="5" s="1"/>
  <c r="P98" i="5"/>
  <c r="N98" i="5"/>
  <c r="D98" i="5"/>
  <c r="O98" i="5" s="1"/>
  <c r="Q98" i="5" s="1"/>
  <c r="P97" i="5"/>
  <c r="N97" i="5"/>
  <c r="D97" i="5"/>
  <c r="O97" i="5" s="1"/>
  <c r="Q97" i="5" s="1"/>
  <c r="P96" i="5"/>
  <c r="N96" i="5"/>
  <c r="D96" i="5"/>
  <c r="O96" i="5" s="1"/>
  <c r="Q96" i="5" s="1"/>
  <c r="P95" i="5"/>
  <c r="N95" i="5"/>
  <c r="D95" i="5"/>
  <c r="O95" i="5" s="1"/>
  <c r="Q95" i="5" s="1"/>
  <c r="P94" i="5"/>
  <c r="N94" i="5"/>
  <c r="D94" i="5"/>
  <c r="O94" i="5" s="1"/>
  <c r="Q94" i="5" s="1"/>
  <c r="P93" i="5"/>
  <c r="N93" i="5"/>
  <c r="D93" i="5"/>
  <c r="O93" i="5" s="1"/>
  <c r="Q93" i="5" s="1"/>
  <c r="P92" i="5"/>
  <c r="N92" i="5"/>
  <c r="D92" i="5"/>
  <c r="O92" i="5" s="1"/>
  <c r="Q92" i="5" s="1"/>
  <c r="P91" i="5"/>
  <c r="N91" i="5"/>
  <c r="D91" i="5"/>
  <c r="O91" i="5" s="1"/>
  <c r="Q91" i="5" s="1"/>
  <c r="P90" i="5"/>
  <c r="N90" i="5"/>
  <c r="D90" i="5"/>
  <c r="O90" i="5" s="1"/>
  <c r="Q90" i="5" s="1"/>
  <c r="P89" i="5"/>
  <c r="N89" i="5"/>
  <c r="D89" i="5"/>
  <c r="O89" i="5" s="1"/>
  <c r="Q89" i="5" s="1"/>
  <c r="P88" i="5"/>
  <c r="N88" i="5"/>
  <c r="D88" i="5"/>
  <c r="O88" i="5" s="1"/>
  <c r="Q88" i="5" s="1"/>
  <c r="P87" i="5"/>
  <c r="N87" i="5"/>
  <c r="D87" i="5"/>
  <c r="O87" i="5" s="1"/>
  <c r="Q87" i="5" s="1"/>
  <c r="P86" i="5"/>
  <c r="N86" i="5"/>
  <c r="D86" i="5"/>
  <c r="O86" i="5" s="1"/>
  <c r="Q86" i="5" s="1"/>
  <c r="P85" i="5"/>
  <c r="N85" i="5"/>
  <c r="D85" i="5"/>
  <c r="O85" i="5" s="1"/>
  <c r="Q85" i="5" s="1"/>
  <c r="P84" i="5"/>
  <c r="N84" i="5"/>
  <c r="D84" i="5"/>
  <c r="O84" i="5" s="1"/>
  <c r="Q84" i="5" s="1"/>
  <c r="P83" i="5"/>
  <c r="N83" i="5"/>
  <c r="D83" i="5"/>
  <c r="O83" i="5" s="1"/>
  <c r="Q83" i="5" s="1"/>
  <c r="P82" i="5"/>
  <c r="N82" i="5"/>
  <c r="D82" i="5"/>
  <c r="O82" i="5" s="1"/>
  <c r="Q82" i="5" s="1"/>
  <c r="P81" i="5"/>
  <c r="N81" i="5"/>
  <c r="D81" i="5"/>
  <c r="O81" i="5" s="1"/>
  <c r="Q81" i="5" s="1"/>
  <c r="P80" i="5"/>
  <c r="N80" i="5"/>
  <c r="D80" i="5"/>
  <c r="O80" i="5" s="1"/>
  <c r="Q80" i="5" s="1"/>
  <c r="P79" i="5"/>
  <c r="N79" i="5"/>
  <c r="D79" i="5"/>
  <c r="O79" i="5" s="1"/>
  <c r="Q79" i="5" s="1"/>
  <c r="P78" i="5"/>
  <c r="N78" i="5"/>
  <c r="D78" i="5"/>
  <c r="O78" i="5" s="1"/>
  <c r="Q78" i="5" s="1"/>
  <c r="P77" i="5"/>
  <c r="N77" i="5"/>
  <c r="D77" i="5"/>
  <c r="O77" i="5" s="1"/>
  <c r="Q77" i="5" s="1"/>
  <c r="P76" i="5"/>
  <c r="N76" i="5"/>
  <c r="D76" i="5"/>
  <c r="O76" i="5" s="1"/>
  <c r="Q76" i="5" s="1"/>
  <c r="P75" i="5"/>
  <c r="N75" i="5"/>
  <c r="D75" i="5"/>
  <c r="O75" i="5" s="1"/>
  <c r="Q75" i="5" s="1"/>
  <c r="P74" i="5"/>
  <c r="N74" i="5"/>
  <c r="D74" i="5"/>
  <c r="O74" i="5" s="1"/>
  <c r="Q74" i="5" s="1"/>
  <c r="P73" i="5"/>
  <c r="N73" i="5"/>
  <c r="D73" i="5"/>
  <c r="O73" i="5" s="1"/>
  <c r="Q73" i="5" s="1"/>
  <c r="P72" i="5"/>
  <c r="N72" i="5"/>
  <c r="D72" i="5"/>
  <c r="O72" i="5" s="1"/>
  <c r="Q72" i="5" s="1"/>
  <c r="P71" i="5"/>
  <c r="N71" i="5"/>
  <c r="D71" i="5"/>
  <c r="O71" i="5" s="1"/>
  <c r="Q71" i="5" s="1"/>
  <c r="P70" i="5"/>
  <c r="N70" i="5"/>
  <c r="D70" i="5"/>
  <c r="O70" i="5" s="1"/>
  <c r="Q70" i="5" s="1"/>
  <c r="P69" i="5"/>
  <c r="N69" i="5"/>
  <c r="D69" i="5"/>
  <c r="O69" i="5" s="1"/>
  <c r="Q69" i="5" s="1"/>
  <c r="P68" i="5"/>
  <c r="N68" i="5"/>
  <c r="D68" i="5"/>
  <c r="O68" i="5" s="1"/>
  <c r="Q68" i="5" s="1"/>
  <c r="P67" i="5"/>
  <c r="N67" i="5"/>
  <c r="D67" i="5"/>
  <c r="O67" i="5" s="1"/>
  <c r="Q67" i="5" s="1"/>
  <c r="P66" i="5"/>
  <c r="N66" i="5"/>
  <c r="D66" i="5"/>
  <c r="O66" i="5" s="1"/>
  <c r="Q66" i="5" s="1"/>
  <c r="P65" i="5"/>
  <c r="N65" i="5"/>
  <c r="D65" i="5"/>
  <c r="O65" i="5" s="1"/>
  <c r="Q65" i="5" s="1"/>
  <c r="P64" i="5"/>
  <c r="N64" i="5"/>
  <c r="D64" i="5"/>
  <c r="O64" i="5" s="1"/>
  <c r="Q64" i="5" s="1"/>
  <c r="P63" i="5"/>
  <c r="N63" i="5"/>
  <c r="D63" i="5"/>
  <c r="O63" i="5" s="1"/>
  <c r="Q63" i="5" s="1"/>
  <c r="P62" i="5"/>
  <c r="N62" i="5"/>
  <c r="D62" i="5"/>
  <c r="O62" i="5" s="1"/>
  <c r="Q62" i="5" s="1"/>
  <c r="P61" i="5"/>
  <c r="N61" i="5"/>
  <c r="D61" i="5"/>
  <c r="O61" i="5" s="1"/>
  <c r="Q61" i="5" s="1"/>
  <c r="P60" i="5"/>
  <c r="N60" i="5"/>
  <c r="D60" i="5"/>
  <c r="O60" i="5" s="1"/>
  <c r="Q60" i="5" s="1"/>
  <c r="P59" i="5"/>
  <c r="N59" i="5"/>
  <c r="D59" i="5"/>
  <c r="O59" i="5" s="1"/>
  <c r="Q59" i="5" s="1"/>
  <c r="P58" i="5"/>
  <c r="N58" i="5"/>
  <c r="D58" i="5"/>
  <c r="P57" i="5"/>
  <c r="N57" i="5"/>
  <c r="D57" i="5"/>
  <c r="O57" i="5" s="1"/>
  <c r="Q57" i="5" s="1"/>
  <c r="P56" i="5"/>
  <c r="N56" i="5"/>
  <c r="D56" i="5"/>
  <c r="O56" i="5" s="1"/>
  <c r="Q56" i="5" s="1"/>
  <c r="P55" i="5"/>
  <c r="N55" i="5"/>
  <c r="D55" i="5"/>
  <c r="O55" i="5" s="1"/>
  <c r="Q55" i="5" s="1"/>
  <c r="P54" i="5"/>
  <c r="N54" i="5"/>
  <c r="D54" i="5"/>
  <c r="O54" i="5" s="1"/>
  <c r="Q54" i="5" s="1"/>
  <c r="P53" i="5"/>
  <c r="N53" i="5"/>
  <c r="D53" i="5"/>
  <c r="P52" i="5"/>
  <c r="N52" i="5"/>
  <c r="D52" i="5"/>
  <c r="O52" i="5" s="1"/>
  <c r="Q52" i="5" s="1"/>
  <c r="P51" i="5"/>
  <c r="N51" i="5"/>
  <c r="D51" i="5"/>
  <c r="O51" i="5" s="1"/>
  <c r="Q51" i="5" s="1"/>
  <c r="P50" i="5"/>
  <c r="N50" i="5"/>
  <c r="D50" i="5"/>
  <c r="O50" i="5" s="1"/>
  <c r="Q50" i="5" s="1"/>
  <c r="P49" i="5"/>
  <c r="N49" i="5"/>
  <c r="D49" i="5"/>
  <c r="O49" i="5" s="1"/>
  <c r="Q49" i="5" s="1"/>
  <c r="P48" i="5"/>
  <c r="N48" i="5"/>
  <c r="D48" i="5"/>
  <c r="O48" i="5" s="1"/>
  <c r="Q48" i="5" s="1"/>
  <c r="P47" i="5"/>
  <c r="N47" i="5"/>
  <c r="D47" i="5"/>
  <c r="O47" i="5" s="1"/>
  <c r="Q47" i="5" s="1"/>
  <c r="P46" i="5"/>
  <c r="N46" i="5"/>
  <c r="D46" i="5"/>
  <c r="O46" i="5" s="1"/>
  <c r="Q46" i="5" s="1"/>
  <c r="P45" i="5"/>
  <c r="N45" i="5"/>
  <c r="D45" i="5"/>
  <c r="O45" i="5" s="1"/>
  <c r="Q45" i="5" s="1"/>
  <c r="P44" i="5"/>
  <c r="N44" i="5"/>
  <c r="D44" i="5"/>
  <c r="O44" i="5" s="1"/>
  <c r="Q44" i="5" s="1"/>
  <c r="P43" i="5"/>
  <c r="N43" i="5"/>
  <c r="D43" i="5"/>
  <c r="O43" i="5" s="1"/>
  <c r="Q43" i="5" s="1"/>
  <c r="P42" i="5"/>
  <c r="N42" i="5"/>
  <c r="D42" i="5"/>
  <c r="O42" i="5" s="1"/>
  <c r="Q42" i="5" s="1"/>
  <c r="P41" i="5"/>
  <c r="N41" i="5"/>
  <c r="D41" i="5"/>
  <c r="O41" i="5" s="1"/>
  <c r="Q41" i="5" s="1"/>
  <c r="P40" i="5"/>
  <c r="N40" i="5"/>
  <c r="D40" i="5"/>
  <c r="O40" i="5" s="1"/>
  <c r="Q40" i="5" s="1"/>
  <c r="P39" i="5"/>
  <c r="N39" i="5"/>
  <c r="D39" i="5"/>
  <c r="O39" i="5" s="1"/>
  <c r="Q39" i="5" s="1"/>
  <c r="P38" i="5"/>
  <c r="N38" i="5"/>
  <c r="D38" i="5"/>
  <c r="O38" i="5" s="1"/>
  <c r="Q38" i="5" s="1"/>
  <c r="P37" i="5"/>
  <c r="N37" i="5"/>
  <c r="D37" i="5"/>
  <c r="O37" i="5" s="1"/>
  <c r="Q37" i="5" s="1"/>
  <c r="P36" i="5"/>
  <c r="N36" i="5"/>
  <c r="D36" i="5"/>
  <c r="O36" i="5" s="1"/>
  <c r="Q36" i="5" s="1"/>
  <c r="P35" i="5"/>
  <c r="N35" i="5"/>
  <c r="D35" i="5"/>
  <c r="O35" i="5" s="1"/>
  <c r="Q35" i="5" s="1"/>
  <c r="P34" i="5"/>
  <c r="N34" i="5"/>
  <c r="D34" i="5"/>
  <c r="O34" i="5" s="1"/>
  <c r="Q34" i="5" s="1"/>
  <c r="P33" i="5"/>
  <c r="N33" i="5"/>
  <c r="D33" i="5"/>
  <c r="O33" i="5" s="1"/>
  <c r="Q33" i="5" s="1"/>
  <c r="P32" i="5"/>
  <c r="N32" i="5"/>
  <c r="D32" i="5"/>
  <c r="P31" i="5"/>
  <c r="N31" i="5"/>
  <c r="D31" i="5"/>
  <c r="O31" i="5" s="1"/>
  <c r="Q31" i="5" s="1"/>
  <c r="P30" i="5"/>
  <c r="N30" i="5"/>
  <c r="D30" i="5"/>
  <c r="O30" i="5" s="1"/>
  <c r="Q30" i="5" s="1"/>
  <c r="P29" i="5"/>
  <c r="N29" i="5"/>
  <c r="D29" i="5"/>
  <c r="O29" i="5" s="1"/>
  <c r="Q29" i="5" s="1"/>
  <c r="P28" i="5"/>
  <c r="N28" i="5"/>
  <c r="D28" i="5"/>
  <c r="O28" i="5" s="1"/>
  <c r="Q28" i="5" s="1"/>
  <c r="P27" i="5"/>
  <c r="N27" i="5"/>
  <c r="D27" i="5"/>
  <c r="O27" i="5" s="1"/>
  <c r="Q27" i="5" s="1"/>
  <c r="P26" i="5"/>
  <c r="N26" i="5"/>
  <c r="D26" i="5"/>
  <c r="O26" i="5" s="1"/>
  <c r="Q26" i="5" s="1"/>
  <c r="P25" i="5"/>
  <c r="N25" i="5"/>
  <c r="D25" i="5"/>
  <c r="O25" i="5" s="1"/>
  <c r="Q25" i="5" s="1"/>
  <c r="P24" i="5"/>
  <c r="N24" i="5"/>
  <c r="D24" i="5"/>
  <c r="O24" i="5" s="1"/>
  <c r="Q24" i="5" s="1"/>
  <c r="P23" i="5"/>
  <c r="N23" i="5"/>
  <c r="D23" i="5"/>
  <c r="O23" i="5" s="1"/>
  <c r="Q23" i="5" s="1"/>
  <c r="P22" i="5"/>
  <c r="N22" i="5"/>
  <c r="D22" i="5"/>
  <c r="O22" i="5" s="1"/>
  <c r="Q22" i="5" s="1"/>
  <c r="P21" i="5"/>
  <c r="N21" i="5"/>
  <c r="D21" i="5"/>
  <c r="O21" i="5" s="1"/>
  <c r="Q21" i="5" s="1"/>
  <c r="P20" i="5"/>
  <c r="N20" i="5"/>
  <c r="D20" i="5"/>
  <c r="O20" i="5" s="1"/>
  <c r="Q20" i="5" s="1"/>
  <c r="P19" i="5"/>
  <c r="N19" i="5"/>
  <c r="D19" i="5"/>
  <c r="O19" i="5" s="1"/>
  <c r="Q19" i="5" s="1"/>
  <c r="P18" i="5"/>
  <c r="N18" i="5"/>
  <c r="D18" i="5"/>
  <c r="O18" i="5" s="1"/>
  <c r="Q18" i="5" s="1"/>
  <c r="P17" i="5"/>
  <c r="N17" i="5"/>
  <c r="D17" i="5"/>
  <c r="O17" i="5" s="1"/>
  <c r="Q17" i="5" s="1"/>
  <c r="P16" i="5"/>
  <c r="N16" i="5"/>
  <c r="D16" i="5"/>
  <c r="O16" i="5" s="1"/>
  <c r="Q16" i="5" s="1"/>
  <c r="P15" i="5"/>
  <c r="N15" i="5"/>
  <c r="D15" i="5"/>
  <c r="O15" i="5" s="1"/>
  <c r="Q15" i="5" s="1"/>
  <c r="P14" i="5"/>
  <c r="N14" i="5"/>
  <c r="D14" i="5"/>
  <c r="O14" i="5" s="1"/>
  <c r="Q14" i="5" s="1"/>
  <c r="P13" i="5"/>
  <c r="N13" i="5"/>
  <c r="D13" i="5"/>
  <c r="O13" i="5" s="1"/>
  <c r="Q13" i="5" s="1"/>
  <c r="P12" i="5"/>
  <c r="N12" i="5"/>
  <c r="D12" i="5"/>
  <c r="O12" i="5" s="1"/>
  <c r="Q12" i="5" s="1"/>
  <c r="P11" i="5"/>
  <c r="N11" i="5"/>
  <c r="D11" i="5"/>
  <c r="O11" i="5" s="1"/>
  <c r="Q11" i="5" s="1"/>
  <c r="P10" i="5"/>
  <c r="N10" i="5"/>
  <c r="D10" i="5"/>
  <c r="O10" i="5" s="1"/>
  <c r="Q10" i="5" s="1"/>
  <c r="P9" i="5"/>
  <c r="N9" i="5"/>
  <c r="D9" i="5"/>
  <c r="O9" i="5" s="1"/>
  <c r="Q9" i="5" s="1"/>
  <c r="P8" i="5"/>
  <c r="N8" i="5"/>
  <c r="D8" i="5"/>
  <c r="O8" i="5" s="1"/>
  <c r="Q8" i="5" s="1"/>
  <c r="P7" i="5"/>
  <c r="N7" i="5"/>
  <c r="D7" i="5"/>
  <c r="O7" i="5" s="1"/>
  <c r="Q7" i="5" s="1"/>
  <c r="P6" i="5"/>
  <c r="N6" i="5"/>
  <c r="D6" i="5"/>
  <c r="O6" i="5" s="1"/>
  <c r="Q6" i="5" s="1"/>
  <c r="P5" i="5"/>
  <c r="N5" i="5"/>
  <c r="D5" i="5"/>
  <c r="O5" i="5" s="1"/>
  <c r="Q5" i="5" s="1"/>
  <c r="P4" i="5"/>
  <c r="N4" i="5"/>
  <c r="D4" i="5"/>
  <c r="O4" i="5" s="1"/>
  <c r="Q4" i="5" s="1"/>
  <c r="P3" i="5"/>
  <c r="N3" i="5"/>
  <c r="D3" i="5"/>
  <c r="O3" i="5" s="1"/>
  <c r="Q3" i="5" s="1"/>
  <c r="P2" i="5"/>
  <c r="N2" i="5"/>
  <c r="D2" i="5"/>
  <c r="O2" i="5" s="1"/>
  <c r="I6001" i="4"/>
  <c r="H6001" i="4"/>
  <c r="I6000" i="4"/>
  <c r="H6000" i="4"/>
  <c r="I5999" i="4"/>
  <c r="H5999" i="4"/>
  <c r="I5998" i="4"/>
  <c r="H5998" i="4"/>
  <c r="I5997" i="4"/>
  <c r="H5997" i="4"/>
  <c r="I5996" i="4"/>
  <c r="H5996" i="4"/>
  <c r="I5995" i="4"/>
  <c r="H5995" i="4"/>
  <c r="I5994" i="4"/>
  <c r="H5994" i="4"/>
  <c r="I5993" i="4"/>
  <c r="H5993" i="4"/>
  <c r="I5992" i="4"/>
  <c r="H5992" i="4"/>
  <c r="I5991" i="4"/>
  <c r="H5991" i="4"/>
  <c r="I5990" i="4"/>
  <c r="H5990" i="4"/>
  <c r="I5989" i="4"/>
  <c r="H5989" i="4"/>
  <c r="I5988" i="4"/>
  <c r="H5988" i="4"/>
  <c r="I5987" i="4"/>
  <c r="H5987" i="4"/>
  <c r="I5986" i="4"/>
  <c r="H5986" i="4"/>
  <c r="I5985" i="4"/>
  <c r="H5985" i="4"/>
  <c r="I5984" i="4"/>
  <c r="H5984" i="4"/>
  <c r="I5983" i="4"/>
  <c r="H5983" i="4"/>
  <c r="I5982" i="4"/>
  <c r="H5982" i="4"/>
  <c r="I5981" i="4"/>
  <c r="H5981" i="4"/>
  <c r="I5980" i="4"/>
  <c r="H5980" i="4"/>
  <c r="I5979" i="4"/>
  <c r="H5979" i="4"/>
  <c r="I5978" i="4"/>
  <c r="H5978" i="4"/>
  <c r="I5977" i="4"/>
  <c r="H5977" i="4"/>
  <c r="I5976" i="4"/>
  <c r="H5976" i="4"/>
  <c r="I5975" i="4"/>
  <c r="H5975" i="4"/>
  <c r="I5974" i="4"/>
  <c r="H5974" i="4"/>
  <c r="I5973" i="4"/>
  <c r="H5973" i="4"/>
  <c r="I5972" i="4"/>
  <c r="H5972" i="4"/>
  <c r="I5971" i="4"/>
  <c r="H5971" i="4"/>
  <c r="I5970" i="4"/>
  <c r="H5970" i="4"/>
  <c r="I5969" i="4"/>
  <c r="H5969" i="4"/>
  <c r="I5968" i="4"/>
  <c r="H5968" i="4"/>
  <c r="I5967" i="4"/>
  <c r="H5967" i="4"/>
  <c r="I5966" i="4"/>
  <c r="H5966" i="4"/>
  <c r="I5965" i="4"/>
  <c r="H5965" i="4"/>
  <c r="I5964" i="4"/>
  <c r="H5964" i="4"/>
  <c r="I5963" i="4"/>
  <c r="H5963" i="4"/>
  <c r="I5962" i="4"/>
  <c r="H5962" i="4"/>
  <c r="I5961" i="4"/>
  <c r="H5961" i="4"/>
  <c r="I5960" i="4"/>
  <c r="H5960" i="4"/>
  <c r="I5959" i="4"/>
  <c r="H5959" i="4"/>
  <c r="I5958" i="4"/>
  <c r="H5958" i="4"/>
  <c r="I5957" i="4"/>
  <c r="H5957" i="4"/>
  <c r="I5956" i="4"/>
  <c r="H5956" i="4"/>
  <c r="I5955" i="4"/>
  <c r="H5955" i="4"/>
  <c r="I5954" i="4"/>
  <c r="H5954" i="4"/>
  <c r="I5953" i="4"/>
  <c r="H5953" i="4"/>
  <c r="I5952" i="4"/>
  <c r="H5952" i="4"/>
  <c r="I5951" i="4"/>
  <c r="H5951" i="4"/>
  <c r="I5950" i="4"/>
  <c r="H5950" i="4"/>
  <c r="I5949" i="4"/>
  <c r="H5949" i="4"/>
  <c r="I5948" i="4"/>
  <c r="H5948" i="4"/>
  <c r="I5947" i="4"/>
  <c r="H5947" i="4"/>
  <c r="I5946" i="4"/>
  <c r="H5946" i="4"/>
  <c r="I5945" i="4"/>
  <c r="H5945" i="4"/>
  <c r="I5944" i="4"/>
  <c r="H5944" i="4"/>
  <c r="I5943" i="4"/>
  <c r="H5943" i="4"/>
  <c r="I5942" i="4"/>
  <c r="H5942" i="4"/>
  <c r="I5941" i="4"/>
  <c r="H5941" i="4"/>
  <c r="I5940" i="4"/>
  <c r="H5940" i="4"/>
  <c r="I5939" i="4"/>
  <c r="H5939" i="4"/>
  <c r="I5938" i="4"/>
  <c r="H5938" i="4"/>
  <c r="I5937" i="4"/>
  <c r="H5937" i="4"/>
  <c r="I5936" i="4"/>
  <c r="H5936" i="4"/>
  <c r="I5935" i="4"/>
  <c r="H5935" i="4"/>
  <c r="I5934" i="4"/>
  <c r="H5934" i="4"/>
  <c r="I5933" i="4"/>
  <c r="H5933" i="4"/>
  <c r="I5932" i="4"/>
  <c r="H5932" i="4"/>
  <c r="I5931" i="4"/>
  <c r="H5931" i="4"/>
  <c r="I5930" i="4"/>
  <c r="H5930" i="4"/>
  <c r="I5929" i="4"/>
  <c r="H5929" i="4"/>
  <c r="I5928" i="4"/>
  <c r="H5928" i="4"/>
  <c r="I5927" i="4"/>
  <c r="H5927" i="4"/>
  <c r="I5926" i="4"/>
  <c r="H5926" i="4"/>
  <c r="I5925" i="4"/>
  <c r="H5925" i="4"/>
  <c r="I5924" i="4"/>
  <c r="H5924" i="4"/>
  <c r="I5923" i="4"/>
  <c r="H5923" i="4"/>
  <c r="I5922" i="4"/>
  <c r="H5922" i="4"/>
  <c r="I5921" i="4"/>
  <c r="H5921" i="4"/>
  <c r="I5920" i="4"/>
  <c r="H5920" i="4"/>
  <c r="I5919" i="4"/>
  <c r="H5919" i="4"/>
  <c r="I5918" i="4"/>
  <c r="H5918" i="4"/>
  <c r="I5917" i="4"/>
  <c r="H5917" i="4"/>
  <c r="I5916" i="4"/>
  <c r="H5916" i="4"/>
  <c r="I5915" i="4"/>
  <c r="H5915" i="4"/>
  <c r="I5914" i="4"/>
  <c r="H5914" i="4"/>
  <c r="I5913" i="4"/>
  <c r="H5913" i="4"/>
  <c r="I5912" i="4"/>
  <c r="H5912" i="4"/>
  <c r="I5911" i="4"/>
  <c r="H5911" i="4"/>
  <c r="I5910" i="4"/>
  <c r="H5910" i="4"/>
  <c r="I5909" i="4"/>
  <c r="H5909" i="4"/>
  <c r="I5908" i="4"/>
  <c r="H5908" i="4"/>
  <c r="I5907" i="4"/>
  <c r="H5907" i="4"/>
  <c r="I5906" i="4"/>
  <c r="H5906" i="4"/>
  <c r="I5905" i="4"/>
  <c r="H5905" i="4"/>
  <c r="I5904" i="4"/>
  <c r="H5904" i="4"/>
  <c r="I5903" i="4"/>
  <c r="H5903" i="4"/>
  <c r="I5902" i="4"/>
  <c r="H5902" i="4"/>
  <c r="I5901" i="4"/>
  <c r="H5901" i="4"/>
  <c r="I5900" i="4"/>
  <c r="H5900" i="4"/>
  <c r="I5899" i="4"/>
  <c r="H5899" i="4"/>
  <c r="I5898" i="4"/>
  <c r="H5898" i="4"/>
  <c r="I5897" i="4"/>
  <c r="H5897" i="4"/>
  <c r="I5896" i="4"/>
  <c r="H5896" i="4"/>
  <c r="I5895" i="4"/>
  <c r="H5895" i="4"/>
  <c r="I5894" i="4"/>
  <c r="H5894" i="4"/>
  <c r="I5893" i="4"/>
  <c r="H5893" i="4"/>
  <c r="I5892" i="4"/>
  <c r="H5892" i="4"/>
  <c r="I5891" i="4"/>
  <c r="H5891" i="4"/>
  <c r="I5890" i="4"/>
  <c r="H5890" i="4"/>
  <c r="I5889" i="4"/>
  <c r="H5889" i="4"/>
  <c r="I5888" i="4"/>
  <c r="H5888" i="4"/>
  <c r="I5887" i="4"/>
  <c r="H5887" i="4"/>
  <c r="I5886" i="4"/>
  <c r="H5886" i="4"/>
  <c r="I5885" i="4"/>
  <c r="H5885" i="4"/>
  <c r="I5884" i="4"/>
  <c r="H5884" i="4"/>
  <c r="I5883" i="4"/>
  <c r="H5883" i="4"/>
  <c r="I5882" i="4"/>
  <c r="H5882" i="4"/>
  <c r="I5881" i="4"/>
  <c r="H5881" i="4"/>
  <c r="I5880" i="4"/>
  <c r="H5880" i="4"/>
  <c r="I5879" i="4"/>
  <c r="H5879" i="4"/>
  <c r="I5878" i="4"/>
  <c r="H5878" i="4"/>
  <c r="I5877" i="4"/>
  <c r="H5877" i="4"/>
  <c r="I5876" i="4"/>
  <c r="H5876" i="4"/>
  <c r="I5875" i="4"/>
  <c r="H5875" i="4"/>
  <c r="I5874" i="4"/>
  <c r="H5874" i="4"/>
  <c r="I5873" i="4"/>
  <c r="H5873" i="4"/>
  <c r="I5872" i="4"/>
  <c r="H5872" i="4"/>
  <c r="I5871" i="4"/>
  <c r="H5871" i="4"/>
  <c r="I5870" i="4"/>
  <c r="H5870" i="4"/>
  <c r="I5869" i="4"/>
  <c r="H5869" i="4"/>
  <c r="I5868" i="4"/>
  <c r="H5868" i="4"/>
  <c r="I5867" i="4"/>
  <c r="H5867" i="4"/>
  <c r="I5866" i="4"/>
  <c r="H5866" i="4"/>
  <c r="I5865" i="4"/>
  <c r="H5865" i="4"/>
  <c r="I5864" i="4"/>
  <c r="H5864" i="4"/>
  <c r="I5863" i="4"/>
  <c r="H5863" i="4"/>
  <c r="I5862" i="4"/>
  <c r="H5862" i="4"/>
  <c r="I5861" i="4"/>
  <c r="H5861" i="4"/>
  <c r="I5860" i="4"/>
  <c r="H5860" i="4"/>
  <c r="I5859" i="4"/>
  <c r="H5859" i="4"/>
  <c r="I5858" i="4"/>
  <c r="H5858" i="4"/>
  <c r="I5857" i="4"/>
  <c r="H5857" i="4"/>
  <c r="I5856" i="4"/>
  <c r="H5856" i="4"/>
  <c r="I5855" i="4"/>
  <c r="H5855" i="4"/>
  <c r="I5854" i="4"/>
  <c r="H5854" i="4"/>
  <c r="I5853" i="4"/>
  <c r="H5853" i="4"/>
  <c r="I5852" i="4"/>
  <c r="H5852" i="4"/>
  <c r="I5851" i="4"/>
  <c r="H5851" i="4"/>
  <c r="I5850" i="4"/>
  <c r="H5850" i="4"/>
  <c r="I5849" i="4"/>
  <c r="H5849" i="4"/>
  <c r="I5848" i="4"/>
  <c r="H5848" i="4"/>
  <c r="I5847" i="4"/>
  <c r="H5847" i="4"/>
  <c r="I5846" i="4"/>
  <c r="H5846" i="4"/>
  <c r="I5845" i="4"/>
  <c r="H5845" i="4"/>
  <c r="I5844" i="4"/>
  <c r="H5844" i="4"/>
  <c r="I5843" i="4"/>
  <c r="H5843" i="4"/>
  <c r="I5842" i="4"/>
  <c r="H5842" i="4"/>
  <c r="I5841" i="4"/>
  <c r="H5841" i="4"/>
  <c r="I5840" i="4"/>
  <c r="H5840" i="4"/>
  <c r="I5839" i="4"/>
  <c r="H5839" i="4"/>
  <c r="I5838" i="4"/>
  <c r="H5838" i="4"/>
  <c r="I5837" i="4"/>
  <c r="H5837" i="4"/>
  <c r="I5836" i="4"/>
  <c r="H5836" i="4"/>
  <c r="I5835" i="4"/>
  <c r="H5835" i="4"/>
  <c r="I5834" i="4"/>
  <c r="H5834" i="4"/>
  <c r="I5833" i="4"/>
  <c r="H5833" i="4"/>
  <c r="I5832" i="4"/>
  <c r="H5832" i="4"/>
  <c r="I5831" i="4"/>
  <c r="H5831" i="4"/>
  <c r="I5830" i="4"/>
  <c r="H5830" i="4"/>
  <c r="I5829" i="4"/>
  <c r="H5829" i="4"/>
  <c r="I5828" i="4"/>
  <c r="H5828" i="4"/>
  <c r="I5827" i="4"/>
  <c r="H5827" i="4"/>
  <c r="I5826" i="4"/>
  <c r="H5826" i="4"/>
  <c r="I5825" i="4"/>
  <c r="H5825" i="4"/>
  <c r="I5824" i="4"/>
  <c r="H5824" i="4"/>
  <c r="I5823" i="4"/>
  <c r="H5823" i="4"/>
  <c r="I5822" i="4"/>
  <c r="H5822" i="4"/>
  <c r="I5821" i="4"/>
  <c r="H5821" i="4"/>
  <c r="I5820" i="4"/>
  <c r="H5820" i="4"/>
  <c r="I5819" i="4"/>
  <c r="H5819" i="4"/>
  <c r="I5818" i="4"/>
  <c r="H5818" i="4"/>
  <c r="I5817" i="4"/>
  <c r="H5817" i="4"/>
  <c r="I5816" i="4"/>
  <c r="H5816" i="4"/>
  <c r="I5815" i="4"/>
  <c r="H5815" i="4"/>
  <c r="I5814" i="4"/>
  <c r="H5814" i="4"/>
  <c r="I5813" i="4"/>
  <c r="H5813" i="4"/>
  <c r="I5812" i="4"/>
  <c r="H5812" i="4"/>
  <c r="I5811" i="4"/>
  <c r="H5811" i="4"/>
  <c r="I5810" i="4"/>
  <c r="H5810" i="4"/>
  <c r="I5809" i="4"/>
  <c r="H5809" i="4"/>
  <c r="I5808" i="4"/>
  <c r="H5808" i="4"/>
  <c r="I5807" i="4"/>
  <c r="H5807" i="4"/>
  <c r="I5806" i="4"/>
  <c r="H5806" i="4"/>
  <c r="I5805" i="4"/>
  <c r="H5805" i="4"/>
  <c r="I5804" i="4"/>
  <c r="H5804" i="4"/>
  <c r="I5803" i="4"/>
  <c r="H5803" i="4"/>
  <c r="I5802" i="4"/>
  <c r="H5802" i="4"/>
  <c r="I5801" i="4"/>
  <c r="H5801" i="4"/>
  <c r="I5800" i="4"/>
  <c r="H5800" i="4"/>
  <c r="I5799" i="4"/>
  <c r="H5799" i="4"/>
  <c r="I5798" i="4"/>
  <c r="H5798" i="4"/>
  <c r="I5797" i="4"/>
  <c r="H5797" i="4"/>
  <c r="I5796" i="4"/>
  <c r="H5796" i="4"/>
  <c r="I5795" i="4"/>
  <c r="H5795" i="4"/>
  <c r="I5794" i="4"/>
  <c r="H5794" i="4"/>
  <c r="I5793" i="4"/>
  <c r="H5793" i="4"/>
  <c r="I5792" i="4"/>
  <c r="H5792" i="4"/>
  <c r="I5791" i="4"/>
  <c r="H5791" i="4"/>
  <c r="I5790" i="4"/>
  <c r="H5790" i="4"/>
  <c r="I5789" i="4"/>
  <c r="H5789" i="4"/>
  <c r="I5788" i="4"/>
  <c r="H5788" i="4"/>
  <c r="I5787" i="4"/>
  <c r="H5787" i="4"/>
  <c r="I5786" i="4"/>
  <c r="H5786" i="4"/>
  <c r="I5785" i="4"/>
  <c r="H5785" i="4"/>
  <c r="I5784" i="4"/>
  <c r="H5784" i="4"/>
  <c r="I5783" i="4"/>
  <c r="H5783" i="4"/>
  <c r="I5782" i="4"/>
  <c r="H5782" i="4"/>
  <c r="I5781" i="4"/>
  <c r="H5781" i="4"/>
  <c r="I5780" i="4"/>
  <c r="H5780" i="4"/>
  <c r="I5779" i="4"/>
  <c r="H5779" i="4"/>
  <c r="I5778" i="4"/>
  <c r="H5778" i="4"/>
  <c r="I5777" i="4"/>
  <c r="H5777" i="4"/>
  <c r="I5776" i="4"/>
  <c r="H5776" i="4"/>
  <c r="I5775" i="4"/>
  <c r="H5775" i="4"/>
  <c r="I5774" i="4"/>
  <c r="H5774" i="4"/>
  <c r="I5773" i="4"/>
  <c r="H5773" i="4"/>
  <c r="I5772" i="4"/>
  <c r="H5772" i="4"/>
  <c r="I5771" i="4"/>
  <c r="H5771" i="4"/>
  <c r="I5770" i="4"/>
  <c r="H5770" i="4"/>
  <c r="I5769" i="4"/>
  <c r="H5769" i="4"/>
  <c r="I5768" i="4"/>
  <c r="H5768" i="4"/>
  <c r="I5767" i="4"/>
  <c r="H5767" i="4"/>
  <c r="I5766" i="4"/>
  <c r="H5766" i="4"/>
  <c r="I5765" i="4"/>
  <c r="H5765" i="4"/>
  <c r="I5764" i="4"/>
  <c r="H5764" i="4"/>
  <c r="I5763" i="4"/>
  <c r="H5763" i="4"/>
  <c r="I5762" i="4"/>
  <c r="H5762" i="4"/>
  <c r="I5761" i="4"/>
  <c r="H5761" i="4"/>
  <c r="I5760" i="4"/>
  <c r="H5760" i="4"/>
  <c r="I5759" i="4"/>
  <c r="H5759" i="4"/>
  <c r="I5758" i="4"/>
  <c r="H5758" i="4"/>
  <c r="I5757" i="4"/>
  <c r="H5757" i="4"/>
  <c r="I5756" i="4"/>
  <c r="H5756" i="4"/>
  <c r="I5755" i="4"/>
  <c r="H5755" i="4"/>
  <c r="I5754" i="4"/>
  <c r="H5754" i="4"/>
  <c r="I5753" i="4"/>
  <c r="H5753" i="4"/>
  <c r="I5752" i="4"/>
  <c r="H5752" i="4"/>
  <c r="I5751" i="4"/>
  <c r="H5751" i="4"/>
  <c r="I5750" i="4"/>
  <c r="H5750" i="4"/>
  <c r="I5749" i="4"/>
  <c r="H5749" i="4"/>
  <c r="I5748" i="4"/>
  <c r="H5748" i="4"/>
  <c r="I5747" i="4"/>
  <c r="H5747" i="4"/>
  <c r="I5746" i="4"/>
  <c r="H5746" i="4"/>
  <c r="I5745" i="4"/>
  <c r="H5745" i="4"/>
  <c r="I5744" i="4"/>
  <c r="H5744" i="4"/>
  <c r="I5743" i="4"/>
  <c r="H5743" i="4"/>
  <c r="I5742" i="4"/>
  <c r="H5742" i="4"/>
  <c r="I5741" i="4"/>
  <c r="H5741" i="4"/>
  <c r="I5740" i="4"/>
  <c r="H5740" i="4"/>
  <c r="I5739" i="4"/>
  <c r="H5739" i="4"/>
  <c r="I5738" i="4"/>
  <c r="H5738" i="4"/>
  <c r="I5737" i="4"/>
  <c r="H5737" i="4"/>
  <c r="I5736" i="4"/>
  <c r="H5736" i="4"/>
  <c r="I5735" i="4"/>
  <c r="H5735" i="4"/>
  <c r="I5734" i="4"/>
  <c r="H5734" i="4"/>
  <c r="I5733" i="4"/>
  <c r="H5733" i="4"/>
  <c r="I5732" i="4"/>
  <c r="H5732" i="4"/>
  <c r="I5731" i="4"/>
  <c r="H5731" i="4"/>
  <c r="I5730" i="4"/>
  <c r="H5730" i="4"/>
  <c r="I5729" i="4"/>
  <c r="H5729" i="4"/>
  <c r="I5728" i="4"/>
  <c r="H5728" i="4"/>
  <c r="I5727" i="4"/>
  <c r="H5727" i="4"/>
  <c r="I5726" i="4"/>
  <c r="H5726" i="4"/>
  <c r="I5725" i="4"/>
  <c r="H5725" i="4"/>
  <c r="I5724" i="4"/>
  <c r="H5724" i="4"/>
  <c r="I5723" i="4"/>
  <c r="H5723" i="4"/>
  <c r="I5722" i="4"/>
  <c r="H5722" i="4"/>
  <c r="I5721" i="4"/>
  <c r="H5721" i="4"/>
  <c r="I5720" i="4"/>
  <c r="H5720" i="4"/>
  <c r="I5719" i="4"/>
  <c r="H5719" i="4"/>
  <c r="I5718" i="4"/>
  <c r="H5718" i="4"/>
  <c r="I5717" i="4"/>
  <c r="H5717" i="4"/>
  <c r="I5716" i="4"/>
  <c r="H5716" i="4"/>
  <c r="I5715" i="4"/>
  <c r="H5715" i="4"/>
  <c r="I5714" i="4"/>
  <c r="H5714" i="4"/>
  <c r="I5713" i="4"/>
  <c r="H5713" i="4"/>
  <c r="I5712" i="4"/>
  <c r="H5712" i="4"/>
  <c r="I5711" i="4"/>
  <c r="H5711" i="4"/>
  <c r="I5710" i="4"/>
  <c r="H5710" i="4"/>
  <c r="I5709" i="4"/>
  <c r="H5709" i="4"/>
  <c r="I5708" i="4"/>
  <c r="H5708" i="4"/>
  <c r="I5707" i="4"/>
  <c r="H5707" i="4"/>
  <c r="I5706" i="4"/>
  <c r="H5706" i="4"/>
  <c r="I5705" i="4"/>
  <c r="H5705" i="4"/>
  <c r="I5704" i="4"/>
  <c r="H5704" i="4"/>
  <c r="I5703" i="4"/>
  <c r="H5703" i="4"/>
  <c r="I5702" i="4"/>
  <c r="H5702" i="4"/>
  <c r="I5701" i="4"/>
  <c r="H5701" i="4"/>
  <c r="I5700" i="4"/>
  <c r="H5700" i="4"/>
  <c r="I5699" i="4"/>
  <c r="H5699" i="4"/>
  <c r="I5698" i="4"/>
  <c r="H5698" i="4"/>
  <c r="I5697" i="4"/>
  <c r="H5697" i="4"/>
  <c r="I5696" i="4"/>
  <c r="H5696" i="4"/>
  <c r="I5695" i="4"/>
  <c r="H5695" i="4"/>
  <c r="I5694" i="4"/>
  <c r="H5694" i="4"/>
  <c r="I5693" i="4"/>
  <c r="H5693" i="4"/>
  <c r="I5692" i="4"/>
  <c r="H5692" i="4"/>
  <c r="I5691" i="4"/>
  <c r="H5691" i="4"/>
  <c r="I5690" i="4"/>
  <c r="H5690" i="4"/>
  <c r="I5689" i="4"/>
  <c r="H5689" i="4"/>
  <c r="I5688" i="4"/>
  <c r="H5688" i="4"/>
  <c r="I5687" i="4"/>
  <c r="H5687" i="4"/>
  <c r="I5686" i="4"/>
  <c r="H5686" i="4"/>
  <c r="I5685" i="4"/>
  <c r="H5685" i="4"/>
  <c r="I5684" i="4"/>
  <c r="H5684" i="4"/>
  <c r="I5683" i="4"/>
  <c r="H5683" i="4"/>
  <c r="I5682" i="4"/>
  <c r="H5682" i="4"/>
  <c r="I5681" i="4"/>
  <c r="H5681" i="4"/>
  <c r="I5680" i="4"/>
  <c r="H5680" i="4"/>
  <c r="I5679" i="4"/>
  <c r="H5679" i="4"/>
  <c r="I5678" i="4"/>
  <c r="H5678" i="4"/>
  <c r="I5677" i="4"/>
  <c r="H5677" i="4"/>
  <c r="I5676" i="4"/>
  <c r="H5676" i="4"/>
  <c r="I5675" i="4"/>
  <c r="H5675" i="4"/>
  <c r="I5674" i="4"/>
  <c r="H5674" i="4"/>
  <c r="I5673" i="4"/>
  <c r="H5673" i="4"/>
  <c r="I5672" i="4"/>
  <c r="H5672" i="4"/>
  <c r="I5671" i="4"/>
  <c r="H5671" i="4"/>
  <c r="I5670" i="4"/>
  <c r="H5670" i="4"/>
  <c r="I5669" i="4"/>
  <c r="H5669" i="4"/>
  <c r="I5668" i="4"/>
  <c r="H5668" i="4"/>
  <c r="I5667" i="4"/>
  <c r="H5667" i="4"/>
  <c r="I5666" i="4"/>
  <c r="H5666" i="4"/>
  <c r="I5665" i="4"/>
  <c r="H5665" i="4"/>
  <c r="I5664" i="4"/>
  <c r="H5664" i="4"/>
  <c r="I5663" i="4"/>
  <c r="H5663" i="4"/>
  <c r="I5662" i="4"/>
  <c r="H5662" i="4"/>
  <c r="I5661" i="4"/>
  <c r="H5661" i="4"/>
  <c r="I5660" i="4"/>
  <c r="H5660" i="4"/>
  <c r="I5659" i="4"/>
  <c r="H5659" i="4"/>
  <c r="I5658" i="4"/>
  <c r="H5658" i="4"/>
  <c r="I5657" i="4"/>
  <c r="H5657" i="4"/>
  <c r="I5656" i="4"/>
  <c r="H5656" i="4"/>
  <c r="I5655" i="4"/>
  <c r="H5655" i="4"/>
  <c r="I5654" i="4"/>
  <c r="H5654" i="4"/>
  <c r="I5653" i="4"/>
  <c r="H5653" i="4"/>
  <c r="I5652" i="4"/>
  <c r="H5652" i="4"/>
  <c r="I5651" i="4"/>
  <c r="H5651" i="4"/>
  <c r="I5650" i="4"/>
  <c r="H5650" i="4"/>
  <c r="I5649" i="4"/>
  <c r="H5649" i="4"/>
  <c r="I5648" i="4"/>
  <c r="H5648" i="4"/>
  <c r="I5647" i="4"/>
  <c r="H5647" i="4"/>
  <c r="I5646" i="4"/>
  <c r="H5646" i="4"/>
  <c r="I5645" i="4"/>
  <c r="H5645" i="4"/>
  <c r="I5644" i="4"/>
  <c r="H5644" i="4"/>
  <c r="I5643" i="4"/>
  <c r="H5643" i="4"/>
  <c r="I5642" i="4"/>
  <c r="H5642" i="4"/>
  <c r="I5641" i="4"/>
  <c r="H5641" i="4"/>
  <c r="I5640" i="4"/>
  <c r="H5640" i="4"/>
  <c r="I5639" i="4"/>
  <c r="H5639" i="4"/>
  <c r="I5638" i="4"/>
  <c r="H5638" i="4"/>
  <c r="I5637" i="4"/>
  <c r="H5637" i="4"/>
  <c r="I5636" i="4"/>
  <c r="H5636" i="4"/>
  <c r="I5635" i="4"/>
  <c r="H5635" i="4"/>
  <c r="I5634" i="4"/>
  <c r="H5634" i="4"/>
  <c r="I5633" i="4"/>
  <c r="H5633" i="4"/>
  <c r="I5632" i="4"/>
  <c r="H5632" i="4"/>
  <c r="I5631" i="4"/>
  <c r="H5631" i="4"/>
  <c r="I5630" i="4"/>
  <c r="H5630" i="4"/>
  <c r="I5629" i="4"/>
  <c r="H5629" i="4"/>
  <c r="I5628" i="4"/>
  <c r="H5628" i="4"/>
  <c r="I5627" i="4"/>
  <c r="H5627" i="4"/>
  <c r="I5626" i="4"/>
  <c r="H5626" i="4"/>
  <c r="I5625" i="4"/>
  <c r="H5625" i="4"/>
  <c r="I5624" i="4"/>
  <c r="H5624" i="4"/>
  <c r="I5623" i="4"/>
  <c r="H5623" i="4"/>
  <c r="I5622" i="4"/>
  <c r="H5622" i="4"/>
  <c r="I5621" i="4"/>
  <c r="H5621" i="4"/>
  <c r="I5620" i="4"/>
  <c r="H5620" i="4"/>
  <c r="I5619" i="4"/>
  <c r="H5619" i="4"/>
  <c r="I5618" i="4"/>
  <c r="H5618" i="4"/>
  <c r="I5617" i="4"/>
  <c r="H5617" i="4"/>
  <c r="I5616" i="4"/>
  <c r="H5616" i="4"/>
  <c r="I5615" i="4"/>
  <c r="H5615" i="4"/>
  <c r="I5614" i="4"/>
  <c r="H5614" i="4"/>
  <c r="I5613" i="4"/>
  <c r="H5613" i="4"/>
  <c r="I5612" i="4"/>
  <c r="H5612" i="4"/>
  <c r="I5611" i="4"/>
  <c r="H5611" i="4"/>
  <c r="I5610" i="4"/>
  <c r="H5610" i="4"/>
  <c r="I5609" i="4"/>
  <c r="H5609" i="4"/>
  <c r="I5608" i="4"/>
  <c r="H5608" i="4"/>
  <c r="I5607" i="4"/>
  <c r="H5607" i="4"/>
  <c r="I5606" i="4"/>
  <c r="H5606" i="4"/>
  <c r="I5605" i="4"/>
  <c r="H5605" i="4"/>
  <c r="I5604" i="4"/>
  <c r="H5604" i="4"/>
  <c r="I5603" i="4"/>
  <c r="H5603" i="4"/>
  <c r="I5602" i="4"/>
  <c r="H5602" i="4"/>
  <c r="I5601" i="4"/>
  <c r="H5601" i="4"/>
  <c r="I5600" i="4"/>
  <c r="H5600" i="4"/>
  <c r="I5599" i="4"/>
  <c r="H5599" i="4"/>
  <c r="I5598" i="4"/>
  <c r="H5598" i="4"/>
  <c r="I5597" i="4"/>
  <c r="H5597" i="4"/>
  <c r="I5596" i="4"/>
  <c r="H5596" i="4"/>
  <c r="I5595" i="4"/>
  <c r="H5595" i="4"/>
  <c r="I5594" i="4"/>
  <c r="H5594" i="4"/>
  <c r="I5593" i="4"/>
  <c r="H5593" i="4"/>
  <c r="I5592" i="4"/>
  <c r="H5592" i="4"/>
  <c r="I5591" i="4"/>
  <c r="H5591" i="4"/>
  <c r="I5590" i="4"/>
  <c r="H5590" i="4"/>
  <c r="I5589" i="4"/>
  <c r="H5589" i="4"/>
  <c r="I5588" i="4"/>
  <c r="H5588" i="4"/>
  <c r="I5587" i="4"/>
  <c r="H5587" i="4"/>
  <c r="I5586" i="4"/>
  <c r="H5586" i="4"/>
  <c r="I5585" i="4"/>
  <c r="H5585" i="4"/>
  <c r="I5584" i="4"/>
  <c r="H5584" i="4"/>
  <c r="I5583" i="4"/>
  <c r="H5583" i="4"/>
  <c r="I5582" i="4"/>
  <c r="H5582" i="4"/>
  <c r="I5581" i="4"/>
  <c r="H5581" i="4"/>
  <c r="I5580" i="4"/>
  <c r="H5580" i="4"/>
  <c r="I5579" i="4"/>
  <c r="H5579" i="4"/>
  <c r="I5578" i="4"/>
  <c r="H5578" i="4"/>
  <c r="I5577" i="4"/>
  <c r="H5577" i="4"/>
  <c r="I5576" i="4"/>
  <c r="H5576" i="4"/>
  <c r="I5575" i="4"/>
  <c r="H5575" i="4"/>
  <c r="I5574" i="4"/>
  <c r="H5574" i="4"/>
  <c r="I5573" i="4"/>
  <c r="H5573" i="4"/>
  <c r="I5572" i="4"/>
  <c r="H5572" i="4"/>
  <c r="I5571" i="4"/>
  <c r="H5571" i="4"/>
  <c r="I5570" i="4"/>
  <c r="H5570" i="4"/>
  <c r="I5569" i="4"/>
  <c r="H5569" i="4"/>
  <c r="I5568" i="4"/>
  <c r="H5568" i="4"/>
  <c r="I5567" i="4"/>
  <c r="H5567" i="4"/>
  <c r="I5566" i="4"/>
  <c r="H5566" i="4"/>
  <c r="I5565" i="4"/>
  <c r="H5565" i="4"/>
  <c r="I5564" i="4"/>
  <c r="H5564" i="4"/>
  <c r="I5563" i="4"/>
  <c r="H5563" i="4"/>
  <c r="I5562" i="4"/>
  <c r="H5562" i="4"/>
  <c r="I5561" i="4"/>
  <c r="H5561" i="4"/>
  <c r="I5560" i="4"/>
  <c r="H5560" i="4"/>
  <c r="I5559" i="4"/>
  <c r="H5559" i="4"/>
  <c r="I5558" i="4"/>
  <c r="H5558" i="4"/>
  <c r="I5557" i="4"/>
  <c r="H5557" i="4"/>
  <c r="I5556" i="4"/>
  <c r="H5556" i="4"/>
  <c r="I5555" i="4"/>
  <c r="H5555" i="4"/>
  <c r="I5554" i="4"/>
  <c r="H5554" i="4"/>
  <c r="I5553" i="4"/>
  <c r="H5553" i="4"/>
  <c r="I5552" i="4"/>
  <c r="H5552" i="4"/>
  <c r="I5551" i="4"/>
  <c r="H5551" i="4"/>
  <c r="I5550" i="4"/>
  <c r="H5550" i="4"/>
  <c r="I5549" i="4"/>
  <c r="H5549" i="4"/>
  <c r="I5548" i="4"/>
  <c r="H5548" i="4"/>
  <c r="I5547" i="4"/>
  <c r="H5547" i="4"/>
  <c r="I5546" i="4"/>
  <c r="H5546" i="4"/>
  <c r="I5545" i="4"/>
  <c r="H5545" i="4"/>
  <c r="I5544" i="4"/>
  <c r="H5544" i="4"/>
  <c r="I5543" i="4"/>
  <c r="H5543" i="4"/>
  <c r="I5542" i="4"/>
  <c r="H5542" i="4"/>
  <c r="I5541" i="4"/>
  <c r="H5541" i="4"/>
  <c r="I5540" i="4"/>
  <c r="H5540" i="4"/>
  <c r="I5539" i="4"/>
  <c r="H5539" i="4"/>
  <c r="I5538" i="4"/>
  <c r="H5538" i="4"/>
  <c r="I5537" i="4"/>
  <c r="H5537" i="4"/>
  <c r="I5536" i="4"/>
  <c r="H5536" i="4"/>
  <c r="I5535" i="4"/>
  <c r="H5535" i="4"/>
  <c r="I5534" i="4"/>
  <c r="H5534" i="4"/>
  <c r="I5533" i="4"/>
  <c r="H5533" i="4"/>
  <c r="I5532" i="4"/>
  <c r="H5532" i="4"/>
  <c r="I5531" i="4"/>
  <c r="H5531" i="4"/>
  <c r="I5530" i="4"/>
  <c r="H5530" i="4"/>
  <c r="I5529" i="4"/>
  <c r="H5529" i="4"/>
  <c r="I5528" i="4"/>
  <c r="H5528" i="4"/>
  <c r="I5527" i="4"/>
  <c r="H5527" i="4"/>
  <c r="I5526" i="4"/>
  <c r="H5526" i="4"/>
  <c r="I5525" i="4"/>
  <c r="H5525" i="4"/>
  <c r="I5524" i="4"/>
  <c r="H5524" i="4"/>
  <c r="I5523" i="4"/>
  <c r="H5523" i="4"/>
  <c r="I5522" i="4"/>
  <c r="H5522" i="4"/>
  <c r="I5521" i="4"/>
  <c r="H5521" i="4"/>
  <c r="I5520" i="4"/>
  <c r="H5520" i="4"/>
  <c r="I5519" i="4"/>
  <c r="H5519" i="4"/>
  <c r="I5518" i="4"/>
  <c r="H5518" i="4"/>
  <c r="I5517" i="4"/>
  <c r="H5517" i="4"/>
  <c r="I5516" i="4"/>
  <c r="H5516" i="4"/>
  <c r="I5515" i="4"/>
  <c r="H5515" i="4"/>
  <c r="I5514" i="4"/>
  <c r="H5514" i="4"/>
  <c r="I5513" i="4"/>
  <c r="H5513" i="4"/>
  <c r="I5512" i="4"/>
  <c r="H5512" i="4"/>
  <c r="I5511" i="4"/>
  <c r="H5511" i="4"/>
  <c r="I5510" i="4"/>
  <c r="H5510" i="4"/>
  <c r="I5509" i="4"/>
  <c r="H5509" i="4"/>
  <c r="I5508" i="4"/>
  <c r="H5508" i="4"/>
  <c r="I5507" i="4"/>
  <c r="H5507" i="4"/>
  <c r="I5506" i="4"/>
  <c r="H5506" i="4"/>
  <c r="I5505" i="4"/>
  <c r="H5505" i="4"/>
  <c r="I5504" i="4"/>
  <c r="H5504" i="4"/>
  <c r="I5503" i="4"/>
  <c r="H5503" i="4"/>
  <c r="I5502" i="4"/>
  <c r="H5502" i="4"/>
  <c r="I5501" i="4"/>
  <c r="H5501" i="4"/>
  <c r="I5500" i="4"/>
  <c r="H5500" i="4"/>
  <c r="I5499" i="4"/>
  <c r="H5499" i="4"/>
  <c r="I5498" i="4"/>
  <c r="H5498" i="4"/>
  <c r="I5497" i="4"/>
  <c r="H5497" i="4"/>
  <c r="I5496" i="4"/>
  <c r="H5496" i="4"/>
  <c r="I5495" i="4"/>
  <c r="H5495" i="4"/>
  <c r="I5494" i="4"/>
  <c r="H5494" i="4"/>
  <c r="I5493" i="4"/>
  <c r="H5493" i="4"/>
  <c r="I5492" i="4"/>
  <c r="H5492" i="4"/>
  <c r="I5491" i="4"/>
  <c r="H5491" i="4"/>
  <c r="I5490" i="4"/>
  <c r="H5490" i="4"/>
  <c r="I5489" i="4"/>
  <c r="H5489" i="4"/>
  <c r="I5488" i="4"/>
  <c r="H5488" i="4"/>
  <c r="I5487" i="4"/>
  <c r="H5487" i="4"/>
  <c r="I5486" i="4"/>
  <c r="H5486" i="4"/>
  <c r="I5485" i="4"/>
  <c r="H5485" i="4"/>
  <c r="I5484" i="4"/>
  <c r="H5484" i="4"/>
  <c r="I5483" i="4"/>
  <c r="H5483" i="4"/>
  <c r="I5482" i="4"/>
  <c r="H5482" i="4"/>
  <c r="I5481" i="4"/>
  <c r="H5481" i="4"/>
  <c r="I5480" i="4"/>
  <c r="H5480" i="4"/>
  <c r="I5479" i="4"/>
  <c r="H5479" i="4"/>
  <c r="I5478" i="4"/>
  <c r="H5478" i="4"/>
  <c r="I5477" i="4"/>
  <c r="H5477" i="4"/>
  <c r="I5476" i="4"/>
  <c r="H5476" i="4"/>
  <c r="I5475" i="4"/>
  <c r="H5475" i="4"/>
  <c r="I5474" i="4"/>
  <c r="H5474" i="4"/>
  <c r="I5473" i="4"/>
  <c r="H5473" i="4"/>
  <c r="I5472" i="4"/>
  <c r="H5472" i="4"/>
  <c r="I5471" i="4"/>
  <c r="H5471" i="4"/>
  <c r="I5470" i="4"/>
  <c r="H5470" i="4"/>
  <c r="I5469" i="4"/>
  <c r="H5469" i="4"/>
  <c r="I5468" i="4"/>
  <c r="H5468" i="4"/>
  <c r="I5467" i="4"/>
  <c r="H5467" i="4"/>
  <c r="I5466" i="4"/>
  <c r="H5466" i="4"/>
  <c r="I5465" i="4"/>
  <c r="H5465" i="4"/>
  <c r="I5464" i="4"/>
  <c r="H5464" i="4"/>
  <c r="I5463" i="4"/>
  <c r="H5463" i="4"/>
  <c r="I5462" i="4"/>
  <c r="H5462" i="4"/>
  <c r="I5461" i="4"/>
  <c r="H5461" i="4"/>
  <c r="I5460" i="4"/>
  <c r="H5460" i="4"/>
  <c r="I5459" i="4"/>
  <c r="H5459" i="4"/>
  <c r="I5458" i="4"/>
  <c r="H5458" i="4"/>
  <c r="I5457" i="4"/>
  <c r="H5457" i="4"/>
  <c r="I5456" i="4"/>
  <c r="H5456" i="4"/>
  <c r="I5455" i="4"/>
  <c r="H5455" i="4"/>
  <c r="I5454" i="4"/>
  <c r="H5454" i="4"/>
  <c r="I5453" i="4"/>
  <c r="H5453" i="4"/>
  <c r="I5452" i="4"/>
  <c r="H5452" i="4"/>
  <c r="I5451" i="4"/>
  <c r="H5451" i="4"/>
  <c r="I5450" i="4"/>
  <c r="H5450" i="4"/>
  <c r="I5449" i="4"/>
  <c r="H5449" i="4"/>
  <c r="I5448" i="4"/>
  <c r="H5448" i="4"/>
  <c r="I5447" i="4"/>
  <c r="H5447" i="4"/>
  <c r="I5446" i="4"/>
  <c r="H5446" i="4"/>
  <c r="I5445" i="4"/>
  <c r="H5445" i="4"/>
  <c r="I5444" i="4"/>
  <c r="H5444" i="4"/>
  <c r="I5443" i="4"/>
  <c r="H5443" i="4"/>
  <c r="I5442" i="4"/>
  <c r="H5442" i="4"/>
  <c r="I5441" i="4"/>
  <c r="H5441" i="4"/>
  <c r="I5440" i="4"/>
  <c r="H5440" i="4"/>
  <c r="I5439" i="4"/>
  <c r="H5439" i="4"/>
  <c r="I5438" i="4"/>
  <c r="H5438" i="4"/>
  <c r="I5437" i="4"/>
  <c r="H5437" i="4"/>
  <c r="I5436" i="4"/>
  <c r="H5436" i="4"/>
  <c r="I5435" i="4"/>
  <c r="H5435" i="4"/>
  <c r="I5434" i="4"/>
  <c r="H5434" i="4"/>
  <c r="I5433" i="4"/>
  <c r="H5433" i="4"/>
  <c r="I5432" i="4"/>
  <c r="H5432" i="4"/>
  <c r="I5431" i="4"/>
  <c r="H5431" i="4"/>
  <c r="I5430" i="4"/>
  <c r="H5430" i="4"/>
  <c r="I5429" i="4"/>
  <c r="H5429" i="4"/>
  <c r="I5428" i="4"/>
  <c r="H5428" i="4"/>
  <c r="I5427" i="4"/>
  <c r="H5427" i="4"/>
  <c r="I5426" i="4"/>
  <c r="H5426" i="4"/>
  <c r="I5425" i="4"/>
  <c r="H5425" i="4"/>
  <c r="I5424" i="4"/>
  <c r="H5424" i="4"/>
  <c r="I5423" i="4"/>
  <c r="H5423" i="4"/>
  <c r="I5422" i="4"/>
  <c r="H5422" i="4"/>
  <c r="I5421" i="4"/>
  <c r="H5421" i="4"/>
  <c r="I5420" i="4"/>
  <c r="H5420" i="4"/>
  <c r="I5419" i="4"/>
  <c r="H5419" i="4"/>
  <c r="I5418" i="4"/>
  <c r="H5418" i="4"/>
  <c r="I5417" i="4"/>
  <c r="H5417" i="4"/>
  <c r="I5416" i="4"/>
  <c r="H5416" i="4"/>
  <c r="I5415" i="4"/>
  <c r="H5415" i="4"/>
  <c r="I5414" i="4"/>
  <c r="H5414" i="4"/>
  <c r="I5413" i="4"/>
  <c r="H5413" i="4"/>
  <c r="I5412" i="4"/>
  <c r="H5412" i="4"/>
  <c r="I5411" i="4"/>
  <c r="H5411" i="4"/>
  <c r="I5410" i="4"/>
  <c r="H5410" i="4"/>
  <c r="I5409" i="4"/>
  <c r="H5409" i="4"/>
  <c r="I5408" i="4"/>
  <c r="H5408" i="4"/>
  <c r="I5407" i="4"/>
  <c r="H5407" i="4"/>
  <c r="I5406" i="4"/>
  <c r="H5406" i="4"/>
  <c r="I5405" i="4"/>
  <c r="H5405" i="4"/>
  <c r="I5404" i="4"/>
  <c r="H5404" i="4"/>
  <c r="I5403" i="4"/>
  <c r="H5403" i="4"/>
  <c r="I5402" i="4"/>
  <c r="H5402" i="4"/>
  <c r="I5401" i="4"/>
  <c r="H5401" i="4"/>
  <c r="I5400" i="4"/>
  <c r="H5400" i="4"/>
  <c r="I5399" i="4"/>
  <c r="H5399" i="4"/>
  <c r="I5398" i="4"/>
  <c r="H5398" i="4"/>
  <c r="I5397" i="4"/>
  <c r="H5397" i="4"/>
  <c r="I5396" i="4"/>
  <c r="H5396" i="4"/>
  <c r="I5395" i="4"/>
  <c r="H5395" i="4"/>
  <c r="I5394" i="4"/>
  <c r="H5394" i="4"/>
  <c r="I5393" i="4"/>
  <c r="H5393" i="4"/>
  <c r="I5392" i="4"/>
  <c r="H5392" i="4"/>
  <c r="I5391" i="4"/>
  <c r="H5391" i="4"/>
  <c r="I5390" i="4"/>
  <c r="H5390" i="4"/>
  <c r="I5389" i="4"/>
  <c r="H5389" i="4"/>
  <c r="I5388" i="4"/>
  <c r="H5388" i="4"/>
  <c r="I5387" i="4"/>
  <c r="H5387" i="4"/>
  <c r="I5386" i="4"/>
  <c r="H5386" i="4"/>
  <c r="I5385" i="4"/>
  <c r="H5385" i="4"/>
  <c r="I5384" i="4"/>
  <c r="H5384" i="4"/>
  <c r="I5383" i="4"/>
  <c r="H5383" i="4"/>
  <c r="I5382" i="4"/>
  <c r="H5382" i="4"/>
  <c r="I5381" i="4"/>
  <c r="H5381" i="4"/>
  <c r="I5380" i="4"/>
  <c r="H5380" i="4"/>
  <c r="I5379" i="4"/>
  <c r="H5379" i="4"/>
  <c r="I5378" i="4"/>
  <c r="H5378" i="4"/>
  <c r="I5377" i="4"/>
  <c r="H5377" i="4"/>
  <c r="I5376" i="4"/>
  <c r="H5376" i="4"/>
  <c r="I5375" i="4"/>
  <c r="H5375" i="4"/>
  <c r="I5374" i="4"/>
  <c r="H5374" i="4"/>
  <c r="I5373" i="4"/>
  <c r="H5373" i="4"/>
  <c r="I5372" i="4"/>
  <c r="H5372" i="4"/>
  <c r="I5371" i="4"/>
  <c r="H5371" i="4"/>
  <c r="I5370" i="4"/>
  <c r="H5370" i="4"/>
  <c r="I5369" i="4"/>
  <c r="H5369" i="4"/>
  <c r="I5368" i="4"/>
  <c r="H5368" i="4"/>
  <c r="I5367" i="4"/>
  <c r="H5367" i="4"/>
  <c r="I5366" i="4"/>
  <c r="H5366" i="4"/>
  <c r="I5365" i="4"/>
  <c r="H5365" i="4"/>
  <c r="I5364" i="4"/>
  <c r="H5364" i="4"/>
  <c r="I5363" i="4"/>
  <c r="H5363" i="4"/>
  <c r="I5362" i="4"/>
  <c r="H5362" i="4"/>
  <c r="I5361" i="4"/>
  <c r="H5361" i="4"/>
  <c r="I5360" i="4"/>
  <c r="H5360" i="4"/>
  <c r="I5359" i="4"/>
  <c r="H5359" i="4"/>
  <c r="I5358" i="4"/>
  <c r="H5358" i="4"/>
  <c r="I5357" i="4"/>
  <c r="H5357" i="4"/>
  <c r="I5356" i="4"/>
  <c r="H5356" i="4"/>
  <c r="I5355" i="4"/>
  <c r="H5355" i="4"/>
  <c r="I5354" i="4"/>
  <c r="H5354" i="4"/>
  <c r="I5353" i="4"/>
  <c r="H5353" i="4"/>
  <c r="I5352" i="4"/>
  <c r="H5352" i="4"/>
  <c r="I5351" i="4"/>
  <c r="H5351" i="4"/>
  <c r="I5350" i="4"/>
  <c r="H5350" i="4"/>
  <c r="I5349" i="4"/>
  <c r="H5349" i="4"/>
  <c r="I5348" i="4"/>
  <c r="H5348" i="4"/>
  <c r="I5347" i="4"/>
  <c r="H5347" i="4"/>
  <c r="I5346" i="4"/>
  <c r="H5346" i="4"/>
  <c r="I5345" i="4"/>
  <c r="H5345" i="4"/>
  <c r="I5344" i="4"/>
  <c r="H5344" i="4"/>
  <c r="I5343" i="4"/>
  <c r="H5343" i="4"/>
  <c r="I5342" i="4"/>
  <c r="H5342" i="4"/>
  <c r="I5341" i="4"/>
  <c r="H5341" i="4"/>
  <c r="I5340" i="4"/>
  <c r="H5340" i="4"/>
  <c r="I5339" i="4"/>
  <c r="H5339" i="4"/>
  <c r="I5338" i="4"/>
  <c r="H5338" i="4"/>
  <c r="I5337" i="4"/>
  <c r="H5337" i="4"/>
  <c r="I5336" i="4"/>
  <c r="H5336" i="4"/>
  <c r="I5335" i="4"/>
  <c r="H5335" i="4"/>
  <c r="I5334" i="4"/>
  <c r="H5334" i="4"/>
  <c r="I5333" i="4"/>
  <c r="H5333" i="4"/>
  <c r="I5332" i="4"/>
  <c r="H5332" i="4"/>
  <c r="I5331" i="4"/>
  <c r="H5331" i="4"/>
  <c r="I5330" i="4"/>
  <c r="H5330" i="4"/>
  <c r="I5329" i="4"/>
  <c r="H5329" i="4"/>
  <c r="I5328" i="4"/>
  <c r="H5328" i="4"/>
  <c r="I5327" i="4"/>
  <c r="H5327" i="4"/>
  <c r="I5326" i="4"/>
  <c r="H5326" i="4"/>
  <c r="I5325" i="4"/>
  <c r="H5325" i="4"/>
  <c r="I5324" i="4"/>
  <c r="H5324" i="4"/>
  <c r="I5323" i="4"/>
  <c r="H5323" i="4"/>
  <c r="I5322" i="4"/>
  <c r="H5322" i="4"/>
  <c r="I5321" i="4"/>
  <c r="H5321" i="4"/>
  <c r="I5320" i="4"/>
  <c r="H5320" i="4"/>
  <c r="I5319" i="4"/>
  <c r="H5319" i="4"/>
  <c r="I5318" i="4"/>
  <c r="H5318" i="4"/>
  <c r="I5317" i="4"/>
  <c r="H5317" i="4"/>
  <c r="I5316" i="4"/>
  <c r="H5316" i="4"/>
  <c r="I5315" i="4"/>
  <c r="H5315" i="4"/>
  <c r="I5314" i="4"/>
  <c r="H5314" i="4"/>
  <c r="I5313" i="4"/>
  <c r="H5313" i="4"/>
  <c r="I5312" i="4"/>
  <c r="H5312" i="4"/>
  <c r="I5311" i="4"/>
  <c r="H5311" i="4"/>
  <c r="I5310" i="4"/>
  <c r="H5310" i="4"/>
  <c r="I5309" i="4"/>
  <c r="H5309" i="4"/>
  <c r="I5308" i="4"/>
  <c r="H5308" i="4"/>
  <c r="I5307" i="4"/>
  <c r="H5307" i="4"/>
  <c r="I5306" i="4"/>
  <c r="H5306" i="4"/>
  <c r="I5305" i="4"/>
  <c r="H5305" i="4"/>
  <c r="I5304" i="4"/>
  <c r="H5304" i="4"/>
  <c r="I5303" i="4"/>
  <c r="H5303" i="4"/>
  <c r="I5302" i="4"/>
  <c r="H5302" i="4"/>
  <c r="I5301" i="4"/>
  <c r="H5301" i="4"/>
  <c r="I5300" i="4"/>
  <c r="H5300" i="4"/>
  <c r="I5299" i="4"/>
  <c r="H5299" i="4"/>
  <c r="I5298" i="4"/>
  <c r="H5298" i="4"/>
  <c r="I5297" i="4"/>
  <c r="H5297" i="4"/>
  <c r="I5296" i="4"/>
  <c r="H5296" i="4"/>
  <c r="I5295" i="4"/>
  <c r="H5295" i="4"/>
  <c r="I5294" i="4"/>
  <c r="H5294" i="4"/>
  <c r="I5293" i="4"/>
  <c r="H5293" i="4"/>
  <c r="I5292" i="4"/>
  <c r="H5292" i="4"/>
  <c r="I5291" i="4"/>
  <c r="H5291" i="4"/>
  <c r="I5290" i="4"/>
  <c r="H5290" i="4"/>
  <c r="I5289" i="4"/>
  <c r="H5289" i="4"/>
  <c r="I5288" i="4"/>
  <c r="H5288" i="4"/>
  <c r="I5287" i="4"/>
  <c r="H5287" i="4"/>
  <c r="I5286" i="4"/>
  <c r="H5286" i="4"/>
  <c r="I5285" i="4"/>
  <c r="H5285" i="4"/>
  <c r="I5284" i="4"/>
  <c r="H5284" i="4"/>
  <c r="I5283" i="4"/>
  <c r="H5283" i="4"/>
  <c r="I5282" i="4"/>
  <c r="H5282" i="4"/>
  <c r="I5281" i="4"/>
  <c r="H5281" i="4"/>
  <c r="I5280" i="4"/>
  <c r="H5280" i="4"/>
  <c r="I5279" i="4"/>
  <c r="H5279" i="4"/>
  <c r="I5278" i="4"/>
  <c r="H5278" i="4"/>
  <c r="I5277" i="4"/>
  <c r="H5277" i="4"/>
  <c r="I5276" i="4"/>
  <c r="H5276" i="4"/>
  <c r="I5275" i="4"/>
  <c r="H5275" i="4"/>
  <c r="I5274" i="4"/>
  <c r="H5274" i="4"/>
  <c r="I5273" i="4"/>
  <c r="H5273" i="4"/>
  <c r="I5272" i="4"/>
  <c r="H5272" i="4"/>
  <c r="I5271" i="4"/>
  <c r="H5271" i="4"/>
  <c r="I5270" i="4"/>
  <c r="H5270" i="4"/>
  <c r="I5269" i="4"/>
  <c r="H5269" i="4"/>
  <c r="I5268" i="4"/>
  <c r="H5268" i="4"/>
  <c r="I5267" i="4"/>
  <c r="H5267" i="4"/>
  <c r="I5266" i="4"/>
  <c r="H5266" i="4"/>
  <c r="I5265" i="4"/>
  <c r="H5265" i="4"/>
  <c r="I5264" i="4"/>
  <c r="H5264" i="4"/>
  <c r="I5263" i="4"/>
  <c r="H5263" i="4"/>
  <c r="I5262" i="4"/>
  <c r="H5262" i="4"/>
  <c r="I5261" i="4"/>
  <c r="H5261" i="4"/>
  <c r="I5260" i="4"/>
  <c r="H5260" i="4"/>
  <c r="I5259" i="4"/>
  <c r="H5259" i="4"/>
  <c r="I5258" i="4"/>
  <c r="H5258" i="4"/>
  <c r="I5257" i="4"/>
  <c r="H5257" i="4"/>
  <c r="I5256" i="4"/>
  <c r="H5256" i="4"/>
  <c r="I5255" i="4"/>
  <c r="H5255" i="4"/>
  <c r="I5254" i="4"/>
  <c r="H5254" i="4"/>
  <c r="I5253" i="4"/>
  <c r="H5253" i="4"/>
  <c r="I5252" i="4"/>
  <c r="H5252" i="4"/>
  <c r="I5251" i="4"/>
  <c r="H5251" i="4"/>
  <c r="I5250" i="4"/>
  <c r="H5250" i="4"/>
  <c r="I5249" i="4"/>
  <c r="H5249" i="4"/>
  <c r="I5248" i="4"/>
  <c r="H5248" i="4"/>
  <c r="I5247" i="4"/>
  <c r="H5247" i="4"/>
  <c r="I5246" i="4"/>
  <c r="H5246" i="4"/>
  <c r="I5245" i="4"/>
  <c r="H5245" i="4"/>
  <c r="I5244" i="4"/>
  <c r="H5244" i="4"/>
  <c r="I5243" i="4"/>
  <c r="H5243" i="4"/>
  <c r="I5242" i="4"/>
  <c r="H5242" i="4"/>
  <c r="I5241" i="4"/>
  <c r="H5241" i="4"/>
  <c r="I5240" i="4"/>
  <c r="H5240" i="4"/>
  <c r="I5239" i="4"/>
  <c r="H5239" i="4"/>
  <c r="I5238" i="4"/>
  <c r="H5238" i="4"/>
  <c r="I5237" i="4"/>
  <c r="H5237" i="4"/>
  <c r="I5236" i="4"/>
  <c r="H5236" i="4"/>
  <c r="I5235" i="4"/>
  <c r="H5235" i="4"/>
  <c r="I5234" i="4"/>
  <c r="H5234" i="4"/>
  <c r="I5233" i="4"/>
  <c r="H5233" i="4"/>
  <c r="I5232" i="4"/>
  <c r="H5232" i="4"/>
  <c r="I5231" i="4"/>
  <c r="H5231" i="4"/>
  <c r="I5230" i="4"/>
  <c r="H5230" i="4"/>
  <c r="I5229" i="4"/>
  <c r="H5229" i="4"/>
  <c r="I5228" i="4"/>
  <c r="H5228" i="4"/>
  <c r="I5227" i="4"/>
  <c r="H5227" i="4"/>
  <c r="I5226" i="4"/>
  <c r="H5226" i="4"/>
  <c r="I5225" i="4"/>
  <c r="H5225" i="4"/>
  <c r="I5224" i="4"/>
  <c r="H5224" i="4"/>
  <c r="I5223" i="4"/>
  <c r="H5223" i="4"/>
  <c r="I5222" i="4"/>
  <c r="H5222" i="4"/>
  <c r="I5221" i="4"/>
  <c r="H5221" i="4"/>
  <c r="I5220" i="4"/>
  <c r="H5220" i="4"/>
  <c r="I5219" i="4"/>
  <c r="H5219" i="4"/>
  <c r="I5218" i="4"/>
  <c r="H5218" i="4"/>
  <c r="I5217" i="4"/>
  <c r="H5217" i="4"/>
  <c r="I5216" i="4"/>
  <c r="H5216" i="4"/>
  <c r="I5215" i="4"/>
  <c r="H5215" i="4"/>
  <c r="I5214" i="4"/>
  <c r="H5214" i="4"/>
  <c r="I5213" i="4"/>
  <c r="H5213" i="4"/>
  <c r="I5212" i="4"/>
  <c r="H5212" i="4"/>
  <c r="I5211" i="4"/>
  <c r="H5211" i="4"/>
  <c r="I5210" i="4"/>
  <c r="H5210" i="4"/>
  <c r="I5209" i="4"/>
  <c r="H5209" i="4"/>
  <c r="I5208" i="4"/>
  <c r="H5208" i="4"/>
  <c r="I5207" i="4"/>
  <c r="H5207" i="4"/>
  <c r="I5206" i="4"/>
  <c r="H5206" i="4"/>
  <c r="I5205" i="4"/>
  <c r="H5205" i="4"/>
  <c r="I5204" i="4"/>
  <c r="H5204" i="4"/>
  <c r="I5203" i="4"/>
  <c r="H5203" i="4"/>
  <c r="I5202" i="4"/>
  <c r="H5202" i="4"/>
  <c r="I5201" i="4"/>
  <c r="H5201" i="4"/>
  <c r="I5200" i="4"/>
  <c r="H5200" i="4"/>
  <c r="I5199" i="4"/>
  <c r="H5199" i="4"/>
  <c r="I5198" i="4"/>
  <c r="H5198" i="4"/>
  <c r="I5197" i="4"/>
  <c r="H5197" i="4"/>
  <c r="I5196" i="4"/>
  <c r="H5196" i="4"/>
  <c r="I5195" i="4"/>
  <c r="H5195" i="4"/>
  <c r="I5194" i="4"/>
  <c r="H5194" i="4"/>
  <c r="I5193" i="4"/>
  <c r="H5193" i="4"/>
  <c r="I5192" i="4"/>
  <c r="H5192" i="4"/>
  <c r="I5191" i="4"/>
  <c r="H5191" i="4"/>
  <c r="I5190" i="4"/>
  <c r="H5190" i="4"/>
  <c r="I5189" i="4"/>
  <c r="H5189" i="4"/>
  <c r="I5188" i="4"/>
  <c r="H5188" i="4"/>
  <c r="I5187" i="4"/>
  <c r="H5187" i="4"/>
  <c r="I5186" i="4"/>
  <c r="H5186" i="4"/>
  <c r="I5185" i="4"/>
  <c r="H5185" i="4"/>
  <c r="I5184" i="4"/>
  <c r="H5184" i="4"/>
  <c r="I5183" i="4"/>
  <c r="H5183" i="4"/>
  <c r="I5182" i="4"/>
  <c r="H5182" i="4"/>
  <c r="I5181" i="4"/>
  <c r="H5181" i="4"/>
  <c r="I5180" i="4"/>
  <c r="H5180" i="4"/>
  <c r="I5179" i="4"/>
  <c r="H5179" i="4"/>
  <c r="I5178" i="4"/>
  <c r="H5178" i="4"/>
  <c r="I5177" i="4"/>
  <c r="H5177" i="4"/>
  <c r="I5176" i="4"/>
  <c r="H5176" i="4"/>
  <c r="I5175" i="4"/>
  <c r="H5175" i="4"/>
  <c r="I5174" i="4"/>
  <c r="H5174" i="4"/>
  <c r="I5173" i="4"/>
  <c r="H5173" i="4"/>
  <c r="I5172" i="4"/>
  <c r="H5172" i="4"/>
  <c r="I5171" i="4"/>
  <c r="H5171" i="4"/>
  <c r="I5170" i="4"/>
  <c r="H5170" i="4"/>
  <c r="I5169" i="4"/>
  <c r="H5169" i="4"/>
  <c r="I5168" i="4"/>
  <c r="H5168" i="4"/>
  <c r="I5167" i="4"/>
  <c r="H5167" i="4"/>
  <c r="I5166" i="4"/>
  <c r="H5166" i="4"/>
  <c r="I5165" i="4"/>
  <c r="H5165" i="4"/>
  <c r="I5164" i="4"/>
  <c r="H5164" i="4"/>
  <c r="I5163" i="4"/>
  <c r="H5163" i="4"/>
  <c r="I5162" i="4"/>
  <c r="H5162" i="4"/>
  <c r="I5161" i="4"/>
  <c r="H5161" i="4"/>
  <c r="I5160" i="4"/>
  <c r="H5160" i="4"/>
  <c r="I5159" i="4"/>
  <c r="H5159" i="4"/>
  <c r="I5158" i="4"/>
  <c r="H5158" i="4"/>
  <c r="I5157" i="4"/>
  <c r="H5157" i="4"/>
  <c r="I5156" i="4"/>
  <c r="H5156" i="4"/>
  <c r="I5155" i="4"/>
  <c r="H5155" i="4"/>
  <c r="I5154" i="4"/>
  <c r="H5154" i="4"/>
  <c r="I5153" i="4"/>
  <c r="H5153" i="4"/>
  <c r="I5152" i="4"/>
  <c r="H5152" i="4"/>
  <c r="I5151" i="4"/>
  <c r="H5151" i="4"/>
  <c r="I5150" i="4"/>
  <c r="H5150" i="4"/>
  <c r="I5149" i="4"/>
  <c r="H5149" i="4"/>
  <c r="I5148" i="4"/>
  <c r="H5148" i="4"/>
  <c r="I5147" i="4"/>
  <c r="H5147" i="4"/>
  <c r="I5146" i="4"/>
  <c r="H5146" i="4"/>
  <c r="I5145" i="4"/>
  <c r="H5145" i="4"/>
  <c r="I5144" i="4"/>
  <c r="H5144" i="4"/>
  <c r="I5143" i="4"/>
  <c r="H5143" i="4"/>
  <c r="I5142" i="4"/>
  <c r="H5142" i="4"/>
  <c r="I5141" i="4"/>
  <c r="H5141" i="4"/>
  <c r="I5140" i="4"/>
  <c r="H5140" i="4"/>
  <c r="I5139" i="4"/>
  <c r="H5139" i="4"/>
  <c r="I5138" i="4"/>
  <c r="H5138" i="4"/>
  <c r="I5137" i="4"/>
  <c r="H5137" i="4"/>
  <c r="I5136" i="4"/>
  <c r="H5136" i="4"/>
  <c r="I5135" i="4"/>
  <c r="H5135" i="4"/>
  <c r="I5134" i="4"/>
  <c r="H5134" i="4"/>
  <c r="I5133" i="4"/>
  <c r="H5133" i="4"/>
  <c r="I5132" i="4"/>
  <c r="H5132" i="4"/>
  <c r="I5131" i="4"/>
  <c r="H5131" i="4"/>
  <c r="I5130" i="4"/>
  <c r="H5130" i="4"/>
  <c r="I5129" i="4"/>
  <c r="H5129" i="4"/>
  <c r="I5128" i="4"/>
  <c r="H5128" i="4"/>
  <c r="I5127" i="4"/>
  <c r="H5127" i="4"/>
  <c r="I5126" i="4"/>
  <c r="H5126" i="4"/>
  <c r="I5125" i="4"/>
  <c r="H5125" i="4"/>
  <c r="I5124" i="4"/>
  <c r="H5124" i="4"/>
  <c r="I5123" i="4"/>
  <c r="H5123" i="4"/>
  <c r="I5122" i="4"/>
  <c r="H5122" i="4"/>
  <c r="I5121" i="4"/>
  <c r="H5121" i="4"/>
  <c r="I5120" i="4"/>
  <c r="H5120" i="4"/>
  <c r="I5119" i="4"/>
  <c r="H5119" i="4"/>
  <c r="I5118" i="4"/>
  <c r="H5118" i="4"/>
  <c r="I5117" i="4"/>
  <c r="H5117" i="4"/>
  <c r="I5116" i="4"/>
  <c r="H5116" i="4"/>
  <c r="I5115" i="4"/>
  <c r="H5115" i="4"/>
  <c r="I5114" i="4"/>
  <c r="H5114" i="4"/>
  <c r="I5113" i="4"/>
  <c r="H5113" i="4"/>
  <c r="I5112" i="4"/>
  <c r="H5112" i="4"/>
  <c r="I5111" i="4"/>
  <c r="H5111" i="4"/>
  <c r="I5110" i="4"/>
  <c r="H5110" i="4"/>
  <c r="I5109" i="4"/>
  <c r="H5109" i="4"/>
  <c r="I5108" i="4"/>
  <c r="H5108" i="4"/>
  <c r="I5107" i="4"/>
  <c r="H5107" i="4"/>
  <c r="I5106" i="4"/>
  <c r="H5106" i="4"/>
  <c r="I5105" i="4"/>
  <c r="H5105" i="4"/>
  <c r="I5104" i="4"/>
  <c r="H5104" i="4"/>
  <c r="I5103" i="4"/>
  <c r="H5103" i="4"/>
  <c r="I5102" i="4"/>
  <c r="H5102" i="4"/>
  <c r="I5101" i="4"/>
  <c r="H5101" i="4"/>
  <c r="I5100" i="4"/>
  <c r="H5100" i="4"/>
  <c r="I5099" i="4"/>
  <c r="H5099" i="4"/>
  <c r="I5098" i="4"/>
  <c r="H5098" i="4"/>
  <c r="I5097" i="4"/>
  <c r="H5097" i="4"/>
  <c r="I5096" i="4"/>
  <c r="H5096" i="4"/>
  <c r="I5095" i="4"/>
  <c r="H5095" i="4"/>
  <c r="I5094" i="4"/>
  <c r="H5094" i="4"/>
  <c r="I5093" i="4"/>
  <c r="H5093" i="4"/>
  <c r="I5092" i="4"/>
  <c r="H5092" i="4"/>
  <c r="I5091" i="4"/>
  <c r="H5091" i="4"/>
  <c r="I5090" i="4"/>
  <c r="H5090" i="4"/>
  <c r="I5089" i="4"/>
  <c r="H5089" i="4"/>
  <c r="I5088" i="4"/>
  <c r="H5088" i="4"/>
  <c r="I5087" i="4"/>
  <c r="H5087" i="4"/>
  <c r="I5086" i="4"/>
  <c r="H5086" i="4"/>
  <c r="I5085" i="4"/>
  <c r="H5085" i="4"/>
  <c r="I5084" i="4"/>
  <c r="H5084" i="4"/>
  <c r="I5083" i="4"/>
  <c r="H5083" i="4"/>
  <c r="I5082" i="4"/>
  <c r="H5082" i="4"/>
  <c r="I5081" i="4"/>
  <c r="H5081" i="4"/>
  <c r="I5080" i="4"/>
  <c r="H5080" i="4"/>
  <c r="I5079" i="4"/>
  <c r="H5079" i="4"/>
  <c r="I5078" i="4"/>
  <c r="H5078" i="4"/>
  <c r="I5077" i="4"/>
  <c r="H5077" i="4"/>
  <c r="I5076" i="4"/>
  <c r="H5076" i="4"/>
  <c r="I5075" i="4"/>
  <c r="H5075" i="4"/>
  <c r="I5074" i="4"/>
  <c r="H5074" i="4"/>
  <c r="I5073" i="4"/>
  <c r="H5073" i="4"/>
  <c r="I5072" i="4"/>
  <c r="H5072" i="4"/>
  <c r="I5071" i="4"/>
  <c r="H5071" i="4"/>
  <c r="I5070" i="4"/>
  <c r="H5070" i="4"/>
  <c r="I5069" i="4"/>
  <c r="H5069" i="4"/>
  <c r="I5068" i="4"/>
  <c r="H5068" i="4"/>
  <c r="I5067" i="4"/>
  <c r="H5067" i="4"/>
  <c r="I5066" i="4"/>
  <c r="H5066" i="4"/>
  <c r="I5065" i="4"/>
  <c r="H5065" i="4"/>
  <c r="I5064" i="4"/>
  <c r="H5064" i="4"/>
  <c r="I5063" i="4"/>
  <c r="H5063" i="4"/>
  <c r="I5062" i="4"/>
  <c r="H5062" i="4"/>
  <c r="I5061" i="4"/>
  <c r="H5061" i="4"/>
  <c r="I5060" i="4"/>
  <c r="H5060" i="4"/>
  <c r="I5059" i="4"/>
  <c r="H5059" i="4"/>
  <c r="I5058" i="4"/>
  <c r="H5058" i="4"/>
  <c r="I5057" i="4"/>
  <c r="H5057" i="4"/>
  <c r="I5056" i="4"/>
  <c r="H5056" i="4"/>
  <c r="I5055" i="4"/>
  <c r="H5055" i="4"/>
  <c r="I5054" i="4"/>
  <c r="H5054" i="4"/>
  <c r="I5053" i="4"/>
  <c r="H5053" i="4"/>
  <c r="I5052" i="4"/>
  <c r="H5052" i="4"/>
  <c r="I5051" i="4"/>
  <c r="H5051" i="4"/>
  <c r="I5050" i="4"/>
  <c r="H5050" i="4"/>
  <c r="I5049" i="4"/>
  <c r="H5049" i="4"/>
  <c r="I5048" i="4"/>
  <c r="H5048" i="4"/>
  <c r="I5047" i="4"/>
  <c r="H5047" i="4"/>
  <c r="I5046" i="4"/>
  <c r="H5046" i="4"/>
  <c r="I5045" i="4"/>
  <c r="H5045" i="4"/>
  <c r="I5044" i="4"/>
  <c r="H5044" i="4"/>
  <c r="I5043" i="4"/>
  <c r="H5043" i="4"/>
  <c r="I5042" i="4"/>
  <c r="H5042" i="4"/>
  <c r="I5041" i="4"/>
  <c r="H5041" i="4"/>
  <c r="I5040" i="4"/>
  <c r="H5040" i="4"/>
  <c r="I5039" i="4"/>
  <c r="H5039" i="4"/>
  <c r="I5038" i="4"/>
  <c r="H5038" i="4"/>
  <c r="I5037" i="4"/>
  <c r="H5037" i="4"/>
  <c r="I5036" i="4"/>
  <c r="H5036" i="4"/>
  <c r="I5035" i="4"/>
  <c r="H5035" i="4"/>
  <c r="I5034" i="4"/>
  <c r="H5034" i="4"/>
  <c r="I5033" i="4"/>
  <c r="H5033" i="4"/>
  <c r="I5032" i="4"/>
  <c r="H5032" i="4"/>
  <c r="I5031" i="4"/>
  <c r="H5031" i="4"/>
  <c r="I5030" i="4"/>
  <c r="H5030" i="4"/>
  <c r="I5029" i="4"/>
  <c r="H5029" i="4"/>
  <c r="I5028" i="4"/>
  <c r="H5028" i="4"/>
  <c r="I5027" i="4"/>
  <c r="H5027" i="4"/>
  <c r="I5026" i="4"/>
  <c r="H5026" i="4"/>
  <c r="I5025" i="4"/>
  <c r="H5025" i="4"/>
  <c r="I5024" i="4"/>
  <c r="H5024" i="4"/>
  <c r="I5023" i="4"/>
  <c r="H5023" i="4"/>
  <c r="I5022" i="4"/>
  <c r="H5022" i="4"/>
  <c r="I5021" i="4"/>
  <c r="H5021" i="4"/>
  <c r="I5020" i="4"/>
  <c r="H5020" i="4"/>
  <c r="I5019" i="4"/>
  <c r="H5019" i="4"/>
  <c r="I5018" i="4"/>
  <c r="H5018" i="4"/>
  <c r="I5017" i="4"/>
  <c r="H5017" i="4"/>
  <c r="I5016" i="4"/>
  <c r="H5016" i="4"/>
  <c r="I5015" i="4"/>
  <c r="H5015" i="4"/>
  <c r="I5014" i="4"/>
  <c r="H5014" i="4"/>
  <c r="I5013" i="4"/>
  <c r="H5013" i="4"/>
  <c r="I5012" i="4"/>
  <c r="H5012" i="4"/>
  <c r="I5011" i="4"/>
  <c r="H5011" i="4"/>
  <c r="I5010" i="4"/>
  <c r="H5010" i="4"/>
  <c r="I5009" i="4"/>
  <c r="H5009" i="4"/>
  <c r="I5008" i="4"/>
  <c r="H5008" i="4"/>
  <c r="I5007" i="4"/>
  <c r="H5007" i="4"/>
  <c r="I5006" i="4"/>
  <c r="H5006" i="4"/>
  <c r="I5005" i="4"/>
  <c r="H5005" i="4"/>
  <c r="I5004" i="4"/>
  <c r="H5004" i="4"/>
  <c r="I5003" i="4"/>
  <c r="H5003" i="4"/>
  <c r="I5002" i="4"/>
  <c r="H5002" i="4"/>
  <c r="I5001" i="4"/>
  <c r="H5001" i="4"/>
  <c r="I5000" i="4"/>
  <c r="H5000" i="4"/>
  <c r="I4999" i="4"/>
  <c r="H4999" i="4"/>
  <c r="I4998" i="4"/>
  <c r="H4998" i="4"/>
  <c r="I4997" i="4"/>
  <c r="H4997" i="4"/>
  <c r="I4996" i="4"/>
  <c r="H4996" i="4"/>
  <c r="I4995" i="4"/>
  <c r="H4995" i="4"/>
  <c r="I4994" i="4"/>
  <c r="H4994" i="4"/>
  <c r="I4993" i="4"/>
  <c r="H4993" i="4"/>
  <c r="I4992" i="4"/>
  <c r="H4992" i="4"/>
  <c r="I4991" i="4"/>
  <c r="H4991" i="4"/>
  <c r="I4990" i="4"/>
  <c r="H4990" i="4"/>
  <c r="I4989" i="4"/>
  <c r="H4989" i="4"/>
  <c r="I4988" i="4"/>
  <c r="H4988" i="4"/>
  <c r="I4987" i="4"/>
  <c r="H4987" i="4"/>
  <c r="I4986" i="4"/>
  <c r="H4986" i="4"/>
  <c r="I4985" i="4"/>
  <c r="H4985" i="4"/>
  <c r="I4984" i="4"/>
  <c r="H4984" i="4"/>
  <c r="I4983" i="4"/>
  <c r="H4983" i="4"/>
  <c r="I4982" i="4"/>
  <c r="H4982" i="4"/>
  <c r="I4981" i="4"/>
  <c r="H4981" i="4"/>
  <c r="I4980" i="4"/>
  <c r="H4980" i="4"/>
  <c r="I4979" i="4"/>
  <c r="H4979" i="4"/>
  <c r="I4978" i="4"/>
  <c r="H4978" i="4"/>
  <c r="I4977" i="4"/>
  <c r="H4977" i="4"/>
  <c r="I4976" i="4"/>
  <c r="H4976" i="4"/>
  <c r="I4975" i="4"/>
  <c r="H4975" i="4"/>
  <c r="I4974" i="4"/>
  <c r="H4974" i="4"/>
  <c r="I4973" i="4"/>
  <c r="H4973" i="4"/>
  <c r="I4972" i="4"/>
  <c r="H4972" i="4"/>
  <c r="I4971" i="4"/>
  <c r="H4971" i="4"/>
  <c r="I4970" i="4"/>
  <c r="H4970" i="4"/>
  <c r="I4969" i="4"/>
  <c r="H4969" i="4"/>
  <c r="I4968" i="4"/>
  <c r="H4968" i="4"/>
  <c r="I4967" i="4"/>
  <c r="H4967" i="4"/>
  <c r="I4966" i="4"/>
  <c r="H4966" i="4"/>
  <c r="I4965" i="4"/>
  <c r="H4965" i="4"/>
  <c r="I4964" i="4"/>
  <c r="H4964" i="4"/>
  <c r="I4963" i="4"/>
  <c r="H4963" i="4"/>
  <c r="I4962" i="4"/>
  <c r="H4962" i="4"/>
  <c r="I4961" i="4"/>
  <c r="H4961" i="4"/>
  <c r="I4960" i="4"/>
  <c r="H4960" i="4"/>
  <c r="I4959" i="4"/>
  <c r="H4959" i="4"/>
  <c r="I4958" i="4"/>
  <c r="H4958" i="4"/>
  <c r="I4957" i="4"/>
  <c r="H4957" i="4"/>
  <c r="I4956" i="4"/>
  <c r="H4956" i="4"/>
  <c r="I4955" i="4"/>
  <c r="H4955" i="4"/>
  <c r="I4954" i="4"/>
  <c r="H4954" i="4"/>
  <c r="I4953" i="4"/>
  <c r="H4953" i="4"/>
  <c r="I4952" i="4"/>
  <c r="H4952" i="4"/>
  <c r="I4951" i="4"/>
  <c r="H4951" i="4"/>
  <c r="I4950" i="4"/>
  <c r="H4950" i="4"/>
  <c r="I4949" i="4"/>
  <c r="H4949" i="4"/>
  <c r="I4948" i="4"/>
  <c r="H4948" i="4"/>
  <c r="I4947" i="4"/>
  <c r="H4947" i="4"/>
  <c r="I4946" i="4"/>
  <c r="H4946" i="4"/>
  <c r="I4945" i="4"/>
  <c r="H4945" i="4"/>
  <c r="I4944" i="4"/>
  <c r="H4944" i="4"/>
  <c r="I4943" i="4"/>
  <c r="H4943" i="4"/>
  <c r="I4942" i="4"/>
  <c r="H4942" i="4"/>
  <c r="I4941" i="4"/>
  <c r="H4941" i="4"/>
  <c r="I4940" i="4"/>
  <c r="H4940" i="4"/>
  <c r="I4939" i="4"/>
  <c r="H4939" i="4"/>
  <c r="I4938" i="4"/>
  <c r="H4938" i="4"/>
  <c r="I4937" i="4"/>
  <c r="H4937" i="4"/>
  <c r="I4936" i="4"/>
  <c r="H4936" i="4"/>
  <c r="I4935" i="4"/>
  <c r="H4935" i="4"/>
  <c r="I4934" i="4"/>
  <c r="H4934" i="4"/>
  <c r="I4933" i="4"/>
  <c r="H4933" i="4"/>
  <c r="I4932" i="4"/>
  <c r="H4932" i="4"/>
  <c r="I4931" i="4"/>
  <c r="H4931" i="4"/>
  <c r="I4930" i="4"/>
  <c r="H4930" i="4"/>
  <c r="I4929" i="4"/>
  <c r="H4929" i="4"/>
  <c r="I4928" i="4"/>
  <c r="H4928" i="4"/>
  <c r="I4927" i="4"/>
  <c r="H4927" i="4"/>
  <c r="I4926" i="4"/>
  <c r="H4926" i="4"/>
  <c r="I4925" i="4"/>
  <c r="H4925" i="4"/>
  <c r="I4924" i="4"/>
  <c r="H4924" i="4"/>
  <c r="I4923" i="4"/>
  <c r="H4923" i="4"/>
  <c r="I4922" i="4"/>
  <c r="H4922" i="4"/>
  <c r="I4921" i="4"/>
  <c r="H4921" i="4"/>
  <c r="I4920" i="4"/>
  <c r="H4920" i="4"/>
  <c r="I4919" i="4"/>
  <c r="H4919" i="4"/>
  <c r="I4918" i="4"/>
  <c r="H4918" i="4"/>
  <c r="I4917" i="4"/>
  <c r="H4917" i="4"/>
  <c r="I4916" i="4"/>
  <c r="H4916" i="4"/>
  <c r="I4915" i="4"/>
  <c r="H4915" i="4"/>
  <c r="I4914" i="4"/>
  <c r="H4914" i="4"/>
  <c r="I4913" i="4"/>
  <c r="H4913" i="4"/>
  <c r="I4912" i="4"/>
  <c r="H4912" i="4"/>
  <c r="I4911" i="4"/>
  <c r="H4911" i="4"/>
  <c r="I4910" i="4"/>
  <c r="H4910" i="4"/>
  <c r="I4909" i="4"/>
  <c r="H4909" i="4"/>
  <c r="I4908" i="4"/>
  <c r="H4908" i="4"/>
  <c r="I4907" i="4"/>
  <c r="H4907" i="4"/>
  <c r="I4906" i="4"/>
  <c r="H4906" i="4"/>
  <c r="I4905" i="4"/>
  <c r="H4905" i="4"/>
  <c r="I4904" i="4"/>
  <c r="H4904" i="4"/>
  <c r="I4903" i="4"/>
  <c r="H4903" i="4"/>
  <c r="I4902" i="4"/>
  <c r="H4902" i="4"/>
  <c r="I4901" i="4"/>
  <c r="H4901" i="4"/>
  <c r="I4900" i="4"/>
  <c r="H4900" i="4"/>
  <c r="I4899" i="4"/>
  <c r="H4899" i="4"/>
  <c r="I4898" i="4"/>
  <c r="H4898" i="4"/>
  <c r="I4897" i="4"/>
  <c r="H4897" i="4"/>
  <c r="I4896" i="4"/>
  <c r="H4896" i="4"/>
  <c r="I4895" i="4"/>
  <c r="H4895" i="4"/>
  <c r="I4894" i="4"/>
  <c r="H4894" i="4"/>
  <c r="I4893" i="4"/>
  <c r="H4893" i="4"/>
  <c r="I4892" i="4"/>
  <c r="H4892" i="4"/>
  <c r="I4891" i="4"/>
  <c r="H4891" i="4"/>
  <c r="I4890" i="4"/>
  <c r="H4890" i="4"/>
  <c r="I4889" i="4"/>
  <c r="H4889" i="4"/>
  <c r="I4888" i="4"/>
  <c r="H4888" i="4"/>
  <c r="I4887" i="4"/>
  <c r="H4887" i="4"/>
  <c r="I4886" i="4"/>
  <c r="H4886" i="4"/>
  <c r="I4885" i="4"/>
  <c r="H4885" i="4"/>
  <c r="I4884" i="4"/>
  <c r="H4884" i="4"/>
  <c r="I4883" i="4"/>
  <c r="H4883" i="4"/>
  <c r="I4882" i="4"/>
  <c r="H4882" i="4"/>
  <c r="I4881" i="4"/>
  <c r="H4881" i="4"/>
  <c r="I4880" i="4"/>
  <c r="H4880" i="4"/>
  <c r="I4879" i="4"/>
  <c r="H4879" i="4"/>
  <c r="I4878" i="4"/>
  <c r="H4878" i="4"/>
  <c r="I4877" i="4"/>
  <c r="H4877" i="4"/>
  <c r="I4876" i="4"/>
  <c r="H4876" i="4"/>
  <c r="I4875" i="4"/>
  <c r="H4875" i="4"/>
  <c r="I4874" i="4"/>
  <c r="H4874" i="4"/>
  <c r="I4873" i="4"/>
  <c r="H4873" i="4"/>
  <c r="I4872" i="4"/>
  <c r="H4872" i="4"/>
  <c r="I4871" i="4"/>
  <c r="H4871" i="4"/>
  <c r="I4870" i="4"/>
  <c r="H4870" i="4"/>
  <c r="I4869" i="4"/>
  <c r="H4869" i="4"/>
  <c r="I4868" i="4"/>
  <c r="H4868" i="4"/>
  <c r="I4867" i="4"/>
  <c r="H4867" i="4"/>
  <c r="I4866" i="4"/>
  <c r="H4866" i="4"/>
  <c r="I4865" i="4"/>
  <c r="H4865" i="4"/>
  <c r="I4864" i="4"/>
  <c r="H4864" i="4"/>
  <c r="I4863" i="4"/>
  <c r="H4863" i="4"/>
  <c r="I4862" i="4"/>
  <c r="H4862" i="4"/>
  <c r="I4861" i="4"/>
  <c r="H4861" i="4"/>
  <c r="I4860" i="4"/>
  <c r="H4860" i="4"/>
  <c r="I4859" i="4"/>
  <c r="H4859" i="4"/>
  <c r="I4858" i="4"/>
  <c r="H4858" i="4"/>
  <c r="I4857" i="4"/>
  <c r="H4857" i="4"/>
  <c r="I4856" i="4"/>
  <c r="H4856" i="4"/>
  <c r="I4855" i="4"/>
  <c r="H4855" i="4"/>
  <c r="I4854" i="4"/>
  <c r="H4854" i="4"/>
  <c r="I4853" i="4"/>
  <c r="H4853" i="4"/>
  <c r="I4852" i="4"/>
  <c r="H4852" i="4"/>
  <c r="I4851" i="4"/>
  <c r="H4851" i="4"/>
  <c r="I4850" i="4"/>
  <c r="H4850" i="4"/>
  <c r="I4849" i="4"/>
  <c r="H4849" i="4"/>
  <c r="I4848" i="4"/>
  <c r="H4848" i="4"/>
  <c r="I4847" i="4"/>
  <c r="H4847" i="4"/>
  <c r="I4846" i="4"/>
  <c r="H4846" i="4"/>
  <c r="I4845" i="4"/>
  <c r="H4845" i="4"/>
  <c r="I4844" i="4"/>
  <c r="H4844" i="4"/>
  <c r="I4843" i="4"/>
  <c r="H4843" i="4"/>
  <c r="I4842" i="4"/>
  <c r="H4842" i="4"/>
  <c r="I4841" i="4"/>
  <c r="H4841" i="4"/>
  <c r="I4840" i="4"/>
  <c r="H4840" i="4"/>
  <c r="I4839" i="4"/>
  <c r="H4839" i="4"/>
  <c r="I4838" i="4"/>
  <c r="H4838" i="4"/>
  <c r="I4837" i="4"/>
  <c r="H4837" i="4"/>
  <c r="I4836" i="4"/>
  <c r="H4836" i="4"/>
  <c r="I4835" i="4"/>
  <c r="H4835" i="4"/>
  <c r="I4834" i="4"/>
  <c r="H4834" i="4"/>
  <c r="I4833" i="4"/>
  <c r="H4833" i="4"/>
  <c r="I4832" i="4"/>
  <c r="H4832" i="4"/>
  <c r="I4831" i="4"/>
  <c r="H4831" i="4"/>
  <c r="I4830" i="4"/>
  <c r="H4830" i="4"/>
  <c r="I4829" i="4"/>
  <c r="H4829" i="4"/>
  <c r="I4828" i="4"/>
  <c r="H4828" i="4"/>
  <c r="I4827" i="4"/>
  <c r="H4827" i="4"/>
  <c r="I4826" i="4"/>
  <c r="H4826" i="4"/>
  <c r="I4825" i="4"/>
  <c r="H4825" i="4"/>
  <c r="I4824" i="4"/>
  <c r="H4824" i="4"/>
  <c r="I4823" i="4"/>
  <c r="H4823" i="4"/>
  <c r="I4822" i="4"/>
  <c r="H4822" i="4"/>
  <c r="I4821" i="4"/>
  <c r="H4821" i="4"/>
  <c r="I4820" i="4"/>
  <c r="H4820" i="4"/>
  <c r="I4819" i="4"/>
  <c r="H4819" i="4"/>
  <c r="I4818" i="4"/>
  <c r="H4818" i="4"/>
  <c r="I4817" i="4"/>
  <c r="H4817" i="4"/>
  <c r="I4816" i="4"/>
  <c r="H4816" i="4"/>
  <c r="I4815" i="4"/>
  <c r="H4815" i="4"/>
  <c r="I4814" i="4"/>
  <c r="H4814" i="4"/>
  <c r="I4813" i="4"/>
  <c r="H4813" i="4"/>
  <c r="I4812" i="4"/>
  <c r="H4812" i="4"/>
  <c r="I4811" i="4"/>
  <c r="H4811" i="4"/>
  <c r="I4810" i="4"/>
  <c r="H4810" i="4"/>
  <c r="I4809" i="4"/>
  <c r="H4809" i="4"/>
  <c r="I4808" i="4"/>
  <c r="H4808" i="4"/>
  <c r="I4807" i="4"/>
  <c r="H4807" i="4"/>
  <c r="I4806" i="4"/>
  <c r="H4806" i="4"/>
  <c r="I4805" i="4"/>
  <c r="H4805" i="4"/>
  <c r="I4804" i="4"/>
  <c r="H4804" i="4"/>
  <c r="I4803" i="4"/>
  <c r="H4803" i="4"/>
  <c r="I4802" i="4"/>
  <c r="H4802" i="4"/>
  <c r="I4801" i="4"/>
  <c r="H4801" i="4"/>
  <c r="I4800" i="4"/>
  <c r="H4800" i="4"/>
  <c r="I4799" i="4"/>
  <c r="H4799" i="4"/>
  <c r="I4798" i="4"/>
  <c r="H4798" i="4"/>
  <c r="I4797" i="4"/>
  <c r="H4797" i="4"/>
  <c r="I4796" i="4"/>
  <c r="H4796" i="4"/>
  <c r="I4795" i="4"/>
  <c r="H4795" i="4"/>
  <c r="I4794" i="4"/>
  <c r="H4794" i="4"/>
  <c r="I4793" i="4"/>
  <c r="H4793" i="4"/>
  <c r="I4792" i="4"/>
  <c r="H4792" i="4"/>
  <c r="I4791" i="4"/>
  <c r="H4791" i="4"/>
  <c r="I4790" i="4"/>
  <c r="H4790" i="4"/>
  <c r="I4789" i="4"/>
  <c r="H4789" i="4"/>
  <c r="I4788" i="4"/>
  <c r="H4788" i="4"/>
  <c r="I4787" i="4"/>
  <c r="H4787" i="4"/>
  <c r="I4786" i="4"/>
  <c r="H4786" i="4"/>
  <c r="I4785" i="4"/>
  <c r="H4785" i="4"/>
  <c r="I4784" i="4"/>
  <c r="H4784" i="4"/>
  <c r="I4783" i="4"/>
  <c r="H4783" i="4"/>
  <c r="I4782" i="4"/>
  <c r="H4782" i="4"/>
  <c r="I4781" i="4"/>
  <c r="H4781" i="4"/>
  <c r="I4780" i="4"/>
  <c r="H4780" i="4"/>
  <c r="I4779" i="4"/>
  <c r="H4779" i="4"/>
  <c r="I4778" i="4"/>
  <c r="H4778" i="4"/>
  <c r="I4777" i="4"/>
  <c r="H4777" i="4"/>
  <c r="I4776" i="4"/>
  <c r="H4776" i="4"/>
  <c r="I4775" i="4"/>
  <c r="H4775" i="4"/>
  <c r="I4774" i="4"/>
  <c r="H4774" i="4"/>
  <c r="I4773" i="4"/>
  <c r="H4773" i="4"/>
  <c r="I4772" i="4"/>
  <c r="H4772" i="4"/>
  <c r="I4771" i="4"/>
  <c r="H4771" i="4"/>
  <c r="I4770" i="4"/>
  <c r="H4770" i="4"/>
  <c r="I4769" i="4"/>
  <c r="H4769" i="4"/>
  <c r="I4768" i="4"/>
  <c r="H4768" i="4"/>
  <c r="I4767" i="4"/>
  <c r="H4767" i="4"/>
  <c r="I4766" i="4"/>
  <c r="H4766" i="4"/>
  <c r="I4765" i="4"/>
  <c r="H4765" i="4"/>
  <c r="I4764" i="4"/>
  <c r="H4764" i="4"/>
  <c r="I4763" i="4"/>
  <c r="H4763" i="4"/>
  <c r="I4762" i="4"/>
  <c r="H4762" i="4"/>
  <c r="I4761" i="4"/>
  <c r="H4761" i="4"/>
  <c r="I4760" i="4"/>
  <c r="H4760" i="4"/>
  <c r="I4759" i="4"/>
  <c r="H4759" i="4"/>
  <c r="I4758" i="4"/>
  <c r="H4758" i="4"/>
  <c r="I4757" i="4"/>
  <c r="H4757" i="4"/>
  <c r="I4756" i="4"/>
  <c r="H4756" i="4"/>
  <c r="I4755" i="4"/>
  <c r="H4755" i="4"/>
  <c r="I4754" i="4"/>
  <c r="H4754" i="4"/>
  <c r="I4753" i="4"/>
  <c r="H4753" i="4"/>
  <c r="I4752" i="4"/>
  <c r="H4752" i="4"/>
  <c r="I4751" i="4"/>
  <c r="H4751" i="4"/>
  <c r="I4750" i="4"/>
  <c r="H4750" i="4"/>
  <c r="I4749" i="4"/>
  <c r="H4749" i="4"/>
  <c r="I4748" i="4"/>
  <c r="H4748" i="4"/>
  <c r="I4747" i="4"/>
  <c r="H4747" i="4"/>
  <c r="I4746" i="4"/>
  <c r="H4746" i="4"/>
  <c r="I4745" i="4"/>
  <c r="H4745" i="4"/>
  <c r="I4744" i="4"/>
  <c r="H4744" i="4"/>
  <c r="I4743" i="4"/>
  <c r="H4743" i="4"/>
  <c r="I4742" i="4"/>
  <c r="H4742" i="4"/>
  <c r="I4741" i="4"/>
  <c r="H4741" i="4"/>
  <c r="I4740" i="4"/>
  <c r="H4740" i="4"/>
  <c r="I4739" i="4"/>
  <c r="H4739" i="4"/>
  <c r="I4738" i="4"/>
  <c r="H4738" i="4"/>
  <c r="I4737" i="4"/>
  <c r="H4737" i="4"/>
  <c r="I4736" i="4"/>
  <c r="H4736" i="4"/>
  <c r="I4735" i="4"/>
  <c r="H4735" i="4"/>
  <c r="I4734" i="4"/>
  <c r="H4734" i="4"/>
  <c r="I4733" i="4"/>
  <c r="H4733" i="4"/>
  <c r="I4732" i="4"/>
  <c r="H4732" i="4"/>
  <c r="I4731" i="4"/>
  <c r="H4731" i="4"/>
  <c r="I4730" i="4"/>
  <c r="H4730" i="4"/>
  <c r="I4729" i="4"/>
  <c r="H4729" i="4"/>
  <c r="I4728" i="4"/>
  <c r="H4728" i="4"/>
  <c r="I4727" i="4"/>
  <c r="H4727" i="4"/>
  <c r="I4726" i="4"/>
  <c r="H4726" i="4"/>
  <c r="I4725" i="4"/>
  <c r="H4725" i="4"/>
  <c r="I4724" i="4"/>
  <c r="H4724" i="4"/>
  <c r="I4723" i="4"/>
  <c r="H4723" i="4"/>
  <c r="I4722" i="4"/>
  <c r="H4722" i="4"/>
  <c r="I4721" i="4"/>
  <c r="H4721" i="4"/>
  <c r="I4720" i="4"/>
  <c r="H4720" i="4"/>
  <c r="I4719" i="4"/>
  <c r="H4719" i="4"/>
  <c r="I4718" i="4"/>
  <c r="H4718" i="4"/>
  <c r="I4717" i="4"/>
  <c r="H4717" i="4"/>
  <c r="I4716" i="4"/>
  <c r="H4716" i="4"/>
  <c r="I4715" i="4"/>
  <c r="H4715" i="4"/>
  <c r="I4714" i="4"/>
  <c r="H4714" i="4"/>
  <c r="I4713" i="4"/>
  <c r="H4713" i="4"/>
  <c r="I4712" i="4"/>
  <c r="H4712" i="4"/>
  <c r="I4711" i="4"/>
  <c r="H4711" i="4"/>
  <c r="I4710" i="4"/>
  <c r="H4710" i="4"/>
  <c r="I4709" i="4"/>
  <c r="H4709" i="4"/>
  <c r="I4708" i="4"/>
  <c r="H4708" i="4"/>
  <c r="I4707" i="4"/>
  <c r="H4707" i="4"/>
  <c r="I4706" i="4"/>
  <c r="H4706" i="4"/>
  <c r="I4705" i="4"/>
  <c r="H4705" i="4"/>
  <c r="I4704" i="4"/>
  <c r="H4704" i="4"/>
  <c r="I4703" i="4"/>
  <c r="H4703" i="4"/>
  <c r="I4702" i="4"/>
  <c r="H4702" i="4"/>
  <c r="I4701" i="4"/>
  <c r="H4701" i="4"/>
  <c r="I4700" i="4"/>
  <c r="H4700" i="4"/>
  <c r="I4699" i="4"/>
  <c r="H4699" i="4"/>
  <c r="I4698" i="4"/>
  <c r="H4698" i="4"/>
  <c r="I4697" i="4"/>
  <c r="H4697" i="4"/>
  <c r="I4696" i="4"/>
  <c r="H4696" i="4"/>
  <c r="I4695" i="4"/>
  <c r="H4695" i="4"/>
  <c r="I4694" i="4"/>
  <c r="H4694" i="4"/>
  <c r="I4693" i="4"/>
  <c r="H4693" i="4"/>
  <c r="I4692" i="4"/>
  <c r="H4692" i="4"/>
  <c r="I4691" i="4"/>
  <c r="H4691" i="4"/>
  <c r="I4690" i="4"/>
  <c r="H4690" i="4"/>
  <c r="I4689" i="4"/>
  <c r="H4689" i="4"/>
  <c r="I4688" i="4"/>
  <c r="H4688" i="4"/>
  <c r="I4687" i="4"/>
  <c r="H4687" i="4"/>
  <c r="I4686" i="4"/>
  <c r="H4686" i="4"/>
  <c r="I4685" i="4"/>
  <c r="H4685" i="4"/>
  <c r="I4684" i="4"/>
  <c r="H4684" i="4"/>
  <c r="I4683" i="4"/>
  <c r="H4683" i="4"/>
  <c r="I4682" i="4"/>
  <c r="H4682" i="4"/>
  <c r="I4681" i="4"/>
  <c r="H4681" i="4"/>
  <c r="I4680" i="4"/>
  <c r="H4680" i="4"/>
  <c r="I4679" i="4"/>
  <c r="H4679" i="4"/>
  <c r="I4678" i="4"/>
  <c r="H4678" i="4"/>
  <c r="I4677" i="4"/>
  <c r="H4677" i="4"/>
  <c r="I4676" i="4"/>
  <c r="H4676" i="4"/>
  <c r="I4675" i="4"/>
  <c r="H4675" i="4"/>
  <c r="I4674" i="4"/>
  <c r="H4674" i="4"/>
  <c r="I4673" i="4"/>
  <c r="H4673" i="4"/>
  <c r="I4672" i="4"/>
  <c r="H4672" i="4"/>
  <c r="I4671" i="4"/>
  <c r="H4671" i="4"/>
  <c r="I4670" i="4"/>
  <c r="H4670" i="4"/>
  <c r="I4669" i="4"/>
  <c r="H4669" i="4"/>
  <c r="I4668" i="4"/>
  <c r="H4668" i="4"/>
  <c r="I4667" i="4"/>
  <c r="H4667" i="4"/>
  <c r="I4666" i="4"/>
  <c r="H4666" i="4"/>
  <c r="I4665" i="4"/>
  <c r="H4665" i="4"/>
  <c r="I4664" i="4"/>
  <c r="H4664" i="4"/>
  <c r="I4663" i="4"/>
  <c r="H4663" i="4"/>
  <c r="I4662" i="4"/>
  <c r="H4662" i="4"/>
  <c r="I4661" i="4"/>
  <c r="H4661" i="4"/>
  <c r="I4660" i="4"/>
  <c r="H4660" i="4"/>
  <c r="I4659" i="4"/>
  <c r="H4659" i="4"/>
  <c r="I4658" i="4"/>
  <c r="H4658" i="4"/>
  <c r="I4657" i="4"/>
  <c r="H4657" i="4"/>
  <c r="I4656" i="4"/>
  <c r="H4656" i="4"/>
  <c r="I4655" i="4"/>
  <c r="H4655" i="4"/>
  <c r="I4654" i="4"/>
  <c r="H4654" i="4"/>
  <c r="I4653" i="4"/>
  <c r="H4653" i="4"/>
  <c r="I4652" i="4"/>
  <c r="H4652" i="4"/>
  <c r="I4651" i="4"/>
  <c r="H4651" i="4"/>
  <c r="I4650" i="4"/>
  <c r="H4650" i="4"/>
  <c r="I4649" i="4"/>
  <c r="H4649" i="4"/>
  <c r="I4648" i="4"/>
  <c r="H4648" i="4"/>
  <c r="I4647" i="4"/>
  <c r="H4647" i="4"/>
  <c r="I4646" i="4"/>
  <c r="H4646" i="4"/>
  <c r="I4645" i="4"/>
  <c r="H4645" i="4"/>
  <c r="I4644" i="4"/>
  <c r="H4644" i="4"/>
  <c r="I4643" i="4"/>
  <c r="H4643" i="4"/>
  <c r="I4642" i="4"/>
  <c r="H4642" i="4"/>
  <c r="I4641" i="4"/>
  <c r="H4641" i="4"/>
  <c r="I4640" i="4"/>
  <c r="H4640" i="4"/>
  <c r="I4639" i="4"/>
  <c r="H4639" i="4"/>
  <c r="I4638" i="4"/>
  <c r="H4638" i="4"/>
  <c r="I4637" i="4"/>
  <c r="H4637" i="4"/>
  <c r="I4636" i="4"/>
  <c r="H4636" i="4"/>
  <c r="I4635" i="4"/>
  <c r="H4635" i="4"/>
  <c r="I4634" i="4"/>
  <c r="H4634" i="4"/>
  <c r="I4633" i="4"/>
  <c r="H4633" i="4"/>
  <c r="I4632" i="4"/>
  <c r="H4632" i="4"/>
  <c r="I4631" i="4"/>
  <c r="H4631" i="4"/>
  <c r="I4630" i="4"/>
  <c r="H4630" i="4"/>
  <c r="I4629" i="4"/>
  <c r="H4629" i="4"/>
  <c r="I4628" i="4"/>
  <c r="H4628" i="4"/>
  <c r="I4627" i="4"/>
  <c r="H4627" i="4"/>
  <c r="I4626" i="4"/>
  <c r="H4626" i="4"/>
  <c r="I4625" i="4"/>
  <c r="H4625" i="4"/>
  <c r="I4624" i="4"/>
  <c r="H4624" i="4"/>
  <c r="I4623" i="4"/>
  <c r="H4623" i="4"/>
  <c r="I4622" i="4"/>
  <c r="H4622" i="4"/>
  <c r="I4621" i="4"/>
  <c r="H4621" i="4"/>
  <c r="I4620" i="4"/>
  <c r="H4620" i="4"/>
  <c r="I4619" i="4"/>
  <c r="H4619" i="4"/>
  <c r="I4618" i="4"/>
  <c r="H4618" i="4"/>
  <c r="I4617" i="4"/>
  <c r="H4617" i="4"/>
  <c r="I4616" i="4"/>
  <c r="H4616" i="4"/>
  <c r="I4615" i="4"/>
  <c r="H4615" i="4"/>
  <c r="I4614" i="4"/>
  <c r="H4614" i="4"/>
  <c r="I4613" i="4"/>
  <c r="H4613" i="4"/>
  <c r="I4612" i="4"/>
  <c r="H4612" i="4"/>
  <c r="I4611" i="4"/>
  <c r="H4611" i="4"/>
  <c r="I4610" i="4"/>
  <c r="H4610" i="4"/>
  <c r="I4609" i="4"/>
  <c r="H4609" i="4"/>
  <c r="I4608" i="4"/>
  <c r="H4608" i="4"/>
  <c r="I4607" i="4"/>
  <c r="H4607" i="4"/>
  <c r="I4606" i="4"/>
  <c r="H4606" i="4"/>
  <c r="I4605" i="4"/>
  <c r="H4605" i="4"/>
  <c r="I4604" i="4"/>
  <c r="H4604" i="4"/>
  <c r="I4603" i="4"/>
  <c r="H4603" i="4"/>
  <c r="I4602" i="4"/>
  <c r="H4602" i="4"/>
  <c r="I4601" i="4"/>
  <c r="H4601" i="4"/>
  <c r="I4600" i="4"/>
  <c r="H4600" i="4"/>
  <c r="I4599" i="4"/>
  <c r="H4599" i="4"/>
  <c r="I4598" i="4"/>
  <c r="H4598" i="4"/>
  <c r="I4597" i="4"/>
  <c r="H4597" i="4"/>
  <c r="I4596" i="4"/>
  <c r="H4596" i="4"/>
  <c r="I4595" i="4"/>
  <c r="H4595" i="4"/>
  <c r="I4594" i="4"/>
  <c r="H4594" i="4"/>
  <c r="I4593" i="4"/>
  <c r="H4593" i="4"/>
  <c r="I4592" i="4"/>
  <c r="H4592" i="4"/>
  <c r="I4591" i="4"/>
  <c r="H4591" i="4"/>
  <c r="I4590" i="4"/>
  <c r="H4590" i="4"/>
  <c r="I4589" i="4"/>
  <c r="H4589" i="4"/>
  <c r="I4588" i="4"/>
  <c r="H4588" i="4"/>
  <c r="I4587" i="4"/>
  <c r="H4587" i="4"/>
  <c r="I4586" i="4"/>
  <c r="H4586" i="4"/>
  <c r="I4585" i="4"/>
  <c r="H4585" i="4"/>
  <c r="I4584" i="4"/>
  <c r="H4584" i="4"/>
  <c r="I4583" i="4"/>
  <c r="H4583" i="4"/>
  <c r="I4582" i="4"/>
  <c r="H4582" i="4"/>
  <c r="I4581" i="4"/>
  <c r="H4581" i="4"/>
  <c r="I4580" i="4"/>
  <c r="H4580" i="4"/>
  <c r="I4579" i="4"/>
  <c r="H4579" i="4"/>
  <c r="I4578" i="4"/>
  <c r="H4578" i="4"/>
  <c r="I4577" i="4"/>
  <c r="H4577" i="4"/>
  <c r="I4576" i="4"/>
  <c r="H4576" i="4"/>
  <c r="I4575" i="4"/>
  <c r="H4575" i="4"/>
  <c r="I4574" i="4"/>
  <c r="H4574" i="4"/>
  <c r="I4573" i="4"/>
  <c r="H4573" i="4"/>
  <c r="I4572" i="4"/>
  <c r="H4572" i="4"/>
  <c r="I4571" i="4"/>
  <c r="H4571" i="4"/>
  <c r="I4570" i="4"/>
  <c r="H4570" i="4"/>
  <c r="I4569" i="4"/>
  <c r="H4569" i="4"/>
  <c r="I4568" i="4"/>
  <c r="H4568" i="4"/>
  <c r="I4567" i="4"/>
  <c r="H4567" i="4"/>
  <c r="I4566" i="4"/>
  <c r="H4566" i="4"/>
  <c r="I4565" i="4"/>
  <c r="H4565" i="4"/>
  <c r="I4564" i="4"/>
  <c r="H4564" i="4"/>
  <c r="I4563" i="4"/>
  <c r="H4563" i="4"/>
  <c r="I4562" i="4"/>
  <c r="H4562" i="4"/>
  <c r="I4561" i="4"/>
  <c r="H4561" i="4"/>
  <c r="I4560" i="4"/>
  <c r="H4560" i="4"/>
  <c r="I4559" i="4"/>
  <c r="H4559" i="4"/>
  <c r="I4558" i="4"/>
  <c r="H4558" i="4"/>
  <c r="I4557" i="4"/>
  <c r="H4557" i="4"/>
  <c r="I4556" i="4"/>
  <c r="H4556" i="4"/>
  <c r="I4555" i="4"/>
  <c r="H4555" i="4"/>
  <c r="I4554" i="4"/>
  <c r="H4554" i="4"/>
  <c r="I4553" i="4"/>
  <c r="H4553" i="4"/>
  <c r="I4552" i="4"/>
  <c r="H4552" i="4"/>
  <c r="I4551" i="4"/>
  <c r="H4551" i="4"/>
  <c r="I4550" i="4"/>
  <c r="H4550" i="4"/>
  <c r="I4549" i="4"/>
  <c r="H4549" i="4"/>
  <c r="I4548" i="4"/>
  <c r="H4548" i="4"/>
  <c r="I4547" i="4"/>
  <c r="H4547" i="4"/>
  <c r="I4546" i="4"/>
  <c r="H4546" i="4"/>
  <c r="I4545" i="4"/>
  <c r="H4545" i="4"/>
  <c r="I4544" i="4"/>
  <c r="H4544" i="4"/>
  <c r="I4543" i="4"/>
  <c r="H4543" i="4"/>
  <c r="I4542" i="4"/>
  <c r="H4542" i="4"/>
  <c r="I4541" i="4"/>
  <c r="H4541" i="4"/>
  <c r="I4540" i="4"/>
  <c r="H4540" i="4"/>
  <c r="I4539" i="4"/>
  <c r="H4539" i="4"/>
  <c r="I4538" i="4"/>
  <c r="H4538" i="4"/>
  <c r="I4537" i="4"/>
  <c r="H4537" i="4"/>
  <c r="I4536" i="4"/>
  <c r="H4536" i="4"/>
  <c r="I4535" i="4"/>
  <c r="H4535" i="4"/>
  <c r="I4534" i="4"/>
  <c r="H4534" i="4"/>
  <c r="I4533" i="4"/>
  <c r="H4533" i="4"/>
  <c r="I4532" i="4"/>
  <c r="H4532" i="4"/>
  <c r="I4531" i="4"/>
  <c r="H4531" i="4"/>
  <c r="I4530" i="4"/>
  <c r="H4530" i="4"/>
  <c r="I4529" i="4"/>
  <c r="H4529" i="4"/>
  <c r="I4528" i="4"/>
  <c r="H4528" i="4"/>
  <c r="I4527" i="4"/>
  <c r="H4527" i="4"/>
  <c r="I4526" i="4"/>
  <c r="H4526" i="4"/>
  <c r="I4525" i="4"/>
  <c r="H4525" i="4"/>
  <c r="I4524" i="4"/>
  <c r="H4524" i="4"/>
  <c r="I4523" i="4"/>
  <c r="H4523" i="4"/>
  <c r="I4522" i="4"/>
  <c r="H4522" i="4"/>
  <c r="I4521" i="4"/>
  <c r="H4521" i="4"/>
  <c r="I4520" i="4"/>
  <c r="H4520" i="4"/>
  <c r="I4519" i="4"/>
  <c r="H4519" i="4"/>
  <c r="I4518" i="4"/>
  <c r="H4518" i="4"/>
  <c r="I4517" i="4"/>
  <c r="H4517" i="4"/>
  <c r="I4516" i="4"/>
  <c r="H4516" i="4"/>
  <c r="I4515" i="4"/>
  <c r="H4515" i="4"/>
  <c r="I4514" i="4"/>
  <c r="H4514" i="4"/>
  <c r="I4513" i="4"/>
  <c r="H4513" i="4"/>
  <c r="I4512" i="4"/>
  <c r="H4512" i="4"/>
  <c r="I4511" i="4"/>
  <c r="H4511" i="4"/>
  <c r="I4510" i="4"/>
  <c r="H4510" i="4"/>
  <c r="I4509" i="4"/>
  <c r="H4509" i="4"/>
  <c r="I4508" i="4"/>
  <c r="H4508" i="4"/>
  <c r="I4507" i="4"/>
  <c r="H4507" i="4"/>
  <c r="I4506" i="4"/>
  <c r="H4506" i="4"/>
  <c r="I4505" i="4"/>
  <c r="H4505" i="4"/>
  <c r="I4504" i="4"/>
  <c r="H4504" i="4"/>
  <c r="I4503" i="4"/>
  <c r="H4503" i="4"/>
  <c r="I4502" i="4"/>
  <c r="H4502" i="4"/>
  <c r="I4501" i="4"/>
  <c r="H4501" i="4"/>
  <c r="I4500" i="4"/>
  <c r="H4500" i="4"/>
  <c r="I4499" i="4"/>
  <c r="H4499" i="4"/>
  <c r="I4498" i="4"/>
  <c r="H4498" i="4"/>
  <c r="I4497" i="4"/>
  <c r="H4497" i="4"/>
  <c r="I4496" i="4"/>
  <c r="H4496" i="4"/>
  <c r="I4495" i="4"/>
  <c r="H4495" i="4"/>
  <c r="I4494" i="4"/>
  <c r="H4494" i="4"/>
  <c r="I4493" i="4"/>
  <c r="H4493" i="4"/>
  <c r="I4492" i="4"/>
  <c r="H4492" i="4"/>
  <c r="I4491" i="4"/>
  <c r="H4491" i="4"/>
  <c r="I4490" i="4"/>
  <c r="H4490" i="4"/>
  <c r="I4489" i="4"/>
  <c r="H4489" i="4"/>
  <c r="I4488" i="4"/>
  <c r="H4488" i="4"/>
  <c r="I4487" i="4"/>
  <c r="H4487" i="4"/>
  <c r="I4486" i="4"/>
  <c r="H4486" i="4"/>
  <c r="I4485" i="4"/>
  <c r="H4485" i="4"/>
  <c r="I4484" i="4"/>
  <c r="H4484" i="4"/>
  <c r="I4483" i="4"/>
  <c r="H4483" i="4"/>
  <c r="I4482" i="4"/>
  <c r="H4482" i="4"/>
  <c r="I4481" i="4"/>
  <c r="H4481" i="4"/>
  <c r="I4480" i="4"/>
  <c r="H4480" i="4"/>
  <c r="I4479" i="4"/>
  <c r="H4479" i="4"/>
  <c r="I4478" i="4"/>
  <c r="H4478" i="4"/>
  <c r="I4477" i="4"/>
  <c r="H4477" i="4"/>
  <c r="I4476" i="4"/>
  <c r="H4476" i="4"/>
  <c r="I4475" i="4"/>
  <c r="H4475" i="4"/>
  <c r="I4474" i="4"/>
  <c r="H4474" i="4"/>
  <c r="I4473" i="4"/>
  <c r="H4473" i="4"/>
  <c r="I4472" i="4"/>
  <c r="H4472" i="4"/>
  <c r="I4471" i="4"/>
  <c r="H4471" i="4"/>
  <c r="I4470" i="4"/>
  <c r="H4470" i="4"/>
  <c r="I4469" i="4"/>
  <c r="H4469" i="4"/>
  <c r="I4468" i="4"/>
  <c r="H4468" i="4"/>
  <c r="I4467" i="4"/>
  <c r="H4467" i="4"/>
  <c r="I4466" i="4"/>
  <c r="H4466" i="4"/>
  <c r="I4465" i="4"/>
  <c r="H4465" i="4"/>
  <c r="I4464" i="4"/>
  <c r="H4464" i="4"/>
  <c r="I4463" i="4"/>
  <c r="H4463" i="4"/>
  <c r="I4462" i="4"/>
  <c r="H4462" i="4"/>
  <c r="I4461" i="4"/>
  <c r="H4461" i="4"/>
  <c r="I4460" i="4"/>
  <c r="H4460" i="4"/>
  <c r="I4459" i="4"/>
  <c r="H4459" i="4"/>
  <c r="I4458" i="4"/>
  <c r="H4458" i="4"/>
  <c r="I4457" i="4"/>
  <c r="H4457" i="4"/>
  <c r="I4456" i="4"/>
  <c r="H4456" i="4"/>
  <c r="I4455" i="4"/>
  <c r="H4455" i="4"/>
  <c r="I4454" i="4"/>
  <c r="H4454" i="4"/>
  <c r="I4453" i="4"/>
  <c r="H4453" i="4"/>
  <c r="I4452" i="4"/>
  <c r="H4452" i="4"/>
  <c r="I4451" i="4"/>
  <c r="H4451" i="4"/>
  <c r="I4450" i="4"/>
  <c r="H4450" i="4"/>
  <c r="I4449" i="4"/>
  <c r="H4449" i="4"/>
  <c r="I4448" i="4"/>
  <c r="H4448" i="4"/>
  <c r="I4447" i="4"/>
  <c r="H4447" i="4"/>
  <c r="I4446" i="4"/>
  <c r="H4446" i="4"/>
  <c r="I4445" i="4"/>
  <c r="H4445" i="4"/>
  <c r="I4444" i="4"/>
  <c r="H4444" i="4"/>
  <c r="I4443" i="4"/>
  <c r="H4443" i="4"/>
  <c r="I4442" i="4"/>
  <c r="H4442" i="4"/>
  <c r="I4441" i="4"/>
  <c r="H4441" i="4"/>
  <c r="I4440" i="4"/>
  <c r="H4440" i="4"/>
  <c r="I4439" i="4"/>
  <c r="H4439" i="4"/>
  <c r="I4438" i="4"/>
  <c r="H4438" i="4"/>
  <c r="I4437" i="4"/>
  <c r="H4437" i="4"/>
  <c r="I4436" i="4"/>
  <c r="H4436" i="4"/>
  <c r="I4435" i="4"/>
  <c r="H4435" i="4"/>
  <c r="I4434" i="4"/>
  <c r="H4434" i="4"/>
  <c r="I4433" i="4"/>
  <c r="H4433" i="4"/>
  <c r="I4432" i="4"/>
  <c r="H4432" i="4"/>
  <c r="I4431" i="4"/>
  <c r="H4431" i="4"/>
  <c r="I4430" i="4"/>
  <c r="H4430" i="4"/>
  <c r="I4429" i="4"/>
  <c r="H4429" i="4"/>
  <c r="I4428" i="4"/>
  <c r="H4428" i="4"/>
  <c r="I4427" i="4"/>
  <c r="H4427" i="4"/>
  <c r="I4426" i="4"/>
  <c r="H4426" i="4"/>
  <c r="I4425" i="4"/>
  <c r="H4425" i="4"/>
  <c r="I4424" i="4"/>
  <c r="H4424" i="4"/>
  <c r="I4423" i="4"/>
  <c r="H4423" i="4"/>
  <c r="I4422" i="4"/>
  <c r="H4422" i="4"/>
  <c r="I4421" i="4"/>
  <c r="H4421" i="4"/>
  <c r="I4420" i="4"/>
  <c r="H4420" i="4"/>
  <c r="I4419" i="4"/>
  <c r="H4419" i="4"/>
  <c r="I4418" i="4"/>
  <c r="H4418" i="4"/>
  <c r="I4417" i="4"/>
  <c r="H4417" i="4"/>
  <c r="I4416" i="4"/>
  <c r="H4416" i="4"/>
  <c r="I4415" i="4"/>
  <c r="H4415" i="4"/>
  <c r="I4414" i="4"/>
  <c r="H4414" i="4"/>
  <c r="I4413" i="4"/>
  <c r="H4413" i="4"/>
  <c r="I4412" i="4"/>
  <c r="H4412" i="4"/>
  <c r="I4411" i="4"/>
  <c r="H4411" i="4"/>
  <c r="I4410" i="4"/>
  <c r="H4410" i="4"/>
  <c r="I4409" i="4"/>
  <c r="H4409" i="4"/>
  <c r="I4408" i="4"/>
  <c r="H4408" i="4"/>
  <c r="I4407" i="4"/>
  <c r="H4407" i="4"/>
  <c r="I4406" i="4"/>
  <c r="H4406" i="4"/>
  <c r="I4405" i="4"/>
  <c r="H4405" i="4"/>
  <c r="I4404" i="4"/>
  <c r="H4404" i="4"/>
  <c r="I4403" i="4"/>
  <c r="H4403" i="4"/>
  <c r="I4402" i="4"/>
  <c r="H4402" i="4"/>
  <c r="I4401" i="4"/>
  <c r="H4401" i="4"/>
  <c r="I4400" i="4"/>
  <c r="H4400" i="4"/>
  <c r="I4399" i="4"/>
  <c r="H4399" i="4"/>
  <c r="I4398" i="4"/>
  <c r="H4398" i="4"/>
  <c r="I4397" i="4"/>
  <c r="H4397" i="4"/>
  <c r="I4396" i="4"/>
  <c r="H4396" i="4"/>
  <c r="I4395" i="4"/>
  <c r="H4395" i="4"/>
  <c r="I4394" i="4"/>
  <c r="H4394" i="4"/>
  <c r="I4393" i="4"/>
  <c r="H4393" i="4"/>
  <c r="I4392" i="4"/>
  <c r="H4392" i="4"/>
  <c r="I4391" i="4"/>
  <c r="H4391" i="4"/>
  <c r="I4390" i="4"/>
  <c r="H4390" i="4"/>
  <c r="I4389" i="4"/>
  <c r="H4389" i="4"/>
  <c r="I4388" i="4"/>
  <c r="H4388" i="4"/>
  <c r="I4387" i="4"/>
  <c r="H4387" i="4"/>
  <c r="I4386" i="4"/>
  <c r="H4386" i="4"/>
  <c r="I4385" i="4"/>
  <c r="H4385" i="4"/>
  <c r="I4384" i="4"/>
  <c r="H4384" i="4"/>
  <c r="I4383" i="4"/>
  <c r="H4383" i="4"/>
  <c r="I4382" i="4"/>
  <c r="H4382" i="4"/>
  <c r="I4381" i="4"/>
  <c r="H4381" i="4"/>
  <c r="I4380" i="4"/>
  <c r="H4380" i="4"/>
  <c r="I4379" i="4"/>
  <c r="H4379" i="4"/>
  <c r="I4378" i="4"/>
  <c r="H4378" i="4"/>
  <c r="I4377" i="4"/>
  <c r="H4377" i="4"/>
  <c r="I4376" i="4"/>
  <c r="H4376" i="4"/>
  <c r="I4375" i="4"/>
  <c r="H4375" i="4"/>
  <c r="I4374" i="4"/>
  <c r="H4374" i="4"/>
  <c r="I4373" i="4"/>
  <c r="H4373" i="4"/>
  <c r="I4372" i="4"/>
  <c r="H4372" i="4"/>
  <c r="I4371" i="4"/>
  <c r="H4371" i="4"/>
  <c r="I4370" i="4"/>
  <c r="H4370" i="4"/>
  <c r="I4369" i="4"/>
  <c r="H4369" i="4"/>
  <c r="I4368" i="4"/>
  <c r="H4368" i="4"/>
  <c r="I4367" i="4"/>
  <c r="H4367" i="4"/>
  <c r="I4366" i="4"/>
  <c r="H4366" i="4"/>
  <c r="I4365" i="4"/>
  <c r="H4365" i="4"/>
  <c r="I4364" i="4"/>
  <c r="H4364" i="4"/>
  <c r="I4363" i="4"/>
  <c r="H4363" i="4"/>
  <c r="I4362" i="4"/>
  <c r="H4362" i="4"/>
  <c r="I4361" i="4"/>
  <c r="H4361" i="4"/>
  <c r="I4360" i="4"/>
  <c r="H4360" i="4"/>
  <c r="I4359" i="4"/>
  <c r="H4359" i="4"/>
  <c r="I4358" i="4"/>
  <c r="H4358" i="4"/>
  <c r="I4357" i="4"/>
  <c r="H4357" i="4"/>
  <c r="I4356" i="4"/>
  <c r="H4356" i="4"/>
  <c r="I4355" i="4"/>
  <c r="H4355" i="4"/>
  <c r="I4354" i="4"/>
  <c r="H4354" i="4"/>
  <c r="I4353" i="4"/>
  <c r="H4353" i="4"/>
  <c r="I4352" i="4"/>
  <c r="H4352" i="4"/>
  <c r="I4351" i="4"/>
  <c r="H4351" i="4"/>
  <c r="I4350" i="4"/>
  <c r="H4350" i="4"/>
  <c r="I4349" i="4"/>
  <c r="H4349" i="4"/>
  <c r="I4348" i="4"/>
  <c r="H4348" i="4"/>
  <c r="I4347" i="4"/>
  <c r="H4347" i="4"/>
  <c r="I4346" i="4"/>
  <c r="H4346" i="4"/>
  <c r="I4345" i="4"/>
  <c r="H4345" i="4"/>
  <c r="I4344" i="4"/>
  <c r="H4344" i="4"/>
  <c r="I4343" i="4"/>
  <c r="H4343" i="4"/>
  <c r="I4342" i="4"/>
  <c r="H4342" i="4"/>
  <c r="I4341" i="4"/>
  <c r="H4341" i="4"/>
  <c r="I4340" i="4"/>
  <c r="H4340" i="4"/>
  <c r="I4339" i="4"/>
  <c r="H4339" i="4"/>
  <c r="I4338" i="4"/>
  <c r="H4338" i="4"/>
  <c r="I4337" i="4"/>
  <c r="H4337" i="4"/>
  <c r="I4336" i="4"/>
  <c r="H4336" i="4"/>
  <c r="I4335" i="4"/>
  <c r="H4335" i="4"/>
  <c r="I4334" i="4"/>
  <c r="H4334" i="4"/>
  <c r="I4333" i="4"/>
  <c r="H4333" i="4"/>
  <c r="I4332" i="4"/>
  <c r="H4332" i="4"/>
  <c r="I4331" i="4"/>
  <c r="H4331" i="4"/>
  <c r="I4330" i="4"/>
  <c r="H4330" i="4"/>
  <c r="I4329" i="4"/>
  <c r="H4329" i="4"/>
  <c r="I4328" i="4"/>
  <c r="H4328" i="4"/>
  <c r="I4327" i="4"/>
  <c r="H4327" i="4"/>
  <c r="I4326" i="4"/>
  <c r="H4326" i="4"/>
  <c r="I4325" i="4"/>
  <c r="H4325" i="4"/>
  <c r="I4324" i="4"/>
  <c r="H4324" i="4"/>
  <c r="I4323" i="4"/>
  <c r="H4323" i="4"/>
  <c r="I4322" i="4"/>
  <c r="H4322" i="4"/>
  <c r="I4321" i="4"/>
  <c r="H4321" i="4"/>
  <c r="I4320" i="4"/>
  <c r="H4320" i="4"/>
  <c r="I4319" i="4"/>
  <c r="H4319" i="4"/>
  <c r="I4318" i="4"/>
  <c r="H4318" i="4"/>
  <c r="I4317" i="4"/>
  <c r="H4317" i="4"/>
  <c r="I4316" i="4"/>
  <c r="H4316" i="4"/>
  <c r="I4315" i="4"/>
  <c r="H4315" i="4"/>
  <c r="I4314" i="4"/>
  <c r="H4314" i="4"/>
  <c r="I4313" i="4"/>
  <c r="H4313" i="4"/>
  <c r="I4312" i="4"/>
  <c r="H4312" i="4"/>
  <c r="I4311" i="4"/>
  <c r="H4311" i="4"/>
  <c r="I4310" i="4"/>
  <c r="H4310" i="4"/>
  <c r="I4309" i="4"/>
  <c r="H4309" i="4"/>
  <c r="I4308" i="4"/>
  <c r="H4308" i="4"/>
  <c r="I4307" i="4"/>
  <c r="H4307" i="4"/>
  <c r="I4306" i="4"/>
  <c r="H4306" i="4"/>
  <c r="I4305" i="4"/>
  <c r="H4305" i="4"/>
  <c r="I4304" i="4"/>
  <c r="H4304" i="4"/>
  <c r="I4303" i="4"/>
  <c r="H4303" i="4"/>
  <c r="I4302" i="4"/>
  <c r="H4302" i="4"/>
  <c r="I4301" i="4"/>
  <c r="H4301" i="4"/>
  <c r="I4300" i="4"/>
  <c r="H4300" i="4"/>
  <c r="I4299" i="4"/>
  <c r="H4299" i="4"/>
  <c r="I4298" i="4"/>
  <c r="H4298" i="4"/>
  <c r="I4297" i="4"/>
  <c r="H4297" i="4"/>
  <c r="I4296" i="4"/>
  <c r="H4296" i="4"/>
  <c r="I4295" i="4"/>
  <c r="H4295" i="4"/>
  <c r="I4294" i="4"/>
  <c r="H4294" i="4"/>
  <c r="I4293" i="4"/>
  <c r="H4293" i="4"/>
  <c r="I4292" i="4"/>
  <c r="H4292" i="4"/>
  <c r="I4291" i="4"/>
  <c r="H4291" i="4"/>
  <c r="I4290" i="4"/>
  <c r="H4290" i="4"/>
  <c r="I4289" i="4"/>
  <c r="H4289" i="4"/>
  <c r="I4288" i="4"/>
  <c r="H4288" i="4"/>
  <c r="I4287" i="4"/>
  <c r="H4287" i="4"/>
  <c r="I4286" i="4"/>
  <c r="H4286" i="4"/>
  <c r="I4285" i="4"/>
  <c r="H4285" i="4"/>
  <c r="I4284" i="4"/>
  <c r="H4284" i="4"/>
  <c r="I4283" i="4"/>
  <c r="H4283" i="4"/>
  <c r="I4282" i="4"/>
  <c r="H4282" i="4"/>
  <c r="I4281" i="4"/>
  <c r="H4281" i="4"/>
  <c r="I4280" i="4"/>
  <c r="H4280" i="4"/>
  <c r="I4279" i="4"/>
  <c r="H4279" i="4"/>
  <c r="I4278" i="4"/>
  <c r="H4278" i="4"/>
  <c r="I4277" i="4"/>
  <c r="H4277" i="4"/>
  <c r="I4276" i="4"/>
  <c r="H4276" i="4"/>
  <c r="I4275" i="4"/>
  <c r="H4275" i="4"/>
  <c r="I4274" i="4"/>
  <c r="H4274" i="4"/>
  <c r="I4273" i="4"/>
  <c r="H4273" i="4"/>
  <c r="I4272" i="4"/>
  <c r="H4272" i="4"/>
  <c r="I4271" i="4"/>
  <c r="H4271" i="4"/>
  <c r="I4270" i="4"/>
  <c r="H4270" i="4"/>
  <c r="I4269" i="4"/>
  <c r="H4269" i="4"/>
  <c r="I4268" i="4"/>
  <c r="H4268" i="4"/>
  <c r="I4267" i="4"/>
  <c r="H4267" i="4"/>
  <c r="I4266" i="4"/>
  <c r="H4266" i="4"/>
  <c r="I4265" i="4"/>
  <c r="H4265" i="4"/>
  <c r="I4264" i="4"/>
  <c r="H4264" i="4"/>
  <c r="I4263" i="4"/>
  <c r="H4263" i="4"/>
  <c r="I4262" i="4"/>
  <c r="H4262" i="4"/>
  <c r="I4261" i="4"/>
  <c r="H4261" i="4"/>
  <c r="I4260" i="4"/>
  <c r="H4260" i="4"/>
  <c r="I4259" i="4"/>
  <c r="H4259" i="4"/>
  <c r="I4258" i="4"/>
  <c r="H4258" i="4"/>
  <c r="I4257" i="4"/>
  <c r="H4257" i="4"/>
  <c r="I4256" i="4"/>
  <c r="H4256" i="4"/>
  <c r="I4255" i="4"/>
  <c r="H4255" i="4"/>
  <c r="I4254" i="4"/>
  <c r="H4254" i="4"/>
  <c r="I4253" i="4"/>
  <c r="H4253" i="4"/>
  <c r="I4252" i="4"/>
  <c r="H4252" i="4"/>
  <c r="I4251" i="4"/>
  <c r="H4251" i="4"/>
  <c r="I4250" i="4"/>
  <c r="H4250" i="4"/>
  <c r="I4249" i="4"/>
  <c r="H4249" i="4"/>
  <c r="I4248" i="4"/>
  <c r="H4248" i="4"/>
  <c r="I4247" i="4"/>
  <c r="H4247" i="4"/>
  <c r="I4246" i="4"/>
  <c r="H4246" i="4"/>
  <c r="I4245" i="4"/>
  <c r="H4245" i="4"/>
  <c r="I4244" i="4"/>
  <c r="H4244" i="4"/>
  <c r="I4243" i="4"/>
  <c r="H4243" i="4"/>
  <c r="I4242" i="4"/>
  <c r="H4242" i="4"/>
  <c r="I4241" i="4"/>
  <c r="H4241" i="4"/>
  <c r="I4240" i="4"/>
  <c r="H4240" i="4"/>
  <c r="I4239" i="4"/>
  <c r="H4239" i="4"/>
  <c r="I4238" i="4"/>
  <c r="H4238" i="4"/>
  <c r="I4237" i="4"/>
  <c r="H4237" i="4"/>
  <c r="I4236" i="4"/>
  <c r="H4236" i="4"/>
  <c r="I4235" i="4"/>
  <c r="H4235" i="4"/>
  <c r="I4234" i="4"/>
  <c r="H4234" i="4"/>
  <c r="I4233" i="4"/>
  <c r="H4233" i="4"/>
  <c r="I4232" i="4"/>
  <c r="H4232" i="4"/>
  <c r="I4231" i="4"/>
  <c r="H4231" i="4"/>
  <c r="I4230" i="4"/>
  <c r="H4230" i="4"/>
  <c r="I4229" i="4"/>
  <c r="H4229" i="4"/>
  <c r="I4228" i="4"/>
  <c r="H4228" i="4"/>
  <c r="I4227" i="4"/>
  <c r="H4227" i="4"/>
  <c r="I4226" i="4"/>
  <c r="H4226" i="4"/>
  <c r="I4225" i="4"/>
  <c r="H4225" i="4"/>
  <c r="I4224" i="4"/>
  <c r="H4224" i="4"/>
  <c r="I4223" i="4"/>
  <c r="H4223" i="4"/>
  <c r="I4222" i="4"/>
  <c r="H4222" i="4"/>
  <c r="I4221" i="4"/>
  <c r="H4221" i="4"/>
  <c r="I4220" i="4"/>
  <c r="H4220" i="4"/>
  <c r="I4219" i="4"/>
  <c r="H4219" i="4"/>
  <c r="I4218" i="4"/>
  <c r="H4218" i="4"/>
  <c r="I4217" i="4"/>
  <c r="H4217" i="4"/>
  <c r="I4216" i="4"/>
  <c r="H4216" i="4"/>
  <c r="I4215" i="4"/>
  <c r="H4215" i="4"/>
  <c r="I4214" i="4"/>
  <c r="H4214" i="4"/>
  <c r="I4213" i="4"/>
  <c r="H4213" i="4"/>
  <c r="I4212" i="4"/>
  <c r="H4212" i="4"/>
  <c r="I4211" i="4"/>
  <c r="H4211" i="4"/>
  <c r="I4210" i="4"/>
  <c r="H4210" i="4"/>
  <c r="I4209" i="4"/>
  <c r="H4209" i="4"/>
  <c r="I4208" i="4"/>
  <c r="H4208" i="4"/>
  <c r="I4207" i="4"/>
  <c r="H4207" i="4"/>
  <c r="I4206" i="4"/>
  <c r="H4206" i="4"/>
  <c r="I4205" i="4"/>
  <c r="H4205" i="4"/>
  <c r="I4204" i="4"/>
  <c r="H4204" i="4"/>
  <c r="I4203" i="4"/>
  <c r="H4203" i="4"/>
  <c r="I4202" i="4"/>
  <c r="H4202" i="4"/>
  <c r="I4201" i="4"/>
  <c r="H4201" i="4"/>
  <c r="I4200" i="4"/>
  <c r="H4200" i="4"/>
  <c r="I4199" i="4"/>
  <c r="H4199" i="4"/>
  <c r="I4198" i="4"/>
  <c r="H4198" i="4"/>
  <c r="I4197" i="4"/>
  <c r="H4197" i="4"/>
  <c r="I4196" i="4"/>
  <c r="H4196" i="4"/>
  <c r="I4195" i="4"/>
  <c r="H4195" i="4"/>
  <c r="I4194" i="4"/>
  <c r="H4194" i="4"/>
  <c r="I4193" i="4"/>
  <c r="H4193" i="4"/>
  <c r="I4192" i="4"/>
  <c r="H4192" i="4"/>
  <c r="I4191" i="4"/>
  <c r="H4191" i="4"/>
  <c r="I4190" i="4"/>
  <c r="H4190" i="4"/>
  <c r="I4189" i="4"/>
  <c r="H4189" i="4"/>
  <c r="I4188" i="4"/>
  <c r="H4188" i="4"/>
  <c r="I4187" i="4"/>
  <c r="H4187" i="4"/>
  <c r="I4186" i="4"/>
  <c r="H4186" i="4"/>
  <c r="I4185" i="4"/>
  <c r="H4185" i="4"/>
  <c r="I4184" i="4"/>
  <c r="H4184" i="4"/>
  <c r="I4183" i="4"/>
  <c r="H4183" i="4"/>
  <c r="I4182" i="4"/>
  <c r="H4182" i="4"/>
  <c r="I4181" i="4"/>
  <c r="H4181" i="4"/>
  <c r="I4180" i="4"/>
  <c r="H4180" i="4"/>
  <c r="I4179" i="4"/>
  <c r="H4179" i="4"/>
  <c r="I4178" i="4"/>
  <c r="H4178" i="4"/>
  <c r="I4177" i="4"/>
  <c r="H4177" i="4"/>
  <c r="I4176" i="4"/>
  <c r="H4176" i="4"/>
  <c r="I4175" i="4"/>
  <c r="H4175" i="4"/>
  <c r="I4174" i="4"/>
  <c r="H4174" i="4"/>
  <c r="I4173" i="4"/>
  <c r="H4173" i="4"/>
  <c r="I4172" i="4"/>
  <c r="H4172" i="4"/>
  <c r="I4171" i="4"/>
  <c r="H4171" i="4"/>
  <c r="I4170" i="4"/>
  <c r="H4170" i="4"/>
  <c r="I4169" i="4"/>
  <c r="H4169" i="4"/>
  <c r="I4168" i="4"/>
  <c r="H4168" i="4"/>
  <c r="I4167" i="4"/>
  <c r="H4167" i="4"/>
  <c r="I4166" i="4"/>
  <c r="H4166" i="4"/>
  <c r="I4165" i="4"/>
  <c r="H4165" i="4"/>
  <c r="I4164" i="4"/>
  <c r="H4164" i="4"/>
  <c r="I4163" i="4"/>
  <c r="H4163" i="4"/>
  <c r="I4162" i="4"/>
  <c r="H4162" i="4"/>
  <c r="I4161" i="4"/>
  <c r="H4161" i="4"/>
  <c r="I4160" i="4"/>
  <c r="H4160" i="4"/>
  <c r="I4159" i="4"/>
  <c r="H4159" i="4"/>
  <c r="I4158" i="4"/>
  <c r="H4158" i="4"/>
  <c r="I4157" i="4"/>
  <c r="H4157" i="4"/>
  <c r="I4156" i="4"/>
  <c r="H4156" i="4"/>
  <c r="I4155" i="4"/>
  <c r="H4155" i="4"/>
  <c r="I4154" i="4"/>
  <c r="H4154" i="4"/>
  <c r="I4153" i="4"/>
  <c r="H4153" i="4"/>
  <c r="I4152" i="4"/>
  <c r="H4152" i="4"/>
  <c r="I4151" i="4"/>
  <c r="H4151" i="4"/>
  <c r="I4150" i="4"/>
  <c r="H4150" i="4"/>
  <c r="I4149" i="4"/>
  <c r="H4149" i="4"/>
  <c r="I4148" i="4"/>
  <c r="H4148" i="4"/>
  <c r="I4147" i="4"/>
  <c r="H4147" i="4"/>
  <c r="I4146" i="4"/>
  <c r="H4146" i="4"/>
  <c r="I4145" i="4"/>
  <c r="H4145" i="4"/>
  <c r="I4144" i="4"/>
  <c r="H4144" i="4"/>
  <c r="I4143" i="4"/>
  <c r="H4143" i="4"/>
  <c r="I4142" i="4"/>
  <c r="H4142" i="4"/>
  <c r="I4141" i="4"/>
  <c r="H4141" i="4"/>
  <c r="I4140" i="4"/>
  <c r="H4140" i="4"/>
  <c r="I4139" i="4"/>
  <c r="H4139" i="4"/>
  <c r="I4138" i="4"/>
  <c r="H4138" i="4"/>
  <c r="I4137" i="4"/>
  <c r="H4137" i="4"/>
  <c r="I4136" i="4"/>
  <c r="H4136" i="4"/>
  <c r="I4135" i="4"/>
  <c r="H4135" i="4"/>
  <c r="I4134" i="4"/>
  <c r="H4134" i="4"/>
  <c r="I4133" i="4"/>
  <c r="H4133" i="4"/>
  <c r="I4132" i="4"/>
  <c r="H4132" i="4"/>
  <c r="I4131" i="4"/>
  <c r="H4131" i="4"/>
  <c r="I4130" i="4"/>
  <c r="H4130" i="4"/>
  <c r="I4129" i="4"/>
  <c r="H4129" i="4"/>
  <c r="I4128" i="4"/>
  <c r="H4128" i="4"/>
  <c r="I4127" i="4"/>
  <c r="H4127" i="4"/>
  <c r="I4126" i="4"/>
  <c r="H4126" i="4"/>
  <c r="I4125" i="4"/>
  <c r="H4125" i="4"/>
  <c r="I4124" i="4"/>
  <c r="H4124" i="4"/>
  <c r="I4123" i="4"/>
  <c r="H4123" i="4"/>
  <c r="I4122" i="4"/>
  <c r="H4122" i="4"/>
  <c r="I4121" i="4"/>
  <c r="H4121" i="4"/>
  <c r="I4120" i="4"/>
  <c r="H4120" i="4"/>
  <c r="I4119" i="4"/>
  <c r="H4119" i="4"/>
  <c r="I4118" i="4"/>
  <c r="H4118" i="4"/>
  <c r="I4117" i="4"/>
  <c r="H4117" i="4"/>
  <c r="I4116" i="4"/>
  <c r="H4116" i="4"/>
  <c r="I4115" i="4"/>
  <c r="H4115" i="4"/>
  <c r="I4114" i="4"/>
  <c r="H4114" i="4"/>
  <c r="I4113" i="4"/>
  <c r="H4113" i="4"/>
  <c r="I4112" i="4"/>
  <c r="H4112" i="4"/>
  <c r="I4111" i="4"/>
  <c r="H4111" i="4"/>
  <c r="I4110" i="4"/>
  <c r="H4110" i="4"/>
  <c r="I4109" i="4"/>
  <c r="H4109" i="4"/>
  <c r="I4108" i="4"/>
  <c r="H4108" i="4"/>
  <c r="I4107" i="4"/>
  <c r="H4107" i="4"/>
  <c r="I4106" i="4"/>
  <c r="H4106" i="4"/>
  <c r="I4105" i="4"/>
  <c r="H4105" i="4"/>
  <c r="I4104" i="4"/>
  <c r="H4104" i="4"/>
  <c r="I4103" i="4"/>
  <c r="H4103" i="4"/>
  <c r="I4102" i="4"/>
  <c r="H4102" i="4"/>
  <c r="I4101" i="4"/>
  <c r="H4101" i="4"/>
  <c r="I4100" i="4"/>
  <c r="H4100" i="4"/>
  <c r="I4099" i="4"/>
  <c r="H4099" i="4"/>
  <c r="I4098" i="4"/>
  <c r="H4098" i="4"/>
  <c r="I4097" i="4"/>
  <c r="H4097" i="4"/>
  <c r="I4096" i="4"/>
  <c r="H4096" i="4"/>
  <c r="I4095" i="4"/>
  <c r="H4095" i="4"/>
  <c r="I4094" i="4"/>
  <c r="H4094" i="4"/>
  <c r="I4093" i="4"/>
  <c r="H4093" i="4"/>
  <c r="I4092" i="4"/>
  <c r="H4092" i="4"/>
  <c r="I4091" i="4"/>
  <c r="H4091" i="4"/>
  <c r="I4090" i="4"/>
  <c r="H4090" i="4"/>
  <c r="I4089" i="4"/>
  <c r="H4089" i="4"/>
  <c r="I4088" i="4"/>
  <c r="H4088" i="4"/>
  <c r="I4087" i="4"/>
  <c r="H4087" i="4"/>
  <c r="I4086" i="4"/>
  <c r="H4086" i="4"/>
  <c r="I4085" i="4"/>
  <c r="H4085" i="4"/>
  <c r="I4084" i="4"/>
  <c r="H4084" i="4"/>
  <c r="I4083" i="4"/>
  <c r="H4083" i="4"/>
  <c r="I4082" i="4"/>
  <c r="H4082" i="4"/>
  <c r="I4081" i="4"/>
  <c r="H4081" i="4"/>
  <c r="I4080" i="4"/>
  <c r="H4080" i="4"/>
  <c r="I4079" i="4"/>
  <c r="H4079" i="4"/>
  <c r="I4078" i="4"/>
  <c r="H4078" i="4"/>
  <c r="I4077" i="4"/>
  <c r="H4077" i="4"/>
  <c r="I4076" i="4"/>
  <c r="H4076" i="4"/>
  <c r="I4075" i="4"/>
  <c r="H4075" i="4"/>
  <c r="I4074" i="4"/>
  <c r="H4074" i="4"/>
  <c r="I4073" i="4"/>
  <c r="H4073" i="4"/>
  <c r="I4072" i="4"/>
  <c r="H4072" i="4"/>
  <c r="I4071" i="4"/>
  <c r="H4071" i="4"/>
  <c r="I4070" i="4"/>
  <c r="H4070" i="4"/>
  <c r="I4069" i="4"/>
  <c r="H4069" i="4"/>
  <c r="I4068" i="4"/>
  <c r="H4068" i="4"/>
  <c r="I4067" i="4"/>
  <c r="H4067" i="4"/>
  <c r="I4066" i="4"/>
  <c r="H4066" i="4"/>
  <c r="I4065" i="4"/>
  <c r="H4065" i="4"/>
  <c r="I4064" i="4"/>
  <c r="H4064" i="4"/>
  <c r="I4063" i="4"/>
  <c r="H4063" i="4"/>
  <c r="I4062" i="4"/>
  <c r="H4062" i="4"/>
  <c r="I4061" i="4"/>
  <c r="H4061" i="4"/>
  <c r="I4060" i="4"/>
  <c r="H4060" i="4"/>
  <c r="I4059" i="4"/>
  <c r="H4059" i="4"/>
  <c r="I4058" i="4"/>
  <c r="H4058" i="4"/>
  <c r="I4057" i="4"/>
  <c r="H4057" i="4"/>
  <c r="I4056" i="4"/>
  <c r="H4056" i="4"/>
  <c r="I4055" i="4"/>
  <c r="H4055" i="4"/>
  <c r="I4054" i="4"/>
  <c r="H4054" i="4"/>
  <c r="I4053" i="4"/>
  <c r="H4053" i="4"/>
  <c r="I4052" i="4"/>
  <c r="H4052" i="4"/>
  <c r="I4051" i="4"/>
  <c r="H4051" i="4"/>
  <c r="I4050" i="4"/>
  <c r="H4050" i="4"/>
  <c r="I4049" i="4"/>
  <c r="H4049" i="4"/>
  <c r="I4048" i="4"/>
  <c r="H4048" i="4"/>
  <c r="I4047" i="4"/>
  <c r="H4047" i="4"/>
  <c r="I4046" i="4"/>
  <c r="H4046" i="4"/>
  <c r="I4045" i="4"/>
  <c r="H4045" i="4"/>
  <c r="I4044" i="4"/>
  <c r="H4044" i="4"/>
  <c r="I4043" i="4"/>
  <c r="H4043" i="4"/>
  <c r="I4042" i="4"/>
  <c r="H4042" i="4"/>
  <c r="I4041" i="4"/>
  <c r="H4041" i="4"/>
  <c r="I4040" i="4"/>
  <c r="H4040" i="4"/>
  <c r="I4039" i="4"/>
  <c r="H4039" i="4"/>
  <c r="I4038" i="4"/>
  <c r="H4038" i="4"/>
  <c r="I4037" i="4"/>
  <c r="H4037" i="4"/>
  <c r="I4036" i="4"/>
  <c r="H4036" i="4"/>
  <c r="I4035" i="4"/>
  <c r="H4035" i="4"/>
  <c r="I4034" i="4"/>
  <c r="H4034" i="4"/>
  <c r="I4033" i="4"/>
  <c r="H4033" i="4"/>
  <c r="I4032" i="4"/>
  <c r="H4032" i="4"/>
  <c r="I4031" i="4"/>
  <c r="H4031" i="4"/>
  <c r="I4030" i="4"/>
  <c r="H4030" i="4"/>
  <c r="I4029" i="4"/>
  <c r="H4029" i="4"/>
  <c r="I4028" i="4"/>
  <c r="H4028" i="4"/>
  <c r="I4027" i="4"/>
  <c r="H4027" i="4"/>
  <c r="I4026" i="4"/>
  <c r="H4026" i="4"/>
  <c r="I4025" i="4"/>
  <c r="H4025" i="4"/>
  <c r="I4024" i="4"/>
  <c r="H4024" i="4"/>
  <c r="I4023" i="4"/>
  <c r="H4023" i="4"/>
  <c r="I4022" i="4"/>
  <c r="H4022" i="4"/>
  <c r="I4021" i="4"/>
  <c r="H4021" i="4"/>
  <c r="I4020" i="4"/>
  <c r="H4020" i="4"/>
  <c r="I4019" i="4"/>
  <c r="H4019" i="4"/>
  <c r="I4018" i="4"/>
  <c r="H4018" i="4"/>
  <c r="I4017" i="4"/>
  <c r="H4017" i="4"/>
  <c r="I4016" i="4"/>
  <c r="H4016" i="4"/>
  <c r="I4015" i="4"/>
  <c r="H4015" i="4"/>
  <c r="I4014" i="4"/>
  <c r="H4014" i="4"/>
  <c r="I4013" i="4"/>
  <c r="H4013" i="4"/>
  <c r="I4012" i="4"/>
  <c r="H4012" i="4"/>
  <c r="I4011" i="4"/>
  <c r="H4011" i="4"/>
  <c r="I4010" i="4"/>
  <c r="H4010" i="4"/>
  <c r="I4009" i="4"/>
  <c r="H4009" i="4"/>
  <c r="I4008" i="4"/>
  <c r="H4008" i="4"/>
  <c r="I4007" i="4"/>
  <c r="H4007" i="4"/>
  <c r="I4006" i="4"/>
  <c r="H4006" i="4"/>
  <c r="I4005" i="4"/>
  <c r="H4005" i="4"/>
  <c r="I4004" i="4"/>
  <c r="H4004" i="4"/>
  <c r="I4003" i="4"/>
  <c r="H4003" i="4"/>
  <c r="I4002" i="4"/>
  <c r="H4002" i="4"/>
  <c r="I4001" i="4"/>
  <c r="H4001" i="4"/>
  <c r="I4000" i="4"/>
  <c r="H4000" i="4"/>
  <c r="I3999" i="4"/>
  <c r="H3999" i="4"/>
  <c r="I3998" i="4"/>
  <c r="H3998" i="4"/>
  <c r="I3997" i="4"/>
  <c r="H3997" i="4"/>
  <c r="I3996" i="4"/>
  <c r="H3996" i="4"/>
  <c r="I3995" i="4"/>
  <c r="H3995" i="4"/>
  <c r="I3994" i="4"/>
  <c r="H3994" i="4"/>
  <c r="I3993" i="4"/>
  <c r="H3993" i="4"/>
  <c r="I3992" i="4"/>
  <c r="H3992" i="4"/>
  <c r="I3991" i="4"/>
  <c r="H3991" i="4"/>
  <c r="I3990" i="4"/>
  <c r="H3990" i="4"/>
  <c r="I3989" i="4"/>
  <c r="H3989" i="4"/>
  <c r="I3988" i="4"/>
  <c r="H3988" i="4"/>
  <c r="I3987" i="4"/>
  <c r="H3987" i="4"/>
  <c r="I3986" i="4"/>
  <c r="H3986" i="4"/>
  <c r="I3985" i="4"/>
  <c r="H3985" i="4"/>
  <c r="I3984" i="4"/>
  <c r="H3984" i="4"/>
  <c r="I3983" i="4"/>
  <c r="H3983" i="4"/>
  <c r="I3982" i="4"/>
  <c r="H3982" i="4"/>
  <c r="I3981" i="4"/>
  <c r="H3981" i="4"/>
  <c r="I3980" i="4"/>
  <c r="H3980" i="4"/>
  <c r="I3979" i="4"/>
  <c r="H3979" i="4"/>
  <c r="I3978" i="4"/>
  <c r="H3978" i="4"/>
  <c r="I3977" i="4"/>
  <c r="H3977" i="4"/>
  <c r="I3976" i="4"/>
  <c r="H3976" i="4"/>
  <c r="I3975" i="4"/>
  <c r="H3975" i="4"/>
  <c r="I3974" i="4"/>
  <c r="H3974" i="4"/>
  <c r="I3973" i="4"/>
  <c r="H3973" i="4"/>
  <c r="I3972" i="4"/>
  <c r="H3972" i="4"/>
  <c r="I3971" i="4"/>
  <c r="H3971" i="4"/>
  <c r="I3970" i="4"/>
  <c r="H3970" i="4"/>
  <c r="I3969" i="4"/>
  <c r="H3969" i="4"/>
  <c r="I3968" i="4"/>
  <c r="H3968" i="4"/>
  <c r="I3967" i="4"/>
  <c r="H3967" i="4"/>
  <c r="I3966" i="4"/>
  <c r="H3966" i="4"/>
  <c r="I3965" i="4"/>
  <c r="H3965" i="4"/>
  <c r="I3964" i="4"/>
  <c r="H3964" i="4"/>
  <c r="I3963" i="4"/>
  <c r="H3963" i="4"/>
  <c r="I3962" i="4"/>
  <c r="H3962" i="4"/>
  <c r="I3961" i="4"/>
  <c r="H3961" i="4"/>
  <c r="I3960" i="4"/>
  <c r="H3960" i="4"/>
  <c r="I3959" i="4"/>
  <c r="H3959" i="4"/>
  <c r="I3958" i="4"/>
  <c r="H3958" i="4"/>
  <c r="I3957" i="4"/>
  <c r="H3957" i="4"/>
  <c r="I3956" i="4"/>
  <c r="H3956" i="4"/>
  <c r="I3955" i="4"/>
  <c r="H3955" i="4"/>
  <c r="I3954" i="4"/>
  <c r="H3954" i="4"/>
  <c r="I3953" i="4"/>
  <c r="H3953" i="4"/>
  <c r="I3952" i="4"/>
  <c r="H3952" i="4"/>
  <c r="I3951" i="4"/>
  <c r="H3951" i="4"/>
  <c r="I3950" i="4"/>
  <c r="H3950" i="4"/>
  <c r="I3949" i="4"/>
  <c r="H3949" i="4"/>
  <c r="I3948" i="4"/>
  <c r="H3948" i="4"/>
  <c r="I3947" i="4"/>
  <c r="H3947" i="4"/>
  <c r="I3946" i="4"/>
  <c r="H3946" i="4"/>
  <c r="I3945" i="4"/>
  <c r="H3945" i="4"/>
  <c r="I3944" i="4"/>
  <c r="H3944" i="4"/>
  <c r="I3943" i="4"/>
  <c r="H3943" i="4"/>
  <c r="I3942" i="4"/>
  <c r="H3942" i="4"/>
  <c r="I3941" i="4"/>
  <c r="H3941" i="4"/>
  <c r="I3940" i="4"/>
  <c r="H3940" i="4"/>
  <c r="I3939" i="4"/>
  <c r="H3939" i="4"/>
  <c r="I3938" i="4"/>
  <c r="H3938" i="4"/>
  <c r="I3937" i="4"/>
  <c r="H3937" i="4"/>
  <c r="I3936" i="4"/>
  <c r="H3936" i="4"/>
  <c r="I3935" i="4"/>
  <c r="H3935" i="4"/>
  <c r="I3934" i="4"/>
  <c r="H3934" i="4"/>
  <c r="I3933" i="4"/>
  <c r="H3933" i="4"/>
  <c r="I3932" i="4"/>
  <c r="H3932" i="4"/>
  <c r="I3931" i="4"/>
  <c r="H3931" i="4"/>
  <c r="I3930" i="4"/>
  <c r="H3930" i="4"/>
  <c r="I3929" i="4"/>
  <c r="H3929" i="4"/>
  <c r="I3928" i="4"/>
  <c r="H3928" i="4"/>
  <c r="I3927" i="4"/>
  <c r="H3927" i="4"/>
  <c r="I3926" i="4"/>
  <c r="H3926" i="4"/>
  <c r="I3925" i="4"/>
  <c r="H3925" i="4"/>
  <c r="I3924" i="4"/>
  <c r="H3924" i="4"/>
  <c r="I3923" i="4"/>
  <c r="H3923" i="4"/>
  <c r="I3922" i="4"/>
  <c r="H3922" i="4"/>
  <c r="I3921" i="4"/>
  <c r="H3921" i="4"/>
  <c r="I3920" i="4"/>
  <c r="H3920" i="4"/>
  <c r="I3919" i="4"/>
  <c r="H3919" i="4"/>
  <c r="I3918" i="4"/>
  <c r="H3918" i="4"/>
  <c r="I3917" i="4"/>
  <c r="H3917" i="4"/>
  <c r="I3916" i="4"/>
  <c r="H3916" i="4"/>
  <c r="I3915" i="4"/>
  <c r="H3915" i="4"/>
  <c r="I3914" i="4"/>
  <c r="H3914" i="4"/>
  <c r="I3913" i="4"/>
  <c r="H3913" i="4"/>
  <c r="I3912" i="4"/>
  <c r="H3912" i="4"/>
  <c r="I3911" i="4"/>
  <c r="H3911" i="4"/>
  <c r="I3910" i="4"/>
  <c r="H3910" i="4"/>
  <c r="I3909" i="4"/>
  <c r="H3909" i="4"/>
  <c r="I3908" i="4"/>
  <c r="H3908" i="4"/>
  <c r="I3907" i="4"/>
  <c r="H3907" i="4"/>
  <c r="I3906" i="4"/>
  <c r="H3906" i="4"/>
  <c r="I3905" i="4"/>
  <c r="H3905" i="4"/>
  <c r="I3904" i="4"/>
  <c r="H3904" i="4"/>
  <c r="I3903" i="4"/>
  <c r="H3903" i="4"/>
  <c r="I3902" i="4"/>
  <c r="H3902" i="4"/>
  <c r="I3901" i="4"/>
  <c r="H3901" i="4"/>
  <c r="I3900" i="4"/>
  <c r="H3900" i="4"/>
  <c r="I3899" i="4"/>
  <c r="H3899" i="4"/>
  <c r="I3898" i="4"/>
  <c r="H3898" i="4"/>
  <c r="I3897" i="4"/>
  <c r="H3897" i="4"/>
  <c r="I3896" i="4"/>
  <c r="H3896" i="4"/>
  <c r="I3895" i="4"/>
  <c r="H3895" i="4"/>
  <c r="I3894" i="4"/>
  <c r="H3894" i="4"/>
  <c r="I3893" i="4"/>
  <c r="H3893" i="4"/>
  <c r="I3892" i="4"/>
  <c r="H3892" i="4"/>
  <c r="I3891" i="4"/>
  <c r="H3891" i="4"/>
  <c r="I3890" i="4"/>
  <c r="H3890" i="4"/>
  <c r="I3889" i="4"/>
  <c r="H3889" i="4"/>
  <c r="I3888" i="4"/>
  <c r="H3888" i="4"/>
  <c r="I3887" i="4"/>
  <c r="H3887" i="4"/>
  <c r="I3886" i="4"/>
  <c r="H3886" i="4"/>
  <c r="I3885" i="4"/>
  <c r="H3885" i="4"/>
  <c r="I3884" i="4"/>
  <c r="H3884" i="4"/>
  <c r="I3883" i="4"/>
  <c r="H3883" i="4"/>
  <c r="I3882" i="4"/>
  <c r="H3882" i="4"/>
  <c r="I3881" i="4"/>
  <c r="H3881" i="4"/>
  <c r="I3880" i="4"/>
  <c r="H3880" i="4"/>
  <c r="I3879" i="4"/>
  <c r="H3879" i="4"/>
  <c r="I3878" i="4"/>
  <c r="H3878" i="4"/>
  <c r="I3877" i="4"/>
  <c r="H3877" i="4"/>
  <c r="I3876" i="4"/>
  <c r="H3876" i="4"/>
  <c r="I3875" i="4"/>
  <c r="H3875" i="4"/>
  <c r="I3874" i="4"/>
  <c r="H3874" i="4"/>
  <c r="I3873" i="4"/>
  <c r="H3873" i="4"/>
  <c r="I3872" i="4"/>
  <c r="H3872" i="4"/>
  <c r="I3871" i="4"/>
  <c r="H3871" i="4"/>
  <c r="I3870" i="4"/>
  <c r="H3870" i="4"/>
  <c r="I3869" i="4"/>
  <c r="H3869" i="4"/>
  <c r="I3868" i="4"/>
  <c r="H3868" i="4"/>
  <c r="I3867" i="4"/>
  <c r="H3867" i="4"/>
  <c r="I3866" i="4"/>
  <c r="H3866" i="4"/>
  <c r="I3865" i="4"/>
  <c r="H3865" i="4"/>
  <c r="I3864" i="4"/>
  <c r="H3864" i="4"/>
  <c r="I3863" i="4"/>
  <c r="H3863" i="4"/>
  <c r="I3862" i="4"/>
  <c r="H3862" i="4"/>
  <c r="I3861" i="4"/>
  <c r="H3861" i="4"/>
  <c r="I3860" i="4"/>
  <c r="H3860" i="4"/>
  <c r="I3859" i="4"/>
  <c r="H3859" i="4"/>
  <c r="I3858" i="4"/>
  <c r="H3858" i="4"/>
  <c r="I3857" i="4"/>
  <c r="H3857" i="4"/>
  <c r="I3856" i="4"/>
  <c r="H3856" i="4"/>
  <c r="I3855" i="4"/>
  <c r="H3855" i="4"/>
  <c r="I3854" i="4"/>
  <c r="H3854" i="4"/>
  <c r="I3853" i="4"/>
  <c r="H3853" i="4"/>
  <c r="I3852" i="4"/>
  <c r="H3852" i="4"/>
  <c r="I3851" i="4"/>
  <c r="H3851" i="4"/>
  <c r="I3850" i="4"/>
  <c r="H3850" i="4"/>
  <c r="I3849" i="4"/>
  <c r="H3849" i="4"/>
  <c r="I3848" i="4"/>
  <c r="H3848" i="4"/>
  <c r="I3847" i="4"/>
  <c r="H3847" i="4"/>
  <c r="I3846" i="4"/>
  <c r="H3846" i="4"/>
  <c r="I3845" i="4"/>
  <c r="H3845" i="4"/>
  <c r="I3844" i="4"/>
  <c r="H3844" i="4"/>
  <c r="I3843" i="4"/>
  <c r="H3843" i="4"/>
  <c r="I3842" i="4"/>
  <c r="H3842" i="4"/>
  <c r="I3841" i="4"/>
  <c r="H3841" i="4"/>
  <c r="I3840" i="4"/>
  <c r="H3840" i="4"/>
  <c r="I3839" i="4"/>
  <c r="H3839" i="4"/>
  <c r="I3838" i="4"/>
  <c r="H3838" i="4"/>
  <c r="I3837" i="4"/>
  <c r="H3837" i="4"/>
  <c r="I3836" i="4"/>
  <c r="H3836" i="4"/>
  <c r="I3835" i="4"/>
  <c r="H3835" i="4"/>
  <c r="I3834" i="4"/>
  <c r="H3834" i="4"/>
  <c r="I3833" i="4"/>
  <c r="H3833" i="4"/>
  <c r="I3832" i="4"/>
  <c r="H3832" i="4"/>
  <c r="I3831" i="4"/>
  <c r="H3831" i="4"/>
  <c r="I3830" i="4"/>
  <c r="H3830" i="4"/>
  <c r="I3829" i="4"/>
  <c r="H3829" i="4"/>
  <c r="I3828" i="4"/>
  <c r="H3828" i="4"/>
  <c r="I3827" i="4"/>
  <c r="H3827" i="4"/>
  <c r="I3826" i="4"/>
  <c r="H3826" i="4"/>
  <c r="I3825" i="4"/>
  <c r="H3825" i="4"/>
  <c r="I3824" i="4"/>
  <c r="H3824" i="4"/>
  <c r="I3823" i="4"/>
  <c r="H3823" i="4"/>
  <c r="I3822" i="4"/>
  <c r="H3822" i="4"/>
  <c r="I3821" i="4"/>
  <c r="H3821" i="4"/>
  <c r="I3820" i="4"/>
  <c r="H3820" i="4"/>
  <c r="I3819" i="4"/>
  <c r="H3819" i="4"/>
  <c r="I3818" i="4"/>
  <c r="H3818" i="4"/>
  <c r="I3817" i="4"/>
  <c r="H3817" i="4"/>
  <c r="I3816" i="4"/>
  <c r="H3816" i="4"/>
  <c r="I3815" i="4"/>
  <c r="H3815" i="4"/>
  <c r="I3814" i="4"/>
  <c r="H3814" i="4"/>
  <c r="I3813" i="4"/>
  <c r="H3813" i="4"/>
  <c r="I3812" i="4"/>
  <c r="H3812" i="4"/>
  <c r="I3811" i="4"/>
  <c r="H3811" i="4"/>
  <c r="I3810" i="4"/>
  <c r="H3810" i="4"/>
  <c r="I3809" i="4"/>
  <c r="H3809" i="4"/>
  <c r="I3808" i="4"/>
  <c r="H3808" i="4"/>
  <c r="I3807" i="4"/>
  <c r="H3807" i="4"/>
  <c r="I3806" i="4"/>
  <c r="H3806" i="4"/>
  <c r="I3805" i="4"/>
  <c r="H3805" i="4"/>
  <c r="I3804" i="4"/>
  <c r="H3804" i="4"/>
  <c r="I3803" i="4"/>
  <c r="H3803" i="4"/>
  <c r="I3802" i="4"/>
  <c r="H3802" i="4"/>
  <c r="I3801" i="4"/>
  <c r="H3801" i="4"/>
  <c r="I3800" i="4"/>
  <c r="H3800" i="4"/>
  <c r="I3799" i="4"/>
  <c r="H3799" i="4"/>
  <c r="I3798" i="4"/>
  <c r="H3798" i="4"/>
  <c r="I3797" i="4"/>
  <c r="H3797" i="4"/>
  <c r="I3796" i="4"/>
  <c r="H3796" i="4"/>
  <c r="I3795" i="4"/>
  <c r="H3795" i="4"/>
  <c r="I3794" i="4"/>
  <c r="H3794" i="4"/>
  <c r="I3793" i="4"/>
  <c r="H3793" i="4"/>
  <c r="I3792" i="4"/>
  <c r="H3792" i="4"/>
  <c r="I3791" i="4"/>
  <c r="H3791" i="4"/>
  <c r="I3790" i="4"/>
  <c r="H3790" i="4"/>
  <c r="I3789" i="4"/>
  <c r="H3789" i="4"/>
  <c r="I3788" i="4"/>
  <c r="H3788" i="4"/>
  <c r="I3787" i="4"/>
  <c r="H3787" i="4"/>
  <c r="I3786" i="4"/>
  <c r="H3786" i="4"/>
  <c r="I3785" i="4"/>
  <c r="H3785" i="4"/>
  <c r="I3784" i="4"/>
  <c r="H3784" i="4"/>
  <c r="I3783" i="4"/>
  <c r="H3783" i="4"/>
  <c r="I3782" i="4"/>
  <c r="H3782" i="4"/>
  <c r="I3781" i="4"/>
  <c r="H3781" i="4"/>
  <c r="I3780" i="4"/>
  <c r="H3780" i="4"/>
  <c r="I3779" i="4"/>
  <c r="H3779" i="4"/>
  <c r="I3778" i="4"/>
  <c r="H3778" i="4"/>
  <c r="I3777" i="4"/>
  <c r="H3777" i="4"/>
  <c r="I3776" i="4"/>
  <c r="H3776" i="4"/>
  <c r="I3775" i="4"/>
  <c r="H3775" i="4"/>
  <c r="I3774" i="4"/>
  <c r="H3774" i="4"/>
  <c r="I3773" i="4"/>
  <c r="H3773" i="4"/>
  <c r="I3772" i="4"/>
  <c r="H3772" i="4"/>
  <c r="I3771" i="4"/>
  <c r="H3771" i="4"/>
  <c r="I3770" i="4"/>
  <c r="H3770" i="4"/>
  <c r="I3769" i="4"/>
  <c r="H3769" i="4"/>
  <c r="I3768" i="4"/>
  <c r="H3768" i="4"/>
  <c r="I3767" i="4"/>
  <c r="H3767" i="4"/>
  <c r="I3766" i="4"/>
  <c r="H3766" i="4"/>
  <c r="I3765" i="4"/>
  <c r="H3765" i="4"/>
  <c r="I3764" i="4"/>
  <c r="H3764" i="4"/>
  <c r="I3763" i="4"/>
  <c r="H3763" i="4"/>
  <c r="I3762" i="4"/>
  <c r="H3762" i="4"/>
  <c r="I3761" i="4"/>
  <c r="H3761" i="4"/>
  <c r="I3760" i="4"/>
  <c r="H3760" i="4"/>
  <c r="I3759" i="4"/>
  <c r="H3759" i="4"/>
  <c r="I3758" i="4"/>
  <c r="H3758" i="4"/>
  <c r="I3757" i="4"/>
  <c r="H3757" i="4"/>
  <c r="I3756" i="4"/>
  <c r="H3756" i="4"/>
  <c r="I3755" i="4"/>
  <c r="H3755" i="4"/>
  <c r="I3754" i="4"/>
  <c r="H3754" i="4"/>
  <c r="I3753" i="4"/>
  <c r="H3753" i="4"/>
  <c r="I3752" i="4"/>
  <c r="H3752" i="4"/>
  <c r="I3751" i="4"/>
  <c r="H3751" i="4"/>
  <c r="I3750" i="4"/>
  <c r="H3750" i="4"/>
  <c r="I3749" i="4"/>
  <c r="H3749" i="4"/>
  <c r="I3748" i="4"/>
  <c r="H3748" i="4"/>
  <c r="I3747" i="4"/>
  <c r="H3747" i="4"/>
  <c r="I3746" i="4"/>
  <c r="H3746" i="4"/>
  <c r="I3745" i="4"/>
  <c r="H3745" i="4"/>
  <c r="I3744" i="4"/>
  <c r="H3744" i="4"/>
  <c r="I3743" i="4"/>
  <c r="H3743" i="4"/>
  <c r="I3742" i="4"/>
  <c r="H3742" i="4"/>
  <c r="I3741" i="4"/>
  <c r="H3741" i="4"/>
  <c r="I3740" i="4"/>
  <c r="H3740" i="4"/>
  <c r="I3739" i="4"/>
  <c r="H3739" i="4"/>
  <c r="I3738" i="4"/>
  <c r="H3738" i="4"/>
  <c r="I3737" i="4"/>
  <c r="H3737" i="4"/>
  <c r="I3736" i="4"/>
  <c r="H3736" i="4"/>
  <c r="I3735" i="4"/>
  <c r="H3735" i="4"/>
  <c r="I3734" i="4"/>
  <c r="H3734" i="4"/>
  <c r="I3733" i="4"/>
  <c r="H3733" i="4"/>
  <c r="I3732" i="4"/>
  <c r="H3732" i="4"/>
  <c r="I3731" i="4"/>
  <c r="H3731" i="4"/>
  <c r="I3730" i="4"/>
  <c r="H3730" i="4"/>
  <c r="I3729" i="4"/>
  <c r="H3729" i="4"/>
  <c r="I3728" i="4"/>
  <c r="H3728" i="4"/>
  <c r="I3727" i="4"/>
  <c r="H3727" i="4"/>
  <c r="I3726" i="4"/>
  <c r="H3726" i="4"/>
  <c r="I3725" i="4"/>
  <c r="H3725" i="4"/>
  <c r="I3724" i="4"/>
  <c r="H3724" i="4"/>
  <c r="I3723" i="4"/>
  <c r="H3723" i="4"/>
  <c r="I3722" i="4"/>
  <c r="H3722" i="4"/>
  <c r="I3721" i="4"/>
  <c r="H3721" i="4"/>
  <c r="I3720" i="4"/>
  <c r="H3720" i="4"/>
  <c r="I3719" i="4"/>
  <c r="H3719" i="4"/>
  <c r="I3718" i="4"/>
  <c r="H3718" i="4"/>
  <c r="I3717" i="4"/>
  <c r="H3717" i="4"/>
  <c r="I3716" i="4"/>
  <c r="H3716" i="4"/>
  <c r="I3715" i="4"/>
  <c r="H3715" i="4"/>
  <c r="I3714" i="4"/>
  <c r="H3714" i="4"/>
  <c r="I3713" i="4"/>
  <c r="H3713" i="4"/>
  <c r="I3712" i="4"/>
  <c r="H3712" i="4"/>
  <c r="I3711" i="4"/>
  <c r="H3711" i="4"/>
  <c r="I3710" i="4"/>
  <c r="H3710" i="4"/>
  <c r="I3709" i="4"/>
  <c r="H3709" i="4"/>
  <c r="I3708" i="4"/>
  <c r="H3708" i="4"/>
  <c r="I3707" i="4"/>
  <c r="H3707" i="4"/>
  <c r="I3706" i="4"/>
  <c r="H3706" i="4"/>
  <c r="I3705" i="4"/>
  <c r="H3705" i="4"/>
  <c r="I3704" i="4"/>
  <c r="H3704" i="4"/>
  <c r="I3703" i="4"/>
  <c r="H3703" i="4"/>
  <c r="I3702" i="4"/>
  <c r="H3702" i="4"/>
  <c r="I3701" i="4"/>
  <c r="H3701" i="4"/>
  <c r="I3700" i="4"/>
  <c r="H3700" i="4"/>
  <c r="I3699" i="4"/>
  <c r="H3699" i="4"/>
  <c r="I3698" i="4"/>
  <c r="H3698" i="4"/>
  <c r="I3697" i="4"/>
  <c r="H3697" i="4"/>
  <c r="I3696" i="4"/>
  <c r="H3696" i="4"/>
  <c r="I3695" i="4"/>
  <c r="H3695" i="4"/>
  <c r="I3694" i="4"/>
  <c r="H3694" i="4"/>
  <c r="I3693" i="4"/>
  <c r="H3693" i="4"/>
  <c r="I3692" i="4"/>
  <c r="H3692" i="4"/>
  <c r="I3691" i="4"/>
  <c r="H3691" i="4"/>
  <c r="I3690" i="4"/>
  <c r="H3690" i="4"/>
  <c r="I3689" i="4"/>
  <c r="H3689" i="4"/>
  <c r="I3688" i="4"/>
  <c r="H3688" i="4"/>
  <c r="I3687" i="4"/>
  <c r="H3687" i="4"/>
  <c r="I3686" i="4"/>
  <c r="H3686" i="4"/>
  <c r="I3685" i="4"/>
  <c r="H3685" i="4"/>
  <c r="I3684" i="4"/>
  <c r="H3684" i="4"/>
  <c r="I3683" i="4"/>
  <c r="H3683" i="4"/>
  <c r="I3682" i="4"/>
  <c r="H3682" i="4"/>
  <c r="I3681" i="4"/>
  <c r="H3681" i="4"/>
  <c r="I3680" i="4"/>
  <c r="H3680" i="4"/>
  <c r="I3679" i="4"/>
  <c r="H3679" i="4"/>
  <c r="I3678" i="4"/>
  <c r="H3678" i="4"/>
  <c r="I3677" i="4"/>
  <c r="H3677" i="4"/>
  <c r="I3676" i="4"/>
  <c r="H3676" i="4"/>
  <c r="I3675" i="4"/>
  <c r="H3675" i="4"/>
  <c r="I3674" i="4"/>
  <c r="H3674" i="4"/>
  <c r="I3673" i="4"/>
  <c r="H3673" i="4"/>
  <c r="I3672" i="4"/>
  <c r="H3672" i="4"/>
  <c r="I3671" i="4"/>
  <c r="H3671" i="4"/>
  <c r="I3670" i="4"/>
  <c r="H3670" i="4"/>
  <c r="I3669" i="4"/>
  <c r="H3669" i="4"/>
  <c r="I3668" i="4"/>
  <c r="H3668" i="4"/>
  <c r="I3667" i="4"/>
  <c r="H3667" i="4"/>
  <c r="I3666" i="4"/>
  <c r="H3666" i="4"/>
  <c r="I3665" i="4"/>
  <c r="H3665" i="4"/>
  <c r="I3664" i="4"/>
  <c r="H3664" i="4"/>
  <c r="I3663" i="4"/>
  <c r="H3663" i="4"/>
  <c r="I3662" i="4"/>
  <c r="H3662" i="4"/>
  <c r="I3661" i="4"/>
  <c r="H3661" i="4"/>
  <c r="I3660" i="4"/>
  <c r="H3660" i="4"/>
  <c r="I3659" i="4"/>
  <c r="H3659" i="4"/>
  <c r="I3658" i="4"/>
  <c r="H3658" i="4"/>
  <c r="I3657" i="4"/>
  <c r="H3657" i="4"/>
  <c r="I3656" i="4"/>
  <c r="H3656" i="4"/>
  <c r="I3655" i="4"/>
  <c r="H3655" i="4"/>
  <c r="I3654" i="4"/>
  <c r="H3654" i="4"/>
  <c r="I3653" i="4"/>
  <c r="H3653" i="4"/>
  <c r="I3652" i="4"/>
  <c r="H3652" i="4"/>
  <c r="I3651" i="4"/>
  <c r="H3651" i="4"/>
  <c r="I3650" i="4"/>
  <c r="H3650" i="4"/>
  <c r="I3649" i="4"/>
  <c r="H3649" i="4"/>
  <c r="I3648" i="4"/>
  <c r="H3648" i="4"/>
  <c r="I3647" i="4"/>
  <c r="H3647" i="4"/>
  <c r="I3646" i="4"/>
  <c r="H3646" i="4"/>
  <c r="I3645" i="4"/>
  <c r="H3645" i="4"/>
  <c r="I3644" i="4"/>
  <c r="H3644" i="4"/>
  <c r="I3643" i="4"/>
  <c r="H3643" i="4"/>
  <c r="I3642" i="4"/>
  <c r="H3642" i="4"/>
  <c r="I3641" i="4"/>
  <c r="H3641" i="4"/>
  <c r="I3640" i="4"/>
  <c r="H3640" i="4"/>
  <c r="I3639" i="4"/>
  <c r="H3639" i="4"/>
  <c r="I3638" i="4"/>
  <c r="H3638" i="4"/>
  <c r="I3637" i="4"/>
  <c r="H3637" i="4"/>
  <c r="I3636" i="4"/>
  <c r="H3636" i="4"/>
  <c r="I3635" i="4"/>
  <c r="H3635" i="4"/>
  <c r="I3634" i="4"/>
  <c r="H3634" i="4"/>
  <c r="I3633" i="4"/>
  <c r="H3633" i="4"/>
  <c r="I3632" i="4"/>
  <c r="H3632" i="4"/>
  <c r="I3631" i="4"/>
  <c r="H3631" i="4"/>
  <c r="I3630" i="4"/>
  <c r="H3630" i="4"/>
  <c r="I3629" i="4"/>
  <c r="H3629" i="4"/>
  <c r="I3628" i="4"/>
  <c r="H3628" i="4"/>
  <c r="I3627" i="4"/>
  <c r="H3627" i="4"/>
  <c r="I3626" i="4"/>
  <c r="H3626" i="4"/>
  <c r="I3625" i="4"/>
  <c r="H3625" i="4"/>
  <c r="I3624" i="4"/>
  <c r="H3624" i="4"/>
  <c r="I3623" i="4"/>
  <c r="H3623" i="4"/>
  <c r="I3622" i="4"/>
  <c r="H3622" i="4"/>
  <c r="I3621" i="4"/>
  <c r="H3621" i="4"/>
  <c r="I3620" i="4"/>
  <c r="H3620" i="4"/>
  <c r="I3619" i="4"/>
  <c r="H3619" i="4"/>
  <c r="I3618" i="4"/>
  <c r="H3618" i="4"/>
  <c r="I3617" i="4"/>
  <c r="H3617" i="4"/>
  <c r="I3616" i="4"/>
  <c r="H3616" i="4"/>
  <c r="I3615" i="4"/>
  <c r="H3615" i="4"/>
  <c r="I3614" i="4"/>
  <c r="H3614" i="4"/>
  <c r="I3613" i="4"/>
  <c r="H3613" i="4"/>
  <c r="I3612" i="4"/>
  <c r="H3612" i="4"/>
  <c r="I3611" i="4"/>
  <c r="H3611" i="4"/>
  <c r="I3610" i="4"/>
  <c r="H3610" i="4"/>
  <c r="I3609" i="4"/>
  <c r="H3609" i="4"/>
  <c r="I3608" i="4"/>
  <c r="H3608" i="4"/>
  <c r="I3607" i="4"/>
  <c r="H3607" i="4"/>
  <c r="I3606" i="4"/>
  <c r="H3606" i="4"/>
  <c r="I3605" i="4"/>
  <c r="H3605" i="4"/>
  <c r="I3604" i="4"/>
  <c r="H3604" i="4"/>
  <c r="I3603" i="4"/>
  <c r="H3603" i="4"/>
  <c r="I3602" i="4"/>
  <c r="H3602" i="4"/>
  <c r="I3601" i="4"/>
  <c r="H3601" i="4"/>
  <c r="I3600" i="4"/>
  <c r="H3600" i="4"/>
  <c r="I3599" i="4"/>
  <c r="H3599" i="4"/>
  <c r="I3598" i="4"/>
  <c r="H3598" i="4"/>
  <c r="I3597" i="4"/>
  <c r="H3597" i="4"/>
  <c r="I3596" i="4"/>
  <c r="H3596" i="4"/>
  <c r="I3595" i="4"/>
  <c r="H3595" i="4"/>
  <c r="I3594" i="4"/>
  <c r="H3594" i="4"/>
  <c r="I3593" i="4"/>
  <c r="H3593" i="4"/>
  <c r="I3592" i="4"/>
  <c r="H3592" i="4"/>
  <c r="I3591" i="4"/>
  <c r="H3591" i="4"/>
  <c r="I3590" i="4"/>
  <c r="H3590" i="4"/>
  <c r="I3589" i="4"/>
  <c r="H3589" i="4"/>
  <c r="I3588" i="4"/>
  <c r="H3588" i="4"/>
  <c r="I3587" i="4"/>
  <c r="H3587" i="4"/>
  <c r="I3586" i="4"/>
  <c r="H3586" i="4"/>
  <c r="I3585" i="4"/>
  <c r="H3585" i="4"/>
  <c r="I3584" i="4"/>
  <c r="H3584" i="4"/>
  <c r="I3583" i="4"/>
  <c r="H3583" i="4"/>
  <c r="I3582" i="4"/>
  <c r="H3582" i="4"/>
  <c r="I3581" i="4"/>
  <c r="H3581" i="4"/>
  <c r="I3580" i="4"/>
  <c r="H3580" i="4"/>
  <c r="I3579" i="4"/>
  <c r="H3579" i="4"/>
  <c r="I3578" i="4"/>
  <c r="H3578" i="4"/>
  <c r="I3577" i="4"/>
  <c r="H3577" i="4"/>
  <c r="I3576" i="4"/>
  <c r="H3576" i="4"/>
  <c r="I3575" i="4"/>
  <c r="H3575" i="4"/>
  <c r="I3574" i="4"/>
  <c r="H3574" i="4"/>
  <c r="I3573" i="4"/>
  <c r="H3573" i="4"/>
  <c r="I3572" i="4"/>
  <c r="H3572" i="4"/>
  <c r="I3571" i="4"/>
  <c r="H3571" i="4"/>
  <c r="I3570" i="4"/>
  <c r="H3570" i="4"/>
  <c r="I3569" i="4"/>
  <c r="H3569" i="4"/>
  <c r="I3568" i="4"/>
  <c r="H3568" i="4"/>
  <c r="I3567" i="4"/>
  <c r="H3567" i="4"/>
  <c r="I3566" i="4"/>
  <c r="H3566" i="4"/>
  <c r="I3565" i="4"/>
  <c r="H3565" i="4"/>
  <c r="I3564" i="4"/>
  <c r="H3564" i="4"/>
  <c r="I3563" i="4"/>
  <c r="H3563" i="4"/>
  <c r="I3562" i="4"/>
  <c r="H3562" i="4"/>
  <c r="I3561" i="4"/>
  <c r="H3561" i="4"/>
  <c r="I3560" i="4"/>
  <c r="H3560" i="4"/>
  <c r="I3559" i="4"/>
  <c r="H3559" i="4"/>
  <c r="I3558" i="4"/>
  <c r="H3558" i="4"/>
  <c r="I3557" i="4"/>
  <c r="H3557" i="4"/>
  <c r="I3556" i="4"/>
  <c r="H3556" i="4"/>
  <c r="I3555" i="4"/>
  <c r="H3555" i="4"/>
  <c r="I3554" i="4"/>
  <c r="H3554" i="4"/>
  <c r="I3553" i="4"/>
  <c r="H3553" i="4"/>
  <c r="I3552" i="4"/>
  <c r="H3552" i="4"/>
  <c r="I3551" i="4"/>
  <c r="H3551" i="4"/>
  <c r="I3550" i="4"/>
  <c r="H3550" i="4"/>
  <c r="I3549" i="4"/>
  <c r="H3549" i="4"/>
  <c r="I3548" i="4"/>
  <c r="H3548" i="4"/>
  <c r="I3547" i="4"/>
  <c r="H3547" i="4"/>
  <c r="I3546" i="4"/>
  <c r="H3546" i="4"/>
  <c r="I3545" i="4"/>
  <c r="H3545" i="4"/>
  <c r="I3544" i="4"/>
  <c r="H3544" i="4"/>
  <c r="I3543" i="4"/>
  <c r="H3543" i="4"/>
  <c r="I3542" i="4"/>
  <c r="H3542" i="4"/>
  <c r="I3541" i="4"/>
  <c r="H3541" i="4"/>
  <c r="I3540" i="4"/>
  <c r="H3540" i="4"/>
  <c r="I3539" i="4"/>
  <c r="H3539" i="4"/>
  <c r="I3538" i="4"/>
  <c r="H3538" i="4"/>
  <c r="I3537" i="4"/>
  <c r="H3537" i="4"/>
  <c r="I3536" i="4"/>
  <c r="H3536" i="4"/>
  <c r="I3535" i="4"/>
  <c r="H3535" i="4"/>
  <c r="I3534" i="4"/>
  <c r="H3534" i="4"/>
  <c r="I3533" i="4"/>
  <c r="H3533" i="4"/>
  <c r="I3532" i="4"/>
  <c r="H3532" i="4"/>
  <c r="I3531" i="4"/>
  <c r="H3531" i="4"/>
  <c r="I3530" i="4"/>
  <c r="H3530" i="4"/>
  <c r="I3529" i="4"/>
  <c r="H3529" i="4"/>
  <c r="I3528" i="4"/>
  <c r="H3528" i="4"/>
  <c r="I3527" i="4"/>
  <c r="H3527" i="4"/>
  <c r="I3526" i="4"/>
  <c r="H3526" i="4"/>
  <c r="I3525" i="4"/>
  <c r="H3525" i="4"/>
  <c r="I3524" i="4"/>
  <c r="H3524" i="4"/>
  <c r="I3523" i="4"/>
  <c r="H3523" i="4"/>
  <c r="I3522" i="4"/>
  <c r="H3522" i="4"/>
  <c r="I3521" i="4"/>
  <c r="H3521" i="4"/>
  <c r="I3520" i="4"/>
  <c r="H3520" i="4"/>
  <c r="I3519" i="4"/>
  <c r="H3519" i="4"/>
  <c r="I3518" i="4"/>
  <c r="H3518" i="4"/>
  <c r="I3517" i="4"/>
  <c r="H3517" i="4"/>
  <c r="I3516" i="4"/>
  <c r="H3516" i="4"/>
  <c r="I3515" i="4"/>
  <c r="H3515" i="4"/>
  <c r="I3514" i="4"/>
  <c r="H3514" i="4"/>
  <c r="I3513" i="4"/>
  <c r="H3513" i="4"/>
  <c r="I3512" i="4"/>
  <c r="H3512" i="4"/>
  <c r="I3511" i="4"/>
  <c r="H3511" i="4"/>
  <c r="I3510" i="4"/>
  <c r="H3510" i="4"/>
  <c r="I3509" i="4"/>
  <c r="H3509" i="4"/>
  <c r="I3508" i="4"/>
  <c r="H3508" i="4"/>
  <c r="I3507" i="4"/>
  <c r="H3507" i="4"/>
  <c r="I3506" i="4"/>
  <c r="H3506" i="4"/>
  <c r="I3505" i="4"/>
  <c r="H3505" i="4"/>
  <c r="I3504" i="4"/>
  <c r="H3504" i="4"/>
  <c r="I3503" i="4"/>
  <c r="H3503" i="4"/>
  <c r="I3502" i="4"/>
  <c r="H3502" i="4"/>
  <c r="I3501" i="4"/>
  <c r="H3501" i="4"/>
  <c r="I3500" i="4"/>
  <c r="H3500" i="4"/>
  <c r="I3499" i="4"/>
  <c r="H3499" i="4"/>
  <c r="I3498" i="4"/>
  <c r="H3498" i="4"/>
  <c r="I3497" i="4"/>
  <c r="H3497" i="4"/>
  <c r="I3496" i="4"/>
  <c r="H3496" i="4"/>
  <c r="I3495" i="4"/>
  <c r="H3495" i="4"/>
  <c r="I3494" i="4"/>
  <c r="H3494" i="4"/>
  <c r="I3493" i="4"/>
  <c r="H3493" i="4"/>
  <c r="I3492" i="4"/>
  <c r="H3492" i="4"/>
  <c r="I3491" i="4"/>
  <c r="H3491" i="4"/>
  <c r="I3490" i="4"/>
  <c r="H3490" i="4"/>
  <c r="I3489" i="4"/>
  <c r="H3489" i="4"/>
  <c r="I3488" i="4"/>
  <c r="H3488" i="4"/>
  <c r="I3487" i="4"/>
  <c r="H3487" i="4"/>
  <c r="I3486" i="4"/>
  <c r="H3486" i="4"/>
  <c r="I3485" i="4"/>
  <c r="H3485" i="4"/>
  <c r="I3484" i="4"/>
  <c r="H3484" i="4"/>
  <c r="I3483" i="4"/>
  <c r="H3483" i="4"/>
  <c r="I3482" i="4"/>
  <c r="H3482" i="4"/>
  <c r="I3481" i="4"/>
  <c r="H3481" i="4"/>
  <c r="I3480" i="4"/>
  <c r="H3480" i="4"/>
  <c r="I3479" i="4"/>
  <c r="H3479" i="4"/>
  <c r="I3478" i="4"/>
  <c r="H3478" i="4"/>
  <c r="I3477" i="4"/>
  <c r="H3477" i="4"/>
  <c r="I3476" i="4"/>
  <c r="H3476" i="4"/>
  <c r="I3475" i="4"/>
  <c r="H3475" i="4"/>
  <c r="I3474" i="4"/>
  <c r="H3474" i="4"/>
  <c r="I3473" i="4"/>
  <c r="H3473" i="4"/>
  <c r="I3472" i="4"/>
  <c r="H3472" i="4"/>
  <c r="I3471" i="4"/>
  <c r="H3471" i="4"/>
  <c r="I3470" i="4"/>
  <c r="H3470" i="4"/>
  <c r="I3469" i="4"/>
  <c r="H3469" i="4"/>
  <c r="I3468" i="4"/>
  <c r="H3468" i="4"/>
  <c r="I3467" i="4"/>
  <c r="H3467" i="4"/>
  <c r="I3466" i="4"/>
  <c r="H3466" i="4"/>
  <c r="I3465" i="4"/>
  <c r="H3465" i="4"/>
  <c r="I3464" i="4"/>
  <c r="H3464" i="4"/>
  <c r="I3463" i="4"/>
  <c r="H3463" i="4"/>
  <c r="I3462" i="4"/>
  <c r="H3462" i="4"/>
  <c r="I3461" i="4"/>
  <c r="H3461" i="4"/>
  <c r="I3460" i="4"/>
  <c r="H3460" i="4"/>
  <c r="I3459" i="4"/>
  <c r="H3459" i="4"/>
  <c r="I3458" i="4"/>
  <c r="H3458" i="4"/>
  <c r="I3457" i="4"/>
  <c r="H3457" i="4"/>
  <c r="I3456" i="4"/>
  <c r="H3456" i="4"/>
  <c r="I3455" i="4"/>
  <c r="H3455" i="4"/>
  <c r="I3454" i="4"/>
  <c r="H3454" i="4"/>
  <c r="I3453" i="4"/>
  <c r="H3453" i="4"/>
  <c r="I3452" i="4"/>
  <c r="H3452" i="4"/>
  <c r="I3451" i="4"/>
  <c r="H3451" i="4"/>
  <c r="I3450" i="4"/>
  <c r="H3450" i="4"/>
  <c r="I3449" i="4"/>
  <c r="H3449" i="4"/>
  <c r="I3448" i="4"/>
  <c r="H3448" i="4"/>
  <c r="I3447" i="4"/>
  <c r="H3447" i="4"/>
  <c r="I3446" i="4"/>
  <c r="H3446" i="4"/>
  <c r="I3445" i="4"/>
  <c r="H3445" i="4"/>
  <c r="I3444" i="4"/>
  <c r="H3444" i="4"/>
  <c r="I3443" i="4"/>
  <c r="H3443" i="4"/>
  <c r="I3442" i="4"/>
  <c r="H3442" i="4"/>
  <c r="I3441" i="4"/>
  <c r="H3441" i="4"/>
  <c r="I3440" i="4"/>
  <c r="H3440" i="4"/>
  <c r="I3439" i="4"/>
  <c r="H3439" i="4"/>
  <c r="I3438" i="4"/>
  <c r="H3438" i="4"/>
  <c r="I3437" i="4"/>
  <c r="H3437" i="4"/>
  <c r="I3436" i="4"/>
  <c r="H3436" i="4"/>
  <c r="I3435" i="4"/>
  <c r="H3435" i="4"/>
  <c r="I3434" i="4"/>
  <c r="H3434" i="4"/>
  <c r="I3433" i="4"/>
  <c r="H3433" i="4"/>
  <c r="I3432" i="4"/>
  <c r="H3432" i="4"/>
  <c r="I3431" i="4"/>
  <c r="H3431" i="4"/>
  <c r="I3430" i="4"/>
  <c r="H3430" i="4"/>
  <c r="I3429" i="4"/>
  <c r="H3429" i="4"/>
  <c r="I3428" i="4"/>
  <c r="H3428" i="4"/>
  <c r="I3427" i="4"/>
  <c r="H3427" i="4"/>
  <c r="I3426" i="4"/>
  <c r="H3426" i="4"/>
  <c r="I3425" i="4"/>
  <c r="H3425" i="4"/>
  <c r="I3424" i="4"/>
  <c r="H3424" i="4"/>
  <c r="I3423" i="4"/>
  <c r="H3423" i="4"/>
  <c r="I3422" i="4"/>
  <c r="H3422" i="4"/>
  <c r="I3421" i="4"/>
  <c r="H3421" i="4"/>
  <c r="I3420" i="4"/>
  <c r="H3420" i="4"/>
  <c r="I3419" i="4"/>
  <c r="H3419" i="4"/>
  <c r="I3418" i="4"/>
  <c r="H3418" i="4"/>
  <c r="I3417" i="4"/>
  <c r="H3417" i="4"/>
  <c r="I3416" i="4"/>
  <c r="H3416" i="4"/>
  <c r="I3415" i="4"/>
  <c r="H3415" i="4"/>
  <c r="I3414" i="4"/>
  <c r="H3414" i="4"/>
  <c r="I3413" i="4"/>
  <c r="H3413" i="4"/>
  <c r="I3412" i="4"/>
  <c r="H3412" i="4"/>
  <c r="I3411" i="4"/>
  <c r="H3411" i="4"/>
  <c r="I3410" i="4"/>
  <c r="H3410" i="4"/>
  <c r="I3409" i="4"/>
  <c r="H3409" i="4"/>
  <c r="I3408" i="4"/>
  <c r="H3408" i="4"/>
  <c r="I3407" i="4"/>
  <c r="H3407" i="4"/>
  <c r="I3406" i="4"/>
  <c r="H3406" i="4"/>
  <c r="I3405" i="4"/>
  <c r="H3405" i="4"/>
  <c r="I3404" i="4"/>
  <c r="H3404" i="4"/>
  <c r="I3403" i="4"/>
  <c r="H3403" i="4"/>
  <c r="I3402" i="4"/>
  <c r="H3402" i="4"/>
  <c r="I3401" i="4"/>
  <c r="H3401" i="4"/>
  <c r="I3400" i="4"/>
  <c r="H3400" i="4"/>
  <c r="I3399" i="4"/>
  <c r="H3399" i="4"/>
  <c r="I3398" i="4"/>
  <c r="H3398" i="4"/>
  <c r="I3397" i="4"/>
  <c r="H3397" i="4"/>
  <c r="I3396" i="4"/>
  <c r="H3396" i="4"/>
  <c r="I3395" i="4"/>
  <c r="H3395" i="4"/>
  <c r="I3394" i="4"/>
  <c r="H3394" i="4"/>
  <c r="I3393" i="4"/>
  <c r="H3393" i="4"/>
  <c r="I3392" i="4"/>
  <c r="H3392" i="4"/>
  <c r="I3391" i="4"/>
  <c r="H3391" i="4"/>
  <c r="I3390" i="4"/>
  <c r="H3390" i="4"/>
  <c r="I3389" i="4"/>
  <c r="H3389" i="4"/>
  <c r="I3388" i="4"/>
  <c r="H3388" i="4"/>
  <c r="I3387" i="4"/>
  <c r="H3387" i="4"/>
  <c r="I3386" i="4"/>
  <c r="H3386" i="4"/>
  <c r="I3385" i="4"/>
  <c r="H3385" i="4"/>
  <c r="I3384" i="4"/>
  <c r="H3384" i="4"/>
  <c r="I3383" i="4"/>
  <c r="H3383" i="4"/>
  <c r="I3382" i="4"/>
  <c r="H3382" i="4"/>
  <c r="I3381" i="4"/>
  <c r="H3381" i="4"/>
  <c r="I3380" i="4"/>
  <c r="H3380" i="4"/>
  <c r="I3379" i="4"/>
  <c r="H3379" i="4"/>
  <c r="I3378" i="4"/>
  <c r="H3378" i="4"/>
  <c r="I3377" i="4"/>
  <c r="H3377" i="4"/>
  <c r="I3376" i="4"/>
  <c r="H3376" i="4"/>
  <c r="I3375" i="4"/>
  <c r="H3375" i="4"/>
  <c r="I3374" i="4"/>
  <c r="H3374" i="4"/>
  <c r="I3373" i="4"/>
  <c r="H3373" i="4"/>
  <c r="I3372" i="4"/>
  <c r="H3372" i="4"/>
  <c r="I3371" i="4"/>
  <c r="H3371" i="4"/>
  <c r="I3370" i="4"/>
  <c r="H3370" i="4"/>
  <c r="I3369" i="4"/>
  <c r="H3369" i="4"/>
  <c r="I3368" i="4"/>
  <c r="H3368" i="4"/>
  <c r="I3367" i="4"/>
  <c r="H3367" i="4"/>
  <c r="I3366" i="4"/>
  <c r="H3366" i="4"/>
  <c r="I3365" i="4"/>
  <c r="H3365" i="4"/>
  <c r="I3364" i="4"/>
  <c r="H3364" i="4"/>
  <c r="I3363" i="4"/>
  <c r="H3363" i="4"/>
  <c r="I3362" i="4"/>
  <c r="H3362" i="4"/>
  <c r="I3361" i="4"/>
  <c r="H3361" i="4"/>
  <c r="I3360" i="4"/>
  <c r="H3360" i="4"/>
  <c r="I3359" i="4"/>
  <c r="H3359" i="4"/>
  <c r="I3358" i="4"/>
  <c r="H3358" i="4"/>
  <c r="I3357" i="4"/>
  <c r="H3357" i="4"/>
  <c r="I3356" i="4"/>
  <c r="H3356" i="4"/>
  <c r="I3355" i="4"/>
  <c r="H3355" i="4"/>
  <c r="I3354" i="4"/>
  <c r="H3354" i="4"/>
  <c r="I3353" i="4"/>
  <c r="H3353" i="4"/>
  <c r="I3352" i="4"/>
  <c r="H3352" i="4"/>
  <c r="I3351" i="4"/>
  <c r="H3351" i="4"/>
  <c r="I3350" i="4"/>
  <c r="H3350" i="4"/>
  <c r="I3349" i="4"/>
  <c r="H3349" i="4"/>
  <c r="I3348" i="4"/>
  <c r="H3348" i="4"/>
  <c r="I3347" i="4"/>
  <c r="H3347" i="4"/>
  <c r="I3346" i="4"/>
  <c r="H3346" i="4"/>
  <c r="I3345" i="4"/>
  <c r="H3345" i="4"/>
  <c r="I3344" i="4"/>
  <c r="H3344" i="4"/>
  <c r="I3343" i="4"/>
  <c r="H3343" i="4"/>
  <c r="I3342" i="4"/>
  <c r="H3342" i="4"/>
  <c r="I3341" i="4"/>
  <c r="H3341" i="4"/>
  <c r="I3340" i="4"/>
  <c r="H3340" i="4"/>
  <c r="I3339" i="4"/>
  <c r="H3339" i="4"/>
  <c r="I3338" i="4"/>
  <c r="H3338" i="4"/>
  <c r="I3337" i="4"/>
  <c r="H3337" i="4"/>
  <c r="I3336" i="4"/>
  <c r="H3336" i="4"/>
  <c r="I3335" i="4"/>
  <c r="H3335" i="4"/>
  <c r="I3334" i="4"/>
  <c r="H3334" i="4"/>
  <c r="I3333" i="4"/>
  <c r="H3333" i="4"/>
  <c r="I3332" i="4"/>
  <c r="H3332" i="4"/>
  <c r="I3331" i="4"/>
  <c r="H3331" i="4"/>
  <c r="I3330" i="4"/>
  <c r="H3330" i="4"/>
  <c r="I3329" i="4"/>
  <c r="H3329" i="4"/>
  <c r="I3328" i="4"/>
  <c r="H3328" i="4"/>
  <c r="I3327" i="4"/>
  <c r="H3327" i="4"/>
  <c r="I3326" i="4"/>
  <c r="H3326" i="4"/>
  <c r="I3325" i="4"/>
  <c r="H3325" i="4"/>
  <c r="I3324" i="4"/>
  <c r="H3324" i="4"/>
  <c r="I3323" i="4"/>
  <c r="H3323" i="4"/>
  <c r="I3322" i="4"/>
  <c r="H3322" i="4"/>
  <c r="I3321" i="4"/>
  <c r="H3321" i="4"/>
  <c r="I3320" i="4"/>
  <c r="H3320" i="4"/>
  <c r="I3319" i="4"/>
  <c r="H3319" i="4"/>
  <c r="I3318" i="4"/>
  <c r="H3318" i="4"/>
  <c r="I3317" i="4"/>
  <c r="H3317" i="4"/>
  <c r="I3316" i="4"/>
  <c r="H3316" i="4"/>
  <c r="I3315" i="4"/>
  <c r="H3315" i="4"/>
  <c r="I3314" i="4"/>
  <c r="H3314" i="4"/>
  <c r="I3313" i="4"/>
  <c r="H3313" i="4"/>
  <c r="I3312" i="4"/>
  <c r="H3312" i="4"/>
  <c r="I3311" i="4"/>
  <c r="H3311" i="4"/>
  <c r="I3310" i="4"/>
  <c r="H3310" i="4"/>
  <c r="I3309" i="4"/>
  <c r="H3309" i="4"/>
  <c r="I3308" i="4"/>
  <c r="H3308" i="4"/>
  <c r="I3307" i="4"/>
  <c r="H3307" i="4"/>
  <c r="I3306" i="4"/>
  <c r="H3306" i="4"/>
  <c r="I3305" i="4"/>
  <c r="H3305" i="4"/>
  <c r="I3304" i="4"/>
  <c r="H3304" i="4"/>
  <c r="I3303" i="4"/>
  <c r="H3303" i="4"/>
  <c r="I3302" i="4"/>
  <c r="H3302" i="4"/>
  <c r="I3301" i="4"/>
  <c r="H3301" i="4"/>
  <c r="I3300" i="4"/>
  <c r="H3300" i="4"/>
  <c r="I3299" i="4"/>
  <c r="H3299" i="4"/>
  <c r="I3298" i="4"/>
  <c r="H3298" i="4"/>
  <c r="I3297" i="4"/>
  <c r="H3297" i="4"/>
  <c r="I3296" i="4"/>
  <c r="H3296" i="4"/>
  <c r="I3295" i="4"/>
  <c r="H3295" i="4"/>
  <c r="I3294" i="4"/>
  <c r="H3294" i="4"/>
  <c r="I3293" i="4"/>
  <c r="H3293" i="4"/>
  <c r="I3292" i="4"/>
  <c r="H3292" i="4"/>
  <c r="I3291" i="4"/>
  <c r="H3291" i="4"/>
  <c r="I3290" i="4"/>
  <c r="H3290" i="4"/>
  <c r="I3289" i="4"/>
  <c r="H3289" i="4"/>
  <c r="I3288" i="4"/>
  <c r="H3288" i="4"/>
  <c r="I3287" i="4"/>
  <c r="H3287" i="4"/>
  <c r="I3286" i="4"/>
  <c r="H3286" i="4"/>
  <c r="I3285" i="4"/>
  <c r="H3285" i="4"/>
  <c r="I3284" i="4"/>
  <c r="H3284" i="4"/>
  <c r="I3283" i="4"/>
  <c r="H3283" i="4"/>
  <c r="I3282" i="4"/>
  <c r="H3282" i="4"/>
  <c r="I3281" i="4"/>
  <c r="H3281" i="4"/>
  <c r="I3280" i="4"/>
  <c r="H3280" i="4"/>
  <c r="I3279" i="4"/>
  <c r="H3279" i="4"/>
  <c r="I3278" i="4"/>
  <c r="H3278" i="4"/>
  <c r="I3277" i="4"/>
  <c r="H3277" i="4"/>
  <c r="I3276" i="4"/>
  <c r="H3276" i="4"/>
  <c r="I3275" i="4"/>
  <c r="H3275" i="4"/>
  <c r="I3274" i="4"/>
  <c r="H3274" i="4"/>
  <c r="I3273" i="4"/>
  <c r="H3273" i="4"/>
  <c r="I3272" i="4"/>
  <c r="H3272" i="4"/>
  <c r="I3271" i="4"/>
  <c r="H3271" i="4"/>
  <c r="I3270" i="4"/>
  <c r="H3270" i="4"/>
  <c r="I3269" i="4"/>
  <c r="H3269" i="4"/>
  <c r="I3268" i="4"/>
  <c r="H3268" i="4"/>
  <c r="I3267" i="4"/>
  <c r="H3267" i="4"/>
  <c r="I3266" i="4"/>
  <c r="H3266" i="4"/>
  <c r="I3265" i="4"/>
  <c r="H3265" i="4"/>
  <c r="I3264" i="4"/>
  <c r="H3264" i="4"/>
  <c r="I3263" i="4"/>
  <c r="H3263" i="4"/>
  <c r="I3262" i="4"/>
  <c r="H3262" i="4"/>
  <c r="I3261" i="4"/>
  <c r="H3261" i="4"/>
  <c r="I3260" i="4"/>
  <c r="H3260" i="4"/>
  <c r="I3259" i="4"/>
  <c r="H3259" i="4"/>
  <c r="I3258" i="4"/>
  <c r="H3258" i="4"/>
  <c r="I3257" i="4"/>
  <c r="H3257" i="4"/>
  <c r="I3256" i="4"/>
  <c r="H3256" i="4"/>
  <c r="I3255" i="4"/>
  <c r="H3255" i="4"/>
  <c r="I3254" i="4"/>
  <c r="H3254" i="4"/>
  <c r="I3253" i="4"/>
  <c r="H3253" i="4"/>
  <c r="I3252" i="4"/>
  <c r="H3252" i="4"/>
  <c r="I3251" i="4"/>
  <c r="H3251" i="4"/>
  <c r="I3250" i="4"/>
  <c r="H3250" i="4"/>
  <c r="I3249" i="4"/>
  <c r="H3249" i="4"/>
  <c r="I3248" i="4"/>
  <c r="H3248" i="4"/>
  <c r="I3247" i="4"/>
  <c r="H3247" i="4"/>
  <c r="I3246" i="4"/>
  <c r="H3246" i="4"/>
  <c r="I3245" i="4"/>
  <c r="H3245" i="4"/>
  <c r="I3244" i="4"/>
  <c r="H3244" i="4"/>
  <c r="I3243" i="4"/>
  <c r="H3243" i="4"/>
  <c r="I3242" i="4"/>
  <c r="H3242" i="4"/>
  <c r="I3241" i="4"/>
  <c r="H3241" i="4"/>
  <c r="I3240" i="4"/>
  <c r="H3240" i="4"/>
  <c r="I3239" i="4"/>
  <c r="H3239" i="4"/>
  <c r="I3238" i="4"/>
  <c r="H3238" i="4"/>
  <c r="I3237" i="4"/>
  <c r="H3237" i="4"/>
  <c r="I3236" i="4"/>
  <c r="H3236" i="4"/>
  <c r="I3235" i="4"/>
  <c r="H3235" i="4"/>
  <c r="I3234" i="4"/>
  <c r="H3234" i="4"/>
  <c r="I3233" i="4"/>
  <c r="H3233" i="4"/>
  <c r="I3232" i="4"/>
  <c r="H3232" i="4"/>
  <c r="I3231" i="4"/>
  <c r="H3231" i="4"/>
  <c r="I3230" i="4"/>
  <c r="H3230" i="4"/>
  <c r="I3229" i="4"/>
  <c r="H3229" i="4"/>
  <c r="I3228" i="4"/>
  <c r="H3228" i="4"/>
  <c r="I3227" i="4"/>
  <c r="H3227" i="4"/>
  <c r="I3226" i="4"/>
  <c r="H3226" i="4"/>
  <c r="I3225" i="4"/>
  <c r="H3225" i="4"/>
  <c r="I3224" i="4"/>
  <c r="H3224" i="4"/>
  <c r="I3223" i="4"/>
  <c r="H3223" i="4"/>
  <c r="I3222" i="4"/>
  <c r="H3222" i="4"/>
  <c r="I3221" i="4"/>
  <c r="H3221" i="4"/>
  <c r="I3220" i="4"/>
  <c r="H3220" i="4"/>
  <c r="I3219" i="4"/>
  <c r="H3219" i="4"/>
  <c r="I3218" i="4"/>
  <c r="H3218" i="4"/>
  <c r="I3217" i="4"/>
  <c r="H3217" i="4"/>
  <c r="I3216" i="4"/>
  <c r="H3216" i="4"/>
  <c r="I3215" i="4"/>
  <c r="H3215" i="4"/>
  <c r="I3214" i="4"/>
  <c r="H3214" i="4"/>
  <c r="I3213" i="4"/>
  <c r="H3213" i="4"/>
  <c r="I3212" i="4"/>
  <c r="H3212" i="4"/>
  <c r="I3211" i="4"/>
  <c r="H3211" i="4"/>
  <c r="I3210" i="4"/>
  <c r="H3210" i="4"/>
  <c r="I3209" i="4"/>
  <c r="H3209" i="4"/>
  <c r="I3208" i="4"/>
  <c r="H3208" i="4"/>
  <c r="I3207" i="4"/>
  <c r="H3207" i="4"/>
  <c r="I3206" i="4"/>
  <c r="H3206" i="4"/>
  <c r="I3205" i="4"/>
  <c r="H3205" i="4"/>
  <c r="I3204" i="4"/>
  <c r="H3204" i="4"/>
  <c r="I3203" i="4"/>
  <c r="H3203" i="4"/>
  <c r="I3202" i="4"/>
  <c r="H3202" i="4"/>
  <c r="I3201" i="4"/>
  <c r="H3201" i="4"/>
  <c r="I3200" i="4"/>
  <c r="H3200" i="4"/>
  <c r="I3199" i="4"/>
  <c r="H3199" i="4"/>
  <c r="I3198" i="4"/>
  <c r="H3198" i="4"/>
  <c r="I3197" i="4"/>
  <c r="H3197" i="4"/>
  <c r="I3196" i="4"/>
  <c r="H3196" i="4"/>
  <c r="I3195" i="4"/>
  <c r="H3195" i="4"/>
  <c r="I3194" i="4"/>
  <c r="H3194" i="4"/>
  <c r="I3193" i="4"/>
  <c r="H3193" i="4"/>
  <c r="I3192" i="4"/>
  <c r="H3192" i="4"/>
  <c r="I3191" i="4"/>
  <c r="H3191" i="4"/>
  <c r="I3190" i="4"/>
  <c r="H3190" i="4"/>
  <c r="I3189" i="4"/>
  <c r="H3189" i="4"/>
  <c r="I3188" i="4"/>
  <c r="H3188" i="4"/>
  <c r="I3187" i="4"/>
  <c r="H3187" i="4"/>
  <c r="I3186" i="4"/>
  <c r="H3186" i="4"/>
  <c r="I3185" i="4"/>
  <c r="H3185" i="4"/>
  <c r="I3184" i="4"/>
  <c r="H3184" i="4"/>
  <c r="I3183" i="4"/>
  <c r="H3183" i="4"/>
  <c r="I3182" i="4"/>
  <c r="H3182" i="4"/>
  <c r="I3181" i="4"/>
  <c r="H3181" i="4"/>
  <c r="I3180" i="4"/>
  <c r="H3180" i="4"/>
  <c r="I3179" i="4"/>
  <c r="H3179" i="4"/>
  <c r="I3178" i="4"/>
  <c r="H3178" i="4"/>
  <c r="I3177" i="4"/>
  <c r="H3177" i="4"/>
  <c r="I3176" i="4"/>
  <c r="H3176" i="4"/>
  <c r="I3175" i="4"/>
  <c r="H3175" i="4"/>
  <c r="I3174" i="4"/>
  <c r="H3174" i="4"/>
  <c r="I3173" i="4"/>
  <c r="H3173" i="4"/>
  <c r="I3172" i="4"/>
  <c r="H3172" i="4"/>
  <c r="I3171" i="4"/>
  <c r="H3171" i="4"/>
  <c r="I3170" i="4"/>
  <c r="H3170" i="4"/>
  <c r="I3169" i="4"/>
  <c r="H3169" i="4"/>
  <c r="I3168" i="4"/>
  <c r="H3168" i="4"/>
  <c r="I3167" i="4"/>
  <c r="H3167" i="4"/>
  <c r="I3166" i="4"/>
  <c r="H3166" i="4"/>
  <c r="I3165" i="4"/>
  <c r="H3165" i="4"/>
  <c r="I3164" i="4"/>
  <c r="H3164" i="4"/>
  <c r="I3163" i="4"/>
  <c r="H3163" i="4"/>
  <c r="I3162" i="4"/>
  <c r="H3162" i="4"/>
  <c r="I3161" i="4"/>
  <c r="H3161" i="4"/>
  <c r="I3160" i="4"/>
  <c r="H3160" i="4"/>
  <c r="I3159" i="4"/>
  <c r="H3159" i="4"/>
  <c r="I3158" i="4"/>
  <c r="H3158" i="4"/>
  <c r="I3157" i="4"/>
  <c r="H3157" i="4"/>
  <c r="I3156" i="4"/>
  <c r="H3156" i="4"/>
  <c r="I3155" i="4"/>
  <c r="H3155" i="4"/>
  <c r="I3154" i="4"/>
  <c r="H3154" i="4"/>
  <c r="I3153" i="4"/>
  <c r="H3153" i="4"/>
  <c r="I3152" i="4"/>
  <c r="H3152" i="4"/>
  <c r="I3151" i="4"/>
  <c r="H3151" i="4"/>
  <c r="I3150" i="4"/>
  <c r="H3150" i="4"/>
  <c r="I3149" i="4"/>
  <c r="H3149" i="4"/>
  <c r="I3148" i="4"/>
  <c r="H3148" i="4"/>
  <c r="I3147" i="4"/>
  <c r="H3147" i="4"/>
  <c r="I3146" i="4"/>
  <c r="H3146" i="4"/>
  <c r="I3145" i="4"/>
  <c r="H3145" i="4"/>
  <c r="I3144" i="4"/>
  <c r="H3144" i="4"/>
  <c r="I3143" i="4"/>
  <c r="H3143" i="4"/>
  <c r="I3142" i="4"/>
  <c r="H3142" i="4"/>
  <c r="I3141" i="4"/>
  <c r="H3141" i="4"/>
  <c r="I3140" i="4"/>
  <c r="H3140" i="4"/>
  <c r="I3139" i="4"/>
  <c r="H3139" i="4"/>
  <c r="I3138" i="4"/>
  <c r="H3138" i="4"/>
  <c r="I3137" i="4"/>
  <c r="H3137" i="4"/>
  <c r="I3136" i="4"/>
  <c r="H3136" i="4"/>
  <c r="I3135" i="4"/>
  <c r="H3135" i="4"/>
  <c r="I3134" i="4"/>
  <c r="H3134" i="4"/>
  <c r="I3133" i="4"/>
  <c r="H3133" i="4"/>
  <c r="I3132" i="4"/>
  <c r="H3132" i="4"/>
  <c r="I3131" i="4"/>
  <c r="H3131" i="4"/>
  <c r="I3130" i="4"/>
  <c r="H3130" i="4"/>
  <c r="I3129" i="4"/>
  <c r="H3129" i="4"/>
  <c r="I3128" i="4"/>
  <c r="H3128" i="4"/>
  <c r="I3127" i="4"/>
  <c r="H3127" i="4"/>
  <c r="I3126" i="4"/>
  <c r="H3126" i="4"/>
  <c r="I3125" i="4"/>
  <c r="H3125" i="4"/>
  <c r="I3124" i="4"/>
  <c r="H3124" i="4"/>
  <c r="I3123" i="4"/>
  <c r="H3123" i="4"/>
  <c r="I3122" i="4"/>
  <c r="H3122" i="4"/>
  <c r="I3121" i="4"/>
  <c r="H3121" i="4"/>
  <c r="I3120" i="4"/>
  <c r="H3120" i="4"/>
  <c r="I3119" i="4"/>
  <c r="H3119" i="4"/>
  <c r="I3118" i="4"/>
  <c r="H3118" i="4"/>
  <c r="I3117" i="4"/>
  <c r="H3117" i="4"/>
  <c r="I3116" i="4"/>
  <c r="H3116" i="4"/>
  <c r="I3115" i="4"/>
  <c r="H3115" i="4"/>
  <c r="I3114" i="4"/>
  <c r="H3114" i="4"/>
  <c r="I3113" i="4"/>
  <c r="H3113" i="4"/>
  <c r="I3112" i="4"/>
  <c r="H3112" i="4"/>
  <c r="I3111" i="4"/>
  <c r="H3111" i="4"/>
  <c r="I3110" i="4"/>
  <c r="H3110" i="4"/>
  <c r="I3109" i="4"/>
  <c r="H3109" i="4"/>
  <c r="I3108" i="4"/>
  <c r="H3108" i="4"/>
  <c r="I3107" i="4"/>
  <c r="H3107" i="4"/>
  <c r="I3106" i="4"/>
  <c r="H3106" i="4"/>
  <c r="I3105" i="4"/>
  <c r="H3105" i="4"/>
  <c r="I3104" i="4"/>
  <c r="H3104" i="4"/>
  <c r="I3103" i="4"/>
  <c r="H3103" i="4"/>
  <c r="I3102" i="4"/>
  <c r="H3102" i="4"/>
  <c r="I3101" i="4"/>
  <c r="H3101" i="4"/>
  <c r="I3100" i="4"/>
  <c r="H3100" i="4"/>
  <c r="I3099" i="4"/>
  <c r="H3099" i="4"/>
  <c r="I3098" i="4"/>
  <c r="H3098" i="4"/>
  <c r="I3097" i="4"/>
  <c r="H3097" i="4"/>
  <c r="I3096" i="4"/>
  <c r="H3096" i="4"/>
  <c r="I3095" i="4"/>
  <c r="H3095" i="4"/>
  <c r="I3094" i="4"/>
  <c r="H3094" i="4"/>
  <c r="I3093" i="4"/>
  <c r="H3093" i="4"/>
  <c r="I3092" i="4"/>
  <c r="H3092" i="4"/>
  <c r="I3091" i="4"/>
  <c r="H3091" i="4"/>
  <c r="I3090" i="4"/>
  <c r="H3090" i="4"/>
  <c r="I3089" i="4"/>
  <c r="H3089" i="4"/>
  <c r="I3088" i="4"/>
  <c r="H3088" i="4"/>
  <c r="I3087" i="4"/>
  <c r="H3087" i="4"/>
  <c r="I3086" i="4"/>
  <c r="H3086" i="4"/>
  <c r="I3085" i="4"/>
  <c r="H3085" i="4"/>
  <c r="I3084" i="4"/>
  <c r="H3084" i="4"/>
  <c r="I3083" i="4"/>
  <c r="H3083" i="4"/>
  <c r="I3082" i="4"/>
  <c r="H3082" i="4"/>
  <c r="I3081" i="4"/>
  <c r="H3081" i="4"/>
  <c r="I3080" i="4"/>
  <c r="H3080" i="4"/>
  <c r="I3079" i="4"/>
  <c r="H3079" i="4"/>
  <c r="I3078" i="4"/>
  <c r="H3078" i="4"/>
  <c r="I3077" i="4"/>
  <c r="H3077" i="4"/>
  <c r="I3076" i="4"/>
  <c r="H3076" i="4"/>
  <c r="I3075" i="4"/>
  <c r="H3075" i="4"/>
  <c r="I3074" i="4"/>
  <c r="H3074" i="4"/>
  <c r="I3073" i="4"/>
  <c r="H3073" i="4"/>
  <c r="I3072" i="4"/>
  <c r="H3072" i="4"/>
  <c r="I3071" i="4"/>
  <c r="H3071" i="4"/>
  <c r="I3070" i="4"/>
  <c r="H3070" i="4"/>
  <c r="I3069" i="4"/>
  <c r="H3069" i="4"/>
  <c r="I3068" i="4"/>
  <c r="H3068" i="4"/>
  <c r="I3067" i="4"/>
  <c r="H3067" i="4"/>
  <c r="I3066" i="4"/>
  <c r="H3066" i="4"/>
  <c r="I3065" i="4"/>
  <c r="H3065" i="4"/>
  <c r="I3064" i="4"/>
  <c r="H3064" i="4"/>
  <c r="I3063" i="4"/>
  <c r="H3063" i="4"/>
  <c r="I3062" i="4"/>
  <c r="H3062" i="4"/>
  <c r="I3061" i="4"/>
  <c r="H3061" i="4"/>
  <c r="I3060" i="4"/>
  <c r="H3060" i="4"/>
  <c r="I3059" i="4"/>
  <c r="H3059" i="4"/>
  <c r="I3058" i="4"/>
  <c r="H3058" i="4"/>
  <c r="I3057" i="4"/>
  <c r="H3057" i="4"/>
  <c r="I3056" i="4"/>
  <c r="H3056" i="4"/>
  <c r="I3055" i="4"/>
  <c r="H3055" i="4"/>
  <c r="I3054" i="4"/>
  <c r="H3054" i="4"/>
  <c r="I3053" i="4"/>
  <c r="H3053" i="4"/>
  <c r="I3052" i="4"/>
  <c r="H3052" i="4"/>
  <c r="I3051" i="4"/>
  <c r="H3051" i="4"/>
  <c r="I3050" i="4"/>
  <c r="H3050" i="4"/>
  <c r="I3049" i="4"/>
  <c r="H3049" i="4"/>
  <c r="I3048" i="4"/>
  <c r="H3048" i="4"/>
  <c r="I3047" i="4"/>
  <c r="H3047" i="4"/>
  <c r="I3046" i="4"/>
  <c r="H3046" i="4"/>
  <c r="I3045" i="4"/>
  <c r="H3045" i="4"/>
  <c r="I3044" i="4"/>
  <c r="H3044" i="4"/>
  <c r="I3043" i="4"/>
  <c r="H3043" i="4"/>
  <c r="I3042" i="4"/>
  <c r="H3042" i="4"/>
  <c r="I3041" i="4"/>
  <c r="H3041" i="4"/>
  <c r="I3040" i="4"/>
  <c r="H3040" i="4"/>
  <c r="I3039" i="4"/>
  <c r="H3039" i="4"/>
  <c r="I3038" i="4"/>
  <c r="H3038" i="4"/>
  <c r="I3037" i="4"/>
  <c r="H3037" i="4"/>
  <c r="I3036" i="4"/>
  <c r="H3036" i="4"/>
  <c r="I3035" i="4"/>
  <c r="H3035" i="4"/>
  <c r="I3034" i="4"/>
  <c r="H3034" i="4"/>
  <c r="I3033" i="4"/>
  <c r="H3033" i="4"/>
  <c r="I3032" i="4"/>
  <c r="H3032" i="4"/>
  <c r="I3031" i="4"/>
  <c r="H3031" i="4"/>
  <c r="I3030" i="4"/>
  <c r="H3030" i="4"/>
  <c r="I3029" i="4"/>
  <c r="H3029" i="4"/>
  <c r="I3028" i="4"/>
  <c r="H3028" i="4"/>
  <c r="I3027" i="4"/>
  <c r="H3027" i="4"/>
  <c r="I3026" i="4"/>
  <c r="H3026" i="4"/>
  <c r="I3025" i="4"/>
  <c r="H3025" i="4"/>
  <c r="I3024" i="4"/>
  <c r="H3024" i="4"/>
  <c r="I3023" i="4"/>
  <c r="H3023" i="4"/>
  <c r="I3022" i="4"/>
  <c r="H3022" i="4"/>
  <c r="I3021" i="4"/>
  <c r="H3021" i="4"/>
  <c r="I3020" i="4"/>
  <c r="H3020" i="4"/>
  <c r="I3019" i="4"/>
  <c r="H3019" i="4"/>
  <c r="I3018" i="4"/>
  <c r="H3018" i="4"/>
  <c r="I3017" i="4"/>
  <c r="H3017" i="4"/>
  <c r="I3016" i="4"/>
  <c r="H3016" i="4"/>
  <c r="I3015" i="4"/>
  <c r="H3015" i="4"/>
  <c r="I3014" i="4"/>
  <c r="H3014" i="4"/>
  <c r="I3013" i="4"/>
  <c r="H3013" i="4"/>
  <c r="I3012" i="4"/>
  <c r="H3012" i="4"/>
  <c r="I3011" i="4"/>
  <c r="H3011" i="4"/>
  <c r="I3010" i="4"/>
  <c r="H3010" i="4"/>
  <c r="I3009" i="4"/>
  <c r="H3009" i="4"/>
  <c r="I3008" i="4"/>
  <c r="H3008" i="4"/>
  <c r="I3007" i="4"/>
  <c r="H3007" i="4"/>
  <c r="I3006" i="4"/>
  <c r="H3006" i="4"/>
  <c r="I3005" i="4"/>
  <c r="H3005" i="4"/>
  <c r="I3004" i="4"/>
  <c r="H3004" i="4"/>
  <c r="I3003" i="4"/>
  <c r="H3003" i="4"/>
  <c r="I3002" i="4"/>
  <c r="H3002" i="4"/>
  <c r="I3001" i="4"/>
  <c r="H3001" i="4"/>
  <c r="I3000" i="4"/>
  <c r="H3000" i="4"/>
  <c r="I2999" i="4"/>
  <c r="H2999" i="4"/>
  <c r="I2998" i="4"/>
  <c r="H2998" i="4"/>
  <c r="I2997" i="4"/>
  <c r="H2997" i="4"/>
  <c r="I2996" i="4"/>
  <c r="H2996" i="4"/>
  <c r="I2995" i="4"/>
  <c r="H2995" i="4"/>
  <c r="I2994" i="4"/>
  <c r="H2994" i="4"/>
  <c r="I2993" i="4"/>
  <c r="H2993" i="4"/>
  <c r="I2992" i="4"/>
  <c r="H2992" i="4"/>
  <c r="I2991" i="4"/>
  <c r="H2991" i="4"/>
  <c r="I2990" i="4"/>
  <c r="H2990" i="4"/>
  <c r="I2989" i="4"/>
  <c r="H2989" i="4"/>
  <c r="I2988" i="4"/>
  <c r="H2988" i="4"/>
  <c r="I2987" i="4"/>
  <c r="H2987" i="4"/>
  <c r="I2986" i="4"/>
  <c r="H2986" i="4"/>
  <c r="I2985" i="4"/>
  <c r="H2985" i="4"/>
  <c r="I2984" i="4"/>
  <c r="H2984" i="4"/>
  <c r="I2983" i="4"/>
  <c r="H2983" i="4"/>
  <c r="I2982" i="4"/>
  <c r="H2982" i="4"/>
  <c r="I2981" i="4"/>
  <c r="H2981" i="4"/>
  <c r="I2980" i="4"/>
  <c r="H2980" i="4"/>
  <c r="I2979" i="4"/>
  <c r="H2979" i="4"/>
  <c r="I2978" i="4"/>
  <c r="H2978" i="4"/>
  <c r="I2977" i="4"/>
  <c r="H2977" i="4"/>
  <c r="I2976" i="4"/>
  <c r="H2976" i="4"/>
  <c r="I2975" i="4"/>
  <c r="H2975" i="4"/>
  <c r="I2974" i="4"/>
  <c r="H2974" i="4"/>
  <c r="I2973" i="4"/>
  <c r="H2973" i="4"/>
  <c r="I2972" i="4"/>
  <c r="H2972" i="4"/>
  <c r="I2971" i="4"/>
  <c r="H2971" i="4"/>
  <c r="I2970" i="4"/>
  <c r="H2970" i="4"/>
  <c r="I2969" i="4"/>
  <c r="H2969" i="4"/>
  <c r="I2968" i="4"/>
  <c r="H2968" i="4"/>
  <c r="I2967" i="4"/>
  <c r="H2967" i="4"/>
  <c r="I2966" i="4"/>
  <c r="H2966" i="4"/>
  <c r="I2965" i="4"/>
  <c r="H2965" i="4"/>
  <c r="I2964" i="4"/>
  <c r="H2964" i="4"/>
  <c r="I2963" i="4"/>
  <c r="H2963" i="4"/>
  <c r="I2962" i="4"/>
  <c r="H2962" i="4"/>
  <c r="I2961" i="4"/>
  <c r="H2961" i="4"/>
  <c r="I2960" i="4"/>
  <c r="H2960" i="4"/>
  <c r="I2959" i="4"/>
  <c r="H2959" i="4"/>
  <c r="I2958" i="4"/>
  <c r="H2958" i="4"/>
  <c r="I2957" i="4"/>
  <c r="H2957" i="4"/>
  <c r="I2956" i="4"/>
  <c r="H2956" i="4"/>
  <c r="I2955" i="4"/>
  <c r="H2955" i="4"/>
  <c r="I2954" i="4"/>
  <c r="H2954" i="4"/>
  <c r="I2953" i="4"/>
  <c r="H2953" i="4"/>
  <c r="I2952" i="4"/>
  <c r="H2952" i="4"/>
  <c r="I2951" i="4"/>
  <c r="H2951" i="4"/>
  <c r="I2950" i="4"/>
  <c r="H2950" i="4"/>
  <c r="I2949" i="4"/>
  <c r="H2949" i="4"/>
  <c r="I2948" i="4"/>
  <c r="H2948" i="4"/>
  <c r="I2947" i="4"/>
  <c r="H2947" i="4"/>
  <c r="I2946" i="4"/>
  <c r="H2946" i="4"/>
  <c r="I2945" i="4"/>
  <c r="H2945" i="4"/>
  <c r="I2944" i="4"/>
  <c r="H2944" i="4"/>
  <c r="I2943" i="4"/>
  <c r="H2943" i="4"/>
  <c r="I2942" i="4"/>
  <c r="H2942" i="4"/>
  <c r="I2941" i="4"/>
  <c r="H2941" i="4"/>
  <c r="I2940" i="4"/>
  <c r="H2940" i="4"/>
  <c r="I2939" i="4"/>
  <c r="H2939" i="4"/>
  <c r="I2938" i="4"/>
  <c r="H2938" i="4"/>
  <c r="I2937" i="4"/>
  <c r="H2937" i="4"/>
  <c r="I2936" i="4"/>
  <c r="H2936" i="4"/>
  <c r="I2935" i="4"/>
  <c r="H2935" i="4"/>
  <c r="I2934" i="4"/>
  <c r="H2934" i="4"/>
  <c r="I2933" i="4"/>
  <c r="H2933" i="4"/>
  <c r="I2932" i="4"/>
  <c r="H2932" i="4"/>
  <c r="I2931" i="4"/>
  <c r="H2931" i="4"/>
  <c r="I2930" i="4"/>
  <c r="H2930" i="4"/>
  <c r="I2929" i="4"/>
  <c r="H2929" i="4"/>
  <c r="I2928" i="4"/>
  <c r="H2928" i="4"/>
  <c r="I2927" i="4"/>
  <c r="H2927" i="4"/>
  <c r="I2926" i="4"/>
  <c r="H2926" i="4"/>
  <c r="I2925" i="4"/>
  <c r="H2925" i="4"/>
  <c r="I2924" i="4"/>
  <c r="H2924" i="4"/>
  <c r="I2923" i="4"/>
  <c r="H2923" i="4"/>
  <c r="I2922" i="4"/>
  <c r="H2922" i="4"/>
  <c r="I2921" i="4"/>
  <c r="H2921" i="4"/>
  <c r="I2920" i="4"/>
  <c r="H2920" i="4"/>
  <c r="I2919" i="4"/>
  <c r="H2919" i="4"/>
  <c r="I2918" i="4"/>
  <c r="H2918" i="4"/>
  <c r="I2917" i="4"/>
  <c r="H2917" i="4"/>
  <c r="I2916" i="4"/>
  <c r="H2916" i="4"/>
  <c r="I2915" i="4"/>
  <c r="H2915" i="4"/>
  <c r="I2914" i="4"/>
  <c r="H2914" i="4"/>
  <c r="I2913" i="4"/>
  <c r="H2913" i="4"/>
  <c r="I2912" i="4"/>
  <c r="H2912" i="4"/>
  <c r="I2911" i="4"/>
  <c r="H2911" i="4"/>
  <c r="I2910" i="4"/>
  <c r="H2910" i="4"/>
  <c r="I2909" i="4"/>
  <c r="H2909" i="4"/>
  <c r="I2908" i="4"/>
  <c r="H2908" i="4"/>
  <c r="I2907" i="4"/>
  <c r="H2907" i="4"/>
  <c r="I2906" i="4"/>
  <c r="H2906" i="4"/>
  <c r="I2905" i="4"/>
  <c r="H2905" i="4"/>
  <c r="I2904" i="4"/>
  <c r="H2904" i="4"/>
  <c r="I2903" i="4"/>
  <c r="H2903" i="4"/>
  <c r="I2902" i="4"/>
  <c r="H2902" i="4"/>
  <c r="I2901" i="4"/>
  <c r="H2901" i="4"/>
  <c r="I2900" i="4"/>
  <c r="H2900" i="4"/>
  <c r="I2899" i="4"/>
  <c r="H2899" i="4"/>
  <c r="I2898" i="4"/>
  <c r="H2898" i="4"/>
  <c r="I2897" i="4"/>
  <c r="H2897" i="4"/>
  <c r="I2896" i="4"/>
  <c r="H2896" i="4"/>
  <c r="I2895" i="4"/>
  <c r="H2895" i="4"/>
  <c r="I2894" i="4"/>
  <c r="H2894" i="4"/>
  <c r="I2893" i="4"/>
  <c r="H2893" i="4"/>
  <c r="I2892" i="4"/>
  <c r="H2892" i="4"/>
  <c r="I2891" i="4"/>
  <c r="H2891" i="4"/>
  <c r="I2890" i="4"/>
  <c r="H2890" i="4"/>
  <c r="I2889" i="4"/>
  <c r="H2889" i="4"/>
  <c r="I2888" i="4"/>
  <c r="H2888" i="4"/>
  <c r="I2887" i="4"/>
  <c r="H2887" i="4"/>
  <c r="I2886" i="4"/>
  <c r="H2886" i="4"/>
  <c r="I2885" i="4"/>
  <c r="H2885" i="4"/>
  <c r="I2884" i="4"/>
  <c r="H2884" i="4"/>
  <c r="I2883" i="4"/>
  <c r="H2883" i="4"/>
  <c r="I2882" i="4"/>
  <c r="H2882" i="4"/>
  <c r="I2881" i="4"/>
  <c r="H2881" i="4"/>
  <c r="I2880" i="4"/>
  <c r="H2880" i="4"/>
  <c r="I2879" i="4"/>
  <c r="H2879" i="4"/>
  <c r="I2878" i="4"/>
  <c r="H2878" i="4"/>
  <c r="I2877" i="4"/>
  <c r="H2877" i="4"/>
  <c r="I2876" i="4"/>
  <c r="H2876" i="4"/>
  <c r="I2875" i="4"/>
  <c r="H2875" i="4"/>
  <c r="I2874" i="4"/>
  <c r="H2874" i="4"/>
  <c r="I2873" i="4"/>
  <c r="H2873" i="4"/>
  <c r="I2872" i="4"/>
  <c r="H2872" i="4"/>
  <c r="I2871" i="4"/>
  <c r="H2871" i="4"/>
  <c r="I2870" i="4"/>
  <c r="H2870" i="4"/>
  <c r="I2869" i="4"/>
  <c r="H2869" i="4"/>
  <c r="I2868" i="4"/>
  <c r="H2868" i="4"/>
  <c r="I2867" i="4"/>
  <c r="H2867" i="4"/>
  <c r="I2866" i="4"/>
  <c r="H2866" i="4"/>
  <c r="I2865" i="4"/>
  <c r="H2865" i="4"/>
  <c r="I2864" i="4"/>
  <c r="H2864" i="4"/>
  <c r="I2863" i="4"/>
  <c r="H2863" i="4"/>
  <c r="I2862" i="4"/>
  <c r="H2862" i="4"/>
  <c r="I2861" i="4"/>
  <c r="H2861" i="4"/>
  <c r="I2860" i="4"/>
  <c r="H2860" i="4"/>
  <c r="I2859" i="4"/>
  <c r="H2859" i="4"/>
  <c r="I2858" i="4"/>
  <c r="H2858" i="4"/>
  <c r="I2857" i="4"/>
  <c r="H2857" i="4"/>
  <c r="I2856" i="4"/>
  <c r="H2856" i="4"/>
  <c r="I2855" i="4"/>
  <c r="H2855" i="4"/>
  <c r="I2854" i="4"/>
  <c r="H2854" i="4"/>
  <c r="I2853" i="4"/>
  <c r="H2853" i="4"/>
  <c r="I2852" i="4"/>
  <c r="H2852" i="4"/>
  <c r="I2851" i="4"/>
  <c r="H2851" i="4"/>
  <c r="I2850" i="4"/>
  <c r="H2850" i="4"/>
  <c r="I2849" i="4"/>
  <c r="H2849" i="4"/>
  <c r="I2848" i="4"/>
  <c r="H2848" i="4"/>
  <c r="I2847" i="4"/>
  <c r="H2847" i="4"/>
  <c r="I2846" i="4"/>
  <c r="H2846" i="4"/>
  <c r="I2845" i="4"/>
  <c r="H2845" i="4"/>
  <c r="I2844" i="4"/>
  <c r="H2844" i="4"/>
  <c r="I2843" i="4"/>
  <c r="H2843" i="4"/>
  <c r="I2842" i="4"/>
  <c r="H2842" i="4"/>
  <c r="I2841" i="4"/>
  <c r="H2841" i="4"/>
  <c r="I2840" i="4"/>
  <c r="H2840" i="4"/>
  <c r="I2839" i="4"/>
  <c r="H2839" i="4"/>
  <c r="I2838" i="4"/>
  <c r="H2838" i="4"/>
  <c r="I2837" i="4"/>
  <c r="H2837" i="4"/>
  <c r="I2836" i="4"/>
  <c r="H2836" i="4"/>
  <c r="I2835" i="4"/>
  <c r="H2835" i="4"/>
  <c r="I2834" i="4"/>
  <c r="H2834" i="4"/>
  <c r="I2833" i="4"/>
  <c r="H2833" i="4"/>
  <c r="I2832" i="4"/>
  <c r="H2832" i="4"/>
  <c r="I2831" i="4"/>
  <c r="H2831" i="4"/>
  <c r="I2830" i="4"/>
  <c r="H2830" i="4"/>
  <c r="I2829" i="4"/>
  <c r="H2829" i="4"/>
  <c r="I2828" i="4"/>
  <c r="H2828" i="4"/>
  <c r="I2827" i="4"/>
  <c r="H2827" i="4"/>
  <c r="I2826" i="4"/>
  <c r="H2826" i="4"/>
  <c r="I2825" i="4"/>
  <c r="H2825" i="4"/>
  <c r="I2824" i="4"/>
  <c r="H2824" i="4"/>
  <c r="I2823" i="4"/>
  <c r="H2823" i="4"/>
  <c r="I2822" i="4"/>
  <c r="H2822" i="4"/>
  <c r="I2821" i="4"/>
  <c r="H2821" i="4"/>
  <c r="I2820" i="4"/>
  <c r="H2820" i="4"/>
  <c r="I2819" i="4"/>
  <c r="H2819" i="4"/>
  <c r="I2818" i="4"/>
  <c r="H2818" i="4"/>
  <c r="I2817" i="4"/>
  <c r="H2817" i="4"/>
  <c r="I2816" i="4"/>
  <c r="H2816" i="4"/>
  <c r="I2815" i="4"/>
  <c r="H2815" i="4"/>
  <c r="I2814" i="4"/>
  <c r="H2814" i="4"/>
  <c r="I2813" i="4"/>
  <c r="H2813" i="4"/>
  <c r="I2812" i="4"/>
  <c r="H2812" i="4"/>
  <c r="I2811" i="4"/>
  <c r="H2811" i="4"/>
  <c r="I2810" i="4"/>
  <c r="H2810" i="4"/>
  <c r="I2809" i="4"/>
  <c r="H2809" i="4"/>
  <c r="I2808" i="4"/>
  <c r="H2808" i="4"/>
  <c r="I2807" i="4"/>
  <c r="H2807" i="4"/>
  <c r="I2806" i="4"/>
  <c r="H2806" i="4"/>
  <c r="I2805" i="4"/>
  <c r="H2805" i="4"/>
  <c r="I2804" i="4"/>
  <c r="H2804" i="4"/>
  <c r="I2803" i="4"/>
  <c r="H2803" i="4"/>
  <c r="I2802" i="4"/>
  <c r="H2802" i="4"/>
  <c r="I2801" i="4"/>
  <c r="H2801" i="4"/>
  <c r="I2800" i="4"/>
  <c r="H2800" i="4"/>
  <c r="I2799" i="4"/>
  <c r="H2799" i="4"/>
  <c r="I2798" i="4"/>
  <c r="H2798" i="4"/>
  <c r="I2797" i="4"/>
  <c r="H2797" i="4"/>
  <c r="I2796" i="4"/>
  <c r="H2796" i="4"/>
  <c r="I2795" i="4"/>
  <c r="H2795" i="4"/>
  <c r="I2794" i="4"/>
  <c r="H2794" i="4"/>
  <c r="I2793" i="4"/>
  <c r="H2793" i="4"/>
  <c r="I2792" i="4"/>
  <c r="H2792" i="4"/>
  <c r="I2791" i="4"/>
  <c r="H2791" i="4"/>
  <c r="I2790" i="4"/>
  <c r="H2790" i="4"/>
  <c r="I2789" i="4"/>
  <c r="H2789" i="4"/>
  <c r="I2788" i="4"/>
  <c r="H2788" i="4"/>
  <c r="I2787" i="4"/>
  <c r="H2787" i="4"/>
  <c r="I2786" i="4"/>
  <c r="H2786" i="4"/>
  <c r="I2785" i="4"/>
  <c r="H2785" i="4"/>
  <c r="I2784" i="4"/>
  <c r="H2784" i="4"/>
  <c r="I2783" i="4"/>
  <c r="H2783" i="4"/>
  <c r="I2782" i="4"/>
  <c r="H2782" i="4"/>
  <c r="I2781" i="4"/>
  <c r="H2781" i="4"/>
  <c r="I2780" i="4"/>
  <c r="H2780" i="4"/>
  <c r="I2779" i="4"/>
  <c r="H2779" i="4"/>
  <c r="I2778" i="4"/>
  <c r="H2778" i="4"/>
  <c r="I2777" i="4"/>
  <c r="H2777" i="4"/>
  <c r="I2776" i="4"/>
  <c r="H2776" i="4"/>
  <c r="I2775" i="4"/>
  <c r="H2775" i="4"/>
  <c r="I2774" i="4"/>
  <c r="H2774" i="4"/>
  <c r="I2773" i="4"/>
  <c r="H2773" i="4"/>
  <c r="I2772" i="4"/>
  <c r="H2772" i="4"/>
  <c r="I2771" i="4"/>
  <c r="H2771" i="4"/>
  <c r="I2770" i="4"/>
  <c r="H2770" i="4"/>
  <c r="I2769" i="4"/>
  <c r="H2769" i="4"/>
  <c r="I2768" i="4"/>
  <c r="H2768" i="4"/>
  <c r="I2767" i="4"/>
  <c r="H2767" i="4"/>
  <c r="I2766" i="4"/>
  <c r="H2766" i="4"/>
  <c r="I2765" i="4"/>
  <c r="H2765" i="4"/>
  <c r="I2764" i="4"/>
  <c r="H2764" i="4"/>
  <c r="I2763" i="4"/>
  <c r="H2763" i="4"/>
  <c r="I2762" i="4"/>
  <c r="H2762" i="4"/>
  <c r="I2761" i="4"/>
  <c r="H2761" i="4"/>
  <c r="I2760" i="4"/>
  <c r="H2760" i="4"/>
  <c r="I2759" i="4"/>
  <c r="H2759" i="4"/>
  <c r="I2758" i="4"/>
  <c r="H2758" i="4"/>
  <c r="I2757" i="4"/>
  <c r="H2757" i="4"/>
  <c r="I2756" i="4"/>
  <c r="H2756" i="4"/>
  <c r="I2755" i="4"/>
  <c r="H2755" i="4"/>
  <c r="I2754" i="4"/>
  <c r="H2754" i="4"/>
  <c r="I2753" i="4"/>
  <c r="H2753" i="4"/>
  <c r="I2752" i="4"/>
  <c r="H2752" i="4"/>
  <c r="I2751" i="4"/>
  <c r="H2751" i="4"/>
  <c r="I2750" i="4"/>
  <c r="H2750" i="4"/>
  <c r="I2749" i="4"/>
  <c r="H2749" i="4"/>
  <c r="I2748" i="4"/>
  <c r="H2748" i="4"/>
  <c r="I2747" i="4"/>
  <c r="H2747" i="4"/>
  <c r="I2746" i="4"/>
  <c r="H2746" i="4"/>
  <c r="I2745" i="4"/>
  <c r="H2745" i="4"/>
  <c r="I2744" i="4"/>
  <c r="H2744" i="4"/>
  <c r="I2743" i="4"/>
  <c r="H2743" i="4"/>
  <c r="I2742" i="4"/>
  <c r="H2742" i="4"/>
  <c r="I2741" i="4"/>
  <c r="H2741" i="4"/>
  <c r="I2740" i="4"/>
  <c r="H2740" i="4"/>
  <c r="I2739" i="4"/>
  <c r="H2739" i="4"/>
  <c r="I2738" i="4"/>
  <c r="H2738" i="4"/>
  <c r="I2737" i="4"/>
  <c r="H2737" i="4"/>
  <c r="I2736" i="4"/>
  <c r="H2736" i="4"/>
  <c r="I2735" i="4"/>
  <c r="H2735" i="4"/>
  <c r="I2734" i="4"/>
  <c r="H2734" i="4"/>
  <c r="I2733" i="4"/>
  <c r="H2733" i="4"/>
  <c r="I2732" i="4"/>
  <c r="H2732" i="4"/>
  <c r="I2731" i="4"/>
  <c r="H2731" i="4"/>
  <c r="I2730" i="4"/>
  <c r="H2730" i="4"/>
  <c r="I2729" i="4"/>
  <c r="H2729" i="4"/>
  <c r="I2728" i="4"/>
  <c r="H2728" i="4"/>
  <c r="I2727" i="4"/>
  <c r="H2727" i="4"/>
  <c r="I2726" i="4"/>
  <c r="H2726" i="4"/>
  <c r="I2725" i="4"/>
  <c r="H2725" i="4"/>
  <c r="I2724" i="4"/>
  <c r="H2724" i="4"/>
  <c r="I2723" i="4"/>
  <c r="H2723" i="4"/>
  <c r="I2722" i="4"/>
  <c r="H2722" i="4"/>
  <c r="I2721" i="4"/>
  <c r="H2721" i="4"/>
  <c r="I2720" i="4"/>
  <c r="H2720" i="4"/>
  <c r="I2719" i="4"/>
  <c r="H2719" i="4"/>
  <c r="I2718" i="4"/>
  <c r="H2718" i="4"/>
  <c r="I2717" i="4"/>
  <c r="H2717" i="4"/>
  <c r="I2716" i="4"/>
  <c r="H2716" i="4"/>
  <c r="I2715" i="4"/>
  <c r="H2715" i="4"/>
  <c r="I2714" i="4"/>
  <c r="H2714" i="4"/>
  <c r="I2713" i="4"/>
  <c r="H2713" i="4"/>
  <c r="I2712" i="4"/>
  <c r="H2712" i="4"/>
  <c r="I2711" i="4"/>
  <c r="H2711" i="4"/>
  <c r="I2710" i="4"/>
  <c r="H2710" i="4"/>
  <c r="I2709" i="4"/>
  <c r="H2709" i="4"/>
  <c r="I2708" i="4"/>
  <c r="H2708" i="4"/>
  <c r="I2707" i="4"/>
  <c r="H2707" i="4"/>
  <c r="I2706" i="4"/>
  <c r="H2706" i="4"/>
  <c r="I2705" i="4"/>
  <c r="H2705" i="4"/>
  <c r="I2704" i="4"/>
  <c r="H2704" i="4"/>
  <c r="I2703" i="4"/>
  <c r="H2703" i="4"/>
  <c r="I2702" i="4"/>
  <c r="H2702" i="4"/>
  <c r="I2701" i="4"/>
  <c r="H2701" i="4"/>
  <c r="I2700" i="4"/>
  <c r="H2700" i="4"/>
  <c r="I2699" i="4"/>
  <c r="H2699" i="4"/>
  <c r="I2698" i="4"/>
  <c r="H2698" i="4"/>
  <c r="I2697" i="4"/>
  <c r="H2697" i="4"/>
  <c r="I2696" i="4"/>
  <c r="H2696" i="4"/>
  <c r="I2695" i="4"/>
  <c r="H2695" i="4"/>
  <c r="I2694" i="4"/>
  <c r="H2694" i="4"/>
  <c r="I2693" i="4"/>
  <c r="H2693" i="4"/>
  <c r="I2692" i="4"/>
  <c r="H2692" i="4"/>
  <c r="I2691" i="4"/>
  <c r="H2691" i="4"/>
  <c r="I2690" i="4"/>
  <c r="H2690" i="4"/>
  <c r="I2689" i="4"/>
  <c r="H2689" i="4"/>
  <c r="I2688" i="4"/>
  <c r="H2688" i="4"/>
  <c r="I2687" i="4"/>
  <c r="H2687" i="4"/>
  <c r="I2686" i="4"/>
  <c r="H2686" i="4"/>
  <c r="I2685" i="4"/>
  <c r="H2685" i="4"/>
  <c r="I2684" i="4"/>
  <c r="H2684" i="4"/>
  <c r="I2683" i="4"/>
  <c r="H2683" i="4"/>
  <c r="I2682" i="4"/>
  <c r="H2682" i="4"/>
  <c r="I2681" i="4"/>
  <c r="H2681" i="4"/>
  <c r="I2680" i="4"/>
  <c r="H2680" i="4"/>
  <c r="I2679" i="4"/>
  <c r="H2679" i="4"/>
  <c r="I2678" i="4"/>
  <c r="H2678" i="4"/>
  <c r="I2677" i="4"/>
  <c r="H2677" i="4"/>
  <c r="I2676" i="4"/>
  <c r="H2676" i="4"/>
  <c r="I2675" i="4"/>
  <c r="H2675" i="4"/>
  <c r="I2674" i="4"/>
  <c r="H2674" i="4"/>
  <c r="I2673" i="4"/>
  <c r="H2673" i="4"/>
  <c r="I2672" i="4"/>
  <c r="H2672" i="4"/>
  <c r="I2671" i="4"/>
  <c r="H2671" i="4"/>
  <c r="I2670" i="4"/>
  <c r="H2670" i="4"/>
  <c r="I2669" i="4"/>
  <c r="H2669" i="4"/>
  <c r="I2668" i="4"/>
  <c r="H2668" i="4"/>
  <c r="I2667" i="4"/>
  <c r="H2667" i="4"/>
  <c r="I2666" i="4"/>
  <c r="H2666" i="4"/>
  <c r="I2665" i="4"/>
  <c r="H2665" i="4"/>
  <c r="I2664" i="4"/>
  <c r="H2664" i="4"/>
  <c r="I2663" i="4"/>
  <c r="H2663" i="4"/>
  <c r="I2662" i="4"/>
  <c r="H2662" i="4"/>
  <c r="I2661" i="4"/>
  <c r="H2661" i="4"/>
  <c r="I2660" i="4"/>
  <c r="H2660" i="4"/>
  <c r="I2659" i="4"/>
  <c r="H2659" i="4"/>
  <c r="I2658" i="4"/>
  <c r="H2658" i="4"/>
  <c r="I2657" i="4"/>
  <c r="H2657" i="4"/>
  <c r="I2656" i="4"/>
  <c r="H2656" i="4"/>
  <c r="I2655" i="4"/>
  <c r="H2655" i="4"/>
  <c r="I2654" i="4"/>
  <c r="H2654" i="4"/>
  <c r="I2653" i="4"/>
  <c r="H2653" i="4"/>
  <c r="I2652" i="4"/>
  <c r="H2652" i="4"/>
  <c r="I2651" i="4"/>
  <c r="H2651" i="4"/>
  <c r="I2650" i="4"/>
  <c r="H2650" i="4"/>
  <c r="I2649" i="4"/>
  <c r="H2649" i="4"/>
  <c r="I2648" i="4"/>
  <c r="H2648" i="4"/>
  <c r="I2647" i="4"/>
  <c r="H2647" i="4"/>
  <c r="I2646" i="4"/>
  <c r="H2646" i="4"/>
  <c r="I2645" i="4"/>
  <c r="H2645" i="4"/>
  <c r="I2644" i="4"/>
  <c r="H2644" i="4"/>
  <c r="I2643" i="4"/>
  <c r="H2643" i="4"/>
  <c r="I2642" i="4"/>
  <c r="H2642" i="4"/>
  <c r="I2641" i="4"/>
  <c r="H2641" i="4"/>
  <c r="I2640" i="4"/>
  <c r="H2640" i="4"/>
  <c r="I2639" i="4"/>
  <c r="H2639" i="4"/>
  <c r="I2638" i="4"/>
  <c r="H2638" i="4"/>
  <c r="I2637" i="4"/>
  <c r="H2637" i="4"/>
  <c r="I2636" i="4"/>
  <c r="H2636" i="4"/>
  <c r="I2635" i="4"/>
  <c r="H2635" i="4"/>
  <c r="I2634" i="4"/>
  <c r="H2634" i="4"/>
  <c r="I2633" i="4"/>
  <c r="H2633" i="4"/>
  <c r="I2632" i="4"/>
  <c r="H2632" i="4"/>
  <c r="I2631" i="4"/>
  <c r="H2631" i="4"/>
  <c r="I2630" i="4"/>
  <c r="H2630" i="4"/>
  <c r="I2629" i="4"/>
  <c r="H2629" i="4"/>
  <c r="I2628" i="4"/>
  <c r="H2628" i="4"/>
  <c r="I2627" i="4"/>
  <c r="H2627" i="4"/>
  <c r="I2626" i="4"/>
  <c r="H2626" i="4"/>
  <c r="I2625" i="4"/>
  <c r="H2625" i="4"/>
  <c r="I2624" i="4"/>
  <c r="H2624" i="4"/>
  <c r="I2623" i="4"/>
  <c r="H2623" i="4"/>
  <c r="I2622" i="4"/>
  <c r="H2622" i="4"/>
  <c r="I2621" i="4"/>
  <c r="H2621" i="4"/>
  <c r="I2620" i="4"/>
  <c r="H2620" i="4"/>
  <c r="I2619" i="4"/>
  <c r="H2619" i="4"/>
  <c r="I2618" i="4"/>
  <c r="H2618" i="4"/>
  <c r="I2617" i="4"/>
  <c r="H2617" i="4"/>
  <c r="I2616" i="4"/>
  <c r="H2616" i="4"/>
  <c r="I2615" i="4"/>
  <c r="H2615" i="4"/>
  <c r="I2614" i="4"/>
  <c r="H2614" i="4"/>
  <c r="I2613" i="4"/>
  <c r="H2613" i="4"/>
  <c r="I2612" i="4"/>
  <c r="H2612" i="4"/>
  <c r="I2611" i="4"/>
  <c r="H2611" i="4"/>
  <c r="I2610" i="4"/>
  <c r="H2610" i="4"/>
  <c r="I2609" i="4"/>
  <c r="H2609" i="4"/>
  <c r="I2608" i="4"/>
  <c r="H2608" i="4"/>
  <c r="I2607" i="4"/>
  <c r="H2607" i="4"/>
  <c r="I2606" i="4"/>
  <c r="H2606" i="4"/>
  <c r="I2605" i="4"/>
  <c r="H2605" i="4"/>
  <c r="I2604" i="4"/>
  <c r="H2604" i="4"/>
  <c r="I2603" i="4"/>
  <c r="H2603" i="4"/>
  <c r="I2602" i="4"/>
  <c r="H2602" i="4"/>
  <c r="I2601" i="4"/>
  <c r="H2601" i="4"/>
  <c r="I2600" i="4"/>
  <c r="H2600" i="4"/>
  <c r="I2599" i="4"/>
  <c r="H2599" i="4"/>
  <c r="I2598" i="4"/>
  <c r="H2598" i="4"/>
  <c r="I2597" i="4"/>
  <c r="H2597" i="4"/>
  <c r="I2596" i="4"/>
  <c r="H2596" i="4"/>
  <c r="I2595" i="4"/>
  <c r="H2595" i="4"/>
  <c r="I2594" i="4"/>
  <c r="H2594" i="4"/>
  <c r="I2593" i="4"/>
  <c r="H2593" i="4"/>
  <c r="I2592" i="4"/>
  <c r="H2592" i="4"/>
  <c r="I2591" i="4"/>
  <c r="H2591" i="4"/>
  <c r="I2590" i="4"/>
  <c r="H2590" i="4"/>
  <c r="I2589" i="4"/>
  <c r="H2589" i="4"/>
  <c r="I2588" i="4"/>
  <c r="H2588" i="4"/>
  <c r="I2587" i="4"/>
  <c r="H2587" i="4"/>
  <c r="I2586" i="4"/>
  <c r="H2586" i="4"/>
  <c r="I2585" i="4"/>
  <c r="H2585" i="4"/>
  <c r="I2584" i="4"/>
  <c r="H2584" i="4"/>
  <c r="I2583" i="4"/>
  <c r="H2583" i="4"/>
  <c r="I2582" i="4"/>
  <c r="H2582" i="4"/>
  <c r="I2581" i="4"/>
  <c r="H2581" i="4"/>
  <c r="I2580" i="4"/>
  <c r="H2580" i="4"/>
  <c r="I2579" i="4"/>
  <c r="H2579" i="4"/>
  <c r="I2578" i="4"/>
  <c r="H2578" i="4"/>
  <c r="I2577" i="4"/>
  <c r="H2577" i="4"/>
  <c r="I2576" i="4"/>
  <c r="H2576" i="4"/>
  <c r="I2575" i="4"/>
  <c r="H2575" i="4"/>
  <c r="I2574" i="4"/>
  <c r="H2574" i="4"/>
  <c r="I2573" i="4"/>
  <c r="H2573" i="4"/>
  <c r="I2572" i="4"/>
  <c r="H2572" i="4"/>
  <c r="I2571" i="4"/>
  <c r="H2571" i="4"/>
  <c r="I2570" i="4"/>
  <c r="H2570" i="4"/>
  <c r="I2569" i="4"/>
  <c r="H2569" i="4"/>
  <c r="I2568" i="4"/>
  <c r="H2568" i="4"/>
  <c r="I2567" i="4"/>
  <c r="H2567" i="4"/>
  <c r="I2566" i="4"/>
  <c r="H2566" i="4"/>
  <c r="I2565" i="4"/>
  <c r="H2565" i="4"/>
  <c r="I2564" i="4"/>
  <c r="H2564" i="4"/>
  <c r="I2563" i="4"/>
  <c r="H2563" i="4"/>
  <c r="I2562" i="4"/>
  <c r="H2562" i="4"/>
  <c r="I2561" i="4"/>
  <c r="H2561" i="4"/>
  <c r="I2560" i="4"/>
  <c r="H2560" i="4"/>
  <c r="I2559" i="4"/>
  <c r="H2559" i="4"/>
  <c r="I2558" i="4"/>
  <c r="H2558" i="4"/>
  <c r="I2557" i="4"/>
  <c r="H2557" i="4"/>
  <c r="I2556" i="4"/>
  <c r="H2556" i="4"/>
  <c r="I2555" i="4"/>
  <c r="H2555" i="4"/>
  <c r="I2554" i="4"/>
  <c r="H2554" i="4"/>
  <c r="I2553" i="4"/>
  <c r="H2553" i="4"/>
  <c r="I2552" i="4"/>
  <c r="H2552" i="4"/>
  <c r="I2551" i="4"/>
  <c r="H2551" i="4"/>
  <c r="I2550" i="4"/>
  <c r="H2550" i="4"/>
  <c r="I2549" i="4"/>
  <c r="H2549" i="4"/>
  <c r="I2548" i="4"/>
  <c r="H2548" i="4"/>
  <c r="I2547" i="4"/>
  <c r="H2547" i="4"/>
  <c r="I2546" i="4"/>
  <c r="H2546" i="4"/>
  <c r="I2545" i="4"/>
  <c r="H2545" i="4"/>
  <c r="I2544" i="4"/>
  <c r="H2544" i="4"/>
  <c r="I2543" i="4"/>
  <c r="H2543" i="4"/>
  <c r="I2542" i="4"/>
  <c r="H2542" i="4"/>
  <c r="I2541" i="4"/>
  <c r="H2541" i="4"/>
  <c r="I2540" i="4"/>
  <c r="H2540" i="4"/>
  <c r="I2539" i="4"/>
  <c r="H2539" i="4"/>
  <c r="I2538" i="4"/>
  <c r="H2538" i="4"/>
  <c r="I2537" i="4"/>
  <c r="H2537" i="4"/>
  <c r="I2536" i="4"/>
  <c r="H2536" i="4"/>
  <c r="I2535" i="4"/>
  <c r="H2535" i="4"/>
  <c r="I2534" i="4"/>
  <c r="H2534" i="4"/>
  <c r="I2533" i="4"/>
  <c r="H2533" i="4"/>
  <c r="I2532" i="4"/>
  <c r="H2532" i="4"/>
  <c r="I2531" i="4"/>
  <c r="H2531" i="4"/>
  <c r="I2530" i="4"/>
  <c r="H2530" i="4"/>
  <c r="I2529" i="4"/>
  <c r="H2529" i="4"/>
  <c r="I2528" i="4"/>
  <c r="H2528" i="4"/>
  <c r="I2527" i="4"/>
  <c r="H2527" i="4"/>
  <c r="I2526" i="4"/>
  <c r="H2526" i="4"/>
  <c r="I2525" i="4"/>
  <c r="H2525" i="4"/>
  <c r="I2524" i="4"/>
  <c r="H2524" i="4"/>
  <c r="I2523" i="4"/>
  <c r="H2523" i="4"/>
  <c r="I2522" i="4"/>
  <c r="H2522" i="4"/>
  <c r="I2521" i="4"/>
  <c r="H2521" i="4"/>
  <c r="I2520" i="4"/>
  <c r="H2520" i="4"/>
  <c r="I2519" i="4"/>
  <c r="H2519" i="4"/>
  <c r="I2518" i="4"/>
  <c r="H2518" i="4"/>
  <c r="I2517" i="4"/>
  <c r="H2517" i="4"/>
  <c r="I2516" i="4"/>
  <c r="H2516" i="4"/>
  <c r="I2515" i="4"/>
  <c r="H2515" i="4"/>
  <c r="I2514" i="4"/>
  <c r="H2514" i="4"/>
  <c r="I2513" i="4"/>
  <c r="H2513" i="4"/>
  <c r="I2512" i="4"/>
  <c r="H2512" i="4"/>
  <c r="I2511" i="4"/>
  <c r="H2511" i="4"/>
  <c r="I2510" i="4"/>
  <c r="H2510" i="4"/>
  <c r="I2509" i="4"/>
  <c r="H2509" i="4"/>
  <c r="I2508" i="4"/>
  <c r="H2508" i="4"/>
  <c r="I2507" i="4"/>
  <c r="H2507" i="4"/>
  <c r="I2506" i="4"/>
  <c r="H2506" i="4"/>
  <c r="I2505" i="4"/>
  <c r="H2505" i="4"/>
  <c r="I2504" i="4"/>
  <c r="H2504" i="4"/>
  <c r="I2503" i="4"/>
  <c r="H2503" i="4"/>
  <c r="I2502" i="4"/>
  <c r="H2502" i="4"/>
  <c r="I2501" i="4"/>
  <c r="H2501" i="4"/>
  <c r="I2500" i="4"/>
  <c r="H2500" i="4"/>
  <c r="I2499" i="4"/>
  <c r="H2499" i="4"/>
  <c r="I2498" i="4"/>
  <c r="H2498" i="4"/>
  <c r="I2497" i="4"/>
  <c r="H2497" i="4"/>
  <c r="I2496" i="4"/>
  <c r="H2496" i="4"/>
  <c r="I2495" i="4"/>
  <c r="H2495" i="4"/>
  <c r="I2494" i="4"/>
  <c r="H2494" i="4"/>
  <c r="I2493" i="4"/>
  <c r="H2493" i="4"/>
  <c r="I2492" i="4"/>
  <c r="H2492" i="4"/>
  <c r="I2491" i="4"/>
  <c r="H2491" i="4"/>
  <c r="I2490" i="4"/>
  <c r="H2490" i="4"/>
  <c r="I2489" i="4"/>
  <c r="H2489" i="4"/>
  <c r="I2488" i="4"/>
  <c r="H2488" i="4"/>
  <c r="I2487" i="4"/>
  <c r="H2487" i="4"/>
  <c r="I2486" i="4"/>
  <c r="H2486" i="4"/>
  <c r="I2485" i="4"/>
  <c r="H2485" i="4"/>
  <c r="I2484" i="4"/>
  <c r="H2484" i="4"/>
  <c r="I2483" i="4"/>
  <c r="H2483" i="4"/>
  <c r="I2482" i="4"/>
  <c r="H2482" i="4"/>
  <c r="I2481" i="4"/>
  <c r="H2481" i="4"/>
  <c r="I2480" i="4"/>
  <c r="H2480" i="4"/>
  <c r="I2479" i="4"/>
  <c r="H2479" i="4"/>
  <c r="I2478" i="4"/>
  <c r="H2478" i="4"/>
  <c r="I2477" i="4"/>
  <c r="H2477" i="4"/>
  <c r="I2476" i="4"/>
  <c r="H2476" i="4"/>
  <c r="I2475" i="4"/>
  <c r="H2475" i="4"/>
  <c r="I2474" i="4"/>
  <c r="H2474" i="4"/>
  <c r="I2473" i="4"/>
  <c r="H2473" i="4"/>
  <c r="I2472" i="4"/>
  <c r="H2472" i="4"/>
  <c r="I2471" i="4"/>
  <c r="H2471" i="4"/>
  <c r="I2470" i="4"/>
  <c r="H2470" i="4"/>
  <c r="I2469" i="4"/>
  <c r="H2469" i="4"/>
  <c r="I2468" i="4"/>
  <c r="H2468" i="4"/>
  <c r="I2467" i="4"/>
  <c r="H2467" i="4"/>
  <c r="I2466" i="4"/>
  <c r="H2466" i="4"/>
  <c r="I2465" i="4"/>
  <c r="H2465" i="4"/>
  <c r="I2464" i="4"/>
  <c r="H2464" i="4"/>
  <c r="I2463" i="4"/>
  <c r="H2463" i="4"/>
  <c r="I2462" i="4"/>
  <c r="H2462" i="4"/>
  <c r="I2461" i="4"/>
  <c r="H2461" i="4"/>
  <c r="I2460" i="4"/>
  <c r="H2460" i="4"/>
  <c r="I2459" i="4"/>
  <c r="H2459" i="4"/>
  <c r="I2458" i="4"/>
  <c r="H2458" i="4"/>
  <c r="I2457" i="4"/>
  <c r="H2457" i="4"/>
  <c r="I2456" i="4"/>
  <c r="H2456" i="4"/>
  <c r="I2455" i="4"/>
  <c r="H2455" i="4"/>
  <c r="I2454" i="4"/>
  <c r="H2454" i="4"/>
  <c r="I2453" i="4"/>
  <c r="H2453" i="4"/>
  <c r="I2452" i="4"/>
  <c r="H2452" i="4"/>
  <c r="I2451" i="4"/>
  <c r="H2451" i="4"/>
  <c r="I2450" i="4"/>
  <c r="H2450" i="4"/>
  <c r="I2449" i="4"/>
  <c r="H2449" i="4"/>
  <c r="I2448" i="4"/>
  <c r="H2448" i="4"/>
  <c r="I2447" i="4"/>
  <c r="H2447" i="4"/>
  <c r="I2446" i="4"/>
  <c r="H2446" i="4"/>
  <c r="I2445" i="4"/>
  <c r="H2445" i="4"/>
  <c r="I2444" i="4"/>
  <c r="H2444" i="4"/>
  <c r="I2443" i="4"/>
  <c r="H2443" i="4"/>
  <c r="I2442" i="4"/>
  <c r="H2442" i="4"/>
  <c r="I2441" i="4"/>
  <c r="H2441" i="4"/>
  <c r="I2440" i="4"/>
  <c r="H2440" i="4"/>
  <c r="I2439" i="4"/>
  <c r="H2439" i="4"/>
  <c r="I2438" i="4"/>
  <c r="H2438" i="4"/>
  <c r="I2437" i="4"/>
  <c r="H2437" i="4"/>
  <c r="I2436" i="4"/>
  <c r="H2436" i="4"/>
  <c r="I2435" i="4"/>
  <c r="H2435" i="4"/>
  <c r="I2434" i="4"/>
  <c r="H2434" i="4"/>
  <c r="I2433" i="4"/>
  <c r="H2433" i="4"/>
  <c r="I2432" i="4"/>
  <c r="H2432" i="4"/>
  <c r="I2431" i="4"/>
  <c r="H2431" i="4"/>
  <c r="I2430" i="4"/>
  <c r="H2430" i="4"/>
  <c r="I2429" i="4"/>
  <c r="H2429" i="4"/>
  <c r="I2428" i="4"/>
  <c r="H2428" i="4"/>
  <c r="I2427" i="4"/>
  <c r="H2427" i="4"/>
  <c r="I2426" i="4"/>
  <c r="H2426" i="4"/>
  <c r="I2425" i="4"/>
  <c r="H2425" i="4"/>
  <c r="I2424" i="4"/>
  <c r="H2424" i="4"/>
  <c r="I2423" i="4"/>
  <c r="H2423" i="4"/>
  <c r="I2422" i="4"/>
  <c r="H2422" i="4"/>
  <c r="I2421" i="4"/>
  <c r="H2421" i="4"/>
  <c r="I2420" i="4"/>
  <c r="H2420" i="4"/>
  <c r="I2419" i="4"/>
  <c r="H2419" i="4"/>
  <c r="I2418" i="4"/>
  <c r="H2418" i="4"/>
  <c r="I2417" i="4"/>
  <c r="H2417" i="4"/>
  <c r="I2416" i="4"/>
  <c r="H2416" i="4"/>
  <c r="I2415" i="4"/>
  <c r="H2415" i="4"/>
  <c r="I2414" i="4"/>
  <c r="H2414" i="4"/>
  <c r="I2413" i="4"/>
  <c r="H2413" i="4"/>
  <c r="I2412" i="4"/>
  <c r="H2412" i="4"/>
  <c r="I2411" i="4"/>
  <c r="H2411" i="4"/>
  <c r="I2410" i="4"/>
  <c r="H2410" i="4"/>
  <c r="I2409" i="4"/>
  <c r="H2409" i="4"/>
  <c r="I2408" i="4"/>
  <c r="H2408" i="4"/>
  <c r="I2407" i="4"/>
  <c r="H2407" i="4"/>
  <c r="I2406" i="4"/>
  <c r="H2406" i="4"/>
  <c r="I2405" i="4"/>
  <c r="H2405" i="4"/>
  <c r="I2404" i="4"/>
  <c r="H2404" i="4"/>
  <c r="I2403" i="4"/>
  <c r="H2403" i="4"/>
  <c r="I2402" i="4"/>
  <c r="H2402" i="4"/>
  <c r="I2401" i="4"/>
  <c r="H2401" i="4"/>
  <c r="I2400" i="4"/>
  <c r="H2400" i="4"/>
  <c r="I2399" i="4"/>
  <c r="H2399" i="4"/>
  <c r="I2398" i="4"/>
  <c r="H2398" i="4"/>
  <c r="I2397" i="4"/>
  <c r="H2397" i="4"/>
  <c r="I2396" i="4"/>
  <c r="H2396" i="4"/>
  <c r="I2395" i="4"/>
  <c r="H2395" i="4"/>
  <c r="I2394" i="4"/>
  <c r="H2394" i="4"/>
  <c r="I2393" i="4"/>
  <c r="H2393" i="4"/>
  <c r="I2392" i="4"/>
  <c r="H2392" i="4"/>
  <c r="I2391" i="4"/>
  <c r="H2391" i="4"/>
  <c r="I2390" i="4"/>
  <c r="H2390" i="4"/>
  <c r="I2389" i="4"/>
  <c r="H2389" i="4"/>
  <c r="I2388" i="4"/>
  <c r="H2388" i="4"/>
  <c r="I2387" i="4"/>
  <c r="H2387" i="4"/>
  <c r="I2386" i="4"/>
  <c r="H2386" i="4"/>
  <c r="I2385" i="4"/>
  <c r="H2385" i="4"/>
  <c r="I2384" i="4"/>
  <c r="H2384" i="4"/>
  <c r="I2383" i="4"/>
  <c r="H2383" i="4"/>
  <c r="I2382" i="4"/>
  <c r="H2382" i="4"/>
  <c r="I2381" i="4"/>
  <c r="H2381" i="4"/>
  <c r="I2380" i="4"/>
  <c r="H2380" i="4"/>
  <c r="I2379" i="4"/>
  <c r="H2379" i="4"/>
  <c r="I2378" i="4"/>
  <c r="H2378" i="4"/>
  <c r="I2377" i="4"/>
  <c r="H2377" i="4"/>
  <c r="I2376" i="4"/>
  <c r="H2376" i="4"/>
  <c r="I2375" i="4"/>
  <c r="H2375" i="4"/>
  <c r="I2374" i="4"/>
  <c r="H2374" i="4"/>
  <c r="I2373" i="4"/>
  <c r="H2373" i="4"/>
  <c r="I2372" i="4"/>
  <c r="H2372" i="4"/>
  <c r="I2371" i="4"/>
  <c r="H2371" i="4"/>
  <c r="I2370" i="4"/>
  <c r="H2370" i="4"/>
  <c r="I2369" i="4"/>
  <c r="H2369" i="4"/>
  <c r="I2368" i="4"/>
  <c r="H2368" i="4"/>
  <c r="I2367" i="4"/>
  <c r="H2367" i="4"/>
  <c r="I2366" i="4"/>
  <c r="H2366" i="4"/>
  <c r="I2365" i="4"/>
  <c r="H2365" i="4"/>
  <c r="I2364" i="4"/>
  <c r="H2364" i="4"/>
  <c r="I2363" i="4"/>
  <c r="H2363" i="4"/>
  <c r="I2362" i="4"/>
  <c r="H2362" i="4"/>
  <c r="I2361" i="4"/>
  <c r="H2361" i="4"/>
  <c r="I2360" i="4"/>
  <c r="H2360" i="4"/>
  <c r="I2359" i="4"/>
  <c r="H2359" i="4"/>
  <c r="I2358" i="4"/>
  <c r="H2358" i="4"/>
  <c r="I2357" i="4"/>
  <c r="H2357" i="4"/>
  <c r="I2356" i="4"/>
  <c r="H2356" i="4"/>
  <c r="I2355" i="4"/>
  <c r="H2355" i="4"/>
  <c r="I2354" i="4"/>
  <c r="H2354" i="4"/>
  <c r="I2353" i="4"/>
  <c r="H2353" i="4"/>
  <c r="I2352" i="4"/>
  <c r="H2352" i="4"/>
  <c r="I2351" i="4"/>
  <c r="H2351" i="4"/>
  <c r="I2350" i="4"/>
  <c r="H2350" i="4"/>
  <c r="I2349" i="4"/>
  <c r="H2349" i="4"/>
  <c r="I2348" i="4"/>
  <c r="H2348" i="4"/>
  <c r="I2347" i="4"/>
  <c r="H2347" i="4"/>
  <c r="I2346" i="4"/>
  <c r="H2346" i="4"/>
  <c r="I2345" i="4"/>
  <c r="H2345" i="4"/>
  <c r="I2344" i="4"/>
  <c r="H2344" i="4"/>
  <c r="I2343" i="4"/>
  <c r="H2343" i="4"/>
  <c r="I2342" i="4"/>
  <c r="H2342" i="4"/>
  <c r="I2341" i="4"/>
  <c r="H2341" i="4"/>
  <c r="I2340" i="4"/>
  <c r="H2340" i="4"/>
  <c r="I2339" i="4"/>
  <c r="H2339" i="4"/>
  <c r="I2338" i="4"/>
  <c r="H2338" i="4"/>
  <c r="I2337" i="4"/>
  <c r="H2337" i="4"/>
  <c r="I2336" i="4"/>
  <c r="H2336" i="4"/>
  <c r="I2335" i="4"/>
  <c r="H2335" i="4"/>
  <c r="I2334" i="4"/>
  <c r="H2334" i="4"/>
  <c r="I2333" i="4"/>
  <c r="H2333" i="4"/>
  <c r="I2332" i="4"/>
  <c r="H2332" i="4"/>
  <c r="I2331" i="4"/>
  <c r="H2331" i="4"/>
  <c r="I2330" i="4"/>
  <c r="H2330" i="4"/>
  <c r="I2329" i="4"/>
  <c r="H2329" i="4"/>
  <c r="I2328" i="4"/>
  <c r="H2328" i="4"/>
  <c r="I2327" i="4"/>
  <c r="H2327" i="4"/>
  <c r="I2326" i="4"/>
  <c r="H2326" i="4"/>
  <c r="I2325" i="4"/>
  <c r="H2325" i="4"/>
  <c r="I2324" i="4"/>
  <c r="H2324" i="4"/>
  <c r="I2323" i="4"/>
  <c r="H2323" i="4"/>
  <c r="I2322" i="4"/>
  <c r="H2322" i="4"/>
  <c r="I2321" i="4"/>
  <c r="H2321" i="4"/>
  <c r="I2320" i="4"/>
  <c r="H2320" i="4"/>
  <c r="I2319" i="4"/>
  <c r="H2319" i="4"/>
  <c r="I2318" i="4"/>
  <c r="H2318" i="4"/>
  <c r="I2317" i="4"/>
  <c r="H2317" i="4"/>
  <c r="I2316" i="4"/>
  <c r="H2316" i="4"/>
  <c r="I2315" i="4"/>
  <c r="H2315" i="4"/>
  <c r="I2314" i="4"/>
  <c r="H2314" i="4"/>
  <c r="I2313" i="4"/>
  <c r="H2313" i="4"/>
  <c r="I2312" i="4"/>
  <c r="H2312" i="4"/>
  <c r="I2311" i="4"/>
  <c r="H2311" i="4"/>
  <c r="I2310" i="4"/>
  <c r="H2310" i="4"/>
  <c r="I2309" i="4"/>
  <c r="H2309" i="4"/>
  <c r="I2308" i="4"/>
  <c r="H2308" i="4"/>
  <c r="I2307" i="4"/>
  <c r="H2307" i="4"/>
  <c r="I2306" i="4"/>
  <c r="H2306" i="4"/>
  <c r="I2305" i="4"/>
  <c r="H2305" i="4"/>
  <c r="I2304" i="4"/>
  <c r="H2304" i="4"/>
  <c r="I2303" i="4"/>
  <c r="H2303" i="4"/>
  <c r="I2302" i="4"/>
  <c r="H2302" i="4"/>
  <c r="I2301" i="4"/>
  <c r="H2301" i="4"/>
  <c r="I2300" i="4"/>
  <c r="H2300" i="4"/>
  <c r="I2299" i="4"/>
  <c r="H2299" i="4"/>
  <c r="I2298" i="4"/>
  <c r="H2298" i="4"/>
  <c r="I2297" i="4"/>
  <c r="H2297" i="4"/>
  <c r="I2296" i="4"/>
  <c r="H2296" i="4"/>
  <c r="I2295" i="4"/>
  <c r="H2295" i="4"/>
  <c r="I2294" i="4"/>
  <c r="H2294" i="4"/>
  <c r="I2293" i="4"/>
  <c r="H2293" i="4"/>
  <c r="I2292" i="4"/>
  <c r="H2292" i="4"/>
  <c r="I2291" i="4"/>
  <c r="H2291" i="4"/>
  <c r="I2290" i="4"/>
  <c r="H2290" i="4"/>
  <c r="I2289" i="4"/>
  <c r="H2289" i="4"/>
  <c r="I2288" i="4"/>
  <c r="H2288" i="4"/>
  <c r="I2287" i="4"/>
  <c r="H2287" i="4"/>
  <c r="I2286" i="4"/>
  <c r="H2286" i="4"/>
  <c r="I2285" i="4"/>
  <c r="H2285" i="4"/>
  <c r="I2284" i="4"/>
  <c r="H2284" i="4"/>
  <c r="I2283" i="4"/>
  <c r="H2283" i="4"/>
  <c r="I2282" i="4"/>
  <c r="H2282" i="4"/>
  <c r="I2281" i="4"/>
  <c r="H2281" i="4"/>
  <c r="I2280" i="4"/>
  <c r="H2280" i="4"/>
  <c r="I2279" i="4"/>
  <c r="H2279" i="4"/>
  <c r="I2278" i="4"/>
  <c r="H2278" i="4"/>
  <c r="I2277" i="4"/>
  <c r="H2277" i="4"/>
  <c r="I2276" i="4"/>
  <c r="H2276" i="4"/>
  <c r="I2275" i="4"/>
  <c r="H2275" i="4"/>
  <c r="I2274" i="4"/>
  <c r="H2274" i="4"/>
  <c r="I2273" i="4"/>
  <c r="H2273" i="4"/>
  <c r="I2272" i="4"/>
  <c r="H2272" i="4"/>
  <c r="I2271" i="4"/>
  <c r="H2271" i="4"/>
  <c r="I2270" i="4"/>
  <c r="H2270" i="4"/>
  <c r="I2269" i="4"/>
  <c r="H2269" i="4"/>
  <c r="I2268" i="4"/>
  <c r="H2268" i="4"/>
  <c r="I2267" i="4"/>
  <c r="H2267" i="4"/>
  <c r="I2266" i="4"/>
  <c r="H2266" i="4"/>
  <c r="I2265" i="4"/>
  <c r="H2265" i="4"/>
  <c r="I2264" i="4"/>
  <c r="H2264" i="4"/>
  <c r="I2263" i="4"/>
  <c r="H2263" i="4"/>
  <c r="I2262" i="4"/>
  <c r="H2262" i="4"/>
  <c r="I2261" i="4"/>
  <c r="H2261" i="4"/>
  <c r="I2260" i="4"/>
  <c r="H2260" i="4"/>
  <c r="I2259" i="4"/>
  <c r="H2259" i="4"/>
  <c r="I2258" i="4"/>
  <c r="H2258" i="4"/>
  <c r="I2257" i="4"/>
  <c r="H2257" i="4"/>
  <c r="I2256" i="4"/>
  <c r="H2256" i="4"/>
  <c r="I2255" i="4"/>
  <c r="H2255" i="4"/>
  <c r="I2254" i="4"/>
  <c r="H2254" i="4"/>
  <c r="I2253" i="4"/>
  <c r="H2253" i="4"/>
  <c r="I2252" i="4"/>
  <c r="H2252" i="4"/>
  <c r="I2251" i="4"/>
  <c r="H2251" i="4"/>
  <c r="I2250" i="4"/>
  <c r="H2250" i="4"/>
  <c r="I2249" i="4"/>
  <c r="H2249" i="4"/>
  <c r="I2248" i="4"/>
  <c r="H2248" i="4"/>
  <c r="I2247" i="4"/>
  <c r="H2247" i="4"/>
  <c r="I2246" i="4"/>
  <c r="H2246" i="4"/>
  <c r="I2245" i="4"/>
  <c r="H2245" i="4"/>
  <c r="I2244" i="4"/>
  <c r="H2244" i="4"/>
  <c r="I2243" i="4"/>
  <c r="H2243" i="4"/>
  <c r="I2242" i="4"/>
  <c r="H2242" i="4"/>
  <c r="I2241" i="4"/>
  <c r="H2241" i="4"/>
  <c r="I2240" i="4"/>
  <c r="H2240" i="4"/>
  <c r="I2239" i="4"/>
  <c r="H2239" i="4"/>
  <c r="I2238" i="4"/>
  <c r="H2238" i="4"/>
  <c r="I2237" i="4"/>
  <c r="H2237" i="4"/>
  <c r="I2236" i="4"/>
  <c r="H2236" i="4"/>
  <c r="I2235" i="4"/>
  <c r="H2235" i="4"/>
  <c r="I2234" i="4"/>
  <c r="H2234" i="4"/>
  <c r="I2233" i="4"/>
  <c r="H2233" i="4"/>
  <c r="I2232" i="4"/>
  <c r="H2232" i="4"/>
  <c r="I2231" i="4"/>
  <c r="H2231" i="4"/>
  <c r="I2230" i="4"/>
  <c r="H2230" i="4"/>
  <c r="I2229" i="4"/>
  <c r="H2229" i="4"/>
  <c r="I2228" i="4"/>
  <c r="H2228" i="4"/>
  <c r="I2227" i="4"/>
  <c r="H2227" i="4"/>
  <c r="I2226" i="4"/>
  <c r="H2226" i="4"/>
  <c r="I2225" i="4"/>
  <c r="H2225" i="4"/>
  <c r="I2224" i="4"/>
  <c r="H2224" i="4"/>
  <c r="I2223" i="4"/>
  <c r="H2223" i="4"/>
  <c r="I2222" i="4"/>
  <c r="H2222" i="4"/>
  <c r="I2221" i="4"/>
  <c r="H2221" i="4"/>
  <c r="I2220" i="4"/>
  <c r="H2220" i="4"/>
  <c r="I2219" i="4"/>
  <c r="H2219" i="4"/>
  <c r="I2218" i="4"/>
  <c r="H2218" i="4"/>
  <c r="I2217" i="4"/>
  <c r="H2217" i="4"/>
  <c r="I2216" i="4"/>
  <c r="H2216" i="4"/>
  <c r="I2215" i="4"/>
  <c r="H2215" i="4"/>
  <c r="I2214" i="4"/>
  <c r="H2214" i="4"/>
  <c r="I2213" i="4"/>
  <c r="H2213" i="4"/>
  <c r="I2212" i="4"/>
  <c r="H2212" i="4"/>
  <c r="I2211" i="4"/>
  <c r="H2211" i="4"/>
  <c r="I2210" i="4"/>
  <c r="H2210" i="4"/>
  <c r="I2209" i="4"/>
  <c r="H2209" i="4"/>
  <c r="I2208" i="4"/>
  <c r="H2208" i="4"/>
  <c r="I2207" i="4"/>
  <c r="H2207" i="4"/>
  <c r="I2206" i="4"/>
  <c r="H2206" i="4"/>
  <c r="I2205" i="4"/>
  <c r="H2205" i="4"/>
  <c r="I2204" i="4"/>
  <c r="H2204" i="4"/>
  <c r="I2203" i="4"/>
  <c r="H2203" i="4"/>
  <c r="I2202" i="4"/>
  <c r="H2202" i="4"/>
  <c r="I2201" i="4"/>
  <c r="H2201" i="4"/>
  <c r="I2200" i="4"/>
  <c r="H2200" i="4"/>
  <c r="I2199" i="4"/>
  <c r="H2199" i="4"/>
  <c r="I2198" i="4"/>
  <c r="H2198" i="4"/>
  <c r="I2197" i="4"/>
  <c r="H2197" i="4"/>
  <c r="I2196" i="4"/>
  <c r="H2196" i="4"/>
  <c r="I2195" i="4"/>
  <c r="H2195" i="4"/>
  <c r="I2194" i="4"/>
  <c r="H2194" i="4"/>
  <c r="I2193" i="4"/>
  <c r="H2193" i="4"/>
  <c r="I2192" i="4"/>
  <c r="H2192" i="4"/>
  <c r="I2191" i="4"/>
  <c r="H2191" i="4"/>
  <c r="I2190" i="4"/>
  <c r="H2190" i="4"/>
  <c r="I2189" i="4"/>
  <c r="H2189" i="4"/>
  <c r="I2188" i="4"/>
  <c r="H2188" i="4"/>
  <c r="I2187" i="4"/>
  <c r="H2187" i="4"/>
  <c r="I2186" i="4"/>
  <c r="H2186" i="4"/>
  <c r="I2185" i="4"/>
  <c r="H2185" i="4"/>
  <c r="I2184" i="4"/>
  <c r="H2184" i="4"/>
  <c r="I2183" i="4"/>
  <c r="H2183" i="4"/>
  <c r="I2182" i="4"/>
  <c r="H2182" i="4"/>
  <c r="I2181" i="4"/>
  <c r="H2181" i="4"/>
  <c r="I2180" i="4"/>
  <c r="H2180" i="4"/>
  <c r="I2179" i="4"/>
  <c r="H2179" i="4"/>
  <c r="I2178" i="4"/>
  <c r="H2178" i="4"/>
  <c r="I2177" i="4"/>
  <c r="H2177" i="4"/>
  <c r="I2176" i="4"/>
  <c r="H2176" i="4"/>
  <c r="I2175" i="4"/>
  <c r="H2175" i="4"/>
  <c r="I2174" i="4"/>
  <c r="H2174" i="4"/>
  <c r="I2173" i="4"/>
  <c r="H2173" i="4"/>
  <c r="I2172" i="4"/>
  <c r="H2172" i="4"/>
  <c r="I2171" i="4"/>
  <c r="H2171" i="4"/>
  <c r="I2170" i="4"/>
  <c r="H2170" i="4"/>
  <c r="I2169" i="4"/>
  <c r="H2169" i="4"/>
  <c r="I2168" i="4"/>
  <c r="H2168" i="4"/>
  <c r="I2167" i="4"/>
  <c r="H2167" i="4"/>
  <c r="I2166" i="4"/>
  <c r="H2166" i="4"/>
  <c r="I2165" i="4"/>
  <c r="H2165" i="4"/>
  <c r="I2164" i="4"/>
  <c r="H2164" i="4"/>
  <c r="I2163" i="4"/>
  <c r="H2163" i="4"/>
  <c r="I2162" i="4"/>
  <c r="H2162" i="4"/>
  <c r="I2161" i="4"/>
  <c r="H2161" i="4"/>
  <c r="I2160" i="4"/>
  <c r="H2160" i="4"/>
  <c r="I2159" i="4"/>
  <c r="H2159" i="4"/>
  <c r="I2158" i="4"/>
  <c r="H2158" i="4"/>
  <c r="I2157" i="4"/>
  <c r="H2157" i="4"/>
  <c r="I2156" i="4"/>
  <c r="H2156" i="4"/>
  <c r="I2155" i="4"/>
  <c r="H2155" i="4"/>
  <c r="I2154" i="4"/>
  <c r="H2154" i="4"/>
  <c r="I2153" i="4"/>
  <c r="H2153" i="4"/>
  <c r="I2152" i="4"/>
  <c r="H2152" i="4"/>
  <c r="I2151" i="4"/>
  <c r="H2151" i="4"/>
  <c r="I2150" i="4"/>
  <c r="H2150" i="4"/>
  <c r="I2149" i="4"/>
  <c r="H2149" i="4"/>
  <c r="I2148" i="4"/>
  <c r="H2148" i="4"/>
  <c r="I2147" i="4"/>
  <c r="H2147" i="4"/>
  <c r="I2146" i="4"/>
  <c r="H2146" i="4"/>
  <c r="I2145" i="4"/>
  <c r="H2145" i="4"/>
  <c r="I2144" i="4"/>
  <c r="H2144" i="4"/>
  <c r="I2143" i="4"/>
  <c r="H2143" i="4"/>
  <c r="I2142" i="4"/>
  <c r="H2142" i="4"/>
  <c r="I2141" i="4"/>
  <c r="H2141" i="4"/>
  <c r="I2140" i="4"/>
  <c r="H2140" i="4"/>
  <c r="I2139" i="4"/>
  <c r="H2139" i="4"/>
  <c r="I2138" i="4"/>
  <c r="H2138" i="4"/>
  <c r="I2137" i="4"/>
  <c r="H2137" i="4"/>
  <c r="I2136" i="4"/>
  <c r="H2136" i="4"/>
  <c r="I2135" i="4"/>
  <c r="H2135" i="4"/>
  <c r="I2134" i="4"/>
  <c r="H2134" i="4"/>
  <c r="I2133" i="4"/>
  <c r="H2133" i="4"/>
  <c r="I2132" i="4"/>
  <c r="H2132" i="4"/>
  <c r="I2131" i="4"/>
  <c r="H2131" i="4"/>
  <c r="I2130" i="4"/>
  <c r="H2130" i="4"/>
  <c r="I2129" i="4"/>
  <c r="H2129" i="4"/>
  <c r="I2128" i="4"/>
  <c r="H2128" i="4"/>
  <c r="I2127" i="4"/>
  <c r="H2127" i="4"/>
  <c r="I2126" i="4"/>
  <c r="H2126" i="4"/>
  <c r="I2125" i="4"/>
  <c r="H2125" i="4"/>
  <c r="I2124" i="4"/>
  <c r="H2124" i="4"/>
  <c r="I2123" i="4"/>
  <c r="H2123" i="4"/>
  <c r="I2122" i="4"/>
  <c r="H2122" i="4"/>
  <c r="I2121" i="4"/>
  <c r="H2121" i="4"/>
  <c r="I2120" i="4"/>
  <c r="H2120" i="4"/>
  <c r="I2119" i="4"/>
  <c r="H2119" i="4"/>
  <c r="I2118" i="4"/>
  <c r="H2118" i="4"/>
  <c r="I2117" i="4"/>
  <c r="H2117" i="4"/>
  <c r="I2116" i="4"/>
  <c r="H2116" i="4"/>
  <c r="I2115" i="4"/>
  <c r="H2115" i="4"/>
  <c r="I2114" i="4"/>
  <c r="H2114" i="4"/>
  <c r="I2113" i="4"/>
  <c r="H2113" i="4"/>
  <c r="I2112" i="4"/>
  <c r="H2112" i="4"/>
  <c r="I2111" i="4"/>
  <c r="H2111" i="4"/>
  <c r="I2110" i="4"/>
  <c r="H2110" i="4"/>
  <c r="I2109" i="4"/>
  <c r="H2109" i="4"/>
  <c r="I2108" i="4"/>
  <c r="H2108" i="4"/>
  <c r="I2107" i="4"/>
  <c r="H2107" i="4"/>
  <c r="I2106" i="4"/>
  <c r="H2106" i="4"/>
  <c r="I2105" i="4"/>
  <c r="H2105" i="4"/>
  <c r="I2104" i="4"/>
  <c r="H2104" i="4"/>
  <c r="I2103" i="4"/>
  <c r="H2103" i="4"/>
  <c r="I2102" i="4"/>
  <c r="H2102" i="4"/>
  <c r="I2101" i="4"/>
  <c r="H2101" i="4"/>
  <c r="I2100" i="4"/>
  <c r="H2100" i="4"/>
  <c r="I2099" i="4"/>
  <c r="H2099" i="4"/>
  <c r="I2098" i="4"/>
  <c r="H2098" i="4"/>
  <c r="I2097" i="4"/>
  <c r="H2097" i="4"/>
  <c r="I2096" i="4"/>
  <c r="H2096" i="4"/>
  <c r="I2095" i="4"/>
  <c r="H2095" i="4"/>
  <c r="I2094" i="4"/>
  <c r="H2094" i="4"/>
  <c r="I2093" i="4"/>
  <c r="H2093" i="4"/>
  <c r="I2092" i="4"/>
  <c r="H2092" i="4"/>
  <c r="I2091" i="4"/>
  <c r="H2091" i="4"/>
  <c r="I2090" i="4"/>
  <c r="H2090" i="4"/>
  <c r="I2089" i="4"/>
  <c r="H2089" i="4"/>
  <c r="I2088" i="4"/>
  <c r="H2088" i="4"/>
  <c r="I2087" i="4"/>
  <c r="H2087" i="4"/>
  <c r="I2086" i="4"/>
  <c r="H2086" i="4"/>
  <c r="I2085" i="4"/>
  <c r="H2085" i="4"/>
  <c r="I2084" i="4"/>
  <c r="H2084" i="4"/>
  <c r="I2083" i="4"/>
  <c r="H2083" i="4"/>
  <c r="I2082" i="4"/>
  <c r="H2082" i="4"/>
  <c r="I2081" i="4"/>
  <c r="H2081" i="4"/>
  <c r="I2080" i="4"/>
  <c r="H2080" i="4"/>
  <c r="I2079" i="4"/>
  <c r="H2079" i="4"/>
  <c r="I2078" i="4"/>
  <c r="H2078" i="4"/>
  <c r="I2077" i="4"/>
  <c r="H2077" i="4"/>
  <c r="I2076" i="4"/>
  <c r="H2076" i="4"/>
  <c r="I2075" i="4"/>
  <c r="H2075" i="4"/>
  <c r="I2074" i="4"/>
  <c r="H2074" i="4"/>
  <c r="I2073" i="4"/>
  <c r="H2073" i="4"/>
  <c r="I2072" i="4"/>
  <c r="H2072" i="4"/>
  <c r="I2071" i="4"/>
  <c r="H2071" i="4"/>
  <c r="I2070" i="4"/>
  <c r="H2070" i="4"/>
  <c r="I2069" i="4"/>
  <c r="H2069" i="4"/>
  <c r="I2068" i="4"/>
  <c r="H2068" i="4"/>
  <c r="I2067" i="4"/>
  <c r="H2067" i="4"/>
  <c r="I2066" i="4"/>
  <c r="H2066" i="4"/>
  <c r="I2065" i="4"/>
  <c r="H2065" i="4"/>
  <c r="I2064" i="4"/>
  <c r="H2064" i="4"/>
  <c r="I2063" i="4"/>
  <c r="H2063" i="4"/>
  <c r="I2062" i="4"/>
  <c r="H2062" i="4"/>
  <c r="I2061" i="4"/>
  <c r="H2061" i="4"/>
  <c r="I2060" i="4"/>
  <c r="H2060" i="4"/>
  <c r="I2059" i="4"/>
  <c r="H2059" i="4"/>
  <c r="I2058" i="4"/>
  <c r="H2058" i="4"/>
  <c r="I2057" i="4"/>
  <c r="H2057" i="4"/>
  <c r="I2056" i="4"/>
  <c r="H2056" i="4"/>
  <c r="I2055" i="4"/>
  <c r="H2055" i="4"/>
  <c r="I2054" i="4"/>
  <c r="H2054" i="4"/>
  <c r="I2053" i="4"/>
  <c r="H2053" i="4"/>
  <c r="I2052" i="4"/>
  <c r="H2052" i="4"/>
  <c r="I2051" i="4"/>
  <c r="H2051" i="4"/>
  <c r="I2050" i="4"/>
  <c r="H2050" i="4"/>
  <c r="I2049" i="4"/>
  <c r="H2049" i="4"/>
  <c r="I2048" i="4"/>
  <c r="H2048" i="4"/>
  <c r="I2047" i="4"/>
  <c r="H2047" i="4"/>
  <c r="I2046" i="4"/>
  <c r="H2046" i="4"/>
  <c r="I2045" i="4"/>
  <c r="H2045" i="4"/>
  <c r="I2044" i="4"/>
  <c r="H2044" i="4"/>
  <c r="I2043" i="4"/>
  <c r="H2043" i="4"/>
  <c r="I2042" i="4"/>
  <c r="H2042" i="4"/>
  <c r="I2041" i="4"/>
  <c r="H2041" i="4"/>
  <c r="I2040" i="4"/>
  <c r="H2040" i="4"/>
  <c r="I2039" i="4"/>
  <c r="H2039" i="4"/>
  <c r="I2038" i="4"/>
  <c r="H2038" i="4"/>
  <c r="I2037" i="4"/>
  <c r="H2037" i="4"/>
  <c r="I2036" i="4"/>
  <c r="H2036" i="4"/>
  <c r="I2035" i="4"/>
  <c r="H2035" i="4"/>
  <c r="I2034" i="4"/>
  <c r="H2034" i="4"/>
  <c r="I2033" i="4"/>
  <c r="H2033" i="4"/>
  <c r="I2032" i="4"/>
  <c r="H2032" i="4"/>
  <c r="I2031" i="4"/>
  <c r="H2031" i="4"/>
  <c r="I2030" i="4"/>
  <c r="H2030" i="4"/>
  <c r="I2029" i="4"/>
  <c r="H2029" i="4"/>
  <c r="I2028" i="4"/>
  <c r="H2028" i="4"/>
  <c r="I2027" i="4"/>
  <c r="H2027" i="4"/>
  <c r="I2026" i="4"/>
  <c r="H2026" i="4"/>
  <c r="I2025" i="4"/>
  <c r="H2025" i="4"/>
  <c r="I2024" i="4"/>
  <c r="H2024" i="4"/>
  <c r="I2023" i="4"/>
  <c r="H2023" i="4"/>
  <c r="I2022" i="4"/>
  <c r="H2022" i="4"/>
  <c r="I2021" i="4"/>
  <c r="H2021" i="4"/>
  <c r="I2020" i="4"/>
  <c r="H2020" i="4"/>
  <c r="I2019" i="4"/>
  <c r="H2019" i="4"/>
  <c r="I2018" i="4"/>
  <c r="H2018" i="4"/>
  <c r="I2017" i="4"/>
  <c r="H2017" i="4"/>
  <c r="I2016" i="4"/>
  <c r="H2016" i="4"/>
  <c r="I2015" i="4"/>
  <c r="H2015" i="4"/>
  <c r="I2014" i="4"/>
  <c r="H2014" i="4"/>
  <c r="I2013" i="4"/>
  <c r="H2013" i="4"/>
  <c r="I2012" i="4"/>
  <c r="H2012" i="4"/>
  <c r="I2011" i="4"/>
  <c r="H2011" i="4"/>
  <c r="I2010" i="4"/>
  <c r="H2010" i="4"/>
  <c r="I2009" i="4"/>
  <c r="H2009" i="4"/>
  <c r="I2008" i="4"/>
  <c r="H2008" i="4"/>
  <c r="I2007" i="4"/>
  <c r="H2007" i="4"/>
  <c r="I2006" i="4"/>
  <c r="H2006" i="4"/>
  <c r="I2005" i="4"/>
  <c r="H2005" i="4"/>
  <c r="I2004" i="4"/>
  <c r="H2004" i="4"/>
  <c r="I2003" i="4"/>
  <c r="H2003" i="4"/>
  <c r="I2002" i="4"/>
  <c r="H2002" i="4"/>
  <c r="I2001" i="4"/>
  <c r="H2001" i="4"/>
  <c r="I2000" i="4"/>
  <c r="H2000" i="4"/>
  <c r="I1999" i="4"/>
  <c r="H1999" i="4"/>
  <c r="I1998" i="4"/>
  <c r="H1998" i="4"/>
  <c r="I1997" i="4"/>
  <c r="H1997" i="4"/>
  <c r="I1996" i="4"/>
  <c r="H1996" i="4"/>
  <c r="I1995" i="4"/>
  <c r="H1995" i="4"/>
  <c r="I1994" i="4"/>
  <c r="H1994" i="4"/>
  <c r="I1993" i="4"/>
  <c r="H1993" i="4"/>
  <c r="I1992" i="4"/>
  <c r="H1992" i="4"/>
  <c r="I1991" i="4"/>
  <c r="H1991" i="4"/>
  <c r="I1990" i="4"/>
  <c r="H1990" i="4"/>
  <c r="I1989" i="4"/>
  <c r="H1989" i="4"/>
  <c r="I1988" i="4"/>
  <c r="H1988" i="4"/>
  <c r="I1987" i="4"/>
  <c r="H1987" i="4"/>
  <c r="I1986" i="4"/>
  <c r="H1986" i="4"/>
  <c r="I1985" i="4"/>
  <c r="H1985" i="4"/>
  <c r="I1984" i="4"/>
  <c r="H1984" i="4"/>
  <c r="I1983" i="4"/>
  <c r="H1983" i="4"/>
  <c r="I1982" i="4"/>
  <c r="H1982" i="4"/>
  <c r="I1981" i="4"/>
  <c r="H1981" i="4"/>
  <c r="I1980" i="4"/>
  <c r="H1980" i="4"/>
  <c r="I1979" i="4"/>
  <c r="H1979" i="4"/>
  <c r="I1978" i="4"/>
  <c r="H1978" i="4"/>
  <c r="I1977" i="4"/>
  <c r="H1977" i="4"/>
  <c r="I1976" i="4"/>
  <c r="H1976" i="4"/>
  <c r="I1975" i="4"/>
  <c r="H1975" i="4"/>
  <c r="I1974" i="4"/>
  <c r="H1974" i="4"/>
  <c r="I1973" i="4"/>
  <c r="H1973" i="4"/>
  <c r="I1972" i="4"/>
  <c r="H1972" i="4"/>
  <c r="I1971" i="4"/>
  <c r="H1971" i="4"/>
  <c r="I1970" i="4"/>
  <c r="H1970" i="4"/>
  <c r="I1969" i="4"/>
  <c r="H1969" i="4"/>
  <c r="I1968" i="4"/>
  <c r="H1968" i="4"/>
  <c r="I1967" i="4"/>
  <c r="H1967" i="4"/>
  <c r="I1966" i="4"/>
  <c r="H1966" i="4"/>
  <c r="I1965" i="4"/>
  <c r="H1965" i="4"/>
  <c r="I1964" i="4"/>
  <c r="H1964" i="4"/>
  <c r="I1963" i="4"/>
  <c r="H1963" i="4"/>
  <c r="I1962" i="4"/>
  <c r="H1962" i="4"/>
  <c r="I1961" i="4"/>
  <c r="H1961" i="4"/>
  <c r="I1960" i="4"/>
  <c r="H1960" i="4"/>
  <c r="I1959" i="4"/>
  <c r="H1959" i="4"/>
  <c r="I1958" i="4"/>
  <c r="H1958" i="4"/>
  <c r="I1957" i="4"/>
  <c r="H1957" i="4"/>
  <c r="I1956" i="4"/>
  <c r="H1956" i="4"/>
  <c r="I1955" i="4"/>
  <c r="H1955" i="4"/>
  <c r="I1954" i="4"/>
  <c r="H1954" i="4"/>
  <c r="I1953" i="4"/>
  <c r="H1953" i="4"/>
  <c r="I1952" i="4"/>
  <c r="H1952" i="4"/>
  <c r="I1951" i="4"/>
  <c r="H1951" i="4"/>
  <c r="I1950" i="4"/>
  <c r="H1950" i="4"/>
  <c r="I1949" i="4"/>
  <c r="H1949" i="4"/>
  <c r="I1948" i="4"/>
  <c r="H1948" i="4"/>
  <c r="I1947" i="4"/>
  <c r="H1947" i="4"/>
  <c r="I1946" i="4"/>
  <c r="H1946" i="4"/>
  <c r="I1945" i="4"/>
  <c r="H1945" i="4"/>
  <c r="I1944" i="4"/>
  <c r="H1944" i="4"/>
  <c r="I1943" i="4"/>
  <c r="H1943" i="4"/>
  <c r="I1942" i="4"/>
  <c r="H1942" i="4"/>
  <c r="I1941" i="4"/>
  <c r="H1941" i="4"/>
  <c r="I1940" i="4"/>
  <c r="H1940" i="4"/>
  <c r="I1939" i="4"/>
  <c r="H1939" i="4"/>
  <c r="I1938" i="4"/>
  <c r="H1938" i="4"/>
  <c r="I1937" i="4"/>
  <c r="H1937" i="4"/>
  <c r="I1936" i="4"/>
  <c r="H1936" i="4"/>
  <c r="I1935" i="4"/>
  <c r="H1935" i="4"/>
  <c r="I1934" i="4"/>
  <c r="H1934" i="4"/>
  <c r="I1933" i="4"/>
  <c r="H1933" i="4"/>
  <c r="I1932" i="4"/>
  <c r="H1932" i="4"/>
  <c r="I1931" i="4"/>
  <c r="H1931" i="4"/>
  <c r="I1930" i="4"/>
  <c r="H1930" i="4"/>
  <c r="I1929" i="4"/>
  <c r="H1929" i="4"/>
  <c r="I1928" i="4"/>
  <c r="H1928" i="4"/>
  <c r="I1927" i="4"/>
  <c r="H1927" i="4"/>
  <c r="I1926" i="4"/>
  <c r="H1926" i="4"/>
  <c r="I1925" i="4"/>
  <c r="H1925" i="4"/>
  <c r="I1924" i="4"/>
  <c r="H1924" i="4"/>
  <c r="I1923" i="4"/>
  <c r="H1923" i="4"/>
  <c r="I1922" i="4"/>
  <c r="H1922" i="4"/>
  <c r="I1921" i="4"/>
  <c r="H1921" i="4"/>
  <c r="I1920" i="4"/>
  <c r="H1920" i="4"/>
  <c r="I1919" i="4"/>
  <c r="H1919" i="4"/>
  <c r="I1918" i="4"/>
  <c r="H1918" i="4"/>
  <c r="I1917" i="4"/>
  <c r="H1917" i="4"/>
  <c r="I1916" i="4"/>
  <c r="H1916" i="4"/>
  <c r="I1915" i="4"/>
  <c r="H1915" i="4"/>
  <c r="I1914" i="4"/>
  <c r="H1914" i="4"/>
  <c r="I1913" i="4"/>
  <c r="H1913" i="4"/>
  <c r="I1912" i="4"/>
  <c r="H1912" i="4"/>
  <c r="I1911" i="4"/>
  <c r="H1911" i="4"/>
  <c r="I1910" i="4"/>
  <c r="H1910" i="4"/>
  <c r="I1909" i="4"/>
  <c r="H1909" i="4"/>
  <c r="I1908" i="4"/>
  <c r="H1908" i="4"/>
  <c r="I1907" i="4"/>
  <c r="H1907" i="4"/>
  <c r="I1906" i="4"/>
  <c r="H1906" i="4"/>
  <c r="I1905" i="4"/>
  <c r="H1905" i="4"/>
  <c r="I1904" i="4"/>
  <c r="H1904" i="4"/>
  <c r="I1903" i="4"/>
  <c r="H1903" i="4"/>
  <c r="I1902" i="4"/>
  <c r="H1902" i="4"/>
  <c r="I1901" i="4"/>
  <c r="H1901" i="4"/>
  <c r="I1900" i="4"/>
  <c r="H1900" i="4"/>
  <c r="I1899" i="4"/>
  <c r="H1899" i="4"/>
  <c r="I1898" i="4"/>
  <c r="H1898" i="4"/>
  <c r="I1897" i="4"/>
  <c r="H1897" i="4"/>
  <c r="I1896" i="4"/>
  <c r="H1896" i="4"/>
  <c r="I1895" i="4"/>
  <c r="H1895" i="4"/>
  <c r="I1894" i="4"/>
  <c r="H1894" i="4"/>
  <c r="I1893" i="4"/>
  <c r="H1893" i="4"/>
  <c r="I1892" i="4"/>
  <c r="H1892" i="4"/>
  <c r="I1891" i="4"/>
  <c r="H1891" i="4"/>
  <c r="I1890" i="4"/>
  <c r="H1890" i="4"/>
  <c r="I1889" i="4"/>
  <c r="H1889" i="4"/>
  <c r="I1888" i="4"/>
  <c r="H1888" i="4"/>
  <c r="I1887" i="4"/>
  <c r="H1887" i="4"/>
  <c r="I1886" i="4"/>
  <c r="H1886" i="4"/>
  <c r="I1885" i="4"/>
  <c r="H1885" i="4"/>
  <c r="I1884" i="4"/>
  <c r="H1884" i="4"/>
  <c r="I1883" i="4"/>
  <c r="H1883" i="4"/>
  <c r="I1882" i="4"/>
  <c r="H1882" i="4"/>
  <c r="I1881" i="4"/>
  <c r="H1881" i="4"/>
  <c r="I1880" i="4"/>
  <c r="H1880" i="4"/>
  <c r="I1879" i="4"/>
  <c r="H1879" i="4"/>
  <c r="I1878" i="4"/>
  <c r="H1878" i="4"/>
  <c r="I1877" i="4"/>
  <c r="H1877" i="4"/>
  <c r="I1876" i="4"/>
  <c r="H1876" i="4"/>
  <c r="I1875" i="4"/>
  <c r="H1875" i="4"/>
  <c r="I1874" i="4"/>
  <c r="H1874" i="4"/>
  <c r="I1873" i="4"/>
  <c r="H1873" i="4"/>
  <c r="I1872" i="4"/>
  <c r="H1872" i="4"/>
  <c r="I1871" i="4"/>
  <c r="H1871" i="4"/>
  <c r="I1870" i="4"/>
  <c r="H1870" i="4"/>
  <c r="I1869" i="4"/>
  <c r="H1869" i="4"/>
  <c r="I1868" i="4"/>
  <c r="H1868" i="4"/>
  <c r="I1867" i="4"/>
  <c r="H1867" i="4"/>
  <c r="I1866" i="4"/>
  <c r="H1866" i="4"/>
  <c r="I1865" i="4"/>
  <c r="H1865" i="4"/>
  <c r="I1864" i="4"/>
  <c r="H1864" i="4"/>
  <c r="I1863" i="4"/>
  <c r="H1863" i="4"/>
  <c r="I1862" i="4"/>
  <c r="H1862" i="4"/>
  <c r="I1861" i="4"/>
  <c r="H1861" i="4"/>
  <c r="I1860" i="4"/>
  <c r="H1860" i="4"/>
  <c r="I1859" i="4"/>
  <c r="H1859" i="4"/>
  <c r="I1858" i="4"/>
  <c r="H1858" i="4"/>
  <c r="I1857" i="4"/>
  <c r="H1857" i="4"/>
  <c r="I1856" i="4"/>
  <c r="H1856" i="4"/>
  <c r="I1855" i="4"/>
  <c r="H1855" i="4"/>
  <c r="I1854" i="4"/>
  <c r="H1854" i="4"/>
  <c r="I1853" i="4"/>
  <c r="H1853" i="4"/>
  <c r="I1852" i="4"/>
  <c r="H1852" i="4"/>
  <c r="I1851" i="4"/>
  <c r="H1851" i="4"/>
  <c r="I1850" i="4"/>
  <c r="H1850" i="4"/>
  <c r="I1849" i="4"/>
  <c r="H1849" i="4"/>
  <c r="I1848" i="4"/>
  <c r="H1848" i="4"/>
  <c r="I1847" i="4"/>
  <c r="H1847" i="4"/>
  <c r="I1846" i="4"/>
  <c r="H1846" i="4"/>
  <c r="I1845" i="4"/>
  <c r="H1845" i="4"/>
  <c r="I1844" i="4"/>
  <c r="H1844" i="4"/>
  <c r="I1843" i="4"/>
  <c r="H1843" i="4"/>
  <c r="I1842" i="4"/>
  <c r="H1842" i="4"/>
  <c r="I1841" i="4"/>
  <c r="H1841" i="4"/>
  <c r="I1840" i="4"/>
  <c r="H1840" i="4"/>
  <c r="I1839" i="4"/>
  <c r="H1839" i="4"/>
  <c r="I1838" i="4"/>
  <c r="H1838" i="4"/>
  <c r="I1837" i="4"/>
  <c r="H1837" i="4"/>
  <c r="I1836" i="4"/>
  <c r="H1836" i="4"/>
  <c r="I1835" i="4"/>
  <c r="H1835" i="4"/>
  <c r="I1834" i="4"/>
  <c r="H1834" i="4"/>
  <c r="I1833" i="4"/>
  <c r="H1833" i="4"/>
  <c r="I1832" i="4"/>
  <c r="H1832" i="4"/>
  <c r="I1831" i="4"/>
  <c r="H1831" i="4"/>
  <c r="I1830" i="4"/>
  <c r="H1830" i="4"/>
  <c r="I1829" i="4"/>
  <c r="H1829" i="4"/>
  <c r="I1828" i="4"/>
  <c r="H1828" i="4"/>
  <c r="I1827" i="4"/>
  <c r="H1827" i="4"/>
  <c r="I1826" i="4"/>
  <c r="H1826" i="4"/>
  <c r="I1825" i="4"/>
  <c r="H1825" i="4"/>
  <c r="I1824" i="4"/>
  <c r="H1824" i="4"/>
  <c r="I1823" i="4"/>
  <c r="H1823" i="4"/>
  <c r="I1822" i="4"/>
  <c r="H1822" i="4"/>
  <c r="I1821" i="4"/>
  <c r="H1821" i="4"/>
  <c r="I1820" i="4"/>
  <c r="H1820" i="4"/>
  <c r="I1819" i="4"/>
  <c r="H1819" i="4"/>
  <c r="I1818" i="4"/>
  <c r="H1818" i="4"/>
  <c r="I1817" i="4"/>
  <c r="H1817" i="4"/>
  <c r="I1816" i="4"/>
  <c r="H1816" i="4"/>
  <c r="I1815" i="4"/>
  <c r="H1815" i="4"/>
  <c r="I1814" i="4"/>
  <c r="H1814" i="4"/>
  <c r="I1813" i="4"/>
  <c r="H1813" i="4"/>
  <c r="I1812" i="4"/>
  <c r="H1812" i="4"/>
  <c r="I1811" i="4"/>
  <c r="H1811" i="4"/>
  <c r="I1810" i="4"/>
  <c r="H1810" i="4"/>
  <c r="I1809" i="4"/>
  <c r="H1809" i="4"/>
  <c r="I1808" i="4"/>
  <c r="H1808" i="4"/>
  <c r="I1807" i="4"/>
  <c r="H1807" i="4"/>
  <c r="I1806" i="4"/>
  <c r="H1806" i="4"/>
  <c r="I1805" i="4"/>
  <c r="H1805" i="4"/>
  <c r="I1804" i="4"/>
  <c r="H1804" i="4"/>
  <c r="I1803" i="4"/>
  <c r="H1803" i="4"/>
  <c r="I1802" i="4"/>
  <c r="H1802" i="4"/>
  <c r="I1801" i="4"/>
  <c r="H1801" i="4"/>
  <c r="I1800" i="4"/>
  <c r="H1800" i="4"/>
  <c r="I1799" i="4"/>
  <c r="H1799" i="4"/>
  <c r="I1798" i="4"/>
  <c r="H1798" i="4"/>
  <c r="I1797" i="4"/>
  <c r="H1797" i="4"/>
  <c r="I1796" i="4"/>
  <c r="H1796" i="4"/>
  <c r="I1795" i="4"/>
  <c r="H1795" i="4"/>
  <c r="I1794" i="4"/>
  <c r="H1794" i="4"/>
  <c r="I1793" i="4"/>
  <c r="H1793" i="4"/>
  <c r="I1792" i="4"/>
  <c r="H1792" i="4"/>
  <c r="I1791" i="4"/>
  <c r="H1791" i="4"/>
  <c r="I1790" i="4"/>
  <c r="H1790" i="4"/>
  <c r="I1789" i="4"/>
  <c r="H1789" i="4"/>
  <c r="I1788" i="4"/>
  <c r="H1788" i="4"/>
  <c r="I1787" i="4"/>
  <c r="H1787" i="4"/>
  <c r="I1786" i="4"/>
  <c r="H1786" i="4"/>
  <c r="I1785" i="4"/>
  <c r="H1785" i="4"/>
  <c r="I1784" i="4"/>
  <c r="H1784" i="4"/>
  <c r="I1783" i="4"/>
  <c r="H1783" i="4"/>
  <c r="I1782" i="4"/>
  <c r="H1782" i="4"/>
  <c r="I1781" i="4"/>
  <c r="H1781" i="4"/>
  <c r="I1780" i="4"/>
  <c r="H1780" i="4"/>
  <c r="I1779" i="4"/>
  <c r="H1779" i="4"/>
  <c r="I1778" i="4"/>
  <c r="H1778" i="4"/>
  <c r="I1777" i="4"/>
  <c r="H1777" i="4"/>
  <c r="I1776" i="4"/>
  <c r="H1776" i="4"/>
  <c r="I1775" i="4"/>
  <c r="H1775" i="4"/>
  <c r="I1774" i="4"/>
  <c r="H1774" i="4"/>
  <c r="I1773" i="4"/>
  <c r="H1773" i="4"/>
  <c r="I1772" i="4"/>
  <c r="H1772" i="4"/>
  <c r="I1771" i="4"/>
  <c r="H1771" i="4"/>
  <c r="I1770" i="4"/>
  <c r="H1770" i="4"/>
  <c r="I1769" i="4"/>
  <c r="H1769" i="4"/>
  <c r="I1768" i="4"/>
  <c r="H1768" i="4"/>
  <c r="I1767" i="4"/>
  <c r="H1767" i="4"/>
  <c r="I1766" i="4"/>
  <c r="H1766" i="4"/>
  <c r="I1765" i="4"/>
  <c r="H1765" i="4"/>
  <c r="I1764" i="4"/>
  <c r="H1764" i="4"/>
  <c r="I1763" i="4"/>
  <c r="H1763" i="4"/>
  <c r="I1762" i="4"/>
  <c r="H1762" i="4"/>
  <c r="I1761" i="4"/>
  <c r="H1761" i="4"/>
  <c r="I1760" i="4"/>
  <c r="H1760" i="4"/>
  <c r="I1759" i="4"/>
  <c r="H1759" i="4"/>
  <c r="I1758" i="4"/>
  <c r="H1758" i="4"/>
  <c r="I1757" i="4"/>
  <c r="H1757" i="4"/>
  <c r="I1756" i="4"/>
  <c r="H1756" i="4"/>
  <c r="I1755" i="4"/>
  <c r="H1755" i="4"/>
  <c r="I1754" i="4"/>
  <c r="H1754" i="4"/>
  <c r="I1753" i="4"/>
  <c r="H1753" i="4"/>
  <c r="I1752" i="4"/>
  <c r="H1752" i="4"/>
  <c r="I1751" i="4"/>
  <c r="H1751" i="4"/>
  <c r="I1750" i="4"/>
  <c r="H1750" i="4"/>
  <c r="I1749" i="4"/>
  <c r="H1749" i="4"/>
  <c r="I1748" i="4"/>
  <c r="H1748" i="4"/>
  <c r="I1747" i="4"/>
  <c r="H1747" i="4"/>
  <c r="I1746" i="4"/>
  <c r="H1746" i="4"/>
  <c r="I1745" i="4"/>
  <c r="H1745" i="4"/>
  <c r="I1744" i="4"/>
  <c r="H1744" i="4"/>
  <c r="I1743" i="4"/>
  <c r="H1743" i="4"/>
  <c r="I1742" i="4"/>
  <c r="H1742" i="4"/>
  <c r="I1741" i="4"/>
  <c r="H1741" i="4"/>
  <c r="I1740" i="4"/>
  <c r="H1740" i="4"/>
  <c r="I1739" i="4"/>
  <c r="H1739" i="4"/>
  <c r="I1738" i="4"/>
  <c r="H1738" i="4"/>
  <c r="I1737" i="4"/>
  <c r="H1737" i="4"/>
  <c r="I1736" i="4"/>
  <c r="H1736" i="4"/>
  <c r="I1735" i="4"/>
  <c r="H1735" i="4"/>
  <c r="I1734" i="4"/>
  <c r="H1734" i="4"/>
  <c r="I1733" i="4"/>
  <c r="H1733" i="4"/>
  <c r="I1732" i="4"/>
  <c r="H1732" i="4"/>
  <c r="I1731" i="4"/>
  <c r="H1731" i="4"/>
  <c r="I1730" i="4"/>
  <c r="H1730" i="4"/>
  <c r="I1729" i="4"/>
  <c r="H1729" i="4"/>
  <c r="I1728" i="4"/>
  <c r="H1728" i="4"/>
  <c r="I1727" i="4"/>
  <c r="H1727" i="4"/>
  <c r="I1726" i="4"/>
  <c r="H1726" i="4"/>
  <c r="I1725" i="4"/>
  <c r="H1725" i="4"/>
  <c r="I1724" i="4"/>
  <c r="H1724" i="4"/>
  <c r="I1723" i="4"/>
  <c r="H1723" i="4"/>
  <c r="I1722" i="4"/>
  <c r="H1722" i="4"/>
  <c r="I1721" i="4"/>
  <c r="H1721" i="4"/>
  <c r="I1720" i="4"/>
  <c r="H1720" i="4"/>
  <c r="I1719" i="4"/>
  <c r="H1719" i="4"/>
  <c r="I1718" i="4"/>
  <c r="H1718" i="4"/>
  <c r="I1717" i="4"/>
  <c r="H1717" i="4"/>
  <c r="I1716" i="4"/>
  <c r="H1716" i="4"/>
  <c r="I1715" i="4"/>
  <c r="H1715" i="4"/>
  <c r="I1714" i="4"/>
  <c r="H1714" i="4"/>
  <c r="I1713" i="4"/>
  <c r="H1713" i="4"/>
  <c r="I1712" i="4"/>
  <c r="H1712" i="4"/>
  <c r="I1711" i="4"/>
  <c r="H1711" i="4"/>
  <c r="I1710" i="4"/>
  <c r="H1710" i="4"/>
  <c r="I1709" i="4"/>
  <c r="H1709" i="4"/>
  <c r="I1708" i="4"/>
  <c r="H1708" i="4"/>
  <c r="I1707" i="4"/>
  <c r="H1707" i="4"/>
  <c r="I1706" i="4"/>
  <c r="H1706" i="4"/>
  <c r="I1705" i="4"/>
  <c r="H1705" i="4"/>
  <c r="I1704" i="4"/>
  <c r="H1704" i="4"/>
  <c r="I1703" i="4"/>
  <c r="H1703" i="4"/>
  <c r="I1702" i="4"/>
  <c r="H1702" i="4"/>
  <c r="I1701" i="4"/>
  <c r="H1701" i="4"/>
  <c r="I1700" i="4"/>
  <c r="H1700" i="4"/>
  <c r="I1699" i="4"/>
  <c r="H1699" i="4"/>
  <c r="I1698" i="4"/>
  <c r="H1698" i="4"/>
  <c r="I1697" i="4"/>
  <c r="H1697" i="4"/>
  <c r="I1696" i="4"/>
  <c r="H1696" i="4"/>
  <c r="I1695" i="4"/>
  <c r="H1695" i="4"/>
  <c r="I1694" i="4"/>
  <c r="H1694" i="4"/>
  <c r="I1693" i="4"/>
  <c r="H1693" i="4"/>
  <c r="I1692" i="4"/>
  <c r="H1692" i="4"/>
  <c r="I1691" i="4"/>
  <c r="H1691" i="4"/>
  <c r="I1690" i="4"/>
  <c r="H1690" i="4"/>
  <c r="I1689" i="4"/>
  <c r="H1689" i="4"/>
  <c r="I1688" i="4"/>
  <c r="H1688" i="4"/>
  <c r="I1687" i="4"/>
  <c r="H1687" i="4"/>
  <c r="I1686" i="4"/>
  <c r="H1686" i="4"/>
  <c r="I1685" i="4"/>
  <c r="H1685" i="4"/>
  <c r="I1684" i="4"/>
  <c r="H1684" i="4"/>
  <c r="I1683" i="4"/>
  <c r="H1683" i="4"/>
  <c r="I1682" i="4"/>
  <c r="H1682" i="4"/>
  <c r="I1681" i="4"/>
  <c r="H1681" i="4"/>
  <c r="I1680" i="4"/>
  <c r="H1680" i="4"/>
  <c r="I1679" i="4"/>
  <c r="H1679" i="4"/>
  <c r="I1678" i="4"/>
  <c r="H1678" i="4"/>
  <c r="I1677" i="4"/>
  <c r="H1677" i="4"/>
  <c r="I1676" i="4"/>
  <c r="H1676" i="4"/>
  <c r="I1675" i="4"/>
  <c r="H1675" i="4"/>
  <c r="I1674" i="4"/>
  <c r="H1674" i="4"/>
  <c r="I1673" i="4"/>
  <c r="H1673" i="4"/>
  <c r="I1672" i="4"/>
  <c r="H1672" i="4"/>
  <c r="I1671" i="4"/>
  <c r="H1671" i="4"/>
  <c r="I1670" i="4"/>
  <c r="H1670" i="4"/>
  <c r="I1669" i="4"/>
  <c r="H1669" i="4"/>
  <c r="I1668" i="4"/>
  <c r="H1668" i="4"/>
  <c r="I1667" i="4"/>
  <c r="H1667" i="4"/>
  <c r="I1666" i="4"/>
  <c r="H1666" i="4"/>
  <c r="I1665" i="4"/>
  <c r="H1665" i="4"/>
  <c r="I1664" i="4"/>
  <c r="H1664" i="4"/>
  <c r="I1663" i="4"/>
  <c r="H1663" i="4"/>
  <c r="I1662" i="4"/>
  <c r="H1662" i="4"/>
  <c r="I1661" i="4"/>
  <c r="H1661" i="4"/>
  <c r="I1660" i="4"/>
  <c r="H1660" i="4"/>
  <c r="I1659" i="4"/>
  <c r="H1659" i="4"/>
  <c r="I1658" i="4"/>
  <c r="H1658" i="4"/>
  <c r="I1657" i="4"/>
  <c r="H1657" i="4"/>
  <c r="I1656" i="4"/>
  <c r="H1656" i="4"/>
  <c r="I1655" i="4"/>
  <c r="H1655" i="4"/>
  <c r="I1654" i="4"/>
  <c r="H1654" i="4"/>
  <c r="I1653" i="4"/>
  <c r="H1653" i="4"/>
  <c r="I1652" i="4"/>
  <c r="H1652" i="4"/>
  <c r="I1651" i="4"/>
  <c r="H1651" i="4"/>
  <c r="I1650" i="4"/>
  <c r="H1650" i="4"/>
  <c r="I1649" i="4"/>
  <c r="H1649" i="4"/>
  <c r="I1648" i="4"/>
  <c r="H1648" i="4"/>
  <c r="I1647" i="4"/>
  <c r="H1647" i="4"/>
  <c r="I1646" i="4"/>
  <c r="H1646" i="4"/>
  <c r="I1645" i="4"/>
  <c r="H1645" i="4"/>
  <c r="I1644" i="4"/>
  <c r="H1644" i="4"/>
  <c r="I1643" i="4"/>
  <c r="H1643" i="4"/>
  <c r="I1642" i="4"/>
  <c r="H1642" i="4"/>
  <c r="I1641" i="4"/>
  <c r="H1641" i="4"/>
  <c r="I1640" i="4"/>
  <c r="H1640" i="4"/>
  <c r="I1639" i="4"/>
  <c r="H1639" i="4"/>
  <c r="I1638" i="4"/>
  <c r="H1638" i="4"/>
  <c r="I1637" i="4"/>
  <c r="H1637" i="4"/>
  <c r="I1636" i="4"/>
  <c r="H1636" i="4"/>
  <c r="I1635" i="4"/>
  <c r="H1635" i="4"/>
  <c r="I1634" i="4"/>
  <c r="H1634" i="4"/>
  <c r="I1633" i="4"/>
  <c r="H1633" i="4"/>
  <c r="I1632" i="4"/>
  <c r="H1632" i="4"/>
  <c r="I1631" i="4"/>
  <c r="H1631" i="4"/>
  <c r="I1630" i="4"/>
  <c r="H1630" i="4"/>
  <c r="I1629" i="4"/>
  <c r="H1629" i="4"/>
  <c r="I1628" i="4"/>
  <c r="H1628" i="4"/>
  <c r="I1627" i="4"/>
  <c r="H1627" i="4"/>
  <c r="I1626" i="4"/>
  <c r="H1626" i="4"/>
  <c r="I1625" i="4"/>
  <c r="H1625" i="4"/>
  <c r="I1624" i="4"/>
  <c r="H1624" i="4"/>
  <c r="I1623" i="4"/>
  <c r="H1623" i="4"/>
  <c r="I1622" i="4"/>
  <c r="H1622" i="4"/>
  <c r="I1621" i="4"/>
  <c r="H1621" i="4"/>
  <c r="I1620" i="4"/>
  <c r="H1620" i="4"/>
  <c r="I1619" i="4"/>
  <c r="H1619" i="4"/>
  <c r="I1618" i="4"/>
  <c r="H1618" i="4"/>
  <c r="I1617" i="4"/>
  <c r="H1617" i="4"/>
  <c r="I1616" i="4"/>
  <c r="H1616" i="4"/>
  <c r="I1615" i="4"/>
  <c r="H1615" i="4"/>
  <c r="I1614" i="4"/>
  <c r="H1614" i="4"/>
  <c r="I1613" i="4"/>
  <c r="H1613" i="4"/>
  <c r="I1612" i="4"/>
  <c r="H1612" i="4"/>
  <c r="I1611" i="4"/>
  <c r="H1611" i="4"/>
  <c r="I1610" i="4"/>
  <c r="H1610" i="4"/>
  <c r="I1609" i="4"/>
  <c r="H1609" i="4"/>
  <c r="I1608" i="4"/>
  <c r="H1608" i="4"/>
  <c r="I1607" i="4"/>
  <c r="H1607" i="4"/>
  <c r="I1606" i="4"/>
  <c r="H1606" i="4"/>
  <c r="I1605" i="4"/>
  <c r="H1605" i="4"/>
  <c r="I1604" i="4"/>
  <c r="H1604" i="4"/>
  <c r="I1603" i="4"/>
  <c r="H1603" i="4"/>
  <c r="I1602" i="4"/>
  <c r="H1602" i="4"/>
  <c r="I1601" i="4"/>
  <c r="H1601" i="4"/>
  <c r="I1600" i="4"/>
  <c r="H1600" i="4"/>
  <c r="I1599" i="4"/>
  <c r="H1599" i="4"/>
  <c r="I1598" i="4"/>
  <c r="H1598" i="4"/>
  <c r="I1597" i="4"/>
  <c r="H1597" i="4"/>
  <c r="I1596" i="4"/>
  <c r="H1596" i="4"/>
  <c r="I1595" i="4"/>
  <c r="H1595" i="4"/>
  <c r="I1594" i="4"/>
  <c r="H1594" i="4"/>
  <c r="I1593" i="4"/>
  <c r="H1593" i="4"/>
  <c r="I1592" i="4"/>
  <c r="H1592" i="4"/>
  <c r="I1591" i="4"/>
  <c r="H1591" i="4"/>
  <c r="I1590" i="4"/>
  <c r="H1590" i="4"/>
  <c r="I1589" i="4"/>
  <c r="H1589" i="4"/>
  <c r="I1588" i="4"/>
  <c r="H1588" i="4"/>
  <c r="I1587" i="4"/>
  <c r="H1587" i="4"/>
  <c r="I1586" i="4"/>
  <c r="H1586" i="4"/>
  <c r="I1585" i="4"/>
  <c r="H1585" i="4"/>
  <c r="I1584" i="4"/>
  <c r="H1584" i="4"/>
  <c r="I1583" i="4"/>
  <c r="H1583" i="4"/>
  <c r="I1582" i="4"/>
  <c r="H1582" i="4"/>
  <c r="I1581" i="4"/>
  <c r="H1581" i="4"/>
  <c r="I1580" i="4"/>
  <c r="H1580" i="4"/>
  <c r="I1579" i="4"/>
  <c r="H1579" i="4"/>
  <c r="I1578" i="4"/>
  <c r="H1578" i="4"/>
  <c r="I1577" i="4"/>
  <c r="H1577" i="4"/>
  <c r="I1576" i="4"/>
  <c r="H1576" i="4"/>
  <c r="I1575" i="4"/>
  <c r="H1575" i="4"/>
  <c r="I1574" i="4"/>
  <c r="H1574" i="4"/>
  <c r="I1573" i="4"/>
  <c r="H1573" i="4"/>
  <c r="I1572" i="4"/>
  <c r="H1572" i="4"/>
  <c r="I1571" i="4"/>
  <c r="H1571" i="4"/>
  <c r="I1570" i="4"/>
  <c r="H1570" i="4"/>
  <c r="I1569" i="4"/>
  <c r="H1569" i="4"/>
  <c r="I1568" i="4"/>
  <c r="H1568" i="4"/>
  <c r="I1567" i="4"/>
  <c r="H1567" i="4"/>
  <c r="I1566" i="4"/>
  <c r="H1566" i="4"/>
  <c r="I1565" i="4"/>
  <c r="H1565" i="4"/>
  <c r="I1564" i="4"/>
  <c r="H1564" i="4"/>
  <c r="I1563" i="4"/>
  <c r="H1563" i="4"/>
  <c r="I1562" i="4"/>
  <c r="H1562" i="4"/>
  <c r="I1561" i="4"/>
  <c r="H1561" i="4"/>
  <c r="I1560" i="4"/>
  <c r="H1560" i="4"/>
  <c r="I1559" i="4"/>
  <c r="H1559" i="4"/>
  <c r="I1558" i="4"/>
  <c r="H1558" i="4"/>
  <c r="I1557" i="4"/>
  <c r="H1557" i="4"/>
  <c r="I1556" i="4"/>
  <c r="H1556" i="4"/>
  <c r="I1555" i="4"/>
  <c r="H1555" i="4"/>
  <c r="I1554" i="4"/>
  <c r="H1554" i="4"/>
  <c r="I1553" i="4"/>
  <c r="H1553" i="4"/>
  <c r="I1552" i="4"/>
  <c r="H1552" i="4"/>
  <c r="I1551" i="4"/>
  <c r="H1551" i="4"/>
  <c r="I1550" i="4"/>
  <c r="H1550" i="4"/>
  <c r="I1549" i="4"/>
  <c r="H1549" i="4"/>
  <c r="I1548" i="4"/>
  <c r="H1548" i="4"/>
  <c r="I1547" i="4"/>
  <c r="H1547" i="4"/>
  <c r="I1546" i="4"/>
  <c r="H1546" i="4"/>
  <c r="I1545" i="4"/>
  <c r="H1545" i="4"/>
  <c r="I1544" i="4"/>
  <c r="H1544" i="4"/>
  <c r="I1543" i="4"/>
  <c r="H1543" i="4"/>
  <c r="I1542" i="4"/>
  <c r="H1542" i="4"/>
  <c r="I1541" i="4"/>
  <c r="H1541" i="4"/>
  <c r="I1540" i="4"/>
  <c r="H1540" i="4"/>
  <c r="I1539" i="4"/>
  <c r="H1539" i="4"/>
  <c r="I1538" i="4"/>
  <c r="H1538" i="4"/>
  <c r="I1537" i="4"/>
  <c r="H1537" i="4"/>
  <c r="I1536" i="4"/>
  <c r="H1536" i="4"/>
  <c r="I1535" i="4"/>
  <c r="H1535" i="4"/>
  <c r="I1534" i="4"/>
  <c r="H1534" i="4"/>
  <c r="I1533" i="4"/>
  <c r="H1533" i="4"/>
  <c r="I1532" i="4"/>
  <c r="H1532" i="4"/>
  <c r="I1531" i="4"/>
  <c r="H1531" i="4"/>
  <c r="I1530" i="4"/>
  <c r="H1530" i="4"/>
  <c r="I1529" i="4"/>
  <c r="H1529" i="4"/>
  <c r="I1528" i="4"/>
  <c r="H1528" i="4"/>
  <c r="I1527" i="4"/>
  <c r="H1527" i="4"/>
  <c r="I1526" i="4"/>
  <c r="H1526" i="4"/>
  <c r="I1525" i="4"/>
  <c r="H1525" i="4"/>
  <c r="I1524" i="4"/>
  <c r="H1524" i="4"/>
  <c r="I1523" i="4"/>
  <c r="H1523" i="4"/>
  <c r="I1522" i="4"/>
  <c r="H1522" i="4"/>
  <c r="I1521" i="4"/>
  <c r="H1521" i="4"/>
  <c r="I1520" i="4"/>
  <c r="H1520" i="4"/>
  <c r="I1519" i="4"/>
  <c r="H1519" i="4"/>
  <c r="I1518" i="4"/>
  <c r="H1518" i="4"/>
  <c r="I1517" i="4"/>
  <c r="H1517" i="4"/>
  <c r="I1516" i="4"/>
  <c r="H1516" i="4"/>
  <c r="I1515" i="4"/>
  <c r="H1515" i="4"/>
  <c r="I1514" i="4"/>
  <c r="H1514" i="4"/>
  <c r="I1513" i="4"/>
  <c r="H1513" i="4"/>
  <c r="I1512" i="4"/>
  <c r="H1512" i="4"/>
  <c r="I1511" i="4"/>
  <c r="H1511" i="4"/>
  <c r="I1510" i="4"/>
  <c r="H1510" i="4"/>
  <c r="I1509" i="4"/>
  <c r="H1509" i="4"/>
  <c r="I1508" i="4"/>
  <c r="H1508" i="4"/>
  <c r="I1507" i="4"/>
  <c r="H1507" i="4"/>
  <c r="I1506" i="4"/>
  <c r="H1506" i="4"/>
  <c r="I1505" i="4"/>
  <c r="H1505" i="4"/>
  <c r="I1504" i="4"/>
  <c r="H1504" i="4"/>
  <c r="I1503" i="4"/>
  <c r="H1503" i="4"/>
  <c r="I1502" i="4"/>
  <c r="H1502" i="4"/>
  <c r="I1501" i="4"/>
  <c r="H1501" i="4"/>
  <c r="I1500" i="4"/>
  <c r="H1500" i="4"/>
  <c r="I1499" i="4"/>
  <c r="H1499" i="4"/>
  <c r="I1498" i="4"/>
  <c r="H1498" i="4"/>
  <c r="I1497" i="4"/>
  <c r="H1497" i="4"/>
  <c r="I1496" i="4"/>
  <c r="H1496" i="4"/>
  <c r="I1495" i="4"/>
  <c r="H1495" i="4"/>
  <c r="I1494" i="4"/>
  <c r="H1494" i="4"/>
  <c r="I1493" i="4"/>
  <c r="H1493" i="4"/>
  <c r="I1492" i="4"/>
  <c r="H1492" i="4"/>
  <c r="I1491" i="4"/>
  <c r="H1491" i="4"/>
  <c r="I1490" i="4"/>
  <c r="H1490" i="4"/>
  <c r="I1489" i="4"/>
  <c r="H1489" i="4"/>
  <c r="I1488" i="4"/>
  <c r="H1488" i="4"/>
  <c r="I1487" i="4"/>
  <c r="H1487" i="4"/>
  <c r="I1486" i="4"/>
  <c r="H1486" i="4"/>
  <c r="I1485" i="4"/>
  <c r="H1485" i="4"/>
  <c r="I1484" i="4"/>
  <c r="H1484" i="4"/>
  <c r="I1483" i="4"/>
  <c r="H1483" i="4"/>
  <c r="I1482" i="4"/>
  <c r="H1482" i="4"/>
  <c r="I1481" i="4"/>
  <c r="H1481" i="4"/>
  <c r="I1480" i="4"/>
  <c r="H1480" i="4"/>
  <c r="I1479" i="4"/>
  <c r="H1479" i="4"/>
  <c r="I1478" i="4"/>
  <c r="H1478" i="4"/>
  <c r="I1477" i="4"/>
  <c r="H1477" i="4"/>
  <c r="I1476" i="4"/>
  <c r="H1476" i="4"/>
  <c r="I1475" i="4"/>
  <c r="H1475" i="4"/>
  <c r="I1474" i="4"/>
  <c r="H1474" i="4"/>
  <c r="I1473" i="4"/>
  <c r="H1473" i="4"/>
  <c r="I1472" i="4"/>
  <c r="H1472" i="4"/>
  <c r="I1471" i="4"/>
  <c r="H1471" i="4"/>
  <c r="I1470" i="4"/>
  <c r="H1470" i="4"/>
  <c r="I1469" i="4"/>
  <c r="H1469" i="4"/>
  <c r="I1468" i="4"/>
  <c r="H1468" i="4"/>
  <c r="I1467" i="4"/>
  <c r="H1467" i="4"/>
  <c r="I1466" i="4"/>
  <c r="H1466" i="4"/>
  <c r="I1465" i="4"/>
  <c r="H1465" i="4"/>
  <c r="I1464" i="4"/>
  <c r="H1464" i="4"/>
  <c r="I1463" i="4"/>
  <c r="H1463" i="4"/>
  <c r="I1462" i="4"/>
  <c r="H1462" i="4"/>
  <c r="I1461" i="4"/>
  <c r="H1461" i="4"/>
  <c r="I1460" i="4"/>
  <c r="H1460" i="4"/>
  <c r="I1459" i="4"/>
  <c r="H1459" i="4"/>
  <c r="I1458" i="4"/>
  <c r="H1458" i="4"/>
  <c r="I1457" i="4"/>
  <c r="H1457" i="4"/>
  <c r="I1456" i="4"/>
  <c r="H1456" i="4"/>
  <c r="I1455" i="4"/>
  <c r="H1455" i="4"/>
  <c r="I1454" i="4"/>
  <c r="H1454" i="4"/>
  <c r="I1453" i="4"/>
  <c r="H1453" i="4"/>
  <c r="I1452" i="4"/>
  <c r="H1452" i="4"/>
  <c r="I1451" i="4"/>
  <c r="H1451" i="4"/>
  <c r="I1450" i="4"/>
  <c r="H1450" i="4"/>
  <c r="I1449" i="4"/>
  <c r="H1449" i="4"/>
  <c r="I1448" i="4"/>
  <c r="H1448" i="4"/>
  <c r="I1447" i="4"/>
  <c r="H1447" i="4"/>
  <c r="I1446" i="4"/>
  <c r="H1446" i="4"/>
  <c r="I1445" i="4"/>
  <c r="H1445" i="4"/>
  <c r="I1444" i="4"/>
  <c r="H1444" i="4"/>
  <c r="I1443" i="4"/>
  <c r="H1443" i="4"/>
  <c r="I1442" i="4"/>
  <c r="H1442" i="4"/>
  <c r="I1441" i="4"/>
  <c r="H1441" i="4"/>
  <c r="I1440" i="4"/>
  <c r="H1440" i="4"/>
  <c r="I1439" i="4"/>
  <c r="H1439" i="4"/>
  <c r="I1438" i="4"/>
  <c r="H1438" i="4"/>
  <c r="I1437" i="4"/>
  <c r="H1437" i="4"/>
  <c r="I1436" i="4"/>
  <c r="H1436" i="4"/>
  <c r="I1435" i="4"/>
  <c r="H1435" i="4"/>
  <c r="I1434" i="4"/>
  <c r="H1434" i="4"/>
  <c r="I1433" i="4"/>
  <c r="H1433" i="4"/>
  <c r="I1432" i="4"/>
  <c r="H1432" i="4"/>
  <c r="I1431" i="4"/>
  <c r="H1431" i="4"/>
  <c r="I1430" i="4"/>
  <c r="H1430" i="4"/>
  <c r="I1429" i="4"/>
  <c r="H1429" i="4"/>
  <c r="I1428" i="4"/>
  <c r="H1428" i="4"/>
  <c r="I1427" i="4"/>
  <c r="H1427" i="4"/>
  <c r="I1426" i="4"/>
  <c r="H1426" i="4"/>
  <c r="I1425" i="4"/>
  <c r="H1425" i="4"/>
  <c r="I1424" i="4"/>
  <c r="H1424" i="4"/>
  <c r="I1423" i="4"/>
  <c r="H1423" i="4"/>
  <c r="I1422" i="4"/>
  <c r="H1422" i="4"/>
  <c r="I1421" i="4"/>
  <c r="H1421" i="4"/>
  <c r="I1420" i="4"/>
  <c r="H1420" i="4"/>
  <c r="I1419" i="4"/>
  <c r="H1419" i="4"/>
  <c r="I1418" i="4"/>
  <c r="H1418" i="4"/>
  <c r="I1417" i="4"/>
  <c r="H1417" i="4"/>
  <c r="I1416" i="4"/>
  <c r="H1416" i="4"/>
  <c r="I1415" i="4"/>
  <c r="H1415" i="4"/>
  <c r="I1414" i="4"/>
  <c r="H1414" i="4"/>
  <c r="I1413" i="4"/>
  <c r="H1413" i="4"/>
  <c r="I1412" i="4"/>
  <c r="H1412" i="4"/>
  <c r="I1411" i="4"/>
  <c r="H1411" i="4"/>
  <c r="I1410" i="4"/>
  <c r="H1410" i="4"/>
  <c r="I1409" i="4"/>
  <c r="H1409" i="4"/>
  <c r="I1408" i="4"/>
  <c r="H1408" i="4"/>
  <c r="I1407" i="4"/>
  <c r="H1407" i="4"/>
  <c r="I1406" i="4"/>
  <c r="H1406" i="4"/>
  <c r="I1405" i="4"/>
  <c r="H1405" i="4"/>
  <c r="I1404" i="4"/>
  <c r="H1404" i="4"/>
  <c r="I1403" i="4"/>
  <c r="H1403" i="4"/>
  <c r="I1402" i="4"/>
  <c r="H1402" i="4"/>
  <c r="I1401" i="4"/>
  <c r="H1401" i="4"/>
  <c r="I1400" i="4"/>
  <c r="H1400" i="4"/>
  <c r="I1399" i="4"/>
  <c r="H1399" i="4"/>
  <c r="I1398" i="4"/>
  <c r="H1398" i="4"/>
  <c r="I1397" i="4"/>
  <c r="H1397" i="4"/>
  <c r="I1396" i="4"/>
  <c r="H1396" i="4"/>
  <c r="I1395" i="4"/>
  <c r="H1395" i="4"/>
  <c r="I1394" i="4"/>
  <c r="H1394" i="4"/>
  <c r="I1393" i="4"/>
  <c r="H1393" i="4"/>
  <c r="I1392" i="4"/>
  <c r="H1392" i="4"/>
  <c r="I1391" i="4"/>
  <c r="H1391" i="4"/>
  <c r="I1390" i="4"/>
  <c r="H1390" i="4"/>
  <c r="I1389" i="4"/>
  <c r="H1389" i="4"/>
  <c r="I1388" i="4"/>
  <c r="H1388" i="4"/>
  <c r="I1387" i="4"/>
  <c r="H1387" i="4"/>
  <c r="I1386" i="4"/>
  <c r="H1386" i="4"/>
  <c r="I1385" i="4"/>
  <c r="H1385" i="4"/>
  <c r="I1384" i="4"/>
  <c r="H1384" i="4"/>
  <c r="I1383" i="4"/>
  <c r="H1383" i="4"/>
  <c r="I1382" i="4"/>
  <c r="H1382" i="4"/>
  <c r="I1381" i="4"/>
  <c r="H1381" i="4"/>
  <c r="I1380" i="4"/>
  <c r="H1380" i="4"/>
  <c r="I1379" i="4"/>
  <c r="H1379" i="4"/>
  <c r="I1378" i="4"/>
  <c r="H1378" i="4"/>
  <c r="I1377" i="4"/>
  <c r="H1377" i="4"/>
  <c r="I1376" i="4"/>
  <c r="H1376" i="4"/>
  <c r="I1375" i="4"/>
  <c r="H1375" i="4"/>
  <c r="I1374" i="4"/>
  <c r="H1374" i="4"/>
  <c r="I1373" i="4"/>
  <c r="H1373" i="4"/>
  <c r="I1372" i="4"/>
  <c r="H1372" i="4"/>
  <c r="I1371" i="4"/>
  <c r="H1371" i="4"/>
  <c r="I1370" i="4"/>
  <c r="H1370" i="4"/>
  <c r="I1369" i="4"/>
  <c r="H1369" i="4"/>
  <c r="I1368" i="4"/>
  <c r="H1368" i="4"/>
  <c r="I1367" i="4"/>
  <c r="H1367" i="4"/>
  <c r="I1366" i="4"/>
  <c r="H1366" i="4"/>
  <c r="I1365" i="4"/>
  <c r="H1365" i="4"/>
  <c r="I1364" i="4"/>
  <c r="H1364" i="4"/>
  <c r="I1363" i="4"/>
  <c r="H1363" i="4"/>
  <c r="I1362" i="4"/>
  <c r="H1362" i="4"/>
  <c r="I1361" i="4"/>
  <c r="H1361" i="4"/>
  <c r="I1360" i="4"/>
  <c r="H1360" i="4"/>
  <c r="I1359" i="4"/>
  <c r="H1359" i="4"/>
  <c r="I1358" i="4"/>
  <c r="H1358" i="4"/>
  <c r="I1357" i="4"/>
  <c r="H1357" i="4"/>
  <c r="I1356" i="4"/>
  <c r="H1356" i="4"/>
  <c r="I1355" i="4"/>
  <c r="H1355" i="4"/>
  <c r="I1354" i="4"/>
  <c r="H1354" i="4"/>
  <c r="I1353" i="4"/>
  <c r="H1353" i="4"/>
  <c r="I1352" i="4"/>
  <c r="H1352" i="4"/>
  <c r="I1351" i="4"/>
  <c r="H1351" i="4"/>
  <c r="I1350" i="4"/>
  <c r="H1350" i="4"/>
  <c r="I1349" i="4"/>
  <c r="H1349" i="4"/>
  <c r="I1348" i="4"/>
  <c r="H1348" i="4"/>
  <c r="I1347" i="4"/>
  <c r="H1347" i="4"/>
  <c r="I1346" i="4"/>
  <c r="H1346" i="4"/>
  <c r="I1345" i="4"/>
  <c r="H1345" i="4"/>
  <c r="I1344" i="4"/>
  <c r="H1344" i="4"/>
  <c r="I1343" i="4"/>
  <c r="H1343" i="4"/>
  <c r="I1342" i="4"/>
  <c r="H1342" i="4"/>
  <c r="I1341" i="4"/>
  <c r="H1341" i="4"/>
  <c r="I1340" i="4"/>
  <c r="H1340" i="4"/>
  <c r="I1339" i="4"/>
  <c r="H1339" i="4"/>
  <c r="I1338" i="4"/>
  <c r="H1338" i="4"/>
  <c r="I1337" i="4"/>
  <c r="H1337" i="4"/>
  <c r="I1336" i="4"/>
  <c r="H1336" i="4"/>
  <c r="I1335" i="4"/>
  <c r="H1335" i="4"/>
  <c r="I1334" i="4"/>
  <c r="H1334" i="4"/>
  <c r="I1333" i="4"/>
  <c r="H1333" i="4"/>
  <c r="I1332" i="4"/>
  <c r="H1332" i="4"/>
  <c r="I1331" i="4"/>
  <c r="H1331" i="4"/>
  <c r="I1330" i="4"/>
  <c r="H1330" i="4"/>
  <c r="I1329" i="4"/>
  <c r="H1329" i="4"/>
  <c r="I1328" i="4"/>
  <c r="H1328" i="4"/>
  <c r="I1327" i="4"/>
  <c r="H1327" i="4"/>
  <c r="I1326" i="4"/>
  <c r="H1326" i="4"/>
  <c r="I1325" i="4"/>
  <c r="H1325" i="4"/>
  <c r="I1324" i="4"/>
  <c r="H1324" i="4"/>
  <c r="I1323" i="4"/>
  <c r="H1323" i="4"/>
  <c r="I1322" i="4"/>
  <c r="H1322" i="4"/>
  <c r="I1321" i="4"/>
  <c r="H1321" i="4"/>
  <c r="I1320" i="4"/>
  <c r="H1320" i="4"/>
  <c r="I1319" i="4"/>
  <c r="H1319" i="4"/>
  <c r="I1318" i="4"/>
  <c r="H1318" i="4"/>
  <c r="I1317" i="4"/>
  <c r="H1317" i="4"/>
  <c r="I1316" i="4"/>
  <c r="H1316" i="4"/>
  <c r="I1315" i="4"/>
  <c r="H1315" i="4"/>
  <c r="I1314" i="4"/>
  <c r="H1314" i="4"/>
  <c r="I1313" i="4"/>
  <c r="H1313" i="4"/>
  <c r="I1312" i="4"/>
  <c r="H1312" i="4"/>
  <c r="I1311" i="4"/>
  <c r="H1311" i="4"/>
  <c r="I1310" i="4"/>
  <c r="H1310" i="4"/>
  <c r="I1309" i="4"/>
  <c r="H1309" i="4"/>
  <c r="I1308" i="4"/>
  <c r="H1308" i="4"/>
  <c r="I1307" i="4"/>
  <c r="H1307" i="4"/>
  <c r="I1306" i="4"/>
  <c r="H1306" i="4"/>
  <c r="I1305" i="4"/>
  <c r="H1305" i="4"/>
  <c r="I1304" i="4"/>
  <c r="H1304" i="4"/>
  <c r="I1303" i="4"/>
  <c r="H1303" i="4"/>
  <c r="I1302" i="4"/>
  <c r="H1302" i="4"/>
  <c r="I1301" i="4"/>
  <c r="H1301" i="4"/>
  <c r="I1300" i="4"/>
  <c r="H1300" i="4"/>
  <c r="I1299" i="4"/>
  <c r="H1299" i="4"/>
  <c r="I1298" i="4"/>
  <c r="H1298" i="4"/>
  <c r="I1297" i="4"/>
  <c r="H1297" i="4"/>
  <c r="I1296" i="4"/>
  <c r="H1296" i="4"/>
  <c r="I1295" i="4"/>
  <c r="H1295" i="4"/>
  <c r="I1294" i="4"/>
  <c r="H1294" i="4"/>
  <c r="I1293" i="4"/>
  <c r="H1293" i="4"/>
  <c r="I1292" i="4"/>
  <c r="H1292" i="4"/>
  <c r="I1291" i="4"/>
  <c r="H1291" i="4"/>
  <c r="I1290" i="4"/>
  <c r="H1290" i="4"/>
  <c r="I1289" i="4"/>
  <c r="H1289" i="4"/>
  <c r="I1288" i="4"/>
  <c r="H1288" i="4"/>
  <c r="I1287" i="4"/>
  <c r="H1287" i="4"/>
  <c r="I1286" i="4"/>
  <c r="H1286" i="4"/>
  <c r="I1285" i="4"/>
  <c r="H1285" i="4"/>
  <c r="I1284" i="4"/>
  <c r="H1284" i="4"/>
  <c r="I1283" i="4"/>
  <c r="H1283" i="4"/>
  <c r="I1282" i="4"/>
  <c r="H1282" i="4"/>
  <c r="I1281" i="4"/>
  <c r="H1281" i="4"/>
  <c r="I1280" i="4"/>
  <c r="H1280" i="4"/>
  <c r="I1279" i="4"/>
  <c r="H1279" i="4"/>
  <c r="I1278" i="4"/>
  <c r="H1278" i="4"/>
  <c r="I1277" i="4"/>
  <c r="H1277" i="4"/>
  <c r="I1276" i="4"/>
  <c r="H1276" i="4"/>
  <c r="I1275" i="4"/>
  <c r="H1275" i="4"/>
  <c r="I1274" i="4"/>
  <c r="H1274" i="4"/>
  <c r="I1273" i="4"/>
  <c r="H1273" i="4"/>
  <c r="I1272" i="4"/>
  <c r="H1272" i="4"/>
  <c r="I1271" i="4"/>
  <c r="H1271" i="4"/>
  <c r="I1270" i="4"/>
  <c r="H1270" i="4"/>
  <c r="I1269" i="4"/>
  <c r="H1269" i="4"/>
  <c r="I1268" i="4"/>
  <c r="H1268" i="4"/>
  <c r="I1267" i="4"/>
  <c r="H1267" i="4"/>
  <c r="I1266" i="4"/>
  <c r="H1266" i="4"/>
  <c r="I1265" i="4"/>
  <c r="H1265" i="4"/>
  <c r="I1264" i="4"/>
  <c r="H1264" i="4"/>
  <c r="I1263" i="4"/>
  <c r="H1263" i="4"/>
  <c r="I1262" i="4"/>
  <c r="H1262" i="4"/>
  <c r="I1261" i="4"/>
  <c r="H1261" i="4"/>
  <c r="I1260" i="4"/>
  <c r="H1260" i="4"/>
  <c r="I1259" i="4"/>
  <c r="H1259" i="4"/>
  <c r="I1258" i="4"/>
  <c r="H1258" i="4"/>
  <c r="I1257" i="4"/>
  <c r="H1257" i="4"/>
  <c r="I1256" i="4"/>
  <c r="H1256" i="4"/>
  <c r="I1255" i="4"/>
  <c r="H1255" i="4"/>
  <c r="I1254" i="4"/>
  <c r="H1254" i="4"/>
  <c r="I1253" i="4"/>
  <c r="H1253" i="4"/>
  <c r="I1252" i="4"/>
  <c r="H1252" i="4"/>
  <c r="I1251" i="4"/>
  <c r="H1251" i="4"/>
  <c r="I1250" i="4"/>
  <c r="H1250" i="4"/>
  <c r="I1249" i="4"/>
  <c r="H1249" i="4"/>
  <c r="I1248" i="4"/>
  <c r="H1248" i="4"/>
  <c r="I1247" i="4"/>
  <c r="H1247" i="4"/>
  <c r="I1246" i="4"/>
  <c r="H1246" i="4"/>
  <c r="I1245" i="4"/>
  <c r="H1245" i="4"/>
  <c r="I1244" i="4"/>
  <c r="H1244" i="4"/>
  <c r="I1243" i="4"/>
  <c r="H1243" i="4"/>
  <c r="I1242" i="4"/>
  <c r="H1242" i="4"/>
  <c r="I1241" i="4"/>
  <c r="H1241" i="4"/>
  <c r="I1240" i="4"/>
  <c r="H1240" i="4"/>
  <c r="I1239" i="4"/>
  <c r="H1239" i="4"/>
  <c r="I1238" i="4"/>
  <c r="H1238" i="4"/>
  <c r="I1237" i="4"/>
  <c r="H1237" i="4"/>
  <c r="I1236" i="4"/>
  <c r="H1236" i="4"/>
  <c r="I1235" i="4"/>
  <c r="H1235" i="4"/>
  <c r="I1234" i="4"/>
  <c r="H1234" i="4"/>
  <c r="I1233" i="4"/>
  <c r="H1233" i="4"/>
  <c r="I1232" i="4"/>
  <c r="H1232" i="4"/>
  <c r="I1231" i="4"/>
  <c r="H1231" i="4"/>
  <c r="I1230" i="4"/>
  <c r="H1230" i="4"/>
  <c r="I1229" i="4"/>
  <c r="H1229" i="4"/>
  <c r="I1228" i="4"/>
  <c r="H1228" i="4"/>
  <c r="I1227" i="4"/>
  <c r="H1227" i="4"/>
  <c r="I1226" i="4"/>
  <c r="H1226" i="4"/>
  <c r="I1225" i="4"/>
  <c r="H1225" i="4"/>
  <c r="I1224" i="4"/>
  <c r="H1224" i="4"/>
  <c r="I1223" i="4"/>
  <c r="H1223" i="4"/>
  <c r="I1222" i="4"/>
  <c r="H1222" i="4"/>
  <c r="I1221" i="4"/>
  <c r="H1221" i="4"/>
  <c r="I1220" i="4"/>
  <c r="H1220" i="4"/>
  <c r="I1219" i="4"/>
  <c r="H1219" i="4"/>
  <c r="I1218" i="4"/>
  <c r="H1218" i="4"/>
  <c r="I1217" i="4"/>
  <c r="H1217" i="4"/>
  <c r="I1216" i="4"/>
  <c r="H1216" i="4"/>
  <c r="I1215" i="4"/>
  <c r="H1215" i="4"/>
  <c r="I1214" i="4"/>
  <c r="H1214" i="4"/>
  <c r="I1213" i="4"/>
  <c r="H1213" i="4"/>
  <c r="I1212" i="4"/>
  <c r="H1212" i="4"/>
  <c r="I1211" i="4"/>
  <c r="H1211" i="4"/>
  <c r="I1210" i="4"/>
  <c r="H1210" i="4"/>
  <c r="I1209" i="4"/>
  <c r="H1209" i="4"/>
  <c r="I1208" i="4"/>
  <c r="H1208" i="4"/>
  <c r="I1207" i="4"/>
  <c r="H1207" i="4"/>
  <c r="I1206" i="4"/>
  <c r="H1206" i="4"/>
  <c r="I1205" i="4"/>
  <c r="H1205" i="4"/>
  <c r="I1204" i="4"/>
  <c r="H1204" i="4"/>
  <c r="I1203" i="4"/>
  <c r="H1203" i="4"/>
  <c r="I1202" i="4"/>
  <c r="H1202" i="4"/>
  <c r="I1201" i="4"/>
  <c r="H1201" i="4"/>
  <c r="I1200" i="4"/>
  <c r="H1200" i="4"/>
  <c r="I1199" i="4"/>
  <c r="H1199" i="4"/>
  <c r="I1198" i="4"/>
  <c r="H1198" i="4"/>
  <c r="I1197" i="4"/>
  <c r="H1197" i="4"/>
  <c r="I1196" i="4"/>
  <c r="H1196" i="4"/>
  <c r="I1195" i="4"/>
  <c r="H1195" i="4"/>
  <c r="I1194" i="4"/>
  <c r="H1194" i="4"/>
  <c r="I1193" i="4"/>
  <c r="H1193" i="4"/>
  <c r="I1192" i="4"/>
  <c r="H1192" i="4"/>
  <c r="I1191" i="4"/>
  <c r="H1191" i="4"/>
  <c r="I1190" i="4"/>
  <c r="H1190" i="4"/>
  <c r="I1189" i="4"/>
  <c r="H1189" i="4"/>
  <c r="I1188" i="4"/>
  <c r="H1188" i="4"/>
  <c r="I1187" i="4"/>
  <c r="H1187" i="4"/>
  <c r="I1186" i="4"/>
  <c r="H1186" i="4"/>
  <c r="I1185" i="4"/>
  <c r="H1185" i="4"/>
  <c r="I1184" i="4"/>
  <c r="H1184" i="4"/>
  <c r="I1183" i="4"/>
  <c r="H1183" i="4"/>
  <c r="I1182" i="4"/>
  <c r="H1182" i="4"/>
  <c r="I1181" i="4"/>
  <c r="H1181" i="4"/>
  <c r="I1180" i="4"/>
  <c r="H1180" i="4"/>
  <c r="I1179" i="4"/>
  <c r="H1179" i="4"/>
  <c r="I1178" i="4"/>
  <c r="H1178" i="4"/>
  <c r="I1177" i="4"/>
  <c r="H1177" i="4"/>
  <c r="I1176" i="4"/>
  <c r="H1176" i="4"/>
  <c r="I1175" i="4"/>
  <c r="H1175" i="4"/>
  <c r="I1174" i="4"/>
  <c r="H1174" i="4"/>
  <c r="I1173" i="4"/>
  <c r="H1173" i="4"/>
  <c r="I1172" i="4"/>
  <c r="H1172" i="4"/>
  <c r="I1171" i="4"/>
  <c r="H1171" i="4"/>
  <c r="I1170" i="4"/>
  <c r="H1170" i="4"/>
  <c r="I1169" i="4"/>
  <c r="H1169" i="4"/>
  <c r="I1168" i="4"/>
  <c r="H1168" i="4"/>
  <c r="I1167" i="4"/>
  <c r="H1167" i="4"/>
  <c r="I1166" i="4"/>
  <c r="H1166" i="4"/>
  <c r="I1165" i="4"/>
  <c r="H1165" i="4"/>
  <c r="I1164" i="4"/>
  <c r="H1164" i="4"/>
  <c r="I1163" i="4"/>
  <c r="H1163" i="4"/>
  <c r="I1162" i="4"/>
  <c r="H1162" i="4"/>
  <c r="I1161" i="4"/>
  <c r="H1161" i="4"/>
  <c r="I1160" i="4"/>
  <c r="H1160" i="4"/>
  <c r="I1159" i="4"/>
  <c r="H1159" i="4"/>
  <c r="I1158" i="4"/>
  <c r="H1158" i="4"/>
  <c r="I1157" i="4"/>
  <c r="H1157" i="4"/>
  <c r="I1156" i="4"/>
  <c r="H1156" i="4"/>
  <c r="I1155" i="4"/>
  <c r="H1155" i="4"/>
  <c r="I1154" i="4"/>
  <c r="H1154" i="4"/>
  <c r="I1153" i="4"/>
  <c r="H1153" i="4"/>
  <c r="I1152" i="4"/>
  <c r="H1152" i="4"/>
  <c r="I1151" i="4"/>
  <c r="H1151" i="4"/>
  <c r="I1150" i="4"/>
  <c r="H1150" i="4"/>
  <c r="I1149" i="4"/>
  <c r="H1149" i="4"/>
  <c r="I1148" i="4"/>
  <c r="H1148" i="4"/>
  <c r="I1147" i="4"/>
  <c r="H1147" i="4"/>
  <c r="I1146" i="4"/>
  <c r="H1146" i="4"/>
  <c r="I1145" i="4"/>
  <c r="H1145" i="4"/>
  <c r="I1144" i="4"/>
  <c r="H1144" i="4"/>
  <c r="I1143" i="4"/>
  <c r="H1143" i="4"/>
  <c r="I1142" i="4"/>
  <c r="H1142" i="4"/>
  <c r="I1141" i="4"/>
  <c r="H1141" i="4"/>
  <c r="I1140" i="4"/>
  <c r="H1140" i="4"/>
  <c r="I1139" i="4"/>
  <c r="H1139" i="4"/>
  <c r="I1138" i="4"/>
  <c r="H1138" i="4"/>
  <c r="I1137" i="4"/>
  <c r="H1137" i="4"/>
  <c r="I1136" i="4"/>
  <c r="H1136" i="4"/>
  <c r="I1135" i="4"/>
  <c r="H1135" i="4"/>
  <c r="I1134" i="4"/>
  <c r="H1134" i="4"/>
  <c r="I1133" i="4"/>
  <c r="H1133" i="4"/>
  <c r="I1132" i="4"/>
  <c r="H1132" i="4"/>
  <c r="I1131" i="4"/>
  <c r="H1131" i="4"/>
  <c r="I1130" i="4"/>
  <c r="H1130" i="4"/>
  <c r="I1129" i="4"/>
  <c r="H1129" i="4"/>
  <c r="I1128" i="4"/>
  <c r="H1128" i="4"/>
  <c r="I1127" i="4"/>
  <c r="H1127" i="4"/>
  <c r="I1126" i="4"/>
  <c r="H1126" i="4"/>
  <c r="I1125" i="4"/>
  <c r="H1125" i="4"/>
  <c r="I1124" i="4"/>
  <c r="H1124" i="4"/>
  <c r="I1123" i="4"/>
  <c r="H1123" i="4"/>
  <c r="I1122" i="4"/>
  <c r="H1122" i="4"/>
  <c r="I1121" i="4"/>
  <c r="H1121" i="4"/>
  <c r="I1120" i="4"/>
  <c r="H1120" i="4"/>
  <c r="I1119" i="4"/>
  <c r="H1119" i="4"/>
  <c r="I1118" i="4"/>
  <c r="H1118" i="4"/>
  <c r="I1117" i="4"/>
  <c r="H1117" i="4"/>
  <c r="I1116" i="4"/>
  <c r="H1116" i="4"/>
  <c r="I1115" i="4"/>
  <c r="H1115" i="4"/>
  <c r="I1114" i="4"/>
  <c r="H1114" i="4"/>
  <c r="I1113" i="4"/>
  <c r="H1113" i="4"/>
  <c r="I1112" i="4"/>
  <c r="H1112" i="4"/>
  <c r="I1111" i="4"/>
  <c r="H1111" i="4"/>
  <c r="I1110" i="4"/>
  <c r="H1110" i="4"/>
  <c r="I1109" i="4"/>
  <c r="H1109" i="4"/>
  <c r="I1108" i="4"/>
  <c r="H1108" i="4"/>
  <c r="I1107" i="4"/>
  <c r="H1107" i="4"/>
  <c r="I1106" i="4"/>
  <c r="H1106" i="4"/>
  <c r="I1105" i="4"/>
  <c r="H1105" i="4"/>
  <c r="I1104" i="4"/>
  <c r="H1104" i="4"/>
  <c r="I1103" i="4"/>
  <c r="H1103" i="4"/>
  <c r="I1102" i="4"/>
  <c r="H1102" i="4"/>
  <c r="I1101" i="4"/>
  <c r="H1101" i="4"/>
  <c r="I1100" i="4"/>
  <c r="H1100" i="4"/>
  <c r="I1099" i="4"/>
  <c r="H1099" i="4"/>
  <c r="I1098" i="4"/>
  <c r="H1098" i="4"/>
  <c r="I1097" i="4"/>
  <c r="H1097" i="4"/>
  <c r="I1096" i="4"/>
  <c r="H1096" i="4"/>
  <c r="I1095" i="4"/>
  <c r="H1095" i="4"/>
  <c r="I1094" i="4"/>
  <c r="H1094" i="4"/>
  <c r="I1093" i="4"/>
  <c r="H1093" i="4"/>
  <c r="I1092" i="4"/>
  <c r="H1092" i="4"/>
  <c r="I1091" i="4"/>
  <c r="H1091" i="4"/>
  <c r="I1090" i="4"/>
  <c r="H1090" i="4"/>
  <c r="I1089" i="4"/>
  <c r="H1089" i="4"/>
  <c r="I1088" i="4"/>
  <c r="H1088" i="4"/>
  <c r="I1087" i="4"/>
  <c r="H1087" i="4"/>
  <c r="I1086" i="4"/>
  <c r="H1086" i="4"/>
  <c r="I1085" i="4"/>
  <c r="H1085" i="4"/>
  <c r="I1084" i="4"/>
  <c r="H1084" i="4"/>
  <c r="I1083" i="4"/>
  <c r="H1083" i="4"/>
  <c r="I1082" i="4"/>
  <c r="H1082" i="4"/>
  <c r="I1081" i="4"/>
  <c r="H1081" i="4"/>
  <c r="I1080" i="4"/>
  <c r="H1080" i="4"/>
  <c r="I1079" i="4"/>
  <c r="H1079" i="4"/>
  <c r="I1078" i="4"/>
  <c r="H1078" i="4"/>
  <c r="I1077" i="4"/>
  <c r="H1077" i="4"/>
  <c r="I1076" i="4"/>
  <c r="H1076" i="4"/>
  <c r="I1075" i="4"/>
  <c r="H1075" i="4"/>
  <c r="I1074" i="4"/>
  <c r="H1074" i="4"/>
  <c r="I1073" i="4"/>
  <c r="H1073" i="4"/>
  <c r="I1072" i="4"/>
  <c r="H1072" i="4"/>
  <c r="I1071" i="4"/>
  <c r="H1071" i="4"/>
  <c r="I1070" i="4"/>
  <c r="H1070" i="4"/>
  <c r="I1069" i="4"/>
  <c r="H1069" i="4"/>
  <c r="I1068" i="4"/>
  <c r="H1068" i="4"/>
  <c r="I1067" i="4"/>
  <c r="H1067" i="4"/>
  <c r="I1066" i="4"/>
  <c r="H1066" i="4"/>
  <c r="I1065" i="4"/>
  <c r="H1065" i="4"/>
  <c r="I1064" i="4"/>
  <c r="H1064" i="4"/>
  <c r="I1063" i="4"/>
  <c r="H1063" i="4"/>
  <c r="I1062" i="4"/>
  <c r="H1062" i="4"/>
  <c r="I1061" i="4"/>
  <c r="H1061" i="4"/>
  <c r="I1060" i="4"/>
  <c r="H1060" i="4"/>
  <c r="I1059" i="4"/>
  <c r="H1059" i="4"/>
  <c r="I1058" i="4"/>
  <c r="H1058" i="4"/>
  <c r="I1057" i="4"/>
  <c r="H1057" i="4"/>
  <c r="I1056" i="4"/>
  <c r="H1056" i="4"/>
  <c r="I1055" i="4"/>
  <c r="H1055" i="4"/>
  <c r="I1054" i="4"/>
  <c r="H1054" i="4"/>
  <c r="I1053" i="4"/>
  <c r="H1053" i="4"/>
  <c r="I1052" i="4"/>
  <c r="H1052" i="4"/>
  <c r="I1051" i="4"/>
  <c r="H1051" i="4"/>
  <c r="I1050" i="4"/>
  <c r="H1050" i="4"/>
  <c r="I1049" i="4"/>
  <c r="H1049" i="4"/>
  <c r="I1048" i="4"/>
  <c r="H1048" i="4"/>
  <c r="I1047" i="4"/>
  <c r="H1047" i="4"/>
  <c r="I1046" i="4"/>
  <c r="H1046" i="4"/>
  <c r="I1045" i="4"/>
  <c r="H1045" i="4"/>
  <c r="I1044" i="4"/>
  <c r="H1044" i="4"/>
  <c r="I1043" i="4"/>
  <c r="H1043" i="4"/>
  <c r="I1042" i="4"/>
  <c r="H1042" i="4"/>
  <c r="I1041" i="4"/>
  <c r="H1041" i="4"/>
  <c r="I1040" i="4"/>
  <c r="H1040" i="4"/>
  <c r="I1039" i="4"/>
  <c r="H1039" i="4"/>
  <c r="I1038" i="4"/>
  <c r="H1038" i="4"/>
  <c r="I1037" i="4"/>
  <c r="H1037" i="4"/>
  <c r="I1036" i="4"/>
  <c r="H1036" i="4"/>
  <c r="I1035" i="4"/>
  <c r="H1035" i="4"/>
  <c r="I1034" i="4"/>
  <c r="H1034" i="4"/>
  <c r="I1033" i="4"/>
  <c r="H1033" i="4"/>
  <c r="I1032" i="4"/>
  <c r="H1032" i="4"/>
  <c r="I1031" i="4"/>
  <c r="H1031" i="4"/>
  <c r="I1030" i="4"/>
  <c r="H1030" i="4"/>
  <c r="I1029" i="4"/>
  <c r="H1029" i="4"/>
  <c r="I1028" i="4"/>
  <c r="H1028" i="4"/>
  <c r="I1027" i="4"/>
  <c r="H1027" i="4"/>
  <c r="I1026" i="4"/>
  <c r="H1026" i="4"/>
  <c r="I1025" i="4"/>
  <c r="H1025" i="4"/>
  <c r="I1024" i="4"/>
  <c r="H1024" i="4"/>
  <c r="I1023" i="4"/>
  <c r="H1023" i="4"/>
  <c r="I1022" i="4"/>
  <c r="H1022" i="4"/>
  <c r="I1021" i="4"/>
  <c r="H1021" i="4"/>
  <c r="I1020" i="4"/>
  <c r="H1020" i="4"/>
  <c r="I1019" i="4"/>
  <c r="H1019" i="4"/>
  <c r="I1018" i="4"/>
  <c r="H1018" i="4"/>
  <c r="I1017" i="4"/>
  <c r="H1017" i="4"/>
  <c r="I1016" i="4"/>
  <c r="H1016" i="4"/>
  <c r="I1015" i="4"/>
  <c r="H1015" i="4"/>
  <c r="I1014" i="4"/>
  <c r="H1014" i="4"/>
  <c r="I1013" i="4"/>
  <c r="H1013" i="4"/>
  <c r="I1012" i="4"/>
  <c r="H1012" i="4"/>
  <c r="I1011" i="4"/>
  <c r="H1011" i="4"/>
  <c r="I1010" i="4"/>
  <c r="H1010" i="4"/>
  <c r="I1009" i="4"/>
  <c r="H1009" i="4"/>
  <c r="I1008" i="4"/>
  <c r="H1008" i="4"/>
  <c r="I1007" i="4"/>
  <c r="H1007" i="4"/>
  <c r="I1006" i="4"/>
  <c r="H1006" i="4"/>
  <c r="I1005" i="4"/>
  <c r="H1005" i="4"/>
  <c r="I1004" i="4"/>
  <c r="H1004" i="4"/>
  <c r="I1003" i="4"/>
  <c r="H1003" i="4"/>
  <c r="I1002" i="4"/>
  <c r="H1002" i="4"/>
  <c r="I1001" i="4"/>
  <c r="H1001" i="4"/>
  <c r="I1000" i="4"/>
  <c r="H1000" i="4"/>
  <c r="I999" i="4"/>
  <c r="H999" i="4"/>
  <c r="I998" i="4"/>
  <c r="H998" i="4"/>
  <c r="I997" i="4"/>
  <c r="H997" i="4"/>
  <c r="I996" i="4"/>
  <c r="H996" i="4"/>
  <c r="I995" i="4"/>
  <c r="H995" i="4"/>
  <c r="I994" i="4"/>
  <c r="H994" i="4"/>
  <c r="I993" i="4"/>
  <c r="H993" i="4"/>
  <c r="I992" i="4"/>
  <c r="H992" i="4"/>
  <c r="I991" i="4"/>
  <c r="H991" i="4"/>
  <c r="I990" i="4"/>
  <c r="H990" i="4"/>
  <c r="I989" i="4"/>
  <c r="H989" i="4"/>
  <c r="I988" i="4"/>
  <c r="H988" i="4"/>
  <c r="I987" i="4"/>
  <c r="H987" i="4"/>
  <c r="I986" i="4"/>
  <c r="H986" i="4"/>
  <c r="I985" i="4"/>
  <c r="H985" i="4"/>
  <c r="I984" i="4"/>
  <c r="H984" i="4"/>
  <c r="I983" i="4"/>
  <c r="H983" i="4"/>
  <c r="I982" i="4"/>
  <c r="H982" i="4"/>
  <c r="I981" i="4"/>
  <c r="H981" i="4"/>
  <c r="I980" i="4"/>
  <c r="H980" i="4"/>
  <c r="I979" i="4"/>
  <c r="H979" i="4"/>
  <c r="I978" i="4"/>
  <c r="H978" i="4"/>
  <c r="I977" i="4"/>
  <c r="H977" i="4"/>
  <c r="I976" i="4"/>
  <c r="H976" i="4"/>
  <c r="I975" i="4"/>
  <c r="H975" i="4"/>
  <c r="I974" i="4"/>
  <c r="H974" i="4"/>
  <c r="I973" i="4"/>
  <c r="H973" i="4"/>
  <c r="I972" i="4"/>
  <c r="H972" i="4"/>
  <c r="I971" i="4"/>
  <c r="H971" i="4"/>
  <c r="I970" i="4"/>
  <c r="H970" i="4"/>
  <c r="I969" i="4"/>
  <c r="H969" i="4"/>
  <c r="I968" i="4"/>
  <c r="H968" i="4"/>
  <c r="I967" i="4"/>
  <c r="H967" i="4"/>
  <c r="I966" i="4"/>
  <c r="H966" i="4"/>
  <c r="I965" i="4"/>
  <c r="H965" i="4"/>
  <c r="I964" i="4"/>
  <c r="H964" i="4"/>
  <c r="I963" i="4"/>
  <c r="H963" i="4"/>
  <c r="I962" i="4"/>
  <c r="H962" i="4"/>
  <c r="I961" i="4"/>
  <c r="H961" i="4"/>
  <c r="I960" i="4"/>
  <c r="H960" i="4"/>
  <c r="I959" i="4"/>
  <c r="H959" i="4"/>
  <c r="I958" i="4"/>
  <c r="H958" i="4"/>
  <c r="I957" i="4"/>
  <c r="H957" i="4"/>
  <c r="I956" i="4"/>
  <c r="H956" i="4"/>
  <c r="I955" i="4"/>
  <c r="H955" i="4"/>
  <c r="I954" i="4"/>
  <c r="H954" i="4"/>
  <c r="I953" i="4"/>
  <c r="H953" i="4"/>
  <c r="I952" i="4"/>
  <c r="H952" i="4"/>
  <c r="I951" i="4"/>
  <c r="H951" i="4"/>
  <c r="I950" i="4"/>
  <c r="H950" i="4"/>
  <c r="I949" i="4"/>
  <c r="H949" i="4"/>
  <c r="I948" i="4"/>
  <c r="H948" i="4"/>
  <c r="I947" i="4"/>
  <c r="H947" i="4"/>
  <c r="I946" i="4"/>
  <c r="H946" i="4"/>
  <c r="I945" i="4"/>
  <c r="H945" i="4"/>
  <c r="I944" i="4"/>
  <c r="H944" i="4"/>
  <c r="I943" i="4"/>
  <c r="H943" i="4"/>
  <c r="I942" i="4"/>
  <c r="H942" i="4"/>
  <c r="I941" i="4"/>
  <c r="H941" i="4"/>
  <c r="I940" i="4"/>
  <c r="H940" i="4"/>
  <c r="I939" i="4"/>
  <c r="H939" i="4"/>
  <c r="I938" i="4"/>
  <c r="H938" i="4"/>
  <c r="I937" i="4"/>
  <c r="H937" i="4"/>
  <c r="I936" i="4"/>
  <c r="H936" i="4"/>
  <c r="I935" i="4"/>
  <c r="H935" i="4"/>
  <c r="I934" i="4"/>
  <c r="H934" i="4"/>
  <c r="I933" i="4"/>
  <c r="H933" i="4"/>
  <c r="I932" i="4"/>
  <c r="H932" i="4"/>
  <c r="I931" i="4"/>
  <c r="H931" i="4"/>
  <c r="I930" i="4"/>
  <c r="H930" i="4"/>
  <c r="I929" i="4"/>
  <c r="H929" i="4"/>
  <c r="I928" i="4"/>
  <c r="H928" i="4"/>
  <c r="I927" i="4"/>
  <c r="H927" i="4"/>
  <c r="I926" i="4"/>
  <c r="H926" i="4"/>
  <c r="I925" i="4"/>
  <c r="H925" i="4"/>
  <c r="I924" i="4"/>
  <c r="H924" i="4"/>
  <c r="I923" i="4"/>
  <c r="H923" i="4"/>
  <c r="I922" i="4"/>
  <c r="H922" i="4"/>
  <c r="I921" i="4"/>
  <c r="H921" i="4"/>
  <c r="I920" i="4"/>
  <c r="H920" i="4"/>
  <c r="I919" i="4"/>
  <c r="H919" i="4"/>
  <c r="I918" i="4"/>
  <c r="H918" i="4"/>
  <c r="I917" i="4"/>
  <c r="H917" i="4"/>
  <c r="I916" i="4"/>
  <c r="H916" i="4"/>
  <c r="I915" i="4"/>
  <c r="H915" i="4"/>
  <c r="I914" i="4"/>
  <c r="H914" i="4"/>
  <c r="I913" i="4"/>
  <c r="H913" i="4"/>
  <c r="I912" i="4"/>
  <c r="H912" i="4"/>
  <c r="I911" i="4"/>
  <c r="H911" i="4"/>
  <c r="I910" i="4"/>
  <c r="H910" i="4"/>
  <c r="I909" i="4"/>
  <c r="H909" i="4"/>
  <c r="I908" i="4"/>
  <c r="H908" i="4"/>
  <c r="I907" i="4"/>
  <c r="H907" i="4"/>
  <c r="I906" i="4"/>
  <c r="H906" i="4"/>
  <c r="I905" i="4"/>
  <c r="H905" i="4"/>
  <c r="I904" i="4"/>
  <c r="H904" i="4"/>
  <c r="I903" i="4"/>
  <c r="H903" i="4"/>
  <c r="I902" i="4"/>
  <c r="H902" i="4"/>
  <c r="I901" i="4"/>
  <c r="H901" i="4"/>
  <c r="I900" i="4"/>
  <c r="H900" i="4"/>
  <c r="I899" i="4"/>
  <c r="H899" i="4"/>
  <c r="I898" i="4"/>
  <c r="H898" i="4"/>
  <c r="I897" i="4"/>
  <c r="H897" i="4"/>
  <c r="I896" i="4"/>
  <c r="H896" i="4"/>
  <c r="I895" i="4"/>
  <c r="H895" i="4"/>
  <c r="I894" i="4"/>
  <c r="H894" i="4"/>
  <c r="I893" i="4"/>
  <c r="H893" i="4"/>
  <c r="I892" i="4"/>
  <c r="H892" i="4"/>
  <c r="I891" i="4"/>
  <c r="H891" i="4"/>
  <c r="I890" i="4"/>
  <c r="H890" i="4"/>
  <c r="I889" i="4"/>
  <c r="H889" i="4"/>
  <c r="I888" i="4"/>
  <c r="H888" i="4"/>
  <c r="I887" i="4"/>
  <c r="H887" i="4"/>
  <c r="I886" i="4"/>
  <c r="H886" i="4"/>
  <c r="I885" i="4"/>
  <c r="H885" i="4"/>
  <c r="I884" i="4"/>
  <c r="H884" i="4"/>
  <c r="I883" i="4"/>
  <c r="H883" i="4"/>
  <c r="I882" i="4"/>
  <c r="H882" i="4"/>
  <c r="I881" i="4"/>
  <c r="H881" i="4"/>
  <c r="I880" i="4"/>
  <c r="H880" i="4"/>
  <c r="I879" i="4"/>
  <c r="H879" i="4"/>
  <c r="I878" i="4"/>
  <c r="H878" i="4"/>
  <c r="I877" i="4"/>
  <c r="H877" i="4"/>
  <c r="I876" i="4"/>
  <c r="H876" i="4"/>
  <c r="I875" i="4"/>
  <c r="H875" i="4"/>
  <c r="I874" i="4"/>
  <c r="H874" i="4"/>
  <c r="I873" i="4"/>
  <c r="H873" i="4"/>
  <c r="I872" i="4"/>
  <c r="H872" i="4"/>
  <c r="I871" i="4"/>
  <c r="H871" i="4"/>
  <c r="I870" i="4"/>
  <c r="H870" i="4"/>
  <c r="I869" i="4"/>
  <c r="H869" i="4"/>
  <c r="I868" i="4"/>
  <c r="H868" i="4"/>
  <c r="I867" i="4"/>
  <c r="H867" i="4"/>
  <c r="I866" i="4"/>
  <c r="H866" i="4"/>
  <c r="I865" i="4"/>
  <c r="H865" i="4"/>
  <c r="I864" i="4"/>
  <c r="H864" i="4"/>
  <c r="I863" i="4"/>
  <c r="H863" i="4"/>
  <c r="I862" i="4"/>
  <c r="H862" i="4"/>
  <c r="I861" i="4"/>
  <c r="H861" i="4"/>
  <c r="I860" i="4"/>
  <c r="H860" i="4"/>
  <c r="I859" i="4"/>
  <c r="H859" i="4"/>
  <c r="I858" i="4"/>
  <c r="H858" i="4"/>
  <c r="I857" i="4"/>
  <c r="H857" i="4"/>
  <c r="I856" i="4"/>
  <c r="H856" i="4"/>
  <c r="I855" i="4"/>
  <c r="H855" i="4"/>
  <c r="I854" i="4"/>
  <c r="H854" i="4"/>
  <c r="I853" i="4"/>
  <c r="H853" i="4"/>
  <c r="I852" i="4"/>
  <c r="H852" i="4"/>
  <c r="I851" i="4"/>
  <c r="H851" i="4"/>
  <c r="I850" i="4"/>
  <c r="H850" i="4"/>
  <c r="I849" i="4"/>
  <c r="H849" i="4"/>
  <c r="I848" i="4"/>
  <c r="H848" i="4"/>
  <c r="I847" i="4"/>
  <c r="H847" i="4"/>
  <c r="I846" i="4"/>
  <c r="H846" i="4"/>
  <c r="I845" i="4"/>
  <c r="H845" i="4"/>
  <c r="I844" i="4"/>
  <c r="H844" i="4"/>
  <c r="I843" i="4"/>
  <c r="H843" i="4"/>
  <c r="I842" i="4"/>
  <c r="H842" i="4"/>
  <c r="I841" i="4"/>
  <c r="H841" i="4"/>
  <c r="I840" i="4"/>
  <c r="H840" i="4"/>
  <c r="I839" i="4"/>
  <c r="H839" i="4"/>
  <c r="I838" i="4"/>
  <c r="H838" i="4"/>
  <c r="I837" i="4"/>
  <c r="H837" i="4"/>
  <c r="I836" i="4"/>
  <c r="H836" i="4"/>
  <c r="I835" i="4"/>
  <c r="H835" i="4"/>
  <c r="I834" i="4"/>
  <c r="H834" i="4"/>
  <c r="I833" i="4"/>
  <c r="H833" i="4"/>
  <c r="I832" i="4"/>
  <c r="H832" i="4"/>
  <c r="I831" i="4"/>
  <c r="H831" i="4"/>
  <c r="I830" i="4"/>
  <c r="H830" i="4"/>
  <c r="I829" i="4"/>
  <c r="H829" i="4"/>
  <c r="I828" i="4"/>
  <c r="H828" i="4"/>
  <c r="I827" i="4"/>
  <c r="H827" i="4"/>
  <c r="I826" i="4"/>
  <c r="H826" i="4"/>
  <c r="I825" i="4"/>
  <c r="H825" i="4"/>
  <c r="I824" i="4"/>
  <c r="H824" i="4"/>
  <c r="I823" i="4"/>
  <c r="H823" i="4"/>
  <c r="I822" i="4"/>
  <c r="H822" i="4"/>
  <c r="I821" i="4"/>
  <c r="H821" i="4"/>
  <c r="I820" i="4"/>
  <c r="H820" i="4"/>
  <c r="I819" i="4"/>
  <c r="H819" i="4"/>
  <c r="I818" i="4"/>
  <c r="H818" i="4"/>
  <c r="I817" i="4"/>
  <c r="H817" i="4"/>
  <c r="I816" i="4"/>
  <c r="H816" i="4"/>
  <c r="I815" i="4"/>
  <c r="H815" i="4"/>
  <c r="I814" i="4"/>
  <c r="H814" i="4"/>
  <c r="I813" i="4"/>
  <c r="H813" i="4"/>
  <c r="I812" i="4"/>
  <c r="H812" i="4"/>
  <c r="I811" i="4"/>
  <c r="H811" i="4"/>
  <c r="I810" i="4"/>
  <c r="H810" i="4"/>
  <c r="I809" i="4"/>
  <c r="H809" i="4"/>
  <c r="I808" i="4"/>
  <c r="H808" i="4"/>
  <c r="I807" i="4"/>
  <c r="H807" i="4"/>
  <c r="I806" i="4"/>
  <c r="H806" i="4"/>
  <c r="I805" i="4"/>
  <c r="H805" i="4"/>
  <c r="I804" i="4"/>
  <c r="H804" i="4"/>
  <c r="I803" i="4"/>
  <c r="H803" i="4"/>
  <c r="I802" i="4"/>
  <c r="H802" i="4"/>
  <c r="I801" i="4"/>
  <c r="H801" i="4"/>
  <c r="I800" i="4"/>
  <c r="H800" i="4"/>
  <c r="I799" i="4"/>
  <c r="H799" i="4"/>
  <c r="I798" i="4"/>
  <c r="H798" i="4"/>
  <c r="I797" i="4"/>
  <c r="H797" i="4"/>
  <c r="I796" i="4"/>
  <c r="H796" i="4"/>
  <c r="I795" i="4"/>
  <c r="H795" i="4"/>
  <c r="I794" i="4"/>
  <c r="H794" i="4"/>
  <c r="I793" i="4"/>
  <c r="H793" i="4"/>
  <c r="I792" i="4"/>
  <c r="H792" i="4"/>
  <c r="I791" i="4"/>
  <c r="H791" i="4"/>
  <c r="I790" i="4"/>
  <c r="H790" i="4"/>
  <c r="I789" i="4"/>
  <c r="H789" i="4"/>
  <c r="I788" i="4"/>
  <c r="H788" i="4"/>
  <c r="I787" i="4"/>
  <c r="H787" i="4"/>
  <c r="I786" i="4"/>
  <c r="H786" i="4"/>
  <c r="I785" i="4"/>
  <c r="H785" i="4"/>
  <c r="I784" i="4"/>
  <c r="H784" i="4"/>
  <c r="I783" i="4"/>
  <c r="H783" i="4"/>
  <c r="I782" i="4"/>
  <c r="H782" i="4"/>
  <c r="I781" i="4"/>
  <c r="H781" i="4"/>
  <c r="I780" i="4"/>
  <c r="H780" i="4"/>
  <c r="I779" i="4"/>
  <c r="H779" i="4"/>
  <c r="I778" i="4"/>
  <c r="H778" i="4"/>
  <c r="I777" i="4"/>
  <c r="H777" i="4"/>
  <c r="I776" i="4"/>
  <c r="H776" i="4"/>
  <c r="I775" i="4"/>
  <c r="H775" i="4"/>
  <c r="I774" i="4"/>
  <c r="H774" i="4"/>
  <c r="I773" i="4"/>
  <c r="H773" i="4"/>
  <c r="I772" i="4"/>
  <c r="H772" i="4"/>
  <c r="I771" i="4"/>
  <c r="H771" i="4"/>
  <c r="I770" i="4"/>
  <c r="H770" i="4"/>
  <c r="I769" i="4"/>
  <c r="H769" i="4"/>
  <c r="I768" i="4"/>
  <c r="H768" i="4"/>
  <c r="I767" i="4"/>
  <c r="H767" i="4"/>
  <c r="I766" i="4"/>
  <c r="H766" i="4"/>
  <c r="I765" i="4"/>
  <c r="H765" i="4"/>
  <c r="I764" i="4"/>
  <c r="H764" i="4"/>
  <c r="I763" i="4"/>
  <c r="H763" i="4"/>
  <c r="I762" i="4"/>
  <c r="H762" i="4"/>
  <c r="I761" i="4"/>
  <c r="H761" i="4"/>
  <c r="I760" i="4"/>
  <c r="H760" i="4"/>
  <c r="I759" i="4"/>
  <c r="H759" i="4"/>
  <c r="I758" i="4"/>
  <c r="H758" i="4"/>
  <c r="I757" i="4"/>
  <c r="H757" i="4"/>
  <c r="I756" i="4"/>
  <c r="H756" i="4"/>
  <c r="I755" i="4"/>
  <c r="H755" i="4"/>
  <c r="I754" i="4"/>
  <c r="H754" i="4"/>
  <c r="I753" i="4"/>
  <c r="H753" i="4"/>
  <c r="I752" i="4"/>
  <c r="H752" i="4"/>
  <c r="I751" i="4"/>
  <c r="H751" i="4"/>
  <c r="I750" i="4"/>
  <c r="H750" i="4"/>
  <c r="I749" i="4"/>
  <c r="H749" i="4"/>
  <c r="I748" i="4"/>
  <c r="H748" i="4"/>
  <c r="I747" i="4"/>
  <c r="H747" i="4"/>
  <c r="I746" i="4"/>
  <c r="H746" i="4"/>
  <c r="I745" i="4"/>
  <c r="H745" i="4"/>
  <c r="I744" i="4"/>
  <c r="H744" i="4"/>
  <c r="I743" i="4"/>
  <c r="H743" i="4"/>
  <c r="I742" i="4"/>
  <c r="H742" i="4"/>
  <c r="I741" i="4"/>
  <c r="H741" i="4"/>
  <c r="I740" i="4"/>
  <c r="H740" i="4"/>
  <c r="I739" i="4"/>
  <c r="H739" i="4"/>
  <c r="I738" i="4"/>
  <c r="H738" i="4"/>
  <c r="I737" i="4"/>
  <c r="H737" i="4"/>
  <c r="I736" i="4"/>
  <c r="H736" i="4"/>
  <c r="I735" i="4"/>
  <c r="H735" i="4"/>
  <c r="I734" i="4"/>
  <c r="H734" i="4"/>
  <c r="I733" i="4"/>
  <c r="H733" i="4"/>
  <c r="I732" i="4"/>
  <c r="H732" i="4"/>
  <c r="I731" i="4"/>
  <c r="H731" i="4"/>
  <c r="I730" i="4"/>
  <c r="H730" i="4"/>
  <c r="I729" i="4"/>
  <c r="H729" i="4"/>
  <c r="I728" i="4"/>
  <c r="H728" i="4"/>
  <c r="I727" i="4"/>
  <c r="H727" i="4"/>
  <c r="I726" i="4"/>
  <c r="H726" i="4"/>
  <c r="I725" i="4"/>
  <c r="H725" i="4"/>
  <c r="I724" i="4"/>
  <c r="H724" i="4"/>
  <c r="I723" i="4"/>
  <c r="H723" i="4"/>
  <c r="I722" i="4"/>
  <c r="H722" i="4"/>
  <c r="I721" i="4"/>
  <c r="H721" i="4"/>
  <c r="I720" i="4"/>
  <c r="H720" i="4"/>
  <c r="I719" i="4"/>
  <c r="H719" i="4"/>
  <c r="I718" i="4"/>
  <c r="H718" i="4"/>
  <c r="I717" i="4"/>
  <c r="H717" i="4"/>
  <c r="I716" i="4"/>
  <c r="H716" i="4"/>
  <c r="I715" i="4"/>
  <c r="H715" i="4"/>
  <c r="I714" i="4"/>
  <c r="H714" i="4"/>
  <c r="I713" i="4"/>
  <c r="H713" i="4"/>
  <c r="I712" i="4"/>
  <c r="H712" i="4"/>
  <c r="I711" i="4"/>
  <c r="H711" i="4"/>
  <c r="I710" i="4"/>
  <c r="H710" i="4"/>
  <c r="I709" i="4"/>
  <c r="H709" i="4"/>
  <c r="I708" i="4"/>
  <c r="H708" i="4"/>
  <c r="I707" i="4"/>
  <c r="H707" i="4"/>
  <c r="I706" i="4"/>
  <c r="H706" i="4"/>
  <c r="I705" i="4"/>
  <c r="H705" i="4"/>
  <c r="I704" i="4"/>
  <c r="H704" i="4"/>
  <c r="I703" i="4"/>
  <c r="H703" i="4"/>
  <c r="I702" i="4"/>
  <c r="H702" i="4"/>
  <c r="I701" i="4"/>
  <c r="H701" i="4"/>
  <c r="I700" i="4"/>
  <c r="H700" i="4"/>
  <c r="I699" i="4"/>
  <c r="H699" i="4"/>
  <c r="I698" i="4"/>
  <c r="H698" i="4"/>
  <c r="I697" i="4"/>
  <c r="H697" i="4"/>
  <c r="I696" i="4"/>
  <c r="H696" i="4"/>
  <c r="I695" i="4"/>
  <c r="H695" i="4"/>
  <c r="I694" i="4"/>
  <c r="H694" i="4"/>
  <c r="I693" i="4"/>
  <c r="H693" i="4"/>
  <c r="I692" i="4"/>
  <c r="H692" i="4"/>
  <c r="I691" i="4"/>
  <c r="H691" i="4"/>
  <c r="I690" i="4"/>
  <c r="H690" i="4"/>
  <c r="I689" i="4"/>
  <c r="H689" i="4"/>
  <c r="I688" i="4"/>
  <c r="H688" i="4"/>
  <c r="I687" i="4"/>
  <c r="H687" i="4"/>
  <c r="I686" i="4"/>
  <c r="H686" i="4"/>
  <c r="I685" i="4"/>
  <c r="H685" i="4"/>
  <c r="I684" i="4"/>
  <c r="H684" i="4"/>
  <c r="I683" i="4"/>
  <c r="H683" i="4"/>
  <c r="I682" i="4"/>
  <c r="H682" i="4"/>
  <c r="I681" i="4"/>
  <c r="H681" i="4"/>
  <c r="I680" i="4"/>
  <c r="H680" i="4"/>
  <c r="I679" i="4"/>
  <c r="H679" i="4"/>
  <c r="I678" i="4"/>
  <c r="H678" i="4"/>
  <c r="I677" i="4"/>
  <c r="H677" i="4"/>
  <c r="I676" i="4"/>
  <c r="H676" i="4"/>
  <c r="I675" i="4"/>
  <c r="H675" i="4"/>
  <c r="I674" i="4"/>
  <c r="H674" i="4"/>
  <c r="I673" i="4"/>
  <c r="H673" i="4"/>
  <c r="I672" i="4"/>
  <c r="H672" i="4"/>
  <c r="I671" i="4"/>
  <c r="H671" i="4"/>
  <c r="I670" i="4"/>
  <c r="H670" i="4"/>
  <c r="I669" i="4"/>
  <c r="H669" i="4"/>
  <c r="I668" i="4"/>
  <c r="H668" i="4"/>
  <c r="I667" i="4"/>
  <c r="H667" i="4"/>
  <c r="I666" i="4"/>
  <c r="H666" i="4"/>
  <c r="I665" i="4"/>
  <c r="H665" i="4"/>
  <c r="I664" i="4"/>
  <c r="H664" i="4"/>
  <c r="I663" i="4"/>
  <c r="H663" i="4"/>
  <c r="I662" i="4"/>
  <c r="H662" i="4"/>
  <c r="I661" i="4"/>
  <c r="H661" i="4"/>
  <c r="I660" i="4"/>
  <c r="H660" i="4"/>
  <c r="I659" i="4"/>
  <c r="H659" i="4"/>
  <c r="I658" i="4"/>
  <c r="H658" i="4"/>
  <c r="I657" i="4"/>
  <c r="H657" i="4"/>
  <c r="I656" i="4"/>
  <c r="H656" i="4"/>
  <c r="I655" i="4"/>
  <c r="H655" i="4"/>
  <c r="I654" i="4"/>
  <c r="H654" i="4"/>
  <c r="I653" i="4"/>
  <c r="H653" i="4"/>
  <c r="I652" i="4"/>
  <c r="H652" i="4"/>
  <c r="I651" i="4"/>
  <c r="H651" i="4"/>
  <c r="I650" i="4"/>
  <c r="H650" i="4"/>
  <c r="I649" i="4"/>
  <c r="H649" i="4"/>
  <c r="I648" i="4"/>
  <c r="H648" i="4"/>
  <c r="I647" i="4"/>
  <c r="H647" i="4"/>
  <c r="I646" i="4"/>
  <c r="H646" i="4"/>
  <c r="I645" i="4"/>
  <c r="H645" i="4"/>
  <c r="I644" i="4"/>
  <c r="H644" i="4"/>
  <c r="I643" i="4"/>
  <c r="H643" i="4"/>
  <c r="I642" i="4"/>
  <c r="H642" i="4"/>
  <c r="I641" i="4"/>
  <c r="H641" i="4"/>
  <c r="I640" i="4"/>
  <c r="H640" i="4"/>
  <c r="I639" i="4"/>
  <c r="H639" i="4"/>
  <c r="I638" i="4"/>
  <c r="H638" i="4"/>
  <c r="I637" i="4"/>
  <c r="H637" i="4"/>
  <c r="I636" i="4"/>
  <c r="H636" i="4"/>
  <c r="I635" i="4"/>
  <c r="H635" i="4"/>
  <c r="I634" i="4"/>
  <c r="H634" i="4"/>
  <c r="I633" i="4"/>
  <c r="H633" i="4"/>
  <c r="I632" i="4"/>
  <c r="H632" i="4"/>
  <c r="I631" i="4"/>
  <c r="H631" i="4"/>
  <c r="I630" i="4"/>
  <c r="H630" i="4"/>
  <c r="I629" i="4"/>
  <c r="H629" i="4"/>
  <c r="I628" i="4"/>
  <c r="H628" i="4"/>
  <c r="I627" i="4"/>
  <c r="H627" i="4"/>
  <c r="I626" i="4"/>
  <c r="H626" i="4"/>
  <c r="I625" i="4"/>
  <c r="H625" i="4"/>
  <c r="I624" i="4"/>
  <c r="H624" i="4"/>
  <c r="I623" i="4"/>
  <c r="H623" i="4"/>
  <c r="I622" i="4"/>
  <c r="H622" i="4"/>
  <c r="I621" i="4"/>
  <c r="H621" i="4"/>
  <c r="I620" i="4"/>
  <c r="H620" i="4"/>
  <c r="I619" i="4"/>
  <c r="H619" i="4"/>
  <c r="I618" i="4"/>
  <c r="H618" i="4"/>
  <c r="I617" i="4"/>
  <c r="H617" i="4"/>
  <c r="I616" i="4"/>
  <c r="H616" i="4"/>
  <c r="I615" i="4"/>
  <c r="H615" i="4"/>
  <c r="I614" i="4"/>
  <c r="H614" i="4"/>
  <c r="I613" i="4"/>
  <c r="H613" i="4"/>
  <c r="I612" i="4"/>
  <c r="H612" i="4"/>
  <c r="I611" i="4"/>
  <c r="H611" i="4"/>
  <c r="I610" i="4"/>
  <c r="H610" i="4"/>
  <c r="I609" i="4"/>
  <c r="H609" i="4"/>
  <c r="I608" i="4"/>
  <c r="H608" i="4"/>
  <c r="I607" i="4"/>
  <c r="H607" i="4"/>
  <c r="I606" i="4"/>
  <c r="H606" i="4"/>
  <c r="I605" i="4"/>
  <c r="H605" i="4"/>
  <c r="I604" i="4"/>
  <c r="H604" i="4"/>
  <c r="I603" i="4"/>
  <c r="H603" i="4"/>
  <c r="I602" i="4"/>
  <c r="H602" i="4"/>
  <c r="I601" i="4"/>
  <c r="H601" i="4"/>
  <c r="I600" i="4"/>
  <c r="H600" i="4"/>
  <c r="I599" i="4"/>
  <c r="H599" i="4"/>
  <c r="I598" i="4"/>
  <c r="H598" i="4"/>
  <c r="I597" i="4"/>
  <c r="H597" i="4"/>
  <c r="I596" i="4"/>
  <c r="H596" i="4"/>
  <c r="I595" i="4"/>
  <c r="H595" i="4"/>
  <c r="I594" i="4"/>
  <c r="H594" i="4"/>
  <c r="I593" i="4"/>
  <c r="H593" i="4"/>
  <c r="I592" i="4"/>
  <c r="H592" i="4"/>
  <c r="I591" i="4"/>
  <c r="H591" i="4"/>
  <c r="I590" i="4"/>
  <c r="H590" i="4"/>
  <c r="I589" i="4"/>
  <c r="H589" i="4"/>
  <c r="I588" i="4"/>
  <c r="H588" i="4"/>
  <c r="I587" i="4"/>
  <c r="H587" i="4"/>
  <c r="I586" i="4"/>
  <c r="H586" i="4"/>
  <c r="I585" i="4"/>
  <c r="H585" i="4"/>
  <c r="I584" i="4"/>
  <c r="H584" i="4"/>
  <c r="I583" i="4"/>
  <c r="H583" i="4"/>
  <c r="I582" i="4"/>
  <c r="H582" i="4"/>
  <c r="I581" i="4"/>
  <c r="H581" i="4"/>
  <c r="I580" i="4"/>
  <c r="H580" i="4"/>
  <c r="I579" i="4"/>
  <c r="H579" i="4"/>
  <c r="I578" i="4"/>
  <c r="H578" i="4"/>
  <c r="I577" i="4"/>
  <c r="H577" i="4"/>
  <c r="I576" i="4"/>
  <c r="H576" i="4"/>
  <c r="I575" i="4"/>
  <c r="H575" i="4"/>
  <c r="I574" i="4"/>
  <c r="H574" i="4"/>
  <c r="I573" i="4"/>
  <c r="H573" i="4"/>
  <c r="I572" i="4"/>
  <c r="H572" i="4"/>
  <c r="I571" i="4"/>
  <c r="H571" i="4"/>
  <c r="I570" i="4"/>
  <c r="H570" i="4"/>
  <c r="I569" i="4"/>
  <c r="H569" i="4"/>
  <c r="I568" i="4"/>
  <c r="H568" i="4"/>
  <c r="I567" i="4"/>
  <c r="H567" i="4"/>
  <c r="I566" i="4"/>
  <c r="H566" i="4"/>
  <c r="I565" i="4"/>
  <c r="H565" i="4"/>
  <c r="I564" i="4"/>
  <c r="H564" i="4"/>
  <c r="I563" i="4"/>
  <c r="H563" i="4"/>
  <c r="I562" i="4"/>
  <c r="H562" i="4"/>
  <c r="I561" i="4"/>
  <c r="H561" i="4"/>
  <c r="I560" i="4"/>
  <c r="H560" i="4"/>
  <c r="I559" i="4"/>
  <c r="H559" i="4"/>
  <c r="I558" i="4"/>
  <c r="H558" i="4"/>
  <c r="I557" i="4"/>
  <c r="H557" i="4"/>
  <c r="I556" i="4"/>
  <c r="H556" i="4"/>
  <c r="I555" i="4"/>
  <c r="H555" i="4"/>
  <c r="I554" i="4"/>
  <c r="H554" i="4"/>
  <c r="I553" i="4"/>
  <c r="H553" i="4"/>
  <c r="I552" i="4"/>
  <c r="H552" i="4"/>
  <c r="I551" i="4"/>
  <c r="H551" i="4"/>
  <c r="I550" i="4"/>
  <c r="H550" i="4"/>
  <c r="I549" i="4"/>
  <c r="H549" i="4"/>
  <c r="I548" i="4"/>
  <c r="H548" i="4"/>
  <c r="I547" i="4"/>
  <c r="H547" i="4"/>
  <c r="I546" i="4"/>
  <c r="H546" i="4"/>
  <c r="I545" i="4"/>
  <c r="H545" i="4"/>
  <c r="I544" i="4"/>
  <c r="H544" i="4"/>
  <c r="I543" i="4"/>
  <c r="H543" i="4"/>
  <c r="I542" i="4"/>
  <c r="H542" i="4"/>
  <c r="I541" i="4"/>
  <c r="H541" i="4"/>
  <c r="I540" i="4"/>
  <c r="H540" i="4"/>
  <c r="I539" i="4"/>
  <c r="H539" i="4"/>
  <c r="I538" i="4"/>
  <c r="H538" i="4"/>
  <c r="I537" i="4"/>
  <c r="H537" i="4"/>
  <c r="I536" i="4"/>
  <c r="H536" i="4"/>
  <c r="I535" i="4"/>
  <c r="H535" i="4"/>
  <c r="I534" i="4"/>
  <c r="H534" i="4"/>
  <c r="I533" i="4"/>
  <c r="H533" i="4"/>
  <c r="I532" i="4"/>
  <c r="H532" i="4"/>
  <c r="I531" i="4"/>
  <c r="H531" i="4"/>
  <c r="I530" i="4"/>
  <c r="H530" i="4"/>
  <c r="I529" i="4"/>
  <c r="H529" i="4"/>
  <c r="I528" i="4"/>
  <c r="H528" i="4"/>
  <c r="I527" i="4"/>
  <c r="H527" i="4"/>
  <c r="I526" i="4"/>
  <c r="H526" i="4"/>
  <c r="I525" i="4"/>
  <c r="H525" i="4"/>
  <c r="I524" i="4"/>
  <c r="H524" i="4"/>
  <c r="I523" i="4"/>
  <c r="H523" i="4"/>
  <c r="I522" i="4"/>
  <c r="H522" i="4"/>
  <c r="I521" i="4"/>
  <c r="H521" i="4"/>
  <c r="I520" i="4"/>
  <c r="H520" i="4"/>
  <c r="I519" i="4"/>
  <c r="H519" i="4"/>
  <c r="I518" i="4"/>
  <c r="H518" i="4"/>
  <c r="I517" i="4"/>
  <c r="H517" i="4"/>
  <c r="I516" i="4"/>
  <c r="H516" i="4"/>
  <c r="I515" i="4"/>
  <c r="H515" i="4"/>
  <c r="I514" i="4"/>
  <c r="H514" i="4"/>
  <c r="I513" i="4"/>
  <c r="H513" i="4"/>
  <c r="I512" i="4"/>
  <c r="H512" i="4"/>
  <c r="I511" i="4"/>
  <c r="H511" i="4"/>
  <c r="I510" i="4"/>
  <c r="H510" i="4"/>
  <c r="I509" i="4"/>
  <c r="H509" i="4"/>
  <c r="I508" i="4"/>
  <c r="H508" i="4"/>
  <c r="I507" i="4"/>
  <c r="H507" i="4"/>
  <c r="I506" i="4"/>
  <c r="H506" i="4"/>
  <c r="I505" i="4"/>
  <c r="H505" i="4"/>
  <c r="I504" i="4"/>
  <c r="H504" i="4"/>
  <c r="I503" i="4"/>
  <c r="H503" i="4"/>
  <c r="I502" i="4"/>
  <c r="H502" i="4"/>
  <c r="I501" i="4"/>
  <c r="H501" i="4"/>
  <c r="I500" i="4"/>
  <c r="H500" i="4"/>
  <c r="I499" i="4"/>
  <c r="H499" i="4"/>
  <c r="I498" i="4"/>
  <c r="H498" i="4"/>
  <c r="I497" i="4"/>
  <c r="H497" i="4"/>
  <c r="I496" i="4"/>
  <c r="H496" i="4"/>
  <c r="I495" i="4"/>
  <c r="H495" i="4"/>
  <c r="I494" i="4"/>
  <c r="H494" i="4"/>
  <c r="I493" i="4"/>
  <c r="H493" i="4"/>
  <c r="I492" i="4"/>
  <c r="H492" i="4"/>
  <c r="I491" i="4"/>
  <c r="H491" i="4"/>
  <c r="I490" i="4"/>
  <c r="H490" i="4"/>
  <c r="I489" i="4"/>
  <c r="H489" i="4"/>
  <c r="I488" i="4"/>
  <c r="H488" i="4"/>
  <c r="I487" i="4"/>
  <c r="H487" i="4"/>
  <c r="I486" i="4"/>
  <c r="H486" i="4"/>
  <c r="I485" i="4"/>
  <c r="H485" i="4"/>
  <c r="I484" i="4"/>
  <c r="H484" i="4"/>
  <c r="I483" i="4"/>
  <c r="H483" i="4"/>
  <c r="I482" i="4"/>
  <c r="H482" i="4"/>
  <c r="I481" i="4"/>
  <c r="H481" i="4"/>
  <c r="I480" i="4"/>
  <c r="H480" i="4"/>
  <c r="I479" i="4"/>
  <c r="H479" i="4"/>
  <c r="I478" i="4"/>
  <c r="H478" i="4"/>
  <c r="I477" i="4"/>
  <c r="H477" i="4"/>
  <c r="I476" i="4"/>
  <c r="H476" i="4"/>
  <c r="I475" i="4"/>
  <c r="H475" i="4"/>
  <c r="I474" i="4"/>
  <c r="H474" i="4"/>
  <c r="I473" i="4"/>
  <c r="H473" i="4"/>
  <c r="I472" i="4"/>
  <c r="H472" i="4"/>
  <c r="I471" i="4"/>
  <c r="H471" i="4"/>
  <c r="I470" i="4"/>
  <c r="H470" i="4"/>
  <c r="I469" i="4"/>
  <c r="H469" i="4"/>
  <c r="I468" i="4"/>
  <c r="H468" i="4"/>
  <c r="I467" i="4"/>
  <c r="H467" i="4"/>
  <c r="I466" i="4"/>
  <c r="H466" i="4"/>
  <c r="I465" i="4"/>
  <c r="H465" i="4"/>
  <c r="I464" i="4"/>
  <c r="H464" i="4"/>
  <c r="I463" i="4"/>
  <c r="H463" i="4"/>
  <c r="I462" i="4"/>
  <c r="H462" i="4"/>
  <c r="I461" i="4"/>
  <c r="H461" i="4"/>
  <c r="I460" i="4"/>
  <c r="H460" i="4"/>
  <c r="I459" i="4"/>
  <c r="H459" i="4"/>
  <c r="I458" i="4"/>
  <c r="H458" i="4"/>
  <c r="I457" i="4"/>
  <c r="H457" i="4"/>
  <c r="I456" i="4"/>
  <c r="H456" i="4"/>
  <c r="I455" i="4"/>
  <c r="H455" i="4"/>
  <c r="I454" i="4"/>
  <c r="H454" i="4"/>
  <c r="I453" i="4"/>
  <c r="H453" i="4"/>
  <c r="I452" i="4"/>
  <c r="H452" i="4"/>
  <c r="I451" i="4"/>
  <c r="H451" i="4"/>
  <c r="I450" i="4"/>
  <c r="H450" i="4"/>
  <c r="I449" i="4"/>
  <c r="H449" i="4"/>
  <c r="I448" i="4"/>
  <c r="H448" i="4"/>
  <c r="I447" i="4"/>
  <c r="H447" i="4"/>
  <c r="I446" i="4"/>
  <c r="H446" i="4"/>
  <c r="I445" i="4"/>
  <c r="H445" i="4"/>
  <c r="I444" i="4"/>
  <c r="H444" i="4"/>
  <c r="I443" i="4"/>
  <c r="H443" i="4"/>
  <c r="I442" i="4"/>
  <c r="H442" i="4"/>
  <c r="I441" i="4"/>
  <c r="H441" i="4"/>
  <c r="I440" i="4"/>
  <c r="H440" i="4"/>
  <c r="I439" i="4"/>
  <c r="H439" i="4"/>
  <c r="I438" i="4"/>
  <c r="H438" i="4"/>
  <c r="I437" i="4"/>
  <c r="H437" i="4"/>
  <c r="I436" i="4"/>
  <c r="H436" i="4"/>
  <c r="I435" i="4"/>
  <c r="H435" i="4"/>
  <c r="I434" i="4"/>
  <c r="H434" i="4"/>
  <c r="I433" i="4"/>
  <c r="H433" i="4"/>
  <c r="I432" i="4"/>
  <c r="H432" i="4"/>
  <c r="I431" i="4"/>
  <c r="H431" i="4"/>
  <c r="I430" i="4"/>
  <c r="H430" i="4"/>
  <c r="I429" i="4"/>
  <c r="H429" i="4"/>
  <c r="I428" i="4"/>
  <c r="H428" i="4"/>
  <c r="I427" i="4"/>
  <c r="H427" i="4"/>
  <c r="I426" i="4"/>
  <c r="H426" i="4"/>
  <c r="I425" i="4"/>
  <c r="H425" i="4"/>
  <c r="I424" i="4"/>
  <c r="H424" i="4"/>
  <c r="I423" i="4"/>
  <c r="H423" i="4"/>
  <c r="I422" i="4"/>
  <c r="H422" i="4"/>
  <c r="I421" i="4"/>
  <c r="H421" i="4"/>
  <c r="I420" i="4"/>
  <c r="H420" i="4"/>
  <c r="I419" i="4"/>
  <c r="H419" i="4"/>
  <c r="I418" i="4"/>
  <c r="H418" i="4"/>
  <c r="I417" i="4"/>
  <c r="H417" i="4"/>
  <c r="I416" i="4"/>
  <c r="H416" i="4"/>
  <c r="I415" i="4"/>
  <c r="H415" i="4"/>
  <c r="I414" i="4"/>
  <c r="H414" i="4"/>
  <c r="I413" i="4"/>
  <c r="H413" i="4"/>
  <c r="I412" i="4"/>
  <c r="H412" i="4"/>
  <c r="I411" i="4"/>
  <c r="H411" i="4"/>
  <c r="I410" i="4"/>
  <c r="H410" i="4"/>
  <c r="I409" i="4"/>
  <c r="H409" i="4"/>
  <c r="I408" i="4"/>
  <c r="H408" i="4"/>
  <c r="I407" i="4"/>
  <c r="H407" i="4"/>
  <c r="I406" i="4"/>
  <c r="H406" i="4"/>
  <c r="I405" i="4"/>
  <c r="H405" i="4"/>
  <c r="I404" i="4"/>
  <c r="H404" i="4"/>
  <c r="I403" i="4"/>
  <c r="H403" i="4"/>
  <c r="I402" i="4"/>
  <c r="H402" i="4"/>
  <c r="I401" i="4"/>
  <c r="H401" i="4"/>
  <c r="I400" i="4"/>
  <c r="H400" i="4"/>
  <c r="I399" i="4"/>
  <c r="H399" i="4"/>
  <c r="I398" i="4"/>
  <c r="H398" i="4"/>
  <c r="I397" i="4"/>
  <c r="H397" i="4"/>
  <c r="I396" i="4"/>
  <c r="H396" i="4"/>
  <c r="I395" i="4"/>
  <c r="H395" i="4"/>
  <c r="I394" i="4"/>
  <c r="H394" i="4"/>
  <c r="I393" i="4"/>
  <c r="H393" i="4"/>
  <c r="I392" i="4"/>
  <c r="H392" i="4"/>
  <c r="I391" i="4"/>
  <c r="H391" i="4"/>
  <c r="I390" i="4"/>
  <c r="H390" i="4"/>
  <c r="I389" i="4"/>
  <c r="H389" i="4"/>
  <c r="I388" i="4"/>
  <c r="H388" i="4"/>
  <c r="I387" i="4"/>
  <c r="H387" i="4"/>
  <c r="I386" i="4"/>
  <c r="H386" i="4"/>
  <c r="I385" i="4"/>
  <c r="H385" i="4"/>
  <c r="I384" i="4"/>
  <c r="H384" i="4"/>
  <c r="I383" i="4"/>
  <c r="H383" i="4"/>
  <c r="I382" i="4"/>
  <c r="H382" i="4"/>
  <c r="I381" i="4"/>
  <c r="H381" i="4"/>
  <c r="I380" i="4"/>
  <c r="H380" i="4"/>
  <c r="I379" i="4"/>
  <c r="H379" i="4"/>
  <c r="I378" i="4"/>
  <c r="H378" i="4"/>
  <c r="I377" i="4"/>
  <c r="H377" i="4"/>
  <c r="I376" i="4"/>
  <c r="H376" i="4"/>
  <c r="I375" i="4"/>
  <c r="H375" i="4"/>
  <c r="I374" i="4"/>
  <c r="H374" i="4"/>
  <c r="I373" i="4"/>
  <c r="H373" i="4"/>
  <c r="I372" i="4"/>
  <c r="H372" i="4"/>
  <c r="I371" i="4"/>
  <c r="H371" i="4"/>
  <c r="I370" i="4"/>
  <c r="H370" i="4"/>
  <c r="I369" i="4"/>
  <c r="H369" i="4"/>
  <c r="I368" i="4"/>
  <c r="H368" i="4"/>
  <c r="I367" i="4"/>
  <c r="H367" i="4"/>
  <c r="I366" i="4"/>
  <c r="H366" i="4"/>
  <c r="I365" i="4"/>
  <c r="H365" i="4"/>
  <c r="I364" i="4"/>
  <c r="H364" i="4"/>
  <c r="I363" i="4"/>
  <c r="H363" i="4"/>
  <c r="I362" i="4"/>
  <c r="H362" i="4"/>
  <c r="I361" i="4"/>
  <c r="H361" i="4"/>
  <c r="I360" i="4"/>
  <c r="H360" i="4"/>
  <c r="I359" i="4"/>
  <c r="H359" i="4"/>
  <c r="I358" i="4"/>
  <c r="H358" i="4"/>
  <c r="I357" i="4"/>
  <c r="H357" i="4"/>
  <c r="I356" i="4"/>
  <c r="H356" i="4"/>
  <c r="I355" i="4"/>
  <c r="H355" i="4"/>
  <c r="I354" i="4"/>
  <c r="H354" i="4"/>
  <c r="I353" i="4"/>
  <c r="H353" i="4"/>
  <c r="I352" i="4"/>
  <c r="H352" i="4"/>
  <c r="I351" i="4"/>
  <c r="H351" i="4"/>
  <c r="I350" i="4"/>
  <c r="H350" i="4"/>
  <c r="I349" i="4"/>
  <c r="H349" i="4"/>
  <c r="I348" i="4"/>
  <c r="H348" i="4"/>
  <c r="I347" i="4"/>
  <c r="H347" i="4"/>
  <c r="I346" i="4"/>
  <c r="H346" i="4"/>
  <c r="I345" i="4"/>
  <c r="H345" i="4"/>
  <c r="I344" i="4"/>
  <c r="H344" i="4"/>
  <c r="I343" i="4"/>
  <c r="H343" i="4"/>
  <c r="I342" i="4"/>
  <c r="H342" i="4"/>
  <c r="I341" i="4"/>
  <c r="H341" i="4"/>
  <c r="I340" i="4"/>
  <c r="H340" i="4"/>
  <c r="I339" i="4"/>
  <c r="H339" i="4"/>
  <c r="I338" i="4"/>
  <c r="H338" i="4"/>
  <c r="I337" i="4"/>
  <c r="H337" i="4"/>
  <c r="I336" i="4"/>
  <c r="H336" i="4"/>
  <c r="I335" i="4"/>
  <c r="H335" i="4"/>
  <c r="I334" i="4"/>
  <c r="H334" i="4"/>
  <c r="I333" i="4"/>
  <c r="H333" i="4"/>
  <c r="I332" i="4"/>
  <c r="H332" i="4"/>
  <c r="I331" i="4"/>
  <c r="H331" i="4"/>
  <c r="I330" i="4"/>
  <c r="H330" i="4"/>
  <c r="I329" i="4"/>
  <c r="H329" i="4"/>
  <c r="I328" i="4"/>
  <c r="H328" i="4"/>
  <c r="I327" i="4"/>
  <c r="H327" i="4"/>
  <c r="I326" i="4"/>
  <c r="H326" i="4"/>
  <c r="I325" i="4"/>
  <c r="H325" i="4"/>
  <c r="I324" i="4"/>
  <c r="H324" i="4"/>
  <c r="I323" i="4"/>
  <c r="H323" i="4"/>
  <c r="I322" i="4"/>
  <c r="H322" i="4"/>
  <c r="I321" i="4"/>
  <c r="H321" i="4"/>
  <c r="I320" i="4"/>
  <c r="H320" i="4"/>
  <c r="I319" i="4"/>
  <c r="H319" i="4"/>
  <c r="I318" i="4"/>
  <c r="H318" i="4"/>
  <c r="I317" i="4"/>
  <c r="H317" i="4"/>
  <c r="I316" i="4"/>
  <c r="H316" i="4"/>
  <c r="I315" i="4"/>
  <c r="H315" i="4"/>
  <c r="I314" i="4"/>
  <c r="H314" i="4"/>
  <c r="I313" i="4"/>
  <c r="H313" i="4"/>
  <c r="I312" i="4"/>
  <c r="H312" i="4"/>
  <c r="I311" i="4"/>
  <c r="H311" i="4"/>
  <c r="I310" i="4"/>
  <c r="H310" i="4"/>
  <c r="I309" i="4"/>
  <c r="H309" i="4"/>
  <c r="I308" i="4"/>
  <c r="H308" i="4"/>
  <c r="I307" i="4"/>
  <c r="H307" i="4"/>
  <c r="I306" i="4"/>
  <c r="H306" i="4"/>
  <c r="I305" i="4"/>
  <c r="H305" i="4"/>
  <c r="I304" i="4"/>
  <c r="H304" i="4"/>
  <c r="I303" i="4"/>
  <c r="H303" i="4"/>
  <c r="I302" i="4"/>
  <c r="H302" i="4"/>
  <c r="I301" i="4"/>
  <c r="H301" i="4"/>
  <c r="I300" i="4"/>
  <c r="H300" i="4"/>
  <c r="I299" i="4"/>
  <c r="H299" i="4"/>
  <c r="I298" i="4"/>
  <c r="H298" i="4"/>
  <c r="I297" i="4"/>
  <c r="H297" i="4"/>
  <c r="I296" i="4"/>
  <c r="H296" i="4"/>
  <c r="I295" i="4"/>
  <c r="H295" i="4"/>
  <c r="I294" i="4"/>
  <c r="H294" i="4"/>
  <c r="I293" i="4"/>
  <c r="H293" i="4"/>
  <c r="I292" i="4"/>
  <c r="H292" i="4"/>
  <c r="I291" i="4"/>
  <c r="H291" i="4"/>
  <c r="I290" i="4"/>
  <c r="H290" i="4"/>
  <c r="I289" i="4"/>
  <c r="H289" i="4"/>
  <c r="I288" i="4"/>
  <c r="H288" i="4"/>
  <c r="I287" i="4"/>
  <c r="H287" i="4"/>
  <c r="I286" i="4"/>
  <c r="H286" i="4"/>
  <c r="I285" i="4"/>
  <c r="H285" i="4"/>
  <c r="I284" i="4"/>
  <c r="H284" i="4"/>
  <c r="I283" i="4"/>
  <c r="H283" i="4"/>
  <c r="I282" i="4"/>
  <c r="H282" i="4"/>
  <c r="I281" i="4"/>
  <c r="H281" i="4"/>
  <c r="I280" i="4"/>
  <c r="H280" i="4"/>
  <c r="I279" i="4"/>
  <c r="H279" i="4"/>
  <c r="I278" i="4"/>
  <c r="H278" i="4"/>
  <c r="I277" i="4"/>
  <c r="H277" i="4"/>
  <c r="I276" i="4"/>
  <c r="H276" i="4"/>
  <c r="I275" i="4"/>
  <c r="H275" i="4"/>
  <c r="I274" i="4"/>
  <c r="H274" i="4"/>
  <c r="I273" i="4"/>
  <c r="H273" i="4"/>
  <c r="I272" i="4"/>
  <c r="H272" i="4"/>
  <c r="I271" i="4"/>
  <c r="H271" i="4"/>
  <c r="I270" i="4"/>
  <c r="H270" i="4"/>
  <c r="I269" i="4"/>
  <c r="H269" i="4"/>
  <c r="I268" i="4"/>
  <c r="H268" i="4"/>
  <c r="I267" i="4"/>
  <c r="H267" i="4"/>
  <c r="I266" i="4"/>
  <c r="H266" i="4"/>
  <c r="I265" i="4"/>
  <c r="H265" i="4"/>
  <c r="I264" i="4"/>
  <c r="H264" i="4"/>
  <c r="I263" i="4"/>
  <c r="H263" i="4"/>
  <c r="I262" i="4"/>
  <c r="H262" i="4"/>
  <c r="I261" i="4"/>
  <c r="H261" i="4"/>
  <c r="I260" i="4"/>
  <c r="H260" i="4"/>
  <c r="I259" i="4"/>
  <c r="H259" i="4"/>
  <c r="I258" i="4"/>
  <c r="H258" i="4"/>
  <c r="I257" i="4"/>
  <c r="H257" i="4"/>
  <c r="I256" i="4"/>
  <c r="H256" i="4"/>
  <c r="I255" i="4"/>
  <c r="H255" i="4"/>
  <c r="I254" i="4"/>
  <c r="H254" i="4"/>
  <c r="I253" i="4"/>
  <c r="H253" i="4"/>
  <c r="I252" i="4"/>
  <c r="H252" i="4"/>
  <c r="I251" i="4"/>
  <c r="H251" i="4"/>
  <c r="I250" i="4"/>
  <c r="H250" i="4"/>
  <c r="I249" i="4"/>
  <c r="H249" i="4"/>
  <c r="I248" i="4"/>
  <c r="H248" i="4"/>
  <c r="I247" i="4"/>
  <c r="H247" i="4"/>
  <c r="I246" i="4"/>
  <c r="H246" i="4"/>
  <c r="I245" i="4"/>
  <c r="H245" i="4"/>
  <c r="I244" i="4"/>
  <c r="H244" i="4"/>
  <c r="I243" i="4"/>
  <c r="H243" i="4"/>
  <c r="I242" i="4"/>
  <c r="H242" i="4"/>
  <c r="I241" i="4"/>
  <c r="H241" i="4"/>
  <c r="I240" i="4"/>
  <c r="H240" i="4"/>
  <c r="I239" i="4"/>
  <c r="H239" i="4"/>
  <c r="I238" i="4"/>
  <c r="H238" i="4"/>
  <c r="I237" i="4"/>
  <c r="H237" i="4"/>
  <c r="I236" i="4"/>
  <c r="H236" i="4"/>
  <c r="I235" i="4"/>
  <c r="H235" i="4"/>
  <c r="I234" i="4"/>
  <c r="H234" i="4"/>
  <c r="I233" i="4"/>
  <c r="H233" i="4"/>
  <c r="I232" i="4"/>
  <c r="H232" i="4"/>
  <c r="I231" i="4"/>
  <c r="H231" i="4"/>
  <c r="I230" i="4"/>
  <c r="H230" i="4"/>
  <c r="I229" i="4"/>
  <c r="H229" i="4"/>
  <c r="I228" i="4"/>
  <c r="H228" i="4"/>
  <c r="I227" i="4"/>
  <c r="H227" i="4"/>
  <c r="I226" i="4"/>
  <c r="H226" i="4"/>
  <c r="I225" i="4"/>
  <c r="H225" i="4"/>
  <c r="I224" i="4"/>
  <c r="H224" i="4"/>
  <c r="I223" i="4"/>
  <c r="H223" i="4"/>
  <c r="I222" i="4"/>
  <c r="H222" i="4"/>
  <c r="I221" i="4"/>
  <c r="H221" i="4"/>
  <c r="I220" i="4"/>
  <c r="H220" i="4"/>
  <c r="I219" i="4"/>
  <c r="H219" i="4"/>
  <c r="I218" i="4"/>
  <c r="H218" i="4"/>
  <c r="I217" i="4"/>
  <c r="H217" i="4"/>
  <c r="I216" i="4"/>
  <c r="H216" i="4"/>
  <c r="I215" i="4"/>
  <c r="H215" i="4"/>
  <c r="I214" i="4"/>
  <c r="H214" i="4"/>
  <c r="I213" i="4"/>
  <c r="H213" i="4"/>
  <c r="I212" i="4"/>
  <c r="H212" i="4"/>
  <c r="I211" i="4"/>
  <c r="H211" i="4"/>
  <c r="I210" i="4"/>
  <c r="H210" i="4"/>
  <c r="I209" i="4"/>
  <c r="H209" i="4"/>
  <c r="I208" i="4"/>
  <c r="H208" i="4"/>
  <c r="I207" i="4"/>
  <c r="H207" i="4"/>
  <c r="I206" i="4"/>
  <c r="H206" i="4"/>
  <c r="I205" i="4"/>
  <c r="H205" i="4"/>
  <c r="I204" i="4"/>
  <c r="H204" i="4"/>
  <c r="I203" i="4"/>
  <c r="H203" i="4"/>
  <c r="I202" i="4"/>
  <c r="H202" i="4"/>
  <c r="I201" i="4"/>
  <c r="H201" i="4"/>
  <c r="I200" i="4"/>
  <c r="H200" i="4"/>
  <c r="I199" i="4"/>
  <c r="H199" i="4"/>
  <c r="I198" i="4"/>
  <c r="H198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I183" i="4"/>
  <c r="H183" i="4"/>
  <c r="I182" i="4"/>
  <c r="H182" i="4"/>
  <c r="I181" i="4"/>
  <c r="H181" i="4"/>
  <c r="I180" i="4"/>
  <c r="H180" i="4"/>
  <c r="I179" i="4"/>
  <c r="H179" i="4"/>
  <c r="I178" i="4"/>
  <c r="H178" i="4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C31" i="3"/>
  <c r="K32" i="12" s="1"/>
  <c r="B31" i="3"/>
  <c r="C30" i="3"/>
  <c r="K31" i="12" s="1"/>
  <c r="B30" i="3"/>
  <c r="C29" i="3"/>
  <c r="K30" i="12" s="1"/>
  <c r="B29" i="3"/>
  <c r="C28" i="3"/>
  <c r="K29" i="12" s="1"/>
  <c r="B28" i="3"/>
  <c r="C27" i="3"/>
  <c r="K28" i="12" s="1"/>
  <c r="B27" i="3"/>
  <c r="C26" i="3"/>
  <c r="K27" i="12" s="1"/>
  <c r="B26" i="3"/>
  <c r="C25" i="3"/>
  <c r="K26" i="12" s="1"/>
  <c r="B25" i="3"/>
  <c r="C24" i="3"/>
  <c r="K25" i="12" s="1"/>
  <c r="B24" i="3"/>
  <c r="C23" i="3"/>
  <c r="K24" i="12" s="1"/>
  <c r="B23" i="3"/>
  <c r="C22" i="3"/>
  <c r="K23" i="12" s="1"/>
  <c r="B22" i="3"/>
  <c r="C21" i="3"/>
  <c r="K22" i="12" s="1"/>
  <c r="B21" i="3"/>
  <c r="C20" i="3"/>
  <c r="K21" i="12" s="1"/>
  <c r="B20" i="3"/>
  <c r="C19" i="3"/>
  <c r="K20" i="12" s="1"/>
  <c r="B19" i="3"/>
  <c r="C18" i="3"/>
  <c r="K19" i="12" s="1"/>
  <c r="B18" i="3"/>
  <c r="C17" i="3"/>
  <c r="K18" i="12" s="1"/>
  <c r="B17" i="3"/>
  <c r="C16" i="3"/>
  <c r="K17" i="12" s="1"/>
  <c r="B16" i="3"/>
  <c r="C15" i="3"/>
  <c r="K16" i="12" s="1"/>
  <c r="B15" i="3"/>
  <c r="C14" i="3"/>
  <c r="K15" i="12" s="1"/>
  <c r="B14" i="3"/>
  <c r="I13" i="3"/>
  <c r="K13" i="3" s="1"/>
  <c r="C13" i="3"/>
  <c r="K14" i="12" s="1"/>
  <c r="B13" i="3"/>
  <c r="C12" i="3"/>
  <c r="K13" i="12" s="1"/>
  <c r="B12" i="3"/>
  <c r="C11" i="3"/>
  <c r="K12" i="12" s="1"/>
  <c r="B11" i="3"/>
  <c r="C10" i="3"/>
  <c r="K11" i="12" s="1"/>
  <c r="B10" i="3"/>
  <c r="C9" i="3"/>
  <c r="K10" i="12" s="1"/>
  <c r="B9" i="3"/>
  <c r="C8" i="3"/>
  <c r="K9" i="12" s="1"/>
  <c r="B8" i="3"/>
  <c r="C7" i="3"/>
  <c r="K8" i="12" s="1"/>
  <c r="B7" i="3"/>
  <c r="C6" i="3"/>
  <c r="K7" i="12" s="1"/>
  <c r="B6" i="3"/>
  <c r="C5" i="3"/>
  <c r="K6" i="12" s="1"/>
  <c r="B5" i="3"/>
  <c r="C4" i="3"/>
  <c r="K5" i="12" s="1"/>
  <c r="B4" i="3"/>
  <c r="C3" i="3"/>
  <c r="K4" i="12" s="1"/>
  <c r="B3" i="3"/>
  <c r="C2" i="3"/>
  <c r="B2" i="3"/>
  <c r="B11" i="2"/>
  <c r="H161" i="1"/>
  <c r="G161" i="1"/>
  <c r="F161" i="1"/>
  <c r="E161" i="1"/>
  <c r="D161" i="1"/>
  <c r="H160" i="1"/>
  <c r="G160" i="1"/>
  <c r="F160" i="1"/>
  <c r="E160" i="1"/>
  <c r="D160" i="1"/>
  <c r="H159" i="1"/>
  <c r="G159" i="1"/>
  <c r="F159" i="1"/>
  <c r="E159" i="1"/>
  <c r="D159" i="1"/>
  <c r="H158" i="1"/>
  <c r="H162" i="1" s="1"/>
  <c r="G158" i="1"/>
  <c r="G162" i="1" s="1"/>
  <c r="F158" i="1"/>
  <c r="E158" i="1"/>
  <c r="D158" i="1"/>
  <c r="D162" i="1" s="1"/>
  <c r="E121" i="1"/>
  <c r="D121" i="1"/>
  <c r="E120" i="1"/>
  <c r="D120" i="1"/>
  <c r="E119" i="1"/>
  <c r="D119" i="1"/>
  <c r="E118" i="1"/>
  <c r="D118" i="1"/>
  <c r="J101" i="1"/>
  <c r="J100" i="1"/>
  <c r="J99" i="1"/>
  <c r="J98" i="1"/>
  <c r="E37" i="1"/>
  <c r="K9" i="1"/>
  <c r="F4106" i="6" l="1"/>
  <c r="G4106" i="6"/>
  <c r="H4106" i="6" s="1"/>
  <c r="G4102" i="6"/>
  <c r="H4102" i="6" s="1"/>
  <c r="F4102" i="6"/>
  <c r="G4105" i="6"/>
  <c r="H4105" i="6" s="1"/>
  <c r="F4105" i="6"/>
  <c r="G4104" i="6"/>
  <c r="H4104" i="6" s="1"/>
  <c r="F4104" i="6"/>
  <c r="G4103" i="6"/>
  <c r="H4103" i="6" s="1"/>
  <c r="F4103" i="6"/>
  <c r="G4101" i="6"/>
  <c r="H4101" i="6" s="1"/>
  <c r="G4094" i="6"/>
  <c r="H4094" i="6" s="1"/>
  <c r="F4094" i="6"/>
  <c r="G4085" i="6"/>
  <c r="H4085" i="6" s="1"/>
  <c r="F4085" i="6"/>
  <c r="G4083" i="6"/>
  <c r="H4083" i="6" s="1"/>
  <c r="F4083" i="6"/>
  <c r="F4095" i="6"/>
  <c r="G4095" i="6"/>
  <c r="H4095" i="6" s="1"/>
  <c r="F4092" i="6"/>
  <c r="G4093" i="6"/>
  <c r="H4093" i="6" s="1"/>
  <c r="F4080" i="6"/>
  <c r="F4093" i="6"/>
  <c r="G4092" i="6"/>
  <c r="H4092" i="6" s="1"/>
  <c r="G4096" i="6"/>
  <c r="H4096" i="6" s="1"/>
  <c r="F4096" i="6"/>
  <c r="G4088" i="6"/>
  <c r="H4088" i="6" s="1"/>
  <c r="F4088" i="6"/>
  <c r="G4082" i="6"/>
  <c r="H4082" i="6" s="1"/>
  <c r="F4082" i="6"/>
  <c r="G4080" i="6"/>
  <c r="H4080" i="6" s="1"/>
  <c r="F4091" i="6"/>
  <c r="G4090" i="6"/>
  <c r="H4090" i="6" s="1"/>
  <c r="F4090" i="6"/>
  <c r="G4089" i="6"/>
  <c r="H4089" i="6" s="1"/>
  <c r="F4101" i="6"/>
  <c r="G4100" i="6"/>
  <c r="H4100" i="6" s="1"/>
  <c r="F4100" i="6"/>
  <c r="G4087" i="6"/>
  <c r="H4087" i="6" s="1"/>
  <c r="F4087" i="6"/>
  <c r="G4086" i="6"/>
  <c r="H4086" i="6" s="1"/>
  <c r="F4086" i="6"/>
  <c r="G4099" i="6"/>
  <c r="H4099" i="6" s="1"/>
  <c r="F4099" i="6"/>
  <c r="G4084" i="6"/>
  <c r="H4084" i="6" s="1"/>
  <c r="F4084" i="6"/>
  <c r="G4098" i="6"/>
  <c r="H4098" i="6" s="1"/>
  <c r="G4097" i="6"/>
  <c r="H4097" i="6" s="1"/>
  <c r="F4097" i="6"/>
  <c r="F4098" i="6"/>
  <c r="G4081" i="6"/>
  <c r="H4081" i="6" s="1"/>
  <c r="F4081" i="6"/>
  <c r="G4091" i="6"/>
  <c r="H4091" i="6" s="1"/>
  <c r="F4089" i="6"/>
  <c r="G4079" i="6"/>
  <c r="H4079" i="6" s="1"/>
  <c r="F4079" i="6"/>
  <c r="G4078" i="6"/>
  <c r="H4078" i="6" s="1"/>
  <c r="F4048" i="6"/>
  <c r="F4003" i="6"/>
  <c r="G4061" i="6"/>
  <c r="H4061" i="6" s="1"/>
  <c r="F4061" i="6"/>
  <c r="G4006" i="6"/>
  <c r="H4006" i="6" s="1"/>
  <c r="G3961" i="6"/>
  <c r="H3961" i="6" s="1"/>
  <c r="F4013" i="6"/>
  <c r="G4003" i="6"/>
  <c r="H4003" i="6" s="1"/>
  <c r="F3971" i="6"/>
  <c r="G3971" i="6"/>
  <c r="H3971" i="6" s="1"/>
  <c r="G4049" i="6"/>
  <c r="H4049" i="6" s="1"/>
  <c r="F4049" i="6"/>
  <c r="G4048" i="6"/>
  <c r="H4048" i="6" s="1"/>
  <c r="F3961" i="6"/>
  <c r="G4001" i="6"/>
  <c r="H4001" i="6" s="1"/>
  <c r="F4006" i="6"/>
  <c r="F4054" i="6"/>
  <c r="F3972" i="6"/>
  <c r="F3974" i="6"/>
  <c r="G3974" i="6"/>
  <c r="H3974" i="6" s="1"/>
  <c r="F4019" i="6"/>
  <c r="F3983" i="6"/>
  <c r="G3983" i="6"/>
  <c r="H3983" i="6" s="1"/>
  <c r="G4066" i="6"/>
  <c r="H4066" i="6" s="1"/>
  <c r="F4066" i="6"/>
  <c r="G3972" i="6"/>
  <c r="H3972" i="6" s="1"/>
  <c r="F3996" i="6"/>
  <c r="G4013" i="6"/>
  <c r="H4013" i="6" s="1"/>
  <c r="G4019" i="6"/>
  <c r="H4019" i="6" s="1"/>
  <c r="G3996" i="6"/>
  <c r="H3996" i="6" s="1"/>
  <c r="G4054" i="6"/>
  <c r="H4054" i="6" s="1"/>
  <c r="F4001" i="6"/>
  <c r="F4005" i="6"/>
  <c r="F4004" i="6"/>
  <c r="G3988" i="6"/>
  <c r="H3988" i="6" s="1"/>
  <c r="F3988" i="6"/>
  <c r="G4051" i="6"/>
  <c r="H4051" i="6" s="1"/>
  <c r="F4051" i="6"/>
  <c r="G4070" i="6"/>
  <c r="H4070" i="6" s="1"/>
  <c r="F4070" i="6"/>
  <c r="G4020" i="6"/>
  <c r="H4020" i="6" s="1"/>
  <c r="F4020" i="6"/>
  <c r="G4016" i="6"/>
  <c r="H4016" i="6" s="1"/>
  <c r="G4060" i="6"/>
  <c r="H4060" i="6" s="1"/>
  <c r="F4060" i="6"/>
  <c r="F4015" i="6"/>
  <c r="G4041" i="6"/>
  <c r="H4041" i="6" s="1"/>
  <c r="F4041" i="6"/>
  <c r="G4055" i="6"/>
  <c r="H4055" i="6" s="1"/>
  <c r="F4055" i="6"/>
  <c r="F4016" i="6"/>
  <c r="G4015" i="6"/>
  <c r="H4015" i="6" s="1"/>
  <c r="G4004" i="6"/>
  <c r="H4004" i="6" s="1"/>
  <c r="G4009" i="6"/>
  <c r="H4009" i="6" s="1"/>
  <c r="F4009" i="6"/>
  <c r="G4005" i="6"/>
  <c r="H4005" i="6" s="1"/>
  <c r="F4039" i="6"/>
  <c r="G4052" i="6"/>
  <c r="H4052" i="6" s="1"/>
  <c r="G4076" i="6"/>
  <c r="H4076" i="6" s="1"/>
  <c r="F4076" i="6"/>
  <c r="F4008" i="6"/>
  <c r="G4022" i="6"/>
  <c r="H4022" i="6" s="1"/>
  <c r="F4043" i="6"/>
  <c r="G4012" i="6"/>
  <c r="H4012" i="6" s="1"/>
  <c r="F4012" i="6"/>
  <c r="F4034" i="6"/>
  <c r="G4039" i="6"/>
  <c r="H4039" i="6" s="1"/>
  <c r="G4043" i="6"/>
  <c r="H4043" i="6" s="1"/>
  <c r="F4062" i="6"/>
  <c r="G4002" i="6"/>
  <c r="H4002" i="6" s="1"/>
  <c r="F4002" i="6"/>
  <c r="G4062" i="6"/>
  <c r="H4062" i="6" s="1"/>
  <c r="G4034" i="6"/>
  <c r="H4034" i="6" s="1"/>
  <c r="F4065" i="6"/>
  <c r="G3991" i="6"/>
  <c r="H3991" i="6" s="1"/>
  <c r="F3991" i="6"/>
  <c r="F4022" i="6"/>
  <c r="G4065" i="6"/>
  <c r="H4065" i="6" s="1"/>
  <c r="G3986" i="6"/>
  <c r="H3986" i="6" s="1"/>
  <c r="F3986" i="6"/>
  <c r="G3985" i="6"/>
  <c r="H3985" i="6" s="1"/>
  <c r="F3985" i="6"/>
  <c r="F4067" i="6"/>
  <c r="G4067" i="6"/>
  <c r="H4067" i="6" s="1"/>
  <c r="G3977" i="6"/>
  <c r="H3977" i="6" s="1"/>
  <c r="F3977" i="6"/>
  <c r="F4025" i="6"/>
  <c r="G4025" i="6"/>
  <c r="H4025" i="6" s="1"/>
  <c r="G3973" i="6"/>
  <c r="H3973" i="6" s="1"/>
  <c r="F3973" i="6"/>
  <c r="G4018" i="6"/>
  <c r="H4018" i="6" s="1"/>
  <c r="F4018" i="6"/>
  <c r="F4050" i="6"/>
  <c r="G4050" i="6"/>
  <c r="H4050" i="6" s="1"/>
  <c r="G3969" i="6"/>
  <c r="H3969" i="6" s="1"/>
  <c r="F3969" i="6"/>
  <c r="G3968" i="6"/>
  <c r="H3968" i="6" s="1"/>
  <c r="F3968" i="6"/>
  <c r="G3966" i="6"/>
  <c r="H3966" i="6" s="1"/>
  <c r="F3966" i="6"/>
  <c r="G3965" i="6"/>
  <c r="H3965" i="6" s="1"/>
  <c r="F3965" i="6"/>
  <c r="F4052" i="6"/>
  <c r="G4008" i="6"/>
  <c r="H4008" i="6" s="1"/>
  <c r="F4031" i="6"/>
  <c r="G4030" i="6"/>
  <c r="H4030" i="6" s="1"/>
  <c r="F4030" i="6"/>
  <c r="G4029" i="6"/>
  <c r="H4029" i="6" s="1"/>
  <c r="F4029" i="6"/>
  <c r="G4028" i="6"/>
  <c r="H4028" i="6" s="1"/>
  <c r="F4028" i="6"/>
  <c r="G4027" i="6"/>
  <c r="H4027" i="6" s="1"/>
  <c r="F4027" i="6"/>
  <c r="G4026" i="6"/>
  <c r="H4026" i="6" s="1"/>
  <c r="F4026" i="6"/>
  <c r="G4024" i="6"/>
  <c r="H4024" i="6" s="1"/>
  <c r="F4024" i="6"/>
  <c r="G4023" i="6"/>
  <c r="H4023" i="6" s="1"/>
  <c r="F4023" i="6"/>
  <c r="G4021" i="6"/>
  <c r="H4021" i="6" s="1"/>
  <c r="F4021" i="6"/>
  <c r="G4017" i="6"/>
  <c r="H4017" i="6" s="1"/>
  <c r="F4017" i="6"/>
  <c r="F4078" i="6"/>
  <c r="G4077" i="6"/>
  <c r="H4077" i="6" s="1"/>
  <c r="F4077" i="6"/>
  <c r="G4075" i="6"/>
  <c r="H4075" i="6" s="1"/>
  <c r="G4014" i="6"/>
  <c r="H4014" i="6" s="1"/>
  <c r="F4014" i="6"/>
  <c r="F4075" i="6"/>
  <c r="G4074" i="6"/>
  <c r="H4074" i="6" s="1"/>
  <c r="F4074" i="6"/>
  <c r="G4073" i="6"/>
  <c r="H4073" i="6" s="1"/>
  <c r="G4011" i="6"/>
  <c r="H4011" i="6" s="1"/>
  <c r="F4011" i="6"/>
  <c r="G4010" i="6"/>
  <c r="H4010" i="6" s="1"/>
  <c r="F4010" i="6"/>
  <c r="F4073" i="6"/>
  <c r="G4072" i="6"/>
  <c r="H4072" i="6" s="1"/>
  <c r="F4072" i="6"/>
  <c r="G4071" i="6"/>
  <c r="H4071" i="6" s="1"/>
  <c r="G4007" i="6"/>
  <c r="H4007" i="6" s="1"/>
  <c r="F4007" i="6"/>
  <c r="F4071" i="6"/>
  <c r="G4069" i="6"/>
  <c r="H4069" i="6" s="1"/>
  <c r="F4069" i="6"/>
  <c r="G4068" i="6"/>
  <c r="H4068" i="6" s="1"/>
  <c r="F4068" i="6"/>
  <c r="G4064" i="6"/>
  <c r="H4064" i="6" s="1"/>
  <c r="F4064" i="6"/>
  <c r="G4063" i="6"/>
  <c r="H4063" i="6" s="1"/>
  <c r="G4059" i="6"/>
  <c r="H4059" i="6" s="1"/>
  <c r="F4059" i="6"/>
  <c r="G4031" i="6"/>
  <c r="H4031" i="6" s="1"/>
  <c r="G4058" i="6"/>
  <c r="H4058" i="6" s="1"/>
  <c r="G4000" i="6"/>
  <c r="H4000" i="6" s="1"/>
  <c r="F4000" i="6"/>
  <c r="G3999" i="6"/>
  <c r="H3999" i="6" s="1"/>
  <c r="F3999" i="6"/>
  <c r="G3998" i="6"/>
  <c r="H3998" i="6" s="1"/>
  <c r="F3998" i="6"/>
  <c r="G3997" i="6"/>
  <c r="H3997" i="6" s="1"/>
  <c r="F3997" i="6"/>
  <c r="F4058" i="6"/>
  <c r="G4057" i="6"/>
  <c r="H4057" i="6" s="1"/>
  <c r="G3995" i="6"/>
  <c r="H3995" i="6" s="1"/>
  <c r="F3995" i="6"/>
  <c r="G3994" i="6"/>
  <c r="H3994" i="6" s="1"/>
  <c r="F3994" i="6"/>
  <c r="G3993" i="6"/>
  <c r="H3993" i="6" s="1"/>
  <c r="F3993" i="6"/>
  <c r="G3992" i="6"/>
  <c r="H3992" i="6" s="1"/>
  <c r="F3992" i="6"/>
  <c r="F4057" i="6"/>
  <c r="G4056" i="6"/>
  <c r="H4056" i="6" s="1"/>
  <c r="G3990" i="6"/>
  <c r="H3990" i="6" s="1"/>
  <c r="F3990" i="6"/>
  <c r="G3989" i="6"/>
  <c r="H3989" i="6" s="1"/>
  <c r="F3989" i="6"/>
  <c r="F4056" i="6"/>
  <c r="G4053" i="6"/>
  <c r="H4053" i="6" s="1"/>
  <c r="G3987" i="6"/>
  <c r="H3987" i="6" s="1"/>
  <c r="F3987" i="6"/>
  <c r="F4053" i="6"/>
  <c r="F4063" i="6"/>
  <c r="G4047" i="6"/>
  <c r="H4047" i="6" s="1"/>
  <c r="F4047" i="6"/>
  <c r="G3984" i="6"/>
  <c r="H3984" i="6" s="1"/>
  <c r="F3984" i="6"/>
  <c r="G4046" i="6"/>
  <c r="H4046" i="6" s="1"/>
  <c r="F4046" i="6"/>
  <c r="G3982" i="6"/>
  <c r="H3982" i="6" s="1"/>
  <c r="F3982" i="6"/>
  <c r="G3981" i="6"/>
  <c r="H3981" i="6" s="1"/>
  <c r="F3981" i="6"/>
  <c r="G3980" i="6"/>
  <c r="H3980" i="6" s="1"/>
  <c r="F3980" i="6"/>
  <c r="G3979" i="6"/>
  <c r="H3979" i="6" s="1"/>
  <c r="F3979" i="6"/>
  <c r="G3978" i="6"/>
  <c r="H3978" i="6" s="1"/>
  <c r="F3978" i="6"/>
  <c r="G4045" i="6"/>
  <c r="H4045" i="6" s="1"/>
  <c r="F4045" i="6"/>
  <c r="G3976" i="6"/>
  <c r="H3976" i="6" s="1"/>
  <c r="F3976" i="6"/>
  <c r="G3975" i="6"/>
  <c r="H3975" i="6" s="1"/>
  <c r="F3975" i="6"/>
  <c r="G4044" i="6"/>
  <c r="H4044" i="6" s="1"/>
  <c r="F4044" i="6"/>
  <c r="G4042" i="6"/>
  <c r="H4042" i="6" s="1"/>
  <c r="F4042" i="6"/>
  <c r="G4040" i="6"/>
  <c r="H4040" i="6" s="1"/>
  <c r="F4040" i="6"/>
  <c r="G4038" i="6"/>
  <c r="H4038" i="6" s="1"/>
  <c r="F4038" i="6"/>
  <c r="G3970" i="6"/>
  <c r="H3970" i="6" s="1"/>
  <c r="F3970" i="6"/>
  <c r="G4037" i="6"/>
  <c r="H4037" i="6" s="1"/>
  <c r="F4037" i="6"/>
  <c r="G4036" i="6"/>
  <c r="H4036" i="6" s="1"/>
  <c r="F4036" i="6"/>
  <c r="G3967" i="6"/>
  <c r="H3967" i="6" s="1"/>
  <c r="F3967" i="6"/>
  <c r="G4035" i="6"/>
  <c r="H4035" i="6" s="1"/>
  <c r="F4035" i="6"/>
  <c r="G4033" i="6"/>
  <c r="H4033" i="6" s="1"/>
  <c r="F4033" i="6"/>
  <c r="G3964" i="6"/>
  <c r="H3964" i="6" s="1"/>
  <c r="F3964" i="6"/>
  <c r="G3963" i="6"/>
  <c r="H3963" i="6" s="1"/>
  <c r="F3963" i="6"/>
  <c r="G3962" i="6"/>
  <c r="H3962" i="6" s="1"/>
  <c r="F3962" i="6"/>
  <c r="G4032" i="6"/>
  <c r="H4032" i="6" s="1"/>
  <c r="F4032" i="6"/>
  <c r="G3960" i="6"/>
  <c r="H3960" i="6" s="1"/>
  <c r="F3960" i="6"/>
  <c r="G3959" i="6"/>
  <c r="H3959" i="6" s="1"/>
  <c r="F3959" i="6"/>
  <c r="G3958" i="6"/>
  <c r="H3958" i="6" s="1"/>
  <c r="F3958" i="6"/>
  <c r="G3957" i="6"/>
  <c r="H3957" i="6" s="1"/>
  <c r="F3957" i="6"/>
  <c r="G3956" i="6"/>
  <c r="H3956" i="6" s="1"/>
  <c r="F3956" i="6"/>
  <c r="G3955" i="6"/>
  <c r="H3955" i="6" s="1"/>
  <c r="B4" i="2"/>
  <c r="F3488" i="6"/>
  <c r="G3385" i="6"/>
  <c r="H3385" i="6" s="1"/>
  <c r="G3734" i="6"/>
  <c r="H3734" i="6" s="1"/>
  <c r="F3734" i="6"/>
  <c r="G3839" i="6"/>
  <c r="H3839" i="6" s="1"/>
  <c r="F3839" i="6"/>
  <c r="G3707" i="6"/>
  <c r="H3707" i="6" s="1"/>
  <c r="F3707" i="6"/>
  <c r="G3465" i="6"/>
  <c r="H3465" i="6" s="1"/>
  <c r="F3465" i="6"/>
  <c r="G3837" i="6"/>
  <c r="H3837" i="6" s="1"/>
  <c r="F3837" i="6"/>
  <c r="G3687" i="6"/>
  <c r="H3687" i="6" s="1"/>
  <c r="F3687" i="6"/>
  <c r="G3774" i="6"/>
  <c r="H3774" i="6" s="1"/>
  <c r="F3774" i="6"/>
  <c r="G3692" i="6"/>
  <c r="H3692" i="6" s="1"/>
  <c r="F3692" i="6"/>
  <c r="F3381" i="6"/>
  <c r="G3945" i="6"/>
  <c r="H3945" i="6" s="1"/>
  <c r="F3945" i="6"/>
  <c r="G3453" i="6"/>
  <c r="H3453" i="6" s="1"/>
  <c r="F3453" i="6"/>
  <c r="G3451" i="6"/>
  <c r="H3451" i="6" s="1"/>
  <c r="F3451" i="6"/>
  <c r="G3446" i="6"/>
  <c r="H3446" i="6" s="1"/>
  <c r="G3751" i="6"/>
  <c r="H3751" i="6" s="1"/>
  <c r="F3751" i="6"/>
  <c r="G3889" i="6"/>
  <c r="H3889" i="6" s="1"/>
  <c r="F3889" i="6"/>
  <c r="F3446" i="6"/>
  <c r="G3445" i="6"/>
  <c r="H3445" i="6" s="1"/>
  <c r="G3887" i="6"/>
  <c r="H3887" i="6" s="1"/>
  <c r="F3887" i="6"/>
  <c r="G3834" i="6"/>
  <c r="H3834" i="6" s="1"/>
  <c r="F3834" i="6"/>
  <c r="F3445" i="6"/>
  <c r="G3444" i="6"/>
  <c r="H3444" i="6" s="1"/>
  <c r="G3739" i="6"/>
  <c r="H3739" i="6" s="1"/>
  <c r="F3739" i="6"/>
  <c r="G3749" i="6"/>
  <c r="H3749" i="6" s="1"/>
  <c r="F3749" i="6"/>
  <c r="F3444" i="6"/>
  <c r="G3933" i="6"/>
  <c r="H3933" i="6" s="1"/>
  <c r="F3933" i="6"/>
  <c r="G3442" i="6"/>
  <c r="H3442" i="6" s="1"/>
  <c r="F3442" i="6"/>
  <c r="G3425" i="6"/>
  <c r="H3425" i="6" s="1"/>
  <c r="G3881" i="6"/>
  <c r="H3881" i="6" s="1"/>
  <c r="F3881" i="6"/>
  <c r="G3634" i="6"/>
  <c r="H3634" i="6" s="1"/>
  <c r="F3634" i="6"/>
  <c r="F3425" i="6"/>
  <c r="G3423" i="6"/>
  <c r="H3423" i="6" s="1"/>
  <c r="G3682" i="6"/>
  <c r="H3682" i="6" s="1"/>
  <c r="G3927" i="6"/>
  <c r="H3927" i="6" s="1"/>
  <c r="F3927" i="6"/>
  <c r="G3716" i="6"/>
  <c r="H3716" i="6" s="1"/>
  <c r="F3716" i="6"/>
  <c r="F3682" i="6"/>
  <c r="F3423" i="6"/>
  <c r="G3419" i="6"/>
  <c r="H3419" i="6" s="1"/>
  <c r="F3419" i="6"/>
  <c r="G3414" i="6"/>
  <c r="H3414" i="6" s="1"/>
  <c r="F3414" i="6"/>
  <c r="G3413" i="6"/>
  <c r="H3413" i="6" s="1"/>
  <c r="F3413" i="6"/>
  <c r="G3921" i="6"/>
  <c r="H3921" i="6" s="1"/>
  <c r="F3921" i="6"/>
  <c r="G3920" i="6"/>
  <c r="H3920" i="6" s="1"/>
  <c r="F3920" i="6"/>
  <c r="F3301" i="6"/>
  <c r="G3411" i="6"/>
  <c r="H3411" i="6" s="1"/>
  <c r="G3763" i="6"/>
  <c r="H3763" i="6" s="1"/>
  <c r="F3763" i="6"/>
  <c r="F3411" i="6"/>
  <c r="G3403" i="6"/>
  <c r="H3403" i="6" s="1"/>
  <c r="G3916" i="6"/>
  <c r="H3916" i="6" s="1"/>
  <c r="F3916" i="6"/>
  <c r="G3730" i="6"/>
  <c r="H3730" i="6" s="1"/>
  <c r="F3730" i="6"/>
  <c r="G3844" i="6"/>
  <c r="H3844" i="6" s="1"/>
  <c r="F3844" i="6"/>
  <c r="F3403" i="6"/>
  <c r="G3392" i="6"/>
  <c r="H3392" i="6" s="1"/>
  <c r="G3664" i="6"/>
  <c r="H3664" i="6" s="1"/>
  <c r="F3664" i="6"/>
  <c r="G3760" i="6"/>
  <c r="H3760" i="6" s="1"/>
  <c r="F3760" i="6"/>
  <c r="G3671" i="6"/>
  <c r="H3671" i="6" s="1"/>
  <c r="F3671" i="6"/>
  <c r="F3392" i="6"/>
  <c r="F3385" i="6"/>
  <c r="G3381" i="6"/>
  <c r="H3381" i="6" s="1"/>
  <c r="G3364" i="6"/>
  <c r="H3364" i="6" s="1"/>
  <c r="G3736" i="6"/>
  <c r="H3736" i="6" s="1"/>
  <c r="F3736" i="6"/>
  <c r="F3364" i="6"/>
  <c r="G3339" i="6"/>
  <c r="H3339" i="6" s="1"/>
  <c r="G3905" i="6"/>
  <c r="H3905" i="6" s="1"/>
  <c r="F3905" i="6"/>
  <c r="F3339" i="6"/>
  <c r="G3314" i="6"/>
  <c r="H3314" i="6" s="1"/>
  <c r="F3314" i="6"/>
  <c r="G3310" i="6"/>
  <c r="H3310" i="6" s="1"/>
  <c r="F3310" i="6"/>
  <c r="G3307" i="6"/>
  <c r="H3307" i="6" s="1"/>
  <c r="F3307" i="6"/>
  <c r="G3301" i="6"/>
  <c r="H3301" i="6" s="1"/>
  <c r="G3626" i="6"/>
  <c r="H3626" i="6" s="1"/>
  <c r="F3626" i="6"/>
  <c r="G3623" i="6"/>
  <c r="H3623" i="6" s="1"/>
  <c r="F3623" i="6"/>
  <c r="G3612" i="6"/>
  <c r="H3612" i="6" s="1"/>
  <c r="F3612" i="6"/>
  <c r="G3609" i="6"/>
  <c r="H3609" i="6" s="1"/>
  <c r="F3609" i="6"/>
  <c r="G3599" i="6"/>
  <c r="H3599" i="6" s="1"/>
  <c r="F3599" i="6"/>
  <c r="G3597" i="6"/>
  <c r="H3597" i="6" s="1"/>
  <c r="F3597" i="6"/>
  <c r="G3594" i="6"/>
  <c r="H3594" i="6" s="1"/>
  <c r="F3594" i="6"/>
  <c r="G3588" i="6"/>
  <c r="H3588" i="6" s="1"/>
  <c r="F3588" i="6"/>
  <c r="G3578" i="6"/>
  <c r="H3578" i="6" s="1"/>
  <c r="F3578" i="6"/>
  <c r="G3574" i="6"/>
  <c r="H3574" i="6" s="1"/>
  <c r="F3574" i="6"/>
  <c r="G3572" i="6"/>
  <c r="H3572" i="6" s="1"/>
  <c r="F3572" i="6"/>
  <c r="G3571" i="6"/>
  <c r="H3571" i="6" s="1"/>
  <c r="F3571" i="6"/>
  <c r="G3548" i="6"/>
  <c r="H3548" i="6" s="1"/>
  <c r="F3548" i="6"/>
  <c r="G3542" i="6"/>
  <c r="H3542" i="6" s="1"/>
  <c r="F3542" i="6"/>
  <c r="G3535" i="6"/>
  <c r="H3535" i="6" s="1"/>
  <c r="F3535" i="6"/>
  <c r="G3517" i="6"/>
  <c r="H3517" i="6" s="1"/>
  <c r="F3517" i="6"/>
  <c r="G3511" i="6"/>
  <c r="H3511" i="6" s="1"/>
  <c r="F3511" i="6"/>
  <c r="G3508" i="6"/>
  <c r="H3508" i="6" s="1"/>
  <c r="F3508" i="6"/>
  <c r="G3488" i="6"/>
  <c r="H3488" i="6" s="1"/>
  <c r="G3778" i="6"/>
  <c r="H3778" i="6" s="1"/>
  <c r="F3778" i="6"/>
  <c r="G3741" i="6"/>
  <c r="H3741" i="6" s="1"/>
  <c r="F3741" i="6"/>
  <c r="G3638" i="6"/>
  <c r="H3638" i="6" s="1"/>
  <c r="F3638" i="6"/>
  <c r="G3812" i="6"/>
  <c r="H3812" i="6" s="1"/>
  <c r="G3803" i="6"/>
  <c r="H3803" i="6" s="1"/>
  <c r="F3803" i="6"/>
  <c r="F3812" i="6"/>
  <c r="G3667" i="6"/>
  <c r="H3667" i="6" s="1"/>
  <c r="F3667" i="6"/>
  <c r="G3833" i="6"/>
  <c r="H3833" i="6" s="1"/>
  <c r="F3833" i="6"/>
  <c r="G3768" i="6"/>
  <c r="H3768" i="6" s="1"/>
  <c r="G3796" i="6"/>
  <c r="H3796" i="6" s="1"/>
  <c r="F3796" i="6"/>
  <c r="F3768" i="6"/>
  <c r="G3830" i="6"/>
  <c r="H3830" i="6" s="1"/>
  <c r="F3830" i="6"/>
  <c r="G3748" i="6"/>
  <c r="H3748" i="6" s="1"/>
  <c r="F3748" i="6"/>
  <c r="G3731" i="6"/>
  <c r="H3731" i="6" s="1"/>
  <c r="F3731" i="6"/>
  <c r="G3700" i="6"/>
  <c r="H3700" i="6" s="1"/>
  <c r="G3648" i="6"/>
  <c r="H3648" i="6" s="1"/>
  <c r="F3648" i="6"/>
  <c r="F3700" i="6"/>
  <c r="G3659" i="6"/>
  <c r="H3659" i="6" s="1"/>
  <c r="F3659" i="6"/>
  <c r="G3870" i="6"/>
  <c r="H3870" i="6" s="1"/>
  <c r="F3870" i="6"/>
  <c r="G3843" i="6"/>
  <c r="H3843" i="6" s="1"/>
  <c r="F3843" i="6"/>
  <c r="G3670" i="6"/>
  <c r="H3670" i="6" s="1"/>
  <c r="F3670" i="6"/>
  <c r="G3781" i="6"/>
  <c r="H3781" i="6" s="1"/>
  <c r="F3781" i="6"/>
  <c r="G3708" i="6"/>
  <c r="H3708" i="6" s="1"/>
  <c r="F3708" i="6"/>
  <c r="G3735" i="6"/>
  <c r="H3735" i="6" s="1"/>
  <c r="F3735" i="6"/>
  <c r="G3864" i="6"/>
  <c r="H3864" i="6" s="1"/>
  <c r="F3864" i="6"/>
  <c r="G3681" i="6"/>
  <c r="H3681" i="6" s="1"/>
  <c r="F3681" i="6"/>
  <c r="G3437" i="6"/>
  <c r="H3437" i="6" s="1"/>
  <c r="F3437" i="6"/>
  <c r="G3432" i="6"/>
  <c r="H3432" i="6" s="1"/>
  <c r="F3432" i="6"/>
  <c r="G3591" i="6"/>
  <c r="H3591" i="6" s="1"/>
  <c r="F3591" i="6"/>
  <c r="G3487" i="6"/>
  <c r="H3487" i="6" s="1"/>
  <c r="F3487" i="6"/>
  <c r="G3483" i="6"/>
  <c r="H3483" i="6" s="1"/>
  <c r="F3483" i="6"/>
  <c r="G3476" i="6"/>
  <c r="H3476" i="6" s="1"/>
  <c r="F3476" i="6"/>
  <c r="G3472" i="6"/>
  <c r="H3472" i="6" s="1"/>
  <c r="G3529" i="6"/>
  <c r="H3529" i="6" s="1"/>
  <c r="F3529" i="6"/>
  <c r="G3528" i="6"/>
  <c r="H3528" i="6" s="1"/>
  <c r="G3406" i="6"/>
  <c r="H3406" i="6" s="1"/>
  <c r="F3406" i="6"/>
  <c r="F3528" i="6"/>
  <c r="G3457" i="6"/>
  <c r="H3457" i="6" s="1"/>
  <c r="F3457" i="6"/>
  <c r="G3522" i="6"/>
  <c r="H3522" i="6" s="1"/>
  <c r="F3522" i="6"/>
  <c r="G3519" i="6"/>
  <c r="H3519" i="6" s="1"/>
  <c r="G3373" i="6"/>
  <c r="H3373" i="6" s="1"/>
  <c r="F3373" i="6"/>
  <c r="F3519" i="6"/>
  <c r="G3564" i="6"/>
  <c r="H3564" i="6" s="1"/>
  <c r="G3363" i="6"/>
  <c r="H3363" i="6" s="1"/>
  <c r="F3363" i="6"/>
  <c r="G3347" i="6"/>
  <c r="H3347" i="6" s="1"/>
  <c r="F3347" i="6"/>
  <c r="F3564" i="6"/>
  <c r="G3512" i="6"/>
  <c r="H3512" i="6" s="1"/>
  <c r="G3338" i="6"/>
  <c r="H3338" i="6" s="1"/>
  <c r="F3338" i="6"/>
  <c r="G3336" i="6"/>
  <c r="H3336" i="6" s="1"/>
  <c r="F3336" i="6"/>
  <c r="G3319" i="6"/>
  <c r="H3319" i="6" s="1"/>
  <c r="F3319" i="6"/>
  <c r="F3512" i="6"/>
  <c r="G3584" i="6"/>
  <c r="H3584" i="6" s="1"/>
  <c r="G3312" i="6"/>
  <c r="H3312" i="6" s="1"/>
  <c r="F3312" i="6"/>
  <c r="F3584" i="6"/>
  <c r="G3582" i="6"/>
  <c r="H3582" i="6" s="1"/>
  <c r="F3582" i="6"/>
  <c r="G3441" i="6"/>
  <c r="H3441" i="6" s="1"/>
  <c r="F3441" i="6"/>
  <c r="F3472" i="6"/>
  <c r="F3855" i="6"/>
  <c r="G3750" i="6"/>
  <c r="H3750" i="6" s="1"/>
  <c r="F3750" i="6"/>
  <c r="G3853" i="6"/>
  <c r="H3853" i="6" s="1"/>
  <c r="F3853" i="6"/>
  <c r="G3851" i="6"/>
  <c r="H3851" i="6" s="1"/>
  <c r="F3851" i="6"/>
  <c r="G3850" i="6"/>
  <c r="H3850" i="6" s="1"/>
  <c r="F3850" i="6"/>
  <c r="G3849" i="6"/>
  <c r="H3849" i="6" s="1"/>
  <c r="F3849" i="6"/>
  <c r="G3636" i="6"/>
  <c r="H3636" i="6" s="1"/>
  <c r="F3636" i="6"/>
  <c r="G3658" i="6"/>
  <c r="H3658" i="6" s="1"/>
  <c r="F3658" i="6"/>
  <c r="G3657" i="6"/>
  <c r="H3657" i="6" s="1"/>
  <c r="F3657" i="6"/>
  <c r="G3743" i="6"/>
  <c r="H3743" i="6" s="1"/>
  <c r="F3743" i="6"/>
  <c r="G3742" i="6"/>
  <c r="H3742" i="6" s="1"/>
  <c r="F3742" i="6"/>
  <c r="G3835" i="6"/>
  <c r="H3835" i="6" s="1"/>
  <c r="F3835" i="6"/>
  <c r="G3831" i="6"/>
  <c r="H3831" i="6" s="1"/>
  <c r="F3831" i="6"/>
  <c r="G3829" i="6"/>
  <c r="H3829" i="6" s="1"/>
  <c r="F3829" i="6"/>
  <c r="G3635" i="6"/>
  <c r="H3635" i="6" s="1"/>
  <c r="F3635" i="6"/>
  <c r="G3737" i="6"/>
  <c r="H3737" i="6" s="1"/>
  <c r="F3737" i="6"/>
  <c r="G3655" i="6"/>
  <c r="H3655" i="6" s="1"/>
  <c r="F3655" i="6"/>
  <c r="G3821" i="6"/>
  <c r="H3821" i="6" s="1"/>
  <c r="F3821" i="6"/>
  <c r="G3818" i="6"/>
  <c r="H3818" i="6" s="1"/>
  <c r="F3818" i="6"/>
  <c r="G3817" i="6"/>
  <c r="H3817" i="6" s="1"/>
  <c r="F3817" i="6"/>
  <c r="G3640" i="6"/>
  <c r="H3640" i="6" s="1"/>
  <c r="F3640" i="6"/>
  <c r="G3814" i="6"/>
  <c r="H3814" i="6" s="1"/>
  <c r="F3814" i="6"/>
  <c r="G3727" i="6"/>
  <c r="H3727" i="6" s="1"/>
  <c r="F3727" i="6"/>
  <c r="G3712" i="6"/>
  <c r="H3712" i="6" s="1"/>
  <c r="F3811" i="6"/>
  <c r="F3807" i="6"/>
  <c r="G3954" i="6"/>
  <c r="H3954" i="6" s="1"/>
  <c r="G3680" i="6"/>
  <c r="H3680" i="6" s="1"/>
  <c r="F3680" i="6"/>
  <c r="G3652" i="6"/>
  <c r="H3652" i="6" s="1"/>
  <c r="F3652" i="6"/>
  <c r="G3807" i="6"/>
  <c r="H3807" i="6" s="1"/>
  <c r="F3954" i="6"/>
  <c r="G3651" i="6"/>
  <c r="H3651" i="6" s="1"/>
  <c r="F3651" i="6"/>
  <c r="G3952" i="6"/>
  <c r="H3952" i="6" s="1"/>
  <c r="G3621" i="6"/>
  <c r="H3621" i="6" s="1"/>
  <c r="F3621" i="6"/>
  <c r="G3619" i="6"/>
  <c r="H3619" i="6" s="1"/>
  <c r="F3619" i="6"/>
  <c r="G3616" i="6"/>
  <c r="H3616" i="6" s="1"/>
  <c r="F3616" i="6"/>
  <c r="F3952" i="6"/>
  <c r="G3951" i="6"/>
  <c r="H3951" i="6" s="1"/>
  <c r="G3610" i="6"/>
  <c r="H3610" i="6" s="1"/>
  <c r="F3610" i="6"/>
  <c r="F3951" i="6"/>
  <c r="G3950" i="6"/>
  <c r="H3950" i="6" s="1"/>
  <c r="G3605" i="6"/>
  <c r="H3605" i="6" s="1"/>
  <c r="F3605" i="6"/>
  <c r="G3604" i="6"/>
  <c r="H3604" i="6" s="1"/>
  <c r="F3604" i="6"/>
  <c r="F3950" i="6"/>
  <c r="G3949" i="6"/>
  <c r="H3949" i="6" s="1"/>
  <c r="F3949" i="6"/>
  <c r="G3948" i="6"/>
  <c r="H3948" i="6" s="1"/>
  <c r="F3948" i="6"/>
  <c r="G3805" i="6"/>
  <c r="H3805" i="6" s="1"/>
  <c r="G3593" i="6"/>
  <c r="H3593" i="6" s="1"/>
  <c r="F3593" i="6"/>
  <c r="G3592" i="6"/>
  <c r="H3592" i="6" s="1"/>
  <c r="F3592" i="6"/>
  <c r="F3805" i="6"/>
  <c r="G3722" i="6"/>
  <c r="H3722" i="6" s="1"/>
  <c r="F3722" i="6"/>
  <c r="G3944" i="6"/>
  <c r="H3944" i="6" s="1"/>
  <c r="G3587" i="6"/>
  <c r="H3587" i="6" s="1"/>
  <c r="F3587" i="6"/>
  <c r="G3585" i="6"/>
  <c r="H3585" i="6" s="1"/>
  <c r="F3585" i="6"/>
  <c r="F3944" i="6"/>
  <c r="G3721" i="6"/>
  <c r="H3721" i="6" s="1"/>
  <c r="F3721" i="6"/>
  <c r="G3677" i="6"/>
  <c r="H3677" i="6" s="1"/>
  <c r="G3580" i="6"/>
  <c r="H3580" i="6" s="1"/>
  <c r="F3580" i="6"/>
  <c r="F3677" i="6"/>
  <c r="G3676" i="6"/>
  <c r="H3676" i="6" s="1"/>
  <c r="G3575" i="6"/>
  <c r="H3575" i="6" s="1"/>
  <c r="F3575" i="6"/>
  <c r="F3676" i="6"/>
  <c r="G3939" i="6"/>
  <c r="H3939" i="6" s="1"/>
  <c r="F3939" i="6"/>
  <c r="G3799" i="6"/>
  <c r="H3799" i="6" s="1"/>
  <c r="F3799" i="6"/>
  <c r="G3718" i="6"/>
  <c r="H3718" i="6" s="1"/>
  <c r="G3568" i="6"/>
  <c r="H3568" i="6" s="1"/>
  <c r="F3568" i="6"/>
  <c r="G3567" i="6"/>
  <c r="H3567" i="6" s="1"/>
  <c r="F3567" i="6"/>
  <c r="F3718" i="6"/>
  <c r="G3936" i="6"/>
  <c r="H3936" i="6" s="1"/>
  <c r="G3563" i="6"/>
  <c r="H3563" i="6" s="1"/>
  <c r="F3563" i="6"/>
  <c r="G3562" i="6"/>
  <c r="H3562" i="6" s="1"/>
  <c r="F3562" i="6"/>
  <c r="G3561" i="6"/>
  <c r="H3561" i="6" s="1"/>
  <c r="F3561" i="6"/>
  <c r="G3551" i="6"/>
  <c r="H3551" i="6" s="1"/>
  <c r="F3551" i="6"/>
  <c r="G3550" i="6"/>
  <c r="H3550" i="6" s="1"/>
  <c r="F3550" i="6"/>
  <c r="F3936" i="6"/>
  <c r="G3797" i="6"/>
  <c r="H3797" i="6" s="1"/>
  <c r="G3544" i="6"/>
  <c r="H3544" i="6" s="1"/>
  <c r="F3544" i="6"/>
  <c r="G3543" i="6"/>
  <c r="H3543" i="6" s="1"/>
  <c r="F3543" i="6"/>
  <c r="F3797" i="6"/>
  <c r="G3934" i="6"/>
  <c r="H3934" i="6" s="1"/>
  <c r="G3537" i="6"/>
  <c r="H3537" i="6" s="1"/>
  <c r="F3537" i="6"/>
  <c r="G3536" i="6"/>
  <c r="H3536" i="6" s="1"/>
  <c r="F3536" i="6"/>
  <c r="F3934" i="6"/>
  <c r="G3795" i="6"/>
  <c r="H3795" i="6" s="1"/>
  <c r="G3534" i="6"/>
  <c r="H3534" i="6" s="1"/>
  <c r="F3534" i="6"/>
  <c r="G3533" i="6"/>
  <c r="H3533" i="6" s="1"/>
  <c r="F3533" i="6"/>
  <c r="G3530" i="6"/>
  <c r="H3530" i="6" s="1"/>
  <c r="F3530" i="6"/>
  <c r="F3795" i="6"/>
  <c r="G3639" i="6"/>
  <c r="H3639" i="6" s="1"/>
  <c r="F3639" i="6"/>
  <c r="G3793" i="6"/>
  <c r="H3793" i="6" s="1"/>
  <c r="F3793" i="6"/>
  <c r="G3928" i="6"/>
  <c r="H3928" i="6" s="1"/>
  <c r="G3521" i="6"/>
  <c r="H3521" i="6" s="1"/>
  <c r="F3521" i="6"/>
  <c r="F3928" i="6"/>
  <c r="G3715" i="6"/>
  <c r="H3715" i="6" s="1"/>
  <c r="F3715" i="6"/>
  <c r="G3924" i="6"/>
  <c r="H3924" i="6" s="1"/>
  <c r="G3514" i="6"/>
  <c r="H3514" i="6" s="1"/>
  <c r="F3514" i="6"/>
  <c r="F3924" i="6"/>
  <c r="G3649" i="6"/>
  <c r="H3649" i="6" s="1"/>
  <c r="F3649" i="6"/>
  <c r="F3712" i="6"/>
  <c r="G3510" i="6"/>
  <c r="H3510" i="6" s="1"/>
  <c r="F3510" i="6"/>
  <c r="G3787" i="6"/>
  <c r="H3787" i="6" s="1"/>
  <c r="F3787" i="6"/>
  <c r="G3507" i="6"/>
  <c r="H3507" i="6" s="1"/>
  <c r="F3507" i="6"/>
  <c r="G3505" i="6"/>
  <c r="H3505" i="6" s="1"/>
  <c r="F3505" i="6"/>
  <c r="G3504" i="6"/>
  <c r="H3504" i="6" s="1"/>
  <c r="F3504" i="6"/>
  <c r="G3500" i="6"/>
  <c r="H3500" i="6" s="1"/>
  <c r="F3500" i="6"/>
  <c r="G3489" i="6"/>
  <c r="H3489" i="6" s="1"/>
  <c r="F3489" i="6"/>
  <c r="G3917" i="6"/>
  <c r="H3917" i="6" s="1"/>
  <c r="F3917" i="6"/>
  <c r="G3672" i="6"/>
  <c r="H3672" i="6" s="1"/>
  <c r="F3672" i="6"/>
  <c r="G3914" i="6"/>
  <c r="H3914" i="6" s="1"/>
  <c r="F3914" i="6"/>
  <c r="G3477" i="6"/>
  <c r="H3477" i="6" s="1"/>
  <c r="F3477" i="6"/>
  <c r="G3785" i="6"/>
  <c r="H3785" i="6" s="1"/>
  <c r="F3785" i="6"/>
  <c r="G3475" i="6"/>
  <c r="H3475" i="6" s="1"/>
  <c r="F3475" i="6"/>
  <c r="G3784" i="6"/>
  <c r="H3784" i="6" s="1"/>
  <c r="F3784" i="6"/>
  <c r="G3469" i="6"/>
  <c r="H3469" i="6" s="1"/>
  <c r="F3469" i="6"/>
  <c r="G3467" i="6"/>
  <c r="H3467" i="6" s="1"/>
  <c r="F3467" i="6"/>
  <c r="G3911" i="6"/>
  <c r="H3911" i="6" s="1"/>
  <c r="F3911" i="6"/>
  <c r="G3909" i="6"/>
  <c r="H3909" i="6" s="1"/>
  <c r="G3462" i="6"/>
  <c r="H3462" i="6" s="1"/>
  <c r="F3462" i="6"/>
  <c r="G3458" i="6"/>
  <c r="H3458" i="6" s="1"/>
  <c r="F3458" i="6"/>
  <c r="F3909" i="6"/>
  <c r="G3907" i="6"/>
  <c r="H3907" i="6" s="1"/>
  <c r="G3454" i="6"/>
  <c r="H3454" i="6" s="1"/>
  <c r="F3454" i="6"/>
  <c r="F3907" i="6"/>
  <c r="G3779" i="6"/>
  <c r="H3779" i="6" s="1"/>
  <c r="F3779" i="6"/>
  <c r="G3902" i="6"/>
  <c r="H3902" i="6" s="1"/>
  <c r="F3902" i="6"/>
  <c r="G3777" i="6"/>
  <c r="H3777" i="6" s="1"/>
  <c r="F3777" i="6"/>
  <c r="G3899" i="6"/>
  <c r="H3899" i="6" s="1"/>
  <c r="F3899" i="6"/>
  <c r="G3897" i="6"/>
  <c r="H3897" i="6" s="1"/>
  <c r="F3897" i="6"/>
  <c r="G3896" i="6"/>
  <c r="H3896" i="6" s="1"/>
  <c r="F3896" i="6"/>
  <c r="G3669" i="6"/>
  <c r="H3669" i="6" s="1"/>
  <c r="G3439" i="6"/>
  <c r="H3439" i="6" s="1"/>
  <c r="F3439" i="6"/>
  <c r="F3669" i="6"/>
  <c r="G3893" i="6"/>
  <c r="H3893" i="6" s="1"/>
  <c r="G3435" i="6"/>
  <c r="H3435" i="6" s="1"/>
  <c r="F3435" i="6"/>
  <c r="F3893" i="6"/>
  <c r="G3772" i="6"/>
  <c r="H3772" i="6" s="1"/>
  <c r="G3429" i="6"/>
  <c r="H3429" i="6" s="1"/>
  <c r="F3429" i="6"/>
  <c r="G3426" i="6"/>
  <c r="H3426" i="6" s="1"/>
  <c r="F3426" i="6"/>
  <c r="F3772" i="6"/>
  <c r="G3771" i="6"/>
  <c r="H3771" i="6" s="1"/>
  <c r="F3771" i="6"/>
  <c r="G3637" i="6"/>
  <c r="H3637" i="6" s="1"/>
  <c r="G3421" i="6"/>
  <c r="H3421" i="6" s="1"/>
  <c r="F3421" i="6"/>
  <c r="G3420" i="6"/>
  <c r="H3420" i="6" s="1"/>
  <c r="F3420" i="6"/>
  <c r="F3637" i="6"/>
  <c r="G3885" i="6"/>
  <c r="H3885" i="6" s="1"/>
  <c r="F3885" i="6"/>
  <c r="G3884" i="6"/>
  <c r="H3884" i="6" s="1"/>
  <c r="F3884" i="6"/>
  <c r="G3883" i="6"/>
  <c r="H3883" i="6" s="1"/>
  <c r="F3883" i="6"/>
  <c r="G3767" i="6"/>
  <c r="H3767" i="6" s="1"/>
  <c r="G3410" i="6"/>
  <c r="H3410" i="6" s="1"/>
  <c r="F3410" i="6"/>
  <c r="G3408" i="6"/>
  <c r="H3408" i="6" s="1"/>
  <c r="F3408" i="6"/>
  <c r="F3767" i="6"/>
  <c r="G3702" i="6"/>
  <c r="H3702" i="6" s="1"/>
  <c r="F3702" i="6"/>
  <c r="G3878" i="6"/>
  <c r="H3878" i="6" s="1"/>
  <c r="G3396" i="6"/>
  <c r="H3396" i="6" s="1"/>
  <c r="F3396" i="6"/>
  <c r="F3878" i="6"/>
  <c r="G3877" i="6"/>
  <c r="H3877" i="6" s="1"/>
  <c r="G3391" i="6"/>
  <c r="H3391" i="6" s="1"/>
  <c r="F3391" i="6"/>
  <c r="G3811" i="6"/>
  <c r="H3811" i="6" s="1"/>
  <c r="F3877" i="6"/>
  <c r="G3384" i="6"/>
  <c r="H3384" i="6" s="1"/>
  <c r="F3384" i="6"/>
  <c r="G3701" i="6"/>
  <c r="H3701" i="6" s="1"/>
  <c r="G3380" i="6"/>
  <c r="H3380" i="6" s="1"/>
  <c r="F3380" i="6"/>
  <c r="F3701" i="6"/>
  <c r="G3873" i="6"/>
  <c r="H3873" i="6" s="1"/>
  <c r="G3371" i="6"/>
  <c r="H3371" i="6" s="1"/>
  <c r="F3371" i="6"/>
  <c r="G3370" i="6"/>
  <c r="H3370" i="6" s="1"/>
  <c r="F3370" i="6"/>
  <c r="G3369" i="6"/>
  <c r="H3369" i="6" s="1"/>
  <c r="F3369" i="6"/>
  <c r="G3366" i="6"/>
  <c r="H3366" i="6" s="1"/>
  <c r="F3366" i="6"/>
  <c r="G3365" i="6"/>
  <c r="H3365" i="6" s="1"/>
  <c r="F3365" i="6"/>
  <c r="F3873" i="6"/>
  <c r="G3665" i="6"/>
  <c r="H3665" i="6" s="1"/>
  <c r="F3665" i="6"/>
  <c r="G3871" i="6"/>
  <c r="H3871" i="6" s="1"/>
  <c r="G3359" i="6"/>
  <c r="H3359" i="6" s="1"/>
  <c r="F3359" i="6"/>
  <c r="G3355" i="6"/>
  <c r="H3355" i="6" s="1"/>
  <c r="F3355" i="6"/>
  <c r="G3349" i="6"/>
  <c r="H3349" i="6" s="1"/>
  <c r="F3349" i="6"/>
  <c r="F3871" i="6"/>
  <c r="G3645" i="6"/>
  <c r="H3645" i="6" s="1"/>
  <c r="G3344" i="6"/>
  <c r="H3344" i="6" s="1"/>
  <c r="F3344" i="6"/>
  <c r="G3342" i="6"/>
  <c r="H3342" i="6" s="1"/>
  <c r="F3342" i="6"/>
  <c r="G3340" i="6"/>
  <c r="H3340" i="6" s="1"/>
  <c r="F3340" i="6"/>
  <c r="F3645" i="6"/>
  <c r="G3866" i="6"/>
  <c r="H3866" i="6" s="1"/>
  <c r="F3866" i="6"/>
  <c r="G3758" i="6"/>
  <c r="H3758" i="6" s="1"/>
  <c r="F3758" i="6"/>
  <c r="G3696" i="6"/>
  <c r="H3696" i="6" s="1"/>
  <c r="G3334" i="6"/>
  <c r="H3334" i="6" s="1"/>
  <c r="F3334" i="6"/>
  <c r="G3329" i="6"/>
  <c r="H3329" i="6" s="1"/>
  <c r="F3329" i="6"/>
  <c r="G3327" i="6"/>
  <c r="H3327" i="6" s="1"/>
  <c r="F3327" i="6"/>
  <c r="G3322" i="6"/>
  <c r="H3322" i="6" s="1"/>
  <c r="F3322" i="6"/>
  <c r="G3321" i="6"/>
  <c r="H3321" i="6" s="1"/>
  <c r="F3321" i="6"/>
  <c r="G3320" i="6"/>
  <c r="H3320" i="6" s="1"/>
  <c r="F3320" i="6"/>
  <c r="F3696" i="6"/>
  <c r="G3662" i="6"/>
  <c r="H3662" i="6" s="1"/>
  <c r="G3318" i="6"/>
  <c r="H3318" i="6" s="1"/>
  <c r="F3318" i="6"/>
  <c r="F3662" i="6"/>
  <c r="G3644" i="6"/>
  <c r="H3644" i="6" s="1"/>
  <c r="F3644" i="6"/>
  <c r="G3693" i="6"/>
  <c r="H3693" i="6" s="1"/>
  <c r="F3693" i="6"/>
  <c r="G3753" i="6"/>
  <c r="H3753" i="6" s="1"/>
  <c r="F3753" i="6"/>
  <c r="G3857" i="6"/>
  <c r="H3857" i="6" s="1"/>
  <c r="G3303" i="6"/>
  <c r="H3303" i="6" s="1"/>
  <c r="F3303" i="6"/>
  <c r="G3302" i="6"/>
  <c r="H3302" i="6" s="1"/>
  <c r="F3302" i="6"/>
  <c r="F3857" i="6"/>
  <c r="G3855" i="6"/>
  <c r="H3855" i="6" s="1"/>
  <c r="F3704" i="6"/>
  <c r="G3703" i="6"/>
  <c r="H3703" i="6" s="1"/>
  <c r="F3703" i="6"/>
  <c r="G3699" i="6"/>
  <c r="H3699" i="6" s="1"/>
  <c r="F3699" i="6"/>
  <c r="G3698" i="6"/>
  <c r="H3698" i="6" s="1"/>
  <c r="F3698" i="6"/>
  <c r="G3697" i="6"/>
  <c r="H3697" i="6" s="1"/>
  <c r="F3697" i="6"/>
  <c r="G3695" i="6"/>
  <c r="H3695" i="6" s="1"/>
  <c r="F3695" i="6"/>
  <c r="G3694" i="6"/>
  <c r="H3694" i="6" s="1"/>
  <c r="F3694" i="6"/>
  <c r="G3691" i="6"/>
  <c r="H3691" i="6" s="1"/>
  <c r="F3691" i="6"/>
  <c r="G3690" i="6"/>
  <c r="H3690" i="6" s="1"/>
  <c r="F3690" i="6"/>
  <c r="G3689" i="6"/>
  <c r="H3689" i="6" s="1"/>
  <c r="F3689" i="6"/>
  <c r="G3688" i="6"/>
  <c r="H3688" i="6" s="1"/>
  <c r="F3688" i="6"/>
  <c r="G3686" i="6"/>
  <c r="H3686" i="6" s="1"/>
  <c r="F3686" i="6"/>
  <c r="G3685" i="6"/>
  <c r="H3685" i="6" s="1"/>
  <c r="F3685" i="6"/>
  <c r="G3684" i="6"/>
  <c r="H3684" i="6" s="1"/>
  <c r="F3684" i="6"/>
  <c r="G3683" i="6"/>
  <c r="H3683" i="6" s="1"/>
  <c r="F3683" i="6"/>
  <c r="G3679" i="6"/>
  <c r="H3679" i="6" s="1"/>
  <c r="F3679" i="6"/>
  <c r="G3678" i="6"/>
  <c r="H3678" i="6" s="1"/>
  <c r="F3678" i="6"/>
  <c r="G3675" i="6"/>
  <c r="H3675" i="6" s="1"/>
  <c r="F3675" i="6"/>
  <c r="G3674" i="6"/>
  <c r="H3674" i="6" s="1"/>
  <c r="F3674" i="6"/>
  <c r="G3673" i="6"/>
  <c r="H3673" i="6" s="1"/>
  <c r="F3673" i="6"/>
  <c r="G3668" i="6"/>
  <c r="H3668" i="6" s="1"/>
  <c r="F3668" i="6"/>
  <c r="G3666" i="6"/>
  <c r="H3666" i="6" s="1"/>
  <c r="F3666" i="6"/>
  <c r="G3663" i="6"/>
  <c r="H3663" i="6" s="1"/>
  <c r="F3663" i="6"/>
  <c r="G3661" i="6"/>
  <c r="H3661" i="6" s="1"/>
  <c r="F3661" i="6"/>
  <c r="G3660" i="6"/>
  <c r="H3660" i="6" s="1"/>
  <c r="F3660" i="6"/>
  <c r="G3656" i="6"/>
  <c r="H3656" i="6" s="1"/>
  <c r="F3656" i="6"/>
  <c r="G3654" i="6"/>
  <c r="H3654" i="6" s="1"/>
  <c r="F3654" i="6"/>
  <c r="G3653" i="6"/>
  <c r="H3653" i="6" s="1"/>
  <c r="F3653" i="6"/>
  <c r="G3650" i="6"/>
  <c r="H3650" i="6" s="1"/>
  <c r="F3650" i="6"/>
  <c r="G3647" i="6"/>
  <c r="H3647" i="6" s="1"/>
  <c r="F3647" i="6"/>
  <c r="G3646" i="6"/>
  <c r="H3646" i="6" s="1"/>
  <c r="F3646" i="6"/>
  <c r="G3643" i="6"/>
  <c r="H3643" i="6" s="1"/>
  <c r="F3643" i="6"/>
  <c r="G3642" i="6"/>
  <c r="H3642" i="6" s="1"/>
  <c r="F3642" i="6"/>
  <c r="G3641" i="6"/>
  <c r="H3641" i="6" s="1"/>
  <c r="F3641" i="6"/>
  <c r="G3633" i="6"/>
  <c r="H3633" i="6" s="1"/>
  <c r="F3633" i="6"/>
  <c r="G3632" i="6"/>
  <c r="H3632" i="6" s="1"/>
  <c r="F3632" i="6"/>
  <c r="G3631" i="6"/>
  <c r="H3631" i="6" s="1"/>
  <c r="F3631" i="6"/>
  <c r="G3630" i="6"/>
  <c r="H3630" i="6" s="1"/>
  <c r="F3630" i="6"/>
  <c r="G3629" i="6"/>
  <c r="H3629" i="6" s="1"/>
  <c r="F3629" i="6"/>
  <c r="G3628" i="6"/>
  <c r="H3628" i="6" s="1"/>
  <c r="F3628" i="6"/>
  <c r="G3627" i="6"/>
  <c r="H3627" i="6" s="1"/>
  <c r="F3627" i="6"/>
  <c r="F3955" i="6"/>
  <c r="G3953" i="6"/>
  <c r="H3953" i="6" s="1"/>
  <c r="G3625" i="6"/>
  <c r="H3625" i="6" s="1"/>
  <c r="F3625" i="6"/>
  <c r="G3624" i="6"/>
  <c r="H3624" i="6" s="1"/>
  <c r="F3624" i="6"/>
  <c r="F3953" i="6"/>
  <c r="G3947" i="6"/>
  <c r="H3947" i="6" s="1"/>
  <c r="G3622" i="6"/>
  <c r="H3622" i="6" s="1"/>
  <c r="F3622" i="6"/>
  <c r="F3947" i="6"/>
  <c r="G3946" i="6"/>
  <c r="H3946" i="6" s="1"/>
  <c r="G3620" i="6"/>
  <c r="H3620" i="6" s="1"/>
  <c r="F3620" i="6"/>
  <c r="F3946" i="6"/>
  <c r="G3943" i="6"/>
  <c r="H3943" i="6" s="1"/>
  <c r="G3618" i="6"/>
  <c r="H3618" i="6" s="1"/>
  <c r="F3618" i="6"/>
  <c r="G3617" i="6"/>
  <c r="H3617" i="6" s="1"/>
  <c r="F3617" i="6"/>
  <c r="F3943" i="6"/>
  <c r="G3942" i="6"/>
  <c r="H3942" i="6" s="1"/>
  <c r="G3615" i="6"/>
  <c r="H3615" i="6" s="1"/>
  <c r="F3615" i="6"/>
  <c r="G3614" i="6"/>
  <c r="H3614" i="6" s="1"/>
  <c r="F3614" i="6"/>
  <c r="G3613" i="6"/>
  <c r="H3613" i="6" s="1"/>
  <c r="F3613" i="6"/>
  <c r="F3942" i="6"/>
  <c r="G3941" i="6"/>
  <c r="H3941" i="6" s="1"/>
  <c r="G3611" i="6"/>
  <c r="H3611" i="6" s="1"/>
  <c r="F3611" i="6"/>
  <c r="F3941" i="6"/>
  <c r="G3940" i="6"/>
  <c r="H3940" i="6" s="1"/>
  <c r="F3940" i="6"/>
  <c r="G3938" i="6"/>
  <c r="H3938" i="6" s="1"/>
  <c r="G3608" i="6"/>
  <c r="H3608" i="6" s="1"/>
  <c r="F3608" i="6"/>
  <c r="G3607" i="6"/>
  <c r="H3607" i="6" s="1"/>
  <c r="F3607" i="6"/>
  <c r="G3606" i="6"/>
  <c r="H3606" i="6" s="1"/>
  <c r="F3606" i="6"/>
  <c r="F3938" i="6"/>
  <c r="G3937" i="6"/>
  <c r="H3937" i="6" s="1"/>
  <c r="F3937" i="6"/>
  <c r="G3935" i="6"/>
  <c r="H3935" i="6" s="1"/>
  <c r="G3603" i="6"/>
  <c r="H3603" i="6" s="1"/>
  <c r="F3603" i="6"/>
  <c r="G3602" i="6"/>
  <c r="H3602" i="6" s="1"/>
  <c r="F3602" i="6"/>
  <c r="G3601" i="6"/>
  <c r="H3601" i="6" s="1"/>
  <c r="F3601" i="6"/>
  <c r="G3600" i="6"/>
  <c r="H3600" i="6" s="1"/>
  <c r="F3600" i="6"/>
  <c r="F3935" i="6"/>
  <c r="G3932" i="6"/>
  <c r="H3932" i="6" s="1"/>
  <c r="G3598" i="6"/>
  <c r="H3598" i="6" s="1"/>
  <c r="F3598" i="6"/>
  <c r="F3932" i="6"/>
  <c r="G3931" i="6"/>
  <c r="H3931" i="6" s="1"/>
  <c r="G3596" i="6"/>
  <c r="H3596" i="6" s="1"/>
  <c r="F3596" i="6"/>
  <c r="G3595" i="6"/>
  <c r="H3595" i="6" s="1"/>
  <c r="F3595" i="6"/>
  <c r="F3931" i="6"/>
  <c r="G3930" i="6"/>
  <c r="H3930" i="6" s="1"/>
  <c r="F3930" i="6"/>
  <c r="G3929" i="6"/>
  <c r="H3929" i="6" s="1"/>
  <c r="F3929" i="6"/>
  <c r="G3926" i="6"/>
  <c r="H3926" i="6" s="1"/>
  <c r="F3926" i="6"/>
  <c r="G3925" i="6"/>
  <c r="H3925" i="6" s="1"/>
  <c r="G3590" i="6"/>
  <c r="H3590" i="6" s="1"/>
  <c r="F3590" i="6"/>
  <c r="G3589" i="6"/>
  <c r="H3589" i="6" s="1"/>
  <c r="F3589" i="6"/>
  <c r="F3925" i="6"/>
  <c r="G3923" i="6"/>
  <c r="H3923" i="6" s="1"/>
  <c r="F3923" i="6"/>
  <c r="G3922" i="6"/>
  <c r="H3922" i="6" s="1"/>
  <c r="G3586" i="6"/>
  <c r="H3586" i="6" s="1"/>
  <c r="F3586" i="6"/>
  <c r="F3922" i="6"/>
  <c r="G3919" i="6"/>
  <c r="H3919" i="6" s="1"/>
  <c r="F3919" i="6"/>
  <c r="G3918" i="6"/>
  <c r="H3918" i="6" s="1"/>
  <c r="G3583" i="6"/>
  <c r="H3583" i="6" s="1"/>
  <c r="F3583" i="6"/>
  <c r="F3918" i="6"/>
  <c r="G3915" i="6"/>
  <c r="H3915" i="6" s="1"/>
  <c r="G3581" i="6"/>
  <c r="H3581" i="6" s="1"/>
  <c r="F3581" i="6"/>
  <c r="F3915" i="6"/>
  <c r="G3913" i="6"/>
  <c r="H3913" i="6" s="1"/>
  <c r="G3579" i="6"/>
  <c r="H3579" i="6" s="1"/>
  <c r="F3579" i="6"/>
  <c r="F3913" i="6"/>
  <c r="G3912" i="6"/>
  <c r="H3912" i="6" s="1"/>
  <c r="G3577" i="6"/>
  <c r="H3577" i="6" s="1"/>
  <c r="F3577" i="6"/>
  <c r="G3576" i="6"/>
  <c r="H3576" i="6" s="1"/>
  <c r="F3576" i="6"/>
  <c r="F3912" i="6"/>
  <c r="G3910" i="6"/>
  <c r="H3910" i="6" s="1"/>
  <c r="F3910" i="6"/>
  <c r="G3908" i="6"/>
  <c r="H3908" i="6" s="1"/>
  <c r="G3573" i="6"/>
  <c r="H3573" i="6" s="1"/>
  <c r="F3573" i="6"/>
  <c r="F3908" i="6"/>
  <c r="G3906" i="6"/>
  <c r="H3906" i="6" s="1"/>
  <c r="F3906" i="6"/>
  <c r="G3904" i="6"/>
  <c r="H3904" i="6" s="1"/>
  <c r="G3570" i="6"/>
  <c r="H3570" i="6" s="1"/>
  <c r="F3570" i="6"/>
  <c r="G3569" i="6"/>
  <c r="H3569" i="6" s="1"/>
  <c r="F3569" i="6"/>
  <c r="F3904" i="6"/>
  <c r="G3903" i="6"/>
  <c r="H3903" i="6" s="1"/>
  <c r="F3903" i="6"/>
  <c r="G3901" i="6"/>
  <c r="H3901" i="6" s="1"/>
  <c r="G3566" i="6"/>
  <c r="H3566" i="6" s="1"/>
  <c r="F3566" i="6"/>
  <c r="G3565" i="6"/>
  <c r="H3565" i="6" s="1"/>
  <c r="F3565" i="6"/>
  <c r="F3901" i="6"/>
  <c r="G3900" i="6"/>
  <c r="H3900" i="6" s="1"/>
  <c r="F3900" i="6"/>
  <c r="G3898" i="6"/>
  <c r="H3898" i="6" s="1"/>
  <c r="F3898" i="6"/>
  <c r="G3895" i="6"/>
  <c r="H3895" i="6" s="1"/>
  <c r="F3895" i="6"/>
  <c r="G3894" i="6"/>
  <c r="H3894" i="6" s="1"/>
  <c r="G3560" i="6"/>
  <c r="H3560" i="6" s="1"/>
  <c r="F3560" i="6"/>
  <c r="G3559" i="6"/>
  <c r="H3559" i="6" s="1"/>
  <c r="F3559" i="6"/>
  <c r="G3558" i="6"/>
  <c r="H3558" i="6" s="1"/>
  <c r="F3558" i="6"/>
  <c r="G3557" i="6"/>
  <c r="H3557" i="6" s="1"/>
  <c r="F3557" i="6"/>
  <c r="G3556" i="6"/>
  <c r="H3556" i="6" s="1"/>
  <c r="F3556" i="6"/>
  <c r="G3555" i="6"/>
  <c r="H3555" i="6" s="1"/>
  <c r="F3555" i="6"/>
  <c r="G3554" i="6"/>
  <c r="H3554" i="6" s="1"/>
  <c r="F3554" i="6"/>
  <c r="G3553" i="6"/>
  <c r="H3553" i="6" s="1"/>
  <c r="F3553" i="6"/>
  <c r="G3552" i="6"/>
  <c r="H3552" i="6" s="1"/>
  <c r="F3552" i="6"/>
  <c r="F3894" i="6"/>
  <c r="G3892" i="6"/>
  <c r="H3892" i="6" s="1"/>
  <c r="F3892" i="6"/>
  <c r="G3891" i="6"/>
  <c r="H3891" i="6" s="1"/>
  <c r="G3549" i="6"/>
  <c r="H3549" i="6" s="1"/>
  <c r="F3549" i="6"/>
  <c r="F3891" i="6"/>
  <c r="G3890" i="6"/>
  <c r="H3890" i="6" s="1"/>
  <c r="G3547" i="6"/>
  <c r="H3547" i="6" s="1"/>
  <c r="F3547" i="6"/>
  <c r="G3546" i="6"/>
  <c r="H3546" i="6" s="1"/>
  <c r="F3546" i="6"/>
  <c r="G3545" i="6"/>
  <c r="H3545" i="6" s="1"/>
  <c r="F3545" i="6"/>
  <c r="F3890" i="6"/>
  <c r="G3888" i="6"/>
  <c r="H3888" i="6" s="1"/>
  <c r="F3888" i="6"/>
  <c r="G3886" i="6"/>
  <c r="H3886" i="6" s="1"/>
  <c r="F3886" i="6"/>
  <c r="G3882" i="6"/>
  <c r="H3882" i="6" s="1"/>
  <c r="G3541" i="6"/>
  <c r="H3541" i="6" s="1"/>
  <c r="F3541" i="6"/>
  <c r="G3540" i="6"/>
  <c r="H3540" i="6" s="1"/>
  <c r="F3540" i="6"/>
  <c r="G3539" i="6"/>
  <c r="H3539" i="6" s="1"/>
  <c r="F3539" i="6"/>
  <c r="G3538" i="6"/>
  <c r="H3538" i="6" s="1"/>
  <c r="F3538" i="6"/>
  <c r="F3882" i="6"/>
  <c r="G3880" i="6"/>
  <c r="H3880" i="6" s="1"/>
  <c r="F3880" i="6"/>
  <c r="G3879" i="6"/>
  <c r="H3879" i="6" s="1"/>
  <c r="F3879" i="6"/>
  <c r="G3876" i="6"/>
  <c r="H3876" i="6" s="1"/>
  <c r="F3876" i="6"/>
  <c r="G3875" i="6"/>
  <c r="H3875" i="6" s="1"/>
  <c r="F3875" i="6"/>
  <c r="G3874" i="6"/>
  <c r="H3874" i="6" s="1"/>
  <c r="G3532" i="6"/>
  <c r="H3532" i="6" s="1"/>
  <c r="F3532" i="6"/>
  <c r="G3531" i="6"/>
  <c r="H3531" i="6" s="1"/>
  <c r="F3531" i="6"/>
  <c r="F3874" i="6"/>
  <c r="G3872" i="6"/>
  <c r="H3872" i="6" s="1"/>
  <c r="F3872" i="6"/>
  <c r="G3869" i="6"/>
  <c r="H3869" i="6" s="1"/>
  <c r="F3869" i="6"/>
  <c r="G3868" i="6"/>
  <c r="H3868" i="6" s="1"/>
  <c r="G3527" i="6"/>
  <c r="H3527" i="6" s="1"/>
  <c r="F3527" i="6"/>
  <c r="G3526" i="6"/>
  <c r="H3526" i="6" s="1"/>
  <c r="F3526" i="6"/>
  <c r="G3525" i="6"/>
  <c r="H3525" i="6" s="1"/>
  <c r="F3525" i="6"/>
  <c r="G3524" i="6"/>
  <c r="H3524" i="6" s="1"/>
  <c r="F3524" i="6"/>
  <c r="G3523" i="6"/>
  <c r="H3523" i="6" s="1"/>
  <c r="F3523" i="6"/>
  <c r="F3868" i="6"/>
  <c r="G3867" i="6"/>
  <c r="H3867" i="6" s="1"/>
  <c r="F3867" i="6"/>
  <c r="G3865" i="6"/>
  <c r="H3865" i="6" s="1"/>
  <c r="G3520" i="6"/>
  <c r="H3520" i="6" s="1"/>
  <c r="F3520" i="6"/>
  <c r="F3865" i="6"/>
  <c r="G3863" i="6"/>
  <c r="H3863" i="6" s="1"/>
  <c r="G3518" i="6"/>
  <c r="H3518" i="6" s="1"/>
  <c r="F3518" i="6"/>
  <c r="F3863" i="6"/>
  <c r="G3862" i="6"/>
  <c r="H3862" i="6" s="1"/>
  <c r="G3516" i="6"/>
  <c r="H3516" i="6" s="1"/>
  <c r="F3516" i="6"/>
  <c r="G3515" i="6"/>
  <c r="H3515" i="6" s="1"/>
  <c r="F3515" i="6"/>
  <c r="F3862" i="6"/>
  <c r="G3861" i="6"/>
  <c r="H3861" i="6" s="1"/>
  <c r="G3513" i="6"/>
  <c r="H3513" i="6" s="1"/>
  <c r="F3513" i="6"/>
  <c r="F3861" i="6"/>
  <c r="G3860" i="6"/>
  <c r="H3860" i="6" s="1"/>
  <c r="F3860" i="6"/>
  <c r="G3859" i="6"/>
  <c r="H3859" i="6" s="1"/>
  <c r="F3859" i="6"/>
  <c r="G3858" i="6"/>
  <c r="H3858" i="6" s="1"/>
  <c r="G3509" i="6"/>
  <c r="H3509" i="6" s="1"/>
  <c r="F3509" i="6"/>
  <c r="F3858" i="6"/>
  <c r="G3856" i="6"/>
  <c r="H3856" i="6" s="1"/>
  <c r="F3856" i="6"/>
  <c r="G3854" i="6"/>
  <c r="H3854" i="6" s="1"/>
  <c r="G3506" i="6"/>
  <c r="H3506" i="6" s="1"/>
  <c r="F3506" i="6"/>
  <c r="F3854" i="6"/>
  <c r="G3852" i="6"/>
  <c r="H3852" i="6" s="1"/>
  <c r="F3852" i="6"/>
  <c r="G3848" i="6"/>
  <c r="H3848" i="6" s="1"/>
  <c r="G3503" i="6"/>
  <c r="H3503" i="6" s="1"/>
  <c r="F3503" i="6"/>
  <c r="G3502" i="6"/>
  <c r="H3502" i="6" s="1"/>
  <c r="F3502" i="6"/>
  <c r="G3501" i="6"/>
  <c r="H3501" i="6" s="1"/>
  <c r="F3501" i="6"/>
  <c r="F3848" i="6"/>
  <c r="G3847" i="6"/>
  <c r="H3847" i="6" s="1"/>
  <c r="G3499" i="6"/>
  <c r="H3499" i="6" s="1"/>
  <c r="F3499" i="6"/>
  <c r="G3498" i="6"/>
  <c r="H3498" i="6" s="1"/>
  <c r="F3498" i="6"/>
  <c r="G3497" i="6"/>
  <c r="H3497" i="6" s="1"/>
  <c r="F3497" i="6"/>
  <c r="G3496" i="6"/>
  <c r="H3496" i="6" s="1"/>
  <c r="F3496" i="6"/>
  <c r="G3495" i="6"/>
  <c r="H3495" i="6" s="1"/>
  <c r="F3495" i="6"/>
  <c r="G3494" i="6"/>
  <c r="H3494" i="6" s="1"/>
  <c r="F3494" i="6"/>
  <c r="G3493" i="6"/>
  <c r="H3493" i="6" s="1"/>
  <c r="F3493" i="6"/>
  <c r="G3492" i="6"/>
  <c r="H3492" i="6" s="1"/>
  <c r="F3492" i="6"/>
  <c r="G3491" i="6"/>
  <c r="H3491" i="6" s="1"/>
  <c r="F3491" i="6"/>
  <c r="G3490" i="6"/>
  <c r="H3490" i="6" s="1"/>
  <c r="F3490" i="6"/>
  <c r="F3847" i="6"/>
  <c r="G3846" i="6"/>
  <c r="H3846" i="6" s="1"/>
  <c r="F3846" i="6"/>
  <c r="G3845" i="6"/>
  <c r="H3845" i="6" s="1"/>
  <c r="F3845" i="6"/>
  <c r="G3842" i="6"/>
  <c r="H3842" i="6" s="1"/>
  <c r="G3486" i="6"/>
  <c r="H3486" i="6" s="1"/>
  <c r="F3486" i="6"/>
  <c r="G3485" i="6"/>
  <c r="H3485" i="6" s="1"/>
  <c r="F3485" i="6"/>
  <c r="G3484" i="6"/>
  <c r="H3484" i="6" s="1"/>
  <c r="F3484" i="6"/>
  <c r="F3842" i="6"/>
  <c r="G3841" i="6"/>
  <c r="H3841" i="6" s="1"/>
  <c r="G3482" i="6"/>
  <c r="H3482" i="6" s="1"/>
  <c r="F3482" i="6"/>
  <c r="G3481" i="6"/>
  <c r="H3481" i="6" s="1"/>
  <c r="F3481" i="6"/>
  <c r="G3480" i="6"/>
  <c r="H3480" i="6" s="1"/>
  <c r="F3480" i="6"/>
  <c r="G3479" i="6"/>
  <c r="H3479" i="6" s="1"/>
  <c r="F3479" i="6"/>
  <c r="G3478" i="6"/>
  <c r="H3478" i="6" s="1"/>
  <c r="F3478" i="6"/>
  <c r="F3841" i="6"/>
  <c r="G3840" i="6"/>
  <c r="H3840" i="6" s="1"/>
  <c r="F3840" i="6"/>
  <c r="G3838" i="6"/>
  <c r="H3838" i="6" s="1"/>
  <c r="F3838" i="6"/>
  <c r="G3836" i="6"/>
  <c r="H3836" i="6" s="1"/>
  <c r="G3474" i="6"/>
  <c r="H3474" i="6" s="1"/>
  <c r="F3474" i="6"/>
  <c r="G3473" i="6"/>
  <c r="H3473" i="6" s="1"/>
  <c r="F3473" i="6"/>
  <c r="F3836" i="6"/>
  <c r="G3832" i="6"/>
  <c r="H3832" i="6" s="1"/>
  <c r="G3471" i="6"/>
  <c r="H3471" i="6" s="1"/>
  <c r="F3471" i="6"/>
  <c r="G3470" i="6"/>
  <c r="H3470" i="6" s="1"/>
  <c r="F3470" i="6"/>
  <c r="F3832" i="6"/>
  <c r="G3828" i="6"/>
  <c r="H3828" i="6" s="1"/>
  <c r="G3468" i="6"/>
  <c r="H3468" i="6" s="1"/>
  <c r="F3468" i="6"/>
  <c r="F3828" i="6"/>
  <c r="G3827" i="6"/>
  <c r="H3827" i="6" s="1"/>
  <c r="G3466" i="6"/>
  <c r="H3466" i="6" s="1"/>
  <c r="F3466" i="6"/>
  <c r="F3827" i="6"/>
  <c r="G3826" i="6"/>
  <c r="H3826" i="6" s="1"/>
  <c r="G3464" i="6"/>
  <c r="H3464" i="6" s="1"/>
  <c r="F3464" i="6"/>
  <c r="G3463" i="6"/>
  <c r="H3463" i="6" s="1"/>
  <c r="F3826" i="6"/>
  <c r="G3825" i="6"/>
  <c r="H3825" i="6" s="1"/>
  <c r="F3825" i="6"/>
  <c r="G3461" i="6"/>
  <c r="H3461" i="6" s="1"/>
  <c r="F3461" i="6"/>
  <c r="G3460" i="6"/>
  <c r="H3460" i="6" s="1"/>
  <c r="F3460" i="6"/>
  <c r="G3459" i="6"/>
  <c r="H3459" i="6" s="1"/>
  <c r="F3459" i="6"/>
  <c r="G3824" i="6"/>
  <c r="H3824" i="6" s="1"/>
  <c r="F3824" i="6"/>
  <c r="G3823" i="6"/>
  <c r="H3823" i="6" s="1"/>
  <c r="F3823" i="6"/>
  <c r="G3456" i="6"/>
  <c r="H3456" i="6" s="1"/>
  <c r="F3456" i="6"/>
  <c r="G3455" i="6"/>
  <c r="H3455" i="6" s="1"/>
  <c r="F3455" i="6"/>
  <c r="G3822" i="6"/>
  <c r="H3822" i="6" s="1"/>
  <c r="F3822" i="6"/>
  <c r="G3820" i="6"/>
  <c r="H3820" i="6" s="1"/>
  <c r="F3820" i="6"/>
  <c r="G3452" i="6"/>
  <c r="H3452" i="6" s="1"/>
  <c r="F3452" i="6"/>
  <c r="G3819" i="6"/>
  <c r="H3819" i="6" s="1"/>
  <c r="F3819" i="6"/>
  <c r="G3450" i="6"/>
  <c r="H3450" i="6" s="1"/>
  <c r="F3450" i="6"/>
  <c r="G3449" i="6"/>
  <c r="H3449" i="6" s="1"/>
  <c r="F3449" i="6"/>
  <c r="G3448" i="6"/>
  <c r="H3448" i="6" s="1"/>
  <c r="F3448" i="6"/>
  <c r="G3447" i="6"/>
  <c r="H3447" i="6" s="1"/>
  <c r="F3447" i="6"/>
  <c r="G3816" i="6"/>
  <c r="H3816" i="6" s="1"/>
  <c r="F3816" i="6"/>
  <c r="G3815" i="6"/>
  <c r="H3815" i="6" s="1"/>
  <c r="F3815" i="6"/>
  <c r="G3813" i="6"/>
  <c r="H3813" i="6" s="1"/>
  <c r="F3813" i="6"/>
  <c r="G3443" i="6"/>
  <c r="H3443" i="6" s="1"/>
  <c r="F3443" i="6"/>
  <c r="G3810" i="6"/>
  <c r="H3810" i="6" s="1"/>
  <c r="F3810" i="6"/>
  <c r="G3809" i="6"/>
  <c r="H3809" i="6" s="1"/>
  <c r="F3809" i="6"/>
  <c r="G3440" i="6"/>
  <c r="H3440" i="6" s="1"/>
  <c r="F3440" i="6"/>
  <c r="G3808" i="6"/>
  <c r="H3808" i="6" s="1"/>
  <c r="F3808" i="6"/>
  <c r="G3438" i="6"/>
  <c r="H3438" i="6" s="1"/>
  <c r="F3438" i="6"/>
  <c r="G3806" i="6"/>
  <c r="H3806" i="6" s="1"/>
  <c r="F3806" i="6"/>
  <c r="G3436" i="6"/>
  <c r="H3436" i="6" s="1"/>
  <c r="F3436" i="6"/>
  <c r="G3804" i="6"/>
  <c r="H3804" i="6" s="1"/>
  <c r="F3804" i="6"/>
  <c r="G3434" i="6"/>
  <c r="H3434" i="6" s="1"/>
  <c r="F3434" i="6"/>
  <c r="G3433" i="6"/>
  <c r="H3433" i="6" s="1"/>
  <c r="F3433" i="6"/>
  <c r="G3802" i="6"/>
  <c r="H3802" i="6" s="1"/>
  <c r="F3802" i="6"/>
  <c r="G3431" i="6"/>
  <c r="H3431" i="6" s="1"/>
  <c r="F3431" i="6"/>
  <c r="G3430" i="6"/>
  <c r="H3430" i="6" s="1"/>
  <c r="F3430" i="6"/>
  <c r="G3801" i="6"/>
  <c r="H3801" i="6" s="1"/>
  <c r="F3801" i="6"/>
  <c r="G3428" i="6"/>
  <c r="H3428" i="6" s="1"/>
  <c r="F3428" i="6"/>
  <c r="G3427" i="6"/>
  <c r="H3427" i="6" s="1"/>
  <c r="F3427" i="6"/>
  <c r="G3800" i="6"/>
  <c r="H3800" i="6" s="1"/>
  <c r="F3800" i="6"/>
  <c r="G3798" i="6"/>
  <c r="H3798" i="6" s="1"/>
  <c r="F3798" i="6"/>
  <c r="G3424" i="6"/>
  <c r="H3424" i="6" s="1"/>
  <c r="F3424" i="6"/>
  <c r="G3794" i="6"/>
  <c r="H3794" i="6" s="1"/>
  <c r="F3794" i="6"/>
  <c r="G3422" i="6"/>
  <c r="H3422" i="6" s="1"/>
  <c r="F3422" i="6"/>
  <c r="G3792" i="6"/>
  <c r="H3792" i="6" s="1"/>
  <c r="F3792" i="6"/>
  <c r="G3791" i="6"/>
  <c r="H3791" i="6" s="1"/>
  <c r="F3791" i="6"/>
  <c r="G3790" i="6"/>
  <c r="H3790" i="6" s="1"/>
  <c r="F3790" i="6"/>
  <c r="G3418" i="6"/>
  <c r="H3418" i="6" s="1"/>
  <c r="F3418" i="6"/>
  <c r="G3417" i="6"/>
  <c r="H3417" i="6" s="1"/>
  <c r="F3417" i="6"/>
  <c r="G3416" i="6"/>
  <c r="H3416" i="6" s="1"/>
  <c r="F3416" i="6"/>
  <c r="G3415" i="6"/>
  <c r="H3415" i="6" s="1"/>
  <c r="F3415" i="6"/>
  <c r="G3789" i="6"/>
  <c r="H3789" i="6" s="1"/>
  <c r="F3789" i="6"/>
  <c r="G3788" i="6"/>
  <c r="H3788" i="6" s="1"/>
  <c r="F3788" i="6"/>
  <c r="G3412" i="6"/>
  <c r="H3412" i="6" s="1"/>
  <c r="F3412" i="6"/>
  <c r="G3786" i="6"/>
  <c r="H3786" i="6" s="1"/>
  <c r="F3786" i="6"/>
  <c r="G3783" i="6"/>
  <c r="H3783" i="6" s="1"/>
  <c r="F3783" i="6"/>
  <c r="G3409" i="6"/>
  <c r="H3409" i="6" s="1"/>
  <c r="F3409" i="6"/>
  <c r="G3782" i="6"/>
  <c r="H3782" i="6" s="1"/>
  <c r="F3782" i="6"/>
  <c r="G3407" i="6"/>
  <c r="H3407" i="6" s="1"/>
  <c r="F3407" i="6"/>
  <c r="G3780" i="6"/>
  <c r="H3780" i="6" s="1"/>
  <c r="F3780" i="6"/>
  <c r="G3405" i="6"/>
  <c r="H3405" i="6" s="1"/>
  <c r="F3405" i="6"/>
  <c r="G3404" i="6"/>
  <c r="H3404" i="6" s="1"/>
  <c r="F3404" i="6"/>
  <c r="G3776" i="6"/>
  <c r="H3776" i="6" s="1"/>
  <c r="F3776" i="6"/>
  <c r="G3402" i="6"/>
  <c r="H3402" i="6" s="1"/>
  <c r="F3402" i="6"/>
  <c r="G3401" i="6"/>
  <c r="H3401" i="6" s="1"/>
  <c r="F3401" i="6"/>
  <c r="G3400" i="6"/>
  <c r="H3400" i="6" s="1"/>
  <c r="F3400" i="6"/>
  <c r="G3399" i="6"/>
  <c r="H3399" i="6" s="1"/>
  <c r="F3399" i="6"/>
  <c r="G3398" i="6"/>
  <c r="H3398" i="6" s="1"/>
  <c r="F3398" i="6"/>
  <c r="G3397" i="6"/>
  <c r="H3397" i="6" s="1"/>
  <c r="F3397" i="6"/>
  <c r="G3775" i="6"/>
  <c r="H3775" i="6" s="1"/>
  <c r="F3775" i="6"/>
  <c r="G3395" i="6"/>
  <c r="H3395" i="6" s="1"/>
  <c r="F3395" i="6"/>
  <c r="G3394" i="6"/>
  <c r="H3394" i="6" s="1"/>
  <c r="F3394" i="6"/>
  <c r="G3393" i="6"/>
  <c r="H3393" i="6" s="1"/>
  <c r="F3393" i="6"/>
  <c r="G3773" i="6"/>
  <c r="H3773" i="6" s="1"/>
  <c r="F3773" i="6"/>
  <c r="G3770" i="6"/>
  <c r="H3770" i="6" s="1"/>
  <c r="F3770" i="6"/>
  <c r="G3390" i="6"/>
  <c r="H3390" i="6" s="1"/>
  <c r="F3390" i="6"/>
  <c r="G3389" i="6"/>
  <c r="H3389" i="6" s="1"/>
  <c r="F3389" i="6"/>
  <c r="G3388" i="6"/>
  <c r="H3388" i="6" s="1"/>
  <c r="F3388" i="6"/>
  <c r="G3387" i="6"/>
  <c r="H3387" i="6" s="1"/>
  <c r="F3387" i="6"/>
  <c r="G3386" i="6"/>
  <c r="H3386" i="6" s="1"/>
  <c r="F3386" i="6"/>
  <c r="G3769" i="6"/>
  <c r="H3769" i="6" s="1"/>
  <c r="F3769" i="6"/>
  <c r="G3766" i="6"/>
  <c r="H3766" i="6" s="1"/>
  <c r="F3766" i="6"/>
  <c r="G3383" i="6"/>
  <c r="H3383" i="6" s="1"/>
  <c r="F3383" i="6"/>
  <c r="G3382" i="6"/>
  <c r="H3382" i="6" s="1"/>
  <c r="F3382" i="6"/>
  <c r="G3765" i="6"/>
  <c r="H3765" i="6" s="1"/>
  <c r="F3463" i="6"/>
  <c r="F3765" i="6"/>
  <c r="G3764" i="6"/>
  <c r="H3764" i="6" s="1"/>
  <c r="G3379" i="6"/>
  <c r="H3379" i="6" s="1"/>
  <c r="F3379" i="6"/>
  <c r="G3378" i="6"/>
  <c r="H3378" i="6" s="1"/>
  <c r="F3378" i="6"/>
  <c r="G3377" i="6"/>
  <c r="H3377" i="6" s="1"/>
  <c r="F3377" i="6"/>
  <c r="G3376" i="6"/>
  <c r="H3376" i="6" s="1"/>
  <c r="F3376" i="6"/>
  <c r="G3375" i="6"/>
  <c r="H3375" i="6" s="1"/>
  <c r="F3375" i="6"/>
  <c r="G3374" i="6"/>
  <c r="H3374" i="6" s="1"/>
  <c r="F3374" i="6"/>
  <c r="F3764" i="6"/>
  <c r="G3762" i="6"/>
  <c r="H3762" i="6" s="1"/>
  <c r="G3372" i="6"/>
  <c r="H3372" i="6" s="1"/>
  <c r="F3372" i="6"/>
  <c r="F3762" i="6"/>
  <c r="G3761" i="6"/>
  <c r="H3761" i="6" s="1"/>
  <c r="F3761" i="6"/>
  <c r="G3759" i="6"/>
  <c r="H3759" i="6" s="1"/>
  <c r="F3759" i="6"/>
  <c r="G3757" i="6"/>
  <c r="H3757" i="6" s="1"/>
  <c r="G3368" i="6"/>
  <c r="H3368" i="6" s="1"/>
  <c r="F3368" i="6"/>
  <c r="G3367" i="6"/>
  <c r="H3367" i="6" s="1"/>
  <c r="F3367" i="6"/>
  <c r="F3757" i="6"/>
  <c r="G3756" i="6"/>
  <c r="H3756" i="6" s="1"/>
  <c r="F3756" i="6"/>
  <c r="G3755" i="6"/>
  <c r="H3755" i="6" s="1"/>
  <c r="F3755" i="6"/>
  <c r="G3754" i="6"/>
  <c r="H3754" i="6" s="1"/>
  <c r="F3754" i="6"/>
  <c r="G3752" i="6"/>
  <c r="H3752" i="6" s="1"/>
  <c r="G3362" i="6"/>
  <c r="H3362" i="6" s="1"/>
  <c r="F3362" i="6"/>
  <c r="G3361" i="6"/>
  <c r="H3361" i="6" s="1"/>
  <c r="F3361" i="6"/>
  <c r="G3360" i="6"/>
  <c r="H3360" i="6" s="1"/>
  <c r="F3360" i="6"/>
  <c r="F3752" i="6"/>
  <c r="G3747" i="6"/>
  <c r="H3747" i="6" s="1"/>
  <c r="G3358" i="6"/>
  <c r="H3358" i="6" s="1"/>
  <c r="F3358" i="6"/>
  <c r="G3357" i="6"/>
  <c r="H3357" i="6" s="1"/>
  <c r="F3357" i="6"/>
  <c r="G3356" i="6"/>
  <c r="H3356" i="6" s="1"/>
  <c r="F3356" i="6"/>
  <c r="F3747" i="6"/>
  <c r="G3746" i="6"/>
  <c r="H3746" i="6" s="1"/>
  <c r="G3354" i="6"/>
  <c r="H3354" i="6" s="1"/>
  <c r="F3354" i="6"/>
  <c r="G3353" i="6"/>
  <c r="H3353" i="6" s="1"/>
  <c r="F3353" i="6"/>
  <c r="G3352" i="6"/>
  <c r="H3352" i="6" s="1"/>
  <c r="F3352" i="6"/>
  <c r="G3351" i="6"/>
  <c r="H3351" i="6" s="1"/>
  <c r="F3351" i="6"/>
  <c r="G3350" i="6"/>
  <c r="H3350" i="6" s="1"/>
  <c r="F3350" i="6"/>
  <c r="F3746" i="6"/>
  <c r="G3745" i="6"/>
  <c r="H3745" i="6" s="1"/>
  <c r="G3348" i="6"/>
  <c r="H3348" i="6" s="1"/>
  <c r="F3348" i="6"/>
  <c r="F3745" i="6"/>
  <c r="G3744" i="6"/>
  <c r="H3744" i="6" s="1"/>
  <c r="G3346" i="6"/>
  <c r="H3346" i="6" s="1"/>
  <c r="F3346" i="6"/>
  <c r="G3345" i="6"/>
  <c r="H3345" i="6" s="1"/>
  <c r="F3345" i="6"/>
  <c r="F3744" i="6"/>
  <c r="G3740" i="6"/>
  <c r="H3740" i="6" s="1"/>
  <c r="G3343" i="6"/>
  <c r="H3343" i="6" s="1"/>
  <c r="F3343" i="6"/>
  <c r="F3740" i="6"/>
  <c r="G3738" i="6"/>
  <c r="H3738" i="6" s="1"/>
  <c r="G3341" i="6"/>
  <c r="H3341" i="6" s="1"/>
  <c r="F3341" i="6"/>
  <c r="F3738" i="6"/>
  <c r="G3733" i="6"/>
  <c r="H3733" i="6" s="1"/>
  <c r="F3733" i="6"/>
  <c r="G3732" i="6"/>
  <c r="H3732" i="6" s="1"/>
  <c r="F3732" i="6"/>
  <c r="G3729" i="6"/>
  <c r="H3729" i="6" s="1"/>
  <c r="G3337" i="6"/>
  <c r="H3337" i="6" s="1"/>
  <c r="F3337" i="6"/>
  <c r="F3729" i="6"/>
  <c r="G3728" i="6"/>
  <c r="H3728" i="6" s="1"/>
  <c r="G3335" i="6"/>
  <c r="H3335" i="6" s="1"/>
  <c r="F3335" i="6"/>
  <c r="F3728" i="6"/>
  <c r="G3726" i="6"/>
  <c r="H3726" i="6" s="1"/>
  <c r="G3333" i="6"/>
  <c r="H3333" i="6" s="1"/>
  <c r="F3333" i="6"/>
  <c r="G3332" i="6"/>
  <c r="H3332" i="6" s="1"/>
  <c r="F3332" i="6"/>
  <c r="G3331" i="6"/>
  <c r="H3331" i="6" s="1"/>
  <c r="F3331" i="6"/>
  <c r="G3330" i="6"/>
  <c r="H3330" i="6" s="1"/>
  <c r="F3330" i="6"/>
  <c r="F3726" i="6"/>
  <c r="G3725" i="6"/>
  <c r="H3725" i="6" s="1"/>
  <c r="G3328" i="6"/>
  <c r="H3328" i="6" s="1"/>
  <c r="F3328" i="6"/>
  <c r="F3725" i="6"/>
  <c r="G3724" i="6"/>
  <c r="H3724" i="6" s="1"/>
  <c r="G3326" i="6"/>
  <c r="H3326" i="6" s="1"/>
  <c r="F3326" i="6"/>
  <c r="G3325" i="6"/>
  <c r="H3325" i="6" s="1"/>
  <c r="F3325" i="6"/>
  <c r="G3324" i="6"/>
  <c r="H3324" i="6" s="1"/>
  <c r="F3324" i="6"/>
  <c r="G3323" i="6"/>
  <c r="H3323" i="6" s="1"/>
  <c r="F3323" i="6"/>
  <c r="F3724" i="6"/>
  <c r="G3723" i="6"/>
  <c r="H3723" i="6" s="1"/>
  <c r="F3723" i="6"/>
  <c r="G3720" i="6"/>
  <c r="H3720" i="6" s="1"/>
  <c r="F3720" i="6"/>
  <c r="G3719" i="6"/>
  <c r="H3719" i="6" s="1"/>
  <c r="F3719" i="6"/>
  <c r="G3717" i="6"/>
  <c r="H3717" i="6" s="1"/>
  <c r="F3717" i="6"/>
  <c r="G3714" i="6"/>
  <c r="H3714" i="6" s="1"/>
  <c r="G3317" i="6"/>
  <c r="H3317" i="6" s="1"/>
  <c r="F3317" i="6"/>
  <c r="G3316" i="6"/>
  <c r="H3316" i="6" s="1"/>
  <c r="F3316" i="6"/>
  <c r="G3315" i="6"/>
  <c r="H3315" i="6" s="1"/>
  <c r="F3315" i="6"/>
  <c r="F3714" i="6"/>
  <c r="G3713" i="6"/>
  <c r="H3713" i="6" s="1"/>
  <c r="G3313" i="6"/>
  <c r="H3313" i="6" s="1"/>
  <c r="F3313" i="6"/>
  <c r="F3713" i="6"/>
  <c r="G3711" i="6"/>
  <c r="H3711" i="6" s="1"/>
  <c r="G3311" i="6"/>
  <c r="H3311" i="6" s="1"/>
  <c r="F3311" i="6"/>
  <c r="F3711" i="6"/>
  <c r="G3710" i="6"/>
  <c r="H3710" i="6" s="1"/>
  <c r="G3309" i="6"/>
  <c r="H3309" i="6" s="1"/>
  <c r="F3309" i="6"/>
  <c r="G3308" i="6"/>
  <c r="H3308" i="6" s="1"/>
  <c r="F3308" i="6"/>
  <c r="F3710" i="6"/>
  <c r="G3709" i="6"/>
  <c r="H3709" i="6" s="1"/>
  <c r="G3306" i="6"/>
  <c r="H3306" i="6" s="1"/>
  <c r="F3306" i="6"/>
  <c r="G3305" i="6"/>
  <c r="H3305" i="6" s="1"/>
  <c r="F3305" i="6"/>
  <c r="G3304" i="6"/>
  <c r="H3304" i="6" s="1"/>
  <c r="F3304" i="6"/>
  <c r="F3709" i="6"/>
  <c r="G3706" i="6"/>
  <c r="H3706" i="6" s="1"/>
  <c r="F3706" i="6"/>
  <c r="G3705" i="6"/>
  <c r="H3705" i="6" s="1"/>
  <c r="F3705" i="6"/>
  <c r="G3704" i="6"/>
  <c r="H3704" i="6" s="1"/>
  <c r="G3300" i="6"/>
  <c r="H3300" i="6" s="1"/>
  <c r="F3300" i="6"/>
  <c r="G3299" i="6"/>
  <c r="H3299" i="6" s="1"/>
  <c r="F2654" i="6"/>
  <c r="G3298" i="6"/>
  <c r="H3298" i="6" s="1"/>
  <c r="F3298" i="6"/>
  <c r="F409" i="6"/>
  <c r="G409" i="6"/>
  <c r="H409" i="6" s="1"/>
  <c r="G3104" i="6"/>
  <c r="H3104" i="6" s="1"/>
  <c r="F3104" i="6"/>
  <c r="G1928" i="6"/>
  <c r="H1928" i="6" s="1"/>
  <c r="F1928" i="6"/>
  <c r="G2434" i="6"/>
  <c r="H2434" i="6" s="1"/>
  <c r="F2434" i="6"/>
  <c r="G3101" i="6"/>
  <c r="H3101" i="6" s="1"/>
  <c r="F3101" i="6"/>
  <c r="F418" i="6"/>
  <c r="G418" i="6"/>
  <c r="H418" i="6" s="1"/>
  <c r="G2433" i="6"/>
  <c r="H2433" i="6" s="1"/>
  <c r="F2433" i="6"/>
  <c r="G1747" i="6"/>
  <c r="H1747" i="6" s="1"/>
  <c r="F1747" i="6"/>
  <c r="F969" i="6"/>
  <c r="G969" i="6"/>
  <c r="H969" i="6" s="1"/>
  <c r="F434" i="6"/>
  <c r="G434" i="6"/>
  <c r="H434" i="6" s="1"/>
  <c r="F1317" i="6"/>
  <c r="G1317" i="6"/>
  <c r="H1317" i="6" s="1"/>
  <c r="G3286" i="6"/>
  <c r="H3286" i="6" s="1"/>
  <c r="F3286" i="6"/>
  <c r="G3285" i="6"/>
  <c r="H3285" i="6" s="1"/>
  <c r="F3285" i="6"/>
  <c r="F436" i="6"/>
  <c r="G436" i="6"/>
  <c r="H436" i="6" s="1"/>
  <c r="F1321" i="6"/>
  <c r="G1321" i="6"/>
  <c r="H1321" i="6" s="1"/>
  <c r="G2641" i="6"/>
  <c r="H2641" i="6" s="1"/>
  <c r="F2641" i="6"/>
  <c r="G2123" i="6"/>
  <c r="H2123" i="6" s="1"/>
  <c r="F2123" i="6"/>
  <c r="G2639" i="6"/>
  <c r="H2639" i="6" s="1"/>
  <c r="F2639" i="6"/>
  <c r="G2122" i="6"/>
  <c r="H2122" i="6" s="1"/>
  <c r="F2122" i="6"/>
  <c r="G1956" i="6"/>
  <c r="H1956" i="6" s="1"/>
  <c r="F1956" i="6"/>
  <c r="F922" i="6"/>
  <c r="G922" i="6"/>
  <c r="H922" i="6" s="1"/>
  <c r="F1414" i="6"/>
  <c r="G1414" i="6"/>
  <c r="H1414" i="6" s="1"/>
  <c r="G2119" i="6"/>
  <c r="H2119" i="6" s="1"/>
  <c r="F2119" i="6"/>
  <c r="F442" i="6"/>
  <c r="G442" i="6"/>
  <c r="H442" i="6" s="1"/>
  <c r="G2117" i="6"/>
  <c r="H2117" i="6" s="1"/>
  <c r="F2117" i="6"/>
  <c r="G2632" i="6"/>
  <c r="H2632" i="6" s="1"/>
  <c r="F2632" i="6"/>
  <c r="F1596" i="6"/>
  <c r="G1596" i="6"/>
  <c r="H1596" i="6" s="1"/>
  <c r="G2994" i="6"/>
  <c r="H2994" i="6" s="1"/>
  <c r="F2994" i="6"/>
  <c r="G3269" i="6"/>
  <c r="H3269" i="6" s="1"/>
  <c r="F3269" i="6"/>
  <c r="G2993" i="6"/>
  <c r="H2993" i="6" s="1"/>
  <c r="F2993" i="6"/>
  <c r="G2114" i="6"/>
  <c r="H2114" i="6" s="1"/>
  <c r="F2114" i="6"/>
  <c r="G2113" i="6"/>
  <c r="H2113" i="6" s="1"/>
  <c r="F2113" i="6"/>
  <c r="F1454" i="6"/>
  <c r="G1454" i="6"/>
  <c r="H1454" i="6" s="1"/>
  <c r="F717" i="6"/>
  <c r="G717" i="6"/>
  <c r="H717" i="6" s="1"/>
  <c r="G3263" i="6"/>
  <c r="H3263" i="6" s="1"/>
  <c r="F3263" i="6"/>
  <c r="G2111" i="6"/>
  <c r="H2111" i="6" s="1"/>
  <c r="F2111" i="6"/>
  <c r="G2110" i="6"/>
  <c r="H2110" i="6" s="1"/>
  <c r="F2110" i="6"/>
  <c r="F722" i="6"/>
  <c r="G722" i="6"/>
  <c r="H722" i="6" s="1"/>
  <c r="G3259" i="6"/>
  <c r="H3259" i="6" s="1"/>
  <c r="F3259" i="6"/>
  <c r="F477" i="6"/>
  <c r="G477" i="6"/>
  <c r="H477" i="6" s="1"/>
  <c r="F728" i="6"/>
  <c r="G728" i="6"/>
  <c r="H728" i="6" s="1"/>
  <c r="F1419" i="6"/>
  <c r="G1419" i="6"/>
  <c r="H1419" i="6" s="1"/>
  <c r="F484" i="6"/>
  <c r="G484" i="6"/>
  <c r="H484" i="6" s="1"/>
  <c r="G2105" i="6"/>
  <c r="H2105" i="6" s="1"/>
  <c r="F2105" i="6"/>
  <c r="G2104" i="6"/>
  <c r="H2104" i="6" s="1"/>
  <c r="F2104" i="6"/>
  <c r="G1999" i="6"/>
  <c r="H1999" i="6" s="1"/>
  <c r="F1999" i="6"/>
  <c r="F876" i="6"/>
  <c r="G876" i="6"/>
  <c r="H876" i="6" s="1"/>
  <c r="G2482" i="6"/>
  <c r="H2482" i="6" s="1"/>
  <c r="F2482" i="6"/>
  <c r="G2100" i="6"/>
  <c r="H2100" i="6" s="1"/>
  <c r="F2100" i="6"/>
  <c r="F739" i="6"/>
  <c r="G739" i="6"/>
  <c r="H739" i="6" s="1"/>
  <c r="F1662" i="6"/>
  <c r="G1662" i="6"/>
  <c r="H1662" i="6" s="1"/>
  <c r="G3246" i="6"/>
  <c r="H3246" i="6" s="1"/>
  <c r="F3246" i="6"/>
  <c r="G3245" i="6"/>
  <c r="H3245" i="6" s="1"/>
  <c r="F3245" i="6"/>
  <c r="F932" i="6"/>
  <c r="G932" i="6"/>
  <c r="H932" i="6" s="1"/>
  <c r="G3243" i="6"/>
  <c r="H3243" i="6" s="1"/>
  <c r="F3243" i="6"/>
  <c r="G2478" i="6"/>
  <c r="H2478" i="6" s="1"/>
  <c r="F2478" i="6"/>
  <c r="G2096" i="6"/>
  <c r="H2096" i="6" s="1"/>
  <c r="F2096" i="6"/>
  <c r="G2095" i="6"/>
  <c r="H2095" i="6" s="1"/>
  <c r="F2095" i="6"/>
  <c r="F494" i="6"/>
  <c r="G494" i="6"/>
  <c r="H494" i="6" s="1"/>
  <c r="G2093" i="6"/>
  <c r="H2093" i="6" s="1"/>
  <c r="F2093" i="6"/>
  <c r="G3237" i="6"/>
  <c r="H3237" i="6" s="1"/>
  <c r="F3237" i="6"/>
  <c r="F495" i="6"/>
  <c r="G495" i="6"/>
  <c r="H495" i="6" s="1"/>
  <c r="F496" i="6"/>
  <c r="G496" i="6"/>
  <c r="H496" i="6" s="1"/>
  <c r="G2090" i="6"/>
  <c r="H2090" i="6" s="1"/>
  <c r="F2090" i="6"/>
  <c r="G3233" i="6"/>
  <c r="H3233" i="6" s="1"/>
  <c r="F3233" i="6"/>
  <c r="G2477" i="6"/>
  <c r="H2477" i="6" s="1"/>
  <c r="F2477" i="6"/>
  <c r="G1788" i="6"/>
  <c r="H1788" i="6" s="1"/>
  <c r="F1788" i="6"/>
  <c r="F740" i="6"/>
  <c r="G740" i="6"/>
  <c r="H740" i="6" s="1"/>
  <c r="G2600" i="6"/>
  <c r="H2600" i="6" s="1"/>
  <c r="F2600" i="6"/>
  <c r="G2087" i="6"/>
  <c r="H2087" i="6" s="1"/>
  <c r="F2087" i="6"/>
  <c r="G3227" i="6"/>
  <c r="H3227" i="6" s="1"/>
  <c r="F3227" i="6"/>
  <c r="F880" i="6"/>
  <c r="G880" i="6"/>
  <c r="H880" i="6" s="1"/>
  <c r="G3225" i="6"/>
  <c r="H3225" i="6" s="1"/>
  <c r="F3225" i="6"/>
  <c r="G1993" i="6"/>
  <c r="H1993" i="6" s="1"/>
  <c r="F1993" i="6"/>
  <c r="F1337" i="6"/>
  <c r="G1337" i="6"/>
  <c r="H1337" i="6" s="1"/>
  <c r="G2595" i="6"/>
  <c r="H2595" i="6" s="1"/>
  <c r="F2595" i="6"/>
  <c r="F1420" i="6"/>
  <c r="G1420" i="6"/>
  <c r="H1420" i="6" s="1"/>
  <c r="G2082" i="6"/>
  <c r="H2082" i="6" s="1"/>
  <c r="F2082" i="6"/>
  <c r="G1991" i="6"/>
  <c r="H1991" i="6" s="1"/>
  <c r="F1991" i="6"/>
  <c r="F506" i="6"/>
  <c r="G506" i="6"/>
  <c r="H506" i="6" s="1"/>
  <c r="F1345" i="6"/>
  <c r="G1345" i="6"/>
  <c r="H1345" i="6" s="1"/>
  <c r="F745" i="6"/>
  <c r="G745" i="6"/>
  <c r="H745" i="6" s="1"/>
  <c r="G1947" i="6"/>
  <c r="H1947" i="6" s="1"/>
  <c r="F1947" i="6"/>
  <c r="F509" i="6"/>
  <c r="G509" i="6"/>
  <c r="H509" i="6" s="1"/>
  <c r="F1577" i="6"/>
  <c r="G1577" i="6"/>
  <c r="H1577" i="6" s="1"/>
  <c r="G1694" i="6"/>
  <c r="H1694" i="6" s="1"/>
  <c r="F1694" i="6"/>
  <c r="F510" i="6"/>
  <c r="G510" i="6"/>
  <c r="H510" i="6" s="1"/>
  <c r="F514" i="6"/>
  <c r="G514" i="6"/>
  <c r="H514" i="6" s="1"/>
  <c r="F747" i="6"/>
  <c r="G747" i="6"/>
  <c r="H747" i="6" s="1"/>
  <c r="G1780" i="6"/>
  <c r="H1780" i="6" s="1"/>
  <c r="F1780" i="6"/>
  <c r="F516" i="6"/>
  <c r="G516" i="6"/>
  <c r="H516" i="6" s="1"/>
  <c r="F520" i="6"/>
  <c r="G520" i="6"/>
  <c r="H520" i="6" s="1"/>
  <c r="F1589" i="6"/>
  <c r="G1589" i="6"/>
  <c r="H1589" i="6" s="1"/>
  <c r="F530" i="6"/>
  <c r="G530" i="6"/>
  <c r="H530" i="6" s="1"/>
  <c r="G2468" i="6"/>
  <c r="H2468" i="6" s="1"/>
  <c r="F2468" i="6"/>
  <c r="F756" i="6"/>
  <c r="G756" i="6"/>
  <c r="H756" i="6" s="1"/>
  <c r="G1987" i="6"/>
  <c r="H1987" i="6" s="1"/>
  <c r="F1987" i="6"/>
  <c r="F759" i="6"/>
  <c r="G759" i="6"/>
  <c r="H759" i="6" s="1"/>
  <c r="G2574" i="6"/>
  <c r="H2574" i="6" s="1"/>
  <c r="F2574" i="6"/>
  <c r="G1741" i="6"/>
  <c r="H1741" i="6" s="1"/>
  <c r="F1741" i="6"/>
  <c r="G2572" i="6"/>
  <c r="H2572" i="6" s="1"/>
  <c r="F2572" i="6"/>
  <c r="G2571" i="6"/>
  <c r="H2571" i="6" s="1"/>
  <c r="F2571" i="6"/>
  <c r="F761" i="6"/>
  <c r="G761" i="6"/>
  <c r="H761" i="6" s="1"/>
  <c r="F763" i="6"/>
  <c r="G763" i="6"/>
  <c r="H763" i="6" s="1"/>
  <c r="F538" i="6"/>
  <c r="G538" i="6"/>
  <c r="H538" i="6" s="1"/>
  <c r="F552" i="6"/>
  <c r="G552" i="6"/>
  <c r="H552" i="6" s="1"/>
  <c r="G2566" i="6"/>
  <c r="H2566" i="6" s="1"/>
  <c r="F2566" i="6"/>
  <c r="F765" i="6"/>
  <c r="G765" i="6"/>
  <c r="H765" i="6" s="1"/>
  <c r="F767" i="6"/>
  <c r="G767" i="6"/>
  <c r="H767" i="6" s="1"/>
  <c r="G2980" i="6"/>
  <c r="H2980" i="6" s="1"/>
  <c r="F2980" i="6"/>
  <c r="G2562" i="6"/>
  <c r="H2562" i="6" s="1"/>
  <c r="F2562" i="6"/>
  <c r="F567" i="6"/>
  <c r="G567" i="6"/>
  <c r="H567" i="6" s="1"/>
  <c r="F1347" i="6"/>
  <c r="G1347" i="6"/>
  <c r="H1347" i="6" s="1"/>
  <c r="F581" i="6"/>
  <c r="G581" i="6"/>
  <c r="H581" i="6" s="1"/>
  <c r="F904" i="6"/>
  <c r="G904" i="6"/>
  <c r="H904" i="6" s="1"/>
  <c r="G3059" i="6"/>
  <c r="H3059" i="6" s="1"/>
  <c r="F3059" i="6"/>
  <c r="F1664" i="6"/>
  <c r="G1664" i="6"/>
  <c r="H1664" i="6" s="1"/>
  <c r="F1425" i="6"/>
  <c r="G1425" i="6"/>
  <c r="H1425" i="6" s="1"/>
  <c r="F587" i="6"/>
  <c r="G587" i="6"/>
  <c r="H587" i="6" s="1"/>
  <c r="F589" i="6"/>
  <c r="G589" i="6"/>
  <c r="H589" i="6" s="1"/>
  <c r="F594" i="6"/>
  <c r="G594" i="6"/>
  <c r="H594" i="6" s="1"/>
  <c r="F789" i="6"/>
  <c r="G789" i="6"/>
  <c r="H789" i="6" s="1"/>
  <c r="G2418" i="6"/>
  <c r="H2418" i="6" s="1"/>
  <c r="F2418" i="6"/>
  <c r="G3055" i="6"/>
  <c r="H3055" i="6" s="1"/>
  <c r="F3055" i="6"/>
  <c r="F975" i="6"/>
  <c r="G975" i="6"/>
  <c r="H975" i="6" s="1"/>
  <c r="G3172" i="6"/>
  <c r="H3172" i="6" s="1"/>
  <c r="F3172" i="6"/>
  <c r="F599" i="6"/>
  <c r="G599" i="6"/>
  <c r="H599" i="6" s="1"/>
  <c r="F608" i="6"/>
  <c r="G608" i="6"/>
  <c r="H608" i="6" s="1"/>
  <c r="F1658" i="6"/>
  <c r="G1658" i="6"/>
  <c r="H1658" i="6" s="1"/>
  <c r="G2416" i="6"/>
  <c r="H2416" i="6" s="1"/>
  <c r="F2416" i="6"/>
  <c r="F1356" i="6"/>
  <c r="G1356" i="6"/>
  <c r="H1356" i="6" s="1"/>
  <c r="F611" i="6"/>
  <c r="G611" i="6"/>
  <c r="H611" i="6" s="1"/>
  <c r="F1357" i="6"/>
  <c r="G1357" i="6"/>
  <c r="H1357" i="6" s="1"/>
  <c r="G3164" i="6"/>
  <c r="H3164" i="6" s="1"/>
  <c r="F3164" i="6"/>
  <c r="G2543" i="6"/>
  <c r="H2543" i="6" s="1"/>
  <c r="F2543" i="6"/>
  <c r="F613" i="6"/>
  <c r="G613" i="6"/>
  <c r="H613" i="6" s="1"/>
  <c r="F622" i="6"/>
  <c r="G622" i="6"/>
  <c r="H622" i="6" s="1"/>
  <c r="G3008" i="6"/>
  <c r="H3008" i="6" s="1"/>
  <c r="F3008" i="6"/>
  <c r="G2539" i="6"/>
  <c r="H2539" i="6" s="1"/>
  <c r="F2539" i="6"/>
  <c r="G3050" i="6"/>
  <c r="H3050" i="6" s="1"/>
  <c r="F3050" i="6"/>
  <c r="F1374" i="6"/>
  <c r="G1374" i="6"/>
  <c r="H1374" i="6" s="1"/>
  <c r="F629" i="6"/>
  <c r="G629" i="6"/>
  <c r="H629" i="6" s="1"/>
  <c r="G2535" i="6"/>
  <c r="H2535" i="6" s="1"/>
  <c r="F2535" i="6"/>
  <c r="G3049" i="6"/>
  <c r="H3049" i="6" s="1"/>
  <c r="F3049" i="6"/>
  <c r="F806" i="6"/>
  <c r="G806" i="6"/>
  <c r="H806" i="6" s="1"/>
  <c r="F630" i="6"/>
  <c r="G630" i="6"/>
  <c r="H630" i="6" s="1"/>
  <c r="G3151" i="6"/>
  <c r="H3151" i="6" s="1"/>
  <c r="F3151" i="6"/>
  <c r="G2035" i="6"/>
  <c r="H2035" i="6" s="1"/>
  <c r="F2035" i="6"/>
  <c r="F632" i="6"/>
  <c r="G632" i="6"/>
  <c r="H632" i="6" s="1"/>
  <c r="G2987" i="6"/>
  <c r="H2987" i="6" s="1"/>
  <c r="F2987" i="6"/>
  <c r="G1769" i="6"/>
  <c r="H1769" i="6" s="1"/>
  <c r="F1769" i="6"/>
  <c r="G2449" i="6"/>
  <c r="H2449" i="6" s="1"/>
  <c r="F2449" i="6"/>
  <c r="F908" i="6"/>
  <c r="G908" i="6"/>
  <c r="H908" i="6" s="1"/>
  <c r="F807" i="6"/>
  <c r="G807" i="6"/>
  <c r="H807" i="6" s="1"/>
  <c r="G2525" i="6"/>
  <c r="H2525" i="6" s="1"/>
  <c r="F2525" i="6"/>
  <c r="G1691" i="6"/>
  <c r="H1691" i="6" s="1"/>
  <c r="F1691" i="6"/>
  <c r="F808" i="6"/>
  <c r="G808" i="6"/>
  <c r="H808" i="6" s="1"/>
  <c r="G3005" i="6"/>
  <c r="H3005" i="6" s="1"/>
  <c r="F3005" i="6"/>
  <c r="G2522" i="6"/>
  <c r="H2522" i="6" s="1"/>
  <c r="F2522" i="6"/>
  <c r="F1375" i="6"/>
  <c r="G1375" i="6"/>
  <c r="H1375" i="6" s="1"/>
  <c r="G2025" i="6"/>
  <c r="H2025" i="6" s="1"/>
  <c r="F2025" i="6"/>
  <c r="F668" i="6"/>
  <c r="G668" i="6"/>
  <c r="H668" i="6" s="1"/>
  <c r="F914" i="6"/>
  <c r="G914" i="6"/>
  <c r="H914" i="6" s="1"/>
  <c r="G2023" i="6"/>
  <c r="H2023" i="6" s="1"/>
  <c r="F2023" i="6"/>
  <c r="F817" i="6"/>
  <c r="G817" i="6"/>
  <c r="H817" i="6" s="1"/>
  <c r="F677" i="6"/>
  <c r="G677" i="6"/>
  <c r="H677" i="6" s="1"/>
  <c r="G2401" i="6"/>
  <c r="H2401" i="6" s="1"/>
  <c r="F2401" i="6"/>
  <c r="G2394" i="6"/>
  <c r="H2394" i="6" s="1"/>
  <c r="F2394" i="6"/>
  <c r="G3129" i="6"/>
  <c r="H3129" i="6" s="1"/>
  <c r="F3129" i="6"/>
  <c r="G1739" i="6"/>
  <c r="H1739" i="6" s="1"/>
  <c r="F1739" i="6"/>
  <c r="G3127" i="6"/>
  <c r="H3127" i="6" s="1"/>
  <c r="F3127" i="6"/>
  <c r="F840" i="6"/>
  <c r="G840" i="6"/>
  <c r="H840" i="6" s="1"/>
  <c r="F841" i="6"/>
  <c r="G841" i="6"/>
  <c r="H841" i="6" s="1"/>
  <c r="F689" i="6"/>
  <c r="G689" i="6"/>
  <c r="H689" i="6" s="1"/>
  <c r="G2410" i="6"/>
  <c r="H2410" i="6" s="1"/>
  <c r="F2410" i="6"/>
  <c r="F691" i="6"/>
  <c r="G691" i="6"/>
  <c r="H691" i="6" s="1"/>
  <c r="G1938" i="6"/>
  <c r="H1938" i="6" s="1"/>
  <c r="F1938" i="6"/>
  <c r="G2508" i="6"/>
  <c r="H2508" i="6" s="1"/>
  <c r="F2508" i="6"/>
  <c r="F1387" i="6"/>
  <c r="G1387" i="6"/>
  <c r="H1387" i="6" s="1"/>
  <c r="F1396" i="6"/>
  <c r="G1396" i="6"/>
  <c r="H1396" i="6" s="1"/>
  <c r="F1595" i="6"/>
  <c r="G1595" i="6"/>
  <c r="H1595" i="6" s="1"/>
  <c r="G2504" i="6"/>
  <c r="H2504" i="6" s="1"/>
  <c r="F2504" i="6"/>
  <c r="G3115" i="6"/>
  <c r="H3115" i="6" s="1"/>
  <c r="F3115" i="6"/>
  <c r="G3114" i="6"/>
  <c r="H3114" i="6" s="1"/>
  <c r="F3114" i="6"/>
  <c r="G1760" i="6"/>
  <c r="H1760" i="6" s="1"/>
  <c r="F1760" i="6"/>
  <c r="G3112" i="6"/>
  <c r="H3112" i="6" s="1"/>
  <c r="F3112" i="6"/>
  <c r="F851" i="6"/>
  <c r="G851" i="6"/>
  <c r="H851" i="6" s="1"/>
  <c r="F1409" i="6"/>
  <c r="G1409" i="6"/>
  <c r="H1409" i="6" s="1"/>
  <c r="G2500" i="6"/>
  <c r="H2500" i="6" s="1"/>
  <c r="F2500" i="6"/>
  <c r="F853" i="6"/>
  <c r="G853" i="6"/>
  <c r="H853" i="6" s="1"/>
  <c r="G2008" i="6"/>
  <c r="H2008" i="6" s="1"/>
  <c r="F2008" i="6"/>
  <c r="G2498" i="6"/>
  <c r="H2498" i="6" s="1"/>
  <c r="F2498" i="6"/>
  <c r="G2398" i="6"/>
  <c r="H2398" i="6" s="1"/>
  <c r="F2398" i="6"/>
  <c r="F1474" i="6"/>
  <c r="G1474" i="6"/>
  <c r="H1474" i="6" s="1"/>
  <c r="G2389" i="6"/>
  <c r="H2389" i="6" s="1"/>
  <c r="F2389" i="6"/>
  <c r="G2971" i="6"/>
  <c r="H2971" i="6" s="1"/>
  <c r="F2971" i="6"/>
  <c r="F978" i="6"/>
  <c r="G978" i="6"/>
  <c r="H978" i="6" s="1"/>
  <c r="F979" i="6"/>
  <c r="G979" i="6"/>
  <c r="H979" i="6" s="1"/>
  <c r="F990" i="6"/>
  <c r="G990" i="6"/>
  <c r="H990" i="6" s="1"/>
  <c r="G2967" i="6"/>
  <c r="H2967" i="6" s="1"/>
  <c r="F2967" i="6"/>
  <c r="F997" i="6"/>
  <c r="G997" i="6"/>
  <c r="H997" i="6" s="1"/>
  <c r="G2964" i="6"/>
  <c r="H2964" i="6" s="1"/>
  <c r="F2964" i="6"/>
  <c r="G2381" i="6"/>
  <c r="H2381" i="6" s="1"/>
  <c r="F2381" i="6"/>
  <c r="F1002" i="6"/>
  <c r="G1002" i="6"/>
  <c r="H1002" i="6" s="1"/>
  <c r="G1682" i="6"/>
  <c r="H1682" i="6" s="1"/>
  <c r="F1682" i="6"/>
  <c r="F1003" i="6"/>
  <c r="G1003" i="6"/>
  <c r="H1003" i="6" s="1"/>
  <c r="F1011" i="6"/>
  <c r="G1011" i="6"/>
  <c r="H1011" i="6" s="1"/>
  <c r="G2953" i="6"/>
  <c r="H2953" i="6" s="1"/>
  <c r="F2953" i="6"/>
  <c r="F1039" i="6"/>
  <c r="G1039" i="6"/>
  <c r="H1039" i="6" s="1"/>
  <c r="G2369" i="6"/>
  <c r="H2369" i="6" s="1"/>
  <c r="F2369" i="6"/>
  <c r="G1904" i="6"/>
  <c r="H1904" i="6" s="1"/>
  <c r="F1904" i="6"/>
  <c r="G1733" i="6"/>
  <c r="H1733" i="6" s="1"/>
  <c r="F1733" i="6"/>
  <c r="F1068" i="6"/>
  <c r="G1068" i="6"/>
  <c r="H1068" i="6" s="1"/>
  <c r="F1075" i="6"/>
  <c r="G1075" i="6"/>
  <c r="H1075" i="6" s="1"/>
  <c r="G2937" i="6"/>
  <c r="H2937" i="6" s="1"/>
  <c r="F2937" i="6"/>
  <c r="G2359" i="6"/>
  <c r="H2359" i="6" s="1"/>
  <c r="F2359" i="6"/>
  <c r="F1475" i="6"/>
  <c r="G1475" i="6"/>
  <c r="H1475" i="6" s="1"/>
  <c r="F1090" i="6"/>
  <c r="G1090" i="6"/>
  <c r="H1090" i="6" s="1"/>
  <c r="G2928" i="6"/>
  <c r="H2928" i="6" s="1"/>
  <c r="F2928" i="6"/>
  <c r="G2354" i="6"/>
  <c r="H2354" i="6" s="1"/>
  <c r="F2354" i="6"/>
  <c r="F1097" i="6"/>
  <c r="G1097" i="6"/>
  <c r="H1097" i="6" s="1"/>
  <c r="G2352" i="6"/>
  <c r="H2352" i="6" s="1"/>
  <c r="F2352" i="6"/>
  <c r="F1607" i="6"/>
  <c r="G1607" i="6"/>
  <c r="H1607" i="6" s="1"/>
  <c r="F1111" i="6"/>
  <c r="G1111" i="6"/>
  <c r="H1111" i="6" s="1"/>
  <c r="G2920" i="6"/>
  <c r="H2920" i="6" s="1"/>
  <c r="F2920" i="6"/>
  <c r="G1886" i="6"/>
  <c r="H1886" i="6" s="1"/>
  <c r="F1886" i="6"/>
  <c r="G1883" i="6"/>
  <c r="H1883" i="6" s="1"/>
  <c r="F1883" i="6"/>
  <c r="G2342" i="6"/>
  <c r="H2342" i="6" s="1"/>
  <c r="F2342" i="6"/>
  <c r="G2340" i="6"/>
  <c r="H2340" i="6" s="1"/>
  <c r="F2340" i="6"/>
  <c r="G2908" i="6"/>
  <c r="H2908" i="6" s="1"/>
  <c r="F2908" i="6"/>
  <c r="G2907" i="6"/>
  <c r="H2907" i="6" s="1"/>
  <c r="F2907" i="6"/>
  <c r="G2902" i="6"/>
  <c r="H2902" i="6" s="1"/>
  <c r="F2902" i="6"/>
  <c r="G1879" i="6"/>
  <c r="H1879" i="6" s="1"/>
  <c r="F1879" i="6"/>
  <c r="F1130" i="6"/>
  <c r="G1130" i="6"/>
  <c r="H1130" i="6" s="1"/>
  <c r="F1132" i="6"/>
  <c r="G1132" i="6"/>
  <c r="H1132" i="6" s="1"/>
  <c r="F1495" i="6"/>
  <c r="G1495" i="6"/>
  <c r="H1495" i="6" s="1"/>
  <c r="F1615" i="6"/>
  <c r="G1615" i="6"/>
  <c r="H1615" i="6" s="1"/>
  <c r="F1147" i="6"/>
  <c r="G1147" i="6"/>
  <c r="H1147" i="6" s="1"/>
  <c r="F1148" i="6"/>
  <c r="G1148" i="6"/>
  <c r="H1148" i="6" s="1"/>
  <c r="G2323" i="6"/>
  <c r="H2323" i="6" s="1"/>
  <c r="F2323" i="6"/>
  <c r="G2322" i="6"/>
  <c r="H2322" i="6" s="1"/>
  <c r="F2322" i="6"/>
  <c r="G2318" i="6"/>
  <c r="H2318" i="6" s="1"/>
  <c r="F2318" i="6"/>
  <c r="G1723" i="6"/>
  <c r="H1723" i="6" s="1"/>
  <c r="F1723" i="6"/>
  <c r="F1501" i="6"/>
  <c r="G1501" i="6"/>
  <c r="H1501" i="6" s="1"/>
  <c r="G1862" i="6"/>
  <c r="H1862" i="6" s="1"/>
  <c r="F1862" i="6"/>
  <c r="F1621" i="6"/>
  <c r="G1621" i="6"/>
  <c r="H1621" i="6" s="1"/>
  <c r="G2869" i="6"/>
  <c r="H2869" i="6" s="1"/>
  <c r="F2869" i="6"/>
  <c r="G1858" i="6"/>
  <c r="H1858" i="6" s="1"/>
  <c r="F1858" i="6"/>
  <c r="F1163" i="6"/>
  <c r="G1163" i="6"/>
  <c r="H1163" i="6" s="1"/>
  <c r="F1166" i="6"/>
  <c r="G1166" i="6"/>
  <c r="H1166" i="6" s="1"/>
  <c r="F1169" i="6"/>
  <c r="G1169" i="6"/>
  <c r="H1169" i="6" s="1"/>
  <c r="F1513" i="6"/>
  <c r="G1513" i="6"/>
  <c r="H1513" i="6" s="1"/>
  <c r="F1175" i="6"/>
  <c r="G1175" i="6"/>
  <c r="H1175" i="6" s="1"/>
  <c r="F1191" i="6"/>
  <c r="G1191" i="6"/>
  <c r="H1191" i="6" s="1"/>
  <c r="G2859" i="6"/>
  <c r="H2859" i="6" s="1"/>
  <c r="F2859" i="6"/>
  <c r="F1193" i="6"/>
  <c r="G1193" i="6"/>
  <c r="H1193" i="6" s="1"/>
  <c r="G1716" i="6"/>
  <c r="H1716" i="6" s="1"/>
  <c r="F1716" i="6"/>
  <c r="G1715" i="6"/>
  <c r="H1715" i="6" s="1"/>
  <c r="F1715" i="6"/>
  <c r="F1200" i="6"/>
  <c r="G1200" i="6"/>
  <c r="H1200" i="6" s="1"/>
  <c r="G2294" i="6"/>
  <c r="H2294" i="6" s="1"/>
  <c r="F2294" i="6"/>
  <c r="G1847" i="6"/>
  <c r="H1847" i="6" s="1"/>
  <c r="F1847" i="6"/>
  <c r="F1623" i="6"/>
  <c r="G1623" i="6"/>
  <c r="H1623" i="6" s="1"/>
  <c r="F1204" i="6"/>
  <c r="G1204" i="6"/>
  <c r="H1204" i="6" s="1"/>
  <c r="G2288" i="6"/>
  <c r="H2288" i="6" s="1"/>
  <c r="F2288" i="6"/>
  <c r="G1842" i="6"/>
  <c r="H1842" i="6" s="1"/>
  <c r="F1842" i="6"/>
  <c r="F1211" i="6"/>
  <c r="G1211" i="6"/>
  <c r="H1211" i="6" s="1"/>
  <c r="G1839" i="6"/>
  <c r="H1839" i="6" s="1"/>
  <c r="F1839" i="6"/>
  <c r="G2842" i="6"/>
  <c r="H2842" i="6" s="1"/>
  <c r="F2842" i="6"/>
  <c r="F1223" i="6"/>
  <c r="G1223" i="6"/>
  <c r="H1223" i="6" s="1"/>
  <c r="G2838" i="6"/>
  <c r="H2838" i="6" s="1"/>
  <c r="F2838" i="6"/>
  <c r="G2280" i="6"/>
  <c r="H2280" i="6" s="1"/>
  <c r="F2280" i="6"/>
  <c r="F45" i="6"/>
  <c r="G45" i="6"/>
  <c r="H45" i="6" s="1"/>
  <c r="G2830" i="6"/>
  <c r="H2830" i="6" s="1"/>
  <c r="F2830" i="6"/>
  <c r="G2828" i="6"/>
  <c r="H2828" i="6" s="1"/>
  <c r="F2828" i="6"/>
  <c r="F54" i="6"/>
  <c r="G54" i="6"/>
  <c r="H54" i="6" s="1"/>
  <c r="G2826" i="6"/>
  <c r="H2826" i="6" s="1"/>
  <c r="F2826" i="6"/>
  <c r="F58" i="6"/>
  <c r="G58" i="6"/>
  <c r="H58" i="6" s="1"/>
  <c r="G2270" i="6"/>
  <c r="H2270" i="6" s="1"/>
  <c r="F2270" i="6"/>
  <c r="G2823" i="6"/>
  <c r="H2823" i="6" s="1"/>
  <c r="F2823" i="6"/>
  <c r="G2821" i="6"/>
  <c r="H2821" i="6" s="1"/>
  <c r="F2821" i="6"/>
  <c r="F68" i="6"/>
  <c r="G68" i="6"/>
  <c r="H68" i="6" s="1"/>
  <c r="G2265" i="6"/>
  <c r="H2265" i="6" s="1"/>
  <c r="F2265" i="6"/>
  <c r="F1226" i="6"/>
  <c r="G1226" i="6"/>
  <c r="H1226" i="6" s="1"/>
  <c r="G2654" i="6"/>
  <c r="H2654" i="6" s="1"/>
  <c r="F77" i="6"/>
  <c r="G77" i="6"/>
  <c r="H77" i="6" s="1"/>
  <c r="F87" i="6"/>
  <c r="G87" i="6"/>
  <c r="H87" i="6" s="1"/>
  <c r="F92" i="6"/>
  <c r="G92" i="6"/>
  <c r="H92" i="6" s="1"/>
  <c r="F94" i="6"/>
  <c r="G94" i="6"/>
  <c r="H94" i="6" s="1"/>
  <c r="G2809" i="6"/>
  <c r="H2809" i="6" s="1"/>
  <c r="F2809" i="6"/>
  <c r="F100" i="6"/>
  <c r="G100" i="6"/>
  <c r="H100" i="6" s="1"/>
  <c r="F1231" i="6"/>
  <c r="G1231" i="6"/>
  <c r="H1231" i="6" s="1"/>
  <c r="F1519" i="6"/>
  <c r="G1519" i="6"/>
  <c r="H1519" i="6" s="1"/>
  <c r="F1233" i="6"/>
  <c r="G1233" i="6"/>
  <c r="H1233" i="6" s="1"/>
  <c r="G1830" i="6"/>
  <c r="H1830" i="6" s="1"/>
  <c r="F1830" i="6"/>
  <c r="F106" i="6"/>
  <c r="G106" i="6"/>
  <c r="H106" i="6" s="1"/>
  <c r="G2249" i="6"/>
  <c r="H2249" i="6" s="1"/>
  <c r="F2249" i="6"/>
  <c r="F108" i="6"/>
  <c r="G108" i="6"/>
  <c r="H108" i="6" s="1"/>
  <c r="F1240" i="6"/>
  <c r="G1240" i="6"/>
  <c r="H1240" i="6" s="1"/>
  <c r="G2795" i="6"/>
  <c r="H2795" i="6" s="1"/>
  <c r="F2795" i="6"/>
  <c r="F110" i="6"/>
  <c r="G110" i="6"/>
  <c r="H110" i="6" s="1"/>
  <c r="F126" i="6"/>
  <c r="G126" i="6"/>
  <c r="H126" i="6" s="1"/>
  <c r="G2790" i="6"/>
  <c r="H2790" i="6" s="1"/>
  <c r="F2790" i="6"/>
  <c r="G2789" i="6"/>
  <c r="H2789" i="6" s="1"/>
  <c r="F2789" i="6"/>
  <c r="F136" i="6"/>
  <c r="G136" i="6"/>
  <c r="H136" i="6" s="1"/>
  <c r="F139" i="6"/>
  <c r="G139" i="6"/>
  <c r="H139" i="6" s="1"/>
  <c r="G2234" i="6"/>
  <c r="H2234" i="6" s="1"/>
  <c r="F2234" i="6"/>
  <c r="F151" i="6"/>
  <c r="G151" i="6"/>
  <c r="H151" i="6" s="1"/>
  <c r="F158" i="6"/>
  <c r="G158" i="6"/>
  <c r="H158" i="6" s="1"/>
  <c r="F1525" i="6"/>
  <c r="G1525" i="6"/>
  <c r="H1525" i="6" s="1"/>
  <c r="G2773" i="6"/>
  <c r="H2773" i="6" s="1"/>
  <c r="F2773" i="6"/>
  <c r="G2772" i="6"/>
  <c r="H2772" i="6" s="1"/>
  <c r="F2772" i="6"/>
  <c r="G2767" i="6"/>
  <c r="H2767" i="6" s="1"/>
  <c r="F2767" i="6"/>
  <c r="F181" i="6"/>
  <c r="G181" i="6"/>
  <c r="H181" i="6" s="1"/>
  <c r="F185" i="6"/>
  <c r="G185" i="6"/>
  <c r="H185" i="6" s="1"/>
  <c r="F186" i="6"/>
  <c r="G186" i="6"/>
  <c r="H186" i="6" s="1"/>
  <c r="F195" i="6"/>
  <c r="G195" i="6"/>
  <c r="H195" i="6" s="1"/>
  <c r="F196" i="6"/>
  <c r="G196" i="6"/>
  <c r="H196" i="6" s="1"/>
  <c r="F199" i="6"/>
  <c r="G199" i="6"/>
  <c r="H199" i="6" s="1"/>
  <c r="G2759" i="6"/>
  <c r="H2759" i="6" s="1"/>
  <c r="F2759" i="6"/>
  <c r="F206" i="6"/>
  <c r="G206" i="6"/>
  <c r="H206" i="6" s="1"/>
  <c r="F216" i="6"/>
  <c r="G216" i="6"/>
  <c r="H216" i="6" s="1"/>
  <c r="F229" i="6"/>
  <c r="G229" i="6"/>
  <c r="H229" i="6" s="1"/>
  <c r="F230" i="6"/>
  <c r="G230" i="6"/>
  <c r="H230" i="6" s="1"/>
  <c r="F232" i="6"/>
  <c r="G232" i="6"/>
  <c r="H232" i="6" s="1"/>
  <c r="G2750" i="6"/>
  <c r="H2750" i="6" s="1"/>
  <c r="F2750" i="6"/>
  <c r="F242" i="6"/>
  <c r="G242" i="6"/>
  <c r="H242" i="6" s="1"/>
  <c r="G1823" i="6"/>
  <c r="H1823" i="6" s="1"/>
  <c r="F1823" i="6"/>
  <c r="F1646" i="6"/>
  <c r="G1646" i="6"/>
  <c r="H1646" i="6" s="1"/>
  <c r="F284" i="6"/>
  <c r="G284" i="6"/>
  <c r="H284" i="6" s="1"/>
  <c r="F1540" i="6"/>
  <c r="G1540" i="6"/>
  <c r="H1540" i="6" s="1"/>
  <c r="F291" i="6"/>
  <c r="G291" i="6"/>
  <c r="H291" i="6" s="1"/>
  <c r="G2736" i="6"/>
  <c r="H2736" i="6" s="1"/>
  <c r="F2736" i="6"/>
  <c r="G2197" i="6"/>
  <c r="H2197" i="6" s="1"/>
  <c r="F2197" i="6"/>
  <c r="G1820" i="6"/>
  <c r="H1820" i="6" s="1"/>
  <c r="F1820" i="6"/>
  <c r="G2732" i="6"/>
  <c r="H2732" i="6" s="1"/>
  <c r="F2732" i="6"/>
  <c r="F1253" i="6"/>
  <c r="G1253" i="6"/>
  <c r="H1253" i="6" s="1"/>
  <c r="F299" i="6"/>
  <c r="G299" i="6"/>
  <c r="H299" i="6" s="1"/>
  <c r="G2729" i="6"/>
  <c r="H2729" i="6" s="1"/>
  <c r="F2729" i="6"/>
  <c r="G2192" i="6"/>
  <c r="H2192" i="6" s="1"/>
  <c r="F2192" i="6"/>
  <c r="F312" i="6"/>
  <c r="G312" i="6"/>
  <c r="H312" i="6" s="1"/>
  <c r="G2721" i="6"/>
  <c r="H2721" i="6" s="1"/>
  <c r="F2721" i="6"/>
  <c r="G2718" i="6"/>
  <c r="H2718" i="6" s="1"/>
  <c r="F2718" i="6"/>
  <c r="G2185" i="6"/>
  <c r="H2185" i="6" s="1"/>
  <c r="F2185" i="6"/>
  <c r="G2716" i="6"/>
  <c r="H2716" i="6" s="1"/>
  <c r="F2716" i="6"/>
  <c r="F319" i="6"/>
  <c r="G319" i="6"/>
  <c r="H319" i="6" s="1"/>
  <c r="F329" i="6"/>
  <c r="G329" i="6"/>
  <c r="H329" i="6" s="1"/>
  <c r="F331" i="6"/>
  <c r="G331" i="6"/>
  <c r="H331" i="6" s="1"/>
  <c r="G2180" i="6"/>
  <c r="H2180" i="6" s="1"/>
  <c r="F2180" i="6"/>
  <c r="F1276" i="6"/>
  <c r="G1276" i="6"/>
  <c r="H1276" i="6" s="1"/>
  <c r="G2177" i="6"/>
  <c r="H2177" i="6" s="1"/>
  <c r="F2177" i="6"/>
  <c r="F335" i="6"/>
  <c r="G335" i="6"/>
  <c r="H335" i="6" s="1"/>
  <c r="F342" i="6"/>
  <c r="G342" i="6"/>
  <c r="H342" i="6" s="1"/>
  <c r="F344" i="6"/>
  <c r="G344" i="6"/>
  <c r="H344" i="6" s="1"/>
  <c r="F348" i="6"/>
  <c r="G348" i="6"/>
  <c r="H348" i="6" s="1"/>
  <c r="F351" i="6"/>
  <c r="G351" i="6"/>
  <c r="H351" i="6" s="1"/>
  <c r="F352" i="6"/>
  <c r="G352" i="6"/>
  <c r="H352" i="6" s="1"/>
  <c r="G1815" i="6"/>
  <c r="H1815" i="6" s="1"/>
  <c r="F1815" i="6"/>
  <c r="F1278" i="6"/>
  <c r="G1278" i="6"/>
  <c r="H1278" i="6" s="1"/>
  <c r="G2165" i="6"/>
  <c r="H2165" i="6" s="1"/>
  <c r="F2165" i="6"/>
  <c r="F1285" i="6"/>
  <c r="G1285" i="6"/>
  <c r="H1285" i="6" s="1"/>
  <c r="F357" i="6"/>
  <c r="G357" i="6"/>
  <c r="H357" i="6" s="1"/>
  <c r="F1557" i="6"/>
  <c r="G1557" i="6"/>
  <c r="H1557" i="6" s="1"/>
  <c r="F360" i="6"/>
  <c r="G360" i="6"/>
  <c r="H360" i="6" s="1"/>
  <c r="F367" i="6"/>
  <c r="G367" i="6"/>
  <c r="H367" i="6" s="1"/>
  <c r="G2684" i="6"/>
  <c r="H2684" i="6" s="1"/>
  <c r="F2684" i="6"/>
  <c r="F368" i="6"/>
  <c r="G368" i="6"/>
  <c r="H368" i="6" s="1"/>
  <c r="G2682" i="6"/>
  <c r="H2682" i="6" s="1"/>
  <c r="F2682" i="6"/>
  <c r="G1808" i="6"/>
  <c r="H1808" i="6" s="1"/>
  <c r="F1808" i="6"/>
  <c r="F1294" i="6"/>
  <c r="G1294" i="6"/>
  <c r="H1294" i="6" s="1"/>
  <c r="F1302" i="6"/>
  <c r="G1302" i="6"/>
  <c r="H1302" i="6" s="1"/>
  <c r="F373" i="6"/>
  <c r="G373" i="6"/>
  <c r="H373" i="6" s="1"/>
  <c r="G1805" i="6"/>
  <c r="H1805" i="6" s="1"/>
  <c r="F1805" i="6"/>
  <c r="G2674" i="6"/>
  <c r="H2674" i="6" s="1"/>
  <c r="F2674" i="6"/>
  <c r="G2673" i="6"/>
  <c r="H2673" i="6" s="1"/>
  <c r="F2673" i="6"/>
  <c r="G1803" i="6"/>
  <c r="H1803" i="6" s="1"/>
  <c r="F1803" i="6"/>
  <c r="G1802" i="6"/>
  <c r="H1802" i="6" s="1"/>
  <c r="F1802" i="6"/>
  <c r="G2668" i="6"/>
  <c r="H2668" i="6" s="1"/>
  <c r="F2668" i="6"/>
  <c r="F1309" i="6"/>
  <c r="G1309" i="6"/>
  <c r="H1309" i="6" s="1"/>
  <c r="F375" i="6"/>
  <c r="G375" i="6"/>
  <c r="H375" i="6" s="1"/>
  <c r="G1800" i="6"/>
  <c r="H1800" i="6" s="1"/>
  <c r="F1800" i="6"/>
  <c r="F398" i="6"/>
  <c r="G398" i="6"/>
  <c r="H398" i="6" s="1"/>
  <c r="F399" i="6"/>
  <c r="G399" i="6"/>
  <c r="H399" i="6" s="1"/>
  <c r="G2658" i="6"/>
  <c r="H2658" i="6" s="1"/>
  <c r="F2658" i="6"/>
  <c r="G2656" i="6"/>
  <c r="H2656" i="6" s="1"/>
  <c r="F2656" i="6"/>
  <c r="F402" i="6"/>
  <c r="G402" i="6"/>
  <c r="H402" i="6" s="1"/>
  <c r="F2913" i="6"/>
  <c r="G2341" i="6"/>
  <c r="H2341" i="6" s="1"/>
  <c r="F2341" i="6"/>
  <c r="F534" i="6"/>
  <c r="G534" i="6"/>
  <c r="H534" i="6" s="1"/>
  <c r="F1121" i="6"/>
  <c r="G1121" i="6"/>
  <c r="H1121" i="6" s="1"/>
  <c r="G2338" i="6"/>
  <c r="H2338" i="6" s="1"/>
  <c r="F2338" i="6"/>
  <c r="G3201" i="6"/>
  <c r="H3201" i="6" s="1"/>
  <c r="F3201" i="6"/>
  <c r="G2575" i="6"/>
  <c r="H2575" i="6" s="1"/>
  <c r="F2575" i="6"/>
  <c r="F1122" i="6"/>
  <c r="G1122" i="6"/>
  <c r="H1122" i="6" s="1"/>
  <c r="F1611" i="6"/>
  <c r="G1611" i="6"/>
  <c r="H1611" i="6" s="1"/>
  <c r="G2904" i="6"/>
  <c r="H2904" i="6" s="1"/>
  <c r="F2904" i="6"/>
  <c r="G2903" i="6"/>
  <c r="H2903" i="6" s="1"/>
  <c r="F2903" i="6"/>
  <c r="G2066" i="6"/>
  <c r="H2066" i="6" s="1"/>
  <c r="F2066" i="6"/>
  <c r="G2901" i="6"/>
  <c r="H2901" i="6" s="1"/>
  <c r="F2901" i="6"/>
  <c r="F535" i="6"/>
  <c r="G535" i="6"/>
  <c r="H535" i="6" s="1"/>
  <c r="F537" i="6"/>
  <c r="G537" i="6"/>
  <c r="H537" i="6" s="1"/>
  <c r="F555" i="6"/>
  <c r="G555" i="6"/>
  <c r="H555" i="6" s="1"/>
  <c r="F562" i="6"/>
  <c r="G562" i="6"/>
  <c r="H562" i="6" s="1"/>
  <c r="G2331" i="6"/>
  <c r="H2331" i="6" s="1"/>
  <c r="F2331" i="6"/>
  <c r="G1777" i="6"/>
  <c r="H1777" i="6" s="1"/>
  <c r="F1777" i="6"/>
  <c r="F585" i="6"/>
  <c r="G585" i="6"/>
  <c r="H585" i="6" s="1"/>
  <c r="G2893" i="6"/>
  <c r="H2893" i="6" s="1"/>
  <c r="F2893" i="6"/>
  <c r="G1724" i="6"/>
  <c r="H1724" i="6" s="1"/>
  <c r="F1724" i="6"/>
  <c r="F1348" i="6"/>
  <c r="G1348" i="6"/>
  <c r="H1348" i="6" s="1"/>
  <c r="G2890" i="6"/>
  <c r="H2890" i="6" s="1"/>
  <c r="F2890" i="6"/>
  <c r="F1149" i="6"/>
  <c r="G1149" i="6"/>
  <c r="H1149" i="6" s="1"/>
  <c r="G2325" i="6"/>
  <c r="H2325" i="6" s="1"/>
  <c r="F2325" i="6"/>
  <c r="G2324" i="6"/>
  <c r="H2324" i="6" s="1"/>
  <c r="F2324" i="6"/>
  <c r="G3180" i="6"/>
  <c r="H3180" i="6" s="1"/>
  <c r="F3180" i="6"/>
  <c r="G2552" i="6"/>
  <c r="H2552" i="6" s="1"/>
  <c r="F2552" i="6"/>
  <c r="G2321" i="6"/>
  <c r="H2321" i="6" s="1"/>
  <c r="F2321" i="6"/>
  <c r="F1150" i="6"/>
  <c r="G1150" i="6"/>
  <c r="H1150" i="6" s="1"/>
  <c r="G1869" i="6"/>
  <c r="H1869" i="6" s="1"/>
  <c r="F1869" i="6"/>
  <c r="F596" i="6"/>
  <c r="G596" i="6"/>
  <c r="H596" i="6" s="1"/>
  <c r="F1155" i="6"/>
  <c r="G1155" i="6"/>
  <c r="H1155" i="6" s="1"/>
  <c r="F597" i="6"/>
  <c r="G597" i="6"/>
  <c r="H597" i="6" s="1"/>
  <c r="G3173" i="6"/>
  <c r="H3173" i="6" s="1"/>
  <c r="F3173" i="6"/>
  <c r="G1721" i="6"/>
  <c r="H1721" i="6" s="1"/>
  <c r="F1721" i="6"/>
  <c r="G2313" i="6"/>
  <c r="H2313" i="6" s="1"/>
  <c r="F2313" i="6"/>
  <c r="G2875" i="6"/>
  <c r="H2875" i="6" s="1"/>
  <c r="F2875" i="6"/>
  <c r="F1616" i="6"/>
  <c r="G1616" i="6"/>
  <c r="H1616" i="6" s="1"/>
  <c r="F1511" i="6"/>
  <c r="G1511" i="6"/>
  <c r="H1511" i="6" s="1"/>
  <c r="G2547" i="6"/>
  <c r="H2547" i="6" s="1"/>
  <c r="F2547" i="6"/>
  <c r="G3168" i="6"/>
  <c r="H3168" i="6" s="1"/>
  <c r="F3168" i="6"/>
  <c r="G2870" i="6"/>
  <c r="H2870" i="6" s="1"/>
  <c r="F2870" i="6"/>
  <c r="F1370" i="6"/>
  <c r="G1370" i="6"/>
  <c r="H1370" i="6" s="1"/>
  <c r="F1156" i="6"/>
  <c r="G1156" i="6"/>
  <c r="H1156" i="6" s="1"/>
  <c r="F1161" i="6"/>
  <c r="G1161" i="6"/>
  <c r="H1161" i="6" s="1"/>
  <c r="G2039" i="6"/>
  <c r="H2039" i="6" s="1"/>
  <c r="F2039" i="6"/>
  <c r="G2534" i="6"/>
  <c r="H2534" i="6" s="1"/>
  <c r="F2534" i="6"/>
  <c r="G3153" i="6"/>
  <c r="H3153" i="6" s="1"/>
  <c r="F3153" i="6"/>
  <c r="F635" i="6"/>
  <c r="G635" i="6"/>
  <c r="H635" i="6" s="1"/>
  <c r="G2031" i="6"/>
  <c r="H2031" i="6" s="1"/>
  <c r="F2031" i="6"/>
  <c r="F644" i="6"/>
  <c r="G644" i="6"/>
  <c r="H644" i="6" s="1"/>
  <c r="F645" i="6"/>
  <c r="G645" i="6"/>
  <c r="H645" i="6" s="1"/>
  <c r="F646" i="6"/>
  <c r="G646" i="6"/>
  <c r="H646" i="6" s="1"/>
  <c r="G3140" i="6"/>
  <c r="H3140" i="6" s="1"/>
  <c r="F3140" i="6"/>
  <c r="G3135" i="6"/>
  <c r="H3135" i="6" s="1"/>
  <c r="F3135" i="6"/>
  <c r="G2297" i="6"/>
  <c r="H2297" i="6" s="1"/>
  <c r="F2297" i="6"/>
  <c r="G3133" i="6"/>
  <c r="H3133" i="6" s="1"/>
  <c r="F3133" i="6"/>
  <c r="G3131" i="6"/>
  <c r="H3131" i="6" s="1"/>
  <c r="F3131" i="6"/>
  <c r="G2516" i="6"/>
  <c r="H2516" i="6" s="1"/>
  <c r="F2516" i="6"/>
  <c r="F683" i="6"/>
  <c r="G683" i="6"/>
  <c r="H683" i="6" s="1"/>
  <c r="G1766" i="6"/>
  <c r="H1766" i="6" s="1"/>
  <c r="F1766" i="6"/>
  <c r="F1203" i="6"/>
  <c r="G1203" i="6"/>
  <c r="H1203" i="6" s="1"/>
  <c r="F1381" i="6"/>
  <c r="G1381" i="6"/>
  <c r="H1381" i="6" s="1"/>
  <c r="G1843" i="6"/>
  <c r="H1843" i="6" s="1"/>
  <c r="F1843" i="6"/>
  <c r="F1382" i="6"/>
  <c r="G1382" i="6"/>
  <c r="H1382" i="6" s="1"/>
  <c r="F696" i="6"/>
  <c r="G696" i="6"/>
  <c r="H696" i="6" s="1"/>
  <c r="F706" i="6"/>
  <c r="G706" i="6"/>
  <c r="H706" i="6" s="1"/>
  <c r="G1713" i="6"/>
  <c r="H1713" i="6" s="1"/>
  <c r="F1713" i="6"/>
  <c r="G3108" i="6"/>
  <c r="H3108" i="6" s="1"/>
  <c r="F3108" i="6"/>
  <c r="F715" i="6"/>
  <c r="G715" i="6"/>
  <c r="H715" i="6" s="1"/>
  <c r="F1514" i="6"/>
  <c r="G1514" i="6"/>
  <c r="H1514" i="6" s="1"/>
  <c r="F1220" i="6"/>
  <c r="G1220" i="6"/>
  <c r="H1220" i="6" s="1"/>
  <c r="G3103" i="6"/>
  <c r="H3103" i="6" s="1"/>
  <c r="F3103" i="6"/>
  <c r="G2496" i="6"/>
  <c r="H2496" i="6" s="1"/>
  <c r="F2496" i="6"/>
  <c r="F1656" i="6"/>
  <c r="G1656" i="6"/>
  <c r="H1656" i="6" s="1"/>
  <c r="F33" i="6"/>
  <c r="G33" i="6"/>
  <c r="H33" i="6" s="1"/>
  <c r="F36" i="6"/>
  <c r="G36" i="6"/>
  <c r="H36" i="6" s="1"/>
  <c r="F37" i="6"/>
  <c r="G37" i="6"/>
  <c r="H37" i="6" s="1"/>
  <c r="G2276" i="6"/>
  <c r="H2276" i="6" s="1"/>
  <c r="F2276" i="6"/>
  <c r="G3099" i="6"/>
  <c r="H3099" i="6" s="1"/>
  <c r="F3099" i="6"/>
  <c r="G2274" i="6"/>
  <c r="H2274" i="6" s="1"/>
  <c r="F2274" i="6"/>
  <c r="G2494" i="6"/>
  <c r="H2494" i="6" s="1"/>
  <c r="F2494" i="6"/>
  <c r="F47" i="6"/>
  <c r="G47" i="6"/>
  <c r="H47" i="6" s="1"/>
  <c r="G2493" i="6"/>
  <c r="H2493" i="6" s="1"/>
  <c r="F2493" i="6"/>
  <c r="G2492" i="6"/>
  <c r="H2492" i="6" s="1"/>
  <c r="F2492" i="6"/>
  <c r="G2489" i="6"/>
  <c r="H2489" i="6" s="1"/>
  <c r="F2489" i="6"/>
  <c r="G3092" i="6"/>
  <c r="H3092" i="6" s="1"/>
  <c r="F3092" i="6"/>
  <c r="G3091" i="6"/>
  <c r="H3091" i="6" s="1"/>
  <c r="F3091" i="6"/>
  <c r="G1998" i="6"/>
  <c r="H1998" i="6" s="1"/>
  <c r="F1998" i="6"/>
  <c r="F59" i="6"/>
  <c r="G59" i="6"/>
  <c r="H59" i="6" s="1"/>
  <c r="G1996" i="6"/>
  <c r="H1996" i="6" s="1"/>
  <c r="F1996" i="6"/>
  <c r="F1637" i="6"/>
  <c r="G1637" i="6"/>
  <c r="H1637" i="6" s="1"/>
  <c r="G1670" i="6"/>
  <c r="H1670" i="6" s="1"/>
  <c r="F1670" i="6"/>
  <c r="F75" i="6"/>
  <c r="G75" i="6"/>
  <c r="H75" i="6" s="1"/>
  <c r="G2475" i="6"/>
  <c r="H2475" i="6" s="1"/>
  <c r="F2475" i="6"/>
  <c r="G2470" i="6"/>
  <c r="H2470" i="6" s="1"/>
  <c r="F2470" i="6"/>
  <c r="G1752" i="6"/>
  <c r="H1752" i="6" s="1"/>
  <c r="F2263" i="6"/>
  <c r="F1752" i="6"/>
  <c r="F773" i="6"/>
  <c r="G773" i="6"/>
  <c r="H773" i="6" s="1"/>
  <c r="G1979" i="6"/>
  <c r="H1979" i="6" s="1"/>
  <c r="F1979" i="6"/>
  <c r="G3056" i="6"/>
  <c r="H3056" i="6" s="1"/>
  <c r="F93" i="6"/>
  <c r="G93" i="6"/>
  <c r="H93" i="6" s="1"/>
  <c r="F3056" i="6"/>
  <c r="G1976" i="6"/>
  <c r="H1976" i="6" s="1"/>
  <c r="F1976" i="6"/>
  <c r="F1443" i="6"/>
  <c r="F99" i="6"/>
  <c r="G99" i="6"/>
  <c r="H99" i="6" s="1"/>
  <c r="G1443" i="6"/>
  <c r="H1443" i="6" s="1"/>
  <c r="F799" i="6"/>
  <c r="G799" i="6"/>
  <c r="H799" i="6" s="1"/>
  <c r="G2450" i="6"/>
  <c r="H2450" i="6" s="1"/>
  <c r="F2450" i="6"/>
  <c r="G3045" i="6"/>
  <c r="H3045" i="6" s="1"/>
  <c r="F3045" i="6"/>
  <c r="G3042" i="6"/>
  <c r="H3042" i="6" s="1"/>
  <c r="F3042" i="6"/>
  <c r="F811" i="6"/>
  <c r="F102" i="6"/>
  <c r="G102" i="6"/>
  <c r="H102" i="6" s="1"/>
  <c r="G811" i="6"/>
  <c r="H811" i="6" s="1"/>
  <c r="F825" i="6"/>
  <c r="G825" i="6"/>
  <c r="H825" i="6" s="1"/>
  <c r="G3038" i="6"/>
  <c r="H3038" i="6" s="1"/>
  <c r="G2799" i="6"/>
  <c r="H2799" i="6" s="1"/>
  <c r="F2799" i="6"/>
  <c r="F3038" i="6"/>
  <c r="F834" i="6"/>
  <c r="G834" i="6"/>
  <c r="H834" i="6" s="1"/>
  <c r="F846" i="6"/>
  <c r="F109" i="6"/>
  <c r="G109" i="6"/>
  <c r="H109" i="6" s="1"/>
  <c r="G846" i="6"/>
  <c r="H846" i="6" s="1"/>
  <c r="G1685" i="6"/>
  <c r="H1685" i="6" s="1"/>
  <c r="F1685" i="6"/>
  <c r="F855" i="6"/>
  <c r="F111" i="6"/>
  <c r="G111" i="6"/>
  <c r="H111" i="6" s="1"/>
  <c r="G2243" i="6"/>
  <c r="H2243" i="6" s="1"/>
  <c r="F2243" i="6"/>
  <c r="G855" i="6"/>
  <c r="H855" i="6" s="1"/>
  <c r="G1958" i="6"/>
  <c r="H1958" i="6" s="1"/>
  <c r="F1958" i="6"/>
  <c r="G3025" i="6"/>
  <c r="H3025" i="6" s="1"/>
  <c r="F3025" i="6"/>
  <c r="F865" i="6"/>
  <c r="G2788" i="6"/>
  <c r="H2788" i="6" s="1"/>
  <c r="F2788" i="6"/>
  <c r="F129" i="6"/>
  <c r="G129" i="6"/>
  <c r="H129" i="6" s="1"/>
  <c r="F1241" i="6"/>
  <c r="G1241" i="6"/>
  <c r="H1241" i="6" s="1"/>
  <c r="F134" i="6"/>
  <c r="G134" i="6"/>
  <c r="H134" i="6" s="1"/>
  <c r="G865" i="6"/>
  <c r="H865" i="6" s="1"/>
  <c r="F869" i="6"/>
  <c r="F137" i="6"/>
  <c r="G137" i="6"/>
  <c r="H137" i="6" s="1"/>
  <c r="G869" i="6"/>
  <c r="H869" i="6" s="1"/>
  <c r="F873" i="6"/>
  <c r="F142" i="6"/>
  <c r="G142" i="6"/>
  <c r="H142" i="6" s="1"/>
  <c r="G873" i="6"/>
  <c r="H873" i="6" s="1"/>
  <c r="G1952" i="6"/>
  <c r="H1952" i="6" s="1"/>
  <c r="F1952" i="6"/>
  <c r="F877" i="6"/>
  <c r="F1520" i="6"/>
  <c r="G1520" i="6"/>
  <c r="H1520" i="6" s="1"/>
  <c r="F155" i="6"/>
  <c r="G155" i="6"/>
  <c r="H155" i="6" s="1"/>
  <c r="G877" i="6"/>
  <c r="H877" i="6" s="1"/>
  <c r="F1602" i="6"/>
  <c r="G1602" i="6"/>
  <c r="H1602" i="6" s="1"/>
  <c r="F903" i="6"/>
  <c r="F171" i="6"/>
  <c r="G171" i="6"/>
  <c r="H171" i="6" s="1"/>
  <c r="G903" i="6"/>
  <c r="H903" i="6" s="1"/>
  <c r="F1449" i="6"/>
  <c r="G1449" i="6"/>
  <c r="H1449" i="6" s="1"/>
  <c r="F1452" i="6"/>
  <c r="G2771" i="6"/>
  <c r="H2771" i="6" s="1"/>
  <c r="F2771" i="6"/>
  <c r="F174" i="6"/>
  <c r="G174" i="6"/>
  <c r="H174" i="6" s="1"/>
  <c r="F176" i="6"/>
  <c r="G176" i="6"/>
  <c r="H176" i="6" s="1"/>
  <c r="G2768" i="6"/>
  <c r="H2768" i="6" s="1"/>
  <c r="F2768" i="6"/>
  <c r="G1452" i="6"/>
  <c r="H1452" i="6" s="1"/>
  <c r="F920" i="6"/>
  <c r="G920" i="6"/>
  <c r="H920" i="6" s="1"/>
  <c r="G3002" i="6"/>
  <c r="H3002" i="6" s="1"/>
  <c r="F3002" i="6"/>
  <c r="G2411" i="6"/>
  <c r="H2411" i="6" s="1"/>
  <c r="F2411" i="6"/>
  <c r="F921" i="6"/>
  <c r="G921" i="6"/>
  <c r="H921" i="6" s="1"/>
  <c r="G2997" i="6"/>
  <c r="H2997" i="6" s="1"/>
  <c r="G2762" i="6"/>
  <c r="H2762" i="6" s="1"/>
  <c r="F2762" i="6"/>
  <c r="F2997" i="6"/>
  <c r="G2996" i="6"/>
  <c r="H2996" i="6" s="1"/>
  <c r="F2996" i="6"/>
  <c r="F938" i="6"/>
  <c r="G938" i="6"/>
  <c r="H938" i="6" s="1"/>
  <c r="G1931" i="6"/>
  <c r="H1931" i="6" s="1"/>
  <c r="F203" i="6"/>
  <c r="G203" i="6"/>
  <c r="H203" i="6" s="1"/>
  <c r="F1931" i="6"/>
  <c r="F1456" i="6"/>
  <c r="G1456" i="6"/>
  <c r="H1456" i="6" s="1"/>
  <c r="F953" i="6"/>
  <c r="G953" i="6"/>
  <c r="H953" i="6" s="1"/>
  <c r="G1924" i="6"/>
  <c r="H1924" i="6" s="1"/>
  <c r="F1924" i="6"/>
  <c r="F1472" i="6"/>
  <c r="F1245" i="6"/>
  <c r="G1245" i="6"/>
  <c r="H1245" i="6" s="1"/>
  <c r="G1472" i="6"/>
  <c r="H1472" i="6" s="1"/>
  <c r="F416" i="6"/>
  <c r="F1248" i="6"/>
  <c r="G1248" i="6"/>
  <c r="H1248" i="6" s="1"/>
  <c r="G416" i="6"/>
  <c r="H416" i="6" s="1"/>
  <c r="F1563" i="6"/>
  <c r="G1563" i="6"/>
  <c r="H1563" i="6" s="1"/>
  <c r="G1921" i="6"/>
  <c r="H1921" i="6" s="1"/>
  <c r="F1921" i="6"/>
  <c r="G2131" i="6"/>
  <c r="H2131" i="6" s="1"/>
  <c r="F243" i="6"/>
  <c r="G243" i="6"/>
  <c r="H243" i="6" s="1"/>
  <c r="F249" i="6"/>
  <c r="G249" i="6"/>
  <c r="H249" i="6" s="1"/>
  <c r="F258" i="6"/>
  <c r="G258" i="6"/>
  <c r="H258" i="6" s="1"/>
  <c r="F269" i="6"/>
  <c r="G269" i="6"/>
  <c r="H269" i="6" s="1"/>
  <c r="F2131" i="6"/>
  <c r="G3293" i="6"/>
  <c r="H3293" i="6" s="1"/>
  <c r="F3293" i="6"/>
  <c r="F1313" i="6"/>
  <c r="G1313" i="6"/>
  <c r="H1313" i="6" s="1"/>
  <c r="F426" i="6"/>
  <c r="F285" i="6"/>
  <c r="G285" i="6"/>
  <c r="H285" i="6" s="1"/>
  <c r="F286" i="6"/>
  <c r="G286" i="6"/>
  <c r="H286" i="6" s="1"/>
  <c r="G426" i="6"/>
  <c r="H426" i="6" s="1"/>
  <c r="G2646" i="6"/>
  <c r="H2646" i="6" s="1"/>
  <c r="F292" i="6"/>
  <c r="G292" i="6"/>
  <c r="H292" i="6" s="1"/>
  <c r="F2646" i="6"/>
  <c r="G1917" i="6"/>
  <c r="H1917" i="6" s="1"/>
  <c r="F294" i="6"/>
  <c r="G2263" i="6"/>
  <c r="H2263" i="6" s="1"/>
  <c r="F1917" i="6"/>
  <c r="G3278" i="6"/>
  <c r="H3278" i="6" s="1"/>
  <c r="F3278" i="6"/>
  <c r="F441" i="6"/>
  <c r="G441" i="6"/>
  <c r="H441" i="6" s="1"/>
  <c r="G1915" i="6"/>
  <c r="H1915" i="6" s="1"/>
  <c r="F1915" i="6"/>
  <c r="G1794" i="6"/>
  <c r="H1794" i="6" s="1"/>
  <c r="F1794" i="6"/>
  <c r="G2380" i="6"/>
  <c r="H2380" i="6" s="1"/>
  <c r="F2380" i="6"/>
  <c r="G1736" i="6"/>
  <c r="H1736" i="6" s="1"/>
  <c r="F307" i="6"/>
  <c r="G307" i="6"/>
  <c r="H307" i="6" s="1"/>
  <c r="F1736" i="6"/>
  <c r="F448" i="6"/>
  <c r="G2191" i="6"/>
  <c r="H2191" i="6" s="1"/>
  <c r="F2191" i="6"/>
  <c r="F311" i="6"/>
  <c r="G311" i="6"/>
  <c r="H311" i="6" s="1"/>
  <c r="F1260" i="6"/>
  <c r="G1260" i="6"/>
  <c r="H1260" i="6" s="1"/>
  <c r="G448" i="6"/>
  <c r="H448" i="6" s="1"/>
  <c r="G2958" i="6"/>
  <c r="H2958" i="6" s="1"/>
  <c r="F316" i="6"/>
  <c r="G316" i="6"/>
  <c r="H316" i="6" s="1"/>
  <c r="F2958" i="6"/>
  <c r="G3270" i="6"/>
  <c r="H3270" i="6" s="1"/>
  <c r="F1542" i="6"/>
  <c r="G1542" i="6"/>
  <c r="H1542" i="6" s="1"/>
  <c r="G2719" i="6"/>
  <c r="H2719" i="6" s="1"/>
  <c r="F2719" i="6"/>
  <c r="F3270" i="6"/>
  <c r="F470" i="6"/>
  <c r="G470" i="6"/>
  <c r="H470" i="6" s="1"/>
  <c r="F1564" i="6"/>
  <c r="G1564" i="6"/>
  <c r="H1564" i="6" s="1"/>
  <c r="F1018" i="6"/>
  <c r="G1018" i="6"/>
  <c r="H1018" i="6" s="1"/>
  <c r="G3264" i="6"/>
  <c r="H3264" i="6" s="1"/>
  <c r="F324" i="6"/>
  <c r="G324" i="6"/>
  <c r="H324" i="6" s="1"/>
  <c r="F3264" i="6"/>
  <c r="F1647" i="6"/>
  <c r="G1647" i="6"/>
  <c r="H1647" i="6" s="1"/>
  <c r="G2951" i="6"/>
  <c r="H2951" i="6" s="1"/>
  <c r="F2951" i="6"/>
  <c r="F1046" i="6"/>
  <c r="G1046" i="6"/>
  <c r="H1046" i="6" s="1"/>
  <c r="G2949" i="6"/>
  <c r="H2949" i="6" s="1"/>
  <c r="G2178" i="6"/>
  <c r="H2178" i="6" s="1"/>
  <c r="F2178" i="6"/>
  <c r="G2708" i="6"/>
  <c r="H2708" i="6" s="1"/>
  <c r="F2708" i="6"/>
  <c r="F2949" i="6"/>
  <c r="G1734" i="6"/>
  <c r="H1734" i="6" s="1"/>
  <c r="F1734" i="6"/>
  <c r="F1061" i="6"/>
  <c r="G1061" i="6"/>
  <c r="H1061" i="6" s="1"/>
  <c r="G2622" i="6"/>
  <c r="H2622" i="6" s="1"/>
  <c r="F2622" i="6"/>
  <c r="F480" i="6"/>
  <c r="G480" i="6"/>
  <c r="H480" i="6" s="1"/>
  <c r="F1565" i="6"/>
  <c r="F350" i="6"/>
  <c r="G350" i="6"/>
  <c r="H350" i="6" s="1"/>
  <c r="G2701" i="6"/>
  <c r="H2701" i="6" s="1"/>
  <c r="F2701" i="6"/>
  <c r="G1565" i="6"/>
  <c r="H1565" i="6" s="1"/>
  <c r="F490" i="6"/>
  <c r="G490" i="6"/>
  <c r="H490" i="6" s="1"/>
  <c r="F1074" i="6"/>
  <c r="F355" i="6"/>
  <c r="G355" i="6"/>
  <c r="H355" i="6" s="1"/>
  <c r="G1074" i="6"/>
  <c r="H1074" i="6" s="1"/>
  <c r="G2101" i="6"/>
  <c r="H2101" i="6" s="1"/>
  <c r="G1704" i="6"/>
  <c r="H1704" i="6" s="1"/>
  <c r="F1704" i="6"/>
  <c r="F2101" i="6"/>
  <c r="G2940" i="6"/>
  <c r="H2940" i="6" s="1"/>
  <c r="F2940" i="6"/>
  <c r="G1899" i="6"/>
  <c r="H1899" i="6" s="1"/>
  <c r="F1899" i="6"/>
  <c r="F1083" i="6"/>
  <c r="F356" i="6"/>
  <c r="G356" i="6"/>
  <c r="H356" i="6" s="1"/>
  <c r="F1293" i="6"/>
  <c r="G1293" i="6"/>
  <c r="H1293" i="6" s="1"/>
  <c r="G2161" i="6"/>
  <c r="H2161" i="6" s="1"/>
  <c r="F2161" i="6"/>
  <c r="G1083" i="6"/>
  <c r="H1083" i="6" s="1"/>
  <c r="G2613" i="6"/>
  <c r="H2613" i="6" s="1"/>
  <c r="F2613" i="6"/>
  <c r="G1897" i="6"/>
  <c r="H1897" i="6" s="1"/>
  <c r="F1559" i="6"/>
  <c r="G1559" i="6"/>
  <c r="H1559" i="6" s="1"/>
  <c r="F1897" i="6"/>
  <c r="F1085" i="6"/>
  <c r="G1085" i="6"/>
  <c r="H1085" i="6" s="1"/>
  <c r="G1790" i="6"/>
  <c r="H1790" i="6" s="1"/>
  <c r="F1790" i="6"/>
  <c r="G2933" i="6"/>
  <c r="H2933" i="6" s="1"/>
  <c r="F2933" i="6"/>
  <c r="G2098" i="6"/>
  <c r="H2098" i="6" s="1"/>
  <c r="F2098" i="6"/>
  <c r="F1088" i="6"/>
  <c r="G1088" i="6"/>
  <c r="H1088" i="6" s="1"/>
  <c r="F1328" i="6"/>
  <c r="G1328" i="6"/>
  <c r="H1328" i="6" s="1"/>
  <c r="F1094" i="6"/>
  <c r="G2152" i="6"/>
  <c r="H2152" i="6" s="1"/>
  <c r="F2152" i="6"/>
  <c r="G1094" i="6"/>
  <c r="H1094" i="6" s="1"/>
  <c r="F500" i="6"/>
  <c r="G500" i="6"/>
  <c r="H500" i="6" s="1"/>
  <c r="G3230" i="6"/>
  <c r="H3230" i="6" s="1"/>
  <c r="F3230" i="6"/>
  <c r="F1329" i="6"/>
  <c r="F1561" i="6"/>
  <c r="G1561" i="6"/>
  <c r="H1561" i="6" s="1"/>
  <c r="G1329" i="6"/>
  <c r="H1329" i="6" s="1"/>
  <c r="F1572" i="6"/>
  <c r="G1572" i="6"/>
  <c r="H1572" i="6" s="1"/>
  <c r="F1339" i="6"/>
  <c r="F374" i="6"/>
  <c r="G374" i="6"/>
  <c r="H374" i="6" s="1"/>
  <c r="G1339" i="6"/>
  <c r="H1339" i="6" s="1"/>
  <c r="G1730" i="6"/>
  <c r="H1730" i="6" s="1"/>
  <c r="F1730" i="6"/>
  <c r="F502" i="6"/>
  <c r="G2144" i="6"/>
  <c r="H2144" i="6" s="1"/>
  <c r="F2144" i="6"/>
  <c r="G502" i="6"/>
  <c r="H502" i="6" s="1"/>
  <c r="G1729" i="6"/>
  <c r="H1729" i="6" s="1"/>
  <c r="F1729" i="6"/>
  <c r="G2589" i="6"/>
  <c r="H2589" i="6" s="1"/>
  <c r="F2589" i="6"/>
  <c r="G2588" i="6"/>
  <c r="H2588" i="6" s="1"/>
  <c r="F2588" i="6"/>
  <c r="F1113" i="6"/>
  <c r="F1311" i="6"/>
  <c r="G1311" i="6"/>
  <c r="H1311" i="6" s="1"/>
  <c r="F379" i="6"/>
  <c r="G379" i="6"/>
  <c r="H379" i="6" s="1"/>
  <c r="G2662" i="6"/>
  <c r="H2662" i="6" s="1"/>
  <c r="F2662" i="6"/>
  <c r="G1113" i="6"/>
  <c r="H1113" i="6" s="1"/>
  <c r="F1480" i="6"/>
  <c r="G2137" i="6"/>
  <c r="H2137" i="6" s="1"/>
  <c r="F2137" i="6"/>
  <c r="G1480" i="6"/>
  <c r="H1480" i="6" s="1"/>
  <c r="G2344" i="6"/>
  <c r="H2344" i="6" s="1"/>
  <c r="F2344" i="6"/>
  <c r="G3209" i="6"/>
  <c r="H3209" i="6" s="1"/>
  <c r="G2657" i="6"/>
  <c r="H2657" i="6" s="1"/>
  <c r="F2657" i="6"/>
  <c r="F3209" i="6"/>
  <c r="F1346" i="6"/>
  <c r="G1346" i="6"/>
  <c r="H1346" i="6" s="1"/>
  <c r="G2913" i="6"/>
  <c r="H2913" i="6" s="1"/>
  <c r="G294" i="6"/>
  <c r="H294" i="6" s="1"/>
  <c r="F2891" i="6"/>
  <c r="G3297" i="6"/>
  <c r="H3297" i="6" s="1"/>
  <c r="F3297" i="6"/>
  <c r="G2011" i="6"/>
  <c r="H2011" i="6" s="1"/>
  <c r="F2011" i="6"/>
  <c r="G2009" i="6"/>
  <c r="H2009" i="6" s="1"/>
  <c r="F2009" i="6"/>
  <c r="G3294" i="6"/>
  <c r="H3294" i="6" s="1"/>
  <c r="F3294" i="6"/>
  <c r="G2006" i="6"/>
  <c r="H2006" i="6" s="1"/>
  <c r="F2006" i="6"/>
  <c r="G2005" i="6"/>
  <c r="H2005" i="6" s="1"/>
  <c r="F2005" i="6"/>
  <c r="G3290" i="6"/>
  <c r="H3290" i="6" s="1"/>
  <c r="F3290" i="6"/>
  <c r="G3289" i="6"/>
  <c r="H3289" i="6" s="1"/>
  <c r="F3289" i="6"/>
  <c r="G3288" i="6"/>
  <c r="H3288" i="6" s="1"/>
  <c r="F3288" i="6"/>
  <c r="G2004" i="6"/>
  <c r="H2004" i="6" s="1"/>
  <c r="F2004" i="6"/>
  <c r="G3284" i="6"/>
  <c r="H3284" i="6" s="1"/>
  <c r="F3284" i="6"/>
  <c r="G2000" i="6"/>
  <c r="H2000" i="6" s="1"/>
  <c r="F2000" i="6"/>
  <c r="G1995" i="6"/>
  <c r="H1995" i="6" s="1"/>
  <c r="F1995" i="6"/>
  <c r="G1992" i="6"/>
  <c r="H1992" i="6" s="1"/>
  <c r="F1992" i="6"/>
  <c r="G1985" i="6"/>
  <c r="H1985" i="6" s="1"/>
  <c r="F1985" i="6"/>
  <c r="G1978" i="6"/>
  <c r="H1978" i="6" s="1"/>
  <c r="F1978" i="6"/>
  <c r="G3277" i="6"/>
  <c r="H3277" i="6" s="1"/>
  <c r="F3277" i="6"/>
  <c r="G1975" i="6"/>
  <c r="H1975" i="6" s="1"/>
  <c r="F1975" i="6"/>
  <c r="G3275" i="6"/>
  <c r="H3275" i="6" s="1"/>
  <c r="F3275" i="6"/>
  <c r="G1974" i="6"/>
  <c r="H1974" i="6" s="1"/>
  <c r="F1974" i="6"/>
  <c r="G1962" i="6"/>
  <c r="H1962" i="6" s="1"/>
  <c r="F1962" i="6"/>
  <c r="G1957" i="6"/>
  <c r="H1957" i="6" s="1"/>
  <c r="F1957" i="6"/>
  <c r="G1950" i="6"/>
  <c r="H1950" i="6" s="1"/>
  <c r="F1950" i="6"/>
  <c r="G3268" i="6"/>
  <c r="H3268" i="6" s="1"/>
  <c r="F3268" i="6"/>
  <c r="G3267" i="6"/>
  <c r="H3267" i="6" s="1"/>
  <c r="F3267" i="6"/>
  <c r="G1946" i="6"/>
  <c r="H1946" i="6" s="1"/>
  <c r="F1946" i="6"/>
  <c r="G3265" i="6"/>
  <c r="H3265" i="6" s="1"/>
  <c r="F3265" i="6"/>
  <c r="G1943" i="6"/>
  <c r="H1943" i="6" s="1"/>
  <c r="F1943" i="6"/>
  <c r="G1942" i="6"/>
  <c r="H1942" i="6" s="1"/>
  <c r="F1942" i="6"/>
  <c r="G1935" i="6"/>
  <c r="H1935" i="6" s="1"/>
  <c r="F1935" i="6"/>
  <c r="G1933" i="6"/>
  <c r="H1933" i="6" s="1"/>
  <c r="F1933" i="6"/>
  <c r="G3257" i="6"/>
  <c r="H3257" i="6" s="1"/>
  <c r="F3257" i="6"/>
  <c r="G1930" i="6"/>
  <c r="H1930" i="6" s="1"/>
  <c r="F1930" i="6"/>
  <c r="G1925" i="6"/>
  <c r="H1925" i="6" s="1"/>
  <c r="F1925" i="6"/>
  <c r="G1923" i="6"/>
  <c r="H1923" i="6" s="1"/>
  <c r="F1923" i="6"/>
  <c r="G3253" i="6"/>
  <c r="H3253" i="6" s="1"/>
  <c r="F3253" i="6"/>
  <c r="G1922" i="6"/>
  <c r="H1922" i="6" s="1"/>
  <c r="F1922" i="6"/>
  <c r="G1914" i="6"/>
  <c r="H1914" i="6" s="1"/>
  <c r="F1914" i="6"/>
  <c r="G1912" i="6"/>
  <c r="H1912" i="6" s="1"/>
  <c r="F1912" i="6"/>
  <c r="G3249" i="6"/>
  <c r="H3249" i="6" s="1"/>
  <c r="F3249" i="6"/>
  <c r="G3248" i="6"/>
  <c r="H3248" i="6" s="1"/>
  <c r="F3248" i="6"/>
  <c r="G1906" i="6"/>
  <c r="H1906" i="6" s="1"/>
  <c r="F1906" i="6"/>
  <c r="G1903" i="6"/>
  <c r="H1903" i="6" s="1"/>
  <c r="F1903" i="6"/>
  <c r="G1895" i="6"/>
  <c r="H1895" i="6" s="1"/>
  <c r="F1895" i="6"/>
  <c r="G1890" i="6"/>
  <c r="H1890" i="6" s="1"/>
  <c r="F1890" i="6"/>
  <c r="G3240" i="6"/>
  <c r="H3240" i="6" s="1"/>
  <c r="F3240" i="6"/>
  <c r="G1889" i="6"/>
  <c r="H1889" i="6" s="1"/>
  <c r="F1889" i="6"/>
  <c r="G1887" i="6"/>
  <c r="H1887" i="6" s="1"/>
  <c r="F1887" i="6"/>
  <c r="G1884" i="6"/>
  <c r="H1884" i="6" s="1"/>
  <c r="F1884" i="6"/>
  <c r="G1880" i="6"/>
  <c r="H1880" i="6" s="1"/>
  <c r="F1880" i="6"/>
  <c r="G1876" i="6"/>
  <c r="H1876" i="6" s="1"/>
  <c r="F1876" i="6"/>
  <c r="G1875" i="6"/>
  <c r="H1875" i="6" s="1"/>
  <c r="F1875" i="6"/>
  <c r="G1873" i="6"/>
  <c r="H1873" i="6" s="1"/>
  <c r="F1873" i="6"/>
  <c r="G3229" i="6"/>
  <c r="H3229" i="6" s="1"/>
  <c r="F3229" i="6"/>
  <c r="G3228" i="6"/>
  <c r="H3228" i="6" s="1"/>
  <c r="F3228" i="6"/>
  <c r="G1867" i="6"/>
  <c r="H1867" i="6" s="1"/>
  <c r="F1867" i="6"/>
  <c r="G3224" i="6"/>
  <c r="H3224" i="6" s="1"/>
  <c r="F3224" i="6"/>
  <c r="G1866" i="6"/>
  <c r="H1866" i="6" s="1"/>
  <c r="F1866" i="6"/>
  <c r="G1865" i="6"/>
  <c r="H1865" i="6" s="1"/>
  <c r="F1865" i="6"/>
  <c r="G1864" i="6"/>
  <c r="H1864" i="6" s="1"/>
  <c r="F1864" i="6"/>
  <c r="G3220" i="6"/>
  <c r="H3220" i="6" s="1"/>
  <c r="F3220" i="6"/>
  <c r="G3219" i="6"/>
  <c r="H3219" i="6" s="1"/>
  <c r="F3219" i="6"/>
  <c r="G3218" i="6"/>
  <c r="H3218" i="6" s="1"/>
  <c r="F3218" i="6"/>
  <c r="G1863" i="6"/>
  <c r="H1863" i="6" s="1"/>
  <c r="F1863" i="6"/>
  <c r="G1861" i="6"/>
  <c r="H1861" i="6" s="1"/>
  <c r="F1861" i="6"/>
  <c r="G3215" i="6"/>
  <c r="H3215" i="6" s="1"/>
  <c r="F3215" i="6"/>
  <c r="G1854" i="6"/>
  <c r="H1854" i="6" s="1"/>
  <c r="F1854" i="6"/>
  <c r="G1850" i="6"/>
  <c r="H1850" i="6" s="1"/>
  <c r="F1850" i="6"/>
  <c r="G1849" i="6"/>
  <c r="H1849" i="6" s="1"/>
  <c r="F1849" i="6"/>
  <c r="G1846" i="6"/>
  <c r="H1846" i="6" s="1"/>
  <c r="F1846" i="6"/>
  <c r="G1840" i="6"/>
  <c r="H1840" i="6" s="1"/>
  <c r="F1840" i="6"/>
  <c r="G1838" i="6"/>
  <c r="H1838" i="6" s="1"/>
  <c r="F1838" i="6"/>
  <c r="G1835" i="6"/>
  <c r="H1835" i="6" s="1"/>
  <c r="F1835" i="6"/>
  <c r="G3206" i="6"/>
  <c r="H3206" i="6" s="1"/>
  <c r="F3206" i="6"/>
  <c r="G1832" i="6"/>
  <c r="H1832" i="6" s="1"/>
  <c r="F1832" i="6"/>
  <c r="G1827" i="6"/>
  <c r="H1827" i="6" s="1"/>
  <c r="F1827" i="6"/>
  <c r="G1826" i="6"/>
  <c r="H1826" i="6" s="1"/>
  <c r="F1826" i="6"/>
  <c r="G3202" i="6"/>
  <c r="H3202" i="6" s="1"/>
  <c r="F3202" i="6"/>
  <c r="G1822" i="6"/>
  <c r="H1822" i="6" s="1"/>
  <c r="F1822" i="6"/>
  <c r="G1821" i="6"/>
  <c r="H1821" i="6" s="1"/>
  <c r="F1821" i="6"/>
  <c r="G3198" i="6"/>
  <c r="H3198" i="6" s="1"/>
  <c r="F3198" i="6"/>
  <c r="G3197" i="6"/>
  <c r="H3197" i="6" s="1"/>
  <c r="F3197" i="6"/>
  <c r="G3196" i="6"/>
  <c r="H3196" i="6" s="1"/>
  <c r="F3196" i="6"/>
  <c r="G1817" i="6"/>
  <c r="H1817" i="6" s="1"/>
  <c r="F1817" i="6"/>
  <c r="G3194" i="6"/>
  <c r="H3194" i="6" s="1"/>
  <c r="F3194" i="6"/>
  <c r="G1814" i="6"/>
  <c r="H1814" i="6" s="1"/>
  <c r="F1814" i="6"/>
  <c r="G3192" i="6"/>
  <c r="H3192" i="6" s="1"/>
  <c r="F3192" i="6"/>
  <c r="G3191" i="6"/>
  <c r="H3191" i="6" s="1"/>
  <c r="F3191" i="6"/>
  <c r="G1810" i="6"/>
  <c r="H1810" i="6" s="1"/>
  <c r="F1810" i="6"/>
  <c r="G3189" i="6"/>
  <c r="H3189" i="6" s="1"/>
  <c r="F3189" i="6"/>
  <c r="G3188" i="6"/>
  <c r="H3188" i="6" s="1"/>
  <c r="F3188" i="6"/>
  <c r="G1809" i="6"/>
  <c r="H1809" i="6" s="1"/>
  <c r="F1809" i="6"/>
  <c r="G1804" i="6"/>
  <c r="H1804" i="6" s="1"/>
  <c r="F1804" i="6"/>
  <c r="G3185" i="6"/>
  <c r="H3185" i="6" s="1"/>
  <c r="F3185" i="6"/>
  <c r="G1798" i="6"/>
  <c r="H1798" i="6" s="1"/>
  <c r="F1798" i="6"/>
  <c r="G1793" i="6"/>
  <c r="H1793" i="6" s="1"/>
  <c r="F1793" i="6"/>
  <c r="G1792" i="6"/>
  <c r="H1792" i="6" s="1"/>
  <c r="F1792" i="6"/>
  <c r="G1791" i="6"/>
  <c r="H1791" i="6" s="1"/>
  <c r="F1791" i="6"/>
  <c r="G1786" i="6"/>
  <c r="H1786" i="6" s="1"/>
  <c r="F1786" i="6"/>
  <c r="G3178" i="6"/>
  <c r="H3178" i="6" s="1"/>
  <c r="F3178" i="6"/>
  <c r="G3177" i="6"/>
  <c r="H3177" i="6" s="1"/>
  <c r="F3177" i="6"/>
  <c r="G3176" i="6"/>
  <c r="H3176" i="6" s="1"/>
  <c r="F3176" i="6"/>
  <c r="G1782" i="6"/>
  <c r="H1782" i="6" s="1"/>
  <c r="F1782" i="6"/>
  <c r="G1781" i="6"/>
  <c r="H1781" i="6" s="1"/>
  <c r="F1781" i="6"/>
  <c r="G1779" i="6"/>
  <c r="H1779" i="6" s="1"/>
  <c r="F1779" i="6"/>
  <c r="G1774" i="6"/>
  <c r="H1774" i="6" s="1"/>
  <c r="F1774" i="6"/>
  <c r="G1768" i="6"/>
  <c r="H1768" i="6" s="1"/>
  <c r="F1768" i="6"/>
  <c r="G1761" i="6"/>
  <c r="H1761" i="6" s="1"/>
  <c r="F1761" i="6"/>
  <c r="G1758" i="6"/>
  <c r="H1758" i="6" s="1"/>
  <c r="F1758" i="6"/>
  <c r="G3165" i="6"/>
  <c r="H3165" i="6" s="1"/>
  <c r="F3165" i="6"/>
  <c r="G1756" i="6"/>
  <c r="H1756" i="6" s="1"/>
  <c r="F1756" i="6"/>
  <c r="G1754" i="6"/>
  <c r="H1754" i="6" s="1"/>
  <c r="F1754" i="6"/>
  <c r="G1750" i="6"/>
  <c r="H1750" i="6" s="1"/>
  <c r="F1750" i="6"/>
  <c r="G3160" i="6"/>
  <c r="H3160" i="6" s="1"/>
  <c r="F3160" i="6"/>
  <c r="G3159" i="6"/>
  <c r="H3159" i="6" s="1"/>
  <c r="F3159" i="6"/>
  <c r="G1748" i="6"/>
  <c r="H1748" i="6" s="1"/>
  <c r="F1748" i="6"/>
  <c r="G1746" i="6"/>
  <c r="H1746" i="6" s="1"/>
  <c r="F1746" i="6"/>
  <c r="G1745" i="6"/>
  <c r="H1745" i="6" s="1"/>
  <c r="F1745" i="6"/>
  <c r="G3155" i="6"/>
  <c r="H3155" i="6" s="1"/>
  <c r="F3155" i="6"/>
  <c r="G1735" i="6"/>
  <c r="H1735" i="6" s="1"/>
  <c r="F1735" i="6"/>
  <c r="G3152" i="6"/>
  <c r="H3152" i="6" s="1"/>
  <c r="F3152" i="6"/>
  <c r="G3150" i="6"/>
  <c r="H3150" i="6" s="1"/>
  <c r="F3150" i="6"/>
  <c r="G1731" i="6"/>
  <c r="H1731" i="6" s="1"/>
  <c r="F1731" i="6"/>
  <c r="G1727" i="6"/>
  <c r="H1727" i="6" s="1"/>
  <c r="F1727" i="6"/>
  <c r="G3147" i="6"/>
  <c r="H3147" i="6" s="1"/>
  <c r="F3147" i="6"/>
  <c r="G1725" i="6"/>
  <c r="H1725" i="6" s="1"/>
  <c r="F1725" i="6"/>
  <c r="G1720" i="6"/>
  <c r="H1720" i="6" s="1"/>
  <c r="F1720" i="6"/>
  <c r="G1718" i="6"/>
  <c r="H1718" i="6" s="1"/>
  <c r="F1718" i="6"/>
  <c r="G1714" i="6"/>
  <c r="H1714" i="6" s="1"/>
  <c r="F1714" i="6"/>
  <c r="G1711" i="6"/>
  <c r="H1711" i="6" s="1"/>
  <c r="F1711" i="6"/>
  <c r="G3141" i="6"/>
  <c r="H3141" i="6" s="1"/>
  <c r="F3141" i="6"/>
  <c r="G3139" i="6"/>
  <c r="H3139" i="6" s="1"/>
  <c r="F3139" i="6"/>
  <c r="G1707" i="6"/>
  <c r="H1707" i="6" s="1"/>
  <c r="F1707" i="6"/>
  <c r="G1698" i="6"/>
  <c r="H1698" i="6" s="1"/>
  <c r="F1698" i="6"/>
  <c r="G3136" i="6"/>
  <c r="H3136" i="6" s="1"/>
  <c r="F3136" i="6"/>
  <c r="G3134" i="6"/>
  <c r="H3134" i="6" s="1"/>
  <c r="F3134" i="6"/>
  <c r="G3132" i="6"/>
  <c r="H3132" i="6" s="1"/>
  <c r="F3132" i="6"/>
  <c r="G3130" i="6"/>
  <c r="H3130" i="6" s="1"/>
  <c r="F3130" i="6"/>
  <c r="G3128" i="6"/>
  <c r="H3128" i="6" s="1"/>
  <c r="F3128" i="6"/>
  <c r="G1692" i="6"/>
  <c r="H1692" i="6" s="1"/>
  <c r="F1692" i="6"/>
  <c r="G3125" i="6"/>
  <c r="H3125" i="6" s="1"/>
  <c r="F3125" i="6"/>
  <c r="G3124" i="6"/>
  <c r="H3124" i="6" s="1"/>
  <c r="F3124" i="6"/>
  <c r="G1689" i="6"/>
  <c r="H1689" i="6" s="1"/>
  <c r="F1689" i="6"/>
  <c r="G1687" i="6"/>
  <c r="H1687" i="6" s="1"/>
  <c r="F1687" i="6"/>
  <c r="G1686" i="6"/>
  <c r="H1686" i="6" s="1"/>
  <c r="F1686" i="6"/>
  <c r="G1684" i="6"/>
  <c r="H1684" i="6" s="1"/>
  <c r="F1684" i="6"/>
  <c r="G3119" i="6"/>
  <c r="H3119" i="6" s="1"/>
  <c r="F3119" i="6"/>
  <c r="G1672" i="6"/>
  <c r="H1672" i="6" s="1"/>
  <c r="F1672" i="6"/>
  <c r="G1666" i="6"/>
  <c r="H1666" i="6" s="1"/>
  <c r="F1666" i="6"/>
  <c r="G3116" i="6"/>
  <c r="H3116" i="6" s="1"/>
  <c r="F3116" i="6"/>
  <c r="G3113" i="6"/>
  <c r="H3113" i="6" s="1"/>
  <c r="F3113" i="6"/>
  <c r="G3111" i="6"/>
  <c r="H3111" i="6" s="1"/>
  <c r="F3111" i="6"/>
  <c r="G3110" i="6"/>
  <c r="H3110" i="6" s="1"/>
  <c r="F3110" i="6"/>
  <c r="G3109" i="6"/>
  <c r="H3109" i="6" s="1"/>
  <c r="F3109" i="6"/>
  <c r="G1665" i="6"/>
  <c r="H1665" i="6" s="1"/>
  <c r="F1665" i="6"/>
  <c r="G1663" i="6"/>
  <c r="H1663" i="6" s="1"/>
  <c r="F1663" i="6"/>
  <c r="G1653" i="6"/>
  <c r="H1653" i="6" s="1"/>
  <c r="F1653" i="6"/>
  <c r="G1650" i="6"/>
  <c r="H1650" i="6" s="1"/>
  <c r="F1650" i="6"/>
  <c r="G3100" i="6"/>
  <c r="H3100" i="6" s="1"/>
  <c r="F3100" i="6"/>
  <c r="G1649" i="6"/>
  <c r="H1649" i="6" s="1"/>
  <c r="F1649" i="6"/>
  <c r="G3097" i="6"/>
  <c r="H3097" i="6" s="1"/>
  <c r="F3097" i="6"/>
  <c r="G1638" i="6"/>
  <c r="H1638" i="6" s="1"/>
  <c r="F1638" i="6"/>
  <c r="G1635" i="6"/>
  <c r="H1635" i="6" s="1"/>
  <c r="F1635" i="6"/>
  <c r="G1634" i="6"/>
  <c r="H1634" i="6" s="1"/>
  <c r="F1634" i="6"/>
  <c r="G1629" i="6"/>
  <c r="H1629" i="6" s="1"/>
  <c r="F1629" i="6"/>
  <c r="G1626" i="6"/>
  <c r="H1626" i="6" s="1"/>
  <c r="F1626" i="6"/>
  <c r="G3089" i="6"/>
  <c r="H3089" i="6" s="1"/>
  <c r="F3089" i="6"/>
  <c r="G1617" i="6"/>
  <c r="H1617" i="6" s="1"/>
  <c r="F1617" i="6"/>
  <c r="G1614" i="6"/>
  <c r="H1614" i="6" s="1"/>
  <c r="F1614" i="6"/>
  <c r="G3086" i="6"/>
  <c r="H3086" i="6" s="1"/>
  <c r="F3086" i="6"/>
  <c r="G1613" i="6"/>
  <c r="H1613" i="6" s="1"/>
  <c r="F1613" i="6"/>
  <c r="G3084" i="6"/>
  <c r="H3084" i="6" s="1"/>
  <c r="F3084" i="6"/>
  <c r="G1609" i="6"/>
  <c r="H1609" i="6" s="1"/>
  <c r="F1609" i="6"/>
  <c r="G1608" i="6"/>
  <c r="H1608" i="6" s="1"/>
  <c r="F1608" i="6"/>
  <c r="G3081" i="6"/>
  <c r="H3081" i="6" s="1"/>
  <c r="F3081" i="6"/>
  <c r="G1598" i="6"/>
  <c r="H1598" i="6" s="1"/>
  <c r="F1598" i="6"/>
  <c r="G3079" i="6"/>
  <c r="H3079" i="6" s="1"/>
  <c r="F3079" i="6"/>
  <c r="G3078" i="6"/>
  <c r="H3078" i="6" s="1"/>
  <c r="F3078" i="6"/>
  <c r="G1588" i="6"/>
  <c r="H1588" i="6" s="1"/>
  <c r="F1588" i="6"/>
  <c r="G1586" i="6"/>
  <c r="H1586" i="6" s="1"/>
  <c r="F1586" i="6"/>
  <c r="G1583" i="6"/>
  <c r="H1583" i="6" s="1"/>
  <c r="F1583" i="6"/>
  <c r="G3074" i="6"/>
  <c r="H3074" i="6" s="1"/>
  <c r="F3074" i="6"/>
  <c r="G1582" i="6"/>
  <c r="H1582" i="6" s="1"/>
  <c r="F1582" i="6"/>
  <c r="G1578" i="6"/>
  <c r="H1578" i="6" s="1"/>
  <c r="F1578" i="6"/>
  <c r="G1574" i="6"/>
  <c r="H1574" i="6" s="1"/>
  <c r="F1574" i="6"/>
  <c r="G3070" i="6"/>
  <c r="H3070" i="6" s="1"/>
  <c r="F3070" i="6"/>
  <c r="G1571" i="6"/>
  <c r="H1571" i="6" s="1"/>
  <c r="F1571" i="6"/>
  <c r="G1554" i="6"/>
  <c r="H1554" i="6" s="1"/>
  <c r="F1554" i="6"/>
  <c r="G3067" i="6"/>
  <c r="H3067" i="6" s="1"/>
  <c r="F3067" i="6"/>
  <c r="G3066" i="6"/>
  <c r="H3066" i="6" s="1"/>
  <c r="F3066" i="6"/>
  <c r="G1553" i="6"/>
  <c r="H1553" i="6" s="1"/>
  <c r="F1553" i="6"/>
  <c r="G1552" i="6"/>
  <c r="H1552" i="6" s="1"/>
  <c r="F1552" i="6"/>
  <c r="G1546" i="6"/>
  <c r="H1546" i="6" s="1"/>
  <c r="F1546" i="6"/>
  <c r="G1545" i="6"/>
  <c r="H1545" i="6" s="1"/>
  <c r="F1545" i="6"/>
  <c r="G1536" i="6"/>
  <c r="H1536" i="6" s="1"/>
  <c r="F1536" i="6"/>
  <c r="G1535" i="6"/>
  <c r="H1535" i="6" s="1"/>
  <c r="F1535" i="6"/>
  <c r="G3058" i="6"/>
  <c r="H3058" i="6" s="1"/>
  <c r="F3058" i="6"/>
  <c r="G1531" i="6"/>
  <c r="H1531" i="6" s="1"/>
  <c r="F1531" i="6"/>
  <c r="G1529" i="6"/>
  <c r="H1529" i="6" s="1"/>
  <c r="F1529" i="6"/>
  <c r="G1528" i="6"/>
  <c r="H1528" i="6" s="1"/>
  <c r="F1528" i="6"/>
  <c r="G1526" i="6"/>
  <c r="H1526" i="6" s="1"/>
  <c r="F1526" i="6"/>
  <c r="G1523" i="6"/>
  <c r="H1523" i="6" s="1"/>
  <c r="F1523" i="6"/>
  <c r="G3048" i="6"/>
  <c r="H3048" i="6" s="1"/>
  <c r="F3048" i="6"/>
  <c r="G3047" i="6"/>
  <c r="H3047" i="6" s="1"/>
  <c r="F3047" i="6"/>
  <c r="G1518" i="6"/>
  <c r="H1518" i="6" s="1"/>
  <c r="F1518" i="6"/>
  <c r="G3044" i="6"/>
  <c r="H3044" i="6" s="1"/>
  <c r="F3044" i="6"/>
  <c r="G1517" i="6"/>
  <c r="H1517" i="6" s="1"/>
  <c r="F1517" i="6"/>
  <c r="G1512" i="6"/>
  <c r="H1512" i="6" s="1"/>
  <c r="F1512" i="6"/>
  <c r="G3040" i="6"/>
  <c r="H3040" i="6" s="1"/>
  <c r="F3040" i="6"/>
  <c r="G1505" i="6"/>
  <c r="H1505" i="6" s="1"/>
  <c r="F1505" i="6"/>
  <c r="G1503" i="6"/>
  <c r="H1503" i="6" s="1"/>
  <c r="F1503" i="6"/>
  <c r="G1496" i="6"/>
  <c r="H1496" i="6" s="1"/>
  <c r="F1496" i="6"/>
  <c r="G3035" i="6"/>
  <c r="H3035" i="6" s="1"/>
  <c r="F3035" i="6"/>
  <c r="G1493" i="6"/>
  <c r="H1493" i="6" s="1"/>
  <c r="F1493" i="6"/>
  <c r="G3033" i="6"/>
  <c r="H3033" i="6" s="1"/>
  <c r="F3033" i="6"/>
  <c r="G3032" i="6"/>
  <c r="H3032" i="6" s="1"/>
  <c r="F3032" i="6"/>
  <c r="G1489" i="6"/>
  <c r="H1489" i="6" s="1"/>
  <c r="F1489" i="6"/>
  <c r="G1484" i="6"/>
  <c r="H1484" i="6" s="1"/>
  <c r="F1484" i="6"/>
  <c r="G3029" i="6"/>
  <c r="H3029" i="6" s="1"/>
  <c r="F3029" i="6"/>
  <c r="G3028" i="6"/>
  <c r="H3028" i="6" s="1"/>
  <c r="F3028" i="6"/>
  <c r="G1483" i="6"/>
  <c r="H1483" i="6" s="1"/>
  <c r="F1483" i="6"/>
  <c r="G1482" i="6"/>
  <c r="H1482" i="6" s="1"/>
  <c r="F1482" i="6"/>
  <c r="G1477" i="6"/>
  <c r="H1477" i="6" s="1"/>
  <c r="F1477" i="6"/>
  <c r="G1471" i="6"/>
  <c r="H1471" i="6" s="1"/>
  <c r="F1471" i="6"/>
  <c r="G1470" i="6"/>
  <c r="H1470" i="6" s="1"/>
  <c r="F1470" i="6"/>
  <c r="G3021" i="6"/>
  <c r="H3021" i="6" s="1"/>
  <c r="F3021" i="6"/>
  <c r="G1465" i="6"/>
  <c r="H1465" i="6" s="1"/>
  <c r="F1465" i="6"/>
  <c r="G3019" i="6"/>
  <c r="H3019" i="6" s="1"/>
  <c r="F3019" i="6"/>
  <c r="G3018" i="6"/>
  <c r="H3018" i="6" s="1"/>
  <c r="F3018" i="6"/>
  <c r="G1463" i="6"/>
  <c r="H1463" i="6" s="1"/>
  <c r="F1463" i="6"/>
  <c r="G1457" i="6"/>
  <c r="H1457" i="6" s="1"/>
  <c r="F1457" i="6"/>
  <c r="G1451" i="6"/>
  <c r="H1451" i="6" s="1"/>
  <c r="F1451" i="6"/>
  <c r="G3014" i="6"/>
  <c r="H3014" i="6" s="1"/>
  <c r="F3014" i="6"/>
  <c r="G3013" i="6"/>
  <c r="H3013" i="6" s="1"/>
  <c r="F3013" i="6"/>
  <c r="G1450" i="6"/>
  <c r="H1450" i="6" s="1"/>
  <c r="F1450" i="6"/>
  <c r="G1437" i="6"/>
  <c r="H1437" i="6" s="1"/>
  <c r="F1437" i="6"/>
  <c r="G1434" i="6"/>
  <c r="H1434" i="6" s="1"/>
  <c r="F1434" i="6"/>
  <c r="G3009" i="6"/>
  <c r="H3009" i="6" s="1"/>
  <c r="F3009" i="6"/>
  <c r="G1433" i="6"/>
  <c r="H1433" i="6" s="1"/>
  <c r="F1433" i="6"/>
  <c r="G1432" i="6"/>
  <c r="H1432" i="6" s="1"/>
  <c r="F1432" i="6"/>
  <c r="G1431" i="6"/>
  <c r="H1431" i="6" s="1"/>
  <c r="F1431" i="6"/>
  <c r="G1426" i="6"/>
  <c r="H1426" i="6" s="1"/>
  <c r="F1426" i="6"/>
  <c r="G3001" i="6"/>
  <c r="H3001" i="6" s="1"/>
  <c r="F3001" i="6"/>
  <c r="G1422" i="6"/>
  <c r="H1422" i="6" s="1"/>
  <c r="F1422" i="6"/>
  <c r="G1421" i="6"/>
  <c r="H1421" i="6" s="1"/>
  <c r="F1421" i="6"/>
  <c r="G2998" i="6"/>
  <c r="H2998" i="6" s="1"/>
  <c r="F2998" i="6"/>
  <c r="G1418" i="6"/>
  <c r="H1418" i="6" s="1"/>
  <c r="F1418" i="6"/>
  <c r="G1413" i="6"/>
  <c r="H1413" i="6" s="1"/>
  <c r="F1413" i="6"/>
  <c r="G1412" i="6"/>
  <c r="H1412" i="6" s="1"/>
  <c r="F1412" i="6"/>
  <c r="G1406" i="6"/>
  <c r="H1406" i="6" s="1"/>
  <c r="F1406" i="6"/>
  <c r="G2989" i="6"/>
  <c r="H2989" i="6" s="1"/>
  <c r="F2989" i="6"/>
  <c r="G1403" i="6"/>
  <c r="H1403" i="6" s="1"/>
  <c r="F1403" i="6"/>
  <c r="G2986" i="6"/>
  <c r="H2986" i="6" s="1"/>
  <c r="F2986" i="6"/>
  <c r="G1400" i="6"/>
  <c r="H1400" i="6" s="1"/>
  <c r="F1400" i="6"/>
  <c r="G2984" i="6"/>
  <c r="H2984" i="6" s="1"/>
  <c r="F2984" i="6"/>
  <c r="G2983" i="6"/>
  <c r="H2983" i="6" s="1"/>
  <c r="F2983" i="6"/>
  <c r="G2982" i="6"/>
  <c r="H2982" i="6" s="1"/>
  <c r="F2982" i="6"/>
  <c r="G2981" i="6"/>
  <c r="H2981" i="6" s="1"/>
  <c r="F2981" i="6"/>
  <c r="G2979" i="6"/>
  <c r="H2979" i="6" s="1"/>
  <c r="F2979" i="6"/>
  <c r="G2978" i="6"/>
  <c r="H2978" i="6" s="1"/>
  <c r="F2978" i="6"/>
  <c r="G1399" i="6"/>
  <c r="H1399" i="6" s="1"/>
  <c r="F1399" i="6"/>
  <c r="G2976" i="6"/>
  <c r="H2976" i="6" s="1"/>
  <c r="F2976" i="6"/>
  <c r="G2975" i="6"/>
  <c r="H2975" i="6" s="1"/>
  <c r="F2975" i="6"/>
  <c r="G1395" i="6"/>
  <c r="H1395" i="6" s="1"/>
  <c r="F1395" i="6"/>
  <c r="G1388" i="6"/>
  <c r="H1388" i="6" s="1"/>
  <c r="F1388" i="6"/>
  <c r="G2972" i="6"/>
  <c r="H2972" i="6" s="1"/>
  <c r="F2972" i="6"/>
  <c r="G2970" i="6"/>
  <c r="H2970" i="6" s="1"/>
  <c r="F2970" i="6"/>
  <c r="G1386" i="6"/>
  <c r="H1386" i="6" s="1"/>
  <c r="F1386" i="6"/>
  <c r="G1379" i="6"/>
  <c r="H1379" i="6" s="1"/>
  <c r="F1379" i="6"/>
  <c r="G2966" i="6"/>
  <c r="H2966" i="6" s="1"/>
  <c r="F2966" i="6"/>
  <c r="G1377" i="6"/>
  <c r="H1377" i="6" s="1"/>
  <c r="F1377" i="6"/>
  <c r="G1371" i="6"/>
  <c r="H1371" i="6" s="1"/>
  <c r="F1371" i="6"/>
  <c r="G2962" i="6"/>
  <c r="H2962" i="6" s="1"/>
  <c r="F2962" i="6"/>
  <c r="G2961" i="6"/>
  <c r="H2961" i="6" s="1"/>
  <c r="F2961" i="6"/>
  <c r="G2960" i="6"/>
  <c r="H2960" i="6" s="1"/>
  <c r="F2960" i="6"/>
  <c r="G2959" i="6"/>
  <c r="H2959" i="6" s="1"/>
  <c r="F2959" i="6"/>
  <c r="G1369" i="6"/>
  <c r="H1369" i="6" s="1"/>
  <c r="F1369" i="6"/>
  <c r="G1366" i="6"/>
  <c r="H1366" i="6" s="1"/>
  <c r="F1366" i="6"/>
  <c r="G1354" i="6"/>
  <c r="H1354" i="6" s="1"/>
  <c r="F1354" i="6"/>
  <c r="G1353" i="6"/>
  <c r="H1353" i="6" s="1"/>
  <c r="F1353" i="6"/>
  <c r="G1351" i="6"/>
  <c r="H1351" i="6" s="1"/>
  <c r="F1351" i="6"/>
  <c r="G2950" i="6"/>
  <c r="H2950" i="6" s="1"/>
  <c r="F2950" i="6"/>
  <c r="G2948" i="6"/>
  <c r="H2948" i="6" s="1"/>
  <c r="F2948" i="6"/>
  <c r="G1343" i="6"/>
  <c r="H1343" i="6" s="1"/>
  <c r="F1343" i="6"/>
  <c r="G2946" i="6"/>
  <c r="H2946" i="6" s="1"/>
  <c r="F2946" i="6"/>
  <c r="G1342" i="6"/>
  <c r="H1342" i="6" s="1"/>
  <c r="F1342" i="6"/>
  <c r="G1341" i="6"/>
  <c r="H1341" i="6" s="1"/>
  <c r="F1341" i="6"/>
  <c r="G1340" i="6"/>
  <c r="H1340" i="6" s="1"/>
  <c r="F1340" i="6"/>
  <c r="G1331" i="6"/>
  <c r="H1331" i="6" s="1"/>
  <c r="F1331" i="6"/>
  <c r="G1325" i="6"/>
  <c r="H1325" i="6" s="1"/>
  <c r="F1325" i="6"/>
  <c r="G1323" i="6"/>
  <c r="H1323" i="6" s="1"/>
  <c r="F1323" i="6"/>
  <c r="G1320" i="6"/>
  <c r="H1320" i="6" s="1"/>
  <c r="F1320" i="6"/>
  <c r="G1316" i="6"/>
  <c r="H1316" i="6" s="1"/>
  <c r="F1316" i="6"/>
  <c r="G1305" i="6"/>
  <c r="H1305" i="6" s="1"/>
  <c r="F1305" i="6"/>
  <c r="G1304" i="6"/>
  <c r="H1304" i="6" s="1"/>
  <c r="F1304" i="6"/>
  <c r="G1303" i="6"/>
  <c r="H1303" i="6" s="1"/>
  <c r="F1303" i="6"/>
  <c r="G2931" i="6"/>
  <c r="H2931" i="6" s="1"/>
  <c r="F2931" i="6"/>
  <c r="G1297" i="6"/>
  <c r="H1297" i="6" s="1"/>
  <c r="F1297" i="6"/>
  <c r="G1295" i="6"/>
  <c r="H1295" i="6" s="1"/>
  <c r="F1295" i="6"/>
  <c r="G1287" i="6"/>
  <c r="H1287" i="6" s="1"/>
  <c r="F1287" i="6"/>
  <c r="G2926" i="6"/>
  <c r="H2926" i="6" s="1"/>
  <c r="F2926" i="6"/>
  <c r="G2925" i="6"/>
  <c r="H2925" i="6" s="1"/>
  <c r="F2925" i="6"/>
  <c r="G1281" i="6"/>
  <c r="H1281" i="6" s="1"/>
  <c r="F1281" i="6"/>
  <c r="G2923" i="6"/>
  <c r="H2923" i="6" s="1"/>
  <c r="F2923" i="6"/>
  <c r="G2922" i="6"/>
  <c r="H2922" i="6" s="1"/>
  <c r="F2922" i="6"/>
  <c r="G1279" i="6"/>
  <c r="H1279" i="6" s="1"/>
  <c r="F1279" i="6"/>
  <c r="G1277" i="6"/>
  <c r="H1277" i="6" s="1"/>
  <c r="F1277" i="6"/>
  <c r="G1275" i="6"/>
  <c r="H1275" i="6" s="1"/>
  <c r="F1275" i="6"/>
  <c r="G1274" i="6"/>
  <c r="H1274" i="6" s="1"/>
  <c r="F1274" i="6"/>
  <c r="G2916" i="6"/>
  <c r="H2916" i="6" s="1"/>
  <c r="F2916" i="6"/>
  <c r="G1266" i="6"/>
  <c r="H1266" i="6" s="1"/>
  <c r="F1266" i="6"/>
  <c r="G2914" i="6"/>
  <c r="H2914" i="6" s="1"/>
  <c r="F2914" i="6"/>
  <c r="G2912" i="6"/>
  <c r="H2912" i="6" s="1"/>
  <c r="F2912" i="6"/>
  <c r="G1263" i="6"/>
  <c r="H1263" i="6" s="1"/>
  <c r="F1263" i="6"/>
  <c r="G1257" i="6"/>
  <c r="H1257" i="6" s="1"/>
  <c r="F1257" i="6"/>
  <c r="G2909" i="6"/>
  <c r="H2909" i="6" s="1"/>
  <c r="F2909" i="6"/>
  <c r="G2906" i="6"/>
  <c r="H2906" i="6" s="1"/>
  <c r="F2906" i="6"/>
  <c r="G1254" i="6"/>
  <c r="H1254" i="6" s="1"/>
  <c r="F1254" i="6"/>
  <c r="G2900" i="6"/>
  <c r="H2900" i="6" s="1"/>
  <c r="F2900" i="6"/>
  <c r="G2899" i="6"/>
  <c r="H2899" i="6" s="1"/>
  <c r="F2899" i="6"/>
  <c r="G1247" i="6"/>
  <c r="H1247" i="6" s="1"/>
  <c r="F1247" i="6"/>
  <c r="G1246" i="6"/>
  <c r="H1246" i="6" s="1"/>
  <c r="F1246" i="6"/>
  <c r="G1243" i="6"/>
  <c r="H1243" i="6" s="1"/>
  <c r="F1243" i="6"/>
  <c r="G1242" i="6"/>
  <c r="H1242" i="6" s="1"/>
  <c r="F1242" i="6"/>
  <c r="G1239" i="6"/>
  <c r="H1239" i="6" s="1"/>
  <c r="F1239" i="6"/>
  <c r="G1237" i="6"/>
  <c r="H1237" i="6" s="1"/>
  <c r="F1237" i="6"/>
  <c r="G2891" i="6"/>
  <c r="H2891" i="6" s="1"/>
  <c r="F2483" i="6"/>
  <c r="G1229" i="6"/>
  <c r="H1229" i="6" s="1"/>
  <c r="F1229" i="6"/>
  <c r="G2888" i="6"/>
  <c r="H2888" i="6" s="1"/>
  <c r="F2888" i="6"/>
  <c r="G1228" i="6"/>
  <c r="H1228" i="6" s="1"/>
  <c r="F1228" i="6"/>
  <c r="G1225" i="6"/>
  <c r="H1225" i="6" s="1"/>
  <c r="F1225" i="6"/>
  <c r="G1215" i="6"/>
  <c r="H1215" i="6" s="1"/>
  <c r="F1215" i="6"/>
  <c r="G2884" i="6"/>
  <c r="H2884" i="6" s="1"/>
  <c r="F2884" i="6"/>
  <c r="G1210" i="6"/>
  <c r="H1210" i="6" s="1"/>
  <c r="F1210" i="6"/>
  <c r="G1208" i="6"/>
  <c r="H1208" i="6" s="1"/>
  <c r="F1208" i="6"/>
  <c r="G2881" i="6"/>
  <c r="H2881" i="6" s="1"/>
  <c r="F2881" i="6"/>
  <c r="G1197" i="6"/>
  <c r="H1197" i="6" s="1"/>
  <c r="F1197" i="6"/>
  <c r="G1195" i="6"/>
  <c r="H1195" i="6" s="1"/>
  <c r="F1195" i="6"/>
  <c r="G1194" i="6"/>
  <c r="H1194" i="6" s="1"/>
  <c r="F1194" i="6"/>
  <c r="G2877" i="6"/>
  <c r="H2877" i="6" s="1"/>
  <c r="F2877" i="6"/>
  <c r="G2876" i="6"/>
  <c r="H2876" i="6" s="1"/>
  <c r="F2876" i="6"/>
  <c r="G1190" i="6"/>
  <c r="H1190" i="6" s="1"/>
  <c r="F1190" i="6"/>
  <c r="G1187" i="6"/>
  <c r="H1187" i="6" s="1"/>
  <c r="F1187" i="6"/>
  <c r="G2872" i="6"/>
  <c r="H2872" i="6" s="1"/>
  <c r="F2872" i="6"/>
  <c r="G2871" i="6"/>
  <c r="H2871" i="6" s="1"/>
  <c r="F2871" i="6"/>
  <c r="G1186" i="6"/>
  <c r="H1186" i="6" s="1"/>
  <c r="F1186" i="6"/>
  <c r="G1181" i="6"/>
  <c r="H1181" i="6" s="1"/>
  <c r="F1181" i="6"/>
  <c r="G1178" i="6"/>
  <c r="H1178" i="6" s="1"/>
  <c r="F1178" i="6"/>
  <c r="G2865" i="6"/>
  <c r="H2865" i="6" s="1"/>
  <c r="F2865" i="6"/>
  <c r="G1176" i="6"/>
  <c r="H1176" i="6" s="1"/>
  <c r="F1176" i="6"/>
  <c r="G1173" i="6"/>
  <c r="H1173" i="6" s="1"/>
  <c r="F1173" i="6"/>
  <c r="G2862" i="6"/>
  <c r="H2862" i="6" s="1"/>
  <c r="F2862" i="6"/>
  <c r="G2861" i="6"/>
  <c r="H2861" i="6" s="1"/>
  <c r="F2861" i="6"/>
  <c r="G1171" i="6"/>
  <c r="H1171" i="6" s="1"/>
  <c r="F1171" i="6"/>
  <c r="G2858" i="6"/>
  <c r="H2858" i="6" s="1"/>
  <c r="F2858" i="6"/>
  <c r="G2857" i="6"/>
  <c r="H2857" i="6" s="1"/>
  <c r="F2857" i="6"/>
  <c r="G1167" i="6"/>
  <c r="H1167" i="6" s="1"/>
  <c r="F1167" i="6"/>
  <c r="G2855" i="6"/>
  <c r="H2855" i="6" s="1"/>
  <c r="F2855" i="6"/>
  <c r="G1165" i="6"/>
  <c r="H1165" i="6" s="1"/>
  <c r="F1165" i="6"/>
  <c r="G1162" i="6"/>
  <c r="H1162" i="6" s="1"/>
  <c r="F1162" i="6"/>
  <c r="G2852" i="6"/>
  <c r="H2852" i="6" s="1"/>
  <c r="F2852" i="6"/>
  <c r="G1159" i="6"/>
  <c r="H1159" i="6" s="1"/>
  <c r="F1159" i="6"/>
  <c r="G1158" i="6"/>
  <c r="H1158" i="6" s="1"/>
  <c r="F1158" i="6"/>
  <c r="G1153" i="6"/>
  <c r="H1153" i="6" s="1"/>
  <c r="F1153" i="6"/>
  <c r="G2848" i="6"/>
  <c r="H2848" i="6" s="1"/>
  <c r="F2848" i="6"/>
  <c r="G2847" i="6"/>
  <c r="H2847" i="6" s="1"/>
  <c r="F2847" i="6"/>
  <c r="G1151" i="6"/>
  <c r="H1151" i="6" s="1"/>
  <c r="F1151" i="6"/>
  <c r="G1145" i="6"/>
  <c r="H1145" i="6" s="1"/>
  <c r="F1145" i="6"/>
  <c r="G2844" i="6"/>
  <c r="H2844" i="6" s="1"/>
  <c r="F2844" i="6"/>
  <c r="G1129" i="6"/>
  <c r="H1129" i="6" s="1"/>
  <c r="F1129" i="6"/>
  <c r="G1128" i="6"/>
  <c r="H1128" i="6" s="1"/>
  <c r="F1128" i="6"/>
  <c r="G2840" i="6"/>
  <c r="H2840" i="6" s="1"/>
  <c r="F2840" i="6"/>
  <c r="G2839" i="6"/>
  <c r="H2839" i="6" s="1"/>
  <c r="F2839" i="6"/>
  <c r="G2837" i="6"/>
  <c r="H2837" i="6" s="1"/>
  <c r="F2837" i="6"/>
  <c r="G1127" i="6"/>
  <c r="H1127" i="6" s="1"/>
  <c r="F1127" i="6"/>
  <c r="G1124" i="6"/>
  <c r="H1124" i="6" s="1"/>
  <c r="F1124" i="6"/>
  <c r="G1120" i="6"/>
  <c r="H1120" i="6" s="1"/>
  <c r="F1120" i="6"/>
  <c r="G1118" i="6"/>
  <c r="H1118" i="6" s="1"/>
  <c r="F1118" i="6"/>
  <c r="G1117" i="6"/>
  <c r="H1117" i="6" s="1"/>
  <c r="F1117" i="6"/>
  <c r="G1115" i="6"/>
  <c r="H1115" i="6" s="1"/>
  <c r="F1115" i="6"/>
  <c r="G2829" i="6"/>
  <c r="H2829" i="6" s="1"/>
  <c r="F2829" i="6"/>
  <c r="G1107" i="6"/>
  <c r="H1107" i="6" s="1"/>
  <c r="F1107" i="6"/>
  <c r="G2825" i="6"/>
  <c r="H2825" i="6" s="1"/>
  <c r="F2825" i="6"/>
  <c r="G1106" i="6"/>
  <c r="H1106" i="6" s="1"/>
  <c r="F1106" i="6"/>
  <c r="G2822" i="6"/>
  <c r="H2822" i="6" s="1"/>
  <c r="F2822" i="6"/>
  <c r="G1103" i="6"/>
  <c r="H1103" i="6" s="1"/>
  <c r="F1103" i="6"/>
  <c r="G2819" i="6"/>
  <c r="H2819" i="6" s="1"/>
  <c r="F2819" i="6"/>
  <c r="G1099" i="6"/>
  <c r="H1099" i="6" s="1"/>
  <c r="F1099" i="6"/>
  <c r="G2817" i="6"/>
  <c r="H2817" i="6" s="1"/>
  <c r="F2817" i="6"/>
  <c r="G1091" i="6"/>
  <c r="H1091" i="6" s="1"/>
  <c r="F1091" i="6"/>
  <c r="G1081" i="6"/>
  <c r="H1081" i="6" s="1"/>
  <c r="F1081" i="6"/>
  <c r="G1079" i="6"/>
  <c r="H1079" i="6" s="1"/>
  <c r="F1079" i="6"/>
  <c r="G1077" i="6"/>
  <c r="H1077" i="6" s="1"/>
  <c r="F1077" i="6"/>
  <c r="G2812" i="6"/>
  <c r="H2812" i="6" s="1"/>
  <c r="F2812" i="6"/>
  <c r="G1059" i="6"/>
  <c r="H1059" i="6" s="1"/>
  <c r="F1059" i="6"/>
  <c r="G2810" i="6"/>
  <c r="H2810" i="6" s="1"/>
  <c r="F2810" i="6"/>
  <c r="G2808" i="6"/>
  <c r="H2808" i="6" s="1"/>
  <c r="F2808" i="6"/>
  <c r="G2807" i="6"/>
  <c r="H2807" i="6" s="1"/>
  <c r="F2807" i="6"/>
  <c r="G1056" i="6"/>
  <c r="H1056" i="6" s="1"/>
  <c r="F1056" i="6"/>
  <c r="G1055" i="6"/>
  <c r="H1055" i="6" s="1"/>
  <c r="F1055" i="6"/>
  <c r="G2804" i="6"/>
  <c r="H2804" i="6" s="1"/>
  <c r="F2804" i="6"/>
  <c r="G2803" i="6"/>
  <c r="H2803" i="6" s="1"/>
  <c r="F2803" i="6"/>
  <c r="G1051" i="6"/>
  <c r="H1051" i="6" s="1"/>
  <c r="F1051" i="6"/>
  <c r="G1049" i="6"/>
  <c r="H1049" i="6" s="1"/>
  <c r="F1049" i="6"/>
  <c r="G1040" i="6"/>
  <c r="H1040" i="6" s="1"/>
  <c r="F1040" i="6"/>
  <c r="G1036" i="6"/>
  <c r="H1036" i="6" s="1"/>
  <c r="F1036" i="6"/>
  <c r="G2797" i="6"/>
  <c r="H2797" i="6" s="1"/>
  <c r="F2797" i="6"/>
  <c r="G1033" i="6"/>
  <c r="H1033" i="6" s="1"/>
  <c r="F1033" i="6"/>
  <c r="G2794" i="6"/>
  <c r="H2794" i="6" s="1"/>
  <c r="F2794" i="6"/>
  <c r="G1032" i="6"/>
  <c r="H1032" i="6" s="1"/>
  <c r="F1032" i="6"/>
  <c r="G1026" i="6"/>
  <c r="H1026" i="6" s="1"/>
  <c r="F1026" i="6"/>
  <c r="G1024" i="6"/>
  <c r="H1024" i="6" s="1"/>
  <c r="F1024" i="6"/>
  <c r="G1016" i="6"/>
  <c r="H1016" i="6" s="1"/>
  <c r="F1016" i="6"/>
  <c r="G1015" i="6"/>
  <c r="H1015" i="6" s="1"/>
  <c r="F1015" i="6"/>
  <c r="G2785" i="6"/>
  <c r="H2785" i="6" s="1"/>
  <c r="F2785" i="6"/>
  <c r="G2784" i="6"/>
  <c r="H2784" i="6" s="1"/>
  <c r="F2784" i="6"/>
  <c r="G1014" i="6"/>
  <c r="H1014" i="6" s="1"/>
  <c r="F1014" i="6"/>
  <c r="G1013" i="6"/>
  <c r="H1013" i="6" s="1"/>
  <c r="F1013" i="6"/>
  <c r="G1012" i="6"/>
  <c r="H1012" i="6" s="1"/>
  <c r="F1012" i="6"/>
  <c r="G1009" i="6"/>
  <c r="H1009" i="6" s="1"/>
  <c r="F1009" i="6"/>
  <c r="G1007" i="6"/>
  <c r="H1007" i="6" s="1"/>
  <c r="F1007" i="6"/>
  <c r="G2778" i="6"/>
  <c r="H2778" i="6" s="1"/>
  <c r="F2778" i="6"/>
  <c r="G2777" i="6"/>
  <c r="H2777" i="6" s="1"/>
  <c r="F2777" i="6"/>
  <c r="G2776" i="6"/>
  <c r="H2776" i="6" s="1"/>
  <c r="F2776" i="6"/>
  <c r="G999" i="6"/>
  <c r="H999" i="6" s="1"/>
  <c r="F999" i="6"/>
  <c r="G2774" i="6"/>
  <c r="H2774" i="6" s="1"/>
  <c r="F2774" i="6"/>
  <c r="G986" i="6"/>
  <c r="H986" i="6" s="1"/>
  <c r="F986" i="6"/>
  <c r="G982" i="6"/>
  <c r="H982" i="6" s="1"/>
  <c r="F982" i="6"/>
  <c r="G2766" i="6"/>
  <c r="H2766" i="6" s="1"/>
  <c r="F2766" i="6"/>
  <c r="G981" i="6"/>
  <c r="H981" i="6" s="1"/>
  <c r="F981" i="6"/>
  <c r="G980" i="6"/>
  <c r="H980" i="6" s="1"/>
  <c r="F980" i="6"/>
  <c r="G977" i="6"/>
  <c r="H977" i="6" s="1"/>
  <c r="F977" i="6"/>
  <c r="G973" i="6"/>
  <c r="H973" i="6" s="1"/>
  <c r="F973" i="6"/>
  <c r="G2760" i="6"/>
  <c r="H2760" i="6" s="1"/>
  <c r="F2760" i="6"/>
  <c r="G971" i="6"/>
  <c r="H971" i="6" s="1"/>
  <c r="F971" i="6"/>
  <c r="G968" i="6"/>
  <c r="H968" i="6" s="1"/>
  <c r="F968" i="6"/>
  <c r="G966" i="6"/>
  <c r="H966" i="6" s="1"/>
  <c r="F966" i="6"/>
  <c r="G963" i="6"/>
  <c r="H963" i="6" s="1"/>
  <c r="F963" i="6"/>
  <c r="G961" i="6"/>
  <c r="H961" i="6" s="1"/>
  <c r="F961" i="6"/>
  <c r="G2753" i="6"/>
  <c r="H2753" i="6" s="1"/>
  <c r="F2753" i="6"/>
  <c r="G954" i="6"/>
  <c r="H954" i="6" s="1"/>
  <c r="F954" i="6"/>
  <c r="G952" i="6"/>
  <c r="H952" i="6" s="1"/>
  <c r="F952" i="6"/>
  <c r="G2749" i="6"/>
  <c r="H2749" i="6" s="1"/>
  <c r="F2749" i="6"/>
  <c r="G951" i="6"/>
  <c r="H951" i="6" s="1"/>
  <c r="F951" i="6"/>
  <c r="G2747" i="6"/>
  <c r="H2747" i="6" s="1"/>
  <c r="F2747" i="6"/>
  <c r="G948" i="6"/>
  <c r="H948" i="6" s="1"/>
  <c r="F948" i="6"/>
  <c r="G946" i="6"/>
  <c r="H946" i="6" s="1"/>
  <c r="F946" i="6"/>
  <c r="G937" i="6"/>
  <c r="H937" i="6" s="1"/>
  <c r="F937" i="6"/>
  <c r="G2743" i="6"/>
  <c r="H2743" i="6" s="1"/>
  <c r="F2743" i="6"/>
  <c r="G2742" i="6"/>
  <c r="H2742" i="6" s="1"/>
  <c r="F2742" i="6"/>
  <c r="G934" i="6"/>
  <c r="H934" i="6" s="1"/>
  <c r="F934" i="6"/>
  <c r="G2740" i="6"/>
  <c r="H2740" i="6" s="1"/>
  <c r="F2740" i="6"/>
  <c r="G917" i="6"/>
  <c r="H917" i="6" s="1"/>
  <c r="F917" i="6"/>
  <c r="G910" i="6"/>
  <c r="H910" i="6" s="1"/>
  <c r="F910" i="6"/>
  <c r="G907" i="6"/>
  <c r="H907" i="6" s="1"/>
  <c r="F907" i="6"/>
  <c r="G906" i="6"/>
  <c r="H906" i="6" s="1"/>
  <c r="F906" i="6"/>
  <c r="G2734" i="6"/>
  <c r="H2734" i="6" s="1"/>
  <c r="F2734" i="6"/>
  <c r="G905" i="6"/>
  <c r="H905" i="6" s="1"/>
  <c r="F905" i="6"/>
  <c r="G901" i="6"/>
  <c r="H901" i="6" s="1"/>
  <c r="F901" i="6"/>
  <c r="G899" i="6"/>
  <c r="H899" i="6" s="1"/>
  <c r="F899" i="6"/>
  <c r="G2728" i="6"/>
  <c r="H2728" i="6" s="1"/>
  <c r="F2728" i="6"/>
  <c r="G2727" i="6"/>
  <c r="H2727" i="6" s="1"/>
  <c r="F2727" i="6"/>
  <c r="G2726" i="6"/>
  <c r="H2726" i="6" s="1"/>
  <c r="F2726" i="6"/>
  <c r="G898" i="6"/>
  <c r="H898" i="6" s="1"/>
  <c r="F898" i="6"/>
  <c r="G897" i="6"/>
  <c r="H897" i="6" s="1"/>
  <c r="F897" i="6"/>
  <c r="G896" i="6"/>
  <c r="H896" i="6" s="1"/>
  <c r="F896" i="6"/>
  <c r="G893" i="6"/>
  <c r="H893" i="6" s="1"/>
  <c r="F893" i="6"/>
  <c r="G891" i="6"/>
  <c r="H891" i="6" s="1"/>
  <c r="F891" i="6"/>
  <c r="G890" i="6"/>
  <c r="H890" i="6" s="1"/>
  <c r="F890" i="6"/>
  <c r="G887" i="6"/>
  <c r="H887" i="6" s="1"/>
  <c r="F887" i="6"/>
  <c r="G886" i="6"/>
  <c r="H886" i="6" s="1"/>
  <c r="F886" i="6"/>
  <c r="G883" i="6"/>
  <c r="H883" i="6" s="1"/>
  <c r="F883" i="6"/>
  <c r="G2712" i="6"/>
  <c r="H2712" i="6" s="1"/>
  <c r="F2712" i="6"/>
  <c r="G878" i="6"/>
  <c r="H878" i="6" s="1"/>
  <c r="F878" i="6"/>
  <c r="G871" i="6"/>
  <c r="H871" i="6" s="1"/>
  <c r="F871" i="6"/>
  <c r="G867" i="6"/>
  <c r="H867" i="6" s="1"/>
  <c r="F867" i="6"/>
  <c r="G2707" i="6"/>
  <c r="H2707" i="6" s="1"/>
  <c r="F2707" i="6"/>
  <c r="G866" i="6"/>
  <c r="H866" i="6" s="1"/>
  <c r="F866" i="6"/>
  <c r="G32" i="6"/>
  <c r="H32" i="6" s="1"/>
  <c r="G845" i="6"/>
  <c r="H845" i="6" s="1"/>
  <c r="F845" i="6"/>
  <c r="G836" i="6"/>
  <c r="H836" i="6" s="1"/>
  <c r="F836" i="6"/>
  <c r="G835" i="6"/>
  <c r="H835" i="6" s="1"/>
  <c r="F835" i="6"/>
  <c r="G833" i="6"/>
  <c r="H833" i="6" s="1"/>
  <c r="F833" i="6"/>
  <c r="G831" i="6"/>
  <c r="H831" i="6" s="1"/>
  <c r="G2699" i="6"/>
  <c r="H2699" i="6" s="1"/>
  <c r="F2699" i="6"/>
  <c r="F831" i="6"/>
  <c r="G828" i="6"/>
  <c r="H828" i="6" s="1"/>
  <c r="G2697" i="6"/>
  <c r="H2697" i="6" s="1"/>
  <c r="F2697" i="6"/>
  <c r="F828" i="6"/>
  <c r="G824" i="6"/>
  <c r="H824" i="6" s="1"/>
  <c r="F824" i="6"/>
  <c r="G823" i="6"/>
  <c r="H823" i="6" s="1"/>
  <c r="F823" i="6"/>
  <c r="G820" i="6"/>
  <c r="H820" i="6" s="1"/>
  <c r="F820" i="6"/>
  <c r="G819" i="6"/>
  <c r="H819" i="6" s="1"/>
  <c r="F819" i="6"/>
  <c r="G815" i="6"/>
  <c r="H815" i="6" s="1"/>
  <c r="F815" i="6"/>
  <c r="G813" i="6"/>
  <c r="H813" i="6" s="1"/>
  <c r="G2690" i="6"/>
  <c r="H2690" i="6" s="1"/>
  <c r="F2690" i="6"/>
  <c r="F813" i="6"/>
  <c r="G812" i="6"/>
  <c r="H812" i="6" s="1"/>
  <c r="F812" i="6"/>
  <c r="G804" i="6"/>
  <c r="H804" i="6" s="1"/>
  <c r="F804" i="6"/>
  <c r="G802" i="6"/>
  <c r="H802" i="6" s="1"/>
  <c r="G2686" i="6"/>
  <c r="H2686" i="6" s="1"/>
  <c r="F2686" i="6"/>
  <c r="F802" i="6"/>
  <c r="G801" i="6"/>
  <c r="H801" i="6" s="1"/>
  <c r="G2683" i="6"/>
  <c r="H2683" i="6" s="1"/>
  <c r="F2683" i="6"/>
  <c r="F801" i="6"/>
  <c r="G796" i="6"/>
  <c r="H796" i="6" s="1"/>
  <c r="G2680" i="6"/>
  <c r="H2680" i="6" s="1"/>
  <c r="F2680" i="6"/>
  <c r="F796" i="6"/>
  <c r="G794" i="6"/>
  <c r="H794" i="6" s="1"/>
  <c r="G2678" i="6"/>
  <c r="H2678" i="6" s="1"/>
  <c r="F2678" i="6"/>
  <c r="F794" i="6"/>
  <c r="G793" i="6"/>
  <c r="H793" i="6" s="1"/>
  <c r="G2676" i="6"/>
  <c r="H2676" i="6" s="1"/>
  <c r="F2676" i="6"/>
  <c r="F793" i="6"/>
  <c r="G788" i="6"/>
  <c r="H788" i="6" s="1"/>
  <c r="F788" i="6"/>
  <c r="G785" i="6"/>
  <c r="H785" i="6" s="1"/>
  <c r="F785" i="6"/>
  <c r="G782" i="6"/>
  <c r="H782" i="6" s="1"/>
  <c r="G2670" i="6"/>
  <c r="H2670" i="6" s="1"/>
  <c r="F2670" i="6"/>
  <c r="G2669" i="6"/>
  <c r="H2669" i="6" s="1"/>
  <c r="F2669" i="6"/>
  <c r="F782" i="6"/>
  <c r="G780" i="6"/>
  <c r="H780" i="6" s="1"/>
  <c r="F780" i="6"/>
  <c r="G778" i="6"/>
  <c r="H778" i="6" s="1"/>
  <c r="F778" i="6"/>
  <c r="G776" i="6"/>
  <c r="H776" i="6" s="1"/>
  <c r="F776" i="6"/>
  <c r="G775" i="6"/>
  <c r="H775" i="6" s="1"/>
  <c r="G2663" i="6"/>
  <c r="H2663" i="6" s="1"/>
  <c r="F2663" i="6"/>
  <c r="F775" i="6"/>
  <c r="G771" i="6"/>
  <c r="H771" i="6" s="1"/>
  <c r="G2660" i="6"/>
  <c r="H2660" i="6" s="1"/>
  <c r="F2660" i="6"/>
  <c r="F771" i="6"/>
  <c r="G758" i="6"/>
  <c r="H758" i="6" s="1"/>
  <c r="G2655" i="6"/>
  <c r="H2655" i="6" s="1"/>
  <c r="F2655" i="6"/>
  <c r="G2653" i="6"/>
  <c r="H2653" i="6" s="1"/>
  <c r="F2653" i="6"/>
  <c r="F758" i="6"/>
  <c r="G753" i="6"/>
  <c r="H753" i="6" s="1"/>
  <c r="F753" i="6"/>
  <c r="G752" i="6"/>
  <c r="H752" i="6" s="1"/>
  <c r="F752" i="6"/>
  <c r="G750" i="6"/>
  <c r="H750" i="6" s="1"/>
  <c r="F750" i="6"/>
  <c r="G743" i="6"/>
  <c r="H743" i="6" s="1"/>
  <c r="G2648" i="6"/>
  <c r="H2648" i="6" s="1"/>
  <c r="F2648" i="6"/>
  <c r="G2647" i="6"/>
  <c r="H2647" i="6" s="1"/>
  <c r="F2647" i="6"/>
  <c r="F743" i="6"/>
  <c r="G741" i="6"/>
  <c r="H741" i="6" s="1"/>
  <c r="G2644" i="6"/>
  <c r="H2644" i="6" s="1"/>
  <c r="F2644" i="6"/>
  <c r="F741" i="6"/>
  <c r="G738" i="6"/>
  <c r="H738" i="6" s="1"/>
  <c r="G2642" i="6"/>
  <c r="H2642" i="6" s="1"/>
  <c r="F2642" i="6"/>
  <c r="F738" i="6"/>
  <c r="G729" i="6"/>
  <c r="H729" i="6" s="1"/>
  <c r="F729" i="6"/>
  <c r="G724" i="6"/>
  <c r="H724" i="6" s="1"/>
  <c r="F724" i="6"/>
  <c r="G720" i="6"/>
  <c r="H720" i="6" s="1"/>
  <c r="F720" i="6"/>
  <c r="G718" i="6"/>
  <c r="H718" i="6" s="1"/>
  <c r="G2635" i="6"/>
  <c r="H2635" i="6" s="1"/>
  <c r="F2635" i="6"/>
  <c r="G2634" i="6"/>
  <c r="H2634" i="6" s="1"/>
  <c r="F2634" i="6"/>
  <c r="F718" i="6"/>
  <c r="G716" i="6"/>
  <c r="H716" i="6" s="1"/>
  <c r="F716" i="6"/>
  <c r="G711" i="6"/>
  <c r="H711" i="6" s="1"/>
  <c r="F711" i="6"/>
  <c r="G709" i="6"/>
  <c r="H709" i="6" s="1"/>
  <c r="F709" i="6"/>
  <c r="G705" i="6"/>
  <c r="H705" i="6" s="1"/>
  <c r="F705" i="6"/>
  <c r="G704" i="6"/>
  <c r="H704" i="6" s="1"/>
  <c r="F704" i="6"/>
  <c r="G700" i="6"/>
  <c r="H700" i="6" s="1"/>
  <c r="G2626" i="6"/>
  <c r="H2626" i="6" s="1"/>
  <c r="F2626" i="6"/>
  <c r="F700" i="6"/>
  <c r="G699" i="6"/>
  <c r="H699" i="6" s="1"/>
  <c r="G2624" i="6"/>
  <c r="H2624" i="6" s="1"/>
  <c r="F2624" i="6"/>
  <c r="G2623" i="6"/>
  <c r="H2623" i="6" s="1"/>
  <c r="F2623" i="6"/>
  <c r="F699" i="6"/>
  <c r="G697" i="6"/>
  <c r="H697" i="6" s="1"/>
  <c r="G2620" i="6"/>
  <c r="H2620" i="6" s="1"/>
  <c r="F2620" i="6"/>
  <c r="G2619" i="6"/>
  <c r="H2619" i="6" s="1"/>
  <c r="F2619" i="6"/>
  <c r="F697" i="6"/>
  <c r="G688" i="6"/>
  <c r="H688" i="6" s="1"/>
  <c r="F688" i="6"/>
  <c r="G687" i="6"/>
  <c r="H687" i="6" s="1"/>
  <c r="F687" i="6"/>
  <c r="G672" i="6"/>
  <c r="H672" i="6" s="1"/>
  <c r="G2615" i="6"/>
  <c r="H2615" i="6" s="1"/>
  <c r="F2615" i="6"/>
  <c r="F672" i="6"/>
  <c r="G670" i="6"/>
  <c r="H670" i="6" s="1"/>
  <c r="F670" i="6"/>
  <c r="G665" i="6"/>
  <c r="H665" i="6" s="1"/>
  <c r="G2611" i="6"/>
  <c r="H2611" i="6" s="1"/>
  <c r="F2611" i="6"/>
  <c r="F665" i="6"/>
  <c r="G664" i="6"/>
  <c r="H664" i="6" s="1"/>
  <c r="F664" i="6"/>
  <c r="G663" i="6"/>
  <c r="H663" i="6" s="1"/>
  <c r="G2608" i="6"/>
  <c r="H2608" i="6" s="1"/>
  <c r="F2608" i="6"/>
  <c r="F663" i="6"/>
  <c r="G662" i="6"/>
  <c r="H662" i="6" s="1"/>
  <c r="F662" i="6"/>
  <c r="G661" i="6"/>
  <c r="H661" i="6" s="1"/>
  <c r="F661" i="6"/>
  <c r="G660" i="6"/>
  <c r="H660" i="6" s="1"/>
  <c r="F660" i="6"/>
  <c r="G649" i="6"/>
  <c r="H649" i="6" s="1"/>
  <c r="F649" i="6"/>
  <c r="G648" i="6"/>
  <c r="H648" i="6" s="1"/>
  <c r="F648" i="6"/>
  <c r="G643" i="6"/>
  <c r="H643" i="6" s="1"/>
  <c r="F643" i="6"/>
  <c r="G642" i="6"/>
  <c r="H642" i="6" s="1"/>
  <c r="F642" i="6"/>
  <c r="G640" i="6"/>
  <c r="H640" i="6" s="1"/>
  <c r="F640" i="6"/>
  <c r="G636" i="6"/>
  <c r="H636" i="6" s="1"/>
  <c r="F636" i="6"/>
  <c r="G633" i="6"/>
  <c r="H633" i="6" s="1"/>
  <c r="F633" i="6"/>
  <c r="G625" i="6"/>
  <c r="H625" i="6" s="1"/>
  <c r="G2594" i="6"/>
  <c r="H2594" i="6" s="1"/>
  <c r="F2594" i="6"/>
  <c r="F625" i="6"/>
  <c r="G624" i="6"/>
  <c r="H624" i="6" s="1"/>
  <c r="F624" i="6"/>
  <c r="G619" i="6"/>
  <c r="H619" i="6" s="1"/>
  <c r="F619" i="6"/>
  <c r="G615" i="6"/>
  <c r="H615" i="6" s="1"/>
  <c r="F615" i="6"/>
  <c r="G610" i="6"/>
  <c r="H610" i="6" s="1"/>
  <c r="G2587" i="6"/>
  <c r="H2587" i="6" s="1"/>
  <c r="F2587" i="6"/>
  <c r="F610" i="6"/>
  <c r="G604" i="6"/>
  <c r="H604" i="6" s="1"/>
  <c r="F604" i="6"/>
  <c r="G603" i="6"/>
  <c r="H603" i="6" s="1"/>
  <c r="F603" i="6"/>
  <c r="G598" i="6"/>
  <c r="H598" i="6" s="1"/>
  <c r="G2583" i="6"/>
  <c r="H2583" i="6" s="1"/>
  <c r="F2583" i="6"/>
  <c r="F598" i="6"/>
  <c r="G595" i="6"/>
  <c r="H595" i="6" s="1"/>
  <c r="G2581" i="6"/>
  <c r="H2581" i="6" s="1"/>
  <c r="F2581" i="6"/>
  <c r="G2580" i="6"/>
  <c r="H2580" i="6" s="1"/>
  <c r="F2580" i="6"/>
  <c r="F595" i="6"/>
  <c r="G592" i="6"/>
  <c r="H592" i="6" s="1"/>
  <c r="F592" i="6"/>
  <c r="G590" i="6"/>
  <c r="H590" i="6" s="1"/>
  <c r="G2577" i="6"/>
  <c r="H2577" i="6" s="1"/>
  <c r="F2577" i="6"/>
  <c r="G2576" i="6"/>
  <c r="H2576" i="6" s="1"/>
  <c r="F2576" i="6"/>
  <c r="F590" i="6"/>
  <c r="G584" i="6"/>
  <c r="H584" i="6" s="1"/>
  <c r="G2570" i="6"/>
  <c r="H2570" i="6" s="1"/>
  <c r="F2570" i="6"/>
  <c r="F584" i="6"/>
  <c r="G579" i="6"/>
  <c r="H579" i="6" s="1"/>
  <c r="G2568" i="6"/>
  <c r="H2568" i="6" s="1"/>
  <c r="F2568" i="6"/>
  <c r="F579" i="6"/>
  <c r="G578" i="6"/>
  <c r="H578" i="6" s="1"/>
  <c r="F578" i="6"/>
  <c r="G576" i="6"/>
  <c r="H576" i="6" s="1"/>
  <c r="F576" i="6"/>
  <c r="G574" i="6"/>
  <c r="H574" i="6" s="1"/>
  <c r="F574" i="6"/>
  <c r="G572" i="6"/>
  <c r="H572" i="6" s="1"/>
  <c r="G2561" i="6"/>
  <c r="H2561" i="6" s="1"/>
  <c r="F2561" i="6"/>
  <c r="G2560" i="6"/>
  <c r="H2560" i="6" s="1"/>
  <c r="F2560" i="6"/>
  <c r="G2559" i="6"/>
  <c r="H2559" i="6" s="1"/>
  <c r="F2559" i="6"/>
  <c r="G2558" i="6"/>
  <c r="H2558" i="6" s="1"/>
  <c r="F2558" i="6"/>
  <c r="G2557" i="6"/>
  <c r="H2557" i="6" s="1"/>
  <c r="F2557" i="6"/>
  <c r="F572" i="6"/>
  <c r="G569" i="6"/>
  <c r="H569" i="6" s="1"/>
  <c r="G2555" i="6"/>
  <c r="H2555" i="6" s="1"/>
  <c r="F2555" i="6"/>
  <c r="G2554" i="6"/>
  <c r="H2554" i="6" s="1"/>
  <c r="F2554" i="6"/>
  <c r="F569" i="6"/>
  <c r="G568" i="6"/>
  <c r="H568" i="6" s="1"/>
  <c r="F568" i="6"/>
  <c r="G563" i="6"/>
  <c r="H563" i="6" s="1"/>
  <c r="F563" i="6"/>
  <c r="G559" i="6"/>
  <c r="H559" i="6" s="1"/>
  <c r="F559" i="6"/>
  <c r="G558" i="6"/>
  <c r="H558" i="6" s="1"/>
  <c r="F558" i="6"/>
  <c r="G556" i="6"/>
  <c r="H556" i="6" s="1"/>
  <c r="F556" i="6"/>
  <c r="G550" i="6"/>
  <c r="H550" i="6" s="1"/>
  <c r="F550" i="6"/>
  <c r="G548" i="6"/>
  <c r="H548" i="6" s="1"/>
  <c r="F548" i="6"/>
  <c r="G546" i="6"/>
  <c r="H546" i="6" s="1"/>
  <c r="F546" i="6"/>
  <c r="G545" i="6"/>
  <c r="H545" i="6" s="1"/>
  <c r="F545" i="6"/>
  <c r="G544" i="6"/>
  <c r="H544" i="6" s="1"/>
  <c r="F544" i="6"/>
  <c r="G532" i="6"/>
  <c r="H532" i="6" s="1"/>
  <c r="F532" i="6"/>
  <c r="G531" i="6"/>
  <c r="H531" i="6" s="1"/>
  <c r="F531" i="6"/>
  <c r="G529" i="6"/>
  <c r="H529" i="6" s="1"/>
  <c r="F529" i="6"/>
  <c r="G528" i="6"/>
  <c r="H528" i="6" s="1"/>
  <c r="F528" i="6"/>
  <c r="G524" i="6"/>
  <c r="H524" i="6" s="1"/>
  <c r="G2532" i="6"/>
  <c r="H2532" i="6" s="1"/>
  <c r="F2532" i="6"/>
  <c r="F524" i="6"/>
  <c r="G518" i="6"/>
  <c r="H518" i="6" s="1"/>
  <c r="F518" i="6"/>
  <c r="G515" i="6"/>
  <c r="H515" i="6" s="1"/>
  <c r="F515" i="6"/>
  <c r="G508" i="6"/>
  <c r="H508" i="6" s="1"/>
  <c r="F508" i="6"/>
  <c r="G507" i="6"/>
  <c r="H507" i="6" s="1"/>
  <c r="F507" i="6"/>
  <c r="G505" i="6"/>
  <c r="H505" i="6" s="1"/>
  <c r="F505" i="6"/>
  <c r="G504" i="6"/>
  <c r="H504" i="6" s="1"/>
  <c r="G2524" i="6"/>
  <c r="H2524" i="6" s="1"/>
  <c r="F2524" i="6"/>
  <c r="G2523" i="6"/>
  <c r="H2523" i="6" s="1"/>
  <c r="F2523" i="6"/>
  <c r="F504" i="6"/>
  <c r="G501" i="6"/>
  <c r="H501" i="6" s="1"/>
  <c r="G2520" i="6"/>
  <c r="H2520" i="6" s="1"/>
  <c r="F2520" i="6"/>
  <c r="G2519" i="6"/>
  <c r="H2519" i="6" s="1"/>
  <c r="F2519" i="6"/>
  <c r="F501" i="6"/>
  <c r="G498" i="6"/>
  <c r="H498" i="6" s="1"/>
  <c r="G2517" i="6"/>
  <c r="H2517" i="6" s="1"/>
  <c r="F2517" i="6"/>
  <c r="F498" i="6"/>
  <c r="G493" i="6"/>
  <c r="H493" i="6" s="1"/>
  <c r="F493" i="6"/>
  <c r="G492" i="6"/>
  <c r="H492" i="6" s="1"/>
  <c r="G2513" i="6"/>
  <c r="H2513" i="6" s="1"/>
  <c r="F2513" i="6"/>
  <c r="F492" i="6"/>
  <c r="G481" i="6"/>
  <c r="H481" i="6" s="1"/>
  <c r="F481" i="6"/>
  <c r="G478" i="6"/>
  <c r="H478" i="6" s="1"/>
  <c r="F478" i="6"/>
  <c r="G474" i="6"/>
  <c r="H474" i="6" s="1"/>
  <c r="F474" i="6"/>
  <c r="G473" i="6"/>
  <c r="H473" i="6" s="1"/>
  <c r="F473" i="6"/>
  <c r="G468" i="6"/>
  <c r="H468" i="6" s="1"/>
  <c r="F468" i="6"/>
  <c r="G467" i="6"/>
  <c r="H467" i="6" s="1"/>
  <c r="F467" i="6"/>
  <c r="G466" i="6"/>
  <c r="H466" i="6" s="1"/>
  <c r="F466" i="6"/>
  <c r="G461" i="6"/>
  <c r="H461" i="6" s="1"/>
  <c r="F461" i="6"/>
  <c r="G459" i="6"/>
  <c r="H459" i="6" s="1"/>
  <c r="F459" i="6"/>
  <c r="G455" i="6"/>
  <c r="H455" i="6" s="1"/>
  <c r="F455" i="6"/>
  <c r="G454" i="6"/>
  <c r="H454" i="6" s="1"/>
  <c r="F454" i="6"/>
  <c r="G452" i="6"/>
  <c r="H452" i="6" s="1"/>
  <c r="F452" i="6"/>
  <c r="G451" i="6"/>
  <c r="H451" i="6" s="1"/>
  <c r="G2491" i="6"/>
  <c r="H2491" i="6" s="1"/>
  <c r="F2491" i="6"/>
  <c r="F451" i="6"/>
  <c r="G450" i="6"/>
  <c r="H450" i="6" s="1"/>
  <c r="F450" i="6"/>
  <c r="G439" i="6"/>
  <c r="H439" i="6" s="1"/>
  <c r="G2487" i="6"/>
  <c r="H2487" i="6" s="1"/>
  <c r="F2487" i="6"/>
  <c r="F439" i="6"/>
  <c r="G435" i="6"/>
  <c r="H435" i="6" s="1"/>
  <c r="F435" i="6"/>
  <c r="G433" i="6"/>
  <c r="H433" i="6" s="1"/>
  <c r="F433" i="6"/>
  <c r="G430" i="6"/>
  <c r="H430" i="6" s="1"/>
  <c r="G2483" i="6"/>
  <c r="H2483" i="6" s="1"/>
  <c r="F430" i="6"/>
  <c r="G2481" i="6"/>
  <c r="H2481" i="6" s="1"/>
  <c r="F2481" i="6"/>
  <c r="G2480" i="6"/>
  <c r="H2480" i="6" s="1"/>
  <c r="F2480" i="6"/>
  <c r="G429" i="6"/>
  <c r="H429" i="6" s="1"/>
  <c r="F429" i="6"/>
  <c r="G2476" i="6"/>
  <c r="H2476" i="6" s="1"/>
  <c r="F2476" i="6"/>
  <c r="G2474" i="6"/>
  <c r="H2474" i="6" s="1"/>
  <c r="F2474" i="6"/>
  <c r="G427" i="6"/>
  <c r="H427" i="6" s="1"/>
  <c r="F427" i="6"/>
  <c r="G423" i="6"/>
  <c r="H423" i="6" s="1"/>
  <c r="F423" i="6"/>
  <c r="G2471" i="6"/>
  <c r="H2471" i="6" s="1"/>
  <c r="F2471" i="6"/>
  <c r="G417" i="6"/>
  <c r="H417" i="6" s="1"/>
  <c r="F417" i="6"/>
  <c r="G2467" i="6"/>
  <c r="H2467" i="6" s="1"/>
  <c r="F2467" i="6"/>
  <c r="G2466" i="6"/>
  <c r="H2466" i="6" s="1"/>
  <c r="F2466" i="6"/>
  <c r="G411" i="6"/>
  <c r="H411" i="6" s="1"/>
  <c r="F411" i="6"/>
  <c r="G408" i="6"/>
  <c r="H408" i="6" s="1"/>
  <c r="F408" i="6"/>
  <c r="G407" i="6"/>
  <c r="H407" i="6" s="1"/>
  <c r="F407" i="6"/>
  <c r="G2462" i="6"/>
  <c r="H2462" i="6" s="1"/>
  <c r="F2462" i="6"/>
  <c r="G401" i="6"/>
  <c r="H401" i="6" s="1"/>
  <c r="F401" i="6"/>
  <c r="G396" i="6"/>
  <c r="H396" i="6" s="1"/>
  <c r="F396" i="6"/>
  <c r="G393" i="6"/>
  <c r="H393" i="6" s="1"/>
  <c r="F393" i="6"/>
  <c r="G2458" i="6"/>
  <c r="H2458" i="6" s="1"/>
  <c r="F2458" i="6"/>
  <c r="G2457" i="6"/>
  <c r="H2457" i="6" s="1"/>
  <c r="F2457" i="6"/>
  <c r="G2456" i="6"/>
  <c r="H2456" i="6" s="1"/>
  <c r="F2456" i="6"/>
  <c r="G390" i="6"/>
  <c r="H390" i="6" s="1"/>
  <c r="F390" i="6"/>
  <c r="G2454" i="6"/>
  <c r="H2454" i="6" s="1"/>
  <c r="F2454" i="6"/>
  <c r="G2453" i="6"/>
  <c r="H2453" i="6" s="1"/>
  <c r="F2453" i="6"/>
  <c r="G389" i="6"/>
  <c r="H389" i="6" s="1"/>
  <c r="F389" i="6"/>
  <c r="G385" i="6"/>
  <c r="H385" i="6" s="1"/>
  <c r="F385" i="6"/>
  <c r="G383" i="6"/>
  <c r="H383" i="6" s="1"/>
  <c r="F383" i="6"/>
  <c r="G376" i="6"/>
  <c r="H376" i="6" s="1"/>
  <c r="F376" i="6"/>
  <c r="G371" i="6"/>
  <c r="H371" i="6" s="1"/>
  <c r="F371" i="6"/>
  <c r="G2445" i="6"/>
  <c r="H2445" i="6" s="1"/>
  <c r="F2445" i="6"/>
  <c r="G369" i="6"/>
  <c r="H369" i="6" s="1"/>
  <c r="F369" i="6"/>
  <c r="G2443" i="6"/>
  <c r="H2443" i="6" s="1"/>
  <c r="F2443" i="6"/>
  <c r="G366" i="6"/>
  <c r="H366" i="6" s="1"/>
  <c r="F366" i="6"/>
  <c r="G358" i="6"/>
  <c r="H358" i="6" s="1"/>
  <c r="F358" i="6"/>
  <c r="G354" i="6"/>
  <c r="H354" i="6" s="1"/>
  <c r="F354" i="6"/>
  <c r="G343" i="6"/>
  <c r="H343" i="6" s="1"/>
  <c r="F343" i="6"/>
  <c r="G337" i="6"/>
  <c r="H337" i="6" s="1"/>
  <c r="F337" i="6"/>
  <c r="G334" i="6"/>
  <c r="H334" i="6" s="1"/>
  <c r="F334" i="6"/>
  <c r="G330" i="6"/>
  <c r="H330" i="6" s="1"/>
  <c r="F330" i="6"/>
  <c r="G326" i="6"/>
  <c r="H326" i="6" s="1"/>
  <c r="F326" i="6"/>
  <c r="G323" i="6"/>
  <c r="H323" i="6" s="1"/>
  <c r="F323" i="6"/>
  <c r="G320" i="6"/>
  <c r="H320" i="6" s="1"/>
  <c r="F320" i="6"/>
  <c r="G2430" i="6"/>
  <c r="H2430" i="6" s="1"/>
  <c r="F2430" i="6"/>
  <c r="G318" i="6"/>
  <c r="H318" i="6" s="1"/>
  <c r="F318" i="6"/>
  <c r="G2428" i="6"/>
  <c r="H2428" i="6" s="1"/>
  <c r="F2428" i="6"/>
  <c r="G313" i="6"/>
  <c r="H313" i="6" s="1"/>
  <c r="F313" i="6"/>
  <c r="G308" i="6"/>
  <c r="H308" i="6" s="1"/>
  <c r="F308" i="6"/>
  <c r="G304" i="6"/>
  <c r="H304" i="6" s="1"/>
  <c r="F304" i="6"/>
  <c r="G302" i="6"/>
  <c r="H302" i="6" s="1"/>
  <c r="F302" i="6"/>
  <c r="G2423" i="6"/>
  <c r="H2423" i="6" s="1"/>
  <c r="F2423" i="6"/>
  <c r="G301" i="6"/>
  <c r="H301" i="6" s="1"/>
  <c r="F301" i="6"/>
  <c r="G297" i="6"/>
  <c r="H297" i="6" s="1"/>
  <c r="F297" i="6"/>
  <c r="G296" i="6"/>
  <c r="H296" i="6" s="1"/>
  <c r="F296" i="6"/>
  <c r="G290" i="6"/>
  <c r="H290" i="6" s="1"/>
  <c r="F290" i="6"/>
  <c r="G2417" i="6"/>
  <c r="H2417" i="6" s="1"/>
  <c r="F2417" i="6"/>
  <c r="G289" i="6"/>
  <c r="H289" i="6" s="1"/>
  <c r="F289" i="6"/>
  <c r="G2414" i="6"/>
  <c r="H2414" i="6" s="1"/>
  <c r="F2414" i="6"/>
  <c r="G283" i="6"/>
  <c r="H283" i="6" s="1"/>
  <c r="F283" i="6"/>
  <c r="G281" i="6"/>
  <c r="H281" i="6" s="1"/>
  <c r="F281" i="6"/>
  <c r="G277" i="6"/>
  <c r="H277" i="6" s="1"/>
  <c r="F277" i="6"/>
  <c r="G2408" i="6"/>
  <c r="H2408" i="6" s="1"/>
  <c r="F2408" i="6"/>
  <c r="G2407" i="6"/>
  <c r="H2407" i="6" s="1"/>
  <c r="F2407" i="6"/>
  <c r="G273" i="6"/>
  <c r="H273" i="6" s="1"/>
  <c r="F273" i="6"/>
  <c r="G267" i="6"/>
  <c r="H267" i="6" s="1"/>
  <c r="F267" i="6"/>
  <c r="G266" i="6"/>
  <c r="H266" i="6" s="1"/>
  <c r="F266" i="6"/>
  <c r="G264" i="6"/>
  <c r="H264" i="6" s="1"/>
  <c r="F264" i="6"/>
  <c r="G2402" i="6"/>
  <c r="H2402" i="6" s="1"/>
  <c r="F2402" i="6"/>
  <c r="G263" i="6"/>
  <c r="H263" i="6" s="1"/>
  <c r="F263" i="6"/>
  <c r="G257" i="6"/>
  <c r="H257" i="6" s="1"/>
  <c r="F257" i="6"/>
  <c r="G256" i="6"/>
  <c r="H256" i="6" s="1"/>
  <c r="F256" i="6"/>
  <c r="G254" i="6"/>
  <c r="H254" i="6" s="1"/>
  <c r="F254" i="6"/>
  <c r="G2395" i="6"/>
  <c r="H2395" i="6" s="1"/>
  <c r="F2395" i="6"/>
  <c r="G253" i="6"/>
  <c r="H253" i="6" s="1"/>
  <c r="F253" i="6"/>
  <c r="G2392" i="6"/>
  <c r="H2392" i="6" s="1"/>
  <c r="F2392" i="6"/>
  <c r="G252" i="6"/>
  <c r="H252" i="6" s="1"/>
  <c r="F252" i="6"/>
  <c r="G245" i="6"/>
  <c r="H245" i="6" s="1"/>
  <c r="F245" i="6"/>
  <c r="G241" i="6"/>
  <c r="H241" i="6" s="1"/>
  <c r="F241" i="6"/>
  <c r="G239" i="6"/>
  <c r="H239" i="6" s="1"/>
  <c r="F239" i="6"/>
  <c r="G2386" i="6"/>
  <c r="H2386" i="6" s="1"/>
  <c r="F2386" i="6"/>
  <c r="G237" i="6"/>
  <c r="H237" i="6" s="1"/>
  <c r="F237" i="6"/>
  <c r="G236" i="6"/>
  <c r="H236" i="6" s="1"/>
  <c r="F236" i="6"/>
  <c r="G2383" i="6"/>
  <c r="H2383" i="6" s="1"/>
  <c r="F2383" i="6"/>
  <c r="G2382" i="6"/>
  <c r="H2382" i="6" s="1"/>
  <c r="F2382" i="6"/>
  <c r="G235" i="6"/>
  <c r="H235" i="6" s="1"/>
  <c r="F235" i="6"/>
  <c r="G2378" i="6"/>
  <c r="H2378" i="6" s="1"/>
  <c r="F2378" i="6"/>
  <c r="G2377" i="6"/>
  <c r="H2377" i="6" s="1"/>
  <c r="F2377" i="6"/>
  <c r="G2376" i="6"/>
  <c r="H2376" i="6" s="1"/>
  <c r="F2376" i="6"/>
  <c r="G2375" i="6"/>
  <c r="H2375" i="6" s="1"/>
  <c r="F2375" i="6"/>
  <c r="G231" i="6"/>
  <c r="H231" i="6" s="1"/>
  <c r="F231" i="6"/>
  <c r="G227" i="6"/>
  <c r="H227" i="6" s="1"/>
  <c r="F227" i="6"/>
  <c r="G226" i="6"/>
  <c r="H226" i="6" s="1"/>
  <c r="F226" i="6"/>
  <c r="G2371" i="6"/>
  <c r="H2371" i="6" s="1"/>
  <c r="F2371" i="6"/>
  <c r="G2370" i="6"/>
  <c r="H2370" i="6" s="1"/>
  <c r="F2370" i="6"/>
  <c r="G223" i="6"/>
  <c r="H223" i="6" s="1"/>
  <c r="F223" i="6"/>
  <c r="G2367" i="6"/>
  <c r="H2367" i="6" s="1"/>
  <c r="F2367" i="6"/>
  <c r="G2366" i="6"/>
  <c r="H2366" i="6" s="1"/>
  <c r="F2366" i="6"/>
  <c r="G218" i="6"/>
  <c r="H218" i="6" s="1"/>
  <c r="F218" i="6"/>
  <c r="G217" i="6"/>
  <c r="H217" i="6" s="1"/>
  <c r="F217" i="6"/>
  <c r="G2363" i="6"/>
  <c r="H2363" i="6" s="1"/>
  <c r="F2363" i="6"/>
  <c r="G2362" i="6"/>
  <c r="H2362" i="6" s="1"/>
  <c r="F2362" i="6"/>
  <c r="G215" i="6"/>
  <c r="H215" i="6" s="1"/>
  <c r="F215" i="6"/>
  <c r="G213" i="6"/>
  <c r="H213" i="6" s="1"/>
  <c r="F213" i="6"/>
  <c r="G2358" i="6"/>
  <c r="H2358" i="6" s="1"/>
  <c r="F2358" i="6"/>
  <c r="G202" i="6"/>
  <c r="H202" i="6" s="1"/>
  <c r="F202" i="6"/>
  <c r="G200" i="6"/>
  <c r="H200" i="6" s="1"/>
  <c r="F200" i="6"/>
  <c r="G198" i="6"/>
  <c r="H198" i="6" s="1"/>
  <c r="F198" i="6"/>
  <c r="G197" i="6"/>
  <c r="H197" i="6" s="1"/>
  <c r="F197" i="6"/>
  <c r="G192" i="6"/>
  <c r="H192" i="6" s="1"/>
  <c r="F192" i="6"/>
  <c r="G191" i="6"/>
  <c r="H191" i="6" s="1"/>
  <c r="F191" i="6"/>
  <c r="G190" i="6"/>
  <c r="H190" i="6" s="1"/>
  <c r="F190" i="6"/>
  <c r="G2348" i="6"/>
  <c r="H2348" i="6" s="1"/>
  <c r="F2348" i="6"/>
  <c r="G2347" i="6"/>
  <c r="H2347" i="6" s="1"/>
  <c r="F2347" i="6"/>
  <c r="G187" i="6"/>
  <c r="H187" i="6" s="1"/>
  <c r="F187" i="6"/>
  <c r="G2345" i="6"/>
  <c r="H2345" i="6" s="1"/>
  <c r="F2345" i="6"/>
  <c r="G182" i="6"/>
  <c r="H182" i="6" s="1"/>
  <c r="F182" i="6"/>
  <c r="G2339" i="6"/>
  <c r="H2339" i="6" s="1"/>
  <c r="F2339" i="6"/>
  <c r="G170" i="6"/>
  <c r="H170" i="6" s="1"/>
  <c r="F170" i="6"/>
  <c r="G2336" i="6"/>
  <c r="H2336" i="6" s="1"/>
  <c r="F2336" i="6"/>
  <c r="G168" i="6"/>
  <c r="H168" i="6" s="1"/>
  <c r="F168" i="6"/>
  <c r="G2334" i="6"/>
  <c r="H2334" i="6" s="1"/>
  <c r="F2334" i="6"/>
  <c r="G167" i="6"/>
  <c r="H167" i="6" s="1"/>
  <c r="F167" i="6"/>
  <c r="G166" i="6"/>
  <c r="H166" i="6" s="1"/>
  <c r="F166" i="6"/>
  <c r="G165" i="6"/>
  <c r="H165" i="6" s="1"/>
  <c r="F165" i="6"/>
  <c r="G163" i="6"/>
  <c r="H163" i="6" s="1"/>
  <c r="F163" i="6"/>
  <c r="G160" i="6"/>
  <c r="H160" i="6" s="1"/>
  <c r="F160" i="6"/>
  <c r="G2327" i="6"/>
  <c r="H2327" i="6" s="1"/>
  <c r="F2327" i="6"/>
  <c r="G2326" i="6"/>
  <c r="H2326" i="6" s="1"/>
  <c r="F2326" i="6"/>
  <c r="G154" i="6"/>
  <c r="H154" i="6" s="1"/>
  <c r="F154" i="6"/>
  <c r="G2319" i="6"/>
  <c r="H2319" i="6" s="1"/>
  <c r="F2319" i="6"/>
  <c r="G146" i="6"/>
  <c r="H146" i="6" s="1"/>
  <c r="F146" i="6"/>
  <c r="G144" i="6"/>
  <c r="H144" i="6" s="1"/>
  <c r="F144" i="6"/>
  <c r="G143" i="6"/>
  <c r="H143" i="6" s="1"/>
  <c r="F143" i="6"/>
  <c r="G2314" i="6"/>
  <c r="H2314" i="6" s="1"/>
  <c r="F2314" i="6"/>
  <c r="G138" i="6"/>
  <c r="H138" i="6" s="1"/>
  <c r="F138" i="6"/>
  <c r="G133" i="6"/>
  <c r="H133" i="6" s="1"/>
  <c r="F133" i="6"/>
  <c r="G2310" i="6"/>
  <c r="H2310" i="6" s="1"/>
  <c r="F2310" i="6"/>
  <c r="G130" i="6"/>
  <c r="H130" i="6" s="1"/>
  <c r="F130" i="6"/>
  <c r="G128" i="6"/>
  <c r="H128" i="6" s="1"/>
  <c r="F128" i="6"/>
  <c r="G2307" i="6"/>
  <c r="H2307" i="6" s="1"/>
  <c r="F2307" i="6"/>
  <c r="G2306" i="6"/>
  <c r="H2306" i="6" s="1"/>
  <c r="F2306" i="6"/>
  <c r="G2305" i="6"/>
  <c r="H2305" i="6" s="1"/>
  <c r="F2305" i="6"/>
  <c r="G127" i="6"/>
  <c r="H127" i="6" s="1"/>
  <c r="F127" i="6"/>
  <c r="G114" i="6"/>
  <c r="H114" i="6" s="1"/>
  <c r="F114" i="6"/>
  <c r="G2302" i="6"/>
  <c r="H2302" i="6" s="1"/>
  <c r="F2302" i="6"/>
  <c r="G105" i="6"/>
  <c r="H105" i="6" s="1"/>
  <c r="F105" i="6"/>
  <c r="G104" i="6"/>
  <c r="H104" i="6" s="1"/>
  <c r="F104" i="6"/>
  <c r="G97" i="6"/>
  <c r="H97" i="6" s="1"/>
  <c r="F97" i="6"/>
  <c r="G96" i="6"/>
  <c r="H96" i="6" s="1"/>
  <c r="F96" i="6"/>
  <c r="G95" i="6"/>
  <c r="H95" i="6" s="1"/>
  <c r="F95" i="6"/>
  <c r="G2295" i="6"/>
  <c r="H2295" i="6" s="1"/>
  <c r="F2295" i="6"/>
  <c r="G84" i="6"/>
  <c r="H84" i="6" s="1"/>
  <c r="F84" i="6"/>
  <c r="G79" i="6"/>
  <c r="H79" i="6" s="1"/>
  <c r="F79" i="6"/>
  <c r="G78" i="6"/>
  <c r="H78" i="6" s="1"/>
  <c r="F78" i="6"/>
  <c r="G76" i="6"/>
  <c r="H76" i="6" s="1"/>
  <c r="F76" i="6"/>
  <c r="G71" i="6"/>
  <c r="H71" i="6" s="1"/>
  <c r="F71" i="6"/>
  <c r="G55" i="6"/>
  <c r="H55" i="6" s="1"/>
  <c r="F55" i="6"/>
  <c r="G53" i="6"/>
  <c r="H53" i="6" s="1"/>
  <c r="F53" i="6"/>
  <c r="G46" i="6"/>
  <c r="H46" i="6" s="1"/>
  <c r="F46" i="6"/>
  <c r="G2284" i="6"/>
  <c r="H2284" i="6" s="1"/>
  <c r="F2284" i="6"/>
  <c r="G42" i="6"/>
  <c r="H42" i="6" s="1"/>
  <c r="F42" i="6"/>
  <c r="G39" i="6"/>
  <c r="H39" i="6" s="1"/>
  <c r="F39" i="6"/>
  <c r="G2281" i="6"/>
  <c r="H2281" i="6" s="1"/>
  <c r="F2281" i="6"/>
  <c r="G2268" i="6"/>
  <c r="H2268" i="6" s="1"/>
  <c r="F2268" i="6"/>
  <c r="G2264" i="6"/>
  <c r="H2264" i="6" s="1"/>
  <c r="F2264" i="6"/>
  <c r="G2255" i="6"/>
  <c r="H2255" i="6" s="1"/>
  <c r="F2255" i="6"/>
  <c r="G2254" i="6"/>
  <c r="H2254" i="6" s="1"/>
  <c r="F2254" i="6"/>
  <c r="G2253" i="6"/>
  <c r="H2253" i="6" s="1"/>
  <c r="F2253" i="6"/>
  <c r="G2252" i="6"/>
  <c r="H2252" i="6" s="1"/>
  <c r="F2252" i="6"/>
  <c r="G2247" i="6"/>
  <c r="H2247" i="6" s="1"/>
  <c r="F2247" i="6"/>
  <c r="G2240" i="6"/>
  <c r="H2240" i="6" s="1"/>
  <c r="F2240" i="6"/>
  <c r="G2232" i="6"/>
  <c r="H2232" i="6" s="1"/>
  <c r="F2232" i="6"/>
  <c r="G2229" i="6"/>
  <c r="H2229" i="6" s="1"/>
  <c r="F2229" i="6"/>
  <c r="G2214" i="6"/>
  <c r="H2214" i="6" s="1"/>
  <c r="F2214" i="6"/>
  <c r="G2212" i="6"/>
  <c r="H2212" i="6" s="1"/>
  <c r="F2212" i="6"/>
  <c r="G2210" i="6"/>
  <c r="H2210" i="6" s="1"/>
  <c r="F2210" i="6"/>
  <c r="G2205" i="6"/>
  <c r="H2205" i="6" s="1"/>
  <c r="F2205" i="6"/>
  <c r="G2203" i="6"/>
  <c r="H2203" i="6" s="1"/>
  <c r="F2203" i="6"/>
  <c r="G2196" i="6"/>
  <c r="H2196" i="6" s="1"/>
  <c r="F2196" i="6"/>
  <c r="G2195" i="6"/>
  <c r="H2195" i="6" s="1"/>
  <c r="F2195" i="6"/>
  <c r="G2189" i="6"/>
  <c r="H2189" i="6" s="1"/>
  <c r="F2189" i="6"/>
  <c r="G2186" i="6"/>
  <c r="H2186" i="6" s="1"/>
  <c r="F2186" i="6"/>
  <c r="G2179" i="6"/>
  <c r="H2179" i="6" s="1"/>
  <c r="F2179" i="6"/>
  <c r="G2168" i="6"/>
  <c r="H2168" i="6" s="1"/>
  <c r="F2168" i="6"/>
  <c r="G2167" i="6"/>
  <c r="H2167" i="6" s="1"/>
  <c r="F2167" i="6"/>
  <c r="G2166" i="6"/>
  <c r="H2166" i="6" s="1"/>
  <c r="F2166" i="6"/>
  <c r="G2164" i="6"/>
  <c r="H2164" i="6" s="1"/>
  <c r="F2164" i="6"/>
  <c r="G2162" i="6"/>
  <c r="H2162" i="6" s="1"/>
  <c r="F2162" i="6"/>
  <c r="G2159" i="6"/>
  <c r="H2159" i="6" s="1"/>
  <c r="F2159" i="6"/>
  <c r="G2158" i="6"/>
  <c r="H2158" i="6" s="1"/>
  <c r="F2158" i="6"/>
  <c r="G2154" i="6"/>
  <c r="H2154" i="6" s="1"/>
  <c r="F2154" i="6"/>
  <c r="G2153" i="6"/>
  <c r="H2153" i="6" s="1"/>
  <c r="F2153" i="6"/>
  <c r="G2151" i="6"/>
  <c r="H2151" i="6" s="1"/>
  <c r="F2151" i="6"/>
  <c r="G2149" i="6"/>
  <c r="H2149" i="6" s="1"/>
  <c r="F2149" i="6"/>
  <c r="G2148" i="6"/>
  <c r="H2148" i="6" s="1"/>
  <c r="F2148" i="6"/>
  <c r="G2146" i="6"/>
  <c r="H2146" i="6" s="1"/>
  <c r="F2146" i="6"/>
  <c r="G2145" i="6"/>
  <c r="H2145" i="6" s="1"/>
  <c r="F2145" i="6"/>
  <c r="G2143" i="6"/>
  <c r="H2143" i="6" s="1"/>
  <c r="F2143" i="6"/>
  <c r="G2141" i="6"/>
  <c r="H2141" i="6" s="1"/>
  <c r="F2141" i="6"/>
  <c r="G2140" i="6"/>
  <c r="H2140" i="6" s="1"/>
  <c r="F2140" i="6"/>
  <c r="G2132" i="6"/>
  <c r="H2132" i="6" s="1"/>
  <c r="F2132" i="6"/>
  <c r="G2129" i="6"/>
  <c r="H2129" i="6" s="1"/>
  <c r="F2129" i="6"/>
  <c r="G2126" i="6"/>
  <c r="H2126" i="6" s="1"/>
  <c r="F2126" i="6"/>
  <c r="G2124" i="6"/>
  <c r="H2124" i="6" s="1"/>
  <c r="F2124" i="6"/>
  <c r="G2120" i="6"/>
  <c r="H2120" i="6" s="1"/>
  <c r="F2120" i="6"/>
  <c r="G2112" i="6"/>
  <c r="H2112" i="6" s="1"/>
  <c r="F2112" i="6"/>
  <c r="G2109" i="6"/>
  <c r="H2109" i="6" s="1"/>
  <c r="F2109" i="6"/>
  <c r="G2103" i="6"/>
  <c r="H2103" i="6" s="1"/>
  <c r="F2103" i="6"/>
  <c r="G2099" i="6"/>
  <c r="H2099" i="6" s="1"/>
  <c r="F2099" i="6"/>
  <c r="G2097" i="6"/>
  <c r="H2097" i="6" s="1"/>
  <c r="F2097" i="6"/>
  <c r="G2088" i="6"/>
  <c r="H2088" i="6" s="1"/>
  <c r="F2088" i="6"/>
  <c r="G2086" i="6"/>
  <c r="H2086" i="6" s="1"/>
  <c r="F2086" i="6"/>
  <c r="G2085" i="6"/>
  <c r="H2085" i="6" s="1"/>
  <c r="F2085" i="6"/>
  <c r="G2084" i="6"/>
  <c r="H2084" i="6" s="1"/>
  <c r="F2084" i="6"/>
  <c r="G2083" i="6"/>
  <c r="H2083" i="6" s="1"/>
  <c r="F2083" i="6"/>
  <c r="G2079" i="6"/>
  <c r="H2079" i="6" s="1"/>
  <c r="F2079" i="6"/>
  <c r="G2077" i="6"/>
  <c r="H2077" i="6" s="1"/>
  <c r="F2077" i="6"/>
  <c r="G2076" i="6"/>
  <c r="H2076" i="6" s="1"/>
  <c r="F2076" i="6"/>
  <c r="G2073" i="6"/>
  <c r="H2073" i="6" s="1"/>
  <c r="F2073" i="6"/>
  <c r="G2070" i="6"/>
  <c r="H2070" i="6" s="1"/>
  <c r="F2070" i="6"/>
  <c r="G2068" i="6"/>
  <c r="H2068" i="6" s="1"/>
  <c r="F2068" i="6"/>
  <c r="G2059" i="6"/>
  <c r="H2059" i="6" s="1"/>
  <c r="F2059" i="6"/>
  <c r="G2057" i="6"/>
  <c r="H2057" i="6" s="1"/>
  <c r="F2057" i="6"/>
  <c r="G2054" i="6"/>
  <c r="H2054" i="6" s="1"/>
  <c r="F2054" i="6"/>
  <c r="G2053" i="6"/>
  <c r="H2053" i="6" s="1"/>
  <c r="F2053" i="6"/>
  <c r="G2045" i="6"/>
  <c r="H2045" i="6" s="1"/>
  <c r="F2045" i="6"/>
  <c r="G2043" i="6"/>
  <c r="H2043" i="6" s="1"/>
  <c r="F2043" i="6"/>
  <c r="G2040" i="6"/>
  <c r="H2040" i="6" s="1"/>
  <c r="F2040" i="6"/>
  <c r="G2038" i="6"/>
  <c r="H2038" i="6" s="1"/>
  <c r="F2038" i="6"/>
  <c r="G2032" i="6"/>
  <c r="H2032" i="6" s="1"/>
  <c r="F2032" i="6"/>
  <c r="G2028" i="6"/>
  <c r="H2028" i="6" s="1"/>
  <c r="F2028" i="6"/>
  <c r="G2026" i="6"/>
  <c r="H2026" i="6" s="1"/>
  <c r="F2026" i="6"/>
  <c r="G2020" i="6"/>
  <c r="H2020" i="6" s="1"/>
  <c r="F2020" i="6"/>
  <c r="G2019" i="6"/>
  <c r="H2019" i="6" s="1"/>
  <c r="F2019" i="6"/>
  <c r="G2017" i="6"/>
  <c r="H2017" i="6" s="1"/>
  <c r="F2017" i="6"/>
  <c r="G2014" i="6"/>
  <c r="H2014" i="6" s="1"/>
  <c r="F2014" i="6"/>
  <c r="G2013" i="6"/>
  <c r="H2013" i="6" s="1"/>
  <c r="F2013" i="6"/>
  <c r="G2012" i="6"/>
  <c r="H2012" i="6" s="1"/>
  <c r="F2012" i="6"/>
  <c r="G3296" i="6"/>
  <c r="H3296" i="6" s="1"/>
  <c r="F3296" i="6"/>
  <c r="G3295" i="6"/>
  <c r="H3295" i="6" s="1"/>
  <c r="F3295" i="6"/>
  <c r="G3292" i="6"/>
  <c r="H3292" i="6" s="1"/>
  <c r="F3292" i="6"/>
  <c r="G3291" i="6"/>
  <c r="H3291" i="6" s="1"/>
  <c r="F3291" i="6"/>
  <c r="G3287" i="6"/>
  <c r="H3287" i="6" s="1"/>
  <c r="F3287" i="6"/>
  <c r="G3283" i="6"/>
  <c r="H3283" i="6" s="1"/>
  <c r="F3283" i="6"/>
  <c r="G3282" i="6"/>
  <c r="H3282" i="6" s="1"/>
  <c r="F3282" i="6"/>
  <c r="G3281" i="6"/>
  <c r="H3281" i="6" s="1"/>
  <c r="F3281" i="6"/>
  <c r="G3280" i="6"/>
  <c r="H3280" i="6" s="1"/>
  <c r="F3280" i="6"/>
  <c r="G3279" i="6"/>
  <c r="H3279" i="6" s="1"/>
  <c r="F3279" i="6"/>
  <c r="G3276" i="6"/>
  <c r="H3276" i="6" s="1"/>
  <c r="F3276" i="6"/>
  <c r="G3274" i="6"/>
  <c r="H3274" i="6" s="1"/>
  <c r="F3274" i="6"/>
  <c r="G3273" i="6"/>
  <c r="H3273" i="6" s="1"/>
  <c r="F3273" i="6"/>
  <c r="G3272" i="6"/>
  <c r="H3272" i="6" s="1"/>
  <c r="F3272" i="6"/>
  <c r="G3271" i="6"/>
  <c r="H3271" i="6" s="1"/>
  <c r="F3271" i="6"/>
  <c r="G3266" i="6"/>
  <c r="H3266" i="6" s="1"/>
  <c r="F3266" i="6"/>
  <c r="G3262" i="6"/>
  <c r="H3262" i="6" s="1"/>
  <c r="F3262" i="6"/>
  <c r="G3261" i="6"/>
  <c r="H3261" i="6" s="1"/>
  <c r="F3261" i="6"/>
  <c r="G3260" i="6"/>
  <c r="H3260" i="6" s="1"/>
  <c r="F3260" i="6"/>
  <c r="G3258" i="6"/>
  <c r="H3258" i="6" s="1"/>
  <c r="F3258" i="6"/>
  <c r="G3256" i="6"/>
  <c r="H3256" i="6" s="1"/>
  <c r="F3256" i="6"/>
  <c r="G3255" i="6"/>
  <c r="H3255" i="6" s="1"/>
  <c r="F3255" i="6"/>
  <c r="G3254" i="6"/>
  <c r="H3254" i="6" s="1"/>
  <c r="F3254" i="6"/>
  <c r="G3252" i="6"/>
  <c r="H3252" i="6" s="1"/>
  <c r="F3252" i="6"/>
  <c r="G3251" i="6"/>
  <c r="H3251" i="6" s="1"/>
  <c r="F3251" i="6"/>
  <c r="G3250" i="6"/>
  <c r="H3250" i="6" s="1"/>
  <c r="F3250" i="6"/>
  <c r="G3247" i="6"/>
  <c r="H3247" i="6" s="1"/>
  <c r="F3247" i="6"/>
  <c r="G3244" i="6"/>
  <c r="H3244" i="6" s="1"/>
  <c r="F3244" i="6"/>
  <c r="G3242" i="6"/>
  <c r="H3242" i="6" s="1"/>
  <c r="F3242" i="6"/>
  <c r="G3241" i="6"/>
  <c r="H3241" i="6" s="1"/>
  <c r="F3241" i="6"/>
  <c r="G3239" i="6"/>
  <c r="H3239" i="6" s="1"/>
  <c r="F3239" i="6"/>
  <c r="G3238" i="6"/>
  <c r="H3238" i="6" s="1"/>
  <c r="F3238" i="6"/>
  <c r="G3236" i="6"/>
  <c r="H3236" i="6" s="1"/>
  <c r="F3236" i="6"/>
  <c r="G3235" i="6"/>
  <c r="H3235" i="6" s="1"/>
  <c r="F3235" i="6"/>
  <c r="G3234" i="6"/>
  <c r="H3234" i="6" s="1"/>
  <c r="F3234" i="6"/>
  <c r="G3232" i="6"/>
  <c r="H3232" i="6" s="1"/>
  <c r="F3232" i="6"/>
  <c r="G3231" i="6"/>
  <c r="H3231" i="6" s="1"/>
  <c r="F3231" i="6"/>
  <c r="G3226" i="6"/>
  <c r="H3226" i="6" s="1"/>
  <c r="F3226" i="6"/>
  <c r="G3223" i="6"/>
  <c r="H3223" i="6" s="1"/>
  <c r="F3223" i="6"/>
  <c r="G3222" i="6"/>
  <c r="H3222" i="6" s="1"/>
  <c r="F3222" i="6"/>
  <c r="G3221" i="6"/>
  <c r="H3221" i="6" s="1"/>
  <c r="F3221" i="6"/>
  <c r="G3217" i="6"/>
  <c r="H3217" i="6" s="1"/>
  <c r="F3217" i="6"/>
  <c r="G3216" i="6"/>
  <c r="H3216" i="6" s="1"/>
  <c r="F3216" i="6"/>
  <c r="G3214" i="6"/>
  <c r="H3214" i="6" s="1"/>
  <c r="F3214" i="6"/>
  <c r="G3213" i="6"/>
  <c r="H3213" i="6" s="1"/>
  <c r="F3213" i="6"/>
  <c r="G3212" i="6"/>
  <c r="H3212" i="6" s="1"/>
  <c r="F3212" i="6"/>
  <c r="G3211" i="6"/>
  <c r="H3211" i="6" s="1"/>
  <c r="F3211" i="6"/>
  <c r="G3210" i="6"/>
  <c r="H3210" i="6" s="1"/>
  <c r="F3210" i="6"/>
  <c r="G3208" i="6"/>
  <c r="H3208" i="6" s="1"/>
  <c r="F3208" i="6"/>
  <c r="G3207" i="6"/>
  <c r="H3207" i="6" s="1"/>
  <c r="F3207" i="6"/>
  <c r="G3205" i="6"/>
  <c r="H3205" i="6" s="1"/>
  <c r="F3205" i="6"/>
  <c r="G3204" i="6"/>
  <c r="H3204" i="6" s="1"/>
  <c r="F3204" i="6"/>
  <c r="G3203" i="6"/>
  <c r="H3203" i="6" s="1"/>
  <c r="F3203" i="6"/>
  <c r="G3200" i="6"/>
  <c r="H3200" i="6" s="1"/>
  <c r="F3200" i="6"/>
  <c r="G3199" i="6"/>
  <c r="H3199" i="6" s="1"/>
  <c r="F3199" i="6"/>
  <c r="G3195" i="6"/>
  <c r="H3195" i="6" s="1"/>
  <c r="F3195" i="6"/>
  <c r="G3193" i="6"/>
  <c r="H3193" i="6" s="1"/>
  <c r="F3193" i="6"/>
  <c r="G3190" i="6"/>
  <c r="H3190" i="6" s="1"/>
  <c r="F3190" i="6"/>
  <c r="G3187" i="6"/>
  <c r="H3187" i="6" s="1"/>
  <c r="F3187" i="6"/>
  <c r="G3186" i="6"/>
  <c r="H3186" i="6" s="1"/>
  <c r="F3186" i="6"/>
  <c r="G3184" i="6"/>
  <c r="H3184" i="6" s="1"/>
  <c r="F3184" i="6"/>
  <c r="G3183" i="6"/>
  <c r="H3183" i="6" s="1"/>
  <c r="F3183" i="6"/>
  <c r="G3182" i="6"/>
  <c r="H3182" i="6" s="1"/>
  <c r="F3182" i="6"/>
  <c r="G3181" i="6"/>
  <c r="H3181" i="6" s="1"/>
  <c r="F3181" i="6"/>
  <c r="G3179" i="6"/>
  <c r="H3179" i="6" s="1"/>
  <c r="F3179" i="6"/>
  <c r="G3175" i="6"/>
  <c r="H3175" i="6" s="1"/>
  <c r="F3175" i="6"/>
  <c r="G3174" i="6"/>
  <c r="H3174" i="6" s="1"/>
  <c r="F3174" i="6"/>
  <c r="G3171" i="6"/>
  <c r="H3171" i="6" s="1"/>
  <c r="F3171" i="6"/>
  <c r="G3170" i="6"/>
  <c r="H3170" i="6" s="1"/>
  <c r="F3170" i="6"/>
  <c r="G3169" i="6"/>
  <c r="H3169" i="6" s="1"/>
  <c r="F3169" i="6"/>
  <c r="G3167" i="6"/>
  <c r="H3167" i="6" s="1"/>
  <c r="F3167" i="6"/>
  <c r="G3166" i="6"/>
  <c r="H3166" i="6" s="1"/>
  <c r="F3166" i="6"/>
  <c r="G3163" i="6"/>
  <c r="H3163" i="6" s="1"/>
  <c r="F3163" i="6"/>
  <c r="G3162" i="6"/>
  <c r="H3162" i="6" s="1"/>
  <c r="F3162" i="6"/>
  <c r="G3161" i="6"/>
  <c r="H3161" i="6" s="1"/>
  <c r="F3161" i="6"/>
  <c r="G3158" i="6"/>
  <c r="H3158" i="6" s="1"/>
  <c r="F3158" i="6"/>
  <c r="G3157" i="6"/>
  <c r="H3157" i="6" s="1"/>
  <c r="F3157" i="6"/>
  <c r="G3156" i="6"/>
  <c r="H3156" i="6" s="1"/>
  <c r="F3156" i="6"/>
  <c r="G3154" i="6"/>
  <c r="H3154" i="6" s="1"/>
  <c r="F3154" i="6"/>
  <c r="G3149" i="6"/>
  <c r="H3149" i="6" s="1"/>
  <c r="F3149" i="6"/>
  <c r="G3148" i="6"/>
  <c r="H3148" i="6" s="1"/>
  <c r="F3148" i="6"/>
  <c r="G3146" i="6"/>
  <c r="H3146" i="6" s="1"/>
  <c r="F3146" i="6"/>
  <c r="G3145" i="6"/>
  <c r="H3145" i="6" s="1"/>
  <c r="F3145" i="6"/>
  <c r="G3144" i="6"/>
  <c r="H3144" i="6" s="1"/>
  <c r="F3144" i="6"/>
  <c r="G3143" i="6"/>
  <c r="H3143" i="6" s="1"/>
  <c r="F3143" i="6"/>
  <c r="G3142" i="6"/>
  <c r="H3142" i="6" s="1"/>
  <c r="F3142" i="6"/>
  <c r="G3138" i="6"/>
  <c r="H3138" i="6" s="1"/>
  <c r="F3138" i="6"/>
  <c r="G3137" i="6"/>
  <c r="H3137" i="6" s="1"/>
  <c r="F3137" i="6"/>
  <c r="G3126" i="6"/>
  <c r="H3126" i="6" s="1"/>
  <c r="F3126" i="6"/>
  <c r="G3123" i="6"/>
  <c r="H3123" i="6" s="1"/>
  <c r="F3123" i="6"/>
  <c r="G3122" i="6"/>
  <c r="H3122" i="6" s="1"/>
  <c r="F3122" i="6"/>
  <c r="G3121" i="6"/>
  <c r="H3121" i="6" s="1"/>
  <c r="F3121" i="6"/>
  <c r="G3120" i="6"/>
  <c r="H3120" i="6" s="1"/>
  <c r="F3120" i="6"/>
  <c r="G3118" i="6"/>
  <c r="H3118" i="6" s="1"/>
  <c r="F3118" i="6"/>
  <c r="G3117" i="6"/>
  <c r="H3117" i="6" s="1"/>
  <c r="F3117" i="6"/>
  <c r="G3107" i="6"/>
  <c r="H3107" i="6" s="1"/>
  <c r="F3107" i="6"/>
  <c r="G3106" i="6"/>
  <c r="H3106" i="6" s="1"/>
  <c r="F3106" i="6"/>
  <c r="G3105" i="6"/>
  <c r="H3105" i="6" s="1"/>
  <c r="F3105" i="6"/>
  <c r="G3102" i="6"/>
  <c r="H3102" i="6" s="1"/>
  <c r="F3102" i="6"/>
  <c r="G3098" i="6"/>
  <c r="H3098" i="6" s="1"/>
  <c r="F3098" i="6"/>
  <c r="G3096" i="6"/>
  <c r="H3096" i="6" s="1"/>
  <c r="F3096" i="6"/>
  <c r="G3095" i="6"/>
  <c r="H3095" i="6" s="1"/>
  <c r="F3095" i="6"/>
  <c r="G3094" i="6"/>
  <c r="H3094" i="6" s="1"/>
  <c r="F3094" i="6"/>
  <c r="G3093" i="6"/>
  <c r="H3093" i="6" s="1"/>
  <c r="F3093" i="6"/>
  <c r="G3090" i="6"/>
  <c r="H3090" i="6" s="1"/>
  <c r="F3090" i="6"/>
  <c r="G3088" i="6"/>
  <c r="H3088" i="6" s="1"/>
  <c r="F3088" i="6"/>
  <c r="G3087" i="6"/>
  <c r="H3087" i="6" s="1"/>
  <c r="F3087" i="6"/>
  <c r="G3085" i="6"/>
  <c r="H3085" i="6" s="1"/>
  <c r="F3085" i="6"/>
  <c r="G3083" i="6"/>
  <c r="H3083" i="6" s="1"/>
  <c r="F3083" i="6"/>
  <c r="G3082" i="6"/>
  <c r="H3082" i="6" s="1"/>
  <c r="F3082" i="6"/>
  <c r="G3080" i="6"/>
  <c r="H3080" i="6" s="1"/>
  <c r="F3080" i="6"/>
  <c r="G3077" i="6"/>
  <c r="H3077" i="6" s="1"/>
  <c r="F3077" i="6"/>
  <c r="G3076" i="6"/>
  <c r="H3076" i="6" s="1"/>
  <c r="F3076" i="6"/>
  <c r="G3075" i="6"/>
  <c r="H3075" i="6" s="1"/>
  <c r="F3075" i="6"/>
  <c r="G3073" i="6"/>
  <c r="H3073" i="6" s="1"/>
  <c r="F3073" i="6"/>
  <c r="G3072" i="6"/>
  <c r="H3072" i="6" s="1"/>
  <c r="F3072" i="6"/>
  <c r="G3071" i="6"/>
  <c r="H3071" i="6" s="1"/>
  <c r="F3071" i="6"/>
  <c r="G3069" i="6"/>
  <c r="H3069" i="6" s="1"/>
  <c r="F3069" i="6"/>
  <c r="G3068" i="6"/>
  <c r="H3068" i="6" s="1"/>
  <c r="F3068" i="6"/>
  <c r="G3065" i="6"/>
  <c r="H3065" i="6" s="1"/>
  <c r="F3065" i="6"/>
  <c r="G3064" i="6"/>
  <c r="H3064" i="6" s="1"/>
  <c r="F3064" i="6"/>
  <c r="G3063" i="6"/>
  <c r="H3063" i="6" s="1"/>
  <c r="F3063" i="6"/>
  <c r="G3062" i="6"/>
  <c r="H3062" i="6" s="1"/>
  <c r="F3062" i="6"/>
  <c r="G3061" i="6"/>
  <c r="H3061" i="6" s="1"/>
  <c r="F3061" i="6"/>
  <c r="G3060" i="6"/>
  <c r="H3060" i="6" s="1"/>
  <c r="F3060" i="6"/>
  <c r="G3057" i="6"/>
  <c r="H3057" i="6" s="1"/>
  <c r="F3057" i="6"/>
  <c r="G3054" i="6"/>
  <c r="H3054" i="6" s="1"/>
  <c r="F3054" i="6"/>
  <c r="G3053" i="6"/>
  <c r="H3053" i="6" s="1"/>
  <c r="F3053" i="6"/>
  <c r="G3052" i="6"/>
  <c r="H3052" i="6" s="1"/>
  <c r="F3052" i="6"/>
  <c r="G3051" i="6"/>
  <c r="H3051" i="6" s="1"/>
  <c r="F3051" i="6"/>
  <c r="G3046" i="6"/>
  <c r="H3046" i="6" s="1"/>
  <c r="F3046" i="6"/>
  <c r="G3043" i="6"/>
  <c r="H3043" i="6" s="1"/>
  <c r="F3043" i="6"/>
  <c r="G3041" i="6"/>
  <c r="H3041" i="6" s="1"/>
  <c r="F3041" i="6"/>
  <c r="G3039" i="6"/>
  <c r="H3039" i="6" s="1"/>
  <c r="F3039" i="6"/>
  <c r="G3037" i="6"/>
  <c r="H3037" i="6" s="1"/>
  <c r="F3037" i="6"/>
  <c r="G3036" i="6"/>
  <c r="H3036" i="6" s="1"/>
  <c r="F3036" i="6"/>
  <c r="G3034" i="6"/>
  <c r="H3034" i="6" s="1"/>
  <c r="F3034" i="6"/>
  <c r="G3031" i="6"/>
  <c r="H3031" i="6" s="1"/>
  <c r="F3031" i="6"/>
  <c r="G3030" i="6"/>
  <c r="H3030" i="6" s="1"/>
  <c r="F3030" i="6"/>
  <c r="G3027" i="6"/>
  <c r="H3027" i="6" s="1"/>
  <c r="F3027" i="6"/>
  <c r="G3026" i="6"/>
  <c r="H3026" i="6" s="1"/>
  <c r="F3026" i="6"/>
  <c r="G3024" i="6"/>
  <c r="H3024" i="6" s="1"/>
  <c r="F3024" i="6"/>
  <c r="G3023" i="6"/>
  <c r="H3023" i="6" s="1"/>
  <c r="F3023" i="6"/>
  <c r="G3022" i="6"/>
  <c r="H3022" i="6" s="1"/>
  <c r="F3022" i="6"/>
  <c r="G3020" i="6"/>
  <c r="H3020" i="6" s="1"/>
  <c r="F3020" i="6"/>
  <c r="G3017" i="6"/>
  <c r="H3017" i="6" s="1"/>
  <c r="F3017" i="6"/>
  <c r="G3016" i="6"/>
  <c r="H3016" i="6" s="1"/>
  <c r="F3016" i="6"/>
  <c r="G3015" i="6"/>
  <c r="H3015" i="6" s="1"/>
  <c r="F3015" i="6"/>
  <c r="G3012" i="6"/>
  <c r="H3012" i="6" s="1"/>
  <c r="F3012" i="6"/>
  <c r="G3011" i="6"/>
  <c r="H3011" i="6" s="1"/>
  <c r="F3011" i="6"/>
  <c r="G3010" i="6"/>
  <c r="H3010" i="6" s="1"/>
  <c r="F3010" i="6"/>
  <c r="G3007" i="6"/>
  <c r="H3007" i="6" s="1"/>
  <c r="F3007" i="6"/>
  <c r="G3006" i="6"/>
  <c r="H3006" i="6" s="1"/>
  <c r="F3006" i="6"/>
  <c r="G3004" i="6"/>
  <c r="H3004" i="6" s="1"/>
  <c r="F3004" i="6"/>
  <c r="G3003" i="6"/>
  <c r="H3003" i="6" s="1"/>
  <c r="F3003" i="6"/>
  <c r="G3000" i="6"/>
  <c r="H3000" i="6" s="1"/>
  <c r="F3000" i="6"/>
  <c r="G2999" i="6"/>
  <c r="H2999" i="6" s="1"/>
  <c r="F2999" i="6"/>
  <c r="G2995" i="6"/>
  <c r="H2995" i="6" s="1"/>
  <c r="F2995" i="6"/>
  <c r="G2992" i="6"/>
  <c r="H2992" i="6" s="1"/>
  <c r="F2992" i="6"/>
  <c r="G2991" i="6"/>
  <c r="H2991" i="6" s="1"/>
  <c r="F2991" i="6"/>
  <c r="G2990" i="6"/>
  <c r="H2990" i="6" s="1"/>
  <c r="F2990" i="6"/>
  <c r="G2988" i="6"/>
  <c r="H2988" i="6" s="1"/>
  <c r="F2988" i="6"/>
  <c r="G2985" i="6"/>
  <c r="H2985" i="6" s="1"/>
  <c r="F2985" i="6"/>
  <c r="G2977" i="6"/>
  <c r="H2977" i="6" s="1"/>
  <c r="F2977" i="6"/>
  <c r="G2974" i="6"/>
  <c r="H2974" i="6" s="1"/>
  <c r="F2974" i="6"/>
  <c r="G2973" i="6"/>
  <c r="H2973" i="6" s="1"/>
  <c r="F2973" i="6"/>
  <c r="G2969" i="6"/>
  <c r="H2969" i="6" s="1"/>
  <c r="F2969" i="6"/>
  <c r="G2968" i="6"/>
  <c r="H2968" i="6" s="1"/>
  <c r="F2968" i="6"/>
  <c r="G2965" i="6"/>
  <c r="H2965" i="6" s="1"/>
  <c r="F2965" i="6"/>
  <c r="G2963" i="6"/>
  <c r="H2963" i="6" s="1"/>
  <c r="F2963" i="6"/>
  <c r="G2957" i="6"/>
  <c r="H2957" i="6" s="1"/>
  <c r="F2957" i="6"/>
  <c r="G2956" i="6"/>
  <c r="H2956" i="6" s="1"/>
  <c r="F2956" i="6"/>
  <c r="G2955" i="6"/>
  <c r="H2955" i="6" s="1"/>
  <c r="F2955" i="6"/>
  <c r="G2954" i="6"/>
  <c r="H2954" i="6" s="1"/>
  <c r="F2954" i="6"/>
  <c r="G2952" i="6"/>
  <c r="H2952" i="6" s="1"/>
  <c r="F2952" i="6"/>
  <c r="G2947" i="6"/>
  <c r="H2947" i="6" s="1"/>
  <c r="F2947" i="6"/>
  <c r="G2945" i="6"/>
  <c r="H2945" i="6" s="1"/>
  <c r="F2945" i="6"/>
  <c r="G2944" i="6"/>
  <c r="H2944" i="6" s="1"/>
  <c r="F2944" i="6"/>
  <c r="G2943" i="6"/>
  <c r="H2943" i="6" s="1"/>
  <c r="F2943" i="6"/>
  <c r="G2942" i="6"/>
  <c r="H2942" i="6" s="1"/>
  <c r="F2942" i="6"/>
  <c r="G2941" i="6"/>
  <c r="H2941" i="6" s="1"/>
  <c r="F2941" i="6"/>
  <c r="G2939" i="6"/>
  <c r="H2939" i="6" s="1"/>
  <c r="F2939" i="6"/>
  <c r="G2938" i="6"/>
  <c r="H2938" i="6" s="1"/>
  <c r="F2938" i="6"/>
  <c r="G2936" i="6"/>
  <c r="H2936" i="6" s="1"/>
  <c r="F2936" i="6"/>
  <c r="G2935" i="6"/>
  <c r="H2935" i="6" s="1"/>
  <c r="F2935" i="6"/>
  <c r="G2934" i="6"/>
  <c r="H2934" i="6" s="1"/>
  <c r="F2934" i="6"/>
  <c r="G2932" i="6"/>
  <c r="H2932" i="6" s="1"/>
  <c r="F2932" i="6"/>
  <c r="G2930" i="6"/>
  <c r="H2930" i="6" s="1"/>
  <c r="F2930" i="6"/>
  <c r="G2929" i="6"/>
  <c r="H2929" i="6" s="1"/>
  <c r="F2929" i="6"/>
  <c r="G2927" i="6"/>
  <c r="H2927" i="6" s="1"/>
  <c r="F2927" i="6"/>
  <c r="G2924" i="6"/>
  <c r="H2924" i="6" s="1"/>
  <c r="F2924" i="6"/>
  <c r="G2921" i="6"/>
  <c r="H2921" i="6" s="1"/>
  <c r="F2921" i="6"/>
  <c r="G2919" i="6"/>
  <c r="H2919" i="6" s="1"/>
  <c r="F2919" i="6"/>
  <c r="G2918" i="6"/>
  <c r="H2918" i="6" s="1"/>
  <c r="F2918" i="6"/>
  <c r="G2917" i="6"/>
  <c r="H2917" i="6" s="1"/>
  <c r="F2917" i="6"/>
  <c r="G2915" i="6"/>
  <c r="H2915" i="6" s="1"/>
  <c r="F2915" i="6"/>
  <c r="G2911" i="6"/>
  <c r="H2911" i="6" s="1"/>
  <c r="F2911" i="6"/>
  <c r="G2910" i="6"/>
  <c r="H2910" i="6" s="1"/>
  <c r="F2910" i="6"/>
  <c r="G2905" i="6"/>
  <c r="H2905" i="6" s="1"/>
  <c r="F2905" i="6"/>
  <c r="G2898" i="6"/>
  <c r="H2898" i="6" s="1"/>
  <c r="F2898" i="6"/>
  <c r="G2897" i="6"/>
  <c r="H2897" i="6" s="1"/>
  <c r="F2897" i="6"/>
  <c r="G2896" i="6"/>
  <c r="H2896" i="6" s="1"/>
  <c r="F2896" i="6"/>
  <c r="G2895" i="6"/>
  <c r="H2895" i="6" s="1"/>
  <c r="F2895" i="6"/>
  <c r="G2894" i="6"/>
  <c r="H2894" i="6" s="1"/>
  <c r="F2894" i="6"/>
  <c r="G2892" i="6"/>
  <c r="H2892" i="6" s="1"/>
  <c r="F2892" i="6"/>
  <c r="G2889" i="6"/>
  <c r="H2889" i="6" s="1"/>
  <c r="F2889" i="6"/>
  <c r="G2887" i="6"/>
  <c r="H2887" i="6" s="1"/>
  <c r="F2887" i="6"/>
  <c r="G2886" i="6"/>
  <c r="H2886" i="6" s="1"/>
  <c r="F2886" i="6"/>
  <c r="G2885" i="6"/>
  <c r="H2885" i="6" s="1"/>
  <c r="F2885" i="6"/>
  <c r="G2883" i="6"/>
  <c r="H2883" i="6" s="1"/>
  <c r="F2883" i="6"/>
  <c r="G2882" i="6"/>
  <c r="H2882" i="6" s="1"/>
  <c r="F2882" i="6"/>
  <c r="G2880" i="6"/>
  <c r="H2880" i="6" s="1"/>
  <c r="F2880" i="6"/>
  <c r="G2879" i="6"/>
  <c r="H2879" i="6" s="1"/>
  <c r="F2879" i="6"/>
  <c r="G2878" i="6"/>
  <c r="H2878" i="6" s="1"/>
  <c r="F2878" i="6"/>
  <c r="G2874" i="6"/>
  <c r="H2874" i="6" s="1"/>
  <c r="F2874" i="6"/>
  <c r="G2873" i="6"/>
  <c r="H2873" i="6" s="1"/>
  <c r="F2873" i="6"/>
  <c r="G2868" i="6"/>
  <c r="H2868" i="6" s="1"/>
  <c r="F2868" i="6"/>
  <c r="G2867" i="6"/>
  <c r="H2867" i="6" s="1"/>
  <c r="F2867" i="6"/>
  <c r="G2866" i="6"/>
  <c r="H2866" i="6" s="1"/>
  <c r="F2866" i="6"/>
  <c r="G2864" i="6"/>
  <c r="H2864" i="6" s="1"/>
  <c r="F2864" i="6"/>
  <c r="G2863" i="6"/>
  <c r="H2863" i="6" s="1"/>
  <c r="F2863" i="6"/>
  <c r="G2860" i="6"/>
  <c r="H2860" i="6" s="1"/>
  <c r="F2860" i="6"/>
  <c r="G2856" i="6"/>
  <c r="H2856" i="6" s="1"/>
  <c r="F2856" i="6"/>
  <c r="G2854" i="6"/>
  <c r="H2854" i="6" s="1"/>
  <c r="F2854" i="6"/>
  <c r="G2853" i="6"/>
  <c r="H2853" i="6" s="1"/>
  <c r="F2853" i="6"/>
  <c r="G2851" i="6"/>
  <c r="H2851" i="6" s="1"/>
  <c r="F2851" i="6"/>
  <c r="G2850" i="6"/>
  <c r="H2850" i="6" s="1"/>
  <c r="F2850" i="6"/>
  <c r="G2849" i="6"/>
  <c r="H2849" i="6" s="1"/>
  <c r="F2849" i="6"/>
  <c r="G2846" i="6"/>
  <c r="H2846" i="6" s="1"/>
  <c r="F2846" i="6"/>
  <c r="G2845" i="6"/>
  <c r="H2845" i="6" s="1"/>
  <c r="F2845" i="6"/>
  <c r="G2843" i="6"/>
  <c r="H2843" i="6" s="1"/>
  <c r="F2843" i="6"/>
  <c r="G2841" i="6"/>
  <c r="H2841" i="6" s="1"/>
  <c r="F2841" i="6"/>
  <c r="G2836" i="6"/>
  <c r="H2836" i="6" s="1"/>
  <c r="F2836" i="6"/>
  <c r="G2835" i="6"/>
  <c r="H2835" i="6" s="1"/>
  <c r="F2835" i="6"/>
  <c r="G2834" i="6"/>
  <c r="H2834" i="6" s="1"/>
  <c r="F2834" i="6"/>
  <c r="G2833" i="6"/>
  <c r="H2833" i="6" s="1"/>
  <c r="F2833" i="6"/>
  <c r="G2832" i="6"/>
  <c r="H2832" i="6" s="1"/>
  <c r="F2832" i="6"/>
  <c r="G2831" i="6"/>
  <c r="H2831" i="6" s="1"/>
  <c r="F2831" i="6"/>
  <c r="G2827" i="6"/>
  <c r="H2827" i="6" s="1"/>
  <c r="F2827" i="6"/>
  <c r="G2824" i="6"/>
  <c r="H2824" i="6" s="1"/>
  <c r="F2824" i="6"/>
  <c r="G2820" i="6"/>
  <c r="H2820" i="6" s="1"/>
  <c r="F2820" i="6"/>
  <c r="G2818" i="6"/>
  <c r="H2818" i="6" s="1"/>
  <c r="F2818" i="6"/>
  <c r="G2816" i="6"/>
  <c r="H2816" i="6" s="1"/>
  <c r="F2816" i="6"/>
  <c r="G2815" i="6"/>
  <c r="H2815" i="6" s="1"/>
  <c r="F2815" i="6"/>
  <c r="G2814" i="6"/>
  <c r="H2814" i="6" s="1"/>
  <c r="F2814" i="6"/>
  <c r="G2813" i="6"/>
  <c r="H2813" i="6" s="1"/>
  <c r="F2813" i="6"/>
  <c r="G2811" i="6"/>
  <c r="H2811" i="6" s="1"/>
  <c r="F2811" i="6"/>
  <c r="G2806" i="6"/>
  <c r="H2806" i="6" s="1"/>
  <c r="F2806" i="6"/>
  <c r="G2805" i="6"/>
  <c r="H2805" i="6" s="1"/>
  <c r="F2805" i="6"/>
  <c r="G2802" i="6"/>
  <c r="H2802" i="6" s="1"/>
  <c r="F2802" i="6"/>
  <c r="G2801" i="6"/>
  <c r="H2801" i="6" s="1"/>
  <c r="F2801" i="6"/>
  <c r="G2800" i="6"/>
  <c r="H2800" i="6" s="1"/>
  <c r="F2800" i="6"/>
  <c r="G2798" i="6"/>
  <c r="H2798" i="6" s="1"/>
  <c r="F2798" i="6"/>
  <c r="G2796" i="6"/>
  <c r="H2796" i="6" s="1"/>
  <c r="F2796" i="6"/>
  <c r="G2793" i="6"/>
  <c r="H2793" i="6" s="1"/>
  <c r="F2793" i="6"/>
  <c r="G2792" i="6"/>
  <c r="H2792" i="6" s="1"/>
  <c r="F2792" i="6"/>
  <c r="G2791" i="6"/>
  <c r="H2791" i="6" s="1"/>
  <c r="F2791" i="6"/>
  <c r="G2787" i="6"/>
  <c r="H2787" i="6" s="1"/>
  <c r="F2787" i="6"/>
  <c r="G2786" i="6"/>
  <c r="H2786" i="6" s="1"/>
  <c r="F2786" i="6"/>
  <c r="G2783" i="6"/>
  <c r="H2783" i="6" s="1"/>
  <c r="F2783" i="6"/>
  <c r="G2782" i="6"/>
  <c r="H2782" i="6" s="1"/>
  <c r="F2782" i="6"/>
  <c r="G2781" i="6"/>
  <c r="H2781" i="6" s="1"/>
  <c r="F2781" i="6"/>
  <c r="G2780" i="6"/>
  <c r="H2780" i="6" s="1"/>
  <c r="F2780" i="6"/>
  <c r="G2779" i="6"/>
  <c r="H2779" i="6" s="1"/>
  <c r="F2779" i="6"/>
  <c r="G2775" i="6"/>
  <c r="H2775" i="6" s="1"/>
  <c r="F2775" i="6"/>
  <c r="G2770" i="6"/>
  <c r="H2770" i="6" s="1"/>
  <c r="F2770" i="6"/>
  <c r="G2769" i="6"/>
  <c r="H2769" i="6" s="1"/>
  <c r="F2769" i="6"/>
  <c r="G2765" i="6"/>
  <c r="H2765" i="6" s="1"/>
  <c r="F2765" i="6"/>
  <c r="G2764" i="6"/>
  <c r="H2764" i="6" s="1"/>
  <c r="F2764" i="6"/>
  <c r="G2763" i="6"/>
  <c r="H2763" i="6" s="1"/>
  <c r="F2763" i="6"/>
  <c r="G2761" i="6"/>
  <c r="H2761" i="6" s="1"/>
  <c r="F2761" i="6"/>
  <c r="G2758" i="6"/>
  <c r="H2758" i="6" s="1"/>
  <c r="F2758" i="6"/>
  <c r="G2757" i="6"/>
  <c r="H2757" i="6" s="1"/>
  <c r="F2757" i="6"/>
  <c r="G2756" i="6"/>
  <c r="H2756" i="6" s="1"/>
  <c r="F2756" i="6"/>
  <c r="G2755" i="6"/>
  <c r="H2755" i="6" s="1"/>
  <c r="F2755" i="6"/>
  <c r="G2754" i="6"/>
  <c r="H2754" i="6" s="1"/>
  <c r="F2754" i="6"/>
  <c r="G2752" i="6"/>
  <c r="H2752" i="6" s="1"/>
  <c r="F2752" i="6"/>
  <c r="G2751" i="6"/>
  <c r="H2751" i="6" s="1"/>
  <c r="F2751" i="6"/>
  <c r="G2748" i="6"/>
  <c r="H2748" i="6" s="1"/>
  <c r="F2748" i="6"/>
  <c r="G2746" i="6"/>
  <c r="H2746" i="6" s="1"/>
  <c r="F2746" i="6"/>
  <c r="G2745" i="6"/>
  <c r="H2745" i="6" s="1"/>
  <c r="F2745" i="6"/>
  <c r="G2744" i="6"/>
  <c r="H2744" i="6" s="1"/>
  <c r="F2744" i="6"/>
  <c r="G2741" i="6"/>
  <c r="H2741" i="6" s="1"/>
  <c r="F2741" i="6"/>
  <c r="G2739" i="6"/>
  <c r="H2739" i="6" s="1"/>
  <c r="F2739" i="6"/>
  <c r="G2738" i="6"/>
  <c r="H2738" i="6" s="1"/>
  <c r="F2738" i="6"/>
  <c r="G2737" i="6"/>
  <c r="H2737" i="6" s="1"/>
  <c r="F2737" i="6"/>
  <c r="G2735" i="6"/>
  <c r="H2735" i="6" s="1"/>
  <c r="F2735" i="6"/>
  <c r="G2733" i="6"/>
  <c r="H2733" i="6" s="1"/>
  <c r="F2733" i="6"/>
  <c r="G2731" i="6"/>
  <c r="H2731" i="6" s="1"/>
  <c r="F2731" i="6"/>
  <c r="G2730" i="6"/>
  <c r="H2730" i="6" s="1"/>
  <c r="F2730" i="6"/>
  <c r="G2725" i="6"/>
  <c r="H2725" i="6" s="1"/>
  <c r="F2725" i="6"/>
  <c r="G2724" i="6"/>
  <c r="H2724" i="6" s="1"/>
  <c r="F2724" i="6"/>
  <c r="G2723" i="6"/>
  <c r="H2723" i="6" s="1"/>
  <c r="F2723" i="6"/>
  <c r="G2722" i="6"/>
  <c r="H2722" i="6" s="1"/>
  <c r="F2722" i="6"/>
  <c r="G2720" i="6"/>
  <c r="H2720" i="6" s="1"/>
  <c r="F2720" i="6"/>
  <c r="G2717" i="6"/>
  <c r="H2717" i="6" s="1"/>
  <c r="F2717" i="6"/>
  <c r="G2715" i="6"/>
  <c r="H2715" i="6" s="1"/>
  <c r="F2715" i="6"/>
  <c r="G2714" i="6"/>
  <c r="H2714" i="6" s="1"/>
  <c r="F2714" i="6"/>
  <c r="G2713" i="6"/>
  <c r="H2713" i="6" s="1"/>
  <c r="F2713" i="6"/>
  <c r="G2711" i="6"/>
  <c r="H2711" i="6" s="1"/>
  <c r="F2711" i="6"/>
  <c r="G2710" i="6"/>
  <c r="H2710" i="6" s="1"/>
  <c r="F2710" i="6"/>
  <c r="G2709" i="6"/>
  <c r="H2709" i="6" s="1"/>
  <c r="F2709" i="6"/>
  <c r="G2706" i="6"/>
  <c r="H2706" i="6" s="1"/>
  <c r="F2706" i="6"/>
  <c r="G2705" i="6"/>
  <c r="H2705" i="6" s="1"/>
  <c r="F2705" i="6"/>
  <c r="G2704" i="6"/>
  <c r="H2704" i="6" s="1"/>
  <c r="F2704" i="6"/>
  <c r="G2703" i="6"/>
  <c r="H2703" i="6" s="1"/>
  <c r="F2703" i="6"/>
  <c r="G2702" i="6"/>
  <c r="H2702" i="6" s="1"/>
  <c r="F2702" i="6"/>
  <c r="G2700" i="6"/>
  <c r="H2700" i="6" s="1"/>
  <c r="F2700" i="6"/>
  <c r="G2698" i="6"/>
  <c r="H2698" i="6" s="1"/>
  <c r="F2698" i="6"/>
  <c r="G2696" i="6"/>
  <c r="H2696" i="6" s="1"/>
  <c r="F2696" i="6"/>
  <c r="G2695" i="6"/>
  <c r="H2695" i="6" s="1"/>
  <c r="F2695" i="6"/>
  <c r="G2694" i="6"/>
  <c r="H2694" i="6" s="1"/>
  <c r="F2694" i="6"/>
  <c r="G2693" i="6"/>
  <c r="H2693" i="6" s="1"/>
  <c r="F2693" i="6"/>
  <c r="G2692" i="6"/>
  <c r="H2692" i="6" s="1"/>
  <c r="F2692" i="6"/>
  <c r="G2691" i="6"/>
  <c r="H2691" i="6" s="1"/>
  <c r="F2691" i="6"/>
  <c r="G2689" i="6"/>
  <c r="H2689" i="6" s="1"/>
  <c r="F2689" i="6"/>
  <c r="G2688" i="6"/>
  <c r="H2688" i="6" s="1"/>
  <c r="F2688" i="6"/>
  <c r="G2687" i="6"/>
  <c r="H2687" i="6" s="1"/>
  <c r="F2687" i="6"/>
  <c r="G2685" i="6"/>
  <c r="H2685" i="6" s="1"/>
  <c r="F2685" i="6"/>
  <c r="G2681" i="6"/>
  <c r="H2681" i="6" s="1"/>
  <c r="F2681" i="6"/>
  <c r="G2679" i="6"/>
  <c r="H2679" i="6" s="1"/>
  <c r="F2679" i="6"/>
  <c r="G2677" i="6"/>
  <c r="H2677" i="6" s="1"/>
  <c r="F2677" i="6"/>
  <c r="G2675" i="6"/>
  <c r="H2675" i="6" s="1"/>
  <c r="F2675" i="6"/>
  <c r="G2672" i="6"/>
  <c r="H2672" i="6" s="1"/>
  <c r="F2672" i="6"/>
  <c r="G2671" i="6"/>
  <c r="H2671" i="6" s="1"/>
  <c r="F2671" i="6"/>
  <c r="G2667" i="6"/>
  <c r="H2667" i="6" s="1"/>
  <c r="F2667" i="6"/>
  <c r="G2666" i="6"/>
  <c r="H2666" i="6" s="1"/>
  <c r="F2666" i="6"/>
  <c r="G2665" i="6"/>
  <c r="H2665" i="6" s="1"/>
  <c r="F2665" i="6"/>
  <c r="G2664" i="6"/>
  <c r="H2664" i="6" s="1"/>
  <c r="F2664" i="6"/>
  <c r="G2661" i="6"/>
  <c r="H2661" i="6" s="1"/>
  <c r="F2661" i="6"/>
  <c r="G2659" i="6"/>
  <c r="H2659" i="6" s="1"/>
  <c r="F2659" i="6"/>
  <c r="G2652" i="6"/>
  <c r="H2652" i="6" s="1"/>
  <c r="F2652" i="6"/>
  <c r="G2651" i="6"/>
  <c r="H2651" i="6" s="1"/>
  <c r="F2651" i="6"/>
  <c r="G2650" i="6"/>
  <c r="H2650" i="6" s="1"/>
  <c r="F2650" i="6"/>
  <c r="G2649" i="6"/>
  <c r="H2649" i="6" s="1"/>
  <c r="F2649" i="6"/>
  <c r="G2645" i="6"/>
  <c r="H2645" i="6" s="1"/>
  <c r="F2645" i="6"/>
  <c r="G2643" i="6"/>
  <c r="H2643" i="6" s="1"/>
  <c r="F2643" i="6"/>
  <c r="G2640" i="6"/>
  <c r="H2640" i="6" s="1"/>
  <c r="F2640" i="6"/>
  <c r="G2638" i="6"/>
  <c r="H2638" i="6" s="1"/>
  <c r="F2638" i="6"/>
  <c r="G2637" i="6"/>
  <c r="H2637" i="6" s="1"/>
  <c r="F2637" i="6"/>
  <c r="G2636" i="6"/>
  <c r="H2636" i="6" s="1"/>
  <c r="F2636" i="6"/>
  <c r="G2633" i="6"/>
  <c r="H2633" i="6" s="1"/>
  <c r="F2633" i="6"/>
  <c r="G2631" i="6"/>
  <c r="H2631" i="6" s="1"/>
  <c r="F2631" i="6"/>
  <c r="G2630" i="6"/>
  <c r="H2630" i="6" s="1"/>
  <c r="F2630" i="6"/>
  <c r="G2629" i="6"/>
  <c r="H2629" i="6" s="1"/>
  <c r="F2629" i="6"/>
  <c r="G2628" i="6"/>
  <c r="H2628" i="6" s="1"/>
  <c r="F2628" i="6"/>
  <c r="G2627" i="6"/>
  <c r="H2627" i="6" s="1"/>
  <c r="F2627" i="6"/>
  <c r="G2625" i="6"/>
  <c r="H2625" i="6" s="1"/>
  <c r="F2625" i="6"/>
  <c r="G2621" i="6"/>
  <c r="H2621" i="6" s="1"/>
  <c r="F2621" i="6"/>
  <c r="G2618" i="6"/>
  <c r="H2618" i="6" s="1"/>
  <c r="F2618" i="6"/>
  <c r="G2617" i="6"/>
  <c r="H2617" i="6" s="1"/>
  <c r="F2617" i="6"/>
  <c r="G2616" i="6"/>
  <c r="H2616" i="6" s="1"/>
  <c r="F2616" i="6"/>
  <c r="G2614" i="6"/>
  <c r="H2614" i="6" s="1"/>
  <c r="F2614" i="6"/>
  <c r="G2612" i="6"/>
  <c r="H2612" i="6" s="1"/>
  <c r="F2612" i="6"/>
  <c r="G2610" i="6"/>
  <c r="H2610" i="6" s="1"/>
  <c r="F2610" i="6"/>
  <c r="G2609" i="6"/>
  <c r="H2609" i="6" s="1"/>
  <c r="F2609" i="6"/>
  <c r="G2607" i="6"/>
  <c r="H2607" i="6" s="1"/>
  <c r="F2607" i="6"/>
  <c r="G2606" i="6"/>
  <c r="H2606" i="6" s="1"/>
  <c r="F2606" i="6"/>
  <c r="G2605" i="6"/>
  <c r="H2605" i="6" s="1"/>
  <c r="F2605" i="6"/>
  <c r="G2604" i="6"/>
  <c r="H2604" i="6" s="1"/>
  <c r="F2604" i="6"/>
  <c r="G2603" i="6"/>
  <c r="H2603" i="6" s="1"/>
  <c r="F2603" i="6"/>
  <c r="G2602" i="6"/>
  <c r="H2602" i="6" s="1"/>
  <c r="F2602" i="6"/>
  <c r="G2601" i="6"/>
  <c r="H2601" i="6" s="1"/>
  <c r="F2601" i="6"/>
  <c r="G2599" i="6"/>
  <c r="H2599" i="6" s="1"/>
  <c r="F2599" i="6"/>
  <c r="G2598" i="6"/>
  <c r="H2598" i="6" s="1"/>
  <c r="F2598" i="6"/>
  <c r="G2597" i="6"/>
  <c r="H2597" i="6" s="1"/>
  <c r="F2597" i="6"/>
  <c r="G2596" i="6"/>
  <c r="H2596" i="6" s="1"/>
  <c r="F2596" i="6"/>
  <c r="G2593" i="6"/>
  <c r="H2593" i="6" s="1"/>
  <c r="F2593" i="6"/>
  <c r="G2592" i="6"/>
  <c r="H2592" i="6" s="1"/>
  <c r="F2592" i="6"/>
  <c r="G2591" i="6"/>
  <c r="H2591" i="6" s="1"/>
  <c r="F2591" i="6"/>
  <c r="G2590" i="6"/>
  <c r="H2590" i="6" s="1"/>
  <c r="F2590" i="6"/>
  <c r="G2586" i="6"/>
  <c r="H2586" i="6" s="1"/>
  <c r="F2586" i="6"/>
  <c r="G2585" i="6"/>
  <c r="H2585" i="6" s="1"/>
  <c r="F2585" i="6"/>
  <c r="G2584" i="6"/>
  <c r="H2584" i="6" s="1"/>
  <c r="F2584" i="6"/>
  <c r="G2582" i="6"/>
  <c r="H2582" i="6" s="1"/>
  <c r="F2582" i="6"/>
  <c r="G2579" i="6"/>
  <c r="H2579" i="6" s="1"/>
  <c r="F2579" i="6"/>
  <c r="G2578" i="6"/>
  <c r="H2578" i="6" s="1"/>
  <c r="F2578" i="6"/>
  <c r="G2573" i="6"/>
  <c r="H2573" i="6" s="1"/>
  <c r="F2573" i="6"/>
  <c r="G2569" i="6"/>
  <c r="H2569" i="6" s="1"/>
  <c r="F2569" i="6"/>
  <c r="G2567" i="6"/>
  <c r="H2567" i="6" s="1"/>
  <c r="F2567" i="6"/>
  <c r="G2565" i="6"/>
  <c r="H2565" i="6" s="1"/>
  <c r="F2565" i="6"/>
  <c r="G2564" i="6"/>
  <c r="H2564" i="6" s="1"/>
  <c r="F2564" i="6"/>
  <c r="G2563" i="6"/>
  <c r="H2563" i="6" s="1"/>
  <c r="F2563" i="6"/>
  <c r="G2556" i="6"/>
  <c r="H2556" i="6" s="1"/>
  <c r="F2556" i="6"/>
  <c r="G2553" i="6"/>
  <c r="H2553" i="6" s="1"/>
  <c r="F2553" i="6"/>
  <c r="G2551" i="6"/>
  <c r="H2551" i="6" s="1"/>
  <c r="F2551" i="6"/>
  <c r="G2550" i="6"/>
  <c r="H2550" i="6" s="1"/>
  <c r="F2550" i="6"/>
  <c r="G2549" i="6"/>
  <c r="H2549" i="6" s="1"/>
  <c r="F2549" i="6"/>
  <c r="G2548" i="6"/>
  <c r="H2548" i="6" s="1"/>
  <c r="F2548" i="6"/>
  <c r="G2546" i="6"/>
  <c r="H2546" i="6" s="1"/>
  <c r="F2546" i="6"/>
  <c r="G2545" i="6"/>
  <c r="H2545" i="6" s="1"/>
  <c r="F2545" i="6"/>
  <c r="G2544" i="6"/>
  <c r="H2544" i="6" s="1"/>
  <c r="F2544" i="6"/>
  <c r="G2542" i="6"/>
  <c r="H2542" i="6" s="1"/>
  <c r="F2542" i="6"/>
  <c r="G2541" i="6"/>
  <c r="H2541" i="6" s="1"/>
  <c r="F2541" i="6"/>
  <c r="G2540" i="6"/>
  <c r="H2540" i="6" s="1"/>
  <c r="F2540" i="6"/>
  <c r="G2538" i="6"/>
  <c r="H2538" i="6" s="1"/>
  <c r="F2538" i="6"/>
  <c r="G2537" i="6"/>
  <c r="H2537" i="6" s="1"/>
  <c r="F2537" i="6"/>
  <c r="G2536" i="6"/>
  <c r="H2536" i="6" s="1"/>
  <c r="F2536" i="6"/>
  <c r="G2533" i="6"/>
  <c r="H2533" i="6" s="1"/>
  <c r="F2533" i="6"/>
  <c r="G2531" i="6"/>
  <c r="H2531" i="6" s="1"/>
  <c r="F2531" i="6"/>
  <c r="G2530" i="6"/>
  <c r="H2530" i="6" s="1"/>
  <c r="F2530" i="6"/>
  <c r="G2529" i="6"/>
  <c r="H2529" i="6" s="1"/>
  <c r="F2529" i="6"/>
  <c r="G2528" i="6"/>
  <c r="H2528" i="6" s="1"/>
  <c r="F2528" i="6"/>
  <c r="G2527" i="6"/>
  <c r="H2527" i="6" s="1"/>
  <c r="F2527" i="6"/>
  <c r="G2526" i="6"/>
  <c r="H2526" i="6" s="1"/>
  <c r="F2526" i="6"/>
  <c r="G2521" i="6"/>
  <c r="H2521" i="6" s="1"/>
  <c r="F2521" i="6"/>
  <c r="G2518" i="6"/>
  <c r="H2518" i="6" s="1"/>
  <c r="F2518" i="6"/>
  <c r="G2515" i="6"/>
  <c r="H2515" i="6" s="1"/>
  <c r="F2515" i="6"/>
  <c r="G2514" i="6"/>
  <c r="H2514" i="6" s="1"/>
  <c r="F2514" i="6"/>
  <c r="G2512" i="6"/>
  <c r="H2512" i="6" s="1"/>
  <c r="F2512" i="6"/>
  <c r="G2511" i="6"/>
  <c r="H2511" i="6" s="1"/>
  <c r="F2511" i="6"/>
  <c r="G2510" i="6"/>
  <c r="H2510" i="6" s="1"/>
  <c r="F2510" i="6"/>
  <c r="G2509" i="6"/>
  <c r="H2509" i="6" s="1"/>
  <c r="F2509" i="6"/>
  <c r="G2507" i="6"/>
  <c r="H2507" i="6" s="1"/>
  <c r="F2507" i="6"/>
  <c r="G2506" i="6"/>
  <c r="H2506" i="6" s="1"/>
  <c r="F2506" i="6"/>
  <c r="G2505" i="6"/>
  <c r="H2505" i="6" s="1"/>
  <c r="F2505" i="6"/>
  <c r="G2503" i="6"/>
  <c r="H2503" i="6" s="1"/>
  <c r="F2503" i="6"/>
  <c r="G2502" i="6"/>
  <c r="H2502" i="6" s="1"/>
  <c r="F2502" i="6"/>
  <c r="G2501" i="6"/>
  <c r="H2501" i="6" s="1"/>
  <c r="F2501" i="6"/>
  <c r="G2499" i="6"/>
  <c r="H2499" i="6" s="1"/>
  <c r="F2499" i="6"/>
  <c r="G2497" i="6"/>
  <c r="H2497" i="6" s="1"/>
  <c r="F2497" i="6"/>
  <c r="G2495" i="6"/>
  <c r="H2495" i="6" s="1"/>
  <c r="F2495" i="6"/>
  <c r="G2490" i="6"/>
  <c r="H2490" i="6" s="1"/>
  <c r="F2490" i="6"/>
  <c r="G2488" i="6"/>
  <c r="H2488" i="6" s="1"/>
  <c r="F2488" i="6"/>
  <c r="G2486" i="6"/>
  <c r="H2486" i="6" s="1"/>
  <c r="F2486" i="6"/>
  <c r="G2485" i="6"/>
  <c r="H2485" i="6" s="1"/>
  <c r="F2485" i="6"/>
  <c r="G2484" i="6"/>
  <c r="H2484" i="6" s="1"/>
  <c r="F2484" i="6"/>
  <c r="F3299" i="6"/>
  <c r="G2479" i="6"/>
  <c r="H2479" i="6" s="1"/>
  <c r="F2479" i="6"/>
  <c r="G2473" i="6"/>
  <c r="H2473" i="6" s="1"/>
  <c r="F2473" i="6"/>
  <c r="G2472" i="6"/>
  <c r="H2472" i="6" s="1"/>
  <c r="F2472" i="6"/>
  <c r="G2469" i="6"/>
  <c r="H2469" i="6" s="1"/>
  <c r="F2469" i="6"/>
  <c r="G2465" i="6"/>
  <c r="H2465" i="6" s="1"/>
  <c r="F2465" i="6"/>
  <c r="G2464" i="6"/>
  <c r="H2464" i="6" s="1"/>
  <c r="F2464" i="6"/>
  <c r="G2463" i="6"/>
  <c r="H2463" i="6" s="1"/>
  <c r="F2463" i="6"/>
  <c r="G2461" i="6"/>
  <c r="H2461" i="6" s="1"/>
  <c r="F2461" i="6"/>
  <c r="G2460" i="6"/>
  <c r="H2460" i="6" s="1"/>
  <c r="F2460" i="6"/>
  <c r="G2459" i="6"/>
  <c r="H2459" i="6" s="1"/>
  <c r="F2459" i="6"/>
  <c r="G2455" i="6"/>
  <c r="H2455" i="6" s="1"/>
  <c r="F2455" i="6"/>
  <c r="G2452" i="6"/>
  <c r="H2452" i="6" s="1"/>
  <c r="F2452" i="6"/>
  <c r="G2451" i="6"/>
  <c r="H2451" i="6" s="1"/>
  <c r="F2451" i="6"/>
  <c r="G2448" i="6"/>
  <c r="H2448" i="6" s="1"/>
  <c r="F2448" i="6"/>
  <c r="G2447" i="6"/>
  <c r="H2447" i="6" s="1"/>
  <c r="F2447" i="6"/>
  <c r="G2446" i="6"/>
  <c r="H2446" i="6" s="1"/>
  <c r="F2446" i="6"/>
  <c r="G2444" i="6"/>
  <c r="H2444" i="6" s="1"/>
  <c r="F2444" i="6"/>
  <c r="G2442" i="6"/>
  <c r="H2442" i="6" s="1"/>
  <c r="F2442" i="6"/>
  <c r="G2441" i="6"/>
  <c r="H2441" i="6" s="1"/>
  <c r="F2441" i="6"/>
  <c r="G2440" i="6"/>
  <c r="H2440" i="6" s="1"/>
  <c r="F2440" i="6"/>
  <c r="G2439" i="6"/>
  <c r="H2439" i="6" s="1"/>
  <c r="F2439" i="6"/>
  <c r="G2438" i="6"/>
  <c r="H2438" i="6" s="1"/>
  <c r="F2438" i="6"/>
  <c r="G2437" i="6"/>
  <c r="H2437" i="6" s="1"/>
  <c r="F2437" i="6"/>
  <c r="G2436" i="6"/>
  <c r="H2436" i="6" s="1"/>
  <c r="F2436" i="6"/>
  <c r="G2435" i="6"/>
  <c r="H2435" i="6" s="1"/>
  <c r="F2435" i="6"/>
  <c r="G2432" i="6"/>
  <c r="H2432" i="6" s="1"/>
  <c r="F2432" i="6"/>
  <c r="G2431" i="6"/>
  <c r="H2431" i="6" s="1"/>
  <c r="F2431" i="6"/>
  <c r="G2429" i="6"/>
  <c r="H2429" i="6" s="1"/>
  <c r="F2429" i="6"/>
  <c r="G2427" i="6"/>
  <c r="H2427" i="6" s="1"/>
  <c r="F2427" i="6"/>
  <c r="G2426" i="6"/>
  <c r="H2426" i="6" s="1"/>
  <c r="F2426" i="6"/>
  <c r="G2425" i="6"/>
  <c r="H2425" i="6" s="1"/>
  <c r="F2425" i="6"/>
  <c r="G2424" i="6"/>
  <c r="H2424" i="6" s="1"/>
  <c r="F2424" i="6"/>
  <c r="G2422" i="6"/>
  <c r="H2422" i="6" s="1"/>
  <c r="F2422" i="6"/>
  <c r="G2421" i="6"/>
  <c r="H2421" i="6" s="1"/>
  <c r="F2421" i="6"/>
  <c r="G2420" i="6"/>
  <c r="H2420" i="6" s="1"/>
  <c r="F2420" i="6"/>
  <c r="G2419" i="6"/>
  <c r="H2419" i="6" s="1"/>
  <c r="F2419" i="6"/>
  <c r="G2415" i="6"/>
  <c r="H2415" i="6" s="1"/>
  <c r="F2415" i="6"/>
  <c r="G2413" i="6"/>
  <c r="H2413" i="6" s="1"/>
  <c r="F2413" i="6"/>
  <c r="G2412" i="6"/>
  <c r="H2412" i="6" s="1"/>
  <c r="F2412" i="6"/>
  <c r="G2409" i="6"/>
  <c r="H2409" i="6" s="1"/>
  <c r="F2409" i="6"/>
  <c r="G2406" i="6"/>
  <c r="H2406" i="6" s="1"/>
  <c r="F2406" i="6"/>
  <c r="G2405" i="6"/>
  <c r="H2405" i="6" s="1"/>
  <c r="F2405" i="6"/>
  <c r="G2404" i="6"/>
  <c r="H2404" i="6" s="1"/>
  <c r="F2404" i="6"/>
  <c r="G2403" i="6"/>
  <c r="H2403" i="6" s="1"/>
  <c r="F2403" i="6"/>
  <c r="G2400" i="6"/>
  <c r="H2400" i="6" s="1"/>
  <c r="F2400" i="6"/>
  <c r="G2399" i="6"/>
  <c r="H2399" i="6" s="1"/>
  <c r="F2399" i="6"/>
  <c r="G2397" i="6"/>
  <c r="H2397" i="6" s="1"/>
  <c r="F2397" i="6"/>
  <c r="G2396" i="6"/>
  <c r="H2396" i="6" s="1"/>
  <c r="F2396" i="6"/>
  <c r="G2393" i="6"/>
  <c r="H2393" i="6" s="1"/>
  <c r="F2393" i="6"/>
  <c r="G2391" i="6"/>
  <c r="H2391" i="6" s="1"/>
  <c r="F2391" i="6"/>
  <c r="G2390" i="6"/>
  <c r="H2390" i="6" s="1"/>
  <c r="F2390" i="6"/>
  <c r="G2388" i="6"/>
  <c r="H2388" i="6" s="1"/>
  <c r="F2388" i="6"/>
  <c r="G2387" i="6"/>
  <c r="H2387" i="6" s="1"/>
  <c r="F2387" i="6"/>
  <c r="G2385" i="6"/>
  <c r="H2385" i="6" s="1"/>
  <c r="F2385" i="6"/>
  <c r="G2384" i="6"/>
  <c r="H2384" i="6" s="1"/>
  <c r="F2384" i="6"/>
  <c r="G2379" i="6"/>
  <c r="H2379" i="6" s="1"/>
  <c r="F2379" i="6"/>
  <c r="G2374" i="6"/>
  <c r="H2374" i="6" s="1"/>
  <c r="F2374" i="6"/>
  <c r="G2373" i="6"/>
  <c r="H2373" i="6" s="1"/>
  <c r="F2373" i="6"/>
  <c r="G2372" i="6"/>
  <c r="H2372" i="6" s="1"/>
  <c r="F2372" i="6"/>
  <c r="G2368" i="6"/>
  <c r="H2368" i="6" s="1"/>
  <c r="F2368" i="6"/>
  <c r="G2365" i="6"/>
  <c r="H2365" i="6" s="1"/>
  <c r="F2365" i="6"/>
  <c r="G2364" i="6"/>
  <c r="H2364" i="6" s="1"/>
  <c r="F2364" i="6"/>
  <c r="G2361" i="6"/>
  <c r="H2361" i="6" s="1"/>
  <c r="F2361" i="6"/>
  <c r="G2360" i="6"/>
  <c r="H2360" i="6" s="1"/>
  <c r="F2360" i="6"/>
  <c r="G2357" i="6"/>
  <c r="H2357" i="6" s="1"/>
  <c r="F2357" i="6"/>
  <c r="G2356" i="6"/>
  <c r="H2356" i="6" s="1"/>
  <c r="F2356" i="6"/>
  <c r="G2355" i="6"/>
  <c r="H2355" i="6" s="1"/>
  <c r="F2355" i="6"/>
  <c r="G2353" i="6"/>
  <c r="H2353" i="6" s="1"/>
  <c r="F2353" i="6"/>
  <c r="G2351" i="6"/>
  <c r="H2351" i="6" s="1"/>
  <c r="F2351" i="6"/>
  <c r="G2350" i="6"/>
  <c r="H2350" i="6" s="1"/>
  <c r="F2350" i="6"/>
  <c r="G2349" i="6"/>
  <c r="H2349" i="6" s="1"/>
  <c r="F2349" i="6"/>
  <c r="G2346" i="6"/>
  <c r="H2346" i="6" s="1"/>
  <c r="F2346" i="6"/>
  <c r="G2343" i="6"/>
  <c r="H2343" i="6" s="1"/>
  <c r="F2343" i="6"/>
  <c r="G2337" i="6"/>
  <c r="H2337" i="6" s="1"/>
  <c r="F2337" i="6"/>
  <c r="G2335" i="6"/>
  <c r="H2335" i="6" s="1"/>
  <c r="F2335" i="6"/>
  <c r="G2333" i="6"/>
  <c r="H2333" i="6" s="1"/>
  <c r="F2333" i="6"/>
  <c r="G2332" i="6"/>
  <c r="H2332" i="6" s="1"/>
  <c r="F2332" i="6"/>
  <c r="G2330" i="6"/>
  <c r="H2330" i="6" s="1"/>
  <c r="F2330" i="6"/>
  <c r="G2329" i="6"/>
  <c r="H2329" i="6" s="1"/>
  <c r="F2329" i="6"/>
  <c r="G2328" i="6"/>
  <c r="H2328" i="6" s="1"/>
  <c r="F2328" i="6"/>
  <c r="G2320" i="6"/>
  <c r="H2320" i="6" s="1"/>
  <c r="F2320" i="6"/>
  <c r="G2317" i="6"/>
  <c r="H2317" i="6" s="1"/>
  <c r="F2317" i="6"/>
  <c r="G2316" i="6"/>
  <c r="H2316" i="6" s="1"/>
  <c r="F2316" i="6"/>
  <c r="G2315" i="6"/>
  <c r="H2315" i="6" s="1"/>
  <c r="F2315" i="6"/>
  <c r="G2312" i="6"/>
  <c r="H2312" i="6" s="1"/>
  <c r="F2312" i="6"/>
  <c r="G2311" i="6"/>
  <c r="H2311" i="6" s="1"/>
  <c r="F2311" i="6"/>
  <c r="G2309" i="6"/>
  <c r="H2309" i="6" s="1"/>
  <c r="F2309" i="6"/>
  <c r="G2308" i="6"/>
  <c r="H2308" i="6" s="1"/>
  <c r="F2308" i="6"/>
  <c r="G2304" i="6"/>
  <c r="H2304" i="6" s="1"/>
  <c r="F2304" i="6"/>
  <c r="G2303" i="6"/>
  <c r="H2303" i="6" s="1"/>
  <c r="F2303" i="6"/>
  <c r="G2301" i="6"/>
  <c r="H2301" i="6" s="1"/>
  <c r="F2301" i="6"/>
  <c r="G2300" i="6"/>
  <c r="H2300" i="6" s="1"/>
  <c r="F2300" i="6"/>
  <c r="G2299" i="6"/>
  <c r="H2299" i="6" s="1"/>
  <c r="F2299" i="6"/>
  <c r="G2298" i="6"/>
  <c r="H2298" i="6" s="1"/>
  <c r="F2298" i="6"/>
  <c r="G2296" i="6"/>
  <c r="H2296" i="6" s="1"/>
  <c r="F2296" i="6"/>
  <c r="G2293" i="6"/>
  <c r="H2293" i="6" s="1"/>
  <c r="F2293" i="6"/>
  <c r="G2292" i="6"/>
  <c r="H2292" i="6" s="1"/>
  <c r="F2292" i="6"/>
  <c r="G2291" i="6"/>
  <c r="H2291" i="6" s="1"/>
  <c r="F2291" i="6"/>
  <c r="G2290" i="6"/>
  <c r="H2290" i="6" s="1"/>
  <c r="F2290" i="6"/>
  <c r="G2289" i="6"/>
  <c r="H2289" i="6" s="1"/>
  <c r="F2289" i="6"/>
  <c r="G2287" i="6"/>
  <c r="H2287" i="6" s="1"/>
  <c r="F2287" i="6"/>
  <c r="G2286" i="6"/>
  <c r="H2286" i="6" s="1"/>
  <c r="F2286" i="6"/>
  <c r="G2285" i="6"/>
  <c r="H2285" i="6" s="1"/>
  <c r="F2285" i="6"/>
  <c r="G2283" i="6"/>
  <c r="H2283" i="6" s="1"/>
  <c r="F2283" i="6"/>
  <c r="G2282" i="6"/>
  <c r="H2282" i="6" s="1"/>
  <c r="F2282" i="6"/>
  <c r="F1642" i="6"/>
  <c r="G1227" i="6"/>
  <c r="H1227" i="6" s="1"/>
  <c r="F1227" i="6"/>
  <c r="F1834" i="6"/>
  <c r="G1834" i="6"/>
  <c r="H1834" i="6" s="1"/>
  <c r="G1641" i="6"/>
  <c r="H1641" i="6" s="1"/>
  <c r="F1641" i="6"/>
  <c r="G1224" i="6"/>
  <c r="H1224" i="6" s="1"/>
  <c r="F1224" i="6"/>
  <c r="F1836" i="6"/>
  <c r="G1836" i="6"/>
  <c r="H1836" i="6" s="1"/>
  <c r="G1222" i="6"/>
  <c r="H1222" i="6" s="1"/>
  <c r="F1222" i="6"/>
  <c r="G1221" i="6"/>
  <c r="H1221" i="6" s="1"/>
  <c r="F1221" i="6"/>
  <c r="F1837" i="6"/>
  <c r="G1837" i="6"/>
  <c r="H1837" i="6" s="1"/>
  <c r="G1219" i="6"/>
  <c r="H1219" i="6" s="1"/>
  <c r="F1219" i="6"/>
  <c r="G1218" i="6"/>
  <c r="H1218" i="6" s="1"/>
  <c r="F1218" i="6"/>
  <c r="G1217" i="6"/>
  <c r="H1217" i="6" s="1"/>
  <c r="F1217" i="6"/>
  <c r="G1216" i="6"/>
  <c r="H1216" i="6" s="1"/>
  <c r="F1216" i="6"/>
  <c r="G1640" i="6"/>
  <c r="H1640" i="6" s="1"/>
  <c r="F1640" i="6"/>
  <c r="G1214" i="6"/>
  <c r="H1214" i="6" s="1"/>
  <c r="F1214" i="6"/>
  <c r="G1213" i="6"/>
  <c r="H1213" i="6" s="1"/>
  <c r="F1213" i="6"/>
  <c r="G1212" i="6"/>
  <c r="H1212" i="6" s="1"/>
  <c r="F1212" i="6"/>
  <c r="F1841" i="6"/>
  <c r="G1841" i="6"/>
  <c r="H1841" i="6" s="1"/>
  <c r="G1551" i="6"/>
  <c r="H1551" i="6" s="1"/>
  <c r="F1551" i="6"/>
  <c r="G1209" i="6"/>
  <c r="H1209" i="6" s="1"/>
  <c r="F1209" i="6"/>
  <c r="G1550" i="6"/>
  <c r="H1550" i="6" s="1"/>
  <c r="F1550" i="6"/>
  <c r="G1207" i="6"/>
  <c r="H1207" i="6" s="1"/>
  <c r="F1207" i="6"/>
  <c r="G1206" i="6"/>
  <c r="H1206" i="6" s="1"/>
  <c r="F1206" i="6"/>
  <c r="G1205" i="6"/>
  <c r="H1205" i="6" s="1"/>
  <c r="F1205" i="6"/>
  <c r="F1844" i="6"/>
  <c r="G1844" i="6"/>
  <c r="H1844" i="6" s="1"/>
  <c r="F1845" i="6"/>
  <c r="G1845" i="6"/>
  <c r="H1845" i="6" s="1"/>
  <c r="G1202" i="6"/>
  <c r="H1202" i="6" s="1"/>
  <c r="F1202" i="6"/>
  <c r="G1201" i="6"/>
  <c r="H1201" i="6" s="1"/>
  <c r="F1201" i="6"/>
  <c r="F1848" i="6"/>
  <c r="G1848" i="6"/>
  <c r="H1848" i="6" s="1"/>
  <c r="G1199" i="6"/>
  <c r="H1199" i="6" s="1"/>
  <c r="F1199" i="6"/>
  <c r="G1198" i="6"/>
  <c r="H1198" i="6" s="1"/>
  <c r="F1198" i="6"/>
  <c r="G1549" i="6"/>
  <c r="H1549" i="6" s="1"/>
  <c r="F1549" i="6"/>
  <c r="G1196" i="6"/>
  <c r="H1196" i="6" s="1"/>
  <c r="F1196" i="6"/>
  <c r="G1548" i="6"/>
  <c r="H1548" i="6" s="1"/>
  <c r="F1548" i="6"/>
  <c r="G1547" i="6"/>
  <c r="H1547" i="6" s="1"/>
  <c r="F1547" i="6"/>
  <c r="F1851" i="6"/>
  <c r="G1851" i="6"/>
  <c r="H1851" i="6" s="1"/>
  <c r="G1192" i="6"/>
  <c r="H1192" i="6" s="1"/>
  <c r="F1192" i="6"/>
  <c r="F1852" i="6"/>
  <c r="G1852" i="6"/>
  <c r="H1852" i="6" s="1"/>
  <c r="G1639" i="6"/>
  <c r="H1639" i="6" s="1"/>
  <c r="F1639" i="6"/>
  <c r="G1189" i="6"/>
  <c r="H1189" i="6" s="1"/>
  <c r="F1189" i="6"/>
  <c r="G1188" i="6"/>
  <c r="H1188" i="6" s="1"/>
  <c r="F1188" i="6"/>
  <c r="G1660" i="6"/>
  <c r="H1660" i="6" s="1"/>
  <c r="F1660" i="6"/>
  <c r="G1544" i="6"/>
  <c r="H1544" i="6" s="1"/>
  <c r="F1544" i="6"/>
  <c r="G1185" i="6"/>
  <c r="H1185" i="6" s="1"/>
  <c r="F1185" i="6"/>
  <c r="G1184" i="6"/>
  <c r="H1184" i="6" s="1"/>
  <c r="F1184" i="6"/>
  <c r="G1183" i="6"/>
  <c r="H1183" i="6" s="1"/>
  <c r="F1183" i="6"/>
  <c r="G1182" i="6"/>
  <c r="H1182" i="6" s="1"/>
  <c r="F1182" i="6"/>
  <c r="G1543" i="6"/>
  <c r="H1543" i="6" s="1"/>
  <c r="F1543" i="6"/>
  <c r="G1180" i="6"/>
  <c r="H1180" i="6" s="1"/>
  <c r="F1180" i="6"/>
  <c r="G1179" i="6"/>
  <c r="H1179" i="6" s="1"/>
  <c r="F1179" i="6"/>
  <c r="F1705" i="6"/>
  <c r="G1705" i="6"/>
  <c r="H1705" i="6" s="1"/>
  <c r="G1177" i="6"/>
  <c r="H1177" i="6" s="1"/>
  <c r="F1177" i="6"/>
  <c r="G1541" i="6"/>
  <c r="H1541" i="6" s="1"/>
  <c r="F1541" i="6"/>
  <c r="F1853" i="6"/>
  <c r="G1853" i="6"/>
  <c r="H1853" i="6" s="1"/>
  <c r="G1174" i="6"/>
  <c r="H1174" i="6" s="1"/>
  <c r="F1174" i="6"/>
  <c r="F1706" i="6"/>
  <c r="G1706" i="6"/>
  <c r="H1706" i="6" s="1"/>
  <c r="G1172" i="6"/>
  <c r="H1172" i="6" s="1"/>
  <c r="F1172" i="6"/>
  <c r="G1539" i="6"/>
  <c r="H1539" i="6" s="1"/>
  <c r="F1539" i="6"/>
  <c r="G1170" i="6"/>
  <c r="H1170" i="6" s="1"/>
  <c r="F1170" i="6"/>
  <c r="F1855" i="6"/>
  <c r="G1855" i="6"/>
  <c r="H1855" i="6" s="1"/>
  <c r="G1168" i="6"/>
  <c r="H1168" i="6" s="1"/>
  <c r="F1168" i="6"/>
  <c r="G1538" i="6"/>
  <c r="H1538" i="6" s="1"/>
  <c r="F1538" i="6"/>
  <c r="F1856" i="6"/>
  <c r="G1856" i="6"/>
  <c r="H1856" i="6" s="1"/>
  <c r="G1537" i="6"/>
  <c r="H1537" i="6" s="1"/>
  <c r="F1537" i="6"/>
  <c r="G1164" i="6"/>
  <c r="H1164" i="6" s="1"/>
  <c r="F1164" i="6"/>
  <c r="F1857" i="6"/>
  <c r="G1857" i="6"/>
  <c r="H1857" i="6" s="1"/>
  <c r="F1675" i="6"/>
  <c r="G1675" i="6"/>
  <c r="H1675" i="6" s="1"/>
  <c r="F1859" i="6"/>
  <c r="G1859" i="6"/>
  <c r="H1859" i="6" s="1"/>
  <c r="G1160" i="6"/>
  <c r="H1160" i="6" s="1"/>
  <c r="F1160" i="6"/>
  <c r="G1636" i="6"/>
  <c r="H1636" i="6" s="1"/>
  <c r="F1636" i="6"/>
  <c r="G1534" i="6"/>
  <c r="H1534" i="6" s="1"/>
  <c r="F1534" i="6"/>
  <c r="G1157" i="6"/>
  <c r="H1157" i="6" s="1"/>
  <c r="F1157" i="6"/>
  <c r="F1860" i="6"/>
  <c r="G1860" i="6"/>
  <c r="H1860" i="6" s="1"/>
  <c r="F1868" i="6"/>
  <c r="G1868" i="6"/>
  <c r="H1868" i="6" s="1"/>
  <c r="G1154" i="6"/>
  <c r="H1154" i="6" s="1"/>
  <c r="F1154" i="6"/>
  <c r="G1533" i="6"/>
  <c r="H1533" i="6" s="1"/>
  <c r="F1533" i="6"/>
  <c r="G1152" i="6"/>
  <c r="H1152" i="6" s="1"/>
  <c r="F1152" i="6"/>
  <c r="G1532" i="6"/>
  <c r="H1532" i="6" s="1"/>
  <c r="F1532" i="6"/>
  <c r="F1870" i="6"/>
  <c r="G1870" i="6"/>
  <c r="H1870" i="6" s="1"/>
  <c r="F1871" i="6"/>
  <c r="G1871" i="6"/>
  <c r="H1871" i="6" s="1"/>
  <c r="F1872" i="6"/>
  <c r="G1872" i="6"/>
  <c r="H1872" i="6" s="1"/>
  <c r="F1874" i="6"/>
  <c r="G1874" i="6"/>
  <c r="H1874" i="6" s="1"/>
  <c r="G1146" i="6"/>
  <c r="H1146" i="6" s="1"/>
  <c r="F1146" i="6"/>
  <c r="G1659" i="6"/>
  <c r="H1659" i="6" s="1"/>
  <c r="F1659" i="6"/>
  <c r="G1144" i="6"/>
  <c r="H1144" i="6" s="1"/>
  <c r="F1144" i="6"/>
  <c r="G1143" i="6"/>
  <c r="H1143" i="6" s="1"/>
  <c r="F1143" i="6"/>
  <c r="G1142" i="6"/>
  <c r="H1142" i="6" s="1"/>
  <c r="F1142" i="6"/>
  <c r="G1141" i="6"/>
  <c r="H1141" i="6" s="1"/>
  <c r="F1141" i="6"/>
  <c r="G1140" i="6"/>
  <c r="H1140" i="6" s="1"/>
  <c r="F1140" i="6"/>
  <c r="G1139" i="6"/>
  <c r="H1139" i="6" s="1"/>
  <c r="F1139" i="6"/>
  <c r="G1138" i="6"/>
  <c r="H1138" i="6" s="1"/>
  <c r="F1138" i="6"/>
  <c r="G1137" i="6"/>
  <c r="H1137" i="6" s="1"/>
  <c r="F1137" i="6"/>
  <c r="G1136" i="6"/>
  <c r="H1136" i="6" s="1"/>
  <c r="F1136" i="6"/>
  <c r="G1135" i="6"/>
  <c r="H1135" i="6" s="1"/>
  <c r="F1135" i="6"/>
  <c r="G1134" i="6"/>
  <c r="H1134" i="6" s="1"/>
  <c r="F1134" i="6"/>
  <c r="G1133" i="6"/>
  <c r="H1133" i="6" s="1"/>
  <c r="F1133" i="6"/>
  <c r="F1877" i="6"/>
  <c r="G1877" i="6"/>
  <c r="H1877" i="6" s="1"/>
  <c r="G1131" i="6"/>
  <c r="H1131" i="6" s="1"/>
  <c r="F1131" i="6"/>
  <c r="F1878" i="6"/>
  <c r="G1878" i="6"/>
  <c r="H1878" i="6" s="1"/>
  <c r="G1530" i="6"/>
  <c r="H1530" i="6" s="1"/>
  <c r="F1530" i="6"/>
  <c r="F1669" i="6"/>
  <c r="G1669" i="6"/>
  <c r="H1669" i="6" s="1"/>
  <c r="G1633" i="6"/>
  <c r="H1633" i="6" s="1"/>
  <c r="F1633" i="6"/>
  <c r="G1126" i="6"/>
  <c r="H1126" i="6" s="1"/>
  <c r="F1126" i="6"/>
  <c r="G1125" i="6"/>
  <c r="H1125" i="6" s="1"/>
  <c r="F1125" i="6"/>
  <c r="G1527" i="6"/>
  <c r="H1527" i="6" s="1"/>
  <c r="F1527" i="6"/>
  <c r="G1123" i="6"/>
  <c r="H1123" i="6" s="1"/>
  <c r="F1123" i="6"/>
  <c r="F1881" i="6"/>
  <c r="G1881" i="6"/>
  <c r="H1881" i="6" s="1"/>
  <c r="F1882" i="6"/>
  <c r="G1882" i="6"/>
  <c r="H1882" i="6" s="1"/>
  <c r="G1632" i="6"/>
  <c r="H1632" i="6" s="1"/>
  <c r="F1632" i="6"/>
  <c r="G1119" i="6"/>
  <c r="H1119" i="6" s="1"/>
  <c r="F1119" i="6"/>
  <c r="F1708" i="6"/>
  <c r="G1708" i="6"/>
  <c r="H1708" i="6" s="1"/>
  <c r="G1524" i="6"/>
  <c r="H1524" i="6" s="1"/>
  <c r="F1524" i="6"/>
  <c r="G1116" i="6"/>
  <c r="H1116" i="6" s="1"/>
  <c r="F1116" i="6"/>
  <c r="G1631" i="6"/>
  <c r="H1631" i="6" s="1"/>
  <c r="F1631" i="6"/>
  <c r="G1114" i="6"/>
  <c r="H1114" i="6" s="1"/>
  <c r="F1114" i="6"/>
  <c r="F1885" i="6"/>
  <c r="G1885" i="6"/>
  <c r="H1885" i="6" s="1"/>
  <c r="G1112" i="6"/>
  <c r="H1112" i="6" s="1"/>
  <c r="F1112" i="6"/>
  <c r="F1888" i="6"/>
  <c r="G1888" i="6"/>
  <c r="H1888" i="6" s="1"/>
  <c r="G1110" i="6"/>
  <c r="H1110" i="6" s="1"/>
  <c r="F1110" i="6"/>
  <c r="G1109" i="6"/>
  <c r="H1109" i="6" s="1"/>
  <c r="F1109" i="6"/>
  <c r="G1108" i="6"/>
  <c r="H1108" i="6" s="1"/>
  <c r="F1108" i="6"/>
  <c r="G1522" i="6"/>
  <c r="H1522" i="6" s="1"/>
  <c r="F1522" i="6"/>
  <c r="G1521" i="6"/>
  <c r="H1521" i="6" s="1"/>
  <c r="F1521" i="6"/>
  <c r="G1105" i="6"/>
  <c r="H1105" i="6" s="1"/>
  <c r="F1105" i="6"/>
  <c r="G1104" i="6"/>
  <c r="H1104" i="6" s="1"/>
  <c r="F1104" i="6"/>
  <c r="F1709" i="6"/>
  <c r="G1709" i="6"/>
  <c r="H1709" i="6" s="1"/>
  <c r="G1102" i="6"/>
  <c r="H1102" i="6" s="1"/>
  <c r="F1102" i="6"/>
  <c r="G1101" i="6"/>
  <c r="H1101" i="6" s="1"/>
  <c r="F1101" i="6"/>
  <c r="G1100" i="6"/>
  <c r="H1100" i="6" s="1"/>
  <c r="F1100" i="6"/>
  <c r="F1710" i="6"/>
  <c r="G1710" i="6"/>
  <c r="H1710" i="6" s="1"/>
  <c r="G1098" i="6"/>
  <c r="H1098" i="6" s="1"/>
  <c r="F1098" i="6"/>
  <c r="F1891" i="6"/>
  <c r="G1891" i="6"/>
  <c r="H1891" i="6" s="1"/>
  <c r="G1096" i="6"/>
  <c r="H1096" i="6" s="1"/>
  <c r="F1096" i="6"/>
  <c r="G1095" i="6"/>
  <c r="H1095" i="6" s="1"/>
  <c r="F1095" i="6"/>
  <c r="F1892" i="6"/>
  <c r="G1892" i="6"/>
  <c r="H1892" i="6" s="1"/>
  <c r="G1093" i="6"/>
  <c r="H1093" i="6" s="1"/>
  <c r="F1093" i="6"/>
  <c r="G1092" i="6"/>
  <c r="H1092" i="6" s="1"/>
  <c r="F1092" i="6"/>
  <c r="G1630" i="6"/>
  <c r="H1630" i="6" s="1"/>
  <c r="F1630" i="6"/>
  <c r="F1893" i="6"/>
  <c r="G1893" i="6"/>
  <c r="H1893" i="6" s="1"/>
  <c r="G1089" i="6"/>
  <c r="H1089" i="6" s="1"/>
  <c r="F1089" i="6"/>
  <c r="F1894" i="6"/>
  <c r="G1894" i="6"/>
  <c r="H1894" i="6" s="1"/>
  <c r="G1087" i="6"/>
  <c r="H1087" i="6" s="1"/>
  <c r="F1087" i="6"/>
  <c r="G1086" i="6"/>
  <c r="H1086" i="6" s="1"/>
  <c r="F1086" i="6"/>
  <c r="F1896" i="6"/>
  <c r="G1896" i="6"/>
  <c r="H1896" i="6" s="1"/>
  <c r="G1084" i="6"/>
  <c r="H1084" i="6" s="1"/>
  <c r="F1084" i="6"/>
  <c r="F1898" i="6"/>
  <c r="G1898" i="6"/>
  <c r="H1898" i="6" s="1"/>
  <c r="G1082" i="6"/>
  <c r="H1082" i="6" s="1"/>
  <c r="F1082" i="6"/>
  <c r="G1657" i="6"/>
  <c r="H1657" i="6" s="1"/>
  <c r="F1657" i="6"/>
  <c r="G1080" i="6"/>
  <c r="H1080" i="6" s="1"/>
  <c r="F1080" i="6"/>
  <c r="G1516" i="6"/>
  <c r="H1516" i="6" s="1"/>
  <c r="F1516" i="6"/>
  <c r="G1078" i="6"/>
  <c r="H1078" i="6" s="1"/>
  <c r="F1078" i="6"/>
  <c r="G1515" i="6"/>
  <c r="H1515" i="6" s="1"/>
  <c r="F1515" i="6"/>
  <c r="G1076" i="6"/>
  <c r="H1076" i="6" s="1"/>
  <c r="F1076" i="6"/>
  <c r="F1900" i="6"/>
  <c r="G1900" i="6"/>
  <c r="H1900" i="6" s="1"/>
  <c r="F1901" i="6"/>
  <c r="G1901" i="6"/>
  <c r="H1901" i="6" s="1"/>
  <c r="G1073" i="6"/>
  <c r="H1073" i="6" s="1"/>
  <c r="F1073" i="6"/>
  <c r="G1072" i="6"/>
  <c r="H1072" i="6" s="1"/>
  <c r="F1072" i="6"/>
  <c r="G1071" i="6"/>
  <c r="H1071" i="6" s="1"/>
  <c r="F1071" i="6"/>
  <c r="G1070" i="6"/>
  <c r="H1070" i="6" s="1"/>
  <c r="F1070" i="6"/>
  <c r="G1069" i="6"/>
  <c r="H1069" i="6" s="1"/>
  <c r="F1069" i="6"/>
  <c r="F1902" i="6"/>
  <c r="G1902" i="6"/>
  <c r="H1902" i="6" s="1"/>
  <c r="G1067" i="6"/>
  <c r="H1067" i="6" s="1"/>
  <c r="F1067" i="6"/>
  <c r="G1066" i="6"/>
  <c r="H1066" i="6" s="1"/>
  <c r="F1066" i="6"/>
  <c r="G1065" i="6"/>
  <c r="H1065" i="6" s="1"/>
  <c r="F1065" i="6"/>
  <c r="G1064" i="6"/>
  <c r="H1064" i="6" s="1"/>
  <c r="F1064" i="6"/>
  <c r="G1063" i="6"/>
  <c r="H1063" i="6" s="1"/>
  <c r="F1063" i="6"/>
  <c r="G1062" i="6"/>
  <c r="H1062" i="6" s="1"/>
  <c r="F1062" i="6"/>
  <c r="F1905" i="6"/>
  <c r="G1905" i="6"/>
  <c r="H1905" i="6" s="1"/>
  <c r="G1060" i="6"/>
  <c r="H1060" i="6" s="1"/>
  <c r="F1060" i="6"/>
  <c r="F1712" i="6"/>
  <c r="G1712" i="6"/>
  <c r="H1712" i="6" s="1"/>
  <c r="G1058" i="6"/>
  <c r="H1058" i="6" s="1"/>
  <c r="F1058" i="6"/>
  <c r="G1057" i="6"/>
  <c r="H1057" i="6" s="1"/>
  <c r="F1057" i="6"/>
  <c r="F1717" i="6"/>
  <c r="G1717" i="6"/>
  <c r="H1717" i="6" s="1"/>
  <c r="G1628" i="6"/>
  <c r="H1628" i="6" s="1"/>
  <c r="F1628" i="6"/>
  <c r="G1054" i="6"/>
  <c r="H1054" i="6" s="1"/>
  <c r="F1054" i="6"/>
  <c r="G1053" i="6"/>
  <c r="H1053" i="6" s="1"/>
  <c r="F1053" i="6"/>
  <c r="G1052" i="6"/>
  <c r="H1052" i="6" s="1"/>
  <c r="F1052" i="6"/>
  <c r="F1719" i="6"/>
  <c r="G1719" i="6"/>
  <c r="H1719" i="6" s="1"/>
  <c r="G1050" i="6"/>
  <c r="H1050" i="6" s="1"/>
  <c r="F1050" i="6"/>
  <c r="G1510" i="6"/>
  <c r="H1510" i="6" s="1"/>
  <c r="F1510" i="6"/>
  <c r="G1048" i="6"/>
  <c r="H1048" i="6" s="1"/>
  <c r="F1048" i="6"/>
  <c r="G1047" i="6"/>
  <c r="H1047" i="6" s="1"/>
  <c r="F1047" i="6"/>
  <c r="F1907" i="6"/>
  <c r="G1907" i="6"/>
  <c r="H1907" i="6" s="1"/>
  <c r="G1045" i="6"/>
  <c r="H1045" i="6" s="1"/>
  <c r="F1045" i="6"/>
  <c r="G1044" i="6"/>
  <c r="H1044" i="6" s="1"/>
  <c r="F1044" i="6"/>
  <c r="G1043" i="6"/>
  <c r="H1043" i="6" s="1"/>
  <c r="F1043" i="6"/>
  <c r="G1042" i="6"/>
  <c r="H1042" i="6" s="1"/>
  <c r="F1042" i="6"/>
  <c r="G1041" i="6"/>
  <c r="H1041" i="6" s="1"/>
  <c r="F1041" i="6"/>
  <c r="G1509" i="6"/>
  <c r="H1509" i="6" s="1"/>
  <c r="F1509" i="6"/>
  <c r="F1908" i="6"/>
  <c r="G1908" i="6"/>
  <c r="H1908" i="6" s="1"/>
  <c r="G1038" i="6"/>
  <c r="H1038" i="6" s="1"/>
  <c r="F1038" i="6"/>
  <c r="G1037" i="6"/>
  <c r="H1037" i="6" s="1"/>
  <c r="F1037" i="6"/>
  <c r="G1508" i="6"/>
  <c r="H1508" i="6" s="1"/>
  <c r="F1508" i="6"/>
  <c r="G1035" i="6"/>
  <c r="H1035" i="6" s="1"/>
  <c r="F1035" i="6"/>
  <c r="G1034" i="6"/>
  <c r="H1034" i="6" s="1"/>
  <c r="F1034" i="6"/>
  <c r="G1507" i="6"/>
  <c r="H1507" i="6" s="1"/>
  <c r="F1507" i="6"/>
  <c r="G1506" i="6"/>
  <c r="H1506" i="6" s="1"/>
  <c r="F1506" i="6"/>
  <c r="G1031" i="6"/>
  <c r="H1031" i="6" s="1"/>
  <c r="F1031" i="6"/>
  <c r="G1030" i="6"/>
  <c r="H1030" i="6" s="1"/>
  <c r="F1030" i="6"/>
  <c r="G1029" i="6"/>
  <c r="H1029" i="6" s="1"/>
  <c r="F1029" i="6"/>
  <c r="G1028" i="6"/>
  <c r="H1028" i="6" s="1"/>
  <c r="F1028" i="6"/>
  <c r="G1027" i="6"/>
  <c r="H1027" i="6" s="1"/>
  <c r="F1027" i="6"/>
  <c r="G1627" i="6"/>
  <c r="H1627" i="6" s="1"/>
  <c r="F1627" i="6"/>
  <c r="G1025" i="6"/>
  <c r="H1025" i="6" s="1"/>
  <c r="F1025" i="6"/>
  <c r="G1504" i="6"/>
  <c r="H1504" i="6" s="1"/>
  <c r="F1504" i="6"/>
  <c r="G1023" i="6"/>
  <c r="H1023" i="6" s="1"/>
  <c r="F1023" i="6"/>
  <c r="G1022" i="6"/>
  <c r="H1022" i="6" s="1"/>
  <c r="F1022" i="6"/>
  <c r="G1021" i="6"/>
  <c r="H1021" i="6" s="1"/>
  <c r="F1021" i="6"/>
  <c r="G1020" i="6"/>
  <c r="H1020" i="6" s="1"/>
  <c r="F1020" i="6"/>
  <c r="G1019" i="6"/>
  <c r="H1019" i="6" s="1"/>
  <c r="F1019" i="6"/>
  <c r="F1909" i="6"/>
  <c r="G1909" i="6"/>
  <c r="H1909" i="6" s="1"/>
  <c r="G1017" i="6"/>
  <c r="H1017" i="6" s="1"/>
  <c r="F1017" i="6"/>
  <c r="F1671" i="6"/>
  <c r="G1671" i="6"/>
  <c r="H1671" i="6" s="1"/>
  <c r="G1502" i="6"/>
  <c r="H1502" i="6" s="1"/>
  <c r="F1502" i="6"/>
  <c r="F1722" i="6"/>
  <c r="G1722" i="6"/>
  <c r="H1722" i="6" s="1"/>
  <c r="G1500" i="6"/>
  <c r="H1500" i="6" s="1"/>
  <c r="F1500" i="6"/>
  <c r="G1499" i="6"/>
  <c r="H1499" i="6" s="1"/>
  <c r="F1499" i="6"/>
  <c r="F1910" i="6"/>
  <c r="G1910" i="6"/>
  <c r="H1910" i="6" s="1"/>
  <c r="G1010" i="6"/>
  <c r="H1010" i="6" s="1"/>
  <c r="F1010" i="6"/>
  <c r="G1498" i="6"/>
  <c r="H1498" i="6" s="1"/>
  <c r="F1498" i="6"/>
  <c r="G1008" i="6"/>
  <c r="H1008" i="6" s="1"/>
  <c r="F1008" i="6"/>
  <c r="G1497" i="6"/>
  <c r="H1497" i="6" s="1"/>
  <c r="F1497" i="6"/>
  <c r="G1006" i="6"/>
  <c r="H1006" i="6" s="1"/>
  <c r="F1006" i="6"/>
  <c r="G1005" i="6"/>
  <c r="H1005" i="6" s="1"/>
  <c r="F1005" i="6"/>
  <c r="G1004" i="6"/>
  <c r="H1004" i="6" s="1"/>
  <c r="F1004" i="6"/>
  <c r="F1911" i="6"/>
  <c r="G1911" i="6"/>
  <c r="H1911" i="6" s="1"/>
  <c r="F1913" i="6"/>
  <c r="G1913" i="6"/>
  <c r="H1913" i="6" s="1"/>
  <c r="G1001" i="6"/>
  <c r="H1001" i="6" s="1"/>
  <c r="F1001" i="6"/>
  <c r="G1000" i="6"/>
  <c r="H1000" i="6" s="1"/>
  <c r="F1000" i="6"/>
  <c r="G1625" i="6"/>
  <c r="H1625" i="6" s="1"/>
  <c r="F1625" i="6"/>
  <c r="G998" i="6"/>
  <c r="H998" i="6" s="1"/>
  <c r="F998" i="6"/>
  <c r="F1916" i="6"/>
  <c r="G1916" i="6"/>
  <c r="H1916" i="6" s="1"/>
  <c r="G996" i="6"/>
  <c r="H996" i="6" s="1"/>
  <c r="F996" i="6"/>
  <c r="G995" i="6"/>
  <c r="H995" i="6" s="1"/>
  <c r="F995" i="6"/>
  <c r="G994" i="6"/>
  <c r="H994" i="6" s="1"/>
  <c r="F994" i="6"/>
  <c r="G993" i="6"/>
  <c r="H993" i="6" s="1"/>
  <c r="F993" i="6"/>
  <c r="G992" i="6"/>
  <c r="H992" i="6" s="1"/>
  <c r="F992" i="6"/>
  <c r="G991" i="6"/>
  <c r="H991" i="6" s="1"/>
  <c r="F991" i="6"/>
  <c r="F1918" i="6"/>
  <c r="G1918" i="6"/>
  <c r="H1918" i="6" s="1"/>
  <c r="G989" i="6"/>
  <c r="H989" i="6" s="1"/>
  <c r="F989" i="6"/>
  <c r="G988" i="6"/>
  <c r="H988" i="6" s="1"/>
  <c r="F988" i="6"/>
  <c r="G987" i="6"/>
  <c r="H987" i="6" s="1"/>
  <c r="F987" i="6"/>
  <c r="F1726" i="6"/>
  <c r="G1726" i="6"/>
  <c r="H1726" i="6" s="1"/>
  <c r="G985" i="6"/>
  <c r="H985" i="6" s="1"/>
  <c r="F985" i="6"/>
  <c r="G984" i="6"/>
  <c r="H984" i="6" s="1"/>
  <c r="F984" i="6"/>
  <c r="G983" i="6"/>
  <c r="H983" i="6" s="1"/>
  <c r="F983" i="6"/>
  <c r="G1494" i="6"/>
  <c r="H1494" i="6" s="1"/>
  <c r="F1494" i="6"/>
  <c r="G1624" i="6"/>
  <c r="H1624" i="6" s="1"/>
  <c r="F1624" i="6"/>
  <c r="G1492" i="6"/>
  <c r="H1492" i="6" s="1"/>
  <c r="F1492" i="6"/>
  <c r="F1919" i="6"/>
  <c r="G1919" i="6"/>
  <c r="H1919" i="6" s="1"/>
  <c r="F1920" i="6"/>
  <c r="G1920" i="6"/>
  <c r="H1920" i="6" s="1"/>
  <c r="G1491" i="6"/>
  <c r="H1491" i="6" s="1"/>
  <c r="F1491" i="6"/>
  <c r="G976" i="6"/>
  <c r="H976" i="6" s="1"/>
  <c r="F976" i="6"/>
  <c r="F1926" i="6"/>
  <c r="G1926" i="6"/>
  <c r="H1926" i="6" s="1"/>
  <c r="G974" i="6"/>
  <c r="H974" i="6" s="1"/>
  <c r="F974" i="6"/>
  <c r="G1490" i="6"/>
  <c r="H1490" i="6" s="1"/>
  <c r="F1490" i="6"/>
  <c r="G972" i="6"/>
  <c r="H972" i="6" s="1"/>
  <c r="F972" i="6"/>
  <c r="F1676" i="6"/>
  <c r="G1676" i="6"/>
  <c r="H1676" i="6" s="1"/>
  <c r="G970" i="6"/>
  <c r="H970" i="6" s="1"/>
  <c r="F970" i="6"/>
  <c r="F1927" i="6"/>
  <c r="G1927" i="6"/>
  <c r="H1927" i="6" s="1"/>
  <c r="G1488" i="6"/>
  <c r="H1488" i="6" s="1"/>
  <c r="F1488" i="6"/>
  <c r="G967" i="6"/>
  <c r="H967" i="6" s="1"/>
  <c r="F967" i="6"/>
  <c r="G1487" i="6"/>
  <c r="H1487" i="6" s="1"/>
  <c r="F1487" i="6"/>
  <c r="G965" i="6"/>
  <c r="H965" i="6" s="1"/>
  <c r="F965" i="6"/>
  <c r="G964" i="6"/>
  <c r="H964" i="6" s="1"/>
  <c r="F964" i="6"/>
  <c r="G1486" i="6"/>
  <c r="H1486" i="6" s="1"/>
  <c r="F1486" i="6"/>
  <c r="G962" i="6"/>
  <c r="H962" i="6" s="1"/>
  <c r="F962" i="6"/>
  <c r="G1485" i="6"/>
  <c r="H1485" i="6" s="1"/>
  <c r="F1485" i="6"/>
  <c r="G960" i="6"/>
  <c r="H960" i="6" s="1"/>
  <c r="F960" i="6"/>
  <c r="G959" i="6"/>
  <c r="H959" i="6" s="1"/>
  <c r="F959" i="6"/>
  <c r="G958" i="6"/>
  <c r="H958" i="6" s="1"/>
  <c r="F958" i="6"/>
  <c r="G957" i="6"/>
  <c r="H957" i="6" s="1"/>
  <c r="F957" i="6"/>
  <c r="G956" i="6"/>
  <c r="H956" i="6" s="1"/>
  <c r="F956" i="6"/>
  <c r="G955" i="6"/>
  <c r="H955" i="6" s="1"/>
  <c r="F955" i="6"/>
  <c r="G1622" i="6"/>
  <c r="H1622" i="6" s="1"/>
  <c r="F1622" i="6"/>
  <c r="F1929" i="6"/>
  <c r="G1929" i="6"/>
  <c r="H1929" i="6" s="1"/>
  <c r="F1677" i="6"/>
  <c r="G1677" i="6"/>
  <c r="H1677" i="6" s="1"/>
  <c r="G1620" i="6"/>
  <c r="H1620" i="6" s="1"/>
  <c r="F1620" i="6"/>
  <c r="G950" i="6"/>
  <c r="H950" i="6" s="1"/>
  <c r="F950" i="6"/>
  <c r="G949" i="6"/>
  <c r="H949" i="6" s="1"/>
  <c r="F949" i="6"/>
  <c r="G1481" i="6"/>
  <c r="H1481" i="6" s="1"/>
  <c r="F1481" i="6"/>
  <c r="G947" i="6"/>
  <c r="H947" i="6" s="1"/>
  <c r="F947" i="6"/>
  <c r="F1728" i="6"/>
  <c r="G1728" i="6"/>
  <c r="H1728" i="6" s="1"/>
  <c r="G945" i="6"/>
  <c r="H945" i="6" s="1"/>
  <c r="F945" i="6"/>
  <c r="G944" i="6"/>
  <c r="H944" i="6" s="1"/>
  <c r="F944" i="6"/>
  <c r="G943" i="6"/>
  <c r="H943" i="6" s="1"/>
  <c r="F943" i="6"/>
  <c r="G942" i="6"/>
  <c r="H942" i="6" s="1"/>
  <c r="F942" i="6"/>
  <c r="G941" i="6"/>
  <c r="H941" i="6" s="1"/>
  <c r="F941" i="6"/>
  <c r="G940" i="6"/>
  <c r="H940" i="6" s="1"/>
  <c r="F940" i="6"/>
  <c r="G939" i="6"/>
  <c r="H939" i="6" s="1"/>
  <c r="F939" i="6"/>
  <c r="F1932" i="6"/>
  <c r="G1932" i="6"/>
  <c r="H1932" i="6" s="1"/>
  <c r="G1479" i="6"/>
  <c r="H1479" i="6" s="1"/>
  <c r="F1479" i="6"/>
  <c r="G936" i="6"/>
  <c r="H936" i="6" s="1"/>
  <c r="F936" i="6"/>
  <c r="G935" i="6"/>
  <c r="H935" i="6" s="1"/>
  <c r="F935" i="6"/>
  <c r="G1478" i="6"/>
  <c r="H1478" i="6" s="1"/>
  <c r="F1478" i="6"/>
  <c r="G933" i="6"/>
  <c r="H933" i="6" s="1"/>
  <c r="F933" i="6"/>
  <c r="F1934" i="6"/>
  <c r="G1934" i="6"/>
  <c r="H1934" i="6" s="1"/>
  <c r="G931" i="6"/>
  <c r="H931" i="6" s="1"/>
  <c r="F931" i="6"/>
  <c r="G930" i="6"/>
  <c r="H930" i="6" s="1"/>
  <c r="F930" i="6"/>
  <c r="G929" i="6"/>
  <c r="H929" i="6" s="1"/>
  <c r="F929" i="6"/>
  <c r="G928" i="6"/>
  <c r="H928" i="6" s="1"/>
  <c r="F928" i="6"/>
  <c r="G927" i="6"/>
  <c r="H927" i="6" s="1"/>
  <c r="F927" i="6"/>
  <c r="G926" i="6"/>
  <c r="H926" i="6" s="1"/>
  <c r="F926" i="6"/>
  <c r="G925" i="6"/>
  <c r="H925" i="6" s="1"/>
  <c r="F925" i="6"/>
  <c r="G924" i="6"/>
  <c r="H924" i="6" s="1"/>
  <c r="F924" i="6"/>
  <c r="G923" i="6"/>
  <c r="H923" i="6" s="1"/>
  <c r="F923" i="6"/>
  <c r="F1936" i="6"/>
  <c r="G1936" i="6"/>
  <c r="H1936" i="6" s="1"/>
  <c r="F1937" i="6"/>
  <c r="G1937" i="6"/>
  <c r="H1937" i="6" s="1"/>
  <c r="F1939" i="6"/>
  <c r="G1939" i="6"/>
  <c r="H1939" i="6" s="1"/>
  <c r="G919" i="6"/>
  <c r="H919" i="6" s="1"/>
  <c r="F919" i="6"/>
  <c r="G918" i="6"/>
  <c r="H918" i="6" s="1"/>
  <c r="F918" i="6"/>
  <c r="G1619" i="6"/>
  <c r="H1619" i="6" s="1"/>
  <c r="F1619" i="6"/>
  <c r="G916" i="6"/>
  <c r="H916" i="6" s="1"/>
  <c r="F916" i="6"/>
  <c r="G915" i="6"/>
  <c r="H915" i="6" s="1"/>
  <c r="F915" i="6"/>
  <c r="F1940" i="6"/>
  <c r="G1940" i="6"/>
  <c r="H1940" i="6" s="1"/>
  <c r="G913" i="6"/>
  <c r="H913" i="6" s="1"/>
  <c r="F913" i="6"/>
  <c r="G912" i="6"/>
  <c r="H912" i="6" s="1"/>
  <c r="F912" i="6"/>
  <c r="G911" i="6"/>
  <c r="H911" i="6" s="1"/>
  <c r="F911" i="6"/>
  <c r="G1476" i="6"/>
  <c r="H1476" i="6" s="1"/>
  <c r="F1476" i="6"/>
  <c r="G909" i="6"/>
  <c r="H909" i="6" s="1"/>
  <c r="F909" i="6"/>
  <c r="F1941" i="6"/>
  <c r="G1941" i="6"/>
  <c r="H1941" i="6" s="1"/>
  <c r="F1732" i="6"/>
  <c r="G1732" i="6"/>
  <c r="H1732" i="6" s="1"/>
  <c r="F1737" i="6"/>
  <c r="G1737" i="6"/>
  <c r="H1737" i="6" s="1"/>
  <c r="G1473" i="6"/>
  <c r="H1473" i="6" s="1"/>
  <c r="F1473" i="6"/>
  <c r="F1944" i="6"/>
  <c r="G1944" i="6"/>
  <c r="H1944" i="6" s="1"/>
  <c r="F1945" i="6"/>
  <c r="G1945" i="6"/>
  <c r="H1945" i="6" s="1"/>
  <c r="G902" i="6"/>
  <c r="H902" i="6" s="1"/>
  <c r="F902" i="6"/>
  <c r="F1738" i="6"/>
  <c r="G1738" i="6"/>
  <c r="H1738" i="6" s="1"/>
  <c r="G900" i="6"/>
  <c r="H900" i="6" s="1"/>
  <c r="F900" i="6"/>
  <c r="G1618" i="6"/>
  <c r="H1618" i="6" s="1"/>
  <c r="F1618" i="6"/>
  <c r="G1655" i="6"/>
  <c r="H1655" i="6" s="1"/>
  <c r="F1655" i="6"/>
  <c r="G1469" i="6"/>
  <c r="H1469" i="6" s="1"/>
  <c r="F1469" i="6"/>
  <c r="G1468" i="6"/>
  <c r="H1468" i="6" s="1"/>
  <c r="F1468" i="6"/>
  <c r="G895" i="6"/>
  <c r="H895" i="6" s="1"/>
  <c r="F895" i="6"/>
  <c r="G894" i="6"/>
  <c r="H894" i="6" s="1"/>
  <c r="F894" i="6"/>
  <c r="G1467" i="6"/>
  <c r="H1467" i="6" s="1"/>
  <c r="F1467" i="6"/>
  <c r="G892" i="6"/>
  <c r="H892" i="6" s="1"/>
  <c r="F892" i="6"/>
  <c r="G1466" i="6"/>
  <c r="H1466" i="6" s="1"/>
  <c r="F1466" i="6"/>
  <c r="F1678" i="6"/>
  <c r="G1678" i="6"/>
  <c r="H1678" i="6" s="1"/>
  <c r="G889" i="6"/>
  <c r="H889" i="6" s="1"/>
  <c r="F889" i="6"/>
  <c r="G888" i="6"/>
  <c r="H888" i="6" s="1"/>
  <c r="F888" i="6"/>
  <c r="G1464" i="6"/>
  <c r="H1464" i="6" s="1"/>
  <c r="F1464" i="6"/>
  <c r="F1679" i="6"/>
  <c r="G1679" i="6"/>
  <c r="H1679" i="6" s="1"/>
  <c r="G885" i="6"/>
  <c r="H885" i="6" s="1"/>
  <c r="F885" i="6"/>
  <c r="G884" i="6"/>
  <c r="H884" i="6" s="1"/>
  <c r="F884" i="6"/>
  <c r="G1462" i="6"/>
  <c r="H1462" i="6" s="1"/>
  <c r="F1462" i="6"/>
  <c r="G882" i="6"/>
  <c r="H882" i="6" s="1"/>
  <c r="F882" i="6"/>
  <c r="G881" i="6"/>
  <c r="H881" i="6" s="1"/>
  <c r="F881" i="6"/>
  <c r="F1948" i="6"/>
  <c r="G1948" i="6"/>
  <c r="H1948" i="6" s="1"/>
  <c r="G879" i="6"/>
  <c r="H879" i="6" s="1"/>
  <c r="F879" i="6"/>
  <c r="G1461" i="6"/>
  <c r="H1461" i="6" s="1"/>
  <c r="F1461" i="6"/>
  <c r="F1949" i="6"/>
  <c r="G1949" i="6"/>
  <c r="H1949" i="6" s="1"/>
  <c r="F1951" i="6"/>
  <c r="G1951" i="6"/>
  <c r="H1951" i="6" s="1"/>
  <c r="G875" i="6"/>
  <c r="H875" i="6" s="1"/>
  <c r="F875" i="6"/>
  <c r="G874" i="6"/>
  <c r="H874" i="6" s="1"/>
  <c r="F874" i="6"/>
  <c r="F1953" i="6"/>
  <c r="G1953" i="6"/>
  <c r="H1953" i="6" s="1"/>
  <c r="G872" i="6"/>
  <c r="H872" i="6" s="1"/>
  <c r="F872" i="6"/>
  <c r="G1460" i="6"/>
  <c r="H1460" i="6" s="1"/>
  <c r="F1460" i="6"/>
  <c r="G870" i="6"/>
  <c r="H870" i="6" s="1"/>
  <c r="F870" i="6"/>
  <c r="F1954" i="6"/>
  <c r="G1954" i="6"/>
  <c r="H1954" i="6" s="1"/>
  <c r="G868" i="6"/>
  <c r="H868" i="6" s="1"/>
  <c r="F868" i="6"/>
  <c r="G1459" i="6"/>
  <c r="H1459" i="6" s="1"/>
  <c r="F1459" i="6"/>
  <c r="G1458" i="6"/>
  <c r="H1458" i="6" s="1"/>
  <c r="F1458" i="6"/>
  <c r="F1955" i="6"/>
  <c r="G1955" i="6"/>
  <c r="H1955" i="6" s="1"/>
  <c r="G864" i="6"/>
  <c r="H864" i="6" s="1"/>
  <c r="F864" i="6"/>
  <c r="G863" i="6"/>
  <c r="H863" i="6" s="1"/>
  <c r="F863" i="6"/>
  <c r="G862" i="6"/>
  <c r="H862" i="6" s="1"/>
  <c r="F862" i="6"/>
  <c r="G861" i="6"/>
  <c r="H861" i="6" s="1"/>
  <c r="F861" i="6"/>
  <c r="G860" i="6"/>
  <c r="H860" i="6" s="1"/>
  <c r="F860" i="6"/>
  <c r="G859" i="6"/>
  <c r="H859" i="6" s="1"/>
  <c r="F859" i="6"/>
  <c r="G858" i="6"/>
  <c r="H858" i="6" s="1"/>
  <c r="F858" i="6"/>
  <c r="G857" i="6"/>
  <c r="H857" i="6" s="1"/>
  <c r="F857" i="6"/>
  <c r="G856" i="6"/>
  <c r="H856" i="6" s="1"/>
  <c r="F856" i="6"/>
  <c r="F1959" i="6"/>
  <c r="G1959" i="6"/>
  <c r="H1959" i="6" s="1"/>
  <c r="G854" i="6"/>
  <c r="H854" i="6" s="1"/>
  <c r="F854" i="6"/>
  <c r="F1960" i="6"/>
  <c r="G1960" i="6"/>
  <c r="H1960" i="6" s="1"/>
  <c r="G852" i="6"/>
  <c r="H852" i="6" s="1"/>
  <c r="F852" i="6"/>
  <c r="F1961" i="6"/>
  <c r="G1961" i="6"/>
  <c r="H1961" i="6" s="1"/>
  <c r="G850" i="6"/>
  <c r="H850" i="6" s="1"/>
  <c r="F850" i="6"/>
  <c r="G849" i="6"/>
  <c r="H849" i="6" s="1"/>
  <c r="F849" i="6"/>
  <c r="G1654" i="6"/>
  <c r="H1654" i="6" s="1"/>
  <c r="F848" i="6"/>
  <c r="G847" i="6"/>
  <c r="H847" i="6" s="1"/>
  <c r="F847" i="6"/>
  <c r="F1963" i="6"/>
  <c r="G1963" i="6"/>
  <c r="H1963" i="6" s="1"/>
  <c r="F1654" i="6"/>
  <c r="F1740" i="6"/>
  <c r="G844" i="6"/>
  <c r="H844" i="6" s="1"/>
  <c r="F844" i="6"/>
  <c r="G843" i="6"/>
  <c r="H843" i="6" s="1"/>
  <c r="F843" i="6"/>
  <c r="G842" i="6"/>
  <c r="H842" i="6" s="1"/>
  <c r="F842" i="6"/>
  <c r="F1964" i="6"/>
  <c r="G1964" i="6"/>
  <c r="H1964" i="6" s="1"/>
  <c r="F1965" i="6"/>
  <c r="G1965" i="6"/>
  <c r="H1965" i="6" s="1"/>
  <c r="G839" i="6"/>
  <c r="H839" i="6" s="1"/>
  <c r="F839" i="6"/>
  <c r="G838" i="6"/>
  <c r="H838" i="6" s="1"/>
  <c r="F838" i="6"/>
  <c r="G837" i="6"/>
  <c r="H837" i="6" s="1"/>
  <c r="F837" i="6"/>
  <c r="G1740" i="6"/>
  <c r="H1740" i="6" s="1"/>
  <c r="G1455" i="6"/>
  <c r="H1455" i="6" s="1"/>
  <c r="F1455" i="6"/>
  <c r="F1742" i="6"/>
  <c r="F1966" i="6"/>
  <c r="G1966" i="6"/>
  <c r="H1966" i="6" s="1"/>
  <c r="G1742" i="6"/>
  <c r="H1742" i="6" s="1"/>
  <c r="G1453" i="6"/>
  <c r="H1453" i="6" s="1"/>
  <c r="G832" i="6"/>
  <c r="H832" i="6" s="1"/>
  <c r="F832" i="6"/>
  <c r="F1453" i="6"/>
  <c r="F1743" i="6"/>
  <c r="G830" i="6"/>
  <c r="H830" i="6" s="1"/>
  <c r="F830" i="6"/>
  <c r="G829" i="6"/>
  <c r="H829" i="6" s="1"/>
  <c r="F829" i="6"/>
  <c r="G1743" i="6"/>
  <c r="H1743" i="6" s="1"/>
  <c r="F1667" i="6"/>
  <c r="G827" i="6"/>
  <c r="H827" i="6" s="1"/>
  <c r="F827" i="6"/>
  <c r="G826" i="6"/>
  <c r="H826" i="6" s="1"/>
  <c r="F826" i="6"/>
  <c r="F1967" i="6"/>
  <c r="G1967" i="6"/>
  <c r="H1967" i="6" s="1"/>
  <c r="G1667" i="6"/>
  <c r="H1667" i="6" s="1"/>
  <c r="G1612" i="6"/>
  <c r="H1612" i="6" s="1"/>
  <c r="F1612" i="6"/>
  <c r="F1744" i="6"/>
  <c r="G822" i="6"/>
  <c r="H822" i="6" s="1"/>
  <c r="F822" i="6"/>
  <c r="G821" i="6"/>
  <c r="H821" i="6" s="1"/>
  <c r="F821" i="6"/>
  <c r="G1744" i="6"/>
  <c r="H1744" i="6" s="1"/>
  <c r="G1448" i="6"/>
  <c r="H1448" i="6" s="1"/>
  <c r="F1448" i="6"/>
  <c r="G1447" i="6"/>
  <c r="H1447" i="6" s="1"/>
  <c r="G818" i="6"/>
  <c r="H818" i="6" s="1"/>
  <c r="F818" i="6"/>
  <c r="F1968" i="6"/>
  <c r="G1968" i="6"/>
  <c r="H1968" i="6" s="1"/>
  <c r="G816" i="6"/>
  <c r="H816" i="6" s="1"/>
  <c r="F816" i="6"/>
  <c r="F1447" i="6"/>
  <c r="G1446" i="6"/>
  <c r="H1446" i="6" s="1"/>
  <c r="G814" i="6"/>
  <c r="H814" i="6" s="1"/>
  <c r="F814" i="6"/>
  <c r="F1446" i="6"/>
  <c r="G1445" i="6"/>
  <c r="H1445" i="6" s="1"/>
  <c r="F1445" i="6"/>
  <c r="G1444" i="6"/>
  <c r="H1444" i="6" s="1"/>
  <c r="F1969" i="6"/>
  <c r="G1969" i="6"/>
  <c r="H1969" i="6" s="1"/>
  <c r="G810" i="6"/>
  <c r="H810" i="6" s="1"/>
  <c r="F810" i="6"/>
  <c r="G809" i="6"/>
  <c r="H809" i="6" s="1"/>
  <c r="F809" i="6"/>
  <c r="F1970" i="6"/>
  <c r="G1970" i="6"/>
  <c r="H1970" i="6" s="1"/>
  <c r="F1971" i="6"/>
  <c r="G1971" i="6"/>
  <c r="H1971" i="6" s="1"/>
  <c r="F1972" i="6"/>
  <c r="G1972" i="6"/>
  <c r="H1972" i="6" s="1"/>
  <c r="G805" i="6"/>
  <c r="H805" i="6" s="1"/>
  <c r="F805" i="6"/>
  <c r="F1444" i="6"/>
  <c r="F1749" i="6"/>
  <c r="G803" i="6"/>
  <c r="H803" i="6" s="1"/>
  <c r="F803" i="6"/>
  <c r="G1749" i="6"/>
  <c r="H1749" i="6" s="1"/>
  <c r="G1442" i="6"/>
  <c r="H1442" i="6" s="1"/>
  <c r="F1442" i="6"/>
  <c r="G1441" i="6"/>
  <c r="H1441" i="6" s="1"/>
  <c r="G800" i="6"/>
  <c r="H800" i="6" s="1"/>
  <c r="F800" i="6"/>
  <c r="F1973" i="6"/>
  <c r="G1973" i="6"/>
  <c r="H1973" i="6" s="1"/>
  <c r="G798" i="6"/>
  <c r="H798" i="6" s="1"/>
  <c r="F798" i="6"/>
  <c r="G797" i="6"/>
  <c r="H797" i="6" s="1"/>
  <c r="F797" i="6"/>
  <c r="F1441" i="6"/>
  <c r="G1440" i="6"/>
  <c r="H1440" i="6" s="1"/>
  <c r="G795" i="6"/>
  <c r="H795" i="6" s="1"/>
  <c r="F795" i="6"/>
  <c r="F1440" i="6"/>
  <c r="G1439" i="6"/>
  <c r="H1439" i="6" s="1"/>
  <c r="F1439" i="6"/>
  <c r="G1438" i="6"/>
  <c r="H1438" i="6" s="1"/>
  <c r="G792" i="6"/>
  <c r="H792" i="6" s="1"/>
  <c r="F792" i="6"/>
  <c r="G791" i="6"/>
  <c r="H791" i="6" s="1"/>
  <c r="F791" i="6"/>
  <c r="G790" i="6"/>
  <c r="H790" i="6" s="1"/>
  <c r="F790" i="6"/>
  <c r="F1977" i="6"/>
  <c r="G1977" i="6"/>
  <c r="H1977" i="6" s="1"/>
  <c r="F1438" i="6"/>
  <c r="F1680" i="6"/>
  <c r="G787" i="6"/>
  <c r="H787" i="6" s="1"/>
  <c r="F787" i="6"/>
  <c r="G786" i="6"/>
  <c r="H786" i="6" s="1"/>
  <c r="F786" i="6"/>
  <c r="G1680" i="6"/>
  <c r="H1680" i="6" s="1"/>
  <c r="G1436" i="6"/>
  <c r="H1436" i="6" s="1"/>
  <c r="G784" i="6"/>
  <c r="H784" i="6" s="1"/>
  <c r="F784" i="6"/>
  <c r="G783" i="6"/>
  <c r="H783" i="6" s="1"/>
  <c r="F783" i="6"/>
  <c r="F1436" i="6"/>
  <c r="G1435" i="6"/>
  <c r="H1435" i="6" s="1"/>
  <c r="G781" i="6"/>
  <c r="H781" i="6" s="1"/>
  <c r="F781" i="6"/>
  <c r="F1435" i="6"/>
  <c r="G1610" i="6"/>
  <c r="H1610" i="6" s="1"/>
  <c r="G779" i="6"/>
  <c r="H779" i="6" s="1"/>
  <c r="F779" i="6"/>
  <c r="F1610" i="6"/>
  <c r="G1652" i="6"/>
  <c r="H1652" i="6" s="1"/>
  <c r="G777" i="6"/>
  <c r="H777" i="6" s="1"/>
  <c r="F777" i="6"/>
  <c r="F1652" i="6"/>
  <c r="G1651" i="6"/>
  <c r="H1651" i="6" s="1"/>
  <c r="F1651" i="6"/>
  <c r="F1681" i="6"/>
  <c r="G774" i="6"/>
  <c r="H774" i="6" s="1"/>
  <c r="F774" i="6"/>
  <c r="F1980" i="6"/>
  <c r="G1980" i="6"/>
  <c r="H1980" i="6" s="1"/>
  <c r="G772" i="6"/>
  <c r="H772" i="6" s="1"/>
  <c r="F772" i="6"/>
  <c r="G1681" i="6"/>
  <c r="H1681" i="6" s="1"/>
  <c r="G1430" i="6"/>
  <c r="H1430" i="6" s="1"/>
  <c r="G770" i="6"/>
  <c r="H770" i="6" s="1"/>
  <c r="F770" i="6"/>
  <c r="G769" i="6"/>
  <c r="H769" i="6" s="1"/>
  <c r="F769" i="6"/>
  <c r="G768" i="6"/>
  <c r="H768" i="6" s="1"/>
  <c r="F768" i="6"/>
  <c r="F1981" i="6"/>
  <c r="G1981" i="6"/>
  <c r="H1981" i="6" s="1"/>
  <c r="G766" i="6"/>
  <c r="H766" i="6" s="1"/>
  <c r="F766" i="6"/>
  <c r="F1982" i="6"/>
  <c r="G1982" i="6"/>
  <c r="H1982" i="6" s="1"/>
  <c r="G764" i="6"/>
  <c r="H764" i="6" s="1"/>
  <c r="F764" i="6"/>
  <c r="F1983" i="6"/>
  <c r="G1983" i="6"/>
  <c r="H1983" i="6" s="1"/>
  <c r="G762" i="6"/>
  <c r="H762" i="6" s="1"/>
  <c r="F762" i="6"/>
  <c r="F1984" i="6"/>
  <c r="G1984" i="6"/>
  <c r="H1984" i="6" s="1"/>
  <c r="G760" i="6"/>
  <c r="H760" i="6" s="1"/>
  <c r="F760" i="6"/>
  <c r="F1986" i="6"/>
  <c r="G1986" i="6"/>
  <c r="H1986" i="6" s="1"/>
  <c r="F1430" i="6"/>
  <c r="G1429" i="6"/>
  <c r="H1429" i="6" s="1"/>
  <c r="G757" i="6"/>
  <c r="H757" i="6" s="1"/>
  <c r="F757" i="6"/>
  <c r="F1988" i="6"/>
  <c r="G1988" i="6"/>
  <c r="H1988" i="6" s="1"/>
  <c r="G755" i="6"/>
  <c r="H755" i="6" s="1"/>
  <c r="F755" i="6"/>
  <c r="G754" i="6"/>
  <c r="H754" i="6" s="1"/>
  <c r="F754" i="6"/>
  <c r="F1429" i="6"/>
  <c r="G1428" i="6"/>
  <c r="H1428" i="6" s="1"/>
  <c r="F1428" i="6"/>
  <c r="G1427" i="6"/>
  <c r="H1427" i="6" s="1"/>
  <c r="G751" i="6"/>
  <c r="H751" i="6" s="1"/>
  <c r="F751" i="6"/>
  <c r="F1427" i="6"/>
  <c r="G1606" i="6"/>
  <c r="H1606" i="6" s="1"/>
  <c r="G749" i="6"/>
  <c r="H749" i="6" s="1"/>
  <c r="F749" i="6"/>
  <c r="G748" i="6"/>
  <c r="H748" i="6" s="1"/>
  <c r="F748" i="6"/>
  <c r="F1989" i="6"/>
  <c r="G1989" i="6"/>
  <c r="H1989" i="6" s="1"/>
  <c r="G746" i="6"/>
  <c r="H746" i="6" s="1"/>
  <c r="F746" i="6"/>
  <c r="F1990" i="6"/>
  <c r="G1990" i="6"/>
  <c r="H1990" i="6" s="1"/>
  <c r="G744" i="6"/>
  <c r="H744" i="6" s="1"/>
  <c r="F744" i="6"/>
  <c r="F1606" i="6"/>
  <c r="F1751" i="6"/>
  <c r="G742" i="6"/>
  <c r="H742" i="6" s="1"/>
  <c r="F742" i="6"/>
  <c r="G1751" i="6"/>
  <c r="H1751" i="6" s="1"/>
  <c r="G1424" i="6"/>
  <c r="H1424" i="6" s="1"/>
  <c r="F1994" i="6"/>
  <c r="G1994" i="6"/>
  <c r="H1994" i="6" s="1"/>
  <c r="F1997" i="6"/>
  <c r="G1997" i="6"/>
  <c r="H1997" i="6" s="1"/>
  <c r="F1424" i="6"/>
  <c r="G1423" i="6"/>
  <c r="H1423" i="6" s="1"/>
  <c r="G737" i="6"/>
  <c r="H737" i="6" s="1"/>
  <c r="F737" i="6"/>
  <c r="G736" i="6"/>
  <c r="H736" i="6" s="1"/>
  <c r="F736" i="6"/>
  <c r="G735" i="6"/>
  <c r="H735" i="6" s="1"/>
  <c r="F735" i="6"/>
  <c r="G734" i="6"/>
  <c r="H734" i="6" s="1"/>
  <c r="F734" i="6"/>
  <c r="G733" i="6"/>
  <c r="H733" i="6" s="1"/>
  <c r="F733" i="6"/>
  <c r="G732" i="6"/>
  <c r="H732" i="6" s="1"/>
  <c r="F732" i="6"/>
  <c r="G731" i="6"/>
  <c r="H731" i="6" s="1"/>
  <c r="F731" i="6"/>
  <c r="G730" i="6"/>
  <c r="H730" i="6" s="1"/>
  <c r="F730" i="6"/>
  <c r="F1423" i="6"/>
  <c r="G1605" i="6"/>
  <c r="H1605" i="6" s="1"/>
  <c r="F2001" i="6"/>
  <c r="G2001" i="6"/>
  <c r="H2001" i="6" s="1"/>
  <c r="G727" i="6"/>
  <c r="H727" i="6" s="1"/>
  <c r="F727" i="6"/>
  <c r="G726" i="6"/>
  <c r="H726" i="6" s="1"/>
  <c r="F726" i="6"/>
  <c r="G725" i="6"/>
  <c r="H725" i="6" s="1"/>
  <c r="F725" i="6"/>
  <c r="F1605" i="6"/>
  <c r="G1604" i="6"/>
  <c r="H1604" i="6" s="1"/>
  <c r="G723" i="6"/>
  <c r="H723" i="6" s="1"/>
  <c r="F723" i="6"/>
  <c r="F2002" i="6"/>
  <c r="G2002" i="6"/>
  <c r="H2002" i="6" s="1"/>
  <c r="G721" i="6"/>
  <c r="H721" i="6" s="1"/>
  <c r="F721" i="6"/>
  <c r="F1604" i="6"/>
  <c r="F1753" i="6"/>
  <c r="G719" i="6"/>
  <c r="H719" i="6" s="1"/>
  <c r="F719" i="6"/>
  <c r="G1753" i="6"/>
  <c r="H1753" i="6" s="1"/>
  <c r="F1755" i="6"/>
  <c r="F2003" i="6"/>
  <c r="G2003" i="6"/>
  <c r="H2003" i="6" s="1"/>
  <c r="G1755" i="6"/>
  <c r="H1755" i="6" s="1"/>
  <c r="G1603" i="6"/>
  <c r="H1603" i="6" s="1"/>
  <c r="F2007" i="6"/>
  <c r="G2007" i="6"/>
  <c r="H2007" i="6" s="1"/>
  <c r="G714" i="6"/>
  <c r="H714" i="6" s="1"/>
  <c r="F714" i="6"/>
  <c r="G713" i="6"/>
  <c r="H713" i="6" s="1"/>
  <c r="F713" i="6"/>
  <c r="G712" i="6"/>
  <c r="H712" i="6" s="1"/>
  <c r="F712" i="6"/>
  <c r="F1603" i="6"/>
  <c r="G1417" i="6"/>
  <c r="H1417" i="6" s="1"/>
  <c r="G710" i="6"/>
  <c r="H710" i="6" s="1"/>
  <c r="F710" i="6"/>
  <c r="F1417" i="6"/>
  <c r="G1416" i="6"/>
  <c r="H1416" i="6" s="1"/>
  <c r="G708" i="6"/>
  <c r="H708" i="6" s="1"/>
  <c r="F708" i="6"/>
  <c r="G707" i="6"/>
  <c r="H707" i="6" s="1"/>
  <c r="F707" i="6"/>
  <c r="F2010" i="6"/>
  <c r="G2010" i="6"/>
  <c r="H2010" i="6" s="1"/>
  <c r="F1416" i="6"/>
  <c r="G1415" i="6"/>
  <c r="H1415" i="6" s="1"/>
  <c r="F1415" i="6"/>
  <c r="F1757" i="6"/>
  <c r="G703" i="6"/>
  <c r="H703" i="6" s="1"/>
  <c r="F703" i="6"/>
  <c r="G702" i="6"/>
  <c r="H702" i="6" s="1"/>
  <c r="F702" i="6"/>
  <c r="G701" i="6"/>
  <c r="H701" i="6" s="1"/>
  <c r="F701" i="6"/>
  <c r="G1757" i="6"/>
  <c r="H1757" i="6" s="1"/>
  <c r="F1683" i="6"/>
  <c r="G1683" i="6"/>
  <c r="H1683" i="6" s="1"/>
  <c r="G1601" i="6"/>
  <c r="H1601" i="6" s="1"/>
  <c r="G698" i="6"/>
  <c r="H698" i="6" s="1"/>
  <c r="F698" i="6"/>
  <c r="F1601" i="6"/>
  <c r="G1411" i="6"/>
  <c r="H1411" i="6" s="1"/>
  <c r="F2015" i="6"/>
  <c r="G2015" i="6"/>
  <c r="H2015" i="6" s="1"/>
  <c r="G695" i="6"/>
  <c r="H695" i="6" s="1"/>
  <c r="F695" i="6"/>
  <c r="G694" i="6"/>
  <c r="H694" i="6" s="1"/>
  <c r="F694" i="6"/>
  <c r="G693" i="6"/>
  <c r="H693" i="6" s="1"/>
  <c r="F693" i="6"/>
  <c r="G692" i="6"/>
  <c r="H692" i="6" s="1"/>
  <c r="F692" i="6"/>
  <c r="F2016" i="6"/>
  <c r="G2016" i="6"/>
  <c r="H2016" i="6" s="1"/>
  <c r="G690" i="6"/>
  <c r="H690" i="6" s="1"/>
  <c r="F690" i="6"/>
  <c r="F2018" i="6"/>
  <c r="G2018" i="6"/>
  <c r="H2018" i="6" s="1"/>
  <c r="F1411" i="6"/>
  <c r="G1410" i="6"/>
  <c r="H1410" i="6" s="1"/>
  <c r="F1410" i="6"/>
  <c r="F1759" i="6"/>
  <c r="G686" i="6"/>
  <c r="H686" i="6" s="1"/>
  <c r="F686" i="6"/>
  <c r="G685" i="6"/>
  <c r="H685" i="6" s="1"/>
  <c r="F685" i="6"/>
  <c r="G684" i="6"/>
  <c r="H684" i="6" s="1"/>
  <c r="F684" i="6"/>
  <c r="F2021" i="6"/>
  <c r="G2021" i="6"/>
  <c r="H2021" i="6" s="1"/>
  <c r="G682" i="6"/>
  <c r="H682" i="6" s="1"/>
  <c r="F682" i="6"/>
  <c r="G681" i="6"/>
  <c r="H681" i="6" s="1"/>
  <c r="F681" i="6"/>
  <c r="G680" i="6"/>
  <c r="H680" i="6" s="1"/>
  <c r="F680" i="6"/>
  <c r="G679" i="6"/>
  <c r="H679" i="6" s="1"/>
  <c r="F679" i="6"/>
  <c r="G678" i="6"/>
  <c r="H678" i="6" s="1"/>
  <c r="F678" i="6"/>
  <c r="F2022" i="6"/>
  <c r="G2022" i="6"/>
  <c r="H2022" i="6" s="1"/>
  <c r="G676" i="6"/>
  <c r="H676" i="6" s="1"/>
  <c r="F676" i="6"/>
  <c r="G675" i="6"/>
  <c r="H675" i="6" s="1"/>
  <c r="F675" i="6"/>
  <c r="G674" i="6"/>
  <c r="H674" i="6" s="1"/>
  <c r="F674" i="6"/>
  <c r="G673" i="6"/>
  <c r="H673" i="6" s="1"/>
  <c r="F673" i="6"/>
  <c r="G1759" i="6"/>
  <c r="H1759" i="6" s="1"/>
  <c r="G1408" i="6"/>
  <c r="H1408" i="6" s="1"/>
  <c r="G671" i="6"/>
  <c r="H671" i="6" s="1"/>
  <c r="F671" i="6"/>
  <c r="F1408" i="6"/>
  <c r="G1407" i="6"/>
  <c r="H1407" i="6" s="1"/>
  <c r="G669" i="6"/>
  <c r="H669" i="6" s="1"/>
  <c r="F669" i="6"/>
  <c r="F2024" i="6"/>
  <c r="G2024" i="6"/>
  <c r="H2024" i="6" s="1"/>
  <c r="G667" i="6"/>
  <c r="H667" i="6" s="1"/>
  <c r="F667" i="6"/>
  <c r="G666" i="6"/>
  <c r="H666" i="6" s="1"/>
  <c r="F666" i="6"/>
  <c r="F1407" i="6"/>
  <c r="G1600" i="6"/>
  <c r="H1600" i="6" s="1"/>
  <c r="F1600" i="6"/>
  <c r="G1405" i="6"/>
  <c r="H1405" i="6" s="1"/>
  <c r="F1405" i="6"/>
  <c r="G1404" i="6"/>
  <c r="H1404" i="6" s="1"/>
  <c r="F1404" i="6"/>
  <c r="G1599" i="6"/>
  <c r="H1599" i="6" s="1"/>
  <c r="F1599" i="6"/>
  <c r="G1402" i="6"/>
  <c r="H1402" i="6" s="1"/>
  <c r="F1402" i="6"/>
  <c r="G1401" i="6"/>
  <c r="H1401" i="6" s="1"/>
  <c r="G659" i="6"/>
  <c r="H659" i="6" s="1"/>
  <c r="F659" i="6"/>
  <c r="G658" i="6"/>
  <c r="H658" i="6" s="1"/>
  <c r="F658" i="6"/>
  <c r="G657" i="6"/>
  <c r="H657" i="6" s="1"/>
  <c r="F657" i="6"/>
  <c r="G656" i="6"/>
  <c r="H656" i="6" s="1"/>
  <c r="F656" i="6"/>
  <c r="G655" i="6"/>
  <c r="H655" i="6" s="1"/>
  <c r="F655" i="6"/>
  <c r="G654" i="6"/>
  <c r="H654" i="6" s="1"/>
  <c r="F654" i="6"/>
  <c r="G653" i="6"/>
  <c r="H653" i="6" s="1"/>
  <c r="F653" i="6"/>
  <c r="G652" i="6"/>
  <c r="H652" i="6" s="1"/>
  <c r="F652" i="6"/>
  <c r="G651" i="6"/>
  <c r="H651" i="6" s="1"/>
  <c r="F651" i="6"/>
  <c r="G650" i="6"/>
  <c r="H650" i="6" s="1"/>
  <c r="F650" i="6"/>
  <c r="F1401" i="6"/>
  <c r="F1668" i="6"/>
  <c r="G1668" i="6"/>
  <c r="H1668" i="6" s="1"/>
  <c r="G1597" i="6"/>
  <c r="H1597" i="6" s="1"/>
  <c r="G647" i="6"/>
  <c r="H647" i="6" s="1"/>
  <c r="F647" i="6"/>
  <c r="F2027" i="6"/>
  <c r="G2027" i="6"/>
  <c r="H2027" i="6" s="1"/>
  <c r="F2029" i="6"/>
  <c r="G2029" i="6"/>
  <c r="H2029" i="6" s="1"/>
  <c r="F2030" i="6"/>
  <c r="G2030" i="6"/>
  <c r="H2030" i="6" s="1"/>
  <c r="F1597" i="6"/>
  <c r="G1398" i="6"/>
  <c r="H1398" i="6" s="1"/>
  <c r="F1398" i="6"/>
  <c r="G1397" i="6"/>
  <c r="H1397" i="6" s="1"/>
  <c r="G641" i="6"/>
  <c r="H641" i="6" s="1"/>
  <c r="F641" i="6"/>
  <c r="F1397" i="6"/>
  <c r="F1762" i="6"/>
  <c r="G639" i="6"/>
  <c r="H639" i="6" s="1"/>
  <c r="F639" i="6"/>
  <c r="G638" i="6"/>
  <c r="H638" i="6" s="1"/>
  <c r="F638" i="6"/>
  <c r="G637" i="6"/>
  <c r="H637" i="6" s="1"/>
  <c r="F637" i="6"/>
  <c r="G1762" i="6"/>
  <c r="H1762" i="6" s="1"/>
  <c r="F1688" i="6"/>
  <c r="F2033" i="6"/>
  <c r="G2033" i="6"/>
  <c r="H2033" i="6" s="1"/>
  <c r="G634" i="6"/>
  <c r="H634" i="6" s="1"/>
  <c r="F634" i="6"/>
  <c r="G1688" i="6"/>
  <c r="H1688" i="6" s="1"/>
  <c r="G1394" i="6"/>
  <c r="H1394" i="6" s="1"/>
  <c r="F2034" i="6"/>
  <c r="G2034" i="6"/>
  <c r="H2034" i="6" s="1"/>
  <c r="G631" i="6"/>
  <c r="H631" i="6" s="1"/>
  <c r="F631" i="6"/>
  <c r="F2036" i="6"/>
  <c r="G2036" i="6"/>
  <c r="H2036" i="6" s="1"/>
  <c r="F2037" i="6"/>
  <c r="G2037" i="6"/>
  <c r="H2037" i="6" s="1"/>
  <c r="G628" i="6"/>
  <c r="H628" i="6" s="1"/>
  <c r="F628" i="6"/>
  <c r="G627" i="6"/>
  <c r="H627" i="6" s="1"/>
  <c r="F627" i="6"/>
  <c r="G626" i="6"/>
  <c r="H626" i="6" s="1"/>
  <c r="F626" i="6"/>
  <c r="F1394" i="6"/>
  <c r="G1393" i="6"/>
  <c r="H1393" i="6" s="1"/>
  <c r="F1393" i="6"/>
  <c r="G1392" i="6"/>
  <c r="H1392" i="6" s="1"/>
  <c r="G623" i="6"/>
  <c r="H623" i="6" s="1"/>
  <c r="F623" i="6"/>
  <c r="F2041" i="6"/>
  <c r="G2041" i="6"/>
  <c r="H2041" i="6" s="1"/>
  <c r="G621" i="6"/>
  <c r="H621" i="6" s="1"/>
  <c r="F621" i="6"/>
  <c r="G620" i="6"/>
  <c r="H620" i="6" s="1"/>
  <c r="F620" i="6"/>
  <c r="F1392" i="6"/>
  <c r="G1391" i="6"/>
  <c r="H1391" i="6" s="1"/>
  <c r="G618" i="6"/>
  <c r="H618" i="6" s="1"/>
  <c r="F618" i="6"/>
  <c r="G617" i="6"/>
  <c r="H617" i="6" s="1"/>
  <c r="F617" i="6"/>
  <c r="G616" i="6"/>
  <c r="H616" i="6" s="1"/>
  <c r="F616" i="6"/>
  <c r="F1391" i="6"/>
  <c r="G1390" i="6"/>
  <c r="H1390" i="6" s="1"/>
  <c r="G614" i="6"/>
  <c r="H614" i="6" s="1"/>
  <c r="F614" i="6"/>
  <c r="F2042" i="6"/>
  <c r="G2042" i="6"/>
  <c r="H2042" i="6" s="1"/>
  <c r="G612" i="6"/>
  <c r="H612" i="6" s="1"/>
  <c r="F612" i="6"/>
  <c r="F2044" i="6"/>
  <c r="G2044" i="6"/>
  <c r="H2044" i="6" s="1"/>
  <c r="F1390" i="6"/>
  <c r="G1389" i="6"/>
  <c r="H1389" i="6" s="1"/>
  <c r="G609" i="6"/>
  <c r="H609" i="6" s="1"/>
  <c r="F609" i="6"/>
  <c r="F2046" i="6"/>
  <c r="G2046" i="6"/>
  <c r="H2046" i="6" s="1"/>
  <c r="G607" i="6"/>
  <c r="H607" i="6" s="1"/>
  <c r="F607" i="6"/>
  <c r="G606" i="6"/>
  <c r="H606" i="6" s="1"/>
  <c r="F606" i="6"/>
  <c r="G605" i="6"/>
  <c r="H605" i="6" s="1"/>
  <c r="F605" i="6"/>
  <c r="F1389" i="6"/>
  <c r="F1690" i="6"/>
  <c r="G1690" i="6"/>
  <c r="H1690" i="6" s="1"/>
  <c r="F1763" i="6"/>
  <c r="G602" i="6"/>
  <c r="H602" i="6" s="1"/>
  <c r="F602" i="6"/>
  <c r="G601" i="6"/>
  <c r="H601" i="6" s="1"/>
  <c r="F601" i="6"/>
  <c r="G600" i="6"/>
  <c r="H600" i="6" s="1"/>
  <c r="F600" i="6"/>
  <c r="F2047" i="6"/>
  <c r="G2047" i="6"/>
  <c r="H2047" i="6" s="1"/>
  <c r="G1763" i="6"/>
  <c r="H1763" i="6" s="1"/>
  <c r="G1594" i="6"/>
  <c r="H1594" i="6" s="1"/>
  <c r="F2048" i="6"/>
  <c r="G2048" i="6"/>
  <c r="H2048" i="6" s="1"/>
  <c r="F2049" i="6"/>
  <c r="G2049" i="6"/>
  <c r="H2049" i="6" s="1"/>
  <c r="F1594" i="6"/>
  <c r="G1385" i="6"/>
  <c r="H1385" i="6" s="1"/>
  <c r="F2050" i="6"/>
  <c r="G2050" i="6"/>
  <c r="H2050" i="6" s="1"/>
  <c r="G593" i="6"/>
  <c r="H593" i="6" s="1"/>
  <c r="F593" i="6"/>
  <c r="F1385" i="6"/>
  <c r="G1384" i="6"/>
  <c r="H1384" i="6" s="1"/>
  <c r="G591" i="6"/>
  <c r="H591" i="6" s="1"/>
  <c r="F591" i="6"/>
  <c r="F1384" i="6"/>
  <c r="G1383" i="6"/>
  <c r="H1383" i="6" s="1"/>
  <c r="F2051" i="6"/>
  <c r="G2051" i="6"/>
  <c r="H2051" i="6" s="1"/>
  <c r="G588" i="6"/>
  <c r="H588" i="6" s="1"/>
  <c r="F588" i="6"/>
  <c r="F2052" i="6"/>
  <c r="G2052" i="6"/>
  <c r="H2052" i="6" s="1"/>
  <c r="G586" i="6"/>
  <c r="H586" i="6" s="1"/>
  <c r="F586" i="6"/>
  <c r="F2055" i="6"/>
  <c r="G2055" i="6"/>
  <c r="H2055" i="6" s="1"/>
  <c r="F1383" i="6"/>
  <c r="F1764" i="6"/>
  <c r="G583" i="6"/>
  <c r="H583" i="6" s="1"/>
  <c r="F583" i="6"/>
  <c r="G582" i="6"/>
  <c r="H582" i="6" s="1"/>
  <c r="F582" i="6"/>
  <c r="F2056" i="6"/>
  <c r="G2056" i="6"/>
  <c r="H2056" i="6" s="1"/>
  <c r="G580" i="6"/>
  <c r="H580" i="6" s="1"/>
  <c r="F580" i="6"/>
  <c r="G1764" i="6"/>
  <c r="H1764" i="6" s="1"/>
  <c r="F1765" i="6"/>
  <c r="G1765" i="6"/>
  <c r="H1765" i="6" s="1"/>
  <c r="G1380" i="6"/>
  <c r="H1380" i="6" s="1"/>
  <c r="G577" i="6"/>
  <c r="H577" i="6" s="1"/>
  <c r="F577" i="6"/>
  <c r="F1380" i="6"/>
  <c r="G1593" i="6"/>
  <c r="H1593" i="6" s="1"/>
  <c r="G575" i="6"/>
  <c r="H575" i="6" s="1"/>
  <c r="F575" i="6"/>
  <c r="F1593" i="6"/>
  <c r="G1378" i="6"/>
  <c r="H1378" i="6" s="1"/>
  <c r="G573" i="6"/>
  <c r="H573" i="6" s="1"/>
  <c r="F573" i="6"/>
  <c r="F1378" i="6"/>
  <c r="G1592" i="6"/>
  <c r="H1592" i="6" s="1"/>
  <c r="G571" i="6"/>
  <c r="H571" i="6" s="1"/>
  <c r="F571" i="6"/>
  <c r="G570" i="6"/>
  <c r="H570" i="6" s="1"/>
  <c r="F570" i="6"/>
  <c r="F1592" i="6"/>
  <c r="G1376" i="6"/>
  <c r="H1376" i="6" s="1"/>
  <c r="F1376" i="6"/>
  <c r="F1767" i="6"/>
  <c r="F2058" i="6"/>
  <c r="G2058" i="6"/>
  <c r="H2058" i="6" s="1"/>
  <c r="G566" i="6"/>
  <c r="H566" i="6" s="1"/>
  <c r="F566" i="6"/>
  <c r="G565" i="6"/>
  <c r="H565" i="6" s="1"/>
  <c r="F565" i="6"/>
  <c r="G564" i="6"/>
  <c r="H564" i="6" s="1"/>
  <c r="F564" i="6"/>
  <c r="G1767" i="6"/>
  <c r="H1767" i="6" s="1"/>
  <c r="F1770" i="6"/>
  <c r="F2060" i="6"/>
  <c r="G2060" i="6"/>
  <c r="H2060" i="6" s="1"/>
  <c r="G561" i="6"/>
  <c r="H561" i="6" s="1"/>
  <c r="F561" i="6"/>
  <c r="G560" i="6"/>
  <c r="H560" i="6" s="1"/>
  <c r="F560" i="6"/>
  <c r="G1770" i="6"/>
  <c r="H1770" i="6" s="1"/>
  <c r="G1373" i="6"/>
  <c r="H1373" i="6" s="1"/>
  <c r="F1373" i="6"/>
  <c r="G1372" i="6"/>
  <c r="H1372" i="6" s="1"/>
  <c r="G557" i="6"/>
  <c r="H557" i="6" s="1"/>
  <c r="F557" i="6"/>
  <c r="F1372" i="6"/>
  <c r="G1591" i="6"/>
  <c r="H1591" i="6" s="1"/>
  <c r="F2061" i="6"/>
  <c r="G2061" i="6"/>
  <c r="H2061" i="6" s="1"/>
  <c r="G554" i="6"/>
  <c r="H554" i="6" s="1"/>
  <c r="F554" i="6"/>
  <c r="G553" i="6"/>
  <c r="H553" i="6" s="1"/>
  <c r="F553" i="6"/>
  <c r="F2062" i="6"/>
  <c r="G2062" i="6"/>
  <c r="H2062" i="6" s="1"/>
  <c r="G551" i="6"/>
  <c r="H551" i="6" s="1"/>
  <c r="F551" i="6"/>
  <c r="F1591" i="6"/>
  <c r="F1771" i="6"/>
  <c r="G549" i="6"/>
  <c r="H549" i="6" s="1"/>
  <c r="F549" i="6"/>
  <c r="G1771" i="6"/>
  <c r="H1771" i="6" s="1"/>
  <c r="G1590" i="6"/>
  <c r="H1590" i="6" s="1"/>
  <c r="G547" i="6"/>
  <c r="H547" i="6" s="1"/>
  <c r="F547" i="6"/>
  <c r="F1590" i="6"/>
  <c r="G1368" i="6"/>
  <c r="H1368" i="6" s="1"/>
  <c r="F1368" i="6"/>
  <c r="G1367" i="6"/>
  <c r="H1367" i="6" s="1"/>
  <c r="F1367" i="6"/>
  <c r="F1693" i="6"/>
  <c r="G543" i="6"/>
  <c r="H543" i="6" s="1"/>
  <c r="F543" i="6"/>
  <c r="G542" i="6"/>
  <c r="H542" i="6" s="1"/>
  <c r="F542" i="6"/>
  <c r="G541" i="6"/>
  <c r="H541" i="6" s="1"/>
  <c r="F541" i="6"/>
  <c r="G540" i="6"/>
  <c r="H540" i="6" s="1"/>
  <c r="F540" i="6"/>
  <c r="G539" i="6"/>
  <c r="H539" i="6" s="1"/>
  <c r="F539" i="6"/>
  <c r="F2063" i="6"/>
  <c r="G2063" i="6"/>
  <c r="H2063" i="6" s="1"/>
  <c r="F2064" i="6"/>
  <c r="G2064" i="6"/>
  <c r="H2064" i="6" s="1"/>
  <c r="G536" i="6"/>
  <c r="H536" i="6" s="1"/>
  <c r="F536" i="6"/>
  <c r="F2065" i="6"/>
  <c r="G2065" i="6"/>
  <c r="H2065" i="6" s="1"/>
  <c r="F2067" i="6"/>
  <c r="G2067" i="6"/>
  <c r="H2067" i="6" s="1"/>
  <c r="G533" i="6"/>
  <c r="H533" i="6" s="1"/>
  <c r="F533" i="6"/>
  <c r="G1693" i="6"/>
  <c r="H1693" i="6" s="1"/>
  <c r="G1365" i="6"/>
  <c r="H1365" i="6" s="1"/>
  <c r="F1365" i="6"/>
  <c r="G1364" i="6"/>
  <c r="H1364" i="6" s="1"/>
  <c r="F2069" i="6"/>
  <c r="G2069" i="6"/>
  <c r="H2069" i="6" s="1"/>
  <c r="F1364" i="6"/>
  <c r="G1363" i="6"/>
  <c r="H1363" i="6" s="1"/>
  <c r="F1363" i="6"/>
  <c r="G1362" i="6"/>
  <c r="H1362" i="6" s="1"/>
  <c r="G527" i="6"/>
  <c r="H527" i="6" s="1"/>
  <c r="F527" i="6"/>
  <c r="G526" i="6"/>
  <c r="H526" i="6" s="1"/>
  <c r="F526" i="6"/>
  <c r="G525" i="6"/>
  <c r="H525" i="6" s="1"/>
  <c r="F525" i="6"/>
  <c r="F1362" i="6"/>
  <c r="G1361" i="6"/>
  <c r="H1361" i="6" s="1"/>
  <c r="G523" i="6"/>
  <c r="H523" i="6" s="1"/>
  <c r="F523" i="6"/>
  <c r="G522" i="6"/>
  <c r="H522" i="6" s="1"/>
  <c r="F522" i="6"/>
  <c r="G521" i="6"/>
  <c r="H521" i="6" s="1"/>
  <c r="F521" i="6"/>
  <c r="F2071" i="6"/>
  <c r="G2071" i="6"/>
  <c r="H2071" i="6" s="1"/>
  <c r="G519" i="6"/>
  <c r="H519" i="6" s="1"/>
  <c r="F519" i="6"/>
  <c r="F1361" i="6"/>
  <c r="G1360" i="6"/>
  <c r="H1360" i="6" s="1"/>
  <c r="G517" i="6"/>
  <c r="H517" i="6" s="1"/>
  <c r="F517" i="6"/>
  <c r="F2072" i="6"/>
  <c r="G2072" i="6"/>
  <c r="H2072" i="6" s="1"/>
  <c r="F1360" i="6"/>
  <c r="G1359" i="6"/>
  <c r="H1359" i="6" s="1"/>
  <c r="F2074" i="6"/>
  <c r="G2074" i="6"/>
  <c r="H2074" i="6" s="1"/>
  <c r="G513" i="6"/>
  <c r="H513" i="6" s="1"/>
  <c r="F513" i="6"/>
  <c r="G512" i="6"/>
  <c r="H512" i="6" s="1"/>
  <c r="F512" i="6"/>
  <c r="G511" i="6"/>
  <c r="H511" i="6" s="1"/>
  <c r="F511" i="6"/>
  <c r="F2075" i="6"/>
  <c r="G2075" i="6"/>
  <c r="H2075" i="6" s="1"/>
  <c r="F2078" i="6"/>
  <c r="G2078" i="6"/>
  <c r="H2078" i="6" s="1"/>
  <c r="F1359" i="6"/>
  <c r="G1358" i="6"/>
  <c r="H1358" i="6" s="1"/>
  <c r="F1358" i="6"/>
  <c r="F1772" i="6"/>
  <c r="F2080" i="6"/>
  <c r="G2080" i="6"/>
  <c r="H2080" i="6" s="1"/>
  <c r="G1772" i="6"/>
  <c r="H1772" i="6" s="1"/>
  <c r="F1773" i="6"/>
  <c r="G1773" i="6"/>
  <c r="H1773" i="6" s="1"/>
  <c r="G1355" i="6"/>
  <c r="H1355" i="6" s="1"/>
  <c r="G503" i="6"/>
  <c r="H503" i="6" s="1"/>
  <c r="F503" i="6"/>
  <c r="F2081" i="6"/>
  <c r="G2081" i="6"/>
  <c r="H2081" i="6" s="1"/>
  <c r="F1355" i="6"/>
  <c r="G1661" i="6"/>
  <c r="H1661" i="6" s="1"/>
  <c r="F2089" i="6"/>
  <c r="G2089" i="6"/>
  <c r="H2089" i="6" s="1"/>
  <c r="G499" i="6"/>
  <c r="H499" i="6" s="1"/>
  <c r="F499" i="6"/>
  <c r="F1661" i="6"/>
  <c r="G1587" i="6"/>
  <c r="H1587" i="6" s="1"/>
  <c r="G497" i="6"/>
  <c r="H497" i="6" s="1"/>
  <c r="F497" i="6"/>
  <c r="F2091" i="6"/>
  <c r="G2091" i="6"/>
  <c r="H2091" i="6" s="1"/>
  <c r="F2092" i="6"/>
  <c r="G2092" i="6"/>
  <c r="H2092" i="6" s="1"/>
  <c r="F2094" i="6"/>
  <c r="G2094" i="6"/>
  <c r="H2094" i="6" s="1"/>
  <c r="F1587" i="6"/>
  <c r="G1352" i="6"/>
  <c r="H1352" i="6" s="1"/>
  <c r="F1352" i="6"/>
  <c r="G1648" i="6"/>
  <c r="H1648" i="6" s="1"/>
  <c r="G491" i="6"/>
  <c r="H491" i="6" s="1"/>
  <c r="F491" i="6"/>
  <c r="F2102" i="6"/>
  <c r="G2102" i="6"/>
  <c r="H2102" i="6" s="1"/>
  <c r="G489" i="6"/>
  <c r="H489" i="6" s="1"/>
  <c r="F489" i="6"/>
  <c r="G488" i="6"/>
  <c r="H488" i="6" s="1"/>
  <c r="F488" i="6"/>
  <c r="G487" i="6"/>
  <c r="H487" i="6" s="1"/>
  <c r="F487" i="6"/>
  <c r="G486" i="6"/>
  <c r="H486" i="6" s="1"/>
  <c r="F486" i="6"/>
  <c r="G485" i="6"/>
  <c r="H485" i="6" s="1"/>
  <c r="F485" i="6"/>
  <c r="F2106" i="6"/>
  <c r="G2106" i="6"/>
  <c r="H2106" i="6" s="1"/>
  <c r="G483" i="6"/>
  <c r="H483" i="6" s="1"/>
  <c r="F483" i="6"/>
  <c r="G482" i="6"/>
  <c r="H482" i="6" s="1"/>
  <c r="F482" i="6"/>
  <c r="F1648" i="6"/>
  <c r="G1350" i="6"/>
  <c r="H1350" i="6" s="1"/>
  <c r="F2107" i="6"/>
  <c r="G2107" i="6"/>
  <c r="H2107" i="6" s="1"/>
  <c r="G479" i="6"/>
  <c r="H479" i="6" s="1"/>
  <c r="F479" i="6"/>
  <c r="F1350" i="6"/>
  <c r="G1349" i="6"/>
  <c r="H1349" i="6" s="1"/>
  <c r="F2108" i="6"/>
  <c r="G2108" i="6"/>
  <c r="H2108" i="6" s="1"/>
  <c r="G476" i="6"/>
  <c r="H476" i="6" s="1"/>
  <c r="F476" i="6"/>
  <c r="G475" i="6"/>
  <c r="H475" i="6" s="1"/>
  <c r="F475" i="6"/>
  <c r="F1349" i="6"/>
  <c r="F1775" i="6"/>
  <c r="G1775" i="6"/>
  <c r="H1775" i="6" s="1"/>
  <c r="F1776" i="6"/>
  <c r="G472" i="6"/>
  <c r="H472" i="6" s="1"/>
  <c r="F472" i="6"/>
  <c r="G471" i="6"/>
  <c r="H471" i="6" s="1"/>
  <c r="F471" i="6"/>
  <c r="F2115" i="6"/>
  <c r="G2115" i="6"/>
  <c r="H2115" i="6" s="1"/>
  <c r="G469" i="6"/>
  <c r="H469" i="6" s="1"/>
  <c r="F469" i="6"/>
  <c r="G1776" i="6"/>
  <c r="H1776" i="6" s="1"/>
  <c r="F1778" i="6"/>
  <c r="G1778" i="6"/>
  <c r="H1778" i="6" s="1"/>
  <c r="F1783" i="6"/>
  <c r="G1783" i="6"/>
  <c r="H1783" i="6" s="1"/>
  <c r="G1344" i="6"/>
  <c r="H1344" i="6" s="1"/>
  <c r="G465" i="6"/>
  <c r="H465" i="6" s="1"/>
  <c r="F465" i="6"/>
  <c r="G464" i="6"/>
  <c r="H464" i="6" s="1"/>
  <c r="F464" i="6"/>
  <c r="G463" i="6"/>
  <c r="H463" i="6" s="1"/>
  <c r="F463" i="6"/>
  <c r="G462" i="6"/>
  <c r="H462" i="6" s="1"/>
  <c r="F462" i="6"/>
  <c r="F1344" i="6"/>
  <c r="G1585" i="6"/>
  <c r="H1585" i="6" s="1"/>
  <c r="G460" i="6"/>
  <c r="H460" i="6" s="1"/>
  <c r="F460" i="6"/>
  <c r="F1585" i="6"/>
  <c r="G1584" i="6"/>
  <c r="H1584" i="6" s="1"/>
  <c r="G458" i="6"/>
  <c r="H458" i="6" s="1"/>
  <c r="F458" i="6"/>
  <c r="G457" i="6"/>
  <c r="H457" i="6" s="1"/>
  <c r="F457" i="6"/>
  <c r="G456" i="6"/>
  <c r="H456" i="6" s="1"/>
  <c r="F456" i="6"/>
  <c r="F1584" i="6"/>
  <c r="F1673" i="6"/>
  <c r="G1673" i="6"/>
  <c r="H1673" i="6" s="1"/>
  <c r="F1674" i="6"/>
  <c r="G453" i="6"/>
  <c r="H453" i="6" s="1"/>
  <c r="F453" i="6"/>
  <c r="G1674" i="6"/>
  <c r="H1674" i="6" s="1"/>
  <c r="F1784" i="6"/>
  <c r="G1784" i="6"/>
  <c r="H1784" i="6" s="1"/>
  <c r="G1338" i="6"/>
  <c r="H1338" i="6" s="1"/>
  <c r="F1338" i="6"/>
  <c r="F1785" i="6"/>
  <c r="G449" i="6"/>
  <c r="H449" i="6" s="1"/>
  <c r="F449" i="6"/>
  <c r="F2116" i="6"/>
  <c r="G2116" i="6"/>
  <c r="H2116" i="6" s="1"/>
  <c r="G447" i="6"/>
  <c r="H447" i="6" s="1"/>
  <c r="F447" i="6"/>
  <c r="G446" i="6"/>
  <c r="H446" i="6" s="1"/>
  <c r="F446" i="6"/>
  <c r="G445" i="6"/>
  <c r="H445" i="6" s="1"/>
  <c r="F445" i="6"/>
  <c r="G444" i="6"/>
  <c r="H444" i="6" s="1"/>
  <c r="F444" i="6"/>
  <c r="G443" i="6"/>
  <c r="H443" i="6" s="1"/>
  <c r="F443" i="6"/>
  <c r="F2118" i="6"/>
  <c r="G2118" i="6"/>
  <c r="H2118" i="6" s="1"/>
  <c r="F2121" i="6"/>
  <c r="G2121" i="6"/>
  <c r="H2121" i="6" s="1"/>
  <c r="G848" i="6"/>
  <c r="H848" i="6" s="1"/>
  <c r="F440" i="6"/>
  <c r="G1785" i="6"/>
  <c r="H1785" i="6" s="1"/>
  <c r="G1336" i="6"/>
  <c r="H1336" i="6" s="1"/>
  <c r="G438" i="6"/>
  <c r="H438" i="6" s="1"/>
  <c r="F438" i="6"/>
  <c r="G437" i="6"/>
  <c r="H437" i="6" s="1"/>
  <c r="F437" i="6"/>
  <c r="F2125" i="6"/>
  <c r="G2125" i="6"/>
  <c r="H2125" i="6" s="1"/>
  <c r="F1336" i="6"/>
  <c r="G1335" i="6"/>
  <c r="H1335" i="6" s="1"/>
  <c r="F2127" i="6"/>
  <c r="G2127" i="6"/>
  <c r="H2127" i="6" s="1"/>
  <c r="F1335" i="6"/>
  <c r="G1334" i="6"/>
  <c r="H1334" i="6" s="1"/>
  <c r="G432" i="6"/>
  <c r="H432" i="6" s="1"/>
  <c r="F432" i="6"/>
  <c r="G431" i="6"/>
  <c r="H431" i="6" s="1"/>
  <c r="F431" i="6"/>
  <c r="F1334" i="6"/>
  <c r="G1333" i="6"/>
  <c r="H1333" i="6" s="1"/>
  <c r="F1333" i="6"/>
  <c r="G1332" i="6"/>
  <c r="H1332" i="6" s="1"/>
  <c r="G428" i="6"/>
  <c r="H428" i="6" s="1"/>
  <c r="F428" i="6"/>
  <c r="F1332" i="6"/>
  <c r="G1581" i="6"/>
  <c r="H1581" i="6" s="1"/>
  <c r="F2128" i="6"/>
  <c r="G2128" i="6"/>
  <c r="H2128" i="6" s="1"/>
  <c r="G425" i="6"/>
  <c r="H425" i="6" s="1"/>
  <c r="F425" i="6"/>
  <c r="G424" i="6"/>
  <c r="H424" i="6" s="1"/>
  <c r="F424" i="6"/>
  <c r="F1581" i="6"/>
  <c r="G1330" i="6"/>
  <c r="H1330" i="6" s="1"/>
  <c r="G422" i="6"/>
  <c r="H422" i="6" s="1"/>
  <c r="F422" i="6"/>
  <c r="G421" i="6"/>
  <c r="H421" i="6" s="1"/>
  <c r="F421" i="6"/>
  <c r="G420" i="6"/>
  <c r="H420" i="6" s="1"/>
  <c r="F420" i="6"/>
  <c r="G419" i="6"/>
  <c r="H419" i="6" s="1"/>
  <c r="F419" i="6"/>
  <c r="F2130" i="6"/>
  <c r="G2130" i="6"/>
  <c r="H2130" i="6" s="1"/>
  <c r="F1330" i="6"/>
  <c r="F1787" i="6"/>
  <c r="F2133" i="6"/>
  <c r="G2133" i="6"/>
  <c r="H2133" i="6" s="1"/>
  <c r="G415" i="6"/>
  <c r="H415" i="6" s="1"/>
  <c r="F415" i="6"/>
  <c r="G414" i="6"/>
  <c r="H414" i="6" s="1"/>
  <c r="F414" i="6"/>
  <c r="G413" i="6"/>
  <c r="H413" i="6" s="1"/>
  <c r="F413" i="6"/>
  <c r="G412" i="6"/>
  <c r="H412" i="6" s="1"/>
  <c r="F412" i="6"/>
  <c r="G1787" i="6"/>
  <c r="H1787" i="6" s="1"/>
  <c r="F1789" i="6"/>
  <c r="G410" i="6"/>
  <c r="H410" i="6" s="1"/>
  <c r="F410" i="6"/>
  <c r="F2134" i="6"/>
  <c r="G2134" i="6"/>
  <c r="H2134" i="6" s="1"/>
  <c r="G1789" i="6"/>
  <c r="H1789" i="6" s="1"/>
  <c r="G1327" i="6"/>
  <c r="H1327" i="6" s="1"/>
  <c r="F1327" i="6"/>
  <c r="G1326" i="6"/>
  <c r="H1326" i="6" s="1"/>
  <c r="G406" i="6"/>
  <c r="H406" i="6" s="1"/>
  <c r="F406" i="6"/>
  <c r="G405" i="6"/>
  <c r="H405" i="6" s="1"/>
  <c r="F405" i="6"/>
  <c r="G404" i="6"/>
  <c r="H404" i="6" s="1"/>
  <c r="F404" i="6"/>
  <c r="G403" i="6"/>
  <c r="H403" i="6" s="1"/>
  <c r="F403" i="6"/>
  <c r="F2135" i="6"/>
  <c r="G2135" i="6"/>
  <c r="H2135" i="6" s="1"/>
  <c r="F1326" i="6"/>
  <c r="G1580" i="6"/>
  <c r="H1580" i="6" s="1"/>
  <c r="G400" i="6"/>
  <c r="H400" i="6" s="1"/>
  <c r="F400" i="6"/>
  <c r="F2136" i="6"/>
  <c r="G2136" i="6"/>
  <c r="H2136" i="6" s="1"/>
  <c r="F2138" i="6"/>
  <c r="G2138" i="6"/>
  <c r="H2138" i="6" s="1"/>
  <c r="G397" i="6"/>
  <c r="H397" i="6" s="1"/>
  <c r="F397" i="6"/>
  <c r="F1580" i="6"/>
  <c r="G1324" i="6"/>
  <c r="H1324" i="6" s="1"/>
  <c r="G395" i="6"/>
  <c r="H395" i="6" s="1"/>
  <c r="F395" i="6"/>
  <c r="G394" i="6"/>
  <c r="H394" i="6" s="1"/>
  <c r="F394" i="6"/>
  <c r="F1324" i="6"/>
  <c r="G1579" i="6"/>
  <c r="H1579" i="6" s="1"/>
  <c r="G392" i="6"/>
  <c r="H392" i="6" s="1"/>
  <c r="F392" i="6"/>
  <c r="G391" i="6"/>
  <c r="H391" i="6" s="1"/>
  <c r="F391" i="6"/>
  <c r="F1579" i="6"/>
  <c r="G1322" i="6"/>
  <c r="H1322" i="6" s="1"/>
  <c r="F1322" i="6"/>
  <c r="F1795" i="6"/>
  <c r="G388" i="6"/>
  <c r="H388" i="6" s="1"/>
  <c r="F388" i="6"/>
  <c r="G387" i="6"/>
  <c r="H387" i="6" s="1"/>
  <c r="F387" i="6"/>
  <c r="G386" i="6"/>
  <c r="H386" i="6" s="1"/>
  <c r="F386" i="6"/>
  <c r="G1795" i="6"/>
  <c r="H1795" i="6" s="1"/>
  <c r="G1645" i="6"/>
  <c r="H1645" i="6" s="1"/>
  <c r="G384" i="6"/>
  <c r="H384" i="6" s="1"/>
  <c r="F384" i="6"/>
  <c r="F1645" i="6"/>
  <c r="G1319" i="6"/>
  <c r="H1319" i="6" s="1"/>
  <c r="G382" i="6"/>
  <c r="H382" i="6" s="1"/>
  <c r="F382" i="6"/>
  <c r="G381" i="6"/>
  <c r="H381" i="6" s="1"/>
  <c r="F381" i="6"/>
  <c r="G380" i="6"/>
  <c r="H380" i="6" s="1"/>
  <c r="F380" i="6"/>
  <c r="F2139" i="6"/>
  <c r="G2139" i="6"/>
  <c r="H2139" i="6" s="1"/>
  <c r="G378" i="6"/>
  <c r="H378" i="6" s="1"/>
  <c r="F378" i="6"/>
  <c r="G377" i="6"/>
  <c r="H377" i="6" s="1"/>
  <c r="F377" i="6"/>
  <c r="F1319" i="6"/>
  <c r="G1318" i="6"/>
  <c r="H1318" i="6" s="1"/>
  <c r="F2142" i="6"/>
  <c r="G2142" i="6"/>
  <c r="H2142" i="6" s="1"/>
  <c r="F2147" i="6"/>
  <c r="G2147" i="6"/>
  <c r="H2147" i="6" s="1"/>
  <c r="F2150" i="6"/>
  <c r="G2150" i="6"/>
  <c r="H2150" i="6" s="1"/>
  <c r="G372" i="6"/>
  <c r="H372" i="6" s="1"/>
  <c r="F372" i="6"/>
  <c r="F1318" i="6"/>
  <c r="F1796" i="6"/>
  <c r="G370" i="6"/>
  <c r="H370" i="6" s="1"/>
  <c r="F370" i="6"/>
  <c r="G1796" i="6"/>
  <c r="H1796" i="6" s="1"/>
  <c r="F1695" i="6"/>
  <c r="F2155" i="6"/>
  <c r="G2155" i="6"/>
  <c r="H2155" i="6" s="1"/>
  <c r="F2156" i="6"/>
  <c r="G2156" i="6"/>
  <c r="H2156" i="6" s="1"/>
  <c r="G1695" i="6"/>
  <c r="H1695" i="6" s="1"/>
  <c r="G1315" i="6"/>
  <c r="H1315" i="6" s="1"/>
  <c r="G365" i="6"/>
  <c r="H365" i="6" s="1"/>
  <c r="F365" i="6"/>
  <c r="G364" i="6"/>
  <c r="H364" i="6" s="1"/>
  <c r="F364" i="6"/>
  <c r="G363" i="6"/>
  <c r="H363" i="6" s="1"/>
  <c r="F363" i="6"/>
  <c r="G362" i="6"/>
  <c r="H362" i="6" s="1"/>
  <c r="F362" i="6"/>
  <c r="G361" i="6"/>
  <c r="H361" i="6" s="1"/>
  <c r="F361" i="6"/>
  <c r="F2157" i="6"/>
  <c r="G2157" i="6"/>
  <c r="H2157" i="6" s="1"/>
  <c r="G359" i="6"/>
  <c r="H359" i="6" s="1"/>
  <c r="F359" i="6"/>
  <c r="F1315" i="6"/>
  <c r="G1314" i="6"/>
  <c r="H1314" i="6" s="1"/>
  <c r="F2160" i="6"/>
  <c r="G2160" i="6"/>
  <c r="H2160" i="6" s="1"/>
  <c r="F2163" i="6"/>
  <c r="G2163" i="6"/>
  <c r="H2163" i="6" s="1"/>
  <c r="F2169" i="6"/>
  <c r="G2169" i="6"/>
  <c r="H2169" i="6" s="1"/>
  <c r="F1314" i="6"/>
  <c r="F1797" i="6"/>
  <c r="G353" i="6"/>
  <c r="H353" i="6" s="1"/>
  <c r="F353" i="6"/>
  <c r="F2170" i="6"/>
  <c r="G2170" i="6"/>
  <c r="H2170" i="6" s="1"/>
  <c r="F2171" i="6"/>
  <c r="G2171" i="6"/>
  <c r="H2171" i="6" s="1"/>
  <c r="F2172" i="6"/>
  <c r="G2172" i="6"/>
  <c r="H2172" i="6" s="1"/>
  <c r="G349" i="6"/>
  <c r="H349" i="6" s="1"/>
  <c r="F349" i="6"/>
  <c r="F2173" i="6"/>
  <c r="G2173" i="6"/>
  <c r="H2173" i="6" s="1"/>
  <c r="G347" i="6"/>
  <c r="H347" i="6" s="1"/>
  <c r="F347" i="6"/>
  <c r="G346" i="6"/>
  <c r="H346" i="6" s="1"/>
  <c r="F346" i="6"/>
  <c r="G345" i="6"/>
  <c r="H345" i="6" s="1"/>
  <c r="F345" i="6"/>
  <c r="F2174" i="6"/>
  <c r="G2174" i="6"/>
  <c r="H2174" i="6" s="1"/>
  <c r="G1797" i="6"/>
  <c r="H1797" i="6" s="1"/>
  <c r="G1312" i="6"/>
  <c r="H1312" i="6" s="1"/>
  <c r="F2175" i="6"/>
  <c r="G2175" i="6"/>
  <c r="H2175" i="6" s="1"/>
  <c r="G341" i="6"/>
  <c r="H341" i="6" s="1"/>
  <c r="F341" i="6"/>
  <c r="G340" i="6"/>
  <c r="H340" i="6" s="1"/>
  <c r="F340" i="6"/>
  <c r="G339" i="6"/>
  <c r="H339" i="6" s="1"/>
  <c r="F339" i="6"/>
  <c r="G338" i="6"/>
  <c r="H338" i="6" s="1"/>
  <c r="F338" i="6"/>
  <c r="F1312" i="6"/>
  <c r="F1799" i="6"/>
  <c r="G336" i="6"/>
  <c r="H336" i="6" s="1"/>
  <c r="F336" i="6"/>
  <c r="F2176" i="6"/>
  <c r="G2176" i="6"/>
  <c r="H2176" i="6" s="1"/>
  <c r="G1799" i="6"/>
  <c r="H1799" i="6" s="1"/>
  <c r="G1310" i="6"/>
  <c r="H1310" i="6" s="1"/>
  <c r="G333" i="6"/>
  <c r="H333" i="6" s="1"/>
  <c r="F333" i="6"/>
  <c r="G332" i="6"/>
  <c r="H332" i="6" s="1"/>
  <c r="F332" i="6"/>
  <c r="F2181" i="6"/>
  <c r="G2181" i="6"/>
  <c r="H2181" i="6" s="1"/>
  <c r="F1310" i="6"/>
  <c r="F1801" i="6"/>
  <c r="F2182" i="6"/>
  <c r="G2182" i="6"/>
  <c r="H2182" i="6" s="1"/>
  <c r="G328" i="6"/>
  <c r="H328" i="6" s="1"/>
  <c r="F328" i="6"/>
  <c r="G327" i="6"/>
  <c r="H327" i="6" s="1"/>
  <c r="F327" i="6"/>
  <c r="G1801" i="6"/>
  <c r="H1801" i="6" s="1"/>
  <c r="G1308" i="6"/>
  <c r="H1308" i="6" s="1"/>
  <c r="G325" i="6"/>
  <c r="H325" i="6" s="1"/>
  <c r="F325" i="6"/>
  <c r="F2183" i="6"/>
  <c r="G2183" i="6"/>
  <c r="H2183" i="6" s="1"/>
  <c r="F1308" i="6"/>
  <c r="G1307" i="6"/>
  <c r="H1307" i="6" s="1"/>
  <c r="G322" i="6"/>
  <c r="H322" i="6" s="1"/>
  <c r="F322" i="6"/>
  <c r="G321" i="6"/>
  <c r="H321" i="6" s="1"/>
  <c r="F321" i="6"/>
  <c r="F1307" i="6"/>
  <c r="G1306" i="6"/>
  <c r="H1306" i="6" s="1"/>
  <c r="F2184" i="6"/>
  <c r="G2184" i="6"/>
  <c r="H2184" i="6" s="1"/>
  <c r="F1306" i="6"/>
  <c r="G1576" i="6"/>
  <c r="H1576" i="6" s="1"/>
  <c r="G317" i="6"/>
  <c r="H317" i="6" s="1"/>
  <c r="F317" i="6"/>
  <c r="F2187" i="6"/>
  <c r="G2187" i="6"/>
  <c r="H2187" i="6" s="1"/>
  <c r="G315" i="6"/>
  <c r="H315" i="6" s="1"/>
  <c r="F315" i="6"/>
  <c r="G314" i="6"/>
  <c r="H314" i="6" s="1"/>
  <c r="F314" i="6"/>
  <c r="F1576" i="6"/>
  <c r="G1575" i="6"/>
  <c r="H1575" i="6" s="1"/>
  <c r="F2188" i="6"/>
  <c r="G2188" i="6"/>
  <c r="H2188" i="6" s="1"/>
  <c r="F2190" i="6"/>
  <c r="G2190" i="6"/>
  <c r="H2190" i="6" s="1"/>
  <c r="G310" i="6"/>
  <c r="H310" i="6" s="1"/>
  <c r="F310" i="6"/>
  <c r="G309" i="6"/>
  <c r="H309" i="6" s="1"/>
  <c r="F309" i="6"/>
  <c r="F1575" i="6"/>
  <c r="G1644" i="6"/>
  <c r="H1644" i="6" s="1"/>
  <c r="F2193" i="6"/>
  <c r="G2193" i="6"/>
  <c r="H2193" i="6" s="1"/>
  <c r="G306" i="6"/>
  <c r="H306" i="6" s="1"/>
  <c r="F306" i="6"/>
  <c r="G305" i="6"/>
  <c r="H305" i="6" s="1"/>
  <c r="F305" i="6"/>
  <c r="F1644" i="6"/>
  <c r="F1806" i="6"/>
  <c r="G303" i="6"/>
  <c r="H303" i="6" s="1"/>
  <c r="F303" i="6"/>
  <c r="G1806" i="6"/>
  <c r="H1806" i="6" s="1"/>
  <c r="G1301" i="6"/>
  <c r="H1301" i="6" s="1"/>
  <c r="F1301" i="6"/>
  <c r="G1300" i="6"/>
  <c r="H1300" i="6" s="1"/>
  <c r="G300" i="6"/>
  <c r="H300" i="6" s="1"/>
  <c r="F300" i="6"/>
  <c r="F2194" i="6"/>
  <c r="G2194" i="6"/>
  <c r="H2194" i="6" s="1"/>
  <c r="G298" i="6"/>
  <c r="H298" i="6" s="1"/>
  <c r="F298" i="6"/>
  <c r="F1300" i="6"/>
  <c r="G1299" i="6"/>
  <c r="H1299" i="6" s="1"/>
  <c r="F1299" i="6"/>
  <c r="G1298" i="6"/>
  <c r="H1298" i="6" s="1"/>
  <c r="G295" i="6"/>
  <c r="H295" i="6" s="1"/>
  <c r="F295" i="6"/>
  <c r="F2198" i="6"/>
  <c r="G2198" i="6"/>
  <c r="H2198" i="6" s="1"/>
  <c r="G293" i="6"/>
  <c r="H293" i="6" s="1"/>
  <c r="F293" i="6"/>
  <c r="F2199" i="6"/>
  <c r="G2199" i="6"/>
  <c r="H2199" i="6" s="1"/>
  <c r="F2200" i="6"/>
  <c r="G2200" i="6"/>
  <c r="H2200" i="6" s="1"/>
  <c r="F1298" i="6"/>
  <c r="G1573" i="6"/>
  <c r="H1573" i="6" s="1"/>
  <c r="F1573" i="6"/>
  <c r="G1296" i="6"/>
  <c r="H1296" i="6" s="1"/>
  <c r="G288" i="6"/>
  <c r="H288" i="6" s="1"/>
  <c r="F288" i="6"/>
  <c r="G287" i="6"/>
  <c r="H287" i="6" s="1"/>
  <c r="F287" i="6"/>
  <c r="F2201" i="6"/>
  <c r="G2201" i="6"/>
  <c r="H2201" i="6" s="1"/>
  <c r="F2202" i="6"/>
  <c r="G2202" i="6"/>
  <c r="H2202" i="6" s="1"/>
  <c r="F2204" i="6"/>
  <c r="G2204" i="6"/>
  <c r="H2204" i="6" s="1"/>
  <c r="F1296" i="6"/>
  <c r="F1696" i="6"/>
  <c r="G282" i="6"/>
  <c r="H282" i="6" s="1"/>
  <c r="F282" i="6"/>
  <c r="G1696" i="6"/>
  <c r="H1696" i="6" s="1"/>
  <c r="F1807" i="6"/>
  <c r="G280" i="6"/>
  <c r="H280" i="6" s="1"/>
  <c r="F280" i="6"/>
  <c r="G279" i="6"/>
  <c r="H279" i="6" s="1"/>
  <c r="F279" i="6"/>
  <c r="G278" i="6"/>
  <c r="H278" i="6" s="1"/>
  <c r="F278" i="6"/>
  <c r="G1807" i="6"/>
  <c r="H1807" i="6" s="1"/>
  <c r="F1811" i="6"/>
  <c r="G276" i="6"/>
  <c r="H276" i="6" s="1"/>
  <c r="F276" i="6"/>
  <c r="G275" i="6"/>
  <c r="H275" i="6" s="1"/>
  <c r="F275" i="6"/>
  <c r="G274" i="6"/>
  <c r="H274" i="6" s="1"/>
  <c r="F274" i="6"/>
  <c r="G1811" i="6"/>
  <c r="H1811" i="6" s="1"/>
  <c r="G1292" i="6"/>
  <c r="H1292" i="6" s="1"/>
  <c r="G272" i="6"/>
  <c r="H272" i="6" s="1"/>
  <c r="F272" i="6"/>
  <c r="G271" i="6"/>
  <c r="H271" i="6" s="1"/>
  <c r="F271" i="6"/>
  <c r="G270" i="6"/>
  <c r="H270" i="6" s="1"/>
  <c r="F270" i="6"/>
  <c r="F2206" i="6"/>
  <c r="G2206" i="6"/>
  <c r="H2206" i="6" s="1"/>
  <c r="G268" i="6"/>
  <c r="H268" i="6" s="1"/>
  <c r="F268" i="6"/>
  <c r="F1292" i="6"/>
  <c r="G1291" i="6"/>
  <c r="H1291" i="6" s="1"/>
  <c r="F1291" i="6"/>
  <c r="G1290" i="6"/>
  <c r="H1290" i="6" s="1"/>
  <c r="G265" i="6"/>
  <c r="H265" i="6" s="1"/>
  <c r="F265" i="6"/>
  <c r="F1290" i="6"/>
  <c r="G1289" i="6"/>
  <c r="H1289" i="6" s="1"/>
  <c r="F1289" i="6"/>
  <c r="G1288" i="6"/>
  <c r="H1288" i="6" s="1"/>
  <c r="G262" i="6"/>
  <c r="H262" i="6" s="1"/>
  <c r="F262" i="6"/>
  <c r="G261" i="6"/>
  <c r="H261" i="6" s="1"/>
  <c r="F261" i="6"/>
  <c r="G260" i="6"/>
  <c r="H260" i="6" s="1"/>
  <c r="F260" i="6"/>
  <c r="G259" i="6"/>
  <c r="H259" i="6" s="1"/>
  <c r="F259" i="6"/>
  <c r="F2207" i="6"/>
  <c r="G2207" i="6"/>
  <c r="H2207" i="6" s="1"/>
  <c r="F1288" i="6"/>
  <c r="G1643" i="6"/>
  <c r="H1643" i="6" s="1"/>
  <c r="F1643" i="6"/>
  <c r="G1286" i="6"/>
  <c r="H1286" i="6" s="1"/>
  <c r="G255" i="6"/>
  <c r="H255" i="6" s="1"/>
  <c r="F255" i="6"/>
  <c r="F1286" i="6"/>
  <c r="F1812" i="6"/>
  <c r="G1812" i="6"/>
  <c r="H1812" i="6" s="1"/>
  <c r="G1284" i="6"/>
  <c r="H1284" i="6" s="1"/>
  <c r="F1284" i="6"/>
  <c r="G1283" i="6"/>
  <c r="H1283" i="6" s="1"/>
  <c r="G251" i="6"/>
  <c r="H251" i="6" s="1"/>
  <c r="F251" i="6"/>
  <c r="G250" i="6"/>
  <c r="H250" i="6" s="1"/>
  <c r="F250" i="6"/>
  <c r="F2208" i="6"/>
  <c r="G2208" i="6"/>
  <c r="H2208" i="6" s="1"/>
  <c r="G248" i="6"/>
  <c r="H248" i="6" s="1"/>
  <c r="F248" i="6"/>
  <c r="G247" i="6"/>
  <c r="H247" i="6" s="1"/>
  <c r="F247" i="6"/>
  <c r="G246" i="6"/>
  <c r="H246" i="6" s="1"/>
  <c r="F246" i="6"/>
  <c r="F1283" i="6"/>
  <c r="G1282" i="6"/>
  <c r="H1282" i="6" s="1"/>
  <c r="G244" i="6"/>
  <c r="H244" i="6" s="1"/>
  <c r="F244" i="6"/>
  <c r="F2209" i="6"/>
  <c r="G2209" i="6"/>
  <c r="H2209" i="6" s="1"/>
  <c r="F2211" i="6"/>
  <c r="G2211" i="6"/>
  <c r="H2211" i="6" s="1"/>
  <c r="F1282" i="6"/>
  <c r="G1570" i="6"/>
  <c r="H1570" i="6" s="1"/>
  <c r="G240" i="6"/>
  <c r="H240" i="6" s="1"/>
  <c r="F240" i="6"/>
  <c r="F1570" i="6"/>
  <c r="G1280" i="6"/>
  <c r="H1280" i="6" s="1"/>
  <c r="G238" i="6"/>
  <c r="H238" i="6" s="1"/>
  <c r="F238" i="6"/>
  <c r="F1280" i="6"/>
  <c r="G1569" i="6"/>
  <c r="H1569" i="6" s="1"/>
  <c r="F1569" i="6"/>
  <c r="F1813" i="6"/>
  <c r="G1813" i="6"/>
  <c r="H1813" i="6" s="1"/>
  <c r="G1568" i="6"/>
  <c r="H1568" i="6" s="1"/>
  <c r="G234" i="6"/>
  <c r="H234" i="6" s="1"/>
  <c r="F234" i="6"/>
  <c r="G233" i="6"/>
  <c r="H233" i="6" s="1"/>
  <c r="F233" i="6"/>
  <c r="F2213" i="6"/>
  <c r="G2213" i="6"/>
  <c r="H2213" i="6" s="1"/>
  <c r="F1568" i="6"/>
  <c r="F1816" i="6"/>
  <c r="F2215" i="6"/>
  <c r="G2215" i="6"/>
  <c r="H2215" i="6" s="1"/>
  <c r="F2216" i="6"/>
  <c r="G2216" i="6"/>
  <c r="H2216" i="6" s="1"/>
  <c r="G228" i="6"/>
  <c r="H228" i="6" s="1"/>
  <c r="F228" i="6"/>
  <c r="G1816" i="6"/>
  <c r="H1816" i="6" s="1"/>
  <c r="G1567" i="6"/>
  <c r="H1567" i="6" s="1"/>
  <c r="F1567" i="6"/>
  <c r="G1566" i="6"/>
  <c r="H1566" i="6" s="1"/>
  <c r="G225" i="6"/>
  <c r="H225" i="6" s="1"/>
  <c r="F225" i="6"/>
  <c r="G224" i="6"/>
  <c r="H224" i="6" s="1"/>
  <c r="F224" i="6"/>
  <c r="F1566" i="6"/>
  <c r="G1273" i="6"/>
  <c r="H1273" i="6" s="1"/>
  <c r="G222" i="6"/>
  <c r="H222" i="6" s="1"/>
  <c r="F222" i="6"/>
  <c r="G221" i="6"/>
  <c r="H221" i="6" s="1"/>
  <c r="F221" i="6"/>
  <c r="G220" i="6"/>
  <c r="H220" i="6" s="1"/>
  <c r="F220" i="6"/>
  <c r="G219" i="6"/>
  <c r="H219" i="6" s="1"/>
  <c r="F219" i="6"/>
  <c r="F1273" i="6"/>
  <c r="G1272" i="6"/>
  <c r="H1272" i="6" s="1"/>
  <c r="F1272" i="6"/>
  <c r="G1271" i="6"/>
  <c r="H1271" i="6" s="1"/>
  <c r="F2217" i="6"/>
  <c r="G2217" i="6"/>
  <c r="H2217" i="6" s="1"/>
  <c r="F1271" i="6"/>
  <c r="G1270" i="6"/>
  <c r="H1270" i="6" s="1"/>
  <c r="G214" i="6"/>
  <c r="H214" i="6" s="1"/>
  <c r="F214" i="6"/>
  <c r="F1270" i="6"/>
  <c r="G1269" i="6"/>
  <c r="H1269" i="6" s="1"/>
  <c r="G212" i="6"/>
  <c r="H212" i="6" s="1"/>
  <c r="F212" i="6"/>
  <c r="G211" i="6"/>
  <c r="H211" i="6" s="1"/>
  <c r="F211" i="6"/>
  <c r="G210" i="6"/>
  <c r="H210" i="6" s="1"/>
  <c r="F210" i="6"/>
  <c r="G209" i="6"/>
  <c r="H209" i="6" s="1"/>
  <c r="F209" i="6"/>
  <c r="G208" i="6"/>
  <c r="H208" i="6" s="1"/>
  <c r="F208" i="6"/>
  <c r="G207" i="6"/>
  <c r="H207" i="6" s="1"/>
  <c r="F207" i="6"/>
  <c r="F2218" i="6"/>
  <c r="G2218" i="6"/>
  <c r="H2218" i="6" s="1"/>
  <c r="G205" i="6"/>
  <c r="H205" i="6" s="1"/>
  <c r="F205" i="6"/>
  <c r="G204" i="6"/>
  <c r="H204" i="6" s="1"/>
  <c r="F204" i="6"/>
  <c r="F2219" i="6"/>
  <c r="G2219" i="6"/>
  <c r="H2219" i="6" s="1"/>
  <c r="F1269" i="6"/>
  <c r="G1268" i="6"/>
  <c r="H1268" i="6" s="1"/>
  <c r="G201" i="6"/>
  <c r="H201" i="6" s="1"/>
  <c r="F201" i="6"/>
  <c r="F1268" i="6"/>
  <c r="G1267" i="6"/>
  <c r="H1267" i="6" s="1"/>
  <c r="F2220" i="6"/>
  <c r="G2220" i="6"/>
  <c r="H2220" i="6" s="1"/>
  <c r="F1267" i="6"/>
  <c r="F1697" i="6"/>
  <c r="G1697" i="6"/>
  <c r="H1697" i="6" s="1"/>
  <c r="G1265" i="6"/>
  <c r="H1265" i="6" s="1"/>
  <c r="F2221" i="6"/>
  <c r="G2221" i="6"/>
  <c r="H2221" i="6" s="1"/>
  <c r="F2222" i="6"/>
  <c r="G2222" i="6"/>
  <c r="H2222" i="6" s="1"/>
  <c r="G194" i="6"/>
  <c r="H194" i="6" s="1"/>
  <c r="F194" i="6"/>
  <c r="G193" i="6"/>
  <c r="H193" i="6" s="1"/>
  <c r="F193" i="6"/>
  <c r="F1265" i="6"/>
  <c r="G1264" i="6"/>
  <c r="H1264" i="6" s="1"/>
  <c r="F1264" i="6"/>
  <c r="F1699" i="6"/>
  <c r="G1699" i="6"/>
  <c r="H1699" i="6" s="1"/>
  <c r="G1262" i="6"/>
  <c r="H1262" i="6" s="1"/>
  <c r="G189" i="6"/>
  <c r="H189" i="6" s="1"/>
  <c r="F189" i="6"/>
  <c r="G188" i="6"/>
  <c r="H188" i="6" s="1"/>
  <c r="F188" i="6"/>
  <c r="F1262" i="6"/>
  <c r="G1261" i="6"/>
  <c r="H1261" i="6" s="1"/>
  <c r="F2223" i="6"/>
  <c r="G2223" i="6"/>
  <c r="H2223" i="6" s="1"/>
  <c r="F2224" i="6"/>
  <c r="G2224" i="6"/>
  <c r="H2224" i="6" s="1"/>
  <c r="G184" i="6"/>
  <c r="H184" i="6" s="1"/>
  <c r="F184" i="6"/>
  <c r="G183" i="6"/>
  <c r="H183" i="6" s="1"/>
  <c r="F183" i="6"/>
  <c r="F1261" i="6"/>
  <c r="F1818" i="6"/>
  <c r="F2225" i="6"/>
  <c r="G2225" i="6"/>
  <c r="H2225" i="6" s="1"/>
  <c r="G180" i="6"/>
  <c r="H180" i="6" s="1"/>
  <c r="F180" i="6"/>
  <c r="G179" i="6"/>
  <c r="H179" i="6" s="1"/>
  <c r="F179" i="6"/>
  <c r="G178" i="6"/>
  <c r="H178" i="6" s="1"/>
  <c r="F178" i="6"/>
  <c r="G177" i="6"/>
  <c r="H177" i="6" s="1"/>
  <c r="F177" i="6"/>
  <c r="F2226" i="6"/>
  <c r="G2226" i="6"/>
  <c r="H2226" i="6" s="1"/>
  <c r="G175" i="6"/>
  <c r="H175" i="6" s="1"/>
  <c r="F175" i="6"/>
  <c r="F2227" i="6"/>
  <c r="G2227" i="6"/>
  <c r="H2227" i="6" s="1"/>
  <c r="G173" i="6"/>
  <c r="H173" i="6" s="1"/>
  <c r="F173" i="6"/>
  <c r="G172" i="6"/>
  <c r="H172" i="6" s="1"/>
  <c r="F172" i="6"/>
  <c r="F2228" i="6"/>
  <c r="G2228" i="6"/>
  <c r="H2228" i="6" s="1"/>
  <c r="G1818" i="6"/>
  <c r="H1818" i="6" s="1"/>
  <c r="G1259" i="6"/>
  <c r="H1259" i="6" s="1"/>
  <c r="G169" i="6"/>
  <c r="H169" i="6" s="1"/>
  <c r="F169" i="6"/>
  <c r="F1259" i="6"/>
  <c r="G1258" i="6"/>
  <c r="H1258" i="6" s="1"/>
  <c r="F1258" i="6"/>
  <c r="F1700" i="6"/>
  <c r="G1700" i="6"/>
  <c r="H1700" i="6" s="1"/>
  <c r="G1256" i="6"/>
  <c r="H1256" i="6" s="1"/>
  <c r="F1256" i="6"/>
  <c r="G1255" i="6"/>
  <c r="H1255" i="6" s="1"/>
  <c r="G164" i="6"/>
  <c r="H164" i="6" s="1"/>
  <c r="F164" i="6"/>
  <c r="F1255" i="6"/>
  <c r="G1562" i="6"/>
  <c r="H1562" i="6" s="1"/>
  <c r="G162" i="6"/>
  <c r="H162" i="6" s="1"/>
  <c r="F162" i="6"/>
  <c r="G161" i="6"/>
  <c r="H161" i="6" s="1"/>
  <c r="F161" i="6"/>
  <c r="F1562" i="6"/>
  <c r="F1819" i="6"/>
  <c r="G159" i="6"/>
  <c r="H159" i="6" s="1"/>
  <c r="F159" i="6"/>
  <c r="F2230" i="6"/>
  <c r="G2230" i="6"/>
  <c r="H2230" i="6" s="1"/>
  <c r="G157" i="6"/>
  <c r="H157" i="6" s="1"/>
  <c r="F157" i="6"/>
  <c r="G156" i="6"/>
  <c r="H156" i="6" s="1"/>
  <c r="F156" i="6"/>
  <c r="F2231" i="6"/>
  <c r="G2231" i="6"/>
  <c r="H2231" i="6" s="1"/>
  <c r="G1819" i="6"/>
  <c r="H1819" i="6" s="1"/>
  <c r="G1252" i="6"/>
  <c r="H1252" i="6" s="1"/>
  <c r="G153" i="6"/>
  <c r="H153" i="6" s="1"/>
  <c r="F153" i="6"/>
  <c r="G152" i="6"/>
  <c r="H152" i="6" s="1"/>
  <c r="F152" i="6"/>
  <c r="F2233" i="6"/>
  <c r="G2233" i="6"/>
  <c r="H2233" i="6" s="1"/>
  <c r="G150" i="6"/>
  <c r="H150" i="6" s="1"/>
  <c r="F150" i="6"/>
  <c r="G149" i="6"/>
  <c r="H149" i="6" s="1"/>
  <c r="F149" i="6"/>
  <c r="G148" i="6"/>
  <c r="H148" i="6" s="1"/>
  <c r="F148" i="6"/>
  <c r="G147" i="6"/>
  <c r="H147" i="6" s="1"/>
  <c r="F147" i="6"/>
  <c r="F1252" i="6"/>
  <c r="G1251" i="6"/>
  <c r="H1251" i="6" s="1"/>
  <c r="G145" i="6"/>
  <c r="H145" i="6" s="1"/>
  <c r="F145" i="6"/>
  <c r="F1251" i="6"/>
  <c r="G1250" i="6"/>
  <c r="H1250" i="6" s="1"/>
  <c r="F1250" i="6"/>
  <c r="G1249" i="6"/>
  <c r="H1249" i="6" s="1"/>
  <c r="F2235" i="6"/>
  <c r="G2235" i="6"/>
  <c r="H2235" i="6" s="1"/>
  <c r="G141" i="6"/>
  <c r="H141" i="6" s="1"/>
  <c r="F141" i="6"/>
  <c r="G140" i="6"/>
  <c r="H140" i="6" s="1"/>
  <c r="F140" i="6"/>
  <c r="F2236" i="6"/>
  <c r="G2236" i="6"/>
  <c r="H2236" i="6" s="1"/>
  <c r="F1249" i="6"/>
  <c r="F1824" i="6"/>
  <c r="F2237" i="6"/>
  <c r="G2237" i="6"/>
  <c r="H2237" i="6" s="1"/>
  <c r="F2238" i="6"/>
  <c r="G2238" i="6"/>
  <c r="H2238" i="6" s="1"/>
  <c r="G135" i="6"/>
  <c r="H135" i="6" s="1"/>
  <c r="F135" i="6"/>
  <c r="F2239" i="6"/>
  <c r="G2239" i="6"/>
  <c r="H2239" i="6" s="1"/>
  <c r="G1824" i="6"/>
  <c r="H1824" i="6" s="1"/>
  <c r="F1701" i="6"/>
  <c r="G132" i="6"/>
  <c r="H132" i="6" s="1"/>
  <c r="F132" i="6"/>
  <c r="G131" i="6"/>
  <c r="H131" i="6" s="1"/>
  <c r="F131" i="6"/>
  <c r="G1701" i="6"/>
  <c r="H1701" i="6" s="1"/>
  <c r="G1560" i="6"/>
  <c r="H1560" i="6" s="1"/>
  <c r="F2241" i="6"/>
  <c r="G2241" i="6"/>
  <c r="H2241" i="6" s="1"/>
  <c r="F1560" i="6"/>
  <c r="F1825" i="6"/>
  <c r="G1825" i="6"/>
  <c r="H1825" i="6" s="1"/>
  <c r="G1244" i="6"/>
  <c r="H1244" i="6" s="1"/>
  <c r="F2242" i="6"/>
  <c r="G2242" i="6"/>
  <c r="H2242" i="6" s="1"/>
  <c r="G125" i="6"/>
  <c r="H125" i="6" s="1"/>
  <c r="F125" i="6"/>
  <c r="G124" i="6"/>
  <c r="H124" i="6" s="1"/>
  <c r="F124" i="6"/>
  <c r="G123" i="6"/>
  <c r="H123" i="6" s="1"/>
  <c r="F123" i="6"/>
  <c r="G122" i="6"/>
  <c r="H122" i="6" s="1"/>
  <c r="F122" i="6"/>
  <c r="G121" i="6"/>
  <c r="H121" i="6" s="1"/>
  <c r="F121" i="6"/>
  <c r="G120" i="6"/>
  <c r="H120" i="6" s="1"/>
  <c r="F120" i="6"/>
  <c r="G119" i="6"/>
  <c r="H119" i="6" s="1"/>
  <c r="F119" i="6"/>
  <c r="G118" i="6"/>
  <c r="H118" i="6" s="1"/>
  <c r="F118" i="6"/>
  <c r="G117" i="6"/>
  <c r="H117" i="6" s="1"/>
  <c r="F117" i="6"/>
  <c r="G116" i="6"/>
  <c r="H116" i="6" s="1"/>
  <c r="F116" i="6"/>
  <c r="G115" i="6"/>
  <c r="H115" i="6" s="1"/>
  <c r="F115" i="6"/>
  <c r="F1244" i="6"/>
  <c r="F1702" i="6"/>
  <c r="G113" i="6"/>
  <c r="H113" i="6" s="1"/>
  <c r="F113" i="6"/>
  <c r="G112" i="6"/>
  <c r="H112" i="6" s="1"/>
  <c r="F112" i="6"/>
  <c r="F2244" i="6"/>
  <c r="G2244" i="6"/>
  <c r="H2244" i="6" s="1"/>
  <c r="F2245" i="6"/>
  <c r="G2245" i="6"/>
  <c r="H2245" i="6" s="1"/>
  <c r="F2246" i="6"/>
  <c r="G2246" i="6"/>
  <c r="H2246" i="6" s="1"/>
  <c r="F2248" i="6"/>
  <c r="G2248" i="6"/>
  <c r="H2248" i="6" s="1"/>
  <c r="G107" i="6"/>
  <c r="H107" i="6" s="1"/>
  <c r="F107" i="6"/>
  <c r="F2250" i="6"/>
  <c r="G2250" i="6"/>
  <c r="H2250" i="6" s="1"/>
  <c r="G1702" i="6"/>
  <c r="H1702" i="6" s="1"/>
  <c r="G1558" i="6"/>
  <c r="H1558" i="6" s="1"/>
  <c r="F1558" i="6"/>
  <c r="F1828" i="6"/>
  <c r="G103" i="6"/>
  <c r="H103" i="6" s="1"/>
  <c r="F103" i="6"/>
  <c r="F2251" i="6"/>
  <c r="G2251" i="6"/>
  <c r="H2251" i="6" s="1"/>
  <c r="G101" i="6"/>
  <c r="H101" i="6" s="1"/>
  <c r="F101" i="6"/>
  <c r="F2256" i="6"/>
  <c r="G2256" i="6"/>
  <c r="H2256" i="6" s="1"/>
  <c r="F2257" i="6"/>
  <c r="G2257" i="6"/>
  <c r="H2257" i="6" s="1"/>
  <c r="G98" i="6"/>
  <c r="H98" i="6" s="1"/>
  <c r="F98" i="6"/>
  <c r="G1828" i="6"/>
  <c r="H1828" i="6" s="1"/>
  <c r="F1829" i="6"/>
  <c r="G1829" i="6"/>
  <c r="H1829" i="6" s="1"/>
  <c r="F1703" i="6"/>
  <c r="G1703" i="6"/>
  <c r="H1703" i="6" s="1"/>
  <c r="G1238" i="6"/>
  <c r="H1238" i="6" s="1"/>
  <c r="F2258" i="6"/>
  <c r="G2258" i="6"/>
  <c r="H2258" i="6" s="1"/>
  <c r="F2259" i="6"/>
  <c r="G2259" i="6"/>
  <c r="H2259" i="6" s="1"/>
  <c r="F2260" i="6"/>
  <c r="G2260" i="6"/>
  <c r="H2260" i="6" s="1"/>
  <c r="G91" i="6"/>
  <c r="H91" i="6" s="1"/>
  <c r="F91" i="6"/>
  <c r="G90" i="6"/>
  <c r="H90" i="6" s="1"/>
  <c r="F90" i="6"/>
  <c r="G89" i="6"/>
  <c r="H89" i="6" s="1"/>
  <c r="F89" i="6"/>
  <c r="G88" i="6"/>
  <c r="H88" i="6" s="1"/>
  <c r="F88" i="6"/>
  <c r="F2261" i="6"/>
  <c r="G2261" i="6"/>
  <c r="H2261" i="6" s="1"/>
  <c r="G86" i="6"/>
  <c r="H86" i="6" s="1"/>
  <c r="F86" i="6"/>
  <c r="G85" i="6"/>
  <c r="H85" i="6" s="1"/>
  <c r="F85" i="6"/>
  <c r="F1238" i="6"/>
  <c r="G1556" i="6"/>
  <c r="H1556" i="6" s="1"/>
  <c r="G83" i="6"/>
  <c r="H83" i="6" s="1"/>
  <c r="F83" i="6"/>
  <c r="G82" i="6"/>
  <c r="H82" i="6" s="1"/>
  <c r="F82" i="6"/>
  <c r="G81" i="6"/>
  <c r="H81" i="6" s="1"/>
  <c r="F81" i="6"/>
  <c r="G80" i="6"/>
  <c r="H80" i="6" s="1"/>
  <c r="F80" i="6"/>
  <c r="F1556" i="6"/>
  <c r="G1236" i="6"/>
  <c r="H1236" i="6" s="1"/>
  <c r="F1236" i="6"/>
  <c r="G1235" i="6"/>
  <c r="H1235" i="6" s="1"/>
  <c r="F2262" i="6"/>
  <c r="G2262" i="6"/>
  <c r="H2262" i="6" s="1"/>
  <c r="F1235" i="6"/>
  <c r="G1234" i="6"/>
  <c r="H1234" i="6" s="1"/>
  <c r="F2266" i="6"/>
  <c r="G2266" i="6"/>
  <c r="H2266" i="6" s="1"/>
  <c r="G74" i="6"/>
  <c r="H74" i="6" s="1"/>
  <c r="F74" i="6"/>
  <c r="G73" i="6"/>
  <c r="H73" i="6" s="1"/>
  <c r="F73" i="6"/>
  <c r="G72" i="6"/>
  <c r="H72" i="6" s="1"/>
  <c r="F72" i="6"/>
  <c r="F1234" i="6"/>
  <c r="F1831" i="6"/>
  <c r="G70" i="6"/>
  <c r="H70" i="6" s="1"/>
  <c r="F70" i="6"/>
  <c r="G69" i="6"/>
  <c r="H69" i="6" s="1"/>
  <c r="F69" i="6"/>
  <c r="F2267" i="6"/>
  <c r="G2267" i="6"/>
  <c r="H2267" i="6" s="1"/>
  <c r="G67" i="6"/>
  <c r="H67" i="6" s="1"/>
  <c r="F67" i="6"/>
  <c r="G66" i="6"/>
  <c r="H66" i="6" s="1"/>
  <c r="F66" i="6"/>
  <c r="G65" i="6"/>
  <c r="H65" i="6" s="1"/>
  <c r="F65" i="6"/>
  <c r="G64" i="6"/>
  <c r="H64" i="6" s="1"/>
  <c r="F64" i="6"/>
  <c r="G63" i="6"/>
  <c r="H63" i="6" s="1"/>
  <c r="F63" i="6"/>
  <c r="G62" i="6"/>
  <c r="H62" i="6" s="1"/>
  <c r="F62" i="6"/>
  <c r="G61" i="6"/>
  <c r="H61" i="6" s="1"/>
  <c r="F61" i="6"/>
  <c r="G60" i="6"/>
  <c r="H60" i="6" s="1"/>
  <c r="F60" i="6"/>
  <c r="F2269" i="6"/>
  <c r="G2269" i="6"/>
  <c r="H2269" i="6" s="1"/>
  <c r="F2271" i="6"/>
  <c r="G2271" i="6"/>
  <c r="H2271" i="6" s="1"/>
  <c r="G57" i="6"/>
  <c r="H57" i="6" s="1"/>
  <c r="F57" i="6"/>
  <c r="G56" i="6"/>
  <c r="H56" i="6" s="1"/>
  <c r="F56" i="6"/>
  <c r="G1831" i="6"/>
  <c r="H1831" i="6" s="1"/>
  <c r="G1232" i="6"/>
  <c r="H1232" i="6" s="1"/>
  <c r="F2272" i="6"/>
  <c r="G2272" i="6"/>
  <c r="H2272" i="6" s="1"/>
  <c r="F1232" i="6"/>
  <c r="F1833" i="6"/>
  <c r="G52" i="6"/>
  <c r="H52" i="6" s="1"/>
  <c r="F52" i="6"/>
  <c r="G51" i="6"/>
  <c r="H51" i="6" s="1"/>
  <c r="F51" i="6"/>
  <c r="G50" i="6"/>
  <c r="H50" i="6" s="1"/>
  <c r="F50" i="6"/>
  <c r="G49" i="6"/>
  <c r="H49" i="6" s="1"/>
  <c r="F49" i="6"/>
  <c r="G48" i="6"/>
  <c r="H48" i="6" s="1"/>
  <c r="F48" i="6"/>
  <c r="F2273" i="6"/>
  <c r="G2273" i="6"/>
  <c r="H2273" i="6" s="1"/>
  <c r="G1833" i="6"/>
  <c r="H1833" i="6" s="1"/>
  <c r="G1230" i="6"/>
  <c r="H1230" i="6" s="1"/>
  <c r="F2275" i="6"/>
  <c r="G2275" i="6"/>
  <c r="H2275" i="6" s="1"/>
  <c r="G44" i="6"/>
  <c r="H44" i="6" s="1"/>
  <c r="F44" i="6"/>
  <c r="G43" i="6"/>
  <c r="H43" i="6" s="1"/>
  <c r="F43" i="6"/>
  <c r="F1230" i="6"/>
  <c r="G1555" i="6"/>
  <c r="H1555" i="6" s="1"/>
  <c r="G41" i="6"/>
  <c r="H41" i="6" s="1"/>
  <c r="F41" i="6"/>
  <c r="G40" i="6"/>
  <c r="H40" i="6" s="1"/>
  <c r="F40" i="6"/>
  <c r="F1555" i="6"/>
  <c r="G1642" i="6"/>
  <c r="H1642" i="6" s="1"/>
  <c r="G38" i="6"/>
  <c r="H38" i="6" s="1"/>
  <c r="F38" i="6"/>
  <c r="F2277" i="6"/>
  <c r="G2277" i="6"/>
  <c r="H2277" i="6" s="1"/>
  <c r="F2278" i="6"/>
  <c r="G2278" i="6"/>
  <c r="H2278" i="6" s="1"/>
  <c r="G35" i="6"/>
  <c r="H35" i="6" s="1"/>
  <c r="F35" i="6"/>
  <c r="G34" i="6"/>
  <c r="H34" i="6" s="1"/>
  <c r="F34" i="6"/>
  <c r="F2279" i="6"/>
  <c r="G2279" i="6"/>
  <c r="H2279" i="6" s="1"/>
  <c r="G440" i="6"/>
  <c r="H440" i="6" s="1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D16" i="3"/>
  <c r="D17" i="3"/>
  <c r="D19" i="3"/>
  <c r="D20" i="3"/>
  <c r="D21" i="3"/>
  <c r="D22" i="3"/>
  <c r="D23" i="3"/>
  <c r="D24" i="3"/>
  <c r="D25" i="3"/>
  <c r="D18" i="3"/>
  <c r="D7" i="3"/>
  <c r="D15" i="3"/>
  <c r="D9" i="3"/>
  <c r="D10" i="3"/>
  <c r="D11" i="3"/>
  <c r="D12" i="3"/>
  <c r="D13" i="3"/>
  <c r="D14" i="3"/>
  <c r="D26" i="3"/>
  <c r="D27" i="3"/>
  <c r="D28" i="3"/>
  <c r="D29" i="3"/>
  <c r="D30" i="3"/>
  <c r="D3" i="3"/>
  <c r="D2" i="3"/>
  <c r="D31" i="3"/>
  <c r="D8" i="3"/>
  <c r="D6" i="3"/>
  <c r="D5" i="3"/>
  <c r="D4" i="3"/>
  <c r="G12" i="6"/>
  <c r="H12" i="6" s="1"/>
  <c r="F2" i="6"/>
  <c r="G24" i="6"/>
  <c r="H24" i="6" s="1"/>
  <c r="F18" i="6"/>
  <c r="F12" i="6"/>
  <c r="F24" i="6"/>
  <c r="G2" i="6"/>
  <c r="H2" i="6" s="1"/>
  <c r="G18" i="6"/>
  <c r="H18" i="6" s="1"/>
  <c r="G23" i="6"/>
  <c r="H23" i="6" s="1"/>
  <c r="F23" i="6"/>
  <c r="F11" i="6"/>
  <c r="G28" i="6"/>
  <c r="H28" i="6" s="1"/>
  <c r="G8" i="6"/>
  <c r="H8" i="6" s="1"/>
  <c r="F8" i="6"/>
  <c r="F28" i="6"/>
  <c r="G20" i="6"/>
  <c r="H20" i="6" s="1"/>
  <c r="F20" i="6"/>
  <c r="F7" i="6"/>
  <c r="F4" i="6"/>
  <c r="G3" i="6"/>
  <c r="H3" i="6" s="1"/>
  <c r="F13" i="6"/>
  <c r="F3" i="6"/>
  <c r="G5" i="6"/>
  <c r="H5" i="6" s="1"/>
  <c r="F5" i="6"/>
  <c r="G7" i="6"/>
  <c r="H7" i="6" s="1"/>
  <c r="G15" i="6"/>
  <c r="H15" i="6" s="1"/>
  <c r="F15" i="6"/>
  <c r="G14" i="6"/>
  <c r="H14" i="6" s="1"/>
  <c r="F14" i="6"/>
  <c r="G25" i="6"/>
  <c r="H25" i="6" s="1"/>
  <c r="F25" i="6"/>
  <c r="G13" i="6"/>
  <c r="H13" i="6" s="1"/>
  <c r="F32" i="6"/>
  <c r="G11" i="6"/>
  <c r="H11" i="6" s="1"/>
  <c r="G4" i="6"/>
  <c r="H4" i="6" s="1"/>
  <c r="G27" i="6"/>
  <c r="H27" i="6" s="1"/>
  <c r="F27" i="6"/>
  <c r="F26" i="6"/>
  <c r="G22" i="6"/>
  <c r="H22" i="6" s="1"/>
  <c r="F22" i="6"/>
  <c r="G21" i="6"/>
  <c r="H21" i="6" s="1"/>
  <c r="F21" i="6"/>
  <c r="G19" i="6"/>
  <c r="H19" i="6" s="1"/>
  <c r="F19" i="6"/>
  <c r="G17" i="6"/>
  <c r="H17" i="6" s="1"/>
  <c r="F17" i="6"/>
  <c r="G16" i="6"/>
  <c r="H16" i="6" s="1"/>
  <c r="F16" i="6"/>
  <c r="G10" i="6"/>
  <c r="H10" i="6" s="1"/>
  <c r="F10" i="6"/>
  <c r="G9" i="6"/>
  <c r="H9" i="6" s="1"/>
  <c r="F9" i="6"/>
  <c r="G6" i="6"/>
  <c r="H6" i="6" s="1"/>
  <c r="F6" i="6"/>
  <c r="G26" i="6"/>
  <c r="H26" i="6" s="1"/>
  <c r="G31" i="6"/>
  <c r="H31" i="6" s="1"/>
  <c r="F31" i="6"/>
  <c r="G30" i="6"/>
  <c r="H30" i="6" s="1"/>
  <c r="F30" i="6"/>
  <c r="G29" i="6"/>
  <c r="H29" i="6" s="1"/>
  <c r="F29" i="6"/>
  <c r="O3604" i="5"/>
  <c r="O3365" i="5"/>
  <c r="D99" i="1"/>
  <c r="D100" i="1"/>
  <c r="D101" i="1"/>
  <c r="D102" i="1"/>
  <c r="D103" i="1"/>
  <c r="D104" i="1"/>
  <c r="D105" i="1"/>
  <c r="D106" i="1"/>
  <c r="D107" i="1"/>
  <c r="D98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I5500" i="6"/>
  <c r="K5500" i="6"/>
  <c r="L5500" i="6" s="1"/>
  <c r="I5499" i="6"/>
  <c r="K5499" i="6"/>
  <c r="L5499" i="6" s="1"/>
  <c r="I5498" i="6"/>
  <c r="K5498" i="6"/>
  <c r="L5498" i="6" s="1"/>
  <c r="I5497" i="6"/>
  <c r="K5497" i="6"/>
  <c r="L5497" i="6" s="1"/>
  <c r="I5496" i="6"/>
  <c r="K5496" i="6"/>
  <c r="L5496" i="6" s="1"/>
  <c r="I5495" i="6"/>
  <c r="K5495" i="6"/>
  <c r="L5495" i="6" s="1"/>
  <c r="I5494" i="6"/>
  <c r="K5494" i="6"/>
  <c r="L5494" i="6" s="1"/>
  <c r="I5493" i="6"/>
  <c r="K5493" i="6"/>
  <c r="L5493" i="6" s="1"/>
  <c r="I5492" i="6"/>
  <c r="K5492" i="6"/>
  <c r="L5492" i="6" s="1"/>
  <c r="I5491" i="6"/>
  <c r="K5491" i="6"/>
  <c r="L5491" i="6" s="1"/>
  <c r="I5490" i="6"/>
  <c r="K5490" i="6"/>
  <c r="L5490" i="6" s="1"/>
  <c r="I5489" i="6"/>
  <c r="K5489" i="6"/>
  <c r="L5489" i="6" s="1"/>
  <c r="I5488" i="6"/>
  <c r="K5488" i="6"/>
  <c r="L5488" i="6" s="1"/>
  <c r="I5487" i="6"/>
  <c r="K5487" i="6"/>
  <c r="L5487" i="6" s="1"/>
  <c r="I5486" i="6"/>
  <c r="K5486" i="6"/>
  <c r="L5486" i="6" s="1"/>
  <c r="I5485" i="6"/>
  <c r="K5485" i="6"/>
  <c r="L5485" i="6" s="1"/>
  <c r="I5484" i="6"/>
  <c r="K5484" i="6"/>
  <c r="L5484" i="6" s="1"/>
  <c r="I5483" i="6"/>
  <c r="K5483" i="6"/>
  <c r="L5483" i="6" s="1"/>
  <c r="I5482" i="6"/>
  <c r="K5482" i="6"/>
  <c r="L5482" i="6" s="1"/>
  <c r="I5481" i="6"/>
  <c r="K5481" i="6"/>
  <c r="L5481" i="6" s="1"/>
  <c r="I5480" i="6"/>
  <c r="K5480" i="6"/>
  <c r="L5480" i="6" s="1"/>
  <c r="I5479" i="6"/>
  <c r="K5479" i="6"/>
  <c r="L5479" i="6" s="1"/>
  <c r="I5478" i="6"/>
  <c r="K5478" i="6"/>
  <c r="L5478" i="6" s="1"/>
  <c r="I5477" i="6"/>
  <c r="K5477" i="6"/>
  <c r="L5477" i="6" s="1"/>
  <c r="I5476" i="6"/>
  <c r="K5476" i="6"/>
  <c r="L5476" i="6" s="1"/>
  <c r="I5475" i="6"/>
  <c r="K5475" i="6"/>
  <c r="L5475" i="6" s="1"/>
  <c r="I5474" i="6"/>
  <c r="K5474" i="6"/>
  <c r="L5474" i="6" s="1"/>
  <c r="I5473" i="6"/>
  <c r="K5473" i="6"/>
  <c r="L5473" i="6" s="1"/>
  <c r="I5472" i="6"/>
  <c r="K5472" i="6"/>
  <c r="L5472" i="6" s="1"/>
  <c r="I5471" i="6"/>
  <c r="K5471" i="6"/>
  <c r="L5471" i="6" s="1"/>
  <c r="I5470" i="6"/>
  <c r="K5470" i="6"/>
  <c r="L5470" i="6" s="1"/>
  <c r="I5469" i="6"/>
  <c r="K5469" i="6"/>
  <c r="L5469" i="6" s="1"/>
  <c r="I5468" i="6"/>
  <c r="K5468" i="6"/>
  <c r="L5468" i="6" s="1"/>
  <c r="I5467" i="6"/>
  <c r="K5467" i="6"/>
  <c r="L5467" i="6" s="1"/>
  <c r="I5466" i="6"/>
  <c r="K5466" i="6"/>
  <c r="L5466" i="6" s="1"/>
  <c r="I5465" i="6"/>
  <c r="K5465" i="6"/>
  <c r="L5465" i="6" s="1"/>
  <c r="I5464" i="6"/>
  <c r="K5464" i="6"/>
  <c r="L5464" i="6" s="1"/>
  <c r="I5463" i="6"/>
  <c r="K5463" i="6"/>
  <c r="L5463" i="6" s="1"/>
  <c r="I5462" i="6"/>
  <c r="K5462" i="6"/>
  <c r="L5462" i="6" s="1"/>
  <c r="I5461" i="6"/>
  <c r="K5461" i="6"/>
  <c r="L5461" i="6" s="1"/>
  <c r="I5460" i="6"/>
  <c r="K5460" i="6"/>
  <c r="L5460" i="6" s="1"/>
  <c r="I5459" i="6"/>
  <c r="K5459" i="6"/>
  <c r="L5459" i="6" s="1"/>
  <c r="I5458" i="6"/>
  <c r="K5458" i="6"/>
  <c r="L5458" i="6" s="1"/>
  <c r="I5457" i="6"/>
  <c r="K5457" i="6"/>
  <c r="L5457" i="6" s="1"/>
  <c r="I5456" i="6"/>
  <c r="K5456" i="6"/>
  <c r="L5456" i="6"/>
  <c r="I5455" i="6"/>
  <c r="K5455" i="6"/>
  <c r="L5455" i="6" s="1"/>
  <c r="I5454" i="6"/>
  <c r="K5454" i="6"/>
  <c r="L5454" i="6" s="1"/>
  <c r="I5453" i="6"/>
  <c r="K5453" i="6"/>
  <c r="L5453" i="6" s="1"/>
  <c r="I5452" i="6"/>
  <c r="K5452" i="6"/>
  <c r="L5452" i="6" s="1"/>
  <c r="I5451" i="6"/>
  <c r="K5451" i="6"/>
  <c r="L5451" i="6" s="1"/>
  <c r="I5450" i="6"/>
  <c r="K5450" i="6"/>
  <c r="L5450" i="6" s="1"/>
  <c r="K5449" i="6"/>
  <c r="L5449" i="6" s="1"/>
  <c r="I5449" i="6"/>
  <c r="I5448" i="6"/>
  <c r="K5448" i="6"/>
  <c r="L5448" i="6" s="1"/>
  <c r="I5447" i="6"/>
  <c r="K5447" i="6"/>
  <c r="L5447" i="6" s="1"/>
  <c r="I5446" i="6"/>
  <c r="K5446" i="6"/>
  <c r="L5446" i="6" s="1"/>
  <c r="I5445" i="6"/>
  <c r="K5445" i="6"/>
  <c r="L5445" i="6" s="1"/>
  <c r="I5444" i="6"/>
  <c r="K5444" i="6"/>
  <c r="L5444" i="6" s="1"/>
  <c r="I5443" i="6"/>
  <c r="K5443" i="6"/>
  <c r="L5443" i="6" s="1"/>
  <c r="I5442" i="6"/>
  <c r="K5442" i="6"/>
  <c r="L5442" i="6" s="1"/>
  <c r="I5441" i="6"/>
  <c r="K5441" i="6"/>
  <c r="L5441" i="6" s="1"/>
  <c r="I5440" i="6"/>
  <c r="K5440" i="6"/>
  <c r="L5440" i="6" s="1"/>
  <c r="I5439" i="6"/>
  <c r="K5439" i="6"/>
  <c r="L5439" i="6" s="1"/>
  <c r="I5438" i="6"/>
  <c r="K5438" i="6"/>
  <c r="L5438" i="6" s="1"/>
  <c r="I5437" i="6"/>
  <c r="K5437" i="6"/>
  <c r="L5437" i="6" s="1"/>
  <c r="I5436" i="6"/>
  <c r="K5436" i="6"/>
  <c r="L5436" i="6" s="1"/>
  <c r="I5435" i="6"/>
  <c r="K5435" i="6"/>
  <c r="L5435" i="6" s="1"/>
  <c r="I5434" i="6"/>
  <c r="K5434" i="6"/>
  <c r="L5434" i="6" s="1"/>
  <c r="I5433" i="6"/>
  <c r="K5433" i="6"/>
  <c r="L5433" i="6" s="1"/>
  <c r="I5432" i="6"/>
  <c r="K5432" i="6"/>
  <c r="L5432" i="6" s="1"/>
  <c r="I5431" i="6"/>
  <c r="K5431" i="6"/>
  <c r="L5431" i="6" s="1"/>
  <c r="I5430" i="6"/>
  <c r="K5430" i="6"/>
  <c r="L5430" i="6" s="1"/>
  <c r="I5429" i="6"/>
  <c r="K5429" i="6"/>
  <c r="L5429" i="6" s="1"/>
  <c r="I5428" i="6"/>
  <c r="K5428" i="6"/>
  <c r="L5428" i="6" s="1"/>
  <c r="I5427" i="6"/>
  <c r="K5427" i="6"/>
  <c r="L5427" i="6" s="1"/>
  <c r="I5426" i="6"/>
  <c r="K5426" i="6"/>
  <c r="L5426" i="6" s="1"/>
  <c r="I5425" i="6"/>
  <c r="K5425" i="6"/>
  <c r="L5425" i="6" s="1"/>
  <c r="I5424" i="6"/>
  <c r="K5424" i="6"/>
  <c r="L5424" i="6" s="1"/>
  <c r="I5423" i="6"/>
  <c r="K5423" i="6"/>
  <c r="L5423" i="6" s="1"/>
  <c r="I5422" i="6"/>
  <c r="K5422" i="6"/>
  <c r="L5422" i="6" s="1"/>
  <c r="I5421" i="6"/>
  <c r="K5421" i="6"/>
  <c r="L5421" i="6" s="1"/>
  <c r="I5420" i="6"/>
  <c r="K5420" i="6"/>
  <c r="L5420" i="6" s="1"/>
  <c r="I5419" i="6"/>
  <c r="K5419" i="6"/>
  <c r="L5419" i="6" s="1"/>
  <c r="I5418" i="6"/>
  <c r="K5418" i="6"/>
  <c r="L5418" i="6" s="1"/>
  <c r="I5417" i="6"/>
  <c r="K5417" i="6"/>
  <c r="L5417" i="6" s="1"/>
  <c r="I5416" i="6"/>
  <c r="K5416" i="6"/>
  <c r="L5416" i="6" s="1"/>
  <c r="I5415" i="6"/>
  <c r="K5415" i="6"/>
  <c r="L5415" i="6" s="1"/>
  <c r="I5414" i="6"/>
  <c r="K5414" i="6"/>
  <c r="L5414" i="6" s="1"/>
  <c r="I5413" i="6"/>
  <c r="K5413" i="6"/>
  <c r="L5413" i="6" s="1"/>
  <c r="I5412" i="6"/>
  <c r="K5412" i="6"/>
  <c r="L5412" i="6" s="1"/>
  <c r="I5411" i="6"/>
  <c r="K5411" i="6"/>
  <c r="L5411" i="6" s="1"/>
  <c r="I5410" i="6"/>
  <c r="K5410" i="6"/>
  <c r="L5410" i="6" s="1"/>
  <c r="I5409" i="6"/>
  <c r="K5409" i="6"/>
  <c r="L5409" i="6" s="1"/>
  <c r="I5408" i="6"/>
  <c r="K5408" i="6"/>
  <c r="L5408" i="6" s="1"/>
  <c r="I5407" i="6"/>
  <c r="K5407" i="6"/>
  <c r="L5407" i="6" s="1"/>
  <c r="I5406" i="6"/>
  <c r="K5406" i="6"/>
  <c r="L5406" i="6" s="1"/>
  <c r="K5405" i="6"/>
  <c r="L5405" i="6" s="1"/>
  <c r="I5405" i="6"/>
  <c r="I5404" i="6"/>
  <c r="K5404" i="6"/>
  <c r="L5404" i="6" s="1"/>
  <c r="I5403" i="6"/>
  <c r="K5403" i="6"/>
  <c r="L5403" i="6" s="1"/>
  <c r="I5402" i="6"/>
  <c r="K5402" i="6"/>
  <c r="L5402" i="6" s="1"/>
  <c r="I5401" i="6"/>
  <c r="K5401" i="6"/>
  <c r="L5401" i="6" s="1"/>
  <c r="I5400" i="6"/>
  <c r="K5400" i="6"/>
  <c r="L5400" i="6" s="1"/>
  <c r="I5399" i="6"/>
  <c r="K5399" i="6"/>
  <c r="L5399" i="6" s="1"/>
  <c r="I5398" i="6"/>
  <c r="K5398" i="6"/>
  <c r="L5398" i="6" s="1"/>
  <c r="I5397" i="6"/>
  <c r="K5397" i="6"/>
  <c r="L5397" i="6" s="1"/>
  <c r="I5396" i="6"/>
  <c r="K5396" i="6"/>
  <c r="L5396" i="6" s="1"/>
  <c r="I5395" i="6"/>
  <c r="K5395" i="6"/>
  <c r="L5395" i="6" s="1"/>
  <c r="I5394" i="6"/>
  <c r="K5394" i="6"/>
  <c r="L5394" i="6" s="1"/>
  <c r="I5393" i="6"/>
  <c r="K5393" i="6"/>
  <c r="L5393" i="6" s="1"/>
  <c r="I5392" i="6"/>
  <c r="K5392" i="6"/>
  <c r="L5392" i="6" s="1"/>
  <c r="I5391" i="6"/>
  <c r="K5391" i="6"/>
  <c r="L5391" i="6" s="1"/>
  <c r="I5390" i="6"/>
  <c r="K5390" i="6"/>
  <c r="L5390" i="6" s="1"/>
  <c r="I5389" i="6"/>
  <c r="K5389" i="6"/>
  <c r="L5389" i="6" s="1"/>
  <c r="I5388" i="6"/>
  <c r="K5388" i="6"/>
  <c r="L5388" i="6" s="1"/>
  <c r="I5387" i="6"/>
  <c r="K5387" i="6"/>
  <c r="L5387" i="6" s="1"/>
  <c r="I5386" i="6"/>
  <c r="K5386" i="6"/>
  <c r="L5386" i="6" s="1"/>
  <c r="I5385" i="6"/>
  <c r="K5385" i="6"/>
  <c r="L5385" i="6" s="1"/>
  <c r="I5384" i="6"/>
  <c r="K5384" i="6"/>
  <c r="L5384" i="6" s="1"/>
  <c r="I5383" i="6"/>
  <c r="K5383" i="6"/>
  <c r="L5383" i="6" s="1"/>
  <c r="I5382" i="6"/>
  <c r="K5382" i="6"/>
  <c r="L5382" i="6" s="1"/>
  <c r="I5381" i="6"/>
  <c r="K5381" i="6"/>
  <c r="L5381" i="6" s="1"/>
  <c r="I5380" i="6"/>
  <c r="K5380" i="6"/>
  <c r="L5380" i="6" s="1"/>
  <c r="I5379" i="6"/>
  <c r="K5379" i="6"/>
  <c r="L5379" i="6" s="1"/>
  <c r="I5378" i="6"/>
  <c r="K5378" i="6"/>
  <c r="L5378" i="6" s="1"/>
  <c r="I5377" i="6"/>
  <c r="K5377" i="6"/>
  <c r="L5377" i="6" s="1"/>
  <c r="I5376" i="6"/>
  <c r="K5376" i="6"/>
  <c r="L5376" i="6" s="1"/>
  <c r="I5375" i="6"/>
  <c r="K5375" i="6"/>
  <c r="L5375" i="6" s="1"/>
  <c r="I5374" i="6"/>
  <c r="K5374" i="6"/>
  <c r="L5374" i="6" s="1"/>
  <c r="I5373" i="6"/>
  <c r="K5373" i="6"/>
  <c r="L5373" i="6" s="1"/>
  <c r="I5372" i="6"/>
  <c r="K5372" i="6"/>
  <c r="L5372" i="6" s="1"/>
  <c r="I5371" i="6"/>
  <c r="K5371" i="6"/>
  <c r="L5371" i="6" s="1"/>
  <c r="I5370" i="6"/>
  <c r="K5370" i="6"/>
  <c r="L5370" i="6" s="1"/>
  <c r="I5369" i="6"/>
  <c r="K5369" i="6"/>
  <c r="L5369" i="6" s="1"/>
  <c r="I5368" i="6"/>
  <c r="K5368" i="6"/>
  <c r="L5368" i="6" s="1"/>
  <c r="I5367" i="6"/>
  <c r="K5367" i="6"/>
  <c r="L5367" i="6" s="1"/>
  <c r="I5366" i="6"/>
  <c r="K5366" i="6"/>
  <c r="L5366" i="6" s="1"/>
  <c r="I5365" i="6"/>
  <c r="K5365" i="6"/>
  <c r="L5365" i="6" s="1"/>
  <c r="I5364" i="6"/>
  <c r="K5364" i="6"/>
  <c r="L5364" i="6" s="1"/>
  <c r="I5363" i="6"/>
  <c r="K5363" i="6"/>
  <c r="L5363" i="6" s="1"/>
  <c r="I5362" i="6"/>
  <c r="K5362" i="6"/>
  <c r="L5362" i="6" s="1"/>
  <c r="I5361" i="6"/>
  <c r="K5361" i="6"/>
  <c r="L5361" i="6" s="1"/>
  <c r="I5360" i="6"/>
  <c r="K5360" i="6"/>
  <c r="L5360" i="6" s="1"/>
  <c r="I5359" i="6"/>
  <c r="K5359" i="6"/>
  <c r="L5359" i="6" s="1"/>
  <c r="I5358" i="6"/>
  <c r="K5358" i="6"/>
  <c r="L5358" i="6" s="1"/>
  <c r="I5357" i="6"/>
  <c r="K5357" i="6"/>
  <c r="L5357" i="6" s="1"/>
  <c r="I5356" i="6"/>
  <c r="K5356" i="6"/>
  <c r="L5356" i="6" s="1"/>
  <c r="I5355" i="6"/>
  <c r="K5355" i="6"/>
  <c r="L5355" i="6" s="1"/>
  <c r="I5354" i="6"/>
  <c r="K5354" i="6"/>
  <c r="L5354" i="6" s="1"/>
  <c r="I5353" i="6"/>
  <c r="K5353" i="6"/>
  <c r="L5353" i="6" s="1"/>
  <c r="I5352" i="6"/>
  <c r="K5352" i="6"/>
  <c r="L5352" i="6" s="1"/>
  <c r="I5351" i="6"/>
  <c r="K5351" i="6"/>
  <c r="L5351" i="6" s="1"/>
  <c r="I5350" i="6"/>
  <c r="K5350" i="6"/>
  <c r="L5350" i="6" s="1"/>
  <c r="I5349" i="6"/>
  <c r="K5349" i="6"/>
  <c r="L5349" i="6" s="1"/>
  <c r="I5348" i="6"/>
  <c r="K5348" i="6"/>
  <c r="L5348" i="6" s="1"/>
  <c r="I5347" i="6"/>
  <c r="K5347" i="6"/>
  <c r="L5347" i="6" s="1"/>
  <c r="I5346" i="6"/>
  <c r="K5346" i="6"/>
  <c r="L5346" i="6" s="1"/>
  <c r="I5345" i="6"/>
  <c r="K5345" i="6"/>
  <c r="L5345" i="6" s="1"/>
  <c r="I5344" i="6"/>
  <c r="K5344" i="6"/>
  <c r="L5344" i="6" s="1"/>
  <c r="I5343" i="6"/>
  <c r="K5343" i="6"/>
  <c r="L5343" i="6" s="1"/>
  <c r="I5342" i="6"/>
  <c r="K5342" i="6"/>
  <c r="L5342" i="6" s="1"/>
  <c r="I5341" i="6"/>
  <c r="K5341" i="6"/>
  <c r="L5341" i="6" s="1"/>
  <c r="I5340" i="6"/>
  <c r="K5340" i="6"/>
  <c r="L5340" i="6" s="1"/>
  <c r="I5339" i="6"/>
  <c r="K5339" i="6"/>
  <c r="L5339" i="6" s="1"/>
  <c r="I5338" i="6"/>
  <c r="K5338" i="6"/>
  <c r="L5338" i="6" s="1"/>
  <c r="I5337" i="6"/>
  <c r="K5337" i="6"/>
  <c r="L5337" i="6" s="1"/>
  <c r="I5336" i="6"/>
  <c r="K5336" i="6"/>
  <c r="L5336" i="6" s="1"/>
  <c r="I5335" i="6"/>
  <c r="K5335" i="6"/>
  <c r="L5335" i="6" s="1"/>
  <c r="I5334" i="6"/>
  <c r="K5334" i="6"/>
  <c r="L5334" i="6" s="1"/>
  <c r="I5333" i="6"/>
  <c r="K5333" i="6"/>
  <c r="L5333" i="6" s="1"/>
  <c r="I5332" i="6"/>
  <c r="K5332" i="6"/>
  <c r="L5332" i="6" s="1"/>
  <c r="I5331" i="6"/>
  <c r="K5331" i="6"/>
  <c r="L5331" i="6" s="1"/>
  <c r="I5330" i="6"/>
  <c r="K5330" i="6"/>
  <c r="L5330" i="6" s="1"/>
  <c r="I5329" i="6"/>
  <c r="K5329" i="6"/>
  <c r="L5329" i="6" s="1"/>
  <c r="I5328" i="6"/>
  <c r="K5328" i="6"/>
  <c r="L5328" i="6" s="1"/>
  <c r="K5327" i="6"/>
  <c r="L5327" i="6" s="1"/>
  <c r="I5327" i="6"/>
  <c r="I5326" i="6"/>
  <c r="K5326" i="6"/>
  <c r="L5326" i="6" s="1"/>
  <c r="I5325" i="6"/>
  <c r="K5325" i="6"/>
  <c r="L5325" i="6" s="1"/>
  <c r="I5324" i="6"/>
  <c r="K5324" i="6"/>
  <c r="L5324" i="6" s="1"/>
  <c r="I5323" i="6"/>
  <c r="K5323" i="6"/>
  <c r="L5323" i="6" s="1"/>
  <c r="I5322" i="6"/>
  <c r="K5322" i="6"/>
  <c r="L5322" i="6" s="1"/>
  <c r="I5321" i="6"/>
  <c r="K5321" i="6"/>
  <c r="L5321" i="6" s="1"/>
  <c r="I5320" i="6"/>
  <c r="K5320" i="6"/>
  <c r="L5320" i="6" s="1"/>
  <c r="I5319" i="6"/>
  <c r="K5319" i="6"/>
  <c r="L5319" i="6" s="1"/>
  <c r="I5318" i="6"/>
  <c r="K5318" i="6"/>
  <c r="L5318" i="6" s="1"/>
  <c r="I5317" i="6"/>
  <c r="K5317" i="6"/>
  <c r="L5317" i="6" s="1"/>
  <c r="K5316" i="6"/>
  <c r="L5316" i="6" s="1"/>
  <c r="I5316" i="6"/>
  <c r="I5315" i="6"/>
  <c r="K5315" i="6"/>
  <c r="L5315" i="6" s="1"/>
  <c r="I5314" i="6"/>
  <c r="K5314" i="6"/>
  <c r="L5314" i="6" s="1"/>
  <c r="I5313" i="6"/>
  <c r="K5313" i="6"/>
  <c r="L5313" i="6" s="1"/>
  <c r="I5312" i="6"/>
  <c r="K5312" i="6"/>
  <c r="L5312" i="6" s="1"/>
  <c r="I5311" i="6"/>
  <c r="K5311" i="6"/>
  <c r="L5311" i="6" s="1"/>
  <c r="I5310" i="6"/>
  <c r="K5310" i="6"/>
  <c r="L5310" i="6" s="1"/>
  <c r="I5309" i="6"/>
  <c r="K5309" i="6"/>
  <c r="L5309" i="6" s="1"/>
  <c r="I5308" i="6"/>
  <c r="K5308" i="6"/>
  <c r="L5308" i="6" s="1"/>
  <c r="K5307" i="6"/>
  <c r="L5307" i="6" s="1"/>
  <c r="I5307" i="6"/>
  <c r="I5306" i="6"/>
  <c r="K5306" i="6"/>
  <c r="L5306" i="6" s="1"/>
  <c r="I5305" i="6"/>
  <c r="K5305" i="6"/>
  <c r="L5305" i="6" s="1"/>
  <c r="I5304" i="6"/>
  <c r="K5304" i="6"/>
  <c r="L5304" i="6" s="1"/>
  <c r="I5303" i="6"/>
  <c r="K5303" i="6"/>
  <c r="L5303" i="6" s="1"/>
  <c r="I5302" i="6"/>
  <c r="K5302" i="6"/>
  <c r="L5302" i="6" s="1"/>
  <c r="K5301" i="6"/>
  <c r="L5301" i="6" s="1"/>
  <c r="I5301" i="6"/>
  <c r="I5300" i="6"/>
  <c r="K5300" i="6"/>
  <c r="L5300" i="6" s="1"/>
  <c r="K5299" i="6"/>
  <c r="L5299" i="6" s="1"/>
  <c r="I5299" i="6"/>
  <c r="I5298" i="6"/>
  <c r="K5298" i="6"/>
  <c r="L5298" i="6" s="1"/>
  <c r="I5297" i="6"/>
  <c r="K5297" i="6"/>
  <c r="L5297" i="6" s="1"/>
  <c r="I5296" i="6"/>
  <c r="K5296" i="6"/>
  <c r="L5296" i="6" s="1"/>
  <c r="I5295" i="6"/>
  <c r="K5295" i="6"/>
  <c r="L5295" i="6" s="1"/>
  <c r="I5294" i="6"/>
  <c r="K5294" i="6"/>
  <c r="L5294" i="6" s="1"/>
  <c r="I5293" i="6"/>
  <c r="K5293" i="6"/>
  <c r="L5293" i="6" s="1"/>
  <c r="I5292" i="6"/>
  <c r="K5292" i="6"/>
  <c r="L5292" i="6" s="1"/>
  <c r="I5291" i="6"/>
  <c r="K5291" i="6"/>
  <c r="L5291" i="6" s="1"/>
  <c r="I5290" i="6"/>
  <c r="K5290" i="6"/>
  <c r="L5290" i="6" s="1"/>
  <c r="I5289" i="6"/>
  <c r="K5289" i="6"/>
  <c r="L5289" i="6" s="1"/>
  <c r="I5288" i="6"/>
  <c r="K5288" i="6"/>
  <c r="L5288" i="6" s="1"/>
  <c r="I5287" i="6"/>
  <c r="K5287" i="6"/>
  <c r="L5287" i="6" s="1"/>
  <c r="I5286" i="6"/>
  <c r="K5286" i="6"/>
  <c r="L5286" i="6" s="1"/>
  <c r="I5285" i="6"/>
  <c r="K5285" i="6"/>
  <c r="L5285" i="6" s="1"/>
  <c r="I5284" i="6"/>
  <c r="K5284" i="6"/>
  <c r="L5284" i="6" s="1"/>
  <c r="I5283" i="6"/>
  <c r="K5283" i="6"/>
  <c r="L5283" i="6" s="1"/>
  <c r="I5282" i="6"/>
  <c r="K5282" i="6"/>
  <c r="L5282" i="6" s="1"/>
  <c r="I5281" i="6"/>
  <c r="K5281" i="6"/>
  <c r="L5281" i="6" s="1"/>
  <c r="I5280" i="6"/>
  <c r="K5280" i="6"/>
  <c r="L5280" i="6" s="1"/>
  <c r="I5279" i="6"/>
  <c r="K5279" i="6"/>
  <c r="L5279" i="6" s="1"/>
  <c r="I5278" i="6"/>
  <c r="K5278" i="6"/>
  <c r="L5278" i="6" s="1"/>
  <c r="I5277" i="6"/>
  <c r="K5277" i="6"/>
  <c r="L5277" i="6" s="1"/>
  <c r="I5276" i="6"/>
  <c r="K5276" i="6"/>
  <c r="L5276" i="6" s="1"/>
  <c r="I5275" i="6"/>
  <c r="K5275" i="6"/>
  <c r="L5275" i="6"/>
  <c r="I5274" i="6"/>
  <c r="K5274" i="6"/>
  <c r="L5274" i="6" s="1"/>
  <c r="I5273" i="6"/>
  <c r="K5273" i="6"/>
  <c r="L5273" i="6" s="1"/>
  <c r="I5272" i="6"/>
  <c r="K5272" i="6"/>
  <c r="L5272" i="6" s="1"/>
  <c r="I5271" i="6"/>
  <c r="K5271" i="6"/>
  <c r="L5271" i="6" s="1"/>
  <c r="I5270" i="6"/>
  <c r="K5270" i="6"/>
  <c r="L5270" i="6" s="1"/>
  <c r="I5269" i="6"/>
  <c r="K5269" i="6"/>
  <c r="L5269" i="6" s="1"/>
  <c r="K5268" i="6"/>
  <c r="L5268" i="6" s="1"/>
  <c r="I5268" i="6"/>
  <c r="I5267" i="6"/>
  <c r="K5267" i="6"/>
  <c r="L5267" i="6" s="1"/>
  <c r="I5266" i="6"/>
  <c r="K5266" i="6"/>
  <c r="L5266" i="6" s="1"/>
  <c r="I5265" i="6"/>
  <c r="K5265" i="6"/>
  <c r="L5265" i="6" s="1"/>
  <c r="I5264" i="6"/>
  <c r="K5264" i="6"/>
  <c r="L5264" i="6" s="1"/>
  <c r="I5263" i="6"/>
  <c r="K5263" i="6"/>
  <c r="L5263" i="6" s="1"/>
  <c r="I5262" i="6"/>
  <c r="K5262" i="6"/>
  <c r="L5262" i="6" s="1"/>
  <c r="I5261" i="6"/>
  <c r="K5261" i="6"/>
  <c r="L5261" i="6" s="1"/>
  <c r="I5260" i="6"/>
  <c r="K5260" i="6"/>
  <c r="L5260" i="6" s="1"/>
  <c r="I5259" i="6"/>
  <c r="K5259" i="6"/>
  <c r="L5259" i="6" s="1"/>
  <c r="I5258" i="6"/>
  <c r="K5258" i="6"/>
  <c r="L5258" i="6" s="1"/>
  <c r="I5257" i="6"/>
  <c r="K5257" i="6"/>
  <c r="L5257" i="6" s="1"/>
  <c r="I5256" i="6"/>
  <c r="K5256" i="6"/>
  <c r="L5256" i="6" s="1"/>
  <c r="I5255" i="6"/>
  <c r="K5255" i="6"/>
  <c r="L5255" i="6" s="1"/>
  <c r="I5254" i="6"/>
  <c r="K5254" i="6"/>
  <c r="L5254" i="6" s="1"/>
  <c r="I5253" i="6"/>
  <c r="K5253" i="6"/>
  <c r="L5253" i="6" s="1"/>
  <c r="I5252" i="6"/>
  <c r="K5252" i="6"/>
  <c r="L5252" i="6"/>
  <c r="I5251" i="6"/>
  <c r="K5251" i="6"/>
  <c r="L5251" i="6" s="1"/>
  <c r="I5250" i="6"/>
  <c r="K5250" i="6"/>
  <c r="L5250" i="6" s="1"/>
  <c r="I5249" i="6"/>
  <c r="K5249" i="6"/>
  <c r="L5249" i="6" s="1"/>
  <c r="I5248" i="6"/>
  <c r="K5248" i="6"/>
  <c r="L5248" i="6" s="1"/>
  <c r="I5247" i="6"/>
  <c r="K5247" i="6"/>
  <c r="L5247" i="6" s="1"/>
  <c r="I5246" i="6"/>
  <c r="K5246" i="6"/>
  <c r="L5246" i="6" s="1"/>
  <c r="I5245" i="6"/>
  <c r="K5245" i="6"/>
  <c r="L5245" i="6" s="1"/>
  <c r="I5244" i="6"/>
  <c r="K5244" i="6"/>
  <c r="L5244" i="6" s="1"/>
  <c r="I5243" i="6"/>
  <c r="K5243" i="6"/>
  <c r="L5243" i="6"/>
  <c r="I5242" i="6"/>
  <c r="K5242" i="6"/>
  <c r="L5242" i="6" s="1"/>
  <c r="I5241" i="6"/>
  <c r="K5241" i="6"/>
  <c r="L5241" i="6" s="1"/>
  <c r="I5240" i="6"/>
  <c r="K5240" i="6"/>
  <c r="L5240" i="6" s="1"/>
  <c r="I5239" i="6"/>
  <c r="K5239" i="6"/>
  <c r="L5239" i="6" s="1"/>
  <c r="I5238" i="6"/>
  <c r="K5238" i="6"/>
  <c r="L5238" i="6" s="1"/>
  <c r="I5237" i="6"/>
  <c r="K5237" i="6"/>
  <c r="L5237" i="6" s="1"/>
  <c r="I5236" i="6"/>
  <c r="K5236" i="6"/>
  <c r="L5236" i="6" s="1"/>
  <c r="I5235" i="6"/>
  <c r="K5235" i="6"/>
  <c r="L5235" i="6" s="1"/>
  <c r="I5234" i="6"/>
  <c r="K5234" i="6"/>
  <c r="L5234" i="6" s="1"/>
  <c r="I5233" i="6"/>
  <c r="K5233" i="6"/>
  <c r="L5233" i="6" s="1"/>
  <c r="I5232" i="6"/>
  <c r="K5232" i="6"/>
  <c r="L5232" i="6" s="1"/>
  <c r="I5231" i="6"/>
  <c r="K5231" i="6"/>
  <c r="L5231" i="6" s="1"/>
  <c r="I5230" i="6"/>
  <c r="K5230" i="6"/>
  <c r="L5230" i="6" s="1"/>
  <c r="I5229" i="6"/>
  <c r="K5229" i="6"/>
  <c r="L5229" i="6" s="1"/>
  <c r="I5228" i="6"/>
  <c r="K5228" i="6"/>
  <c r="L5228" i="6" s="1"/>
  <c r="I5227" i="6"/>
  <c r="K5227" i="6"/>
  <c r="L5227" i="6" s="1"/>
  <c r="K5226" i="6"/>
  <c r="L5226" i="6"/>
  <c r="I5226" i="6"/>
  <c r="I5225" i="6"/>
  <c r="K5225" i="6"/>
  <c r="L5225" i="6" s="1"/>
  <c r="I5224" i="6"/>
  <c r="K5224" i="6"/>
  <c r="L5224" i="6" s="1"/>
  <c r="I5223" i="6"/>
  <c r="K5223" i="6"/>
  <c r="L5223" i="6" s="1"/>
  <c r="I5222" i="6"/>
  <c r="K5222" i="6"/>
  <c r="L5222" i="6" s="1"/>
  <c r="I5221" i="6"/>
  <c r="K5221" i="6"/>
  <c r="L5221" i="6" s="1"/>
  <c r="K5220" i="6"/>
  <c r="L5220" i="6" s="1"/>
  <c r="I5220" i="6"/>
  <c r="I5219" i="6"/>
  <c r="K5219" i="6"/>
  <c r="L5219" i="6" s="1"/>
  <c r="I5218" i="6"/>
  <c r="K5218" i="6"/>
  <c r="L5218" i="6" s="1"/>
  <c r="K5217" i="6"/>
  <c r="L5217" i="6" s="1"/>
  <c r="I5217" i="6"/>
  <c r="I5216" i="6"/>
  <c r="K5216" i="6"/>
  <c r="L5216" i="6" s="1"/>
  <c r="I5215" i="6"/>
  <c r="K5215" i="6"/>
  <c r="L5215" i="6" s="1"/>
  <c r="I5214" i="6"/>
  <c r="K5214" i="6"/>
  <c r="L5214" i="6" s="1"/>
  <c r="I5213" i="6"/>
  <c r="K5213" i="6"/>
  <c r="L5213" i="6" s="1"/>
  <c r="I5212" i="6"/>
  <c r="K5212" i="6"/>
  <c r="L5212" i="6" s="1"/>
  <c r="I5211" i="6"/>
  <c r="K5211" i="6"/>
  <c r="L5211" i="6" s="1"/>
  <c r="I5210" i="6"/>
  <c r="K5210" i="6"/>
  <c r="L5210" i="6" s="1"/>
  <c r="I5209" i="6"/>
  <c r="K5209" i="6"/>
  <c r="L5209" i="6" s="1"/>
  <c r="I5208" i="6"/>
  <c r="K5208" i="6"/>
  <c r="L5208" i="6" s="1"/>
  <c r="I5207" i="6"/>
  <c r="K5207" i="6"/>
  <c r="L5207" i="6" s="1"/>
  <c r="I5206" i="6"/>
  <c r="K5206" i="6"/>
  <c r="L5206" i="6" s="1"/>
  <c r="I5205" i="6"/>
  <c r="K5205" i="6"/>
  <c r="L5205" i="6" s="1"/>
  <c r="I5204" i="6"/>
  <c r="K5204" i="6"/>
  <c r="L5204" i="6" s="1"/>
  <c r="I5203" i="6"/>
  <c r="K5203" i="6"/>
  <c r="L5203" i="6" s="1"/>
  <c r="I5202" i="6"/>
  <c r="K5202" i="6"/>
  <c r="L5202" i="6" s="1"/>
  <c r="I5201" i="6"/>
  <c r="K5201" i="6"/>
  <c r="L5201" i="6" s="1"/>
  <c r="I5200" i="6"/>
  <c r="K5200" i="6"/>
  <c r="L5200" i="6" s="1"/>
  <c r="I5199" i="6"/>
  <c r="K5199" i="6"/>
  <c r="L5199" i="6" s="1"/>
  <c r="I5198" i="6"/>
  <c r="K5198" i="6"/>
  <c r="L5198" i="6" s="1"/>
  <c r="K5197" i="6"/>
  <c r="L5197" i="6" s="1"/>
  <c r="I5197" i="6"/>
  <c r="I5196" i="6"/>
  <c r="K5196" i="6"/>
  <c r="L5196" i="6" s="1"/>
  <c r="I5195" i="6"/>
  <c r="K5195" i="6"/>
  <c r="L5195" i="6" s="1"/>
  <c r="I5194" i="6"/>
  <c r="K5194" i="6"/>
  <c r="L5194" i="6" s="1"/>
  <c r="I5193" i="6"/>
  <c r="K5193" i="6"/>
  <c r="L5193" i="6" s="1"/>
  <c r="I5192" i="6"/>
  <c r="K5192" i="6"/>
  <c r="L5192" i="6" s="1"/>
  <c r="I5191" i="6"/>
  <c r="K5191" i="6"/>
  <c r="L5191" i="6" s="1"/>
  <c r="I5190" i="6"/>
  <c r="K5190" i="6"/>
  <c r="L5190" i="6" s="1"/>
  <c r="I5189" i="6"/>
  <c r="K5189" i="6"/>
  <c r="L5189" i="6" s="1"/>
  <c r="I5188" i="6"/>
  <c r="K5188" i="6"/>
  <c r="L5188" i="6" s="1"/>
  <c r="I5187" i="6"/>
  <c r="K5187" i="6"/>
  <c r="L5187" i="6" s="1"/>
  <c r="I5186" i="6"/>
  <c r="K5186" i="6"/>
  <c r="L5186" i="6" s="1"/>
  <c r="I5185" i="6"/>
  <c r="K5185" i="6"/>
  <c r="L5185" i="6" s="1"/>
  <c r="I5184" i="6"/>
  <c r="K5184" i="6"/>
  <c r="L5184" i="6" s="1"/>
  <c r="I5183" i="6"/>
  <c r="K5183" i="6"/>
  <c r="L5183" i="6" s="1"/>
  <c r="I5182" i="6"/>
  <c r="K5182" i="6"/>
  <c r="L5182" i="6" s="1"/>
  <c r="I5181" i="6"/>
  <c r="K5181" i="6"/>
  <c r="L5181" i="6" s="1"/>
  <c r="I5180" i="6"/>
  <c r="K5180" i="6"/>
  <c r="L5180" i="6" s="1"/>
  <c r="I5179" i="6"/>
  <c r="K5179" i="6"/>
  <c r="L5179" i="6" s="1"/>
  <c r="I5178" i="6"/>
  <c r="K5178" i="6"/>
  <c r="L5178" i="6" s="1"/>
  <c r="I5177" i="6"/>
  <c r="K5177" i="6"/>
  <c r="L5177" i="6" s="1"/>
  <c r="I5176" i="6"/>
  <c r="K5176" i="6"/>
  <c r="L5176" i="6" s="1"/>
  <c r="I5175" i="6"/>
  <c r="K5175" i="6"/>
  <c r="L5175" i="6" s="1"/>
  <c r="I5174" i="6"/>
  <c r="K5174" i="6"/>
  <c r="L5174" i="6" s="1"/>
  <c r="I5173" i="6"/>
  <c r="K5173" i="6"/>
  <c r="L5173" i="6" s="1"/>
  <c r="I5172" i="6"/>
  <c r="K5172" i="6"/>
  <c r="L5172" i="6" s="1"/>
  <c r="I5171" i="6"/>
  <c r="K5171" i="6"/>
  <c r="L5171" i="6" s="1"/>
  <c r="I5170" i="6"/>
  <c r="K5170" i="6"/>
  <c r="L5170" i="6" s="1"/>
  <c r="I5169" i="6"/>
  <c r="K5169" i="6"/>
  <c r="L5169" i="6" s="1"/>
  <c r="I5168" i="6"/>
  <c r="K5168" i="6"/>
  <c r="L5168" i="6" s="1"/>
  <c r="I5167" i="6"/>
  <c r="K5167" i="6"/>
  <c r="L5167" i="6" s="1"/>
  <c r="I5166" i="6"/>
  <c r="K5166" i="6"/>
  <c r="L5166" i="6" s="1"/>
  <c r="I5165" i="6"/>
  <c r="K5165" i="6"/>
  <c r="L5165" i="6" s="1"/>
  <c r="I5164" i="6"/>
  <c r="K5164" i="6"/>
  <c r="L5164" i="6" s="1"/>
  <c r="I5163" i="6"/>
  <c r="K5163" i="6"/>
  <c r="L5163" i="6" s="1"/>
  <c r="I5162" i="6"/>
  <c r="K5162" i="6"/>
  <c r="L5162" i="6" s="1"/>
  <c r="I5161" i="6"/>
  <c r="K5161" i="6"/>
  <c r="L5161" i="6" s="1"/>
  <c r="I5160" i="6"/>
  <c r="K5160" i="6"/>
  <c r="L5160" i="6" s="1"/>
  <c r="I5159" i="6"/>
  <c r="K5159" i="6"/>
  <c r="L5159" i="6" s="1"/>
  <c r="I5158" i="6"/>
  <c r="K5158" i="6"/>
  <c r="L5158" i="6" s="1"/>
  <c r="I5157" i="6"/>
  <c r="K5157" i="6"/>
  <c r="L5157" i="6" s="1"/>
  <c r="I5156" i="6"/>
  <c r="K5156" i="6"/>
  <c r="L5156" i="6" s="1"/>
  <c r="I5155" i="6"/>
  <c r="K5155" i="6"/>
  <c r="L5155" i="6" s="1"/>
  <c r="I5154" i="6"/>
  <c r="K5154" i="6"/>
  <c r="L5154" i="6" s="1"/>
  <c r="I5153" i="6"/>
  <c r="K5153" i="6"/>
  <c r="L5153" i="6" s="1"/>
  <c r="I5152" i="6"/>
  <c r="K5152" i="6"/>
  <c r="L5152" i="6" s="1"/>
  <c r="I5151" i="6"/>
  <c r="K5151" i="6"/>
  <c r="L5151" i="6" s="1"/>
  <c r="I5150" i="6"/>
  <c r="K5150" i="6"/>
  <c r="L5150" i="6" s="1"/>
  <c r="I5149" i="6"/>
  <c r="K5149" i="6"/>
  <c r="L5149" i="6" s="1"/>
  <c r="I5148" i="6"/>
  <c r="K5148" i="6"/>
  <c r="L5148" i="6" s="1"/>
  <c r="I5147" i="6"/>
  <c r="K5147" i="6"/>
  <c r="L5147" i="6" s="1"/>
  <c r="I5146" i="6"/>
  <c r="K5146" i="6"/>
  <c r="L5146" i="6" s="1"/>
  <c r="I5145" i="6"/>
  <c r="K5145" i="6"/>
  <c r="L5145" i="6" s="1"/>
  <c r="I5144" i="6"/>
  <c r="K5144" i="6"/>
  <c r="L5144" i="6" s="1"/>
  <c r="I5143" i="6"/>
  <c r="K5143" i="6"/>
  <c r="L5143" i="6" s="1"/>
  <c r="I5142" i="6"/>
  <c r="K5142" i="6"/>
  <c r="L5142" i="6" s="1"/>
  <c r="I5141" i="6"/>
  <c r="K5141" i="6"/>
  <c r="L5141" i="6" s="1"/>
  <c r="I5140" i="6"/>
  <c r="K5140" i="6"/>
  <c r="L5140" i="6" s="1"/>
  <c r="I5139" i="6"/>
  <c r="K5139" i="6"/>
  <c r="L5139" i="6" s="1"/>
  <c r="I5138" i="6"/>
  <c r="K5138" i="6"/>
  <c r="L5138" i="6" s="1"/>
  <c r="I5137" i="6"/>
  <c r="K5137" i="6"/>
  <c r="L5137" i="6" s="1"/>
  <c r="I5136" i="6"/>
  <c r="K5136" i="6"/>
  <c r="L5136" i="6" s="1"/>
  <c r="I5135" i="6"/>
  <c r="K5135" i="6"/>
  <c r="L5135" i="6" s="1"/>
  <c r="I5134" i="6"/>
  <c r="K5134" i="6"/>
  <c r="L5134" i="6" s="1"/>
  <c r="I5133" i="6"/>
  <c r="K5133" i="6"/>
  <c r="L5133" i="6" s="1"/>
  <c r="I5132" i="6"/>
  <c r="K5132" i="6"/>
  <c r="L5132" i="6" s="1"/>
  <c r="I5131" i="6"/>
  <c r="K5131" i="6"/>
  <c r="L5131" i="6" s="1"/>
  <c r="I5130" i="6"/>
  <c r="K5130" i="6"/>
  <c r="L5130" i="6" s="1"/>
  <c r="I5129" i="6"/>
  <c r="K5129" i="6"/>
  <c r="L5129" i="6" s="1"/>
  <c r="I5128" i="6"/>
  <c r="K5128" i="6"/>
  <c r="L5128" i="6" s="1"/>
  <c r="I5127" i="6"/>
  <c r="K5127" i="6"/>
  <c r="L5127" i="6" s="1"/>
  <c r="I5126" i="6"/>
  <c r="K5126" i="6"/>
  <c r="L5126" i="6" s="1"/>
  <c r="I5125" i="6"/>
  <c r="K5125" i="6"/>
  <c r="L5125" i="6" s="1"/>
  <c r="I5124" i="6"/>
  <c r="K5124" i="6"/>
  <c r="L5124" i="6" s="1"/>
  <c r="I5123" i="6"/>
  <c r="K5123" i="6"/>
  <c r="L5123" i="6" s="1"/>
  <c r="I5122" i="6"/>
  <c r="K5122" i="6"/>
  <c r="L5122" i="6" s="1"/>
  <c r="I5121" i="6"/>
  <c r="K5121" i="6"/>
  <c r="L5121" i="6" s="1"/>
  <c r="I5120" i="6"/>
  <c r="K5120" i="6"/>
  <c r="L5120" i="6" s="1"/>
  <c r="I5119" i="6"/>
  <c r="K5119" i="6"/>
  <c r="L5119" i="6" s="1"/>
  <c r="I5118" i="6"/>
  <c r="K5118" i="6"/>
  <c r="L5118" i="6" s="1"/>
  <c r="I5117" i="6"/>
  <c r="K5117" i="6"/>
  <c r="L5117" i="6" s="1"/>
  <c r="I5116" i="6"/>
  <c r="K5116" i="6"/>
  <c r="L5116" i="6" s="1"/>
  <c r="I5115" i="6"/>
  <c r="K5115" i="6"/>
  <c r="L5115" i="6"/>
  <c r="I5114" i="6"/>
  <c r="K5114" i="6"/>
  <c r="L5114" i="6" s="1"/>
  <c r="I5113" i="6"/>
  <c r="K5113" i="6"/>
  <c r="L5113" i="6" s="1"/>
  <c r="I5112" i="6"/>
  <c r="K5112" i="6"/>
  <c r="L5112" i="6" s="1"/>
  <c r="I5111" i="6"/>
  <c r="K5111" i="6"/>
  <c r="L5111" i="6" s="1"/>
  <c r="I5110" i="6"/>
  <c r="K5110" i="6"/>
  <c r="L5110" i="6" s="1"/>
  <c r="I5109" i="6"/>
  <c r="K5109" i="6"/>
  <c r="L5109" i="6" s="1"/>
  <c r="I5108" i="6"/>
  <c r="K5108" i="6"/>
  <c r="L5108" i="6" s="1"/>
  <c r="I5107" i="6"/>
  <c r="K5107" i="6"/>
  <c r="L5107" i="6" s="1"/>
  <c r="I5106" i="6"/>
  <c r="K5106" i="6"/>
  <c r="L5106" i="6" s="1"/>
  <c r="I5105" i="6"/>
  <c r="K5105" i="6"/>
  <c r="L5105" i="6" s="1"/>
  <c r="I5104" i="6"/>
  <c r="K5104" i="6"/>
  <c r="L5104" i="6" s="1"/>
  <c r="I5103" i="6"/>
  <c r="K5103" i="6"/>
  <c r="L5103" i="6" s="1"/>
  <c r="I5102" i="6"/>
  <c r="K5102" i="6"/>
  <c r="L5102" i="6" s="1"/>
  <c r="I5101" i="6"/>
  <c r="K5101" i="6"/>
  <c r="L5101" i="6" s="1"/>
  <c r="I5100" i="6"/>
  <c r="K5100" i="6"/>
  <c r="L5100" i="6" s="1"/>
  <c r="I5099" i="6"/>
  <c r="K5099" i="6"/>
  <c r="L5099" i="6" s="1"/>
  <c r="I5098" i="6"/>
  <c r="K5098" i="6"/>
  <c r="L5098" i="6" s="1"/>
  <c r="I5097" i="6"/>
  <c r="K5097" i="6"/>
  <c r="L5097" i="6" s="1"/>
  <c r="I5096" i="6"/>
  <c r="K5096" i="6"/>
  <c r="L5096" i="6" s="1"/>
  <c r="I5095" i="6"/>
  <c r="K5095" i="6"/>
  <c r="L5095" i="6" s="1"/>
  <c r="I5094" i="6"/>
  <c r="K5094" i="6"/>
  <c r="L5094" i="6" s="1"/>
  <c r="I5093" i="6"/>
  <c r="K5093" i="6"/>
  <c r="L5093" i="6" s="1"/>
  <c r="I5092" i="6"/>
  <c r="K5092" i="6"/>
  <c r="L5092" i="6" s="1"/>
  <c r="I5091" i="6"/>
  <c r="K5091" i="6"/>
  <c r="L5091" i="6" s="1"/>
  <c r="I5090" i="6"/>
  <c r="K5090" i="6"/>
  <c r="L5090" i="6" s="1"/>
  <c r="I5089" i="6"/>
  <c r="K5089" i="6"/>
  <c r="L5089" i="6" s="1"/>
  <c r="I5088" i="6"/>
  <c r="K5088" i="6"/>
  <c r="L5088" i="6" s="1"/>
  <c r="I5087" i="6"/>
  <c r="K5087" i="6"/>
  <c r="L5087" i="6" s="1"/>
  <c r="I5086" i="6"/>
  <c r="K5086" i="6"/>
  <c r="L5086" i="6" s="1"/>
  <c r="I5085" i="6"/>
  <c r="K5085" i="6"/>
  <c r="L5085" i="6" s="1"/>
  <c r="I5084" i="6"/>
  <c r="K5084" i="6"/>
  <c r="L5084" i="6" s="1"/>
  <c r="I5083" i="6"/>
  <c r="K5083" i="6"/>
  <c r="L5083" i="6" s="1"/>
  <c r="I5082" i="6"/>
  <c r="K5082" i="6"/>
  <c r="L5082" i="6" s="1"/>
  <c r="I5081" i="6"/>
  <c r="K5081" i="6"/>
  <c r="L5081" i="6" s="1"/>
  <c r="I5080" i="6"/>
  <c r="K5080" i="6"/>
  <c r="L5080" i="6" s="1"/>
  <c r="I5079" i="6"/>
  <c r="K5079" i="6"/>
  <c r="L5079" i="6" s="1"/>
  <c r="I5078" i="6"/>
  <c r="K5078" i="6"/>
  <c r="L5078" i="6" s="1"/>
  <c r="I5077" i="6"/>
  <c r="K5077" i="6"/>
  <c r="L5077" i="6" s="1"/>
  <c r="I5076" i="6"/>
  <c r="K5076" i="6"/>
  <c r="L5076" i="6" s="1"/>
  <c r="I5075" i="6"/>
  <c r="K5075" i="6"/>
  <c r="L5075" i="6" s="1"/>
  <c r="I5074" i="6"/>
  <c r="K5074" i="6"/>
  <c r="L5074" i="6" s="1"/>
  <c r="I5073" i="6"/>
  <c r="K5073" i="6"/>
  <c r="L5073" i="6" s="1"/>
  <c r="I5072" i="6"/>
  <c r="K5072" i="6"/>
  <c r="L5072" i="6" s="1"/>
  <c r="I5071" i="6"/>
  <c r="K5071" i="6"/>
  <c r="L5071" i="6" s="1"/>
  <c r="I5070" i="6"/>
  <c r="K5070" i="6"/>
  <c r="L5070" i="6" s="1"/>
  <c r="I5069" i="6"/>
  <c r="K5069" i="6"/>
  <c r="L5069" i="6" s="1"/>
  <c r="I5068" i="6"/>
  <c r="K5068" i="6"/>
  <c r="L5068" i="6" s="1"/>
  <c r="I5067" i="6"/>
  <c r="K5067" i="6"/>
  <c r="L5067" i="6" s="1"/>
  <c r="I5066" i="6"/>
  <c r="K5066" i="6"/>
  <c r="L5066" i="6"/>
  <c r="I5065" i="6"/>
  <c r="K5065" i="6"/>
  <c r="L5065" i="6" s="1"/>
  <c r="I5064" i="6"/>
  <c r="K5064" i="6"/>
  <c r="L5064" i="6" s="1"/>
  <c r="I5063" i="6"/>
  <c r="K5063" i="6"/>
  <c r="L5063" i="6" s="1"/>
  <c r="I5062" i="6"/>
  <c r="K5062" i="6"/>
  <c r="L5062" i="6" s="1"/>
  <c r="I5061" i="6"/>
  <c r="K5061" i="6"/>
  <c r="L5061" i="6" s="1"/>
  <c r="I5060" i="6"/>
  <c r="K5060" i="6"/>
  <c r="L5060" i="6" s="1"/>
  <c r="I5059" i="6"/>
  <c r="K5059" i="6"/>
  <c r="L5059" i="6" s="1"/>
  <c r="I5058" i="6"/>
  <c r="K5058" i="6"/>
  <c r="L5058" i="6" s="1"/>
  <c r="I5057" i="6"/>
  <c r="K5057" i="6"/>
  <c r="L5057" i="6" s="1"/>
  <c r="I5056" i="6"/>
  <c r="K5056" i="6"/>
  <c r="L5056" i="6" s="1"/>
  <c r="I5055" i="6"/>
  <c r="K5055" i="6"/>
  <c r="L5055" i="6" s="1"/>
  <c r="I5054" i="6"/>
  <c r="K5054" i="6"/>
  <c r="L5054" i="6" s="1"/>
  <c r="I5053" i="6"/>
  <c r="K5053" i="6"/>
  <c r="L5053" i="6" s="1"/>
  <c r="I5052" i="6"/>
  <c r="K5052" i="6"/>
  <c r="L5052" i="6" s="1"/>
  <c r="I5051" i="6"/>
  <c r="K5051" i="6"/>
  <c r="L5051" i="6" s="1"/>
  <c r="I5050" i="6"/>
  <c r="K5050" i="6"/>
  <c r="L5050" i="6" s="1"/>
  <c r="I5049" i="6"/>
  <c r="K5049" i="6"/>
  <c r="L5049" i="6" s="1"/>
  <c r="I5048" i="6"/>
  <c r="K5048" i="6"/>
  <c r="L5048" i="6" s="1"/>
  <c r="I5047" i="6"/>
  <c r="K5047" i="6"/>
  <c r="L5047" i="6" s="1"/>
  <c r="I5046" i="6"/>
  <c r="K5046" i="6"/>
  <c r="L5046" i="6" s="1"/>
  <c r="I5045" i="6"/>
  <c r="K5045" i="6"/>
  <c r="L5045" i="6" s="1"/>
  <c r="I5044" i="6"/>
  <c r="K5044" i="6"/>
  <c r="L5044" i="6" s="1"/>
  <c r="I5043" i="6"/>
  <c r="K5043" i="6"/>
  <c r="L5043" i="6" s="1"/>
  <c r="I5042" i="6"/>
  <c r="K5042" i="6"/>
  <c r="L5042" i="6" s="1"/>
  <c r="I5041" i="6"/>
  <c r="K5041" i="6"/>
  <c r="L5041" i="6" s="1"/>
  <c r="I5040" i="6"/>
  <c r="K5040" i="6"/>
  <c r="L5040" i="6" s="1"/>
  <c r="I5039" i="6"/>
  <c r="K5039" i="6"/>
  <c r="L5039" i="6" s="1"/>
  <c r="I5038" i="6"/>
  <c r="K5038" i="6"/>
  <c r="L5038" i="6" s="1"/>
  <c r="I5037" i="6"/>
  <c r="K5037" i="6"/>
  <c r="L5037" i="6" s="1"/>
  <c r="I5036" i="6"/>
  <c r="K5036" i="6"/>
  <c r="L5036" i="6" s="1"/>
  <c r="I5035" i="6"/>
  <c r="K5035" i="6"/>
  <c r="L5035" i="6" s="1"/>
  <c r="I5034" i="6"/>
  <c r="K5034" i="6"/>
  <c r="L5034" i="6" s="1"/>
  <c r="I5033" i="6"/>
  <c r="K5033" i="6"/>
  <c r="L5033" i="6" s="1"/>
  <c r="I5032" i="6"/>
  <c r="K5032" i="6"/>
  <c r="L5032" i="6" s="1"/>
  <c r="I5031" i="6"/>
  <c r="K5031" i="6"/>
  <c r="L5031" i="6" s="1"/>
  <c r="I5030" i="6"/>
  <c r="K5030" i="6"/>
  <c r="L5030" i="6" s="1"/>
  <c r="I5029" i="6"/>
  <c r="K5029" i="6"/>
  <c r="L5029" i="6" s="1"/>
  <c r="I5028" i="6"/>
  <c r="K5028" i="6"/>
  <c r="L5028" i="6" s="1"/>
  <c r="I5027" i="6"/>
  <c r="K5027" i="6"/>
  <c r="L5027" i="6" s="1"/>
  <c r="I5026" i="6"/>
  <c r="K5026" i="6"/>
  <c r="L5026" i="6" s="1"/>
  <c r="I5025" i="6"/>
  <c r="K5025" i="6"/>
  <c r="L5025" i="6" s="1"/>
  <c r="I5024" i="6"/>
  <c r="K5024" i="6"/>
  <c r="L5024" i="6" s="1"/>
  <c r="I5023" i="6"/>
  <c r="K5023" i="6"/>
  <c r="L5023" i="6" s="1"/>
  <c r="I5022" i="6"/>
  <c r="K5022" i="6"/>
  <c r="L5022" i="6" s="1"/>
  <c r="I5021" i="6"/>
  <c r="K5021" i="6"/>
  <c r="L5021" i="6" s="1"/>
  <c r="I5020" i="6"/>
  <c r="K5020" i="6"/>
  <c r="L5020" i="6" s="1"/>
  <c r="I5019" i="6"/>
  <c r="K5019" i="6"/>
  <c r="L5019" i="6" s="1"/>
  <c r="I5018" i="6"/>
  <c r="K5018" i="6"/>
  <c r="L5018" i="6" s="1"/>
  <c r="I5017" i="6"/>
  <c r="K5017" i="6"/>
  <c r="L5017" i="6" s="1"/>
  <c r="I5016" i="6"/>
  <c r="K5016" i="6"/>
  <c r="L5016" i="6" s="1"/>
  <c r="I5015" i="6"/>
  <c r="K5015" i="6"/>
  <c r="L5015" i="6" s="1"/>
  <c r="I5014" i="6"/>
  <c r="K5014" i="6"/>
  <c r="L5014" i="6" s="1"/>
  <c r="I5013" i="6"/>
  <c r="K5013" i="6"/>
  <c r="L5013" i="6" s="1"/>
  <c r="I5012" i="6"/>
  <c r="K5012" i="6"/>
  <c r="L5012" i="6"/>
  <c r="I5011" i="6"/>
  <c r="K5011" i="6"/>
  <c r="L5011" i="6" s="1"/>
  <c r="I5010" i="6"/>
  <c r="K5010" i="6"/>
  <c r="L5010" i="6" s="1"/>
  <c r="I5009" i="6"/>
  <c r="K5009" i="6"/>
  <c r="L5009" i="6" s="1"/>
  <c r="I5008" i="6"/>
  <c r="K5008" i="6"/>
  <c r="L5008" i="6" s="1"/>
  <c r="I5007" i="6"/>
  <c r="K5007" i="6"/>
  <c r="L5007" i="6" s="1"/>
  <c r="I5006" i="6"/>
  <c r="K5006" i="6"/>
  <c r="L5006" i="6" s="1"/>
  <c r="I5005" i="6"/>
  <c r="K5005" i="6"/>
  <c r="L5005" i="6" s="1"/>
  <c r="I5004" i="6"/>
  <c r="K5004" i="6"/>
  <c r="L5004" i="6" s="1"/>
  <c r="I5003" i="6"/>
  <c r="K5003" i="6"/>
  <c r="L5003" i="6" s="1"/>
  <c r="I5002" i="6"/>
  <c r="K5002" i="6"/>
  <c r="L5002" i="6" s="1"/>
  <c r="I5001" i="6"/>
  <c r="K5001" i="6"/>
  <c r="L5001" i="6" s="1"/>
  <c r="I5000" i="6"/>
  <c r="K5000" i="6"/>
  <c r="L5000" i="6" s="1"/>
  <c r="I4999" i="6"/>
  <c r="K4999" i="6"/>
  <c r="L4999" i="6" s="1"/>
  <c r="I4998" i="6"/>
  <c r="K4998" i="6"/>
  <c r="L4998" i="6" s="1"/>
  <c r="I4997" i="6"/>
  <c r="K4997" i="6"/>
  <c r="L4997" i="6" s="1"/>
  <c r="I4996" i="6"/>
  <c r="K4996" i="6"/>
  <c r="L4996" i="6" s="1"/>
  <c r="I4995" i="6"/>
  <c r="K4995" i="6"/>
  <c r="L4995" i="6" s="1"/>
  <c r="I4994" i="6"/>
  <c r="K4994" i="6"/>
  <c r="L4994" i="6" s="1"/>
  <c r="I4993" i="6"/>
  <c r="K4993" i="6"/>
  <c r="L4993" i="6" s="1"/>
  <c r="I4992" i="6"/>
  <c r="K4992" i="6"/>
  <c r="L4992" i="6" s="1"/>
  <c r="I4991" i="6"/>
  <c r="K4991" i="6"/>
  <c r="L4991" i="6" s="1"/>
  <c r="I4990" i="6"/>
  <c r="K4990" i="6"/>
  <c r="L4990" i="6" s="1"/>
  <c r="I4989" i="6"/>
  <c r="K4989" i="6"/>
  <c r="L4989" i="6" s="1"/>
  <c r="I4988" i="6"/>
  <c r="K4988" i="6"/>
  <c r="L4988" i="6" s="1"/>
  <c r="I4987" i="6"/>
  <c r="K4987" i="6"/>
  <c r="L4987" i="6" s="1"/>
  <c r="I4986" i="6"/>
  <c r="K4986" i="6"/>
  <c r="L4986" i="6" s="1"/>
  <c r="I4985" i="6"/>
  <c r="K4985" i="6"/>
  <c r="L4985" i="6" s="1"/>
  <c r="I4984" i="6"/>
  <c r="K4984" i="6"/>
  <c r="L4984" i="6" s="1"/>
  <c r="I4983" i="6"/>
  <c r="K4983" i="6"/>
  <c r="L4983" i="6"/>
  <c r="I4982" i="6"/>
  <c r="K4982" i="6"/>
  <c r="L4982" i="6" s="1"/>
  <c r="I4981" i="6"/>
  <c r="K4981" i="6"/>
  <c r="L4981" i="6" s="1"/>
  <c r="I4980" i="6"/>
  <c r="K4980" i="6"/>
  <c r="L4980" i="6" s="1"/>
  <c r="I4979" i="6"/>
  <c r="K4979" i="6"/>
  <c r="L4979" i="6" s="1"/>
  <c r="I4978" i="6"/>
  <c r="K4978" i="6"/>
  <c r="L4978" i="6" s="1"/>
  <c r="I4977" i="6"/>
  <c r="K4977" i="6"/>
  <c r="L4977" i="6" s="1"/>
  <c r="I4976" i="6"/>
  <c r="K4976" i="6"/>
  <c r="L4976" i="6" s="1"/>
  <c r="I4975" i="6"/>
  <c r="K4975" i="6"/>
  <c r="L4975" i="6" s="1"/>
  <c r="I4974" i="6"/>
  <c r="K4974" i="6"/>
  <c r="L4974" i="6" s="1"/>
  <c r="I4973" i="6"/>
  <c r="K4973" i="6"/>
  <c r="L4973" i="6" s="1"/>
  <c r="I4972" i="6"/>
  <c r="K4972" i="6"/>
  <c r="L4972" i="6" s="1"/>
  <c r="I4971" i="6"/>
  <c r="K4971" i="6"/>
  <c r="L4971" i="6"/>
  <c r="I4970" i="6"/>
  <c r="K4970" i="6"/>
  <c r="L4970" i="6" s="1"/>
  <c r="I4969" i="6"/>
  <c r="K4969" i="6"/>
  <c r="L4969" i="6" s="1"/>
  <c r="I4968" i="6"/>
  <c r="K4968" i="6"/>
  <c r="L4968" i="6" s="1"/>
  <c r="K4967" i="6"/>
  <c r="L4967" i="6" s="1"/>
  <c r="I4967" i="6"/>
  <c r="I4966" i="6"/>
  <c r="K4966" i="6"/>
  <c r="L4966" i="6" s="1"/>
  <c r="I4965" i="6"/>
  <c r="K4965" i="6"/>
  <c r="L4965" i="6" s="1"/>
  <c r="I4964" i="6"/>
  <c r="K4964" i="6"/>
  <c r="L4964" i="6" s="1"/>
  <c r="I4963" i="6"/>
  <c r="K4963" i="6"/>
  <c r="L4963" i="6" s="1"/>
  <c r="I4962" i="6"/>
  <c r="K4962" i="6"/>
  <c r="L4962" i="6" s="1"/>
  <c r="I4961" i="6"/>
  <c r="K4961" i="6"/>
  <c r="L4961" i="6" s="1"/>
  <c r="I4960" i="6"/>
  <c r="K4960" i="6"/>
  <c r="L4960" i="6" s="1"/>
  <c r="I4959" i="6"/>
  <c r="K4959" i="6"/>
  <c r="L4959" i="6" s="1"/>
  <c r="I4958" i="6"/>
  <c r="K4958" i="6"/>
  <c r="L4958" i="6" s="1"/>
  <c r="I4957" i="6"/>
  <c r="K4957" i="6"/>
  <c r="L4957" i="6" s="1"/>
  <c r="I4956" i="6"/>
  <c r="K4956" i="6"/>
  <c r="L4956" i="6" s="1"/>
  <c r="I4955" i="6"/>
  <c r="K4955" i="6"/>
  <c r="L4955" i="6" s="1"/>
  <c r="I4954" i="6"/>
  <c r="K4954" i="6"/>
  <c r="L4954" i="6" s="1"/>
  <c r="I4953" i="6"/>
  <c r="K4953" i="6"/>
  <c r="L4953" i="6" s="1"/>
  <c r="I4952" i="6"/>
  <c r="K4952" i="6"/>
  <c r="L4952" i="6" s="1"/>
  <c r="I4951" i="6"/>
  <c r="K4951" i="6"/>
  <c r="L4951" i="6" s="1"/>
  <c r="I4950" i="6"/>
  <c r="K4950" i="6"/>
  <c r="L4950" i="6" s="1"/>
  <c r="I4949" i="6"/>
  <c r="K4949" i="6"/>
  <c r="L4949" i="6"/>
  <c r="I4948" i="6"/>
  <c r="K4948" i="6"/>
  <c r="L4948" i="6" s="1"/>
  <c r="I4947" i="6"/>
  <c r="K4947" i="6"/>
  <c r="L4947" i="6" s="1"/>
  <c r="I4946" i="6"/>
  <c r="K4946" i="6"/>
  <c r="L4946" i="6" s="1"/>
  <c r="I4945" i="6"/>
  <c r="K4945" i="6"/>
  <c r="L4945" i="6" s="1"/>
  <c r="I4944" i="6"/>
  <c r="K4944" i="6"/>
  <c r="L4944" i="6" s="1"/>
  <c r="I4943" i="6"/>
  <c r="K4943" i="6"/>
  <c r="L4943" i="6" s="1"/>
  <c r="I4942" i="6"/>
  <c r="K4942" i="6"/>
  <c r="L4942" i="6" s="1"/>
  <c r="I4941" i="6"/>
  <c r="K4941" i="6"/>
  <c r="L4941" i="6" s="1"/>
  <c r="I4940" i="6"/>
  <c r="K4940" i="6"/>
  <c r="L4940" i="6" s="1"/>
  <c r="I4939" i="6"/>
  <c r="K4939" i="6"/>
  <c r="L4939" i="6" s="1"/>
  <c r="I4938" i="6"/>
  <c r="K4938" i="6"/>
  <c r="L4938" i="6" s="1"/>
  <c r="I4937" i="6"/>
  <c r="K4937" i="6"/>
  <c r="L4937" i="6" s="1"/>
  <c r="I4936" i="6"/>
  <c r="K4936" i="6"/>
  <c r="L4936" i="6" s="1"/>
  <c r="I4935" i="6"/>
  <c r="K4935" i="6"/>
  <c r="L4935" i="6" s="1"/>
  <c r="I4934" i="6"/>
  <c r="K4934" i="6"/>
  <c r="L4934" i="6" s="1"/>
  <c r="I4933" i="6"/>
  <c r="K4933" i="6"/>
  <c r="L4933" i="6" s="1"/>
  <c r="I4932" i="6"/>
  <c r="K4932" i="6"/>
  <c r="L4932" i="6" s="1"/>
  <c r="I4931" i="6"/>
  <c r="K4931" i="6"/>
  <c r="L4931" i="6" s="1"/>
  <c r="I4930" i="6"/>
  <c r="K4930" i="6"/>
  <c r="L4930" i="6" s="1"/>
  <c r="I4929" i="6"/>
  <c r="K4929" i="6"/>
  <c r="L4929" i="6" s="1"/>
  <c r="I4928" i="6"/>
  <c r="K4928" i="6"/>
  <c r="L4928" i="6" s="1"/>
  <c r="I4927" i="6"/>
  <c r="K4927" i="6"/>
  <c r="L4927" i="6" s="1"/>
  <c r="I4926" i="6"/>
  <c r="K4926" i="6"/>
  <c r="L4926" i="6" s="1"/>
  <c r="I4925" i="6"/>
  <c r="K4925" i="6"/>
  <c r="L4925" i="6" s="1"/>
  <c r="I4924" i="6"/>
  <c r="K4924" i="6"/>
  <c r="L4924" i="6" s="1"/>
  <c r="I4923" i="6"/>
  <c r="K4923" i="6"/>
  <c r="L4923" i="6" s="1"/>
  <c r="I4922" i="6"/>
  <c r="K4922" i="6"/>
  <c r="L4922" i="6" s="1"/>
  <c r="I4921" i="6"/>
  <c r="K4921" i="6"/>
  <c r="L4921" i="6" s="1"/>
  <c r="I4920" i="6"/>
  <c r="K4920" i="6"/>
  <c r="L4920" i="6" s="1"/>
  <c r="I4919" i="6"/>
  <c r="K4919" i="6"/>
  <c r="L4919" i="6" s="1"/>
  <c r="I4918" i="6"/>
  <c r="K4918" i="6"/>
  <c r="L4918" i="6" s="1"/>
  <c r="I4917" i="6"/>
  <c r="K4917" i="6"/>
  <c r="L4917" i="6" s="1"/>
  <c r="I4916" i="6"/>
  <c r="K4916" i="6"/>
  <c r="L4916" i="6" s="1"/>
  <c r="I4915" i="6"/>
  <c r="K4915" i="6"/>
  <c r="L4915" i="6" s="1"/>
  <c r="I4914" i="6"/>
  <c r="K4914" i="6"/>
  <c r="L4914" i="6" s="1"/>
  <c r="I4913" i="6"/>
  <c r="K4913" i="6"/>
  <c r="L4913" i="6" s="1"/>
  <c r="I4912" i="6"/>
  <c r="K4912" i="6"/>
  <c r="L4912" i="6" s="1"/>
  <c r="I4911" i="6"/>
  <c r="K4911" i="6"/>
  <c r="L4911" i="6" s="1"/>
  <c r="I4910" i="6"/>
  <c r="K4910" i="6"/>
  <c r="L4910" i="6" s="1"/>
  <c r="I4909" i="6"/>
  <c r="K4909" i="6"/>
  <c r="L4909" i="6" s="1"/>
  <c r="I4908" i="6"/>
  <c r="K4908" i="6"/>
  <c r="L4908" i="6" s="1"/>
  <c r="I4907" i="6"/>
  <c r="K4907" i="6"/>
  <c r="L4907" i="6" s="1"/>
  <c r="I4906" i="6"/>
  <c r="K4906" i="6"/>
  <c r="L4906" i="6" s="1"/>
  <c r="I4905" i="6"/>
  <c r="K4905" i="6"/>
  <c r="L4905" i="6" s="1"/>
  <c r="I4904" i="6"/>
  <c r="K4904" i="6"/>
  <c r="L4904" i="6" s="1"/>
  <c r="I4903" i="6"/>
  <c r="K4903" i="6"/>
  <c r="L4903" i="6" s="1"/>
  <c r="I4902" i="6"/>
  <c r="K4902" i="6"/>
  <c r="L4902" i="6" s="1"/>
  <c r="I4901" i="6"/>
  <c r="K4901" i="6"/>
  <c r="L4901" i="6" s="1"/>
  <c r="I4900" i="6"/>
  <c r="K4900" i="6"/>
  <c r="L4900" i="6" s="1"/>
  <c r="I4899" i="6"/>
  <c r="K4899" i="6"/>
  <c r="L4899" i="6" s="1"/>
  <c r="I4898" i="6"/>
  <c r="K4898" i="6"/>
  <c r="L4898" i="6" s="1"/>
  <c r="I4897" i="6"/>
  <c r="K4897" i="6"/>
  <c r="L4897" i="6" s="1"/>
  <c r="I4896" i="6"/>
  <c r="K4896" i="6"/>
  <c r="L4896" i="6" s="1"/>
  <c r="I4895" i="6"/>
  <c r="K4895" i="6"/>
  <c r="L4895" i="6" s="1"/>
  <c r="I4894" i="6"/>
  <c r="K4894" i="6"/>
  <c r="L4894" i="6" s="1"/>
  <c r="I4893" i="6"/>
  <c r="K4893" i="6"/>
  <c r="L4893" i="6" s="1"/>
  <c r="I4892" i="6"/>
  <c r="K4892" i="6"/>
  <c r="L4892" i="6" s="1"/>
  <c r="I4891" i="6"/>
  <c r="K4891" i="6"/>
  <c r="L4891" i="6" s="1"/>
  <c r="I4890" i="6"/>
  <c r="K4890" i="6"/>
  <c r="L4890" i="6" s="1"/>
  <c r="I4889" i="6"/>
  <c r="K4889" i="6"/>
  <c r="L4889" i="6"/>
  <c r="I4888" i="6"/>
  <c r="K4888" i="6"/>
  <c r="L4888" i="6" s="1"/>
  <c r="I4887" i="6"/>
  <c r="K4887" i="6"/>
  <c r="L4887" i="6" s="1"/>
  <c r="I4886" i="6"/>
  <c r="K4886" i="6"/>
  <c r="L4886" i="6" s="1"/>
  <c r="I4885" i="6"/>
  <c r="K4885" i="6"/>
  <c r="L4885" i="6" s="1"/>
  <c r="I4884" i="6"/>
  <c r="K4884" i="6"/>
  <c r="L4884" i="6" s="1"/>
  <c r="I4883" i="6"/>
  <c r="K4883" i="6"/>
  <c r="L4883" i="6" s="1"/>
  <c r="I4882" i="6"/>
  <c r="K4882" i="6"/>
  <c r="L4882" i="6" s="1"/>
  <c r="I4881" i="6"/>
  <c r="K4881" i="6"/>
  <c r="L4881" i="6" s="1"/>
  <c r="I4880" i="6"/>
  <c r="K4880" i="6"/>
  <c r="L4880" i="6" s="1"/>
  <c r="I4879" i="6"/>
  <c r="K4879" i="6"/>
  <c r="L4879" i="6" s="1"/>
  <c r="I4878" i="6"/>
  <c r="K4878" i="6"/>
  <c r="L4878" i="6" s="1"/>
  <c r="I4877" i="6"/>
  <c r="K4877" i="6"/>
  <c r="L4877" i="6" s="1"/>
  <c r="I4876" i="6"/>
  <c r="K4876" i="6"/>
  <c r="L4876" i="6" s="1"/>
  <c r="I4875" i="6"/>
  <c r="K4875" i="6"/>
  <c r="L4875" i="6" s="1"/>
  <c r="I4874" i="6"/>
  <c r="K4874" i="6"/>
  <c r="L4874" i="6" s="1"/>
  <c r="I4873" i="6"/>
  <c r="K4873" i="6"/>
  <c r="L4873" i="6" s="1"/>
  <c r="I4872" i="6"/>
  <c r="K4872" i="6"/>
  <c r="L4872" i="6" s="1"/>
  <c r="I4871" i="6"/>
  <c r="K4871" i="6"/>
  <c r="L4871" i="6" s="1"/>
  <c r="I4870" i="6"/>
  <c r="K4870" i="6"/>
  <c r="L4870" i="6" s="1"/>
  <c r="I4869" i="6"/>
  <c r="K4869" i="6"/>
  <c r="L4869" i="6" s="1"/>
  <c r="I4868" i="6"/>
  <c r="K4868" i="6"/>
  <c r="L4868" i="6" s="1"/>
  <c r="I4867" i="6"/>
  <c r="K4867" i="6"/>
  <c r="L4867" i="6" s="1"/>
  <c r="I4866" i="6"/>
  <c r="K4866" i="6"/>
  <c r="L4866" i="6" s="1"/>
  <c r="I4865" i="6"/>
  <c r="K4865" i="6"/>
  <c r="L4865" i="6" s="1"/>
  <c r="I4864" i="6"/>
  <c r="K4864" i="6"/>
  <c r="L4864" i="6" s="1"/>
  <c r="I4863" i="6"/>
  <c r="K4863" i="6"/>
  <c r="L4863" i="6" s="1"/>
  <c r="I4862" i="6"/>
  <c r="K4862" i="6"/>
  <c r="L4862" i="6" s="1"/>
  <c r="I4861" i="6"/>
  <c r="K4861" i="6"/>
  <c r="L4861" i="6" s="1"/>
  <c r="I4860" i="6"/>
  <c r="K4860" i="6"/>
  <c r="L4860" i="6" s="1"/>
  <c r="I4859" i="6"/>
  <c r="K4859" i="6"/>
  <c r="L4859" i="6" s="1"/>
  <c r="I4858" i="6"/>
  <c r="K4858" i="6"/>
  <c r="L4858" i="6" s="1"/>
  <c r="I4857" i="6"/>
  <c r="K4857" i="6"/>
  <c r="L4857" i="6" s="1"/>
  <c r="I4856" i="6"/>
  <c r="K4856" i="6"/>
  <c r="L4856" i="6" s="1"/>
  <c r="I4855" i="6"/>
  <c r="K4855" i="6"/>
  <c r="L4855" i="6" s="1"/>
  <c r="I4854" i="6"/>
  <c r="K4854" i="6"/>
  <c r="L4854" i="6" s="1"/>
  <c r="I4853" i="6"/>
  <c r="K4853" i="6"/>
  <c r="L4853" i="6" s="1"/>
  <c r="I4852" i="6"/>
  <c r="K4852" i="6"/>
  <c r="L4852" i="6" s="1"/>
  <c r="I4851" i="6"/>
  <c r="K4851" i="6"/>
  <c r="L4851" i="6" s="1"/>
  <c r="I4850" i="6"/>
  <c r="K4850" i="6"/>
  <c r="L4850" i="6" s="1"/>
  <c r="I4849" i="6"/>
  <c r="K4849" i="6"/>
  <c r="L4849" i="6" s="1"/>
  <c r="I4848" i="6"/>
  <c r="K4848" i="6"/>
  <c r="L4848" i="6" s="1"/>
  <c r="I4847" i="6"/>
  <c r="K4847" i="6"/>
  <c r="L4847" i="6" s="1"/>
  <c r="I4846" i="6"/>
  <c r="K4846" i="6"/>
  <c r="L4846" i="6" s="1"/>
  <c r="I4845" i="6"/>
  <c r="K4845" i="6"/>
  <c r="L4845" i="6" s="1"/>
  <c r="I4844" i="6"/>
  <c r="K4844" i="6"/>
  <c r="L4844" i="6" s="1"/>
  <c r="I4843" i="6"/>
  <c r="K4843" i="6"/>
  <c r="L4843" i="6" s="1"/>
  <c r="I4842" i="6"/>
  <c r="K4842" i="6"/>
  <c r="L4842" i="6" s="1"/>
  <c r="I4841" i="6"/>
  <c r="K4841" i="6"/>
  <c r="L4841" i="6" s="1"/>
  <c r="I4840" i="6"/>
  <c r="K4840" i="6"/>
  <c r="L4840" i="6" s="1"/>
  <c r="I4839" i="6"/>
  <c r="K4839" i="6"/>
  <c r="L4839" i="6" s="1"/>
  <c r="I4838" i="6"/>
  <c r="K4838" i="6"/>
  <c r="L4838" i="6" s="1"/>
  <c r="I4837" i="6"/>
  <c r="K4837" i="6"/>
  <c r="L4837" i="6" s="1"/>
  <c r="I4836" i="6"/>
  <c r="K4836" i="6"/>
  <c r="L4836" i="6" s="1"/>
  <c r="I4835" i="6"/>
  <c r="K4835" i="6"/>
  <c r="L4835" i="6" s="1"/>
  <c r="I4834" i="6"/>
  <c r="K4834" i="6"/>
  <c r="L4834" i="6" s="1"/>
  <c r="I4833" i="6"/>
  <c r="K4833" i="6"/>
  <c r="L4833" i="6" s="1"/>
  <c r="I4832" i="6"/>
  <c r="K4832" i="6"/>
  <c r="L4832" i="6" s="1"/>
  <c r="I4831" i="6"/>
  <c r="K4831" i="6"/>
  <c r="L4831" i="6" s="1"/>
  <c r="I4830" i="6"/>
  <c r="K4830" i="6"/>
  <c r="L4830" i="6"/>
  <c r="I4829" i="6"/>
  <c r="K4829" i="6"/>
  <c r="L4829" i="6" s="1"/>
  <c r="I4828" i="6"/>
  <c r="K4828" i="6"/>
  <c r="L4828" i="6" s="1"/>
  <c r="I4827" i="6"/>
  <c r="K4827" i="6"/>
  <c r="L4827" i="6" s="1"/>
  <c r="I4826" i="6"/>
  <c r="K4826" i="6"/>
  <c r="L4826" i="6"/>
  <c r="I4825" i="6"/>
  <c r="K4825" i="6"/>
  <c r="L4825" i="6" s="1"/>
  <c r="I4824" i="6"/>
  <c r="K4824" i="6"/>
  <c r="L4824" i="6" s="1"/>
  <c r="I4823" i="6"/>
  <c r="K4823" i="6"/>
  <c r="L4823" i="6" s="1"/>
  <c r="I4822" i="6"/>
  <c r="K4822" i="6"/>
  <c r="L4822" i="6" s="1"/>
  <c r="I4821" i="6"/>
  <c r="K4821" i="6"/>
  <c r="L4821" i="6" s="1"/>
  <c r="I4820" i="6"/>
  <c r="K4820" i="6"/>
  <c r="L4820" i="6" s="1"/>
  <c r="I4819" i="6"/>
  <c r="K4819" i="6"/>
  <c r="L4819" i="6" s="1"/>
  <c r="I4818" i="6"/>
  <c r="K4818" i="6"/>
  <c r="L4818" i="6"/>
  <c r="I4817" i="6"/>
  <c r="K4817" i="6"/>
  <c r="L4817" i="6" s="1"/>
  <c r="I4816" i="6"/>
  <c r="K4816" i="6"/>
  <c r="L4816" i="6" s="1"/>
  <c r="I4815" i="6"/>
  <c r="K4815" i="6"/>
  <c r="L4815" i="6" s="1"/>
  <c r="I4814" i="6"/>
  <c r="K4814" i="6"/>
  <c r="L4814" i="6" s="1"/>
  <c r="I4813" i="6"/>
  <c r="K4813" i="6"/>
  <c r="L4813" i="6" s="1"/>
  <c r="I4812" i="6"/>
  <c r="K4812" i="6"/>
  <c r="L4812" i="6" s="1"/>
  <c r="I4811" i="6"/>
  <c r="K4811" i="6"/>
  <c r="L4811" i="6" s="1"/>
  <c r="I4810" i="6"/>
  <c r="K4810" i="6"/>
  <c r="L4810" i="6" s="1"/>
  <c r="I4809" i="6"/>
  <c r="K4809" i="6"/>
  <c r="L4809" i="6" s="1"/>
  <c r="I4808" i="6"/>
  <c r="K4808" i="6"/>
  <c r="L4808" i="6" s="1"/>
  <c r="K4807" i="6"/>
  <c r="L4807" i="6" s="1"/>
  <c r="I4807" i="6"/>
  <c r="I4806" i="6"/>
  <c r="K4806" i="6"/>
  <c r="L4806" i="6" s="1"/>
  <c r="I4805" i="6"/>
  <c r="K4805" i="6"/>
  <c r="L4805" i="6" s="1"/>
  <c r="I4804" i="6"/>
  <c r="K4804" i="6"/>
  <c r="L4804" i="6" s="1"/>
  <c r="I4803" i="6"/>
  <c r="K4803" i="6"/>
  <c r="L4803" i="6" s="1"/>
  <c r="I4802" i="6"/>
  <c r="K4802" i="6"/>
  <c r="L4802" i="6" s="1"/>
  <c r="I4801" i="6"/>
  <c r="K4801" i="6"/>
  <c r="L4801" i="6" s="1"/>
  <c r="I4800" i="6"/>
  <c r="K4800" i="6"/>
  <c r="L4800" i="6" s="1"/>
  <c r="I4799" i="6"/>
  <c r="K4799" i="6"/>
  <c r="L4799" i="6" s="1"/>
  <c r="I4798" i="6"/>
  <c r="K4798" i="6"/>
  <c r="L4798" i="6" s="1"/>
  <c r="I4797" i="6"/>
  <c r="K4797" i="6"/>
  <c r="L4797" i="6" s="1"/>
  <c r="I4796" i="6"/>
  <c r="K4796" i="6"/>
  <c r="L4796" i="6" s="1"/>
  <c r="I4795" i="6"/>
  <c r="K4795" i="6"/>
  <c r="L4795" i="6" s="1"/>
  <c r="I4794" i="6"/>
  <c r="K4794" i="6"/>
  <c r="L4794" i="6" s="1"/>
  <c r="I4793" i="6"/>
  <c r="K4793" i="6"/>
  <c r="L4793" i="6" s="1"/>
  <c r="I4792" i="6"/>
  <c r="K4792" i="6"/>
  <c r="L4792" i="6" s="1"/>
  <c r="I4791" i="6"/>
  <c r="K4791" i="6"/>
  <c r="L4791" i="6" s="1"/>
  <c r="I4790" i="6"/>
  <c r="K4790" i="6"/>
  <c r="L4790" i="6" s="1"/>
  <c r="I4789" i="6"/>
  <c r="K4789" i="6"/>
  <c r="L4789" i="6" s="1"/>
  <c r="I4788" i="6"/>
  <c r="K4788" i="6"/>
  <c r="L4788" i="6" s="1"/>
  <c r="I4787" i="6"/>
  <c r="K4787" i="6"/>
  <c r="L4787" i="6" s="1"/>
  <c r="I4786" i="6"/>
  <c r="K4786" i="6"/>
  <c r="L4786" i="6" s="1"/>
  <c r="I4785" i="6"/>
  <c r="K4785" i="6"/>
  <c r="L4785" i="6" s="1"/>
  <c r="I4784" i="6"/>
  <c r="K4784" i="6"/>
  <c r="L4784" i="6" s="1"/>
  <c r="I4783" i="6"/>
  <c r="K4783" i="6"/>
  <c r="L4783" i="6" s="1"/>
  <c r="I4782" i="6"/>
  <c r="K4782" i="6"/>
  <c r="L4782" i="6" s="1"/>
  <c r="I4781" i="6"/>
  <c r="K4781" i="6"/>
  <c r="L4781" i="6" s="1"/>
  <c r="I4780" i="6"/>
  <c r="K4780" i="6"/>
  <c r="L4780" i="6" s="1"/>
  <c r="I4779" i="6"/>
  <c r="K4779" i="6"/>
  <c r="L4779" i="6" s="1"/>
  <c r="I4778" i="6"/>
  <c r="K4778" i="6"/>
  <c r="L4778" i="6" s="1"/>
  <c r="I4777" i="6"/>
  <c r="K4777" i="6"/>
  <c r="L4777" i="6" s="1"/>
  <c r="I4776" i="6"/>
  <c r="K4776" i="6"/>
  <c r="L4776" i="6" s="1"/>
  <c r="I4775" i="6"/>
  <c r="K4775" i="6"/>
  <c r="L4775" i="6" s="1"/>
  <c r="I4774" i="6"/>
  <c r="K4774" i="6"/>
  <c r="L4774" i="6" s="1"/>
  <c r="I4773" i="6"/>
  <c r="K4773" i="6"/>
  <c r="L4773" i="6" s="1"/>
  <c r="I4772" i="6"/>
  <c r="K4772" i="6"/>
  <c r="L4772" i="6" s="1"/>
  <c r="I4771" i="6"/>
  <c r="K4771" i="6"/>
  <c r="L4771" i="6" s="1"/>
  <c r="I4770" i="6"/>
  <c r="K4770" i="6"/>
  <c r="L4770" i="6" s="1"/>
  <c r="I4769" i="6"/>
  <c r="K4769" i="6"/>
  <c r="L4769" i="6" s="1"/>
  <c r="I4768" i="6"/>
  <c r="K4768" i="6"/>
  <c r="L4768" i="6" s="1"/>
  <c r="I4767" i="6"/>
  <c r="K4767" i="6"/>
  <c r="L4767" i="6" s="1"/>
  <c r="I4766" i="6"/>
  <c r="K4766" i="6"/>
  <c r="L4766" i="6" s="1"/>
  <c r="I4765" i="6"/>
  <c r="K4765" i="6"/>
  <c r="L4765" i="6" s="1"/>
  <c r="I4764" i="6"/>
  <c r="K4764" i="6"/>
  <c r="L4764" i="6" s="1"/>
  <c r="I4763" i="6"/>
  <c r="K4763" i="6"/>
  <c r="L4763" i="6" s="1"/>
  <c r="I4762" i="6"/>
  <c r="K4762" i="6"/>
  <c r="L4762" i="6" s="1"/>
  <c r="I4761" i="6"/>
  <c r="K4761" i="6"/>
  <c r="L4761" i="6" s="1"/>
  <c r="I4760" i="6"/>
  <c r="K4760" i="6"/>
  <c r="L4760" i="6" s="1"/>
  <c r="I4759" i="6"/>
  <c r="K4759" i="6"/>
  <c r="L4759" i="6" s="1"/>
  <c r="I4758" i="6"/>
  <c r="K4758" i="6"/>
  <c r="L4758" i="6" s="1"/>
  <c r="I4757" i="6"/>
  <c r="K4757" i="6"/>
  <c r="L4757" i="6" s="1"/>
  <c r="I4756" i="6"/>
  <c r="K4756" i="6"/>
  <c r="L4756" i="6" s="1"/>
  <c r="I4755" i="6"/>
  <c r="K4755" i="6"/>
  <c r="L4755" i="6" s="1"/>
  <c r="I4754" i="6"/>
  <c r="K4754" i="6"/>
  <c r="L4754" i="6" s="1"/>
  <c r="I4753" i="6"/>
  <c r="K4753" i="6"/>
  <c r="L4753" i="6" s="1"/>
  <c r="I4752" i="6"/>
  <c r="K4752" i="6"/>
  <c r="L4752" i="6" s="1"/>
  <c r="I4751" i="6"/>
  <c r="K4751" i="6"/>
  <c r="L4751" i="6" s="1"/>
  <c r="I4750" i="6"/>
  <c r="K4750" i="6"/>
  <c r="L4750" i="6" s="1"/>
  <c r="I4749" i="6"/>
  <c r="K4749" i="6"/>
  <c r="L4749" i="6" s="1"/>
  <c r="I4748" i="6"/>
  <c r="K4748" i="6"/>
  <c r="L4748" i="6" s="1"/>
  <c r="I4747" i="6"/>
  <c r="K4747" i="6"/>
  <c r="L4747" i="6" s="1"/>
  <c r="I4746" i="6"/>
  <c r="K4746" i="6"/>
  <c r="L4746" i="6" s="1"/>
  <c r="I4745" i="6"/>
  <c r="K4745" i="6"/>
  <c r="L4745" i="6" s="1"/>
  <c r="I4744" i="6"/>
  <c r="K4744" i="6"/>
  <c r="L4744" i="6" s="1"/>
  <c r="I4743" i="6"/>
  <c r="K4743" i="6"/>
  <c r="L4743" i="6" s="1"/>
  <c r="I4742" i="6"/>
  <c r="K4742" i="6"/>
  <c r="L4742" i="6" s="1"/>
  <c r="K4741" i="6"/>
  <c r="L4741" i="6" s="1"/>
  <c r="I4741" i="6"/>
  <c r="I4740" i="6"/>
  <c r="K4740" i="6"/>
  <c r="L4740" i="6" s="1"/>
  <c r="I4739" i="6"/>
  <c r="K4739" i="6"/>
  <c r="L4739" i="6" s="1"/>
  <c r="I4738" i="6"/>
  <c r="K4738" i="6"/>
  <c r="L4738" i="6"/>
  <c r="I4737" i="6"/>
  <c r="K4737" i="6"/>
  <c r="L4737" i="6" s="1"/>
  <c r="I4736" i="6"/>
  <c r="K4736" i="6"/>
  <c r="L4736" i="6" s="1"/>
  <c r="I4735" i="6"/>
  <c r="K4735" i="6"/>
  <c r="L4735" i="6" s="1"/>
  <c r="I4734" i="6"/>
  <c r="K4734" i="6"/>
  <c r="L4734" i="6" s="1"/>
  <c r="I4733" i="6"/>
  <c r="K4733" i="6"/>
  <c r="L4733" i="6" s="1"/>
  <c r="I4732" i="6"/>
  <c r="K4732" i="6"/>
  <c r="L4732" i="6" s="1"/>
  <c r="I4731" i="6"/>
  <c r="K4731" i="6"/>
  <c r="L4731" i="6" s="1"/>
  <c r="I4730" i="6"/>
  <c r="K4730" i="6"/>
  <c r="L4730" i="6" s="1"/>
  <c r="I4729" i="6"/>
  <c r="K4729" i="6"/>
  <c r="L4729" i="6" s="1"/>
  <c r="I4728" i="6"/>
  <c r="K4728" i="6"/>
  <c r="L4728" i="6" s="1"/>
  <c r="I4727" i="6"/>
  <c r="K4727" i="6"/>
  <c r="L4727" i="6" s="1"/>
  <c r="I4726" i="6"/>
  <c r="K4726" i="6"/>
  <c r="L4726" i="6" s="1"/>
  <c r="I4725" i="6"/>
  <c r="K4725" i="6"/>
  <c r="L4725" i="6" s="1"/>
  <c r="I4724" i="6"/>
  <c r="K4724" i="6"/>
  <c r="L4724" i="6" s="1"/>
  <c r="I4723" i="6"/>
  <c r="K4723" i="6"/>
  <c r="L4723" i="6" s="1"/>
  <c r="I4722" i="6"/>
  <c r="K4722" i="6"/>
  <c r="L4722" i="6" s="1"/>
  <c r="I4721" i="6"/>
  <c r="K4721" i="6"/>
  <c r="L4721" i="6" s="1"/>
  <c r="I4720" i="6"/>
  <c r="K4720" i="6"/>
  <c r="L4720" i="6" s="1"/>
  <c r="I4719" i="6"/>
  <c r="K4719" i="6"/>
  <c r="L4719" i="6" s="1"/>
  <c r="I4718" i="6"/>
  <c r="K4718" i="6"/>
  <c r="L4718" i="6" s="1"/>
  <c r="I4717" i="6"/>
  <c r="K4717" i="6"/>
  <c r="L4717" i="6" s="1"/>
  <c r="I4716" i="6"/>
  <c r="K4716" i="6"/>
  <c r="L4716" i="6" s="1"/>
  <c r="I4715" i="6"/>
  <c r="K4715" i="6"/>
  <c r="L4715" i="6" s="1"/>
  <c r="I4714" i="6"/>
  <c r="K4714" i="6"/>
  <c r="L4714" i="6" s="1"/>
  <c r="I4713" i="6"/>
  <c r="K4713" i="6"/>
  <c r="L4713" i="6" s="1"/>
  <c r="I4712" i="6"/>
  <c r="K4712" i="6"/>
  <c r="L4712" i="6" s="1"/>
  <c r="I4711" i="6"/>
  <c r="K4711" i="6"/>
  <c r="L4711" i="6" s="1"/>
  <c r="I4710" i="6"/>
  <c r="K4710" i="6"/>
  <c r="L4710" i="6" s="1"/>
  <c r="I4709" i="6"/>
  <c r="K4709" i="6"/>
  <c r="L4709" i="6" s="1"/>
  <c r="I4708" i="6"/>
  <c r="K4708" i="6"/>
  <c r="L4708" i="6" s="1"/>
  <c r="I4707" i="6"/>
  <c r="K4707" i="6"/>
  <c r="L4707" i="6" s="1"/>
  <c r="I4706" i="6"/>
  <c r="K4706" i="6"/>
  <c r="L4706" i="6" s="1"/>
  <c r="I4705" i="6"/>
  <c r="K4705" i="6"/>
  <c r="L4705" i="6" s="1"/>
  <c r="K4704" i="6"/>
  <c r="L4704" i="6" s="1"/>
  <c r="I4704" i="6"/>
  <c r="I4703" i="6"/>
  <c r="K4703" i="6"/>
  <c r="L4703" i="6" s="1"/>
  <c r="I4702" i="6"/>
  <c r="K4702" i="6"/>
  <c r="L4702" i="6" s="1"/>
  <c r="I4701" i="6"/>
  <c r="K4701" i="6"/>
  <c r="L4701" i="6" s="1"/>
  <c r="I4700" i="6"/>
  <c r="K4700" i="6"/>
  <c r="L4700" i="6" s="1"/>
  <c r="I4699" i="6"/>
  <c r="K4699" i="6"/>
  <c r="L4699" i="6" s="1"/>
  <c r="I4698" i="6"/>
  <c r="K4698" i="6"/>
  <c r="L4698" i="6" s="1"/>
  <c r="I4697" i="6"/>
  <c r="K4697" i="6"/>
  <c r="L4697" i="6" s="1"/>
  <c r="I4696" i="6"/>
  <c r="K4696" i="6"/>
  <c r="L4696" i="6" s="1"/>
  <c r="I4695" i="6"/>
  <c r="K4695" i="6"/>
  <c r="L4695" i="6"/>
  <c r="I4694" i="6"/>
  <c r="K4694" i="6"/>
  <c r="L4694" i="6" s="1"/>
  <c r="I4693" i="6"/>
  <c r="K4693" i="6"/>
  <c r="L4693" i="6" s="1"/>
  <c r="I4692" i="6"/>
  <c r="K4692" i="6"/>
  <c r="L4692" i="6" s="1"/>
  <c r="I4691" i="6"/>
  <c r="K4691" i="6"/>
  <c r="L4691" i="6" s="1"/>
  <c r="I4690" i="6"/>
  <c r="K4690" i="6"/>
  <c r="L4690" i="6"/>
  <c r="I4689" i="6"/>
  <c r="K4689" i="6"/>
  <c r="L4689" i="6" s="1"/>
  <c r="I4688" i="6"/>
  <c r="K4688" i="6"/>
  <c r="L4688" i="6" s="1"/>
  <c r="I4687" i="6"/>
  <c r="K4687" i="6"/>
  <c r="L4687" i="6" s="1"/>
  <c r="I4686" i="6"/>
  <c r="K4686" i="6"/>
  <c r="L4686" i="6" s="1"/>
  <c r="I4685" i="6"/>
  <c r="K4685" i="6"/>
  <c r="L4685" i="6" s="1"/>
  <c r="I4684" i="6"/>
  <c r="K4684" i="6"/>
  <c r="L4684" i="6" s="1"/>
  <c r="K4683" i="6"/>
  <c r="L4683" i="6" s="1"/>
  <c r="I4683" i="6"/>
  <c r="I4682" i="6"/>
  <c r="K4682" i="6"/>
  <c r="L4682" i="6" s="1"/>
  <c r="I4681" i="6"/>
  <c r="K4681" i="6"/>
  <c r="L4681" i="6" s="1"/>
  <c r="I4680" i="6"/>
  <c r="K4680" i="6"/>
  <c r="L4680" i="6" s="1"/>
  <c r="I4679" i="6"/>
  <c r="K4679" i="6"/>
  <c r="L4679" i="6" s="1"/>
  <c r="I4678" i="6"/>
  <c r="K4678" i="6"/>
  <c r="L4678" i="6" s="1"/>
  <c r="K4677" i="6"/>
  <c r="L4677" i="6" s="1"/>
  <c r="I4677" i="6"/>
  <c r="K4676" i="6"/>
  <c r="L4676" i="6" s="1"/>
  <c r="I4676" i="6"/>
  <c r="I4675" i="6"/>
  <c r="K4675" i="6"/>
  <c r="L4675" i="6" s="1"/>
  <c r="I4674" i="6"/>
  <c r="K4674" i="6"/>
  <c r="L4674" i="6" s="1"/>
  <c r="I4673" i="6"/>
  <c r="K4673" i="6"/>
  <c r="L4673" i="6" s="1"/>
  <c r="I4672" i="6"/>
  <c r="K4672" i="6"/>
  <c r="L4672" i="6" s="1"/>
  <c r="I4671" i="6"/>
  <c r="K4671" i="6"/>
  <c r="L4671" i="6"/>
  <c r="I4670" i="6"/>
  <c r="K4670" i="6"/>
  <c r="L4670" i="6" s="1"/>
  <c r="I4669" i="6"/>
  <c r="K4669" i="6"/>
  <c r="L4669" i="6" s="1"/>
  <c r="K4668" i="6"/>
  <c r="L4668" i="6" s="1"/>
  <c r="I4668" i="6"/>
  <c r="I4667" i="6"/>
  <c r="K4667" i="6"/>
  <c r="L4667" i="6" s="1"/>
  <c r="I4666" i="6"/>
  <c r="K4666" i="6"/>
  <c r="L4666" i="6" s="1"/>
  <c r="I4665" i="6"/>
  <c r="K4665" i="6"/>
  <c r="L4665" i="6" s="1"/>
  <c r="I4664" i="6"/>
  <c r="K4664" i="6"/>
  <c r="L4664" i="6" s="1"/>
  <c r="I4663" i="6"/>
  <c r="K4663" i="6"/>
  <c r="L4663" i="6" s="1"/>
  <c r="I4662" i="6"/>
  <c r="K4662" i="6"/>
  <c r="L4662" i="6" s="1"/>
  <c r="I4661" i="6"/>
  <c r="K4661" i="6"/>
  <c r="L4661" i="6"/>
  <c r="K4660" i="6"/>
  <c r="L4660" i="6" s="1"/>
  <c r="I4660" i="6"/>
  <c r="I4659" i="6"/>
  <c r="K4659" i="6"/>
  <c r="L4659" i="6" s="1"/>
  <c r="I4658" i="6"/>
  <c r="K4658" i="6"/>
  <c r="L4658" i="6"/>
  <c r="I4657" i="6"/>
  <c r="K4657" i="6"/>
  <c r="L4657" i="6" s="1"/>
  <c r="K4656" i="6"/>
  <c r="L4656" i="6" s="1"/>
  <c r="I4656" i="6"/>
  <c r="K4655" i="6"/>
  <c r="L4655" i="6" s="1"/>
  <c r="I4655" i="6"/>
  <c r="I4654" i="6"/>
  <c r="K4654" i="6"/>
  <c r="L4654" i="6" s="1"/>
  <c r="I4653" i="6"/>
  <c r="K4653" i="6"/>
  <c r="L4653" i="6" s="1"/>
  <c r="I4652" i="6"/>
  <c r="K4652" i="6"/>
  <c r="L4652" i="6" s="1"/>
  <c r="I4651" i="6"/>
  <c r="K4651" i="6"/>
  <c r="L4651" i="6" s="1"/>
  <c r="K4650" i="6"/>
  <c r="L4650" i="6" s="1"/>
  <c r="I4650" i="6"/>
  <c r="I4649" i="6"/>
  <c r="K4649" i="6"/>
  <c r="L4649" i="6" s="1"/>
  <c r="I4648" i="6"/>
  <c r="K4648" i="6"/>
  <c r="L4648" i="6" s="1"/>
  <c r="K4647" i="6"/>
  <c r="L4647" i="6" s="1"/>
  <c r="I4647" i="6"/>
  <c r="I4646" i="6"/>
  <c r="K4646" i="6"/>
  <c r="L4646" i="6" s="1"/>
  <c r="I4645" i="6"/>
  <c r="K4645" i="6"/>
  <c r="L4645" i="6" s="1"/>
  <c r="I4644" i="6"/>
  <c r="K4644" i="6"/>
  <c r="L4644" i="6" s="1"/>
  <c r="I4643" i="6"/>
  <c r="K4643" i="6"/>
  <c r="L4643" i="6" s="1"/>
  <c r="I4642" i="6"/>
  <c r="K4642" i="6"/>
  <c r="L4642" i="6" s="1"/>
  <c r="I4641" i="6"/>
  <c r="K4641" i="6"/>
  <c r="L4641" i="6" s="1"/>
  <c r="I4640" i="6"/>
  <c r="K4640" i="6"/>
  <c r="L4640" i="6" s="1"/>
  <c r="I4639" i="6"/>
  <c r="K4639" i="6"/>
  <c r="L4639" i="6" s="1"/>
  <c r="K4638" i="6"/>
  <c r="L4638" i="6" s="1"/>
  <c r="I4638" i="6"/>
  <c r="I4637" i="6"/>
  <c r="K4637" i="6"/>
  <c r="L4637" i="6" s="1"/>
  <c r="I4636" i="6"/>
  <c r="K4636" i="6"/>
  <c r="L4636" i="6"/>
  <c r="I4635" i="6"/>
  <c r="K4635" i="6"/>
  <c r="L4635" i="6" s="1"/>
  <c r="I4634" i="6"/>
  <c r="K4634" i="6"/>
  <c r="L4634" i="6" s="1"/>
  <c r="I4633" i="6"/>
  <c r="K4633" i="6"/>
  <c r="L4633" i="6" s="1"/>
  <c r="I4632" i="6"/>
  <c r="K4632" i="6"/>
  <c r="L4632" i="6" s="1"/>
  <c r="I4631" i="6"/>
  <c r="K4631" i="6"/>
  <c r="L4631" i="6" s="1"/>
  <c r="I4630" i="6"/>
  <c r="K4630" i="6"/>
  <c r="L4630" i="6" s="1"/>
  <c r="I4629" i="6"/>
  <c r="K4629" i="6"/>
  <c r="L4629" i="6" s="1"/>
  <c r="I4628" i="6"/>
  <c r="K4628" i="6"/>
  <c r="L4628" i="6" s="1"/>
  <c r="I4627" i="6"/>
  <c r="K4627" i="6"/>
  <c r="L4627" i="6" s="1"/>
  <c r="I4626" i="6"/>
  <c r="K4626" i="6"/>
  <c r="L4626" i="6" s="1"/>
  <c r="I4625" i="6"/>
  <c r="K4625" i="6"/>
  <c r="L4625" i="6" s="1"/>
  <c r="I4624" i="6"/>
  <c r="K4624" i="6"/>
  <c r="L4624" i="6" s="1"/>
  <c r="I4623" i="6"/>
  <c r="K4623" i="6"/>
  <c r="L4623" i="6" s="1"/>
  <c r="I4622" i="6"/>
  <c r="K4622" i="6"/>
  <c r="L4622" i="6" s="1"/>
  <c r="I4621" i="6"/>
  <c r="K4621" i="6"/>
  <c r="L4621" i="6" s="1"/>
  <c r="K4620" i="6"/>
  <c r="L4620" i="6" s="1"/>
  <c r="I4620" i="6"/>
  <c r="I4619" i="6"/>
  <c r="K4619" i="6"/>
  <c r="L4619" i="6" s="1"/>
  <c r="I4618" i="6"/>
  <c r="K4618" i="6"/>
  <c r="L4618" i="6" s="1"/>
  <c r="I4617" i="6"/>
  <c r="K4617" i="6"/>
  <c r="L4617" i="6" s="1"/>
  <c r="I4616" i="6"/>
  <c r="K4616" i="6"/>
  <c r="L4616" i="6" s="1"/>
  <c r="I4615" i="6"/>
  <c r="K4615" i="6"/>
  <c r="L4615" i="6" s="1"/>
  <c r="I4614" i="6"/>
  <c r="K4614" i="6"/>
  <c r="L4614" i="6" s="1"/>
  <c r="I4613" i="6"/>
  <c r="K4613" i="6"/>
  <c r="L4613" i="6" s="1"/>
  <c r="I4612" i="6"/>
  <c r="K4612" i="6"/>
  <c r="L4612" i="6" s="1"/>
  <c r="I4611" i="6"/>
  <c r="K4611" i="6"/>
  <c r="L4611" i="6" s="1"/>
  <c r="I4610" i="6"/>
  <c r="K4610" i="6"/>
  <c r="L4610" i="6" s="1"/>
  <c r="I4609" i="6"/>
  <c r="K4609" i="6"/>
  <c r="L4609" i="6" s="1"/>
  <c r="I4608" i="6"/>
  <c r="K4608" i="6"/>
  <c r="L4608" i="6" s="1"/>
  <c r="I4607" i="6"/>
  <c r="K4607" i="6"/>
  <c r="L4607" i="6" s="1"/>
  <c r="I4606" i="6"/>
  <c r="K4606" i="6"/>
  <c r="L4606" i="6" s="1"/>
  <c r="I4605" i="6"/>
  <c r="K4605" i="6"/>
  <c r="L4605" i="6" s="1"/>
  <c r="I4604" i="6"/>
  <c r="K4604" i="6"/>
  <c r="L4604" i="6" s="1"/>
  <c r="I4603" i="6"/>
  <c r="K4603" i="6"/>
  <c r="L4603" i="6" s="1"/>
  <c r="I4602" i="6"/>
  <c r="K4602" i="6"/>
  <c r="L4602" i="6"/>
  <c r="I4601" i="6"/>
  <c r="K4601" i="6"/>
  <c r="L4601" i="6" s="1"/>
  <c r="I4600" i="6"/>
  <c r="K4600" i="6"/>
  <c r="L4600" i="6"/>
  <c r="I4599" i="6"/>
  <c r="K4599" i="6"/>
  <c r="L4599" i="6" s="1"/>
  <c r="I4598" i="6"/>
  <c r="K4598" i="6"/>
  <c r="L4598" i="6" s="1"/>
  <c r="I4597" i="6"/>
  <c r="K4597" i="6"/>
  <c r="L4597" i="6" s="1"/>
  <c r="I4596" i="6"/>
  <c r="K4596" i="6"/>
  <c r="L4596" i="6" s="1"/>
  <c r="I4595" i="6"/>
  <c r="K4595" i="6"/>
  <c r="L4595" i="6" s="1"/>
  <c r="I4594" i="6"/>
  <c r="K4594" i="6"/>
  <c r="L4594" i="6" s="1"/>
  <c r="I4593" i="6"/>
  <c r="K4593" i="6"/>
  <c r="L4593" i="6" s="1"/>
  <c r="I4592" i="6"/>
  <c r="K4592" i="6"/>
  <c r="L4592" i="6" s="1"/>
  <c r="I4591" i="6"/>
  <c r="K4591" i="6"/>
  <c r="L4591" i="6" s="1"/>
  <c r="I4590" i="6"/>
  <c r="K4590" i="6"/>
  <c r="L4590" i="6" s="1"/>
  <c r="I4589" i="6"/>
  <c r="K4589" i="6"/>
  <c r="L4589" i="6" s="1"/>
  <c r="I4588" i="6"/>
  <c r="K4588" i="6"/>
  <c r="L4588" i="6" s="1"/>
  <c r="K4587" i="6"/>
  <c r="L4587" i="6" s="1"/>
  <c r="I4587" i="6"/>
  <c r="I4586" i="6"/>
  <c r="K4586" i="6"/>
  <c r="L4586" i="6" s="1"/>
  <c r="I4585" i="6"/>
  <c r="K4585" i="6"/>
  <c r="L4585" i="6" s="1"/>
  <c r="I4584" i="6"/>
  <c r="K4584" i="6"/>
  <c r="L4584" i="6" s="1"/>
  <c r="I4583" i="6"/>
  <c r="K4583" i="6"/>
  <c r="L4583" i="6" s="1"/>
  <c r="I4582" i="6"/>
  <c r="K4582" i="6"/>
  <c r="L4582" i="6" s="1"/>
  <c r="I4581" i="6"/>
  <c r="K4581" i="6"/>
  <c r="L4581" i="6" s="1"/>
  <c r="I4580" i="6"/>
  <c r="K4580" i="6"/>
  <c r="L4580" i="6" s="1"/>
  <c r="I4579" i="6"/>
  <c r="K4579" i="6"/>
  <c r="L4579" i="6" s="1"/>
  <c r="I4578" i="6"/>
  <c r="K4578" i="6"/>
  <c r="L4578" i="6" s="1"/>
  <c r="I4577" i="6"/>
  <c r="K4577" i="6"/>
  <c r="L4577" i="6" s="1"/>
  <c r="I4576" i="6"/>
  <c r="K4576" i="6"/>
  <c r="L4576" i="6" s="1"/>
  <c r="I4575" i="6"/>
  <c r="K4575" i="6"/>
  <c r="L4575" i="6" s="1"/>
  <c r="I4574" i="6"/>
  <c r="K4574" i="6"/>
  <c r="L4574" i="6" s="1"/>
  <c r="I4573" i="6"/>
  <c r="K4573" i="6"/>
  <c r="L4573" i="6"/>
  <c r="I4572" i="6"/>
  <c r="K4572" i="6"/>
  <c r="L4572" i="6" s="1"/>
  <c r="I4571" i="6"/>
  <c r="K4571" i="6"/>
  <c r="L4571" i="6" s="1"/>
  <c r="I4570" i="6"/>
  <c r="K4570" i="6"/>
  <c r="L4570" i="6" s="1"/>
  <c r="I4569" i="6"/>
  <c r="K4569" i="6"/>
  <c r="L4569" i="6" s="1"/>
  <c r="I4568" i="6"/>
  <c r="K4568" i="6"/>
  <c r="L4568" i="6" s="1"/>
  <c r="I4567" i="6"/>
  <c r="K4567" i="6"/>
  <c r="L4567" i="6" s="1"/>
  <c r="I4566" i="6"/>
  <c r="K4566" i="6"/>
  <c r="L4566" i="6" s="1"/>
  <c r="I4565" i="6"/>
  <c r="K4565" i="6"/>
  <c r="L4565" i="6" s="1"/>
  <c r="I4564" i="6"/>
  <c r="K4564" i="6"/>
  <c r="L4564" i="6" s="1"/>
  <c r="I4563" i="6"/>
  <c r="K4563" i="6"/>
  <c r="L4563" i="6" s="1"/>
  <c r="I4562" i="6"/>
  <c r="K4562" i="6"/>
  <c r="L4562" i="6" s="1"/>
  <c r="K4561" i="6"/>
  <c r="L4561" i="6" s="1"/>
  <c r="I4561" i="6"/>
  <c r="I4560" i="6"/>
  <c r="K4560" i="6"/>
  <c r="L4560" i="6" s="1"/>
  <c r="I4559" i="6"/>
  <c r="K4559" i="6"/>
  <c r="L4559" i="6" s="1"/>
  <c r="I4558" i="6"/>
  <c r="K4558" i="6"/>
  <c r="L4558" i="6" s="1"/>
  <c r="I4557" i="6"/>
  <c r="K4557" i="6"/>
  <c r="L4557" i="6" s="1"/>
  <c r="I4556" i="6"/>
  <c r="K4556" i="6"/>
  <c r="L4556" i="6" s="1"/>
  <c r="I4555" i="6"/>
  <c r="K4555" i="6"/>
  <c r="L4555" i="6" s="1"/>
  <c r="I4554" i="6"/>
  <c r="K4554" i="6"/>
  <c r="L4554" i="6" s="1"/>
  <c r="I4553" i="6"/>
  <c r="K4553" i="6"/>
  <c r="L4553" i="6"/>
  <c r="I4552" i="6"/>
  <c r="K4552" i="6"/>
  <c r="L4552" i="6" s="1"/>
  <c r="I4551" i="6"/>
  <c r="K4551" i="6"/>
  <c r="L4551" i="6" s="1"/>
  <c r="I4550" i="6"/>
  <c r="K4550" i="6"/>
  <c r="L4550" i="6" s="1"/>
  <c r="I4549" i="6"/>
  <c r="K4549" i="6"/>
  <c r="L4549" i="6" s="1"/>
  <c r="I4548" i="6"/>
  <c r="K4548" i="6"/>
  <c r="L4548" i="6" s="1"/>
  <c r="I4547" i="6"/>
  <c r="K4547" i="6"/>
  <c r="L4547" i="6" s="1"/>
  <c r="I4546" i="6"/>
  <c r="K4546" i="6"/>
  <c r="L4546" i="6"/>
  <c r="I4545" i="6"/>
  <c r="K4545" i="6"/>
  <c r="L4545" i="6" s="1"/>
  <c r="I4544" i="6"/>
  <c r="K4544" i="6"/>
  <c r="L4544" i="6" s="1"/>
  <c r="I4543" i="6"/>
  <c r="K4543" i="6"/>
  <c r="L4543" i="6" s="1"/>
  <c r="I4542" i="6"/>
  <c r="K4542" i="6"/>
  <c r="L4542" i="6" s="1"/>
  <c r="I4541" i="6"/>
  <c r="K4541" i="6"/>
  <c r="L4541" i="6" s="1"/>
  <c r="I4540" i="6"/>
  <c r="K4540" i="6"/>
  <c r="L4540" i="6" s="1"/>
  <c r="I4539" i="6"/>
  <c r="K4539" i="6"/>
  <c r="L4539" i="6" s="1"/>
  <c r="I4538" i="6"/>
  <c r="K4538" i="6"/>
  <c r="L4538" i="6" s="1"/>
  <c r="I4537" i="6"/>
  <c r="K4537" i="6"/>
  <c r="L4537" i="6" s="1"/>
  <c r="I4536" i="6"/>
  <c r="K4536" i="6"/>
  <c r="L4536" i="6" s="1"/>
  <c r="I4535" i="6"/>
  <c r="K4535" i="6"/>
  <c r="L4535" i="6" s="1"/>
  <c r="I4534" i="6"/>
  <c r="K4534" i="6"/>
  <c r="L4534" i="6"/>
  <c r="I4533" i="6"/>
  <c r="K4533" i="6"/>
  <c r="L4533" i="6" s="1"/>
  <c r="I4532" i="6"/>
  <c r="K4532" i="6"/>
  <c r="L4532" i="6" s="1"/>
  <c r="I4531" i="6"/>
  <c r="K4531" i="6"/>
  <c r="L4531" i="6" s="1"/>
  <c r="I4530" i="6"/>
  <c r="K4530" i="6"/>
  <c r="L4530" i="6" s="1"/>
  <c r="I4529" i="6"/>
  <c r="K4529" i="6"/>
  <c r="L4529" i="6" s="1"/>
  <c r="I4528" i="6"/>
  <c r="K4528" i="6"/>
  <c r="L4528" i="6" s="1"/>
  <c r="I4527" i="6"/>
  <c r="K4527" i="6"/>
  <c r="L4527" i="6" s="1"/>
  <c r="I4526" i="6"/>
  <c r="K4526" i="6"/>
  <c r="L4526" i="6" s="1"/>
  <c r="I4525" i="6"/>
  <c r="K4525" i="6"/>
  <c r="L4525" i="6" s="1"/>
  <c r="I4524" i="6"/>
  <c r="K4524" i="6"/>
  <c r="L4524" i="6" s="1"/>
  <c r="I4523" i="6"/>
  <c r="K4523" i="6"/>
  <c r="L4523" i="6" s="1"/>
  <c r="I4522" i="6"/>
  <c r="K4522" i="6"/>
  <c r="L4522" i="6"/>
  <c r="K4521" i="6"/>
  <c r="L4521" i="6" s="1"/>
  <c r="I4521" i="6"/>
  <c r="I4520" i="6"/>
  <c r="K4520" i="6"/>
  <c r="L4520" i="6" s="1"/>
  <c r="I4519" i="6"/>
  <c r="K4519" i="6"/>
  <c r="L4519" i="6" s="1"/>
  <c r="I4518" i="6"/>
  <c r="K4518" i="6"/>
  <c r="L4518" i="6" s="1"/>
  <c r="I4517" i="6"/>
  <c r="K4517" i="6"/>
  <c r="L4517" i="6" s="1"/>
  <c r="I4516" i="6"/>
  <c r="K4516" i="6"/>
  <c r="L4516" i="6" s="1"/>
  <c r="I4515" i="6"/>
  <c r="K4515" i="6"/>
  <c r="L4515" i="6" s="1"/>
  <c r="I4514" i="6"/>
  <c r="K4514" i="6"/>
  <c r="L4514" i="6" s="1"/>
  <c r="I4513" i="6"/>
  <c r="K4513" i="6"/>
  <c r="L4513" i="6" s="1"/>
  <c r="K4512" i="6"/>
  <c r="L4512" i="6" s="1"/>
  <c r="I4512" i="6"/>
  <c r="I4511" i="6"/>
  <c r="K4511" i="6"/>
  <c r="L4511" i="6" s="1"/>
  <c r="K4510" i="6"/>
  <c r="I4510" i="6"/>
  <c r="L4510" i="6"/>
  <c r="I4509" i="6"/>
  <c r="K4509" i="6"/>
  <c r="L4509" i="6" s="1"/>
  <c r="I4508" i="6"/>
  <c r="K4508" i="6"/>
  <c r="L4508" i="6" s="1"/>
  <c r="I4507" i="6"/>
  <c r="K4507" i="6"/>
  <c r="L4507" i="6" s="1"/>
  <c r="I4506" i="6"/>
  <c r="K4506" i="6"/>
  <c r="L4506" i="6" s="1"/>
  <c r="I4505" i="6"/>
  <c r="K4505" i="6"/>
  <c r="L4505" i="6" s="1"/>
  <c r="I4504" i="6"/>
  <c r="K4504" i="6"/>
  <c r="L4504" i="6" s="1"/>
  <c r="I4503" i="6"/>
  <c r="K4503" i="6"/>
  <c r="L4503" i="6" s="1"/>
  <c r="I4502" i="6"/>
  <c r="K4502" i="6"/>
  <c r="L4502" i="6" s="1"/>
  <c r="I4501" i="6"/>
  <c r="K4501" i="6"/>
  <c r="L4501" i="6" s="1"/>
  <c r="I4500" i="6"/>
  <c r="K4500" i="6"/>
  <c r="L4500" i="6" s="1"/>
  <c r="I4499" i="6"/>
  <c r="K4499" i="6"/>
  <c r="L4499" i="6" s="1"/>
  <c r="I4498" i="6"/>
  <c r="K4498" i="6"/>
  <c r="L4498" i="6" s="1"/>
  <c r="I4497" i="6"/>
  <c r="K4497" i="6"/>
  <c r="L4497" i="6" s="1"/>
  <c r="K4496" i="6"/>
  <c r="L4496" i="6" s="1"/>
  <c r="I4496" i="6"/>
  <c r="I4495" i="6"/>
  <c r="K4495" i="6"/>
  <c r="L4495" i="6" s="1"/>
  <c r="I4494" i="6"/>
  <c r="K4494" i="6"/>
  <c r="L4494" i="6"/>
  <c r="I4493" i="6"/>
  <c r="K4493" i="6"/>
  <c r="L4493" i="6" s="1"/>
  <c r="I4492" i="6"/>
  <c r="K4492" i="6"/>
  <c r="L4492" i="6" s="1"/>
  <c r="I4491" i="6"/>
  <c r="K4491" i="6"/>
  <c r="L4491" i="6" s="1"/>
  <c r="I4490" i="6"/>
  <c r="K4490" i="6"/>
  <c r="L4490" i="6" s="1"/>
  <c r="I4489" i="6"/>
  <c r="K4489" i="6"/>
  <c r="L4489" i="6" s="1"/>
  <c r="I4488" i="6"/>
  <c r="K4488" i="6"/>
  <c r="L4488" i="6" s="1"/>
  <c r="K4487" i="6"/>
  <c r="I4487" i="6"/>
  <c r="L4487" i="6"/>
  <c r="I4486" i="6"/>
  <c r="K4486" i="6"/>
  <c r="L4486" i="6" s="1"/>
  <c r="K4485" i="6"/>
  <c r="L4485" i="6" s="1"/>
  <c r="I4485" i="6"/>
  <c r="I4484" i="6"/>
  <c r="K4484" i="6"/>
  <c r="L4484" i="6" s="1"/>
  <c r="I4483" i="6"/>
  <c r="K4483" i="6"/>
  <c r="L4483" i="6" s="1"/>
  <c r="I4482" i="6"/>
  <c r="K4482" i="6"/>
  <c r="L4482" i="6" s="1"/>
  <c r="I4481" i="6"/>
  <c r="K4481" i="6"/>
  <c r="L4481" i="6" s="1"/>
  <c r="I4480" i="6"/>
  <c r="K4480" i="6"/>
  <c r="L4480" i="6" s="1"/>
  <c r="I4479" i="6"/>
  <c r="K4479" i="6"/>
  <c r="L4479" i="6" s="1"/>
  <c r="I4478" i="6"/>
  <c r="K4478" i="6"/>
  <c r="L4478" i="6" s="1"/>
  <c r="I4477" i="6"/>
  <c r="K4477" i="6"/>
  <c r="L4477" i="6" s="1"/>
  <c r="I4476" i="6"/>
  <c r="K4476" i="6"/>
  <c r="L4476" i="6" s="1"/>
  <c r="I4475" i="6"/>
  <c r="K4475" i="6"/>
  <c r="L4475" i="6" s="1"/>
  <c r="I4474" i="6"/>
  <c r="K4474" i="6"/>
  <c r="L4474" i="6" s="1"/>
  <c r="I4473" i="6"/>
  <c r="K4473" i="6"/>
  <c r="L4473" i="6" s="1"/>
  <c r="I4472" i="6"/>
  <c r="K4472" i="6"/>
  <c r="L4472" i="6" s="1"/>
  <c r="I4471" i="6"/>
  <c r="K4471" i="6"/>
  <c r="L4471" i="6" s="1"/>
  <c r="I4470" i="6"/>
  <c r="K4470" i="6"/>
  <c r="L4470" i="6" s="1"/>
  <c r="I4469" i="6"/>
  <c r="K4469" i="6"/>
  <c r="L4469" i="6" s="1"/>
  <c r="I4468" i="6"/>
  <c r="K4468" i="6"/>
  <c r="L4468" i="6" s="1"/>
  <c r="I4467" i="6"/>
  <c r="K4467" i="6"/>
  <c r="L4467" i="6" s="1"/>
  <c r="I4466" i="6"/>
  <c r="K4466" i="6"/>
  <c r="L4466" i="6" s="1"/>
  <c r="I4465" i="6"/>
  <c r="K4465" i="6"/>
  <c r="L4465" i="6"/>
  <c r="K4464" i="6"/>
  <c r="L4464" i="6" s="1"/>
  <c r="I4464" i="6"/>
  <c r="I4463" i="6"/>
  <c r="K4463" i="6"/>
  <c r="L4463" i="6" s="1"/>
  <c r="I4462" i="6"/>
  <c r="K4462" i="6"/>
  <c r="L4462" i="6" s="1"/>
  <c r="I4461" i="6"/>
  <c r="K4461" i="6"/>
  <c r="L4461" i="6" s="1"/>
  <c r="I4460" i="6"/>
  <c r="K4460" i="6"/>
  <c r="L4460" i="6" s="1"/>
  <c r="K4459" i="6"/>
  <c r="L4459" i="6" s="1"/>
  <c r="I4459" i="6"/>
  <c r="I4458" i="6"/>
  <c r="K4458" i="6"/>
  <c r="L4458" i="6" s="1"/>
  <c r="I4457" i="6"/>
  <c r="K4457" i="6"/>
  <c r="L4457" i="6" s="1"/>
  <c r="I4456" i="6"/>
  <c r="K4456" i="6"/>
  <c r="L4456" i="6" s="1"/>
  <c r="I4455" i="6"/>
  <c r="K4455" i="6"/>
  <c r="L4455" i="6" s="1"/>
  <c r="I4454" i="6"/>
  <c r="K4454" i="6"/>
  <c r="L4454" i="6" s="1"/>
  <c r="I4453" i="6"/>
  <c r="K4453" i="6"/>
  <c r="L4453" i="6" s="1"/>
  <c r="I4452" i="6"/>
  <c r="K4452" i="6"/>
  <c r="L4452" i="6" s="1"/>
  <c r="I4451" i="6"/>
  <c r="K4451" i="6"/>
  <c r="L4451" i="6" s="1"/>
  <c r="I4450" i="6"/>
  <c r="K4450" i="6"/>
  <c r="L4450" i="6" s="1"/>
  <c r="I4449" i="6"/>
  <c r="K4449" i="6"/>
  <c r="L4449" i="6" s="1"/>
  <c r="I4448" i="6"/>
  <c r="K4448" i="6"/>
  <c r="L4448" i="6" s="1"/>
  <c r="I4447" i="6"/>
  <c r="K4447" i="6"/>
  <c r="L4447" i="6" s="1"/>
  <c r="I4446" i="6"/>
  <c r="K4446" i="6"/>
  <c r="L4446" i="6" s="1"/>
  <c r="I4445" i="6"/>
  <c r="K4445" i="6"/>
  <c r="L4445" i="6" s="1"/>
  <c r="I4444" i="6"/>
  <c r="K4444" i="6"/>
  <c r="L4444" i="6" s="1"/>
  <c r="I4443" i="6"/>
  <c r="K4443" i="6"/>
  <c r="L4443" i="6" s="1"/>
  <c r="I4442" i="6"/>
  <c r="K4442" i="6"/>
  <c r="L4442" i="6" s="1"/>
  <c r="I4441" i="6"/>
  <c r="K4441" i="6"/>
  <c r="L4441" i="6" s="1"/>
  <c r="I4440" i="6"/>
  <c r="K4440" i="6"/>
  <c r="L4440" i="6" s="1"/>
  <c r="I4439" i="6"/>
  <c r="K4439" i="6"/>
  <c r="L4439" i="6" s="1"/>
  <c r="I4438" i="6"/>
  <c r="K4438" i="6"/>
  <c r="L4438" i="6" s="1"/>
  <c r="I4437" i="6"/>
  <c r="K4437" i="6"/>
  <c r="L4437" i="6" s="1"/>
  <c r="K4436" i="6"/>
  <c r="L4436" i="6" s="1"/>
  <c r="I4436" i="6"/>
  <c r="I4435" i="6"/>
  <c r="K4435" i="6"/>
  <c r="L4435" i="6" s="1"/>
  <c r="I4434" i="6"/>
  <c r="K4434" i="6"/>
  <c r="L4434" i="6" s="1"/>
  <c r="I4433" i="6"/>
  <c r="K4433" i="6"/>
  <c r="L4433" i="6" s="1"/>
  <c r="I4432" i="6"/>
  <c r="K4432" i="6"/>
  <c r="L4432" i="6" s="1"/>
  <c r="I4431" i="6"/>
  <c r="K4431" i="6"/>
  <c r="L4431" i="6" s="1"/>
  <c r="K4430" i="6"/>
  <c r="L4430" i="6" s="1"/>
  <c r="I4430" i="6"/>
  <c r="I4429" i="6"/>
  <c r="K4429" i="6"/>
  <c r="L4429" i="6" s="1"/>
  <c r="I4428" i="6"/>
  <c r="K4428" i="6"/>
  <c r="L4428" i="6" s="1"/>
  <c r="I4427" i="6"/>
  <c r="K4427" i="6"/>
  <c r="L4427" i="6" s="1"/>
  <c r="I4426" i="6"/>
  <c r="K4426" i="6"/>
  <c r="L4426" i="6" s="1"/>
  <c r="I4425" i="6"/>
  <c r="K4425" i="6"/>
  <c r="L4425" i="6" s="1"/>
  <c r="I4424" i="6"/>
  <c r="K4424" i="6"/>
  <c r="L4424" i="6" s="1"/>
  <c r="I4423" i="6"/>
  <c r="K4423" i="6"/>
  <c r="L4423" i="6" s="1"/>
  <c r="I4422" i="6"/>
  <c r="K4422" i="6"/>
  <c r="L4422" i="6" s="1"/>
  <c r="I4421" i="6"/>
  <c r="K4421" i="6"/>
  <c r="L4421" i="6" s="1"/>
  <c r="I4420" i="6"/>
  <c r="K4420" i="6"/>
  <c r="L4420" i="6" s="1"/>
  <c r="I4419" i="6"/>
  <c r="K4419" i="6"/>
  <c r="L4419" i="6" s="1"/>
  <c r="I4418" i="6"/>
  <c r="K4418" i="6"/>
  <c r="L4418" i="6" s="1"/>
  <c r="I4417" i="6"/>
  <c r="K4417" i="6"/>
  <c r="L4417" i="6" s="1"/>
  <c r="I4416" i="6"/>
  <c r="K4416" i="6"/>
  <c r="L4416" i="6" s="1"/>
  <c r="I4415" i="6"/>
  <c r="K4415" i="6"/>
  <c r="L4415" i="6" s="1"/>
  <c r="I4414" i="6"/>
  <c r="K4414" i="6"/>
  <c r="L4414" i="6" s="1"/>
  <c r="K4413" i="6"/>
  <c r="L4413" i="6" s="1"/>
  <c r="I4413" i="6"/>
  <c r="I4412" i="6"/>
  <c r="K4412" i="6"/>
  <c r="L4412" i="6" s="1"/>
  <c r="I4411" i="6"/>
  <c r="K4411" i="6"/>
  <c r="L4411" i="6" s="1"/>
  <c r="K4410" i="6"/>
  <c r="L4410" i="6" s="1"/>
  <c r="I4410" i="6"/>
  <c r="I4409" i="6"/>
  <c r="K4409" i="6"/>
  <c r="L4409" i="6" s="1"/>
  <c r="I4408" i="6"/>
  <c r="K4408" i="6"/>
  <c r="L4408" i="6" s="1"/>
  <c r="I4407" i="6"/>
  <c r="K4407" i="6"/>
  <c r="L4407" i="6" s="1"/>
  <c r="I4406" i="6"/>
  <c r="K4406" i="6"/>
  <c r="L4406" i="6" s="1"/>
  <c r="I4405" i="6"/>
  <c r="K4405" i="6"/>
  <c r="L4405" i="6" s="1"/>
  <c r="I4404" i="6"/>
  <c r="K4404" i="6"/>
  <c r="L4404" i="6" s="1"/>
  <c r="I4403" i="6"/>
  <c r="K4403" i="6"/>
  <c r="L4403" i="6" s="1"/>
  <c r="I4402" i="6"/>
  <c r="K4402" i="6"/>
  <c r="L4402" i="6" s="1"/>
  <c r="I4401" i="6"/>
  <c r="K4401" i="6"/>
  <c r="L4401" i="6" s="1"/>
  <c r="I4400" i="6"/>
  <c r="K4400" i="6"/>
  <c r="L4400" i="6" s="1"/>
  <c r="I4399" i="6"/>
  <c r="K4399" i="6"/>
  <c r="L4399" i="6" s="1"/>
  <c r="I4398" i="6"/>
  <c r="K4398" i="6"/>
  <c r="L4398" i="6" s="1"/>
  <c r="K4397" i="6"/>
  <c r="L4397" i="6" s="1"/>
  <c r="I4397" i="6"/>
  <c r="I4396" i="6"/>
  <c r="K4396" i="6"/>
  <c r="L4396" i="6" s="1"/>
  <c r="I4395" i="6"/>
  <c r="K4395" i="6"/>
  <c r="L4395" i="6" s="1"/>
  <c r="I4394" i="6"/>
  <c r="K4394" i="6"/>
  <c r="L4394" i="6" s="1"/>
  <c r="I4393" i="6"/>
  <c r="K4393" i="6"/>
  <c r="L4393" i="6" s="1"/>
  <c r="I4392" i="6"/>
  <c r="K4392" i="6"/>
  <c r="L4392" i="6" s="1"/>
  <c r="I4391" i="6"/>
  <c r="K4391" i="6"/>
  <c r="L4391" i="6" s="1"/>
  <c r="I4390" i="6"/>
  <c r="K4390" i="6"/>
  <c r="L4390" i="6" s="1"/>
  <c r="I4389" i="6"/>
  <c r="K4389" i="6"/>
  <c r="L4389" i="6" s="1"/>
  <c r="I4388" i="6"/>
  <c r="K4388" i="6"/>
  <c r="L4388" i="6" s="1"/>
  <c r="I4387" i="6"/>
  <c r="K4387" i="6"/>
  <c r="L4387" i="6" s="1"/>
  <c r="I4386" i="6"/>
  <c r="K4386" i="6"/>
  <c r="L4386" i="6" s="1"/>
  <c r="K4385" i="6"/>
  <c r="L4385" i="6" s="1"/>
  <c r="I4385" i="6"/>
  <c r="I4384" i="6"/>
  <c r="K4384" i="6"/>
  <c r="L4384" i="6" s="1"/>
  <c r="I4383" i="6"/>
  <c r="K4383" i="6"/>
  <c r="L4383" i="6" s="1"/>
  <c r="I4382" i="6"/>
  <c r="K4382" i="6"/>
  <c r="L4382" i="6" s="1"/>
  <c r="I4381" i="6"/>
  <c r="K4381" i="6"/>
  <c r="L4381" i="6" s="1"/>
  <c r="I4380" i="6"/>
  <c r="K4380" i="6"/>
  <c r="L4380" i="6"/>
  <c r="I4379" i="6"/>
  <c r="K4379" i="6"/>
  <c r="L4379" i="6" s="1"/>
  <c r="I4378" i="6"/>
  <c r="K4378" i="6"/>
  <c r="L4378" i="6" s="1"/>
  <c r="I4377" i="6"/>
  <c r="K4377" i="6"/>
  <c r="L4377" i="6"/>
  <c r="I4376" i="6"/>
  <c r="K4376" i="6"/>
  <c r="L4376" i="6" s="1"/>
  <c r="I4375" i="6"/>
  <c r="K4375" i="6"/>
  <c r="L4375" i="6" s="1"/>
  <c r="I4374" i="6"/>
  <c r="K4374" i="6"/>
  <c r="L4374" i="6" s="1"/>
  <c r="I4373" i="6"/>
  <c r="K4373" i="6"/>
  <c r="L4373" i="6" s="1"/>
  <c r="I4372" i="6"/>
  <c r="K4372" i="6"/>
  <c r="L4372" i="6" s="1"/>
  <c r="I4371" i="6"/>
  <c r="K4371" i="6"/>
  <c r="L4371" i="6" s="1"/>
  <c r="K4370" i="6"/>
  <c r="L4370" i="6"/>
  <c r="I4370" i="6"/>
  <c r="I4369" i="6"/>
  <c r="K4369" i="6"/>
  <c r="L4369" i="6" s="1"/>
  <c r="I4368" i="6"/>
  <c r="K4368" i="6"/>
  <c r="L4368" i="6" s="1"/>
  <c r="I4367" i="6"/>
  <c r="K4367" i="6"/>
  <c r="L4367" i="6" s="1"/>
  <c r="I4366" i="6"/>
  <c r="K4366" i="6"/>
  <c r="L4366" i="6" s="1"/>
  <c r="I4365" i="6"/>
  <c r="K4365" i="6"/>
  <c r="L4365" i="6" s="1"/>
  <c r="I4364" i="6"/>
  <c r="K4364" i="6"/>
  <c r="L4364" i="6" s="1"/>
  <c r="I4363" i="6"/>
  <c r="K4363" i="6"/>
  <c r="L4363" i="6" s="1"/>
  <c r="I4362" i="6"/>
  <c r="K4362" i="6"/>
  <c r="L4362" i="6" s="1"/>
  <c r="I4361" i="6"/>
  <c r="K4361" i="6"/>
  <c r="L4361" i="6" s="1"/>
  <c r="I4360" i="6"/>
  <c r="K4360" i="6"/>
  <c r="L4360" i="6" s="1"/>
  <c r="I4359" i="6"/>
  <c r="K4359" i="6"/>
  <c r="L4359" i="6" s="1"/>
  <c r="I4358" i="6"/>
  <c r="K4358" i="6"/>
  <c r="L4358" i="6" s="1"/>
  <c r="I4357" i="6"/>
  <c r="K4357" i="6"/>
  <c r="L4357" i="6" s="1"/>
  <c r="I4356" i="6"/>
  <c r="K4356" i="6"/>
  <c r="L4356" i="6" s="1"/>
  <c r="I4355" i="6"/>
  <c r="K4355" i="6"/>
  <c r="L4355" i="6" s="1"/>
  <c r="I4354" i="6"/>
  <c r="K4354" i="6"/>
  <c r="L4354" i="6" s="1"/>
  <c r="I4353" i="6"/>
  <c r="K4353" i="6"/>
  <c r="L4353" i="6" s="1"/>
  <c r="I4352" i="6"/>
  <c r="K4352" i="6"/>
  <c r="L4352" i="6" s="1"/>
  <c r="I4351" i="6"/>
  <c r="K4351" i="6"/>
  <c r="L4351" i="6" s="1"/>
  <c r="I4350" i="6"/>
  <c r="K4350" i="6"/>
  <c r="L4350" i="6" s="1"/>
  <c r="I4349" i="6"/>
  <c r="K4349" i="6"/>
  <c r="L4349" i="6"/>
  <c r="I4348" i="6"/>
  <c r="K4348" i="6"/>
  <c r="L4348" i="6" s="1"/>
  <c r="I4347" i="6"/>
  <c r="K4347" i="6"/>
  <c r="L4347" i="6" s="1"/>
  <c r="I4346" i="6"/>
  <c r="K4346" i="6"/>
  <c r="L4346" i="6" s="1"/>
  <c r="I4345" i="6"/>
  <c r="K4345" i="6"/>
  <c r="L4345" i="6" s="1"/>
  <c r="I4344" i="6"/>
  <c r="K4344" i="6"/>
  <c r="L4344" i="6" s="1"/>
  <c r="I4343" i="6"/>
  <c r="K4343" i="6"/>
  <c r="L4343" i="6" s="1"/>
  <c r="I4342" i="6"/>
  <c r="K4342" i="6"/>
  <c r="L4342" i="6" s="1"/>
  <c r="I4341" i="6"/>
  <c r="K4341" i="6"/>
  <c r="L4341" i="6" s="1"/>
  <c r="I4340" i="6"/>
  <c r="K4340" i="6"/>
  <c r="L4340" i="6"/>
  <c r="I4339" i="6"/>
  <c r="K4339" i="6"/>
  <c r="L4339" i="6" s="1"/>
  <c r="I4338" i="6"/>
  <c r="K4338" i="6"/>
  <c r="L4338" i="6" s="1"/>
  <c r="I4337" i="6"/>
  <c r="K4337" i="6"/>
  <c r="L4337" i="6" s="1"/>
  <c r="I4336" i="6"/>
  <c r="K4336" i="6"/>
  <c r="L4336" i="6" s="1"/>
  <c r="I4335" i="6"/>
  <c r="K4335" i="6"/>
  <c r="L4335" i="6" s="1"/>
  <c r="I4334" i="6"/>
  <c r="K4334" i="6"/>
  <c r="L4334" i="6"/>
  <c r="I4333" i="6"/>
  <c r="K4333" i="6"/>
  <c r="L4333" i="6" s="1"/>
  <c r="I4332" i="6"/>
  <c r="K4332" i="6"/>
  <c r="L4332" i="6" s="1"/>
  <c r="I4331" i="6"/>
  <c r="K4331" i="6"/>
  <c r="L4331" i="6" s="1"/>
  <c r="I4330" i="6"/>
  <c r="K4330" i="6"/>
  <c r="L4330" i="6" s="1"/>
  <c r="K4329" i="6"/>
  <c r="L4329" i="6" s="1"/>
  <c r="I4329" i="6"/>
  <c r="I4328" i="6"/>
  <c r="K4328" i="6"/>
  <c r="L4328" i="6" s="1"/>
  <c r="I4327" i="6"/>
  <c r="K4327" i="6"/>
  <c r="L4327" i="6" s="1"/>
  <c r="I4326" i="6"/>
  <c r="K4326" i="6"/>
  <c r="L4326" i="6" s="1"/>
  <c r="I4325" i="6"/>
  <c r="K4325" i="6"/>
  <c r="L4325" i="6" s="1"/>
  <c r="I4324" i="6"/>
  <c r="K4324" i="6"/>
  <c r="L4324" i="6" s="1"/>
  <c r="I4323" i="6"/>
  <c r="K4323" i="6"/>
  <c r="L4323" i="6" s="1"/>
  <c r="I4322" i="6"/>
  <c r="K4322" i="6"/>
  <c r="L4322" i="6" s="1"/>
  <c r="I4321" i="6"/>
  <c r="K4321" i="6"/>
  <c r="L4321" i="6" s="1"/>
  <c r="I4320" i="6"/>
  <c r="K4320" i="6"/>
  <c r="L4320" i="6" s="1"/>
  <c r="I4319" i="6"/>
  <c r="K4319" i="6"/>
  <c r="L4319" i="6" s="1"/>
  <c r="I4318" i="6"/>
  <c r="K4318" i="6"/>
  <c r="L4318" i="6" s="1"/>
  <c r="I4317" i="6"/>
  <c r="K4317" i="6"/>
  <c r="L4317" i="6" s="1"/>
  <c r="I4316" i="6"/>
  <c r="K4316" i="6"/>
  <c r="L4316" i="6" s="1"/>
  <c r="I4315" i="6"/>
  <c r="K4315" i="6"/>
  <c r="L4315" i="6" s="1"/>
  <c r="I4314" i="6"/>
  <c r="K4314" i="6"/>
  <c r="L4314" i="6" s="1"/>
  <c r="I4313" i="6"/>
  <c r="K4313" i="6"/>
  <c r="L4313" i="6" s="1"/>
  <c r="I4312" i="6"/>
  <c r="K4312" i="6"/>
  <c r="L4312" i="6" s="1"/>
  <c r="I4311" i="6"/>
  <c r="K4311" i="6"/>
  <c r="L4311" i="6" s="1"/>
  <c r="I4310" i="6"/>
  <c r="K4310" i="6"/>
  <c r="L4310" i="6" s="1"/>
  <c r="I4309" i="6"/>
  <c r="K4309" i="6"/>
  <c r="L4309" i="6" s="1"/>
  <c r="I4308" i="6"/>
  <c r="K4308" i="6"/>
  <c r="L4308" i="6" s="1"/>
  <c r="I4307" i="6"/>
  <c r="K4307" i="6"/>
  <c r="L4307" i="6" s="1"/>
  <c r="I4306" i="6"/>
  <c r="K4306" i="6"/>
  <c r="L4306" i="6" s="1"/>
  <c r="I4305" i="6"/>
  <c r="K4305" i="6"/>
  <c r="L4305" i="6" s="1"/>
  <c r="I4304" i="6"/>
  <c r="K4304" i="6"/>
  <c r="L4304" i="6" s="1"/>
  <c r="I4303" i="6"/>
  <c r="K4303" i="6"/>
  <c r="L4303" i="6" s="1"/>
  <c r="I4302" i="6"/>
  <c r="K4302" i="6"/>
  <c r="L4302" i="6" s="1"/>
  <c r="I4301" i="6"/>
  <c r="K4301" i="6"/>
  <c r="L4301" i="6" s="1"/>
  <c r="I4300" i="6"/>
  <c r="K4300" i="6"/>
  <c r="L4300" i="6" s="1"/>
  <c r="I4299" i="6"/>
  <c r="K4299" i="6"/>
  <c r="L4299" i="6" s="1"/>
  <c r="I4298" i="6"/>
  <c r="K4298" i="6"/>
  <c r="L4298" i="6" s="1"/>
  <c r="I4297" i="6"/>
  <c r="K4297" i="6"/>
  <c r="L4297" i="6" s="1"/>
  <c r="I4296" i="6"/>
  <c r="K4296" i="6"/>
  <c r="L4296" i="6" s="1"/>
  <c r="K4295" i="6"/>
  <c r="L4295" i="6" s="1"/>
  <c r="I4295" i="6"/>
  <c r="I4294" i="6"/>
  <c r="K4294" i="6"/>
  <c r="L4294" i="6" s="1"/>
  <c r="I4293" i="6"/>
  <c r="K4293" i="6"/>
  <c r="L4293" i="6" s="1"/>
  <c r="I4292" i="6"/>
  <c r="K4292" i="6"/>
  <c r="L4292" i="6" s="1"/>
  <c r="I4291" i="6"/>
  <c r="K4291" i="6"/>
  <c r="L4291" i="6" s="1"/>
  <c r="I4290" i="6"/>
  <c r="K4290" i="6"/>
  <c r="L4290" i="6" s="1"/>
  <c r="I4289" i="6"/>
  <c r="K4289" i="6"/>
  <c r="L4289" i="6" s="1"/>
  <c r="I4288" i="6"/>
  <c r="K4288" i="6"/>
  <c r="L4288" i="6" s="1"/>
  <c r="I4287" i="6"/>
  <c r="K4287" i="6"/>
  <c r="L4287" i="6" s="1"/>
  <c r="I4286" i="6"/>
  <c r="K4286" i="6"/>
  <c r="L4286" i="6" s="1"/>
  <c r="I4285" i="6"/>
  <c r="K4285" i="6"/>
  <c r="L4285" i="6" s="1"/>
  <c r="I4284" i="6"/>
  <c r="K4284" i="6"/>
  <c r="L4284" i="6" s="1"/>
  <c r="I4283" i="6"/>
  <c r="K4283" i="6"/>
  <c r="L4283" i="6" s="1"/>
  <c r="I4282" i="6"/>
  <c r="K4282" i="6"/>
  <c r="L4282" i="6" s="1"/>
  <c r="I4281" i="6"/>
  <c r="K4281" i="6"/>
  <c r="L4281" i="6" s="1"/>
  <c r="I4280" i="6"/>
  <c r="K4280" i="6"/>
  <c r="L4280" i="6" s="1"/>
  <c r="I4279" i="6"/>
  <c r="K4279" i="6"/>
  <c r="L4279" i="6" s="1"/>
  <c r="I4278" i="6"/>
  <c r="K4278" i="6"/>
  <c r="L4278" i="6" s="1"/>
  <c r="I4277" i="6"/>
  <c r="K4277" i="6"/>
  <c r="L4277" i="6" s="1"/>
  <c r="I4276" i="6"/>
  <c r="K4276" i="6"/>
  <c r="L4276" i="6" s="1"/>
  <c r="I4275" i="6"/>
  <c r="K4275" i="6"/>
  <c r="L4275" i="6" s="1"/>
  <c r="I4274" i="6"/>
  <c r="K4274" i="6"/>
  <c r="L4274" i="6" s="1"/>
  <c r="I4273" i="6"/>
  <c r="K4273" i="6"/>
  <c r="L4273" i="6" s="1"/>
  <c r="I4272" i="6"/>
  <c r="K4272" i="6"/>
  <c r="L4272" i="6" s="1"/>
  <c r="I4271" i="6"/>
  <c r="K4271" i="6"/>
  <c r="L4271" i="6" s="1"/>
  <c r="I4270" i="6"/>
  <c r="K4270" i="6"/>
  <c r="L4270" i="6" s="1"/>
  <c r="I4269" i="6"/>
  <c r="K4269" i="6"/>
  <c r="L4269" i="6" s="1"/>
  <c r="I4268" i="6"/>
  <c r="K4268" i="6"/>
  <c r="L4268" i="6" s="1"/>
  <c r="I4267" i="6"/>
  <c r="K4267" i="6"/>
  <c r="L4267" i="6" s="1"/>
  <c r="I4266" i="6"/>
  <c r="K4266" i="6"/>
  <c r="L4266" i="6" s="1"/>
  <c r="I4265" i="6"/>
  <c r="K4265" i="6"/>
  <c r="L4265" i="6" s="1"/>
  <c r="I4264" i="6"/>
  <c r="K4264" i="6"/>
  <c r="L4264" i="6" s="1"/>
  <c r="I4263" i="6"/>
  <c r="K4263" i="6"/>
  <c r="L4263" i="6" s="1"/>
  <c r="I4262" i="6"/>
  <c r="K4262" i="6"/>
  <c r="L4262" i="6" s="1"/>
  <c r="I4261" i="6"/>
  <c r="K4261" i="6"/>
  <c r="L4261" i="6" s="1"/>
  <c r="I4260" i="6"/>
  <c r="K4260" i="6"/>
  <c r="L4260" i="6" s="1"/>
  <c r="I4259" i="6"/>
  <c r="K4259" i="6"/>
  <c r="L4259" i="6" s="1"/>
  <c r="I4258" i="6"/>
  <c r="K4258" i="6"/>
  <c r="L4258" i="6" s="1"/>
  <c r="I4257" i="6"/>
  <c r="K4257" i="6"/>
  <c r="L4257" i="6" s="1"/>
  <c r="I4256" i="6"/>
  <c r="K4256" i="6"/>
  <c r="L4256" i="6" s="1"/>
  <c r="I4255" i="6"/>
  <c r="K4255" i="6"/>
  <c r="L4255" i="6" s="1"/>
  <c r="I4254" i="6"/>
  <c r="K4254" i="6"/>
  <c r="L4254" i="6" s="1"/>
  <c r="I4253" i="6"/>
  <c r="K4253" i="6"/>
  <c r="L4253" i="6" s="1"/>
  <c r="I4252" i="6"/>
  <c r="K4252" i="6"/>
  <c r="L4252" i="6" s="1"/>
  <c r="I4251" i="6"/>
  <c r="K4251" i="6"/>
  <c r="L4251" i="6" s="1"/>
  <c r="I4250" i="6"/>
  <c r="K4250" i="6"/>
  <c r="L4250" i="6" s="1"/>
  <c r="I4249" i="6"/>
  <c r="K4249" i="6"/>
  <c r="L4249" i="6" s="1"/>
  <c r="I4248" i="6"/>
  <c r="K4248" i="6"/>
  <c r="L4248" i="6" s="1"/>
  <c r="I4247" i="6"/>
  <c r="K4247" i="6"/>
  <c r="L4247" i="6" s="1"/>
  <c r="I4246" i="6"/>
  <c r="K4246" i="6"/>
  <c r="L4246" i="6" s="1"/>
  <c r="I4245" i="6"/>
  <c r="K4245" i="6"/>
  <c r="L4245" i="6" s="1"/>
  <c r="I4244" i="6"/>
  <c r="K4244" i="6"/>
  <c r="L4244" i="6" s="1"/>
  <c r="I4243" i="6"/>
  <c r="K4243" i="6"/>
  <c r="L4243" i="6" s="1"/>
  <c r="I4242" i="6"/>
  <c r="K4242" i="6"/>
  <c r="L4242" i="6" s="1"/>
  <c r="I4241" i="6"/>
  <c r="K4241" i="6"/>
  <c r="L4241" i="6" s="1"/>
  <c r="I4240" i="6"/>
  <c r="K4240" i="6"/>
  <c r="L4240" i="6" s="1"/>
  <c r="I4239" i="6"/>
  <c r="K4239" i="6"/>
  <c r="L4239" i="6" s="1"/>
  <c r="I4238" i="6"/>
  <c r="K4238" i="6"/>
  <c r="L4238" i="6" s="1"/>
  <c r="I4237" i="6"/>
  <c r="K4237" i="6"/>
  <c r="L4237" i="6" s="1"/>
  <c r="I4236" i="6"/>
  <c r="K4236" i="6"/>
  <c r="L4236" i="6" s="1"/>
  <c r="K4235" i="6"/>
  <c r="L4235" i="6" s="1"/>
  <c r="I4235" i="6"/>
  <c r="I4234" i="6"/>
  <c r="K4234" i="6"/>
  <c r="L4234" i="6" s="1"/>
  <c r="I4233" i="6"/>
  <c r="K4233" i="6"/>
  <c r="L4233" i="6" s="1"/>
  <c r="I4232" i="6"/>
  <c r="K4232" i="6"/>
  <c r="L4232" i="6" s="1"/>
  <c r="I4231" i="6"/>
  <c r="K4231" i="6"/>
  <c r="L4231" i="6" s="1"/>
  <c r="I4230" i="6"/>
  <c r="K4230" i="6"/>
  <c r="L4230" i="6" s="1"/>
  <c r="I4229" i="6"/>
  <c r="K4229" i="6"/>
  <c r="L4229" i="6" s="1"/>
  <c r="I4228" i="6"/>
  <c r="K4228" i="6"/>
  <c r="L4228" i="6" s="1"/>
  <c r="I4227" i="6"/>
  <c r="K4227" i="6"/>
  <c r="L4227" i="6" s="1"/>
  <c r="I4226" i="6"/>
  <c r="K4226" i="6"/>
  <c r="L4226" i="6" s="1"/>
  <c r="I4225" i="6"/>
  <c r="K4225" i="6"/>
  <c r="L4225" i="6" s="1"/>
  <c r="I4224" i="6"/>
  <c r="K4224" i="6"/>
  <c r="L4224" i="6" s="1"/>
  <c r="I4223" i="6"/>
  <c r="K4223" i="6"/>
  <c r="L4223" i="6" s="1"/>
  <c r="I4222" i="6"/>
  <c r="K4222" i="6"/>
  <c r="L4222" i="6" s="1"/>
  <c r="I4221" i="6"/>
  <c r="K4221" i="6"/>
  <c r="L4221" i="6" s="1"/>
  <c r="I4220" i="6"/>
  <c r="K4220" i="6"/>
  <c r="L4220" i="6" s="1"/>
  <c r="I4219" i="6"/>
  <c r="K4219" i="6"/>
  <c r="L4219" i="6" s="1"/>
  <c r="I4218" i="6"/>
  <c r="K4218" i="6"/>
  <c r="L4218" i="6" s="1"/>
  <c r="I4217" i="6"/>
  <c r="K4217" i="6"/>
  <c r="L4217" i="6" s="1"/>
  <c r="I4216" i="6"/>
  <c r="K4216" i="6"/>
  <c r="L4216" i="6" s="1"/>
  <c r="I4215" i="6"/>
  <c r="K4215" i="6"/>
  <c r="L4215" i="6" s="1"/>
  <c r="I4214" i="6"/>
  <c r="K4214" i="6"/>
  <c r="L4214" i="6" s="1"/>
  <c r="I4213" i="6"/>
  <c r="K4213" i="6"/>
  <c r="L4213" i="6" s="1"/>
  <c r="I4212" i="6"/>
  <c r="K4212" i="6"/>
  <c r="L4212" i="6" s="1"/>
  <c r="I4211" i="6"/>
  <c r="K4211" i="6"/>
  <c r="L4211" i="6" s="1"/>
  <c r="I4210" i="6"/>
  <c r="K4210" i="6"/>
  <c r="L4210" i="6" s="1"/>
  <c r="I4209" i="6"/>
  <c r="K4209" i="6"/>
  <c r="L4209" i="6" s="1"/>
  <c r="I4208" i="6"/>
  <c r="K4208" i="6"/>
  <c r="L4208" i="6" s="1"/>
  <c r="I4207" i="6"/>
  <c r="K4207" i="6"/>
  <c r="L4207" i="6" s="1"/>
  <c r="I4206" i="6"/>
  <c r="K4206" i="6"/>
  <c r="L4206" i="6" s="1"/>
  <c r="I4205" i="6"/>
  <c r="K4205" i="6"/>
  <c r="L4205" i="6" s="1"/>
  <c r="I4204" i="6"/>
  <c r="K4204" i="6"/>
  <c r="L4204" i="6" s="1"/>
  <c r="I4203" i="6"/>
  <c r="K4203" i="6"/>
  <c r="L4203" i="6" s="1"/>
  <c r="I4202" i="6"/>
  <c r="K4202" i="6"/>
  <c r="L4202" i="6" s="1"/>
  <c r="I4201" i="6"/>
  <c r="K4201" i="6"/>
  <c r="L4201" i="6" s="1"/>
  <c r="I4200" i="6"/>
  <c r="K4200" i="6"/>
  <c r="L4200" i="6" s="1"/>
  <c r="I4199" i="6"/>
  <c r="K4199" i="6"/>
  <c r="L4199" i="6" s="1"/>
  <c r="I4198" i="6"/>
  <c r="K4198" i="6"/>
  <c r="L4198" i="6" s="1"/>
  <c r="I4197" i="6"/>
  <c r="K4197" i="6"/>
  <c r="L4197" i="6" s="1"/>
  <c r="I4196" i="6"/>
  <c r="K4196" i="6"/>
  <c r="L4196" i="6" s="1"/>
  <c r="I4195" i="6"/>
  <c r="K4195" i="6"/>
  <c r="L4195" i="6" s="1"/>
  <c r="I4194" i="6"/>
  <c r="K4194" i="6"/>
  <c r="L4194" i="6" s="1"/>
  <c r="I4193" i="6"/>
  <c r="K4193" i="6"/>
  <c r="L4193" i="6" s="1"/>
  <c r="I4192" i="6"/>
  <c r="K4192" i="6"/>
  <c r="L4192" i="6" s="1"/>
  <c r="I4191" i="6"/>
  <c r="K4191" i="6"/>
  <c r="L4191" i="6" s="1"/>
  <c r="I4190" i="6"/>
  <c r="K4190" i="6"/>
  <c r="L4190" i="6" s="1"/>
  <c r="I4189" i="6"/>
  <c r="K4189" i="6"/>
  <c r="L4189" i="6" s="1"/>
  <c r="I4188" i="6"/>
  <c r="K4188" i="6"/>
  <c r="L4188" i="6" s="1"/>
  <c r="I4187" i="6"/>
  <c r="K4187" i="6"/>
  <c r="L4187" i="6" s="1"/>
  <c r="I4186" i="6"/>
  <c r="K4186" i="6"/>
  <c r="L4186" i="6" s="1"/>
  <c r="I4185" i="6"/>
  <c r="K4185" i="6"/>
  <c r="L4185" i="6"/>
  <c r="I4184" i="6"/>
  <c r="K4184" i="6"/>
  <c r="L4184" i="6" s="1"/>
  <c r="K4183" i="6"/>
  <c r="L4183" i="6" s="1"/>
  <c r="I4183" i="6"/>
  <c r="I4182" i="6"/>
  <c r="K4182" i="6"/>
  <c r="L4182" i="6" s="1"/>
  <c r="I4181" i="6"/>
  <c r="K4181" i="6"/>
  <c r="L4181" i="6" s="1"/>
  <c r="I4180" i="6"/>
  <c r="K4180" i="6"/>
  <c r="L4180" i="6" s="1"/>
  <c r="I4179" i="6"/>
  <c r="K4179" i="6"/>
  <c r="L4179" i="6" s="1"/>
  <c r="I4178" i="6"/>
  <c r="K4178" i="6"/>
  <c r="L4178" i="6" s="1"/>
  <c r="I4177" i="6"/>
  <c r="K4177" i="6"/>
  <c r="L4177" i="6" s="1"/>
  <c r="I4176" i="6"/>
  <c r="K4176" i="6"/>
  <c r="L4176" i="6" s="1"/>
  <c r="I4175" i="6"/>
  <c r="K4175" i="6"/>
  <c r="L4175" i="6" s="1"/>
  <c r="I4174" i="6"/>
  <c r="K4174" i="6"/>
  <c r="L4174" i="6" s="1"/>
  <c r="I4173" i="6"/>
  <c r="K4173" i="6"/>
  <c r="L4173" i="6" s="1"/>
  <c r="K4172" i="6"/>
  <c r="L4172" i="6" s="1"/>
  <c r="I4172" i="6"/>
  <c r="I4171" i="6"/>
  <c r="K4171" i="6"/>
  <c r="L4171" i="6" s="1"/>
  <c r="I4170" i="6"/>
  <c r="K4170" i="6"/>
  <c r="L4170" i="6" s="1"/>
  <c r="I4169" i="6"/>
  <c r="K4169" i="6"/>
  <c r="L4169" i="6" s="1"/>
  <c r="I4168" i="6"/>
  <c r="K4168" i="6"/>
  <c r="L4168" i="6" s="1"/>
  <c r="I4167" i="6"/>
  <c r="K4167" i="6"/>
  <c r="L4167" i="6" s="1"/>
  <c r="I4166" i="6"/>
  <c r="K4166" i="6"/>
  <c r="L4166" i="6" s="1"/>
  <c r="I4165" i="6"/>
  <c r="K4165" i="6"/>
  <c r="L4165" i="6" s="1"/>
  <c r="I4164" i="6"/>
  <c r="K4164" i="6"/>
  <c r="L4164" i="6" s="1"/>
  <c r="I4163" i="6"/>
  <c r="K4163" i="6"/>
  <c r="L4163" i="6" s="1"/>
  <c r="I4162" i="6"/>
  <c r="K4162" i="6"/>
  <c r="L4162" i="6" s="1"/>
  <c r="I4161" i="6"/>
  <c r="K4161" i="6"/>
  <c r="L4161" i="6" s="1"/>
  <c r="I4160" i="6"/>
  <c r="K4160" i="6"/>
  <c r="L4160" i="6"/>
  <c r="I4159" i="6"/>
  <c r="K4159" i="6"/>
  <c r="L4159" i="6"/>
  <c r="I4158" i="6"/>
  <c r="K4158" i="6"/>
  <c r="L4158" i="6" s="1"/>
  <c r="I4157" i="6"/>
  <c r="K4157" i="6"/>
  <c r="L4157" i="6" s="1"/>
  <c r="I4156" i="6"/>
  <c r="K4156" i="6"/>
  <c r="L4156" i="6" s="1"/>
  <c r="I4155" i="6"/>
  <c r="K4155" i="6"/>
  <c r="L4155" i="6" s="1"/>
  <c r="I4154" i="6"/>
  <c r="K4154" i="6"/>
  <c r="L4154" i="6" s="1"/>
  <c r="I4153" i="6"/>
  <c r="K4153" i="6"/>
  <c r="L4153" i="6" s="1"/>
  <c r="K4152" i="6"/>
  <c r="L4152" i="6" s="1"/>
  <c r="I4152" i="6"/>
  <c r="I4151" i="6"/>
  <c r="K4151" i="6"/>
  <c r="L4151" i="6" s="1"/>
  <c r="I4150" i="6"/>
  <c r="K4150" i="6"/>
  <c r="L4150" i="6" s="1"/>
  <c r="I4149" i="6"/>
  <c r="K4149" i="6"/>
  <c r="L4149" i="6" s="1"/>
  <c r="I4148" i="6"/>
  <c r="K4148" i="6"/>
  <c r="L4148" i="6" s="1"/>
  <c r="I4147" i="6"/>
  <c r="K4147" i="6"/>
  <c r="L4147" i="6" s="1"/>
  <c r="I4146" i="6"/>
  <c r="K4146" i="6"/>
  <c r="L4146" i="6" s="1"/>
  <c r="I4145" i="6"/>
  <c r="K4145" i="6"/>
  <c r="L4145" i="6" s="1"/>
  <c r="I4144" i="6"/>
  <c r="K4144" i="6"/>
  <c r="L4144" i="6" s="1"/>
  <c r="I4143" i="6"/>
  <c r="K4143" i="6"/>
  <c r="L4143" i="6" s="1"/>
  <c r="I4142" i="6"/>
  <c r="K4142" i="6"/>
  <c r="L4142" i="6" s="1"/>
  <c r="I4141" i="6"/>
  <c r="K4141" i="6"/>
  <c r="L4141" i="6" s="1"/>
  <c r="K4140" i="6"/>
  <c r="L4140" i="6" s="1"/>
  <c r="I4140" i="6"/>
  <c r="I4139" i="6"/>
  <c r="K4139" i="6"/>
  <c r="L4139" i="6" s="1"/>
  <c r="I4138" i="6"/>
  <c r="K4138" i="6"/>
  <c r="L4138" i="6" s="1"/>
  <c r="I4137" i="6"/>
  <c r="K4137" i="6"/>
  <c r="L4137" i="6" s="1"/>
  <c r="I4136" i="6"/>
  <c r="K4136" i="6"/>
  <c r="L4136" i="6" s="1"/>
  <c r="I4135" i="6"/>
  <c r="K4135" i="6"/>
  <c r="L4135" i="6" s="1"/>
  <c r="I4134" i="6"/>
  <c r="K4134" i="6"/>
  <c r="L4134" i="6"/>
  <c r="I4133" i="6"/>
  <c r="K4133" i="6"/>
  <c r="L4133" i="6" s="1"/>
  <c r="I4132" i="6"/>
  <c r="K4132" i="6"/>
  <c r="L4132" i="6" s="1"/>
  <c r="I4131" i="6"/>
  <c r="K4131" i="6"/>
  <c r="L4131" i="6" s="1"/>
  <c r="I4130" i="6"/>
  <c r="K4130" i="6"/>
  <c r="L4130" i="6" s="1"/>
  <c r="I4129" i="6"/>
  <c r="K4129" i="6"/>
  <c r="L4129" i="6" s="1"/>
  <c r="I4128" i="6"/>
  <c r="K4128" i="6"/>
  <c r="L4128" i="6" s="1"/>
  <c r="I4127" i="6"/>
  <c r="K4127" i="6"/>
  <c r="L4127" i="6" s="1"/>
  <c r="I4126" i="6"/>
  <c r="K4126" i="6"/>
  <c r="L4126" i="6" s="1"/>
  <c r="I4125" i="6"/>
  <c r="K4125" i="6"/>
  <c r="L4125" i="6" s="1"/>
  <c r="I4124" i="6"/>
  <c r="K4124" i="6"/>
  <c r="L4124" i="6" s="1"/>
  <c r="I4123" i="6"/>
  <c r="K4123" i="6"/>
  <c r="L4123" i="6" s="1"/>
  <c r="I4122" i="6"/>
  <c r="K4122" i="6"/>
  <c r="L4122" i="6" s="1"/>
  <c r="I4121" i="6"/>
  <c r="K4121" i="6"/>
  <c r="L4121" i="6" s="1"/>
  <c r="K4120" i="6"/>
  <c r="L4120" i="6" s="1"/>
  <c r="I4120" i="6"/>
  <c r="I4119" i="6"/>
  <c r="K4119" i="6"/>
  <c r="L4119" i="6"/>
  <c r="I4118" i="6"/>
  <c r="K4118" i="6"/>
  <c r="L4118" i="6" s="1"/>
  <c r="I4117" i="6"/>
  <c r="K4117" i="6"/>
  <c r="L4117" i="6" s="1"/>
  <c r="I4116" i="6"/>
  <c r="K4116" i="6"/>
  <c r="L4116" i="6" s="1"/>
  <c r="I4115" i="6"/>
  <c r="K4115" i="6"/>
  <c r="L4115" i="6" s="1"/>
  <c r="I4114" i="6"/>
  <c r="K4114" i="6"/>
  <c r="L4114" i="6" s="1"/>
  <c r="I4113" i="6"/>
  <c r="K4113" i="6"/>
  <c r="L4113" i="6" s="1"/>
  <c r="I4112" i="6"/>
  <c r="K4112" i="6"/>
  <c r="L4112" i="6" s="1"/>
  <c r="I4111" i="6"/>
  <c r="K4111" i="6"/>
  <c r="L4111" i="6" s="1"/>
  <c r="I4110" i="6"/>
  <c r="K4110" i="6"/>
  <c r="L4110" i="6" s="1"/>
  <c r="I4109" i="6"/>
  <c r="K4109" i="6"/>
  <c r="L4109" i="6" s="1"/>
  <c r="I4108" i="6"/>
  <c r="K4108" i="6"/>
  <c r="L4108" i="6" s="1"/>
  <c r="I4107" i="6"/>
  <c r="K4107" i="6"/>
  <c r="L4107" i="6"/>
  <c r="I4106" i="6"/>
  <c r="K4106" i="6"/>
  <c r="L4106" i="6" s="1"/>
  <c r="O5730" i="5"/>
  <c r="O5695" i="5"/>
  <c r="Q5695" i="5" s="1"/>
  <c r="O5641" i="5"/>
  <c r="Q5641" i="5" s="1"/>
  <c r="O5721" i="5"/>
  <c r="O5722" i="5"/>
  <c r="O5593" i="5"/>
  <c r="Q5593" i="5" s="1"/>
  <c r="O5578" i="5"/>
  <c r="Q5578" i="5" s="1"/>
  <c r="O5720" i="5"/>
  <c r="O5731" i="5"/>
  <c r="O5574" i="5"/>
  <c r="Q5574" i="5" s="1"/>
  <c r="O5716" i="5"/>
  <c r="O5538" i="5"/>
  <c r="Q5538" i="5" s="1"/>
  <c r="O5727" i="5"/>
  <c r="O5467" i="5"/>
  <c r="Q5467" i="5" s="1"/>
  <c r="O5460" i="5"/>
  <c r="Q5460" i="5" s="1"/>
  <c r="O5740" i="5"/>
  <c r="O5738" i="5"/>
  <c r="O5450" i="5"/>
  <c r="Q5450" i="5" s="1"/>
  <c r="O5417" i="5"/>
  <c r="Q5417" i="5" s="1"/>
  <c r="O5723" i="5"/>
  <c r="O5718" i="5"/>
  <c r="O5415" i="5"/>
  <c r="Q5415" i="5" s="1"/>
  <c r="O5739" i="5"/>
  <c r="O5348" i="5"/>
  <c r="Q5348" i="5" s="1"/>
  <c r="O5338" i="5"/>
  <c r="Q5338" i="5" s="1"/>
  <c r="O5737" i="5"/>
  <c r="O5292" i="5"/>
  <c r="Q5292" i="5" s="1"/>
  <c r="O5712" i="5"/>
  <c r="O5273" i="5"/>
  <c r="Q5273" i="5" s="1"/>
  <c r="O5735" i="5"/>
  <c r="O5271" i="5"/>
  <c r="Q5271" i="5" s="1"/>
  <c r="O5729" i="5"/>
  <c r="O5728" i="5"/>
  <c r="O5247" i="5"/>
  <c r="Q5247" i="5" s="1"/>
  <c r="O5212" i="5"/>
  <c r="Q5212" i="5" s="1"/>
  <c r="O5709" i="5"/>
  <c r="O5717" i="5"/>
  <c r="O5178" i="5"/>
  <c r="Q5178" i="5" s="1"/>
  <c r="O5119" i="5"/>
  <c r="Q5119" i="5" s="1"/>
  <c r="O5493" i="5"/>
  <c r="O5726" i="5"/>
  <c r="O5107" i="5"/>
  <c r="Q5107" i="5" s="1"/>
  <c r="O5496" i="5"/>
  <c r="O5092" i="5"/>
  <c r="Q5092" i="5" s="1"/>
  <c r="O5079" i="5"/>
  <c r="Q5079" i="5" s="1"/>
  <c r="O5719" i="5"/>
  <c r="O5052" i="5"/>
  <c r="Q5052" i="5" s="1"/>
  <c r="O5715" i="5"/>
  <c r="O5039" i="5"/>
  <c r="Q5039" i="5" s="1"/>
  <c r="O5305" i="5"/>
  <c r="O5710" i="5"/>
  <c r="O5017" i="5"/>
  <c r="Q5017" i="5" s="1"/>
  <c r="O5014" i="5"/>
  <c r="Q5014" i="5" s="1"/>
  <c r="O5741" i="5"/>
  <c r="O5495" i="5"/>
  <c r="O4875" i="5"/>
  <c r="Q4875" i="5" s="1"/>
  <c r="O5714" i="5"/>
  <c r="O4872" i="5"/>
  <c r="Q4872" i="5" s="1"/>
  <c r="O5711" i="5"/>
  <c r="O4861" i="5"/>
  <c r="Q4861" i="5" s="1"/>
  <c r="O5713" i="5"/>
  <c r="O4852" i="5"/>
  <c r="Q4852" i="5" s="1"/>
  <c r="O5497" i="5"/>
  <c r="O4846" i="5"/>
  <c r="Q4846" i="5" s="1"/>
  <c r="O5487" i="5"/>
  <c r="O4833" i="5"/>
  <c r="Q4833" i="5" s="1"/>
  <c r="O4777" i="5"/>
  <c r="Q4777" i="5" s="1"/>
  <c r="O5732" i="5"/>
  <c r="O4765" i="5"/>
  <c r="Q4765" i="5" s="1"/>
  <c r="O5492" i="5"/>
  <c r="O5725" i="5"/>
  <c r="O4739" i="5"/>
  <c r="Q4739" i="5" s="1"/>
  <c r="O4720" i="5"/>
  <c r="Q4720" i="5" s="1"/>
  <c r="O4916" i="5"/>
  <c r="O4703" i="5"/>
  <c r="Q4703" i="5" s="1"/>
  <c r="O4913" i="5"/>
  <c r="O4698" i="5"/>
  <c r="Q4698" i="5" s="1"/>
  <c r="O5733" i="5"/>
  <c r="O4685" i="5"/>
  <c r="Q4685" i="5" s="1"/>
  <c r="O5736" i="5"/>
  <c r="O4684" i="5"/>
  <c r="Q4684" i="5" s="1"/>
  <c r="O5742" i="5"/>
  <c r="O5489" i="5"/>
  <c r="O4664" i="5"/>
  <c r="Q4664" i="5" s="1"/>
  <c r="O4653" i="5"/>
  <c r="Q4653" i="5" s="1"/>
  <c r="O5743" i="5"/>
  <c r="O4917" i="5"/>
  <c r="O4644" i="5"/>
  <c r="Q4644" i="5" s="1"/>
  <c r="O4912" i="5"/>
  <c r="O4617" i="5"/>
  <c r="Q4617" i="5" s="1"/>
  <c r="O5734" i="5"/>
  <c r="O4593" i="5"/>
  <c r="Q4593" i="5" s="1"/>
  <c r="O4588" i="5"/>
  <c r="Q4588" i="5" s="1"/>
  <c r="O5109" i="5"/>
  <c r="O4572" i="5"/>
  <c r="Q4572" i="5" s="1"/>
  <c r="O5307" i="5"/>
  <c r="O5491" i="5"/>
  <c r="O4559" i="5"/>
  <c r="Q4559" i="5" s="1"/>
  <c r="O4537" i="5"/>
  <c r="Q4537" i="5" s="1"/>
  <c r="O5724" i="5"/>
  <c r="O5494" i="5"/>
  <c r="O4507" i="5"/>
  <c r="Q4507" i="5" s="1"/>
  <c r="O4919" i="5"/>
  <c r="O4498" i="5"/>
  <c r="Q4498" i="5" s="1"/>
  <c r="O5490" i="5"/>
  <c r="O4453" i="5"/>
  <c r="Q4453" i="5" s="1"/>
  <c r="O4434" i="5"/>
  <c r="Q4434" i="5" s="1"/>
  <c r="O5111" i="5"/>
  <c r="O4386" i="5"/>
  <c r="Q4386" i="5" s="1"/>
  <c r="O4738" i="5"/>
  <c r="O4385" i="5"/>
  <c r="Q4385" i="5" s="1"/>
  <c r="O5303" i="5"/>
  <c r="O4330" i="5"/>
  <c r="Q4330" i="5" s="1"/>
  <c r="O4907" i="5"/>
  <c r="O4302" i="5"/>
  <c r="Q4302" i="5" s="1"/>
  <c r="O4918" i="5"/>
  <c r="O4295" i="5"/>
  <c r="Q4295" i="5" s="1"/>
  <c r="O5304" i="5"/>
  <c r="O4269" i="5"/>
  <c r="Q4269" i="5" s="1"/>
  <c r="O4529" i="5"/>
  <c r="O4226" i="5"/>
  <c r="Q4226" i="5" s="1"/>
  <c r="O4914" i="5"/>
  <c r="O5112" i="5"/>
  <c r="O4222" i="5"/>
  <c r="Q4222" i="5" s="1"/>
  <c r="O5301" i="5"/>
  <c r="O4192" i="5"/>
  <c r="Q4192" i="5" s="1"/>
  <c r="O4184" i="5"/>
  <c r="Q4184" i="5" s="1"/>
  <c r="O5498" i="5"/>
  <c r="O4169" i="5"/>
  <c r="Q4169" i="5" s="1"/>
  <c r="O5488" i="5"/>
  <c r="O4130" i="5"/>
  <c r="Q4130" i="5" s="1"/>
  <c r="O5306" i="5"/>
  <c r="O4334" i="5"/>
  <c r="O4099" i="5"/>
  <c r="Q4099" i="5" s="1"/>
  <c r="O5114" i="5"/>
  <c r="O4056" i="5"/>
  <c r="Q4056" i="5" s="1"/>
  <c r="O4049" i="5"/>
  <c r="Q4049" i="5" s="1"/>
  <c r="O5113" i="5"/>
  <c r="O4906" i="5"/>
  <c r="O4025" i="5"/>
  <c r="Q4025" i="5" s="1"/>
  <c r="O4015" i="5"/>
  <c r="Q4015" i="5" s="1"/>
  <c r="O5302" i="5"/>
  <c r="O3986" i="5"/>
  <c r="Q3986" i="5" s="1"/>
  <c r="O4530" i="5"/>
  <c r="O4527" i="5"/>
  <c r="O3971" i="5"/>
  <c r="Q3971" i="5" s="1"/>
  <c r="O4532" i="5"/>
  <c r="O3955" i="5"/>
  <c r="Q3955" i="5" s="1"/>
  <c r="O4737" i="5"/>
  <c r="O3932" i="5"/>
  <c r="Q3932" i="5" s="1"/>
  <c r="O3908" i="5"/>
  <c r="Q3908" i="5" s="1"/>
  <c r="O4166" i="5"/>
  <c r="O4160" i="5"/>
  <c r="O3895" i="5"/>
  <c r="Q3895" i="5" s="1"/>
  <c r="O3843" i="5"/>
  <c r="Q3843" i="5" s="1"/>
  <c r="O4164" i="5"/>
  <c r="O4531" i="5"/>
  <c r="O3831" i="5"/>
  <c r="Q3831" i="5" s="1"/>
  <c r="O4161" i="5"/>
  <c r="O3825" i="5"/>
  <c r="Q3825" i="5" s="1"/>
  <c r="O3820" i="5"/>
  <c r="Q3820" i="5" s="1"/>
  <c r="O4910" i="5"/>
  <c r="O5110" i="5"/>
  <c r="O3818" i="5"/>
  <c r="Q3818" i="5" s="1"/>
  <c r="O3770" i="5"/>
  <c r="Q3770" i="5" s="1"/>
  <c r="O4158" i="5"/>
  <c r="O3994" i="5"/>
  <c r="O3761" i="5"/>
  <c r="Q3761" i="5" s="1"/>
  <c r="O3747" i="5"/>
  <c r="Q3747" i="5" s="1"/>
  <c r="O4528" i="5"/>
  <c r="O3740" i="5"/>
  <c r="Q3740" i="5" s="1"/>
  <c r="O3997" i="5"/>
  <c r="O3733" i="5"/>
  <c r="Q3733" i="5" s="1"/>
  <c r="O4911" i="5"/>
  <c r="O4915" i="5"/>
  <c r="O3732" i="5"/>
  <c r="Q3732" i="5" s="1"/>
  <c r="O4908" i="5"/>
  <c r="O3720" i="5"/>
  <c r="Q3720" i="5" s="1"/>
  <c r="O4332" i="5"/>
  <c r="O3626" i="5"/>
  <c r="Q3626" i="5" s="1"/>
  <c r="O4909" i="5"/>
  <c r="O3622" i="5"/>
  <c r="Q3622" i="5" s="1"/>
  <c r="O3558" i="5"/>
  <c r="Q3558" i="5" s="1"/>
  <c r="O4159" i="5"/>
  <c r="O3808" i="5"/>
  <c r="O3486" i="5"/>
  <c r="Q3486" i="5" s="1"/>
  <c r="O3478" i="5"/>
  <c r="Q3478" i="5" s="1"/>
  <c r="O4163" i="5"/>
  <c r="O3477" i="5"/>
  <c r="Q3477" i="5" s="1"/>
  <c r="O3996" i="5"/>
  <c r="O3385" i="5"/>
  <c r="Q3385" i="5" s="1"/>
  <c r="O3993" i="5"/>
  <c r="O3369" i="5"/>
  <c r="Q3369" i="5" s="1"/>
  <c r="O3813" i="5"/>
  <c r="O4162" i="5"/>
  <c r="O3352" i="5"/>
  <c r="Q3352" i="5" s="1"/>
  <c r="O3315" i="5"/>
  <c r="Q3315" i="5" s="1"/>
  <c r="O4526" i="5"/>
  <c r="O3810" i="5"/>
  <c r="O3276" i="5"/>
  <c r="Q3276" i="5" s="1"/>
  <c r="O3223" i="5"/>
  <c r="Q3223" i="5" s="1"/>
  <c r="O3989" i="5"/>
  <c r="O3988" i="5"/>
  <c r="O3221" i="5"/>
  <c r="Q3221" i="5" s="1"/>
  <c r="O4333" i="5"/>
  <c r="O3193" i="5"/>
  <c r="Q3193" i="5" s="1"/>
  <c r="O3180" i="5"/>
  <c r="Q3180" i="5" s="1"/>
  <c r="O3998" i="5"/>
  <c r="O3167" i="5"/>
  <c r="Q3167" i="5" s="1"/>
  <c r="O3995" i="5"/>
  <c r="O3161" i="5"/>
  <c r="Q3161" i="5" s="1"/>
  <c r="O3412" i="5"/>
  <c r="O3152" i="5"/>
  <c r="Q3152" i="5" s="1"/>
  <c r="O3807" i="5"/>
  <c r="O3128" i="5"/>
  <c r="Q3128" i="5" s="1"/>
  <c r="O3608" i="5"/>
  <c r="O3602" i="5"/>
  <c r="O3098" i="5"/>
  <c r="Q3098" i="5" s="1"/>
  <c r="O3047" i="5"/>
  <c r="Q3047" i="5" s="1"/>
  <c r="O3610" i="5"/>
  <c r="O3007" i="5"/>
  <c r="O3811" i="5"/>
  <c r="O3992" i="5"/>
  <c r="O2990" i="5"/>
  <c r="Q2990" i="5" s="1"/>
  <c r="O2931" i="5"/>
  <c r="Q2931" i="5" s="1"/>
  <c r="O3226" i="5"/>
  <c r="O3990" i="5"/>
  <c r="O2928" i="5"/>
  <c r="Q2928" i="5" s="1"/>
  <c r="O2918" i="5"/>
  <c r="Q2918" i="5" s="1"/>
  <c r="O3609" i="5"/>
  <c r="O2914" i="5"/>
  <c r="Q2914" i="5" s="1"/>
  <c r="O3991" i="5"/>
  <c r="O3809" i="5"/>
  <c r="O2903" i="5"/>
  <c r="Q2903" i="5" s="1"/>
  <c r="O4165" i="5"/>
  <c r="O2898" i="5"/>
  <c r="Q2898" i="5" s="1"/>
  <c r="O2769" i="5"/>
  <c r="Q2769" i="5" s="1"/>
  <c r="O3603" i="5"/>
  <c r="O3228" i="5"/>
  <c r="O2751" i="5"/>
  <c r="Q2751" i="5" s="1"/>
  <c r="O3406" i="5"/>
  <c r="O2743" i="5"/>
  <c r="Q2743" i="5" s="1"/>
  <c r="O3611" i="5"/>
  <c r="O2724" i="5"/>
  <c r="Q2724" i="5" s="1"/>
  <c r="O3605" i="5"/>
  <c r="O2703" i="5"/>
  <c r="Q2703" i="5" s="1"/>
  <c r="O2698" i="5"/>
  <c r="Q2698" i="5" s="1"/>
  <c r="O3054" i="5"/>
  <c r="O2697" i="5"/>
  <c r="Q2697" i="5" s="1"/>
  <c r="O3612" i="5"/>
  <c r="O2648" i="5"/>
  <c r="Q2648" i="5" s="1"/>
  <c r="O2877" i="5"/>
  <c r="O3405" i="5"/>
  <c r="O2601" i="5"/>
  <c r="Q2601" i="5" s="1"/>
  <c r="O3812" i="5"/>
  <c r="O2587" i="5"/>
  <c r="Q2587" i="5" s="1"/>
  <c r="O3607" i="5"/>
  <c r="O2574" i="5"/>
  <c r="Q2574" i="5" s="1"/>
  <c r="O2558" i="5"/>
  <c r="Q2558" i="5" s="1"/>
  <c r="O3230" i="5"/>
  <c r="O2549" i="5"/>
  <c r="Q2549" i="5" s="1"/>
  <c r="O2880" i="5"/>
  <c r="O3806" i="5"/>
  <c r="O2544" i="5"/>
  <c r="Q2544" i="5" s="1"/>
  <c r="O2526" i="5"/>
  <c r="Q2526" i="5" s="1"/>
  <c r="O2879" i="5"/>
  <c r="O3814" i="5"/>
  <c r="O2524" i="5"/>
  <c r="Q2524" i="5" s="1"/>
  <c r="O2497" i="5"/>
  <c r="Q2497" i="5" s="1"/>
  <c r="O3411" i="5"/>
  <c r="O2882" i="5"/>
  <c r="O2491" i="5"/>
  <c r="Q2491" i="5" s="1"/>
  <c r="O2483" i="5"/>
  <c r="Q2483" i="5" s="1"/>
  <c r="O2874" i="5"/>
  <c r="O2468" i="5"/>
  <c r="Q2468" i="5" s="1"/>
  <c r="O3224" i="5"/>
  <c r="O2438" i="5"/>
  <c r="Q2438" i="5" s="1"/>
  <c r="O3404" i="5"/>
  <c r="O2885" i="5"/>
  <c r="O2431" i="5"/>
  <c r="Q2431" i="5" s="1"/>
  <c r="O2408" i="5"/>
  <c r="Q2408" i="5" s="1"/>
  <c r="O3606" i="5"/>
  <c r="O2876" i="5"/>
  <c r="O2355" i="5"/>
  <c r="Q2355" i="5" s="1"/>
  <c r="O3410" i="5"/>
  <c r="O2313" i="5"/>
  <c r="Q2313" i="5" s="1"/>
  <c r="O3229" i="5"/>
  <c r="O2280" i="5"/>
  <c r="Q2280" i="5" s="1"/>
  <c r="O2269" i="5"/>
  <c r="Q2269" i="5" s="1"/>
  <c r="O2675" i="5"/>
  <c r="O2264" i="5"/>
  <c r="Q2264" i="5" s="1"/>
  <c r="O3409" i="5"/>
  <c r="O2679" i="5"/>
  <c r="O2240" i="5"/>
  <c r="Q2240" i="5" s="1"/>
  <c r="O2233" i="5"/>
  <c r="Q2233" i="5" s="1"/>
  <c r="O3055" i="5"/>
  <c r="O3231" i="5"/>
  <c r="O2230" i="5"/>
  <c r="Q2230" i="5" s="1"/>
  <c r="O3232" i="5"/>
  <c r="O2195" i="5"/>
  <c r="Q2195" i="5" s="1"/>
  <c r="O3408" i="5"/>
  <c r="O2193" i="5"/>
  <c r="Q2193" i="5" s="1"/>
  <c r="O2472" i="5"/>
  <c r="O2144" i="5"/>
  <c r="Q2144" i="5" s="1"/>
  <c r="O2478" i="5"/>
  <c r="O2135" i="5"/>
  <c r="Q2135" i="5" s="1"/>
  <c r="O3407" i="5"/>
  <c r="O2122" i="5"/>
  <c r="Q2122" i="5" s="1"/>
  <c r="O2113" i="5"/>
  <c r="Q2113" i="5" s="1"/>
  <c r="O2881" i="5"/>
  <c r="O2048" i="5"/>
  <c r="Q2048" i="5" s="1"/>
  <c r="O2683" i="5"/>
  <c r="O2471" i="5"/>
  <c r="O2038" i="5"/>
  <c r="Q2038" i="5" s="1"/>
  <c r="O2255" i="5"/>
  <c r="O2034" i="5"/>
  <c r="Q2034" i="5" s="1"/>
  <c r="O2886" i="5"/>
  <c r="O2024" i="5"/>
  <c r="Q2024" i="5" s="1"/>
  <c r="O3225" i="5"/>
  <c r="O1975" i="5"/>
  <c r="Q1975" i="5" s="1"/>
  <c r="O1970" i="5"/>
  <c r="Q1970" i="5" s="1"/>
  <c r="O2878" i="5"/>
  <c r="O2680" i="5"/>
  <c r="O1965" i="5"/>
  <c r="Q1965" i="5" s="1"/>
  <c r="O1948" i="5"/>
  <c r="Q1948" i="5" s="1"/>
  <c r="O2250" i="5"/>
  <c r="O3227" i="5"/>
  <c r="O1944" i="5"/>
  <c r="Q1944" i="5" s="1"/>
  <c r="O1941" i="5"/>
  <c r="Q1941" i="5" s="1"/>
  <c r="O3053" i="5"/>
  <c r="O1892" i="5"/>
  <c r="Q1892" i="5" s="1"/>
  <c r="O2875" i="5"/>
  <c r="O2884" i="5"/>
  <c r="O1859" i="5"/>
  <c r="Q1859" i="5" s="1"/>
  <c r="O2072" i="5"/>
  <c r="O1818" i="5"/>
  <c r="Q1818" i="5" s="1"/>
  <c r="O1792" i="5"/>
  <c r="Q1792" i="5" s="1"/>
  <c r="O2677" i="5"/>
  <c r="O2470" i="5"/>
  <c r="O1788" i="5"/>
  <c r="Q1788" i="5" s="1"/>
  <c r="O2682" i="5"/>
  <c r="O1786" i="5"/>
  <c r="Q1786" i="5" s="1"/>
  <c r="O1757" i="5"/>
  <c r="Q1757" i="5" s="1"/>
  <c r="O2064" i="5"/>
  <c r="O3056" i="5"/>
  <c r="O1740" i="5"/>
  <c r="Q1740" i="5" s="1"/>
  <c r="O2476" i="5"/>
  <c r="O1737" i="5"/>
  <c r="Q1737" i="5" s="1"/>
  <c r="O2883" i="5"/>
  <c r="O1735" i="5"/>
  <c r="Q1735" i="5" s="1"/>
  <c r="O1733" i="5"/>
  <c r="Q1733" i="5" s="1"/>
  <c r="O2477" i="5"/>
  <c r="O2473" i="5"/>
  <c r="O1728" i="5"/>
  <c r="Q1728" i="5" s="1"/>
  <c r="O1682" i="5"/>
  <c r="Q1682" i="5" s="1"/>
  <c r="O2068" i="5"/>
  <c r="O1613" i="5"/>
  <c r="Q1613" i="5" s="1"/>
  <c r="O2067" i="5"/>
  <c r="O1575" i="5"/>
  <c r="Q1575" i="5" s="1"/>
  <c r="O1850" i="5"/>
  <c r="O1540" i="5"/>
  <c r="Q1540" i="5" s="1"/>
  <c r="O2681" i="5"/>
  <c r="O2252" i="5"/>
  <c r="O1537" i="5"/>
  <c r="Q1537" i="5" s="1"/>
  <c r="O2257" i="5"/>
  <c r="O1527" i="5"/>
  <c r="Q1527" i="5" s="1"/>
  <c r="O2475" i="5"/>
  <c r="O1520" i="5"/>
  <c r="Q1520" i="5" s="1"/>
  <c r="O2069" i="5"/>
  <c r="O1512" i="5"/>
  <c r="Q1512" i="5" s="1"/>
  <c r="O1499" i="5"/>
  <c r="Q1499" i="5" s="1"/>
  <c r="O2073" i="5"/>
  <c r="O2249" i="5"/>
  <c r="O1468" i="5"/>
  <c r="Q1468" i="5" s="1"/>
  <c r="O1436" i="5"/>
  <c r="Q1436" i="5" s="1"/>
  <c r="O2063" i="5"/>
  <c r="O1428" i="5"/>
  <c r="Q1428" i="5" s="1"/>
  <c r="O2065" i="5"/>
  <c r="O2474" i="5"/>
  <c r="O1414" i="5"/>
  <c r="Q1414" i="5" s="1"/>
  <c r="O2676" i="5"/>
  <c r="O1396" i="5"/>
  <c r="Q1396" i="5" s="1"/>
  <c r="O2251" i="5"/>
  <c r="O1375" i="5"/>
  <c r="Q1375" i="5" s="1"/>
  <c r="O2254" i="5"/>
  <c r="O1364" i="5"/>
  <c r="Q1364" i="5" s="1"/>
  <c r="O1349" i="5"/>
  <c r="Q1349" i="5" s="1"/>
  <c r="O2066" i="5"/>
  <c r="O1347" i="5"/>
  <c r="Q1347" i="5" s="1"/>
  <c r="O2678" i="5"/>
  <c r="O1312" i="5"/>
  <c r="Q1312" i="5" s="1"/>
  <c r="O2070" i="5"/>
  <c r="O2253" i="5"/>
  <c r="O1305" i="5"/>
  <c r="Q1305" i="5" s="1"/>
  <c r="O1298" i="5"/>
  <c r="Q1298" i="5" s="1"/>
  <c r="O1853" i="5"/>
  <c r="O1665" i="5"/>
  <c r="O1250" i="5"/>
  <c r="Q1250" i="5" s="1"/>
  <c r="O1184" i="5"/>
  <c r="Q1184" i="5" s="1"/>
  <c r="O2479" i="5"/>
  <c r="O2480" i="5"/>
  <c r="O1178" i="5"/>
  <c r="Q1178" i="5" s="1"/>
  <c r="O1851" i="5"/>
  <c r="O1169" i="5"/>
  <c r="Q1169" i="5" s="1"/>
  <c r="O1276" i="5"/>
  <c r="O1090" i="5"/>
  <c r="Q1090" i="5" s="1"/>
  <c r="O1058" i="5"/>
  <c r="Q1058" i="5" s="1"/>
  <c r="O1487" i="5"/>
  <c r="O1485" i="5"/>
  <c r="O1042" i="5"/>
  <c r="Q1042" i="5" s="1"/>
  <c r="O997" i="5"/>
  <c r="Q997" i="5" s="1"/>
  <c r="O1273" i="5"/>
  <c r="O981" i="5"/>
  <c r="Q981" i="5" s="1"/>
  <c r="O1489" i="5"/>
  <c r="O2256" i="5"/>
  <c r="O979" i="5"/>
  <c r="Q979" i="5" s="1"/>
  <c r="O953" i="5"/>
  <c r="Q953" i="5" s="1"/>
  <c r="O1278" i="5"/>
  <c r="O2074" i="5"/>
  <c r="O943" i="5"/>
  <c r="Q943" i="5" s="1"/>
  <c r="O923" i="5"/>
  <c r="Q923" i="5" s="1"/>
  <c r="O1857" i="5"/>
  <c r="O1486" i="5"/>
  <c r="O870" i="5"/>
  <c r="Q870" i="5" s="1"/>
  <c r="O1094" i="5"/>
  <c r="O829" i="5"/>
  <c r="Q829" i="5" s="1"/>
  <c r="O1093" i="5"/>
  <c r="O787" i="5"/>
  <c r="Q787" i="5" s="1"/>
  <c r="O2071" i="5"/>
  <c r="O777" i="5"/>
  <c r="Q777" i="5" s="1"/>
  <c r="O1490" i="5"/>
  <c r="O775" i="5"/>
  <c r="Q775" i="5" s="1"/>
  <c r="O765" i="5"/>
  <c r="Q765" i="5" s="1"/>
  <c r="O1856" i="5"/>
  <c r="O1847" i="5"/>
  <c r="O728" i="5"/>
  <c r="Q728" i="5" s="1"/>
  <c r="O698" i="5"/>
  <c r="Q698" i="5" s="1"/>
  <c r="O1849" i="5"/>
  <c r="O691" i="5"/>
  <c r="Q691" i="5" s="1"/>
  <c r="O1664" i="5"/>
  <c r="O668" i="5"/>
  <c r="Q668" i="5" s="1"/>
  <c r="O1855" i="5"/>
  <c r="O1854" i="5"/>
  <c r="O642" i="5"/>
  <c r="Q642" i="5" s="1"/>
  <c r="O632" i="5"/>
  <c r="Q632" i="5" s="1"/>
  <c r="O1852" i="5"/>
  <c r="O564" i="5"/>
  <c r="Q564" i="5" s="1"/>
  <c r="O1848" i="5"/>
  <c r="O1663" i="5"/>
  <c r="O543" i="5"/>
  <c r="Q543" i="5" s="1"/>
  <c r="O541" i="5"/>
  <c r="Q541" i="5" s="1"/>
  <c r="O1488" i="5"/>
  <c r="O532" i="5"/>
  <c r="Q532" i="5" s="1"/>
  <c r="O1092" i="5"/>
  <c r="O505" i="5"/>
  <c r="Q505" i="5" s="1"/>
  <c r="O1277" i="5"/>
  <c r="O902" i="5"/>
  <c r="O493" i="5"/>
  <c r="Q493" i="5" s="1"/>
  <c r="O469" i="5"/>
  <c r="Q469" i="5" s="1"/>
  <c r="O719" i="5"/>
  <c r="O452" i="5"/>
  <c r="Q452" i="5" s="1"/>
  <c r="O1279" i="5"/>
  <c r="O426" i="5"/>
  <c r="Q426" i="5" s="1"/>
  <c r="O718" i="5"/>
  <c r="O399" i="5"/>
  <c r="Q399" i="5" s="1"/>
  <c r="O1484" i="5"/>
  <c r="O351" i="5"/>
  <c r="Q351" i="5" s="1"/>
  <c r="O901" i="5"/>
  <c r="O261" i="5"/>
  <c r="Q261" i="5" s="1"/>
  <c r="O521" i="5"/>
  <c r="O1275" i="5"/>
  <c r="O189" i="5"/>
  <c r="Q189" i="5" s="1"/>
  <c r="O116" i="5"/>
  <c r="Q116" i="5" s="1"/>
  <c r="O1272" i="5"/>
  <c r="O1274" i="5"/>
  <c r="O114" i="5"/>
  <c r="Q114" i="5" s="1"/>
  <c r="O109" i="5"/>
  <c r="Q109" i="5" s="1"/>
  <c r="O331" i="5"/>
  <c r="O330" i="5"/>
  <c r="O58" i="5"/>
  <c r="Q58" i="5" s="1"/>
  <c r="O53" i="5"/>
  <c r="Q53" i="5" s="1"/>
  <c r="O1280" i="5"/>
  <c r="O32" i="5"/>
  <c r="O520" i="5"/>
  <c r="Q2" i="5"/>
  <c r="J5844" i="4"/>
  <c r="K5872" i="4"/>
  <c r="K5873" i="4"/>
  <c r="K5874" i="4"/>
  <c r="J3492" i="4"/>
  <c r="K3520" i="4"/>
  <c r="K3544" i="4"/>
  <c r="J3545" i="4"/>
  <c r="J3556" i="4"/>
  <c r="J3557" i="4"/>
  <c r="J3558" i="4"/>
  <c r="J3561" i="4"/>
  <c r="K3570" i="4"/>
  <c r="J3571" i="4"/>
  <c r="K3572" i="4"/>
  <c r="K3573" i="4"/>
  <c r="J3579" i="4"/>
  <c r="J3580" i="4"/>
  <c r="J3581" i="4"/>
  <c r="J3594" i="4"/>
  <c r="K3599" i="4"/>
  <c r="K3609" i="4"/>
  <c r="K3610" i="4"/>
  <c r="K3611" i="4"/>
  <c r="K3612" i="4"/>
  <c r="K3632" i="4"/>
  <c r="J3633" i="4"/>
  <c r="K3670" i="4"/>
  <c r="J3680" i="4"/>
  <c r="K3681" i="4"/>
  <c r="J3704" i="4"/>
  <c r="K3710" i="4"/>
  <c r="K3759" i="4"/>
  <c r="K3768" i="4"/>
  <c r="J3770" i="4"/>
  <c r="K3788" i="4"/>
  <c r="J3789" i="4"/>
  <c r="J3790" i="4"/>
  <c r="K3791" i="4"/>
  <c r="K3797" i="4"/>
  <c r="K3806" i="4"/>
  <c r="K3807" i="4"/>
  <c r="J3812" i="4"/>
  <c r="J3818" i="4"/>
  <c r="K3822" i="4"/>
  <c r="K3823" i="4"/>
  <c r="K3824" i="4"/>
  <c r="J3830" i="4"/>
  <c r="K3831" i="4"/>
  <c r="J3845" i="4"/>
  <c r="J3866" i="4"/>
  <c r="J3867" i="4"/>
  <c r="J3868" i="4"/>
  <c r="J3869" i="4"/>
  <c r="J3872" i="4"/>
  <c r="J3874" i="4"/>
  <c r="K3875" i="4"/>
  <c r="J3926" i="4"/>
  <c r="K3927" i="4"/>
  <c r="J3933" i="4"/>
  <c r="J3936" i="4"/>
  <c r="J3940" i="4"/>
  <c r="J3941" i="4"/>
  <c r="K3942" i="4"/>
  <c r="J3948" i="4"/>
  <c r="K3952" i="4"/>
  <c r="K3979" i="4"/>
  <c r="K3980" i="4"/>
  <c r="J3986" i="4"/>
  <c r="J3988" i="4"/>
  <c r="K3989" i="4"/>
  <c r="K4022" i="4"/>
  <c r="J4030" i="4"/>
  <c r="J4031" i="4"/>
  <c r="J4032" i="4"/>
  <c r="J4033" i="4"/>
  <c r="K4034" i="4"/>
  <c r="J4035" i="4"/>
  <c r="J4036" i="4"/>
  <c r="J4037" i="4"/>
  <c r="J4038" i="4"/>
  <c r="J4039" i="4"/>
  <c r="K4040" i="4"/>
  <c r="J4045" i="4"/>
  <c r="J4046" i="4"/>
  <c r="K4047" i="4"/>
  <c r="K4048" i="4"/>
  <c r="J4051" i="4"/>
  <c r="K4072" i="4"/>
  <c r="J4073" i="4"/>
  <c r="K4107" i="4"/>
  <c r="J4123" i="4"/>
  <c r="J4134" i="4"/>
  <c r="J4135" i="4"/>
  <c r="K4136" i="4"/>
  <c r="J4137" i="4"/>
  <c r="J4138" i="4"/>
  <c r="J4147" i="4"/>
  <c r="J4148" i="4"/>
  <c r="J4149" i="4"/>
  <c r="J4164" i="4"/>
  <c r="J4171" i="4"/>
  <c r="J4172" i="4"/>
  <c r="J4173" i="4"/>
  <c r="K4174" i="4"/>
  <c r="K4175" i="4"/>
  <c r="J4183" i="4"/>
  <c r="K4203" i="4"/>
  <c r="J4223" i="4"/>
  <c r="K4228" i="4"/>
  <c r="K4229" i="4"/>
  <c r="J4230" i="4"/>
  <c r="K4231" i="4"/>
  <c r="K4232" i="4"/>
  <c r="K4233" i="4"/>
  <c r="K4234" i="4"/>
  <c r="J4235" i="4"/>
  <c r="K4236" i="4"/>
  <c r="K4237" i="4"/>
  <c r="K4239" i="4"/>
  <c r="J4240" i="4"/>
  <c r="J4245" i="4"/>
  <c r="J4246" i="4"/>
  <c r="J4257" i="4"/>
  <c r="J4258" i="4"/>
  <c r="K4259" i="4"/>
  <c r="K4260" i="4"/>
  <c r="K4274" i="4"/>
  <c r="J4303" i="4"/>
  <c r="J4304" i="4"/>
  <c r="J4305" i="4"/>
  <c r="K4306" i="4"/>
  <c r="J4317" i="4"/>
  <c r="K4318" i="4"/>
  <c r="J4325" i="4"/>
  <c r="J4326" i="4"/>
  <c r="K4331" i="4"/>
  <c r="J4332" i="4"/>
  <c r="J4333" i="4"/>
  <c r="K4334" i="4"/>
  <c r="K4335" i="4"/>
  <c r="K4336" i="4"/>
  <c r="K4337" i="4"/>
  <c r="K4338" i="4"/>
  <c r="K4348" i="4"/>
  <c r="K4349" i="4"/>
  <c r="J4350" i="4"/>
  <c r="K4387" i="4"/>
  <c r="K4388" i="4"/>
  <c r="K4406" i="4"/>
  <c r="K4407" i="4"/>
  <c r="J4417" i="4"/>
  <c r="J4418" i="4"/>
  <c r="K4422" i="4"/>
  <c r="J4423" i="4"/>
  <c r="K4424" i="4"/>
  <c r="J4429" i="4"/>
  <c r="J4430" i="4"/>
  <c r="K4431" i="4"/>
  <c r="K4438" i="4"/>
  <c r="J4447" i="4"/>
  <c r="K4448" i="4"/>
  <c r="K4450" i="4"/>
  <c r="K4455" i="4"/>
  <c r="J4462" i="4"/>
  <c r="K4469" i="4"/>
  <c r="K4470" i="4"/>
  <c r="J4476" i="4"/>
  <c r="J4477" i="4"/>
  <c r="J4484" i="4"/>
  <c r="J4485" i="4"/>
  <c r="J4486" i="4"/>
  <c r="J4491" i="4"/>
  <c r="J4496" i="4"/>
  <c r="K4512" i="4"/>
  <c r="J4513" i="4"/>
  <c r="K4514" i="4"/>
  <c r="J4515" i="4"/>
  <c r="J4516" i="4"/>
  <c r="J4517" i="4"/>
  <c r="K4522" i="4"/>
  <c r="K4523" i="4"/>
  <c r="K4524" i="4"/>
  <c r="K4525" i="4"/>
  <c r="J4530" i="4"/>
  <c r="J4531" i="4"/>
  <c r="K4532" i="4"/>
  <c r="K4533" i="4"/>
  <c r="K4534" i="4"/>
  <c r="K4535" i="4"/>
  <c r="K4536" i="4"/>
  <c r="K4545" i="4"/>
  <c r="J4546" i="4"/>
  <c r="K4547" i="4"/>
  <c r="K4548" i="4"/>
  <c r="J4549" i="4"/>
  <c r="J4550" i="4"/>
  <c r="K4551" i="4"/>
  <c r="K4552" i="4"/>
  <c r="J4566" i="4"/>
  <c r="K4566" i="4"/>
  <c r="K4567" i="4"/>
  <c r="K4568" i="4"/>
  <c r="K4569" i="4"/>
  <c r="K4576" i="4"/>
  <c r="J4582" i="4"/>
  <c r="J4583" i="4"/>
  <c r="K4584" i="4"/>
  <c r="K4585" i="4"/>
  <c r="J4590" i="4"/>
  <c r="J4591" i="4"/>
  <c r="K4601" i="4"/>
  <c r="K4602" i="4"/>
  <c r="J4629" i="4"/>
  <c r="K4630" i="4"/>
  <c r="J4635" i="4"/>
  <c r="K4645" i="4"/>
  <c r="K4646" i="4"/>
  <c r="K4647" i="4"/>
  <c r="K4648" i="4"/>
  <c r="K4649" i="4"/>
  <c r="K4655" i="4"/>
  <c r="K4663" i="4"/>
  <c r="J4665" i="4"/>
  <c r="K4678" i="4"/>
  <c r="J4679" i="4"/>
  <c r="J4680" i="4"/>
  <c r="K4681" i="4"/>
  <c r="J4682" i="4"/>
  <c r="J4698" i="4"/>
  <c r="J4699" i="4"/>
  <c r="J4702" i="4"/>
  <c r="J4706" i="4"/>
  <c r="K4707" i="4"/>
  <c r="K4710" i="4"/>
  <c r="K4731" i="4"/>
  <c r="K4732" i="4"/>
  <c r="K4733" i="4"/>
  <c r="K4734" i="4"/>
  <c r="J4735" i="4"/>
  <c r="K4736" i="4"/>
  <c r="K4747" i="4"/>
  <c r="J4748" i="4"/>
  <c r="K4749" i="4"/>
  <c r="K4750" i="4"/>
  <c r="K4759" i="4"/>
  <c r="K4764" i="4"/>
  <c r="K4773" i="4"/>
  <c r="J4774" i="4"/>
  <c r="J4775" i="4"/>
  <c r="K4776" i="4"/>
  <c r="K4777" i="4"/>
  <c r="K4783" i="4"/>
  <c r="J4789" i="4"/>
  <c r="J4790" i="4"/>
  <c r="K4791" i="4"/>
  <c r="K4801" i="4"/>
  <c r="J4824" i="4"/>
  <c r="J4825" i="4"/>
  <c r="J4830" i="4"/>
  <c r="J4831" i="4"/>
  <c r="J4832" i="4"/>
  <c r="J4844" i="4"/>
  <c r="J4845" i="4"/>
  <c r="K4846" i="4"/>
  <c r="K4847" i="4"/>
  <c r="J4848" i="4"/>
  <c r="J4849" i="4"/>
  <c r="J4850" i="4"/>
  <c r="J4851" i="4"/>
  <c r="J4852" i="4"/>
  <c r="K4853" i="4"/>
  <c r="K4863" i="4"/>
  <c r="K4876" i="4"/>
  <c r="K4877" i="4"/>
  <c r="J4885" i="4"/>
  <c r="K4886" i="4"/>
  <c r="K4889" i="4"/>
  <c r="J4894" i="4"/>
  <c r="J4908" i="4"/>
  <c r="J4909" i="4"/>
  <c r="K4914" i="4"/>
  <c r="K4935" i="4"/>
  <c r="K4936" i="4"/>
  <c r="J4937" i="4"/>
  <c r="K4938" i="4"/>
  <c r="K4948" i="4"/>
  <c r="J4954" i="4"/>
  <c r="J4965" i="4"/>
  <c r="K4983" i="4"/>
  <c r="K4992" i="4"/>
  <c r="J4993" i="4"/>
  <c r="K4994" i="4"/>
  <c r="K4995" i="4"/>
  <c r="J4996" i="4"/>
  <c r="J5004" i="4"/>
  <c r="K5005" i="4"/>
  <c r="J5006" i="4"/>
  <c r="J5007" i="4"/>
  <c r="J5008" i="4"/>
  <c r="J5009" i="4"/>
  <c r="J5019" i="4"/>
  <c r="K5020" i="4"/>
  <c r="K5021" i="4"/>
  <c r="J5022" i="4"/>
  <c r="J5023" i="4"/>
  <c r="J5024" i="4"/>
  <c r="K5025" i="4"/>
  <c r="K5032" i="4"/>
  <c r="J5039" i="4"/>
  <c r="K5045" i="4"/>
  <c r="K5047" i="4"/>
  <c r="K5059" i="4"/>
  <c r="K5060" i="4"/>
  <c r="J5061" i="4"/>
  <c r="J5062" i="4"/>
  <c r="K5063" i="4"/>
  <c r="J5074" i="4"/>
  <c r="K5075" i="4"/>
  <c r="J5076" i="4"/>
  <c r="J5077" i="4"/>
  <c r="J5078" i="4"/>
  <c r="J5079" i="4"/>
  <c r="J5080" i="4"/>
  <c r="J5081" i="4"/>
  <c r="J5082" i="4"/>
  <c r="J5083" i="4"/>
  <c r="J5120" i="4"/>
  <c r="K5121" i="4"/>
  <c r="K5132" i="4"/>
  <c r="K5133" i="4"/>
  <c r="K5134" i="4"/>
  <c r="J5141" i="4"/>
  <c r="K5142" i="4"/>
  <c r="K5148" i="4"/>
  <c r="J5152" i="4"/>
  <c r="K5154" i="4"/>
  <c r="K5155" i="4"/>
  <c r="J5160" i="4"/>
  <c r="J5179" i="4"/>
  <c r="K5189" i="4"/>
  <c r="J5202" i="4"/>
  <c r="J5819" i="4"/>
  <c r="J5826" i="4"/>
  <c r="K5827" i="4"/>
  <c r="J5830" i="4"/>
  <c r="K5834" i="4"/>
  <c r="J5835" i="4"/>
  <c r="J5836" i="4"/>
  <c r="J5837" i="4"/>
  <c r="J5862" i="4"/>
  <c r="K5867" i="4"/>
  <c r="K5876" i="4"/>
  <c r="K5877" i="4"/>
  <c r="K5884" i="4"/>
  <c r="J5888" i="4"/>
  <c r="J5911" i="4"/>
  <c r="J5915" i="4"/>
  <c r="J5916" i="4"/>
  <c r="J5917" i="4"/>
  <c r="J5918" i="4"/>
  <c r="J5919" i="4"/>
  <c r="J5920" i="4"/>
  <c r="J5928" i="4"/>
  <c r="K5944" i="4"/>
  <c r="J5947" i="4"/>
  <c r="K5965" i="4"/>
  <c r="J5966" i="4"/>
  <c r="J5967" i="4"/>
  <c r="J5992" i="4"/>
  <c r="K7" i="4"/>
  <c r="K17" i="4"/>
  <c r="K22" i="4"/>
  <c r="J30" i="4"/>
  <c r="J38" i="4"/>
  <c r="J39" i="4"/>
  <c r="J40" i="4"/>
  <c r="K45" i="4"/>
  <c r="K46" i="4"/>
  <c r="J52" i="4"/>
  <c r="J62" i="4"/>
  <c r="J63" i="4"/>
  <c r="K64" i="4"/>
  <c r="K65" i="4"/>
  <c r="J71" i="4"/>
  <c r="K72" i="4"/>
  <c r="J84" i="4"/>
  <c r="J103" i="4"/>
  <c r="J109" i="4"/>
  <c r="J119" i="4"/>
  <c r="J120" i="4"/>
  <c r="J121" i="4"/>
  <c r="K122" i="4"/>
  <c r="K132" i="4"/>
  <c r="J133" i="4"/>
  <c r="J143" i="4"/>
  <c r="K148" i="4"/>
  <c r="J150" i="4"/>
  <c r="J151" i="4"/>
  <c r="K169" i="4"/>
  <c r="J175" i="4"/>
  <c r="K182" i="4"/>
  <c r="J188" i="4"/>
  <c r="K189" i="4"/>
  <c r="J210" i="4"/>
  <c r="J211" i="4"/>
  <c r="K221" i="4"/>
  <c r="J222" i="4"/>
  <c r="J223" i="4"/>
  <c r="K224" i="4"/>
  <c r="J225" i="4"/>
  <c r="K270" i="4"/>
  <c r="J285" i="4"/>
  <c r="K293" i="4"/>
  <c r="K300" i="4"/>
  <c r="J306" i="4"/>
  <c r="K307" i="4"/>
  <c r="K308" i="4"/>
  <c r="K315" i="4"/>
  <c r="J345" i="4"/>
  <c r="J348" i="4"/>
  <c r="K353" i="4"/>
  <c r="K354" i="4"/>
  <c r="K355" i="4"/>
  <c r="J357" i="4"/>
  <c r="J371" i="4"/>
  <c r="J381" i="4"/>
  <c r="K382" i="4"/>
  <c r="J385" i="4"/>
  <c r="K386" i="4"/>
  <c r="J403" i="4"/>
  <c r="J410" i="4"/>
  <c r="K411" i="4"/>
  <c r="K412" i="4"/>
  <c r="J413" i="4"/>
  <c r="K414" i="4"/>
  <c r="J420" i="4"/>
  <c r="K421" i="4"/>
  <c r="J427" i="4"/>
  <c r="J442" i="4"/>
  <c r="J443" i="4"/>
  <c r="J1494" i="4"/>
  <c r="K1503" i="4"/>
  <c r="J1505" i="4"/>
  <c r="K1506" i="4"/>
  <c r="K1517" i="4"/>
  <c r="J1518" i="4"/>
  <c r="J1519" i="4"/>
  <c r="K1520" i="4"/>
  <c r="K1521" i="4"/>
  <c r="J1534" i="4"/>
  <c r="J1551" i="4"/>
  <c r="K1552" i="4"/>
  <c r="J1554" i="4"/>
  <c r="J1560" i="4"/>
  <c r="J1561" i="4"/>
  <c r="J1562" i="4"/>
  <c r="J1563" i="4"/>
  <c r="K1570" i="4"/>
  <c r="J1596" i="4"/>
  <c r="J1600" i="4"/>
  <c r="K1620" i="4"/>
  <c r="J1621" i="4"/>
  <c r="J1622" i="4"/>
  <c r="J1625" i="4"/>
  <c r="J1639" i="4"/>
  <c r="J1658" i="4"/>
  <c r="J1671" i="4"/>
  <c r="J1686" i="4"/>
  <c r="K1687" i="4"/>
  <c r="K1696" i="4"/>
  <c r="J1697" i="4"/>
  <c r="J1698" i="4"/>
  <c r="J1699" i="4"/>
  <c r="J3512" i="4"/>
  <c r="J3513" i="4"/>
  <c r="J3526" i="4"/>
  <c r="J3527" i="4"/>
  <c r="K3546" i="4"/>
  <c r="K3547" i="4"/>
  <c r="J3548" i="4"/>
  <c r="J3549" i="4"/>
  <c r="J3550" i="4"/>
  <c r="J3551" i="4"/>
  <c r="J3564" i="4"/>
  <c r="J3565" i="4"/>
  <c r="F31" i="3"/>
  <c r="H121" i="1" s="1"/>
  <c r="J121" i="1" s="1"/>
  <c r="J32" i="12"/>
  <c r="J31" i="12"/>
  <c r="F30" i="3"/>
  <c r="H120" i="1" s="1"/>
  <c r="J120" i="1" s="1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F11" i="3"/>
  <c r="H118" i="1" s="1"/>
  <c r="J12" i="12"/>
  <c r="J11" i="12"/>
  <c r="J10" i="12"/>
  <c r="J9" i="12"/>
  <c r="J8" i="12"/>
  <c r="J7" i="12"/>
  <c r="J6" i="12"/>
  <c r="J5" i="12"/>
  <c r="J4" i="12"/>
  <c r="K3" i="12"/>
  <c r="C32" i="3"/>
  <c r="J3" i="12"/>
  <c r="B10" i="12"/>
  <c r="H163" i="1"/>
  <c r="H164" i="1" s="1"/>
  <c r="I161" i="1"/>
  <c r="I160" i="1"/>
  <c r="I159" i="1"/>
  <c r="I158" i="1"/>
  <c r="F162" i="1"/>
  <c r="E162" i="1"/>
  <c r="L158" i="1" s="1"/>
  <c r="J5882" i="4" l="1"/>
  <c r="J5883" i="4"/>
  <c r="K5890" i="4"/>
  <c r="J5891" i="4"/>
  <c r="J5892" i="4"/>
  <c r="K5900" i="4"/>
  <c r="K5916" i="4"/>
  <c r="K5922" i="4"/>
  <c r="K5923" i="4"/>
  <c r="J5924" i="4"/>
  <c r="J5925" i="4"/>
  <c r="K5929" i="4"/>
  <c r="J5930" i="4"/>
  <c r="J5940" i="4"/>
  <c r="K5941" i="4"/>
  <c r="K5942" i="4"/>
  <c r="K5943" i="4"/>
  <c r="J5948" i="4"/>
  <c r="K5963" i="4"/>
  <c r="K5964" i="4"/>
  <c r="J5965" i="4"/>
  <c r="K5969" i="4"/>
  <c r="J5970" i="4"/>
  <c r="K5971" i="4"/>
  <c r="K5972" i="4"/>
  <c r="K5978" i="4"/>
  <c r="J5981" i="4"/>
  <c r="J5986" i="4"/>
  <c r="K5992" i="4"/>
  <c r="K5993" i="4"/>
  <c r="J5997" i="4"/>
  <c r="J17" i="4"/>
  <c r="J27" i="4"/>
  <c r="K40" i="4"/>
  <c r="K41" i="4"/>
  <c r="K42" i="4"/>
  <c r="K48" i="4"/>
  <c r="J58" i="4"/>
  <c r="J59" i="4"/>
  <c r="K60" i="4"/>
  <c r="K75" i="4"/>
  <c r="J76" i="4"/>
  <c r="J77" i="4"/>
  <c r="J78" i="4"/>
  <c r="J79" i="4"/>
  <c r="K80" i="4"/>
  <c r="J81" i="4"/>
  <c r="J82" i="4"/>
  <c r="J88" i="4"/>
  <c r="K94" i="4"/>
  <c r="K95" i="4"/>
  <c r="K96" i="4"/>
  <c r="K97" i="4"/>
  <c r="K103" i="4"/>
  <c r="K115" i="4"/>
  <c r="K116" i="4"/>
  <c r="K117" i="4"/>
  <c r="J123" i="4"/>
  <c r="J146" i="4"/>
  <c r="J148" i="4"/>
  <c r="K150" i="4"/>
  <c r="K156" i="4"/>
  <c r="K157" i="4"/>
  <c r="K158" i="4"/>
  <c r="J159" i="4"/>
  <c r="K164" i="4"/>
  <c r="K165" i="4"/>
  <c r="J180" i="4"/>
  <c r="J181" i="4"/>
  <c r="J182" i="4"/>
  <c r="K183" i="4"/>
  <c r="J189" i="4"/>
  <c r="K190" i="4"/>
  <c r="J193" i="4"/>
  <c r="J194" i="4"/>
  <c r="K195" i="4"/>
  <c r="J196" i="4"/>
  <c r="J197" i="4"/>
  <c r="J198" i="4"/>
  <c r="K203" i="4"/>
  <c r="K209" i="4"/>
  <c r="K210" i="4"/>
  <c r="K211" i="4"/>
  <c r="J212" i="4"/>
  <c r="J213" i="4"/>
  <c r="J224" i="4"/>
  <c r="K230" i="4"/>
  <c r="K235" i="4"/>
  <c r="J243" i="4"/>
  <c r="K250" i="4"/>
  <c r="J260" i="4"/>
  <c r="K261" i="4"/>
  <c r="K280" i="4"/>
  <c r="J286" i="4"/>
  <c r="J287" i="4"/>
  <c r="J288" i="4"/>
  <c r="J289" i="4"/>
  <c r="J290" i="4"/>
  <c r="K291" i="4"/>
  <c r="J296" i="4"/>
  <c r="J319" i="4"/>
  <c r="K320" i="4"/>
  <c r="K330" i="4"/>
  <c r="J332" i="4"/>
  <c r="K334" i="4"/>
  <c r="K335" i="4"/>
  <c r="J337" i="4"/>
  <c r="J338" i="4"/>
  <c r="K362" i="4"/>
  <c r="J372" i="4"/>
  <c r="J373" i="4"/>
  <c r="K374" i="4"/>
  <c r="K379" i="4"/>
  <c r="K381" i="4"/>
  <c r="J395" i="4"/>
  <c r="K396" i="4"/>
  <c r="K406" i="4"/>
  <c r="K422" i="4"/>
  <c r="J432" i="4"/>
  <c r="K439" i="4"/>
  <c r="J1495" i="4"/>
  <c r="J1496" i="4"/>
  <c r="K1497" i="4"/>
  <c r="J1498" i="4"/>
  <c r="J1499" i="4"/>
  <c r="K1500" i="4"/>
  <c r="K1501" i="4"/>
  <c r="J1502" i="4"/>
  <c r="J1509" i="4"/>
  <c r="K1510" i="4"/>
  <c r="K1511" i="4"/>
  <c r="J1512" i="4"/>
  <c r="J1513" i="4"/>
  <c r="K1514" i="4"/>
  <c r="J1520" i="4"/>
  <c r="J1521" i="4"/>
  <c r="J1522" i="4"/>
  <c r="K1523" i="4"/>
  <c r="J1525" i="4"/>
  <c r="J1526" i="4"/>
  <c r="J1527" i="4"/>
  <c r="J1540" i="4"/>
  <c r="K1541" i="4"/>
  <c r="J1544" i="4"/>
  <c r="K1545" i="4"/>
  <c r="K1546" i="4"/>
  <c r="J1547" i="4"/>
  <c r="K1548" i="4"/>
  <c r="J1550" i="4"/>
  <c r="J1552" i="4"/>
  <c r="J1553" i="4"/>
  <c r="J1570" i="4"/>
  <c r="J1572" i="4"/>
  <c r="J1573" i="4"/>
  <c r="K1574" i="4"/>
  <c r="J1575" i="4"/>
  <c r="J1576" i="4"/>
  <c r="J1577" i="4"/>
  <c r="K1580" i="4"/>
  <c r="K1581" i="4"/>
  <c r="K1584" i="4"/>
  <c r="J1588" i="4"/>
  <c r="K1589" i="4"/>
  <c r="J1594" i="4"/>
  <c r="J1595" i="4"/>
  <c r="J1599" i="4"/>
  <c r="K1609" i="4"/>
  <c r="J1610" i="4"/>
  <c r="N1610" i="4" s="1"/>
  <c r="O1610" i="4" s="1"/>
  <c r="J1613" i="4"/>
  <c r="J1623" i="4"/>
  <c r="K1632" i="4"/>
  <c r="J1638" i="4"/>
  <c r="J1642" i="4"/>
  <c r="J1643" i="4"/>
  <c r="J1644" i="4"/>
  <c r="K1645" i="4"/>
  <c r="K1658" i="4"/>
  <c r="J1661" i="4"/>
  <c r="K1662" i="4"/>
  <c r="K1663" i="4"/>
  <c r="J1664" i="4"/>
  <c r="J1669" i="4"/>
  <c r="J1670" i="4"/>
  <c r="J1681" i="4"/>
  <c r="J1682" i="4"/>
  <c r="J1683" i="4"/>
  <c r="K1684" i="4"/>
  <c r="K1685" i="4"/>
  <c r="K1686" i="4"/>
  <c r="J1687" i="4"/>
  <c r="J1694" i="4"/>
  <c r="J1696" i="4"/>
  <c r="J1706" i="4"/>
  <c r="K1707" i="4"/>
  <c r="K1708" i="4"/>
  <c r="J1709" i="4"/>
  <c r="J1710" i="4"/>
  <c r="K1711" i="4"/>
  <c r="K1712" i="4"/>
  <c r="J1713" i="4"/>
  <c r="K1714" i="4"/>
  <c r="K1715" i="4"/>
  <c r="J1723" i="4"/>
  <c r="J1728" i="4"/>
  <c r="K1734" i="4"/>
  <c r="K1740" i="4"/>
  <c r="K1741" i="4"/>
  <c r="J1745" i="4"/>
  <c r="J1751" i="4"/>
  <c r="K1752" i="4"/>
  <c r="J1753" i="4"/>
  <c r="J1754" i="4"/>
  <c r="J1755" i="4"/>
  <c r="J1756" i="4"/>
  <c r="J1757" i="4"/>
  <c r="J1762" i="4"/>
  <c r="K1763" i="4"/>
  <c r="J1764" i="4"/>
  <c r="J1770" i="4"/>
  <c r="K1771" i="4"/>
  <c r="J1772" i="4"/>
  <c r="J1773" i="4"/>
  <c r="K1777" i="4"/>
  <c r="J1782" i="4"/>
  <c r="J1795" i="4"/>
  <c r="K1806" i="4"/>
  <c r="J1807" i="4"/>
  <c r="K1808" i="4"/>
  <c r="J1809" i="4"/>
  <c r="J1810" i="4"/>
  <c r="K1811" i="4"/>
  <c r="K1836" i="4"/>
  <c r="J1841" i="4"/>
  <c r="K1842" i="4"/>
  <c r="K1860" i="4"/>
  <c r="J1869" i="4"/>
  <c r="J1870" i="4"/>
  <c r="J1871" i="4"/>
  <c r="J1872" i="4"/>
  <c r="J1873" i="4"/>
  <c r="J1874" i="4"/>
  <c r="J1875" i="4"/>
  <c r="K1876" i="4"/>
  <c r="K1877" i="4"/>
  <c r="K1882" i="4"/>
  <c r="J1883" i="4"/>
  <c r="J1884" i="4"/>
  <c r="K1885" i="4"/>
  <c r="J1906" i="4"/>
  <c r="K1907" i="4"/>
  <c r="J1916" i="4"/>
  <c r="K1917" i="4"/>
  <c r="J1919" i="4"/>
  <c r="J1924" i="4"/>
  <c r="K1924" i="4"/>
  <c r="J1925" i="4"/>
  <c r="K1926" i="4"/>
  <c r="K1937" i="4"/>
  <c r="J1940" i="4"/>
  <c r="J1941" i="4"/>
  <c r="K1976" i="4"/>
  <c r="K1985" i="4"/>
  <c r="J1986" i="4"/>
  <c r="K1987" i="4"/>
  <c r="K2003" i="4"/>
  <c r="J2004" i="4"/>
  <c r="K2025" i="4"/>
  <c r="K2026" i="4"/>
  <c r="K2027" i="4"/>
  <c r="K2028" i="4"/>
  <c r="K2029" i="4"/>
  <c r="J2055" i="4"/>
  <c r="K2056" i="4"/>
  <c r="K2057" i="4"/>
  <c r="J2073" i="4"/>
  <c r="J2075" i="4"/>
  <c r="K2076" i="4"/>
  <c r="K2077" i="4"/>
  <c r="J2095" i="4"/>
  <c r="J2096" i="4"/>
  <c r="J2107" i="4"/>
  <c r="K2112" i="4"/>
  <c r="K2117" i="4"/>
  <c r="K2126" i="4"/>
  <c r="J2155" i="4"/>
  <c r="J2160" i="4"/>
  <c r="J2161" i="4"/>
  <c r="K2162" i="4"/>
  <c r="J2163" i="4"/>
  <c r="K2164" i="4"/>
  <c r="J2168" i="4"/>
  <c r="K2169" i="4"/>
  <c r="K2174" i="4"/>
  <c r="J2188" i="4"/>
  <c r="J2197" i="4"/>
  <c r="J2198" i="4"/>
  <c r="K2203" i="4"/>
  <c r="J2209" i="4"/>
  <c r="K2210" i="4"/>
  <c r="J2221" i="4"/>
  <c r="K2222" i="4"/>
  <c r="K2223" i="4"/>
  <c r="J2224" i="4"/>
  <c r="J2235" i="4"/>
  <c r="J2237" i="4"/>
  <c r="J2238" i="4"/>
  <c r="K2243" i="4"/>
  <c r="K2251" i="4"/>
  <c r="K2252" i="4"/>
  <c r="K2279" i="4"/>
  <c r="K2281" i="4"/>
  <c r="J2282" i="4"/>
  <c r="K2307" i="4"/>
  <c r="K2308" i="4"/>
  <c r="J2311" i="4"/>
  <c r="J2323" i="4"/>
  <c r="J2324" i="4"/>
  <c r="K2334" i="4"/>
  <c r="K2344" i="4"/>
  <c r="K2345" i="4"/>
  <c r="J2346" i="4"/>
  <c r="J2365" i="4"/>
  <c r="K2366" i="4"/>
  <c r="J2367" i="4"/>
  <c r="K2368" i="4"/>
  <c r="J2369" i="4"/>
  <c r="J2370" i="4"/>
  <c r="K2389" i="4"/>
  <c r="K2390" i="4"/>
  <c r="K2391" i="4"/>
  <c r="K2392" i="4"/>
  <c r="J4529" i="4"/>
  <c r="J4537" i="4"/>
  <c r="J4556" i="4"/>
  <c r="K4557" i="4"/>
  <c r="K4558" i="4"/>
  <c r="J4563" i="4"/>
  <c r="K4564" i="4"/>
  <c r="J4586" i="4"/>
  <c r="J4587" i="4"/>
  <c r="K4596" i="4"/>
  <c r="K4597" i="4"/>
  <c r="K4607" i="4"/>
  <c r="K4612" i="4"/>
  <c r="J4616" i="4"/>
  <c r="K4620" i="4"/>
  <c r="K4621" i="4"/>
  <c r="K4622" i="4"/>
  <c r="K4623" i="4"/>
  <c r="K4624" i="4"/>
  <c r="J4625" i="4"/>
  <c r="J4626" i="4"/>
  <c r="J4627" i="4"/>
  <c r="J4648" i="4"/>
  <c r="J4649" i="4"/>
  <c r="J4662" i="4"/>
  <c r="J4677" i="4"/>
  <c r="J4678" i="4"/>
  <c r="K4679" i="4"/>
  <c r="K4680" i="4"/>
  <c r="J4681" i="4"/>
  <c r="K4682" i="4"/>
  <c r="J4697" i="4"/>
  <c r="K4705" i="4"/>
  <c r="J4717" i="4"/>
  <c r="K4721" i="4"/>
  <c r="K4722" i="4"/>
  <c r="K4727" i="4"/>
  <c r="K4728" i="4"/>
  <c r="K4729" i="4"/>
  <c r="K4730" i="4"/>
  <c r="J4731" i="4"/>
  <c r="J4732" i="4"/>
  <c r="J4737" i="4"/>
  <c r="J4738" i="4"/>
  <c r="J4745" i="4"/>
  <c r="J4746" i="4"/>
  <c r="J4747" i="4"/>
  <c r="K4748" i="4"/>
  <c r="J4749" i="4"/>
  <c r="J4750" i="4"/>
  <c r="J4755" i="4"/>
  <c r="K4756" i="4"/>
  <c r="K4785" i="4"/>
  <c r="K4786" i="4"/>
  <c r="K4787" i="4"/>
  <c r="K4792" i="4"/>
  <c r="K4794" i="4"/>
  <c r="K4795" i="4"/>
  <c r="K4803" i="4"/>
  <c r="K4805" i="4"/>
  <c r="K4809" i="4"/>
  <c r="J4810" i="4"/>
  <c r="J4811" i="4"/>
  <c r="J4812" i="4"/>
  <c r="K4825" i="4"/>
  <c r="J4842" i="4"/>
  <c r="K4843" i="4"/>
  <c r="K4844" i="4"/>
  <c r="K4845" i="4"/>
  <c r="J4846" i="4"/>
  <c r="J4847" i="4"/>
  <c r="J4857" i="4"/>
  <c r="K4858" i="4"/>
  <c r="K4859" i="4"/>
  <c r="J4860" i="4"/>
  <c r="J4861" i="4"/>
  <c r="K4872" i="4"/>
  <c r="K4878" i="4"/>
  <c r="J4881" i="4"/>
  <c r="K4882" i="4"/>
  <c r="J4886" i="4"/>
  <c r="K4887" i="4"/>
  <c r="K4888" i="4"/>
  <c r="J4889" i="4"/>
  <c r="J4890" i="4"/>
  <c r="J4891" i="4"/>
  <c r="K4892" i="4"/>
  <c r="J4895" i="4"/>
  <c r="K4896" i="4"/>
  <c r="J4907" i="4"/>
  <c r="K4910" i="4"/>
  <c r="K4911" i="4"/>
  <c r="K4920" i="4"/>
  <c r="K4925" i="4"/>
  <c r="J4928" i="4"/>
  <c r="K4933" i="4"/>
  <c r="J4944" i="4"/>
  <c r="J4945" i="4"/>
  <c r="J4962" i="4"/>
  <c r="K4963" i="4"/>
  <c r="K4972" i="4"/>
  <c r="J4973" i="4"/>
  <c r="J4974" i="4"/>
  <c r="J4975" i="4"/>
  <c r="K4979" i="4"/>
  <c r="J4981" i="4"/>
  <c r="K4985" i="4"/>
  <c r="K4998" i="4"/>
  <c r="J4999" i="4"/>
  <c r="J5000" i="4"/>
  <c r="J5001" i="4"/>
  <c r="J5010" i="4"/>
  <c r="J5011" i="4"/>
  <c r="K5012" i="4"/>
  <c r="K5013" i="4"/>
  <c r="K5018" i="4"/>
  <c r="J5020" i="4"/>
  <c r="J5021" i="4"/>
  <c r="J5044" i="4"/>
  <c r="K5049" i="4"/>
  <c r="K5062" i="4"/>
  <c r="J5064" i="4"/>
  <c r="J5065" i="4"/>
  <c r="J5066" i="4"/>
  <c r="J5067" i="4"/>
  <c r="J5086" i="4"/>
  <c r="K5087" i="4"/>
  <c r="J5111" i="4"/>
  <c r="J5113" i="4"/>
  <c r="K5114" i="4"/>
  <c r="K5119" i="4"/>
  <c r="J5124" i="4"/>
  <c r="K5125" i="4"/>
  <c r="J5145" i="4"/>
  <c r="J5146" i="4"/>
  <c r="J5150" i="4"/>
  <c r="J5154" i="4"/>
  <c r="J5155" i="4"/>
  <c r="K5156" i="4"/>
  <c r="K5164" i="4"/>
  <c r="K5165" i="4"/>
  <c r="J5168" i="4"/>
  <c r="K5168" i="4"/>
  <c r="J5169" i="4"/>
  <c r="K5170" i="4"/>
  <c r="J5175" i="4"/>
  <c r="J5176" i="4"/>
  <c r="J5182" i="4"/>
  <c r="K5186" i="4"/>
  <c r="J5187" i="4"/>
  <c r="J5188" i="4"/>
  <c r="J5197" i="4"/>
  <c r="J5203" i="4"/>
  <c r="J5204" i="4"/>
  <c r="K5840" i="4"/>
  <c r="K5841" i="4"/>
  <c r="K2284" i="4"/>
  <c r="K2285" i="4"/>
  <c r="K2286" i="4"/>
  <c r="K2291" i="4"/>
  <c r="J2293" i="4"/>
  <c r="K2328" i="4"/>
  <c r="J2354" i="4"/>
  <c r="K2358" i="4"/>
  <c r="K2359" i="4"/>
  <c r="J2376" i="4"/>
  <c r="K2382" i="4"/>
  <c r="J2390" i="4"/>
  <c r="J2391" i="4"/>
  <c r="J2392" i="4"/>
  <c r="J2398" i="4"/>
  <c r="K2399" i="4"/>
  <c r="K2407" i="4"/>
  <c r="K2408" i="4"/>
  <c r="K2409" i="4"/>
  <c r="J2415" i="4"/>
  <c r="K2416" i="4"/>
  <c r="K2422" i="4"/>
  <c r="J2423" i="4"/>
  <c r="J2424" i="4"/>
  <c r="K2436" i="4"/>
  <c r="J2437" i="4"/>
  <c r="K2438" i="4"/>
  <c r="K2449" i="4"/>
  <c r="K2470" i="4"/>
  <c r="K2475" i="4"/>
  <c r="K2480" i="4"/>
  <c r="K2490" i="4"/>
  <c r="J2506" i="4"/>
  <c r="J2507" i="4"/>
  <c r="J2514" i="4"/>
  <c r="K2515" i="4"/>
  <c r="J2531" i="4"/>
  <c r="J2548" i="4"/>
  <c r="K2570" i="4"/>
  <c r="J2571" i="4"/>
  <c r="J2572" i="4"/>
  <c r="K2573" i="4"/>
  <c r="K2574" i="4"/>
  <c r="K2575" i="4"/>
  <c r="J2583" i="4"/>
  <c r="J2604" i="4"/>
  <c r="J2605" i="4"/>
  <c r="J2606" i="4"/>
  <c r="J2607" i="4"/>
  <c r="K2616" i="4"/>
  <c r="K2621" i="4"/>
  <c r="J2630" i="4"/>
  <c r="J2631" i="4"/>
  <c r="K2636" i="4"/>
  <c r="J2637" i="4"/>
  <c r="K2646" i="4"/>
  <c r="J2647" i="4"/>
  <c r="K2648" i="4"/>
  <c r="J2650" i="4"/>
  <c r="J2651" i="4"/>
  <c r="J2652" i="4"/>
  <c r="K2653" i="4"/>
  <c r="J2662" i="4"/>
  <c r="J2663" i="4"/>
  <c r="J2664" i="4"/>
  <c r="K2665" i="4"/>
  <c r="K2674" i="4"/>
  <c r="K2675" i="4"/>
  <c r="J2703" i="4"/>
  <c r="J2704" i="4"/>
  <c r="K2705" i="4"/>
  <c r="J2724" i="4"/>
  <c r="J2725" i="4"/>
  <c r="K2761" i="4"/>
  <c r="J2764" i="4"/>
  <c r="J2765" i="4"/>
  <c r="J2766" i="4"/>
  <c r="K2791" i="4"/>
  <c r="J2807" i="4"/>
  <c r="J2808" i="4"/>
  <c r="J2817" i="4"/>
  <c r="K2818" i="4"/>
  <c r="J2829" i="4"/>
  <c r="J2834" i="4"/>
  <c r="K2835" i="4"/>
  <c r="K2854" i="4"/>
  <c r="J2855" i="4"/>
  <c r="K2856" i="4"/>
  <c r="K2857" i="4"/>
  <c r="J2873" i="4"/>
  <c r="K2896" i="4"/>
  <c r="K2912" i="4"/>
  <c r="K2913" i="4"/>
  <c r="J2922" i="4"/>
  <c r="K2923" i="4"/>
  <c r="K2928" i="4"/>
  <c r="J2929" i="4"/>
  <c r="J2950" i="4"/>
  <c r="K2958" i="4"/>
  <c r="K2981" i="4"/>
  <c r="K3003" i="4"/>
  <c r="J3005" i="4"/>
  <c r="J3006" i="4"/>
  <c r="J3009" i="4"/>
  <c r="K3015" i="4"/>
  <c r="J3020" i="4"/>
  <c r="J3063" i="4"/>
  <c r="J3064" i="4"/>
  <c r="K3078" i="4"/>
  <c r="K3106" i="4"/>
  <c r="J3112" i="4"/>
  <c r="J3117" i="4"/>
  <c r="J3130" i="4"/>
  <c r="J3131" i="4"/>
  <c r="J3136" i="4"/>
  <c r="J3137" i="4"/>
  <c r="J3138" i="4"/>
  <c r="K3139" i="4"/>
  <c r="K3144" i="4"/>
  <c r="J3149" i="4"/>
  <c r="K3162" i="4"/>
  <c r="J3163" i="4"/>
  <c r="J3164" i="4"/>
  <c r="K3165" i="4"/>
  <c r="K3166" i="4"/>
  <c r="K3171" i="4"/>
  <c r="K3176" i="4"/>
  <c r="K3191" i="4"/>
  <c r="K3192" i="4"/>
  <c r="K3199" i="4"/>
  <c r="K3200" i="4"/>
  <c r="K3218" i="4"/>
  <c r="K3227" i="4"/>
  <c r="K3232" i="4"/>
  <c r="J3234" i="4"/>
  <c r="J3235" i="4"/>
  <c r="J3238" i="4"/>
  <c r="K3239" i="4"/>
  <c r="J3241" i="4"/>
  <c r="J3261" i="4"/>
  <c r="J3262" i="4"/>
  <c r="K3273" i="4"/>
  <c r="K3282" i="4"/>
  <c r="K3295" i="4"/>
  <c r="J3305" i="4"/>
  <c r="J3310" i="4"/>
  <c r="J3311" i="4"/>
  <c r="J3312" i="4"/>
  <c r="J3313" i="4"/>
  <c r="J3314" i="4"/>
  <c r="J3315" i="4"/>
  <c r="J3324" i="4"/>
  <c r="J3325" i="4"/>
  <c r="J3332" i="4"/>
  <c r="K3337" i="4"/>
  <c r="J3338" i="4"/>
  <c r="K3343" i="4"/>
  <c r="K3348" i="4"/>
  <c r="K3358" i="4"/>
  <c r="J3363" i="4"/>
  <c r="K3377" i="4"/>
  <c r="K3382" i="4"/>
  <c r="K3383" i="4"/>
  <c r="J3385" i="4"/>
  <c r="K3387" i="4"/>
  <c r="J3406" i="4"/>
  <c r="K3407" i="4"/>
  <c r="K3414" i="4"/>
  <c r="K3415" i="4"/>
  <c r="K3432" i="4"/>
  <c r="K3433" i="4"/>
  <c r="J3435" i="4"/>
  <c r="J3448" i="4"/>
  <c r="K3450" i="4"/>
  <c r="K3470" i="4"/>
  <c r="K3471" i="4"/>
  <c r="K3472" i="4"/>
  <c r="K3473" i="4"/>
  <c r="J3474" i="4"/>
  <c r="K3480" i="4"/>
  <c r="J3481" i="4"/>
  <c r="J3486" i="4"/>
  <c r="J2393" i="4"/>
  <c r="J2416" i="4"/>
  <c r="J2430" i="4"/>
  <c r="K2439" i="4"/>
  <c r="K2468" i="4"/>
  <c r="K2469" i="4"/>
  <c r="J2491" i="4"/>
  <c r="J2492" i="4"/>
  <c r="J2516" i="4"/>
  <c r="K2518" i="4"/>
  <c r="J2519" i="4"/>
  <c r="K2537" i="4"/>
  <c r="K2538" i="4"/>
  <c r="K2541" i="4"/>
  <c r="K2545" i="4"/>
  <c r="K2558" i="4"/>
  <c r="K2559" i="4"/>
  <c r="J2562" i="4"/>
  <c r="J2563" i="4"/>
  <c r="J2564" i="4"/>
  <c r="K2572" i="4"/>
  <c r="J2578" i="4"/>
  <c r="J2584" i="4"/>
  <c r="K2585" i="4"/>
  <c r="K2586" i="4"/>
  <c r="J2587" i="4"/>
  <c r="K2597" i="4"/>
  <c r="J2623" i="4"/>
  <c r="J2632" i="4"/>
  <c r="J2633" i="4"/>
  <c r="J2640" i="4"/>
  <c r="J2641" i="4"/>
  <c r="K2642" i="4"/>
  <c r="J2643" i="4"/>
  <c r="J2644" i="4"/>
  <c r="K2645" i="4"/>
  <c r="J2646" i="4"/>
  <c r="J2656" i="4"/>
  <c r="J2657" i="4"/>
  <c r="J2666" i="4"/>
  <c r="K2667" i="4"/>
  <c r="J2668" i="4"/>
  <c r="J2669" i="4"/>
  <c r="K2679" i="4"/>
  <c r="J2684" i="4"/>
  <c r="J2693" i="4"/>
  <c r="K2694" i="4"/>
  <c r="K2695" i="4"/>
  <c r="K2696" i="4"/>
  <c r="K2698" i="4"/>
  <c r="K2699" i="4"/>
  <c r="J2700" i="4"/>
  <c r="J2701" i="4"/>
  <c r="K2702" i="4"/>
  <c r="J2715" i="4"/>
  <c r="K2716" i="4"/>
  <c r="J2717" i="4"/>
  <c r="J2718" i="4"/>
  <c r="J2719" i="4"/>
  <c r="K2720" i="4"/>
  <c r="K2724" i="4"/>
  <c r="J2743" i="4"/>
  <c r="K2744" i="4"/>
  <c r="K2745" i="4"/>
  <c r="K2746" i="4"/>
  <c r="K2747" i="4"/>
  <c r="K2748" i="4"/>
  <c r="J2749" i="4"/>
  <c r="K2750" i="4"/>
  <c r="J2751" i="4"/>
  <c r="J2752" i="4"/>
  <c r="K2757" i="4"/>
  <c r="J2758" i="4"/>
  <c r="K2759" i="4"/>
  <c r="J2761" i="4"/>
  <c r="K2770" i="4"/>
  <c r="K2799" i="4"/>
  <c r="K2800" i="4"/>
  <c r="K2801" i="4"/>
  <c r="J2810" i="4"/>
  <c r="J2812" i="4"/>
  <c r="K2813" i="4"/>
  <c r="K2814" i="4"/>
  <c r="K2815" i="4"/>
  <c r="J2822" i="4"/>
  <c r="K2844" i="4"/>
  <c r="K2849" i="4"/>
  <c r="J2854" i="4"/>
  <c r="K2867" i="4"/>
  <c r="K2868" i="4"/>
  <c r="K2869" i="4"/>
  <c r="K2870" i="4"/>
  <c r="K2871" i="4"/>
  <c r="K2872" i="4"/>
  <c r="K2873" i="4"/>
  <c r="J2874" i="4"/>
  <c r="J2875" i="4"/>
  <c r="K2880" i="4"/>
  <c r="J2882" i="4"/>
  <c r="J2883" i="4"/>
  <c r="K2891" i="4"/>
  <c r="J2895" i="4"/>
  <c r="K2911" i="4"/>
  <c r="J2916" i="4"/>
  <c r="J2917" i="4"/>
  <c r="J2918" i="4"/>
  <c r="J2919" i="4"/>
  <c r="J2930" i="4"/>
  <c r="K2931" i="4"/>
  <c r="K2932" i="4"/>
  <c r="J2933" i="4"/>
  <c r="K2938" i="4"/>
  <c r="J2939" i="4"/>
  <c r="K2940" i="4"/>
  <c r="J2949" i="4"/>
  <c r="J2971" i="4"/>
  <c r="K2972" i="4"/>
  <c r="J2982" i="4"/>
  <c r="J2989" i="4"/>
  <c r="J2990" i="4"/>
  <c r="K2991" i="4"/>
  <c r="K3014" i="4"/>
  <c r="K3019" i="4"/>
  <c r="K3024" i="4"/>
  <c r="J3047" i="4"/>
  <c r="J3049" i="4"/>
  <c r="K3050" i="4"/>
  <c r="K3065" i="4"/>
  <c r="K3070" i="4"/>
  <c r="K3071" i="4"/>
  <c r="J3072" i="4"/>
  <c r="J3073" i="4"/>
  <c r="K3074" i="4"/>
  <c r="J3075" i="4"/>
  <c r="K3076" i="4"/>
  <c r="K3077" i="4"/>
  <c r="J3078" i="4"/>
  <c r="K3079" i="4"/>
  <c r="K3080" i="4"/>
  <c r="K3081" i="4"/>
  <c r="J3082" i="4"/>
  <c r="J3083" i="4"/>
  <c r="K3084" i="4"/>
  <c r="K3085" i="4"/>
  <c r="K3096" i="4"/>
  <c r="K3097" i="4"/>
  <c r="K3098" i="4"/>
  <c r="J3099" i="4"/>
  <c r="K3100" i="4"/>
  <c r="K3101" i="4"/>
  <c r="J3102" i="4"/>
  <c r="K3118" i="4"/>
  <c r="K3141" i="4"/>
  <c r="K3142" i="4"/>
  <c r="J3145" i="4"/>
  <c r="J3146" i="4"/>
  <c r="J3147" i="4"/>
  <c r="J3160" i="4"/>
  <c r="K3161" i="4"/>
  <c r="J3168" i="4"/>
  <c r="J3169" i="4"/>
  <c r="J3170" i="4"/>
  <c r="J3189" i="4"/>
  <c r="K3190" i="4"/>
  <c r="K3193" i="4"/>
  <c r="K3194" i="4"/>
  <c r="J3195" i="4"/>
  <c r="J3196" i="4"/>
  <c r="J3197" i="4"/>
  <c r="J3198" i="4"/>
  <c r="J3199" i="4"/>
  <c r="J3200" i="4"/>
  <c r="K3201" i="4"/>
  <c r="K3202" i="4"/>
  <c r="K3203" i="4"/>
  <c r="J3212" i="4"/>
  <c r="K3213" i="4"/>
  <c r="K3223" i="4"/>
  <c r="J3224" i="4"/>
  <c r="J3225" i="4"/>
  <c r="K3226" i="4"/>
  <c r="K3231" i="4"/>
  <c r="J3232" i="4"/>
  <c r="K3233" i="4"/>
  <c r="J3239" i="4"/>
  <c r="K3260" i="4"/>
  <c r="J3267" i="4"/>
  <c r="K3268" i="4"/>
  <c r="J3280" i="4"/>
  <c r="K3281" i="4"/>
  <c r="J3282" i="4"/>
  <c r="J3289" i="4"/>
  <c r="J3294" i="4"/>
  <c r="K3303" i="4"/>
  <c r="J3308" i="4"/>
  <c r="K3309" i="4"/>
  <c r="K3312" i="4"/>
  <c r="K3313" i="4"/>
  <c r="K3316" i="4"/>
  <c r="J3337" i="4"/>
  <c r="J3344" i="4"/>
  <c r="J3345" i="4"/>
  <c r="J3350" i="4"/>
  <c r="J3360" i="4"/>
  <c r="K3361" i="4"/>
  <c r="J3388" i="4"/>
  <c r="J3389" i="4"/>
  <c r="K3390" i="4"/>
  <c r="J3400" i="4"/>
  <c r="J3441" i="4"/>
  <c r="N3441" i="4" s="1"/>
  <c r="K3451" i="4"/>
  <c r="K3452" i="4"/>
  <c r="J3453" i="4"/>
  <c r="K3454" i="4"/>
  <c r="J3475" i="4"/>
  <c r="J3476" i="4"/>
  <c r="J3477" i="4"/>
  <c r="J3478" i="4"/>
  <c r="K3479" i="4"/>
  <c r="J3485" i="4"/>
  <c r="K3489" i="4"/>
  <c r="K3490" i="4"/>
  <c r="J3491" i="4"/>
  <c r="K3514" i="4"/>
  <c r="K3515" i="4"/>
  <c r="K3516" i="4"/>
  <c r="J3517" i="4"/>
  <c r="J3524" i="4"/>
  <c r="K3525" i="4"/>
  <c r="K3530" i="4"/>
  <c r="J3531" i="4"/>
  <c r="J3532" i="4"/>
  <c r="K3533" i="4"/>
  <c r="K3534" i="4"/>
  <c r="J3535" i="4"/>
  <c r="K3536" i="4"/>
  <c r="K3537" i="4"/>
  <c r="K3543" i="4"/>
  <c r="J3552" i="4"/>
  <c r="K3561" i="4"/>
  <c r="J3563" i="4"/>
  <c r="K3564" i="4"/>
  <c r="K3565" i="4"/>
  <c r="K3592" i="4"/>
  <c r="K3597" i="4"/>
  <c r="K3598" i="4"/>
  <c r="J3607" i="4"/>
  <c r="K3608" i="4"/>
  <c r="K3613" i="4"/>
  <c r="K3614" i="4"/>
  <c r="K3615" i="4"/>
  <c r="K3616" i="4"/>
  <c r="K3626" i="4"/>
  <c r="J3627" i="4"/>
  <c r="K3647" i="4"/>
  <c r="J3652" i="4"/>
  <c r="J3653" i="4"/>
  <c r="K3654" i="4"/>
  <c r="K3659" i="4"/>
  <c r="K3664" i="4"/>
  <c r="K3665" i="4"/>
  <c r="K3666" i="4"/>
  <c r="K3667" i="4"/>
  <c r="J3686" i="4"/>
  <c r="K3706" i="4"/>
  <c r="J3708" i="4"/>
  <c r="J3709" i="4"/>
  <c r="K3715" i="4"/>
  <c r="J3716" i="4"/>
  <c r="J3723" i="4"/>
  <c r="K3724" i="4"/>
  <c r="J3727" i="4"/>
  <c r="J3728" i="4"/>
  <c r="J3733" i="4"/>
  <c r="J3734" i="4"/>
  <c r="J3739" i="4"/>
  <c r="J3740" i="4"/>
  <c r="K3742" i="4"/>
  <c r="J3744" i="4"/>
  <c r="K3746" i="4"/>
  <c r="K3747" i="4"/>
  <c r="K3748" i="4"/>
  <c r="J3749" i="4"/>
  <c r="J3750" i="4"/>
  <c r="K3751" i="4"/>
  <c r="K3752" i="4"/>
  <c r="K3753" i="4"/>
  <c r="J3760" i="4"/>
  <c r="K3761" i="4"/>
  <c r="K3762" i="4"/>
  <c r="J3763" i="4"/>
  <c r="J3769" i="4"/>
  <c r="K3774" i="4"/>
  <c r="J3791" i="4"/>
  <c r="J3808" i="4"/>
  <c r="K3819" i="4"/>
  <c r="K3820" i="4"/>
  <c r="K3821" i="4"/>
  <c r="K3843" i="4"/>
  <c r="K3858" i="4"/>
  <c r="J3877" i="4"/>
  <c r="J3878" i="4"/>
  <c r="J3879" i="4"/>
  <c r="J3922" i="4"/>
  <c r="K3923" i="4"/>
  <c r="J3929" i="4"/>
  <c r="K3931" i="4"/>
  <c r="K3940" i="4"/>
  <c r="K3941" i="4"/>
  <c r="K3955" i="4"/>
  <c r="K3960" i="4"/>
  <c r="J3963" i="4"/>
  <c r="N3963" i="4" s="1"/>
  <c r="K3969" i="4"/>
  <c r="J3974" i="4"/>
  <c r="K3987" i="4"/>
  <c r="K3993" i="4"/>
  <c r="K3994" i="4"/>
  <c r="K3995" i="4"/>
  <c r="K4009" i="4"/>
  <c r="K4011" i="4"/>
  <c r="K4074" i="4"/>
  <c r="K4075" i="4"/>
  <c r="K4076" i="4"/>
  <c r="K4077" i="4"/>
  <c r="J4078" i="4"/>
  <c r="J4079" i="4"/>
  <c r="J4080" i="4"/>
  <c r="K4081" i="4"/>
  <c r="K4082" i="4"/>
  <c r="J4101" i="4"/>
  <c r="J4121" i="4"/>
  <c r="K4138" i="4"/>
  <c r="K4139" i="4"/>
  <c r="J4157" i="4"/>
  <c r="K4165" i="4"/>
  <c r="K4188" i="4"/>
  <c r="J4201" i="4"/>
  <c r="K4202" i="4"/>
  <c r="K4207" i="4"/>
  <c r="K4208" i="4"/>
  <c r="K4209" i="4"/>
  <c r="J4210" i="4"/>
  <c r="J4224" i="4"/>
  <c r="J4225" i="4"/>
  <c r="J4234" i="4"/>
  <c r="K4235" i="4"/>
  <c r="J4236" i="4"/>
  <c r="J4237" i="4"/>
  <c r="K4250" i="4"/>
  <c r="J4251" i="4"/>
  <c r="J4252" i="4"/>
  <c r="J4253" i="4"/>
  <c r="K4258" i="4"/>
  <c r="J4267" i="4"/>
  <c r="K4273" i="4"/>
  <c r="J4274" i="4"/>
  <c r="J4319" i="4"/>
  <c r="J4320" i="4"/>
  <c r="K4321" i="4"/>
  <c r="J4322" i="4"/>
  <c r="J4327" i="4"/>
  <c r="J4328" i="4"/>
  <c r="K4339" i="4"/>
  <c r="K4340" i="4"/>
  <c r="J4341" i="4"/>
  <c r="K4342" i="4"/>
  <c r="K4343" i="4"/>
  <c r="K4344" i="4"/>
  <c r="K4345" i="4"/>
  <c r="J4346" i="4"/>
  <c r="K4347" i="4"/>
  <c r="J4349" i="4"/>
  <c r="K4351" i="4"/>
  <c r="J4363" i="4"/>
  <c r="K4365" i="4"/>
  <c r="J4366" i="4"/>
  <c r="K4367" i="4"/>
  <c r="J4368" i="4"/>
  <c r="J4394" i="4"/>
  <c r="J4395" i="4"/>
  <c r="K4396" i="4"/>
  <c r="K4410" i="4"/>
  <c r="J4431" i="4"/>
  <c r="K4432" i="4"/>
  <c r="K4437" i="4"/>
  <c r="K4463" i="4"/>
  <c r="J4469" i="4"/>
  <c r="J4470" i="4"/>
  <c r="J4471" i="4"/>
  <c r="K4480" i="4"/>
  <c r="J4481" i="4"/>
  <c r="K4482" i="4"/>
  <c r="J4497" i="4"/>
  <c r="K4509" i="4"/>
  <c r="K4526" i="4"/>
  <c r="K4527" i="4"/>
  <c r="K4528" i="4"/>
  <c r="K5842" i="4"/>
  <c r="J5843" i="4"/>
  <c r="K5844" i="4"/>
  <c r="J5849" i="4"/>
  <c r="J5850" i="4"/>
  <c r="J5860" i="4"/>
  <c r="K5861" i="4"/>
  <c r="K5866" i="4"/>
  <c r="K5870" i="4"/>
  <c r="K5871" i="4"/>
  <c r="J5872" i="4"/>
  <c r="K5886" i="4"/>
  <c r="J5887" i="4"/>
  <c r="K5899" i="4"/>
  <c r="J5906" i="4"/>
  <c r="K5913" i="4"/>
  <c r="J5914" i="4"/>
  <c r="J5921" i="4"/>
  <c r="K5925" i="4"/>
  <c r="K5933" i="4"/>
  <c r="K5934" i="4"/>
  <c r="K5935" i="4"/>
  <c r="J5955" i="4"/>
  <c r="J5956" i="4"/>
  <c r="K5982" i="4"/>
  <c r="J5983" i="4"/>
  <c r="J5984" i="4"/>
  <c r="K5996" i="4"/>
  <c r="K4" i="4"/>
  <c r="J16" i="4"/>
  <c r="J26" i="4"/>
  <c r="K27" i="4"/>
  <c r="J32" i="4"/>
  <c r="K33" i="4"/>
  <c r="J56" i="4"/>
  <c r="K57" i="4"/>
  <c r="K77" i="4"/>
  <c r="K79" i="4"/>
  <c r="K91" i="4"/>
  <c r="J97" i="4"/>
  <c r="K98" i="4"/>
  <c r="K104" i="4"/>
  <c r="J114" i="4"/>
  <c r="J115" i="4"/>
  <c r="K120" i="4"/>
  <c r="K134" i="4"/>
  <c r="K140" i="4"/>
  <c r="K146" i="4"/>
  <c r="K167" i="4"/>
  <c r="K174" i="4"/>
  <c r="J184" i="4"/>
  <c r="K193" i="4"/>
  <c r="J199" i="4"/>
  <c r="J201" i="4"/>
  <c r="K212" i="4"/>
  <c r="K213" i="4"/>
  <c r="K214" i="4"/>
  <c r="K220" i="4"/>
  <c r="K225" i="4"/>
  <c r="K226" i="4"/>
  <c r="K227" i="4"/>
  <c r="K228" i="4"/>
  <c r="K229" i="4"/>
  <c r="K232" i="4"/>
  <c r="J233" i="4"/>
  <c r="J234" i="4"/>
  <c r="J235" i="4"/>
  <c r="J241" i="4"/>
  <c r="K242" i="4"/>
  <c r="J248" i="4"/>
  <c r="J249" i="4"/>
  <c r="J259" i="4"/>
  <c r="J276" i="4"/>
  <c r="K286" i="4"/>
  <c r="J309" i="4"/>
  <c r="K310" i="4"/>
  <c r="J316" i="4"/>
  <c r="N316" i="4" s="1"/>
  <c r="J317" i="4"/>
  <c r="J318" i="4"/>
  <c r="K319" i="4"/>
  <c r="J346" i="4"/>
  <c r="J347" i="4"/>
  <c r="J361" i="4"/>
  <c r="J362" i="4"/>
  <c r="K363" i="4"/>
  <c r="K383" i="4"/>
  <c r="J384" i="4"/>
  <c r="N384" i="4" s="1"/>
  <c r="K385" i="4"/>
  <c r="J387" i="4"/>
  <c r="K388" i="4"/>
  <c r="K395" i="4"/>
  <c r="J396" i="4"/>
  <c r="J397" i="4"/>
  <c r="K420" i="4"/>
  <c r="J421" i="4"/>
  <c r="J422" i="4"/>
  <c r="K443" i="4"/>
  <c r="K1494" i="4"/>
  <c r="J1503" i="4"/>
  <c r="J1504" i="4"/>
  <c r="J1510" i="4"/>
  <c r="K1518" i="4"/>
  <c r="J1528" i="4"/>
  <c r="J1533" i="4"/>
  <c r="K1550" i="4"/>
  <c r="K1564" i="4"/>
  <c r="J1584" i="4"/>
  <c r="K1585" i="4"/>
  <c r="J1597" i="4"/>
  <c r="K1598" i="4"/>
  <c r="K1599" i="4"/>
  <c r="K1604" i="4"/>
  <c r="K1605" i="4"/>
  <c r="K1606" i="4"/>
  <c r="J1607" i="4"/>
  <c r="J1608" i="4"/>
  <c r="K1615" i="4"/>
  <c r="K1619" i="4"/>
  <c r="J1624" i="4"/>
  <c r="K1625" i="4"/>
  <c r="K1642" i="4"/>
  <c r="K1643" i="4"/>
  <c r="J1648" i="4"/>
  <c r="J1649" i="4"/>
  <c r="J1650" i="4"/>
  <c r="K1651" i="4"/>
  <c r="J1657" i="4"/>
  <c r="K1672" i="4"/>
  <c r="J1673" i="4"/>
  <c r="J1674" i="4"/>
  <c r="K1675" i="4"/>
  <c r="K1676" i="4"/>
  <c r="K1677" i="4"/>
  <c r="K1678" i="4"/>
  <c r="K1718" i="4"/>
  <c r="J1719" i="4"/>
  <c r="K1720" i="4"/>
  <c r="K1721" i="4"/>
  <c r="K1722" i="4"/>
  <c r="K1729" i="4"/>
  <c r="J1739" i="4"/>
  <c r="J1744" i="4"/>
  <c r="J1750" i="4"/>
  <c r="K1783" i="4"/>
  <c r="J1785" i="4"/>
  <c r="K1787" i="4"/>
  <c r="K1788" i="4"/>
  <c r="J1789" i="4"/>
  <c r="K1790" i="4"/>
  <c r="J1791" i="4"/>
  <c r="J1792" i="4"/>
  <c r="K1793" i="4"/>
  <c r="K1794" i="4"/>
  <c r="J1830" i="4"/>
  <c r="J1835" i="4"/>
  <c r="K1843" i="4"/>
  <c r="J1860" i="4"/>
  <c r="J1861" i="4"/>
  <c r="K1878" i="4"/>
  <c r="J1880" i="4"/>
  <c r="K1881" i="4"/>
  <c r="J1888" i="4"/>
  <c r="K1889" i="4"/>
  <c r="J1907" i="4"/>
  <c r="K1925" i="4"/>
  <c r="J1927" i="4"/>
  <c r="J1928" i="4"/>
  <c r="K1929" i="4"/>
  <c r="K1942" i="4"/>
  <c r="J1955" i="4"/>
  <c r="J1956" i="4"/>
  <c r="J1957" i="4"/>
  <c r="J1958" i="4"/>
  <c r="J1959" i="4"/>
  <c r="K1960" i="4"/>
  <c r="K1975" i="4"/>
  <c r="K1980" i="4"/>
  <c r="K1981" i="4"/>
  <c r="J1982" i="4"/>
  <c r="K1983" i="4"/>
  <c r="J1988" i="4"/>
  <c r="K1989" i="4"/>
  <c r="K1990" i="4"/>
  <c r="K1991" i="4"/>
  <c r="K1992" i="4"/>
  <c r="K1993" i="4"/>
  <c r="J1994" i="4"/>
  <c r="J1995" i="4"/>
  <c r="K1996" i="4"/>
  <c r="J1997" i="4"/>
  <c r="K1998" i="4"/>
  <c r="J1999" i="4"/>
  <c r="J2006" i="4"/>
  <c r="K2007" i="4"/>
  <c r="K2008" i="4"/>
  <c r="K2009" i="4"/>
  <c r="K2010" i="4"/>
  <c r="J2014" i="4"/>
  <c r="K2030" i="4"/>
  <c r="K2031" i="4"/>
  <c r="K2044" i="4"/>
  <c r="J2058" i="4"/>
  <c r="K2059" i="4"/>
  <c r="K2060" i="4"/>
  <c r="K2063" i="4"/>
  <c r="K2064" i="4"/>
  <c r="K2067" i="4"/>
  <c r="J2068" i="4"/>
  <c r="J2109" i="4"/>
  <c r="K2110" i="4"/>
  <c r="K2115" i="4"/>
  <c r="K2116" i="4"/>
  <c r="K2121" i="4"/>
  <c r="K2155" i="4"/>
  <c r="J2156" i="4"/>
  <c r="K2157" i="4"/>
  <c r="J2180" i="4"/>
  <c r="J2185" i="4"/>
  <c r="J2186" i="4"/>
  <c r="J2187" i="4"/>
  <c r="K2191" i="4"/>
  <c r="J2193" i="4"/>
  <c r="J2194" i="4"/>
  <c r="K2196" i="4"/>
  <c r="J2202" i="4"/>
  <c r="J2204" i="4"/>
  <c r="K2205" i="4"/>
  <c r="K2206" i="4"/>
  <c r="J2207" i="4"/>
  <c r="K2229" i="4"/>
  <c r="K2230" i="4"/>
  <c r="K2244" i="4"/>
  <c r="K2298" i="4"/>
  <c r="K2299" i="4"/>
  <c r="J2301" i="4"/>
  <c r="K2303" i="4"/>
  <c r="K2312" i="4"/>
  <c r="K2313" i="4"/>
  <c r="K2314" i="4"/>
  <c r="K2315" i="4"/>
  <c r="K2316" i="4"/>
  <c r="K2317" i="4"/>
  <c r="J2318" i="4"/>
  <c r="J2319" i="4"/>
  <c r="K2320" i="4"/>
  <c r="K2333" i="4"/>
  <c r="J2334" i="4"/>
  <c r="J2335" i="4"/>
  <c r="J2336" i="4"/>
  <c r="J2337" i="4"/>
  <c r="J2338" i="4"/>
  <c r="J2339" i="4"/>
  <c r="K2340" i="4"/>
  <c r="K2341" i="4"/>
  <c r="J2368" i="4"/>
  <c r="K2373" i="4"/>
  <c r="J2401" i="4"/>
  <c r="K2402" i="4"/>
  <c r="J2407" i="4"/>
  <c r="J2427" i="4"/>
  <c r="K2427" i="4"/>
  <c r="J2432" i="4"/>
  <c r="J2433" i="4"/>
  <c r="J2434" i="4"/>
  <c r="J2435" i="4"/>
  <c r="K2460" i="4"/>
  <c r="J2461" i="4"/>
  <c r="J2463" i="4"/>
  <c r="K2474" i="4"/>
  <c r="J2485" i="4"/>
  <c r="K2486" i="4"/>
  <c r="J2489" i="4"/>
  <c r="J2490" i="4"/>
  <c r="K2494" i="4"/>
  <c r="J2528" i="4"/>
  <c r="K2529" i="4"/>
  <c r="K2534" i="4"/>
  <c r="K2539" i="4"/>
  <c r="K2544" i="4"/>
  <c r="K2553" i="4"/>
  <c r="J2555" i="4"/>
  <c r="K2556" i="4"/>
  <c r="J2557" i="4"/>
  <c r="K2561" i="4"/>
  <c r="K2563" i="4"/>
  <c r="K2564" i="4"/>
  <c r="J2581" i="4"/>
  <c r="J2600" i="4"/>
  <c r="J2603" i="4"/>
  <c r="J2625" i="4"/>
  <c r="J2626" i="4"/>
  <c r="J2627" i="4"/>
  <c r="J2634" i="4"/>
  <c r="K2635" i="4"/>
  <c r="J2649" i="4"/>
  <c r="K2660" i="4"/>
  <c r="J2661" i="4"/>
  <c r="J2678" i="4"/>
  <c r="J2679" i="4"/>
  <c r="J2680" i="4"/>
  <c r="J2685" i="4"/>
  <c r="J2688" i="4"/>
  <c r="K2693" i="4"/>
  <c r="J2694" i="4"/>
  <c r="J2695" i="4"/>
  <c r="J2696" i="4"/>
  <c r="K2707" i="4"/>
  <c r="K2708" i="4"/>
  <c r="K2711" i="4"/>
  <c r="K2712" i="4"/>
  <c r="K2713" i="4"/>
  <c r="K2714" i="4"/>
  <c r="J2723" i="4"/>
  <c r="J2741" i="4"/>
  <c r="K2749" i="4"/>
  <c r="K2751" i="4"/>
  <c r="K2752" i="4"/>
  <c r="J2753" i="4"/>
  <c r="J2754" i="4"/>
  <c r="K2766" i="4"/>
  <c r="J2775" i="4"/>
  <c r="J2776" i="4"/>
  <c r="J2794" i="4"/>
  <c r="J2795" i="4"/>
  <c r="J2796" i="4"/>
  <c r="J2797" i="4"/>
  <c r="K2798" i="4"/>
  <c r="K2811" i="4"/>
  <c r="J2813" i="4"/>
  <c r="J2814" i="4"/>
  <c r="J2816" i="4"/>
  <c r="K2817" i="4"/>
  <c r="K2820" i="4"/>
  <c r="J2821" i="4"/>
  <c r="K2825" i="4"/>
  <c r="K2826" i="4"/>
  <c r="J2833" i="4"/>
  <c r="K2842" i="4"/>
  <c r="K2843" i="4"/>
  <c r="J2852" i="4"/>
  <c r="J2861" i="4"/>
  <c r="J2862" i="4"/>
  <c r="K2863" i="4"/>
  <c r="K2864" i="4"/>
  <c r="K2890" i="4"/>
  <c r="J2897" i="4"/>
  <c r="K2898" i="4"/>
  <c r="K2899" i="4"/>
  <c r="J2900" i="4"/>
  <c r="J2915" i="4"/>
  <c r="K2929" i="4"/>
  <c r="J2943" i="4"/>
  <c r="J2944" i="4"/>
  <c r="K2948" i="4"/>
  <c r="J2972" i="4"/>
  <c r="K2973" i="4"/>
  <c r="J2979" i="4"/>
  <c r="K2993" i="4"/>
  <c r="K2994" i="4"/>
  <c r="K2997" i="4"/>
  <c r="K2998" i="4"/>
  <c r="J3001" i="4"/>
  <c r="J3007" i="4"/>
  <c r="J3008" i="4"/>
  <c r="J3013" i="4"/>
  <c r="K3021" i="4"/>
  <c r="J3035" i="4"/>
  <c r="K3036" i="4"/>
  <c r="J3050" i="4"/>
  <c r="K3051" i="4"/>
  <c r="K3052" i="4"/>
  <c r="J3062" i="4"/>
  <c r="K3109" i="4"/>
  <c r="K3114" i="4"/>
  <c r="K3119" i="4"/>
  <c r="J3120" i="4"/>
  <c r="K3121" i="4"/>
  <c r="K3122" i="4"/>
  <c r="J3123" i="4"/>
  <c r="J3124" i="4"/>
  <c r="K3125" i="4"/>
  <c r="K3150" i="4"/>
  <c r="J3152" i="4"/>
  <c r="N3152" i="4" s="1"/>
  <c r="O3152" i="4" s="1"/>
  <c r="K3154" i="4"/>
  <c r="K3155" i="4"/>
  <c r="K3156" i="4"/>
  <c r="J3157" i="4"/>
  <c r="K3158" i="4"/>
  <c r="K3167" i="4"/>
  <c r="K3168" i="4"/>
  <c r="J3178" i="4"/>
  <c r="J3187" i="4"/>
  <c r="J3188" i="4"/>
  <c r="K3189" i="4"/>
  <c r="J3190" i="4"/>
  <c r="J3191" i="4"/>
  <c r="J3192" i="4"/>
  <c r="J3193" i="4"/>
  <c r="J3194" i="4"/>
  <c r="J3218" i="4"/>
  <c r="J3240" i="4"/>
  <c r="K3241" i="4"/>
  <c r="J3247" i="4"/>
  <c r="K3249" i="4"/>
  <c r="K3250" i="4"/>
  <c r="K3259" i="4"/>
  <c r="J3260" i="4"/>
  <c r="J3265" i="4"/>
  <c r="J3277" i="4"/>
  <c r="J3302" i="4"/>
  <c r="J3303" i="4"/>
  <c r="K3304" i="4"/>
  <c r="J3309" i="4"/>
  <c r="K3310" i="4"/>
  <c r="J3322" i="4"/>
  <c r="K3324" i="4"/>
  <c r="K3325" i="4"/>
  <c r="J3326" i="4"/>
  <c r="J3327" i="4"/>
  <c r="J3334" i="4"/>
  <c r="J3351" i="4"/>
  <c r="K3353" i="4"/>
  <c r="J3354" i="4"/>
  <c r="J3365" i="4"/>
  <c r="K3366" i="4"/>
  <c r="K3367" i="4"/>
  <c r="J3368" i="4"/>
  <c r="K3369" i="4"/>
  <c r="J3376" i="4"/>
  <c r="J3377" i="4"/>
  <c r="K3378" i="4"/>
  <c r="K3379" i="4"/>
  <c r="K3380" i="4"/>
  <c r="K3385" i="4"/>
  <c r="J3399" i="4"/>
  <c r="K3401" i="4"/>
  <c r="K3402" i="4"/>
  <c r="K3403" i="4"/>
  <c r="K3404" i="4"/>
  <c r="J3410" i="4"/>
  <c r="J3411" i="4"/>
  <c r="J3416" i="4"/>
  <c r="K3417" i="4"/>
  <c r="K3418" i="4"/>
  <c r="K3419" i="4"/>
  <c r="K3420" i="4"/>
  <c r="J3421" i="4"/>
  <c r="K3422" i="4"/>
  <c r="K3423" i="4"/>
  <c r="K3424" i="4"/>
  <c r="J3442" i="4"/>
  <c r="K3443" i="4"/>
  <c r="K3447" i="4"/>
  <c r="K3457" i="4"/>
  <c r="K3458" i="4"/>
  <c r="J3459" i="4"/>
  <c r="J3460" i="4"/>
  <c r="J3465" i="4"/>
  <c r="J3471" i="4"/>
  <c r="J3472" i="4"/>
  <c r="J3482" i="4"/>
  <c r="K3503" i="4"/>
  <c r="J3508" i="4"/>
  <c r="J3509" i="4"/>
  <c r="J3518" i="4"/>
  <c r="J3519" i="4"/>
  <c r="J3560" i="4"/>
  <c r="J3569" i="4"/>
  <c r="J3574" i="4"/>
  <c r="K3578" i="4"/>
  <c r="K3583" i="4"/>
  <c r="J3585" i="4"/>
  <c r="J3596" i="4"/>
  <c r="J3617" i="4"/>
  <c r="J3618" i="4"/>
  <c r="J3619" i="4"/>
  <c r="K3633" i="4"/>
  <c r="J3634" i="4"/>
  <c r="K3635" i="4"/>
  <c r="K3639" i="4"/>
  <c r="J3649" i="4"/>
  <c r="J3650" i="4"/>
  <c r="J3651" i="4"/>
  <c r="J3656" i="4"/>
  <c r="J3657" i="4"/>
  <c r="J3662" i="4"/>
  <c r="J3678" i="4"/>
  <c r="K3679" i="4"/>
  <c r="K3728" i="4"/>
  <c r="J3745" i="4"/>
  <c r="K3750" i="4"/>
  <c r="J3751" i="4"/>
  <c r="J3752" i="4"/>
  <c r="J3753" i="4"/>
  <c r="J3754" i="4"/>
  <c r="K3755" i="4"/>
  <c r="K3756" i="4"/>
  <c r="J3757" i="4"/>
  <c r="J3758" i="4"/>
  <c r="J3759" i="4"/>
  <c r="K3760" i="4"/>
  <c r="K3772" i="4"/>
  <c r="J3773" i="4"/>
  <c r="J3786" i="4"/>
  <c r="J3787" i="4"/>
  <c r="K3798" i="4"/>
  <c r="K3805" i="4"/>
  <c r="J3806" i="4"/>
  <c r="K3813" i="4"/>
  <c r="K3814" i="4"/>
  <c r="K3818" i="4"/>
  <c r="J3828" i="4"/>
  <c r="J3829" i="4"/>
  <c r="J3831" i="4"/>
  <c r="K3832" i="4"/>
  <c r="J3846" i="4"/>
  <c r="J3859" i="4"/>
  <c r="J3860" i="4"/>
  <c r="J3861" i="4"/>
  <c r="J3862" i="4"/>
  <c r="J3863" i="4"/>
  <c r="J3894" i="4"/>
  <c r="K3895" i="4"/>
  <c r="J3908" i="4"/>
  <c r="J3923" i="4"/>
  <c r="N3923" i="4" s="1"/>
  <c r="O3923" i="4" s="1"/>
  <c r="J3924" i="4"/>
  <c r="J3925" i="4"/>
  <c r="K3926" i="4"/>
  <c r="K3949" i="4"/>
  <c r="K3950" i="4"/>
  <c r="J3951" i="4"/>
  <c r="J3952" i="4"/>
  <c r="J3953" i="4"/>
  <c r="K3954" i="4"/>
  <c r="J3976" i="4"/>
  <c r="N3976" i="4" s="1"/>
  <c r="O3976" i="4" s="1"/>
  <c r="K3977" i="4"/>
  <c r="K3986" i="4"/>
  <c r="K4014" i="4"/>
  <c r="K4020" i="4"/>
  <c r="J4041" i="4"/>
  <c r="K4046" i="4"/>
  <c r="J4047" i="4"/>
  <c r="J4048" i="4"/>
  <c r="J4053" i="4"/>
  <c r="J4054" i="4"/>
  <c r="J4055" i="4"/>
  <c r="J4056" i="4"/>
  <c r="J4066" i="4"/>
  <c r="J4067" i="4"/>
  <c r="J4072" i="4"/>
  <c r="J4095" i="4"/>
  <c r="K4096" i="4"/>
  <c r="K4097" i="4"/>
  <c r="J4098" i="4"/>
  <c r="J4099" i="4"/>
  <c r="K4100" i="4"/>
  <c r="K4101" i="4"/>
  <c r="J4112" i="4"/>
  <c r="J4113" i="4"/>
  <c r="J4114" i="4"/>
  <c r="J4124" i="4"/>
  <c r="K4129" i="4"/>
  <c r="J4130" i="4"/>
  <c r="K4131" i="4"/>
  <c r="J4142" i="4"/>
  <c r="K4143" i="4"/>
  <c r="K4164" i="4"/>
  <c r="J4166" i="4"/>
  <c r="K4167" i="4"/>
  <c r="J4168" i="4"/>
  <c r="J4169" i="4"/>
  <c r="J4170" i="4"/>
  <c r="K4171" i="4"/>
  <c r="K4176" i="4"/>
  <c r="K1778" i="4"/>
  <c r="K1779" i="4"/>
  <c r="J1780" i="4"/>
  <c r="K1781" i="4"/>
  <c r="K1796" i="4"/>
  <c r="K1801" i="4"/>
  <c r="K1810" i="4"/>
  <c r="J1816" i="4"/>
  <c r="K1817" i="4"/>
  <c r="J1818" i="4"/>
  <c r="K1837" i="4"/>
  <c r="J1839" i="4"/>
  <c r="K1844" i="4"/>
  <c r="J1858" i="4"/>
  <c r="J1889" i="4"/>
  <c r="J1890" i="4"/>
  <c r="J1891" i="4"/>
  <c r="J1892" i="4"/>
  <c r="K1893" i="4"/>
  <c r="K1894" i="4"/>
  <c r="K1895" i="4"/>
  <c r="J1904" i="4"/>
  <c r="J1905" i="4"/>
  <c r="K1930" i="4"/>
  <c r="K1939" i="4"/>
  <c r="J1971" i="4"/>
  <c r="J1977" i="4"/>
  <c r="J2007" i="4"/>
  <c r="J2012" i="4"/>
  <c r="K2013" i="4"/>
  <c r="K2015" i="4"/>
  <c r="K2016" i="4"/>
  <c r="J2017" i="4"/>
  <c r="J2018" i="4"/>
  <c r="J2019" i="4"/>
  <c r="K2020" i="4"/>
  <c r="K2021" i="4"/>
  <c r="J2022" i="4"/>
  <c r="K2036" i="4"/>
  <c r="J2038" i="4"/>
  <c r="K2043" i="4"/>
  <c r="J2046" i="4"/>
  <c r="K2052" i="4"/>
  <c r="J2062" i="4"/>
  <c r="J2071" i="4"/>
  <c r="J2080" i="4"/>
  <c r="J2081" i="4"/>
  <c r="K2098" i="4"/>
  <c r="K2099" i="4"/>
  <c r="K2100" i="4"/>
  <c r="J2101" i="4"/>
  <c r="J2102" i="4"/>
  <c r="J2116" i="4"/>
  <c r="J2129" i="4"/>
  <c r="K2131" i="4"/>
  <c r="K2132" i="4"/>
  <c r="K2137" i="4"/>
  <c r="K2146" i="4"/>
  <c r="J2148" i="4"/>
  <c r="K2156" i="4"/>
  <c r="K2165" i="4"/>
  <c r="K2166" i="4"/>
  <c r="J2167" i="4"/>
  <c r="K2180" i="4"/>
  <c r="J2181" i="4"/>
  <c r="J2190" i="4"/>
  <c r="J2191" i="4"/>
  <c r="K2192" i="4"/>
  <c r="K2212" i="4"/>
  <c r="J2213" i="4"/>
  <c r="K2214" i="4"/>
  <c r="J2241" i="4"/>
  <c r="K2242" i="4"/>
  <c r="K2245" i="4"/>
  <c r="K2246" i="4"/>
  <c r="K2247" i="4"/>
  <c r="J2248" i="4"/>
  <c r="J2249" i="4"/>
  <c r="J2250" i="4"/>
  <c r="J2273" i="4"/>
  <c r="J2274" i="4"/>
  <c r="J2275" i="4"/>
  <c r="K2276" i="4"/>
  <c r="K2283" i="4"/>
  <c r="K4177" i="4"/>
  <c r="K4215" i="4"/>
  <c r="J4228" i="4"/>
  <c r="J4229" i="4"/>
  <c r="K4230" i="4"/>
  <c r="J4231" i="4"/>
  <c r="J4241" i="4"/>
  <c r="J4248" i="4"/>
  <c r="J4249" i="4"/>
  <c r="J4254" i="4"/>
  <c r="J4255" i="4"/>
  <c r="J4256" i="4"/>
  <c r="K4257" i="4"/>
  <c r="K4262" i="4"/>
  <c r="K4263" i="4"/>
  <c r="K4266" i="4"/>
  <c r="K4267" i="4"/>
  <c r="K4276" i="4"/>
  <c r="K4278" i="4"/>
  <c r="J4279" i="4"/>
  <c r="K4280" i="4"/>
  <c r="K4285" i="4"/>
  <c r="K4286" i="4"/>
  <c r="J4287" i="4"/>
  <c r="J4300" i="4"/>
  <c r="J4301" i="4"/>
  <c r="K4302" i="4"/>
  <c r="J4309" i="4"/>
  <c r="K4310" i="4"/>
  <c r="K4319" i="4"/>
  <c r="K4320" i="4"/>
  <c r="J4347" i="4"/>
  <c r="J4348" i="4"/>
  <c r="K4360" i="4"/>
  <c r="J4371" i="4"/>
  <c r="J4372" i="4"/>
  <c r="K4373" i="4"/>
  <c r="J4400" i="4"/>
  <c r="K4401" i="4"/>
  <c r="K4402" i="4"/>
  <c r="J4412" i="4"/>
  <c r="K4430" i="4"/>
  <c r="J4440" i="4"/>
  <c r="J4441" i="4"/>
  <c r="J4442" i="4"/>
  <c r="J4443" i="4"/>
  <c r="J4444" i="4"/>
  <c r="J4445" i="4"/>
  <c r="K4458" i="4"/>
  <c r="K4465" i="4"/>
  <c r="J4466" i="4"/>
  <c r="K4481" i="4"/>
  <c r="K4492" i="4"/>
  <c r="K4493" i="4"/>
  <c r="K4494" i="4"/>
  <c r="K4495" i="4"/>
  <c r="K4496" i="4"/>
  <c r="K4497" i="4"/>
  <c r="J4498" i="4"/>
  <c r="K4502" i="4"/>
  <c r="K4503" i="4"/>
  <c r="K4513" i="4"/>
  <c r="K4537" i="4"/>
  <c r="J4538" i="4"/>
  <c r="J4539" i="4"/>
  <c r="J4540" i="4"/>
  <c r="K4541" i="4"/>
  <c r="K4542" i="4"/>
  <c r="K4554" i="4"/>
  <c r="J4568" i="4"/>
  <c r="J4569" i="4"/>
  <c r="K4586" i="4"/>
  <c r="K4587" i="4"/>
  <c r="J4588" i="4"/>
  <c r="J4589" i="4"/>
  <c r="J4602" i="4"/>
  <c r="K4603" i="4"/>
  <c r="K4604" i="4"/>
  <c r="K4613" i="4"/>
  <c r="J4614" i="4"/>
  <c r="K4618" i="4"/>
  <c r="J4630" i="4"/>
  <c r="K4650" i="4"/>
  <c r="J4651" i="4"/>
  <c r="J4652" i="4"/>
  <c r="J4664" i="4"/>
  <c r="K4689" i="4"/>
  <c r="J4690" i="4"/>
  <c r="J4691" i="4"/>
  <c r="J4696" i="4"/>
  <c r="J4709" i="4"/>
  <c r="J4714" i="4"/>
  <c r="K4715" i="4"/>
  <c r="K4716" i="4"/>
  <c r="J4725" i="4"/>
  <c r="J4726" i="4"/>
  <c r="J4733" i="4"/>
  <c r="K4751" i="4"/>
  <c r="K4752" i="4"/>
  <c r="K4753" i="4"/>
  <c r="J4759" i="4"/>
  <c r="J4761" i="4"/>
  <c r="K4762" i="4"/>
  <c r="K4763" i="4"/>
  <c r="J4780" i="4"/>
  <c r="J4796" i="4"/>
  <c r="J4797" i="4"/>
  <c r="K4808" i="4"/>
  <c r="J4818" i="4"/>
  <c r="K4819" i="4"/>
  <c r="K4820" i="4"/>
  <c r="K4821" i="4"/>
  <c r="K4822" i="4"/>
  <c r="K4824" i="4"/>
  <c r="J4863" i="4"/>
  <c r="J4870" i="4"/>
  <c r="J4888" i="4"/>
  <c r="K4898" i="4"/>
  <c r="K4899" i="4"/>
  <c r="J4900" i="4"/>
  <c r="J4901" i="4"/>
  <c r="J4902" i="4"/>
  <c r="J4903" i="4"/>
  <c r="K4908" i="4"/>
  <c r="K4909" i="4"/>
  <c r="K4930" i="4"/>
  <c r="J4931" i="4"/>
  <c r="J4940" i="4"/>
  <c r="K4941" i="4"/>
  <c r="J4951" i="4"/>
  <c r="J4956" i="4"/>
  <c r="J4969" i="4"/>
  <c r="J4970" i="4"/>
  <c r="J4971" i="4"/>
  <c r="K4976" i="4"/>
  <c r="J4984" i="4"/>
  <c r="K4997" i="4"/>
  <c r="J5003" i="4"/>
  <c r="K5023" i="4"/>
  <c r="K5024" i="4"/>
  <c r="K5031" i="4"/>
  <c r="J5042" i="4"/>
  <c r="J5043" i="4"/>
  <c r="K5054" i="4"/>
  <c r="K5055" i="4"/>
  <c r="K5058" i="4"/>
  <c r="K5085" i="4"/>
  <c r="K5086" i="4"/>
  <c r="J5088" i="4"/>
  <c r="K5090" i="4"/>
  <c r="K5091" i="4"/>
  <c r="J5092" i="4"/>
  <c r="J5093" i="4"/>
  <c r="J5094" i="4"/>
  <c r="J5095" i="4"/>
  <c r="J2677" i="4"/>
  <c r="K2678" i="4"/>
  <c r="J2681" i="4"/>
  <c r="K2689" i="4"/>
  <c r="K2690" i="4"/>
  <c r="K2704" i="4"/>
  <c r="J2714" i="4"/>
  <c r="K2740" i="4"/>
  <c r="J2759" i="4"/>
  <c r="K2760" i="4"/>
  <c r="K2765" i="4"/>
  <c r="K2774" i="4"/>
  <c r="K2775" i="4"/>
  <c r="K2776" i="4"/>
  <c r="J2777" i="4"/>
  <c r="J2778" i="4"/>
  <c r="J2779" i="4"/>
  <c r="K2780" i="4"/>
  <c r="K2804" i="4"/>
  <c r="K2805" i="4"/>
  <c r="K2822" i="4"/>
  <c r="K2823" i="4"/>
  <c r="J2826" i="4"/>
  <c r="J2827" i="4"/>
  <c r="J2832" i="4"/>
  <c r="K2833" i="4"/>
  <c r="J2838" i="4"/>
  <c r="J2839" i="4"/>
  <c r="K2840" i="4"/>
  <c r="K2841" i="4"/>
  <c r="J2842" i="4"/>
  <c r="J2843" i="4"/>
  <c r="J2858" i="4"/>
  <c r="J2886" i="4"/>
  <c r="K2887" i="4"/>
  <c r="K2888" i="4"/>
  <c r="J2889" i="4"/>
  <c r="J2890" i="4"/>
  <c r="J2903" i="4"/>
  <c r="J2904" i="4"/>
  <c r="K2905" i="4"/>
  <c r="K2906" i="4"/>
  <c r="J2907" i="4"/>
  <c r="J2914" i="4"/>
  <c r="J2923" i="4"/>
  <c r="J2924" i="4"/>
  <c r="K2926" i="4"/>
  <c r="J2928" i="4"/>
  <c r="J2934" i="4"/>
  <c r="J2935" i="4"/>
  <c r="K2936" i="4"/>
  <c r="K2937" i="4"/>
  <c r="J2948" i="4"/>
  <c r="K2949" i="4"/>
  <c r="K2950" i="4"/>
  <c r="K2951" i="4"/>
  <c r="J2976" i="4"/>
  <c r="K2977" i="4"/>
  <c r="K2984" i="4"/>
  <c r="K3001" i="4"/>
  <c r="K3006" i="4"/>
  <c r="K3007" i="4"/>
  <c r="K3008" i="4"/>
  <c r="K3009" i="4"/>
  <c r="K3010" i="4"/>
  <c r="J3015" i="4"/>
  <c r="J3016" i="4"/>
  <c r="K3017" i="4"/>
  <c r="K3018" i="4"/>
  <c r="J3019" i="4"/>
  <c r="K3020" i="4"/>
  <c r="J3025" i="4"/>
  <c r="K3026" i="4"/>
  <c r="K3031" i="4"/>
  <c r="K3032" i="4"/>
  <c r="J3033" i="4"/>
  <c r="J3034" i="4"/>
  <c r="K3053" i="4"/>
  <c r="J3061" i="4"/>
  <c r="K3062" i="4"/>
  <c r="K3063" i="4"/>
  <c r="J3068" i="4"/>
  <c r="J3069" i="4"/>
  <c r="J3119" i="4"/>
  <c r="K3120" i="4"/>
  <c r="J3121" i="4"/>
  <c r="J3122" i="4"/>
  <c r="J3129" i="4"/>
  <c r="K3130" i="4"/>
  <c r="K3131" i="4"/>
  <c r="J3132" i="4"/>
  <c r="J3133" i="4"/>
  <c r="J3134" i="4"/>
  <c r="J3135" i="4"/>
  <c r="K3140" i="4"/>
  <c r="K3143" i="4"/>
  <c r="K3148" i="4"/>
  <c r="K3153" i="4"/>
  <c r="K3177" i="4"/>
  <c r="J3179" i="4"/>
  <c r="K3187" i="4"/>
  <c r="K3210" i="4"/>
  <c r="K3211" i="4"/>
  <c r="K3220" i="4"/>
  <c r="J3222" i="4"/>
  <c r="J3227" i="4"/>
  <c r="J3228" i="4"/>
  <c r="J3229" i="4"/>
  <c r="J3242" i="4"/>
  <c r="K3291" i="4"/>
  <c r="K3296" i="4"/>
  <c r="K3297" i="4"/>
  <c r="K3302" i="4"/>
  <c r="K3307" i="4"/>
  <c r="J3318" i="4"/>
  <c r="J3319" i="4"/>
  <c r="J3320" i="4"/>
  <c r="J3321" i="4"/>
  <c r="K3322" i="4"/>
  <c r="J3323" i="4"/>
  <c r="J3328" i="4"/>
  <c r="J3329" i="4"/>
  <c r="J3330" i="4"/>
  <c r="J3331" i="4"/>
  <c r="J3358" i="4"/>
  <c r="J3367" i="4"/>
  <c r="J3372" i="4"/>
  <c r="J3378" i="4"/>
  <c r="J3379" i="4"/>
  <c r="J3384" i="4"/>
  <c r="J3407" i="4"/>
  <c r="K3408" i="4"/>
  <c r="K3409" i="4"/>
  <c r="J3418" i="4"/>
  <c r="J3419" i="4"/>
  <c r="J3420" i="4"/>
  <c r="K3421" i="4"/>
  <c r="J3431" i="4"/>
  <c r="K3440" i="4"/>
  <c r="K3441" i="4"/>
  <c r="O3441" i="4" s="1"/>
  <c r="K3466" i="4"/>
  <c r="K3467" i="4"/>
  <c r="K3468" i="4"/>
  <c r="J3480" i="4"/>
  <c r="J3490" i="4"/>
  <c r="K3494" i="4"/>
  <c r="J3495" i="4"/>
  <c r="J3496" i="4"/>
  <c r="J3497" i="4"/>
  <c r="J3504" i="4"/>
  <c r="K3513" i="4"/>
  <c r="J3514" i="4"/>
  <c r="J3520" i="4"/>
  <c r="J3521" i="4"/>
  <c r="J3542" i="4"/>
  <c r="J3543" i="4"/>
  <c r="J3554" i="4"/>
  <c r="J3555" i="4"/>
  <c r="K3556" i="4"/>
  <c r="K3557" i="4"/>
  <c r="K3558" i="4"/>
  <c r="K3559" i="4"/>
  <c r="J3583" i="4"/>
  <c r="K3584" i="4"/>
  <c r="K3596" i="4"/>
  <c r="J3598" i="4"/>
  <c r="J3600" i="4"/>
  <c r="J3602" i="4"/>
  <c r="K3603" i="4"/>
  <c r="K3604" i="4"/>
  <c r="K3605" i="4"/>
  <c r="K3606" i="4"/>
  <c r="K3636" i="4"/>
  <c r="K3648" i="4"/>
  <c r="K3650" i="4"/>
  <c r="J3655" i="4"/>
  <c r="K3656" i="4"/>
  <c r="K3657" i="4"/>
  <c r="K3658" i="4"/>
  <c r="J3676" i="4"/>
  <c r="J3681" i="4"/>
  <c r="J3684" i="4"/>
  <c r="K3688" i="4"/>
  <c r="K3689" i="4"/>
  <c r="K3694" i="4"/>
  <c r="J3695" i="4"/>
  <c r="N3695" i="4" s="1"/>
  <c r="J3696" i="4"/>
  <c r="J3697" i="4"/>
  <c r="K3698" i="4"/>
  <c r="K3699" i="4"/>
  <c r="J3700" i="4"/>
  <c r="J3707" i="4"/>
  <c r="K3708" i="4"/>
  <c r="K3709" i="4"/>
  <c r="K3714" i="4"/>
  <c r="K3719" i="4"/>
  <c r="J3735" i="4"/>
  <c r="J3765" i="4"/>
  <c r="K3771" i="4"/>
  <c r="K3773" i="4"/>
  <c r="J3774" i="4"/>
  <c r="J3775" i="4"/>
  <c r="K3779" i="4"/>
  <c r="K3789" i="4"/>
  <c r="J3796" i="4"/>
  <c r="J3798" i="4"/>
  <c r="J3814" i="4"/>
  <c r="J3841" i="4"/>
  <c r="J3842" i="4"/>
  <c r="J3847" i="4"/>
  <c r="J3848" i="4"/>
  <c r="J3849" i="4"/>
  <c r="J3850" i="4"/>
  <c r="K3851" i="4"/>
  <c r="K3865" i="4"/>
  <c r="K3866" i="4"/>
  <c r="K3928" i="4"/>
  <c r="J3947" i="4"/>
  <c r="K3953" i="4"/>
  <c r="J3992" i="4"/>
  <c r="J4002" i="4"/>
  <c r="J4003" i="4"/>
  <c r="J4010" i="4"/>
  <c r="J4013" i="4"/>
  <c r="K4013" i="4"/>
  <c r="J4014" i="4"/>
  <c r="K4015" i="4"/>
  <c r="J4017" i="4"/>
  <c r="J4019" i="4"/>
  <c r="J4020" i="4"/>
  <c r="K4024" i="4"/>
  <c r="K4025" i="4"/>
  <c r="K4026" i="4"/>
  <c r="K4027" i="4"/>
  <c r="K4028" i="4"/>
  <c r="J4029" i="4"/>
  <c r="K4030" i="4"/>
  <c r="K4031" i="4"/>
  <c r="K4032" i="4"/>
  <c r="K4033" i="4"/>
  <c r="J4034" i="4"/>
  <c r="K4035" i="4"/>
  <c r="K4036" i="4"/>
  <c r="K4037" i="4"/>
  <c r="K4051" i="4"/>
  <c r="K4052" i="4"/>
  <c r="J4057" i="4"/>
  <c r="K4084" i="4"/>
  <c r="J4085" i="4"/>
  <c r="J4086" i="4"/>
  <c r="J4087" i="4"/>
  <c r="J4088" i="4"/>
  <c r="K4089" i="4"/>
  <c r="K4090" i="4"/>
  <c r="K4091" i="4"/>
  <c r="K4092" i="4"/>
  <c r="K4093" i="4"/>
  <c r="K4102" i="4"/>
  <c r="J4122" i="4"/>
  <c r="K4130" i="4"/>
  <c r="K4148" i="4"/>
  <c r="K4166" i="4"/>
  <c r="K4178" i="4"/>
  <c r="K4193" i="4"/>
  <c r="K4194" i="4"/>
  <c r="K4212" i="4"/>
  <c r="J4214" i="4"/>
  <c r="J4215" i="4"/>
  <c r="J4216" i="4"/>
  <c r="J4217" i="4"/>
  <c r="J4218" i="4"/>
  <c r="K4221" i="4"/>
  <c r="J4226" i="4"/>
  <c r="K4227" i="4"/>
  <c r="J4238" i="4"/>
  <c r="J4243" i="4"/>
  <c r="J4244" i="4"/>
  <c r="K4248" i="4"/>
  <c r="K4249" i="4"/>
  <c r="J4250" i="4"/>
  <c r="K4251" i="4"/>
  <c r="K4252" i="4"/>
  <c r="K4253" i="4"/>
  <c r="K4254" i="4"/>
  <c r="K4255" i="4"/>
  <c r="K4256" i="4"/>
  <c r="K4264" i="4"/>
  <c r="K4265" i="4"/>
  <c r="J4270" i="4"/>
  <c r="K4271" i="4"/>
  <c r="K4277" i="4"/>
  <c r="J4278" i="4"/>
  <c r="K4279" i="4"/>
  <c r="J4280" i="4"/>
  <c r="J4281" i="4"/>
  <c r="J4282" i="4"/>
  <c r="J4283" i="4"/>
  <c r="J4284" i="4"/>
  <c r="J4285" i="4"/>
  <c r="J4286" i="4"/>
  <c r="K4295" i="4"/>
  <c r="J4296" i="4"/>
  <c r="J4297" i="4"/>
  <c r="K4298" i="4"/>
  <c r="J4307" i="4"/>
  <c r="J4308" i="4"/>
  <c r="J4331" i="4"/>
  <c r="K4332" i="4"/>
  <c r="K4333" i="4"/>
  <c r="J4334" i="4"/>
  <c r="J4345" i="4"/>
  <c r="K4350" i="4"/>
  <c r="J4351" i="4"/>
  <c r="K4352" i="4"/>
  <c r="K4353" i="4"/>
  <c r="J4354" i="4"/>
  <c r="J4361" i="4"/>
  <c r="J4362" i="4"/>
  <c r="K4363" i="4"/>
  <c r="J4364" i="4"/>
  <c r="J4369" i="4"/>
  <c r="J4370" i="4"/>
  <c r="K4371" i="4"/>
  <c r="J4397" i="4"/>
  <c r="J4398" i="4"/>
  <c r="K4408" i="4"/>
  <c r="K4409" i="4"/>
  <c r="J4415" i="4"/>
  <c r="J4421" i="4"/>
  <c r="J4425" i="4"/>
  <c r="K4426" i="4"/>
  <c r="K4427" i="4"/>
  <c r="J4428" i="4"/>
  <c r="K4429" i="4"/>
  <c r="J4438" i="4"/>
  <c r="J4446" i="4"/>
  <c r="K4456" i="4"/>
  <c r="K4457" i="4"/>
  <c r="K4464" i="4"/>
  <c r="J4478" i="4"/>
  <c r="J4479" i="4"/>
  <c r="J4480" i="4"/>
  <c r="J4490" i="4"/>
  <c r="J4500" i="4"/>
  <c r="J4533" i="4"/>
  <c r="J4534" i="4"/>
  <c r="J4535" i="4"/>
  <c r="J4536" i="4"/>
  <c r="K4555" i="4"/>
  <c r="J4578" i="4"/>
  <c r="J4579" i="4"/>
  <c r="K4580" i="4"/>
  <c r="J4581" i="4"/>
  <c r="K4605" i="4"/>
  <c r="K4606" i="4"/>
  <c r="K4608" i="4"/>
  <c r="K4627" i="4"/>
  <c r="K4628" i="4"/>
  <c r="K4629" i="4"/>
  <c r="K4631" i="4"/>
  <c r="J4642" i="4"/>
  <c r="J4683" i="4"/>
  <c r="K4684" i="4"/>
  <c r="J4685" i="4"/>
  <c r="K4686" i="4"/>
  <c r="J4742" i="4"/>
  <c r="K4760" i="4"/>
  <c r="J4762" i="4"/>
  <c r="J4764" i="4"/>
  <c r="K4765" i="4"/>
  <c r="K4807" i="4"/>
  <c r="J4808" i="4"/>
  <c r="J4809" i="4"/>
  <c r="J4827" i="4"/>
  <c r="K4828" i="4"/>
  <c r="K4833" i="4"/>
  <c r="K4855" i="4"/>
  <c r="K4860" i="4"/>
  <c r="J4865" i="4"/>
  <c r="K4866" i="4"/>
  <c r="K4867" i="4"/>
  <c r="K4868" i="4"/>
  <c r="K4869" i="4"/>
  <c r="K4875" i="4"/>
  <c r="J4876" i="4"/>
  <c r="J4883" i="4"/>
  <c r="J4884" i="4"/>
  <c r="K4893" i="4"/>
  <c r="J4912" i="4"/>
  <c r="J4913" i="4"/>
  <c r="J4914" i="4"/>
  <c r="K4915" i="4"/>
  <c r="K4916" i="4"/>
  <c r="J4917" i="4"/>
  <c r="J4924" i="4"/>
  <c r="J4941" i="4"/>
  <c r="K4942" i="4"/>
  <c r="J4957" i="4"/>
  <c r="K4958" i="4"/>
  <c r="K4959" i="4"/>
  <c r="K4960" i="4"/>
  <c r="K4977" i="4"/>
  <c r="K4993" i="4"/>
  <c r="J4994" i="4"/>
  <c r="J4995" i="4"/>
  <c r="K4996" i="4"/>
  <c r="K5037" i="4"/>
  <c r="K5038" i="4"/>
  <c r="K5043" i="4"/>
  <c r="J5057" i="4"/>
  <c r="J5071" i="4"/>
  <c r="J5103" i="4"/>
  <c r="J5104" i="4"/>
  <c r="J5105" i="4"/>
  <c r="J5106" i="4"/>
  <c r="J5107" i="4"/>
  <c r="J5108" i="4"/>
  <c r="J5109" i="4"/>
  <c r="J5115" i="4"/>
  <c r="J5116" i="4"/>
  <c r="J5117" i="4"/>
  <c r="J5118" i="4"/>
  <c r="J5125" i="4"/>
  <c r="K5126" i="4"/>
  <c r="K5127" i="4"/>
  <c r="K5128" i="4"/>
  <c r="J5129" i="4"/>
  <c r="J5130" i="4"/>
  <c r="K5131" i="4"/>
  <c r="K5136" i="4"/>
  <c r="J5137" i="4"/>
  <c r="J5138" i="4"/>
  <c r="J5147" i="4"/>
  <c r="J5191" i="4"/>
  <c r="J5192" i="4"/>
  <c r="J5193" i="4"/>
  <c r="J5194" i="4"/>
  <c r="K5196" i="4"/>
  <c r="K5202" i="4"/>
  <c r="J5816" i="4"/>
  <c r="K5820" i="4"/>
  <c r="J5821" i="4"/>
  <c r="K5822" i="4"/>
  <c r="J5823" i="4"/>
  <c r="J5824" i="4"/>
  <c r="K5851" i="4"/>
  <c r="J5852" i="4"/>
  <c r="J5853" i="4"/>
  <c r="J5854" i="4"/>
  <c r="K5863" i="4"/>
  <c r="J5865" i="4"/>
  <c r="J5875" i="4"/>
  <c r="J5889" i="4"/>
  <c r="K5893" i="4"/>
  <c r="K5894" i="4"/>
  <c r="J5900" i="4"/>
  <c r="J5910" i="4"/>
  <c r="J5912" i="4"/>
  <c r="K5917" i="4"/>
  <c r="K5918" i="4"/>
  <c r="K5926" i="4"/>
  <c r="K5927" i="4"/>
  <c r="K5928" i="4"/>
  <c r="J5929" i="4"/>
  <c r="K5948" i="4"/>
  <c r="J5949" i="4"/>
  <c r="J5950" i="4"/>
  <c r="J5951" i="4"/>
  <c r="J5952" i="4"/>
  <c r="J5953" i="4"/>
  <c r="J5973" i="4"/>
  <c r="J5974" i="4"/>
  <c r="J5987" i="4"/>
  <c r="K5988" i="4"/>
  <c r="J5989" i="4"/>
  <c r="K5990" i="4"/>
  <c r="K5991" i="4"/>
  <c r="K5995" i="4"/>
  <c r="J5996" i="4"/>
  <c r="K5997" i="4"/>
  <c r="K6" i="4"/>
  <c r="J7" i="4"/>
  <c r="J8" i="4"/>
  <c r="K9" i="4"/>
  <c r="K10" i="4"/>
  <c r="J11" i="4"/>
  <c r="K12" i="4"/>
  <c r="K431" i="4"/>
  <c r="J1497" i="4"/>
  <c r="K1498" i="4"/>
  <c r="K1499" i="4"/>
  <c r="J1500" i="4"/>
  <c r="J1501" i="4"/>
  <c r="K1502" i="4"/>
  <c r="K1507" i="4"/>
  <c r="K1508" i="4"/>
  <c r="J1523" i="4"/>
  <c r="K1524" i="4"/>
  <c r="J1535" i="4"/>
  <c r="K1536" i="4"/>
  <c r="K1537" i="4"/>
  <c r="J1538" i="4"/>
  <c r="J1539" i="4"/>
  <c r="K1540" i="4"/>
  <c r="K1555" i="4"/>
  <c r="J1556" i="4"/>
  <c r="J1557" i="4"/>
  <c r="J1571" i="4"/>
  <c r="K1578" i="4"/>
  <c r="K1579" i="4"/>
  <c r="K1582" i="4"/>
  <c r="K1583" i="4"/>
  <c r="K1587" i="4"/>
  <c r="K1588" i="4"/>
  <c r="J1589" i="4"/>
  <c r="J1590" i="4"/>
  <c r="K1607" i="4"/>
  <c r="K1608" i="4"/>
  <c r="J1609" i="4"/>
  <c r="K1610" i="4"/>
  <c r="K1627" i="4"/>
  <c r="J1628" i="4"/>
  <c r="K1629" i="4"/>
  <c r="J1662" i="4"/>
  <c r="J1663" i="4"/>
  <c r="J1684" i="4"/>
  <c r="J1685" i="4"/>
  <c r="N1685" i="4" s="1"/>
  <c r="O1685" i="4" s="1"/>
  <c r="J1690" i="4"/>
  <c r="K1691" i="4"/>
  <c r="K1725" i="4"/>
  <c r="J1727" i="4"/>
  <c r="J1732" i="4"/>
  <c r="K1742" i="4"/>
  <c r="K1743" i="4"/>
  <c r="K1744" i="4"/>
  <c r="K1745" i="4"/>
  <c r="K1750" i="4"/>
  <c r="K1759" i="4"/>
  <c r="J1774" i="4"/>
  <c r="J1775" i="4"/>
  <c r="J1776" i="4"/>
  <c r="K18" i="4"/>
  <c r="J23" i="4"/>
  <c r="K24" i="4"/>
  <c r="K31" i="4"/>
  <c r="K32" i="4"/>
  <c r="J33" i="4"/>
  <c r="J34" i="4"/>
  <c r="J35" i="4"/>
  <c r="J36" i="4"/>
  <c r="K37" i="4"/>
  <c r="K43" i="4"/>
  <c r="K67" i="4"/>
  <c r="J70" i="4"/>
  <c r="K81" i="4"/>
  <c r="K82" i="4"/>
  <c r="K87" i="4"/>
  <c r="J93" i="4"/>
  <c r="J94" i="4"/>
  <c r="J101" i="4"/>
  <c r="J102" i="4"/>
  <c r="J128" i="4"/>
  <c r="K133" i="4"/>
  <c r="J134" i="4"/>
  <c r="J139" i="4"/>
  <c r="J140" i="4"/>
  <c r="K141" i="4"/>
  <c r="K147" i="4"/>
  <c r="K159" i="4"/>
  <c r="K160" i="4"/>
  <c r="K166" i="4"/>
  <c r="J172" i="4"/>
  <c r="J186" i="4"/>
  <c r="J200" i="4"/>
  <c r="K201" i="4"/>
  <c r="K208" i="4"/>
  <c r="J214" i="4"/>
  <c r="K215" i="4"/>
  <c r="K249" i="4"/>
  <c r="K254" i="4"/>
  <c r="K268" i="4"/>
  <c r="K269" i="4"/>
  <c r="J279" i="4"/>
  <c r="K297" i="4"/>
  <c r="J307" i="4"/>
  <c r="J308" i="4"/>
  <c r="J322" i="4"/>
  <c r="J323" i="4"/>
  <c r="K328" i="4"/>
  <c r="J329" i="4"/>
  <c r="J331" i="4"/>
  <c r="K336" i="4"/>
  <c r="K342" i="4"/>
  <c r="J343" i="4"/>
  <c r="J344" i="4"/>
  <c r="J356" i="4"/>
  <c r="K360" i="4"/>
  <c r="J370" i="4"/>
  <c r="K397" i="4"/>
  <c r="J398" i="4"/>
  <c r="J399" i="4"/>
  <c r="K404" i="4"/>
  <c r="K410" i="4"/>
  <c r="J416" i="4"/>
  <c r="K423" i="4"/>
  <c r="K424" i="4"/>
  <c r="K425" i="4"/>
  <c r="J435" i="4"/>
  <c r="J1507" i="4"/>
  <c r="K1513" i="4"/>
  <c r="J1514" i="4"/>
  <c r="K1515" i="4"/>
  <c r="J1524" i="4"/>
  <c r="K1525" i="4"/>
  <c r="K1526" i="4"/>
  <c r="J1532" i="4"/>
  <c r="J1541" i="4"/>
  <c r="J1548" i="4"/>
  <c r="J1549" i="4"/>
  <c r="K1554" i="4"/>
  <c r="K1566" i="4"/>
  <c r="K1571" i="4"/>
  <c r="K1572" i="4"/>
  <c r="J1591" i="4"/>
  <c r="K1597" i="4"/>
  <c r="J1598" i="4"/>
  <c r="K1602" i="4"/>
  <c r="K1603" i="4"/>
  <c r="K1614" i="4"/>
  <c r="J1617" i="4"/>
  <c r="J1618" i="4"/>
  <c r="K1644" i="4"/>
  <c r="J1645" i="4"/>
  <c r="K1646" i="4"/>
  <c r="K1647" i="4"/>
  <c r="K1652" i="4"/>
  <c r="K1653" i="4"/>
  <c r="K1654" i="4"/>
  <c r="J1680" i="4"/>
  <c r="J1688" i="4"/>
  <c r="J1693" i="4"/>
  <c r="K1694" i="4"/>
  <c r="J1695" i="4"/>
  <c r="K1700" i="4"/>
  <c r="J1701" i="4"/>
  <c r="K1710" i="4"/>
  <c r="J1711" i="4"/>
  <c r="J1712" i="4"/>
  <c r="K1713" i="4"/>
  <c r="J1714" i="4"/>
  <c r="J1715" i="4"/>
  <c r="J1716" i="4"/>
  <c r="K1717" i="4"/>
  <c r="J1758" i="4"/>
  <c r="K1772" i="4"/>
  <c r="K1773" i="4"/>
  <c r="K1774" i="4"/>
  <c r="K1782" i="4"/>
  <c r="J1784" i="4"/>
  <c r="K1803" i="4"/>
  <c r="J1804" i="4"/>
  <c r="J1815" i="4"/>
  <c r="K1816" i="4"/>
  <c r="J1821" i="4"/>
  <c r="J1822" i="4"/>
  <c r="K1823" i="4"/>
  <c r="K1824" i="4"/>
  <c r="K1825" i="4"/>
  <c r="K1832" i="4"/>
  <c r="J1838" i="4"/>
  <c r="J1855" i="4"/>
  <c r="J1856" i="4"/>
  <c r="J1857" i="4"/>
  <c r="K1858" i="4"/>
  <c r="K1859" i="4"/>
  <c r="K1869" i="4"/>
  <c r="K1870" i="4"/>
  <c r="K1871" i="4"/>
  <c r="K1872" i="4"/>
  <c r="K1873" i="4"/>
  <c r="K1874" i="4"/>
  <c r="K1875" i="4"/>
  <c r="J1876" i="4"/>
  <c r="J1877" i="4"/>
  <c r="J1894" i="4"/>
  <c r="J1895" i="4"/>
  <c r="J1896" i="4"/>
  <c r="J1897" i="4"/>
  <c r="J1898" i="4"/>
  <c r="K1899" i="4"/>
  <c r="J1917" i="4"/>
  <c r="K1918" i="4"/>
  <c r="K1919" i="4"/>
  <c r="J1930" i="4"/>
  <c r="K1931" i="4"/>
  <c r="K1932" i="4"/>
  <c r="J1937" i="4"/>
  <c r="J1938" i="4"/>
  <c r="J1944" i="4"/>
  <c r="J1945" i="4"/>
  <c r="K1946" i="4"/>
  <c r="K1953" i="4"/>
  <c r="J1974" i="4"/>
  <c r="J2008" i="4"/>
  <c r="N2008" i="4" s="1"/>
  <c r="O2008" i="4" s="1"/>
  <c r="J2013" i="4"/>
  <c r="K2038" i="4"/>
  <c r="K2048" i="4"/>
  <c r="K2049" i="4"/>
  <c r="K2050" i="4"/>
  <c r="J2051" i="4"/>
  <c r="J2052" i="4"/>
  <c r="J2053" i="4"/>
  <c r="K2058" i="4"/>
  <c r="J2065" i="4"/>
  <c r="K2069" i="4"/>
  <c r="K2074" i="4"/>
  <c r="J2076" i="4"/>
  <c r="K2081" i="4"/>
  <c r="K2082" i="4"/>
  <c r="K2083" i="4"/>
  <c r="K2084" i="4"/>
  <c r="K2109" i="4"/>
  <c r="J2126" i="4"/>
  <c r="K2127" i="4"/>
  <c r="J2146" i="4"/>
  <c r="K2147" i="4"/>
  <c r="K2154" i="4"/>
  <c r="J2177" i="4"/>
  <c r="K2178" i="4"/>
  <c r="K2179" i="4"/>
  <c r="J2205" i="4"/>
  <c r="J2210" i="4"/>
  <c r="K2211" i="4"/>
  <c r="J2212" i="4"/>
  <c r="K2217" i="4"/>
  <c r="J2218" i="4"/>
  <c r="J2232" i="4"/>
  <c r="K2233" i="4"/>
  <c r="K2239" i="4"/>
  <c r="K2269" i="4"/>
  <c r="K2270" i="4"/>
  <c r="K2271" i="4"/>
  <c r="K2272" i="4"/>
  <c r="K2277" i="4"/>
  <c r="K2282" i="4"/>
  <c r="J2292" i="4"/>
  <c r="K2329" i="4"/>
  <c r="K2330" i="4"/>
  <c r="K2331" i="4"/>
  <c r="K2332" i="4"/>
  <c r="J2360" i="4"/>
  <c r="J2361" i="4"/>
  <c r="J2362" i="4"/>
  <c r="K2363" i="4"/>
  <c r="K2364" i="4"/>
  <c r="K2365" i="4"/>
  <c r="K3686" i="4"/>
  <c r="K3687" i="4"/>
  <c r="K3700" i="4"/>
  <c r="K3701" i="4"/>
  <c r="J3706" i="4"/>
  <c r="K3707" i="4"/>
  <c r="K3716" i="4"/>
  <c r="J3736" i="4"/>
  <c r="K3736" i="4"/>
  <c r="J3737" i="4"/>
  <c r="K3738" i="4"/>
  <c r="J3762" i="4"/>
  <c r="J3771" i="4"/>
  <c r="J3772" i="4"/>
  <c r="K3776" i="4"/>
  <c r="K3780" i="4"/>
  <c r="K3781" i="4"/>
  <c r="K3782" i="4"/>
  <c r="K3783" i="4"/>
  <c r="K3784" i="4"/>
  <c r="K3785" i="4"/>
  <c r="K3786" i="4"/>
  <c r="K3790" i="4"/>
  <c r="J3799" i="4"/>
  <c r="K3812" i="4"/>
  <c r="J3816" i="4"/>
  <c r="J3832" i="4"/>
  <c r="K3833" i="4"/>
  <c r="K3834" i="4"/>
  <c r="K3835" i="4"/>
  <c r="K3836" i="4"/>
  <c r="K3837" i="4"/>
  <c r="K3872" i="4"/>
  <c r="K3873" i="4"/>
  <c r="K3874" i="4"/>
  <c r="J3876" i="4"/>
  <c r="K3878" i="4"/>
  <c r="K3879" i="4"/>
  <c r="K3880" i="4"/>
  <c r="J3881" i="4"/>
  <c r="K3882" i="4"/>
  <c r="J3883" i="4"/>
  <c r="K3888" i="4"/>
  <c r="J3889" i="4"/>
  <c r="J3890" i="4"/>
  <c r="J3891" i="4"/>
  <c r="K3921" i="4"/>
  <c r="K3922" i="4"/>
  <c r="J3928" i="4"/>
  <c r="K3932" i="4"/>
  <c r="K3937" i="4"/>
  <c r="J3944" i="4"/>
  <c r="J3950" i="4"/>
  <c r="K3951" i="4"/>
  <c r="J3960" i="4"/>
  <c r="J3961" i="4"/>
  <c r="J3962" i="4"/>
  <c r="J3971" i="4"/>
  <c r="K3972" i="4"/>
  <c r="J3983" i="4"/>
  <c r="J3984" i="4"/>
  <c r="J3987" i="4"/>
  <c r="K4008" i="4"/>
  <c r="K4038" i="4"/>
  <c r="K4043" i="4"/>
  <c r="J4052" i="4"/>
  <c r="K4058" i="4"/>
  <c r="J4060" i="4"/>
  <c r="J4065" i="4"/>
  <c r="J4068" i="4"/>
  <c r="K4103" i="4"/>
  <c r="K4104" i="4"/>
  <c r="K4105" i="4"/>
  <c r="J4106" i="4"/>
  <c r="J4107" i="4"/>
  <c r="K4108" i="4"/>
  <c r="K4115" i="4"/>
  <c r="K4116" i="4"/>
  <c r="K4117" i="4"/>
  <c r="K4118" i="4"/>
  <c r="K4132" i="4"/>
  <c r="K4133" i="4"/>
  <c r="K4154" i="4"/>
  <c r="J4160" i="4"/>
  <c r="K4161" i="4"/>
  <c r="K4162" i="4"/>
  <c r="J4163" i="4"/>
  <c r="J4190" i="4"/>
  <c r="K4191" i="4"/>
  <c r="K4192" i="4"/>
  <c r="J4193" i="4"/>
  <c r="J4194" i="4"/>
  <c r="K4195" i="4"/>
  <c r="J4196" i="4"/>
  <c r="J4222" i="4"/>
  <c r="K4226" i="4"/>
  <c r="K4238" i="4"/>
  <c r="K4261" i="4"/>
  <c r="J4268" i="4"/>
  <c r="J4269" i="4"/>
  <c r="J4275" i="4"/>
  <c r="K4287" i="4"/>
  <c r="J4289" i="4"/>
  <c r="N4289" i="4" s="1"/>
  <c r="O4289" i="4" s="1"/>
  <c r="K4290" i="4"/>
  <c r="J4295" i="4"/>
  <c r="K4297" i="4"/>
  <c r="J4299" i="4"/>
  <c r="K4307" i="4"/>
  <c r="K4308" i="4"/>
  <c r="K4309" i="4"/>
  <c r="J4310" i="4"/>
  <c r="J4311" i="4"/>
  <c r="J4312" i="4"/>
  <c r="K4313" i="4"/>
  <c r="J4314" i="4"/>
  <c r="K4315" i="4"/>
  <c r="J4316" i="4"/>
  <c r="K4317" i="4"/>
  <c r="J4323" i="4"/>
  <c r="K4323" i="4"/>
  <c r="K4324" i="4"/>
  <c r="J4342" i="4"/>
  <c r="J4343" i="4"/>
  <c r="J4344" i="4"/>
  <c r="K4374" i="4"/>
  <c r="K4376" i="4"/>
  <c r="J4390" i="4"/>
  <c r="J4396" i="4"/>
  <c r="K4397" i="4"/>
  <c r="K4398" i="4"/>
  <c r="J4399" i="4"/>
  <c r="K4400" i="4"/>
  <c r="J4406" i="4"/>
  <c r="J4407" i="4"/>
  <c r="J4408" i="4"/>
  <c r="J4413" i="4"/>
  <c r="K4414" i="4"/>
  <c r="K4415" i="4"/>
  <c r="K4416" i="4"/>
  <c r="K4417" i="4"/>
  <c r="K4418" i="4"/>
  <c r="K4419" i="4"/>
  <c r="J4420" i="4"/>
  <c r="K4446" i="4"/>
  <c r="J4451" i="4"/>
  <c r="J4460" i="4"/>
  <c r="J4467" i="4"/>
  <c r="J4487" i="4"/>
  <c r="J4493" i="4"/>
  <c r="J4494" i="4"/>
  <c r="J4495" i="4"/>
  <c r="J4506" i="4"/>
  <c r="J4507" i="4"/>
  <c r="K4508" i="4"/>
  <c r="J4509" i="4"/>
  <c r="J4510" i="4"/>
  <c r="J4511" i="4"/>
  <c r="K4518" i="4"/>
  <c r="K4519" i="4"/>
  <c r="K4520" i="4"/>
  <c r="K4521" i="4"/>
  <c r="K4530" i="4"/>
  <c r="K4531" i="4"/>
  <c r="K4588" i="4"/>
  <c r="K4589" i="4"/>
  <c r="K4590" i="4"/>
  <c r="K4591" i="4"/>
  <c r="K4592" i="4"/>
  <c r="J4598" i="4"/>
  <c r="J4599" i="4"/>
  <c r="J4609" i="4"/>
  <c r="J4631" i="4"/>
  <c r="J4636" i="4"/>
  <c r="K4638" i="4"/>
  <c r="K4643" i="4"/>
  <c r="J4644" i="4"/>
  <c r="J4653" i="4"/>
  <c r="K4658" i="4"/>
  <c r="J4660" i="4"/>
  <c r="J4687" i="4"/>
  <c r="J4688" i="4"/>
  <c r="J4689" i="4"/>
  <c r="K4690" i="4"/>
  <c r="K4695" i="4"/>
  <c r="J4708" i="4"/>
  <c r="J4713" i="4"/>
  <c r="K4714" i="4"/>
  <c r="J4715" i="4"/>
  <c r="J4716" i="4"/>
  <c r="K4717" i="4"/>
  <c r="J4718" i="4"/>
  <c r="J4734" i="4"/>
  <c r="K4739" i="4"/>
  <c r="K4740" i="4"/>
  <c r="K4754" i="4"/>
  <c r="K4755" i="4"/>
  <c r="J4756" i="4"/>
  <c r="K4758" i="4"/>
  <c r="K4769" i="4"/>
  <c r="K4770" i="4"/>
  <c r="K4789" i="4"/>
  <c r="K4790" i="4"/>
  <c r="K4802" i="4"/>
  <c r="K4806" i="4"/>
  <c r="J4807" i="4"/>
  <c r="J4834" i="4"/>
  <c r="J4854" i="4"/>
  <c r="J4859" i="4"/>
  <c r="K4871" i="4"/>
  <c r="J4872" i="4"/>
  <c r="J4873" i="4"/>
  <c r="K4874" i="4"/>
  <c r="K4883" i="4"/>
  <c r="K4928" i="4"/>
  <c r="K4929" i="4"/>
  <c r="K4934" i="4"/>
  <c r="J4947" i="4"/>
  <c r="J4948" i="4"/>
  <c r="K4949" i="4"/>
  <c r="J4963" i="4"/>
  <c r="J4972" i="4"/>
  <c r="J4982" i="4"/>
  <c r="J4987" i="4"/>
  <c r="K4999" i="4"/>
  <c r="K5000" i="4"/>
  <c r="K5001" i="4"/>
  <c r="J5002" i="4"/>
  <c r="K5010" i="4"/>
  <c r="J5016" i="4"/>
  <c r="J5035" i="4"/>
  <c r="K5040" i="4"/>
  <c r="J5049" i="4"/>
  <c r="K5050" i="4"/>
  <c r="J5052" i="4"/>
  <c r="K5068" i="4"/>
  <c r="J5069" i="4"/>
  <c r="J5070" i="4"/>
  <c r="J5075" i="4"/>
  <c r="K5076" i="4"/>
  <c r="K5077" i="4"/>
  <c r="K5078" i="4"/>
  <c r="K4039" i="4"/>
  <c r="J4061" i="4"/>
  <c r="J4063" i="4"/>
  <c r="K4064" i="4"/>
  <c r="K4085" i="4"/>
  <c r="K4086" i="4"/>
  <c r="K4087" i="4"/>
  <c r="K4088" i="4"/>
  <c r="J4125" i="4"/>
  <c r="J4126" i="4"/>
  <c r="J4127" i="4"/>
  <c r="J4128" i="4"/>
  <c r="J4129" i="4"/>
  <c r="K4134" i="4"/>
  <c r="J4145" i="4"/>
  <c r="J4155" i="4"/>
  <c r="J4161" i="4"/>
  <c r="J4162" i="4"/>
  <c r="J4179" i="4"/>
  <c r="K4180" i="4"/>
  <c r="K4181" i="4"/>
  <c r="K4182" i="4"/>
  <c r="J4185" i="4"/>
  <c r="J4186" i="4"/>
  <c r="J4213" i="4"/>
  <c r="K4214" i="4"/>
  <c r="K4241" i="4"/>
  <c r="K4242" i="4"/>
  <c r="K4244" i="4"/>
  <c r="K4245" i="4"/>
  <c r="J4266" i="4"/>
  <c r="K4272" i="4"/>
  <c r="K4292" i="4"/>
  <c r="K4293" i="4"/>
  <c r="K4300" i="4"/>
  <c r="K4354" i="4"/>
  <c r="K4372" i="4"/>
  <c r="J4373" i="4"/>
  <c r="J4374" i="4"/>
  <c r="K4375" i="4"/>
  <c r="J4381" i="4"/>
  <c r="J4382" i="4"/>
  <c r="J4391" i="4"/>
  <c r="J4392" i="4"/>
  <c r="J4393" i="4"/>
  <c r="K4394" i="4"/>
  <c r="J4404" i="4"/>
  <c r="K4405" i="4"/>
  <c r="J4419" i="4"/>
  <c r="K4439" i="4"/>
  <c r="K4441" i="4"/>
  <c r="K4442" i="4"/>
  <c r="K4447" i="4"/>
  <c r="J4449" i="4"/>
  <c r="J4450" i="4"/>
  <c r="J4472" i="4"/>
  <c r="J4473" i="4"/>
  <c r="K4474" i="4"/>
  <c r="K4475" i="4"/>
  <c r="J4501" i="4"/>
  <c r="J4502" i="4"/>
  <c r="J4514" i="4"/>
  <c r="K4515" i="4"/>
  <c r="K4516" i="4"/>
  <c r="K4517" i="4"/>
  <c r="J4518" i="4"/>
  <c r="J4519" i="4"/>
  <c r="J4520" i="4"/>
  <c r="J4521" i="4"/>
  <c r="J4522" i="4"/>
  <c r="J4523" i="4"/>
  <c r="J4524" i="4"/>
  <c r="J4525" i="4"/>
  <c r="K4539" i="4"/>
  <c r="J4541" i="4"/>
  <c r="J4542" i="4"/>
  <c r="J4557" i="4"/>
  <c r="J4558" i="4"/>
  <c r="K4559" i="4"/>
  <c r="K4560" i="4"/>
  <c r="J4561" i="4"/>
  <c r="K4570" i="4"/>
  <c r="K4571" i="4"/>
  <c r="K4572" i="4"/>
  <c r="K4573" i="4"/>
  <c r="K4574" i="4"/>
  <c r="K4575" i="4"/>
  <c r="J4603" i="4"/>
  <c r="J4604" i="4"/>
  <c r="K4609" i="4"/>
  <c r="K4610" i="4"/>
  <c r="K4615" i="4"/>
  <c r="K4616" i="4"/>
  <c r="J4617" i="4"/>
  <c r="J4650" i="4"/>
  <c r="K4654" i="4"/>
  <c r="K4671" i="4"/>
  <c r="K4672" i="4"/>
  <c r="J4673" i="4"/>
  <c r="J4674" i="4"/>
  <c r="J4693" i="4"/>
  <c r="J4700" i="4"/>
  <c r="J4701" i="4"/>
  <c r="K4702" i="4"/>
  <c r="J4703" i="4"/>
  <c r="K4711" i="4"/>
  <c r="K4741" i="4"/>
  <c r="J4757" i="4"/>
  <c r="J4758" i="4"/>
  <c r="K4766" i="4"/>
  <c r="J4773" i="4"/>
  <c r="K4784" i="4"/>
  <c r="J4785" i="4"/>
  <c r="J4786" i="4"/>
  <c r="J4793" i="4"/>
  <c r="K4797" i="4"/>
  <c r="J4798" i="4"/>
  <c r="J4799" i="4"/>
  <c r="J4823" i="4"/>
  <c r="J4828" i="4"/>
  <c r="K4829" i="4"/>
  <c r="K4834" i="4"/>
  <c r="J4835" i="4"/>
  <c r="K4836" i="4"/>
  <c r="K4837" i="4"/>
  <c r="J4867" i="4"/>
  <c r="J4893" i="4"/>
  <c r="J4899" i="4"/>
  <c r="K4900" i="4"/>
  <c r="K4901" i="4"/>
  <c r="K4902" i="4"/>
  <c r="K4903" i="4"/>
  <c r="K4904" i="4"/>
  <c r="J4910" i="4"/>
  <c r="J4911" i="4"/>
  <c r="J4916" i="4"/>
  <c r="J4918" i="4"/>
  <c r="K4919" i="4"/>
  <c r="K4926" i="4"/>
  <c r="J4927" i="4"/>
  <c r="J4930" i="4"/>
  <c r="J4932" i="4"/>
  <c r="J4933" i="4"/>
  <c r="J4943" i="4"/>
  <c r="J4946" i="4"/>
  <c r="K4952" i="4"/>
  <c r="J4958" i="4"/>
  <c r="J4959" i="4"/>
  <c r="K4964" i="4"/>
  <c r="J4983" i="4"/>
  <c r="J4985" i="4"/>
  <c r="K4986" i="4"/>
  <c r="J5012" i="4"/>
  <c r="J5013" i="4"/>
  <c r="J5014" i="4"/>
  <c r="J5017" i="4"/>
  <c r="J5026" i="4"/>
  <c r="J5027" i="4"/>
  <c r="K5028" i="4"/>
  <c r="K5029" i="4"/>
  <c r="K5030" i="4"/>
  <c r="J5036" i="4"/>
  <c r="K5044" i="4"/>
  <c r="J5046" i="4"/>
  <c r="K5069" i="4"/>
  <c r="K5112" i="4"/>
  <c r="J5119" i="4"/>
  <c r="K5124" i="4"/>
  <c r="K5138" i="4"/>
  <c r="J5143" i="4"/>
  <c r="J5144" i="4"/>
  <c r="N5144" i="4" s="1"/>
  <c r="O5144" i="4" s="1"/>
  <c r="K5159" i="4"/>
  <c r="K5160" i="4"/>
  <c r="K5161" i="4"/>
  <c r="K5169" i="4"/>
  <c r="J5170" i="4"/>
  <c r="K5175" i="4"/>
  <c r="K5176" i="4"/>
  <c r="K5187" i="4"/>
  <c r="J5820" i="4"/>
  <c r="K5824" i="4"/>
  <c r="K5828" i="4"/>
  <c r="K5836" i="4"/>
  <c r="K5837" i="4"/>
  <c r="J5838" i="4"/>
  <c r="J5845" i="4"/>
  <c r="J5856" i="4"/>
  <c r="K5857" i="4"/>
  <c r="J5858" i="4"/>
  <c r="J5859" i="4"/>
  <c r="K5869" i="4"/>
  <c r="J5879" i="4"/>
  <c r="J5880" i="4"/>
  <c r="J5881" i="4"/>
  <c r="K5882" i="4"/>
  <c r="K5883" i="4"/>
  <c r="J5885" i="4"/>
  <c r="K5889" i="4"/>
  <c r="J5890" i="4"/>
  <c r="K5891" i="4"/>
  <c r="K5892" i="4"/>
  <c r="J5893" i="4"/>
  <c r="N5893" i="4" s="1"/>
  <c r="O5893" i="4" s="1"/>
  <c r="K5901" i="4"/>
  <c r="K5902" i="4"/>
  <c r="J5903" i="4"/>
  <c r="K5904" i="4"/>
  <c r="J5909" i="4"/>
  <c r="J5931" i="4"/>
  <c r="K5939" i="4"/>
  <c r="K5940" i="4"/>
  <c r="J5941" i="4"/>
  <c r="J5942" i="4"/>
  <c r="J5943" i="4"/>
  <c r="J5944" i="4"/>
  <c r="J5954" i="4"/>
  <c r="K5958" i="4"/>
  <c r="K5959" i="4"/>
  <c r="K5960" i="4"/>
  <c r="K5961" i="4"/>
  <c r="K5962" i="4"/>
  <c r="J5963" i="4"/>
  <c r="J5964" i="4"/>
  <c r="K5970" i="4"/>
  <c r="J5971" i="4"/>
  <c r="J5972" i="4"/>
  <c r="K5980" i="4"/>
  <c r="K5987" i="4"/>
  <c r="J5988" i="4"/>
  <c r="K5989" i="4"/>
  <c r="K5994" i="4"/>
  <c r="K5998" i="4"/>
  <c r="K5999" i="4"/>
  <c r="J6001" i="4"/>
  <c r="K8" i="4"/>
  <c r="K19" i="4"/>
  <c r="J22" i="4"/>
  <c r="J31" i="4"/>
  <c r="K36" i="4"/>
  <c r="J42" i="4"/>
  <c r="J43" i="4"/>
  <c r="J55" i="4"/>
  <c r="K56" i="4"/>
  <c r="J66" i="4"/>
  <c r="J67" i="4"/>
  <c r="K68" i="4"/>
  <c r="K69" i="4"/>
  <c r="K70" i="4"/>
  <c r="K71" i="4"/>
  <c r="J72" i="4"/>
  <c r="K73" i="4"/>
  <c r="J83" i="4"/>
  <c r="K99" i="4"/>
  <c r="K100" i="4"/>
  <c r="J116" i="4"/>
  <c r="J122" i="4"/>
  <c r="J132" i="4"/>
  <c r="J142" i="4"/>
  <c r="K149" i="4"/>
  <c r="J155" i="4"/>
  <c r="J163" i="4"/>
  <c r="K168" i="4"/>
  <c r="J174" i="4"/>
  <c r="K175" i="4"/>
  <c r="K181" i="4"/>
  <c r="K205" i="4"/>
  <c r="K206" i="4"/>
  <c r="J207" i="4"/>
  <c r="J208" i="4"/>
  <c r="K236" i="4"/>
  <c r="J242" i="4"/>
  <c r="K243" i="4"/>
  <c r="J244" i="4"/>
  <c r="J245" i="4"/>
  <c r="K246" i="4"/>
  <c r="J261" i="4"/>
  <c r="J262" i="4"/>
  <c r="K273" i="4"/>
  <c r="K283" i="4"/>
  <c r="J284" i="4"/>
  <c r="K294" i="4"/>
  <c r="K306" i="4"/>
  <c r="K309" i="4"/>
  <c r="J310" i="4"/>
  <c r="J320" i="4"/>
  <c r="K321" i="4"/>
  <c r="J327" i="4"/>
  <c r="J333" i="4"/>
  <c r="K333" i="4"/>
  <c r="J334" i="4"/>
  <c r="J335" i="4"/>
  <c r="J341" i="4"/>
  <c r="J352" i="4"/>
  <c r="J358" i="4"/>
  <c r="J365" i="4"/>
  <c r="J366" i="4"/>
  <c r="J367" i="4"/>
  <c r="J386" i="4"/>
  <c r="K387" i="4"/>
  <c r="J388" i="4"/>
  <c r="J389" i="4"/>
  <c r="K390" i="4"/>
  <c r="J400" i="4"/>
  <c r="K401" i="4"/>
  <c r="K407" i="4"/>
  <c r="K408" i="4"/>
  <c r="K413" i="4"/>
  <c r="J419" i="4"/>
  <c r="J2372" i="4"/>
  <c r="K2376" i="4"/>
  <c r="K2377" i="4"/>
  <c r="K2378" i="4"/>
  <c r="K2379" i="4"/>
  <c r="K2380" i="4"/>
  <c r="J2384" i="4"/>
  <c r="J2385" i="4"/>
  <c r="J2386" i="4"/>
  <c r="J2387" i="4"/>
  <c r="K2395" i="4"/>
  <c r="J2396" i="4"/>
  <c r="J2397" i="4"/>
  <c r="K2403" i="4"/>
  <c r="K2404" i="4"/>
  <c r="K2405" i="4"/>
  <c r="K2406" i="4"/>
  <c r="K2418" i="4"/>
  <c r="K2419" i="4"/>
  <c r="K2420" i="4"/>
  <c r="K2421" i="4"/>
  <c r="J2422" i="4"/>
  <c r="K2430" i="4"/>
  <c r="J2431" i="4"/>
  <c r="J2436" i="4"/>
  <c r="K2441" i="4"/>
  <c r="K2442" i="4"/>
  <c r="J2447" i="4"/>
  <c r="K2452" i="4"/>
  <c r="K2453" i="4"/>
  <c r="J2454" i="4"/>
  <c r="J2455" i="4"/>
  <c r="J2456" i="4"/>
  <c r="K2461" i="4"/>
  <c r="J2462" i="4"/>
  <c r="K2463" i="4"/>
  <c r="K2464" i="4"/>
  <c r="J2465" i="4"/>
  <c r="J2476" i="4"/>
  <c r="J2477" i="4"/>
  <c r="J2478" i="4"/>
  <c r="K2483" i="4"/>
  <c r="K2484" i="4"/>
  <c r="J2487" i="4"/>
  <c r="K2492" i="4"/>
  <c r="K2493" i="4"/>
  <c r="K2521" i="4"/>
  <c r="K2530" i="4"/>
  <c r="K2535" i="4"/>
  <c r="K2540" i="4"/>
  <c r="K2543" i="4"/>
  <c r="J2544" i="4"/>
  <c r="J2554" i="4"/>
  <c r="K2555" i="4"/>
  <c r="J2558" i="4"/>
  <c r="J2559" i="4"/>
  <c r="K2568" i="4"/>
  <c r="J2569" i="4"/>
  <c r="K2583" i="4"/>
  <c r="K2592" i="4"/>
  <c r="K2593" i="4"/>
  <c r="K2594" i="4"/>
  <c r="K2595" i="4"/>
  <c r="J2596" i="4"/>
  <c r="N2596" i="4" s="1"/>
  <c r="O2596" i="4" s="1"/>
  <c r="J2628" i="4"/>
  <c r="J2629" i="4"/>
  <c r="K2638" i="4"/>
  <c r="K2639" i="4"/>
  <c r="K2656" i="4"/>
  <c r="K2662" i="4"/>
  <c r="K2663" i="4"/>
  <c r="K2676" i="4"/>
  <c r="K2677" i="4"/>
  <c r="K2682" i="4"/>
  <c r="K2687" i="4"/>
  <c r="K2688" i="4"/>
  <c r="J2689" i="4"/>
  <c r="J2690" i="4"/>
  <c r="J2691" i="4"/>
  <c r="K2725" i="4"/>
  <c r="K2743" i="4"/>
  <c r="K2758" i="4"/>
  <c r="J2768" i="4"/>
  <c r="K2769" i="4"/>
  <c r="K2779" i="4"/>
  <c r="J2780" i="4"/>
  <c r="J2781" i="4"/>
  <c r="J2782" i="4"/>
  <c r="J2783" i="4"/>
  <c r="J2784" i="4"/>
  <c r="J2785" i="4"/>
  <c r="J2786" i="4"/>
  <c r="J2792" i="4"/>
  <c r="J2793" i="4"/>
  <c r="K2794" i="4"/>
  <c r="K2795" i="4"/>
  <c r="K2796" i="4"/>
  <c r="J2799" i="4"/>
  <c r="J2803" i="4"/>
  <c r="K2850" i="4"/>
  <c r="K2852" i="4"/>
  <c r="J2853" i="4"/>
  <c r="K2859" i="4"/>
  <c r="K2860" i="4"/>
  <c r="K2900" i="4"/>
  <c r="J2901" i="4"/>
  <c r="K2902" i="4"/>
  <c r="K2907" i="4"/>
  <c r="K2908" i="4"/>
  <c r="K2909" i="4"/>
  <c r="J2947" i="4"/>
  <c r="J2952" i="4"/>
  <c r="K2953" i="4"/>
  <c r="J2954" i="4"/>
  <c r="J2955" i="4"/>
  <c r="K2956" i="4"/>
  <c r="K2957" i="4"/>
  <c r="K2970" i="4"/>
  <c r="K2971" i="4"/>
  <c r="K2976" i="4"/>
  <c r="J2978" i="4"/>
  <c r="J2983" i="4"/>
  <c r="J2984" i="4"/>
  <c r="J2985" i="4"/>
  <c r="K2986" i="4"/>
  <c r="J2991" i="4"/>
  <c r="K2992" i="4"/>
  <c r="J2993" i="4"/>
  <c r="K2999" i="4"/>
  <c r="J3010" i="4"/>
  <c r="J3021" i="4"/>
  <c r="K3022" i="4"/>
  <c r="K3023" i="4"/>
  <c r="J3024" i="4"/>
  <c r="J3029" i="4"/>
  <c r="J3030" i="4"/>
  <c r="K3035" i="4"/>
  <c r="J3036" i="4"/>
  <c r="J3037" i="4"/>
  <c r="J3038" i="4"/>
  <c r="K3039" i="4"/>
  <c r="K3040" i="4"/>
  <c r="K3041" i="4"/>
  <c r="K3042" i="4"/>
  <c r="J3043" i="4"/>
  <c r="K3048" i="4"/>
  <c r="J3071" i="4"/>
  <c r="K3072" i="4"/>
  <c r="K3073" i="4"/>
  <c r="J3074" i="4"/>
  <c r="K3075" i="4"/>
  <c r="J3086" i="4"/>
  <c r="J3087" i="4"/>
  <c r="K3094" i="4"/>
  <c r="J3095" i="4"/>
  <c r="J3096" i="4"/>
  <c r="J3097" i="4"/>
  <c r="J3098" i="4"/>
  <c r="K3099" i="4"/>
  <c r="J3100" i="4"/>
  <c r="J3101" i="4"/>
  <c r="J3114" i="4"/>
  <c r="K3115" i="4"/>
  <c r="J3127" i="4"/>
  <c r="K3133" i="4"/>
  <c r="K3151" i="4"/>
  <c r="K3163" i="4"/>
  <c r="J3172" i="4"/>
  <c r="K3173" i="4"/>
  <c r="J3175" i="4"/>
  <c r="J3181" i="4"/>
  <c r="K3182" i="4"/>
  <c r="K3183" i="4"/>
  <c r="J3184" i="4"/>
  <c r="J3185" i="4"/>
  <c r="K3186" i="4"/>
  <c r="K3197" i="4"/>
  <c r="K3198" i="4"/>
  <c r="J3203" i="4"/>
  <c r="J3204" i="4"/>
  <c r="J3221" i="4"/>
  <c r="K3243" i="4"/>
  <c r="J3268" i="4"/>
  <c r="J3279" i="4"/>
  <c r="K3280" i="4"/>
  <c r="J3285" i="4"/>
  <c r="K3286" i="4"/>
  <c r="J3287" i="4"/>
  <c r="J3288" i="4"/>
  <c r="J3293" i="4"/>
  <c r="K3294" i="4"/>
  <c r="K3311" i="4"/>
  <c r="K3314" i="4"/>
  <c r="K3315" i="4"/>
  <c r="J3316" i="4"/>
  <c r="K3321" i="4"/>
  <c r="K3331" i="4"/>
  <c r="K3338" i="4"/>
  <c r="J3339" i="4"/>
  <c r="J3340" i="4"/>
  <c r="J3341" i="4"/>
  <c r="K3342" i="4"/>
  <c r="J3356" i="4"/>
  <c r="K3357" i="4"/>
  <c r="J3366" i="4"/>
  <c r="K3372" i="4"/>
  <c r="J3383" i="4"/>
  <c r="K3384" i="4"/>
  <c r="K3412" i="4"/>
  <c r="J3413" i="4"/>
  <c r="J3433" i="4"/>
  <c r="K3434" i="4"/>
  <c r="K3442" i="4"/>
  <c r="K3444" i="4"/>
  <c r="J3449" i="4"/>
  <c r="J3450" i="4"/>
  <c r="J3451" i="4"/>
  <c r="K3456" i="4"/>
  <c r="J3473" i="4"/>
  <c r="K3475" i="4"/>
  <c r="K3476" i="4"/>
  <c r="K3477" i="4"/>
  <c r="K3478" i="4"/>
  <c r="K3491" i="4"/>
  <c r="K3496" i="4"/>
  <c r="K3497" i="4"/>
  <c r="J3498" i="4"/>
  <c r="J3499" i="4"/>
  <c r="J3500" i="4"/>
  <c r="K3505" i="4"/>
  <c r="K3510" i="4"/>
  <c r="K3511" i="4"/>
  <c r="K3518" i="4"/>
  <c r="K3519" i="4"/>
  <c r="J3544" i="4"/>
  <c r="J3559" i="4"/>
  <c r="K3560" i="4"/>
  <c r="J3562" i="4"/>
  <c r="N3562" i="4" s="1"/>
  <c r="O3562" i="4" s="1"/>
  <c r="K3563" i="4"/>
  <c r="J3566" i="4"/>
  <c r="J3567" i="4"/>
  <c r="J3568" i="4"/>
  <c r="J3582" i="4"/>
  <c r="K3590" i="4"/>
  <c r="K3591" i="4"/>
  <c r="J3592" i="4"/>
  <c r="K3622" i="4"/>
  <c r="J3626" i="4"/>
  <c r="K3637" i="4"/>
  <c r="K3652" i="4"/>
  <c r="K3653" i="4"/>
  <c r="K3668" i="4"/>
  <c r="J3669" i="4"/>
  <c r="J3670" i="4"/>
  <c r="K3671" i="4"/>
  <c r="K3682" i="4"/>
  <c r="K3683" i="4"/>
  <c r="K5079" i="4"/>
  <c r="J5084" i="4"/>
  <c r="J5085" i="4"/>
  <c r="K5094" i="4"/>
  <c r="K5095" i="4"/>
  <c r="K5096" i="4"/>
  <c r="K5097" i="4"/>
  <c r="J5098" i="4"/>
  <c r="K5107" i="4"/>
  <c r="J5112" i="4"/>
  <c r="K5139" i="4"/>
  <c r="J5140" i="4"/>
  <c r="J5156" i="4"/>
  <c r="J5157" i="4"/>
  <c r="J5161" i="4"/>
  <c r="J5162" i="4"/>
  <c r="K5177" i="4"/>
  <c r="J5178" i="4"/>
  <c r="K5179" i="4"/>
  <c r="K5180" i="4"/>
  <c r="J5181" i="4"/>
  <c r="J5189" i="4"/>
  <c r="K5190" i="4"/>
  <c r="K5191" i="4"/>
  <c r="K5192" i="4"/>
  <c r="K5193" i="4"/>
  <c r="K5194" i="4"/>
  <c r="J5195" i="4"/>
  <c r="J5196" i="4"/>
  <c r="K5197" i="4"/>
  <c r="J5206" i="4"/>
  <c r="K5819" i="4"/>
  <c r="K5821" i="4"/>
  <c r="J5822" i="4"/>
  <c r="K5823" i="4"/>
  <c r="J5866" i="4"/>
  <c r="K5881" i="4"/>
  <c r="K5885" i="4"/>
  <c r="J5886" i="4"/>
  <c r="K5887" i="4"/>
  <c r="K5888" i="4"/>
  <c r="J5894" i="4"/>
  <c r="J5907" i="4"/>
  <c r="K5908" i="4"/>
  <c r="K5912" i="4"/>
  <c r="J5913" i="4"/>
  <c r="K5914" i="4"/>
  <c r="K5915" i="4"/>
  <c r="J5946" i="4"/>
  <c r="K5954" i="4"/>
  <c r="K5955" i="4"/>
  <c r="K5956" i="4"/>
  <c r="K5966" i="4"/>
  <c r="K5967" i="4"/>
  <c r="J5968" i="4"/>
  <c r="J5969" i="4"/>
  <c r="K5975" i="4"/>
  <c r="K5976" i="4"/>
  <c r="K5977" i="4"/>
  <c r="J5978" i="4"/>
  <c r="K5979" i="4"/>
  <c r="K5983" i="4"/>
  <c r="K5984" i="4"/>
  <c r="J5985" i="4"/>
  <c r="J5993" i="4"/>
  <c r="J3" i="4"/>
  <c r="J9" i="4"/>
  <c r="J10" i="4"/>
  <c r="K11" i="4"/>
  <c r="K25" i="4"/>
  <c r="J37" i="4"/>
  <c r="K38" i="4"/>
  <c r="J44" i="4"/>
  <c r="J54" i="4"/>
  <c r="J64" i="4"/>
  <c r="J65" i="4"/>
  <c r="K66" i="4"/>
  <c r="J85" i="4"/>
  <c r="K86" i="4"/>
  <c r="J87" i="4"/>
  <c r="K101" i="4"/>
  <c r="K102" i="4"/>
  <c r="K112" i="4"/>
  <c r="J118" i="4"/>
  <c r="K119" i="4"/>
  <c r="J130" i="4"/>
  <c r="K144" i="4"/>
  <c r="J145" i="4"/>
  <c r="K151" i="4"/>
  <c r="K176" i="4"/>
  <c r="J179" i="4"/>
  <c r="K180" i="4"/>
  <c r="J195" i="4"/>
  <c r="K202" i="4"/>
  <c r="J203" i="4"/>
  <c r="J209" i="4"/>
  <c r="J215" i="4"/>
  <c r="J216" i="4"/>
  <c r="J217" i="4"/>
  <c r="J218" i="4"/>
  <c r="J219" i="4"/>
  <c r="J231" i="4"/>
  <c r="J232" i="4"/>
  <c r="J239" i="4"/>
  <c r="K240" i="4"/>
  <c r="K256" i="4"/>
  <c r="J266" i="4"/>
  <c r="K277" i="4"/>
  <c r="K278" i="4"/>
  <c r="K279" i="4"/>
  <c r="K285" i="4"/>
  <c r="K287" i="4"/>
  <c r="K288" i="4"/>
  <c r="J302" i="4"/>
  <c r="K312" i="4"/>
  <c r="K318" i="4"/>
  <c r="K323" i="4"/>
  <c r="K324" i="4"/>
  <c r="J330" i="4"/>
  <c r="K344" i="4"/>
  <c r="K345" i="4"/>
  <c r="J351" i="4"/>
  <c r="K358" i="4"/>
  <c r="K368" i="4"/>
  <c r="J390" i="4"/>
  <c r="K391" i="4"/>
  <c r="K392" i="4"/>
  <c r="J417" i="4"/>
  <c r="J418" i="4"/>
  <c r="J424" i="4"/>
  <c r="K429" i="4"/>
  <c r="J1506" i="4"/>
  <c r="K1538" i="4"/>
  <c r="J1543" i="4"/>
  <c r="K1549" i="4"/>
  <c r="J1555" i="4"/>
  <c r="J1568" i="4"/>
  <c r="K1573" i="4"/>
  <c r="J1578" i="4"/>
  <c r="J1579" i="4"/>
  <c r="J1580" i="4"/>
  <c r="N1580" i="4" s="1"/>
  <c r="O1580" i="4" s="1"/>
  <c r="J1581" i="4"/>
  <c r="J1582" i="4"/>
  <c r="J1583" i="4"/>
  <c r="K1591" i="4"/>
  <c r="J1592" i="4"/>
  <c r="J1593" i="4"/>
  <c r="K1601" i="4"/>
  <c r="K1611" i="4"/>
  <c r="J1612" i="4"/>
  <c r="J1619" i="4"/>
  <c r="J1620" i="4"/>
  <c r="K1621" i="4"/>
  <c r="K1622" i="4"/>
  <c r="J1629" i="4"/>
  <c r="K1630" i="4"/>
  <c r="K1631" i="4"/>
  <c r="K1636" i="4"/>
  <c r="J1637" i="4"/>
  <c r="J1654" i="4"/>
  <c r="K1655" i="4"/>
  <c r="K1656" i="4"/>
  <c r="K1657" i="4"/>
  <c r="K1671" i="4"/>
  <c r="J1672" i="4"/>
  <c r="K1679" i="4"/>
  <c r="K1689" i="4"/>
  <c r="J1691" i="4"/>
  <c r="K1692" i="4"/>
  <c r="K1693" i="4"/>
  <c r="J1720" i="4"/>
  <c r="J1721" i="4"/>
  <c r="J1722" i="4"/>
  <c r="K1730" i="4"/>
  <c r="J1740" i="4"/>
  <c r="K1770" i="4"/>
  <c r="J1777" i="4"/>
  <c r="J1778" i="4"/>
  <c r="J1779" i="4"/>
  <c r="K1780" i="4"/>
  <c r="J1805" i="4"/>
  <c r="J1806" i="4"/>
  <c r="K1807" i="4"/>
  <c r="J1813" i="4"/>
  <c r="K1826" i="4"/>
  <c r="K1831" i="4"/>
  <c r="J1836" i="4"/>
  <c r="K1845" i="4"/>
  <c r="J1846" i="4"/>
  <c r="K1847" i="4"/>
  <c r="J1848" i="4"/>
  <c r="K1849" i="4"/>
  <c r="J1850" i="4"/>
  <c r="K1851" i="4"/>
  <c r="J1852" i="4"/>
  <c r="J1853" i="4"/>
  <c r="K1854" i="4"/>
  <c r="J1866" i="4"/>
  <c r="J1867" i="4"/>
  <c r="K1883" i="4"/>
  <c r="J1885" i="4"/>
  <c r="J1899" i="4"/>
  <c r="K1900" i="4"/>
  <c r="K1901" i="4"/>
  <c r="K1902" i="4"/>
  <c r="K1903" i="4"/>
  <c r="K1912" i="4"/>
  <c r="K1913" i="4"/>
  <c r="K1934" i="4"/>
  <c r="K1935" i="4"/>
  <c r="K1936" i="4"/>
  <c r="K1941" i="4"/>
  <c r="J1946" i="4"/>
  <c r="K1947" i="4"/>
  <c r="K1948" i="4"/>
  <c r="J1949" i="4"/>
  <c r="K1950" i="4"/>
  <c r="J1978" i="4"/>
  <c r="J1979" i="4"/>
  <c r="J2002" i="4"/>
  <c r="J2020" i="4"/>
  <c r="J2039" i="4"/>
  <c r="J2041" i="4"/>
  <c r="K2042" i="4"/>
  <c r="J2043" i="4"/>
  <c r="J2044" i="4"/>
  <c r="J2045" i="4"/>
  <c r="K2046" i="4"/>
  <c r="K2047" i="4"/>
  <c r="J2048" i="4"/>
  <c r="K2054" i="4"/>
  <c r="K2073" i="4"/>
  <c r="K2078" i="4"/>
  <c r="J2103" i="4"/>
  <c r="K2104" i="4"/>
  <c r="K2105" i="4"/>
  <c r="K2106" i="4"/>
  <c r="J2112" i="4"/>
  <c r="J2113" i="4"/>
  <c r="J2114" i="4"/>
  <c r="J2121" i="4"/>
  <c r="J2122" i="4"/>
  <c r="J2123" i="4"/>
  <c r="J2134" i="4"/>
  <c r="J2135" i="4"/>
  <c r="K2136" i="4"/>
  <c r="J2137" i="4"/>
  <c r="K2138" i="4"/>
  <c r="J2141" i="4"/>
  <c r="K2142" i="4"/>
  <c r="K2145" i="4"/>
  <c r="K2150" i="4"/>
  <c r="J2151" i="4"/>
  <c r="J2152" i="4"/>
  <c r="K2153" i="4"/>
  <c r="J2154" i="4"/>
  <c r="J2165" i="4"/>
  <c r="J2182" i="4"/>
  <c r="K2183" i="4"/>
  <c r="J2192" i="4"/>
  <c r="K2193" i="4"/>
  <c r="K2194" i="4"/>
  <c r="J2195" i="4"/>
  <c r="J2196" i="4"/>
  <c r="K2208" i="4"/>
  <c r="J2214" i="4"/>
  <c r="K2215" i="4"/>
  <c r="K2216" i="4"/>
  <c r="J2223" i="4"/>
  <c r="K2224" i="4"/>
  <c r="J2225" i="4"/>
  <c r="J2226" i="4"/>
  <c r="J2227" i="4"/>
  <c r="K2228" i="4"/>
  <c r="J2229" i="4"/>
  <c r="J2230" i="4"/>
  <c r="J2231" i="4"/>
  <c r="J2233" i="4"/>
  <c r="K2234" i="4"/>
  <c r="K2235" i="4"/>
  <c r="J2236" i="4"/>
  <c r="K2237" i="4"/>
  <c r="K2238" i="4"/>
  <c r="J2246" i="4"/>
  <c r="J2247" i="4"/>
  <c r="K2248" i="4"/>
  <c r="K2249" i="4"/>
  <c r="J2279" i="4"/>
  <c r="K2280" i="4"/>
  <c r="J2291" i="4"/>
  <c r="K2292" i="4"/>
  <c r="K2293" i="4"/>
  <c r="J2294" i="4"/>
  <c r="K2305" i="4"/>
  <c r="J2306" i="4"/>
  <c r="J2307" i="4"/>
  <c r="J2308" i="4"/>
  <c r="J2309" i="4"/>
  <c r="J2310" i="4"/>
  <c r="K2342" i="4"/>
  <c r="K2343" i="4"/>
  <c r="J2351" i="4"/>
  <c r="J2352" i="4"/>
  <c r="J2353" i="4"/>
  <c r="K2369" i="4"/>
  <c r="K2375" i="4"/>
  <c r="K2383" i="4"/>
  <c r="K2384" i="4"/>
  <c r="K2385" i="4"/>
  <c r="K2386" i="4"/>
  <c r="K2396" i="4"/>
  <c r="K2397" i="4"/>
  <c r="J2402" i="4"/>
  <c r="K2411" i="4"/>
  <c r="K2412" i="4"/>
  <c r="J2413" i="4"/>
  <c r="K2417" i="4"/>
  <c r="J2418" i="4"/>
  <c r="J2419" i="4"/>
  <c r="J2420" i="4"/>
  <c r="J2421" i="4"/>
  <c r="J2429" i="4"/>
  <c r="J2444" i="4"/>
  <c r="J2446" i="4"/>
  <c r="K2447" i="4"/>
  <c r="K2448" i="4"/>
  <c r="K2457" i="4"/>
  <c r="J2471" i="4"/>
  <c r="J2480" i="4"/>
  <c r="K2489" i="4"/>
  <c r="J2495" i="4"/>
  <c r="K2496" i="4"/>
  <c r="K2497" i="4"/>
  <c r="K2498" i="4"/>
  <c r="J2499" i="4"/>
  <c r="J2500" i="4"/>
  <c r="K2501" i="4"/>
  <c r="K2502" i="4"/>
  <c r="J2503" i="4"/>
  <c r="J2504" i="4"/>
  <c r="J2505" i="4"/>
  <c r="K2520" i="4"/>
  <c r="K2542" i="4"/>
  <c r="J2565" i="4"/>
  <c r="K2578" i="4"/>
  <c r="J2579" i="4"/>
  <c r="K2580" i="4"/>
  <c r="J2592" i="4"/>
  <c r="J2593" i="4"/>
  <c r="J2594" i="4"/>
  <c r="J2595" i="4"/>
  <c r="J2610" i="4"/>
  <c r="K2611" i="4"/>
  <c r="J2618" i="4"/>
  <c r="K2619" i="4"/>
  <c r="K2620" i="4"/>
  <c r="J2621" i="4"/>
  <c r="K2647" i="4"/>
  <c r="K2657" i="4"/>
  <c r="K2680" i="4"/>
  <c r="K2683" i="4"/>
  <c r="J2707" i="4"/>
  <c r="J2708" i="4"/>
  <c r="J2709" i="4"/>
  <c r="J2710" i="4"/>
  <c r="J2722" i="4"/>
  <c r="J2735" i="4"/>
  <c r="K2736" i="4"/>
  <c r="K2737" i="4"/>
  <c r="K2742" i="4"/>
  <c r="J2760" i="4"/>
  <c r="J2769" i="4"/>
  <c r="J2770" i="4"/>
  <c r="J2771" i="4"/>
  <c r="K2772" i="4"/>
  <c r="K2809" i="4"/>
  <c r="J2815" i="4"/>
  <c r="K2828" i="4"/>
  <c r="J2830" i="4"/>
  <c r="J2835" i="4"/>
  <c r="K2836" i="4"/>
  <c r="J2851" i="4"/>
  <c r="N2851" i="4" s="1"/>
  <c r="O2851" i="4" s="1"/>
  <c r="K2855" i="4"/>
  <c r="K2874" i="4"/>
  <c r="K2875" i="4"/>
  <c r="J2876" i="4"/>
  <c r="J2877" i="4"/>
  <c r="J2878" i="4"/>
  <c r="K2879" i="4"/>
  <c r="J2896" i="4"/>
  <c r="K2897" i="4"/>
  <c r="J2899" i="4"/>
  <c r="K2901" i="4"/>
  <c r="J2902" i="4"/>
  <c r="K2903" i="4"/>
  <c r="K2904" i="4"/>
  <c r="J2905" i="4"/>
  <c r="J2906" i="4"/>
  <c r="J2908" i="4"/>
  <c r="J2909" i="4"/>
  <c r="J2910" i="4"/>
  <c r="J2911" i="4"/>
  <c r="J2912" i="4"/>
  <c r="J2913" i="4"/>
  <c r="J2932" i="4"/>
  <c r="J2941" i="4"/>
  <c r="K2942" i="4"/>
  <c r="K2952" i="4"/>
  <c r="J2953" i="4"/>
  <c r="K2954" i="4"/>
  <c r="K2955" i="4"/>
  <c r="J2956" i="4"/>
  <c r="J2957" i="4"/>
  <c r="K2975" i="4"/>
  <c r="K3000" i="4"/>
  <c r="K3005" i="4"/>
  <c r="K3044" i="4"/>
  <c r="J3054" i="4"/>
  <c r="K3055" i="4"/>
  <c r="K3060" i="4"/>
  <c r="K3061" i="4"/>
  <c r="K3066" i="4"/>
  <c r="K3091" i="4"/>
  <c r="K3092" i="4"/>
  <c r="J3094" i="4"/>
  <c r="N3094" i="4" s="1"/>
  <c r="O3094" i="4" s="1"/>
  <c r="J3107" i="4"/>
  <c r="J3108" i="4"/>
  <c r="J3115" i="4"/>
  <c r="K3116" i="4"/>
  <c r="J3125" i="4"/>
  <c r="K3126" i="4"/>
  <c r="K3127" i="4"/>
  <c r="K3137" i="4"/>
  <c r="K3138" i="4"/>
  <c r="J3166" i="4"/>
  <c r="K3179" i="4"/>
  <c r="J3180" i="4"/>
  <c r="J3206" i="4"/>
  <c r="K3207" i="4"/>
  <c r="J3213" i="4"/>
  <c r="J3214" i="4"/>
  <c r="J3215" i="4"/>
  <c r="J3216" i="4"/>
  <c r="J3217" i="4"/>
  <c r="K3234" i="4"/>
  <c r="J3245" i="4"/>
  <c r="K3246" i="4"/>
  <c r="K3247" i="4"/>
  <c r="J3248" i="4"/>
  <c r="K3255" i="4"/>
  <c r="K3256" i="4"/>
  <c r="J3259" i="4"/>
  <c r="J3272" i="4"/>
  <c r="K3277" i="4"/>
  <c r="J3278" i="4"/>
  <c r="K3287" i="4"/>
  <c r="K3288" i="4"/>
  <c r="K3289" i="4"/>
  <c r="J3290" i="4"/>
  <c r="J3291" i="4"/>
  <c r="J3292" i="4"/>
  <c r="K3293" i="4"/>
  <c r="J3299" i="4"/>
  <c r="K3300" i="4"/>
  <c r="J3301" i="4"/>
  <c r="K3323" i="4"/>
  <c r="J3336" i="4"/>
  <c r="K3352" i="4"/>
  <c r="J3353" i="4"/>
  <c r="K3364" i="4"/>
  <c r="J3370" i="4"/>
  <c r="K3371" i="4"/>
  <c r="K3375" i="4"/>
  <c r="K3376" i="4"/>
  <c r="J3398" i="4"/>
  <c r="K3399" i="4"/>
  <c r="K3400" i="4"/>
  <c r="J3401" i="4"/>
  <c r="J3402" i="4"/>
  <c r="K3413" i="4"/>
  <c r="J3422" i="4"/>
  <c r="J3423" i="4"/>
  <c r="J3424" i="4"/>
  <c r="K3425" i="4"/>
  <c r="K3426" i="4"/>
  <c r="K3427" i="4"/>
  <c r="J3428" i="4"/>
  <c r="J3429" i="4"/>
  <c r="K3430" i="4"/>
  <c r="J3436" i="4"/>
  <c r="K3438" i="4"/>
  <c r="K3461" i="4"/>
  <c r="J3462" i="4"/>
  <c r="K3463" i="4"/>
  <c r="K3464" i="4"/>
  <c r="K3469" i="4"/>
  <c r="K3481" i="4"/>
  <c r="K3482" i="4"/>
  <c r="J3483" i="4"/>
  <c r="K3487" i="4"/>
  <c r="K3498" i="4"/>
  <c r="K3499" i="4"/>
  <c r="K3506" i="4"/>
  <c r="K3507" i="4"/>
  <c r="K3521" i="4"/>
  <c r="K3526" i="4"/>
  <c r="K3527" i="4"/>
  <c r="K3528" i="4"/>
  <c r="K3529" i="4"/>
  <c r="K3538" i="4"/>
  <c r="N3538" i="4" s="1"/>
  <c r="O3538" i="4" s="1"/>
  <c r="J3539" i="4"/>
  <c r="K3540" i="4"/>
  <c r="K3545" i="4"/>
  <c r="J3546" i="4"/>
  <c r="J3547" i="4"/>
  <c r="K3548" i="4"/>
  <c r="K3549" i="4"/>
  <c r="K3566" i="4"/>
  <c r="K3567" i="4"/>
  <c r="J3573" i="4"/>
  <c r="J3578" i="4"/>
  <c r="K3579" i="4"/>
  <c r="K3580" i="4"/>
  <c r="K3581" i="4"/>
  <c r="J3584" i="4"/>
  <c r="K3585" i="4"/>
  <c r="K3586" i="4"/>
  <c r="K3607" i="4"/>
  <c r="J3608" i="4"/>
  <c r="J3609" i="4"/>
  <c r="J3610" i="4"/>
  <c r="J3611" i="4"/>
  <c r="J3612" i="4"/>
  <c r="K3617" i="4"/>
  <c r="K3618" i="4"/>
  <c r="K3619" i="4"/>
  <c r="J3620" i="4"/>
  <c r="K3621" i="4"/>
  <c r="J3622" i="4"/>
  <c r="K3623" i="4"/>
  <c r="J3624" i="4"/>
  <c r="K3628" i="4"/>
  <c r="J3635" i="4"/>
  <c r="J3636" i="4"/>
  <c r="K3640" i="4"/>
  <c r="K3655" i="4"/>
  <c r="K3660" i="4"/>
  <c r="K3669" i="4"/>
  <c r="K3678" i="4"/>
  <c r="K3684" i="4"/>
  <c r="J3685" i="4"/>
  <c r="J3687" i="4"/>
  <c r="J3698" i="4"/>
  <c r="J3699" i="4"/>
  <c r="K3720" i="4"/>
  <c r="J3729" i="4"/>
  <c r="K3730" i="4"/>
  <c r="K3741" i="4"/>
  <c r="J3766" i="4"/>
  <c r="J3767" i="4"/>
  <c r="J3777" i="4"/>
  <c r="J3778" i="4"/>
  <c r="J3792" i="4"/>
  <c r="K3796" i="4"/>
  <c r="K3800" i="4"/>
  <c r="K3810" i="4"/>
  <c r="K3811" i="4"/>
  <c r="K3826" i="4"/>
  <c r="J3840" i="4"/>
  <c r="K3841" i="4"/>
  <c r="K3848" i="4"/>
  <c r="K3849" i="4"/>
  <c r="N3849" i="4" s="1"/>
  <c r="O3849" i="4" s="1"/>
  <c r="K3862" i="4"/>
  <c r="K3863" i="4"/>
  <c r="K3864" i="4"/>
  <c r="J3873" i="4"/>
  <c r="K3898" i="4"/>
  <c r="J3899" i="4"/>
  <c r="K3900" i="4"/>
  <c r="J3901" i="4"/>
  <c r="J3902" i="4"/>
  <c r="J3903" i="4"/>
  <c r="K3904" i="4"/>
  <c r="K3905" i="4"/>
  <c r="J3919" i="4"/>
  <c r="J3920" i="4"/>
  <c r="J3943" i="4"/>
  <c r="J3965" i="4"/>
  <c r="J3966" i="4"/>
  <c r="J3967" i="4"/>
  <c r="K3975" i="4"/>
  <c r="K3988" i="4"/>
  <c r="J3989" i="4"/>
  <c r="J3995" i="4"/>
  <c r="J3996" i="4"/>
  <c r="K3997" i="4"/>
  <c r="J4016" i="4"/>
  <c r="K4021" i="4"/>
  <c r="J4022" i="4"/>
  <c r="I4102" i="6"/>
  <c r="K4102" i="6"/>
  <c r="L4102" i="6" s="1"/>
  <c r="I4105" i="6"/>
  <c r="K4105" i="6"/>
  <c r="L4105" i="6" s="1"/>
  <c r="I4104" i="6"/>
  <c r="K4104" i="6"/>
  <c r="L4104" i="6" s="1"/>
  <c r="K4103" i="6"/>
  <c r="L4103" i="6" s="1"/>
  <c r="I4103" i="6"/>
  <c r="I4101" i="6"/>
  <c r="K4101" i="6"/>
  <c r="L4101" i="6" s="1"/>
  <c r="K4094" i="6"/>
  <c r="L4094" i="6" s="1"/>
  <c r="I4094" i="6"/>
  <c r="K4085" i="6"/>
  <c r="L4085" i="6" s="1"/>
  <c r="I4085" i="6"/>
  <c r="K4083" i="6"/>
  <c r="L4083" i="6" s="1"/>
  <c r="I4083" i="6"/>
  <c r="K4095" i="6"/>
  <c r="L4095" i="6" s="1"/>
  <c r="I4095" i="6"/>
  <c r="K4093" i="6"/>
  <c r="L4093" i="6" s="1"/>
  <c r="I4093" i="6"/>
  <c r="K4092" i="6"/>
  <c r="L4092" i="6" s="1"/>
  <c r="I4092" i="6"/>
  <c r="K4096" i="6"/>
  <c r="L4096" i="6" s="1"/>
  <c r="I4096" i="6"/>
  <c r="K4088" i="6"/>
  <c r="L4088" i="6" s="1"/>
  <c r="I4088" i="6"/>
  <c r="K4082" i="6"/>
  <c r="L4082" i="6" s="1"/>
  <c r="I4082" i="6"/>
  <c r="K4080" i="6"/>
  <c r="L4080" i="6" s="1"/>
  <c r="I4080" i="6"/>
  <c r="I4090" i="6"/>
  <c r="K4090" i="6"/>
  <c r="L4090" i="6" s="1"/>
  <c r="I4089" i="6"/>
  <c r="K4089" i="6"/>
  <c r="L4089" i="6" s="1"/>
  <c r="I4100" i="6"/>
  <c r="K4100" i="6"/>
  <c r="L4100" i="6" s="1"/>
  <c r="I4087" i="6"/>
  <c r="K4087" i="6"/>
  <c r="L4087" i="6" s="1"/>
  <c r="I4086" i="6"/>
  <c r="K4086" i="6"/>
  <c r="L4086" i="6" s="1"/>
  <c r="K4099" i="6"/>
  <c r="L4099" i="6" s="1"/>
  <c r="I4099" i="6"/>
  <c r="I4084" i="6"/>
  <c r="K4084" i="6"/>
  <c r="L4084" i="6" s="1"/>
  <c r="K4098" i="6"/>
  <c r="L4098" i="6" s="1"/>
  <c r="I4098" i="6"/>
  <c r="K4097" i="6"/>
  <c r="L4097" i="6" s="1"/>
  <c r="I4097" i="6"/>
  <c r="K4081" i="6"/>
  <c r="L4081" i="6" s="1"/>
  <c r="I4081" i="6"/>
  <c r="I4091" i="6"/>
  <c r="K4091" i="6"/>
  <c r="L4091" i="6" s="1"/>
  <c r="I4079" i="6"/>
  <c r="K4079" i="6"/>
  <c r="L4079" i="6" s="1"/>
  <c r="I4078" i="6"/>
  <c r="K4078" i="6"/>
  <c r="L4078" i="6" s="1"/>
  <c r="I4061" i="6"/>
  <c r="K4061" i="6"/>
  <c r="L4061" i="6" s="1"/>
  <c r="I4006" i="6"/>
  <c r="K4006" i="6"/>
  <c r="L4006" i="6" s="1"/>
  <c r="K3961" i="6"/>
  <c r="L3961" i="6" s="1"/>
  <c r="I3961" i="6"/>
  <c r="I4003" i="6"/>
  <c r="K4003" i="6"/>
  <c r="L4003" i="6" s="1"/>
  <c r="K3971" i="6"/>
  <c r="L3971" i="6" s="1"/>
  <c r="I3971" i="6"/>
  <c r="K4049" i="6"/>
  <c r="L4049" i="6" s="1"/>
  <c r="I4049" i="6"/>
  <c r="K4048" i="6"/>
  <c r="L4048" i="6" s="1"/>
  <c r="I4048" i="6"/>
  <c r="K4001" i="6"/>
  <c r="L4001" i="6" s="1"/>
  <c r="I4001" i="6"/>
  <c r="I3974" i="6"/>
  <c r="K3974" i="6"/>
  <c r="L3974" i="6" s="1"/>
  <c r="I3983" i="6"/>
  <c r="K3983" i="6"/>
  <c r="L3983" i="6" s="1"/>
  <c r="I4066" i="6"/>
  <c r="K4066" i="6"/>
  <c r="L4066" i="6" s="1"/>
  <c r="I3972" i="6"/>
  <c r="K3972" i="6"/>
  <c r="L3972" i="6" s="1"/>
  <c r="I4013" i="6"/>
  <c r="K4013" i="6"/>
  <c r="L4013" i="6" s="1"/>
  <c r="K4019" i="6"/>
  <c r="L4019" i="6" s="1"/>
  <c r="I4019" i="6"/>
  <c r="K3996" i="6"/>
  <c r="L3996" i="6" s="1"/>
  <c r="I3996" i="6"/>
  <c r="I4054" i="6"/>
  <c r="K4054" i="6"/>
  <c r="L4054" i="6" s="1"/>
  <c r="K3988" i="6"/>
  <c r="L3988" i="6" s="1"/>
  <c r="I3988" i="6"/>
  <c r="K4051" i="6"/>
  <c r="L4051" i="6" s="1"/>
  <c r="I4051" i="6"/>
  <c r="K4070" i="6"/>
  <c r="L4070" i="6" s="1"/>
  <c r="I4070" i="6"/>
  <c r="I4020" i="6"/>
  <c r="K4020" i="6"/>
  <c r="L4020" i="6" s="1"/>
  <c r="K4016" i="6"/>
  <c r="L4016" i="6" s="1"/>
  <c r="I4016" i="6"/>
  <c r="K4060" i="6"/>
  <c r="L4060" i="6" s="1"/>
  <c r="I4060" i="6"/>
  <c r="I4041" i="6"/>
  <c r="K4041" i="6"/>
  <c r="L4041" i="6" s="1"/>
  <c r="K4055" i="6"/>
  <c r="L4055" i="6" s="1"/>
  <c r="I4055" i="6"/>
  <c r="I4015" i="6"/>
  <c r="K4015" i="6"/>
  <c r="L4015" i="6" s="1"/>
  <c r="I4004" i="6"/>
  <c r="K4004" i="6"/>
  <c r="L4004" i="6" s="1"/>
  <c r="I4009" i="6"/>
  <c r="K4009" i="6"/>
  <c r="L4009" i="6" s="1"/>
  <c r="K4005" i="6"/>
  <c r="L4005" i="6" s="1"/>
  <c r="I4005" i="6"/>
  <c r="I4052" i="6"/>
  <c r="K4052" i="6"/>
  <c r="L4052" i="6" s="1"/>
  <c r="K4076" i="6"/>
  <c r="L4076" i="6" s="1"/>
  <c r="I4076" i="6"/>
  <c r="K4022" i="6"/>
  <c r="L4022" i="6" s="1"/>
  <c r="I4022" i="6"/>
  <c r="I4012" i="6"/>
  <c r="K4012" i="6"/>
  <c r="L4012" i="6" s="1"/>
  <c r="I4039" i="6"/>
  <c r="K4039" i="6"/>
  <c r="L4039" i="6" s="1"/>
  <c r="I4043" i="6"/>
  <c r="K4043" i="6"/>
  <c r="L4043" i="6" s="1"/>
  <c r="K4002" i="6"/>
  <c r="L4002" i="6" s="1"/>
  <c r="I4002" i="6"/>
  <c r="I4062" i="6"/>
  <c r="K4062" i="6"/>
  <c r="L4062" i="6" s="1"/>
  <c r="K4034" i="6"/>
  <c r="L4034" i="6" s="1"/>
  <c r="I4034" i="6"/>
  <c r="K3991" i="6"/>
  <c r="L3991" i="6" s="1"/>
  <c r="I3991" i="6"/>
  <c r="K4065" i="6"/>
  <c r="L4065" i="6" s="1"/>
  <c r="I4065" i="6"/>
  <c r="K3986" i="6"/>
  <c r="L3986" i="6" s="1"/>
  <c r="I3986" i="6"/>
  <c r="K3985" i="6"/>
  <c r="L3985" i="6" s="1"/>
  <c r="I3985" i="6"/>
  <c r="K4067" i="6"/>
  <c r="L4067" i="6" s="1"/>
  <c r="I4067" i="6"/>
  <c r="I3977" i="6"/>
  <c r="K3977" i="6"/>
  <c r="L3977" i="6" s="1"/>
  <c r="I4025" i="6"/>
  <c r="K4025" i="6"/>
  <c r="L4025" i="6" s="1"/>
  <c r="K3973" i="6"/>
  <c r="L3973" i="6" s="1"/>
  <c r="I3973" i="6"/>
  <c r="I4018" i="6"/>
  <c r="K4018" i="6"/>
  <c r="L4018" i="6" s="1"/>
  <c r="I4050" i="6"/>
  <c r="K4050" i="6"/>
  <c r="L4050" i="6" s="1"/>
  <c r="K3969" i="6"/>
  <c r="L3969" i="6" s="1"/>
  <c r="I3969" i="6"/>
  <c r="I3968" i="6"/>
  <c r="K3968" i="6"/>
  <c r="L3968" i="6" s="1"/>
  <c r="I3966" i="6"/>
  <c r="K3966" i="6"/>
  <c r="L3966" i="6" s="1"/>
  <c r="K3965" i="6"/>
  <c r="L3965" i="6" s="1"/>
  <c r="I3965" i="6"/>
  <c r="I4008" i="6"/>
  <c r="K4008" i="6"/>
  <c r="L4008" i="6" s="1"/>
  <c r="I4030" i="6"/>
  <c r="K4030" i="6"/>
  <c r="L4030" i="6" s="1"/>
  <c r="I4029" i="6"/>
  <c r="K4029" i="6"/>
  <c r="L4029" i="6" s="1"/>
  <c r="K4028" i="6"/>
  <c r="L4028" i="6" s="1"/>
  <c r="I4028" i="6"/>
  <c r="K4027" i="6"/>
  <c r="L4027" i="6" s="1"/>
  <c r="I4027" i="6"/>
  <c r="I4026" i="6"/>
  <c r="K4026" i="6"/>
  <c r="L4026" i="6" s="1"/>
  <c r="I4024" i="6"/>
  <c r="K4024" i="6"/>
  <c r="L4024" i="6" s="1"/>
  <c r="K4023" i="6"/>
  <c r="L4023" i="6" s="1"/>
  <c r="I4023" i="6"/>
  <c r="K4021" i="6"/>
  <c r="L4021" i="6" s="1"/>
  <c r="I4021" i="6"/>
  <c r="I4017" i="6"/>
  <c r="K4017" i="6"/>
  <c r="L4017" i="6" s="1"/>
  <c r="I4077" i="6"/>
  <c r="K4077" i="6"/>
  <c r="L4077" i="6" s="1"/>
  <c r="K4075" i="6"/>
  <c r="L4075" i="6" s="1"/>
  <c r="I4075" i="6"/>
  <c r="I4014" i="6"/>
  <c r="K4014" i="6"/>
  <c r="L4014" i="6" s="1"/>
  <c r="I4074" i="6"/>
  <c r="K4074" i="6"/>
  <c r="L4074" i="6" s="1"/>
  <c r="I4073" i="6"/>
  <c r="K4073" i="6"/>
  <c r="L4073" i="6" s="1"/>
  <c r="I4011" i="6"/>
  <c r="K4011" i="6"/>
  <c r="L4011" i="6" s="1"/>
  <c r="I4010" i="6"/>
  <c r="K4010" i="6"/>
  <c r="L4010" i="6" s="1"/>
  <c r="I4072" i="6"/>
  <c r="K4072" i="6"/>
  <c r="L4072" i="6" s="1"/>
  <c r="K4071" i="6"/>
  <c r="L4071" i="6" s="1"/>
  <c r="I4071" i="6"/>
  <c r="I4007" i="6"/>
  <c r="K4007" i="6"/>
  <c r="L4007" i="6" s="1"/>
  <c r="I4069" i="6"/>
  <c r="K4069" i="6"/>
  <c r="L4069" i="6" s="1"/>
  <c r="K4068" i="6"/>
  <c r="L4068" i="6" s="1"/>
  <c r="I4068" i="6"/>
  <c r="K4064" i="6"/>
  <c r="L4064" i="6" s="1"/>
  <c r="I4064" i="6"/>
  <c r="K4063" i="6"/>
  <c r="L4063" i="6" s="1"/>
  <c r="I4063" i="6"/>
  <c r="K4059" i="6"/>
  <c r="L4059" i="6" s="1"/>
  <c r="I4059" i="6"/>
  <c r="I4031" i="6"/>
  <c r="K4031" i="6"/>
  <c r="L4031" i="6" s="1"/>
  <c r="K4058" i="6"/>
  <c r="L4058" i="6" s="1"/>
  <c r="I4058" i="6"/>
  <c r="I4000" i="6"/>
  <c r="K4000" i="6"/>
  <c r="L4000" i="6" s="1"/>
  <c r="I3999" i="6"/>
  <c r="K3999" i="6"/>
  <c r="L3999" i="6" s="1"/>
  <c r="I3998" i="6"/>
  <c r="K3998" i="6"/>
  <c r="L3998" i="6" s="1"/>
  <c r="I3997" i="6"/>
  <c r="K3997" i="6"/>
  <c r="L3997" i="6" s="1"/>
  <c r="K4057" i="6"/>
  <c r="L4057" i="6" s="1"/>
  <c r="I4057" i="6"/>
  <c r="I3995" i="6"/>
  <c r="K3995" i="6"/>
  <c r="L3995" i="6" s="1"/>
  <c r="K3994" i="6"/>
  <c r="L3994" i="6" s="1"/>
  <c r="I3994" i="6"/>
  <c r="I3993" i="6"/>
  <c r="K3993" i="6"/>
  <c r="L3993" i="6" s="1"/>
  <c r="I3992" i="6"/>
  <c r="K3992" i="6"/>
  <c r="L3992" i="6" s="1"/>
  <c r="I4056" i="6"/>
  <c r="K4056" i="6"/>
  <c r="L4056" i="6" s="1"/>
  <c r="I3990" i="6"/>
  <c r="K3990" i="6"/>
  <c r="L3990" i="6" s="1"/>
  <c r="K3989" i="6"/>
  <c r="L3989" i="6" s="1"/>
  <c r="I3989" i="6"/>
  <c r="K4053" i="6"/>
  <c r="L4053" i="6" s="1"/>
  <c r="I4053" i="6"/>
  <c r="K3987" i="6"/>
  <c r="L3987" i="6" s="1"/>
  <c r="I3987" i="6"/>
  <c r="K4047" i="6"/>
  <c r="L4047" i="6" s="1"/>
  <c r="I4047" i="6"/>
  <c r="K3984" i="6"/>
  <c r="L3984" i="6" s="1"/>
  <c r="I3984" i="6"/>
  <c r="K4046" i="6"/>
  <c r="L4046" i="6" s="1"/>
  <c r="I4046" i="6"/>
  <c r="K3982" i="6"/>
  <c r="L3982" i="6" s="1"/>
  <c r="I3982" i="6"/>
  <c r="K3981" i="6"/>
  <c r="L3981" i="6" s="1"/>
  <c r="I3981" i="6"/>
  <c r="I3980" i="6"/>
  <c r="K3980" i="6"/>
  <c r="L3980" i="6" s="1"/>
  <c r="K3979" i="6"/>
  <c r="L3979" i="6" s="1"/>
  <c r="I3979" i="6"/>
  <c r="I3978" i="6"/>
  <c r="K3978" i="6"/>
  <c r="L3978" i="6" s="1"/>
  <c r="I4045" i="6"/>
  <c r="K4045" i="6"/>
  <c r="L4045" i="6" s="1"/>
  <c r="I3976" i="6"/>
  <c r="K3976" i="6"/>
  <c r="L3976" i="6" s="1"/>
  <c r="I3975" i="6"/>
  <c r="K3975" i="6"/>
  <c r="L3975" i="6" s="1"/>
  <c r="I4044" i="6"/>
  <c r="K4044" i="6"/>
  <c r="L4044" i="6" s="1"/>
  <c r="I4042" i="6"/>
  <c r="K4042" i="6"/>
  <c r="L4042" i="6" s="1"/>
  <c r="K4040" i="6"/>
  <c r="L4040" i="6" s="1"/>
  <c r="I4040" i="6"/>
  <c r="K4038" i="6"/>
  <c r="L4038" i="6" s="1"/>
  <c r="I4038" i="6"/>
  <c r="K3970" i="6"/>
  <c r="L3970" i="6" s="1"/>
  <c r="I3970" i="6"/>
  <c r="K4037" i="6"/>
  <c r="L4037" i="6" s="1"/>
  <c r="I4037" i="6"/>
  <c r="I4036" i="6"/>
  <c r="K4036" i="6"/>
  <c r="L4036" i="6" s="1"/>
  <c r="K3967" i="6"/>
  <c r="L3967" i="6" s="1"/>
  <c r="I3967" i="6"/>
  <c r="K4035" i="6"/>
  <c r="L4035" i="6" s="1"/>
  <c r="I4035" i="6"/>
  <c r="K4033" i="6"/>
  <c r="L4033" i="6" s="1"/>
  <c r="I4033" i="6"/>
  <c r="I3964" i="6"/>
  <c r="K3964" i="6"/>
  <c r="L3964" i="6" s="1"/>
  <c r="K3963" i="6"/>
  <c r="L3963" i="6" s="1"/>
  <c r="I3963" i="6"/>
  <c r="I3962" i="6"/>
  <c r="K3962" i="6"/>
  <c r="L3962" i="6" s="1"/>
  <c r="K4032" i="6"/>
  <c r="L4032" i="6" s="1"/>
  <c r="I4032" i="6"/>
  <c r="K3960" i="6"/>
  <c r="L3960" i="6" s="1"/>
  <c r="I3960" i="6"/>
  <c r="I3959" i="6"/>
  <c r="K3959" i="6"/>
  <c r="L3959" i="6" s="1"/>
  <c r="K3958" i="6"/>
  <c r="L3958" i="6" s="1"/>
  <c r="I3958" i="6"/>
  <c r="I3957" i="6"/>
  <c r="K3957" i="6"/>
  <c r="L3957" i="6" s="1"/>
  <c r="K3956" i="6"/>
  <c r="L3956" i="6" s="1"/>
  <c r="I3956" i="6"/>
  <c r="I3955" i="6"/>
  <c r="K3955" i="6"/>
  <c r="L3955" i="6" s="1"/>
  <c r="B5" i="1"/>
  <c r="B3" i="12"/>
  <c r="I3734" i="6"/>
  <c r="K3734" i="6"/>
  <c r="L3734" i="6" s="1"/>
  <c r="K3839" i="6"/>
  <c r="L3839" i="6" s="1"/>
  <c r="I3839" i="6"/>
  <c r="K3707" i="6"/>
  <c r="L3707" i="6" s="1"/>
  <c r="I3707" i="6"/>
  <c r="K3465" i="6"/>
  <c r="L3465" i="6" s="1"/>
  <c r="I3465" i="6"/>
  <c r="K3837" i="6"/>
  <c r="L3837" i="6" s="1"/>
  <c r="I3837" i="6"/>
  <c r="I3687" i="6"/>
  <c r="K3687" i="6"/>
  <c r="L3687" i="6" s="1"/>
  <c r="K3774" i="6"/>
  <c r="L3774" i="6" s="1"/>
  <c r="I3774" i="6"/>
  <c r="I3692" i="6"/>
  <c r="K3692" i="6"/>
  <c r="L3692" i="6" s="1"/>
  <c r="I3945" i="6"/>
  <c r="K3945" i="6"/>
  <c r="L3945" i="6" s="1"/>
  <c r="K3751" i="6"/>
  <c r="L3751" i="6" s="1"/>
  <c r="I3751" i="6"/>
  <c r="I3889" i="6"/>
  <c r="K3889" i="6"/>
  <c r="L3889" i="6" s="1"/>
  <c r="I3887" i="6"/>
  <c r="K3887" i="6"/>
  <c r="L3887" i="6" s="1"/>
  <c r="K3834" i="6"/>
  <c r="L3834" i="6" s="1"/>
  <c r="I3834" i="6"/>
  <c r="K3739" i="6"/>
  <c r="L3739" i="6" s="1"/>
  <c r="I3739" i="6"/>
  <c r="K3749" i="6"/>
  <c r="L3749" i="6" s="1"/>
  <c r="I3749" i="6"/>
  <c r="K3933" i="6"/>
  <c r="L3933" i="6" s="1"/>
  <c r="I3933" i="6"/>
  <c r="K3881" i="6"/>
  <c r="L3881" i="6" s="1"/>
  <c r="I3881" i="6"/>
  <c r="K3634" i="6"/>
  <c r="L3634" i="6" s="1"/>
  <c r="I3634" i="6"/>
  <c r="K3682" i="6"/>
  <c r="L3682" i="6" s="1"/>
  <c r="I3682" i="6"/>
  <c r="I3927" i="6"/>
  <c r="K3927" i="6"/>
  <c r="L3927" i="6" s="1"/>
  <c r="K3716" i="6"/>
  <c r="L3716" i="6" s="1"/>
  <c r="I3716" i="6"/>
  <c r="I3921" i="6"/>
  <c r="K3921" i="6"/>
  <c r="L3921" i="6" s="1"/>
  <c r="I3920" i="6"/>
  <c r="K3920" i="6"/>
  <c r="L3920" i="6" s="1"/>
  <c r="I3763" i="6"/>
  <c r="K3763" i="6"/>
  <c r="L3763" i="6" s="1"/>
  <c r="K3916" i="6"/>
  <c r="L3916" i="6" s="1"/>
  <c r="I3916" i="6"/>
  <c r="K3730" i="6"/>
  <c r="L3730" i="6" s="1"/>
  <c r="I3730" i="6"/>
  <c r="I3844" i="6"/>
  <c r="K3844" i="6"/>
  <c r="L3844" i="6" s="1"/>
  <c r="K3664" i="6"/>
  <c r="L3664" i="6" s="1"/>
  <c r="I3664" i="6"/>
  <c r="I3760" i="6"/>
  <c r="K3760" i="6"/>
  <c r="L3760" i="6" s="1"/>
  <c r="K3671" i="6"/>
  <c r="L3671" i="6" s="1"/>
  <c r="I3671" i="6"/>
  <c r="K3736" i="6"/>
  <c r="L3736" i="6" s="1"/>
  <c r="I3736" i="6"/>
  <c r="K3905" i="6"/>
  <c r="L3905" i="6" s="1"/>
  <c r="I3905" i="6"/>
  <c r="K3626" i="6"/>
  <c r="L3626" i="6" s="1"/>
  <c r="I3626" i="6"/>
  <c r="K3623" i="6"/>
  <c r="L3623" i="6" s="1"/>
  <c r="I3623" i="6"/>
  <c r="I3612" i="6"/>
  <c r="K3612" i="6"/>
  <c r="L3612" i="6" s="1"/>
  <c r="I3609" i="6"/>
  <c r="K3609" i="6"/>
  <c r="L3609" i="6" s="1"/>
  <c r="I3599" i="6"/>
  <c r="K3599" i="6"/>
  <c r="L3599" i="6" s="1"/>
  <c r="K3597" i="6"/>
  <c r="L3597" i="6" s="1"/>
  <c r="I3597" i="6"/>
  <c r="K3594" i="6"/>
  <c r="L3594" i="6" s="1"/>
  <c r="I3594" i="6"/>
  <c r="I3588" i="6"/>
  <c r="K3588" i="6"/>
  <c r="L3588" i="6" s="1"/>
  <c r="K3578" i="6"/>
  <c r="L3578" i="6" s="1"/>
  <c r="I3578" i="6"/>
  <c r="K3574" i="6"/>
  <c r="L3574" i="6" s="1"/>
  <c r="I3574" i="6"/>
  <c r="K3572" i="6"/>
  <c r="L3572" i="6" s="1"/>
  <c r="I3572" i="6"/>
  <c r="I3571" i="6"/>
  <c r="K3571" i="6"/>
  <c r="L3571" i="6" s="1"/>
  <c r="I3548" i="6"/>
  <c r="K3548" i="6"/>
  <c r="L3548" i="6" s="1"/>
  <c r="I3542" i="6"/>
  <c r="K3542" i="6"/>
  <c r="L3542" i="6" s="1"/>
  <c r="I3535" i="6"/>
  <c r="K3535" i="6"/>
  <c r="L3535" i="6" s="1"/>
  <c r="I3517" i="6"/>
  <c r="K3517" i="6"/>
  <c r="L3517" i="6" s="1"/>
  <c r="K3511" i="6"/>
  <c r="L3511" i="6" s="1"/>
  <c r="I3511" i="6"/>
  <c r="K3508" i="6"/>
  <c r="L3508" i="6" s="1"/>
  <c r="I3508" i="6"/>
  <c r="K3488" i="6"/>
  <c r="L3488" i="6" s="1"/>
  <c r="I3488" i="6"/>
  <c r="I3778" i="6"/>
  <c r="K3778" i="6"/>
  <c r="L3778" i="6" s="1"/>
  <c r="K3741" i="6"/>
  <c r="L3741" i="6" s="1"/>
  <c r="I3741" i="6"/>
  <c r="I3638" i="6"/>
  <c r="K3638" i="6"/>
  <c r="L3638" i="6" s="1"/>
  <c r="K3812" i="6"/>
  <c r="L3812" i="6" s="1"/>
  <c r="I3812" i="6"/>
  <c r="K3803" i="6"/>
  <c r="L3803" i="6" s="1"/>
  <c r="I3803" i="6"/>
  <c r="I3667" i="6"/>
  <c r="K3667" i="6"/>
  <c r="L3667" i="6" s="1"/>
  <c r="I3833" i="6"/>
  <c r="K3833" i="6"/>
  <c r="L3833" i="6" s="1"/>
  <c r="K3768" i="6"/>
  <c r="L3768" i="6" s="1"/>
  <c r="I3768" i="6"/>
  <c r="K3796" i="6"/>
  <c r="L3796" i="6" s="1"/>
  <c r="I3796" i="6"/>
  <c r="K3830" i="6"/>
  <c r="L3830" i="6" s="1"/>
  <c r="I3830" i="6"/>
  <c r="K3748" i="6"/>
  <c r="L3748" i="6" s="1"/>
  <c r="I3748" i="6"/>
  <c r="K3731" i="6"/>
  <c r="L3731" i="6" s="1"/>
  <c r="I3731" i="6"/>
  <c r="K3700" i="6"/>
  <c r="L3700" i="6" s="1"/>
  <c r="I3700" i="6"/>
  <c r="I3648" i="6"/>
  <c r="K3648" i="6"/>
  <c r="L3648" i="6" s="1"/>
  <c r="K3659" i="6"/>
  <c r="L3659" i="6" s="1"/>
  <c r="I3659" i="6"/>
  <c r="K3870" i="6"/>
  <c r="L3870" i="6" s="1"/>
  <c r="I3870" i="6"/>
  <c r="K3843" i="6"/>
  <c r="L3843" i="6" s="1"/>
  <c r="I3843" i="6"/>
  <c r="K3670" i="6"/>
  <c r="L3670" i="6" s="1"/>
  <c r="I3670" i="6"/>
  <c r="I3781" i="6"/>
  <c r="K3781" i="6"/>
  <c r="L3781" i="6" s="1"/>
  <c r="K3708" i="6"/>
  <c r="L3708" i="6" s="1"/>
  <c r="I3708" i="6"/>
  <c r="K3735" i="6"/>
  <c r="L3735" i="6" s="1"/>
  <c r="I3735" i="6"/>
  <c r="K3864" i="6"/>
  <c r="L3864" i="6" s="1"/>
  <c r="I3864" i="6"/>
  <c r="I3681" i="6"/>
  <c r="K3681" i="6"/>
  <c r="L3681" i="6" s="1"/>
  <c r="K3591" i="6"/>
  <c r="L3591" i="6" s="1"/>
  <c r="I3591" i="6"/>
  <c r="K3487" i="6"/>
  <c r="L3487" i="6" s="1"/>
  <c r="I3487" i="6"/>
  <c r="I3483" i="6"/>
  <c r="K3483" i="6"/>
  <c r="L3483" i="6" s="1"/>
  <c r="K3476" i="6"/>
  <c r="L3476" i="6" s="1"/>
  <c r="I3476" i="6"/>
  <c r="I3472" i="6"/>
  <c r="K3472" i="6"/>
  <c r="L3472" i="6" s="1"/>
  <c r="I3529" i="6"/>
  <c r="K3529" i="6"/>
  <c r="L3529" i="6" s="1"/>
  <c r="I3528" i="6"/>
  <c r="K3528" i="6"/>
  <c r="L3528" i="6" s="1"/>
  <c r="K3457" i="6"/>
  <c r="L3457" i="6" s="1"/>
  <c r="I3457" i="6"/>
  <c r="K3522" i="6"/>
  <c r="L3522" i="6" s="1"/>
  <c r="I3522" i="6"/>
  <c r="I3519" i="6"/>
  <c r="K3519" i="6"/>
  <c r="L3519" i="6" s="1"/>
  <c r="K3564" i="6"/>
  <c r="L3564" i="6" s="1"/>
  <c r="I3564" i="6"/>
  <c r="I3512" i="6"/>
  <c r="K3512" i="6"/>
  <c r="L3512" i="6" s="1"/>
  <c r="K3584" i="6"/>
  <c r="L3584" i="6" s="1"/>
  <c r="I3584" i="6"/>
  <c r="K3582" i="6"/>
  <c r="L3582" i="6" s="1"/>
  <c r="I3582" i="6"/>
  <c r="I3750" i="6"/>
  <c r="K3750" i="6"/>
  <c r="L3750" i="6" s="1"/>
  <c r="I3853" i="6"/>
  <c r="K3853" i="6"/>
  <c r="L3853" i="6" s="1"/>
  <c r="I3851" i="6"/>
  <c r="K3851" i="6"/>
  <c r="L3851" i="6" s="1"/>
  <c r="I3850" i="6"/>
  <c r="K3850" i="6"/>
  <c r="L3850" i="6" s="1"/>
  <c r="I3849" i="6"/>
  <c r="K3849" i="6"/>
  <c r="L3849" i="6" s="1"/>
  <c r="K3636" i="6"/>
  <c r="L3636" i="6" s="1"/>
  <c r="I3636" i="6"/>
  <c r="I3658" i="6"/>
  <c r="K3658" i="6"/>
  <c r="L3658" i="6" s="1"/>
  <c r="K3657" i="6"/>
  <c r="L3657" i="6" s="1"/>
  <c r="I3657" i="6"/>
  <c r="I3743" i="6"/>
  <c r="K3743" i="6"/>
  <c r="L3743" i="6" s="1"/>
  <c r="K3742" i="6"/>
  <c r="L3742" i="6" s="1"/>
  <c r="I3742" i="6"/>
  <c r="I3835" i="6"/>
  <c r="K3835" i="6"/>
  <c r="L3835" i="6" s="1"/>
  <c r="K3831" i="6"/>
  <c r="L3831" i="6" s="1"/>
  <c r="I3831" i="6"/>
  <c r="I3829" i="6"/>
  <c r="K3829" i="6"/>
  <c r="L3829" i="6" s="1"/>
  <c r="K3635" i="6"/>
  <c r="L3635" i="6" s="1"/>
  <c r="I3635" i="6"/>
  <c r="I3737" i="6"/>
  <c r="K3737" i="6"/>
  <c r="L3737" i="6" s="1"/>
  <c r="K3655" i="6"/>
  <c r="L3655" i="6" s="1"/>
  <c r="I3655" i="6"/>
  <c r="K3821" i="6"/>
  <c r="L3821" i="6" s="1"/>
  <c r="I3821" i="6"/>
  <c r="I3818" i="6"/>
  <c r="K3818" i="6"/>
  <c r="L3818" i="6" s="1"/>
  <c r="K3817" i="6"/>
  <c r="L3817" i="6" s="1"/>
  <c r="I3817" i="6"/>
  <c r="K3640" i="6"/>
  <c r="L3640" i="6" s="1"/>
  <c r="I3640" i="6"/>
  <c r="I3814" i="6"/>
  <c r="K3814" i="6"/>
  <c r="L3814" i="6" s="1"/>
  <c r="K3727" i="6"/>
  <c r="L3727" i="6" s="1"/>
  <c r="I3727" i="6"/>
  <c r="I3712" i="6"/>
  <c r="K3712" i="6"/>
  <c r="L3712" i="6" s="1"/>
  <c r="I3954" i="6"/>
  <c r="K3954" i="6"/>
  <c r="L3954" i="6" s="1"/>
  <c r="K3680" i="6"/>
  <c r="L3680" i="6" s="1"/>
  <c r="I3680" i="6"/>
  <c r="K3652" i="6"/>
  <c r="L3652" i="6" s="1"/>
  <c r="I3652" i="6"/>
  <c r="I3807" i="6"/>
  <c r="K3807" i="6"/>
  <c r="L3807" i="6" s="1"/>
  <c r="I3651" i="6"/>
  <c r="K3651" i="6"/>
  <c r="L3651" i="6" s="1"/>
  <c r="I3952" i="6"/>
  <c r="K3952" i="6"/>
  <c r="L3952" i="6" s="1"/>
  <c r="I3621" i="6"/>
  <c r="K3621" i="6"/>
  <c r="L3621" i="6" s="1"/>
  <c r="K3619" i="6"/>
  <c r="L3619" i="6" s="1"/>
  <c r="I3619" i="6"/>
  <c r="I3616" i="6"/>
  <c r="K3616" i="6"/>
  <c r="L3616" i="6" s="1"/>
  <c r="I3951" i="6"/>
  <c r="K3951" i="6"/>
  <c r="L3951" i="6" s="1"/>
  <c r="I3610" i="6"/>
  <c r="K3610" i="6"/>
  <c r="L3610" i="6" s="1"/>
  <c r="I3950" i="6"/>
  <c r="K3950" i="6"/>
  <c r="L3950" i="6" s="1"/>
  <c r="I3605" i="6"/>
  <c r="K3605" i="6"/>
  <c r="L3605" i="6" s="1"/>
  <c r="K3604" i="6"/>
  <c r="L3604" i="6" s="1"/>
  <c r="I3604" i="6"/>
  <c r="K3949" i="6"/>
  <c r="L3949" i="6" s="1"/>
  <c r="I3949" i="6"/>
  <c r="K3948" i="6"/>
  <c r="L3948" i="6" s="1"/>
  <c r="I3948" i="6"/>
  <c r="I3805" i="6"/>
  <c r="K3805" i="6"/>
  <c r="L3805" i="6" s="1"/>
  <c r="I3593" i="6"/>
  <c r="K3593" i="6"/>
  <c r="L3593" i="6" s="1"/>
  <c r="K3592" i="6"/>
  <c r="L3592" i="6" s="1"/>
  <c r="I3592" i="6"/>
  <c r="K3722" i="6"/>
  <c r="L3722" i="6" s="1"/>
  <c r="I3722" i="6"/>
  <c r="I3944" i="6"/>
  <c r="K3944" i="6"/>
  <c r="L3944" i="6" s="1"/>
  <c r="K3587" i="6"/>
  <c r="L3587" i="6" s="1"/>
  <c r="I3587" i="6"/>
  <c r="I3585" i="6"/>
  <c r="K3585" i="6"/>
  <c r="L3585" i="6" s="1"/>
  <c r="I3721" i="6"/>
  <c r="K3721" i="6"/>
  <c r="L3721" i="6" s="1"/>
  <c r="I3677" i="6"/>
  <c r="K3677" i="6"/>
  <c r="L3677" i="6" s="1"/>
  <c r="K3580" i="6"/>
  <c r="L3580" i="6" s="1"/>
  <c r="I3580" i="6"/>
  <c r="K3676" i="6"/>
  <c r="L3676" i="6" s="1"/>
  <c r="I3676" i="6"/>
  <c r="I3575" i="6"/>
  <c r="K3575" i="6"/>
  <c r="L3575" i="6" s="1"/>
  <c r="I3939" i="6"/>
  <c r="K3939" i="6"/>
  <c r="L3939" i="6" s="1"/>
  <c r="K3799" i="6"/>
  <c r="L3799" i="6" s="1"/>
  <c r="I3799" i="6"/>
  <c r="K3718" i="6"/>
  <c r="L3718" i="6" s="1"/>
  <c r="I3718" i="6"/>
  <c r="I3568" i="6"/>
  <c r="K3568" i="6"/>
  <c r="L3568" i="6" s="1"/>
  <c r="I3567" i="6"/>
  <c r="K3567" i="6"/>
  <c r="L3567" i="6" s="1"/>
  <c r="I3936" i="6"/>
  <c r="K3936" i="6"/>
  <c r="L3936" i="6" s="1"/>
  <c r="I3563" i="6"/>
  <c r="K3563" i="6"/>
  <c r="L3563" i="6" s="1"/>
  <c r="I3562" i="6"/>
  <c r="K3562" i="6"/>
  <c r="L3562" i="6" s="1"/>
  <c r="I3561" i="6"/>
  <c r="K3561" i="6"/>
  <c r="L3561" i="6" s="1"/>
  <c r="I3551" i="6"/>
  <c r="K3551" i="6"/>
  <c r="L3551" i="6" s="1"/>
  <c r="I3550" i="6"/>
  <c r="K3550" i="6"/>
  <c r="L3550" i="6" s="1"/>
  <c r="K3797" i="6"/>
  <c r="L3797" i="6" s="1"/>
  <c r="I3797" i="6"/>
  <c r="K3544" i="6"/>
  <c r="L3544" i="6" s="1"/>
  <c r="I3544" i="6"/>
  <c r="I3543" i="6"/>
  <c r="K3543" i="6"/>
  <c r="L3543" i="6" s="1"/>
  <c r="I3934" i="6"/>
  <c r="K3934" i="6"/>
  <c r="L3934" i="6" s="1"/>
  <c r="K3537" i="6"/>
  <c r="L3537" i="6" s="1"/>
  <c r="I3537" i="6"/>
  <c r="I3536" i="6"/>
  <c r="K3536" i="6"/>
  <c r="L3536" i="6" s="1"/>
  <c r="I3795" i="6"/>
  <c r="K3795" i="6"/>
  <c r="L3795" i="6" s="1"/>
  <c r="K3534" i="6"/>
  <c r="L3534" i="6" s="1"/>
  <c r="I3534" i="6"/>
  <c r="K3533" i="6"/>
  <c r="L3533" i="6" s="1"/>
  <c r="I3533" i="6"/>
  <c r="K3530" i="6"/>
  <c r="L3530" i="6" s="1"/>
  <c r="I3530" i="6"/>
  <c r="I3639" i="6"/>
  <c r="K3639" i="6"/>
  <c r="L3639" i="6" s="1"/>
  <c r="K3793" i="6"/>
  <c r="L3793" i="6" s="1"/>
  <c r="I3793" i="6"/>
  <c r="I3928" i="6"/>
  <c r="K3928" i="6"/>
  <c r="L3928" i="6" s="1"/>
  <c r="K3521" i="6"/>
  <c r="L3521" i="6" s="1"/>
  <c r="I3521" i="6"/>
  <c r="K3715" i="6"/>
  <c r="L3715" i="6" s="1"/>
  <c r="I3715" i="6"/>
  <c r="K3924" i="6"/>
  <c r="L3924" i="6" s="1"/>
  <c r="I3924" i="6"/>
  <c r="K3514" i="6"/>
  <c r="L3514" i="6" s="1"/>
  <c r="I3514" i="6"/>
  <c r="K3649" i="6"/>
  <c r="L3649" i="6" s="1"/>
  <c r="I3649" i="6"/>
  <c r="K3510" i="6"/>
  <c r="L3510" i="6" s="1"/>
  <c r="I3510" i="6"/>
  <c r="K3787" i="6"/>
  <c r="L3787" i="6" s="1"/>
  <c r="I3787" i="6"/>
  <c r="I3507" i="6"/>
  <c r="K3507" i="6"/>
  <c r="L3507" i="6" s="1"/>
  <c r="I3505" i="6"/>
  <c r="K3505" i="6"/>
  <c r="L3505" i="6" s="1"/>
  <c r="I3504" i="6"/>
  <c r="K3504" i="6"/>
  <c r="L3504" i="6" s="1"/>
  <c r="I3500" i="6"/>
  <c r="K3500" i="6"/>
  <c r="L3500" i="6" s="1"/>
  <c r="K3489" i="6"/>
  <c r="L3489" i="6" s="1"/>
  <c r="I3489" i="6"/>
  <c r="K3917" i="6"/>
  <c r="L3917" i="6" s="1"/>
  <c r="I3917" i="6"/>
  <c r="I3672" i="6"/>
  <c r="K3672" i="6"/>
  <c r="L3672" i="6" s="1"/>
  <c r="K3914" i="6"/>
  <c r="L3914" i="6" s="1"/>
  <c r="I3914" i="6"/>
  <c r="I3477" i="6"/>
  <c r="K3477" i="6"/>
  <c r="L3477" i="6" s="1"/>
  <c r="I3785" i="6"/>
  <c r="K3785" i="6"/>
  <c r="L3785" i="6" s="1"/>
  <c r="K3475" i="6"/>
  <c r="L3475" i="6" s="1"/>
  <c r="I3475" i="6"/>
  <c r="I3784" i="6"/>
  <c r="K3784" i="6"/>
  <c r="L3784" i="6" s="1"/>
  <c r="K3469" i="6"/>
  <c r="L3469" i="6" s="1"/>
  <c r="I3469" i="6"/>
  <c r="K3467" i="6"/>
  <c r="L3467" i="6" s="1"/>
  <c r="I3467" i="6"/>
  <c r="I3911" i="6"/>
  <c r="K3911" i="6"/>
  <c r="L3911" i="6" s="1"/>
  <c r="K3909" i="6"/>
  <c r="L3909" i="6" s="1"/>
  <c r="I3909" i="6"/>
  <c r="K3462" i="6"/>
  <c r="L3462" i="6" s="1"/>
  <c r="I3462" i="6"/>
  <c r="K3458" i="6"/>
  <c r="L3458" i="6" s="1"/>
  <c r="I3458" i="6"/>
  <c r="I3907" i="6"/>
  <c r="K3907" i="6"/>
  <c r="L3907" i="6" s="1"/>
  <c r="K3779" i="6"/>
  <c r="L3779" i="6" s="1"/>
  <c r="I3779" i="6"/>
  <c r="K3902" i="6"/>
  <c r="L3902" i="6" s="1"/>
  <c r="I3902" i="6"/>
  <c r="K3777" i="6"/>
  <c r="L3777" i="6" s="1"/>
  <c r="I3777" i="6"/>
  <c r="K3899" i="6"/>
  <c r="L3899" i="6" s="1"/>
  <c r="I3899" i="6"/>
  <c r="K3897" i="6"/>
  <c r="L3897" i="6" s="1"/>
  <c r="I3897" i="6"/>
  <c r="I3896" i="6"/>
  <c r="K3896" i="6"/>
  <c r="L3896" i="6" s="1"/>
  <c r="I3669" i="6"/>
  <c r="K3669" i="6"/>
  <c r="L3669" i="6" s="1"/>
  <c r="K3893" i="6"/>
  <c r="L3893" i="6" s="1"/>
  <c r="I3893" i="6"/>
  <c r="I3772" i="6"/>
  <c r="K3772" i="6"/>
  <c r="L3772" i="6" s="1"/>
  <c r="K3771" i="6"/>
  <c r="L3771" i="6" s="1"/>
  <c r="I3771" i="6"/>
  <c r="K3637" i="6"/>
  <c r="L3637" i="6" s="1"/>
  <c r="I3637" i="6"/>
  <c r="K3885" i="6"/>
  <c r="L3885" i="6" s="1"/>
  <c r="I3885" i="6"/>
  <c r="I3884" i="6"/>
  <c r="K3884" i="6"/>
  <c r="L3884" i="6" s="1"/>
  <c r="I3883" i="6"/>
  <c r="K3883" i="6"/>
  <c r="L3883" i="6" s="1"/>
  <c r="I3767" i="6"/>
  <c r="K3767" i="6"/>
  <c r="L3767" i="6" s="1"/>
  <c r="I3702" i="6"/>
  <c r="K3702" i="6"/>
  <c r="L3702" i="6" s="1"/>
  <c r="K3878" i="6"/>
  <c r="L3878" i="6" s="1"/>
  <c r="I3878" i="6"/>
  <c r="K3877" i="6"/>
  <c r="L3877" i="6" s="1"/>
  <c r="I3877" i="6"/>
  <c r="I3811" i="6"/>
  <c r="K3811" i="6"/>
  <c r="L3811" i="6" s="1"/>
  <c r="I3701" i="6"/>
  <c r="K3701" i="6"/>
  <c r="L3701" i="6" s="1"/>
  <c r="I3873" i="6"/>
  <c r="K3873" i="6"/>
  <c r="L3873" i="6" s="1"/>
  <c r="K3665" i="6"/>
  <c r="L3665" i="6" s="1"/>
  <c r="I3665" i="6"/>
  <c r="I3871" i="6"/>
  <c r="K3871" i="6"/>
  <c r="L3871" i="6" s="1"/>
  <c r="K3645" i="6"/>
  <c r="L3645" i="6" s="1"/>
  <c r="I3645" i="6"/>
  <c r="I3866" i="6"/>
  <c r="K3866" i="6"/>
  <c r="L3866" i="6" s="1"/>
  <c r="I3758" i="6"/>
  <c r="K3758" i="6"/>
  <c r="L3758" i="6" s="1"/>
  <c r="I3696" i="6"/>
  <c r="K3696" i="6"/>
  <c r="L3696" i="6" s="1"/>
  <c r="K3662" i="6"/>
  <c r="L3662" i="6" s="1"/>
  <c r="I3662" i="6"/>
  <c r="K3644" i="6"/>
  <c r="L3644" i="6" s="1"/>
  <c r="I3644" i="6"/>
  <c r="I3693" i="6"/>
  <c r="K3693" i="6"/>
  <c r="L3693" i="6" s="1"/>
  <c r="K3753" i="6"/>
  <c r="L3753" i="6" s="1"/>
  <c r="I3753" i="6"/>
  <c r="I3703" i="6"/>
  <c r="K3703" i="6"/>
  <c r="L3703" i="6" s="1"/>
  <c r="I3699" i="6"/>
  <c r="K3699" i="6"/>
  <c r="L3699" i="6" s="1"/>
  <c r="I3698" i="6"/>
  <c r="K3698" i="6"/>
  <c r="L3698" i="6" s="1"/>
  <c r="I3697" i="6"/>
  <c r="K3697" i="6"/>
  <c r="L3697" i="6" s="1"/>
  <c r="I3695" i="6"/>
  <c r="K3695" i="6"/>
  <c r="L3695" i="6" s="1"/>
  <c r="I3694" i="6"/>
  <c r="K3694" i="6"/>
  <c r="L3694" i="6" s="1"/>
  <c r="K3691" i="6"/>
  <c r="L3691" i="6" s="1"/>
  <c r="I3691" i="6"/>
  <c r="K3385" i="6"/>
  <c r="L3385" i="6" s="1"/>
  <c r="I3385" i="6"/>
  <c r="I3453" i="6"/>
  <c r="K3453" i="6"/>
  <c r="L3453" i="6" s="1"/>
  <c r="K3451" i="6"/>
  <c r="L3451" i="6" s="1"/>
  <c r="I3451" i="6"/>
  <c r="K3446" i="6"/>
  <c r="L3446" i="6" s="1"/>
  <c r="I3446" i="6"/>
  <c r="I3445" i="6"/>
  <c r="K3445" i="6"/>
  <c r="L3445" i="6" s="1"/>
  <c r="I3444" i="6"/>
  <c r="K3444" i="6"/>
  <c r="L3444" i="6" s="1"/>
  <c r="I3442" i="6"/>
  <c r="K3442" i="6"/>
  <c r="L3442" i="6" s="1"/>
  <c r="K3425" i="6"/>
  <c r="L3425" i="6" s="1"/>
  <c r="I3425" i="6"/>
  <c r="K3423" i="6"/>
  <c r="L3423" i="6" s="1"/>
  <c r="I3423" i="6"/>
  <c r="K3419" i="6"/>
  <c r="L3419" i="6" s="1"/>
  <c r="I3419" i="6"/>
  <c r="I3414" i="6"/>
  <c r="K3414" i="6"/>
  <c r="L3414" i="6" s="1"/>
  <c r="I3413" i="6"/>
  <c r="K3413" i="6"/>
  <c r="L3413" i="6" s="1"/>
  <c r="I3411" i="6"/>
  <c r="K3411" i="6"/>
  <c r="L3411" i="6" s="1"/>
  <c r="K3403" i="6"/>
  <c r="L3403" i="6" s="1"/>
  <c r="I3403" i="6"/>
  <c r="K3392" i="6"/>
  <c r="L3392" i="6" s="1"/>
  <c r="I3392" i="6"/>
  <c r="I3381" i="6"/>
  <c r="K3381" i="6"/>
  <c r="L3381" i="6" s="1"/>
  <c r="K3364" i="6"/>
  <c r="L3364" i="6" s="1"/>
  <c r="I3364" i="6"/>
  <c r="K3339" i="6"/>
  <c r="L3339" i="6" s="1"/>
  <c r="I3339" i="6"/>
  <c r="K3314" i="6"/>
  <c r="L3314" i="6" s="1"/>
  <c r="I3314" i="6"/>
  <c r="K3310" i="6"/>
  <c r="L3310" i="6" s="1"/>
  <c r="I3310" i="6"/>
  <c r="K3307" i="6"/>
  <c r="L3307" i="6" s="1"/>
  <c r="I3307" i="6"/>
  <c r="I3301" i="6"/>
  <c r="K3301" i="6"/>
  <c r="L3301" i="6" s="1"/>
  <c r="K3437" i="6"/>
  <c r="L3437" i="6" s="1"/>
  <c r="I3437" i="6"/>
  <c r="I3432" i="6"/>
  <c r="K3432" i="6"/>
  <c r="L3432" i="6" s="1"/>
  <c r="K3406" i="6"/>
  <c r="L3406" i="6" s="1"/>
  <c r="I3406" i="6"/>
  <c r="K3373" i="6"/>
  <c r="L3373" i="6" s="1"/>
  <c r="I3373" i="6"/>
  <c r="I3363" i="6"/>
  <c r="K3363" i="6"/>
  <c r="L3363" i="6" s="1"/>
  <c r="K3347" i="6"/>
  <c r="L3347" i="6" s="1"/>
  <c r="I3347" i="6"/>
  <c r="I3338" i="6"/>
  <c r="K3338" i="6"/>
  <c r="L3338" i="6" s="1"/>
  <c r="I3336" i="6"/>
  <c r="K3336" i="6"/>
  <c r="L3336" i="6" s="1"/>
  <c r="I3319" i="6"/>
  <c r="K3319" i="6"/>
  <c r="L3319" i="6" s="1"/>
  <c r="K3312" i="6"/>
  <c r="L3312" i="6" s="1"/>
  <c r="I3312" i="6"/>
  <c r="K3441" i="6"/>
  <c r="L3441" i="6" s="1"/>
  <c r="I3441" i="6"/>
  <c r="I3454" i="6"/>
  <c r="K3454" i="6"/>
  <c r="L3454" i="6" s="1"/>
  <c r="K3439" i="6"/>
  <c r="L3439" i="6" s="1"/>
  <c r="I3439" i="6"/>
  <c r="K3435" i="6"/>
  <c r="L3435" i="6" s="1"/>
  <c r="I3435" i="6"/>
  <c r="I3429" i="6"/>
  <c r="K3429" i="6"/>
  <c r="L3429" i="6" s="1"/>
  <c r="K3426" i="6"/>
  <c r="L3426" i="6" s="1"/>
  <c r="I3426" i="6"/>
  <c r="I3421" i="6"/>
  <c r="K3421" i="6"/>
  <c r="L3421" i="6" s="1"/>
  <c r="K3420" i="6"/>
  <c r="L3420" i="6" s="1"/>
  <c r="I3420" i="6"/>
  <c r="I3410" i="6"/>
  <c r="K3410" i="6"/>
  <c r="L3410" i="6" s="1"/>
  <c r="I3408" i="6"/>
  <c r="K3408" i="6"/>
  <c r="L3408" i="6" s="1"/>
  <c r="I3396" i="6"/>
  <c r="K3396" i="6"/>
  <c r="L3396" i="6" s="1"/>
  <c r="K3391" i="6"/>
  <c r="L3391" i="6" s="1"/>
  <c r="I3391" i="6"/>
  <c r="I3384" i="6"/>
  <c r="K3384" i="6"/>
  <c r="L3384" i="6" s="1"/>
  <c r="K3380" i="6"/>
  <c r="L3380" i="6" s="1"/>
  <c r="I3380" i="6"/>
  <c r="K3371" i="6"/>
  <c r="L3371" i="6" s="1"/>
  <c r="I3371" i="6"/>
  <c r="K3370" i="6"/>
  <c r="L3370" i="6" s="1"/>
  <c r="I3370" i="6"/>
  <c r="K3369" i="6"/>
  <c r="L3369" i="6" s="1"/>
  <c r="I3369" i="6"/>
  <c r="I3366" i="6"/>
  <c r="K3366" i="6"/>
  <c r="L3366" i="6" s="1"/>
  <c r="I3365" i="6"/>
  <c r="K3365" i="6"/>
  <c r="L3365" i="6" s="1"/>
  <c r="K3359" i="6"/>
  <c r="L3359" i="6" s="1"/>
  <c r="I3359" i="6"/>
  <c r="I3355" i="6"/>
  <c r="K3355" i="6"/>
  <c r="L3355" i="6" s="1"/>
  <c r="K3349" i="6"/>
  <c r="L3349" i="6" s="1"/>
  <c r="I3349" i="6"/>
  <c r="I3344" i="6"/>
  <c r="K3344" i="6"/>
  <c r="L3344" i="6" s="1"/>
  <c r="K3342" i="6"/>
  <c r="L3342" i="6" s="1"/>
  <c r="I3342" i="6"/>
  <c r="I3340" i="6"/>
  <c r="K3340" i="6"/>
  <c r="L3340" i="6" s="1"/>
  <c r="K3334" i="6"/>
  <c r="L3334" i="6" s="1"/>
  <c r="I3334" i="6"/>
  <c r="K3329" i="6"/>
  <c r="L3329" i="6" s="1"/>
  <c r="I3329" i="6"/>
  <c r="I3327" i="6"/>
  <c r="K3327" i="6"/>
  <c r="L3327" i="6" s="1"/>
  <c r="I3322" i="6"/>
  <c r="K3322" i="6"/>
  <c r="L3322" i="6" s="1"/>
  <c r="K3321" i="6"/>
  <c r="L3321" i="6" s="1"/>
  <c r="I3321" i="6"/>
  <c r="I3320" i="6"/>
  <c r="K3320" i="6"/>
  <c r="L3320" i="6" s="1"/>
  <c r="I3318" i="6"/>
  <c r="K3318" i="6"/>
  <c r="L3318" i="6" s="1"/>
  <c r="I3303" i="6"/>
  <c r="K3303" i="6"/>
  <c r="L3303" i="6" s="1"/>
  <c r="I3302" i="6"/>
  <c r="K3302" i="6"/>
  <c r="L3302" i="6" s="1"/>
  <c r="J2472" i="4"/>
  <c r="J2483" i="4"/>
  <c r="J2486" i="4"/>
  <c r="J2497" i="4"/>
  <c r="K2565" i="4"/>
  <c r="J2570" i="4"/>
  <c r="K2596" i="4"/>
  <c r="K2617" i="4"/>
  <c r="J2639" i="4"/>
  <c r="J2698" i="4"/>
  <c r="J2728" i="4"/>
  <c r="J2731" i="4"/>
  <c r="J2755" i="4"/>
  <c r="K2763" i="4"/>
  <c r="K2792" i="4"/>
  <c r="J2798" i="4"/>
  <c r="J2805" i="4"/>
  <c r="J2836" i="4"/>
  <c r="K2848" i="4"/>
  <c r="J2931" i="4"/>
  <c r="J2951" i="4"/>
  <c r="J3017" i="4"/>
  <c r="J3026" i="4"/>
  <c r="K3088" i="4"/>
  <c r="K3095" i="4"/>
  <c r="K3129" i="4"/>
  <c r="K3180" i="4"/>
  <c r="J3207" i="4"/>
  <c r="K3214" i="4"/>
  <c r="J3233" i="4"/>
  <c r="J3275" i="4"/>
  <c r="K3283" i="4"/>
  <c r="K3319" i="4"/>
  <c r="J3346" i="4"/>
  <c r="J3371" i="4"/>
  <c r="J3382" i="4"/>
  <c r="K3389" i="4"/>
  <c r="K3397" i="4"/>
  <c r="J3409" i="4"/>
  <c r="K3446" i="4"/>
  <c r="K3449" i="4"/>
  <c r="J3455" i="4"/>
  <c r="J3458" i="4"/>
  <c r="J3506" i="4"/>
  <c r="K3522" i="4"/>
  <c r="J3577" i="4"/>
  <c r="J3588" i="4"/>
  <c r="K3641" i="4"/>
  <c r="J3646" i="4"/>
  <c r="J3712" i="4"/>
  <c r="J3715" i="4"/>
  <c r="K3725" i="4"/>
  <c r="K3744" i="4"/>
  <c r="K3765" i="4"/>
  <c r="J3768" i="4"/>
  <c r="K3803" i="4"/>
  <c r="J3809" i="4"/>
  <c r="J3864" i="4"/>
  <c r="K3884" i="4"/>
  <c r="K3924" i="4"/>
  <c r="J3956" i="4"/>
  <c r="J3968" i="4"/>
  <c r="J3982" i="4"/>
  <c r="K3991" i="4"/>
  <c r="K3998" i="4"/>
  <c r="J4001" i="4"/>
  <c r="J4023" i="4"/>
  <c r="K4071" i="4"/>
  <c r="J4097" i="4"/>
  <c r="K4145" i="4"/>
  <c r="K4186" i="4"/>
  <c r="K4197" i="4"/>
  <c r="J4199" i="4"/>
  <c r="K4246" i="4"/>
  <c r="J4260" i="4"/>
  <c r="J4263" i="4"/>
  <c r="J4321" i="4"/>
  <c r="J4330" i="4"/>
  <c r="K4356" i="4"/>
  <c r="K4359" i="4"/>
  <c r="K4377" i="4"/>
  <c r="K4380" i="4"/>
  <c r="J4384" i="4"/>
  <c r="K4391" i="4"/>
  <c r="K4411" i="4"/>
  <c r="K4440" i="4"/>
  <c r="K4472" i="4"/>
  <c r="J4499" i="4"/>
  <c r="K4510" i="4"/>
  <c r="K4543" i="4"/>
  <c r="K4546" i="4"/>
  <c r="K4549" i="4"/>
  <c r="J4551" i="4"/>
  <c r="J4596" i="4"/>
  <c r="K4599" i="4"/>
  <c r="K4651" i="4"/>
  <c r="K4661" i="4"/>
  <c r="J4672" i="4"/>
  <c r="J4675" i="4"/>
  <c r="K4706" i="4"/>
  <c r="K4725" i="4"/>
  <c r="K4767" i="4"/>
  <c r="J4770" i="4"/>
  <c r="J4896" i="4"/>
  <c r="K4921" i="4"/>
  <c r="J4936" i="4"/>
  <c r="J4949" i="4"/>
  <c r="J4960" i="4"/>
  <c r="J4998" i="4"/>
  <c r="K5016" i="4"/>
  <c r="K5035" i="4"/>
  <c r="K5041" i="4"/>
  <c r="K5067" i="4"/>
  <c r="K5103" i="4"/>
  <c r="K5106" i="4"/>
  <c r="K5123" i="4"/>
  <c r="K5144" i="4"/>
  <c r="K5157" i="4"/>
  <c r="K5163" i="4"/>
  <c r="J5177" i="4"/>
  <c r="J5200" i="4"/>
  <c r="J5828" i="4"/>
  <c r="K5835" i="4"/>
  <c r="J5857" i="4"/>
  <c r="K4885" i="4"/>
  <c r="K4905" i="4"/>
  <c r="K4950" i="4"/>
  <c r="K4984" i="4"/>
  <c r="K5011" i="4"/>
  <c r="J5034" i="4"/>
  <c r="K5036" i="4"/>
  <c r="J5047" i="4"/>
  <c r="J2451" i="4"/>
  <c r="J2466" i="4"/>
  <c r="J2470" i="4"/>
  <c r="J2474" i="4"/>
  <c r="K2485" i="4"/>
  <c r="K2567" i="4"/>
  <c r="K2581" i="4"/>
  <c r="J2588" i="4"/>
  <c r="K2591" i="4"/>
  <c r="K2598" i="4"/>
  <c r="J2624" i="4"/>
  <c r="K2628" i="4"/>
  <c r="K2701" i="4"/>
  <c r="K2722" i="4"/>
  <c r="J2729" i="4"/>
  <c r="J2732" i="4"/>
  <c r="J2756" i="4"/>
  <c r="J2790" i="4"/>
  <c r="K2793" i="4"/>
  <c r="K2810" i="4"/>
  <c r="K2819" i="4"/>
  <c r="K2837" i="4"/>
  <c r="K2861" i="4"/>
  <c r="J2864" i="4"/>
  <c r="J2894" i="4"/>
  <c r="K2980" i="4"/>
  <c r="K2995" i="4"/>
  <c r="J3000" i="4"/>
  <c r="K3025" i="4"/>
  <c r="K3028" i="4"/>
  <c r="J3045" i="4"/>
  <c r="J3128" i="4"/>
  <c r="K3175" i="4"/>
  <c r="K3196" i="4"/>
  <c r="K3209" i="4"/>
  <c r="J3231" i="4"/>
  <c r="J3243" i="4"/>
  <c r="J3249" i="4"/>
  <c r="J3295" i="4"/>
  <c r="K3317" i="4"/>
  <c r="K3332" i="4"/>
  <c r="K3351" i="4"/>
  <c r="J3361" i="4"/>
  <c r="J3364" i="4"/>
  <c r="J3373" i="4"/>
  <c r="J3387" i="4"/>
  <c r="K5088" i="4"/>
  <c r="J3396" i="4"/>
  <c r="J3408" i="4"/>
  <c r="K3411" i="4"/>
  <c r="K3436" i="4"/>
  <c r="K3439" i="4"/>
  <c r="K3448" i="4"/>
  <c r="J3456" i="4"/>
  <c r="J3507" i="4"/>
  <c r="J3523" i="4"/>
  <c r="J3530" i="4"/>
  <c r="K3562" i="4"/>
  <c r="K3582" i="4"/>
  <c r="J3589" i="4"/>
  <c r="K3629" i="4"/>
  <c r="J3711" i="4"/>
  <c r="J3714" i="4"/>
  <c r="J3764" i="4"/>
  <c r="K3767" i="4"/>
  <c r="K3777" i="4"/>
  <c r="K3817" i="4"/>
  <c r="J3825" i="4"/>
  <c r="J3839" i="4"/>
  <c r="K3883" i="4"/>
  <c r="K3909" i="4"/>
  <c r="J3912" i="4"/>
  <c r="K3959" i="4"/>
  <c r="K3966" i="4"/>
  <c r="K3974" i="4"/>
  <c r="J3985" i="4"/>
  <c r="K3996" i="4"/>
  <c r="K3999" i="4"/>
  <c r="J4012" i="4"/>
  <c r="K4187" i="4"/>
  <c r="K4198" i="4"/>
  <c r="J4261" i="4"/>
  <c r="K4268" i="4"/>
  <c r="K4282" i="4"/>
  <c r="J4290" i="4"/>
  <c r="K4322" i="4"/>
  <c r="J4353" i="4"/>
  <c r="K4357" i="4"/>
  <c r="J4375" i="4"/>
  <c r="J4378" i="4"/>
  <c r="J4434" i="4"/>
  <c r="J4439" i="4"/>
  <c r="K4471" i="4"/>
  <c r="K4511" i="4"/>
  <c r="J4544" i="4"/>
  <c r="J4560" i="4"/>
  <c r="J4584" i="4"/>
  <c r="J4595" i="4"/>
  <c r="J4597" i="4"/>
  <c r="J4600" i="4"/>
  <c r="J4645" i="4"/>
  <c r="K4673" i="4"/>
  <c r="J4676" i="4"/>
  <c r="K4737" i="4"/>
  <c r="J4752" i="4"/>
  <c r="J4769" i="4"/>
  <c r="J4792" i="4"/>
  <c r="K4864" i="4"/>
  <c r="K4890" i="4"/>
  <c r="J4915" i="4"/>
  <c r="J4935" i="4"/>
  <c r="K4943" i="4"/>
  <c r="J4961" i="4"/>
  <c r="J4997" i="4"/>
  <c r="J5089" i="4"/>
  <c r="K5105" i="4"/>
  <c r="K5153" i="4"/>
  <c r="K5162" i="4"/>
  <c r="K5174" i="4"/>
  <c r="K5182" i="4"/>
  <c r="K5185" i="4"/>
  <c r="K5199" i="4"/>
  <c r="K5206" i="4"/>
  <c r="K5858" i="4"/>
  <c r="K5104" i="4"/>
  <c r="K5117" i="4"/>
  <c r="K5141" i="4"/>
  <c r="K5152" i="4"/>
  <c r="K5158" i="4"/>
  <c r="J5183" i="4"/>
  <c r="J5190" i="4"/>
  <c r="J5833" i="4"/>
  <c r="K5856" i="4"/>
  <c r="K5868" i="4"/>
  <c r="J2458" i="4"/>
  <c r="J2467" i="4"/>
  <c r="K2471" i="4"/>
  <c r="J2496" i="4"/>
  <c r="K2517" i="4"/>
  <c r="K2582" i="4"/>
  <c r="J2589" i="4"/>
  <c r="K2626" i="4"/>
  <c r="K2629" i="4"/>
  <c r="K2640" i="4"/>
  <c r="J2699" i="4"/>
  <c r="J2702" i="4"/>
  <c r="K2723" i="4"/>
  <c r="J2730" i="4"/>
  <c r="J2791" i="4"/>
  <c r="K2797" i="4"/>
  <c r="J2804" i="4"/>
  <c r="K2807" i="4"/>
  <c r="K2812" i="4"/>
  <c r="J2863" i="4"/>
  <c r="K2866" i="4"/>
  <c r="K2989" i="4"/>
  <c r="K2996" i="4"/>
  <c r="K3029" i="4"/>
  <c r="K3046" i="4"/>
  <c r="J3089" i="4"/>
  <c r="K3123" i="4"/>
  <c r="J3174" i="4"/>
  <c r="J3219" i="4"/>
  <c r="K3238" i="4"/>
  <c r="K3248" i="4"/>
  <c r="J3274" i="4"/>
  <c r="J3281" i="4"/>
  <c r="K3285" i="4"/>
  <c r="K3298" i="4"/>
  <c r="J3359" i="4"/>
  <c r="K3363" i="4"/>
  <c r="J3390" i="4"/>
  <c r="J3392" i="4"/>
  <c r="J3395" i="4"/>
  <c r="J3403" i="4"/>
  <c r="K3410" i="4"/>
  <c r="J3417" i="4"/>
  <c r="J3438" i="4"/>
  <c r="J3447" i="4"/>
  <c r="K3459" i="4"/>
  <c r="J3484" i="4"/>
  <c r="J3525" i="4"/>
  <c r="K3553" i="4"/>
  <c r="K3620" i="4"/>
  <c r="J3638" i="4"/>
  <c r="J3642" i="4"/>
  <c r="K3718" i="4"/>
  <c r="J3731" i="4"/>
  <c r="K3778" i="4"/>
  <c r="J3780" i="4"/>
  <c r="K3802" i="4"/>
  <c r="K3804" i="4"/>
  <c r="J3823" i="4"/>
  <c r="K3827" i="4"/>
  <c r="K3910" i="4"/>
  <c r="K3913" i="4"/>
  <c r="J3934" i="4"/>
  <c r="J3957" i="4"/>
  <c r="J3964" i="4"/>
  <c r="K3967" i="4"/>
  <c r="J3981" i="4"/>
  <c r="J4000" i="4"/>
  <c r="J4021" i="4"/>
  <c r="K4069" i="4"/>
  <c r="J4084" i="4"/>
  <c r="J4133" i="4"/>
  <c r="K4158" i="4"/>
  <c r="J4242" i="4"/>
  <c r="J4247" i="4"/>
  <c r="J4262" i="4"/>
  <c r="J4273" i="4"/>
  <c r="K4283" i="4"/>
  <c r="K4296" i="4"/>
  <c r="J4329" i="4"/>
  <c r="J4376" i="4"/>
  <c r="K4379" i="4"/>
  <c r="K4382" i="4"/>
  <c r="K4390" i="4"/>
  <c r="K4392" i="4"/>
  <c r="K4420" i="4"/>
  <c r="J4435" i="4"/>
  <c r="K4488" i="4"/>
  <c r="K4501" i="4"/>
  <c r="J4547" i="4"/>
  <c r="K4550" i="4"/>
  <c r="J4565" i="4"/>
  <c r="K4583" i="4"/>
  <c r="K4594" i="4"/>
  <c r="K4598" i="4"/>
  <c r="J4605" i="4"/>
  <c r="J4646" i="4"/>
  <c r="J4657" i="4"/>
  <c r="J3393" i="4"/>
  <c r="K4667" i="4"/>
  <c r="K4669" i="4"/>
  <c r="J4671" i="4"/>
  <c r="K4674" i="4"/>
  <c r="K4685" i="4"/>
  <c r="J4724" i="4"/>
  <c r="K4735" i="4"/>
  <c r="K4738" i="4"/>
  <c r="J4800" i="4"/>
  <c r="K4870" i="4"/>
  <c r="J4934" i="4"/>
  <c r="K4937" i="4"/>
  <c r="J5037" i="4"/>
  <c r="K5066" i="4"/>
  <c r="K5118" i="4"/>
  <c r="K5143" i="4"/>
  <c r="K5173" i="4"/>
  <c r="K5181" i="4"/>
  <c r="K5184" i="4"/>
  <c r="K5198" i="4"/>
  <c r="J5205" i="4"/>
  <c r="J5832" i="4"/>
  <c r="J2452" i="4"/>
  <c r="K2465" i="4"/>
  <c r="J2469" i="4"/>
  <c r="K2354" i="4"/>
  <c r="J2449" i="4"/>
  <c r="J2450" i="4"/>
  <c r="J2459" i="4"/>
  <c r="J2468" i="4"/>
  <c r="J2473" i="4"/>
  <c r="J2484" i="4"/>
  <c r="K2487" i="4"/>
  <c r="J2508" i="4"/>
  <c r="J2543" i="4"/>
  <c r="J2580" i="4"/>
  <c r="K2587" i="4"/>
  <c r="J2590" i="4"/>
  <c r="J2597" i="4"/>
  <c r="K2622" i="4"/>
  <c r="K2627" i="4"/>
  <c r="J2638" i="4"/>
  <c r="K2697" i="4"/>
  <c r="K2700" i="4"/>
  <c r="K2703" i="4"/>
  <c r="J2750" i="4"/>
  <c r="K2762" i="4"/>
  <c r="K2802" i="4"/>
  <c r="K2806" i="4"/>
  <c r="J2811" i="4"/>
  <c r="K2834" i="4"/>
  <c r="K2838" i="4"/>
  <c r="K2862" i="4"/>
  <c r="K2865" i="4"/>
  <c r="K2910" i="4"/>
  <c r="J2974" i="4"/>
  <c r="J2994" i="4"/>
  <c r="J2999" i="4"/>
  <c r="J3023" i="4"/>
  <c r="K3027" i="4"/>
  <c r="K3030" i="4"/>
  <c r="K3047" i="4"/>
  <c r="J3090" i="4"/>
  <c r="K3195" i="4"/>
  <c r="K3208" i="4"/>
  <c r="J3244" i="4"/>
  <c r="J3269" i="4"/>
  <c r="J3276" i="4"/>
  <c r="J3284" i="4"/>
  <c r="J3297" i="4"/>
  <c r="K3318" i="4"/>
  <c r="K3333" i="4"/>
  <c r="J3352" i="4"/>
  <c r="K3362" i="4"/>
  <c r="K3365" i="4"/>
  <c r="J3374" i="4"/>
  <c r="K3388" i="4"/>
  <c r="J3391" i="4"/>
  <c r="K3394" i="4"/>
  <c r="J3412" i="4"/>
  <c r="J3437" i="4"/>
  <c r="J3454" i="4"/>
  <c r="J3457" i="4"/>
  <c r="K3483" i="4"/>
  <c r="K3501" i="4"/>
  <c r="K3508" i="4"/>
  <c r="K3524" i="4"/>
  <c r="K3531" i="4"/>
  <c r="J3572" i="4"/>
  <c r="K3587" i="4"/>
  <c r="K3595" i="4"/>
  <c r="K3634" i="4"/>
  <c r="J3639" i="4"/>
  <c r="J3643" i="4"/>
  <c r="J3713" i="4"/>
  <c r="J3717" i="4"/>
  <c r="J3726" i="4"/>
  <c r="K3745" i="4"/>
  <c r="K3766" i="4"/>
  <c r="K3769" i="4"/>
  <c r="J3779" i="4"/>
  <c r="J3797" i="4"/>
  <c r="J3824" i="4"/>
  <c r="K3838" i="4"/>
  <c r="J3882" i="4"/>
  <c r="K3885" i="4"/>
  <c r="J3911" i="4"/>
  <c r="K3914" i="4"/>
  <c r="J3935" i="4"/>
  <c r="J3958" i="4"/>
  <c r="K3965" i="4"/>
  <c r="K3990" i="4"/>
  <c r="J3997" i="4"/>
  <c r="J4040" i="4"/>
  <c r="K4083" i="4"/>
  <c r="K4099" i="4"/>
  <c r="K4146" i="4"/>
  <c r="J4165" i="4"/>
  <c r="J4188" i="4"/>
  <c r="K4200" i="4"/>
  <c r="K4243" i="4"/>
  <c r="K4281" i="4"/>
  <c r="K4284" i="4"/>
  <c r="K4355" i="4"/>
  <c r="K4358" i="4"/>
  <c r="K4381" i="4"/>
  <c r="J4389" i="4"/>
  <c r="K4433" i="4"/>
  <c r="K4436" i="4"/>
  <c r="J4454" i="4"/>
  <c r="K4483" i="4"/>
  <c r="K4500" i="4"/>
  <c r="J4508" i="4"/>
  <c r="K4538" i="4"/>
  <c r="J4545" i="4"/>
  <c r="J4548" i="4"/>
  <c r="J4552" i="4"/>
  <c r="K4582" i="4"/>
  <c r="J4585" i="4"/>
  <c r="K4644" i="4"/>
  <c r="J4647" i="4"/>
  <c r="K4652" i="4"/>
  <c r="K4662" i="4"/>
  <c r="J4668" i="4"/>
  <c r="J4670" i="4"/>
  <c r="K4712" i="4"/>
  <c r="K4726" i="4"/>
  <c r="J4736" i="4"/>
  <c r="J4751" i="4"/>
  <c r="J4768" i="4"/>
  <c r="K4778" i="4"/>
  <c r="J4836" i="4"/>
  <c r="M5813" i="4"/>
  <c r="L5813" i="4"/>
  <c r="L5814" i="4"/>
  <c r="M5814" i="4"/>
  <c r="K197" i="4"/>
  <c r="J2269" i="4"/>
  <c r="J2272" i="4"/>
  <c r="K2274" i="4"/>
  <c r="J2305" i="4"/>
  <c r="J2312" i="4"/>
  <c r="K2323" i="4"/>
  <c r="J5712" i="4"/>
  <c r="J5713" i="4"/>
  <c r="J5714" i="4"/>
  <c r="K5717" i="4"/>
  <c r="K5718" i="4"/>
  <c r="K5719" i="4"/>
  <c r="J5721" i="4"/>
  <c r="K5722" i="4"/>
  <c r="J5724" i="4"/>
  <c r="K5725" i="4"/>
  <c r="J5730" i="4"/>
  <c r="K5731" i="4"/>
  <c r="J5733" i="4"/>
  <c r="K5734" i="4"/>
  <c r="J5736" i="4"/>
  <c r="K5737" i="4"/>
  <c r="J5739" i="4"/>
  <c r="K5740" i="4"/>
  <c r="J5744" i="4"/>
  <c r="J5745" i="4"/>
  <c r="K5748" i="4"/>
  <c r="J5750" i="4"/>
  <c r="K5753" i="4"/>
  <c r="J5755" i="4"/>
  <c r="K5759" i="4"/>
  <c r="J5761" i="4"/>
  <c r="J5765" i="4"/>
  <c r="K5766" i="4"/>
  <c r="J5770" i="4"/>
  <c r="J5771" i="4"/>
  <c r="J5772" i="4"/>
  <c r="J5773" i="4"/>
  <c r="J5774" i="4"/>
  <c r="K5778" i="4"/>
  <c r="J5780" i="4"/>
  <c r="J5784" i="4"/>
  <c r="K5785" i="4"/>
  <c r="J5787" i="4"/>
  <c r="K5788" i="4"/>
  <c r="J5790" i="4"/>
  <c r="K5791" i="4"/>
  <c r="J5793" i="4"/>
  <c r="J5794" i="4"/>
  <c r="J5795" i="4"/>
  <c r="J5798" i="4"/>
  <c r="K5799" i="4"/>
  <c r="K5800" i="4"/>
  <c r="K5804" i="4"/>
  <c r="J5806" i="4"/>
  <c r="K5810" i="4"/>
  <c r="J5812" i="4"/>
  <c r="J13" i="4"/>
  <c r="K21" i="4"/>
  <c r="J29" i="4"/>
  <c r="K49" i="4"/>
  <c r="J60" i="4"/>
  <c r="J99" i="4"/>
  <c r="K108" i="4"/>
  <c r="J111" i="4"/>
  <c r="K124" i="4"/>
  <c r="K127" i="4"/>
  <c r="J141" i="4"/>
  <c r="K173" i="4"/>
  <c r="J190" i="4"/>
  <c r="K2318" i="4"/>
  <c r="K216" i="4"/>
  <c r="J228" i="4"/>
  <c r="J236" i="4"/>
  <c r="K239" i="4"/>
  <c r="J255" i="4"/>
  <c r="K259" i="4"/>
  <c r="J263" i="4"/>
  <c r="K265" i="4"/>
  <c r="J272" i="4"/>
  <c r="K292" i="4"/>
  <c r="K343" i="4"/>
  <c r="J359" i="4"/>
  <c r="K371" i="4"/>
  <c r="K375" i="4"/>
  <c r="J378" i="4"/>
  <c r="J392" i="4"/>
  <c r="J404" i="4"/>
  <c r="K436" i="4"/>
  <c r="J1530" i="4"/>
  <c r="K1565" i="4"/>
  <c r="K1567" i="4"/>
  <c r="J1601" i="4"/>
  <c r="J1630" i="4"/>
  <c r="K1634" i="4"/>
  <c r="K1639" i="4"/>
  <c r="J1655" i="4"/>
  <c r="J1703" i="4"/>
  <c r="J1746" i="4"/>
  <c r="N1746" i="4" s="1"/>
  <c r="J1765" i="4"/>
  <c r="K1768" i="4"/>
  <c r="K1769" i="4"/>
  <c r="J1787" i="4"/>
  <c r="J1798" i="4"/>
  <c r="J1826" i="4"/>
  <c r="J1829" i="4"/>
  <c r="J1844" i="4"/>
  <c r="K1846" i="4"/>
  <c r="J1849" i="4"/>
  <c r="K1852" i="4"/>
  <c r="K1861" i="4"/>
  <c r="K1880" i="4"/>
  <c r="J1886" i="4"/>
  <c r="J1926" i="4"/>
  <c r="J1951" i="4"/>
  <c r="K1961" i="4"/>
  <c r="K1964" i="4"/>
  <c r="J1990" i="4"/>
  <c r="K2006" i="4"/>
  <c r="J2025" i="4"/>
  <c r="J2027" i="4"/>
  <c r="N2027" i="4" s="1"/>
  <c r="O2027" i="4" s="1"/>
  <c r="K2033" i="4"/>
  <c r="K2045" i="4"/>
  <c r="J2066" i="4"/>
  <c r="J2074" i="4"/>
  <c r="J2128" i="4"/>
  <c r="K2143" i="4"/>
  <c r="J2147" i="4"/>
  <c r="K2158" i="4"/>
  <c r="K2168" i="4"/>
  <c r="K2225" i="4"/>
  <c r="J2228" i="4"/>
  <c r="J2240" i="4"/>
  <c r="K2253" i="4"/>
  <c r="J2255" i="4"/>
  <c r="K2257" i="4"/>
  <c r="K2263" i="4"/>
  <c r="K2264" i="4"/>
  <c r="K2267" i="4"/>
  <c r="J2277" i="4"/>
  <c r="J2288" i="4"/>
  <c r="J2304" i="4"/>
  <c r="K2311" i="4"/>
  <c r="J2326" i="4"/>
  <c r="K2321" i="4"/>
  <c r="K2324" i="4"/>
  <c r="J2333" i="4"/>
  <c r="K2371" i="4"/>
  <c r="J2378" i="4"/>
  <c r="J2380" i="4"/>
  <c r="K2398" i="4"/>
  <c r="J2379" i="4"/>
  <c r="K2388" i="4"/>
  <c r="K2400" i="4"/>
  <c r="K5711" i="4"/>
  <c r="J5715" i="4"/>
  <c r="J5716" i="4"/>
  <c r="J5717" i="4"/>
  <c r="J5718" i="4"/>
  <c r="J5719" i="4"/>
  <c r="K5723" i="4"/>
  <c r="J5725" i="4"/>
  <c r="J5727" i="4"/>
  <c r="K5728" i="4"/>
  <c r="K5732" i="4"/>
  <c r="J5734" i="4"/>
  <c r="K5735" i="4"/>
  <c r="J5737" i="4"/>
  <c r="J5742" i="4"/>
  <c r="J5743" i="4"/>
  <c r="J5746" i="4"/>
  <c r="J5747" i="4"/>
  <c r="J5751" i="4"/>
  <c r="K5752" i="4"/>
  <c r="J5754" i="4"/>
  <c r="K5755" i="4"/>
  <c r="J5757" i="4"/>
  <c r="K5758" i="4"/>
  <c r="J5760" i="4"/>
  <c r="K5761" i="4"/>
  <c r="J5763" i="4"/>
  <c r="K5764" i="4"/>
  <c r="K5765" i="4"/>
  <c r="J5767" i="4"/>
  <c r="K5768" i="4"/>
  <c r="K5769" i="4"/>
  <c r="K5770" i="4"/>
  <c r="K5771" i="4"/>
  <c r="J5775" i="4"/>
  <c r="J5776" i="4"/>
  <c r="K5777" i="4"/>
  <c r="J5779" i="4"/>
  <c r="K5780" i="4"/>
  <c r="J5782" i="4"/>
  <c r="K5783" i="4"/>
  <c r="J5785" i="4"/>
  <c r="K5789" i="4"/>
  <c r="J5791" i="4"/>
  <c r="K5794" i="4"/>
  <c r="K5795" i="4"/>
  <c r="K5796" i="4"/>
  <c r="K5797" i="4"/>
  <c r="K5798" i="4"/>
  <c r="J5800" i="4"/>
  <c r="K5801" i="4"/>
  <c r="J5803" i="4"/>
  <c r="K5807" i="4"/>
  <c r="J5809" i="4"/>
  <c r="K5813" i="4"/>
  <c r="J5814" i="4"/>
  <c r="J2" i="4"/>
  <c r="K20" i="4"/>
  <c r="K30" i="4"/>
  <c r="K50" i="4"/>
  <c r="K61" i="4"/>
  <c r="K76" i="4"/>
  <c r="J98" i="4"/>
  <c r="K107" i="4"/>
  <c r="J110" i="4"/>
  <c r="K114" i="4"/>
  <c r="J126" i="4"/>
  <c r="K135" i="4"/>
  <c r="J191" i="4"/>
  <c r="K198" i="4"/>
  <c r="K237" i="4"/>
  <c r="J240" i="4"/>
  <c r="J246" i="4"/>
  <c r="J256" i="4"/>
  <c r="J271" i="4"/>
  <c r="J291" i="4"/>
  <c r="K303" i="4"/>
  <c r="K311" i="4"/>
  <c r="K332" i="4"/>
  <c r="K349" i="4"/>
  <c r="K376" i="4"/>
  <c r="J380" i="4"/>
  <c r="K393" i="4"/>
  <c r="K409" i="4"/>
  <c r="K441" i="4"/>
  <c r="K1534" i="4"/>
  <c r="N1534" i="4" s="1"/>
  <c r="O1534" i="4" s="1"/>
  <c r="K1547" i="4"/>
  <c r="J1559" i="4"/>
  <c r="J1566" i="4"/>
  <c r="K1586" i="4"/>
  <c r="K1595" i="4"/>
  <c r="K1600" i="4"/>
  <c r="J1602" i="4"/>
  <c r="K1633" i="4"/>
  <c r="K1638" i="4"/>
  <c r="J1641" i="4"/>
  <c r="K1661" i="4"/>
  <c r="K1737" i="4"/>
  <c r="J1749" i="4"/>
  <c r="K1767" i="4"/>
  <c r="J1771" i="4"/>
  <c r="K1820" i="4"/>
  <c r="J1824" i="4"/>
  <c r="J1827" i="4"/>
  <c r="J1834" i="4"/>
  <c r="J1845" i="4"/>
  <c r="K1848" i="4"/>
  <c r="J1851" i="4"/>
  <c r="J1854" i="4"/>
  <c r="J1879" i="4"/>
  <c r="J1882" i="4"/>
  <c r="K1954" i="4"/>
  <c r="K1963" i="4"/>
  <c r="K1966" i="4"/>
  <c r="K1968" i="4"/>
  <c r="K1971" i="4"/>
  <c r="K2011" i="4"/>
  <c r="J2023" i="4"/>
  <c r="J2032" i="4"/>
  <c r="K2040" i="4"/>
  <c r="J2077" i="4"/>
  <c r="J2093" i="4"/>
  <c r="K2114" i="4"/>
  <c r="J2142" i="4"/>
  <c r="K2148" i="4"/>
  <c r="K2159" i="4"/>
  <c r="J2169" i="4"/>
  <c r="K2172" i="4"/>
  <c r="J2201" i="4"/>
  <c r="J2252" i="4"/>
  <c r="K2254" i="4"/>
  <c r="J2259" i="4"/>
  <c r="J2261" i="4"/>
  <c r="J2270" i="4"/>
  <c r="K2273" i="4"/>
  <c r="J2276" i="4"/>
  <c r="K2287" i="4"/>
  <c r="J2290" i="4"/>
  <c r="K2306" i="4"/>
  <c r="J2317" i="4"/>
  <c r="J2320" i="4"/>
  <c r="K2355" i="4"/>
  <c r="J2377" i="4"/>
  <c r="J2399" i="4"/>
  <c r="K2444" i="4"/>
  <c r="K5720" i="4"/>
  <c r="J5722" i="4"/>
  <c r="K5726" i="4"/>
  <c r="K5727" i="4"/>
  <c r="K5729" i="4"/>
  <c r="J5731" i="4"/>
  <c r="N5731" i="4" s="1"/>
  <c r="O5731" i="4" s="1"/>
  <c r="J5735" i="4"/>
  <c r="K5736" i="4"/>
  <c r="J5738" i="4"/>
  <c r="J5740" i="4"/>
  <c r="K5741" i="4"/>
  <c r="K5746" i="4"/>
  <c r="J5748" i="4"/>
  <c r="K5749" i="4"/>
  <c r="K5751" i="4"/>
  <c r="J5753" i="4"/>
  <c r="K5754" i="4"/>
  <c r="J5756" i="4"/>
  <c r="K5757" i="4"/>
  <c r="J5759" i="4"/>
  <c r="K5760" i="4"/>
  <c r="K5762" i="4"/>
  <c r="J5764" i="4"/>
  <c r="J5766" i="4"/>
  <c r="K5767" i="4"/>
  <c r="K5775" i="4"/>
  <c r="J5777" i="4"/>
  <c r="K5781" i="4"/>
  <c r="J5783" i="4"/>
  <c r="K5784" i="4"/>
  <c r="J5786" i="4"/>
  <c r="K5787" i="4"/>
  <c r="J5789" i="4"/>
  <c r="K5790" i="4"/>
  <c r="J5792" i="4"/>
  <c r="J5799" i="4"/>
  <c r="J5801" i="4"/>
  <c r="K5802" i="4"/>
  <c r="J5804" i="4"/>
  <c r="K5805" i="4"/>
  <c r="J5807" i="4"/>
  <c r="K5808" i="4"/>
  <c r="J5810" i="4"/>
  <c r="K5811" i="4"/>
  <c r="J5813" i="4"/>
  <c r="N5813" i="4" s="1"/>
  <c r="O5813" i="4" s="1"/>
  <c r="K5814" i="4"/>
  <c r="J18" i="4"/>
  <c r="J28" i="4"/>
  <c r="J48" i="4"/>
  <c r="J100" i="4"/>
  <c r="K109" i="4"/>
  <c r="K129" i="4"/>
  <c r="K142" i="4"/>
  <c r="J166" i="4"/>
  <c r="K184" i="4"/>
  <c r="K196" i="4"/>
  <c r="J204" i="4"/>
  <c r="J227" i="4"/>
  <c r="K234" i="4"/>
  <c r="J238" i="4"/>
  <c r="K260" i="4"/>
  <c r="J264" i="4"/>
  <c r="K304" i="4"/>
  <c r="K325" i="4"/>
  <c r="K370" i="4"/>
  <c r="K372" i="4"/>
  <c r="J377" i="4"/>
  <c r="J383" i="4"/>
  <c r="J1529" i="4"/>
  <c r="K1535" i="4"/>
  <c r="K1553" i="4"/>
  <c r="J1631" i="4"/>
  <c r="J1660" i="4"/>
  <c r="K1724" i="4"/>
  <c r="J1812" i="4"/>
  <c r="J1823" i="4"/>
  <c r="K1891" i="4"/>
  <c r="K1927" i="4"/>
  <c r="J1952" i="4"/>
  <c r="K1962" i="4"/>
  <c r="K1965" i="4"/>
  <c r="K1969" i="4"/>
  <c r="J1989" i="4"/>
  <c r="K2005" i="4"/>
  <c r="J2009" i="4"/>
  <c r="K2022" i="4"/>
  <c r="J2024" i="4"/>
  <c r="J2026" i="4"/>
  <c r="J2061" i="4"/>
  <c r="K2075" i="4"/>
  <c r="J2079" i="4"/>
  <c r="K2094" i="4"/>
  <c r="J2153" i="4"/>
  <c r="K2167" i="4"/>
  <c r="K2170" i="4"/>
  <c r="K2189" i="4"/>
  <c r="J2215" i="4"/>
  <c r="K2226" i="4"/>
  <c r="J2234" i="4"/>
  <c r="J2256" i="4"/>
  <c r="K2258" i="4"/>
  <c r="J2260" i="4"/>
  <c r="K2262" i="4"/>
  <c r="K2266" i="4"/>
  <c r="K2268" i="4"/>
  <c r="J2271" i="4"/>
  <c r="K2275" i="4"/>
  <c r="J2278" i="4"/>
  <c r="K2289" i="4"/>
  <c r="K2319" i="4"/>
  <c r="K2322" i="4"/>
  <c r="J2325" i="4"/>
  <c r="K5659" i="4"/>
  <c r="J5688" i="4"/>
  <c r="K5688" i="4"/>
  <c r="J5689" i="4"/>
  <c r="K5689" i="4"/>
  <c r="J5690" i="4"/>
  <c r="K5690" i="4"/>
  <c r="J5691" i="4"/>
  <c r="K5691" i="4"/>
  <c r="J5692" i="4"/>
  <c r="K5692" i="4"/>
  <c r="J5693" i="4"/>
  <c r="K5693" i="4"/>
  <c r="J5694" i="4"/>
  <c r="K5694" i="4"/>
  <c r="J5695" i="4"/>
  <c r="K5695" i="4"/>
  <c r="J5696" i="4"/>
  <c r="K5696" i="4"/>
  <c r="J5697" i="4"/>
  <c r="K5697" i="4"/>
  <c r="J5698" i="4"/>
  <c r="K5698" i="4"/>
  <c r="J5699" i="4"/>
  <c r="K5699" i="4"/>
  <c r="J5700" i="4"/>
  <c r="K5700" i="4"/>
  <c r="J5701" i="4"/>
  <c r="K5701" i="4"/>
  <c r="J5702" i="4"/>
  <c r="K5702" i="4"/>
  <c r="J5703" i="4"/>
  <c r="K5703" i="4"/>
  <c r="J5704" i="4"/>
  <c r="K5704" i="4"/>
  <c r="J5705" i="4"/>
  <c r="K5705" i="4"/>
  <c r="J5706" i="4"/>
  <c r="K5706" i="4"/>
  <c r="J5707" i="4"/>
  <c r="K5707" i="4"/>
  <c r="J5708" i="4"/>
  <c r="K5708" i="4"/>
  <c r="J5709" i="4"/>
  <c r="K5709" i="4"/>
  <c r="J5710" i="4"/>
  <c r="K5710" i="4"/>
  <c r="J5711" i="4"/>
  <c r="K5712" i="4"/>
  <c r="K5713" i="4"/>
  <c r="K5714" i="4"/>
  <c r="K5715" i="4"/>
  <c r="K5716" i="4"/>
  <c r="J5720" i="4"/>
  <c r="K5721" i="4"/>
  <c r="J5723" i="4"/>
  <c r="K5724" i="4"/>
  <c r="J5726" i="4"/>
  <c r="J5728" i="4"/>
  <c r="J5729" i="4"/>
  <c r="K5730" i="4"/>
  <c r="J5732" i="4"/>
  <c r="K5733" i="4"/>
  <c r="K5738" i="4"/>
  <c r="K5739" i="4"/>
  <c r="J5741" i="4"/>
  <c r="K5742" i="4"/>
  <c r="K5743" i="4"/>
  <c r="K5744" i="4"/>
  <c r="K5745" i="4"/>
  <c r="K5747" i="4"/>
  <c r="J5749" i="4"/>
  <c r="K5750" i="4"/>
  <c r="J5752" i="4"/>
  <c r="K5756" i="4"/>
  <c r="J5758" i="4"/>
  <c r="J5762" i="4"/>
  <c r="K5763" i="4"/>
  <c r="J5768" i="4"/>
  <c r="J5769" i="4"/>
  <c r="K5772" i="4"/>
  <c r="K5773" i="4"/>
  <c r="K5774" i="4"/>
  <c r="K5776" i="4"/>
  <c r="J5778" i="4"/>
  <c r="K5779" i="4"/>
  <c r="J5781" i="4"/>
  <c r="K5782" i="4"/>
  <c r="K5786" i="4"/>
  <c r="J5788" i="4"/>
  <c r="K5792" i="4"/>
  <c r="K5793" i="4"/>
  <c r="J5796" i="4"/>
  <c r="J5797" i="4"/>
  <c r="J5802" i="4"/>
  <c r="K5803" i="4"/>
  <c r="J5805" i="4"/>
  <c r="K5806" i="4"/>
  <c r="J5808" i="4"/>
  <c r="K5809" i="4"/>
  <c r="J5811" i="4"/>
  <c r="K5812" i="4"/>
  <c r="J19" i="4"/>
  <c r="J73" i="4"/>
  <c r="J86" i="4"/>
  <c r="J113" i="4"/>
  <c r="J125" i="4"/>
  <c r="J152" i="4"/>
  <c r="K178" i="4"/>
  <c r="J226" i="4"/>
  <c r="K233" i="4"/>
  <c r="K298" i="4"/>
  <c r="K305" i="4"/>
  <c r="K326" i="4"/>
  <c r="K348" i="4"/>
  <c r="J369" i="4"/>
  <c r="K373" i="4"/>
  <c r="K403" i="4"/>
  <c r="J411" i="4"/>
  <c r="K1542" i="4"/>
  <c r="K1558" i="4"/>
  <c r="J1587" i="4"/>
  <c r="K1596" i="4"/>
  <c r="K1637" i="4"/>
  <c r="J1640" i="4"/>
  <c r="K1747" i="4"/>
  <c r="K1766" i="4"/>
  <c r="J1788" i="4"/>
  <c r="J1799" i="4"/>
  <c r="K1822" i="4"/>
  <c r="J1825" i="4"/>
  <c r="J1828" i="4"/>
  <c r="J1843" i="4"/>
  <c r="J1847" i="4"/>
  <c r="K1850" i="4"/>
  <c r="K1853" i="4"/>
  <c r="J1878" i="4"/>
  <c r="K1884" i="4"/>
  <c r="J1903" i="4"/>
  <c r="K1938" i="4"/>
  <c r="K1967" i="4"/>
  <c r="K1970" i="4"/>
  <c r="K1988" i="4"/>
  <c r="J1991" i="4"/>
  <c r="J2010" i="4"/>
  <c r="K2012" i="4"/>
  <c r="K2080" i="4"/>
  <c r="J2111" i="4"/>
  <c r="K2141" i="4"/>
  <c r="K2144" i="4"/>
  <c r="J2171" i="4"/>
  <c r="K2198" i="4"/>
  <c r="J2216" i="4"/>
  <c r="K2227" i="4"/>
  <c r="J2239" i="4"/>
  <c r="J2265" i="4"/>
  <c r="K3857" i="6"/>
  <c r="L3857" i="6" s="1"/>
  <c r="I3857" i="6"/>
  <c r="I3855" i="6"/>
  <c r="K3855" i="6"/>
  <c r="L3855" i="6" s="1"/>
  <c r="K3690" i="6"/>
  <c r="L3690" i="6" s="1"/>
  <c r="I3690" i="6"/>
  <c r="I3689" i="6"/>
  <c r="K3689" i="6"/>
  <c r="L3689" i="6" s="1"/>
  <c r="I3688" i="6"/>
  <c r="K3688" i="6"/>
  <c r="L3688" i="6" s="1"/>
  <c r="I3686" i="6"/>
  <c r="K3686" i="6"/>
  <c r="L3686" i="6" s="1"/>
  <c r="I3685" i="6"/>
  <c r="K3685" i="6"/>
  <c r="L3685" i="6" s="1"/>
  <c r="K3684" i="6"/>
  <c r="L3684" i="6" s="1"/>
  <c r="I3684" i="6"/>
  <c r="I3683" i="6"/>
  <c r="K3683" i="6"/>
  <c r="L3683" i="6" s="1"/>
  <c r="K3679" i="6"/>
  <c r="L3679" i="6" s="1"/>
  <c r="I3679" i="6"/>
  <c r="K3678" i="6"/>
  <c r="L3678" i="6" s="1"/>
  <c r="I3678" i="6"/>
  <c r="I3675" i="6"/>
  <c r="K3675" i="6"/>
  <c r="L3675" i="6" s="1"/>
  <c r="K3674" i="6"/>
  <c r="L3674" i="6" s="1"/>
  <c r="I3674" i="6"/>
  <c r="K3673" i="6"/>
  <c r="L3673" i="6" s="1"/>
  <c r="I3673" i="6"/>
  <c r="I3668" i="6"/>
  <c r="K3668" i="6"/>
  <c r="L3668" i="6" s="1"/>
  <c r="K3666" i="6"/>
  <c r="L3666" i="6" s="1"/>
  <c r="I3666" i="6"/>
  <c r="I3663" i="6"/>
  <c r="K3663" i="6"/>
  <c r="L3663" i="6" s="1"/>
  <c r="K3661" i="6"/>
  <c r="L3661" i="6" s="1"/>
  <c r="I3661" i="6"/>
  <c r="I3660" i="6"/>
  <c r="K3660" i="6"/>
  <c r="L3660" i="6" s="1"/>
  <c r="K3656" i="6"/>
  <c r="L3656" i="6" s="1"/>
  <c r="I3656" i="6"/>
  <c r="I3654" i="6"/>
  <c r="K3654" i="6"/>
  <c r="L3654" i="6" s="1"/>
  <c r="I3653" i="6"/>
  <c r="K3653" i="6"/>
  <c r="L3653" i="6" s="1"/>
  <c r="K3650" i="6"/>
  <c r="L3650" i="6" s="1"/>
  <c r="I3650" i="6"/>
  <c r="I3647" i="6"/>
  <c r="K3647" i="6"/>
  <c r="L3647" i="6" s="1"/>
  <c r="K3646" i="6"/>
  <c r="L3646" i="6" s="1"/>
  <c r="I3646" i="6"/>
  <c r="K3643" i="6"/>
  <c r="I3643" i="6"/>
  <c r="L3643" i="6"/>
  <c r="I3642" i="6"/>
  <c r="K3642" i="6"/>
  <c r="L3642" i="6" s="1"/>
  <c r="K3641" i="6"/>
  <c r="L3641" i="6" s="1"/>
  <c r="I3641" i="6"/>
  <c r="I3633" i="6"/>
  <c r="K3633" i="6"/>
  <c r="L3633" i="6" s="1"/>
  <c r="I3632" i="6"/>
  <c r="K3632" i="6"/>
  <c r="L3632" i="6" s="1"/>
  <c r="K3631" i="6"/>
  <c r="L3631" i="6" s="1"/>
  <c r="I3631" i="6"/>
  <c r="I3630" i="6"/>
  <c r="K3630" i="6"/>
  <c r="L3630" i="6" s="1"/>
  <c r="K3629" i="6"/>
  <c r="L3629" i="6" s="1"/>
  <c r="I3629" i="6"/>
  <c r="I3628" i="6"/>
  <c r="K3628" i="6"/>
  <c r="L3628" i="6" s="1"/>
  <c r="K3627" i="6"/>
  <c r="L3627" i="6" s="1"/>
  <c r="I3627" i="6"/>
  <c r="K3953" i="6"/>
  <c r="L3953" i="6" s="1"/>
  <c r="I3953" i="6"/>
  <c r="K3625" i="6"/>
  <c r="L3625" i="6" s="1"/>
  <c r="I3625" i="6"/>
  <c r="K3624" i="6"/>
  <c r="L3624" i="6" s="1"/>
  <c r="I3624" i="6"/>
  <c r="I3947" i="6"/>
  <c r="K3947" i="6"/>
  <c r="L3947" i="6" s="1"/>
  <c r="K3622" i="6"/>
  <c r="L3622" i="6" s="1"/>
  <c r="I3622" i="6"/>
  <c r="K3946" i="6"/>
  <c r="L3946" i="6" s="1"/>
  <c r="I3946" i="6"/>
  <c r="I3620" i="6"/>
  <c r="K3620" i="6"/>
  <c r="L3620" i="6" s="1"/>
  <c r="I3943" i="6"/>
  <c r="K3943" i="6"/>
  <c r="L3943" i="6" s="1"/>
  <c r="I3618" i="6"/>
  <c r="K3618" i="6"/>
  <c r="L3618" i="6" s="1"/>
  <c r="I3617" i="6"/>
  <c r="K3617" i="6"/>
  <c r="L3617" i="6" s="1"/>
  <c r="I3942" i="6"/>
  <c r="K3942" i="6"/>
  <c r="L3942" i="6" s="1"/>
  <c r="I3615" i="6"/>
  <c r="K3615" i="6"/>
  <c r="L3615" i="6" s="1"/>
  <c r="K3614" i="6"/>
  <c r="L3614" i="6" s="1"/>
  <c r="I3614" i="6"/>
  <c r="I3613" i="6"/>
  <c r="K3613" i="6"/>
  <c r="L3613" i="6" s="1"/>
  <c r="K3941" i="6"/>
  <c r="L3941" i="6" s="1"/>
  <c r="I3941" i="6"/>
  <c r="I3611" i="6"/>
  <c r="K3611" i="6"/>
  <c r="L3611" i="6" s="1"/>
  <c r="I3940" i="6"/>
  <c r="K3940" i="6"/>
  <c r="L3940" i="6" s="1"/>
  <c r="K3938" i="6"/>
  <c r="L3938" i="6" s="1"/>
  <c r="I3938" i="6"/>
  <c r="K3608" i="6"/>
  <c r="L3608" i="6" s="1"/>
  <c r="I3608" i="6"/>
  <c r="I3607" i="6"/>
  <c r="K3607" i="6"/>
  <c r="L3607" i="6" s="1"/>
  <c r="K3606" i="6"/>
  <c r="L3606" i="6" s="1"/>
  <c r="I3606" i="6"/>
  <c r="K3937" i="6"/>
  <c r="L3937" i="6" s="1"/>
  <c r="I3937" i="6"/>
  <c r="I3935" i="6"/>
  <c r="K3935" i="6"/>
  <c r="L3935" i="6" s="1"/>
  <c r="K3603" i="6"/>
  <c r="L3603" i="6" s="1"/>
  <c r="I3603" i="6"/>
  <c r="K3602" i="6"/>
  <c r="L3602" i="6" s="1"/>
  <c r="I3602" i="6"/>
  <c r="I3601" i="6"/>
  <c r="K3601" i="6"/>
  <c r="L3601" i="6" s="1"/>
  <c r="K3600" i="6"/>
  <c r="L3600" i="6" s="1"/>
  <c r="I3600" i="6"/>
  <c r="K3932" i="6"/>
  <c r="L3932" i="6" s="1"/>
  <c r="I3932" i="6"/>
  <c r="K3598" i="6"/>
  <c r="L3598" i="6" s="1"/>
  <c r="I3598" i="6"/>
  <c r="K3931" i="6"/>
  <c r="L3931" i="6" s="1"/>
  <c r="I3931" i="6"/>
  <c r="K3596" i="6"/>
  <c r="L3596" i="6" s="1"/>
  <c r="I3596" i="6"/>
  <c r="I3595" i="6"/>
  <c r="K3595" i="6"/>
  <c r="L3595" i="6" s="1"/>
  <c r="K3930" i="6"/>
  <c r="L3930" i="6" s="1"/>
  <c r="I3930" i="6"/>
  <c r="I3929" i="6"/>
  <c r="K3929" i="6"/>
  <c r="L3929" i="6" s="1"/>
  <c r="I3926" i="6"/>
  <c r="K3926" i="6"/>
  <c r="L3926" i="6" s="1"/>
  <c r="K3925" i="6"/>
  <c r="L3925" i="6" s="1"/>
  <c r="I3925" i="6"/>
  <c r="I3590" i="6"/>
  <c r="K3590" i="6"/>
  <c r="L3590" i="6" s="1"/>
  <c r="I3589" i="6"/>
  <c r="K3589" i="6"/>
  <c r="L3589" i="6" s="1"/>
  <c r="I3923" i="6"/>
  <c r="K3923" i="6"/>
  <c r="L3923" i="6" s="1"/>
  <c r="K3922" i="6"/>
  <c r="L3922" i="6" s="1"/>
  <c r="I3922" i="6"/>
  <c r="I3586" i="6"/>
  <c r="K3586" i="6"/>
  <c r="L3586" i="6" s="1"/>
  <c r="K3919" i="6"/>
  <c r="L3919" i="6" s="1"/>
  <c r="I3919" i="6"/>
  <c r="K3918" i="6"/>
  <c r="L3918" i="6" s="1"/>
  <c r="I3918" i="6"/>
  <c r="K3583" i="6"/>
  <c r="L3583" i="6" s="1"/>
  <c r="I3583" i="6"/>
  <c r="K3915" i="6"/>
  <c r="L3915" i="6" s="1"/>
  <c r="I3915" i="6"/>
  <c r="I3581" i="6"/>
  <c r="K3581" i="6"/>
  <c r="L3581" i="6" s="1"/>
  <c r="I3913" i="6"/>
  <c r="K3913" i="6"/>
  <c r="L3913" i="6" s="1"/>
  <c r="K3579" i="6"/>
  <c r="L3579" i="6" s="1"/>
  <c r="I3579" i="6"/>
  <c r="I3912" i="6"/>
  <c r="K3912" i="6"/>
  <c r="L3912" i="6" s="1"/>
  <c r="I3577" i="6"/>
  <c r="K3577" i="6"/>
  <c r="L3577" i="6" s="1"/>
  <c r="I3576" i="6"/>
  <c r="K3576" i="6"/>
  <c r="L3576" i="6" s="1"/>
  <c r="K3910" i="6"/>
  <c r="L3910" i="6" s="1"/>
  <c r="I3910" i="6"/>
  <c r="K3908" i="6"/>
  <c r="L3908" i="6" s="1"/>
  <c r="I3908" i="6"/>
  <c r="K3573" i="6"/>
  <c r="L3573" i="6" s="1"/>
  <c r="I3573" i="6"/>
  <c r="K3906" i="6"/>
  <c r="L3906" i="6" s="1"/>
  <c r="I3906" i="6"/>
  <c r="K3904" i="6"/>
  <c r="L3904" i="6" s="1"/>
  <c r="I3904" i="6"/>
  <c r="I3570" i="6"/>
  <c r="K3570" i="6"/>
  <c r="L3570" i="6" s="1"/>
  <c r="I3569" i="6"/>
  <c r="K3569" i="6"/>
  <c r="L3569" i="6" s="1"/>
  <c r="I3903" i="6"/>
  <c r="K3903" i="6"/>
  <c r="L3903" i="6" s="1"/>
  <c r="K3901" i="6"/>
  <c r="L3901" i="6" s="1"/>
  <c r="I3901" i="6"/>
  <c r="K3566" i="6"/>
  <c r="L3566" i="6" s="1"/>
  <c r="I3566" i="6"/>
  <c r="I3565" i="6"/>
  <c r="K3565" i="6"/>
  <c r="L3565" i="6" s="1"/>
  <c r="K3900" i="6"/>
  <c r="L3900" i="6" s="1"/>
  <c r="I3900" i="6"/>
  <c r="K3898" i="6"/>
  <c r="L3898" i="6" s="1"/>
  <c r="I3898" i="6"/>
  <c r="K3895" i="6"/>
  <c r="L3895" i="6" s="1"/>
  <c r="I3895" i="6"/>
  <c r="K3894" i="6"/>
  <c r="L3894" i="6" s="1"/>
  <c r="I3894" i="6"/>
  <c r="K3560" i="6"/>
  <c r="L3560" i="6" s="1"/>
  <c r="I3560" i="6"/>
  <c r="I3559" i="6"/>
  <c r="K3559" i="6"/>
  <c r="L3559" i="6" s="1"/>
  <c r="I3558" i="6"/>
  <c r="K3558" i="6"/>
  <c r="L3558" i="6" s="1"/>
  <c r="K3557" i="6"/>
  <c r="L3557" i="6" s="1"/>
  <c r="I3557" i="6"/>
  <c r="K3556" i="6"/>
  <c r="L3556" i="6" s="1"/>
  <c r="I3556" i="6"/>
  <c r="I3555" i="6"/>
  <c r="K3555" i="6"/>
  <c r="L3555" i="6" s="1"/>
  <c r="I3554" i="6"/>
  <c r="K3554" i="6"/>
  <c r="L3554" i="6" s="1"/>
  <c r="I3553" i="6"/>
  <c r="K3553" i="6"/>
  <c r="L3553" i="6" s="1"/>
  <c r="K3552" i="6"/>
  <c r="L3552" i="6" s="1"/>
  <c r="I3552" i="6"/>
  <c r="I3892" i="6"/>
  <c r="K3892" i="6"/>
  <c r="L3892" i="6" s="1"/>
  <c r="K3891" i="6"/>
  <c r="L3891" i="6" s="1"/>
  <c r="I3891" i="6"/>
  <c r="I3549" i="6"/>
  <c r="K3549" i="6"/>
  <c r="L3549" i="6" s="1"/>
  <c r="I3890" i="6"/>
  <c r="K3890" i="6"/>
  <c r="L3890" i="6" s="1"/>
  <c r="I3547" i="6"/>
  <c r="K3547" i="6"/>
  <c r="L3547" i="6" s="1"/>
  <c r="K3546" i="6"/>
  <c r="L3546" i="6" s="1"/>
  <c r="I3546" i="6"/>
  <c r="K3545" i="6"/>
  <c r="L3545" i="6" s="1"/>
  <c r="I3545" i="6"/>
  <c r="I3888" i="6"/>
  <c r="K3888" i="6"/>
  <c r="L3888" i="6" s="1"/>
  <c r="I3886" i="6"/>
  <c r="K3886" i="6"/>
  <c r="L3886" i="6" s="1"/>
  <c r="K3882" i="6"/>
  <c r="L3882" i="6" s="1"/>
  <c r="I3882" i="6"/>
  <c r="I3541" i="6"/>
  <c r="K3541" i="6"/>
  <c r="L3541" i="6" s="1"/>
  <c r="I3540" i="6"/>
  <c r="K3540" i="6"/>
  <c r="L3540" i="6" s="1"/>
  <c r="K3539" i="6"/>
  <c r="L3539" i="6" s="1"/>
  <c r="I3539" i="6"/>
  <c r="K3538" i="6"/>
  <c r="L3538" i="6" s="1"/>
  <c r="I3538" i="6"/>
  <c r="I3880" i="6"/>
  <c r="K3880" i="6"/>
  <c r="L3880" i="6" s="1"/>
  <c r="I3879" i="6"/>
  <c r="K3879" i="6"/>
  <c r="L3879" i="6" s="1"/>
  <c r="I3876" i="6"/>
  <c r="K3876" i="6"/>
  <c r="L3876" i="6"/>
  <c r="I3875" i="6"/>
  <c r="K3875" i="6"/>
  <c r="L3875" i="6" s="1"/>
  <c r="I3874" i="6"/>
  <c r="K3874" i="6"/>
  <c r="L3874" i="6" s="1"/>
  <c r="K3532" i="6"/>
  <c r="L3532" i="6" s="1"/>
  <c r="I3532" i="6"/>
  <c r="I3531" i="6"/>
  <c r="K3531" i="6"/>
  <c r="L3531" i="6" s="1"/>
  <c r="K3872" i="6"/>
  <c r="L3872" i="6" s="1"/>
  <c r="I3872" i="6"/>
  <c r="K3869" i="6"/>
  <c r="L3869" i="6" s="1"/>
  <c r="I3869" i="6"/>
  <c r="K3868" i="6"/>
  <c r="L3868" i="6" s="1"/>
  <c r="I3868" i="6"/>
  <c r="I3527" i="6"/>
  <c r="K3527" i="6"/>
  <c r="L3527" i="6" s="1"/>
  <c r="K3526" i="6"/>
  <c r="L3526" i="6" s="1"/>
  <c r="I3526" i="6"/>
  <c r="K3525" i="6"/>
  <c r="L3525" i="6" s="1"/>
  <c r="I3525" i="6"/>
  <c r="I3524" i="6"/>
  <c r="K3524" i="6"/>
  <c r="L3524" i="6" s="1"/>
  <c r="I3523" i="6"/>
  <c r="K3523" i="6"/>
  <c r="L3523" i="6" s="1"/>
  <c r="K3867" i="6"/>
  <c r="L3867" i="6" s="1"/>
  <c r="I3867" i="6"/>
  <c r="I3865" i="6"/>
  <c r="K3865" i="6"/>
  <c r="L3865" i="6" s="1"/>
  <c r="I3520" i="6"/>
  <c r="K3520" i="6"/>
  <c r="L3520" i="6" s="1"/>
  <c r="K3863" i="6"/>
  <c r="L3863" i="6" s="1"/>
  <c r="I3863" i="6"/>
  <c r="I3518" i="6"/>
  <c r="K3518" i="6"/>
  <c r="L3518" i="6" s="1"/>
  <c r="K3862" i="6"/>
  <c r="L3862" i="6" s="1"/>
  <c r="I3862" i="6"/>
  <c r="I3516" i="6"/>
  <c r="K3516" i="6"/>
  <c r="L3516" i="6" s="1"/>
  <c r="I3515" i="6"/>
  <c r="K3515" i="6"/>
  <c r="L3515" i="6" s="1"/>
  <c r="I3861" i="6"/>
  <c r="K3861" i="6"/>
  <c r="L3861" i="6" s="1"/>
  <c r="K3513" i="6"/>
  <c r="L3513" i="6" s="1"/>
  <c r="I3513" i="6"/>
  <c r="I3860" i="6"/>
  <c r="K3860" i="6"/>
  <c r="L3860" i="6" s="1"/>
  <c r="I3859" i="6"/>
  <c r="K3859" i="6"/>
  <c r="L3859" i="6" s="1"/>
  <c r="I3858" i="6"/>
  <c r="K3858" i="6"/>
  <c r="L3858" i="6" s="1"/>
  <c r="I3509" i="6"/>
  <c r="K3509" i="6"/>
  <c r="L3509" i="6" s="1"/>
  <c r="I3856" i="6"/>
  <c r="K3856" i="6"/>
  <c r="L3856" i="6" s="1"/>
  <c r="I3854" i="6"/>
  <c r="K3854" i="6"/>
  <c r="L3854" i="6" s="1"/>
  <c r="K3506" i="6"/>
  <c r="L3506" i="6" s="1"/>
  <c r="I3506" i="6"/>
  <c r="I3852" i="6"/>
  <c r="K3852" i="6"/>
  <c r="L3852" i="6" s="1"/>
  <c r="K3848" i="6"/>
  <c r="L3848" i="6" s="1"/>
  <c r="I3848" i="6"/>
  <c r="K3503" i="6"/>
  <c r="L3503" i="6" s="1"/>
  <c r="I3503" i="6"/>
  <c r="I3502" i="6"/>
  <c r="K3502" i="6"/>
  <c r="L3502" i="6" s="1"/>
  <c r="K3501" i="6"/>
  <c r="L3501" i="6" s="1"/>
  <c r="I3501" i="6"/>
  <c r="I3847" i="6"/>
  <c r="K3847" i="6"/>
  <c r="L3847" i="6" s="1"/>
  <c r="I3499" i="6"/>
  <c r="K3499" i="6"/>
  <c r="L3499" i="6" s="1"/>
  <c r="I3498" i="6"/>
  <c r="K3498" i="6"/>
  <c r="L3498" i="6" s="1"/>
  <c r="I3497" i="6"/>
  <c r="K3497" i="6"/>
  <c r="L3497" i="6" s="1"/>
  <c r="I3496" i="6"/>
  <c r="K3496" i="6"/>
  <c r="L3496" i="6" s="1"/>
  <c r="I3495" i="6"/>
  <c r="K3495" i="6"/>
  <c r="L3495" i="6" s="1"/>
  <c r="I3494" i="6"/>
  <c r="K3494" i="6"/>
  <c r="L3494" i="6" s="1"/>
  <c r="I3493" i="6"/>
  <c r="K3493" i="6"/>
  <c r="L3493" i="6" s="1"/>
  <c r="K3492" i="6"/>
  <c r="L3492" i="6" s="1"/>
  <c r="I3492" i="6"/>
  <c r="I3491" i="6"/>
  <c r="K3491" i="6"/>
  <c r="L3491" i="6" s="1"/>
  <c r="K3490" i="6"/>
  <c r="L3490" i="6" s="1"/>
  <c r="I3490" i="6"/>
  <c r="K3846" i="6"/>
  <c r="L3846" i="6" s="1"/>
  <c r="I3846" i="6"/>
  <c r="K3845" i="6"/>
  <c r="L3845" i="6" s="1"/>
  <c r="I3845" i="6"/>
  <c r="I3842" i="6"/>
  <c r="K3842" i="6"/>
  <c r="L3842" i="6" s="1"/>
  <c r="K3486" i="6"/>
  <c r="L3486" i="6" s="1"/>
  <c r="I3486" i="6"/>
  <c r="I3485" i="6"/>
  <c r="K3485" i="6"/>
  <c r="L3485" i="6" s="1"/>
  <c r="K3484" i="6"/>
  <c r="L3484" i="6" s="1"/>
  <c r="I3484" i="6"/>
  <c r="K3841" i="6"/>
  <c r="L3841" i="6" s="1"/>
  <c r="I3841" i="6"/>
  <c r="I3482" i="6"/>
  <c r="K3482" i="6"/>
  <c r="L3482" i="6" s="1"/>
  <c r="I3481" i="6"/>
  <c r="K3481" i="6"/>
  <c r="L3481" i="6" s="1"/>
  <c r="K3480" i="6"/>
  <c r="L3480" i="6" s="1"/>
  <c r="I3480" i="6"/>
  <c r="I3479" i="6"/>
  <c r="K3479" i="6"/>
  <c r="L3479" i="6" s="1"/>
  <c r="I3478" i="6"/>
  <c r="K3478" i="6"/>
  <c r="L3478" i="6" s="1"/>
  <c r="I3840" i="6"/>
  <c r="K3840" i="6"/>
  <c r="L3840" i="6" s="1"/>
  <c r="I3838" i="6"/>
  <c r="K3838" i="6"/>
  <c r="L3838" i="6"/>
  <c r="I3836" i="6"/>
  <c r="K3836" i="6"/>
  <c r="L3836" i="6" s="1"/>
  <c r="I3474" i="6"/>
  <c r="K3474" i="6"/>
  <c r="L3474" i="6" s="1"/>
  <c r="I3473" i="6"/>
  <c r="K3473" i="6"/>
  <c r="L3473" i="6" s="1"/>
  <c r="I3832" i="6"/>
  <c r="K3832" i="6"/>
  <c r="L3832" i="6" s="1"/>
  <c r="K3471" i="6"/>
  <c r="L3471" i="6" s="1"/>
  <c r="I3471" i="6"/>
  <c r="K3470" i="6"/>
  <c r="L3470" i="6" s="1"/>
  <c r="I3470" i="6"/>
  <c r="K3828" i="6"/>
  <c r="L3828" i="6" s="1"/>
  <c r="I3828" i="6"/>
  <c r="K3468" i="6"/>
  <c r="L3468" i="6" s="1"/>
  <c r="I3468" i="6"/>
  <c r="K3827" i="6"/>
  <c r="L3827" i="6" s="1"/>
  <c r="I3827" i="6"/>
  <c r="K3466" i="6"/>
  <c r="L3466" i="6" s="1"/>
  <c r="I3466" i="6"/>
  <c r="K3826" i="6"/>
  <c r="I3826" i="6"/>
  <c r="L3826" i="6"/>
  <c r="K3464" i="6"/>
  <c r="L3464" i="6" s="1"/>
  <c r="I3464" i="6"/>
  <c r="K3463" i="6"/>
  <c r="L3463" i="6" s="1"/>
  <c r="I3463" i="6"/>
  <c r="I3825" i="6"/>
  <c r="K3825" i="6"/>
  <c r="L3825" i="6" s="1"/>
  <c r="I3461" i="6"/>
  <c r="K3461" i="6"/>
  <c r="L3461" i="6" s="1"/>
  <c r="I3460" i="6"/>
  <c r="K3460" i="6"/>
  <c r="L3460" i="6" s="1"/>
  <c r="I3459" i="6"/>
  <c r="K3459" i="6"/>
  <c r="L3459" i="6" s="1"/>
  <c r="I3824" i="6"/>
  <c r="K3824" i="6"/>
  <c r="L3824" i="6" s="1"/>
  <c r="K3823" i="6"/>
  <c r="L3823" i="6" s="1"/>
  <c r="I3823" i="6"/>
  <c r="I3456" i="6"/>
  <c r="K3456" i="6"/>
  <c r="L3456" i="6" s="1"/>
  <c r="I3455" i="6"/>
  <c r="K3455" i="6"/>
  <c r="L3455" i="6"/>
  <c r="K3822" i="6"/>
  <c r="L3822" i="6" s="1"/>
  <c r="I3822" i="6"/>
  <c r="I3820" i="6"/>
  <c r="K3820" i="6"/>
  <c r="L3820" i="6" s="1"/>
  <c r="I3452" i="6"/>
  <c r="K3452" i="6"/>
  <c r="L3452" i="6" s="1"/>
  <c r="I3819" i="6"/>
  <c r="K3819" i="6"/>
  <c r="L3819" i="6" s="1"/>
  <c r="I3450" i="6"/>
  <c r="K3450" i="6"/>
  <c r="L3450" i="6" s="1"/>
  <c r="K3449" i="6"/>
  <c r="L3449" i="6" s="1"/>
  <c r="I3449" i="6"/>
  <c r="K3448" i="6"/>
  <c r="L3448" i="6" s="1"/>
  <c r="I3448" i="6"/>
  <c r="I3447" i="6"/>
  <c r="K3447" i="6"/>
  <c r="L3447" i="6" s="1"/>
  <c r="I3816" i="6"/>
  <c r="K3816" i="6"/>
  <c r="L3816" i="6" s="1"/>
  <c r="K3815" i="6"/>
  <c r="L3815" i="6" s="1"/>
  <c r="I3815" i="6"/>
  <c r="K3813" i="6"/>
  <c r="L3813" i="6" s="1"/>
  <c r="I3813" i="6"/>
  <c r="K3443" i="6"/>
  <c r="L3443" i="6" s="1"/>
  <c r="I3443" i="6"/>
  <c r="K3810" i="6"/>
  <c r="L3810" i="6" s="1"/>
  <c r="I3810" i="6"/>
  <c r="K3809" i="6"/>
  <c r="L3809" i="6" s="1"/>
  <c r="I3809" i="6"/>
  <c r="K3440" i="6"/>
  <c r="L3440" i="6" s="1"/>
  <c r="I3440" i="6"/>
  <c r="K3808" i="6"/>
  <c r="L3808" i="6" s="1"/>
  <c r="I3808" i="6"/>
  <c r="I3438" i="6"/>
  <c r="K3438" i="6"/>
  <c r="L3438" i="6" s="1"/>
  <c r="I3806" i="6"/>
  <c r="K3806" i="6"/>
  <c r="L3806" i="6" s="1"/>
  <c r="K3436" i="6"/>
  <c r="L3436" i="6" s="1"/>
  <c r="I3436" i="6"/>
  <c r="K3804" i="6"/>
  <c r="L3804" i="6" s="1"/>
  <c r="I3804" i="6"/>
  <c r="K3434" i="6"/>
  <c r="L3434" i="6" s="1"/>
  <c r="I3434" i="6"/>
  <c r="K3433" i="6"/>
  <c r="L3433" i="6" s="1"/>
  <c r="I3433" i="6"/>
  <c r="I3802" i="6"/>
  <c r="K3802" i="6"/>
  <c r="L3802" i="6" s="1"/>
  <c r="K3431" i="6"/>
  <c r="L3431" i="6" s="1"/>
  <c r="I3431" i="6"/>
  <c r="I3430" i="6"/>
  <c r="K3430" i="6"/>
  <c r="L3430" i="6" s="1"/>
  <c r="I3801" i="6"/>
  <c r="K3801" i="6"/>
  <c r="L3801" i="6" s="1"/>
  <c r="I3428" i="6"/>
  <c r="K3428" i="6"/>
  <c r="L3428" i="6" s="1"/>
  <c r="K3427" i="6"/>
  <c r="L3427" i="6" s="1"/>
  <c r="I3427" i="6"/>
  <c r="I3800" i="6"/>
  <c r="K3800" i="6"/>
  <c r="L3800" i="6" s="1"/>
  <c r="I3798" i="6"/>
  <c r="K3798" i="6"/>
  <c r="L3798" i="6" s="1"/>
  <c r="I3424" i="6"/>
  <c r="K3424" i="6"/>
  <c r="L3424" i="6" s="1"/>
  <c r="I3794" i="6"/>
  <c r="K3794" i="6"/>
  <c r="L3794" i="6" s="1"/>
  <c r="K3422" i="6"/>
  <c r="L3422" i="6" s="1"/>
  <c r="I3422" i="6"/>
  <c r="K3792" i="6"/>
  <c r="L3792" i="6" s="1"/>
  <c r="I3792" i="6"/>
  <c r="K3791" i="6"/>
  <c r="L3791" i="6" s="1"/>
  <c r="I3791" i="6"/>
  <c r="K3790" i="6"/>
  <c r="L3790" i="6" s="1"/>
  <c r="I3790" i="6"/>
  <c r="I3418" i="6"/>
  <c r="K3418" i="6"/>
  <c r="L3418" i="6" s="1"/>
  <c r="K3417" i="6"/>
  <c r="L3417" i="6" s="1"/>
  <c r="I3417" i="6"/>
  <c r="K3416" i="6"/>
  <c r="L3416" i="6" s="1"/>
  <c r="I3416" i="6"/>
  <c r="K3415" i="6"/>
  <c r="L3415" i="6" s="1"/>
  <c r="I3415" i="6"/>
  <c r="K3789" i="6"/>
  <c r="L3789" i="6" s="1"/>
  <c r="I3789" i="6"/>
  <c r="I3788" i="6"/>
  <c r="K3788" i="6"/>
  <c r="L3788" i="6" s="1"/>
  <c r="K3412" i="6"/>
  <c r="L3412" i="6" s="1"/>
  <c r="I3412" i="6"/>
  <c r="K3786" i="6"/>
  <c r="L3786" i="6" s="1"/>
  <c r="I3786" i="6"/>
  <c r="I3783" i="6"/>
  <c r="K3783" i="6"/>
  <c r="L3783" i="6" s="1"/>
  <c r="K3409" i="6"/>
  <c r="L3409" i="6" s="1"/>
  <c r="I3409" i="6"/>
  <c r="I3782" i="6"/>
  <c r="K3782" i="6"/>
  <c r="L3782" i="6" s="1"/>
  <c r="K3407" i="6"/>
  <c r="L3407" i="6" s="1"/>
  <c r="I3407" i="6"/>
  <c r="I3780" i="6"/>
  <c r="K3780" i="6"/>
  <c r="L3780" i="6" s="1"/>
  <c r="K3405" i="6"/>
  <c r="L3405" i="6" s="1"/>
  <c r="I3405" i="6"/>
  <c r="K3404" i="6"/>
  <c r="L3404" i="6" s="1"/>
  <c r="I3404" i="6"/>
  <c r="I3776" i="6"/>
  <c r="K3776" i="6"/>
  <c r="L3776" i="6" s="1"/>
  <c r="K3402" i="6"/>
  <c r="L3402" i="6" s="1"/>
  <c r="I3402" i="6"/>
  <c r="I3401" i="6"/>
  <c r="K3401" i="6"/>
  <c r="L3401" i="6" s="1"/>
  <c r="I3400" i="6"/>
  <c r="K3400" i="6"/>
  <c r="L3400" i="6" s="1"/>
  <c r="I3399" i="6"/>
  <c r="K3399" i="6"/>
  <c r="L3399" i="6" s="1"/>
  <c r="K3398" i="6"/>
  <c r="L3398" i="6" s="1"/>
  <c r="I3398" i="6"/>
  <c r="K3397" i="6"/>
  <c r="L3397" i="6" s="1"/>
  <c r="I3397" i="6"/>
  <c r="I3775" i="6"/>
  <c r="K3775" i="6"/>
  <c r="L3775" i="6" s="1"/>
  <c r="K3395" i="6"/>
  <c r="L3395" i="6" s="1"/>
  <c r="I3395" i="6"/>
  <c r="I3394" i="6"/>
  <c r="K3394" i="6"/>
  <c r="L3394" i="6" s="1"/>
  <c r="K3393" i="6"/>
  <c r="L3393" i="6" s="1"/>
  <c r="I3393" i="6"/>
  <c r="K3773" i="6"/>
  <c r="L3773" i="6" s="1"/>
  <c r="I3773" i="6"/>
  <c r="K3770" i="6"/>
  <c r="L3770" i="6" s="1"/>
  <c r="I3770" i="6"/>
  <c r="I3390" i="6"/>
  <c r="K3390" i="6"/>
  <c r="L3390" i="6" s="1"/>
  <c r="I3389" i="6"/>
  <c r="K3389" i="6"/>
  <c r="L3389" i="6" s="1"/>
  <c r="K3388" i="6"/>
  <c r="I3388" i="6"/>
  <c r="L3388" i="6"/>
  <c r="I3387" i="6"/>
  <c r="K3387" i="6"/>
  <c r="L3387" i="6" s="1"/>
  <c r="I3386" i="6"/>
  <c r="K3386" i="6"/>
  <c r="L3386" i="6" s="1"/>
  <c r="K3769" i="6"/>
  <c r="L3769" i="6" s="1"/>
  <c r="I3769" i="6"/>
  <c r="I3766" i="6"/>
  <c r="K3766" i="6"/>
  <c r="L3766" i="6" s="1"/>
  <c r="I3383" i="6"/>
  <c r="K3383" i="6"/>
  <c r="L3383" i="6" s="1"/>
  <c r="I3382" i="6"/>
  <c r="K3382" i="6"/>
  <c r="L3382" i="6" s="1"/>
  <c r="I3765" i="6"/>
  <c r="K3765" i="6"/>
  <c r="L3765" i="6" s="1"/>
  <c r="I3764" i="6"/>
  <c r="K3764" i="6"/>
  <c r="L3764" i="6" s="1"/>
  <c r="K3379" i="6"/>
  <c r="L3379" i="6" s="1"/>
  <c r="I3379" i="6"/>
  <c r="I3378" i="6"/>
  <c r="K3378" i="6"/>
  <c r="L3378" i="6" s="1"/>
  <c r="I3377" i="6"/>
  <c r="K3377" i="6"/>
  <c r="L3377" i="6" s="1"/>
  <c r="I3376" i="6"/>
  <c r="K3376" i="6"/>
  <c r="L3376" i="6" s="1"/>
  <c r="I3375" i="6"/>
  <c r="K3375" i="6"/>
  <c r="L3375" i="6" s="1"/>
  <c r="I3374" i="6"/>
  <c r="K3374" i="6"/>
  <c r="L3374" i="6" s="1"/>
  <c r="I3762" i="6"/>
  <c r="K3762" i="6"/>
  <c r="L3762" i="6" s="1"/>
  <c r="K3372" i="6"/>
  <c r="L3372" i="6" s="1"/>
  <c r="I3372" i="6"/>
  <c r="K3761" i="6"/>
  <c r="L3761" i="6" s="1"/>
  <c r="I3761" i="6"/>
  <c r="I3759" i="6"/>
  <c r="K3759" i="6"/>
  <c r="L3759" i="6" s="1"/>
  <c r="I3757" i="6"/>
  <c r="K3757" i="6"/>
  <c r="L3757" i="6" s="1"/>
  <c r="K3368" i="6"/>
  <c r="L3368" i="6" s="1"/>
  <c r="I3368" i="6"/>
  <c r="K3367" i="6"/>
  <c r="L3367" i="6" s="1"/>
  <c r="I3367" i="6"/>
  <c r="I3756" i="6"/>
  <c r="K3756" i="6"/>
  <c r="L3756" i="6" s="1"/>
  <c r="I3755" i="6"/>
  <c r="K3755" i="6"/>
  <c r="L3755" i="6" s="1"/>
  <c r="I3754" i="6"/>
  <c r="K3754" i="6"/>
  <c r="L3754" i="6" s="1"/>
  <c r="K3752" i="6"/>
  <c r="L3752" i="6" s="1"/>
  <c r="I3752" i="6"/>
  <c r="I3362" i="6"/>
  <c r="K3362" i="6"/>
  <c r="L3362" i="6" s="1"/>
  <c r="K3361" i="6"/>
  <c r="L3361" i="6" s="1"/>
  <c r="I3361" i="6"/>
  <c r="K3360" i="6"/>
  <c r="L3360" i="6" s="1"/>
  <c r="I3360" i="6"/>
  <c r="I3747" i="6"/>
  <c r="K3747" i="6"/>
  <c r="L3747" i="6" s="1"/>
  <c r="I3358" i="6"/>
  <c r="K3358" i="6"/>
  <c r="L3358" i="6" s="1"/>
  <c r="I3357" i="6"/>
  <c r="K3357" i="6"/>
  <c r="L3357" i="6" s="1"/>
  <c r="K3356" i="6"/>
  <c r="L3356" i="6" s="1"/>
  <c r="I3356" i="6"/>
  <c r="I3746" i="6"/>
  <c r="K3746" i="6"/>
  <c r="L3746" i="6" s="1"/>
  <c r="K3354" i="6"/>
  <c r="L3354" i="6" s="1"/>
  <c r="I3354" i="6"/>
  <c r="K3353" i="6"/>
  <c r="L3353" i="6" s="1"/>
  <c r="I3353" i="6"/>
  <c r="K3352" i="6"/>
  <c r="L3352" i="6" s="1"/>
  <c r="I3352" i="6"/>
  <c r="I3351" i="6"/>
  <c r="K3351" i="6"/>
  <c r="L3351" i="6" s="1"/>
  <c r="I3350" i="6"/>
  <c r="K3350" i="6"/>
  <c r="L3350" i="6" s="1"/>
  <c r="K3745" i="6"/>
  <c r="L3745" i="6" s="1"/>
  <c r="I3745" i="6"/>
  <c r="K3348" i="6"/>
  <c r="L3348" i="6" s="1"/>
  <c r="I3348" i="6"/>
  <c r="I3744" i="6"/>
  <c r="K3744" i="6"/>
  <c r="L3744" i="6" s="1"/>
  <c r="K3346" i="6"/>
  <c r="L3346" i="6" s="1"/>
  <c r="I3346" i="6"/>
  <c r="I3345" i="6"/>
  <c r="K3345" i="6"/>
  <c r="L3345" i="6" s="1"/>
  <c r="I3740" i="6"/>
  <c r="K3740" i="6"/>
  <c r="L3740" i="6" s="1"/>
  <c r="K3343" i="6"/>
  <c r="L3343" i="6" s="1"/>
  <c r="I3343" i="6"/>
  <c r="I3738" i="6"/>
  <c r="K3738" i="6"/>
  <c r="L3738" i="6" s="1"/>
  <c r="I3341" i="6"/>
  <c r="K3341" i="6"/>
  <c r="L3341" i="6" s="1"/>
  <c r="K3733" i="6"/>
  <c r="L3733" i="6" s="1"/>
  <c r="I3733" i="6"/>
  <c r="K3732" i="6"/>
  <c r="L3732" i="6" s="1"/>
  <c r="I3732" i="6"/>
  <c r="K3729" i="6"/>
  <c r="L3729" i="6" s="1"/>
  <c r="I3729" i="6"/>
  <c r="K3337" i="6"/>
  <c r="I3337" i="6"/>
  <c r="L3337" i="6"/>
  <c r="I3728" i="6"/>
  <c r="K3728" i="6"/>
  <c r="L3728" i="6" s="1"/>
  <c r="K3335" i="6"/>
  <c r="L3335" i="6" s="1"/>
  <c r="I3335" i="6"/>
  <c r="I3726" i="6"/>
  <c r="K3726" i="6"/>
  <c r="L3726" i="6" s="1"/>
  <c r="K3333" i="6"/>
  <c r="L3333" i="6" s="1"/>
  <c r="I3333" i="6"/>
  <c r="K3332" i="6"/>
  <c r="L3332" i="6" s="1"/>
  <c r="I3332" i="6"/>
  <c r="K3331" i="6"/>
  <c r="L3331" i="6" s="1"/>
  <c r="I3331" i="6"/>
  <c r="K3330" i="6"/>
  <c r="L3330" i="6" s="1"/>
  <c r="I3330" i="6"/>
  <c r="I3725" i="6"/>
  <c r="K3725" i="6"/>
  <c r="L3725" i="6" s="1"/>
  <c r="I3328" i="6"/>
  <c r="K3328" i="6"/>
  <c r="L3328" i="6" s="1"/>
  <c r="K3724" i="6"/>
  <c r="L3724" i="6" s="1"/>
  <c r="I3724" i="6"/>
  <c r="I3326" i="6"/>
  <c r="K3326" i="6"/>
  <c r="L3326" i="6" s="1"/>
  <c r="K3325" i="6"/>
  <c r="L3325" i="6" s="1"/>
  <c r="I3325" i="6"/>
  <c r="I3324" i="6"/>
  <c r="K3324" i="6"/>
  <c r="L3324" i="6" s="1"/>
  <c r="I3323" i="6"/>
  <c r="K3323" i="6"/>
  <c r="L3323" i="6" s="1"/>
  <c r="K3723" i="6"/>
  <c r="I3723" i="6"/>
  <c r="L3723" i="6"/>
  <c r="K3720" i="6"/>
  <c r="L3720" i="6" s="1"/>
  <c r="I3720" i="6"/>
  <c r="I3719" i="6"/>
  <c r="K3719" i="6"/>
  <c r="L3719" i="6" s="1"/>
  <c r="I3717" i="6"/>
  <c r="K3717" i="6"/>
  <c r="L3717" i="6" s="1"/>
  <c r="I3714" i="6"/>
  <c r="K3714" i="6"/>
  <c r="L3714" i="6" s="1"/>
  <c r="K3317" i="6"/>
  <c r="L3317" i="6" s="1"/>
  <c r="I3317" i="6"/>
  <c r="I3316" i="6"/>
  <c r="K3316" i="6"/>
  <c r="L3316" i="6" s="1"/>
  <c r="K3315" i="6"/>
  <c r="L3315" i="6" s="1"/>
  <c r="I3315" i="6"/>
  <c r="I3713" i="6"/>
  <c r="K3713" i="6"/>
  <c r="L3713" i="6" s="1"/>
  <c r="I3313" i="6"/>
  <c r="K3313" i="6"/>
  <c r="L3313" i="6" s="1"/>
  <c r="K3711" i="6"/>
  <c r="L3711" i="6" s="1"/>
  <c r="I3711" i="6"/>
  <c r="K3311" i="6"/>
  <c r="L3311" i="6" s="1"/>
  <c r="I3311" i="6"/>
  <c r="I3710" i="6"/>
  <c r="K3710" i="6"/>
  <c r="L3710" i="6" s="1"/>
  <c r="I3309" i="6"/>
  <c r="K3309" i="6"/>
  <c r="L3309" i="6" s="1"/>
  <c r="K3308" i="6"/>
  <c r="L3308" i="6" s="1"/>
  <c r="I3308" i="6"/>
  <c r="K3709" i="6"/>
  <c r="L3709" i="6" s="1"/>
  <c r="I3709" i="6"/>
  <c r="I3306" i="6"/>
  <c r="K3306" i="6"/>
  <c r="L3306" i="6" s="1"/>
  <c r="I3305" i="6"/>
  <c r="K3305" i="6"/>
  <c r="L3305" i="6" s="1"/>
  <c r="K3304" i="6"/>
  <c r="L3304" i="6" s="1"/>
  <c r="I3304" i="6"/>
  <c r="K3706" i="6"/>
  <c r="L3706" i="6" s="1"/>
  <c r="I3706" i="6"/>
  <c r="K3705" i="6"/>
  <c r="L3705" i="6" s="1"/>
  <c r="I3705" i="6"/>
  <c r="I3704" i="6"/>
  <c r="K3704" i="6"/>
  <c r="L3704" i="6" s="1"/>
  <c r="I3300" i="6"/>
  <c r="K3300" i="6"/>
  <c r="L3300" i="6" s="1"/>
  <c r="I3299" i="6"/>
  <c r="K3299" i="6"/>
  <c r="L3299" i="6" s="1"/>
  <c r="I3298" i="6"/>
  <c r="K3298" i="6"/>
  <c r="L3298" i="6" s="1"/>
  <c r="K409" i="6"/>
  <c r="L409" i="6" s="1"/>
  <c r="I409" i="6"/>
  <c r="I3104" i="6"/>
  <c r="K3104" i="6"/>
  <c r="L3104" i="6" s="1"/>
  <c r="K1928" i="6"/>
  <c r="L1928" i="6" s="1"/>
  <c r="I1928" i="6"/>
  <c r="K2434" i="6"/>
  <c r="L2434" i="6" s="1"/>
  <c r="I2434" i="6"/>
  <c r="I3101" i="6"/>
  <c r="K3101" i="6"/>
  <c r="L3101" i="6" s="1"/>
  <c r="K418" i="6"/>
  <c r="L418" i="6" s="1"/>
  <c r="I418" i="6"/>
  <c r="K2433" i="6"/>
  <c r="L2433" i="6" s="1"/>
  <c r="I2433" i="6"/>
  <c r="K1747" i="6"/>
  <c r="L1747" i="6" s="1"/>
  <c r="I1747" i="6"/>
  <c r="K969" i="6"/>
  <c r="L969" i="6" s="1"/>
  <c r="I969" i="6"/>
  <c r="I434" i="6"/>
  <c r="K434" i="6"/>
  <c r="L434" i="6" s="1"/>
  <c r="K1317" i="6"/>
  <c r="L1317" i="6" s="1"/>
  <c r="I1317" i="6"/>
  <c r="K3286" i="6"/>
  <c r="L3286" i="6" s="1"/>
  <c r="I3286" i="6"/>
  <c r="K3285" i="6"/>
  <c r="L3285" i="6" s="1"/>
  <c r="I3285" i="6"/>
  <c r="I436" i="6"/>
  <c r="K436" i="6"/>
  <c r="L436" i="6" s="1"/>
  <c r="K1321" i="6"/>
  <c r="L1321" i="6" s="1"/>
  <c r="I1321" i="6"/>
  <c r="I2641" i="6"/>
  <c r="K2641" i="6"/>
  <c r="L2641" i="6" s="1"/>
  <c r="I2123" i="6"/>
  <c r="K2123" i="6"/>
  <c r="L2123" i="6" s="1"/>
  <c r="K2639" i="6"/>
  <c r="L2639" i="6" s="1"/>
  <c r="I2639" i="6"/>
  <c r="I2122" i="6"/>
  <c r="K2122" i="6"/>
  <c r="L2122" i="6" s="1"/>
  <c r="I1956" i="6"/>
  <c r="K1956" i="6"/>
  <c r="L1956" i="6" s="1"/>
  <c r="I922" i="6"/>
  <c r="K922" i="6"/>
  <c r="L922" i="6" s="1"/>
  <c r="I1414" i="6"/>
  <c r="K1414" i="6"/>
  <c r="L1414" i="6" s="1"/>
  <c r="I2119" i="6"/>
  <c r="K2119" i="6"/>
  <c r="L2119" i="6" s="1"/>
  <c r="K442" i="6"/>
  <c r="L442" i="6" s="1"/>
  <c r="I442" i="6"/>
  <c r="I2117" i="6"/>
  <c r="K2117" i="6"/>
  <c r="L2117" i="6" s="1"/>
  <c r="K2632" i="6"/>
  <c r="L2632" i="6" s="1"/>
  <c r="I2632" i="6"/>
  <c r="I1596" i="6"/>
  <c r="K1596" i="6"/>
  <c r="L1596" i="6" s="1"/>
  <c r="K2994" i="6"/>
  <c r="L2994" i="6" s="1"/>
  <c r="I2994" i="6"/>
  <c r="K3269" i="6"/>
  <c r="L3269" i="6" s="1"/>
  <c r="I3269" i="6"/>
  <c r="I2993" i="6"/>
  <c r="K2993" i="6"/>
  <c r="L2993" i="6" s="1"/>
  <c r="I2114" i="6"/>
  <c r="K2114" i="6"/>
  <c r="L2114" i="6" s="1"/>
  <c r="K2113" i="6"/>
  <c r="L2113" i="6" s="1"/>
  <c r="I2113" i="6"/>
  <c r="I1454" i="6"/>
  <c r="K1454" i="6"/>
  <c r="L1454" i="6" s="1"/>
  <c r="I717" i="6"/>
  <c r="K717" i="6"/>
  <c r="L717" i="6" s="1"/>
  <c r="K3263" i="6"/>
  <c r="L3263" i="6" s="1"/>
  <c r="I3263" i="6"/>
  <c r="K2111" i="6"/>
  <c r="L2111" i="6" s="1"/>
  <c r="I2111" i="6"/>
  <c r="K2110" i="6"/>
  <c r="L2110" i="6" s="1"/>
  <c r="I2110" i="6"/>
  <c r="I722" i="6"/>
  <c r="K722" i="6"/>
  <c r="L722" i="6" s="1"/>
  <c r="I3259" i="6"/>
  <c r="K3259" i="6"/>
  <c r="L3259" i="6" s="1"/>
  <c r="K477" i="6"/>
  <c r="L477" i="6" s="1"/>
  <c r="I477" i="6"/>
  <c r="I728" i="6"/>
  <c r="K728" i="6"/>
  <c r="L728" i="6" s="1"/>
  <c r="K1419" i="6"/>
  <c r="L1419" i="6" s="1"/>
  <c r="I1419" i="6"/>
  <c r="K484" i="6"/>
  <c r="L484" i="6" s="1"/>
  <c r="I484" i="6"/>
  <c r="K2105" i="6"/>
  <c r="L2105" i="6" s="1"/>
  <c r="I2105" i="6"/>
  <c r="I2104" i="6"/>
  <c r="K2104" i="6"/>
  <c r="L2104" i="6" s="1"/>
  <c r="I1999" i="6"/>
  <c r="K1999" i="6"/>
  <c r="L1999" i="6" s="1"/>
  <c r="K876" i="6"/>
  <c r="L876" i="6" s="1"/>
  <c r="I876" i="6"/>
  <c r="I2482" i="6"/>
  <c r="K2482" i="6"/>
  <c r="L2482" i="6" s="1"/>
  <c r="I2100" i="6"/>
  <c r="K2100" i="6"/>
  <c r="L2100" i="6" s="1"/>
  <c r="K739" i="6"/>
  <c r="L739" i="6" s="1"/>
  <c r="I739" i="6"/>
  <c r="I1662" i="6"/>
  <c r="K1662" i="6"/>
  <c r="L1662" i="6" s="1"/>
  <c r="K3246" i="6"/>
  <c r="L3246" i="6" s="1"/>
  <c r="I3246" i="6"/>
  <c r="K3245" i="6"/>
  <c r="L3245" i="6" s="1"/>
  <c r="I3245" i="6"/>
  <c r="I932" i="6"/>
  <c r="K932" i="6"/>
  <c r="L932" i="6" s="1"/>
  <c r="K3243" i="6"/>
  <c r="L3243" i="6" s="1"/>
  <c r="I3243" i="6"/>
  <c r="K2478" i="6"/>
  <c r="L2478" i="6" s="1"/>
  <c r="I2478" i="6"/>
  <c r="I2096" i="6"/>
  <c r="K2096" i="6"/>
  <c r="L2096" i="6" s="1"/>
  <c r="I2095" i="6"/>
  <c r="K2095" i="6"/>
  <c r="L2095" i="6" s="1"/>
  <c r="K494" i="6"/>
  <c r="L494" i="6" s="1"/>
  <c r="I494" i="6"/>
  <c r="K2093" i="6"/>
  <c r="L2093" i="6" s="1"/>
  <c r="I2093" i="6"/>
  <c r="I3237" i="6"/>
  <c r="K3237" i="6"/>
  <c r="L3237" i="6" s="1"/>
  <c r="I495" i="6"/>
  <c r="K495" i="6"/>
  <c r="L495" i="6" s="1"/>
  <c r="K496" i="6"/>
  <c r="L496" i="6" s="1"/>
  <c r="I496" i="6"/>
  <c r="K2090" i="6"/>
  <c r="L2090" i="6" s="1"/>
  <c r="I2090" i="6"/>
  <c r="I3233" i="6"/>
  <c r="K3233" i="6"/>
  <c r="L3233" i="6" s="1"/>
  <c r="K2477" i="6"/>
  <c r="L2477" i="6" s="1"/>
  <c r="I2477" i="6"/>
  <c r="K1788" i="6"/>
  <c r="L1788" i="6" s="1"/>
  <c r="I1788" i="6"/>
  <c r="I740" i="6"/>
  <c r="K740" i="6"/>
  <c r="L740" i="6" s="1"/>
  <c r="I2600" i="6"/>
  <c r="K2600" i="6"/>
  <c r="L2600" i="6" s="1"/>
  <c r="K2087" i="6"/>
  <c r="L2087" i="6" s="1"/>
  <c r="I2087" i="6"/>
  <c r="I3227" i="6"/>
  <c r="K3227" i="6"/>
  <c r="L3227" i="6" s="1"/>
  <c r="I880" i="6"/>
  <c r="K880" i="6"/>
  <c r="L880" i="6" s="1"/>
  <c r="I3225" i="6"/>
  <c r="K3225" i="6"/>
  <c r="L3225" i="6" s="1"/>
  <c r="I1993" i="6"/>
  <c r="K1993" i="6"/>
  <c r="L1993" i="6" s="1"/>
  <c r="I1337" i="6"/>
  <c r="K1337" i="6"/>
  <c r="L1337" i="6" s="1"/>
  <c r="K2595" i="6"/>
  <c r="L2595" i="6" s="1"/>
  <c r="I2595" i="6"/>
  <c r="I1420" i="6"/>
  <c r="K1420" i="6"/>
  <c r="L1420" i="6" s="1"/>
  <c r="I2082" i="6"/>
  <c r="K2082" i="6"/>
  <c r="L2082" i="6" s="1"/>
  <c r="K1991" i="6"/>
  <c r="L1991" i="6" s="1"/>
  <c r="I1991" i="6"/>
  <c r="K506" i="6"/>
  <c r="L506" i="6" s="1"/>
  <c r="I506" i="6"/>
  <c r="I1345" i="6"/>
  <c r="K1345" i="6"/>
  <c r="L1345" i="6" s="1"/>
  <c r="K745" i="6"/>
  <c r="L745" i="6" s="1"/>
  <c r="I745" i="6"/>
  <c r="I1947" i="6"/>
  <c r="K1947" i="6"/>
  <c r="L1947" i="6" s="1"/>
  <c r="K509" i="6"/>
  <c r="L509" i="6" s="1"/>
  <c r="I509" i="6"/>
  <c r="K1577" i="6"/>
  <c r="L1577" i="6" s="1"/>
  <c r="I1577" i="6"/>
  <c r="K1694" i="6"/>
  <c r="L1694" i="6" s="1"/>
  <c r="I1694" i="6"/>
  <c r="K510" i="6"/>
  <c r="L510" i="6" s="1"/>
  <c r="I510" i="6"/>
  <c r="I514" i="6"/>
  <c r="K514" i="6"/>
  <c r="L514" i="6" s="1"/>
  <c r="I747" i="6"/>
  <c r="K747" i="6"/>
  <c r="L747" i="6" s="1"/>
  <c r="I1780" i="6"/>
  <c r="K1780" i="6"/>
  <c r="L1780" i="6" s="1"/>
  <c r="I516" i="6"/>
  <c r="K516" i="6"/>
  <c r="L516" i="6" s="1"/>
  <c r="I520" i="6"/>
  <c r="K520" i="6"/>
  <c r="L520" i="6" s="1"/>
  <c r="I1589" i="6"/>
  <c r="K1589" i="6"/>
  <c r="L1589" i="6" s="1"/>
  <c r="I530" i="6"/>
  <c r="K530" i="6"/>
  <c r="L530" i="6" s="1"/>
  <c r="K2468" i="6"/>
  <c r="L2468" i="6" s="1"/>
  <c r="I2468" i="6"/>
  <c r="K756" i="6"/>
  <c r="L756" i="6" s="1"/>
  <c r="I756" i="6"/>
  <c r="I1987" i="6"/>
  <c r="K1987" i="6"/>
  <c r="L1987" i="6" s="1"/>
  <c r="I759" i="6"/>
  <c r="K759" i="6"/>
  <c r="L759" i="6" s="1"/>
  <c r="I2574" i="6"/>
  <c r="K2574" i="6"/>
  <c r="L2574" i="6" s="1"/>
  <c r="K1741" i="6"/>
  <c r="L1741" i="6" s="1"/>
  <c r="I1741" i="6"/>
  <c r="I2572" i="6"/>
  <c r="K2572" i="6"/>
  <c r="L2572" i="6" s="1"/>
  <c r="I2571" i="6"/>
  <c r="K2571" i="6"/>
  <c r="L2571" i="6" s="1"/>
  <c r="K761" i="6"/>
  <c r="L761" i="6" s="1"/>
  <c r="I761" i="6"/>
  <c r="K763" i="6"/>
  <c r="L763" i="6" s="1"/>
  <c r="I763" i="6"/>
  <c r="I538" i="6"/>
  <c r="K538" i="6"/>
  <c r="L538" i="6" s="1"/>
  <c r="I552" i="6"/>
  <c r="K552" i="6"/>
  <c r="L552" i="6" s="1"/>
  <c r="I2566" i="6"/>
  <c r="K2566" i="6"/>
  <c r="L2566" i="6" s="1"/>
  <c r="K765" i="6"/>
  <c r="L765" i="6" s="1"/>
  <c r="I765" i="6"/>
  <c r="K767" i="6"/>
  <c r="L767" i="6" s="1"/>
  <c r="I767" i="6"/>
  <c r="K2980" i="6"/>
  <c r="L2980" i="6" s="1"/>
  <c r="I2980" i="6"/>
  <c r="I2562" i="6"/>
  <c r="K2562" i="6"/>
  <c r="L2562" i="6" s="1"/>
  <c r="I567" i="6"/>
  <c r="K567" i="6"/>
  <c r="L567" i="6" s="1"/>
  <c r="K1347" i="6"/>
  <c r="L1347" i="6" s="1"/>
  <c r="I1347" i="6"/>
  <c r="I581" i="6"/>
  <c r="K581" i="6"/>
  <c r="L581" i="6" s="1"/>
  <c r="K904" i="6"/>
  <c r="L904" i="6" s="1"/>
  <c r="I904" i="6"/>
  <c r="I3059" i="6"/>
  <c r="K3059" i="6"/>
  <c r="L3059" i="6" s="1"/>
  <c r="I1664" i="6"/>
  <c r="K1664" i="6"/>
  <c r="L1664" i="6" s="1"/>
  <c r="K1425" i="6"/>
  <c r="L1425" i="6" s="1"/>
  <c r="I1425" i="6"/>
  <c r="I587" i="6"/>
  <c r="K587" i="6"/>
  <c r="L587" i="6" s="1"/>
  <c r="I589" i="6"/>
  <c r="K589" i="6"/>
  <c r="L589" i="6" s="1"/>
  <c r="I594" i="6"/>
  <c r="K594" i="6"/>
  <c r="L594" i="6" s="1"/>
  <c r="K789" i="6"/>
  <c r="L789" i="6" s="1"/>
  <c r="I789" i="6"/>
  <c r="K2418" i="6"/>
  <c r="L2418" i="6" s="1"/>
  <c r="I2418" i="6"/>
  <c r="I3055" i="6"/>
  <c r="K3055" i="6"/>
  <c r="L3055" i="6" s="1"/>
  <c r="I975" i="6"/>
  <c r="K975" i="6"/>
  <c r="L975" i="6" s="1"/>
  <c r="I3172" i="6"/>
  <c r="K3172" i="6"/>
  <c r="L3172" i="6" s="1"/>
  <c r="I599" i="6"/>
  <c r="K599" i="6"/>
  <c r="L599" i="6" s="1"/>
  <c r="K608" i="6"/>
  <c r="L608" i="6" s="1"/>
  <c r="I608" i="6"/>
  <c r="I1658" i="6"/>
  <c r="K1658" i="6"/>
  <c r="L1658" i="6" s="1"/>
  <c r="I2416" i="6"/>
  <c r="K2416" i="6"/>
  <c r="L2416" i="6" s="1"/>
  <c r="I1356" i="6"/>
  <c r="K1356" i="6"/>
  <c r="L1356" i="6" s="1"/>
  <c r="K611" i="6"/>
  <c r="L611" i="6" s="1"/>
  <c r="I611" i="6"/>
  <c r="I1357" i="6"/>
  <c r="K1357" i="6"/>
  <c r="L1357" i="6" s="1"/>
  <c r="K3164" i="6"/>
  <c r="L3164" i="6" s="1"/>
  <c r="I3164" i="6"/>
  <c r="K2543" i="6"/>
  <c r="L2543" i="6" s="1"/>
  <c r="I2543" i="6"/>
  <c r="K613" i="6"/>
  <c r="I613" i="6"/>
  <c r="L613" i="6"/>
  <c r="K622" i="6"/>
  <c r="L622" i="6" s="1"/>
  <c r="I622" i="6"/>
  <c r="I3008" i="6"/>
  <c r="K3008" i="6"/>
  <c r="L3008" i="6" s="1"/>
  <c r="K2539" i="6"/>
  <c r="L2539" i="6" s="1"/>
  <c r="I2539" i="6"/>
  <c r="I3050" i="6"/>
  <c r="K3050" i="6"/>
  <c r="L3050" i="6" s="1"/>
  <c r="I1374" i="6"/>
  <c r="K1374" i="6"/>
  <c r="L1374" i="6" s="1"/>
  <c r="I629" i="6"/>
  <c r="K629" i="6"/>
  <c r="L629" i="6" s="1"/>
  <c r="I2535" i="6"/>
  <c r="K2535" i="6"/>
  <c r="L2535" i="6" s="1"/>
  <c r="I3049" i="6"/>
  <c r="K3049" i="6"/>
  <c r="L3049" i="6"/>
  <c r="K806" i="6"/>
  <c r="L806" i="6" s="1"/>
  <c r="I806" i="6"/>
  <c r="I630" i="6"/>
  <c r="K630" i="6"/>
  <c r="L630" i="6" s="1"/>
  <c r="K3151" i="6"/>
  <c r="L3151" i="6" s="1"/>
  <c r="I3151" i="6"/>
  <c r="K2035" i="6"/>
  <c r="L2035" i="6" s="1"/>
  <c r="I2035" i="6"/>
  <c r="K632" i="6"/>
  <c r="L632" i="6" s="1"/>
  <c r="I632" i="6"/>
  <c r="I2987" i="6"/>
  <c r="K2987" i="6"/>
  <c r="L2987" i="6" s="1"/>
  <c r="K1769" i="6"/>
  <c r="L1769" i="6" s="1"/>
  <c r="I1769" i="6"/>
  <c r="I2449" i="6"/>
  <c r="K2449" i="6"/>
  <c r="L2449" i="6" s="1"/>
  <c r="I908" i="6"/>
  <c r="K908" i="6"/>
  <c r="L908" i="6"/>
  <c r="I807" i="6"/>
  <c r="K807" i="6"/>
  <c r="L807" i="6"/>
  <c r="K2525" i="6"/>
  <c r="L2525" i="6" s="1"/>
  <c r="I2525" i="6"/>
  <c r="I1691" i="6"/>
  <c r="K1691" i="6"/>
  <c r="L1691" i="6" s="1"/>
  <c r="K808" i="6"/>
  <c r="L808" i="6"/>
  <c r="I808" i="6"/>
  <c r="K3005" i="6"/>
  <c r="L3005" i="6"/>
  <c r="I3005" i="6"/>
  <c r="I2522" i="6"/>
  <c r="K2522" i="6"/>
  <c r="L2522" i="6" s="1"/>
  <c r="K1375" i="6"/>
  <c r="L1375" i="6" s="1"/>
  <c r="I1375" i="6"/>
  <c r="K2025" i="6"/>
  <c r="L2025" i="6" s="1"/>
  <c r="I2025" i="6"/>
  <c r="K668" i="6"/>
  <c r="L668" i="6" s="1"/>
  <c r="I668" i="6"/>
  <c r="K914" i="6"/>
  <c r="L914" i="6" s="1"/>
  <c r="I914" i="6"/>
  <c r="K2023" i="6"/>
  <c r="L2023" i="6" s="1"/>
  <c r="I2023" i="6"/>
  <c r="I817" i="6"/>
  <c r="K817" i="6"/>
  <c r="L817" i="6" s="1"/>
  <c r="I677" i="6"/>
  <c r="K677" i="6"/>
  <c r="L677" i="6" s="1"/>
  <c r="K2401" i="6"/>
  <c r="L2401" i="6" s="1"/>
  <c r="I2401" i="6"/>
  <c r="I2394" i="6"/>
  <c r="K2394" i="6"/>
  <c r="L2394" i="6" s="1"/>
  <c r="I3129" i="6"/>
  <c r="K3129" i="6"/>
  <c r="L3129" i="6" s="1"/>
  <c r="K1739" i="6"/>
  <c r="L1739" i="6" s="1"/>
  <c r="I1739" i="6"/>
  <c r="I3127" i="6"/>
  <c r="K3127" i="6"/>
  <c r="L3127" i="6"/>
  <c r="K840" i="6"/>
  <c r="L840" i="6" s="1"/>
  <c r="I840" i="6"/>
  <c r="K841" i="6"/>
  <c r="L841" i="6" s="1"/>
  <c r="I841" i="6"/>
  <c r="K689" i="6"/>
  <c r="L689" i="6"/>
  <c r="I689" i="6"/>
  <c r="I2410" i="6"/>
  <c r="K2410" i="6"/>
  <c r="L2410" i="6" s="1"/>
  <c r="I691" i="6"/>
  <c r="K691" i="6"/>
  <c r="L691" i="6" s="1"/>
  <c r="K1938" i="6"/>
  <c r="L1938" i="6" s="1"/>
  <c r="I1938" i="6"/>
  <c r="I2508" i="6"/>
  <c r="K2508" i="6"/>
  <c r="L2508" i="6" s="1"/>
  <c r="K1387" i="6"/>
  <c r="L1387" i="6" s="1"/>
  <c r="I1387" i="6"/>
  <c r="K1396" i="6"/>
  <c r="L1396" i="6" s="1"/>
  <c r="I1396" i="6"/>
  <c r="I1595" i="6"/>
  <c r="K1595" i="6"/>
  <c r="L1595" i="6" s="1"/>
  <c r="I2504" i="6"/>
  <c r="K2504" i="6"/>
  <c r="L2504" i="6" s="1"/>
  <c r="K3115" i="6"/>
  <c r="L3115" i="6" s="1"/>
  <c r="I3115" i="6"/>
  <c r="I3114" i="6"/>
  <c r="K3114" i="6"/>
  <c r="L3114" i="6" s="1"/>
  <c r="I1760" i="6"/>
  <c r="K1760" i="6"/>
  <c r="L1760" i="6" s="1"/>
  <c r="K3112" i="6"/>
  <c r="I3112" i="6"/>
  <c r="L3112" i="6"/>
  <c r="K851" i="6"/>
  <c r="L851" i="6" s="1"/>
  <c r="I851" i="6"/>
  <c r="I1409" i="6"/>
  <c r="K1409" i="6"/>
  <c r="L1409" i="6" s="1"/>
  <c r="K2500" i="6"/>
  <c r="L2500" i="6" s="1"/>
  <c r="I2500" i="6"/>
  <c r="K853" i="6"/>
  <c r="L853" i="6" s="1"/>
  <c r="I853" i="6"/>
  <c r="I2008" i="6"/>
  <c r="K2008" i="6"/>
  <c r="L2008" i="6" s="1"/>
  <c r="K2498" i="6"/>
  <c r="L2498" i="6" s="1"/>
  <c r="I2498" i="6"/>
  <c r="I2398" i="6"/>
  <c r="K2398" i="6"/>
  <c r="L2398" i="6" s="1"/>
  <c r="K1474" i="6"/>
  <c r="L1474" i="6" s="1"/>
  <c r="I1474" i="6"/>
  <c r="I2389" i="6"/>
  <c r="K2389" i="6"/>
  <c r="L2389" i="6" s="1"/>
  <c r="K2971" i="6"/>
  <c r="I2971" i="6"/>
  <c r="L2971" i="6"/>
  <c r="I978" i="6"/>
  <c r="K978" i="6"/>
  <c r="L978" i="6"/>
  <c r="K979" i="6"/>
  <c r="L979" i="6" s="1"/>
  <c r="I979" i="6"/>
  <c r="K990" i="6"/>
  <c r="L990" i="6"/>
  <c r="I990" i="6"/>
  <c r="I2967" i="6"/>
  <c r="K2967" i="6"/>
  <c r="L2967" i="6"/>
  <c r="I997" i="6"/>
  <c r="K997" i="6"/>
  <c r="L997" i="6" s="1"/>
  <c r="K2964" i="6"/>
  <c r="I2964" i="6"/>
  <c r="L2964" i="6"/>
  <c r="K2381" i="6"/>
  <c r="L2381" i="6" s="1"/>
  <c r="I2381" i="6"/>
  <c r="K1002" i="6"/>
  <c r="L1002" i="6" s="1"/>
  <c r="I1002" i="6"/>
  <c r="K1682" i="6"/>
  <c r="L1682" i="6" s="1"/>
  <c r="I1682" i="6"/>
  <c r="I1003" i="6"/>
  <c r="K1003" i="6"/>
  <c r="L1003" i="6" s="1"/>
  <c r="K1011" i="6"/>
  <c r="L1011" i="6" s="1"/>
  <c r="I1011" i="6"/>
  <c r="K2953" i="6"/>
  <c r="L2953" i="6" s="1"/>
  <c r="I2953" i="6"/>
  <c r="I1039" i="6"/>
  <c r="K1039" i="6"/>
  <c r="L1039" i="6" s="1"/>
  <c r="K2369" i="6"/>
  <c r="L2369" i="6" s="1"/>
  <c r="I2369" i="6"/>
  <c r="K1904" i="6"/>
  <c r="L1904" i="6" s="1"/>
  <c r="I1904" i="6"/>
  <c r="I1733" i="6"/>
  <c r="K1733" i="6"/>
  <c r="L1733" i="6" s="1"/>
  <c r="I1068" i="6"/>
  <c r="K1068" i="6"/>
  <c r="L1068" i="6" s="1"/>
  <c r="I1075" i="6"/>
  <c r="K1075" i="6"/>
  <c r="L1075" i="6" s="1"/>
  <c r="K2937" i="6"/>
  <c r="L2937" i="6"/>
  <c r="I2937" i="6"/>
  <c r="K2359" i="6"/>
  <c r="L2359" i="6" s="1"/>
  <c r="I2359" i="6"/>
  <c r="I1475" i="6"/>
  <c r="K1475" i="6"/>
  <c r="L1475" i="6" s="1"/>
  <c r="I1090" i="6"/>
  <c r="K1090" i="6"/>
  <c r="L1090" i="6" s="1"/>
  <c r="I2928" i="6"/>
  <c r="K2928" i="6"/>
  <c r="L2928" i="6"/>
  <c r="K2354" i="6"/>
  <c r="L2354" i="6" s="1"/>
  <c r="I2354" i="6"/>
  <c r="I1097" i="6"/>
  <c r="K1097" i="6"/>
  <c r="L1097" i="6"/>
  <c r="K2352" i="6"/>
  <c r="L2352" i="6" s="1"/>
  <c r="I2352" i="6"/>
  <c r="I1607" i="6"/>
  <c r="K1607" i="6"/>
  <c r="L1607" i="6" s="1"/>
  <c r="K1111" i="6"/>
  <c r="L1111" i="6"/>
  <c r="I1111" i="6"/>
  <c r="K2920" i="6"/>
  <c r="L2920" i="6" s="1"/>
  <c r="I2920" i="6"/>
  <c r="K1886" i="6"/>
  <c r="L1886" i="6" s="1"/>
  <c r="I1886" i="6"/>
  <c r="I1883" i="6"/>
  <c r="K1883" i="6"/>
  <c r="L1883" i="6" s="1"/>
  <c r="K2342" i="6"/>
  <c r="L2342" i="6" s="1"/>
  <c r="I2342" i="6"/>
  <c r="K2340" i="6"/>
  <c r="L2340" i="6" s="1"/>
  <c r="I2340" i="6"/>
  <c r="K2908" i="6"/>
  <c r="L2908" i="6" s="1"/>
  <c r="I2908" i="6"/>
  <c r="I2907" i="6"/>
  <c r="K2907" i="6"/>
  <c r="L2907" i="6" s="1"/>
  <c r="I2902" i="6"/>
  <c r="K2902" i="6"/>
  <c r="L2902" i="6"/>
  <c r="K1879" i="6"/>
  <c r="L1879" i="6" s="1"/>
  <c r="I1879" i="6"/>
  <c r="K1130" i="6"/>
  <c r="L1130" i="6" s="1"/>
  <c r="I1130" i="6"/>
  <c r="I1132" i="6"/>
  <c r="K1132" i="6"/>
  <c r="L1132" i="6"/>
  <c r="K1495" i="6"/>
  <c r="L1495" i="6" s="1"/>
  <c r="I1495" i="6"/>
  <c r="I1615" i="6"/>
  <c r="K1615" i="6"/>
  <c r="L1615" i="6" s="1"/>
  <c r="I1147" i="6"/>
  <c r="K1147" i="6"/>
  <c r="L1147" i="6"/>
  <c r="I1148" i="6"/>
  <c r="K1148" i="6"/>
  <c r="L1148" i="6"/>
  <c r="I2323" i="6"/>
  <c r="K2323" i="6"/>
  <c r="L2323" i="6" s="1"/>
  <c r="I2322" i="6"/>
  <c r="K2322" i="6"/>
  <c r="L2322" i="6" s="1"/>
  <c r="I2318" i="6"/>
  <c r="K2318" i="6"/>
  <c r="L2318" i="6" s="1"/>
  <c r="K1723" i="6"/>
  <c r="L1723" i="6" s="1"/>
  <c r="I1723" i="6"/>
  <c r="I1501" i="6"/>
  <c r="K1501" i="6"/>
  <c r="L1501" i="6" s="1"/>
  <c r="K1862" i="6"/>
  <c r="L1862" i="6" s="1"/>
  <c r="I1862" i="6"/>
  <c r="I1621" i="6"/>
  <c r="K1621" i="6"/>
  <c r="L1621" i="6" s="1"/>
  <c r="K2869" i="6"/>
  <c r="L2869" i="6" s="1"/>
  <c r="I2869" i="6"/>
  <c r="K1858" i="6"/>
  <c r="L1858" i="6" s="1"/>
  <c r="I1858" i="6"/>
  <c r="K1163" i="6"/>
  <c r="I1163" i="6"/>
  <c r="L1163" i="6"/>
  <c r="K1166" i="6"/>
  <c r="L1166" i="6" s="1"/>
  <c r="I1166" i="6"/>
  <c r="K1169" i="6"/>
  <c r="L1169" i="6" s="1"/>
  <c r="I1169" i="6"/>
  <c r="K1513" i="6"/>
  <c r="L1513" i="6" s="1"/>
  <c r="I1513" i="6"/>
  <c r="K1175" i="6"/>
  <c r="L1175" i="6" s="1"/>
  <c r="I1175" i="6"/>
  <c r="I1191" i="6"/>
  <c r="K1191" i="6"/>
  <c r="L1191" i="6" s="1"/>
  <c r="K1193" i="6"/>
  <c r="L1193" i="6"/>
  <c r="I1193" i="6"/>
  <c r="K1716" i="6"/>
  <c r="L1716" i="6" s="1"/>
  <c r="I1716" i="6"/>
  <c r="I1715" i="6"/>
  <c r="K1715" i="6"/>
  <c r="L1715" i="6" s="1"/>
  <c r="K1200" i="6"/>
  <c r="I1200" i="6"/>
  <c r="L1200" i="6"/>
  <c r="K2294" i="6"/>
  <c r="L2294" i="6" s="1"/>
  <c r="I2294" i="6"/>
  <c r="K1847" i="6"/>
  <c r="L1847" i="6" s="1"/>
  <c r="I1847" i="6"/>
  <c r="I1623" i="6"/>
  <c r="K1623" i="6"/>
  <c r="L1623" i="6" s="1"/>
  <c r="I1204" i="6"/>
  <c r="K1204" i="6"/>
  <c r="L1204" i="6" s="1"/>
  <c r="K2288" i="6"/>
  <c r="L2288" i="6" s="1"/>
  <c r="I2288" i="6"/>
  <c r="I1842" i="6"/>
  <c r="K1842" i="6"/>
  <c r="L1842" i="6" s="1"/>
  <c r="K1211" i="6"/>
  <c r="L1211" i="6" s="1"/>
  <c r="I1211" i="6"/>
  <c r="K1839" i="6"/>
  <c r="L1839" i="6" s="1"/>
  <c r="I1839" i="6"/>
  <c r="K1223" i="6"/>
  <c r="I1223" i="6"/>
  <c r="L1223" i="6"/>
  <c r="K2280" i="6"/>
  <c r="L2280" i="6" s="1"/>
  <c r="I2280" i="6"/>
  <c r="I45" i="6"/>
  <c r="K45" i="6"/>
  <c r="L45" i="6" s="1"/>
  <c r="K54" i="6"/>
  <c r="L54" i="6" s="1"/>
  <c r="I54" i="6"/>
  <c r="I58" i="6"/>
  <c r="K58" i="6"/>
  <c r="L58" i="6" s="1"/>
  <c r="K2270" i="6"/>
  <c r="L2270" i="6" s="1"/>
  <c r="I2270" i="6"/>
  <c r="I68" i="6"/>
  <c r="K68" i="6"/>
  <c r="L68" i="6" s="1"/>
  <c r="K2265" i="6"/>
  <c r="L2265" i="6" s="1"/>
  <c r="I2265" i="6"/>
  <c r="K1226" i="6"/>
  <c r="I1226" i="6"/>
  <c r="L1226" i="6"/>
  <c r="K77" i="6"/>
  <c r="L77" i="6" s="1"/>
  <c r="I77" i="6"/>
  <c r="K87" i="6"/>
  <c r="L87" i="6" s="1"/>
  <c r="I87" i="6"/>
  <c r="K92" i="6"/>
  <c r="L92" i="6" s="1"/>
  <c r="I92" i="6"/>
  <c r="K94" i="6"/>
  <c r="L94" i="6" s="1"/>
  <c r="I94" i="6"/>
  <c r="K100" i="6"/>
  <c r="L100" i="6" s="1"/>
  <c r="I100" i="6"/>
  <c r="I1231" i="6"/>
  <c r="K1231" i="6"/>
  <c r="L1231" i="6"/>
  <c r="K1519" i="6"/>
  <c r="L1519" i="6" s="1"/>
  <c r="I1519" i="6"/>
  <c r="K1233" i="6"/>
  <c r="I1233" i="6"/>
  <c r="L1233" i="6"/>
  <c r="I1830" i="6"/>
  <c r="K1830" i="6"/>
  <c r="L1830" i="6"/>
  <c r="I106" i="6"/>
  <c r="K106" i="6"/>
  <c r="L106" i="6" s="1"/>
  <c r="K108" i="6"/>
  <c r="L108" i="6" s="1"/>
  <c r="I108" i="6"/>
  <c r="I1240" i="6"/>
  <c r="K1240" i="6"/>
  <c r="L1240" i="6" s="1"/>
  <c r="K110" i="6"/>
  <c r="L110" i="6" s="1"/>
  <c r="I110" i="6"/>
  <c r="K126" i="6"/>
  <c r="L126" i="6" s="1"/>
  <c r="I126" i="6"/>
  <c r="K136" i="6"/>
  <c r="L136" i="6" s="1"/>
  <c r="I136" i="6"/>
  <c r="K139" i="6"/>
  <c r="L139" i="6" s="1"/>
  <c r="I139" i="6"/>
  <c r="I151" i="6"/>
  <c r="K151" i="6"/>
  <c r="L151" i="6" s="1"/>
  <c r="I158" i="6"/>
  <c r="K158" i="6"/>
  <c r="L158" i="6" s="1"/>
  <c r="K1525" i="6"/>
  <c r="L1525" i="6" s="1"/>
  <c r="I1525" i="6"/>
  <c r="K181" i="6"/>
  <c r="L181" i="6" s="1"/>
  <c r="I181" i="6"/>
  <c r="K185" i="6"/>
  <c r="L185" i="6" s="1"/>
  <c r="I185" i="6"/>
  <c r="K186" i="6"/>
  <c r="L186" i="6" s="1"/>
  <c r="I186" i="6"/>
  <c r="K195" i="6"/>
  <c r="L195" i="6" s="1"/>
  <c r="I195" i="6"/>
  <c r="I196" i="6"/>
  <c r="K196" i="6"/>
  <c r="L196" i="6" s="1"/>
  <c r="I199" i="6"/>
  <c r="K199" i="6"/>
  <c r="L199" i="6" s="1"/>
  <c r="I206" i="6"/>
  <c r="K206" i="6"/>
  <c r="L206" i="6" s="1"/>
  <c r="K216" i="6"/>
  <c r="L216" i="6" s="1"/>
  <c r="I216" i="6"/>
  <c r="K229" i="6"/>
  <c r="L229" i="6" s="1"/>
  <c r="I229" i="6"/>
  <c r="K230" i="6"/>
  <c r="L230" i="6" s="1"/>
  <c r="I230" i="6"/>
  <c r="K232" i="6"/>
  <c r="L232" i="6" s="1"/>
  <c r="I232" i="6"/>
  <c r="K242" i="6"/>
  <c r="L242" i="6" s="1"/>
  <c r="I242" i="6"/>
  <c r="I1823" i="6"/>
  <c r="K1823" i="6"/>
  <c r="L1823" i="6" s="1"/>
  <c r="K1646" i="6"/>
  <c r="L1646" i="6" s="1"/>
  <c r="I1646" i="6"/>
  <c r="K284" i="6"/>
  <c r="L284" i="6" s="1"/>
  <c r="I284" i="6"/>
  <c r="I1540" i="6"/>
  <c r="K1540" i="6"/>
  <c r="L1540" i="6" s="1"/>
  <c r="I291" i="6"/>
  <c r="K291" i="6"/>
  <c r="L291" i="6" s="1"/>
  <c r="K1820" i="6"/>
  <c r="L1820" i="6" s="1"/>
  <c r="I1820" i="6"/>
  <c r="I1253" i="6"/>
  <c r="K1253" i="6"/>
  <c r="L1253" i="6" s="1"/>
  <c r="K299" i="6"/>
  <c r="L299" i="6" s="1"/>
  <c r="I299" i="6"/>
  <c r="I312" i="6"/>
  <c r="K312" i="6"/>
  <c r="L312" i="6" s="1"/>
  <c r="K319" i="6"/>
  <c r="L319" i="6" s="1"/>
  <c r="I319" i="6"/>
  <c r="I329" i="6"/>
  <c r="K329" i="6"/>
  <c r="L329" i="6" s="1"/>
  <c r="I331" i="6"/>
  <c r="K331" i="6"/>
  <c r="L331" i="6" s="1"/>
  <c r="I1276" i="6"/>
  <c r="K1276" i="6"/>
  <c r="L1276" i="6" s="1"/>
  <c r="I335" i="6"/>
  <c r="K335" i="6"/>
  <c r="L335" i="6" s="1"/>
  <c r="I342" i="6"/>
  <c r="K342" i="6"/>
  <c r="L342" i="6" s="1"/>
  <c r="K344" i="6"/>
  <c r="L344" i="6" s="1"/>
  <c r="I344" i="6"/>
  <c r="I348" i="6"/>
  <c r="K348" i="6"/>
  <c r="L348" i="6"/>
  <c r="K351" i="6"/>
  <c r="L351" i="6" s="1"/>
  <c r="I351" i="6"/>
  <c r="I352" i="6"/>
  <c r="K352" i="6"/>
  <c r="L352" i="6" s="1"/>
  <c r="K1278" i="6"/>
  <c r="L1278" i="6" s="1"/>
  <c r="I1278" i="6"/>
  <c r="I1285" i="6"/>
  <c r="K1285" i="6"/>
  <c r="L1285" i="6" s="1"/>
  <c r="K357" i="6"/>
  <c r="L357" i="6" s="1"/>
  <c r="I357" i="6"/>
  <c r="K360" i="6"/>
  <c r="L360" i="6" s="1"/>
  <c r="I360" i="6"/>
  <c r="I367" i="6"/>
  <c r="K367" i="6"/>
  <c r="L367" i="6" s="1"/>
  <c r="K368" i="6"/>
  <c r="L368" i="6" s="1"/>
  <c r="I368" i="6"/>
  <c r="I1294" i="6"/>
  <c r="K1294" i="6"/>
  <c r="L1294" i="6" s="1"/>
  <c r="K1302" i="6"/>
  <c r="L1302" i="6" s="1"/>
  <c r="I1302" i="6"/>
  <c r="I373" i="6"/>
  <c r="K373" i="6"/>
  <c r="L373" i="6" s="1"/>
  <c r="K1309" i="6"/>
  <c r="L1309" i="6" s="1"/>
  <c r="I1309" i="6"/>
  <c r="I375" i="6"/>
  <c r="K375" i="6"/>
  <c r="L375" i="6" s="1"/>
  <c r="I398" i="6"/>
  <c r="K398" i="6"/>
  <c r="L398" i="6" s="1"/>
  <c r="I399" i="6"/>
  <c r="K399" i="6"/>
  <c r="L399" i="6" s="1"/>
  <c r="I402" i="6"/>
  <c r="K402" i="6"/>
  <c r="L402" i="6"/>
  <c r="I534" i="6"/>
  <c r="K534" i="6"/>
  <c r="L534" i="6" s="1"/>
  <c r="I1121" i="6"/>
  <c r="K1121" i="6"/>
  <c r="L1121" i="6"/>
  <c r="K1122" i="6"/>
  <c r="L1122" i="6"/>
  <c r="I1122" i="6"/>
  <c r="K535" i="6"/>
  <c r="L535" i="6"/>
  <c r="I535" i="6"/>
  <c r="I537" i="6"/>
  <c r="K537" i="6"/>
  <c r="L537" i="6"/>
  <c r="K555" i="6"/>
  <c r="L555" i="6"/>
  <c r="I555" i="6"/>
  <c r="K562" i="6"/>
  <c r="L562" i="6" s="1"/>
  <c r="I562" i="6"/>
  <c r="I585" i="6"/>
  <c r="K585" i="6"/>
  <c r="L585" i="6"/>
  <c r="I596" i="6"/>
  <c r="K596" i="6"/>
  <c r="L596" i="6"/>
  <c r="I597" i="6"/>
  <c r="K597" i="6"/>
  <c r="L597" i="6" s="1"/>
  <c r="K635" i="6"/>
  <c r="L635" i="6" s="1"/>
  <c r="I635" i="6"/>
  <c r="I644" i="6"/>
  <c r="K644" i="6"/>
  <c r="L644" i="6" s="1"/>
  <c r="K645" i="6"/>
  <c r="I645" i="6"/>
  <c r="L645" i="6"/>
  <c r="I646" i="6"/>
  <c r="K646" i="6"/>
  <c r="L646" i="6" s="1"/>
  <c r="I683" i="6"/>
  <c r="K683" i="6"/>
  <c r="L683" i="6" s="1"/>
  <c r="K33" i="6"/>
  <c r="I33" i="6"/>
  <c r="L33" i="6"/>
  <c r="K36" i="6"/>
  <c r="L36" i="6" s="1"/>
  <c r="I36" i="6"/>
  <c r="K37" i="6"/>
  <c r="L37" i="6" s="1"/>
  <c r="I37" i="6"/>
  <c r="K47" i="6"/>
  <c r="L47" i="6" s="1"/>
  <c r="I47" i="6"/>
  <c r="K59" i="6"/>
  <c r="L59" i="6" s="1"/>
  <c r="I59" i="6"/>
  <c r="K75" i="6"/>
  <c r="L75" i="6" s="1"/>
  <c r="I75" i="6"/>
  <c r="K93" i="6"/>
  <c r="L93" i="6" s="1"/>
  <c r="I93" i="6"/>
  <c r="K99" i="6"/>
  <c r="L99" i="6" s="1"/>
  <c r="I99" i="6"/>
  <c r="K102" i="6"/>
  <c r="L102" i="6" s="1"/>
  <c r="I102" i="6"/>
  <c r="K109" i="6"/>
  <c r="L109" i="6" s="1"/>
  <c r="I109" i="6"/>
  <c r="K111" i="6"/>
  <c r="L111" i="6" s="1"/>
  <c r="I111" i="6"/>
  <c r="K129" i="6"/>
  <c r="L129" i="6" s="1"/>
  <c r="I129" i="6"/>
  <c r="K134" i="6"/>
  <c r="L134" i="6" s="1"/>
  <c r="I134" i="6"/>
  <c r="K137" i="6"/>
  <c r="L137" i="6" s="1"/>
  <c r="I137" i="6"/>
  <c r="K1927" i="6"/>
  <c r="L1927" i="6" s="1"/>
  <c r="I1927" i="6"/>
  <c r="I1488" i="6"/>
  <c r="K1488" i="6"/>
  <c r="L1488" i="6" s="1"/>
  <c r="K967" i="6"/>
  <c r="I967" i="6"/>
  <c r="L967" i="6"/>
  <c r="I1487" i="6"/>
  <c r="K1487" i="6"/>
  <c r="L1487" i="6" s="1"/>
  <c r="I965" i="6"/>
  <c r="K965" i="6"/>
  <c r="L965" i="6"/>
  <c r="K964" i="6"/>
  <c r="L964" i="6"/>
  <c r="I964" i="6"/>
  <c r="I1486" i="6"/>
  <c r="K1486" i="6"/>
  <c r="L1486" i="6" s="1"/>
  <c r="K962" i="6"/>
  <c r="L962" i="6"/>
  <c r="I962" i="6"/>
  <c r="K1485" i="6"/>
  <c r="L1485" i="6" s="1"/>
  <c r="I1485" i="6"/>
  <c r="I960" i="6"/>
  <c r="K960" i="6"/>
  <c r="L960" i="6" s="1"/>
  <c r="I959" i="6"/>
  <c r="K959" i="6"/>
  <c r="L959" i="6"/>
  <c r="K958" i="6"/>
  <c r="L958" i="6"/>
  <c r="I958" i="6"/>
  <c r="I957" i="6"/>
  <c r="K957" i="6"/>
  <c r="L957" i="6"/>
  <c r="I956" i="6"/>
  <c r="K956" i="6"/>
  <c r="L956" i="6"/>
  <c r="I955" i="6"/>
  <c r="K955" i="6"/>
  <c r="L955" i="6" s="1"/>
  <c r="K1622" i="6"/>
  <c r="I1622" i="6"/>
  <c r="L1622" i="6"/>
  <c r="I1929" i="6"/>
  <c r="K1929" i="6"/>
  <c r="L1929" i="6" s="1"/>
  <c r="K1677" i="6"/>
  <c r="L1677" i="6" s="1"/>
  <c r="I1677" i="6"/>
  <c r="K1620" i="6"/>
  <c r="L1620" i="6" s="1"/>
  <c r="I1620" i="6"/>
  <c r="I950" i="6"/>
  <c r="K950" i="6"/>
  <c r="L950" i="6" s="1"/>
  <c r="K949" i="6"/>
  <c r="L949" i="6" s="1"/>
  <c r="I949" i="6"/>
  <c r="I1481" i="6"/>
  <c r="K1481" i="6"/>
  <c r="L1481" i="6" s="1"/>
  <c r="K947" i="6"/>
  <c r="L947" i="6" s="1"/>
  <c r="I947" i="6"/>
  <c r="I1728" i="6"/>
  <c r="K1728" i="6"/>
  <c r="L1728" i="6" s="1"/>
  <c r="I945" i="6"/>
  <c r="K945" i="6"/>
  <c r="L945" i="6" s="1"/>
  <c r="I944" i="6"/>
  <c r="K944" i="6"/>
  <c r="L944" i="6"/>
  <c r="I943" i="6"/>
  <c r="K943" i="6"/>
  <c r="L943" i="6"/>
  <c r="I942" i="6"/>
  <c r="K942" i="6"/>
  <c r="L942" i="6" s="1"/>
  <c r="I941" i="6"/>
  <c r="K941" i="6"/>
  <c r="L941" i="6"/>
  <c r="K940" i="6"/>
  <c r="L940" i="6" s="1"/>
  <c r="I940" i="6"/>
  <c r="K939" i="6"/>
  <c r="L939" i="6" s="1"/>
  <c r="I939" i="6"/>
  <c r="K1932" i="6"/>
  <c r="I1932" i="6"/>
  <c r="L1932" i="6"/>
  <c r="K1479" i="6"/>
  <c r="L1479" i="6"/>
  <c r="I1479" i="6"/>
  <c r="K936" i="6"/>
  <c r="L936" i="6" s="1"/>
  <c r="I936" i="6"/>
  <c r="K935" i="6"/>
  <c r="L935" i="6"/>
  <c r="I935" i="6"/>
  <c r="I1478" i="6"/>
  <c r="K1478" i="6"/>
  <c r="L1478" i="6" s="1"/>
  <c r="I933" i="6"/>
  <c r="K933" i="6"/>
  <c r="L933" i="6" s="1"/>
  <c r="K1934" i="6"/>
  <c r="L1934" i="6" s="1"/>
  <c r="I1934" i="6"/>
  <c r="I931" i="6"/>
  <c r="K931" i="6"/>
  <c r="L931" i="6"/>
  <c r="I930" i="6"/>
  <c r="K930" i="6"/>
  <c r="L930" i="6"/>
  <c r="I929" i="6"/>
  <c r="K929" i="6"/>
  <c r="L929" i="6"/>
  <c r="I928" i="6"/>
  <c r="K928" i="6"/>
  <c r="L928" i="6"/>
  <c r="I927" i="6"/>
  <c r="K927" i="6"/>
  <c r="L927" i="6" s="1"/>
  <c r="I926" i="6"/>
  <c r="K926" i="6"/>
  <c r="L926" i="6" s="1"/>
  <c r="I925" i="6"/>
  <c r="K925" i="6"/>
  <c r="L925" i="6" s="1"/>
  <c r="I924" i="6"/>
  <c r="K924" i="6"/>
  <c r="L924" i="6"/>
  <c r="I923" i="6"/>
  <c r="K923" i="6"/>
  <c r="L923" i="6" s="1"/>
  <c r="I1936" i="6"/>
  <c r="K1936" i="6"/>
  <c r="L1936" i="6"/>
  <c r="I1937" i="6"/>
  <c r="K1937" i="6"/>
  <c r="L1937" i="6" s="1"/>
  <c r="K1939" i="6"/>
  <c r="L1939" i="6" s="1"/>
  <c r="I1939" i="6"/>
  <c r="I919" i="6"/>
  <c r="K919" i="6"/>
  <c r="L919" i="6"/>
  <c r="K918" i="6"/>
  <c r="L918" i="6" s="1"/>
  <c r="I918" i="6"/>
  <c r="K1619" i="6"/>
  <c r="L1619" i="6" s="1"/>
  <c r="I1619" i="6"/>
  <c r="I916" i="6"/>
  <c r="K916" i="6"/>
  <c r="L916" i="6"/>
  <c r="I915" i="6"/>
  <c r="K915" i="6"/>
  <c r="L915" i="6" s="1"/>
  <c r="I1940" i="6"/>
  <c r="K1940" i="6"/>
  <c r="L1940" i="6" s="1"/>
  <c r="I913" i="6"/>
  <c r="K913" i="6"/>
  <c r="L913" i="6"/>
  <c r="K912" i="6"/>
  <c r="L912" i="6"/>
  <c r="I912" i="6"/>
  <c r="I911" i="6"/>
  <c r="K911" i="6"/>
  <c r="L911" i="6" s="1"/>
  <c r="K1476" i="6"/>
  <c r="L1476" i="6" s="1"/>
  <c r="I1476" i="6"/>
  <c r="I909" i="6"/>
  <c r="K909" i="6"/>
  <c r="L909" i="6"/>
  <c r="I1941" i="6"/>
  <c r="K1941" i="6"/>
  <c r="L1941" i="6"/>
  <c r="K1732" i="6"/>
  <c r="L1732" i="6" s="1"/>
  <c r="I1732" i="6"/>
  <c r="K1737" i="6"/>
  <c r="L1737" i="6" s="1"/>
  <c r="I1737" i="6"/>
  <c r="K1473" i="6"/>
  <c r="L1473" i="6" s="1"/>
  <c r="I1473" i="6"/>
  <c r="K1944" i="6"/>
  <c r="L1944" i="6"/>
  <c r="I1944" i="6"/>
  <c r="I1945" i="6"/>
  <c r="K1945" i="6"/>
  <c r="L1945" i="6" s="1"/>
  <c r="K902" i="6"/>
  <c r="I902" i="6"/>
  <c r="L902" i="6"/>
  <c r="I1738" i="6"/>
  <c r="K1738" i="6"/>
  <c r="L1738" i="6" s="1"/>
  <c r="K900" i="6"/>
  <c r="L900" i="6" s="1"/>
  <c r="I900" i="6"/>
  <c r="K1618" i="6"/>
  <c r="L1618" i="6" s="1"/>
  <c r="I1618" i="6"/>
  <c r="K1655" i="6"/>
  <c r="L1655" i="6" s="1"/>
  <c r="I1655" i="6"/>
  <c r="I1469" i="6"/>
  <c r="K1469" i="6"/>
  <c r="L1469" i="6" s="1"/>
  <c r="K1468" i="6"/>
  <c r="L1468" i="6" s="1"/>
  <c r="I1468" i="6"/>
  <c r="K895" i="6"/>
  <c r="L895" i="6" s="1"/>
  <c r="I895" i="6"/>
  <c r="I894" i="6"/>
  <c r="K894" i="6"/>
  <c r="L894" i="6" s="1"/>
  <c r="I1467" i="6"/>
  <c r="K1467" i="6"/>
  <c r="L1467" i="6" s="1"/>
  <c r="I892" i="6"/>
  <c r="K892" i="6"/>
  <c r="L892" i="6" s="1"/>
  <c r="I1466" i="6"/>
  <c r="K1466" i="6"/>
  <c r="L1466" i="6" s="1"/>
  <c r="K1678" i="6"/>
  <c r="L1678" i="6" s="1"/>
  <c r="I1678" i="6"/>
  <c r="I889" i="6"/>
  <c r="K889" i="6"/>
  <c r="L889" i="6" s="1"/>
  <c r="I888" i="6"/>
  <c r="K888" i="6"/>
  <c r="L888" i="6"/>
  <c r="K1464" i="6"/>
  <c r="L1464" i="6" s="1"/>
  <c r="I1464" i="6"/>
  <c r="K1679" i="6"/>
  <c r="L1679" i="6" s="1"/>
  <c r="I1679" i="6"/>
  <c r="I885" i="6"/>
  <c r="K885" i="6"/>
  <c r="L885" i="6"/>
  <c r="I884" i="6"/>
  <c r="K884" i="6"/>
  <c r="L884" i="6" s="1"/>
  <c r="I1462" i="6"/>
  <c r="K1462" i="6"/>
  <c r="L1462" i="6" s="1"/>
  <c r="I882" i="6"/>
  <c r="K882" i="6"/>
  <c r="L882" i="6" s="1"/>
  <c r="I881" i="6"/>
  <c r="K881" i="6"/>
  <c r="L881" i="6" s="1"/>
  <c r="I1948" i="6"/>
  <c r="K1948" i="6"/>
  <c r="L1948" i="6" s="1"/>
  <c r="K879" i="6"/>
  <c r="L879" i="6" s="1"/>
  <c r="I879" i="6"/>
  <c r="K1461" i="6"/>
  <c r="L1461" i="6" s="1"/>
  <c r="I1461" i="6"/>
  <c r="K1949" i="6"/>
  <c r="L1949" i="6" s="1"/>
  <c r="I1949" i="6"/>
  <c r="K1951" i="6"/>
  <c r="L1951" i="6" s="1"/>
  <c r="I1951" i="6"/>
  <c r="K875" i="6"/>
  <c r="L875" i="6" s="1"/>
  <c r="I875" i="6"/>
  <c r="I874" i="6"/>
  <c r="K874" i="6"/>
  <c r="L874" i="6"/>
  <c r="K1953" i="6"/>
  <c r="L1953" i="6" s="1"/>
  <c r="I1953" i="6"/>
  <c r="K872" i="6"/>
  <c r="L872" i="6" s="1"/>
  <c r="I872" i="6"/>
  <c r="I1460" i="6"/>
  <c r="K1460" i="6"/>
  <c r="L1460" i="6" s="1"/>
  <c r="K870" i="6"/>
  <c r="L870" i="6" s="1"/>
  <c r="I870" i="6"/>
  <c r="K1954" i="6"/>
  <c r="L1954" i="6" s="1"/>
  <c r="I1954" i="6"/>
  <c r="K868" i="6"/>
  <c r="L868" i="6" s="1"/>
  <c r="I868" i="6"/>
  <c r="I1459" i="6"/>
  <c r="K1459" i="6"/>
  <c r="L1459" i="6" s="1"/>
  <c r="I1458" i="6"/>
  <c r="K1458" i="6"/>
  <c r="L1458" i="6" s="1"/>
  <c r="K1955" i="6"/>
  <c r="L1955" i="6" s="1"/>
  <c r="I1955" i="6"/>
  <c r="I864" i="6"/>
  <c r="K864" i="6"/>
  <c r="L864" i="6" s="1"/>
  <c r="K863" i="6"/>
  <c r="L863" i="6" s="1"/>
  <c r="I863" i="6"/>
  <c r="K862" i="6"/>
  <c r="L862" i="6" s="1"/>
  <c r="I862" i="6"/>
  <c r="K861" i="6"/>
  <c r="I861" i="6"/>
  <c r="L861" i="6"/>
  <c r="K860" i="6"/>
  <c r="L860" i="6" s="1"/>
  <c r="I860" i="6"/>
  <c r="I859" i="6"/>
  <c r="K859" i="6"/>
  <c r="L859" i="6" s="1"/>
  <c r="K858" i="6"/>
  <c r="L858" i="6"/>
  <c r="I858" i="6"/>
  <c r="I857" i="6"/>
  <c r="K857" i="6"/>
  <c r="L857" i="6" s="1"/>
  <c r="K856" i="6"/>
  <c r="L856" i="6"/>
  <c r="I856" i="6"/>
  <c r="I1959" i="6"/>
  <c r="K1959" i="6"/>
  <c r="L1959" i="6" s="1"/>
  <c r="I854" i="6"/>
  <c r="K854" i="6"/>
  <c r="L854" i="6" s="1"/>
  <c r="I1960" i="6"/>
  <c r="K1960" i="6"/>
  <c r="L1960" i="6" s="1"/>
  <c r="K852" i="6"/>
  <c r="L852" i="6" s="1"/>
  <c r="I852" i="6"/>
  <c r="K1961" i="6"/>
  <c r="L1961" i="6" s="1"/>
  <c r="I1961" i="6"/>
  <c r="K850" i="6"/>
  <c r="L850" i="6" s="1"/>
  <c r="I850" i="6"/>
  <c r="K849" i="6"/>
  <c r="L849" i="6"/>
  <c r="I849" i="6"/>
  <c r="K1654" i="6"/>
  <c r="L1654" i="6" s="1"/>
  <c r="I1654" i="6"/>
  <c r="I847" i="6"/>
  <c r="K847" i="6"/>
  <c r="L847" i="6"/>
  <c r="I1963" i="6"/>
  <c r="K1963" i="6"/>
  <c r="L1963" i="6" s="1"/>
  <c r="K844" i="6"/>
  <c r="L844" i="6"/>
  <c r="I844" i="6"/>
  <c r="I843" i="6"/>
  <c r="K843" i="6"/>
  <c r="L843" i="6" s="1"/>
  <c r="I842" i="6"/>
  <c r="K842" i="6"/>
  <c r="L842" i="6" s="1"/>
  <c r="I1964" i="6"/>
  <c r="K1964" i="6"/>
  <c r="L1964" i="6" s="1"/>
  <c r="I1965" i="6"/>
  <c r="K1965" i="6"/>
  <c r="L1965" i="6" s="1"/>
  <c r="K839" i="6"/>
  <c r="I839" i="6"/>
  <c r="L839" i="6"/>
  <c r="K838" i="6"/>
  <c r="L838" i="6" s="1"/>
  <c r="I838" i="6"/>
  <c r="K837" i="6"/>
  <c r="L837" i="6" s="1"/>
  <c r="I837" i="6"/>
  <c r="I1740" i="6"/>
  <c r="K1740" i="6"/>
  <c r="L1740" i="6"/>
  <c r="K1455" i="6"/>
  <c r="L1455" i="6" s="1"/>
  <c r="I1455" i="6"/>
  <c r="I1966" i="6"/>
  <c r="K1966" i="6"/>
  <c r="L1966" i="6"/>
  <c r="K1742" i="6"/>
  <c r="L1742" i="6" s="1"/>
  <c r="I1742" i="6"/>
  <c r="K1453" i="6"/>
  <c r="I1453" i="6"/>
  <c r="L1453" i="6"/>
  <c r="I832" i="6"/>
  <c r="K832" i="6"/>
  <c r="L832" i="6" s="1"/>
  <c r="K830" i="6"/>
  <c r="L830" i="6" s="1"/>
  <c r="I830" i="6"/>
  <c r="I829" i="6"/>
  <c r="K829" i="6"/>
  <c r="L829" i="6"/>
  <c r="K1743" i="6"/>
  <c r="L1743" i="6" s="1"/>
  <c r="I1743" i="6"/>
  <c r="I827" i="6"/>
  <c r="K827" i="6"/>
  <c r="L827" i="6" s="1"/>
  <c r="I826" i="6"/>
  <c r="K826" i="6"/>
  <c r="L826" i="6" s="1"/>
  <c r="K1967" i="6"/>
  <c r="L1967" i="6" s="1"/>
  <c r="I1967" i="6"/>
  <c r="K1667" i="6"/>
  <c r="L1667" i="6" s="1"/>
  <c r="I1667" i="6"/>
  <c r="K1612" i="6"/>
  <c r="L1612" i="6" s="1"/>
  <c r="I1612" i="6"/>
  <c r="I822" i="6"/>
  <c r="K822" i="6"/>
  <c r="L822" i="6" s="1"/>
  <c r="I821" i="6"/>
  <c r="K821" i="6"/>
  <c r="L821" i="6"/>
  <c r="I1744" i="6"/>
  <c r="K1744" i="6"/>
  <c r="L1744" i="6" s="1"/>
  <c r="K1448" i="6"/>
  <c r="L1448" i="6" s="1"/>
  <c r="I1448" i="6"/>
  <c r="I1447" i="6"/>
  <c r="K1447" i="6"/>
  <c r="L1447" i="6" s="1"/>
  <c r="I818" i="6"/>
  <c r="K818" i="6"/>
  <c r="L818" i="6"/>
  <c r="I1968" i="6"/>
  <c r="K1968" i="6"/>
  <c r="L1968" i="6" s="1"/>
  <c r="I816" i="6"/>
  <c r="K816" i="6"/>
  <c r="L816" i="6" s="1"/>
  <c r="K1446" i="6"/>
  <c r="L1446" i="6" s="1"/>
  <c r="I1446" i="6"/>
  <c r="I814" i="6"/>
  <c r="K814" i="6"/>
  <c r="L814" i="6" s="1"/>
  <c r="K1445" i="6"/>
  <c r="L1445" i="6"/>
  <c r="I1445" i="6"/>
  <c r="I1444" i="6"/>
  <c r="K1444" i="6"/>
  <c r="L1444" i="6" s="1"/>
  <c r="I1969" i="6"/>
  <c r="K1969" i="6"/>
  <c r="L1969" i="6"/>
  <c r="I810" i="6"/>
  <c r="K810" i="6"/>
  <c r="L810" i="6" s="1"/>
  <c r="I809" i="6"/>
  <c r="K809" i="6"/>
  <c r="L809" i="6"/>
  <c r="I1970" i="6"/>
  <c r="K1970" i="6"/>
  <c r="L1970" i="6" s="1"/>
  <c r="K1971" i="6"/>
  <c r="L1971" i="6" s="1"/>
  <c r="I1971" i="6"/>
  <c r="K1972" i="6"/>
  <c r="L1972" i="6" s="1"/>
  <c r="I1972" i="6"/>
  <c r="I805" i="6"/>
  <c r="K805" i="6"/>
  <c r="L805" i="6" s="1"/>
  <c r="I803" i="6"/>
  <c r="K803" i="6"/>
  <c r="L803" i="6" s="1"/>
  <c r="I1749" i="6"/>
  <c r="K1749" i="6"/>
  <c r="L1749" i="6" s="1"/>
  <c r="I1442" i="6"/>
  <c r="K1442" i="6"/>
  <c r="L1442" i="6" s="1"/>
  <c r="K1441" i="6"/>
  <c r="L1441" i="6" s="1"/>
  <c r="I1441" i="6"/>
  <c r="K800" i="6"/>
  <c r="L800" i="6"/>
  <c r="I800" i="6"/>
  <c r="K1973" i="6"/>
  <c r="L1973" i="6" s="1"/>
  <c r="I1973" i="6"/>
  <c r="I798" i="6"/>
  <c r="K798" i="6"/>
  <c r="L798" i="6"/>
  <c r="I797" i="6"/>
  <c r="K797" i="6"/>
  <c r="L797" i="6"/>
  <c r="K1440" i="6"/>
  <c r="L1440" i="6" s="1"/>
  <c r="I1440" i="6"/>
  <c r="I795" i="6"/>
  <c r="K795" i="6"/>
  <c r="L795" i="6"/>
  <c r="I1439" i="6"/>
  <c r="K1439" i="6"/>
  <c r="L1439" i="6" s="1"/>
  <c r="I1438" i="6"/>
  <c r="K1438" i="6"/>
  <c r="L1438" i="6"/>
  <c r="K792" i="6"/>
  <c r="L792" i="6"/>
  <c r="I792" i="6"/>
  <c r="I791" i="6"/>
  <c r="K791" i="6"/>
  <c r="L791" i="6"/>
  <c r="K790" i="6"/>
  <c r="L790" i="6" s="1"/>
  <c r="I790" i="6"/>
  <c r="K1977" i="6"/>
  <c r="L1977" i="6" s="1"/>
  <c r="I1977" i="6"/>
  <c r="I787" i="6"/>
  <c r="K787" i="6"/>
  <c r="L787" i="6" s="1"/>
  <c r="I786" i="6"/>
  <c r="K786" i="6"/>
  <c r="L786" i="6"/>
  <c r="K1680" i="6"/>
  <c r="L1680" i="6" s="1"/>
  <c r="I1680" i="6"/>
  <c r="I1436" i="6"/>
  <c r="K1436" i="6"/>
  <c r="L1436" i="6" s="1"/>
  <c r="I784" i="6"/>
  <c r="K784" i="6"/>
  <c r="L784" i="6" s="1"/>
  <c r="I783" i="6"/>
  <c r="K783" i="6"/>
  <c r="L783" i="6" s="1"/>
  <c r="I1435" i="6"/>
  <c r="K1435" i="6"/>
  <c r="L1435" i="6" s="1"/>
  <c r="I781" i="6"/>
  <c r="K781" i="6"/>
  <c r="L781" i="6"/>
  <c r="K1610" i="6"/>
  <c r="L1610" i="6" s="1"/>
  <c r="I1610" i="6"/>
  <c r="I779" i="6"/>
  <c r="K779" i="6"/>
  <c r="L779" i="6"/>
  <c r="I1652" i="6"/>
  <c r="K1652" i="6"/>
  <c r="L1652" i="6" s="1"/>
  <c r="I777" i="6"/>
  <c r="K777" i="6"/>
  <c r="L777" i="6" s="1"/>
  <c r="I1651" i="6"/>
  <c r="K1651" i="6"/>
  <c r="L1651" i="6" s="1"/>
  <c r="K774" i="6"/>
  <c r="L774" i="6" s="1"/>
  <c r="I774" i="6"/>
  <c r="I1980" i="6"/>
  <c r="K1980" i="6"/>
  <c r="L1980" i="6" s="1"/>
  <c r="I772" i="6"/>
  <c r="K772" i="6"/>
  <c r="L772" i="6" s="1"/>
  <c r="K1681" i="6"/>
  <c r="L1681" i="6" s="1"/>
  <c r="I1681" i="6"/>
  <c r="K1430" i="6"/>
  <c r="L1430" i="6" s="1"/>
  <c r="I1430" i="6"/>
  <c r="K770" i="6"/>
  <c r="L770" i="6" s="1"/>
  <c r="I770" i="6"/>
  <c r="I769" i="6"/>
  <c r="K769" i="6"/>
  <c r="L769" i="6" s="1"/>
  <c r="I768" i="6"/>
  <c r="K768" i="6"/>
  <c r="L768" i="6" s="1"/>
  <c r="K1981" i="6"/>
  <c r="L1981" i="6" s="1"/>
  <c r="I1981" i="6"/>
  <c r="I766" i="6"/>
  <c r="K766" i="6"/>
  <c r="L766" i="6"/>
  <c r="K1982" i="6"/>
  <c r="L1982" i="6" s="1"/>
  <c r="I1982" i="6"/>
  <c r="I764" i="6"/>
  <c r="K764" i="6"/>
  <c r="L764" i="6" s="1"/>
  <c r="K1983" i="6"/>
  <c r="L1983" i="6" s="1"/>
  <c r="I1983" i="6"/>
  <c r="I762" i="6"/>
  <c r="K762" i="6"/>
  <c r="L762" i="6" s="1"/>
  <c r="K1984" i="6"/>
  <c r="L1984" i="6" s="1"/>
  <c r="I1984" i="6"/>
  <c r="K760" i="6"/>
  <c r="L760" i="6" s="1"/>
  <c r="I760" i="6"/>
  <c r="K1986" i="6"/>
  <c r="L1986" i="6"/>
  <c r="I1986" i="6"/>
  <c r="K1429" i="6"/>
  <c r="L1429" i="6" s="1"/>
  <c r="I1429" i="6"/>
  <c r="I757" i="6"/>
  <c r="K757" i="6"/>
  <c r="L757" i="6"/>
  <c r="I1988" i="6"/>
  <c r="K1988" i="6"/>
  <c r="L1988" i="6" s="1"/>
  <c r="I755" i="6"/>
  <c r="K755" i="6"/>
  <c r="L755" i="6" s="1"/>
  <c r="K754" i="6"/>
  <c r="L754" i="6" s="1"/>
  <c r="I754" i="6"/>
  <c r="K1428" i="6"/>
  <c r="L1428" i="6" s="1"/>
  <c r="I1428" i="6"/>
  <c r="K1427" i="6"/>
  <c r="L1427" i="6" s="1"/>
  <c r="I1427" i="6"/>
  <c r="I751" i="6"/>
  <c r="K751" i="6"/>
  <c r="L751" i="6" s="1"/>
  <c r="I1606" i="6"/>
  <c r="K1606" i="6"/>
  <c r="L1606" i="6" s="1"/>
  <c r="K749" i="6"/>
  <c r="L749" i="6" s="1"/>
  <c r="I749" i="6"/>
  <c r="K748" i="6"/>
  <c r="L748" i="6" s="1"/>
  <c r="I748" i="6"/>
  <c r="I1989" i="6"/>
  <c r="K1989" i="6"/>
  <c r="L1989" i="6"/>
  <c r="K746" i="6"/>
  <c r="L746" i="6" s="1"/>
  <c r="I746" i="6"/>
  <c r="I1990" i="6"/>
  <c r="K1990" i="6"/>
  <c r="L1990" i="6"/>
  <c r="I744" i="6"/>
  <c r="K744" i="6"/>
  <c r="L744" i="6" s="1"/>
  <c r="I742" i="6"/>
  <c r="K742" i="6"/>
  <c r="L742" i="6"/>
  <c r="K1751" i="6"/>
  <c r="L1751" i="6" s="1"/>
  <c r="I1751" i="6"/>
  <c r="I1424" i="6"/>
  <c r="K1424" i="6"/>
  <c r="L1424" i="6" s="1"/>
  <c r="K1994" i="6"/>
  <c r="L1994" i="6" s="1"/>
  <c r="I1994" i="6"/>
  <c r="I1997" i="6"/>
  <c r="K1997" i="6"/>
  <c r="L1997" i="6" s="1"/>
  <c r="I1423" i="6"/>
  <c r="K1423" i="6"/>
  <c r="L1423" i="6" s="1"/>
  <c r="I737" i="6"/>
  <c r="K737" i="6"/>
  <c r="L737" i="6"/>
  <c r="K736" i="6"/>
  <c r="L736" i="6"/>
  <c r="I736" i="6"/>
  <c r="K735" i="6"/>
  <c r="L735" i="6" s="1"/>
  <c r="I735" i="6"/>
  <c r="K734" i="6"/>
  <c r="L734" i="6" s="1"/>
  <c r="I734" i="6"/>
  <c r="K733" i="6"/>
  <c r="L733" i="6" s="1"/>
  <c r="I733" i="6"/>
  <c r="K732" i="6"/>
  <c r="L732" i="6" s="1"/>
  <c r="I732" i="6"/>
  <c r="I731" i="6"/>
  <c r="K731" i="6"/>
  <c r="L731" i="6"/>
  <c r="I730" i="6"/>
  <c r="K730" i="6"/>
  <c r="L730" i="6"/>
  <c r="K1605" i="6"/>
  <c r="L1605" i="6" s="1"/>
  <c r="I1605" i="6"/>
  <c r="I2001" i="6"/>
  <c r="K2001" i="6"/>
  <c r="L2001" i="6" s="1"/>
  <c r="I727" i="6"/>
  <c r="K727" i="6"/>
  <c r="L727" i="6"/>
  <c r="K726" i="6"/>
  <c r="L726" i="6"/>
  <c r="I726" i="6"/>
  <c r="I725" i="6"/>
  <c r="K725" i="6"/>
  <c r="L725" i="6"/>
  <c r="K1604" i="6"/>
  <c r="L1604" i="6" s="1"/>
  <c r="I1604" i="6"/>
  <c r="I723" i="6"/>
  <c r="K723" i="6"/>
  <c r="L723" i="6" s="1"/>
  <c r="K2002" i="6"/>
  <c r="L2002" i="6" s="1"/>
  <c r="I2002" i="6"/>
  <c r="I721" i="6"/>
  <c r="K721" i="6"/>
  <c r="L721" i="6"/>
  <c r="I719" i="6"/>
  <c r="K719" i="6"/>
  <c r="L719" i="6" s="1"/>
  <c r="K1753" i="6"/>
  <c r="L1753" i="6"/>
  <c r="I1753" i="6"/>
  <c r="K2003" i="6"/>
  <c r="L2003" i="6" s="1"/>
  <c r="I2003" i="6"/>
  <c r="K1755" i="6"/>
  <c r="L1755" i="6" s="1"/>
  <c r="I1755" i="6"/>
  <c r="K1603" i="6"/>
  <c r="L1603" i="6" s="1"/>
  <c r="I1603" i="6"/>
  <c r="K2007" i="6"/>
  <c r="L2007" i="6" s="1"/>
  <c r="I2007" i="6"/>
  <c r="I714" i="6"/>
  <c r="K714" i="6"/>
  <c r="L714" i="6"/>
  <c r="K713" i="6"/>
  <c r="I713" i="6"/>
  <c r="L713" i="6"/>
  <c r="I712" i="6"/>
  <c r="K712" i="6"/>
  <c r="L712" i="6" s="1"/>
  <c r="K1417" i="6"/>
  <c r="L1417" i="6" s="1"/>
  <c r="I1417" i="6"/>
  <c r="K710" i="6"/>
  <c r="L710" i="6" s="1"/>
  <c r="I710" i="6"/>
  <c r="K1416" i="6"/>
  <c r="L1416" i="6" s="1"/>
  <c r="I1416" i="6"/>
  <c r="I708" i="6"/>
  <c r="K708" i="6"/>
  <c r="L708" i="6" s="1"/>
  <c r="K707" i="6"/>
  <c r="L707" i="6"/>
  <c r="I707" i="6"/>
  <c r="K2010" i="6"/>
  <c r="L2010" i="6" s="1"/>
  <c r="I2010" i="6"/>
  <c r="I1415" i="6"/>
  <c r="K1415" i="6"/>
  <c r="L1415" i="6" s="1"/>
  <c r="I703" i="6"/>
  <c r="K703" i="6"/>
  <c r="L703" i="6" s="1"/>
  <c r="K702" i="6"/>
  <c r="L702" i="6" s="1"/>
  <c r="I702" i="6"/>
  <c r="K701" i="6"/>
  <c r="I701" i="6"/>
  <c r="L701" i="6"/>
  <c r="K1757" i="6"/>
  <c r="L1757" i="6" s="1"/>
  <c r="I1757" i="6"/>
  <c r="I1683" i="6"/>
  <c r="K1683" i="6"/>
  <c r="L1683" i="6" s="1"/>
  <c r="I1601" i="6"/>
  <c r="K1601" i="6"/>
  <c r="L1601" i="6" s="1"/>
  <c r="I698" i="6"/>
  <c r="K698" i="6"/>
  <c r="L698" i="6"/>
  <c r="I1411" i="6"/>
  <c r="K1411" i="6"/>
  <c r="L1411" i="6" s="1"/>
  <c r="K2015" i="6"/>
  <c r="L2015" i="6" s="1"/>
  <c r="I2015" i="6"/>
  <c r="K695" i="6"/>
  <c r="L695" i="6"/>
  <c r="I695" i="6"/>
  <c r="I694" i="6"/>
  <c r="K694" i="6"/>
  <c r="L694" i="6"/>
  <c r="I693" i="6"/>
  <c r="K693" i="6"/>
  <c r="L693" i="6"/>
  <c r="I692" i="6"/>
  <c r="K692" i="6"/>
  <c r="L692" i="6"/>
  <c r="I2016" i="6"/>
  <c r="K2016" i="6"/>
  <c r="L2016" i="6" s="1"/>
  <c r="K690" i="6"/>
  <c r="L690" i="6"/>
  <c r="I690" i="6"/>
  <c r="K2018" i="6"/>
  <c r="L2018" i="6" s="1"/>
  <c r="I2018" i="6"/>
  <c r="I1410" i="6"/>
  <c r="K1410" i="6"/>
  <c r="L1410" i="6" s="1"/>
  <c r="I686" i="6"/>
  <c r="K686" i="6"/>
  <c r="L686" i="6" s="1"/>
  <c r="K685" i="6"/>
  <c r="I685" i="6"/>
  <c r="L685" i="6"/>
  <c r="I684" i="6"/>
  <c r="K684" i="6"/>
  <c r="L684" i="6"/>
  <c r="I2021" i="6"/>
  <c r="K2021" i="6"/>
  <c r="L2021" i="6" s="1"/>
  <c r="K682" i="6"/>
  <c r="L682" i="6" s="1"/>
  <c r="I682" i="6"/>
  <c r="I681" i="6"/>
  <c r="K681" i="6"/>
  <c r="L681" i="6" s="1"/>
  <c r="I680" i="6"/>
  <c r="K680" i="6"/>
  <c r="L680" i="6"/>
  <c r="I679" i="6"/>
  <c r="K679" i="6"/>
  <c r="L679" i="6" s="1"/>
  <c r="K678" i="6"/>
  <c r="L678" i="6" s="1"/>
  <c r="I678" i="6"/>
  <c r="K2022" i="6"/>
  <c r="L2022" i="6" s="1"/>
  <c r="I2022" i="6"/>
  <c r="K676" i="6"/>
  <c r="L676" i="6" s="1"/>
  <c r="I676" i="6"/>
  <c r="K675" i="6"/>
  <c r="L675" i="6"/>
  <c r="I675" i="6"/>
  <c r="K674" i="6"/>
  <c r="L674" i="6" s="1"/>
  <c r="I674" i="6"/>
  <c r="I673" i="6"/>
  <c r="K673" i="6"/>
  <c r="L673" i="6" s="1"/>
  <c r="I1759" i="6"/>
  <c r="K1759" i="6"/>
  <c r="L1759" i="6"/>
  <c r="K1408" i="6"/>
  <c r="L1408" i="6" s="1"/>
  <c r="I1408" i="6"/>
  <c r="K671" i="6"/>
  <c r="L671" i="6" s="1"/>
  <c r="I671" i="6"/>
  <c r="I1407" i="6"/>
  <c r="K1407" i="6"/>
  <c r="L1407" i="6"/>
  <c r="I669" i="6"/>
  <c r="K669" i="6"/>
  <c r="L669" i="6" s="1"/>
  <c r="K2024" i="6"/>
  <c r="L2024" i="6" s="1"/>
  <c r="I2024" i="6"/>
  <c r="I667" i="6"/>
  <c r="K667" i="6"/>
  <c r="L667" i="6" s="1"/>
  <c r="K666" i="6"/>
  <c r="I666" i="6"/>
  <c r="L666" i="6"/>
  <c r="I1600" i="6"/>
  <c r="K1600" i="6"/>
  <c r="L1600" i="6" s="1"/>
  <c r="K1405" i="6"/>
  <c r="L1405" i="6" s="1"/>
  <c r="I1405" i="6"/>
  <c r="I1404" i="6"/>
  <c r="K1404" i="6"/>
  <c r="L1404" i="6" s="1"/>
  <c r="K1599" i="6"/>
  <c r="L1599" i="6" s="1"/>
  <c r="I1599" i="6"/>
  <c r="K1402" i="6"/>
  <c r="L1402" i="6" s="1"/>
  <c r="I1402" i="6"/>
  <c r="I1401" i="6"/>
  <c r="K1401" i="6"/>
  <c r="L1401" i="6" s="1"/>
  <c r="I659" i="6"/>
  <c r="K659" i="6"/>
  <c r="L659" i="6" s="1"/>
  <c r="I658" i="6"/>
  <c r="K658" i="6"/>
  <c r="L658" i="6" s="1"/>
  <c r="I657" i="6"/>
  <c r="K657" i="6"/>
  <c r="L657" i="6" s="1"/>
  <c r="I656" i="6"/>
  <c r="K656" i="6"/>
  <c r="L656" i="6" s="1"/>
  <c r="I655" i="6"/>
  <c r="K655" i="6"/>
  <c r="L655" i="6" s="1"/>
  <c r="K654" i="6"/>
  <c r="L654" i="6" s="1"/>
  <c r="I654" i="6"/>
  <c r="K653" i="6"/>
  <c r="L653" i="6" s="1"/>
  <c r="I653" i="6"/>
  <c r="K652" i="6"/>
  <c r="L652" i="6" s="1"/>
  <c r="I652" i="6"/>
  <c r="K651" i="6"/>
  <c r="L651" i="6" s="1"/>
  <c r="I651" i="6"/>
  <c r="K650" i="6"/>
  <c r="L650" i="6" s="1"/>
  <c r="I650" i="6"/>
  <c r="K1668" i="6"/>
  <c r="L1668" i="6" s="1"/>
  <c r="I1668" i="6"/>
  <c r="I1597" i="6"/>
  <c r="K1597" i="6"/>
  <c r="L1597" i="6" s="1"/>
  <c r="I647" i="6"/>
  <c r="K647" i="6"/>
  <c r="L647" i="6"/>
  <c r="I2027" i="6"/>
  <c r="K2027" i="6"/>
  <c r="L2027" i="6"/>
  <c r="I2029" i="6"/>
  <c r="K2029" i="6"/>
  <c r="L2029" i="6" s="1"/>
  <c r="I2030" i="6"/>
  <c r="K2030" i="6"/>
  <c r="L2030" i="6" s="1"/>
  <c r="K1398" i="6"/>
  <c r="L1398" i="6" s="1"/>
  <c r="I1398" i="6"/>
  <c r="K1397" i="6"/>
  <c r="L1397" i="6" s="1"/>
  <c r="I1397" i="6"/>
  <c r="K641" i="6"/>
  <c r="I641" i="6"/>
  <c r="L641" i="6"/>
  <c r="K639" i="6"/>
  <c r="L639" i="6"/>
  <c r="I639" i="6"/>
  <c r="I638" i="6"/>
  <c r="K638" i="6"/>
  <c r="L638" i="6" s="1"/>
  <c r="I637" i="6"/>
  <c r="K637" i="6"/>
  <c r="L637" i="6" s="1"/>
  <c r="K1762" i="6"/>
  <c r="L1762" i="6" s="1"/>
  <c r="I1762" i="6"/>
  <c r="K2033" i="6"/>
  <c r="L2033" i="6" s="1"/>
  <c r="I2033" i="6"/>
  <c r="K634" i="6"/>
  <c r="L634" i="6"/>
  <c r="I634" i="6"/>
  <c r="I1688" i="6"/>
  <c r="K1688" i="6"/>
  <c r="L1688" i="6" s="1"/>
  <c r="I1394" i="6"/>
  <c r="K1394" i="6"/>
  <c r="L1394" i="6" s="1"/>
  <c r="I2034" i="6"/>
  <c r="K2034" i="6"/>
  <c r="L2034" i="6"/>
  <c r="K631" i="6"/>
  <c r="L631" i="6" s="1"/>
  <c r="I631" i="6"/>
  <c r="K2036" i="6"/>
  <c r="L2036" i="6" s="1"/>
  <c r="I2036" i="6"/>
  <c r="I2037" i="6"/>
  <c r="K2037" i="6"/>
  <c r="L2037" i="6"/>
  <c r="K628" i="6"/>
  <c r="L628" i="6" s="1"/>
  <c r="I628" i="6"/>
  <c r="I627" i="6"/>
  <c r="K627" i="6"/>
  <c r="L627" i="6" s="1"/>
  <c r="I626" i="6"/>
  <c r="K626" i="6"/>
  <c r="L626" i="6" s="1"/>
  <c r="I1393" i="6"/>
  <c r="K1393" i="6"/>
  <c r="L1393" i="6"/>
  <c r="I1392" i="6"/>
  <c r="K1392" i="6"/>
  <c r="L1392" i="6"/>
  <c r="I623" i="6"/>
  <c r="K623" i="6"/>
  <c r="L623" i="6" s="1"/>
  <c r="K2041" i="6"/>
  <c r="L2041" i="6" s="1"/>
  <c r="I2041" i="6"/>
  <c r="I621" i="6"/>
  <c r="K621" i="6"/>
  <c r="L621" i="6" s="1"/>
  <c r="I620" i="6"/>
  <c r="K620" i="6"/>
  <c r="L620" i="6"/>
  <c r="I1391" i="6"/>
  <c r="K1391" i="6"/>
  <c r="L1391" i="6" s="1"/>
  <c r="I618" i="6"/>
  <c r="K618" i="6"/>
  <c r="L618" i="6"/>
  <c r="I617" i="6"/>
  <c r="K617" i="6"/>
  <c r="L617" i="6"/>
  <c r="I616" i="6"/>
  <c r="K616" i="6"/>
  <c r="L616" i="6"/>
  <c r="K1390" i="6"/>
  <c r="L1390" i="6" s="1"/>
  <c r="I1390" i="6"/>
  <c r="I614" i="6"/>
  <c r="K614" i="6"/>
  <c r="L614" i="6"/>
  <c r="K2042" i="6"/>
  <c r="L2042" i="6" s="1"/>
  <c r="I2042" i="6"/>
  <c r="I612" i="6"/>
  <c r="K612" i="6"/>
  <c r="L612" i="6" s="1"/>
  <c r="K2044" i="6"/>
  <c r="L2044" i="6"/>
  <c r="I2044" i="6"/>
  <c r="I1389" i="6"/>
  <c r="K1389" i="6"/>
  <c r="L1389" i="6" s="1"/>
  <c r="K609" i="6"/>
  <c r="L609" i="6" s="1"/>
  <c r="I609" i="6"/>
  <c r="K2046" i="6"/>
  <c r="L2046" i="6" s="1"/>
  <c r="I2046" i="6"/>
  <c r="K607" i="6"/>
  <c r="L607" i="6" s="1"/>
  <c r="I607" i="6"/>
  <c r="K606" i="6"/>
  <c r="L606" i="6" s="1"/>
  <c r="I606" i="6"/>
  <c r="I605" i="6"/>
  <c r="K605" i="6"/>
  <c r="L605" i="6" s="1"/>
  <c r="K1690" i="6"/>
  <c r="L1690" i="6" s="1"/>
  <c r="I1690" i="6"/>
  <c r="I602" i="6"/>
  <c r="K602" i="6"/>
  <c r="L602" i="6" s="1"/>
  <c r="K601" i="6"/>
  <c r="I601" i="6"/>
  <c r="L601" i="6"/>
  <c r="I600" i="6"/>
  <c r="K600" i="6"/>
  <c r="L600" i="6"/>
  <c r="K2047" i="6"/>
  <c r="L2047" i="6" s="1"/>
  <c r="I2047" i="6"/>
  <c r="I1763" i="6"/>
  <c r="K1763" i="6"/>
  <c r="L1763" i="6" s="1"/>
  <c r="I1594" i="6"/>
  <c r="K1594" i="6"/>
  <c r="L1594" i="6" s="1"/>
  <c r="I2048" i="6"/>
  <c r="K2048" i="6"/>
  <c r="L2048" i="6" s="1"/>
  <c r="K2049" i="6"/>
  <c r="L2049" i="6" s="1"/>
  <c r="I2049" i="6"/>
  <c r="K1385" i="6"/>
  <c r="L1385" i="6" s="1"/>
  <c r="I1385" i="6"/>
  <c r="K2050" i="6"/>
  <c r="L2050" i="6" s="1"/>
  <c r="I2050" i="6"/>
  <c r="K593" i="6"/>
  <c r="I593" i="6"/>
  <c r="L593" i="6"/>
  <c r="I1384" i="6"/>
  <c r="K1384" i="6"/>
  <c r="L1384" i="6"/>
  <c r="I591" i="6"/>
  <c r="K591" i="6"/>
  <c r="L591" i="6"/>
  <c r="I1383" i="6"/>
  <c r="K1383" i="6"/>
  <c r="L1383" i="6" s="1"/>
  <c r="K2051" i="6"/>
  <c r="L2051" i="6" s="1"/>
  <c r="I2051" i="6"/>
  <c r="K588" i="6"/>
  <c r="L588" i="6"/>
  <c r="I588" i="6"/>
  <c r="K2052" i="6"/>
  <c r="L2052" i="6" s="1"/>
  <c r="I2052" i="6"/>
  <c r="I586" i="6"/>
  <c r="K586" i="6"/>
  <c r="L586" i="6" s="1"/>
  <c r="K2055" i="6"/>
  <c r="L2055" i="6" s="1"/>
  <c r="I2055" i="6"/>
  <c r="K583" i="6"/>
  <c r="L583" i="6" s="1"/>
  <c r="I583" i="6"/>
  <c r="I582" i="6"/>
  <c r="K582" i="6"/>
  <c r="L582" i="6"/>
  <c r="K2056" i="6"/>
  <c r="L2056" i="6" s="1"/>
  <c r="I2056" i="6"/>
  <c r="I580" i="6"/>
  <c r="K580" i="6"/>
  <c r="L580" i="6"/>
  <c r="K1764" i="6"/>
  <c r="L1764" i="6" s="1"/>
  <c r="I1764" i="6"/>
  <c r="K1765" i="6"/>
  <c r="L1765" i="6" s="1"/>
  <c r="I1765" i="6"/>
  <c r="I1380" i="6"/>
  <c r="K1380" i="6"/>
  <c r="L1380" i="6" s="1"/>
  <c r="I577" i="6"/>
  <c r="K577" i="6"/>
  <c r="L577" i="6" s="1"/>
  <c r="I1593" i="6"/>
  <c r="K1593" i="6"/>
  <c r="L1593" i="6" s="1"/>
  <c r="I575" i="6"/>
  <c r="K575" i="6"/>
  <c r="L575" i="6" s="1"/>
  <c r="I1378" i="6"/>
  <c r="K1378" i="6"/>
  <c r="L1378" i="6" s="1"/>
  <c r="I573" i="6"/>
  <c r="K573" i="6"/>
  <c r="L573" i="6" s="1"/>
  <c r="K1592" i="6"/>
  <c r="L1592" i="6" s="1"/>
  <c r="I1592" i="6"/>
  <c r="I571" i="6"/>
  <c r="K571" i="6"/>
  <c r="L571" i="6" s="1"/>
  <c r="I570" i="6"/>
  <c r="K570" i="6"/>
  <c r="L570" i="6"/>
  <c r="K1376" i="6"/>
  <c r="L1376" i="6" s="1"/>
  <c r="I1376" i="6"/>
  <c r="K2058" i="6"/>
  <c r="L2058" i="6" s="1"/>
  <c r="I2058" i="6"/>
  <c r="I566" i="6"/>
  <c r="K566" i="6"/>
  <c r="L566" i="6" s="1"/>
  <c r="I565" i="6"/>
  <c r="K565" i="6"/>
  <c r="L565" i="6"/>
  <c r="I564" i="6"/>
  <c r="K564" i="6"/>
  <c r="L564" i="6" s="1"/>
  <c r="I1767" i="6"/>
  <c r="K1767" i="6"/>
  <c r="L1767" i="6" s="1"/>
  <c r="K2060" i="6"/>
  <c r="L2060" i="6" s="1"/>
  <c r="I2060" i="6"/>
  <c r="I561" i="6"/>
  <c r="K561" i="6"/>
  <c r="L561" i="6" s="1"/>
  <c r="K560" i="6"/>
  <c r="L560" i="6" s="1"/>
  <c r="I560" i="6"/>
  <c r="I1770" i="6"/>
  <c r="K1770" i="6"/>
  <c r="L1770" i="6" s="1"/>
  <c r="I1373" i="6"/>
  <c r="K1373" i="6"/>
  <c r="L1373" i="6" s="1"/>
  <c r="I1372" i="6"/>
  <c r="K1372" i="6"/>
  <c r="L1372" i="6" s="1"/>
  <c r="K557" i="6"/>
  <c r="L557" i="6" s="1"/>
  <c r="I557" i="6"/>
  <c r="I1591" i="6"/>
  <c r="K1591" i="6"/>
  <c r="L1591" i="6" s="1"/>
  <c r="K2061" i="6"/>
  <c r="L2061" i="6" s="1"/>
  <c r="I2061" i="6"/>
  <c r="K554" i="6"/>
  <c r="L554" i="6" s="1"/>
  <c r="I554" i="6"/>
  <c r="I553" i="6"/>
  <c r="K553" i="6"/>
  <c r="L553" i="6" s="1"/>
  <c r="I2062" i="6"/>
  <c r="K2062" i="6"/>
  <c r="L2062" i="6" s="1"/>
  <c r="I551" i="6"/>
  <c r="K551" i="6"/>
  <c r="L551" i="6" s="1"/>
  <c r="K549" i="6"/>
  <c r="L549" i="6" s="1"/>
  <c r="I549" i="6"/>
  <c r="K1771" i="6"/>
  <c r="L1771" i="6" s="1"/>
  <c r="I1771" i="6"/>
  <c r="K1590" i="6"/>
  <c r="L1590" i="6" s="1"/>
  <c r="I1590" i="6"/>
  <c r="K547" i="6"/>
  <c r="L547" i="6"/>
  <c r="I547" i="6"/>
  <c r="I1368" i="6"/>
  <c r="K1368" i="6"/>
  <c r="L1368" i="6" s="1"/>
  <c r="K1367" i="6"/>
  <c r="L1367" i="6" s="1"/>
  <c r="I1367" i="6"/>
  <c r="K543" i="6"/>
  <c r="L543" i="6"/>
  <c r="I543" i="6"/>
  <c r="K542" i="6"/>
  <c r="L542" i="6" s="1"/>
  <c r="I542" i="6"/>
  <c r="I541" i="6"/>
  <c r="K541" i="6"/>
  <c r="L541" i="6" s="1"/>
  <c r="K540" i="6"/>
  <c r="I540" i="6"/>
  <c r="L540" i="6"/>
  <c r="I539" i="6"/>
  <c r="K539" i="6"/>
  <c r="L539" i="6" s="1"/>
  <c r="K2063" i="6"/>
  <c r="L2063" i="6" s="1"/>
  <c r="I2063" i="6"/>
  <c r="K2064" i="6"/>
  <c r="L2064" i="6" s="1"/>
  <c r="I2064" i="6"/>
  <c r="K536" i="6"/>
  <c r="I536" i="6"/>
  <c r="L536" i="6"/>
  <c r="K2065" i="6"/>
  <c r="L2065" i="6" s="1"/>
  <c r="I2065" i="6"/>
  <c r="K2067" i="6"/>
  <c r="I2067" i="6"/>
  <c r="L2067" i="6"/>
  <c r="K533" i="6"/>
  <c r="L533" i="6" s="1"/>
  <c r="I533" i="6"/>
  <c r="I1693" i="6"/>
  <c r="K1693" i="6"/>
  <c r="L1693" i="6" s="1"/>
  <c r="K1365" i="6"/>
  <c r="L1365" i="6" s="1"/>
  <c r="I1365" i="6"/>
  <c r="K1364" i="6"/>
  <c r="L1364" i="6" s="1"/>
  <c r="I1364" i="6"/>
  <c r="K2069" i="6"/>
  <c r="L2069" i="6" s="1"/>
  <c r="I2069" i="6"/>
  <c r="I1363" i="6"/>
  <c r="K1363" i="6"/>
  <c r="L1363" i="6" s="1"/>
  <c r="I1362" i="6"/>
  <c r="K1362" i="6"/>
  <c r="L1362" i="6" s="1"/>
  <c r="K527" i="6"/>
  <c r="L527" i="6" s="1"/>
  <c r="I527" i="6"/>
  <c r="K526" i="6"/>
  <c r="L526" i="6" s="1"/>
  <c r="I526" i="6"/>
  <c r="I525" i="6"/>
  <c r="K525" i="6"/>
  <c r="L525" i="6" s="1"/>
  <c r="I1361" i="6"/>
  <c r="K1361" i="6"/>
  <c r="L1361" i="6" s="1"/>
  <c r="I523" i="6"/>
  <c r="K523" i="6"/>
  <c r="L523" i="6" s="1"/>
  <c r="I522" i="6"/>
  <c r="K522" i="6"/>
  <c r="L522" i="6" s="1"/>
  <c r="I521" i="6"/>
  <c r="K521" i="6"/>
  <c r="L521" i="6"/>
  <c r="I2071" i="6"/>
  <c r="K2071" i="6"/>
  <c r="L2071" i="6" s="1"/>
  <c r="K519" i="6"/>
  <c r="L519" i="6" s="1"/>
  <c r="I519" i="6"/>
  <c r="I1360" i="6"/>
  <c r="K1360" i="6"/>
  <c r="L1360" i="6" s="1"/>
  <c r="I517" i="6"/>
  <c r="K517" i="6"/>
  <c r="L517" i="6"/>
  <c r="I2072" i="6"/>
  <c r="K2072" i="6"/>
  <c r="L2072" i="6" s="1"/>
  <c r="K1359" i="6"/>
  <c r="L1359" i="6" s="1"/>
  <c r="I1359" i="6"/>
  <c r="I2074" i="6"/>
  <c r="K2074" i="6"/>
  <c r="L2074" i="6" s="1"/>
  <c r="I513" i="6"/>
  <c r="K513" i="6"/>
  <c r="L513" i="6"/>
  <c r="K512" i="6"/>
  <c r="I512" i="6"/>
  <c r="L512" i="6"/>
  <c r="I511" i="6"/>
  <c r="K511" i="6"/>
  <c r="L511" i="6" s="1"/>
  <c r="K2075" i="6"/>
  <c r="L2075" i="6" s="1"/>
  <c r="I2075" i="6"/>
  <c r="K2078" i="6"/>
  <c r="L2078" i="6"/>
  <c r="I2078" i="6"/>
  <c r="K1358" i="6"/>
  <c r="L1358" i="6" s="1"/>
  <c r="I1358" i="6"/>
  <c r="K1772" i="6"/>
  <c r="L1772" i="6" s="1"/>
  <c r="I1772" i="6"/>
  <c r="K1773" i="6"/>
  <c r="L1773" i="6" s="1"/>
  <c r="I1773" i="6"/>
  <c r="K1355" i="6"/>
  <c r="L1355" i="6" s="1"/>
  <c r="I1355" i="6"/>
  <c r="K503" i="6"/>
  <c r="L503" i="6" s="1"/>
  <c r="I503" i="6"/>
  <c r="K1661" i="6"/>
  <c r="L1661" i="6" s="1"/>
  <c r="I1661" i="6"/>
  <c r="K499" i="6"/>
  <c r="L499" i="6"/>
  <c r="I499" i="6"/>
  <c r="I1587" i="6"/>
  <c r="K1587" i="6"/>
  <c r="L1587" i="6" s="1"/>
  <c r="K497" i="6"/>
  <c r="I497" i="6"/>
  <c r="L497" i="6"/>
  <c r="K1352" i="6"/>
  <c r="L1352" i="6" s="1"/>
  <c r="I1352" i="6"/>
  <c r="I1648" i="6"/>
  <c r="K1648" i="6"/>
  <c r="L1648" i="6" s="1"/>
  <c r="K491" i="6"/>
  <c r="L491" i="6" s="1"/>
  <c r="I491" i="6"/>
  <c r="K489" i="6"/>
  <c r="L489" i="6" s="1"/>
  <c r="I489" i="6"/>
  <c r="K488" i="6"/>
  <c r="L488" i="6"/>
  <c r="I488" i="6"/>
  <c r="I487" i="6"/>
  <c r="K487" i="6"/>
  <c r="L487" i="6"/>
  <c r="I486" i="6"/>
  <c r="K486" i="6"/>
  <c r="L486" i="6" s="1"/>
  <c r="K485" i="6"/>
  <c r="I485" i="6"/>
  <c r="L485" i="6"/>
  <c r="I483" i="6"/>
  <c r="K483" i="6"/>
  <c r="L483" i="6" s="1"/>
  <c r="I482" i="6"/>
  <c r="K482" i="6"/>
  <c r="L482" i="6"/>
  <c r="K1350" i="6"/>
  <c r="L1350" i="6" s="1"/>
  <c r="I1350" i="6"/>
  <c r="I479" i="6"/>
  <c r="K479" i="6"/>
  <c r="L479" i="6" s="1"/>
  <c r="I1349" i="6"/>
  <c r="K1349" i="6"/>
  <c r="L1349" i="6" s="1"/>
  <c r="K476" i="6"/>
  <c r="I476" i="6"/>
  <c r="L476" i="6"/>
  <c r="K475" i="6"/>
  <c r="L475" i="6"/>
  <c r="I475" i="6"/>
  <c r="I1775" i="6"/>
  <c r="K1775" i="6"/>
  <c r="L1775" i="6" s="1"/>
  <c r="I472" i="6"/>
  <c r="K472" i="6"/>
  <c r="L472" i="6"/>
  <c r="K471" i="6"/>
  <c r="I471" i="6"/>
  <c r="L471" i="6"/>
  <c r="K469" i="6"/>
  <c r="L469" i="6"/>
  <c r="I469" i="6"/>
  <c r="I1344" i="6"/>
  <c r="K1344" i="6"/>
  <c r="L1344" i="6" s="1"/>
  <c r="K465" i="6"/>
  <c r="I465" i="6"/>
  <c r="L465" i="6"/>
  <c r="I464" i="6"/>
  <c r="K464" i="6"/>
  <c r="L464" i="6"/>
  <c r="I463" i="6"/>
  <c r="K463" i="6"/>
  <c r="L463" i="6"/>
  <c r="K462" i="6"/>
  <c r="L462" i="6"/>
  <c r="I462" i="6"/>
  <c r="I1585" i="6"/>
  <c r="K1585" i="6"/>
  <c r="L1585" i="6" s="1"/>
  <c r="I460" i="6"/>
  <c r="K460" i="6"/>
  <c r="L460" i="6"/>
  <c r="I1584" i="6"/>
  <c r="K1584" i="6"/>
  <c r="L1584" i="6" s="1"/>
  <c r="I458" i="6"/>
  <c r="K458" i="6"/>
  <c r="L458" i="6" s="1"/>
  <c r="I457" i="6"/>
  <c r="K457" i="6"/>
  <c r="L457" i="6" s="1"/>
  <c r="I456" i="6"/>
  <c r="K456" i="6"/>
  <c r="L456" i="6" s="1"/>
  <c r="K453" i="6"/>
  <c r="L453" i="6" s="1"/>
  <c r="I453" i="6"/>
  <c r="K1338" i="6"/>
  <c r="L1338" i="6" s="1"/>
  <c r="I1338" i="6"/>
  <c r="K449" i="6"/>
  <c r="L449" i="6" s="1"/>
  <c r="I449" i="6"/>
  <c r="I447" i="6"/>
  <c r="K447" i="6"/>
  <c r="L447" i="6" s="1"/>
  <c r="K446" i="6"/>
  <c r="L446" i="6" s="1"/>
  <c r="I446" i="6"/>
  <c r="I445" i="6"/>
  <c r="K445" i="6"/>
  <c r="L445" i="6" s="1"/>
  <c r="I444" i="6"/>
  <c r="K444" i="6"/>
  <c r="L444" i="6" s="1"/>
  <c r="I443" i="6"/>
  <c r="K443" i="6"/>
  <c r="L443" i="6" s="1"/>
  <c r="K848" i="6"/>
  <c r="I848" i="6"/>
  <c r="L848" i="6"/>
  <c r="I1336" i="6"/>
  <c r="K1336" i="6"/>
  <c r="L1336" i="6" s="1"/>
  <c r="I438" i="6"/>
  <c r="K438" i="6"/>
  <c r="L438" i="6" s="1"/>
  <c r="K437" i="6"/>
  <c r="L437" i="6" s="1"/>
  <c r="I437" i="6"/>
  <c r="K1335" i="6"/>
  <c r="L1335" i="6" s="1"/>
  <c r="I1335" i="6"/>
  <c r="K1334" i="6"/>
  <c r="L1334" i="6" s="1"/>
  <c r="I1334" i="6"/>
  <c r="K432" i="6"/>
  <c r="L432" i="6" s="1"/>
  <c r="I432" i="6"/>
  <c r="I431" i="6"/>
  <c r="K431" i="6"/>
  <c r="L431" i="6"/>
  <c r="K1333" i="6"/>
  <c r="L1333" i="6" s="1"/>
  <c r="I1333" i="6"/>
  <c r="I1332" i="6"/>
  <c r="K1332" i="6"/>
  <c r="L1332" i="6" s="1"/>
  <c r="I428" i="6"/>
  <c r="K428" i="6"/>
  <c r="L428" i="6" s="1"/>
  <c r="I425" i="6"/>
  <c r="K425" i="6"/>
  <c r="L425" i="6"/>
  <c r="I424" i="6"/>
  <c r="K424" i="6"/>
  <c r="L424" i="6"/>
  <c r="K1330" i="6"/>
  <c r="L1330" i="6" s="1"/>
  <c r="I1330" i="6"/>
  <c r="I422" i="6"/>
  <c r="K422" i="6"/>
  <c r="L422" i="6" s="1"/>
  <c r="I421" i="6"/>
  <c r="K421" i="6"/>
  <c r="L421" i="6"/>
  <c r="K420" i="6"/>
  <c r="I420" i="6"/>
  <c r="L420" i="6"/>
  <c r="K419" i="6"/>
  <c r="L419" i="6" s="1"/>
  <c r="I419" i="6"/>
  <c r="I415" i="6"/>
  <c r="K415" i="6"/>
  <c r="L415" i="6"/>
  <c r="I414" i="6"/>
  <c r="K414" i="6"/>
  <c r="L414" i="6" s="1"/>
  <c r="K413" i="6"/>
  <c r="L413" i="6" s="1"/>
  <c r="I413" i="6"/>
  <c r="I412" i="6"/>
  <c r="K412" i="6"/>
  <c r="L412" i="6" s="1"/>
  <c r="I410" i="6"/>
  <c r="K410" i="6"/>
  <c r="L410" i="6" s="1"/>
  <c r="K406" i="6"/>
  <c r="L406" i="6" s="1"/>
  <c r="I406" i="6"/>
  <c r="I405" i="6"/>
  <c r="K405" i="6"/>
  <c r="L405" i="6"/>
  <c r="I404" i="6"/>
  <c r="K404" i="6"/>
  <c r="L404" i="6"/>
  <c r="I403" i="6"/>
  <c r="K403" i="6"/>
  <c r="L403" i="6" s="1"/>
  <c r="I400" i="6"/>
  <c r="K400" i="6"/>
  <c r="L400" i="6" s="1"/>
  <c r="I397" i="6"/>
  <c r="K397" i="6"/>
  <c r="L397" i="6"/>
  <c r="I395" i="6"/>
  <c r="K395" i="6"/>
  <c r="L395" i="6" s="1"/>
  <c r="I394" i="6"/>
  <c r="K394" i="6"/>
  <c r="L394" i="6" s="1"/>
  <c r="I392" i="6"/>
  <c r="K392" i="6"/>
  <c r="L392" i="6"/>
  <c r="I391" i="6"/>
  <c r="K391" i="6"/>
  <c r="L391" i="6" s="1"/>
  <c r="I388" i="6"/>
  <c r="K388" i="6"/>
  <c r="L388" i="6" s="1"/>
  <c r="I387" i="6"/>
  <c r="K387" i="6"/>
  <c r="L387" i="6" s="1"/>
  <c r="K386" i="6"/>
  <c r="I386" i="6"/>
  <c r="L386" i="6"/>
  <c r="K384" i="6"/>
  <c r="L384" i="6" s="1"/>
  <c r="I384" i="6"/>
  <c r="I382" i="6"/>
  <c r="K382" i="6"/>
  <c r="L382" i="6" s="1"/>
  <c r="I381" i="6"/>
  <c r="K381" i="6"/>
  <c r="L381" i="6" s="1"/>
  <c r="I380" i="6"/>
  <c r="K380" i="6"/>
  <c r="L380" i="6" s="1"/>
  <c r="I378" i="6"/>
  <c r="K378" i="6"/>
  <c r="L378" i="6" s="1"/>
  <c r="I377" i="6"/>
  <c r="K377" i="6"/>
  <c r="L377" i="6" s="1"/>
  <c r="K372" i="6"/>
  <c r="L372" i="6" s="1"/>
  <c r="I372" i="6"/>
  <c r="I370" i="6"/>
  <c r="K370" i="6"/>
  <c r="L370" i="6"/>
  <c r="K365" i="6"/>
  <c r="L365" i="6" s="1"/>
  <c r="I365" i="6"/>
  <c r="I364" i="6"/>
  <c r="K364" i="6"/>
  <c r="L364" i="6" s="1"/>
  <c r="I363" i="6"/>
  <c r="K363" i="6"/>
  <c r="L363" i="6" s="1"/>
  <c r="I362" i="6"/>
  <c r="K362" i="6"/>
  <c r="L362" i="6" s="1"/>
  <c r="I361" i="6"/>
  <c r="K361" i="6"/>
  <c r="L361" i="6" s="1"/>
  <c r="I359" i="6"/>
  <c r="K359" i="6"/>
  <c r="L359" i="6" s="1"/>
  <c r="I353" i="6"/>
  <c r="K353" i="6"/>
  <c r="L353" i="6" s="1"/>
  <c r="I349" i="6"/>
  <c r="K349" i="6"/>
  <c r="L349" i="6" s="1"/>
  <c r="K347" i="6"/>
  <c r="L347" i="6" s="1"/>
  <c r="I347" i="6"/>
  <c r="I346" i="6"/>
  <c r="K346" i="6"/>
  <c r="L346" i="6" s="1"/>
  <c r="I345" i="6"/>
  <c r="K345" i="6"/>
  <c r="L345" i="6" s="1"/>
  <c r="I341" i="6"/>
  <c r="K341" i="6"/>
  <c r="L341" i="6" s="1"/>
  <c r="I340" i="6"/>
  <c r="K340" i="6"/>
  <c r="L340" i="6" s="1"/>
  <c r="K339" i="6"/>
  <c r="L339" i="6" s="1"/>
  <c r="I339" i="6"/>
  <c r="I338" i="6"/>
  <c r="K338" i="6"/>
  <c r="L338" i="6" s="1"/>
  <c r="I336" i="6"/>
  <c r="K336" i="6"/>
  <c r="L336" i="6" s="1"/>
  <c r="K333" i="6"/>
  <c r="L333" i="6" s="1"/>
  <c r="I333" i="6"/>
  <c r="I332" i="6"/>
  <c r="K332" i="6"/>
  <c r="L332" i="6" s="1"/>
  <c r="I328" i="6"/>
  <c r="K328" i="6"/>
  <c r="L328" i="6" s="1"/>
  <c r="K327" i="6"/>
  <c r="L327" i="6" s="1"/>
  <c r="I327" i="6"/>
  <c r="K325" i="6"/>
  <c r="L325" i="6" s="1"/>
  <c r="I325" i="6"/>
  <c r="I322" i="6"/>
  <c r="K322" i="6"/>
  <c r="L322" i="6" s="1"/>
  <c r="K321" i="6"/>
  <c r="L321" i="6" s="1"/>
  <c r="I321" i="6"/>
  <c r="K317" i="6"/>
  <c r="L317" i="6" s="1"/>
  <c r="I317" i="6"/>
  <c r="K315" i="6"/>
  <c r="L315" i="6" s="1"/>
  <c r="I315" i="6"/>
  <c r="K314" i="6"/>
  <c r="L314" i="6" s="1"/>
  <c r="I314" i="6"/>
  <c r="K310" i="6"/>
  <c r="L310" i="6"/>
  <c r="I310" i="6"/>
  <c r="I309" i="6"/>
  <c r="K309" i="6"/>
  <c r="L309" i="6"/>
  <c r="K306" i="6"/>
  <c r="L306" i="6" s="1"/>
  <c r="I306" i="6"/>
  <c r="I305" i="6"/>
  <c r="K305" i="6"/>
  <c r="L305" i="6" s="1"/>
  <c r="I303" i="6"/>
  <c r="K303" i="6"/>
  <c r="L303" i="6" s="1"/>
  <c r="I300" i="6"/>
  <c r="K300" i="6"/>
  <c r="L300" i="6" s="1"/>
  <c r="I298" i="6"/>
  <c r="K298" i="6"/>
  <c r="L298" i="6" s="1"/>
  <c r="I295" i="6"/>
  <c r="K295" i="6"/>
  <c r="L295" i="6" s="1"/>
  <c r="K293" i="6"/>
  <c r="I293" i="6"/>
  <c r="J5656" i="4"/>
  <c r="K5654" i="4"/>
  <c r="J5654" i="4"/>
  <c r="J5649" i="4"/>
  <c r="K5647" i="4"/>
  <c r="J5646" i="4"/>
  <c r="K5644" i="4"/>
  <c r="J5643" i="4"/>
  <c r="K5641" i="4"/>
  <c r="K5637" i="4"/>
  <c r="J5636" i="4"/>
  <c r="K5633" i="4"/>
  <c r="J5632" i="4"/>
  <c r="K5627" i="4"/>
  <c r="K5625" i="4"/>
  <c r="J5624" i="4"/>
  <c r="J5623" i="4"/>
  <c r="K5621" i="4"/>
  <c r="K5617" i="4"/>
  <c r="J5616" i="4"/>
  <c r="J5612" i="4"/>
  <c r="K5610" i="4"/>
  <c r="J5609" i="4"/>
  <c r="J5608" i="4"/>
  <c r="K5606" i="4"/>
  <c r="J5605" i="4"/>
  <c r="K5603" i="4"/>
  <c r="J5436" i="4"/>
  <c r="J5435" i="4"/>
  <c r="K5433" i="4"/>
  <c r="J5432" i="4"/>
  <c r="J5428" i="4"/>
  <c r="J5427" i="4"/>
  <c r="J5424" i="4"/>
  <c r="J5423" i="4"/>
  <c r="J5422" i="4"/>
  <c r="J5421" i="4"/>
  <c r="J5420" i="4"/>
  <c r="J5419" i="4"/>
  <c r="J5418" i="4"/>
  <c r="J5417" i="4"/>
  <c r="J5416" i="4"/>
  <c r="J5413" i="4"/>
  <c r="J5412" i="4"/>
  <c r="J5411" i="4"/>
  <c r="K5409" i="4"/>
  <c r="K5408" i="4"/>
  <c r="K5407" i="4"/>
  <c r="K5406" i="4"/>
  <c r="J5403" i="4"/>
  <c r="J5402" i="4"/>
  <c r="J5401" i="4"/>
  <c r="J5398" i="4"/>
  <c r="J5397" i="4"/>
  <c r="J5394" i="4"/>
  <c r="J5393" i="4"/>
  <c r="K5390" i="4"/>
  <c r="K5389" i="4"/>
  <c r="J5380" i="4"/>
  <c r="K5316" i="4"/>
  <c r="J5318" i="4"/>
  <c r="K5679" i="4"/>
  <c r="K5680" i="4"/>
  <c r="J5322" i="4"/>
  <c r="K5323" i="4"/>
  <c r="J5328" i="4"/>
  <c r="K5329" i="4"/>
  <c r="J5682" i="4"/>
  <c r="J5683" i="4"/>
  <c r="J5331" i="4"/>
  <c r="K5332" i="4"/>
  <c r="J5334" i="4"/>
  <c r="K5684" i="4"/>
  <c r="J5686" i="4"/>
  <c r="J5687" i="4"/>
  <c r="J5680" i="4"/>
  <c r="K5681" i="4"/>
  <c r="K5683" i="4"/>
  <c r="K5335" i="4"/>
  <c r="J5337" i="4"/>
  <c r="J5341" i="4"/>
  <c r="K5342" i="4"/>
  <c r="J5685" i="4"/>
  <c r="J5283" i="4"/>
  <c r="J5219" i="4"/>
  <c r="J5222" i="4"/>
  <c r="K5222" i="4"/>
  <c r="K5224" i="4"/>
  <c r="J5225" i="4"/>
  <c r="K5225" i="4"/>
  <c r="J5230" i="4"/>
  <c r="K5230" i="4"/>
  <c r="J5231" i="4"/>
  <c r="J5233" i="4"/>
  <c r="K5233" i="4"/>
  <c r="J5234" i="4"/>
  <c r="J5236" i="4"/>
  <c r="K5236" i="4"/>
  <c r="J5237" i="4"/>
  <c r="J5239" i="4"/>
  <c r="K5239" i="4"/>
  <c r="J5240" i="4"/>
  <c r="J5242" i="4"/>
  <c r="K5242" i="4"/>
  <c r="J5243" i="4"/>
  <c r="J5245" i="4"/>
  <c r="K5245" i="4"/>
  <c r="J5246" i="4"/>
  <c r="J5248" i="4"/>
  <c r="K5248" i="4"/>
  <c r="J5249" i="4"/>
  <c r="J5251" i="4"/>
  <c r="K5251" i="4"/>
  <c r="J5252" i="4"/>
  <c r="J5254" i="4"/>
  <c r="K5254" i="4"/>
  <c r="J5255" i="4"/>
  <c r="J5257" i="4"/>
  <c r="K5257" i="4"/>
  <c r="J5258" i="4"/>
  <c r="J5260" i="4"/>
  <c r="K5260" i="4"/>
  <c r="K5262" i="4"/>
  <c r="J5263" i="4"/>
  <c r="K5263" i="4"/>
  <c r="K5265" i="4"/>
  <c r="J5266" i="4"/>
  <c r="K5266" i="4"/>
  <c r="K5268" i="4"/>
  <c r="J5269" i="4"/>
  <c r="K5269" i="4"/>
  <c r="K5271" i="4"/>
  <c r="J5272" i="4"/>
  <c r="K5272" i="4"/>
  <c r="K5274" i="4"/>
  <c r="J5275" i="4"/>
  <c r="K5275" i="4"/>
  <c r="K5277" i="4"/>
  <c r="J5278" i="4"/>
  <c r="K5278" i="4"/>
  <c r="K5280" i="4"/>
  <c r="K5295" i="4"/>
  <c r="J5297" i="4"/>
  <c r="K5298" i="4"/>
  <c r="J5300" i="4"/>
  <c r="J5301" i="4"/>
  <c r="K5305" i="4"/>
  <c r="J5307" i="4"/>
  <c r="J5311" i="4"/>
  <c r="K5312" i="4"/>
  <c r="J5317" i="4"/>
  <c r="K5318" i="4"/>
  <c r="J5320" i="4"/>
  <c r="K5321" i="4"/>
  <c r="J5323" i="4"/>
  <c r="K5324" i="4"/>
  <c r="J5326" i="4"/>
  <c r="K5327" i="4"/>
  <c r="J5329" i="4"/>
  <c r="K5330" i="4"/>
  <c r="J5332" i="4"/>
  <c r="K5333" i="4"/>
  <c r="J5335" i="4"/>
  <c r="K5336" i="4"/>
  <c r="J5338" i="4"/>
  <c r="K5339" i="4"/>
  <c r="K5343" i="4"/>
  <c r="J5345" i="4"/>
  <c r="K5346" i="4"/>
  <c r="J5348" i="4"/>
  <c r="K5349" i="4"/>
  <c r="J5351" i="4"/>
  <c r="K5352" i="4"/>
  <c r="J5354" i="4"/>
  <c r="K5355" i="4"/>
  <c r="J5357" i="4"/>
  <c r="K5358" i="4"/>
  <c r="J5360" i="4"/>
  <c r="K5361" i="4"/>
  <c r="J5363" i="4"/>
  <c r="K5364" i="4"/>
  <c r="J5366" i="4"/>
  <c r="K5370" i="4"/>
  <c r="J5372" i="4"/>
  <c r="K5373" i="4"/>
  <c r="J5375" i="4"/>
  <c r="K5376" i="4"/>
  <c r="J5378" i="4"/>
  <c r="K5379" i="4"/>
  <c r="J5381" i="4"/>
  <c r="K5382" i="4"/>
  <c r="J5384" i="4"/>
  <c r="K5385" i="4"/>
  <c r="J5387" i="4"/>
  <c r="K5388" i="4"/>
  <c r="K5391" i="4"/>
  <c r="K5392" i="4"/>
  <c r="K5393" i="4"/>
  <c r="K5394" i="4"/>
  <c r="K5395" i="4"/>
  <c r="K5396" i="4"/>
  <c r="K5397" i="4"/>
  <c r="K5398" i="4"/>
  <c r="K5399" i="4"/>
  <c r="K5400" i="4"/>
  <c r="J5404" i="4"/>
  <c r="J5405" i="4"/>
  <c r="J5406" i="4"/>
  <c r="J5407" i="4"/>
  <c r="J5408" i="4"/>
  <c r="K5411" i="4"/>
  <c r="J5429" i="4"/>
  <c r="K5430" i="4"/>
  <c r="K5434" i="4"/>
  <c r="K5436" i="4"/>
  <c r="J5438" i="4"/>
  <c r="K5602" i="4"/>
  <c r="J5604" i="4"/>
  <c r="K5605" i="4"/>
  <c r="J5607" i="4"/>
  <c r="K5608" i="4"/>
  <c r="K5609" i="4"/>
  <c r="K5613" i="4"/>
  <c r="K5614" i="4"/>
  <c r="K5616" i="4"/>
  <c r="J5618" i="4"/>
  <c r="K5619" i="4"/>
  <c r="J5621" i="4"/>
  <c r="K5622" i="4"/>
  <c r="K5624" i="4"/>
  <c r="J5626" i="4"/>
  <c r="J5627" i="4"/>
  <c r="J5629" i="4"/>
  <c r="K5630" i="4"/>
  <c r="K5634" i="4"/>
  <c r="K5635" i="4"/>
  <c r="K5636" i="4"/>
  <c r="J5638" i="4"/>
  <c r="K5639" i="4"/>
  <c r="J5641" i="4"/>
  <c r="K5642" i="4"/>
  <c r="J5647" i="4"/>
  <c r="K5648" i="4"/>
  <c r="J5650" i="4"/>
  <c r="K5651" i="4"/>
  <c r="J5653" i="4"/>
  <c r="J5655" i="4"/>
  <c r="K5656" i="4"/>
  <c r="K5660" i="4"/>
  <c r="J5662" i="4"/>
  <c r="J5663" i="4"/>
  <c r="K5664" i="4"/>
  <c r="J5666" i="4"/>
  <c r="K5667" i="4"/>
  <c r="J5669" i="4"/>
  <c r="J5670" i="4"/>
  <c r="K5671" i="4"/>
  <c r="J5673" i="4"/>
  <c r="K5674" i="4"/>
  <c r="J5676" i="4"/>
  <c r="K5677" i="4"/>
  <c r="J5679" i="4"/>
  <c r="J5681" i="4"/>
  <c r="K5682" i="4"/>
  <c r="J5684" i="4"/>
  <c r="K5685" i="4"/>
  <c r="K5686" i="4"/>
  <c r="K5687" i="4"/>
  <c r="K5284" i="4"/>
  <c r="K5285" i="4"/>
  <c r="K5286" i="4"/>
  <c r="K5287" i="4"/>
  <c r="K5288" i="4"/>
  <c r="K5289" i="4"/>
  <c r="K5290" i="4"/>
  <c r="K5291" i="4"/>
  <c r="J5344" i="4"/>
  <c r="K5345" i="4"/>
  <c r="K5294" i="4"/>
  <c r="J5296" i="4"/>
  <c r="K5299" i="4"/>
  <c r="K5301" i="4"/>
  <c r="J5303" i="4"/>
  <c r="J5658" i="4"/>
  <c r="J5291" i="4"/>
  <c r="J5292" i="4"/>
  <c r="J5347" i="4"/>
  <c r="K5304" i="4"/>
  <c r="K5308" i="4"/>
  <c r="J5310" i="4"/>
  <c r="K5311" i="4"/>
  <c r="J5313" i="4"/>
  <c r="K5314" i="4"/>
  <c r="J5316" i="4"/>
  <c r="K5317" i="4"/>
  <c r="J5319" i="4"/>
  <c r="K5320" i="4"/>
  <c r="J5325" i="4"/>
  <c r="K5326" i="4"/>
  <c r="K5351" i="4"/>
  <c r="K5356" i="4"/>
  <c r="J5330" i="4"/>
  <c r="K5331" i="4"/>
  <c r="J5336" i="4"/>
  <c r="K5337" i="4"/>
  <c r="J5339" i="4"/>
  <c r="K5340" i="4"/>
  <c r="J5358" i="4"/>
  <c r="K5362" i="4"/>
  <c r="J5342" i="4"/>
  <c r="J5346" i="4"/>
  <c r="K5347" i="4"/>
  <c r="J5349" i="4"/>
  <c r="K5350" i="4"/>
  <c r="J5352" i="4"/>
  <c r="K5353" i="4"/>
  <c r="J5355" i="4"/>
  <c r="K5359" i="4"/>
  <c r="J5361" i="4"/>
  <c r="J5365" i="4"/>
  <c r="K5366" i="4"/>
  <c r="J5368" i="4"/>
  <c r="K5369" i="4"/>
  <c r="J5364" i="4"/>
  <c r="K5365" i="4"/>
  <c r="J5371" i="4"/>
  <c r="K5372" i="4"/>
  <c r="J5374" i="4"/>
  <c r="K5375" i="4"/>
  <c r="J5377" i="4"/>
  <c r="K5378" i="4"/>
  <c r="J5367" i="4"/>
  <c r="K5368" i="4"/>
  <c r="J5370" i="4"/>
  <c r="K5371" i="4"/>
  <c r="J5376" i="4"/>
  <c r="K5377" i="4"/>
  <c r="J5293" i="4"/>
  <c r="J5294" i="4"/>
  <c r="J5295" i="4"/>
  <c r="K5381" i="4"/>
  <c r="J5383" i="4"/>
  <c r="K5384" i="4"/>
  <c r="J5386" i="4"/>
  <c r="K5387" i="4"/>
  <c r="K5412" i="4"/>
  <c r="K5413" i="4"/>
  <c r="K5414" i="4"/>
  <c r="K5415" i="4"/>
  <c r="K5416" i="4"/>
  <c r="K5419" i="4"/>
  <c r="K5420" i="4"/>
  <c r="K5296" i="4"/>
  <c r="K5283" i="4"/>
  <c r="J5284" i="4"/>
  <c r="K5423" i="4"/>
  <c r="K5424" i="4"/>
  <c r="J5287" i="4"/>
  <c r="J5288" i="4"/>
  <c r="J5353" i="4"/>
  <c r="K5425" i="4"/>
  <c r="K5426" i="4"/>
  <c r="K5427" i="4"/>
  <c r="K5428" i="4"/>
  <c r="J5430" i="4"/>
  <c r="K5431" i="4"/>
  <c r="J5433" i="4"/>
  <c r="K5437" i="4"/>
  <c r="J5439" i="4"/>
  <c r="J5606" i="4"/>
  <c r="K5607" i="4"/>
  <c r="J5611" i="4"/>
  <c r="K5612" i="4"/>
  <c r="J5614" i="4"/>
  <c r="K5615" i="4"/>
  <c r="J5617" i="4"/>
  <c r="K5618" i="4"/>
  <c r="J5620" i="4"/>
  <c r="J5625" i="4"/>
  <c r="K5626" i="4"/>
  <c r="J5628" i="4"/>
  <c r="K5629" i="4"/>
  <c r="J5631" i="4"/>
  <c r="K5632" i="4"/>
  <c r="J5634" i="4"/>
  <c r="J5635" i="4"/>
  <c r="J5639" i="4"/>
  <c r="K5640" i="4"/>
  <c r="J5642" i="4"/>
  <c r="K5643" i="4"/>
  <c r="J5645" i="4"/>
  <c r="K5646" i="4"/>
  <c r="J5648" i="4"/>
  <c r="J5298" i="4"/>
  <c r="K5302" i="4"/>
  <c r="J5304" i="4"/>
  <c r="J5306" i="4"/>
  <c r="K5649" i="4"/>
  <c r="J5651" i="4"/>
  <c r="K5652" i="4"/>
  <c r="K5657" i="4"/>
  <c r="J5659" i="4"/>
  <c r="J5661" i="4"/>
  <c r="K5307" i="4"/>
  <c r="J5309" i="4"/>
  <c r="K5310" i="4"/>
  <c r="J5312" i="4"/>
  <c r="K5661" i="4"/>
  <c r="K5662" i="4"/>
  <c r="J5664" i="4"/>
  <c r="K5665" i="4"/>
  <c r="J5667" i="4"/>
  <c r="K5668" i="4"/>
  <c r="K5670" i="4"/>
  <c r="J5672" i="4"/>
  <c r="K5673" i="4"/>
  <c r="J5675" i="4"/>
  <c r="K5313" i="4"/>
  <c r="J5315" i="4"/>
  <c r="K5676" i="4"/>
  <c r="J5678" i="4"/>
  <c r="K5208" i="4"/>
  <c r="J5223" i="4"/>
  <c r="K5223" i="4"/>
  <c r="J5224" i="4"/>
  <c r="J5226" i="4"/>
  <c r="K5226" i="4"/>
  <c r="J5227" i="4"/>
  <c r="K5227" i="4"/>
  <c r="J5228" i="4"/>
  <c r="K5228" i="4"/>
  <c r="J5229" i="4"/>
  <c r="K5229" i="4"/>
  <c r="K5231" i="4"/>
  <c r="J5232" i="4"/>
  <c r="K5232" i="4"/>
  <c r="K5234" i="4"/>
  <c r="J5235" i="4"/>
  <c r="K5235" i="4"/>
  <c r="K5237" i="4"/>
  <c r="J5238" i="4"/>
  <c r="K5238" i="4"/>
  <c r="K5240" i="4"/>
  <c r="J5241" i="4"/>
  <c r="K5241" i="4"/>
  <c r="K5243" i="4"/>
  <c r="J5244" i="4"/>
  <c r="K5244" i="4"/>
  <c r="K5246" i="4"/>
  <c r="J5247" i="4"/>
  <c r="K5247" i="4"/>
  <c r="K5249" i="4"/>
  <c r="J5250" i="4"/>
  <c r="K5250" i="4"/>
  <c r="K5252" i="4"/>
  <c r="J5253" i="4"/>
  <c r="K5253" i="4"/>
  <c r="K5255" i="4"/>
  <c r="J5256" i="4"/>
  <c r="K5256" i="4"/>
  <c r="K5258" i="4"/>
  <c r="J5259" i="4"/>
  <c r="K5259" i="4"/>
  <c r="J5261" i="4"/>
  <c r="K5261" i="4"/>
  <c r="J5262" i="4"/>
  <c r="J5264" i="4"/>
  <c r="K5264" i="4"/>
  <c r="J5265" i="4"/>
  <c r="J5267" i="4"/>
  <c r="K5267" i="4"/>
  <c r="J5268" i="4"/>
  <c r="J5270" i="4"/>
  <c r="K5270" i="4"/>
  <c r="J5271" i="4"/>
  <c r="J5273" i="4"/>
  <c r="K5273" i="4"/>
  <c r="J5274" i="4"/>
  <c r="J5276" i="4"/>
  <c r="K5276" i="4"/>
  <c r="J5277" i="4"/>
  <c r="J5279" i="4"/>
  <c r="K5279" i="4"/>
  <c r="J5280" i="4"/>
  <c r="J5281" i="4"/>
  <c r="K5281" i="4"/>
  <c r="J5282" i="4"/>
  <c r="K5282" i="4"/>
  <c r="J5285" i="4"/>
  <c r="J5286" i="4"/>
  <c r="J5289" i="4"/>
  <c r="J5290" i="4"/>
  <c r="K5292" i="4"/>
  <c r="K5293" i="4"/>
  <c r="K5297" i="4"/>
  <c r="J5299" i="4"/>
  <c r="K5300" i="4"/>
  <c r="J5302" i="4"/>
  <c r="K5303" i="4"/>
  <c r="J5305" i="4"/>
  <c r="K5306" i="4"/>
  <c r="J5308" i="4"/>
  <c r="K5309" i="4"/>
  <c r="J5314" i="4"/>
  <c r="K5315" i="4"/>
  <c r="K5319" i="4"/>
  <c r="J5321" i="4"/>
  <c r="K5322" i="4"/>
  <c r="J5324" i="4"/>
  <c r="K5325" i="4"/>
  <c r="J5327" i="4"/>
  <c r="K5328" i="4"/>
  <c r="J5333" i="4"/>
  <c r="K5334" i="4"/>
  <c r="K5338" i="4"/>
  <c r="J5340" i="4"/>
  <c r="K5341" i="4"/>
  <c r="J5343" i="4"/>
  <c r="K5344" i="4"/>
  <c r="K5348" i="4"/>
  <c r="J5350" i="4"/>
  <c r="K5354" i="4"/>
  <c r="J5356" i="4"/>
  <c r="K5357" i="4"/>
  <c r="J5359" i="4"/>
  <c r="K5360" i="4"/>
  <c r="J5362" i="4"/>
  <c r="K5363" i="4"/>
  <c r="K5367" i="4"/>
  <c r="J5369" i="4"/>
  <c r="J5373" i="4"/>
  <c r="K5374" i="4"/>
  <c r="J5379" i="4"/>
  <c r="K5380" i="4"/>
  <c r="J5382" i="4"/>
  <c r="K5383" i="4"/>
  <c r="J5385" i="4"/>
  <c r="K5386" i="4"/>
  <c r="J5388" i="4"/>
  <c r="J5389" i="4"/>
  <c r="J5390" i="4"/>
  <c r="J5391" i="4"/>
  <c r="J5392" i="4"/>
  <c r="J5395" i="4"/>
  <c r="J5396" i="4"/>
  <c r="J5399" i="4"/>
  <c r="J5400" i="4"/>
  <c r="K5401" i="4"/>
  <c r="K5402" i="4"/>
  <c r="K5403" i="4"/>
  <c r="K5404" i="4"/>
  <c r="K5405" i="4"/>
  <c r="J5409" i="4"/>
  <c r="J5410" i="4"/>
  <c r="K5410" i="4"/>
  <c r="J5414" i="4"/>
  <c r="J5415" i="4"/>
  <c r="K5417" i="4"/>
  <c r="K5418" i="4"/>
  <c r="K5421" i="4"/>
  <c r="K5422" i="4"/>
  <c r="J5425" i="4"/>
  <c r="J5426" i="4"/>
  <c r="K5429" i="4"/>
  <c r="J5431" i="4"/>
  <c r="K5432" i="4"/>
  <c r="J5434" i="4"/>
  <c r="K5435" i="4"/>
  <c r="J5437" i="4"/>
  <c r="K5438" i="4"/>
  <c r="J5603" i="4"/>
  <c r="K5604" i="4"/>
  <c r="J5610" i="4"/>
  <c r="K5611" i="4"/>
  <c r="J5613" i="4"/>
  <c r="J5615" i="4"/>
  <c r="J5619" i="4"/>
  <c r="K5620" i="4"/>
  <c r="J5622" i="4"/>
  <c r="K5623" i="4"/>
  <c r="K5628" i="4"/>
  <c r="J5630" i="4"/>
  <c r="K5631" i="4"/>
  <c r="J5633" i="4"/>
  <c r="J5637" i="4"/>
  <c r="K5638" i="4"/>
  <c r="J5640" i="4"/>
  <c r="J5644" i="4"/>
  <c r="K5645" i="4"/>
  <c r="K5650" i="4"/>
  <c r="J5652" i="4"/>
  <c r="K5653" i="4"/>
  <c r="K5655" i="4"/>
  <c r="J5657" i="4"/>
  <c r="K5658" i="4"/>
  <c r="J5660" i="4"/>
  <c r="K5663" i="4"/>
  <c r="J5665" i="4"/>
  <c r="K5666" i="4"/>
  <c r="J5668" i="4"/>
  <c r="K5669" i="4"/>
  <c r="J5671" i="4"/>
  <c r="K5672" i="4"/>
  <c r="J5674" i="4"/>
  <c r="K5675" i="4"/>
  <c r="J5677" i="4"/>
  <c r="K5678" i="4"/>
  <c r="K3568" i="4"/>
  <c r="K3569" i="4"/>
  <c r="K3571" i="4"/>
  <c r="J3586" i="4"/>
  <c r="K3588" i="4"/>
  <c r="K3589" i="4"/>
  <c r="J3590" i="4"/>
  <c r="J3591" i="4"/>
  <c r="J3601" i="4"/>
  <c r="J3613" i="4"/>
  <c r="J3614" i="4"/>
  <c r="J3615" i="4"/>
  <c r="J3616" i="4"/>
  <c r="J3623" i="4"/>
  <c r="K3624" i="4"/>
  <c r="K3630" i="4"/>
  <c r="J3637" i="4"/>
  <c r="K3638" i="4"/>
  <c r="K3643" i="4"/>
  <c r="K3644" i="4"/>
  <c r="K3645" i="4"/>
  <c r="K3646" i="4"/>
  <c r="J3647" i="4"/>
  <c r="J3659" i="4"/>
  <c r="K3672" i="4"/>
  <c r="J3675" i="4"/>
  <c r="J3688" i="4"/>
  <c r="J3689" i="4"/>
  <c r="K3690" i="4"/>
  <c r="K3691" i="4"/>
  <c r="K3692" i="4"/>
  <c r="J3693" i="4"/>
  <c r="J3694" i="4"/>
  <c r="K3695" i="4"/>
  <c r="K3696" i="4"/>
  <c r="K3697" i="4"/>
  <c r="J3705" i="4"/>
  <c r="K3717" i="4"/>
  <c r="J3738" i="4"/>
  <c r="K3739" i="4"/>
  <c r="J3761" i="4"/>
  <c r="K3770" i="4"/>
  <c r="J3781" i="4"/>
  <c r="J3782" i="4"/>
  <c r="J3783" i="4"/>
  <c r="J3784" i="4"/>
  <c r="J3785" i="4"/>
  <c r="J3793" i="4"/>
  <c r="K3794" i="4"/>
  <c r="J3795" i="4"/>
  <c r="J3807" i="4"/>
  <c r="K3808" i="4"/>
  <c r="J3813" i="4"/>
  <c r="J3815" i="4"/>
  <c r="J3819" i="4"/>
  <c r="J3820" i="4"/>
  <c r="J3821" i="4"/>
  <c r="K3825" i="4"/>
  <c r="K3830" i="4"/>
  <c r="K2859" i="6"/>
  <c r="L2859" i="6"/>
  <c r="I2859" i="6"/>
  <c r="K2842" i="6"/>
  <c r="I2842" i="6"/>
  <c r="L2842" i="6"/>
  <c r="K2838" i="6"/>
  <c r="L2838" i="6" s="1"/>
  <c r="I2838" i="6"/>
  <c r="I2830" i="6"/>
  <c r="K2830" i="6"/>
  <c r="L2830" i="6" s="1"/>
  <c r="K2828" i="6"/>
  <c r="L2828" i="6" s="1"/>
  <c r="I2828" i="6"/>
  <c r="K2826" i="6"/>
  <c r="L2826" i="6" s="1"/>
  <c r="I2826" i="6"/>
  <c r="I2823" i="6"/>
  <c r="K2823" i="6"/>
  <c r="L2823" i="6" s="1"/>
  <c r="I2821" i="6"/>
  <c r="K2821" i="6"/>
  <c r="L2821" i="6" s="1"/>
  <c r="I2654" i="6"/>
  <c r="K2654" i="6"/>
  <c r="L2654" i="6" s="1"/>
  <c r="I2809" i="6"/>
  <c r="K2809" i="6"/>
  <c r="L2809" i="6" s="1"/>
  <c r="I2249" i="6"/>
  <c r="K2249" i="6"/>
  <c r="L2249" i="6" s="1"/>
  <c r="I2795" i="6"/>
  <c r="K2795" i="6"/>
  <c r="L2795" i="6" s="1"/>
  <c r="K2790" i="6"/>
  <c r="L2790" i="6" s="1"/>
  <c r="I2790" i="6"/>
  <c r="I2789" i="6"/>
  <c r="K2789" i="6"/>
  <c r="L2789" i="6" s="1"/>
  <c r="K2234" i="6"/>
  <c r="L2234" i="6" s="1"/>
  <c r="I2234" i="6"/>
  <c r="K2773" i="6"/>
  <c r="L2773" i="6" s="1"/>
  <c r="I2773" i="6"/>
  <c r="I2772" i="6"/>
  <c r="K2772" i="6"/>
  <c r="L2772" i="6" s="1"/>
  <c r="K2767" i="6"/>
  <c r="L2767" i="6" s="1"/>
  <c r="I2767" i="6"/>
  <c r="I2759" i="6"/>
  <c r="K2759" i="6"/>
  <c r="L2759" i="6" s="1"/>
  <c r="K2750" i="6"/>
  <c r="L2750" i="6" s="1"/>
  <c r="I2750" i="6"/>
  <c r="I2736" i="6"/>
  <c r="K2736" i="6"/>
  <c r="L2736" i="6" s="1"/>
  <c r="I2197" i="6"/>
  <c r="K2197" i="6"/>
  <c r="L2197" i="6" s="1"/>
  <c r="K2732" i="6"/>
  <c r="L2732" i="6" s="1"/>
  <c r="I2732" i="6"/>
  <c r="I2729" i="6"/>
  <c r="K2729" i="6"/>
  <c r="L2729" i="6" s="1"/>
  <c r="K2192" i="6"/>
  <c r="L2192" i="6" s="1"/>
  <c r="I2192" i="6"/>
  <c r="I2721" i="6"/>
  <c r="K2721" i="6"/>
  <c r="L2721" i="6" s="1"/>
  <c r="I2718" i="6"/>
  <c r="K2718" i="6"/>
  <c r="L2718" i="6" s="1"/>
  <c r="K2185" i="6"/>
  <c r="L2185" i="6" s="1"/>
  <c r="I2185" i="6"/>
  <c r="K2716" i="6"/>
  <c r="L2716" i="6" s="1"/>
  <c r="I2716" i="6"/>
  <c r="K2180" i="6"/>
  <c r="L2180" i="6" s="1"/>
  <c r="I2180" i="6"/>
  <c r="K2177" i="6"/>
  <c r="L2177" i="6" s="1"/>
  <c r="I2177" i="6"/>
  <c r="K1815" i="6"/>
  <c r="L1815" i="6" s="1"/>
  <c r="I1815" i="6"/>
  <c r="K2165" i="6"/>
  <c r="L2165" i="6" s="1"/>
  <c r="I2165" i="6"/>
  <c r="K1557" i="6"/>
  <c r="I1557" i="6"/>
  <c r="I2684" i="6"/>
  <c r="K2684" i="6"/>
  <c r="L2684" i="6" s="1"/>
  <c r="I2682" i="6"/>
  <c r="K2682" i="6"/>
  <c r="L2682" i="6" s="1"/>
  <c r="K1808" i="6"/>
  <c r="L1808" i="6" s="1"/>
  <c r="I1808" i="6"/>
  <c r="I1805" i="6"/>
  <c r="K1805" i="6"/>
  <c r="L1805" i="6" s="1"/>
  <c r="I2674" i="6"/>
  <c r="K2674" i="6"/>
  <c r="L2674" i="6" s="1"/>
  <c r="I2673" i="6"/>
  <c r="K2673" i="6"/>
  <c r="L2673" i="6" s="1"/>
  <c r="I1803" i="6"/>
  <c r="K1803" i="6"/>
  <c r="L1803" i="6" s="1"/>
  <c r="I1802" i="6"/>
  <c r="K1802" i="6"/>
  <c r="L1802" i="6" s="1"/>
  <c r="I2668" i="6"/>
  <c r="K2668" i="6"/>
  <c r="L2668" i="6" s="1"/>
  <c r="I1800" i="6"/>
  <c r="K1800" i="6"/>
  <c r="L1800" i="6" s="1"/>
  <c r="K2658" i="6"/>
  <c r="L2658" i="6" s="1"/>
  <c r="I2658" i="6"/>
  <c r="K2656" i="6"/>
  <c r="L2656" i="6" s="1"/>
  <c r="I2656" i="6"/>
  <c r="I2341" i="6"/>
  <c r="K2341" i="6"/>
  <c r="L2341" i="6" s="1"/>
  <c r="I2338" i="6"/>
  <c r="K2338" i="6"/>
  <c r="L2338" i="6" s="1"/>
  <c r="I3201" i="6"/>
  <c r="K3201" i="6"/>
  <c r="L3201" i="6"/>
  <c r="I2575" i="6"/>
  <c r="K2575" i="6"/>
  <c r="L2575" i="6" s="1"/>
  <c r="K1611" i="6"/>
  <c r="L1611" i="6" s="1"/>
  <c r="I1611" i="6"/>
  <c r="I2904" i="6"/>
  <c r="K2904" i="6"/>
  <c r="L2904" i="6" s="1"/>
  <c r="I2903" i="6"/>
  <c r="K2903" i="6"/>
  <c r="L2903" i="6"/>
  <c r="K2066" i="6"/>
  <c r="L2066" i="6" s="1"/>
  <c r="I2066" i="6"/>
  <c r="I2901" i="6"/>
  <c r="K2901" i="6"/>
  <c r="L2901" i="6"/>
  <c r="I2331" i="6"/>
  <c r="K2331" i="6"/>
  <c r="L2331" i="6" s="1"/>
  <c r="I1777" i="6"/>
  <c r="K1777" i="6"/>
  <c r="L1777" i="6" s="1"/>
  <c r="I2893" i="6"/>
  <c r="K2893" i="6"/>
  <c r="L2893" i="6"/>
  <c r="K1724" i="6"/>
  <c r="L1724" i="6" s="1"/>
  <c r="I1724" i="6"/>
  <c r="I1348" i="6"/>
  <c r="K1348" i="6"/>
  <c r="L1348" i="6" s="1"/>
  <c r="I2890" i="6"/>
  <c r="K2890" i="6"/>
  <c r="L2890" i="6"/>
  <c r="I1149" i="6"/>
  <c r="K1149" i="6"/>
  <c r="L1149" i="6" s="1"/>
  <c r="I2325" i="6"/>
  <c r="K2325" i="6"/>
  <c r="L2325" i="6" s="1"/>
  <c r="I2324" i="6"/>
  <c r="K2324" i="6"/>
  <c r="L2324" i="6" s="1"/>
  <c r="I3180" i="6"/>
  <c r="K3180" i="6"/>
  <c r="L3180" i="6" s="1"/>
  <c r="I2552" i="6"/>
  <c r="K2552" i="6"/>
  <c r="L2552" i="6" s="1"/>
  <c r="I2321" i="6"/>
  <c r="K2321" i="6"/>
  <c r="L2321" i="6" s="1"/>
  <c r="K1150" i="6"/>
  <c r="L1150" i="6"/>
  <c r="I1150" i="6"/>
  <c r="K1869" i="6"/>
  <c r="L1869" i="6" s="1"/>
  <c r="I1869" i="6"/>
  <c r="I1155" i="6"/>
  <c r="K1155" i="6"/>
  <c r="L1155" i="6"/>
  <c r="I3173" i="6"/>
  <c r="K3173" i="6"/>
  <c r="L3173" i="6" s="1"/>
  <c r="K1721" i="6"/>
  <c r="L1721" i="6" s="1"/>
  <c r="I1721" i="6"/>
  <c r="I2313" i="6"/>
  <c r="K2313" i="6"/>
  <c r="L2313" i="6" s="1"/>
  <c r="K2875" i="6"/>
  <c r="L2875" i="6" s="1"/>
  <c r="I2875" i="6"/>
  <c r="K1616" i="6"/>
  <c r="L1616" i="6" s="1"/>
  <c r="I1616" i="6"/>
  <c r="K1511" i="6"/>
  <c r="L1511" i="6" s="1"/>
  <c r="I1511" i="6"/>
  <c r="K2547" i="6"/>
  <c r="L2547" i="6" s="1"/>
  <c r="I2547" i="6"/>
  <c r="K3168" i="6"/>
  <c r="L3168" i="6" s="1"/>
  <c r="I3168" i="6"/>
  <c r="I2870" i="6"/>
  <c r="K2870" i="6"/>
  <c r="L2870" i="6" s="1"/>
  <c r="K1370" i="6"/>
  <c r="L1370" i="6" s="1"/>
  <c r="I1370" i="6"/>
  <c r="I1156" i="6"/>
  <c r="K1156" i="6"/>
  <c r="L1156" i="6"/>
  <c r="I1161" i="6"/>
  <c r="K1161" i="6"/>
  <c r="L1161" i="6" s="1"/>
  <c r="K2039" i="6"/>
  <c r="L2039" i="6" s="1"/>
  <c r="I2039" i="6"/>
  <c r="I2534" i="6"/>
  <c r="K2534" i="6"/>
  <c r="L2534" i="6" s="1"/>
  <c r="I3153" i="6"/>
  <c r="K3153" i="6"/>
  <c r="L3153" i="6" s="1"/>
  <c r="K2031" i="6"/>
  <c r="L2031" i="6" s="1"/>
  <c r="I2031" i="6"/>
  <c r="I3140" i="6"/>
  <c r="K3140" i="6"/>
  <c r="L3140" i="6" s="1"/>
  <c r="I3135" i="6"/>
  <c r="K3135" i="6"/>
  <c r="L3135" i="6"/>
  <c r="I2297" i="6"/>
  <c r="K2297" i="6"/>
  <c r="L2297" i="6" s="1"/>
  <c r="K3133" i="6"/>
  <c r="L3133" i="6" s="1"/>
  <c r="I3133" i="6"/>
  <c r="I3131" i="6"/>
  <c r="K3131" i="6"/>
  <c r="L3131" i="6"/>
  <c r="K2516" i="6"/>
  <c r="L2516" i="6" s="1"/>
  <c r="I2516" i="6"/>
  <c r="I1766" i="6"/>
  <c r="K1766" i="6"/>
  <c r="L1766" i="6" s="1"/>
  <c r="K1203" i="6"/>
  <c r="L1203" i="6" s="1"/>
  <c r="I1203" i="6"/>
  <c r="K1381" i="6"/>
  <c r="L1381" i="6" s="1"/>
  <c r="I1381" i="6"/>
  <c r="I1843" i="6"/>
  <c r="K1843" i="6"/>
  <c r="L1843" i="6" s="1"/>
  <c r="K1382" i="6"/>
  <c r="L1382" i="6" s="1"/>
  <c r="I1382" i="6"/>
  <c r="K696" i="6"/>
  <c r="L696" i="6" s="1"/>
  <c r="I696" i="6"/>
  <c r="I706" i="6"/>
  <c r="K706" i="6"/>
  <c r="L706" i="6"/>
  <c r="K1713" i="6"/>
  <c r="L1713" i="6" s="1"/>
  <c r="I1713" i="6"/>
  <c r="I3108" i="6"/>
  <c r="K3108" i="6"/>
  <c r="L3108" i="6" s="1"/>
  <c r="K715" i="6"/>
  <c r="L715" i="6" s="1"/>
  <c r="I715" i="6"/>
  <c r="I1514" i="6"/>
  <c r="K1514" i="6"/>
  <c r="L1514" i="6" s="1"/>
  <c r="I1220" i="6"/>
  <c r="K1220" i="6"/>
  <c r="L1220" i="6"/>
  <c r="K3103" i="6"/>
  <c r="L3103" i="6" s="1"/>
  <c r="I3103" i="6"/>
  <c r="I2496" i="6"/>
  <c r="K2496" i="6"/>
  <c r="L2496" i="6" s="1"/>
  <c r="K1656" i="6"/>
  <c r="L1656" i="6" s="1"/>
  <c r="I1656" i="6"/>
  <c r="K2276" i="6"/>
  <c r="L2276" i="6" s="1"/>
  <c r="I2276" i="6"/>
  <c r="K3099" i="6"/>
  <c r="L3099" i="6"/>
  <c r="I3099" i="6"/>
  <c r="K2274" i="6"/>
  <c r="L2274" i="6" s="1"/>
  <c r="I2274" i="6"/>
  <c r="I2494" i="6"/>
  <c r="K2494" i="6"/>
  <c r="L2494" i="6" s="1"/>
  <c r="I2493" i="6"/>
  <c r="K2493" i="6"/>
  <c r="L2493" i="6" s="1"/>
  <c r="I2492" i="6"/>
  <c r="K2492" i="6"/>
  <c r="L2492" i="6" s="1"/>
  <c r="K2489" i="6"/>
  <c r="L2489" i="6" s="1"/>
  <c r="I2489" i="6"/>
  <c r="I3092" i="6"/>
  <c r="K3092" i="6"/>
  <c r="L3092" i="6"/>
  <c r="K3091" i="6"/>
  <c r="L3091" i="6"/>
  <c r="I3091" i="6"/>
  <c r="I1998" i="6"/>
  <c r="K1998" i="6"/>
  <c r="L1998" i="6" s="1"/>
  <c r="K1996" i="6"/>
  <c r="L1996" i="6" s="1"/>
  <c r="I1996" i="6"/>
  <c r="I1637" i="6"/>
  <c r="K1637" i="6"/>
  <c r="L1637" i="6" s="1"/>
  <c r="I1670" i="6"/>
  <c r="K1670" i="6"/>
  <c r="L1670" i="6" s="1"/>
  <c r="K2475" i="6"/>
  <c r="L2475" i="6" s="1"/>
  <c r="I2475" i="6"/>
  <c r="I2470" i="6"/>
  <c r="K2470" i="6"/>
  <c r="L2470" i="6" s="1"/>
  <c r="K1752" i="6"/>
  <c r="L1752" i="6" s="1"/>
  <c r="I1752" i="6"/>
  <c r="I773" i="6"/>
  <c r="K773" i="6"/>
  <c r="L773" i="6" s="1"/>
  <c r="I1979" i="6"/>
  <c r="K1979" i="6"/>
  <c r="L1979" i="6" s="1"/>
  <c r="I3056" i="6"/>
  <c r="K3056" i="6"/>
  <c r="L3056" i="6" s="1"/>
  <c r="I1976" i="6"/>
  <c r="K1976" i="6"/>
  <c r="L1976" i="6" s="1"/>
  <c r="K1443" i="6"/>
  <c r="L1443" i="6" s="1"/>
  <c r="I1443" i="6"/>
  <c r="K799" i="6"/>
  <c r="I799" i="6"/>
  <c r="L799" i="6"/>
  <c r="K2450" i="6"/>
  <c r="L2450" i="6" s="1"/>
  <c r="I2450" i="6"/>
  <c r="K3045" i="6"/>
  <c r="I3045" i="6"/>
  <c r="L3045" i="6"/>
  <c r="I3042" i="6"/>
  <c r="K3042" i="6"/>
  <c r="L3042" i="6"/>
  <c r="K811" i="6"/>
  <c r="L811" i="6" s="1"/>
  <c r="I811" i="6"/>
  <c r="I825" i="6"/>
  <c r="K825" i="6"/>
  <c r="L825" i="6"/>
  <c r="I3038" i="6"/>
  <c r="K3038" i="6"/>
  <c r="L3038" i="6"/>
  <c r="I2799" i="6"/>
  <c r="K2799" i="6"/>
  <c r="L2799" i="6" s="1"/>
  <c r="I834" i="6"/>
  <c r="K834" i="6"/>
  <c r="L834" i="6"/>
  <c r="I846" i="6"/>
  <c r="K846" i="6"/>
  <c r="L846" i="6" s="1"/>
  <c r="K1685" i="6"/>
  <c r="L1685" i="6" s="1"/>
  <c r="I1685" i="6"/>
  <c r="K2243" i="6"/>
  <c r="L2243" i="6" s="1"/>
  <c r="I2243" i="6"/>
  <c r="I855" i="6"/>
  <c r="K855" i="6"/>
  <c r="L855" i="6"/>
  <c r="K1958" i="6"/>
  <c r="L1958" i="6" s="1"/>
  <c r="I1958" i="6"/>
  <c r="K3025" i="6"/>
  <c r="L3025" i="6"/>
  <c r="I3025" i="6"/>
  <c r="I2788" i="6"/>
  <c r="K2788" i="6"/>
  <c r="L2788" i="6" s="1"/>
  <c r="I1241" i="6"/>
  <c r="K1241" i="6"/>
  <c r="L1241" i="6"/>
  <c r="I865" i="6"/>
  <c r="K865" i="6"/>
  <c r="L865" i="6"/>
  <c r="K869" i="6"/>
  <c r="L869" i="6" s="1"/>
  <c r="I869" i="6"/>
  <c r="K142" i="6"/>
  <c r="I142" i="6"/>
  <c r="K873" i="6"/>
  <c r="L873" i="6" s="1"/>
  <c r="I873" i="6"/>
  <c r="K1952" i="6"/>
  <c r="L1952" i="6" s="1"/>
  <c r="I1952" i="6"/>
  <c r="I1520" i="6"/>
  <c r="K1520" i="6"/>
  <c r="L1520" i="6" s="1"/>
  <c r="K155" i="6"/>
  <c r="L155" i="6" s="1"/>
  <c r="I155" i="6"/>
  <c r="K877" i="6"/>
  <c r="L877" i="6" s="1"/>
  <c r="I877" i="6"/>
  <c r="K1602" i="6"/>
  <c r="L1602" i="6" s="1"/>
  <c r="I1602" i="6"/>
  <c r="I171" i="6"/>
  <c r="K171" i="6"/>
  <c r="L171" i="6" s="1"/>
  <c r="I903" i="6"/>
  <c r="K903" i="6"/>
  <c r="L903" i="6" s="1"/>
  <c r="K1449" i="6"/>
  <c r="L1449" i="6" s="1"/>
  <c r="I1449" i="6"/>
  <c r="I2771" i="6"/>
  <c r="K2771" i="6"/>
  <c r="L2771" i="6" s="1"/>
  <c r="I174" i="6"/>
  <c r="K174" i="6"/>
  <c r="L174" i="6" s="1"/>
  <c r="K176" i="6"/>
  <c r="L176" i="6" s="1"/>
  <c r="I176" i="6"/>
  <c r="I2768" i="6"/>
  <c r="K2768" i="6"/>
  <c r="L2768" i="6" s="1"/>
  <c r="I1452" i="6"/>
  <c r="K1452" i="6"/>
  <c r="L1452" i="6" s="1"/>
  <c r="K920" i="6"/>
  <c r="I920" i="6"/>
  <c r="L920" i="6"/>
  <c r="K3002" i="6"/>
  <c r="L3002" i="6" s="1"/>
  <c r="I3002" i="6"/>
  <c r="I2411" i="6"/>
  <c r="K2411" i="6"/>
  <c r="L2411" i="6" s="1"/>
  <c r="I921" i="6"/>
  <c r="K921" i="6"/>
  <c r="L921" i="6" s="1"/>
  <c r="K2997" i="6"/>
  <c r="L2997" i="6" s="1"/>
  <c r="I2997" i="6"/>
  <c r="K2762" i="6"/>
  <c r="L2762" i="6" s="1"/>
  <c r="I2762" i="6"/>
  <c r="K2996" i="6"/>
  <c r="L2996" i="6" s="1"/>
  <c r="I2996" i="6"/>
  <c r="K938" i="6"/>
  <c r="L938" i="6" s="1"/>
  <c r="I938" i="6"/>
  <c r="K1931" i="6"/>
  <c r="L1931" i="6" s="1"/>
  <c r="I1931" i="6"/>
  <c r="K203" i="6"/>
  <c r="L203" i="6" s="1"/>
  <c r="I203" i="6"/>
  <c r="K1456" i="6"/>
  <c r="L1456" i="6" s="1"/>
  <c r="I1456" i="6"/>
  <c r="K953" i="6"/>
  <c r="L953" i="6" s="1"/>
  <c r="I953" i="6"/>
  <c r="I1924" i="6"/>
  <c r="K1924" i="6"/>
  <c r="L1924" i="6" s="1"/>
  <c r="K1245" i="6"/>
  <c r="I1245" i="6"/>
  <c r="L1245" i="6"/>
  <c r="K1472" i="6"/>
  <c r="L1472" i="6" s="1"/>
  <c r="I1472" i="6"/>
  <c r="K1248" i="6"/>
  <c r="L1248" i="6" s="1"/>
  <c r="I1248" i="6"/>
  <c r="I416" i="6"/>
  <c r="K416" i="6"/>
  <c r="L416" i="6"/>
  <c r="K1563" i="6"/>
  <c r="L1563" i="6" s="1"/>
  <c r="I1563" i="6"/>
  <c r="I1921" i="6"/>
  <c r="K1921" i="6"/>
  <c r="L1921" i="6" s="1"/>
  <c r="I2131" i="6"/>
  <c r="K2131" i="6"/>
  <c r="L2131" i="6" s="1"/>
  <c r="I243" i="6"/>
  <c r="K243" i="6"/>
  <c r="L243" i="6" s="1"/>
  <c r="I249" i="6"/>
  <c r="K249" i="6"/>
  <c r="L249" i="6" s="1"/>
  <c r="I258" i="6"/>
  <c r="K258" i="6"/>
  <c r="L258" i="6" s="1"/>
  <c r="I269" i="6"/>
  <c r="K269" i="6"/>
  <c r="L269" i="6" s="1"/>
  <c r="I3293" i="6"/>
  <c r="K3293" i="6"/>
  <c r="L3293" i="6" s="1"/>
  <c r="K1313" i="6"/>
  <c r="L1313" i="6" s="1"/>
  <c r="I1313" i="6"/>
  <c r="K285" i="6"/>
  <c r="L285" i="6" s="1"/>
  <c r="I285" i="6"/>
  <c r="K286" i="6"/>
  <c r="L286" i="6" s="1"/>
  <c r="I286" i="6"/>
  <c r="I426" i="6"/>
  <c r="K426" i="6"/>
  <c r="L426" i="6"/>
  <c r="K2646" i="6"/>
  <c r="L2646" i="6" s="1"/>
  <c r="I2646" i="6"/>
  <c r="K292" i="6"/>
  <c r="L292" i="6" s="1"/>
  <c r="I292" i="6"/>
  <c r="I1917" i="6"/>
  <c r="K1917" i="6"/>
  <c r="L1917" i="6" s="1"/>
  <c r="K2263" i="6"/>
  <c r="L2263" i="6" s="1"/>
  <c r="I2263" i="6"/>
  <c r="K3278" i="6"/>
  <c r="L3278" i="6"/>
  <c r="I3278" i="6"/>
  <c r="K441" i="6"/>
  <c r="L441" i="6" s="1"/>
  <c r="I441" i="6"/>
  <c r="K1915" i="6"/>
  <c r="L1915" i="6" s="1"/>
  <c r="I1915" i="6"/>
  <c r="K1794" i="6"/>
  <c r="L1794" i="6" s="1"/>
  <c r="I1794" i="6"/>
  <c r="I2380" i="6"/>
  <c r="K2380" i="6"/>
  <c r="L2380" i="6" s="1"/>
  <c r="K1736" i="6"/>
  <c r="L1736" i="6" s="1"/>
  <c r="I1736" i="6"/>
  <c r="K307" i="6"/>
  <c r="L307" i="6" s="1"/>
  <c r="I307" i="6"/>
  <c r="I2191" i="6"/>
  <c r="K2191" i="6"/>
  <c r="L2191" i="6" s="1"/>
  <c r="I311" i="6"/>
  <c r="K311" i="6"/>
  <c r="L311" i="6" s="1"/>
  <c r="I1260" i="6"/>
  <c r="K1260" i="6"/>
  <c r="L1260" i="6" s="1"/>
  <c r="K448" i="6"/>
  <c r="L448" i="6" s="1"/>
  <c r="I448" i="6"/>
  <c r="I2958" i="6"/>
  <c r="K2958" i="6"/>
  <c r="L2958" i="6"/>
  <c r="I316" i="6"/>
  <c r="K316" i="6"/>
  <c r="L316" i="6" s="1"/>
  <c r="I3270" i="6"/>
  <c r="K3270" i="6"/>
  <c r="L3270" i="6"/>
  <c r="K1542" i="6"/>
  <c r="L1542" i="6" s="1"/>
  <c r="I1542" i="6"/>
  <c r="I2719" i="6"/>
  <c r="K2719" i="6"/>
  <c r="L2719" i="6" s="1"/>
  <c r="I470" i="6"/>
  <c r="K470" i="6"/>
  <c r="L470" i="6" s="1"/>
  <c r="I1564" i="6"/>
  <c r="K1564" i="6"/>
  <c r="L1564" i="6" s="1"/>
  <c r="K1018" i="6"/>
  <c r="L1018" i="6" s="1"/>
  <c r="I1018" i="6"/>
  <c r="I3264" i="6"/>
  <c r="K3264" i="6"/>
  <c r="L3264" i="6"/>
  <c r="I324" i="6"/>
  <c r="K324" i="6"/>
  <c r="L324" i="6" s="1"/>
  <c r="K1647" i="6"/>
  <c r="L1647" i="6" s="1"/>
  <c r="I1647" i="6"/>
  <c r="I2951" i="6"/>
  <c r="K2951" i="6"/>
  <c r="L2951" i="6"/>
  <c r="K1046" i="6"/>
  <c r="I1046" i="6"/>
  <c r="L1046" i="6"/>
  <c r="I2949" i="6"/>
  <c r="K2949" i="6"/>
  <c r="L2949" i="6" s="1"/>
  <c r="I2178" i="6"/>
  <c r="K2178" i="6"/>
  <c r="L2178" i="6" s="1"/>
  <c r="K2708" i="6"/>
  <c r="L2708" i="6" s="1"/>
  <c r="I2708" i="6"/>
  <c r="I1734" i="6"/>
  <c r="K1734" i="6"/>
  <c r="L1734" i="6" s="1"/>
  <c r="K1061" i="6"/>
  <c r="L1061" i="6" s="1"/>
  <c r="I1061" i="6"/>
  <c r="K2622" i="6"/>
  <c r="L2622" i="6" s="1"/>
  <c r="I2622" i="6"/>
  <c r="K480" i="6"/>
  <c r="L480" i="6" s="1"/>
  <c r="I480" i="6"/>
  <c r="K350" i="6"/>
  <c r="L350" i="6" s="1"/>
  <c r="I350" i="6"/>
  <c r="I2701" i="6"/>
  <c r="K2701" i="6"/>
  <c r="L2701" i="6" s="1"/>
  <c r="K1565" i="6"/>
  <c r="L1565" i="6" s="1"/>
  <c r="I1565" i="6"/>
  <c r="K490" i="6"/>
  <c r="L490" i="6"/>
  <c r="I490" i="6"/>
  <c r="K355" i="6"/>
  <c r="L355" i="6" s="1"/>
  <c r="I355" i="6"/>
  <c r="I1074" i="6"/>
  <c r="K1074" i="6"/>
  <c r="L1074" i="6"/>
  <c r="K2101" i="6"/>
  <c r="L2101" i="6" s="1"/>
  <c r="I2101" i="6"/>
  <c r="K1704" i="6"/>
  <c r="L1704" i="6" s="1"/>
  <c r="I1704" i="6"/>
  <c r="K2940" i="6"/>
  <c r="I2940" i="6"/>
  <c r="L2940" i="6"/>
  <c r="K1899" i="6"/>
  <c r="L1899" i="6" s="1"/>
  <c r="I1899" i="6"/>
  <c r="K356" i="6"/>
  <c r="L356" i="6" s="1"/>
  <c r="I356" i="6"/>
  <c r="K1293" i="6"/>
  <c r="L1293" i="6" s="1"/>
  <c r="I1293" i="6"/>
  <c r="I2161" i="6"/>
  <c r="K2161" i="6"/>
  <c r="L2161" i="6" s="1"/>
  <c r="I1083" i="6"/>
  <c r="K1083" i="6"/>
  <c r="L1083" i="6" s="1"/>
  <c r="K2613" i="6"/>
  <c r="L2613" i="6" s="1"/>
  <c r="I2613" i="6"/>
  <c r="I1897" i="6"/>
  <c r="K1897" i="6"/>
  <c r="L1897" i="6" s="1"/>
  <c r="K1559" i="6"/>
  <c r="L1559" i="6" s="1"/>
  <c r="I1559" i="6"/>
  <c r="I1085" i="6"/>
  <c r="K1085" i="6"/>
  <c r="L1085" i="6" s="1"/>
  <c r="K1790" i="6"/>
  <c r="L1790" i="6" s="1"/>
  <c r="I1790" i="6"/>
  <c r="I2933" i="6"/>
  <c r="K2933" i="6"/>
  <c r="L2933" i="6" s="1"/>
  <c r="K2098" i="6"/>
  <c r="L2098" i="6" s="1"/>
  <c r="I2098" i="6"/>
  <c r="I1088" i="6"/>
  <c r="K1088" i="6"/>
  <c r="L1088" i="6" s="1"/>
  <c r="K1328" i="6"/>
  <c r="L1328" i="6" s="1"/>
  <c r="I1328" i="6"/>
  <c r="I2152" i="6"/>
  <c r="K2152" i="6"/>
  <c r="L2152" i="6" s="1"/>
  <c r="K1094" i="6"/>
  <c r="L1094" i="6"/>
  <c r="I1094" i="6"/>
  <c r="K500" i="6"/>
  <c r="I500" i="6"/>
  <c r="L500" i="6"/>
  <c r="I3230" i="6"/>
  <c r="K3230" i="6"/>
  <c r="L3230" i="6"/>
  <c r="I1561" i="6"/>
  <c r="K1561" i="6"/>
  <c r="L1561" i="6" s="1"/>
  <c r="I1329" i="6"/>
  <c r="K1329" i="6"/>
  <c r="L1329" i="6" s="1"/>
  <c r="I1572" i="6"/>
  <c r="K1572" i="6"/>
  <c r="L1572" i="6" s="1"/>
  <c r="I374" i="6"/>
  <c r="K374" i="6"/>
  <c r="L374" i="6" s="1"/>
  <c r="K1339" i="6"/>
  <c r="L1339" i="6" s="1"/>
  <c r="I1339" i="6"/>
  <c r="I1730" i="6"/>
  <c r="K1730" i="6"/>
  <c r="L1730" i="6" s="1"/>
  <c r="I2144" i="6"/>
  <c r="K2144" i="6"/>
  <c r="L2144" i="6" s="1"/>
  <c r="I502" i="6"/>
  <c r="K502" i="6"/>
  <c r="L502" i="6"/>
  <c r="K1729" i="6"/>
  <c r="L1729" i="6" s="1"/>
  <c r="I1729" i="6"/>
  <c r="I2589" i="6"/>
  <c r="K2589" i="6"/>
  <c r="L2589" i="6" s="1"/>
  <c r="K2588" i="6"/>
  <c r="L2588" i="6" s="1"/>
  <c r="I2588" i="6"/>
  <c r="K1311" i="6"/>
  <c r="L1311" i="6" s="1"/>
  <c r="I1311" i="6"/>
  <c r="K379" i="6"/>
  <c r="L379" i="6" s="1"/>
  <c r="I379" i="6"/>
  <c r="K2662" i="6"/>
  <c r="L2662" i="6" s="1"/>
  <c r="I2662" i="6"/>
  <c r="I1113" i="6"/>
  <c r="K1113" i="6"/>
  <c r="L1113" i="6" s="1"/>
  <c r="K2137" i="6"/>
  <c r="L2137" i="6" s="1"/>
  <c r="I2137" i="6"/>
  <c r="K1480" i="6"/>
  <c r="L1480" i="6" s="1"/>
  <c r="I1480" i="6"/>
  <c r="I2344" i="6"/>
  <c r="K2344" i="6"/>
  <c r="L2344" i="6" s="1"/>
  <c r="I3209" i="6"/>
  <c r="K3209" i="6"/>
  <c r="L3209" i="6" s="1"/>
  <c r="K2657" i="6"/>
  <c r="L2657" i="6" s="1"/>
  <c r="I2657" i="6"/>
  <c r="K1346" i="6"/>
  <c r="L1346" i="6" s="1"/>
  <c r="I1346" i="6"/>
  <c r="K2913" i="6"/>
  <c r="I2913" i="6"/>
  <c r="L2913" i="6"/>
  <c r="I294" i="6"/>
  <c r="K294" i="6"/>
  <c r="L294" i="6" s="1"/>
  <c r="I3297" i="6"/>
  <c r="K3297" i="6"/>
  <c r="L3297" i="6"/>
  <c r="K2011" i="6"/>
  <c r="L2011" i="6" s="1"/>
  <c r="I2011" i="6"/>
  <c r="K2009" i="6"/>
  <c r="L2009" i="6" s="1"/>
  <c r="I2009" i="6"/>
  <c r="K3294" i="6"/>
  <c r="L3294" i="6" s="1"/>
  <c r="I3294" i="6"/>
  <c r="I2006" i="6"/>
  <c r="K2006" i="6"/>
  <c r="L2006" i="6" s="1"/>
  <c r="K2005" i="6"/>
  <c r="L2005" i="6" s="1"/>
  <c r="I2005" i="6"/>
  <c r="K3290" i="6"/>
  <c r="L3290" i="6" s="1"/>
  <c r="I3290" i="6"/>
  <c r="K3289" i="6"/>
  <c r="L3289" i="6" s="1"/>
  <c r="I3289" i="6"/>
  <c r="K3288" i="6"/>
  <c r="L3288" i="6" s="1"/>
  <c r="I3288" i="6"/>
  <c r="K2004" i="6"/>
  <c r="L2004" i="6" s="1"/>
  <c r="I2004" i="6"/>
  <c r="K3284" i="6"/>
  <c r="L3284" i="6" s="1"/>
  <c r="I3284" i="6"/>
  <c r="K2000" i="6"/>
  <c r="L2000" i="6" s="1"/>
  <c r="I2000" i="6"/>
  <c r="K1995" i="6"/>
  <c r="L1995" i="6" s="1"/>
  <c r="I1995" i="6"/>
  <c r="I1992" i="6"/>
  <c r="K1992" i="6"/>
  <c r="L1992" i="6" s="1"/>
  <c r="K1985" i="6"/>
  <c r="L1985" i="6" s="1"/>
  <c r="I1985" i="6"/>
  <c r="I1978" i="6"/>
  <c r="K1978" i="6"/>
  <c r="L1978" i="6" s="1"/>
  <c r="K3277" i="6"/>
  <c r="L3277" i="6"/>
  <c r="I3277" i="6"/>
  <c r="K1975" i="6"/>
  <c r="L1975" i="6" s="1"/>
  <c r="I1975" i="6"/>
  <c r="I3275" i="6"/>
  <c r="K3275" i="6"/>
  <c r="L3275" i="6" s="1"/>
  <c r="I1974" i="6"/>
  <c r="K1974" i="6"/>
  <c r="L1974" i="6" s="1"/>
  <c r="K1962" i="6"/>
  <c r="L1962" i="6" s="1"/>
  <c r="I1962" i="6"/>
  <c r="I1957" i="6"/>
  <c r="K1957" i="6"/>
  <c r="L1957" i="6"/>
  <c r="I1950" i="6"/>
  <c r="K1950" i="6"/>
  <c r="L1950" i="6" s="1"/>
  <c r="K3268" i="6"/>
  <c r="L3268" i="6"/>
  <c r="I3268" i="6"/>
  <c r="I3267" i="6"/>
  <c r="K3267" i="6"/>
  <c r="L3267" i="6"/>
  <c r="K1946" i="6"/>
  <c r="L1946" i="6" s="1"/>
  <c r="I1946" i="6"/>
  <c r="I3265" i="6"/>
  <c r="K3265" i="6"/>
  <c r="L3265" i="6" s="1"/>
  <c r="I1943" i="6"/>
  <c r="K1943" i="6"/>
  <c r="L1943" i="6" s="1"/>
  <c r="I1942" i="6"/>
  <c r="K1942" i="6"/>
  <c r="L1942" i="6" s="1"/>
  <c r="K1935" i="6"/>
  <c r="L1935" i="6" s="1"/>
  <c r="I1935" i="6"/>
  <c r="K1933" i="6"/>
  <c r="L1933" i="6" s="1"/>
  <c r="I1933" i="6"/>
  <c r="I3257" i="6"/>
  <c r="K3257" i="6"/>
  <c r="L3257" i="6"/>
  <c r="K1930" i="6"/>
  <c r="L1930" i="6" s="1"/>
  <c r="I1930" i="6"/>
  <c r="I1925" i="6"/>
  <c r="K1925" i="6"/>
  <c r="L1925" i="6" s="1"/>
  <c r="K1923" i="6"/>
  <c r="L1923" i="6" s="1"/>
  <c r="I1923" i="6"/>
  <c r="I3253" i="6"/>
  <c r="K3253" i="6"/>
  <c r="L3253" i="6" s="1"/>
  <c r="I1922" i="6"/>
  <c r="K1922" i="6"/>
  <c r="L1922" i="6" s="1"/>
  <c r="K1914" i="6"/>
  <c r="L1914" i="6" s="1"/>
  <c r="I1914" i="6"/>
  <c r="K1912" i="6"/>
  <c r="L1912" i="6" s="1"/>
  <c r="I1912" i="6"/>
  <c r="I3249" i="6"/>
  <c r="K3249" i="6"/>
  <c r="L3249" i="6" s="1"/>
  <c r="I3248" i="6"/>
  <c r="K3248" i="6"/>
  <c r="L3248" i="6" s="1"/>
  <c r="I1906" i="6"/>
  <c r="K1906" i="6"/>
  <c r="L1906" i="6" s="1"/>
  <c r="K1903" i="6"/>
  <c r="L1903" i="6" s="1"/>
  <c r="I1903" i="6"/>
  <c r="I1895" i="6"/>
  <c r="K1895" i="6"/>
  <c r="L1895" i="6" s="1"/>
  <c r="I1890" i="6"/>
  <c r="K1890" i="6"/>
  <c r="L1890" i="6" s="1"/>
  <c r="I3240" i="6"/>
  <c r="K3240" i="6"/>
  <c r="L3240" i="6" s="1"/>
  <c r="K1889" i="6"/>
  <c r="L1889" i="6" s="1"/>
  <c r="I1889" i="6"/>
  <c r="I1887" i="6"/>
  <c r="K1887" i="6"/>
  <c r="L1887" i="6" s="1"/>
  <c r="I1884" i="6"/>
  <c r="K1884" i="6"/>
  <c r="L1884" i="6" s="1"/>
  <c r="I1880" i="6"/>
  <c r="K1880" i="6"/>
  <c r="L1880" i="6"/>
  <c r="I1876" i="6"/>
  <c r="K1876" i="6"/>
  <c r="L1876" i="6" s="1"/>
  <c r="I1875" i="6"/>
  <c r="K1875" i="6"/>
  <c r="L1875" i="6" s="1"/>
  <c r="K1873" i="6"/>
  <c r="L1873" i="6" s="1"/>
  <c r="I1873" i="6"/>
  <c r="K3229" i="6"/>
  <c r="L3229" i="6" s="1"/>
  <c r="I3229" i="6"/>
  <c r="I3228" i="6"/>
  <c r="K3228" i="6"/>
  <c r="L3228" i="6" s="1"/>
  <c r="I1867" i="6"/>
  <c r="K1867" i="6"/>
  <c r="L1867" i="6" s="1"/>
  <c r="K3224" i="6"/>
  <c r="L3224" i="6" s="1"/>
  <c r="I3224" i="6"/>
  <c r="I1866" i="6"/>
  <c r="K1866" i="6"/>
  <c r="L1866" i="6" s="1"/>
  <c r="K1865" i="6"/>
  <c r="L1865" i="6" s="1"/>
  <c r="I1865" i="6"/>
  <c r="K1864" i="6"/>
  <c r="L1864" i="6" s="1"/>
  <c r="I1864" i="6"/>
  <c r="I3220" i="6"/>
  <c r="K3220" i="6"/>
  <c r="L3220" i="6"/>
  <c r="I3219" i="6"/>
  <c r="K3219" i="6"/>
  <c r="L3219" i="6"/>
  <c r="I3218" i="6"/>
  <c r="K3218" i="6"/>
  <c r="L3218" i="6"/>
  <c r="K1863" i="6"/>
  <c r="L1863" i="6" s="1"/>
  <c r="I1863" i="6"/>
  <c r="K1861" i="6"/>
  <c r="L1861" i="6" s="1"/>
  <c r="I1861" i="6"/>
  <c r="K3215" i="6"/>
  <c r="I3215" i="6"/>
  <c r="L3215" i="6"/>
  <c r="K1854" i="6"/>
  <c r="L1854" i="6" s="1"/>
  <c r="I1854" i="6"/>
  <c r="K1850" i="6"/>
  <c r="L1850" i="6" s="1"/>
  <c r="I1850" i="6"/>
  <c r="K1849" i="6"/>
  <c r="L1849" i="6" s="1"/>
  <c r="I1849" i="6"/>
  <c r="I1846" i="6"/>
  <c r="K1846" i="6"/>
  <c r="L1846" i="6" s="1"/>
  <c r="K1840" i="6"/>
  <c r="L1840" i="6" s="1"/>
  <c r="I1840" i="6"/>
  <c r="I1838" i="6"/>
  <c r="K1838" i="6"/>
  <c r="L1838" i="6" s="1"/>
  <c r="K1835" i="6"/>
  <c r="L1835" i="6" s="1"/>
  <c r="I1835" i="6"/>
  <c r="K3206" i="6"/>
  <c r="L3206" i="6" s="1"/>
  <c r="I3206" i="6"/>
  <c r="I1832" i="6"/>
  <c r="K1832" i="6"/>
  <c r="L1832" i="6" s="1"/>
  <c r="K1827" i="6"/>
  <c r="L1827" i="6" s="1"/>
  <c r="I1827" i="6"/>
  <c r="K1826" i="6"/>
  <c r="L1826" i="6" s="1"/>
  <c r="I1826" i="6"/>
  <c r="K3202" i="6"/>
  <c r="L3202" i="6" s="1"/>
  <c r="I3202" i="6"/>
  <c r="I1822" i="6"/>
  <c r="K1822" i="6"/>
  <c r="L1822" i="6" s="1"/>
  <c r="I1821" i="6"/>
  <c r="K1821" i="6"/>
  <c r="L1821" i="6" s="1"/>
  <c r="K3198" i="6"/>
  <c r="L3198" i="6" s="1"/>
  <c r="I3198" i="6"/>
  <c r="I3197" i="6"/>
  <c r="K3197" i="6"/>
  <c r="L3197" i="6"/>
  <c r="K3196" i="6"/>
  <c r="L3196" i="6"/>
  <c r="I3196" i="6"/>
  <c r="I1817" i="6"/>
  <c r="K1817" i="6"/>
  <c r="L1817" i="6" s="1"/>
  <c r="K3194" i="6"/>
  <c r="L3194" i="6"/>
  <c r="I3194" i="6"/>
  <c r="K1814" i="6"/>
  <c r="L1814" i="6" s="1"/>
  <c r="I1814" i="6"/>
  <c r="I3192" i="6"/>
  <c r="K3192" i="6"/>
  <c r="L3192" i="6" s="1"/>
  <c r="K3191" i="6"/>
  <c r="I3191" i="6"/>
  <c r="L3191" i="6"/>
  <c r="K1810" i="6"/>
  <c r="L1810" i="6" s="1"/>
  <c r="I1810" i="6"/>
  <c r="K3189" i="6"/>
  <c r="L3189" i="6" s="1"/>
  <c r="I3189" i="6"/>
  <c r="I3188" i="6"/>
  <c r="K3188" i="6"/>
  <c r="L3188" i="6" s="1"/>
  <c r="K1809" i="6"/>
  <c r="L1809" i="6" s="1"/>
  <c r="I1809" i="6"/>
  <c r="I1804" i="6"/>
  <c r="K1804" i="6"/>
  <c r="L1804" i="6" s="1"/>
  <c r="K3185" i="6"/>
  <c r="L3185" i="6" s="1"/>
  <c r="I3185" i="6"/>
  <c r="K1798" i="6"/>
  <c r="L1798" i="6" s="1"/>
  <c r="I1798" i="6"/>
  <c r="I1793" i="6"/>
  <c r="K1793" i="6"/>
  <c r="L1793" i="6" s="1"/>
  <c r="K1792" i="6"/>
  <c r="L1792" i="6" s="1"/>
  <c r="I1792" i="6"/>
  <c r="K1791" i="6"/>
  <c r="L1791" i="6" s="1"/>
  <c r="I1791" i="6"/>
  <c r="I1786" i="6"/>
  <c r="K1786" i="6"/>
  <c r="L1786" i="6" s="1"/>
  <c r="K3178" i="6"/>
  <c r="I3178" i="6"/>
  <c r="L3178" i="6"/>
  <c r="K3177" i="6"/>
  <c r="I3177" i="6"/>
  <c r="L3177" i="6"/>
  <c r="I3176" i="6"/>
  <c r="K3176" i="6"/>
  <c r="L3176" i="6" s="1"/>
  <c r="I1782" i="6"/>
  <c r="K1782" i="6"/>
  <c r="L1782" i="6"/>
  <c r="I1781" i="6"/>
  <c r="K1781" i="6"/>
  <c r="L1781" i="6" s="1"/>
  <c r="I1779" i="6"/>
  <c r="K1779" i="6"/>
  <c r="L1779" i="6" s="1"/>
  <c r="I1774" i="6"/>
  <c r="K1774" i="6"/>
  <c r="L1774" i="6" s="1"/>
  <c r="K1768" i="6"/>
  <c r="L1768" i="6" s="1"/>
  <c r="I1768" i="6"/>
  <c r="K1761" i="6"/>
  <c r="L1761" i="6" s="1"/>
  <c r="I1761" i="6"/>
  <c r="I1758" i="6"/>
  <c r="K1758" i="6"/>
  <c r="L1758" i="6" s="1"/>
  <c r="I3165" i="6"/>
  <c r="K3165" i="6"/>
  <c r="L3165" i="6"/>
  <c r="I1756" i="6"/>
  <c r="K1756" i="6"/>
  <c r="L1756" i="6" s="1"/>
  <c r="K1754" i="6"/>
  <c r="L1754" i="6" s="1"/>
  <c r="I1754" i="6"/>
  <c r="K1750" i="6"/>
  <c r="L1750" i="6" s="1"/>
  <c r="I1750" i="6"/>
  <c r="K3160" i="6"/>
  <c r="L3160" i="6" s="1"/>
  <c r="I3160" i="6"/>
  <c r="I3159" i="6"/>
  <c r="K3159" i="6"/>
  <c r="L3159" i="6" s="1"/>
  <c r="K1748" i="6"/>
  <c r="L1748" i="6" s="1"/>
  <c r="I1748" i="6"/>
  <c r="K1746" i="6"/>
  <c r="L1746" i="6" s="1"/>
  <c r="I1746" i="6"/>
  <c r="I1745" i="6"/>
  <c r="K1745" i="6"/>
  <c r="L1745" i="6" s="1"/>
  <c r="K3155" i="6"/>
  <c r="L3155" i="6" s="1"/>
  <c r="I3155" i="6"/>
  <c r="I1735" i="6"/>
  <c r="K1735" i="6"/>
  <c r="L1735" i="6" s="1"/>
  <c r="K3152" i="6"/>
  <c r="I3152" i="6"/>
  <c r="L3152" i="6"/>
  <c r="I3150" i="6"/>
  <c r="K3150" i="6"/>
  <c r="L3150" i="6" s="1"/>
  <c r="K1731" i="6"/>
  <c r="L1731" i="6" s="1"/>
  <c r="I1731" i="6"/>
  <c r="I1727" i="6"/>
  <c r="K1727" i="6"/>
  <c r="L1727" i="6" s="1"/>
  <c r="K3147" i="6"/>
  <c r="L3147" i="6" s="1"/>
  <c r="I3147" i="6"/>
  <c r="I1725" i="6"/>
  <c r="K1725" i="6"/>
  <c r="L1725" i="6" s="1"/>
  <c r="I1720" i="6"/>
  <c r="K1720" i="6"/>
  <c r="L1720" i="6" s="1"/>
  <c r="I1718" i="6"/>
  <c r="K1718" i="6"/>
  <c r="L1718" i="6" s="1"/>
  <c r="I1714" i="6"/>
  <c r="K1714" i="6"/>
  <c r="L1714" i="6" s="1"/>
  <c r="I1711" i="6"/>
  <c r="K1711" i="6"/>
  <c r="L1711" i="6" s="1"/>
  <c r="I3141" i="6"/>
  <c r="K3141" i="6"/>
  <c r="L3141" i="6" s="1"/>
  <c r="I3139" i="6"/>
  <c r="K3139" i="6"/>
  <c r="L3139" i="6"/>
  <c r="I1707" i="6"/>
  <c r="K1707" i="6"/>
  <c r="L1707" i="6" s="1"/>
  <c r="K1698" i="6"/>
  <c r="L1698" i="6" s="1"/>
  <c r="I1698" i="6"/>
  <c r="K3136" i="6"/>
  <c r="L3136" i="6" s="1"/>
  <c r="I3136" i="6"/>
  <c r="K3134" i="6"/>
  <c r="L3134" i="6" s="1"/>
  <c r="I3134" i="6"/>
  <c r="I3132" i="6"/>
  <c r="K3132" i="6"/>
  <c r="L3132" i="6" s="1"/>
  <c r="I3130" i="6"/>
  <c r="K3130" i="6"/>
  <c r="L3130" i="6"/>
  <c r="K3128" i="6"/>
  <c r="I3128" i="6"/>
  <c r="L3128" i="6"/>
  <c r="K1692" i="6"/>
  <c r="L1692" i="6" s="1"/>
  <c r="I1692" i="6"/>
  <c r="I3125" i="6"/>
  <c r="K3125" i="6"/>
  <c r="L3125" i="6" s="1"/>
  <c r="I3124" i="6"/>
  <c r="K3124" i="6"/>
  <c r="L3124" i="6" s="1"/>
  <c r="K1689" i="6"/>
  <c r="L1689" i="6" s="1"/>
  <c r="I1689" i="6"/>
  <c r="K1687" i="6"/>
  <c r="L1687" i="6" s="1"/>
  <c r="I1687" i="6"/>
  <c r="K1686" i="6"/>
  <c r="L1686" i="6" s="1"/>
  <c r="I1686" i="6"/>
  <c r="I1684" i="6"/>
  <c r="K1684" i="6"/>
  <c r="L1684" i="6" s="1"/>
  <c r="I3119" i="6"/>
  <c r="K3119" i="6"/>
  <c r="L3119" i="6" s="1"/>
  <c r="I1672" i="6"/>
  <c r="K1672" i="6"/>
  <c r="L1672" i="6" s="1"/>
  <c r="I1666" i="6"/>
  <c r="K1666" i="6"/>
  <c r="L1666" i="6" s="1"/>
  <c r="I3116" i="6"/>
  <c r="K3116" i="6"/>
  <c r="L3116" i="6" s="1"/>
  <c r="I3113" i="6"/>
  <c r="K3113" i="6"/>
  <c r="L3113" i="6" s="1"/>
  <c r="K3111" i="6"/>
  <c r="I3111" i="6"/>
  <c r="L3111" i="6"/>
  <c r="K3110" i="6"/>
  <c r="L3110" i="6" s="1"/>
  <c r="I3110" i="6"/>
  <c r="I3109" i="6"/>
  <c r="K3109" i="6"/>
  <c r="L3109" i="6" s="1"/>
  <c r="K1665" i="6"/>
  <c r="L1665" i="6" s="1"/>
  <c r="I1665" i="6"/>
  <c r="I1663" i="6"/>
  <c r="K1663" i="6"/>
  <c r="L1663" i="6" s="1"/>
  <c r="K1653" i="6"/>
  <c r="L1653" i="6" s="1"/>
  <c r="I1653" i="6"/>
  <c r="I1650" i="6"/>
  <c r="K1650" i="6"/>
  <c r="L1650" i="6" s="1"/>
  <c r="I3100" i="6"/>
  <c r="K3100" i="6"/>
  <c r="L3100" i="6" s="1"/>
  <c r="I1649" i="6"/>
  <c r="K1649" i="6"/>
  <c r="L1649" i="6" s="1"/>
  <c r="I3097" i="6"/>
  <c r="K3097" i="6"/>
  <c r="L3097" i="6" s="1"/>
  <c r="K1638" i="6"/>
  <c r="L1638" i="6" s="1"/>
  <c r="I1638" i="6"/>
  <c r="K1635" i="6"/>
  <c r="L1635" i="6" s="1"/>
  <c r="I1635" i="6"/>
  <c r="K1634" i="6"/>
  <c r="L1634" i="6" s="1"/>
  <c r="I1634" i="6"/>
  <c r="K1629" i="6"/>
  <c r="L1629" i="6" s="1"/>
  <c r="I1629" i="6"/>
  <c r="I1626" i="6"/>
  <c r="K1626" i="6"/>
  <c r="L1626" i="6" s="1"/>
  <c r="K3089" i="6"/>
  <c r="L3089" i="6" s="1"/>
  <c r="I3089" i="6"/>
  <c r="I1617" i="6"/>
  <c r="K1617" i="6"/>
  <c r="L1617" i="6" s="1"/>
  <c r="K1614" i="6"/>
  <c r="L1614" i="6" s="1"/>
  <c r="I1614" i="6"/>
  <c r="I3086" i="6"/>
  <c r="K3086" i="6"/>
  <c r="L3086" i="6" s="1"/>
  <c r="I1613" i="6"/>
  <c r="K1613" i="6"/>
  <c r="L1613" i="6" s="1"/>
  <c r="I3084" i="6"/>
  <c r="K3084" i="6"/>
  <c r="L3084" i="6" s="1"/>
  <c r="K1609" i="6"/>
  <c r="L1609" i="6" s="1"/>
  <c r="I1609" i="6"/>
  <c r="K1608" i="6"/>
  <c r="L1608" i="6" s="1"/>
  <c r="I1608" i="6"/>
  <c r="K3081" i="6"/>
  <c r="I3081" i="6"/>
  <c r="L3081" i="6"/>
  <c r="K1598" i="6"/>
  <c r="L1598" i="6" s="1"/>
  <c r="I1598" i="6"/>
  <c r="I3079" i="6"/>
  <c r="K3079" i="6"/>
  <c r="L3079" i="6"/>
  <c r="I3078" i="6"/>
  <c r="K3078" i="6"/>
  <c r="L3078" i="6" s="1"/>
  <c r="K1588" i="6"/>
  <c r="L1588" i="6" s="1"/>
  <c r="I1588" i="6"/>
  <c r="I1586" i="6"/>
  <c r="K1586" i="6"/>
  <c r="L1586" i="6" s="1"/>
  <c r="I1583" i="6"/>
  <c r="K1583" i="6"/>
  <c r="L1583" i="6" s="1"/>
  <c r="I3074" i="6"/>
  <c r="K3074" i="6"/>
  <c r="L3074" i="6"/>
  <c r="I1582" i="6"/>
  <c r="K1582" i="6"/>
  <c r="L1582" i="6" s="1"/>
  <c r="K1578" i="6"/>
  <c r="L1578" i="6" s="1"/>
  <c r="I1578" i="6"/>
  <c r="K1574" i="6"/>
  <c r="L1574" i="6" s="1"/>
  <c r="I1574" i="6"/>
  <c r="K3070" i="6"/>
  <c r="L3070" i="6" s="1"/>
  <c r="I3070" i="6"/>
  <c r="K1571" i="6"/>
  <c r="L1571" i="6" s="1"/>
  <c r="I1571" i="6"/>
  <c r="I1554" i="6"/>
  <c r="K1554" i="6"/>
  <c r="L1554" i="6" s="1"/>
  <c r="I3067" i="6"/>
  <c r="K3067" i="6"/>
  <c r="L3067" i="6"/>
  <c r="I3066" i="6"/>
  <c r="K3066" i="6"/>
  <c r="L3066" i="6"/>
  <c r="K1553" i="6"/>
  <c r="L1553" i="6" s="1"/>
  <c r="I1553" i="6"/>
  <c r="I1552" i="6"/>
  <c r="K1552" i="6"/>
  <c r="L1552" i="6" s="1"/>
  <c r="I1546" i="6"/>
  <c r="K1546" i="6"/>
  <c r="L1546" i="6" s="1"/>
  <c r="K1545" i="6"/>
  <c r="L1545" i="6" s="1"/>
  <c r="I1545" i="6"/>
  <c r="I1536" i="6"/>
  <c r="K1536" i="6"/>
  <c r="L1536" i="6" s="1"/>
  <c r="K1535" i="6"/>
  <c r="L1535" i="6" s="1"/>
  <c r="I1535" i="6"/>
  <c r="K3058" i="6"/>
  <c r="L3058" i="6"/>
  <c r="I3058" i="6"/>
  <c r="I1531" i="6"/>
  <c r="K1531" i="6"/>
  <c r="L1531" i="6" s="1"/>
  <c r="I1529" i="6"/>
  <c r="K1529" i="6"/>
  <c r="L1529" i="6" s="1"/>
  <c r="K1528" i="6"/>
  <c r="L1528" i="6" s="1"/>
  <c r="I1528" i="6"/>
  <c r="I1526" i="6"/>
  <c r="K1526" i="6"/>
  <c r="L1526" i="6" s="1"/>
  <c r="I1523" i="6"/>
  <c r="K1523" i="6"/>
  <c r="L1523" i="6" s="1"/>
  <c r="K3048" i="6"/>
  <c r="L3048" i="6" s="1"/>
  <c r="I3048" i="6"/>
  <c r="I3047" i="6"/>
  <c r="K3047" i="6"/>
  <c r="L3047" i="6" s="1"/>
  <c r="K1518" i="6"/>
  <c r="L1518" i="6" s="1"/>
  <c r="I1518" i="6"/>
  <c r="K3044" i="6"/>
  <c r="I3044" i="6"/>
  <c r="L3044" i="6"/>
  <c r="K1517" i="6"/>
  <c r="L1517" i="6" s="1"/>
  <c r="I1517" i="6"/>
  <c r="K1512" i="6"/>
  <c r="L1512" i="6" s="1"/>
  <c r="I1512" i="6"/>
  <c r="I3040" i="6"/>
  <c r="K3040" i="6"/>
  <c r="L3040" i="6" s="1"/>
  <c r="I1505" i="6"/>
  <c r="K1505" i="6"/>
  <c r="L1505" i="6" s="1"/>
  <c r="K1503" i="6"/>
  <c r="L1503" i="6" s="1"/>
  <c r="I1503" i="6"/>
  <c r="I1496" i="6"/>
  <c r="K1496" i="6"/>
  <c r="L1496" i="6" s="1"/>
  <c r="K3035" i="6"/>
  <c r="L3035" i="6" s="1"/>
  <c r="I3035" i="6"/>
  <c r="K1493" i="6"/>
  <c r="L1493" i="6" s="1"/>
  <c r="I1493" i="6"/>
  <c r="I3033" i="6"/>
  <c r="K3033" i="6"/>
  <c r="L3033" i="6" s="1"/>
  <c r="K3032" i="6"/>
  <c r="L3032" i="6" s="1"/>
  <c r="I3032" i="6"/>
  <c r="K1489" i="6"/>
  <c r="L1489" i="6" s="1"/>
  <c r="I1489" i="6"/>
  <c r="K1484" i="6"/>
  <c r="L1484" i="6" s="1"/>
  <c r="I1484" i="6"/>
  <c r="I3029" i="6"/>
  <c r="K3029" i="6"/>
  <c r="L3029" i="6"/>
  <c r="I3028" i="6"/>
  <c r="K3028" i="6"/>
  <c r="L3028" i="6" s="1"/>
  <c r="K1483" i="6"/>
  <c r="L1483" i="6" s="1"/>
  <c r="I1483" i="6"/>
  <c r="K1482" i="6"/>
  <c r="L1482" i="6" s="1"/>
  <c r="I1482" i="6"/>
  <c r="I1477" i="6"/>
  <c r="K1477" i="6"/>
  <c r="L1477" i="6" s="1"/>
  <c r="I1471" i="6"/>
  <c r="K1471" i="6"/>
  <c r="L1471" i="6" s="1"/>
  <c r="K1470" i="6"/>
  <c r="L1470" i="6" s="1"/>
  <c r="I1470" i="6"/>
  <c r="I3021" i="6"/>
  <c r="K3021" i="6"/>
  <c r="L3021" i="6" s="1"/>
  <c r="I1465" i="6"/>
  <c r="K1465" i="6"/>
  <c r="L1465" i="6" s="1"/>
  <c r="K3019" i="6"/>
  <c r="L3019" i="6" s="1"/>
  <c r="I3019" i="6"/>
  <c r="K3018" i="6"/>
  <c r="L3018" i="6"/>
  <c r="I3018" i="6"/>
  <c r="I1463" i="6"/>
  <c r="K1463" i="6"/>
  <c r="L1463" i="6" s="1"/>
  <c r="K1457" i="6"/>
  <c r="L1457" i="6" s="1"/>
  <c r="I1457" i="6"/>
  <c r="K1451" i="6"/>
  <c r="L1451" i="6" s="1"/>
  <c r="I1451" i="6"/>
  <c r="K3014" i="6"/>
  <c r="L3014" i="6"/>
  <c r="I3014" i="6"/>
  <c r="K3013" i="6"/>
  <c r="L3013" i="6" s="1"/>
  <c r="I3013" i="6"/>
  <c r="I1450" i="6"/>
  <c r="K1450" i="6"/>
  <c r="L1450" i="6" s="1"/>
  <c r="K1437" i="6"/>
  <c r="L1437" i="6" s="1"/>
  <c r="I1437" i="6"/>
  <c r="I1434" i="6"/>
  <c r="K1434" i="6"/>
  <c r="L1434" i="6" s="1"/>
  <c r="K3009" i="6"/>
  <c r="L3009" i="6" s="1"/>
  <c r="I3009" i="6"/>
  <c r="I1433" i="6"/>
  <c r="K1433" i="6"/>
  <c r="L1433" i="6" s="1"/>
  <c r="I1432" i="6"/>
  <c r="K1432" i="6"/>
  <c r="L1432" i="6" s="1"/>
  <c r="I1431" i="6"/>
  <c r="K1431" i="6"/>
  <c r="L1431" i="6" s="1"/>
  <c r="K1426" i="6"/>
  <c r="L1426" i="6" s="1"/>
  <c r="I1426" i="6"/>
  <c r="I3001" i="6"/>
  <c r="K3001" i="6"/>
  <c r="L3001" i="6" s="1"/>
  <c r="I1422" i="6"/>
  <c r="K1422" i="6"/>
  <c r="L1422" i="6" s="1"/>
  <c r="K1421" i="6"/>
  <c r="L1421" i="6" s="1"/>
  <c r="I1421" i="6"/>
  <c r="K2998" i="6"/>
  <c r="L2998" i="6" s="1"/>
  <c r="I2998" i="6"/>
  <c r="I1418" i="6"/>
  <c r="K1418" i="6"/>
  <c r="L1418" i="6" s="1"/>
  <c r="I1413" i="6"/>
  <c r="K1413" i="6"/>
  <c r="L1413" i="6" s="1"/>
  <c r="K1412" i="6"/>
  <c r="L1412" i="6" s="1"/>
  <c r="I1412" i="6"/>
  <c r="I1406" i="6"/>
  <c r="K1406" i="6"/>
  <c r="L1406" i="6" s="1"/>
  <c r="I2989" i="6"/>
  <c r="K2989" i="6"/>
  <c r="L2989" i="6"/>
  <c r="K1403" i="6"/>
  <c r="L1403" i="6" s="1"/>
  <c r="I1403" i="6"/>
  <c r="I2986" i="6"/>
  <c r="K2986" i="6"/>
  <c r="L2986" i="6"/>
  <c r="I1400" i="6"/>
  <c r="K1400" i="6"/>
  <c r="L1400" i="6" s="1"/>
  <c r="I2984" i="6"/>
  <c r="K2984" i="6"/>
  <c r="L2984" i="6"/>
  <c r="K2983" i="6"/>
  <c r="L2983" i="6" s="1"/>
  <c r="I2983" i="6"/>
  <c r="K2982" i="6"/>
  <c r="L2982" i="6" s="1"/>
  <c r="I2982" i="6"/>
  <c r="I2981" i="6"/>
  <c r="K2981" i="6"/>
  <c r="L2981" i="6"/>
  <c r="K2979" i="6"/>
  <c r="L2979" i="6" s="1"/>
  <c r="I2979" i="6"/>
  <c r="K2978" i="6"/>
  <c r="L2978" i="6" s="1"/>
  <c r="I2978" i="6"/>
  <c r="I1399" i="6"/>
  <c r="K1399" i="6"/>
  <c r="L1399" i="6" s="1"/>
  <c r="K2976" i="6"/>
  <c r="I2976" i="6"/>
  <c r="L2976" i="6"/>
  <c r="K2975" i="6"/>
  <c r="I2975" i="6"/>
  <c r="L2975" i="6"/>
  <c r="I1395" i="6"/>
  <c r="K1395" i="6"/>
  <c r="L1395" i="6"/>
  <c r="I1388" i="6"/>
  <c r="K1388" i="6"/>
  <c r="L1388" i="6" s="1"/>
  <c r="I2972" i="6"/>
  <c r="K2972" i="6"/>
  <c r="L2972" i="6" s="1"/>
  <c r="K2970" i="6"/>
  <c r="L2970" i="6" s="1"/>
  <c r="I2970" i="6"/>
  <c r="K1386" i="6"/>
  <c r="L1386" i="6" s="1"/>
  <c r="I1386" i="6"/>
  <c r="I1379" i="6"/>
  <c r="K1379" i="6"/>
  <c r="L1379" i="6" s="1"/>
  <c r="I2966" i="6"/>
  <c r="K2966" i="6"/>
  <c r="L2966" i="6" s="1"/>
  <c r="K1377" i="6"/>
  <c r="L1377" i="6" s="1"/>
  <c r="I1377" i="6"/>
  <c r="K1371" i="6"/>
  <c r="L1371" i="6" s="1"/>
  <c r="I1371" i="6"/>
  <c r="K2962" i="6"/>
  <c r="L2962" i="6"/>
  <c r="I2962" i="6"/>
  <c r="K2961" i="6"/>
  <c r="L2961" i="6"/>
  <c r="I2961" i="6"/>
  <c r="K2960" i="6"/>
  <c r="I2960" i="6"/>
  <c r="L2960" i="6"/>
  <c r="K2959" i="6"/>
  <c r="L2959" i="6" s="1"/>
  <c r="I2959" i="6"/>
  <c r="I1369" i="6"/>
  <c r="K1369" i="6"/>
  <c r="L1369" i="6" s="1"/>
  <c r="I1366" i="6"/>
  <c r="K1366" i="6"/>
  <c r="L1366" i="6" s="1"/>
  <c r="I1354" i="6"/>
  <c r="K1354" i="6"/>
  <c r="L1354" i="6" s="1"/>
  <c r="K1353" i="6"/>
  <c r="L1353" i="6" s="1"/>
  <c r="I1353" i="6"/>
  <c r="K1351" i="6"/>
  <c r="L1351" i="6" s="1"/>
  <c r="I1351" i="6"/>
  <c r="K2950" i="6"/>
  <c r="L2950" i="6" s="1"/>
  <c r="I2950" i="6"/>
  <c r="K2948" i="6"/>
  <c r="I2948" i="6"/>
  <c r="L2948" i="6"/>
  <c r="K1343" i="6"/>
  <c r="L1343" i="6" s="1"/>
  <c r="I1343" i="6"/>
  <c r="K2946" i="6"/>
  <c r="L2946" i="6" s="1"/>
  <c r="I2946" i="6"/>
  <c r="K1342" i="6"/>
  <c r="L1342" i="6" s="1"/>
  <c r="I1342" i="6"/>
  <c r="K1341" i="6"/>
  <c r="L1341" i="6" s="1"/>
  <c r="I1341" i="6"/>
  <c r="K1340" i="6"/>
  <c r="L1340" i="6" s="1"/>
  <c r="I1340" i="6"/>
  <c r="K1331" i="6"/>
  <c r="L1331" i="6" s="1"/>
  <c r="I1331" i="6"/>
  <c r="K1325" i="6"/>
  <c r="L1325" i="6" s="1"/>
  <c r="I1325" i="6"/>
  <c r="I1323" i="6"/>
  <c r="K1323" i="6"/>
  <c r="L1323" i="6" s="1"/>
  <c r="K1320" i="6"/>
  <c r="L1320" i="6" s="1"/>
  <c r="I1320" i="6"/>
  <c r="K1316" i="6"/>
  <c r="L1316" i="6" s="1"/>
  <c r="I1316" i="6"/>
  <c r="K1305" i="6"/>
  <c r="L1305" i="6" s="1"/>
  <c r="I1305" i="6"/>
  <c r="I1304" i="6"/>
  <c r="K1304" i="6"/>
  <c r="L1304" i="6" s="1"/>
  <c r="K1303" i="6"/>
  <c r="L1303" i="6" s="1"/>
  <c r="I1303" i="6"/>
  <c r="K2931" i="6"/>
  <c r="I2931" i="6"/>
  <c r="L2931" i="6"/>
  <c r="K1297" i="6"/>
  <c r="L1297" i="6" s="1"/>
  <c r="I1297" i="6"/>
  <c r="K1295" i="6"/>
  <c r="L1295" i="6" s="1"/>
  <c r="I1295" i="6"/>
  <c r="I1287" i="6"/>
  <c r="K1287" i="6"/>
  <c r="L1287" i="6" s="1"/>
  <c r="K2926" i="6"/>
  <c r="L2926" i="6" s="1"/>
  <c r="I2926" i="6"/>
  <c r="K2925" i="6"/>
  <c r="L2925" i="6" s="1"/>
  <c r="I2925" i="6"/>
  <c r="I1281" i="6"/>
  <c r="K1281" i="6"/>
  <c r="L1281" i="6" s="1"/>
  <c r="K2923" i="6"/>
  <c r="L2923" i="6" s="1"/>
  <c r="I2923" i="6"/>
  <c r="K2922" i="6"/>
  <c r="L2922" i="6" s="1"/>
  <c r="I2922" i="6"/>
  <c r="I1279" i="6"/>
  <c r="K1279" i="6"/>
  <c r="L1279" i="6" s="1"/>
  <c r="K1277" i="6"/>
  <c r="L1277" i="6" s="1"/>
  <c r="I1277" i="6"/>
  <c r="I1275" i="6"/>
  <c r="K1275" i="6"/>
  <c r="L1275" i="6" s="1"/>
  <c r="I1274" i="6"/>
  <c r="K1274" i="6"/>
  <c r="L1274" i="6" s="1"/>
  <c r="I2916" i="6"/>
  <c r="K2916" i="6"/>
  <c r="L2916" i="6"/>
  <c r="K1266" i="6"/>
  <c r="L1266" i="6" s="1"/>
  <c r="I1266" i="6"/>
  <c r="I2914" i="6"/>
  <c r="K2914" i="6"/>
  <c r="L2914" i="6" s="1"/>
  <c r="I2912" i="6"/>
  <c r="K2912" i="6"/>
  <c r="L2912" i="6" s="1"/>
  <c r="I1263" i="6"/>
  <c r="K1263" i="6"/>
  <c r="L1263" i="6" s="1"/>
  <c r="K1257" i="6"/>
  <c r="L1257" i="6" s="1"/>
  <c r="I1257" i="6"/>
  <c r="K2909" i="6"/>
  <c r="L2909" i="6" s="1"/>
  <c r="I2909" i="6"/>
  <c r="I2906" i="6"/>
  <c r="K2906" i="6"/>
  <c r="L2906" i="6"/>
  <c r="I1254" i="6"/>
  <c r="K1254" i="6"/>
  <c r="L1254" i="6" s="1"/>
  <c r="K2900" i="6"/>
  <c r="L2900" i="6" s="1"/>
  <c r="I2900" i="6"/>
  <c r="I2899" i="6"/>
  <c r="K2899" i="6"/>
  <c r="L2899" i="6" s="1"/>
  <c r="I1247" i="6"/>
  <c r="K1247" i="6"/>
  <c r="L1247" i="6"/>
  <c r="K1246" i="6"/>
  <c r="L1246" i="6"/>
  <c r="I1246" i="6"/>
  <c r="K1243" i="6"/>
  <c r="L1243" i="6" s="1"/>
  <c r="I1243" i="6"/>
  <c r="K1242" i="6"/>
  <c r="L1242" i="6"/>
  <c r="I1242" i="6"/>
  <c r="K1239" i="6"/>
  <c r="L1239" i="6"/>
  <c r="I1239" i="6"/>
  <c r="I1237" i="6"/>
  <c r="K1237" i="6"/>
  <c r="L1237" i="6"/>
  <c r="K2891" i="6"/>
  <c r="I2891" i="6"/>
  <c r="L2891" i="6"/>
  <c r="K1229" i="6"/>
  <c r="L1229" i="6"/>
  <c r="I1229" i="6"/>
  <c r="K2888" i="6"/>
  <c r="L2888" i="6"/>
  <c r="I2888" i="6"/>
  <c r="K1228" i="6"/>
  <c r="L1228" i="6" s="1"/>
  <c r="I1228" i="6"/>
  <c r="K1225" i="6"/>
  <c r="L1225" i="6" s="1"/>
  <c r="I1225" i="6"/>
  <c r="I1215" i="6"/>
  <c r="K1215" i="6"/>
  <c r="L1215" i="6" s="1"/>
  <c r="I2884" i="6"/>
  <c r="K2884" i="6"/>
  <c r="L2884" i="6" s="1"/>
  <c r="I1210" i="6"/>
  <c r="K1210" i="6"/>
  <c r="L1210" i="6"/>
  <c r="I1208" i="6"/>
  <c r="K1208" i="6"/>
  <c r="L1208" i="6" s="1"/>
  <c r="I2881" i="6"/>
  <c r="K2881" i="6"/>
  <c r="L2881" i="6"/>
  <c r="I1197" i="6"/>
  <c r="K1197" i="6"/>
  <c r="L1197" i="6" s="1"/>
  <c r="K1195" i="6"/>
  <c r="L1195" i="6" s="1"/>
  <c r="I1195" i="6"/>
  <c r="K1194" i="6"/>
  <c r="L1194" i="6" s="1"/>
  <c r="I1194" i="6"/>
  <c r="K2877" i="6"/>
  <c r="L2877" i="6" s="1"/>
  <c r="I2877" i="6"/>
  <c r="K2876" i="6"/>
  <c r="L2876" i="6" s="1"/>
  <c r="I2876" i="6"/>
  <c r="K1190" i="6"/>
  <c r="L1190" i="6" s="1"/>
  <c r="I1190" i="6"/>
  <c r="K1187" i="6"/>
  <c r="L1187" i="6" s="1"/>
  <c r="I1187" i="6"/>
  <c r="K2872" i="6"/>
  <c r="L2872" i="6" s="1"/>
  <c r="I2872" i="6"/>
  <c r="K2871" i="6"/>
  <c r="L2871" i="6" s="1"/>
  <c r="I2871" i="6"/>
  <c r="K1186" i="6"/>
  <c r="L1186" i="6" s="1"/>
  <c r="I1186" i="6"/>
  <c r="I1181" i="6"/>
  <c r="K1181" i="6"/>
  <c r="L1181" i="6" s="1"/>
  <c r="K1178" i="6"/>
  <c r="L1178" i="6"/>
  <c r="I1178" i="6"/>
  <c r="I2865" i="6"/>
  <c r="K2865" i="6"/>
  <c r="L2865" i="6"/>
  <c r="I1176" i="6"/>
  <c r="K1176" i="6"/>
  <c r="L1176" i="6" s="1"/>
  <c r="K1173" i="6"/>
  <c r="I1173" i="6"/>
  <c r="L1173" i="6"/>
  <c r="I2862" i="6"/>
  <c r="K2862" i="6"/>
  <c r="L2862" i="6" s="1"/>
  <c r="I2861" i="6"/>
  <c r="K2861" i="6"/>
  <c r="L2861" i="6"/>
  <c r="I1171" i="6"/>
  <c r="K1171" i="6"/>
  <c r="L1171" i="6" s="1"/>
  <c r="I2858" i="6"/>
  <c r="K2858" i="6"/>
  <c r="L2858" i="6" s="1"/>
  <c r="I2857" i="6"/>
  <c r="K2857" i="6"/>
  <c r="L2857" i="6"/>
  <c r="I1167" i="6"/>
  <c r="K1167" i="6"/>
  <c r="L1167" i="6"/>
  <c r="K2855" i="6"/>
  <c r="L2855" i="6"/>
  <c r="I2855" i="6"/>
  <c r="I1165" i="6"/>
  <c r="K1165" i="6"/>
  <c r="L1165" i="6" s="1"/>
  <c r="I1162" i="6"/>
  <c r="K1162" i="6"/>
  <c r="L1162" i="6" s="1"/>
  <c r="K2852" i="6"/>
  <c r="L2852" i="6"/>
  <c r="I2852" i="6"/>
  <c r="K1159" i="6"/>
  <c r="L1159" i="6" s="1"/>
  <c r="I1159" i="6"/>
  <c r="K1158" i="6"/>
  <c r="L1158" i="6" s="1"/>
  <c r="I1158" i="6"/>
  <c r="I1153" i="6"/>
  <c r="K1153" i="6"/>
  <c r="L1153" i="6"/>
  <c r="I2848" i="6"/>
  <c r="K2848" i="6"/>
  <c r="L2848" i="6"/>
  <c r="I2847" i="6"/>
  <c r="K2847" i="6"/>
  <c r="L2847" i="6"/>
  <c r="I1151" i="6"/>
  <c r="K1151" i="6"/>
  <c r="L1151" i="6"/>
  <c r="I1145" i="6"/>
  <c r="K1145" i="6"/>
  <c r="L1145" i="6" s="1"/>
  <c r="K2844" i="6"/>
  <c r="I2844" i="6"/>
  <c r="L2844" i="6"/>
  <c r="K1129" i="6"/>
  <c r="L1129" i="6" s="1"/>
  <c r="I1129" i="6"/>
  <c r="K1128" i="6"/>
  <c r="L1128" i="6" s="1"/>
  <c r="I1128" i="6"/>
  <c r="I2840" i="6"/>
  <c r="K2840" i="6"/>
  <c r="L2840" i="6" s="1"/>
  <c r="I2839" i="6"/>
  <c r="K2839" i="6"/>
  <c r="L2839" i="6" s="1"/>
  <c r="I2837" i="6"/>
  <c r="K2837" i="6"/>
  <c r="L2837" i="6" s="1"/>
  <c r="K1127" i="6"/>
  <c r="L1127" i="6" s="1"/>
  <c r="I1127" i="6"/>
  <c r="K1124" i="6"/>
  <c r="L1124" i="6" s="1"/>
  <c r="I1124" i="6"/>
  <c r="K1120" i="6"/>
  <c r="L1120" i="6"/>
  <c r="I1120" i="6"/>
  <c r="K1118" i="6"/>
  <c r="L1118" i="6" s="1"/>
  <c r="I1118" i="6"/>
  <c r="K1117" i="6"/>
  <c r="L1117" i="6" s="1"/>
  <c r="I1117" i="6"/>
  <c r="I1115" i="6"/>
  <c r="K1115" i="6"/>
  <c r="L1115" i="6" s="1"/>
  <c r="I2829" i="6"/>
  <c r="K2829" i="6"/>
  <c r="L2829" i="6" s="1"/>
  <c r="K1107" i="6"/>
  <c r="L1107" i="6" s="1"/>
  <c r="I1107" i="6"/>
  <c r="I2825" i="6"/>
  <c r="K2825" i="6"/>
  <c r="L2825" i="6" s="1"/>
  <c r="I1106" i="6"/>
  <c r="K1106" i="6"/>
  <c r="L1106" i="6"/>
  <c r="I2822" i="6"/>
  <c r="K2822" i="6"/>
  <c r="L2822" i="6" s="1"/>
  <c r="I1103" i="6"/>
  <c r="K1103" i="6"/>
  <c r="L1103" i="6" s="1"/>
  <c r="I2819" i="6"/>
  <c r="K2819" i="6"/>
  <c r="L2819" i="6" s="1"/>
  <c r="I1099" i="6"/>
  <c r="K1099" i="6"/>
  <c r="L1099" i="6"/>
  <c r="K2817" i="6"/>
  <c r="L2817" i="6" s="1"/>
  <c r="I2817" i="6"/>
  <c r="I1091" i="6"/>
  <c r="K1091" i="6"/>
  <c r="L1091" i="6"/>
  <c r="K1081" i="6"/>
  <c r="L1081" i="6" s="1"/>
  <c r="I1081" i="6"/>
  <c r="K1079" i="6"/>
  <c r="L1079" i="6" s="1"/>
  <c r="I1079" i="6"/>
  <c r="K1077" i="6"/>
  <c r="L1077" i="6" s="1"/>
  <c r="I1077" i="6"/>
  <c r="I2812" i="6"/>
  <c r="K2812" i="6"/>
  <c r="L2812" i="6" s="1"/>
  <c r="I1059" i="6"/>
  <c r="K1059" i="6"/>
  <c r="L1059" i="6" s="1"/>
  <c r="K2810" i="6"/>
  <c r="L2810" i="6" s="1"/>
  <c r="I2810" i="6"/>
  <c r="K2808" i="6"/>
  <c r="L2808" i="6" s="1"/>
  <c r="I2808" i="6"/>
  <c r="K2807" i="6"/>
  <c r="L2807" i="6" s="1"/>
  <c r="I2807" i="6"/>
  <c r="I1056" i="6"/>
  <c r="K1056" i="6"/>
  <c r="L1056" i="6" s="1"/>
  <c r="K1055" i="6"/>
  <c r="L1055" i="6" s="1"/>
  <c r="I1055" i="6"/>
  <c r="I2804" i="6"/>
  <c r="K2804" i="6"/>
  <c r="L2804" i="6" s="1"/>
  <c r="K2803" i="6"/>
  <c r="L2803" i="6" s="1"/>
  <c r="I2803" i="6"/>
  <c r="I1051" i="6"/>
  <c r="K1051" i="6"/>
  <c r="L1051" i="6" s="1"/>
  <c r="I1049" i="6"/>
  <c r="K1049" i="6"/>
  <c r="L1049" i="6" s="1"/>
  <c r="K1040" i="6"/>
  <c r="L1040" i="6"/>
  <c r="I1040" i="6"/>
  <c r="K1036" i="6"/>
  <c r="L1036" i="6" s="1"/>
  <c r="I1036" i="6"/>
  <c r="K2797" i="6"/>
  <c r="L2797" i="6" s="1"/>
  <c r="I2797" i="6"/>
  <c r="K1033" i="6"/>
  <c r="L1033" i="6"/>
  <c r="I1033" i="6"/>
  <c r="K2794" i="6"/>
  <c r="L2794" i="6" s="1"/>
  <c r="I2794" i="6"/>
  <c r="K1032" i="6"/>
  <c r="L1032" i="6" s="1"/>
  <c r="I1032" i="6"/>
  <c r="I1026" i="6"/>
  <c r="K1026" i="6"/>
  <c r="L1026" i="6" s="1"/>
  <c r="K1024" i="6"/>
  <c r="L1024" i="6" s="1"/>
  <c r="I1024" i="6"/>
  <c r="K1016" i="6"/>
  <c r="L1016" i="6" s="1"/>
  <c r="I1016" i="6"/>
  <c r="K1015" i="6"/>
  <c r="L1015" i="6" s="1"/>
  <c r="I1015" i="6"/>
  <c r="I2785" i="6"/>
  <c r="K2785" i="6"/>
  <c r="L2785" i="6" s="1"/>
  <c r="I2784" i="6"/>
  <c r="K2784" i="6"/>
  <c r="L2784" i="6" s="1"/>
  <c r="K1014" i="6"/>
  <c r="I1014" i="6"/>
  <c r="L1014" i="6"/>
  <c r="I1013" i="6"/>
  <c r="K1013" i="6"/>
  <c r="L1013" i="6"/>
  <c r="I1012" i="6"/>
  <c r="K1012" i="6"/>
  <c r="L1012" i="6"/>
  <c r="K1009" i="6"/>
  <c r="L1009" i="6"/>
  <c r="I1009" i="6"/>
  <c r="I1007" i="6"/>
  <c r="K1007" i="6"/>
  <c r="L1007" i="6"/>
  <c r="I2778" i="6"/>
  <c r="K2778" i="6"/>
  <c r="L2778" i="6" s="1"/>
  <c r="K2777" i="6"/>
  <c r="L2777" i="6" s="1"/>
  <c r="I2777" i="6"/>
  <c r="K2776" i="6"/>
  <c r="L2776" i="6" s="1"/>
  <c r="I2776" i="6"/>
  <c r="K999" i="6"/>
  <c r="L999" i="6" s="1"/>
  <c r="I999" i="6"/>
  <c r="I2774" i="6"/>
  <c r="K2774" i="6"/>
  <c r="L2774" i="6" s="1"/>
  <c r="I986" i="6"/>
  <c r="K986" i="6"/>
  <c r="L986" i="6" s="1"/>
  <c r="I982" i="6"/>
  <c r="K982" i="6"/>
  <c r="L982" i="6" s="1"/>
  <c r="I2766" i="6"/>
  <c r="K2766" i="6"/>
  <c r="L2766" i="6" s="1"/>
  <c r="I981" i="6"/>
  <c r="K981" i="6"/>
  <c r="L981" i="6"/>
  <c r="K980" i="6"/>
  <c r="I980" i="6"/>
  <c r="L980" i="6"/>
  <c r="K977" i="6"/>
  <c r="L977" i="6" s="1"/>
  <c r="I977" i="6"/>
  <c r="I973" i="6"/>
  <c r="K973" i="6"/>
  <c r="L973" i="6"/>
  <c r="K2760" i="6"/>
  <c r="L2760" i="6" s="1"/>
  <c r="I2760" i="6"/>
  <c r="I971" i="6"/>
  <c r="K971" i="6"/>
  <c r="L971" i="6" s="1"/>
  <c r="K968" i="6"/>
  <c r="L968" i="6" s="1"/>
  <c r="I968" i="6"/>
  <c r="I966" i="6"/>
  <c r="K966" i="6"/>
  <c r="L966" i="6" s="1"/>
  <c r="I963" i="6"/>
  <c r="K963" i="6"/>
  <c r="L963" i="6"/>
  <c r="I961" i="6"/>
  <c r="K961" i="6"/>
  <c r="L961" i="6"/>
  <c r="K2753" i="6"/>
  <c r="L2753" i="6" s="1"/>
  <c r="I2753" i="6"/>
  <c r="I954" i="6"/>
  <c r="K954" i="6"/>
  <c r="L954" i="6" s="1"/>
  <c r="I952" i="6"/>
  <c r="K952" i="6"/>
  <c r="L952" i="6" s="1"/>
  <c r="I2749" i="6"/>
  <c r="K2749" i="6"/>
  <c r="L2749" i="6" s="1"/>
  <c r="I951" i="6"/>
  <c r="K951" i="6"/>
  <c r="L951" i="6"/>
  <c r="K2747" i="6"/>
  <c r="L2747" i="6" s="1"/>
  <c r="I2747" i="6"/>
  <c r="I948" i="6"/>
  <c r="K948" i="6"/>
  <c r="L948" i="6" s="1"/>
  <c r="I946" i="6"/>
  <c r="K946" i="6"/>
  <c r="L946" i="6"/>
  <c r="I937" i="6"/>
  <c r="K937" i="6"/>
  <c r="L937" i="6" s="1"/>
  <c r="I2743" i="6"/>
  <c r="K2743" i="6"/>
  <c r="L2743" i="6" s="1"/>
  <c r="I2742" i="6"/>
  <c r="K2742" i="6"/>
  <c r="L2742" i="6" s="1"/>
  <c r="K934" i="6"/>
  <c r="I934" i="6"/>
  <c r="L934" i="6"/>
  <c r="I2740" i="6"/>
  <c r="K2740" i="6"/>
  <c r="L2740" i="6" s="1"/>
  <c r="I917" i="6"/>
  <c r="K917" i="6"/>
  <c r="L917" i="6"/>
  <c r="I910" i="6"/>
  <c r="K910" i="6"/>
  <c r="L910" i="6"/>
  <c r="K907" i="6"/>
  <c r="L907" i="6" s="1"/>
  <c r="I907" i="6"/>
  <c r="I906" i="6"/>
  <c r="K906" i="6"/>
  <c r="L906" i="6" s="1"/>
  <c r="I2734" i="6"/>
  <c r="K2734" i="6"/>
  <c r="L2734" i="6"/>
  <c r="I905" i="6"/>
  <c r="K905" i="6"/>
  <c r="L905" i="6" s="1"/>
  <c r="K901" i="6"/>
  <c r="I901" i="6"/>
  <c r="L901" i="6"/>
  <c r="K899" i="6"/>
  <c r="L899" i="6" s="1"/>
  <c r="I899" i="6"/>
  <c r="I2728" i="6"/>
  <c r="K2728" i="6"/>
  <c r="L2728" i="6" s="1"/>
  <c r="K2727" i="6"/>
  <c r="L2727" i="6" s="1"/>
  <c r="I2727" i="6"/>
  <c r="K2726" i="6"/>
  <c r="L2726" i="6" s="1"/>
  <c r="I2726" i="6"/>
  <c r="K898" i="6"/>
  <c r="L898" i="6" s="1"/>
  <c r="I898" i="6"/>
  <c r="K897" i="6"/>
  <c r="L897" i="6" s="1"/>
  <c r="I897" i="6"/>
  <c r="K896" i="6"/>
  <c r="L896" i="6"/>
  <c r="I896" i="6"/>
  <c r="I893" i="6"/>
  <c r="K893" i="6"/>
  <c r="L893" i="6" s="1"/>
  <c r="K891" i="6"/>
  <c r="L891" i="6" s="1"/>
  <c r="I891" i="6"/>
  <c r="I890" i="6"/>
  <c r="K890" i="6"/>
  <c r="L890" i="6" s="1"/>
  <c r="I887" i="6"/>
  <c r="K887" i="6"/>
  <c r="L887" i="6" s="1"/>
  <c r="I886" i="6"/>
  <c r="K886" i="6"/>
  <c r="L886" i="6"/>
  <c r="K883" i="6"/>
  <c r="L883" i="6" s="1"/>
  <c r="I883" i="6"/>
  <c r="I2712" i="6"/>
  <c r="K2712" i="6"/>
  <c r="L2712" i="6" s="1"/>
  <c r="I878" i="6"/>
  <c r="K878" i="6"/>
  <c r="L878" i="6"/>
  <c r="I871" i="6"/>
  <c r="K871" i="6"/>
  <c r="L871" i="6"/>
  <c r="I867" i="6"/>
  <c r="K867" i="6"/>
  <c r="L867" i="6"/>
  <c r="I2707" i="6"/>
  <c r="K2707" i="6"/>
  <c r="L2707" i="6" s="1"/>
  <c r="K866" i="6"/>
  <c r="L866" i="6" s="1"/>
  <c r="I866" i="6"/>
  <c r="I32" i="6"/>
  <c r="K32" i="6"/>
  <c r="L32" i="6" s="1"/>
  <c r="K845" i="6"/>
  <c r="L845" i="6" s="1"/>
  <c r="I845" i="6"/>
  <c r="K836" i="6"/>
  <c r="I836" i="6"/>
  <c r="L836" i="6"/>
  <c r="K835" i="6"/>
  <c r="L835" i="6" s="1"/>
  <c r="I835" i="6"/>
  <c r="I833" i="6"/>
  <c r="K833" i="6"/>
  <c r="L833" i="6"/>
  <c r="K831" i="6"/>
  <c r="L831" i="6" s="1"/>
  <c r="I831" i="6"/>
  <c r="K2699" i="6"/>
  <c r="L2699" i="6" s="1"/>
  <c r="I2699" i="6"/>
  <c r="I828" i="6"/>
  <c r="K828" i="6"/>
  <c r="L828" i="6"/>
  <c r="I2697" i="6"/>
  <c r="K2697" i="6"/>
  <c r="L2697" i="6" s="1"/>
  <c r="I824" i="6"/>
  <c r="K824" i="6"/>
  <c r="L824" i="6" s="1"/>
  <c r="I823" i="6"/>
  <c r="K823" i="6"/>
  <c r="L823" i="6"/>
  <c r="I820" i="6"/>
  <c r="K820" i="6"/>
  <c r="L820" i="6"/>
  <c r="K819" i="6"/>
  <c r="I819" i="6"/>
  <c r="L819" i="6"/>
  <c r="K815" i="6"/>
  <c r="I815" i="6"/>
  <c r="L815" i="6"/>
  <c r="K813" i="6"/>
  <c r="L813" i="6" s="1"/>
  <c r="I813" i="6"/>
  <c r="K2690" i="6"/>
  <c r="L2690" i="6" s="1"/>
  <c r="I2690" i="6"/>
  <c r="K812" i="6"/>
  <c r="L812" i="6" s="1"/>
  <c r="I812" i="6"/>
  <c r="K804" i="6"/>
  <c r="I804" i="6"/>
  <c r="L804" i="6"/>
  <c r="I802" i="6"/>
  <c r="K802" i="6"/>
  <c r="L802" i="6"/>
  <c r="I2686" i="6"/>
  <c r="K2686" i="6"/>
  <c r="L2686" i="6" s="1"/>
  <c r="I801" i="6"/>
  <c r="K801" i="6"/>
  <c r="L801" i="6" s="1"/>
  <c r="I2683" i="6"/>
  <c r="K2683" i="6"/>
  <c r="L2683" i="6" s="1"/>
  <c r="I796" i="6"/>
  <c r="K796" i="6"/>
  <c r="L796" i="6"/>
  <c r="I2680" i="6"/>
  <c r="K2680" i="6"/>
  <c r="L2680" i="6" s="1"/>
  <c r="K794" i="6"/>
  <c r="L794" i="6" s="1"/>
  <c r="I794" i="6"/>
  <c r="I2678" i="6"/>
  <c r="K2678" i="6"/>
  <c r="L2678" i="6" s="1"/>
  <c r="I793" i="6"/>
  <c r="K793" i="6"/>
  <c r="L793" i="6" s="1"/>
  <c r="I2676" i="6"/>
  <c r="K2676" i="6"/>
  <c r="L2676" i="6" s="1"/>
  <c r="I788" i="6"/>
  <c r="K788" i="6"/>
  <c r="L788" i="6"/>
  <c r="I785" i="6"/>
  <c r="K785" i="6"/>
  <c r="L785" i="6" s="1"/>
  <c r="I782" i="6"/>
  <c r="K782" i="6"/>
  <c r="L782" i="6"/>
  <c r="I2670" i="6"/>
  <c r="K2670" i="6"/>
  <c r="L2670" i="6" s="1"/>
  <c r="K2669" i="6"/>
  <c r="L2669" i="6" s="1"/>
  <c r="I2669" i="6"/>
  <c r="I780" i="6"/>
  <c r="K780" i="6"/>
  <c r="L780" i="6" s="1"/>
  <c r="I778" i="6"/>
  <c r="K778" i="6"/>
  <c r="L778" i="6"/>
  <c r="I776" i="6"/>
  <c r="K776" i="6"/>
  <c r="L776" i="6" s="1"/>
  <c r="I775" i="6"/>
  <c r="K775" i="6"/>
  <c r="L775" i="6"/>
  <c r="I2663" i="6"/>
  <c r="K2663" i="6"/>
  <c r="L2663" i="6" s="1"/>
  <c r="I771" i="6"/>
  <c r="K771" i="6"/>
  <c r="L771" i="6" s="1"/>
  <c r="K2660" i="6"/>
  <c r="L2660" i="6" s="1"/>
  <c r="I2660" i="6"/>
  <c r="K758" i="6"/>
  <c r="L758" i="6" s="1"/>
  <c r="I758" i="6"/>
  <c r="I2655" i="6"/>
  <c r="K2655" i="6"/>
  <c r="L2655" i="6" s="1"/>
  <c r="I2653" i="6"/>
  <c r="K2653" i="6"/>
  <c r="L2653" i="6" s="1"/>
  <c r="K753" i="6"/>
  <c r="L753" i="6" s="1"/>
  <c r="I753" i="6"/>
  <c r="K752" i="6"/>
  <c r="L752" i="6" s="1"/>
  <c r="I752" i="6"/>
  <c r="K750" i="6"/>
  <c r="L750" i="6" s="1"/>
  <c r="I750" i="6"/>
  <c r="I743" i="6"/>
  <c r="K743" i="6"/>
  <c r="L743" i="6"/>
  <c r="K2648" i="6"/>
  <c r="L2648" i="6" s="1"/>
  <c r="I2648" i="6"/>
  <c r="I2647" i="6"/>
  <c r="K2647" i="6"/>
  <c r="L2647" i="6"/>
  <c r="I741" i="6"/>
  <c r="K741" i="6"/>
  <c r="L741" i="6" s="1"/>
  <c r="I2644" i="6"/>
  <c r="K2644" i="6"/>
  <c r="L2644" i="6" s="1"/>
  <c r="I738" i="6"/>
  <c r="K738" i="6"/>
  <c r="L738" i="6" s="1"/>
  <c r="I2642" i="6"/>
  <c r="K2642" i="6"/>
  <c r="L2642" i="6" s="1"/>
  <c r="K729" i="6"/>
  <c r="L729" i="6" s="1"/>
  <c r="I729" i="6"/>
  <c r="K724" i="6"/>
  <c r="L724" i="6" s="1"/>
  <c r="I724" i="6"/>
  <c r="K720" i="6"/>
  <c r="L720" i="6" s="1"/>
  <c r="I720" i="6"/>
  <c r="K718" i="6"/>
  <c r="L718" i="6" s="1"/>
  <c r="I718" i="6"/>
  <c r="K2635" i="6"/>
  <c r="L2635" i="6" s="1"/>
  <c r="I2635" i="6"/>
  <c r="I2634" i="6"/>
  <c r="K2634" i="6"/>
  <c r="L2634" i="6" s="1"/>
  <c r="K716" i="6"/>
  <c r="L716" i="6" s="1"/>
  <c r="I716" i="6"/>
  <c r="I711" i="6"/>
  <c r="K711" i="6"/>
  <c r="L711" i="6" s="1"/>
  <c r="K709" i="6"/>
  <c r="I709" i="6"/>
  <c r="L709" i="6"/>
  <c r="I705" i="6"/>
  <c r="K705" i="6"/>
  <c r="L705" i="6" s="1"/>
  <c r="I704" i="6"/>
  <c r="K704" i="6"/>
  <c r="L704" i="6" s="1"/>
  <c r="K700" i="6"/>
  <c r="L700" i="6" s="1"/>
  <c r="I700" i="6"/>
  <c r="I2626" i="6"/>
  <c r="K2626" i="6"/>
  <c r="L2626" i="6" s="1"/>
  <c r="I699" i="6"/>
  <c r="K699" i="6"/>
  <c r="L699" i="6" s="1"/>
  <c r="K2624" i="6"/>
  <c r="L2624" i="6" s="1"/>
  <c r="I2624" i="6"/>
  <c r="K2623" i="6"/>
  <c r="L2623" i="6" s="1"/>
  <c r="I2623" i="6"/>
  <c r="K697" i="6"/>
  <c r="L697" i="6"/>
  <c r="I697" i="6"/>
  <c r="K2620" i="6"/>
  <c r="L2620" i="6" s="1"/>
  <c r="I2620" i="6"/>
  <c r="K2619" i="6"/>
  <c r="L2619" i="6" s="1"/>
  <c r="I2619" i="6"/>
  <c r="I688" i="6"/>
  <c r="K688" i="6"/>
  <c r="L688" i="6" s="1"/>
  <c r="K687" i="6"/>
  <c r="I687" i="6"/>
  <c r="L687" i="6"/>
  <c r="K672" i="6"/>
  <c r="L672" i="6" s="1"/>
  <c r="I672" i="6"/>
  <c r="I2615" i="6"/>
  <c r="K2615" i="6"/>
  <c r="L2615" i="6" s="1"/>
  <c r="I670" i="6"/>
  <c r="K670" i="6"/>
  <c r="L670" i="6" s="1"/>
  <c r="K665" i="6"/>
  <c r="L665" i="6" s="1"/>
  <c r="I665" i="6"/>
  <c r="K2611" i="6"/>
  <c r="L2611" i="6" s="1"/>
  <c r="I2611" i="6"/>
  <c r="K664" i="6"/>
  <c r="L664" i="6" s="1"/>
  <c r="I664" i="6"/>
  <c r="I663" i="6"/>
  <c r="K663" i="6"/>
  <c r="L663" i="6"/>
  <c r="I2608" i="6"/>
  <c r="K2608" i="6"/>
  <c r="L2608" i="6" s="1"/>
  <c r="I662" i="6"/>
  <c r="K662" i="6"/>
  <c r="L662" i="6" s="1"/>
  <c r="K661" i="6"/>
  <c r="I661" i="6"/>
  <c r="L661" i="6"/>
  <c r="K660" i="6"/>
  <c r="L660" i="6" s="1"/>
  <c r="I660" i="6"/>
  <c r="K649" i="6"/>
  <c r="L649" i="6" s="1"/>
  <c r="I649" i="6"/>
  <c r="I648" i="6"/>
  <c r="K648" i="6"/>
  <c r="L648" i="6"/>
  <c r="I643" i="6"/>
  <c r="K643" i="6"/>
  <c r="L643" i="6"/>
  <c r="I642" i="6"/>
  <c r="K642" i="6"/>
  <c r="L642" i="6" s="1"/>
  <c r="K640" i="6"/>
  <c r="L640" i="6" s="1"/>
  <c r="I640" i="6"/>
  <c r="K636" i="6"/>
  <c r="L636" i="6" s="1"/>
  <c r="I636" i="6"/>
  <c r="K633" i="6"/>
  <c r="L633" i="6" s="1"/>
  <c r="I633" i="6"/>
  <c r="K625" i="6"/>
  <c r="L625" i="6" s="1"/>
  <c r="I625" i="6"/>
  <c r="I2594" i="6"/>
  <c r="K2594" i="6"/>
  <c r="L2594" i="6" s="1"/>
  <c r="I624" i="6"/>
  <c r="K624" i="6"/>
  <c r="L624" i="6" s="1"/>
  <c r="K619" i="6"/>
  <c r="L619" i="6" s="1"/>
  <c r="I619" i="6"/>
  <c r="K615" i="6"/>
  <c r="L615" i="6" s="1"/>
  <c r="I615" i="6"/>
  <c r="K610" i="6"/>
  <c r="L610" i="6" s="1"/>
  <c r="I610" i="6"/>
  <c r="K2587" i="6"/>
  <c r="L2587" i="6" s="1"/>
  <c r="I2587" i="6"/>
  <c r="K604" i="6"/>
  <c r="L604" i="6" s="1"/>
  <c r="I604" i="6"/>
  <c r="K603" i="6"/>
  <c r="L603" i="6" s="1"/>
  <c r="I603" i="6"/>
  <c r="I598" i="6"/>
  <c r="K598" i="6"/>
  <c r="L598" i="6" s="1"/>
  <c r="K2583" i="6"/>
  <c r="L2583" i="6" s="1"/>
  <c r="I2583" i="6"/>
  <c r="K595" i="6"/>
  <c r="L595" i="6" s="1"/>
  <c r="I595" i="6"/>
  <c r="K2581" i="6"/>
  <c r="L2581" i="6" s="1"/>
  <c r="I2581" i="6"/>
  <c r="K2580" i="6"/>
  <c r="L2580" i="6" s="1"/>
  <c r="I2580" i="6"/>
  <c r="K592" i="6"/>
  <c r="L592" i="6"/>
  <c r="I592" i="6"/>
  <c r="K590" i="6"/>
  <c r="I590" i="6"/>
  <c r="L590" i="6"/>
  <c r="K2577" i="6"/>
  <c r="L2577" i="6" s="1"/>
  <c r="I2577" i="6"/>
  <c r="I2576" i="6"/>
  <c r="K2576" i="6"/>
  <c r="L2576" i="6" s="1"/>
  <c r="I584" i="6"/>
  <c r="K584" i="6"/>
  <c r="L584" i="6" s="1"/>
  <c r="K2570" i="6"/>
  <c r="L2570" i="6" s="1"/>
  <c r="I2570" i="6"/>
  <c r="I579" i="6"/>
  <c r="K579" i="6"/>
  <c r="L579" i="6"/>
  <c r="I2568" i="6"/>
  <c r="K2568" i="6"/>
  <c r="L2568" i="6" s="1"/>
  <c r="K578" i="6"/>
  <c r="L578" i="6"/>
  <c r="I578" i="6"/>
  <c r="K576" i="6"/>
  <c r="L576" i="6"/>
  <c r="I576" i="6"/>
  <c r="K574" i="6"/>
  <c r="L574" i="6"/>
  <c r="I574" i="6"/>
  <c r="K572" i="6"/>
  <c r="L572" i="6" s="1"/>
  <c r="I572" i="6"/>
  <c r="I2561" i="6"/>
  <c r="K2561" i="6"/>
  <c r="L2561" i="6" s="1"/>
  <c r="K2560" i="6"/>
  <c r="L2560" i="6" s="1"/>
  <c r="I2560" i="6"/>
  <c r="I2559" i="6"/>
  <c r="K2559" i="6"/>
  <c r="L2559" i="6" s="1"/>
  <c r="I2558" i="6"/>
  <c r="K2558" i="6"/>
  <c r="L2558" i="6" s="1"/>
  <c r="K2557" i="6"/>
  <c r="L2557" i="6" s="1"/>
  <c r="I2557" i="6"/>
  <c r="K569" i="6"/>
  <c r="L569" i="6" s="1"/>
  <c r="I569" i="6"/>
  <c r="I2555" i="6"/>
  <c r="K2555" i="6"/>
  <c r="L2555" i="6" s="1"/>
  <c r="I2554" i="6"/>
  <c r="K2554" i="6"/>
  <c r="L2554" i="6" s="1"/>
  <c r="K568" i="6"/>
  <c r="L568" i="6" s="1"/>
  <c r="I568" i="6"/>
  <c r="I563" i="6"/>
  <c r="K563" i="6"/>
  <c r="L563" i="6"/>
  <c r="K559" i="6"/>
  <c r="L559" i="6"/>
  <c r="I559" i="6"/>
  <c r="I558" i="6"/>
  <c r="K558" i="6"/>
  <c r="L558" i="6"/>
  <c r="K556" i="6"/>
  <c r="L556" i="6" s="1"/>
  <c r="I556" i="6"/>
  <c r="I550" i="6"/>
  <c r="K550" i="6"/>
  <c r="L550" i="6" s="1"/>
  <c r="K548" i="6"/>
  <c r="L548" i="6" s="1"/>
  <c r="I548" i="6"/>
  <c r="K546" i="6"/>
  <c r="L546" i="6" s="1"/>
  <c r="I546" i="6"/>
  <c r="I545" i="6"/>
  <c r="K545" i="6"/>
  <c r="L545" i="6" s="1"/>
  <c r="K544" i="6"/>
  <c r="L544" i="6" s="1"/>
  <c r="I544" i="6"/>
  <c r="K532" i="6"/>
  <c r="L532" i="6"/>
  <c r="I532" i="6"/>
  <c r="K531" i="6"/>
  <c r="L531" i="6" s="1"/>
  <c r="I531" i="6"/>
  <c r="K529" i="6"/>
  <c r="L529" i="6" s="1"/>
  <c r="I529" i="6"/>
  <c r="I528" i="6"/>
  <c r="K528" i="6"/>
  <c r="L528" i="6"/>
  <c r="I524" i="6"/>
  <c r="K524" i="6"/>
  <c r="L524" i="6" s="1"/>
  <c r="K2532" i="6"/>
  <c r="L2532" i="6" s="1"/>
  <c r="I2532" i="6"/>
  <c r="K518" i="6"/>
  <c r="L518" i="6" s="1"/>
  <c r="I518" i="6"/>
  <c r="K515" i="6"/>
  <c r="L515" i="6"/>
  <c r="I515" i="6"/>
  <c r="K508" i="6"/>
  <c r="L508" i="6" s="1"/>
  <c r="I508" i="6"/>
  <c r="K507" i="6"/>
  <c r="L507" i="6" s="1"/>
  <c r="I507" i="6"/>
  <c r="I505" i="6"/>
  <c r="K505" i="6"/>
  <c r="L505" i="6"/>
  <c r="I504" i="6"/>
  <c r="K504" i="6"/>
  <c r="L504" i="6"/>
  <c r="K2524" i="6"/>
  <c r="L2524" i="6" s="1"/>
  <c r="I2524" i="6"/>
  <c r="K2523" i="6"/>
  <c r="L2523" i="6" s="1"/>
  <c r="I2523" i="6"/>
  <c r="K501" i="6"/>
  <c r="L501" i="6"/>
  <c r="I501" i="6"/>
  <c r="I2520" i="6"/>
  <c r="K2520" i="6"/>
  <c r="L2520" i="6" s="1"/>
  <c r="K2519" i="6"/>
  <c r="L2519" i="6" s="1"/>
  <c r="I2519" i="6"/>
  <c r="I498" i="6"/>
  <c r="K498" i="6"/>
  <c r="L498" i="6" s="1"/>
  <c r="K2517" i="6"/>
  <c r="L2517" i="6" s="1"/>
  <c r="I2517" i="6"/>
  <c r="K493" i="6"/>
  <c r="L493" i="6"/>
  <c r="I493" i="6"/>
  <c r="K492" i="6"/>
  <c r="L492" i="6" s="1"/>
  <c r="I492" i="6"/>
  <c r="I2513" i="6"/>
  <c r="K2513" i="6"/>
  <c r="L2513" i="6" s="1"/>
  <c r="I481" i="6"/>
  <c r="K481" i="6"/>
  <c r="L481" i="6"/>
  <c r="I478" i="6"/>
  <c r="K478" i="6"/>
  <c r="L478" i="6" s="1"/>
  <c r="K474" i="6"/>
  <c r="L474" i="6"/>
  <c r="I474" i="6"/>
  <c r="K473" i="6"/>
  <c r="L473" i="6"/>
  <c r="I473" i="6"/>
  <c r="I468" i="6"/>
  <c r="K468" i="6"/>
  <c r="L468" i="6"/>
  <c r="K467" i="6"/>
  <c r="L467" i="6" s="1"/>
  <c r="I467" i="6"/>
  <c r="K466" i="6"/>
  <c r="L466" i="6" s="1"/>
  <c r="I466" i="6"/>
  <c r="K461" i="6"/>
  <c r="L461" i="6" s="1"/>
  <c r="I461" i="6"/>
  <c r="I459" i="6"/>
  <c r="K459" i="6"/>
  <c r="L459" i="6" s="1"/>
  <c r="I455" i="6"/>
  <c r="K455" i="6"/>
  <c r="L455" i="6"/>
  <c r="K454" i="6"/>
  <c r="L454" i="6" s="1"/>
  <c r="I454" i="6"/>
  <c r="I452" i="6"/>
  <c r="K452" i="6"/>
  <c r="L452" i="6" s="1"/>
  <c r="K451" i="6"/>
  <c r="L451" i="6"/>
  <c r="I451" i="6"/>
  <c r="K2491" i="6"/>
  <c r="L2491" i="6" s="1"/>
  <c r="I2491" i="6"/>
  <c r="I450" i="6"/>
  <c r="K450" i="6"/>
  <c r="L450" i="6" s="1"/>
  <c r="I439" i="6"/>
  <c r="K439" i="6"/>
  <c r="L439" i="6"/>
  <c r="I2487" i="6"/>
  <c r="K2487" i="6"/>
  <c r="L2487" i="6" s="1"/>
  <c r="I435" i="6"/>
  <c r="K435" i="6"/>
  <c r="L435" i="6"/>
  <c r="I433" i="6"/>
  <c r="K433" i="6"/>
  <c r="L433" i="6" s="1"/>
  <c r="I430" i="6"/>
  <c r="K430" i="6"/>
  <c r="L430" i="6"/>
  <c r="I2483" i="6"/>
  <c r="K2483" i="6"/>
  <c r="L2483" i="6" s="1"/>
  <c r="I2481" i="6"/>
  <c r="K2481" i="6"/>
  <c r="L2481" i="6" s="1"/>
  <c r="K2480" i="6"/>
  <c r="L2480" i="6" s="1"/>
  <c r="I2480" i="6"/>
  <c r="I429" i="6"/>
  <c r="K429" i="6"/>
  <c r="L429" i="6"/>
  <c r="I2476" i="6"/>
  <c r="K2476" i="6"/>
  <c r="L2476" i="6" s="1"/>
  <c r="K2474" i="6"/>
  <c r="L2474" i="6" s="1"/>
  <c r="I2474" i="6"/>
  <c r="I427" i="6"/>
  <c r="K427" i="6"/>
  <c r="L427" i="6" s="1"/>
  <c r="I423" i="6"/>
  <c r="K423" i="6"/>
  <c r="L423" i="6" s="1"/>
  <c r="I2471" i="6"/>
  <c r="K2471" i="6"/>
  <c r="L2471" i="6" s="1"/>
  <c r="K417" i="6"/>
  <c r="L417" i="6" s="1"/>
  <c r="I417" i="6"/>
  <c r="I2467" i="6"/>
  <c r="K2467" i="6"/>
  <c r="L2467" i="6" s="1"/>
  <c r="K2466" i="6"/>
  <c r="L2466" i="6" s="1"/>
  <c r="I2466" i="6"/>
  <c r="K411" i="6"/>
  <c r="L411" i="6"/>
  <c r="I411" i="6"/>
  <c r="K408" i="6"/>
  <c r="L408" i="6" s="1"/>
  <c r="I408" i="6"/>
  <c r="K407" i="6"/>
  <c r="I407" i="6"/>
  <c r="L407" i="6"/>
  <c r="I2462" i="6"/>
  <c r="K2462" i="6"/>
  <c r="L2462" i="6" s="1"/>
  <c r="K401" i="6"/>
  <c r="I401" i="6"/>
  <c r="L401" i="6"/>
  <c r="I396" i="6"/>
  <c r="K396" i="6"/>
  <c r="L396" i="6"/>
  <c r="I393" i="6"/>
  <c r="K393" i="6"/>
  <c r="L393" i="6" s="1"/>
  <c r="I2458" i="6"/>
  <c r="K2458" i="6"/>
  <c r="L2458" i="6" s="1"/>
  <c r="I2457" i="6"/>
  <c r="K2457" i="6"/>
  <c r="L2457" i="6" s="1"/>
  <c r="K2456" i="6"/>
  <c r="L2456" i="6" s="1"/>
  <c r="I2456" i="6"/>
  <c r="I390" i="6"/>
  <c r="K390" i="6"/>
  <c r="L390" i="6" s="1"/>
  <c r="K2454" i="6"/>
  <c r="L2454" i="6" s="1"/>
  <c r="I2454" i="6"/>
  <c r="K2453" i="6"/>
  <c r="L2453" i="6" s="1"/>
  <c r="I2453" i="6"/>
  <c r="I389" i="6"/>
  <c r="K389" i="6"/>
  <c r="L389" i="6"/>
  <c r="I385" i="6"/>
  <c r="K385" i="6"/>
  <c r="L385" i="6" s="1"/>
  <c r="I383" i="6"/>
  <c r="K383" i="6"/>
  <c r="L383" i="6" s="1"/>
  <c r="I376" i="6"/>
  <c r="K376" i="6"/>
  <c r="L376" i="6" s="1"/>
  <c r="K371" i="6"/>
  <c r="L371" i="6" s="1"/>
  <c r="I371" i="6"/>
  <c r="K2445" i="6"/>
  <c r="L2445" i="6" s="1"/>
  <c r="I2445" i="6"/>
  <c r="I369" i="6"/>
  <c r="K369" i="6"/>
  <c r="L369" i="6" s="1"/>
  <c r="K2443" i="6"/>
  <c r="L2443" i="6" s="1"/>
  <c r="I2443" i="6"/>
  <c r="I366" i="6"/>
  <c r="K366" i="6"/>
  <c r="L366" i="6" s="1"/>
  <c r="K358" i="6"/>
  <c r="L358" i="6" s="1"/>
  <c r="I358" i="6"/>
  <c r="I354" i="6"/>
  <c r="K354" i="6"/>
  <c r="L354" i="6" s="1"/>
  <c r="I343" i="6"/>
  <c r="K343" i="6"/>
  <c r="L343" i="6" s="1"/>
  <c r="I337" i="6"/>
  <c r="K337" i="6"/>
  <c r="L337" i="6" s="1"/>
  <c r="K334" i="6"/>
  <c r="L334" i="6" s="1"/>
  <c r="I334" i="6"/>
  <c r="K330" i="6"/>
  <c r="L330" i="6" s="1"/>
  <c r="I330" i="6"/>
  <c r="I326" i="6"/>
  <c r="K326" i="6"/>
  <c r="L326" i="6" s="1"/>
  <c r="I323" i="6"/>
  <c r="K323" i="6"/>
  <c r="L323" i="6" s="1"/>
  <c r="I320" i="6"/>
  <c r="K320" i="6"/>
  <c r="L320" i="6" s="1"/>
  <c r="K2430" i="6"/>
  <c r="L2430" i="6" s="1"/>
  <c r="I2430" i="6"/>
  <c r="I318" i="6"/>
  <c r="K318" i="6"/>
  <c r="L318" i="6" s="1"/>
  <c r="K2428" i="6"/>
  <c r="L2428" i="6" s="1"/>
  <c r="I2428" i="6"/>
  <c r="I313" i="6"/>
  <c r="K313" i="6"/>
  <c r="L313" i="6" s="1"/>
  <c r="K308" i="6"/>
  <c r="L308" i="6" s="1"/>
  <c r="I308" i="6"/>
  <c r="I304" i="6"/>
  <c r="K304" i="6"/>
  <c r="L304" i="6" s="1"/>
  <c r="K302" i="6"/>
  <c r="L302" i="6" s="1"/>
  <c r="I302" i="6"/>
  <c r="K2423" i="6"/>
  <c r="L2423" i="6" s="1"/>
  <c r="I2423" i="6"/>
  <c r="I301" i="6"/>
  <c r="K301" i="6"/>
  <c r="L301" i="6" s="1"/>
  <c r="K297" i="6"/>
  <c r="L297" i="6" s="1"/>
  <c r="I297" i="6"/>
  <c r="I296" i="6"/>
  <c r="K296" i="6"/>
  <c r="L296" i="6" s="1"/>
  <c r="I290" i="6"/>
  <c r="K290" i="6"/>
  <c r="L290" i="6" s="1"/>
  <c r="I2417" i="6"/>
  <c r="K2417" i="6"/>
  <c r="L2417" i="6" s="1"/>
  <c r="I289" i="6"/>
  <c r="K289" i="6"/>
  <c r="L289" i="6"/>
  <c r="I2414" i="6"/>
  <c r="K2414" i="6"/>
  <c r="L2414" i="6" s="1"/>
  <c r="I283" i="6"/>
  <c r="K283" i="6"/>
  <c r="L283" i="6" s="1"/>
  <c r="K281" i="6"/>
  <c r="L281" i="6" s="1"/>
  <c r="I281" i="6"/>
  <c r="K277" i="6"/>
  <c r="L277" i="6" s="1"/>
  <c r="I277" i="6"/>
  <c r="I2408" i="6"/>
  <c r="K2408" i="6"/>
  <c r="L2408" i="6" s="1"/>
  <c r="K2407" i="6"/>
  <c r="L2407" i="6" s="1"/>
  <c r="I2407" i="6"/>
  <c r="I273" i="6"/>
  <c r="K273" i="6"/>
  <c r="L273" i="6" s="1"/>
  <c r="K267" i="6"/>
  <c r="L267" i="6" s="1"/>
  <c r="I267" i="6"/>
  <c r="K266" i="6"/>
  <c r="L266" i="6" s="1"/>
  <c r="I266" i="6"/>
  <c r="K264" i="6"/>
  <c r="L264" i="6" s="1"/>
  <c r="I264" i="6"/>
  <c r="I2402" i="6"/>
  <c r="K2402" i="6"/>
  <c r="L2402" i="6" s="1"/>
  <c r="K263" i="6"/>
  <c r="L263" i="6" s="1"/>
  <c r="I263" i="6"/>
  <c r="I257" i="6"/>
  <c r="K257" i="6"/>
  <c r="L257" i="6" s="1"/>
  <c r="I256" i="6"/>
  <c r="K256" i="6"/>
  <c r="L256" i="6" s="1"/>
  <c r="K254" i="6"/>
  <c r="L254" i="6" s="1"/>
  <c r="I254" i="6"/>
  <c r="I2395" i="6"/>
  <c r="K2395" i="6"/>
  <c r="L2395" i="6" s="1"/>
  <c r="K253" i="6"/>
  <c r="L253" i="6" s="1"/>
  <c r="I253" i="6"/>
  <c r="K2392" i="6"/>
  <c r="L2392" i="6" s="1"/>
  <c r="I2392" i="6"/>
  <c r="K252" i="6"/>
  <c r="L252" i="6" s="1"/>
  <c r="I252" i="6"/>
  <c r="K245" i="6"/>
  <c r="L245" i="6" s="1"/>
  <c r="I245" i="6"/>
  <c r="K241" i="6"/>
  <c r="L241" i="6" s="1"/>
  <c r="I241" i="6"/>
  <c r="I239" i="6"/>
  <c r="K239" i="6"/>
  <c r="L239" i="6" s="1"/>
  <c r="K2386" i="6"/>
  <c r="L2386" i="6" s="1"/>
  <c r="I2386" i="6"/>
  <c r="K237" i="6"/>
  <c r="L237" i="6" s="1"/>
  <c r="I237" i="6"/>
  <c r="K236" i="6"/>
  <c r="L236" i="6" s="1"/>
  <c r="I236" i="6"/>
  <c r="K2383" i="6"/>
  <c r="L2383" i="6" s="1"/>
  <c r="I2383" i="6"/>
  <c r="I2382" i="6"/>
  <c r="K2382" i="6"/>
  <c r="L2382" i="6" s="1"/>
  <c r="K235" i="6"/>
  <c r="L235" i="6" s="1"/>
  <c r="I235" i="6"/>
  <c r="I2378" i="6"/>
  <c r="K2378" i="6"/>
  <c r="L2378" i="6" s="1"/>
  <c r="I2377" i="6"/>
  <c r="K2377" i="6"/>
  <c r="L2377" i="6" s="1"/>
  <c r="K2376" i="6"/>
  <c r="L2376" i="6" s="1"/>
  <c r="I2376" i="6"/>
  <c r="I2375" i="6"/>
  <c r="K2375" i="6"/>
  <c r="L2375" i="6" s="1"/>
  <c r="I231" i="6"/>
  <c r="K231" i="6"/>
  <c r="L231" i="6" s="1"/>
  <c r="I227" i="6"/>
  <c r="K227" i="6"/>
  <c r="L227" i="6" s="1"/>
  <c r="K226" i="6"/>
  <c r="L226" i="6" s="1"/>
  <c r="I226" i="6"/>
  <c r="K2371" i="6"/>
  <c r="L2371" i="6" s="1"/>
  <c r="I2371" i="6"/>
  <c r="I2370" i="6"/>
  <c r="K2370" i="6"/>
  <c r="L2370" i="6" s="1"/>
  <c r="I223" i="6"/>
  <c r="K223" i="6"/>
  <c r="L223" i="6" s="1"/>
  <c r="K2367" i="6"/>
  <c r="L2367" i="6" s="1"/>
  <c r="I2367" i="6"/>
  <c r="K2366" i="6"/>
  <c r="L2366" i="6" s="1"/>
  <c r="I2366" i="6"/>
  <c r="K218" i="6"/>
  <c r="L218" i="6" s="1"/>
  <c r="I218" i="6"/>
  <c r="K217" i="6"/>
  <c r="L217" i="6" s="1"/>
  <c r="I217" i="6"/>
  <c r="I2363" i="6"/>
  <c r="K2363" i="6"/>
  <c r="L2363" i="6" s="1"/>
  <c r="I2362" i="6"/>
  <c r="K2362" i="6"/>
  <c r="L2362" i="6" s="1"/>
  <c r="K215" i="6"/>
  <c r="L215" i="6" s="1"/>
  <c r="I215" i="6"/>
  <c r="I213" i="6"/>
  <c r="K213" i="6"/>
  <c r="L213" i="6" s="1"/>
  <c r="I2358" i="6"/>
  <c r="K2358" i="6"/>
  <c r="L2358" i="6" s="1"/>
  <c r="K202" i="6"/>
  <c r="L202" i="6" s="1"/>
  <c r="I202" i="6"/>
  <c r="K200" i="6"/>
  <c r="L200" i="6" s="1"/>
  <c r="I200" i="6"/>
  <c r="I198" i="6"/>
  <c r="K198" i="6"/>
  <c r="L198" i="6" s="1"/>
  <c r="I197" i="6"/>
  <c r="K197" i="6"/>
  <c r="L197" i="6" s="1"/>
  <c r="K192" i="6"/>
  <c r="L192" i="6" s="1"/>
  <c r="I192" i="6"/>
  <c r="I191" i="6"/>
  <c r="K191" i="6"/>
  <c r="L191" i="6" s="1"/>
  <c r="I190" i="6"/>
  <c r="K190" i="6"/>
  <c r="L190" i="6" s="1"/>
  <c r="I2348" i="6"/>
  <c r="K2348" i="6"/>
  <c r="L2348" i="6" s="1"/>
  <c r="I2347" i="6"/>
  <c r="K2347" i="6"/>
  <c r="L2347" i="6" s="1"/>
  <c r="I187" i="6"/>
  <c r="K187" i="6"/>
  <c r="L187" i="6" s="1"/>
  <c r="I2345" i="6"/>
  <c r="K2345" i="6"/>
  <c r="L2345" i="6" s="1"/>
  <c r="K182" i="6"/>
  <c r="L182" i="6" s="1"/>
  <c r="I182" i="6"/>
  <c r="I2339" i="6"/>
  <c r="K2339" i="6"/>
  <c r="L2339" i="6" s="1"/>
  <c r="K170" i="6"/>
  <c r="L170" i="6" s="1"/>
  <c r="I170" i="6"/>
  <c r="K2336" i="6"/>
  <c r="L2336" i="6" s="1"/>
  <c r="I2336" i="6"/>
  <c r="K168" i="6"/>
  <c r="L168" i="6" s="1"/>
  <c r="I168" i="6"/>
  <c r="I2334" i="6"/>
  <c r="K2334" i="6"/>
  <c r="L2334" i="6" s="1"/>
  <c r="I167" i="6"/>
  <c r="K167" i="6"/>
  <c r="L167" i="6" s="1"/>
  <c r="I166" i="6"/>
  <c r="K166" i="6"/>
  <c r="L166" i="6" s="1"/>
  <c r="K165" i="6"/>
  <c r="L165" i="6" s="1"/>
  <c r="I165" i="6"/>
  <c r="I163" i="6"/>
  <c r="K163" i="6"/>
  <c r="L163" i="6" s="1"/>
  <c r="K160" i="6"/>
  <c r="L160" i="6" s="1"/>
  <c r="I160" i="6"/>
  <c r="K2327" i="6"/>
  <c r="L2327" i="6" s="1"/>
  <c r="I2327" i="6"/>
  <c r="K2326" i="6"/>
  <c r="L2326" i="6" s="1"/>
  <c r="I2326" i="6"/>
  <c r="K154" i="6"/>
  <c r="L154" i="6" s="1"/>
  <c r="I154" i="6"/>
  <c r="I2319" i="6"/>
  <c r="K2319" i="6"/>
  <c r="L2319" i="6" s="1"/>
  <c r="I146" i="6"/>
  <c r="K146" i="6"/>
  <c r="L146" i="6" s="1"/>
  <c r="I144" i="6"/>
  <c r="K144" i="6"/>
  <c r="L144" i="6" s="1"/>
  <c r="I143" i="6"/>
  <c r="K143" i="6"/>
  <c r="L143" i="6" s="1"/>
  <c r="K2314" i="6"/>
  <c r="L2314" i="6" s="1"/>
  <c r="I2314" i="6"/>
  <c r="I138" i="6"/>
  <c r="K138" i="6"/>
  <c r="L138" i="6" s="1"/>
  <c r="I133" i="6"/>
  <c r="K133" i="6"/>
  <c r="L133" i="6" s="1"/>
  <c r="I2310" i="6"/>
  <c r="K2310" i="6"/>
  <c r="L2310" i="6" s="1"/>
  <c r="I130" i="6"/>
  <c r="K130" i="6"/>
  <c r="L130" i="6" s="1"/>
  <c r="I128" i="6"/>
  <c r="K128" i="6"/>
  <c r="L128" i="6" s="1"/>
  <c r="K2307" i="6"/>
  <c r="L2307" i="6" s="1"/>
  <c r="I2307" i="6"/>
  <c r="I2306" i="6"/>
  <c r="K2306" i="6"/>
  <c r="L2306" i="6" s="1"/>
  <c r="K2305" i="6"/>
  <c r="L2305" i="6" s="1"/>
  <c r="I2305" i="6"/>
  <c r="I127" i="6"/>
  <c r="K127" i="6"/>
  <c r="L127" i="6" s="1"/>
  <c r="K114" i="6"/>
  <c r="L114" i="6" s="1"/>
  <c r="I114" i="6"/>
  <c r="I2302" i="6"/>
  <c r="K2302" i="6"/>
  <c r="L2302" i="6" s="1"/>
  <c r="I105" i="6"/>
  <c r="K105" i="6"/>
  <c r="L105" i="6" s="1"/>
  <c r="I104" i="6"/>
  <c r="K104" i="6"/>
  <c r="L104" i="6" s="1"/>
  <c r="K97" i="6"/>
  <c r="L97" i="6" s="1"/>
  <c r="I97" i="6"/>
  <c r="I96" i="6"/>
  <c r="K96" i="6"/>
  <c r="L96" i="6" s="1"/>
  <c r="K95" i="6"/>
  <c r="L95" i="6" s="1"/>
  <c r="I95" i="6"/>
  <c r="I2295" i="6"/>
  <c r="K2295" i="6"/>
  <c r="L2295" i="6" s="1"/>
  <c r="K84" i="6"/>
  <c r="L84" i="6" s="1"/>
  <c r="I84" i="6"/>
  <c r="I79" i="6"/>
  <c r="K79" i="6"/>
  <c r="L79" i="6" s="1"/>
  <c r="I78" i="6"/>
  <c r="K78" i="6"/>
  <c r="L78" i="6" s="1"/>
  <c r="I76" i="6"/>
  <c r="K76" i="6"/>
  <c r="L76" i="6" s="1"/>
  <c r="I71" i="6"/>
  <c r="K71" i="6"/>
  <c r="L71" i="6" s="1"/>
  <c r="I55" i="6"/>
  <c r="K55" i="6"/>
  <c r="L55" i="6" s="1"/>
  <c r="K53" i="6"/>
  <c r="L53" i="6" s="1"/>
  <c r="I53" i="6"/>
  <c r="K46" i="6"/>
  <c r="L46" i="6" s="1"/>
  <c r="I46" i="6"/>
  <c r="I2284" i="6"/>
  <c r="K2284" i="6"/>
  <c r="L2284" i="6" s="1"/>
  <c r="K42" i="6"/>
  <c r="L42" i="6" s="1"/>
  <c r="I42" i="6"/>
  <c r="K39" i="6"/>
  <c r="L39" i="6" s="1"/>
  <c r="I39" i="6"/>
  <c r="K2281" i="6"/>
  <c r="L2281" i="6" s="1"/>
  <c r="I2281" i="6"/>
  <c r="K2268" i="6"/>
  <c r="L2268" i="6" s="1"/>
  <c r="I2268" i="6"/>
  <c r="K2264" i="6"/>
  <c r="L2264" i="6" s="1"/>
  <c r="I2264" i="6"/>
  <c r="K2255" i="6"/>
  <c r="L2255" i="6" s="1"/>
  <c r="I2255" i="6"/>
  <c r="K2254" i="6"/>
  <c r="L2254" i="6" s="1"/>
  <c r="I2254" i="6"/>
  <c r="K2253" i="6"/>
  <c r="L2253" i="6" s="1"/>
  <c r="I2253" i="6"/>
  <c r="K2252" i="6"/>
  <c r="L2252" i="6" s="1"/>
  <c r="I2252" i="6"/>
  <c r="I2247" i="6"/>
  <c r="K2247" i="6"/>
  <c r="L2247" i="6" s="1"/>
  <c r="K2240" i="6"/>
  <c r="L2240" i="6" s="1"/>
  <c r="I2240" i="6"/>
  <c r="I2232" i="6"/>
  <c r="K2232" i="6"/>
  <c r="L2232" i="6" s="1"/>
  <c r="I2229" i="6"/>
  <c r="K2229" i="6"/>
  <c r="L2229" i="6" s="1"/>
  <c r="I2214" i="6"/>
  <c r="K2214" i="6"/>
  <c r="L2214" i="6" s="1"/>
  <c r="I2212" i="6"/>
  <c r="K2212" i="6"/>
  <c r="L2212" i="6" s="1"/>
  <c r="I2210" i="6"/>
  <c r="K2210" i="6"/>
  <c r="L2210" i="6" s="1"/>
  <c r="I2205" i="6"/>
  <c r="K2205" i="6"/>
  <c r="L2205" i="6"/>
  <c r="I2203" i="6"/>
  <c r="K2203" i="6"/>
  <c r="L2203" i="6" s="1"/>
  <c r="I2196" i="6"/>
  <c r="K2196" i="6"/>
  <c r="L2196" i="6" s="1"/>
  <c r="K2195" i="6"/>
  <c r="L2195" i="6" s="1"/>
  <c r="I2195" i="6"/>
  <c r="K2189" i="6"/>
  <c r="L2189" i="6" s="1"/>
  <c r="I2189" i="6"/>
  <c r="K2186" i="6"/>
  <c r="L2186" i="6" s="1"/>
  <c r="I2186" i="6"/>
  <c r="K2179" i="6"/>
  <c r="L2179" i="6" s="1"/>
  <c r="I2179" i="6"/>
  <c r="K2168" i="6"/>
  <c r="L2168" i="6" s="1"/>
  <c r="I2168" i="6"/>
  <c r="K2167" i="6"/>
  <c r="L2167" i="6" s="1"/>
  <c r="I2167" i="6"/>
  <c r="K2166" i="6"/>
  <c r="L2166" i="6" s="1"/>
  <c r="I2166" i="6"/>
  <c r="K2164" i="6"/>
  <c r="L2164" i="6" s="1"/>
  <c r="I2164" i="6"/>
  <c r="I2162" i="6"/>
  <c r="K2162" i="6"/>
  <c r="L2162" i="6" s="1"/>
  <c r="K2159" i="6"/>
  <c r="L2159" i="6" s="1"/>
  <c r="I2159" i="6"/>
  <c r="K2158" i="6"/>
  <c r="L2158" i="6" s="1"/>
  <c r="I2158" i="6"/>
  <c r="I2154" i="6"/>
  <c r="K2154" i="6"/>
  <c r="L2154" i="6" s="1"/>
  <c r="K2153" i="6"/>
  <c r="L2153" i="6" s="1"/>
  <c r="I2153" i="6"/>
  <c r="K2151" i="6"/>
  <c r="L2151" i="6" s="1"/>
  <c r="I2151" i="6"/>
  <c r="I2149" i="6"/>
  <c r="K2149" i="6"/>
  <c r="L2149" i="6" s="1"/>
  <c r="K2148" i="6"/>
  <c r="L2148" i="6" s="1"/>
  <c r="I2148" i="6"/>
  <c r="I2146" i="6"/>
  <c r="K2146" i="6"/>
  <c r="L2146" i="6" s="1"/>
  <c r="I2145" i="6"/>
  <c r="K2145" i="6"/>
  <c r="L2145" i="6" s="1"/>
  <c r="K2143" i="6"/>
  <c r="L2143" i="6" s="1"/>
  <c r="I2143" i="6"/>
  <c r="K2141" i="6"/>
  <c r="L2141" i="6" s="1"/>
  <c r="I2141" i="6"/>
  <c r="I2140" i="6"/>
  <c r="K2140" i="6"/>
  <c r="L2140" i="6" s="1"/>
  <c r="I2132" i="6"/>
  <c r="K2132" i="6"/>
  <c r="L2132" i="6" s="1"/>
  <c r="K2129" i="6"/>
  <c r="L2129" i="6" s="1"/>
  <c r="I2129" i="6"/>
  <c r="K2126" i="6"/>
  <c r="L2126" i="6" s="1"/>
  <c r="I2126" i="6"/>
  <c r="I2124" i="6"/>
  <c r="K2124" i="6"/>
  <c r="L2124" i="6" s="1"/>
  <c r="I2120" i="6"/>
  <c r="K2120" i="6"/>
  <c r="L2120" i="6" s="1"/>
  <c r="I2112" i="6"/>
  <c r="K2112" i="6"/>
  <c r="L2112" i="6" s="1"/>
  <c r="I2109" i="6"/>
  <c r="K2109" i="6"/>
  <c r="L2109" i="6" s="1"/>
  <c r="I2103" i="6"/>
  <c r="K2103" i="6"/>
  <c r="L2103" i="6" s="1"/>
  <c r="I2099" i="6"/>
  <c r="K2099" i="6"/>
  <c r="L2099" i="6" s="1"/>
  <c r="K2097" i="6"/>
  <c r="L2097" i="6" s="1"/>
  <c r="I2097" i="6"/>
  <c r="I2088" i="6"/>
  <c r="K2088" i="6"/>
  <c r="L2088" i="6" s="1"/>
  <c r="K2086" i="6"/>
  <c r="L2086" i="6" s="1"/>
  <c r="I2086" i="6"/>
  <c r="K2085" i="6"/>
  <c r="L2085" i="6" s="1"/>
  <c r="I2085" i="6"/>
  <c r="K2084" i="6"/>
  <c r="L2084" i="6" s="1"/>
  <c r="I2084" i="6"/>
  <c r="K2083" i="6"/>
  <c r="L2083" i="6" s="1"/>
  <c r="I2083" i="6"/>
  <c r="K2079" i="6"/>
  <c r="L2079" i="6" s="1"/>
  <c r="I2079" i="6"/>
  <c r="I2077" i="6"/>
  <c r="K2077" i="6"/>
  <c r="L2077" i="6" s="1"/>
  <c r="K2076" i="6"/>
  <c r="L2076" i="6" s="1"/>
  <c r="I2076" i="6"/>
  <c r="K2073" i="6"/>
  <c r="L2073" i="6" s="1"/>
  <c r="I2073" i="6"/>
  <c r="K2070" i="6"/>
  <c r="L2070" i="6" s="1"/>
  <c r="I2070" i="6"/>
  <c r="K2068" i="6"/>
  <c r="L2068" i="6" s="1"/>
  <c r="I2068" i="6"/>
  <c r="I2059" i="6"/>
  <c r="K2059" i="6"/>
  <c r="L2059" i="6" s="1"/>
  <c r="K2057" i="6"/>
  <c r="L2057" i="6" s="1"/>
  <c r="I2057" i="6"/>
  <c r="I2054" i="6"/>
  <c r="K2054" i="6"/>
  <c r="L2054" i="6" s="1"/>
  <c r="I2053" i="6"/>
  <c r="K2053" i="6"/>
  <c r="L2053" i="6" s="1"/>
  <c r="I2045" i="6"/>
  <c r="K2045" i="6"/>
  <c r="L2045" i="6" s="1"/>
  <c r="K2043" i="6"/>
  <c r="L2043" i="6" s="1"/>
  <c r="I2043" i="6"/>
  <c r="I2040" i="6"/>
  <c r="K2040" i="6"/>
  <c r="L2040" i="6" s="1"/>
  <c r="I2038" i="6"/>
  <c r="K2038" i="6"/>
  <c r="L2038" i="6" s="1"/>
  <c r="K2032" i="6"/>
  <c r="L2032" i="6" s="1"/>
  <c r="I2032" i="6"/>
  <c r="I2028" i="6"/>
  <c r="K2028" i="6"/>
  <c r="L2028" i="6" s="1"/>
  <c r="I2026" i="6"/>
  <c r="K2026" i="6"/>
  <c r="L2026" i="6" s="1"/>
  <c r="K2020" i="6"/>
  <c r="L2020" i="6" s="1"/>
  <c r="I2020" i="6"/>
  <c r="I2019" i="6"/>
  <c r="K2019" i="6"/>
  <c r="L2019" i="6" s="1"/>
  <c r="I2017" i="6"/>
  <c r="K2017" i="6"/>
  <c r="L2017" i="6" s="1"/>
  <c r="I2014" i="6"/>
  <c r="K2014" i="6"/>
  <c r="L2014" i="6" s="1"/>
  <c r="I2013" i="6"/>
  <c r="K2013" i="6"/>
  <c r="L2013" i="6" s="1"/>
  <c r="I2012" i="6"/>
  <c r="K2012" i="6"/>
  <c r="L2012" i="6" s="1"/>
  <c r="K3296" i="6"/>
  <c r="L3296" i="6"/>
  <c r="I3296" i="6"/>
  <c r="K3295" i="6"/>
  <c r="L3295" i="6" s="1"/>
  <c r="I3295" i="6"/>
  <c r="K3292" i="6"/>
  <c r="L3292" i="6" s="1"/>
  <c r="I3292" i="6"/>
  <c r="K3291" i="6"/>
  <c r="I3291" i="6"/>
  <c r="L3291" i="6"/>
  <c r="I3287" i="6"/>
  <c r="K3287" i="6"/>
  <c r="L3287" i="6"/>
  <c r="I3283" i="6"/>
  <c r="K3283" i="6"/>
  <c r="L3283" i="6" s="1"/>
  <c r="I3282" i="6"/>
  <c r="K3282" i="6"/>
  <c r="L3282" i="6" s="1"/>
  <c r="I3281" i="6"/>
  <c r="K3281" i="6"/>
  <c r="L3281" i="6" s="1"/>
  <c r="I3280" i="6"/>
  <c r="K3280" i="6"/>
  <c r="L3280" i="6"/>
  <c r="I3279" i="6"/>
  <c r="K3279" i="6"/>
  <c r="L3279" i="6"/>
  <c r="I3276" i="6"/>
  <c r="K3276" i="6"/>
  <c r="L3276" i="6"/>
  <c r="I3274" i="6"/>
  <c r="K3274" i="6"/>
  <c r="L3274" i="6"/>
  <c r="K3273" i="6"/>
  <c r="I3273" i="6"/>
  <c r="L3273" i="6"/>
  <c r="K3272" i="6"/>
  <c r="L3272" i="6"/>
  <c r="I3272" i="6"/>
  <c r="K3271" i="6"/>
  <c r="L3271" i="6"/>
  <c r="I3271" i="6"/>
  <c r="I3266" i="6"/>
  <c r="K3266" i="6"/>
  <c r="L3266" i="6" s="1"/>
  <c r="I3262" i="6"/>
  <c r="K3262" i="6"/>
  <c r="L3262" i="6"/>
  <c r="I3261" i="6"/>
  <c r="K3261" i="6"/>
  <c r="L3261" i="6"/>
  <c r="K3260" i="6"/>
  <c r="L3260" i="6"/>
  <c r="I3260" i="6"/>
  <c r="I3258" i="6"/>
  <c r="K3258" i="6"/>
  <c r="L3258" i="6"/>
  <c r="K3256" i="6"/>
  <c r="L3256" i="6" s="1"/>
  <c r="I3256" i="6"/>
  <c r="I3255" i="6"/>
  <c r="K3255" i="6"/>
  <c r="L3255" i="6"/>
  <c r="I3254" i="6"/>
  <c r="K3254" i="6"/>
  <c r="L3254" i="6" s="1"/>
  <c r="K3252" i="6"/>
  <c r="L3252" i="6" s="1"/>
  <c r="I3252" i="6"/>
  <c r="K3251" i="6"/>
  <c r="L3251" i="6"/>
  <c r="I3251" i="6"/>
  <c r="K3250" i="6"/>
  <c r="L3250" i="6" s="1"/>
  <c r="I3250" i="6"/>
  <c r="I3247" i="6"/>
  <c r="K3247" i="6"/>
  <c r="L3247" i="6" s="1"/>
  <c r="K3244" i="6"/>
  <c r="I3244" i="6"/>
  <c r="L3244" i="6"/>
  <c r="I3242" i="6"/>
  <c r="K3242" i="6"/>
  <c r="L3242" i="6" s="1"/>
  <c r="I3241" i="6"/>
  <c r="K3241" i="6"/>
  <c r="L3241" i="6" s="1"/>
  <c r="K3239" i="6"/>
  <c r="L3239" i="6"/>
  <c r="I3239" i="6"/>
  <c r="I3238" i="6"/>
  <c r="K3238" i="6"/>
  <c r="L3238" i="6"/>
  <c r="K3236" i="6"/>
  <c r="L3236" i="6"/>
  <c r="I3236" i="6"/>
  <c r="I3235" i="6"/>
  <c r="K3235" i="6"/>
  <c r="L3235" i="6"/>
  <c r="I3234" i="6"/>
  <c r="K3234" i="6"/>
  <c r="L3234" i="6" s="1"/>
  <c r="K3232" i="6"/>
  <c r="I3232" i="6"/>
  <c r="L3232" i="6"/>
  <c r="K3231" i="6"/>
  <c r="L3231" i="6" s="1"/>
  <c r="I3231" i="6"/>
  <c r="I3226" i="6"/>
  <c r="K3226" i="6"/>
  <c r="L3226" i="6"/>
  <c r="I3223" i="6"/>
  <c r="K3223" i="6"/>
  <c r="L3223" i="6" s="1"/>
  <c r="K3222" i="6"/>
  <c r="L3222" i="6" s="1"/>
  <c r="I3222" i="6"/>
  <c r="K3221" i="6"/>
  <c r="L3221" i="6" s="1"/>
  <c r="I3221" i="6"/>
  <c r="I3217" i="6"/>
  <c r="K3217" i="6"/>
  <c r="L3217" i="6" s="1"/>
  <c r="K3216" i="6"/>
  <c r="L3216" i="6" s="1"/>
  <c r="I3216" i="6"/>
  <c r="K3214" i="6"/>
  <c r="L3214" i="6" s="1"/>
  <c r="I3214" i="6"/>
  <c r="K3213" i="6"/>
  <c r="L3213" i="6"/>
  <c r="I3213" i="6"/>
  <c r="K3212" i="6"/>
  <c r="L3212" i="6" s="1"/>
  <c r="I3212" i="6"/>
  <c r="K3211" i="6"/>
  <c r="L3211" i="6" s="1"/>
  <c r="I3211" i="6"/>
  <c r="K3210" i="6"/>
  <c r="I3210" i="6"/>
  <c r="L3210" i="6"/>
  <c r="K3208" i="6"/>
  <c r="L3208" i="6" s="1"/>
  <c r="I3208" i="6"/>
  <c r="K3207" i="6"/>
  <c r="L3207" i="6" s="1"/>
  <c r="I3207" i="6"/>
  <c r="K3205" i="6"/>
  <c r="L3205" i="6" s="1"/>
  <c r="I3205" i="6"/>
  <c r="I3204" i="6"/>
  <c r="K3204" i="6"/>
  <c r="L3204" i="6" s="1"/>
  <c r="I3203" i="6"/>
  <c r="K3203" i="6"/>
  <c r="L3203" i="6" s="1"/>
  <c r="I3200" i="6"/>
  <c r="K3200" i="6"/>
  <c r="L3200" i="6" s="1"/>
  <c r="K3199" i="6"/>
  <c r="L3199" i="6" s="1"/>
  <c r="I3199" i="6"/>
  <c r="I3195" i="6"/>
  <c r="K3195" i="6"/>
  <c r="L3195" i="6"/>
  <c r="I3193" i="6"/>
  <c r="K3193" i="6"/>
  <c r="L3193" i="6" s="1"/>
  <c r="K3190" i="6"/>
  <c r="L3190" i="6" s="1"/>
  <c r="I3190" i="6"/>
  <c r="I3187" i="6"/>
  <c r="K3187" i="6"/>
  <c r="L3187" i="6" s="1"/>
  <c r="K3186" i="6"/>
  <c r="L3186" i="6" s="1"/>
  <c r="I3186" i="6"/>
  <c r="K3184" i="6"/>
  <c r="L3184" i="6" s="1"/>
  <c r="I3184" i="6"/>
  <c r="I3183" i="6"/>
  <c r="K3183" i="6"/>
  <c r="L3183" i="6" s="1"/>
  <c r="I3182" i="6"/>
  <c r="K3182" i="6"/>
  <c r="L3182" i="6" s="1"/>
  <c r="I3181" i="6"/>
  <c r="K3181" i="6"/>
  <c r="L3181" i="6" s="1"/>
  <c r="I3179" i="6"/>
  <c r="K3179" i="6"/>
  <c r="L3179" i="6" s="1"/>
  <c r="I3175" i="6"/>
  <c r="K3175" i="6"/>
  <c r="L3175" i="6"/>
  <c r="K3174" i="6"/>
  <c r="L3174" i="6" s="1"/>
  <c r="I3174" i="6"/>
  <c r="I3171" i="6"/>
  <c r="K3171" i="6"/>
  <c r="L3171" i="6"/>
  <c r="I3170" i="6"/>
  <c r="K3170" i="6"/>
  <c r="L3170" i="6" s="1"/>
  <c r="K3169" i="6"/>
  <c r="L3169" i="6" s="1"/>
  <c r="I3169" i="6"/>
  <c r="I3167" i="6"/>
  <c r="K3167" i="6"/>
  <c r="L3167" i="6" s="1"/>
  <c r="K3166" i="6"/>
  <c r="L3166" i="6" s="1"/>
  <c r="I3166" i="6"/>
  <c r="K3163" i="6"/>
  <c r="L3163" i="6" s="1"/>
  <c r="I3163" i="6"/>
  <c r="I3162" i="6"/>
  <c r="K3162" i="6"/>
  <c r="L3162" i="6" s="1"/>
  <c r="K3161" i="6"/>
  <c r="L3161" i="6" s="1"/>
  <c r="I3161" i="6"/>
  <c r="K3158" i="6"/>
  <c r="L3158" i="6" s="1"/>
  <c r="I3158" i="6"/>
  <c r="K3157" i="6"/>
  <c r="L3157" i="6" s="1"/>
  <c r="I3157" i="6"/>
  <c r="I3156" i="6"/>
  <c r="K3156" i="6"/>
  <c r="L3156" i="6"/>
  <c r="K3154" i="6"/>
  <c r="I3154" i="6"/>
  <c r="L3154" i="6"/>
  <c r="I3149" i="6"/>
  <c r="K3149" i="6"/>
  <c r="L3149" i="6" s="1"/>
  <c r="K3148" i="6"/>
  <c r="I3148" i="6"/>
  <c r="L3148" i="6"/>
  <c r="K3146" i="6"/>
  <c r="L3146" i="6"/>
  <c r="I3146" i="6"/>
  <c r="K3145" i="6"/>
  <c r="L3145" i="6"/>
  <c r="I3145" i="6"/>
  <c r="I3144" i="6"/>
  <c r="K3144" i="6"/>
  <c r="L3144" i="6"/>
  <c r="K3143" i="6"/>
  <c r="L3143" i="6"/>
  <c r="I3143" i="6"/>
  <c r="I3142" i="6"/>
  <c r="K3142" i="6"/>
  <c r="L3142" i="6"/>
  <c r="K3138" i="6"/>
  <c r="L3138" i="6"/>
  <c r="I3138" i="6"/>
  <c r="I3137" i="6"/>
  <c r="K3137" i="6"/>
  <c r="L3137" i="6"/>
  <c r="I3126" i="6"/>
  <c r="K3126" i="6"/>
  <c r="L3126" i="6"/>
  <c r="K3123" i="6"/>
  <c r="L3123" i="6" s="1"/>
  <c r="I3123" i="6"/>
  <c r="K3122" i="6"/>
  <c r="L3122" i="6" s="1"/>
  <c r="I3122" i="6"/>
  <c r="K3121" i="6"/>
  <c r="L3121" i="6"/>
  <c r="I3121" i="6"/>
  <c r="I3120" i="6"/>
  <c r="K3120" i="6"/>
  <c r="L3120" i="6"/>
  <c r="K3118" i="6"/>
  <c r="L3118" i="6"/>
  <c r="I3118" i="6"/>
  <c r="K3117" i="6"/>
  <c r="L3117" i="6" s="1"/>
  <c r="I3117" i="6"/>
  <c r="K3107" i="6"/>
  <c r="L3107" i="6" s="1"/>
  <c r="I3107" i="6"/>
  <c r="K3106" i="6"/>
  <c r="L3106" i="6"/>
  <c r="I3106" i="6"/>
  <c r="I3105" i="6"/>
  <c r="K3105" i="6"/>
  <c r="L3105" i="6"/>
  <c r="I3102" i="6"/>
  <c r="K3102" i="6"/>
  <c r="L3102" i="6"/>
  <c r="I3098" i="6"/>
  <c r="K3098" i="6"/>
  <c r="L3098" i="6" s="1"/>
  <c r="I3096" i="6"/>
  <c r="K3096" i="6"/>
  <c r="L3096" i="6"/>
  <c r="K3095" i="6"/>
  <c r="L3095" i="6" s="1"/>
  <c r="I3095" i="6"/>
  <c r="K3094" i="6"/>
  <c r="L3094" i="6"/>
  <c r="I3094" i="6"/>
  <c r="K3093" i="6"/>
  <c r="L3093" i="6"/>
  <c r="I3093" i="6"/>
  <c r="K3090" i="6"/>
  <c r="L3090" i="6" s="1"/>
  <c r="I3090" i="6"/>
  <c r="K3088" i="6"/>
  <c r="L3088" i="6"/>
  <c r="I3088" i="6"/>
  <c r="K3087" i="6"/>
  <c r="L3087" i="6" s="1"/>
  <c r="I3087" i="6"/>
  <c r="I3085" i="6"/>
  <c r="K3085" i="6"/>
  <c r="L3085" i="6" s="1"/>
  <c r="I3083" i="6"/>
  <c r="K3083" i="6"/>
  <c r="L3083" i="6" s="1"/>
  <c r="K3082" i="6"/>
  <c r="I3082" i="6"/>
  <c r="L3082" i="6"/>
  <c r="K3080" i="6"/>
  <c r="L3080" i="6" s="1"/>
  <c r="I3080" i="6"/>
  <c r="I3077" i="6"/>
  <c r="K3077" i="6"/>
  <c r="L3077" i="6" s="1"/>
  <c r="K3076" i="6"/>
  <c r="L3076" i="6" s="1"/>
  <c r="I3076" i="6"/>
  <c r="I3075" i="6"/>
  <c r="K3075" i="6"/>
  <c r="L3075" i="6" s="1"/>
  <c r="K3073" i="6"/>
  <c r="L3073" i="6"/>
  <c r="I3073" i="6"/>
  <c r="K3072" i="6"/>
  <c r="I3072" i="6"/>
  <c r="L3072" i="6"/>
  <c r="K3071" i="6"/>
  <c r="I3071" i="6"/>
  <c r="L3071" i="6"/>
  <c r="K3069" i="6"/>
  <c r="L3069" i="6" s="1"/>
  <c r="I3069" i="6"/>
  <c r="K3068" i="6"/>
  <c r="I3068" i="6"/>
  <c r="L3068" i="6"/>
  <c r="K3065" i="6"/>
  <c r="I3065" i="6"/>
  <c r="L3065" i="6"/>
  <c r="K3064" i="6"/>
  <c r="I3064" i="6"/>
  <c r="L3064" i="6"/>
  <c r="I3063" i="6"/>
  <c r="K3063" i="6"/>
  <c r="L3063" i="6" s="1"/>
  <c r="I3062" i="6"/>
  <c r="K3062" i="6"/>
  <c r="L3062" i="6" s="1"/>
  <c r="K3061" i="6"/>
  <c r="L3061" i="6" s="1"/>
  <c r="I3061" i="6"/>
  <c r="I3060" i="6"/>
  <c r="K3060" i="6"/>
  <c r="L3060" i="6" s="1"/>
  <c r="I3057" i="6"/>
  <c r="K3057" i="6"/>
  <c r="L3057" i="6" s="1"/>
  <c r="I3054" i="6"/>
  <c r="K3054" i="6"/>
  <c r="L3054" i="6" s="1"/>
  <c r="K3053" i="6"/>
  <c r="I3053" i="6"/>
  <c r="L3053" i="6"/>
  <c r="I3052" i="6"/>
  <c r="K3052" i="6"/>
  <c r="L3052" i="6" s="1"/>
  <c r="K3051" i="6"/>
  <c r="L3051" i="6" s="1"/>
  <c r="I3051" i="6"/>
  <c r="K3046" i="6"/>
  <c r="L3046" i="6" s="1"/>
  <c r="I3046" i="6"/>
  <c r="I3043" i="6"/>
  <c r="K3043" i="6"/>
  <c r="L3043" i="6" s="1"/>
  <c r="I3041" i="6"/>
  <c r="K3041" i="6"/>
  <c r="L3041" i="6"/>
  <c r="I3039" i="6"/>
  <c r="K3039" i="6"/>
  <c r="L3039" i="6"/>
  <c r="I3037" i="6"/>
  <c r="K3037" i="6"/>
  <c r="L3037" i="6"/>
  <c r="I3036" i="6"/>
  <c r="K3036" i="6"/>
  <c r="L3036" i="6" s="1"/>
  <c r="I3034" i="6"/>
  <c r="K3034" i="6"/>
  <c r="L3034" i="6"/>
  <c r="I3031" i="6"/>
  <c r="K3031" i="6"/>
  <c r="L3031" i="6"/>
  <c r="I3030" i="6"/>
  <c r="K3030" i="6"/>
  <c r="L3030" i="6" s="1"/>
  <c r="I3027" i="6"/>
  <c r="K3027" i="6"/>
  <c r="L3027" i="6"/>
  <c r="I3026" i="6"/>
  <c r="K3026" i="6"/>
  <c r="L3026" i="6"/>
  <c r="I3024" i="6"/>
  <c r="K3024" i="6"/>
  <c r="L3024" i="6" s="1"/>
  <c r="K3023" i="6"/>
  <c r="L3023" i="6" s="1"/>
  <c r="I3023" i="6"/>
  <c r="K3022" i="6"/>
  <c r="L3022" i="6" s="1"/>
  <c r="I3022" i="6"/>
  <c r="I3020" i="6"/>
  <c r="K3020" i="6"/>
  <c r="L3020" i="6" s="1"/>
  <c r="K3017" i="6"/>
  <c r="L3017" i="6" s="1"/>
  <c r="I3017" i="6"/>
  <c r="K3016" i="6"/>
  <c r="L3016" i="6" s="1"/>
  <c r="I3016" i="6"/>
  <c r="K3015" i="6"/>
  <c r="L3015" i="6" s="1"/>
  <c r="I3015" i="6"/>
  <c r="K3012" i="6"/>
  <c r="L3012" i="6" s="1"/>
  <c r="I3012" i="6"/>
  <c r="K3011" i="6"/>
  <c r="L3011" i="6" s="1"/>
  <c r="I3011" i="6"/>
  <c r="K3010" i="6"/>
  <c r="L3010" i="6"/>
  <c r="I3010" i="6"/>
  <c r="K3007" i="6"/>
  <c r="I3007" i="6"/>
  <c r="L3007" i="6"/>
  <c r="K3006" i="6"/>
  <c r="L3006" i="6"/>
  <c r="I3006" i="6"/>
  <c r="K3004" i="6"/>
  <c r="L3004" i="6" s="1"/>
  <c r="I3004" i="6"/>
  <c r="I3003" i="6"/>
  <c r="K3003" i="6"/>
  <c r="L3003" i="6"/>
  <c r="I3000" i="6"/>
  <c r="K3000" i="6"/>
  <c r="L3000" i="6"/>
  <c r="I2999" i="6"/>
  <c r="K2999" i="6"/>
  <c r="L2999" i="6" s="1"/>
  <c r="I2995" i="6"/>
  <c r="K2995" i="6"/>
  <c r="L2995" i="6"/>
  <c r="K2992" i="6"/>
  <c r="L2992" i="6" s="1"/>
  <c r="I2992" i="6"/>
  <c r="I2991" i="6"/>
  <c r="K2991" i="6"/>
  <c r="L2991" i="6"/>
  <c r="K2990" i="6"/>
  <c r="L2990" i="6" s="1"/>
  <c r="I2990" i="6"/>
  <c r="K2988" i="6"/>
  <c r="L2988" i="6" s="1"/>
  <c r="I2988" i="6"/>
  <c r="K2985" i="6"/>
  <c r="L2985" i="6" s="1"/>
  <c r="I2985" i="6"/>
  <c r="I2977" i="6"/>
  <c r="K2977" i="6"/>
  <c r="L2977" i="6" s="1"/>
  <c r="K2974" i="6"/>
  <c r="L2974" i="6"/>
  <c r="I2974" i="6"/>
  <c r="I2973" i="6"/>
  <c r="K2973" i="6"/>
  <c r="L2973" i="6"/>
  <c r="K2969" i="6"/>
  <c r="L2969" i="6"/>
  <c r="I2969" i="6"/>
  <c r="I2968" i="6"/>
  <c r="K2968" i="6"/>
  <c r="L2968" i="6" s="1"/>
  <c r="K2965" i="6"/>
  <c r="L2965" i="6" s="1"/>
  <c r="I2965" i="6"/>
  <c r="I2963" i="6"/>
  <c r="K2963" i="6"/>
  <c r="L2963" i="6" s="1"/>
  <c r="K2957" i="6"/>
  <c r="L2957" i="6"/>
  <c r="I2957" i="6"/>
  <c r="I2956" i="6"/>
  <c r="K2956" i="6"/>
  <c r="L2956" i="6"/>
  <c r="K2955" i="6"/>
  <c r="I2955" i="6"/>
  <c r="L2955" i="6"/>
  <c r="K2954" i="6"/>
  <c r="L2954" i="6" s="1"/>
  <c r="I2954" i="6"/>
  <c r="I2952" i="6"/>
  <c r="K2952" i="6"/>
  <c r="L2952" i="6"/>
  <c r="K2947" i="6"/>
  <c r="L2947" i="6" s="1"/>
  <c r="I2947" i="6"/>
  <c r="K2945" i="6"/>
  <c r="L2945" i="6" s="1"/>
  <c r="I2945" i="6"/>
  <c r="I2944" i="6"/>
  <c r="K2944" i="6"/>
  <c r="L2944" i="6" s="1"/>
  <c r="K2943" i="6"/>
  <c r="L2943" i="6"/>
  <c r="I2943" i="6"/>
  <c r="K2942" i="6"/>
  <c r="I2942" i="6"/>
  <c r="L2942" i="6"/>
  <c r="K2941" i="6"/>
  <c r="L2941" i="6" s="1"/>
  <c r="I2941" i="6"/>
  <c r="K2939" i="6"/>
  <c r="I2939" i="6"/>
  <c r="L2939" i="6"/>
  <c r="I2938" i="6"/>
  <c r="K2938" i="6"/>
  <c r="L2938" i="6"/>
  <c r="I2936" i="6"/>
  <c r="K2936" i="6"/>
  <c r="L2936" i="6" s="1"/>
  <c r="I2935" i="6"/>
  <c r="K2935" i="6"/>
  <c r="L2935" i="6"/>
  <c r="K2934" i="6"/>
  <c r="L2934" i="6"/>
  <c r="I2934" i="6"/>
  <c r="I2932" i="6"/>
  <c r="K2932" i="6"/>
  <c r="L2932" i="6" s="1"/>
  <c r="I2930" i="6"/>
  <c r="K2930" i="6"/>
  <c r="L2930" i="6"/>
  <c r="I2929" i="6"/>
  <c r="K2929" i="6"/>
  <c r="L2929" i="6" s="1"/>
  <c r="K2927" i="6"/>
  <c r="L2927" i="6" s="1"/>
  <c r="I2927" i="6"/>
  <c r="K2924" i="6"/>
  <c r="L2924" i="6" s="1"/>
  <c r="I2924" i="6"/>
  <c r="K2921" i="6"/>
  <c r="I2921" i="6"/>
  <c r="L2921" i="6"/>
  <c r="I2919" i="6"/>
  <c r="K2919" i="6"/>
  <c r="L2919" i="6"/>
  <c r="I2918" i="6"/>
  <c r="K2918" i="6"/>
  <c r="L2918" i="6" s="1"/>
  <c r="I2917" i="6"/>
  <c r="K2917" i="6"/>
  <c r="L2917" i="6" s="1"/>
  <c r="K2915" i="6"/>
  <c r="L2915" i="6"/>
  <c r="I2915" i="6"/>
  <c r="I2911" i="6"/>
  <c r="K2911" i="6"/>
  <c r="L2911" i="6" s="1"/>
  <c r="K2910" i="6"/>
  <c r="L2910" i="6" s="1"/>
  <c r="I2910" i="6"/>
  <c r="K2905" i="6"/>
  <c r="L2905" i="6" s="1"/>
  <c r="I2905" i="6"/>
  <c r="I2898" i="6"/>
  <c r="K2898" i="6"/>
  <c r="L2898" i="6" s="1"/>
  <c r="K2897" i="6"/>
  <c r="I2897" i="6"/>
  <c r="L2897" i="6"/>
  <c r="K2896" i="6"/>
  <c r="L2896" i="6" s="1"/>
  <c r="I2896" i="6"/>
  <c r="K2895" i="6"/>
  <c r="I2895" i="6"/>
  <c r="L2895" i="6"/>
  <c r="K2894" i="6"/>
  <c r="I2894" i="6"/>
  <c r="L2894" i="6"/>
  <c r="K2892" i="6"/>
  <c r="L2892" i="6"/>
  <c r="I2892" i="6"/>
  <c r="K2889" i="6"/>
  <c r="L2889" i="6" s="1"/>
  <c r="I2889" i="6"/>
  <c r="I2887" i="6"/>
  <c r="K2887" i="6"/>
  <c r="L2887" i="6" s="1"/>
  <c r="K2886" i="6"/>
  <c r="L2886" i="6"/>
  <c r="I2886" i="6"/>
  <c r="I2885" i="6"/>
  <c r="K2885" i="6"/>
  <c r="L2885" i="6" s="1"/>
  <c r="I2883" i="6"/>
  <c r="K2883" i="6"/>
  <c r="L2883" i="6" s="1"/>
  <c r="I2882" i="6"/>
  <c r="K2882" i="6"/>
  <c r="L2882" i="6"/>
  <c r="I2880" i="6"/>
  <c r="K2880" i="6"/>
  <c r="L2880" i="6"/>
  <c r="K2879" i="6"/>
  <c r="L2879" i="6"/>
  <c r="I2879" i="6"/>
  <c r="K2878" i="6"/>
  <c r="L2878" i="6" s="1"/>
  <c r="I2878" i="6"/>
  <c r="K2874" i="6"/>
  <c r="L2874" i="6" s="1"/>
  <c r="I2874" i="6"/>
  <c r="K2873" i="6"/>
  <c r="I2873" i="6"/>
  <c r="L2873" i="6"/>
  <c r="K2868" i="6"/>
  <c r="L2868" i="6" s="1"/>
  <c r="I2868" i="6"/>
  <c r="K2867" i="6"/>
  <c r="L2867" i="6"/>
  <c r="I2867" i="6"/>
  <c r="K2866" i="6"/>
  <c r="L2866" i="6" s="1"/>
  <c r="I2866" i="6"/>
  <c r="K2864" i="6"/>
  <c r="L2864" i="6"/>
  <c r="I2864" i="6"/>
  <c r="I2863" i="6"/>
  <c r="K2863" i="6"/>
  <c r="L2863" i="6"/>
  <c r="K2860" i="6"/>
  <c r="L2860" i="6" s="1"/>
  <c r="I2860" i="6"/>
  <c r="K2856" i="6"/>
  <c r="L2856" i="6" s="1"/>
  <c r="I2856" i="6"/>
  <c r="I2854" i="6"/>
  <c r="K2854" i="6"/>
  <c r="L2854" i="6"/>
  <c r="K2853" i="6"/>
  <c r="L2853" i="6" s="1"/>
  <c r="I2853" i="6"/>
  <c r="I2851" i="6"/>
  <c r="K2851" i="6"/>
  <c r="L2851" i="6" s="1"/>
  <c r="K2850" i="6"/>
  <c r="L2850" i="6" s="1"/>
  <c r="I2850" i="6"/>
  <c r="K2849" i="6"/>
  <c r="I2849" i="6"/>
  <c r="L2849" i="6"/>
  <c r="I2846" i="6"/>
  <c r="K2846" i="6"/>
  <c r="L2846" i="6" s="1"/>
  <c r="K2845" i="6"/>
  <c r="L2845" i="6" s="1"/>
  <c r="I2845" i="6"/>
  <c r="K2843" i="6"/>
  <c r="L2843" i="6" s="1"/>
  <c r="I2843" i="6"/>
  <c r="K2841" i="6"/>
  <c r="L2841" i="6" s="1"/>
  <c r="I2841" i="6"/>
  <c r="K2836" i="6"/>
  <c r="L2836" i="6" s="1"/>
  <c r="I2836" i="6"/>
  <c r="K2835" i="6"/>
  <c r="L2835" i="6" s="1"/>
  <c r="I2835" i="6"/>
  <c r="K2834" i="6"/>
  <c r="L2834" i="6" s="1"/>
  <c r="I2834" i="6"/>
  <c r="I2833" i="6"/>
  <c r="K2833" i="6"/>
  <c r="L2833" i="6" s="1"/>
  <c r="K2832" i="6"/>
  <c r="L2832" i="6" s="1"/>
  <c r="I2832" i="6"/>
  <c r="K2831" i="6"/>
  <c r="L2831" i="6" s="1"/>
  <c r="I2831" i="6"/>
  <c r="K2827" i="6"/>
  <c r="L2827" i="6"/>
  <c r="I2827" i="6"/>
  <c r="K2824" i="6"/>
  <c r="L2824" i="6" s="1"/>
  <c r="I2824" i="6"/>
  <c r="I2820" i="6"/>
  <c r="K2820" i="6"/>
  <c r="L2820" i="6" s="1"/>
  <c r="K2818" i="6"/>
  <c r="L2818" i="6" s="1"/>
  <c r="I2818" i="6"/>
  <c r="K2816" i="6"/>
  <c r="L2816" i="6" s="1"/>
  <c r="I2816" i="6"/>
  <c r="I2815" i="6"/>
  <c r="K2815" i="6"/>
  <c r="L2815" i="6" s="1"/>
  <c r="K2814" i="6"/>
  <c r="L2814" i="6" s="1"/>
  <c r="I2814" i="6"/>
  <c r="K2813" i="6"/>
  <c r="L2813" i="6" s="1"/>
  <c r="I2813" i="6"/>
  <c r="K2811" i="6"/>
  <c r="L2811" i="6" s="1"/>
  <c r="I2811" i="6"/>
  <c r="K2806" i="6"/>
  <c r="L2806" i="6" s="1"/>
  <c r="I2806" i="6"/>
  <c r="K2805" i="6"/>
  <c r="L2805" i="6" s="1"/>
  <c r="I2805" i="6"/>
  <c r="I2802" i="6"/>
  <c r="K2802" i="6"/>
  <c r="L2802" i="6" s="1"/>
  <c r="K2801" i="6"/>
  <c r="I2801" i="6"/>
  <c r="L2801" i="6"/>
  <c r="I2800" i="6"/>
  <c r="K2800" i="6"/>
  <c r="L2800" i="6" s="1"/>
  <c r="I2798" i="6"/>
  <c r="K2798" i="6"/>
  <c r="L2798" i="6" s="1"/>
  <c r="I2796" i="6"/>
  <c r="K2796" i="6"/>
  <c r="L2796" i="6" s="1"/>
  <c r="K2793" i="6"/>
  <c r="L2793" i="6" s="1"/>
  <c r="I2793" i="6"/>
  <c r="I2792" i="6"/>
  <c r="K2792" i="6"/>
  <c r="L2792" i="6"/>
  <c r="I2791" i="6"/>
  <c r="K2791" i="6"/>
  <c r="L2791" i="6" s="1"/>
  <c r="K2787" i="6"/>
  <c r="L2787" i="6" s="1"/>
  <c r="I2787" i="6"/>
  <c r="K2786" i="6"/>
  <c r="L2786" i="6" s="1"/>
  <c r="I2786" i="6"/>
  <c r="I2783" i="6"/>
  <c r="K2783" i="6"/>
  <c r="L2783" i="6"/>
  <c r="I2782" i="6"/>
  <c r="K2782" i="6"/>
  <c r="L2782" i="6" s="1"/>
  <c r="K2781" i="6"/>
  <c r="L2781" i="6"/>
  <c r="I2781" i="6"/>
  <c r="I2780" i="6"/>
  <c r="K2780" i="6"/>
  <c r="L2780" i="6" s="1"/>
  <c r="K2779" i="6"/>
  <c r="L2779" i="6" s="1"/>
  <c r="I2779" i="6"/>
  <c r="I2775" i="6"/>
  <c r="K2775" i="6"/>
  <c r="L2775" i="6" s="1"/>
  <c r="I2770" i="6"/>
  <c r="K2770" i="6"/>
  <c r="L2770" i="6" s="1"/>
  <c r="K2769" i="6"/>
  <c r="L2769" i="6" s="1"/>
  <c r="I2769" i="6"/>
  <c r="K2765" i="6"/>
  <c r="L2765" i="6" s="1"/>
  <c r="I2765" i="6"/>
  <c r="K2764" i="6"/>
  <c r="L2764" i="6" s="1"/>
  <c r="I2764" i="6"/>
  <c r="K2763" i="6"/>
  <c r="L2763" i="6" s="1"/>
  <c r="I2763" i="6"/>
  <c r="K2761" i="6"/>
  <c r="I2761" i="6"/>
  <c r="L2761" i="6"/>
  <c r="K2758" i="6"/>
  <c r="L2758" i="6" s="1"/>
  <c r="I2758" i="6"/>
  <c r="K2757" i="6"/>
  <c r="L2757" i="6" s="1"/>
  <c r="I2757" i="6"/>
  <c r="K2756" i="6"/>
  <c r="L2756" i="6" s="1"/>
  <c r="I2756" i="6"/>
  <c r="K2755" i="6"/>
  <c r="L2755" i="6" s="1"/>
  <c r="I2755" i="6"/>
  <c r="K2754" i="6"/>
  <c r="L2754" i="6" s="1"/>
  <c r="I2754" i="6"/>
  <c r="K2752" i="6"/>
  <c r="L2752" i="6" s="1"/>
  <c r="I2752" i="6"/>
  <c r="I2751" i="6"/>
  <c r="K2751" i="6"/>
  <c r="L2751" i="6" s="1"/>
  <c r="I2748" i="6"/>
  <c r="K2748" i="6"/>
  <c r="L2748" i="6" s="1"/>
  <c r="I2746" i="6"/>
  <c r="K2746" i="6"/>
  <c r="L2746" i="6" s="1"/>
  <c r="I2745" i="6"/>
  <c r="K2745" i="6"/>
  <c r="L2745" i="6" s="1"/>
  <c r="K2744" i="6"/>
  <c r="L2744" i="6" s="1"/>
  <c r="I2744" i="6"/>
  <c r="K2741" i="6"/>
  <c r="L2741" i="6" s="1"/>
  <c r="I2741" i="6"/>
  <c r="K2739" i="6"/>
  <c r="L2739" i="6" s="1"/>
  <c r="I2739" i="6"/>
  <c r="I2738" i="6"/>
  <c r="K2738" i="6"/>
  <c r="L2738" i="6" s="1"/>
  <c r="I2737" i="6"/>
  <c r="K2737" i="6"/>
  <c r="L2737" i="6" s="1"/>
  <c r="I2735" i="6"/>
  <c r="K2735" i="6"/>
  <c r="L2735" i="6" s="1"/>
  <c r="I2733" i="6"/>
  <c r="K2733" i="6"/>
  <c r="L2733" i="6" s="1"/>
  <c r="K2731" i="6"/>
  <c r="L2731" i="6" s="1"/>
  <c r="I2731" i="6"/>
  <c r="I2730" i="6"/>
  <c r="K2730" i="6"/>
  <c r="L2730" i="6" s="1"/>
  <c r="I2725" i="6"/>
  <c r="K2725" i="6"/>
  <c r="L2725" i="6" s="1"/>
  <c r="I2724" i="6"/>
  <c r="K2724" i="6"/>
  <c r="L2724" i="6"/>
  <c r="K2723" i="6"/>
  <c r="L2723" i="6" s="1"/>
  <c r="I2723" i="6"/>
  <c r="I2722" i="6"/>
  <c r="K2722" i="6"/>
  <c r="L2722" i="6" s="1"/>
  <c r="I2720" i="6"/>
  <c r="K2720" i="6"/>
  <c r="L2720" i="6" s="1"/>
  <c r="I2717" i="6"/>
  <c r="K2717" i="6"/>
  <c r="L2717" i="6" s="1"/>
  <c r="I2715" i="6"/>
  <c r="K2715" i="6"/>
  <c r="L2715" i="6" s="1"/>
  <c r="I2714" i="6"/>
  <c r="K2714" i="6"/>
  <c r="L2714" i="6" s="1"/>
  <c r="K2713" i="6"/>
  <c r="L2713" i="6" s="1"/>
  <c r="I2713" i="6"/>
  <c r="K2711" i="6"/>
  <c r="L2711" i="6" s="1"/>
  <c r="I2711" i="6"/>
  <c r="K2710" i="6"/>
  <c r="L2710" i="6" s="1"/>
  <c r="I2710" i="6"/>
  <c r="I2709" i="6"/>
  <c r="K2709" i="6"/>
  <c r="L2709" i="6" s="1"/>
  <c r="I2706" i="6"/>
  <c r="K2706" i="6"/>
  <c r="L2706" i="6"/>
  <c r="I2705" i="6"/>
  <c r="K2705" i="6"/>
  <c r="L2705" i="6" s="1"/>
  <c r="I2704" i="6"/>
  <c r="K2704" i="6"/>
  <c r="L2704" i="6"/>
  <c r="I2703" i="6"/>
  <c r="K2703" i="6"/>
  <c r="L2703" i="6" s="1"/>
  <c r="K2702" i="6"/>
  <c r="L2702" i="6" s="1"/>
  <c r="I2702" i="6"/>
  <c r="K2700" i="6"/>
  <c r="L2700" i="6" s="1"/>
  <c r="I2700" i="6"/>
  <c r="I2698" i="6"/>
  <c r="K2698" i="6"/>
  <c r="L2698" i="6" s="1"/>
  <c r="I2696" i="6"/>
  <c r="K2696" i="6"/>
  <c r="L2696" i="6" s="1"/>
  <c r="K2695" i="6"/>
  <c r="L2695" i="6" s="1"/>
  <c r="I2695" i="6"/>
  <c r="K2694" i="6"/>
  <c r="L2694" i="6" s="1"/>
  <c r="I2694" i="6"/>
  <c r="I2693" i="6"/>
  <c r="K2693" i="6"/>
  <c r="L2693" i="6"/>
  <c r="I2692" i="6"/>
  <c r="K2692" i="6"/>
  <c r="L2692" i="6" s="1"/>
  <c r="I2691" i="6"/>
  <c r="K2691" i="6"/>
  <c r="L2691" i="6" s="1"/>
  <c r="K2689" i="6"/>
  <c r="L2689" i="6"/>
  <c r="I2689" i="6"/>
  <c r="I2688" i="6"/>
  <c r="K2688" i="6"/>
  <c r="L2688" i="6" s="1"/>
  <c r="I2687" i="6"/>
  <c r="K2687" i="6"/>
  <c r="L2687" i="6"/>
  <c r="I2685" i="6"/>
  <c r="K2685" i="6"/>
  <c r="L2685" i="6"/>
  <c r="I2681" i="6"/>
  <c r="K2681" i="6"/>
  <c r="L2681" i="6" s="1"/>
  <c r="K2679" i="6"/>
  <c r="L2679" i="6" s="1"/>
  <c r="I2679" i="6"/>
  <c r="K2677" i="6"/>
  <c r="L2677" i="6" s="1"/>
  <c r="I2677" i="6"/>
  <c r="I2675" i="6"/>
  <c r="K2675" i="6"/>
  <c r="L2675" i="6" s="1"/>
  <c r="K2672" i="6"/>
  <c r="L2672" i="6" s="1"/>
  <c r="I2672" i="6"/>
  <c r="I2671" i="6"/>
  <c r="K2671" i="6"/>
  <c r="L2671" i="6"/>
  <c r="I2667" i="6"/>
  <c r="K2667" i="6"/>
  <c r="L2667" i="6"/>
  <c r="I2666" i="6"/>
  <c r="K2666" i="6"/>
  <c r="L2666" i="6" s="1"/>
  <c r="I2665" i="6"/>
  <c r="K2665" i="6"/>
  <c r="L2665" i="6" s="1"/>
  <c r="I2664" i="6"/>
  <c r="K2664" i="6"/>
  <c r="L2664" i="6" s="1"/>
  <c r="I2661" i="6"/>
  <c r="K2661" i="6"/>
  <c r="L2661" i="6" s="1"/>
  <c r="K2659" i="6"/>
  <c r="L2659" i="6" s="1"/>
  <c r="I2659" i="6"/>
  <c r="I2652" i="6"/>
  <c r="K2652" i="6"/>
  <c r="L2652" i="6" s="1"/>
  <c r="K2651" i="6"/>
  <c r="L2651" i="6" s="1"/>
  <c r="I2651" i="6"/>
  <c r="I2650" i="6"/>
  <c r="K2650" i="6"/>
  <c r="L2650" i="6" s="1"/>
  <c r="K2649" i="6"/>
  <c r="L2649" i="6" s="1"/>
  <c r="I2649" i="6"/>
  <c r="I2645" i="6"/>
  <c r="K2645" i="6"/>
  <c r="L2645" i="6" s="1"/>
  <c r="I2643" i="6"/>
  <c r="K2643" i="6"/>
  <c r="L2643" i="6"/>
  <c r="K2640" i="6"/>
  <c r="L2640" i="6" s="1"/>
  <c r="I2640" i="6"/>
  <c r="K2638" i="6"/>
  <c r="L2638" i="6" s="1"/>
  <c r="I2638" i="6"/>
  <c r="I2637" i="6"/>
  <c r="K2637" i="6"/>
  <c r="L2637" i="6" s="1"/>
  <c r="I2636" i="6"/>
  <c r="K2636" i="6"/>
  <c r="L2636" i="6" s="1"/>
  <c r="I2633" i="6"/>
  <c r="K2633" i="6"/>
  <c r="L2633" i="6" s="1"/>
  <c r="K2631" i="6"/>
  <c r="L2631" i="6" s="1"/>
  <c r="I2631" i="6"/>
  <c r="K2630" i="6"/>
  <c r="L2630" i="6" s="1"/>
  <c r="I2630" i="6"/>
  <c r="K2629" i="6"/>
  <c r="L2629" i="6" s="1"/>
  <c r="I2629" i="6"/>
  <c r="I2628" i="6"/>
  <c r="K2628" i="6"/>
  <c r="L2628" i="6" s="1"/>
  <c r="K2627" i="6"/>
  <c r="L2627" i="6" s="1"/>
  <c r="I2627" i="6"/>
  <c r="I2625" i="6"/>
  <c r="K2625" i="6"/>
  <c r="L2625" i="6" s="1"/>
  <c r="K2621" i="6"/>
  <c r="L2621" i="6"/>
  <c r="I2621" i="6"/>
  <c r="I2618" i="6"/>
  <c r="K2618" i="6"/>
  <c r="L2618" i="6" s="1"/>
  <c r="I2617" i="6"/>
  <c r="K2617" i="6"/>
  <c r="L2617" i="6" s="1"/>
  <c r="I2616" i="6"/>
  <c r="K2616" i="6"/>
  <c r="L2616" i="6" s="1"/>
  <c r="K2614" i="6"/>
  <c r="L2614" i="6" s="1"/>
  <c r="I2614" i="6"/>
  <c r="I2612" i="6"/>
  <c r="K2612" i="6"/>
  <c r="L2612" i="6" s="1"/>
  <c r="I2610" i="6"/>
  <c r="K2610" i="6"/>
  <c r="L2610" i="6" s="1"/>
  <c r="K2609" i="6"/>
  <c r="L2609" i="6" s="1"/>
  <c r="I2609" i="6"/>
  <c r="K2607" i="6"/>
  <c r="L2607" i="6" s="1"/>
  <c r="I2607" i="6"/>
  <c r="K2606" i="6"/>
  <c r="L2606" i="6" s="1"/>
  <c r="I2606" i="6"/>
  <c r="K2605" i="6"/>
  <c r="L2605" i="6" s="1"/>
  <c r="I2605" i="6"/>
  <c r="I2604" i="6"/>
  <c r="K2604" i="6"/>
  <c r="L2604" i="6" s="1"/>
  <c r="I2603" i="6"/>
  <c r="K2603" i="6"/>
  <c r="L2603" i="6" s="1"/>
  <c r="I2602" i="6"/>
  <c r="K2602" i="6"/>
  <c r="L2602" i="6" s="1"/>
  <c r="K2601" i="6"/>
  <c r="L2601" i="6" s="1"/>
  <c r="I2601" i="6"/>
  <c r="K2599" i="6"/>
  <c r="L2599" i="6" s="1"/>
  <c r="I2599" i="6"/>
  <c r="K2598" i="6"/>
  <c r="L2598" i="6" s="1"/>
  <c r="I2598" i="6"/>
  <c r="I2597" i="6"/>
  <c r="K2597" i="6"/>
  <c r="L2597" i="6" s="1"/>
  <c r="I2596" i="6"/>
  <c r="K2596" i="6"/>
  <c r="L2596" i="6" s="1"/>
  <c r="K2593" i="6"/>
  <c r="L2593" i="6" s="1"/>
  <c r="I2593" i="6"/>
  <c r="K2592" i="6"/>
  <c r="L2592" i="6" s="1"/>
  <c r="I2592" i="6"/>
  <c r="I2591" i="6"/>
  <c r="K2591" i="6"/>
  <c r="L2591" i="6" s="1"/>
  <c r="K2590" i="6"/>
  <c r="L2590" i="6"/>
  <c r="I2590" i="6"/>
  <c r="K2586" i="6"/>
  <c r="L2586" i="6" s="1"/>
  <c r="I2586" i="6"/>
  <c r="K2585" i="6"/>
  <c r="L2585" i="6" s="1"/>
  <c r="I2585" i="6"/>
  <c r="K2584" i="6"/>
  <c r="L2584" i="6" s="1"/>
  <c r="I2584" i="6"/>
  <c r="I2582" i="6"/>
  <c r="K2582" i="6"/>
  <c r="L2582" i="6" s="1"/>
  <c r="K2579" i="6"/>
  <c r="L2579" i="6" s="1"/>
  <c r="I2579" i="6"/>
  <c r="K2578" i="6"/>
  <c r="L2578" i="6" s="1"/>
  <c r="I2578" i="6"/>
  <c r="I2573" i="6"/>
  <c r="K2573" i="6"/>
  <c r="L2573" i="6" s="1"/>
  <c r="K2569" i="6"/>
  <c r="L2569" i="6" s="1"/>
  <c r="I2569" i="6"/>
  <c r="I2567" i="6"/>
  <c r="K2567" i="6"/>
  <c r="L2567" i="6" s="1"/>
  <c r="K2565" i="6"/>
  <c r="L2565" i="6" s="1"/>
  <c r="I2565" i="6"/>
  <c r="K2564" i="6"/>
  <c r="L2564" i="6" s="1"/>
  <c r="I2564" i="6"/>
  <c r="I2563" i="6"/>
  <c r="K2563" i="6"/>
  <c r="L2563" i="6" s="1"/>
  <c r="K2556" i="6"/>
  <c r="L2556" i="6"/>
  <c r="I2556" i="6"/>
  <c r="K2553" i="6"/>
  <c r="L2553" i="6" s="1"/>
  <c r="I2553" i="6"/>
  <c r="I2551" i="6"/>
  <c r="K2551" i="6"/>
  <c r="L2551" i="6" s="1"/>
  <c r="I2550" i="6"/>
  <c r="K2550" i="6"/>
  <c r="L2550" i="6" s="1"/>
  <c r="K2549" i="6"/>
  <c r="L2549" i="6" s="1"/>
  <c r="I2549" i="6"/>
  <c r="I2548" i="6"/>
  <c r="K2548" i="6"/>
  <c r="L2548" i="6" s="1"/>
  <c r="K2546" i="6"/>
  <c r="L2546" i="6" s="1"/>
  <c r="I2546" i="6"/>
  <c r="I2545" i="6"/>
  <c r="K2545" i="6"/>
  <c r="L2545" i="6" s="1"/>
  <c r="I2544" i="6"/>
  <c r="K2544" i="6"/>
  <c r="L2544" i="6" s="1"/>
  <c r="K2542" i="6"/>
  <c r="L2542" i="6" s="1"/>
  <c r="I2542" i="6"/>
  <c r="I2541" i="6"/>
  <c r="K2541" i="6"/>
  <c r="L2541" i="6" s="1"/>
  <c r="I2540" i="6"/>
  <c r="K2540" i="6"/>
  <c r="L2540" i="6" s="1"/>
  <c r="I2538" i="6"/>
  <c r="K2538" i="6"/>
  <c r="L2538" i="6" s="1"/>
  <c r="K2537" i="6"/>
  <c r="L2537" i="6" s="1"/>
  <c r="I2537" i="6"/>
  <c r="K2536" i="6"/>
  <c r="L2536" i="6" s="1"/>
  <c r="I2536" i="6"/>
  <c r="K2533" i="6"/>
  <c r="L2533" i="6" s="1"/>
  <c r="I2533" i="6"/>
  <c r="I2531" i="6"/>
  <c r="K2531" i="6"/>
  <c r="L2531" i="6" s="1"/>
  <c r="K2530" i="6"/>
  <c r="L2530" i="6"/>
  <c r="I2530" i="6"/>
  <c r="I2529" i="6"/>
  <c r="K2529" i="6"/>
  <c r="L2529" i="6" s="1"/>
  <c r="I2528" i="6"/>
  <c r="K2528" i="6"/>
  <c r="L2528" i="6" s="1"/>
  <c r="K2527" i="6"/>
  <c r="L2527" i="6"/>
  <c r="I2527" i="6"/>
  <c r="K2526" i="6"/>
  <c r="L2526" i="6" s="1"/>
  <c r="I2526" i="6"/>
  <c r="I2521" i="6"/>
  <c r="K2521" i="6"/>
  <c r="L2521" i="6" s="1"/>
  <c r="I2518" i="6"/>
  <c r="K2518" i="6"/>
  <c r="L2518" i="6" s="1"/>
  <c r="K2515" i="6"/>
  <c r="L2515" i="6" s="1"/>
  <c r="I2515" i="6"/>
  <c r="I2514" i="6"/>
  <c r="K2514" i="6"/>
  <c r="L2514" i="6" s="1"/>
  <c r="I2512" i="6"/>
  <c r="K2512" i="6"/>
  <c r="L2512" i="6" s="1"/>
  <c r="I2511" i="6"/>
  <c r="K2511" i="6"/>
  <c r="L2511" i="6" s="1"/>
  <c r="I2510" i="6"/>
  <c r="K2510" i="6"/>
  <c r="L2510" i="6" s="1"/>
  <c r="K2509" i="6"/>
  <c r="L2509" i="6" s="1"/>
  <c r="I2509" i="6"/>
  <c r="I2507" i="6"/>
  <c r="K2507" i="6"/>
  <c r="L2507" i="6" s="1"/>
  <c r="K2506" i="6"/>
  <c r="L2506" i="6"/>
  <c r="I2506" i="6"/>
  <c r="I2505" i="6"/>
  <c r="K2505" i="6"/>
  <c r="L2505" i="6" s="1"/>
  <c r="I2503" i="6"/>
  <c r="K2503" i="6"/>
  <c r="L2503" i="6"/>
  <c r="I2502" i="6"/>
  <c r="K2502" i="6"/>
  <c r="L2502" i="6" s="1"/>
  <c r="K2501" i="6"/>
  <c r="L2501" i="6" s="1"/>
  <c r="I2501" i="6"/>
  <c r="K2499" i="6"/>
  <c r="L2499" i="6" s="1"/>
  <c r="I2499" i="6"/>
  <c r="I2497" i="6"/>
  <c r="K2497" i="6"/>
  <c r="L2497" i="6" s="1"/>
  <c r="I2495" i="6"/>
  <c r="K2495" i="6"/>
  <c r="L2495" i="6" s="1"/>
  <c r="I2490" i="6"/>
  <c r="K2490" i="6"/>
  <c r="L2490" i="6" s="1"/>
  <c r="I2488" i="6"/>
  <c r="K2488" i="6"/>
  <c r="L2488" i="6"/>
  <c r="K2486" i="6"/>
  <c r="L2486" i="6" s="1"/>
  <c r="I2486" i="6"/>
  <c r="K2485" i="6"/>
  <c r="L2485" i="6" s="1"/>
  <c r="I2485" i="6"/>
  <c r="K2484" i="6"/>
  <c r="L2484" i="6" s="1"/>
  <c r="I2484" i="6"/>
  <c r="I2479" i="6"/>
  <c r="K2479" i="6"/>
  <c r="L2479" i="6" s="1"/>
  <c r="K2473" i="6"/>
  <c r="L2473" i="6" s="1"/>
  <c r="I2473" i="6"/>
  <c r="I2472" i="6"/>
  <c r="K2472" i="6"/>
  <c r="L2472" i="6" s="1"/>
  <c r="I2469" i="6"/>
  <c r="K2469" i="6"/>
  <c r="L2469" i="6" s="1"/>
  <c r="I2465" i="6"/>
  <c r="K2465" i="6"/>
  <c r="L2465" i="6" s="1"/>
  <c r="K2464" i="6"/>
  <c r="L2464" i="6" s="1"/>
  <c r="I2464" i="6"/>
  <c r="K2463" i="6"/>
  <c r="L2463" i="6" s="1"/>
  <c r="I2463" i="6"/>
  <c r="I2461" i="6"/>
  <c r="K2461" i="6"/>
  <c r="L2461" i="6"/>
  <c r="I2460" i="6"/>
  <c r="K2460" i="6"/>
  <c r="L2460" i="6" s="1"/>
  <c r="I2459" i="6"/>
  <c r="K2459" i="6"/>
  <c r="L2459" i="6"/>
  <c r="K2455" i="6"/>
  <c r="L2455" i="6" s="1"/>
  <c r="I2455" i="6"/>
  <c r="I2452" i="6"/>
  <c r="K2452" i="6"/>
  <c r="L2452" i="6" s="1"/>
  <c r="K2451" i="6"/>
  <c r="L2451" i="6" s="1"/>
  <c r="I2451" i="6"/>
  <c r="K2448" i="6"/>
  <c r="L2448" i="6" s="1"/>
  <c r="I2448" i="6"/>
  <c r="K2447" i="6"/>
  <c r="L2447" i="6" s="1"/>
  <c r="I2447" i="6"/>
  <c r="K2446" i="6"/>
  <c r="L2446" i="6" s="1"/>
  <c r="I2446" i="6"/>
  <c r="K2444" i="6"/>
  <c r="I2444" i="6"/>
  <c r="L2444" i="6"/>
  <c r="I2442" i="6"/>
  <c r="K2442" i="6"/>
  <c r="L2442" i="6" s="1"/>
  <c r="K2441" i="6"/>
  <c r="L2441" i="6"/>
  <c r="I2441" i="6"/>
  <c r="I2440" i="6"/>
  <c r="K2440" i="6"/>
  <c r="L2440" i="6" s="1"/>
  <c r="K2439" i="6"/>
  <c r="L2439" i="6" s="1"/>
  <c r="I2439" i="6"/>
  <c r="K2438" i="6"/>
  <c r="I2438" i="6"/>
  <c r="L2438" i="6"/>
  <c r="K2437" i="6"/>
  <c r="L2437" i="6" s="1"/>
  <c r="I2437" i="6"/>
  <c r="I2436" i="6"/>
  <c r="K2436" i="6"/>
  <c r="L2436" i="6" s="1"/>
  <c r="I2435" i="6"/>
  <c r="K2435" i="6"/>
  <c r="L2435" i="6" s="1"/>
  <c r="I2432" i="6"/>
  <c r="K2432" i="6"/>
  <c r="L2432" i="6" s="1"/>
  <c r="K2431" i="6"/>
  <c r="L2431" i="6"/>
  <c r="I2431" i="6"/>
  <c r="K2429" i="6"/>
  <c r="L2429" i="6" s="1"/>
  <c r="I2429" i="6"/>
  <c r="I2427" i="6"/>
  <c r="K2427" i="6"/>
  <c r="L2427" i="6" s="1"/>
  <c r="I2426" i="6"/>
  <c r="K2426" i="6"/>
  <c r="L2426" i="6" s="1"/>
  <c r="K2425" i="6"/>
  <c r="L2425" i="6" s="1"/>
  <c r="I2425" i="6"/>
  <c r="I2424" i="6"/>
  <c r="K2424" i="6"/>
  <c r="L2424" i="6" s="1"/>
  <c r="K2422" i="6"/>
  <c r="L2422" i="6" s="1"/>
  <c r="I2422" i="6"/>
  <c r="I2421" i="6"/>
  <c r="K2421" i="6"/>
  <c r="L2421" i="6" s="1"/>
  <c r="K2420" i="6"/>
  <c r="L2420" i="6" s="1"/>
  <c r="I2420" i="6"/>
  <c r="I2419" i="6"/>
  <c r="K2419" i="6"/>
  <c r="L2419" i="6" s="1"/>
  <c r="I2415" i="6"/>
  <c r="K2415" i="6"/>
  <c r="L2415" i="6" s="1"/>
  <c r="I2413" i="6"/>
  <c r="K2413" i="6"/>
  <c r="L2413" i="6" s="1"/>
  <c r="K2412" i="6"/>
  <c r="L2412" i="6" s="1"/>
  <c r="I2412" i="6"/>
  <c r="I2409" i="6"/>
  <c r="K2409" i="6"/>
  <c r="L2409" i="6"/>
  <c r="K2406" i="6"/>
  <c r="L2406" i="6" s="1"/>
  <c r="I2406" i="6"/>
  <c r="I2405" i="6"/>
  <c r="K2405" i="6"/>
  <c r="L2405" i="6" s="1"/>
  <c r="I2404" i="6"/>
  <c r="K2404" i="6"/>
  <c r="L2404" i="6" s="1"/>
  <c r="I2403" i="6"/>
  <c r="K2403" i="6"/>
  <c r="L2403" i="6" s="1"/>
  <c r="I2400" i="6"/>
  <c r="K2400" i="6"/>
  <c r="L2400" i="6" s="1"/>
  <c r="K2399" i="6"/>
  <c r="L2399" i="6" s="1"/>
  <c r="I2399" i="6"/>
  <c r="I2397" i="6"/>
  <c r="K2397" i="6"/>
  <c r="L2397" i="6" s="1"/>
  <c r="I2396" i="6"/>
  <c r="K2396" i="6"/>
  <c r="L2396" i="6"/>
  <c r="K2393" i="6"/>
  <c r="L2393" i="6" s="1"/>
  <c r="I2393" i="6"/>
  <c r="K2391" i="6"/>
  <c r="L2391" i="6" s="1"/>
  <c r="I2391" i="6"/>
  <c r="K2390" i="6"/>
  <c r="L2390" i="6" s="1"/>
  <c r="I2390" i="6"/>
  <c r="K2388" i="6"/>
  <c r="L2388" i="6" s="1"/>
  <c r="I2388" i="6"/>
  <c r="I2387" i="6"/>
  <c r="K2387" i="6"/>
  <c r="L2387" i="6" s="1"/>
  <c r="K2385" i="6"/>
  <c r="L2385" i="6" s="1"/>
  <c r="I2385" i="6"/>
  <c r="K2384" i="6"/>
  <c r="L2384" i="6" s="1"/>
  <c r="I2384" i="6"/>
  <c r="K2379" i="6"/>
  <c r="L2379" i="6" s="1"/>
  <c r="I2379" i="6"/>
  <c r="K2374" i="6"/>
  <c r="L2374" i="6" s="1"/>
  <c r="I2374" i="6"/>
  <c r="I2373" i="6"/>
  <c r="K2373" i="6"/>
  <c r="L2373" i="6" s="1"/>
  <c r="I2372" i="6"/>
  <c r="K2372" i="6"/>
  <c r="L2372" i="6" s="1"/>
  <c r="I2368" i="6"/>
  <c r="K2368" i="6"/>
  <c r="L2368" i="6" s="1"/>
  <c r="I2365" i="6"/>
  <c r="K2365" i="6"/>
  <c r="L2365" i="6" s="1"/>
  <c r="I2364" i="6"/>
  <c r="K2364" i="6"/>
  <c r="L2364" i="6"/>
  <c r="K2361" i="6"/>
  <c r="L2361" i="6" s="1"/>
  <c r="I2361" i="6"/>
  <c r="I2360" i="6"/>
  <c r="K2360" i="6"/>
  <c r="L2360" i="6" s="1"/>
  <c r="K2357" i="6"/>
  <c r="L2357" i="6" s="1"/>
  <c r="I2357" i="6"/>
  <c r="K2356" i="6"/>
  <c r="L2356" i="6" s="1"/>
  <c r="I2356" i="6"/>
  <c r="K2355" i="6"/>
  <c r="L2355" i="6" s="1"/>
  <c r="I2355" i="6"/>
  <c r="I2353" i="6"/>
  <c r="K2353" i="6"/>
  <c r="L2353" i="6" s="1"/>
  <c r="K2351" i="6"/>
  <c r="L2351" i="6" s="1"/>
  <c r="I2351" i="6"/>
  <c r="K2350" i="6"/>
  <c r="L2350" i="6" s="1"/>
  <c r="I2350" i="6"/>
  <c r="K2349" i="6"/>
  <c r="L2349" i="6" s="1"/>
  <c r="I2349" i="6"/>
  <c r="I2346" i="6"/>
  <c r="K2346" i="6"/>
  <c r="L2346" i="6" s="1"/>
  <c r="I2343" i="6"/>
  <c r="K2343" i="6"/>
  <c r="L2343" i="6" s="1"/>
  <c r="I2337" i="6"/>
  <c r="K2337" i="6"/>
  <c r="L2337" i="6" s="1"/>
  <c r="I2335" i="6"/>
  <c r="K2335" i="6"/>
  <c r="L2335" i="6" s="1"/>
  <c r="I2333" i="6"/>
  <c r="K2333" i="6"/>
  <c r="L2333" i="6" s="1"/>
  <c r="I2332" i="6"/>
  <c r="K2332" i="6"/>
  <c r="L2332" i="6"/>
  <c r="I2330" i="6"/>
  <c r="K2330" i="6"/>
  <c r="L2330" i="6" s="1"/>
  <c r="K2329" i="6"/>
  <c r="L2329" i="6" s="1"/>
  <c r="I2329" i="6"/>
  <c r="K2328" i="6"/>
  <c r="L2328" i="6" s="1"/>
  <c r="I2328" i="6"/>
  <c r="K2320" i="6"/>
  <c r="L2320" i="6" s="1"/>
  <c r="I2320" i="6"/>
  <c r="K2317" i="6"/>
  <c r="L2317" i="6" s="1"/>
  <c r="I2317" i="6"/>
  <c r="K2316" i="6"/>
  <c r="L2316" i="6"/>
  <c r="I2316" i="6"/>
  <c r="K2315" i="6"/>
  <c r="L2315" i="6" s="1"/>
  <c r="I2315" i="6"/>
  <c r="K2312" i="6"/>
  <c r="L2312" i="6" s="1"/>
  <c r="I2312" i="6"/>
  <c r="K2311" i="6"/>
  <c r="L2311" i="6" s="1"/>
  <c r="I2311" i="6"/>
  <c r="K2309" i="6"/>
  <c r="L2309" i="6"/>
  <c r="I2309" i="6"/>
  <c r="K2308" i="6"/>
  <c r="L2308" i="6" s="1"/>
  <c r="I2308" i="6"/>
  <c r="I2304" i="6"/>
  <c r="K2304" i="6"/>
  <c r="L2304" i="6" s="1"/>
  <c r="K2303" i="6"/>
  <c r="L2303" i="6" s="1"/>
  <c r="I2303" i="6"/>
  <c r="K2301" i="6"/>
  <c r="L2301" i="6" s="1"/>
  <c r="I2301" i="6"/>
  <c r="I2300" i="6"/>
  <c r="K2300" i="6"/>
  <c r="L2300" i="6" s="1"/>
  <c r="K2299" i="6"/>
  <c r="L2299" i="6" s="1"/>
  <c r="I2299" i="6"/>
  <c r="K2298" i="6"/>
  <c r="L2298" i="6" s="1"/>
  <c r="I2298" i="6"/>
  <c r="I2296" i="6"/>
  <c r="K2296" i="6"/>
  <c r="L2296" i="6" s="1"/>
  <c r="I2293" i="6"/>
  <c r="K2293" i="6"/>
  <c r="L2293" i="6" s="1"/>
  <c r="I2292" i="6"/>
  <c r="K2292" i="6"/>
  <c r="L2292" i="6"/>
  <c r="I2291" i="6"/>
  <c r="K2291" i="6"/>
  <c r="L2291" i="6" s="1"/>
  <c r="I2290" i="6"/>
  <c r="K2290" i="6"/>
  <c r="L2290" i="6" s="1"/>
  <c r="I2289" i="6"/>
  <c r="K2289" i="6"/>
  <c r="L2289" i="6" s="1"/>
  <c r="I2287" i="6"/>
  <c r="K2287" i="6"/>
  <c r="L2287" i="6" s="1"/>
  <c r="I2286" i="6"/>
  <c r="K2286" i="6"/>
  <c r="L2286" i="6"/>
  <c r="I2285" i="6"/>
  <c r="K2285" i="6"/>
  <c r="L2285" i="6" s="1"/>
  <c r="I2283" i="6"/>
  <c r="K2283" i="6"/>
  <c r="L2283" i="6" s="1"/>
  <c r="I2282" i="6"/>
  <c r="K2282" i="6"/>
  <c r="L2282" i="6" s="1"/>
  <c r="I1227" i="6"/>
  <c r="K1227" i="6"/>
  <c r="L1227" i="6"/>
  <c r="I1834" i="6"/>
  <c r="K1834" i="6"/>
  <c r="L1834" i="6" s="1"/>
  <c r="I1641" i="6"/>
  <c r="K1641" i="6"/>
  <c r="L1641" i="6"/>
  <c r="I1224" i="6"/>
  <c r="K1224" i="6"/>
  <c r="L1224" i="6" s="1"/>
  <c r="K1836" i="6"/>
  <c r="L1836" i="6" s="1"/>
  <c r="I1836" i="6"/>
  <c r="K1222" i="6"/>
  <c r="L1222" i="6" s="1"/>
  <c r="I1222" i="6"/>
  <c r="K1221" i="6"/>
  <c r="I1221" i="6"/>
  <c r="L1221" i="6"/>
  <c r="I1837" i="6"/>
  <c r="K1837" i="6"/>
  <c r="L1837" i="6" s="1"/>
  <c r="I1219" i="6"/>
  <c r="K1219" i="6"/>
  <c r="L1219" i="6" s="1"/>
  <c r="I1218" i="6"/>
  <c r="K1218" i="6"/>
  <c r="L1218" i="6"/>
  <c r="K1217" i="6"/>
  <c r="L1217" i="6" s="1"/>
  <c r="I1217" i="6"/>
  <c r="I1216" i="6"/>
  <c r="K1216" i="6"/>
  <c r="L1216" i="6" s="1"/>
  <c r="I1640" i="6"/>
  <c r="K1640" i="6"/>
  <c r="L1640" i="6" s="1"/>
  <c r="K1214" i="6"/>
  <c r="I1214" i="6"/>
  <c r="L1214" i="6"/>
  <c r="K1213" i="6"/>
  <c r="L1213" i="6" s="1"/>
  <c r="I1213" i="6"/>
  <c r="I1212" i="6"/>
  <c r="K1212" i="6"/>
  <c r="L1212" i="6" s="1"/>
  <c r="K1841" i="6"/>
  <c r="L1841" i="6" s="1"/>
  <c r="I1841" i="6"/>
  <c r="K1551" i="6"/>
  <c r="L1551" i="6" s="1"/>
  <c r="I1551" i="6"/>
  <c r="K1209" i="6"/>
  <c r="L1209" i="6" s="1"/>
  <c r="I1209" i="6"/>
  <c r="K1550" i="6"/>
  <c r="L1550" i="6" s="1"/>
  <c r="I1550" i="6"/>
  <c r="I1207" i="6"/>
  <c r="K1207" i="6"/>
  <c r="L1207" i="6"/>
  <c r="I1206" i="6"/>
  <c r="K1206" i="6"/>
  <c r="L1206" i="6"/>
  <c r="K1205" i="6"/>
  <c r="L1205" i="6" s="1"/>
  <c r="I1205" i="6"/>
  <c r="K1844" i="6"/>
  <c r="L1844" i="6" s="1"/>
  <c r="I1844" i="6"/>
  <c r="I1845" i="6"/>
  <c r="K1845" i="6"/>
  <c r="L1845" i="6" s="1"/>
  <c r="K1202" i="6"/>
  <c r="L1202" i="6" s="1"/>
  <c r="I1202" i="6"/>
  <c r="I1201" i="6"/>
  <c r="K1201" i="6"/>
  <c r="L1201" i="6"/>
  <c r="K1848" i="6"/>
  <c r="L1848" i="6" s="1"/>
  <c r="I1848" i="6"/>
  <c r="K1199" i="6"/>
  <c r="L1199" i="6" s="1"/>
  <c r="I1199" i="6"/>
  <c r="I1198" i="6"/>
  <c r="K1198" i="6"/>
  <c r="L1198" i="6"/>
  <c r="K1549" i="6"/>
  <c r="L1549" i="6" s="1"/>
  <c r="I1549" i="6"/>
  <c r="K1196" i="6"/>
  <c r="L1196" i="6" s="1"/>
  <c r="I1196" i="6"/>
  <c r="K1548" i="6"/>
  <c r="L1548" i="6" s="1"/>
  <c r="I1548" i="6"/>
  <c r="K1547" i="6"/>
  <c r="L1547" i="6" s="1"/>
  <c r="I1547" i="6"/>
  <c r="I1851" i="6"/>
  <c r="K1851" i="6"/>
  <c r="L1851" i="6"/>
  <c r="I1192" i="6"/>
  <c r="K1192" i="6"/>
  <c r="L1192" i="6" s="1"/>
  <c r="K1852" i="6"/>
  <c r="L1852" i="6" s="1"/>
  <c r="I1852" i="6"/>
  <c r="I1639" i="6"/>
  <c r="K1639" i="6"/>
  <c r="L1639" i="6" s="1"/>
  <c r="I1189" i="6"/>
  <c r="K1189" i="6"/>
  <c r="L1189" i="6" s="1"/>
  <c r="I1188" i="6"/>
  <c r="K1188" i="6"/>
  <c r="L1188" i="6"/>
  <c r="I1660" i="6"/>
  <c r="K1660" i="6"/>
  <c r="L1660" i="6" s="1"/>
  <c r="I1544" i="6"/>
  <c r="K1544" i="6"/>
  <c r="L1544" i="6" s="1"/>
  <c r="I1185" i="6"/>
  <c r="K1185" i="6"/>
  <c r="L1185" i="6"/>
  <c r="I1184" i="6"/>
  <c r="K1184" i="6"/>
  <c r="L1184" i="6"/>
  <c r="I1183" i="6"/>
  <c r="K1183" i="6"/>
  <c r="L1183" i="6" s="1"/>
  <c r="I1182" i="6"/>
  <c r="K1182" i="6"/>
  <c r="L1182" i="6"/>
  <c r="I1543" i="6"/>
  <c r="K1543" i="6"/>
  <c r="L1543" i="6" s="1"/>
  <c r="I1180" i="6"/>
  <c r="K1180" i="6"/>
  <c r="L1180" i="6"/>
  <c r="I1179" i="6"/>
  <c r="K1179" i="6"/>
  <c r="L1179" i="6"/>
  <c r="K1705" i="6"/>
  <c r="L1705" i="6" s="1"/>
  <c r="I1705" i="6"/>
  <c r="K1177" i="6"/>
  <c r="L1177" i="6"/>
  <c r="I1177" i="6"/>
  <c r="I1541" i="6"/>
  <c r="K1541" i="6"/>
  <c r="L1541" i="6" s="1"/>
  <c r="K1853" i="6"/>
  <c r="L1853" i="6" s="1"/>
  <c r="I1853" i="6"/>
  <c r="K1174" i="6"/>
  <c r="L1174" i="6" s="1"/>
  <c r="I1174" i="6"/>
  <c r="I1706" i="6"/>
  <c r="K1706" i="6"/>
  <c r="L1706" i="6" s="1"/>
  <c r="I1172" i="6"/>
  <c r="K1172" i="6"/>
  <c r="L1172" i="6" s="1"/>
  <c r="K1539" i="6"/>
  <c r="L1539" i="6" s="1"/>
  <c r="I1539" i="6"/>
  <c r="K1170" i="6"/>
  <c r="L1170" i="6" s="1"/>
  <c r="I1170" i="6"/>
  <c r="I1855" i="6"/>
  <c r="K1855" i="6"/>
  <c r="L1855" i="6"/>
  <c r="I1168" i="6"/>
  <c r="K1168" i="6"/>
  <c r="L1168" i="6" s="1"/>
  <c r="I1538" i="6"/>
  <c r="K1538" i="6"/>
  <c r="L1538" i="6" s="1"/>
  <c r="I1856" i="6"/>
  <c r="K1856" i="6"/>
  <c r="L1856" i="6" s="1"/>
  <c r="I1537" i="6"/>
  <c r="K1537" i="6"/>
  <c r="L1537" i="6" s="1"/>
  <c r="I1164" i="6"/>
  <c r="K1164" i="6"/>
  <c r="L1164" i="6"/>
  <c r="K1857" i="6"/>
  <c r="L1857" i="6" s="1"/>
  <c r="I1857" i="6"/>
  <c r="K1675" i="6"/>
  <c r="L1675" i="6"/>
  <c r="I1675" i="6"/>
  <c r="I1859" i="6"/>
  <c r="K1859" i="6"/>
  <c r="L1859" i="6"/>
  <c r="I1160" i="6"/>
  <c r="K1160" i="6"/>
  <c r="L1160" i="6"/>
  <c r="K1636" i="6"/>
  <c r="L1636" i="6" s="1"/>
  <c r="I1636" i="6"/>
  <c r="I1534" i="6"/>
  <c r="K1534" i="6"/>
  <c r="L1534" i="6" s="1"/>
  <c r="I1157" i="6"/>
  <c r="K1157" i="6"/>
  <c r="L1157" i="6"/>
  <c r="K1860" i="6"/>
  <c r="L1860" i="6" s="1"/>
  <c r="I1860" i="6"/>
  <c r="K1868" i="6"/>
  <c r="L1868" i="6" s="1"/>
  <c r="I1868" i="6"/>
  <c r="I1154" i="6"/>
  <c r="K1154" i="6"/>
  <c r="L1154" i="6" s="1"/>
  <c r="K1533" i="6"/>
  <c r="L1533" i="6" s="1"/>
  <c r="I1533" i="6"/>
  <c r="K1152" i="6"/>
  <c r="L1152" i="6" s="1"/>
  <c r="I1152" i="6"/>
  <c r="K1532" i="6"/>
  <c r="L1532" i="6"/>
  <c r="I1532" i="6"/>
  <c r="I1870" i="6"/>
  <c r="K1870" i="6"/>
  <c r="L1870" i="6" s="1"/>
  <c r="K1871" i="6"/>
  <c r="L1871" i="6" s="1"/>
  <c r="I1871" i="6"/>
  <c r="K1872" i="6"/>
  <c r="L1872" i="6" s="1"/>
  <c r="I1872" i="6"/>
  <c r="K1874" i="6"/>
  <c r="I1874" i="6"/>
  <c r="L1874" i="6"/>
  <c r="K1146" i="6"/>
  <c r="L1146" i="6" s="1"/>
  <c r="I1146" i="6"/>
  <c r="K1659" i="6"/>
  <c r="L1659" i="6" s="1"/>
  <c r="I1659" i="6"/>
  <c r="I1144" i="6"/>
  <c r="K1144" i="6"/>
  <c r="L1144" i="6"/>
  <c r="K1143" i="6"/>
  <c r="L1143" i="6" s="1"/>
  <c r="I1143" i="6"/>
  <c r="K1142" i="6"/>
  <c r="I1142" i="6"/>
  <c r="L1142" i="6"/>
  <c r="I1141" i="6"/>
  <c r="K1141" i="6"/>
  <c r="L1141" i="6" s="1"/>
  <c r="I1140" i="6"/>
  <c r="K1140" i="6"/>
  <c r="L1140" i="6"/>
  <c r="I1139" i="6"/>
  <c r="K1139" i="6"/>
  <c r="L1139" i="6"/>
  <c r="I1138" i="6"/>
  <c r="K1138" i="6"/>
  <c r="L1138" i="6"/>
  <c r="I1137" i="6"/>
  <c r="K1137" i="6"/>
  <c r="L1137" i="6"/>
  <c r="I1136" i="6"/>
  <c r="K1136" i="6"/>
  <c r="L1136" i="6"/>
  <c r="K1135" i="6"/>
  <c r="L1135" i="6"/>
  <c r="I1135" i="6"/>
  <c r="K1134" i="6"/>
  <c r="I1134" i="6"/>
  <c r="L1134" i="6"/>
  <c r="I1133" i="6"/>
  <c r="K1133" i="6"/>
  <c r="L1133" i="6"/>
  <c r="I1877" i="6"/>
  <c r="K1877" i="6"/>
  <c r="L1877" i="6" s="1"/>
  <c r="K1131" i="6"/>
  <c r="L1131" i="6" s="1"/>
  <c r="I1131" i="6"/>
  <c r="I1878" i="6"/>
  <c r="K1878" i="6"/>
  <c r="L1878" i="6" s="1"/>
  <c r="I1530" i="6"/>
  <c r="K1530" i="6"/>
  <c r="L1530" i="6" s="1"/>
  <c r="I1669" i="6"/>
  <c r="K1669" i="6"/>
  <c r="L1669" i="6" s="1"/>
  <c r="I1633" i="6"/>
  <c r="K1633" i="6"/>
  <c r="L1633" i="6" s="1"/>
  <c r="K1126" i="6"/>
  <c r="I1126" i="6"/>
  <c r="L1126" i="6"/>
  <c r="I1125" i="6"/>
  <c r="K1125" i="6"/>
  <c r="L1125" i="6" s="1"/>
  <c r="K1527" i="6"/>
  <c r="L1527" i="6" s="1"/>
  <c r="I1527" i="6"/>
  <c r="K1123" i="6"/>
  <c r="L1123" i="6" s="1"/>
  <c r="I1123" i="6"/>
  <c r="K1881" i="6"/>
  <c r="L1881" i="6" s="1"/>
  <c r="I1881" i="6"/>
  <c r="K1882" i="6"/>
  <c r="L1882" i="6" s="1"/>
  <c r="I1882" i="6"/>
  <c r="I1632" i="6"/>
  <c r="K1632" i="6"/>
  <c r="L1632" i="6" s="1"/>
  <c r="I1119" i="6"/>
  <c r="K1119" i="6"/>
  <c r="L1119" i="6"/>
  <c r="K1708" i="6"/>
  <c r="L1708" i="6" s="1"/>
  <c r="I1708" i="6"/>
  <c r="K1524" i="6"/>
  <c r="L1524" i="6" s="1"/>
  <c r="I1524" i="6"/>
  <c r="I1116" i="6"/>
  <c r="K1116" i="6"/>
  <c r="L1116" i="6"/>
  <c r="K1631" i="6"/>
  <c r="L1631" i="6" s="1"/>
  <c r="I1631" i="6"/>
  <c r="I1114" i="6"/>
  <c r="K1114" i="6"/>
  <c r="L1114" i="6" s="1"/>
  <c r="K1885" i="6"/>
  <c r="I1885" i="6"/>
  <c r="L1885" i="6"/>
  <c r="K1112" i="6"/>
  <c r="L1112" i="6" s="1"/>
  <c r="I1112" i="6"/>
  <c r="K1888" i="6"/>
  <c r="L1888" i="6" s="1"/>
  <c r="I1888" i="6"/>
  <c r="K1110" i="6"/>
  <c r="I1110" i="6"/>
  <c r="L1110" i="6"/>
  <c r="K1109" i="6"/>
  <c r="I1109" i="6"/>
  <c r="L1109" i="6"/>
  <c r="I1108" i="6"/>
  <c r="K1108" i="6"/>
  <c r="L1108" i="6" s="1"/>
  <c r="K1522" i="6"/>
  <c r="L1522" i="6" s="1"/>
  <c r="I1522" i="6"/>
  <c r="K1521" i="6"/>
  <c r="L1521" i="6" s="1"/>
  <c r="I1521" i="6"/>
  <c r="K1105" i="6"/>
  <c r="L1105" i="6"/>
  <c r="I1105" i="6"/>
  <c r="I1104" i="6"/>
  <c r="K1104" i="6"/>
  <c r="L1104" i="6" s="1"/>
  <c r="I1709" i="6"/>
  <c r="K1709" i="6"/>
  <c r="L1709" i="6" s="1"/>
  <c r="K1102" i="6"/>
  <c r="I1102" i="6"/>
  <c r="L1102" i="6"/>
  <c r="K1101" i="6"/>
  <c r="I1101" i="6"/>
  <c r="L1101" i="6"/>
  <c r="K1100" i="6"/>
  <c r="L1100" i="6" s="1"/>
  <c r="I1100" i="6"/>
  <c r="I1710" i="6"/>
  <c r="K1710" i="6"/>
  <c r="L1710" i="6" s="1"/>
  <c r="K1098" i="6"/>
  <c r="I1098" i="6"/>
  <c r="L1098" i="6"/>
  <c r="I1891" i="6"/>
  <c r="K1891" i="6"/>
  <c r="L1891" i="6" s="1"/>
  <c r="K1096" i="6"/>
  <c r="I1096" i="6"/>
  <c r="L1096" i="6"/>
  <c r="I1095" i="6"/>
  <c r="K1095" i="6"/>
  <c r="L1095" i="6"/>
  <c r="K1892" i="6"/>
  <c r="L1892" i="6" s="1"/>
  <c r="I1892" i="6"/>
  <c r="I1093" i="6"/>
  <c r="K1093" i="6"/>
  <c r="L1093" i="6"/>
  <c r="K1092" i="6"/>
  <c r="L1092" i="6"/>
  <c r="I1092" i="6"/>
  <c r="I1630" i="6"/>
  <c r="K1630" i="6"/>
  <c r="L1630" i="6" s="1"/>
  <c r="I1893" i="6"/>
  <c r="K1893" i="6"/>
  <c r="L1893" i="6" s="1"/>
  <c r="I1089" i="6"/>
  <c r="K1089" i="6"/>
  <c r="L1089" i="6" s="1"/>
  <c r="K1894" i="6"/>
  <c r="L1894" i="6" s="1"/>
  <c r="I1894" i="6"/>
  <c r="K1087" i="6"/>
  <c r="L1087" i="6" s="1"/>
  <c r="I1087" i="6"/>
  <c r="K1086" i="6"/>
  <c r="L1086" i="6" s="1"/>
  <c r="I1086" i="6"/>
  <c r="K1896" i="6"/>
  <c r="L1896" i="6" s="1"/>
  <c r="I1896" i="6"/>
  <c r="K1084" i="6"/>
  <c r="L1084" i="6" s="1"/>
  <c r="I1084" i="6"/>
  <c r="I1898" i="6"/>
  <c r="K1898" i="6"/>
  <c r="L1898" i="6" s="1"/>
  <c r="K1082" i="6"/>
  <c r="L1082" i="6" s="1"/>
  <c r="I1082" i="6"/>
  <c r="K1657" i="6"/>
  <c r="L1657" i="6" s="1"/>
  <c r="I1657" i="6"/>
  <c r="K1080" i="6"/>
  <c r="L1080" i="6" s="1"/>
  <c r="I1080" i="6"/>
  <c r="I1516" i="6"/>
  <c r="K1516" i="6"/>
  <c r="L1516" i="6"/>
  <c r="K1078" i="6"/>
  <c r="L1078" i="6" s="1"/>
  <c r="I1078" i="6"/>
  <c r="I1515" i="6"/>
  <c r="K1515" i="6"/>
  <c r="L1515" i="6" s="1"/>
  <c r="I1076" i="6"/>
  <c r="K1076" i="6"/>
  <c r="L1076" i="6" s="1"/>
  <c r="I1900" i="6"/>
  <c r="K1900" i="6"/>
  <c r="L1900" i="6" s="1"/>
  <c r="K1901" i="6"/>
  <c r="L1901" i="6" s="1"/>
  <c r="I1901" i="6"/>
  <c r="I1073" i="6"/>
  <c r="K1073" i="6"/>
  <c r="L1073" i="6"/>
  <c r="K1072" i="6"/>
  <c r="L1072" i="6" s="1"/>
  <c r="I1072" i="6"/>
  <c r="K1071" i="6"/>
  <c r="L1071" i="6"/>
  <c r="I1071" i="6"/>
  <c r="K1070" i="6"/>
  <c r="L1070" i="6" s="1"/>
  <c r="I1070" i="6"/>
  <c r="I1069" i="6"/>
  <c r="K1069" i="6"/>
  <c r="L1069" i="6" s="1"/>
  <c r="K1902" i="6"/>
  <c r="L1902" i="6" s="1"/>
  <c r="I1902" i="6"/>
  <c r="K1067" i="6"/>
  <c r="L1067" i="6" s="1"/>
  <c r="I1067" i="6"/>
  <c r="K1066" i="6"/>
  <c r="L1066" i="6"/>
  <c r="I1066" i="6"/>
  <c r="K1065" i="6"/>
  <c r="L1065" i="6" s="1"/>
  <c r="I1065" i="6"/>
  <c r="I1064" i="6"/>
  <c r="K1064" i="6"/>
  <c r="L1064" i="6" s="1"/>
  <c r="K1063" i="6"/>
  <c r="L1063" i="6" s="1"/>
  <c r="I1063" i="6"/>
  <c r="I1062" i="6"/>
  <c r="K1062" i="6"/>
  <c r="L1062" i="6" s="1"/>
  <c r="I1905" i="6"/>
  <c r="K1905" i="6"/>
  <c r="L1905" i="6"/>
  <c r="K1060" i="6"/>
  <c r="L1060" i="6" s="1"/>
  <c r="I1060" i="6"/>
  <c r="K1712" i="6"/>
  <c r="L1712" i="6" s="1"/>
  <c r="I1712" i="6"/>
  <c r="K1058" i="6"/>
  <c r="L1058" i="6"/>
  <c r="I1058" i="6"/>
  <c r="I1057" i="6"/>
  <c r="K1057" i="6"/>
  <c r="L1057" i="6"/>
  <c r="K1717" i="6"/>
  <c r="L1717" i="6" s="1"/>
  <c r="I1717" i="6"/>
  <c r="I1628" i="6"/>
  <c r="K1628" i="6"/>
  <c r="L1628" i="6" s="1"/>
  <c r="I1054" i="6"/>
  <c r="K1054" i="6"/>
  <c r="L1054" i="6"/>
  <c r="K1053" i="6"/>
  <c r="L1053" i="6"/>
  <c r="I1053" i="6"/>
  <c r="K1052" i="6"/>
  <c r="L1052" i="6"/>
  <c r="I1052" i="6"/>
  <c r="K1719" i="6"/>
  <c r="L1719" i="6" s="1"/>
  <c r="I1719" i="6"/>
  <c r="I1050" i="6"/>
  <c r="K1050" i="6"/>
  <c r="L1050" i="6"/>
  <c r="K1510" i="6"/>
  <c r="L1510" i="6" s="1"/>
  <c r="I1510" i="6"/>
  <c r="I1048" i="6"/>
  <c r="K1048" i="6"/>
  <c r="L1048" i="6"/>
  <c r="I1047" i="6"/>
  <c r="K1047" i="6"/>
  <c r="L1047" i="6" s="1"/>
  <c r="K1907" i="6"/>
  <c r="L1907" i="6" s="1"/>
  <c r="I1907" i="6"/>
  <c r="K1045" i="6"/>
  <c r="L1045" i="6" s="1"/>
  <c r="I1045" i="6"/>
  <c r="K1044" i="6"/>
  <c r="L1044" i="6" s="1"/>
  <c r="I1044" i="6"/>
  <c r="I1043" i="6"/>
  <c r="K1043" i="6"/>
  <c r="L1043" i="6"/>
  <c r="K1042" i="6"/>
  <c r="L1042" i="6" s="1"/>
  <c r="I1042" i="6"/>
  <c r="K1041" i="6"/>
  <c r="L1041" i="6" s="1"/>
  <c r="I1041" i="6"/>
  <c r="I1509" i="6"/>
  <c r="K1509" i="6"/>
  <c r="L1509" i="6" s="1"/>
  <c r="K1908" i="6"/>
  <c r="L1908" i="6" s="1"/>
  <c r="I1908" i="6"/>
  <c r="K1038" i="6"/>
  <c r="I1038" i="6"/>
  <c r="L1038" i="6"/>
  <c r="I1037" i="6"/>
  <c r="K1037" i="6"/>
  <c r="L1037" i="6" s="1"/>
  <c r="K1508" i="6"/>
  <c r="L1508" i="6" s="1"/>
  <c r="I1508" i="6"/>
  <c r="K1035" i="6"/>
  <c r="I1035" i="6"/>
  <c r="L1035" i="6"/>
  <c r="I1034" i="6"/>
  <c r="K1034" i="6"/>
  <c r="L1034" i="6"/>
  <c r="K1507" i="6"/>
  <c r="L1507" i="6" s="1"/>
  <c r="I1507" i="6"/>
  <c r="I1506" i="6"/>
  <c r="K1506" i="6"/>
  <c r="L1506" i="6"/>
  <c r="I1031" i="6"/>
  <c r="K1031" i="6"/>
  <c r="L1031" i="6"/>
  <c r="I1030" i="6"/>
  <c r="K1030" i="6"/>
  <c r="L1030" i="6"/>
  <c r="K1029" i="6"/>
  <c r="L1029" i="6"/>
  <c r="I1029" i="6"/>
  <c r="I1028" i="6"/>
  <c r="K1028" i="6"/>
  <c r="L1028" i="6"/>
  <c r="K1027" i="6"/>
  <c r="L1027" i="6"/>
  <c r="I1027" i="6"/>
  <c r="I1627" i="6"/>
  <c r="K1627" i="6"/>
  <c r="L1627" i="6" s="1"/>
  <c r="I1025" i="6"/>
  <c r="K1025" i="6"/>
  <c r="L1025" i="6" s="1"/>
  <c r="I1504" i="6"/>
  <c r="K1504" i="6"/>
  <c r="L1504" i="6" s="1"/>
  <c r="K1023" i="6"/>
  <c r="I1023" i="6"/>
  <c r="L1023" i="6"/>
  <c r="K1022" i="6"/>
  <c r="L1022" i="6" s="1"/>
  <c r="I1022" i="6"/>
  <c r="I1021" i="6"/>
  <c r="K1021" i="6"/>
  <c r="L1021" i="6" s="1"/>
  <c r="I1020" i="6"/>
  <c r="K1020" i="6"/>
  <c r="L1020" i="6"/>
  <c r="I1019" i="6"/>
  <c r="K1019" i="6"/>
  <c r="L1019" i="6"/>
  <c r="K1909" i="6"/>
  <c r="L1909" i="6"/>
  <c r="I1909" i="6"/>
  <c r="I1017" i="6"/>
  <c r="K1017" i="6"/>
  <c r="L1017" i="6" s="1"/>
  <c r="K1671" i="6"/>
  <c r="L1671" i="6" s="1"/>
  <c r="I1671" i="6"/>
  <c r="I1502" i="6"/>
  <c r="K1502" i="6"/>
  <c r="L1502" i="6" s="1"/>
  <c r="I1722" i="6"/>
  <c r="K1722" i="6"/>
  <c r="L1722" i="6" s="1"/>
  <c r="K1500" i="6"/>
  <c r="L1500" i="6" s="1"/>
  <c r="I1500" i="6"/>
  <c r="K1499" i="6"/>
  <c r="L1499" i="6" s="1"/>
  <c r="I1499" i="6"/>
  <c r="K1910" i="6"/>
  <c r="L1910" i="6" s="1"/>
  <c r="I1910" i="6"/>
  <c r="K1010" i="6"/>
  <c r="L1010" i="6"/>
  <c r="I1010" i="6"/>
  <c r="K1498" i="6"/>
  <c r="L1498" i="6" s="1"/>
  <c r="I1498" i="6"/>
  <c r="K1008" i="6"/>
  <c r="L1008" i="6" s="1"/>
  <c r="I1008" i="6"/>
  <c r="K1497" i="6"/>
  <c r="L1497" i="6" s="1"/>
  <c r="I1497" i="6"/>
  <c r="K1006" i="6"/>
  <c r="L1006" i="6" s="1"/>
  <c r="I1006" i="6"/>
  <c r="I1005" i="6"/>
  <c r="K1005" i="6"/>
  <c r="L1005" i="6" s="1"/>
  <c r="K1004" i="6"/>
  <c r="L1004" i="6" s="1"/>
  <c r="I1004" i="6"/>
  <c r="I1911" i="6"/>
  <c r="K1911" i="6"/>
  <c r="L1911" i="6" s="1"/>
  <c r="I1913" i="6"/>
  <c r="K1913" i="6"/>
  <c r="L1913" i="6" s="1"/>
  <c r="I1001" i="6"/>
  <c r="K1001" i="6"/>
  <c r="L1001" i="6" s="1"/>
  <c r="I1000" i="6"/>
  <c r="K1000" i="6"/>
  <c r="L1000" i="6" s="1"/>
  <c r="I1625" i="6"/>
  <c r="K1625" i="6"/>
  <c r="L1625" i="6" s="1"/>
  <c r="K998" i="6"/>
  <c r="L998" i="6"/>
  <c r="I998" i="6"/>
  <c r="I1916" i="6"/>
  <c r="K1916" i="6"/>
  <c r="L1916" i="6" s="1"/>
  <c r="I996" i="6"/>
  <c r="K996" i="6"/>
  <c r="L996" i="6" s="1"/>
  <c r="I995" i="6"/>
  <c r="K995" i="6"/>
  <c r="L995" i="6"/>
  <c r="K994" i="6"/>
  <c r="L994" i="6" s="1"/>
  <c r="I994" i="6"/>
  <c r="I993" i="6"/>
  <c r="K993" i="6"/>
  <c r="L993" i="6" s="1"/>
  <c r="K992" i="6"/>
  <c r="L992" i="6" s="1"/>
  <c r="I992" i="6"/>
  <c r="K991" i="6"/>
  <c r="L991" i="6" s="1"/>
  <c r="I991" i="6"/>
  <c r="K1918" i="6"/>
  <c r="L1918" i="6" s="1"/>
  <c r="I1918" i="6"/>
  <c r="I989" i="6"/>
  <c r="K989" i="6"/>
  <c r="L989" i="6"/>
  <c r="K988" i="6"/>
  <c r="L988" i="6" s="1"/>
  <c r="I988" i="6"/>
  <c r="I987" i="6"/>
  <c r="K987" i="6"/>
  <c r="L987" i="6"/>
  <c r="I1726" i="6"/>
  <c r="K1726" i="6"/>
  <c r="L1726" i="6" s="1"/>
  <c r="K985" i="6"/>
  <c r="L985" i="6" s="1"/>
  <c r="I985" i="6"/>
  <c r="I984" i="6"/>
  <c r="K984" i="6"/>
  <c r="L984" i="6" s="1"/>
  <c r="I983" i="6"/>
  <c r="K983" i="6"/>
  <c r="L983" i="6" s="1"/>
  <c r="I1494" i="6"/>
  <c r="K1494" i="6"/>
  <c r="L1494" i="6" s="1"/>
  <c r="K1624" i="6"/>
  <c r="L1624" i="6" s="1"/>
  <c r="I1624" i="6"/>
  <c r="I1492" i="6"/>
  <c r="K1492" i="6"/>
  <c r="L1492" i="6" s="1"/>
  <c r="I1919" i="6"/>
  <c r="K1919" i="6"/>
  <c r="L1919" i="6" s="1"/>
  <c r="I1920" i="6"/>
  <c r="K1920" i="6"/>
  <c r="L1920" i="6" s="1"/>
  <c r="I1491" i="6"/>
  <c r="K1491" i="6"/>
  <c r="L1491" i="6" s="1"/>
  <c r="K976" i="6"/>
  <c r="L976" i="6" s="1"/>
  <c r="I976" i="6"/>
  <c r="K1926" i="6"/>
  <c r="L1926" i="6" s="1"/>
  <c r="I1926" i="6"/>
  <c r="K974" i="6"/>
  <c r="L974" i="6" s="1"/>
  <c r="I974" i="6"/>
  <c r="K1490" i="6"/>
  <c r="I1490" i="6"/>
  <c r="L1490" i="6"/>
  <c r="K972" i="6"/>
  <c r="L972" i="6" s="1"/>
  <c r="I972" i="6"/>
  <c r="K1676" i="6"/>
  <c r="L1676" i="6" s="1"/>
  <c r="I1676" i="6"/>
  <c r="I970" i="6"/>
  <c r="K970" i="6"/>
  <c r="L970" i="6" s="1"/>
  <c r="I2080" i="6"/>
  <c r="K2080" i="6"/>
  <c r="L2080" i="6" s="1"/>
  <c r="I2081" i="6"/>
  <c r="K2081" i="6"/>
  <c r="L2081" i="6" s="1"/>
  <c r="K2089" i="6"/>
  <c r="L2089" i="6" s="1"/>
  <c r="I2089" i="6"/>
  <c r="I2091" i="6"/>
  <c r="K2091" i="6"/>
  <c r="L2091" i="6" s="1"/>
  <c r="K2092" i="6"/>
  <c r="L2092" i="6" s="1"/>
  <c r="I2092" i="6"/>
  <c r="I2094" i="6"/>
  <c r="K2094" i="6"/>
  <c r="L2094" i="6" s="1"/>
  <c r="K2102" i="6"/>
  <c r="L2102" i="6" s="1"/>
  <c r="I2102" i="6"/>
  <c r="K2106" i="6"/>
  <c r="L2106" i="6" s="1"/>
  <c r="I2106" i="6"/>
  <c r="K2107" i="6"/>
  <c r="L2107" i="6" s="1"/>
  <c r="I2107" i="6"/>
  <c r="I2108" i="6"/>
  <c r="K2108" i="6"/>
  <c r="L2108" i="6" s="1"/>
  <c r="I2115" i="6"/>
  <c r="K2115" i="6"/>
  <c r="L2115" i="6"/>
  <c r="K1776" i="6"/>
  <c r="L1776" i="6" s="1"/>
  <c r="I1776" i="6"/>
  <c r="I1778" i="6"/>
  <c r="K1778" i="6"/>
  <c r="L1778" i="6" s="1"/>
  <c r="I1783" i="6"/>
  <c r="K1783" i="6"/>
  <c r="L1783" i="6" s="1"/>
  <c r="I1673" i="6"/>
  <c r="K1673" i="6"/>
  <c r="L1673" i="6" s="1"/>
  <c r="I1674" i="6"/>
  <c r="K1674" i="6"/>
  <c r="L1674" i="6" s="1"/>
  <c r="I1784" i="6"/>
  <c r="K1784" i="6"/>
  <c r="L1784" i="6" s="1"/>
  <c r="K2116" i="6"/>
  <c r="L2116" i="6" s="1"/>
  <c r="I2116" i="6"/>
  <c r="K2118" i="6"/>
  <c r="L2118" i="6" s="1"/>
  <c r="I2118" i="6"/>
  <c r="I2121" i="6"/>
  <c r="K2121" i="6"/>
  <c r="L2121" i="6" s="1"/>
  <c r="I1785" i="6"/>
  <c r="K1785" i="6"/>
  <c r="L1785" i="6" s="1"/>
  <c r="I2125" i="6"/>
  <c r="K2125" i="6"/>
  <c r="L2125" i="6" s="1"/>
  <c r="K2127" i="6"/>
  <c r="L2127" i="6" s="1"/>
  <c r="I2127" i="6"/>
  <c r="I1581" i="6"/>
  <c r="K1581" i="6"/>
  <c r="L1581" i="6" s="1"/>
  <c r="K2128" i="6"/>
  <c r="L2128" i="6" s="1"/>
  <c r="I2128" i="6"/>
  <c r="I2130" i="6"/>
  <c r="K2130" i="6"/>
  <c r="L2130" i="6" s="1"/>
  <c r="I2133" i="6"/>
  <c r="K2133" i="6"/>
  <c r="L2133" i="6" s="1"/>
  <c r="I1787" i="6"/>
  <c r="K1787" i="6"/>
  <c r="L1787" i="6" s="1"/>
  <c r="I2134" i="6"/>
  <c r="K2134" i="6"/>
  <c r="L2134" i="6" s="1"/>
  <c r="I1789" i="6"/>
  <c r="K1789" i="6"/>
  <c r="L1789" i="6"/>
  <c r="I1327" i="6"/>
  <c r="K1327" i="6"/>
  <c r="L1327" i="6" s="1"/>
  <c r="K1326" i="6"/>
  <c r="L1326" i="6" s="1"/>
  <c r="I1326" i="6"/>
  <c r="I2135" i="6"/>
  <c r="K2135" i="6"/>
  <c r="L2135" i="6"/>
  <c r="I1580" i="6"/>
  <c r="K1580" i="6"/>
  <c r="L1580" i="6" s="1"/>
  <c r="K2136" i="6"/>
  <c r="L2136" i="6" s="1"/>
  <c r="I2136" i="6"/>
  <c r="K2138" i="6"/>
  <c r="L2138" i="6" s="1"/>
  <c r="I2138" i="6"/>
  <c r="K1324" i="6"/>
  <c r="L1324" i="6" s="1"/>
  <c r="I1324" i="6"/>
  <c r="I1579" i="6"/>
  <c r="K1579" i="6"/>
  <c r="L1579" i="6" s="1"/>
  <c r="I1322" i="6"/>
  <c r="K1322" i="6"/>
  <c r="L1322" i="6" s="1"/>
  <c r="I1795" i="6"/>
  <c r="K1795" i="6"/>
  <c r="L1795" i="6" s="1"/>
  <c r="I1645" i="6"/>
  <c r="K1645" i="6"/>
  <c r="L1645" i="6"/>
  <c r="K1319" i="6"/>
  <c r="L1319" i="6"/>
  <c r="I1319" i="6"/>
  <c r="K2139" i="6"/>
  <c r="L2139" i="6" s="1"/>
  <c r="I2139" i="6"/>
  <c r="K1318" i="6"/>
  <c r="L1318" i="6" s="1"/>
  <c r="I1318" i="6"/>
  <c r="I2142" i="6"/>
  <c r="K2142" i="6"/>
  <c r="L2142" i="6" s="1"/>
  <c r="I2147" i="6"/>
  <c r="K2147" i="6"/>
  <c r="L2147" i="6" s="1"/>
  <c r="I2150" i="6"/>
  <c r="K2150" i="6"/>
  <c r="L2150" i="6"/>
  <c r="I1796" i="6"/>
  <c r="K1796" i="6"/>
  <c r="L1796" i="6" s="1"/>
  <c r="I2155" i="6"/>
  <c r="K2155" i="6"/>
  <c r="L2155" i="6" s="1"/>
  <c r="I2156" i="6"/>
  <c r="K2156" i="6"/>
  <c r="L2156" i="6" s="1"/>
  <c r="K1695" i="6"/>
  <c r="L1695" i="6" s="1"/>
  <c r="I1695" i="6"/>
  <c r="I1315" i="6"/>
  <c r="K1315" i="6"/>
  <c r="L1315" i="6" s="1"/>
  <c r="K2157" i="6"/>
  <c r="L2157" i="6" s="1"/>
  <c r="I2157" i="6"/>
  <c r="I1314" i="6"/>
  <c r="K1314" i="6"/>
  <c r="L1314" i="6" s="1"/>
  <c r="K2160" i="6"/>
  <c r="L2160" i="6" s="1"/>
  <c r="I2160" i="6"/>
  <c r="K2163" i="6"/>
  <c r="L2163" i="6" s="1"/>
  <c r="I2163" i="6"/>
  <c r="K2169" i="6"/>
  <c r="L2169" i="6" s="1"/>
  <c r="I2169" i="6"/>
  <c r="I2170" i="6"/>
  <c r="K2170" i="6"/>
  <c r="L2170" i="6" s="1"/>
  <c r="I2171" i="6"/>
  <c r="K2171" i="6"/>
  <c r="L2171" i="6" s="1"/>
  <c r="I2172" i="6"/>
  <c r="K2172" i="6"/>
  <c r="L2172" i="6" s="1"/>
  <c r="K2173" i="6"/>
  <c r="L2173" i="6" s="1"/>
  <c r="I2173" i="6"/>
  <c r="K2174" i="6"/>
  <c r="L2174" i="6" s="1"/>
  <c r="I2174" i="6"/>
  <c r="I1797" i="6"/>
  <c r="K1797" i="6"/>
  <c r="L1797" i="6" s="1"/>
  <c r="K1312" i="6"/>
  <c r="L1312" i="6" s="1"/>
  <c r="I1312" i="6"/>
  <c r="K2175" i="6"/>
  <c r="L2175" i="6" s="1"/>
  <c r="I2175" i="6"/>
  <c r="I2176" i="6"/>
  <c r="K2176" i="6"/>
  <c r="L2176" i="6"/>
  <c r="I1799" i="6"/>
  <c r="K1799" i="6"/>
  <c r="L1799" i="6" s="1"/>
  <c r="K1310" i="6"/>
  <c r="L1310" i="6" s="1"/>
  <c r="I1310" i="6"/>
  <c r="I2181" i="6"/>
  <c r="K2181" i="6"/>
  <c r="L2181" i="6" s="1"/>
  <c r="K2182" i="6"/>
  <c r="L2182" i="6" s="1"/>
  <c r="I2182" i="6"/>
  <c r="I1801" i="6"/>
  <c r="K1801" i="6"/>
  <c r="L1801" i="6" s="1"/>
  <c r="K1308" i="6"/>
  <c r="I1308" i="6"/>
  <c r="L1308" i="6"/>
  <c r="K2183" i="6"/>
  <c r="L2183" i="6" s="1"/>
  <c r="I2183" i="6"/>
  <c r="I1307" i="6"/>
  <c r="K1307" i="6"/>
  <c r="L1307" i="6" s="1"/>
  <c r="I1306" i="6"/>
  <c r="K1306" i="6"/>
  <c r="L1306" i="6" s="1"/>
  <c r="I2184" i="6"/>
  <c r="K2184" i="6"/>
  <c r="L2184" i="6" s="1"/>
  <c r="K1576" i="6"/>
  <c r="L1576" i="6" s="1"/>
  <c r="I1576" i="6"/>
  <c r="K2187" i="6"/>
  <c r="L2187" i="6" s="1"/>
  <c r="I2187" i="6"/>
  <c r="K1575" i="6"/>
  <c r="I1575" i="6"/>
  <c r="L1575" i="6"/>
  <c r="I2188" i="6"/>
  <c r="K2188" i="6"/>
  <c r="L2188" i="6" s="1"/>
  <c r="I2190" i="6"/>
  <c r="K2190" i="6"/>
  <c r="L2190" i="6" s="1"/>
  <c r="K1644" i="6"/>
  <c r="L1644" i="6" s="1"/>
  <c r="I1644" i="6"/>
  <c r="K2193" i="6"/>
  <c r="L2193" i="6" s="1"/>
  <c r="I2193" i="6"/>
  <c r="I1806" i="6"/>
  <c r="K1806" i="6"/>
  <c r="L1806" i="6" s="1"/>
  <c r="K1301" i="6"/>
  <c r="L1301" i="6" s="1"/>
  <c r="I1301" i="6"/>
  <c r="K1300" i="6"/>
  <c r="L1300" i="6" s="1"/>
  <c r="I1300" i="6"/>
  <c r="K2194" i="6"/>
  <c r="L2194" i="6" s="1"/>
  <c r="I2194" i="6"/>
  <c r="K1299" i="6"/>
  <c r="L1299" i="6" s="1"/>
  <c r="I1299" i="6"/>
  <c r="K1298" i="6"/>
  <c r="L1298" i="6" s="1"/>
  <c r="I1298" i="6"/>
  <c r="I2198" i="6"/>
  <c r="K2198" i="6"/>
  <c r="L2198" i="6" s="1"/>
  <c r="K2199" i="6"/>
  <c r="L2199" i="6" s="1"/>
  <c r="I2199" i="6"/>
  <c r="K2200" i="6"/>
  <c r="L2200" i="6" s="1"/>
  <c r="I2200" i="6"/>
  <c r="K1573" i="6"/>
  <c r="L1573" i="6"/>
  <c r="I1573" i="6"/>
  <c r="K1296" i="6"/>
  <c r="L1296" i="6" s="1"/>
  <c r="I1296" i="6"/>
  <c r="I288" i="6"/>
  <c r="K288" i="6"/>
  <c r="L288" i="6" s="1"/>
  <c r="K287" i="6"/>
  <c r="L287" i="6" s="1"/>
  <c r="I287" i="6"/>
  <c r="I2201" i="6"/>
  <c r="K2201" i="6"/>
  <c r="L2201" i="6" s="1"/>
  <c r="I2202" i="6"/>
  <c r="K2202" i="6"/>
  <c r="L2202" i="6" s="1"/>
  <c r="K2204" i="6"/>
  <c r="L2204" i="6" s="1"/>
  <c r="I2204" i="6"/>
  <c r="K282" i="6"/>
  <c r="L282" i="6" s="1"/>
  <c r="I282" i="6"/>
  <c r="K1696" i="6"/>
  <c r="L1696" i="6" s="1"/>
  <c r="I1696" i="6"/>
  <c r="I280" i="6"/>
  <c r="K280" i="6"/>
  <c r="L280" i="6"/>
  <c r="I279" i="6"/>
  <c r="K279" i="6"/>
  <c r="L279" i="6" s="1"/>
  <c r="I278" i="6"/>
  <c r="K278" i="6"/>
  <c r="L278" i="6" s="1"/>
  <c r="K1807" i="6"/>
  <c r="L1807" i="6" s="1"/>
  <c r="I1807" i="6"/>
  <c r="I276" i="6"/>
  <c r="K276" i="6"/>
  <c r="L276" i="6" s="1"/>
  <c r="K275" i="6"/>
  <c r="L275" i="6" s="1"/>
  <c r="I275" i="6"/>
  <c r="K274" i="6"/>
  <c r="L274" i="6" s="1"/>
  <c r="I274" i="6"/>
  <c r="K1811" i="6"/>
  <c r="L1811" i="6" s="1"/>
  <c r="I1811" i="6"/>
  <c r="K1292" i="6"/>
  <c r="L1292" i="6" s="1"/>
  <c r="I1292" i="6"/>
  <c r="I272" i="6"/>
  <c r="K272" i="6"/>
  <c r="L272" i="6" s="1"/>
  <c r="I271" i="6"/>
  <c r="K271" i="6"/>
  <c r="L271" i="6" s="1"/>
  <c r="I270" i="6"/>
  <c r="K270" i="6"/>
  <c r="L270" i="6" s="1"/>
  <c r="I2206" i="6"/>
  <c r="K2206" i="6"/>
  <c r="L2206" i="6" s="1"/>
  <c r="K268" i="6"/>
  <c r="L268" i="6" s="1"/>
  <c r="I268" i="6"/>
  <c r="I1291" i="6"/>
  <c r="K1291" i="6"/>
  <c r="L1291" i="6" s="1"/>
  <c r="I1290" i="6"/>
  <c r="K1290" i="6"/>
  <c r="L1290" i="6" s="1"/>
  <c r="K265" i="6"/>
  <c r="L265" i="6" s="1"/>
  <c r="I265" i="6"/>
  <c r="I1289" i="6"/>
  <c r="K1289" i="6"/>
  <c r="L1289" i="6"/>
  <c r="I1288" i="6"/>
  <c r="K1288" i="6"/>
  <c r="L1288" i="6" s="1"/>
  <c r="I262" i="6"/>
  <c r="K262" i="6"/>
  <c r="L262" i="6" s="1"/>
  <c r="I261" i="6"/>
  <c r="K261" i="6"/>
  <c r="L261" i="6" s="1"/>
  <c r="I260" i="6"/>
  <c r="K260" i="6"/>
  <c r="L260" i="6" s="1"/>
  <c r="I259" i="6"/>
  <c r="K259" i="6"/>
  <c r="L259" i="6" s="1"/>
  <c r="K2207" i="6"/>
  <c r="L2207" i="6" s="1"/>
  <c r="I2207" i="6"/>
  <c r="K1643" i="6"/>
  <c r="L1643" i="6" s="1"/>
  <c r="I1643" i="6"/>
  <c r="I1286" i="6"/>
  <c r="K1286" i="6"/>
  <c r="L1286" i="6"/>
  <c r="K255" i="6"/>
  <c r="L255" i="6" s="1"/>
  <c r="I255" i="6"/>
  <c r="K1812" i="6"/>
  <c r="L1812" i="6" s="1"/>
  <c r="I1812" i="6"/>
  <c r="K1284" i="6"/>
  <c r="L1284" i="6" s="1"/>
  <c r="I1284" i="6"/>
  <c r="K1283" i="6"/>
  <c r="L1283" i="6" s="1"/>
  <c r="I1283" i="6"/>
  <c r="K251" i="6"/>
  <c r="L251" i="6" s="1"/>
  <c r="I251" i="6"/>
  <c r="K250" i="6"/>
  <c r="L250" i="6" s="1"/>
  <c r="I250" i="6"/>
  <c r="K2208" i="6"/>
  <c r="L2208" i="6" s="1"/>
  <c r="I2208" i="6"/>
  <c r="K248" i="6"/>
  <c r="L248" i="6" s="1"/>
  <c r="I248" i="6"/>
  <c r="K247" i="6"/>
  <c r="L247" i="6" s="1"/>
  <c r="I247" i="6"/>
  <c r="K246" i="6"/>
  <c r="L246" i="6" s="1"/>
  <c r="I246" i="6"/>
  <c r="I1282" i="6"/>
  <c r="K1282" i="6"/>
  <c r="L1282" i="6" s="1"/>
  <c r="K244" i="6"/>
  <c r="L244" i="6" s="1"/>
  <c r="I244" i="6"/>
  <c r="K2209" i="6"/>
  <c r="L2209" i="6" s="1"/>
  <c r="I2209" i="6"/>
  <c r="K2211" i="6"/>
  <c r="L2211" i="6" s="1"/>
  <c r="I2211" i="6"/>
  <c r="I1570" i="6"/>
  <c r="K1570" i="6"/>
  <c r="L1570" i="6" s="1"/>
  <c r="K240" i="6"/>
  <c r="L240" i="6" s="1"/>
  <c r="I240" i="6"/>
  <c r="K1280" i="6"/>
  <c r="L1280" i="6" s="1"/>
  <c r="I1280" i="6"/>
  <c r="K238" i="6"/>
  <c r="L238" i="6" s="1"/>
  <c r="I238" i="6"/>
  <c r="I1569" i="6"/>
  <c r="K1569" i="6"/>
  <c r="L1569" i="6" s="1"/>
  <c r="K1813" i="6"/>
  <c r="L1813" i="6" s="1"/>
  <c r="I1813" i="6"/>
  <c r="I1568" i="6"/>
  <c r="K1568" i="6"/>
  <c r="L1568" i="6" s="1"/>
  <c r="K234" i="6"/>
  <c r="L234" i="6" s="1"/>
  <c r="I234" i="6"/>
  <c r="I233" i="6"/>
  <c r="K233" i="6"/>
  <c r="L233" i="6"/>
  <c r="K2213" i="6"/>
  <c r="L2213" i="6" s="1"/>
  <c r="I2213" i="6"/>
  <c r="K2215" i="6"/>
  <c r="L2215" i="6" s="1"/>
  <c r="I2215" i="6"/>
  <c r="I2216" i="6"/>
  <c r="K2216" i="6"/>
  <c r="L2216" i="6" s="1"/>
  <c r="I228" i="6"/>
  <c r="K228" i="6"/>
  <c r="L228" i="6" s="1"/>
  <c r="K1816" i="6"/>
  <c r="L1816" i="6" s="1"/>
  <c r="I1816" i="6"/>
  <c r="K1567" i="6"/>
  <c r="L1567" i="6" s="1"/>
  <c r="I1567" i="6"/>
  <c r="I1566" i="6"/>
  <c r="K1566" i="6"/>
  <c r="L1566" i="6" s="1"/>
  <c r="I225" i="6"/>
  <c r="K225" i="6"/>
  <c r="L225" i="6" s="1"/>
  <c r="K224" i="6"/>
  <c r="I224" i="6"/>
  <c r="L224" i="6"/>
  <c r="I1273" i="6"/>
  <c r="K1273" i="6"/>
  <c r="L1273" i="6" s="1"/>
  <c r="I222" i="6"/>
  <c r="K222" i="6"/>
  <c r="L222" i="6" s="1"/>
  <c r="I221" i="6"/>
  <c r="K221" i="6"/>
  <c r="L221" i="6"/>
  <c r="I220" i="6"/>
  <c r="K220" i="6"/>
  <c r="L220" i="6" s="1"/>
  <c r="I219" i="6"/>
  <c r="K219" i="6"/>
  <c r="L219" i="6" s="1"/>
  <c r="K1272" i="6"/>
  <c r="L1272" i="6" s="1"/>
  <c r="I1272" i="6"/>
  <c r="I1271" i="6"/>
  <c r="K1271" i="6"/>
  <c r="L1271" i="6" s="1"/>
  <c r="K2217" i="6"/>
  <c r="L2217" i="6" s="1"/>
  <c r="I2217" i="6"/>
  <c r="K1270" i="6"/>
  <c r="L1270" i="6" s="1"/>
  <c r="I1270" i="6"/>
  <c r="I214" i="6"/>
  <c r="K214" i="6"/>
  <c r="L214" i="6" s="1"/>
  <c r="I1269" i="6"/>
  <c r="K1269" i="6"/>
  <c r="L1269" i="6" s="1"/>
  <c r="I212" i="6"/>
  <c r="K212" i="6"/>
  <c r="L212" i="6" s="1"/>
  <c r="K211" i="6"/>
  <c r="L211" i="6" s="1"/>
  <c r="I211" i="6"/>
  <c r="I210" i="6"/>
  <c r="K210" i="6"/>
  <c r="L210" i="6" s="1"/>
  <c r="I209" i="6"/>
  <c r="K209" i="6"/>
  <c r="L209" i="6" s="1"/>
  <c r="K208" i="6"/>
  <c r="L208" i="6" s="1"/>
  <c r="I208" i="6"/>
  <c r="K207" i="6"/>
  <c r="L207" i="6" s="1"/>
  <c r="I207" i="6"/>
  <c r="K2218" i="6"/>
  <c r="L2218" i="6" s="1"/>
  <c r="I2218" i="6"/>
  <c r="I205" i="6"/>
  <c r="K205" i="6"/>
  <c r="L205" i="6" s="1"/>
  <c r="I204" i="6"/>
  <c r="K204" i="6"/>
  <c r="L204" i="6" s="1"/>
  <c r="I2219" i="6"/>
  <c r="K2219" i="6"/>
  <c r="L2219" i="6" s="1"/>
  <c r="I1268" i="6"/>
  <c r="K1268" i="6"/>
  <c r="L1268" i="6" s="1"/>
  <c r="K201" i="6"/>
  <c r="L201" i="6" s="1"/>
  <c r="I201" i="6"/>
  <c r="I1267" i="6"/>
  <c r="K1267" i="6"/>
  <c r="L1267" i="6" s="1"/>
  <c r="I2220" i="6"/>
  <c r="K2220" i="6"/>
  <c r="L2220" i="6" s="1"/>
  <c r="I1697" i="6"/>
  <c r="K1697" i="6"/>
  <c r="L1697" i="6"/>
  <c r="I1265" i="6"/>
  <c r="K1265" i="6"/>
  <c r="L1265" i="6" s="1"/>
  <c r="K2221" i="6"/>
  <c r="L2221" i="6" s="1"/>
  <c r="I2221" i="6"/>
  <c r="K2222" i="6"/>
  <c r="L2222" i="6" s="1"/>
  <c r="I2222" i="6"/>
  <c r="I194" i="6"/>
  <c r="K194" i="6"/>
  <c r="L194" i="6" s="1"/>
  <c r="I193" i="6"/>
  <c r="K193" i="6"/>
  <c r="L193" i="6" s="1"/>
  <c r="K1264" i="6"/>
  <c r="L1264" i="6" s="1"/>
  <c r="I1264" i="6"/>
  <c r="K1699" i="6"/>
  <c r="L1699" i="6" s="1"/>
  <c r="I1699" i="6"/>
  <c r="K1262" i="6"/>
  <c r="L1262" i="6" s="1"/>
  <c r="I1262" i="6"/>
  <c r="K189" i="6"/>
  <c r="L189" i="6" s="1"/>
  <c r="I189" i="6"/>
  <c r="I188" i="6"/>
  <c r="K188" i="6"/>
  <c r="L188" i="6" s="1"/>
  <c r="K1261" i="6"/>
  <c r="L1261" i="6" s="1"/>
  <c r="I1261" i="6"/>
  <c r="K2223" i="6"/>
  <c r="L2223" i="6" s="1"/>
  <c r="I2223" i="6"/>
  <c r="I2224" i="6"/>
  <c r="K2224" i="6"/>
  <c r="L2224" i="6" s="1"/>
  <c r="K184" i="6"/>
  <c r="L184" i="6"/>
  <c r="I184" i="6"/>
  <c r="I183" i="6"/>
  <c r="K183" i="6"/>
  <c r="L183" i="6" s="1"/>
  <c r="K2225" i="6"/>
  <c r="L2225" i="6" s="1"/>
  <c r="I2225" i="6"/>
  <c r="K180" i="6"/>
  <c r="L180" i="6" s="1"/>
  <c r="I180" i="6"/>
  <c r="K179" i="6"/>
  <c r="L179" i="6" s="1"/>
  <c r="I179" i="6"/>
  <c r="K178" i="6"/>
  <c r="I178" i="6"/>
  <c r="L178" i="6"/>
  <c r="I177" i="6"/>
  <c r="K177" i="6"/>
  <c r="L177" i="6" s="1"/>
  <c r="K2226" i="6"/>
  <c r="L2226" i="6" s="1"/>
  <c r="I2226" i="6"/>
  <c r="I175" i="6"/>
  <c r="K175" i="6"/>
  <c r="L175" i="6" s="1"/>
  <c r="K2227" i="6"/>
  <c r="L2227" i="6" s="1"/>
  <c r="I2227" i="6"/>
  <c r="K173" i="6"/>
  <c r="L173" i="6" s="1"/>
  <c r="I173" i="6"/>
  <c r="K172" i="6"/>
  <c r="I172" i="6"/>
  <c r="L172" i="6"/>
  <c r="K2228" i="6"/>
  <c r="L2228" i="6" s="1"/>
  <c r="I2228" i="6"/>
  <c r="I1818" i="6"/>
  <c r="K1818" i="6"/>
  <c r="L1818" i="6" s="1"/>
  <c r="K1259" i="6"/>
  <c r="L1259" i="6" s="1"/>
  <c r="I1259" i="6"/>
  <c r="K169" i="6"/>
  <c r="L169" i="6" s="1"/>
  <c r="I169" i="6"/>
  <c r="I1258" i="6"/>
  <c r="K1258" i="6"/>
  <c r="L1258" i="6" s="1"/>
  <c r="K1700" i="6"/>
  <c r="L1700" i="6" s="1"/>
  <c r="I1700" i="6"/>
  <c r="I1256" i="6"/>
  <c r="K1256" i="6"/>
  <c r="L1256" i="6" s="1"/>
  <c r="I1255" i="6"/>
  <c r="K1255" i="6"/>
  <c r="L1255" i="6" s="1"/>
  <c r="I164" i="6"/>
  <c r="K164" i="6"/>
  <c r="L164" i="6" s="1"/>
  <c r="K1562" i="6"/>
  <c r="L1562" i="6" s="1"/>
  <c r="I1562" i="6"/>
  <c r="I162" i="6"/>
  <c r="K162" i="6"/>
  <c r="L162" i="6" s="1"/>
  <c r="I161" i="6"/>
  <c r="K161" i="6"/>
  <c r="L161" i="6" s="1"/>
  <c r="I159" i="6"/>
  <c r="K159" i="6"/>
  <c r="L159" i="6" s="1"/>
  <c r="K2230" i="6"/>
  <c r="L2230" i="6" s="1"/>
  <c r="I2230" i="6"/>
  <c r="K157" i="6"/>
  <c r="L157" i="6" s="1"/>
  <c r="I157" i="6"/>
  <c r="I156" i="6"/>
  <c r="K156" i="6"/>
  <c r="L156" i="6" s="1"/>
  <c r="K2231" i="6"/>
  <c r="L2231" i="6" s="1"/>
  <c r="I2231" i="6"/>
  <c r="K1819" i="6"/>
  <c r="I1819" i="6"/>
  <c r="L1819" i="6"/>
  <c r="I1252" i="6"/>
  <c r="K1252" i="6"/>
  <c r="L1252" i="6" s="1"/>
  <c r="K153" i="6"/>
  <c r="L153" i="6"/>
  <c r="I153" i="6"/>
  <c r="I152" i="6"/>
  <c r="K152" i="6"/>
  <c r="L152" i="6"/>
  <c r="I2233" i="6"/>
  <c r="K2233" i="6"/>
  <c r="L2233" i="6" s="1"/>
  <c r="K150" i="6"/>
  <c r="L150" i="6" s="1"/>
  <c r="I150" i="6"/>
  <c r="K149" i="6"/>
  <c r="L149" i="6" s="1"/>
  <c r="I149" i="6"/>
  <c r="K148" i="6"/>
  <c r="L148" i="6" s="1"/>
  <c r="I148" i="6"/>
  <c r="I147" i="6"/>
  <c r="K147" i="6"/>
  <c r="L147" i="6" s="1"/>
  <c r="K1251" i="6"/>
  <c r="L1251" i="6" s="1"/>
  <c r="I1251" i="6"/>
  <c r="I145" i="6"/>
  <c r="K145" i="6"/>
  <c r="L145" i="6"/>
  <c r="K1250" i="6"/>
  <c r="L1250" i="6" s="1"/>
  <c r="I1250" i="6"/>
  <c r="K1249" i="6"/>
  <c r="L1249" i="6"/>
  <c r="I1249" i="6"/>
  <c r="I2235" i="6"/>
  <c r="K2235" i="6"/>
  <c r="L2235" i="6" s="1"/>
  <c r="I141" i="6"/>
  <c r="K141" i="6"/>
  <c r="L141" i="6" s="1"/>
  <c r="I140" i="6"/>
  <c r="K140" i="6"/>
  <c r="L140" i="6" s="1"/>
  <c r="K2236" i="6"/>
  <c r="L2236" i="6" s="1"/>
  <c r="I2236" i="6"/>
  <c r="I2237" i="6"/>
  <c r="K2237" i="6"/>
  <c r="L2237" i="6" s="1"/>
  <c r="I2238" i="6"/>
  <c r="K2238" i="6"/>
  <c r="L2238" i="6" s="1"/>
  <c r="I135" i="6"/>
  <c r="K135" i="6"/>
  <c r="L135" i="6" s="1"/>
  <c r="K2239" i="6"/>
  <c r="L2239" i="6" s="1"/>
  <c r="I2239" i="6"/>
  <c r="I1824" i="6"/>
  <c r="K1824" i="6"/>
  <c r="L1824" i="6" s="1"/>
  <c r="I132" i="6"/>
  <c r="K132" i="6"/>
  <c r="L132" i="6" s="1"/>
  <c r="I131" i="6"/>
  <c r="K131" i="6"/>
  <c r="L131" i="6" s="1"/>
  <c r="K1701" i="6"/>
  <c r="L1701" i="6" s="1"/>
  <c r="I1701" i="6"/>
  <c r="K1560" i="6"/>
  <c r="L1560" i="6" s="1"/>
  <c r="I1560" i="6"/>
  <c r="K2241" i="6"/>
  <c r="L2241" i="6" s="1"/>
  <c r="I2241" i="6"/>
  <c r="I1825" i="6"/>
  <c r="K1825" i="6"/>
  <c r="L1825" i="6" s="1"/>
  <c r="I1244" i="6"/>
  <c r="K1244" i="6"/>
  <c r="L1244" i="6" s="1"/>
  <c r="K2242" i="6"/>
  <c r="L2242" i="6" s="1"/>
  <c r="I2242" i="6"/>
  <c r="K125" i="6"/>
  <c r="L125" i="6" s="1"/>
  <c r="I125" i="6"/>
  <c r="I124" i="6"/>
  <c r="K124" i="6"/>
  <c r="L124" i="6"/>
  <c r="I123" i="6"/>
  <c r="K123" i="6"/>
  <c r="L123" i="6" s="1"/>
  <c r="I122" i="6"/>
  <c r="K122" i="6"/>
  <c r="L122" i="6" s="1"/>
  <c r="I121" i="6"/>
  <c r="K121" i="6"/>
  <c r="L121" i="6" s="1"/>
  <c r="I120" i="6"/>
  <c r="K120" i="6"/>
  <c r="L120" i="6" s="1"/>
  <c r="K119" i="6"/>
  <c r="L119" i="6" s="1"/>
  <c r="I119" i="6"/>
  <c r="I118" i="6"/>
  <c r="K118" i="6"/>
  <c r="L118" i="6" s="1"/>
  <c r="K117" i="6"/>
  <c r="L117" i="6" s="1"/>
  <c r="I117" i="6"/>
  <c r="I116" i="6"/>
  <c r="K116" i="6"/>
  <c r="L116" i="6"/>
  <c r="K115" i="6"/>
  <c r="L115" i="6" s="1"/>
  <c r="I115" i="6"/>
  <c r="I113" i="6"/>
  <c r="K113" i="6"/>
  <c r="L113" i="6" s="1"/>
  <c r="I112" i="6"/>
  <c r="K112" i="6"/>
  <c r="L112" i="6" s="1"/>
  <c r="I2244" i="6"/>
  <c r="K2244" i="6"/>
  <c r="L2244" i="6" s="1"/>
  <c r="K2245" i="6"/>
  <c r="L2245" i="6" s="1"/>
  <c r="I2245" i="6"/>
  <c r="K2246" i="6"/>
  <c r="L2246" i="6" s="1"/>
  <c r="I2246" i="6"/>
  <c r="K2248" i="6"/>
  <c r="L2248" i="6" s="1"/>
  <c r="I2248" i="6"/>
  <c r="I107" i="6"/>
  <c r="K107" i="6"/>
  <c r="L107" i="6" s="1"/>
  <c r="K2250" i="6"/>
  <c r="L2250" i="6"/>
  <c r="I2250" i="6"/>
  <c r="K1702" i="6"/>
  <c r="L1702" i="6" s="1"/>
  <c r="I1702" i="6"/>
  <c r="I1558" i="6"/>
  <c r="K1558" i="6"/>
  <c r="L1558" i="6" s="1"/>
  <c r="I103" i="6"/>
  <c r="K103" i="6"/>
  <c r="L103" i="6" s="1"/>
  <c r="I2251" i="6"/>
  <c r="K2251" i="6"/>
  <c r="L2251" i="6" s="1"/>
  <c r="I101" i="6"/>
  <c r="K101" i="6"/>
  <c r="L101" i="6" s="1"/>
  <c r="I2256" i="6"/>
  <c r="K2256" i="6"/>
  <c r="L2256" i="6" s="1"/>
  <c r="K2257" i="6"/>
  <c r="L2257" i="6" s="1"/>
  <c r="I2257" i="6"/>
  <c r="K98" i="6"/>
  <c r="L98" i="6" s="1"/>
  <c r="I98" i="6"/>
  <c r="K1828" i="6"/>
  <c r="L1828" i="6" s="1"/>
  <c r="I1828" i="6"/>
  <c r="K1829" i="6"/>
  <c r="L1829" i="6" s="1"/>
  <c r="I1829" i="6"/>
  <c r="K1703" i="6"/>
  <c r="L1703" i="6" s="1"/>
  <c r="I1703" i="6"/>
  <c r="I1238" i="6"/>
  <c r="K1238" i="6"/>
  <c r="L1238" i="6"/>
  <c r="K2258" i="6"/>
  <c r="L2258" i="6" s="1"/>
  <c r="I2258" i="6"/>
  <c r="I2259" i="6"/>
  <c r="K2259" i="6"/>
  <c r="L2259" i="6" s="1"/>
  <c r="K2260" i="6"/>
  <c r="L2260" i="6" s="1"/>
  <c r="I2260" i="6"/>
  <c r="K91" i="6"/>
  <c r="L91" i="6" s="1"/>
  <c r="I91" i="6"/>
  <c r="K90" i="6"/>
  <c r="L90" i="6" s="1"/>
  <c r="I90" i="6"/>
  <c r="I89" i="6"/>
  <c r="K89" i="6"/>
  <c r="L89" i="6"/>
  <c r="I88" i="6"/>
  <c r="K88" i="6"/>
  <c r="L88" i="6"/>
  <c r="I2261" i="6"/>
  <c r="K2261" i="6"/>
  <c r="L2261" i="6" s="1"/>
  <c r="I86" i="6"/>
  <c r="K86" i="6"/>
  <c r="L86" i="6" s="1"/>
  <c r="K85" i="6"/>
  <c r="L85" i="6" s="1"/>
  <c r="I85" i="6"/>
  <c r="I1556" i="6"/>
  <c r="K1556" i="6"/>
  <c r="L1556" i="6" s="1"/>
  <c r="I83" i="6"/>
  <c r="K83" i="6"/>
  <c r="L83" i="6" s="1"/>
  <c r="K82" i="6"/>
  <c r="L82" i="6" s="1"/>
  <c r="I82" i="6"/>
  <c r="I81" i="6"/>
  <c r="K81" i="6"/>
  <c r="L81" i="6" s="1"/>
  <c r="I80" i="6"/>
  <c r="K80" i="6"/>
  <c r="L80" i="6" s="1"/>
  <c r="I1236" i="6"/>
  <c r="K1236" i="6"/>
  <c r="L1236" i="6"/>
  <c r="K1235" i="6"/>
  <c r="L1235" i="6" s="1"/>
  <c r="I1235" i="6"/>
  <c r="K2262" i="6"/>
  <c r="L2262" i="6" s="1"/>
  <c r="I2262" i="6"/>
  <c r="K1234" i="6"/>
  <c r="L1234" i="6" s="1"/>
  <c r="I1234" i="6"/>
  <c r="K2266" i="6"/>
  <c r="L2266" i="6" s="1"/>
  <c r="I2266" i="6"/>
  <c r="I74" i="6"/>
  <c r="K74" i="6"/>
  <c r="L74" i="6" s="1"/>
  <c r="I73" i="6"/>
  <c r="K73" i="6"/>
  <c r="L73" i="6" s="1"/>
  <c r="K72" i="6"/>
  <c r="L72" i="6" s="1"/>
  <c r="I72" i="6"/>
  <c r="K70" i="6"/>
  <c r="L70" i="6" s="1"/>
  <c r="I70" i="6"/>
  <c r="I69" i="6"/>
  <c r="K69" i="6"/>
  <c r="L69" i="6"/>
  <c r="K2267" i="6"/>
  <c r="I2267" i="6"/>
  <c r="L2267" i="6"/>
  <c r="I67" i="6"/>
  <c r="K67" i="6"/>
  <c r="L67" i="6" s="1"/>
  <c r="I66" i="6"/>
  <c r="K66" i="6"/>
  <c r="L66" i="6" s="1"/>
  <c r="K65" i="6"/>
  <c r="L65" i="6"/>
  <c r="I65" i="6"/>
  <c r="K64" i="6"/>
  <c r="L64" i="6" s="1"/>
  <c r="I64" i="6"/>
  <c r="I63" i="6"/>
  <c r="K63" i="6"/>
  <c r="L63" i="6" s="1"/>
  <c r="K62" i="6"/>
  <c r="L62" i="6" s="1"/>
  <c r="I62" i="6"/>
  <c r="K61" i="6"/>
  <c r="L61" i="6" s="1"/>
  <c r="I61" i="6"/>
  <c r="K60" i="6"/>
  <c r="L60" i="6" s="1"/>
  <c r="I60" i="6"/>
  <c r="I2269" i="6"/>
  <c r="K2269" i="6"/>
  <c r="L2269" i="6" s="1"/>
  <c r="I2271" i="6"/>
  <c r="K2271" i="6"/>
  <c r="L2271" i="6" s="1"/>
  <c r="K57" i="6"/>
  <c r="L57" i="6" s="1"/>
  <c r="I57" i="6"/>
  <c r="I56" i="6"/>
  <c r="K56" i="6"/>
  <c r="L56" i="6" s="1"/>
  <c r="I1831" i="6"/>
  <c r="K1831" i="6"/>
  <c r="L1831" i="6" s="1"/>
  <c r="I1232" i="6"/>
  <c r="K1232" i="6"/>
  <c r="L1232" i="6"/>
  <c r="K2272" i="6"/>
  <c r="I2272" i="6"/>
  <c r="L2272" i="6"/>
  <c r="I52" i="6"/>
  <c r="K52" i="6"/>
  <c r="L52" i="6" s="1"/>
  <c r="I51" i="6"/>
  <c r="K51" i="6"/>
  <c r="L51" i="6" s="1"/>
  <c r="K50" i="6"/>
  <c r="L50" i="6" s="1"/>
  <c r="I50" i="6"/>
  <c r="I49" i="6"/>
  <c r="K49" i="6"/>
  <c r="L49" i="6" s="1"/>
  <c r="I48" i="6"/>
  <c r="K48" i="6"/>
  <c r="L48" i="6" s="1"/>
  <c r="K2273" i="6"/>
  <c r="L2273" i="6"/>
  <c r="I2273" i="6"/>
  <c r="K1833" i="6"/>
  <c r="L1833" i="6" s="1"/>
  <c r="I1833" i="6"/>
  <c r="K1230" i="6"/>
  <c r="L1230" i="6"/>
  <c r="I1230" i="6"/>
  <c r="K2275" i="6"/>
  <c r="L2275" i="6" s="1"/>
  <c r="I2275" i="6"/>
  <c r="I44" i="6"/>
  <c r="K44" i="6"/>
  <c r="L44" i="6" s="1"/>
  <c r="I43" i="6"/>
  <c r="K43" i="6"/>
  <c r="L43" i="6"/>
  <c r="I1555" i="6"/>
  <c r="K1555" i="6"/>
  <c r="L1555" i="6" s="1"/>
  <c r="K41" i="6"/>
  <c r="L41" i="6" s="1"/>
  <c r="I41" i="6"/>
  <c r="I40" i="6"/>
  <c r="K40" i="6"/>
  <c r="L40" i="6" s="1"/>
  <c r="K1642" i="6"/>
  <c r="L1642" i="6" s="1"/>
  <c r="I1642" i="6"/>
  <c r="I38" i="6"/>
  <c r="K38" i="6"/>
  <c r="L38" i="6" s="1"/>
  <c r="K2277" i="6"/>
  <c r="L2277" i="6" s="1"/>
  <c r="I2277" i="6"/>
  <c r="I2278" i="6"/>
  <c r="K2278" i="6"/>
  <c r="L2278" i="6" s="1"/>
  <c r="I35" i="6"/>
  <c r="K35" i="6"/>
  <c r="L35" i="6" s="1"/>
  <c r="I34" i="6"/>
  <c r="K34" i="6"/>
  <c r="L34" i="6" s="1"/>
  <c r="I2279" i="6"/>
  <c r="K2279" i="6"/>
  <c r="L2279" i="6"/>
  <c r="I440" i="6"/>
  <c r="K440" i="6"/>
  <c r="L440" i="6" s="1"/>
  <c r="J1096" i="4"/>
  <c r="K1094" i="4"/>
  <c r="K1090" i="4"/>
  <c r="K1088" i="4"/>
  <c r="J1087" i="4"/>
  <c r="K1085" i="4"/>
  <c r="J1084" i="4"/>
  <c r="J1082" i="4"/>
  <c r="K1080" i="4"/>
  <c r="J1077" i="4"/>
  <c r="K1075" i="4"/>
  <c r="K1071" i="4"/>
  <c r="J1070" i="4"/>
  <c r="J1066" i="4"/>
  <c r="K1064" i="4"/>
  <c r="J1060" i="4"/>
  <c r="K1058" i="4"/>
  <c r="K1057" i="4"/>
  <c r="J1056" i="4"/>
  <c r="K1054" i="4"/>
  <c r="K1049" i="4"/>
  <c r="J1048" i="4"/>
  <c r="K1046" i="4"/>
  <c r="K1044" i="4"/>
  <c r="J1042" i="4"/>
  <c r="J1041" i="4"/>
  <c r="J1039" i="4"/>
  <c r="K1037" i="4"/>
  <c r="J1036" i="4"/>
  <c r="K1034" i="4"/>
  <c r="J1033" i="4"/>
  <c r="J1029" i="4"/>
  <c r="J1027" i="4"/>
  <c r="K1025" i="4"/>
  <c r="J1024" i="4"/>
  <c r="K1022" i="4"/>
  <c r="J1021" i="4"/>
  <c r="K1019" i="4"/>
  <c r="J1018" i="4"/>
  <c r="K1016" i="4"/>
  <c r="J1015" i="4"/>
  <c r="K1013" i="4"/>
  <c r="K1009" i="4"/>
  <c r="J1008" i="4"/>
  <c r="J1004" i="4"/>
  <c r="N1004" i="4" s="1"/>
  <c r="K1002" i="4"/>
  <c r="K1001" i="4"/>
  <c r="K999" i="4"/>
  <c r="K997" i="4"/>
  <c r="K996" i="4"/>
  <c r="J995" i="4"/>
  <c r="K990" i="4"/>
  <c r="J989" i="4"/>
  <c r="J987" i="4"/>
  <c r="J985" i="4"/>
  <c r="K982" i="4"/>
  <c r="J980" i="4"/>
  <c r="J978" i="4"/>
  <c r="J972" i="4"/>
  <c r="K970" i="4"/>
  <c r="J969" i="4"/>
  <c r="K967" i="4"/>
  <c r="J940" i="4"/>
  <c r="K938" i="4"/>
  <c r="J937" i="4"/>
  <c r="K935" i="4"/>
  <c r="J934" i="4"/>
  <c r="K932" i="4"/>
  <c r="K930" i="4"/>
  <c r="J929" i="4"/>
  <c r="K927" i="4"/>
  <c r="J926" i="4"/>
  <c r="J924" i="4"/>
  <c r="J922" i="4"/>
  <c r="K920" i="4"/>
  <c r="K918" i="4"/>
  <c r="K916" i="4"/>
  <c r="J912" i="4"/>
  <c r="K909" i="4"/>
  <c r="K908" i="4"/>
  <c r="K907" i="4"/>
  <c r="J906" i="4"/>
  <c r="K901" i="4"/>
  <c r="J900" i="4"/>
  <c r="J896" i="4"/>
  <c r="K893" i="4"/>
  <c r="K889" i="4"/>
  <c r="K885" i="4"/>
  <c r="J884" i="4"/>
  <c r="K879" i="4"/>
  <c r="J878" i="4"/>
  <c r="J876" i="4"/>
  <c r="J874" i="4"/>
  <c r="K872" i="4"/>
  <c r="J871" i="4"/>
  <c r="K869" i="4"/>
  <c r="J868" i="4"/>
  <c r="K866" i="4"/>
  <c r="J865" i="4"/>
  <c r="K863" i="4"/>
  <c r="K855" i="4"/>
  <c r="J854" i="4"/>
  <c r="K850" i="4"/>
  <c r="K848" i="4"/>
  <c r="J844" i="4"/>
  <c r="K842" i="4"/>
  <c r="J841" i="4"/>
  <c r="J840" i="4"/>
  <c r="K837" i="4"/>
  <c r="J836" i="4"/>
  <c r="K833" i="4"/>
  <c r="J828" i="4"/>
  <c r="K825" i="4"/>
  <c r="K822" i="4"/>
  <c r="J821" i="4"/>
  <c r="K818" i="4"/>
  <c r="K816" i="4"/>
  <c r="K814" i="4"/>
  <c r="K812" i="4"/>
  <c r="K3093" i="4"/>
  <c r="J3103" i="4"/>
  <c r="J3104" i="4"/>
  <c r="K3105" i="4"/>
  <c r="K5221" i="4"/>
  <c r="K5219" i="4"/>
  <c r="K5217" i="4"/>
  <c r="J5216" i="4"/>
  <c r="J5215" i="4"/>
  <c r="K5213" i="4"/>
  <c r="J5212" i="4"/>
  <c r="J4822" i="4"/>
  <c r="J4814" i="4"/>
  <c r="J4803" i="4"/>
  <c r="J4795" i="4"/>
  <c r="K4788" i="4"/>
  <c r="K4782" i="4"/>
  <c r="K4779" i="4"/>
  <c r="J4765" i="4"/>
  <c r="J4730" i="4"/>
  <c r="J4727" i="4"/>
  <c r="J4712" i="4"/>
  <c r="N4712" i="4" s="1"/>
  <c r="O4712" i="4" s="1"/>
  <c r="K4675" i="4"/>
  <c r="J4656" i="4"/>
  <c r="K4633" i="4"/>
  <c r="J4610" i="4"/>
  <c r="J4555" i="4"/>
  <c r="K4491" i="4"/>
  <c r="K4487" i="4"/>
  <c r="J4426" i="4"/>
  <c r="K4423" i="4"/>
  <c r="J4339" i="4"/>
  <c r="J4336" i="4"/>
  <c r="J4277" i="4"/>
  <c r="K4269" i="4"/>
  <c r="J1181" i="4"/>
  <c r="K1179" i="4"/>
  <c r="J1178" i="4"/>
  <c r="J1176" i="4"/>
  <c r="K1174" i="4"/>
  <c r="J1173" i="4"/>
  <c r="K1168" i="4"/>
  <c r="J1167" i="4"/>
  <c r="J1163" i="4"/>
  <c r="K1161" i="4"/>
  <c r="J1160" i="4"/>
  <c r="K1158" i="4"/>
  <c r="J1157" i="4"/>
  <c r="K1155" i="4"/>
  <c r="J1154" i="4"/>
  <c r="J1149" i="4"/>
  <c r="K1147" i="4"/>
  <c r="K1145" i="4"/>
  <c r="K1143" i="4"/>
  <c r="K1141" i="4"/>
  <c r="K1139" i="4"/>
  <c r="K1137" i="4"/>
  <c r="J1135" i="4"/>
  <c r="J1133" i="4"/>
  <c r="K1131" i="4"/>
  <c r="J1129" i="4"/>
  <c r="J1127" i="4"/>
  <c r="K1125" i="4"/>
  <c r="J1123" i="4"/>
  <c r="J1121" i="4"/>
  <c r="K1119" i="4"/>
  <c r="J1117" i="4"/>
  <c r="K1115" i="4"/>
  <c r="J1114" i="4"/>
  <c r="J1112" i="4"/>
  <c r="J1110" i="4"/>
  <c r="J1108" i="4"/>
  <c r="K1106" i="4"/>
  <c r="J1104" i="4"/>
  <c r="J1102" i="4"/>
  <c r="K1100" i="4"/>
  <c r="K1098" i="4"/>
  <c r="K1082" i="4"/>
  <c r="J1081" i="4"/>
  <c r="J1079" i="4"/>
  <c r="K1077" i="4"/>
  <c r="J1076" i="4"/>
  <c r="K1074" i="4"/>
  <c r="J1073" i="4"/>
  <c r="K1068" i="4"/>
  <c r="J1067" i="4"/>
  <c r="K1065" i="4"/>
  <c r="J1064" i="4"/>
  <c r="K1062" i="4"/>
  <c r="J1061" i="4"/>
  <c r="J1059" i="4"/>
  <c r="J1055" i="4"/>
  <c r="J1053" i="4"/>
  <c r="K1051" i="4"/>
  <c r="J1050" i="4"/>
  <c r="K1048" i="4"/>
  <c r="J1047" i="4"/>
  <c r="J1045" i="4"/>
  <c r="J1043" i="4"/>
  <c r="K1041" i="4"/>
  <c r="J1040" i="4"/>
  <c r="J1035" i="4"/>
  <c r="K1033" i="4"/>
  <c r="J1032" i="4"/>
  <c r="K1030" i="4"/>
  <c r="K1029" i="4"/>
  <c r="J1028" i="4"/>
  <c r="J1026" i="4"/>
  <c r="K1024" i="4"/>
  <c r="K1020" i="4"/>
  <c r="J1019" i="4"/>
  <c r="K1014" i="4"/>
  <c r="J1013" i="4"/>
  <c r="K1011" i="4"/>
  <c r="J1010" i="4"/>
  <c r="K1008" i="4"/>
  <c r="J1007" i="4"/>
  <c r="K1005" i="4"/>
  <c r="K1003" i="4"/>
  <c r="J1002" i="4"/>
  <c r="J1000" i="4"/>
  <c r="J998" i="4"/>
  <c r="K993" i="4"/>
  <c r="J992" i="4"/>
  <c r="K987" i="4"/>
  <c r="K985" i="4"/>
  <c r="J983" i="4"/>
  <c r="K980" i="4"/>
  <c r="K978" i="4"/>
  <c r="K976" i="4"/>
  <c r="K974" i="4"/>
  <c r="K972" i="4"/>
  <c r="J967" i="4"/>
  <c r="J965" i="4"/>
  <c r="J960" i="4"/>
  <c r="J958" i="4"/>
  <c r="J954" i="4"/>
  <c r="K952" i="4"/>
  <c r="J951" i="4"/>
  <c r="K949" i="4"/>
  <c r="J948" i="4"/>
  <c r="J944" i="4"/>
  <c r="K867" i="4"/>
  <c r="K865" i="4"/>
  <c r="J864" i="4"/>
  <c r="K862" i="4"/>
  <c r="J861" i="4"/>
  <c r="J860" i="4"/>
  <c r="K858" i="4"/>
  <c r="J857" i="4"/>
  <c r="K853" i="4"/>
  <c r="J852" i="4"/>
  <c r="J850" i="4"/>
  <c r="J848" i="4"/>
  <c r="K846" i="4"/>
  <c r="K844" i="4"/>
  <c r="K843" i="4"/>
  <c r="K841" i="4"/>
  <c r="K839" i="4"/>
  <c r="J838" i="4"/>
  <c r="K835" i="4"/>
  <c r="J834" i="4"/>
  <c r="K829" i="4"/>
  <c r="K827" i="4"/>
  <c r="J826" i="4"/>
  <c r="K823" i="4"/>
  <c r="K821" i="4"/>
  <c r="J819" i="4"/>
  <c r="J817" i="4"/>
  <c r="J815" i="4"/>
  <c r="J812" i="4"/>
  <c r="J3111" i="4"/>
  <c r="J3116" i="4"/>
  <c r="K3128" i="4"/>
  <c r="J1162" i="4"/>
  <c r="J5207" i="4"/>
  <c r="J5172" i="4"/>
  <c r="J5142" i="4"/>
  <c r="J5110" i="4"/>
  <c r="K5072" i="4"/>
  <c r="J5063" i="4"/>
  <c r="J5025" i="4"/>
  <c r="K5017" i="4"/>
  <c r="J4979" i="4"/>
  <c r="K4971" i="4"/>
  <c r="K4917" i="4"/>
  <c r="J4904" i="4"/>
  <c r="J4892" i="4"/>
  <c r="J4862" i="4"/>
  <c r="J4856" i="4"/>
  <c r="K4815" i="4"/>
  <c r="K4812" i="4"/>
  <c r="J4802" i="4"/>
  <c r="K4793" i="4"/>
  <c r="J4783" i="4"/>
  <c r="J4754" i="4"/>
  <c r="J4729" i="4"/>
  <c r="K4709" i="4"/>
  <c r="J4684" i="4"/>
  <c r="J4654" i="4"/>
  <c r="J4611" i="4"/>
  <c r="K4556" i="4"/>
  <c r="J4553" i="4"/>
  <c r="K4505" i="4"/>
  <c r="J4492" i="4"/>
  <c r="J4488" i="4"/>
  <c r="K4460" i="4"/>
  <c r="K4451" i="4"/>
  <c r="K4389" i="4"/>
  <c r="K4378" i="4"/>
  <c r="J4298" i="4"/>
  <c r="J4271" i="4"/>
  <c r="J1179" i="4"/>
  <c r="K1177" i="4"/>
  <c r="J1174" i="4"/>
  <c r="K1172" i="4"/>
  <c r="J1171" i="4"/>
  <c r="K1169" i="4"/>
  <c r="J1168" i="4"/>
  <c r="K1166" i="4"/>
  <c r="J1165" i="4"/>
  <c r="K1163" i="4"/>
  <c r="K1157" i="4"/>
  <c r="K1156" i="4"/>
  <c r="K1154" i="4"/>
  <c r="K1153" i="4"/>
  <c r="K1151" i="4"/>
  <c r="K1150" i="4"/>
  <c r="K1146" i="4"/>
  <c r="J720" i="4"/>
  <c r="K720" i="4"/>
  <c r="J721" i="4"/>
  <c r="K722" i="4"/>
  <c r="K723" i="4"/>
  <c r="K724" i="4"/>
  <c r="J725" i="4"/>
  <c r="K725" i="4"/>
  <c r="K726" i="4"/>
  <c r="K727" i="4"/>
  <c r="K729" i="4"/>
  <c r="J730" i="4"/>
  <c r="K730" i="4"/>
  <c r="K731" i="4"/>
  <c r="K732" i="4"/>
  <c r="K734" i="4"/>
  <c r="K735" i="4"/>
  <c r="K736" i="4"/>
  <c r="J737" i="4"/>
  <c r="K737" i="4"/>
  <c r="J739" i="4"/>
  <c r="K739" i="4"/>
  <c r="J741" i="4"/>
  <c r="K741" i="4"/>
  <c r="J743" i="4"/>
  <c r="K744" i="4"/>
  <c r="J748" i="4"/>
  <c r="K749" i="4"/>
  <c r="K750" i="4"/>
  <c r="K751" i="4"/>
  <c r="K752" i="4"/>
  <c r="K753" i="4"/>
  <c r="K754" i="4"/>
  <c r="K757" i="4"/>
  <c r="K758" i="4"/>
  <c r="J761" i="4"/>
  <c r="K762" i="4"/>
  <c r="J766" i="4"/>
  <c r="K767" i="4"/>
  <c r="K768" i="4"/>
  <c r="K769" i="4"/>
  <c r="K770" i="4"/>
  <c r="K771" i="4"/>
  <c r="K772" i="4"/>
  <c r="K775" i="4"/>
  <c r="J777" i="4"/>
  <c r="K780" i="4"/>
  <c r="J781" i="4"/>
  <c r="J782" i="4"/>
  <c r="K783" i="4"/>
  <c r="J785" i="4"/>
  <c r="K788" i="4"/>
  <c r="K789" i="4"/>
  <c r="K792" i="4"/>
  <c r="J794" i="4"/>
  <c r="J795" i="4"/>
  <c r="J796" i="4"/>
  <c r="K797" i="4"/>
  <c r="J799" i="4"/>
  <c r="K802" i="4"/>
  <c r="K803" i="4"/>
  <c r="K804" i="4"/>
  <c r="K805" i="4"/>
  <c r="J807" i="4"/>
  <c r="K808" i="4"/>
  <c r="K809" i="4"/>
  <c r="K810" i="4"/>
  <c r="J813" i="4"/>
  <c r="K815" i="4"/>
  <c r="K817" i="4"/>
  <c r="J824" i="4"/>
  <c r="K826" i="4"/>
  <c r="J831" i="4"/>
  <c r="K832" i="4"/>
  <c r="K834" i="4"/>
  <c r="K836" i="4"/>
  <c r="K838" i="4"/>
  <c r="J843" i="4"/>
  <c r="J845" i="4"/>
  <c r="J846" i="4"/>
  <c r="K847" i="4"/>
  <c r="K849" i="4"/>
  <c r="K851" i="4"/>
  <c r="J853" i="4"/>
  <c r="K854" i="4"/>
  <c r="J856" i="4"/>
  <c r="K857" i="4"/>
  <c r="J859" i="4"/>
  <c r="K860" i="4"/>
  <c r="J862" i="4"/>
  <c r="J866" i="4"/>
  <c r="J867" i="4"/>
  <c r="J872" i="4"/>
  <c r="K873" i="4"/>
  <c r="K875" i="4"/>
  <c r="K877" i="4"/>
  <c r="J879" i="4"/>
  <c r="K880" i="4"/>
  <c r="J882" i="4"/>
  <c r="K883" i="4"/>
  <c r="J885" i="4"/>
  <c r="K886" i="4"/>
  <c r="K887" i="4"/>
  <c r="K888" i="4"/>
  <c r="K890" i="4"/>
  <c r="J892" i="4"/>
  <c r="K894" i="4"/>
  <c r="K896" i="4"/>
  <c r="J898" i="4"/>
  <c r="K899" i="4"/>
  <c r="J901" i="4"/>
  <c r="K902" i="4"/>
  <c r="J904" i="4"/>
  <c r="K905" i="4"/>
  <c r="J907" i="4"/>
  <c r="J911" i="4"/>
  <c r="J913" i="4"/>
  <c r="J917" i="4"/>
  <c r="J919" i="4"/>
  <c r="J920" i="4"/>
  <c r="K921" i="4"/>
  <c r="K923" i="4"/>
  <c r="K925" i="4"/>
  <c r="J927" i="4"/>
  <c r="K928" i="4"/>
  <c r="J930" i="4"/>
  <c r="K934" i="4"/>
  <c r="J936" i="4"/>
  <c r="J941" i="4"/>
  <c r="K942" i="4"/>
  <c r="K943" i="4"/>
  <c r="J945" i="4"/>
  <c r="K946" i="4"/>
  <c r="K950" i="4"/>
  <c r="J952" i="4"/>
  <c r="K953" i="4"/>
  <c r="J955" i="4"/>
  <c r="K956" i="4"/>
  <c r="K958" i="4"/>
  <c r="K960" i="4"/>
  <c r="J962" i="4"/>
  <c r="K963" i="4"/>
  <c r="K965" i="4"/>
  <c r="J968" i="4"/>
  <c r="K969" i="4"/>
  <c r="K971" i="4"/>
  <c r="K973" i="4"/>
  <c r="K975" i="4"/>
  <c r="K977" i="4"/>
  <c r="K979" i="4"/>
  <c r="K981" i="4"/>
  <c r="J984" i="4"/>
  <c r="K989" i="4"/>
  <c r="J991" i="4"/>
  <c r="K992" i="4"/>
  <c r="J994" i="4"/>
  <c r="K995" i="4"/>
  <c r="J997" i="4"/>
  <c r="J999" i="4"/>
  <c r="J1003" i="4"/>
  <c r="K1004" i="4"/>
  <c r="O1004" i="4" s="1"/>
  <c r="J1006" i="4"/>
  <c r="K1007" i="4"/>
  <c r="J1009" i="4"/>
  <c r="J1011" i="4"/>
  <c r="K1012" i="4"/>
  <c r="J1014" i="4"/>
  <c r="K1015" i="4"/>
  <c r="J1017" i="4"/>
  <c r="K1018" i="4"/>
  <c r="J1020" i="4"/>
  <c r="K1021" i="4"/>
  <c r="K1023" i="4"/>
  <c r="J1025" i="4"/>
  <c r="K1026" i="4"/>
  <c r="K1028" i="4"/>
  <c r="J1030" i="4"/>
  <c r="J1031" i="4"/>
  <c r="K1032" i="4"/>
  <c r="J1034" i="4"/>
  <c r="K1035" i="4"/>
  <c r="J1037" i="4"/>
  <c r="K1038" i="4"/>
  <c r="K1043" i="4"/>
  <c r="K1045" i="4"/>
  <c r="K1047" i="4"/>
  <c r="J1049" i="4"/>
  <c r="K1050" i="4"/>
  <c r="J1052" i="4"/>
  <c r="K1053" i="4"/>
  <c r="K1055" i="4"/>
  <c r="J1057" i="4"/>
  <c r="J1058" i="4"/>
  <c r="K1059" i="4"/>
  <c r="K1061" i="4"/>
  <c r="J1063" i="4"/>
  <c r="K1067" i="4"/>
  <c r="J1069" i="4"/>
  <c r="K1070" i="4"/>
  <c r="J1072" i="4"/>
  <c r="K1073" i="4"/>
  <c r="J1075" i="4"/>
  <c r="K1076" i="4"/>
  <c r="J1078" i="4"/>
  <c r="K1079" i="4"/>
  <c r="K1083" i="4"/>
  <c r="J1085" i="4"/>
  <c r="K1086" i="4"/>
  <c r="J1088" i="4"/>
  <c r="J1090" i="4"/>
  <c r="J1092" i="4"/>
  <c r="K1093" i="4"/>
  <c r="K1097" i="4"/>
  <c r="K1099" i="4"/>
  <c r="K1101" i="4"/>
  <c r="K1103" i="4"/>
  <c r="K1105" i="4"/>
  <c r="K1107" i="4"/>
  <c r="K1109" i="4"/>
  <c r="K1111" i="4"/>
  <c r="K1113" i="4"/>
  <c r="J1115" i="4"/>
  <c r="K1116" i="4"/>
  <c r="K1118" i="4"/>
  <c r="K1120" i="4"/>
  <c r="K1122" i="4"/>
  <c r="K1124" i="4"/>
  <c r="K1126" i="4"/>
  <c r="K1128" i="4"/>
  <c r="K1130" i="4"/>
  <c r="K1132" i="4"/>
  <c r="K1134" i="4"/>
  <c r="K1140" i="4"/>
  <c r="K1142" i="4"/>
  <c r="J1148" i="4"/>
  <c r="K1149" i="4"/>
  <c r="J1151" i="4"/>
  <c r="K1152" i="4"/>
  <c r="J1156" i="4"/>
  <c r="J1158" i="4"/>
  <c r="K1159" i="4"/>
  <c r="J1161" i="4"/>
  <c r="K1162" i="4"/>
  <c r="J1164" i="4"/>
  <c r="K1165" i="4"/>
  <c r="J1170" i="4"/>
  <c r="K1171" i="4"/>
  <c r="K1175" i="4"/>
  <c r="J1177" i="4"/>
  <c r="K1178" i="4"/>
  <c r="J1180" i="4"/>
  <c r="K1181" i="4"/>
  <c r="K4270" i="4"/>
  <c r="J4335" i="4"/>
  <c r="J4338" i="4"/>
  <c r="J4377" i="4"/>
  <c r="J4388" i="4"/>
  <c r="J4405" i="4"/>
  <c r="K4425" i="4"/>
  <c r="K4428" i="4"/>
  <c r="K4459" i="4"/>
  <c r="K4504" i="4"/>
  <c r="J4532" i="4"/>
  <c r="K4617" i="4"/>
  <c r="J4655" i="4"/>
  <c r="K4670" i="4"/>
  <c r="K4677" i="4"/>
  <c r="K4708" i="4"/>
  <c r="J4711" i="4"/>
  <c r="J4720" i="4"/>
  <c r="J4767" i="4"/>
  <c r="J4781" i="4"/>
  <c r="K4796" i="4"/>
  <c r="K4813" i="4"/>
  <c r="K4817" i="4"/>
  <c r="K4857" i="4"/>
  <c r="K4873" i="4"/>
  <c r="K4897" i="4"/>
  <c r="J4905" i="4"/>
  <c r="K4918" i="4"/>
  <c r="K4951" i="4"/>
  <c r="K4967" i="4"/>
  <c r="J4976" i="4"/>
  <c r="K4980" i="4"/>
  <c r="J5018" i="4"/>
  <c r="K5073" i="4"/>
  <c r="J5127" i="4"/>
  <c r="J5208" i="4"/>
  <c r="K5209" i="4"/>
  <c r="K5210" i="4"/>
  <c r="K5211" i="4"/>
  <c r="J5213" i="4"/>
  <c r="K5214" i="4"/>
  <c r="K5216" i="4"/>
  <c r="J5218" i="4"/>
  <c r="J5220" i="4"/>
  <c r="K5220" i="4"/>
  <c r="K1144" i="4"/>
  <c r="K1138" i="4"/>
  <c r="K1136" i="4"/>
  <c r="J1132" i="4"/>
  <c r="J1130" i="4"/>
  <c r="K721" i="4"/>
  <c r="J722" i="4"/>
  <c r="J723" i="4"/>
  <c r="J724" i="4"/>
  <c r="J726" i="4"/>
  <c r="J727" i="4"/>
  <c r="J728" i="4"/>
  <c r="K728" i="4"/>
  <c r="J729" i="4"/>
  <c r="J731" i="4"/>
  <c r="J732" i="4"/>
  <c r="J733" i="4"/>
  <c r="K733" i="4"/>
  <c r="J734" i="4"/>
  <c r="J735" i="4"/>
  <c r="J736" i="4"/>
  <c r="J738" i="4"/>
  <c r="K743" i="4"/>
  <c r="J745" i="4"/>
  <c r="J746" i="4"/>
  <c r="J747" i="4"/>
  <c r="K748" i="4"/>
  <c r="J750" i="4"/>
  <c r="J751" i="4"/>
  <c r="J754" i="4"/>
  <c r="J755" i="4"/>
  <c r="J756" i="4"/>
  <c r="J757" i="4"/>
  <c r="J758" i="4"/>
  <c r="J759" i="4"/>
  <c r="J760" i="4"/>
  <c r="K761" i="4"/>
  <c r="J763" i="4"/>
  <c r="J764" i="4"/>
  <c r="J765" i="4"/>
  <c r="K766" i="4"/>
  <c r="J768" i="4"/>
  <c r="J769" i="4"/>
  <c r="J772" i="4"/>
  <c r="J773" i="4"/>
  <c r="J774" i="4"/>
  <c r="J775" i="4"/>
  <c r="K776" i="4"/>
  <c r="J778" i="4"/>
  <c r="J779" i="4"/>
  <c r="J780" i="4"/>
  <c r="K781" i="4"/>
  <c r="K782" i="4"/>
  <c r="J784" i="4"/>
  <c r="K785" i="4"/>
  <c r="K786" i="4"/>
  <c r="K787" i="4"/>
  <c r="K790" i="4"/>
  <c r="K791" i="4"/>
  <c r="J793" i="4"/>
  <c r="K794" i="4"/>
  <c r="K795" i="4"/>
  <c r="K796" i="4"/>
  <c r="J798" i="4"/>
  <c r="K799" i="4"/>
  <c r="K800" i="4"/>
  <c r="K801" i="4"/>
  <c r="J804" i="4"/>
  <c r="J805" i="4"/>
  <c r="J806" i="4"/>
  <c r="K807" i="4"/>
  <c r="J809" i="4"/>
  <c r="J810" i="4"/>
  <c r="J811" i="4"/>
  <c r="K813" i="4"/>
  <c r="K819" i="4"/>
  <c r="K820" i="4"/>
  <c r="J823" i="4"/>
  <c r="J825" i="4"/>
  <c r="K828" i="4"/>
  <c r="J830" i="4"/>
  <c r="K831" i="4"/>
  <c r="J833" i="4"/>
  <c r="J835" i="4"/>
  <c r="K840" i="4"/>
  <c r="J842" i="4"/>
  <c r="K845" i="4"/>
  <c r="J847" i="4"/>
  <c r="J849" i="4"/>
  <c r="J851" i="4"/>
  <c r="K852" i="4"/>
  <c r="J869" i="4"/>
  <c r="K870" i="4"/>
  <c r="J875" i="4"/>
  <c r="J877" i="4"/>
  <c r="K878" i="4"/>
  <c r="J880" i="4"/>
  <c r="K881" i="4"/>
  <c r="J883" i="4"/>
  <c r="K884" i="4"/>
  <c r="J888" i="4"/>
  <c r="J890" i="4"/>
  <c r="K891" i="4"/>
  <c r="J893" i="4"/>
  <c r="J895" i="4"/>
  <c r="J897" i="4"/>
  <c r="K898" i="4"/>
  <c r="J903" i="4"/>
  <c r="K904" i="4"/>
  <c r="J909" i="4"/>
  <c r="K910" i="4"/>
  <c r="K912" i="4"/>
  <c r="J914" i="4"/>
  <c r="J915" i="4"/>
  <c r="K915" i="4"/>
  <c r="K917" i="4"/>
  <c r="K922" i="4"/>
  <c r="K924" i="4"/>
  <c r="K926" i="4"/>
  <c r="J928" i="4"/>
  <c r="K931" i="4"/>
  <c r="J933" i="4"/>
  <c r="K937" i="4"/>
  <c r="J939" i="4"/>
  <c r="K940" i="4"/>
  <c r="J942" i="4"/>
  <c r="J943" i="4"/>
  <c r="K944" i="4"/>
  <c r="J946" i="4"/>
  <c r="K947" i="4"/>
  <c r="J949" i="4"/>
  <c r="J953" i="4"/>
  <c r="K954" i="4"/>
  <c r="J956" i="4"/>
  <c r="K957" i="4"/>
  <c r="K959" i="4"/>
  <c r="K961" i="4"/>
  <c r="J963" i="4"/>
  <c r="K964" i="4"/>
  <c r="K966" i="4"/>
  <c r="J971" i="4"/>
  <c r="J973" i="4"/>
  <c r="J975" i="4"/>
  <c r="J977" i="4"/>
  <c r="J979" i="4"/>
  <c r="J981" i="4"/>
  <c r="K983" i="4"/>
  <c r="J986" i="4"/>
  <c r="J988" i="4"/>
  <c r="J990" i="4"/>
  <c r="K991" i="4"/>
  <c r="J993" i="4"/>
  <c r="K994" i="4"/>
  <c r="J996" i="4"/>
  <c r="K998" i="4"/>
  <c r="K1000" i="4"/>
  <c r="J1001" i="4"/>
  <c r="J1086" i="4"/>
  <c r="K1087" i="4"/>
  <c r="K1089" i="4"/>
  <c r="K1091" i="4"/>
  <c r="J1093" i="4"/>
  <c r="J1095" i="4"/>
  <c r="K1096" i="4"/>
  <c r="J1098" i="4"/>
  <c r="J1100" i="4"/>
  <c r="K1102" i="4"/>
  <c r="K1104" i="4"/>
  <c r="J1106" i="4"/>
  <c r="K1108" i="4"/>
  <c r="K1110" i="4"/>
  <c r="K1112" i="4"/>
  <c r="K1117" i="4"/>
  <c r="J1119" i="4"/>
  <c r="K1121" i="4"/>
  <c r="K1123" i="4"/>
  <c r="J1125" i="4"/>
  <c r="K1127" i="4"/>
  <c r="K1129" i="4"/>
  <c r="J1131" i="4"/>
  <c r="J1134" i="4"/>
  <c r="K1135" i="4"/>
  <c r="J1138" i="4"/>
  <c r="J1140" i="4"/>
  <c r="J1142" i="4"/>
  <c r="J1144" i="4"/>
  <c r="J1146" i="4"/>
  <c r="K1148" i="4"/>
  <c r="J1150" i="4"/>
  <c r="J1152" i="4"/>
  <c r="J1153" i="4"/>
  <c r="J1155" i="4"/>
  <c r="J1159" i="4"/>
  <c r="K1160" i="4"/>
  <c r="K1164" i="4"/>
  <c r="J1166" i="4"/>
  <c r="K1167" i="4"/>
  <c r="J1169" i="4"/>
  <c r="K1170" i="4"/>
  <c r="J1172" i="4"/>
  <c r="K1173" i="4"/>
  <c r="J1175" i="4"/>
  <c r="K1176" i="4"/>
  <c r="K1180" i="4"/>
  <c r="J1182" i="4"/>
  <c r="J4337" i="4"/>
  <c r="J4340" i="4"/>
  <c r="K4383" i="4"/>
  <c r="K4395" i="4"/>
  <c r="J4424" i="4"/>
  <c r="J4427" i="4"/>
  <c r="K4452" i="4"/>
  <c r="J4482" i="4"/>
  <c r="K4489" i="4"/>
  <c r="J4503" i="4"/>
  <c r="K4507" i="4"/>
  <c r="J4554" i="4"/>
  <c r="J4567" i="4"/>
  <c r="J4669" i="4"/>
  <c r="K4676" i="4"/>
  <c r="J4707" i="4"/>
  <c r="J4710" i="4"/>
  <c r="K4713" i="4"/>
  <c r="J4728" i="4"/>
  <c r="J4753" i="4"/>
  <c r="J4766" i="4"/>
  <c r="K4780" i="4"/>
  <c r="J4784" i="4"/>
  <c r="J4794" i="4"/>
  <c r="J4898" i="4"/>
  <c r="K4906" i="4"/>
  <c r="J4919" i="4"/>
  <c r="K4953" i="4"/>
  <c r="K4968" i="4"/>
  <c r="J4977" i="4"/>
  <c r="J5038" i="4"/>
  <c r="K5065" i="4"/>
  <c r="K5171" i="4"/>
  <c r="K5188" i="4"/>
  <c r="K5212" i="4"/>
  <c r="J5214" i="4"/>
  <c r="K5218" i="4"/>
  <c r="K719" i="4"/>
  <c r="K738" i="4"/>
  <c r="J740" i="4"/>
  <c r="K740" i="4"/>
  <c r="J742" i="4"/>
  <c r="K742" i="4"/>
  <c r="J744" i="4"/>
  <c r="K745" i="4"/>
  <c r="K746" i="4"/>
  <c r="K747" i="4"/>
  <c r="J749" i="4"/>
  <c r="J752" i="4"/>
  <c r="J753" i="4"/>
  <c r="K755" i="4"/>
  <c r="K756" i="4"/>
  <c r="K759" i="4"/>
  <c r="K760" i="4"/>
  <c r="J762" i="4"/>
  <c r="K763" i="4"/>
  <c r="K764" i="4"/>
  <c r="K765" i="4"/>
  <c r="J767" i="4"/>
  <c r="J770" i="4"/>
  <c r="J771" i="4"/>
  <c r="K773" i="4"/>
  <c r="K774" i="4"/>
  <c r="J776" i="4"/>
  <c r="K777" i="4"/>
  <c r="K778" i="4"/>
  <c r="K779" i="4"/>
  <c r="J783" i="4"/>
  <c r="K784" i="4"/>
  <c r="J786" i="4"/>
  <c r="J787" i="4"/>
  <c r="J788" i="4"/>
  <c r="J789" i="4"/>
  <c r="J790" i="4"/>
  <c r="J791" i="4"/>
  <c r="J792" i="4"/>
  <c r="K793" i="4"/>
  <c r="J797" i="4"/>
  <c r="K798" i="4"/>
  <c r="J800" i="4"/>
  <c r="J801" i="4"/>
  <c r="J802" i="4"/>
  <c r="J803" i="4"/>
  <c r="K806" i="4"/>
  <c r="J808" i="4"/>
  <c r="K811" i="4"/>
  <c r="J814" i="4"/>
  <c r="J816" i="4"/>
  <c r="J818" i="4"/>
  <c r="J820" i="4"/>
  <c r="J822" i="4"/>
  <c r="K824" i="4"/>
  <c r="J827" i="4"/>
  <c r="J829" i="4"/>
  <c r="K830" i="4"/>
  <c r="J832" i="4"/>
  <c r="J837" i="4"/>
  <c r="J839" i="4"/>
  <c r="J855" i="4"/>
  <c r="K856" i="4"/>
  <c r="J858" i="4"/>
  <c r="K859" i="4"/>
  <c r="K861" i="4"/>
  <c r="J863" i="4"/>
  <c r="K864" i="4"/>
  <c r="K868" i="4"/>
  <c r="J870" i="4"/>
  <c r="K871" i="4"/>
  <c r="J873" i="4"/>
  <c r="K874" i="4"/>
  <c r="K876" i="4"/>
  <c r="J881" i="4"/>
  <c r="K882" i="4"/>
  <c r="J886" i="4"/>
  <c r="J887" i="4"/>
  <c r="J889" i="4"/>
  <c r="J891" i="4"/>
  <c r="K892" i="4"/>
  <c r="J894" i="4"/>
  <c r="K895" i="4"/>
  <c r="K897" i="4"/>
  <c r="J899" i="4"/>
  <c r="K900" i="4"/>
  <c r="J902" i="4"/>
  <c r="K903" i="4"/>
  <c r="J905" i="4"/>
  <c r="K906" i="4"/>
  <c r="J908" i="4"/>
  <c r="J910" i="4"/>
  <c r="K911" i="4"/>
  <c r="K913" i="4"/>
  <c r="K914" i="4"/>
  <c r="J916" i="4"/>
  <c r="J918" i="4"/>
  <c r="K919" i="4"/>
  <c r="J921" i="4"/>
  <c r="J923" i="4"/>
  <c r="J925" i="4"/>
  <c r="K929" i="4"/>
  <c r="J931" i="4"/>
  <c r="J932" i="4"/>
  <c r="K933" i="4"/>
  <c r="J935" i="4"/>
  <c r="K936" i="4"/>
  <c r="J938" i="4"/>
  <c r="K939" i="4"/>
  <c r="K941" i="4"/>
  <c r="K945" i="4"/>
  <c r="J947" i="4"/>
  <c r="K948" i="4"/>
  <c r="J950" i="4"/>
  <c r="K951" i="4"/>
  <c r="K955" i="4"/>
  <c r="J957" i="4"/>
  <c r="J959" i="4"/>
  <c r="J961" i="4"/>
  <c r="K962" i="4"/>
  <c r="J964" i="4"/>
  <c r="J966" i="4"/>
  <c r="K968" i="4"/>
  <c r="J970" i="4"/>
  <c r="J974" i="4"/>
  <c r="J976" i="4"/>
  <c r="J982" i="4"/>
  <c r="K984" i="4"/>
  <c r="K986" i="4"/>
  <c r="K988" i="4"/>
  <c r="J1005" i="4"/>
  <c r="K1006" i="4"/>
  <c r="K1010" i="4"/>
  <c r="J1012" i="4"/>
  <c r="J1016" i="4"/>
  <c r="K1017" i="4"/>
  <c r="J1022" i="4"/>
  <c r="J1023" i="4"/>
  <c r="K1027" i="4"/>
  <c r="K1031" i="4"/>
  <c r="K1036" i="4"/>
  <c r="J1038" i="4"/>
  <c r="K1039" i="4"/>
  <c r="K1040" i="4"/>
  <c r="K1042" i="4"/>
  <c r="J1044" i="4"/>
  <c r="J1046" i="4"/>
  <c r="J1051" i="4"/>
  <c r="K1052" i="4"/>
  <c r="J1054" i="4"/>
  <c r="K1056" i="4"/>
  <c r="K1060" i="4"/>
  <c r="J1062" i="4"/>
  <c r="K1063" i="4"/>
  <c r="J1065" i="4"/>
  <c r="K1066" i="4"/>
  <c r="J1068" i="4"/>
  <c r="K1069" i="4"/>
  <c r="J1071" i="4"/>
  <c r="K1072" i="4"/>
  <c r="J1074" i="4"/>
  <c r="K1078" i="4"/>
  <c r="J1080" i="4"/>
  <c r="K1081" i="4"/>
  <c r="J1083" i="4"/>
  <c r="K1084" i="4"/>
  <c r="J1089" i="4"/>
  <c r="J1091" i="4"/>
  <c r="K1092" i="4"/>
  <c r="J1094" i="4"/>
  <c r="K1095" i="4"/>
  <c r="J1097" i="4"/>
  <c r="J1099" i="4"/>
  <c r="J1101" i="4"/>
  <c r="J1103" i="4"/>
  <c r="J1105" i="4"/>
  <c r="J1107" i="4"/>
  <c r="J1109" i="4"/>
  <c r="J1111" i="4"/>
  <c r="J1113" i="4"/>
  <c r="K1114" i="4"/>
  <c r="J1116" i="4"/>
  <c r="J1118" i="4"/>
  <c r="J1120" i="4"/>
  <c r="J1122" i="4"/>
  <c r="J1124" i="4"/>
  <c r="J1126" i="4"/>
  <c r="J1128" i="4"/>
  <c r="K1133" i="4"/>
  <c r="J1136" i="4"/>
  <c r="J1137" i="4"/>
  <c r="J1139" i="4"/>
  <c r="J1141" i="4"/>
  <c r="J1143" i="4"/>
  <c r="J1145" i="4"/>
  <c r="J1147" i="4"/>
  <c r="J4804" i="4"/>
  <c r="J4816" i="4"/>
  <c r="K4823" i="4"/>
  <c r="J4871" i="4"/>
  <c r="J4887" i="4"/>
  <c r="J4950" i="4"/>
  <c r="K4965" i="4"/>
  <c r="K4982" i="4"/>
  <c r="K5019" i="4"/>
  <c r="K5064" i="4"/>
  <c r="J5068" i="4"/>
  <c r="J5087" i="4"/>
  <c r="K5137" i="4"/>
  <c r="K5183" i="4"/>
  <c r="K5207" i="4"/>
  <c r="J5209" i="4"/>
  <c r="J5210" i="4"/>
  <c r="J5211" i="4"/>
  <c r="K5215" i="4"/>
  <c r="J5217" i="4"/>
  <c r="J5221" i="4"/>
  <c r="J3139" i="4"/>
  <c r="K1974" i="4"/>
  <c r="J1975" i="4"/>
  <c r="J1976" i="4"/>
  <c r="K1977" i="4"/>
  <c r="K1978" i="4"/>
  <c r="K1979" i="4"/>
  <c r="J1984" i="4"/>
  <c r="J2000" i="4"/>
  <c r="J2011" i="4"/>
  <c r="J2031" i="4"/>
  <c r="K2032" i="4"/>
  <c r="K2066" i="4"/>
  <c r="J2067" i="4"/>
  <c r="J2083" i="4"/>
  <c r="J2084" i="4"/>
  <c r="J2085" i="4"/>
  <c r="K2086" i="4"/>
  <c r="K2087" i="4"/>
  <c r="J2088" i="4"/>
  <c r="K2089" i="4"/>
  <c r="K2090" i="4"/>
  <c r="K2091" i="4"/>
  <c r="J2092" i="4"/>
  <c r="K2097" i="4"/>
  <c r="J2115" i="4"/>
  <c r="J2120" i="4"/>
  <c r="K2129" i="4"/>
  <c r="J2138" i="4"/>
  <c r="J2139" i="4"/>
  <c r="J2140" i="4"/>
  <c r="J2150" i="4"/>
  <c r="J2157" i="4"/>
  <c r="J2162" i="4"/>
  <c r="K2163" i="4"/>
  <c r="J2164" i="4"/>
  <c r="K2176" i="4"/>
  <c r="K2181" i="4"/>
  <c r="J2189" i="4"/>
  <c r="J2206" i="4"/>
  <c r="J2211" i="4"/>
  <c r="J2217" i="4"/>
  <c r="J2242" i="4"/>
  <c r="J2253" i="4"/>
  <c r="J2266" i="4"/>
  <c r="J2267" i="4"/>
  <c r="J2268" i="4"/>
  <c r="K2290" i="4"/>
  <c r="K2300" i="4"/>
  <c r="J2327" i="4"/>
  <c r="J2332" i="4"/>
  <c r="J2349" i="4"/>
  <c r="J2358" i="4"/>
  <c r="J2359" i="4"/>
  <c r="K2394" i="4"/>
  <c r="K2401" i="4"/>
  <c r="J2406" i="4"/>
  <c r="K2413" i="4"/>
  <c r="K2414" i="4"/>
  <c r="K2415" i="4"/>
  <c r="K2445" i="4"/>
  <c r="K2454" i="4"/>
  <c r="K2455" i="4"/>
  <c r="K2456" i="4"/>
  <c r="J2457" i="4"/>
  <c r="K2458" i="4"/>
  <c r="K2481" i="4"/>
  <c r="K2491" i="4"/>
  <c r="J2493" i="4"/>
  <c r="J2494" i="4"/>
  <c r="K2495" i="4"/>
  <c r="K2504" i="4"/>
  <c r="K2505" i="4"/>
  <c r="K2506" i="4"/>
  <c r="K2507" i="4"/>
  <c r="K2508" i="4"/>
  <c r="K2509" i="4"/>
  <c r="J2523" i="4"/>
  <c r="K2524" i="4"/>
  <c r="K2525" i="4"/>
  <c r="J2526" i="4"/>
  <c r="J2527" i="4"/>
  <c r="K2532" i="4"/>
  <c r="K2533" i="4"/>
  <c r="K2552" i="4"/>
  <c r="J2553" i="4"/>
  <c r="K2554" i="4"/>
  <c r="J2556" i="4"/>
  <c r="K2566" i="4"/>
  <c r="J2576" i="4"/>
  <c r="J2577" i="4"/>
  <c r="J2586" i="4"/>
  <c r="K2588" i="4"/>
  <c r="K2589" i="4"/>
  <c r="K2590" i="4"/>
  <c r="J2591" i="4"/>
  <c r="J2598" i="4"/>
  <c r="K2599" i="4"/>
  <c r="J2612" i="4"/>
  <c r="J2613" i="4"/>
  <c r="K2614" i="4"/>
  <c r="J2615" i="4"/>
  <c r="K2624" i="4"/>
  <c r="K2625" i="4"/>
  <c r="K2661" i="4"/>
  <c r="J2670" i="4"/>
  <c r="J2671" i="4"/>
  <c r="J2672" i="4"/>
  <c r="K2673" i="4"/>
  <c r="K2686" i="4"/>
  <c r="J2687" i="4"/>
  <c r="K2692" i="4"/>
  <c r="J2705" i="4"/>
  <c r="J2706" i="4"/>
  <c r="K2715" i="4"/>
  <c r="J2716" i="4"/>
  <c r="K2717" i="4"/>
  <c r="K2718" i="4"/>
  <c r="K2719" i="4"/>
  <c r="J2720" i="4"/>
  <c r="K2721" i="4"/>
  <c r="J2726" i="4"/>
  <c r="K2734" i="4"/>
  <c r="J2736" i="4"/>
  <c r="J2737" i="4"/>
  <c r="J2738" i="4"/>
  <c r="J2739" i="4"/>
  <c r="J2740" i="4"/>
  <c r="K2753" i="4"/>
  <c r="K2754" i="4"/>
  <c r="K2755" i="4"/>
  <c r="K2756" i="4"/>
  <c r="K2777" i="4"/>
  <c r="K2778" i="4"/>
  <c r="K2787" i="4"/>
  <c r="J2788" i="4"/>
  <c r="J2789" i="4"/>
  <c r="K2790" i="4"/>
  <c r="J2801" i="4"/>
  <c r="K2808" i="4"/>
  <c r="K2816" i="4"/>
  <c r="J2818" i="4"/>
  <c r="J2819" i="4"/>
  <c r="J2820" i="4"/>
  <c r="K2824" i="4"/>
  <c r="J2831" i="4"/>
  <c r="J2840" i="4"/>
  <c r="J2841" i="4"/>
  <c r="K2845" i="4"/>
  <c r="K2846" i="4"/>
  <c r="K2847" i="4"/>
  <c r="J2848" i="4"/>
  <c r="J2849" i="4"/>
  <c r="J2859" i="4"/>
  <c r="K2876" i="4"/>
  <c r="K2877" i="4"/>
  <c r="K2878" i="4"/>
  <c r="J2879" i="4"/>
  <c r="J2880" i="4"/>
  <c r="J2881" i="4"/>
  <c r="K2882" i="4"/>
  <c r="K2883" i="4"/>
  <c r="J2884" i="4"/>
  <c r="J2885" i="4"/>
  <c r="K2914" i="4"/>
  <c r="K2921" i="4"/>
  <c r="K2930" i="4"/>
  <c r="J2936" i="4"/>
  <c r="J2937" i="4"/>
  <c r="J2938" i="4"/>
  <c r="K2939" i="4"/>
  <c r="K2943" i="4"/>
  <c r="K2945" i="4"/>
  <c r="K2946" i="4"/>
  <c r="K2947" i="4"/>
  <c r="J2960" i="4"/>
  <c r="K2961" i="4"/>
  <c r="K2962" i="4"/>
  <c r="J2963" i="4"/>
  <c r="K2964" i="4"/>
  <c r="K2965" i="4"/>
  <c r="J2966" i="4"/>
  <c r="J2967" i="4"/>
  <c r="J2968" i="4"/>
  <c r="J2969" i="4"/>
  <c r="J2975" i="4"/>
  <c r="K2985" i="4"/>
  <c r="J2986" i="4"/>
  <c r="K2987" i="4"/>
  <c r="K2988" i="4"/>
  <c r="K2990" i="4"/>
  <c r="J2996" i="4"/>
  <c r="J2997" i="4"/>
  <c r="J2998" i="4"/>
  <c r="K3002" i="4"/>
  <c r="J3012" i="4"/>
  <c r="K3016" i="4"/>
  <c r="J3022" i="4"/>
  <c r="K3037" i="4"/>
  <c r="K3038" i="4"/>
  <c r="J3039" i="4"/>
  <c r="J3040" i="4"/>
  <c r="J3041" i="4"/>
  <c r="J3042" i="4"/>
  <c r="J3092" i="4"/>
  <c r="Q3007" i="5"/>
  <c r="J1918" i="4"/>
  <c r="J1931" i="4"/>
  <c r="J1948" i="4"/>
  <c r="J1950" i="4"/>
  <c r="K1951" i="4"/>
  <c r="K1952" i="4"/>
  <c r="J1953" i="4"/>
  <c r="K1972" i="4"/>
  <c r="K1973" i="4"/>
  <c r="K716" i="4"/>
  <c r="J717" i="4"/>
  <c r="K717" i="4"/>
  <c r="J718" i="4"/>
  <c r="K718" i="4"/>
  <c r="J719" i="4"/>
  <c r="J712" i="4"/>
  <c r="J713" i="4"/>
  <c r="K713" i="4"/>
  <c r="J714" i="4"/>
  <c r="K714" i="4"/>
  <c r="J715" i="4"/>
  <c r="K715" i="4"/>
  <c r="J716" i="4"/>
  <c r="K1802" i="4"/>
  <c r="K1804" i="4"/>
  <c r="K1809" i="4"/>
  <c r="K1814" i="4"/>
  <c r="K1827" i="4"/>
  <c r="K1828" i="4"/>
  <c r="J1831" i="4"/>
  <c r="J1833" i="4"/>
  <c r="K1834" i="4"/>
  <c r="K1835" i="4"/>
  <c r="K1840" i="4"/>
  <c r="J1863" i="4"/>
  <c r="J1864" i="4"/>
  <c r="K1865" i="4"/>
  <c r="K1868" i="4"/>
  <c r="K1887" i="4"/>
  <c r="K1898" i="4"/>
  <c r="K1909" i="4"/>
  <c r="J1910" i="4"/>
  <c r="K1911" i="4"/>
  <c r="K1916" i="4"/>
  <c r="J5102" i="4"/>
  <c r="K5111" i="4"/>
  <c r="K5120" i="4"/>
  <c r="K5122" i="4"/>
  <c r="K5129" i="4"/>
  <c r="K5130" i="4"/>
  <c r="J5131" i="4"/>
  <c r="J5132" i="4"/>
  <c r="J5133" i="4"/>
  <c r="J5134" i="4"/>
  <c r="J5135" i="4"/>
  <c r="J5136" i="4"/>
  <c r="K5140" i="4"/>
  <c r="K5147" i="4"/>
  <c r="J5158" i="4"/>
  <c r="K5178" i="4"/>
  <c r="K5195" i="4"/>
  <c r="K5200" i="4"/>
  <c r="K5205" i="4"/>
  <c r="J5815" i="4"/>
  <c r="J5825" i="4"/>
  <c r="K5829" i="4"/>
  <c r="K5846" i="4"/>
  <c r="J5847" i="4"/>
  <c r="J5848" i="4"/>
  <c r="K5852" i="4"/>
  <c r="K5853" i="4"/>
  <c r="J5863" i="4"/>
  <c r="J5864" i="4"/>
  <c r="J5868" i="4"/>
  <c r="J5869" i="4"/>
  <c r="K5878" i="4"/>
  <c r="J5895" i="4"/>
  <c r="J5901" i="4"/>
  <c r="K5905" i="4"/>
  <c r="K5906" i="4"/>
  <c r="K5907" i="4"/>
  <c r="J5908" i="4"/>
  <c r="K5909" i="4"/>
  <c r="K5910" i="4"/>
  <c r="K5911" i="4"/>
  <c r="J5927" i="4"/>
  <c r="K5931" i="4"/>
  <c r="J5932" i="4"/>
  <c r="J5933" i="4"/>
  <c r="K5937" i="4"/>
  <c r="J5938" i="4"/>
  <c r="K5949" i="4"/>
  <c r="K5950" i="4"/>
  <c r="K5951" i="4"/>
  <c r="K5952" i="4"/>
  <c r="K5953" i="4"/>
  <c r="K5957" i="4"/>
  <c r="J5958" i="4"/>
  <c r="J5959" i="4"/>
  <c r="J5960" i="4"/>
  <c r="J5961" i="4"/>
  <c r="J5962" i="4"/>
  <c r="J5994" i="4"/>
  <c r="J5998" i="4"/>
  <c r="J5999" i="4"/>
  <c r="K6001" i="4"/>
  <c r="K5" i="4"/>
  <c r="K15" i="4"/>
  <c r="J49" i="4"/>
  <c r="J50" i="4"/>
  <c r="J51" i="4"/>
  <c r="J61" i="4"/>
  <c r="K62" i="4"/>
  <c r="K63" i="4"/>
  <c r="J80" i="4"/>
  <c r="J124" i="4"/>
  <c r="K125" i="4"/>
  <c r="K126" i="4"/>
  <c r="J135" i="4"/>
  <c r="K136" i="4"/>
  <c r="K138" i="4"/>
  <c r="K143" i="4"/>
  <c r="J144" i="4"/>
  <c r="K145" i="4"/>
  <c r="J170" i="4"/>
  <c r="K188" i="4"/>
  <c r="K194" i="4"/>
  <c r="K200" i="4"/>
  <c r="K207" i="4"/>
  <c r="K217" i="4"/>
  <c r="K218" i="4"/>
  <c r="K219" i="4"/>
  <c r="K244" i="4"/>
  <c r="J250" i="4"/>
  <c r="J251" i="4"/>
  <c r="J252" i="4"/>
  <c r="K253" i="4"/>
  <c r="K258" i="4"/>
  <c r="J265" i="4"/>
  <c r="K266" i="4"/>
  <c r="K267" i="4"/>
  <c r="J268" i="4"/>
  <c r="J269" i="4"/>
  <c r="J275" i="4"/>
  <c r="K276" i="4"/>
  <c r="J277" i="4"/>
  <c r="J278" i="4"/>
  <c r="J297" i="4"/>
  <c r="J298" i="4"/>
  <c r="J299" i="4"/>
  <c r="J300" i="4"/>
  <c r="K301" i="4"/>
  <c r="J311" i="4"/>
  <c r="J328" i="4"/>
  <c r="K329" i="4"/>
  <c r="K331" i="4"/>
  <c r="J336" i="4"/>
  <c r="K337" i="4"/>
  <c r="K338" i="4"/>
  <c r="J339" i="4"/>
  <c r="J340" i="4"/>
  <c r="K341" i="4"/>
  <c r="K347" i="4"/>
  <c r="J350" i="4"/>
  <c r="N350" i="4" s="1"/>
  <c r="K351" i="4"/>
  <c r="K352" i="4"/>
  <c r="J353" i="4"/>
  <c r="J354" i="4"/>
  <c r="J360" i="4"/>
  <c r="K361" i="4"/>
  <c r="J393" i="4"/>
  <c r="K394" i="4"/>
  <c r="K400" i="4"/>
  <c r="J406" i="4"/>
  <c r="J407" i="4"/>
  <c r="J408" i="4"/>
  <c r="J409" i="4"/>
  <c r="J412" i="4"/>
  <c r="K417" i="4"/>
  <c r="K418" i="4"/>
  <c r="J437" i="4"/>
  <c r="J438" i="4"/>
  <c r="K1509" i="4"/>
  <c r="J1511" i="4"/>
  <c r="J1516" i="4"/>
  <c r="J1517" i="4"/>
  <c r="K1519" i="4"/>
  <c r="K1530" i="4"/>
  <c r="K1533" i="4"/>
  <c r="J1542" i="4"/>
  <c r="K1543" i="4"/>
  <c r="K1544" i="4"/>
  <c r="K1551" i="4"/>
  <c r="J1558" i="4"/>
  <c r="J1567" i="4"/>
  <c r="K1568" i="4"/>
  <c r="K1569" i="4"/>
  <c r="J1574" i="4"/>
  <c r="K1575" i="4"/>
  <c r="J1585" i="4"/>
  <c r="K1628" i="4"/>
  <c r="J1634" i="4"/>
  <c r="J1635" i="4"/>
  <c r="K1648" i="4"/>
  <c r="K1649" i="4"/>
  <c r="K1650" i="4"/>
  <c r="J1651" i="4"/>
  <c r="J1652" i="4"/>
  <c r="J1653" i="4"/>
  <c r="K1664" i="4"/>
  <c r="J1665" i="4"/>
  <c r="K1666" i="4"/>
  <c r="K1667" i="4"/>
  <c r="K1668" i="4"/>
  <c r="K1702" i="4"/>
  <c r="K1716" i="4"/>
  <c r="J1717" i="4"/>
  <c r="J1718" i="4"/>
  <c r="J1725" i="4"/>
  <c r="J1726" i="4"/>
  <c r="J1731" i="4"/>
  <c r="K1732" i="4"/>
  <c r="K1733" i="4"/>
  <c r="J1734" i="4"/>
  <c r="J1735" i="4"/>
  <c r="J1741" i="4"/>
  <c r="K1756" i="4"/>
  <c r="K1757" i="4"/>
  <c r="K1758" i="4"/>
  <c r="J1761" i="4"/>
  <c r="K1762" i="4"/>
  <c r="K1776" i="4"/>
  <c r="J1783" i="4"/>
  <c r="K1784" i="4"/>
  <c r="J1793" i="4"/>
  <c r="J1794" i="4"/>
  <c r="K1795" i="4"/>
  <c r="J1796" i="4"/>
  <c r="K1797" i="4"/>
  <c r="K3840" i="4"/>
  <c r="K3850" i="4"/>
  <c r="J3851" i="4"/>
  <c r="J3852" i="4"/>
  <c r="J3853" i="4"/>
  <c r="J3854" i="4"/>
  <c r="J3855" i="4"/>
  <c r="K3856" i="4"/>
  <c r="J3857" i="4"/>
  <c r="J3858" i="4"/>
  <c r="K3859" i="4"/>
  <c r="K3860" i="4"/>
  <c r="K3861" i="4"/>
  <c r="K3867" i="4"/>
  <c r="K3868" i="4"/>
  <c r="K3869" i="4"/>
  <c r="K3870" i="4"/>
  <c r="K3871" i="4"/>
  <c r="K3876" i="4"/>
  <c r="K3877" i="4"/>
  <c r="J3884" i="4"/>
  <c r="J3885" i="4"/>
  <c r="K3886" i="4"/>
  <c r="K3887" i="4"/>
  <c r="J3888" i="4"/>
  <c r="K3889" i="4"/>
  <c r="K3890" i="4"/>
  <c r="K3891" i="4"/>
  <c r="J3892" i="4"/>
  <c r="J3893" i="4"/>
  <c r="K3894" i="4"/>
  <c r="J3895" i="4"/>
  <c r="J3896" i="4"/>
  <c r="K3897" i="4"/>
  <c r="K3907" i="4"/>
  <c r="K3929" i="4"/>
  <c r="J3942" i="4"/>
  <c r="K3943" i="4"/>
  <c r="K3946" i="4"/>
  <c r="K3973" i="4"/>
  <c r="K3982" i="4"/>
  <c r="K3983" i="4"/>
  <c r="K3984" i="4"/>
  <c r="K3985" i="4"/>
  <c r="J3994" i="4"/>
  <c r="K4018" i="4"/>
  <c r="J4042" i="4"/>
  <c r="J4062" i="4"/>
  <c r="K4063" i="4"/>
  <c r="J4064" i="4"/>
  <c r="K4065" i="4"/>
  <c r="K4066" i="4"/>
  <c r="K4067" i="4"/>
  <c r="J4070" i="4"/>
  <c r="J4071" i="4"/>
  <c r="K4098" i="4"/>
  <c r="J4104" i="4"/>
  <c r="J4109" i="4"/>
  <c r="J4110" i="4"/>
  <c r="J4131" i="4"/>
  <c r="J4136" i="4"/>
  <c r="K4137" i="4"/>
  <c r="J4139" i="4"/>
  <c r="K4149" i="4"/>
  <c r="J4150" i="4"/>
  <c r="J4151" i="4"/>
  <c r="J4152" i="4"/>
  <c r="J4153" i="4"/>
  <c r="J4154" i="4"/>
  <c r="K4155" i="4"/>
  <c r="K4156" i="4"/>
  <c r="K4157" i="4"/>
  <c r="J4176" i="4"/>
  <c r="J4177" i="4"/>
  <c r="J4178" i="4"/>
  <c r="K4179" i="4"/>
  <c r="J4184" i="4"/>
  <c r="J4189" i="4"/>
  <c r="K4190" i="4"/>
  <c r="J4204" i="4"/>
  <c r="K4216" i="4"/>
  <c r="J4219" i="4"/>
  <c r="J4220" i="4"/>
  <c r="J4221" i="4"/>
  <c r="K4222" i="4"/>
  <c r="K4240" i="4"/>
  <c r="J4291" i="4"/>
  <c r="J4293" i="4"/>
  <c r="K4294" i="4"/>
  <c r="K4301" i="4"/>
  <c r="J4302" i="4"/>
  <c r="K4303" i="4"/>
  <c r="K4304" i="4"/>
  <c r="K4305" i="4"/>
  <c r="J4306" i="4"/>
  <c r="K4311" i="4"/>
  <c r="K4312" i="4"/>
  <c r="J4313" i="4"/>
  <c r="K4314" i="4"/>
  <c r="J4315" i="4"/>
  <c r="K4316" i="4"/>
  <c r="K4341" i="4"/>
  <c r="K4346" i="4"/>
  <c r="J4355" i="4"/>
  <c r="J4356" i="4"/>
  <c r="J4357" i="4"/>
  <c r="J4358" i="4"/>
  <c r="J4359" i="4"/>
  <c r="J4360" i="4"/>
  <c r="K4361" i="4"/>
  <c r="K4370" i="4"/>
  <c r="J4383" i="4"/>
  <c r="K4384" i="4"/>
  <c r="K4385" i="4"/>
  <c r="K4386" i="4"/>
  <c r="J4401" i="4"/>
  <c r="J4402" i="4"/>
  <c r="K4403" i="4"/>
  <c r="K4421" i="4"/>
  <c r="J4422" i="4"/>
  <c r="K4434" i="4"/>
  <c r="J4436" i="4"/>
  <c r="J4457" i="4"/>
  <c r="J4458" i="4"/>
  <c r="J4459" i="4"/>
  <c r="K4468" i="4"/>
  <c r="K4473" i="4"/>
  <c r="J4474" i="4"/>
  <c r="J4475" i="4"/>
  <c r="K4476" i="4"/>
  <c r="K4477" i="4"/>
  <c r="K4478" i="4"/>
  <c r="J4483" i="4"/>
  <c r="K4484" i="4"/>
  <c r="K4485" i="4"/>
  <c r="K4486" i="4"/>
  <c r="J4489" i="4"/>
  <c r="K4490" i="4"/>
  <c r="K4498" i="4"/>
  <c r="K4499" i="4"/>
  <c r="J4504" i="4"/>
  <c r="J4505" i="4"/>
  <c r="K4506" i="4"/>
  <c r="J4512" i="4"/>
  <c r="K4540" i="4"/>
  <c r="J4559" i="4"/>
  <c r="K4561" i="4"/>
  <c r="J4562" i="4"/>
  <c r="K4563" i="4"/>
  <c r="J4577" i="4"/>
  <c r="K4611" i="4"/>
  <c r="J4612" i="4"/>
  <c r="J4613" i="4"/>
  <c r="J4619" i="4"/>
  <c r="J4628" i="4"/>
  <c r="J4633" i="4"/>
  <c r="K4634" i="4"/>
  <c r="K4666" i="4"/>
  <c r="K4683" i="4"/>
  <c r="K4688" i="4"/>
  <c r="J4692" i="4"/>
  <c r="K4692" i="4"/>
  <c r="K4693" i="4"/>
  <c r="K4694" i="4"/>
  <c r="K4703" i="4"/>
  <c r="K4704" i="4"/>
  <c r="K4743" i="4"/>
  <c r="K4744" i="4"/>
  <c r="K4768" i="4"/>
  <c r="K4771" i="4"/>
  <c r="J4777" i="4"/>
  <c r="J4778" i="4"/>
  <c r="J4787" i="4"/>
  <c r="J4788" i="4"/>
  <c r="K4798" i="4"/>
  <c r="K4799" i="4"/>
  <c r="K4800" i="4"/>
  <c r="J4801" i="4"/>
  <c r="K4814" i="4"/>
  <c r="K4861" i="4"/>
  <c r="J4866" i="4"/>
  <c r="J4875" i="4"/>
  <c r="J4877" i="4"/>
  <c r="J4878" i="4"/>
  <c r="K4879" i="4"/>
  <c r="K4880" i="4"/>
  <c r="K4881" i="4"/>
  <c r="J4882" i="4"/>
  <c r="K4894" i="4"/>
  <c r="K4895" i="4"/>
  <c r="K4912" i="4"/>
  <c r="K4913" i="4"/>
  <c r="J4923" i="4"/>
  <c r="K4931" i="4"/>
  <c r="K4932" i="4"/>
  <c r="K4939" i="4"/>
  <c r="K4940" i="4"/>
  <c r="K4945" i="4"/>
  <c r="K4946" i="4"/>
  <c r="K4947" i="4"/>
  <c r="J4952" i="4"/>
  <c r="J4953" i="4"/>
  <c r="K4954" i="4"/>
  <c r="K4961" i="4"/>
  <c r="K4966" i="4"/>
  <c r="J4967" i="4"/>
  <c r="J4968" i="4"/>
  <c r="K4969" i="4"/>
  <c r="K4970" i="4"/>
  <c r="K4973" i="4"/>
  <c r="J4978" i="4"/>
  <c r="J4988" i="4"/>
  <c r="J4989" i="4"/>
  <c r="K4990" i="4"/>
  <c r="J4991" i="4"/>
  <c r="J4992" i="4"/>
  <c r="K5026" i="4"/>
  <c r="K5027" i="4"/>
  <c r="J5028" i="4"/>
  <c r="J5029" i="4"/>
  <c r="J5030" i="4"/>
  <c r="J5031" i="4"/>
  <c r="J5040" i="4"/>
  <c r="J5041" i="4"/>
  <c r="K5042" i="4"/>
  <c r="J5048" i="4"/>
  <c r="J5050" i="4"/>
  <c r="K5051" i="4"/>
  <c r="K5052" i="4"/>
  <c r="K3839" i="4"/>
  <c r="J5054" i="4"/>
  <c r="J5055" i="4"/>
  <c r="K5056" i="4"/>
  <c r="K5057" i="4"/>
  <c r="J5058" i="4"/>
  <c r="J5059" i="4"/>
  <c r="J5072" i="4"/>
  <c r="J5073" i="4"/>
  <c r="J5099" i="4"/>
  <c r="K5100" i="4"/>
  <c r="K5101" i="4"/>
  <c r="J5053" i="4"/>
  <c r="G143" i="1"/>
  <c r="G144" i="1"/>
  <c r="G149" i="1"/>
  <c r="L17" i="12"/>
  <c r="E16" i="3"/>
  <c r="F16" i="3" s="1"/>
  <c r="E17" i="3"/>
  <c r="F17" i="3" s="1"/>
  <c r="L18" i="12"/>
  <c r="L20" i="12"/>
  <c r="E19" i="3"/>
  <c r="F19" i="3" s="1"/>
  <c r="E20" i="3"/>
  <c r="F20" i="3" s="1"/>
  <c r="L21" i="12"/>
  <c r="L22" i="12"/>
  <c r="E21" i="3"/>
  <c r="F21" i="3" s="1"/>
  <c r="E22" i="3"/>
  <c r="F22" i="3" s="1"/>
  <c r="L23" i="12"/>
  <c r="L24" i="12"/>
  <c r="E23" i="3"/>
  <c r="F23" i="3" s="1"/>
  <c r="E24" i="3"/>
  <c r="F24" i="3" s="1"/>
  <c r="L25" i="12"/>
  <c r="L26" i="12"/>
  <c r="E25" i="3"/>
  <c r="F25" i="3" s="1"/>
  <c r="L19" i="12"/>
  <c r="E18" i="3"/>
  <c r="F18" i="3" s="1"/>
  <c r="L8" i="12"/>
  <c r="E7" i="3"/>
  <c r="F7" i="3" s="1"/>
  <c r="E15" i="3"/>
  <c r="F15" i="3" s="1"/>
  <c r="L16" i="12"/>
  <c r="E9" i="3"/>
  <c r="F9" i="3" s="1"/>
  <c r="L10" i="12"/>
  <c r="F119" i="1"/>
  <c r="G119" i="1" s="1"/>
  <c r="E10" i="3"/>
  <c r="L11" i="12"/>
  <c r="F118" i="1"/>
  <c r="G118" i="1" s="1"/>
  <c r="L12" i="12"/>
  <c r="E11" i="3"/>
  <c r="C127" i="10" s="1"/>
  <c r="E12" i="3"/>
  <c r="F12" i="3" s="1"/>
  <c r="L13" i="12"/>
  <c r="E13" i="3"/>
  <c r="F13" i="3" s="1"/>
  <c r="L14" i="12"/>
  <c r="E14" i="3"/>
  <c r="F14" i="3" s="1"/>
  <c r="L15" i="12"/>
  <c r="E26" i="3"/>
  <c r="F26" i="3" s="1"/>
  <c r="L27" i="12"/>
  <c r="L28" i="12"/>
  <c r="E27" i="3"/>
  <c r="F27" i="3" s="1"/>
  <c r="E28" i="3"/>
  <c r="F28" i="3" s="1"/>
  <c r="L29" i="12"/>
  <c r="L30" i="12"/>
  <c r="E29" i="3"/>
  <c r="F29" i="3" s="1"/>
  <c r="F120" i="1"/>
  <c r="G120" i="1" s="1"/>
  <c r="E30" i="3"/>
  <c r="C129" i="10" s="1"/>
  <c r="L31" i="12"/>
  <c r="L4" i="12"/>
  <c r="E3" i="3"/>
  <c r="F3" i="3" s="1"/>
  <c r="L3" i="12"/>
  <c r="E2" i="3"/>
  <c r="B22" i="2"/>
  <c r="D32" i="3"/>
  <c r="F121" i="1"/>
  <c r="G121" i="1" s="1"/>
  <c r="L32" i="12"/>
  <c r="E31" i="3"/>
  <c r="C130" i="10" s="1"/>
  <c r="L9" i="12"/>
  <c r="E8" i="3"/>
  <c r="F8" i="3" s="1"/>
  <c r="E6" i="3"/>
  <c r="F6" i="3" s="1"/>
  <c r="L7" i="12"/>
  <c r="E5" i="3"/>
  <c r="F5" i="3" s="1"/>
  <c r="L6" i="12"/>
  <c r="E4" i="3"/>
  <c r="F4" i="3" s="1"/>
  <c r="L5" i="12"/>
  <c r="I12" i="6"/>
  <c r="K12" i="6"/>
  <c r="L12" i="6" s="1"/>
  <c r="K24" i="6"/>
  <c r="L24" i="6" s="1"/>
  <c r="I24" i="6"/>
  <c r="B12" i="2"/>
  <c r="B11" i="12" s="1"/>
  <c r="I2" i="6"/>
  <c r="K2" i="6"/>
  <c r="L2" i="6" s="1"/>
  <c r="K18" i="6"/>
  <c r="L18" i="6" s="1"/>
  <c r="I18" i="6"/>
  <c r="I23" i="6"/>
  <c r="K23" i="6"/>
  <c r="L23" i="6" s="1"/>
  <c r="I28" i="6"/>
  <c r="K28" i="6"/>
  <c r="L28" i="6" s="1"/>
  <c r="K8" i="6"/>
  <c r="L8" i="6" s="1"/>
  <c r="I8" i="6"/>
  <c r="I20" i="6"/>
  <c r="K20" i="6"/>
  <c r="L20" i="6" s="1"/>
  <c r="I3" i="6"/>
  <c r="K3" i="6"/>
  <c r="K5" i="6"/>
  <c r="L5" i="6" s="1"/>
  <c r="I5" i="6"/>
  <c r="K7" i="6"/>
  <c r="L7" i="6" s="1"/>
  <c r="I7" i="6"/>
  <c r="K15" i="6"/>
  <c r="L15" i="6" s="1"/>
  <c r="I15" i="6"/>
  <c r="K14" i="6"/>
  <c r="L14" i="6" s="1"/>
  <c r="I14" i="6"/>
  <c r="I25" i="6"/>
  <c r="K25" i="6"/>
  <c r="L25" i="6" s="1"/>
  <c r="K13" i="6"/>
  <c r="L13" i="6" s="1"/>
  <c r="I13" i="6"/>
  <c r="K11" i="6"/>
  <c r="L11" i="6" s="1"/>
  <c r="I11" i="6"/>
  <c r="K4" i="6"/>
  <c r="L4" i="6" s="1"/>
  <c r="I4" i="6"/>
  <c r="I27" i="6"/>
  <c r="K27" i="6"/>
  <c r="L27" i="6" s="1"/>
  <c r="K22" i="6"/>
  <c r="L22" i="6" s="1"/>
  <c r="I22" i="6"/>
  <c r="K21" i="6"/>
  <c r="L21" i="6" s="1"/>
  <c r="I21" i="6"/>
  <c r="I19" i="6"/>
  <c r="K19" i="6"/>
  <c r="L19" i="6" s="1"/>
  <c r="I17" i="6"/>
  <c r="K17" i="6"/>
  <c r="L17" i="6" s="1"/>
  <c r="I16" i="6"/>
  <c r="K16" i="6"/>
  <c r="L16" i="6" s="1"/>
  <c r="I10" i="6"/>
  <c r="K10" i="6"/>
  <c r="L10" i="6" s="1"/>
  <c r="I9" i="6"/>
  <c r="K9" i="6"/>
  <c r="L9" i="6" s="1"/>
  <c r="I6" i="6"/>
  <c r="K6" i="6"/>
  <c r="L6" i="6" s="1"/>
  <c r="K26" i="6"/>
  <c r="L26" i="6" s="1"/>
  <c r="I26" i="6"/>
  <c r="K31" i="6"/>
  <c r="L31" i="6" s="1"/>
  <c r="I31" i="6"/>
  <c r="K30" i="6"/>
  <c r="I30" i="6"/>
  <c r="L30" i="6"/>
  <c r="K29" i="6"/>
  <c r="L29" i="6" s="1"/>
  <c r="I29" i="6"/>
  <c r="Q3365" i="5"/>
  <c r="J4623" i="4"/>
  <c r="K4636" i="4"/>
  <c r="K4639" i="4"/>
  <c r="J4666" i="4"/>
  <c r="K4697" i="4"/>
  <c r="K4699" i="4"/>
  <c r="K4701" i="4"/>
  <c r="K4718" i="4"/>
  <c r="J4721" i="4"/>
  <c r="K4724" i="4"/>
  <c r="J4779" i="4"/>
  <c r="K4810" i="4"/>
  <c r="K4831" i="4"/>
  <c r="K4839" i="4"/>
  <c r="J4843" i="4"/>
  <c r="K4850" i="4"/>
  <c r="J4853" i="4"/>
  <c r="K4856" i="4"/>
  <c r="K4865" i="4"/>
  <c r="J4874" i="4"/>
  <c r="K4884" i="4"/>
  <c r="K4924" i="4"/>
  <c r="J4929" i="4"/>
  <c r="J4955" i="4"/>
  <c r="K5002" i="4"/>
  <c r="K5009" i="4"/>
  <c r="K5022" i="4"/>
  <c r="K5053" i="4"/>
  <c r="K5074" i="4"/>
  <c r="K5116" i="4"/>
  <c r="K5146" i="4"/>
  <c r="J5173" i="4"/>
  <c r="J5198" i="4"/>
  <c r="K5818" i="4"/>
  <c r="J5831" i="4"/>
  <c r="K5839" i="4"/>
  <c r="K5843" i="4"/>
  <c r="J5867" i="4"/>
  <c r="J5923" i="4"/>
  <c r="J5934" i="4"/>
  <c r="J5937" i="4"/>
  <c r="J5979" i="4"/>
  <c r="J5991" i="4"/>
  <c r="K3" i="4"/>
  <c r="J6" i="4"/>
  <c r="K52" i="4"/>
  <c r="K55" i="4"/>
  <c r="J104" i="4"/>
  <c r="J127" i="4"/>
  <c r="K187" i="4"/>
  <c r="K223" i="4"/>
  <c r="K241" i="4"/>
  <c r="K248" i="4"/>
  <c r="J280" i="4"/>
  <c r="J292" i="4"/>
  <c r="K314" i="4"/>
  <c r="J326" i="4"/>
  <c r="J363" i="4"/>
  <c r="K380" i="4"/>
  <c r="J426" i="4"/>
  <c r="J429" i="4"/>
  <c r="K437" i="4"/>
  <c r="K440" i="4"/>
  <c r="J445" i="4"/>
  <c r="K446" i="4"/>
  <c r="J451" i="4"/>
  <c r="K452" i="4"/>
  <c r="K453" i="4"/>
  <c r="K454" i="4"/>
  <c r="J456" i="4"/>
  <c r="K457" i="4"/>
  <c r="J459" i="4"/>
  <c r="N459" i="4" s="1"/>
  <c r="O459" i="4" s="1"/>
  <c r="K460" i="4"/>
  <c r="J462" i="4"/>
  <c r="K466" i="4"/>
  <c r="J468" i="4"/>
  <c r="J472" i="4"/>
  <c r="J473" i="4"/>
  <c r="J475" i="4"/>
  <c r="K477" i="4"/>
  <c r="K478" i="4"/>
  <c r="J480" i="4"/>
  <c r="K481" i="4"/>
  <c r="K483" i="4"/>
  <c r="K484" i="4"/>
  <c r="J486" i="4"/>
  <c r="K487" i="4"/>
  <c r="J489" i="4"/>
  <c r="K490" i="4"/>
  <c r="K492" i="4"/>
  <c r="J494" i="4"/>
  <c r="J496" i="4"/>
  <c r="J498" i="4"/>
  <c r="J499" i="4"/>
  <c r="K651" i="4"/>
  <c r="K653" i="4"/>
  <c r="K658" i="4"/>
  <c r="K660" i="4"/>
  <c r="J664" i="4"/>
  <c r="K665" i="4"/>
  <c r="K667" i="4"/>
  <c r="J672" i="4"/>
  <c r="K673" i="4"/>
  <c r="J677" i="4"/>
  <c r="K678" i="4"/>
  <c r="J683" i="4"/>
  <c r="K684" i="4"/>
  <c r="K686" i="4"/>
  <c r="K688" i="4"/>
  <c r="J690" i="4"/>
  <c r="K691" i="4"/>
  <c r="J692" i="4"/>
  <c r="K693" i="4"/>
  <c r="J696" i="4"/>
  <c r="J698" i="4"/>
  <c r="K699" i="4"/>
  <c r="K700" i="4"/>
  <c r="K705" i="4"/>
  <c r="K706" i="4"/>
  <c r="J711" i="4"/>
  <c r="K712" i="4"/>
  <c r="J149" i="4"/>
  <c r="J162" i="4"/>
  <c r="K177" i="4"/>
  <c r="J187" i="4"/>
  <c r="J205" i="4"/>
  <c r="K251" i="4"/>
  <c r="J273" i="4"/>
  <c r="J294" i="4"/>
  <c r="J313" i="4"/>
  <c r="J315" i="4"/>
  <c r="K339" i="4"/>
  <c r="J374" i="4"/>
  <c r="K377" i="4"/>
  <c r="J379" i="4"/>
  <c r="J394" i="4"/>
  <c r="K405" i="4"/>
  <c r="J1546" i="4"/>
  <c r="K1590" i="4"/>
  <c r="K1626" i="4"/>
  <c r="J1656" i="4"/>
  <c r="K1688" i="4"/>
  <c r="K1695" i="4"/>
  <c r="K1699" i="4"/>
  <c r="K1746" i="4"/>
  <c r="J1760" i="4"/>
  <c r="J1766" i="4"/>
  <c r="K1800" i="4"/>
  <c r="K1812" i="4"/>
  <c r="J1819" i="4"/>
  <c r="J1840" i="4"/>
  <c r="J1900" i="4"/>
  <c r="J1929" i="4"/>
  <c r="K1949" i="4"/>
  <c r="J1961" i="4"/>
  <c r="J1964" i="4"/>
  <c r="J1967" i="4"/>
  <c r="J1970" i="4"/>
  <c r="K1982" i="4"/>
  <c r="J2033" i="4"/>
  <c r="K2037" i="4"/>
  <c r="J2059" i="4"/>
  <c r="K2070" i="4"/>
  <c r="K2119" i="4"/>
  <c r="J2174" i="4"/>
  <c r="K2187" i="4"/>
  <c r="K2231" i="4"/>
  <c r="J2251" i="4"/>
  <c r="J2257" i="4"/>
  <c r="J2296" i="4"/>
  <c r="J2316" i="4"/>
  <c r="K2327" i="4"/>
  <c r="J2330" i="4"/>
  <c r="J2389" i="4"/>
  <c r="N2389" i="4" s="1"/>
  <c r="J2425" i="4"/>
  <c r="K2440" i="4"/>
  <c r="K2479" i="4"/>
  <c r="K2500" i="4"/>
  <c r="J2502" i="4"/>
  <c r="J2518" i="4"/>
  <c r="J2524" i="4"/>
  <c r="K2527" i="4"/>
  <c r="K2549" i="4"/>
  <c r="J2561" i="4"/>
  <c r="J2619" i="4"/>
  <c r="N2619" i="4" s="1"/>
  <c r="O2619" i="4" s="1"/>
  <c r="J2682" i="4"/>
  <c r="J2745" i="4"/>
  <c r="J2748" i="4"/>
  <c r="J2860" i="4"/>
  <c r="K2892" i="4"/>
  <c r="J2926" i="4"/>
  <c r="J2946" i="4"/>
  <c r="J3003" i="4"/>
  <c r="K3012" i="4"/>
  <c r="K3033" i="4"/>
  <c r="J3044" i="4"/>
  <c r="J3053" i="4"/>
  <c r="J3058" i="4"/>
  <c r="J3066" i="4"/>
  <c r="K3102" i="4"/>
  <c r="J3126" i="4"/>
  <c r="J3165" i="4"/>
  <c r="J3176" i="4"/>
  <c r="J3210" i="4"/>
  <c r="K3236" i="4"/>
  <c r="J3270" i="4"/>
  <c r="J3273" i="4"/>
  <c r="K3276" i="4"/>
  <c r="K3292" i="4"/>
  <c r="J3333" i="4"/>
  <c r="K3344" i="4"/>
  <c r="J3362" i="4"/>
  <c r="J3430" i="4"/>
  <c r="J3463" i="4"/>
  <c r="J3466" i="4"/>
  <c r="J3502" i="4"/>
  <c r="K3512" i="4"/>
  <c r="K3517" i="4"/>
  <c r="K3532" i="4"/>
  <c r="J3536" i="4"/>
  <c r="J3540" i="4"/>
  <c r="J3593" i="4"/>
  <c r="K3631" i="4"/>
  <c r="K3649" i="4"/>
  <c r="K3662" i="4"/>
  <c r="J3672" i="4"/>
  <c r="K3676" i="4"/>
  <c r="K3685" i="4"/>
  <c r="J3703" i="4"/>
  <c r="J3837" i="4"/>
  <c r="J3875" i="4"/>
  <c r="K3911" i="4"/>
  <c r="J3914" i="4"/>
  <c r="J3937" i="4"/>
  <c r="J3959" i="4"/>
  <c r="K3981" i="4"/>
  <c r="K3992" i="4"/>
  <c r="K4004" i="4"/>
  <c r="K4007" i="4"/>
  <c r="K4016" i="4"/>
  <c r="K4019" i="4"/>
  <c r="K4060" i="4"/>
  <c r="K4073" i="4"/>
  <c r="J4075" i="4"/>
  <c r="K4078" i="4"/>
  <c r="K4094" i="4"/>
  <c r="J4115" i="4"/>
  <c r="K4120" i="4"/>
  <c r="K4144" i="4"/>
  <c r="K4168" i="4"/>
  <c r="K4183" i="4"/>
  <c r="J4207" i="4"/>
  <c r="K4210" i="4"/>
  <c r="K4219" i="4"/>
  <c r="K4225" i="4"/>
  <c r="J4259" i="4"/>
  <c r="J4294" i="4"/>
  <c r="K4330" i="4"/>
  <c r="K4399" i="4"/>
  <c r="J4416" i="4"/>
  <c r="K4435" i="4"/>
  <c r="J4570" i="4"/>
  <c r="J4573" i="4"/>
  <c r="J4576" i="4"/>
  <c r="K4579" i="4"/>
  <c r="J4593" i="4"/>
  <c r="J4615" i="4"/>
  <c r="J4621" i="4"/>
  <c r="J4624" i="4"/>
  <c r="J4632" i="4"/>
  <c r="K4659" i="4"/>
  <c r="J4663" i="4"/>
  <c r="K4698" i="4"/>
  <c r="K4700" i="4"/>
  <c r="J4723" i="4"/>
  <c r="J4740" i="4"/>
  <c r="K4772" i="4"/>
  <c r="J4776" i="4"/>
  <c r="J4806" i="4"/>
  <c r="J4826" i="4"/>
  <c r="J4838" i="4"/>
  <c r="K4842" i="4"/>
  <c r="K4849" i="4"/>
  <c r="K4852" i="4"/>
  <c r="J4855" i="4"/>
  <c r="J4864" i="4"/>
  <c r="J4869" i="4"/>
  <c r="J4926" i="4"/>
  <c r="J4939" i="4"/>
  <c r="J4966" i="4"/>
  <c r="K4989" i="4"/>
  <c r="K5014" i="4"/>
  <c r="K5033" i="4"/>
  <c r="J5060" i="4"/>
  <c r="J5114" i="4"/>
  <c r="J5126" i="4"/>
  <c r="J5184" i="4"/>
  <c r="K5816" i="4"/>
  <c r="J5841" i="4"/>
  <c r="K5860" i="4"/>
  <c r="J5877" i="4"/>
  <c r="K5895" i="4"/>
  <c r="J5902" i="4"/>
  <c r="J5945" i="4"/>
  <c r="K5973" i="4"/>
  <c r="J5" i="4"/>
  <c r="K51" i="4"/>
  <c r="K54" i="4"/>
  <c r="K88" i="4"/>
  <c r="J106" i="4"/>
  <c r="J158" i="4"/>
  <c r="K192" i="4"/>
  <c r="J229" i="4"/>
  <c r="K231" i="4"/>
  <c r="K255" i="4"/>
  <c r="K274" i="4"/>
  <c r="K282" i="4"/>
  <c r="K313" i="4"/>
  <c r="J368" i="4"/>
  <c r="K402" i="4"/>
  <c r="K438" i="4"/>
  <c r="J444" i="4"/>
  <c r="J448" i="4"/>
  <c r="K449" i="4"/>
  <c r="J453" i="4"/>
  <c r="J454" i="4"/>
  <c r="J458" i="4"/>
  <c r="K459" i="4"/>
  <c r="K461" i="4"/>
  <c r="K462" i="4"/>
  <c r="J464" i="4"/>
  <c r="K465" i="4"/>
  <c r="J467" i="4"/>
  <c r="K468" i="4"/>
  <c r="J470" i="4"/>
  <c r="K471" i="4"/>
  <c r="K473" i="4"/>
  <c r="K475" i="4"/>
  <c r="J477" i="4"/>
  <c r="J479" i="4"/>
  <c r="K480" i="4"/>
  <c r="J482" i="4"/>
  <c r="J483" i="4"/>
  <c r="J485" i="4"/>
  <c r="K486" i="4"/>
  <c r="J488" i="4"/>
  <c r="K489" i="4"/>
  <c r="J491" i="4"/>
  <c r="J495" i="4"/>
  <c r="J497" i="4"/>
  <c r="J653" i="4"/>
  <c r="K654" i="4"/>
  <c r="K655" i="4"/>
  <c r="J657" i="4"/>
  <c r="J659" i="4"/>
  <c r="J661" i="4"/>
  <c r="J662" i="4"/>
  <c r="J663" i="4"/>
  <c r="J665" i="4"/>
  <c r="J667" i="4"/>
  <c r="J669" i="4"/>
  <c r="K670" i="4"/>
  <c r="J675" i="4"/>
  <c r="K676" i="4"/>
  <c r="J678" i="4"/>
  <c r="K679" i="4"/>
  <c r="J681" i="4"/>
  <c r="K682" i="4"/>
  <c r="J684" i="4"/>
  <c r="K685" i="4"/>
  <c r="K687" i="4"/>
  <c r="J689" i="4"/>
  <c r="K690" i="4"/>
  <c r="K692" i="4"/>
  <c r="J694" i="4"/>
  <c r="K695" i="4"/>
  <c r="K697" i="4"/>
  <c r="J699" i="4"/>
  <c r="J701" i="4"/>
  <c r="K702" i="4"/>
  <c r="J704" i="4"/>
  <c r="J708" i="4"/>
  <c r="K709" i="4"/>
  <c r="J20" i="4"/>
  <c r="J25" i="4"/>
  <c r="K39" i="4"/>
  <c r="J45" i="4"/>
  <c r="J47" i="4"/>
  <c r="J74" i="4"/>
  <c r="J75" i="4"/>
  <c r="K78" i="4"/>
  <c r="J90" i="4"/>
  <c r="J117" i="4"/>
  <c r="J137" i="4"/>
  <c r="J176" i="4"/>
  <c r="K186" i="4"/>
  <c r="K271" i="4"/>
  <c r="J274" i="4"/>
  <c r="K281" i="4"/>
  <c r="K289" i="4"/>
  <c r="K295" i="4"/>
  <c r="J314" i="4"/>
  <c r="K316" i="4"/>
  <c r="K340" i="4"/>
  <c r="J375" i="4"/>
  <c r="K378" i="4"/>
  <c r="K384" i="4"/>
  <c r="J433" i="4"/>
  <c r="K1495" i="4"/>
  <c r="J1614" i="4"/>
  <c r="K1618" i="4"/>
  <c r="J1632" i="4"/>
  <c r="K1665" i="4"/>
  <c r="J1667" i="4"/>
  <c r="K1670" i="4"/>
  <c r="J1689" i="4"/>
  <c r="K1697" i="4"/>
  <c r="J1700" i="4"/>
  <c r="J1767" i="4"/>
  <c r="J1801" i="4"/>
  <c r="K1886" i="4"/>
  <c r="J1901" i="4"/>
  <c r="K1905" i="4"/>
  <c r="K1923" i="4"/>
  <c r="J1943" i="4"/>
  <c r="K1955" i="4"/>
  <c r="K1958" i="4"/>
  <c r="J1966" i="4"/>
  <c r="J1969" i="4"/>
  <c r="J1983" i="4"/>
  <c r="K2034" i="4"/>
  <c r="J2056" i="4"/>
  <c r="J2069" i="4"/>
  <c r="J2082" i="4"/>
  <c r="K2120" i="4"/>
  <c r="K2160" i="4"/>
  <c r="J2173" i="4"/>
  <c r="K2186" i="4"/>
  <c r="K2200" i="4"/>
  <c r="K2220" i="4"/>
  <c r="K2259" i="4"/>
  <c r="J2313" i="4"/>
  <c r="K2325" i="4"/>
  <c r="J2328" i="4"/>
  <c r="J2331" i="4"/>
  <c r="J2374" i="4"/>
  <c r="J2388" i="4"/>
  <c r="J2417" i="4"/>
  <c r="K2428" i="4"/>
  <c r="J2479" i="4"/>
  <c r="K2499" i="4"/>
  <c r="K2503" i="4"/>
  <c r="J2522" i="4"/>
  <c r="J2525" i="4"/>
  <c r="K2528" i="4"/>
  <c r="J2539" i="4"/>
  <c r="J2542" i="4"/>
  <c r="K2550" i="4"/>
  <c r="J2573" i="4"/>
  <c r="K2681" i="4"/>
  <c r="K2685" i="4"/>
  <c r="K2727" i="4"/>
  <c r="K2773" i="4"/>
  <c r="J2802" i="4"/>
  <c r="K2894" i="4"/>
  <c r="J2925" i="4"/>
  <c r="K2941" i="4"/>
  <c r="J2973" i="4"/>
  <c r="K2982" i="4"/>
  <c r="K3004" i="4"/>
  <c r="K3013" i="4"/>
  <c r="J3052" i="4"/>
  <c r="J3059" i="4"/>
  <c r="K3067" i="4"/>
  <c r="K3103" i="4"/>
  <c r="K3132" i="4"/>
  <c r="K3219" i="4"/>
  <c r="K3242" i="4"/>
  <c r="K3274" i="4"/>
  <c r="J3286" i="4"/>
  <c r="J3357" i="4"/>
  <c r="K3398" i="4"/>
  <c r="K3431" i="4"/>
  <c r="K3453" i="4"/>
  <c r="J3464" i="4"/>
  <c r="J3467" i="4"/>
  <c r="J3503" i="4"/>
  <c r="J3515" i="4"/>
  <c r="J3522" i="4"/>
  <c r="J3533" i="4"/>
  <c r="J3537" i="4"/>
  <c r="K3600" i="4"/>
  <c r="J3628" i="4"/>
  <c r="K3663" i="4"/>
  <c r="K3673" i="4"/>
  <c r="J3679" i="4"/>
  <c r="J3701" i="4"/>
  <c r="K3713" i="4"/>
  <c r="J3755" i="4"/>
  <c r="J3836" i="4"/>
  <c r="J3865" i="4"/>
  <c r="J3898" i="4"/>
  <c r="K3901" i="4"/>
  <c r="J3913" i="4"/>
  <c r="K3925" i="4"/>
  <c r="K3936" i="4"/>
  <c r="K3939" i="4"/>
  <c r="K3970" i="4"/>
  <c r="J3978" i="4"/>
  <c r="J3999" i="4"/>
  <c r="K4002" i="4"/>
  <c r="J4005" i="4"/>
  <c r="J4008" i="4"/>
  <c r="J4028" i="4"/>
  <c r="K4049" i="4"/>
  <c r="J4077" i="4"/>
  <c r="J4081" i="4"/>
  <c r="J4096" i="4"/>
  <c r="J4117" i="4"/>
  <c r="K4135" i="4"/>
  <c r="J4158" i="4"/>
  <c r="K4169" i="4"/>
  <c r="J4205" i="4"/>
  <c r="J4208" i="4"/>
  <c r="K4217" i="4"/>
  <c r="K4220" i="4"/>
  <c r="J4232" i="4"/>
  <c r="J4288" i="4"/>
  <c r="K4299" i="4"/>
  <c r="K4364" i="4"/>
  <c r="K4404" i="4"/>
  <c r="J4432" i="4"/>
  <c r="J4453" i="4"/>
  <c r="J4527" i="4"/>
  <c r="J4564" i="4"/>
  <c r="J4571" i="4"/>
  <c r="J4592" i="4"/>
  <c r="K4614" i="4"/>
  <c r="K4626" i="4"/>
  <c r="K4635" i="4"/>
  <c r="J4637" i="4"/>
  <c r="K4640" i="4"/>
  <c r="J4661" i="4"/>
  <c r="K4665" i="4"/>
  <c r="K4691" i="4"/>
  <c r="J4705" i="4"/>
  <c r="K4720" i="4"/>
  <c r="K4757" i="4"/>
  <c r="K4774" i="4"/>
  <c r="K4832" i="4"/>
  <c r="K4840" i="4"/>
  <c r="K4848" i="4"/>
  <c r="K4851" i="4"/>
  <c r="K4854" i="4"/>
  <c r="K4862" i="4"/>
  <c r="J4880" i="4"/>
  <c r="K4923" i="4"/>
  <c r="K4927" i="4"/>
  <c r="K4944" i="4"/>
  <c r="K4978" i="4"/>
  <c r="K5048" i="4"/>
  <c r="K5061" i="4"/>
  <c r="K5145" i="4"/>
  <c r="K5172" i="4"/>
  <c r="J5185" i="4"/>
  <c r="K5817" i="4"/>
  <c r="J5827" i="4"/>
  <c r="J5840" i="4"/>
  <c r="J5861" i="4"/>
  <c r="J5878" i="4"/>
  <c r="J5896" i="4"/>
  <c r="K5921" i="4"/>
  <c r="K5924" i="4"/>
  <c r="J5936" i="4"/>
  <c r="K5968" i="4"/>
  <c r="J5980" i="4"/>
  <c r="J5995" i="4"/>
  <c r="J4" i="4"/>
  <c r="K44" i="4"/>
  <c r="J89" i="4"/>
  <c r="J112" i="4"/>
  <c r="J230" i="4"/>
  <c r="J247" i="4"/>
  <c r="J293" i="4"/>
  <c r="J324" i="4"/>
  <c r="J355" i="4"/>
  <c r="K364" i="4"/>
  <c r="J382" i="4"/>
  <c r="K427" i="4"/>
  <c r="K430" i="4"/>
  <c r="J439" i="4"/>
  <c r="K444" i="4"/>
  <c r="J446" i="4"/>
  <c r="K447" i="4"/>
  <c r="J449" i="4"/>
  <c r="K450" i="4"/>
  <c r="J452" i="4"/>
  <c r="J455" i="4"/>
  <c r="N455" i="4" s="1"/>
  <c r="O455" i="4" s="1"/>
  <c r="K456" i="4"/>
  <c r="J461" i="4"/>
  <c r="J463" i="4"/>
  <c r="K464" i="4"/>
  <c r="J466" i="4"/>
  <c r="K467" i="4"/>
  <c r="J469" i="4"/>
  <c r="K470" i="4"/>
  <c r="K474" i="4"/>
  <c r="K476" i="4"/>
  <c r="J481" i="4"/>
  <c r="K482" i="4"/>
  <c r="J484" i="4"/>
  <c r="K485" i="4"/>
  <c r="J490" i="4"/>
  <c r="K491" i="4"/>
  <c r="J493" i="4"/>
  <c r="K494" i="4"/>
  <c r="K496" i="4"/>
  <c r="K498" i="4"/>
  <c r="J651" i="4"/>
  <c r="K652" i="4"/>
  <c r="J655" i="4"/>
  <c r="K656" i="4"/>
  <c r="J658" i="4"/>
  <c r="J660" i="4"/>
  <c r="K661" i="4"/>
  <c r="K662" i="4"/>
  <c r="K664" i="4"/>
  <c r="K666" i="4"/>
  <c r="J668" i="4"/>
  <c r="N668" i="4" s="1"/>
  <c r="O668" i="4" s="1"/>
  <c r="K669" i="4"/>
  <c r="J671" i="4"/>
  <c r="K672" i="4"/>
  <c r="J674" i="4"/>
  <c r="K675" i="4"/>
  <c r="J680" i="4"/>
  <c r="K681" i="4"/>
  <c r="J686" i="4"/>
  <c r="J688" i="4"/>
  <c r="K689" i="4"/>
  <c r="J691" i="4"/>
  <c r="J693" i="4"/>
  <c r="K694" i="4"/>
  <c r="K696" i="4"/>
  <c r="K698" i="4"/>
  <c r="J700" i="4"/>
  <c r="K701" i="4"/>
  <c r="J703" i="4"/>
  <c r="K704" i="4"/>
  <c r="J706" i="4"/>
  <c r="K707" i="4"/>
  <c r="J709" i="4"/>
  <c r="K710" i="4"/>
  <c r="K419" i="4"/>
  <c r="K434" i="4"/>
  <c r="K1496" i="4"/>
  <c r="K1556" i="4"/>
  <c r="J1605" i="4"/>
  <c r="J1615" i="4"/>
  <c r="K1623" i="4"/>
  <c r="J1633" i="4"/>
  <c r="J1666" i="4"/>
  <c r="K1669" i="4"/>
  <c r="K1698" i="4"/>
  <c r="K1701" i="4"/>
  <c r="K1761" i="4"/>
  <c r="K1765" i="4"/>
  <c r="J1769" i="4"/>
  <c r="K1813" i="4"/>
  <c r="J1820" i="4"/>
  <c r="K1839" i="4"/>
  <c r="J1893" i="4"/>
  <c r="K1904" i="4"/>
  <c r="K1922" i="4"/>
  <c r="J1942" i="4"/>
  <c r="J1954" i="4"/>
  <c r="K1957" i="4"/>
  <c r="J1960" i="4"/>
  <c r="J1963" i="4"/>
  <c r="J1981" i="4"/>
  <c r="K2001" i="4"/>
  <c r="K2068" i="4"/>
  <c r="K2072" i="4"/>
  <c r="J2118" i="4"/>
  <c r="J2149" i="4"/>
  <c r="J2170" i="4"/>
  <c r="K2207" i="4"/>
  <c r="J2219" i="4"/>
  <c r="J2222" i="4"/>
  <c r="K2256" i="4"/>
  <c r="J2258" i="4"/>
  <c r="J2295" i="4"/>
  <c r="J2315" i="4"/>
  <c r="K2353" i="4"/>
  <c r="J2383" i="4"/>
  <c r="J2426" i="4"/>
  <c r="J2443" i="4"/>
  <c r="K2513" i="4"/>
  <c r="K2523" i="4"/>
  <c r="K2536" i="4"/>
  <c r="J2541" i="4"/>
  <c r="K2659" i="4"/>
  <c r="K2684" i="4"/>
  <c r="J2697" i="4"/>
  <c r="J2744" i="4"/>
  <c r="J2747" i="4"/>
  <c r="J2772" i="4"/>
  <c r="J2800" i="4"/>
  <c r="K2853" i="4"/>
  <c r="J2891" i="4"/>
  <c r="K2895" i="4"/>
  <c r="K2924" i="4"/>
  <c r="K2927" i="4"/>
  <c r="J2959" i="4"/>
  <c r="J2981" i="4"/>
  <c r="J2992" i="4"/>
  <c r="J3011" i="4"/>
  <c r="J3014" i="4"/>
  <c r="K3043" i="4"/>
  <c r="J3065" i="4"/>
  <c r="K3089" i="4"/>
  <c r="J3113" i="4"/>
  <c r="J3148" i="4"/>
  <c r="J3171" i="4"/>
  <c r="J21" i="4"/>
  <c r="J24" i="4"/>
  <c r="J46" i="4"/>
  <c r="J53" i="4"/>
  <c r="K84" i="4"/>
  <c r="J91" i="4"/>
  <c r="J92" i="4"/>
  <c r="K93" i="4"/>
  <c r="J131" i="4"/>
  <c r="K139" i="4"/>
  <c r="J147" i="4"/>
  <c r="J156" i="4"/>
  <c r="K170" i="4"/>
  <c r="J185" i="4"/>
  <c r="K199" i="4"/>
  <c r="K245" i="4"/>
  <c r="K272" i="4"/>
  <c r="K275" i="4"/>
  <c r="J282" i="4"/>
  <c r="K290" i="4"/>
  <c r="J301" i="4"/>
  <c r="K346" i="4"/>
  <c r="J376" i="4"/>
  <c r="J402" i="4"/>
  <c r="J428" i="4"/>
  <c r="J440" i="4"/>
  <c r="J1508" i="4"/>
  <c r="K1557" i="4"/>
  <c r="J1606" i="4"/>
  <c r="J1616" i="4"/>
  <c r="K1624" i="4"/>
  <c r="J1659" i="4"/>
  <c r="J1668" i="4"/>
  <c r="J1675" i="4"/>
  <c r="K1690" i="4"/>
  <c r="J1748" i="4"/>
  <c r="J1763" i="4"/>
  <c r="J1768" i="4"/>
  <c r="J1811" i="4"/>
  <c r="K1818" i="4"/>
  <c r="K1821" i="4"/>
  <c r="K1892" i="4"/>
  <c r="J1902" i="4"/>
  <c r="J1921" i="4"/>
  <c r="K1956" i="4"/>
  <c r="K1959" i="4"/>
  <c r="J1962" i="4"/>
  <c r="J1965" i="4"/>
  <c r="J1968" i="4"/>
  <c r="J2035" i="4"/>
  <c r="J2057" i="4"/>
  <c r="J2130" i="4"/>
  <c r="J2166" i="4"/>
  <c r="K2171" i="4"/>
  <c r="J2175" i="4"/>
  <c r="K2199" i="4"/>
  <c r="K2218" i="4"/>
  <c r="K2221" i="4"/>
  <c r="K2250" i="4"/>
  <c r="K2294" i="4"/>
  <c r="J2314" i="4"/>
  <c r="K2326" i="4"/>
  <c r="J2329" i="4"/>
  <c r="K2352" i="4"/>
  <c r="J2373" i="4"/>
  <c r="K2387" i="4"/>
  <c r="J2411" i="4"/>
  <c r="J2488" i="4"/>
  <c r="J2501" i="4"/>
  <c r="K2526" i="4"/>
  <c r="J2535" i="4"/>
  <c r="J2540" i="4"/>
  <c r="J2547" i="4"/>
  <c r="K2562" i="4"/>
  <c r="K2658" i="4"/>
  <c r="J2683" i="4"/>
  <c r="J2686" i="4"/>
  <c r="K2739" i="4"/>
  <c r="J2746" i="4"/>
  <c r="K2771" i="4"/>
  <c r="J2774" i="4"/>
  <c r="J2823" i="4"/>
  <c r="K2881" i="4"/>
  <c r="K2893" i="4"/>
  <c r="K2915" i="4"/>
  <c r="K2974" i="4"/>
  <c r="K2983" i="4"/>
  <c r="K3034" i="4"/>
  <c r="K3045" i="4"/>
  <c r="K3054" i="4"/>
  <c r="K3064" i="4"/>
  <c r="J3088" i="4"/>
  <c r="K3170" i="4"/>
  <c r="J3177" i="4"/>
  <c r="J3251" i="4"/>
  <c r="J3271" i="4"/>
  <c r="K3299" i="4"/>
  <c r="J3343" i="4"/>
  <c r="K3355" i="4"/>
  <c r="J3397" i="4"/>
  <c r="J3446" i="4"/>
  <c r="K3462" i="4"/>
  <c r="K3465" i="4"/>
  <c r="J3468" i="4"/>
  <c r="K3504" i="4"/>
  <c r="J3516" i="4"/>
  <c r="K3523" i="4"/>
  <c r="K3535" i="4"/>
  <c r="K3539" i="4"/>
  <c r="K3555" i="4"/>
  <c r="J3599" i="4"/>
  <c r="K3627" i="4"/>
  <c r="J3630" i="4"/>
  <c r="J3648" i="4"/>
  <c r="J3654" i="4"/>
  <c r="J3664" i="4"/>
  <c r="K3674" i="4"/>
  <c r="K3743" i="4"/>
  <c r="J3756" i="4"/>
  <c r="K3881" i="4"/>
  <c r="J3900" i="4"/>
  <c r="K3912" i="4"/>
  <c r="J3916" i="4"/>
  <c r="K3918" i="4"/>
  <c r="J3931" i="4"/>
  <c r="J3938" i="4"/>
  <c r="K3964" i="4"/>
  <c r="J3977" i="4"/>
  <c r="J3980" i="4"/>
  <c r="J3991" i="4"/>
  <c r="J3998" i="4"/>
  <c r="K4001" i="4"/>
  <c r="K4017" i="4"/>
  <c r="J4026" i="4"/>
  <c r="K4029" i="4"/>
  <c r="J4050" i="4"/>
  <c r="K4061" i="4"/>
  <c r="J4074" i="4"/>
  <c r="J4111" i="4"/>
  <c r="J4118" i="4"/>
  <c r="K4159" i="4"/>
  <c r="K4170" i="4"/>
  <c r="K4218" i="4"/>
  <c r="K4224" i="4"/>
  <c r="K4329" i="4"/>
  <c r="J4365" i="4"/>
  <c r="J4414" i="4"/>
  <c r="J4433" i="4"/>
  <c r="K4461" i="4"/>
  <c r="J4528" i="4"/>
  <c r="K4565" i="4"/>
  <c r="J4572" i="4"/>
  <c r="J4575" i="4"/>
  <c r="K4578" i="4"/>
  <c r="J4606" i="4"/>
  <c r="K4619" i="4"/>
  <c r="J4622" i="4"/>
  <c r="K4625" i="4"/>
  <c r="J4634" i="4"/>
  <c r="J4638" i="4"/>
  <c r="K4641" i="4"/>
  <c r="K4664" i="4"/>
  <c r="J4704" i="4"/>
  <c r="K4719" i="4"/>
  <c r="J4722" i="4"/>
  <c r="J4739" i="4"/>
  <c r="J4771" i="4"/>
  <c r="K4775" i="4"/>
  <c r="J4791" i="4"/>
  <c r="K4811" i="4"/>
  <c r="J4833" i="4"/>
  <c r="K4841" i="4"/>
  <c r="J4868" i="4"/>
  <c r="J4879" i="4"/>
  <c r="J4922" i="4"/>
  <c r="J4925" i="4"/>
  <c r="J4938" i="4"/>
  <c r="K5008" i="4"/>
  <c r="K5015" i="4"/>
  <c r="K5115" i="4"/>
  <c r="J5139" i="4"/>
  <c r="K5149" i="4"/>
  <c r="J5174" i="4"/>
  <c r="J5201" i="4"/>
  <c r="J5842" i="4"/>
  <c r="K5862" i="4"/>
  <c r="K5879" i="4"/>
  <c r="K5897" i="4"/>
  <c r="J5922" i="4"/>
  <c r="J5935" i="4"/>
  <c r="J5990" i="4"/>
  <c r="K6000" i="4"/>
  <c r="K53" i="4"/>
  <c r="K85" i="4"/>
  <c r="K105" i="4"/>
  <c r="J157" i="4"/>
  <c r="J202" i="4"/>
  <c r="J267" i="4"/>
  <c r="J281" i="4"/>
  <c r="J312" i="4"/>
  <c r="J325" i="4"/>
  <c r="K357" i="4"/>
  <c r="K367" i="4"/>
  <c r="J401" i="4"/>
  <c r="K428" i="4"/>
  <c r="J436" i="4"/>
  <c r="K445" i="4"/>
  <c r="J447" i="4"/>
  <c r="K448" i="4"/>
  <c r="J450" i="4"/>
  <c r="K451" i="4"/>
  <c r="K455" i="4"/>
  <c r="J457" i="4"/>
  <c r="K458" i="4"/>
  <c r="J460" i="4"/>
  <c r="K463" i="4"/>
  <c r="J465" i="4"/>
  <c r="K469" i="4"/>
  <c r="J471" i="4"/>
  <c r="K472" i="4"/>
  <c r="J474" i="4"/>
  <c r="J476" i="4"/>
  <c r="J478" i="4"/>
  <c r="K479" i="4"/>
  <c r="J487" i="4"/>
  <c r="K488" i="4"/>
  <c r="J492" i="4"/>
  <c r="K493" i="4"/>
  <c r="K495" i="4"/>
  <c r="K497" i="4"/>
  <c r="K650" i="4"/>
  <c r="J652" i="4"/>
  <c r="J654" i="4"/>
  <c r="J656" i="4"/>
  <c r="K657" i="4"/>
  <c r="K659" i="4"/>
  <c r="K663" i="4"/>
  <c r="J666" i="4"/>
  <c r="K668" i="4"/>
  <c r="J670" i="4"/>
  <c r="K671" i="4"/>
  <c r="J673" i="4"/>
  <c r="K674" i="4"/>
  <c r="J676" i="4"/>
  <c r="K677" i="4"/>
  <c r="J679" i="4"/>
  <c r="K680" i="4"/>
  <c r="J682" i="4"/>
  <c r="K683" i="4"/>
  <c r="J685" i="4"/>
  <c r="J687" i="4"/>
  <c r="J695" i="4"/>
  <c r="J697" i="4"/>
  <c r="J702" i="4"/>
  <c r="K703" i="4"/>
  <c r="J705" i="4"/>
  <c r="J707" i="4"/>
  <c r="K708" i="4"/>
  <c r="J710" i="4"/>
  <c r="K711" i="4"/>
  <c r="J3691" i="4"/>
  <c r="J2857" i="4"/>
  <c r="K2858" i="4"/>
  <c r="K2885" i="4"/>
  <c r="K2886" i="4"/>
  <c r="J2887" i="4"/>
  <c r="J2888" i="4"/>
  <c r="K2889" i="4"/>
  <c r="K2916" i="4"/>
  <c r="K2917" i="4"/>
  <c r="K2918" i="4"/>
  <c r="K2919" i="4"/>
  <c r="J2920" i="4"/>
  <c r="J2921" i="4"/>
  <c r="K2922" i="4"/>
  <c r="K2933" i="4"/>
  <c r="K2934" i="4"/>
  <c r="K2935" i="4"/>
  <c r="J2940" i="4"/>
  <c r="J2970" i="4"/>
  <c r="J2977" i="4"/>
  <c r="K2978" i="4"/>
  <c r="K2979" i="4"/>
  <c r="J2980" i="4"/>
  <c r="J2987" i="4"/>
  <c r="J2988" i="4"/>
  <c r="J2995" i="4"/>
  <c r="K3011" i="4"/>
  <c r="J3027" i="4"/>
  <c r="J3028" i="4"/>
  <c r="J3048" i="4"/>
  <c r="K3049" i="4"/>
  <c r="J3055" i="4"/>
  <c r="J3056" i="4"/>
  <c r="J3057" i="4"/>
  <c r="J3067" i="4"/>
  <c r="K3068" i="4"/>
  <c r="K3069" i="4"/>
  <c r="J3076" i="4"/>
  <c r="J3077" i="4"/>
  <c r="K3090" i="4"/>
  <c r="J3091" i="4"/>
  <c r="K3104" i="4"/>
  <c r="J3105" i="4"/>
  <c r="J3106" i="4"/>
  <c r="K3107" i="4"/>
  <c r="K3108" i="4"/>
  <c r="J3109" i="4"/>
  <c r="K3110" i="4"/>
  <c r="K3113" i="4"/>
  <c r="J3118" i="4"/>
  <c r="K3124" i="4"/>
  <c r="K3134" i="4"/>
  <c r="K3135" i="4"/>
  <c r="K3169" i="4"/>
  <c r="K3188" i="4"/>
  <c r="K3204" i="4"/>
  <c r="K3228" i="4"/>
  <c r="K3229" i="4"/>
  <c r="K3230" i="4"/>
  <c r="K3235" i="4"/>
  <c r="J3236" i="4"/>
  <c r="K3237" i="4"/>
  <c r="J3253" i="4"/>
  <c r="J3254" i="4"/>
  <c r="J3255" i="4"/>
  <c r="J3256" i="4"/>
  <c r="K3257" i="4"/>
  <c r="K3258" i="4"/>
  <c r="J3263" i="4"/>
  <c r="J3264" i="4"/>
  <c r="K3269" i="4"/>
  <c r="K3278" i="4"/>
  <c r="J3283" i="4"/>
  <c r="K3284" i="4"/>
  <c r="K3290" i="4"/>
  <c r="J3304" i="4"/>
  <c r="K3306" i="4"/>
  <c r="J3307" i="4"/>
  <c r="K3308" i="4"/>
  <c r="J3317" i="4"/>
  <c r="J3335" i="4"/>
  <c r="K3336" i="4"/>
  <c r="K3345" i="4"/>
  <c r="K3346" i="4"/>
  <c r="K3347" i="4"/>
  <c r="J3348" i="4"/>
  <c r="J3349" i="4"/>
  <c r="K3350" i="4"/>
  <c r="J3369" i="4"/>
  <c r="K3370" i="4"/>
  <c r="J3381" i="4"/>
  <c r="K3381" i="4"/>
  <c r="J3386" i="4"/>
  <c r="J3404" i="4"/>
  <c r="J3405" i="4"/>
  <c r="J3414" i="4"/>
  <c r="J3415" i="4"/>
  <c r="K3416" i="4"/>
  <c r="K3437" i="4"/>
  <c r="J3443" i="4"/>
  <c r="K3460" i="4"/>
  <c r="J3469" i="4"/>
  <c r="J3470" i="4"/>
  <c r="K3474" i="4"/>
  <c r="K3486" i="4"/>
  <c r="J3487" i="4"/>
  <c r="J3488" i="4"/>
  <c r="K3492" i="4"/>
  <c r="J3493" i="4"/>
  <c r="K3509" i="4"/>
  <c r="J3510" i="4"/>
  <c r="J3528" i="4"/>
  <c r="J3529" i="4"/>
  <c r="K3550" i="4"/>
  <c r="K3551" i="4"/>
  <c r="K3552" i="4"/>
  <c r="K3575" i="4"/>
  <c r="J3576" i="4"/>
  <c r="K3577" i="4"/>
  <c r="J3597" i="4"/>
  <c r="K3601" i="4"/>
  <c r="K3602" i="4"/>
  <c r="J3603" i="4"/>
  <c r="J3604" i="4"/>
  <c r="J3605" i="4"/>
  <c r="J3606" i="4"/>
  <c r="J3625" i="4"/>
  <c r="J3631" i="4"/>
  <c r="J3640" i="4"/>
  <c r="J3641" i="4"/>
  <c r="K3642" i="4"/>
  <c r="K3651" i="4"/>
  <c r="J3660" i="4"/>
  <c r="K3661" i="4"/>
  <c r="J3663" i="4"/>
  <c r="J3665" i="4"/>
  <c r="J3666" i="4"/>
  <c r="K3677" i="4"/>
  <c r="J3690" i="4"/>
  <c r="J3692" i="4"/>
  <c r="K3693" i="4"/>
  <c r="K3702" i="4"/>
  <c r="K3705" i="4"/>
  <c r="J3710" i="4"/>
  <c r="K3721" i="4"/>
  <c r="K3722" i="4"/>
  <c r="K3727" i="4"/>
  <c r="J3732" i="4"/>
  <c r="K3733" i="4"/>
  <c r="K3734" i="4"/>
  <c r="K3735" i="4"/>
  <c r="K3740" i="4"/>
  <c r="J3741" i="4"/>
  <c r="J3742" i="4"/>
  <c r="J3743" i="4"/>
  <c r="J3748" i="4"/>
  <c r="K3749" i="4"/>
  <c r="K3758" i="4"/>
  <c r="K3775" i="4"/>
  <c r="J3776" i="4"/>
  <c r="K3801" i="4"/>
  <c r="J3802" i="4"/>
  <c r="J3803" i="4"/>
  <c r="J3804" i="4"/>
  <c r="J3805" i="4"/>
  <c r="K3809" i="4"/>
  <c r="J3810" i="4"/>
  <c r="J3811" i="4"/>
  <c r="K3815" i="4"/>
  <c r="K3816" i="4"/>
  <c r="J3833" i="4"/>
  <c r="J3834" i="4"/>
  <c r="J3835" i="4"/>
  <c r="J3838" i="4"/>
  <c r="J3843" i="4"/>
  <c r="J3844" i="4"/>
  <c r="K3845" i="4"/>
  <c r="K3846" i="4"/>
  <c r="K3847" i="4"/>
  <c r="K3852" i="4"/>
  <c r="K3853" i="4"/>
  <c r="K3854" i="4"/>
  <c r="K3855" i="4"/>
  <c r="J3856" i="4"/>
  <c r="K3857" i="4"/>
  <c r="K3892" i="4"/>
  <c r="K3893" i="4"/>
  <c r="J3906" i="4"/>
  <c r="J3907" i="4"/>
  <c r="K3908" i="4"/>
  <c r="J3909" i="4"/>
  <c r="J3930" i="4"/>
  <c r="K3935" i="4"/>
  <c r="K3938" i="4"/>
  <c r="J3939" i="4"/>
  <c r="K3944" i="4"/>
  <c r="J3945" i="4"/>
  <c r="J3946" i="4"/>
  <c r="K3947" i="4"/>
  <c r="K3948" i="4"/>
  <c r="J3949" i="4"/>
  <c r="J3954" i="4"/>
  <c r="J3955" i="4"/>
  <c r="K3956" i="4"/>
  <c r="K3957" i="4"/>
  <c r="K3958" i="4"/>
  <c r="K3961" i="4"/>
  <c r="K3962" i="4"/>
  <c r="K3963" i="4"/>
  <c r="J3973" i="4"/>
  <c r="J3975" i="4"/>
  <c r="K3976" i="4"/>
  <c r="J4009" i="4"/>
  <c r="K4010" i="4"/>
  <c r="J4011" i="4"/>
  <c r="K4023" i="4"/>
  <c r="J4024" i="4"/>
  <c r="J4025" i="4"/>
  <c r="K4041" i="4"/>
  <c r="K4042" i="4"/>
  <c r="J4043" i="4"/>
  <c r="K4070" i="4"/>
  <c r="K4080" i="4"/>
  <c r="J4089" i="4"/>
  <c r="J4090" i="4"/>
  <c r="J4091" i="4"/>
  <c r="J4092" i="4"/>
  <c r="J4093" i="4"/>
  <c r="J4094" i="4"/>
  <c r="K4095" i="4"/>
  <c r="J4102" i="4"/>
  <c r="J4103" i="4"/>
  <c r="J4108" i="4"/>
  <c r="K4109" i="4"/>
  <c r="K4110" i="4"/>
  <c r="J4132" i="4"/>
  <c r="J4141" i="4"/>
  <c r="K4142" i="4"/>
  <c r="J4144" i="4"/>
  <c r="J4146" i="4"/>
  <c r="K4147" i="4"/>
  <c r="K4150" i="4"/>
  <c r="K4151" i="4"/>
  <c r="K4152" i="4"/>
  <c r="J4159" i="4"/>
  <c r="K4160" i="4"/>
  <c r="K4163" i="4"/>
  <c r="J4180" i="4"/>
  <c r="J4181" i="4"/>
  <c r="J4182" i="4"/>
  <c r="J4195" i="4"/>
  <c r="K4196" i="4"/>
  <c r="J4197" i="4"/>
  <c r="J4198" i="4"/>
  <c r="K4199" i="4"/>
  <c r="J4200" i="4"/>
  <c r="K4201" i="4"/>
  <c r="J4202" i="4"/>
  <c r="K4211" i="4"/>
  <c r="J4212" i="4"/>
  <c r="K4213" i="4"/>
  <c r="J4227" i="4"/>
  <c r="J4264" i="4"/>
  <c r="J4265" i="4"/>
  <c r="K3178" i="4"/>
  <c r="J3237" i="4"/>
  <c r="J3252" i="4"/>
  <c r="K3272" i="4"/>
  <c r="K3275" i="4"/>
  <c r="J3298" i="4"/>
  <c r="J3342" i="4"/>
  <c r="J3347" i="4"/>
  <c r="J3445" i="4"/>
  <c r="J3452" i="4"/>
  <c r="K3485" i="4"/>
  <c r="J3505" i="4"/>
  <c r="J3534" i="4"/>
  <c r="J3538" i="4"/>
  <c r="J3541" i="4"/>
  <c r="K3594" i="4"/>
  <c r="J3621" i="4"/>
  <c r="J3629" i="4"/>
  <c r="J3632" i="4"/>
  <c r="J3661" i="4"/>
  <c r="J3671" i="4"/>
  <c r="K3675" i="4"/>
  <c r="K3680" i="4"/>
  <c r="K3704" i="4"/>
  <c r="K3754" i="4"/>
  <c r="K3757" i="4"/>
  <c r="K3842" i="4"/>
  <c r="J3880" i="4"/>
  <c r="K3899" i="4"/>
  <c r="J3910" i="4"/>
  <c r="J3915" i="4"/>
  <c r="J3917" i="4"/>
  <c r="K3930" i="4"/>
  <c r="J3972" i="4"/>
  <c r="J3979" i="4"/>
  <c r="J3990" i="4"/>
  <c r="J3993" i="4"/>
  <c r="K4000" i="4"/>
  <c r="K4003" i="4"/>
  <c r="K4006" i="4"/>
  <c r="J4015" i="4"/>
  <c r="J4018" i="4"/>
  <c r="J4027" i="4"/>
  <c r="J4044" i="4"/>
  <c r="J4059" i="4"/>
  <c r="K4062" i="4"/>
  <c r="J4076" i="4"/>
  <c r="K4079" i="4"/>
  <c r="J4082" i="4"/>
  <c r="J4116" i="4"/>
  <c r="J4119" i="4"/>
  <c r="K4153" i="4"/>
  <c r="J4206" i="4"/>
  <c r="J4209" i="4"/>
  <c r="J4233" i="4"/>
  <c r="K4289" i="4"/>
  <c r="K4328" i="4"/>
  <c r="J4352" i="4"/>
  <c r="K4366" i="4"/>
  <c r="J4526" i="4"/>
  <c r="J4543" i="4"/>
  <c r="J4574" i="4"/>
  <c r="K4577" i="4"/>
  <c r="J4620" i="4"/>
  <c r="M1490" i="4"/>
  <c r="L1482" i="4"/>
  <c r="M1482" i="4"/>
  <c r="L1493" i="4"/>
  <c r="L1488" i="4"/>
  <c r="L1483" i="4"/>
  <c r="M1483" i="4"/>
  <c r="M1488" i="4"/>
  <c r="L1492" i="4"/>
  <c r="L1484" i="4"/>
  <c r="M1484" i="4"/>
  <c r="L1491" i="4"/>
  <c r="L1489" i="4"/>
  <c r="L1485" i="4"/>
  <c r="M1485" i="4"/>
  <c r="M1489" i="4"/>
  <c r="M1491" i="4"/>
  <c r="L1486" i="4"/>
  <c r="M1486" i="4"/>
  <c r="M1492" i="4"/>
  <c r="L1480" i="4"/>
  <c r="M1480" i="4"/>
  <c r="L1490" i="4"/>
  <c r="L1487" i="4"/>
  <c r="L1481" i="4"/>
  <c r="M1481" i="4"/>
  <c r="M1487" i="4"/>
  <c r="K1346" i="4"/>
  <c r="J1347" i="4"/>
  <c r="K1347" i="4"/>
  <c r="J1348" i="4"/>
  <c r="K1348" i="4"/>
  <c r="J1349" i="4"/>
  <c r="K1349" i="4"/>
  <c r="J1350" i="4"/>
  <c r="K1350" i="4"/>
  <c r="J1351" i="4"/>
  <c r="K1351" i="4"/>
  <c r="J1352" i="4"/>
  <c r="K1352" i="4"/>
  <c r="J1353" i="4"/>
  <c r="K1353" i="4"/>
  <c r="J1354" i="4"/>
  <c r="K1354" i="4"/>
  <c r="J1355" i="4"/>
  <c r="K1355" i="4"/>
  <c r="J1356" i="4"/>
  <c r="K1356" i="4"/>
  <c r="J1357" i="4"/>
  <c r="K1357" i="4"/>
  <c r="J1358" i="4"/>
  <c r="K1358" i="4"/>
  <c r="J1359" i="4"/>
  <c r="K1359" i="4"/>
  <c r="J1360" i="4"/>
  <c r="K1360" i="4"/>
  <c r="J1361" i="4"/>
  <c r="K1361" i="4"/>
  <c r="J1362" i="4"/>
  <c r="K1362" i="4"/>
  <c r="J1363" i="4"/>
  <c r="K1363" i="4"/>
  <c r="J1364" i="4"/>
  <c r="K1364" i="4"/>
  <c r="J1365" i="4"/>
  <c r="K1365" i="4"/>
  <c r="J1366" i="4"/>
  <c r="K1366" i="4"/>
  <c r="J1367" i="4"/>
  <c r="K1367" i="4"/>
  <c r="J1368" i="4"/>
  <c r="K1368" i="4"/>
  <c r="J1369" i="4"/>
  <c r="K1369" i="4"/>
  <c r="J1370" i="4"/>
  <c r="K1370" i="4"/>
  <c r="J1371" i="4"/>
  <c r="K1371" i="4"/>
  <c r="J1372" i="4"/>
  <c r="K1372" i="4"/>
  <c r="J1373" i="4"/>
  <c r="K1373" i="4"/>
  <c r="J1374" i="4"/>
  <c r="K1374" i="4"/>
  <c r="J1375" i="4"/>
  <c r="K1375" i="4"/>
  <c r="J1376" i="4"/>
  <c r="K1376" i="4"/>
  <c r="J1377" i="4"/>
  <c r="K1377" i="4"/>
  <c r="J1378" i="4"/>
  <c r="K1378" i="4"/>
  <c r="J1379" i="4"/>
  <c r="K1379" i="4"/>
  <c r="J1380" i="4"/>
  <c r="K1380" i="4"/>
  <c r="J1381" i="4"/>
  <c r="K1381" i="4"/>
  <c r="J1382" i="4"/>
  <c r="K1382" i="4"/>
  <c r="J1383" i="4"/>
  <c r="K1383" i="4"/>
  <c r="J1384" i="4"/>
  <c r="K1384" i="4"/>
  <c r="J1385" i="4"/>
  <c r="K1385" i="4"/>
  <c r="J1386" i="4"/>
  <c r="K1386" i="4"/>
  <c r="J1387" i="4"/>
  <c r="K1387" i="4"/>
  <c r="J1388" i="4"/>
  <c r="K1388" i="4"/>
  <c r="J1389" i="4"/>
  <c r="K1389" i="4"/>
  <c r="J1390" i="4"/>
  <c r="K1390" i="4"/>
  <c r="J1391" i="4"/>
  <c r="K1391" i="4"/>
  <c r="J1392" i="4"/>
  <c r="K1392" i="4"/>
  <c r="J1393" i="4"/>
  <c r="K1393" i="4"/>
  <c r="J1394" i="4"/>
  <c r="K1394" i="4"/>
  <c r="J1395" i="4"/>
  <c r="K1395" i="4"/>
  <c r="J1396" i="4"/>
  <c r="K1396" i="4"/>
  <c r="J1397" i="4"/>
  <c r="K1397" i="4"/>
  <c r="J1398" i="4"/>
  <c r="K1398" i="4"/>
  <c r="J1399" i="4"/>
  <c r="K1399" i="4"/>
  <c r="J1400" i="4"/>
  <c r="K1400" i="4"/>
  <c r="J1401" i="4"/>
  <c r="K1401" i="4"/>
  <c r="J1402" i="4"/>
  <c r="K1402" i="4"/>
  <c r="J1403" i="4"/>
  <c r="K1403" i="4"/>
  <c r="J1404" i="4"/>
  <c r="K1404" i="4"/>
  <c r="J1405" i="4"/>
  <c r="K1405" i="4"/>
  <c r="J1406" i="4"/>
  <c r="K1406" i="4"/>
  <c r="J1407" i="4"/>
  <c r="K1407" i="4"/>
  <c r="J1408" i="4"/>
  <c r="K1408" i="4"/>
  <c r="J1409" i="4"/>
  <c r="K1409" i="4"/>
  <c r="J1410" i="4"/>
  <c r="K1410" i="4"/>
  <c r="J1411" i="4"/>
  <c r="K1411" i="4"/>
  <c r="J1412" i="4"/>
  <c r="K1412" i="4"/>
  <c r="J1413" i="4"/>
  <c r="K1413" i="4"/>
  <c r="J1414" i="4"/>
  <c r="K1414" i="4"/>
  <c r="J1415" i="4"/>
  <c r="K1415" i="4"/>
  <c r="J1416" i="4"/>
  <c r="K1416" i="4"/>
  <c r="J1417" i="4"/>
  <c r="K1417" i="4"/>
  <c r="J1418" i="4"/>
  <c r="K1418" i="4"/>
  <c r="J1419" i="4"/>
  <c r="K1419" i="4"/>
  <c r="J1420" i="4"/>
  <c r="K1420" i="4"/>
  <c r="J1421" i="4"/>
  <c r="K1421" i="4"/>
  <c r="J1422" i="4"/>
  <c r="K1422" i="4"/>
  <c r="J1423" i="4"/>
  <c r="K1423" i="4"/>
  <c r="J1424" i="4"/>
  <c r="K1424" i="4"/>
  <c r="K1425" i="4"/>
  <c r="J1426" i="4"/>
  <c r="K1426" i="4"/>
  <c r="J1427" i="4"/>
  <c r="K1427" i="4"/>
  <c r="J1428" i="4"/>
  <c r="K1428" i="4"/>
  <c r="J1429" i="4"/>
  <c r="K1429" i="4"/>
  <c r="J1430" i="4"/>
  <c r="K1430" i="4"/>
  <c r="J1431" i="4"/>
  <c r="K1431" i="4"/>
  <c r="J1432" i="4"/>
  <c r="K1432" i="4"/>
  <c r="J1433" i="4"/>
  <c r="K1433" i="4"/>
  <c r="J1434" i="4"/>
  <c r="K1434" i="4"/>
  <c r="J1435" i="4"/>
  <c r="K1435" i="4"/>
  <c r="J1436" i="4"/>
  <c r="K1436" i="4"/>
  <c r="J1437" i="4"/>
  <c r="K1437" i="4"/>
  <c r="J1438" i="4"/>
  <c r="K1438" i="4"/>
  <c r="J1439" i="4"/>
  <c r="K1439" i="4"/>
  <c r="J1440" i="4"/>
  <c r="K1440" i="4"/>
  <c r="J1441" i="4"/>
  <c r="K1441" i="4"/>
  <c r="J1442" i="4"/>
  <c r="K1442" i="4"/>
  <c r="J1443" i="4"/>
  <c r="K1443" i="4"/>
  <c r="J1444" i="4"/>
  <c r="K1444" i="4"/>
  <c r="J1445" i="4"/>
  <c r="K1445" i="4"/>
  <c r="J1446" i="4"/>
  <c r="K1446" i="4"/>
  <c r="J1447" i="4"/>
  <c r="K1447" i="4"/>
  <c r="J1448" i="4"/>
  <c r="K1448" i="4"/>
  <c r="J1449" i="4"/>
  <c r="K1449" i="4"/>
  <c r="J1450" i="4"/>
  <c r="K1450" i="4"/>
  <c r="J1451" i="4"/>
  <c r="K1451" i="4"/>
  <c r="J1452" i="4"/>
  <c r="K1452" i="4"/>
  <c r="J1453" i="4"/>
  <c r="K1453" i="4"/>
  <c r="J1454" i="4"/>
  <c r="K1454" i="4"/>
  <c r="J1455" i="4"/>
  <c r="K1455" i="4"/>
  <c r="J1456" i="4"/>
  <c r="K1456" i="4"/>
  <c r="J1457" i="4"/>
  <c r="K1457" i="4"/>
  <c r="J1458" i="4"/>
  <c r="K1458" i="4"/>
  <c r="J1459" i="4"/>
  <c r="K1459" i="4"/>
  <c r="J1460" i="4"/>
  <c r="K1460" i="4"/>
  <c r="J1461" i="4"/>
  <c r="K1461" i="4"/>
  <c r="J1462" i="4"/>
  <c r="K1462" i="4"/>
  <c r="J1463" i="4"/>
  <c r="K1463" i="4"/>
  <c r="J1464" i="4"/>
  <c r="K1464" i="4"/>
  <c r="J1465" i="4"/>
  <c r="K1465" i="4"/>
  <c r="J1466" i="4"/>
  <c r="K1466" i="4"/>
  <c r="J1467" i="4"/>
  <c r="K1467" i="4"/>
  <c r="J1468" i="4"/>
  <c r="K1468" i="4"/>
  <c r="J1469" i="4"/>
  <c r="K1469" i="4"/>
  <c r="J1470" i="4"/>
  <c r="K1470" i="4"/>
  <c r="J1471" i="4"/>
  <c r="K1471" i="4"/>
  <c r="J1472" i="4"/>
  <c r="K1472" i="4"/>
  <c r="J1473" i="4"/>
  <c r="K1473" i="4"/>
  <c r="J1474" i="4"/>
  <c r="K1474" i="4"/>
  <c r="J1475" i="4"/>
  <c r="K1475" i="4"/>
  <c r="J1476" i="4"/>
  <c r="K1476" i="4"/>
  <c r="J1477" i="4"/>
  <c r="K1477" i="4"/>
  <c r="J1478" i="4"/>
  <c r="K1478" i="4"/>
  <c r="J1479" i="4"/>
  <c r="K1479" i="4"/>
  <c r="J1480" i="4"/>
  <c r="K1480" i="4"/>
  <c r="J1481" i="4"/>
  <c r="N1481" i="4" s="1"/>
  <c r="K1481" i="4"/>
  <c r="J1482" i="4"/>
  <c r="K1482" i="4"/>
  <c r="J1483" i="4"/>
  <c r="K1483" i="4"/>
  <c r="J1484" i="4"/>
  <c r="K1484" i="4"/>
  <c r="J1485" i="4"/>
  <c r="K1485" i="4"/>
  <c r="J1486" i="4"/>
  <c r="K1486" i="4"/>
  <c r="J1487" i="4"/>
  <c r="K1487" i="4"/>
  <c r="J1488" i="4"/>
  <c r="K1488" i="4"/>
  <c r="J1489" i="4"/>
  <c r="K1489" i="4"/>
  <c r="J1490" i="4"/>
  <c r="K1490" i="4"/>
  <c r="J1491" i="4"/>
  <c r="K1491" i="4"/>
  <c r="J1492" i="4"/>
  <c r="K1492" i="4"/>
  <c r="J1493" i="4"/>
  <c r="K1493" i="4"/>
  <c r="J12" i="4"/>
  <c r="K13" i="4"/>
  <c r="K14" i="4"/>
  <c r="K23" i="4"/>
  <c r="K28" i="4"/>
  <c r="K29" i="4"/>
  <c r="K35" i="4"/>
  <c r="J41" i="4"/>
  <c r="K47" i="4"/>
  <c r="J68" i="4"/>
  <c r="J69" i="4"/>
  <c r="K83" i="4"/>
  <c r="K89" i="4"/>
  <c r="K90" i="4"/>
  <c r="J95" i="4"/>
  <c r="J96" i="4"/>
  <c r="K106" i="4"/>
  <c r="J107" i="4"/>
  <c r="J108" i="4"/>
  <c r="K118" i="4"/>
  <c r="K121" i="4"/>
  <c r="K131" i="4"/>
  <c r="K153" i="4"/>
  <c r="K154" i="4"/>
  <c r="J160" i="4"/>
  <c r="K161" i="4"/>
  <c r="J167" i="4"/>
  <c r="J168" i="4"/>
  <c r="J169" i="4"/>
  <c r="K171" i="4"/>
  <c r="J177" i="4"/>
  <c r="J183" i="4"/>
  <c r="K191" i="4"/>
  <c r="J192" i="4"/>
  <c r="K204" i="4"/>
  <c r="J220" i="4"/>
  <c r="J221" i="4"/>
  <c r="K222" i="4"/>
  <c r="J237" i="4"/>
  <c r="K238" i="4"/>
  <c r="K252" i="4"/>
  <c r="J253" i="4"/>
  <c r="J254" i="4"/>
  <c r="K257" i="4"/>
  <c r="J258" i="4"/>
  <c r="J283" i="4"/>
  <c r="K284" i="4"/>
  <c r="J295" i="4"/>
  <c r="K296" i="4"/>
  <c r="K302" i="4"/>
  <c r="J303" i="4"/>
  <c r="N303" i="4" s="1"/>
  <c r="O303" i="4" s="1"/>
  <c r="J304" i="4"/>
  <c r="J321" i="4"/>
  <c r="K322" i="4"/>
  <c r="J349" i="4"/>
  <c r="K350" i="4"/>
  <c r="K356" i="4"/>
  <c r="J364" i="4"/>
  <c r="K365" i="4"/>
  <c r="K366" i="4"/>
  <c r="J391" i="4"/>
  <c r="K398" i="4"/>
  <c r="K399" i="4"/>
  <c r="J405" i="4"/>
  <c r="J415" i="4"/>
  <c r="K416" i="4"/>
  <c r="J423" i="4"/>
  <c r="J430" i="4"/>
  <c r="J431" i="4"/>
  <c r="K432" i="4"/>
  <c r="K433" i="4"/>
  <c r="J434" i="4"/>
  <c r="K435" i="4"/>
  <c r="J441" i="4"/>
  <c r="K442" i="4"/>
  <c r="K1504" i="4"/>
  <c r="K1505" i="4"/>
  <c r="K1512" i="4"/>
  <c r="K1527" i="4"/>
  <c r="K1528" i="4"/>
  <c r="J1531" i="4"/>
  <c r="J1536" i="4"/>
  <c r="J1537" i="4"/>
  <c r="K1539" i="4"/>
  <c r="J1569" i="4"/>
  <c r="J1586" i="4"/>
  <c r="K1592" i="4"/>
  <c r="K1593" i="4"/>
  <c r="K1594" i="4"/>
  <c r="J1611" i="4"/>
  <c r="K1612" i="4"/>
  <c r="K1613" i="4"/>
  <c r="K1616" i="4"/>
  <c r="K1617" i="4"/>
  <c r="K1635" i="4"/>
  <c r="K1659" i="4"/>
  <c r="K1660" i="4"/>
  <c r="J1692" i="4"/>
  <c r="J1702" i="4"/>
  <c r="K1703" i="4"/>
  <c r="K1726" i="4"/>
  <c r="K1727" i="4"/>
  <c r="J1736" i="4"/>
  <c r="J1747" i="4"/>
  <c r="K1748" i="4"/>
  <c r="K1749" i="4"/>
  <c r="K1764" i="4"/>
  <c r="K1775" i="4"/>
  <c r="K1789" i="4"/>
  <c r="J1790" i="4"/>
  <c r="K1791" i="4"/>
  <c r="K1792" i="4"/>
  <c r="J1802" i="4"/>
  <c r="J1803" i="4"/>
  <c r="J1808" i="4"/>
  <c r="J1814" i="4"/>
  <c r="N1814" i="4" s="1"/>
  <c r="K1841" i="4"/>
  <c r="J1842" i="4"/>
  <c r="K1855" i="4"/>
  <c r="K1856" i="4"/>
  <c r="K1857" i="4"/>
  <c r="K1862" i="4"/>
  <c r="J1887" i="4"/>
  <c r="K1896" i="4"/>
  <c r="K1897" i="4"/>
  <c r="K1906" i="4"/>
  <c r="J1908" i="4"/>
  <c r="K1910" i="4"/>
  <c r="J1911" i="4"/>
  <c r="J1912" i="4"/>
  <c r="J1913" i="4"/>
  <c r="K1914" i="4"/>
  <c r="J1915" i="4"/>
  <c r="J1920" i="4"/>
  <c r="K1921" i="4"/>
  <c r="J1939" i="4"/>
  <c r="K1940" i="4"/>
  <c r="K1945" i="4"/>
  <c r="J1947" i="4"/>
  <c r="J1972" i="4"/>
  <c r="J1973" i="4"/>
  <c r="J1980" i="4"/>
  <c r="K1984" i="4"/>
  <c r="J1985" i="4"/>
  <c r="K1986" i="4"/>
  <c r="J1987" i="4"/>
  <c r="K2004" i="4"/>
  <c r="J2005" i="4"/>
  <c r="K2014" i="4"/>
  <c r="J2015" i="4"/>
  <c r="J2016" i="4"/>
  <c r="K2017" i="4"/>
  <c r="K2018" i="4"/>
  <c r="K2019" i="4"/>
  <c r="J2029" i="4"/>
  <c r="J2030" i="4"/>
  <c r="K2039" i="4"/>
  <c r="J2040" i="4"/>
  <c r="K2041" i="4"/>
  <c r="J2047" i="4"/>
  <c r="J2049" i="4"/>
  <c r="J2050" i="4"/>
  <c r="K2051" i="4"/>
  <c r="J2078" i="4"/>
  <c r="K2102" i="4"/>
  <c r="K2103" i="4"/>
  <c r="J2104" i="4"/>
  <c r="J2105" i="4"/>
  <c r="J2106" i="4"/>
  <c r="K2107" i="4"/>
  <c r="J2108" i="4"/>
  <c r="J2117" i="4"/>
  <c r="J2119" i="4"/>
  <c r="J2124" i="4"/>
  <c r="J2125" i="4"/>
  <c r="K2130" i="4"/>
  <c r="J2131" i="4"/>
  <c r="J2132" i="4"/>
  <c r="K2133" i="4"/>
  <c r="K2139" i="4"/>
  <c r="K2140" i="4"/>
  <c r="J2143" i="4"/>
  <c r="J2144" i="4"/>
  <c r="J2145" i="4"/>
  <c r="J2172" i="4"/>
  <c r="K2173" i="4"/>
  <c r="J2183" i="4"/>
  <c r="K2184" i="4"/>
  <c r="K2185" i="4"/>
  <c r="K2202" i="4"/>
  <c r="K2219" i="4"/>
  <c r="J2220" i="4"/>
  <c r="K2232" i="4"/>
  <c r="K2255" i="4"/>
  <c r="K2260" i="4"/>
  <c r="K2261" i="4"/>
  <c r="J2262" i="4"/>
  <c r="J2263" i="4"/>
  <c r="J2264" i="4"/>
  <c r="K2265" i="4"/>
  <c r="K2278" i="4"/>
  <c r="J2283" i="4"/>
  <c r="J2284" i="4"/>
  <c r="J2285" i="4"/>
  <c r="J2286" i="4"/>
  <c r="J2287" i="4"/>
  <c r="K2288" i="4"/>
  <c r="K2297" i="4"/>
  <c r="J2298" i="4"/>
  <c r="K2309" i="4"/>
  <c r="K2310" i="4"/>
  <c r="K2346" i="4"/>
  <c r="K2347" i="4"/>
  <c r="K2348" i="4"/>
  <c r="K2349" i="4"/>
  <c r="J2350" i="4"/>
  <c r="K2351" i="4"/>
  <c r="K2360" i="4"/>
  <c r="K2361" i="4"/>
  <c r="K2370" i="4"/>
  <c r="J2371" i="4"/>
  <c r="K2372" i="4"/>
  <c r="J2381" i="4"/>
  <c r="J2382" i="4"/>
  <c r="J2403" i="4"/>
  <c r="J2404" i="4"/>
  <c r="J2408" i="4"/>
  <c r="J2409" i="4"/>
  <c r="J2410" i="4"/>
  <c r="J2412" i="4"/>
  <c r="K2432" i="4"/>
  <c r="K2433" i="4"/>
  <c r="K2434" i="4"/>
  <c r="K2435" i="4"/>
  <c r="J2445" i="4"/>
  <c r="K2446" i="4"/>
  <c r="J2453" i="4"/>
  <c r="J2464" i="4"/>
  <c r="K2466" i="4"/>
  <c r="K2467" i="4"/>
  <c r="K2472" i="4"/>
  <c r="J2482" i="4"/>
  <c r="K2519" i="4"/>
  <c r="J2520" i="4"/>
  <c r="J2530" i="4"/>
  <c r="K2531" i="4"/>
  <c r="J2536" i="4"/>
  <c r="J2537" i="4"/>
  <c r="J2538" i="4"/>
  <c r="J2545" i="4"/>
  <c r="K2546" i="4"/>
  <c r="K2547" i="4"/>
  <c r="K2548" i="4"/>
  <c r="J2549" i="4"/>
  <c r="J2550" i="4"/>
  <c r="K2551" i="4"/>
  <c r="K2560" i="4"/>
  <c r="K2571" i="4"/>
  <c r="K2584" i="4"/>
  <c r="K2601" i="4"/>
  <c r="K2602" i="4"/>
  <c r="J2608" i="4"/>
  <c r="J2609" i="4"/>
  <c r="K2610" i="4"/>
  <c r="J2648" i="4"/>
  <c r="K2649" i="4"/>
  <c r="K2650" i="4"/>
  <c r="K2651" i="4"/>
  <c r="K2652" i="4"/>
  <c r="J2653" i="4"/>
  <c r="K2654" i="4"/>
  <c r="J2655" i="4"/>
  <c r="K2664" i="4"/>
  <c r="J2665" i="4"/>
  <c r="K2666" i="4"/>
  <c r="J2667" i="4"/>
  <c r="K2668" i="4"/>
  <c r="K2669" i="4"/>
  <c r="K2670" i="4"/>
  <c r="K2671" i="4"/>
  <c r="K2672" i="4"/>
  <c r="J2673" i="4"/>
  <c r="J2674" i="4"/>
  <c r="J2675" i="4"/>
  <c r="J2676" i="4"/>
  <c r="J2721" i="4"/>
  <c r="K2726" i="4"/>
  <c r="J2727" i="4"/>
  <c r="K2733" i="4"/>
  <c r="J2734" i="4"/>
  <c r="K2735" i="4"/>
  <c r="J2757" i="4"/>
  <c r="J2762" i="4"/>
  <c r="J2763" i="4"/>
  <c r="K2764" i="4"/>
  <c r="J2767" i="4"/>
  <c r="K2768" i="4"/>
  <c r="K2781" i="4"/>
  <c r="K2782" i="4"/>
  <c r="K2783" i="4"/>
  <c r="K2784" i="4"/>
  <c r="K2785" i="4"/>
  <c r="K2786" i="4"/>
  <c r="J2787" i="4"/>
  <c r="K2788" i="4"/>
  <c r="K2789" i="4"/>
  <c r="K2803" i="4"/>
  <c r="J2809" i="4"/>
  <c r="K2821" i="4"/>
  <c r="J2824" i="4"/>
  <c r="J2825" i="4"/>
  <c r="J2837" i="4"/>
  <c r="K2839" i="4"/>
  <c r="J2844" i="4"/>
  <c r="J2845" i="4"/>
  <c r="J2846" i="4"/>
  <c r="J2847" i="4"/>
  <c r="K1182" i="4"/>
  <c r="J1183" i="4"/>
  <c r="K1183" i="4"/>
  <c r="J1184" i="4"/>
  <c r="K1184" i="4"/>
  <c r="J1185" i="4"/>
  <c r="K1185" i="4"/>
  <c r="J1186" i="4"/>
  <c r="K1186" i="4"/>
  <c r="J1187" i="4"/>
  <c r="K1187" i="4"/>
  <c r="J1188" i="4"/>
  <c r="K1188" i="4"/>
  <c r="J1189" i="4"/>
  <c r="K1189" i="4"/>
  <c r="J1190" i="4"/>
  <c r="K1190" i="4"/>
  <c r="J1191" i="4"/>
  <c r="K1191" i="4"/>
  <c r="J1192" i="4"/>
  <c r="K1192" i="4"/>
  <c r="J1193" i="4"/>
  <c r="K1193" i="4"/>
  <c r="J1194" i="4"/>
  <c r="K1194" i="4"/>
  <c r="J1195" i="4"/>
  <c r="K1195" i="4"/>
  <c r="J1196" i="4"/>
  <c r="K1196" i="4"/>
  <c r="J1197" i="4"/>
  <c r="K1197" i="4"/>
  <c r="J1198" i="4"/>
  <c r="K1198" i="4"/>
  <c r="J1199" i="4"/>
  <c r="K1199" i="4"/>
  <c r="J1200" i="4"/>
  <c r="K1200" i="4"/>
  <c r="J1201" i="4"/>
  <c r="K1201" i="4"/>
  <c r="J1202" i="4"/>
  <c r="K1202" i="4"/>
  <c r="J1203" i="4"/>
  <c r="K1203" i="4"/>
  <c r="J1204" i="4"/>
  <c r="K1204" i="4"/>
  <c r="J1205" i="4"/>
  <c r="K1205" i="4"/>
  <c r="J1206" i="4"/>
  <c r="K1206" i="4"/>
  <c r="J1207" i="4"/>
  <c r="K1207" i="4"/>
  <c r="J1208" i="4"/>
  <c r="K1208" i="4"/>
  <c r="J1209" i="4"/>
  <c r="K1209" i="4"/>
  <c r="J1210" i="4"/>
  <c r="K1210" i="4"/>
  <c r="J1211" i="4"/>
  <c r="K1211" i="4"/>
  <c r="J1212" i="4"/>
  <c r="K1212" i="4"/>
  <c r="J1213" i="4"/>
  <c r="K1213" i="4"/>
  <c r="J1214" i="4"/>
  <c r="K1214" i="4"/>
  <c r="J1215" i="4"/>
  <c r="K1215" i="4"/>
  <c r="J1216" i="4"/>
  <c r="K1216" i="4"/>
  <c r="J1217" i="4"/>
  <c r="K1217" i="4"/>
  <c r="J1218" i="4"/>
  <c r="K1218" i="4"/>
  <c r="J1219" i="4"/>
  <c r="K1219" i="4"/>
  <c r="J1220" i="4"/>
  <c r="K1220" i="4"/>
  <c r="J1221" i="4"/>
  <c r="K1221" i="4"/>
  <c r="J1222" i="4"/>
  <c r="K1222" i="4"/>
  <c r="J1223" i="4"/>
  <c r="N1223" i="4" s="1"/>
  <c r="O1223" i="4" s="1"/>
  <c r="K1223" i="4"/>
  <c r="J1224" i="4"/>
  <c r="K1224" i="4"/>
  <c r="J1225" i="4"/>
  <c r="K1225" i="4"/>
  <c r="J1226" i="4"/>
  <c r="K1226" i="4"/>
  <c r="J1227" i="4"/>
  <c r="K1227" i="4"/>
  <c r="J1228" i="4"/>
  <c r="K1228" i="4"/>
  <c r="J1229" i="4"/>
  <c r="K1229" i="4"/>
  <c r="J1230" i="4"/>
  <c r="K1230" i="4"/>
  <c r="J1231" i="4"/>
  <c r="K1231" i="4"/>
  <c r="J1232" i="4"/>
  <c r="K1232" i="4"/>
  <c r="J1233" i="4"/>
  <c r="K1233" i="4"/>
  <c r="J1234" i="4"/>
  <c r="K1234" i="4"/>
  <c r="J1235" i="4"/>
  <c r="K1235" i="4"/>
  <c r="J1236" i="4"/>
  <c r="K1236" i="4"/>
  <c r="J1237" i="4"/>
  <c r="K1237" i="4"/>
  <c r="J1238" i="4"/>
  <c r="K1238" i="4"/>
  <c r="J1239" i="4"/>
  <c r="K1239" i="4"/>
  <c r="J1240" i="4"/>
  <c r="K1240" i="4"/>
  <c r="J1241" i="4"/>
  <c r="K1241" i="4"/>
  <c r="J1242" i="4"/>
  <c r="K1242" i="4"/>
  <c r="J1243" i="4"/>
  <c r="K1243" i="4"/>
  <c r="J1244" i="4"/>
  <c r="K1244" i="4"/>
  <c r="J1245" i="4"/>
  <c r="K1245" i="4"/>
  <c r="J1246" i="4"/>
  <c r="K1246" i="4"/>
  <c r="J1247" i="4"/>
  <c r="K1247" i="4"/>
  <c r="J1248" i="4"/>
  <c r="K1248" i="4"/>
  <c r="J1249" i="4"/>
  <c r="K1249" i="4"/>
  <c r="J1250" i="4"/>
  <c r="K1250" i="4"/>
  <c r="J1251" i="4"/>
  <c r="K1251" i="4"/>
  <c r="J1425" i="4"/>
  <c r="J1252" i="4"/>
  <c r="K1252" i="4"/>
  <c r="J1253" i="4"/>
  <c r="K1253" i="4"/>
  <c r="J1254" i="4"/>
  <c r="K1254" i="4"/>
  <c r="J1255" i="4"/>
  <c r="K1255" i="4"/>
  <c r="J1256" i="4"/>
  <c r="K1256" i="4"/>
  <c r="J1257" i="4"/>
  <c r="K1257" i="4"/>
  <c r="J1258" i="4"/>
  <c r="K1258" i="4"/>
  <c r="J1259" i="4"/>
  <c r="K1259" i="4"/>
  <c r="J1260" i="4"/>
  <c r="K1260" i="4"/>
  <c r="J1261" i="4"/>
  <c r="K1261" i="4"/>
  <c r="J1262" i="4"/>
  <c r="K1262" i="4"/>
  <c r="J1263" i="4"/>
  <c r="K1263" i="4"/>
  <c r="J1264" i="4"/>
  <c r="K1264" i="4"/>
  <c r="J1265" i="4"/>
  <c r="K1265" i="4"/>
  <c r="J1266" i="4"/>
  <c r="K1266" i="4"/>
  <c r="J1267" i="4"/>
  <c r="K1267" i="4"/>
  <c r="J1268" i="4"/>
  <c r="K1268" i="4"/>
  <c r="J1269" i="4"/>
  <c r="K1269" i="4"/>
  <c r="J1270" i="4"/>
  <c r="K1270" i="4"/>
  <c r="J1271" i="4"/>
  <c r="K1271" i="4"/>
  <c r="J1272" i="4"/>
  <c r="K1272" i="4"/>
  <c r="J1273" i="4"/>
  <c r="K1273" i="4"/>
  <c r="J1274" i="4"/>
  <c r="K1274" i="4"/>
  <c r="J1275" i="4"/>
  <c r="K1275" i="4"/>
  <c r="J1276" i="4"/>
  <c r="K1276" i="4"/>
  <c r="J1277" i="4"/>
  <c r="K1277" i="4"/>
  <c r="J1278" i="4"/>
  <c r="K1278" i="4"/>
  <c r="J1279" i="4"/>
  <c r="K1279" i="4"/>
  <c r="J1280" i="4"/>
  <c r="K1280" i="4"/>
  <c r="J1281" i="4"/>
  <c r="K1281" i="4"/>
  <c r="J1282" i="4"/>
  <c r="K1282" i="4"/>
  <c r="J1283" i="4"/>
  <c r="K1283" i="4"/>
  <c r="J1284" i="4"/>
  <c r="K1284" i="4"/>
  <c r="J1285" i="4"/>
  <c r="K1285" i="4"/>
  <c r="J1286" i="4"/>
  <c r="K1286" i="4"/>
  <c r="J1287" i="4"/>
  <c r="K1287" i="4"/>
  <c r="J1288" i="4"/>
  <c r="K1288" i="4"/>
  <c r="J1289" i="4"/>
  <c r="K1289" i="4"/>
  <c r="J1290" i="4"/>
  <c r="K1290" i="4"/>
  <c r="J1291" i="4"/>
  <c r="K1291" i="4"/>
  <c r="J1292" i="4"/>
  <c r="K1292" i="4"/>
  <c r="J1293" i="4"/>
  <c r="K1293" i="4"/>
  <c r="J1294" i="4"/>
  <c r="K1294" i="4"/>
  <c r="J1295" i="4"/>
  <c r="K1295" i="4"/>
  <c r="J1296" i="4"/>
  <c r="K1296" i="4"/>
  <c r="J1297" i="4"/>
  <c r="N1297" i="4" s="1"/>
  <c r="K1297" i="4"/>
  <c r="J1298" i="4"/>
  <c r="K1298" i="4"/>
  <c r="J1299" i="4"/>
  <c r="K1299" i="4"/>
  <c r="J1300" i="4"/>
  <c r="K1300" i="4"/>
  <c r="J1301" i="4"/>
  <c r="K1301" i="4"/>
  <c r="J1302" i="4"/>
  <c r="K1302" i="4"/>
  <c r="J1303" i="4"/>
  <c r="K1303" i="4"/>
  <c r="J1304" i="4"/>
  <c r="K1304" i="4"/>
  <c r="J1305" i="4"/>
  <c r="K1305" i="4"/>
  <c r="J1306" i="4"/>
  <c r="K1306" i="4"/>
  <c r="J1307" i="4"/>
  <c r="K1307" i="4"/>
  <c r="J1308" i="4"/>
  <c r="K1308" i="4"/>
  <c r="J1309" i="4"/>
  <c r="K1309" i="4"/>
  <c r="J1310" i="4"/>
  <c r="K1310" i="4"/>
  <c r="J1311" i="4"/>
  <c r="K1311" i="4"/>
  <c r="J1312" i="4"/>
  <c r="K1312" i="4"/>
  <c r="J1313" i="4"/>
  <c r="K1313" i="4"/>
  <c r="J1314" i="4"/>
  <c r="J3140" i="4"/>
  <c r="J3141" i="4"/>
  <c r="J3142" i="4"/>
  <c r="J3143" i="4"/>
  <c r="J3144" i="4"/>
  <c r="K3149" i="4"/>
  <c r="J3154" i="4"/>
  <c r="J3155" i="4"/>
  <c r="J3156" i="4"/>
  <c r="K3157" i="4"/>
  <c r="J3158" i="4"/>
  <c r="J3159" i="4"/>
  <c r="K3160" i="4"/>
  <c r="J3167" i="4"/>
  <c r="K3172" i="4"/>
  <c r="K3181" i="4"/>
  <c r="J3182" i="4"/>
  <c r="J3183" i="4"/>
  <c r="K3184" i="4"/>
  <c r="K3185" i="4"/>
  <c r="J3186" i="4"/>
  <c r="J3201" i="4"/>
  <c r="J3202" i="4"/>
  <c r="J3205" i="4"/>
  <c r="K3205" i="4"/>
  <c r="K3206" i="4"/>
  <c r="J3208" i="4"/>
  <c r="J3220" i="4"/>
  <c r="K3221" i="4"/>
  <c r="K3222" i="4"/>
  <c r="J3223" i="4"/>
  <c r="J3230" i="4"/>
  <c r="K3244" i="4"/>
  <c r="K3245" i="4"/>
  <c r="J3250" i="4"/>
  <c r="K3251" i="4"/>
  <c r="K3252" i="4"/>
  <c r="K3253" i="4"/>
  <c r="K3254" i="4"/>
  <c r="J3257" i="4"/>
  <c r="J3258" i="4"/>
  <c r="K3261" i="4"/>
  <c r="K3262" i="4"/>
  <c r="K3263" i="4"/>
  <c r="K3264" i="4"/>
  <c r="K3265" i="4"/>
  <c r="K3266" i="4"/>
  <c r="K3271" i="4"/>
  <c r="J3296" i="4"/>
  <c r="K3301" i="4"/>
  <c r="K3326" i="4"/>
  <c r="K3327" i="4"/>
  <c r="K3328" i="4"/>
  <c r="K3329" i="4"/>
  <c r="K3330" i="4"/>
  <c r="K3360" i="4"/>
  <c r="J3380" i="4"/>
  <c r="K3396" i="4"/>
  <c r="K3405" i="4"/>
  <c r="K3406" i="4"/>
  <c r="J3432" i="4"/>
  <c r="J3434" i="4"/>
  <c r="K3435" i="4"/>
  <c r="J3444" i="4"/>
  <c r="K3445" i="4"/>
  <c r="K3455" i="4"/>
  <c r="K3502" i="4"/>
  <c r="K3541" i="4"/>
  <c r="K3542" i="4"/>
  <c r="J3553" i="4"/>
  <c r="K3554" i="4"/>
  <c r="J3570" i="4"/>
  <c r="K3574" i="4"/>
  <c r="J3575" i="4"/>
  <c r="K3576" i="4"/>
  <c r="J3587" i="4"/>
  <c r="K3593" i="4"/>
  <c r="J3595" i="4"/>
  <c r="K3625" i="4"/>
  <c r="J3644" i="4"/>
  <c r="J3645" i="4"/>
  <c r="J3658" i="4"/>
  <c r="J3667" i="4"/>
  <c r="J3668" i="4"/>
  <c r="J3673" i="4"/>
  <c r="J3674" i="4"/>
  <c r="J3677" i="4"/>
  <c r="J3682" i="4"/>
  <c r="J3683" i="4"/>
  <c r="J3702" i="4"/>
  <c r="K3703" i="4"/>
  <c r="K3711" i="4"/>
  <c r="K3712" i="4"/>
  <c r="J3718" i="4"/>
  <c r="J3719" i="4"/>
  <c r="J3720" i="4"/>
  <c r="J3721" i="4"/>
  <c r="J3722" i="4"/>
  <c r="K3723" i="4"/>
  <c r="J3724" i="4"/>
  <c r="J3725" i="4"/>
  <c r="K3726" i="4"/>
  <c r="K3729" i="4"/>
  <c r="J3730" i="4"/>
  <c r="K3731" i="4"/>
  <c r="K3732" i="4"/>
  <c r="K3737" i="4"/>
  <c r="J3746" i="4"/>
  <c r="J3747" i="4"/>
  <c r="K3763" i="4"/>
  <c r="K3764" i="4"/>
  <c r="K3787" i="4"/>
  <c r="J3788" i="4"/>
  <c r="K3792" i="4"/>
  <c r="K3793" i="4"/>
  <c r="J3794" i="4"/>
  <c r="K3795" i="4"/>
  <c r="K3799" i="4"/>
  <c r="J3800" i="4"/>
  <c r="J3801" i="4"/>
  <c r="J3817" i="4"/>
  <c r="J3822" i="4"/>
  <c r="J3826" i="4"/>
  <c r="J3827" i="4"/>
  <c r="K3828" i="4"/>
  <c r="K3829" i="4"/>
  <c r="K3844" i="4"/>
  <c r="J3870" i="4"/>
  <c r="J3871" i="4"/>
  <c r="J3886" i="4"/>
  <c r="J3887" i="4"/>
  <c r="K3896" i="4"/>
  <c r="J3897" i="4"/>
  <c r="K3902" i="4"/>
  <c r="K3903" i="4"/>
  <c r="J3904" i="4"/>
  <c r="J3905" i="4"/>
  <c r="K3906" i="4"/>
  <c r="K3915" i="4"/>
  <c r="K3916" i="4"/>
  <c r="K3917" i="4"/>
  <c r="J3918" i="4"/>
  <c r="K3919" i="4"/>
  <c r="K3920" i="4"/>
  <c r="J3921" i="4"/>
  <c r="J3927" i="4"/>
  <c r="J3932" i="4"/>
  <c r="K3933" i="4"/>
  <c r="K3934" i="4"/>
  <c r="K3945" i="4"/>
  <c r="K3968" i="4"/>
  <c r="J3969" i="4"/>
  <c r="J3970" i="4"/>
  <c r="K3971" i="4"/>
  <c r="K3978" i="4"/>
  <c r="J4004" i="4"/>
  <c r="K4005" i="4"/>
  <c r="J4006" i="4"/>
  <c r="J4007" i="4"/>
  <c r="K4012" i="4"/>
  <c r="K4044" i="4"/>
  <c r="K4045" i="4"/>
  <c r="J4049" i="4"/>
  <c r="K4050" i="4"/>
  <c r="K4053" i="4"/>
  <c r="K4054" i="4"/>
  <c r="K4055" i="4"/>
  <c r="K4056" i="4"/>
  <c r="K4057" i="4"/>
  <c r="J4058" i="4"/>
  <c r="K4059" i="4"/>
  <c r="K4068" i="4"/>
  <c r="J4069" i="4"/>
  <c r="J4083" i="4"/>
  <c r="J4100" i="4"/>
  <c r="J4105" i="4"/>
  <c r="K4106" i="4"/>
  <c r="K4111" i="4"/>
  <c r="K4112" i="4"/>
  <c r="K4113" i="4"/>
  <c r="K4114" i="4"/>
  <c r="K4119" i="4"/>
  <c r="J4120" i="4"/>
  <c r="K4121" i="4"/>
  <c r="K4122" i="4"/>
  <c r="K4123" i="4"/>
  <c r="K4124" i="4"/>
  <c r="K4125" i="4"/>
  <c r="K4126" i="4"/>
  <c r="K4127" i="4"/>
  <c r="K4128" i="4"/>
  <c r="J4140" i="4"/>
  <c r="K4140" i="4"/>
  <c r="K4141" i="4"/>
  <c r="J4143" i="4"/>
  <c r="J4156" i="4"/>
  <c r="J4167" i="4"/>
  <c r="K4172" i="4"/>
  <c r="K4173" i="4"/>
  <c r="J4174" i="4"/>
  <c r="J4175" i="4"/>
  <c r="K4184" i="4"/>
  <c r="K4185" i="4"/>
  <c r="J4187" i="4"/>
  <c r="K4189" i="4"/>
  <c r="J4191" i="4"/>
  <c r="J4192" i="4"/>
  <c r="J4203" i="4"/>
  <c r="K4204" i="4"/>
  <c r="K4205" i="4"/>
  <c r="K4206" i="4"/>
  <c r="J4211" i="4"/>
  <c r="K4223" i="4"/>
  <c r="J4239" i="4"/>
  <c r="K4247" i="4"/>
  <c r="J4272" i="4"/>
  <c r="K4275" i="4"/>
  <c r="J4276" i="4"/>
  <c r="K4288" i="4"/>
  <c r="K4291" i="4"/>
  <c r="J4292" i="4"/>
  <c r="J4318" i="4"/>
  <c r="J4324" i="4"/>
  <c r="K4325" i="4"/>
  <c r="K4326" i="4"/>
  <c r="K4327" i="4"/>
  <c r="K4362" i="4"/>
  <c r="J4367" i="4"/>
  <c r="K4368" i="4"/>
  <c r="K4369" i="4"/>
  <c r="J4379" i="4"/>
  <c r="J4380" i="4"/>
  <c r="J4385" i="4"/>
  <c r="J4386" i="4"/>
  <c r="J4387" i="4"/>
  <c r="K4393" i="4"/>
  <c r="J4403" i="4"/>
  <c r="J4409" i="4"/>
  <c r="J4410" i="4"/>
  <c r="J4411" i="4"/>
  <c r="K4412" i="4"/>
  <c r="K4413" i="4"/>
  <c r="J4437" i="4"/>
  <c r="K4443" i="4"/>
  <c r="K4444" i="4"/>
  <c r="K4445" i="4"/>
  <c r="J4448" i="4"/>
  <c r="K4449" i="4"/>
  <c r="J4452" i="4"/>
  <c r="K4453" i="4"/>
  <c r="K4454" i="4"/>
  <c r="J4455" i="4"/>
  <c r="J4456" i="4"/>
  <c r="J4461" i="4"/>
  <c r="K4462" i="4"/>
  <c r="J4463" i="4"/>
  <c r="J4464" i="4"/>
  <c r="J4465" i="4"/>
  <c r="K4466" i="4"/>
  <c r="K4467" i="4"/>
  <c r="J4468" i="4"/>
  <c r="K4479" i="4"/>
  <c r="K4529" i="4"/>
  <c r="K4544" i="4"/>
  <c r="K4553" i="4"/>
  <c r="K4562" i="4"/>
  <c r="J4580" i="4"/>
  <c r="K4581" i="4"/>
  <c r="K4593" i="4"/>
  <c r="J4594" i="4"/>
  <c r="K4595" i="4"/>
  <c r="K4600" i="4"/>
  <c r="J4601" i="4"/>
  <c r="J4607" i="4"/>
  <c r="J4608" i="4"/>
  <c r="J4618" i="4"/>
  <c r="K4632" i="4"/>
  <c r="K4637" i="4"/>
  <c r="J4639" i="4"/>
  <c r="J4640" i="4"/>
  <c r="J4641" i="4"/>
  <c r="K4642" i="4"/>
  <c r="J4643" i="4"/>
  <c r="K4653" i="4"/>
  <c r="K4656" i="4"/>
  <c r="K4657" i="4"/>
  <c r="J4658" i="4"/>
  <c r="J4659" i="4"/>
  <c r="K4660" i="4"/>
  <c r="J4667" i="4"/>
  <c r="K4668" i="4"/>
  <c r="J4686" i="4"/>
  <c r="K4687" i="4"/>
  <c r="J4694" i="4"/>
  <c r="J4695" i="4"/>
  <c r="K4696" i="4"/>
  <c r="J4719" i="4"/>
  <c r="K4723" i="4"/>
  <c r="J4741" i="4"/>
  <c r="K4742" i="4"/>
  <c r="J4743" i="4"/>
  <c r="J4744" i="4"/>
  <c r="K4745" i="4"/>
  <c r="K4746" i="4"/>
  <c r="J4760" i="4"/>
  <c r="K4761" i="4"/>
  <c r="J4763" i="4"/>
  <c r="J4772" i="4"/>
  <c r="K4781" i="4"/>
  <c r="J4782" i="4"/>
  <c r="K4804" i="4"/>
  <c r="J4805" i="4"/>
  <c r="J4813" i="4"/>
  <c r="J4815" i="4"/>
  <c r="K4816" i="4"/>
  <c r="J4817" i="4"/>
  <c r="K4818" i="4"/>
  <c r="J4819" i="4"/>
  <c r="J4820" i="4"/>
  <c r="J4821" i="4"/>
  <c r="K4826" i="4"/>
  <c r="K4827" i="4"/>
  <c r="J4829" i="4"/>
  <c r="K4830" i="4"/>
  <c r="K4835" i="4"/>
  <c r="J4837" i="4"/>
  <c r="K4838" i="4"/>
  <c r="J4839" i="4"/>
  <c r="J4840" i="4"/>
  <c r="J4841" i="4"/>
  <c r="J4858" i="4"/>
  <c r="K4891" i="4"/>
  <c r="J4897" i="4"/>
  <c r="J4906" i="4"/>
  <c r="K4907" i="4"/>
  <c r="J4920" i="4"/>
  <c r="J4921" i="4"/>
  <c r="K4922" i="4"/>
  <c r="J4942" i="4"/>
  <c r="K4955" i="4"/>
  <c r="K4956" i="4"/>
  <c r="K4957" i="4"/>
  <c r="K4962" i="4"/>
  <c r="J4964" i="4"/>
  <c r="K4974" i="4"/>
  <c r="K4975" i="4"/>
  <c r="J4980" i="4"/>
  <c r="K4981" i="4"/>
  <c r="J4986" i="4"/>
  <c r="K4987" i="4"/>
  <c r="K4988" i="4"/>
  <c r="J4990" i="4"/>
  <c r="K4991" i="4"/>
  <c r="K5003" i="4"/>
  <c r="K5004" i="4"/>
  <c r="J5005" i="4"/>
  <c r="K5006" i="4"/>
  <c r="K5007" i="4"/>
  <c r="J5015" i="4"/>
  <c r="J5032" i="4"/>
  <c r="J5033" i="4"/>
  <c r="K5034" i="4"/>
  <c r="K5039" i="4"/>
  <c r="J5045" i="4"/>
  <c r="K5046" i="4"/>
  <c r="J5051" i="4"/>
  <c r="J5056" i="4"/>
  <c r="K5070" i="4"/>
  <c r="K5071" i="4"/>
  <c r="K5080" i="4"/>
  <c r="K5081" i="4"/>
  <c r="K5082" i="4"/>
  <c r="K5083" i="4"/>
  <c r="K5084" i="4"/>
  <c r="K5089" i="4"/>
  <c r="J5090" i="4"/>
  <c r="J5091" i="4"/>
  <c r="K5092" i="4"/>
  <c r="K5093" i="4"/>
  <c r="J5100" i="4"/>
  <c r="J5101" i="4"/>
  <c r="K5102" i="4"/>
  <c r="K5109" i="4"/>
  <c r="K5110" i="4"/>
  <c r="J5121" i="4"/>
  <c r="J5122" i="4"/>
  <c r="J5149" i="4"/>
  <c r="K5150" i="4"/>
  <c r="K5151" i="4"/>
  <c r="J5153" i="4"/>
  <c r="J5159" i="4"/>
  <c r="J5163" i="4"/>
  <c r="J5164" i="4"/>
  <c r="J5165" i="4"/>
  <c r="K5166" i="4"/>
  <c r="K5167" i="4"/>
  <c r="J5199" i="4"/>
  <c r="K5201" i="4"/>
  <c r="K5203" i="4"/>
  <c r="K5204" i="4"/>
  <c r="K5825" i="4"/>
  <c r="K5826" i="4"/>
  <c r="K5830" i="4"/>
  <c r="K5831" i="4"/>
  <c r="K5832" i="4"/>
  <c r="K5833" i="4"/>
  <c r="J5851" i="4"/>
  <c r="J5855" i="4"/>
  <c r="K5859" i="4"/>
  <c r="K5864" i="4"/>
  <c r="K5865" i="4"/>
  <c r="J5870" i="4"/>
  <c r="J5871" i="4"/>
  <c r="K5875" i="4"/>
  <c r="J5876" i="4"/>
  <c r="K5880" i="4"/>
  <c r="K5896" i="4"/>
  <c r="J5897" i="4"/>
  <c r="K5898" i="4"/>
  <c r="J5899" i="4"/>
  <c r="K5903" i="4"/>
  <c r="J5904" i="4"/>
  <c r="J5905" i="4"/>
  <c r="K5920" i="4"/>
  <c r="J5926" i="4"/>
  <c r="K5930" i="4"/>
  <c r="K5936" i="4"/>
  <c r="J5957" i="4"/>
  <c r="K5985" i="4"/>
  <c r="K5986" i="4"/>
  <c r="J6000" i="4"/>
  <c r="K1314" i="4"/>
  <c r="J1315" i="4"/>
  <c r="K1315" i="4"/>
  <c r="J1316" i="4"/>
  <c r="K1316" i="4"/>
  <c r="J1317" i="4"/>
  <c r="K1317" i="4"/>
  <c r="J1318" i="4"/>
  <c r="K1318" i="4"/>
  <c r="J1319" i="4"/>
  <c r="K1319" i="4"/>
  <c r="J1320" i="4"/>
  <c r="K1320" i="4"/>
  <c r="J1321" i="4"/>
  <c r="K1321" i="4"/>
  <c r="J1322" i="4"/>
  <c r="K1322" i="4"/>
  <c r="J1323" i="4"/>
  <c r="K1323" i="4"/>
  <c r="J1324" i="4"/>
  <c r="K1324" i="4"/>
  <c r="J1325" i="4"/>
  <c r="K1325" i="4"/>
  <c r="J1326" i="4"/>
  <c r="K1326" i="4"/>
  <c r="J1327" i="4"/>
  <c r="K1327" i="4"/>
  <c r="J1328" i="4"/>
  <c r="K1328" i="4"/>
  <c r="J1329" i="4"/>
  <c r="K1329" i="4"/>
  <c r="J1330" i="4"/>
  <c r="K1330" i="4"/>
  <c r="J1331" i="4"/>
  <c r="K1331" i="4"/>
  <c r="J1332" i="4"/>
  <c r="K1332" i="4"/>
  <c r="J1333" i="4"/>
  <c r="K1333" i="4"/>
  <c r="J1334" i="4"/>
  <c r="K1334" i="4"/>
  <c r="J1335" i="4"/>
  <c r="K1335" i="4"/>
  <c r="J1336" i="4"/>
  <c r="K1336" i="4"/>
  <c r="J1337" i="4"/>
  <c r="K1337" i="4"/>
  <c r="J1338" i="4"/>
  <c r="K1338" i="4"/>
  <c r="J1339" i="4"/>
  <c r="K1339" i="4"/>
  <c r="J1340" i="4"/>
  <c r="K1340" i="4"/>
  <c r="J1341" i="4"/>
  <c r="K1341" i="4"/>
  <c r="J1342" i="4"/>
  <c r="K1342" i="4"/>
  <c r="J1343" i="4"/>
  <c r="K1343" i="4"/>
  <c r="J1344" i="4"/>
  <c r="K1344" i="4"/>
  <c r="J1345" i="4"/>
  <c r="K1345" i="4"/>
  <c r="J1346" i="4"/>
  <c r="G142" i="1"/>
  <c r="E151" i="1"/>
  <c r="G150" i="1"/>
  <c r="M6" i="4"/>
  <c r="L13" i="4"/>
  <c r="L20" i="4"/>
  <c r="L24" i="4"/>
  <c r="M31" i="4"/>
  <c r="L38" i="4"/>
  <c r="M44" i="4"/>
  <c r="M49" i="4"/>
  <c r="M55" i="4"/>
  <c r="L63" i="4"/>
  <c r="M68" i="4"/>
  <c r="L72" i="4"/>
  <c r="M78" i="4"/>
  <c r="L85" i="4"/>
  <c r="M89" i="4"/>
  <c r="L96" i="4"/>
  <c r="L103" i="4"/>
  <c r="M109" i="4"/>
  <c r="M117" i="4"/>
  <c r="M121" i="4"/>
  <c r="L127" i="4"/>
  <c r="L134" i="4"/>
  <c r="L142" i="4"/>
  <c r="L147" i="4"/>
  <c r="L151" i="4"/>
  <c r="L159" i="4"/>
  <c r="M169" i="4"/>
  <c r="M177" i="4"/>
  <c r="M183" i="4"/>
  <c r="M189" i="4"/>
  <c r="M193" i="4"/>
  <c r="L200" i="4"/>
  <c r="M204" i="4"/>
  <c r="L210" i="4"/>
  <c r="M216" i="4"/>
  <c r="M221" i="4"/>
  <c r="L225" i="4"/>
  <c r="L230" i="4"/>
  <c r="L235" i="4"/>
  <c r="L239" i="4"/>
  <c r="L245" i="4"/>
  <c r="L251" i="4"/>
  <c r="L256" i="4"/>
  <c r="L261" i="4"/>
  <c r="M268" i="4"/>
  <c r="M274" i="4"/>
  <c r="L281" i="4"/>
  <c r="M287" i="4"/>
  <c r="L292" i="4"/>
  <c r="L298" i="4"/>
  <c r="M303" i="4"/>
  <c r="L311" i="4"/>
  <c r="M315" i="4"/>
  <c r="M321" i="4"/>
  <c r="L326" i="4"/>
  <c r="M332" i="4"/>
  <c r="M336" i="4"/>
  <c r="L340" i="4"/>
  <c r="L346" i="4"/>
  <c r="M352" i="4"/>
  <c r="M357" i="4"/>
  <c r="M363" i="4"/>
  <c r="M367" i="4"/>
  <c r="M373" i="4"/>
  <c r="M377" i="4"/>
  <c r="L382" i="4"/>
  <c r="L386" i="4"/>
  <c r="L393" i="4"/>
  <c r="M397" i="4"/>
  <c r="M402" i="4"/>
  <c r="L406" i="4"/>
  <c r="L411" i="4"/>
  <c r="M419" i="4"/>
  <c r="L423" i="4"/>
  <c r="M430" i="4"/>
  <c r="L437" i="4"/>
  <c r="M1493" i="4"/>
  <c r="M1497" i="4"/>
  <c r="L1501" i="4"/>
  <c r="M1505" i="4"/>
  <c r="M1509" i="4"/>
  <c r="L1513" i="4"/>
  <c r="L1521" i="4"/>
  <c r="L1526" i="4"/>
  <c r="M1535" i="4"/>
  <c r="L1539" i="4"/>
  <c r="M1543" i="4"/>
  <c r="L1548" i="4"/>
  <c r="L1552" i="4"/>
  <c r="M1558" i="4"/>
  <c r="L1569" i="4"/>
  <c r="L1573" i="4"/>
  <c r="M1581" i="4"/>
  <c r="M1585" i="4"/>
  <c r="L1588" i="4"/>
  <c r="L1593" i="4"/>
  <c r="L1597" i="4"/>
  <c r="L1602" i="4"/>
  <c r="L1607" i="4"/>
  <c r="L1611" i="4"/>
  <c r="L1620" i="4"/>
  <c r="M1624" i="4"/>
  <c r="M1630" i="4"/>
  <c r="M1634" i="4"/>
  <c r="L1639" i="4"/>
  <c r="L1645" i="4"/>
  <c r="L1651" i="4"/>
  <c r="L1655" i="4"/>
  <c r="M1659" i="4"/>
  <c r="M1663" i="4"/>
  <c r="L1668" i="4"/>
  <c r="L1672" i="4"/>
  <c r="L1687" i="4"/>
  <c r="M1691" i="4"/>
  <c r="L1695" i="4"/>
  <c r="M1699" i="4"/>
  <c r="M1703" i="4"/>
  <c r="L1713" i="4"/>
  <c r="M1717" i="4"/>
  <c r="M1722" i="4"/>
  <c r="L1728" i="4"/>
  <c r="M1732" i="4"/>
  <c r="L1742" i="4"/>
  <c r="M1746" i="4"/>
  <c r="L1750" i="4"/>
  <c r="L1755" i="4"/>
  <c r="L1762" i="4"/>
  <c r="L1766" i="4"/>
  <c r="M1770" i="4"/>
  <c r="M1774" i="4"/>
  <c r="M1778" i="4"/>
  <c r="L1783" i="4"/>
  <c r="M1789" i="4"/>
  <c r="M1795" i="4"/>
  <c r="L1804" i="4"/>
  <c r="M1810" i="4"/>
  <c r="M1814" i="4"/>
  <c r="M1823" i="4"/>
  <c r="M1827" i="4"/>
  <c r="M1831" i="4"/>
  <c r="M1839" i="4"/>
  <c r="L1843" i="4"/>
  <c r="M1847" i="4"/>
  <c r="L1853" i="4"/>
  <c r="L1857" i="4"/>
  <c r="M1862" i="4"/>
  <c r="M1866" i="4"/>
  <c r="M1871" i="4"/>
  <c r="M1875" i="4"/>
  <c r="M1879" i="4"/>
  <c r="L1883" i="4"/>
  <c r="L1887" i="4"/>
  <c r="L1894" i="4"/>
  <c r="M1900" i="4"/>
  <c r="L1904" i="4"/>
  <c r="M1908" i="4"/>
  <c r="M1912" i="4"/>
  <c r="M1918" i="4"/>
  <c r="L1922" i="4"/>
  <c r="L1926" i="4"/>
  <c r="L1930" i="4"/>
  <c r="M1936" i="4"/>
  <c r="L1942" i="4"/>
  <c r="L1947" i="4"/>
  <c r="L1951" i="4"/>
  <c r="M1955" i="4"/>
  <c r="L1959" i="4"/>
  <c r="L1963" i="4"/>
  <c r="L1967" i="4"/>
  <c r="M1971" i="4"/>
  <c r="L1977" i="4"/>
  <c r="L1981" i="4"/>
  <c r="M1986" i="4"/>
  <c r="M1991" i="4"/>
  <c r="M2007" i="4"/>
  <c r="L2012" i="4"/>
  <c r="M2015" i="4"/>
  <c r="L2019" i="4"/>
  <c r="M2028" i="4"/>
  <c r="M2032" i="4"/>
  <c r="M2038" i="4"/>
  <c r="M2042" i="4"/>
  <c r="M2046" i="4"/>
  <c r="L2050" i="4"/>
  <c r="M2054" i="4"/>
  <c r="M2058" i="4"/>
  <c r="M2068" i="4"/>
  <c r="L2074" i="4"/>
  <c r="L2078" i="4"/>
  <c r="L2083" i="4"/>
  <c r="M2096" i="4"/>
  <c r="L2100" i="4"/>
  <c r="M2104" i="4"/>
  <c r="M2108" i="4"/>
  <c r="M2115" i="4"/>
  <c r="L2119" i="4"/>
  <c r="M2131" i="4"/>
  <c r="M2140" i="4"/>
  <c r="L2144" i="4"/>
  <c r="M2148" i="4"/>
  <c r="M2157" i="4"/>
  <c r="M2163" i="4"/>
  <c r="M2168" i="4"/>
  <c r="L2174" i="4"/>
  <c r="M2181" i="4"/>
  <c r="M2186" i="4"/>
  <c r="L2194" i="4"/>
  <c r="M2198" i="4"/>
  <c r="M2205" i="4"/>
  <c r="M2212" i="4"/>
  <c r="L2217" i="4"/>
  <c r="L2221" i="4"/>
  <c r="M2225" i="4"/>
  <c r="M2229" i="4"/>
  <c r="M2235" i="4"/>
  <c r="M2242" i="4"/>
  <c r="M2248" i="4"/>
  <c r="L2252" i="4"/>
  <c r="L2259" i="4"/>
  <c r="L2263" i="4"/>
  <c r="L2267" i="4"/>
  <c r="L2271" i="4"/>
  <c r="L2275" i="4"/>
  <c r="L2279" i="4"/>
  <c r="M2284" i="4"/>
  <c r="L2288" i="4"/>
  <c r="M2292" i="4"/>
  <c r="M2301" i="4"/>
  <c r="M2308" i="4"/>
  <c r="L2312" i="4"/>
  <c r="M2316" i="4"/>
  <c r="L2320" i="4"/>
  <c r="M2327" i="4"/>
  <c r="M2338" i="4"/>
  <c r="M2342" i="4"/>
  <c r="L2346" i="4"/>
  <c r="M2352" i="4"/>
  <c r="L2361" i="4"/>
  <c r="M2430" i="4"/>
  <c r="M2436" i="4"/>
  <c r="L2445" i="4"/>
  <c r="L2449" i="4"/>
  <c r="M2453" i="4"/>
  <c r="L2457" i="4"/>
  <c r="M2461" i="4"/>
  <c r="M2465" i="4"/>
  <c r="L2469" i="4"/>
  <c r="M2473" i="4"/>
  <c r="L2486" i="4"/>
  <c r="M2490" i="4"/>
  <c r="L2494" i="4"/>
  <c r="M2498" i="4"/>
  <c r="L2504" i="4"/>
  <c r="L2508" i="4"/>
  <c r="M2519" i="4"/>
  <c r="M2527" i="4"/>
  <c r="M2533" i="4"/>
  <c r="M2538" i="4"/>
  <c r="M2542" i="4"/>
  <c r="L2546" i="4"/>
  <c r="M2549" i="4"/>
  <c r="M2556" i="4"/>
  <c r="L2563" i="4"/>
  <c r="L2572" i="4"/>
  <c r="M2583" i="4"/>
  <c r="L2590" i="4"/>
  <c r="L2594" i="4"/>
  <c r="M2598" i="4"/>
  <c r="M2602" i="4"/>
  <c r="L2607" i="4"/>
  <c r="L2619" i="4"/>
  <c r="M2623" i="4"/>
  <c r="M2627" i="4"/>
  <c r="M2631" i="4"/>
  <c r="L2641" i="4"/>
  <c r="M2649" i="4"/>
  <c r="M2653" i="4"/>
  <c r="L2659" i="4"/>
  <c r="M2663" i="4"/>
  <c r="L2667" i="4"/>
  <c r="L2671" i="4"/>
  <c r="M2675" i="4"/>
  <c r="L2684" i="4"/>
  <c r="L2688" i="4"/>
  <c r="M2693" i="4"/>
  <c r="L2699" i="4"/>
  <c r="L2703" i="4"/>
  <c r="L2708" i="4"/>
  <c r="M2712" i="4"/>
  <c r="L2718" i="4"/>
  <c r="M2722" i="4"/>
  <c r="L2726" i="4"/>
  <c r="M2730" i="4"/>
  <c r="M2734" i="4"/>
  <c r="L2738" i="4"/>
  <c r="M2745" i="4"/>
  <c r="L2749" i="4"/>
  <c r="M2753" i="4"/>
  <c r="M2757" i="4"/>
  <c r="M2763" i="4"/>
  <c r="M2769" i="4"/>
  <c r="M2773" i="4"/>
  <c r="L2784" i="4"/>
  <c r="M2788" i="4"/>
  <c r="L2792" i="4"/>
  <c r="M2796" i="4"/>
  <c r="L2800" i="4"/>
  <c r="M2803" i="4"/>
  <c r="M2809" i="4"/>
  <c r="M2813" i="4"/>
  <c r="M2817" i="4"/>
  <c r="L2821" i="4"/>
  <c r="L2831" i="4"/>
  <c r="L2837" i="4"/>
  <c r="L2846" i="4"/>
  <c r="L2850" i="4"/>
  <c r="M2856" i="4"/>
  <c r="M2861" i="4"/>
  <c r="L2867" i="4"/>
  <c r="L2871" i="4"/>
  <c r="M2875" i="4"/>
  <c r="M2881" i="4"/>
  <c r="L2885" i="4"/>
  <c r="M2894" i="4"/>
  <c r="M2898" i="4"/>
  <c r="L2902" i="4"/>
  <c r="M2912" i="4"/>
  <c r="M2917" i="4"/>
  <c r="M2921" i="4"/>
  <c r="M2931" i="4"/>
  <c r="L2941" i="4"/>
  <c r="M2945" i="4"/>
  <c r="M2955" i="4"/>
  <c r="M2959" i="4"/>
  <c r="M2963" i="4"/>
  <c r="M2967" i="4"/>
  <c r="L2971" i="4"/>
  <c r="L2975" i="4"/>
  <c r="L2983" i="4"/>
  <c r="M2988" i="4"/>
  <c r="M2992" i="4"/>
  <c r="M2996" i="4"/>
  <c r="L3000" i="4"/>
  <c r="M3005" i="4"/>
  <c r="L3014" i="4"/>
  <c r="L3024" i="4"/>
  <c r="L3030" i="4"/>
  <c r="L3038" i="4"/>
  <c r="M3042" i="4"/>
  <c r="M3046" i="4"/>
  <c r="L3050" i="4"/>
  <c r="L3057" i="4"/>
  <c r="L3066" i="4"/>
  <c r="M3072" i="4"/>
  <c r="M3076" i="4"/>
  <c r="L3080" i="4"/>
  <c r="M3084" i="4"/>
  <c r="L3088" i="4"/>
  <c r="M3094" i="4"/>
  <c r="M3098" i="4"/>
  <c r="L3104" i="4"/>
  <c r="L3108" i="4"/>
  <c r="L3112" i="4"/>
  <c r="L3116" i="4"/>
  <c r="L3126" i="4"/>
  <c r="M3139" i="4"/>
  <c r="L3147" i="4"/>
  <c r="L3152" i="4"/>
  <c r="M3157" i="4"/>
  <c r="L3161" i="4"/>
  <c r="M3165" i="4"/>
  <c r="L3169" i="4"/>
  <c r="M3173" i="4"/>
  <c r="L3182" i="4"/>
  <c r="L3186" i="4"/>
  <c r="L3191" i="4"/>
  <c r="L3195" i="4"/>
  <c r="L3199" i="4"/>
  <c r="L3203" i="4"/>
  <c r="M3209" i="4"/>
  <c r="L3215" i="4"/>
  <c r="L3219" i="4"/>
  <c r="M3225" i="4"/>
  <c r="L3232" i="4"/>
  <c r="L3236" i="4"/>
  <c r="L3240" i="4"/>
  <c r="M3245" i="4"/>
  <c r="L3251" i="4"/>
  <c r="M3255" i="4"/>
  <c r="L3259" i="4"/>
  <c r="L3263" i="4"/>
  <c r="L3267" i="4"/>
  <c r="L3271" i="4"/>
  <c r="M3275" i="4"/>
  <c r="M3279" i="4"/>
  <c r="L3285" i="4"/>
  <c r="L3290" i="4"/>
  <c r="M3295" i="4"/>
  <c r="L3301" i="4"/>
  <c r="L3306" i="4"/>
  <c r="L3311" i="4"/>
  <c r="L3315" i="4"/>
  <c r="M3326" i="4"/>
  <c r="M3335" i="4"/>
  <c r="L3340" i="4"/>
  <c r="L3344" i="4"/>
  <c r="L3348" i="4"/>
  <c r="M3352" i="4"/>
  <c r="M3356" i="4"/>
  <c r="L3361" i="4"/>
  <c r="L3365" i="4"/>
  <c r="M3370" i="4"/>
  <c r="M3376" i="4"/>
  <c r="L3382" i="4"/>
  <c r="M3387" i="4"/>
  <c r="M3393" i="4"/>
  <c r="M3399" i="4"/>
  <c r="M3405" i="4"/>
  <c r="L3413" i="4"/>
  <c r="M3417" i="4"/>
  <c r="M3425" i="4"/>
  <c r="M3429" i="4"/>
  <c r="M3435" i="4"/>
  <c r="L3439" i="4"/>
  <c r="M3445" i="4"/>
  <c r="L3449" i="4"/>
  <c r="L3453" i="4"/>
  <c r="L3457" i="4"/>
  <c r="M3461" i="4"/>
  <c r="M3465" i="4"/>
  <c r="L3471" i="4"/>
  <c r="M3475" i="4"/>
  <c r="L3479" i="4"/>
  <c r="M3483" i="4"/>
  <c r="M3488" i="4"/>
  <c r="L3493" i="4"/>
  <c r="L3502" i="4"/>
  <c r="M3507" i="4"/>
  <c r="L3512" i="4"/>
  <c r="L3518" i="4"/>
  <c r="L3525" i="4"/>
  <c r="M3530" i="4"/>
  <c r="L3534" i="4"/>
  <c r="M3540" i="4"/>
  <c r="L3546" i="4"/>
  <c r="M3552" i="4"/>
  <c r="L3562" i="4"/>
  <c r="L3566" i="4"/>
  <c r="L3570" i="4"/>
  <c r="M3574" i="4"/>
  <c r="M3578" i="4"/>
  <c r="L3582" i="4"/>
  <c r="L3590" i="4"/>
  <c r="M3594" i="4"/>
  <c r="L3610" i="4"/>
  <c r="M3614" i="4"/>
  <c r="M3618" i="4"/>
  <c r="L3622" i="4"/>
  <c r="L3626" i="4"/>
  <c r="L3631" i="4"/>
  <c r="L3635" i="4"/>
  <c r="M3639" i="4"/>
  <c r="L3643" i="4"/>
  <c r="M3647" i="4"/>
  <c r="M3653" i="4"/>
  <c r="L3662" i="4"/>
  <c r="L3666" i="4"/>
  <c r="M3670" i="4"/>
  <c r="M3674" i="4"/>
  <c r="M3679" i="4"/>
  <c r="L3687" i="4"/>
  <c r="L3693" i="4"/>
  <c r="M3704" i="4"/>
  <c r="L3713" i="4"/>
  <c r="M3717" i="4"/>
  <c r="L3723" i="4"/>
  <c r="M3727" i="4"/>
  <c r="L3733" i="4"/>
  <c r="M3738" i="4"/>
  <c r="L3742" i="4"/>
  <c r="M3747" i="4"/>
  <c r="M3751" i="4"/>
  <c r="M3755" i="4"/>
  <c r="M3759" i="4"/>
  <c r="L3763" i="4"/>
  <c r="L3769" i="4"/>
  <c r="L3778" i="4"/>
  <c r="M3784" i="4"/>
  <c r="M3788" i="4"/>
  <c r="M3794" i="4"/>
  <c r="M3801" i="4"/>
  <c r="M3805" i="4"/>
  <c r="M3809" i="4"/>
  <c r="L3813" i="4"/>
  <c r="M3817" i="4"/>
  <c r="L3821" i="4"/>
  <c r="M3827" i="4"/>
  <c r="L3831" i="4"/>
  <c r="M3835" i="4"/>
  <c r="M3839" i="4"/>
  <c r="L3846" i="4"/>
  <c r="L3856" i="4"/>
  <c r="L3860" i="4"/>
  <c r="L3864" i="4"/>
  <c r="L3870" i="4"/>
  <c r="M3874" i="4"/>
  <c r="L3878" i="4"/>
  <c r="M3882" i="4"/>
  <c r="L3886" i="4"/>
  <c r="L3890" i="4"/>
  <c r="M3894" i="4"/>
  <c r="L3898" i="4"/>
  <c r="L3902" i="4"/>
  <c r="L3906" i="4"/>
  <c r="M3910" i="4"/>
  <c r="L3914" i="4"/>
  <c r="L3918" i="4"/>
  <c r="L3922" i="4"/>
  <c r="L3926" i="4"/>
  <c r="L3933" i="4"/>
  <c r="L3937" i="4"/>
  <c r="M3941" i="4"/>
  <c r="L3945" i="4"/>
  <c r="L3952" i="4"/>
  <c r="L3957" i="4"/>
  <c r="L3961" i="4"/>
  <c r="L3965" i="4"/>
  <c r="M3971" i="4"/>
  <c r="L3975" i="4"/>
  <c r="M3979" i="4"/>
  <c r="L3983" i="4"/>
  <c r="L3987" i="4"/>
  <c r="M3990" i="4"/>
  <c r="L3996" i="4"/>
  <c r="M4000" i="4"/>
  <c r="L4008" i="4"/>
  <c r="M4023" i="4"/>
  <c r="L4041" i="4"/>
  <c r="L4045" i="4"/>
  <c r="M4049" i="4"/>
  <c r="M4056" i="4"/>
  <c r="L4061" i="4"/>
  <c r="M4065" i="4"/>
  <c r="L4069" i="4"/>
  <c r="M4073" i="4"/>
  <c r="L4077" i="4"/>
  <c r="L4081" i="4"/>
  <c r="L4097" i="4"/>
  <c r="L4101" i="4"/>
  <c r="M4108" i="4"/>
  <c r="M4112" i="4"/>
  <c r="M4116" i="4"/>
  <c r="M4120" i="4"/>
  <c r="L4125" i="4"/>
  <c r="L4129" i="4"/>
  <c r="L4134" i="4"/>
  <c r="M4138" i="4"/>
  <c r="M4142" i="4"/>
  <c r="M4146" i="4"/>
  <c r="M4152" i="4"/>
  <c r="L4156" i="4"/>
  <c r="L4160" i="4"/>
  <c r="L4164" i="4"/>
  <c r="M4170" i="4"/>
  <c r="M4176" i="4"/>
  <c r="M4182" i="4"/>
  <c r="L4186" i="4"/>
  <c r="L4190" i="4"/>
  <c r="M4199" i="4"/>
  <c r="M4205" i="4"/>
  <c r="L4211" i="4"/>
  <c r="M4224" i="4"/>
  <c r="M4232" i="4"/>
  <c r="L4236" i="4"/>
  <c r="M4241" i="4"/>
  <c r="L4247" i="4"/>
  <c r="M4260" i="4"/>
  <c r="M4268" i="4"/>
  <c r="M4276" i="4"/>
  <c r="L4290" i="4"/>
  <c r="L4294" i="4"/>
  <c r="L4301" i="4"/>
  <c r="L4306" i="4"/>
  <c r="L4312" i="4"/>
  <c r="L4316" i="4"/>
  <c r="M4320" i="4"/>
  <c r="L4324" i="4"/>
  <c r="M4329" i="4"/>
  <c r="M4339" i="4"/>
  <c r="L4344" i="4"/>
  <c r="L4349" i="4"/>
  <c r="M4359" i="4"/>
  <c r="L4368" i="4"/>
  <c r="L4375" i="4"/>
  <c r="L4379" i="4"/>
  <c r="M4383" i="4"/>
  <c r="L4387" i="4"/>
  <c r="L4391" i="4"/>
  <c r="M4395" i="4"/>
  <c r="L4402" i="4"/>
  <c r="M4406" i="4"/>
  <c r="M4413" i="4"/>
  <c r="M4419" i="4"/>
  <c r="L4424" i="4"/>
  <c r="L4433" i="4"/>
  <c r="M4437" i="4"/>
  <c r="L4442" i="4"/>
  <c r="M4449" i="4"/>
  <c r="L4453" i="4"/>
  <c r="M4463" i="4"/>
  <c r="M4468" i="4"/>
  <c r="L4472" i="4"/>
  <c r="M4476" i="4"/>
  <c r="L4484" i="4"/>
  <c r="L4488" i="4"/>
  <c r="M4495" i="4"/>
  <c r="M4498" i="4"/>
  <c r="M4503" i="4"/>
  <c r="M4507" i="4"/>
  <c r="M4511" i="4"/>
  <c r="M4515" i="4"/>
  <c r="L4519" i="4"/>
  <c r="M4523" i="4"/>
  <c r="L4527" i="4"/>
  <c r="L4531" i="4"/>
  <c r="M4539" i="4"/>
  <c r="M4543" i="4"/>
  <c r="M4549" i="4"/>
  <c r="M4553" i="4"/>
  <c r="L4559" i="4"/>
  <c r="M4565" i="4"/>
  <c r="M4570" i="4"/>
  <c r="M4576" i="4"/>
  <c r="L4584" i="4"/>
  <c r="L4590" i="4"/>
  <c r="L4595" i="4"/>
  <c r="M4599" i="4"/>
  <c r="L4604" i="4"/>
  <c r="M4612" i="4"/>
  <c r="L4618" i="4"/>
  <c r="M4622" i="4"/>
  <c r="L4626" i="4"/>
  <c r="L4636" i="4"/>
  <c r="L4640" i="4"/>
  <c r="L4660" i="4"/>
  <c r="L4664" i="4"/>
  <c r="L4668" i="4"/>
  <c r="M4673" i="4"/>
  <c r="L4678" i="4"/>
  <c r="M4682" i="4"/>
  <c r="L4690" i="4"/>
  <c r="M4694" i="4"/>
  <c r="L4698" i="4"/>
  <c r="L4702" i="4"/>
  <c r="M4708" i="4"/>
  <c r="L4712" i="4"/>
  <c r="M4716" i="4"/>
  <c r="M4720" i="4"/>
  <c r="M4724" i="4"/>
  <c r="L4728" i="4"/>
  <c r="L4732" i="4"/>
  <c r="L4736" i="4"/>
  <c r="M4740" i="4"/>
  <c r="M4747" i="4"/>
  <c r="M4753" i="4"/>
  <c r="M4759" i="4"/>
  <c r="L4769" i="4"/>
  <c r="L4816" i="4"/>
  <c r="L4822" i="4"/>
  <c r="L4826" i="4"/>
  <c r="L4832" i="4"/>
  <c r="L4838" i="4"/>
  <c r="L4842" i="4"/>
  <c r="L4846" i="4"/>
  <c r="L4850" i="4"/>
  <c r="L4854" i="4"/>
  <c r="L4859" i="4"/>
  <c r="L4863" i="4"/>
  <c r="M4874" i="4"/>
  <c r="L4880" i="4"/>
  <c r="M4887" i="4"/>
  <c r="M4892" i="4"/>
  <c r="M4897" i="4"/>
  <c r="M4901" i="4"/>
  <c r="L4905" i="4"/>
  <c r="M4909" i="4"/>
  <c r="M4922" i="4"/>
  <c r="M4927" i="4"/>
  <c r="L4931" i="4"/>
  <c r="M4935" i="4"/>
  <c r="M4939" i="4"/>
  <c r="L4946" i="4"/>
  <c r="L4950" i="4"/>
  <c r="M4954" i="4"/>
  <c r="M4964" i="4"/>
  <c r="M4968" i="4"/>
  <c r="L4972" i="4"/>
  <c r="L4976" i="4"/>
  <c r="M4981" i="4"/>
  <c r="M4986" i="4"/>
  <c r="L4990" i="4"/>
  <c r="L5000" i="4"/>
  <c r="L5006" i="4"/>
  <c r="L5010" i="4"/>
  <c r="L5014" i="4"/>
  <c r="L5018" i="4"/>
  <c r="L5022" i="4"/>
  <c r="L5026" i="4"/>
  <c r="L5030" i="4"/>
  <c r="M5034" i="4"/>
  <c r="M5041" i="4"/>
  <c r="L5047" i="4"/>
  <c r="M5051" i="4"/>
  <c r="L5055" i="4"/>
  <c r="M5060" i="4"/>
  <c r="M5064" i="4"/>
  <c r="L5068" i="4"/>
  <c r="L5075" i="4"/>
  <c r="L5079" i="4"/>
  <c r="M5083" i="4"/>
  <c r="M5088" i="4"/>
  <c r="M5092" i="4"/>
  <c r="M5097" i="4"/>
  <c r="M5101" i="4"/>
  <c r="M5113" i="4"/>
  <c r="L5122" i="4"/>
  <c r="L5135" i="4"/>
  <c r="M5141" i="4"/>
  <c r="L5145" i="4"/>
  <c r="L5190" i="4"/>
  <c r="M5200" i="4"/>
  <c r="L5206" i="4"/>
  <c r="M5819" i="4"/>
  <c r="M5827" i="4"/>
  <c r="L5830" i="4"/>
  <c r="L5834" i="4"/>
  <c r="M5839" i="4"/>
  <c r="L5843" i="4"/>
  <c r="M5846" i="4"/>
  <c r="M5850" i="4"/>
  <c r="M5857" i="4"/>
  <c r="L5861" i="4"/>
  <c r="L5868" i="4"/>
  <c r="L5873" i="4"/>
  <c r="L5878" i="4"/>
  <c r="L5881" i="4"/>
  <c r="L5884" i="4"/>
  <c r="M5887" i="4"/>
  <c r="L5892" i="4"/>
  <c r="L5899" i="4"/>
  <c r="L5903" i="4"/>
  <c r="M5908" i="4"/>
  <c r="M5916" i="4"/>
  <c r="M5921" i="4"/>
  <c r="L5925" i="4"/>
  <c r="M5932" i="4"/>
  <c r="M5936" i="4"/>
  <c r="M5940" i="4"/>
  <c r="M5944" i="4"/>
  <c r="M5947" i="4"/>
  <c r="L5956" i="4"/>
  <c r="M5961" i="4"/>
  <c r="L5966" i="4"/>
  <c r="L5971" i="4"/>
  <c r="M5977" i="4"/>
  <c r="M5982" i="4"/>
  <c r="L5986" i="4"/>
  <c r="L5994" i="4"/>
  <c r="M6001" i="4"/>
  <c r="L3" i="4"/>
  <c r="L16" i="4"/>
  <c r="L22" i="4"/>
  <c r="L29" i="4"/>
  <c r="L41" i="4"/>
  <c r="L49" i="4"/>
  <c r="L53" i="4"/>
  <c r="L59" i="4"/>
  <c r="M65" i="4"/>
  <c r="L74" i="4"/>
  <c r="L80" i="4"/>
  <c r="L86" i="4"/>
  <c r="M91" i="4"/>
  <c r="M98" i="4"/>
  <c r="L106" i="4"/>
  <c r="L111" i="4"/>
  <c r="M115" i="4"/>
  <c r="L120" i="4"/>
  <c r="M124" i="4"/>
  <c r="M132" i="4"/>
  <c r="L138" i="4"/>
  <c r="M145" i="4"/>
  <c r="M151" i="4"/>
  <c r="L156" i="4"/>
  <c r="M164" i="4"/>
  <c r="L170" i="4"/>
  <c r="L176" i="4"/>
  <c r="L180" i="4"/>
  <c r="M184" i="4"/>
  <c r="M190" i="4"/>
  <c r="L194" i="4"/>
  <c r="M198" i="4"/>
  <c r="M205" i="4"/>
  <c r="L212" i="4"/>
  <c r="L221" i="4"/>
  <c r="L227" i="4"/>
  <c r="M232" i="4"/>
  <c r="M237" i="4"/>
  <c r="L241" i="4"/>
  <c r="L248" i="4"/>
  <c r="M253" i="4"/>
  <c r="M258" i="4"/>
  <c r="M262" i="4"/>
  <c r="L267" i="4"/>
  <c r="M273" i="4"/>
  <c r="M277" i="4"/>
  <c r="M285" i="4"/>
  <c r="M289" i="4"/>
  <c r="L295" i="4"/>
  <c r="L301" i="4"/>
  <c r="M305" i="4"/>
  <c r="M312" i="4"/>
  <c r="L316" i="4"/>
  <c r="M320" i="4"/>
  <c r="L327" i="4"/>
  <c r="L334" i="4"/>
  <c r="M340" i="4"/>
  <c r="L348" i="4"/>
  <c r="M354" i="4"/>
  <c r="M364" i="4"/>
  <c r="M368" i="4"/>
  <c r="L374" i="4"/>
  <c r="M381" i="4"/>
  <c r="M385" i="4"/>
  <c r="M389" i="4"/>
  <c r="L396" i="4"/>
  <c r="L403" i="4"/>
  <c r="M408" i="4"/>
  <c r="L414" i="4"/>
  <c r="M420" i="4"/>
  <c r="M429" i="4"/>
  <c r="M433" i="4"/>
  <c r="M439" i="4"/>
  <c r="M1494" i="4"/>
  <c r="M1499" i="4"/>
  <c r="L1505" i="4"/>
  <c r="L1510" i="4"/>
  <c r="M1518" i="4"/>
  <c r="M1522" i="4"/>
  <c r="L1530" i="4"/>
  <c r="L1535" i="4"/>
  <c r="M1539" i="4"/>
  <c r="M1545" i="4"/>
  <c r="M1552" i="4"/>
  <c r="N1552" i="4" s="1"/>
  <c r="O1552" i="4" s="1"/>
  <c r="M1557" i="4"/>
  <c r="M1561" i="4"/>
  <c r="L1565" i="4"/>
  <c r="L1570" i="4"/>
  <c r="M1576" i="4"/>
  <c r="M1580" i="4"/>
  <c r="M1584" i="4"/>
  <c r="N1584" i="4" s="1"/>
  <c r="O1584" i="4" s="1"/>
  <c r="M1589" i="4"/>
  <c r="M1594" i="4"/>
  <c r="M1601" i="4"/>
  <c r="M1608" i="4"/>
  <c r="M1612" i="4"/>
  <c r="M1616" i="4"/>
  <c r="L1622" i="4"/>
  <c r="L1626" i="4"/>
  <c r="L1630" i="4"/>
  <c r="L1634" i="4"/>
  <c r="M1639" i="4"/>
  <c r="L1643" i="4"/>
  <c r="M1651" i="4"/>
  <c r="M1658" i="4"/>
  <c r="N1658" i="4" s="1"/>
  <c r="O1658" i="4" s="1"/>
  <c r="L1662" i="4"/>
  <c r="L1666" i="4"/>
  <c r="M1670" i="4"/>
  <c r="M1674" i="4"/>
  <c r="M1678" i="4"/>
  <c r="L1686" i="4"/>
  <c r="L1692" i="4"/>
  <c r="L1699" i="4"/>
  <c r="L1705" i="4"/>
  <c r="L1709" i="4"/>
  <c r="L1721" i="4"/>
  <c r="L1727" i="4"/>
  <c r="L1731" i="4"/>
  <c r="L1735" i="4"/>
  <c r="M1739" i="4"/>
  <c r="L1743" i="4"/>
  <c r="L1747" i="4"/>
  <c r="L1751" i="4"/>
  <c r="M1756" i="4"/>
  <c r="M1761" i="4"/>
  <c r="L1765" i="4"/>
  <c r="M1771" i="4"/>
  <c r="M1777" i="4"/>
  <c r="M1781" i="4"/>
  <c r="M1787" i="4"/>
  <c r="M1793" i="4"/>
  <c r="L1797" i="4"/>
  <c r="L1801" i="4"/>
  <c r="M1807" i="4"/>
  <c r="L1812" i="4"/>
  <c r="M1819" i="4"/>
  <c r="L1831" i="4"/>
  <c r="L1836" i="4"/>
  <c r="M1841" i="4"/>
  <c r="L1845" i="4"/>
  <c r="M1849" i="4"/>
  <c r="M1853" i="4"/>
  <c r="L1863" i="4"/>
  <c r="L1867" i="4"/>
  <c r="L1881" i="4"/>
  <c r="L1885" i="4"/>
  <c r="M1888" i="4"/>
  <c r="L1892" i="4"/>
  <c r="M1903" i="4"/>
  <c r="L1907" i="4"/>
  <c r="M1911" i="4"/>
  <c r="M1915" i="4"/>
  <c r="L1923" i="4"/>
  <c r="M1927" i="4"/>
  <c r="M1935" i="4"/>
  <c r="L1941" i="4"/>
  <c r="L1952" i="4"/>
  <c r="L1957" i="4"/>
  <c r="M1961" i="4"/>
  <c r="M1967" i="4"/>
  <c r="M1973" i="4"/>
  <c r="M1978" i="4"/>
  <c r="M1984" i="4"/>
  <c r="L1990" i="4"/>
  <c r="M1996" i="4"/>
  <c r="M2002" i="4"/>
  <c r="L2006" i="4"/>
  <c r="M2011" i="4"/>
  <c r="L2016" i="4"/>
  <c r="L2020" i="4"/>
  <c r="M2024" i="4"/>
  <c r="L2028" i="4"/>
  <c r="L2032" i="4"/>
  <c r="M2036" i="4"/>
  <c r="M2043" i="4"/>
  <c r="L2047" i="4"/>
  <c r="L2057" i="4"/>
  <c r="L2062" i="4"/>
  <c r="L2068" i="4"/>
  <c r="L2073" i="4"/>
  <c r="M2079" i="4"/>
  <c r="L2089" i="4"/>
  <c r="L2095" i="4"/>
  <c r="M2100" i="4"/>
  <c r="L2104" i="4"/>
  <c r="L2108" i="4"/>
  <c r="L2113" i="4"/>
  <c r="M2117" i="4"/>
  <c r="M2121" i="4"/>
  <c r="M2125" i="4"/>
  <c r="L2133" i="4"/>
  <c r="L2137" i="4"/>
  <c r="L2141" i="4"/>
  <c r="M2145" i="4"/>
  <c r="M2153" i="4"/>
  <c r="M2158" i="4"/>
  <c r="M2162" i="4"/>
  <c r="L2171" i="4"/>
  <c r="M2175" i="4"/>
  <c r="M2183" i="4"/>
  <c r="M2187" i="4"/>
  <c r="L2191" i="4"/>
  <c r="L2195" i="4"/>
  <c r="L2199" i="4"/>
  <c r="L2203" i="4"/>
  <c r="M2208" i="4"/>
  <c r="L2216" i="4"/>
  <c r="L2222" i="4"/>
  <c r="L2227" i="4"/>
  <c r="L2231" i="4"/>
  <c r="L2237" i="4"/>
  <c r="L2242" i="4"/>
  <c r="L2247" i="4"/>
  <c r="M2253" i="4"/>
  <c r="M2257" i="4"/>
  <c r="L2264" i="4"/>
  <c r="L2268" i="4"/>
  <c r="M2276" i="4"/>
  <c r="L2281" i="4"/>
  <c r="M2286" i="4"/>
  <c r="M2290" i="4"/>
  <c r="L2295" i="4"/>
  <c r="L2299" i="4"/>
  <c r="L2303" i="4"/>
  <c r="M2307" i="4"/>
  <c r="M2311" i="4"/>
  <c r="M2317" i="4"/>
  <c r="M2323" i="4"/>
  <c r="M2328" i="4"/>
  <c r="L2335" i="4"/>
  <c r="M2339" i="4"/>
  <c r="M2345" i="4"/>
  <c r="L2351" i="4"/>
  <c r="L2355" i="4"/>
  <c r="L2359" i="4"/>
  <c r="M2370" i="4"/>
  <c r="L2375" i="4"/>
  <c r="L2383" i="4"/>
  <c r="M2390" i="4"/>
  <c r="L2394" i="4"/>
  <c r="M2400" i="4"/>
  <c r="M2409" i="4"/>
  <c r="L2412" i="4"/>
  <c r="L2416" i="4"/>
  <c r="M2425" i="4"/>
  <c r="M2428" i="4"/>
  <c r="M2435" i="4"/>
  <c r="L2440" i="4"/>
  <c r="M2445" i="4"/>
  <c r="M2450" i="4"/>
  <c r="L2460" i="4"/>
  <c r="L2470" i="4"/>
  <c r="M2474" i="4"/>
  <c r="L2481" i="4"/>
  <c r="L2491" i="4"/>
  <c r="M2497" i="4"/>
  <c r="M2501" i="4"/>
  <c r="L2505" i="4"/>
  <c r="M2509" i="4"/>
  <c r="L2513" i="4"/>
  <c r="M2517" i="4"/>
  <c r="L2520" i="4"/>
  <c r="L2525" i="4"/>
  <c r="L2529" i="4"/>
  <c r="L2534" i="4"/>
  <c r="M2539" i="4"/>
  <c r="L2548" i="4"/>
  <c r="M2552" i="4"/>
  <c r="M2562" i="4"/>
  <c r="M2566" i="4"/>
  <c r="M2572" i="4"/>
  <c r="L2576" i="4"/>
  <c r="M2582" i="4"/>
  <c r="L2587" i="4"/>
  <c r="L2591" i="4"/>
  <c r="M2600" i="4"/>
  <c r="M2604" i="4"/>
  <c r="L2608" i="4"/>
  <c r="L2612" i="4"/>
  <c r="M2618" i="4"/>
  <c r="L2622" i="4"/>
  <c r="M2626" i="4"/>
  <c r="M2633" i="4"/>
  <c r="M2637" i="4"/>
  <c r="L2643" i="4"/>
  <c r="L2647" i="4"/>
  <c r="L2651" i="4"/>
  <c r="L2655" i="4"/>
  <c r="M2660" i="4"/>
  <c r="M2667" i="4"/>
  <c r="M2671" i="4"/>
  <c r="L2675" i="4"/>
  <c r="L2681" i="4"/>
  <c r="L2686" i="4"/>
  <c r="M2694" i="4"/>
  <c r="M2698" i="4"/>
  <c r="M2702" i="4"/>
  <c r="M2707" i="4"/>
  <c r="M2711" i="4"/>
  <c r="L2715" i="4"/>
  <c r="M2719" i="4"/>
  <c r="M2723" i="4"/>
  <c r="M2728" i="4"/>
  <c r="L2734" i="4"/>
  <c r="M2738" i="4"/>
  <c r="L2742" i="4"/>
  <c r="L2747" i="4"/>
  <c r="M2751" i="4"/>
  <c r="L2757" i="4"/>
  <c r="M2762" i="4"/>
  <c r="M2766" i="4"/>
  <c r="L2773" i="4"/>
  <c r="M2778" i="4"/>
  <c r="M2790" i="4"/>
  <c r="L2802" i="4"/>
  <c r="M2808" i="4"/>
  <c r="L2812" i="4"/>
  <c r="L2816" i="4"/>
  <c r="M2820" i="4"/>
  <c r="M2824" i="4"/>
  <c r="M2828" i="4"/>
  <c r="L2832" i="4"/>
  <c r="L2836" i="4"/>
  <c r="M2840" i="4"/>
  <c r="L2845" i="4"/>
  <c r="L2849" i="4"/>
  <c r="L2858" i="4"/>
  <c r="L2864" i="4"/>
  <c r="M2868" i="4"/>
  <c r="L2872" i="4"/>
  <c r="L2876" i="4"/>
  <c r="L2880" i="4"/>
  <c r="L2884" i="4"/>
  <c r="L2889" i="4"/>
  <c r="M2893" i="4"/>
  <c r="M2899" i="4"/>
  <c r="L2906" i="4"/>
  <c r="L2913" i="4"/>
  <c r="M2918" i="4"/>
  <c r="M2922" i="4"/>
  <c r="M2928" i="4"/>
  <c r="M2932" i="4"/>
  <c r="L2936" i="4"/>
  <c r="M2942" i="4"/>
  <c r="M2946" i="4"/>
  <c r="M2951" i="4"/>
  <c r="M2961" i="4"/>
  <c r="L2965" i="4"/>
  <c r="L2969" i="4"/>
  <c r="M2975" i="4"/>
  <c r="L2981" i="4"/>
  <c r="M2989" i="4"/>
  <c r="L2997" i="4"/>
  <c r="L3005" i="4"/>
  <c r="M3009" i="4"/>
  <c r="M3014" i="4"/>
  <c r="M3018" i="4"/>
  <c r="M3028" i="4"/>
  <c r="L3034" i="4"/>
  <c r="L3047" i="4"/>
  <c r="L3052" i="4"/>
  <c r="M3056" i="4"/>
  <c r="M3060" i="4"/>
  <c r="M3064" i="4"/>
  <c r="L3068" i="4"/>
  <c r="M3080" i="4"/>
  <c r="L3085" i="4"/>
  <c r="L3092" i="4"/>
  <c r="M3104" i="4"/>
  <c r="L3109" i="4"/>
  <c r="M3113" i="4"/>
  <c r="M3119" i="4"/>
  <c r="M3125" i="4"/>
  <c r="L3130" i="4"/>
  <c r="M3137" i="4"/>
  <c r="L3141" i="4"/>
  <c r="M3145" i="4"/>
  <c r="L3149" i="4"/>
  <c r="M3156" i="4"/>
  <c r="M3162" i="4"/>
  <c r="L3167" i="4"/>
  <c r="L3171" i="4"/>
  <c r="M3178" i="4"/>
  <c r="M3190" i="4"/>
  <c r="M3194" i="4"/>
  <c r="M3202" i="4"/>
  <c r="M3207" i="4"/>
  <c r="L3211" i="4"/>
  <c r="M3215" i="4"/>
  <c r="M3219" i="4"/>
  <c r="M3224" i="4"/>
  <c r="L3229" i="4"/>
  <c r="M3234" i="4"/>
  <c r="L3238" i="4"/>
  <c r="L3241" i="4"/>
  <c r="L3246" i="4"/>
  <c r="M3250" i="4"/>
  <c r="M3254" i="4"/>
  <c r="M3258" i="4"/>
  <c r="L3262" i="4"/>
  <c r="L3266" i="4"/>
  <c r="M3271" i="4"/>
  <c r="M3276" i="4"/>
  <c r="M3283" i="4"/>
  <c r="M3291" i="4"/>
  <c r="L3298" i="4"/>
  <c r="L3304" i="4"/>
  <c r="M3310" i="4"/>
  <c r="L3319" i="4"/>
  <c r="L3326" i="4"/>
  <c r="L3330" i="4"/>
  <c r="L3335" i="4"/>
  <c r="L3346" i="4"/>
  <c r="M3350" i="4"/>
  <c r="M3354" i="4"/>
  <c r="L3360" i="4"/>
  <c r="L3364" i="4"/>
  <c r="L3371" i="4"/>
  <c r="L3375" i="4"/>
  <c r="L3380" i="4"/>
  <c r="L3388" i="4"/>
  <c r="L3392" i="4"/>
  <c r="L3396" i="4"/>
  <c r="L3400" i="4"/>
  <c r="L3404" i="4"/>
  <c r="M3409" i="4"/>
  <c r="M3418" i="4"/>
  <c r="M3422" i="4"/>
  <c r="M3427" i="4"/>
  <c r="M3431" i="4"/>
  <c r="M3437" i="4"/>
  <c r="L3441" i="4"/>
  <c r="L3447" i="4"/>
  <c r="M3454" i="4"/>
  <c r="M3460" i="4"/>
  <c r="M3464" i="4"/>
  <c r="L3468" i="4"/>
  <c r="M3471" i="4"/>
  <c r="M3481" i="4"/>
  <c r="M3486" i="4"/>
  <c r="L3490" i="4"/>
  <c r="M3495" i="4"/>
  <c r="L3504" i="4"/>
  <c r="M3509" i="4"/>
  <c r="L3517" i="4"/>
  <c r="L3523" i="4"/>
  <c r="L3527" i="4"/>
  <c r="M3532" i="4"/>
  <c r="M3538" i="4"/>
  <c r="M3542" i="4"/>
  <c r="M3547" i="4"/>
  <c r="L3551" i="4"/>
  <c r="M3555" i="4"/>
  <c r="L3574" i="4"/>
  <c r="L3578" i="4"/>
  <c r="L3585" i="4"/>
  <c r="L3589" i="4"/>
  <c r="L3596" i="4"/>
  <c r="M3600" i="4"/>
  <c r="M3605" i="4"/>
  <c r="L3609" i="4"/>
  <c r="L3613" i="4"/>
  <c r="L3617" i="4"/>
  <c r="M3621" i="4"/>
  <c r="M3629" i="4"/>
  <c r="L3633" i="4"/>
  <c r="L3636" i="4"/>
  <c r="M3641" i="4"/>
  <c r="M3645" i="4"/>
  <c r="L3649" i="4"/>
  <c r="L3657" i="4"/>
  <c r="L3661" i="4"/>
  <c r="L3667" i="4"/>
  <c r="L3675" i="4"/>
  <c r="M3681" i="4"/>
  <c r="M3691" i="4"/>
  <c r="L3695" i="4"/>
  <c r="L3699" i="4"/>
  <c r="L3705" i="4"/>
  <c r="L3711" i="4"/>
  <c r="L3715" i="4"/>
  <c r="L3720" i="4"/>
  <c r="M3724" i="4"/>
  <c r="M3728" i="4"/>
  <c r="L3732" i="4"/>
  <c r="M3744" i="4"/>
  <c r="M3748" i="4"/>
  <c r="M3754" i="4"/>
  <c r="L3760" i="4"/>
  <c r="L3765" i="4"/>
  <c r="M3769" i="4"/>
  <c r="L3775" i="4"/>
  <c r="L3779" i="4"/>
  <c r="L3789" i="4"/>
  <c r="L3793" i="4"/>
  <c r="M3797" i="4"/>
  <c r="L3802" i="4"/>
  <c r="L3807" i="4"/>
  <c r="L3810" i="4"/>
  <c r="L3815" i="4"/>
  <c r="L3819" i="4"/>
  <c r="L3823" i="4"/>
  <c r="L3826" i="4"/>
  <c r="L3830" i="4"/>
  <c r="L3841" i="4"/>
  <c r="L3845" i="4"/>
  <c r="L3849" i="4"/>
  <c r="L3853" i="4"/>
  <c r="L3857" i="4"/>
  <c r="L3861" i="4"/>
  <c r="L3867" i="4"/>
  <c r="L3871" i="4"/>
  <c r="M3887" i="4"/>
  <c r="M3895" i="4"/>
  <c r="L3899" i="4"/>
  <c r="L3903" i="4"/>
  <c r="M3907" i="4"/>
  <c r="L3912" i="4"/>
  <c r="M3916" i="4"/>
  <c r="L3920" i="4"/>
  <c r="M3926" i="4"/>
  <c r="L3931" i="4"/>
  <c r="L3936" i="4"/>
  <c r="L3942" i="4"/>
  <c r="L3947" i="4"/>
  <c r="L3955" i="4"/>
  <c r="L3959" i="4"/>
  <c r="M3965" i="4"/>
  <c r="M3969" i="4"/>
  <c r="L3976" i="4"/>
  <c r="L3980" i="4"/>
  <c r="L3991" i="4"/>
  <c r="M3995" i="4"/>
  <c r="L3999" i="4"/>
  <c r="M4003" i="4"/>
  <c r="L4007" i="4"/>
  <c r="M4012" i="4"/>
  <c r="M4016" i="4"/>
  <c r="M4020" i="4"/>
  <c r="L4025" i="4"/>
  <c r="M4029" i="4"/>
  <c r="L4033" i="4"/>
  <c r="L4037" i="4"/>
  <c r="M4042" i="4"/>
  <c r="L4047" i="4"/>
  <c r="M4051" i="4"/>
  <c r="L4057" i="4"/>
  <c r="M4063" i="4"/>
  <c r="M4071" i="4"/>
  <c r="L4075" i="4"/>
  <c r="L4079" i="4"/>
  <c r="M4083" i="4"/>
  <c r="M4088" i="4"/>
  <c r="M4092" i="4"/>
  <c r="M4096" i="4"/>
  <c r="L4100" i="4"/>
  <c r="M4113" i="4"/>
  <c r="M4122" i="4"/>
  <c r="L4126" i="4"/>
  <c r="L4130" i="4"/>
  <c r="M4137" i="4"/>
  <c r="L4141" i="4"/>
  <c r="L4145" i="4"/>
  <c r="M4149" i="4"/>
  <c r="M4153" i="4"/>
  <c r="L4158" i="4"/>
  <c r="L4166" i="4"/>
  <c r="L4170" i="4"/>
  <c r="L4174" i="4"/>
  <c r="M4180" i="4"/>
  <c r="M4184" i="4"/>
  <c r="M4188" i="4"/>
  <c r="M4200" i="4"/>
  <c r="M4204" i="4"/>
  <c r="M4208" i="4"/>
  <c r="M4212" i="4"/>
  <c r="L4216" i="4"/>
  <c r="L4220" i="4"/>
  <c r="L4224" i="4"/>
  <c r="L4229" i="4"/>
  <c r="L4233" i="4"/>
  <c r="L4237" i="4"/>
  <c r="L4243" i="4"/>
  <c r="M4247" i="4"/>
  <c r="M4253" i="4"/>
  <c r="M4259" i="4"/>
  <c r="M4265" i="4"/>
  <c r="M4272" i="4"/>
  <c r="L4278" i="4"/>
  <c r="L4282" i="4"/>
  <c r="L4286" i="4"/>
  <c r="M4293" i="4"/>
  <c r="M4302" i="4"/>
  <c r="M4306" i="4"/>
  <c r="L4321" i="4"/>
  <c r="L4328" i="4"/>
  <c r="M4332" i="4"/>
  <c r="M4336" i="4"/>
  <c r="M4340" i="4"/>
  <c r="L4348" i="4"/>
  <c r="L4352" i="4"/>
  <c r="M4356" i="4"/>
  <c r="L4360" i="4"/>
  <c r="L4365" i="4"/>
  <c r="L4369" i="4"/>
  <c r="M4373" i="4"/>
  <c r="L4380" i="4"/>
  <c r="L4384" i="4"/>
  <c r="M4388" i="4"/>
  <c r="M4394" i="4"/>
  <c r="L4404" i="4"/>
  <c r="L4412" i="4"/>
  <c r="L4423" i="4"/>
  <c r="L4427" i="4"/>
  <c r="M4431" i="4"/>
  <c r="L4435" i="4"/>
  <c r="M4441" i="4"/>
  <c r="M4445" i="4"/>
  <c r="L4450" i="4"/>
  <c r="L4455" i="4"/>
  <c r="L4459" i="4"/>
  <c r="L4464" i="4"/>
  <c r="M4470" i="4"/>
  <c r="L4474" i="4"/>
  <c r="M4478" i="4"/>
  <c r="M4483" i="4"/>
  <c r="M4490" i="4"/>
  <c r="L4498" i="4"/>
  <c r="M4504" i="4"/>
  <c r="M4517" i="4"/>
  <c r="M4525" i="4"/>
  <c r="M4529" i="4"/>
  <c r="L4535" i="4"/>
  <c r="L4539" i="4"/>
  <c r="L4543" i="4"/>
  <c r="L4547" i="4"/>
  <c r="L4551" i="4"/>
  <c r="L4555" i="4"/>
  <c r="M4559" i="4"/>
  <c r="M4563" i="4"/>
  <c r="M4567" i="4"/>
  <c r="L4571" i="4"/>
  <c r="L4575" i="4"/>
  <c r="L4579" i="4"/>
  <c r="L4583" i="4"/>
  <c r="M4587" i="4"/>
  <c r="M4596" i="4"/>
  <c r="M4603" i="4"/>
  <c r="L4607" i="4"/>
  <c r="M4613" i="4"/>
  <c r="L4617" i="4"/>
  <c r="M4621" i="4"/>
  <c r="M4625" i="4"/>
  <c r="L4629" i="4"/>
  <c r="L4634" i="4"/>
  <c r="L4642" i="4"/>
  <c r="M4647" i="4"/>
  <c r="L4651" i="4"/>
  <c r="L4657" i="4"/>
  <c r="M4663" i="4"/>
  <c r="L4669" i="4"/>
  <c r="L4673" i="4"/>
  <c r="M4677" i="4"/>
  <c r="M4681" i="4"/>
  <c r="M4685" i="4"/>
  <c r="L4693" i="4"/>
  <c r="L4701" i="4"/>
  <c r="M4706" i="4"/>
  <c r="M4711" i="4"/>
  <c r="L4721" i="4"/>
  <c r="L4725" i="4"/>
  <c r="L4729" i="4"/>
  <c r="L4733" i="4"/>
  <c r="M4738" i="4"/>
  <c r="M4744" i="4"/>
  <c r="L4748" i="4"/>
  <c r="M4752" i="4"/>
  <c r="L4762" i="4"/>
  <c r="L4766" i="4"/>
  <c r="M4773" i="4"/>
  <c r="L4777" i="4"/>
  <c r="M4780" i="4"/>
  <c r="M4784" i="4"/>
  <c r="M4788" i="4"/>
  <c r="L4793" i="4"/>
  <c r="M4797" i="4"/>
  <c r="L4801" i="4"/>
  <c r="M4805" i="4"/>
  <c r="M4810" i="4"/>
  <c r="L4814" i="4"/>
  <c r="M4818" i="4"/>
  <c r="L4824" i="4"/>
  <c r="L4828" i="4"/>
  <c r="M4832" i="4"/>
  <c r="M4837" i="4"/>
  <c r="M4842" i="4"/>
  <c r="L4848" i="4"/>
  <c r="M4852" i="4"/>
  <c r="L4858" i="4"/>
  <c r="L4862" i="4"/>
  <c r="L4866" i="4"/>
  <c r="L4870" i="4"/>
  <c r="M4878" i="4"/>
  <c r="L4882" i="4"/>
  <c r="M4886" i="4"/>
  <c r="M4890" i="4"/>
  <c r="L4894" i="4"/>
  <c r="L4898" i="4"/>
  <c r="L4902" i="4"/>
  <c r="L4906" i="4"/>
  <c r="M4910" i="4"/>
  <c r="M4914" i="4"/>
  <c r="M4918" i="4"/>
  <c r="L4922" i="4"/>
  <c r="L4927" i="4"/>
  <c r="L4933" i="4"/>
  <c r="L4938" i="4"/>
  <c r="L4942" i="4"/>
  <c r="M4946" i="4"/>
  <c r="L4953" i="4"/>
  <c r="L4957" i="4"/>
  <c r="M4961" i="4"/>
  <c r="L4966" i="4"/>
  <c r="L4970" i="4"/>
  <c r="L4980" i="4"/>
  <c r="M4985" i="4"/>
  <c r="M4991" i="4"/>
  <c r="M4994" i="4"/>
  <c r="L4998" i="4"/>
  <c r="M5005" i="4"/>
  <c r="L5009" i="4"/>
  <c r="M5014" i="4"/>
  <c r="M5019" i="4"/>
  <c r="M5023" i="4"/>
  <c r="L5027" i="4"/>
  <c r="M5033" i="4"/>
  <c r="M5038" i="4"/>
  <c r="M5044" i="4"/>
  <c r="L5048" i="4"/>
  <c r="M5055" i="4"/>
  <c r="L5059" i="4"/>
  <c r="L5063" i="4"/>
  <c r="M5067" i="4"/>
  <c r="M5073" i="4"/>
  <c r="L5083" i="4"/>
  <c r="L5089" i="4"/>
  <c r="L5093" i="4"/>
  <c r="L5102" i="4"/>
  <c r="M5106" i="4"/>
  <c r="M5111" i="4"/>
  <c r="M5116" i="4"/>
  <c r="M5120" i="4"/>
  <c r="L5124" i="4"/>
  <c r="L5128" i="4"/>
  <c r="L5132" i="4"/>
  <c r="L5136" i="4"/>
  <c r="L5143" i="4"/>
  <c r="L5147" i="4"/>
  <c r="M5150" i="4"/>
  <c r="M5154" i="4"/>
  <c r="L5160" i="4"/>
  <c r="M5165" i="4"/>
  <c r="M5168" i="4"/>
  <c r="M5172" i="4"/>
  <c r="M5176" i="4"/>
  <c r="L5184" i="4"/>
  <c r="L5187" i="4"/>
  <c r="L5201" i="4"/>
  <c r="M5204" i="4"/>
  <c r="L5817" i="4"/>
  <c r="L5826" i="4"/>
  <c r="M5829" i="4"/>
  <c r="M5833" i="4"/>
  <c r="M5837" i="4"/>
  <c r="L5841" i="4"/>
  <c r="L5845" i="4"/>
  <c r="L5849" i="4"/>
  <c r="M5852" i="4"/>
  <c r="M5856" i="4"/>
  <c r="L5860" i="4"/>
  <c r="L5864" i="4"/>
  <c r="M5869" i="4"/>
  <c r="M5873" i="4"/>
  <c r="L5877" i="4"/>
  <c r="M5880" i="4"/>
  <c r="M5884" i="4"/>
  <c r="M5893" i="4"/>
  <c r="M5897" i="4"/>
  <c r="L5901" i="4"/>
  <c r="M5906" i="4"/>
  <c r="L5911" i="4"/>
  <c r="L5919" i="4"/>
  <c r="L5922" i="4"/>
  <c r="M5926" i="4"/>
  <c r="M5930" i="4"/>
  <c r="M5933" i="4"/>
  <c r="M5937" i="4"/>
  <c r="L5941" i="4"/>
  <c r="L5945" i="4"/>
  <c r="M5949" i="4"/>
  <c r="M5953" i="4"/>
  <c r="L5960" i="4"/>
  <c r="M5964" i="4"/>
  <c r="M5972" i="4"/>
  <c r="L5982" i="4"/>
  <c r="L5988" i="4"/>
  <c r="L5992" i="4"/>
  <c r="L5996" i="4"/>
  <c r="L6000" i="4"/>
  <c r="M7" i="4"/>
  <c r="L15" i="4"/>
  <c r="L19" i="4"/>
  <c r="M23" i="4"/>
  <c r="L31" i="4"/>
  <c r="M35" i="4"/>
  <c r="L42" i="4"/>
  <c r="L48" i="4"/>
  <c r="L52" i="4"/>
  <c r="L58" i="4"/>
  <c r="M62" i="4"/>
  <c r="M70" i="4"/>
  <c r="M75" i="4"/>
  <c r="L79" i="4"/>
  <c r="L83" i="4"/>
  <c r="L91" i="4"/>
  <c r="L95" i="4"/>
  <c r="L100" i="4"/>
  <c r="M106" i="4"/>
  <c r="M110" i="4"/>
  <c r="M116" i="4"/>
  <c r="L123" i="4"/>
  <c r="L128" i="4"/>
  <c r="M134" i="4"/>
  <c r="M138" i="4"/>
  <c r="L143" i="4"/>
  <c r="M149" i="4"/>
  <c r="L155" i="4"/>
  <c r="M159" i="4"/>
  <c r="L166" i="4"/>
  <c r="M170" i="4"/>
  <c r="M174" i="4"/>
  <c r="L184" i="4"/>
  <c r="L189" i="4"/>
  <c r="L193" i="4"/>
  <c r="M199" i="4"/>
  <c r="M207" i="4"/>
  <c r="M213" i="4"/>
  <c r="M225" i="4"/>
  <c r="M229" i="4"/>
  <c r="M236" i="4"/>
  <c r="M244" i="4"/>
  <c r="L249" i="4"/>
  <c r="L254" i="4"/>
  <c r="M260" i="4"/>
  <c r="M264" i="4"/>
  <c r="L270" i="4"/>
  <c r="L276" i="4"/>
  <c r="L283" i="4"/>
  <c r="M292" i="4"/>
  <c r="M296" i="4"/>
  <c r="L300" i="4"/>
  <c r="M306" i="4"/>
  <c r="L310" i="4"/>
  <c r="M316" i="4"/>
  <c r="L322" i="4"/>
  <c r="L328" i="4"/>
  <c r="M333" i="4"/>
  <c r="M338" i="4"/>
  <c r="L343" i="4"/>
  <c r="M349" i="4"/>
  <c r="L357" i="4"/>
  <c r="M362" i="4"/>
  <c r="M366" i="4"/>
  <c r="M374" i="4"/>
  <c r="M379" i="4"/>
  <c r="M383" i="4"/>
  <c r="L388" i="4"/>
  <c r="M396" i="4"/>
  <c r="L401" i="4"/>
  <c r="L405" i="4"/>
  <c r="L410" i="4"/>
  <c r="M416" i="4"/>
  <c r="L422" i="4"/>
  <c r="L428" i="4"/>
  <c r="L433" i="4"/>
  <c r="L438" i="4"/>
  <c r="L442" i="4"/>
  <c r="L1496" i="4"/>
  <c r="L1500" i="4"/>
  <c r="M1504" i="4"/>
  <c r="L1509" i="4"/>
  <c r="M1515" i="4"/>
  <c r="L1519" i="4"/>
  <c r="L1523" i="4"/>
  <c r="M1527" i="4"/>
  <c r="L1531" i="4"/>
  <c r="M1537" i="4"/>
  <c r="M1542" i="4"/>
  <c r="L1547" i="4"/>
  <c r="L1553" i="4"/>
  <c r="L1558" i="4"/>
  <c r="M1562" i="4"/>
  <c r="L1566" i="4"/>
  <c r="M1571" i="4"/>
  <c r="M1577" i="4"/>
  <c r="M1586" i="4"/>
  <c r="L1590" i="4"/>
  <c r="M1596" i="4"/>
  <c r="L1600" i="4"/>
  <c r="L1605" i="4"/>
  <c r="L1610" i="4"/>
  <c r="M1614" i="4"/>
  <c r="M1617" i="4"/>
  <c r="M1626" i="4"/>
  <c r="L1635" i="4"/>
  <c r="L1640" i="4"/>
  <c r="M1646" i="4"/>
  <c r="M1652" i="4"/>
  <c r="L1661" i="4"/>
  <c r="M1665" i="4"/>
  <c r="L1669" i="4"/>
  <c r="M1677" i="4"/>
  <c r="M1683" i="4"/>
  <c r="L1688" i="4"/>
  <c r="M1698" i="4"/>
  <c r="M1702" i="4"/>
  <c r="M1706" i="4"/>
  <c r="M1712" i="4"/>
  <c r="M1718" i="4"/>
  <c r="M1725" i="4"/>
  <c r="L1729" i="4"/>
  <c r="L1734" i="4"/>
  <c r="L1738" i="4"/>
  <c r="M1743" i="4"/>
  <c r="M1747" i="4"/>
  <c r="L1753" i="4"/>
  <c r="M1757" i="4"/>
  <c r="L1761" i="4"/>
  <c r="M1765" i="4"/>
  <c r="M1769" i="4"/>
  <c r="L1776" i="4"/>
  <c r="L1784" i="4"/>
  <c r="L1788" i="4"/>
  <c r="L1792" i="4"/>
  <c r="L1798" i="4"/>
  <c r="M1804" i="4"/>
  <c r="M1811" i="4"/>
  <c r="L1816" i="4"/>
  <c r="M1820" i="4"/>
  <c r="M1824" i="4"/>
  <c r="M1830" i="4"/>
  <c r="M1835" i="4"/>
  <c r="M1840" i="4"/>
  <c r="L1844" i="4"/>
  <c r="M1858" i="4"/>
  <c r="L1862" i="4"/>
  <c r="L1870" i="4"/>
  <c r="L1874" i="4"/>
  <c r="M1878" i="4"/>
  <c r="M1882" i="4"/>
  <c r="M1889" i="4"/>
  <c r="M1893" i="4"/>
  <c r="M1897" i="4"/>
  <c r="M1907" i="4"/>
  <c r="L1911" i="4"/>
  <c r="M1917" i="4"/>
  <c r="M1923" i="4"/>
  <c r="L1927" i="4"/>
  <c r="M1931" i="4"/>
  <c r="M1939" i="4"/>
  <c r="M1944" i="4"/>
  <c r="L1956" i="4"/>
  <c r="L1960" i="4"/>
  <c r="L1964" i="4"/>
  <c r="M1968" i="4"/>
  <c r="L1972" i="4"/>
  <c r="L1976" i="4"/>
  <c r="L1982" i="4"/>
  <c r="L1986" i="4"/>
  <c r="M1990" i="4"/>
  <c r="M1994" i="4"/>
  <c r="M2000" i="4"/>
  <c r="M2006" i="4"/>
  <c r="M2010" i="4"/>
  <c r="L2014" i="4"/>
  <c r="L2018" i="4"/>
  <c r="L2023" i="4"/>
  <c r="L2029" i="4"/>
  <c r="M2033" i="4"/>
  <c r="M2037" i="4"/>
  <c r="L2053" i="4"/>
  <c r="L2058" i="4"/>
  <c r="M2062" i="4"/>
  <c r="M2066" i="4"/>
  <c r="L2070" i="4"/>
  <c r="M2077" i="4"/>
  <c r="L2082" i="4"/>
  <c r="L2086" i="4"/>
  <c r="M2090" i="4"/>
  <c r="M2094" i="4"/>
  <c r="L2098" i="4"/>
  <c r="L2102" i="4"/>
  <c r="L2110" i="4"/>
  <c r="M2120" i="4"/>
  <c r="M2129" i="4"/>
  <c r="L2132" i="4"/>
  <c r="M2149" i="4"/>
  <c r="L2158" i="4"/>
  <c r="L2162" i="4"/>
  <c r="L2168" i="4"/>
  <c r="M2172" i="4"/>
  <c r="M2176" i="4"/>
  <c r="M2180" i="4"/>
  <c r="L2187" i="4"/>
  <c r="M2190" i="4"/>
  <c r="M2199" i="4"/>
  <c r="M2203" i="4"/>
  <c r="L2207" i="4"/>
  <c r="L2212" i="4"/>
  <c r="M2221" i="4"/>
  <c r="M2241" i="4"/>
  <c r="L2245" i="4"/>
  <c r="L2253" i="4"/>
  <c r="L2257" i="4"/>
  <c r="L2261" i="4"/>
  <c r="L2265" i="4"/>
  <c r="L2269" i="4"/>
  <c r="L2273" i="4"/>
  <c r="M2277" i="4"/>
  <c r="M2283" i="4"/>
  <c r="M2289" i="4"/>
  <c r="M2299" i="4"/>
  <c r="M2303" i="4"/>
  <c r="L2313" i="4"/>
  <c r="L2317" i="4"/>
  <c r="M2321" i="4"/>
  <c r="M2325" i="4"/>
  <c r="M2329" i="4"/>
  <c r="M2333" i="4"/>
  <c r="L2337" i="4"/>
  <c r="L2341" i="4"/>
  <c r="M2349" i="4"/>
  <c r="L2356" i="4"/>
  <c r="L2362" i="4"/>
  <c r="M2368" i="4"/>
  <c r="L2374" i="4"/>
  <c r="M2378" i="4"/>
  <c r="M2382" i="4"/>
  <c r="L2390" i="4"/>
  <c r="M2395" i="4"/>
  <c r="L2401" i="4"/>
  <c r="M2405" i="4"/>
  <c r="M2410" i="4"/>
  <c r="M2416" i="4"/>
  <c r="L2424" i="4"/>
  <c r="M2427" i="4"/>
  <c r="M2432" i="4"/>
  <c r="L2438" i="4"/>
  <c r="L2442" i="4"/>
  <c r="L2452" i="4"/>
  <c r="L2456" i="4"/>
  <c r="L2461" i="4"/>
  <c r="L2465" i="4"/>
  <c r="M2469" i="4"/>
  <c r="L2475" i="4"/>
  <c r="M2479" i="4"/>
  <c r="L2484" i="4"/>
  <c r="L2488" i="4"/>
  <c r="L2493" i="4"/>
  <c r="L2510" i="4"/>
  <c r="M2516" i="4"/>
  <c r="L2519" i="4"/>
  <c r="M2524" i="4"/>
  <c r="L2528" i="4"/>
  <c r="L2532" i="4"/>
  <c r="L2536" i="4"/>
  <c r="L2540" i="4"/>
  <c r="M2545" i="4"/>
  <c r="M2551" i="4"/>
  <c r="L2555" i="4"/>
  <c r="L2559" i="4"/>
  <c r="M2563" i="4"/>
  <c r="M2569" i="4"/>
  <c r="L2573" i="4"/>
  <c r="L2577" i="4"/>
  <c r="M2586" i="4"/>
  <c r="M2590" i="4"/>
  <c r="M2599" i="4"/>
  <c r="M2603" i="4"/>
  <c r="M2608" i="4"/>
  <c r="M2616" i="4"/>
  <c r="M2625" i="4"/>
  <c r="L2630" i="4"/>
  <c r="L2636" i="4"/>
  <c r="M2640" i="4"/>
  <c r="L2646" i="4"/>
  <c r="M2651" i="4"/>
  <c r="M2655" i="4"/>
  <c r="M2662" i="4"/>
  <c r="M2666" i="4"/>
  <c r="M2672" i="4"/>
  <c r="M2678" i="4"/>
  <c r="M2687" i="4"/>
  <c r="M2695" i="4"/>
  <c r="M2699" i="4"/>
  <c r="M2705" i="4"/>
  <c r="M2715" i="4"/>
  <c r="L2719" i="4"/>
  <c r="M2725" i="4"/>
  <c r="M2729" i="4"/>
  <c r="M2733" i="4"/>
  <c r="M2741" i="4"/>
  <c r="M2746" i="4"/>
  <c r="L2750" i="4"/>
  <c r="M2754" i="4"/>
  <c r="M2758" i="4"/>
  <c r="L2763" i="4"/>
  <c r="M2767" i="4"/>
  <c r="M2777" i="4"/>
  <c r="M2783" i="4"/>
  <c r="L2787" i="4"/>
  <c r="M2791" i="4"/>
  <c r="L2796" i="4"/>
  <c r="M2800" i="4"/>
  <c r="L2803" i="4"/>
  <c r="M2807" i="4"/>
  <c r="L2814" i="4"/>
  <c r="L2819" i="4"/>
  <c r="M2823" i="4"/>
  <c r="L2827" i="4"/>
  <c r="M2833" i="4"/>
  <c r="M2841" i="4"/>
  <c r="M2845" i="4"/>
  <c r="M2849" i="4"/>
  <c r="L2854" i="4"/>
  <c r="L2859" i="4"/>
  <c r="M2863" i="4"/>
  <c r="M2867" i="4"/>
  <c r="L2873" i="4"/>
  <c r="L2883" i="4"/>
  <c r="M2887" i="4"/>
  <c r="M2891" i="4"/>
  <c r="L2895" i="4"/>
  <c r="M2916" i="4"/>
  <c r="L2922" i="4"/>
  <c r="M2926" i="4"/>
  <c r="L2930" i="4"/>
  <c r="M2935" i="4"/>
  <c r="M2939" i="4"/>
  <c r="L2945" i="4"/>
  <c r="M2949" i="4"/>
  <c r="L2961" i="4"/>
  <c r="M2965" i="4"/>
  <c r="M2969" i="4"/>
  <c r="L2974" i="4"/>
  <c r="L2979" i="4"/>
  <c r="M2983" i="4"/>
  <c r="M2987" i="4"/>
  <c r="L2991" i="4"/>
  <c r="L2995" i="4"/>
  <c r="L2999" i="4"/>
  <c r="L3004" i="4"/>
  <c r="L3009" i="4"/>
  <c r="L3013" i="4"/>
  <c r="L3017" i="4"/>
  <c r="L3022" i="4"/>
  <c r="L3026" i="4"/>
  <c r="L3031" i="4"/>
  <c r="M3037" i="4"/>
  <c r="L3043" i="4"/>
  <c r="M3048" i="4"/>
  <c r="M3052" i="4"/>
  <c r="M3059" i="4"/>
  <c r="L3065" i="4"/>
  <c r="L3070" i="4"/>
  <c r="L3076" i="4"/>
  <c r="M3081" i="4"/>
  <c r="M3086" i="4"/>
  <c r="L3090" i="4"/>
  <c r="M3097" i="4"/>
  <c r="M3101" i="4"/>
  <c r="M3105" i="4"/>
  <c r="M3112" i="4"/>
  <c r="L3119" i="4"/>
  <c r="M3123" i="4"/>
  <c r="L3131" i="4"/>
  <c r="M3135" i="4"/>
  <c r="L3142" i="4"/>
  <c r="M3146" i="4"/>
  <c r="M3152" i="4"/>
  <c r="L3156" i="4"/>
  <c r="M3160" i="4"/>
  <c r="M3164" i="4"/>
  <c r="M3169" i="4"/>
  <c r="L3174" i="4"/>
  <c r="L3177" i="4"/>
  <c r="L3185" i="4"/>
  <c r="M3189" i="4"/>
  <c r="L3193" i="4"/>
  <c r="M3197" i="4"/>
  <c r="L3201" i="4"/>
  <c r="M3205" i="4"/>
  <c r="M3211" i="4"/>
  <c r="M3220" i="4"/>
  <c r="L3224" i="4"/>
  <c r="L3228" i="4"/>
  <c r="M3232" i="4"/>
  <c r="M3238" i="4"/>
  <c r="M3242" i="4"/>
  <c r="M3252" i="4"/>
  <c r="M3262" i="4"/>
  <c r="M3266" i="4"/>
  <c r="M3270" i="4"/>
  <c r="L3276" i="4"/>
  <c r="L3282" i="4"/>
  <c r="M3286" i="4"/>
  <c r="L3297" i="4"/>
  <c r="L3305" i="4"/>
  <c r="L3309" i="4"/>
  <c r="M3313" i="4"/>
  <c r="M3317" i="4"/>
  <c r="L3322" i="4"/>
  <c r="M3328" i="4"/>
  <c r="M3334" i="4"/>
  <c r="M3339" i="4"/>
  <c r="L3343" i="4"/>
  <c r="L3347" i="4"/>
  <c r="L3351" i="4"/>
  <c r="L3357" i="4"/>
  <c r="L3363" i="4"/>
  <c r="L3368" i="4"/>
  <c r="L3374" i="4"/>
  <c r="M3380" i="4"/>
  <c r="L3384" i="4"/>
  <c r="M3388" i="4"/>
  <c r="M3392" i="4"/>
  <c r="M3396" i="4"/>
  <c r="L3408" i="4"/>
  <c r="L3412" i="4"/>
  <c r="L3417" i="4"/>
  <c r="M3421" i="4"/>
  <c r="L3434" i="4"/>
  <c r="M3444" i="4"/>
  <c r="L3448" i="4"/>
  <c r="L3452" i="4"/>
  <c r="L3456" i="4"/>
  <c r="L3460" i="4"/>
  <c r="M3467" i="4"/>
  <c r="L3472" i="4"/>
  <c r="M3476" i="4"/>
  <c r="L3480" i="4"/>
  <c r="L3486" i="4"/>
  <c r="L3491" i="4"/>
  <c r="L3496" i="4"/>
  <c r="L3503" i="4"/>
  <c r="L3511" i="4"/>
  <c r="L3515" i="4"/>
  <c r="M3519" i="4"/>
  <c r="M3525" i="4"/>
  <c r="M3533" i="4"/>
  <c r="M3537" i="4"/>
  <c r="L3544" i="4"/>
  <c r="L3553" i="4"/>
  <c r="M3557" i="4"/>
  <c r="M3561" i="4"/>
  <c r="M3565" i="4"/>
  <c r="M3571" i="4"/>
  <c r="M3576" i="4"/>
  <c r="M3590" i="4"/>
  <c r="M3595" i="4"/>
  <c r="L3599" i="4"/>
  <c r="M3602" i="4"/>
  <c r="L3606" i="4"/>
  <c r="L3616" i="4"/>
  <c r="L3627" i="4"/>
  <c r="L3632" i="4"/>
  <c r="L3639" i="4"/>
  <c r="M3644" i="4"/>
  <c r="M3648" i="4"/>
  <c r="L3654" i="4"/>
  <c r="M3659" i="4"/>
  <c r="L3664" i="4"/>
  <c r="L3668" i="4"/>
  <c r="M3673" i="4"/>
  <c r="L3677" i="4"/>
  <c r="L3682" i="4"/>
  <c r="M3692" i="4"/>
  <c r="M3696" i="4"/>
  <c r="L3703" i="4"/>
  <c r="M3707" i="4"/>
  <c r="M3713" i="4"/>
  <c r="M3719" i="4"/>
  <c r="L3724" i="4"/>
  <c r="L3728" i="4"/>
  <c r="L3734" i="4"/>
  <c r="L3740" i="4"/>
  <c r="M3745" i="4"/>
  <c r="L3750" i="4"/>
  <c r="M3756" i="4"/>
  <c r="M3760" i="4"/>
  <c r="L3764" i="4"/>
  <c r="M3771" i="4"/>
  <c r="M3774" i="4"/>
  <c r="L3781" i="4"/>
  <c r="M3785" i="4"/>
  <c r="L3790" i="4"/>
  <c r="L3795" i="4"/>
  <c r="M3799" i="4"/>
  <c r="L3804" i="4"/>
  <c r="L3809" i="4"/>
  <c r="M3814" i="4"/>
  <c r="L3820" i="4"/>
  <c r="L3825" i="4"/>
  <c r="M3830" i="4"/>
  <c r="M3834" i="4"/>
  <c r="M3838" i="4"/>
  <c r="M3845" i="4"/>
  <c r="M3854" i="4"/>
  <c r="M3860" i="4"/>
  <c r="L3868" i="4"/>
  <c r="L3872" i="4"/>
  <c r="L3877" i="4"/>
  <c r="M3881" i="4"/>
  <c r="L3885" i="4"/>
  <c r="M3889" i="4"/>
  <c r="M3893" i="4"/>
  <c r="L3897" i="4"/>
  <c r="M3909" i="4"/>
  <c r="M3913" i="4"/>
  <c r="M3917" i="4"/>
  <c r="L3924" i="4"/>
  <c r="M3928" i="4"/>
  <c r="M3933" i="4"/>
  <c r="M3937" i="4"/>
  <c r="L3941" i="4"/>
  <c r="L3948" i="4"/>
  <c r="L3954" i="4"/>
  <c r="L3958" i="4"/>
  <c r="L3962" i="4"/>
  <c r="L3970" i="4"/>
  <c r="L3974" i="4"/>
  <c r="L3979" i="4"/>
  <c r="M3983" i="4"/>
  <c r="M3987" i="4"/>
  <c r="M3992" i="4"/>
  <c r="M4002" i="4"/>
  <c r="L4006" i="4"/>
  <c r="M4011" i="4"/>
  <c r="L4014" i="4"/>
  <c r="M4019" i="4"/>
  <c r="L4026" i="4"/>
  <c r="L4030" i="4"/>
  <c r="L4034" i="4"/>
  <c r="L4038" i="4"/>
  <c r="L4046" i="4"/>
  <c r="L4050" i="4"/>
  <c r="M4053" i="4"/>
  <c r="M4059" i="4"/>
  <c r="L4068" i="4"/>
  <c r="L4072" i="4"/>
  <c r="L4076" i="4"/>
  <c r="M4080" i="4"/>
  <c r="M4084" i="4"/>
  <c r="L4092" i="4"/>
  <c r="L4096" i="4"/>
  <c r="M4100" i="4"/>
  <c r="M4104" i="4"/>
  <c r="L4108" i="4"/>
  <c r="L4112" i="4"/>
  <c r="L4116" i="4"/>
  <c r="L4120" i="4"/>
  <c r="L4124" i="4"/>
  <c r="M4133" i="4"/>
  <c r="L4138" i="4"/>
  <c r="M4144" i="4"/>
  <c r="L4149" i="4"/>
  <c r="L4153" i="4"/>
  <c r="M4159" i="4"/>
  <c r="L4165" i="4"/>
  <c r="M4169" i="4"/>
  <c r="M4173" i="4"/>
  <c r="M4177" i="4"/>
  <c r="M4191" i="4"/>
  <c r="M4195" i="4"/>
  <c r="L4199" i="4"/>
  <c r="M4203" i="4"/>
  <c r="L4207" i="4"/>
  <c r="M4211" i="4"/>
  <c r="M4218" i="4"/>
  <c r="M4222" i="4"/>
  <c r="L4225" i="4"/>
  <c r="M4228" i="4"/>
  <c r="M4234" i="4"/>
  <c r="L4240" i="4"/>
  <c r="M4248" i="4"/>
  <c r="M4252" i="4"/>
  <c r="L4256" i="4"/>
  <c r="L4260" i="4"/>
  <c r="M4264" i="4"/>
  <c r="L4271" i="4"/>
  <c r="L4275" i="4"/>
  <c r="L4279" i="4"/>
  <c r="M4283" i="4"/>
  <c r="L4287" i="4"/>
  <c r="M4291" i="4"/>
  <c r="L4299" i="4"/>
  <c r="M4305" i="4"/>
  <c r="L4309" i="4"/>
  <c r="L4313" i="4"/>
  <c r="L4317" i="4"/>
  <c r="M4321" i="4"/>
  <c r="M4325" i="4"/>
  <c r="L4331" i="4"/>
  <c r="L4335" i="4"/>
  <c r="L4339" i="4"/>
  <c r="L4343" i="4"/>
  <c r="M4347" i="4"/>
  <c r="M4353" i="4"/>
  <c r="M4358" i="4"/>
  <c r="L4362" i="4"/>
  <c r="M4366" i="4"/>
  <c r="M4370" i="4"/>
  <c r="M4379" i="4"/>
  <c r="L4386" i="4"/>
  <c r="L4390" i="4"/>
  <c r="M4398" i="4"/>
  <c r="M4402" i="4"/>
  <c r="L4409" i="4"/>
  <c r="L4413" i="4"/>
  <c r="M4417" i="4"/>
  <c r="M4422" i="4"/>
  <c r="M4426" i="4"/>
  <c r="L4430" i="4"/>
  <c r="M4434" i="4"/>
  <c r="L4438" i="4"/>
  <c r="L4446" i="4"/>
  <c r="L4454" i="4"/>
  <c r="M4458" i="4"/>
  <c r="M4462" i="4"/>
  <c r="M4466" i="4"/>
  <c r="L4470" i="4"/>
  <c r="L4479" i="4"/>
  <c r="L4483" i="4"/>
  <c r="M4487" i="4"/>
  <c r="M4491" i="4"/>
  <c r="L4495" i="4"/>
  <c r="L4499" i="4"/>
  <c r="M4505" i="4"/>
  <c r="M4509" i="4"/>
  <c r="M4513" i="4"/>
  <c r="L4530" i="4"/>
  <c r="L4534" i="4"/>
  <c r="L4538" i="4"/>
  <c r="L4545" i="4"/>
  <c r="L4549" i="4"/>
  <c r="M4555" i="4"/>
  <c r="L4565" i="4"/>
  <c r="M4569" i="4"/>
  <c r="M4579" i="4"/>
  <c r="M4584" i="4"/>
  <c r="M4589" i="4"/>
  <c r="L4593" i="4"/>
  <c r="M4597" i="4"/>
  <c r="M4601" i="4"/>
  <c r="L4608" i="4"/>
  <c r="L4614" i="4"/>
  <c r="L4620" i="4"/>
  <c r="L4624" i="4"/>
  <c r="M4630" i="4"/>
  <c r="M4634" i="4"/>
  <c r="M4638" i="4"/>
  <c r="M4644" i="4"/>
  <c r="M4648" i="4"/>
  <c r="M4653" i="4"/>
  <c r="M4657" i="4"/>
  <c r="L4661" i="4"/>
  <c r="M4665" i="4"/>
  <c r="M4669" i="4"/>
  <c r="M4679" i="4"/>
  <c r="M4683" i="4"/>
  <c r="M4688" i="4"/>
  <c r="M4692" i="4"/>
  <c r="L4697" i="4"/>
  <c r="L4706" i="4"/>
  <c r="L4710" i="4"/>
  <c r="L4715" i="4"/>
  <c r="L4719" i="4"/>
  <c r="L4724" i="4"/>
  <c r="M4728" i="4"/>
  <c r="M4732" i="4"/>
  <c r="M4736" i="4"/>
  <c r="L4740" i="4"/>
  <c r="L4745" i="4"/>
  <c r="M4749" i="4"/>
  <c r="M4755" i="4"/>
  <c r="M4761" i="4"/>
  <c r="L4765" i="4"/>
  <c r="L4770" i="4"/>
  <c r="L4776" i="4"/>
  <c r="M4779" i="4"/>
  <c r="L4783" i="4"/>
  <c r="L4789" i="4"/>
  <c r="L4796" i="4"/>
  <c r="M4802" i="4"/>
  <c r="M4807" i="4"/>
  <c r="L4811" i="4"/>
  <c r="L4817" i="4"/>
  <c r="M4821" i="4"/>
  <c r="M4826" i="4"/>
  <c r="M4833" i="4"/>
  <c r="M4841" i="4"/>
  <c r="L4845" i="4"/>
  <c r="L4849" i="4"/>
  <c r="L4853" i="4"/>
  <c r="M4857" i="4"/>
  <c r="M4861" i="4"/>
  <c r="L4865" i="4"/>
  <c r="M4870" i="4"/>
  <c r="L4874" i="4"/>
  <c r="L4878" i="4"/>
  <c r="M4882" i="4"/>
  <c r="L4887" i="4"/>
  <c r="L4891" i="4"/>
  <c r="M4896" i="4"/>
  <c r="M4908" i="4"/>
  <c r="L4914" i="4"/>
  <c r="L4923" i="4"/>
  <c r="L4937" i="4"/>
  <c r="M4941" i="4"/>
  <c r="M4951" i="4"/>
  <c r="M4956" i="4"/>
  <c r="M4962" i="4"/>
  <c r="L4967" i="4"/>
  <c r="M4971" i="4"/>
  <c r="L4975" i="4"/>
  <c r="L4981" i="4"/>
  <c r="M4990" i="4"/>
  <c r="L4994" i="4"/>
  <c r="M4998" i="4"/>
  <c r="M5004" i="4"/>
  <c r="M5010" i="4"/>
  <c r="M5021" i="4"/>
  <c r="L5025" i="4"/>
  <c r="L5034" i="4"/>
  <c r="M5039" i="4"/>
  <c r="L5043" i="4"/>
  <c r="L5049" i="4"/>
  <c r="M5053" i="4"/>
  <c r="M5058" i="4"/>
  <c r="L5062" i="4"/>
  <c r="L5066" i="4"/>
  <c r="M5074" i="4"/>
  <c r="M5080" i="4"/>
  <c r="L5086" i="4"/>
  <c r="M5090" i="4"/>
  <c r="M5094" i="4"/>
  <c r="L5101" i="4"/>
  <c r="M5105" i="4"/>
  <c r="L5111" i="4"/>
  <c r="L5116" i="4"/>
  <c r="M5123" i="4"/>
  <c r="M5128" i="4"/>
  <c r="M5132" i="4"/>
  <c r="M5136" i="4"/>
  <c r="L5141" i="4"/>
  <c r="L5148" i="4"/>
  <c r="M5151" i="4"/>
  <c r="L5154" i="4"/>
  <c r="L5158" i="4"/>
  <c r="L5166" i="4"/>
  <c r="M5173" i="4"/>
  <c r="M5179" i="4"/>
  <c r="L5183" i="4"/>
  <c r="L5186" i="4"/>
  <c r="L5192" i="4"/>
  <c r="M5198" i="4"/>
  <c r="M5202" i="4"/>
  <c r="M5815" i="4"/>
  <c r="L5819" i="4"/>
  <c r="L5823" i="4"/>
  <c r="L5827" i="4"/>
  <c r="L5831" i="4"/>
  <c r="L5835" i="4"/>
  <c r="M5843" i="4"/>
  <c r="L5848" i="4"/>
  <c r="M5851" i="4"/>
  <c r="L5855" i="4"/>
  <c r="M5862" i="4"/>
  <c r="M5866" i="4"/>
  <c r="L5872" i="4"/>
  <c r="M5876" i="4"/>
  <c r="L5888" i="4"/>
  <c r="M5896" i="4"/>
  <c r="L5900" i="4"/>
  <c r="M5907" i="4"/>
  <c r="L5913" i="4"/>
  <c r="M5918" i="4"/>
  <c r="M5924" i="4"/>
  <c r="M5929" i="4"/>
  <c r="M5934" i="4"/>
  <c r="L5938" i="4"/>
  <c r="L5947" i="4"/>
  <c r="M5951" i="4"/>
  <c r="L5957" i="4"/>
  <c r="M5967" i="4"/>
  <c r="L5975" i="4"/>
  <c r="M5979" i="4"/>
  <c r="M5986" i="4"/>
  <c r="M5992" i="4"/>
  <c r="L5997" i="4"/>
  <c r="L2" i="4"/>
  <c r="L6" i="4"/>
  <c r="L12" i="4"/>
  <c r="L18" i="4"/>
  <c r="L26" i="4"/>
  <c r="M29" i="4"/>
  <c r="L35" i="4"/>
  <c r="L40" i="4"/>
  <c r="L47" i="4"/>
  <c r="M53" i="4"/>
  <c r="L60" i="4"/>
  <c r="M64" i="4"/>
  <c r="L77" i="4"/>
  <c r="M81" i="4"/>
  <c r="M87" i="4"/>
  <c r="M92" i="4"/>
  <c r="L97" i="4"/>
  <c r="M104" i="4"/>
  <c r="M108" i="4"/>
  <c r="M113" i="4"/>
  <c r="M120" i="4"/>
  <c r="M126" i="4"/>
  <c r="L130" i="4"/>
  <c r="M136" i="4"/>
  <c r="L140" i="4"/>
  <c r="M148" i="4"/>
  <c r="M153" i="4"/>
  <c r="L161" i="4"/>
  <c r="M167" i="4"/>
  <c r="M172" i="4"/>
  <c r="M179" i="4"/>
  <c r="M185" i="4"/>
  <c r="L190" i="4"/>
  <c r="M194" i="4"/>
  <c r="L199" i="4"/>
  <c r="M203" i="4"/>
  <c r="M212" i="4"/>
  <c r="M219" i="4"/>
  <c r="M223" i="4"/>
  <c r="M228" i="4"/>
  <c r="L234" i="4"/>
  <c r="M240" i="4"/>
  <c r="L250" i="4"/>
  <c r="L255" i="4"/>
  <c r="M259" i="4"/>
  <c r="L266" i="4"/>
  <c r="M272" i="4"/>
  <c r="L277" i="4"/>
  <c r="L282" i="4"/>
  <c r="M288" i="4"/>
  <c r="L293" i="4"/>
  <c r="M298" i="4"/>
  <c r="L304" i="4"/>
  <c r="L314" i="4"/>
  <c r="M318" i="4"/>
  <c r="M325" i="4"/>
  <c r="M331" i="4"/>
  <c r="M339" i="4"/>
  <c r="M346" i="4"/>
  <c r="L350" i="4"/>
  <c r="L356" i="4"/>
  <c r="L361" i="4"/>
  <c r="L371" i="4"/>
  <c r="M375" i="4"/>
  <c r="L380" i="4"/>
  <c r="M384" i="4"/>
  <c r="M394" i="4"/>
  <c r="M398" i="4"/>
  <c r="M405" i="4"/>
  <c r="L412" i="4"/>
  <c r="M417" i="4"/>
  <c r="L425" i="4"/>
  <c r="L429" i="4"/>
  <c r="M435" i="4"/>
  <c r="L441" i="4"/>
  <c r="L1495" i="4"/>
  <c r="M1506" i="4"/>
  <c r="M1512" i="4"/>
  <c r="L1517" i="4"/>
  <c r="M1521" i="4"/>
  <c r="M1528" i="4"/>
  <c r="L1532" i="4"/>
  <c r="L1544" i="4"/>
  <c r="M1548" i="4"/>
  <c r="M1554" i="4"/>
  <c r="L1560" i="4"/>
  <c r="M1566" i="4"/>
  <c r="M1570" i="4"/>
  <c r="M1575" i="4"/>
  <c r="L1586" i="4"/>
  <c r="M1593" i="4"/>
  <c r="M1598" i="4"/>
  <c r="M1602" i="4"/>
  <c r="L1606" i="4"/>
  <c r="L1617" i="4"/>
  <c r="L1621" i="4"/>
  <c r="L1625" i="4"/>
  <c r="M1635" i="4"/>
  <c r="M1640" i="4"/>
  <c r="L1644" i="4"/>
  <c r="M1650" i="4"/>
  <c r="M1656" i="4"/>
  <c r="L1660" i="4"/>
  <c r="M1666" i="4"/>
  <c r="L1670" i="4"/>
  <c r="L1674" i="4"/>
  <c r="L1678" i="4"/>
  <c r="M1682" i="4"/>
  <c r="M1688" i="4"/>
  <c r="M1696" i="4"/>
  <c r="L1702" i="4"/>
  <c r="L1706" i="4"/>
  <c r="L1710" i="4"/>
  <c r="L1716" i="4"/>
  <c r="L1720" i="4"/>
  <c r="M1724" i="4"/>
  <c r="L1730" i="4"/>
  <c r="M1735" i="4"/>
  <c r="L1740" i="4"/>
  <c r="M1749" i="4"/>
  <c r="M1754" i="4"/>
  <c r="M1758" i="4"/>
  <c r="M1763" i="4"/>
  <c r="L1767" i="4"/>
  <c r="M1773" i="4"/>
  <c r="M1785" i="4"/>
  <c r="L1791" i="4"/>
  <c r="L1795" i="4"/>
  <c r="L1800" i="4"/>
  <c r="L1805" i="4"/>
  <c r="L1809" i="4"/>
  <c r="L1814" i="4"/>
  <c r="M1821" i="4"/>
  <c r="M1828" i="4"/>
  <c r="M1832" i="4"/>
  <c r="M1836" i="4"/>
  <c r="M1842" i="4"/>
  <c r="L1849" i="4"/>
  <c r="L1855" i="4"/>
  <c r="M1863" i="4"/>
  <c r="M1867" i="4"/>
  <c r="L1871" i="4"/>
  <c r="L1875" i="4"/>
  <c r="L1879" i="4"/>
  <c r="M1883" i="4"/>
  <c r="M1887" i="4"/>
  <c r="L1899" i="4"/>
  <c r="L1903" i="4"/>
  <c r="L1909" i="4"/>
  <c r="L1913" i="4"/>
  <c r="L1917" i="4"/>
  <c r="M1921" i="4"/>
  <c r="L1925" i="4"/>
  <c r="L1929" i="4"/>
  <c r="M1934" i="4"/>
  <c r="M1938" i="4"/>
  <c r="L1943" i="4"/>
  <c r="M1947" i="4"/>
  <c r="M1951" i="4"/>
  <c r="L1955" i="4"/>
  <c r="M1959" i="4"/>
  <c r="M1965" i="4"/>
  <c r="M1969" i="4"/>
  <c r="M1975" i="4"/>
  <c r="M1980" i="4"/>
  <c r="M1985" i="4"/>
  <c r="L1989" i="4"/>
  <c r="M1993" i="4"/>
  <c r="L1997" i="4"/>
  <c r="M2001" i="4"/>
  <c r="M2005" i="4"/>
  <c r="L2010" i="4"/>
  <c r="L2027" i="4"/>
  <c r="L2031" i="4"/>
  <c r="M2035" i="4"/>
  <c r="M2041" i="4"/>
  <c r="L2051" i="4"/>
  <c r="L2056" i="4"/>
  <c r="L2060" i="4"/>
  <c r="L2066" i="4"/>
  <c r="M2069" i="4"/>
  <c r="M2074" i="4"/>
  <c r="M2078" i="4"/>
  <c r="M2085" i="4"/>
  <c r="M2091" i="4"/>
  <c r="M2097" i="4"/>
  <c r="L2106" i="4"/>
  <c r="M2110" i="4"/>
  <c r="M2114" i="4"/>
  <c r="M2119" i="4"/>
  <c r="M2123" i="4"/>
  <c r="L2127" i="4"/>
  <c r="L2136" i="4"/>
  <c r="M2141" i="4"/>
  <c r="L2145" i="4"/>
  <c r="L2151" i="4"/>
  <c r="L2155" i="4"/>
  <c r="L2160" i="4"/>
  <c r="L2164" i="4"/>
  <c r="M2170" i="4"/>
  <c r="M2174" i="4"/>
  <c r="M2179" i="4"/>
  <c r="L2185" i="4"/>
  <c r="M2189" i="4"/>
  <c r="L2196" i="4"/>
  <c r="M2201" i="4"/>
  <c r="L2205" i="4"/>
  <c r="L2209" i="4"/>
  <c r="M2218" i="4"/>
  <c r="M2222" i="4"/>
  <c r="L2226" i="4"/>
  <c r="L2230" i="4"/>
  <c r="L2234" i="4"/>
  <c r="L2238" i="4"/>
  <c r="M2254" i="4"/>
  <c r="M2258" i="4"/>
  <c r="M2262" i="4"/>
  <c r="M2268" i="4"/>
  <c r="L2272" i="4"/>
  <c r="M2280" i="4"/>
  <c r="L2290" i="4"/>
  <c r="M2296" i="4"/>
  <c r="L2301" i="4"/>
  <c r="L2305" i="4"/>
  <c r="L2309" i="4"/>
  <c r="L2315" i="4"/>
  <c r="L2319" i="4"/>
  <c r="L2323" i="4"/>
  <c r="L2327" i="4"/>
  <c r="M2332" i="4"/>
  <c r="L2336" i="4"/>
  <c r="M2340" i="4"/>
  <c r="L2344" i="4"/>
  <c r="L2348" i="4"/>
  <c r="L2352" i="4"/>
  <c r="M2357" i="4"/>
  <c r="L2363" i="4"/>
  <c r="L2367" i="4"/>
  <c r="L2371" i="4"/>
  <c r="M2374" i="4"/>
  <c r="L2379" i="4"/>
  <c r="M2385" i="4"/>
  <c r="L2389" i="4"/>
  <c r="L2397" i="4"/>
  <c r="M2402" i="4"/>
  <c r="L2406" i="4"/>
  <c r="M2413" i="4"/>
  <c r="L2419" i="4"/>
  <c r="L2427" i="4"/>
  <c r="M2431" i="4"/>
  <c r="L2435" i="4"/>
  <c r="M2442" i="4"/>
  <c r="M2448" i="4"/>
  <c r="M2454" i="4"/>
  <c r="M2460" i="4"/>
  <c r="M2464" i="4"/>
  <c r="L2468" i="4"/>
  <c r="L2474" i="4"/>
  <c r="L2479" i="4"/>
  <c r="M2484" i="4"/>
  <c r="M2488" i="4"/>
  <c r="L2495" i="4"/>
  <c r="L2500" i="4"/>
  <c r="M2504" i="4"/>
  <c r="M2512" i="4"/>
  <c r="L2518" i="4"/>
  <c r="M2523" i="4"/>
  <c r="M2529" i="4"/>
  <c r="L2535" i="4"/>
  <c r="L2539" i="4"/>
  <c r="L2543" i="4"/>
  <c r="L2547" i="4"/>
  <c r="L2553" i="4"/>
  <c r="M2557" i="4"/>
  <c r="L2561" i="4"/>
  <c r="L2565" i="4"/>
  <c r="L2569" i="4"/>
  <c r="L2578" i="4"/>
  <c r="L2582" i="4"/>
  <c r="M2587" i="4"/>
  <c r="M2591" i="4"/>
  <c r="L2595" i="4"/>
  <c r="L2599" i="4"/>
  <c r="L2603" i="4"/>
  <c r="M2611" i="4"/>
  <c r="L2615" i="4"/>
  <c r="L2620" i="4"/>
  <c r="L2625" i="4"/>
  <c r="M2629" i="4"/>
  <c r="L2635" i="4"/>
  <c r="M2641" i="4"/>
  <c r="L2645" i="4"/>
  <c r="L2657" i="4"/>
  <c r="M2661" i="4"/>
  <c r="M2669" i="4"/>
  <c r="L2673" i="4"/>
  <c r="M2679" i="4"/>
  <c r="L2683" i="4"/>
  <c r="L2687" i="4"/>
  <c r="M2690" i="4"/>
  <c r="L2694" i="4"/>
  <c r="L2698" i="4"/>
  <c r="L2702" i="4"/>
  <c r="M2709" i="4"/>
  <c r="M2713" i="4"/>
  <c r="L2717" i="4"/>
  <c r="L2721" i="4"/>
  <c r="L2728" i="4"/>
  <c r="M2732" i="4"/>
  <c r="M2737" i="4"/>
  <c r="L2741" i="4"/>
  <c r="L2745" i="4"/>
  <c r="L2751" i="4"/>
  <c r="L2755" i="4"/>
  <c r="M2759" i="4"/>
  <c r="L2770" i="4"/>
  <c r="L2774" i="4"/>
  <c r="L2778" i="4"/>
  <c r="M2782" i="4"/>
  <c r="M2786" i="4"/>
  <c r="L2790" i="4"/>
  <c r="L2795" i="4"/>
  <c r="M2799" i="4"/>
  <c r="M2805" i="4"/>
  <c r="M2811" i="4"/>
  <c r="M2815" i="4"/>
  <c r="M2822" i="4"/>
  <c r="M2827" i="4"/>
  <c r="M2832" i="4"/>
  <c r="L2839" i="4"/>
  <c r="M2847" i="4"/>
  <c r="L2851" i="4"/>
  <c r="L2861" i="4"/>
  <c r="M2865" i="4"/>
  <c r="M2871" i="4"/>
  <c r="M2877" i="4"/>
  <c r="L2881" i="4"/>
  <c r="L2887" i="4"/>
  <c r="L2891" i="4"/>
  <c r="N2891" i="4" s="1"/>
  <c r="O2891" i="4" s="1"/>
  <c r="M2895" i="4"/>
  <c r="M2900" i="4"/>
  <c r="L2904" i="4"/>
  <c r="M2910" i="4"/>
  <c r="L2916" i="4"/>
  <c r="M2920" i="4"/>
  <c r="L2927" i="4"/>
  <c r="L2933" i="4"/>
  <c r="M2937" i="4"/>
  <c r="M2941" i="4"/>
  <c r="M2944" i="4"/>
  <c r="L2948" i="4"/>
  <c r="M2953" i="4"/>
  <c r="L2957" i="4"/>
  <c r="M2962" i="4"/>
  <c r="L2968" i="4"/>
  <c r="M2972" i="4"/>
  <c r="L2976" i="4"/>
  <c r="L2980" i="4"/>
  <c r="L2985" i="4"/>
  <c r="L2990" i="4"/>
  <c r="M2994" i="4"/>
  <c r="M2998" i="4"/>
  <c r="M3002" i="4"/>
  <c r="L3012" i="4"/>
  <c r="L3019" i="4"/>
  <c r="M3024" i="4"/>
  <c r="M3029" i="4"/>
  <c r="L3033" i="4"/>
  <c r="L3037" i="4"/>
  <c r="L3041" i="4"/>
  <c r="L3045" i="4"/>
  <c r="L3049" i="4"/>
  <c r="L3053" i="4"/>
  <c r="M3057" i="4"/>
  <c r="L3061" i="4"/>
  <c r="M3069" i="4"/>
  <c r="M3073" i="4"/>
  <c r="L3077" i="4"/>
  <c r="L3082" i="4"/>
  <c r="M3088" i="4"/>
  <c r="M3092" i="4"/>
  <c r="L3096" i="4"/>
  <c r="L3100" i="4"/>
  <c r="L3105" i="4"/>
  <c r="N3105" i="4" s="1"/>
  <c r="O3105" i="4" s="1"/>
  <c r="M3110" i="4"/>
  <c r="L3115" i="4"/>
  <c r="M3120" i="4"/>
  <c r="M3124" i="4"/>
  <c r="M3128" i="4"/>
  <c r="M3134" i="4"/>
  <c r="M3143" i="4"/>
  <c r="M3148" i="4"/>
  <c r="M3153" i="4"/>
  <c r="L3157" i="4"/>
  <c r="M3161" i="4"/>
  <c r="M3170" i="4"/>
  <c r="M3175" i="4"/>
  <c r="L3180" i="4"/>
  <c r="M3184" i="4"/>
  <c r="L3188" i="4"/>
  <c r="M3196" i="4"/>
  <c r="L3204" i="4"/>
  <c r="M3208" i="4"/>
  <c r="M3212" i="4"/>
  <c r="L3216" i="4"/>
  <c r="M3222" i="4"/>
  <c r="L3226" i="4"/>
  <c r="M3231" i="4"/>
  <c r="M3244" i="4"/>
  <c r="L3248" i="4"/>
  <c r="L3252" i="4"/>
  <c r="N3252" i="4" s="1"/>
  <c r="O3252" i="4" s="1"/>
  <c r="L3256" i="4"/>
  <c r="L3260" i="4"/>
  <c r="L3268" i="4"/>
  <c r="L3272" i="4"/>
  <c r="M3277" i="4"/>
  <c r="L3281" i="4"/>
  <c r="L3286" i="4"/>
  <c r="M3290" i="4"/>
  <c r="L3294" i="4"/>
  <c r="L3299" i="4"/>
  <c r="M3303" i="4"/>
  <c r="M3308" i="4"/>
  <c r="L3318" i="4"/>
  <c r="M3322" i="4"/>
  <c r="M3330" i="4"/>
  <c r="L3336" i="4"/>
  <c r="L3342" i="4"/>
  <c r="M3347" i="4"/>
  <c r="L3352" i="4"/>
  <c r="L3356" i="4"/>
  <c r="M3361" i="4"/>
  <c r="L3366" i="4"/>
  <c r="L3370" i="4"/>
  <c r="L3376" i="4"/>
  <c r="M3381" i="4"/>
  <c r="M3391" i="4"/>
  <c r="L3397" i="4"/>
  <c r="L3401" i="4"/>
  <c r="L3405" i="4"/>
  <c r="M3411" i="4"/>
  <c r="L3419" i="4"/>
  <c r="L3423" i="4"/>
  <c r="L3427" i="4"/>
  <c r="L3431" i="4"/>
  <c r="M3438" i="4"/>
  <c r="M3442" i="4"/>
  <c r="M3446" i="4"/>
  <c r="M3456" i="4"/>
  <c r="L3469" i="4"/>
  <c r="M3477" i="4"/>
  <c r="M3484" i="4"/>
  <c r="M3490" i="4"/>
  <c r="L3495" i="4"/>
  <c r="M3499" i="4"/>
  <c r="M3503" i="4"/>
  <c r="L3507" i="4"/>
  <c r="M3511" i="4"/>
  <c r="M3515" i="4"/>
  <c r="L3519" i="4"/>
  <c r="M3524" i="4"/>
  <c r="M3528" i="4"/>
  <c r="L3532" i="4"/>
  <c r="M3536" i="4"/>
  <c r="L3542" i="4"/>
  <c r="M3548" i="4"/>
  <c r="M3554" i="4"/>
  <c r="L3565" i="4"/>
  <c r="N3565" i="4" s="1"/>
  <c r="O3565" i="4" s="1"/>
  <c r="M3569" i="4"/>
  <c r="M3577" i="4"/>
  <c r="M3584" i="4"/>
  <c r="L3588" i="4"/>
  <c r="L3592" i="4"/>
  <c r="M3597" i="4"/>
  <c r="M3603" i="4"/>
  <c r="L3607" i="4"/>
  <c r="M3616" i="4"/>
  <c r="L3620" i="4"/>
  <c r="M3624" i="4"/>
  <c r="M3631" i="4"/>
  <c r="M3636" i="4"/>
  <c r="L3640" i="4"/>
  <c r="L3644" i="4"/>
  <c r="L3648" i="4"/>
  <c r="L3652" i="4"/>
  <c r="M3656" i="4"/>
  <c r="M3660" i="4"/>
  <c r="M3664" i="4"/>
  <c r="M3668" i="4"/>
  <c r="L3674" i="4"/>
  <c r="L3678" i="4"/>
  <c r="L3685" i="4"/>
  <c r="L3688" i="4"/>
  <c r="L3692" i="4"/>
  <c r="M3698" i="4"/>
  <c r="M3702" i="4"/>
  <c r="M3709" i="4"/>
  <c r="M3714" i="4"/>
  <c r="M3718" i="4"/>
  <c r="L3722" i="4"/>
  <c r="M3726" i="4"/>
  <c r="L3730" i="4"/>
  <c r="M3734" i="4"/>
  <c r="L3738" i="4"/>
  <c r="M3742" i="4"/>
  <c r="M3746" i="4"/>
  <c r="M3750" i="4"/>
  <c r="L3754" i="4"/>
  <c r="L3758" i="4"/>
  <c r="M3763" i="4"/>
  <c r="M3767" i="4"/>
  <c r="L3773" i="4"/>
  <c r="L3777" i="4"/>
  <c r="L3782" i="4"/>
  <c r="M3786" i="4"/>
  <c r="L3796" i="4"/>
  <c r="M3800" i="4"/>
  <c r="L3805" i="4"/>
  <c r="M3810" i="4"/>
  <c r="M3816" i="4"/>
  <c r="M3821" i="4"/>
  <c r="L3829" i="4"/>
  <c r="L3835" i="4"/>
  <c r="L3839" i="4"/>
  <c r="M3843" i="4"/>
  <c r="M3848" i="4"/>
  <c r="L3852" i="4"/>
  <c r="M3858" i="4"/>
  <c r="M3864" i="4"/>
  <c r="M3879" i="4"/>
  <c r="M3884" i="4"/>
  <c r="M3888" i="4"/>
  <c r="L3894" i="4"/>
  <c r="M3899" i="4"/>
  <c r="M3903" i="4"/>
  <c r="L3907" i="4"/>
  <c r="L3911" i="4"/>
  <c r="L3917" i="4"/>
  <c r="N3917" i="4" s="1"/>
  <c r="O3917" i="4" s="1"/>
  <c r="L3921" i="4"/>
  <c r="L3925" i="4"/>
  <c r="M3931" i="4"/>
  <c r="L3939" i="4"/>
  <c r="M3946" i="4"/>
  <c r="M3951" i="4"/>
  <c r="L3956" i="4"/>
  <c r="L3960" i="4"/>
  <c r="L3964" i="4"/>
  <c r="M3968" i="4"/>
  <c r="M3972" i="4"/>
  <c r="M3976" i="4"/>
  <c r="L3984" i="4"/>
  <c r="L3994" i="4"/>
  <c r="L3998" i="4"/>
  <c r="M4004" i="4"/>
  <c r="L4010" i="4"/>
  <c r="M4017" i="4"/>
  <c r="L4021" i="4"/>
  <c r="M4025" i="4"/>
  <c r="L4029" i="4"/>
  <c r="M4043" i="4"/>
  <c r="L4054" i="4"/>
  <c r="M4058" i="4"/>
  <c r="L4062" i="4"/>
  <c r="M4066" i="4"/>
  <c r="L4070" i="4"/>
  <c r="L4078" i="4"/>
  <c r="M4082" i="4"/>
  <c r="M4086" i="4"/>
  <c r="L4090" i="4"/>
  <c r="L4094" i="4"/>
  <c r="L4098" i="4"/>
  <c r="L4102" i="4"/>
  <c r="L4106" i="4"/>
  <c r="M4111" i="4"/>
  <c r="M4115" i="4"/>
  <c r="M4121" i="4"/>
  <c r="M4127" i="4"/>
  <c r="L4133" i="4"/>
  <c r="M4141" i="4"/>
  <c r="M4145" i="4"/>
  <c r="M4154" i="4"/>
  <c r="M4158" i="4"/>
  <c r="M4162" i="4"/>
  <c r="M4167" i="4"/>
  <c r="M4179" i="4"/>
  <c r="M4186" i="4"/>
  <c r="M4190" i="4"/>
  <c r="L4194" i="4"/>
  <c r="M4198" i="4"/>
  <c r="L4202" i="4"/>
  <c r="M4207" i="4"/>
  <c r="L4213" i="4"/>
  <c r="L4217" i="4"/>
  <c r="M4221" i="4"/>
  <c r="M4225" i="4"/>
  <c r="M4243" i="4"/>
  <c r="M4249" i="4"/>
  <c r="L4255" i="4"/>
  <c r="L4264" i="4"/>
  <c r="M4269" i="4"/>
  <c r="L4273" i="4"/>
  <c r="L4277" i="4"/>
  <c r="L4281" i="4"/>
  <c r="M4285" i="4"/>
  <c r="M4290" i="4"/>
  <c r="M4294" i="4"/>
  <c r="M4298" i="4"/>
  <c r="L4302" i="4"/>
  <c r="M4311" i="4"/>
  <c r="M4315" i="4"/>
  <c r="M4323" i="4"/>
  <c r="L4330" i="4"/>
  <c r="L4342" i="4"/>
  <c r="M4346" i="4"/>
  <c r="L4354" i="4"/>
  <c r="L4358" i="4"/>
  <c r="M4362" i="4"/>
  <c r="L4366" i="4"/>
  <c r="L4370" i="4"/>
  <c r="M4374" i="4"/>
  <c r="L4378" i="4"/>
  <c r="M4382" i="4"/>
  <c r="M4386" i="4"/>
  <c r="L4392" i="4"/>
  <c r="M4396" i="4"/>
  <c r="L4401" i="4"/>
  <c r="L4405" i="4"/>
  <c r="L4411" i="4"/>
  <c r="M4415" i="4"/>
  <c r="L4421" i="4"/>
  <c r="M4428" i="4"/>
  <c r="L4437" i="4"/>
  <c r="M4442" i="4"/>
  <c r="M4446" i="4"/>
  <c r="M4454" i="4"/>
  <c r="L4460" i="4"/>
  <c r="L4466" i="4"/>
  <c r="N4466" i="4" s="1"/>
  <c r="O4466" i="4" s="1"/>
  <c r="M4474" i="4"/>
  <c r="M4482" i="4"/>
  <c r="M4489" i="4"/>
  <c r="M4494" i="4"/>
  <c r="M4499" i="4"/>
  <c r="L4503" i="4"/>
  <c r="L4507" i="4"/>
  <c r="L4511" i="4"/>
  <c r="M4521" i="4"/>
  <c r="L4529" i="4"/>
  <c r="M4540" i="4"/>
  <c r="M4544" i="4"/>
  <c r="L4556" i="4"/>
  <c r="M4560" i="4"/>
  <c r="L4564" i="4"/>
  <c r="L4574" i="4"/>
  <c r="L4580" i="4"/>
  <c r="M4588" i="4"/>
  <c r="L4596" i="4"/>
  <c r="L4600" i="4"/>
  <c r="L4606" i="4"/>
  <c r="L4612" i="4"/>
  <c r="L4615" i="4"/>
  <c r="M4619" i="4"/>
  <c r="L4623" i="4"/>
  <c r="M4627" i="4"/>
  <c r="M4633" i="4"/>
  <c r="M4640" i="4"/>
  <c r="L4644" i="4"/>
  <c r="L4654" i="4"/>
  <c r="M4658" i="4"/>
  <c r="L4662" i="4"/>
  <c r="M4668" i="4"/>
  <c r="M4672" i="4"/>
  <c r="M4676" i="4"/>
  <c r="L4686" i="4"/>
  <c r="M4690" i="4"/>
  <c r="L4695" i="4"/>
  <c r="M4705" i="4"/>
  <c r="M4714" i="4"/>
  <c r="L4718" i="4"/>
  <c r="L4722" i="4"/>
  <c r="M4726" i="4"/>
  <c r="M4730" i="4"/>
  <c r="M4741" i="4"/>
  <c r="M4745" i="4"/>
  <c r="M4754" i="4"/>
  <c r="M4758" i="4"/>
  <c r="L4763" i="4"/>
  <c r="L4768" i="4"/>
  <c r="M4772" i="4"/>
  <c r="L4782" i="4"/>
  <c r="L4788" i="4"/>
  <c r="L4794" i="4"/>
  <c r="L4800" i="4"/>
  <c r="L4805" i="4"/>
  <c r="L4808" i="4"/>
  <c r="M4813" i="4"/>
  <c r="L4818" i="4"/>
  <c r="M4822" i="4"/>
  <c r="M4828" i="4"/>
  <c r="L4835" i="4"/>
  <c r="M4839" i="4"/>
  <c r="L4843" i="4"/>
  <c r="L4857" i="4"/>
  <c r="M4862" i="4"/>
  <c r="M4867" i="4"/>
  <c r="L4871" i="4"/>
  <c r="L4875" i="4"/>
  <c r="L4881" i="4"/>
  <c r="L4893" i="4"/>
  <c r="M4898" i="4"/>
  <c r="M4902" i="4"/>
  <c r="M4906" i="4"/>
  <c r="M4912" i="4"/>
  <c r="L4918" i="4"/>
  <c r="M4924" i="4"/>
  <c r="L4928" i="4"/>
  <c r="L4934" i="4"/>
  <c r="M4942" i="4"/>
  <c r="L4947" i="4"/>
  <c r="M4952" i="4"/>
  <c r="M4957" i="4"/>
  <c r="M4963" i="4"/>
  <c r="L4968" i="4"/>
  <c r="M4972" i="4"/>
  <c r="M4976" i="4"/>
  <c r="M4980" i="4"/>
  <c r="M4987" i="4"/>
  <c r="L4991" i="4"/>
  <c r="M4999" i="4"/>
  <c r="L5003" i="4"/>
  <c r="L5013" i="4"/>
  <c r="L5017" i="4"/>
  <c r="L5031" i="4"/>
  <c r="L5036" i="4"/>
  <c r="L5044" i="4"/>
  <c r="L5050" i="4"/>
  <c r="L5054" i="4"/>
  <c r="L5058" i="4"/>
  <c r="L5067" i="4"/>
  <c r="M5072" i="4"/>
  <c r="M5087" i="4"/>
  <c r="M5091" i="4"/>
  <c r="L5095" i="4"/>
  <c r="M5099" i="4"/>
  <c r="L5103" i="4"/>
  <c r="M5109" i="4"/>
  <c r="L5115" i="4"/>
  <c r="L5119" i="4"/>
  <c r="L5125" i="4"/>
  <c r="L5131" i="4"/>
  <c r="L5138" i="4"/>
  <c r="L5146" i="4"/>
  <c r="L5150" i="4"/>
  <c r="M5158" i="4"/>
  <c r="M5163" i="4"/>
  <c r="M5167" i="4"/>
  <c r="M5170" i="4"/>
  <c r="L5174" i="4"/>
  <c r="M5177" i="4"/>
  <c r="M5182" i="4"/>
  <c r="M5187" i="4"/>
  <c r="M5192" i="4"/>
  <c r="M5196" i="4"/>
  <c r="L5200" i="4"/>
  <c r="L5205" i="4"/>
  <c r="M5817" i="4"/>
  <c r="L5822" i="4"/>
  <c r="L5825" i="4"/>
  <c r="L5833" i="4"/>
  <c r="M5840" i="4"/>
  <c r="L5844" i="4"/>
  <c r="M5847" i="4"/>
  <c r="M5853" i="4"/>
  <c r="L5857" i="4"/>
  <c r="M5860" i="4"/>
  <c r="L5865" i="4"/>
  <c r="M5870" i="4"/>
  <c r="L5875" i="4"/>
  <c r="L5880" i="4"/>
  <c r="M5883" i="4"/>
  <c r="L5887" i="4"/>
  <c r="M5891" i="4"/>
  <c r="L5897" i="4"/>
  <c r="M5902" i="4"/>
  <c r="L5906" i="4"/>
  <c r="L5910" i="4"/>
  <c r="L5914" i="4"/>
  <c r="L5923" i="4"/>
  <c r="L5927" i="4"/>
  <c r="M5931" i="4"/>
  <c r="M5935" i="4"/>
  <c r="M5939" i="4"/>
  <c r="L5943" i="4"/>
  <c r="M5950" i="4"/>
  <c r="L5954" i="4"/>
  <c r="M5958" i="4"/>
  <c r="M5962" i="4"/>
  <c r="L5970" i="4"/>
  <c r="L5974" i="4"/>
  <c r="L5978" i="4"/>
  <c r="M5981" i="4"/>
  <c r="L5985" i="4"/>
  <c r="M5990" i="4"/>
  <c r="M5995" i="4"/>
  <c r="L6001" i="4"/>
  <c r="M5" i="4"/>
  <c r="M11" i="4"/>
  <c r="M15" i="4"/>
  <c r="M21" i="4"/>
  <c r="L28" i="4"/>
  <c r="M36" i="4"/>
  <c r="L44" i="4"/>
  <c r="M50" i="4"/>
  <c r="L56" i="4"/>
  <c r="M60" i="4"/>
  <c r="M69" i="4"/>
  <c r="L76" i="4"/>
  <c r="L82" i="4"/>
  <c r="L89" i="4"/>
  <c r="L93" i="4"/>
  <c r="M97" i="4"/>
  <c r="L101" i="4"/>
  <c r="M107" i="4"/>
  <c r="L113" i="4"/>
  <c r="L117" i="4"/>
  <c r="L126" i="4"/>
  <c r="M130" i="4"/>
  <c r="L137" i="4"/>
  <c r="L141" i="4"/>
  <c r="M147" i="4"/>
  <c r="M157" i="4"/>
  <c r="M163" i="4"/>
  <c r="L168" i="4"/>
  <c r="M173" i="4"/>
  <c r="L181" i="4"/>
  <c r="M186" i="4"/>
  <c r="M195" i="4"/>
  <c r="M200" i="4"/>
  <c r="L204" i="4"/>
  <c r="M208" i="4"/>
  <c r="L215" i="4"/>
  <c r="L219" i="4"/>
  <c r="L229" i="4"/>
  <c r="L233" i="4"/>
  <c r="L238" i="4"/>
  <c r="M242" i="4"/>
  <c r="M247" i="4"/>
  <c r="M251" i="4"/>
  <c r="M256" i="4"/>
  <c r="L260" i="4"/>
  <c r="L264" i="4"/>
  <c r="L268" i="4"/>
  <c r="L275" i="4"/>
  <c r="M279" i="4"/>
  <c r="M283" i="4"/>
  <c r="L291" i="4"/>
  <c r="L297" i="4"/>
  <c r="M304" i="4"/>
  <c r="L312" i="4"/>
  <c r="L319" i="4"/>
  <c r="L325" i="4"/>
  <c r="L332" i="4"/>
  <c r="M337" i="4"/>
  <c r="M343" i="4"/>
  <c r="L352" i="4"/>
  <c r="M360" i="4"/>
  <c r="L365" i="4"/>
  <c r="M369" i="4"/>
  <c r="L375" i="4"/>
  <c r="L379" i="4"/>
  <c r="L390" i="4"/>
  <c r="L394" i="4"/>
  <c r="N394" i="4" s="1"/>
  <c r="O394" i="4" s="1"/>
  <c r="L399" i="4"/>
  <c r="L407" i="4"/>
  <c r="L418" i="4"/>
  <c r="M425" i="4"/>
  <c r="M431" i="4"/>
  <c r="M436" i="4"/>
  <c r="M440" i="4"/>
  <c r="L1498" i="4"/>
  <c r="L1502" i="4"/>
  <c r="M1510" i="4"/>
  <c r="L1514" i="4"/>
  <c r="L1525" i="4"/>
  <c r="L1529" i="4"/>
  <c r="M1533" i="4"/>
  <c r="L1538" i="4"/>
  <c r="L1542" i="4"/>
  <c r="M1546" i="4"/>
  <c r="L1550" i="4"/>
  <c r="L1557" i="4"/>
  <c r="L1567" i="4"/>
  <c r="M1574" i="4"/>
  <c r="M1578" i="4"/>
  <c r="M1582" i="4"/>
  <c r="M1587" i="4"/>
  <c r="L1591" i="4"/>
  <c r="L1595" i="4"/>
  <c r="L1599" i="4"/>
  <c r="M1603" i="4"/>
  <c r="M1607" i="4"/>
  <c r="L1612" i="4"/>
  <c r="M1618" i="4"/>
  <c r="M1628" i="4"/>
  <c r="L1632" i="4"/>
  <c r="M1636" i="4"/>
  <c r="M1644" i="4"/>
  <c r="L1648" i="4"/>
  <c r="L1652" i="4"/>
  <c r="L1656" i="4"/>
  <c r="M1661" i="4"/>
  <c r="L1665" i="4"/>
  <c r="M1669" i="4"/>
  <c r="M1676" i="4"/>
  <c r="L1680" i="4"/>
  <c r="L1684" i="4"/>
  <c r="L1691" i="4"/>
  <c r="M1695" i="4"/>
  <c r="L1703" i="4"/>
  <c r="M1710" i="4"/>
  <c r="L1714" i="4"/>
  <c r="L1718" i="4"/>
  <c r="L1723" i="4"/>
  <c r="M1727" i="4"/>
  <c r="M1736" i="4"/>
  <c r="L1746" i="4"/>
  <c r="M1750" i="4"/>
  <c r="L1759" i="4"/>
  <c r="L1764" i="4"/>
  <c r="M1768" i="4"/>
  <c r="M1772" i="4"/>
  <c r="L1779" i="4"/>
  <c r="L1785" i="4"/>
  <c r="M1790" i="4"/>
  <c r="M1794" i="4"/>
  <c r="M1799" i="4"/>
  <c r="M1803" i="4"/>
  <c r="L1807" i="4"/>
  <c r="L1811" i="4"/>
  <c r="M1817" i="4"/>
  <c r="L1823" i="4"/>
  <c r="L1827" i="4"/>
  <c r="M1834" i="4"/>
  <c r="M1843" i="4"/>
  <c r="L1848" i="4"/>
  <c r="M1852" i="4"/>
  <c r="M1856" i="4"/>
  <c r="L1860" i="4"/>
  <c r="M1872" i="4"/>
  <c r="L1878" i="4"/>
  <c r="M1884" i="4"/>
  <c r="M1890" i="4"/>
  <c r="M1894" i="4"/>
  <c r="L1898" i="4"/>
  <c r="L1902" i="4"/>
  <c r="M1906" i="4"/>
  <c r="L1914" i="4"/>
  <c r="M1919" i="4"/>
  <c r="M1926" i="4"/>
  <c r="M1932" i="4"/>
  <c r="L1939" i="4"/>
  <c r="M1943" i="4"/>
  <c r="M1948" i="4"/>
  <c r="M1952" i="4"/>
  <c r="M1956" i="4"/>
  <c r="M1963" i="4"/>
  <c r="L1969" i="4"/>
  <c r="L1973" i="4"/>
  <c r="M1977" i="4"/>
  <c r="M1981" i="4"/>
  <c r="L1985" i="4"/>
  <c r="M1989" i="4"/>
  <c r="L1993" i="4"/>
  <c r="M1997" i="4"/>
  <c r="L2001" i="4"/>
  <c r="L2005" i="4"/>
  <c r="M2009" i="4"/>
  <c r="M2013" i="4"/>
  <c r="M2017" i="4"/>
  <c r="M2022" i="4"/>
  <c r="M2026" i="4"/>
  <c r="M2034" i="4"/>
  <c r="M2040" i="4"/>
  <c r="M2047" i="4"/>
  <c r="M2051" i="4"/>
  <c r="L2061" i="4"/>
  <c r="L2065" i="4"/>
  <c r="M2070" i="4"/>
  <c r="L2076" i="4"/>
  <c r="M2080" i="4"/>
  <c r="M2084" i="4"/>
  <c r="M2088" i="4"/>
  <c r="M2092" i="4"/>
  <c r="L2107" i="4"/>
  <c r="M2112" i="4"/>
  <c r="L2117" i="4"/>
  <c r="M2124" i="4"/>
  <c r="M2128" i="4"/>
  <c r="M2133" i="4"/>
  <c r="M2139" i="4"/>
  <c r="L2143" i="4"/>
  <c r="L2147" i="4"/>
  <c r="M2152" i="4"/>
  <c r="M2156" i="4"/>
  <c r="M2166" i="4"/>
  <c r="L2172" i="4"/>
  <c r="L2176" i="4"/>
  <c r="L2182" i="4"/>
  <c r="L2188" i="4"/>
  <c r="M2194" i="4"/>
  <c r="M2202" i="4"/>
  <c r="L2208" i="4"/>
  <c r="L2214" i="4"/>
  <c r="L2218" i="4"/>
  <c r="M2223" i="4"/>
  <c r="M2227" i="4"/>
  <c r="L2233" i="4"/>
  <c r="L2239" i="4"/>
  <c r="M2249" i="4"/>
  <c r="L2254" i="4"/>
  <c r="L2258" i="4"/>
  <c r="L2262" i="4"/>
  <c r="L2266" i="4"/>
  <c r="M2270" i="4"/>
  <c r="L2274" i="4"/>
  <c r="M2278" i="4"/>
  <c r="L2283" i="4"/>
  <c r="M2287" i="4"/>
  <c r="L2293" i="4"/>
  <c r="L2297" i="4"/>
  <c r="L2306" i="4"/>
  <c r="L2310" i="4"/>
  <c r="L2314" i="4"/>
  <c r="L2318" i="4"/>
  <c r="M2322" i="4"/>
  <c r="L2326" i="4"/>
  <c r="L2330" i="4"/>
  <c r="L2334" i="4"/>
  <c r="M2348" i="4"/>
  <c r="M2354" i="4"/>
  <c r="M2361" i="4"/>
  <c r="M2365" i="4"/>
  <c r="M2369" i="4"/>
  <c r="L2373" i="4"/>
  <c r="L2380" i="4"/>
  <c r="M2384" i="4"/>
  <c r="M2388" i="4"/>
  <c r="L2392" i="4"/>
  <c r="M2398" i="4"/>
  <c r="M2403" i="4"/>
  <c r="M2408" i="4"/>
  <c r="M2417" i="4"/>
  <c r="M2421" i="4"/>
  <c r="L2432" i="4"/>
  <c r="L2436" i="4"/>
  <c r="L2441" i="4"/>
  <c r="L2446" i="4"/>
  <c r="M2457" i="4"/>
  <c r="M2468" i="4"/>
  <c r="L2472" i="4"/>
  <c r="M2477" i="4"/>
  <c r="M2483" i="4"/>
  <c r="L2487" i="4"/>
  <c r="L2492" i="4"/>
  <c r="M2496" i="4"/>
  <c r="L2501" i="4"/>
  <c r="M2505" i="4"/>
  <c r="L2509" i="4"/>
  <c r="L2516" i="4"/>
  <c r="L2522" i="4"/>
  <c r="M2526" i="4"/>
  <c r="M2530" i="4"/>
  <c r="M2536" i="4"/>
  <c r="M2540" i="4"/>
  <c r="M2544" i="4"/>
  <c r="M2550" i="4"/>
  <c r="M2554" i="4"/>
  <c r="M2558" i="4"/>
  <c r="L2562" i="4"/>
  <c r="L2566" i="4"/>
  <c r="L2570" i="4"/>
  <c r="M2574" i="4"/>
  <c r="M2580" i="4"/>
  <c r="M2585" i="4"/>
  <c r="L2589" i="4"/>
  <c r="L2593" i="4"/>
  <c r="M2597" i="4"/>
  <c r="L2611" i="4"/>
  <c r="M2615" i="4"/>
  <c r="M2628" i="4"/>
  <c r="M2635" i="4"/>
  <c r="M2639" i="4"/>
  <c r="M2645" i="4"/>
  <c r="L2650" i="4"/>
  <c r="M2656" i="4"/>
  <c r="L2664" i="4"/>
  <c r="L2670" i="4"/>
  <c r="M2674" i="4"/>
  <c r="L2678" i="4"/>
  <c r="M2682" i="4"/>
  <c r="M2686" i="4"/>
  <c r="L2690" i="4"/>
  <c r="L2696" i="4"/>
  <c r="M2700" i="4"/>
  <c r="M2704" i="4"/>
  <c r="M2716" i="4"/>
  <c r="L2725" i="4"/>
  <c r="L2737" i="4"/>
  <c r="L2746" i="4"/>
  <c r="M2750" i="4"/>
  <c r="L2754" i="4"/>
  <c r="L2758" i="4"/>
  <c r="L2762" i="4"/>
  <c r="L2766" i="4"/>
  <c r="L2771" i="4"/>
  <c r="L2777" i="4"/>
  <c r="L2781" i="4"/>
  <c r="L2785" i="4"/>
  <c r="L2789" i="4"/>
  <c r="L2793" i="4"/>
  <c r="L2797" i="4"/>
  <c r="L2801" i="4"/>
  <c r="M2804" i="4"/>
  <c r="M2810" i="4"/>
  <c r="M2814" i="4"/>
  <c r="M2818" i="4"/>
  <c r="L2822" i="4"/>
  <c r="L2826" i="4"/>
  <c r="M2836" i="4"/>
  <c r="L2840" i="4"/>
  <c r="L2844" i="4"/>
  <c r="M2848" i="4"/>
  <c r="M2854" i="4"/>
  <c r="M2860" i="4"/>
  <c r="M2864" i="4"/>
  <c r="L2877" i="4"/>
  <c r="M2883" i="4"/>
  <c r="M2890" i="4"/>
  <c r="L2896" i="4"/>
  <c r="L2903" i="4"/>
  <c r="M2907" i="4"/>
  <c r="L2911" i="4"/>
  <c r="L2915" i="4"/>
  <c r="M2919" i="4"/>
  <c r="L2924" i="4"/>
  <c r="M2930" i="4"/>
  <c r="L2934" i="4"/>
  <c r="L2940" i="4"/>
  <c r="M2948" i="4"/>
  <c r="M2952" i="4"/>
  <c r="M2956" i="4"/>
  <c r="L2973" i="4"/>
  <c r="L2977" i="4"/>
  <c r="M2981" i="4"/>
  <c r="M2985" i="4"/>
  <c r="L2989" i="4"/>
  <c r="M2993" i="4"/>
  <c r="M2997" i="4"/>
  <c r="L3001" i="4"/>
  <c r="M3008" i="4"/>
  <c r="M3012" i="4"/>
  <c r="L3016" i="4"/>
  <c r="M3022" i="4"/>
  <c r="M3026" i="4"/>
  <c r="M3030" i="4"/>
  <c r="M3036" i="4"/>
  <c r="M3040" i="4"/>
  <c r="L3044" i="4"/>
  <c r="M3049" i="4"/>
  <c r="M3055" i="4"/>
  <c r="L3064" i="4"/>
  <c r="M3068" i="4"/>
  <c r="L3073" i="4"/>
  <c r="M3077" i="4"/>
  <c r="L3091" i="4"/>
  <c r="M3096" i="4"/>
  <c r="M3102" i="4"/>
  <c r="M3108" i="4"/>
  <c r="M3115" i="4"/>
  <c r="M3121" i="4"/>
  <c r="L3125" i="4"/>
  <c r="M3129" i="4"/>
  <c r="L3135" i="4"/>
  <c r="L3140" i="4"/>
  <c r="M3144" i="4"/>
  <c r="L3158" i="4"/>
  <c r="L3170" i="4"/>
  <c r="M3177" i="4"/>
  <c r="L3181" i="4"/>
  <c r="L3187" i="4"/>
  <c r="M3191" i="4"/>
  <c r="M3195" i="4"/>
  <c r="M3199" i="4"/>
  <c r="M3203" i="4"/>
  <c r="L3207" i="4"/>
  <c r="L3221" i="4"/>
  <c r="M3230" i="4"/>
  <c r="L3235" i="4"/>
  <c r="L3239" i="4"/>
  <c r="L3244" i="4"/>
  <c r="M3249" i="4"/>
  <c r="M3253" i="4"/>
  <c r="L3257" i="4"/>
  <c r="L3261" i="4"/>
  <c r="L3265" i="4"/>
  <c r="M3274" i="4"/>
  <c r="L3278" i="4"/>
  <c r="L3283" i="4"/>
  <c r="L3287" i="4"/>
  <c r="M3293" i="4"/>
  <c r="M3299" i="4"/>
  <c r="M3304" i="4"/>
  <c r="L3310" i="4"/>
  <c r="L3314" i="4"/>
  <c r="M3318" i="4"/>
  <c r="M3324" i="4"/>
  <c r="L3328" i="4"/>
  <c r="M3332" i="4"/>
  <c r="L3338" i="4"/>
  <c r="M3346" i="4"/>
  <c r="L3353" i="4"/>
  <c r="M3363" i="4"/>
  <c r="L3367" i="4"/>
  <c r="L3372" i="4"/>
  <c r="L3379" i="4"/>
  <c r="L3385" i="4"/>
  <c r="M3390" i="4"/>
  <c r="L3399" i="4"/>
  <c r="L3403" i="4"/>
  <c r="M3407" i="4"/>
  <c r="L3411" i="4"/>
  <c r="L3415" i="4"/>
  <c r="M3419" i="4"/>
  <c r="M3423" i="4"/>
  <c r="L3433" i="4"/>
  <c r="L3437" i="4"/>
  <c r="L3444" i="4"/>
  <c r="M3447" i="4"/>
  <c r="M3451" i="4"/>
  <c r="L3455" i="4"/>
  <c r="L3459" i="4"/>
  <c r="L3465" i="4"/>
  <c r="M3469" i="4"/>
  <c r="M3472" i="4"/>
  <c r="L3476" i="4"/>
  <c r="L3483" i="4"/>
  <c r="L3487" i="4"/>
  <c r="L3492" i="4"/>
  <c r="L3499" i="4"/>
  <c r="M3505" i="4"/>
  <c r="L3509" i="4"/>
  <c r="L3516" i="4"/>
  <c r="L3520" i="4"/>
  <c r="L3524" i="4"/>
  <c r="M3531" i="4"/>
  <c r="L3535" i="4"/>
  <c r="M3539" i="4"/>
  <c r="L3543" i="4"/>
  <c r="L3555" i="4"/>
  <c r="M3559" i="4"/>
  <c r="M3562" i="4"/>
  <c r="L3576" i="4"/>
  <c r="L3580" i="4"/>
  <c r="L3584" i="4"/>
  <c r="L3595" i="4"/>
  <c r="L3600" i="4"/>
  <c r="M3604" i="4"/>
  <c r="M3608" i="4"/>
  <c r="M3612" i="4"/>
  <c r="L3621" i="4"/>
  <c r="L3629" i="4"/>
  <c r="L3634" i="4"/>
  <c r="L3642" i="4"/>
  <c r="M3651" i="4"/>
  <c r="M3655" i="4"/>
  <c r="M3662" i="4"/>
  <c r="M3666" i="4"/>
  <c r="L3670" i="4"/>
  <c r="M3678" i="4"/>
  <c r="M3682" i="4"/>
  <c r="M3686" i="4"/>
  <c r="M3703" i="4"/>
  <c r="L3708" i="4"/>
  <c r="L3712" i="4"/>
  <c r="L3716" i="4"/>
  <c r="M3721" i="4"/>
  <c r="L3725" i="4"/>
  <c r="L3731" i="4"/>
  <c r="L3735" i="4"/>
  <c r="L3743" i="4"/>
  <c r="L3747" i="4"/>
  <c r="L3751" i="4"/>
  <c r="L3755" i="4"/>
  <c r="L3759" i="4"/>
  <c r="M3764" i="4"/>
  <c r="M3768" i="4"/>
  <c r="M3775" i="4"/>
  <c r="M3780" i="4"/>
  <c r="L3788" i="4"/>
  <c r="L3792" i="4"/>
  <c r="L3798" i="4"/>
  <c r="M3802" i="4"/>
  <c r="L3806" i="4"/>
  <c r="M3811" i="4"/>
  <c r="L3818" i="4"/>
  <c r="M3824" i="4"/>
  <c r="M3829" i="4"/>
  <c r="L3834" i="4"/>
  <c r="L3838" i="4"/>
  <c r="M3844" i="4"/>
  <c r="L3848" i="4"/>
  <c r="L3865" i="4"/>
  <c r="L3875" i="4"/>
  <c r="L3882" i="4"/>
  <c r="L3901" i="4"/>
  <c r="M3905" i="4"/>
  <c r="L3913" i="4"/>
  <c r="M3919" i="4"/>
  <c r="M3923" i="4"/>
  <c r="M3927" i="4"/>
  <c r="M3932" i="4"/>
  <c r="M3936" i="4"/>
  <c r="M3940" i="4"/>
  <c r="L3950" i="4"/>
  <c r="M3956" i="4"/>
  <c r="M3960" i="4"/>
  <c r="M3964" i="4"/>
  <c r="L3968" i="4"/>
  <c r="L3972" i="4"/>
  <c r="M3977" i="4"/>
  <c r="M3981" i="4"/>
  <c r="M3988" i="4"/>
  <c r="L3992" i="4"/>
  <c r="L3997" i="4"/>
  <c r="M4001" i="4"/>
  <c r="M4005" i="4"/>
  <c r="L4009" i="4"/>
  <c r="L4013" i="4"/>
  <c r="L4017" i="4"/>
  <c r="M4022" i="4"/>
  <c r="M4028" i="4"/>
  <c r="M4034" i="4"/>
  <c r="M4040" i="4"/>
  <c r="M4045" i="4"/>
  <c r="L4049" i="4"/>
  <c r="M4055" i="4"/>
  <c r="M4061" i="4"/>
  <c r="L4074" i="4"/>
  <c r="L4080" i="4"/>
  <c r="M4085" i="4"/>
  <c r="M4091" i="4"/>
  <c r="M4097" i="4"/>
  <c r="M4102" i="4"/>
  <c r="M4107" i="4"/>
  <c r="L4113" i="4"/>
  <c r="L4117" i="4"/>
  <c r="M4123" i="4"/>
  <c r="M4129" i="4"/>
  <c r="M4134" i="4"/>
  <c r="L4142" i="4"/>
  <c r="M4148" i="4"/>
  <c r="M4161" i="4"/>
  <c r="M4166" i="4"/>
  <c r="M4171" i="4"/>
  <c r="L4175" i="4"/>
  <c r="M4183" i="4"/>
  <c r="L4188" i="4"/>
  <c r="M4194" i="4"/>
  <c r="L4198" i="4"/>
  <c r="M4202" i="4"/>
  <c r="M4209" i="4"/>
  <c r="L4215" i="4"/>
  <c r="L4227" i="4"/>
  <c r="M4231" i="4"/>
  <c r="L4235" i="4"/>
  <c r="L4239" i="4"/>
  <c r="L4244" i="4"/>
  <c r="L4248" i="4"/>
  <c r="L4252" i="4"/>
  <c r="M4256" i="4"/>
  <c r="L4261" i="4"/>
  <c r="L4265" i="4"/>
  <c r="L4269" i="4"/>
  <c r="M4273" i="4"/>
  <c r="M4279" i="4"/>
  <c r="L4285" i="4"/>
  <c r="L4289" i="4"/>
  <c r="L4298" i="4"/>
  <c r="L4310" i="4"/>
  <c r="L4320" i="4"/>
  <c r="M4324" i="4"/>
  <c r="M4328" i="4"/>
  <c r="L4332" i="4"/>
  <c r="L4336" i="4"/>
  <c r="L4340" i="4"/>
  <c r="L4345" i="4"/>
  <c r="L4350" i="4"/>
  <c r="M4354" i="4"/>
  <c r="M4364" i="4"/>
  <c r="M4368" i="4"/>
  <c r="L4374" i="4"/>
  <c r="M4378" i="4"/>
  <c r="L4382" i="4"/>
  <c r="M4390" i="4"/>
  <c r="L4395" i="4"/>
  <c r="M4399" i="4"/>
  <c r="L4407" i="4"/>
  <c r="M4411" i="4"/>
  <c r="M4416" i="4"/>
  <c r="L4420" i="4"/>
  <c r="M4427" i="4"/>
  <c r="M4433" i="4"/>
  <c r="L4439" i="4"/>
  <c r="L4443" i="4"/>
  <c r="M4447" i="4"/>
  <c r="M4451" i="4"/>
  <c r="M4455" i="4"/>
  <c r="L4463" i="4"/>
  <c r="L4467" i="4"/>
  <c r="M4471" i="4"/>
  <c r="M4481" i="4"/>
  <c r="L4493" i="4"/>
  <c r="M4497" i="4"/>
  <c r="M4502" i="4"/>
  <c r="L4510" i="4"/>
  <c r="M4516" i="4"/>
  <c r="L4522" i="4"/>
  <c r="M4528" i="4"/>
  <c r="M4534" i="4"/>
  <c r="M4538" i="4"/>
  <c r="M4545" i="4"/>
  <c r="M4551" i="4"/>
  <c r="M4557" i="4"/>
  <c r="L4567" i="4"/>
  <c r="M4571" i="4"/>
  <c r="M4575" i="4"/>
  <c r="L4582" i="4"/>
  <c r="M4586" i="4"/>
  <c r="M4590" i="4"/>
  <c r="L4594" i="4"/>
  <c r="L4598" i="4"/>
  <c r="M4602" i="4"/>
  <c r="M4606" i="4"/>
  <c r="L4610" i="4"/>
  <c r="L4616" i="4"/>
  <c r="M4623" i="4"/>
  <c r="L4627" i="4"/>
  <c r="L4632" i="4"/>
  <c r="L4638" i="4"/>
  <c r="M4642" i="4"/>
  <c r="L4646" i="4"/>
  <c r="L4650" i="4"/>
  <c r="M4654" i="4"/>
  <c r="L4659" i="4"/>
  <c r="L4665" i="4"/>
  <c r="L4670" i="4"/>
  <c r="M4674" i="4"/>
  <c r="M4678" i="4"/>
  <c r="L4682" i="4"/>
  <c r="L4687" i="4"/>
  <c r="M4698" i="4"/>
  <c r="M4702" i="4"/>
  <c r="L4708" i="4"/>
  <c r="L4714" i="4"/>
  <c r="M4718" i="4"/>
  <c r="L4723" i="4"/>
  <c r="M4727" i="4"/>
  <c r="L4731" i="4"/>
  <c r="L4737" i="4"/>
  <c r="L4741" i="4"/>
  <c r="L4749" i="4"/>
  <c r="L4753" i="4"/>
  <c r="M4757" i="4"/>
  <c r="M4763" i="4"/>
  <c r="L4767" i="4"/>
  <c r="M4776" i="4"/>
  <c r="L4781" i="4"/>
  <c r="M4786" i="4"/>
  <c r="L4792" i="4"/>
  <c r="M4795" i="4"/>
  <c r="M4804" i="4"/>
  <c r="M4809" i="4"/>
  <c r="L4813" i="4"/>
  <c r="M4817" i="4"/>
  <c r="L4821" i="4"/>
  <c r="L4825" i="4"/>
  <c r="M4829" i="4"/>
  <c r="M4834" i="4"/>
  <c r="M4838" i="4"/>
  <c r="M4843" i="4"/>
  <c r="L4847" i="4"/>
  <c r="L4851" i="4"/>
  <c r="M4855" i="4"/>
  <c r="M4859" i="4"/>
  <c r="L4864" i="4"/>
  <c r="M4869" i="4"/>
  <c r="L4873" i="4"/>
  <c r="L4885" i="4"/>
  <c r="L4889" i="4"/>
  <c r="M4893" i="4"/>
  <c r="L4901" i="4"/>
  <c r="L4907" i="4"/>
  <c r="L4911" i="4"/>
  <c r="M4917" i="4"/>
  <c r="L4921" i="4"/>
  <c r="L4926" i="4"/>
  <c r="L4930" i="4"/>
  <c r="M4938" i="4"/>
  <c r="L4944" i="4"/>
  <c r="L4951" i="4"/>
  <c r="M4958" i="4"/>
  <c r="M4965" i="4"/>
  <c r="L4977" i="4"/>
  <c r="L4982" i="4"/>
  <c r="L4987" i="4"/>
  <c r="M4995" i="4"/>
  <c r="L4999" i="4"/>
  <c r="M5003" i="4"/>
  <c r="L5007" i="4"/>
  <c r="L5011" i="4"/>
  <c r="M5015" i="4"/>
  <c r="L5019" i="4"/>
  <c r="M5025" i="4"/>
  <c r="L5035" i="4"/>
  <c r="L5039" i="4"/>
  <c r="L5046" i="4"/>
  <c r="M5062" i="4"/>
  <c r="M5066" i="4"/>
  <c r="M5071" i="4"/>
  <c r="L5077" i="4"/>
  <c r="L5081" i="4"/>
  <c r="L5085" i="4"/>
  <c r="M5089" i="4"/>
  <c r="M5093" i="4"/>
  <c r="L5097" i="4"/>
  <c r="L5106" i="4"/>
  <c r="M5110" i="4"/>
  <c r="M5115" i="4"/>
  <c r="M5119" i="4"/>
  <c r="M5126" i="4"/>
  <c r="L5144" i="4"/>
  <c r="L5152" i="4"/>
  <c r="M5157" i="4"/>
  <c r="L5161" i="4"/>
  <c r="L5165" i="4"/>
  <c r="L5168" i="4"/>
  <c r="L5172" i="4"/>
  <c r="L5176" i="4"/>
  <c r="M5181" i="4"/>
  <c r="M5185" i="4"/>
  <c r="L5189" i="4"/>
  <c r="M5194" i="4"/>
  <c r="L5199" i="4"/>
  <c r="M5203" i="4"/>
  <c r="M5818" i="4"/>
  <c r="M5822" i="4"/>
  <c r="M5828" i="4"/>
  <c r="M5832" i="4"/>
  <c r="L5836" i="4"/>
  <c r="M5841" i="4"/>
  <c r="M5845" i="4"/>
  <c r="L5851" i="4"/>
  <c r="L5856" i="4"/>
  <c r="M5861" i="4"/>
  <c r="M5867" i="4"/>
  <c r="M5872" i="4"/>
  <c r="L5876" i="4"/>
  <c r="M5888" i="4"/>
  <c r="M5892" i="4"/>
  <c r="M5898" i="4"/>
  <c r="L5904" i="4"/>
  <c r="M5914" i="4"/>
  <c r="L5918" i="4"/>
  <c r="N5918" i="4" s="1"/>
  <c r="O5918" i="4" s="1"/>
  <c r="L5921" i="4"/>
  <c r="M5925" i="4"/>
  <c r="L5930" i="4"/>
  <c r="L5936" i="4"/>
  <c r="M5943" i="4"/>
  <c r="M5948" i="4"/>
  <c r="M5956" i="4"/>
  <c r="L5965" i="4"/>
  <c r="M5969" i="4"/>
  <c r="L5973" i="4"/>
  <c r="M5976" i="4"/>
  <c r="M5980" i="4"/>
  <c r="M5983" i="4"/>
  <c r="L5987" i="4"/>
  <c r="M5991" i="4"/>
  <c r="M5997" i="4"/>
  <c r="L4" i="4"/>
  <c r="L9" i="4"/>
  <c r="M14" i="4"/>
  <c r="M19" i="4"/>
  <c r="L23" i="4"/>
  <c r="M27" i="4"/>
  <c r="M32" i="4"/>
  <c r="M38" i="4"/>
  <c r="M43" i="4"/>
  <c r="M47" i="4"/>
  <c r="L55" i="4"/>
  <c r="M59" i="4"/>
  <c r="M67" i="4"/>
  <c r="M74" i="4"/>
  <c r="L78" i="4"/>
  <c r="L84" i="4"/>
  <c r="L88" i="4"/>
  <c r="M94" i="4"/>
  <c r="L99" i="4"/>
  <c r="M103" i="4"/>
  <c r="L109" i="4"/>
  <c r="M114" i="4"/>
  <c r="L118" i="4"/>
  <c r="M122" i="4"/>
  <c r="L132" i="4"/>
  <c r="M142" i="4"/>
  <c r="L149" i="4"/>
  <c r="L153" i="4"/>
  <c r="L158" i="4"/>
  <c r="M162" i="4"/>
  <c r="L167" i="4"/>
  <c r="M176" i="4"/>
  <c r="M180" i="4"/>
  <c r="L185" i="4"/>
  <c r="M192" i="4"/>
  <c r="L198" i="4"/>
  <c r="L206" i="4"/>
  <c r="M211" i="4"/>
  <c r="L216" i="4"/>
  <c r="L223" i="4"/>
  <c r="M230" i="4"/>
  <c r="M234" i="4"/>
  <c r="M238" i="4"/>
  <c r="L243" i="4"/>
  <c r="M248" i="4"/>
  <c r="L257" i="4"/>
  <c r="M263" i="4"/>
  <c r="L273" i="4"/>
  <c r="M282" i="4"/>
  <c r="L287" i="4"/>
  <c r="M291" i="4"/>
  <c r="M295" i="4"/>
  <c r="L305" i="4"/>
  <c r="L309" i="4"/>
  <c r="L315" i="4"/>
  <c r="L321" i="4"/>
  <c r="M327" i="4"/>
  <c r="M334" i="4"/>
  <c r="M345" i="4"/>
  <c r="M358" i="4"/>
  <c r="M365" i="4"/>
  <c r="M371" i="4"/>
  <c r="L376" i="4"/>
  <c r="M380" i="4"/>
  <c r="L384" i="4"/>
  <c r="M391" i="4"/>
  <c r="L398" i="4"/>
  <c r="M404" i="4"/>
  <c r="L416" i="4"/>
  <c r="M422" i="4"/>
  <c r="L427" i="4"/>
  <c r="L431" i="4"/>
  <c r="L435" i="4"/>
  <c r="M442" i="4"/>
  <c r="M1496" i="4"/>
  <c r="M1500" i="4"/>
  <c r="L1504" i="4"/>
  <c r="L1508" i="4"/>
  <c r="M1514" i="4"/>
  <c r="M1525" i="4"/>
  <c r="M1529" i="4"/>
  <c r="L1537" i="4"/>
  <c r="M1541" i="4"/>
  <c r="M1550" i="4"/>
  <c r="L1555" i="4"/>
  <c r="L1561" i="4"/>
  <c r="M1565" i="4"/>
  <c r="M1572" i="4"/>
  <c r="L1579" i="4"/>
  <c r="M1583" i="4"/>
  <c r="M1619" i="4"/>
  <c r="L1623" i="4"/>
  <c r="L1627" i="4"/>
  <c r="M1632" i="4"/>
  <c r="L1638" i="4"/>
  <c r="M1643" i="4"/>
  <c r="M1647" i="4"/>
  <c r="L1657" i="4"/>
  <c r="L1663" i="4"/>
  <c r="L1673" i="4"/>
  <c r="L1677" i="4"/>
  <c r="L1681" i="4"/>
  <c r="M1685" i="4"/>
  <c r="L1689" i="4"/>
  <c r="L1693" i="4"/>
  <c r="M1697" i="4"/>
  <c r="L1701" i="4"/>
  <c r="M1707" i="4"/>
  <c r="M1711" i="4"/>
  <c r="M1715" i="4"/>
  <c r="L1722" i="4"/>
  <c r="M1729" i="4"/>
  <c r="L1739" i="4"/>
  <c r="L1744" i="4"/>
  <c r="L1748" i="4"/>
  <c r="L1752" i="4"/>
  <c r="M1767" i="4"/>
  <c r="L1771" i="4"/>
  <c r="M1775" i="4"/>
  <c r="M1780" i="4"/>
  <c r="L1787" i="4"/>
  <c r="M1791" i="4"/>
  <c r="M1801" i="4"/>
  <c r="L1808" i="4"/>
  <c r="L1813" i="4"/>
  <c r="M1818" i="4"/>
  <c r="M1822" i="4"/>
  <c r="M1826" i="4"/>
  <c r="L1839" i="4"/>
  <c r="M1845" i="4"/>
  <c r="M1851" i="4"/>
  <c r="M1857" i="4"/>
  <c r="M1861" i="4"/>
  <c r="L1872" i="4"/>
  <c r="N1872" i="4" s="1"/>
  <c r="O1872" i="4" s="1"/>
  <c r="M1876" i="4"/>
  <c r="L1882" i="4"/>
  <c r="M1886" i="4"/>
  <c r="L1891" i="4"/>
  <c r="M1896" i="4"/>
  <c r="M1902" i="4"/>
  <c r="L1908" i="4"/>
  <c r="L1915" i="4"/>
  <c r="L1921" i="4"/>
  <c r="M1925" i="4"/>
  <c r="M1929" i="4"/>
  <c r="L1934" i="4"/>
  <c r="L1938" i="4"/>
  <c r="M1942" i="4"/>
  <c r="M1946" i="4"/>
  <c r="M1957" i="4"/>
  <c r="L1961" i="4"/>
  <c r="L1965" i="4"/>
  <c r="L1971" i="4"/>
  <c r="M1982" i="4"/>
  <c r="L1988" i="4"/>
  <c r="L1994" i="4"/>
  <c r="M1998" i="4"/>
  <c r="M2003" i="4"/>
  <c r="M2008" i="4"/>
  <c r="M2014" i="4"/>
  <c r="M2018" i="4"/>
  <c r="L2022" i="4"/>
  <c r="L2026" i="4"/>
  <c r="L2030" i="4"/>
  <c r="L2036" i="4"/>
  <c r="L2040" i="4"/>
  <c r="M2044" i="4"/>
  <c r="L2048" i="4"/>
  <c r="L2052" i="4"/>
  <c r="M2056" i="4"/>
  <c r="M2060" i="4"/>
  <c r="L2064" i="4"/>
  <c r="M2072" i="4"/>
  <c r="M2076" i="4"/>
  <c r="L2080" i="4"/>
  <c r="L2096" i="4"/>
  <c r="L2103" i="4"/>
  <c r="L2109" i="4"/>
  <c r="M2113" i="4"/>
  <c r="L2118" i="4"/>
  <c r="L2123" i="4"/>
  <c r="M2127" i="4"/>
  <c r="M2132" i="4"/>
  <c r="M2136" i="4"/>
  <c r="M2144" i="4"/>
  <c r="L2148" i="4"/>
  <c r="M2155" i="4"/>
  <c r="M2160" i="4"/>
  <c r="L2167" i="4"/>
  <c r="M2171" i="4"/>
  <c r="L2175" i="4"/>
  <c r="L2180" i="4"/>
  <c r="M2185" i="4"/>
  <c r="M2192" i="4"/>
  <c r="M2196" i="4"/>
  <c r="L2200" i="4"/>
  <c r="M2204" i="4"/>
  <c r="M2209" i="4"/>
  <c r="L2215" i="4"/>
  <c r="L2220" i="4"/>
  <c r="L2224" i="4"/>
  <c r="M2228" i="4"/>
  <c r="M2232" i="4"/>
  <c r="L2236" i="4"/>
  <c r="M2240" i="4"/>
  <c r="M2245" i="4"/>
  <c r="M2251" i="4"/>
  <c r="L2256" i="4"/>
  <c r="L2260" i="4"/>
  <c r="M2264" i="4"/>
  <c r="M2273" i="4"/>
  <c r="M2279" i="4"/>
  <c r="L2285" i="4"/>
  <c r="L2289" i="4"/>
  <c r="L2294" i="4"/>
  <c r="M2298" i="4"/>
  <c r="M2305" i="4"/>
  <c r="M2309" i="4"/>
  <c r="M2313" i="4"/>
  <c r="M2319" i="4"/>
  <c r="L2325" i="4"/>
  <c r="L2331" i="4"/>
  <c r="M2337" i="4"/>
  <c r="M2343" i="4"/>
  <c r="M2347" i="4"/>
  <c r="L2353" i="4"/>
  <c r="L2357" i="4"/>
  <c r="M2363" i="4"/>
  <c r="M2367" i="4"/>
  <c r="M2372" i="4"/>
  <c r="L2376" i="4"/>
  <c r="M2380" i="4"/>
  <c r="L2385" i="4"/>
  <c r="M2389" i="4"/>
  <c r="M2393" i="4"/>
  <c r="M2399" i="4"/>
  <c r="M2404" i="4"/>
  <c r="L2409" i="4"/>
  <c r="M2412" i="4"/>
  <c r="L2420" i="4"/>
  <c r="L2425" i="4"/>
  <c r="L2430" i="4"/>
  <c r="L2434" i="4"/>
  <c r="M2440" i="4"/>
  <c r="L2444" i="4"/>
  <c r="M2449" i="4"/>
  <c r="L2453" i="4"/>
  <c r="L2462" i="4"/>
  <c r="L2466" i="4"/>
  <c r="M2470" i="4"/>
  <c r="M2476" i="4"/>
  <c r="L2480" i="4"/>
  <c r="M2485" i="4"/>
  <c r="L2489" i="4"/>
  <c r="M2499" i="4"/>
  <c r="L2503" i="4"/>
  <c r="M2514" i="4"/>
  <c r="M2521" i="4"/>
  <c r="L2531" i="4"/>
  <c r="L2537" i="4"/>
  <c r="L2541" i="4"/>
  <c r="M2547" i="4"/>
  <c r="L2551" i="4"/>
  <c r="M2561" i="4"/>
  <c r="M2565" i="4"/>
  <c r="M2570" i="4"/>
  <c r="L2574" i="4"/>
  <c r="L2580" i="4"/>
  <c r="M2584" i="4"/>
  <c r="M2596" i="4"/>
  <c r="L2604" i="4"/>
  <c r="M2610" i="4"/>
  <c r="M2619" i="4"/>
  <c r="L2623" i="4"/>
  <c r="L2629" i="4"/>
  <c r="M2634" i="4"/>
  <c r="M2638" i="4"/>
  <c r="L2642" i="4"/>
  <c r="M2648" i="4"/>
  <c r="L2652" i="4"/>
  <c r="L2656" i="4"/>
  <c r="L2660" i="4"/>
  <c r="L2665" i="4"/>
  <c r="L2669" i="4"/>
  <c r="L2677" i="4"/>
  <c r="M2681" i="4"/>
  <c r="M2685" i="4"/>
  <c r="L2691" i="4"/>
  <c r="M2697" i="4"/>
  <c r="M2703" i="4"/>
  <c r="L2710" i="4"/>
  <c r="L2714" i="4"/>
  <c r="L2724" i="4"/>
  <c r="L2729" i="4"/>
  <c r="L2733" i="4"/>
  <c r="L2743" i="4"/>
  <c r="M2747" i="4"/>
  <c r="L2752" i="4"/>
  <c r="M2760" i="4"/>
  <c r="L2764" i="4"/>
  <c r="M2768" i="4"/>
  <c r="L2772" i="4"/>
  <c r="M2776" i="4"/>
  <c r="L2782" i="4"/>
  <c r="L2786" i="4"/>
  <c r="M2794" i="4"/>
  <c r="L2798" i="4"/>
  <c r="L2806" i="4"/>
  <c r="L2811" i="4"/>
  <c r="L2815" i="4"/>
  <c r="L2823" i="4"/>
  <c r="L2829" i="4"/>
  <c r="M2834" i="4"/>
  <c r="M2838" i="4"/>
  <c r="M2844" i="4"/>
  <c r="M2853" i="4"/>
  <c r="L2857" i="4"/>
  <c r="L2863" i="4"/>
  <c r="L2869" i="4"/>
  <c r="L2875" i="4"/>
  <c r="L2888" i="4"/>
  <c r="L2892" i="4"/>
  <c r="M2896" i="4"/>
  <c r="L2900" i="4"/>
  <c r="M2904" i="4"/>
  <c r="L2908" i="4"/>
  <c r="L2912" i="4"/>
  <c r="L2920" i="4"/>
  <c r="L2925" i="4"/>
  <c r="M2929" i="4"/>
  <c r="M2934" i="4"/>
  <c r="N2934" i="4" s="1"/>
  <c r="O2934" i="4" s="1"/>
  <c r="L2951" i="4"/>
  <c r="L2955" i="4"/>
  <c r="L2959" i="4"/>
  <c r="M2973" i="4"/>
  <c r="L2978" i="4"/>
  <c r="L2982" i="4"/>
  <c r="L2994" i="4"/>
  <c r="M3001" i="4"/>
  <c r="L3006" i="4"/>
  <c r="M3010" i="4"/>
  <c r="M3015" i="4"/>
  <c r="M3020" i="4"/>
  <c r="L3027" i="4"/>
  <c r="L3032" i="4"/>
  <c r="L3036" i="4"/>
  <c r="L3046" i="4"/>
  <c r="M3050" i="4"/>
  <c r="M3054" i="4"/>
  <c r="M3058" i="4"/>
  <c r="M3062" i="4"/>
  <c r="M3066" i="4"/>
  <c r="M3070" i="4"/>
  <c r="L3074" i="4"/>
  <c r="L3078" i="4"/>
  <c r="L3084" i="4"/>
  <c r="M3090" i="4"/>
  <c r="L3098" i="4"/>
  <c r="L3102" i="4"/>
  <c r="N3102" i="4" s="1"/>
  <c r="O3102" i="4" s="1"/>
  <c r="M3109" i="4"/>
  <c r="M3114" i="4"/>
  <c r="L3121" i="4"/>
  <c r="N3121" i="4" s="1"/>
  <c r="O3121" i="4" s="1"/>
  <c r="M3127" i="4"/>
  <c r="L3132" i="4"/>
  <c r="L3136" i="4"/>
  <c r="L3148" i="4"/>
  <c r="L3153" i="4"/>
  <c r="M3166" i="4"/>
  <c r="M3171" i="4"/>
  <c r="L3176" i="4"/>
  <c r="M3180" i="4"/>
  <c r="L3190" i="4"/>
  <c r="L3194" i="4"/>
  <c r="M3198" i="4"/>
  <c r="L3213" i="4"/>
  <c r="L3217" i="4"/>
  <c r="M3228" i="4"/>
  <c r="L3233" i="4"/>
  <c r="M3237" i="4"/>
  <c r="M3243" i="4"/>
  <c r="M3248" i="4"/>
  <c r="L3270" i="4"/>
  <c r="L3275" i="4"/>
  <c r="M3281" i="4"/>
  <c r="M3285" i="4"/>
  <c r="M3289" i="4"/>
  <c r="L3295" i="4"/>
  <c r="L3300" i="4"/>
  <c r="M3305" i="4"/>
  <c r="M3309" i="4"/>
  <c r="L3313" i="4"/>
  <c r="L3317" i="4"/>
  <c r="L3321" i="4"/>
  <c r="L3325" i="4"/>
  <c r="L3334" i="4"/>
  <c r="M3337" i="4"/>
  <c r="M3341" i="4"/>
  <c r="M3345" i="4"/>
  <c r="M3351" i="4"/>
  <c r="L3355" i="4"/>
  <c r="M3359" i="4"/>
  <c r="M3364" i="4"/>
  <c r="M3368" i="4"/>
  <c r="M3372" i="4"/>
  <c r="L3378" i="4"/>
  <c r="L3383" i="4"/>
  <c r="M3389" i="4"/>
  <c r="L3395" i="4"/>
  <c r="M3400" i="4"/>
  <c r="M3404" i="4"/>
  <c r="M3410" i="4"/>
  <c r="L3416" i="4"/>
  <c r="L3422" i="4"/>
  <c r="M3426" i="4"/>
  <c r="M3430" i="4"/>
  <c r="L3438" i="4"/>
  <c r="L3442" i="4"/>
  <c r="L3450" i="4"/>
  <c r="L3454" i="4"/>
  <c r="M3459" i="4"/>
  <c r="L3464" i="4"/>
  <c r="L3497" i="4"/>
  <c r="L3501" i="4"/>
  <c r="L3506" i="4"/>
  <c r="M3510" i="4"/>
  <c r="M3514" i="4"/>
  <c r="M3518" i="4"/>
  <c r="L3522" i="4"/>
  <c r="L3526" i="4"/>
  <c r="L3530" i="4"/>
  <c r="L3536" i="4"/>
  <c r="L3540" i="4"/>
  <c r="L3548" i="4"/>
  <c r="L3552" i="4"/>
  <c r="L3558" i="4"/>
  <c r="L3564" i="4"/>
  <c r="L3568" i="4"/>
  <c r="L3573" i="4"/>
  <c r="M3580" i="4"/>
  <c r="L3586" i="4"/>
  <c r="M3592" i="4"/>
  <c r="L3598" i="4"/>
  <c r="L3602" i="4"/>
  <c r="M3606" i="4"/>
  <c r="M3610" i="4"/>
  <c r="L3614" i="4"/>
  <c r="L3618" i="4"/>
  <c r="M3623" i="4"/>
  <c r="M3628" i="4"/>
  <c r="M3632" i="4"/>
  <c r="M3640" i="4"/>
  <c r="M3650" i="4"/>
  <c r="L3656" i="4"/>
  <c r="M3661" i="4"/>
  <c r="M3665" i="4"/>
  <c r="M3672" i="4"/>
  <c r="M3680" i="4"/>
  <c r="L3686" i="4"/>
  <c r="N3686" i="4" s="1"/>
  <c r="O3686" i="4" s="1"/>
  <c r="M3690" i="4"/>
  <c r="M3694" i="4"/>
  <c r="M3700" i="4"/>
  <c r="M3706" i="4"/>
  <c r="M3710" i="4"/>
  <c r="M3716" i="4"/>
  <c r="M3736" i="4"/>
  <c r="L3741" i="4"/>
  <c r="L3745" i="4"/>
  <c r="L3752" i="4"/>
  <c r="L3756" i="4"/>
  <c r="L3762" i="4"/>
  <c r="L3768" i="4"/>
  <c r="M3773" i="4"/>
  <c r="M3778" i="4"/>
  <c r="M3782" i="4"/>
  <c r="L3786" i="4"/>
  <c r="L3791" i="4"/>
  <c r="M3798" i="4"/>
  <c r="M3804" i="4"/>
  <c r="L3808" i="4"/>
  <c r="M3812" i="4"/>
  <c r="M3815" i="4"/>
  <c r="M3820" i="4"/>
  <c r="M3825" i="4"/>
  <c r="L3833" i="4"/>
  <c r="L3837" i="4"/>
  <c r="M3841" i="4"/>
  <c r="M3850" i="4"/>
  <c r="L3854" i="4"/>
  <c r="L3858" i="4"/>
  <c r="L3862" i="4"/>
  <c r="L3866" i="4"/>
  <c r="L3874" i="4"/>
  <c r="M3880" i="4"/>
  <c r="L3884" i="4"/>
  <c r="M3891" i="4"/>
  <c r="L3895" i="4"/>
  <c r="M3901" i="4"/>
  <c r="L3910" i="4"/>
  <c r="M3914" i="4"/>
  <c r="M3925" i="4"/>
  <c r="M3930" i="4"/>
  <c r="M3938" i="4"/>
  <c r="M3944" i="4"/>
  <c r="L3949" i="4"/>
  <c r="L3953" i="4"/>
  <c r="M3957" i="4"/>
  <c r="M3961" i="4"/>
  <c r="M3967" i="4"/>
  <c r="L3977" i="4"/>
  <c r="N3977" i="4" s="1"/>
  <c r="O3977" i="4" s="1"/>
  <c r="L3982" i="4"/>
  <c r="M3986" i="4"/>
  <c r="M3993" i="4"/>
  <c r="M3998" i="4"/>
  <c r="L4002" i="4"/>
  <c r="L4011" i="4"/>
  <c r="L4016" i="4"/>
  <c r="L4020" i="4"/>
  <c r="L4027" i="4"/>
  <c r="L4031" i="4"/>
  <c r="L4035" i="4"/>
  <c r="M4039" i="4"/>
  <c r="L4043" i="4"/>
  <c r="L4063" i="4"/>
  <c r="L4067" i="4"/>
  <c r="L4073" i="4"/>
  <c r="M4077" i="4"/>
  <c r="M4081" i="4"/>
  <c r="L4086" i="4"/>
  <c r="M4090" i="4"/>
  <c r="M4094" i="4"/>
  <c r="M4098" i="4"/>
  <c r="L4103" i="4"/>
  <c r="L4110" i="4"/>
  <c r="M4118" i="4"/>
  <c r="L4132" i="4"/>
  <c r="M4136" i="4"/>
  <c r="L4146" i="4"/>
  <c r="L4150" i="4"/>
  <c r="L4154" i="4"/>
  <c r="L4161" i="4"/>
  <c r="N4161" i="4" s="1"/>
  <c r="O4161" i="4" s="1"/>
  <c r="M4165" i="4"/>
  <c r="L4171" i="4"/>
  <c r="N4171" i="4" s="1"/>
  <c r="O4171" i="4" s="1"/>
  <c r="L4179" i="4"/>
  <c r="L4183" i="4"/>
  <c r="N4183" i="4" s="1"/>
  <c r="O4183" i="4" s="1"/>
  <c r="L4195" i="4"/>
  <c r="M4201" i="4"/>
  <c r="M4210" i="4"/>
  <c r="M4215" i="4"/>
  <c r="L4219" i="4"/>
  <c r="M4226" i="4"/>
  <c r="M4229" i="4"/>
  <c r="M4233" i="4"/>
  <c r="M4237" i="4"/>
  <c r="L4242" i="4"/>
  <c r="L4246" i="4"/>
  <c r="L4251" i="4"/>
  <c r="M4255" i="4"/>
  <c r="L4259" i="4"/>
  <c r="L4263" i="4"/>
  <c r="M4267" i="4"/>
  <c r="M4270" i="4"/>
  <c r="M4281" i="4"/>
  <c r="M4287" i="4"/>
  <c r="L4296" i="4"/>
  <c r="L4300" i="4"/>
  <c r="L4304" i="4"/>
  <c r="M4308" i="4"/>
  <c r="M4312" i="4"/>
  <c r="M4316" i="4"/>
  <c r="M4322" i="4"/>
  <c r="M4331" i="4"/>
  <c r="M4337" i="4"/>
  <c r="M4343" i="4"/>
  <c r="M4349" i="4"/>
  <c r="L4353" i="4"/>
  <c r="L4357" i="4"/>
  <c r="L4361" i="4"/>
  <c r="M4365" i="4"/>
  <c r="L4373" i="4"/>
  <c r="M4377" i="4"/>
  <c r="L4383" i="4"/>
  <c r="M4391" i="4"/>
  <c r="L4397" i="4"/>
  <c r="M4401" i="4"/>
  <c r="M4407" i="4"/>
  <c r="L4417" i="4"/>
  <c r="L4425" i="4"/>
  <c r="L4431" i="4"/>
  <c r="M4435" i="4"/>
  <c r="M4440" i="4"/>
  <c r="M4459" i="4"/>
  <c r="L4473" i="4"/>
  <c r="M4477" i="4"/>
  <c r="M4484" i="4"/>
  <c r="M4488" i="4"/>
  <c r="M4492" i="4"/>
  <c r="M4496" i="4"/>
  <c r="L4500" i="4"/>
  <c r="M4506" i="4"/>
  <c r="M4510" i="4"/>
  <c r="L4514" i="4"/>
  <c r="L4520" i="4"/>
  <c r="L4524" i="4"/>
  <c r="L4528" i="4"/>
  <c r="N4528" i="4" s="1"/>
  <c r="O4528" i="4" s="1"/>
  <c r="L4533" i="4"/>
  <c r="M4537" i="4"/>
  <c r="M4541" i="4"/>
  <c r="M4548" i="4"/>
  <c r="L4552" i="4"/>
  <c r="L4557" i="4"/>
  <c r="N4557" i="4" s="1"/>
  <c r="O4557" i="4" s="1"/>
  <c r="L4561" i="4"/>
  <c r="L4566" i="4"/>
  <c r="L4570" i="4"/>
  <c r="M4574" i="4"/>
  <c r="L4578" i="4"/>
  <c r="L4586" i="4"/>
  <c r="N4586" i="4" s="1"/>
  <c r="O4586" i="4" s="1"/>
  <c r="L4592" i="4"/>
  <c r="N4592" i="4" s="1"/>
  <c r="O4592" i="4" s="1"/>
  <c r="L4599" i="4"/>
  <c r="M4605" i="4"/>
  <c r="L4611" i="4"/>
  <c r="M4616" i="4"/>
  <c r="L4621" i="4"/>
  <c r="L4625" i="4"/>
  <c r="M4629" i="4"/>
  <c r="M4636" i="4"/>
  <c r="L4648" i="4"/>
  <c r="M4651" i="4"/>
  <c r="M4664" i="4"/>
  <c r="L4672" i="4"/>
  <c r="L4676" i="4"/>
  <c r="M4680" i="4"/>
  <c r="M4684" i="4"/>
  <c r="M4691" i="4"/>
  <c r="L4699" i="4"/>
  <c r="M4703" i="4"/>
  <c r="L4707" i="4"/>
  <c r="L4711" i="4"/>
  <c r="M4715" i="4"/>
  <c r="M4722" i="4"/>
  <c r="L4727" i="4"/>
  <c r="N4727" i="4" s="1"/>
  <c r="O4727" i="4" s="1"/>
  <c r="M4733" i="4"/>
  <c r="M4739" i="4"/>
  <c r="L4751" i="4"/>
  <c r="L4755" i="4"/>
  <c r="L4759" i="4"/>
  <c r="M4766" i="4"/>
  <c r="M4770" i="4"/>
  <c r="L4775" i="4"/>
  <c r="L4780" i="4"/>
  <c r="L4786" i="4"/>
  <c r="N4786" i="4" s="1"/>
  <c r="O4786" i="4" s="1"/>
  <c r="L4790" i="4"/>
  <c r="M4793" i="4"/>
  <c r="L4797" i="4"/>
  <c r="M4801" i="4"/>
  <c r="L4812" i="4"/>
  <c r="M4825" i="4"/>
  <c r="M4846" i="4"/>
  <c r="L4852" i="4"/>
  <c r="L4856" i="4"/>
  <c r="L4861" i="4"/>
  <c r="M4864" i="4"/>
  <c r="L4868" i="4"/>
  <c r="L4872" i="4"/>
  <c r="M4876" i="4"/>
  <c r="M4880" i="4"/>
  <c r="M4884" i="4"/>
  <c r="M4888" i="4"/>
  <c r="M4895" i="4"/>
  <c r="M4900" i="4"/>
  <c r="M4904" i="4"/>
  <c r="M4911" i="4"/>
  <c r="M4915" i="4"/>
  <c r="L4919" i="4"/>
  <c r="M4926" i="4"/>
  <c r="M4930" i="4"/>
  <c r="M4934" i="4"/>
  <c r="L4940" i="4"/>
  <c r="M4945" i="4"/>
  <c r="M4950" i="4"/>
  <c r="L4954" i="4"/>
  <c r="L4961" i="4"/>
  <c r="M4969" i="4"/>
  <c r="M4973" i="4"/>
  <c r="M4978" i="4"/>
  <c r="M4984" i="4"/>
  <c r="L4995" i="4"/>
  <c r="N4995" i="4" s="1"/>
  <c r="O4995" i="4" s="1"/>
  <c r="M5002" i="4"/>
  <c r="M5011" i="4"/>
  <c r="M5018" i="4"/>
  <c r="M5022" i="4"/>
  <c r="M5026" i="4"/>
  <c r="M5030" i="4"/>
  <c r="L5038" i="4"/>
  <c r="M5043" i="4"/>
  <c r="M5049" i="4"/>
  <c r="M5054" i="4"/>
  <c r="M5059" i="4"/>
  <c r="L5065" i="4"/>
  <c r="L5069" i="4"/>
  <c r="M5075" i="4"/>
  <c r="M5079" i="4"/>
  <c r="L5088" i="4"/>
  <c r="M5098" i="4"/>
  <c r="M5107" i="4"/>
  <c r="L5114" i="4"/>
  <c r="L5118" i="4"/>
  <c r="L5126" i="4"/>
  <c r="N5126" i="4" s="1"/>
  <c r="O5126" i="4" s="1"/>
  <c r="L5130" i="4"/>
  <c r="M5134" i="4"/>
  <c r="M5138" i="4"/>
  <c r="M5143" i="4"/>
  <c r="M5147" i="4"/>
  <c r="L5156" i="4"/>
  <c r="L5162" i="4"/>
  <c r="L5170" i="4"/>
  <c r="M5175" i="4"/>
  <c r="L5180" i="4"/>
  <c r="M5184" i="4"/>
  <c r="M5190" i="4"/>
  <c r="L5194" i="4"/>
  <c r="N5194" i="4" s="1"/>
  <c r="O5194" i="4" s="1"/>
  <c r="L5198" i="4"/>
  <c r="M5816" i="4"/>
  <c r="L5820" i="4"/>
  <c r="M5824" i="4"/>
  <c r="L5829" i="4"/>
  <c r="M5836" i="4"/>
  <c r="L5840" i="4"/>
  <c r="M5844" i="4"/>
  <c r="M5848" i="4"/>
  <c r="L5854" i="4"/>
  <c r="L5858" i="4"/>
  <c r="L5863" i="4"/>
  <c r="M5868" i="4"/>
  <c r="M5874" i="4"/>
  <c r="M5879" i="4"/>
  <c r="L5883" i="4"/>
  <c r="L5886" i="4"/>
  <c r="L5891" i="4"/>
  <c r="L5895" i="4"/>
  <c r="L5902" i="4"/>
  <c r="L5908" i="4"/>
  <c r="M5911" i="4"/>
  <c r="M5915" i="4"/>
  <c r="M5919" i="4"/>
  <c r="M5923" i="4"/>
  <c r="L5929" i="4"/>
  <c r="L5935" i="4"/>
  <c r="M5941" i="4"/>
  <c r="M5945" i="4"/>
  <c r="L5950" i="4"/>
  <c r="L5955" i="4"/>
  <c r="M5960" i="4"/>
  <c r="L5964" i="4"/>
  <c r="L5968" i="4"/>
  <c r="L5972" i="4"/>
  <c r="M5975" i="4"/>
  <c r="L5979" i="4"/>
  <c r="L5984" i="4"/>
  <c r="L5990" i="4"/>
  <c r="M5993" i="4"/>
  <c r="L5998" i="4"/>
  <c r="M2" i="4"/>
  <c r="M8" i="4"/>
  <c r="M13" i="4"/>
  <c r="M17" i="4"/>
  <c r="M28" i="4"/>
  <c r="L33" i="4"/>
  <c r="M37" i="4"/>
  <c r="L43" i="4"/>
  <c r="N43" i="4" s="1"/>
  <c r="O43" i="4" s="1"/>
  <c r="M51" i="4"/>
  <c r="L57" i="4"/>
  <c r="M63" i="4"/>
  <c r="L68" i="4"/>
  <c r="M72" i="4"/>
  <c r="M82" i="4"/>
  <c r="M88" i="4"/>
  <c r="M99" i="4"/>
  <c r="M105" i="4"/>
  <c r="M111" i="4"/>
  <c r="L115" i="4"/>
  <c r="M123" i="4"/>
  <c r="L129" i="4"/>
  <c r="M135" i="4"/>
  <c r="L145" i="4"/>
  <c r="M154" i="4"/>
  <c r="L160" i="4"/>
  <c r="N160" i="4" s="1"/>
  <c r="O160" i="4" s="1"/>
  <c r="M168" i="4"/>
  <c r="L174" i="4"/>
  <c r="L183" i="4"/>
  <c r="M191" i="4"/>
  <c r="M197" i="4"/>
  <c r="L203" i="4"/>
  <c r="M209" i="4"/>
  <c r="L213" i="4"/>
  <c r="M217" i="4"/>
  <c r="L222" i="4"/>
  <c r="L226" i="4"/>
  <c r="M231" i="4"/>
  <c r="L237" i="4"/>
  <c r="M243" i="4"/>
  <c r="M249" i="4"/>
  <c r="M255" i="4"/>
  <c r="M261" i="4"/>
  <c r="L265" i="4"/>
  <c r="M269" i="4"/>
  <c r="L279" i="4"/>
  <c r="L286" i="4"/>
  <c r="L299" i="4"/>
  <c r="L307" i="4"/>
  <c r="M311" i="4"/>
  <c r="L320" i="4"/>
  <c r="M324" i="4"/>
  <c r="M329" i="4"/>
  <c r="L336" i="4"/>
  <c r="M344" i="4"/>
  <c r="M350" i="4"/>
  <c r="M355" i="4"/>
  <c r="M359" i="4"/>
  <c r="L364" i="4"/>
  <c r="L368" i="4"/>
  <c r="M372" i="4"/>
  <c r="L383" i="4"/>
  <c r="M388" i="4"/>
  <c r="L392" i="4"/>
  <c r="M400" i="4"/>
  <c r="L409" i="4"/>
  <c r="L413" i="4"/>
  <c r="L417" i="4"/>
  <c r="M424" i="4"/>
  <c r="L432" i="4"/>
  <c r="M438" i="4"/>
  <c r="L1494" i="4"/>
  <c r="M1501" i="4"/>
  <c r="M1507" i="4"/>
  <c r="L1512" i="4"/>
  <c r="M1516" i="4"/>
  <c r="L1520" i="4"/>
  <c r="M1524" i="4"/>
  <c r="L1528" i="4"/>
  <c r="M1532" i="4"/>
  <c r="L1536" i="4"/>
  <c r="L1540" i="4"/>
  <c r="M1544" i="4"/>
  <c r="L1549" i="4"/>
  <c r="M1553" i="4"/>
  <c r="M1560" i="4"/>
  <c r="M1564" i="4"/>
  <c r="M1569" i="4"/>
  <c r="M1573" i="4"/>
  <c r="L1577" i="4"/>
  <c r="L1581" i="4"/>
  <c r="L1585" i="4"/>
  <c r="L1589" i="4"/>
  <c r="M1595" i="4"/>
  <c r="M1600" i="4"/>
  <c r="L1604" i="4"/>
  <c r="M1609" i="4"/>
  <c r="L1613" i="4"/>
  <c r="M1622" i="4"/>
  <c r="L1631" i="4"/>
  <c r="M1637" i="4"/>
  <c r="M1642" i="4"/>
  <c r="M1648" i="4"/>
  <c r="M1654" i="4"/>
  <c r="M1662" i="4"/>
  <c r="M1673" i="4"/>
  <c r="L1679" i="4"/>
  <c r="L1683" i="4"/>
  <c r="M1687" i="4"/>
  <c r="L1694" i="4"/>
  <c r="M1705" i="4"/>
  <c r="M1709" i="4"/>
  <c r="M1713" i="4"/>
  <c r="L1717" i="4"/>
  <c r="M1721" i="4"/>
  <c r="L1725" i="4"/>
  <c r="M1731" i="4"/>
  <c r="L1737" i="4"/>
  <c r="M1741" i="4"/>
  <c r="M1745" i="4"/>
  <c r="M1751" i="4"/>
  <c r="M1755" i="4"/>
  <c r="M1759" i="4"/>
  <c r="L1773" i="4"/>
  <c r="M1779" i="4"/>
  <c r="M1783" i="4"/>
  <c r="L1789" i="4"/>
  <c r="L1793" i="4"/>
  <c r="M1797" i="4"/>
  <c r="M1805" i="4"/>
  <c r="M1809" i="4"/>
  <c r="L1817" i="4"/>
  <c r="M1825" i="4"/>
  <c r="L1829" i="4"/>
  <c r="L1833" i="4"/>
  <c r="L1837" i="4"/>
  <c r="M1844" i="4"/>
  <c r="M1848" i="4"/>
  <c r="L1852" i="4"/>
  <c r="L1856" i="4"/>
  <c r="N1856" i="4" s="1"/>
  <c r="O1856" i="4" s="1"/>
  <c r="M1860" i="4"/>
  <c r="M1864" i="4"/>
  <c r="M1868" i="4"/>
  <c r="M1874" i="4"/>
  <c r="M1880" i="4"/>
  <c r="L1884" i="4"/>
  <c r="L1889" i="4"/>
  <c r="M1898" i="4"/>
  <c r="M1909" i="4"/>
  <c r="M1913" i="4"/>
  <c r="L1918" i="4"/>
  <c r="L1928" i="4"/>
  <c r="M1933" i="4"/>
  <c r="L1937" i="4"/>
  <c r="L1940" i="4"/>
  <c r="L1948" i="4"/>
  <c r="L1953" i="4"/>
  <c r="L1974" i="4"/>
  <c r="L1978" i="4"/>
  <c r="M1988" i="4"/>
  <c r="L1992" i="4"/>
  <c r="L1996" i="4"/>
  <c r="L2000" i="4"/>
  <c r="L2007" i="4"/>
  <c r="L2011" i="4"/>
  <c r="M2019" i="4"/>
  <c r="M2025" i="4"/>
  <c r="M2031" i="4"/>
  <c r="L2042" i="4"/>
  <c r="L2046" i="4"/>
  <c r="M2050" i="4"/>
  <c r="L2054" i="4"/>
  <c r="M2063" i="4"/>
  <c r="L2067" i="4"/>
  <c r="L2075" i="4"/>
  <c r="L2081" i="4"/>
  <c r="M2086" i="4"/>
  <c r="L2090" i="4"/>
  <c r="L2094" i="4"/>
  <c r="M2098" i="4"/>
  <c r="M2102" i="4"/>
  <c r="M2106" i="4"/>
  <c r="L2111" i="4"/>
  <c r="L2115" i="4"/>
  <c r="L2124" i="4"/>
  <c r="L2128" i="4"/>
  <c r="L2135" i="4"/>
  <c r="L2139" i="4"/>
  <c r="N2139" i="4" s="1"/>
  <c r="O2139" i="4" s="1"/>
  <c r="M2143" i="4"/>
  <c r="M2147" i="4"/>
  <c r="L2153" i="4"/>
  <c r="M2159" i="4"/>
  <c r="M2164" i="4"/>
  <c r="L2169" i="4"/>
  <c r="L2179" i="4"/>
  <c r="L2183" i="4"/>
  <c r="L2192" i="4"/>
  <c r="L2198" i="4"/>
  <c r="L2206" i="4"/>
  <c r="M2211" i="4"/>
  <c r="M2215" i="4"/>
  <c r="M2226" i="4"/>
  <c r="M2230" i="4"/>
  <c r="L2235" i="4"/>
  <c r="M2239" i="4"/>
  <c r="L2244" i="4"/>
  <c r="L2249" i="4"/>
  <c r="L2255" i="4"/>
  <c r="M2263" i="4"/>
  <c r="M2267" i="4"/>
  <c r="M2272" i="4"/>
  <c r="L2276" i="4"/>
  <c r="L2280" i="4"/>
  <c r="L2284" i="4"/>
  <c r="M2288" i="4"/>
  <c r="M2293" i="4"/>
  <c r="L2300" i="4"/>
  <c r="L2304" i="4"/>
  <c r="L2308" i="4"/>
  <c r="M2312" i="4"/>
  <c r="M2320" i="4"/>
  <c r="L2324" i="4"/>
  <c r="M2334" i="4"/>
  <c r="L2338" i="4"/>
  <c r="L2342" i="4"/>
  <c r="M2346" i="4"/>
  <c r="M2350" i="4"/>
  <c r="M2356" i="4"/>
  <c r="L2360" i="4"/>
  <c r="M2364" i="4"/>
  <c r="L2368" i="4"/>
  <c r="L2372" i="4"/>
  <c r="N2372" i="4" s="1"/>
  <c r="O2372" i="4" s="1"/>
  <c r="M2377" i="4"/>
  <c r="L2381" i="4"/>
  <c r="L2386" i="4"/>
  <c r="M2392" i="4"/>
  <c r="L2396" i="4"/>
  <c r="M2401" i="4"/>
  <c r="M2406" i="4"/>
  <c r="L2410" i="4"/>
  <c r="L2414" i="4"/>
  <c r="M2420" i="4"/>
  <c r="M2423" i="4"/>
  <c r="M2434" i="4"/>
  <c r="M2438" i="4"/>
  <c r="M2446" i="4"/>
  <c r="L2450" i="4"/>
  <c r="L2454" i="4"/>
  <c r="M2458" i="4"/>
  <c r="M2463" i="4"/>
  <c r="L2467" i="4"/>
  <c r="M2471" i="4"/>
  <c r="M2475" i="4"/>
  <c r="L2483" i="4"/>
  <c r="M2487" i="4"/>
  <c r="M2492" i="4"/>
  <c r="L2496" i="4"/>
  <c r="L2507" i="4"/>
  <c r="L2512" i="4"/>
  <c r="L2517" i="4"/>
  <c r="M2520" i="4"/>
  <c r="M2532" i="4"/>
  <c r="L2545" i="4"/>
  <c r="L2556" i="4"/>
  <c r="M2560" i="4"/>
  <c r="L2568" i="4"/>
  <c r="M2571" i="4"/>
  <c r="M2577" i="4"/>
  <c r="L2581" i="4"/>
  <c r="L2585" i="4"/>
  <c r="M2589" i="4"/>
  <c r="M2593" i="4"/>
  <c r="L2597" i="4"/>
  <c r="M2601" i="4"/>
  <c r="L2605" i="4"/>
  <c r="L2609" i="4"/>
  <c r="L2613" i="4"/>
  <c r="L2617" i="4"/>
  <c r="M2622" i="4"/>
  <c r="L2626" i="4"/>
  <c r="M2630" i="4"/>
  <c r="L2634" i="4"/>
  <c r="L2640" i="4"/>
  <c r="M2644" i="4"/>
  <c r="L2649" i="4"/>
  <c r="L2653" i="4"/>
  <c r="M2657" i="4"/>
  <c r="M2664" i="4"/>
  <c r="M2668" i="4"/>
  <c r="L2672" i="4"/>
  <c r="L2676" i="4"/>
  <c r="M2680" i="4"/>
  <c r="M2691" i="4"/>
  <c r="L2695" i="4"/>
  <c r="L2700" i="4"/>
  <c r="L2704" i="4"/>
  <c r="N2704" i="4" s="1"/>
  <c r="O2704" i="4" s="1"/>
  <c r="M2708" i="4"/>
  <c r="L2712" i="4"/>
  <c r="L2716" i="4"/>
  <c r="N2716" i="4" s="1"/>
  <c r="O2716" i="4" s="1"/>
  <c r="M2720" i="4"/>
  <c r="M2726" i="4"/>
  <c r="L2731" i="4"/>
  <c r="M2735" i="4"/>
  <c r="M2742" i="4"/>
  <c r="M2752" i="4"/>
  <c r="L2756" i="4"/>
  <c r="L2760" i="4"/>
  <c r="M2764" i="4"/>
  <c r="L2768" i="4"/>
  <c r="N2768" i="4" s="1"/>
  <c r="O2768" i="4" s="1"/>
  <c r="M2779" i="4"/>
  <c r="M2785" i="4"/>
  <c r="L2791" i="4"/>
  <c r="M2795" i="4"/>
  <c r="L2799" i="4"/>
  <c r="L2805" i="4"/>
  <c r="L2809" i="4"/>
  <c r="L2813" i="4"/>
  <c r="L2817" i="4"/>
  <c r="M2821" i="4"/>
  <c r="M2826" i="4"/>
  <c r="N2826" i="4" s="1"/>
  <c r="O2826" i="4" s="1"/>
  <c r="L2830" i="4"/>
  <c r="L2834" i="4"/>
  <c r="L2838" i="4"/>
  <c r="M2842" i="4"/>
  <c r="M2846" i="4"/>
  <c r="L2852" i="4"/>
  <c r="N2852" i="4" s="1"/>
  <c r="O2852" i="4" s="1"/>
  <c r="M2857" i="4"/>
  <c r="L2865" i="4"/>
  <c r="M2869" i="4"/>
  <c r="M2873" i="4"/>
  <c r="M2879" i="4"/>
  <c r="M2885" i="4"/>
  <c r="M2889" i="4"/>
  <c r="L2899" i="4"/>
  <c r="M2903" i="4"/>
  <c r="L2907" i="4"/>
  <c r="N2907" i="4" s="1"/>
  <c r="O2907" i="4" s="1"/>
  <c r="M2911" i="4"/>
  <c r="L2919" i="4"/>
  <c r="N2919" i="4" s="1"/>
  <c r="O2919" i="4" s="1"/>
  <c r="M2923" i="4"/>
  <c r="L2931" i="4"/>
  <c r="L2935" i="4"/>
  <c r="L2939" i="4"/>
  <c r="L2944" i="4"/>
  <c r="L2949" i="4"/>
  <c r="L2953" i="4"/>
  <c r="M2957" i="4"/>
  <c r="L2963" i="4"/>
  <c r="L2967" i="4"/>
  <c r="M2971" i="4"/>
  <c r="M2978" i="4"/>
  <c r="L2987" i="4"/>
  <c r="M2990" i="4"/>
  <c r="L2996" i="4"/>
  <c r="M3000" i="4"/>
  <c r="L3008" i="4"/>
  <c r="N3008" i="4" s="1"/>
  <c r="O3008" i="4" s="1"/>
  <c r="M3019" i="4"/>
  <c r="L3023" i="4"/>
  <c r="M3027" i="4"/>
  <c r="M3032" i="4"/>
  <c r="M3038" i="4"/>
  <c r="L3042" i="4"/>
  <c r="M3051" i="4"/>
  <c r="M3063" i="4"/>
  <c r="L3071" i="4"/>
  <c r="M3075" i="4"/>
  <c r="M3079" i="4"/>
  <c r="L3083" i="4"/>
  <c r="M3087" i="4"/>
  <c r="M3093" i="4"/>
  <c r="L3097" i="4"/>
  <c r="L3101" i="4"/>
  <c r="L3107" i="4"/>
  <c r="M3111" i="4"/>
  <c r="M3116" i="4"/>
  <c r="L3120" i="4"/>
  <c r="L3124" i="4"/>
  <c r="M3131" i="4"/>
  <c r="M3136" i="4"/>
  <c r="M3140" i="4"/>
  <c r="L3144" i="4"/>
  <c r="M3151" i="4"/>
  <c r="L3155" i="4"/>
  <c r="L3159" i="4"/>
  <c r="M3163" i="4"/>
  <c r="M3168" i="4"/>
  <c r="L3175" i="4"/>
  <c r="M3183" i="4"/>
  <c r="L3189" i="4"/>
  <c r="M3193" i="4"/>
  <c r="L3197" i="4"/>
  <c r="M3201" i="4"/>
  <c r="L3205" i="4"/>
  <c r="L3209" i="4"/>
  <c r="M3214" i="4"/>
  <c r="L3218" i="4"/>
  <c r="N3218" i="4" s="1"/>
  <c r="O3218" i="4" s="1"/>
  <c r="M3223" i="4"/>
  <c r="M3227" i="4"/>
  <c r="L3231" i="4"/>
  <c r="M3235" i="4"/>
  <c r="M3240" i="4"/>
  <c r="L3245" i="4"/>
  <c r="L3249" i="4"/>
  <c r="M3256" i="4"/>
  <c r="M3260" i="4"/>
  <c r="M3264" i="4"/>
  <c r="L3269" i="4"/>
  <c r="L3280" i="4"/>
  <c r="M3284" i="4"/>
  <c r="L3291" i="4"/>
  <c r="M3296" i="4"/>
  <c r="L3303" i="4"/>
  <c r="L3307" i="4"/>
  <c r="M3311" i="4"/>
  <c r="M3315" i="4"/>
  <c r="M3319" i="4"/>
  <c r="M3323" i="4"/>
  <c r="L3327" i="4"/>
  <c r="N3327" i="4" s="1"/>
  <c r="O3327" i="4" s="1"/>
  <c r="M3331" i="4"/>
  <c r="M3336" i="4"/>
  <c r="M3340" i="4"/>
  <c r="L3350" i="4"/>
  <c r="L3354" i="4"/>
  <c r="M3360" i="4"/>
  <c r="M3367" i="4"/>
  <c r="M3371" i="4"/>
  <c r="M3375" i="4"/>
  <c r="M3379" i="4"/>
  <c r="M3383" i="4"/>
  <c r="L3387" i="4"/>
  <c r="L3391" i="4"/>
  <c r="M3395" i="4"/>
  <c r="L3402" i="4"/>
  <c r="L3406" i="4"/>
  <c r="L3410" i="4"/>
  <c r="L3414" i="4"/>
  <c r="L3418" i="4"/>
  <c r="L3424" i="4"/>
  <c r="M3428" i="4"/>
  <c r="L3435" i="4"/>
  <c r="M3439" i="4"/>
  <c r="M3443" i="4"/>
  <c r="M3449" i="4"/>
  <c r="M3457" i="4"/>
  <c r="L3461" i="4"/>
  <c r="M3473" i="4"/>
  <c r="L3477" i="4"/>
  <c r="M3480" i="4"/>
  <c r="L3484" i="4"/>
  <c r="L3489" i="4"/>
  <c r="M3494" i="4"/>
  <c r="M3500" i="4"/>
  <c r="L3510" i="4"/>
  <c r="N3510" i="4" s="1"/>
  <c r="O3510" i="4" s="1"/>
  <c r="L3521" i="4"/>
  <c r="M3527" i="4"/>
  <c r="L3531" i="4"/>
  <c r="M3545" i="4"/>
  <c r="M3549" i="4"/>
  <c r="M3553" i="4"/>
  <c r="L3559" i="4"/>
  <c r="N3559" i="4" s="1"/>
  <c r="O3559" i="4" s="1"/>
  <c r="L3563" i="4"/>
  <c r="M3567" i="4"/>
  <c r="L3571" i="4"/>
  <c r="L3575" i="4"/>
  <c r="L3579" i="4"/>
  <c r="M3583" i="4"/>
  <c r="L3587" i="4"/>
  <c r="M3591" i="4"/>
  <c r="L3597" i="4"/>
  <c r="L3604" i="4"/>
  <c r="N3604" i="4" s="1"/>
  <c r="O3604" i="4" s="1"/>
  <c r="L3608" i="4"/>
  <c r="M3613" i="4"/>
  <c r="M3619" i="4"/>
  <c r="M3625" i="4"/>
  <c r="M3635" i="4"/>
  <c r="L3641" i="4"/>
  <c r="L3645" i="4"/>
  <c r="M3652" i="4"/>
  <c r="L3658" i="4"/>
  <c r="M3669" i="4"/>
  <c r="L3684" i="4"/>
  <c r="L3690" i="4"/>
  <c r="N3690" i="4" s="1"/>
  <c r="O3690" i="4" s="1"/>
  <c r="L3696" i="4"/>
  <c r="L3700" i="4"/>
  <c r="N3700" i="4" s="1"/>
  <c r="O3700" i="4" s="1"/>
  <c r="L3707" i="4"/>
  <c r="M3711" i="4"/>
  <c r="L3717" i="4"/>
  <c r="L3721" i="4"/>
  <c r="N3721" i="4" s="1"/>
  <c r="O3721" i="4" s="1"/>
  <c r="M3725" i="4"/>
  <c r="L3729" i="4"/>
  <c r="M3733" i="4"/>
  <c r="L3737" i="4"/>
  <c r="M3741" i="4"/>
  <c r="L3748" i="4"/>
  <c r="M3752" i="4"/>
  <c r="M3761" i="4"/>
  <c r="M3765" i="4"/>
  <c r="M3770" i="4"/>
  <c r="L3828" i="4"/>
  <c r="M3832" i="4"/>
  <c r="L3840" i="4"/>
  <c r="M3846" i="4"/>
  <c r="L3850" i="4"/>
  <c r="N3850" i="4" s="1"/>
  <c r="O3850" i="4" s="1"/>
  <c r="L3855" i="4"/>
  <c r="N3855" i="4" s="1"/>
  <c r="O3855" i="4" s="1"/>
  <c r="M3859" i="4"/>
  <c r="M3863" i="4"/>
  <c r="L3869" i="4"/>
  <c r="L3873" i="4"/>
  <c r="M3878" i="4"/>
  <c r="M3885" i="4"/>
  <c r="L3889" i="4"/>
  <c r="L3893" i="4"/>
  <c r="M3897" i="4"/>
  <c r="L3905" i="4"/>
  <c r="L3909" i="4"/>
  <c r="M3924" i="4"/>
  <c r="M3929" i="4"/>
  <c r="L3935" i="4"/>
  <c r="M3943" i="4"/>
  <c r="M3947" i="4"/>
  <c r="L3951" i="4"/>
  <c r="M3955" i="4"/>
  <c r="M3963" i="4"/>
  <c r="L3969" i="4"/>
  <c r="M3975" i="4"/>
  <c r="M3985" i="4"/>
  <c r="L3988" i="4"/>
  <c r="M3996" i="4"/>
  <c r="L4012" i="4"/>
  <c r="L4024" i="4"/>
  <c r="M4033" i="4"/>
  <c r="M4037" i="4"/>
  <c r="M4041" i="4"/>
  <c r="L4048" i="4"/>
  <c r="N4048" i="4" s="1"/>
  <c r="O4048" i="4" s="1"/>
  <c r="L4053" i="4"/>
  <c r="M4057" i="4"/>
  <c r="L4066" i="4"/>
  <c r="M4072" i="4"/>
  <c r="L4085" i="4"/>
  <c r="N4085" i="4" s="1"/>
  <c r="O4085" i="4" s="1"/>
  <c r="L4089" i="4"/>
  <c r="L4093" i="4"/>
  <c r="M4099" i="4"/>
  <c r="L4105" i="4"/>
  <c r="L4109" i="4"/>
  <c r="M4114" i="4"/>
  <c r="M4124" i="4"/>
  <c r="L4128" i="4"/>
  <c r="M4132" i="4"/>
  <c r="L4139" i="4"/>
  <c r="M4143" i="4"/>
  <c r="L4148" i="4"/>
  <c r="N4148" i="4" s="1"/>
  <c r="O4148" i="4" s="1"/>
  <c r="L4152" i="4"/>
  <c r="M4157" i="4"/>
  <c r="L4163" i="4"/>
  <c r="L4167" i="4"/>
  <c r="M4174" i="4"/>
  <c r="L4178" i="4"/>
  <c r="N4178" i="4" s="1"/>
  <c r="O4178" i="4" s="1"/>
  <c r="L4182" i="4"/>
  <c r="M4187" i="4"/>
  <c r="L4191" i="4"/>
  <c r="L4197" i="4"/>
  <c r="L4203" i="4"/>
  <c r="M4214" i="4"/>
  <c r="L4223" i="4"/>
  <c r="N4223" i="4" s="1"/>
  <c r="O4223" i="4" s="1"/>
  <c r="L4230" i="4"/>
  <c r="L4238" i="4"/>
  <c r="N4238" i="4" s="1"/>
  <c r="O4238" i="4" s="1"/>
  <c r="M4242" i="4"/>
  <c r="M4246" i="4"/>
  <c r="M4251" i="4"/>
  <c r="M4257" i="4"/>
  <c r="M4263" i="4"/>
  <c r="L4267" i="4"/>
  <c r="N4267" i="4" s="1"/>
  <c r="O4267" i="4" s="1"/>
  <c r="M4271" i="4"/>
  <c r="M4274" i="4"/>
  <c r="M4278" i="4"/>
  <c r="M4282" i="4"/>
  <c r="M4286" i="4"/>
  <c r="L4292" i="4"/>
  <c r="M4297" i="4"/>
  <c r="L4303" i="4"/>
  <c r="M4309" i="4"/>
  <c r="L4315" i="4"/>
  <c r="L4319" i="4"/>
  <c r="N4319" i="4" s="1"/>
  <c r="O4319" i="4" s="1"/>
  <c r="L4323" i="4"/>
  <c r="L4327" i="4"/>
  <c r="N4327" i="4" s="1"/>
  <c r="O4327" i="4" s="1"/>
  <c r="L4334" i="4"/>
  <c r="N4334" i="4" s="1"/>
  <c r="O4334" i="4" s="1"/>
  <c r="M4338" i="4"/>
  <c r="M4342" i="4"/>
  <c r="L4346" i="4"/>
  <c r="M4350" i="4"/>
  <c r="M4357" i="4"/>
  <c r="M4363" i="4"/>
  <c r="L4372" i="4"/>
  <c r="L4376" i="4"/>
  <c r="M4381" i="4"/>
  <c r="M4385" i="4"/>
  <c r="L4389" i="4"/>
  <c r="L4393" i="4"/>
  <c r="N4393" i="4" s="1"/>
  <c r="O4393" i="4" s="1"/>
  <c r="M4397" i="4"/>
  <c r="L4403" i="4"/>
  <c r="L4408" i="4"/>
  <c r="M4412" i="4"/>
  <c r="M4421" i="4"/>
  <c r="L4426" i="4"/>
  <c r="M4430" i="4"/>
  <c r="M4439" i="4"/>
  <c r="M4443" i="4"/>
  <c r="L4447" i="4"/>
  <c r="N4447" i="4" s="1"/>
  <c r="O4447" i="4" s="1"/>
  <c r="L4451" i="4"/>
  <c r="N4451" i="4" s="1"/>
  <c r="O4451" i="4" s="1"/>
  <c r="M4456" i="4"/>
  <c r="M4460" i="4"/>
  <c r="L4465" i="4"/>
  <c r="L4469" i="4"/>
  <c r="N4469" i="4" s="1"/>
  <c r="O4469" i="4" s="1"/>
  <c r="M4473" i="4"/>
  <c r="L4477" i="4"/>
  <c r="N4477" i="4" s="1"/>
  <c r="O4477" i="4" s="1"/>
  <c r="L4481" i="4"/>
  <c r="N4481" i="4" s="1"/>
  <c r="O4481" i="4" s="1"/>
  <c r="L4485" i="4"/>
  <c r="L4489" i="4"/>
  <c r="M4493" i="4"/>
  <c r="L4497" i="4"/>
  <c r="N4497" i="4" s="1"/>
  <c r="O4497" i="4" s="1"/>
  <c r="M4501" i="4"/>
  <c r="L4505" i="4"/>
  <c r="L4509" i="4"/>
  <c r="M4514" i="4"/>
  <c r="M4518" i="4"/>
  <c r="M4524" i="4"/>
  <c r="L4532" i="4"/>
  <c r="L4537" i="4"/>
  <c r="N4537" i="4" s="1"/>
  <c r="O4537" i="4" s="1"/>
  <c r="L4541" i="4"/>
  <c r="N4541" i="4" s="1"/>
  <c r="O4541" i="4" s="1"/>
  <c r="M4546" i="4"/>
  <c r="L4550" i="4"/>
  <c r="L4554" i="4"/>
  <c r="M4558" i="4"/>
  <c r="M4562" i="4"/>
  <c r="L4569" i="4"/>
  <c r="M4583" i="4"/>
  <c r="L4587" i="4"/>
  <c r="L4591" i="4"/>
  <c r="M4598" i="4"/>
  <c r="L4602" i="4"/>
  <c r="N4602" i="4" s="1"/>
  <c r="O4602" i="4" s="1"/>
  <c r="L4609" i="4"/>
  <c r="N4609" i="4" s="1"/>
  <c r="O4609" i="4" s="1"/>
  <c r="L4613" i="4"/>
  <c r="M4618" i="4"/>
  <c r="L4630" i="4"/>
  <c r="M4646" i="4"/>
  <c r="L4652" i="4"/>
  <c r="M4656" i="4"/>
  <c r="M4670" i="4"/>
  <c r="M4675" i="4"/>
  <c r="L4679" i="4"/>
  <c r="L4685" i="4"/>
  <c r="L4689" i="4"/>
  <c r="M4696" i="4"/>
  <c r="L4709" i="4"/>
  <c r="L4713" i="4"/>
  <c r="M4717" i="4"/>
  <c r="M4729" i="4"/>
  <c r="M4734" i="4"/>
  <c r="L4738" i="4"/>
  <c r="L4744" i="4"/>
  <c r="M4748" i="4"/>
  <c r="L4752" i="4"/>
  <c r="M4756" i="4"/>
  <c r="L4761" i="4"/>
  <c r="M4765" i="4"/>
  <c r="M4769" i="4"/>
  <c r="M4782" i="4"/>
  <c r="M4785" i="4"/>
  <c r="M4789" i="4"/>
  <c r="M4796" i="4"/>
  <c r="M4799" i="4"/>
  <c r="M4803" i="4"/>
  <c r="L4809" i="4"/>
  <c r="M4814" i="4"/>
  <c r="M4819" i="4"/>
  <c r="M4823" i="4"/>
  <c r="L4830" i="4"/>
  <c r="M4836" i="4"/>
  <c r="M4847" i="4"/>
  <c r="M4872" i="4"/>
  <c r="M4877" i="4"/>
  <c r="M4883" i="4"/>
  <c r="L4888" i="4"/>
  <c r="L4892" i="4"/>
  <c r="L4896" i="4"/>
  <c r="L4900" i="4"/>
  <c r="L4904" i="4"/>
  <c r="L4908" i="4"/>
  <c r="L4912" i="4"/>
  <c r="M4916" i="4"/>
  <c r="L4920" i="4"/>
  <c r="L4932" i="4"/>
  <c r="M4936" i="4"/>
  <c r="M4943" i="4"/>
  <c r="L4949" i="4"/>
  <c r="M4953" i="4"/>
  <c r="L4958" i="4"/>
  <c r="L4962" i="4"/>
  <c r="L4969" i="4"/>
  <c r="L4973" i="4"/>
  <c r="M4977" i="4"/>
  <c r="M4982" i="4"/>
  <c r="L4986" i="4"/>
  <c r="M5000" i="4"/>
  <c r="M5007" i="4"/>
  <c r="M5013" i="4"/>
  <c r="L5021" i="4"/>
  <c r="M5027" i="4"/>
  <c r="M5031" i="4"/>
  <c r="M5037" i="4"/>
  <c r="L5041" i="4"/>
  <c r="M5045" i="4"/>
  <c r="M5052" i="4"/>
  <c r="L5057" i="4"/>
  <c r="M5065" i="4"/>
  <c r="M5069" i="4"/>
  <c r="L5073" i="4"/>
  <c r="L5078" i="4"/>
  <c r="L5082" i="4"/>
  <c r="M5086" i="4"/>
  <c r="L5090" i="4"/>
  <c r="L5096" i="4"/>
  <c r="L5100" i="4"/>
  <c r="M5104" i="4"/>
  <c r="L5108" i="4"/>
  <c r="M5112" i="4"/>
  <c r="L5120" i="4"/>
  <c r="M5124" i="4"/>
  <c r="M5129" i="4"/>
  <c r="M5133" i="4"/>
  <c r="M5137" i="4"/>
  <c r="M5142" i="4"/>
  <c r="M5152" i="4"/>
  <c r="L5155" i="4"/>
  <c r="L5159" i="4"/>
  <c r="L5164" i="4"/>
  <c r="M5171" i="4"/>
  <c r="L5177" i="4"/>
  <c r="L5181" i="4"/>
  <c r="L5188" i="4"/>
  <c r="L5196" i="4"/>
  <c r="L5815" i="4"/>
  <c r="L5821" i="4"/>
  <c r="M5825" i="4"/>
  <c r="M5834" i="4"/>
  <c r="L5838" i="4"/>
  <c r="L5846" i="4"/>
  <c r="L5850" i="4"/>
  <c r="M5855" i="4"/>
  <c r="M5859" i="4"/>
  <c r="M5865" i="4"/>
  <c r="L5870" i="4"/>
  <c r="L5874" i="4"/>
  <c r="L5882" i="4"/>
  <c r="M5886" i="4"/>
  <c r="L5890" i="4"/>
  <c r="M5894" i="4"/>
  <c r="M5900" i="4"/>
  <c r="L5905" i="4"/>
  <c r="L5909" i="4"/>
  <c r="M5912" i="4"/>
  <c r="L5916" i="4"/>
  <c r="M5920" i="4"/>
  <c r="M5927" i="4"/>
  <c r="L5933" i="4"/>
  <c r="L5940" i="4"/>
  <c r="L5944" i="4"/>
  <c r="N5944" i="4" s="1"/>
  <c r="O5944" i="4" s="1"/>
  <c r="L5948" i="4"/>
  <c r="L5952" i="4"/>
  <c r="M5955" i="4"/>
  <c r="L5959" i="4"/>
  <c r="M5963" i="4"/>
  <c r="L5967" i="4"/>
  <c r="M5971" i="4"/>
  <c r="N5971" i="4" s="1"/>
  <c r="O5971" i="4" s="1"/>
  <c r="L5976" i="4"/>
  <c r="L5983" i="4"/>
  <c r="N5983" i="4" s="1"/>
  <c r="O5983" i="4" s="1"/>
  <c r="M5988" i="4"/>
  <c r="M5994" i="4"/>
  <c r="N5994" i="4" s="1"/>
  <c r="O5994" i="4" s="1"/>
  <c r="M5998" i="4"/>
  <c r="M10" i="4"/>
  <c r="L17" i="4"/>
  <c r="N17" i="4" s="1"/>
  <c r="M26" i="4"/>
  <c r="L32" i="4"/>
  <c r="L36" i="4"/>
  <c r="M42" i="4"/>
  <c r="M48" i="4"/>
  <c r="L61" i="4"/>
  <c r="L66" i="4"/>
  <c r="L70" i="4"/>
  <c r="L75" i="4"/>
  <c r="M79" i="4"/>
  <c r="M83" i="4"/>
  <c r="M93" i="4"/>
  <c r="L98" i="4"/>
  <c r="M102" i="4"/>
  <c r="L110" i="4"/>
  <c r="L119" i="4"/>
  <c r="M125" i="4"/>
  <c r="L131" i="4"/>
  <c r="L135" i="4"/>
  <c r="M141" i="4"/>
  <c r="M146" i="4"/>
  <c r="L150" i="4"/>
  <c r="M155" i="4"/>
  <c r="L162" i="4"/>
  <c r="M166" i="4"/>
  <c r="L171" i="4"/>
  <c r="L175" i="4"/>
  <c r="L179" i="4"/>
  <c r="L186" i="4"/>
  <c r="L191" i="4"/>
  <c r="L196" i="4"/>
  <c r="L201" i="4"/>
  <c r="M206" i="4"/>
  <c r="L211" i="4"/>
  <c r="M215" i="4"/>
  <c r="M220" i="4"/>
  <c r="M227" i="4"/>
  <c r="L236" i="4"/>
  <c r="L240" i="4"/>
  <c r="M245" i="4"/>
  <c r="L252" i="4"/>
  <c r="L259" i="4"/>
  <c r="M265" i="4"/>
  <c r="M271" i="4"/>
  <c r="L278" i="4"/>
  <c r="M286" i="4"/>
  <c r="L290" i="4"/>
  <c r="M297" i="4"/>
  <c r="M301" i="4"/>
  <c r="L306" i="4"/>
  <c r="M310" i="4"/>
  <c r="L318" i="4"/>
  <c r="M322" i="4"/>
  <c r="L330" i="4"/>
  <c r="L337" i="4"/>
  <c r="L341" i="4"/>
  <c r="L345" i="4"/>
  <c r="L349" i="4"/>
  <c r="L353" i="4"/>
  <c r="N353" i="4" s="1"/>
  <c r="O353" i="4" s="1"/>
  <c r="M361" i="4"/>
  <c r="L372" i="4"/>
  <c r="M378" i="4"/>
  <c r="M386" i="4"/>
  <c r="M390" i="4"/>
  <c r="M395" i="4"/>
  <c r="M399" i="4"/>
  <c r="M406" i="4"/>
  <c r="M411" i="4"/>
  <c r="L415" i="4"/>
  <c r="L420" i="4"/>
  <c r="L424" i="4"/>
  <c r="L434" i="4"/>
  <c r="M443" i="4"/>
  <c r="L444" i="4"/>
  <c r="M444" i="4"/>
  <c r="L445" i="4"/>
  <c r="M445" i="4"/>
  <c r="L446" i="4"/>
  <c r="M446" i="4"/>
  <c r="L447" i="4"/>
  <c r="M447" i="4"/>
  <c r="L448" i="4"/>
  <c r="M448" i="4"/>
  <c r="L449" i="4"/>
  <c r="M449" i="4"/>
  <c r="L450" i="4"/>
  <c r="M450" i="4"/>
  <c r="L451" i="4"/>
  <c r="M451" i="4"/>
  <c r="L452" i="4"/>
  <c r="M452" i="4"/>
  <c r="L453" i="4"/>
  <c r="M453" i="4"/>
  <c r="L454" i="4"/>
  <c r="M454" i="4"/>
  <c r="L455" i="4"/>
  <c r="M455" i="4"/>
  <c r="L456" i="4"/>
  <c r="M456" i="4"/>
  <c r="L457" i="4"/>
  <c r="M457" i="4"/>
  <c r="L458" i="4"/>
  <c r="M458" i="4"/>
  <c r="L459" i="4"/>
  <c r="M459" i="4"/>
  <c r="L460" i="4"/>
  <c r="M460" i="4"/>
  <c r="L461" i="4"/>
  <c r="M461" i="4"/>
  <c r="L462" i="4"/>
  <c r="M462" i="4"/>
  <c r="L463" i="4"/>
  <c r="M463" i="4"/>
  <c r="L464" i="4"/>
  <c r="M464" i="4"/>
  <c r="L465" i="4"/>
  <c r="M465" i="4"/>
  <c r="L466" i="4"/>
  <c r="M466" i="4"/>
  <c r="L467" i="4"/>
  <c r="M467" i="4"/>
  <c r="L468" i="4"/>
  <c r="M468" i="4"/>
  <c r="L469" i="4"/>
  <c r="M469" i="4"/>
  <c r="L470" i="4"/>
  <c r="M470" i="4"/>
  <c r="L471" i="4"/>
  <c r="M471" i="4"/>
  <c r="L472" i="4"/>
  <c r="M472" i="4"/>
  <c r="L473" i="4"/>
  <c r="M473" i="4"/>
  <c r="L474" i="4"/>
  <c r="M474" i="4"/>
  <c r="L475" i="4"/>
  <c r="M475" i="4"/>
  <c r="L476" i="4"/>
  <c r="M476" i="4"/>
  <c r="L477" i="4"/>
  <c r="M477" i="4"/>
  <c r="L478" i="4"/>
  <c r="M478" i="4"/>
  <c r="L479" i="4"/>
  <c r="M479" i="4"/>
  <c r="L480" i="4"/>
  <c r="M480" i="4"/>
  <c r="L481" i="4"/>
  <c r="M481" i="4"/>
  <c r="L482" i="4"/>
  <c r="M482" i="4"/>
  <c r="L483" i="4"/>
  <c r="M483" i="4"/>
  <c r="L484" i="4"/>
  <c r="M484" i="4"/>
  <c r="L485" i="4"/>
  <c r="M485" i="4"/>
  <c r="L486" i="4"/>
  <c r="M486" i="4"/>
  <c r="L487" i="4"/>
  <c r="M487" i="4"/>
  <c r="L488" i="4"/>
  <c r="M488" i="4"/>
  <c r="L489" i="4"/>
  <c r="M489" i="4"/>
  <c r="L490" i="4"/>
  <c r="M490" i="4"/>
  <c r="L491" i="4"/>
  <c r="M491" i="4"/>
  <c r="L492" i="4"/>
  <c r="M492" i="4"/>
  <c r="L493" i="4"/>
  <c r="M493" i="4"/>
  <c r="L494" i="4"/>
  <c r="M494" i="4"/>
  <c r="L495" i="4"/>
  <c r="M495" i="4"/>
  <c r="L496" i="4"/>
  <c r="M496" i="4"/>
  <c r="L497" i="4"/>
  <c r="M497" i="4"/>
  <c r="L498" i="4"/>
  <c r="M498" i="4"/>
  <c r="L499" i="4"/>
  <c r="M499" i="4"/>
  <c r="L500" i="4"/>
  <c r="M500" i="4"/>
  <c r="L501" i="4"/>
  <c r="M501" i="4"/>
  <c r="L502" i="4"/>
  <c r="M502" i="4"/>
  <c r="L503" i="4"/>
  <c r="M503" i="4"/>
  <c r="L504" i="4"/>
  <c r="M504" i="4"/>
  <c r="L505" i="4"/>
  <c r="M505" i="4"/>
  <c r="L506" i="4"/>
  <c r="M506" i="4"/>
  <c r="L507" i="4"/>
  <c r="M507" i="4"/>
  <c r="L508" i="4"/>
  <c r="M508" i="4"/>
  <c r="L509" i="4"/>
  <c r="M509" i="4"/>
  <c r="L510" i="4"/>
  <c r="M510" i="4"/>
  <c r="L511" i="4"/>
  <c r="M511" i="4"/>
  <c r="L512" i="4"/>
  <c r="M512" i="4"/>
  <c r="L513" i="4"/>
  <c r="M513" i="4"/>
  <c r="L514" i="4"/>
  <c r="M514" i="4"/>
  <c r="L515" i="4"/>
  <c r="M515" i="4"/>
  <c r="L516" i="4"/>
  <c r="M516" i="4"/>
  <c r="L517" i="4"/>
  <c r="M517" i="4"/>
  <c r="L518" i="4"/>
  <c r="M518" i="4"/>
  <c r="L519" i="4"/>
  <c r="M519" i="4"/>
  <c r="L520" i="4"/>
  <c r="M520" i="4"/>
  <c r="L521" i="4"/>
  <c r="M521" i="4"/>
  <c r="L522" i="4"/>
  <c r="M522" i="4"/>
  <c r="L523" i="4"/>
  <c r="M523" i="4"/>
  <c r="L524" i="4"/>
  <c r="M524" i="4"/>
  <c r="L525" i="4"/>
  <c r="M525" i="4"/>
  <c r="L526" i="4"/>
  <c r="M526" i="4"/>
  <c r="L527" i="4"/>
  <c r="M527" i="4"/>
  <c r="L528" i="4"/>
  <c r="M528" i="4"/>
  <c r="L529" i="4"/>
  <c r="M529" i="4"/>
  <c r="L530" i="4"/>
  <c r="M530" i="4"/>
  <c r="L531" i="4"/>
  <c r="M531" i="4"/>
  <c r="L532" i="4"/>
  <c r="M532" i="4"/>
  <c r="L533" i="4"/>
  <c r="M533" i="4"/>
  <c r="L534" i="4"/>
  <c r="M534" i="4"/>
  <c r="L535" i="4"/>
  <c r="M535" i="4"/>
  <c r="L536" i="4"/>
  <c r="M536" i="4"/>
  <c r="L537" i="4"/>
  <c r="M537" i="4"/>
  <c r="L538" i="4"/>
  <c r="M538" i="4"/>
  <c r="L539" i="4"/>
  <c r="M539" i="4"/>
  <c r="L540" i="4"/>
  <c r="M540" i="4"/>
  <c r="L541" i="4"/>
  <c r="M541" i="4"/>
  <c r="L542" i="4"/>
  <c r="M542" i="4"/>
  <c r="L543" i="4"/>
  <c r="M543" i="4"/>
  <c r="L544" i="4"/>
  <c r="M544" i="4"/>
  <c r="L545" i="4"/>
  <c r="M545" i="4"/>
  <c r="L546" i="4"/>
  <c r="M546" i="4"/>
  <c r="L547" i="4"/>
  <c r="M547" i="4"/>
  <c r="L548" i="4"/>
  <c r="M548" i="4"/>
  <c r="L549" i="4"/>
  <c r="M549" i="4"/>
  <c r="L550" i="4"/>
  <c r="M550" i="4"/>
  <c r="L551" i="4"/>
  <c r="M551" i="4"/>
  <c r="L552" i="4"/>
  <c r="M552" i="4"/>
  <c r="L553" i="4"/>
  <c r="M553" i="4"/>
  <c r="L554" i="4"/>
  <c r="M554" i="4"/>
  <c r="L555" i="4"/>
  <c r="M555" i="4"/>
  <c r="L556" i="4"/>
  <c r="M556" i="4"/>
  <c r="L557" i="4"/>
  <c r="M557" i="4"/>
  <c r="L558" i="4"/>
  <c r="M558" i="4"/>
  <c r="L559" i="4"/>
  <c r="M559" i="4"/>
  <c r="L560" i="4"/>
  <c r="M560" i="4"/>
  <c r="L561" i="4"/>
  <c r="M561" i="4"/>
  <c r="L562" i="4"/>
  <c r="M562" i="4"/>
  <c r="L563" i="4"/>
  <c r="M563" i="4"/>
  <c r="L564" i="4"/>
  <c r="M564" i="4"/>
  <c r="L565" i="4"/>
  <c r="M565" i="4"/>
  <c r="L566" i="4"/>
  <c r="M566" i="4"/>
  <c r="L567" i="4"/>
  <c r="M567" i="4"/>
  <c r="L568" i="4"/>
  <c r="M568" i="4"/>
  <c r="L569" i="4"/>
  <c r="M569" i="4"/>
  <c r="L570" i="4"/>
  <c r="M570" i="4"/>
  <c r="L571" i="4"/>
  <c r="M571" i="4"/>
  <c r="L572" i="4"/>
  <c r="M572" i="4"/>
  <c r="L573" i="4"/>
  <c r="M573" i="4"/>
  <c r="L574" i="4"/>
  <c r="M574" i="4"/>
  <c r="L575" i="4"/>
  <c r="M575" i="4"/>
  <c r="L576" i="4"/>
  <c r="M576" i="4"/>
  <c r="L577" i="4"/>
  <c r="M577" i="4"/>
  <c r="L578" i="4"/>
  <c r="M578" i="4"/>
  <c r="L579" i="4"/>
  <c r="M579" i="4"/>
  <c r="L580" i="4"/>
  <c r="M580" i="4"/>
  <c r="L581" i="4"/>
  <c r="M581" i="4"/>
  <c r="L582" i="4"/>
  <c r="M582" i="4"/>
  <c r="L583" i="4"/>
  <c r="M583" i="4"/>
  <c r="L584" i="4"/>
  <c r="M584" i="4"/>
  <c r="L585" i="4"/>
  <c r="M585" i="4"/>
  <c r="L586" i="4"/>
  <c r="M586" i="4"/>
  <c r="L587" i="4"/>
  <c r="M587" i="4"/>
  <c r="L588" i="4"/>
  <c r="M588" i="4"/>
  <c r="L589" i="4"/>
  <c r="M589" i="4"/>
  <c r="L590" i="4"/>
  <c r="M590" i="4"/>
  <c r="L591" i="4"/>
  <c r="M591" i="4"/>
  <c r="L592" i="4"/>
  <c r="M592" i="4"/>
  <c r="L593" i="4"/>
  <c r="M593" i="4"/>
  <c r="L594" i="4"/>
  <c r="M594" i="4"/>
  <c r="L595" i="4"/>
  <c r="M595" i="4"/>
  <c r="L596" i="4"/>
  <c r="M596" i="4"/>
  <c r="L597" i="4"/>
  <c r="M597" i="4"/>
  <c r="L598" i="4"/>
  <c r="M598" i="4"/>
  <c r="L599" i="4"/>
  <c r="M599" i="4"/>
  <c r="L600" i="4"/>
  <c r="M600" i="4"/>
  <c r="L601" i="4"/>
  <c r="M601" i="4"/>
  <c r="L602" i="4"/>
  <c r="M602" i="4"/>
  <c r="L603" i="4"/>
  <c r="M603" i="4"/>
  <c r="L604" i="4"/>
  <c r="M604" i="4"/>
  <c r="L605" i="4"/>
  <c r="M605" i="4"/>
  <c r="L606" i="4"/>
  <c r="M606" i="4"/>
  <c r="L607" i="4"/>
  <c r="M607" i="4"/>
  <c r="L608" i="4"/>
  <c r="M608" i="4"/>
  <c r="L609" i="4"/>
  <c r="M609" i="4"/>
  <c r="L610" i="4"/>
  <c r="M610" i="4"/>
  <c r="L611" i="4"/>
  <c r="M611" i="4"/>
  <c r="L612" i="4"/>
  <c r="M612" i="4"/>
  <c r="L613" i="4"/>
  <c r="M613" i="4"/>
  <c r="L614" i="4"/>
  <c r="M614" i="4"/>
  <c r="L615" i="4"/>
  <c r="M615" i="4"/>
  <c r="L616" i="4"/>
  <c r="M616" i="4"/>
  <c r="L617" i="4"/>
  <c r="M617" i="4"/>
  <c r="L618" i="4"/>
  <c r="M618" i="4"/>
  <c r="L619" i="4"/>
  <c r="M619" i="4"/>
  <c r="L620" i="4"/>
  <c r="M620" i="4"/>
  <c r="L621" i="4"/>
  <c r="M621" i="4"/>
  <c r="L622" i="4"/>
  <c r="M622" i="4"/>
  <c r="L623" i="4"/>
  <c r="M623" i="4"/>
  <c r="L624" i="4"/>
  <c r="M624" i="4"/>
  <c r="L625" i="4"/>
  <c r="M625" i="4"/>
  <c r="L626" i="4"/>
  <c r="M626" i="4"/>
  <c r="L627" i="4"/>
  <c r="M627" i="4"/>
  <c r="L628" i="4"/>
  <c r="M628" i="4"/>
  <c r="L629" i="4"/>
  <c r="M629" i="4"/>
  <c r="L630" i="4"/>
  <c r="M630" i="4"/>
  <c r="L631" i="4"/>
  <c r="M631" i="4"/>
  <c r="L632" i="4"/>
  <c r="M632" i="4"/>
  <c r="L633" i="4"/>
  <c r="M633" i="4"/>
  <c r="L634" i="4"/>
  <c r="M634" i="4"/>
  <c r="L635" i="4"/>
  <c r="M635" i="4"/>
  <c r="L636" i="4"/>
  <c r="M636" i="4"/>
  <c r="L637" i="4"/>
  <c r="M637" i="4"/>
  <c r="L638" i="4"/>
  <c r="M638" i="4"/>
  <c r="L639" i="4"/>
  <c r="M639" i="4"/>
  <c r="L640" i="4"/>
  <c r="M640" i="4"/>
  <c r="L641" i="4"/>
  <c r="M641" i="4"/>
  <c r="L642" i="4"/>
  <c r="M642" i="4"/>
  <c r="L643" i="4"/>
  <c r="M643" i="4"/>
  <c r="L644" i="4"/>
  <c r="M644" i="4"/>
  <c r="L645" i="4"/>
  <c r="M645" i="4"/>
  <c r="L646" i="4"/>
  <c r="M646" i="4"/>
  <c r="L647" i="4"/>
  <c r="M647" i="4"/>
  <c r="L648" i="4"/>
  <c r="M648" i="4"/>
  <c r="L649" i="4"/>
  <c r="M649" i="4"/>
  <c r="L650" i="4"/>
  <c r="M650" i="4"/>
  <c r="L651" i="4"/>
  <c r="M651" i="4"/>
  <c r="L652" i="4"/>
  <c r="M652" i="4"/>
  <c r="L653" i="4"/>
  <c r="M653" i="4"/>
  <c r="L654" i="4"/>
  <c r="M654" i="4"/>
  <c r="L655" i="4"/>
  <c r="M655" i="4"/>
  <c r="L656" i="4"/>
  <c r="M656" i="4"/>
  <c r="L657" i="4"/>
  <c r="M657" i="4"/>
  <c r="L658" i="4"/>
  <c r="M658" i="4"/>
  <c r="L659" i="4"/>
  <c r="M659" i="4"/>
  <c r="L660" i="4"/>
  <c r="M660" i="4"/>
  <c r="L661" i="4"/>
  <c r="M661" i="4"/>
  <c r="L662" i="4"/>
  <c r="N662" i="4" s="1"/>
  <c r="M662" i="4"/>
  <c r="L663" i="4"/>
  <c r="M663" i="4"/>
  <c r="L664" i="4"/>
  <c r="M664" i="4"/>
  <c r="L665" i="4"/>
  <c r="M665" i="4"/>
  <c r="L666" i="4"/>
  <c r="M666" i="4"/>
  <c r="L667" i="4"/>
  <c r="N667" i="4" s="1"/>
  <c r="M667" i="4"/>
  <c r="L668" i="4"/>
  <c r="M668" i="4"/>
  <c r="L669" i="4"/>
  <c r="M669" i="4"/>
  <c r="L670" i="4"/>
  <c r="M670" i="4"/>
  <c r="L671" i="4"/>
  <c r="M671" i="4"/>
  <c r="L672" i="4"/>
  <c r="M672" i="4"/>
  <c r="L673" i="4"/>
  <c r="M673" i="4"/>
  <c r="L674" i="4"/>
  <c r="M674" i="4"/>
  <c r="L675" i="4"/>
  <c r="M675" i="4"/>
  <c r="L676" i="4"/>
  <c r="M676" i="4"/>
  <c r="L677" i="4"/>
  <c r="M677" i="4"/>
  <c r="L678" i="4"/>
  <c r="M678" i="4"/>
  <c r="L679" i="4"/>
  <c r="M679" i="4"/>
  <c r="L680" i="4"/>
  <c r="M680" i="4"/>
  <c r="L681" i="4"/>
  <c r="M681" i="4"/>
  <c r="L682" i="4"/>
  <c r="M682" i="4"/>
  <c r="L683" i="4"/>
  <c r="M683" i="4"/>
  <c r="L684" i="4"/>
  <c r="N684" i="4" s="1"/>
  <c r="O684" i="4" s="1"/>
  <c r="M684" i="4"/>
  <c r="L685" i="4"/>
  <c r="M685" i="4"/>
  <c r="L686" i="4"/>
  <c r="M686" i="4"/>
  <c r="L687" i="4"/>
  <c r="M687" i="4"/>
  <c r="L688" i="4"/>
  <c r="M688" i="4"/>
  <c r="L689" i="4"/>
  <c r="M689" i="4"/>
  <c r="L690" i="4"/>
  <c r="M690" i="4"/>
  <c r="L691" i="4"/>
  <c r="M691" i="4"/>
  <c r="L692" i="4"/>
  <c r="M692" i="4"/>
  <c r="L693" i="4"/>
  <c r="M693" i="4"/>
  <c r="L694" i="4"/>
  <c r="M694" i="4"/>
  <c r="L695" i="4"/>
  <c r="M695" i="4"/>
  <c r="L696" i="4"/>
  <c r="M696" i="4"/>
  <c r="L697" i="4"/>
  <c r="M697" i="4"/>
  <c r="L698" i="4"/>
  <c r="M698" i="4"/>
  <c r="L699" i="4"/>
  <c r="M699" i="4"/>
  <c r="L700" i="4"/>
  <c r="M700" i="4"/>
  <c r="L701" i="4"/>
  <c r="M701" i="4"/>
  <c r="L702" i="4"/>
  <c r="M702" i="4"/>
  <c r="L703" i="4"/>
  <c r="M703" i="4"/>
  <c r="L704" i="4"/>
  <c r="M704" i="4"/>
  <c r="L705" i="4"/>
  <c r="M705" i="4"/>
  <c r="L706" i="4"/>
  <c r="M706" i="4"/>
  <c r="L707" i="4"/>
  <c r="M707" i="4"/>
  <c r="L708" i="4"/>
  <c r="M708" i="4"/>
  <c r="L709" i="4"/>
  <c r="M709" i="4"/>
  <c r="L710" i="4"/>
  <c r="M710" i="4"/>
  <c r="L711" i="4"/>
  <c r="M711" i="4"/>
  <c r="L712" i="4"/>
  <c r="M712" i="4"/>
  <c r="L713" i="4"/>
  <c r="M713" i="4"/>
  <c r="L714" i="4"/>
  <c r="M714" i="4"/>
  <c r="L715" i="4"/>
  <c r="M715" i="4"/>
  <c r="L716" i="4"/>
  <c r="M716" i="4"/>
  <c r="L717" i="4"/>
  <c r="M717" i="4"/>
  <c r="L718" i="4"/>
  <c r="M718" i="4"/>
  <c r="L719" i="4"/>
  <c r="M719" i="4"/>
  <c r="L720" i="4"/>
  <c r="M720" i="4"/>
  <c r="L721" i="4"/>
  <c r="M721" i="4"/>
  <c r="L722" i="4"/>
  <c r="M722" i="4"/>
  <c r="L723" i="4"/>
  <c r="M723" i="4"/>
  <c r="L724" i="4"/>
  <c r="M724" i="4"/>
  <c r="L725" i="4"/>
  <c r="M725" i="4"/>
  <c r="L726" i="4"/>
  <c r="M726" i="4"/>
  <c r="L727" i="4"/>
  <c r="M727" i="4"/>
  <c r="L728" i="4"/>
  <c r="M728" i="4"/>
  <c r="L729" i="4"/>
  <c r="M729" i="4"/>
  <c r="L730" i="4"/>
  <c r="M730" i="4"/>
  <c r="L731" i="4"/>
  <c r="M731" i="4"/>
  <c r="L732" i="4"/>
  <c r="M732" i="4"/>
  <c r="L733" i="4"/>
  <c r="M733" i="4"/>
  <c r="L734" i="4"/>
  <c r="M734" i="4"/>
  <c r="L735" i="4"/>
  <c r="M735" i="4"/>
  <c r="L736" i="4"/>
  <c r="M736" i="4"/>
  <c r="L737" i="4"/>
  <c r="M737" i="4"/>
  <c r="L738" i="4"/>
  <c r="M738" i="4"/>
  <c r="L739" i="4"/>
  <c r="M739" i="4"/>
  <c r="L740" i="4"/>
  <c r="M740" i="4"/>
  <c r="L741" i="4"/>
  <c r="M741" i="4"/>
  <c r="L742" i="4"/>
  <c r="M742" i="4"/>
  <c r="L743" i="4"/>
  <c r="M743" i="4"/>
  <c r="L744" i="4"/>
  <c r="M744" i="4"/>
  <c r="L745" i="4"/>
  <c r="M745" i="4"/>
  <c r="L746" i="4"/>
  <c r="M746" i="4"/>
  <c r="L747" i="4"/>
  <c r="M747" i="4"/>
  <c r="L748" i="4"/>
  <c r="M748" i="4"/>
  <c r="L749" i="4"/>
  <c r="M749" i="4"/>
  <c r="L750" i="4"/>
  <c r="M750" i="4"/>
  <c r="L751" i="4"/>
  <c r="M751" i="4"/>
  <c r="L752" i="4"/>
  <c r="M752" i="4"/>
  <c r="L753" i="4"/>
  <c r="M753" i="4"/>
  <c r="L754" i="4"/>
  <c r="M754" i="4"/>
  <c r="L755" i="4"/>
  <c r="M755" i="4"/>
  <c r="L756" i="4"/>
  <c r="M756" i="4"/>
  <c r="L757" i="4"/>
  <c r="M757" i="4"/>
  <c r="L758" i="4"/>
  <c r="M758" i="4"/>
  <c r="L759" i="4"/>
  <c r="M759" i="4"/>
  <c r="L760" i="4"/>
  <c r="M760" i="4"/>
  <c r="L761" i="4"/>
  <c r="M761" i="4"/>
  <c r="L762" i="4"/>
  <c r="M762" i="4"/>
  <c r="L763" i="4"/>
  <c r="M763" i="4"/>
  <c r="L764" i="4"/>
  <c r="M764" i="4"/>
  <c r="L765" i="4"/>
  <c r="M765" i="4"/>
  <c r="L766" i="4"/>
  <c r="M766" i="4"/>
  <c r="L767" i="4"/>
  <c r="M767" i="4"/>
  <c r="L768" i="4"/>
  <c r="M768" i="4"/>
  <c r="L769" i="4"/>
  <c r="M769" i="4"/>
  <c r="L770" i="4"/>
  <c r="M770" i="4"/>
  <c r="L771" i="4"/>
  <c r="M771" i="4"/>
  <c r="L772" i="4"/>
  <c r="M772" i="4"/>
  <c r="L773" i="4"/>
  <c r="M773" i="4"/>
  <c r="L774" i="4"/>
  <c r="M774" i="4"/>
  <c r="L775" i="4"/>
  <c r="M775" i="4"/>
  <c r="L776" i="4"/>
  <c r="M776" i="4"/>
  <c r="L777" i="4"/>
  <c r="M777" i="4"/>
  <c r="L778" i="4"/>
  <c r="M778" i="4"/>
  <c r="L779" i="4"/>
  <c r="M779" i="4"/>
  <c r="L780" i="4"/>
  <c r="M780" i="4"/>
  <c r="L781" i="4"/>
  <c r="M781" i="4"/>
  <c r="L782" i="4"/>
  <c r="M782" i="4"/>
  <c r="L783" i="4"/>
  <c r="M783" i="4"/>
  <c r="L784" i="4"/>
  <c r="M784" i="4"/>
  <c r="L785" i="4"/>
  <c r="M785" i="4"/>
  <c r="L786" i="4"/>
  <c r="M786" i="4"/>
  <c r="L787" i="4"/>
  <c r="M787" i="4"/>
  <c r="L788" i="4"/>
  <c r="M788" i="4"/>
  <c r="L789" i="4"/>
  <c r="M789" i="4"/>
  <c r="L790" i="4"/>
  <c r="M790" i="4"/>
  <c r="L791" i="4"/>
  <c r="M791" i="4"/>
  <c r="L792" i="4"/>
  <c r="M792" i="4"/>
  <c r="L793" i="4"/>
  <c r="M793" i="4"/>
  <c r="L794" i="4"/>
  <c r="M794" i="4"/>
  <c r="L795" i="4"/>
  <c r="M795" i="4"/>
  <c r="L796" i="4"/>
  <c r="M796" i="4"/>
  <c r="L797" i="4"/>
  <c r="M797" i="4"/>
  <c r="L798" i="4"/>
  <c r="M798" i="4"/>
  <c r="L799" i="4"/>
  <c r="M799" i="4"/>
  <c r="L800" i="4"/>
  <c r="M800" i="4"/>
  <c r="L801" i="4"/>
  <c r="M801" i="4"/>
  <c r="L802" i="4"/>
  <c r="M802" i="4"/>
  <c r="L803" i="4"/>
  <c r="M803" i="4"/>
  <c r="L804" i="4"/>
  <c r="M804" i="4"/>
  <c r="L805" i="4"/>
  <c r="M805" i="4"/>
  <c r="L806" i="4"/>
  <c r="M806" i="4"/>
  <c r="L807" i="4"/>
  <c r="M807" i="4"/>
  <c r="L808" i="4"/>
  <c r="M808" i="4"/>
  <c r="L809" i="4"/>
  <c r="M809" i="4"/>
  <c r="L810" i="4"/>
  <c r="M810" i="4"/>
  <c r="L811" i="4"/>
  <c r="M811" i="4"/>
  <c r="L812" i="4"/>
  <c r="M812" i="4"/>
  <c r="L813" i="4"/>
  <c r="M813" i="4"/>
  <c r="L814" i="4"/>
  <c r="M814" i="4"/>
  <c r="L815" i="4"/>
  <c r="M815" i="4"/>
  <c r="L816" i="4"/>
  <c r="M816" i="4"/>
  <c r="L817" i="4"/>
  <c r="M817" i="4"/>
  <c r="L818" i="4"/>
  <c r="M818" i="4"/>
  <c r="L819" i="4"/>
  <c r="M819" i="4"/>
  <c r="L820" i="4"/>
  <c r="M820" i="4"/>
  <c r="L821" i="4"/>
  <c r="M821" i="4"/>
  <c r="L822" i="4"/>
  <c r="M822" i="4"/>
  <c r="L823" i="4"/>
  <c r="M823" i="4"/>
  <c r="L824" i="4"/>
  <c r="M824" i="4"/>
  <c r="L825" i="4"/>
  <c r="M825" i="4"/>
  <c r="L826" i="4"/>
  <c r="M826" i="4"/>
  <c r="L827" i="4"/>
  <c r="M827" i="4"/>
  <c r="L828" i="4"/>
  <c r="M828" i="4"/>
  <c r="L829" i="4"/>
  <c r="M829" i="4"/>
  <c r="L830" i="4"/>
  <c r="M830" i="4"/>
  <c r="L831" i="4"/>
  <c r="M831" i="4"/>
  <c r="L832" i="4"/>
  <c r="M832" i="4"/>
  <c r="L833" i="4"/>
  <c r="M833" i="4"/>
  <c r="L834" i="4"/>
  <c r="M834" i="4"/>
  <c r="L835" i="4"/>
  <c r="M835" i="4"/>
  <c r="L836" i="4"/>
  <c r="M836" i="4"/>
  <c r="L837" i="4"/>
  <c r="M837" i="4"/>
  <c r="L838" i="4"/>
  <c r="M838" i="4"/>
  <c r="L839" i="4"/>
  <c r="M839" i="4"/>
  <c r="L840" i="4"/>
  <c r="M840" i="4"/>
  <c r="L841" i="4"/>
  <c r="M841" i="4"/>
  <c r="L842" i="4"/>
  <c r="M842" i="4"/>
  <c r="L843" i="4"/>
  <c r="M843" i="4"/>
  <c r="L844" i="4"/>
  <c r="M844" i="4"/>
  <c r="L845" i="4"/>
  <c r="M845" i="4"/>
  <c r="L846" i="4"/>
  <c r="M846" i="4"/>
  <c r="L847" i="4"/>
  <c r="M847" i="4"/>
  <c r="L848" i="4"/>
  <c r="M848" i="4"/>
  <c r="L849" i="4"/>
  <c r="M849" i="4"/>
  <c r="L850" i="4"/>
  <c r="M850" i="4"/>
  <c r="L851" i="4"/>
  <c r="M851" i="4"/>
  <c r="L852" i="4"/>
  <c r="M852" i="4"/>
  <c r="L853" i="4"/>
  <c r="M853" i="4"/>
  <c r="L854" i="4"/>
  <c r="M854" i="4"/>
  <c r="L855" i="4"/>
  <c r="M855" i="4"/>
  <c r="L856" i="4"/>
  <c r="M856" i="4"/>
  <c r="L857" i="4"/>
  <c r="M857" i="4"/>
  <c r="L858" i="4"/>
  <c r="M858" i="4"/>
  <c r="L859" i="4"/>
  <c r="M859" i="4"/>
  <c r="L860" i="4"/>
  <c r="M860" i="4"/>
  <c r="L861" i="4"/>
  <c r="M861" i="4"/>
  <c r="L862" i="4"/>
  <c r="M862" i="4"/>
  <c r="L863" i="4"/>
  <c r="M863" i="4"/>
  <c r="L864" i="4"/>
  <c r="M864" i="4"/>
  <c r="L865" i="4"/>
  <c r="M865" i="4"/>
  <c r="L866" i="4"/>
  <c r="M866" i="4"/>
  <c r="L867" i="4"/>
  <c r="M867" i="4"/>
  <c r="L868" i="4"/>
  <c r="M868" i="4"/>
  <c r="L869" i="4"/>
  <c r="M869" i="4"/>
  <c r="L870" i="4"/>
  <c r="M870" i="4"/>
  <c r="L871" i="4"/>
  <c r="M871" i="4"/>
  <c r="L872" i="4"/>
  <c r="M872" i="4"/>
  <c r="L873" i="4"/>
  <c r="M873" i="4"/>
  <c r="L874" i="4"/>
  <c r="M874" i="4"/>
  <c r="L875" i="4"/>
  <c r="M875" i="4"/>
  <c r="L876" i="4"/>
  <c r="M876" i="4"/>
  <c r="L877" i="4"/>
  <c r="M877" i="4"/>
  <c r="L878" i="4"/>
  <c r="M878" i="4"/>
  <c r="L879" i="4"/>
  <c r="M879" i="4"/>
  <c r="L880" i="4"/>
  <c r="M880" i="4"/>
  <c r="L881" i="4"/>
  <c r="M881" i="4"/>
  <c r="L882" i="4"/>
  <c r="M882" i="4"/>
  <c r="L883" i="4"/>
  <c r="M883" i="4"/>
  <c r="L884" i="4"/>
  <c r="M884" i="4"/>
  <c r="L885" i="4"/>
  <c r="M885" i="4"/>
  <c r="L886" i="4"/>
  <c r="M886" i="4"/>
  <c r="L887" i="4"/>
  <c r="M887" i="4"/>
  <c r="L888" i="4"/>
  <c r="M888" i="4"/>
  <c r="L889" i="4"/>
  <c r="M889" i="4"/>
  <c r="L890" i="4"/>
  <c r="M890" i="4"/>
  <c r="L891" i="4"/>
  <c r="M891" i="4"/>
  <c r="L892" i="4"/>
  <c r="M892" i="4"/>
  <c r="L893" i="4"/>
  <c r="M893" i="4"/>
  <c r="L894" i="4"/>
  <c r="M894" i="4"/>
  <c r="L895" i="4"/>
  <c r="M895" i="4"/>
  <c r="L896" i="4"/>
  <c r="M896" i="4"/>
  <c r="L897" i="4"/>
  <c r="M897" i="4"/>
  <c r="L898" i="4"/>
  <c r="M898" i="4"/>
  <c r="L899" i="4"/>
  <c r="M899" i="4"/>
  <c r="L900" i="4"/>
  <c r="M900" i="4"/>
  <c r="L901" i="4"/>
  <c r="M901" i="4"/>
  <c r="L902" i="4"/>
  <c r="M902" i="4"/>
  <c r="L903" i="4"/>
  <c r="M903" i="4"/>
  <c r="L904" i="4"/>
  <c r="M904" i="4"/>
  <c r="L905" i="4"/>
  <c r="M905" i="4"/>
  <c r="L906" i="4"/>
  <c r="M906" i="4"/>
  <c r="L907" i="4"/>
  <c r="M907" i="4"/>
  <c r="L908" i="4"/>
  <c r="M908" i="4"/>
  <c r="L909" i="4"/>
  <c r="M909" i="4"/>
  <c r="L910" i="4"/>
  <c r="M910" i="4"/>
  <c r="L911" i="4"/>
  <c r="M911" i="4"/>
  <c r="L912" i="4"/>
  <c r="M912" i="4"/>
  <c r="L913" i="4"/>
  <c r="M913" i="4"/>
  <c r="L914" i="4"/>
  <c r="M914" i="4"/>
  <c r="L915" i="4"/>
  <c r="M915" i="4"/>
  <c r="L916" i="4"/>
  <c r="M916" i="4"/>
  <c r="L917" i="4"/>
  <c r="M917" i="4"/>
  <c r="L918" i="4"/>
  <c r="M918" i="4"/>
  <c r="L919" i="4"/>
  <c r="M919" i="4"/>
  <c r="L920" i="4"/>
  <c r="M920" i="4"/>
  <c r="L921" i="4"/>
  <c r="M921" i="4"/>
  <c r="L922" i="4"/>
  <c r="M922" i="4"/>
  <c r="L923" i="4"/>
  <c r="M923" i="4"/>
  <c r="L924" i="4"/>
  <c r="M924" i="4"/>
  <c r="L925" i="4"/>
  <c r="M925" i="4"/>
  <c r="L926" i="4"/>
  <c r="M926" i="4"/>
  <c r="L927" i="4"/>
  <c r="M927" i="4"/>
  <c r="L928" i="4"/>
  <c r="M928" i="4"/>
  <c r="L929" i="4"/>
  <c r="M929" i="4"/>
  <c r="L930" i="4"/>
  <c r="M930" i="4"/>
  <c r="L931" i="4"/>
  <c r="M931" i="4"/>
  <c r="L932" i="4"/>
  <c r="M932" i="4"/>
  <c r="L933" i="4"/>
  <c r="M933" i="4"/>
  <c r="L934" i="4"/>
  <c r="M934" i="4"/>
  <c r="L935" i="4"/>
  <c r="M935" i="4"/>
  <c r="L936" i="4"/>
  <c r="M936" i="4"/>
  <c r="L937" i="4"/>
  <c r="M937" i="4"/>
  <c r="L938" i="4"/>
  <c r="M938" i="4"/>
  <c r="L939" i="4"/>
  <c r="M939" i="4"/>
  <c r="L940" i="4"/>
  <c r="M940" i="4"/>
  <c r="L941" i="4"/>
  <c r="M941" i="4"/>
  <c r="L942" i="4"/>
  <c r="M942" i="4"/>
  <c r="L943" i="4"/>
  <c r="M943" i="4"/>
  <c r="L944" i="4"/>
  <c r="M944" i="4"/>
  <c r="L945" i="4"/>
  <c r="M945" i="4"/>
  <c r="L946" i="4"/>
  <c r="M946" i="4"/>
  <c r="L947" i="4"/>
  <c r="M947" i="4"/>
  <c r="L948" i="4"/>
  <c r="M948" i="4"/>
  <c r="L949" i="4"/>
  <c r="M949" i="4"/>
  <c r="L950" i="4"/>
  <c r="M950" i="4"/>
  <c r="L951" i="4"/>
  <c r="M951" i="4"/>
  <c r="L952" i="4"/>
  <c r="M952" i="4"/>
  <c r="L953" i="4"/>
  <c r="M953" i="4"/>
  <c r="L954" i="4"/>
  <c r="M954" i="4"/>
  <c r="L955" i="4"/>
  <c r="M955" i="4"/>
  <c r="L956" i="4"/>
  <c r="M956" i="4"/>
  <c r="L957" i="4"/>
  <c r="M957" i="4"/>
  <c r="L958" i="4"/>
  <c r="M958" i="4"/>
  <c r="L959" i="4"/>
  <c r="M959" i="4"/>
  <c r="L960" i="4"/>
  <c r="M960" i="4"/>
  <c r="L961" i="4"/>
  <c r="M961" i="4"/>
  <c r="L962" i="4"/>
  <c r="M962" i="4"/>
  <c r="L963" i="4"/>
  <c r="M963" i="4"/>
  <c r="L964" i="4"/>
  <c r="M964" i="4"/>
  <c r="L965" i="4"/>
  <c r="M965" i="4"/>
  <c r="L966" i="4"/>
  <c r="M966" i="4"/>
  <c r="L967" i="4"/>
  <c r="M967" i="4"/>
  <c r="L968" i="4"/>
  <c r="M968" i="4"/>
  <c r="L969" i="4"/>
  <c r="M969" i="4"/>
  <c r="L970" i="4"/>
  <c r="M970" i="4"/>
  <c r="L971" i="4"/>
  <c r="M971" i="4"/>
  <c r="L972" i="4"/>
  <c r="M972" i="4"/>
  <c r="L973" i="4"/>
  <c r="M973" i="4"/>
  <c r="L974" i="4"/>
  <c r="M974" i="4"/>
  <c r="L975" i="4"/>
  <c r="M975" i="4"/>
  <c r="L976" i="4"/>
  <c r="M976" i="4"/>
  <c r="L977" i="4"/>
  <c r="M977" i="4"/>
  <c r="L978" i="4"/>
  <c r="M978" i="4"/>
  <c r="L979" i="4"/>
  <c r="M979" i="4"/>
  <c r="L980" i="4"/>
  <c r="M980" i="4"/>
  <c r="L981" i="4"/>
  <c r="M981" i="4"/>
  <c r="L982" i="4"/>
  <c r="M982" i="4"/>
  <c r="L983" i="4"/>
  <c r="M983" i="4"/>
  <c r="L984" i="4"/>
  <c r="M984" i="4"/>
  <c r="L985" i="4"/>
  <c r="M985" i="4"/>
  <c r="L986" i="4"/>
  <c r="M986" i="4"/>
  <c r="L987" i="4"/>
  <c r="M987" i="4"/>
  <c r="L988" i="4"/>
  <c r="M988" i="4"/>
  <c r="L989" i="4"/>
  <c r="M989" i="4"/>
  <c r="L990" i="4"/>
  <c r="M990" i="4"/>
  <c r="L991" i="4"/>
  <c r="M991" i="4"/>
  <c r="L992" i="4"/>
  <c r="M992" i="4"/>
  <c r="L993" i="4"/>
  <c r="M993" i="4"/>
  <c r="L994" i="4"/>
  <c r="M994" i="4"/>
  <c r="L995" i="4"/>
  <c r="M995" i="4"/>
  <c r="L996" i="4"/>
  <c r="M996" i="4"/>
  <c r="L997" i="4"/>
  <c r="M997" i="4"/>
  <c r="L998" i="4"/>
  <c r="M998" i="4"/>
  <c r="L999" i="4"/>
  <c r="M999" i="4"/>
  <c r="L1000" i="4"/>
  <c r="M1000" i="4"/>
  <c r="L1001" i="4"/>
  <c r="M1001" i="4"/>
  <c r="L1002" i="4"/>
  <c r="M1002" i="4"/>
  <c r="L1003" i="4"/>
  <c r="M1003" i="4"/>
  <c r="L1004" i="4"/>
  <c r="M1004" i="4"/>
  <c r="L1005" i="4"/>
  <c r="M1005" i="4"/>
  <c r="L1006" i="4"/>
  <c r="M1006" i="4"/>
  <c r="L1007" i="4"/>
  <c r="M1007" i="4"/>
  <c r="L1008" i="4"/>
  <c r="M1008" i="4"/>
  <c r="L1009" i="4"/>
  <c r="M1009" i="4"/>
  <c r="L1010" i="4"/>
  <c r="M1010" i="4"/>
  <c r="L1011" i="4"/>
  <c r="M1011" i="4"/>
  <c r="L1012" i="4"/>
  <c r="M1012" i="4"/>
  <c r="L1013" i="4"/>
  <c r="M1013" i="4"/>
  <c r="L1014" i="4"/>
  <c r="M1014" i="4"/>
  <c r="L1015" i="4"/>
  <c r="M1015" i="4"/>
  <c r="L1016" i="4"/>
  <c r="M1016" i="4"/>
  <c r="L1017" i="4"/>
  <c r="M1017" i="4"/>
  <c r="L1018" i="4"/>
  <c r="M1018" i="4"/>
  <c r="L1019" i="4"/>
  <c r="M1019" i="4"/>
  <c r="L1020" i="4"/>
  <c r="M1020" i="4"/>
  <c r="L1021" i="4"/>
  <c r="M1021" i="4"/>
  <c r="L1022" i="4"/>
  <c r="M1022" i="4"/>
  <c r="L1023" i="4"/>
  <c r="M1023" i="4"/>
  <c r="L1024" i="4"/>
  <c r="M1024" i="4"/>
  <c r="L1025" i="4"/>
  <c r="M1025" i="4"/>
  <c r="L1026" i="4"/>
  <c r="M1026" i="4"/>
  <c r="L1027" i="4"/>
  <c r="M1027" i="4"/>
  <c r="L1028" i="4"/>
  <c r="M1028" i="4"/>
  <c r="L1029" i="4"/>
  <c r="M1029" i="4"/>
  <c r="L1030" i="4"/>
  <c r="M1030" i="4"/>
  <c r="L1031" i="4"/>
  <c r="M1031" i="4"/>
  <c r="L1032" i="4"/>
  <c r="M1032" i="4"/>
  <c r="L1033" i="4"/>
  <c r="M1033" i="4"/>
  <c r="L1034" i="4"/>
  <c r="M1034" i="4"/>
  <c r="L1035" i="4"/>
  <c r="M1035" i="4"/>
  <c r="L1036" i="4"/>
  <c r="M1036" i="4"/>
  <c r="L1037" i="4"/>
  <c r="M1037" i="4"/>
  <c r="L1038" i="4"/>
  <c r="M1038" i="4"/>
  <c r="L1039" i="4"/>
  <c r="M1039" i="4"/>
  <c r="L1040" i="4"/>
  <c r="M1040" i="4"/>
  <c r="L1041" i="4"/>
  <c r="M1041" i="4"/>
  <c r="L1042" i="4"/>
  <c r="M1042" i="4"/>
  <c r="L1043" i="4"/>
  <c r="M1043" i="4"/>
  <c r="L1044" i="4"/>
  <c r="M1044" i="4"/>
  <c r="L1045" i="4"/>
  <c r="M1045" i="4"/>
  <c r="L1046" i="4"/>
  <c r="M1046" i="4"/>
  <c r="L1047" i="4"/>
  <c r="M1047" i="4"/>
  <c r="L1048" i="4"/>
  <c r="M1048" i="4"/>
  <c r="L1049" i="4"/>
  <c r="M1049" i="4"/>
  <c r="L1050" i="4"/>
  <c r="M1050" i="4"/>
  <c r="L1051" i="4"/>
  <c r="M1051" i="4"/>
  <c r="L1052" i="4"/>
  <c r="M1052" i="4"/>
  <c r="L1053" i="4"/>
  <c r="M1053" i="4"/>
  <c r="L1054" i="4"/>
  <c r="M1054" i="4"/>
  <c r="L1055" i="4"/>
  <c r="M1055" i="4"/>
  <c r="L1056" i="4"/>
  <c r="M1056" i="4"/>
  <c r="L1057" i="4"/>
  <c r="M1057" i="4"/>
  <c r="L1058" i="4"/>
  <c r="M1058" i="4"/>
  <c r="L1059" i="4"/>
  <c r="M1059" i="4"/>
  <c r="L1060" i="4"/>
  <c r="M1060" i="4"/>
  <c r="L1061" i="4"/>
  <c r="M1061" i="4"/>
  <c r="L1062" i="4"/>
  <c r="M1062" i="4"/>
  <c r="L1063" i="4"/>
  <c r="M1063" i="4"/>
  <c r="L1064" i="4"/>
  <c r="M1064" i="4"/>
  <c r="L1065" i="4"/>
  <c r="M1065" i="4"/>
  <c r="L1066" i="4"/>
  <c r="M1066" i="4"/>
  <c r="L1067" i="4"/>
  <c r="M1067" i="4"/>
  <c r="L1068" i="4"/>
  <c r="M1068" i="4"/>
  <c r="L1069" i="4"/>
  <c r="M1069" i="4"/>
  <c r="L1070" i="4"/>
  <c r="M1070" i="4"/>
  <c r="L1071" i="4"/>
  <c r="M1071" i="4"/>
  <c r="L1072" i="4"/>
  <c r="M1072" i="4"/>
  <c r="L1073" i="4"/>
  <c r="M1073" i="4"/>
  <c r="L1074" i="4"/>
  <c r="M1074" i="4"/>
  <c r="L1075" i="4"/>
  <c r="M1075" i="4"/>
  <c r="L1076" i="4"/>
  <c r="M1076" i="4"/>
  <c r="L1077" i="4"/>
  <c r="M1077" i="4"/>
  <c r="L1078" i="4"/>
  <c r="M1078" i="4"/>
  <c r="L1079" i="4"/>
  <c r="M1079" i="4"/>
  <c r="L1080" i="4"/>
  <c r="M1080" i="4"/>
  <c r="L1081" i="4"/>
  <c r="M1081" i="4"/>
  <c r="L1082" i="4"/>
  <c r="M1082" i="4"/>
  <c r="L1083" i="4"/>
  <c r="M1083" i="4"/>
  <c r="L1084" i="4"/>
  <c r="M1084" i="4"/>
  <c r="L1085" i="4"/>
  <c r="M1085" i="4"/>
  <c r="L1086" i="4"/>
  <c r="M1086" i="4"/>
  <c r="L1087" i="4"/>
  <c r="M1087" i="4"/>
  <c r="L1088" i="4"/>
  <c r="M1088" i="4"/>
  <c r="L1089" i="4"/>
  <c r="M1089" i="4"/>
  <c r="L1090" i="4"/>
  <c r="M1090" i="4"/>
  <c r="L1091" i="4"/>
  <c r="M1091" i="4"/>
  <c r="L1092" i="4"/>
  <c r="M1092" i="4"/>
  <c r="L1093" i="4"/>
  <c r="M1093" i="4"/>
  <c r="L1094" i="4"/>
  <c r="M1094" i="4"/>
  <c r="L1095" i="4"/>
  <c r="M1095" i="4"/>
  <c r="L1096" i="4"/>
  <c r="M1096" i="4"/>
  <c r="L1097" i="4"/>
  <c r="M1097" i="4"/>
  <c r="L1098" i="4"/>
  <c r="M1098" i="4"/>
  <c r="L1099" i="4"/>
  <c r="M1099" i="4"/>
  <c r="L1100" i="4"/>
  <c r="M1100" i="4"/>
  <c r="L1101" i="4"/>
  <c r="M1101" i="4"/>
  <c r="L1102" i="4"/>
  <c r="M1102" i="4"/>
  <c r="L1103" i="4"/>
  <c r="M1103" i="4"/>
  <c r="L1104" i="4"/>
  <c r="M1104" i="4"/>
  <c r="L1105" i="4"/>
  <c r="M1105" i="4"/>
  <c r="L1106" i="4"/>
  <c r="M1106" i="4"/>
  <c r="L1107" i="4"/>
  <c r="M1107" i="4"/>
  <c r="L1108" i="4"/>
  <c r="M1108" i="4"/>
  <c r="L1109" i="4"/>
  <c r="M1109" i="4"/>
  <c r="L1110" i="4"/>
  <c r="M1110" i="4"/>
  <c r="L1111" i="4"/>
  <c r="M1111" i="4"/>
  <c r="L1112" i="4"/>
  <c r="M1112" i="4"/>
  <c r="L1113" i="4"/>
  <c r="M1113" i="4"/>
  <c r="L1114" i="4"/>
  <c r="M1114" i="4"/>
  <c r="L1115" i="4"/>
  <c r="M1115" i="4"/>
  <c r="L1116" i="4"/>
  <c r="M1116" i="4"/>
  <c r="L1117" i="4"/>
  <c r="M1117" i="4"/>
  <c r="L1118" i="4"/>
  <c r="M1118" i="4"/>
  <c r="L1119" i="4"/>
  <c r="M1119" i="4"/>
  <c r="L1120" i="4"/>
  <c r="M1120" i="4"/>
  <c r="L1121" i="4"/>
  <c r="M1121" i="4"/>
  <c r="L1122" i="4"/>
  <c r="M1122" i="4"/>
  <c r="L1123" i="4"/>
  <c r="M1123" i="4"/>
  <c r="L1124" i="4"/>
  <c r="M1124" i="4"/>
  <c r="L1125" i="4"/>
  <c r="M1125" i="4"/>
  <c r="L1126" i="4"/>
  <c r="M1126" i="4"/>
  <c r="L1127" i="4"/>
  <c r="M1127" i="4"/>
  <c r="L1128" i="4"/>
  <c r="M1128" i="4"/>
  <c r="L1129" i="4"/>
  <c r="M1129" i="4"/>
  <c r="L1130" i="4"/>
  <c r="M1130" i="4"/>
  <c r="L1131" i="4"/>
  <c r="M1131" i="4"/>
  <c r="L1132" i="4"/>
  <c r="M1132" i="4"/>
  <c r="L1133" i="4"/>
  <c r="M1133" i="4"/>
  <c r="L1134" i="4"/>
  <c r="M1134" i="4"/>
  <c r="L1135" i="4"/>
  <c r="M1135" i="4"/>
  <c r="L1136" i="4"/>
  <c r="M1136" i="4"/>
  <c r="L1137" i="4"/>
  <c r="M1137" i="4"/>
  <c r="L1138" i="4"/>
  <c r="M1138" i="4"/>
  <c r="L1139" i="4"/>
  <c r="M1139" i="4"/>
  <c r="L1140" i="4"/>
  <c r="M1140" i="4"/>
  <c r="L1141" i="4"/>
  <c r="M1141" i="4"/>
  <c r="L1142" i="4"/>
  <c r="M1142" i="4"/>
  <c r="L1143" i="4"/>
  <c r="M1143" i="4"/>
  <c r="L1144" i="4"/>
  <c r="M1144" i="4"/>
  <c r="L1145" i="4"/>
  <c r="M1145" i="4"/>
  <c r="L1146" i="4"/>
  <c r="M1146" i="4"/>
  <c r="L1147" i="4"/>
  <c r="M1147" i="4"/>
  <c r="L1148" i="4"/>
  <c r="M1148" i="4"/>
  <c r="L1149" i="4"/>
  <c r="M1149" i="4"/>
  <c r="L1150" i="4"/>
  <c r="M1150" i="4"/>
  <c r="L1151" i="4"/>
  <c r="M1151" i="4"/>
  <c r="L1152" i="4"/>
  <c r="M1152" i="4"/>
  <c r="L1153" i="4"/>
  <c r="M1153" i="4"/>
  <c r="L1154" i="4"/>
  <c r="M1154" i="4"/>
  <c r="L1155" i="4"/>
  <c r="M1155" i="4"/>
  <c r="L1156" i="4"/>
  <c r="M1156" i="4"/>
  <c r="L1157" i="4"/>
  <c r="M1157" i="4"/>
  <c r="L1158" i="4"/>
  <c r="M1158" i="4"/>
  <c r="L1159" i="4"/>
  <c r="M1159" i="4"/>
  <c r="L1160" i="4"/>
  <c r="M1160" i="4"/>
  <c r="L1161" i="4"/>
  <c r="M1161" i="4"/>
  <c r="L1162" i="4"/>
  <c r="M1162" i="4"/>
  <c r="L1163" i="4"/>
  <c r="M1163" i="4"/>
  <c r="L1164" i="4"/>
  <c r="M1164" i="4"/>
  <c r="L1165" i="4"/>
  <c r="M1165" i="4"/>
  <c r="L1166" i="4"/>
  <c r="M1166" i="4"/>
  <c r="L1167" i="4"/>
  <c r="M1167" i="4"/>
  <c r="L1168" i="4"/>
  <c r="M1168" i="4"/>
  <c r="L1169" i="4"/>
  <c r="M1169" i="4"/>
  <c r="L1170" i="4"/>
  <c r="M1170" i="4"/>
  <c r="L1171" i="4"/>
  <c r="M1171" i="4"/>
  <c r="L1172" i="4"/>
  <c r="M1172" i="4"/>
  <c r="L1173" i="4"/>
  <c r="M1173" i="4"/>
  <c r="L1174" i="4"/>
  <c r="M1174" i="4"/>
  <c r="L1175" i="4"/>
  <c r="M1175" i="4"/>
  <c r="L1176" i="4"/>
  <c r="M1176" i="4"/>
  <c r="L1177" i="4"/>
  <c r="M1177" i="4"/>
  <c r="L1178" i="4"/>
  <c r="M1178" i="4"/>
  <c r="L1179" i="4"/>
  <c r="M1179" i="4"/>
  <c r="L1180" i="4"/>
  <c r="M1180" i="4"/>
  <c r="L1181" i="4"/>
  <c r="M1181" i="4"/>
  <c r="L1182" i="4"/>
  <c r="M1182" i="4"/>
  <c r="L1183" i="4"/>
  <c r="M1183" i="4"/>
  <c r="L1184" i="4"/>
  <c r="M1184" i="4"/>
  <c r="L1185" i="4"/>
  <c r="M1185" i="4"/>
  <c r="L1186" i="4"/>
  <c r="M1186" i="4"/>
  <c r="L1187" i="4"/>
  <c r="M1187" i="4"/>
  <c r="L1188" i="4"/>
  <c r="M1188" i="4"/>
  <c r="L1189" i="4"/>
  <c r="M1189" i="4"/>
  <c r="L1190" i="4"/>
  <c r="M1190" i="4"/>
  <c r="L1191" i="4"/>
  <c r="M1191" i="4"/>
  <c r="L1192" i="4"/>
  <c r="M1192" i="4"/>
  <c r="L1193" i="4"/>
  <c r="M1193" i="4"/>
  <c r="L1194" i="4"/>
  <c r="M1194" i="4"/>
  <c r="L1195" i="4"/>
  <c r="M1195" i="4"/>
  <c r="L1196" i="4"/>
  <c r="M1196" i="4"/>
  <c r="L1197" i="4"/>
  <c r="M1197" i="4"/>
  <c r="L1198" i="4"/>
  <c r="M1198" i="4"/>
  <c r="L1199" i="4"/>
  <c r="M1199" i="4"/>
  <c r="L1200" i="4"/>
  <c r="M1200" i="4"/>
  <c r="L1201" i="4"/>
  <c r="M1201" i="4"/>
  <c r="L1202" i="4"/>
  <c r="M1202" i="4"/>
  <c r="L1203" i="4"/>
  <c r="M1203" i="4"/>
  <c r="L1204" i="4"/>
  <c r="M1204" i="4"/>
  <c r="L1205" i="4"/>
  <c r="M1205" i="4"/>
  <c r="L1206" i="4"/>
  <c r="M1206" i="4"/>
  <c r="L1207" i="4"/>
  <c r="M1207" i="4"/>
  <c r="L1208" i="4"/>
  <c r="M1208" i="4"/>
  <c r="L1209" i="4"/>
  <c r="M1209" i="4"/>
  <c r="L1210" i="4"/>
  <c r="M1210" i="4"/>
  <c r="L1211" i="4"/>
  <c r="M1211" i="4"/>
  <c r="L1212" i="4"/>
  <c r="M1212" i="4"/>
  <c r="L1213" i="4"/>
  <c r="M1213" i="4"/>
  <c r="L1214" i="4"/>
  <c r="M1214" i="4"/>
  <c r="L1215" i="4"/>
  <c r="M1215" i="4"/>
  <c r="L1216" i="4"/>
  <c r="M1216" i="4"/>
  <c r="L1217" i="4"/>
  <c r="M1217" i="4"/>
  <c r="L1218" i="4"/>
  <c r="M1218" i="4"/>
  <c r="L1219" i="4"/>
  <c r="M1219" i="4"/>
  <c r="L1220" i="4"/>
  <c r="M1220" i="4"/>
  <c r="L1221" i="4"/>
  <c r="M1221" i="4"/>
  <c r="L1222" i="4"/>
  <c r="M1222" i="4"/>
  <c r="L1223" i="4"/>
  <c r="M1223" i="4"/>
  <c r="L1224" i="4"/>
  <c r="M1224" i="4"/>
  <c r="L1225" i="4"/>
  <c r="M1225" i="4"/>
  <c r="L1226" i="4"/>
  <c r="M1226" i="4"/>
  <c r="L1227" i="4"/>
  <c r="M1227" i="4"/>
  <c r="L1228" i="4"/>
  <c r="M1228" i="4"/>
  <c r="L1229" i="4"/>
  <c r="M1229" i="4"/>
  <c r="L1230" i="4"/>
  <c r="M1230" i="4"/>
  <c r="L1231" i="4"/>
  <c r="M1231" i="4"/>
  <c r="L1232" i="4"/>
  <c r="M1232" i="4"/>
  <c r="L1233" i="4"/>
  <c r="M1233" i="4"/>
  <c r="L1234" i="4"/>
  <c r="M1234" i="4"/>
  <c r="L1235" i="4"/>
  <c r="M1235" i="4"/>
  <c r="L1236" i="4"/>
  <c r="M1236" i="4"/>
  <c r="L1237" i="4"/>
  <c r="M1237" i="4"/>
  <c r="L1238" i="4"/>
  <c r="M1238" i="4"/>
  <c r="L1239" i="4"/>
  <c r="M1239" i="4"/>
  <c r="L1240" i="4"/>
  <c r="M1240" i="4"/>
  <c r="L1241" i="4"/>
  <c r="M1241" i="4"/>
  <c r="L1242" i="4"/>
  <c r="M1242" i="4"/>
  <c r="L1243" i="4"/>
  <c r="M1243" i="4"/>
  <c r="L1244" i="4"/>
  <c r="M1244" i="4"/>
  <c r="L1245" i="4"/>
  <c r="M1245" i="4"/>
  <c r="L1246" i="4"/>
  <c r="M1246" i="4"/>
  <c r="L1247" i="4"/>
  <c r="M1247" i="4"/>
  <c r="L1248" i="4"/>
  <c r="M1248" i="4"/>
  <c r="L1249" i="4"/>
  <c r="M1249" i="4"/>
  <c r="L1250" i="4"/>
  <c r="M1250" i="4"/>
  <c r="L1251" i="4"/>
  <c r="M1251" i="4"/>
  <c r="L1252" i="4"/>
  <c r="M1252" i="4"/>
  <c r="L1253" i="4"/>
  <c r="M1253" i="4"/>
  <c r="L1254" i="4"/>
  <c r="M1254" i="4"/>
  <c r="L1255" i="4"/>
  <c r="M1255" i="4"/>
  <c r="L1256" i="4"/>
  <c r="M1256" i="4"/>
  <c r="L1257" i="4"/>
  <c r="M1257" i="4"/>
  <c r="L1258" i="4"/>
  <c r="M1258" i="4"/>
  <c r="L1259" i="4"/>
  <c r="M1259" i="4"/>
  <c r="L1260" i="4"/>
  <c r="M1260" i="4"/>
  <c r="L1261" i="4"/>
  <c r="M1261" i="4"/>
  <c r="L1262" i="4"/>
  <c r="M1262" i="4"/>
  <c r="L1263" i="4"/>
  <c r="M1263" i="4"/>
  <c r="L1264" i="4"/>
  <c r="M1264" i="4"/>
  <c r="L1265" i="4"/>
  <c r="M1265" i="4"/>
  <c r="L1266" i="4"/>
  <c r="M1266" i="4"/>
  <c r="L1267" i="4"/>
  <c r="M1267" i="4"/>
  <c r="L1268" i="4"/>
  <c r="M1268" i="4"/>
  <c r="L1269" i="4"/>
  <c r="M1269" i="4"/>
  <c r="L1270" i="4"/>
  <c r="M1270" i="4"/>
  <c r="L1271" i="4"/>
  <c r="M1271" i="4"/>
  <c r="L1272" i="4"/>
  <c r="M1272" i="4"/>
  <c r="L1273" i="4"/>
  <c r="M1273" i="4"/>
  <c r="L1274" i="4"/>
  <c r="M1274" i="4"/>
  <c r="L1275" i="4"/>
  <c r="M1275" i="4"/>
  <c r="L1276" i="4"/>
  <c r="M1276" i="4"/>
  <c r="L1277" i="4"/>
  <c r="M1277" i="4"/>
  <c r="L1278" i="4"/>
  <c r="M1278" i="4"/>
  <c r="L1279" i="4"/>
  <c r="M1279" i="4"/>
  <c r="L1280" i="4"/>
  <c r="M1280" i="4"/>
  <c r="L1281" i="4"/>
  <c r="M1281" i="4"/>
  <c r="L1282" i="4"/>
  <c r="M1282" i="4"/>
  <c r="L1283" i="4"/>
  <c r="M1283" i="4"/>
  <c r="L1284" i="4"/>
  <c r="M1284" i="4"/>
  <c r="L1285" i="4"/>
  <c r="M1285" i="4"/>
  <c r="L1286" i="4"/>
  <c r="M1286" i="4"/>
  <c r="L1287" i="4"/>
  <c r="M1287" i="4"/>
  <c r="L1288" i="4"/>
  <c r="M1288" i="4"/>
  <c r="L1289" i="4"/>
  <c r="M1289" i="4"/>
  <c r="L1290" i="4"/>
  <c r="M1290" i="4"/>
  <c r="L1291" i="4"/>
  <c r="M1291" i="4"/>
  <c r="L1292" i="4"/>
  <c r="M1292" i="4"/>
  <c r="L1293" i="4"/>
  <c r="M1293" i="4"/>
  <c r="L1294" i="4"/>
  <c r="M1294" i="4"/>
  <c r="L1295" i="4"/>
  <c r="M1295" i="4"/>
  <c r="L1296" i="4"/>
  <c r="M1296" i="4"/>
  <c r="L1297" i="4"/>
  <c r="M1297" i="4"/>
  <c r="L1298" i="4"/>
  <c r="M1298" i="4"/>
  <c r="L1299" i="4"/>
  <c r="M1299" i="4"/>
  <c r="L1300" i="4"/>
  <c r="M1300" i="4"/>
  <c r="L1301" i="4"/>
  <c r="M1301" i="4"/>
  <c r="L1302" i="4"/>
  <c r="M1302" i="4"/>
  <c r="L1303" i="4"/>
  <c r="M1303" i="4"/>
  <c r="L1304" i="4"/>
  <c r="M1304" i="4"/>
  <c r="L1305" i="4"/>
  <c r="M1305" i="4"/>
  <c r="L1306" i="4"/>
  <c r="M1306" i="4"/>
  <c r="L1307" i="4"/>
  <c r="M1307" i="4"/>
  <c r="L1308" i="4"/>
  <c r="M1308" i="4"/>
  <c r="L1309" i="4"/>
  <c r="M1309" i="4"/>
  <c r="L1310" i="4"/>
  <c r="M1310" i="4"/>
  <c r="L1311" i="4"/>
  <c r="M1311" i="4"/>
  <c r="L1312" i="4"/>
  <c r="M1312" i="4"/>
  <c r="L1313" i="4"/>
  <c r="M1313" i="4"/>
  <c r="L1314" i="4"/>
  <c r="M1314" i="4"/>
  <c r="L1315" i="4"/>
  <c r="M1315" i="4"/>
  <c r="L1316" i="4"/>
  <c r="M1316" i="4"/>
  <c r="L1317" i="4"/>
  <c r="M1317" i="4"/>
  <c r="L1318" i="4"/>
  <c r="M1318" i="4"/>
  <c r="L1319" i="4"/>
  <c r="M1319" i="4"/>
  <c r="L1320" i="4"/>
  <c r="M1320" i="4"/>
  <c r="L1321" i="4"/>
  <c r="M1321" i="4"/>
  <c r="L1322" i="4"/>
  <c r="M1322" i="4"/>
  <c r="L1323" i="4"/>
  <c r="M1323" i="4"/>
  <c r="L1324" i="4"/>
  <c r="M1324" i="4"/>
  <c r="L1325" i="4"/>
  <c r="M1325" i="4"/>
  <c r="L1326" i="4"/>
  <c r="M1326" i="4"/>
  <c r="L1327" i="4"/>
  <c r="M1327" i="4"/>
  <c r="L1328" i="4"/>
  <c r="M1328" i="4"/>
  <c r="L1329" i="4"/>
  <c r="M1329" i="4"/>
  <c r="L1330" i="4"/>
  <c r="M1330" i="4"/>
  <c r="L1331" i="4"/>
  <c r="M1331" i="4"/>
  <c r="L1332" i="4"/>
  <c r="M1332" i="4"/>
  <c r="L1333" i="4"/>
  <c r="M1333" i="4"/>
  <c r="L1334" i="4"/>
  <c r="M1334" i="4"/>
  <c r="L1335" i="4"/>
  <c r="M1335" i="4"/>
  <c r="L1336" i="4"/>
  <c r="M1336" i="4"/>
  <c r="L1337" i="4"/>
  <c r="M1337" i="4"/>
  <c r="L1338" i="4"/>
  <c r="M1338" i="4"/>
  <c r="L1339" i="4"/>
  <c r="M1339" i="4"/>
  <c r="L1340" i="4"/>
  <c r="M1340" i="4"/>
  <c r="L1341" i="4"/>
  <c r="M1341" i="4"/>
  <c r="L1342" i="4"/>
  <c r="M1342" i="4"/>
  <c r="L1343" i="4"/>
  <c r="M1343" i="4"/>
  <c r="L1344" i="4"/>
  <c r="M1344" i="4"/>
  <c r="L1345" i="4"/>
  <c r="M1345" i="4"/>
  <c r="L1346" i="4"/>
  <c r="M1346" i="4"/>
  <c r="L1347" i="4"/>
  <c r="M1347" i="4"/>
  <c r="L1348" i="4"/>
  <c r="M1348" i="4"/>
  <c r="L1349" i="4"/>
  <c r="M1349" i="4"/>
  <c r="L1350" i="4"/>
  <c r="M1350" i="4"/>
  <c r="L1351" i="4"/>
  <c r="M1351" i="4"/>
  <c r="L1352" i="4"/>
  <c r="M1352" i="4"/>
  <c r="L1353" i="4"/>
  <c r="M1353" i="4"/>
  <c r="L1354" i="4"/>
  <c r="M1354" i="4"/>
  <c r="L1355" i="4"/>
  <c r="M1355" i="4"/>
  <c r="L1356" i="4"/>
  <c r="M1356" i="4"/>
  <c r="L1357" i="4"/>
  <c r="M1357" i="4"/>
  <c r="L1358" i="4"/>
  <c r="M1358" i="4"/>
  <c r="L1359" i="4"/>
  <c r="M1359" i="4"/>
  <c r="L1360" i="4"/>
  <c r="M1360" i="4"/>
  <c r="L1361" i="4"/>
  <c r="M1361" i="4"/>
  <c r="L1362" i="4"/>
  <c r="M1362" i="4"/>
  <c r="L1363" i="4"/>
  <c r="M1363" i="4"/>
  <c r="L1364" i="4"/>
  <c r="M1364" i="4"/>
  <c r="L1365" i="4"/>
  <c r="M1365" i="4"/>
  <c r="L1366" i="4"/>
  <c r="M1366" i="4"/>
  <c r="L1367" i="4"/>
  <c r="M1367" i="4"/>
  <c r="L1368" i="4"/>
  <c r="M1368" i="4"/>
  <c r="L1369" i="4"/>
  <c r="M1369" i="4"/>
  <c r="L1370" i="4"/>
  <c r="M1370" i="4"/>
  <c r="L1371" i="4"/>
  <c r="M1371" i="4"/>
  <c r="L1372" i="4"/>
  <c r="M1372" i="4"/>
  <c r="L1373" i="4"/>
  <c r="M1373" i="4"/>
  <c r="L1374" i="4"/>
  <c r="M1374" i="4"/>
  <c r="L1375" i="4"/>
  <c r="M1375" i="4"/>
  <c r="L1376" i="4"/>
  <c r="M1376" i="4"/>
  <c r="L1377" i="4"/>
  <c r="M1377" i="4"/>
  <c r="L1378" i="4"/>
  <c r="M1378" i="4"/>
  <c r="L1379" i="4"/>
  <c r="M1379" i="4"/>
  <c r="L1380" i="4"/>
  <c r="M1380" i="4"/>
  <c r="L1381" i="4"/>
  <c r="M1381" i="4"/>
  <c r="L1382" i="4"/>
  <c r="M1382" i="4"/>
  <c r="L1383" i="4"/>
  <c r="M1383" i="4"/>
  <c r="L1384" i="4"/>
  <c r="M1384" i="4"/>
  <c r="L1385" i="4"/>
  <c r="M1385" i="4"/>
  <c r="L1386" i="4"/>
  <c r="M1386" i="4"/>
  <c r="L1387" i="4"/>
  <c r="M1387" i="4"/>
  <c r="L1388" i="4"/>
  <c r="M1388" i="4"/>
  <c r="L1389" i="4"/>
  <c r="M1389" i="4"/>
  <c r="L1390" i="4"/>
  <c r="M1390" i="4"/>
  <c r="L1391" i="4"/>
  <c r="M1391" i="4"/>
  <c r="L1392" i="4"/>
  <c r="M1392" i="4"/>
  <c r="L1393" i="4"/>
  <c r="M1393" i="4"/>
  <c r="L1394" i="4"/>
  <c r="M1394" i="4"/>
  <c r="L1395" i="4"/>
  <c r="M1395" i="4"/>
  <c r="L1396" i="4"/>
  <c r="M1396" i="4"/>
  <c r="L1397" i="4"/>
  <c r="M1397" i="4"/>
  <c r="L1398" i="4"/>
  <c r="M1398" i="4"/>
  <c r="L1399" i="4"/>
  <c r="M1399" i="4"/>
  <c r="L1400" i="4"/>
  <c r="M1400" i="4"/>
  <c r="L1401" i="4"/>
  <c r="M1401" i="4"/>
  <c r="L1402" i="4"/>
  <c r="M1402" i="4"/>
  <c r="L1403" i="4"/>
  <c r="M1403" i="4"/>
  <c r="L1404" i="4"/>
  <c r="M1404" i="4"/>
  <c r="L1405" i="4"/>
  <c r="M1405" i="4"/>
  <c r="L1406" i="4"/>
  <c r="M1406" i="4"/>
  <c r="L1407" i="4"/>
  <c r="M1407" i="4"/>
  <c r="L1408" i="4"/>
  <c r="M1408" i="4"/>
  <c r="L1409" i="4"/>
  <c r="M1409" i="4"/>
  <c r="L1410" i="4"/>
  <c r="M1410" i="4"/>
  <c r="L1411" i="4"/>
  <c r="M1411" i="4"/>
  <c r="L1412" i="4"/>
  <c r="M1412" i="4"/>
  <c r="L1413" i="4"/>
  <c r="M1413" i="4"/>
  <c r="L1414" i="4"/>
  <c r="M1414" i="4"/>
  <c r="L1415" i="4"/>
  <c r="M1415" i="4"/>
  <c r="L1416" i="4"/>
  <c r="M1416" i="4"/>
  <c r="L1417" i="4"/>
  <c r="M1417" i="4"/>
  <c r="L1418" i="4"/>
  <c r="M1418" i="4"/>
  <c r="L1419" i="4"/>
  <c r="M1419" i="4"/>
  <c r="L1420" i="4"/>
  <c r="M1420" i="4"/>
  <c r="L1421" i="4"/>
  <c r="M1421" i="4"/>
  <c r="L1422" i="4"/>
  <c r="M1422" i="4"/>
  <c r="L1423" i="4"/>
  <c r="M1423" i="4"/>
  <c r="L1424" i="4"/>
  <c r="M1424" i="4"/>
  <c r="L1425" i="4"/>
  <c r="M1425" i="4"/>
  <c r="L1426" i="4"/>
  <c r="M1426" i="4"/>
  <c r="L1427" i="4"/>
  <c r="M1427" i="4"/>
  <c r="L1428" i="4"/>
  <c r="M1428" i="4"/>
  <c r="L1429" i="4"/>
  <c r="M1429" i="4"/>
  <c r="L1430" i="4"/>
  <c r="M1430" i="4"/>
  <c r="L1431" i="4"/>
  <c r="M1431" i="4"/>
  <c r="L1432" i="4"/>
  <c r="M1432" i="4"/>
  <c r="L1433" i="4"/>
  <c r="M1433" i="4"/>
  <c r="L1434" i="4"/>
  <c r="M1434" i="4"/>
  <c r="L1435" i="4"/>
  <c r="M1435" i="4"/>
  <c r="L1436" i="4"/>
  <c r="M1436" i="4"/>
  <c r="L1437" i="4"/>
  <c r="M1437" i="4"/>
  <c r="L1438" i="4"/>
  <c r="M1438" i="4"/>
  <c r="L1439" i="4"/>
  <c r="M1439" i="4"/>
  <c r="L1440" i="4"/>
  <c r="M1440" i="4"/>
  <c r="L1441" i="4"/>
  <c r="M1441" i="4"/>
  <c r="L1442" i="4"/>
  <c r="M1442" i="4"/>
  <c r="L1443" i="4"/>
  <c r="M1443" i="4"/>
  <c r="L1444" i="4"/>
  <c r="M1444" i="4"/>
  <c r="L1445" i="4"/>
  <c r="M1445" i="4"/>
  <c r="L1446" i="4"/>
  <c r="M1446" i="4"/>
  <c r="L1447" i="4"/>
  <c r="M1447" i="4"/>
  <c r="L1448" i="4"/>
  <c r="M1448" i="4"/>
  <c r="L1449" i="4"/>
  <c r="M1449" i="4"/>
  <c r="L1450" i="4"/>
  <c r="M1450" i="4"/>
  <c r="L1451" i="4"/>
  <c r="M1451" i="4"/>
  <c r="L1452" i="4"/>
  <c r="M1452" i="4"/>
  <c r="L1453" i="4"/>
  <c r="M1453" i="4"/>
  <c r="L1454" i="4"/>
  <c r="M1454" i="4"/>
  <c r="L1455" i="4"/>
  <c r="M1455" i="4"/>
  <c r="L1456" i="4"/>
  <c r="M1456" i="4"/>
  <c r="L1457" i="4"/>
  <c r="M1457" i="4"/>
  <c r="L1458" i="4"/>
  <c r="M1458" i="4"/>
  <c r="L1459" i="4"/>
  <c r="M1459" i="4"/>
  <c r="L1460" i="4"/>
  <c r="M1460" i="4"/>
  <c r="L1461" i="4"/>
  <c r="M1461" i="4"/>
  <c r="L1462" i="4"/>
  <c r="M1462" i="4"/>
  <c r="L1463" i="4"/>
  <c r="M1463" i="4"/>
  <c r="L1464" i="4"/>
  <c r="M1464" i="4"/>
  <c r="L1465" i="4"/>
  <c r="M1465" i="4"/>
  <c r="L1466" i="4"/>
  <c r="M1466" i="4"/>
  <c r="L1467" i="4"/>
  <c r="M1467" i="4"/>
  <c r="L1468" i="4"/>
  <c r="M1468" i="4"/>
  <c r="L1469" i="4"/>
  <c r="M1469" i="4"/>
  <c r="L1470" i="4"/>
  <c r="M1470" i="4"/>
  <c r="L1471" i="4"/>
  <c r="M1471" i="4"/>
  <c r="L1472" i="4"/>
  <c r="M1472" i="4"/>
  <c r="L1473" i="4"/>
  <c r="M1473" i="4"/>
  <c r="L1474" i="4"/>
  <c r="M1474" i="4"/>
  <c r="L1475" i="4"/>
  <c r="M1475" i="4"/>
  <c r="L1476" i="4"/>
  <c r="M1476" i="4"/>
  <c r="L1477" i="4"/>
  <c r="M1477" i="4"/>
  <c r="L1478" i="4"/>
  <c r="M1478" i="4"/>
  <c r="L1479" i="4"/>
  <c r="M1479" i="4"/>
  <c r="M4" i="4"/>
  <c r="L10" i="4"/>
  <c r="M18" i="4"/>
  <c r="M22" i="4"/>
  <c r="L27" i="4"/>
  <c r="M33" i="4"/>
  <c r="M39" i="4"/>
  <c r="M45" i="4"/>
  <c r="L51" i="4"/>
  <c r="M57" i="4"/>
  <c r="L62" i="4"/>
  <c r="M66" i="4"/>
  <c r="L73" i="4"/>
  <c r="M77" i="4"/>
  <c r="L81" i="4"/>
  <c r="L87" i="4"/>
  <c r="L94" i="4"/>
  <c r="M100" i="4"/>
  <c r="L105" i="4"/>
  <c r="L112" i="4"/>
  <c r="L116" i="4"/>
  <c r="L125" i="4"/>
  <c r="M129" i="4"/>
  <c r="M137" i="4"/>
  <c r="M143" i="4"/>
  <c r="L148" i="4"/>
  <c r="L152" i="4"/>
  <c r="M158" i="4"/>
  <c r="L165" i="4"/>
  <c r="M175" i="4"/>
  <c r="M181" i="4"/>
  <c r="L187" i="4"/>
  <c r="M196" i="4"/>
  <c r="M201" i="4"/>
  <c r="M210" i="4"/>
  <c r="L214" i="4"/>
  <c r="M218" i="4"/>
  <c r="M226" i="4"/>
  <c r="L231" i="4"/>
  <c r="M235" i="4"/>
  <c r="L242" i="4"/>
  <c r="L246" i="4"/>
  <c r="M250" i="4"/>
  <c r="L262" i="4"/>
  <c r="M266" i="4"/>
  <c r="L271" i="4"/>
  <c r="M275" i="4"/>
  <c r="M280" i="4"/>
  <c r="L288" i="4"/>
  <c r="M293" i="4"/>
  <c r="M300" i="4"/>
  <c r="M308" i="4"/>
  <c r="L313" i="4"/>
  <c r="M319" i="4"/>
  <c r="M326" i="4"/>
  <c r="L331" i="4"/>
  <c r="M335" i="4"/>
  <c r="L339" i="4"/>
  <c r="L344" i="4"/>
  <c r="M348" i="4"/>
  <c r="L354" i="4"/>
  <c r="L362" i="4"/>
  <c r="L370" i="4"/>
  <c r="M376" i="4"/>
  <c r="L381" i="4"/>
  <c r="L385" i="4"/>
  <c r="L389" i="4"/>
  <c r="L395" i="4"/>
  <c r="M403" i="4"/>
  <c r="M409" i="4"/>
  <c r="M413" i="4"/>
  <c r="M421" i="4"/>
  <c r="M427" i="4"/>
  <c r="L439" i="4"/>
  <c r="L1497" i="4"/>
  <c r="L1503" i="4"/>
  <c r="L1511" i="4"/>
  <c r="L1516" i="4"/>
  <c r="M1520" i="4"/>
  <c r="L1524" i="4"/>
  <c r="L1534" i="4"/>
  <c r="L1543" i="4"/>
  <c r="M1547" i="4"/>
  <c r="L1551" i="4"/>
  <c r="M1555" i="4"/>
  <c r="M1559" i="4"/>
  <c r="M1563" i="4"/>
  <c r="M1567" i="4"/>
  <c r="L1572" i="4"/>
  <c r="L1576" i="4"/>
  <c r="L1580" i="4"/>
  <c r="L1584" i="4"/>
  <c r="M1591" i="4"/>
  <c r="M1597" i="4"/>
  <c r="L1601" i="4"/>
  <c r="M1606" i="4"/>
  <c r="M1610" i="4"/>
  <c r="L1615" i="4"/>
  <c r="M1621" i="4"/>
  <c r="M1625" i="4"/>
  <c r="L1629" i="4"/>
  <c r="M1633" i="4"/>
  <c r="M1638" i="4"/>
  <c r="L1642" i="4"/>
  <c r="L1646" i="4"/>
  <c r="L1650" i="4"/>
  <c r="L1654" i="4"/>
  <c r="L1658" i="4"/>
  <c r="L1664" i="4"/>
  <c r="M1668" i="4"/>
  <c r="M1672" i="4"/>
  <c r="L1676" i="4"/>
  <c r="M1680" i="4"/>
  <c r="M1684" i="4"/>
  <c r="M1690" i="4"/>
  <c r="L1696" i="4"/>
  <c r="M1700" i="4"/>
  <c r="L1708" i="4"/>
  <c r="M1714" i="4"/>
  <c r="M1720" i="4"/>
  <c r="L1724" i="4"/>
  <c r="M1730" i="4"/>
  <c r="M1734" i="4"/>
  <c r="M1740" i="4"/>
  <c r="M1744" i="4"/>
  <c r="M1753" i="4"/>
  <c r="L1757" i="4"/>
  <c r="L1763" i="4"/>
  <c r="L1768" i="4"/>
  <c r="L1772" i="4"/>
  <c r="L1780" i="4"/>
  <c r="M1784" i="4"/>
  <c r="M1788" i="4"/>
  <c r="M1796" i="4"/>
  <c r="M1800" i="4"/>
  <c r="M1806" i="4"/>
  <c r="M1813" i="4"/>
  <c r="L1818" i="4"/>
  <c r="L1822" i="4"/>
  <c r="L1826" i="4"/>
  <c r="L1830" i="4"/>
  <c r="L1834" i="4"/>
  <c r="L1838" i="4"/>
  <c r="L1846" i="4"/>
  <c r="L1850" i="4"/>
  <c r="M1854" i="4"/>
  <c r="L1861" i="4"/>
  <c r="L1866" i="4"/>
  <c r="M1870" i="4"/>
  <c r="L1876" i="4"/>
  <c r="L1880" i="4"/>
  <c r="L1886" i="4"/>
  <c r="M1891" i="4"/>
  <c r="M1895" i="4"/>
  <c r="L1901" i="4"/>
  <c r="M1905" i="4"/>
  <c r="L1919" i="4"/>
  <c r="M1928" i="4"/>
  <c r="L1932" i="4"/>
  <c r="L1944" i="4"/>
  <c r="M1950" i="4"/>
  <c r="L1954" i="4"/>
  <c r="L1958" i="4"/>
  <c r="L1962" i="4"/>
  <c r="M1966" i="4"/>
  <c r="L1970" i="4"/>
  <c r="M1976" i="4"/>
  <c r="M1983" i="4"/>
  <c r="L1991" i="4"/>
  <c r="M1995" i="4"/>
  <c r="L1999" i="4"/>
  <c r="L2003" i="4"/>
  <c r="L2009" i="4"/>
  <c r="L2013" i="4"/>
  <c r="M2023" i="4"/>
  <c r="M2027" i="4"/>
  <c r="L2034" i="4"/>
  <c r="L2038" i="4"/>
  <c r="L2045" i="4"/>
  <c r="M2055" i="4"/>
  <c r="L2059" i="4"/>
  <c r="L2063" i="4"/>
  <c r="M2067" i="4"/>
  <c r="M2071" i="4"/>
  <c r="L2077" i="4"/>
  <c r="M2082" i="4"/>
  <c r="M2087" i="4"/>
  <c r="L2093" i="4"/>
  <c r="L2097" i="4"/>
  <c r="L2101" i="4"/>
  <c r="L2112" i="4"/>
  <c r="L2116" i="4"/>
  <c r="L2122" i="4"/>
  <c r="L2129" i="4"/>
  <c r="M2137" i="4"/>
  <c r="L2149" i="4"/>
  <c r="L2152" i="4"/>
  <c r="L2157" i="4"/>
  <c r="L2161" i="4"/>
  <c r="L2165" i="4"/>
  <c r="L2170" i="4"/>
  <c r="L2177" i="4"/>
  <c r="L2181" i="4"/>
  <c r="L2189" i="4"/>
  <c r="L2193" i="4"/>
  <c r="M2197" i="4"/>
  <c r="L2201" i="4"/>
  <c r="M2206" i="4"/>
  <c r="M2210" i="4"/>
  <c r="L2213" i="4"/>
  <c r="M2217" i="4"/>
  <c r="L2225" i="4"/>
  <c r="M2231" i="4"/>
  <c r="M2236" i="4"/>
  <c r="L2240" i="4"/>
  <c r="M2244" i="4"/>
  <c r="L2248" i="4"/>
  <c r="M2252" i="4"/>
  <c r="M2259" i="4"/>
  <c r="M2271" i="4"/>
  <c r="L2277" i="4"/>
  <c r="M2282" i="4"/>
  <c r="L2292" i="4"/>
  <c r="L2296" i="4"/>
  <c r="L2302" i="4"/>
  <c r="M2306" i="4"/>
  <c r="M2314" i="4"/>
  <c r="M2318" i="4"/>
  <c r="L2322" i="4"/>
  <c r="M2326" i="4"/>
  <c r="M2330" i="4"/>
  <c r="M2335" i="4"/>
  <c r="M2341" i="4"/>
  <c r="L2345" i="4"/>
  <c r="M2355" i="4"/>
  <c r="M2359" i="4"/>
  <c r="L2365" i="4"/>
  <c r="L2369" i="4"/>
  <c r="M2375" i="4"/>
  <c r="M2379" i="4"/>
  <c r="M2387" i="4"/>
  <c r="L2391" i="4"/>
  <c r="M2394" i="4"/>
  <c r="L2398" i="4"/>
  <c r="L2402" i="4"/>
  <c r="L2407" i="4"/>
  <c r="M2415" i="4"/>
  <c r="M2418" i="4"/>
  <c r="M2422" i="4"/>
  <c r="L2426" i="4"/>
  <c r="M2429" i="4"/>
  <c r="M2439" i="4"/>
  <c r="M2444" i="4"/>
  <c r="M2452" i="4"/>
  <c r="L2458" i="4"/>
  <c r="M2462" i="4"/>
  <c r="L2471" i="4"/>
  <c r="L2476" i="4"/>
  <c r="M2480" i="4"/>
  <c r="M2486" i="4"/>
  <c r="L2490" i="4"/>
  <c r="M2495" i="4"/>
  <c r="L2499" i="4"/>
  <c r="M2503" i="4"/>
  <c r="M2507" i="4"/>
  <c r="L2511" i="4"/>
  <c r="L2515" i="4"/>
  <c r="M2518" i="4"/>
  <c r="L2524" i="4"/>
  <c r="M2528" i="4"/>
  <c r="M2534" i="4"/>
  <c r="L2542" i="4"/>
  <c r="M2555" i="4"/>
  <c r="M2559" i="4"/>
  <c r="M2564" i="4"/>
  <c r="M2568" i="4"/>
  <c r="M2575" i="4"/>
  <c r="M2579" i="4"/>
  <c r="L2583" i="4"/>
  <c r="L2588" i="4"/>
  <c r="M2594" i="4"/>
  <c r="L2600" i="4"/>
  <c r="M2607" i="4"/>
  <c r="M2614" i="4"/>
  <c r="M2620" i="4"/>
  <c r="M2624" i="4"/>
  <c r="L2628" i="4"/>
  <c r="L2632" i="4"/>
  <c r="M2636" i="4"/>
  <c r="M2642" i="4"/>
  <c r="M2646" i="4"/>
  <c r="M2659" i="4"/>
  <c r="L2663" i="4"/>
  <c r="L2680" i="4"/>
  <c r="M2684" i="4"/>
  <c r="M2688" i="4"/>
  <c r="L2693" i="4"/>
  <c r="L2697" i="4"/>
  <c r="L2701" i="4"/>
  <c r="L2705" i="4"/>
  <c r="L2709" i="4"/>
  <c r="L2713" i="4"/>
  <c r="L2720" i="4"/>
  <c r="M2724" i="4"/>
  <c r="L2732" i="4"/>
  <c r="L2739" i="4"/>
  <c r="M2743" i="4"/>
  <c r="M2749" i="4"/>
  <c r="M2755" i="4"/>
  <c r="L2761" i="4"/>
  <c r="M2772" i="4"/>
  <c r="L2776" i="4"/>
  <c r="M2780" i="4"/>
  <c r="M2793" i="4"/>
  <c r="M2797" i="4"/>
  <c r="M2802" i="4"/>
  <c r="L2807" i="4"/>
  <c r="M2812" i="4"/>
  <c r="M2816" i="4"/>
  <c r="L2820" i="4"/>
  <c r="L2828" i="4"/>
  <c r="M2835" i="4"/>
  <c r="M2843" i="4"/>
  <c r="M2851" i="4"/>
  <c r="M2855" i="4"/>
  <c r="L2862" i="4"/>
  <c r="M2866" i="4"/>
  <c r="M2870" i="4"/>
  <c r="M2874" i="4"/>
  <c r="L2878" i="4"/>
  <c r="L2882" i="4"/>
  <c r="L2893" i="4"/>
  <c r="M2897" i="4"/>
  <c r="L2901" i="4"/>
  <c r="M2905" i="4"/>
  <c r="L2909" i="4"/>
  <c r="L2914" i="4"/>
  <c r="L2926" i="4"/>
  <c r="L2932" i="4"/>
  <c r="M2938" i="4"/>
  <c r="L2943" i="4"/>
  <c r="M2950" i="4"/>
  <c r="L2954" i="4"/>
  <c r="L2960" i="4"/>
  <c r="M2964" i="4"/>
  <c r="M2968" i="4"/>
  <c r="M2974" i="4"/>
  <c r="L2984" i="4"/>
  <c r="M2991" i="4"/>
  <c r="L2998" i="4"/>
  <c r="L3002" i="4"/>
  <c r="M3006" i="4"/>
  <c r="L3010" i="4"/>
  <c r="M3017" i="4"/>
  <c r="L3021" i="4"/>
  <c r="M3025" i="4"/>
  <c r="M3031" i="4"/>
  <c r="L3035" i="4"/>
  <c r="M3041" i="4"/>
  <c r="M3047" i="4"/>
  <c r="M3053" i="4"/>
  <c r="M3061" i="4"/>
  <c r="M3065" i="4"/>
  <c r="M3074" i="4"/>
  <c r="L3081" i="4"/>
  <c r="M3085" i="4"/>
  <c r="M3089" i="4"/>
  <c r="L3095" i="4"/>
  <c r="L3099" i="4"/>
  <c r="L3103" i="4"/>
  <c r="L3117" i="4"/>
  <c r="L3123" i="4"/>
  <c r="L3128" i="4"/>
  <c r="M3132" i="4"/>
  <c r="L3139" i="4"/>
  <c r="L3143" i="4"/>
  <c r="M3147" i="4"/>
  <c r="L3151" i="4"/>
  <c r="M3155" i="4"/>
  <c r="M3159" i="4"/>
  <c r="L3163" i="4"/>
  <c r="M3167" i="4"/>
  <c r="L3173" i="4"/>
  <c r="L3178" i="4"/>
  <c r="M3182" i="4"/>
  <c r="M3186" i="4"/>
  <c r="L3192" i="4"/>
  <c r="L3196" i="4"/>
  <c r="M3200" i="4"/>
  <c r="L3208" i="4"/>
  <c r="L3212" i="4"/>
  <c r="M3216" i="4"/>
  <c r="L3220" i="4"/>
  <c r="M3226" i="4"/>
  <c r="L3234" i="4"/>
  <c r="L3243" i="4"/>
  <c r="M3246" i="4"/>
  <c r="L3250" i="4"/>
  <c r="M3261" i="4"/>
  <c r="M3268" i="4"/>
  <c r="L3273" i="4"/>
  <c r="L3277" i="4"/>
  <c r="M3282" i="4"/>
  <c r="M3288" i="4"/>
  <c r="M3294" i="4"/>
  <c r="M3298" i="4"/>
  <c r="L3302" i="4"/>
  <c r="L3312" i="4"/>
  <c r="M3316" i="4"/>
  <c r="M3321" i="4"/>
  <c r="M3325" i="4"/>
  <c r="L3329" i="4"/>
  <c r="M3333" i="4"/>
  <c r="L3339" i="4"/>
  <c r="M3343" i="4"/>
  <c r="M3353" i="4"/>
  <c r="M3358" i="4"/>
  <c r="M3362" i="4"/>
  <c r="M3366" i="4"/>
  <c r="M3373" i="4"/>
  <c r="M3377" i="4"/>
  <c r="M3385" i="4"/>
  <c r="L3390" i="4"/>
  <c r="M3394" i="4"/>
  <c r="L3398" i="4"/>
  <c r="M3402" i="4"/>
  <c r="L3409" i="4"/>
  <c r="M3413" i="4"/>
  <c r="M3420" i="4"/>
  <c r="L3426" i="4"/>
  <c r="M3432" i="4"/>
  <c r="M3436" i="4"/>
  <c r="M3441" i="4"/>
  <c r="M3448" i="4"/>
  <c r="M3452" i="4"/>
  <c r="M3458" i="4"/>
  <c r="M3463" i="4"/>
  <c r="L3467" i="4"/>
  <c r="L3473" i="4"/>
  <c r="M3478" i="4"/>
  <c r="L3481" i="4"/>
  <c r="L3485" i="4"/>
  <c r="M3491" i="4"/>
  <c r="L3498" i="4"/>
  <c r="M3502" i="4"/>
  <c r="L3508" i="4"/>
  <c r="L3514" i="4"/>
  <c r="M3521" i="4"/>
  <c r="M3526" i="4"/>
  <c r="L3533" i="4"/>
  <c r="L3537" i="4"/>
  <c r="L3541" i="4"/>
  <c r="L3545" i="4"/>
  <c r="L3549" i="4"/>
  <c r="M3556" i="4"/>
  <c r="M3560" i="4"/>
  <c r="M3564" i="4"/>
  <c r="M3568" i="4"/>
  <c r="M3572" i="4"/>
  <c r="M3581" i="4"/>
  <c r="M3585" i="4"/>
  <c r="M3589" i="4"/>
  <c r="M3593" i="4"/>
  <c r="M3611" i="4"/>
  <c r="M3617" i="4"/>
  <c r="L3623" i="4"/>
  <c r="L3628" i="4"/>
  <c r="M3638" i="4"/>
  <c r="L3646" i="4"/>
  <c r="L3650" i="4"/>
  <c r="L3655" i="4"/>
  <c r="L3659" i="4"/>
  <c r="L3672" i="4"/>
  <c r="M3676" i="4"/>
  <c r="L3681" i="4"/>
  <c r="M3685" i="4"/>
  <c r="M3689" i="4"/>
  <c r="M3697" i="4"/>
  <c r="M3701" i="4"/>
  <c r="L3709" i="4"/>
  <c r="L3714" i="4"/>
  <c r="L3718" i="4"/>
  <c r="L3726" i="4"/>
  <c r="M3730" i="4"/>
  <c r="M3739" i="4"/>
  <c r="L3746" i="4"/>
  <c r="M3753" i="4"/>
  <c r="M3757" i="4"/>
  <c r="M3762" i="4"/>
  <c r="L3766" i="4"/>
  <c r="L3770" i="4"/>
  <c r="L3774" i="4"/>
  <c r="M3779" i="4"/>
  <c r="L3783" i="4"/>
  <c r="L3787" i="4"/>
  <c r="M3792" i="4"/>
  <c r="M3796" i="4"/>
  <c r="L3800" i="4"/>
  <c r="M3808" i="4"/>
  <c r="L3814" i="4"/>
  <c r="M3819" i="4"/>
  <c r="M3823" i="4"/>
  <c r="L3827" i="4"/>
  <c r="M3831" i="4"/>
  <c r="M3842" i="4"/>
  <c r="L3851" i="4"/>
  <c r="M3861" i="4"/>
  <c r="M3865" i="4"/>
  <c r="M3869" i="4"/>
  <c r="M3873" i="4"/>
  <c r="M3877" i="4"/>
  <c r="L3881" i="4"/>
  <c r="M3886" i="4"/>
  <c r="L3891" i="4"/>
  <c r="M3898" i="4"/>
  <c r="M3904" i="4"/>
  <c r="L3915" i="4"/>
  <c r="L3919" i="4"/>
  <c r="L3923" i="4"/>
  <c r="L3929" i="4"/>
  <c r="L3934" i="4"/>
  <c r="L3943" i="4"/>
  <c r="M3952" i="4"/>
  <c r="L3967" i="4"/>
  <c r="L3971" i="4"/>
  <c r="M3980" i="4"/>
  <c r="M3984" i="4"/>
  <c r="M3991" i="4"/>
  <c r="L3995" i="4"/>
  <c r="M3999" i="4"/>
  <c r="L4003" i="4"/>
  <c r="M4007" i="4"/>
  <c r="M4014" i="4"/>
  <c r="L4018" i="4"/>
  <c r="L4022" i="4"/>
  <c r="M4030" i="4"/>
  <c r="L4036" i="4"/>
  <c r="L4040" i="4"/>
  <c r="M4047" i="4"/>
  <c r="L4051" i="4"/>
  <c r="L4055" i="4"/>
  <c r="L4059" i="4"/>
  <c r="L4065" i="4"/>
  <c r="M4069" i="4"/>
  <c r="M4074" i="4"/>
  <c r="M4078" i="4"/>
  <c r="L4084" i="4"/>
  <c r="L4088" i="4"/>
  <c r="M4101" i="4"/>
  <c r="M4106" i="4"/>
  <c r="L4114" i="4"/>
  <c r="L4118" i="4"/>
  <c r="L4122" i="4"/>
  <c r="M4126" i="4"/>
  <c r="M4130" i="4"/>
  <c r="M4135" i="4"/>
  <c r="L4140" i="4"/>
  <c r="M4156" i="4"/>
  <c r="M4168" i="4"/>
  <c r="L4172" i="4"/>
  <c r="M4178" i="4"/>
  <c r="M4185" i="4"/>
  <c r="M4189" i="4"/>
  <c r="M4193" i="4"/>
  <c r="M4206" i="4"/>
  <c r="L4210" i="4"/>
  <c r="M4217" i="4"/>
  <c r="L4221" i="4"/>
  <c r="L4226" i="4"/>
  <c r="M4230" i="4"/>
  <c r="L4234" i="4"/>
  <c r="M4238" i="4"/>
  <c r="M4244" i="4"/>
  <c r="M4250" i="4"/>
  <c r="L4254" i="4"/>
  <c r="L4258" i="4"/>
  <c r="M4262" i="4"/>
  <c r="L4268" i="4"/>
  <c r="L4274" i="4"/>
  <c r="M4280" i="4"/>
  <c r="L4284" i="4"/>
  <c r="M4288" i="4"/>
  <c r="M4292" i="4"/>
  <c r="M4296" i="4"/>
  <c r="M4303" i="4"/>
  <c r="L4307" i="4"/>
  <c r="L4311" i="4"/>
  <c r="M4317" i="4"/>
  <c r="L4322" i="4"/>
  <c r="M4326" i="4"/>
  <c r="M4330" i="4"/>
  <c r="M4334" i="4"/>
  <c r="M4344" i="4"/>
  <c r="M4348" i="4"/>
  <c r="M4352" i="4"/>
  <c r="L4356" i="4"/>
  <c r="M4360" i="4"/>
  <c r="M4367" i="4"/>
  <c r="M4371" i="4"/>
  <c r="M4375" i="4"/>
  <c r="M4393" i="4"/>
  <c r="L4399" i="4"/>
  <c r="M4403" i="4"/>
  <c r="M4409" i="4"/>
  <c r="M4414" i="4"/>
  <c r="L4418" i="4"/>
  <c r="L4422" i="4"/>
  <c r="L4432" i="4"/>
  <c r="M4436" i="4"/>
  <c r="L4440" i="4"/>
  <c r="L4444" i="4"/>
  <c r="M4450" i="4"/>
  <c r="L4458" i="4"/>
  <c r="M4464" i="4"/>
  <c r="L4468" i="4"/>
  <c r="M4472" i="4"/>
  <c r="L4476" i="4"/>
  <c r="M4480" i="4"/>
  <c r="L4486" i="4"/>
  <c r="L4502" i="4"/>
  <c r="M4512" i="4"/>
  <c r="L4516" i="4"/>
  <c r="M4520" i="4"/>
  <c r="M4526" i="4"/>
  <c r="M4530" i="4"/>
  <c r="M4536" i="4"/>
  <c r="L4540" i="4"/>
  <c r="L4544" i="4"/>
  <c r="L4548" i="4"/>
  <c r="M4552" i="4"/>
  <c r="L4560" i="4"/>
  <c r="M4564" i="4"/>
  <c r="M4572" i="4"/>
  <c r="M4578" i="4"/>
  <c r="M4582" i="4"/>
  <c r="L4588" i="4"/>
  <c r="M4592" i="4"/>
  <c r="L4597" i="4"/>
  <c r="L4603" i="4"/>
  <c r="M4607" i="4"/>
  <c r="M4614" i="4"/>
  <c r="L4622" i="4"/>
  <c r="L4628" i="4"/>
  <c r="M4632" i="4"/>
  <c r="L4637" i="4"/>
  <c r="L4641" i="4"/>
  <c r="L4645" i="4"/>
  <c r="M4649" i="4"/>
  <c r="L4653" i="4"/>
  <c r="M4659" i="4"/>
  <c r="L4663" i="4"/>
  <c r="M4667" i="4"/>
  <c r="L4674" i="4"/>
  <c r="L4683" i="4"/>
  <c r="L4688" i="4"/>
  <c r="L4692" i="4"/>
  <c r="L4696" i="4"/>
  <c r="M4700" i="4"/>
  <c r="M4704" i="4"/>
  <c r="L4717" i="4"/>
  <c r="M4725" i="4"/>
  <c r="L4735" i="4"/>
  <c r="L4739" i="4"/>
  <c r="L4743" i="4"/>
  <c r="L4747" i="4"/>
  <c r="M4751" i="4"/>
  <c r="L4758" i="4"/>
  <c r="M4762" i="4"/>
  <c r="M4771" i="4"/>
  <c r="L4774" i="4"/>
  <c r="L4778" i="4"/>
  <c r="L4787" i="4"/>
  <c r="M4792" i="4"/>
  <c r="L4799" i="4"/>
  <c r="M4806" i="4"/>
  <c r="L4810" i="4"/>
  <c r="M4820" i="4"/>
  <c r="M4827" i="4"/>
  <c r="L4831" i="4"/>
  <c r="M4835" i="4"/>
  <c r="L4840" i="4"/>
  <c r="L4844" i="4"/>
  <c r="M4848" i="4"/>
  <c r="M4854" i="4"/>
  <c r="M4860" i="4"/>
  <c r="M4865" i="4"/>
  <c r="L4869" i="4"/>
  <c r="L4877" i="4"/>
  <c r="M4881" i="4"/>
  <c r="M4885" i="4"/>
  <c r="L4890" i="4"/>
  <c r="L4895" i="4"/>
  <c r="L4903" i="4"/>
  <c r="L4910" i="4"/>
  <c r="L4916" i="4"/>
  <c r="M4923" i="4"/>
  <c r="M4928" i="4"/>
  <c r="M4932" i="4"/>
  <c r="L4936" i="4"/>
  <c r="M4940" i="4"/>
  <c r="M4944" i="4"/>
  <c r="L4948" i="4"/>
  <c r="M4959" i="4"/>
  <c r="L4963" i="4"/>
  <c r="L4974" i="4"/>
  <c r="L4985" i="4"/>
  <c r="M4989" i="4"/>
  <c r="L4993" i="4"/>
  <c r="M4997" i="4"/>
  <c r="L5001" i="4"/>
  <c r="M5006" i="4"/>
  <c r="L5012" i="4"/>
  <c r="L5016" i="4"/>
  <c r="L5023" i="4"/>
  <c r="L5028" i="4"/>
  <c r="L5032" i="4"/>
  <c r="M5036" i="4"/>
  <c r="L5042" i="4"/>
  <c r="M5046" i="4"/>
  <c r="M5050" i="4"/>
  <c r="M5056" i="4"/>
  <c r="M5061" i="4"/>
  <c r="L5071" i="4"/>
  <c r="M5077" i="4"/>
  <c r="M5081" i="4"/>
  <c r="M5085" i="4"/>
  <c r="L5092" i="4"/>
  <c r="M5096" i="4"/>
  <c r="M5100" i="4"/>
  <c r="L5104" i="4"/>
  <c r="M5108" i="4"/>
  <c r="L5113" i="4"/>
  <c r="M5117" i="4"/>
  <c r="L5121" i="4"/>
  <c r="M5125" i="4"/>
  <c r="M5130" i="4"/>
  <c r="L5134" i="4"/>
  <c r="M5140" i="4"/>
  <c r="M5145" i="4"/>
  <c r="M5149" i="4"/>
  <c r="M5153" i="4"/>
  <c r="L5157" i="4"/>
  <c r="M5162" i="4"/>
  <c r="M5166" i="4"/>
  <c r="L5169" i="4"/>
  <c r="L5175" i="4"/>
  <c r="L5178" i="4"/>
  <c r="L5182" i="4"/>
  <c r="M5186" i="4"/>
  <c r="L5191" i="4"/>
  <c r="L5195" i="4"/>
  <c r="M5199" i="4"/>
  <c r="L5204" i="4"/>
  <c r="M5206" i="4"/>
  <c r="L5207" i="4"/>
  <c r="M5207" i="4"/>
  <c r="L5208" i="4"/>
  <c r="M5208" i="4"/>
  <c r="L5209" i="4"/>
  <c r="M5209" i="4"/>
  <c r="L5210" i="4"/>
  <c r="M5210" i="4"/>
  <c r="L5211" i="4"/>
  <c r="M5211" i="4"/>
  <c r="L5212" i="4"/>
  <c r="M5212" i="4"/>
  <c r="L5213" i="4"/>
  <c r="M5213" i="4"/>
  <c r="L5214" i="4"/>
  <c r="M5214" i="4"/>
  <c r="L5215" i="4"/>
  <c r="M5215" i="4"/>
  <c r="L5216" i="4"/>
  <c r="M5216" i="4"/>
  <c r="L5217" i="4"/>
  <c r="M5217" i="4"/>
  <c r="L5218" i="4"/>
  <c r="M5218" i="4"/>
  <c r="L5219" i="4"/>
  <c r="M5219" i="4"/>
  <c r="L5220" i="4"/>
  <c r="M5220" i="4"/>
  <c r="L5221" i="4"/>
  <c r="M5221" i="4"/>
  <c r="L5222" i="4"/>
  <c r="M5222" i="4"/>
  <c r="L5223" i="4"/>
  <c r="M5223" i="4"/>
  <c r="L5224" i="4"/>
  <c r="M5224" i="4"/>
  <c r="L5225" i="4"/>
  <c r="M5225" i="4"/>
  <c r="L5226" i="4"/>
  <c r="M5226" i="4"/>
  <c r="L5227" i="4"/>
  <c r="M5227" i="4"/>
  <c r="L5228" i="4"/>
  <c r="M5228" i="4"/>
  <c r="L5229" i="4"/>
  <c r="M5229" i="4"/>
  <c r="L5230" i="4"/>
  <c r="M5230" i="4"/>
  <c r="L5231" i="4"/>
  <c r="M5231" i="4"/>
  <c r="L5232" i="4"/>
  <c r="M5232" i="4"/>
  <c r="L5233" i="4"/>
  <c r="M5233" i="4"/>
  <c r="L5234" i="4"/>
  <c r="M5234" i="4"/>
  <c r="L5235" i="4"/>
  <c r="M5235" i="4"/>
  <c r="L5236" i="4"/>
  <c r="M5236" i="4"/>
  <c r="L5237" i="4"/>
  <c r="M5237" i="4"/>
  <c r="L5238" i="4"/>
  <c r="M5238" i="4"/>
  <c r="L5239" i="4"/>
  <c r="M5239" i="4"/>
  <c r="L5240" i="4"/>
  <c r="M5240" i="4"/>
  <c r="L5241" i="4"/>
  <c r="M5241" i="4"/>
  <c r="L5242" i="4"/>
  <c r="M5242" i="4"/>
  <c r="L5243" i="4"/>
  <c r="M5243" i="4"/>
  <c r="L5244" i="4"/>
  <c r="M5244" i="4"/>
  <c r="L5245" i="4"/>
  <c r="M5245" i="4"/>
  <c r="L5246" i="4"/>
  <c r="M5246" i="4"/>
  <c r="L5247" i="4"/>
  <c r="M5247" i="4"/>
  <c r="L5248" i="4"/>
  <c r="M5248" i="4"/>
  <c r="L5249" i="4"/>
  <c r="M5249" i="4"/>
  <c r="L5250" i="4"/>
  <c r="M5250" i="4"/>
  <c r="L5251" i="4"/>
  <c r="M5251" i="4"/>
  <c r="L5252" i="4"/>
  <c r="M5252" i="4"/>
  <c r="L5253" i="4"/>
  <c r="M5253" i="4"/>
  <c r="L5254" i="4"/>
  <c r="M5254" i="4"/>
  <c r="L5255" i="4"/>
  <c r="M5255" i="4"/>
  <c r="L5256" i="4"/>
  <c r="M5256" i="4"/>
  <c r="L5257" i="4"/>
  <c r="M5257" i="4"/>
  <c r="L5258" i="4"/>
  <c r="M5258" i="4"/>
  <c r="L5259" i="4"/>
  <c r="M5259" i="4"/>
  <c r="L5260" i="4"/>
  <c r="M5260" i="4"/>
  <c r="L5261" i="4"/>
  <c r="M5261" i="4"/>
  <c r="L5262" i="4"/>
  <c r="M5262" i="4"/>
  <c r="L5263" i="4"/>
  <c r="M5263" i="4"/>
  <c r="L5264" i="4"/>
  <c r="M5264" i="4"/>
  <c r="L5265" i="4"/>
  <c r="M5265" i="4"/>
  <c r="L5266" i="4"/>
  <c r="M5266" i="4"/>
  <c r="L5267" i="4"/>
  <c r="M5267" i="4"/>
  <c r="L5268" i="4"/>
  <c r="M5268" i="4"/>
  <c r="L5269" i="4"/>
  <c r="M5269" i="4"/>
  <c r="L5270" i="4"/>
  <c r="M5270" i="4"/>
  <c r="L5271" i="4"/>
  <c r="M5271" i="4"/>
  <c r="L5272" i="4"/>
  <c r="M5272" i="4"/>
  <c r="L5273" i="4"/>
  <c r="M5273" i="4"/>
  <c r="L5274" i="4"/>
  <c r="M5274" i="4"/>
  <c r="L5275" i="4"/>
  <c r="M5275" i="4"/>
  <c r="L5276" i="4"/>
  <c r="M5276" i="4"/>
  <c r="L5277" i="4"/>
  <c r="M5277" i="4"/>
  <c r="L5278" i="4"/>
  <c r="M5278" i="4"/>
  <c r="L5279" i="4"/>
  <c r="M5279" i="4"/>
  <c r="L5280" i="4"/>
  <c r="M5280" i="4"/>
  <c r="L5281" i="4"/>
  <c r="M5281" i="4"/>
  <c r="L5282" i="4"/>
  <c r="M5282" i="4"/>
  <c r="L5283" i="4"/>
  <c r="M5283" i="4"/>
  <c r="L5284" i="4"/>
  <c r="M5284" i="4"/>
  <c r="L5285" i="4"/>
  <c r="M5285" i="4"/>
  <c r="L5286" i="4"/>
  <c r="M5286" i="4"/>
  <c r="L5287" i="4"/>
  <c r="M5287" i="4"/>
  <c r="L5288" i="4"/>
  <c r="M5288" i="4"/>
  <c r="L5289" i="4"/>
  <c r="M5289" i="4"/>
  <c r="L5290" i="4"/>
  <c r="M5290" i="4"/>
  <c r="L5291" i="4"/>
  <c r="M5291" i="4"/>
  <c r="L5292" i="4"/>
  <c r="M5292" i="4"/>
  <c r="L5293" i="4"/>
  <c r="M5293" i="4"/>
  <c r="L5294" i="4"/>
  <c r="M5294" i="4"/>
  <c r="L5295" i="4"/>
  <c r="M5295" i="4"/>
  <c r="L5296" i="4"/>
  <c r="M5296" i="4"/>
  <c r="L5297" i="4"/>
  <c r="M5297" i="4"/>
  <c r="L5298" i="4"/>
  <c r="M5298" i="4"/>
  <c r="L5299" i="4"/>
  <c r="M5299" i="4"/>
  <c r="L5300" i="4"/>
  <c r="M5300" i="4"/>
  <c r="L5301" i="4"/>
  <c r="M5301" i="4"/>
  <c r="L5302" i="4"/>
  <c r="M5302" i="4"/>
  <c r="L5303" i="4"/>
  <c r="M5303" i="4"/>
  <c r="L5304" i="4"/>
  <c r="M5304" i="4"/>
  <c r="L5305" i="4"/>
  <c r="M5305" i="4"/>
  <c r="L5306" i="4"/>
  <c r="M5306" i="4"/>
  <c r="L5307" i="4"/>
  <c r="M5307" i="4"/>
  <c r="L5308" i="4"/>
  <c r="M5308" i="4"/>
  <c r="L5309" i="4"/>
  <c r="M5309" i="4"/>
  <c r="L5310" i="4"/>
  <c r="M5310" i="4"/>
  <c r="L5311" i="4"/>
  <c r="M5311" i="4"/>
  <c r="L5312" i="4"/>
  <c r="M5312" i="4"/>
  <c r="L5313" i="4"/>
  <c r="M5313" i="4"/>
  <c r="L5314" i="4"/>
  <c r="M5314" i="4"/>
  <c r="L5315" i="4"/>
  <c r="M5315" i="4"/>
  <c r="L5316" i="4"/>
  <c r="M5316" i="4"/>
  <c r="L5317" i="4"/>
  <c r="M5317" i="4"/>
  <c r="L5318" i="4"/>
  <c r="M5318" i="4"/>
  <c r="L5319" i="4"/>
  <c r="M5319" i="4"/>
  <c r="L5320" i="4"/>
  <c r="M5320" i="4"/>
  <c r="L5321" i="4"/>
  <c r="M5321" i="4"/>
  <c r="L5322" i="4"/>
  <c r="M5322" i="4"/>
  <c r="L5323" i="4"/>
  <c r="M5323" i="4"/>
  <c r="L5324" i="4"/>
  <c r="M5324" i="4"/>
  <c r="L5325" i="4"/>
  <c r="M5325" i="4"/>
  <c r="L5326" i="4"/>
  <c r="M5326" i="4"/>
  <c r="L5327" i="4"/>
  <c r="M5327" i="4"/>
  <c r="L5328" i="4"/>
  <c r="M5328" i="4"/>
  <c r="L5329" i="4"/>
  <c r="M5329" i="4"/>
  <c r="L5330" i="4"/>
  <c r="M5330" i="4"/>
  <c r="L5331" i="4"/>
  <c r="M5331" i="4"/>
  <c r="L5332" i="4"/>
  <c r="M5332" i="4"/>
  <c r="L5333" i="4"/>
  <c r="M5333" i="4"/>
  <c r="L5334" i="4"/>
  <c r="M5334" i="4"/>
  <c r="L5335" i="4"/>
  <c r="M5335" i="4"/>
  <c r="L5336" i="4"/>
  <c r="M5336" i="4"/>
  <c r="L5337" i="4"/>
  <c r="M5337" i="4"/>
  <c r="L5338" i="4"/>
  <c r="M5338" i="4"/>
  <c r="L5339" i="4"/>
  <c r="M5339" i="4"/>
  <c r="L5340" i="4"/>
  <c r="M5340" i="4"/>
  <c r="L5341" i="4"/>
  <c r="M5341" i="4"/>
  <c r="L5342" i="4"/>
  <c r="M5342" i="4"/>
  <c r="L5343" i="4"/>
  <c r="M5343" i="4"/>
  <c r="L5344" i="4"/>
  <c r="M5344" i="4"/>
  <c r="L5345" i="4"/>
  <c r="M5345" i="4"/>
  <c r="L5346" i="4"/>
  <c r="M5346" i="4"/>
  <c r="L5347" i="4"/>
  <c r="M5347" i="4"/>
  <c r="L5348" i="4"/>
  <c r="M5348" i="4"/>
  <c r="L5349" i="4"/>
  <c r="M5349" i="4"/>
  <c r="L5350" i="4"/>
  <c r="M5350" i="4"/>
  <c r="L5351" i="4"/>
  <c r="M5351" i="4"/>
  <c r="L5352" i="4"/>
  <c r="M5352" i="4"/>
  <c r="L5353" i="4"/>
  <c r="M5353" i="4"/>
  <c r="L5354" i="4"/>
  <c r="M5354" i="4"/>
  <c r="L5355" i="4"/>
  <c r="M5355" i="4"/>
  <c r="L5356" i="4"/>
  <c r="M5356" i="4"/>
  <c r="L5357" i="4"/>
  <c r="M5357" i="4"/>
  <c r="L5358" i="4"/>
  <c r="M5358" i="4"/>
  <c r="L5359" i="4"/>
  <c r="M5359" i="4"/>
  <c r="L5360" i="4"/>
  <c r="M5360" i="4"/>
  <c r="L5361" i="4"/>
  <c r="M5361" i="4"/>
  <c r="L5362" i="4"/>
  <c r="M5362" i="4"/>
  <c r="L5363" i="4"/>
  <c r="M5363" i="4"/>
  <c r="L5364" i="4"/>
  <c r="M5364" i="4"/>
  <c r="L5365" i="4"/>
  <c r="M5365" i="4"/>
  <c r="L5366" i="4"/>
  <c r="M5366" i="4"/>
  <c r="L5367" i="4"/>
  <c r="M5367" i="4"/>
  <c r="L5368" i="4"/>
  <c r="M5368" i="4"/>
  <c r="L5369" i="4"/>
  <c r="M5369" i="4"/>
  <c r="L5370" i="4"/>
  <c r="M5370" i="4"/>
  <c r="L5371" i="4"/>
  <c r="M5371" i="4"/>
  <c r="L5372" i="4"/>
  <c r="M5372" i="4"/>
  <c r="L5373" i="4"/>
  <c r="M5373" i="4"/>
  <c r="L5374" i="4"/>
  <c r="M5374" i="4"/>
  <c r="L5375" i="4"/>
  <c r="M5375" i="4"/>
  <c r="L5376" i="4"/>
  <c r="M5376" i="4"/>
  <c r="L5377" i="4"/>
  <c r="M5377" i="4"/>
  <c r="L5378" i="4"/>
  <c r="M5378" i="4"/>
  <c r="L5379" i="4"/>
  <c r="M5379" i="4"/>
  <c r="L5380" i="4"/>
  <c r="M5380" i="4"/>
  <c r="L5381" i="4"/>
  <c r="M5381" i="4"/>
  <c r="L5382" i="4"/>
  <c r="M5382" i="4"/>
  <c r="L5383" i="4"/>
  <c r="M5383" i="4"/>
  <c r="L5384" i="4"/>
  <c r="M5384" i="4"/>
  <c r="L5385" i="4"/>
  <c r="M5385" i="4"/>
  <c r="L5386" i="4"/>
  <c r="M5386" i="4"/>
  <c r="L5387" i="4"/>
  <c r="M5387" i="4"/>
  <c r="L5388" i="4"/>
  <c r="M5388" i="4"/>
  <c r="L5389" i="4"/>
  <c r="M5389" i="4"/>
  <c r="L5390" i="4"/>
  <c r="M5390" i="4"/>
  <c r="L5391" i="4"/>
  <c r="M5391" i="4"/>
  <c r="L5392" i="4"/>
  <c r="M5392" i="4"/>
  <c r="L5393" i="4"/>
  <c r="M5393" i="4"/>
  <c r="L5394" i="4"/>
  <c r="M5394" i="4"/>
  <c r="L5395" i="4"/>
  <c r="M5395" i="4"/>
  <c r="L5396" i="4"/>
  <c r="M5396" i="4"/>
  <c r="L5397" i="4"/>
  <c r="M5397" i="4"/>
  <c r="L5398" i="4"/>
  <c r="M5398" i="4"/>
  <c r="L5399" i="4"/>
  <c r="M5399" i="4"/>
  <c r="L5400" i="4"/>
  <c r="M5400" i="4"/>
  <c r="L5401" i="4"/>
  <c r="M5401" i="4"/>
  <c r="L5402" i="4"/>
  <c r="M5402" i="4"/>
  <c r="L5403" i="4"/>
  <c r="M5403" i="4"/>
  <c r="L5404" i="4"/>
  <c r="M5404" i="4"/>
  <c r="L5405" i="4"/>
  <c r="M5405" i="4"/>
  <c r="L5406" i="4"/>
  <c r="M5406" i="4"/>
  <c r="L5407" i="4"/>
  <c r="M5407" i="4"/>
  <c r="L5408" i="4"/>
  <c r="M5408" i="4"/>
  <c r="L5409" i="4"/>
  <c r="M5409" i="4"/>
  <c r="L5410" i="4"/>
  <c r="M5410" i="4"/>
  <c r="L5411" i="4"/>
  <c r="M5411" i="4"/>
  <c r="L5412" i="4"/>
  <c r="M5412" i="4"/>
  <c r="L5413" i="4"/>
  <c r="M5413" i="4"/>
  <c r="L5414" i="4"/>
  <c r="M5414" i="4"/>
  <c r="L5415" i="4"/>
  <c r="M5415" i="4"/>
  <c r="L5416" i="4"/>
  <c r="M5416" i="4"/>
  <c r="L5417" i="4"/>
  <c r="M5417" i="4"/>
  <c r="L5418" i="4"/>
  <c r="M5418" i="4"/>
  <c r="L5419" i="4"/>
  <c r="M5419" i="4"/>
  <c r="L5420" i="4"/>
  <c r="M5420" i="4"/>
  <c r="L5421" i="4"/>
  <c r="M5421" i="4"/>
  <c r="L5422" i="4"/>
  <c r="M5422" i="4"/>
  <c r="L5423" i="4"/>
  <c r="M5423" i="4"/>
  <c r="L5424" i="4"/>
  <c r="M5424" i="4"/>
  <c r="L5425" i="4"/>
  <c r="M5425" i="4"/>
  <c r="L5426" i="4"/>
  <c r="M5426" i="4"/>
  <c r="L5427" i="4"/>
  <c r="M5427" i="4"/>
  <c r="L5428" i="4"/>
  <c r="M5428" i="4"/>
  <c r="L5429" i="4"/>
  <c r="M5429" i="4"/>
  <c r="L5430" i="4"/>
  <c r="M5430" i="4"/>
  <c r="L5431" i="4"/>
  <c r="M5431" i="4"/>
  <c r="L5432" i="4"/>
  <c r="M5432" i="4"/>
  <c r="L5433" i="4"/>
  <c r="M5433" i="4"/>
  <c r="L5434" i="4"/>
  <c r="M5434" i="4"/>
  <c r="L5435" i="4"/>
  <c r="M5435" i="4"/>
  <c r="L5436" i="4"/>
  <c r="M5436" i="4"/>
  <c r="L5437" i="4"/>
  <c r="M5437" i="4"/>
  <c r="L5438" i="4"/>
  <c r="M5438" i="4"/>
  <c r="L5439" i="4"/>
  <c r="M5439" i="4"/>
  <c r="L5440" i="4"/>
  <c r="M5440" i="4"/>
  <c r="L5441" i="4"/>
  <c r="M5441" i="4"/>
  <c r="L5442" i="4"/>
  <c r="M5442" i="4"/>
  <c r="L5443" i="4"/>
  <c r="M5443" i="4"/>
  <c r="L5444" i="4"/>
  <c r="M5444" i="4"/>
  <c r="L5445" i="4"/>
  <c r="M5445" i="4"/>
  <c r="L5446" i="4"/>
  <c r="M5446" i="4"/>
  <c r="L5447" i="4"/>
  <c r="M5447" i="4"/>
  <c r="L5448" i="4"/>
  <c r="M5448" i="4"/>
  <c r="L5449" i="4"/>
  <c r="M5449" i="4"/>
  <c r="L5450" i="4"/>
  <c r="M5450" i="4"/>
  <c r="L5451" i="4"/>
  <c r="M5451" i="4"/>
  <c r="L5452" i="4"/>
  <c r="M5452" i="4"/>
  <c r="L5453" i="4"/>
  <c r="M5453" i="4"/>
  <c r="L5454" i="4"/>
  <c r="M5454" i="4"/>
  <c r="L5455" i="4"/>
  <c r="M5455" i="4"/>
  <c r="L5456" i="4"/>
  <c r="M5456" i="4"/>
  <c r="L5457" i="4"/>
  <c r="M5457" i="4"/>
  <c r="L5458" i="4"/>
  <c r="M5458" i="4"/>
  <c r="L5459" i="4"/>
  <c r="M5459" i="4"/>
  <c r="L5460" i="4"/>
  <c r="M5460" i="4"/>
  <c r="L5461" i="4"/>
  <c r="M5461" i="4"/>
  <c r="L5462" i="4"/>
  <c r="M5462" i="4"/>
  <c r="L5463" i="4"/>
  <c r="M5463" i="4"/>
  <c r="L5464" i="4"/>
  <c r="M5464" i="4"/>
  <c r="L5465" i="4"/>
  <c r="M5465" i="4"/>
  <c r="L5466" i="4"/>
  <c r="M5466" i="4"/>
  <c r="L5467" i="4"/>
  <c r="M5467" i="4"/>
  <c r="L5468" i="4"/>
  <c r="M5468" i="4"/>
  <c r="L5469" i="4"/>
  <c r="M5469" i="4"/>
  <c r="L5470" i="4"/>
  <c r="M5470" i="4"/>
  <c r="L5471" i="4"/>
  <c r="M5471" i="4"/>
  <c r="L5472" i="4"/>
  <c r="M5472" i="4"/>
  <c r="L5473" i="4"/>
  <c r="M5473" i="4"/>
  <c r="L5474" i="4"/>
  <c r="M5474" i="4"/>
  <c r="L5475" i="4"/>
  <c r="M5475" i="4"/>
  <c r="L5476" i="4"/>
  <c r="M5476" i="4"/>
  <c r="L5477" i="4"/>
  <c r="M5477" i="4"/>
  <c r="L5478" i="4"/>
  <c r="M5478" i="4"/>
  <c r="L5479" i="4"/>
  <c r="M5479" i="4"/>
  <c r="L5480" i="4"/>
  <c r="M5480" i="4"/>
  <c r="L5481" i="4"/>
  <c r="M5481" i="4"/>
  <c r="L5482" i="4"/>
  <c r="M5482" i="4"/>
  <c r="L5483" i="4"/>
  <c r="M5483" i="4"/>
  <c r="L5484" i="4"/>
  <c r="M5484" i="4"/>
  <c r="L5485" i="4"/>
  <c r="M5485" i="4"/>
  <c r="L5486" i="4"/>
  <c r="M5486" i="4"/>
  <c r="L5487" i="4"/>
  <c r="M5487" i="4"/>
  <c r="L5488" i="4"/>
  <c r="M5488" i="4"/>
  <c r="L5489" i="4"/>
  <c r="M5489" i="4"/>
  <c r="L5490" i="4"/>
  <c r="M5490" i="4"/>
  <c r="L5491" i="4"/>
  <c r="M5491" i="4"/>
  <c r="L5492" i="4"/>
  <c r="M5492" i="4"/>
  <c r="L5493" i="4"/>
  <c r="M5493" i="4"/>
  <c r="L5494" i="4"/>
  <c r="M5494" i="4"/>
  <c r="L5495" i="4"/>
  <c r="M5495" i="4"/>
  <c r="L5496" i="4"/>
  <c r="M5496" i="4"/>
  <c r="L5497" i="4"/>
  <c r="M5497" i="4"/>
  <c r="L5498" i="4"/>
  <c r="M5498" i="4"/>
  <c r="L5499" i="4"/>
  <c r="M5499" i="4"/>
  <c r="L5500" i="4"/>
  <c r="M5500" i="4"/>
  <c r="L5501" i="4"/>
  <c r="M5501" i="4"/>
  <c r="L5502" i="4"/>
  <c r="M5502" i="4"/>
  <c r="L5503" i="4"/>
  <c r="M5503" i="4"/>
  <c r="L5504" i="4"/>
  <c r="M5504" i="4"/>
  <c r="L5505" i="4"/>
  <c r="M5505" i="4"/>
  <c r="L5506" i="4"/>
  <c r="M5506" i="4"/>
  <c r="L5507" i="4"/>
  <c r="M5507" i="4"/>
  <c r="L5508" i="4"/>
  <c r="M5508" i="4"/>
  <c r="L5509" i="4"/>
  <c r="M5509" i="4"/>
  <c r="L5510" i="4"/>
  <c r="M5510" i="4"/>
  <c r="L5511" i="4"/>
  <c r="M5511" i="4"/>
  <c r="L5512" i="4"/>
  <c r="M5512" i="4"/>
  <c r="L5513" i="4"/>
  <c r="M5513" i="4"/>
  <c r="L5514" i="4"/>
  <c r="M5514" i="4"/>
  <c r="L5515" i="4"/>
  <c r="M5515" i="4"/>
  <c r="L5516" i="4"/>
  <c r="M5516" i="4"/>
  <c r="L5517" i="4"/>
  <c r="M5517" i="4"/>
  <c r="L5518" i="4"/>
  <c r="M5518" i="4"/>
  <c r="L5519" i="4"/>
  <c r="M5519" i="4"/>
  <c r="L5520" i="4"/>
  <c r="M5520" i="4"/>
  <c r="L5521" i="4"/>
  <c r="M5521" i="4"/>
  <c r="L5522" i="4"/>
  <c r="M5522" i="4"/>
  <c r="L5523" i="4"/>
  <c r="M5523" i="4"/>
  <c r="L5524" i="4"/>
  <c r="M5524" i="4"/>
  <c r="L5525" i="4"/>
  <c r="M5525" i="4"/>
  <c r="L5526" i="4"/>
  <c r="M5526" i="4"/>
  <c r="L5527" i="4"/>
  <c r="M5527" i="4"/>
  <c r="L5528" i="4"/>
  <c r="M5528" i="4"/>
  <c r="L5529" i="4"/>
  <c r="M5529" i="4"/>
  <c r="L5530" i="4"/>
  <c r="M5530" i="4"/>
  <c r="L5531" i="4"/>
  <c r="M5531" i="4"/>
  <c r="L5532" i="4"/>
  <c r="M5532" i="4"/>
  <c r="L5533" i="4"/>
  <c r="M5533" i="4"/>
  <c r="L5534" i="4"/>
  <c r="M5534" i="4"/>
  <c r="L5535" i="4"/>
  <c r="M5535" i="4"/>
  <c r="L5536" i="4"/>
  <c r="M5536" i="4"/>
  <c r="L5537" i="4"/>
  <c r="M5537" i="4"/>
  <c r="L5538" i="4"/>
  <c r="M5538" i="4"/>
  <c r="L5539" i="4"/>
  <c r="M5539" i="4"/>
  <c r="L5540" i="4"/>
  <c r="M5540" i="4"/>
  <c r="L5541" i="4"/>
  <c r="M5541" i="4"/>
  <c r="L5542" i="4"/>
  <c r="M5542" i="4"/>
  <c r="L5543" i="4"/>
  <c r="M5543" i="4"/>
  <c r="L5544" i="4"/>
  <c r="M5544" i="4"/>
  <c r="L5545" i="4"/>
  <c r="M5545" i="4"/>
  <c r="L5546" i="4"/>
  <c r="M5546" i="4"/>
  <c r="L5547" i="4"/>
  <c r="M5547" i="4"/>
  <c r="L5548" i="4"/>
  <c r="M5548" i="4"/>
  <c r="L5549" i="4"/>
  <c r="M5549" i="4"/>
  <c r="L5550" i="4"/>
  <c r="M5550" i="4"/>
  <c r="L5551" i="4"/>
  <c r="M5551" i="4"/>
  <c r="L5552" i="4"/>
  <c r="M5552" i="4"/>
  <c r="L5553" i="4"/>
  <c r="M5553" i="4"/>
  <c r="L5554" i="4"/>
  <c r="M5554" i="4"/>
  <c r="L5555" i="4"/>
  <c r="M5555" i="4"/>
  <c r="L5556" i="4"/>
  <c r="M5556" i="4"/>
  <c r="L5557" i="4"/>
  <c r="M5557" i="4"/>
  <c r="L5558" i="4"/>
  <c r="M5558" i="4"/>
  <c r="L5559" i="4"/>
  <c r="M5559" i="4"/>
  <c r="L5560" i="4"/>
  <c r="M5560" i="4"/>
  <c r="L5561" i="4"/>
  <c r="M5561" i="4"/>
  <c r="L5562" i="4"/>
  <c r="M5562" i="4"/>
  <c r="L5563" i="4"/>
  <c r="M5563" i="4"/>
  <c r="L5564" i="4"/>
  <c r="M5564" i="4"/>
  <c r="L5565" i="4"/>
  <c r="M5565" i="4"/>
  <c r="L5566" i="4"/>
  <c r="M5566" i="4"/>
  <c r="L5567" i="4"/>
  <c r="M5567" i="4"/>
  <c r="L5568" i="4"/>
  <c r="M5568" i="4"/>
  <c r="L5569" i="4"/>
  <c r="M5569" i="4"/>
  <c r="L5570" i="4"/>
  <c r="M5570" i="4"/>
  <c r="L5571" i="4"/>
  <c r="M5571" i="4"/>
  <c r="L5572" i="4"/>
  <c r="M5572" i="4"/>
  <c r="L5573" i="4"/>
  <c r="M5573" i="4"/>
  <c r="L5574" i="4"/>
  <c r="M5574" i="4"/>
  <c r="L5575" i="4"/>
  <c r="M5575" i="4"/>
  <c r="L5576" i="4"/>
  <c r="M5576" i="4"/>
  <c r="L5577" i="4"/>
  <c r="M5577" i="4"/>
  <c r="L5578" i="4"/>
  <c r="M5578" i="4"/>
  <c r="L5579" i="4"/>
  <c r="M5579" i="4"/>
  <c r="L5580" i="4"/>
  <c r="M5580" i="4"/>
  <c r="L5581" i="4"/>
  <c r="M5581" i="4"/>
  <c r="L5582" i="4"/>
  <c r="M5582" i="4"/>
  <c r="L5583" i="4"/>
  <c r="M5583" i="4"/>
  <c r="L5584" i="4"/>
  <c r="M5584" i="4"/>
  <c r="L5585" i="4"/>
  <c r="M5585" i="4"/>
  <c r="L5586" i="4"/>
  <c r="M5586" i="4"/>
  <c r="L5587" i="4"/>
  <c r="M5587" i="4"/>
  <c r="L5588" i="4"/>
  <c r="M5588" i="4"/>
  <c r="L5589" i="4"/>
  <c r="M5589" i="4"/>
  <c r="L5590" i="4"/>
  <c r="M5590" i="4"/>
  <c r="L5591" i="4"/>
  <c r="M5591" i="4"/>
  <c r="L5592" i="4"/>
  <c r="M5592" i="4"/>
  <c r="L5593" i="4"/>
  <c r="M5593" i="4"/>
  <c r="L5594" i="4"/>
  <c r="M5594" i="4"/>
  <c r="L5595" i="4"/>
  <c r="M5595" i="4"/>
  <c r="L5596" i="4"/>
  <c r="M5596" i="4"/>
  <c r="L5597" i="4"/>
  <c r="M5597" i="4"/>
  <c r="L5598" i="4"/>
  <c r="M5598" i="4"/>
  <c r="L5599" i="4"/>
  <c r="M5599" i="4"/>
  <c r="L5600" i="4"/>
  <c r="M5600" i="4"/>
  <c r="L5601" i="4"/>
  <c r="M5601" i="4"/>
  <c r="L5602" i="4"/>
  <c r="M5602" i="4"/>
  <c r="L5603" i="4"/>
  <c r="M5603" i="4"/>
  <c r="L5604" i="4"/>
  <c r="M5604" i="4"/>
  <c r="L5605" i="4"/>
  <c r="M5605" i="4"/>
  <c r="L5606" i="4"/>
  <c r="M5606" i="4"/>
  <c r="L5607" i="4"/>
  <c r="M5607" i="4"/>
  <c r="L5608" i="4"/>
  <c r="M5608" i="4"/>
  <c r="L5609" i="4"/>
  <c r="M5609" i="4"/>
  <c r="L5610" i="4"/>
  <c r="M5610" i="4"/>
  <c r="L5611" i="4"/>
  <c r="M5611" i="4"/>
  <c r="L5612" i="4"/>
  <c r="M5612" i="4"/>
  <c r="L5613" i="4"/>
  <c r="M5613" i="4"/>
  <c r="L5614" i="4"/>
  <c r="M5614" i="4"/>
  <c r="L5615" i="4"/>
  <c r="M5615" i="4"/>
  <c r="L5616" i="4"/>
  <c r="M5616" i="4"/>
  <c r="L5617" i="4"/>
  <c r="M5617" i="4"/>
  <c r="L5618" i="4"/>
  <c r="M5618" i="4"/>
  <c r="L5619" i="4"/>
  <c r="M5619" i="4"/>
  <c r="L5620" i="4"/>
  <c r="M5620" i="4"/>
  <c r="L5621" i="4"/>
  <c r="M5621" i="4"/>
  <c r="L5622" i="4"/>
  <c r="M5622" i="4"/>
  <c r="L5623" i="4"/>
  <c r="M5623" i="4"/>
  <c r="L5624" i="4"/>
  <c r="M5624" i="4"/>
  <c r="L5625" i="4"/>
  <c r="M5625" i="4"/>
  <c r="L5626" i="4"/>
  <c r="M5626" i="4"/>
  <c r="L5627" i="4"/>
  <c r="M5627" i="4"/>
  <c r="L5628" i="4"/>
  <c r="M5628" i="4"/>
  <c r="L5629" i="4"/>
  <c r="M5629" i="4"/>
  <c r="L5630" i="4"/>
  <c r="M5630" i="4"/>
  <c r="L5631" i="4"/>
  <c r="M5631" i="4"/>
  <c r="L5632" i="4"/>
  <c r="M5632" i="4"/>
  <c r="L5633" i="4"/>
  <c r="M5633" i="4"/>
  <c r="L5634" i="4"/>
  <c r="M5634" i="4"/>
  <c r="L5635" i="4"/>
  <c r="M5635" i="4"/>
  <c r="L5636" i="4"/>
  <c r="M5636" i="4"/>
  <c r="L5637" i="4"/>
  <c r="M5637" i="4"/>
  <c r="L5638" i="4"/>
  <c r="M5638" i="4"/>
  <c r="L5639" i="4"/>
  <c r="M5639" i="4"/>
  <c r="L5640" i="4"/>
  <c r="M5640" i="4"/>
  <c r="L5641" i="4"/>
  <c r="M5641" i="4"/>
  <c r="L5642" i="4"/>
  <c r="M5642" i="4"/>
  <c r="L5643" i="4"/>
  <c r="M5643" i="4"/>
  <c r="L5644" i="4"/>
  <c r="M5644" i="4"/>
  <c r="L5645" i="4"/>
  <c r="M5645" i="4"/>
  <c r="L5646" i="4"/>
  <c r="M5646" i="4"/>
  <c r="L5647" i="4"/>
  <c r="M5647" i="4"/>
  <c r="L5648" i="4"/>
  <c r="M5648" i="4"/>
  <c r="L5649" i="4"/>
  <c r="M5649" i="4"/>
  <c r="L5650" i="4"/>
  <c r="M5650" i="4"/>
  <c r="L5651" i="4"/>
  <c r="M5651" i="4"/>
  <c r="L5652" i="4"/>
  <c r="M5652" i="4"/>
  <c r="L5653" i="4"/>
  <c r="M5653" i="4"/>
  <c r="L5654" i="4"/>
  <c r="M5654" i="4"/>
  <c r="L5655" i="4"/>
  <c r="M5655" i="4"/>
  <c r="L5656" i="4"/>
  <c r="M5656" i="4"/>
  <c r="L5657" i="4"/>
  <c r="M5657" i="4"/>
  <c r="L5658" i="4"/>
  <c r="M5658" i="4"/>
  <c r="L5659" i="4"/>
  <c r="M5659" i="4"/>
  <c r="L5660" i="4"/>
  <c r="M5660" i="4"/>
  <c r="L5661" i="4"/>
  <c r="M5661" i="4"/>
  <c r="L5662" i="4"/>
  <c r="M5662" i="4"/>
  <c r="L5663" i="4"/>
  <c r="M5663" i="4"/>
  <c r="L5664" i="4"/>
  <c r="M5664" i="4"/>
  <c r="L5665" i="4"/>
  <c r="M5665" i="4"/>
  <c r="L5666" i="4"/>
  <c r="M5666" i="4"/>
  <c r="L5667" i="4"/>
  <c r="M5667" i="4"/>
  <c r="L5668" i="4"/>
  <c r="M5668" i="4"/>
  <c r="L5669" i="4"/>
  <c r="M5669" i="4"/>
  <c r="L5670" i="4"/>
  <c r="M5670" i="4"/>
  <c r="L5671" i="4"/>
  <c r="M5671" i="4"/>
  <c r="L5672" i="4"/>
  <c r="M5672" i="4"/>
  <c r="L5673" i="4"/>
  <c r="M5673" i="4"/>
  <c r="L5674" i="4"/>
  <c r="M5674" i="4"/>
  <c r="L5675" i="4"/>
  <c r="M5675" i="4"/>
  <c r="L5676" i="4"/>
  <c r="M5676" i="4"/>
  <c r="L5677" i="4"/>
  <c r="M5677" i="4"/>
  <c r="L5678" i="4"/>
  <c r="M5678" i="4"/>
  <c r="L5679" i="4"/>
  <c r="M5679" i="4"/>
  <c r="L5680" i="4"/>
  <c r="M5680" i="4"/>
  <c r="L5681" i="4"/>
  <c r="M5681" i="4"/>
  <c r="L5682" i="4"/>
  <c r="M5682" i="4"/>
  <c r="L5683" i="4"/>
  <c r="M5683" i="4"/>
  <c r="L5684" i="4"/>
  <c r="M5684" i="4"/>
  <c r="L5685" i="4"/>
  <c r="M5685" i="4"/>
  <c r="L5686" i="4"/>
  <c r="M5686" i="4"/>
  <c r="L5687" i="4"/>
  <c r="M5687" i="4"/>
  <c r="L5688" i="4"/>
  <c r="M5688" i="4"/>
  <c r="L5689" i="4"/>
  <c r="M5689" i="4"/>
  <c r="L5690" i="4"/>
  <c r="M5690" i="4"/>
  <c r="L5691" i="4"/>
  <c r="M5691" i="4"/>
  <c r="L5692" i="4"/>
  <c r="M5692" i="4"/>
  <c r="L5693" i="4"/>
  <c r="M5693" i="4"/>
  <c r="L5694" i="4"/>
  <c r="M5694" i="4"/>
  <c r="L5695" i="4"/>
  <c r="M5695" i="4"/>
  <c r="L5696" i="4"/>
  <c r="M5696" i="4"/>
  <c r="L5697" i="4"/>
  <c r="M5697" i="4"/>
  <c r="L5698" i="4"/>
  <c r="M5698" i="4"/>
  <c r="L5699" i="4"/>
  <c r="M5699" i="4"/>
  <c r="L5700" i="4"/>
  <c r="M5700" i="4"/>
  <c r="L5701" i="4"/>
  <c r="M5701" i="4"/>
  <c r="L5702" i="4"/>
  <c r="M5702" i="4"/>
  <c r="L5703" i="4"/>
  <c r="M5703" i="4"/>
  <c r="L5704" i="4"/>
  <c r="M5704" i="4"/>
  <c r="L5705" i="4"/>
  <c r="M5705" i="4"/>
  <c r="L5706" i="4"/>
  <c r="M5706" i="4"/>
  <c r="L5707" i="4"/>
  <c r="M5707" i="4"/>
  <c r="L5708" i="4"/>
  <c r="M5708" i="4"/>
  <c r="L5709" i="4"/>
  <c r="M5709" i="4"/>
  <c r="L5710" i="4"/>
  <c r="M5710" i="4"/>
  <c r="L5711" i="4"/>
  <c r="M5711" i="4"/>
  <c r="L5712" i="4"/>
  <c r="M5712" i="4"/>
  <c r="L5713" i="4"/>
  <c r="M5713" i="4"/>
  <c r="L5714" i="4"/>
  <c r="M5714" i="4"/>
  <c r="L5715" i="4"/>
  <c r="M5715" i="4"/>
  <c r="L5716" i="4"/>
  <c r="M5716" i="4"/>
  <c r="L5717" i="4"/>
  <c r="M5717" i="4"/>
  <c r="L5718" i="4"/>
  <c r="M5718" i="4"/>
  <c r="L5719" i="4"/>
  <c r="M5719" i="4"/>
  <c r="L5720" i="4"/>
  <c r="M5720" i="4"/>
  <c r="L5721" i="4"/>
  <c r="M5721" i="4"/>
  <c r="L5722" i="4"/>
  <c r="M5722" i="4"/>
  <c r="L5723" i="4"/>
  <c r="M5723" i="4"/>
  <c r="L5724" i="4"/>
  <c r="M5724" i="4"/>
  <c r="L5725" i="4"/>
  <c r="M5725" i="4"/>
  <c r="L5726" i="4"/>
  <c r="M5726" i="4"/>
  <c r="L5727" i="4"/>
  <c r="M5727" i="4"/>
  <c r="L5728" i="4"/>
  <c r="M5728" i="4"/>
  <c r="L5729" i="4"/>
  <c r="M5729" i="4"/>
  <c r="L5730" i="4"/>
  <c r="M5730" i="4"/>
  <c r="L5731" i="4"/>
  <c r="M5731" i="4"/>
  <c r="L5732" i="4"/>
  <c r="M5732" i="4"/>
  <c r="L5733" i="4"/>
  <c r="M5733" i="4"/>
  <c r="L5734" i="4"/>
  <c r="M5734" i="4"/>
  <c r="L5735" i="4"/>
  <c r="M5735" i="4"/>
  <c r="L5736" i="4"/>
  <c r="M5736" i="4"/>
  <c r="L5737" i="4"/>
  <c r="M5737" i="4"/>
  <c r="L5738" i="4"/>
  <c r="M5738" i="4"/>
  <c r="L5739" i="4"/>
  <c r="M5739" i="4"/>
  <c r="L5740" i="4"/>
  <c r="M5740" i="4"/>
  <c r="L5741" i="4"/>
  <c r="M5741" i="4"/>
  <c r="L5742" i="4"/>
  <c r="M5742" i="4"/>
  <c r="L5743" i="4"/>
  <c r="M5743" i="4"/>
  <c r="L5744" i="4"/>
  <c r="M5744" i="4"/>
  <c r="L5745" i="4"/>
  <c r="M5745" i="4"/>
  <c r="L5746" i="4"/>
  <c r="M5746" i="4"/>
  <c r="L5747" i="4"/>
  <c r="M5747" i="4"/>
  <c r="L5748" i="4"/>
  <c r="M5748" i="4"/>
  <c r="L5749" i="4"/>
  <c r="M5749" i="4"/>
  <c r="L5750" i="4"/>
  <c r="M5750" i="4"/>
  <c r="L5751" i="4"/>
  <c r="M5751" i="4"/>
  <c r="L5752" i="4"/>
  <c r="M5752" i="4"/>
  <c r="L5753" i="4"/>
  <c r="M5753" i="4"/>
  <c r="L5754" i="4"/>
  <c r="M5754" i="4"/>
  <c r="L5755" i="4"/>
  <c r="M5755" i="4"/>
  <c r="L5756" i="4"/>
  <c r="M5756" i="4"/>
  <c r="L5757" i="4"/>
  <c r="M5757" i="4"/>
  <c r="L5758" i="4"/>
  <c r="M5758" i="4"/>
  <c r="L5759" i="4"/>
  <c r="M5759" i="4"/>
  <c r="L5760" i="4"/>
  <c r="M5760" i="4"/>
  <c r="L5761" i="4"/>
  <c r="M5761" i="4"/>
  <c r="L5762" i="4"/>
  <c r="M5762" i="4"/>
  <c r="L5763" i="4"/>
  <c r="M5763" i="4"/>
  <c r="L5764" i="4"/>
  <c r="M5764" i="4"/>
  <c r="L5765" i="4"/>
  <c r="M5765" i="4"/>
  <c r="L5766" i="4"/>
  <c r="M5766" i="4"/>
  <c r="L5767" i="4"/>
  <c r="M5767" i="4"/>
  <c r="L5768" i="4"/>
  <c r="M5768" i="4"/>
  <c r="L5769" i="4"/>
  <c r="M5769" i="4"/>
  <c r="L5770" i="4"/>
  <c r="M5770" i="4"/>
  <c r="L5771" i="4"/>
  <c r="M5771" i="4"/>
  <c r="L5772" i="4"/>
  <c r="M5772" i="4"/>
  <c r="L5773" i="4"/>
  <c r="M5773" i="4"/>
  <c r="L5774" i="4"/>
  <c r="M5774" i="4"/>
  <c r="L5775" i="4"/>
  <c r="M5775" i="4"/>
  <c r="L5776" i="4"/>
  <c r="M5776" i="4"/>
  <c r="L5777" i="4"/>
  <c r="M5777" i="4"/>
  <c r="L5778" i="4"/>
  <c r="M5778" i="4"/>
  <c r="L5779" i="4"/>
  <c r="M5779" i="4"/>
  <c r="L5780" i="4"/>
  <c r="M5780" i="4"/>
  <c r="L5781" i="4"/>
  <c r="M5781" i="4"/>
  <c r="L5782" i="4"/>
  <c r="M5782" i="4"/>
  <c r="L5783" i="4"/>
  <c r="M5783" i="4"/>
  <c r="L5784" i="4"/>
  <c r="M5784" i="4"/>
  <c r="L5785" i="4"/>
  <c r="M5785" i="4"/>
  <c r="L5786" i="4"/>
  <c r="M5786" i="4"/>
  <c r="L5787" i="4"/>
  <c r="M5787" i="4"/>
  <c r="L5788" i="4"/>
  <c r="M5788" i="4"/>
  <c r="L5789" i="4"/>
  <c r="M5789" i="4"/>
  <c r="L5790" i="4"/>
  <c r="M5790" i="4"/>
  <c r="L5791" i="4"/>
  <c r="M5791" i="4"/>
  <c r="L5792" i="4"/>
  <c r="M5792" i="4"/>
  <c r="L5793" i="4"/>
  <c r="M5793" i="4"/>
  <c r="L5794" i="4"/>
  <c r="M5794" i="4"/>
  <c r="L5795" i="4"/>
  <c r="M5795" i="4"/>
  <c r="L5796" i="4"/>
  <c r="M5796" i="4"/>
  <c r="L5797" i="4"/>
  <c r="M5797" i="4"/>
  <c r="L5798" i="4"/>
  <c r="M5798" i="4"/>
  <c r="L5799" i="4"/>
  <c r="M5799" i="4"/>
  <c r="L5800" i="4"/>
  <c r="M5800" i="4"/>
  <c r="L5801" i="4"/>
  <c r="M5801" i="4"/>
  <c r="L5802" i="4"/>
  <c r="M5802" i="4"/>
  <c r="L5803" i="4"/>
  <c r="M5803" i="4"/>
  <c r="L5804" i="4"/>
  <c r="M5804" i="4"/>
  <c r="L5805" i="4"/>
  <c r="M5805" i="4"/>
  <c r="L5806" i="4"/>
  <c r="M5806" i="4"/>
  <c r="L5807" i="4"/>
  <c r="M5807" i="4"/>
  <c r="L5808" i="4"/>
  <c r="M5808" i="4"/>
  <c r="L5809" i="4"/>
  <c r="M5809" i="4"/>
  <c r="L5810" i="4"/>
  <c r="M5810" i="4"/>
  <c r="L5811" i="4"/>
  <c r="M5811" i="4"/>
  <c r="L5812" i="4"/>
  <c r="M5812" i="4"/>
  <c r="L7" i="4"/>
  <c r="L11" i="4"/>
  <c r="M16" i="4"/>
  <c r="L25" i="4"/>
  <c r="L34" i="4"/>
  <c r="M40" i="4"/>
  <c r="M46" i="4"/>
  <c r="L54" i="4"/>
  <c r="M58" i="4"/>
  <c r="L65" i="4"/>
  <c r="L71" i="4"/>
  <c r="M80" i="4"/>
  <c r="M85" i="4"/>
  <c r="M90" i="4"/>
  <c r="M96" i="4"/>
  <c r="L104" i="4"/>
  <c r="M118" i="4"/>
  <c r="L122" i="4"/>
  <c r="M133" i="4"/>
  <c r="M139" i="4"/>
  <c r="L146" i="4"/>
  <c r="M150" i="4"/>
  <c r="M156" i="4"/>
  <c r="M160" i="4"/>
  <c r="L164" i="4"/>
  <c r="L172" i="4"/>
  <c r="L177" i="4"/>
  <c r="M182" i="4"/>
  <c r="M188" i="4"/>
  <c r="L195" i="4"/>
  <c r="M202" i="4"/>
  <c r="L208" i="4"/>
  <c r="M214" i="4"/>
  <c r="L220" i="4"/>
  <c r="M224" i="4"/>
  <c r="L232" i="4"/>
  <c r="L244" i="4"/>
  <c r="M252" i="4"/>
  <c r="L269" i="4"/>
  <c r="M276" i="4"/>
  <c r="M281" i="4"/>
  <c r="L285" i="4"/>
  <c r="L289" i="4"/>
  <c r="L296" i="4"/>
  <c r="L302" i="4"/>
  <c r="M309" i="4"/>
  <c r="L317" i="4"/>
  <c r="M323" i="4"/>
  <c r="M330" i="4"/>
  <c r="L335" i="4"/>
  <c r="M341" i="4"/>
  <c r="M347" i="4"/>
  <c r="M353" i="4"/>
  <c r="L358" i="4"/>
  <c r="L363" i="4"/>
  <c r="L367" i="4"/>
  <c r="L387" i="4"/>
  <c r="L391" i="4"/>
  <c r="L397" i="4"/>
  <c r="L402" i="4"/>
  <c r="L408" i="4"/>
  <c r="M415" i="4"/>
  <c r="L419" i="4"/>
  <c r="M423" i="4"/>
  <c r="M428" i="4"/>
  <c r="M434" i="4"/>
  <c r="L440" i="4"/>
  <c r="M1495" i="4"/>
  <c r="L1499" i="4"/>
  <c r="M1503" i="4"/>
  <c r="L1507" i="4"/>
  <c r="M1511" i="4"/>
  <c r="L1515" i="4"/>
  <c r="M1519" i="4"/>
  <c r="M1523" i="4"/>
  <c r="L1527" i="4"/>
  <c r="L1533" i="4"/>
  <c r="L1541" i="4"/>
  <c r="L1546" i="4"/>
  <c r="M1551" i="4"/>
  <c r="M1556" i="4"/>
  <c r="L1564" i="4"/>
  <c r="L1571" i="4"/>
  <c r="L1575" i="4"/>
  <c r="M1579" i="4"/>
  <c r="L1583" i="4"/>
  <c r="M1590" i="4"/>
  <c r="L1594" i="4"/>
  <c r="M1599" i="4"/>
  <c r="M1605" i="4"/>
  <c r="L1609" i="4"/>
  <c r="M1613" i="4"/>
  <c r="L1616" i="4"/>
  <c r="M1620" i="4"/>
  <c r="L1624" i="4"/>
  <c r="L1628" i="4"/>
  <c r="M1645" i="4"/>
  <c r="M1649" i="4"/>
  <c r="M1653" i="4"/>
  <c r="L1659" i="4"/>
  <c r="L1667" i="4"/>
  <c r="M1671" i="4"/>
  <c r="M1675" i="4"/>
  <c r="M1681" i="4"/>
  <c r="L1685" i="4"/>
  <c r="M1689" i="4"/>
  <c r="M1693" i="4"/>
  <c r="L1697" i="4"/>
  <c r="M1701" i="4"/>
  <c r="L1707" i="4"/>
  <c r="L1711" i="4"/>
  <c r="L1715" i="4"/>
  <c r="M1719" i="4"/>
  <c r="M1723" i="4"/>
  <c r="M1728" i="4"/>
  <c r="L1732" i="4"/>
  <c r="L1736" i="4"/>
  <c r="L1741" i="4"/>
  <c r="L1745" i="4"/>
  <c r="M1752" i="4"/>
  <c r="L1756" i="4"/>
  <c r="L1760" i="4"/>
  <c r="M1764" i="4"/>
  <c r="L1775" i="4"/>
  <c r="L1778" i="4"/>
  <c r="L1782" i="4"/>
  <c r="L1786" i="4"/>
  <c r="M1792" i="4"/>
  <c r="L1796" i="4"/>
  <c r="L1802" i="4"/>
  <c r="L1806" i="4"/>
  <c r="L1810" i="4"/>
  <c r="L1815" i="4"/>
  <c r="L1819" i="4"/>
  <c r="L1832" i="4"/>
  <c r="M1837" i="4"/>
  <c r="L1841" i="4"/>
  <c r="L1858" i="4"/>
  <c r="L1865" i="4"/>
  <c r="L1869" i="4"/>
  <c r="M1873" i="4"/>
  <c r="L1877" i="4"/>
  <c r="L1890" i="4"/>
  <c r="L1895" i="4"/>
  <c r="M1899" i="4"/>
  <c r="L1906" i="4"/>
  <c r="L1910" i="4"/>
  <c r="M1916" i="4"/>
  <c r="L1920" i="4"/>
  <c r="M1924" i="4"/>
  <c r="L1931" i="4"/>
  <c r="L1935" i="4"/>
  <c r="M1941" i="4"/>
  <c r="L1945" i="4"/>
  <c r="L1949" i="4"/>
  <c r="M1960" i="4"/>
  <c r="M1974" i="4"/>
  <c r="M1979" i="4"/>
  <c r="L1983" i="4"/>
  <c r="M1987" i="4"/>
  <c r="L1995" i="4"/>
  <c r="M1999" i="4"/>
  <c r="L2004" i="4"/>
  <c r="L2015" i="4"/>
  <c r="L2021" i="4"/>
  <c r="M2030" i="4"/>
  <c r="M2039" i="4"/>
  <c r="L2044" i="4"/>
  <c r="L2049" i="4"/>
  <c r="L2055" i="4"/>
  <c r="M2059" i="4"/>
  <c r="M2064" i="4"/>
  <c r="L2069" i="4"/>
  <c r="M2073" i="4"/>
  <c r="L2084" i="4"/>
  <c r="L2088" i="4"/>
  <c r="L2092" i="4"/>
  <c r="M2099" i="4"/>
  <c r="L2105" i="4"/>
  <c r="M2109" i="4"/>
  <c r="M2118" i="4"/>
  <c r="M2122" i="4"/>
  <c r="M2126" i="4"/>
  <c r="L2131" i="4"/>
  <c r="M2135" i="4"/>
  <c r="L2140" i="4"/>
  <c r="M2151" i="4"/>
  <c r="L2156" i="4"/>
  <c r="L2163" i="4"/>
  <c r="L2166" i="4"/>
  <c r="L2178" i="4"/>
  <c r="M2184" i="4"/>
  <c r="M2188" i="4"/>
  <c r="M2193" i="4"/>
  <c r="L2197" i="4"/>
  <c r="L2204" i="4"/>
  <c r="L2210" i="4"/>
  <c r="M2213" i="4"/>
  <c r="M2219" i="4"/>
  <c r="L2223" i="4"/>
  <c r="L2232" i="4"/>
  <c r="M2237" i="4"/>
  <c r="L2243" i="4"/>
  <c r="M2246" i="4"/>
  <c r="M2250" i="4"/>
  <c r="L2282" i="4"/>
  <c r="L2286" i="4"/>
  <c r="M2294" i="4"/>
  <c r="L2298" i="4"/>
  <c r="M2302" i="4"/>
  <c r="M2310" i="4"/>
  <c r="L2316" i="4"/>
  <c r="M2331" i="4"/>
  <c r="M2336" i="4"/>
  <c r="L2340" i="4"/>
  <c r="M2344" i="4"/>
  <c r="L2349" i="4"/>
  <c r="M2353" i="4"/>
  <c r="M2360" i="4"/>
  <c r="M2366" i="4"/>
  <c r="L2370" i="4"/>
  <c r="M2376" i="4"/>
  <c r="M2383" i="4"/>
  <c r="L2387" i="4"/>
  <c r="L2393" i="4"/>
  <c r="M2397" i="4"/>
  <c r="L2403" i="4"/>
  <c r="L2408" i="4"/>
  <c r="M2411" i="4"/>
  <c r="L2415" i="4"/>
  <c r="L2418" i="4"/>
  <c r="L2422" i="4"/>
  <c r="M2426" i="4"/>
  <c r="L2429" i="4"/>
  <c r="L2433" i="4"/>
  <c r="L2437" i="4"/>
  <c r="M2441" i="4"/>
  <c r="L2448" i="4"/>
  <c r="M2456" i="4"/>
  <c r="L2464" i="4"/>
  <c r="M2478" i="4"/>
  <c r="M2482" i="4"/>
  <c r="M2491" i="4"/>
  <c r="M2494" i="4"/>
  <c r="M2500" i="4"/>
  <c r="L2506" i="4"/>
  <c r="M2511" i="4"/>
  <c r="M2515" i="4"/>
  <c r="L2521" i="4"/>
  <c r="M2525" i="4"/>
  <c r="M2531" i="4"/>
  <c r="M2537" i="4"/>
  <c r="M2541" i="4"/>
  <c r="M2546" i="4"/>
  <c r="L2550" i="4"/>
  <c r="L2554" i="4"/>
  <c r="L2558" i="4"/>
  <c r="L2564" i="4"/>
  <c r="L2575" i="4"/>
  <c r="M2578" i="4"/>
  <c r="L2586" i="4"/>
  <c r="M2595" i="4"/>
  <c r="L2602" i="4"/>
  <c r="L2606" i="4"/>
  <c r="M2612" i="4"/>
  <c r="L2616" i="4"/>
  <c r="L2621" i="4"/>
  <c r="L2633" i="4"/>
  <c r="L2637" i="4"/>
  <c r="L2644" i="4"/>
  <c r="L2648" i="4"/>
  <c r="M2652" i="4"/>
  <c r="L2658" i="4"/>
  <c r="L2662" i="4"/>
  <c r="L2668" i="4"/>
  <c r="L2674" i="4"/>
  <c r="L2679" i="4"/>
  <c r="L2685" i="4"/>
  <c r="M2689" i="4"/>
  <c r="L2692" i="4"/>
  <c r="M2696" i="4"/>
  <c r="L2707" i="4"/>
  <c r="L2711" i="4"/>
  <c r="M2717" i="4"/>
  <c r="M2721" i="4"/>
  <c r="M2727" i="4"/>
  <c r="L2736" i="4"/>
  <c r="M2740" i="4"/>
  <c r="M2744" i="4"/>
  <c r="M2748" i="4"/>
  <c r="L2753" i="4"/>
  <c r="M2761" i="4"/>
  <c r="L2767" i="4"/>
  <c r="M2771" i="4"/>
  <c r="L2775" i="4"/>
  <c r="L2779" i="4"/>
  <c r="L2783" i="4"/>
  <c r="M2789" i="4"/>
  <c r="M2801" i="4"/>
  <c r="L2818" i="4"/>
  <c r="M2825" i="4"/>
  <c r="M2829" i="4"/>
  <c r="L2833" i="4"/>
  <c r="L2842" i="4"/>
  <c r="L2847" i="4"/>
  <c r="M2852" i="4"/>
  <c r="L2856" i="4"/>
  <c r="L2860" i="4"/>
  <c r="L2870" i="4"/>
  <c r="L2874" i="4"/>
  <c r="M2878" i="4"/>
  <c r="M2882" i="4"/>
  <c r="L2886" i="4"/>
  <c r="M2892" i="4"/>
  <c r="L2897" i="4"/>
  <c r="M2901" i="4"/>
  <c r="M2908" i="4"/>
  <c r="M2914" i="4"/>
  <c r="L2917" i="4"/>
  <c r="L2921" i="4"/>
  <c r="M2925" i="4"/>
  <c r="L2929" i="4"/>
  <c r="M2936" i="4"/>
  <c r="M2940" i="4"/>
  <c r="L2946" i="4"/>
  <c r="L2950" i="4"/>
  <c r="L2956" i="4"/>
  <c r="M2960" i="4"/>
  <c r="L2966" i="4"/>
  <c r="L2972" i="4"/>
  <c r="M2979" i="4"/>
  <c r="M2984" i="4"/>
  <c r="L2988" i="4"/>
  <c r="L2993" i="4"/>
  <c r="L3003" i="4"/>
  <c r="M3007" i="4"/>
  <c r="M3011" i="4"/>
  <c r="L3015" i="4"/>
  <c r="M3021" i="4"/>
  <c r="M3035" i="4"/>
  <c r="M3039" i="4"/>
  <c r="M3043" i="4"/>
  <c r="L3051" i="4"/>
  <c r="L3055" i="4"/>
  <c r="L3059" i="4"/>
  <c r="L3063" i="4"/>
  <c r="M3067" i="4"/>
  <c r="M3071" i="4"/>
  <c r="L3075" i="4"/>
  <c r="L3079" i="4"/>
  <c r="M3083" i="4"/>
  <c r="L3087" i="4"/>
  <c r="L3094" i="4"/>
  <c r="M3100" i="4"/>
  <c r="L3106" i="4"/>
  <c r="L3110" i="4"/>
  <c r="L3114" i="4"/>
  <c r="M3118" i="4"/>
  <c r="L3122" i="4"/>
  <c r="L3127" i="4"/>
  <c r="L3133" i="4"/>
  <c r="M3138" i="4"/>
  <c r="M3142" i="4"/>
  <c r="L3146" i="4"/>
  <c r="M3150" i="4"/>
  <c r="L3154" i="4"/>
  <c r="L3160" i="4"/>
  <c r="L3164" i="4"/>
  <c r="L3168" i="4"/>
  <c r="L3172" i="4"/>
  <c r="L3179" i="4"/>
  <c r="L3184" i="4"/>
  <c r="M3188" i="4"/>
  <c r="M3192" i="4"/>
  <c r="L3200" i="4"/>
  <c r="M3204" i="4"/>
  <c r="M3213" i="4"/>
  <c r="M3218" i="4"/>
  <c r="L3223" i="4"/>
  <c r="L3227" i="4"/>
  <c r="M3236" i="4"/>
  <c r="M3241" i="4"/>
  <c r="L3247" i="4"/>
  <c r="L3253" i="4"/>
  <c r="M3257" i="4"/>
  <c r="M3263" i="4"/>
  <c r="M3267" i="4"/>
  <c r="M3272" i="4"/>
  <c r="L3279" i="4"/>
  <c r="L3289" i="4"/>
  <c r="L3293" i="4"/>
  <c r="M3302" i="4"/>
  <c r="L3308" i="4"/>
  <c r="M3312" i="4"/>
  <c r="L3316" i="4"/>
  <c r="L3323" i="4"/>
  <c r="M3327" i="4"/>
  <c r="L3331" i="4"/>
  <c r="M3338" i="4"/>
  <c r="M3344" i="4"/>
  <c r="L3349" i="4"/>
  <c r="M3357" i="4"/>
  <c r="L3369" i="4"/>
  <c r="L3377" i="4"/>
  <c r="L3381" i="4"/>
  <c r="L3386" i="4"/>
  <c r="M3401" i="4"/>
  <c r="M3406" i="4"/>
  <c r="M3415" i="4"/>
  <c r="L3421" i="4"/>
  <c r="L3425" i="4"/>
  <c r="L3429" i="4"/>
  <c r="M3433" i="4"/>
  <c r="L3443" i="4"/>
  <c r="M3453" i="4"/>
  <c r="M3462" i="4"/>
  <c r="L3466" i="4"/>
  <c r="L3470" i="4"/>
  <c r="L3474" i="4"/>
  <c r="L3478" i="4"/>
  <c r="L3482" i="4"/>
  <c r="M3487" i="4"/>
  <c r="M3492" i="4"/>
  <c r="M3496" i="4"/>
  <c r="L3500" i="4"/>
  <c r="L3505" i="4"/>
  <c r="M3512" i="4"/>
  <c r="M3516" i="4"/>
  <c r="M3520" i="4"/>
  <c r="M3529" i="4"/>
  <c r="M3535" i="4"/>
  <c r="L3539" i="4"/>
  <c r="M3543" i="4"/>
  <c r="L3547" i="4"/>
  <c r="M3551" i="4"/>
  <c r="L3557" i="4"/>
  <c r="L3561" i="4"/>
  <c r="M3566" i="4"/>
  <c r="M3570" i="4"/>
  <c r="M3575" i="4"/>
  <c r="L3581" i="4"/>
  <c r="M3586" i="4"/>
  <c r="L3593" i="4"/>
  <c r="M3598" i="4"/>
  <c r="L3601" i="4"/>
  <c r="M3607" i="4"/>
  <c r="L3611" i="4"/>
  <c r="L3615" i="4"/>
  <c r="L3619" i="4"/>
  <c r="L3624" i="4"/>
  <c r="M3627" i="4"/>
  <c r="M3633" i="4"/>
  <c r="L3637" i="4"/>
  <c r="M3649" i="4"/>
  <c r="L3653" i="4"/>
  <c r="M3657" i="4"/>
  <c r="M3663" i="4"/>
  <c r="M3667" i="4"/>
  <c r="L3671" i="4"/>
  <c r="M3675" i="4"/>
  <c r="L3679" i="4"/>
  <c r="M3683" i="4"/>
  <c r="M3687" i="4"/>
  <c r="L3691" i="4"/>
  <c r="M3695" i="4"/>
  <c r="M3699" i="4"/>
  <c r="L3704" i="4"/>
  <c r="M3708" i="4"/>
  <c r="M3722" i="4"/>
  <c r="M3729" i="4"/>
  <c r="M3735" i="4"/>
  <c r="L3739" i="4"/>
  <c r="M3743" i="4"/>
  <c r="L3749" i="4"/>
  <c r="L3753" i="4"/>
  <c r="L3757" i="4"/>
  <c r="L3761" i="4"/>
  <c r="L3772" i="4"/>
  <c r="L3776" i="4"/>
  <c r="M3783" i="4"/>
  <c r="M3787" i="4"/>
  <c r="M3791" i="4"/>
  <c r="M3795" i="4"/>
  <c r="L3801" i="4"/>
  <c r="M3807" i="4"/>
  <c r="L3812" i="4"/>
  <c r="L3816" i="4"/>
  <c r="M3822" i="4"/>
  <c r="M3833" i="4"/>
  <c r="M3837" i="4"/>
  <c r="L3843" i="4"/>
  <c r="L3847" i="4"/>
  <c r="M3851" i="4"/>
  <c r="M3855" i="4"/>
  <c r="L3859" i="4"/>
  <c r="L3863" i="4"/>
  <c r="M3868" i="4"/>
  <c r="M3872" i="4"/>
  <c r="M3876" i="4"/>
  <c r="L3880" i="4"/>
  <c r="M3890" i="4"/>
  <c r="M3896" i="4"/>
  <c r="L3900" i="4"/>
  <c r="L3904" i="4"/>
  <c r="L3908" i="4"/>
  <c r="M3918" i="4"/>
  <c r="M3922" i="4"/>
  <c r="L3928" i="4"/>
  <c r="L3932" i="4"/>
  <c r="L3938" i="4"/>
  <c r="M3942" i="4"/>
  <c r="L3946" i="4"/>
  <c r="M3950" i="4"/>
  <c r="M3954" i="4"/>
  <c r="L3963" i="4"/>
  <c r="L3973" i="4"/>
  <c r="M3978" i="4"/>
  <c r="M3989" i="4"/>
  <c r="M3994" i="4"/>
  <c r="M4006" i="4"/>
  <c r="M4010" i="4"/>
  <c r="M4015" i="4"/>
  <c r="L4019" i="4"/>
  <c r="M4026" i="4"/>
  <c r="L4032" i="4"/>
  <c r="M4038" i="4"/>
  <c r="L4044" i="4"/>
  <c r="M4048" i="4"/>
  <c r="M4052" i="4"/>
  <c r="L4056" i="4"/>
  <c r="L4060" i="4"/>
  <c r="L4064" i="4"/>
  <c r="M4068" i="4"/>
  <c r="M4076" i="4"/>
  <c r="L4082" i="4"/>
  <c r="M4089" i="4"/>
  <c r="M4095" i="4"/>
  <c r="M4103" i="4"/>
  <c r="L4107" i="4"/>
  <c r="L4111" i="4"/>
  <c r="M4117" i="4"/>
  <c r="L4121" i="4"/>
  <c r="L4127" i="4"/>
  <c r="L4131" i="4"/>
  <c r="L4136" i="4"/>
  <c r="M4140" i="4"/>
  <c r="L4144" i="4"/>
  <c r="M4150" i="4"/>
  <c r="L4157" i="4"/>
  <c r="L4162" i="4"/>
  <c r="L4168" i="4"/>
  <c r="N4168" i="4" s="1"/>
  <c r="O4168" i="4" s="1"/>
  <c r="M4172" i="4"/>
  <c r="L4176" i="4"/>
  <c r="L4180" i="4"/>
  <c r="L4184" i="4"/>
  <c r="L4192" i="4"/>
  <c r="L4196" i="4"/>
  <c r="L4204" i="4"/>
  <c r="L4208" i="4"/>
  <c r="L4212" i="4"/>
  <c r="M4216" i="4"/>
  <c r="M4220" i="4"/>
  <c r="M4223" i="4"/>
  <c r="M4227" i="4"/>
  <c r="L4231" i="4"/>
  <c r="M4235" i="4"/>
  <c r="M4239" i="4"/>
  <c r="L4250" i="4"/>
  <c r="N4250" i="4" s="1"/>
  <c r="O4250" i="4" s="1"/>
  <c r="M4254" i="4"/>
  <c r="M4258" i="4"/>
  <c r="M4266" i="4"/>
  <c r="L4272" i="4"/>
  <c r="L4276" i="4"/>
  <c r="L4280" i="4"/>
  <c r="N4280" i="4" s="1"/>
  <c r="O4280" i="4" s="1"/>
  <c r="L4288" i="4"/>
  <c r="N4288" i="4" s="1"/>
  <c r="O4288" i="4" s="1"/>
  <c r="L4295" i="4"/>
  <c r="M4300" i="4"/>
  <c r="M4304" i="4"/>
  <c r="L4308" i="4"/>
  <c r="M4313" i="4"/>
  <c r="M4319" i="4"/>
  <c r="M4327" i="4"/>
  <c r="M4335" i="4"/>
  <c r="M4341" i="4"/>
  <c r="L4347" i="4"/>
  <c r="L4351" i="4"/>
  <c r="L4363" i="4"/>
  <c r="L4367" i="4"/>
  <c r="N4367" i="4" s="1"/>
  <c r="O4367" i="4" s="1"/>
  <c r="L4371" i="4"/>
  <c r="N4371" i="4" s="1"/>
  <c r="O4371" i="4" s="1"/>
  <c r="M4387" i="4"/>
  <c r="L4396" i="4"/>
  <c r="M4400" i="4"/>
  <c r="M4405" i="4"/>
  <c r="L4410" i="4"/>
  <c r="L4415" i="4"/>
  <c r="L4419" i="4"/>
  <c r="M4424" i="4"/>
  <c r="L4428" i="4"/>
  <c r="M4432" i="4"/>
  <c r="M4444" i="4"/>
  <c r="M4448" i="4"/>
  <c r="L4452" i="4"/>
  <c r="M4457" i="4"/>
  <c r="M4461" i="4"/>
  <c r="M4465" i="4"/>
  <c r="M4469" i="4"/>
  <c r="L4478" i="4"/>
  <c r="L4482" i="4"/>
  <c r="L4487" i="4"/>
  <c r="L4492" i="4"/>
  <c r="L4496" i="4"/>
  <c r="L4506" i="4"/>
  <c r="L4515" i="4"/>
  <c r="M4519" i="4"/>
  <c r="L4523" i="4"/>
  <c r="M4527" i="4"/>
  <c r="M4531" i="4"/>
  <c r="M4535" i="4"/>
  <c r="L4542" i="4"/>
  <c r="M4556" i="4"/>
  <c r="L4563" i="4"/>
  <c r="M4568" i="4"/>
  <c r="L4573" i="4"/>
  <c r="L4577" i="4"/>
  <c r="M4581" i="4"/>
  <c r="L4589" i="4"/>
  <c r="M4593" i="4"/>
  <c r="M4604" i="4"/>
  <c r="M4609" i="4"/>
  <c r="M4615" i="4"/>
  <c r="M4620" i="4"/>
  <c r="M4626" i="4"/>
  <c r="L4631" i="4"/>
  <c r="M4635" i="4"/>
  <c r="M4639" i="4"/>
  <c r="M4643" i="4"/>
  <c r="M4650" i="4"/>
  <c r="M4655" i="4"/>
  <c r="M4660" i="4"/>
  <c r="L4666" i="4"/>
  <c r="L4680" i="4"/>
  <c r="L4684" i="4"/>
  <c r="M4689" i="4"/>
  <c r="M4693" i="4"/>
  <c r="M4697" i="4"/>
  <c r="M4701" i="4"/>
  <c r="L4705" i="4"/>
  <c r="M4710" i="4"/>
  <c r="L4716" i="4"/>
  <c r="M4721" i="4"/>
  <c r="L4730" i="4"/>
  <c r="L4734" i="4"/>
  <c r="L4742" i="4"/>
  <c r="L4746" i="4"/>
  <c r="M4750" i="4"/>
  <c r="L4756" i="4"/>
  <c r="M4760" i="4"/>
  <c r="M4764" i="4"/>
  <c r="L4773" i="4"/>
  <c r="M4777" i="4"/>
  <c r="M4781" i="4"/>
  <c r="L4785" i="4"/>
  <c r="M4790" i="4"/>
  <c r="L4795" i="4"/>
  <c r="M4798" i="4"/>
  <c r="L4803" i="4"/>
  <c r="L4806" i="4"/>
  <c r="M4811" i="4"/>
  <c r="L4815" i="4"/>
  <c r="L4820" i="4"/>
  <c r="N4820" i="4" s="1"/>
  <c r="O4820" i="4" s="1"/>
  <c r="M4824" i="4"/>
  <c r="M4830" i="4"/>
  <c r="L4834" i="4"/>
  <c r="L4839" i="4"/>
  <c r="M4844" i="4"/>
  <c r="M4850" i="4"/>
  <c r="M4856" i="4"/>
  <c r="L4860" i="4"/>
  <c r="N4860" i="4" s="1"/>
  <c r="O4860" i="4" s="1"/>
  <c r="M4863" i="4"/>
  <c r="M4868" i="4"/>
  <c r="M4875" i="4"/>
  <c r="M4879" i="4"/>
  <c r="L4884" i="4"/>
  <c r="M4889" i="4"/>
  <c r="M4894" i="4"/>
  <c r="M4899" i="4"/>
  <c r="M4903" i="4"/>
  <c r="L4909" i="4"/>
  <c r="L4913" i="4"/>
  <c r="M4920" i="4"/>
  <c r="L4925" i="4"/>
  <c r="L4929" i="4"/>
  <c r="M4933" i="4"/>
  <c r="L4941" i="4"/>
  <c r="M4947" i="4"/>
  <c r="M4955" i="4"/>
  <c r="L4959" i="4"/>
  <c r="L4965" i="4"/>
  <c r="L4971" i="4"/>
  <c r="M4975" i="4"/>
  <c r="M4979" i="4"/>
  <c r="L4983" i="4"/>
  <c r="M4988" i="4"/>
  <c r="L4992" i="4"/>
  <c r="L4996" i="4"/>
  <c r="M5001" i="4"/>
  <c r="L5005" i="4"/>
  <c r="M5009" i="4"/>
  <c r="L5015" i="4"/>
  <c r="M5020" i="4"/>
  <c r="L5024" i="4"/>
  <c r="M5028" i="4"/>
  <c r="M5032" i="4"/>
  <c r="L5040" i="4"/>
  <c r="L5045" i="4"/>
  <c r="L5052" i="4"/>
  <c r="L5056" i="4"/>
  <c r="N5056" i="4" s="1"/>
  <c r="O5056" i="4" s="1"/>
  <c r="L5060" i="4"/>
  <c r="L5064" i="4"/>
  <c r="M5070" i="4"/>
  <c r="M5076" i="4"/>
  <c r="M5082" i="4"/>
  <c r="L5087" i="4"/>
  <c r="L5094" i="4"/>
  <c r="L5098" i="4"/>
  <c r="M5102" i="4"/>
  <c r="L5110" i="4"/>
  <c r="M5114" i="4"/>
  <c r="M5122" i="4"/>
  <c r="M5127" i="4"/>
  <c r="M5131" i="4"/>
  <c r="L5137" i="4"/>
  <c r="L5140" i="4"/>
  <c r="M5148" i="4"/>
  <c r="L5151" i="4"/>
  <c r="M5156" i="4"/>
  <c r="M5161" i="4"/>
  <c r="L5167" i="4"/>
  <c r="L5171" i="4"/>
  <c r="M5180" i="4"/>
  <c r="M5188" i="4"/>
  <c r="M5193" i="4"/>
  <c r="M5197" i="4"/>
  <c r="L5203" i="4"/>
  <c r="L5818" i="4"/>
  <c r="M5821" i="4"/>
  <c r="M5826" i="4"/>
  <c r="M5830" i="4"/>
  <c r="M5838" i="4"/>
  <c r="L5842" i="4"/>
  <c r="M5849" i="4"/>
  <c r="L5852" i="4"/>
  <c r="M5863" i="4"/>
  <c r="L5867" i="4"/>
  <c r="L5871" i="4"/>
  <c r="M5878" i="4"/>
  <c r="M5885" i="4"/>
  <c r="L5889" i="4"/>
  <c r="M5895" i="4"/>
  <c r="M5899" i="4"/>
  <c r="M5903" i="4"/>
  <c r="L5907" i="4"/>
  <c r="L5915" i="4"/>
  <c r="L5920" i="4"/>
  <c r="L5928" i="4"/>
  <c r="L5934" i="4"/>
  <c r="L5939" i="4"/>
  <c r="M5946" i="4"/>
  <c r="L5951" i="4"/>
  <c r="M5954" i="4"/>
  <c r="L5958" i="4"/>
  <c r="L5962" i="4"/>
  <c r="M5968" i="4"/>
  <c r="L5977" i="4"/>
  <c r="M5984" i="4"/>
  <c r="M5989" i="4"/>
  <c r="M6000" i="4"/>
  <c r="L5" i="4"/>
  <c r="M9" i="4"/>
  <c r="L14" i="4"/>
  <c r="L21" i="4"/>
  <c r="M25" i="4"/>
  <c r="L30" i="4"/>
  <c r="M34" i="4"/>
  <c r="L39" i="4"/>
  <c r="L46" i="4"/>
  <c r="N46" i="4" s="1"/>
  <c r="O46" i="4" s="1"/>
  <c r="M52" i="4"/>
  <c r="M56" i="4"/>
  <c r="L64" i="4"/>
  <c r="L69" i="4"/>
  <c r="M73" i="4"/>
  <c r="M86" i="4"/>
  <c r="L92" i="4"/>
  <c r="M101" i="4"/>
  <c r="L107" i="4"/>
  <c r="L114" i="4"/>
  <c r="L121" i="4"/>
  <c r="M127" i="4"/>
  <c r="M131" i="4"/>
  <c r="L136" i="4"/>
  <c r="M140" i="4"/>
  <c r="L144" i="4"/>
  <c r="L154" i="4"/>
  <c r="L163" i="4"/>
  <c r="L169" i="4"/>
  <c r="L173" i="4"/>
  <c r="M178" i="4"/>
  <c r="M187" i="4"/>
  <c r="L202" i="4"/>
  <c r="L207" i="4"/>
  <c r="L217" i="4"/>
  <c r="M222" i="4"/>
  <c r="L228" i="4"/>
  <c r="M233" i="4"/>
  <c r="M241" i="4"/>
  <c r="L247" i="4"/>
  <c r="M254" i="4"/>
  <c r="L258" i="4"/>
  <c r="M267" i="4"/>
  <c r="L272" i="4"/>
  <c r="M278" i="4"/>
  <c r="L284" i="4"/>
  <c r="M294" i="4"/>
  <c r="M302" i="4"/>
  <c r="M307" i="4"/>
  <c r="M313" i="4"/>
  <c r="M317" i="4"/>
  <c r="L324" i="4"/>
  <c r="M328" i="4"/>
  <c r="L342" i="4"/>
  <c r="L347" i="4"/>
  <c r="N347" i="4" s="1"/>
  <c r="O347" i="4" s="1"/>
  <c r="M351" i="4"/>
  <c r="M356" i="4"/>
  <c r="L360" i="4"/>
  <c r="L366" i="4"/>
  <c r="M370" i="4"/>
  <c r="L378" i="4"/>
  <c r="M387" i="4"/>
  <c r="M393" i="4"/>
  <c r="L400" i="4"/>
  <c r="L404" i="4"/>
  <c r="M410" i="4"/>
  <c r="M414" i="4"/>
  <c r="L421" i="4"/>
  <c r="M426" i="4"/>
  <c r="L430" i="4"/>
  <c r="L436" i="4"/>
  <c r="L443" i="4"/>
  <c r="L1506" i="4"/>
  <c r="L1518" i="4"/>
  <c r="M1530" i="4"/>
  <c r="M1534" i="4"/>
  <c r="M1538" i="4"/>
  <c r="L1556" i="4"/>
  <c r="N1556" i="4" s="1"/>
  <c r="O1556" i="4" s="1"/>
  <c r="L1562" i="4"/>
  <c r="M1568" i="4"/>
  <c r="L1587" i="4"/>
  <c r="M1592" i="4"/>
  <c r="L1598" i="4"/>
  <c r="M1604" i="4"/>
  <c r="L1608" i="4"/>
  <c r="M1615" i="4"/>
  <c r="L1619" i="4"/>
  <c r="M1627" i="4"/>
  <c r="M1631" i="4"/>
  <c r="L1636" i="4"/>
  <c r="L1641" i="4"/>
  <c r="L1649" i="4"/>
  <c r="N1649" i="4" s="1"/>
  <c r="O1649" i="4" s="1"/>
  <c r="L1653" i="4"/>
  <c r="N1653" i="4" s="1"/>
  <c r="O1653" i="4" s="1"/>
  <c r="M1657" i="4"/>
  <c r="M1667" i="4"/>
  <c r="L1675" i="4"/>
  <c r="N1675" i="4" s="1"/>
  <c r="O1675" i="4" s="1"/>
  <c r="M1679" i="4"/>
  <c r="M1692" i="4"/>
  <c r="L1700" i="4"/>
  <c r="M1704" i="4"/>
  <c r="L1719" i="4"/>
  <c r="M1726" i="4"/>
  <c r="M1733" i="4"/>
  <c r="M1738" i="4"/>
  <c r="M1748" i="4"/>
  <c r="M1760" i="4"/>
  <c r="L1769" i="4"/>
  <c r="M1776" i="4"/>
  <c r="L1781" i="4"/>
  <c r="M1786" i="4"/>
  <c r="L1790" i="4"/>
  <c r="L1794" i="4"/>
  <c r="L1799" i="4"/>
  <c r="L1803" i="4"/>
  <c r="M1815" i="4"/>
  <c r="L1821" i="4"/>
  <c r="L1825" i="4"/>
  <c r="M1829" i="4"/>
  <c r="L1835" i="4"/>
  <c r="L1840" i="4"/>
  <c r="M1846" i="4"/>
  <c r="M1850" i="4"/>
  <c r="L1854" i="4"/>
  <c r="M1859" i="4"/>
  <c r="L1864" i="4"/>
  <c r="L1868" i="4"/>
  <c r="M1881" i="4"/>
  <c r="L1888" i="4"/>
  <c r="M1892" i="4"/>
  <c r="L1896" i="4"/>
  <c r="L1900" i="4"/>
  <c r="M1904" i="4"/>
  <c r="M1910" i="4"/>
  <c r="M1914" i="4"/>
  <c r="M1922" i="4"/>
  <c r="M1930" i="4"/>
  <c r="L1936" i="4"/>
  <c r="L1946" i="4"/>
  <c r="L1950" i="4"/>
  <c r="M1954" i="4"/>
  <c r="M1958" i="4"/>
  <c r="M1962" i="4"/>
  <c r="L1966" i="4"/>
  <c r="M1970" i="4"/>
  <c r="L1975" i="4"/>
  <c r="L1980" i="4"/>
  <c r="L1984" i="4"/>
  <c r="M1992" i="4"/>
  <c r="L1998" i="4"/>
  <c r="L2002" i="4"/>
  <c r="L2008" i="4"/>
  <c r="M2012" i="4"/>
  <c r="M2016" i="4"/>
  <c r="M2020" i="4"/>
  <c r="L2024" i="4"/>
  <c r="L2033" i="4"/>
  <c r="L2037" i="4"/>
  <c r="L2041" i="4"/>
  <c r="M2045" i="4"/>
  <c r="M2049" i="4"/>
  <c r="M2053" i="4"/>
  <c r="M2061" i="4"/>
  <c r="M2065" i="4"/>
  <c r="L2071" i="4"/>
  <c r="M2081" i="4"/>
  <c r="L2085" i="4"/>
  <c r="M2089" i="4"/>
  <c r="M2093" i="4"/>
  <c r="M2101" i="4"/>
  <c r="M2105" i="4"/>
  <c r="M2111" i="4"/>
  <c r="M2116" i="4"/>
  <c r="L2121" i="4"/>
  <c r="L2125" i="4"/>
  <c r="L2130" i="4"/>
  <c r="M2134" i="4"/>
  <c r="L2138" i="4"/>
  <c r="L2142" i="4"/>
  <c r="M2146" i="4"/>
  <c r="M2150" i="4"/>
  <c r="L2154" i="4"/>
  <c r="L2159" i="4"/>
  <c r="M2167" i="4"/>
  <c r="L2173" i="4"/>
  <c r="M2178" i="4"/>
  <c r="M2182" i="4"/>
  <c r="L2186" i="4"/>
  <c r="M2191" i="4"/>
  <c r="M2195" i="4"/>
  <c r="L2202" i="4"/>
  <c r="M2207" i="4"/>
  <c r="M2214" i="4"/>
  <c r="L2219" i="4"/>
  <c r="N2219" i="4" s="1"/>
  <c r="O2219" i="4" s="1"/>
  <c r="L2229" i="4"/>
  <c r="M2233" i="4"/>
  <c r="L2241" i="4"/>
  <c r="L2246" i="4"/>
  <c r="L2250" i="4"/>
  <c r="N2250" i="4" s="1"/>
  <c r="O2250" i="4" s="1"/>
  <c r="M2256" i="4"/>
  <c r="M2260" i="4"/>
  <c r="M2266" i="4"/>
  <c r="L2270" i="4"/>
  <c r="M2274" i="4"/>
  <c r="L2278" i="4"/>
  <c r="L2287" i="4"/>
  <c r="L2291" i="4"/>
  <c r="M2295" i="4"/>
  <c r="M2300" i="4"/>
  <c r="M2304" i="4"/>
  <c r="M2315" i="4"/>
  <c r="L2321" i="4"/>
  <c r="L2329" i="4"/>
  <c r="L2333" i="4"/>
  <c r="L2339" i="4"/>
  <c r="L2343" i="4"/>
  <c r="L2350" i="4"/>
  <c r="L2354" i="4"/>
  <c r="L2358" i="4"/>
  <c r="L2364" i="4"/>
  <c r="M2373" i="4"/>
  <c r="L2377" i="4"/>
  <c r="M2381" i="4"/>
  <c r="L2384" i="4"/>
  <c r="L2388" i="4"/>
  <c r="M2396" i="4"/>
  <c r="L2400" i="4"/>
  <c r="L2404" i="4"/>
  <c r="M2407" i="4"/>
  <c r="L2411" i="4"/>
  <c r="M2414" i="4"/>
  <c r="M2419" i="4"/>
  <c r="L2423" i="4"/>
  <c r="L2428" i="4"/>
  <c r="M2433" i="4"/>
  <c r="M2437" i="4"/>
  <c r="L2443" i="4"/>
  <c r="M2447" i="4"/>
  <c r="L2451" i="4"/>
  <c r="M2455" i="4"/>
  <c r="M2459" i="4"/>
  <c r="L2463" i="4"/>
  <c r="M2467" i="4"/>
  <c r="L2473" i="4"/>
  <c r="L2477" i="4"/>
  <c r="M2481" i="4"/>
  <c r="L2485" i="4"/>
  <c r="M2489" i="4"/>
  <c r="L2497" i="4"/>
  <c r="L2502" i="4"/>
  <c r="M2506" i="4"/>
  <c r="M2510" i="4"/>
  <c r="L2514" i="4"/>
  <c r="M2522" i="4"/>
  <c r="L2526" i="4"/>
  <c r="L2530" i="4"/>
  <c r="M2535" i="4"/>
  <c r="L2544" i="4"/>
  <c r="L2549" i="4"/>
  <c r="M2553" i="4"/>
  <c r="L2557" i="4"/>
  <c r="M2567" i="4"/>
  <c r="L2571" i="4"/>
  <c r="M2576" i="4"/>
  <c r="M2581" i="4"/>
  <c r="M2592" i="4"/>
  <c r="L2596" i="4"/>
  <c r="L2601" i="4"/>
  <c r="M2605" i="4"/>
  <c r="M2609" i="4"/>
  <c r="M2613" i="4"/>
  <c r="M2617" i="4"/>
  <c r="M2621" i="4"/>
  <c r="L2627" i="4"/>
  <c r="L2631" i="4"/>
  <c r="L2638" i="4"/>
  <c r="M2650" i="4"/>
  <c r="M2654" i="4"/>
  <c r="L2661" i="4"/>
  <c r="M2665" i="4"/>
  <c r="M2673" i="4"/>
  <c r="M2677" i="4"/>
  <c r="L2682" i="4"/>
  <c r="L2689" i="4"/>
  <c r="M2692" i="4"/>
  <c r="M2706" i="4"/>
  <c r="M2710" i="4"/>
  <c r="M2714" i="4"/>
  <c r="L2723" i="4"/>
  <c r="L2730" i="4"/>
  <c r="M2736" i="4"/>
  <c r="L2740" i="4"/>
  <c r="N2740" i="4" s="1"/>
  <c r="O2740" i="4" s="1"/>
  <c r="M2756" i="4"/>
  <c r="M2765" i="4"/>
  <c r="L2769" i="4"/>
  <c r="M2775" i="4"/>
  <c r="M2781" i="4"/>
  <c r="M2787" i="4"/>
  <c r="L2794" i="4"/>
  <c r="M2798" i="4"/>
  <c r="L2804" i="4"/>
  <c r="L2808" i="4"/>
  <c r="M2819" i="4"/>
  <c r="L2825" i="4"/>
  <c r="N2825" i="4" s="1"/>
  <c r="O2825" i="4" s="1"/>
  <c r="M2831" i="4"/>
  <c r="L2835" i="4"/>
  <c r="M2839" i="4"/>
  <c r="L2843" i="4"/>
  <c r="L2848" i="4"/>
  <c r="L2853" i="4"/>
  <c r="M2858" i="4"/>
  <c r="M2862" i="4"/>
  <c r="L2866" i="4"/>
  <c r="L2879" i="4"/>
  <c r="M2886" i="4"/>
  <c r="L2890" i="4"/>
  <c r="L2898" i="4"/>
  <c r="M2902" i="4"/>
  <c r="M2906" i="4"/>
  <c r="L2910" i="4"/>
  <c r="M2915" i="4"/>
  <c r="L2923" i="4"/>
  <c r="M2927" i="4"/>
  <c r="L2937" i="4"/>
  <c r="M2943" i="4"/>
  <c r="L2947" i="4"/>
  <c r="M2954" i="4"/>
  <c r="M2958" i="4"/>
  <c r="L2964" i="4"/>
  <c r="L2970" i="4"/>
  <c r="M2976" i="4"/>
  <c r="M2980" i="4"/>
  <c r="L2986" i="4"/>
  <c r="M2995" i="4"/>
  <c r="M2999" i="4"/>
  <c r="M3003" i="4"/>
  <c r="L3007" i="4"/>
  <c r="N3007" i="4" s="1"/>
  <c r="O3007" i="4" s="1"/>
  <c r="M3013" i="4"/>
  <c r="L3018" i="4"/>
  <c r="M3023" i="4"/>
  <c r="L3028" i="4"/>
  <c r="M3033" i="4"/>
  <c r="L3039" i="4"/>
  <c r="M3045" i="4"/>
  <c r="L3054" i="4"/>
  <c r="L3058" i="4"/>
  <c r="L3062" i="4"/>
  <c r="L3069" i="4"/>
  <c r="L3089" i="4"/>
  <c r="L3093" i="4"/>
  <c r="M3106" i="4"/>
  <c r="L3111" i="4"/>
  <c r="M3117" i="4"/>
  <c r="M3122" i="4"/>
  <c r="M3126" i="4"/>
  <c r="M3130" i="4"/>
  <c r="L3134" i="4"/>
  <c r="L3138" i="4"/>
  <c r="L3150" i="4"/>
  <c r="M3154" i="4"/>
  <c r="M3158" i="4"/>
  <c r="L3165" i="4"/>
  <c r="M3174" i="4"/>
  <c r="M3179" i="4"/>
  <c r="L3183" i="4"/>
  <c r="M3187" i="4"/>
  <c r="M3206" i="4"/>
  <c r="M3210" i="4"/>
  <c r="M3217" i="4"/>
  <c r="L3222" i="4"/>
  <c r="L3230" i="4"/>
  <c r="L3237" i="4"/>
  <c r="L3242" i="4"/>
  <c r="M3247" i="4"/>
  <c r="M3251" i="4"/>
  <c r="L3255" i="4"/>
  <c r="M3259" i="4"/>
  <c r="M3265" i="4"/>
  <c r="L3274" i="4"/>
  <c r="M3278" i="4"/>
  <c r="M3287" i="4"/>
  <c r="M3292" i="4"/>
  <c r="M3297" i="4"/>
  <c r="M3301" i="4"/>
  <c r="M3306" i="4"/>
  <c r="L3320" i="4"/>
  <c r="L3324" i="4"/>
  <c r="M3329" i="4"/>
  <c r="L3333" i="4"/>
  <c r="M3342" i="4"/>
  <c r="M3348" i="4"/>
  <c r="M3355" i="4"/>
  <c r="L3359" i="4"/>
  <c r="M3365" i="4"/>
  <c r="M3369" i="4"/>
  <c r="L3373" i="4"/>
  <c r="M3378" i="4"/>
  <c r="M3382" i="4"/>
  <c r="M3386" i="4"/>
  <c r="L3394" i="4"/>
  <c r="M3398" i="4"/>
  <c r="M3403" i="4"/>
  <c r="L3407" i="4"/>
  <c r="M3412" i="4"/>
  <c r="M3416" i="4"/>
  <c r="L3420" i="4"/>
  <c r="M3424" i="4"/>
  <c r="L3430" i="4"/>
  <c r="M3434" i="4"/>
  <c r="L3440" i="4"/>
  <c r="L3445" i="4"/>
  <c r="M3450" i="4"/>
  <c r="L3458" i="4"/>
  <c r="L3462" i="4"/>
  <c r="M3466" i="4"/>
  <c r="M3470" i="4"/>
  <c r="M3474" i="4"/>
  <c r="M3482" i="4"/>
  <c r="L3488" i="4"/>
  <c r="L3494" i="4"/>
  <c r="M3498" i="4"/>
  <c r="M3504" i="4"/>
  <c r="M3508" i="4"/>
  <c r="L3513" i="4"/>
  <c r="M3522" i="4"/>
  <c r="L3529" i="4"/>
  <c r="M3541" i="4"/>
  <c r="M3546" i="4"/>
  <c r="M3550" i="4"/>
  <c r="L3556" i="4"/>
  <c r="L3560" i="4"/>
  <c r="L3569" i="4"/>
  <c r="M3573" i="4"/>
  <c r="M3579" i="4"/>
  <c r="L3583" i="4"/>
  <c r="M3587" i="4"/>
  <c r="L3591" i="4"/>
  <c r="M3596" i="4"/>
  <c r="M3601" i="4"/>
  <c r="L3605" i="4"/>
  <c r="L3612" i="4"/>
  <c r="M3620" i="4"/>
  <c r="L3625" i="4"/>
  <c r="L3630" i="4"/>
  <c r="M3634" i="4"/>
  <c r="M3637" i="4"/>
  <c r="M3642" i="4"/>
  <c r="M3646" i="4"/>
  <c r="L3651" i="4"/>
  <c r="M3658" i="4"/>
  <c r="L3663" i="4"/>
  <c r="N3663" i="4" s="1"/>
  <c r="O3663" i="4" s="1"/>
  <c r="M3671" i="4"/>
  <c r="L3676" i="4"/>
  <c r="N3676" i="4" s="1"/>
  <c r="O3676" i="4" s="1"/>
  <c r="L3680" i="4"/>
  <c r="M3684" i="4"/>
  <c r="L3689" i="4"/>
  <c r="M3693" i="4"/>
  <c r="L3697" i="4"/>
  <c r="L3701" i="4"/>
  <c r="M3705" i="4"/>
  <c r="M3712" i="4"/>
  <c r="M3720" i="4"/>
  <c r="M3731" i="4"/>
  <c r="M3737" i="4"/>
  <c r="M3758" i="4"/>
  <c r="L3767" i="4"/>
  <c r="M3772" i="4"/>
  <c r="M3777" i="4"/>
  <c r="M3781" i="4"/>
  <c r="L3785" i="4"/>
  <c r="M3789" i="4"/>
  <c r="L3794" i="4"/>
  <c r="L3799" i="4"/>
  <c r="L3803" i="4"/>
  <c r="M3806" i="4"/>
  <c r="M3813" i="4"/>
  <c r="M3818" i="4"/>
  <c r="L3824" i="4"/>
  <c r="M3828" i="4"/>
  <c r="L3832" i="4"/>
  <c r="M3836" i="4"/>
  <c r="L3842" i="4"/>
  <c r="M3847" i="4"/>
  <c r="M3852" i="4"/>
  <c r="M3856" i="4"/>
  <c r="M3862" i="4"/>
  <c r="M3866" i="4"/>
  <c r="M3870" i="4"/>
  <c r="L3876" i="4"/>
  <c r="N3876" i="4" s="1"/>
  <c r="O3876" i="4" s="1"/>
  <c r="M3883" i="4"/>
  <c r="L3888" i="4"/>
  <c r="L3892" i="4"/>
  <c r="L3896" i="4"/>
  <c r="N3896" i="4" s="1"/>
  <c r="O3896" i="4" s="1"/>
  <c r="M3902" i="4"/>
  <c r="M3908" i="4"/>
  <c r="M3912" i="4"/>
  <c r="L3916" i="4"/>
  <c r="M3920" i="4"/>
  <c r="L3927" i="4"/>
  <c r="M3935" i="4"/>
  <c r="M3939" i="4"/>
  <c r="M3945" i="4"/>
  <c r="M3949" i="4"/>
  <c r="M3953" i="4"/>
  <c r="M3959" i="4"/>
  <c r="M3966" i="4"/>
  <c r="M3973" i="4"/>
  <c r="L3978" i="4"/>
  <c r="N3978" i="4" s="1"/>
  <c r="O3978" i="4" s="1"/>
  <c r="M3982" i="4"/>
  <c r="L3986" i="4"/>
  <c r="L3990" i="4"/>
  <c r="L4000" i="4"/>
  <c r="L4004" i="4"/>
  <c r="M4008" i="4"/>
  <c r="L4015" i="4"/>
  <c r="N4015" i="4" s="1"/>
  <c r="O4015" i="4" s="1"/>
  <c r="M4021" i="4"/>
  <c r="M4024" i="4"/>
  <c r="L4028" i="4"/>
  <c r="M4032" i="4"/>
  <c r="M4036" i="4"/>
  <c r="L4042" i="4"/>
  <c r="M4046" i="4"/>
  <c r="M4050" i="4"/>
  <c r="M4054" i="4"/>
  <c r="L4058" i="4"/>
  <c r="M4062" i="4"/>
  <c r="M4067" i="4"/>
  <c r="L4071" i="4"/>
  <c r="L4087" i="4"/>
  <c r="L4091" i="4"/>
  <c r="L4095" i="4"/>
  <c r="N4095" i="4" s="1"/>
  <c r="O4095" i="4" s="1"/>
  <c r="L4099" i="4"/>
  <c r="L4104" i="4"/>
  <c r="M4110" i="4"/>
  <c r="L4115" i="4"/>
  <c r="M4119" i="4"/>
  <c r="M4125" i="4"/>
  <c r="M4131" i="4"/>
  <c r="L4137" i="4"/>
  <c r="L4143" i="4"/>
  <c r="L4147" i="4"/>
  <c r="M4151" i="4"/>
  <c r="M4155" i="4"/>
  <c r="M4160" i="4"/>
  <c r="M4164" i="4"/>
  <c r="L4169" i="4"/>
  <c r="L4173" i="4"/>
  <c r="L4177" i="4"/>
  <c r="M4181" i="4"/>
  <c r="L4187" i="4"/>
  <c r="M4192" i="4"/>
  <c r="M4196" i="4"/>
  <c r="L4200" i="4"/>
  <c r="L4206" i="4"/>
  <c r="N4206" i="4" s="1"/>
  <c r="O4206" i="4" s="1"/>
  <c r="L4214" i="4"/>
  <c r="L4218" i="4"/>
  <c r="L4222" i="4"/>
  <c r="L4228" i="4"/>
  <c r="L4232" i="4"/>
  <c r="L4241" i="4"/>
  <c r="M4245" i="4"/>
  <c r="L4249" i="4"/>
  <c r="L4257" i="4"/>
  <c r="L4262" i="4"/>
  <c r="L4266" i="4"/>
  <c r="N4266" i="4" s="1"/>
  <c r="O4266" i="4" s="1"/>
  <c r="L4270" i="4"/>
  <c r="M4277" i="4"/>
  <c r="L4283" i="4"/>
  <c r="M4289" i="4"/>
  <c r="L4293" i="4"/>
  <c r="L4297" i="4"/>
  <c r="M4301" i="4"/>
  <c r="L4305" i="4"/>
  <c r="M4310" i="4"/>
  <c r="L4314" i="4"/>
  <c r="L4318" i="4"/>
  <c r="L4326" i="4"/>
  <c r="N4326" i="4" s="1"/>
  <c r="O4326" i="4" s="1"/>
  <c r="M4333" i="4"/>
  <c r="L4338" i="4"/>
  <c r="M4355" i="4"/>
  <c r="M4361" i="4"/>
  <c r="M4372" i="4"/>
  <c r="M4376" i="4"/>
  <c r="M4380" i="4"/>
  <c r="M4384" i="4"/>
  <c r="L4388" i="4"/>
  <c r="M4392" i="4"/>
  <c r="L4400" i="4"/>
  <c r="N4400" i="4" s="1"/>
  <c r="O4400" i="4" s="1"/>
  <c r="M4404" i="4"/>
  <c r="M4408" i="4"/>
  <c r="L4414" i="4"/>
  <c r="N4414" i="4" s="1"/>
  <c r="O4414" i="4" s="1"/>
  <c r="M4418" i="4"/>
  <c r="M4423" i="4"/>
  <c r="M4429" i="4"/>
  <c r="L4436" i="4"/>
  <c r="L4441" i="4"/>
  <c r="L4445" i="4"/>
  <c r="L4449" i="4"/>
  <c r="M4453" i="4"/>
  <c r="L4457" i="4"/>
  <c r="N4457" i="4" s="1"/>
  <c r="O4457" i="4" s="1"/>
  <c r="L4461" i="4"/>
  <c r="N4461" i="4" s="1"/>
  <c r="O4461" i="4" s="1"/>
  <c r="M4467" i="4"/>
  <c r="M4475" i="4"/>
  <c r="M4479" i="4"/>
  <c r="M4486" i="4"/>
  <c r="L4490" i="4"/>
  <c r="L4494" i="4"/>
  <c r="M4500" i="4"/>
  <c r="L4504" i="4"/>
  <c r="L4508" i="4"/>
  <c r="L4513" i="4"/>
  <c r="L4517" i="4"/>
  <c r="L4521" i="4"/>
  <c r="L4525" i="4"/>
  <c r="M4533" i="4"/>
  <c r="M4542" i="4"/>
  <c r="L4546" i="4"/>
  <c r="M4550" i="4"/>
  <c r="M4554" i="4"/>
  <c r="M4561" i="4"/>
  <c r="L4568" i="4"/>
  <c r="N4568" i="4" s="1"/>
  <c r="O4568" i="4" s="1"/>
  <c r="L4572" i="4"/>
  <c r="N4572" i="4" s="1"/>
  <c r="O4572" i="4" s="1"/>
  <c r="L4576" i="4"/>
  <c r="M4580" i="4"/>
  <c r="M4585" i="4"/>
  <c r="M4591" i="4"/>
  <c r="M4595" i="4"/>
  <c r="L4601" i="4"/>
  <c r="L4605" i="4"/>
  <c r="M4610" i="4"/>
  <c r="L4619" i="4"/>
  <c r="M4631" i="4"/>
  <c r="L4635" i="4"/>
  <c r="N4635" i="4" s="1"/>
  <c r="O4635" i="4" s="1"/>
  <c r="L4639" i="4"/>
  <c r="N4639" i="4" s="1"/>
  <c r="O4639" i="4" s="1"/>
  <c r="L4643" i="4"/>
  <c r="N4643" i="4" s="1"/>
  <c r="O4643" i="4" s="1"/>
  <c r="L4647" i="4"/>
  <c r="M4652" i="4"/>
  <c r="L4656" i="4"/>
  <c r="M4661" i="4"/>
  <c r="M4666" i="4"/>
  <c r="M4671" i="4"/>
  <c r="L4675" i="4"/>
  <c r="M4686" i="4"/>
  <c r="L4691" i="4"/>
  <c r="M4695" i="4"/>
  <c r="L4700" i="4"/>
  <c r="N4700" i="4" s="1"/>
  <c r="O4700" i="4" s="1"/>
  <c r="L4704" i="4"/>
  <c r="N4704" i="4" s="1"/>
  <c r="O4704" i="4" s="1"/>
  <c r="M4709" i="4"/>
  <c r="M4713" i="4"/>
  <c r="L4720" i="4"/>
  <c r="L4726" i="4"/>
  <c r="M4735" i="4"/>
  <c r="M4743" i="4"/>
  <c r="L4754" i="4"/>
  <c r="L4760" i="4"/>
  <c r="N4760" i="4" s="1"/>
  <c r="O4760" i="4" s="1"/>
  <c r="L4764" i="4"/>
  <c r="N4764" i="4" s="1"/>
  <c r="O4764" i="4" s="1"/>
  <c r="M4768" i="4"/>
  <c r="L4772" i="4"/>
  <c r="M4775" i="4"/>
  <c r="L4779" i="4"/>
  <c r="L4784" i="4"/>
  <c r="L4791" i="4"/>
  <c r="L4798" i="4"/>
  <c r="N4798" i="4" s="1"/>
  <c r="O4798" i="4" s="1"/>
  <c r="L4802" i="4"/>
  <c r="M4808" i="4"/>
  <c r="M4815" i="4"/>
  <c r="L4819" i="4"/>
  <c r="L4823" i="4"/>
  <c r="L4829" i="4"/>
  <c r="L4833" i="4"/>
  <c r="L4837" i="4"/>
  <c r="L4841" i="4"/>
  <c r="M4851" i="4"/>
  <c r="L4855" i="4"/>
  <c r="M4866" i="4"/>
  <c r="M4871" i="4"/>
  <c r="L4876" i="4"/>
  <c r="L4899" i="4"/>
  <c r="N4899" i="4" s="1"/>
  <c r="O4899" i="4" s="1"/>
  <c r="M4905" i="4"/>
  <c r="L4915" i="4"/>
  <c r="M4919" i="4"/>
  <c r="L4924" i="4"/>
  <c r="M4931" i="4"/>
  <c r="M4937" i="4"/>
  <c r="L4943" i="4"/>
  <c r="M4948" i="4"/>
  <c r="L4952" i="4"/>
  <c r="L4956" i="4"/>
  <c r="M4960" i="4"/>
  <c r="M4966" i="4"/>
  <c r="M4970" i="4"/>
  <c r="L4978" i="4"/>
  <c r="L4984" i="4"/>
  <c r="L4989" i="4"/>
  <c r="N4989" i="4" s="1"/>
  <c r="O4989" i="4" s="1"/>
  <c r="M4993" i="4"/>
  <c r="L4997" i="4"/>
  <c r="L5004" i="4"/>
  <c r="M5008" i="4"/>
  <c r="M5017" i="4"/>
  <c r="M5024" i="4"/>
  <c r="L5029" i="4"/>
  <c r="L5033" i="4"/>
  <c r="L5037" i="4"/>
  <c r="M5042" i="4"/>
  <c r="M5048" i="4"/>
  <c r="L5053" i="4"/>
  <c r="M5057" i="4"/>
  <c r="L5061" i="4"/>
  <c r="N5061" i="4" s="1"/>
  <c r="O5061" i="4" s="1"/>
  <c r="L5070" i="4"/>
  <c r="N5070" i="4" s="1"/>
  <c r="O5070" i="4" s="1"/>
  <c r="L5074" i="4"/>
  <c r="M5078" i="4"/>
  <c r="M5084" i="4"/>
  <c r="L5091" i="4"/>
  <c r="M5095" i="4"/>
  <c r="L5099" i="4"/>
  <c r="L5105" i="4"/>
  <c r="L5109" i="4"/>
  <c r="M5118" i="4"/>
  <c r="L5123" i="4"/>
  <c r="L5129" i="4"/>
  <c r="M5135" i="4"/>
  <c r="M5139" i="4"/>
  <c r="M5144" i="4"/>
  <c r="L5149" i="4"/>
  <c r="N5149" i="4" s="1"/>
  <c r="O5149" i="4" s="1"/>
  <c r="L5153" i="4"/>
  <c r="M5159" i="4"/>
  <c r="L5163" i="4"/>
  <c r="L5173" i="4"/>
  <c r="L5179" i="4"/>
  <c r="L5185" i="4"/>
  <c r="M5191" i="4"/>
  <c r="M5195" i="4"/>
  <c r="L5202" i="4"/>
  <c r="L5816" i="4"/>
  <c r="M5820" i="4"/>
  <c r="L5824" i="4"/>
  <c r="M5831" i="4"/>
  <c r="M5835" i="4"/>
  <c r="L5839" i="4"/>
  <c r="L5847" i="4"/>
  <c r="M5854" i="4"/>
  <c r="L5859" i="4"/>
  <c r="M5864" i="4"/>
  <c r="L5869" i="4"/>
  <c r="M5875" i="4"/>
  <c r="L5879" i="4"/>
  <c r="M5882" i="4"/>
  <c r="L5885" i="4"/>
  <c r="N5885" i="4" s="1"/>
  <c r="O5885" i="4" s="1"/>
  <c r="M5890" i="4"/>
  <c r="L5894" i="4"/>
  <c r="L5898" i="4"/>
  <c r="M5904" i="4"/>
  <c r="M5909" i="4"/>
  <c r="L5912" i="4"/>
  <c r="L5917" i="4"/>
  <c r="L5924" i="4"/>
  <c r="M5928" i="4"/>
  <c r="L5932" i="4"/>
  <c r="M5938" i="4"/>
  <c r="M5942" i="4"/>
  <c r="L5946" i="4"/>
  <c r="L5949" i="4"/>
  <c r="L5953" i="4"/>
  <c r="M5959" i="4"/>
  <c r="L5963" i="4"/>
  <c r="M5966" i="4"/>
  <c r="M5970" i="4"/>
  <c r="M5974" i="4"/>
  <c r="M5978" i="4"/>
  <c r="L5981" i="4"/>
  <c r="M5987" i="4"/>
  <c r="L5991" i="4"/>
  <c r="L5995" i="4"/>
  <c r="M5999" i="4"/>
  <c r="M3" i="4"/>
  <c r="L8" i="4"/>
  <c r="M12" i="4"/>
  <c r="M20" i="4"/>
  <c r="M24" i="4"/>
  <c r="M30" i="4"/>
  <c r="L37" i="4"/>
  <c r="M41" i="4"/>
  <c r="L45" i="4"/>
  <c r="L50" i="4"/>
  <c r="M54" i="4"/>
  <c r="M61" i="4"/>
  <c r="L67" i="4"/>
  <c r="M71" i="4"/>
  <c r="M76" i="4"/>
  <c r="M84" i="4"/>
  <c r="L90" i="4"/>
  <c r="N90" i="4" s="1"/>
  <c r="O90" i="4" s="1"/>
  <c r="M95" i="4"/>
  <c r="L102" i="4"/>
  <c r="L108" i="4"/>
  <c r="M112" i="4"/>
  <c r="M119" i="4"/>
  <c r="L124" i="4"/>
  <c r="M128" i="4"/>
  <c r="L133" i="4"/>
  <c r="N133" i="4" s="1"/>
  <c r="O133" i="4" s="1"/>
  <c r="L139" i="4"/>
  <c r="N139" i="4" s="1"/>
  <c r="O139" i="4" s="1"/>
  <c r="M144" i="4"/>
  <c r="M152" i="4"/>
  <c r="L157" i="4"/>
  <c r="M161" i="4"/>
  <c r="M165" i="4"/>
  <c r="M171" i="4"/>
  <c r="L178" i="4"/>
  <c r="L182" i="4"/>
  <c r="N182" i="4" s="1"/>
  <c r="O182" i="4" s="1"/>
  <c r="L188" i="4"/>
  <c r="N188" i="4" s="1"/>
  <c r="O188" i="4" s="1"/>
  <c r="L192" i="4"/>
  <c r="L197" i="4"/>
  <c r="L205" i="4"/>
  <c r="L209" i="4"/>
  <c r="L218" i="4"/>
  <c r="L224" i="4"/>
  <c r="N224" i="4" s="1"/>
  <c r="O224" i="4" s="1"/>
  <c r="M239" i="4"/>
  <c r="M246" i="4"/>
  <c r="L253" i="4"/>
  <c r="M257" i="4"/>
  <c r="L263" i="4"/>
  <c r="M270" i="4"/>
  <c r="L274" i="4"/>
  <c r="L280" i="4"/>
  <c r="M284" i="4"/>
  <c r="M290" i="4"/>
  <c r="L294" i="4"/>
  <c r="N294" i="4" s="1"/>
  <c r="O294" i="4" s="1"/>
  <c r="M299" i="4"/>
  <c r="L303" i="4"/>
  <c r="L308" i="4"/>
  <c r="M314" i="4"/>
  <c r="L323" i="4"/>
  <c r="N323" i="4" s="1"/>
  <c r="O323" i="4" s="1"/>
  <c r="L329" i="4"/>
  <c r="L333" i="4"/>
  <c r="L338" i="4"/>
  <c r="M342" i="4"/>
  <c r="L351" i="4"/>
  <c r="N351" i="4" s="1"/>
  <c r="O351" i="4" s="1"/>
  <c r="L355" i="4"/>
  <c r="L359" i="4"/>
  <c r="L369" i="4"/>
  <c r="L373" i="4"/>
  <c r="L377" i="4"/>
  <c r="M382" i="4"/>
  <c r="M392" i="4"/>
  <c r="M401" i="4"/>
  <c r="M407" i="4"/>
  <c r="M412" i="4"/>
  <c r="M418" i="4"/>
  <c r="L426" i="4"/>
  <c r="M432" i="4"/>
  <c r="M437" i="4"/>
  <c r="M441" i="4"/>
  <c r="M1498" i="4"/>
  <c r="M1502" i="4"/>
  <c r="M1508" i="4"/>
  <c r="M1513" i="4"/>
  <c r="M1517" i="4"/>
  <c r="L1522" i="4"/>
  <c r="M1526" i="4"/>
  <c r="M1531" i="4"/>
  <c r="M1536" i="4"/>
  <c r="M1540" i="4"/>
  <c r="L1545" i="4"/>
  <c r="M1549" i="4"/>
  <c r="L1554" i="4"/>
  <c r="L1559" i="4"/>
  <c r="L1563" i="4"/>
  <c r="L1568" i="4"/>
  <c r="N1568" i="4" s="1"/>
  <c r="O1568" i="4" s="1"/>
  <c r="L1574" i="4"/>
  <c r="L1578" i="4"/>
  <c r="L1582" i="4"/>
  <c r="M1588" i="4"/>
  <c r="L1592" i="4"/>
  <c r="N1592" i="4" s="1"/>
  <c r="O1592" i="4" s="1"/>
  <c r="L1596" i="4"/>
  <c r="L1603" i="4"/>
  <c r="M1611" i="4"/>
  <c r="L1614" i="4"/>
  <c r="L1618" i="4"/>
  <c r="M1623" i="4"/>
  <c r="M1629" i="4"/>
  <c r="L1633" i="4"/>
  <c r="L1637" i="4"/>
  <c r="M1641" i="4"/>
  <c r="L1647" i="4"/>
  <c r="M1655" i="4"/>
  <c r="M1660" i="4"/>
  <c r="M1664" i="4"/>
  <c r="L1671" i="4"/>
  <c r="N1671" i="4" s="1"/>
  <c r="O1671" i="4" s="1"/>
  <c r="L1682" i="4"/>
  <c r="M1686" i="4"/>
  <c r="L1690" i="4"/>
  <c r="M1694" i="4"/>
  <c r="L1698" i="4"/>
  <c r="L1704" i="4"/>
  <c r="M1708" i="4"/>
  <c r="L1712" i="4"/>
  <c r="M1716" i="4"/>
  <c r="L1726" i="4"/>
  <c r="N1726" i="4" s="1"/>
  <c r="O1726" i="4" s="1"/>
  <c r="L1733" i="4"/>
  <c r="M1737" i="4"/>
  <c r="M1742" i="4"/>
  <c r="L1749" i="4"/>
  <c r="L1754" i="4"/>
  <c r="L1758" i="4"/>
  <c r="M1762" i="4"/>
  <c r="M1766" i="4"/>
  <c r="L1770" i="4"/>
  <c r="L1774" i="4"/>
  <c r="L1777" i="4"/>
  <c r="M1782" i="4"/>
  <c r="M1798" i="4"/>
  <c r="M1802" i="4"/>
  <c r="M1808" i="4"/>
  <c r="M1812" i="4"/>
  <c r="M1816" i="4"/>
  <c r="L1820" i="4"/>
  <c r="L1824" i="4"/>
  <c r="L1828" i="4"/>
  <c r="M1833" i="4"/>
  <c r="M1838" i="4"/>
  <c r="L1842" i="4"/>
  <c r="L1847" i="4"/>
  <c r="L1851" i="4"/>
  <c r="M1855" i="4"/>
  <c r="L1859" i="4"/>
  <c r="M1865" i="4"/>
  <c r="M1869" i="4"/>
  <c r="L1873" i="4"/>
  <c r="N1873" i="4" s="1"/>
  <c r="O1873" i="4" s="1"/>
  <c r="M1877" i="4"/>
  <c r="M1885" i="4"/>
  <c r="L1893" i="4"/>
  <c r="L1897" i="4"/>
  <c r="M1901" i="4"/>
  <c r="L1905" i="4"/>
  <c r="L1912" i="4"/>
  <c r="L1916" i="4"/>
  <c r="N1916" i="4" s="1"/>
  <c r="O1916" i="4" s="1"/>
  <c r="M1920" i="4"/>
  <c r="L1924" i="4"/>
  <c r="N1924" i="4" s="1"/>
  <c r="O1924" i="4" s="1"/>
  <c r="L1933" i="4"/>
  <c r="M1937" i="4"/>
  <c r="M1940" i="4"/>
  <c r="M1945" i="4"/>
  <c r="M1949" i="4"/>
  <c r="M1953" i="4"/>
  <c r="M1964" i="4"/>
  <c r="L1968" i="4"/>
  <c r="M1972" i="4"/>
  <c r="L1979" i="4"/>
  <c r="N1979" i="4" s="1"/>
  <c r="O1979" i="4" s="1"/>
  <c r="L1987" i="4"/>
  <c r="N1987" i="4" s="1"/>
  <c r="O1987" i="4" s="1"/>
  <c r="M2004" i="4"/>
  <c r="L2017" i="4"/>
  <c r="M2021" i="4"/>
  <c r="L2025" i="4"/>
  <c r="M2029" i="4"/>
  <c r="L2035" i="4"/>
  <c r="L2039" i="4"/>
  <c r="N2039" i="4" s="1"/>
  <c r="O2039" i="4" s="1"/>
  <c r="L2043" i="4"/>
  <c r="M2048" i="4"/>
  <c r="M2052" i="4"/>
  <c r="M2057" i="4"/>
  <c r="L2072" i="4"/>
  <c r="M2075" i="4"/>
  <c r="L2079" i="4"/>
  <c r="M2083" i="4"/>
  <c r="L2087" i="4"/>
  <c r="L2091" i="4"/>
  <c r="M2095" i="4"/>
  <c r="L2099" i="4"/>
  <c r="M2103" i="4"/>
  <c r="M2107" i="4"/>
  <c r="L2114" i="4"/>
  <c r="L2120" i="4"/>
  <c r="L2126" i="4"/>
  <c r="N2126" i="4" s="1"/>
  <c r="O2126" i="4" s="1"/>
  <c r="M2130" i="4"/>
  <c r="L2134" i="4"/>
  <c r="M2138" i="4"/>
  <c r="M2142" i="4"/>
  <c r="L2146" i="4"/>
  <c r="N2146" i="4" s="1"/>
  <c r="O2146" i="4" s="1"/>
  <c r="L2150" i="4"/>
  <c r="N2150" i="4" s="1"/>
  <c r="O2150" i="4" s="1"/>
  <c r="M2154" i="4"/>
  <c r="M2161" i="4"/>
  <c r="M2165" i="4"/>
  <c r="M2169" i="4"/>
  <c r="M2173" i="4"/>
  <c r="M2177" i="4"/>
  <c r="L2184" i="4"/>
  <c r="L2190" i="4"/>
  <c r="M2200" i="4"/>
  <c r="L2211" i="4"/>
  <c r="M2216" i="4"/>
  <c r="M2220" i="4"/>
  <c r="M2224" i="4"/>
  <c r="L2228" i="4"/>
  <c r="M2234" i="4"/>
  <c r="M2238" i="4"/>
  <c r="M2243" i="4"/>
  <c r="M2247" i="4"/>
  <c r="L2251" i="4"/>
  <c r="M2255" i="4"/>
  <c r="M2261" i="4"/>
  <c r="M2265" i="4"/>
  <c r="M2269" i="4"/>
  <c r="M2275" i="4"/>
  <c r="M2281" i="4"/>
  <c r="M2285" i="4"/>
  <c r="M2291" i="4"/>
  <c r="M2297" i="4"/>
  <c r="L2307" i="4"/>
  <c r="L2311" i="4"/>
  <c r="M2324" i="4"/>
  <c r="L2328" i="4"/>
  <c r="L2332" i="4"/>
  <c r="L2347" i="4"/>
  <c r="M2351" i="4"/>
  <c r="M2358" i="4"/>
  <c r="M2362" i="4"/>
  <c r="L2366" i="4"/>
  <c r="M2371" i="4"/>
  <c r="L2378" i="4"/>
  <c r="L2382" i="4"/>
  <c r="M2386" i="4"/>
  <c r="M2391" i="4"/>
  <c r="L2395" i="4"/>
  <c r="L2399" i="4"/>
  <c r="L2405" i="4"/>
  <c r="L2413" i="4"/>
  <c r="L2417" i="4"/>
  <c r="L2421" i="4"/>
  <c r="M2424" i="4"/>
  <c r="L2431" i="4"/>
  <c r="L2439" i="4"/>
  <c r="M2443" i="4"/>
  <c r="L2447" i="4"/>
  <c r="N2447" i="4" s="1"/>
  <c r="O2447" i="4" s="1"/>
  <c r="M2451" i="4"/>
  <c r="L2455" i="4"/>
  <c r="N2455" i="4" s="1"/>
  <c r="O2455" i="4" s="1"/>
  <c r="L2459" i="4"/>
  <c r="M2466" i="4"/>
  <c r="M2472" i="4"/>
  <c r="L2478" i="4"/>
  <c r="L2482" i="4"/>
  <c r="M2493" i="4"/>
  <c r="L2498" i="4"/>
  <c r="M2502" i="4"/>
  <c r="M2508" i="4"/>
  <c r="M2513" i="4"/>
  <c r="L2523" i="4"/>
  <c r="L2527" i="4"/>
  <c r="L2533" i="4"/>
  <c r="L2538" i="4"/>
  <c r="M2543" i="4"/>
  <c r="M2548" i="4"/>
  <c r="L2552" i="4"/>
  <c r="L2560" i="4"/>
  <c r="L2567" i="4"/>
  <c r="M2573" i="4"/>
  <c r="L2579" i="4"/>
  <c r="L2584" i="4"/>
  <c r="M2588" i="4"/>
  <c r="L2592" i="4"/>
  <c r="N2592" i="4" s="1"/>
  <c r="O2592" i="4" s="1"/>
  <c r="L2598" i="4"/>
  <c r="M2606" i="4"/>
  <c r="L2610" i="4"/>
  <c r="L2614" i="4"/>
  <c r="L2618" i="4"/>
  <c r="L2624" i="4"/>
  <c r="M2632" i="4"/>
  <c r="L2639" i="4"/>
  <c r="M2643" i="4"/>
  <c r="M2647" i="4"/>
  <c r="L2654" i="4"/>
  <c r="M2658" i="4"/>
  <c r="L2666" i="4"/>
  <c r="M2670" i="4"/>
  <c r="M2676" i="4"/>
  <c r="M2683" i="4"/>
  <c r="M2701" i="4"/>
  <c r="L2706" i="4"/>
  <c r="M2718" i="4"/>
  <c r="L2722" i="4"/>
  <c r="L2727" i="4"/>
  <c r="N2727" i="4" s="1"/>
  <c r="O2727" i="4" s="1"/>
  <c r="M2731" i="4"/>
  <c r="L2735" i="4"/>
  <c r="M2739" i="4"/>
  <c r="L2744" i="4"/>
  <c r="N2744" i="4" s="1"/>
  <c r="O2744" i="4" s="1"/>
  <c r="L2748" i="4"/>
  <c r="N2748" i="4" s="1"/>
  <c r="O2748" i="4" s="1"/>
  <c r="L2759" i="4"/>
  <c r="L2765" i="4"/>
  <c r="N2765" i="4" s="1"/>
  <c r="O2765" i="4" s="1"/>
  <c r="M2770" i="4"/>
  <c r="M2774" i="4"/>
  <c r="L2780" i="4"/>
  <c r="M2784" i="4"/>
  <c r="L2788" i="4"/>
  <c r="M2792" i="4"/>
  <c r="M2806" i="4"/>
  <c r="L2810" i="4"/>
  <c r="L2824" i="4"/>
  <c r="M2830" i="4"/>
  <c r="M2837" i="4"/>
  <c r="L2841" i="4"/>
  <c r="M2850" i="4"/>
  <c r="L2855" i="4"/>
  <c r="M2859" i="4"/>
  <c r="L2868" i="4"/>
  <c r="M2872" i="4"/>
  <c r="M2876" i="4"/>
  <c r="M2880" i="4"/>
  <c r="M2884" i="4"/>
  <c r="M2888" i="4"/>
  <c r="L2894" i="4"/>
  <c r="L2905" i="4"/>
  <c r="M2909" i="4"/>
  <c r="M2913" i="4"/>
  <c r="L2918" i="4"/>
  <c r="M2924" i="4"/>
  <c r="L2928" i="4"/>
  <c r="M2933" i="4"/>
  <c r="L2938" i="4"/>
  <c r="L2942" i="4"/>
  <c r="M2947" i="4"/>
  <c r="L2952" i="4"/>
  <c r="L2958" i="4"/>
  <c r="L2962" i="4"/>
  <c r="M2966" i="4"/>
  <c r="M2970" i="4"/>
  <c r="M2977" i="4"/>
  <c r="M2982" i="4"/>
  <c r="M2986" i="4"/>
  <c r="L2992" i="4"/>
  <c r="M3004" i="4"/>
  <c r="L3011" i="4"/>
  <c r="M3016" i="4"/>
  <c r="L3020" i="4"/>
  <c r="L3025" i="4"/>
  <c r="L3029" i="4"/>
  <c r="M3034" i="4"/>
  <c r="L3040" i="4"/>
  <c r="M3044" i="4"/>
  <c r="L3048" i="4"/>
  <c r="L3056" i="4"/>
  <c r="L3060" i="4"/>
  <c r="L3067" i="4"/>
  <c r="L3072" i="4"/>
  <c r="M3078" i="4"/>
  <c r="M3082" i="4"/>
  <c r="L3086" i="4"/>
  <c r="M3091" i="4"/>
  <c r="M3095" i="4"/>
  <c r="M3099" i="4"/>
  <c r="M3103" i="4"/>
  <c r="M3107" i="4"/>
  <c r="L3113" i="4"/>
  <c r="L3118" i="4"/>
  <c r="N3118" i="4" s="1"/>
  <c r="O3118" i="4" s="1"/>
  <c r="L3129" i="4"/>
  <c r="M3133" i="4"/>
  <c r="L3137" i="4"/>
  <c r="M3141" i="4"/>
  <c r="L3145" i="4"/>
  <c r="M3149" i="4"/>
  <c r="L3162" i="4"/>
  <c r="L3166" i="4"/>
  <c r="M3172" i="4"/>
  <c r="M3176" i="4"/>
  <c r="M3181" i="4"/>
  <c r="M3185" i="4"/>
  <c r="L3198" i="4"/>
  <c r="L3202" i="4"/>
  <c r="L3206" i="4"/>
  <c r="L3210" i="4"/>
  <c r="L3214" i="4"/>
  <c r="M3221" i="4"/>
  <c r="L3225" i="4"/>
  <c r="M3229" i="4"/>
  <c r="M3233" i="4"/>
  <c r="M3239" i="4"/>
  <c r="L3254" i="4"/>
  <c r="L3258" i="4"/>
  <c r="L3264" i="4"/>
  <c r="M3269" i="4"/>
  <c r="M3273" i="4"/>
  <c r="M3280" i="4"/>
  <c r="L3284" i="4"/>
  <c r="L3288" i="4"/>
  <c r="L3292" i="4"/>
  <c r="L3296" i="4"/>
  <c r="M3300" i="4"/>
  <c r="M3307" i="4"/>
  <c r="M3314" i="4"/>
  <c r="M3320" i="4"/>
  <c r="L3332" i="4"/>
  <c r="L3337" i="4"/>
  <c r="L3341" i="4"/>
  <c r="L3345" i="4"/>
  <c r="M3349" i="4"/>
  <c r="L3358" i="4"/>
  <c r="L3362" i="4"/>
  <c r="M3374" i="4"/>
  <c r="M3384" i="4"/>
  <c r="L3389" i="4"/>
  <c r="L3393" i="4"/>
  <c r="M3397" i="4"/>
  <c r="M3408" i="4"/>
  <c r="M3414" i="4"/>
  <c r="L3428" i="4"/>
  <c r="L3432" i="4"/>
  <c r="L3436" i="4"/>
  <c r="M3440" i="4"/>
  <c r="L3446" i="4"/>
  <c r="L3451" i="4"/>
  <c r="M3455" i="4"/>
  <c r="L3463" i="4"/>
  <c r="M3468" i="4"/>
  <c r="L3475" i="4"/>
  <c r="M3479" i="4"/>
  <c r="M3485" i="4"/>
  <c r="M3489" i="4"/>
  <c r="M3493" i="4"/>
  <c r="M3497" i="4"/>
  <c r="M3501" i="4"/>
  <c r="M3506" i="4"/>
  <c r="M3513" i="4"/>
  <c r="M3517" i="4"/>
  <c r="M3523" i="4"/>
  <c r="L3528" i="4"/>
  <c r="M3534" i="4"/>
  <c r="L3538" i="4"/>
  <c r="M3544" i="4"/>
  <c r="L3550" i="4"/>
  <c r="L3554" i="4"/>
  <c r="M3558" i="4"/>
  <c r="M3563" i="4"/>
  <c r="L3567" i="4"/>
  <c r="L3572" i="4"/>
  <c r="L3577" i="4"/>
  <c r="M3582" i="4"/>
  <c r="M3588" i="4"/>
  <c r="L3594" i="4"/>
  <c r="M3599" i="4"/>
  <c r="L3603" i="4"/>
  <c r="M3609" i="4"/>
  <c r="M3615" i="4"/>
  <c r="M3622" i="4"/>
  <c r="M3626" i="4"/>
  <c r="M3630" i="4"/>
  <c r="L3638" i="4"/>
  <c r="M3643" i="4"/>
  <c r="L3647" i="4"/>
  <c r="M3654" i="4"/>
  <c r="L3660" i="4"/>
  <c r="L3665" i="4"/>
  <c r="L3669" i="4"/>
  <c r="L3673" i="4"/>
  <c r="M3677" i="4"/>
  <c r="L3683" i="4"/>
  <c r="M3688" i="4"/>
  <c r="L3694" i="4"/>
  <c r="L3698" i="4"/>
  <c r="L3702" i="4"/>
  <c r="L3706" i="4"/>
  <c r="L3710" i="4"/>
  <c r="M3715" i="4"/>
  <c r="L3719" i="4"/>
  <c r="M3723" i="4"/>
  <c r="L3727" i="4"/>
  <c r="M3732" i="4"/>
  <c r="L3736" i="4"/>
  <c r="M3740" i="4"/>
  <c r="L3744" i="4"/>
  <c r="M3749" i="4"/>
  <c r="M3766" i="4"/>
  <c r="L3771" i="4"/>
  <c r="M3776" i="4"/>
  <c r="L3780" i="4"/>
  <c r="L3784" i="4"/>
  <c r="M3790" i="4"/>
  <c r="M3793" i="4"/>
  <c r="L3797" i="4"/>
  <c r="M3803" i="4"/>
  <c r="L3811" i="4"/>
  <c r="L3817" i="4"/>
  <c r="L3822" i="4"/>
  <c r="M3826" i="4"/>
  <c r="L3836" i="4"/>
  <c r="M3840" i="4"/>
  <c r="L3844" i="4"/>
  <c r="M3849" i="4"/>
  <c r="M3853" i="4"/>
  <c r="M3857" i="4"/>
  <c r="M3867" i="4"/>
  <c r="M3871" i="4"/>
  <c r="M3875" i="4"/>
  <c r="L3879" i="4"/>
  <c r="L3883" i="4"/>
  <c r="L3887" i="4"/>
  <c r="M3892" i="4"/>
  <c r="M3900" i="4"/>
  <c r="M3906" i="4"/>
  <c r="M3911" i="4"/>
  <c r="M3915" i="4"/>
  <c r="M3921" i="4"/>
  <c r="L3930" i="4"/>
  <c r="M3934" i="4"/>
  <c r="L3940" i="4"/>
  <c r="L3944" i="4"/>
  <c r="M3948" i="4"/>
  <c r="M3958" i="4"/>
  <c r="M3962" i="4"/>
  <c r="L3966" i="4"/>
  <c r="M3970" i="4"/>
  <c r="M3974" i="4"/>
  <c r="L3981" i="4"/>
  <c r="L3985" i="4"/>
  <c r="L3989" i="4"/>
  <c r="L3993" i="4"/>
  <c r="M3997" i="4"/>
  <c r="L4001" i="4"/>
  <c r="L4005" i="4"/>
  <c r="M4009" i="4"/>
  <c r="M4013" i="4"/>
  <c r="M4018" i="4"/>
  <c r="L4023" i="4"/>
  <c r="M4027" i="4"/>
  <c r="M4031" i="4"/>
  <c r="M4035" i="4"/>
  <c r="L4039" i="4"/>
  <c r="M4044" i="4"/>
  <c r="L4052" i="4"/>
  <c r="M4060" i="4"/>
  <c r="M4064" i="4"/>
  <c r="M4070" i="4"/>
  <c r="M4075" i="4"/>
  <c r="M4079" i="4"/>
  <c r="L4083" i="4"/>
  <c r="M4087" i="4"/>
  <c r="M4093" i="4"/>
  <c r="M4105" i="4"/>
  <c r="M4109" i="4"/>
  <c r="L4119" i="4"/>
  <c r="N4119" i="4" s="1"/>
  <c r="O4119" i="4" s="1"/>
  <c r="L4123" i="4"/>
  <c r="M4128" i="4"/>
  <c r="L4135" i="4"/>
  <c r="M4139" i="4"/>
  <c r="M4147" i="4"/>
  <c r="L4151" i="4"/>
  <c r="N4151" i="4" s="1"/>
  <c r="O4151" i="4" s="1"/>
  <c r="L4155" i="4"/>
  <c r="L4159" i="4"/>
  <c r="M4163" i="4"/>
  <c r="M4175" i="4"/>
  <c r="L4181" i="4"/>
  <c r="N4181" i="4" s="1"/>
  <c r="O4181" i="4" s="1"/>
  <c r="L4185" i="4"/>
  <c r="L4189" i="4"/>
  <c r="N4189" i="4" s="1"/>
  <c r="O4189" i="4" s="1"/>
  <c r="L4193" i="4"/>
  <c r="M4197" i="4"/>
  <c r="L4201" i="4"/>
  <c r="L4205" i="4"/>
  <c r="L4209" i="4"/>
  <c r="M4213" i="4"/>
  <c r="M4219" i="4"/>
  <c r="M4236" i="4"/>
  <c r="M4240" i="4"/>
  <c r="L4245" i="4"/>
  <c r="L4253" i="4"/>
  <c r="M4261" i="4"/>
  <c r="M4275" i="4"/>
  <c r="M4284" i="4"/>
  <c r="L4291" i="4"/>
  <c r="M4295" i="4"/>
  <c r="M4299" i="4"/>
  <c r="M4307" i="4"/>
  <c r="M4314" i="4"/>
  <c r="M4318" i="4"/>
  <c r="L4325" i="4"/>
  <c r="L4329" i="4"/>
  <c r="L4333" i="4"/>
  <c r="L4337" i="4"/>
  <c r="L4341" i="4"/>
  <c r="M4345" i="4"/>
  <c r="M4351" i="4"/>
  <c r="L4355" i="4"/>
  <c r="L4359" i="4"/>
  <c r="L4364" i="4"/>
  <c r="M4369" i="4"/>
  <c r="L4377" i="4"/>
  <c r="L4381" i="4"/>
  <c r="L4385" i="4"/>
  <c r="M4389" i="4"/>
  <c r="L4394" i="4"/>
  <c r="L4398" i="4"/>
  <c r="L4406" i="4"/>
  <c r="N4406" i="4" s="1"/>
  <c r="O4406" i="4" s="1"/>
  <c r="M4410" i="4"/>
  <c r="L4416" i="4"/>
  <c r="N4416" i="4" s="1"/>
  <c r="O4416" i="4" s="1"/>
  <c r="M4420" i="4"/>
  <c r="M4425" i="4"/>
  <c r="L4429" i="4"/>
  <c r="L4434" i="4"/>
  <c r="M4438" i="4"/>
  <c r="L4448" i="4"/>
  <c r="M4452" i="4"/>
  <c r="L4456" i="4"/>
  <c r="L4462" i="4"/>
  <c r="L4471" i="4"/>
  <c r="L4475" i="4"/>
  <c r="N4475" i="4" s="1"/>
  <c r="O4475" i="4" s="1"/>
  <c r="L4480" i="4"/>
  <c r="M4485" i="4"/>
  <c r="L4491" i="4"/>
  <c r="L4501" i="4"/>
  <c r="M4508" i="4"/>
  <c r="L4512" i="4"/>
  <c r="N4512" i="4" s="1"/>
  <c r="O4512" i="4" s="1"/>
  <c r="L4518" i="4"/>
  <c r="M4522" i="4"/>
  <c r="L4526" i="4"/>
  <c r="N4526" i="4" s="1"/>
  <c r="O4526" i="4" s="1"/>
  <c r="M4532" i="4"/>
  <c r="L4536" i="4"/>
  <c r="M4547" i="4"/>
  <c r="L4553" i="4"/>
  <c r="L4558" i="4"/>
  <c r="L4562" i="4"/>
  <c r="M4566" i="4"/>
  <c r="M4573" i="4"/>
  <c r="M4577" i="4"/>
  <c r="L4581" i="4"/>
  <c r="L4585" i="4"/>
  <c r="M4594" i="4"/>
  <c r="M4600" i="4"/>
  <c r="M4608" i="4"/>
  <c r="M4611" i="4"/>
  <c r="M4617" i="4"/>
  <c r="M4624" i="4"/>
  <c r="M4628" i="4"/>
  <c r="L4633" i="4"/>
  <c r="M4637" i="4"/>
  <c r="M4641" i="4"/>
  <c r="M4645" i="4"/>
  <c r="L4649" i="4"/>
  <c r="L4655" i="4"/>
  <c r="N4655" i="4" s="1"/>
  <c r="O4655" i="4" s="1"/>
  <c r="L4658" i="4"/>
  <c r="M4662" i="4"/>
  <c r="L4667" i="4"/>
  <c r="L4671" i="4"/>
  <c r="L4677" i="4"/>
  <c r="L4681" i="4"/>
  <c r="M4687" i="4"/>
  <c r="L4694" i="4"/>
  <c r="M4699" i="4"/>
  <c r="L4703" i="4"/>
  <c r="M4707" i="4"/>
  <c r="M4712" i="4"/>
  <c r="M4719" i="4"/>
  <c r="M4723" i="4"/>
  <c r="M4731" i="4"/>
  <c r="M4737" i="4"/>
  <c r="M4742" i="4"/>
  <c r="M4746" i="4"/>
  <c r="L4750" i="4"/>
  <c r="N4750" i="4" s="1"/>
  <c r="O4750" i="4" s="1"/>
  <c r="L4757" i="4"/>
  <c r="M4767" i="4"/>
  <c r="L4771" i="4"/>
  <c r="N4771" i="4" s="1"/>
  <c r="O4771" i="4" s="1"/>
  <c r="M4774" i="4"/>
  <c r="M4778" i="4"/>
  <c r="M4783" i="4"/>
  <c r="M4787" i="4"/>
  <c r="M4791" i="4"/>
  <c r="M4794" i="4"/>
  <c r="M4800" i="4"/>
  <c r="L4804" i="4"/>
  <c r="L4807" i="4"/>
  <c r="M4812" i="4"/>
  <c r="M4816" i="4"/>
  <c r="L4827" i="4"/>
  <c r="M4831" i="4"/>
  <c r="L4836" i="4"/>
  <c r="M4840" i="4"/>
  <c r="M4845" i="4"/>
  <c r="M4849" i="4"/>
  <c r="M4853" i="4"/>
  <c r="M4858" i="4"/>
  <c r="L4867" i="4"/>
  <c r="M4873" i="4"/>
  <c r="L4879" i="4"/>
  <c r="N4879" i="4" s="1"/>
  <c r="O4879" i="4" s="1"/>
  <c r="L4883" i="4"/>
  <c r="L4886" i="4"/>
  <c r="M4891" i="4"/>
  <c r="L4897" i="4"/>
  <c r="M4907" i="4"/>
  <c r="M4913" i="4"/>
  <c r="L4917" i="4"/>
  <c r="M4921" i="4"/>
  <c r="M4925" i="4"/>
  <c r="M4929" i="4"/>
  <c r="L4935" i="4"/>
  <c r="L4939" i="4"/>
  <c r="L4945" i="4"/>
  <c r="M4949" i="4"/>
  <c r="L4955" i="4"/>
  <c r="N4955" i="4" s="1"/>
  <c r="O4955" i="4" s="1"/>
  <c r="L4960" i="4"/>
  <c r="L4964" i="4"/>
  <c r="M4967" i="4"/>
  <c r="M4974" i="4"/>
  <c r="L4979" i="4"/>
  <c r="N4979" i="4" s="1"/>
  <c r="O4979" i="4" s="1"/>
  <c r="M4983" i="4"/>
  <c r="L4988" i="4"/>
  <c r="N4988" i="4" s="1"/>
  <c r="O4988" i="4" s="1"/>
  <c r="M4992" i="4"/>
  <c r="M4996" i="4"/>
  <c r="L5002" i="4"/>
  <c r="L5008" i="4"/>
  <c r="M5012" i="4"/>
  <c r="M5016" i="4"/>
  <c r="L5020" i="4"/>
  <c r="N5020" i="4" s="1"/>
  <c r="O5020" i="4" s="1"/>
  <c r="M5029" i="4"/>
  <c r="M5035" i="4"/>
  <c r="M5040" i="4"/>
  <c r="M5047" i="4"/>
  <c r="L5051" i="4"/>
  <c r="M5063" i="4"/>
  <c r="M5068" i="4"/>
  <c r="L5072" i="4"/>
  <c r="L5076" i="4"/>
  <c r="L5080" i="4"/>
  <c r="L5084" i="4"/>
  <c r="M5103" i="4"/>
  <c r="L5107" i="4"/>
  <c r="L5112" i="4"/>
  <c r="L5117" i="4"/>
  <c r="M5121" i="4"/>
  <c r="L5127" i="4"/>
  <c r="L5133" i="4"/>
  <c r="L5139" i="4"/>
  <c r="L5142" i="4"/>
  <c r="M5146" i="4"/>
  <c r="M5155" i="4"/>
  <c r="M5160" i="4"/>
  <c r="M5164" i="4"/>
  <c r="M5169" i="4"/>
  <c r="M5174" i="4"/>
  <c r="M5178" i="4"/>
  <c r="M5183" i="4"/>
  <c r="M5189" i="4"/>
  <c r="L5193" i="4"/>
  <c r="L5197" i="4"/>
  <c r="N5197" i="4" s="1"/>
  <c r="O5197" i="4" s="1"/>
  <c r="M5201" i="4"/>
  <c r="M5205" i="4"/>
  <c r="M5823" i="4"/>
  <c r="L5828" i="4"/>
  <c r="L5832" i="4"/>
  <c r="L5837" i="4"/>
  <c r="M5842" i="4"/>
  <c r="L5853" i="4"/>
  <c r="M5858" i="4"/>
  <c r="L5862" i="4"/>
  <c r="L5866" i="4"/>
  <c r="M5871" i="4"/>
  <c r="M5877" i="4"/>
  <c r="M5881" i="4"/>
  <c r="M5889" i="4"/>
  <c r="L5893" i="4"/>
  <c r="L5896" i="4"/>
  <c r="M5901" i="4"/>
  <c r="M5905" i="4"/>
  <c r="M5910" i="4"/>
  <c r="M5913" i="4"/>
  <c r="M5917" i="4"/>
  <c r="M5922" i="4"/>
  <c r="L5926" i="4"/>
  <c r="L5931" i="4"/>
  <c r="L5937" i="4"/>
  <c r="L5942" i="4"/>
  <c r="M5952" i="4"/>
  <c r="M5957" i="4"/>
  <c r="L5961" i="4"/>
  <c r="M5965" i="4"/>
  <c r="L5969" i="4"/>
  <c r="M5973" i="4"/>
  <c r="L5980" i="4"/>
  <c r="N5980" i="4" s="1"/>
  <c r="O5980" i="4" s="1"/>
  <c r="M5985" i="4"/>
  <c r="L5989" i="4"/>
  <c r="L5993" i="4"/>
  <c r="M5996" i="4"/>
  <c r="L5999" i="4"/>
  <c r="N5999" i="4" s="1"/>
  <c r="O5999" i="4" s="1"/>
  <c r="J118" i="1"/>
  <c r="I25" i="3"/>
  <c r="K25" i="3" s="1"/>
  <c r="I24" i="3"/>
  <c r="K24" i="3" s="1"/>
  <c r="I23" i="3"/>
  <c r="K23" i="3" s="1"/>
  <c r="I22" i="3"/>
  <c r="K22" i="3" s="1"/>
  <c r="F10" i="12"/>
  <c r="G10" i="12"/>
  <c r="I162" i="1"/>
  <c r="B156" i="1"/>
  <c r="L159" i="1"/>
  <c r="L160" i="1"/>
  <c r="L161" i="1"/>
  <c r="F151" i="1"/>
  <c r="G145" i="1"/>
  <c r="G146" i="1"/>
  <c r="G148" i="1"/>
  <c r="O1297" i="4"/>
  <c r="N1486" i="4"/>
  <c r="O1486" i="4" s="1"/>
  <c r="N3732" i="4"/>
  <c r="O3732" i="4" s="1"/>
  <c r="N5261" i="4"/>
  <c r="O5261" i="4" s="1"/>
  <c r="N5270" i="4"/>
  <c r="O5270" i="4" s="1"/>
  <c r="N5279" i="4"/>
  <c r="O5279" i="4" s="1"/>
  <c r="N5288" i="4"/>
  <c r="O5288" i="4" s="1"/>
  <c r="N5302" i="4"/>
  <c r="O5302" i="4" s="1"/>
  <c r="N5312" i="4"/>
  <c r="O5312" i="4" s="1"/>
  <c r="N5321" i="4"/>
  <c r="O5321" i="4" s="1"/>
  <c r="N5330" i="4"/>
  <c r="O5330" i="4" s="1"/>
  <c r="N5339" i="4"/>
  <c r="O5339" i="4" s="1"/>
  <c r="N5348" i="4"/>
  <c r="O5348" i="4" s="1"/>
  <c r="N5352" i="4"/>
  <c r="O5352" i="4" s="1"/>
  <c r="N5366" i="4"/>
  <c r="O5366" i="4" s="1"/>
  <c r="N5375" i="4"/>
  <c r="O5375" i="4" s="1"/>
  <c r="N5387" i="4"/>
  <c r="O5387" i="4" s="1"/>
  <c r="N5396" i="4"/>
  <c r="O5396" i="4" s="1"/>
  <c r="N5405" i="4"/>
  <c r="O5405" i="4" s="1"/>
  <c r="N5414" i="4"/>
  <c r="O5414" i="4" s="1"/>
  <c r="N5423" i="4"/>
  <c r="O5423" i="4" s="1"/>
  <c r="N5432" i="4"/>
  <c r="O5432" i="4" s="1"/>
  <c r="N4075" i="4"/>
  <c r="O4075" i="4" s="1"/>
  <c r="N1413" i="4"/>
  <c r="O1413" i="4" s="1"/>
  <c r="N1489" i="4"/>
  <c r="O1489" i="4" s="1"/>
  <c r="O1814" i="4"/>
  <c r="N3254" i="4"/>
  <c r="O3254" i="4" s="1"/>
  <c r="N5267" i="4"/>
  <c r="O5267" i="4" s="1"/>
  <c r="N5280" i="4"/>
  <c r="O5280" i="4" s="1"/>
  <c r="N5289" i="4"/>
  <c r="O5289" i="4" s="1"/>
  <c r="N5306" i="4"/>
  <c r="O5306" i="4" s="1"/>
  <c r="N5316" i="4"/>
  <c r="O5316" i="4" s="1"/>
  <c r="N5329" i="4"/>
  <c r="O5329" i="4" s="1"/>
  <c r="N5338" i="4"/>
  <c r="O5338" i="4" s="1"/>
  <c r="N5351" i="4"/>
  <c r="O5351" i="4" s="1"/>
  <c r="N5355" i="4"/>
  <c r="O5355" i="4" s="1"/>
  <c r="N5364" i="4"/>
  <c r="O5364" i="4" s="1"/>
  <c r="N5373" i="4"/>
  <c r="O5373" i="4" s="1"/>
  <c r="N5377" i="4"/>
  <c r="O5377" i="4" s="1"/>
  <c r="N5394" i="4"/>
  <c r="O5394" i="4" s="1"/>
  <c r="N5403" i="4"/>
  <c r="O5403" i="4" s="1"/>
  <c r="N5417" i="4"/>
  <c r="O5417" i="4" s="1"/>
  <c r="N5430" i="4"/>
  <c r="O5430" i="4" s="1"/>
  <c r="N5433" i="4"/>
  <c r="O5433" i="4" s="1"/>
  <c r="N3468" i="4"/>
  <c r="O3468" i="4" s="1"/>
  <c r="N5262" i="4"/>
  <c r="O5262" i="4" s="1"/>
  <c r="N5266" i="4"/>
  <c r="O5266" i="4" s="1"/>
  <c r="N5275" i="4"/>
  <c r="O5275" i="4" s="1"/>
  <c r="N5284" i="4"/>
  <c r="O5284" i="4" s="1"/>
  <c r="N5294" i="4"/>
  <c r="O5294" i="4" s="1"/>
  <c r="N5303" i="4"/>
  <c r="O5303" i="4" s="1"/>
  <c r="N5325" i="4"/>
  <c r="O5325" i="4" s="1"/>
  <c r="N5334" i="4"/>
  <c r="O5334" i="4" s="1"/>
  <c r="N5343" i="4"/>
  <c r="O5343" i="4" s="1"/>
  <c r="N5357" i="4"/>
  <c r="O5357" i="4" s="1"/>
  <c r="N5374" i="4"/>
  <c r="O5374" i="4" s="1"/>
  <c r="N5397" i="4"/>
  <c r="O5397" i="4" s="1"/>
  <c r="N5406" i="4"/>
  <c r="O5406" i="4" s="1"/>
  <c r="N5415" i="4"/>
  <c r="O5415" i="4" s="1"/>
  <c r="N5425" i="4"/>
  <c r="O5425" i="4" s="1"/>
  <c r="N5112" i="4"/>
  <c r="O5112" i="4" s="1"/>
  <c r="N1488" i="4"/>
  <c r="O1488" i="4" s="1"/>
  <c r="N5268" i="4"/>
  <c r="O5268" i="4" s="1"/>
  <c r="N5283" i="4"/>
  <c r="O5283" i="4" s="1"/>
  <c r="N5297" i="4"/>
  <c r="O5297" i="4" s="1"/>
  <c r="N5305" i="4"/>
  <c r="O5305" i="4" s="1"/>
  <c r="N5314" i="4"/>
  <c r="O5314" i="4" s="1"/>
  <c r="N5323" i="4"/>
  <c r="O5323" i="4" s="1"/>
  <c r="N5336" i="4"/>
  <c r="O5336" i="4" s="1"/>
  <c r="N5349" i="4"/>
  <c r="O5349" i="4" s="1"/>
  <c r="N5358" i="4"/>
  <c r="O5358" i="4" s="1"/>
  <c r="N5367" i="4"/>
  <c r="O5367" i="4" s="1"/>
  <c r="N5376" i="4"/>
  <c r="O5376" i="4" s="1"/>
  <c r="N5384" i="4"/>
  <c r="O5384" i="4" s="1"/>
  <c r="N5393" i="4"/>
  <c r="O5393" i="4" s="1"/>
  <c r="N5402" i="4"/>
  <c r="O5402" i="4" s="1"/>
  <c r="N5411" i="4"/>
  <c r="O5411" i="4" s="1"/>
  <c r="N5420" i="4"/>
  <c r="O5420" i="4" s="1"/>
  <c r="N5428" i="4"/>
  <c r="O5428" i="4" s="1"/>
  <c r="N1807" i="4"/>
  <c r="O1807" i="4" s="1"/>
  <c r="N5652" i="4"/>
  <c r="O5652" i="4" s="1"/>
  <c r="N3229" i="4"/>
  <c r="O3229" i="4" s="1"/>
  <c r="N4883" i="4"/>
  <c r="O4883" i="4" s="1"/>
  <c r="N2406" i="4"/>
  <c r="O2406" i="4" s="1"/>
  <c r="N3144" i="4"/>
  <c r="O3144" i="4" s="1"/>
  <c r="N1014" i="4"/>
  <c r="O1014" i="4" s="1"/>
  <c r="N1132" i="4"/>
  <c r="O1132" i="4" s="1"/>
  <c r="N1482" i="4"/>
  <c r="O1482" i="4" s="1"/>
  <c r="N5260" i="4"/>
  <c r="O5260" i="4" s="1"/>
  <c r="N1483" i="4"/>
  <c r="O1483" i="4" s="1"/>
  <c r="N1490" i="4"/>
  <c r="O1490" i="4" s="1"/>
  <c r="N1480" i="4"/>
  <c r="O1480" i="4" s="1"/>
  <c r="N1485" i="4"/>
  <c r="O1485" i="4" s="1"/>
  <c r="N1492" i="4"/>
  <c r="O1492" i="4" s="1"/>
  <c r="O2389" i="4"/>
  <c r="N1484" i="4"/>
  <c r="O1484" i="4" s="1"/>
  <c r="N1491" i="4"/>
  <c r="O1491" i="4" s="1"/>
  <c r="N5265" i="4"/>
  <c r="O5265" i="4" s="1"/>
  <c r="G147" i="1"/>
  <c r="N1487" i="4"/>
  <c r="O1487" i="4" s="1"/>
  <c r="N5263" i="4"/>
  <c r="O5263" i="4" s="1"/>
  <c r="N5272" i="4"/>
  <c r="O5272" i="4" s="1"/>
  <c r="N5281" i="4"/>
  <c r="O5281" i="4" s="1"/>
  <c r="Q32" i="5"/>
  <c r="J576" i="4"/>
  <c r="K575" i="4"/>
  <c r="J575" i="4"/>
  <c r="K574" i="4"/>
  <c r="J574" i="4"/>
  <c r="K573" i="4"/>
  <c r="J573" i="4"/>
  <c r="K572" i="4"/>
  <c r="J572" i="4"/>
  <c r="K571" i="4"/>
  <c r="J571" i="4"/>
  <c r="K570" i="4"/>
  <c r="J570" i="4"/>
  <c r="K569" i="4"/>
  <c r="J569" i="4"/>
  <c r="K568" i="4"/>
  <c r="J568" i="4"/>
  <c r="K567" i="4"/>
  <c r="J567" i="4"/>
  <c r="K566" i="4"/>
  <c r="J566" i="4"/>
  <c r="K565" i="4"/>
  <c r="J565" i="4"/>
  <c r="K564" i="4"/>
  <c r="J564" i="4"/>
  <c r="K563" i="4"/>
  <c r="J563" i="4"/>
  <c r="K562" i="4"/>
  <c r="J562" i="4"/>
  <c r="K561" i="4"/>
  <c r="J561" i="4"/>
  <c r="K560" i="4"/>
  <c r="J560" i="4"/>
  <c r="K559" i="4"/>
  <c r="J559" i="4"/>
  <c r="K558" i="4"/>
  <c r="J558" i="4"/>
  <c r="K557" i="4"/>
  <c r="J557" i="4"/>
  <c r="K556" i="4"/>
  <c r="J556" i="4"/>
  <c r="K555" i="4"/>
  <c r="J555" i="4"/>
  <c r="K554" i="4"/>
  <c r="J554" i="4"/>
  <c r="K553" i="4"/>
  <c r="J553" i="4"/>
  <c r="K552" i="4"/>
  <c r="J552" i="4"/>
  <c r="K551" i="4"/>
  <c r="J551" i="4"/>
  <c r="K550" i="4"/>
  <c r="J550" i="4"/>
  <c r="K549" i="4"/>
  <c r="J549" i="4"/>
  <c r="K548" i="4"/>
  <c r="J548" i="4"/>
  <c r="K547" i="4"/>
  <c r="J547" i="4"/>
  <c r="K546" i="4"/>
  <c r="J546" i="4"/>
  <c r="K545" i="4"/>
  <c r="J545" i="4"/>
  <c r="K544" i="4"/>
  <c r="J544" i="4"/>
  <c r="K543" i="4"/>
  <c r="J543" i="4"/>
  <c r="K542" i="4"/>
  <c r="J542" i="4"/>
  <c r="K541" i="4"/>
  <c r="J541" i="4"/>
  <c r="K2135" i="4"/>
  <c r="J540" i="4"/>
  <c r="K539" i="4"/>
  <c r="J539" i="4"/>
  <c r="K538" i="4"/>
  <c r="J538" i="4"/>
  <c r="K537" i="4"/>
  <c r="J537" i="4"/>
  <c r="K536" i="4"/>
  <c r="J536" i="4"/>
  <c r="N536" i="4" s="1"/>
  <c r="O536" i="4" s="1"/>
  <c r="K535" i="4"/>
  <c r="J535" i="4"/>
  <c r="K534" i="4"/>
  <c r="J534" i="4"/>
  <c r="K533" i="4"/>
  <c r="J533" i="4"/>
  <c r="K532" i="4"/>
  <c r="J532" i="4"/>
  <c r="K531" i="4"/>
  <c r="J531" i="4"/>
  <c r="K530" i="4"/>
  <c r="J530" i="4"/>
  <c r="K529" i="4"/>
  <c r="J529" i="4"/>
  <c r="K528" i="4"/>
  <c r="J528" i="4"/>
  <c r="K527" i="4"/>
  <c r="J527" i="4"/>
  <c r="K526" i="4"/>
  <c r="J526" i="4"/>
  <c r="K525" i="4"/>
  <c r="J525" i="4"/>
  <c r="K524" i="4"/>
  <c r="K2197" i="4"/>
  <c r="K2195" i="4"/>
  <c r="J2184" i="4"/>
  <c r="J2179" i="4"/>
  <c r="J2178" i="4"/>
  <c r="K2161" i="4"/>
  <c r="J2159" i="4"/>
  <c r="J2158" i="4"/>
  <c r="K2149" i="4"/>
  <c r="K2118" i="4"/>
  <c r="K2113" i="4"/>
  <c r="K2108" i="4"/>
  <c r="K2101" i="4"/>
  <c r="J2100" i="4"/>
  <c r="J2099" i="4"/>
  <c r="J2098" i="4"/>
  <c r="J2097" i="4"/>
  <c r="K2096" i="4"/>
  <c r="K2095" i="4"/>
  <c r="J2094" i="4"/>
  <c r="K2093" i="4"/>
  <c r="J2072" i="4"/>
  <c r="K2055" i="4"/>
  <c r="J2054" i="4"/>
  <c r="K2053" i="4"/>
  <c r="J2042" i="4"/>
  <c r="J2037" i="4"/>
  <c r="J2036" i="4"/>
  <c r="K2035" i="4"/>
  <c r="J2028" i="4"/>
  <c r="K1944" i="4"/>
  <c r="J1936" i="4"/>
  <c r="J1935" i="4"/>
  <c r="J1934" i="4"/>
  <c r="N1934" i="4" s="1"/>
  <c r="O1934" i="4" s="1"/>
  <c r="K1933" i="4"/>
  <c r="K1928" i="4"/>
  <c r="J1923" i="4"/>
  <c r="J1922" i="4"/>
  <c r="K1920" i="4"/>
  <c r="K1915" i="4"/>
  <c r="J1909" i="4"/>
  <c r="K1908" i="4"/>
  <c r="J1881" i="4"/>
  <c r="K1879" i="4"/>
  <c r="K1867" i="4"/>
  <c r="K1866" i="4"/>
  <c r="J1865" i="4"/>
  <c r="K1864" i="4"/>
  <c r="K1863" i="4"/>
  <c r="J1862" i="4"/>
  <c r="K1838" i="4"/>
  <c r="J1837" i="4"/>
  <c r="K1830" i="4"/>
  <c r="K1829" i="4"/>
  <c r="K1786" i="4"/>
  <c r="J1781" i="4"/>
  <c r="K1760" i="4"/>
  <c r="K1755" i="4"/>
  <c r="K1754" i="4"/>
  <c r="K1753" i="4"/>
  <c r="J1752" i="4"/>
  <c r="J1743" i="4"/>
  <c r="J1742" i="4"/>
  <c r="K1739" i="4"/>
  <c r="N1739" i="4" s="1"/>
  <c r="O1739" i="4" s="1"/>
  <c r="J1738" i="4"/>
  <c r="J1733" i="4"/>
  <c r="K1731" i="4"/>
  <c r="J1730" i="4"/>
  <c r="J1729" i="4"/>
  <c r="K1728" i="4"/>
  <c r="K1719" i="4"/>
  <c r="K1705" i="4"/>
  <c r="K1704" i="4"/>
  <c r="K2655" i="4"/>
  <c r="J2654" i="4"/>
  <c r="J2645" i="4"/>
  <c r="K2644" i="4"/>
  <c r="K2643" i="4"/>
  <c r="J2642" i="4"/>
  <c r="K2637" i="4"/>
  <c r="J2636" i="4"/>
  <c r="J2635" i="4"/>
  <c r="K2634" i="4"/>
  <c r="K2633" i="4"/>
  <c r="K2632" i="4"/>
  <c r="K2615" i="4"/>
  <c r="J2614" i="4"/>
  <c r="K2613" i="4"/>
  <c r="K2612" i="4"/>
  <c r="J2611" i="4"/>
  <c r="K2609" i="4"/>
  <c r="K2608" i="4"/>
  <c r="J2585" i="4"/>
  <c r="K2579" i="4"/>
  <c r="K2576" i="4"/>
  <c r="J2575" i="4"/>
  <c r="J2574" i="4"/>
  <c r="K2569" i="4"/>
  <c r="J2568" i="4"/>
  <c r="J2567" i="4"/>
  <c r="J2566" i="4"/>
  <c r="J2560" i="4"/>
  <c r="K2557" i="4"/>
  <c r="J2552" i="4"/>
  <c r="J2551" i="4"/>
  <c r="J2534" i="4"/>
  <c r="J2529" i="4"/>
  <c r="K2522" i="4"/>
  <c r="J2521" i="4"/>
  <c r="J2517" i="4"/>
  <c r="K2516" i="4"/>
  <c r="J2515" i="4"/>
  <c r="K2514" i="4"/>
  <c r="J2513" i="4"/>
  <c r="K2512" i="4"/>
  <c r="K2511" i="4"/>
  <c r="K2510" i="4"/>
  <c r="J2509" i="4"/>
  <c r="K2482" i="4"/>
  <c r="J2481" i="4"/>
  <c r="K2478" i="4"/>
  <c r="K2477" i="4"/>
  <c r="K2476" i="4"/>
  <c r="J2475" i="4"/>
  <c r="J524" i="4"/>
  <c r="K523" i="4"/>
  <c r="J523" i="4"/>
  <c r="K522" i="4"/>
  <c r="J522" i="4"/>
  <c r="K521" i="4"/>
  <c r="J521" i="4"/>
  <c r="K520" i="4"/>
  <c r="J520" i="4"/>
  <c r="K519" i="4"/>
  <c r="J519" i="4"/>
  <c r="K518" i="4"/>
  <c r="J518" i="4"/>
  <c r="K517" i="4"/>
  <c r="J517" i="4"/>
  <c r="K516" i="4"/>
  <c r="J516" i="4"/>
  <c r="K515" i="4"/>
  <c r="J515" i="4"/>
  <c r="K514" i="4"/>
  <c r="J514" i="4"/>
  <c r="K513" i="4"/>
  <c r="J513" i="4"/>
  <c r="K512" i="4"/>
  <c r="J512" i="4"/>
  <c r="K511" i="4"/>
  <c r="J511" i="4"/>
  <c r="K510" i="4"/>
  <c r="J510" i="4"/>
  <c r="K509" i="4"/>
  <c r="J509" i="4"/>
  <c r="K508" i="4"/>
  <c r="J508" i="4"/>
  <c r="K507" i="4"/>
  <c r="J507" i="4"/>
  <c r="K506" i="4"/>
  <c r="J506" i="4"/>
  <c r="K505" i="4"/>
  <c r="J505" i="4"/>
  <c r="N505" i="4" s="1"/>
  <c r="O505" i="4" s="1"/>
  <c r="K504" i="4"/>
  <c r="J504" i="4"/>
  <c r="N504" i="4" s="1"/>
  <c r="O504" i="4" s="1"/>
  <c r="K503" i="4"/>
  <c r="J503" i="4"/>
  <c r="N503" i="4" s="1"/>
  <c r="O503" i="4" s="1"/>
  <c r="K502" i="4"/>
  <c r="J502" i="4"/>
  <c r="N502" i="4" s="1"/>
  <c r="O502" i="4" s="1"/>
  <c r="K501" i="4"/>
  <c r="J501" i="4"/>
  <c r="N501" i="4" s="1"/>
  <c r="O501" i="4" s="1"/>
  <c r="K500" i="4"/>
  <c r="J500" i="4"/>
  <c r="N500" i="4" s="1"/>
  <c r="O500" i="4" s="1"/>
  <c r="K499" i="4"/>
  <c r="N499" i="4" s="1"/>
  <c r="O499" i="4" s="1"/>
  <c r="J2442" i="4"/>
  <c r="J2441" i="4"/>
  <c r="J2440" i="4"/>
  <c r="J2439" i="4"/>
  <c r="J2438" i="4"/>
  <c r="K2431" i="4"/>
  <c r="K2367" i="4"/>
  <c r="J2366" i="4"/>
  <c r="J2364" i="4"/>
  <c r="J2363" i="4"/>
  <c r="K2362" i="4"/>
  <c r="K2357" i="4"/>
  <c r="K2356" i="4"/>
  <c r="J2348" i="4"/>
  <c r="J2347" i="4"/>
  <c r="J2322" i="4"/>
  <c r="J2321" i="4"/>
  <c r="K2304" i="4"/>
  <c r="J2303" i="4"/>
  <c r="K2302" i="4"/>
  <c r="J2297" i="4"/>
  <c r="K2296" i="4"/>
  <c r="K2295" i="4"/>
  <c r="J2281" i="4"/>
  <c r="J2254" i="4"/>
  <c r="J2245" i="4"/>
  <c r="J2244" i="4"/>
  <c r="K2236" i="4"/>
  <c r="K2213" i="4"/>
  <c r="K2209" i="4"/>
  <c r="J2208" i="4"/>
  <c r="K2201" i="4"/>
  <c r="J2200" i="4"/>
  <c r="J2199" i="4"/>
  <c r="K2190" i="4"/>
  <c r="K2188" i="4"/>
  <c r="K2182" i="4"/>
  <c r="K2177" i="4"/>
  <c r="J2176" i="4"/>
  <c r="K2175" i="4"/>
  <c r="K2152" i="4"/>
  <c r="K2151" i="4"/>
  <c r="J2136" i="4"/>
  <c r="K2134" i="4"/>
  <c r="J2133" i="4"/>
  <c r="K2128" i="4"/>
  <c r="J2127" i="4"/>
  <c r="K2125" i="4"/>
  <c r="K2124" i="4"/>
  <c r="K2123" i="4"/>
  <c r="K2122" i="4"/>
  <c r="K2111" i="4"/>
  <c r="J2110" i="4"/>
  <c r="K2092" i="4"/>
  <c r="J2091" i="4"/>
  <c r="J2090" i="4"/>
  <c r="J2089" i="4"/>
  <c r="K2088" i="4"/>
  <c r="J2087" i="4"/>
  <c r="J2086" i="4"/>
  <c r="K2085" i="4"/>
  <c r="K2079" i="4"/>
  <c r="K2071" i="4"/>
  <c r="J2070" i="4"/>
  <c r="K2065" i="4"/>
  <c r="J2064" i="4"/>
  <c r="J2063" i="4"/>
  <c r="K2062" i="4"/>
  <c r="K2061" i="4"/>
  <c r="J2060" i="4"/>
  <c r="J2034" i="4"/>
  <c r="K2024" i="4"/>
  <c r="K2023" i="4"/>
  <c r="J2021" i="4"/>
  <c r="J2003" i="4"/>
  <c r="K2002" i="4"/>
  <c r="J2001" i="4"/>
  <c r="K2000" i="4"/>
  <c r="K1999" i="4"/>
  <c r="J1998" i="4"/>
  <c r="K1997" i="4"/>
  <c r="J1996" i="4"/>
  <c r="K1995" i="4"/>
  <c r="K1994" i="4"/>
  <c r="K540" i="4"/>
  <c r="J1993" i="4"/>
  <c r="J1992" i="4"/>
  <c r="K1943" i="4"/>
  <c r="J1933" i="4"/>
  <c r="J1932" i="4"/>
  <c r="J1914" i="4"/>
  <c r="K1890" i="4"/>
  <c r="K1888" i="4"/>
  <c r="J1868" i="4"/>
  <c r="J1859" i="4"/>
  <c r="K1833" i="4"/>
  <c r="J1832" i="4"/>
  <c r="K1819" i="4"/>
  <c r="J1817" i="4"/>
  <c r="K1815" i="4"/>
  <c r="K1805" i="4"/>
  <c r="J1800" i="4"/>
  <c r="K1799" i="4"/>
  <c r="K1798" i="4"/>
  <c r="J1797" i="4"/>
  <c r="J1786" i="4"/>
  <c r="K1785" i="4"/>
  <c r="J1759" i="4"/>
  <c r="K1751" i="4"/>
  <c r="K1738" i="4"/>
  <c r="J1737" i="4"/>
  <c r="K1736" i="4"/>
  <c r="K1735" i="4"/>
  <c r="J1724" i="4"/>
  <c r="K1723" i="4"/>
  <c r="K1709" i="4"/>
  <c r="J1708" i="4"/>
  <c r="J1707" i="4"/>
  <c r="K1706" i="4"/>
  <c r="J1705" i="4"/>
  <c r="J1704" i="4"/>
  <c r="K1683" i="4"/>
  <c r="K1682" i="4"/>
  <c r="K1681" i="4"/>
  <c r="K1680" i="4"/>
  <c r="J1679" i="4"/>
  <c r="J1678" i="4"/>
  <c r="J1677" i="4"/>
  <c r="J1676" i="4"/>
  <c r="K1674" i="4"/>
  <c r="K1673" i="4"/>
  <c r="J1647" i="4"/>
  <c r="J1646" i="4"/>
  <c r="K1641" i="4"/>
  <c r="K1640" i="4"/>
  <c r="J1636" i="4"/>
  <c r="J1627" i="4"/>
  <c r="J1626" i="4"/>
  <c r="J1604" i="4"/>
  <c r="J1603" i="4"/>
  <c r="K1577" i="4"/>
  <c r="K1576" i="4"/>
  <c r="J1565" i="4"/>
  <c r="J1564" i="4"/>
  <c r="K1563" i="4"/>
  <c r="K1562" i="4"/>
  <c r="K1561" i="4"/>
  <c r="K1560" i="4"/>
  <c r="K1559" i="4"/>
  <c r="J1545" i="4"/>
  <c r="K1532" i="4"/>
  <c r="K1531" i="4"/>
  <c r="K1529" i="4"/>
  <c r="K1522" i="4"/>
  <c r="K1516" i="4"/>
  <c r="J1515" i="4"/>
  <c r="K426" i="4"/>
  <c r="J425" i="4"/>
  <c r="K415" i="4"/>
  <c r="K163" i="4"/>
  <c r="J414" i="4"/>
  <c r="K389" i="4"/>
  <c r="K369" i="4"/>
  <c r="K359" i="4"/>
  <c r="J342" i="4"/>
  <c r="K327" i="4"/>
  <c r="K317" i="4"/>
  <c r="J305" i="4"/>
  <c r="K299" i="4"/>
  <c r="J270" i="4"/>
  <c r="K264" i="4"/>
  <c r="K263" i="4"/>
  <c r="K262" i="4"/>
  <c r="J257" i="4"/>
  <c r="K247" i="4"/>
  <c r="J206" i="4"/>
  <c r="K185" i="4"/>
  <c r="K179" i="4"/>
  <c r="J178" i="4"/>
  <c r="J173" i="4"/>
  <c r="K172" i="4"/>
  <c r="J171" i="4"/>
  <c r="J165" i="4"/>
  <c r="J164" i="4"/>
  <c r="K162" i="4"/>
  <c r="J161" i="4"/>
  <c r="K155" i="4"/>
  <c r="J154" i="4"/>
  <c r="J153" i="4"/>
  <c r="K152" i="4"/>
  <c r="J138" i="4"/>
  <c r="K137" i="4"/>
  <c r="J136" i="4"/>
  <c r="K130" i="4"/>
  <c r="J129" i="4"/>
  <c r="K128" i="4"/>
  <c r="K123" i="4"/>
  <c r="K113" i="4"/>
  <c r="K111" i="4"/>
  <c r="K110" i="4"/>
  <c r="J105" i="4"/>
  <c r="K92" i="4"/>
  <c r="K74" i="4"/>
  <c r="K59" i="4"/>
  <c r="K58" i="4"/>
  <c r="J57" i="4"/>
  <c r="K34" i="4"/>
  <c r="K26" i="4"/>
  <c r="K16" i="4"/>
  <c r="J15" i="4"/>
  <c r="J14" i="4"/>
  <c r="K2" i="4"/>
  <c r="J5982" i="4"/>
  <c r="K5981" i="4"/>
  <c r="J5977" i="4"/>
  <c r="J5976" i="4"/>
  <c r="J5975" i="4"/>
  <c r="K5974" i="4"/>
  <c r="K5947" i="4"/>
  <c r="K5946" i="4"/>
  <c r="K5945" i="4"/>
  <c r="J5939" i="4"/>
  <c r="K5938" i="4"/>
  <c r="K5932" i="4"/>
  <c r="K5919" i="4"/>
  <c r="J5898" i="4"/>
  <c r="J5884" i="4"/>
  <c r="J5874" i="4"/>
  <c r="J5873" i="4"/>
  <c r="K5855" i="4"/>
  <c r="K5854" i="4"/>
  <c r="K5850" i="4"/>
  <c r="N5850" i="4" s="1"/>
  <c r="O5850" i="4" s="1"/>
  <c r="K5849" i="4"/>
  <c r="K5848" i="4"/>
  <c r="K5847" i="4"/>
  <c r="J5846" i="4"/>
  <c r="N5846" i="4" s="1"/>
  <c r="O5846" i="4" s="1"/>
  <c r="K5845" i="4"/>
  <c r="J5839" i="4"/>
  <c r="K5838" i="4"/>
  <c r="J5834" i="4"/>
  <c r="N5834" i="4" s="1"/>
  <c r="O5834" i="4" s="1"/>
  <c r="J5829" i="4"/>
  <c r="J5818" i="4"/>
  <c r="J5817" i="4"/>
  <c r="K5815" i="4"/>
  <c r="J5186" i="4"/>
  <c r="J5180" i="4"/>
  <c r="J5171" i="4"/>
  <c r="J5167" i="4"/>
  <c r="J5166" i="4"/>
  <c r="J5151" i="4"/>
  <c r="J5148" i="4"/>
  <c r="K5135" i="4"/>
  <c r="J5128" i="4"/>
  <c r="J5123" i="4"/>
  <c r="K5113" i="4"/>
  <c r="K5108" i="4"/>
  <c r="K5099" i="4"/>
  <c r="K5098" i="4"/>
  <c r="J5097" i="4"/>
  <c r="J5096" i="4"/>
  <c r="J5602" i="4"/>
  <c r="K5601" i="4"/>
  <c r="J5601" i="4"/>
  <c r="K5600" i="4"/>
  <c r="J5600" i="4"/>
  <c r="K5599" i="4"/>
  <c r="J5599" i="4"/>
  <c r="K5598" i="4"/>
  <c r="J5598" i="4"/>
  <c r="K5597" i="4"/>
  <c r="J5597" i="4"/>
  <c r="K5596" i="4"/>
  <c r="J5596" i="4"/>
  <c r="K5595" i="4"/>
  <c r="J5595" i="4"/>
  <c r="K5594" i="4"/>
  <c r="J5594" i="4"/>
  <c r="K5593" i="4"/>
  <c r="J5593" i="4"/>
  <c r="K5592" i="4"/>
  <c r="J5592" i="4"/>
  <c r="K5591" i="4"/>
  <c r="J5591" i="4"/>
  <c r="K5590" i="4"/>
  <c r="J5590" i="4"/>
  <c r="K5589" i="4"/>
  <c r="J5589" i="4"/>
  <c r="K5588" i="4"/>
  <c r="J5588" i="4"/>
  <c r="K5587" i="4"/>
  <c r="J5587" i="4"/>
  <c r="K5586" i="4"/>
  <c r="J5586" i="4"/>
  <c r="K5585" i="4"/>
  <c r="J5585" i="4"/>
  <c r="K5584" i="4"/>
  <c r="J5584" i="4"/>
  <c r="K5583" i="4"/>
  <c r="J5583" i="4"/>
  <c r="K5582" i="4"/>
  <c r="J5582" i="4"/>
  <c r="K5581" i="4"/>
  <c r="J5581" i="4"/>
  <c r="K5580" i="4"/>
  <c r="J5580" i="4"/>
  <c r="K5579" i="4"/>
  <c r="J5579" i="4"/>
  <c r="K5578" i="4"/>
  <c r="J5578" i="4"/>
  <c r="K5577" i="4"/>
  <c r="J5577" i="4"/>
  <c r="K5576" i="4"/>
  <c r="J5576" i="4"/>
  <c r="K5575" i="4"/>
  <c r="J5575" i="4"/>
  <c r="K5574" i="4"/>
  <c r="J5574" i="4"/>
  <c r="K5573" i="4"/>
  <c r="J5573" i="4"/>
  <c r="K5572" i="4"/>
  <c r="J5572" i="4"/>
  <c r="K5571" i="4"/>
  <c r="J5571" i="4"/>
  <c r="K5570" i="4"/>
  <c r="J5570" i="4"/>
  <c r="K5569" i="4"/>
  <c r="J5569" i="4"/>
  <c r="K5568" i="4"/>
  <c r="J5568" i="4"/>
  <c r="K5567" i="4"/>
  <c r="J5567" i="4"/>
  <c r="K5566" i="4"/>
  <c r="J5566" i="4"/>
  <c r="K5565" i="4"/>
  <c r="J5565" i="4"/>
  <c r="K5564" i="4"/>
  <c r="J5564" i="4"/>
  <c r="K5563" i="4"/>
  <c r="J5563" i="4"/>
  <c r="K5562" i="4"/>
  <c r="J5562" i="4"/>
  <c r="K5561" i="4"/>
  <c r="J5561" i="4"/>
  <c r="K5560" i="4"/>
  <c r="J5560" i="4"/>
  <c r="K5559" i="4"/>
  <c r="J5559" i="4"/>
  <c r="K5558" i="4"/>
  <c r="J5558" i="4"/>
  <c r="K5557" i="4"/>
  <c r="J5557" i="4"/>
  <c r="K5556" i="4"/>
  <c r="J5556" i="4"/>
  <c r="K5555" i="4"/>
  <c r="J5555" i="4"/>
  <c r="K5554" i="4"/>
  <c r="J5554" i="4"/>
  <c r="K5553" i="4"/>
  <c r="J5553" i="4"/>
  <c r="K5552" i="4"/>
  <c r="J5552" i="4"/>
  <c r="K5551" i="4"/>
  <c r="J5551" i="4"/>
  <c r="K5550" i="4"/>
  <c r="J5550" i="4"/>
  <c r="K5549" i="4"/>
  <c r="J5549" i="4"/>
  <c r="K5548" i="4"/>
  <c r="J5548" i="4"/>
  <c r="K5547" i="4"/>
  <c r="J5547" i="4"/>
  <c r="K5546" i="4"/>
  <c r="J5546" i="4"/>
  <c r="K5545" i="4"/>
  <c r="J5545" i="4"/>
  <c r="K5544" i="4"/>
  <c r="J5544" i="4"/>
  <c r="K5543" i="4"/>
  <c r="J5543" i="4"/>
  <c r="K5542" i="4"/>
  <c r="J5542" i="4"/>
  <c r="K5541" i="4"/>
  <c r="J5541" i="4"/>
  <c r="K5540" i="4"/>
  <c r="J5540" i="4"/>
  <c r="K5539" i="4"/>
  <c r="J5539" i="4"/>
  <c r="K5538" i="4"/>
  <c r="J5538" i="4"/>
  <c r="K5537" i="4"/>
  <c r="J5537" i="4"/>
  <c r="K5536" i="4"/>
  <c r="J5536" i="4"/>
  <c r="K5535" i="4"/>
  <c r="J5535" i="4"/>
  <c r="K5534" i="4"/>
  <c r="J5534" i="4"/>
  <c r="K5533" i="4"/>
  <c r="J5533" i="4"/>
  <c r="K5532" i="4"/>
  <c r="J5532" i="4"/>
  <c r="K5531" i="4"/>
  <c r="J5531" i="4"/>
  <c r="K5530" i="4"/>
  <c r="J5530" i="4"/>
  <c r="K5529" i="4"/>
  <c r="J5529" i="4"/>
  <c r="K5528" i="4"/>
  <c r="J5528" i="4"/>
  <c r="K5527" i="4"/>
  <c r="J5527" i="4"/>
  <c r="K5526" i="4"/>
  <c r="J5526" i="4"/>
  <c r="K5525" i="4"/>
  <c r="J5525" i="4"/>
  <c r="K5524" i="4"/>
  <c r="J5524" i="4"/>
  <c r="K5523" i="4"/>
  <c r="J5523" i="4"/>
  <c r="K5522" i="4"/>
  <c r="J5522" i="4"/>
  <c r="K5521" i="4"/>
  <c r="J5521" i="4"/>
  <c r="K5520" i="4"/>
  <c r="J5520" i="4"/>
  <c r="K5519" i="4"/>
  <c r="J5519" i="4"/>
  <c r="K5518" i="4"/>
  <c r="J5518" i="4"/>
  <c r="K5517" i="4"/>
  <c r="J5517" i="4"/>
  <c r="K5516" i="4"/>
  <c r="J5516" i="4"/>
  <c r="K5515" i="4"/>
  <c r="J5515" i="4"/>
  <c r="K5514" i="4"/>
  <c r="J5514" i="4"/>
  <c r="K5513" i="4"/>
  <c r="J5513" i="4"/>
  <c r="K5512" i="4"/>
  <c r="J5512" i="4"/>
  <c r="K5511" i="4"/>
  <c r="J5511" i="4"/>
  <c r="K5510" i="4"/>
  <c r="J5510" i="4"/>
  <c r="K5509" i="4"/>
  <c r="J5509" i="4"/>
  <c r="K5508" i="4"/>
  <c r="J5508" i="4"/>
  <c r="K5507" i="4"/>
  <c r="J5507" i="4"/>
  <c r="K5506" i="4"/>
  <c r="J5506" i="4"/>
  <c r="K5505" i="4"/>
  <c r="J5505" i="4"/>
  <c r="K5504" i="4"/>
  <c r="J5504" i="4"/>
  <c r="K5503" i="4"/>
  <c r="J5503" i="4"/>
  <c r="K5502" i="4"/>
  <c r="J5502" i="4"/>
  <c r="K5501" i="4"/>
  <c r="J5501" i="4"/>
  <c r="K5500" i="4"/>
  <c r="J5500" i="4"/>
  <c r="K5499" i="4"/>
  <c r="J5499" i="4"/>
  <c r="K5498" i="4"/>
  <c r="J5498" i="4"/>
  <c r="K5497" i="4"/>
  <c r="J5497" i="4"/>
  <c r="K5496" i="4"/>
  <c r="J5496" i="4"/>
  <c r="K5495" i="4"/>
  <c r="J5495" i="4"/>
  <c r="K5494" i="4"/>
  <c r="J5494" i="4"/>
  <c r="K5493" i="4"/>
  <c r="J5493" i="4"/>
  <c r="K5492" i="4"/>
  <c r="J5492" i="4"/>
  <c r="K5491" i="4"/>
  <c r="J5491" i="4"/>
  <c r="K5490" i="4"/>
  <c r="J5490" i="4"/>
  <c r="K5489" i="4"/>
  <c r="J5489" i="4"/>
  <c r="K5488" i="4"/>
  <c r="J5488" i="4"/>
  <c r="K5487" i="4"/>
  <c r="J5487" i="4"/>
  <c r="K5486" i="4"/>
  <c r="J5486" i="4"/>
  <c r="K5485" i="4"/>
  <c r="J5485" i="4"/>
  <c r="K5484" i="4"/>
  <c r="J5484" i="4"/>
  <c r="K5483" i="4"/>
  <c r="J5483" i="4"/>
  <c r="K5482" i="4"/>
  <c r="J5482" i="4"/>
  <c r="K5481" i="4"/>
  <c r="J5481" i="4"/>
  <c r="K5480" i="4"/>
  <c r="J5480" i="4"/>
  <c r="K5479" i="4"/>
  <c r="J5479" i="4"/>
  <c r="K5478" i="4"/>
  <c r="J5478" i="4"/>
  <c r="K5477" i="4"/>
  <c r="K5476" i="4"/>
  <c r="J5476" i="4"/>
  <c r="K5475" i="4"/>
  <c r="J5475" i="4"/>
  <c r="K5474" i="4"/>
  <c r="J5474" i="4"/>
  <c r="K5473" i="4"/>
  <c r="J5473" i="4"/>
  <c r="N5473" i="4" s="1"/>
  <c r="O5473" i="4" s="1"/>
  <c r="K5472" i="4"/>
  <c r="J5472" i="4"/>
  <c r="K5471" i="4"/>
  <c r="J5471" i="4"/>
  <c r="K5470" i="4"/>
  <c r="J5470" i="4"/>
  <c r="K5469" i="4"/>
  <c r="J5469" i="4"/>
  <c r="N5469" i="4" s="1"/>
  <c r="O5469" i="4" s="1"/>
  <c r="K5468" i="4"/>
  <c r="J5468" i="4"/>
  <c r="K5467" i="4"/>
  <c r="J5467" i="4"/>
  <c r="K5466" i="4"/>
  <c r="J5466" i="4"/>
  <c r="N5466" i="4" s="1"/>
  <c r="O5466" i="4" s="1"/>
  <c r="K5465" i="4"/>
  <c r="J5465" i="4"/>
  <c r="K5464" i="4"/>
  <c r="J5464" i="4"/>
  <c r="K5463" i="4"/>
  <c r="J5463" i="4"/>
  <c r="N5463" i="4" s="1"/>
  <c r="O5463" i="4" s="1"/>
  <c r="K5462" i="4"/>
  <c r="J5462" i="4"/>
  <c r="K5461" i="4"/>
  <c r="J5461" i="4"/>
  <c r="N5461" i="4" s="1"/>
  <c r="O5461" i="4" s="1"/>
  <c r="K5460" i="4"/>
  <c r="J5460" i="4"/>
  <c r="K5459" i="4"/>
  <c r="J5459" i="4"/>
  <c r="N5459" i="4" s="1"/>
  <c r="O5459" i="4" s="1"/>
  <c r="K5458" i="4"/>
  <c r="J5458" i="4"/>
  <c r="N5458" i="4" s="1"/>
  <c r="O5458" i="4" s="1"/>
  <c r="K5457" i="4"/>
  <c r="J5457" i="4"/>
  <c r="N5457" i="4" s="1"/>
  <c r="O5457" i="4" s="1"/>
  <c r="K5456" i="4"/>
  <c r="J5456" i="4"/>
  <c r="N5456" i="4" s="1"/>
  <c r="O5456" i="4" s="1"/>
  <c r="K5455" i="4"/>
  <c r="J5455" i="4"/>
  <c r="K5454" i="4"/>
  <c r="J5454" i="4"/>
  <c r="K5453" i="4"/>
  <c r="J5453" i="4"/>
  <c r="K5452" i="4"/>
  <c r="J5452" i="4"/>
  <c r="K5451" i="4"/>
  <c r="J5451" i="4"/>
  <c r="K5450" i="4"/>
  <c r="J5450" i="4"/>
  <c r="N5450" i="4" s="1"/>
  <c r="O5450" i="4" s="1"/>
  <c r="K5449" i="4"/>
  <c r="J5449" i="4"/>
  <c r="K5448" i="4"/>
  <c r="J5448" i="4"/>
  <c r="K5447" i="4"/>
  <c r="J5447" i="4"/>
  <c r="K5446" i="4"/>
  <c r="J5446" i="4"/>
  <c r="N5446" i="4" s="1"/>
  <c r="O5446" i="4" s="1"/>
  <c r="K5445" i="4"/>
  <c r="J5445" i="4"/>
  <c r="K5444" i="4"/>
  <c r="J5444" i="4"/>
  <c r="N5444" i="4" s="1"/>
  <c r="O5444" i="4" s="1"/>
  <c r="K5443" i="4"/>
  <c r="J5443" i="4"/>
  <c r="K5442" i="4"/>
  <c r="J5442" i="4"/>
  <c r="N5442" i="4" s="1"/>
  <c r="O5442" i="4" s="1"/>
  <c r="K5441" i="4"/>
  <c r="J5441" i="4"/>
  <c r="K5440" i="4"/>
  <c r="J5440" i="4"/>
  <c r="N5440" i="4" s="1"/>
  <c r="O5440" i="4" s="1"/>
  <c r="K5439" i="4"/>
  <c r="N5439" i="4" s="1"/>
  <c r="O5439" i="4" s="1"/>
  <c r="J650" i="4"/>
  <c r="K649" i="4"/>
  <c r="J649" i="4"/>
  <c r="K648" i="4"/>
  <c r="J648" i="4"/>
  <c r="K647" i="4"/>
  <c r="J647" i="4"/>
  <c r="K646" i="4"/>
  <c r="J646" i="4"/>
  <c r="K645" i="4"/>
  <c r="J645" i="4"/>
  <c r="K644" i="4"/>
  <c r="J644" i="4"/>
  <c r="K643" i="4"/>
  <c r="J643" i="4"/>
  <c r="K642" i="4"/>
  <c r="J642" i="4"/>
  <c r="K641" i="4"/>
  <c r="J641" i="4"/>
  <c r="K640" i="4"/>
  <c r="J640" i="4"/>
  <c r="K639" i="4"/>
  <c r="J639" i="4"/>
  <c r="J3511" i="4"/>
  <c r="N3511" i="4" s="1"/>
  <c r="O3511" i="4" s="1"/>
  <c r="J3501" i="4"/>
  <c r="K3500" i="4"/>
  <c r="K3495" i="4"/>
  <c r="N3495" i="4" s="1"/>
  <c r="O3495" i="4" s="1"/>
  <c r="J3494" i="4"/>
  <c r="K3493" i="4"/>
  <c r="N3493" i="4" s="1"/>
  <c r="O3493" i="4" s="1"/>
  <c r="J3489" i="4"/>
  <c r="K3488" i="4"/>
  <c r="K3484" i="4"/>
  <c r="J3479" i="4"/>
  <c r="N3479" i="4" s="1"/>
  <c r="O3479" i="4" s="1"/>
  <c r="J3461" i="4"/>
  <c r="J3440" i="4"/>
  <c r="J3439" i="4"/>
  <c r="K3429" i="4"/>
  <c r="K3428" i="4"/>
  <c r="J3427" i="4"/>
  <c r="N3427" i="4" s="1"/>
  <c r="O3427" i="4" s="1"/>
  <c r="J3426" i="4"/>
  <c r="J3425" i="4"/>
  <c r="K3395" i="4"/>
  <c r="J3394" i="4"/>
  <c r="K3393" i="4"/>
  <c r="K3392" i="4"/>
  <c r="K3391" i="4"/>
  <c r="K3386" i="4"/>
  <c r="J3375" i="4"/>
  <c r="K3374" i="4"/>
  <c r="K3373" i="4"/>
  <c r="K3368" i="4"/>
  <c r="K3359" i="4"/>
  <c r="K3356" i="4"/>
  <c r="N3356" i="4" s="1"/>
  <c r="O3356" i="4" s="1"/>
  <c r="J3355" i="4"/>
  <c r="K3354" i="4"/>
  <c r="K3349" i="4"/>
  <c r="K3341" i="4"/>
  <c r="K3340" i="4"/>
  <c r="K3339" i="4"/>
  <c r="K3335" i="4"/>
  <c r="N3335" i="4" s="1"/>
  <c r="O3335" i="4" s="1"/>
  <c r="K3334" i="4"/>
  <c r="K3320" i="4"/>
  <c r="J3306" i="4"/>
  <c r="K3305" i="4"/>
  <c r="J3300" i="4"/>
  <c r="K3279" i="4"/>
  <c r="K3270" i="4"/>
  <c r="K3267" i="4"/>
  <c r="J3266" i="4"/>
  <c r="N3266" i="4" s="1"/>
  <c r="O3266" i="4" s="1"/>
  <c r="J3246" i="4"/>
  <c r="K3240" i="4"/>
  <c r="J3226" i="4"/>
  <c r="K3225" i="4"/>
  <c r="N3225" i="4" s="1"/>
  <c r="O3225" i="4" s="1"/>
  <c r="K3224" i="4"/>
  <c r="N3224" i="4" s="1"/>
  <c r="O3224" i="4" s="1"/>
  <c r="K3217" i="4"/>
  <c r="K3216" i="4"/>
  <c r="K3215" i="4"/>
  <c r="N3215" i="4" s="1"/>
  <c r="O3215" i="4" s="1"/>
  <c r="K3212" i="4"/>
  <c r="J3211" i="4"/>
  <c r="N3211" i="4" s="1"/>
  <c r="O3211" i="4" s="1"/>
  <c r="J3209" i="4"/>
  <c r="K3174" i="4"/>
  <c r="J3173" i="4"/>
  <c r="K3164" i="4"/>
  <c r="J3162" i="4"/>
  <c r="N3162" i="4" s="1"/>
  <c r="O3162" i="4" s="1"/>
  <c r="J3161" i="4"/>
  <c r="N3161" i="4" s="1"/>
  <c r="O3161" i="4" s="1"/>
  <c r="K3159" i="4"/>
  <c r="J3153" i="4"/>
  <c r="K3152" i="4"/>
  <c r="J3151" i="4"/>
  <c r="J3150" i="4"/>
  <c r="K3147" i="4"/>
  <c r="J5477" i="4"/>
  <c r="N5477" i="4" s="1"/>
  <c r="O5477" i="4" s="1"/>
  <c r="K3145" i="4"/>
  <c r="N3145" i="4" s="1"/>
  <c r="O3145" i="4" s="1"/>
  <c r="K3136" i="4"/>
  <c r="K3117" i="4"/>
  <c r="K3112" i="4"/>
  <c r="N3112" i="4" s="1"/>
  <c r="O3112" i="4" s="1"/>
  <c r="K3111" i="4"/>
  <c r="J3110" i="4"/>
  <c r="J3093" i="4"/>
  <c r="K3087" i="4"/>
  <c r="K3086" i="4"/>
  <c r="N3086" i="4" s="1"/>
  <c r="O3086" i="4" s="1"/>
  <c r="J3085" i="4"/>
  <c r="J3084" i="4"/>
  <c r="K3083" i="4"/>
  <c r="K3082" i="4"/>
  <c r="N3082" i="4" s="1"/>
  <c r="O3082" i="4" s="1"/>
  <c r="J3081" i="4"/>
  <c r="J3080" i="4"/>
  <c r="N3080" i="4" s="1"/>
  <c r="O3080" i="4" s="1"/>
  <c r="J3079" i="4"/>
  <c r="J3070" i="4"/>
  <c r="J3060" i="4"/>
  <c r="N3060" i="4" s="1"/>
  <c r="O3060" i="4" s="1"/>
  <c r="K3059" i="4"/>
  <c r="K3058" i="4"/>
  <c r="K3057" i="4"/>
  <c r="N3057" i="4" s="1"/>
  <c r="O3057" i="4" s="1"/>
  <c r="K3056" i="4"/>
  <c r="N3056" i="4" s="1"/>
  <c r="O3056" i="4" s="1"/>
  <c r="J3051" i="4"/>
  <c r="J3046" i="4"/>
  <c r="J3032" i="4"/>
  <c r="J3031" i="4"/>
  <c r="J3018" i="4"/>
  <c r="J3004" i="4"/>
  <c r="N3004" i="4" s="1"/>
  <c r="O3004" i="4" s="1"/>
  <c r="J3002" i="4"/>
  <c r="K2969" i="4"/>
  <c r="N2969" i="4" s="1"/>
  <c r="O2969" i="4" s="1"/>
  <c r="K2968" i="4"/>
  <c r="K2967" i="4"/>
  <c r="K2966" i="4"/>
  <c r="J2965" i="4"/>
  <c r="N2965" i="4" s="1"/>
  <c r="O2965" i="4" s="1"/>
  <c r="J2964" i="4"/>
  <c r="K2963" i="4"/>
  <c r="J2962" i="4"/>
  <c r="J2961" i="4"/>
  <c r="N2961" i="4" s="1"/>
  <c r="O2961" i="4" s="1"/>
  <c r="K2960" i="4"/>
  <c r="K2959" i="4"/>
  <c r="J2958" i="4"/>
  <c r="J2945" i="4"/>
  <c r="N2945" i="4" s="1"/>
  <c r="O2945" i="4" s="1"/>
  <c r="K2944" i="4"/>
  <c r="J2942" i="4"/>
  <c r="J2927" i="4"/>
  <c r="K2925" i="4"/>
  <c r="K2920" i="4"/>
  <c r="J2898" i="4"/>
  <c r="J2893" i="4"/>
  <c r="J2892" i="4"/>
  <c r="K2884" i="4"/>
  <c r="J2872" i="4"/>
  <c r="J2871" i="4"/>
  <c r="N2871" i="4" s="1"/>
  <c r="O2871" i="4" s="1"/>
  <c r="J2870" i="4"/>
  <c r="J2869" i="4"/>
  <c r="J2868" i="4"/>
  <c r="J2867" i="4"/>
  <c r="N2867" i="4" s="1"/>
  <c r="O2867" i="4" s="1"/>
  <c r="J2866" i="4"/>
  <c r="J2865" i="4"/>
  <c r="J2856" i="4"/>
  <c r="K2851" i="4"/>
  <c r="J2850" i="4"/>
  <c r="K2832" i="4"/>
  <c r="N2832" i="4" s="1"/>
  <c r="O2832" i="4" s="1"/>
  <c r="K2831" i="4"/>
  <c r="K2830" i="4"/>
  <c r="K2829" i="4"/>
  <c r="J2828" i="4"/>
  <c r="K2827" i="4"/>
  <c r="N2827" i="4" s="1"/>
  <c r="O2827" i="4" s="1"/>
  <c r="J2806" i="4"/>
  <c r="J2773" i="4"/>
  <c r="N2773" i="4" s="1"/>
  <c r="O2773" i="4" s="1"/>
  <c r="K2767" i="4"/>
  <c r="J2742" i="4"/>
  <c r="K2741" i="4"/>
  <c r="N2741" i="4" s="1"/>
  <c r="O2741" i="4" s="1"/>
  <c r="K2738" i="4"/>
  <c r="N2738" i="4" s="1"/>
  <c r="O2738" i="4" s="1"/>
  <c r="J2733" i="4"/>
  <c r="K2732" i="4"/>
  <c r="K2731" i="4"/>
  <c r="K2730" i="4"/>
  <c r="K2729" i="4"/>
  <c r="K2728" i="4"/>
  <c r="J2713" i="4"/>
  <c r="J2712" i="4"/>
  <c r="J2711" i="4"/>
  <c r="K2710" i="4"/>
  <c r="K2709" i="4"/>
  <c r="K2706" i="4"/>
  <c r="J2692" i="4"/>
  <c r="K2691" i="4"/>
  <c r="J2660" i="4"/>
  <c r="J2659" i="4"/>
  <c r="J2658" i="4"/>
  <c r="K2641" i="4"/>
  <c r="N2641" i="4" s="1"/>
  <c r="O2641" i="4" s="1"/>
  <c r="K2631" i="4"/>
  <c r="K2630" i="4"/>
  <c r="K2623" i="4"/>
  <c r="J2622" i="4"/>
  <c r="J2620" i="4"/>
  <c r="K2618" i="4"/>
  <c r="J2617" i="4"/>
  <c r="J2616" i="4"/>
  <c r="K2607" i="4"/>
  <c r="K2606" i="4"/>
  <c r="K2605" i="4"/>
  <c r="K2604" i="4"/>
  <c r="K2603" i="4"/>
  <c r="N2603" i="4" s="1"/>
  <c r="O2603" i="4" s="1"/>
  <c r="J2602" i="4"/>
  <c r="J2601" i="4"/>
  <c r="K2600" i="4"/>
  <c r="J2599" i="4"/>
  <c r="N2599" i="4" s="1"/>
  <c r="O2599" i="4" s="1"/>
  <c r="J2582" i="4"/>
  <c r="K2577" i="4"/>
  <c r="J2546" i="4"/>
  <c r="J2533" i="4"/>
  <c r="J2532" i="4"/>
  <c r="J2512" i="4"/>
  <c r="J2511" i="4"/>
  <c r="J2510" i="4"/>
  <c r="J2498" i="4"/>
  <c r="K2488" i="4"/>
  <c r="N2488" i="4" s="1"/>
  <c r="O2488" i="4" s="1"/>
  <c r="K2473" i="4"/>
  <c r="K2462" i="4"/>
  <c r="J2460" i="4"/>
  <c r="N2460" i="4" s="1"/>
  <c r="O2460" i="4" s="1"/>
  <c r="K2459" i="4"/>
  <c r="K2451" i="4"/>
  <c r="K2450" i="4"/>
  <c r="J2448" i="4"/>
  <c r="K2443" i="4"/>
  <c r="K2437" i="4"/>
  <c r="K2429" i="4"/>
  <c r="J2428" i="4"/>
  <c r="K2426" i="4"/>
  <c r="K2425" i="4"/>
  <c r="K2424" i="4"/>
  <c r="K2423" i="4"/>
  <c r="J2414" i="4"/>
  <c r="K2410" i="4"/>
  <c r="J2405" i="4"/>
  <c r="J2400" i="4"/>
  <c r="J2395" i="4"/>
  <c r="J2394" i="4"/>
  <c r="K2393" i="4"/>
  <c r="K2381" i="4"/>
  <c r="J2375" i="4"/>
  <c r="K2374" i="4"/>
  <c r="N2374" i="4" s="1"/>
  <c r="O2374" i="4" s="1"/>
  <c r="J2357" i="4"/>
  <c r="J2356" i="4"/>
  <c r="J2355" i="4"/>
  <c r="K2350" i="4"/>
  <c r="J2345" i="4"/>
  <c r="J2344" i="4"/>
  <c r="J2343" i="4"/>
  <c r="J2342" i="4"/>
  <c r="J2341" i="4"/>
  <c r="J2340" i="4"/>
  <c r="K2339" i="4"/>
  <c r="K2338" i="4"/>
  <c r="K2337" i="4"/>
  <c r="K2336" i="4"/>
  <c r="K2335" i="4"/>
  <c r="J2302" i="4"/>
  <c r="K2301" i="4"/>
  <c r="N2301" i="4" s="1"/>
  <c r="O2301" i="4" s="1"/>
  <c r="J2300" i="4"/>
  <c r="J2299" i="4"/>
  <c r="N2299" i="4" s="1"/>
  <c r="O2299" i="4" s="1"/>
  <c r="J2289" i="4"/>
  <c r="J2280" i="4"/>
  <c r="J2243" i="4"/>
  <c r="K2241" i="4"/>
  <c r="K2240" i="4"/>
  <c r="K2204" i="4"/>
  <c r="J2203" i="4"/>
  <c r="N2203" i="4" s="1"/>
  <c r="O2203" i="4" s="1"/>
  <c r="K638" i="4"/>
  <c r="J638" i="4"/>
  <c r="K637" i="4"/>
  <c r="J637" i="4"/>
  <c r="N637" i="4" s="1"/>
  <c r="O637" i="4" s="1"/>
  <c r="K636" i="4"/>
  <c r="J636" i="4"/>
  <c r="N636" i="4" s="1"/>
  <c r="O636" i="4" s="1"/>
  <c r="K635" i="4"/>
  <c r="J635" i="4"/>
  <c r="K634" i="4"/>
  <c r="J634" i="4"/>
  <c r="K633" i="4"/>
  <c r="J633" i="4"/>
  <c r="N633" i="4" s="1"/>
  <c r="O633" i="4" s="1"/>
  <c r="K632" i="4"/>
  <c r="J632" i="4"/>
  <c r="K631" i="4"/>
  <c r="J631" i="4"/>
  <c r="N631" i="4" s="1"/>
  <c r="O631" i="4" s="1"/>
  <c r="K630" i="4"/>
  <c r="J630" i="4"/>
  <c r="K629" i="4"/>
  <c r="J629" i="4"/>
  <c r="K628" i="4"/>
  <c r="J628" i="4"/>
  <c r="N628" i="4" s="1"/>
  <c r="O628" i="4" s="1"/>
  <c r="K627" i="4"/>
  <c r="J627" i="4"/>
  <c r="N627" i="4" s="1"/>
  <c r="O627" i="4" s="1"/>
  <c r="K626" i="4"/>
  <c r="J626" i="4"/>
  <c r="K625" i="4"/>
  <c r="J625" i="4"/>
  <c r="N625" i="4" s="1"/>
  <c r="O625" i="4" s="1"/>
  <c r="K624" i="4"/>
  <c r="J624" i="4"/>
  <c r="K623" i="4"/>
  <c r="J623" i="4"/>
  <c r="K622" i="4"/>
  <c r="J622" i="4"/>
  <c r="K621" i="4"/>
  <c r="J621" i="4"/>
  <c r="N621" i="4" s="1"/>
  <c r="O621" i="4" s="1"/>
  <c r="K620" i="4"/>
  <c r="J620" i="4"/>
  <c r="N620" i="4" s="1"/>
  <c r="O620" i="4" s="1"/>
  <c r="K619" i="4"/>
  <c r="J619" i="4"/>
  <c r="K618" i="4"/>
  <c r="J618" i="4"/>
  <c r="K617" i="4"/>
  <c r="J617" i="4"/>
  <c r="K616" i="4"/>
  <c r="J616" i="4"/>
  <c r="K615" i="4"/>
  <c r="J615" i="4"/>
  <c r="K614" i="4"/>
  <c r="J614" i="4"/>
  <c r="K613" i="4"/>
  <c r="J613" i="4"/>
  <c r="K612" i="4"/>
  <c r="J612" i="4"/>
  <c r="K611" i="4"/>
  <c r="J611" i="4"/>
  <c r="N611" i="4" s="1"/>
  <c r="O611" i="4" s="1"/>
  <c r="K610" i="4"/>
  <c r="J610" i="4"/>
  <c r="K609" i="4"/>
  <c r="J609" i="4"/>
  <c r="N609" i="4" s="1"/>
  <c r="O609" i="4" s="1"/>
  <c r="K608" i="4"/>
  <c r="J608" i="4"/>
  <c r="K607" i="4"/>
  <c r="J607" i="4"/>
  <c r="K606" i="4"/>
  <c r="J606" i="4"/>
  <c r="K605" i="4"/>
  <c r="J605" i="4"/>
  <c r="K604" i="4"/>
  <c r="J604" i="4"/>
  <c r="K603" i="4"/>
  <c r="J603" i="4"/>
  <c r="N603" i="4" s="1"/>
  <c r="O603" i="4" s="1"/>
  <c r="K602" i="4"/>
  <c r="J602" i="4"/>
  <c r="K601" i="4"/>
  <c r="J601" i="4"/>
  <c r="K600" i="4"/>
  <c r="J600" i="4"/>
  <c r="N600" i="4" s="1"/>
  <c r="O600" i="4" s="1"/>
  <c r="K599" i="4"/>
  <c r="J599" i="4"/>
  <c r="K598" i="4"/>
  <c r="J598" i="4"/>
  <c r="K597" i="4"/>
  <c r="J597" i="4"/>
  <c r="N597" i="4" s="1"/>
  <c r="O597" i="4" s="1"/>
  <c r="K596" i="4"/>
  <c r="J596" i="4"/>
  <c r="K595" i="4"/>
  <c r="J595" i="4"/>
  <c r="K594" i="4"/>
  <c r="J594" i="4"/>
  <c r="K593" i="4"/>
  <c r="J593" i="4"/>
  <c r="N593" i="4" s="1"/>
  <c r="O593" i="4" s="1"/>
  <c r="K592" i="4"/>
  <c r="J592" i="4"/>
  <c r="N592" i="4" s="1"/>
  <c r="O592" i="4" s="1"/>
  <c r="K591" i="4"/>
  <c r="J591" i="4"/>
  <c r="K590" i="4"/>
  <c r="J590" i="4"/>
  <c r="N590" i="4" s="1"/>
  <c r="O590" i="4" s="1"/>
  <c r="K589" i="4"/>
  <c r="J589" i="4"/>
  <c r="N589" i="4" s="1"/>
  <c r="O589" i="4" s="1"/>
  <c r="K588" i="4"/>
  <c r="J588" i="4"/>
  <c r="K587" i="4"/>
  <c r="J587" i="4"/>
  <c r="K586" i="4"/>
  <c r="J586" i="4"/>
  <c r="K585" i="4"/>
  <c r="J585" i="4"/>
  <c r="K584" i="4"/>
  <c r="J584" i="4"/>
  <c r="N584" i="4" s="1"/>
  <c r="O584" i="4" s="1"/>
  <c r="K583" i="4"/>
  <c r="J583" i="4"/>
  <c r="N583" i="4" s="1"/>
  <c r="O583" i="4" s="1"/>
  <c r="K582" i="4"/>
  <c r="J582" i="4"/>
  <c r="K581" i="4"/>
  <c r="J581" i="4"/>
  <c r="K580" i="4"/>
  <c r="J580" i="4"/>
  <c r="N580" i="4" s="1"/>
  <c r="O580" i="4" s="1"/>
  <c r="K579" i="4"/>
  <c r="J579" i="4"/>
  <c r="N579" i="4" s="1"/>
  <c r="O579" i="4" s="1"/>
  <c r="K578" i="4"/>
  <c r="J578" i="4"/>
  <c r="K577" i="4"/>
  <c r="J577" i="4"/>
  <c r="N577" i="4" s="1"/>
  <c r="O577" i="4" s="1"/>
  <c r="K576" i="4"/>
  <c r="K3146" i="4"/>
  <c r="M158" i="1"/>
  <c r="M160" i="1"/>
  <c r="M159" i="1"/>
  <c r="M161" i="1"/>
  <c r="N507" i="4" l="1"/>
  <c r="O507" i="4" s="1"/>
  <c r="N5449" i="4"/>
  <c r="O5449" i="4" s="1"/>
  <c r="N5455" i="4"/>
  <c r="O5455" i="4" s="1"/>
  <c r="N4806" i="4"/>
  <c r="O4806" i="4" s="1"/>
  <c r="N2689" i="4"/>
  <c r="O2689" i="4" s="1"/>
  <c r="N3039" i="4"/>
  <c r="O3039" i="4" s="1"/>
  <c r="N2192" i="4"/>
  <c r="O2192" i="4" s="1"/>
  <c r="N2903" i="4"/>
  <c r="O2903" i="4" s="1"/>
  <c r="N3905" i="4"/>
  <c r="O3905" i="4" s="1"/>
  <c r="N3608" i="4"/>
  <c r="O3608" i="4" s="1"/>
  <c r="N3234" i="4"/>
  <c r="O3234" i="4" s="1"/>
  <c r="N3206" i="4"/>
  <c r="O3206" i="4" s="1"/>
  <c r="N506" i="4"/>
  <c r="O506" i="4" s="1"/>
  <c r="O3963" i="4"/>
  <c r="O316" i="4"/>
  <c r="O384" i="4"/>
  <c r="N1779" i="4"/>
  <c r="O1779" i="4" s="1"/>
  <c r="N2760" i="4"/>
  <c r="O2760" i="4" s="1"/>
  <c r="N3729" i="4"/>
  <c r="O3729" i="4" s="1"/>
  <c r="N2249" i="4"/>
  <c r="O2249" i="4" s="1"/>
  <c r="N2137" i="4"/>
  <c r="O2137" i="4" s="1"/>
  <c r="N2932" i="4"/>
  <c r="O2932" i="4" s="1"/>
  <c r="N3988" i="4"/>
  <c r="O3988" i="4" s="1"/>
  <c r="N596" i="4"/>
  <c r="O596" i="4" s="1"/>
  <c r="N3481" i="4"/>
  <c r="O3481" i="4" s="1"/>
  <c r="N3681" i="4"/>
  <c r="O3681" i="4" s="1"/>
  <c r="N3995" i="4"/>
  <c r="O3995" i="4" s="1"/>
  <c r="N4051" i="4"/>
  <c r="O4051" i="4" s="1"/>
  <c r="N3648" i="4"/>
  <c r="O3648" i="4" s="1"/>
  <c r="N4928" i="4"/>
  <c r="O4928" i="4" s="1"/>
  <c r="N4244" i="4"/>
  <c r="O4244" i="4" s="1"/>
  <c r="N2656" i="4"/>
  <c r="O2656" i="4" s="1"/>
  <c r="N2896" i="4"/>
  <c r="O2896" i="4" s="1"/>
  <c r="N3036" i="4"/>
  <c r="O3036" i="4" s="1"/>
  <c r="N1948" i="4"/>
  <c r="O1948" i="4" s="1"/>
  <c r="N4959" i="4"/>
  <c r="O4959" i="4" s="1"/>
  <c r="N5140" i="4"/>
  <c r="O5140" i="4" s="1"/>
  <c r="N202" i="4"/>
  <c r="O202" i="4" s="1"/>
  <c r="E3" i="12"/>
  <c r="G3" i="12"/>
  <c r="F3" i="12"/>
  <c r="H3" i="12"/>
  <c r="O3695" i="4"/>
  <c r="N5474" i="4"/>
  <c r="O5474" i="4" s="1"/>
  <c r="N2246" i="4"/>
  <c r="O2246" i="4" s="1"/>
  <c r="N2411" i="4"/>
  <c r="O2411" i="4" s="1"/>
  <c r="N3138" i="4"/>
  <c r="O3138" i="4" s="1"/>
  <c r="N3462" i="4"/>
  <c r="O3462" i="4" s="1"/>
  <c r="N3529" i="4"/>
  <c r="O3529" i="4" s="1"/>
  <c r="N591" i="4"/>
  <c r="O591" i="4" s="1"/>
  <c r="N5468" i="4"/>
  <c r="O5468" i="4" s="1"/>
  <c r="N3286" i="4"/>
  <c r="O3286" i="4" s="1"/>
  <c r="N3519" i="4"/>
  <c r="O3519" i="4" s="1"/>
  <c r="N5460" i="4"/>
  <c r="O5460" i="4" s="1"/>
  <c r="N5448" i="4"/>
  <c r="O5448" i="4" s="1"/>
  <c r="N2390" i="4"/>
  <c r="O2390" i="4" s="1"/>
  <c r="N608" i="4"/>
  <c r="O608" i="4" s="1"/>
  <c r="N3715" i="4"/>
  <c r="O3715" i="4" s="1"/>
  <c r="N4949" i="4"/>
  <c r="O4949" i="4" s="1"/>
  <c r="N4836" i="4"/>
  <c r="O4836" i="4" s="1"/>
  <c r="N1952" i="4"/>
  <c r="O1952" i="4" s="1"/>
  <c r="N381" i="4"/>
  <c r="O381" i="4" s="1"/>
  <c r="N607" i="4"/>
  <c r="O607" i="4" s="1"/>
  <c r="N601" i="4"/>
  <c r="O601" i="4" s="1"/>
  <c r="N582" i="4"/>
  <c r="O582" i="4" s="1"/>
  <c r="N385" i="4"/>
  <c r="O385" i="4" s="1"/>
  <c r="N595" i="4"/>
  <c r="O595" i="4" s="1"/>
  <c r="N635" i="4"/>
  <c r="O635" i="4" s="1"/>
  <c r="N605" i="4"/>
  <c r="O605" i="4" s="1"/>
  <c r="N581" i="4"/>
  <c r="O581" i="4" s="1"/>
  <c r="N3009" i="4"/>
  <c r="O3009" i="4" s="1"/>
  <c r="N3119" i="4"/>
  <c r="O3119" i="4" s="1"/>
  <c r="N3728" i="4"/>
  <c r="O3728" i="4" s="1"/>
  <c r="N4096" i="4"/>
  <c r="O4096" i="4" s="1"/>
  <c r="N4470" i="4"/>
  <c r="O4470" i="4" s="1"/>
  <c r="N4878" i="4"/>
  <c r="O4878" i="4" s="1"/>
  <c r="N4914" i="4"/>
  <c r="O4914" i="4" s="1"/>
  <c r="N4994" i="4"/>
  <c r="O4994" i="4" s="1"/>
  <c r="N5111" i="4"/>
  <c r="O5111" i="4" s="1"/>
  <c r="N5116" i="4"/>
  <c r="O5116" i="4" s="1"/>
  <c r="N5154" i="4"/>
  <c r="O5154" i="4" s="1"/>
  <c r="N35" i="4"/>
  <c r="O35" i="4" s="1"/>
  <c r="N199" i="4"/>
  <c r="O199" i="4" s="1"/>
  <c r="N212" i="4"/>
  <c r="O212" i="4" s="1"/>
  <c r="N277" i="4"/>
  <c r="O277" i="4" s="1"/>
  <c r="N429" i="4"/>
  <c r="O429" i="4" s="1"/>
  <c r="N1617" i="4"/>
  <c r="O1617" i="4" s="1"/>
  <c r="N1666" i="4"/>
  <c r="O1666" i="4" s="1"/>
  <c r="N1670" i="4"/>
  <c r="O1670" i="4" s="1"/>
  <c r="N1702" i="4"/>
  <c r="O1702" i="4" s="1"/>
  <c r="N1917" i="4"/>
  <c r="O1917" i="4" s="1"/>
  <c r="N2145" i="4"/>
  <c r="O2145" i="4" s="1"/>
  <c r="N2427" i="4"/>
  <c r="O2427" i="4" s="1"/>
  <c r="N2435" i="4"/>
  <c r="O2435" i="4" s="1"/>
  <c r="N2479" i="4"/>
  <c r="O2479" i="4" s="1"/>
  <c r="N2539" i="4"/>
  <c r="O2539" i="4" s="1"/>
  <c r="N2625" i="4"/>
  <c r="O2625" i="4" s="1"/>
  <c r="N2687" i="4"/>
  <c r="O2687" i="4" s="1"/>
  <c r="N2694" i="4"/>
  <c r="O2694" i="4" s="1"/>
  <c r="N2751" i="4"/>
  <c r="O2751" i="4" s="1"/>
  <c r="N2778" i="4"/>
  <c r="O2778" i="4" s="1"/>
  <c r="N3037" i="4"/>
  <c r="O3037" i="4" s="1"/>
  <c r="N3330" i="4"/>
  <c r="O3330" i="4" s="1"/>
  <c r="N3490" i="4"/>
  <c r="O3490" i="4" s="1"/>
  <c r="N3542" i="4"/>
  <c r="O3542" i="4" s="1"/>
  <c r="N4062" i="4"/>
  <c r="N4302" i="4"/>
  <c r="O4302" i="4" s="1"/>
  <c r="N4529" i="4"/>
  <c r="O4529" i="4" s="1"/>
  <c r="N4788" i="4"/>
  <c r="O4788" i="4" s="1"/>
  <c r="N4805" i="4"/>
  <c r="O4805" i="4" s="1"/>
  <c r="N4818" i="4"/>
  <c r="O4818" i="4" s="1"/>
  <c r="N4918" i="4"/>
  <c r="O4918" i="4" s="1"/>
  <c r="N4991" i="4"/>
  <c r="O4991" i="4" s="1"/>
  <c r="N5044" i="4"/>
  <c r="O5044" i="4" s="1"/>
  <c r="N5050" i="4"/>
  <c r="O5050" i="4" s="1"/>
  <c r="N5058" i="4"/>
  <c r="O5058" i="4" s="1"/>
  <c r="N5150" i="4"/>
  <c r="O5150" i="4" s="1"/>
  <c r="N5880" i="4"/>
  <c r="O5880" i="4" s="1"/>
  <c r="N5897" i="4"/>
  <c r="O5897" i="4" s="1"/>
  <c r="N5906" i="4"/>
  <c r="O5906" i="4" s="1"/>
  <c r="N219" i="4"/>
  <c r="O219" i="4" s="1"/>
  <c r="N229" i="4"/>
  <c r="O229" i="4" s="1"/>
  <c r="N312" i="4"/>
  <c r="O312" i="4" s="1"/>
  <c r="N379" i="4"/>
  <c r="O379" i="4" s="1"/>
  <c r="N1557" i="4"/>
  <c r="O1557" i="4" s="1"/>
  <c r="N1607" i="4"/>
  <c r="O1607" i="4" s="1"/>
  <c r="N1691" i="4"/>
  <c r="O1691" i="4" s="1"/>
  <c r="N1894" i="4"/>
  <c r="O1894" i="4" s="1"/>
  <c r="N2194" i="4"/>
  <c r="O2194" i="4" s="1"/>
  <c r="N2457" i="4"/>
  <c r="O2457" i="4" s="1"/>
  <c r="N5925" i="4"/>
  <c r="O5925" i="4" s="1"/>
  <c r="N5956" i="4"/>
  <c r="O5956" i="4" s="1"/>
  <c r="N3518" i="4"/>
  <c r="O3518" i="4" s="1"/>
  <c r="N3610" i="4"/>
  <c r="O3610" i="4" s="1"/>
  <c r="N4077" i="4"/>
  <c r="O4077" i="4" s="1"/>
  <c r="N4081" i="4"/>
  <c r="O4081" i="4" s="1"/>
  <c r="N4846" i="4"/>
  <c r="O4846" i="4" s="1"/>
  <c r="N5030" i="4"/>
  <c r="O5030" i="4" s="1"/>
  <c r="N5075" i="4"/>
  <c r="O5075" i="4" s="1"/>
  <c r="N3038" i="4"/>
  <c r="O3038" i="4" s="1"/>
  <c r="N3878" i="4"/>
  <c r="O3878" i="4" s="1"/>
  <c r="N4892" i="4"/>
  <c r="O4892" i="4" s="1"/>
  <c r="N5000" i="4"/>
  <c r="O5000" i="4" s="1"/>
  <c r="N80" i="4"/>
  <c r="O80" i="4" s="1"/>
  <c r="N156" i="4"/>
  <c r="O156" i="4" s="1"/>
  <c r="N2494" i="4"/>
  <c r="O2494" i="4" s="1"/>
  <c r="N3566" i="4"/>
  <c r="O3566" i="4" s="1"/>
  <c r="N3922" i="4"/>
  <c r="O3922" i="4" s="1"/>
  <c r="N4424" i="4"/>
  <c r="O4424" i="4" s="1"/>
  <c r="N4527" i="4"/>
  <c r="O4527" i="4" s="1"/>
  <c r="N4863" i="4"/>
  <c r="O4863" i="4" s="1"/>
  <c r="N3126" i="4"/>
  <c r="O3126" i="4" s="1"/>
  <c r="N4008" i="4"/>
  <c r="O4008" i="4" s="1"/>
  <c r="N41" i="4"/>
  <c r="O41" i="4" s="1"/>
  <c r="N5452" i="4"/>
  <c r="O5452" i="4" s="1"/>
  <c r="N5445" i="4"/>
  <c r="O5445" i="4" s="1"/>
  <c r="N5443" i="4"/>
  <c r="O5443" i="4" s="1"/>
  <c r="N278" i="4"/>
  <c r="O278" i="4" s="1"/>
  <c r="N515" i="4"/>
  <c r="O515" i="4" s="1"/>
  <c r="N5454" i="4"/>
  <c r="O5454" i="4" s="1"/>
  <c r="N5472" i="4"/>
  <c r="O5472" i="4" s="1"/>
  <c r="N624" i="4"/>
  <c r="O624" i="4" s="1"/>
  <c r="N5462" i="4"/>
  <c r="O5462" i="4" s="1"/>
  <c r="N629" i="4"/>
  <c r="O629" i="4" s="1"/>
  <c r="N617" i="4"/>
  <c r="O617" i="4" s="1"/>
  <c r="N586" i="4"/>
  <c r="O586" i="4" s="1"/>
  <c r="N578" i="4"/>
  <c r="O578" i="4" s="1"/>
  <c r="N602" i="4"/>
  <c r="O602" i="4" s="1"/>
  <c r="N598" i="4"/>
  <c r="O598" i="4" s="1"/>
  <c r="N463" i="4"/>
  <c r="O463" i="4" s="1"/>
  <c r="N5464" i="4"/>
  <c r="O5464" i="4" s="1"/>
  <c r="N622" i="4"/>
  <c r="O622" i="4" s="1"/>
  <c r="N630" i="4"/>
  <c r="O630" i="4" s="1"/>
  <c r="N2728" i="4"/>
  <c r="O2728" i="4" s="1"/>
  <c r="N5470" i="4"/>
  <c r="O5470" i="4" s="1"/>
  <c r="N5453" i="4"/>
  <c r="O5453" i="4" s="1"/>
  <c r="N632" i="4"/>
  <c r="O632" i="4" s="1"/>
  <c r="N5814" i="4"/>
  <c r="O5814" i="4" s="1"/>
  <c r="N4792" i="4"/>
  <c r="O4792" i="4" s="1"/>
  <c r="N4950" i="4"/>
  <c r="O4950" i="4" s="1"/>
  <c r="N2320" i="4"/>
  <c r="O2320" i="4" s="1"/>
  <c r="N2834" i="4"/>
  <c r="O2834" i="4" s="1"/>
  <c r="N3457" i="4"/>
  <c r="O3457" i="4" s="1"/>
  <c r="N4997" i="4"/>
  <c r="O4997" i="4" s="1"/>
  <c r="N4355" i="4"/>
  <c r="O4355" i="4" s="1"/>
  <c r="N4671" i="4"/>
  <c r="O4671" i="4" s="1"/>
  <c r="N5451" i="4"/>
  <c r="O5451" i="4" s="1"/>
  <c r="N325" i="4"/>
  <c r="O325" i="4" s="1"/>
  <c r="N375" i="4"/>
  <c r="O375" i="4" s="1"/>
  <c r="N2700" i="4"/>
  <c r="O2700" i="4" s="1"/>
  <c r="N5153" i="4"/>
  <c r="O5153" i="4" s="1"/>
  <c r="N613" i="4"/>
  <c r="O613" i="4" s="1"/>
  <c r="N2026" i="4"/>
  <c r="O2026" i="4" s="1"/>
  <c r="N3249" i="4"/>
  <c r="O3249" i="4" s="1"/>
  <c r="N135" i="4"/>
  <c r="O135" i="4" s="1"/>
  <c r="N5832" i="4"/>
  <c r="O5832" i="4" s="1"/>
  <c r="N2022" i="4"/>
  <c r="O2022" i="4" s="1"/>
  <c r="N3914" i="4"/>
  <c r="O3914" i="4" s="1"/>
  <c r="N4751" i="4"/>
  <c r="O4751" i="4" s="1"/>
  <c r="N1884" i="4"/>
  <c r="O1884" i="4" s="1"/>
  <c r="N2483" i="4"/>
  <c r="O2483" i="4" s="1"/>
  <c r="N447" i="4"/>
  <c r="O447" i="4" s="1"/>
  <c r="N3392" i="4"/>
  <c r="O3392" i="4" s="1"/>
  <c r="N4358" i="4"/>
  <c r="O4358" i="4" s="1"/>
  <c r="N4097" i="4"/>
  <c r="O4097" i="4" s="1"/>
  <c r="N4296" i="4"/>
  <c r="O4296" i="4" s="1"/>
  <c r="N2147" i="4"/>
  <c r="O2147" i="4" s="1"/>
  <c r="N2496" i="4"/>
  <c r="O2496" i="4" s="1"/>
  <c r="N2597" i="4"/>
  <c r="O2597" i="4" s="1"/>
  <c r="N2838" i="4"/>
  <c r="O2838" i="4" s="1"/>
  <c r="N3410" i="4"/>
  <c r="O3410" i="4" s="1"/>
  <c r="N411" i="4"/>
  <c r="O411" i="4" s="1"/>
  <c r="N3374" i="4"/>
  <c r="O3374" i="4" s="1"/>
  <c r="N4158" i="4"/>
  <c r="O4158" i="4" s="1"/>
  <c r="N126" i="4"/>
  <c r="O126" i="4" s="1"/>
  <c r="N260" i="4"/>
  <c r="O260" i="4" s="1"/>
  <c r="N1542" i="4"/>
  <c r="O1542" i="4" s="1"/>
  <c r="N4552" i="4"/>
  <c r="O4552" i="4" s="1"/>
  <c r="N5868" i="4"/>
  <c r="O5868" i="4" s="1"/>
  <c r="N1852" i="4"/>
  <c r="O1852" i="4" s="1"/>
  <c r="N4436" i="4"/>
  <c r="O4436" i="4" s="1"/>
  <c r="N2582" i="4"/>
  <c r="O2582" i="4" s="1"/>
  <c r="N606" i="4"/>
  <c r="O606" i="4" s="1"/>
  <c r="N4133" i="4"/>
  <c r="O4133" i="4" s="1"/>
  <c r="N4596" i="4"/>
  <c r="O4596" i="4" s="1"/>
  <c r="N5067" i="4"/>
  <c r="O5067" i="4" s="1"/>
  <c r="N5833" i="4"/>
  <c r="O5833" i="4" s="1"/>
  <c r="N2080" i="4"/>
  <c r="O2080" i="4" s="1"/>
  <c r="N2580" i="4"/>
  <c r="O2580" i="4" s="1"/>
  <c r="N3768" i="4"/>
  <c r="O3768" i="4" s="1"/>
  <c r="N98" i="4"/>
  <c r="O98" i="4" s="1"/>
  <c r="N227" i="4"/>
  <c r="O227" i="4" s="1"/>
  <c r="N4262" i="4"/>
  <c r="O4262" i="4" s="1"/>
  <c r="N5206" i="4"/>
  <c r="N1601" i="4"/>
  <c r="O1601" i="4" s="1"/>
  <c r="N1630" i="4"/>
  <c r="O1630" i="4" s="1"/>
  <c r="N2032" i="4"/>
  <c r="O2032" i="4" s="1"/>
  <c r="N3409" i="4"/>
  <c r="O3409" i="4" s="1"/>
  <c r="N184" i="4"/>
  <c r="O184" i="4" s="1"/>
  <c r="N1927" i="4"/>
  <c r="O1927" i="4" s="1"/>
  <c r="N2317" i="4"/>
  <c r="O2317" i="4" s="1"/>
  <c r="N3276" i="4"/>
  <c r="O3276" i="4" s="1"/>
  <c r="N4483" i="4"/>
  <c r="O4483" i="4" s="1"/>
  <c r="N4706" i="4"/>
  <c r="O4706" i="4" s="1"/>
  <c r="N190" i="4"/>
  <c r="O190" i="4" s="1"/>
  <c r="N1586" i="4"/>
  <c r="O1586" i="4" s="1"/>
  <c r="N1849" i="4"/>
  <c r="O1849" i="4" s="1"/>
  <c r="N1903" i="4"/>
  <c r="O1903" i="4" s="1"/>
  <c r="N2010" i="4"/>
  <c r="O2010" i="4" s="1"/>
  <c r="N2066" i="4"/>
  <c r="O2066" i="4" s="1"/>
  <c r="N2290" i="4"/>
  <c r="O2290" i="4" s="1"/>
  <c r="N2323" i="4"/>
  <c r="O2323" i="4" s="1"/>
  <c r="N2474" i="4"/>
  <c r="O2474" i="4" s="1"/>
  <c r="N2698" i="4"/>
  <c r="O2698" i="4" s="1"/>
  <c r="N2702" i="4"/>
  <c r="O2702" i="4" s="1"/>
  <c r="N2790" i="4"/>
  <c r="O2790" i="4" s="1"/>
  <c r="N4243" i="4"/>
  <c r="O4243" i="4" s="1"/>
  <c r="N3531" i="4"/>
  <c r="O3531" i="4" s="1"/>
  <c r="N4769" i="4"/>
  <c r="O4769" i="4" s="1"/>
  <c r="N3393" i="4"/>
  <c r="O3393" i="4" s="1"/>
  <c r="N3095" i="4"/>
  <c r="O3095" i="4" s="1"/>
  <c r="N4101" i="4"/>
  <c r="O4101" i="4" s="1"/>
  <c r="N86" i="4"/>
  <c r="O86" i="4" s="1"/>
  <c r="N4585" i="4"/>
  <c r="O4585" i="4" s="1"/>
  <c r="N466" i="4"/>
  <c r="O466" i="4" s="1"/>
  <c r="N5471" i="4"/>
  <c r="O5471" i="4" s="1"/>
  <c r="N5447" i="4"/>
  <c r="O5447" i="4" s="1"/>
  <c r="N623" i="4"/>
  <c r="O623" i="4" s="1"/>
  <c r="N619" i="4"/>
  <c r="O619" i="4" s="1"/>
  <c r="N616" i="4"/>
  <c r="O616" i="4" s="1"/>
  <c r="N587" i="4"/>
  <c r="O587" i="4" s="1"/>
  <c r="N626" i="4"/>
  <c r="O626" i="4" s="1"/>
  <c r="N588" i="4"/>
  <c r="O588" i="4" s="1"/>
  <c r="O1746" i="4"/>
  <c r="N271" i="4"/>
  <c r="O271" i="4" s="1"/>
  <c r="O350" i="4"/>
  <c r="N451" i="4"/>
  <c r="O451" i="4" s="1"/>
  <c r="N618" i="4"/>
  <c r="O618" i="4" s="1"/>
  <c r="N612" i="4"/>
  <c r="O612" i="4" s="1"/>
  <c r="N49" i="4"/>
  <c r="O49" i="4" s="1"/>
  <c r="N474" i="4"/>
  <c r="O474" i="4" s="1"/>
  <c r="N1574" i="4"/>
  <c r="O1574" i="4" s="1"/>
  <c r="N1578" i="4"/>
  <c r="O1578" i="4" s="1"/>
  <c r="N1582" i="4"/>
  <c r="O1582" i="4" s="1"/>
  <c r="N1618" i="4"/>
  <c r="O1618" i="4" s="1"/>
  <c r="N2017" i="4"/>
  <c r="O2017" i="4" s="1"/>
  <c r="N2417" i="4"/>
  <c r="O2417" i="4" s="1"/>
  <c r="N2421" i="4"/>
  <c r="O2421" i="4" s="1"/>
  <c r="N2639" i="4"/>
  <c r="O2639" i="4" s="1"/>
  <c r="N2810" i="4"/>
  <c r="O2810" i="4" s="1"/>
  <c r="N2952" i="4"/>
  <c r="O2952" i="4" s="1"/>
  <c r="N3694" i="4"/>
  <c r="O3694" i="4" s="1"/>
  <c r="N3811" i="4"/>
  <c r="O3811" i="4" s="1"/>
  <c r="N3844" i="4"/>
  <c r="O3844" i="4" s="1"/>
  <c r="N3993" i="4"/>
  <c r="O3993" i="4" s="1"/>
  <c r="N4005" i="4"/>
  <c r="O4005" i="4" s="1"/>
  <c r="N4123" i="4"/>
  <c r="O4123" i="4" s="1"/>
  <c r="N4209" i="4"/>
  <c r="O4209" i="4" s="1"/>
  <c r="N4377" i="4"/>
  <c r="O4377" i="4" s="1"/>
  <c r="N610" i="4"/>
  <c r="O610" i="4" s="1"/>
  <c r="N3693" i="4"/>
  <c r="O3693" i="4" s="1"/>
  <c r="N3813" i="4"/>
  <c r="O3813" i="4" s="1"/>
  <c r="N393" i="4"/>
  <c r="O393" i="4" s="1"/>
  <c r="N3116" i="4"/>
  <c r="O3116" i="4" s="1"/>
  <c r="N1152" i="4"/>
  <c r="O1152" i="4" s="1"/>
  <c r="N311" i="4"/>
  <c r="O311" i="4" s="1"/>
  <c r="N406" i="4"/>
  <c r="O406" i="4" s="1"/>
  <c r="N1783" i="4"/>
  <c r="O1783" i="4" s="1"/>
  <c r="N493" i="4"/>
  <c r="O493" i="4" s="1"/>
  <c r="N1981" i="4"/>
  <c r="O1981" i="4" s="1"/>
  <c r="N3251" i="4"/>
  <c r="O3251" i="4" s="1"/>
  <c r="N1493" i="4"/>
  <c r="O1493" i="4" s="1"/>
  <c r="N2734" i="4"/>
  <c r="O2734" i="4" s="1"/>
  <c r="N5830" i="4"/>
  <c r="O5830" i="4" s="1"/>
  <c r="N1963" i="4"/>
  <c r="O1963" i="4" s="1"/>
  <c r="N3348" i="4"/>
  <c r="O3348" i="4" s="1"/>
  <c r="N3666" i="4"/>
  <c r="O3666" i="4" s="1"/>
  <c r="N2667" i="4"/>
  <c r="O2667" i="4" s="1"/>
  <c r="N3723" i="4"/>
  <c r="O3723" i="4" s="1"/>
  <c r="N4045" i="4"/>
  <c r="O4045" i="4" s="1"/>
  <c r="N3263" i="4"/>
  <c r="O3263" i="4" s="1"/>
  <c r="N3945" i="4"/>
  <c r="O3945" i="4" s="1"/>
  <c r="N3534" i="4"/>
  <c r="O3534" i="4" s="1"/>
  <c r="N221" i="4"/>
  <c r="O221" i="4" s="1"/>
  <c r="N1569" i="4"/>
  <c r="O1569" i="4" s="1"/>
  <c r="N2445" i="4"/>
  <c r="O2445" i="4" s="1"/>
  <c r="N2846" i="4"/>
  <c r="O2846" i="4" s="1"/>
  <c r="N3301" i="4"/>
  <c r="O3301" i="4" s="1"/>
  <c r="N3570" i="4"/>
  <c r="O3570" i="4" s="1"/>
  <c r="N4453" i="4"/>
  <c r="O4453" i="4" s="1"/>
  <c r="N4553" i="4"/>
  <c r="O4553" i="4" s="1"/>
  <c r="N4660" i="4"/>
  <c r="O4660" i="4" s="1"/>
  <c r="N614" i="4"/>
  <c r="O614" i="4" s="1"/>
  <c r="N604" i="4"/>
  <c r="O604" i="4" s="1"/>
  <c r="N599" i="4"/>
  <c r="O599" i="4" s="1"/>
  <c r="N594" i="4"/>
  <c r="O594" i="4" s="1"/>
  <c r="N470" i="4"/>
  <c r="O470" i="4" s="1"/>
  <c r="N914" i="4"/>
  <c r="O914" i="4" s="1"/>
  <c r="N1587" i="4"/>
  <c r="O1587" i="4" s="1"/>
  <c r="N1790" i="4"/>
  <c r="O1790" i="4" s="1"/>
  <c r="N1794" i="4"/>
  <c r="O1794" i="4" s="1"/>
  <c r="N1803" i="4"/>
  <c r="O1803" i="4" s="1"/>
  <c r="N2202" i="4"/>
  <c r="O2202" i="4" s="1"/>
  <c r="N2270" i="4"/>
  <c r="O2270" i="4" s="1"/>
  <c r="N2278" i="4"/>
  <c r="O2278" i="4" s="1"/>
  <c r="N2287" i="4"/>
  <c r="O2287" i="4" s="1"/>
  <c r="N2354" i="4"/>
  <c r="O2354" i="4" s="1"/>
  <c r="N2384" i="4"/>
  <c r="O2384" i="4" s="1"/>
  <c r="N2388" i="4"/>
  <c r="O2388" i="4" s="1"/>
  <c r="N2526" i="4"/>
  <c r="O2526" i="4" s="1"/>
  <c r="N2530" i="4"/>
  <c r="O2530" i="4" s="1"/>
  <c r="N2544" i="4"/>
  <c r="O2544" i="4" s="1"/>
  <c r="N2682" i="4"/>
  <c r="O2682" i="4" s="1"/>
  <c r="N2804" i="4"/>
  <c r="O2804" i="4" s="1"/>
  <c r="N2848" i="4"/>
  <c r="O2848" i="4" s="1"/>
  <c r="N2890" i="4"/>
  <c r="O2890" i="4" s="1"/>
  <c r="N3230" i="4"/>
  <c r="O3230" i="4" s="1"/>
  <c r="N3274" i="4"/>
  <c r="O3274" i="4" s="1"/>
  <c r="N3324" i="4"/>
  <c r="O3324" i="4" s="1"/>
  <c r="N3407" i="4"/>
  <c r="O3407" i="4" s="1"/>
  <c r="N3612" i="4"/>
  <c r="O3612" i="4" s="1"/>
  <c r="N3651" i="4"/>
  <c r="O3651" i="4" s="1"/>
  <c r="N3824" i="4"/>
  <c r="O3824" i="4" s="1"/>
  <c r="N3927" i="4"/>
  <c r="O3927" i="4" s="1"/>
  <c r="N4028" i="4"/>
  <c r="O4028" i="4" s="1"/>
  <c r="N4091" i="4"/>
  <c r="O4091" i="4" s="1"/>
  <c r="N4829" i="4"/>
  <c r="O4829" i="4" s="1"/>
  <c r="N4855" i="4"/>
  <c r="O4855" i="4" s="1"/>
  <c r="N5185" i="4"/>
  <c r="O5185" i="4" s="1"/>
  <c r="N5991" i="4"/>
  <c r="O5991" i="4" s="1"/>
  <c r="N67" i="4"/>
  <c r="O67" i="4" s="1"/>
  <c r="N192" i="4"/>
  <c r="O192" i="4" s="1"/>
  <c r="N1851" i="4"/>
  <c r="O1851" i="4" s="1"/>
  <c r="N2228" i="4"/>
  <c r="O2228" i="4" s="1"/>
  <c r="N2251" i="4"/>
  <c r="O2251" i="4" s="1"/>
  <c r="N2399" i="4"/>
  <c r="O2399" i="4" s="1"/>
  <c r="N2584" i="4"/>
  <c r="O2584" i="4" s="1"/>
  <c r="N2610" i="4"/>
  <c r="O2610" i="4" s="1"/>
  <c r="L293" i="6"/>
  <c r="J158" i="1"/>
  <c r="L1557" i="6"/>
  <c r="J161" i="1"/>
  <c r="J160" i="1"/>
  <c r="L142" i="6"/>
  <c r="N5465" i="4"/>
  <c r="O5465" i="4" s="1"/>
  <c r="N5441" i="4"/>
  <c r="O5441" i="4" s="1"/>
  <c r="N5467" i="4"/>
  <c r="O5467" i="4" s="1"/>
  <c r="N615" i="4"/>
  <c r="O615" i="4" s="1"/>
  <c r="N176" i="4"/>
  <c r="O176" i="4" s="1"/>
  <c r="N180" i="4"/>
  <c r="O180" i="4" s="1"/>
  <c r="N267" i="4"/>
  <c r="O267" i="4" s="1"/>
  <c r="N301" i="4"/>
  <c r="O301" i="4" s="1"/>
  <c r="N1505" i="4"/>
  <c r="O1505" i="4" s="1"/>
  <c r="N1530" i="4"/>
  <c r="O1530" i="4" s="1"/>
  <c r="N1535" i="4"/>
  <c r="O1535" i="4" s="1"/>
  <c r="N1634" i="4"/>
  <c r="O1634" i="4" s="1"/>
  <c r="N1699" i="4"/>
  <c r="O1699" i="4" s="1"/>
  <c r="N1801" i="4"/>
  <c r="O1801" i="4" s="1"/>
  <c r="N1831" i="4"/>
  <c r="O1831" i="4" s="1"/>
  <c r="N1941" i="4"/>
  <c r="O1941" i="4" s="1"/>
  <c r="N2016" i="4"/>
  <c r="O2016" i="4" s="1"/>
  <c r="N2020" i="4"/>
  <c r="O2020" i="4" s="1"/>
  <c r="N2047" i="4"/>
  <c r="O2047" i="4" s="1"/>
  <c r="N2068" i="4"/>
  <c r="O2068" i="4" s="1"/>
  <c r="N2104" i="4"/>
  <c r="O2104" i="4" s="1"/>
  <c r="N2242" i="4"/>
  <c r="O2242" i="4" s="1"/>
  <c r="N2247" i="4"/>
  <c r="O2247" i="4" s="1"/>
  <c r="N2264" i="4"/>
  <c r="O2264" i="4" s="1"/>
  <c r="N2383" i="4"/>
  <c r="O2383" i="4" s="1"/>
  <c r="N2412" i="4"/>
  <c r="O2412" i="4" s="1"/>
  <c r="N2470" i="4"/>
  <c r="O2470" i="4" s="1"/>
  <c r="N2525" i="4"/>
  <c r="O2525" i="4" s="1"/>
  <c r="N2675" i="4"/>
  <c r="O2675" i="4" s="1"/>
  <c r="N2757" i="4"/>
  <c r="O2757" i="4" s="1"/>
  <c r="N2864" i="4"/>
  <c r="O2864" i="4" s="1"/>
  <c r="N2913" i="4"/>
  <c r="O2913" i="4" s="1"/>
  <c r="N3005" i="4"/>
  <c r="O3005" i="4" s="1"/>
  <c r="N3034" i="4"/>
  <c r="O3034" i="4" s="1"/>
  <c r="N3109" i="4"/>
  <c r="O3109" i="4" s="1"/>
  <c r="N3113" i="4"/>
  <c r="O3113" i="4" s="1"/>
  <c r="N3141" i="4"/>
  <c r="O3141" i="4" s="1"/>
  <c r="N3149" i="4"/>
  <c r="O3149" i="4" s="1"/>
  <c r="N3326" i="4"/>
  <c r="O3326" i="4" s="1"/>
  <c r="N3360" i="4"/>
  <c r="O3360" i="4" s="1"/>
  <c r="N3371" i="4"/>
  <c r="O3371" i="4" s="1"/>
  <c r="N3447" i="4"/>
  <c r="O3447" i="4" s="1"/>
  <c r="N3517" i="4"/>
  <c r="O3517" i="4" s="1"/>
  <c r="N3523" i="4"/>
  <c r="O3523" i="4" s="1"/>
  <c r="N3574" i="4"/>
  <c r="O3574" i="4" s="1"/>
  <c r="N3578" i="4"/>
  <c r="O3578" i="4" s="1"/>
  <c r="N3609" i="4"/>
  <c r="O3609" i="4" s="1"/>
  <c r="N3661" i="4"/>
  <c r="O3661" i="4" s="1"/>
  <c r="N3675" i="4"/>
  <c r="O3675" i="4" s="1"/>
  <c r="N3705" i="4"/>
  <c r="O3705" i="4" s="1"/>
  <c r="N3711" i="4"/>
  <c r="O3711" i="4" s="1"/>
  <c r="N3793" i="4"/>
  <c r="O3793" i="4" s="1"/>
  <c r="N3802" i="4"/>
  <c r="O3802" i="4" s="1"/>
  <c r="N3807" i="4"/>
  <c r="O3807" i="4" s="1"/>
  <c r="N3815" i="4"/>
  <c r="O3815" i="4" s="1"/>
  <c r="N3826" i="4"/>
  <c r="O3826" i="4" s="1"/>
  <c r="N3853" i="4"/>
  <c r="O3853" i="4" s="1"/>
  <c r="N3857" i="4"/>
  <c r="O3857" i="4" s="1"/>
  <c r="N3867" i="4"/>
  <c r="O3867" i="4" s="1"/>
  <c r="N3871" i="4"/>
  <c r="O3871" i="4" s="1"/>
  <c r="N3920" i="4"/>
  <c r="O3920" i="4" s="1"/>
  <c r="N3942" i="4"/>
  <c r="O3942" i="4" s="1"/>
  <c r="N3959" i="4"/>
  <c r="O3959" i="4" s="1"/>
  <c r="N4079" i="4"/>
  <c r="O4079" i="4" s="1"/>
  <c r="N4170" i="4"/>
  <c r="O4170" i="4" s="1"/>
  <c r="N4224" i="4"/>
  <c r="O4224" i="4" s="1"/>
  <c r="N4229" i="4"/>
  <c r="O4229" i="4" s="1"/>
  <c r="N4247" i="4"/>
  <c r="O4247" i="4" s="1"/>
  <c r="N4321" i="4"/>
  <c r="O4321" i="4" s="1"/>
  <c r="N4348" i="4"/>
  <c r="O4348" i="4" s="1"/>
  <c r="N4360" i="4"/>
  <c r="O4360" i="4" s="1"/>
  <c r="N4365" i="4"/>
  <c r="O4365" i="4" s="1"/>
  <c r="N4369" i="4"/>
  <c r="O4369" i="4" s="1"/>
  <c r="N4394" i="4"/>
  <c r="O4394" i="4" s="1"/>
  <c r="N4459" i="4"/>
  <c r="O4459" i="4" s="1"/>
  <c r="N4498" i="4"/>
  <c r="O4498" i="4" s="1"/>
  <c r="N4539" i="4"/>
  <c r="O4539" i="4" s="1"/>
  <c r="N4543" i="4"/>
  <c r="O4543" i="4" s="1"/>
  <c r="N4547" i="4"/>
  <c r="O4547" i="4" s="1"/>
  <c r="N4551" i="4"/>
  <c r="O4551" i="4" s="1"/>
  <c r="N4669" i="4"/>
  <c r="O4669" i="4" s="1"/>
  <c r="N4673" i="4"/>
  <c r="O4673" i="4" s="1"/>
  <c r="N4748" i="4"/>
  <c r="O4748" i="4" s="1"/>
  <c r="N4752" i="4"/>
  <c r="O4752" i="4" s="1"/>
  <c r="N4766" i="4"/>
  <c r="O4766" i="4" s="1"/>
  <c r="N4777" i="4"/>
  <c r="O4777" i="4" s="1"/>
  <c r="N4801" i="4"/>
  <c r="O4801" i="4" s="1"/>
  <c r="N4814" i="4"/>
  <c r="O4814" i="4" s="1"/>
  <c r="N4866" i="4"/>
  <c r="O4866" i="4" s="1"/>
  <c r="N4902" i="4"/>
  <c r="O4902" i="4" s="1"/>
  <c r="N4922" i="4"/>
  <c r="O4922" i="4" s="1"/>
  <c r="N4927" i="4"/>
  <c r="O4927" i="4" s="1"/>
  <c r="N4953" i="4"/>
  <c r="O4953" i="4" s="1"/>
  <c r="N4957" i="4"/>
  <c r="O4957" i="4" s="1"/>
  <c r="N4966" i="4"/>
  <c r="O4966" i="4" s="1"/>
  <c r="N4998" i="4"/>
  <c r="O4998" i="4" s="1"/>
  <c r="N5027" i="4"/>
  <c r="O5027" i="4" s="1"/>
  <c r="N5059" i="4"/>
  <c r="O5059" i="4" s="1"/>
  <c r="N5063" i="4"/>
  <c r="O5063" i="4" s="1"/>
  <c r="N5083" i="4"/>
  <c r="O5083" i="4" s="1"/>
  <c r="N5089" i="4"/>
  <c r="O5089" i="4" s="1"/>
  <c r="N5102" i="4"/>
  <c r="O5102" i="4" s="1"/>
  <c r="N5124" i="4"/>
  <c r="O5124" i="4" s="1"/>
  <c r="N5184" i="4"/>
  <c r="O5184" i="4" s="1"/>
  <c r="N5187" i="4"/>
  <c r="O5187" i="4" s="1"/>
  <c r="N5201" i="4"/>
  <c r="O5201" i="4" s="1"/>
  <c r="N5841" i="4"/>
  <c r="O5841" i="4" s="1"/>
  <c r="N5864" i="4"/>
  <c r="O5864" i="4" s="1"/>
  <c r="N5877" i="4"/>
  <c r="O5877" i="4" s="1"/>
  <c r="N5901" i="4"/>
  <c r="O5901" i="4" s="1"/>
  <c r="N5922" i="4"/>
  <c r="O5922" i="4" s="1"/>
  <c r="N5960" i="4"/>
  <c r="O5960" i="4" s="1"/>
  <c r="N5988" i="4"/>
  <c r="O5988" i="4" s="1"/>
  <c r="N5996" i="4"/>
  <c r="O5996" i="4" s="1"/>
  <c r="N31" i="4"/>
  <c r="O31" i="4" s="1"/>
  <c r="N42" i="4"/>
  <c r="O42" i="4" s="1"/>
  <c r="N48" i="4"/>
  <c r="O48" i="4" s="1"/>
  <c r="N70" i="4"/>
  <c r="O70" i="4" s="1"/>
  <c r="N79" i="4"/>
  <c r="O79" i="4" s="1"/>
  <c r="N83" i="4"/>
  <c r="O83" i="4" s="1"/>
  <c r="N91" i="4"/>
  <c r="O91" i="4" s="1"/>
  <c r="N134" i="4"/>
  <c r="O134" i="4" s="1"/>
  <c r="N159" i="4"/>
  <c r="O159" i="4" s="1"/>
  <c r="N166" i="4"/>
  <c r="O166" i="4" s="1"/>
  <c r="N189" i="4"/>
  <c r="O189" i="4" s="1"/>
  <c r="N193" i="4"/>
  <c r="O193" i="4" s="1"/>
  <c r="N236" i="4"/>
  <c r="O236" i="4" s="1"/>
  <c r="N254" i="4"/>
  <c r="O254" i="4" s="1"/>
  <c r="N283" i="4"/>
  <c r="O283" i="4" s="1"/>
  <c r="N310" i="4"/>
  <c r="O310" i="4" s="1"/>
  <c r="N322" i="4"/>
  <c r="O322" i="4" s="1"/>
  <c r="N328" i="4"/>
  <c r="O328" i="4" s="1"/>
  <c r="N349" i="4"/>
  <c r="O349" i="4" s="1"/>
  <c r="N357" i="4"/>
  <c r="O357" i="4" s="1"/>
  <c r="N374" i="4"/>
  <c r="O374" i="4" s="1"/>
  <c r="N401" i="4"/>
  <c r="O401" i="4" s="1"/>
  <c r="N428" i="4"/>
  <c r="O428" i="4" s="1"/>
  <c r="N433" i="4"/>
  <c r="O433" i="4" s="1"/>
  <c r="N1509" i="4"/>
  <c r="O1509" i="4" s="1"/>
  <c r="N1558" i="4"/>
  <c r="O1558" i="4" s="1"/>
  <c r="N1566" i="4"/>
  <c r="O1566" i="4" s="1"/>
  <c r="N1761" i="4"/>
  <c r="O1761" i="4" s="1"/>
  <c r="N1844" i="4"/>
  <c r="O1844" i="4" s="1"/>
  <c r="N1874" i="4"/>
  <c r="O1874" i="4" s="1"/>
  <c r="N1911" i="4"/>
  <c r="O1911" i="4" s="1"/>
  <c r="N1960" i="4"/>
  <c r="O1960" i="4" s="1"/>
  <c r="N1964" i="4"/>
  <c r="O1964" i="4" s="1"/>
  <c r="N1986" i="4"/>
  <c r="O1986" i="4" s="1"/>
  <c r="N2029" i="4"/>
  <c r="O2029" i="4" s="1"/>
  <c r="N2058" i="4"/>
  <c r="O2058" i="4" s="1"/>
  <c r="N2132" i="4"/>
  <c r="O2132" i="4" s="1"/>
  <c r="N2162" i="4"/>
  <c r="O2162" i="4" s="1"/>
  <c r="N2168" i="4"/>
  <c r="O2168" i="4" s="1"/>
  <c r="N2187" i="4"/>
  <c r="O2187" i="4" s="1"/>
  <c r="N2212" i="4"/>
  <c r="O2212" i="4" s="1"/>
  <c r="N2253" i="4"/>
  <c r="O2253" i="4" s="1"/>
  <c r="N2257" i="4"/>
  <c r="O2257" i="4" s="1"/>
  <c r="N2313" i="4"/>
  <c r="O2313" i="4" s="1"/>
  <c r="N2461" i="4"/>
  <c r="O2461" i="4" s="1"/>
  <c r="N2465" i="4"/>
  <c r="O2465" i="4" s="1"/>
  <c r="N2469" i="4"/>
  <c r="O2469" i="4" s="1"/>
  <c r="N2493" i="4"/>
  <c r="O2493" i="4" s="1"/>
  <c r="N2519" i="4"/>
  <c r="O2519" i="4" s="1"/>
  <c r="N2540" i="4"/>
  <c r="O2540" i="4" s="1"/>
  <c r="N2573" i="4"/>
  <c r="O2573" i="4" s="1"/>
  <c r="N2590" i="4"/>
  <c r="O2590" i="4" s="1"/>
  <c r="N2715" i="4"/>
  <c r="O2715" i="4" s="1"/>
  <c r="N2719" i="4"/>
  <c r="O2719" i="4" s="1"/>
  <c r="N2758" i="4"/>
  <c r="O2758" i="4" s="1"/>
  <c r="N2763" i="4"/>
  <c r="O2763" i="4" s="1"/>
  <c r="N2777" i="4"/>
  <c r="O2777" i="4" s="1"/>
  <c r="N2787" i="4"/>
  <c r="O2787" i="4" s="1"/>
  <c r="N2796" i="4"/>
  <c r="O2796" i="4" s="1"/>
  <c r="N2800" i="4"/>
  <c r="O2800" i="4" s="1"/>
  <c r="N2803" i="4"/>
  <c r="O2803" i="4" s="1"/>
  <c r="N2845" i="4"/>
  <c r="O2845" i="4" s="1"/>
  <c r="N2854" i="4"/>
  <c r="O2854" i="4" s="1"/>
  <c r="N2859" i="4"/>
  <c r="O2859" i="4" s="1"/>
  <c r="N2922" i="4"/>
  <c r="O2922" i="4" s="1"/>
  <c r="N2930" i="4"/>
  <c r="O2930" i="4" s="1"/>
  <c r="N2995" i="4"/>
  <c r="O2995" i="4" s="1"/>
  <c r="N2999" i="4"/>
  <c r="O2999" i="4" s="1"/>
  <c r="N3048" i="4"/>
  <c r="O3048" i="4" s="1"/>
  <c r="N3076" i="4"/>
  <c r="O3076" i="4" s="1"/>
  <c r="N3156" i="4"/>
  <c r="O3156" i="4" s="1"/>
  <c r="N3177" i="4"/>
  <c r="O3177" i="4" s="1"/>
  <c r="N3185" i="4"/>
  <c r="O3185" i="4" s="1"/>
  <c r="N3357" i="4"/>
  <c r="O3357" i="4" s="1"/>
  <c r="N3384" i="4"/>
  <c r="O3384" i="4" s="1"/>
  <c r="N3396" i="4"/>
  <c r="O3396" i="4" s="1"/>
  <c r="N3408" i="4"/>
  <c r="O3408" i="4" s="1"/>
  <c r="N3412" i="4"/>
  <c r="O3412" i="4" s="1"/>
  <c r="N3417" i="4"/>
  <c r="O3417" i="4" s="1"/>
  <c r="N3456" i="4"/>
  <c r="O3456" i="4" s="1"/>
  <c r="N3460" i="4"/>
  <c r="O3460" i="4" s="1"/>
  <c r="N3486" i="4"/>
  <c r="O3486" i="4" s="1"/>
  <c r="N3515" i="4"/>
  <c r="O3515" i="4" s="1"/>
  <c r="N3544" i="4"/>
  <c r="O3544" i="4" s="1"/>
  <c r="N3590" i="4"/>
  <c r="O3590" i="4" s="1"/>
  <c r="N3599" i="4"/>
  <c r="O3599" i="4" s="1"/>
  <c r="N3616" i="4"/>
  <c r="O3616" i="4" s="1"/>
  <c r="N3632" i="4"/>
  <c r="O3632" i="4" s="1"/>
  <c r="N3639" i="4"/>
  <c r="O3639" i="4" s="1"/>
  <c r="N3654" i="4"/>
  <c r="O3654" i="4" s="1"/>
  <c r="N3664" i="4"/>
  <c r="O3664" i="4" s="1"/>
  <c r="N3677" i="4"/>
  <c r="O3677" i="4" s="1"/>
  <c r="N3724" i="4"/>
  <c r="O3724" i="4" s="1"/>
  <c r="N3740" i="4"/>
  <c r="O3740" i="4" s="1"/>
  <c r="N3750" i="4"/>
  <c r="O3750" i="4" s="1"/>
  <c r="N3781" i="4"/>
  <c r="O3781" i="4" s="1"/>
  <c r="N3790" i="4"/>
  <c r="O3790" i="4" s="1"/>
  <c r="N3795" i="4"/>
  <c r="O3795" i="4" s="1"/>
  <c r="N3804" i="4"/>
  <c r="O3804" i="4" s="1"/>
  <c r="N3809" i="4"/>
  <c r="O3809" i="4" s="1"/>
  <c r="N3820" i="4"/>
  <c r="O3820" i="4" s="1"/>
  <c r="N3885" i="4"/>
  <c r="O3885" i="4" s="1"/>
  <c r="N3933" i="4"/>
  <c r="O3933" i="4" s="1"/>
  <c r="N3937" i="4"/>
  <c r="O3937" i="4" s="1"/>
  <c r="N3941" i="4"/>
  <c r="O3941" i="4" s="1"/>
  <c r="N3948" i="4"/>
  <c r="O3948" i="4" s="1"/>
  <c r="N3954" i="4"/>
  <c r="O3954" i="4" s="1"/>
  <c r="N3958" i="4"/>
  <c r="O3958" i="4" s="1"/>
  <c r="N3962" i="4"/>
  <c r="O3962" i="4" s="1"/>
  <c r="N3970" i="4"/>
  <c r="O3970" i="4" s="1"/>
  <c r="N3974" i="4"/>
  <c r="O3974" i="4" s="1"/>
  <c r="N3979" i="4"/>
  <c r="O3979" i="4" s="1"/>
  <c r="N4050" i="4"/>
  <c r="O4050" i="4" s="1"/>
  <c r="N4068" i="4"/>
  <c r="O4068" i="4" s="1"/>
  <c r="N4072" i="4"/>
  <c r="O4072" i="4" s="1"/>
  <c r="N4076" i="4"/>
  <c r="O4076" i="4" s="1"/>
  <c r="N4092" i="4"/>
  <c r="O4092" i="4" s="1"/>
  <c r="N4108" i="4"/>
  <c r="O4108" i="4" s="1"/>
  <c r="N4112" i="4"/>
  <c r="O4112" i="4" s="1"/>
  <c r="N4116" i="4"/>
  <c r="O4116" i="4" s="1"/>
  <c r="N4120" i="4"/>
  <c r="O4120" i="4" s="1"/>
  <c r="N4138" i="4"/>
  <c r="O4138" i="4" s="1"/>
  <c r="N4149" i="4"/>
  <c r="O4149" i="4" s="1"/>
  <c r="N4153" i="4"/>
  <c r="O4153" i="4" s="1"/>
  <c r="N4165" i="4"/>
  <c r="O4165" i="4" s="1"/>
  <c r="N4199" i="4"/>
  <c r="O4199" i="4" s="1"/>
  <c r="N4207" i="4"/>
  <c r="O4207" i="4" s="1"/>
  <c r="N4240" i="4"/>
  <c r="O4240" i="4" s="1"/>
  <c r="N4260" i="4"/>
  <c r="O4260" i="4" s="1"/>
  <c r="N4275" i="4"/>
  <c r="O4275" i="4" s="1"/>
  <c r="N4287" i="4"/>
  <c r="O4287" i="4" s="1"/>
  <c r="N4299" i="4"/>
  <c r="O4299" i="4" s="1"/>
  <c r="N4309" i="4"/>
  <c r="O4309" i="4" s="1"/>
  <c r="N4313" i="4"/>
  <c r="O4313" i="4" s="1"/>
  <c r="N4339" i="4"/>
  <c r="O4339" i="4" s="1"/>
  <c r="N4362" i="4"/>
  <c r="O4362" i="4" s="1"/>
  <c r="N4398" i="4"/>
  <c r="O4398" i="4" s="1"/>
  <c r="N4413" i="4"/>
  <c r="O4413" i="4" s="1"/>
  <c r="N4438" i="4"/>
  <c r="O4438" i="4" s="1"/>
  <c r="N4446" i="4"/>
  <c r="O4446" i="4" s="1"/>
  <c r="N4495" i="4"/>
  <c r="O4495" i="4" s="1"/>
  <c r="N4545" i="4"/>
  <c r="O4545" i="4" s="1"/>
  <c r="N4549" i="4"/>
  <c r="O4549" i="4" s="1"/>
  <c r="N4565" i="4"/>
  <c r="O4565" i="4" s="1"/>
  <c r="N4584" i="4"/>
  <c r="O4584" i="4" s="1"/>
  <c r="N4593" i="4"/>
  <c r="O4593" i="4" s="1"/>
  <c r="N4608" i="4"/>
  <c r="O4608" i="4" s="1"/>
  <c r="N4620" i="4"/>
  <c r="O4620" i="4" s="1"/>
  <c r="N4624" i="4"/>
  <c r="O4624" i="4" s="1"/>
  <c r="N4719" i="4"/>
  <c r="O4719" i="4" s="1"/>
  <c r="N4724" i="4"/>
  <c r="O4724" i="4" s="1"/>
  <c r="N4728" i="4"/>
  <c r="O4728" i="4" s="1"/>
  <c r="N4732" i="4"/>
  <c r="O4732" i="4" s="1"/>
  <c r="N4736" i="4"/>
  <c r="O4736" i="4" s="1"/>
  <c r="N4740" i="4"/>
  <c r="O4740" i="4" s="1"/>
  <c r="N4761" i="4"/>
  <c r="O4761" i="4" s="1"/>
  <c r="N4765" i="4"/>
  <c r="O4765" i="4" s="1"/>
  <c r="N4770" i="4"/>
  <c r="O4770" i="4" s="1"/>
  <c r="N4776" i="4"/>
  <c r="O4776" i="4" s="1"/>
  <c r="N4783" i="4"/>
  <c r="O4783" i="4" s="1"/>
  <c r="N4789" i="4"/>
  <c r="O4789" i="4" s="1"/>
  <c r="N4796" i="4"/>
  <c r="O4796" i="4" s="1"/>
  <c r="N4826" i="4"/>
  <c r="O4826" i="4" s="1"/>
  <c r="N4845" i="4"/>
  <c r="O4845" i="4" s="1"/>
  <c r="N4849" i="4"/>
  <c r="O4849" i="4" s="1"/>
  <c r="N4853" i="4"/>
  <c r="O4853" i="4" s="1"/>
  <c r="N4874" i="4"/>
  <c r="O4874" i="4" s="1"/>
  <c r="N4887" i="4"/>
  <c r="O4887" i="4" s="1"/>
  <c r="N4891" i="4"/>
  <c r="O4891" i="4" s="1"/>
  <c r="N4967" i="4"/>
  <c r="O4967" i="4" s="1"/>
  <c r="N4981" i="4"/>
  <c r="O4981" i="4" s="1"/>
  <c r="N5010" i="4"/>
  <c r="O5010" i="4" s="1"/>
  <c r="N5025" i="4"/>
  <c r="O5025" i="4" s="1"/>
  <c r="N5034" i="4"/>
  <c r="O5034" i="4" s="1"/>
  <c r="N5086" i="4"/>
  <c r="O5086" i="4" s="1"/>
  <c r="N5101" i="4"/>
  <c r="O5101" i="4" s="1"/>
  <c r="N5141" i="4"/>
  <c r="O5141" i="4" s="1"/>
  <c r="N5183" i="4"/>
  <c r="O5183" i="4" s="1"/>
  <c r="N5192" i="4"/>
  <c r="O5192" i="4" s="1"/>
  <c r="N5819" i="4"/>
  <c r="O5819" i="4" s="1"/>
  <c r="N5823" i="4"/>
  <c r="O5823" i="4" s="1"/>
  <c r="N5827" i="4"/>
  <c r="O5827" i="4" s="1"/>
  <c r="N5831" i="4"/>
  <c r="O5831" i="4" s="1"/>
  <c r="N5900" i="4"/>
  <c r="O5900" i="4" s="1"/>
  <c r="N6" i="4"/>
  <c r="O6" i="4" s="1"/>
  <c r="N12" i="4"/>
  <c r="O12" i="4" s="1"/>
  <c r="N47" i="4"/>
  <c r="O47" i="4" s="1"/>
  <c r="N53" i="4"/>
  <c r="O53" i="4" s="1"/>
  <c r="N60" i="4"/>
  <c r="O60" i="4" s="1"/>
  <c r="N240" i="4"/>
  <c r="O240" i="4" s="1"/>
  <c r="N282" i="4"/>
  <c r="O282" i="4" s="1"/>
  <c r="N318" i="4"/>
  <c r="O318" i="4" s="1"/>
  <c r="N361" i="4"/>
  <c r="O361" i="4" s="1"/>
  <c r="N412" i="4"/>
  <c r="O412" i="4" s="1"/>
  <c r="N1517" i="4"/>
  <c r="O1517" i="4" s="1"/>
  <c r="N1521" i="4"/>
  <c r="O1521" i="4" s="1"/>
  <c r="N1602" i="4"/>
  <c r="O1602" i="4" s="1"/>
  <c r="N1644" i="4"/>
  <c r="O1644" i="4" s="1"/>
  <c r="N1710" i="4"/>
  <c r="O1710" i="4" s="1"/>
  <c r="N1767" i="4"/>
  <c r="O1767" i="4" s="1"/>
  <c r="N1795" i="4"/>
  <c r="O1795" i="4" s="1"/>
  <c r="N1871" i="4"/>
  <c r="O1871" i="4" s="1"/>
  <c r="N1875" i="4"/>
  <c r="O1875" i="4" s="1"/>
  <c r="N1925" i="4"/>
  <c r="O1925" i="4" s="1"/>
  <c r="N1929" i="4"/>
  <c r="O1929" i="4" s="1"/>
  <c r="N1951" i="4"/>
  <c r="O1951" i="4" s="1"/>
  <c r="N1955" i="4"/>
  <c r="O1955" i="4" s="1"/>
  <c r="N1989" i="4"/>
  <c r="O1989" i="4" s="1"/>
  <c r="N2031" i="4"/>
  <c r="O2031" i="4" s="1"/>
  <c r="N2106" i="4"/>
  <c r="O2106" i="4" s="1"/>
  <c r="N2174" i="4"/>
  <c r="O2174" i="4" s="1"/>
  <c r="N2205" i="4"/>
  <c r="O2205" i="4" s="1"/>
  <c r="N2272" i="4"/>
  <c r="O2272" i="4" s="1"/>
  <c r="N2305" i="4"/>
  <c r="O2305" i="4" s="1"/>
  <c r="N2327" i="4"/>
  <c r="O2327" i="4" s="1"/>
  <c r="N2352" i="4"/>
  <c r="O2352" i="4" s="1"/>
  <c r="N2371" i="4"/>
  <c r="O2371" i="4" s="1"/>
  <c r="N2397" i="4"/>
  <c r="O2397" i="4" s="1"/>
  <c r="N2535" i="4"/>
  <c r="O2535" i="4" s="1"/>
  <c r="N2543" i="4"/>
  <c r="O2543" i="4" s="1"/>
  <c r="N2553" i="4"/>
  <c r="O2553" i="4" s="1"/>
  <c r="N2561" i="4"/>
  <c r="O2561" i="4" s="1"/>
  <c r="N2578" i="4"/>
  <c r="O2578" i="4" s="1"/>
  <c r="N2673" i="4"/>
  <c r="O2673" i="4" s="1"/>
  <c r="N2683" i="4"/>
  <c r="O2683" i="4" s="1"/>
  <c r="N2717" i="4"/>
  <c r="O2717" i="4" s="1"/>
  <c r="N2745" i="4"/>
  <c r="O2745" i="4" s="1"/>
  <c r="N2795" i="4"/>
  <c r="O2795" i="4" s="1"/>
  <c r="N2861" i="4"/>
  <c r="O2861" i="4" s="1"/>
  <c r="N2948" i="4"/>
  <c r="O2948" i="4" s="1"/>
  <c r="N3157" i="4"/>
  <c r="O3157" i="4" s="1"/>
  <c r="N3256" i="4"/>
  <c r="O3256" i="4" s="1"/>
  <c r="N3281" i="4"/>
  <c r="O3281" i="4" s="1"/>
  <c r="N3342" i="4"/>
  <c r="O3342" i="4" s="1"/>
  <c r="N3352" i="4"/>
  <c r="O3352" i="4" s="1"/>
  <c r="N3370" i="4"/>
  <c r="O3370" i="4" s="1"/>
  <c r="N3376" i="4"/>
  <c r="O3376" i="4" s="1"/>
  <c r="N3397" i="4"/>
  <c r="O3397" i="4" s="1"/>
  <c r="N3405" i="4"/>
  <c r="O3405" i="4" s="1"/>
  <c r="N3446" i="4"/>
  <c r="O3446" i="4" s="1"/>
  <c r="N3469" i="4"/>
  <c r="O3469" i="4" s="1"/>
  <c r="N3507" i="4"/>
  <c r="O3507" i="4" s="1"/>
  <c r="N3554" i="4"/>
  <c r="O3554" i="4" s="1"/>
  <c r="N3588" i="4"/>
  <c r="O3588" i="4" s="1"/>
  <c r="N3607" i="4"/>
  <c r="O3607" i="4" s="1"/>
  <c r="N3640" i="4"/>
  <c r="O3640" i="4" s="1"/>
  <c r="N3674" i="4"/>
  <c r="O3674" i="4" s="1"/>
  <c r="N3678" i="4"/>
  <c r="O3678" i="4" s="1"/>
  <c r="N3688" i="4"/>
  <c r="O3688" i="4" s="1"/>
  <c r="N3738" i="4"/>
  <c r="O3738" i="4" s="1"/>
  <c r="N3742" i="4"/>
  <c r="O3742" i="4" s="1"/>
  <c r="N3763" i="4"/>
  <c r="O3763" i="4" s="1"/>
  <c r="N3782" i="4"/>
  <c r="O3782" i="4" s="1"/>
  <c r="N3805" i="4"/>
  <c r="O3805" i="4" s="1"/>
  <c r="N3835" i="4"/>
  <c r="O3835" i="4" s="1"/>
  <c r="N3839" i="4"/>
  <c r="O3839" i="4" s="1"/>
  <c r="N3852" i="4"/>
  <c r="O3852" i="4" s="1"/>
  <c r="N3879" i="4"/>
  <c r="O3879" i="4" s="1"/>
  <c r="N3894" i="4"/>
  <c r="O3894" i="4" s="1"/>
  <c r="N3911" i="4"/>
  <c r="O3911" i="4" s="1"/>
  <c r="N3921" i="4"/>
  <c r="O3921" i="4" s="1"/>
  <c r="N3994" i="4"/>
  <c r="O3994" i="4" s="1"/>
  <c r="N4021" i="4"/>
  <c r="O4021" i="4" s="1"/>
  <c r="N4070" i="4"/>
  <c r="O4070" i="4" s="1"/>
  <c r="N4202" i="4"/>
  <c r="O4202" i="4" s="1"/>
  <c r="N4213" i="4"/>
  <c r="O4213" i="4" s="1"/>
  <c r="N4401" i="4"/>
  <c r="O4401" i="4" s="1"/>
  <c r="N4405" i="4"/>
  <c r="O4405" i="4" s="1"/>
  <c r="N4437" i="4"/>
  <c r="O4437" i="4" s="1"/>
  <c r="N4442" i="4"/>
  <c r="O4442" i="4" s="1"/>
  <c r="N4503" i="4"/>
  <c r="O4503" i="4" s="1"/>
  <c r="N4507" i="4"/>
  <c r="O4507" i="4" s="1"/>
  <c r="N4511" i="4"/>
  <c r="O4511" i="4" s="1"/>
  <c r="N4574" i="4"/>
  <c r="O4574" i="4" s="1"/>
  <c r="N4600" i="4"/>
  <c r="O4600" i="4" s="1"/>
  <c r="N4606" i="4"/>
  <c r="O4606" i="4" s="1"/>
  <c r="N4612" i="4"/>
  <c r="O4612" i="4" s="1"/>
  <c r="N4615" i="4"/>
  <c r="O4615" i="4" s="1"/>
  <c r="N4662" i="4"/>
  <c r="O4662" i="4" s="1"/>
  <c r="N4668" i="4"/>
  <c r="O4668" i="4" s="1"/>
  <c r="N4722" i="4"/>
  <c r="O4722" i="4" s="1"/>
  <c r="N4782" i="4"/>
  <c r="O4782" i="4" s="1"/>
  <c r="N4794" i="4"/>
  <c r="O4794" i="4" s="1"/>
  <c r="N4800" i="4"/>
  <c r="O4800" i="4" s="1"/>
  <c r="N4843" i="4"/>
  <c r="O4843" i="4" s="1"/>
  <c r="N4871" i="4"/>
  <c r="O4871" i="4" s="1"/>
  <c r="N4875" i="4"/>
  <c r="O4875" i="4" s="1"/>
  <c r="N4968" i="4"/>
  <c r="O4968" i="4" s="1"/>
  <c r="N4976" i="4"/>
  <c r="O4976" i="4" s="1"/>
  <c r="N5013" i="4"/>
  <c r="O5013" i="4" s="1"/>
  <c r="N5031" i="4"/>
  <c r="O5031" i="4" s="1"/>
  <c r="N5054" i="4"/>
  <c r="O5054" i="4" s="1"/>
  <c r="N5095" i="4"/>
  <c r="O5095" i="4" s="1"/>
  <c r="N5103" i="4"/>
  <c r="O5103" i="4" s="1"/>
  <c r="N5131" i="4"/>
  <c r="O5131" i="4" s="1"/>
  <c r="N5146" i="4"/>
  <c r="O5146" i="4" s="1"/>
  <c r="N5174" i="4"/>
  <c r="O5174" i="4" s="1"/>
  <c r="N5200" i="4"/>
  <c r="O5200" i="4" s="1"/>
  <c r="N5205" i="4"/>
  <c r="O5205" i="4" s="1"/>
  <c r="N5825" i="4"/>
  <c r="O5825" i="4" s="1"/>
  <c r="N5857" i="4"/>
  <c r="O5857" i="4" s="1"/>
  <c r="N5865" i="4"/>
  <c r="O5865" i="4" s="1"/>
  <c r="N5887" i="4"/>
  <c r="O5887" i="4" s="1"/>
  <c r="N5910" i="4"/>
  <c r="O5910" i="4" s="1"/>
  <c r="N5914" i="4"/>
  <c r="O5914" i="4" s="1"/>
  <c r="N5927" i="4"/>
  <c r="O5927" i="4" s="1"/>
  <c r="N5985" i="4"/>
  <c r="O5985" i="4" s="1"/>
  <c r="N6001" i="4"/>
  <c r="O6001" i="4" s="1"/>
  <c r="N36" i="4"/>
  <c r="O36" i="4" s="1"/>
  <c r="N44" i="4"/>
  <c r="O44" i="4" s="1"/>
  <c r="N89" i="4"/>
  <c r="O89" i="4" s="1"/>
  <c r="N93" i="4"/>
  <c r="O93" i="4" s="1"/>
  <c r="N117" i="4"/>
  <c r="O117" i="4" s="1"/>
  <c r="N141" i="4"/>
  <c r="O141" i="4" s="1"/>
  <c r="N204" i="4"/>
  <c r="O204" i="4" s="1"/>
  <c r="N215" i="4"/>
  <c r="O215" i="4" s="1"/>
  <c r="N268" i="4"/>
  <c r="O268" i="4" s="1"/>
  <c r="N291" i="4"/>
  <c r="O291" i="4" s="1"/>
  <c r="N297" i="4"/>
  <c r="O297" i="4" s="1"/>
  <c r="N332" i="4"/>
  <c r="O332" i="4" s="1"/>
  <c r="N352" i="4"/>
  <c r="O352" i="4" s="1"/>
  <c r="N390" i="4"/>
  <c r="O390" i="4" s="1"/>
  <c r="N399" i="4"/>
  <c r="O399" i="4" s="1"/>
  <c r="N407" i="4"/>
  <c r="O407" i="4" s="1"/>
  <c r="N1498" i="4"/>
  <c r="O1498" i="4" s="1"/>
  <c r="N1525" i="4"/>
  <c r="O1525" i="4" s="1"/>
  <c r="N1550" i="4"/>
  <c r="O1550" i="4" s="1"/>
  <c r="N1427" i="4"/>
  <c r="O1427" i="4" s="1"/>
  <c r="N1441" i="4"/>
  <c r="O1441" i="4" s="1"/>
  <c r="N1448" i="4"/>
  <c r="O1448" i="4" s="1"/>
  <c r="N1450" i="4"/>
  <c r="O1450" i="4" s="1"/>
  <c r="N1452" i="4"/>
  <c r="O1452" i="4" s="1"/>
  <c r="N1453" i="4"/>
  <c r="O1453" i="4" s="1"/>
  <c r="N1456" i="4"/>
  <c r="O1456" i="4" s="1"/>
  <c r="N1457" i="4"/>
  <c r="O1457" i="4" s="1"/>
  <c r="N1459" i="4"/>
  <c r="O1459" i="4" s="1"/>
  <c r="N1466" i="4"/>
  <c r="O1466" i="4" s="1"/>
  <c r="N1471" i="4"/>
  <c r="O1471" i="4" s="1"/>
  <c r="N1475" i="4"/>
  <c r="O1475" i="4" s="1"/>
  <c r="N10" i="4"/>
  <c r="N18" i="4"/>
  <c r="O18" i="4" s="1"/>
  <c r="N22" i="4"/>
  <c r="O22" i="4" s="1"/>
  <c r="N27" i="4"/>
  <c r="O27" i="4" s="1"/>
  <c r="N51" i="4"/>
  <c r="O51" i="4" s="1"/>
  <c r="N62" i="4"/>
  <c r="O62" i="4" s="1"/>
  <c r="N73" i="4"/>
  <c r="O73" i="4" s="1"/>
  <c r="N77" i="4"/>
  <c r="O77" i="4" s="1"/>
  <c r="N81" i="4"/>
  <c r="O81" i="4" s="1"/>
  <c r="N87" i="4"/>
  <c r="O87" i="4" s="1"/>
  <c r="N94" i="4"/>
  <c r="O94" i="4" s="1"/>
  <c r="N100" i="4"/>
  <c r="O100" i="4" s="1"/>
  <c r="N112" i="4"/>
  <c r="O112" i="4" s="1"/>
  <c r="N116" i="4"/>
  <c r="O116" i="4" s="1"/>
  <c r="N125" i="4"/>
  <c r="O125" i="4" s="1"/>
  <c r="N148" i="4"/>
  <c r="O148" i="4" s="1"/>
  <c r="N181" i="4"/>
  <c r="O181" i="4" s="1"/>
  <c r="N187" i="4"/>
  <c r="O187" i="4" s="1"/>
  <c r="N214" i="4"/>
  <c r="O214" i="4" s="1"/>
  <c r="N231" i="4"/>
  <c r="O231" i="4" s="1"/>
  <c r="N242" i="4"/>
  <c r="O242" i="4" s="1"/>
  <c r="N246" i="4"/>
  <c r="O246" i="4" s="1"/>
  <c r="N288" i="4"/>
  <c r="O288" i="4" s="1"/>
  <c r="N293" i="4"/>
  <c r="O293" i="4" s="1"/>
  <c r="N313" i="4"/>
  <c r="O313" i="4" s="1"/>
  <c r="N326" i="4"/>
  <c r="O326" i="4" s="1"/>
  <c r="N331" i="4"/>
  <c r="O331" i="4" s="1"/>
  <c r="N339" i="4"/>
  <c r="O339" i="4" s="1"/>
  <c r="N344" i="4"/>
  <c r="O344" i="4" s="1"/>
  <c r="N354" i="4"/>
  <c r="O354" i="4" s="1"/>
  <c r="N362" i="4"/>
  <c r="O362" i="4" s="1"/>
  <c r="N395" i="4"/>
  <c r="O395" i="4" s="1"/>
  <c r="N439" i="4"/>
  <c r="O439" i="4" s="1"/>
  <c r="N1497" i="4"/>
  <c r="O1497" i="4" s="1"/>
  <c r="N1503" i="4"/>
  <c r="O1503" i="4" s="1"/>
  <c r="N1511" i="4"/>
  <c r="O1511" i="4" s="1"/>
  <c r="N1524" i="4"/>
  <c r="O1524" i="4" s="1"/>
  <c r="N1543" i="4"/>
  <c r="O1543" i="4" s="1"/>
  <c r="N1572" i="4"/>
  <c r="O1572" i="4" s="1"/>
  <c r="N1591" i="4"/>
  <c r="O1591" i="4" s="1"/>
  <c r="N1615" i="4"/>
  <c r="O1615" i="4" s="1"/>
  <c r="N1629" i="4"/>
  <c r="O1629" i="4" s="1"/>
  <c r="N1642" i="4"/>
  <c r="O1642" i="4" s="1"/>
  <c r="N1650" i="4"/>
  <c r="O1650" i="4" s="1"/>
  <c r="N1654" i="4"/>
  <c r="O1654" i="4" s="1"/>
  <c r="N1696" i="4"/>
  <c r="O1696" i="4" s="1"/>
  <c r="N1757" i="4"/>
  <c r="O1757" i="4" s="1"/>
  <c r="N1763" i="4"/>
  <c r="O1763" i="4" s="1"/>
  <c r="N1768" i="4"/>
  <c r="O1768" i="4" s="1"/>
  <c r="N1772" i="4"/>
  <c r="O1772" i="4" s="1"/>
  <c r="N1780" i="4"/>
  <c r="O1780" i="4" s="1"/>
  <c r="N1818" i="4"/>
  <c r="O1818" i="4" s="1"/>
  <c r="N1822" i="4"/>
  <c r="O1822" i="4" s="1"/>
  <c r="N1826" i="4"/>
  <c r="O1826" i="4" s="1"/>
  <c r="N1834" i="4"/>
  <c r="O1834" i="4" s="1"/>
  <c r="N1861" i="4"/>
  <c r="O1861" i="4" s="1"/>
  <c r="N1870" i="4"/>
  <c r="O1870" i="4" s="1"/>
  <c r="N1876" i="4"/>
  <c r="O1876" i="4" s="1"/>
  <c r="N1880" i="4"/>
  <c r="O1880" i="4" s="1"/>
  <c r="N1886" i="4"/>
  <c r="O1886" i="4" s="1"/>
  <c r="N1901" i="4"/>
  <c r="O1901" i="4" s="1"/>
  <c r="N1919" i="4"/>
  <c r="O1919" i="4" s="1"/>
  <c r="N1954" i="4"/>
  <c r="O1954" i="4" s="1"/>
  <c r="N1962" i="4"/>
  <c r="O1962" i="4" s="1"/>
  <c r="N1970" i="4"/>
  <c r="O1970" i="4" s="1"/>
  <c r="N1991" i="4"/>
  <c r="O1991" i="4" s="1"/>
  <c r="N2009" i="4"/>
  <c r="O2009" i="4" s="1"/>
  <c r="N2013" i="4"/>
  <c r="O2013" i="4" s="1"/>
  <c r="N2038" i="4"/>
  <c r="O2038" i="4" s="1"/>
  <c r="N2059" i="4"/>
  <c r="O2059" i="4" s="1"/>
  <c r="N2077" i="4"/>
  <c r="O2077" i="4" s="1"/>
  <c r="N2082" i="4"/>
  <c r="O2082" i="4" s="1"/>
  <c r="N2112" i="4"/>
  <c r="O2112" i="4" s="1"/>
  <c r="N2129" i="4"/>
  <c r="O2129" i="4" s="1"/>
  <c r="N2157" i="4"/>
  <c r="O2157" i="4" s="1"/>
  <c r="N2165" i="4"/>
  <c r="O2165" i="4" s="1"/>
  <c r="N2170" i="4"/>
  <c r="O2170" i="4" s="1"/>
  <c r="N2181" i="4"/>
  <c r="O2181" i="4" s="1"/>
  <c r="N2189" i="4"/>
  <c r="O2189" i="4" s="1"/>
  <c r="N2193" i="4"/>
  <c r="O2193" i="4" s="1"/>
  <c r="N2225" i="4"/>
  <c r="O2225" i="4" s="1"/>
  <c r="N2248" i="4"/>
  <c r="O2248" i="4" s="1"/>
  <c r="N2277" i="4"/>
  <c r="O2277" i="4" s="1"/>
  <c r="N2292" i="4"/>
  <c r="O2292" i="4" s="1"/>
  <c r="N2365" i="4"/>
  <c r="O2365" i="4" s="1"/>
  <c r="N2369" i="4"/>
  <c r="O2369" i="4" s="1"/>
  <c r="N2398" i="4"/>
  <c r="O2398" i="4" s="1"/>
  <c r="N2402" i="4"/>
  <c r="O2402" i="4" s="1"/>
  <c r="N2407" i="4"/>
  <c r="O2407" i="4" s="1"/>
  <c r="N2458" i="4"/>
  <c r="O2458" i="4" s="1"/>
  <c r="N2471" i="4"/>
  <c r="O2471" i="4" s="1"/>
  <c r="N2486" i="4"/>
  <c r="O2486" i="4" s="1"/>
  <c r="N2490" i="4"/>
  <c r="O2490" i="4" s="1"/>
  <c r="N2499" i="4"/>
  <c r="O2499" i="4" s="1"/>
  <c r="N2518" i="4"/>
  <c r="O2518" i="4" s="1"/>
  <c r="N2524" i="4"/>
  <c r="O2524" i="4" s="1"/>
  <c r="N2542" i="4"/>
  <c r="O2542" i="4" s="1"/>
  <c r="N2583" i="4"/>
  <c r="O2583" i="4" s="1"/>
  <c r="N2588" i="4"/>
  <c r="O2588" i="4" s="1"/>
  <c r="N2628" i="4"/>
  <c r="O2628" i="4" s="1"/>
  <c r="N2646" i="4"/>
  <c r="O2646" i="4" s="1"/>
  <c r="N2663" i="4"/>
  <c r="O2663" i="4" s="1"/>
  <c r="N2680" i="4"/>
  <c r="O2680" i="4" s="1"/>
  <c r="N2693" i="4"/>
  <c r="O2693" i="4" s="1"/>
  <c r="N2697" i="4"/>
  <c r="O2697" i="4" s="1"/>
  <c r="N2705" i="4"/>
  <c r="O2705" i="4" s="1"/>
  <c r="N2720" i="4"/>
  <c r="O2720" i="4" s="1"/>
  <c r="N2761" i="4"/>
  <c r="O2761" i="4" s="1"/>
  <c r="N2776" i="4"/>
  <c r="O2776" i="4" s="1"/>
  <c r="N2802" i="4"/>
  <c r="O2802" i="4" s="1"/>
  <c r="N2807" i="4"/>
  <c r="O2807" i="4" s="1"/>
  <c r="N2820" i="4"/>
  <c r="O2820" i="4" s="1"/>
  <c r="N2882" i="4"/>
  <c r="O2882" i="4" s="1"/>
  <c r="N2901" i="4"/>
  <c r="O2901" i="4" s="1"/>
  <c r="N2914" i="4"/>
  <c r="O2914" i="4" s="1"/>
  <c r="N2926" i="4"/>
  <c r="O2926" i="4" s="1"/>
  <c r="N2943" i="4"/>
  <c r="O2943" i="4" s="1"/>
  <c r="N2954" i="4"/>
  <c r="O2954" i="4" s="1"/>
  <c r="N2998" i="4"/>
  <c r="O2998" i="4" s="1"/>
  <c r="N3010" i="4"/>
  <c r="O3010" i="4" s="1"/>
  <c r="N3025" i="4"/>
  <c r="O3025" i="4" s="1"/>
  <c r="N3035" i="4"/>
  <c r="O3035" i="4" s="1"/>
  <c r="N3053" i="4"/>
  <c r="O3053" i="4" s="1"/>
  <c r="N3061" i="4"/>
  <c r="O3061" i="4" s="1"/>
  <c r="N3099" i="4"/>
  <c r="O3099" i="4" s="1"/>
  <c r="N3103" i="4"/>
  <c r="O3103" i="4" s="1"/>
  <c r="N3123" i="4"/>
  <c r="O3123" i="4" s="1"/>
  <c r="N3128" i="4"/>
  <c r="O3128" i="4" s="1"/>
  <c r="N3139" i="4"/>
  <c r="O3139" i="4" s="1"/>
  <c r="N3143" i="4"/>
  <c r="O3143" i="4" s="1"/>
  <c r="N3163" i="4"/>
  <c r="O3163" i="4" s="1"/>
  <c r="N3178" i="4"/>
  <c r="O3178" i="4" s="1"/>
  <c r="N3192" i="4"/>
  <c r="O3192" i="4" s="1"/>
  <c r="N3196" i="4"/>
  <c r="O3196" i="4" s="1"/>
  <c r="N3208" i="4"/>
  <c r="O3208" i="4" s="1"/>
  <c r="N3220" i="4"/>
  <c r="O3220" i="4" s="1"/>
  <c r="N3243" i="4"/>
  <c r="O3243" i="4" s="1"/>
  <c r="N3250" i="4"/>
  <c r="O3250" i="4" s="1"/>
  <c r="N3273" i="4"/>
  <c r="O3273" i="4" s="1"/>
  <c r="N3277" i="4"/>
  <c r="O3277" i="4" s="1"/>
  <c r="N3282" i="4"/>
  <c r="O3282" i="4" s="1"/>
  <c r="N3288" i="4"/>
  <c r="O3288" i="4" s="1"/>
  <c r="N3329" i="4"/>
  <c r="O3329" i="4" s="1"/>
  <c r="N3343" i="4"/>
  <c r="O3343" i="4" s="1"/>
  <c r="N3358" i="4"/>
  <c r="O3358" i="4" s="1"/>
  <c r="N3362" i="4"/>
  <c r="O3362" i="4" s="1"/>
  <c r="N3390" i="4"/>
  <c r="O3390" i="4" s="1"/>
  <c r="N3413" i="4"/>
  <c r="O3413" i="4" s="1"/>
  <c r="N3467" i="4"/>
  <c r="O3467" i="4" s="1"/>
  <c r="N3473" i="4"/>
  <c r="O3473" i="4" s="1"/>
  <c r="N3485" i="4"/>
  <c r="O3485" i="4" s="1"/>
  <c r="N3498" i="4"/>
  <c r="O3498" i="4" s="1"/>
  <c r="N3514" i="4"/>
  <c r="O3514" i="4" s="1"/>
  <c r="N3533" i="4"/>
  <c r="O3533" i="4" s="1"/>
  <c r="N3537" i="4"/>
  <c r="O3537" i="4" s="1"/>
  <c r="N3541" i="4"/>
  <c r="O3541" i="4" s="1"/>
  <c r="N3545" i="4"/>
  <c r="O3545" i="4" s="1"/>
  <c r="N3549" i="4"/>
  <c r="O3549" i="4" s="1"/>
  <c r="N3572" i="4"/>
  <c r="O3572" i="4" s="1"/>
  <c r="N3623" i="4"/>
  <c r="O3623" i="4" s="1"/>
  <c r="N3628" i="4"/>
  <c r="O3628" i="4" s="1"/>
  <c r="N3650" i="4"/>
  <c r="O3650" i="4" s="1"/>
  <c r="N3655" i="4"/>
  <c r="O3655" i="4" s="1"/>
  <c r="N3659" i="4"/>
  <c r="O3659" i="4" s="1"/>
  <c r="N3672" i="4"/>
  <c r="O3672" i="4" s="1"/>
  <c r="N3709" i="4"/>
  <c r="O3709" i="4" s="1"/>
  <c r="N3714" i="4"/>
  <c r="O3714" i="4" s="1"/>
  <c r="N3718" i="4"/>
  <c r="O3718" i="4" s="1"/>
  <c r="N3726" i="4"/>
  <c r="O3726" i="4" s="1"/>
  <c r="N3746" i="4"/>
  <c r="O3746" i="4" s="1"/>
  <c r="N3766" i="4"/>
  <c r="O3766" i="4" s="1"/>
  <c r="N3770" i="4"/>
  <c r="O3770" i="4" s="1"/>
  <c r="N3774" i="4"/>
  <c r="O3774" i="4" s="1"/>
  <c r="N3783" i="4"/>
  <c r="O3783" i="4" s="1"/>
  <c r="N3787" i="4"/>
  <c r="O3787" i="4" s="1"/>
  <c r="N3796" i="4"/>
  <c r="O3796" i="4" s="1"/>
  <c r="N3800" i="4"/>
  <c r="O3800" i="4" s="1"/>
  <c r="N3814" i="4"/>
  <c r="O3814" i="4" s="1"/>
  <c r="N3827" i="4"/>
  <c r="O3827" i="4" s="1"/>
  <c r="N3851" i="4"/>
  <c r="O3851" i="4" s="1"/>
  <c r="N3881" i="4"/>
  <c r="O3881" i="4" s="1"/>
  <c r="N3891" i="4"/>
  <c r="O3891" i="4" s="1"/>
  <c r="N3915" i="4"/>
  <c r="O3915" i="4" s="1"/>
  <c r="N3919" i="4"/>
  <c r="O3919" i="4" s="1"/>
  <c r="N3929" i="4"/>
  <c r="O3929" i="4" s="1"/>
  <c r="N3934" i="4"/>
  <c r="O3934" i="4" s="1"/>
  <c r="N3943" i="4"/>
  <c r="O3943" i="4" s="1"/>
  <c r="N3952" i="4"/>
  <c r="O3952" i="4" s="1"/>
  <c r="N3967" i="4"/>
  <c r="O3967" i="4" s="1"/>
  <c r="N3971" i="4"/>
  <c r="O3971" i="4" s="1"/>
  <c r="N3980" i="4"/>
  <c r="O3980" i="4" s="1"/>
  <c r="N4003" i="4"/>
  <c r="O4003" i="4" s="1"/>
  <c r="N4014" i="4"/>
  <c r="O4014" i="4" s="1"/>
  <c r="N4018" i="4"/>
  <c r="O4018" i="4" s="1"/>
  <c r="N4022" i="4"/>
  <c r="O4022" i="4" s="1"/>
  <c r="N4040" i="4"/>
  <c r="O4040" i="4" s="1"/>
  <c r="N122" i="4"/>
  <c r="O122" i="4" s="1"/>
  <c r="N358" i="4"/>
  <c r="O358" i="4" s="1"/>
  <c r="N391" i="4"/>
  <c r="O391" i="4" s="1"/>
  <c r="N1541" i="4"/>
  <c r="O1541" i="4" s="1"/>
  <c r="N1583" i="4"/>
  <c r="O1583" i="4" s="1"/>
  <c r="N1628" i="4"/>
  <c r="O1628" i="4" s="1"/>
  <c r="N1697" i="4"/>
  <c r="O1697" i="4" s="1"/>
  <c r="N1711" i="4"/>
  <c r="O1711" i="4" s="1"/>
  <c r="N1715" i="4"/>
  <c r="O1715" i="4" s="1"/>
  <c r="N1775" i="4"/>
  <c r="O1775" i="4" s="1"/>
  <c r="N1906" i="4"/>
  <c r="O1906" i="4" s="1"/>
  <c r="N2044" i="4"/>
  <c r="O2044" i="4" s="1"/>
  <c r="N2084" i="4"/>
  <c r="O2084" i="4" s="1"/>
  <c r="N2156" i="4"/>
  <c r="O2156" i="4" s="1"/>
  <c r="N2166" i="4"/>
  <c r="O2166" i="4" s="1"/>
  <c r="N2223" i="4"/>
  <c r="O2223" i="4" s="1"/>
  <c r="N2232" i="4"/>
  <c r="O2232" i="4" s="1"/>
  <c r="N2298" i="4"/>
  <c r="O2298" i="4" s="1"/>
  <c r="N2403" i="4"/>
  <c r="O2403" i="4" s="1"/>
  <c r="N2408" i="4"/>
  <c r="O2408" i="4" s="1"/>
  <c r="N2550" i="4"/>
  <c r="O2550" i="4" s="1"/>
  <c r="N2554" i="4"/>
  <c r="O2554" i="4" s="1"/>
  <c r="N2558" i="4"/>
  <c r="O2558" i="4" s="1"/>
  <c r="N2648" i="4"/>
  <c r="O2648" i="4" s="1"/>
  <c r="N2674" i="4"/>
  <c r="O2674" i="4" s="1"/>
  <c r="N2685" i="4"/>
  <c r="O2685" i="4" s="1"/>
  <c r="N2818" i="4"/>
  <c r="O2818" i="4" s="1"/>
  <c r="N2860" i="4"/>
  <c r="O2860" i="4" s="1"/>
  <c r="N2929" i="4"/>
  <c r="O2929" i="4" s="1"/>
  <c r="N2956" i="4"/>
  <c r="O2956" i="4" s="1"/>
  <c r="N2993" i="4"/>
  <c r="O2993" i="4" s="1"/>
  <c r="N3015" i="4"/>
  <c r="O3015" i="4" s="1"/>
  <c r="N3055" i="4"/>
  <c r="O3055" i="4" s="1"/>
  <c r="N3114" i="4"/>
  <c r="O3114" i="4" s="1"/>
  <c r="N3127" i="4"/>
  <c r="O3127" i="4" s="1"/>
  <c r="N3253" i="4"/>
  <c r="O3253" i="4" s="1"/>
  <c r="N3289" i="4"/>
  <c r="O3289" i="4" s="1"/>
  <c r="N3293" i="4"/>
  <c r="O3293" i="4" s="1"/>
  <c r="N3505" i="4"/>
  <c r="O3505" i="4" s="1"/>
  <c r="N3539" i="4"/>
  <c r="O3539" i="4" s="1"/>
  <c r="N3812" i="4"/>
  <c r="O3812" i="4" s="1"/>
  <c r="N3880" i="4"/>
  <c r="O3880" i="4" s="1"/>
  <c r="N3932" i="4"/>
  <c r="O3932" i="4" s="1"/>
  <c r="N3938" i="4"/>
  <c r="O3938" i="4" s="1"/>
  <c r="N4107" i="4"/>
  <c r="O4107" i="4" s="1"/>
  <c r="N4136" i="4"/>
  <c r="O4136" i="4" s="1"/>
  <c r="N4231" i="4"/>
  <c r="O4231" i="4" s="1"/>
  <c r="N4308" i="4"/>
  <c r="O4308" i="4" s="1"/>
  <c r="N4492" i="4"/>
  <c r="O4492" i="4" s="1"/>
  <c r="N4496" i="4"/>
  <c r="O4496" i="4" s="1"/>
  <c r="N4506" i="4"/>
  <c r="O4506" i="4" s="1"/>
  <c r="N4680" i="4"/>
  <c r="O4680" i="4" s="1"/>
  <c r="N4684" i="4"/>
  <c r="O4684" i="4" s="1"/>
  <c r="N4795" i="4"/>
  <c r="O4795" i="4" s="1"/>
  <c r="N4834" i="4"/>
  <c r="O4834" i="4" s="1"/>
  <c r="N4884" i="4"/>
  <c r="O4884" i="4" s="1"/>
  <c r="N4965" i="4"/>
  <c r="O4965" i="4" s="1"/>
  <c r="N5015" i="4"/>
  <c r="O5015" i="4" s="1"/>
  <c r="N5110" i="4"/>
  <c r="O5110" i="4" s="1"/>
  <c r="N5203" i="4"/>
  <c r="O5203" i="4" s="1"/>
  <c r="N5867" i="4"/>
  <c r="O5867" i="4" s="1"/>
  <c r="N5915" i="4"/>
  <c r="O5915" i="4" s="1"/>
  <c r="N114" i="4"/>
  <c r="O114" i="4" s="1"/>
  <c r="N217" i="4"/>
  <c r="O217" i="4" s="1"/>
  <c r="N324" i="4"/>
  <c r="O324" i="4" s="1"/>
  <c r="N400" i="4"/>
  <c r="O400" i="4" s="1"/>
  <c r="N404" i="4"/>
  <c r="O404" i="4" s="1"/>
  <c r="N1619" i="4"/>
  <c r="O1619" i="4" s="1"/>
  <c r="N1825" i="4"/>
  <c r="O1825" i="4" s="1"/>
  <c r="N1896" i="4"/>
  <c r="O1896" i="4" s="1"/>
  <c r="N1946" i="4"/>
  <c r="O1946" i="4" s="1"/>
  <c r="N2377" i="4"/>
  <c r="O2377" i="4" s="1"/>
  <c r="N2404" i="4"/>
  <c r="O2404" i="4" s="1"/>
  <c r="N2463" i="4"/>
  <c r="O2463" i="4" s="1"/>
  <c r="N2485" i="4"/>
  <c r="O2485" i="4" s="1"/>
  <c r="N2571" i="4"/>
  <c r="O2571" i="4" s="1"/>
  <c r="N2638" i="4"/>
  <c r="O2638" i="4" s="1"/>
  <c r="N2794" i="4"/>
  <c r="O2794" i="4" s="1"/>
  <c r="N2853" i="4"/>
  <c r="O2853" i="4" s="1"/>
  <c r="N2879" i="4"/>
  <c r="O2879" i="4" s="1"/>
  <c r="N2923" i="4"/>
  <c r="O2923" i="4" s="1"/>
  <c r="N3054" i="4"/>
  <c r="O3054" i="4" s="1"/>
  <c r="N3062" i="4"/>
  <c r="O3062" i="4" s="1"/>
  <c r="N3183" i="4"/>
  <c r="O3183" i="4" s="1"/>
  <c r="N3237" i="4"/>
  <c r="O3237" i="4" s="1"/>
  <c r="N3430" i="4"/>
  <c r="O3430" i="4" s="1"/>
  <c r="N3583" i="4"/>
  <c r="O3583" i="4" s="1"/>
  <c r="N3591" i="4"/>
  <c r="O3591" i="4" s="1"/>
  <c r="N3625" i="4"/>
  <c r="O3625" i="4" s="1"/>
  <c r="N3680" i="4"/>
  <c r="O3680" i="4" s="1"/>
  <c r="N3832" i="4"/>
  <c r="O3832" i="4" s="1"/>
  <c r="N3986" i="4"/>
  <c r="O3986" i="4" s="1"/>
  <c r="N4099" i="4"/>
  <c r="O4099" i="4" s="1"/>
  <c r="N4143" i="4"/>
  <c r="O4143" i="4" s="1"/>
  <c r="N4187" i="4"/>
  <c r="O4187" i="4" s="1"/>
  <c r="N4214" i="4"/>
  <c r="O4214" i="4" s="1"/>
  <c r="N4257" i="4"/>
  <c r="O4257" i="4" s="1"/>
  <c r="N4270" i="4"/>
  <c r="O4270" i="4" s="1"/>
  <c r="N4297" i="4"/>
  <c r="O4297" i="4" s="1"/>
  <c r="N4338" i="4"/>
  <c r="O4338" i="4" s="1"/>
  <c r="N4546" i="4"/>
  <c r="O4546" i="4" s="1"/>
  <c r="N4605" i="4"/>
  <c r="O4605" i="4" s="1"/>
  <c r="N4656" i="4"/>
  <c r="O4656" i="4" s="1"/>
  <c r="N4675" i="4"/>
  <c r="O4675" i="4" s="1"/>
  <c r="N4691" i="4"/>
  <c r="O4691" i="4" s="1"/>
  <c r="N4819" i="4"/>
  <c r="O4819" i="4" s="1"/>
  <c r="N4823" i="4"/>
  <c r="O4823" i="4" s="1"/>
  <c r="N4876" i="4"/>
  <c r="O4876" i="4" s="1"/>
  <c r="N4915" i="4"/>
  <c r="O4915" i="4" s="1"/>
  <c r="N4943" i="4"/>
  <c r="O4943" i="4" s="1"/>
  <c r="N4978" i="4"/>
  <c r="O4978" i="4" s="1"/>
  <c r="N4984" i="4"/>
  <c r="O4984" i="4" s="1"/>
  <c r="N5037" i="4"/>
  <c r="O5037" i="4" s="1"/>
  <c r="N5129" i="4"/>
  <c r="O5129" i="4" s="1"/>
  <c r="N5816" i="4"/>
  <c r="O5816" i="4" s="1"/>
  <c r="N5824" i="4"/>
  <c r="O5824" i="4" s="1"/>
  <c r="N5859" i="4"/>
  <c r="O5859" i="4" s="1"/>
  <c r="N5879" i="4"/>
  <c r="O5879" i="4" s="1"/>
  <c r="N5894" i="4"/>
  <c r="O5894" i="4" s="1"/>
  <c r="N5912" i="4"/>
  <c r="O5912" i="4" s="1"/>
  <c r="N5963" i="4"/>
  <c r="O5963" i="4" s="1"/>
  <c r="N8" i="4"/>
  <c r="N37" i="4"/>
  <c r="O37" i="4" s="1"/>
  <c r="N102" i="4"/>
  <c r="O102" i="4" s="1"/>
  <c r="N197" i="4"/>
  <c r="O197" i="4" s="1"/>
  <c r="N209" i="4"/>
  <c r="O209" i="4" s="1"/>
  <c r="N274" i="4"/>
  <c r="O274" i="4" s="1"/>
  <c r="N329" i="4"/>
  <c r="O329" i="4" s="1"/>
  <c r="N355" i="4"/>
  <c r="O355" i="4" s="1"/>
  <c r="N373" i="4"/>
  <c r="O373" i="4" s="1"/>
  <c r="N377" i="4"/>
  <c r="O377" i="4" s="1"/>
  <c r="N1513" i="4"/>
  <c r="O1513" i="4" s="1"/>
  <c r="N1526" i="4"/>
  <c r="O1526" i="4" s="1"/>
  <c r="N1588" i="4"/>
  <c r="O1588" i="4" s="1"/>
  <c r="N1611" i="4"/>
  <c r="O1611" i="4" s="1"/>
  <c r="N1637" i="4"/>
  <c r="O1637" i="4" s="1"/>
  <c r="N1766" i="4"/>
  <c r="O1766" i="4" s="1"/>
  <c r="N1770" i="4"/>
  <c r="O1770" i="4" s="1"/>
  <c r="N1774" i="4"/>
  <c r="O1774" i="4" s="1"/>
  <c r="N1847" i="4"/>
  <c r="O1847" i="4" s="1"/>
  <c r="N1912" i="4"/>
  <c r="O1912" i="4" s="1"/>
  <c r="N2025" i="4"/>
  <c r="O2025" i="4" s="1"/>
  <c r="N2211" i="4"/>
  <c r="O2211" i="4" s="1"/>
  <c r="N2527" i="4"/>
  <c r="O2527" i="4" s="1"/>
  <c r="N2538" i="4"/>
  <c r="O2538" i="4" s="1"/>
  <c r="N2598" i="4"/>
  <c r="O2598" i="4" s="1"/>
  <c r="N2722" i="4"/>
  <c r="O2722" i="4" s="1"/>
  <c r="N2735" i="4"/>
  <c r="O2735" i="4" s="1"/>
  <c r="N2788" i="4"/>
  <c r="O2788" i="4" s="1"/>
  <c r="N2894" i="4"/>
  <c r="O2894" i="4" s="1"/>
  <c r="N2992" i="4"/>
  <c r="O2992" i="4" s="1"/>
  <c r="N3475" i="4"/>
  <c r="O3475" i="4" s="1"/>
  <c r="N3594" i="4"/>
  <c r="O3594" i="4" s="1"/>
  <c r="N3647" i="4"/>
  <c r="O3647" i="4" s="1"/>
  <c r="N3727" i="4"/>
  <c r="O3727" i="4" s="1"/>
  <c r="N3784" i="4"/>
  <c r="O3784" i="4" s="1"/>
  <c r="N3817" i="4"/>
  <c r="O3817" i="4" s="1"/>
  <c r="N4023" i="4"/>
  <c r="O4023" i="4" s="1"/>
  <c r="N4205" i="4"/>
  <c r="O4205" i="4" s="1"/>
  <c r="N4329" i="4"/>
  <c r="O4329" i="4" s="1"/>
  <c r="N4359" i="4"/>
  <c r="O4359" i="4" s="1"/>
  <c r="N4562" i="4"/>
  <c r="O4562" i="4" s="1"/>
  <c r="N4694" i="4"/>
  <c r="O4694" i="4" s="1"/>
  <c r="N4897" i="4"/>
  <c r="O4897" i="4" s="1"/>
  <c r="N4935" i="4"/>
  <c r="O4935" i="4" s="1"/>
  <c r="N4939" i="4"/>
  <c r="O4939" i="4" s="1"/>
  <c r="N4964" i="4"/>
  <c r="O4964" i="4" s="1"/>
  <c r="N5051" i="4"/>
  <c r="O5051" i="4" s="1"/>
  <c r="N5133" i="4"/>
  <c r="O5133" i="4" s="1"/>
  <c r="N5142" i="4"/>
  <c r="O5142" i="4" s="1"/>
  <c r="N5961" i="4"/>
  <c r="O5961" i="4" s="1"/>
  <c r="N2028" i="4"/>
  <c r="O2028" i="4" s="1"/>
  <c r="N585" i="4"/>
  <c r="O585" i="4" s="1"/>
  <c r="F10" i="3"/>
  <c r="H119" i="1" s="1"/>
  <c r="C128" i="10"/>
  <c r="F2" i="3"/>
  <c r="E32" i="3"/>
  <c r="O1481" i="4"/>
  <c r="N2452" i="4"/>
  <c r="O2452" i="4" s="1"/>
  <c r="N3322" i="4"/>
  <c r="O3322" i="4" s="1"/>
  <c r="N5158" i="4"/>
  <c r="O5158" i="4" s="1"/>
  <c r="N1426" i="4"/>
  <c r="O1426" i="4" s="1"/>
  <c r="N1449" i="4"/>
  <c r="O1449" i="4" s="1"/>
  <c r="N1458" i="4"/>
  <c r="O1458" i="4" s="1"/>
  <c r="N1467" i="4"/>
  <c r="O1467" i="4" s="1"/>
  <c r="N2484" i="4"/>
  <c r="O2484" i="4" s="1"/>
  <c r="N4386" i="4"/>
  <c r="O4386" i="4" s="1"/>
  <c r="N4499" i="4"/>
  <c r="O4499" i="4" s="1"/>
  <c r="N304" i="4"/>
  <c r="O304" i="4" s="1"/>
  <c r="N1606" i="4"/>
  <c r="O1606" i="4" s="1"/>
  <c r="N1424" i="4"/>
  <c r="O1424" i="4" s="1"/>
  <c r="N1445" i="4"/>
  <c r="O1445" i="4" s="1"/>
  <c r="N1454" i="4"/>
  <c r="O1454" i="4" s="1"/>
  <c r="N1463" i="4"/>
  <c r="O1463" i="4" s="1"/>
  <c r="B13" i="2"/>
  <c r="N3294" i="4"/>
  <c r="O3294" i="4" s="1"/>
  <c r="N319" i="4"/>
  <c r="O319" i="4" s="1"/>
  <c r="N1433" i="4"/>
  <c r="O1433" i="4" s="1"/>
  <c r="N1442" i="4"/>
  <c r="O1442" i="4" s="1"/>
  <c r="N1468" i="4"/>
  <c r="O1468" i="4" s="1"/>
  <c r="N4745" i="4"/>
  <c r="O4745" i="4" s="1"/>
  <c r="N1428" i="4"/>
  <c r="O1428" i="4" s="1"/>
  <c r="N1437" i="4"/>
  <c r="O1437" i="4" s="1"/>
  <c r="N1476" i="4"/>
  <c r="O1476" i="4" s="1"/>
  <c r="N4225" i="4"/>
  <c r="O4225" i="4" s="1"/>
  <c r="N2379" i="4"/>
  <c r="O2379" i="4" s="1"/>
  <c r="N2755" i="4"/>
  <c r="O2755" i="4" s="1"/>
  <c r="N1431" i="4"/>
  <c r="O1431" i="4" s="1"/>
  <c r="N1440" i="4"/>
  <c r="O1440" i="4" s="1"/>
  <c r="N2895" i="4"/>
  <c r="O2895" i="4" s="1"/>
  <c r="N3503" i="4"/>
  <c r="O3503" i="4" s="1"/>
  <c r="N3734" i="4"/>
  <c r="O3734" i="4" s="1"/>
  <c r="N250" i="4"/>
  <c r="O250" i="4" s="1"/>
  <c r="N1430" i="4"/>
  <c r="O1430" i="4" s="1"/>
  <c r="N1435" i="4"/>
  <c r="O1435" i="4" s="1"/>
  <c r="N1461" i="4"/>
  <c r="O1461" i="4" s="1"/>
  <c r="N1470" i="4"/>
  <c r="O1470" i="4" s="1"/>
  <c r="N3065" i="4"/>
  <c r="O3065" i="4" s="1"/>
  <c r="N1429" i="4"/>
  <c r="O1429" i="4" s="1"/>
  <c r="N1438" i="4"/>
  <c r="O1438" i="4" s="1"/>
  <c r="N1447" i="4"/>
  <c r="O1447" i="4" s="1"/>
  <c r="N1451" i="4"/>
  <c r="O1451" i="4" s="1"/>
  <c r="N1460" i="4"/>
  <c r="O1460" i="4" s="1"/>
  <c r="N1469" i="4"/>
  <c r="O1469" i="4" s="1"/>
  <c r="N1478" i="4"/>
  <c r="O1478" i="4" s="1"/>
  <c r="N20" i="4"/>
  <c r="O20" i="4" s="1"/>
  <c r="N24" i="4"/>
  <c r="O24" i="4" s="1"/>
  <c r="N147" i="4"/>
  <c r="O147" i="4" s="1"/>
  <c r="N256" i="4"/>
  <c r="O256" i="4" s="1"/>
  <c r="N292" i="4"/>
  <c r="O292" i="4" s="1"/>
  <c r="N298" i="4"/>
  <c r="O298" i="4" s="1"/>
  <c r="N382" i="4"/>
  <c r="O382" i="4" s="1"/>
  <c r="N1651" i="4"/>
  <c r="O1651" i="4" s="1"/>
  <c r="N1655" i="4"/>
  <c r="O1655" i="4" s="1"/>
  <c r="N1668" i="4"/>
  <c r="O1668" i="4" s="1"/>
  <c r="N1883" i="4"/>
  <c r="O1883" i="4" s="1"/>
  <c r="N1887" i="4"/>
  <c r="O1887" i="4" s="1"/>
  <c r="N1947" i="4"/>
  <c r="O1947" i="4" s="1"/>
  <c r="N1967" i="4"/>
  <c r="O1967" i="4" s="1"/>
  <c r="N2074" i="4"/>
  <c r="O2074" i="4" s="1"/>
  <c r="N2078" i="4"/>
  <c r="O2078" i="4" s="1"/>
  <c r="N2083" i="4"/>
  <c r="O2083" i="4" s="1"/>
  <c r="N2217" i="4"/>
  <c r="O2217" i="4" s="1"/>
  <c r="N2252" i="4"/>
  <c r="O2252" i="4" s="1"/>
  <c r="N2271" i="4"/>
  <c r="O2271" i="4" s="1"/>
  <c r="N2508" i="4"/>
  <c r="O2508" i="4" s="1"/>
  <c r="N2563" i="4"/>
  <c r="O2563" i="4" s="1"/>
  <c r="N2688" i="4"/>
  <c r="O2688" i="4" s="1"/>
  <c r="N2699" i="4"/>
  <c r="O2699" i="4" s="1"/>
  <c r="N2718" i="4"/>
  <c r="O2718" i="4" s="1"/>
  <c r="N2749" i="4"/>
  <c r="O2749" i="4" s="1"/>
  <c r="N2837" i="4"/>
  <c r="O2837" i="4" s="1"/>
  <c r="N2941" i="4"/>
  <c r="O2941" i="4" s="1"/>
  <c r="N2975" i="4"/>
  <c r="O2975" i="4" s="1"/>
  <c r="N3014" i="4"/>
  <c r="O3014" i="4" s="1"/>
  <c r="N3024" i="4"/>
  <c r="O3024" i="4" s="1"/>
  <c r="N3072" i="4"/>
  <c r="O3072" i="4" s="1"/>
  <c r="N3088" i="4"/>
  <c r="O3088" i="4" s="1"/>
  <c r="N3232" i="4"/>
  <c r="O3232" i="4" s="1"/>
  <c r="N3271" i="4"/>
  <c r="O3271" i="4" s="1"/>
  <c r="N3361" i="4"/>
  <c r="O3361" i="4" s="1"/>
  <c r="N3471" i="4"/>
  <c r="O3471" i="4" s="1"/>
  <c r="N3502" i="4"/>
  <c r="O3502" i="4" s="1"/>
  <c r="N3525" i="4"/>
  <c r="O3525" i="4" s="1"/>
  <c r="N3821" i="4"/>
  <c r="O3821" i="4" s="1"/>
  <c r="N3831" i="4"/>
  <c r="O3831" i="4" s="1"/>
  <c r="N3864" i="4"/>
  <c r="O3864" i="4" s="1"/>
  <c r="N3898" i="4"/>
  <c r="O3898" i="4" s="1"/>
  <c r="N3906" i="4"/>
  <c r="O3906" i="4" s="1"/>
  <c r="N4236" i="4"/>
  <c r="O4236" i="4" s="1"/>
  <c r="N4290" i="4"/>
  <c r="O4290" i="4" s="1"/>
  <c r="N4294" i="4"/>
  <c r="O4294" i="4" s="1"/>
  <c r="N4306" i="4"/>
  <c r="O4306" i="4" s="1"/>
  <c r="N4402" i="4"/>
  <c r="O4402" i="4" s="1"/>
  <c r="N4559" i="4"/>
  <c r="O4559" i="4" s="1"/>
  <c r="N4690" i="4"/>
  <c r="O4690" i="4" s="1"/>
  <c r="N4816" i="4"/>
  <c r="O4816" i="4" s="1"/>
  <c r="N4822" i="4"/>
  <c r="O4822" i="4" s="1"/>
  <c r="N5047" i="4"/>
  <c r="O5047" i="4" s="1"/>
  <c r="N5055" i="4"/>
  <c r="O5055" i="4" s="1"/>
  <c r="N5068" i="4"/>
  <c r="O5068" i="4" s="1"/>
  <c r="N5986" i="4"/>
  <c r="O5986" i="4" s="1"/>
  <c r="N106" i="4"/>
  <c r="O106" i="4" s="1"/>
  <c r="N1570" i="4"/>
  <c r="O1570" i="4" s="1"/>
  <c r="N1747" i="4"/>
  <c r="O1747" i="4" s="1"/>
  <c r="N1990" i="4"/>
  <c r="O1990" i="4" s="1"/>
  <c r="N2222" i="4"/>
  <c r="O2222" i="4" s="1"/>
  <c r="N2359" i="4"/>
  <c r="O2359" i="4" s="1"/>
  <c r="N2416" i="4"/>
  <c r="O2416" i="4" s="1"/>
  <c r="N2816" i="4"/>
  <c r="O2816" i="4" s="1"/>
  <c r="N3052" i="4"/>
  <c r="O3052" i="4" s="1"/>
  <c r="N3092" i="4"/>
  <c r="O3092" i="4" s="1"/>
  <c r="N3298" i="4"/>
  <c r="O3298" i="4" s="1"/>
  <c r="N3585" i="4"/>
  <c r="O3585" i="4" s="1"/>
  <c r="N3617" i="4"/>
  <c r="O3617" i="4" s="1"/>
  <c r="N3636" i="4"/>
  <c r="O3636" i="4" s="1"/>
  <c r="N3760" i="4"/>
  <c r="O3760" i="4" s="1"/>
  <c r="N3810" i="4"/>
  <c r="O3810" i="4" s="1"/>
  <c r="N3819" i="4"/>
  <c r="O3819" i="4" s="1"/>
  <c r="N3823" i="4"/>
  <c r="O3823" i="4" s="1"/>
  <c r="N3899" i="4"/>
  <c r="O3899" i="4" s="1"/>
  <c r="N3903" i="4"/>
  <c r="O3903" i="4" s="1"/>
  <c r="N3931" i="4"/>
  <c r="O3931" i="4" s="1"/>
  <c r="N3991" i="4"/>
  <c r="O3991" i="4" s="1"/>
  <c r="N3999" i="4"/>
  <c r="O3999" i="4" s="1"/>
  <c r="N4025" i="4"/>
  <c r="O4025" i="4" s="1"/>
  <c r="N4047" i="4"/>
  <c r="O4047" i="4" s="1"/>
  <c r="N4141" i="4"/>
  <c r="O4141" i="4" s="1"/>
  <c r="N4474" i="4"/>
  <c r="O4474" i="4" s="1"/>
  <c r="N4634" i="4"/>
  <c r="O4634" i="4" s="1"/>
  <c r="N4657" i="4"/>
  <c r="O4657" i="4" s="1"/>
  <c r="N4882" i="4"/>
  <c r="O4882" i="4" s="1"/>
  <c r="N4898" i="4"/>
  <c r="O4898" i="4" s="1"/>
  <c r="N5132" i="4"/>
  <c r="O5132" i="4" s="1"/>
  <c r="N5136" i="4"/>
  <c r="O5136" i="4" s="1"/>
  <c r="N300" i="4"/>
  <c r="O300" i="4" s="1"/>
  <c r="N1734" i="4"/>
  <c r="O1734" i="4" s="1"/>
  <c r="N1788" i="4"/>
  <c r="O1788" i="4" s="1"/>
  <c r="N1976" i="4"/>
  <c r="O1976" i="4" s="1"/>
  <c r="N2555" i="4"/>
  <c r="O2555" i="4" s="1"/>
  <c r="N3347" i="4"/>
  <c r="O3347" i="4" s="1"/>
  <c r="N3452" i="4"/>
  <c r="O3452" i="4" s="1"/>
  <c r="N3491" i="4"/>
  <c r="O3491" i="4" s="1"/>
  <c r="N3668" i="4"/>
  <c r="O3668" i="4" s="1"/>
  <c r="N4454" i="4"/>
  <c r="O4454" i="4" s="1"/>
  <c r="N1432" i="4"/>
  <c r="O1432" i="4" s="1"/>
  <c r="N1446" i="4"/>
  <c r="O1446" i="4" s="1"/>
  <c r="N1455" i="4"/>
  <c r="O1455" i="4" s="1"/>
  <c r="N1464" i="4"/>
  <c r="O1464" i="4" s="1"/>
  <c r="N1473" i="4"/>
  <c r="O1473" i="4" s="1"/>
  <c r="N1599" i="4"/>
  <c r="O1599" i="4" s="1"/>
  <c r="N1612" i="4"/>
  <c r="O1612" i="4" s="1"/>
  <c r="N1632" i="4"/>
  <c r="O1632" i="4" s="1"/>
  <c r="N1652" i="4"/>
  <c r="O1652" i="4" s="1"/>
  <c r="N1656" i="4"/>
  <c r="O1656" i="4" s="1"/>
  <c r="N1665" i="4"/>
  <c r="O1665" i="4" s="1"/>
  <c r="N1703" i="4"/>
  <c r="O1703" i="4" s="1"/>
  <c r="N1718" i="4"/>
  <c r="O1718" i="4" s="1"/>
  <c r="N1750" i="4"/>
  <c r="O1750" i="4" s="1"/>
  <c r="N1811" i="4"/>
  <c r="O1811" i="4" s="1"/>
  <c r="N1823" i="4"/>
  <c r="O1823" i="4" s="1"/>
  <c r="N1827" i="4"/>
  <c r="O1827" i="4" s="1"/>
  <c r="N1843" i="4"/>
  <c r="O1843" i="4" s="1"/>
  <c r="N1878" i="4"/>
  <c r="O1878" i="4" s="1"/>
  <c r="N1902" i="4"/>
  <c r="O1902" i="4" s="1"/>
  <c r="N1926" i="4"/>
  <c r="O1926" i="4" s="1"/>
  <c r="N1939" i="4"/>
  <c r="O1939" i="4" s="1"/>
  <c r="N1969" i="4"/>
  <c r="O1969" i="4" s="1"/>
  <c r="N1973" i="4"/>
  <c r="O1973" i="4" s="1"/>
  <c r="N1985" i="4"/>
  <c r="O1985" i="4" s="1"/>
  <c r="N2005" i="4"/>
  <c r="O2005" i="4" s="1"/>
  <c r="N2117" i="4"/>
  <c r="O2117" i="4" s="1"/>
  <c r="N2143" i="4"/>
  <c r="O2143" i="4" s="1"/>
  <c r="N2172" i="4"/>
  <c r="O2172" i="4" s="1"/>
  <c r="N2214" i="4"/>
  <c r="O2214" i="4" s="1"/>
  <c r="N2218" i="4"/>
  <c r="O2218" i="4" s="1"/>
  <c r="N2239" i="4"/>
  <c r="O2239" i="4" s="1"/>
  <c r="N2258" i="4"/>
  <c r="O2258" i="4" s="1"/>
  <c r="N2262" i="4"/>
  <c r="O2262" i="4" s="1"/>
  <c r="N2283" i="4"/>
  <c r="O2283" i="4" s="1"/>
  <c r="N2314" i="4"/>
  <c r="O2314" i="4" s="1"/>
  <c r="N2330" i="4"/>
  <c r="O2330" i="4" s="1"/>
  <c r="N2373" i="4"/>
  <c r="O2373" i="4" s="1"/>
  <c r="N2380" i="4"/>
  <c r="O2380" i="4" s="1"/>
  <c r="N2432" i="4"/>
  <c r="O2432" i="4" s="1"/>
  <c r="N2436" i="4"/>
  <c r="O2436" i="4" s="1"/>
  <c r="N2468" i="4"/>
  <c r="O2468" i="4" s="1"/>
  <c r="N2492" i="4"/>
  <c r="O2492" i="4" s="1"/>
  <c r="N2501" i="4"/>
  <c r="O2501" i="4" s="1"/>
  <c r="N2562" i="4"/>
  <c r="O2562" i="4" s="1"/>
  <c r="N2570" i="4"/>
  <c r="O2570" i="4" s="1"/>
  <c r="N2589" i="4"/>
  <c r="O2589" i="4" s="1"/>
  <c r="N2678" i="4"/>
  <c r="O2678" i="4" s="1"/>
  <c r="N2686" i="4"/>
  <c r="O2686" i="4" s="1"/>
  <c r="N2690" i="4"/>
  <c r="O2690" i="4" s="1"/>
  <c r="N2725" i="4"/>
  <c r="O2725" i="4" s="1"/>
  <c r="N2737" i="4"/>
  <c r="O2737" i="4" s="1"/>
  <c r="N2746" i="4"/>
  <c r="O2746" i="4" s="1"/>
  <c r="N2750" i="4"/>
  <c r="O2750" i="4" s="1"/>
  <c r="N2754" i="4"/>
  <c r="O2754" i="4" s="1"/>
  <c r="N2762" i="4"/>
  <c r="O2762" i="4" s="1"/>
  <c r="N2766" i="4"/>
  <c r="O2766" i="4" s="1"/>
  <c r="N2822" i="4"/>
  <c r="O2822" i="4" s="1"/>
  <c r="N2836" i="4"/>
  <c r="O2836" i="4" s="1"/>
  <c r="N2840" i="4"/>
  <c r="O2840" i="4" s="1"/>
  <c r="N2844" i="4"/>
  <c r="O2844" i="4" s="1"/>
  <c r="N2877" i="4"/>
  <c r="O2877" i="4" s="1"/>
  <c r="N2883" i="4"/>
  <c r="O2883" i="4" s="1"/>
  <c r="N2940" i="4"/>
  <c r="O2940" i="4" s="1"/>
  <c r="N2973" i="4"/>
  <c r="O2973" i="4" s="1"/>
  <c r="N2981" i="4"/>
  <c r="O2981" i="4" s="1"/>
  <c r="N2985" i="4"/>
  <c r="O2985" i="4" s="1"/>
  <c r="N2989" i="4"/>
  <c r="O2989" i="4" s="1"/>
  <c r="N3016" i="4"/>
  <c r="O3016" i="4" s="1"/>
  <c r="N3044" i="4"/>
  <c r="O3044" i="4" s="1"/>
  <c r="N3064" i="4"/>
  <c r="O3064" i="4" s="1"/>
  <c r="N3068" i="4"/>
  <c r="O3068" i="4" s="1"/>
  <c r="N3073" i="4"/>
  <c r="O3073" i="4" s="1"/>
  <c r="N3077" i="4"/>
  <c r="O3077" i="4" s="1"/>
  <c r="N3091" i="4"/>
  <c r="O3091" i="4" s="1"/>
  <c r="N3125" i="4"/>
  <c r="O3125" i="4" s="1"/>
  <c r="N3129" i="4"/>
  <c r="O3129" i="4" s="1"/>
  <c r="N3135" i="4"/>
  <c r="O3135" i="4" s="1"/>
  <c r="N3170" i="4"/>
  <c r="O3170" i="4" s="1"/>
  <c r="N3181" i="4"/>
  <c r="O3181" i="4" s="1"/>
  <c r="N3191" i="4"/>
  <c r="O3191" i="4" s="1"/>
  <c r="N3199" i="4"/>
  <c r="O3199" i="4" s="1"/>
  <c r="N3207" i="4"/>
  <c r="O3207" i="4" s="1"/>
  <c r="N3221" i="4"/>
  <c r="O3221" i="4" s="1"/>
  <c r="N3239" i="4"/>
  <c r="O3239" i="4" s="1"/>
  <c r="N3244" i="4"/>
  <c r="O3244" i="4" s="1"/>
  <c r="N3265" i="4"/>
  <c r="O3265" i="4" s="1"/>
  <c r="N3283" i="4"/>
  <c r="O3283" i="4" s="1"/>
  <c r="N3287" i="4"/>
  <c r="O3287" i="4" s="1"/>
  <c r="N3304" i="4"/>
  <c r="O3304" i="4" s="1"/>
  <c r="N3310" i="4"/>
  <c r="O3310" i="4" s="1"/>
  <c r="N3314" i="4"/>
  <c r="O3314" i="4" s="1"/>
  <c r="N3318" i="4"/>
  <c r="O3318" i="4" s="1"/>
  <c r="N3328" i="4"/>
  <c r="O3328" i="4" s="1"/>
  <c r="N3367" i="4"/>
  <c r="O3367" i="4" s="1"/>
  <c r="N3372" i="4"/>
  <c r="O3372" i="4" s="1"/>
  <c r="N3379" i="4"/>
  <c r="O3379" i="4" s="1"/>
  <c r="N3399" i="4"/>
  <c r="O3399" i="4" s="1"/>
  <c r="N3403" i="4"/>
  <c r="O3403" i="4" s="1"/>
  <c r="N3411" i="4"/>
  <c r="O3411" i="4" s="1"/>
  <c r="N3415" i="4"/>
  <c r="O3415" i="4" s="1"/>
  <c r="N3419" i="4"/>
  <c r="O3419" i="4" s="1"/>
  <c r="N3433" i="4"/>
  <c r="O3433" i="4" s="1"/>
  <c r="N3437" i="4"/>
  <c r="O3437" i="4" s="1"/>
  <c r="N3444" i="4"/>
  <c r="O3444" i="4" s="1"/>
  <c r="N3455" i="4"/>
  <c r="O3455" i="4" s="1"/>
  <c r="N3465" i="4"/>
  <c r="O3465" i="4" s="1"/>
  <c r="N3472" i="4"/>
  <c r="O3472" i="4" s="1"/>
  <c r="N3476" i="4"/>
  <c r="O3476" i="4" s="1"/>
  <c r="N3483" i="4"/>
  <c r="O3483" i="4" s="1"/>
  <c r="N3487" i="4"/>
  <c r="O3487" i="4" s="1"/>
  <c r="N3499" i="4"/>
  <c r="O3499" i="4" s="1"/>
  <c r="N3509" i="4"/>
  <c r="O3509" i="4" s="1"/>
  <c r="N3516" i="4"/>
  <c r="O3516" i="4" s="1"/>
  <c r="N3520" i="4"/>
  <c r="O3520" i="4" s="1"/>
  <c r="N3524" i="4"/>
  <c r="O3524" i="4" s="1"/>
  <c r="N3543" i="4"/>
  <c r="O3543" i="4" s="1"/>
  <c r="N3555" i="4"/>
  <c r="O3555" i="4" s="1"/>
  <c r="N3576" i="4"/>
  <c r="O3576" i="4" s="1"/>
  <c r="N3584" i="4"/>
  <c r="O3584" i="4" s="1"/>
  <c r="N3595" i="4"/>
  <c r="O3595" i="4" s="1"/>
  <c r="N3600" i="4"/>
  <c r="O3600" i="4" s="1"/>
  <c r="N3621" i="4"/>
  <c r="O3621" i="4" s="1"/>
  <c r="N3629" i="4"/>
  <c r="O3629" i="4" s="1"/>
  <c r="N3670" i="4"/>
  <c r="O3670" i="4" s="1"/>
  <c r="N3703" i="4"/>
  <c r="O3703" i="4" s="1"/>
  <c r="N3712" i="4"/>
  <c r="O3712" i="4" s="1"/>
  <c r="N3716" i="4"/>
  <c r="O3716" i="4" s="1"/>
  <c r="N3731" i="4"/>
  <c r="O3731" i="4" s="1"/>
  <c r="N3735" i="4"/>
  <c r="O3735" i="4" s="1"/>
  <c r="N3747" i="4"/>
  <c r="O3747" i="4" s="1"/>
  <c r="N3751" i="4"/>
  <c r="O3751" i="4" s="1"/>
  <c r="N3755" i="4"/>
  <c r="O3755" i="4" s="1"/>
  <c r="N3759" i="4"/>
  <c r="O3759" i="4" s="1"/>
  <c r="N3764" i="4"/>
  <c r="O3764" i="4" s="1"/>
  <c r="N3775" i="4"/>
  <c r="O3775" i="4" s="1"/>
  <c r="N3780" i="4"/>
  <c r="O3780" i="4" s="1"/>
  <c r="N3788" i="4"/>
  <c r="O3788" i="4" s="1"/>
  <c r="N3792" i="4"/>
  <c r="O3792" i="4" s="1"/>
  <c r="N3798" i="4"/>
  <c r="O3798" i="4" s="1"/>
  <c r="N3806" i="4"/>
  <c r="O3806" i="4" s="1"/>
  <c r="N3829" i="4"/>
  <c r="O3829" i="4" s="1"/>
  <c r="N3834" i="4"/>
  <c r="O3834" i="4" s="1"/>
  <c r="N3838" i="4"/>
  <c r="O3838" i="4" s="1"/>
  <c r="N3848" i="4"/>
  <c r="O3848" i="4" s="1"/>
  <c r="N3865" i="4"/>
  <c r="O3865" i="4" s="1"/>
  <c r="N3875" i="4"/>
  <c r="O3875" i="4" s="1"/>
  <c r="N3882" i="4"/>
  <c r="O3882" i="4" s="1"/>
  <c r="N3913" i="4"/>
  <c r="O3913" i="4" s="1"/>
  <c r="N3968" i="4"/>
  <c r="O3968" i="4" s="1"/>
  <c r="N3972" i="4"/>
  <c r="O3972" i="4" s="1"/>
  <c r="N3992" i="4"/>
  <c r="O3992" i="4" s="1"/>
  <c r="N3997" i="4"/>
  <c r="O3997" i="4" s="1"/>
  <c r="N4009" i="4"/>
  <c r="O4009" i="4" s="1"/>
  <c r="N4013" i="4"/>
  <c r="O4013" i="4" s="1"/>
  <c r="N4017" i="4"/>
  <c r="O4017" i="4" s="1"/>
  <c r="N4034" i="4"/>
  <c r="O4034" i="4" s="1"/>
  <c r="N4049" i="4"/>
  <c r="O4049" i="4" s="1"/>
  <c r="N4074" i="4"/>
  <c r="O4074" i="4" s="1"/>
  <c r="N4080" i="4"/>
  <c r="O4080" i="4" s="1"/>
  <c r="N4113" i="4"/>
  <c r="O4113" i="4" s="1"/>
  <c r="N4117" i="4"/>
  <c r="O4117" i="4" s="1"/>
  <c r="N4142" i="4"/>
  <c r="O4142" i="4" s="1"/>
  <c r="N4175" i="4"/>
  <c r="O4175" i="4" s="1"/>
  <c r="N4188" i="4"/>
  <c r="O4188" i="4" s="1"/>
  <c r="N4198" i="4"/>
  <c r="O4198" i="4" s="1"/>
  <c r="N4215" i="4"/>
  <c r="O4215" i="4" s="1"/>
  <c r="N4248" i="4"/>
  <c r="O4248" i="4" s="1"/>
  <c r="N4252" i="4"/>
  <c r="O4252" i="4" s="1"/>
  <c r="N4261" i="4"/>
  <c r="O4261" i="4" s="1"/>
  <c r="N4265" i="4"/>
  <c r="O4265" i="4" s="1"/>
  <c r="N4269" i="4"/>
  <c r="O4269" i="4" s="1"/>
  <c r="N4273" i="4"/>
  <c r="O4273" i="4" s="1"/>
  <c r="N4285" i="4"/>
  <c r="O4285" i="4" s="1"/>
  <c r="N4298" i="4"/>
  <c r="O4298" i="4" s="1"/>
  <c r="N4320" i="4"/>
  <c r="O4320" i="4" s="1"/>
  <c r="N4332" i="4"/>
  <c r="O4332" i="4" s="1"/>
  <c r="N4336" i="4"/>
  <c r="O4336" i="4" s="1"/>
  <c r="N4340" i="4"/>
  <c r="O4340" i="4" s="1"/>
  <c r="N4345" i="4"/>
  <c r="O4345" i="4" s="1"/>
  <c r="N4354" i="4"/>
  <c r="O4354" i="4" s="1"/>
  <c r="N4368" i="4"/>
  <c r="O4368" i="4" s="1"/>
  <c r="N4374" i="4"/>
  <c r="O4374" i="4" s="1"/>
  <c r="N4382" i="4"/>
  <c r="O4382" i="4" s="1"/>
  <c r="N4395" i="4"/>
  <c r="O4395" i="4" s="1"/>
  <c r="N4407" i="4"/>
  <c r="O4407" i="4" s="1"/>
  <c r="N4420" i="4"/>
  <c r="O4420" i="4" s="1"/>
  <c r="N4433" i="4"/>
  <c r="O4433" i="4" s="1"/>
  <c r="N4439" i="4"/>
  <c r="O4439" i="4" s="1"/>
  <c r="N4443" i="4"/>
  <c r="O4443" i="4" s="1"/>
  <c r="N4463" i="4"/>
  <c r="O4463" i="4" s="1"/>
  <c r="N4467" i="4"/>
  <c r="O4467" i="4" s="1"/>
  <c r="N4522" i="4"/>
  <c r="O4522" i="4" s="1"/>
  <c r="N4534" i="4"/>
  <c r="O4534" i="4" s="1"/>
  <c r="N4567" i="4"/>
  <c r="O4567" i="4" s="1"/>
  <c r="N4571" i="4"/>
  <c r="O4571" i="4" s="1"/>
  <c r="N4575" i="4"/>
  <c r="O4575" i="4" s="1"/>
  <c r="N4594" i="4"/>
  <c r="O4594" i="4" s="1"/>
  <c r="N4610" i="4"/>
  <c r="O4610" i="4" s="1"/>
  <c r="N4616" i="4"/>
  <c r="O4616" i="4" s="1"/>
  <c r="N4623" i="4"/>
  <c r="O4623" i="4" s="1"/>
  <c r="N4627" i="4"/>
  <c r="O4627" i="4" s="1"/>
  <c r="N4632" i="4"/>
  <c r="O4632" i="4" s="1"/>
  <c r="N4638" i="4"/>
  <c r="O4638" i="4" s="1"/>
  <c r="N4642" i="4"/>
  <c r="O4642" i="4" s="1"/>
  <c r="N4646" i="4"/>
  <c r="O4646" i="4" s="1"/>
  <c r="N4654" i="4"/>
  <c r="O4654" i="4" s="1"/>
  <c r="N4665" i="4"/>
  <c r="O4665" i="4" s="1"/>
  <c r="N4678" i="4"/>
  <c r="O4678" i="4" s="1"/>
  <c r="N4682" i="4"/>
  <c r="O4682" i="4" s="1"/>
  <c r="N4687" i="4"/>
  <c r="O4687" i="4" s="1"/>
  <c r="N4708" i="4"/>
  <c r="O4708" i="4" s="1"/>
  <c r="N4714" i="4"/>
  <c r="O4714" i="4" s="1"/>
  <c r="N4723" i="4"/>
  <c r="O4723" i="4" s="1"/>
  <c r="N4731" i="4"/>
  <c r="O4731" i="4" s="1"/>
  <c r="N4737" i="4"/>
  <c r="O4737" i="4" s="1"/>
  <c r="N4741" i="4"/>
  <c r="O4741" i="4" s="1"/>
  <c r="N4749" i="4"/>
  <c r="O4749" i="4" s="1"/>
  <c r="N4753" i="4"/>
  <c r="O4753" i="4" s="1"/>
  <c r="N4767" i="4"/>
  <c r="O4767" i="4" s="1"/>
  <c r="N4781" i="4"/>
  <c r="O4781" i="4" s="1"/>
  <c r="N4804" i="4"/>
  <c r="O4804" i="4" s="1"/>
  <c r="N4809" i="4"/>
  <c r="O4809" i="4" s="1"/>
  <c r="N4813" i="4"/>
  <c r="O4813" i="4" s="1"/>
  <c r="N4821" i="4"/>
  <c r="O4821" i="4" s="1"/>
  <c r="N4838" i="4"/>
  <c r="O4838" i="4" s="1"/>
  <c r="N4847" i="4"/>
  <c r="O4847" i="4" s="1"/>
  <c r="N4864" i="4"/>
  <c r="O4864" i="4" s="1"/>
  <c r="N4873" i="4"/>
  <c r="O4873" i="4" s="1"/>
  <c r="N4889" i="4"/>
  <c r="O4889" i="4" s="1"/>
  <c r="N4901" i="4"/>
  <c r="O4901" i="4" s="1"/>
  <c r="N4907" i="4"/>
  <c r="O4907" i="4" s="1"/>
  <c r="N4921" i="4"/>
  <c r="O4921" i="4" s="1"/>
  <c r="N4926" i="4"/>
  <c r="O4926" i="4" s="1"/>
  <c r="N4938" i="4"/>
  <c r="O4938" i="4" s="1"/>
  <c r="N4951" i="4"/>
  <c r="O4951" i="4" s="1"/>
  <c r="N4977" i="4"/>
  <c r="O4977" i="4" s="1"/>
  <c r="N4982" i="4"/>
  <c r="O4982" i="4" s="1"/>
  <c r="N4987" i="4"/>
  <c r="O4987" i="4" s="1"/>
  <c r="N4999" i="4"/>
  <c r="O4999" i="4" s="1"/>
  <c r="N5003" i="4"/>
  <c r="O5003" i="4" s="1"/>
  <c r="N5007" i="4"/>
  <c r="O5007" i="4" s="1"/>
  <c r="N5019" i="4"/>
  <c r="O5019" i="4" s="1"/>
  <c r="N5035" i="4"/>
  <c r="O5035" i="4" s="1"/>
  <c r="N5039" i="4"/>
  <c r="O5039" i="4" s="1"/>
  <c r="N5046" i="4"/>
  <c r="O5046" i="4" s="1"/>
  <c r="N5081" i="4"/>
  <c r="O5081" i="4" s="1"/>
  <c r="N5093" i="4"/>
  <c r="O5093" i="4" s="1"/>
  <c r="N5106" i="4"/>
  <c r="O5106" i="4" s="1"/>
  <c r="N5152" i="4"/>
  <c r="O5152" i="4" s="1"/>
  <c r="N5161" i="4"/>
  <c r="O5161" i="4" s="1"/>
  <c r="N5165" i="4"/>
  <c r="O5165" i="4" s="1"/>
  <c r="N5168" i="4"/>
  <c r="O5168" i="4" s="1"/>
  <c r="N5172" i="4"/>
  <c r="O5172" i="4" s="1"/>
  <c r="N5176" i="4"/>
  <c r="O5176" i="4" s="1"/>
  <c r="N5189" i="4"/>
  <c r="O5189" i="4" s="1"/>
  <c r="N5828" i="4"/>
  <c r="O5828" i="4" s="1"/>
  <c r="N5851" i="4"/>
  <c r="O5851" i="4" s="1"/>
  <c r="N5856" i="4"/>
  <c r="O5856" i="4" s="1"/>
  <c r="N5861" i="4"/>
  <c r="O5861" i="4" s="1"/>
  <c r="N5876" i="4"/>
  <c r="O5876" i="4" s="1"/>
  <c r="N5892" i="4"/>
  <c r="O5892" i="4" s="1"/>
  <c r="N5921" i="4"/>
  <c r="O5921" i="4" s="1"/>
  <c r="N5930" i="4"/>
  <c r="O5930" i="4" s="1"/>
  <c r="N5936" i="4"/>
  <c r="O5936" i="4" s="1"/>
  <c r="N5965" i="4"/>
  <c r="O5965" i="4" s="1"/>
  <c r="N5973" i="4"/>
  <c r="O5973" i="4" s="1"/>
  <c r="N5987" i="4"/>
  <c r="O5987" i="4" s="1"/>
  <c r="N4" i="4"/>
  <c r="N19" i="4"/>
  <c r="O19" i="4" s="1"/>
  <c r="N23" i="4"/>
  <c r="O23" i="4" s="1"/>
  <c r="N55" i="4"/>
  <c r="O55" i="4" s="1"/>
  <c r="N78" i="4"/>
  <c r="O78" i="4" s="1"/>
  <c r="N99" i="4"/>
  <c r="O99" i="4" s="1"/>
  <c r="N109" i="4"/>
  <c r="O109" i="4" s="1"/>
  <c r="N132" i="4"/>
  <c r="O132" i="4" s="1"/>
  <c r="N149" i="4"/>
  <c r="O149" i="4" s="1"/>
  <c r="N158" i="4"/>
  <c r="O158" i="4" s="1"/>
  <c r="N167" i="4"/>
  <c r="O167" i="4" s="1"/>
  <c r="N198" i="4"/>
  <c r="O198" i="4" s="1"/>
  <c r="N216" i="4"/>
  <c r="O216" i="4" s="1"/>
  <c r="N223" i="4"/>
  <c r="O223" i="4" s="1"/>
  <c r="N230" i="4"/>
  <c r="O230" i="4" s="1"/>
  <c r="N243" i="4"/>
  <c r="O243" i="4" s="1"/>
  <c r="N273" i="4"/>
  <c r="O273" i="4" s="1"/>
  <c r="N287" i="4"/>
  <c r="O287" i="4" s="1"/>
  <c r="N309" i="4"/>
  <c r="O309" i="4" s="1"/>
  <c r="N315" i="4"/>
  <c r="O315" i="4" s="1"/>
  <c r="N321" i="4"/>
  <c r="O321" i="4" s="1"/>
  <c r="N376" i="4"/>
  <c r="O376" i="4" s="1"/>
  <c r="N398" i="4"/>
  <c r="O398" i="4" s="1"/>
  <c r="N416" i="4"/>
  <c r="O416" i="4" s="1"/>
  <c r="N431" i="4"/>
  <c r="O431" i="4" s="1"/>
  <c r="N435" i="4"/>
  <c r="O435" i="4" s="1"/>
  <c r="N1504" i="4"/>
  <c r="O1504" i="4" s="1"/>
  <c r="N1508" i="4"/>
  <c r="O1508" i="4" s="1"/>
  <c r="N1537" i="4"/>
  <c r="O1537" i="4" s="1"/>
  <c r="N1555" i="4"/>
  <c r="O1555" i="4" s="1"/>
  <c r="N1579" i="4"/>
  <c r="O1579" i="4" s="1"/>
  <c r="N1643" i="4"/>
  <c r="O1643" i="4" s="1"/>
  <c r="N1657" i="4"/>
  <c r="O1657" i="4" s="1"/>
  <c r="N1663" i="4"/>
  <c r="O1663" i="4" s="1"/>
  <c r="N1689" i="4"/>
  <c r="O1689" i="4" s="1"/>
  <c r="N1693" i="4"/>
  <c r="O1693" i="4" s="1"/>
  <c r="N1722" i="4"/>
  <c r="O1722" i="4" s="1"/>
  <c r="N1744" i="4"/>
  <c r="O1744" i="4" s="1"/>
  <c r="N1748" i="4"/>
  <c r="O1748" i="4" s="1"/>
  <c r="N1771" i="4"/>
  <c r="O1771" i="4" s="1"/>
  <c r="N1787" i="4"/>
  <c r="O1787" i="4" s="1"/>
  <c r="N1808" i="4"/>
  <c r="O1808" i="4" s="1"/>
  <c r="N1839" i="4"/>
  <c r="O1839" i="4" s="1"/>
  <c r="N1845" i="4"/>
  <c r="O1845" i="4" s="1"/>
  <c r="N1882" i="4"/>
  <c r="O1882" i="4" s="1"/>
  <c r="N1921" i="4"/>
  <c r="O1921" i="4" s="1"/>
  <c r="N1938" i="4"/>
  <c r="O1938" i="4" s="1"/>
  <c r="N1942" i="4"/>
  <c r="O1942" i="4" s="1"/>
  <c r="N1961" i="4"/>
  <c r="O1961" i="4" s="1"/>
  <c r="N1965" i="4"/>
  <c r="O1965" i="4" s="1"/>
  <c r="N1971" i="4"/>
  <c r="O1971" i="4" s="1"/>
  <c r="N2030" i="4"/>
  <c r="O2030" i="4" s="1"/>
  <c r="N2040" i="4"/>
  <c r="O2040" i="4" s="1"/>
  <c r="N2052" i="4"/>
  <c r="O2052" i="4" s="1"/>
  <c r="N2056" i="4"/>
  <c r="O2056" i="4" s="1"/>
  <c r="N2109" i="4"/>
  <c r="O2109" i="4" s="1"/>
  <c r="N2144" i="4"/>
  <c r="O2144" i="4" s="1"/>
  <c r="N2148" i="4"/>
  <c r="O2148" i="4" s="1"/>
  <c r="N2155" i="4"/>
  <c r="O2155" i="4" s="1"/>
  <c r="N2180" i="4"/>
  <c r="O2180" i="4" s="1"/>
  <c r="N2215" i="4"/>
  <c r="O2215" i="4" s="1"/>
  <c r="N2224" i="4"/>
  <c r="O2224" i="4" s="1"/>
  <c r="N2285" i="4"/>
  <c r="O2285" i="4" s="1"/>
  <c r="N2325" i="4"/>
  <c r="O2325" i="4" s="1"/>
  <c r="N2331" i="4"/>
  <c r="O2331" i="4" s="1"/>
  <c r="N2385" i="4"/>
  <c r="O2385" i="4" s="1"/>
  <c r="N2409" i="4"/>
  <c r="O2409" i="4" s="1"/>
  <c r="N2430" i="4"/>
  <c r="O2430" i="4" s="1"/>
  <c r="N2449" i="4"/>
  <c r="O2449" i="4" s="1"/>
  <c r="N2453" i="4"/>
  <c r="O2453" i="4" s="1"/>
  <c r="N2480" i="4"/>
  <c r="O2480" i="4" s="1"/>
  <c r="N2489" i="4"/>
  <c r="O2489" i="4" s="1"/>
  <c r="N2537" i="4"/>
  <c r="O2537" i="4" s="1"/>
  <c r="N2541" i="4"/>
  <c r="O2541" i="4" s="1"/>
  <c r="N2547" i="4"/>
  <c r="O2547" i="4" s="1"/>
  <c r="N2629" i="4"/>
  <c r="O2629" i="4" s="1"/>
  <c r="N2665" i="4"/>
  <c r="O2665" i="4" s="1"/>
  <c r="N2669" i="4"/>
  <c r="O2669" i="4" s="1"/>
  <c r="N2677" i="4"/>
  <c r="O2677" i="4" s="1"/>
  <c r="N2681" i="4"/>
  <c r="O2681" i="4" s="1"/>
  <c r="N2714" i="4"/>
  <c r="O2714" i="4" s="1"/>
  <c r="N2743" i="4"/>
  <c r="O2743" i="4" s="1"/>
  <c r="N2747" i="4"/>
  <c r="O2747" i="4" s="1"/>
  <c r="N2752" i="4"/>
  <c r="O2752" i="4" s="1"/>
  <c r="N2772" i="4"/>
  <c r="O2772" i="4" s="1"/>
  <c r="N2782" i="4"/>
  <c r="O2782" i="4" s="1"/>
  <c r="N2786" i="4"/>
  <c r="O2786" i="4" s="1"/>
  <c r="N2798" i="4"/>
  <c r="O2798" i="4" s="1"/>
  <c r="N2811" i="4"/>
  <c r="O2811" i="4" s="1"/>
  <c r="N2815" i="4"/>
  <c r="O2815" i="4" s="1"/>
  <c r="N2823" i="4"/>
  <c r="O2823" i="4" s="1"/>
  <c r="N2857" i="4"/>
  <c r="O2857" i="4" s="1"/>
  <c r="N2863" i="4"/>
  <c r="O2863" i="4" s="1"/>
  <c r="N2875" i="4"/>
  <c r="O2875" i="4" s="1"/>
  <c r="N2900" i="4"/>
  <c r="O2900" i="4" s="1"/>
  <c r="N2904" i="4"/>
  <c r="O2904" i="4" s="1"/>
  <c r="N2912" i="4"/>
  <c r="O2912" i="4" s="1"/>
  <c r="N2951" i="4"/>
  <c r="O2951" i="4" s="1"/>
  <c r="N2955" i="4"/>
  <c r="O2955" i="4" s="1"/>
  <c r="N2994" i="4"/>
  <c r="O2994" i="4" s="1"/>
  <c r="N3027" i="4"/>
  <c r="O3027" i="4" s="1"/>
  <c r="N3066" i="4"/>
  <c r="O3066" i="4" s="1"/>
  <c r="N3078" i="4"/>
  <c r="O3078" i="4" s="1"/>
  <c r="N3098" i="4"/>
  <c r="O3098" i="4" s="1"/>
  <c r="N3148" i="4"/>
  <c r="O3148" i="4" s="1"/>
  <c r="N3166" i="4"/>
  <c r="O3166" i="4" s="1"/>
  <c r="N3171" i="4"/>
  <c r="O3171" i="4" s="1"/>
  <c r="N3176" i="4"/>
  <c r="O3176" i="4" s="1"/>
  <c r="N3190" i="4"/>
  <c r="O3190" i="4" s="1"/>
  <c r="N3194" i="4"/>
  <c r="O3194" i="4" s="1"/>
  <c r="N3198" i="4"/>
  <c r="O3198" i="4" s="1"/>
  <c r="N3228" i="4"/>
  <c r="O3228" i="4" s="1"/>
  <c r="N3233" i="4"/>
  <c r="O3233" i="4" s="1"/>
  <c r="N3275" i="4"/>
  <c r="O3275" i="4" s="1"/>
  <c r="N3295" i="4"/>
  <c r="O3295" i="4" s="1"/>
  <c r="N3313" i="4"/>
  <c r="O3313" i="4" s="1"/>
  <c r="N3317" i="4"/>
  <c r="O3317" i="4" s="1"/>
  <c r="N3321" i="4"/>
  <c r="O3321" i="4" s="1"/>
  <c r="N3337" i="4"/>
  <c r="O3337" i="4" s="1"/>
  <c r="N3364" i="4"/>
  <c r="O3364" i="4" s="1"/>
  <c r="N3378" i="4"/>
  <c r="O3378" i="4" s="1"/>
  <c r="N3383" i="4"/>
  <c r="O3383" i="4" s="1"/>
  <c r="N3400" i="4"/>
  <c r="O3400" i="4" s="1"/>
  <c r="N3404" i="4"/>
  <c r="O3404" i="4" s="1"/>
  <c r="N3422" i="4"/>
  <c r="O3422" i="4" s="1"/>
  <c r="N3438" i="4"/>
  <c r="O3438" i="4" s="1"/>
  <c r="N3442" i="4"/>
  <c r="O3442" i="4" s="1"/>
  <c r="N3450" i="4"/>
  <c r="O3450" i="4" s="1"/>
  <c r="N3454" i="4"/>
  <c r="O3454" i="4" s="1"/>
  <c r="N3464" i="4"/>
  <c r="O3464" i="4" s="1"/>
  <c r="N3497" i="4"/>
  <c r="O3497" i="4" s="1"/>
  <c r="N3506" i="4"/>
  <c r="O3506" i="4" s="1"/>
  <c r="N3522" i="4"/>
  <c r="O3522" i="4" s="1"/>
  <c r="N3526" i="4"/>
  <c r="O3526" i="4" s="1"/>
  <c r="N3530" i="4"/>
  <c r="O3530" i="4" s="1"/>
  <c r="N3536" i="4"/>
  <c r="O3536" i="4" s="1"/>
  <c r="N3540" i="4"/>
  <c r="O3540" i="4" s="1"/>
  <c r="N3548" i="4"/>
  <c r="O3548" i="4" s="1"/>
  <c r="N3552" i="4"/>
  <c r="O3552" i="4" s="1"/>
  <c r="N3558" i="4"/>
  <c r="O3558" i="4" s="1"/>
  <c r="N3564" i="4"/>
  <c r="O3564" i="4" s="1"/>
  <c r="N3573" i="4"/>
  <c r="O3573" i="4" s="1"/>
  <c r="N3586" i="4"/>
  <c r="O3586" i="4" s="1"/>
  <c r="N3598" i="4"/>
  <c r="O3598" i="4" s="1"/>
  <c r="N3602" i="4"/>
  <c r="O3602" i="4" s="1"/>
  <c r="N3614" i="4"/>
  <c r="O3614" i="4" s="1"/>
  <c r="N3618" i="4"/>
  <c r="O3618" i="4" s="1"/>
  <c r="N3656" i="4"/>
  <c r="O3656" i="4" s="1"/>
  <c r="N3665" i="4"/>
  <c r="O3665" i="4" s="1"/>
  <c r="N3710" i="4"/>
  <c r="O3710" i="4" s="1"/>
  <c r="N3736" i="4"/>
  <c r="O3736" i="4" s="1"/>
  <c r="N3741" i="4"/>
  <c r="O3741" i="4" s="1"/>
  <c r="N3745" i="4"/>
  <c r="O3745" i="4" s="1"/>
  <c r="N3756" i="4"/>
  <c r="O3756" i="4" s="1"/>
  <c r="N3786" i="4"/>
  <c r="O3786" i="4" s="1"/>
  <c r="N3791" i="4"/>
  <c r="O3791" i="4" s="1"/>
  <c r="N3833" i="4"/>
  <c r="O3833" i="4" s="1"/>
  <c r="N3837" i="4"/>
  <c r="O3837" i="4" s="1"/>
  <c r="N3841" i="4"/>
  <c r="O3841" i="4" s="1"/>
  <c r="N3854" i="4"/>
  <c r="O3854" i="4" s="1"/>
  <c r="N3858" i="4"/>
  <c r="O3858" i="4" s="1"/>
  <c r="N3862" i="4"/>
  <c r="O3862" i="4" s="1"/>
  <c r="N3874" i="4"/>
  <c r="O3874" i="4" s="1"/>
  <c r="N3884" i="4"/>
  <c r="O3884" i="4" s="1"/>
  <c r="N3895" i="4"/>
  <c r="O3895" i="4" s="1"/>
  <c r="N3910" i="4"/>
  <c r="O3910" i="4" s="1"/>
  <c r="N3949" i="4"/>
  <c r="O3949" i="4" s="1"/>
  <c r="N3998" i="4"/>
  <c r="O3998" i="4" s="1"/>
  <c r="N4002" i="4"/>
  <c r="O4002" i="4" s="1"/>
  <c r="N4011" i="4"/>
  <c r="O4011" i="4" s="1"/>
  <c r="N4016" i="4"/>
  <c r="O4016" i="4" s="1"/>
  <c r="N4020" i="4"/>
  <c r="O4020" i="4" s="1"/>
  <c r="N4027" i="4"/>
  <c r="O4027" i="4" s="1"/>
  <c r="N4031" i="4"/>
  <c r="O4031" i="4" s="1"/>
  <c r="N4035" i="4"/>
  <c r="O4035" i="4" s="1"/>
  <c r="N4043" i="4"/>
  <c r="O4043" i="4" s="1"/>
  <c r="N4063" i="4"/>
  <c r="O4063" i="4" s="1"/>
  <c r="N4073" i="4"/>
  <c r="O4073" i="4" s="1"/>
  <c r="N4086" i="4"/>
  <c r="O4086" i="4" s="1"/>
  <c r="N4103" i="4"/>
  <c r="O4103" i="4" s="1"/>
  <c r="N4110" i="4"/>
  <c r="O4110" i="4" s="1"/>
  <c r="N4132" i="4"/>
  <c r="O4132" i="4" s="1"/>
  <c r="N4146" i="4"/>
  <c r="O4146" i="4" s="1"/>
  <c r="N4150" i="4"/>
  <c r="O4150" i="4" s="1"/>
  <c r="N4154" i="4"/>
  <c r="O4154" i="4" s="1"/>
  <c r="N4179" i="4"/>
  <c r="O4179" i="4" s="1"/>
  <c r="N4195" i="4"/>
  <c r="O4195" i="4" s="1"/>
  <c r="N4219" i="4"/>
  <c r="O4219" i="4" s="1"/>
  <c r="N4233" i="4"/>
  <c r="O4233" i="4" s="1"/>
  <c r="N4237" i="4"/>
  <c r="O4237" i="4" s="1"/>
  <c r="N4242" i="4"/>
  <c r="O4242" i="4" s="1"/>
  <c r="N4259" i="4"/>
  <c r="O4259" i="4" s="1"/>
  <c r="N4263" i="4"/>
  <c r="O4263" i="4" s="1"/>
  <c r="N4281" i="4"/>
  <c r="O4281" i="4" s="1"/>
  <c r="N4300" i="4"/>
  <c r="O4300" i="4" s="1"/>
  <c r="N4331" i="4"/>
  <c r="O4331" i="4" s="1"/>
  <c r="N4337" i="4"/>
  <c r="O4337" i="4" s="1"/>
  <c r="N4349" i="4"/>
  <c r="O4349" i="4" s="1"/>
  <c r="N4353" i="4"/>
  <c r="O4353" i="4" s="1"/>
  <c r="N4357" i="4"/>
  <c r="O4357" i="4" s="1"/>
  <c r="N4373" i="4"/>
  <c r="O4373" i="4" s="1"/>
  <c r="N4383" i="4"/>
  <c r="O4383" i="4" s="1"/>
  <c r="N4397" i="4"/>
  <c r="O4397" i="4" s="1"/>
  <c r="N4417" i="4"/>
  <c r="O4417" i="4" s="1"/>
  <c r="N4425" i="4"/>
  <c r="O4425" i="4" s="1"/>
  <c r="N4431" i="4"/>
  <c r="O4431" i="4" s="1"/>
  <c r="N4488" i="4"/>
  <c r="O4488" i="4" s="1"/>
  <c r="N4500" i="4"/>
  <c r="O4500" i="4" s="1"/>
  <c r="N4514" i="4"/>
  <c r="O4514" i="4" s="1"/>
  <c r="N4524" i="4"/>
  <c r="O4524" i="4" s="1"/>
  <c r="N4533" i="4"/>
  <c r="O4533" i="4" s="1"/>
  <c r="N4566" i="4"/>
  <c r="O4566" i="4" s="1"/>
  <c r="N4570" i="4"/>
  <c r="O4570" i="4" s="1"/>
  <c r="N4599" i="4"/>
  <c r="O4599" i="4" s="1"/>
  <c r="N4611" i="4"/>
  <c r="O4611" i="4" s="1"/>
  <c r="N4621" i="4"/>
  <c r="O4621" i="4" s="1"/>
  <c r="N4625" i="4"/>
  <c r="O4625" i="4" s="1"/>
  <c r="N4648" i="4"/>
  <c r="O4648" i="4" s="1"/>
  <c r="N4672" i="4"/>
  <c r="O4672" i="4" s="1"/>
  <c r="N4676" i="4"/>
  <c r="O4676" i="4" s="1"/>
  <c r="N4699" i="4"/>
  <c r="O4699" i="4" s="1"/>
  <c r="N4707" i="4"/>
  <c r="O4707" i="4" s="1"/>
  <c r="N4711" i="4"/>
  <c r="O4711" i="4" s="1"/>
  <c r="N4733" i="4"/>
  <c r="O4733" i="4" s="1"/>
  <c r="N4755" i="4"/>
  <c r="O4755" i="4" s="1"/>
  <c r="N4759" i="4"/>
  <c r="O4759" i="4" s="1"/>
  <c r="N4780" i="4"/>
  <c r="O4780" i="4" s="1"/>
  <c r="N4797" i="4"/>
  <c r="O4797" i="4" s="1"/>
  <c r="N4812" i="4"/>
  <c r="O4812" i="4" s="1"/>
  <c r="N4852" i="4"/>
  <c r="O4852" i="4" s="1"/>
  <c r="N4861" i="4"/>
  <c r="O4861" i="4" s="1"/>
  <c r="N4868" i="4"/>
  <c r="O4868" i="4" s="1"/>
  <c r="N4872" i="4"/>
  <c r="O4872" i="4" s="1"/>
  <c r="N4880" i="4"/>
  <c r="O4880" i="4" s="1"/>
  <c r="N4900" i="4"/>
  <c r="O4900" i="4" s="1"/>
  <c r="N4904" i="4"/>
  <c r="O4904" i="4" s="1"/>
  <c r="N4919" i="4"/>
  <c r="O4919" i="4" s="1"/>
  <c r="N4934" i="4"/>
  <c r="O4934" i="4" s="1"/>
  <c r="N4954" i="4"/>
  <c r="O4954" i="4" s="1"/>
  <c r="N4961" i="4"/>
  <c r="O4961" i="4" s="1"/>
  <c r="N5018" i="4"/>
  <c r="O5018" i="4" s="1"/>
  <c r="N5038" i="4"/>
  <c r="O5038" i="4" s="1"/>
  <c r="N5065" i="4"/>
  <c r="O5065" i="4" s="1"/>
  <c r="N5069" i="4"/>
  <c r="O5069" i="4" s="1"/>
  <c r="N5088" i="4"/>
  <c r="O5088" i="4" s="1"/>
  <c r="N5107" i="4"/>
  <c r="O5107" i="4" s="1"/>
  <c r="N5114" i="4"/>
  <c r="O5114" i="4" s="1"/>
  <c r="N5118" i="4"/>
  <c r="O5118" i="4" s="1"/>
  <c r="N5138" i="4"/>
  <c r="O5138" i="4" s="1"/>
  <c r="N5170" i="4"/>
  <c r="O5170" i="4" s="1"/>
  <c r="N5190" i="4"/>
  <c r="O5190" i="4" s="1"/>
  <c r="N5198" i="4"/>
  <c r="O5198" i="4" s="1"/>
  <c r="N5840" i="4"/>
  <c r="O5840" i="4" s="1"/>
  <c r="N5844" i="4"/>
  <c r="O5844" i="4" s="1"/>
  <c r="N5858" i="4"/>
  <c r="O5858" i="4" s="1"/>
  <c r="N5863" i="4"/>
  <c r="O5863" i="4" s="1"/>
  <c r="N5883" i="4"/>
  <c r="O5883" i="4" s="1"/>
  <c r="N5886" i="4"/>
  <c r="O5886" i="4" s="1"/>
  <c r="N5891" i="4"/>
  <c r="O5891" i="4" s="1"/>
  <c r="N5902" i="4"/>
  <c r="O5902" i="4" s="1"/>
  <c r="N5908" i="4"/>
  <c r="O5908" i="4" s="1"/>
  <c r="N5923" i="4"/>
  <c r="O5923" i="4" s="1"/>
  <c r="N5929" i="4"/>
  <c r="O5929" i="4" s="1"/>
  <c r="N5935" i="4"/>
  <c r="O5935" i="4" s="1"/>
  <c r="N5950" i="4"/>
  <c r="O5950" i="4" s="1"/>
  <c r="N5955" i="4"/>
  <c r="O5955" i="4" s="1"/>
  <c r="N5964" i="4"/>
  <c r="O5964" i="4" s="1"/>
  <c r="N5972" i="4"/>
  <c r="O5972" i="4" s="1"/>
  <c r="N5979" i="4"/>
  <c r="O5979" i="4" s="1"/>
  <c r="N5984" i="4"/>
  <c r="O5984" i="4" s="1"/>
  <c r="N5990" i="4"/>
  <c r="O5990" i="4" s="1"/>
  <c r="N5998" i="4"/>
  <c r="O5998" i="4" s="1"/>
  <c r="N33" i="4"/>
  <c r="O33" i="4" s="1"/>
  <c r="N68" i="4"/>
  <c r="O68" i="4" s="1"/>
  <c r="N72" i="4"/>
  <c r="O72" i="4" s="1"/>
  <c r="N115" i="4"/>
  <c r="O115" i="4" s="1"/>
  <c r="N145" i="4"/>
  <c r="O145" i="4" s="1"/>
  <c r="N168" i="4"/>
  <c r="O168" i="4" s="1"/>
  <c r="N174" i="4"/>
  <c r="O174" i="4" s="1"/>
  <c r="N183" i="4"/>
  <c r="O183" i="4" s="1"/>
  <c r="N203" i="4"/>
  <c r="O203" i="4" s="1"/>
  <c r="N213" i="4"/>
  <c r="O213" i="4" s="1"/>
  <c r="N226" i="4"/>
  <c r="O226" i="4" s="1"/>
  <c r="N237" i="4"/>
  <c r="O237" i="4" s="1"/>
  <c r="N265" i="4"/>
  <c r="O265" i="4" s="1"/>
  <c r="N279" i="4"/>
  <c r="O279" i="4" s="1"/>
  <c r="N286" i="4"/>
  <c r="O286" i="4" s="1"/>
  <c r="N307" i="4"/>
  <c r="O307" i="4" s="1"/>
  <c r="N320" i="4"/>
  <c r="O320" i="4" s="1"/>
  <c r="N336" i="4"/>
  <c r="O336" i="4" s="1"/>
  <c r="N364" i="4"/>
  <c r="O364" i="4" s="1"/>
  <c r="N368" i="4"/>
  <c r="O368" i="4" s="1"/>
  <c r="N383" i="4"/>
  <c r="O383" i="4" s="1"/>
  <c r="N392" i="4"/>
  <c r="O392" i="4" s="1"/>
  <c r="N417" i="4"/>
  <c r="O417" i="4" s="1"/>
  <c r="N1494" i="4"/>
  <c r="O1494" i="4" s="1"/>
  <c r="N1512" i="4"/>
  <c r="O1512" i="4" s="1"/>
  <c r="N1520" i="4"/>
  <c r="O1520" i="4" s="1"/>
  <c r="N1528" i="4"/>
  <c r="O1528" i="4" s="1"/>
  <c r="N1536" i="4"/>
  <c r="O1536" i="4" s="1"/>
  <c r="N1540" i="4"/>
  <c r="O1540" i="4" s="1"/>
  <c r="N1549" i="4"/>
  <c r="O1549" i="4" s="1"/>
  <c r="N1573" i="4"/>
  <c r="O1573" i="4" s="1"/>
  <c r="N1581" i="4"/>
  <c r="O1581" i="4" s="1"/>
  <c r="N1585" i="4"/>
  <c r="O1585" i="4" s="1"/>
  <c r="N1589" i="4"/>
  <c r="O1589" i="4" s="1"/>
  <c r="N1631" i="4"/>
  <c r="O1631" i="4" s="1"/>
  <c r="N1687" i="4"/>
  <c r="O1687" i="4" s="1"/>
  <c r="N1694" i="4"/>
  <c r="O1694" i="4" s="1"/>
  <c r="N1713" i="4"/>
  <c r="O1713" i="4" s="1"/>
  <c r="N1717" i="4"/>
  <c r="O1717" i="4" s="1"/>
  <c r="N1725" i="4"/>
  <c r="O1725" i="4" s="1"/>
  <c r="N1773" i="4"/>
  <c r="O1773" i="4" s="1"/>
  <c r="N1789" i="4"/>
  <c r="O1789" i="4" s="1"/>
  <c r="N1793" i="4"/>
  <c r="O1793" i="4" s="1"/>
  <c r="N1889" i="4"/>
  <c r="O1889" i="4" s="1"/>
  <c r="N1913" i="4"/>
  <c r="O1913" i="4" s="1"/>
  <c r="N1918" i="4"/>
  <c r="O1918" i="4" s="1"/>
  <c r="N1953" i="4"/>
  <c r="O1953" i="4" s="1"/>
  <c r="N1978" i="4"/>
  <c r="O1978" i="4" s="1"/>
  <c r="N2007" i="4"/>
  <c r="O2007" i="4" s="1"/>
  <c r="N2011" i="4"/>
  <c r="O2011" i="4" s="1"/>
  <c r="N2046" i="4"/>
  <c r="O2046" i="4" s="1"/>
  <c r="N2050" i="4"/>
  <c r="O2050" i="4" s="1"/>
  <c r="N2067" i="4"/>
  <c r="O2067" i="4" s="1"/>
  <c r="N2115" i="4"/>
  <c r="O2115" i="4" s="1"/>
  <c r="N2153" i="4"/>
  <c r="O2153" i="4" s="1"/>
  <c r="N2169" i="4"/>
  <c r="O2169" i="4" s="1"/>
  <c r="N2183" i="4"/>
  <c r="O2183" i="4" s="1"/>
  <c r="N2198" i="4"/>
  <c r="O2198" i="4" s="1"/>
  <c r="N2206" i="4"/>
  <c r="O2206" i="4" s="1"/>
  <c r="N2235" i="4"/>
  <c r="O2235" i="4" s="1"/>
  <c r="N2263" i="4"/>
  <c r="O2263" i="4" s="1"/>
  <c r="N2276" i="4"/>
  <c r="O2276" i="4" s="1"/>
  <c r="N2284" i="4"/>
  <c r="O2284" i="4" s="1"/>
  <c r="N2308" i="4"/>
  <c r="O2308" i="4" s="1"/>
  <c r="N2312" i="4"/>
  <c r="O2312" i="4" s="1"/>
  <c r="N2368" i="4"/>
  <c r="O2368" i="4" s="1"/>
  <c r="N2386" i="4"/>
  <c r="O2386" i="4" s="1"/>
  <c r="N2396" i="4"/>
  <c r="O2396" i="4" s="1"/>
  <c r="N2454" i="4"/>
  <c r="O2454" i="4" s="1"/>
  <c r="N2520" i="4"/>
  <c r="O2520" i="4" s="1"/>
  <c r="N2545" i="4"/>
  <c r="O2545" i="4" s="1"/>
  <c r="N2556" i="4"/>
  <c r="O2556" i="4" s="1"/>
  <c r="N2626" i="4"/>
  <c r="O2626" i="4" s="1"/>
  <c r="N2640" i="4"/>
  <c r="O2640" i="4" s="1"/>
  <c r="N2649" i="4"/>
  <c r="O2649" i="4" s="1"/>
  <c r="N2653" i="4"/>
  <c r="O2653" i="4" s="1"/>
  <c r="N2657" i="4"/>
  <c r="O2657" i="4" s="1"/>
  <c r="N2672" i="4"/>
  <c r="O2672" i="4" s="1"/>
  <c r="N2676" i="4"/>
  <c r="O2676" i="4" s="1"/>
  <c r="N2695" i="4"/>
  <c r="O2695" i="4" s="1"/>
  <c r="N2756" i="4"/>
  <c r="O2756" i="4" s="1"/>
  <c r="N2791" i="4"/>
  <c r="O2791" i="4" s="1"/>
  <c r="N2799" i="4"/>
  <c r="O2799" i="4" s="1"/>
  <c r="N2805" i="4"/>
  <c r="O2805" i="4" s="1"/>
  <c r="N2809" i="4"/>
  <c r="O2809" i="4" s="1"/>
  <c r="N2813" i="4"/>
  <c r="O2813" i="4" s="1"/>
  <c r="N2817" i="4"/>
  <c r="O2817" i="4" s="1"/>
  <c r="N2889" i="4"/>
  <c r="O2889" i="4" s="1"/>
  <c r="N2899" i="4"/>
  <c r="O2899" i="4" s="1"/>
  <c r="N2931" i="4"/>
  <c r="O2931" i="4" s="1"/>
  <c r="N2935" i="4"/>
  <c r="O2935" i="4" s="1"/>
  <c r="N2939" i="4"/>
  <c r="O2939" i="4" s="1"/>
  <c r="N2949" i="4"/>
  <c r="O2949" i="4" s="1"/>
  <c r="N2953" i="4"/>
  <c r="O2953" i="4" s="1"/>
  <c r="N2971" i="4"/>
  <c r="O2971" i="4" s="1"/>
  <c r="N2987" i="4"/>
  <c r="O2987" i="4" s="1"/>
  <c r="N2990" i="4"/>
  <c r="O2990" i="4" s="1"/>
  <c r="N2996" i="4"/>
  <c r="O2996" i="4" s="1"/>
  <c r="N3000" i="4"/>
  <c r="O3000" i="4" s="1"/>
  <c r="N3019" i="4"/>
  <c r="O3019" i="4" s="1"/>
  <c r="N3023" i="4"/>
  <c r="O3023" i="4" s="1"/>
  <c r="N3042" i="4"/>
  <c r="O3042" i="4" s="1"/>
  <c r="N3097" i="4"/>
  <c r="O3097" i="4" s="1"/>
  <c r="N3101" i="4"/>
  <c r="O3101" i="4" s="1"/>
  <c r="N3107" i="4"/>
  <c r="O3107" i="4" s="1"/>
  <c r="N3120" i="4"/>
  <c r="O3120" i="4" s="1"/>
  <c r="N3124" i="4"/>
  <c r="O3124" i="4" s="1"/>
  <c r="N3175" i="4"/>
  <c r="O3175" i="4" s="1"/>
  <c r="N3189" i="4"/>
  <c r="O3189" i="4" s="1"/>
  <c r="N3197" i="4"/>
  <c r="O3197" i="4" s="1"/>
  <c r="N3205" i="4"/>
  <c r="O3205" i="4" s="1"/>
  <c r="N3231" i="4"/>
  <c r="O3231" i="4" s="1"/>
  <c r="N3245" i="4"/>
  <c r="O3245" i="4" s="1"/>
  <c r="N3264" i="4"/>
  <c r="O3264" i="4" s="1"/>
  <c r="N3269" i="4"/>
  <c r="O3269" i="4" s="1"/>
  <c r="N3280" i="4"/>
  <c r="O3280" i="4" s="1"/>
  <c r="N3291" i="4"/>
  <c r="O3291" i="4" s="1"/>
  <c r="N3303" i="4"/>
  <c r="O3303" i="4" s="1"/>
  <c r="N3307" i="4"/>
  <c r="O3307" i="4" s="1"/>
  <c r="N3319" i="4"/>
  <c r="O3319" i="4" s="1"/>
  <c r="N3350" i="4"/>
  <c r="O3350" i="4" s="1"/>
  <c r="N3387" i="4"/>
  <c r="O3387" i="4" s="1"/>
  <c r="N3414" i="4"/>
  <c r="O3414" i="4" s="1"/>
  <c r="N3418" i="4"/>
  <c r="O3418" i="4" s="1"/>
  <c r="N3435" i="4"/>
  <c r="O3435" i="4" s="1"/>
  <c r="N3477" i="4"/>
  <c r="O3477" i="4" s="1"/>
  <c r="N3480" i="4"/>
  <c r="O3480" i="4" s="1"/>
  <c r="N3521" i="4"/>
  <c r="O3521" i="4" s="1"/>
  <c r="N3527" i="4"/>
  <c r="O3527" i="4" s="1"/>
  <c r="N3563" i="4"/>
  <c r="O3563" i="4" s="1"/>
  <c r="N3567" i="4"/>
  <c r="O3567" i="4" s="1"/>
  <c r="N3571" i="4"/>
  <c r="O3571" i="4" s="1"/>
  <c r="N3597" i="4"/>
  <c r="O3597" i="4" s="1"/>
  <c r="N3613" i="4"/>
  <c r="O3613" i="4" s="1"/>
  <c r="N3641" i="4"/>
  <c r="O3641" i="4" s="1"/>
  <c r="N3645" i="4"/>
  <c r="O3645" i="4" s="1"/>
  <c r="N3652" i="4"/>
  <c r="O3652" i="4" s="1"/>
  <c r="N3669" i="4"/>
  <c r="O3669" i="4" s="1"/>
  <c r="N3684" i="4"/>
  <c r="O3684" i="4" s="1"/>
  <c r="N3696" i="4"/>
  <c r="O3696" i="4" s="1"/>
  <c r="N3707" i="4"/>
  <c r="O3707" i="4" s="1"/>
  <c r="N3717" i="4"/>
  <c r="O3717" i="4" s="1"/>
  <c r="N3737" i="4"/>
  <c r="O3737" i="4" s="1"/>
  <c r="N3748" i="4"/>
  <c r="O3748" i="4" s="1"/>
  <c r="N3765" i="4"/>
  <c r="O3765" i="4" s="1"/>
  <c r="N3828" i="4"/>
  <c r="O3828" i="4" s="1"/>
  <c r="N3840" i="4"/>
  <c r="O3840" i="4" s="1"/>
  <c r="N3889" i="4"/>
  <c r="O3889" i="4" s="1"/>
  <c r="N3893" i="4"/>
  <c r="O3893" i="4" s="1"/>
  <c r="N3909" i="4"/>
  <c r="O3909" i="4" s="1"/>
  <c r="N3947" i="4"/>
  <c r="O3947" i="4" s="1"/>
  <c r="N3951" i="4"/>
  <c r="O3951" i="4" s="1"/>
  <c r="N3955" i="4"/>
  <c r="O3955" i="4" s="1"/>
  <c r="N3969" i="4"/>
  <c r="O3969" i="4" s="1"/>
  <c r="N3975" i="4"/>
  <c r="O3975" i="4" s="1"/>
  <c r="N4012" i="4"/>
  <c r="O4012" i="4" s="1"/>
  <c r="N4053" i="4"/>
  <c r="O4053" i="4" s="1"/>
  <c r="N4057" i="4"/>
  <c r="O4057" i="4" s="1"/>
  <c r="N4066" i="4"/>
  <c r="O4066" i="4" s="1"/>
  <c r="N4093" i="4"/>
  <c r="O4093" i="4" s="1"/>
  <c r="N4105" i="4"/>
  <c r="O4105" i="4" s="1"/>
  <c r="N4109" i="4"/>
  <c r="O4109" i="4" s="1"/>
  <c r="N4124" i="4"/>
  <c r="O4124" i="4" s="1"/>
  <c r="N4128" i="4"/>
  <c r="O4128" i="4" s="1"/>
  <c r="N4139" i="4"/>
  <c r="O4139" i="4" s="1"/>
  <c r="N4152" i="4"/>
  <c r="O4152" i="4" s="1"/>
  <c r="N4163" i="4"/>
  <c r="O4163" i="4" s="1"/>
  <c r="N4167" i="4"/>
  <c r="O4167" i="4" s="1"/>
  <c r="N4182" i="4"/>
  <c r="O4182" i="4" s="1"/>
  <c r="N4191" i="4"/>
  <c r="O4191" i="4" s="1"/>
  <c r="N4197" i="4"/>
  <c r="O4197" i="4" s="1"/>
  <c r="N4203" i="4"/>
  <c r="O4203" i="4" s="1"/>
  <c r="N4278" i="4"/>
  <c r="O4278" i="4" s="1"/>
  <c r="N4282" i="4"/>
  <c r="O4282" i="4" s="1"/>
  <c r="N4286" i="4"/>
  <c r="O4286" i="4" s="1"/>
  <c r="N4315" i="4"/>
  <c r="O4315" i="4" s="1"/>
  <c r="N4323" i="4"/>
  <c r="O4323" i="4" s="1"/>
  <c r="N4346" i="4"/>
  <c r="O4346" i="4" s="1"/>
  <c r="N4372" i="4"/>
  <c r="O4372" i="4" s="1"/>
  <c r="N4376" i="4"/>
  <c r="O4376" i="4" s="1"/>
  <c r="N4389" i="4"/>
  <c r="O4389" i="4" s="1"/>
  <c r="N4412" i="4"/>
  <c r="O4412" i="4" s="1"/>
  <c r="N4426" i="4"/>
  <c r="O4426" i="4" s="1"/>
  <c r="N4485" i="4"/>
  <c r="O4485" i="4" s="1"/>
  <c r="N4489" i="4"/>
  <c r="O4489" i="4" s="1"/>
  <c r="N4505" i="4"/>
  <c r="O4505" i="4" s="1"/>
  <c r="N4509" i="4"/>
  <c r="O4509" i="4" s="1"/>
  <c r="N4532" i="4"/>
  <c r="O4532" i="4" s="1"/>
  <c r="N4554" i="4"/>
  <c r="O4554" i="4" s="1"/>
  <c r="N4569" i="4"/>
  <c r="O4569" i="4" s="1"/>
  <c r="N4587" i="4"/>
  <c r="O4587" i="4" s="1"/>
  <c r="N4613" i="4"/>
  <c r="O4613" i="4" s="1"/>
  <c r="N4630" i="4"/>
  <c r="O4630" i="4" s="1"/>
  <c r="N4679" i="4"/>
  <c r="O4679" i="4" s="1"/>
  <c r="N4685" i="4"/>
  <c r="O4685" i="4" s="1"/>
  <c r="N4729" i="4"/>
  <c r="O4729" i="4" s="1"/>
  <c r="N4738" i="4"/>
  <c r="O4738" i="4" s="1"/>
  <c r="N4744" i="4"/>
  <c r="O4744" i="4" s="1"/>
  <c r="N4896" i="4"/>
  <c r="O4896" i="4" s="1"/>
  <c r="N4962" i="4"/>
  <c r="O4962" i="4" s="1"/>
  <c r="N5021" i="4"/>
  <c r="O5021" i="4" s="1"/>
  <c r="N5041" i="4"/>
  <c r="O5041" i="4" s="1"/>
  <c r="N5073" i="4"/>
  <c r="O5073" i="4" s="1"/>
  <c r="N5155" i="4"/>
  <c r="O5155" i="4" s="1"/>
  <c r="N5177" i="4"/>
  <c r="O5177" i="4" s="1"/>
  <c r="N5882" i="4"/>
  <c r="O5882" i="4" s="1"/>
  <c r="N5933" i="4"/>
  <c r="O5933" i="4" s="1"/>
  <c r="N5940" i="4"/>
  <c r="O5940" i="4" s="1"/>
  <c r="N5959" i="4"/>
  <c r="O5959" i="4" s="1"/>
  <c r="N61" i="4"/>
  <c r="O61" i="4" s="1"/>
  <c r="N75" i="4"/>
  <c r="O75" i="4" s="1"/>
  <c r="N386" i="4"/>
  <c r="O386" i="4" s="1"/>
  <c r="N420" i="4"/>
  <c r="O420" i="4" s="1"/>
  <c r="N444" i="4"/>
  <c r="O444" i="4" s="1"/>
  <c r="N448" i="4"/>
  <c r="O448" i="4" s="1"/>
  <c r="N449" i="4"/>
  <c r="O449" i="4" s="1"/>
  <c r="N450" i="4"/>
  <c r="O450" i="4" s="1"/>
  <c r="N452" i="4"/>
  <c r="O452" i="4" s="1"/>
  <c r="N453" i="4"/>
  <c r="O453" i="4" s="1"/>
  <c r="N456" i="4"/>
  <c r="O456" i="4" s="1"/>
  <c r="N457" i="4"/>
  <c r="O457" i="4" s="1"/>
  <c r="N461" i="4"/>
  <c r="O461" i="4" s="1"/>
  <c r="N462" i="4"/>
  <c r="O462" i="4" s="1"/>
  <c r="N464" i="4"/>
  <c r="O464" i="4" s="1"/>
  <c r="N465" i="4"/>
  <c r="O465" i="4" s="1"/>
  <c r="N467" i="4"/>
  <c r="O467" i="4" s="1"/>
  <c r="N469" i="4"/>
  <c r="O469" i="4" s="1"/>
  <c r="N471" i="4"/>
  <c r="O471" i="4" s="1"/>
  <c r="N472" i="4"/>
  <c r="O472" i="4" s="1"/>
  <c r="N473" i="4"/>
  <c r="O473" i="4" s="1"/>
  <c r="N477" i="4"/>
  <c r="O477" i="4" s="1"/>
  <c r="N478" i="4"/>
  <c r="O478" i="4" s="1"/>
  <c r="N481" i="4"/>
  <c r="O481" i="4" s="1"/>
  <c r="N482" i="4"/>
  <c r="O482" i="4" s="1"/>
  <c r="N483" i="4"/>
  <c r="O483" i="4" s="1"/>
  <c r="N485" i="4"/>
  <c r="O485" i="4" s="1"/>
  <c r="N486" i="4"/>
  <c r="O486" i="4" s="1"/>
  <c r="N487" i="4"/>
  <c r="O487" i="4" s="1"/>
  <c r="N488" i="4"/>
  <c r="O488" i="4" s="1"/>
  <c r="N490" i="4"/>
  <c r="O490" i="4" s="1"/>
  <c r="N491" i="4"/>
  <c r="O491" i="4" s="1"/>
  <c r="N494" i="4"/>
  <c r="O494" i="4" s="1"/>
  <c r="N495" i="4"/>
  <c r="O495" i="4" s="1"/>
  <c r="N496" i="4"/>
  <c r="O496" i="4" s="1"/>
  <c r="N651" i="4"/>
  <c r="O651" i="4" s="1"/>
  <c r="N652" i="4"/>
  <c r="O652" i="4" s="1"/>
  <c r="N653" i="4"/>
  <c r="O653" i="4" s="1"/>
  <c r="N654" i="4"/>
  <c r="O654" i="4" s="1"/>
  <c r="N655" i="4"/>
  <c r="O655" i="4" s="1"/>
  <c r="N656" i="4"/>
  <c r="O656" i="4" s="1"/>
  <c r="N657" i="4"/>
  <c r="O657" i="4" s="1"/>
  <c r="N658" i="4"/>
  <c r="O658" i="4" s="1"/>
  <c r="N659" i="4"/>
  <c r="O659" i="4" s="1"/>
  <c r="N660" i="4"/>
  <c r="O660" i="4" s="1"/>
  <c r="N661" i="4"/>
  <c r="O661" i="4" s="1"/>
  <c r="O662" i="4"/>
  <c r="N663" i="4"/>
  <c r="O663" i="4" s="1"/>
  <c r="N664" i="4"/>
  <c r="O664" i="4" s="1"/>
  <c r="N665" i="4"/>
  <c r="O665" i="4" s="1"/>
  <c r="N666" i="4"/>
  <c r="O666" i="4" s="1"/>
  <c r="O667" i="4"/>
  <c r="N669" i="4"/>
  <c r="O669" i="4" s="1"/>
  <c r="N670" i="4"/>
  <c r="O670" i="4" s="1"/>
  <c r="N671" i="4"/>
  <c r="O671" i="4" s="1"/>
  <c r="N672" i="4"/>
  <c r="O672" i="4" s="1"/>
  <c r="N673" i="4"/>
  <c r="O673" i="4" s="1"/>
  <c r="N674" i="4"/>
  <c r="O674" i="4" s="1"/>
  <c r="N675" i="4"/>
  <c r="O675" i="4" s="1"/>
  <c r="N676" i="4"/>
  <c r="O676" i="4" s="1"/>
  <c r="N677" i="4"/>
  <c r="O677" i="4" s="1"/>
  <c r="N678" i="4"/>
  <c r="O678" i="4" s="1"/>
  <c r="N679" i="4"/>
  <c r="O679" i="4" s="1"/>
  <c r="N680" i="4"/>
  <c r="O680" i="4" s="1"/>
  <c r="N681" i="4"/>
  <c r="O681" i="4" s="1"/>
  <c r="N682" i="4"/>
  <c r="O682" i="4" s="1"/>
  <c r="N683" i="4"/>
  <c r="O683" i="4" s="1"/>
  <c r="N685" i="4"/>
  <c r="O685" i="4" s="1"/>
  <c r="N686" i="4"/>
  <c r="O686" i="4" s="1"/>
  <c r="N687" i="4"/>
  <c r="O687" i="4" s="1"/>
  <c r="N688" i="4"/>
  <c r="O688" i="4" s="1"/>
  <c r="N689" i="4"/>
  <c r="O689" i="4" s="1"/>
  <c r="N690" i="4"/>
  <c r="O690" i="4" s="1"/>
  <c r="N691" i="4"/>
  <c r="O691" i="4" s="1"/>
  <c r="N692" i="4"/>
  <c r="O692" i="4" s="1"/>
  <c r="N693" i="4"/>
  <c r="O693" i="4" s="1"/>
  <c r="N694" i="4"/>
  <c r="O694" i="4" s="1"/>
  <c r="N695" i="4"/>
  <c r="O695" i="4" s="1"/>
  <c r="N696" i="4"/>
  <c r="O696" i="4" s="1"/>
  <c r="N697" i="4"/>
  <c r="O697" i="4" s="1"/>
  <c r="N698" i="4"/>
  <c r="O698" i="4" s="1"/>
  <c r="N699" i="4"/>
  <c r="O699" i="4" s="1"/>
  <c r="N700" i="4"/>
  <c r="O700" i="4" s="1"/>
  <c r="N701" i="4"/>
  <c r="O701" i="4" s="1"/>
  <c r="N702" i="4"/>
  <c r="O702" i="4" s="1"/>
  <c r="N703" i="4"/>
  <c r="O703" i="4" s="1"/>
  <c r="N704" i="4"/>
  <c r="O704" i="4" s="1"/>
  <c r="N705" i="4"/>
  <c r="O705" i="4" s="1"/>
  <c r="N706" i="4"/>
  <c r="O706" i="4" s="1"/>
  <c r="N707" i="4"/>
  <c r="O707" i="4" s="1"/>
  <c r="N708" i="4"/>
  <c r="O708" i="4" s="1"/>
  <c r="N709" i="4"/>
  <c r="O709" i="4" s="1"/>
  <c r="N710" i="4"/>
  <c r="O710" i="4" s="1"/>
  <c r="N714" i="4"/>
  <c r="O714" i="4" s="1"/>
  <c r="N715" i="4"/>
  <c r="O715" i="4" s="1"/>
  <c r="N716" i="4"/>
  <c r="O716" i="4" s="1"/>
  <c r="N717" i="4"/>
  <c r="O717" i="4" s="1"/>
  <c r="N718" i="4"/>
  <c r="O718" i="4" s="1"/>
  <c r="N719" i="4"/>
  <c r="O719" i="4" s="1"/>
  <c r="N720" i="4"/>
  <c r="O720" i="4" s="1"/>
  <c r="N721" i="4"/>
  <c r="O721" i="4" s="1"/>
  <c r="N723" i="4"/>
  <c r="O723" i="4" s="1"/>
  <c r="N724" i="4"/>
  <c r="O724" i="4" s="1"/>
  <c r="N725" i="4"/>
  <c r="O725" i="4" s="1"/>
  <c r="N726" i="4"/>
  <c r="O726" i="4" s="1"/>
  <c r="N727" i="4"/>
  <c r="O727" i="4" s="1"/>
  <c r="N728" i="4"/>
  <c r="O728" i="4" s="1"/>
  <c r="N729" i="4"/>
  <c r="O729" i="4" s="1"/>
  <c r="N731" i="4"/>
  <c r="O731" i="4" s="1"/>
  <c r="N732" i="4"/>
  <c r="O732" i="4" s="1"/>
  <c r="N733" i="4"/>
  <c r="O733" i="4" s="1"/>
  <c r="N734" i="4"/>
  <c r="O734" i="4" s="1"/>
  <c r="N735" i="4"/>
  <c r="O735" i="4" s="1"/>
  <c r="N736" i="4"/>
  <c r="O736" i="4" s="1"/>
  <c r="N737" i="4"/>
  <c r="O737" i="4" s="1"/>
  <c r="N739" i="4"/>
  <c r="O739" i="4" s="1"/>
  <c r="N740" i="4"/>
  <c r="O740" i="4" s="1"/>
  <c r="N741" i="4"/>
  <c r="O741" i="4" s="1"/>
  <c r="N742" i="4"/>
  <c r="O742" i="4" s="1"/>
  <c r="N743" i="4"/>
  <c r="O743" i="4" s="1"/>
  <c r="N744" i="4"/>
  <c r="O744" i="4" s="1"/>
  <c r="N745" i="4"/>
  <c r="O745" i="4" s="1"/>
  <c r="N746" i="4"/>
  <c r="O746" i="4" s="1"/>
  <c r="N747" i="4"/>
  <c r="O747" i="4" s="1"/>
  <c r="N748" i="4"/>
  <c r="O748" i="4" s="1"/>
  <c r="N749" i="4"/>
  <c r="O749" i="4" s="1"/>
  <c r="N750" i="4"/>
  <c r="O750" i="4" s="1"/>
  <c r="N751" i="4"/>
  <c r="O751" i="4" s="1"/>
  <c r="N753" i="4"/>
  <c r="O753" i="4" s="1"/>
  <c r="N755" i="4"/>
  <c r="O755" i="4" s="1"/>
  <c r="N756" i="4"/>
  <c r="O756" i="4" s="1"/>
  <c r="N757" i="4"/>
  <c r="O757" i="4" s="1"/>
  <c r="N758" i="4"/>
  <c r="O758" i="4" s="1"/>
  <c r="N759" i="4"/>
  <c r="O759" i="4" s="1"/>
  <c r="N760" i="4"/>
  <c r="O760" i="4" s="1"/>
  <c r="N761" i="4"/>
  <c r="O761" i="4" s="1"/>
  <c r="N762" i="4"/>
  <c r="O762" i="4" s="1"/>
  <c r="N763" i="4"/>
  <c r="O763" i="4" s="1"/>
  <c r="N764" i="4"/>
  <c r="O764" i="4" s="1"/>
  <c r="N765" i="4"/>
  <c r="O765" i="4" s="1"/>
  <c r="N766" i="4"/>
  <c r="O766" i="4" s="1"/>
  <c r="N767" i="4"/>
  <c r="O767" i="4" s="1"/>
  <c r="N768" i="4"/>
  <c r="O768" i="4" s="1"/>
  <c r="N769" i="4"/>
  <c r="O769" i="4" s="1"/>
  <c r="N770" i="4"/>
  <c r="O770" i="4" s="1"/>
  <c r="N772" i="4"/>
  <c r="O772" i="4" s="1"/>
  <c r="N773" i="4"/>
  <c r="O773" i="4" s="1"/>
  <c r="N774" i="4"/>
  <c r="O774" i="4" s="1"/>
  <c r="N775" i="4"/>
  <c r="O775" i="4" s="1"/>
  <c r="N776" i="4"/>
  <c r="O776" i="4" s="1"/>
  <c r="N777" i="4"/>
  <c r="O777" i="4" s="1"/>
  <c r="N778" i="4"/>
  <c r="O778" i="4" s="1"/>
  <c r="N779" i="4"/>
  <c r="O779" i="4" s="1"/>
  <c r="N780" i="4"/>
  <c r="O780" i="4" s="1"/>
  <c r="N781" i="4"/>
  <c r="O781" i="4" s="1"/>
  <c r="N782" i="4"/>
  <c r="O782" i="4" s="1"/>
  <c r="N783" i="4"/>
  <c r="O783" i="4" s="1"/>
  <c r="N784" i="4"/>
  <c r="O784" i="4" s="1"/>
  <c r="N785" i="4"/>
  <c r="O785" i="4" s="1"/>
  <c r="N786" i="4"/>
  <c r="O786" i="4" s="1"/>
  <c r="N787" i="4"/>
  <c r="O787" i="4" s="1"/>
  <c r="N788" i="4"/>
  <c r="O788" i="4" s="1"/>
  <c r="N789" i="4"/>
  <c r="O789" i="4" s="1"/>
  <c r="N790" i="4"/>
  <c r="O790" i="4" s="1"/>
  <c r="N791" i="4"/>
  <c r="O791" i="4" s="1"/>
  <c r="N792" i="4"/>
  <c r="O792" i="4" s="1"/>
  <c r="N793" i="4"/>
  <c r="O793" i="4" s="1"/>
  <c r="N794" i="4"/>
  <c r="O794" i="4" s="1"/>
  <c r="N795" i="4"/>
  <c r="O795" i="4" s="1"/>
  <c r="N796" i="4"/>
  <c r="O796" i="4" s="1"/>
  <c r="N797" i="4"/>
  <c r="O797" i="4" s="1"/>
  <c r="N798" i="4"/>
  <c r="O798" i="4" s="1"/>
  <c r="N799" i="4"/>
  <c r="O799" i="4" s="1"/>
  <c r="N800" i="4"/>
  <c r="O800" i="4" s="1"/>
  <c r="N801" i="4"/>
  <c r="O801" i="4" s="1"/>
  <c r="N802" i="4"/>
  <c r="O802" i="4" s="1"/>
  <c r="N803" i="4"/>
  <c r="O803" i="4" s="1"/>
  <c r="N804" i="4"/>
  <c r="O804" i="4" s="1"/>
  <c r="N805" i="4"/>
  <c r="O805" i="4" s="1"/>
  <c r="N806" i="4"/>
  <c r="O806" i="4" s="1"/>
  <c r="N809" i="4"/>
  <c r="O809" i="4" s="1"/>
  <c r="N810" i="4"/>
  <c r="O810" i="4" s="1"/>
  <c r="N811" i="4"/>
  <c r="O811" i="4" s="1"/>
  <c r="N814" i="4"/>
  <c r="O814" i="4" s="1"/>
  <c r="N815" i="4"/>
  <c r="O815" i="4" s="1"/>
  <c r="N816" i="4"/>
  <c r="O816" i="4" s="1"/>
  <c r="N817" i="4"/>
  <c r="O817" i="4" s="1"/>
  <c r="N818" i="4"/>
  <c r="O818" i="4" s="1"/>
  <c r="N820" i="4"/>
  <c r="O820" i="4" s="1"/>
  <c r="N821" i="4"/>
  <c r="O821" i="4" s="1"/>
  <c r="N822" i="4"/>
  <c r="O822" i="4" s="1"/>
  <c r="N823" i="4"/>
  <c r="O823" i="4" s="1"/>
  <c r="N824" i="4"/>
  <c r="O824" i="4" s="1"/>
  <c r="N825" i="4"/>
  <c r="O825" i="4" s="1"/>
  <c r="N826" i="4"/>
  <c r="O826" i="4" s="1"/>
  <c r="N827" i="4"/>
  <c r="O827" i="4" s="1"/>
  <c r="N828" i="4"/>
  <c r="O828" i="4" s="1"/>
  <c r="N829" i="4"/>
  <c r="O829" i="4" s="1"/>
  <c r="N831" i="4"/>
  <c r="O831" i="4" s="1"/>
  <c r="N832" i="4"/>
  <c r="O832" i="4" s="1"/>
  <c r="N833" i="4"/>
  <c r="O833" i="4" s="1"/>
  <c r="N834" i="4"/>
  <c r="O834" i="4" s="1"/>
  <c r="N836" i="4"/>
  <c r="O836" i="4" s="1"/>
  <c r="N837" i="4"/>
  <c r="O837" i="4" s="1"/>
  <c r="N838" i="4"/>
  <c r="O838" i="4" s="1"/>
  <c r="N839" i="4"/>
  <c r="O839" i="4" s="1"/>
  <c r="N840" i="4"/>
  <c r="O840" i="4" s="1"/>
  <c r="N841" i="4"/>
  <c r="O841" i="4" s="1"/>
  <c r="N842" i="4"/>
  <c r="O842" i="4" s="1"/>
  <c r="N843" i="4"/>
  <c r="O843" i="4" s="1"/>
  <c r="N844" i="4"/>
  <c r="O844" i="4" s="1"/>
  <c r="N845" i="4"/>
  <c r="O845" i="4" s="1"/>
  <c r="N846" i="4"/>
  <c r="O846" i="4" s="1"/>
  <c r="N847" i="4"/>
  <c r="O847" i="4" s="1"/>
  <c r="N848" i="4"/>
  <c r="O848" i="4" s="1"/>
  <c r="N849" i="4"/>
  <c r="O849" i="4" s="1"/>
  <c r="N850" i="4"/>
  <c r="O850" i="4" s="1"/>
  <c r="N851" i="4"/>
  <c r="O851" i="4" s="1"/>
  <c r="N852" i="4"/>
  <c r="O852" i="4" s="1"/>
  <c r="N853" i="4"/>
  <c r="O853" i="4" s="1"/>
  <c r="N854" i="4"/>
  <c r="O854" i="4" s="1"/>
  <c r="N855" i="4"/>
  <c r="O855" i="4" s="1"/>
  <c r="N856" i="4"/>
  <c r="O856" i="4" s="1"/>
  <c r="N857" i="4"/>
  <c r="O857" i="4" s="1"/>
  <c r="N858" i="4"/>
  <c r="O858" i="4" s="1"/>
  <c r="N859" i="4"/>
  <c r="O859" i="4" s="1"/>
  <c r="N860" i="4"/>
  <c r="O860" i="4" s="1"/>
  <c r="N861" i="4"/>
  <c r="O861" i="4" s="1"/>
  <c r="N862" i="4"/>
  <c r="O862" i="4" s="1"/>
  <c r="N863" i="4"/>
  <c r="O863" i="4" s="1"/>
  <c r="N864" i="4"/>
  <c r="O864" i="4" s="1"/>
  <c r="N865" i="4"/>
  <c r="O865" i="4" s="1"/>
  <c r="N866" i="4"/>
  <c r="O866" i="4" s="1"/>
  <c r="N867" i="4"/>
  <c r="O867" i="4" s="1"/>
  <c r="N868" i="4"/>
  <c r="O868" i="4" s="1"/>
  <c r="N870" i="4"/>
  <c r="O870" i="4" s="1"/>
  <c r="N871" i="4"/>
  <c r="O871" i="4" s="1"/>
  <c r="N872" i="4"/>
  <c r="O872" i="4" s="1"/>
  <c r="N873" i="4"/>
  <c r="O873" i="4" s="1"/>
  <c r="N874" i="4"/>
  <c r="O874" i="4" s="1"/>
  <c r="N875" i="4"/>
  <c r="O875" i="4" s="1"/>
  <c r="N876" i="4"/>
  <c r="O876" i="4" s="1"/>
  <c r="N877" i="4"/>
  <c r="O877" i="4" s="1"/>
  <c r="N878" i="4"/>
  <c r="O878" i="4" s="1"/>
  <c r="N879" i="4"/>
  <c r="O879" i="4" s="1"/>
  <c r="N880" i="4"/>
  <c r="O880" i="4" s="1"/>
  <c r="N881" i="4"/>
  <c r="O881" i="4" s="1"/>
  <c r="N882" i="4"/>
  <c r="O882" i="4" s="1"/>
  <c r="N884" i="4"/>
  <c r="O884" i="4" s="1"/>
  <c r="N885" i="4"/>
  <c r="O885" i="4" s="1"/>
  <c r="N886" i="4"/>
  <c r="O886" i="4" s="1"/>
  <c r="N887" i="4"/>
  <c r="O887" i="4" s="1"/>
  <c r="N889" i="4"/>
  <c r="O889" i="4" s="1"/>
  <c r="N891" i="4"/>
  <c r="O891" i="4" s="1"/>
  <c r="N892" i="4"/>
  <c r="O892" i="4" s="1"/>
  <c r="N893" i="4"/>
  <c r="O893" i="4" s="1"/>
  <c r="N894" i="4"/>
  <c r="O894" i="4" s="1"/>
  <c r="N895" i="4"/>
  <c r="O895" i="4" s="1"/>
  <c r="N896" i="4"/>
  <c r="O896" i="4" s="1"/>
  <c r="N897" i="4"/>
  <c r="O897" i="4" s="1"/>
  <c r="N898" i="4"/>
  <c r="O898" i="4" s="1"/>
  <c r="N899" i="4"/>
  <c r="O899" i="4" s="1"/>
  <c r="N900" i="4"/>
  <c r="O900" i="4" s="1"/>
  <c r="N901" i="4"/>
  <c r="O901" i="4" s="1"/>
  <c r="N902" i="4"/>
  <c r="O902" i="4" s="1"/>
  <c r="N903" i="4"/>
  <c r="O903" i="4" s="1"/>
  <c r="N905" i="4"/>
  <c r="O905" i="4" s="1"/>
  <c r="N906" i="4"/>
  <c r="O906" i="4" s="1"/>
  <c r="N907" i="4"/>
  <c r="O907" i="4" s="1"/>
  <c r="N908" i="4"/>
  <c r="O908" i="4" s="1"/>
  <c r="N909" i="4"/>
  <c r="O909" i="4" s="1"/>
  <c r="N910" i="4"/>
  <c r="O910" i="4" s="1"/>
  <c r="N912" i="4"/>
  <c r="O912" i="4" s="1"/>
  <c r="N913" i="4"/>
  <c r="O913" i="4" s="1"/>
  <c r="N915" i="4"/>
  <c r="O915" i="4" s="1"/>
  <c r="N916" i="4"/>
  <c r="O916" i="4" s="1"/>
  <c r="N918" i="4"/>
  <c r="O918" i="4" s="1"/>
  <c r="N919" i="4"/>
  <c r="O919" i="4" s="1"/>
  <c r="N920" i="4"/>
  <c r="O920" i="4" s="1"/>
  <c r="N921" i="4"/>
  <c r="O921" i="4" s="1"/>
  <c r="N923" i="4"/>
  <c r="O923" i="4" s="1"/>
  <c r="N924" i="4"/>
  <c r="O924" i="4" s="1"/>
  <c r="N926" i="4"/>
  <c r="O926" i="4" s="1"/>
  <c r="N927" i="4"/>
  <c r="O927" i="4" s="1"/>
  <c r="N928" i="4"/>
  <c r="O928" i="4" s="1"/>
  <c r="N930" i="4"/>
  <c r="O930" i="4" s="1"/>
  <c r="N931" i="4"/>
  <c r="O931" i="4" s="1"/>
  <c r="N932" i="4"/>
  <c r="O932" i="4" s="1"/>
  <c r="N933" i="4"/>
  <c r="O933" i="4" s="1"/>
  <c r="N934" i="4"/>
  <c r="O934" i="4" s="1"/>
  <c r="N935" i="4"/>
  <c r="O935" i="4" s="1"/>
  <c r="N936" i="4"/>
  <c r="O936" i="4" s="1"/>
  <c r="N937" i="4"/>
  <c r="O937" i="4" s="1"/>
  <c r="N939" i="4"/>
  <c r="O939" i="4" s="1"/>
  <c r="N940" i="4"/>
  <c r="O940" i="4" s="1"/>
  <c r="N941" i="4"/>
  <c r="O941" i="4" s="1"/>
  <c r="N942" i="4"/>
  <c r="O942" i="4" s="1"/>
  <c r="N944" i="4"/>
  <c r="O944" i="4" s="1"/>
  <c r="N945" i="4"/>
  <c r="O945" i="4" s="1"/>
  <c r="N947" i="4"/>
  <c r="O947" i="4" s="1"/>
  <c r="N948" i="4"/>
  <c r="O948" i="4" s="1"/>
  <c r="N949" i="4"/>
  <c r="O949" i="4" s="1"/>
  <c r="N950" i="4"/>
  <c r="O950" i="4" s="1"/>
  <c r="N951" i="4"/>
  <c r="O951" i="4" s="1"/>
  <c r="N952" i="4"/>
  <c r="O952" i="4" s="1"/>
  <c r="N953" i="4"/>
  <c r="O953" i="4" s="1"/>
  <c r="N955" i="4"/>
  <c r="O955" i="4" s="1"/>
  <c r="N956" i="4"/>
  <c r="O956" i="4" s="1"/>
  <c r="N957" i="4"/>
  <c r="O957" i="4" s="1"/>
  <c r="N958" i="4"/>
  <c r="O958" i="4" s="1"/>
  <c r="N960" i="4"/>
  <c r="O960" i="4" s="1"/>
  <c r="N961" i="4"/>
  <c r="O961" i="4" s="1"/>
  <c r="N962" i="4"/>
  <c r="O962" i="4" s="1"/>
  <c r="N963" i="4"/>
  <c r="O963" i="4" s="1"/>
  <c r="N964" i="4"/>
  <c r="O964" i="4" s="1"/>
  <c r="N965" i="4"/>
  <c r="O965" i="4" s="1"/>
  <c r="N966" i="4"/>
  <c r="O966" i="4" s="1"/>
  <c r="N967" i="4"/>
  <c r="O967" i="4" s="1"/>
  <c r="N968" i="4"/>
  <c r="O968" i="4" s="1"/>
  <c r="N969" i="4"/>
  <c r="O969" i="4" s="1"/>
  <c r="N970" i="4"/>
  <c r="O970" i="4" s="1"/>
  <c r="N971" i="4"/>
  <c r="O971" i="4" s="1"/>
  <c r="N973" i="4"/>
  <c r="O973" i="4" s="1"/>
  <c r="N974" i="4"/>
  <c r="O974" i="4" s="1"/>
  <c r="N975" i="4"/>
  <c r="O975" i="4" s="1"/>
  <c r="N976" i="4"/>
  <c r="O976" i="4" s="1"/>
  <c r="N977" i="4"/>
  <c r="O977" i="4" s="1"/>
  <c r="N978" i="4"/>
  <c r="O978" i="4" s="1"/>
  <c r="N979" i="4"/>
  <c r="O979" i="4" s="1"/>
  <c r="N980" i="4"/>
  <c r="O980" i="4" s="1"/>
  <c r="N981" i="4"/>
  <c r="O981" i="4" s="1"/>
  <c r="N982" i="4"/>
  <c r="O982" i="4" s="1"/>
  <c r="N983" i="4"/>
  <c r="O983" i="4" s="1"/>
  <c r="N984" i="4"/>
  <c r="O984" i="4" s="1"/>
  <c r="N985" i="4"/>
  <c r="O985" i="4" s="1"/>
  <c r="N986" i="4"/>
  <c r="O986" i="4" s="1"/>
  <c r="N987" i="4"/>
  <c r="O987" i="4" s="1"/>
  <c r="N988" i="4"/>
  <c r="O988" i="4" s="1"/>
  <c r="N989" i="4"/>
  <c r="O989" i="4" s="1"/>
  <c r="N990" i="4"/>
  <c r="O990" i="4" s="1"/>
  <c r="N991" i="4"/>
  <c r="O991" i="4" s="1"/>
  <c r="N992" i="4"/>
  <c r="O992" i="4" s="1"/>
  <c r="N993" i="4"/>
  <c r="O993" i="4" s="1"/>
  <c r="N994" i="4"/>
  <c r="O994" i="4" s="1"/>
  <c r="N995" i="4"/>
  <c r="O995" i="4" s="1"/>
  <c r="N996" i="4"/>
  <c r="O996" i="4" s="1"/>
  <c r="N997" i="4"/>
  <c r="O997" i="4" s="1"/>
  <c r="N998" i="4"/>
  <c r="O998" i="4" s="1"/>
  <c r="N999" i="4"/>
  <c r="O999" i="4" s="1"/>
  <c r="N1000" i="4"/>
  <c r="O1000" i="4" s="1"/>
  <c r="N1002" i="4"/>
  <c r="O1002" i="4" s="1"/>
  <c r="N1003" i="4"/>
  <c r="O1003" i="4" s="1"/>
  <c r="N1005" i="4"/>
  <c r="O1005" i="4" s="1"/>
  <c r="N1006" i="4"/>
  <c r="O1006" i="4" s="1"/>
  <c r="N1007" i="4"/>
  <c r="O1007" i="4" s="1"/>
  <c r="N1008" i="4"/>
  <c r="O1008" i="4" s="1"/>
  <c r="N1010" i="4"/>
  <c r="O1010" i="4" s="1"/>
  <c r="N1011" i="4"/>
  <c r="O1011" i="4" s="1"/>
  <c r="N1012" i="4"/>
  <c r="O1012" i="4" s="1"/>
  <c r="N1013" i="4"/>
  <c r="O1013" i="4" s="1"/>
  <c r="N1016" i="4"/>
  <c r="O1016" i="4" s="1"/>
  <c r="N1017" i="4"/>
  <c r="O1017" i="4" s="1"/>
  <c r="N1018" i="4"/>
  <c r="O1018" i="4" s="1"/>
  <c r="N1019" i="4"/>
  <c r="O1019" i="4" s="1"/>
  <c r="N1020" i="4"/>
  <c r="O1020" i="4" s="1"/>
  <c r="N1021" i="4"/>
  <c r="O1021" i="4" s="1"/>
  <c r="N1022" i="4"/>
  <c r="O1022" i="4" s="1"/>
  <c r="N1023" i="4"/>
  <c r="O1023" i="4" s="1"/>
  <c r="N1024" i="4"/>
  <c r="O1024" i="4" s="1"/>
  <c r="N1025" i="4"/>
  <c r="O1025" i="4" s="1"/>
  <c r="N1026" i="4"/>
  <c r="O1026" i="4" s="1"/>
  <c r="N1027" i="4"/>
  <c r="O1027" i="4" s="1"/>
  <c r="N1028" i="4"/>
  <c r="O1028" i="4" s="1"/>
  <c r="N1029" i="4"/>
  <c r="O1029" i="4" s="1"/>
  <c r="N1030" i="4"/>
  <c r="O1030" i="4" s="1"/>
  <c r="N1031" i="4"/>
  <c r="O1031" i="4" s="1"/>
  <c r="N1032" i="4"/>
  <c r="O1032" i="4" s="1"/>
  <c r="N1033" i="4"/>
  <c r="O1033" i="4" s="1"/>
  <c r="N1034" i="4"/>
  <c r="O1034" i="4" s="1"/>
  <c r="N1035" i="4"/>
  <c r="O1035" i="4" s="1"/>
  <c r="N1036" i="4"/>
  <c r="O1036" i="4" s="1"/>
  <c r="N1037" i="4"/>
  <c r="O1037" i="4" s="1"/>
  <c r="N1038" i="4"/>
  <c r="O1038" i="4" s="1"/>
  <c r="N1039" i="4"/>
  <c r="O1039" i="4" s="1"/>
  <c r="N1040" i="4"/>
  <c r="O1040" i="4" s="1"/>
  <c r="N1041" i="4"/>
  <c r="O1041" i="4" s="1"/>
  <c r="N1042" i="4"/>
  <c r="O1042" i="4" s="1"/>
  <c r="N1043" i="4"/>
  <c r="O1043" i="4" s="1"/>
  <c r="N1044" i="4"/>
  <c r="O1044" i="4" s="1"/>
  <c r="N1046" i="4"/>
  <c r="O1046" i="4" s="1"/>
  <c r="N1047" i="4"/>
  <c r="O1047" i="4" s="1"/>
  <c r="N1048" i="4"/>
  <c r="O1048" i="4" s="1"/>
  <c r="N1049" i="4"/>
  <c r="O1049" i="4" s="1"/>
  <c r="N1050" i="4"/>
  <c r="O1050" i="4" s="1"/>
  <c r="N1051" i="4"/>
  <c r="O1051" i="4" s="1"/>
  <c r="N1052" i="4"/>
  <c r="O1052" i="4" s="1"/>
  <c r="N1053" i="4"/>
  <c r="O1053" i="4" s="1"/>
  <c r="N1054" i="4"/>
  <c r="O1054" i="4" s="1"/>
  <c r="N1055" i="4"/>
  <c r="O1055" i="4" s="1"/>
  <c r="N1056" i="4"/>
  <c r="O1056" i="4" s="1"/>
  <c r="N1057" i="4"/>
  <c r="O1057" i="4" s="1"/>
  <c r="N1058" i="4"/>
  <c r="O1058" i="4" s="1"/>
  <c r="N1059" i="4"/>
  <c r="O1059" i="4" s="1"/>
  <c r="N1060" i="4"/>
  <c r="O1060" i="4" s="1"/>
  <c r="N1061" i="4"/>
  <c r="O1061" i="4" s="1"/>
  <c r="N1062" i="4"/>
  <c r="O1062" i="4" s="1"/>
  <c r="N1063" i="4"/>
  <c r="O1063" i="4" s="1"/>
  <c r="N1064" i="4"/>
  <c r="O1064" i="4" s="1"/>
  <c r="N1065" i="4"/>
  <c r="O1065" i="4" s="1"/>
  <c r="N1066" i="4"/>
  <c r="O1066" i="4" s="1"/>
  <c r="N1067" i="4"/>
  <c r="O1067" i="4" s="1"/>
  <c r="N1068" i="4"/>
  <c r="O1068" i="4" s="1"/>
  <c r="N1069" i="4"/>
  <c r="O1069" i="4" s="1"/>
  <c r="N1070" i="4"/>
  <c r="O1070" i="4" s="1"/>
  <c r="N1071" i="4"/>
  <c r="O1071" i="4" s="1"/>
  <c r="N1072" i="4"/>
  <c r="O1072" i="4" s="1"/>
  <c r="N1073" i="4"/>
  <c r="O1073" i="4" s="1"/>
  <c r="N1074" i="4"/>
  <c r="O1074" i="4" s="1"/>
  <c r="N1076" i="4"/>
  <c r="O1076" i="4" s="1"/>
  <c r="N1077" i="4"/>
  <c r="O1077" i="4" s="1"/>
  <c r="N1078" i="4"/>
  <c r="O1078" i="4" s="1"/>
  <c r="N1079" i="4"/>
  <c r="O1079" i="4" s="1"/>
  <c r="N1080" i="4"/>
  <c r="O1080" i="4" s="1"/>
  <c r="N1081" i="4"/>
  <c r="O1081" i="4" s="1"/>
  <c r="N1082" i="4"/>
  <c r="O1082" i="4" s="1"/>
  <c r="N1083" i="4"/>
  <c r="O1083" i="4" s="1"/>
  <c r="N1084" i="4"/>
  <c r="O1084" i="4" s="1"/>
  <c r="N1085" i="4"/>
  <c r="O1085" i="4" s="1"/>
  <c r="N1086" i="4"/>
  <c r="O1086" i="4" s="1"/>
  <c r="N1087" i="4"/>
  <c r="O1087" i="4" s="1"/>
  <c r="N1088" i="4"/>
  <c r="O1088" i="4" s="1"/>
  <c r="N1089" i="4"/>
  <c r="O1089" i="4" s="1"/>
  <c r="N1090" i="4"/>
  <c r="O1090" i="4" s="1"/>
  <c r="N1091" i="4"/>
  <c r="O1091" i="4" s="1"/>
  <c r="N1092" i="4"/>
  <c r="O1092" i="4" s="1"/>
  <c r="N1094" i="4"/>
  <c r="O1094" i="4" s="1"/>
  <c r="N1095" i="4"/>
  <c r="O1095" i="4" s="1"/>
  <c r="N1096" i="4"/>
  <c r="O1096" i="4" s="1"/>
  <c r="N1097" i="4"/>
  <c r="O1097" i="4" s="1"/>
  <c r="N1098" i="4"/>
  <c r="O1098" i="4" s="1"/>
  <c r="N1099" i="4"/>
  <c r="O1099" i="4" s="1"/>
  <c r="N1100" i="4"/>
  <c r="O1100" i="4" s="1"/>
  <c r="N1101" i="4"/>
  <c r="O1101" i="4" s="1"/>
  <c r="N1102" i="4"/>
  <c r="O1102" i="4" s="1"/>
  <c r="N1103" i="4"/>
  <c r="O1103" i="4" s="1"/>
  <c r="N1104" i="4"/>
  <c r="O1104" i="4" s="1"/>
  <c r="N1105" i="4"/>
  <c r="O1105" i="4" s="1"/>
  <c r="N1106" i="4"/>
  <c r="O1106" i="4" s="1"/>
  <c r="N1107" i="4"/>
  <c r="O1107" i="4" s="1"/>
  <c r="N1108" i="4"/>
  <c r="O1108" i="4" s="1"/>
  <c r="N1110" i="4"/>
  <c r="O1110" i="4" s="1"/>
  <c r="N1111" i="4"/>
  <c r="O1111" i="4" s="1"/>
  <c r="N1112" i="4"/>
  <c r="O1112" i="4" s="1"/>
  <c r="N1113" i="4"/>
  <c r="O1113" i="4" s="1"/>
  <c r="N1114" i="4"/>
  <c r="O1114" i="4" s="1"/>
  <c r="N1115" i="4"/>
  <c r="O1115" i="4" s="1"/>
  <c r="N1116" i="4"/>
  <c r="O1116" i="4" s="1"/>
  <c r="N1117" i="4"/>
  <c r="O1117" i="4" s="1"/>
  <c r="N1118" i="4"/>
  <c r="O1118" i="4" s="1"/>
  <c r="N1120" i="4"/>
  <c r="O1120" i="4" s="1"/>
  <c r="N1121" i="4"/>
  <c r="O1121" i="4" s="1"/>
  <c r="N1122" i="4"/>
  <c r="O1122" i="4" s="1"/>
  <c r="N1123" i="4"/>
  <c r="O1123" i="4" s="1"/>
  <c r="N1124" i="4"/>
  <c r="O1124" i="4" s="1"/>
  <c r="N1125" i="4"/>
  <c r="O1125" i="4" s="1"/>
  <c r="N1126" i="4"/>
  <c r="O1126" i="4" s="1"/>
  <c r="N1127" i="4"/>
  <c r="O1127" i="4" s="1"/>
  <c r="N1128" i="4"/>
  <c r="O1128" i="4" s="1"/>
  <c r="N1129" i="4"/>
  <c r="O1129" i="4" s="1"/>
  <c r="N1130" i="4"/>
  <c r="O1130" i="4" s="1"/>
  <c r="N1131" i="4"/>
  <c r="O1131" i="4" s="1"/>
  <c r="N1133" i="4"/>
  <c r="O1133" i="4" s="1"/>
  <c r="N1134" i="4"/>
  <c r="O1134" i="4" s="1"/>
  <c r="N1135" i="4"/>
  <c r="O1135" i="4" s="1"/>
  <c r="N1136" i="4"/>
  <c r="O1136" i="4" s="1"/>
  <c r="N1137" i="4"/>
  <c r="O1137" i="4" s="1"/>
  <c r="N1138" i="4"/>
  <c r="O1138" i="4" s="1"/>
  <c r="N1139" i="4"/>
  <c r="O1139" i="4" s="1"/>
  <c r="N1140" i="4"/>
  <c r="O1140" i="4" s="1"/>
  <c r="N1141" i="4"/>
  <c r="O1141" i="4" s="1"/>
  <c r="N1142" i="4"/>
  <c r="O1142" i="4" s="1"/>
  <c r="N1143" i="4"/>
  <c r="O1143" i="4" s="1"/>
  <c r="N1144" i="4"/>
  <c r="O1144" i="4" s="1"/>
  <c r="N1145" i="4"/>
  <c r="O1145" i="4" s="1"/>
  <c r="N1146" i="4"/>
  <c r="O1146" i="4" s="1"/>
  <c r="N1147" i="4"/>
  <c r="O1147" i="4" s="1"/>
  <c r="N1148" i="4"/>
  <c r="O1148" i="4" s="1"/>
  <c r="N1149" i="4"/>
  <c r="O1149" i="4" s="1"/>
  <c r="N1150" i="4"/>
  <c r="O1150" i="4" s="1"/>
  <c r="N1151" i="4"/>
  <c r="O1151" i="4" s="1"/>
  <c r="N1153" i="4"/>
  <c r="O1153" i="4" s="1"/>
  <c r="N1154" i="4"/>
  <c r="O1154" i="4" s="1"/>
  <c r="N1155" i="4"/>
  <c r="O1155" i="4" s="1"/>
  <c r="N1157" i="4"/>
  <c r="O1157" i="4" s="1"/>
  <c r="N1158" i="4"/>
  <c r="O1158" i="4" s="1"/>
  <c r="N1159" i="4"/>
  <c r="O1159" i="4" s="1"/>
  <c r="N1160" i="4"/>
  <c r="O1160" i="4" s="1"/>
  <c r="N1161" i="4"/>
  <c r="O1161" i="4" s="1"/>
  <c r="N1162" i="4"/>
  <c r="O1162" i="4" s="1"/>
  <c r="N1163" i="4"/>
  <c r="O1163" i="4" s="1"/>
  <c r="N1164" i="4"/>
  <c r="O1164" i="4" s="1"/>
  <c r="N1165" i="4"/>
  <c r="O1165" i="4" s="1"/>
  <c r="N1166" i="4"/>
  <c r="O1166" i="4" s="1"/>
  <c r="N1167" i="4"/>
  <c r="O1167" i="4" s="1"/>
  <c r="N1168" i="4"/>
  <c r="O1168" i="4" s="1"/>
  <c r="N1169" i="4"/>
  <c r="O1169" i="4" s="1"/>
  <c r="N1170" i="4"/>
  <c r="O1170" i="4" s="1"/>
  <c r="N1172" i="4"/>
  <c r="O1172" i="4" s="1"/>
  <c r="N1173" i="4"/>
  <c r="O1173" i="4" s="1"/>
  <c r="N1174" i="4"/>
  <c r="O1174" i="4" s="1"/>
  <c r="N1175" i="4"/>
  <c r="O1175" i="4" s="1"/>
  <c r="N1176" i="4"/>
  <c r="O1176" i="4" s="1"/>
  <c r="N1177" i="4"/>
  <c r="O1177" i="4" s="1"/>
  <c r="N1178" i="4"/>
  <c r="O1178" i="4" s="1"/>
  <c r="N1179" i="4"/>
  <c r="O1179" i="4" s="1"/>
  <c r="N1180" i="4"/>
  <c r="O1180" i="4" s="1"/>
  <c r="N1181" i="4"/>
  <c r="O1181" i="4" s="1"/>
  <c r="N1182" i="4"/>
  <c r="O1182" i="4" s="1"/>
  <c r="N1184" i="4"/>
  <c r="O1184" i="4" s="1"/>
  <c r="N1186" i="4"/>
  <c r="O1186" i="4" s="1"/>
  <c r="N1187" i="4"/>
  <c r="O1187" i="4" s="1"/>
  <c r="N1188" i="4"/>
  <c r="O1188" i="4" s="1"/>
  <c r="N1191" i="4"/>
  <c r="O1191" i="4" s="1"/>
  <c r="N1193" i="4"/>
  <c r="O1193" i="4" s="1"/>
  <c r="N1196" i="4"/>
  <c r="O1196" i="4" s="1"/>
  <c r="N1197" i="4"/>
  <c r="O1197" i="4" s="1"/>
  <c r="N1198" i="4"/>
  <c r="O1198" i="4" s="1"/>
  <c r="N1199" i="4"/>
  <c r="O1199" i="4" s="1"/>
  <c r="N1200" i="4"/>
  <c r="O1200" i="4" s="1"/>
  <c r="N1201" i="4"/>
  <c r="O1201" i="4" s="1"/>
  <c r="N1202" i="4"/>
  <c r="O1202" i="4" s="1"/>
  <c r="N1203" i="4"/>
  <c r="O1203" i="4" s="1"/>
  <c r="N1204" i="4"/>
  <c r="O1204" i="4" s="1"/>
  <c r="N1205" i="4"/>
  <c r="O1205" i="4" s="1"/>
  <c r="N1206" i="4"/>
  <c r="O1206" i="4" s="1"/>
  <c r="N1207" i="4"/>
  <c r="O1207" i="4" s="1"/>
  <c r="N1208" i="4"/>
  <c r="O1208" i="4" s="1"/>
  <c r="N1209" i="4"/>
  <c r="O1209" i="4" s="1"/>
  <c r="N1210" i="4"/>
  <c r="O1210" i="4" s="1"/>
  <c r="N1212" i="4"/>
  <c r="O1212" i="4" s="1"/>
  <c r="N1213" i="4"/>
  <c r="O1213" i="4" s="1"/>
  <c r="N1214" i="4"/>
  <c r="O1214" i="4" s="1"/>
  <c r="N1215" i="4"/>
  <c r="O1215" i="4" s="1"/>
  <c r="N1216" i="4"/>
  <c r="O1216" i="4" s="1"/>
  <c r="N1217" i="4"/>
  <c r="O1217" i="4" s="1"/>
  <c r="N1218" i="4"/>
  <c r="O1218" i="4" s="1"/>
  <c r="N1219" i="4"/>
  <c r="O1219" i="4" s="1"/>
  <c r="N1220" i="4"/>
  <c r="O1220" i="4" s="1"/>
  <c r="N1221" i="4"/>
  <c r="O1221" i="4" s="1"/>
  <c r="N1222" i="4"/>
  <c r="O1222" i="4" s="1"/>
  <c r="N1224" i="4"/>
  <c r="O1224" i="4" s="1"/>
  <c r="N1225" i="4"/>
  <c r="O1225" i="4" s="1"/>
  <c r="N1226" i="4"/>
  <c r="O1226" i="4" s="1"/>
  <c r="N1227" i="4"/>
  <c r="O1227" i="4" s="1"/>
  <c r="N1228" i="4"/>
  <c r="O1228" i="4" s="1"/>
  <c r="N1230" i="4"/>
  <c r="O1230" i="4" s="1"/>
  <c r="N1231" i="4"/>
  <c r="O1231" i="4" s="1"/>
  <c r="N1232" i="4"/>
  <c r="O1232" i="4" s="1"/>
  <c r="N1233" i="4"/>
  <c r="O1233" i="4" s="1"/>
  <c r="N1234" i="4"/>
  <c r="O1234" i="4" s="1"/>
  <c r="N1235" i="4"/>
  <c r="O1235" i="4" s="1"/>
  <c r="N1236" i="4"/>
  <c r="O1236" i="4" s="1"/>
  <c r="N1237" i="4"/>
  <c r="O1237" i="4" s="1"/>
  <c r="N1238" i="4"/>
  <c r="O1238" i="4" s="1"/>
  <c r="N1239" i="4"/>
  <c r="O1239" i="4" s="1"/>
  <c r="N1240" i="4"/>
  <c r="O1240" i="4" s="1"/>
  <c r="N1241" i="4"/>
  <c r="O1241" i="4" s="1"/>
  <c r="N1242" i="4"/>
  <c r="O1242" i="4" s="1"/>
  <c r="N1244" i="4"/>
  <c r="O1244" i="4" s="1"/>
  <c r="N1245" i="4"/>
  <c r="O1245" i="4" s="1"/>
  <c r="N1246" i="4"/>
  <c r="O1246" i="4" s="1"/>
  <c r="N1247" i="4"/>
  <c r="O1247" i="4" s="1"/>
  <c r="N1248" i="4"/>
  <c r="O1248" i="4" s="1"/>
  <c r="N1249" i="4"/>
  <c r="O1249" i="4" s="1"/>
  <c r="N1250" i="4"/>
  <c r="O1250" i="4" s="1"/>
  <c r="N1251" i="4"/>
  <c r="O1251" i="4" s="1"/>
  <c r="N1252" i="4"/>
  <c r="O1252" i="4" s="1"/>
  <c r="N1253" i="4"/>
  <c r="O1253" i="4" s="1"/>
  <c r="N1254" i="4"/>
  <c r="O1254" i="4" s="1"/>
  <c r="N1255" i="4"/>
  <c r="O1255" i="4" s="1"/>
  <c r="N1256" i="4"/>
  <c r="O1256" i="4" s="1"/>
  <c r="N1257" i="4"/>
  <c r="O1257" i="4" s="1"/>
  <c r="N1258" i="4"/>
  <c r="O1258" i="4" s="1"/>
  <c r="N1259" i="4"/>
  <c r="O1259" i="4" s="1"/>
  <c r="N1260" i="4"/>
  <c r="O1260" i="4" s="1"/>
  <c r="N1263" i="4"/>
  <c r="O1263" i="4" s="1"/>
  <c r="N1264" i="4"/>
  <c r="O1264" i="4" s="1"/>
  <c r="N1265" i="4"/>
  <c r="O1265" i="4" s="1"/>
  <c r="N1266" i="4"/>
  <c r="O1266" i="4" s="1"/>
  <c r="N1267" i="4"/>
  <c r="O1267" i="4" s="1"/>
  <c r="N1268" i="4"/>
  <c r="O1268" i="4" s="1"/>
  <c r="N1269" i="4"/>
  <c r="O1269" i="4" s="1"/>
  <c r="N1270" i="4"/>
  <c r="O1270" i="4" s="1"/>
  <c r="N1271" i="4"/>
  <c r="O1271" i="4" s="1"/>
  <c r="N1272" i="4"/>
  <c r="O1272" i="4" s="1"/>
  <c r="N1273" i="4"/>
  <c r="O1273" i="4" s="1"/>
  <c r="N1274" i="4"/>
  <c r="O1274" i="4" s="1"/>
  <c r="N1276" i="4"/>
  <c r="O1276" i="4" s="1"/>
  <c r="N1277" i="4"/>
  <c r="O1277" i="4" s="1"/>
  <c r="N1278" i="4"/>
  <c r="O1278" i="4" s="1"/>
  <c r="N1280" i="4"/>
  <c r="O1280" i="4" s="1"/>
  <c r="N1281" i="4"/>
  <c r="O1281" i="4" s="1"/>
  <c r="N1282" i="4"/>
  <c r="O1282" i="4" s="1"/>
  <c r="N1283" i="4"/>
  <c r="O1283" i="4" s="1"/>
  <c r="N1284" i="4"/>
  <c r="O1284" i="4" s="1"/>
  <c r="N1285" i="4"/>
  <c r="O1285" i="4" s="1"/>
  <c r="N1286" i="4"/>
  <c r="O1286" i="4" s="1"/>
  <c r="N1287" i="4"/>
  <c r="O1287" i="4" s="1"/>
  <c r="N1288" i="4"/>
  <c r="O1288" i="4" s="1"/>
  <c r="N1289" i="4"/>
  <c r="O1289" i="4" s="1"/>
  <c r="N1290" i="4"/>
  <c r="O1290" i="4" s="1"/>
  <c r="N1291" i="4"/>
  <c r="O1291" i="4" s="1"/>
  <c r="N1292" i="4"/>
  <c r="O1292" i="4" s="1"/>
  <c r="N1293" i="4"/>
  <c r="O1293" i="4" s="1"/>
  <c r="N1294" i="4"/>
  <c r="O1294" i="4" s="1"/>
  <c r="N1295" i="4"/>
  <c r="O1295" i="4" s="1"/>
  <c r="N1296" i="4"/>
  <c r="O1296" i="4" s="1"/>
  <c r="N1298" i="4"/>
  <c r="O1298" i="4" s="1"/>
  <c r="N1299" i="4"/>
  <c r="O1299" i="4" s="1"/>
  <c r="N1300" i="4"/>
  <c r="O1300" i="4" s="1"/>
  <c r="N1301" i="4"/>
  <c r="O1301" i="4" s="1"/>
  <c r="N1302" i="4"/>
  <c r="O1302" i="4" s="1"/>
  <c r="N1303" i="4"/>
  <c r="O1303" i="4" s="1"/>
  <c r="N1304" i="4"/>
  <c r="O1304" i="4" s="1"/>
  <c r="N1305" i="4"/>
  <c r="O1305" i="4" s="1"/>
  <c r="N1306" i="4"/>
  <c r="O1306" i="4" s="1"/>
  <c r="N1307" i="4"/>
  <c r="O1307" i="4" s="1"/>
  <c r="N1308" i="4"/>
  <c r="O1308" i="4" s="1"/>
  <c r="N1309" i="4"/>
  <c r="O1309" i="4" s="1"/>
  <c r="N1310" i="4"/>
  <c r="O1310" i="4" s="1"/>
  <c r="N1311" i="4"/>
  <c r="O1311" i="4" s="1"/>
  <c r="N1312" i="4"/>
  <c r="O1312" i="4" s="1"/>
  <c r="N1313" i="4"/>
  <c r="O1313" i="4" s="1"/>
  <c r="N1314" i="4"/>
  <c r="O1314" i="4" s="1"/>
  <c r="N1315" i="4"/>
  <c r="O1315" i="4" s="1"/>
  <c r="N1316" i="4"/>
  <c r="O1316" i="4" s="1"/>
  <c r="N1317" i="4"/>
  <c r="O1317" i="4" s="1"/>
  <c r="N1318" i="4"/>
  <c r="O1318" i="4" s="1"/>
  <c r="N1319" i="4"/>
  <c r="O1319" i="4" s="1"/>
  <c r="N1320" i="4"/>
  <c r="O1320" i="4" s="1"/>
  <c r="N1321" i="4"/>
  <c r="O1321" i="4" s="1"/>
  <c r="N1322" i="4"/>
  <c r="O1322" i="4" s="1"/>
  <c r="N1323" i="4"/>
  <c r="O1323" i="4" s="1"/>
  <c r="N1324" i="4"/>
  <c r="O1324" i="4" s="1"/>
  <c r="N1325" i="4"/>
  <c r="O1325" i="4" s="1"/>
  <c r="N1326" i="4"/>
  <c r="O1326" i="4" s="1"/>
  <c r="N1328" i="4"/>
  <c r="O1328" i="4" s="1"/>
  <c r="N1329" i="4"/>
  <c r="O1329" i="4" s="1"/>
  <c r="N1330" i="4"/>
  <c r="O1330" i="4" s="1"/>
  <c r="N1331" i="4"/>
  <c r="O1331" i="4" s="1"/>
  <c r="N1332" i="4"/>
  <c r="O1332" i="4" s="1"/>
  <c r="N1333" i="4"/>
  <c r="O1333" i="4" s="1"/>
  <c r="N1334" i="4"/>
  <c r="O1334" i="4" s="1"/>
  <c r="N1335" i="4"/>
  <c r="O1335" i="4" s="1"/>
  <c r="N1336" i="4"/>
  <c r="O1336" i="4" s="1"/>
  <c r="N1338" i="4"/>
  <c r="O1338" i="4" s="1"/>
  <c r="N1339" i="4"/>
  <c r="O1339" i="4" s="1"/>
  <c r="N1340" i="4"/>
  <c r="O1340" i="4" s="1"/>
  <c r="N1341" i="4"/>
  <c r="O1341" i="4" s="1"/>
  <c r="N1342" i="4"/>
  <c r="O1342" i="4" s="1"/>
  <c r="N1343" i="4"/>
  <c r="O1343" i="4" s="1"/>
  <c r="N1344" i="4"/>
  <c r="O1344" i="4" s="1"/>
  <c r="N1345" i="4"/>
  <c r="O1345" i="4" s="1"/>
  <c r="N1346" i="4"/>
  <c r="O1346" i="4" s="1"/>
  <c r="N1347" i="4"/>
  <c r="O1347" i="4" s="1"/>
  <c r="N1348" i="4"/>
  <c r="O1348" i="4" s="1"/>
  <c r="N1349" i="4"/>
  <c r="O1349" i="4" s="1"/>
  <c r="N1350" i="4"/>
  <c r="O1350" i="4" s="1"/>
  <c r="N1351" i="4"/>
  <c r="O1351" i="4" s="1"/>
  <c r="N1352" i="4"/>
  <c r="O1352" i="4" s="1"/>
  <c r="N1353" i="4"/>
  <c r="O1353" i="4" s="1"/>
  <c r="N1354" i="4"/>
  <c r="O1354" i="4" s="1"/>
  <c r="N1355" i="4"/>
  <c r="O1355" i="4" s="1"/>
  <c r="N1356" i="4"/>
  <c r="O1356" i="4" s="1"/>
  <c r="N1357" i="4"/>
  <c r="O1357" i="4" s="1"/>
  <c r="N1358" i="4"/>
  <c r="O1358" i="4" s="1"/>
  <c r="N1359" i="4"/>
  <c r="O1359" i="4" s="1"/>
  <c r="N1360" i="4"/>
  <c r="O1360" i="4" s="1"/>
  <c r="N1362" i="4"/>
  <c r="O1362" i="4" s="1"/>
  <c r="N1363" i="4"/>
  <c r="O1363" i="4" s="1"/>
  <c r="N1364" i="4"/>
  <c r="O1364" i="4" s="1"/>
  <c r="N1365" i="4"/>
  <c r="O1365" i="4" s="1"/>
  <c r="N1366" i="4"/>
  <c r="O1366" i="4" s="1"/>
  <c r="N1367" i="4"/>
  <c r="O1367" i="4" s="1"/>
  <c r="N1368" i="4"/>
  <c r="O1368" i="4" s="1"/>
  <c r="N1369" i="4"/>
  <c r="O1369" i="4" s="1"/>
  <c r="N1370" i="4"/>
  <c r="O1370" i="4" s="1"/>
  <c r="N1372" i="4"/>
  <c r="O1372" i="4" s="1"/>
  <c r="N1373" i="4"/>
  <c r="O1373" i="4" s="1"/>
  <c r="N1374" i="4"/>
  <c r="O1374" i="4" s="1"/>
  <c r="N1375" i="4"/>
  <c r="O1375" i="4" s="1"/>
  <c r="N1377" i="4"/>
  <c r="O1377" i="4" s="1"/>
  <c r="N1378" i="4"/>
  <c r="O1378" i="4" s="1"/>
  <c r="N1379" i="4"/>
  <c r="O1379" i="4" s="1"/>
  <c r="N1380" i="4"/>
  <c r="O1380" i="4" s="1"/>
  <c r="N1381" i="4"/>
  <c r="O1381" i="4" s="1"/>
  <c r="N1382" i="4"/>
  <c r="O1382" i="4" s="1"/>
  <c r="N1383" i="4"/>
  <c r="O1383" i="4" s="1"/>
  <c r="N1384" i="4"/>
  <c r="O1384" i="4" s="1"/>
  <c r="N1385" i="4"/>
  <c r="O1385" i="4" s="1"/>
  <c r="N1386" i="4"/>
  <c r="O1386" i="4" s="1"/>
  <c r="N1387" i="4"/>
  <c r="O1387" i="4" s="1"/>
  <c r="N1388" i="4"/>
  <c r="O1388" i="4" s="1"/>
  <c r="N1389" i="4"/>
  <c r="O1389" i="4" s="1"/>
  <c r="N1390" i="4"/>
  <c r="O1390" i="4" s="1"/>
  <c r="N1391" i="4"/>
  <c r="O1391" i="4" s="1"/>
  <c r="N1392" i="4"/>
  <c r="O1392" i="4" s="1"/>
  <c r="N1393" i="4"/>
  <c r="O1393" i="4" s="1"/>
  <c r="N1394" i="4"/>
  <c r="O1394" i="4" s="1"/>
  <c r="N1395" i="4"/>
  <c r="O1395" i="4" s="1"/>
  <c r="N1396" i="4"/>
  <c r="O1396" i="4" s="1"/>
  <c r="N1397" i="4"/>
  <c r="O1397" i="4" s="1"/>
  <c r="N1398" i="4"/>
  <c r="O1398" i="4" s="1"/>
  <c r="N1399" i="4"/>
  <c r="O1399" i="4" s="1"/>
  <c r="N1400" i="4"/>
  <c r="O1400" i="4" s="1"/>
  <c r="N1401" i="4"/>
  <c r="O1401" i="4" s="1"/>
  <c r="N1402" i="4"/>
  <c r="O1402" i="4" s="1"/>
  <c r="N1403" i="4"/>
  <c r="O1403" i="4" s="1"/>
  <c r="N1404" i="4"/>
  <c r="O1404" i="4" s="1"/>
  <c r="N1405" i="4"/>
  <c r="O1405" i="4" s="1"/>
  <c r="N1407" i="4"/>
  <c r="O1407" i="4" s="1"/>
  <c r="N1408" i="4"/>
  <c r="O1408" i="4" s="1"/>
  <c r="N1409" i="4"/>
  <c r="O1409" i="4" s="1"/>
  <c r="N1410" i="4"/>
  <c r="O1410" i="4" s="1"/>
  <c r="N1411" i="4"/>
  <c r="O1411" i="4" s="1"/>
  <c r="N1412" i="4"/>
  <c r="O1412" i="4" s="1"/>
  <c r="N1414" i="4"/>
  <c r="O1414" i="4" s="1"/>
  <c r="N1415" i="4"/>
  <c r="O1415" i="4" s="1"/>
  <c r="N1416" i="4"/>
  <c r="O1416" i="4" s="1"/>
  <c r="N1417" i="4"/>
  <c r="O1417" i="4" s="1"/>
  <c r="N1418" i="4"/>
  <c r="O1418" i="4" s="1"/>
  <c r="N1419" i="4"/>
  <c r="O1419" i="4" s="1"/>
  <c r="N1420" i="4"/>
  <c r="O1420" i="4" s="1"/>
  <c r="N1421" i="4"/>
  <c r="O1421" i="4" s="1"/>
  <c r="N1422" i="4"/>
  <c r="O1422" i="4" s="1"/>
  <c r="N1423" i="4"/>
  <c r="O1423" i="4" s="1"/>
  <c r="N1425" i="4"/>
  <c r="O1425" i="4" s="1"/>
  <c r="N1443" i="4"/>
  <c r="O1443" i="4" s="1"/>
  <c r="N1465" i="4"/>
  <c r="O1465" i="4" s="1"/>
  <c r="N1479" i="4"/>
  <c r="O1479" i="4" s="1"/>
  <c r="N4055" i="4"/>
  <c r="O4055" i="4" s="1"/>
  <c r="N4059" i="4"/>
  <c r="O4059" i="4" s="1"/>
  <c r="N4065" i="4"/>
  <c r="O4065" i="4" s="1"/>
  <c r="N4084" i="4"/>
  <c r="O4084" i="4" s="1"/>
  <c r="N4088" i="4"/>
  <c r="O4088" i="4" s="1"/>
  <c r="N4106" i="4"/>
  <c r="O4106" i="4" s="1"/>
  <c r="N4114" i="4"/>
  <c r="O4114" i="4" s="1"/>
  <c r="N4118" i="4"/>
  <c r="O4118" i="4" s="1"/>
  <c r="N4122" i="4"/>
  <c r="O4122" i="4" s="1"/>
  <c r="N4126" i="4"/>
  <c r="O4126" i="4" s="1"/>
  <c r="N4172" i="4"/>
  <c r="O4172" i="4" s="1"/>
  <c r="N4185" i="4"/>
  <c r="O4185" i="4" s="1"/>
  <c r="N4210" i="4"/>
  <c r="O4210" i="4" s="1"/>
  <c r="N4221" i="4"/>
  <c r="O4221" i="4" s="1"/>
  <c r="N4226" i="4"/>
  <c r="O4226" i="4" s="1"/>
  <c r="N4234" i="4"/>
  <c r="O4234" i="4" s="1"/>
  <c r="N4268" i="4"/>
  <c r="O4268" i="4" s="1"/>
  <c r="N4274" i="4"/>
  <c r="O4274" i="4" s="1"/>
  <c r="N4284" i="4"/>
  <c r="O4284" i="4" s="1"/>
  <c r="N4307" i="4"/>
  <c r="O4307" i="4" s="1"/>
  <c r="N4311" i="4"/>
  <c r="O4311" i="4" s="1"/>
  <c r="N4322" i="4"/>
  <c r="O4322" i="4" s="1"/>
  <c r="N4352" i="4"/>
  <c r="O4352" i="4" s="1"/>
  <c r="N4356" i="4"/>
  <c r="O4356" i="4" s="1"/>
  <c r="N4375" i="4"/>
  <c r="O4375" i="4" s="1"/>
  <c r="N4399" i="4"/>
  <c r="O4399" i="4" s="1"/>
  <c r="N4422" i="4"/>
  <c r="O4422" i="4" s="1"/>
  <c r="N4432" i="4"/>
  <c r="O4432" i="4" s="1"/>
  <c r="N4440" i="4"/>
  <c r="O4440" i="4" s="1"/>
  <c r="N4444" i="4"/>
  <c r="O4444" i="4" s="1"/>
  <c r="N4450" i="4"/>
  <c r="O4450" i="4" s="1"/>
  <c r="N4458" i="4"/>
  <c r="O4458" i="4" s="1"/>
  <c r="N4468" i="4"/>
  <c r="O4468" i="4" s="1"/>
  <c r="N4476" i="4"/>
  <c r="O4476" i="4" s="1"/>
  <c r="N4480" i="4"/>
  <c r="O4480" i="4" s="1"/>
  <c r="N4502" i="4"/>
  <c r="O4502" i="4" s="1"/>
  <c r="N4516" i="4"/>
  <c r="O4516" i="4" s="1"/>
  <c r="N4536" i="4"/>
  <c r="O4536" i="4" s="1"/>
  <c r="N4540" i="4"/>
  <c r="O4540" i="4" s="1"/>
  <c r="N4544" i="4"/>
  <c r="O4544" i="4" s="1"/>
  <c r="N4548" i="4"/>
  <c r="O4548" i="4" s="1"/>
  <c r="N4560" i="4"/>
  <c r="O4560" i="4" s="1"/>
  <c r="N4564" i="4"/>
  <c r="O4564" i="4" s="1"/>
  <c r="N4588" i="4"/>
  <c r="O4588" i="4" s="1"/>
  <c r="N4597" i="4"/>
  <c r="O4597" i="4" s="1"/>
  <c r="N4603" i="4"/>
  <c r="O4603" i="4" s="1"/>
  <c r="N4622" i="4"/>
  <c r="O4622" i="4" s="1"/>
  <c r="N4628" i="4"/>
  <c r="O4628" i="4" s="1"/>
  <c r="N4637" i="4"/>
  <c r="O4637" i="4" s="1"/>
  <c r="N4641" i="4"/>
  <c r="O4641" i="4" s="1"/>
  <c r="N4645" i="4"/>
  <c r="O4645" i="4" s="1"/>
  <c r="N4649" i="4"/>
  <c r="O4649" i="4" s="1"/>
  <c r="N4653" i="4"/>
  <c r="O4653" i="4" s="1"/>
  <c r="N4663" i="4"/>
  <c r="O4663" i="4" s="1"/>
  <c r="N4674" i="4"/>
  <c r="O4674" i="4" s="1"/>
  <c r="N4683" i="4"/>
  <c r="O4683" i="4" s="1"/>
  <c r="N4688" i="4"/>
  <c r="O4688" i="4" s="1"/>
  <c r="N4692" i="4"/>
  <c r="O4692" i="4" s="1"/>
  <c r="N4696" i="4"/>
  <c r="O4696" i="4" s="1"/>
  <c r="N4717" i="4"/>
  <c r="O4717" i="4" s="1"/>
  <c r="N4739" i="4"/>
  <c r="O4739" i="4" s="1"/>
  <c r="N4747" i="4"/>
  <c r="O4747" i="4" s="1"/>
  <c r="N4758" i="4"/>
  <c r="O4758" i="4" s="1"/>
  <c r="N4762" i="4"/>
  <c r="O4762" i="4" s="1"/>
  <c r="N4774" i="4"/>
  <c r="O4774" i="4" s="1"/>
  <c r="N4778" i="4"/>
  <c r="O4778" i="4" s="1"/>
  <c r="N4787" i="4"/>
  <c r="O4787" i="4" s="1"/>
  <c r="N4799" i="4"/>
  <c r="O4799" i="4" s="1"/>
  <c r="N4810" i="4"/>
  <c r="O4810" i="4" s="1"/>
  <c r="N4827" i="4"/>
  <c r="O4827" i="4" s="1"/>
  <c r="N4831" i="4"/>
  <c r="O4831" i="4" s="1"/>
  <c r="N4835" i="4"/>
  <c r="O4835" i="4" s="1"/>
  <c r="N4840" i="4"/>
  <c r="O4840" i="4" s="1"/>
  <c r="N4869" i="4"/>
  <c r="O4869" i="4" s="1"/>
  <c r="N4877" i="4"/>
  <c r="O4877" i="4" s="1"/>
  <c r="N4890" i="4"/>
  <c r="O4890" i="4" s="1"/>
  <c r="N4895" i="4"/>
  <c r="O4895" i="4" s="1"/>
  <c r="N4903" i="4"/>
  <c r="O4903" i="4" s="1"/>
  <c r="N4910" i="4"/>
  <c r="O4910" i="4" s="1"/>
  <c r="N4916" i="4"/>
  <c r="O4916" i="4" s="1"/>
  <c r="N4936" i="4"/>
  <c r="O4936" i="4" s="1"/>
  <c r="N4948" i="4"/>
  <c r="O4948" i="4" s="1"/>
  <c r="N4963" i="4"/>
  <c r="O4963" i="4" s="1"/>
  <c r="N4974" i="4"/>
  <c r="O4974" i="4" s="1"/>
  <c r="N4985" i="4"/>
  <c r="O4985" i="4" s="1"/>
  <c r="N5001" i="4"/>
  <c r="O5001" i="4" s="1"/>
  <c r="N5006" i="4"/>
  <c r="O5006" i="4" s="1"/>
  <c r="N5012" i="4"/>
  <c r="O5012" i="4" s="1"/>
  <c r="N5016" i="4"/>
  <c r="O5016" i="4" s="1"/>
  <c r="N5023" i="4"/>
  <c r="O5023" i="4" s="1"/>
  <c r="N5028" i="4"/>
  <c r="O5028" i="4" s="1"/>
  <c r="N5071" i="4"/>
  <c r="O5071" i="4" s="1"/>
  <c r="N5092" i="4"/>
  <c r="O5092" i="4" s="1"/>
  <c r="N5104" i="4"/>
  <c r="O5104" i="4" s="1"/>
  <c r="N5117" i="4"/>
  <c r="O5117" i="4" s="1"/>
  <c r="N5121" i="4"/>
  <c r="O5121" i="4" s="1"/>
  <c r="N5125" i="4"/>
  <c r="O5125" i="4" s="1"/>
  <c r="N5134" i="4"/>
  <c r="O5134" i="4" s="1"/>
  <c r="N5157" i="4"/>
  <c r="O5157" i="4" s="1"/>
  <c r="N5169" i="4"/>
  <c r="O5169" i="4" s="1"/>
  <c r="N5175" i="4"/>
  <c r="O5175" i="4" s="1"/>
  <c r="N5178" i="4"/>
  <c r="O5178" i="4" s="1"/>
  <c r="N5182" i="4"/>
  <c r="O5182" i="4" s="1"/>
  <c r="N5191" i="4"/>
  <c r="O5191" i="4" s="1"/>
  <c r="N5204" i="4"/>
  <c r="O5204" i="4" s="1"/>
  <c r="N5207" i="4"/>
  <c r="O5207" i="4" s="1"/>
  <c r="N5208" i="4"/>
  <c r="O5208" i="4" s="1"/>
  <c r="N5209" i="4"/>
  <c r="O5209" i="4" s="1"/>
  <c r="N5211" i="4"/>
  <c r="O5211" i="4" s="1"/>
  <c r="N5212" i="4"/>
  <c r="O5212" i="4" s="1"/>
  <c r="N5213" i="4"/>
  <c r="O5213" i="4" s="1"/>
  <c r="N5216" i="4"/>
  <c r="O5216" i="4" s="1"/>
  <c r="N5217" i="4"/>
  <c r="O5217" i="4" s="1"/>
  <c r="N5218" i="4"/>
  <c r="O5218" i="4" s="1"/>
  <c r="N5219" i="4"/>
  <c r="O5219" i="4" s="1"/>
  <c r="N5220" i="4"/>
  <c r="O5220" i="4" s="1"/>
  <c r="N5221" i="4"/>
  <c r="O5221" i="4" s="1"/>
  <c r="N5222" i="4"/>
  <c r="O5222" i="4" s="1"/>
  <c r="N5223" i="4"/>
  <c r="O5223" i="4" s="1"/>
  <c r="N5224" i="4"/>
  <c r="O5224" i="4" s="1"/>
  <c r="N5225" i="4"/>
  <c r="O5225" i="4" s="1"/>
  <c r="N5226" i="4"/>
  <c r="O5226" i="4" s="1"/>
  <c r="N5227" i="4"/>
  <c r="O5227" i="4" s="1"/>
  <c r="N5228" i="4"/>
  <c r="O5228" i="4" s="1"/>
  <c r="N5229" i="4"/>
  <c r="O5229" i="4" s="1"/>
  <c r="N5230" i="4"/>
  <c r="O5230" i="4" s="1"/>
  <c r="N5232" i="4"/>
  <c r="O5232" i="4" s="1"/>
  <c r="N5233" i="4"/>
  <c r="O5233" i="4" s="1"/>
  <c r="N5234" i="4"/>
  <c r="O5234" i="4" s="1"/>
  <c r="N5235" i="4"/>
  <c r="O5235" i="4" s="1"/>
  <c r="N5237" i="4"/>
  <c r="O5237" i="4" s="1"/>
  <c r="N5238" i="4"/>
  <c r="O5238" i="4" s="1"/>
  <c r="N5239" i="4"/>
  <c r="O5239" i="4" s="1"/>
  <c r="N5240" i="4"/>
  <c r="O5240" i="4" s="1"/>
  <c r="N5241" i="4"/>
  <c r="O5241" i="4" s="1"/>
  <c r="N5244" i="4"/>
  <c r="O5244" i="4" s="1"/>
  <c r="N5245" i="4"/>
  <c r="O5245" i="4" s="1"/>
  <c r="N5246" i="4"/>
  <c r="O5246" i="4" s="1"/>
  <c r="N5247" i="4"/>
  <c r="O5247" i="4" s="1"/>
  <c r="N5248" i="4"/>
  <c r="O5248" i="4" s="1"/>
  <c r="N5249" i="4"/>
  <c r="O5249" i="4" s="1"/>
  <c r="N5250" i="4"/>
  <c r="O5250" i="4" s="1"/>
  <c r="N5251" i="4"/>
  <c r="O5251" i="4" s="1"/>
  <c r="N5252" i="4"/>
  <c r="O5252" i="4" s="1"/>
  <c r="N5253" i="4"/>
  <c r="O5253" i="4" s="1"/>
  <c r="N5254" i="4"/>
  <c r="O5254" i="4" s="1"/>
  <c r="N5255" i="4"/>
  <c r="O5255" i="4" s="1"/>
  <c r="N5256" i="4"/>
  <c r="O5256" i="4" s="1"/>
  <c r="N5257" i="4"/>
  <c r="O5257" i="4" s="1"/>
  <c r="N5258" i="4"/>
  <c r="O5258" i="4" s="1"/>
  <c r="N5274" i="4"/>
  <c r="O5274" i="4" s="1"/>
  <c r="N5276" i="4"/>
  <c r="O5276" i="4" s="1"/>
  <c r="N5278" i="4"/>
  <c r="O5278" i="4" s="1"/>
  <c r="N5282" i="4"/>
  <c r="O5282" i="4" s="1"/>
  <c r="N5285" i="4"/>
  <c r="O5285" i="4" s="1"/>
  <c r="N5286" i="4"/>
  <c r="O5286" i="4" s="1"/>
  <c r="N5287" i="4"/>
  <c r="O5287" i="4" s="1"/>
  <c r="N5291" i="4"/>
  <c r="O5291" i="4" s="1"/>
  <c r="N5295" i="4"/>
  <c r="O5295" i="4" s="1"/>
  <c r="N5296" i="4"/>
  <c r="O5296" i="4" s="1"/>
  <c r="N5298" i="4"/>
  <c r="O5298" i="4" s="1"/>
  <c r="N5299" i="4"/>
  <c r="O5299" i="4" s="1"/>
  <c r="N5300" i="4"/>
  <c r="O5300" i="4" s="1"/>
  <c r="N5304" i="4"/>
  <c r="O5304" i="4" s="1"/>
  <c r="N5308" i="4"/>
  <c r="O5308" i="4" s="1"/>
  <c r="N5309" i="4"/>
  <c r="O5309" i="4" s="1"/>
  <c r="N5310" i="4"/>
  <c r="O5310" i="4" s="1"/>
  <c r="N5315" i="4"/>
  <c r="O5315" i="4" s="1"/>
  <c r="N5317" i="4"/>
  <c r="O5317" i="4" s="1"/>
  <c r="N5318" i="4"/>
  <c r="O5318" i="4" s="1"/>
  <c r="N5319" i="4"/>
  <c r="O5319" i="4" s="1"/>
  <c r="N5322" i="4"/>
  <c r="O5322" i="4" s="1"/>
  <c r="N5324" i="4"/>
  <c r="O5324" i="4" s="1"/>
  <c r="N5326" i="4"/>
  <c r="O5326" i="4" s="1"/>
  <c r="N5328" i="4"/>
  <c r="O5328" i="4" s="1"/>
  <c r="N5331" i="4"/>
  <c r="O5331" i="4" s="1"/>
  <c r="N5332" i="4"/>
  <c r="O5332" i="4" s="1"/>
  <c r="N5333" i="4"/>
  <c r="O5333" i="4" s="1"/>
  <c r="N5335" i="4"/>
  <c r="O5335" i="4" s="1"/>
  <c r="N5341" i="4"/>
  <c r="O5341" i="4" s="1"/>
  <c r="N5344" i="4"/>
  <c r="O5344" i="4" s="1"/>
  <c r="N5346" i="4"/>
  <c r="O5346" i="4" s="1"/>
  <c r="N5347" i="4"/>
  <c r="O5347" i="4" s="1"/>
  <c r="N5350" i="4"/>
  <c r="O5350" i="4" s="1"/>
  <c r="N5353" i="4"/>
  <c r="O5353" i="4" s="1"/>
  <c r="N5354" i="4"/>
  <c r="O5354" i="4" s="1"/>
  <c r="N5359" i="4"/>
  <c r="O5359" i="4" s="1"/>
  <c r="N5360" i="4"/>
  <c r="O5360" i="4" s="1"/>
  <c r="N5362" i="4"/>
  <c r="O5362" i="4" s="1"/>
  <c r="N5368" i="4"/>
  <c r="O5368" i="4" s="1"/>
  <c r="N5370" i="4"/>
  <c r="O5370" i="4" s="1"/>
  <c r="N5371" i="4"/>
  <c r="O5371" i="4" s="1"/>
  <c r="N5372" i="4"/>
  <c r="O5372" i="4" s="1"/>
  <c r="N5382" i="4"/>
  <c r="O5382" i="4" s="1"/>
  <c r="N5383" i="4"/>
  <c r="O5383" i="4" s="1"/>
  <c r="N5386" i="4"/>
  <c r="O5386" i="4" s="1"/>
  <c r="N5388" i="4"/>
  <c r="O5388" i="4" s="1"/>
  <c r="N5389" i="4"/>
  <c r="O5389" i="4" s="1"/>
  <c r="N5391" i="4"/>
  <c r="O5391" i="4" s="1"/>
  <c r="N5395" i="4"/>
  <c r="O5395" i="4" s="1"/>
  <c r="N5398" i="4"/>
  <c r="O5398" i="4" s="1"/>
  <c r="N5399" i="4"/>
  <c r="O5399" i="4" s="1"/>
  <c r="N5400" i="4"/>
  <c r="O5400" i="4" s="1"/>
  <c r="N5401" i="4"/>
  <c r="O5401" i="4" s="1"/>
  <c r="N5404" i="4"/>
  <c r="O5404" i="4" s="1"/>
  <c r="N5407" i="4"/>
  <c r="O5407" i="4" s="1"/>
  <c r="N5408" i="4"/>
  <c r="O5408" i="4" s="1"/>
  <c r="N5409" i="4"/>
  <c r="O5409" i="4" s="1"/>
  <c r="N5412" i="4"/>
  <c r="O5412" i="4" s="1"/>
  <c r="N5413" i="4"/>
  <c r="O5413" i="4" s="1"/>
  <c r="N5416" i="4"/>
  <c r="O5416" i="4" s="1"/>
  <c r="N5418" i="4"/>
  <c r="O5418" i="4" s="1"/>
  <c r="N5419" i="4"/>
  <c r="O5419" i="4" s="1"/>
  <c r="N5421" i="4"/>
  <c r="O5421" i="4" s="1"/>
  <c r="N5422" i="4"/>
  <c r="O5422" i="4" s="1"/>
  <c r="N5424" i="4"/>
  <c r="O5424" i="4" s="1"/>
  <c r="N5426" i="4"/>
  <c r="O5426" i="4" s="1"/>
  <c r="N5427" i="4"/>
  <c r="O5427" i="4" s="1"/>
  <c r="N5429" i="4"/>
  <c r="O5429" i="4" s="1"/>
  <c r="N5431" i="4"/>
  <c r="O5431" i="4" s="1"/>
  <c r="N5434" i="4"/>
  <c r="O5434" i="4" s="1"/>
  <c r="N5435" i="4"/>
  <c r="O5435" i="4" s="1"/>
  <c r="N5436" i="4"/>
  <c r="O5436" i="4" s="1"/>
  <c r="N5438" i="4"/>
  <c r="O5438" i="4" s="1"/>
  <c r="N5603" i="4"/>
  <c r="O5603" i="4" s="1"/>
  <c r="N5604" i="4"/>
  <c r="O5604" i="4" s="1"/>
  <c r="N5605" i="4"/>
  <c r="O5605" i="4" s="1"/>
  <c r="N5606" i="4"/>
  <c r="O5606" i="4" s="1"/>
  <c r="N5607" i="4"/>
  <c r="O5607" i="4" s="1"/>
  <c r="N5608" i="4"/>
  <c r="O5608" i="4" s="1"/>
  <c r="N5609" i="4"/>
  <c r="O5609" i="4" s="1"/>
  <c r="N5610" i="4"/>
  <c r="O5610" i="4" s="1"/>
  <c r="N5611" i="4"/>
  <c r="O5611" i="4" s="1"/>
  <c r="N5612" i="4"/>
  <c r="O5612" i="4" s="1"/>
  <c r="N5613" i="4"/>
  <c r="O5613" i="4" s="1"/>
  <c r="N5614" i="4"/>
  <c r="O5614" i="4" s="1"/>
  <c r="N5615" i="4"/>
  <c r="O5615" i="4" s="1"/>
  <c r="N5616" i="4"/>
  <c r="O5616" i="4" s="1"/>
  <c r="N5617" i="4"/>
  <c r="O5617" i="4" s="1"/>
  <c r="N5618" i="4"/>
  <c r="O5618" i="4" s="1"/>
  <c r="N5619" i="4"/>
  <c r="O5619" i="4" s="1"/>
  <c r="N5620" i="4"/>
  <c r="O5620" i="4" s="1"/>
  <c r="N5621" i="4"/>
  <c r="O5621" i="4" s="1"/>
  <c r="N5622" i="4"/>
  <c r="O5622" i="4" s="1"/>
  <c r="N5623" i="4"/>
  <c r="O5623" i="4" s="1"/>
  <c r="N5624" i="4"/>
  <c r="O5624" i="4" s="1"/>
  <c r="N5625" i="4"/>
  <c r="O5625" i="4" s="1"/>
  <c r="N5626" i="4"/>
  <c r="O5626" i="4" s="1"/>
  <c r="N5627" i="4"/>
  <c r="O5627" i="4" s="1"/>
  <c r="N5628" i="4"/>
  <c r="O5628" i="4" s="1"/>
  <c r="N5629" i="4"/>
  <c r="O5629" i="4" s="1"/>
  <c r="N5630" i="4"/>
  <c r="O5630" i="4" s="1"/>
  <c r="N5631" i="4"/>
  <c r="O5631" i="4" s="1"/>
  <c r="N5632" i="4"/>
  <c r="O5632" i="4" s="1"/>
  <c r="N5633" i="4"/>
  <c r="O5633" i="4" s="1"/>
  <c r="N5634" i="4"/>
  <c r="O5634" i="4" s="1"/>
  <c r="N5635" i="4"/>
  <c r="O5635" i="4" s="1"/>
  <c r="N5636" i="4"/>
  <c r="O5636" i="4" s="1"/>
  <c r="N5637" i="4"/>
  <c r="O5637" i="4" s="1"/>
  <c r="N5638" i="4"/>
  <c r="O5638" i="4" s="1"/>
  <c r="N5639" i="4"/>
  <c r="O5639" i="4" s="1"/>
  <c r="N5640" i="4"/>
  <c r="O5640" i="4" s="1"/>
  <c r="N5641" i="4"/>
  <c r="O5641" i="4" s="1"/>
  <c r="N5642" i="4"/>
  <c r="O5642" i="4" s="1"/>
  <c r="N5643" i="4"/>
  <c r="O5643" i="4" s="1"/>
  <c r="N5644" i="4"/>
  <c r="O5644" i="4" s="1"/>
  <c r="N5645" i="4"/>
  <c r="O5645" i="4" s="1"/>
  <c r="N5646" i="4"/>
  <c r="O5646" i="4" s="1"/>
  <c r="N5647" i="4"/>
  <c r="O5647" i="4" s="1"/>
  <c r="N5648" i="4"/>
  <c r="O5648" i="4" s="1"/>
  <c r="N5649" i="4"/>
  <c r="O5649" i="4" s="1"/>
  <c r="N5650" i="4"/>
  <c r="O5650" i="4" s="1"/>
  <c r="N5651" i="4"/>
  <c r="O5651" i="4" s="1"/>
  <c r="N5653" i="4"/>
  <c r="O5653" i="4" s="1"/>
  <c r="N5654" i="4"/>
  <c r="O5654" i="4" s="1"/>
  <c r="N5655" i="4"/>
  <c r="O5655" i="4" s="1"/>
  <c r="N5656" i="4"/>
  <c r="O5656" i="4" s="1"/>
  <c r="N5657" i="4"/>
  <c r="O5657" i="4" s="1"/>
  <c r="N5658" i="4"/>
  <c r="O5658" i="4" s="1"/>
  <c r="N5659" i="4"/>
  <c r="O5659" i="4" s="1"/>
  <c r="N5660" i="4"/>
  <c r="O5660" i="4" s="1"/>
  <c r="N5661" i="4"/>
  <c r="O5661" i="4" s="1"/>
  <c r="N5662" i="4"/>
  <c r="O5662" i="4" s="1"/>
  <c r="N5663" i="4"/>
  <c r="O5663" i="4" s="1"/>
  <c r="N5664" i="4"/>
  <c r="O5664" i="4" s="1"/>
  <c r="N5665" i="4"/>
  <c r="O5665" i="4" s="1"/>
  <c r="N5666" i="4"/>
  <c r="O5666" i="4" s="1"/>
  <c r="N5667" i="4"/>
  <c r="O5667" i="4" s="1"/>
  <c r="N5668" i="4"/>
  <c r="O5668" i="4" s="1"/>
  <c r="N5669" i="4"/>
  <c r="O5669" i="4" s="1"/>
  <c r="N5670" i="4"/>
  <c r="O5670" i="4" s="1"/>
  <c r="N5671" i="4"/>
  <c r="O5671" i="4" s="1"/>
  <c r="N5672" i="4"/>
  <c r="O5672" i="4" s="1"/>
  <c r="N5673" i="4"/>
  <c r="O5673" i="4" s="1"/>
  <c r="N5674" i="4"/>
  <c r="O5674" i="4" s="1"/>
  <c r="N5675" i="4"/>
  <c r="O5675" i="4" s="1"/>
  <c r="N5676" i="4"/>
  <c r="O5676" i="4" s="1"/>
  <c r="N5677" i="4"/>
  <c r="O5677" i="4" s="1"/>
  <c r="N5678" i="4"/>
  <c r="O5678" i="4" s="1"/>
  <c r="N5679" i="4"/>
  <c r="O5679" i="4" s="1"/>
  <c r="N5680" i="4"/>
  <c r="O5680" i="4" s="1"/>
  <c r="N5681" i="4"/>
  <c r="O5681" i="4" s="1"/>
  <c r="N5682" i="4"/>
  <c r="O5682" i="4" s="1"/>
  <c r="N5683" i="4"/>
  <c r="O5683" i="4" s="1"/>
  <c r="N5684" i="4"/>
  <c r="O5684" i="4" s="1"/>
  <c r="N5685" i="4"/>
  <c r="O5685" i="4" s="1"/>
  <c r="N5686" i="4"/>
  <c r="O5686" i="4" s="1"/>
  <c r="N5687" i="4"/>
  <c r="O5687" i="4" s="1"/>
  <c r="N5688" i="4"/>
  <c r="O5688" i="4" s="1"/>
  <c r="N5689" i="4"/>
  <c r="O5689" i="4" s="1"/>
  <c r="N5690" i="4"/>
  <c r="O5690" i="4" s="1"/>
  <c r="N5691" i="4"/>
  <c r="O5691" i="4" s="1"/>
  <c r="N5692" i="4"/>
  <c r="O5692" i="4" s="1"/>
  <c r="N5693" i="4"/>
  <c r="O5693" i="4" s="1"/>
  <c r="N5694" i="4"/>
  <c r="O5694" i="4" s="1"/>
  <c r="N5695" i="4"/>
  <c r="O5695" i="4" s="1"/>
  <c r="N5696" i="4"/>
  <c r="O5696" i="4" s="1"/>
  <c r="N5697" i="4"/>
  <c r="O5697" i="4" s="1"/>
  <c r="N5698" i="4"/>
  <c r="O5698" i="4" s="1"/>
  <c r="N5699" i="4"/>
  <c r="O5699" i="4" s="1"/>
  <c r="N5700" i="4"/>
  <c r="O5700" i="4" s="1"/>
  <c r="N5701" i="4"/>
  <c r="O5701" i="4" s="1"/>
  <c r="N5702" i="4"/>
  <c r="O5702" i="4" s="1"/>
  <c r="N5703" i="4"/>
  <c r="O5703" i="4" s="1"/>
  <c r="N5704" i="4"/>
  <c r="O5704" i="4" s="1"/>
  <c r="N5705" i="4"/>
  <c r="O5705" i="4" s="1"/>
  <c r="N5706" i="4"/>
  <c r="O5706" i="4" s="1"/>
  <c r="N5707" i="4"/>
  <c r="O5707" i="4" s="1"/>
  <c r="N5708" i="4"/>
  <c r="O5708" i="4" s="1"/>
  <c r="N5709" i="4"/>
  <c r="O5709" i="4" s="1"/>
  <c r="N5710" i="4"/>
  <c r="O5710" i="4" s="1"/>
  <c r="N5711" i="4"/>
  <c r="O5711" i="4" s="1"/>
  <c r="N5712" i="4"/>
  <c r="O5712" i="4" s="1"/>
  <c r="N5713" i="4"/>
  <c r="O5713" i="4" s="1"/>
  <c r="N5714" i="4"/>
  <c r="O5714" i="4" s="1"/>
  <c r="N5715" i="4"/>
  <c r="O5715" i="4" s="1"/>
  <c r="N5716" i="4"/>
  <c r="O5716" i="4" s="1"/>
  <c r="N5717" i="4"/>
  <c r="O5717" i="4" s="1"/>
  <c r="N5718" i="4"/>
  <c r="O5718" i="4" s="1"/>
  <c r="N5719" i="4"/>
  <c r="O5719" i="4" s="1"/>
  <c r="N5720" i="4"/>
  <c r="O5720" i="4" s="1"/>
  <c r="N5721" i="4"/>
  <c r="O5721" i="4" s="1"/>
  <c r="N5722" i="4"/>
  <c r="O5722" i="4" s="1"/>
  <c r="N5723" i="4"/>
  <c r="O5723" i="4" s="1"/>
  <c r="N5724" i="4"/>
  <c r="O5724" i="4" s="1"/>
  <c r="N5725" i="4"/>
  <c r="O5725" i="4" s="1"/>
  <c r="N5726" i="4"/>
  <c r="O5726" i="4" s="1"/>
  <c r="N5727" i="4"/>
  <c r="O5727" i="4" s="1"/>
  <c r="N5728" i="4"/>
  <c r="O5728" i="4" s="1"/>
  <c r="N5729" i="4"/>
  <c r="O5729" i="4" s="1"/>
  <c r="N5730" i="4"/>
  <c r="O5730" i="4" s="1"/>
  <c r="N5732" i="4"/>
  <c r="O5732" i="4" s="1"/>
  <c r="N5733" i="4"/>
  <c r="O5733" i="4" s="1"/>
  <c r="N5734" i="4"/>
  <c r="O5734" i="4" s="1"/>
  <c r="N5735" i="4"/>
  <c r="O5735" i="4" s="1"/>
  <c r="N5736" i="4"/>
  <c r="O5736" i="4" s="1"/>
  <c r="N5737" i="4"/>
  <c r="O5737" i="4" s="1"/>
  <c r="N5738" i="4"/>
  <c r="O5738" i="4" s="1"/>
  <c r="N5739" i="4"/>
  <c r="O5739" i="4" s="1"/>
  <c r="N5740" i="4"/>
  <c r="O5740" i="4" s="1"/>
  <c r="N5741" i="4"/>
  <c r="O5741" i="4" s="1"/>
  <c r="N5742" i="4"/>
  <c r="O5742" i="4" s="1"/>
  <c r="N5743" i="4"/>
  <c r="O5743" i="4" s="1"/>
  <c r="N5744" i="4"/>
  <c r="O5744" i="4" s="1"/>
  <c r="N5745" i="4"/>
  <c r="O5745" i="4" s="1"/>
  <c r="N5746" i="4"/>
  <c r="O5746" i="4" s="1"/>
  <c r="N5747" i="4"/>
  <c r="O5747" i="4" s="1"/>
  <c r="N5748" i="4"/>
  <c r="O5748" i="4" s="1"/>
  <c r="N5749" i="4"/>
  <c r="O5749" i="4" s="1"/>
  <c r="N5750" i="4"/>
  <c r="O5750" i="4" s="1"/>
  <c r="N5751" i="4"/>
  <c r="O5751" i="4" s="1"/>
  <c r="N5752" i="4"/>
  <c r="O5752" i="4" s="1"/>
  <c r="N5753" i="4"/>
  <c r="O5753" i="4" s="1"/>
  <c r="N5754" i="4"/>
  <c r="O5754" i="4" s="1"/>
  <c r="N5755" i="4"/>
  <c r="O5755" i="4" s="1"/>
  <c r="N5756" i="4"/>
  <c r="O5756" i="4" s="1"/>
  <c r="N5757" i="4"/>
  <c r="O5757" i="4" s="1"/>
  <c r="N5758" i="4"/>
  <c r="O5758" i="4" s="1"/>
  <c r="N5759" i="4"/>
  <c r="O5759" i="4" s="1"/>
  <c r="N5760" i="4"/>
  <c r="O5760" i="4" s="1"/>
  <c r="N5761" i="4"/>
  <c r="O5761" i="4" s="1"/>
  <c r="N5762" i="4"/>
  <c r="O5762" i="4" s="1"/>
  <c r="N5763" i="4"/>
  <c r="O5763" i="4" s="1"/>
  <c r="N5764" i="4"/>
  <c r="O5764" i="4" s="1"/>
  <c r="N5765" i="4"/>
  <c r="O5765" i="4" s="1"/>
  <c r="N5766" i="4"/>
  <c r="O5766" i="4" s="1"/>
  <c r="N5767" i="4"/>
  <c r="O5767" i="4" s="1"/>
  <c r="N5768" i="4"/>
  <c r="O5768" i="4" s="1"/>
  <c r="N5769" i="4"/>
  <c r="O5769" i="4" s="1"/>
  <c r="N5770" i="4"/>
  <c r="O5770" i="4" s="1"/>
  <c r="N5771" i="4"/>
  <c r="O5771" i="4" s="1"/>
  <c r="N5772" i="4"/>
  <c r="O5772" i="4" s="1"/>
  <c r="N5773" i="4"/>
  <c r="O5773" i="4" s="1"/>
  <c r="N5774" i="4"/>
  <c r="O5774" i="4" s="1"/>
  <c r="N5775" i="4"/>
  <c r="O5775" i="4" s="1"/>
  <c r="N5776" i="4"/>
  <c r="O5776" i="4" s="1"/>
  <c r="N5777" i="4"/>
  <c r="O5777" i="4" s="1"/>
  <c r="N5778" i="4"/>
  <c r="O5778" i="4" s="1"/>
  <c r="N5779" i="4"/>
  <c r="O5779" i="4" s="1"/>
  <c r="N5780" i="4"/>
  <c r="O5780" i="4" s="1"/>
  <c r="N5781" i="4"/>
  <c r="O5781" i="4" s="1"/>
  <c r="N5782" i="4"/>
  <c r="O5782" i="4" s="1"/>
  <c r="N5783" i="4"/>
  <c r="O5783" i="4" s="1"/>
  <c r="N5784" i="4"/>
  <c r="O5784" i="4" s="1"/>
  <c r="N5785" i="4"/>
  <c r="O5785" i="4" s="1"/>
  <c r="N5786" i="4"/>
  <c r="O5786" i="4" s="1"/>
  <c r="N5787" i="4"/>
  <c r="O5787" i="4" s="1"/>
  <c r="N5788" i="4"/>
  <c r="O5788" i="4" s="1"/>
  <c r="N5789" i="4"/>
  <c r="O5789" i="4" s="1"/>
  <c r="N5790" i="4"/>
  <c r="O5790" i="4" s="1"/>
  <c r="N5791" i="4"/>
  <c r="O5791" i="4" s="1"/>
  <c r="N5792" i="4"/>
  <c r="O5792" i="4" s="1"/>
  <c r="N5793" i="4"/>
  <c r="O5793" i="4" s="1"/>
  <c r="N5794" i="4"/>
  <c r="O5794" i="4" s="1"/>
  <c r="N5795" i="4"/>
  <c r="O5795" i="4" s="1"/>
  <c r="N5796" i="4"/>
  <c r="O5796" i="4" s="1"/>
  <c r="N5797" i="4"/>
  <c r="O5797" i="4" s="1"/>
  <c r="N5798" i="4"/>
  <c r="O5798" i="4" s="1"/>
  <c r="N5799" i="4"/>
  <c r="O5799" i="4" s="1"/>
  <c r="N5800" i="4"/>
  <c r="O5800" i="4" s="1"/>
  <c r="N5801" i="4"/>
  <c r="O5801" i="4" s="1"/>
  <c r="N5802" i="4"/>
  <c r="O5802" i="4" s="1"/>
  <c r="N5803" i="4"/>
  <c r="O5803" i="4" s="1"/>
  <c r="N5804" i="4"/>
  <c r="O5804" i="4" s="1"/>
  <c r="N5805" i="4"/>
  <c r="O5805" i="4" s="1"/>
  <c r="N5806" i="4"/>
  <c r="O5806" i="4" s="1"/>
  <c r="N5807" i="4"/>
  <c r="O5807" i="4" s="1"/>
  <c r="N5808" i="4"/>
  <c r="O5808" i="4" s="1"/>
  <c r="N5809" i="4"/>
  <c r="O5809" i="4" s="1"/>
  <c r="N5810" i="4"/>
  <c r="O5810" i="4" s="1"/>
  <c r="N5811" i="4"/>
  <c r="O5811" i="4" s="1"/>
  <c r="N5812" i="4"/>
  <c r="O5812" i="4" s="1"/>
  <c r="N7" i="4"/>
  <c r="N11" i="4"/>
  <c r="O11" i="4" s="1"/>
  <c r="N25" i="4"/>
  <c r="O25" i="4" s="1"/>
  <c r="N65" i="4"/>
  <c r="O65" i="4" s="1"/>
  <c r="N96" i="4"/>
  <c r="O96" i="4" s="1"/>
  <c r="N104" i="4"/>
  <c r="O104" i="4" s="1"/>
  <c r="N146" i="4"/>
  <c r="O146" i="4" s="1"/>
  <c r="N177" i="4"/>
  <c r="O177" i="4" s="1"/>
  <c r="N195" i="4"/>
  <c r="O195" i="4" s="1"/>
  <c r="N208" i="4"/>
  <c r="O208" i="4" s="1"/>
  <c r="N220" i="4"/>
  <c r="O220" i="4" s="1"/>
  <c r="N232" i="4"/>
  <c r="O232" i="4" s="1"/>
  <c r="N244" i="4"/>
  <c r="O244" i="4" s="1"/>
  <c r="N269" i="4"/>
  <c r="O269" i="4" s="1"/>
  <c r="N285" i="4"/>
  <c r="O285" i="4" s="1"/>
  <c r="N289" i="4"/>
  <c r="O289" i="4" s="1"/>
  <c r="N296" i="4"/>
  <c r="O296" i="4" s="1"/>
  <c r="N335" i="4"/>
  <c r="O335" i="4" s="1"/>
  <c r="N363" i="4"/>
  <c r="O363" i="4" s="1"/>
  <c r="N367" i="4"/>
  <c r="O367" i="4" s="1"/>
  <c r="N387" i="4"/>
  <c r="O387" i="4" s="1"/>
  <c r="N397" i="4"/>
  <c r="O397" i="4" s="1"/>
  <c r="N402" i="4"/>
  <c r="O402" i="4" s="1"/>
  <c r="N408" i="4"/>
  <c r="O408" i="4" s="1"/>
  <c r="N419" i="4"/>
  <c r="O419" i="4" s="1"/>
  <c r="N423" i="4"/>
  <c r="O423" i="4" s="1"/>
  <c r="N440" i="4"/>
  <c r="O440" i="4" s="1"/>
  <c r="N1499" i="4"/>
  <c r="O1499" i="4" s="1"/>
  <c r="N1507" i="4"/>
  <c r="O1507" i="4" s="1"/>
  <c r="N1527" i="4"/>
  <c r="O1527" i="4" s="1"/>
  <c r="N1533" i="4"/>
  <c r="O1533" i="4" s="1"/>
  <c r="N1546" i="4"/>
  <c r="O1546" i="4" s="1"/>
  <c r="N1571" i="4"/>
  <c r="O1571" i="4" s="1"/>
  <c r="N1575" i="4"/>
  <c r="O1575" i="4" s="1"/>
  <c r="N1594" i="4"/>
  <c r="O1594" i="4" s="1"/>
  <c r="N1605" i="4"/>
  <c r="O1605" i="4" s="1"/>
  <c r="N1609" i="4"/>
  <c r="O1609" i="4" s="1"/>
  <c r="N1616" i="4"/>
  <c r="O1616" i="4" s="1"/>
  <c r="N1620" i="4"/>
  <c r="O1620" i="4" s="1"/>
  <c r="N1624" i="4"/>
  <c r="O1624" i="4" s="1"/>
  <c r="N1659" i="4"/>
  <c r="O1659" i="4" s="1"/>
  <c r="N1667" i="4"/>
  <c r="O1667" i="4" s="1"/>
  <c r="N1732" i="4"/>
  <c r="O1732" i="4" s="1"/>
  <c r="N1741" i="4"/>
  <c r="O1741" i="4" s="1"/>
  <c r="N1745" i="4"/>
  <c r="O1745" i="4" s="1"/>
  <c r="N1756" i="4"/>
  <c r="O1756" i="4" s="1"/>
  <c r="N1778" i="4"/>
  <c r="O1778" i="4" s="1"/>
  <c r="N1782" i="4"/>
  <c r="O1782" i="4" s="1"/>
  <c r="N1796" i="4"/>
  <c r="O1796" i="4" s="1"/>
  <c r="N1802" i="4"/>
  <c r="O1802" i="4" s="1"/>
  <c r="N1806" i="4"/>
  <c r="O1806" i="4" s="1"/>
  <c r="N1810" i="4"/>
  <c r="O1810" i="4" s="1"/>
  <c r="N1841" i="4"/>
  <c r="O1841" i="4" s="1"/>
  <c r="N1858" i="4"/>
  <c r="O1858" i="4" s="1"/>
  <c r="N1869" i="4"/>
  <c r="O1869" i="4" s="1"/>
  <c r="N1895" i="4"/>
  <c r="O1895" i="4" s="1"/>
  <c r="N1931" i="4"/>
  <c r="O1931" i="4" s="1"/>
  <c r="N1983" i="4"/>
  <c r="O1983" i="4" s="1"/>
  <c r="N2015" i="4"/>
  <c r="O2015" i="4" s="1"/>
  <c r="N2049" i="4"/>
  <c r="O2049" i="4" s="1"/>
  <c r="N2069" i="4"/>
  <c r="O2069" i="4" s="1"/>
  <c r="N2073" i="4"/>
  <c r="O2073" i="4" s="1"/>
  <c r="N2105" i="4"/>
  <c r="O2105" i="4" s="1"/>
  <c r="N2131" i="4"/>
  <c r="O2131" i="4" s="1"/>
  <c r="N2140" i="4"/>
  <c r="O2140" i="4" s="1"/>
  <c r="N2163" i="4"/>
  <c r="O2163" i="4" s="1"/>
  <c r="N2210" i="4"/>
  <c r="O2210" i="4" s="1"/>
  <c r="N2237" i="4"/>
  <c r="O2237" i="4" s="1"/>
  <c r="N2282" i="4"/>
  <c r="O2282" i="4" s="1"/>
  <c r="N2286" i="4"/>
  <c r="O2286" i="4" s="1"/>
  <c r="N2316" i="4"/>
  <c r="O2316" i="4" s="1"/>
  <c r="N2349" i="4"/>
  <c r="O2349" i="4" s="1"/>
  <c r="N2370" i="4"/>
  <c r="O2370" i="4" s="1"/>
  <c r="N2387" i="4"/>
  <c r="O2387" i="4" s="1"/>
  <c r="N2415" i="4"/>
  <c r="O2415" i="4" s="1"/>
  <c r="N2418" i="4"/>
  <c r="O2418" i="4" s="1"/>
  <c r="N2422" i="4"/>
  <c r="O2422" i="4" s="1"/>
  <c r="N2464" i="4"/>
  <c r="O2464" i="4" s="1"/>
  <c r="N2491" i="4"/>
  <c r="O2491" i="4" s="1"/>
  <c r="N2564" i="4"/>
  <c r="O2564" i="4" s="1"/>
  <c r="N2586" i="4"/>
  <c r="O2586" i="4" s="1"/>
  <c r="N2621" i="4"/>
  <c r="O2621" i="4" s="1"/>
  <c r="N2662" i="4"/>
  <c r="O2662" i="4" s="1"/>
  <c r="N2668" i="4"/>
  <c r="O2668" i="4" s="1"/>
  <c r="N2679" i="4"/>
  <c r="O2679" i="4" s="1"/>
  <c r="N2707" i="4"/>
  <c r="O2707" i="4" s="1"/>
  <c r="N2721" i="4"/>
  <c r="O2721" i="4" s="1"/>
  <c r="N2736" i="4"/>
  <c r="O2736" i="4" s="1"/>
  <c r="N2753" i="4"/>
  <c r="O2753" i="4" s="1"/>
  <c r="N2779" i="4"/>
  <c r="O2779" i="4" s="1"/>
  <c r="N2783" i="4"/>
  <c r="O2783" i="4" s="1"/>
  <c r="N2833" i="4"/>
  <c r="O2833" i="4" s="1"/>
  <c r="N2842" i="4"/>
  <c r="O2842" i="4" s="1"/>
  <c r="N2847" i="4"/>
  <c r="O2847" i="4" s="1"/>
  <c r="N2874" i="4"/>
  <c r="O2874" i="4" s="1"/>
  <c r="N2886" i="4"/>
  <c r="O2886" i="4" s="1"/>
  <c r="N2897" i="4"/>
  <c r="O2897" i="4" s="1"/>
  <c r="N2917" i="4"/>
  <c r="O2917" i="4" s="1"/>
  <c r="N2921" i="4"/>
  <c r="O2921" i="4" s="1"/>
  <c r="N2946" i="4"/>
  <c r="O2946" i="4" s="1"/>
  <c r="N2950" i="4"/>
  <c r="O2950" i="4" s="1"/>
  <c r="N2972" i="4"/>
  <c r="O2972" i="4" s="1"/>
  <c r="N2988" i="4"/>
  <c r="O2988" i="4" s="1"/>
  <c r="N3003" i="4"/>
  <c r="O3003" i="4" s="1"/>
  <c r="N3011" i="4"/>
  <c r="O3011" i="4" s="1"/>
  <c r="N3063" i="4"/>
  <c r="O3063" i="4" s="1"/>
  <c r="N3075" i="4"/>
  <c r="O3075" i="4" s="1"/>
  <c r="N3106" i="4"/>
  <c r="O3106" i="4" s="1"/>
  <c r="N3122" i="4"/>
  <c r="O3122" i="4" s="1"/>
  <c r="N3133" i="4"/>
  <c r="O3133" i="4" s="1"/>
  <c r="N3160" i="4"/>
  <c r="O3160" i="4" s="1"/>
  <c r="N3168" i="4"/>
  <c r="O3168" i="4" s="1"/>
  <c r="N3172" i="4"/>
  <c r="O3172" i="4" s="1"/>
  <c r="N3179" i="4"/>
  <c r="O3179" i="4" s="1"/>
  <c r="N3184" i="4"/>
  <c r="O3184" i="4" s="1"/>
  <c r="N3200" i="4"/>
  <c r="O3200" i="4" s="1"/>
  <c r="N3223" i="4"/>
  <c r="O3223" i="4" s="1"/>
  <c r="N3227" i="4"/>
  <c r="O3227" i="4" s="1"/>
  <c r="N3247" i="4"/>
  <c r="O3247" i="4" s="1"/>
  <c r="N3308" i="4"/>
  <c r="O3308" i="4" s="1"/>
  <c r="N3316" i="4"/>
  <c r="O3316" i="4" s="1"/>
  <c r="N3323" i="4"/>
  <c r="O3323" i="4" s="1"/>
  <c r="N3331" i="4"/>
  <c r="O3331" i="4" s="1"/>
  <c r="N3369" i="4"/>
  <c r="O3369" i="4" s="1"/>
  <c r="N3377" i="4"/>
  <c r="O3377" i="4" s="1"/>
  <c r="N3381" i="4"/>
  <c r="O3381" i="4" s="1"/>
  <c r="N3421" i="4"/>
  <c r="O3421" i="4" s="1"/>
  <c r="N3443" i="4"/>
  <c r="O3443" i="4" s="1"/>
  <c r="N3466" i="4"/>
  <c r="O3466" i="4" s="1"/>
  <c r="N3470" i="4"/>
  <c r="O3470" i="4" s="1"/>
  <c r="N3478" i="4"/>
  <c r="O3478" i="4" s="1"/>
  <c r="N3482" i="4"/>
  <c r="O3482" i="4" s="1"/>
  <c r="N3496" i="4"/>
  <c r="O3496" i="4" s="1"/>
  <c r="N3512" i="4"/>
  <c r="O3512" i="4" s="1"/>
  <c r="N3547" i="4"/>
  <c r="O3547" i="4" s="1"/>
  <c r="N3551" i="4"/>
  <c r="O3551" i="4" s="1"/>
  <c r="N3557" i="4"/>
  <c r="O3557" i="4" s="1"/>
  <c r="N3561" i="4"/>
  <c r="O3561" i="4" s="1"/>
  <c r="N3581" i="4"/>
  <c r="O3581" i="4" s="1"/>
  <c r="N3593" i="4"/>
  <c r="O3593" i="4" s="1"/>
  <c r="N3601" i="4"/>
  <c r="O3601" i="4" s="1"/>
  <c r="N3611" i="4"/>
  <c r="O3611" i="4" s="1"/>
  <c r="N3615" i="4"/>
  <c r="O3615" i="4" s="1"/>
  <c r="N3619" i="4"/>
  <c r="O3619" i="4" s="1"/>
  <c r="N3624" i="4"/>
  <c r="O3624" i="4" s="1"/>
  <c r="N3637" i="4"/>
  <c r="O3637" i="4" s="1"/>
  <c r="N3653" i="4"/>
  <c r="O3653" i="4" s="1"/>
  <c r="N3671" i="4"/>
  <c r="O3671" i="4" s="1"/>
  <c r="N3679" i="4"/>
  <c r="O3679" i="4" s="1"/>
  <c r="N3691" i="4"/>
  <c r="O3691" i="4" s="1"/>
  <c r="N3704" i="4"/>
  <c r="O3704" i="4" s="1"/>
  <c r="N3739" i="4"/>
  <c r="O3739" i="4" s="1"/>
  <c r="N3749" i="4"/>
  <c r="O3749" i="4" s="1"/>
  <c r="N3753" i="4"/>
  <c r="O3753" i="4" s="1"/>
  <c r="N3757" i="4"/>
  <c r="O3757" i="4" s="1"/>
  <c r="N3761" i="4"/>
  <c r="O3761" i="4" s="1"/>
  <c r="N3776" i="4"/>
  <c r="O3776" i="4" s="1"/>
  <c r="N3801" i="4"/>
  <c r="O3801" i="4" s="1"/>
  <c r="N3816" i="4"/>
  <c r="O3816" i="4" s="1"/>
  <c r="N3843" i="4"/>
  <c r="O3843" i="4" s="1"/>
  <c r="N3847" i="4"/>
  <c r="O3847" i="4" s="1"/>
  <c r="N3859" i="4"/>
  <c r="O3859" i="4" s="1"/>
  <c r="N3863" i="4"/>
  <c r="O3863" i="4" s="1"/>
  <c r="N3900" i="4"/>
  <c r="O3900" i="4" s="1"/>
  <c r="N3904" i="4"/>
  <c r="O3904" i="4" s="1"/>
  <c r="N3928" i="4"/>
  <c r="O3928" i="4" s="1"/>
  <c r="N3946" i="4"/>
  <c r="O3946" i="4" s="1"/>
  <c r="N3989" i="4"/>
  <c r="O3989" i="4" s="1"/>
  <c r="N4010" i="4"/>
  <c r="O4010" i="4" s="1"/>
  <c r="N4019" i="4"/>
  <c r="O4019" i="4" s="1"/>
  <c r="N4026" i="4"/>
  <c r="O4026" i="4" s="1"/>
  <c r="N4044" i="4"/>
  <c r="O4044" i="4" s="1"/>
  <c r="N4056" i="4"/>
  <c r="O4056" i="4" s="1"/>
  <c r="N4060" i="4"/>
  <c r="O4060" i="4" s="1"/>
  <c r="N4064" i="4"/>
  <c r="O4064" i="4" s="1"/>
  <c r="N4082" i="4"/>
  <c r="O4082" i="4" s="1"/>
  <c r="N4111" i="4"/>
  <c r="O4111" i="4" s="1"/>
  <c r="N4121" i="4"/>
  <c r="O4121" i="4" s="1"/>
  <c r="N4127" i="4"/>
  <c r="O4127" i="4" s="1"/>
  <c r="N4131" i="4"/>
  <c r="O4131" i="4" s="1"/>
  <c r="N4144" i="4"/>
  <c r="O4144" i="4" s="1"/>
  <c r="N4157" i="4"/>
  <c r="O4157" i="4" s="1"/>
  <c r="N4162" i="4"/>
  <c r="O4162" i="4" s="1"/>
  <c r="N4176" i="4"/>
  <c r="O4176" i="4" s="1"/>
  <c r="N4180" i="4"/>
  <c r="O4180" i="4" s="1"/>
  <c r="N4184" i="4"/>
  <c r="O4184" i="4" s="1"/>
  <c r="N4204" i="4"/>
  <c r="O4204" i="4" s="1"/>
  <c r="N4208" i="4"/>
  <c r="O4208" i="4" s="1"/>
  <c r="N4212" i="4"/>
  <c r="O4212" i="4" s="1"/>
  <c r="N4272" i="4"/>
  <c r="O4272" i="4" s="1"/>
  <c r="N4276" i="4"/>
  <c r="O4276" i="4" s="1"/>
  <c r="N4295" i="4"/>
  <c r="O4295" i="4" s="1"/>
  <c r="N4335" i="4"/>
  <c r="O4335" i="4" s="1"/>
  <c r="N4347" i="4"/>
  <c r="O4347" i="4" s="1"/>
  <c r="N4351" i="4"/>
  <c r="O4351" i="4" s="1"/>
  <c r="N4363" i="4"/>
  <c r="O4363" i="4" s="1"/>
  <c r="N4396" i="4"/>
  <c r="O4396" i="4" s="1"/>
  <c r="N4410" i="4"/>
  <c r="O4410" i="4" s="1"/>
  <c r="N4415" i="4"/>
  <c r="O4415" i="4" s="1"/>
  <c r="N4419" i="4"/>
  <c r="O4419" i="4" s="1"/>
  <c r="N4428" i="4"/>
  <c r="O4428" i="4" s="1"/>
  <c r="N4452" i="4"/>
  <c r="O4452" i="4" s="1"/>
  <c r="N4478" i="4"/>
  <c r="O4478" i="4" s="1"/>
  <c r="N4482" i="4"/>
  <c r="O4482" i="4" s="1"/>
  <c r="N4487" i="4"/>
  <c r="O4487" i="4" s="1"/>
  <c r="N4515" i="4"/>
  <c r="O4515" i="4" s="1"/>
  <c r="N4523" i="4"/>
  <c r="O4523" i="4" s="1"/>
  <c r="N4535" i="4"/>
  <c r="O4535" i="4" s="1"/>
  <c r="N4563" i="4"/>
  <c r="O4563" i="4" s="1"/>
  <c r="N4573" i="4"/>
  <c r="O4573" i="4" s="1"/>
  <c r="N4577" i="4"/>
  <c r="O4577" i="4" s="1"/>
  <c r="N4581" i="4"/>
  <c r="O4581" i="4" s="1"/>
  <c r="N4589" i="4"/>
  <c r="O4589" i="4" s="1"/>
  <c r="N4666" i="4"/>
  <c r="O4666" i="4" s="1"/>
  <c r="N4705" i="4"/>
  <c r="O4705" i="4" s="1"/>
  <c r="N4710" i="4"/>
  <c r="O4710" i="4" s="1"/>
  <c r="N4716" i="4"/>
  <c r="O4716" i="4" s="1"/>
  <c r="N4721" i="4"/>
  <c r="O4721" i="4" s="1"/>
  <c r="N4730" i="4"/>
  <c r="O4730" i="4" s="1"/>
  <c r="N4734" i="4"/>
  <c r="O4734" i="4" s="1"/>
  <c r="N4742" i="4"/>
  <c r="O4742" i="4" s="1"/>
  <c r="N4746" i="4"/>
  <c r="O4746" i="4" s="1"/>
  <c r="N4756" i="4"/>
  <c r="O4756" i="4" s="1"/>
  <c r="N4773" i="4"/>
  <c r="O4773" i="4" s="1"/>
  <c r="N4785" i="4"/>
  <c r="O4785" i="4" s="1"/>
  <c r="N4803" i="4"/>
  <c r="O4803" i="4" s="1"/>
  <c r="N4830" i="4"/>
  <c r="O4830" i="4" s="1"/>
  <c r="N4839" i="4"/>
  <c r="O4839" i="4" s="1"/>
  <c r="N4909" i="4"/>
  <c r="O4909" i="4" s="1"/>
  <c r="N4913" i="4"/>
  <c r="O4913" i="4" s="1"/>
  <c r="N4925" i="4"/>
  <c r="O4925" i="4" s="1"/>
  <c r="N4929" i="4"/>
  <c r="O4929" i="4" s="1"/>
  <c r="N4941" i="4"/>
  <c r="O4941" i="4" s="1"/>
  <c r="N4971" i="4"/>
  <c r="O4971" i="4" s="1"/>
  <c r="N4975" i="4"/>
  <c r="O4975" i="4" s="1"/>
  <c r="N4983" i="4"/>
  <c r="O4983" i="4" s="1"/>
  <c r="N4992" i="4"/>
  <c r="O4992" i="4" s="1"/>
  <c r="N4996" i="4"/>
  <c r="O4996" i="4" s="1"/>
  <c r="N5005" i="4"/>
  <c r="O5005" i="4" s="1"/>
  <c r="N5040" i="4"/>
  <c r="O5040" i="4" s="1"/>
  <c r="N5045" i="4"/>
  <c r="O5045" i="4" s="1"/>
  <c r="N5052" i="4"/>
  <c r="O5052" i="4" s="1"/>
  <c r="N5060" i="4"/>
  <c r="O5060" i="4" s="1"/>
  <c r="N5064" i="4"/>
  <c r="O5064" i="4" s="1"/>
  <c r="N5082" i="4"/>
  <c r="O5082" i="4" s="1"/>
  <c r="N5087" i="4"/>
  <c r="O5087" i="4" s="1"/>
  <c r="N5094" i="4"/>
  <c r="O5094" i="4" s="1"/>
  <c r="N5127" i="4"/>
  <c r="O5127" i="4" s="1"/>
  <c r="N5137" i="4"/>
  <c r="O5137" i="4" s="1"/>
  <c r="N5193" i="4"/>
  <c r="O5193" i="4" s="1"/>
  <c r="N5821" i="4"/>
  <c r="O5821" i="4" s="1"/>
  <c r="N5826" i="4"/>
  <c r="O5826" i="4" s="1"/>
  <c r="N5842" i="4"/>
  <c r="O5842" i="4" s="1"/>
  <c r="N5852" i="4"/>
  <c r="O5852" i="4" s="1"/>
  <c r="N5871" i="4"/>
  <c r="O5871" i="4" s="1"/>
  <c r="N5878" i="4"/>
  <c r="O5878" i="4" s="1"/>
  <c r="N5889" i="4"/>
  <c r="O5889" i="4" s="1"/>
  <c r="N5903" i="4"/>
  <c r="O5903" i="4" s="1"/>
  <c r="N5907" i="4"/>
  <c r="O5907" i="4" s="1"/>
  <c r="N5920" i="4"/>
  <c r="O5920" i="4" s="1"/>
  <c r="N5934" i="4"/>
  <c r="O5934" i="4" s="1"/>
  <c r="N5951" i="4"/>
  <c r="O5951" i="4" s="1"/>
  <c r="N5958" i="4"/>
  <c r="O5958" i="4" s="1"/>
  <c r="N5962" i="4"/>
  <c r="O5962" i="4" s="1"/>
  <c r="N5989" i="4"/>
  <c r="O5989" i="4" s="1"/>
  <c r="N5" i="4"/>
  <c r="O5" i="4" s="1"/>
  <c r="N21" i="4"/>
  <c r="O21" i="4" s="1"/>
  <c r="N39" i="4"/>
  <c r="O39" i="4" s="1"/>
  <c r="N56" i="4"/>
  <c r="O56" i="4" s="1"/>
  <c r="N64" i="4"/>
  <c r="O64" i="4" s="1"/>
  <c r="N69" i="4"/>
  <c r="O69" i="4" s="1"/>
  <c r="N101" i="4"/>
  <c r="O101" i="4" s="1"/>
  <c r="N107" i="4"/>
  <c r="O107" i="4" s="1"/>
  <c r="N121" i="4"/>
  <c r="O121" i="4" s="1"/>
  <c r="N127" i="4"/>
  <c r="O127" i="4" s="1"/>
  <c r="N131" i="4"/>
  <c r="O131" i="4" s="1"/>
  <c r="N140" i="4"/>
  <c r="O140" i="4" s="1"/>
  <c r="N144" i="4"/>
  <c r="O144" i="4" s="1"/>
  <c r="N169" i="4"/>
  <c r="O169" i="4" s="1"/>
  <c r="N207" i="4"/>
  <c r="O207" i="4" s="1"/>
  <c r="N228" i="4"/>
  <c r="O228" i="4" s="1"/>
  <c r="N258" i="4"/>
  <c r="O258" i="4" s="1"/>
  <c r="N272" i="4"/>
  <c r="O272" i="4" s="1"/>
  <c r="N360" i="4"/>
  <c r="O360" i="4" s="1"/>
  <c r="N366" i="4"/>
  <c r="O366" i="4" s="1"/>
  <c r="N378" i="4"/>
  <c r="O378" i="4" s="1"/>
  <c r="N421" i="4"/>
  <c r="O421" i="4" s="1"/>
  <c r="N430" i="4"/>
  <c r="O430" i="4" s="1"/>
  <c r="N436" i="4"/>
  <c r="O436" i="4" s="1"/>
  <c r="N443" i="4"/>
  <c r="O443" i="4" s="1"/>
  <c r="N1506" i="4"/>
  <c r="O1506" i="4" s="1"/>
  <c r="N1518" i="4"/>
  <c r="O1518" i="4" s="1"/>
  <c r="N1598" i="4"/>
  <c r="O1598" i="4" s="1"/>
  <c r="N1608" i="4"/>
  <c r="O1608" i="4" s="1"/>
  <c r="N1692" i="4"/>
  <c r="O1692" i="4" s="1"/>
  <c r="N1700" i="4"/>
  <c r="O1700" i="4" s="1"/>
  <c r="N1769" i="4"/>
  <c r="O1769" i="4" s="1"/>
  <c r="N1821" i="4"/>
  <c r="O1821" i="4" s="1"/>
  <c r="N1835" i="4"/>
  <c r="O1835" i="4" s="1"/>
  <c r="N1840" i="4"/>
  <c r="O1840" i="4" s="1"/>
  <c r="N1854" i="4"/>
  <c r="O1854" i="4" s="1"/>
  <c r="N1900" i="4"/>
  <c r="O1900" i="4" s="1"/>
  <c r="N1930" i="4"/>
  <c r="O1930" i="4" s="1"/>
  <c r="N1950" i="4"/>
  <c r="O1950" i="4" s="1"/>
  <c r="N1966" i="4"/>
  <c r="O1966" i="4" s="1"/>
  <c r="N1975" i="4"/>
  <c r="O1975" i="4" s="1"/>
  <c r="N1980" i="4"/>
  <c r="O1980" i="4" s="1"/>
  <c r="N1984" i="4"/>
  <c r="O1984" i="4" s="1"/>
  <c r="N2033" i="4"/>
  <c r="O2033" i="4" s="1"/>
  <c r="N2041" i="4"/>
  <c r="O2041" i="4" s="1"/>
  <c r="N2121" i="4"/>
  <c r="O2121" i="4" s="1"/>
  <c r="N2130" i="4"/>
  <c r="O2130" i="4" s="1"/>
  <c r="N2138" i="4"/>
  <c r="O2138" i="4" s="1"/>
  <c r="N2142" i="4"/>
  <c r="O2142" i="4" s="1"/>
  <c r="N2173" i="4"/>
  <c r="O2173" i="4" s="1"/>
  <c r="N2186" i="4"/>
  <c r="O2186" i="4" s="1"/>
  <c r="N2229" i="4"/>
  <c r="O2229" i="4" s="1"/>
  <c r="N2291" i="4"/>
  <c r="O2291" i="4" s="1"/>
  <c r="N2315" i="4"/>
  <c r="O2315" i="4" s="1"/>
  <c r="N2329" i="4"/>
  <c r="O2329" i="4" s="1"/>
  <c r="N2333" i="4"/>
  <c r="O2333" i="4" s="1"/>
  <c r="N2358" i="4"/>
  <c r="O2358" i="4" s="1"/>
  <c r="N2497" i="4"/>
  <c r="O2497" i="4" s="1"/>
  <c r="N2502" i="4"/>
  <c r="O2502" i="4" s="1"/>
  <c r="N2549" i="4"/>
  <c r="O2549" i="4" s="1"/>
  <c r="N2627" i="4"/>
  <c r="O2627" i="4" s="1"/>
  <c r="N2661" i="4"/>
  <c r="O2661" i="4" s="1"/>
  <c r="N2723" i="4"/>
  <c r="O2723" i="4" s="1"/>
  <c r="N2769" i="4"/>
  <c r="O2769" i="4" s="1"/>
  <c r="N2808" i="4"/>
  <c r="O2808" i="4" s="1"/>
  <c r="N2835" i="4"/>
  <c r="O2835" i="4" s="1"/>
  <c r="N2839" i="4"/>
  <c r="O2839" i="4" s="1"/>
  <c r="N2843" i="4"/>
  <c r="O2843" i="4" s="1"/>
  <c r="N2858" i="4"/>
  <c r="O2858" i="4" s="1"/>
  <c r="N2910" i="4"/>
  <c r="O2910" i="4" s="1"/>
  <c r="N2937" i="4"/>
  <c r="O2937" i="4" s="1"/>
  <c r="N2947" i="4"/>
  <c r="O2947" i="4" s="1"/>
  <c r="N2970" i="4"/>
  <c r="O2970" i="4" s="1"/>
  <c r="N2976" i="4"/>
  <c r="O2976" i="4" s="1"/>
  <c r="N2980" i="4"/>
  <c r="O2980" i="4" s="1"/>
  <c r="N3028" i="4"/>
  <c r="O3028" i="4" s="1"/>
  <c r="N3069" i="4"/>
  <c r="O3069" i="4" s="1"/>
  <c r="N3089" i="4"/>
  <c r="O3089" i="4" s="1"/>
  <c r="N3134" i="4"/>
  <c r="O3134" i="4" s="1"/>
  <c r="N3165" i="4"/>
  <c r="O3165" i="4" s="1"/>
  <c r="N3210" i="4"/>
  <c r="O3210" i="4" s="1"/>
  <c r="N3222" i="4"/>
  <c r="O3222" i="4" s="1"/>
  <c r="N3242" i="4"/>
  <c r="O3242" i="4" s="1"/>
  <c r="N3255" i="4"/>
  <c r="O3255" i="4" s="1"/>
  <c r="N3333" i="4"/>
  <c r="O3333" i="4" s="1"/>
  <c r="N3382" i="4"/>
  <c r="O3382" i="4" s="1"/>
  <c r="N3420" i="4"/>
  <c r="O3420" i="4" s="1"/>
  <c r="N3445" i="4"/>
  <c r="O3445" i="4" s="1"/>
  <c r="N3458" i="4"/>
  <c r="O3458" i="4" s="1"/>
  <c r="N3513" i="4"/>
  <c r="O3513" i="4" s="1"/>
  <c r="N3550" i="4"/>
  <c r="O3550" i="4" s="1"/>
  <c r="N3556" i="4"/>
  <c r="O3556" i="4" s="1"/>
  <c r="N3560" i="4"/>
  <c r="O3560" i="4" s="1"/>
  <c r="N3569" i="4"/>
  <c r="O3569" i="4" s="1"/>
  <c r="N3605" i="4"/>
  <c r="O3605" i="4" s="1"/>
  <c r="N3630" i="4"/>
  <c r="O3630" i="4" s="1"/>
  <c r="N3689" i="4"/>
  <c r="O3689" i="4" s="1"/>
  <c r="N3697" i="4"/>
  <c r="O3697" i="4" s="1"/>
  <c r="N3701" i="4"/>
  <c r="O3701" i="4" s="1"/>
  <c r="N3767" i="4"/>
  <c r="O3767" i="4" s="1"/>
  <c r="N3785" i="4"/>
  <c r="O3785" i="4" s="1"/>
  <c r="N3794" i="4"/>
  <c r="O3794" i="4" s="1"/>
  <c r="N3799" i="4"/>
  <c r="O3799" i="4" s="1"/>
  <c r="N3803" i="4"/>
  <c r="O3803" i="4" s="1"/>
  <c r="N3836" i="4"/>
  <c r="O3836" i="4" s="1"/>
  <c r="N3842" i="4"/>
  <c r="O3842" i="4" s="1"/>
  <c r="N3888" i="4"/>
  <c r="O3888" i="4" s="1"/>
  <c r="N3892" i="4"/>
  <c r="O3892" i="4" s="1"/>
  <c r="N3902" i="4"/>
  <c r="O3902" i="4" s="1"/>
  <c r="N3916" i="4"/>
  <c r="O3916" i="4" s="1"/>
  <c r="N3990" i="4"/>
  <c r="O3990" i="4" s="1"/>
  <c r="N4000" i="4"/>
  <c r="O4000" i="4" s="1"/>
  <c r="N4004" i="4"/>
  <c r="O4004" i="4" s="1"/>
  <c r="N4042" i="4"/>
  <c r="O4042" i="4" s="1"/>
  <c r="N4054" i="4"/>
  <c r="O4054" i="4" s="1"/>
  <c r="N4058" i="4"/>
  <c r="O4058" i="4" s="1"/>
  <c r="N4071" i="4"/>
  <c r="O4071" i="4" s="1"/>
  <c r="N4087" i="4"/>
  <c r="O4087" i="4" s="1"/>
  <c r="N4104" i="4"/>
  <c r="O4104" i="4" s="1"/>
  <c r="N4115" i="4"/>
  <c r="O4115" i="4" s="1"/>
  <c r="N4125" i="4"/>
  <c r="O4125" i="4" s="1"/>
  <c r="N4137" i="4"/>
  <c r="O4137" i="4" s="1"/>
  <c r="N4147" i="4"/>
  <c r="O4147" i="4" s="1"/>
  <c r="N4169" i="4"/>
  <c r="O4169" i="4" s="1"/>
  <c r="N4173" i="4"/>
  <c r="O4173" i="4" s="1"/>
  <c r="N4177" i="4"/>
  <c r="O4177" i="4" s="1"/>
  <c r="N4200" i="4"/>
  <c r="O4200" i="4" s="1"/>
  <c r="N4218" i="4"/>
  <c r="O4218" i="4" s="1"/>
  <c r="N4222" i="4"/>
  <c r="O4222" i="4" s="1"/>
  <c r="N4228" i="4"/>
  <c r="O4228" i="4" s="1"/>
  <c r="N4232" i="4"/>
  <c r="O4232" i="4" s="1"/>
  <c r="N4241" i="4"/>
  <c r="O4241" i="4" s="1"/>
  <c r="N4249" i="4"/>
  <c r="O4249" i="4" s="1"/>
  <c r="N4283" i="4"/>
  <c r="O4283" i="4" s="1"/>
  <c r="N4293" i="4"/>
  <c r="O4293" i="4" s="1"/>
  <c r="N4305" i="4"/>
  <c r="O4305" i="4" s="1"/>
  <c r="N4314" i="4"/>
  <c r="O4314" i="4" s="1"/>
  <c r="N4318" i="4"/>
  <c r="O4318" i="4" s="1"/>
  <c r="N4388" i="4"/>
  <c r="O4388" i="4" s="1"/>
  <c r="N4441" i="4"/>
  <c r="O4441" i="4" s="1"/>
  <c r="N4445" i="4"/>
  <c r="O4445" i="4" s="1"/>
  <c r="N4449" i="4"/>
  <c r="O4449" i="4" s="1"/>
  <c r="N4479" i="4"/>
  <c r="O4479" i="4" s="1"/>
  <c r="N4490" i="4"/>
  <c r="O4490" i="4" s="1"/>
  <c r="N4494" i="4"/>
  <c r="O4494" i="4" s="1"/>
  <c r="N4504" i="4"/>
  <c r="O4504" i="4" s="1"/>
  <c r="N4508" i="4"/>
  <c r="O4508" i="4" s="1"/>
  <c r="N4513" i="4"/>
  <c r="O4513" i="4" s="1"/>
  <c r="N4517" i="4"/>
  <c r="O4517" i="4" s="1"/>
  <c r="N4521" i="4"/>
  <c r="O4521" i="4" s="1"/>
  <c r="N4525" i="4"/>
  <c r="O4525" i="4" s="1"/>
  <c r="N4576" i="4"/>
  <c r="O4576" i="4" s="1"/>
  <c r="N4595" i="4"/>
  <c r="O4595" i="4" s="1"/>
  <c r="N4601" i="4"/>
  <c r="O4601" i="4" s="1"/>
  <c r="N4619" i="4"/>
  <c r="O4619" i="4" s="1"/>
  <c r="N4647" i="4"/>
  <c r="O4647" i="4" s="1"/>
  <c r="N4661" i="4"/>
  <c r="O4661" i="4" s="1"/>
  <c r="N4720" i="4"/>
  <c r="O4720" i="4" s="1"/>
  <c r="N4726" i="4"/>
  <c r="O4726" i="4" s="1"/>
  <c r="N4754" i="4"/>
  <c r="O4754" i="4" s="1"/>
  <c r="N4772" i="4"/>
  <c r="O4772" i="4" s="1"/>
  <c r="N4779" i="4"/>
  <c r="O4779" i="4" s="1"/>
  <c r="N4784" i="4"/>
  <c r="O4784" i="4" s="1"/>
  <c r="N4791" i="4"/>
  <c r="O4791" i="4" s="1"/>
  <c r="N4802" i="4"/>
  <c r="O4802" i="4" s="1"/>
  <c r="N4808" i="4"/>
  <c r="O4808" i="4" s="1"/>
  <c r="N4833" i="4"/>
  <c r="O4833" i="4" s="1"/>
  <c r="N4837" i="4"/>
  <c r="O4837" i="4" s="1"/>
  <c r="N4841" i="4"/>
  <c r="O4841" i="4" s="1"/>
  <c r="N4905" i="4"/>
  <c r="O4905" i="4" s="1"/>
  <c r="N4924" i="4"/>
  <c r="O4924" i="4" s="1"/>
  <c r="N4952" i="4"/>
  <c r="O4952" i="4" s="1"/>
  <c r="N4956" i="4"/>
  <c r="O4956" i="4" s="1"/>
  <c r="N5004" i="4"/>
  <c r="O5004" i="4" s="1"/>
  <c r="N5029" i="4"/>
  <c r="O5029" i="4" s="1"/>
  <c r="N5033" i="4"/>
  <c r="O5033" i="4" s="1"/>
  <c r="N5053" i="4"/>
  <c r="O5053" i="4" s="1"/>
  <c r="N5074" i="4"/>
  <c r="O5074" i="4" s="1"/>
  <c r="N5084" i="4"/>
  <c r="O5084" i="4" s="1"/>
  <c r="N5091" i="4"/>
  <c r="O5091" i="4" s="1"/>
  <c r="N5105" i="4"/>
  <c r="O5105" i="4" s="1"/>
  <c r="N5109" i="4"/>
  <c r="O5109" i="4" s="1"/>
  <c r="N5139" i="4"/>
  <c r="O5139" i="4" s="1"/>
  <c r="N5163" i="4"/>
  <c r="O5163" i="4" s="1"/>
  <c r="N5173" i="4"/>
  <c r="O5173" i="4" s="1"/>
  <c r="N5179" i="4"/>
  <c r="O5179" i="4" s="1"/>
  <c r="N5202" i="4"/>
  <c r="O5202" i="4" s="1"/>
  <c r="N5869" i="4"/>
  <c r="O5869" i="4" s="1"/>
  <c r="N5875" i="4"/>
  <c r="O5875" i="4" s="1"/>
  <c r="N5917" i="4"/>
  <c r="O5917" i="4" s="1"/>
  <c r="N5924" i="4"/>
  <c r="O5924" i="4" s="1"/>
  <c r="N5949" i="4"/>
  <c r="O5949" i="4" s="1"/>
  <c r="N5953" i="4"/>
  <c r="O5953" i="4" s="1"/>
  <c r="N5970" i="4"/>
  <c r="O5970" i="4" s="1"/>
  <c r="N5995" i="4"/>
  <c r="O5995" i="4" s="1"/>
  <c r="N45" i="4"/>
  <c r="O45" i="4" s="1"/>
  <c r="N50" i="4"/>
  <c r="O50" i="4" s="1"/>
  <c r="N95" i="4"/>
  <c r="O95" i="4" s="1"/>
  <c r="N108" i="4"/>
  <c r="O108" i="4" s="1"/>
  <c r="N124" i="4"/>
  <c r="O124" i="4" s="1"/>
  <c r="N157" i="4"/>
  <c r="O157" i="4" s="1"/>
  <c r="N205" i="4"/>
  <c r="O205" i="4" s="1"/>
  <c r="N218" i="4"/>
  <c r="O218" i="4" s="1"/>
  <c r="N253" i="4"/>
  <c r="O253" i="4" s="1"/>
  <c r="N280" i="4"/>
  <c r="O280" i="4" s="1"/>
  <c r="N308" i="4"/>
  <c r="O308" i="4" s="1"/>
  <c r="N314" i="4"/>
  <c r="O314" i="4" s="1"/>
  <c r="N333" i="4"/>
  <c r="O333" i="4" s="1"/>
  <c r="N338" i="4"/>
  <c r="O338" i="4" s="1"/>
  <c r="N441" i="4"/>
  <c r="O441" i="4" s="1"/>
  <c r="N1502" i="4"/>
  <c r="O1502" i="4" s="1"/>
  <c r="N1554" i="4"/>
  <c r="O1554" i="4" s="1"/>
  <c r="N1596" i="4"/>
  <c r="O1596" i="4" s="1"/>
  <c r="N1614" i="4"/>
  <c r="O1614" i="4" s="1"/>
  <c r="N1633" i="4"/>
  <c r="O1633" i="4" s="1"/>
  <c r="N1690" i="4"/>
  <c r="O1690" i="4" s="1"/>
  <c r="N1698" i="4"/>
  <c r="O1698" i="4" s="1"/>
  <c r="N1712" i="4"/>
  <c r="O1712" i="4" s="1"/>
  <c r="N1749" i="4"/>
  <c r="O1749" i="4" s="1"/>
  <c r="N1758" i="4"/>
  <c r="O1758" i="4" s="1"/>
  <c r="N1777" i="4"/>
  <c r="O1777" i="4" s="1"/>
  <c r="N1820" i="4"/>
  <c r="O1820" i="4" s="1"/>
  <c r="N1824" i="4"/>
  <c r="O1824" i="4" s="1"/>
  <c r="N1828" i="4"/>
  <c r="O1828" i="4" s="1"/>
  <c r="N1842" i="4"/>
  <c r="O1842" i="4" s="1"/>
  <c r="N1893" i="4"/>
  <c r="O1893" i="4" s="1"/>
  <c r="N1897" i="4"/>
  <c r="O1897" i="4" s="1"/>
  <c r="N1905" i="4"/>
  <c r="O1905" i="4" s="1"/>
  <c r="N1968" i="4"/>
  <c r="O1968" i="4" s="1"/>
  <c r="N1972" i="4"/>
  <c r="O1972" i="4" s="1"/>
  <c r="N2043" i="4"/>
  <c r="O2043" i="4" s="1"/>
  <c r="N2057" i="4"/>
  <c r="O2057" i="4" s="1"/>
  <c r="N2114" i="4"/>
  <c r="O2114" i="4" s="1"/>
  <c r="N2120" i="4"/>
  <c r="O2120" i="4" s="1"/>
  <c r="N2216" i="4"/>
  <c r="O2216" i="4" s="1"/>
  <c r="N2234" i="4"/>
  <c r="O2234" i="4" s="1"/>
  <c r="N2238" i="4"/>
  <c r="O2238" i="4" s="1"/>
  <c r="N2269" i="4"/>
  <c r="O2269" i="4" s="1"/>
  <c r="N2307" i="4"/>
  <c r="O2307" i="4" s="1"/>
  <c r="N2311" i="4"/>
  <c r="O2311" i="4" s="1"/>
  <c r="N2328" i="4"/>
  <c r="O2328" i="4" s="1"/>
  <c r="N2332" i="4"/>
  <c r="O2332" i="4" s="1"/>
  <c r="N2378" i="4"/>
  <c r="O2378" i="4" s="1"/>
  <c r="N2382" i="4"/>
  <c r="O2382" i="4" s="1"/>
  <c r="N2413" i="4"/>
  <c r="O2413" i="4" s="1"/>
  <c r="N2523" i="4"/>
  <c r="O2523" i="4" s="1"/>
  <c r="N2624" i="4"/>
  <c r="O2624" i="4" s="1"/>
  <c r="N2666" i="4"/>
  <c r="O2666" i="4" s="1"/>
  <c r="N2759" i="4"/>
  <c r="O2759" i="4" s="1"/>
  <c r="N2780" i="4"/>
  <c r="O2780" i="4" s="1"/>
  <c r="N2824" i="4"/>
  <c r="O2824" i="4" s="1"/>
  <c r="N2841" i="4"/>
  <c r="O2841" i="4" s="1"/>
  <c r="N2855" i="4"/>
  <c r="O2855" i="4" s="1"/>
  <c r="N2905" i="4"/>
  <c r="O2905" i="4" s="1"/>
  <c r="N2918" i="4"/>
  <c r="O2918" i="4" s="1"/>
  <c r="N2928" i="4"/>
  <c r="O2928" i="4" s="1"/>
  <c r="N2938" i="4"/>
  <c r="O2938" i="4" s="1"/>
  <c r="N3432" i="4"/>
  <c r="O3432" i="4" s="1"/>
  <c r="N3463" i="4"/>
  <c r="O3463" i="4" s="1"/>
  <c r="N3528" i="4"/>
  <c r="O3528" i="4" s="1"/>
  <c r="N3660" i="4"/>
  <c r="O3660" i="4" s="1"/>
  <c r="N3797" i="4"/>
  <c r="O3797" i="4" s="1"/>
  <c r="N4291" i="4"/>
  <c r="O4291" i="4" s="1"/>
  <c r="N4325" i="4"/>
  <c r="O4325" i="4" s="1"/>
  <c r="N4462" i="4"/>
  <c r="O4462" i="4" s="1"/>
  <c r="N4633" i="4"/>
  <c r="O4633" i="4" s="1"/>
  <c r="N4677" i="4"/>
  <c r="O4677" i="4" s="1"/>
  <c r="N4681" i="4"/>
  <c r="O4681" i="4" s="1"/>
  <c r="N4886" i="4"/>
  <c r="O4886" i="4" s="1"/>
  <c r="N5072" i="4"/>
  <c r="O5072" i="4" s="1"/>
  <c r="N5080" i="4"/>
  <c r="O5080" i="4" s="1"/>
  <c r="N5837" i="4"/>
  <c r="O5837" i="4" s="1"/>
  <c r="N5896" i="4"/>
  <c r="O5896" i="4" s="1"/>
  <c r="N5926" i="4"/>
  <c r="O5926" i="4" s="1"/>
  <c r="N5937" i="4"/>
  <c r="O5937" i="4" s="1"/>
  <c r="N2303" i="4"/>
  <c r="O2303" i="4" s="1"/>
  <c r="N2199" i="4"/>
  <c r="O2199" i="4" s="1"/>
  <c r="N646" i="4"/>
  <c r="O646" i="4" s="1"/>
  <c r="L3" i="6"/>
  <c r="J159" i="1"/>
  <c r="J162" i="1"/>
  <c r="K159" i="1"/>
  <c r="G93" i="1"/>
  <c r="D93" i="1"/>
  <c r="E93" i="1"/>
  <c r="F93" i="1"/>
  <c r="G91" i="1"/>
  <c r="E91" i="1"/>
  <c r="F91" i="1"/>
  <c r="D91" i="1"/>
  <c r="K158" i="1"/>
  <c r="F58" i="1"/>
  <c r="E58" i="1"/>
  <c r="B8" i="2"/>
  <c r="F11" i="12"/>
  <c r="G11" i="12"/>
  <c r="O4" i="4"/>
  <c r="O7" i="4"/>
  <c r="O8" i="4"/>
  <c r="O17" i="4"/>
  <c r="G151" i="1"/>
  <c r="N85" i="4"/>
  <c r="O85" i="4" s="1"/>
  <c r="N210" i="4"/>
  <c r="O210" i="4" s="1"/>
  <c r="N239" i="4"/>
  <c r="O239" i="4" s="1"/>
  <c r="N340" i="4"/>
  <c r="N437" i="4"/>
  <c r="O437" i="4" s="1"/>
  <c r="N1645" i="4"/>
  <c r="O1645" i="4" s="1"/>
  <c r="N1672" i="4"/>
  <c r="O1672" i="4" s="1"/>
  <c r="N1804" i="4"/>
  <c r="O1804" i="4" s="1"/>
  <c r="N2019" i="4"/>
  <c r="O2019" i="4" s="1"/>
  <c r="N2119" i="4"/>
  <c r="O2119" i="4" s="1"/>
  <c r="N2504" i="4"/>
  <c r="O2504" i="4" s="1"/>
  <c r="N2684" i="4"/>
  <c r="O2684" i="4" s="1"/>
  <c r="N3195" i="4"/>
  <c r="O3195" i="4" s="1"/>
  <c r="N3311" i="4"/>
  <c r="O3311" i="4" s="1"/>
  <c r="N3635" i="4"/>
  <c r="O3635" i="4" s="1"/>
  <c r="N3846" i="4"/>
  <c r="O3846" i="4" s="1"/>
  <c r="N3926" i="4"/>
  <c r="O3926" i="4" s="1"/>
  <c r="N3957" i="4"/>
  <c r="O3957" i="4" s="1"/>
  <c r="N3983" i="4"/>
  <c r="O3983" i="4" s="1"/>
  <c r="N4156" i="4"/>
  <c r="O4156" i="4" s="1"/>
  <c r="N4190" i="4"/>
  <c r="O4190" i="4" s="1"/>
  <c r="N4324" i="4"/>
  <c r="O4324" i="4" s="1"/>
  <c r="N4391" i="4"/>
  <c r="O4391" i="4" s="1"/>
  <c r="N4590" i="4"/>
  <c r="O4590" i="4" s="1"/>
  <c r="N4698" i="4"/>
  <c r="O4698" i="4" s="1"/>
  <c r="N4832" i="4"/>
  <c r="O4832" i="4" s="1"/>
  <c r="N4859" i="4"/>
  <c r="O4859" i="4" s="1"/>
  <c r="N4972" i="4"/>
  <c r="O4972" i="4" s="1"/>
  <c r="N5026" i="4"/>
  <c r="O5026" i="4" s="1"/>
  <c r="N5079" i="4"/>
  <c r="O5079" i="4" s="1"/>
  <c r="N29" i="4"/>
  <c r="O29" i="4" s="1"/>
  <c r="N396" i="4"/>
  <c r="O396" i="4" s="1"/>
  <c r="N1836" i="4"/>
  <c r="O1836" i="4" s="1"/>
  <c r="N1907" i="4"/>
  <c r="O1907" i="4" s="1"/>
  <c r="N2171" i="4"/>
  <c r="O2171" i="4" s="1"/>
  <c r="N2647" i="4"/>
  <c r="O2647" i="4" s="1"/>
  <c r="N2812" i="4"/>
  <c r="O2812" i="4" s="1"/>
  <c r="N2997" i="4"/>
  <c r="O2997" i="4" s="1"/>
  <c r="N3241" i="4"/>
  <c r="O3241" i="4" s="1"/>
  <c r="N3380" i="4"/>
  <c r="O3380" i="4" s="1"/>
  <c r="N3936" i="4"/>
  <c r="O3936" i="4" s="1"/>
  <c r="N4701" i="4"/>
  <c r="O4701" i="4" s="1"/>
  <c r="N4828" i="4"/>
  <c r="O4828" i="4" s="1"/>
  <c r="N4980" i="4"/>
  <c r="O4980" i="4" s="1"/>
  <c r="N5147" i="4"/>
  <c r="O5147" i="4" s="1"/>
  <c r="N6000" i="4"/>
  <c r="O6000" i="4" s="1"/>
  <c r="N143" i="4"/>
  <c r="O143" i="4" s="1"/>
  <c r="N422" i="4"/>
  <c r="O422" i="4" s="1"/>
  <c r="N1661" i="4"/>
  <c r="O1661" i="4" s="1"/>
  <c r="N2273" i="4"/>
  <c r="O2273" i="4" s="1"/>
  <c r="N2814" i="4"/>
  <c r="O2814" i="4" s="1"/>
  <c r="N2873" i="4"/>
  <c r="O2873" i="4" s="1"/>
  <c r="N3013" i="4"/>
  <c r="O3013" i="4" s="1"/>
  <c r="N3043" i="4"/>
  <c r="O3043" i="4" s="1"/>
  <c r="N3434" i="4"/>
  <c r="O3434" i="4" s="1"/>
  <c r="N3877" i="4"/>
  <c r="O3877" i="4" s="1"/>
  <c r="N3897" i="4"/>
  <c r="O3897" i="4" s="1"/>
  <c r="N4006" i="4"/>
  <c r="O4006" i="4" s="1"/>
  <c r="N4256" i="4"/>
  <c r="O4256" i="4" s="1"/>
  <c r="N4343" i="4"/>
  <c r="O4343" i="4" s="1"/>
  <c r="N4697" i="4"/>
  <c r="O4697" i="4" s="1"/>
  <c r="N4817" i="4"/>
  <c r="O4817" i="4" s="1"/>
  <c r="N5043" i="4"/>
  <c r="O5043" i="4" s="1"/>
  <c r="N5888" i="4"/>
  <c r="O5888" i="4" s="1"/>
  <c r="N5957" i="4"/>
  <c r="O5957" i="4" s="1"/>
  <c r="N5997" i="4"/>
  <c r="O5997" i="4" s="1"/>
  <c r="N234" i="4"/>
  <c r="O234" i="4" s="1"/>
  <c r="N380" i="4"/>
  <c r="O380" i="4" s="1"/>
  <c r="N1621" i="4"/>
  <c r="O1621" i="4" s="1"/>
  <c r="N1720" i="4"/>
  <c r="O1720" i="4" s="1"/>
  <c r="N2164" i="4"/>
  <c r="O2164" i="4" s="1"/>
  <c r="N2196" i="4"/>
  <c r="O2196" i="4" s="1"/>
  <c r="N2230" i="4"/>
  <c r="O2230" i="4" s="1"/>
  <c r="N1567" i="4"/>
  <c r="O1567" i="4" s="1"/>
  <c r="N1648" i="4"/>
  <c r="O1648" i="4" s="1"/>
  <c r="N1764" i="4"/>
  <c r="O1764" i="4" s="1"/>
  <c r="N2306" i="4"/>
  <c r="O2306" i="4" s="1"/>
  <c r="N2797" i="4"/>
  <c r="O2797" i="4" s="1"/>
  <c r="N2915" i="4"/>
  <c r="O2915" i="4" s="1"/>
  <c r="N3140" i="4"/>
  <c r="O3140" i="4" s="1"/>
  <c r="N3459" i="4"/>
  <c r="O3459" i="4" s="1"/>
  <c r="N3492" i="4"/>
  <c r="O3492" i="4" s="1"/>
  <c r="N3708" i="4"/>
  <c r="O3708" i="4" s="1"/>
  <c r="N3743" i="4"/>
  <c r="O3743" i="4" s="1"/>
  <c r="N4659" i="4"/>
  <c r="O4659" i="4" s="1"/>
  <c r="N5085" i="4"/>
  <c r="O5085" i="4" s="1"/>
  <c r="N1638" i="4"/>
  <c r="O1638" i="4" s="1"/>
  <c r="N1813" i="4"/>
  <c r="O1813" i="4" s="1"/>
  <c r="N1988" i="4"/>
  <c r="O1988" i="4" s="1"/>
  <c r="N4067" i="4"/>
  <c r="O4067" i="4" s="1"/>
  <c r="N4304" i="4"/>
  <c r="O4304" i="4" s="1"/>
  <c r="N4561" i="4"/>
  <c r="O4561" i="4" s="1"/>
  <c r="N4775" i="4"/>
  <c r="O4775" i="4" s="1"/>
  <c r="N1974" i="4"/>
  <c r="O1974" i="4" s="1"/>
  <c r="N3155" i="4"/>
  <c r="O3155" i="4" s="1"/>
  <c r="N4403" i="4"/>
  <c r="O4403" i="4" s="1"/>
  <c r="N4550" i="4"/>
  <c r="O4550" i="4" s="1"/>
  <c r="N4689" i="4"/>
  <c r="O4689" i="4" s="1"/>
  <c r="N925" i="4"/>
  <c r="O925" i="4" s="1"/>
  <c r="N1185" i="4"/>
  <c r="O1185" i="4" s="1"/>
  <c r="N1262" i="4"/>
  <c r="O1262" i="4" s="1"/>
  <c r="N1846" i="4"/>
  <c r="O1846" i="4" s="1"/>
  <c r="N2862" i="4"/>
  <c r="O2862" i="4" s="1"/>
  <c r="N4418" i="4"/>
  <c r="O4418" i="4" s="1"/>
  <c r="N5210" i="4"/>
  <c r="O5210" i="4" s="1"/>
  <c r="N5215" i="4"/>
  <c r="O5215" i="4" s="1"/>
  <c r="N2881" i="4"/>
  <c r="O2881" i="4" s="1"/>
  <c r="N2887" i="4"/>
  <c r="O2887" i="4" s="1"/>
  <c r="N2916" i="4"/>
  <c r="O2916" i="4" s="1"/>
  <c r="N2933" i="4"/>
  <c r="O2933" i="4" s="1"/>
  <c r="N2957" i="4"/>
  <c r="O2957" i="4" s="1"/>
  <c r="N3012" i="4"/>
  <c r="O3012" i="4" s="1"/>
  <c r="N3033" i="4"/>
  <c r="O3033" i="4" s="1"/>
  <c r="N3041" i="4"/>
  <c r="O3041" i="4" s="1"/>
  <c r="N3045" i="4"/>
  <c r="O3045" i="4" s="1"/>
  <c r="N3049" i="4"/>
  <c r="O3049" i="4" s="1"/>
  <c r="N3096" i="4"/>
  <c r="O3096" i="4" s="1"/>
  <c r="N3100" i="4"/>
  <c r="O3100" i="4" s="1"/>
  <c r="N3115" i="4"/>
  <c r="O3115" i="4" s="1"/>
  <c r="N3180" i="4"/>
  <c r="O3180" i="4" s="1"/>
  <c r="N3188" i="4"/>
  <c r="O3188" i="4" s="1"/>
  <c r="N3204" i="4"/>
  <c r="O3204" i="4" s="1"/>
  <c r="N3248" i="4"/>
  <c r="O3248" i="4" s="1"/>
  <c r="N3260" i="4"/>
  <c r="O3260" i="4" s="1"/>
  <c r="N3268" i="4"/>
  <c r="O3268" i="4" s="1"/>
  <c r="N3272" i="4"/>
  <c r="O3272" i="4" s="1"/>
  <c r="N3299" i="4"/>
  <c r="O3299" i="4" s="1"/>
  <c r="N3336" i="4"/>
  <c r="O3336" i="4" s="1"/>
  <c r="N3366" i="4"/>
  <c r="O3366" i="4" s="1"/>
  <c r="N3401" i="4"/>
  <c r="O3401" i="4" s="1"/>
  <c r="N3423" i="4"/>
  <c r="O3423" i="4" s="1"/>
  <c r="N3431" i="4"/>
  <c r="O3431" i="4" s="1"/>
  <c r="N3532" i="4"/>
  <c r="O3532" i="4" s="1"/>
  <c r="N3592" i="4"/>
  <c r="O3592" i="4" s="1"/>
  <c r="N3620" i="4"/>
  <c r="O3620" i="4" s="1"/>
  <c r="N3644" i="4"/>
  <c r="O3644" i="4" s="1"/>
  <c r="N3685" i="4"/>
  <c r="O3685" i="4" s="1"/>
  <c r="N3692" i="4"/>
  <c r="O3692" i="4" s="1"/>
  <c r="N3722" i="4"/>
  <c r="O3722" i="4" s="1"/>
  <c r="N3730" i="4"/>
  <c r="O3730" i="4" s="1"/>
  <c r="N3754" i="4"/>
  <c r="O3754" i="4" s="1"/>
  <c r="N3758" i="4"/>
  <c r="O3758" i="4" s="1"/>
  <c r="N3773" i="4"/>
  <c r="O3773" i="4" s="1"/>
  <c r="N3777" i="4"/>
  <c r="O3777" i="4" s="1"/>
  <c r="N3907" i="4"/>
  <c r="O3907" i="4" s="1"/>
  <c r="N3925" i="4"/>
  <c r="O3925" i="4" s="1"/>
  <c r="N3939" i="4"/>
  <c r="O3939" i="4" s="1"/>
  <c r="N3956" i="4"/>
  <c r="O3956" i="4" s="1"/>
  <c r="N3960" i="4"/>
  <c r="O3960" i="4" s="1"/>
  <c r="N3964" i="4"/>
  <c r="O3964" i="4" s="1"/>
  <c r="N3984" i="4"/>
  <c r="O3984" i="4" s="1"/>
  <c r="N4029" i="4"/>
  <c r="O4029" i="4" s="1"/>
  <c r="O4062" i="4"/>
  <c r="N4078" i="4"/>
  <c r="O4078" i="4" s="1"/>
  <c r="N4090" i="4"/>
  <c r="O4090" i="4" s="1"/>
  <c r="N4094" i="4"/>
  <c r="O4094" i="4" s="1"/>
  <c r="N4098" i="4"/>
  <c r="O4098" i="4" s="1"/>
  <c r="N4102" i="4"/>
  <c r="O4102" i="4" s="1"/>
  <c r="N4194" i="4"/>
  <c r="O4194" i="4" s="1"/>
  <c r="N4217" i="4"/>
  <c r="O4217" i="4" s="1"/>
  <c r="N4255" i="4"/>
  <c r="O4255" i="4" s="1"/>
  <c r="N4264" i="4"/>
  <c r="O4264" i="4" s="1"/>
  <c r="N4277" i="4"/>
  <c r="O4277" i="4" s="1"/>
  <c r="N4330" i="4"/>
  <c r="O4330" i="4" s="1"/>
  <c r="N4342" i="4"/>
  <c r="O4342" i="4" s="1"/>
  <c r="N4366" i="4"/>
  <c r="O4366" i="4" s="1"/>
  <c r="N4370" i="4"/>
  <c r="O4370" i="4" s="1"/>
  <c r="N4378" i="4"/>
  <c r="O4378" i="4" s="1"/>
  <c r="N4392" i="4"/>
  <c r="O4392" i="4" s="1"/>
  <c r="N4411" i="4"/>
  <c r="O4411" i="4" s="1"/>
  <c r="N4421" i="4"/>
  <c r="O4421" i="4" s="1"/>
  <c r="N4460" i="4"/>
  <c r="O4460" i="4" s="1"/>
  <c r="N4556" i="4"/>
  <c r="O4556" i="4" s="1"/>
  <c r="N4580" i="4"/>
  <c r="O4580" i="4" s="1"/>
  <c r="N4644" i="4"/>
  <c r="O4644" i="4" s="1"/>
  <c r="N4686" i="4"/>
  <c r="O4686" i="4" s="1"/>
  <c r="N4695" i="4"/>
  <c r="O4695" i="4" s="1"/>
  <c r="N4718" i="4"/>
  <c r="O4718" i="4" s="1"/>
  <c r="N4763" i="4"/>
  <c r="O4763" i="4" s="1"/>
  <c r="N4768" i="4"/>
  <c r="O4768" i="4" s="1"/>
  <c r="N4857" i="4"/>
  <c r="O4857" i="4" s="1"/>
  <c r="N4881" i="4"/>
  <c r="O4881" i="4" s="1"/>
  <c r="N4893" i="4"/>
  <c r="O4893" i="4" s="1"/>
  <c r="N4947" i="4"/>
  <c r="O4947" i="4" s="1"/>
  <c r="N5017" i="4"/>
  <c r="O5017" i="4" s="1"/>
  <c r="N5036" i="4"/>
  <c r="O5036" i="4" s="1"/>
  <c r="N5115" i="4"/>
  <c r="O5115" i="4" s="1"/>
  <c r="N5119" i="4"/>
  <c r="O5119" i="4" s="1"/>
  <c r="N5822" i="4"/>
  <c r="O5822" i="4" s="1"/>
  <c r="N5943" i="4"/>
  <c r="O5943" i="4" s="1"/>
  <c r="N5954" i="4"/>
  <c r="O5954" i="4" s="1"/>
  <c r="N5978" i="4"/>
  <c r="O5978" i="4" s="1"/>
  <c r="N28" i="4"/>
  <c r="N82" i="4"/>
  <c r="O82" i="4" s="1"/>
  <c r="N275" i="4"/>
  <c r="O275" i="4" s="1"/>
  <c r="N418" i="4"/>
  <c r="O418" i="4" s="1"/>
  <c r="N1514" i="4"/>
  <c r="O1514" i="4" s="1"/>
  <c r="N1595" i="4"/>
  <c r="O1595" i="4" s="1"/>
  <c r="N1898" i="4"/>
  <c r="O1898" i="4" s="1"/>
  <c r="N2076" i="4"/>
  <c r="O2076" i="4" s="1"/>
  <c r="N2233" i="4"/>
  <c r="O2233" i="4" s="1"/>
  <c r="N2274" i="4"/>
  <c r="O2274" i="4" s="1"/>
  <c r="N2310" i="4"/>
  <c r="O2310" i="4" s="1"/>
  <c r="N2487" i="4"/>
  <c r="O2487" i="4" s="1"/>
  <c r="N2670" i="4"/>
  <c r="O2670" i="4" s="1"/>
  <c r="N2785" i="4"/>
  <c r="O2785" i="4" s="1"/>
  <c r="N2924" i="4"/>
  <c r="O2924" i="4" s="1"/>
  <c r="N3001" i="4"/>
  <c r="O3001" i="4" s="1"/>
  <c r="N3353" i="4"/>
  <c r="O3353" i="4" s="1"/>
  <c r="N3901" i="4"/>
  <c r="O3901" i="4" s="1"/>
  <c r="N3950" i="4"/>
  <c r="O3950" i="4" s="1"/>
  <c r="N4493" i="4"/>
  <c r="O4493" i="4" s="1"/>
  <c r="N4650" i="4"/>
  <c r="O4650" i="4" s="1"/>
  <c r="N2294" i="4"/>
  <c r="O2294" i="4" s="1"/>
  <c r="N2420" i="4"/>
  <c r="O2420" i="4" s="1"/>
  <c r="N2764" i="4"/>
  <c r="O2764" i="4" s="1"/>
  <c r="N3006" i="4"/>
  <c r="O3006" i="4" s="1"/>
  <c r="N3416" i="4"/>
  <c r="O3416" i="4" s="1"/>
  <c r="N1613" i="4"/>
  <c r="O1613" i="4" s="1"/>
  <c r="N3579" i="4"/>
  <c r="O3579" i="4" s="1"/>
  <c r="N1109" i="4"/>
  <c r="O1109" i="4" s="1"/>
  <c r="N1192" i="4"/>
  <c r="O1192" i="4" s="1"/>
  <c r="N1243" i="4"/>
  <c r="O1243" i="4" s="1"/>
  <c r="N1279" i="4"/>
  <c r="O1279" i="4" s="1"/>
  <c r="N1474" i="4"/>
  <c r="O1474" i="4" s="1"/>
  <c r="N1958" i="4"/>
  <c r="O1958" i="4" s="1"/>
  <c r="N3646" i="4"/>
  <c r="O3646" i="4" s="1"/>
  <c r="N4140" i="4"/>
  <c r="O4140" i="4" s="1"/>
  <c r="N1945" i="4"/>
  <c r="O1945" i="4" s="1"/>
  <c r="N4196" i="4"/>
  <c r="O4196" i="4" s="1"/>
  <c r="N30" i="4"/>
  <c r="O30" i="4" s="1"/>
  <c r="N4888" i="4"/>
  <c r="O4888" i="4" s="1"/>
  <c r="N4908" i="4"/>
  <c r="O4908" i="4" s="1"/>
  <c r="N4912" i="4"/>
  <c r="O4912" i="4" s="1"/>
  <c r="N4920" i="4"/>
  <c r="O4920" i="4" s="1"/>
  <c r="N4932" i="4"/>
  <c r="O4932" i="4" s="1"/>
  <c r="N4958" i="4"/>
  <c r="O4958" i="4" s="1"/>
  <c r="N4969" i="4"/>
  <c r="O4969" i="4" s="1"/>
  <c r="N4973" i="4"/>
  <c r="O4973" i="4" s="1"/>
  <c r="N4986" i="4"/>
  <c r="O4986" i="4" s="1"/>
  <c r="N5057" i="4"/>
  <c r="O5057" i="4" s="1"/>
  <c r="N5078" i="4"/>
  <c r="O5078" i="4" s="1"/>
  <c r="N5090" i="4"/>
  <c r="O5090" i="4" s="1"/>
  <c r="N5100" i="4"/>
  <c r="O5100" i="4" s="1"/>
  <c r="N5120" i="4"/>
  <c r="O5120" i="4" s="1"/>
  <c r="N5159" i="4"/>
  <c r="O5159" i="4" s="1"/>
  <c r="N5164" i="4"/>
  <c r="O5164" i="4" s="1"/>
  <c r="N5181" i="4"/>
  <c r="O5181" i="4" s="1"/>
  <c r="N5188" i="4"/>
  <c r="O5188" i="4" s="1"/>
  <c r="N5196" i="4"/>
  <c r="O5196" i="4" s="1"/>
  <c r="N5870" i="4"/>
  <c r="O5870" i="4" s="1"/>
  <c r="N5890" i="4"/>
  <c r="O5890" i="4" s="1"/>
  <c r="N5905" i="4"/>
  <c r="O5905" i="4" s="1"/>
  <c r="N5909" i="4"/>
  <c r="O5909" i="4" s="1"/>
  <c r="N5916" i="4"/>
  <c r="O5916" i="4" s="1"/>
  <c r="N5948" i="4"/>
  <c r="O5948" i="4" s="1"/>
  <c r="N5952" i="4"/>
  <c r="O5952" i="4" s="1"/>
  <c r="N5967" i="4"/>
  <c r="O5967" i="4" s="1"/>
  <c r="N32" i="4"/>
  <c r="O32" i="4" s="1"/>
  <c r="N66" i="4"/>
  <c r="O66" i="4" s="1"/>
  <c r="N119" i="4"/>
  <c r="N150" i="4"/>
  <c r="N175" i="4"/>
  <c r="O175" i="4" s="1"/>
  <c r="N186" i="4"/>
  <c r="O186" i="4" s="1"/>
  <c r="N191" i="4"/>
  <c r="O191" i="4" s="1"/>
  <c r="N196" i="4"/>
  <c r="O196" i="4" s="1"/>
  <c r="N201" i="4"/>
  <c r="O201" i="4" s="1"/>
  <c r="N211" i="4"/>
  <c r="O211" i="4" s="1"/>
  <c r="N252" i="4"/>
  <c r="O252" i="4" s="1"/>
  <c r="N259" i="4"/>
  <c r="O259" i="4" s="1"/>
  <c r="N290" i="4"/>
  <c r="O290" i="4" s="1"/>
  <c r="N306" i="4"/>
  <c r="O306" i="4" s="1"/>
  <c r="N330" i="4"/>
  <c r="O330" i="4" s="1"/>
  <c r="N337" i="4"/>
  <c r="O337" i="4" s="1"/>
  <c r="N341" i="4"/>
  <c r="O341" i="4" s="1"/>
  <c r="N345" i="4"/>
  <c r="O345" i="4" s="1"/>
  <c r="N372" i="4"/>
  <c r="O372" i="4" s="1"/>
  <c r="N424" i="4"/>
  <c r="O424" i="4" s="1"/>
  <c r="N434" i="4"/>
  <c r="O434" i="4" s="1"/>
  <c r="N445" i="4"/>
  <c r="O445" i="4" s="1"/>
  <c r="N446" i="4"/>
  <c r="O446" i="4" s="1"/>
  <c r="N454" i="4"/>
  <c r="O454" i="4" s="1"/>
  <c r="N458" i="4"/>
  <c r="O458" i="4" s="1"/>
  <c r="N460" i="4"/>
  <c r="O460" i="4" s="1"/>
  <c r="N468" i="4"/>
  <c r="O468" i="4" s="1"/>
  <c r="N475" i="4"/>
  <c r="O475" i="4" s="1"/>
  <c r="N476" i="4"/>
  <c r="O476" i="4" s="1"/>
  <c r="N479" i="4"/>
  <c r="O479" i="4" s="1"/>
  <c r="N480" i="4"/>
  <c r="O480" i="4" s="1"/>
  <c r="N484" i="4"/>
  <c r="O484" i="4" s="1"/>
  <c r="N489" i="4"/>
  <c r="O489" i="4" s="1"/>
  <c r="N492" i="4"/>
  <c r="O492" i="4" s="1"/>
  <c r="N497" i="4"/>
  <c r="O497" i="4" s="1"/>
  <c r="N498" i="4"/>
  <c r="O498" i="4" s="1"/>
  <c r="N711" i="4"/>
  <c r="O711" i="4" s="1"/>
  <c r="N712" i="4"/>
  <c r="O712" i="4" s="1"/>
  <c r="N713" i="4"/>
  <c r="O713" i="4" s="1"/>
  <c r="N730" i="4"/>
  <c r="O730" i="4" s="1"/>
  <c r="N752" i="4"/>
  <c r="O752" i="4" s="1"/>
  <c r="N807" i="4"/>
  <c r="O807" i="4" s="1"/>
  <c r="N972" i="4"/>
  <c r="O972" i="4" s="1"/>
  <c r="N1093" i="4"/>
  <c r="O1093" i="4" s="1"/>
  <c r="N1444" i="4"/>
  <c r="O1444" i="4" s="1"/>
  <c r="N4258" i="4"/>
  <c r="O4258" i="4" s="1"/>
  <c r="N4735" i="4"/>
  <c r="O4735" i="4" s="1"/>
  <c r="N5236" i="4"/>
  <c r="O5236" i="4" s="1"/>
  <c r="N2004" i="4"/>
  <c r="O2004" i="4" s="1"/>
  <c r="N2433" i="4"/>
  <c r="O2433" i="4" s="1"/>
  <c r="N4032" i="4"/>
  <c r="O4032" i="4" s="1"/>
  <c r="N5024" i="4"/>
  <c r="O5024" i="4" s="1"/>
  <c r="N5259" i="4"/>
  <c r="O5259" i="4" s="1"/>
  <c r="N5264" i="4"/>
  <c r="O5264" i="4" s="1"/>
  <c r="N5269" i="4"/>
  <c r="O5269" i="4" s="1"/>
  <c r="N5271" i="4"/>
  <c r="O5271" i="4" s="1"/>
  <c r="N5273" i="4"/>
  <c r="O5273" i="4" s="1"/>
  <c r="N5277" i="4"/>
  <c r="O5277" i="4" s="1"/>
  <c r="N5290" i="4"/>
  <c r="O5290" i="4" s="1"/>
  <c r="N5292" i="4"/>
  <c r="O5292" i="4" s="1"/>
  <c r="N5293" i="4"/>
  <c r="O5293" i="4" s="1"/>
  <c r="N5301" i="4"/>
  <c r="O5301" i="4" s="1"/>
  <c r="N5307" i="4"/>
  <c r="O5307" i="4" s="1"/>
  <c r="N5311" i="4"/>
  <c r="O5311" i="4" s="1"/>
  <c r="N5313" i="4"/>
  <c r="O5313" i="4" s="1"/>
  <c r="N5320" i="4"/>
  <c r="O5320" i="4" s="1"/>
  <c r="N5327" i="4"/>
  <c r="O5327" i="4" s="1"/>
  <c r="N5337" i="4"/>
  <c r="O5337" i="4" s="1"/>
  <c r="N5340" i="4"/>
  <c r="O5340" i="4" s="1"/>
  <c r="N5342" i="4"/>
  <c r="O5342" i="4" s="1"/>
  <c r="N5345" i="4"/>
  <c r="O5345" i="4" s="1"/>
  <c r="N5356" i="4"/>
  <c r="O5356" i="4" s="1"/>
  <c r="N5361" i="4"/>
  <c r="O5361" i="4" s="1"/>
  <c r="N5363" i="4"/>
  <c r="O5363" i="4" s="1"/>
  <c r="N5365" i="4"/>
  <c r="O5365" i="4" s="1"/>
  <c r="N5369" i="4"/>
  <c r="O5369" i="4" s="1"/>
  <c r="N5378" i="4"/>
  <c r="O5378" i="4" s="1"/>
  <c r="N5379" i="4"/>
  <c r="O5379" i="4" s="1"/>
  <c r="N5380" i="4"/>
  <c r="O5380" i="4" s="1"/>
  <c r="N5381" i="4"/>
  <c r="O5381" i="4" s="1"/>
  <c r="N5385" i="4"/>
  <c r="O5385" i="4" s="1"/>
  <c r="N5390" i="4"/>
  <c r="O5390" i="4" s="1"/>
  <c r="N5392" i="4"/>
  <c r="O5392" i="4" s="1"/>
  <c r="N5410" i="4"/>
  <c r="O5410" i="4" s="1"/>
  <c r="N5437" i="4"/>
  <c r="O5437" i="4" s="1"/>
  <c r="N1910" i="4"/>
  <c r="O1910" i="4" s="1"/>
  <c r="N3020" i="4"/>
  <c r="O3020" i="4" s="1"/>
  <c r="N3029" i="4"/>
  <c r="O3029" i="4" s="1"/>
  <c r="N3040" i="4"/>
  <c r="O3040" i="4" s="1"/>
  <c r="N3067" i="4"/>
  <c r="O3067" i="4" s="1"/>
  <c r="N3137" i="4"/>
  <c r="O3137" i="4" s="1"/>
  <c r="N3202" i="4"/>
  <c r="O3202" i="4" s="1"/>
  <c r="N3214" i="4"/>
  <c r="O3214" i="4" s="1"/>
  <c r="N3258" i="4"/>
  <c r="O3258" i="4" s="1"/>
  <c r="N3284" i="4"/>
  <c r="O3284" i="4" s="1"/>
  <c r="N3292" i="4"/>
  <c r="O3292" i="4" s="1"/>
  <c r="N3296" i="4"/>
  <c r="O3296" i="4" s="1"/>
  <c r="N3332" i="4"/>
  <c r="O3332" i="4" s="1"/>
  <c r="N3345" i="4"/>
  <c r="O3345" i="4" s="1"/>
  <c r="N3389" i="4"/>
  <c r="O3389" i="4" s="1"/>
  <c r="N3436" i="4"/>
  <c r="O3436" i="4" s="1"/>
  <c r="N3451" i="4"/>
  <c r="O3451" i="4" s="1"/>
  <c r="N3577" i="4"/>
  <c r="O3577" i="4" s="1"/>
  <c r="N3603" i="4"/>
  <c r="O3603" i="4" s="1"/>
  <c r="N3638" i="4"/>
  <c r="O3638" i="4" s="1"/>
  <c r="N3673" i="4"/>
  <c r="O3673" i="4" s="1"/>
  <c r="N3683" i="4"/>
  <c r="O3683" i="4" s="1"/>
  <c r="N3698" i="4"/>
  <c r="O3698" i="4" s="1"/>
  <c r="N3702" i="4"/>
  <c r="O3702" i="4" s="1"/>
  <c r="N3706" i="4"/>
  <c r="O3706" i="4" s="1"/>
  <c r="N3719" i="4"/>
  <c r="O3719" i="4" s="1"/>
  <c r="N3744" i="4"/>
  <c r="O3744" i="4" s="1"/>
  <c r="N3771" i="4"/>
  <c r="O3771" i="4" s="1"/>
  <c r="N3822" i="4"/>
  <c r="O3822" i="4" s="1"/>
  <c r="N3883" i="4"/>
  <c r="O3883" i="4" s="1"/>
  <c r="N3887" i="4"/>
  <c r="O3887" i="4" s="1"/>
  <c r="N3930" i="4"/>
  <c r="O3930" i="4" s="1"/>
  <c r="N3940" i="4"/>
  <c r="O3940" i="4" s="1"/>
  <c r="N3944" i="4"/>
  <c r="O3944" i="4" s="1"/>
  <c r="N3966" i="4"/>
  <c r="O3966" i="4" s="1"/>
  <c r="N3981" i="4"/>
  <c r="O3981" i="4" s="1"/>
  <c r="N3985" i="4"/>
  <c r="O3985" i="4" s="1"/>
  <c r="N4001" i="4"/>
  <c r="O4001" i="4" s="1"/>
  <c r="N4039" i="4"/>
  <c r="O4039" i="4" s="1"/>
  <c r="N4052" i="4"/>
  <c r="O4052" i="4" s="1"/>
  <c r="N4083" i="4"/>
  <c r="O4083" i="4" s="1"/>
  <c r="N4135" i="4"/>
  <c r="O4135" i="4" s="1"/>
  <c r="N4155" i="4"/>
  <c r="O4155" i="4" s="1"/>
  <c r="N4159" i="4"/>
  <c r="O4159" i="4" s="1"/>
  <c r="N4193" i="4"/>
  <c r="O4193" i="4" s="1"/>
  <c r="N4201" i="4"/>
  <c r="O4201" i="4" s="1"/>
  <c r="N4245" i="4"/>
  <c r="O4245" i="4" s="1"/>
  <c r="N4253" i="4"/>
  <c r="O4253" i="4" s="1"/>
  <c r="N4333" i="4"/>
  <c r="O4333" i="4" s="1"/>
  <c r="N4341" i="4"/>
  <c r="O4341" i="4" s="1"/>
  <c r="N4364" i="4"/>
  <c r="O4364" i="4" s="1"/>
  <c r="N4381" i="4"/>
  <c r="O4381" i="4" s="1"/>
  <c r="N4385" i="4"/>
  <c r="O4385" i="4" s="1"/>
  <c r="N4429" i="4"/>
  <c r="O4429" i="4" s="1"/>
  <c r="N4434" i="4"/>
  <c r="O4434" i="4" s="1"/>
  <c r="N4448" i="4"/>
  <c r="O4448" i="4" s="1"/>
  <c r="N4456" i="4"/>
  <c r="O4456" i="4" s="1"/>
  <c r="N4471" i="4"/>
  <c r="O4471" i="4" s="1"/>
  <c r="N4491" i="4"/>
  <c r="O4491" i="4" s="1"/>
  <c r="N4501" i="4"/>
  <c r="O4501" i="4" s="1"/>
  <c r="N4518" i="4"/>
  <c r="O4518" i="4" s="1"/>
  <c r="N4558" i="4"/>
  <c r="O4558" i="4" s="1"/>
  <c r="N4658" i="4"/>
  <c r="O4658" i="4" s="1"/>
  <c r="N4667" i="4"/>
  <c r="O4667" i="4" s="1"/>
  <c r="N4703" i="4"/>
  <c r="O4703" i="4" s="1"/>
  <c r="N4757" i="4"/>
  <c r="O4757" i="4" s="1"/>
  <c r="N4807" i="4"/>
  <c r="O4807" i="4" s="1"/>
  <c r="N4867" i="4"/>
  <c r="O4867" i="4" s="1"/>
  <c r="N4917" i="4"/>
  <c r="O4917" i="4" s="1"/>
  <c r="N4945" i="4"/>
  <c r="O4945" i="4" s="1"/>
  <c r="N4960" i="4"/>
  <c r="O4960" i="4" s="1"/>
  <c r="N5002" i="4"/>
  <c r="O5002" i="4" s="1"/>
  <c r="N5008" i="4"/>
  <c r="O5008" i="4" s="1"/>
  <c r="N5076" i="4"/>
  <c r="O5076" i="4" s="1"/>
  <c r="N5853" i="4"/>
  <c r="O5853" i="4" s="1"/>
  <c r="N5862" i="4"/>
  <c r="O5862" i="4" s="1"/>
  <c r="N5866" i="4"/>
  <c r="O5866" i="4" s="1"/>
  <c r="N5931" i="4"/>
  <c r="O5931" i="4" s="1"/>
  <c r="N5942" i="4"/>
  <c r="O5942" i="4" s="1"/>
  <c r="N5969" i="4"/>
  <c r="O5969" i="4" s="1"/>
  <c r="N5993" i="4"/>
  <c r="O5993" i="4" s="1"/>
  <c r="L162" i="1"/>
  <c r="N2872" i="4"/>
  <c r="O2872" i="4" s="1"/>
  <c r="N2869" i="4"/>
  <c r="O2869" i="4" s="1"/>
  <c r="N2866" i="4"/>
  <c r="O2866" i="4" s="1"/>
  <c r="N2829" i="4"/>
  <c r="O2829" i="4" s="1"/>
  <c r="N2732" i="4"/>
  <c r="O2732" i="4" s="1"/>
  <c r="N2729" i="4"/>
  <c r="O2729" i="4" s="1"/>
  <c r="N2712" i="4"/>
  <c r="O2712" i="4" s="1"/>
  <c r="N2709" i="4"/>
  <c r="O2709" i="4" s="1"/>
  <c r="N2691" i="4"/>
  <c r="O2691" i="4" s="1"/>
  <c r="N2658" i="4"/>
  <c r="O2658" i="4" s="1"/>
  <c r="N2630" i="4"/>
  <c r="O2630" i="4" s="1"/>
  <c r="N2620" i="4"/>
  <c r="O2620" i="4" s="1"/>
  <c r="N2616" i="4"/>
  <c r="O2616" i="4" s="1"/>
  <c r="N2605" i="4"/>
  <c r="O2605" i="4" s="1"/>
  <c r="N2602" i="4"/>
  <c r="O2602" i="4" s="1"/>
  <c r="N2546" i="4"/>
  <c r="O2546" i="4" s="1"/>
  <c r="N2512" i="4"/>
  <c r="O2512" i="4" s="1"/>
  <c r="N2450" i="4"/>
  <c r="O2450" i="4" s="1"/>
  <c r="N2437" i="4"/>
  <c r="O2437" i="4" s="1"/>
  <c r="N2426" i="4"/>
  <c r="O2426" i="4" s="1"/>
  <c r="N2423" i="4"/>
  <c r="O2423" i="4" s="1"/>
  <c r="N2405" i="4"/>
  <c r="O2405" i="4" s="1"/>
  <c r="N2394" i="4"/>
  <c r="O2394" i="4" s="1"/>
  <c r="N2375" i="4"/>
  <c r="O2375" i="4" s="1"/>
  <c r="N2356" i="4"/>
  <c r="O2356" i="4" s="1"/>
  <c r="N2345" i="4"/>
  <c r="O2345" i="4" s="1"/>
  <c r="N2342" i="4"/>
  <c r="O2342" i="4" s="1"/>
  <c r="N2339" i="4"/>
  <c r="O2339" i="4" s="1"/>
  <c r="N2336" i="4"/>
  <c r="O2336" i="4" s="1"/>
  <c r="N2289" i="4"/>
  <c r="O2289" i="4" s="1"/>
  <c r="N2241" i="4"/>
  <c r="O2241" i="4" s="1"/>
  <c r="N634" i="4"/>
  <c r="O634" i="4" s="1"/>
  <c r="N2444" i="4"/>
  <c r="O2444" i="4" s="1"/>
  <c r="N2503" i="4"/>
  <c r="O2503" i="4" s="1"/>
  <c r="N2908" i="4"/>
  <c r="O2908" i="4" s="1"/>
  <c r="N3762" i="4"/>
  <c r="O3762" i="4" s="1"/>
  <c r="N5130" i="4"/>
  <c r="O5130" i="4" s="1"/>
  <c r="N2081" i="4"/>
  <c r="O2081" i="4" s="1"/>
  <c r="N3424" i="4"/>
  <c r="O3424" i="4" s="1"/>
  <c r="N3587" i="4"/>
  <c r="O3587" i="4" s="1"/>
  <c r="N3658" i="4"/>
  <c r="O3658" i="4" s="1"/>
  <c r="N3869" i="4"/>
  <c r="O3869" i="4" s="1"/>
  <c r="N3935" i="4"/>
  <c r="O3935" i="4" s="1"/>
  <c r="N738" i="4"/>
  <c r="O738" i="4" s="1"/>
  <c r="N771" i="4"/>
  <c r="O771" i="4" s="1"/>
  <c r="N938" i="4"/>
  <c r="O938" i="4" s="1"/>
  <c r="N1009" i="4"/>
  <c r="O1009" i="4" s="1"/>
  <c r="N1075" i="4"/>
  <c r="O1075" i="4" s="1"/>
  <c r="N1195" i="4"/>
  <c r="O1195" i="4" s="1"/>
  <c r="N1261" i="4"/>
  <c r="O1261" i="4" s="1"/>
  <c r="N1361" i="4"/>
  <c r="O1361" i="4" s="1"/>
  <c r="N1462" i="4"/>
  <c r="O1462" i="4" s="1"/>
  <c r="N2909" i="4"/>
  <c r="O2909" i="4" s="1"/>
  <c r="N2984" i="4"/>
  <c r="O2984" i="4" s="1"/>
  <c r="N3312" i="4"/>
  <c r="O3312" i="4" s="1"/>
  <c r="N5214" i="4"/>
  <c r="O5214" i="4" s="1"/>
  <c r="N5231" i="4"/>
  <c r="O5231" i="4" s="1"/>
  <c r="N5243" i="4"/>
  <c r="O5243" i="4" s="1"/>
  <c r="N54" i="4"/>
  <c r="O54" i="4" s="1"/>
  <c r="N1877" i="4"/>
  <c r="O1877" i="4" s="1"/>
  <c r="N1949" i="4"/>
  <c r="O1949" i="4" s="1"/>
  <c r="N3772" i="4"/>
  <c r="O3772" i="4" s="1"/>
  <c r="N3973" i="4"/>
  <c r="O3973" i="4" s="1"/>
  <c r="N576" i="4"/>
  <c r="O576" i="4" s="1"/>
  <c r="N575" i="4"/>
  <c r="O575" i="4" s="1"/>
  <c r="N574" i="4"/>
  <c r="O574" i="4" s="1"/>
  <c r="N573" i="4"/>
  <c r="O573" i="4" s="1"/>
  <c r="N572" i="4"/>
  <c r="O572" i="4" s="1"/>
  <c r="N571" i="4"/>
  <c r="O571" i="4" s="1"/>
  <c r="N570" i="4"/>
  <c r="O570" i="4" s="1"/>
  <c r="N569" i="4"/>
  <c r="O569" i="4" s="1"/>
  <c r="N568" i="4"/>
  <c r="O568" i="4" s="1"/>
  <c r="N567" i="4"/>
  <c r="O567" i="4" s="1"/>
  <c r="N566" i="4"/>
  <c r="O566" i="4" s="1"/>
  <c r="N565" i="4"/>
  <c r="O565" i="4" s="1"/>
  <c r="N564" i="4"/>
  <c r="O564" i="4" s="1"/>
  <c r="N563" i="4"/>
  <c r="O563" i="4" s="1"/>
  <c r="N562" i="4"/>
  <c r="O562" i="4" s="1"/>
  <c r="N561" i="4"/>
  <c r="O561" i="4" s="1"/>
  <c r="N560" i="4"/>
  <c r="O560" i="4" s="1"/>
  <c r="N559" i="4"/>
  <c r="O559" i="4" s="1"/>
  <c r="N558" i="4"/>
  <c r="O558" i="4" s="1"/>
  <c r="N557" i="4"/>
  <c r="O557" i="4" s="1"/>
  <c r="N556" i="4"/>
  <c r="O556" i="4" s="1"/>
  <c r="N555" i="4"/>
  <c r="O555" i="4" s="1"/>
  <c r="N554" i="4"/>
  <c r="O554" i="4" s="1"/>
  <c r="N553" i="4"/>
  <c r="O553" i="4" s="1"/>
  <c r="N552" i="4"/>
  <c r="O552" i="4" s="1"/>
  <c r="N551" i="4"/>
  <c r="O551" i="4" s="1"/>
  <c r="N550" i="4"/>
  <c r="O550" i="4" s="1"/>
  <c r="N549" i="4"/>
  <c r="O549" i="4" s="1"/>
  <c r="N548" i="4"/>
  <c r="O548" i="4" s="1"/>
  <c r="N547" i="4"/>
  <c r="O547" i="4" s="1"/>
  <c r="N546" i="4"/>
  <c r="O546" i="4" s="1"/>
  <c r="N545" i="4"/>
  <c r="O545" i="4" s="1"/>
  <c r="N544" i="4"/>
  <c r="O544" i="4" s="1"/>
  <c r="N543" i="4"/>
  <c r="O543" i="4" s="1"/>
  <c r="N542" i="4"/>
  <c r="O542" i="4" s="1"/>
  <c r="N541" i="4"/>
  <c r="O541" i="4" s="1"/>
  <c r="N2135" i="4"/>
  <c r="O2135" i="4" s="1"/>
  <c r="N540" i="4"/>
  <c r="O540" i="4" s="1"/>
  <c r="N539" i="4"/>
  <c r="O539" i="4" s="1"/>
  <c r="N538" i="4"/>
  <c r="O538" i="4" s="1"/>
  <c r="N537" i="4"/>
  <c r="O537" i="4" s="1"/>
  <c r="N535" i="4"/>
  <c r="O535" i="4" s="1"/>
  <c r="N534" i="4"/>
  <c r="O534" i="4" s="1"/>
  <c r="N533" i="4"/>
  <c r="O533" i="4" s="1"/>
  <c r="N532" i="4"/>
  <c r="O532" i="4" s="1"/>
  <c r="N531" i="4"/>
  <c r="O531" i="4" s="1"/>
  <c r="N530" i="4"/>
  <c r="O530" i="4" s="1"/>
  <c r="N529" i="4"/>
  <c r="O529" i="4" s="1"/>
  <c r="N528" i="4"/>
  <c r="O528" i="4" s="1"/>
  <c r="N527" i="4"/>
  <c r="O527" i="4" s="1"/>
  <c r="N526" i="4"/>
  <c r="O526" i="4" s="1"/>
  <c r="N525" i="4"/>
  <c r="O525" i="4" s="1"/>
  <c r="N2197" i="4"/>
  <c r="O2197" i="4" s="1"/>
  <c r="N2195" i="4"/>
  <c r="O2195" i="4" s="1"/>
  <c r="N2184" i="4"/>
  <c r="O2184" i="4" s="1"/>
  <c r="N2179" i="4"/>
  <c r="O2179" i="4" s="1"/>
  <c r="N2178" i="4"/>
  <c r="O2178" i="4" s="1"/>
  <c r="N2161" i="4"/>
  <c r="O2161" i="4" s="1"/>
  <c r="N2159" i="4"/>
  <c r="O2159" i="4" s="1"/>
  <c r="N2158" i="4"/>
  <c r="O2158" i="4" s="1"/>
  <c r="N2149" i="4"/>
  <c r="O2149" i="4" s="1"/>
  <c r="N2118" i="4"/>
  <c r="O2118" i="4" s="1"/>
  <c r="N2113" i="4"/>
  <c r="O2113" i="4" s="1"/>
  <c r="N2108" i="4"/>
  <c r="O2108" i="4" s="1"/>
  <c r="N2101" i="4"/>
  <c r="O2101" i="4" s="1"/>
  <c r="N2100" i="4"/>
  <c r="O2100" i="4" s="1"/>
  <c r="N2099" i="4"/>
  <c r="O2099" i="4" s="1"/>
  <c r="N2098" i="4"/>
  <c r="O2098" i="4" s="1"/>
  <c r="N2097" i="4"/>
  <c r="O2097" i="4" s="1"/>
  <c r="N2096" i="4"/>
  <c r="O2096" i="4" s="1"/>
  <c r="N2095" i="4"/>
  <c r="O2095" i="4" s="1"/>
  <c r="N2094" i="4"/>
  <c r="O2094" i="4" s="1"/>
  <c r="N2093" i="4"/>
  <c r="O2093" i="4" s="1"/>
  <c r="N2072" i="4"/>
  <c r="O2072" i="4" s="1"/>
  <c r="N2055" i="4"/>
  <c r="O2055" i="4" s="1"/>
  <c r="N2054" i="4"/>
  <c r="O2054" i="4" s="1"/>
  <c r="N2053" i="4"/>
  <c r="O2053" i="4" s="1"/>
  <c r="N2042" i="4"/>
  <c r="O2042" i="4" s="1"/>
  <c r="N2037" i="4"/>
  <c r="O2037" i="4" s="1"/>
  <c r="N2036" i="4"/>
  <c r="O2036" i="4" s="1"/>
  <c r="N2035" i="4"/>
  <c r="O2035" i="4" s="1"/>
  <c r="N1944" i="4"/>
  <c r="O1944" i="4" s="1"/>
  <c r="N1936" i="4"/>
  <c r="O1936" i="4" s="1"/>
  <c r="N1935" i="4"/>
  <c r="O1935" i="4" s="1"/>
  <c r="N1928" i="4"/>
  <c r="O1928" i="4" s="1"/>
  <c r="N1923" i="4"/>
  <c r="O1923" i="4" s="1"/>
  <c r="N1922" i="4"/>
  <c r="O1922" i="4" s="1"/>
  <c r="N1920" i="4"/>
  <c r="O1920" i="4" s="1"/>
  <c r="N1915" i="4"/>
  <c r="O1915" i="4" s="1"/>
  <c r="N1909" i="4"/>
  <c r="O1909" i="4" s="1"/>
  <c r="N1908" i="4"/>
  <c r="O1908" i="4" s="1"/>
  <c r="N1881" i="4"/>
  <c r="O1881" i="4" s="1"/>
  <c r="N1879" i="4"/>
  <c r="O1879" i="4" s="1"/>
  <c r="N1867" i="4"/>
  <c r="O1867" i="4" s="1"/>
  <c r="N1866" i="4"/>
  <c r="O1866" i="4" s="1"/>
  <c r="N1865" i="4"/>
  <c r="O1865" i="4" s="1"/>
  <c r="N1864" i="4"/>
  <c r="O1864" i="4" s="1"/>
  <c r="N1863" i="4"/>
  <c r="O1863" i="4" s="1"/>
  <c r="N1862" i="4"/>
  <c r="O1862" i="4" s="1"/>
  <c r="N1838" i="4"/>
  <c r="O1838" i="4" s="1"/>
  <c r="N1837" i="4"/>
  <c r="O1837" i="4" s="1"/>
  <c r="N1830" i="4"/>
  <c r="O1830" i="4" s="1"/>
  <c r="N1829" i="4"/>
  <c r="O1829" i="4" s="1"/>
  <c r="N1781" i="4"/>
  <c r="O1781" i="4" s="1"/>
  <c r="N1760" i="4"/>
  <c r="O1760" i="4" s="1"/>
  <c r="N1755" i="4"/>
  <c r="O1755" i="4" s="1"/>
  <c r="N1754" i="4"/>
  <c r="O1754" i="4" s="1"/>
  <c r="N1753" i="4"/>
  <c r="O1753" i="4" s="1"/>
  <c r="N1752" i="4"/>
  <c r="O1752" i="4" s="1"/>
  <c r="N1743" i="4"/>
  <c r="O1743" i="4" s="1"/>
  <c r="N1742" i="4"/>
  <c r="O1742" i="4" s="1"/>
  <c r="N1738" i="4"/>
  <c r="O1738" i="4" s="1"/>
  <c r="N1733" i="4"/>
  <c r="O1733" i="4" s="1"/>
  <c r="N1731" i="4"/>
  <c r="O1731" i="4" s="1"/>
  <c r="N1730" i="4"/>
  <c r="O1730" i="4" s="1"/>
  <c r="N1729" i="4"/>
  <c r="O1729" i="4" s="1"/>
  <c r="N1728" i="4"/>
  <c r="O1728" i="4" s="1"/>
  <c r="N1719" i="4"/>
  <c r="O1719" i="4" s="1"/>
  <c r="N2655" i="4"/>
  <c r="O2655" i="4" s="1"/>
  <c r="N2654" i="4"/>
  <c r="O2654" i="4" s="1"/>
  <c r="N2645" i="4"/>
  <c r="O2645" i="4" s="1"/>
  <c r="N2644" i="4"/>
  <c r="O2644" i="4" s="1"/>
  <c r="N2643" i="4"/>
  <c r="O2643" i="4" s="1"/>
  <c r="N2642" i="4"/>
  <c r="O2642" i="4" s="1"/>
  <c r="N2637" i="4"/>
  <c r="O2637" i="4" s="1"/>
  <c r="N2636" i="4"/>
  <c r="O2636" i="4" s="1"/>
  <c r="N2635" i="4"/>
  <c r="O2635" i="4" s="1"/>
  <c r="N2634" i="4"/>
  <c r="O2634" i="4" s="1"/>
  <c r="N2633" i="4"/>
  <c r="O2633" i="4" s="1"/>
  <c r="N2632" i="4"/>
  <c r="O2632" i="4" s="1"/>
  <c r="N2615" i="4"/>
  <c r="O2615" i="4" s="1"/>
  <c r="N2614" i="4"/>
  <c r="O2614" i="4" s="1"/>
  <c r="N2613" i="4"/>
  <c r="O2613" i="4" s="1"/>
  <c r="N2612" i="4"/>
  <c r="O2612" i="4" s="1"/>
  <c r="N2611" i="4"/>
  <c r="O2611" i="4" s="1"/>
  <c r="N2609" i="4"/>
  <c r="O2609" i="4" s="1"/>
  <c r="N2608" i="4"/>
  <c r="O2608" i="4" s="1"/>
  <c r="N2585" i="4"/>
  <c r="O2585" i="4" s="1"/>
  <c r="N2579" i="4"/>
  <c r="O2579" i="4" s="1"/>
  <c r="N2576" i="4"/>
  <c r="O2576" i="4" s="1"/>
  <c r="N2575" i="4"/>
  <c r="O2575" i="4" s="1"/>
  <c r="N2574" i="4"/>
  <c r="O2574" i="4" s="1"/>
  <c r="N2569" i="4"/>
  <c r="O2569" i="4" s="1"/>
  <c r="N2568" i="4"/>
  <c r="O2568" i="4" s="1"/>
  <c r="N2567" i="4"/>
  <c r="O2567" i="4" s="1"/>
  <c r="N2566" i="4"/>
  <c r="O2566" i="4" s="1"/>
  <c r="N2560" i="4"/>
  <c r="O2560" i="4" s="1"/>
  <c r="N2557" i="4"/>
  <c r="O2557" i="4" s="1"/>
  <c r="N2552" i="4"/>
  <c r="O2552" i="4" s="1"/>
  <c r="N2551" i="4"/>
  <c r="O2551" i="4" s="1"/>
  <c r="N2534" i="4"/>
  <c r="O2534" i="4" s="1"/>
  <c r="N2529" i="4"/>
  <c r="O2529" i="4" s="1"/>
  <c r="N2522" i="4"/>
  <c r="O2522" i="4" s="1"/>
  <c r="N2521" i="4"/>
  <c r="O2521" i="4" s="1"/>
  <c r="N2517" i="4"/>
  <c r="O2517" i="4" s="1"/>
  <c r="N2516" i="4"/>
  <c r="O2516" i="4" s="1"/>
  <c r="N2515" i="4"/>
  <c r="O2515" i="4" s="1"/>
  <c r="N2514" i="4"/>
  <c r="O2514" i="4" s="1"/>
  <c r="N2513" i="4"/>
  <c r="O2513" i="4" s="1"/>
  <c r="N2509" i="4"/>
  <c r="O2509" i="4" s="1"/>
  <c r="N2482" i="4"/>
  <c r="O2482" i="4" s="1"/>
  <c r="N2481" i="4"/>
  <c r="O2481" i="4" s="1"/>
  <c r="N2478" i="4"/>
  <c r="O2478" i="4" s="1"/>
  <c r="N2477" i="4"/>
  <c r="O2477" i="4" s="1"/>
  <c r="N2476" i="4"/>
  <c r="O2476" i="4" s="1"/>
  <c r="N2475" i="4"/>
  <c r="O2475" i="4" s="1"/>
  <c r="N524" i="4"/>
  <c r="O524" i="4" s="1"/>
  <c r="N523" i="4"/>
  <c r="O523" i="4" s="1"/>
  <c r="N522" i="4"/>
  <c r="O522" i="4" s="1"/>
  <c r="N521" i="4"/>
  <c r="O521" i="4" s="1"/>
  <c r="N520" i="4"/>
  <c r="O520" i="4" s="1"/>
  <c r="N519" i="4"/>
  <c r="O519" i="4" s="1"/>
  <c r="N518" i="4"/>
  <c r="O518" i="4" s="1"/>
  <c r="N517" i="4"/>
  <c r="O517" i="4" s="1"/>
  <c r="N516" i="4"/>
  <c r="O516" i="4" s="1"/>
  <c r="N514" i="4"/>
  <c r="O514" i="4" s="1"/>
  <c r="N513" i="4"/>
  <c r="O513" i="4" s="1"/>
  <c r="N512" i="4"/>
  <c r="O512" i="4" s="1"/>
  <c r="N511" i="4"/>
  <c r="O511" i="4" s="1"/>
  <c r="N510" i="4"/>
  <c r="O510" i="4" s="1"/>
  <c r="N509" i="4"/>
  <c r="O509" i="4" s="1"/>
  <c r="N508" i="4"/>
  <c r="O508" i="4" s="1"/>
  <c r="N2442" i="4"/>
  <c r="O2442" i="4" s="1"/>
  <c r="N2441" i="4"/>
  <c r="O2441" i="4" s="1"/>
  <c r="N2440" i="4"/>
  <c r="O2440" i="4" s="1"/>
  <c r="N2439" i="4"/>
  <c r="O2439" i="4" s="1"/>
  <c r="N2438" i="4"/>
  <c r="O2438" i="4" s="1"/>
  <c r="N2431" i="4"/>
  <c r="O2431" i="4" s="1"/>
  <c r="N2367" i="4"/>
  <c r="O2367" i="4" s="1"/>
  <c r="N2366" i="4"/>
  <c r="O2366" i="4" s="1"/>
  <c r="N2364" i="4"/>
  <c r="O2364" i="4" s="1"/>
  <c r="N2363" i="4"/>
  <c r="O2363" i="4" s="1"/>
  <c r="N2362" i="4"/>
  <c r="O2362" i="4" s="1"/>
  <c r="N2348" i="4"/>
  <c r="O2348" i="4" s="1"/>
  <c r="N2347" i="4"/>
  <c r="O2347" i="4" s="1"/>
  <c r="N2322" i="4"/>
  <c r="O2322" i="4" s="1"/>
  <c r="N2321" i="4"/>
  <c r="O2321" i="4" s="1"/>
  <c r="N2304" i="4"/>
  <c r="O2304" i="4" s="1"/>
  <c r="N2297" i="4"/>
  <c r="O2297" i="4" s="1"/>
  <c r="N2296" i="4"/>
  <c r="O2296" i="4" s="1"/>
  <c r="N2295" i="4"/>
  <c r="O2295" i="4" s="1"/>
  <c r="N2281" i="4"/>
  <c r="O2281" i="4" s="1"/>
  <c r="N2254" i="4"/>
  <c r="O2254" i="4" s="1"/>
  <c r="N2245" i="4"/>
  <c r="O2245" i="4" s="1"/>
  <c r="N2244" i="4"/>
  <c r="O2244" i="4" s="1"/>
  <c r="N2236" i="4"/>
  <c r="O2236" i="4" s="1"/>
  <c r="N2213" i="4"/>
  <c r="O2213" i="4" s="1"/>
  <c r="N2209" i="4"/>
  <c r="O2209" i="4" s="1"/>
  <c r="N2208" i="4"/>
  <c r="O2208" i="4" s="1"/>
  <c r="N2201" i="4"/>
  <c r="O2201" i="4" s="1"/>
  <c r="N2200" i="4"/>
  <c r="O2200" i="4" s="1"/>
  <c r="N2190" i="4"/>
  <c r="O2190" i="4" s="1"/>
  <c r="N2188" i="4"/>
  <c r="O2188" i="4" s="1"/>
  <c r="N2182" i="4"/>
  <c r="O2182" i="4" s="1"/>
  <c r="N2177" i="4"/>
  <c r="O2177" i="4" s="1"/>
  <c r="N2176" i="4"/>
  <c r="O2176" i="4" s="1"/>
  <c r="N2175" i="4"/>
  <c r="O2175" i="4" s="1"/>
  <c r="N2152" i="4"/>
  <c r="O2152" i="4" s="1"/>
  <c r="N2151" i="4"/>
  <c r="O2151" i="4" s="1"/>
  <c r="N5490" i="4"/>
  <c r="O5490" i="4" s="1"/>
  <c r="N5489" i="4"/>
  <c r="O5489" i="4" s="1"/>
  <c r="N5488" i="4"/>
  <c r="O5488" i="4" s="1"/>
  <c r="N5487" i="4"/>
  <c r="O5487" i="4" s="1"/>
  <c r="N5486" i="4"/>
  <c r="O5486" i="4" s="1"/>
  <c r="N5485" i="4"/>
  <c r="O5485" i="4" s="1"/>
  <c r="N5484" i="4"/>
  <c r="O5484" i="4" s="1"/>
  <c r="N5483" i="4"/>
  <c r="O5483" i="4" s="1"/>
  <c r="N5482" i="4"/>
  <c r="O5482" i="4" s="1"/>
  <c r="N5481" i="4"/>
  <c r="O5481" i="4" s="1"/>
  <c r="N5480" i="4"/>
  <c r="O5480" i="4" s="1"/>
  <c r="N5478" i="4"/>
  <c r="O5478" i="4" s="1"/>
  <c r="N5476" i="4"/>
  <c r="O5476" i="4" s="1"/>
  <c r="N5475" i="4"/>
  <c r="O5475" i="4" s="1"/>
  <c r="N650" i="4"/>
  <c r="O650" i="4" s="1"/>
  <c r="N649" i="4"/>
  <c r="O649" i="4" s="1"/>
  <c r="N648" i="4"/>
  <c r="O648" i="4" s="1"/>
  <c r="N647" i="4"/>
  <c r="O647" i="4" s="1"/>
  <c r="N645" i="4"/>
  <c r="O645" i="4" s="1"/>
  <c r="N644" i="4"/>
  <c r="O644" i="4" s="1"/>
  <c r="N643" i="4"/>
  <c r="O643" i="4" s="1"/>
  <c r="N642" i="4"/>
  <c r="O642" i="4" s="1"/>
  <c r="N641" i="4"/>
  <c r="O641" i="4" s="1"/>
  <c r="N640" i="4"/>
  <c r="O640" i="4" s="1"/>
  <c r="N3500" i="4"/>
  <c r="O3500" i="4" s="1"/>
  <c r="N3494" i="4"/>
  <c r="O3494" i="4" s="1"/>
  <c r="N3489" i="4"/>
  <c r="O3489" i="4" s="1"/>
  <c r="N3484" i="4"/>
  <c r="O3484" i="4" s="1"/>
  <c r="N3440" i="4"/>
  <c r="O3440" i="4" s="1"/>
  <c r="N3429" i="4"/>
  <c r="O3429" i="4" s="1"/>
  <c r="N3425" i="4"/>
  <c r="O3425" i="4" s="1"/>
  <c r="N3394" i="4"/>
  <c r="O3394" i="4" s="1"/>
  <c r="N3386" i="4"/>
  <c r="O3386" i="4" s="1"/>
  <c r="N3368" i="4"/>
  <c r="O3368" i="4" s="1"/>
  <c r="N3354" i="4"/>
  <c r="O3354" i="4" s="1"/>
  <c r="N3341" i="4"/>
  <c r="O3341" i="4" s="1"/>
  <c r="N3339" i="4"/>
  <c r="O3339" i="4" s="1"/>
  <c r="N3334" i="4"/>
  <c r="O3334" i="4" s="1"/>
  <c r="N3306" i="4"/>
  <c r="O3306" i="4" s="1"/>
  <c r="N3300" i="4"/>
  <c r="O3300" i="4" s="1"/>
  <c r="N3270" i="4"/>
  <c r="O3270" i="4" s="1"/>
  <c r="N3240" i="4"/>
  <c r="O3240" i="4" s="1"/>
  <c r="N3217" i="4"/>
  <c r="O3217" i="4" s="1"/>
  <c r="N3212" i="4"/>
  <c r="O3212" i="4" s="1"/>
  <c r="N3209" i="4"/>
  <c r="O3209" i="4" s="1"/>
  <c r="N3173" i="4"/>
  <c r="O3173" i="4" s="1"/>
  <c r="N3159" i="4"/>
  <c r="O3159" i="4" s="1"/>
  <c r="N3150" i="4"/>
  <c r="O3150" i="4" s="1"/>
  <c r="N3136" i="4"/>
  <c r="O3136" i="4" s="1"/>
  <c r="N3110" i="4"/>
  <c r="O3110" i="4" s="1"/>
  <c r="N3087" i="4"/>
  <c r="O3087" i="4" s="1"/>
  <c r="N3085" i="4"/>
  <c r="O3085" i="4" s="1"/>
  <c r="N3083" i="4"/>
  <c r="O3083" i="4" s="1"/>
  <c r="N3081" i="4"/>
  <c r="O3081" i="4" s="1"/>
  <c r="N3079" i="4"/>
  <c r="O3079" i="4" s="1"/>
  <c r="N3058" i="4"/>
  <c r="O3058" i="4" s="1"/>
  <c r="N3046" i="4"/>
  <c r="O3046" i="4" s="1"/>
  <c r="N3031" i="4"/>
  <c r="O3031" i="4" s="1"/>
  <c r="N2967" i="4"/>
  <c r="O2967" i="4" s="1"/>
  <c r="N2963" i="4"/>
  <c r="O2963" i="4" s="1"/>
  <c r="N2959" i="4"/>
  <c r="O2959" i="4" s="1"/>
  <c r="N2942" i="4"/>
  <c r="O2942" i="4" s="1"/>
  <c r="N2925" i="4"/>
  <c r="O2925" i="4" s="1"/>
  <c r="N2893" i="4"/>
  <c r="O2893" i="4" s="1"/>
  <c r="N2884" i="4"/>
  <c r="O2884" i="4" s="1"/>
  <c r="N2870" i="4"/>
  <c r="O2870" i="4" s="1"/>
  <c r="N2856" i="4"/>
  <c r="O2856" i="4" s="1"/>
  <c r="N2831" i="4"/>
  <c r="O2831" i="4" s="1"/>
  <c r="N2828" i="4"/>
  <c r="O2828" i="4" s="1"/>
  <c r="N2806" i="4"/>
  <c r="O2806" i="4" s="1"/>
  <c r="N2742" i="4"/>
  <c r="O2742" i="4" s="1"/>
  <c r="N2733" i="4"/>
  <c r="O2733" i="4" s="1"/>
  <c r="N2730" i="4"/>
  <c r="O2730" i="4" s="1"/>
  <c r="N2713" i="4"/>
  <c r="O2713" i="4" s="1"/>
  <c r="N2710" i="4"/>
  <c r="O2710" i="4" s="1"/>
  <c r="N2692" i="4"/>
  <c r="O2692" i="4" s="1"/>
  <c r="N2659" i="4"/>
  <c r="O2659" i="4" s="1"/>
  <c r="N2631" i="4"/>
  <c r="O2631" i="4" s="1"/>
  <c r="N2622" i="4"/>
  <c r="O2622" i="4" s="1"/>
  <c r="N2617" i="4"/>
  <c r="O2617" i="4" s="1"/>
  <c r="N2606" i="4"/>
  <c r="O2606" i="4" s="1"/>
  <c r="N2600" i="4"/>
  <c r="O2600" i="4" s="1"/>
  <c r="N2577" i="4"/>
  <c r="O2577" i="4" s="1"/>
  <c r="N2532" i="4"/>
  <c r="O2532" i="4" s="1"/>
  <c r="N2510" i="4"/>
  <c r="O2510" i="4" s="1"/>
  <c r="N2473" i="4"/>
  <c r="O2473" i="4" s="1"/>
  <c r="N2459" i="4"/>
  <c r="O2459" i="4" s="1"/>
  <c r="N2448" i="4"/>
  <c r="O2448" i="4" s="1"/>
  <c r="N2429" i="4"/>
  <c r="O2429" i="4" s="1"/>
  <c r="N2425" i="4"/>
  <c r="O2425" i="4" s="1"/>
  <c r="N2414" i="4"/>
  <c r="O2414" i="4" s="1"/>
  <c r="N2400" i="4"/>
  <c r="O2400" i="4" s="1"/>
  <c r="N2393" i="4"/>
  <c r="O2393" i="4" s="1"/>
  <c r="N2355" i="4"/>
  <c r="O2355" i="4" s="1"/>
  <c r="N2344" i="4"/>
  <c r="O2344" i="4" s="1"/>
  <c r="N2341" i="4"/>
  <c r="O2341" i="4" s="1"/>
  <c r="N2338" i="4"/>
  <c r="O2338" i="4" s="1"/>
  <c r="N2335" i="4"/>
  <c r="O2335" i="4" s="1"/>
  <c r="N2300" i="4"/>
  <c r="O2300" i="4" s="1"/>
  <c r="N2243" i="4"/>
  <c r="O2243" i="4" s="1"/>
  <c r="N2204" i="4"/>
  <c r="O2204" i="4" s="1"/>
  <c r="N638" i="4"/>
  <c r="O638" i="4" s="1"/>
  <c r="N3146" i="4"/>
  <c r="O3146" i="4" s="1"/>
  <c r="N2978" i="4"/>
  <c r="O2978" i="4" s="1"/>
  <c r="N3213" i="4"/>
  <c r="O3213" i="4" s="1"/>
  <c r="N3752" i="4"/>
  <c r="O3752" i="4" s="1"/>
  <c r="N3982" i="4"/>
  <c r="O3982" i="4" s="1"/>
  <c r="N1937" i="4"/>
  <c r="O1937" i="4" s="1"/>
  <c r="N4024" i="4"/>
  <c r="O4024" i="4" s="1"/>
  <c r="N4089" i="4"/>
  <c r="O4089" i="4" s="1"/>
  <c r="N4303" i="4"/>
  <c r="O4303" i="4" s="1"/>
  <c r="N4408" i="4"/>
  <c r="O4408" i="4" s="1"/>
  <c r="N4465" i="4"/>
  <c r="O4465" i="4" s="1"/>
  <c r="N722" i="4"/>
  <c r="O722" i="4" s="1"/>
  <c r="N911" i="4"/>
  <c r="O911" i="4" s="1"/>
  <c r="N922" i="4"/>
  <c r="O922" i="4" s="1"/>
  <c r="N1001" i="4"/>
  <c r="O1001" i="4" s="1"/>
  <c r="N1275" i="4"/>
  <c r="O1275" i="4" s="1"/>
  <c r="N1477" i="4"/>
  <c r="O1477" i="4" s="1"/>
  <c r="N2116" i="4"/>
  <c r="O2116" i="4" s="1"/>
  <c r="N5242" i="4"/>
  <c r="O5242" i="4" s="1"/>
  <c r="N3908" i="4"/>
  <c r="O3908" i="4" s="1"/>
  <c r="N2136" i="4"/>
  <c r="O2136" i="4" s="1"/>
  <c r="N2134" i="4"/>
  <c r="O2134" i="4" s="1"/>
  <c r="N2133" i="4"/>
  <c r="O2133" i="4" s="1"/>
  <c r="N2128" i="4"/>
  <c r="O2128" i="4" s="1"/>
  <c r="N2127" i="4"/>
  <c r="O2127" i="4" s="1"/>
  <c r="N2125" i="4"/>
  <c r="O2125" i="4" s="1"/>
  <c r="N2124" i="4"/>
  <c r="O2124" i="4" s="1"/>
  <c r="N2123" i="4"/>
  <c r="O2123" i="4" s="1"/>
  <c r="N2122" i="4"/>
  <c r="O2122" i="4" s="1"/>
  <c r="N2111" i="4"/>
  <c r="O2111" i="4" s="1"/>
  <c r="N2110" i="4"/>
  <c r="O2110" i="4" s="1"/>
  <c r="N2092" i="4"/>
  <c r="O2092" i="4" s="1"/>
  <c r="N2091" i="4"/>
  <c r="O2091" i="4" s="1"/>
  <c r="N2090" i="4"/>
  <c r="O2090" i="4" s="1"/>
  <c r="N2089" i="4"/>
  <c r="O2089" i="4" s="1"/>
  <c r="N2088" i="4"/>
  <c r="O2088" i="4" s="1"/>
  <c r="N2087" i="4"/>
  <c r="O2087" i="4" s="1"/>
  <c r="N2086" i="4"/>
  <c r="O2086" i="4" s="1"/>
  <c r="N2085" i="4"/>
  <c r="O2085" i="4" s="1"/>
  <c r="N2079" i="4"/>
  <c r="O2079" i="4" s="1"/>
  <c r="N2071" i="4"/>
  <c r="O2071" i="4" s="1"/>
  <c r="N2070" i="4"/>
  <c r="O2070" i="4" s="1"/>
  <c r="N2065" i="4"/>
  <c r="O2065" i="4" s="1"/>
  <c r="N2064" i="4"/>
  <c r="O2064" i="4" s="1"/>
  <c r="N2063" i="4"/>
  <c r="O2063" i="4" s="1"/>
  <c r="N2062" i="4"/>
  <c r="O2062" i="4" s="1"/>
  <c r="N2061" i="4"/>
  <c r="O2061" i="4" s="1"/>
  <c r="N2060" i="4"/>
  <c r="O2060" i="4" s="1"/>
  <c r="N2034" i="4"/>
  <c r="O2034" i="4" s="1"/>
  <c r="N2024" i="4"/>
  <c r="O2024" i="4" s="1"/>
  <c r="N2023" i="4"/>
  <c r="O2023" i="4" s="1"/>
  <c r="N2021" i="4"/>
  <c r="O2021" i="4" s="1"/>
  <c r="N2003" i="4"/>
  <c r="O2003" i="4" s="1"/>
  <c r="N2002" i="4"/>
  <c r="O2002" i="4" s="1"/>
  <c r="N2001" i="4"/>
  <c r="O2001" i="4" s="1"/>
  <c r="N2000" i="4"/>
  <c r="O2000" i="4" s="1"/>
  <c r="N1999" i="4"/>
  <c r="O1999" i="4" s="1"/>
  <c r="N1998" i="4"/>
  <c r="O1998" i="4" s="1"/>
  <c r="N1997" i="4"/>
  <c r="O1997" i="4" s="1"/>
  <c r="N1996" i="4"/>
  <c r="O1996" i="4" s="1"/>
  <c r="N1995" i="4"/>
  <c r="O1995" i="4" s="1"/>
  <c r="N1994" i="4"/>
  <c r="O1994" i="4" s="1"/>
  <c r="N1993" i="4"/>
  <c r="O1993" i="4" s="1"/>
  <c r="N1992" i="4"/>
  <c r="O1992" i="4" s="1"/>
  <c r="N1943" i="4"/>
  <c r="O1943" i="4" s="1"/>
  <c r="N1933" i="4"/>
  <c r="O1933" i="4" s="1"/>
  <c r="N1932" i="4"/>
  <c r="O1932" i="4" s="1"/>
  <c r="N1914" i="4"/>
  <c r="O1914" i="4" s="1"/>
  <c r="N1890" i="4"/>
  <c r="O1890" i="4" s="1"/>
  <c r="N1888" i="4"/>
  <c r="O1888" i="4" s="1"/>
  <c r="N1868" i="4"/>
  <c r="O1868" i="4" s="1"/>
  <c r="N1859" i="4"/>
  <c r="O1859" i="4" s="1"/>
  <c r="N1833" i="4"/>
  <c r="O1833" i="4" s="1"/>
  <c r="N1832" i="4"/>
  <c r="O1832" i="4" s="1"/>
  <c r="N1819" i="4"/>
  <c r="O1819" i="4" s="1"/>
  <c r="N1817" i="4"/>
  <c r="O1817" i="4" s="1"/>
  <c r="N1815" i="4"/>
  <c r="O1815" i="4" s="1"/>
  <c r="N1805" i="4"/>
  <c r="O1805" i="4" s="1"/>
  <c r="N1800" i="4"/>
  <c r="O1800" i="4" s="1"/>
  <c r="N1799" i="4"/>
  <c r="O1799" i="4" s="1"/>
  <c r="N1798" i="4"/>
  <c r="O1798" i="4" s="1"/>
  <c r="N1797" i="4"/>
  <c r="O1797" i="4" s="1"/>
  <c r="N1786" i="4"/>
  <c r="O1786" i="4" s="1"/>
  <c r="N1785" i="4"/>
  <c r="O1785" i="4" s="1"/>
  <c r="N1759" i="4"/>
  <c r="O1759" i="4" s="1"/>
  <c r="N1751" i="4"/>
  <c r="O1751" i="4" s="1"/>
  <c r="N1737" i="4"/>
  <c r="O1737" i="4" s="1"/>
  <c r="N1736" i="4"/>
  <c r="O1736" i="4" s="1"/>
  <c r="N1735" i="4"/>
  <c r="O1735" i="4" s="1"/>
  <c r="N1724" i="4"/>
  <c r="O1724" i="4" s="1"/>
  <c r="N1723" i="4"/>
  <c r="O1723" i="4" s="1"/>
  <c r="N1709" i="4"/>
  <c r="O1709" i="4" s="1"/>
  <c r="N1708" i="4"/>
  <c r="O1708" i="4" s="1"/>
  <c r="N1707" i="4"/>
  <c r="O1707" i="4" s="1"/>
  <c r="N1706" i="4"/>
  <c r="O1706" i="4" s="1"/>
  <c r="N1705" i="4"/>
  <c r="O1705" i="4" s="1"/>
  <c r="N1704" i="4"/>
  <c r="O1704" i="4" s="1"/>
  <c r="N1683" i="4"/>
  <c r="O1683" i="4" s="1"/>
  <c r="N1682" i="4"/>
  <c r="O1682" i="4" s="1"/>
  <c r="N1681" i="4"/>
  <c r="O1681" i="4" s="1"/>
  <c r="N1680" i="4"/>
  <c r="O1680" i="4" s="1"/>
  <c r="N1679" i="4"/>
  <c r="O1679" i="4" s="1"/>
  <c r="N1678" i="4"/>
  <c r="O1678" i="4" s="1"/>
  <c r="N1677" i="4"/>
  <c r="O1677" i="4" s="1"/>
  <c r="N1676" i="4"/>
  <c r="O1676" i="4" s="1"/>
  <c r="N1674" i="4"/>
  <c r="O1674" i="4" s="1"/>
  <c r="N1673" i="4"/>
  <c r="O1673" i="4" s="1"/>
  <c r="N1647" i="4"/>
  <c r="O1647" i="4" s="1"/>
  <c r="N1646" i="4"/>
  <c r="O1646" i="4" s="1"/>
  <c r="N1641" i="4"/>
  <c r="O1641" i="4" s="1"/>
  <c r="N1640" i="4"/>
  <c r="O1640" i="4" s="1"/>
  <c r="N1636" i="4"/>
  <c r="O1636" i="4" s="1"/>
  <c r="N1627" i="4"/>
  <c r="O1627" i="4" s="1"/>
  <c r="N1626" i="4"/>
  <c r="O1626" i="4" s="1"/>
  <c r="N1604" i="4"/>
  <c r="O1604" i="4" s="1"/>
  <c r="N1603" i="4"/>
  <c r="O1603" i="4" s="1"/>
  <c r="N1577" i="4"/>
  <c r="O1577" i="4" s="1"/>
  <c r="N1576" i="4"/>
  <c r="O1576" i="4" s="1"/>
  <c r="N1565" i="4"/>
  <c r="O1565" i="4" s="1"/>
  <c r="N1564" i="4"/>
  <c r="O1564" i="4" s="1"/>
  <c r="N1563" i="4"/>
  <c r="O1563" i="4" s="1"/>
  <c r="N1562" i="4"/>
  <c r="O1562" i="4" s="1"/>
  <c r="N1561" i="4"/>
  <c r="O1561" i="4" s="1"/>
  <c r="N1560" i="4"/>
  <c r="O1560" i="4" s="1"/>
  <c r="N1559" i="4"/>
  <c r="O1559" i="4" s="1"/>
  <c r="N1545" i="4"/>
  <c r="O1545" i="4" s="1"/>
  <c r="N1532" i="4"/>
  <c r="O1532" i="4" s="1"/>
  <c r="N1531" i="4"/>
  <c r="O1531" i="4" s="1"/>
  <c r="N1529" i="4"/>
  <c r="O1529" i="4" s="1"/>
  <c r="N1522" i="4"/>
  <c r="O1522" i="4" s="1"/>
  <c r="N1516" i="4"/>
  <c r="O1516" i="4" s="1"/>
  <c r="N1515" i="4"/>
  <c r="O1515" i="4" s="1"/>
  <c r="N426" i="4"/>
  <c r="O426" i="4" s="1"/>
  <c r="N425" i="4"/>
  <c r="O425" i="4" s="1"/>
  <c r="N415" i="4"/>
  <c r="O415" i="4" s="1"/>
  <c r="N163" i="4"/>
  <c r="O163" i="4" s="1"/>
  <c r="N414" i="4"/>
  <c r="O414" i="4" s="1"/>
  <c r="N389" i="4"/>
  <c r="O389" i="4" s="1"/>
  <c r="N369" i="4"/>
  <c r="O369" i="4" s="1"/>
  <c r="N359" i="4"/>
  <c r="O359" i="4" s="1"/>
  <c r="N342" i="4"/>
  <c r="O342" i="4" s="1"/>
  <c r="N327" i="4"/>
  <c r="O327" i="4" s="1"/>
  <c r="N317" i="4"/>
  <c r="O317" i="4" s="1"/>
  <c r="N305" i="4"/>
  <c r="O305" i="4" s="1"/>
  <c r="N299" i="4"/>
  <c r="O299" i="4" s="1"/>
  <c r="N270" i="4"/>
  <c r="O270" i="4" s="1"/>
  <c r="N264" i="4"/>
  <c r="O264" i="4" s="1"/>
  <c r="N263" i="4"/>
  <c r="O263" i="4" s="1"/>
  <c r="N262" i="4"/>
  <c r="O262" i="4" s="1"/>
  <c r="N257" i="4"/>
  <c r="O257" i="4" s="1"/>
  <c r="N247" i="4"/>
  <c r="O247" i="4" s="1"/>
  <c r="N206" i="4"/>
  <c r="O206" i="4" s="1"/>
  <c r="N185" i="4"/>
  <c r="O185" i="4" s="1"/>
  <c r="N179" i="4"/>
  <c r="O179" i="4" s="1"/>
  <c r="N178" i="4"/>
  <c r="O178" i="4" s="1"/>
  <c r="N173" i="4"/>
  <c r="O173" i="4" s="1"/>
  <c r="N172" i="4"/>
  <c r="O172" i="4" s="1"/>
  <c r="N171" i="4"/>
  <c r="O171" i="4" s="1"/>
  <c r="N165" i="4"/>
  <c r="O165" i="4" s="1"/>
  <c r="N164" i="4"/>
  <c r="O164" i="4" s="1"/>
  <c r="N162" i="4"/>
  <c r="O162" i="4" s="1"/>
  <c r="N161" i="4"/>
  <c r="O161" i="4" s="1"/>
  <c r="N155" i="4"/>
  <c r="O155" i="4" s="1"/>
  <c r="N154" i="4"/>
  <c r="O154" i="4" s="1"/>
  <c r="N153" i="4"/>
  <c r="O153" i="4" s="1"/>
  <c r="N152" i="4"/>
  <c r="O152" i="4" s="1"/>
  <c r="N138" i="4"/>
  <c r="O138" i="4" s="1"/>
  <c r="N137" i="4"/>
  <c r="O137" i="4" s="1"/>
  <c r="N136" i="4"/>
  <c r="O136" i="4" s="1"/>
  <c r="N130" i="4"/>
  <c r="O130" i="4" s="1"/>
  <c r="N129" i="4"/>
  <c r="O129" i="4" s="1"/>
  <c r="N128" i="4"/>
  <c r="O128" i="4" s="1"/>
  <c r="N123" i="4"/>
  <c r="O123" i="4" s="1"/>
  <c r="N113" i="4"/>
  <c r="O113" i="4" s="1"/>
  <c r="N111" i="4"/>
  <c r="O111" i="4" s="1"/>
  <c r="N110" i="4"/>
  <c r="N105" i="4"/>
  <c r="O105" i="4" s="1"/>
  <c r="N92" i="4"/>
  <c r="O92" i="4" s="1"/>
  <c r="N74" i="4"/>
  <c r="O74" i="4" s="1"/>
  <c r="N59" i="4"/>
  <c r="N58" i="4"/>
  <c r="O58" i="4" s="1"/>
  <c r="N57" i="4"/>
  <c r="O57" i="4" s="1"/>
  <c r="N34" i="4"/>
  <c r="O34" i="4" s="1"/>
  <c r="N26" i="4"/>
  <c r="N16" i="4"/>
  <c r="O16" i="4" s="1"/>
  <c r="N15" i="4"/>
  <c r="N14" i="4"/>
  <c r="N2" i="4"/>
  <c r="N5982" i="4"/>
  <c r="O5982" i="4" s="1"/>
  <c r="N5981" i="4"/>
  <c r="O5981" i="4" s="1"/>
  <c r="N5977" i="4"/>
  <c r="O5977" i="4" s="1"/>
  <c r="N5976" i="4"/>
  <c r="O5976" i="4" s="1"/>
  <c r="N5975" i="4"/>
  <c r="O5975" i="4" s="1"/>
  <c r="N5974" i="4"/>
  <c r="O5974" i="4" s="1"/>
  <c r="N5947" i="4"/>
  <c r="O5947" i="4" s="1"/>
  <c r="N5946" i="4"/>
  <c r="O5946" i="4" s="1"/>
  <c r="N5945" i="4"/>
  <c r="O5945" i="4" s="1"/>
  <c r="N5939" i="4"/>
  <c r="O5939" i="4" s="1"/>
  <c r="N5938" i="4"/>
  <c r="O5938" i="4" s="1"/>
  <c r="N5932" i="4"/>
  <c r="O5932" i="4" s="1"/>
  <c r="N5919" i="4"/>
  <c r="O5919" i="4" s="1"/>
  <c r="N5898" i="4"/>
  <c r="O5898" i="4" s="1"/>
  <c r="N5884" i="4"/>
  <c r="O5884" i="4" s="1"/>
  <c r="N5874" i="4"/>
  <c r="O5874" i="4" s="1"/>
  <c r="N5873" i="4"/>
  <c r="O5873" i="4" s="1"/>
  <c r="N5855" i="4"/>
  <c r="O5855" i="4" s="1"/>
  <c r="N5854" i="4"/>
  <c r="O5854" i="4" s="1"/>
  <c r="N5849" i="4"/>
  <c r="O5849" i="4" s="1"/>
  <c r="N5848" i="4"/>
  <c r="O5848" i="4" s="1"/>
  <c r="N5847" i="4"/>
  <c r="O5847" i="4" s="1"/>
  <c r="N5845" i="4"/>
  <c r="O5845" i="4" s="1"/>
  <c r="N5839" i="4"/>
  <c r="O5839" i="4" s="1"/>
  <c r="N5838" i="4"/>
  <c r="O5838" i="4" s="1"/>
  <c r="N5829" i="4"/>
  <c r="O5829" i="4" s="1"/>
  <c r="N5818" i="4"/>
  <c r="O5818" i="4" s="1"/>
  <c r="N5817" i="4"/>
  <c r="O5817" i="4" s="1"/>
  <c r="N5815" i="4"/>
  <c r="O5815" i="4" s="1"/>
  <c r="N5186" i="4"/>
  <c r="O5186" i="4" s="1"/>
  <c r="N5180" i="4"/>
  <c r="O5180" i="4" s="1"/>
  <c r="N5171" i="4"/>
  <c r="O5171" i="4" s="1"/>
  <c r="N5167" i="4"/>
  <c r="O5167" i="4" s="1"/>
  <c r="N5166" i="4"/>
  <c r="O5166" i="4" s="1"/>
  <c r="N5151" i="4"/>
  <c r="O5151" i="4" s="1"/>
  <c r="N5148" i="4"/>
  <c r="O5148" i="4" s="1"/>
  <c r="N5135" i="4"/>
  <c r="O5135" i="4" s="1"/>
  <c r="N5128" i="4"/>
  <c r="O5128" i="4" s="1"/>
  <c r="N5123" i="4"/>
  <c r="O5123" i="4" s="1"/>
  <c r="N5113" i="4"/>
  <c r="O5113" i="4" s="1"/>
  <c r="N5108" i="4"/>
  <c r="O5108" i="4" s="1"/>
  <c r="N5099" i="4"/>
  <c r="O5099" i="4" s="1"/>
  <c r="N5098" i="4"/>
  <c r="O5098" i="4" s="1"/>
  <c r="N5097" i="4"/>
  <c r="O5097" i="4" s="1"/>
  <c r="N5096" i="4"/>
  <c r="O5096" i="4" s="1"/>
  <c r="N5602" i="4"/>
  <c r="O5602" i="4" s="1"/>
  <c r="N5601" i="4"/>
  <c r="O5601" i="4" s="1"/>
  <c r="N5600" i="4"/>
  <c r="O5600" i="4" s="1"/>
  <c r="N5599" i="4"/>
  <c r="O5599" i="4" s="1"/>
  <c r="N5598" i="4"/>
  <c r="O5598" i="4" s="1"/>
  <c r="N5597" i="4"/>
  <c r="O5597" i="4" s="1"/>
  <c r="N5596" i="4"/>
  <c r="O5596" i="4" s="1"/>
  <c r="N5595" i="4"/>
  <c r="O5595" i="4" s="1"/>
  <c r="N5594" i="4"/>
  <c r="O5594" i="4" s="1"/>
  <c r="N5593" i="4"/>
  <c r="O5593" i="4" s="1"/>
  <c r="N5592" i="4"/>
  <c r="O5592" i="4" s="1"/>
  <c r="N5591" i="4"/>
  <c r="O5591" i="4" s="1"/>
  <c r="N5590" i="4"/>
  <c r="O5590" i="4" s="1"/>
  <c r="N5589" i="4"/>
  <c r="O5589" i="4" s="1"/>
  <c r="N5588" i="4"/>
  <c r="O5588" i="4" s="1"/>
  <c r="N5587" i="4"/>
  <c r="O5587" i="4" s="1"/>
  <c r="N5586" i="4"/>
  <c r="O5586" i="4" s="1"/>
  <c r="N5585" i="4"/>
  <c r="O5585" i="4" s="1"/>
  <c r="N5584" i="4"/>
  <c r="O5584" i="4" s="1"/>
  <c r="N5583" i="4"/>
  <c r="O5583" i="4" s="1"/>
  <c r="N5582" i="4"/>
  <c r="O5582" i="4" s="1"/>
  <c r="N5581" i="4"/>
  <c r="O5581" i="4" s="1"/>
  <c r="N5580" i="4"/>
  <c r="O5580" i="4" s="1"/>
  <c r="N5579" i="4"/>
  <c r="O5579" i="4" s="1"/>
  <c r="N5578" i="4"/>
  <c r="O5578" i="4" s="1"/>
  <c r="N5577" i="4"/>
  <c r="O5577" i="4" s="1"/>
  <c r="N5576" i="4"/>
  <c r="O5576" i="4" s="1"/>
  <c r="N5575" i="4"/>
  <c r="O5575" i="4" s="1"/>
  <c r="N5574" i="4"/>
  <c r="O5574" i="4" s="1"/>
  <c r="N5573" i="4"/>
  <c r="O5573" i="4" s="1"/>
  <c r="N5572" i="4"/>
  <c r="O5572" i="4" s="1"/>
  <c r="N5571" i="4"/>
  <c r="O5571" i="4" s="1"/>
  <c r="N5570" i="4"/>
  <c r="O5570" i="4" s="1"/>
  <c r="N5569" i="4"/>
  <c r="O5569" i="4" s="1"/>
  <c r="N5568" i="4"/>
  <c r="O5568" i="4" s="1"/>
  <c r="N5567" i="4"/>
  <c r="O5567" i="4" s="1"/>
  <c r="N5566" i="4"/>
  <c r="O5566" i="4" s="1"/>
  <c r="N5565" i="4"/>
  <c r="O5565" i="4" s="1"/>
  <c r="N5564" i="4"/>
  <c r="O5564" i="4" s="1"/>
  <c r="N5563" i="4"/>
  <c r="O5563" i="4" s="1"/>
  <c r="N5562" i="4"/>
  <c r="O5562" i="4" s="1"/>
  <c r="N5561" i="4"/>
  <c r="O5561" i="4" s="1"/>
  <c r="N5560" i="4"/>
  <c r="O5560" i="4" s="1"/>
  <c r="N5559" i="4"/>
  <c r="O5559" i="4" s="1"/>
  <c r="N5558" i="4"/>
  <c r="O5558" i="4" s="1"/>
  <c r="N5557" i="4"/>
  <c r="O5557" i="4" s="1"/>
  <c r="N5556" i="4"/>
  <c r="O5556" i="4" s="1"/>
  <c r="N5555" i="4"/>
  <c r="O5555" i="4" s="1"/>
  <c r="N5554" i="4"/>
  <c r="O5554" i="4" s="1"/>
  <c r="N5553" i="4"/>
  <c r="O5553" i="4" s="1"/>
  <c r="N5552" i="4"/>
  <c r="O5552" i="4" s="1"/>
  <c r="N5551" i="4"/>
  <c r="O5551" i="4" s="1"/>
  <c r="N5550" i="4"/>
  <c r="O5550" i="4" s="1"/>
  <c r="N5549" i="4"/>
  <c r="O5549" i="4" s="1"/>
  <c r="N5548" i="4"/>
  <c r="O5548" i="4" s="1"/>
  <c r="N5547" i="4"/>
  <c r="O5547" i="4" s="1"/>
  <c r="N5546" i="4"/>
  <c r="O5546" i="4" s="1"/>
  <c r="N5545" i="4"/>
  <c r="O5545" i="4" s="1"/>
  <c r="N5544" i="4"/>
  <c r="O5544" i="4" s="1"/>
  <c r="N5543" i="4"/>
  <c r="O5543" i="4" s="1"/>
  <c r="N5542" i="4"/>
  <c r="O5542" i="4" s="1"/>
  <c r="N5541" i="4"/>
  <c r="O5541" i="4" s="1"/>
  <c r="N5540" i="4"/>
  <c r="O5540" i="4" s="1"/>
  <c r="N5539" i="4"/>
  <c r="O5539" i="4" s="1"/>
  <c r="N5538" i="4"/>
  <c r="O5538" i="4" s="1"/>
  <c r="N5537" i="4"/>
  <c r="O5537" i="4" s="1"/>
  <c r="N5536" i="4"/>
  <c r="O5536" i="4" s="1"/>
  <c r="N5535" i="4"/>
  <c r="O5535" i="4" s="1"/>
  <c r="N5534" i="4"/>
  <c r="O5534" i="4" s="1"/>
  <c r="N5533" i="4"/>
  <c r="O5533" i="4" s="1"/>
  <c r="N5532" i="4"/>
  <c r="O5532" i="4" s="1"/>
  <c r="N5531" i="4"/>
  <c r="O5531" i="4" s="1"/>
  <c r="N5530" i="4"/>
  <c r="O5530" i="4" s="1"/>
  <c r="N5529" i="4"/>
  <c r="O5529" i="4" s="1"/>
  <c r="N5528" i="4"/>
  <c r="O5528" i="4" s="1"/>
  <c r="N5527" i="4"/>
  <c r="O5527" i="4" s="1"/>
  <c r="N5526" i="4"/>
  <c r="O5526" i="4" s="1"/>
  <c r="N5525" i="4"/>
  <c r="O5525" i="4" s="1"/>
  <c r="N5524" i="4"/>
  <c r="O5524" i="4" s="1"/>
  <c r="N5523" i="4"/>
  <c r="O5523" i="4" s="1"/>
  <c r="N5522" i="4"/>
  <c r="O5522" i="4" s="1"/>
  <c r="N5521" i="4"/>
  <c r="O5521" i="4" s="1"/>
  <c r="N5520" i="4"/>
  <c r="O5520" i="4" s="1"/>
  <c r="N5519" i="4"/>
  <c r="O5519" i="4" s="1"/>
  <c r="N5518" i="4"/>
  <c r="O5518" i="4" s="1"/>
  <c r="N5517" i="4"/>
  <c r="O5517" i="4" s="1"/>
  <c r="N5516" i="4"/>
  <c r="O5516" i="4" s="1"/>
  <c r="N5515" i="4"/>
  <c r="O5515" i="4" s="1"/>
  <c r="N5514" i="4"/>
  <c r="O5514" i="4" s="1"/>
  <c r="N5513" i="4"/>
  <c r="O5513" i="4" s="1"/>
  <c r="N5512" i="4"/>
  <c r="O5512" i="4" s="1"/>
  <c r="N5511" i="4"/>
  <c r="O5511" i="4" s="1"/>
  <c r="N5510" i="4"/>
  <c r="O5510" i="4" s="1"/>
  <c r="N5509" i="4"/>
  <c r="O5509" i="4" s="1"/>
  <c r="N5508" i="4"/>
  <c r="O5508" i="4" s="1"/>
  <c r="N5507" i="4"/>
  <c r="O5507" i="4" s="1"/>
  <c r="N5506" i="4"/>
  <c r="O5506" i="4" s="1"/>
  <c r="N5505" i="4"/>
  <c r="O5505" i="4" s="1"/>
  <c r="N5504" i="4"/>
  <c r="O5504" i="4" s="1"/>
  <c r="N5503" i="4"/>
  <c r="O5503" i="4" s="1"/>
  <c r="N5502" i="4"/>
  <c r="O5502" i="4" s="1"/>
  <c r="N5501" i="4"/>
  <c r="O5501" i="4" s="1"/>
  <c r="N5500" i="4"/>
  <c r="O5500" i="4" s="1"/>
  <c r="N5499" i="4"/>
  <c r="O5499" i="4" s="1"/>
  <c r="N5498" i="4"/>
  <c r="O5498" i="4" s="1"/>
  <c r="N5497" i="4"/>
  <c r="O5497" i="4" s="1"/>
  <c r="N5496" i="4"/>
  <c r="O5496" i="4" s="1"/>
  <c r="N5495" i="4"/>
  <c r="O5495" i="4" s="1"/>
  <c r="N5494" i="4"/>
  <c r="O5494" i="4" s="1"/>
  <c r="N5493" i="4"/>
  <c r="O5493" i="4" s="1"/>
  <c r="N5492" i="4"/>
  <c r="O5492" i="4" s="1"/>
  <c r="N5491" i="4"/>
  <c r="O5491" i="4" s="1"/>
  <c r="N5479" i="4"/>
  <c r="O5479" i="4" s="1"/>
  <c r="N639" i="4"/>
  <c r="O639" i="4" s="1"/>
  <c r="N3501" i="4"/>
  <c r="O3501" i="4" s="1"/>
  <c r="N3488" i="4"/>
  <c r="O3488" i="4" s="1"/>
  <c r="N3461" i="4"/>
  <c r="O3461" i="4" s="1"/>
  <c r="N3439" i="4"/>
  <c r="O3439" i="4" s="1"/>
  <c r="N3428" i="4"/>
  <c r="O3428" i="4" s="1"/>
  <c r="N3426" i="4"/>
  <c r="O3426" i="4" s="1"/>
  <c r="N3395" i="4"/>
  <c r="O3395" i="4" s="1"/>
  <c r="N3391" i="4"/>
  <c r="O3391" i="4" s="1"/>
  <c r="N3375" i="4"/>
  <c r="O3375" i="4" s="1"/>
  <c r="N3373" i="4"/>
  <c r="O3373" i="4" s="1"/>
  <c r="N3359" i="4"/>
  <c r="O3359" i="4" s="1"/>
  <c r="N3355" i="4"/>
  <c r="O3355" i="4" s="1"/>
  <c r="N3349" i="4"/>
  <c r="O3349" i="4" s="1"/>
  <c r="N3340" i="4"/>
  <c r="O3340" i="4" s="1"/>
  <c r="N3320" i="4"/>
  <c r="O3320" i="4" s="1"/>
  <c r="N3305" i="4"/>
  <c r="O3305" i="4" s="1"/>
  <c r="N3279" i="4"/>
  <c r="O3279" i="4" s="1"/>
  <c r="N3267" i="4"/>
  <c r="O3267" i="4" s="1"/>
  <c r="N3246" i="4"/>
  <c r="O3246" i="4" s="1"/>
  <c r="N3226" i="4"/>
  <c r="O3226" i="4" s="1"/>
  <c r="N3216" i="4"/>
  <c r="O3216" i="4" s="1"/>
  <c r="N3174" i="4"/>
  <c r="O3174" i="4" s="1"/>
  <c r="N3164" i="4"/>
  <c r="O3164" i="4" s="1"/>
  <c r="N3153" i="4"/>
  <c r="O3153" i="4" s="1"/>
  <c r="N3151" i="4"/>
  <c r="O3151" i="4" s="1"/>
  <c r="N3147" i="4"/>
  <c r="O3147" i="4" s="1"/>
  <c r="N3117" i="4"/>
  <c r="O3117" i="4" s="1"/>
  <c r="N3111" i="4"/>
  <c r="O3111" i="4" s="1"/>
  <c r="N3093" i="4"/>
  <c r="O3093" i="4" s="1"/>
  <c r="N3084" i="4"/>
  <c r="O3084" i="4" s="1"/>
  <c r="N3070" i="4"/>
  <c r="O3070" i="4" s="1"/>
  <c r="N3059" i="4"/>
  <c r="O3059" i="4" s="1"/>
  <c r="N3051" i="4"/>
  <c r="O3051" i="4" s="1"/>
  <c r="N3032" i="4"/>
  <c r="O3032" i="4" s="1"/>
  <c r="N3018" i="4"/>
  <c r="O3018" i="4" s="1"/>
  <c r="N3002" i="4"/>
  <c r="O3002" i="4" s="1"/>
  <c r="N2968" i="4"/>
  <c r="O2968" i="4" s="1"/>
  <c r="N2966" i="4"/>
  <c r="O2966" i="4" s="1"/>
  <c r="N2964" i="4"/>
  <c r="O2964" i="4" s="1"/>
  <c r="N2962" i="4"/>
  <c r="O2962" i="4" s="1"/>
  <c r="N2960" i="4"/>
  <c r="O2960" i="4" s="1"/>
  <c r="N2958" i="4"/>
  <c r="O2958" i="4" s="1"/>
  <c r="N2944" i="4"/>
  <c r="O2944" i="4" s="1"/>
  <c r="N2927" i="4"/>
  <c r="O2927" i="4" s="1"/>
  <c r="N2920" i="4"/>
  <c r="O2920" i="4" s="1"/>
  <c r="N2898" i="4"/>
  <c r="O2898" i="4" s="1"/>
  <c r="N2892" i="4"/>
  <c r="O2892" i="4" s="1"/>
  <c r="N2868" i="4"/>
  <c r="O2868" i="4" s="1"/>
  <c r="N2865" i="4"/>
  <c r="O2865" i="4" s="1"/>
  <c r="N2850" i="4"/>
  <c r="O2850" i="4" s="1"/>
  <c r="N2830" i="4"/>
  <c r="O2830" i="4" s="1"/>
  <c r="N2767" i="4"/>
  <c r="O2767" i="4" s="1"/>
  <c r="N2731" i="4"/>
  <c r="O2731" i="4" s="1"/>
  <c r="N2711" i="4"/>
  <c r="O2711" i="4" s="1"/>
  <c r="N2706" i="4"/>
  <c r="O2706" i="4" s="1"/>
  <c r="N2660" i="4"/>
  <c r="O2660" i="4" s="1"/>
  <c r="N2623" i="4"/>
  <c r="O2623" i="4" s="1"/>
  <c r="N2618" i="4"/>
  <c r="O2618" i="4" s="1"/>
  <c r="N2607" i="4"/>
  <c r="O2607" i="4" s="1"/>
  <c r="N2604" i="4"/>
  <c r="O2604" i="4" s="1"/>
  <c r="N2601" i="4"/>
  <c r="O2601" i="4" s="1"/>
  <c r="N2533" i="4"/>
  <c r="O2533" i="4" s="1"/>
  <c r="N2511" i="4"/>
  <c r="O2511" i="4" s="1"/>
  <c r="N2498" i="4"/>
  <c r="O2498" i="4" s="1"/>
  <c r="N2462" i="4"/>
  <c r="O2462" i="4" s="1"/>
  <c r="N2451" i="4"/>
  <c r="O2451" i="4" s="1"/>
  <c r="N2443" i="4"/>
  <c r="O2443" i="4" s="1"/>
  <c r="N2428" i="4"/>
  <c r="O2428" i="4" s="1"/>
  <c r="N2424" i="4"/>
  <c r="O2424" i="4" s="1"/>
  <c r="N2410" i="4"/>
  <c r="O2410" i="4" s="1"/>
  <c r="N2395" i="4"/>
  <c r="O2395" i="4" s="1"/>
  <c r="N2381" i="4"/>
  <c r="O2381" i="4" s="1"/>
  <c r="N2357" i="4"/>
  <c r="O2357" i="4" s="1"/>
  <c r="N2350" i="4"/>
  <c r="O2350" i="4" s="1"/>
  <c r="N2343" i="4"/>
  <c r="O2343" i="4" s="1"/>
  <c r="N2340" i="4"/>
  <c r="O2340" i="4" s="1"/>
  <c r="N2337" i="4"/>
  <c r="O2337" i="4" s="1"/>
  <c r="N2302" i="4"/>
  <c r="O2302" i="4" s="1"/>
  <c r="N2280" i="4"/>
  <c r="O2280" i="4" s="1"/>
  <c r="N2240" i="4"/>
  <c r="O2240" i="4" s="1"/>
  <c r="M162" i="1"/>
  <c r="N4940" i="4"/>
  <c r="O4940" i="4" s="1"/>
  <c r="N3071" i="4"/>
  <c r="O3071" i="4" s="1"/>
  <c r="N4709" i="4"/>
  <c r="O4709" i="4" s="1"/>
  <c r="N946" i="4"/>
  <c r="O946" i="4" s="1"/>
  <c r="N1171" i="4"/>
  <c r="O1171" i="4" s="1"/>
  <c r="N1183" i="4"/>
  <c r="O1183" i="4" s="1"/>
  <c r="N1194" i="4"/>
  <c r="O1194" i="4" s="1"/>
  <c r="N1337" i="4"/>
  <c r="O1337" i="4" s="1"/>
  <c r="N1434" i="4"/>
  <c r="O1434" i="4" s="1"/>
  <c r="N1551" i="4"/>
  <c r="O1551" i="4" s="1"/>
  <c r="N3302" i="4"/>
  <c r="O3302" i="4" s="1"/>
  <c r="N4844" i="4"/>
  <c r="O4844" i="4" s="1"/>
  <c r="N151" i="4"/>
  <c r="O151" i="4" s="1"/>
  <c r="N245" i="4"/>
  <c r="O245" i="4" s="1"/>
  <c r="N281" i="4"/>
  <c r="O281" i="4" s="1"/>
  <c r="N346" i="4"/>
  <c r="O346" i="4" s="1"/>
  <c r="N1548" i="4"/>
  <c r="O1548" i="4" s="1"/>
  <c r="N2267" i="4"/>
  <c r="O2267" i="4" s="1"/>
  <c r="N2708" i="4"/>
  <c r="O2708" i="4" s="1"/>
  <c r="N2821" i="4"/>
  <c r="O2821" i="4" s="1"/>
  <c r="N3108" i="4"/>
  <c r="O3108" i="4" s="1"/>
  <c r="N3290" i="4"/>
  <c r="O3290" i="4" s="1"/>
  <c r="N3449" i="4"/>
  <c r="O3449" i="4" s="1"/>
  <c r="N3713" i="4"/>
  <c r="O3713" i="4" s="1"/>
  <c r="N3860" i="4"/>
  <c r="O3860" i="4" s="1"/>
  <c r="N3890" i="4"/>
  <c r="O3890" i="4" s="1"/>
  <c r="N3965" i="4"/>
  <c r="O3965" i="4" s="1"/>
  <c r="N3987" i="4"/>
  <c r="O3987" i="4" s="1"/>
  <c r="N4041" i="4"/>
  <c r="O4041" i="4" s="1"/>
  <c r="N4134" i="4"/>
  <c r="O4134" i="4" s="1"/>
  <c r="N4160" i="4"/>
  <c r="O4160" i="4" s="1"/>
  <c r="N4316" i="4"/>
  <c r="O4316" i="4" s="1"/>
  <c r="N4484" i="4"/>
  <c r="O4484" i="4" s="1"/>
  <c r="N4604" i="4"/>
  <c r="O4604" i="4" s="1"/>
  <c r="N4640" i="4"/>
  <c r="O4640" i="4" s="1"/>
  <c r="N4842" i="4"/>
  <c r="O4842" i="4" s="1"/>
  <c r="N4990" i="4"/>
  <c r="O4990" i="4" s="1"/>
  <c r="N170" i="4"/>
  <c r="O170" i="4" s="1"/>
  <c r="N241" i="4"/>
  <c r="O241" i="4" s="1"/>
  <c r="N348" i="4"/>
  <c r="O348" i="4" s="1"/>
  <c r="N1765" i="4"/>
  <c r="O1765" i="4" s="1"/>
  <c r="N2006" i="4"/>
  <c r="O2006" i="4" s="1"/>
  <c r="N2351" i="4"/>
  <c r="O2351" i="4" s="1"/>
  <c r="N2591" i="4"/>
  <c r="O2591" i="4" s="1"/>
  <c r="N2849" i="4"/>
  <c r="O2849" i="4" s="1"/>
  <c r="N2936" i="4"/>
  <c r="O2936" i="4" s="1"/>
  <c r="N3388" i="4"/>
  <c r="O3388" i="4" s="1"/>
  <c r="N3589" i="4"/>
  <c r="O3589" i="4" s="1"/>
  <c r="N3830" i="4"/>
  <c r="O3830" i="4" s="1"/>
  <c r="N3861" i="4"/>
  <c r="O3861" i="4" s="1"/>
  <c r="N4130" i="4"/>
  <c r="O4130" i="4" s="1"/>
  <c r="N4216" i="4"/>
  <c r="O4216" i="4" s="1"/>
  <c r="N4380" i="4"/>
  <c r="O4380" i="4" s="1"/>
  <c r="N4423" i="4"/>
  <c r="O4423" i="4" s="1"/>
  <c r="N4651" i="4"/>
  <c r="O4651" i="4" s="1"/>
  <c r="N4894" i="4"/>
  <c r="O4894" i="4" s="1"/>
  <c r="N5009" i="4"/>
  <c r="O5009" i="4" s="1"/>
  <c r="N276" i="4"/>
  <c r="O276" i="4" s="1"/>
  <c r="N343" i="4"/>
  <c r="O343" i="4" s="1"/>
  <c r="N442" i="4"/>
  <c r="O442" i="4" s="1"/>
  <c r="N1519" i="4"/>
  <c r="O1519" i="4" s="1"/>
  <c r="N1547" i="4"/>
  <c r="O1547" i="4" s="1"/>
  <c r="N1776" i="4"/>
  <c r="O1776" i="4" s="1"/>
  <c r="N2018" i="4"/>
  <c r="O2018" i="4" s="1"/>
  <c r="N2559" i="4"/>
  <c r="O2559" i="4" s="1"/>
  <c r="N3022" i="4"/>
  <c r="O3022" i="4" s="1"/>
  <c r="N3309" i="4"/>
  <c r="O3309" i="4" s="1"/>
  <c r="N3448" i="4"/>
  <c r="O3448" i="4" s="1"/>
  <c r="N3627" i="4"/>
  <c r="O3627" i="4" s="1"/>
  <c r="N3682" i="4"/>
  <c r="O3682" i="4" s="1"/>
  <c r="N4038" i="4"/>
  <c r="O4038" i="4" s="1"/>
  <c r="N4271" i="4"/>
  <c r="O4271" i="4" s="1"/>
  <c r="N4390" i="4"/>
  <c r="O4390" i="4" s="1"/>
  <c r="N4811" i="4"/>
  <c r="O4811" i="4" s="1"/>
  <c r="N266" i="4"/>
  <c r="O266" i="4" s="1"/>
  <c r="N356" i="4"/>
  <c r="O356" i="4" s="1"/>
  <c r="N371" i="4"/>
  <c r="O371" i="4" s="1"/>
  <c r="N1899" i="4"/>
  <c r="O1899" i="4" s="1"/>
  <c r="N2051" i="4"/>
  <c r="O2051" i="4" s="1"/>
  <c r="N2774" i="4"/>
  <c r="O2774" i="4" s="1"/>
  <c r="N233" i="4"/>
  <c r="O233" i="4" s="1"/>
  <c r="N1860" i="4"/>
  <c r="O1860" i="4" s="1"/>
  <c r="N2392" i="4"/>
  <c r="O2392" i="4" s="1"/>
  <c r="N2664" i="4"/>
  <c r="O2664" i="4" s="1"/>
  <c r="N2696" i="4"/>
  <c r="O2696" i="4" s="1"/>
  <c r="N2781" i="4"/>
  <c r="O2781" i="4" s="1"/>
  <c r="N2977" i="4"/>
  <c r="O2977" i="4" s="1"/>
  <c r="N3642" i="4"/>
  <c r="O3642" i="4" s="1"/>
  <c r="N4239" i="4"/>
  <c r="O4239" i="4" s="1"/>
  <c r="N4851" i="4"/>
  <c r="O4851" i="4" s="1"/>
  <c r="N5077" i="4"/>
  <c r="O5077" i="4" s="1"/>
  <c r="N5904" i="4"/>
  <c r="O5904" i="4" s="1"/>
  <c r="N9" i="4"/>
  <c r="O9" i="4" s="1"/>
  <c r="N84" i="4"/>
  <c r="O84" i="4" s="1"/>
  <c r="N2260" i="4"/>
  <c r="O2260" i="4" s="1"/>
  <c r="N2434" i="4"/>
  <c r="O2434" i="4" s="1"/>
  <c r="N2652" i="4"/>
  <c r="O2652" i="4" s="1"/>
  <c r="N2888" i="4"/>
  <c r="O2888" i="4" s="1"/>
  <c r="N3568" i="4"/>
  <c r="O3568" i="4" s="1"/>
  <c r="N3808" i="4"/>
  <c r="O3808" i="4" s="1"/>
  <c r="N5156" i="4"/>
  <c r="O5156" i="4" s="1"/>
  <c r="N5820" i="4"/>
  <c r="O5820" i="4" s="1"/>
  <c r="N2467" i="4"/>
  <c r="O2467" i="4" s="1"/>
  <c r="N754" i="4"/>
  <c r="O754" i="4" s="1"/>
  <c r="N890" i="4"/>
  <c r="O890" i="4" s="1"/>
  <c r="N929" i="4"/>
  <c r="O929" i="4" s="1"/>
  <c r="N1119" i="4"/>
  <c r="O1119" i="4" s="1"/>
  <c r="N1190" i="4"/>
  <c r="O1190" i="4" s="1"/>
  <c r="N1376" i="4"/>
  <c r="O1376" i="4" s="1"/>
  <c r="N1664" i="4"/>
  <c r="O1664" i="4" s="1"/>
  <c r="N2391" i="4"/>
  <c r="O2391" i="4" s="1"/>
  <c r="N2739" i="4"/>
  <c r="O2739" i="4" s="1"/>
  <c r="N3508" i="4"/>
  <c r="O3508" i="4" s="1"/>
  <c r="N3154" i="4"/>
  <c r="O3154" i="4" s="1"/>
  <c r="N4192" i="4"/>
  <c r="O4192" i="4" s="1"/>
  <c r="N251" i="4"/>
  <c r="O251" i="4" s="1"/>
  <c r="N1539" i="4"/>
  <c r="O1539" i="4" s="1"/>
  <c r="N1762" i="4"/>
  <c r="O1762" i="4" s="1"/>
  <c r="N1857" i="4"/>
  <c r="O1857" i="4" s="1"/>
  <c r="N2012" i="4"/>
  <c r="O2012" i="4" s="1"/>
  <c r="N2279" i="4"/>
  <c r="O2279" i="4" s="1"/>
  <c r="N2346" i="4"/>
  <c r="O2346" i="4" s="1"/>
  <c r="N2671" i="4"/>
  <c r="O2671" i="4" s="1"/>
  <c r="N2726" i="4"/>
  <c r="O2726" i="4" s="1"/>
  <c r="N3186" i="4"/>
  <c r="O3186" i="4" s="1"/>
  <c r="N3344" i="4"/>
  <c r="O3344" i="4" s="1"/>
  <c r="N3622" i="4"/>
  <c r="O3622" i="4" s="1"/>
  <c r="N3769" i="4"/>
  <c r="O3769" i="4" s="1"/>
  <c r="N3870" i="4"/>
  <c r="O3870" i="4" s="1"/>
  <c r="N4061" i="4"/>
  <c r="O4061" i="4" s="1"/>
  <c r="N4312" i="4"/>
  <c r="O4312" i="4" s="1"/>
  <c r="N4344" i="4"/>
  <c r="O4344" i="4" s="1"/>
  <c r="N4387" i="4"/>
  <c r="O4387" i="4" s="1"/>
  <c r="N4850" i="4"/>
  <c r="O4850" i="4" s="1"/>
  <c r="N5022" i="4"/>
  <c r="O5022" i="4" s="1"/>
  <c r="N5122" i="4"/>
  <c r="O5122" i="4" s="1"/>
  <c r="N5843" i="4"/>
  <c r="O5843" i="4" s="1"/>
  <c r="N5899" i="4"/>
  <c r="O5899" i="4" s="1"/>
  <c r="N5966" i="4"/>
  <c r="O5966" i="4" s="1"/>
  <c r="N194" i="4"/>
  <c r="O194" i="4" s="1"/>
  <c r="N295" i="4"/>
  <c r="O295" i="4" s="1"/>
  <c r="N403" i="4"/>
  <c r="O403" i="4" s="1"/>
  <c r="N1662" i="4"/>
  <c r="O1662" i="4" s="1"/>
  <c r="N1721" i="4"/>
  <c r="O1721" i="4" s="1"/>
  <c r="N1812" i="4"/>
  <c r="O1812" i="4" s="1"/>
  <c r="N1892" i="4"/>
  <c r="O1892" i="4" s="1"/>
  <c r="N2548" i="4"/>
  <c r="O2548" i="4" s="1"/>
  <c r="N2876" i="4"/>
  <c r="O2876" i="4" s="1"/>
  <c r="N2906" i="4"/>
  <c r="O2906" i="4" s="1"/>
  <c r="N3346" i="4"/>
  <c r="O3346" i="4" s="1"/>
  <c r="N3504" i="4"/>
  <c r="O3504" i="4" s="1"/>
  <c r="N3667" i="4"/>
  <c r="O3667" i="4" s="1"/>
  <c r="N4166" i="4"/>
  <c r="O4166" i="4" s="1"/>
  <c r="N4328" i="4"/>
  <c r="O4328" i="4" s="1"/>
  <c r="N4384" i="4"/>
  <c r="O4384" i="4" s="1"/>
  <c r="N4583" i="4"/>
  <c r="O4583" i="4" s="1"/>
  <c r="N4793" i="4"/>
  <c r="O4793" i="4" s="1"/>
  <c r="N4870" i="4"/>
  <c r="O4870" i="4" s="1"/>
  <c r="N4933" i="4"/>
  <c r="O4933" i="4" s="1"/>
  <c r="N5992" i="4"/>
  <c r="O5992" i="4" s="1"/>
  <c r="N388" i="4"/>
  <c r="O388" i="4" s="1"/>
  <c r="N1500" i="4"/>
  <c r="O1500" i="4" s="1"/>
  <c r="N1590" i="4"/>
  <c r="O1590" i="4" s="1"/>
  <c r="N1669" i="4"/>
  <c r="O1669" i="4" s="1"/>
  <c r="N1792" i="4"/>
  <c r="O1792" i="4" s="1"/>
  <c r="N2979" i="4"/>
  <c r="O2979" i="4" s="1"/>
  <c r="N3131" i="4"/>
  <c r="O3131" i="4" s="1"/>
  <c r="N3351" i="4"/>
  <c r="O3351" i="4" s="1"/>
  <c r="N4030" i="4"/>
  <c r="O4030" i="4" s="1"/>
  <c r="N4409" i="4"/>
  <c r="O4409" i="4" s="1"/>
  <c r="N255" i="4"/>
  <c r="O255" i="4" s="1"/>
  <c r="N1495" i="4"/>
  <c r="O1495" i="4" s="1"/>
  <c r="N2185" i="4"/>
  <c r="O2185" i="4" s="1"/>
  <c r="N2319" i="4"/>
  <c r="O2319" i="4" s="1"/>
  <c r="N2500" i="4"/>
  <c r="O2500" i="4" s="1"/>
  <c r="N2770" i="4"/>
  <c r="O2770" i="4" s="1"/>
  <c r="N76" i="4"/>
  <c r="O76" i="4" s="1"/>
  <c r="N238" i="4"/>
  <c r="O238" i="4" s="1"/>
  <c r="N365" i="4"/>
  <c r="O365" i="4" s="1"/>
  <c r="N1714" i="4"/>
  <c r="O1714" i="4" s="1"/>
  <c r="N2472" i="4"/>
  <c r="O2472" i="4" s="1"/>
  <c r="N2650" i="4"/>
  <c r="O2650" i="4" s="1"/>
  <c r="N3158" i="4"/>
  <c r="O3158" i="4" s="1"/>
  <c r="N3278" i="4"/>
  <c r="O3278" i="4" s="1"/>
  <c r="N3535" i="4"/>
  <c r="O3535" i="4" s="1"/>
  <c r="N3580" i="4"/>
  <c r="O3580" i="4" s="1"/>
  <c r="N3818" i="4"/>
  <c r="O3818" i="4" s="1"/>
  <c r="N4885" i="4"/>
  <c r="O4885" i="4" s="1"/>
  <c r="N4911" i="4"/>
  <c r="O4911" i="4" s="1"/>
  <c r="N4944" i="4"/>
  <c r="O4944" i="4" s="1"/>
  <c r="N5836" i="4"/>
  <c r="O5836" i="4" s="1"/>
  <c r="N2220" i="4"/>
  <c r="O2220" i="4" s="1"/>
  <c r="N2256" i="4"/>
  <c r="O2256" i="4" s="1"/>
  <c r="N2724" i="4"/>
  <c r="O2724" i="4" s="1"/>
  <c r="N3866" i="4"/>
  <c r="O3866" i="4" s="1"/>
  <c r="N4473" i="4"/>
  <c r="O4473" i="4" s="1"/>
  <c r="N4520" i="4"/>
  <c r="O4520" i="4" s="1"/>
  <c r="N4790" i="4"/>
  <c r="O4790" i="4" s="1"/>
  <c r="N4856" i="4"/>
  <c r="O4856" i="4" s="1"/>
  <c r="N5895" i="4"/>
  <c r="O5895" i="4" s="1"/>
  <c r="N3406" i="4"/>
  <c r="O3406" i="4" s="1"/>
  <c r="N3575" i="4"/>
  <c r="O3575" i="4" s="1"/>
  <c r="N4230" i="4"/>
  <c r="O4230" i="4" s="1"/>
  <c r="N4591" i="4"/>
  <c r="O4591" i="4" s="1"/>
  <c r="N812" i="4"/>
  <c r="O812" i="4" s="1"/>
  <c r="N888" i="4"/>
  <c r="O888" i="4" s="1"/>
  <c r="N1156" i="4"/>
  <c r="O1156" i="4" s="1"/>
  <c r="N1436" i="4"/>
  <c r="O1436" i="4" s="1"/>
  <c r="N2701" i="4"/>
  <c r="O2701" i="4" s="1"/>
  <c r="N3021" i="4"/>
  <c r="O3021" i="4" s="1"/>
  <c r="N4254" i="4"/>
  <c r="O4254" i="4" s="1"/>
  <c r="N5042" i="4"/>
  <c r="O5042" i="4" s="1"/>
  <c r="N302" i="4"/>
  <c r="O302" i="4" s="1"/>
  <c r="N3474" i="4"/>
  <c r="O3474" i="4" s="1"/>
  <c r="N2986" i="4"/>
  <c r="O2986" i="4" s="1"/>
  <c r="N142" i="4"/>
  <c r="O142" i="4" s="1"/>
  <c r="N235" i="4"/>
  <c r="O235" i="4" s="1"/>
  <c r="N261" i="4"/>
  <c r="O261" i="4" s="1"/>
  <c r="N1639" i="4"/>
  <c r="O1639" i="4" s="1"/>
  <c r="N1853" i="4"/>
  <c r="O1853" i="4" s="1"/>
  <c r="N2288" i="4"/>
  <c r="O2288" i="4" s="1"/>
  <c r="N2361" i="4"/>
  <c r="O2361" i="4" s="1"/>
  <c r="N2572" i="4"/>
  <c r="O2572" i="4" s="1"/>
  <c r="N2703" i="4"/>
  <c r="O2703" i="4" s="1"/>
  <c r="N2902" i="4"/>
  <c r="O2902" i="4" s="1"/>
  <c r="N3219" i="4"/>
  <c r="O3219" i="4" s="1"/>
  <c r="N3365" i="4"/>
  <c r="O3365" i="4" s="1"/>
  <c r="N3546" i="4"/>
  <c r="O3546" i="4" s="1"/>
  <c r="N3643" i="4"/>
  <c r="O3643" i="4" s="1"/>
  <c r="N3778" i="4"/>
  <c r="O3778" i="4" s="1"/>
  <c r="N3886" i="4"/>
  <c r="O3886" i="4" s="1"/>
  <c r="N3996" i="4"/>
  <c r="O3996" i="4" s="1"/>
  <c r="N4301" i="4"/>
  <c r="O4301" i="4" s="1"/>
  <c r="N4472" i="4"/>
  <c r="O4472" i="4" s="1"/>
  <c r="N4636" i="4"/>
  <c r="O4636" i="4" s="1"/>
  <c r="N4946" i="4"/>
  <c r="O4946" i="4" s="1"/>
  <c r="N5881" i="4"/>
  <c r="O5881" i="4" s="1"/>
  <c r="N3" i="4"/>
  <c r="N334" i="4"/>
  <c r="O334" i="4" s="1"/>
  <c r="N2141" i="4"/>
  <c r="O2141" i="4" s="1"/>
  <c r="N2231" i="4"/>
  <c r="O2231" i="4" s="1"/>
  <c r="N2268" i="4"/>
  <c r="O2268" i="4" s="1"/>
  <c r="N2505" i="4"/>
  <c r="O2505" i="4" s="1"/>
  <c r="N2651" i="4"/>
  <c r="O2651" i="4" s="1"/>
  <c r="N2880" i="4"/>
  <c r="O2880" i="4" s="1"/>
  <c r="N3167" i="4"/>
  <c r="O3167" i="4" s="1"/>
  <c r="N3238" i="4"/>
  <c r="O3238" i="4" s="1"/>
  <c r="N3262" i="4"/>
  <c r="O3262" i="4" s="1"/>
  <c r="N3596" i="4"/>
  <c r="O3596" i="4" s="1"/>
  <c r="N3633" i="4"/>
  <c r="O3633" i="4" s="1"/>
  <c r="N3779" i="4"/>
  <c r="O3779" i="4" s="1"/>
  <c r="N3845" i="4"/>
  <c r="O3845" i="4" s="1"/>
  <c r="N3912" i="4"/>
  <c r="O3912" i="4" s="1"/>
  <c r="N4037" i="4"/>
  <c r="O4037" i="4" s="1"/>
  <c r="N4100" i="4"/>
  <c r="O4100" i="4" s="1"/>
  <c r="N4145" i="4"/>
  <c r="O4145" i="4" s="1"/>
  <c r="N4174" i="4"/>
  <c r="O4174" i="4" s="1"/>
  <c r="N4435" i="4"/>
  <c r="O4435" i="4" s="1"/>
  <c r="N4617" i="4"/>
  <c r="O4617" i="4" s="1"/>
  <c r="N4693" i="4"/>
  <c r="O4693" i="4" s="1"/>
  <c r="N4725" i="4"/>
  <c r="O4725" i="4" s="1"/>
  <c r="N4824" i="4"/>
  <c r="O4824" i="4" s="1"/>
  <c r="N4848" i="4"/>
  <c r="O4848" i="4" s="1"/>
  <c r="N4906" i="4"/>
  <c r="O4906" i="4" s="1"/>
  <c r="N5048" i="4"/>
  <c r="O5048" i="4" s="1"/>
  <c r="N5143" i="4"/>
  <c r="O5143" i="4" s="1"/>
  <c r="N52" i="4"/>
  <c r="N405" i="4"/>
  <c r="O405" i="4" s="1"/>
  <c r="N438" i="4"/>
  <c r="O438" i="4" s="1"/>
  <c r="N2014" i="4"/>
  <c r="O2014" i="4" s="1"/>
  <c r="N2265" i="4"/>
  <c r="O2265" i="4" s="1"/>
  <c r="N2528" i="4"/>
  <c r="O2528" i="4" s="1"/>
  <c r="N2819" i="4"/>
  <c r="O2819" i="4" s="1"/>
  <c r="N3193" i="4"/>
  <c r="O3193" i="4" s="1"/>
  <c r="N3297" i="4"/>
  <c r="O3297" i="4" s="1"/>
  <c r="N3825" i="4"/>
  <c r="O3825" i="4" s="1"/>
  <c r="N3924" i="4"/>
  <c r="O3924" i="4" s="1"/>
  <c r="N4046" i="4"/>
  <c r="O4046" i="4" s="1"/>
  <c r="N4279" i="4"/>
  <c r="O4279" i="4" s="1"/>
  <c r="N4937" i="4"/>
  <c r="O4937" i="4" s="1"/>
  <c r="N5049" i="4"/>
  <c r="O5049" i="4" s="1"/>
  <c r="N5913" i="4"/>
  <c r="O5913" i="4" s="1"/>
  <c r="N97" i="4"/>
  <c r="O97" i="4" s="1"/>
  <c r="N1544" i="4"/>
  <c r="O1544" i="4" s="1"/>
  <c r="N1625" i="4"/>
  <c r="O1625" i="4" s="1"/>
  <c r="N1660" i="4"/>
  <c r="O1660" i="4" s="1"/>
  <c r="N1716" i="4"/>
  <c r="O1716" i="4" s="1"/>
  <c r="N1791" i="4"/>
  <c r="O1791" i="4" s="1"/>
  <c r="N1855" i="4"/>
  <c r="O1855" i="4" s="1"/>
  <c r="N2226" i="4"/>
  <c r="O2226" i="4" s="1"/>
  <c r="N2419" i="4"/>
  <c r="O2419" i="4" s="1"/>
  <c r="N2107" i="4"/>
  <c r="O2107" i="4" s="1"/>
  <c r="N2293" i="4"/>
  <c r="O2293" i="4" s="1"/>
  <c r="N2326" i="4"/>
  <c r="O2326" i="4" s="1"/>
  <c r="N2593" i="4"/>
  <c r="O2593" i="4" s="1"/>
  <c r="N2771" i="4"/>
  <c r="O2771" i="4" s="1"/>
  <c r="N2801" i="4"/>
  <c r="O2801" i="4" s="1"/>
  <c r="N2911" i="4"/>
  <c r="O2911" i="4" s="1"/>
  <c r="N3257" i="4"/>
  <c r="O3257" i="4" s="1"/>
  <c r="N3634" i="4"/>
  <c r="O3634" i="4" s="1"/>
  <c r="N3725" i="4"/>
  <c r="O3725" i="4" s="1"/>
  <c r="N4227" i="4"/>
  <c r="O4227" i="4" s="1"/>
  <c r="N4582" i="4"/>
  <c r="O4582" i="4" s="1"/>
  <c r="N4825" i="4"/>
  <c r="O4825" i="4" s="1"/>
  <c r="N1891" i="4"/>
  <c r="O1891" i="4" s="1"/>
  <c r="N2167" i="4"/>
  <c r="O2167" i="4" s="1"/>
  <c r="N2466" i="4"/>
  <c r="O2466" i="4" s="1"/>
  <c r="N2531" i="4"/>
  <c r="O2531" i="4" s="1"/>
  <c r="N2982" i="4"/>
  <c r="O2982" i="4" s="1"/>
  <c r="N4246" i="4"/>
  <c r="O4246" i="4" s="1"/>
  <c r="N5162" i="4"/>
  <c r="O5162" i="4" s="1"/>
  <c r="N5968" i="4"/>
  <c r="O5968" i="4" s="1"/>
  <c r="N222" i="4"/>
  <c r="O222" i="4" s="1"/>
  <c r="N413" i="4"/>
  <c r="O413" i="4" s="1"/>
  <c r="N3402" i="4"/>
  <c r="O3402" i="4" s="1"/>
  <c r="N4652" i="4"/>
  <c r="O4652" i="4" s="1"/>
  <c r="N813" i="4"/>
  <c r="O813" i="4" s="1"/>
  <c r="N830" i="4"/>
  <c r="O830" i="4" s="1"/>
  <c r="N943" i="4"/>
  <c r="O943" i="4" s="1"/>
  <c r="N954" i="4"/>
  <c r="O954" i="4" s="1"/>
  <c r="N1189" i="4"/>
  <c r="O1189" i="4" s="1"/>
  <c r="N1211" i="4"/>
  <c r="O1211" i="4" s="1"/>
  <c r="N1229" i="4"/>
  <c r="O1229" i="4" s="1"/>
  <c r="N1327" i="4"/>
  <c r="O1327" i="4" s="1"/>
  <c r="N1371" i="4"/>
  <c r="O1371" i="4" s="1"/>
  <c r="N1406" i="4"/>
  <c r="O1406" i="4" s="1"/>
  <c r="N1439" i="4"/>
  <c r="O1439" i="4" s="1"/>
  <c r="N1472" i="4"/>
  <c r="O1472" i="4" s="1"/>
  <c r="N4486" i="4"/>
  <c r="O4486" i="4" s="1"/>
  <c r="N4743" i="4"/>
  <c r="O4743" i="4" s="1"/>
  <c r="N4993" i="4"/>
  <c r="O4993" i="4" s="1"/>
  <c r="N71" i="4"/>
  <c r="O71" i="4" s="1"/>
  <c r="N5928" i="4"/>
  <c r="O5928" i="4" s="1"/>
  <c r="N2154" i="4"/>
  <c r="O2154" i="4" s="1"/>
  <c r="N13" i="4"/>
  <c r="N38" i="4"/>
  <c r="O38" i="4" s="1"/>
  <c r="N103" i="4"/>
  <c r="O103" i="4" s="1"/>
  <c r="N200" i="4"/>
  <c r="O200" i="4" s="1"/>
  <c r="N1593" i="4"/>
  <c r="O1593" i="4" s="1"/>
  <c r="N1977" i="4"/>
  <c r="O1977" i="4" s="1"/>
  <c r="N2275" i="4"/>
  <c r="O2275" i="4" s="1"/>
  <c r="N2792" i="4"/>
  <c r="O2792" i="4" s="1"/>
  <c r="N2885" i="4"/>
  <c r="O2885" i="4" s="1"/>
  <c r="N3030" i="4"/>
  <c r="O3030" i="4" s="1"/>
  <c r="N3104" i="4"/>
  <c r="O3104" i="4" s="1"/>
  <c r="N3169" i="4"/>
  <c r="O3169" i="4" s="1"/>
  <c r="N3203" i="4"/>
  <c r="O3203" i="4" s="1"/>
  <c r="N3236" i="4"/>
  <c r="O3236" i="4" s="1"/>
  <c r="N3631" i="4"/>
  <c r="O3631" i="4" s="1"/>
  <c r="N3662" i="4"/>
  <c r="O3662" i="4" s="1"/>
  <c r="N3733" i="4"/>
  <c r="O3733" i="4" s="1"/>
  <c r="N3856" i="4"/>
  <c r="O3856" i="4" s="1"/>
  <c r="N3961" i="4"/>
  <c r="O3961" i="4" s="1"/>
  <c r="N4069" i="4"/>
  <c r="O4069" i="4" s="1"/>
  <c r="N4129" i="4"/>
  <c r="O4129" i="4" s="1"/>
  <c r="N4164" i="4"/>
  <c r="O4164" i="4" s="1"/>
  <c r="N4186" i="4"/>
  <c r="O4186" i="4" s="1"/>
  <c r="N4519" i="4"/>
  <c r="O4519" i="4" s="1"/>
  <c r="N4618" i="4"/>
  <c r="O4618" i="4" s="1"/>
  <c r="N4664" i="4"/>
  <c r="O4664" i="4" s="1"/>
  <c r="N4854" i="4"/>
  <c r="O4854" i="4" s="1"/>
  <c r="N5014" i="4"/>
  <c r="O5014" i="4" s="1"/>
  <c r="N5145" i="4"/>
  <c r="O5145" i="4" s="1"/>
  <c r="N248" i="4"/>
  <c r="O248" i="4" s="1"/>
  <c r="N1622" i="4"/>
  <c r="O1622" i="4" s="1"/>
  <c r="N1686" i="4"/>
  <c r="O1686" i="4" s="1"/>
  <c r="N1885" i="4"/>
  <c r="O1885" i="4" s="1"/>
  <c r="N1957" i="4"/>
  <c r="O1957" i="4" s="1"/>
  <c r="N3047" i="4"/>
  <c r="O3047" i="4" s="1"/>
  <c r="N3130" i="4"/>
  <c r="O3130" i="4" s="1"/>
  <c r="N3649" i="4"/>
  <c r="O3649" i="4" s="1"/>
  <c r="N3699" i="4"/>
  <c r="O3699" i="4" s="1"/>
  <c r="N4007" i="4"/>
  <c r="O4007" i="4" s="1"/>
  <c r="N4033" i="4"/>
  <c r="O4033" i="4" s="1"/>
  <c r="N4220" i="4"/>
  <c r="O4220" i="4" s="1"/>
  <c r="N4427" i="4"/>
  <c r="O4427" i="4" s="1"/>
  <c r="N4455" i="4"/>
  <c r="O4455" i="4" s="1"/>
  <c r="N4555" i="4"/>
  <c r="O4555" i="4" s="1"/>
  <c r="N4862" i="4"/>
  <c r="O4862" i="4" s="1"/>
  <c r="N4942" i="4"/>
  <c r="O4942" i="4" s="1"/>
  <c r="N4970" i="4"/>
  <c r="O4970" i="4" s="1"/>
  <c r="N5160" i="4"/>
  <c r="O5160" i="4" s="1"/>
  <c r="N5860" i="4"/>
  <c r="O5860" i="4" s="1"/>
  <c r="N249" i="4"/>
  <c r="O249" i="4" s="1"/>
  <c r="N410" i="4"/>
  <c r="O410" i="4" s="1"/>
  <c r="N1496" i="4"/>
  <c r="O1496" i="4" s="1"/>
  <c r="N1523" i="4"/>
  <c r="O1523" i="4" s="1"/>
  <c r="N1553" i="4"/>
  <c r="O1553" i="4" s="1"/>
  <c r="N1688" i="4"/>
  <c r="O1688" i="4" s="1"/>
  <c r="N1784" i="4"/>
  <c r="O1784" i="4" s="1"/>
  <c r="N1982" i="4"/>
  <c r="O1982" i="4" s="1"/>
  <c r="N2102" i="4"/>
  <c r="O2102" i="4" s="1"/>
  <c r="N2401" i="4"/>
  <c r="O2401" i="4" s="1"/>
  <c r="N2536" i="4"/>
  <c r="O2536" i="4" s="1"/>
  <c r="N2991" i="4"/>
  <c r="O2991" i="4" s="1"/>
  <c r="N3017" i="4"/>
  <c r="O3017" i="4" s="1"/>
  <c r="N3142" i="4"/>
  <c r="O3142" i="4" s="1"/>
  <c r="N3201" i="4"/>
  <c r="O3201" i="4" s="1"/>
  <c r="N3553" i="4"/>
  <c r="O3553" i="4" s="1"/>
  <c r="N3606" i="4"/>
  <c r="O3606" i="4" s="1"/>
  <c r="N3872" i="4"/>
  <c r="O3872" i="4" s="1"/>
  <c r="N4317" i="4"/>
  <c r="O4317" i="4" s="1"/>
  <c r="N4530" i="4"/>
  <c r="O4530" i="4" s="1"/>
  <c r="N4715" i="4"/>
  <c r="O4715" i="4" s="1"/>
  <c r="N4865" i="4"/>
  <c r="O4865" i="4" s="1"/>
  <c r="N5062" i="4"/>
  <c r="O5062" i="4" s="1"/>
  <c r="N5835" i="4"/>
  <c r="O5835" i="4" s="1"/>
  <c r="N5872" i="4"/>
  <c r="O5872" i="4" s="1"/>
  <c r="N40" i="4"/>
  <c r="O40" i="4" s="1"/>
  <c r="N2160" i="4"/>
  <c r="O2160" i="4" s="1"/>
  <c r="N2565" i="4"/>
  <c r="O2565" i="4" s="1"/>
  <c r="N2595" i="4"/>
  <c r="O2595" i="4" s="1"/>
  <c r="N1538" i="4"/>
  <c r="O1538" i="4" s="1"/>
  <c r="N2266" i="4"/>
  <c r="O2266" i="4" s="1"/>
  <c r="N2446" i="4"/>
  <c r="O2446" i="4" s="1"/>
  <c r="N2793" i="4"/>
  <c r="O2793" i="4" s="1"/>
  <c r="N3187" i="4"/>
  <c r="O3187" i="4" s="1"/>
  <c r="N3261" i="4"/>
  <c r="O3261" i="4" s="1"/>
  <c r="N4350" i="4"/>
  <c r="O4350" i="4" s="1"/>
  <c r="N4598" i="4"/>
  <c r="O4598" i="4" s="1"/>
  <c r="N4670" i="4"/>
  <c r="O4670" i="4" s="1"/>
  <c r="N4930" i="4"/>
  <c r="O4930" i="4" s="1"/>
  <c r="N5011" i="4"/>
  <c r="O5011" i="4" s="1"/>
  <c r="N5199" i="4"/>
  <c r="O5199" i="4" s="1"/>
  <c r="N88" i="4"/>
  <c r="O88" i="4" s="1"/>
  <c r="N118" i="4"/>
  <c r="O118" i="4" s="1"/>
  <c r="N2048" i="4"/>
  <c r="O2048" i="4" s="1"/>
  <c r="N2376" i="4"/>
  <c r="O2376" i="4" s="1"/>
  <c r="N3325" i="4"/>
  <c r="O3325" i="4" s="1"/>
  <c r="N3953" i="4"/>
  <c r="O3953" i="4" s="1"/>
  <c r="N4251" i="4"/>
  <c r="O4251" i="4" s="1"/>
  <c r="N4361" i="4"/>
  <c r="O4361" i="4" s="1"/>
  <c r="N432" i="4"/>
  <c r="O432" i="4" s="1"/>
  <c r="N2324" i="4"/>
  <c r="O2324" i="4" s="1"/>
  <c r="N2360" i="4"/>
  <c r="O2360" i="4" s="1"/>
  <c r="N2507" i="4"/>
  <c r="O2507" i="4" s="1"/>
  <c r="N4713" i="4"/>
  <c r="O4713" i="4" s="1"/>
  <c r="N883" i="4"/>
  <c r="O883" i="4" s="1"/>
  <c r="N917" i="4"/>
  <c r="O917" i="4" s="1"/>
  <c r="N1015" i="4"/>
  <c r="O1015" i="4" s="1"/>
  <c r="N1850" i="4"/>
  <c r="O1850" i="4" s="1"/>
  <c r="N2045" i="4"/>
  <c r="O2045" i="4" s="1"/>
  <c r="N2878" i="4"/>
  <c r="O2878" i="4" s="1"/>
  <c r="N3398" i="4"/>
  <c r="O3398" i="4" s="1"/>
  <c r="N4036" i="4"/>
  <c r="O4036" i="4" s="1"/>
  <c r="N5032" i="4"/>
  <c r="O5032" i="4" s="1"/>
  <c r="N2506" i="4"/>
  <c r="O2506" i="4" s="1"/>
  <c r="N2775" i="4"/>
  <c r="O2775" i="4" s="1"/>
  <c r="N4631" i="4"/>
  <c r="O4631" i="4" s="1"/>
  <c r="N284" i="4"/>
  <c r="O284" i="4" s="1"/>
  <c r="N63" i="4"/>
  <c r="O63" i="4" s="1"/>
  <c r="N225" i="4"/>
  <c r="O225" i="4" s="1"/>
  <c r="N1501" i="4"/>
  <c r="O1501" i="4" s="1"/>
  <c r="N1597" i="4"/>
  <c r="O1597" i="4" s="1"/>
  <c r="N1695" i="4"/>
  <c r="O1695" i="4" s="1"/>
  <c r="N1904" i="4"/>
  <c r="O1904" i="4" s="1"/>
  <c r="N1959" i="4"/>
  <c r="O1959" i="4" s="1"/>
  <c r="N2221" i="4"/>
  <c r="O2221" i="4" s="1"/>
  <c r="N2259" i="4"/>
  <c r="O2259" i="4" s="1"/>
  <c r="N2594" i="4"/>
  <c r="O2594" i="4" s="1"/>
  <c r="N2784" i="4"/>
  <c r="O2784" i="4" s="1"/>
  <c r="N2983" i="4"/>
  <c r="O2983" i="4" s="1"/>
  <c r="N3050" i="4"/>
  <c r="O3050" i="4" s="1"/>
  <c r="N3182" i="4"/>
  <c r="O3182" i="4" s="1"/>
  <c r="N3259" i="4"/>
  <c r="O3259" i="4" s="1"/>
  <c r="N3285" i="4"/>
  <c r="O3285" i="4" s="1"/>
  <c r="N3315" i="4"/>
  <c r="O3315" i="4" s="1"/>
  <c r="N3453" i="4"/>
  <c r="O3453" i="4" s="1"/>
  <c r="N3582" i="4"/>
  <c r="O3582" i="4" s="1"/>
  <c r="N3626" i="4"/>
  <c r="O3626" i="4" s="1"/>
  <c r="N3687" i="4"/>
  <c r="O3687" i="4" s="1"/>
  <c r="N3918" i="4"/>
  <c r="O3918" i="4" s="1"/>
  <c r="N4211" i="4"/>
  <c r="O4211" i="4" s="1"/>
  <c r="N4379" i="4"/>
  <c r="O4379" i="4" s="1"/>
  <c r="N4531" i="4"/>
  <c r="O4531" i="4" s="1"/>
  <c r="N4626" i="4"/>
  <c r="O4626" i="4" s="1"/>
  <c r="N4702" i="4"/>
  <c r="O4702" i="4" s="1"/>
  <c r="N4931" i="4"/>
  <c r="O4931" i="4" s="1"/>
  <c r="O5206" i="4"/>
  <c r="N120" i="4"/>
  <c r="O120" i="4" s="1"/>
  <c r="N1510" i="4"/>
  <c r="O1510" i="4" s="1"/>
  <c r="N1727" i="4"/>
  <c r="O1727" i="4" s="1"/>
  <c r="N2191" i="4"/>
  <c r="O2191" i="4" s="1"/>
  <c r="N2227" i="4"/>
  <c r="O2227" i="4" s="1"/>
  <c r="N2587" i="4"/>
  <c r="O2587" i="4" s="1"/>
  <c r="N3657" i="4"/>
  <c r="O3657" i="4" s="1"/>
  <c r="N3720" i="4"/>
  <c r="O3720" i="4" s="1"/>
  <c r="N3789" i="4"/>
  <c r="O3789" i="4" s="1"/>
  <c r="N4404" i="4"/>
  <c r="O4404" i="4" s="1"/>
  <c r="N4464" i="4"/>
  <c r="O4464" i="4" s="1"/>
  <c r="N4579" i="4"/>
  <c r="O4579" i="4" s="1"/>
  <c r="N4607" i="4"/>
  <c r="O4607" i="4" s="1"/>
  <c r="N4629" i="4"/>
  <c r="O4629" i="4" s="1"/>
  <c r="N4858" i="4"/>
  <c r="O4858" i="4" s="1"/>
  <c r="N5911" i="4"/>
  <c r="O5911" i="4" s="1"/>
  <c r="N5941" i="4"/>
  <c r="O5941" i="4" s="1"/>
  <c r="N1600" i="4"/>
  <c r="O1600" i="4" s="1"/>
  <c r="N1635" i="4"/>
  <c r="O1635" i="4" s="1"/>
  <c r="N1816" i="4"/>
  <c r="O1816" i="4" s="1"/>
  <c r="N1956" i="4"/>
  <c r="O1956" i="4" s="1"/>
  <c r="N2207" i="4"/>
  <c r="O2207" i="4" s="1"/>
  <c r="N2261" i="4"/>
  <c r="O2261" i="4" s="1"/>
  <c r="N2456" i="4"/>
  <c r="O2456" i="4" s="1"/>
  <c r="N2974" i="4"/>
  <c r="O2974" i="4" s="1"/>
  <c r="N3026" i="4"/>
  <c r="O3026" i="4" s="1"/>
  <c r="N3090" i="4"/>
  <c r="O3090" i="4" s="1"/>
  <c r="N3363" i="4"/>
  <c r="O3363" i="4" s="1"/>
  <c r="N3868" i="4"/>
  <c r="O3868" i="4" s="1"/>
  <c r="N4430" i="4"/>
  <c r="O4430" i="4" s="1"/>
  <c r="N4538" i="4"/>
  <c r="O4538" i="4" s="1"/>
  <c r="N4614" i="4"/>
  <c r="O4614" i="4" s="1"/>
  <c r="N4923" i="4"/>
  <c r="O4923" i="4" s="1"/>
  <c r="N5066" i="4"/>
  <c r="O5066" i="4" s="1"/>
  <c r="N1740" i="4"/>
  <c r="O1740" i="4" s="1"/>
  <c r="N1809" i="4"/>
  <c r="O1809" i="4" s="1"/>
  <c r="N2309" i="4"/>
  <c r="O2309" i="4" s="1"/>
  <c r="N2495" i="4"/>
  <c r="O2495" i="4" s="1"/>
  <c r="N1684" i="4"/>
  <c r="O1684" i="4" s="1"/>
  <c r="N1848" i="4"/>
  <c r="O1848" i="4" s="1"/>
  <c r="N2318" i="4"/>
  <c r="O2318" i="4" s="1"/>
  <c r="N2334" i="4"/>
  <c r="O2334" i="4" s="1"/>
  <c r="N2789" i="4"/>
  <c r="O2789" i="4" s="1"/>
  <c r="N3235" i="4"/>
  <c r="O3235" i="4" s="1"/>
  <c r="N3338" i="4"/>
  <c r="O3338" i="4" s="1"/>
  <c r="N3385" i="4"/>
  <c r="O3385" i="4" s="1"/>
  <c r="N4235" i="4"/>
  <c r="O4235" i="4" s="1"/>
  <c r="N4310" i="4"/>
  <c r="O4310" i="4" s="1"/>
  <c r="N4510" i="4"/>
  <c r="O4510" i="4" s="1"/>
  <c r="N427" i="4"/>
  <c r="O427" i="4" s="1"/>
  <c r="N1623" i="4"/>
  <c r="O1623" i="4" s="1"/>
  <c r="N1701" i="4"/>
  <c r="O1701" i="4" s="1"/>
  <c r="N2103" i="4"/>
  <c r="O2103" i="4" s="1"/>
  <c r="N2353" i="4"/>
  <c r="O2353" i="4" s="1"/>
  <c r="N3074" i="4"/>
  <c r="O3074" i="4" s="1"/>
  <c r="N3132" i="4"/>
  <c r="O3132" i="4" s="1"/>
  <c r="N4578" i="4"/>
  <c r="O4578" i="4" s="1"/>
  <c r="N409" i="4"/>
  <c r="O409" i="4" s="1"/>
  <c r="N1940" i="4"/>
  <c r="O1940" i="4" s="1"/>
  <c r="N2075" i="4"/>
  <c r="O2075" i="4" s="1"/>
  <c r="N2255" i="4"/>
  <c r="O2255" i="4" s="1"/>
  <c r="N2581" i="4"/>
  <c r="O2581" i="4" s="1"/>
  <c r="N3873" i="4"/>
  <c r="O3873" i="4" s="1"/>
  <c r="N4292" i="4"/>
  <c r="O4292" i="4" s="1"/>
  <c r="N808" i="4"/>
  <c r="O808" i="4" s="1"/>
  <c r="N819" i="4"/>
  <c r="O819" i="4" s="1"/>
  <c r="N835" i="4"/>
  <c r="O835" i="4" s="1"/>
  <c r="N869" i="4"/>
  <c r="O869" i="4" s="1"/>
  <c r="N904" i="4"/>
  <c r="O904" i="4" s="1"/>
  <c r="N959" i="4"/>
  <c r="O959" i="4" s="1"/>
  <c r="N1045" i="4"/>
  <c r="O1045" i="4" s="1"/>
  <c r="N370" i="4"/>
  <c r="O370" i="4" s="1"/>
  <c r="N5195" i="4"/>
  <c r="O5195" i="4" s="1"/>
  <c r="N4542" i="4"/>
  <c r="O4542" i="4" s="1"/>
  <c r="N4815" i="4"/>
  <c r="O4815" i="4" s="1"/>
  <c r="O10" i="4"/>
  <c r="K161" i="1" l="1"/>
  <c r="F92" i="1"/>
  <c r="G92" i="1"/>
  <c r="E92" i="1"/>
  <c r="D92" i="1"/>
  <c r="B14" i="2"/>
  <c r="E94" i="1"/>
  <c r="G94" i="1"/>
  <c r="F94" i="1"/>
  <c r="D94" i="1"/>
  <c r="K160" i="1"/>
  <c r="F62" i="1"/>
  <c r="E62" i="1"/>
  <c r="E123" i="1"/>
  <c r="F123" i="1"/>
  <c r="F122" i="1"/>
  <c r="E122" i="1"/>
  <c r="G122" i="1" s="1"/>
  <c r="J119" i="1"/>
  <c r="I7" i="3"/>
  <c r="I18" i="3" s="1"/>
  <c r="K18" i="3" s="1"/>
  <c r="K6" i="3"/>
  <c r="J6" i="3"/>
  <c r="I21" i="3" s="1"/>
  <c r="K21" i="3" s="1"/>
  <c r="J5" i="3"/>
  <c r="I20" i="3" s="1"/>
  <c r="K20" i="3" s="1"/>
  <c r="I4" i="3"/>
  <c r="I15" i="3" s="1"/>
  <c r="K15" i="3" s="1"/>
  <c r="I3" i="3"/>
  <c r="B17" i="2"/>
  <c r="J7" i="3"/>
  <c r="K5" i="3"/>
  <c r="J3" i="3"/>
  <c r="B16" i="2"/>
  <c r="K7" i="3"/>
  <c r="L7" i="3" s="1"/>
  <c r="I6" i="3"/>
  <c r="I17" i="3" s="1"/>
  <c r="K17" i="3" s="1"/>
  <c r="E53" i="1"/>
  <c r="E52" i="1"/>
  <c r="I5" i="3"/>
  <c r="I16" i="3" s="1"/>
  <c r="K16" i="3" s="1"/>
  <c r="J4" i="3"/>
  <c r="B18" i="2"/>
  <c r="K4" i="3"/>
  <c r="L4" i="3" s="1"/>
  <c r="K3" i="3"/>
  <c r="E61" i="1"/>
  <c r="E39" i="1"/>
  <c r="B12" i="12"/>
  <c r="B7" i="12"/>
  <c r="E44" i="1"/>
  <c r="O340" i="4"/>
  <c r="E99" i="1"/>
  <c r="F99" i="1" s="1"/>
  <c r="O119" i="4"/>
  <c r="E104" i="1"/>
  <c r="F104" i="1" s="1"/>
  <c r="O150" i="4"/>
  <c r="K98" i="1"/>
  <c r="L98" i="1" s="1"/>
  <c r="O14" i="4"/>
  <c r="K100" i="1"/>
  <c r="L100" i="1" s="1"/>
  <c r="O2" i="4"/>
  <c r="K101" i="1"/>
  <c r="L101" i="1" s="1"/>
  <c r="E55" i="1"/>
  <c r="F57" i="1"/>
  <c r="B5" i="2"/>
  <c r="E54" i="1"/>
  <c r="F56" i="1"/>
  <c r="F59" i="1"/>
  <c r="F60" i="1"/>
  <c r="E63" i="1"/>
  <c r="F54" i="1"/>
  <c r="E57" i="1"/>
  <c r="E59" i="1"/>
  <c r="E60" i="1"/>
  <c r="F63" i="1"/>
  <c r="B7" i="2"/>
  <c r="B9" i="2"/>
  <c r="F55" i="1"/>
  <c r="E56" i="1"/>
  <c r="B6" i="2"/>
  <c r="E103" i="1"/>
  <c r="F103" i="1" s="1"/>
  <c r="E107" i="1"/>
  <c r="F107" i="1" s="1"/>
  <c r="O3" i="4"/>
  <c r="E106" i="1"/>
  <c r="F106" i="1" s="1"/>
  <c r="O13" i="4"/>
  <c r="O28" i="4"/>
  <c r="K99" i="1"/>
  <c r="L99" i="1" s="1"/>
  <c r="O110" i="4"/>
  <c r="E100" i="1"/>
  <c r="F100" i="1" s="1"/>
  <c r="O59" i="4"/>
  <c r="E105" i="1"/>
  <c r="F105" i="1" s="1"/>
  <c r="O26" i="4"/>
  <c r="E98" i="1"/>
  <c r="F98" i="1" s="1"/>
  <c r="O15" i="4"/>
  <c r="E101" i="1"/>
  <c r="F101" i="1" s="1"/>
  <c r="O52" i="4"/>
  <c r="E102" i="1"/>
  <c r="F102" i="1" s="1"/>
  <c r="B89" i="1" l="1"/>
  <c r="K162" i="1"/>
  <c r="B96" i="1"/>
  <c r="E43" i="1"/>
  <c r="B13" i="12"/>
  <c r="H9" i="1"/>
  <c r="F7" i="12"/>
  <c r="G7" i="12"/>
  <c r="I14" i="3"/>
  <c r="K14" i="3" s="1"/>
  <c r="I8" i="3"/>
  <c r="F53" i="1"/>
  <c r="E38" i="1"/>
  <c r="E9" i="1"/>
  <c r="B116" i="1"/>
  <c r="B16" i="12"/>
  <c r="E36" i="1"/>
  <c r="F52" i="1"/>
  <c r="B9" i="1"/>
  <c r="B15" i="12"/>
  <c r="E42" i="1"/>
  <c r="F61" i="1"/>
  <c r="B17" i="12"/>
  <c r="K8" i="3"/>
  <c r="L3" i="3"/>
  <c r="G12" i="12"/>
  <c r="F12" i="12"/>
  <c r="G123" i="1"/>
  <c r="H123" i="1" s="1"/>
  <c r="L6" i="3"/>
  <c r="L5" i="3"/>
  <c r="J8" i="3"/>
  <c r="I26" i="3"/>
  <c r="K26" i="3" s="1"/>
  <c r="I19" i="3"/>
  <c r="K19" i="3" s="1"/>
  <c r="B10" i="2"/>
  <c r="B4" i="12"/>
  <c r="E40" i="1"/>
  <c r="E45" i="1"/>
  <c r="B6" i="12"/>
  <c r="B8" i="12"/>
  <c r="E46" i="1"/>
  <c r="B5" i="12"/>
  <c r="E41" i="1"/>
  <c r="F13" i="12" l="1"/>
  <c r="G13" i="12"/>
  <c r="L8" i="3"/>
  <c r="H122" i="1"/>
  <c r="B140" i="1"/>
  <c r="G16" i="12"/>
  <c r="F16" i="12"/>
  <c r="G15" i="12"/>
  <c r="F15" i="12"/>
  <c r="G17" i="12"/>
  <c r="F17" i="12"/>
  <c r="I28" i="3"/>
  <c r="B9" i="12"/>
  <c r="B15" i="2"/>
  <c r="B24" i="2"/>
  <c r="H4" i="12"/>
  <c r="F4" i="12"/>
  <c r="G4" i="12"/>
  <c r="E47" i="1"/>
  <c r="F40" i="1" s="1"/>
  <c r="F6" i="12"/>
  <c r="G6" i="12"/>
  <c r="F8" i="12"/>
  <c r="G8" i="12"/>
  <c r="F5" i="12"/>
  <c r="G5" i="12"/>
  <c r="E9" i="12" l="1"/>
  <c r="F9" i="12"/>
  <c r="G9" i="12"/>
  <c r="H9" i="12"/>
  <c r="I164" i="1"/>
  <c r="B25" i="2"/>
  <c r="B14" i="12"/>
  <c r="B19" i="2"/>
  <c r="H5" i="12"/>
  <c r="D5" i="12"/>
  <c r="D4" i="12"/>
  <c r="F46" i="1"/>
  <c r="F45" i="1"/>
  <c r="F41" i="1"/>
  <c r="F37" i="1"/>
  <c r="F39" i="1"/>
  <c r="F38" i="1"/>
  <c r="F43" i="1"/>
  <c r="F44" i="1"/>
  <c r="F42" i="1"/>
  <c r="F36" i="1"/>
  <c r="H10" i="12" l="1"/>
  <c r="D10" i="12" s="1"/>
  <c r="E14" i="12"/>
  <c r="F14" i="12"/>
  <c r="G14" i="12"/>
  <c r="H14" i="12"/>
  <c r="B152" i="1"/>
  <c r="B26" i="2"/>
  <c r="B23" i="2"/>
  <c r="B27" i="2"/>
  <c r="B18" i="12"/>
  <c r="E5" i="1"/>
  <c r="H6" i="12"/>
  <c r="D6" i="12" s="1"/>
  <c r="F47" i="1"/>
  <c r="H11" i="12" l="1"/>
  <c r="D11" i="12" s="1"/>
  <c r="H15" i="12"/>
  <c r="D15" i="12" s="1"/>
  <c r="G47" i="1"/>
  <c r="H5" i="1"/>
  <c r="K5" i="1"/>
  <c r="K6" i="1"/>
  <c r="E18" i="12"/>
  <c r="F18" i="12"/>
  <c r="G18" i="12"/>
  <c r="H18" i="12"/>
  <c r="H7" i="12"/>
  <c r="D7" i="12" s="1"/>
  <c r="H12" i="12" l="1"/>
  <c r="D12" i="12" s="1"/>
  <c r="H16" i="12"/>
  <c r="D16" i="12" s="1"/>
  <c r="H8" i="12"/>
  <c r="D8" i="12" s="1"/>
  <c r="H13" i="12" l="1"/>
  <c r="D13" i="12" s="1"/>
  <c r="H17" i="12"/>
  <c r="D17" i="12" s="1"/>
</calcChain>
</file>

<file path=xl/sharedStrings.xml><?xml version="1.0" encoding="utf-8"?>
<sst xmlns="http://schemas.openxmlformats.org/spreadsheetml/2006/main" count="76623" uniqueCount="19368">
  <si>
    <t>CartNest: payment gateway reconciliation, September 2026</t>
  </si>
  <si>
    <t>All figures in INR, read live from the bridge, batch_recon, orders and mdr_check sheets (same numbers as Part A).</t>
  </si>
  <si>
    <t>SALES PER ORDERS</t>
  </si>
  <si>
    <t>CASH RECEIVED IN BANK</t>
  </si>
  <si>
    <t>TOTAL GAP</t>
  </si>
  <si>
    <t>UNEXPLAINED</t>
  </si>
  <si>
    <t>Paid + Refunded orders</t>
  </si>
  <si>
    <t>27 gateway settlements, 1-30 Sep</t>
  </si>
  <si>
    <t>Sales less cash in bank</t>
  </si>
  <si>
    <t>TIMING: DUE IN OCTOBER</t>
  </si>
  <si>
    <t>STILL OWED BY GATEWAY</t>
  </si>
  <si>
    <t>EXCESS FEES TO RECOVER</t>
  </si>
  <si>
    <t>REFUNDS PAID TO CUSTOMERS</t>
  </si>
  <si>
    <t>Batches STL-20261001 and -02</t>
  </si>
  <si>
    <t>1 missing batch + 1 short-paid batch</t>
  </si>
  <si>
    <t>MDR + GST charged above rate card</t>
  </si>
  <si>
    <t>243 refunds, not a loss</t>
  </si>
  <si>
    <t>1. Bridge: sales per orders to cash in bank</t>
  </si>
  <si>
    <t>Blue = totals, green = adds to cash, red = takes away from cash. Fee overcharge (₹1,185) and short-paid (₹1,250) are too small to see; see the tables below.</t>
  </si>
  <si>
    <t>2. Where the gap comes from (largest first)</t>
  </si>
  <si>
    <t>Item</t>
  </si>
  <si>
    <t>Amount (INR)</t>
  </si>
  <si>
    <t>% of gap</t>
  </si>
  <si>
    <t>Nature</t>
  </si>
  <si>
    <t>Due in October (timing)</t>
  </si>
  <si>
    <t>Timing: arrives 1-2 Oct</t>
  </si>
  <si>
    <t>Refunds paid to customers</t>
  </si>
  <si>
    <t>Expected: money returned</t>
  </si>
  <si>
    <t>Missing settlement STL-20260912</t>
  </si>
  <si>
    <t>Genuine: chase gateway</t>
  </si>
  <si>
    <t>Gateway fees at correct rate</t>
  </si>
  <si>
    <t>Expected: cost of payments</t>
  </si>
  <si>
    <t>Paid orders with no payment</t>
  </si>
  <si>
    <t>Genuine: investigate orders</t>
  </si>
  <si>
    <t>Amount differences</t>
  </si>
  <si>
    <t>Genuine: gateway collected less</t>
  </si>
  <si>
    <t>Short-paid batch STL-20260911</t>
  </si>
  <si>
    <t>Excess MDR + GST charged</t>
  </si>
  <si>
    <t>Genuine: recover from gateway</t>
  </si>
  <si>
    <t>Payments with no order</t>
  </si>
  <si>
    <t>Offsets gap: identify payer</t>
  </si>
  <si>
    <t>Duplicate charges</t>
  </si>
  <si>
    <t>Offsets gap: refund customers</t>
  </si>
  <si>
    <t>Payments on Failed/Cancelled orders</t>
  </si>
  <si>
    <t>Total gap</t>
  </si>
  <si>
    <t>3. Exceptions by type (count and rupee value)</t>
  </si>
  <si>
    <t>Exception</t>
  </si>
  <si>
    <t>Count</t>
  </si>
  <si>
    <t>Value (INR)</t>
  </si>
  <si>
    <t>Due in October (batches)</t>
  </si>
  <si>
    <t>Timing</t>
  </si>
  <si>
    <t>Missing settlement (batches)</t>
  </si>
  <si>
    <t>Genuine: investigate</t>
  </si>
  <si>
    <t>Refunded orders with no refund</t>
  </si>
  <si>
    <t>Customer refund due</t>
  </si>
  <si>
    <t>Duplicate charges (extra amount)</t>
  </si>
  <si>
    <t>Identify payer</t>
  </si>
  <si>
    <t>Refund given, order not Refunded</t>
  </si>
  <si>
    <t>Fix order status</t>
  </si>
  <si>
    <t>Genuine: gateway lower</t>
  </si>
  <si>
    <t>Short-paid settlement (batches)</t>
  </si>
  <si>
    <t>MDR + GST overcharge (payments)</t>
  </si>
  <si>
    <t>Genuine: recover</t>
  </si>
  <si>
    <t>Refund amount differs from order</t>
  </si>
  <si>
    <t>None found</t>
  </si>
  <si>
    <t>Counts are orders or payments, except rows marked batches (settlement batches). Value for duplicates is the extra amount charged.</t>
  </si>
  <si>
    <t>4. Daily settlements vs bank receipts</t>
  </si>
  <si>
    <t>No orange bar = no bank credit: 12 Sep is the missing batch, 1-2 Oct are due in October. 11 Sep is short by ₹1,250 (too small to see here).</t>
  </si>
  <si>
    <t>5. Insights</t>
  </si>
  <si>
    <t>Payment method</t>
  </si>
  <si>
    <t>Payments overcharged</t>
  </si>
  <si>
    <t>Excess (INR)</t>
  </si>
  <si>
    <t>Charged rate</t>
  </si>
  <si>
    <t>Correct rate</t>
  </si>
  <si>
    <t>Where</t>
  </si>
  <si>
    <t>UPI</t>
  </si>
  <si>
    <t>Payments of ₹2,000 or less</t>
  </si>
  <si>
    <t>Wallet</t>
  </si>
  <si>
    <t>Payments above ₹2,000</t>
  </si>
  <si>
    <t>Card</t>
  </si>
  <si>
    <t>None</t>
  </si>
  <si>
    <t>NetBanking</t>
  </si>
  <si>
    <t>City</t>
  </si>
  <si>
    <t>Orders</t>
  </si>
  <si>
    <t>Exceptions</t>
  </si>
  <si>
    <t>Exception rate</t>
  </si>
  <si>
    <t>Delhi</t>
  </si>
  <si>
    <t>Mumbai</t>
  </si>
  <si>
    <t>Lucknow</t>
  </si>
  <si>
    <t>Jaipur</t>
  </si>
  <si>
    <t>Ahmedabad</t>
  </si>
  <si>
    <t>Pune</t>
  </si>
  <si>
    <t>Hyderabad</t>
  </si>
  <si>
    <t>Kolkata</t>
  </si>
  <si>
    <t>Chennai</t>
  </si>
  <si>
    <t>Bengaluru</t>
  </si>
  <si>
    <t>Batch</t>
  </si>
  <si>
    <t>Settlement date</t>
  </si>
  <si>
    <t>Gateway net</t>
  </si>
  <si>
    <t>Bank credit</t>
  </si>
  <si>
    <t>Not received</t>
  </si>
  <si>
    <t>Status</t>
  </si>
  <si>
    <t>Days overdue at 30 Sep</t>
  </si>
  <si>
    <t>Action</t>
  </si>
  <si>
    <t>STL-20260912</t>
  </si>
  <si>
    <t>Chase gateway: batch never paid</t>
  </si>
  <si>
    <t>STL-20260911</t>
  </si>
  <si>
    <t>Claim the ₹1,250 shortfall</t>
  </si>
  <si>
    <t>STL-20261001</t>
  </si>
  <si>
    <t>Timing: expect credit in Oct</t>
  </si>
  <si>
    <t>STL-20261002</t>
  </si>
  <si>
    <t>Genuine: still owed by the gateway</t>
  </si>
  <si>
    <t>Timing: arrives in October</t>
  </si>
  <si>
    <t>No orange bar = nothing received. STL-20260911 shows an orange bar almost as tall as the blue one because it was only ₹1,250 short.</t>
  </si>
  <si>
    <t>Bank category</t>
  </si>
  <si>
    <t>Credits</t>
  </si>
  <si>
    <t>Debits</t>
  </si>
  <si>
    <t>Net movement</t>
  </si>
  <si>
    <t>COD remittance</t>
  </si>
  <si>
    <t>Marketplace payout</t>
  </si>
  <si>
    <t>GST payment</t>
  </si>
  <si>
    <t>Salary</t>
  </si>
  <si>
    <t>Cloud (AWS)</t>
  </si>
  <si>
    <t>Rent</t>
  </si>
  <si>
    <t>Packaging vendor</t>
  </si>
  <si>
    <t>Bank charges</t>
  </si>
  <si>
    <t>Gateway settlement</t>
  </si>
  <si>
    <t>Total</t>
  </si>
  <si>
    <t>Payments</t>
  </si>
  <si>
    <t>Gross (INR)</t>
  </si>
  <si>
    <t>MDR charged</t>
  </si>
  <si>
    <t>GST charged</t>
  </si>
  <si>
    <t>Net received</t>
  </si>
  <si>
    <t>Fee % charged</t>
  </si>
  <si>
    <t>Fee % at rate card</t>
  </si>
  <si>
    <t>Overcharge</t>
  </si>
  <si>
    <t>Share of gross</t>
  </si>
  <si>
    <t>Share of fees</t>
  </si>
  <si>
    <t>Total captures</t>
  </si>
  <si>
    <t>Less: refunds (deducted from settlements)</t>
  </si>
  <si>
    <t>Net payable by gateway</t>
  </si>
  <si>
    <t>Net received = gross less MDR less GST on captures (before refunds). Fee % charged sits above the rate card only for UPI and Wallet (see insight 1).</t>
  </si>
  <si>
    <t>Bridge: sales per orders to cash in bank (INR)</t>
  </si>
  <si>
    <t>Line</t>
  </si>
  <si>
    <t>Source</t>
  </si>
  <si>
    <t>Sales per orders (Paid + Refunded)</t>
  </si>
  <si>
    <t>orders: order_amount_cleaned by order_status</t>
  </si>
  <si>
    <t>orders: exception_type</t>
  </si>
  <si>
    <t>orders: exception_type (already signed)</t>
  </si>
  <si>
    <t>orders: exception_type (extra amount charged)</t>
  </si>
  <si>
    <t>pg cleaned: order_found = NO ORDER</t>
  </si>
  <si>
    <t>Gross captured by gateway</t>
  </si>
  <si>
    <t>subtotal</t>
  </si>
  <si>
    <t>Refunds</t>
  </si>
  <si>
    <t>pg cleaned: REFUND gross</t>
  </si>
  <si>
    <t>MDR (at the correct rate)</t>
  </si>
  <si>
    <t>mdr_check: expected_mdr</t>
  </si>
  <si>
    <t>GST on MDR (correct)</t>
  </si>
  <si>
    <t>mdr_check: expected_gst</t>
  </si>
  <si>
    <t>MDR + GST overcharge</t>
  </si>
  <si>
    <t>mdr_check: (fee + GST charged) less correct</t>
  </si>
  <si>
    <t>Due in October</t>
  </si>
  <si>
    <t>batch_recon</t>
  </si>
  <si>
    <t>Missing settlement (STL-20260912)</t>
  </si>
  <si>
    <t>Short-paid (STL-20260911)</t>
  </si>
  <si>
    <t>Cash in bank</t>
  </si>
  <si>
    <t>CHECKS</t>
  </si>
  <si>
    <t>Bank credits on gateway batches (actual)</t>
  </si>
  <si>
    <t>Check: bridge cash in bank less bank total (must be 0)</t>
  </si>
  <si>
    <t>Check: gross captured less gateway captures (must be 0)</t>
  </si>
  <si>
    <t>Check: net payable less sum of gateway net (must be 0)</t>
  </si>
  <si>
    <t>Total gap (sales less cash in bank)</t>
  </si>
  <si>
    <t>Unexplained difference</t>
  </si>
  <si>
    <t>sum of all adjustment lines vs gap</t>
  </si>
  <si>
    <t>batch_id</t>
  </si>
  <si>
    <t>settlement_date</t>
  </si>
  <si>
    <t>gateway_net</t>
  </si>
  <si>
    <t>bank_credit</t>
  </si>
  <si>
    <t>difference</t>
  </si>
  <si>
    <t>status</t>
  </si>
  <si>
    <t>Summary by status</t>
  </si>
  <si>
    <t>STL-20260903</t>
  </si>
  <si>
    <t>Batches</t>
  </si>
  <si>
    <t>Difference (bank - gateway)</t>
  </si>
  <si>
    <t>STL-20260904</t>
  </si>
  <si>
    <t>Matched</t>
  </si>
  <si>
    <t>STL-20260905</t>
  </si>
  <si>
    <t>Short-paid</t>
  </si>
  <si>
    <t>STL-20260906</t>
  </si>
  <si>
    <t>Missing</t>
  </si>
  <si>
    <t>STL-20260907</t>
  </si>
  <si>
    <t>STL-20260908</t>
  </si>
  <si>
    <t>Excess</t>
  </si>
  <si>
    <t>STL-20260909</t>
  </si>
  <si>
    <t>STL-20260910</t>
  </si>
  <si>
    <t>Checks (blue = expected)</t>
  </si>
  <si>
    <t>STL-20260913</t>
  </si>
  <si>
    <t>Check</t>
  </si>
  <si>
    <t>Actual</t>
  </si>
  <si>
    <t>Expected</t>
  </si>
  <si>
    <t>STL-20260914</t>
  </si>
  <si>
    <t>Batches listed</t>
  </si>
  <si>
    <t>STL-20260915</t>
  </si>
  <si>
    <t>Matched batches</t>
  </si>
  <si>
    <t>STL-20260916</t>
  </si>
  <si>
    <t>Short-paid batches</t>
  </si>
  <si>
    <t>STL-20260917</t>
  </si>
  <si>
    <t>Missing batches</t>
  </si>
  <si>
    <t>STL-20260918</t>
  </si>
  <si>
    <t>Due in October batches</t>
  </si>
  <si>
    <t>STL-20260919</t>
  </si>
  <si>
    <t>Excess batches</t>
  </si>
  <si>
    <t>STL-20260920</t>
  </si>
  <si>
    <t>Short-paid amount (INR)</t>
  </si>
  <si>
    <t>STL-20260921</t>
  </si>
  <si>
    <t>Missing amount (INR)</t>
  </si>
  <si>
    <t>STL-20260922</t>
  </si>
  <si>
    <t>Due in October amount (INR)</t>
  </si>
  <si>
    <t>STL-20260923</t>
  </si>
  <si>
    <t>Total gateway net (INR)</t>
  </si>
  <si>
    <t>STL-20260924</t>
  </si>
  <si>
    <t>Gateway net ties to pg sheet (diff)</t>
  </si>
  <si>
    <t>STL-20260925</t>
  </si>
  <si>
    <t>Total bank credit on batches (INR)</t>
  </si>
  <si>
    <t>STL-20260926</t>
  </si>
  <si>
    <t>Bank gateway credits tie (diff)</t>
  </si>
  <si>
    <t>STL-20260927</t>
  </si>
  <si>
    <t>Gap = short + missing + October (diff)</t>
  </si>
  <si>
    <t>STL-20260928</t>
  </si>
  <si>
    <t>STL-20260929</t>
  </si>
  <si>
    <t>Checks passed</t>
  </si>
  <si>
    <t>STL-20260930</t>
  </si>
  <si>
    <t>order_id</t>
  </si>
  <si>
    <t>order_date</t>
  </si>
  <si>
    <t>customer_id</t>
  </si>
  <si>
    <t>city</t>
  </si>
  <si>
    <t>payment_method</t>
  </si>
  <si>
    <t>order_amount</t>
  </si>
  <si>
    <t>order_status</t>
  </si>
  <si>
    <t>order_amount_cleaned</t>
  </si>
  <si>
    <t>city_clean</t>
  </si>
  <si>
    <t>capture_count</t>
  </si>
  <si>
    <t>capture_gross</t>
  </si>
  <si>
    <t>refund_count</t>
  </si>
  <si>
    <t>refund_amount</t>
  </si>
  <si>
    <t>exception_type</t>
  </si>
  <si>
    <t>exception_value</t>
  </si>
  <si>
    <t>ORD26000001</t>
  </si>
  <si>
    <t>CUST28289</t>
  </si>
  <si>
    <t>299.0</t>
  </si>
  <si>
    <t>Paid</t>
  </si>
  <si>
    <t>ORD26000002</t>
  </si>
  <si>
    <t>CUST38657</t>
  </si>
  <si>
    <t>4647.0</t>
  </si>
  <si>
    <t>ORD26000003</t>
  </si>
  <si>
    <t>CUST81426</t>
  </si>
  <si>
    <t>2098.0</t>
  </si>
  <si>
    <t>ORD26000004</t>
  </si>
  <si>
    <t>CUST30926</t>
  </si>
  <si>
    <t>3298.0</t>
  </si>
  <si>
    <t>ORD26000005</t>
  </si>
  <si>
    <t>CUST23396</t>
  </si>
  <si>
    <t>499.0</t>
  </si>
  <si>
    <t>ORD26000006</t>
  </si>
  <si>
    <t>CUST15695</t>
  </si>
  <si>
    <t>999.0</t>
  </si>
  <si>
    <t>ORD26000007</t>
  </si>
  <si>
    <t>CUST92397</t>
  </si>
  <si>
    <t>1299.0</t>
  </si>
  <si>
    <t>ORD26000008</t>
  </si>
  <si>
    <t>CUST96673</t>
  </si>
  <si>
    <t>2499.0</t>
  </si>
  <si>
    <t>ORD26000009</t>
  </si>
  <si>
    <t>CUST59823</t>
  </si>
  <si>
    <t>349.0</t>
  </si>
  <si>
    <t>ORD26000010</t>
  </si>
  <si>
    <t>CUST44993</t>
  </si>
  <si>
    <t>9497.0</t>
  </si>
  <si>
    <t>ORD26000011</t>
  </si>
  <si>
    <t>CUST45382</t>
  </si>
  <si>
    <t>5797.0</t>
  </si>
  <si>
    <t>ORD26000012</t>
  </si>
  <si>
    <t>CUST14207</t>
  </si>
  <si>
    <t>13997.0</t>
  </si>
  <si>
    <t>ORD26000013</t>
  </si>
  <si>
    <t>CUST51245</t>
  </si>
  <si>
    <t>ORD26000014</t>
  </si>
  <si>
    <t>CUST42325</t>
  </si>
  <si>
    <t>4298.0</t>
  </si>
  <si>
    <t>ORD26000015</t>
  </si>
  <si>
    <t>CUST62350</t>
  </si>
  <si>
    <t>3499.0</t>
  </si>
  <si>
    <t>ORD26000016</t>
  </si>
  <si>
    <t>CUST24371</t>
  </si>
  <si>
    <t>1799.0</t>
  </si>
  <si>
    <t>ORD26000017</t>
  </si>
  <si>
    <t>CUST60432</t>
  </si>
  <si>
    <t>4999.0</t>
  </si>
  <si>
    <t>ORD26000018</t>
  </si>
  <si>
    <t>CUST11504</t>
  </si>
  <si>
    <t>2598.0</t>
  </si>
  <si>
    <t>Refunded</t>
  </si>
  <si>
    <t>ORD26000019</t>
  </si>
  <si>
    <t>CUST48469</t>
  </si>
  <si>
    <t>5798.0</t>
  </si>
  <si>
    <t>ORD26000020</t>
  </si>
  <si>
    <t>CUST75612</t>
  </si>
  <si>
    <t>3798.0</t>
  </si>
  <si>
    <t>ORD26000021</t>
  </si>
  <si>
    <t>CUST76540</t>
  </si>
  <si>
    <t>7999.0</t>
  </si>
  <si>
    <t>ORD26000022</t>
  </si>
  <si>
    <t>CUST79514</t>
  </si>
  <si>
    <t>ORD26000023</t>
  </si>
  <si>
    <t>CUST50306</t>
  </si>
  <si>
    <t>1499.0</t>
  </si>
  <si>
    <t>ORD26000024</t>
  </si>
  <si>
    <t>CUST73699</t>
  </si>
  <si>
    <t>Cancelled</t>
  </si>
  <si>
    <t>ORD26000025</t>
  </si>
  <si>
    <t>CUST82063</t>
  </si>
  <si>
    <t>5,498.00</t>
  </si>
  <si>
    <t>ORD26000026</t>
  </si>
  <si>
    <t>CUST80686</t>
  </si>
  <si>
    <t>10498.0</t>
  </si>
  <si>
    <t>ORD26000027</t>
  </si>
  <si>
    <t>CUST67422</t>
  </si>
  <si>
    <t>ORD26000028</t>
  </si>
  <si>
    <t>CUST87110</t>
  </si>
  <si>
    <t>599.0</t>
  </si>
  <si>
    <t>ORD26000029</t>
  </si>
  <si>
    <t>CUST40007</t>
  </si>
  <si>
    <t>898.00</t>
  </si>
  <si>
    <t>ORD26000030</t>
  </si>
  <si>
    <t>CUST46500</t>
  </si>
  <si>
    <t>ORD26000031</t>
  </si>
  <si>
    <t>CUST71953</t>
  </si>
  <si>
    <t>3998.0</t>
  </si>
  <si>
    <t>ORD26000032</t>
  </si>
  <si>
    <t>CUST66498</t>
  </si>
  <si>
    <t>6298.0</t>
  </si>
  <si>
    <t>ORD26000033</t>
  </si>
  <si>
    <t>CUST94696</t>
  </si>
  <si>
    <t>9498.0</t>
  </si>
  <si>
    <t>ORD26000034</t>
  </si>
  <si>
    <t>CUST35112</t>
  </si>
  <si>
    <t>4498.0</t>
  </si>
  <si>
    <t>ORD26000035</t>
  </si>
  <si>
    <t>CUST19880</t>
  </si>
  <si>
    <t>1798.0</t>
  </si>
  <si>
    <t>ORD26000036</t>
  </si>
  <si>
    <t>CUST11934</t>
  </si>
  <si>
    <t>648.0</t>
  </si>
  <si>
    <t>ORD26000037</t>
  </si>
  <si>
    <t>CUST62565</t>
  </si>
  <si>
    <t>ORD26000038</t>
  </si>
  <si>
    <t>CUST69638</t>
  </si>
  <si>
    <t>1598.0</t>
  </si>
  <si>
    <t>ORD26000039</t>
  </si>
  <si>
    <t>CUST34890</t>
  </si>
  <si>
    <t>10297.0</t>
  </si>
  <si>
    <t>ORD26000040</t>
  </si>
  <si>
    <t>CUST51104</t>
  </si>
  <si>
    <t>ORD26000041</t>
  </si>
  <si>
    <t>CUST17455</t>
  </si>
  <si>
    <t>Failed</t>
  </si>
  <si>
    <t>ORD26000042</t>
  </si>
  <si>
    <t>CUST40828</t>
  </si>
  <si>
    <t>ORD26000043</t>
  </si>
  <si>
    <t>CUST64948</t>
  </si>
  <si>
    <t>3098.0</t>
  </si>
  <si>
    <t>ORD26000044</t>
  </si>
  <si>
    <t>CUST41285</t>
  </si>
  <si>
    <t>ORD26000045</t>
  </si>
  <si>
    <t>CUST19508</t>
  </si>
  <si>
    <t>2,999.00</t>
  </si>
  <si>
    <t>ORD26000046</t>
  </si>
  <si>
    <t>CUST44760</t>
  </si>
  <si>
    <t>2848.0</t>
  </si>
  <si>
    <t>ORD26000047</t>
  </si>
  <si>
    <t>CUST30676</t>
  </si>
  <si>
    <t>ORD26000048</t>
  </si>
  <si>
    <t>CUST95717</t>
  </si>
  <si>
    <t>ORD26000049</t>
  </si>
  <si>
    <t>CUST27601</t>
  </si>
  <si>
    <t>10597.0</t>
  </si>
  <si>
    <t>ORD26000050</t>
  </si>
  <si>
    <t>CUST89276</t>
  </si>
  <si>
    <t>ORD26000051</t>
  </si>
  <si>
    <t>CUST76244</t>
  </si>
  <si>
    <t>599.00</t>
  </si>
  <si>
    <t>ORD26000052</t>
  </si>
  <si>
    <t>CUST15778</t>
  </si>
  <si>
    <t>349.00</t>
  </si>
  <si>
    <t>ORD26000053</t>
  </si>
  <si>
    <t>CUST67912</t>
  </si>
  <si>
    <t>2999.0</t>
  </si>
  <si>
    <t>ORD26000054</t>
  </si>
  <si>
    <t>CUST29536</t>
  </si>
  <si>
    <t>ORD26000055</t>
  </si>
  <si>
    <t>CUST15482</t>
  </si>
  <si>
    <t>ORD26000056</t>
  </si>
  <si>
    <t>CUST23473</t>
  </si>
  <si>
    <t>ORD26000057</t>
  </si>
  <si>
    <t>CUST41029</t>
  </si>
  <si>
    <t>9298.0</t>
  </si>
  <si>
    <t>ORD26000058</t>
  </si>
  <si>
    <t>CUST53540</t>
  </si>
  <si>
    <t>ORD26000059</t>
  </si>
  <si>
    <t>CUST24168</t>
  </si>
  <si>
    <t>16497.0</t>
  </si>
  <si>
    <t>ORD26000060</t>
  </si>
  <si>
    <t>CUST70332</t>
  </si>
  <si>
    <t>ORD26000061</t>
  </si>
  <si>
    <t>CUST53025</t>
  </si>
  <si>
    <t>ORD26000062</t>
  </si>
  <si>
    <t>CUST62386</t>
  </si>
  <si>
    <t>ORD26000063</t>
  </si>
  <si>
    <t>CUST86099</t>
  </si>
  <si>
    <t>ORD26000064</t>
  </si>
  <si>
    <t>CUST51114</t>
  </si>
  <si>
    <t>ORD26000065</t>
  </si>
  <si>
    <t>CUST15817</t>
  </si>
  <si>
    <t>1648.0</t>
  </si>
  <si>
    <t>ORD26000066</t>
  </si>
  <si>
    <t>CUST97900</t>
  </si>
  <si>
    <t>6798.0</t>
  </si>
  <si>
    <t>ORD26000067</t>
  </si>
  <si>
    <t>CUST96951</t>
  </si>
  <si>
    <t>3348.0</t>
  </si>
  <si>
    <t>ORD26000068</t>
  </si>
  <si>
    <t>CUST62743</t>
  </si>
  <si>
    <t>ORD26000069</t>
  </si>
  <si>
    <t>CUST98777</t>
  </si>
  <si>
    <t>ORD26000070</t>
  </si>
  <si>
    <t>CUST47606</t>
  </si>
  <si>
    <t>ORD26000071</t>
  </si>
  <si>
    <t>CUST98555</t>
  </si>
  <si>
    <t>5498.0</t>
  </si>
  <si>
    <t>ORD26000072</t>
  </si>
  <si>
    <t>CUST47196</t>
  </si>
  <si>
    <t>9998.0</t>
  </si>
  <si>
    <t>ORD26000073</t>
  </si>
  <si>
    <t>CUST98184</t>
  </si>
  <si>
    <t>3847.0</t>
  </si>
  <si>
    <t>ORD26000074</t>
  </si>
  <si>
    <t>CUST72277</t>
  </si>
  <si>
    <t>ORD26000075</t>
  </si>
  <si>
    <t>CUST35485</t>
  </si>
  <si>
    <t>ORD26000076</t>
  </si>
  <si>
    <t>CUST23970</t>
  </si>
  <si>
    <t>1098.0</t>
  </si>
  <si>
    <t>ORD26000077</t>
  </si>
  <si>
    <t>CUST16582</t>
  </si>
  <si>
    <t>ORD26000078</t>
  </si>
  <si>
    <t>CUST79616</t>
  </si>
  <si>
    <t>ORD26000079</t>
  </si>
  <si>
    <t>CUST76162</t>
  </si>
  <si>
    <t>ORD26000080</t>
  </si>
  <si>
    <t>CUST43972</t>
  </si>
  <si>
    <t>1998.0</t>
  </si>
  <si>
    <t>ORD26000081</t>
  </si>
  <si>
    <t>CUST45992</t>
  </si>
  <si>
    <t>10797.0</t>
  </si>
  <si>
    <t>ORD26000082</t>
  </si>
  <si>
    <t>CUST20561</t>
  </si>
  <si>
    <t>2197.0</t>
  </si>
  <si>
    <t>ORD26000083</t>
  </si>
  <si>
    <t>CUST18418</t>
  </si>
  <si>
    <t>ORD26000084</t>
  </si>
  <si>
    <t>CUST65069</t>
  </si>
  <si>
    <t>ORD26000085</t>
  </si>
  <si>
    <t>CUST59857</t>
  </si>
  <si>
    <t>ORD26000086</t>
  </si>
  <si>
    <t>CUST64921</t>
  </si>
  <si>
    <t>799.0</t>
  </si>
  <si>
    <t>ORD26000087</t>
  </si>
  <si>
    <t>CUST45774</t>
  </si>
  <si>
    <t>9297.0</t>
  </si>
  <si>
    <t>ORD26000088</t>
  </si>
  <si>
    <t>CUST62994</t>
  </si>
  <si>
    <t>ORD26000089</t>
  </si>
  <si>
    <t>CUST87580</t>
  </si>
  <si>
    <t>2998.0</t>
  </si>
  <si>
    <t>ORD26000090</t>
  </si>
  <si>
    <t>CUST70515</t>
  </si>
  <si>
    <t>ORD26000091</t>
  </si>
  <si>
    <t>CUST54236</t>
  </si>
  <si>
    <t>ORD26000092</t>
  </si>
  <si>
    <t>CUST80702</t>
  </si>
  <si>
    <t>8798.0</t>
  </si>
  <si>
    <t>ORD26000093</t>
  </si>
  <si>
    <t>CUST15276</t>
  </si>
  <si>
    <t>ORD26000094</t>
  </si>
  <si>
    <t>CUST26544</t>
  </si>
  <si>
    <t>ORD26000095</t>
  </si>
  <si>
    <t>CUST43586</t>
  </si>
  <si>
    <t>ORD26000096</t>
  </si>
  <si>
    <t>CUST31465</t>
  </si>
  <si>
    <t>5998.0</t>
  </si>
  <si>
    <t>ORD26000097</t>
  </si>
  <si>
    <t>CUST59192</t>
  </si>
  <si>
    <t>ORD26000098</t>
  </si>
  <si>
    <t>CUST41830</t>
  </si>
  <si>
    <t>ORD26000099</t>
  </si>
  <si>
    <t>CUST84177</t>
  </si>
  <si>
    <t>ORD26000100</t>
  </si>
  <si>
    <t>CUST54725</t>
  </si>
  <si>
    <t>ORD26000101</t>
  </si>
  <si>
    <t>CUST93307</t>
  </si>
  <si>
    <t>ORD26000102</t>
  </si>
  <si>
    <t>CUST95256</t>
  </si>
  <si>
    <t>ORD26000103</t>
  </si>
  <si>
    <t>CUST87656</t>
  </si>
  <si>
    <t>6498.0</t>
  </si>
  <si>
    <t>ORD26000104</t>
  </si>
  <si>
    <t>CUST69087</t>
  </si>
  <si>
    <t>7,999.00</t>
  </si>
  <si>
    <t>ORD26000105</t>
  </si>
  <si>
    <t>CUST74789</t>
  </si>
  <si>
    <t>4998.0</t>
  </si>
  <si>
    <t>ORD26000106</t>
  </si>
  <si>
    <t>CUST88139</t>
  </si>
  <si>
    <t>ORD26000107</t>
  </si>
  <si>
    <t>CUST63271</t>
  </si>
  <si>
    <t>ORD26000108</t>
  </si>
  <si>
    <t>CUST68743</t>
  </si>
  <si>
    <t>ORD26000109</t>
  </si>
  <si>
    <t>CUST97026</t>
  </si>
  <si>
    <t>ORD26000110</t>
  </si>
  <si>
    <t>CUST82140</t>
  </si>
  <si>
    <t>3,598.00</t>
  </si>
  <si>
    <t>ORD26000111</t>
  </si>
  <si>
    <t>CUST35242</t>
  </si>
  <si>
    <t>3097.0</t>
  </si>
  <si>
    <t>ORD26000112</t>
  </si>
  <si>
    <t>CUST73464</t>
  </si>
  <si>
    <t>ORD26000113</t>
  </si>
  <si>
    <t>CUST35443</t>
  </si>
  <si>
    <t>ORD26000114</t>
  </si>
  <si>
    <t>CUST26591</t>
  </si>
  <si>
    <t>ORD26000115</t>
  </si>
  <si>
    <t>CUST93606</t>
  </si>
  <si>
    <t>ORD26000116</t>
  </si>
  <si>
    <t>CUST54657</t>
  </si>
  <si>
    <t>ORD26000117</t>
  </si>
  <si>
    <t>CUST62521</t>
  </si>
  <si>
    <t>ORD26000118</t>
  </si>
  <si>
    <t>CUST83772</t>
  </si>
  <si>
    <t>ORD26000119</t>
  </si>
  <si>
    <t>CUST88135</t>
  </si>
  <si>
    <t>ORD26000120</t>
  </si>
  <si>
    <t>CUST87139</t>
  </si>
  <si>
    <t>2798.0</t>
  </si>
  <si>
    <t>ORD26000121</t>
  </si>
  <si>
    <t>CUST37235</t>
  </si>
  <si>
    <t>ORD26000122</t>
  </si>
  <si>
    <t>CUST10350</t>
  </si>
  <si>
    <t>1447.0</t>
  </si>
  <si>
    <t>ORD26000123</t>
  </si>
  <si>
    <t>CUST47056</t>
  </si>
  <si>
    <t>4797.0</t>
  </si>
  <si>
    <t>ORD26000124</t>
  </si>
  <si>
    <t>CUST35928</t>
  </si>
  <si>
    <t>6397.0</t>
  </si>
  <si>
    <t>ORD26000125</t>
  </si>
  <si>
    <t>CUST28643</t>
  </si>
  <si>
    <t>3598.0</t>
  </si>
  <si>
    <t>ORD26000126</t>
  </si>
  <si>
    <t>CUST84607</t>
  </si>
  <si>
    <t>ORD26000127</t>
  </si>
  <si>
    <t>CUST45683</t>
  </si>
  <si>
    <t>ORD26000128</t>
  </si>
  <si>
    <t>CUST52247</t>
  </si>
  <si>
    <t>1848.0</t>
  </si>
  <si>
    <t>ORD26000129</t>
  </si>
  <si>
    <t>CUST85392</t>
  </si>
  <si>
    <t>ORD26000130</t>
  </si>
  <si>
    <t>CUST71669</t>
  </si>
  <si>
    <t>11297.0</t>
  </si>
  <si>
    <t>ORD26000131</t>
  </si>
  <si>
    <t>CUST74451</t>
  </si>
  <si>
    <t>1298.0</t>
  </si>
  <si>
    <t>ORD26000132</t>
  </si>
  <si>
    <t>CUST31079</t>
  </si>
  <si>
    <t>ORD26000133</t>
  </si>
  <si>
    <t>CUST82102</t>
  </si>
  <si>
    <t>5297.0</t>
  </si>
  <si>
    <t>ORD26000134</t>
  </si>
  <si>
    <t>CUST62976</t>
  </si>
  <si>
    <t>ORD26000135</t>
  </si>
  <si>
    <t>CUST17104</t>
  </si>
  <si>
    <t>ORD26000136</t>
  </si>
  <si>
    <t>CUST16764</t>
  </si>
  <si>
    <t>ORD26000137</t>
  </si>
  <si>
    <t>CUST25915</t>
  </si>
  <si>
    <t>ORD26000138</t>
  </si>
  <si>
    <t>CUST11792</t>
  </si>
  <si>
    <t>5598.0</t>
  </si>
  <si>
    <t>ORD26000139</t>
  </si>
  <si>
    <t>CUST70482</t>
  </si>
  <si>
    <t>ORD26000140</t>
  </si>
  <si>
    <t>CUST45838</t>
  </si>
  <si>
    <t>ORD26000141</t>
  </si>
  <si>
    <t>CUST34983</t>
  </si>
  <si>
    <t>ORD26000142</t>
  </si>
  <si>
    <t>CUST64387</t>
  </si>
  <si>
    <t>8847.0</t>
  </si>
  <si>
    <t>ORD26000143</t>
  </si>
  <si>
    <t>CUST86931</t>
  </si>
  <si>
    <t>ORD26000144</t>
  </si>
  <si>
    <t>CUST53573</t>
  </si>
  <si>
    <t>8498.0</t>
  </si>
  <si>
    <t>ORD26000145</t>
  </si>
  <si>
    <t>CUST41300</t>
  </si>
  <si>
    <t>ORD26000146</t>
  </si>
  <si>
    <t>CUST71993</t>
  </si>
  <si>
    <t>ORD26000147</t>
  </si>
  <si>
    <t>CUST14852</t>
  </si>
  <si>
    <t>15997.0</t>
  </si>
  <si>
    <t>ORD26000148</t>
  </si>
  <si>
    <t>CUST23069</t>
  </si>
  <si>
    <t>8998.0</t>
  </si>
  <si>
    <t>ORD26000149</t>
  </si>
  <si>
    <t>CUST30232</t>
  </si>
  <si>
    <t>ORD26000150</t>
  </si>
  <si>
    <t>CUST20527</t>
  </si>
  <si>
    <t>ORD26000151</t>
  </si>
  <si>
    <t>CUST73956</t>
  </si>
  <si>
    <t>11,097.00</t>
  </si>
  <si>
    <t>ORD26000152</t>
  </si>
  <si>
    <t>CUST39817</t>
  </si>
  <si>
    <t>948.0</t>
  </si>
  <si>
    <t>ORD26000153</t>
  </si>
  <si>
    <t>CUST68153</t>
  </si>
  <si>
    <t>ORD26000154</t>
  </si>
  <si>
    <t>CUST48452</t>
  </si>
  <si>
    <t>ORD26000155</t>
  </si>
  <si>
    <t>CUST33600</t>
  </si>
  <si>
    <t>ORD26000156</t>
  </si>
  <si>
    <t>CUST41566</t>
  </si>
  <si>
    <t>ORD26000157</t>
  </si>
  <si>
    <t>CUST43466</t>
  </si>
  <si>
    <t>ORD26000158</t>
  </si>
  <si>
    <t>CUST55293</t>
  </si>
  <si>
    <t>ORD26000159</t>
  </si>
  <si>
    <t>CUST60422</t>
  </si>
  <si>
    <t>5597.0</t>
  </si>
  <si>
    <t>ORD26000160</t>
  </si>
  <si>
    <t>CUST48696</t>
  </si>
  <si>
    <t>ORD26000161</t>
  </si>
  <si>
    <t>CUST16428</t>
  </si>
  <si>
    <t>2397.0</t>
  </si>
  <si>
    <t>ORD26000162</t>
  </si>
  <si>
    <t>CUST56179</t>
  </si>
  <si>
    <t>8,798.00</t>
  </si>
  <si>
    <t>ORD26000163</t>
  </si>
  <si>
    <t>CUST96400</t>
  </si>
  <si>
    <t>ORD26000164</t>
  </si>
  <si>
    <t>CUST67779</t>
  </si>
  <si>
    <t>ORD26000165</t>
  </si>
  <si>
    <t>CUST52823</t>
  </si>
  <si>
    <t>ORD26000166</t>
  </si>
  <si>
    <t>CUST57953</t>
  </si>
  <si>
    <t>ORD26000167</t>
  </si>
  <si>
    <t>CUST73156</t>
  </si>
  <si>
    <t>ORD26000168</t>
  </si>
  <si>
    <t>CUST28449</t>
  </si>
  <si>
    <t>ORD26000169</t>
  </si>
  <si>
    <t>CUST57942</t>
  </si>
  <si>
    <t>7797.0</t>
  </si>
  <si>
    <t>ORD26000170</t>
  </si>
  <si>
    <t>CUST98188</t>
  </si>
  <si>
    <t>ORD26000171</t>
  </si>
  <si>
    <t>CUST40647</t>
  </si>
  <si>
    <t>10998.0</t>
  </si>
  <si>
    <t>ORD26000172</t>
  </si>
  <si>
    <t>CUST18285</t>
  </si>
  <si>
    <t>ORD26000173</t>
  </si>
  <si>
    <t>CUST14877</t>
  </si>
  <si>
    <t>5097.0</t>
  </si>
  <si>
    <t>ORD26000174</t>
  </si>
  <si>
    <t>CUST60940</t>
  </si>
  <si>
    <t>ORD26000175</t>
  </si>
  <si>
    <t>CUST30253</t>
  </si>
  <si>
    <t>8797.0</t>
  </si>
  <si>
    <t>ORD26000176</t>
  </si>
  <si>
    <t>CUST46666</t>
  </si>
  <si>
    <t>ORD26000177</t>
  </si>
  <si>
    <t>CUST57537</t>
  </si>
  <si>
    <t>ORD26000178</t>
  </si>
  <si>
    <t>CUST17936</t>
  </si>
  <si>
    <t>ORD26000179</t>
  </si>
  <si>
    <t>CUST22015</t>
  </si>
  <si>
    <t>ORD26000180</t>
  </si>
  <si>
    <t>CUST26505</t>
  </si>
  <si>
    <t>ORD26000181</t>
  </si>
  <si>
    <t>CUST38305</t>
  </si>
  <si>
    <t>ORD26000182</t>
  </si>
  <si>
    <t>CUST28964</t>
  </si>
  <si>
    <t>ORD26000183</t>
  </si>
  <si>
    <t>CUST13379</t>
  </si>
  <si>
    <t>ORD26000184</t>
  </si>
  <si>
    <t>CUST12068</t>
  </si>
  <si>
    <t>ORD26000185</t>
  </si>
  <si>
    <t>CUST18330</t>
  </si>
  <si>
    <t>ORD26000186</t>
  </si>
  <si>
    <t>CUST39038</t>
  </si>
  <si>
    <t>ORD26000187</t>
  </si>
  <si>
    <t>CUST14082</t>
  </si>
  <si>
    <t>ORD26000188</t>
  </si>
  <si>
    <t>CUST68138</t>
  </si>
  <si>
    <t>4,298.00</t>
  </si>
  <si>
    <t>ORD26000189</t>
  </si>
  <si>
    <t>CUST46046</t>
  </si>
  <si>
    <t>ORD26000190</t>
  </si>
  <si>
    <t>CUST79541</t>
  </si>
  <si>
    <t>5298.0</t>
  </si>
  <si>
    <t>ORD26000191</t>
  </si>
  <si>
    <t>CUST95814</t>
  </si>
  <si>
    <t>ORD26000192</t>
  </si>
  <si>
    <t>CUST54424</t>
  </si>
  <si>
    <t>ORD26000193</t>
  </si>
  <si>
    <t>CUST43408</t>
  </si>
  <si>
    <t>3848.0</t>
  </si>
  <si>
    <t>ORD26000194</t>
  </si>
  <si>
    <t>CUST22656</t>
  </si>
  <si>
    <t>ORD26000195</t>
  </si>
  <si>
    <t>CUST83620</t>
  </si>
  <si>
    <t>ORD26000196</t>
  </si>
  <si>
    <t>CUST65435</t>
  </si>
  <si>
    <t>ORD26000197</t>
  </si>
  <si>
    <t>CUST30280</t>
  </si>
  <si>
    <t>ORD26000198</t>
  </si>
  <si>
    <t>CUST46512</t>
  </si>
  <si>
    <t>ORD26000199</t>
  </si>
  <si>
    <t>CUST90422</t>
  </si>
  <si>
    <t>9798.0</t>
  </si>
  <si>
    <t>ORD26000200</t>
  </si>
  <si>
    <t>CUST45818</t>
  </si>
  <si>
    <t>ORD26000201</t>
  </si>
  <si>
    <t>CUST84228</t>
  </si>
  <si>
    <t>999.00</t>
  </si>
  <si>
    <t>ORD26000202</t>
  </si>
  <si>
    <t>CUST79531</t>
  </si>
  <si>
    <t>ORD26000203</t>
  </si>
  <si>
    <t>CUST52517</t>
  </si>
  <si>
    <t>2498.0</t>
  </si>
  <si>
    <t>ORD26000204</t>
  </si>
  <si>
    <t>CUST16522</t>
  </si>
  <si>
    <t>ORD26000205</t>
  </si>
  <si>
    <t>CUST45804</t>
  </si>
  <si>
    <t>ORD26000206</t>
  </si>
  <si>
    <t>CUST98930</t>
  </si>
  <si>
    <t>1348.0</t>
  </si>
  <si>
    <t>ORD26000207</t>
  </si>
  <si>
    <t>CUST88554</t>
  </si>
  <si>
    <t>3,798.00</t>
  </si>
  <si>
    <t>ORD26000208</t>
  </si>
  <si>
    <t>CUST43491</t>
  </si>
  <si>
    <t>799.00</t>
  </si>
  <si>
    <t>ORD26000209</t>
  </si>
  <si>
    <t>CUST26932</t>
  </si>
  <si>
    <t>299.00</t>
  </si>
  <si>
    <t>ORD26000210</t>
  </si>
  <si>
    <t>CUST19447</t>
  </si>
  <si>
    <t>4197.0</t>
  </si>
  <si>
    <t>ORD26000211</t>
  </si>
  <si>
    <t>CUST51033</t>
  </si>
  <si>
    <t>1897.0</t>
  </si>
  <si>
    <t>ORD26000212</t>
  </si>
  <si>
    <t>CUST63088</t>
  </si>
  <si>
    <t>4798.0</t>
  </si>
  <si>
    <t>ORD26000213</t>
  </si>
  <si>
    <t>CUST57428</t>
  </si>
  <si>
    <t>4,999.00</t>
  </si>
  <si>
    <t>ORD26000214</t>
  </si>
  <si>
    <t>CUST20308</t>
  </si>
  <si>
    <t>ORD26000215</t>
  </si>
  <si>
    <t>CUST32037</t>
  </si>
  <si>
    <t>ORD26000216</t>
  </si>
  <si>
    <t>CUST56019</t>
  </si>
  <si>
    <t>3,947.00</t>
  </si>
  <si>
    <t>ORD26000217</t>
  </si>
  <si>
    <t>CUST30036</t>
  </si>
  <si>
    <t>ORD26000218</t>
  </si>
  <si>
    <t>CUST99277</t>
  </si>
  <si>
    <t>7997.0</t>
  </si>
  <si>
    <t>ORD26000219</t>
  </si>
  <si>
    <t>CUST67640</t>
  </si>
  <si>
    <t>11497.0</t>
  </si>
  <si>
    <t>ORD26000220</t>
  </si>
  <si>
    <t>CUST56129</t>
  </si>
  <si>
    <t>ORD26000221</t>
  </si>
  <si>
    <t>CUST47627</t>
  </si>
  <si>
    <t>1,499.00</t>
  </si>
  <si>
    <t>ORD26000222</t>
  </si>
  <si>
    <t>CUST86064</t>
  </si>
  <si>
    <t>ORD26000223</t>
  </si>
  <si>
    <t>CUST89299</t>
  </si>
  <si>
    <t>6,797.00</t>
  </si>
  <si>
    <t>ORD26000224</t>
  </si>
  <si>
    <t>CUST55015</t>
  </si>
  <si>
    <t>ORD26000225</t>
  </si>
  <si>
    <t>CUST78690</t>
  </si>
  <si>
    <t>1397.0</t>
  </si>
  <si>
    <t>ORD26000226</t>
  </si>
  <si>
    <t>CUST63578</t>
  </si>
  <si>
    <t>ORD26000227</t>
  </si>
  <si>
    <t>CUST53213</t>
  </si>
  <si>
    <t>ORD26000228</t>
  </si>
  <si>
    <t>CUST88997</t>
  </si>
  <si>
    <t>2,897.00</t>
  </si>
  <si>
    <t>ORD26000229</t>
  </si>
  <si>
    <t>CUST50662</t>
  </si>
  <si>
    <t>ORD26000230</t>
  </si>
  <si>
    <t>CUST53054</t>
  </si>
  <si>
    <t>ORD26000231</t>
  </si>
  <si>
    <t>CUST97878</t>
  </si>
  <si>
    <t>14497.0</t>
  </si>
  <si>
    <t>ORD26000232</t>
  </si>
  <si>
    <t>CUST38074</t>
  </si>
  <si>
    <t>ORD26000233</t>
  </si>
  <si>
    <t>CUST48770</t>
  </si>
  <si>
    <t>1198.0</t>
  </si>
  <si>
    <t>ORD26000234</t>
  </si>
  <si>
    <t>CUST54140</t>
  </si>
  <si>
    <t>11498.0</t>
  </si>
  <si>
    <t>ORD26000235</t>
  </si>
  <si>
    <t>CUST91885</t>
  </si>
  <si>
    <t>ORD26000236</t>
  </si>
  <si>
    <t>CUST68222</t>
  </si>
  <si>
    <t>ORD26000237</t>
  </si>
  <si>
    <t>CUST71474</t>
  </si>
  <si>
    <t>7097.0</t>
  </si>
  <si>
    <t>ORD26000238</t>
  </si>
  <si>
    <t>CUST75916</t>
  </si>
  <si>
    <t>5497.0</t>
  </si>
  <si>
    <t>ORD26000239</t>
  </si>
  <si>
    <t>CUST42768</t>
  </si>
  <si>
    <t>ORD26000240</t>
  </si>
  <si>
    <t>CUST77621</t>
  </si>
  <si>
    <t>8,998.00</t>
  </si>
  <si>
    <t>ORD26000241</t>
  </si>
  <si>
    <t>CUST77286</t>
  </si>
  <si>
    <t>ORD26000242</t>
  </si>
  <si>
    <t>CUST13495</t>
  </si>
  <si>
    <t>ORD26000243</t>
  </si>
  <si>
    <t>CUST59140</t>
  </si>
  <si>
    <t>ORD26000244</t>
  </si>
  <si>
    <t>CUST29142</t>
  </si>
  <si>
    <t>ORD26000245</t>
  </si>
  <si>
    <t>CUST71487</t>
  </si>
  <si>
    <t>ORD26000246</t>
  </si>
  <si>
    <t>CUST29597</t>
  </si>
  <si>
    <t>ORD26000247</t>
  </si>
  <si>
    <t>CUST49472</t>
  </si>
  <si>
    <t>ORD26000248</t>
  </si>
  <si>
    <t>CUST18232</t>
  </si>
  <si>
    <t>ORD26000249</t>
  </si>
  <si>
    <t>CUST41711</t>
  </si>
  <si>
    <t>ORD26000250</t>
  </si>
  <si>
    <t>CUST34551</t>
  </si>
  <si>
    <t>ORD26000251</t>
  </si>
  <si>
    <t>CUST76535</t>
  </si>
  <si>
    <t>ORD26000252</t>
  </si>
  <si>
    <t>CUST58929</t>
  </si>
  <si>
    <t>ORD26000253</t>
  </si>
  <si>
    <t>CUST96127</t>
  </si>
  <si>
    <t>ORD26000254</t>
  </si>
  <si>
    <t>CUST81567</t>
  </si>
  <si>
    <t>ORD26000255</t>
  </si>
  <si>
    <t>CUST72722</t>
  </si>
  <si>
    <t>13497.0</t>
  </si>
  <si>
    <t>ORD26000256</t>
  </si>
  <si>
    <t>CUST14847</t>
  </si>
  <si>
    <t>ORD26000257</t>
  </si>
  <si>
    <t>CUST50642</t>
  </si>
  <si>
    <t>ORD26000258</t>
  </si>
  <si>
    <t>CUST47501</t>
  </si>
  <si>
    <t>2298.0</t>
  </si>
  <si>
    <t>ORD26000259</t>
  </si>
  <si>
    <t>CUST58237</t>
  </si>
  <si>
    <t>ORD26000260</t>
  </si>
  <si>
    <t>CUST34486</t>
  </si>
  <si>
    <t>ORD26000261</t>
  </si>
  <si>
    <t>CUST65640</t>
  </si>
  <si>
    <t>ORD26000262</t>
  </si>
  <si>
    <t>CUST20494</t>
  </si>
  <si>
    <t>ORD26000263</t>
  </si>
  <si>
    <t>CUST31842</t>
  </si>
  <si>
    <t>ORD26000264</t>
  </si>
  <si>
    <t>CUST67008</t>
  </si>
  <si>
    <t>ORD26000265</t>
  </si>
  <si>
    <t>CUST77251</t>
  </si>
  <si>
    <t>ORD26000266</t>
  </si>
  <si>
    <t>CUST14561</t>
  </si>
  <si>
    <t>ORD26000267</t>
  </si>
  <si>
    <t>CUST84349</t>
  </si>
  <si>
    <t>ORD26000268</t>
  </si>
  <si>
    <t>CUST68188</t>
  </si>
  <si>
    <t>ORD26000269</t>
  </si>
  <si>
    <t>CUST46528</t>
  </si>
  <si>
    <t>ORD26000270</t>
  </si>
  <si>
    <t>CUST83619</t>
  </si>
  <si>
    <t>ORD26000271</t>
  </si>
  <si>
    <t>CUST47431</t>
  </si>
  <si>
    <t>ORD26000272</t>
  </si>
  <si>
    <t>CUST68341</t>
  </si>
  <si>
    <t>ORD26000273</t>
  </si>
  <si>
    <t>CUST81063</t>
  </si>
  <si>
    <t>11997.0</t>
  </si>
  <si>
    <t>ORD26000274</t>
  </si>
  <si>
    <t>CUST93584</t>
  </si>
  <si>
    <t>ORD26000275</t>
  </si>
  <si>
    <t>CUST28202</t>
  </si>
  <si>
    <t>ORD26000276</t>
  </si>
  <si>
    <t>CUST82305</t>
  </si>
  <si>
    <t>ORD26000277</t>
  </si>
  <si>
    <t>CUST72739</t>
  </si>
  <si>
    <t>ORD26000278</t>
  </si>
  <si>
    <t>CUST94192</t>
  </si>
  <si>
    <t>ORD26000279</t>
  </si>
  <si>
    <t>CUST82260</t>
  </si>
  <si>
    <t>ORD26000280</t>
  </si>
  <si>
    <t>CUST26274</t>
  </si>
  <si>
    <t>ORD26000281</t>
  </si>
  <si>
    <t>CUST39552</t>
  </si>
  <si>
    <t>ORD26000282</t>
  </si>
  <si>
    <t>CUST82199</t>
  </si>
  <si>
    <t>ORD26000283</t>
  </si>
  <si>
    <t>CUST87569</t>
  </si>
  <si>
    <t>ORD26000284</t>
  </si>
  <si>
    <t>CUST54252</t>
  </si>
  <si>
    <t>ORD26000285</t>
  </si>
  <si>
    <t>CUST85598</t>
  </si>
  <si>
    <t>ORD26000286</t>
  </si>
  <si>
    <t>CUST13969</t>
  </si>
  <si>
    <t>ORD26000287</t>
  </si>
  <si>
    <t>CUST99783</t>
  </si>
  <si>
    <t>ORD26000288</t>
  </si>
  <si>
    <t>CUST73471</t>
  </si>
  <si>
    <t>ORD26000289</t>
  </si>
  <si>
    <t>CUST51853</t>
  </si>
  <si>
    <t>ORD26000290</t>
  </si>
  <si>
    <t>CUST51827</t>
  </si>
  <si>
    <t>ORD26000291</t>
  </si>
  <si>
    <t>CUST16632</t>
  </si>
  <si>
    <t>ORD26000292</t>
  </si>
  <si>
    <t>CUST52917</t>
  </si>
  <si>
    <t>1898.0</t>
  </si>
  <si>
    <t>ORD26000293</t>
  </si>
  <si>
    <t>CUST77466</t>
  </si>
  <si>
    <t>ORD26000294</t>
  </si>
  <si>
    <t>CUST76249</t>
  </si>
  <si>
    <t>ORD26000295</t>
  </si>
  <si>
    <t>CUST74866</t>
  </si>
  <si>
    <t>ORD26000296</t>
  </si>
  <si>
    <t>CUST66482</t>
  </si>
  <si>
    <t>ORD26000297</t>
  </si>
  <si>
    <t>CUST15930</t>
  </si>
  <si>
    <t>ORD26000298</t>
  </si>
  <si>
    <t>CUST60639</t>
  </si>
  <si>
    <t>2398.0</t>
  </si>
  <si>
    <t>ORD26000299</t>
  </si>
  <si>
    <t>CUST25572</t>
  </si>
  <si>
    <t>ORD26000300</t>
  </si>
  <si>
    <t>CUST57920</t>
  </si>
  <si>
    <t>ORD26000301</t>
  </si>
  <si>
    <t>CUST27961</t>
  </si>
  <si>
    <t>ORD26000302</t>
  </si>
  <si>
    <t>CUST28321</t>
  </si>
  <si>
    <t>ORD26000303</t>
  </si>
  <si>
    <t>CUST49221</t>
  </si>
  <si>
    <t>1498.0</t>
  </si>
  <si>
    <t>ORD26000304</t>
  </si>
  <si>
    <t>CUST49294</t>
  </si>
  <si>
    <t>ORD26000305</t>
  </si>
  <si>
    <t>CUST64596</t>
  </si>
  <si>
    <t>ORD26000306</t>
  </si>
  <si>
    <t>CUST95929</t>
  </si>
  <si>
    <t>ORD26000307</t>
  </si>
  <si>
    <t>CUST78712</t>
  </si>
  <si>
    <t>ORD26000308</t>
  </si>
  <si>
    <t>CUST24404</t>
  </si>
  <si>
    <t>ORD26000309</t>
  </si>
  <si>
    <t>CUST63788</t>
  </si>
  <si>
    <t>ORD26000310</t>
  </si>
  <si>
    <t>CUST28098</t>
  </si>
  <si>
    <t>ORD26000311</t>
  </si>
  <si>
    <t>CUST32699</t>
  </si>
  <si>
    <t>ORD26000312</t>
  </si>
  <si>
    <t>CUST99226</t>
  </si>
  <si>
    <t>ORD26000313</t>
  </si>
  <si>
    <t>CUST49008</t>
  </si>
  <si>
    <t>ORD26000314</t>
  </si>
  <si>
    <t>CUST55718</t>
  </si>
  <si>
    <t>ORD26000315</t>
  </si>
  <si>
    <t>CUST61712</t>
  </si>
  <si>
    <t>1947.0</t>
  </si>
  <si>
    <t>ORD26000316</t>
  </si>
  <si>
    <t>CUST20358</t>
  </si>
  <si>
    <t>ORD26000317</t>
  </si>
  <si>
    <t>CUST80592</t>
  </si>
  <si>
    <t>ORD26000318</t>
  </si>
  <si>
    <t>CUST86917</t>
  </si>
  <si>
    <t>ORD26000319</t>
  </si>
  <si>
    <t>CUST40518</t>
  </si>
  <si>
    <t>ORD26000320</t>
  </si>
  <si>
    <t>CUST28018</t>
  </si>
  <si>
    <t>4,498.00</t>
  </si>
  <si>
    <t>ORD26000321</t>
  </si>
  <si>
    <t>CUST72350</t>
  </si>
  <si>
    <t>ORD26000322</t>
  </si>
  <si>
    <t>CUST94659</t>
  </si>
  <si>
    <t>ORD26000323</t>
  </si>
  <si>
    <t>CUST14888</t>
  </si>
  <si>
    <t>ORD26000324</t>
  </si>
  <si>
    <t>CUST74930</t>
  </si>
  <si>
    <t>ORD26000325</t>
  </si>
  <si>
    <t>CUST24064</t>
  </si>
  <si>
    <t>9097.0</t>
  </si>
  <si>
    <t>ORD26000326</t>
  </si>
  <si>
    <t>CUST27589</t>
  </si>
  <si>
    <t>ORD26000327</t>
  </si>
  <si>
    <t>CUST70150</t>
  </si>
  <si>
    <t>ORD26000328</t>
  </si>
  <si>
    <t>CUST84420</t>
  </si>
  <si>
    <t>ORD26000329</t>
  </si>
  <si>
    <t>CUST77538</t>
  </si>
  <si>
    <t>ORD26000330</t>
  </si>
  <si>
    <t>CUST52415</t>
  </si>
  <si>
    <t>3,348.00</t>
  </si>
  <si>
    <t>ORD26000331</t>
  </si>
  <si>
    <t>CUST53204</t>
  </si>
  <si>
    <t>1,299.00</t>
  </si>
  <si>
    <t>ORD26000332</t>
  </si>
  <si>
    <t>CUST18142</t>
  </si>
  <si>
    <t>3597.0</t>
  </si>
  <si>
    <t>ORD26000333</t>
  </si>
  <si>
    <t>CUST50760</t>
  </si>
  <si>
    <t>ORD26000334</t>
  </si>
  <si>
    <t>CUST27507</t>
  </si>
  <si>
    <t>ORD26000335</t>
  </si>
  <si>
    <t>CUST71712</t>
  </si>
  <si>
    <t>ORD26000336</t>
  </si>
  <si>
    <t>CUST20730</t>
  </si>
  <si>
    <t>13597.0</t>
  </si>
  <si>
    <t>ORD26000337</t>
  </si>
  <si>
    <t>CUST18094</t>
  </si>
  <si>
    <t>ORD26000338</t>
  </si>
  <si>
    <t>CUST78202</t>
  </si>
  <si>
    <t>ORD26000339</t>
  </si>
  <si>
    <t>CUST68390</t>
  </si>
  <si>
    <t>6597.0</t>
  </si>
  <si>
    <t>ORD26000340</t>
  </si>
  <si>
    <t>CUST83242</t>
  </si>
  <si>
    <t>ORD26000341</t>
  </si>
  <si>
    <t>CUST10395</t>
  </si>
  <si>
    <t>ORD26000342</t>
  </si>
  <si>
    <t>CUST80931</t>
  </si>
  <si>
    <t>ORD26000343</t>
  </si>
  <si>
    <t>CUST27750</t>
  </si>
  <si>
    <t>ORD26000344</t>
  </si>
  <si>
    <t>CUST20518</t>
  </si>
  <si>
    <t>ORD26000345</t>
  </si>
  <si>
    <t>CUST79316</t>
  </si>
  <si>
    <t>9347.0</t>
  </si>
  <si>
    <t>ORD26000346</t>
  </si>
  <si>
    <t>CUST49107</t>
  </si>
  <si>
    <t>ORD26000347</t>
  </si>
  <si>
    <t>CUST70375</t>
  </si>
  <si>
    <t>4897.0</t>
  </si>
  <si>
    <t>ORD26000348</t>
  </si>
  <si>
    <t>CUST24790</t>
  </si>
  <si>
    <t>ORD26000349</t>
  </si>
  <si>
    <t>CUST41544</t>
  </si>
  <si>
    <t>ORD26000350</t>
  </si>
  <si>
    <t>CUST16380</t>
  </si>
  <si>
    <t>ORD26000351</t>
  </si>
  <si>
    <t>CUST17398</t>
  </si>
  <si>
    <t>ORD26000352</t>
  </si>
  <si>
    <t>CUST51799</t>
  </si>
  <si>
    <t>ORD26000353</t>
  </si>
  <si>
    <t>CUST96535</t>
  </si>
  <si>
    <t>9597.0</t>
  </si>
  <si>
    <t>ORD26000354</t>
  </si>
  <si>
    <t>CUST32955</t>
  </si>
  <si>
    <t>ORD26000355</t>
  </si>
  <si>
    <t>CUST78742</t>
  </si>
  <si>
    <t>ORD26000356</t>
  </si>
  <si>
    <t>CUST80507</t>
  </si>
  <si>
    <t>ORD26000357</t>
  </si>
  <si>
    <t>CUST70689</t>
  </si>
  <si>
    <t>ORD26000358</t>
  </si>
  <si>
    <t>CUST43422</t>
  </si>
  <si>
    <t>ORD26000359</t>
  </si>
  <si>
    <t>CUST34966</t>
  </si>
  <si>
    <t>9847.0</t>
  </si>
  <si>
    <t>ORD26000360</t>
  </si>
  <si>
    <t>CUST34662</t>
  </si>
  <si>
    <t>ORD26000361</t>
  </si>
  <si>
    <t>CUST49739</t>
  </si>
  <si>
    <t>3897.0</t>
  </si>
  <si>
    <t>ORD26000362</t>
  </si>
  <si>
    <t>CUST72773</t>
  </si>
  <si>
    <t>ORD26000363</t>
  </si>
  <si>
    <t>CUST52154</t>
  </si>
  <si>
    <t>4098.0</t>
  </si>
  <si>
    <t>ORD26000364</t>
  </si>
  <si>
    <t>CUST77215</t>
  </si>
  <si>
    <t>ORD26000365</t>
  </si>
  <si>
    <t>CUST51973</t>
  </si>
  <si>
    <t>ORD26000366</t>
  </si>
  <si>
    <t>CUST29126</t>
  </si>
  <si>
    <t>ORD26000367</t>
  </si>
  <si>
    <t>CUST35715</t>
  </si>
  <si>
    <t>ORD26000368</t>
  </si>
  <si>
    <t>CUST99764</t>
  </si>
  <si>
    <t>ORD26000369</t>
  </si>
  <si>
    <t>CUST56160</t>
  </si>
  <si>
    <t>ORD26000370</t>
  </si>
  <si>
    <t>CUST94123</t>
  </si>
  <si>
    <t>3797.0</t>
  </si>
  <si>
    <t>ORD26000371</t>
  </si>
  <si>
    <t>CUST97584</t>
  </si>
  <si>
    <t>ORD26000372</t>
  </si>
  <si>
    <t>CUST18908</t>
  </si>
  <si>
    <t>ORD26000373</t>
  </si>
  <si>
    <t>CUST93588</t>
  </si>
  <si>
    <t>ORD26000374</t>
  </si>
  <si>
    <t>CUST63914</t>
  </si>
  <si>
    <t>ORD26000375</t>
  </si>
  <si>
    <t>CUST75826</t>
  </si>
  <si>
    <t>ORD26000376</t>
  </si>
  <si>
    <t>CUST41584</t>
  </si>
  <si>
    <t>ORD26000377</t>
  </si>
  <si>
    <t>CUST20357</t>
  </si>
  <si>
    <t>ORD26000378</t>
  </si>
  <si>
    <t>CUST99658</t>
  </si>
  <si>
    <t>ORD26000379</t>
  </si>
  <si>
    <t>CUST72390</t>
  </si>
  <si>
    <t>5647.0</t>
  </si>
  <si>
    <t>ORD26000380</t>
  </si>
  <si>
    <t>CUST66873</t>
  </si>
  <si>
    <t>ORD26000381</t>
  </si>
  <si>
    <t>CUST84289</t>
  </si>
  <si>
    <t>ORD26000382</t>
  </si>
  <si>
    <t>CUST81176</t>
  </si>
  <si>
    <t>ORD26000383</t>
  </si>
  <si>
    <t>CUST37152</t>
  </si>
  <si>
    <t>ORD26000384</t>
  </si>
  <si>
    <t>CUST84277</t>
  </si>
  <si>
    <t>9647.0</t>
  </si>
  <si>
    <t>ORD26000385</t>
  </si>
  <si>
    <t>CUST20279</t>
  </si>
  <si>
    <t>ORD26000386</t>
  </si>
  <si>
    <t>CUST19963</t>
  </si>
  <si>
    <t>ORD26000387</t>
  </si>
  <si>
    <t>CUST93115</t>
  </si>
  <si>
    <t>ORD26000388</t>
  </si>
  <si>
    <t>CUST66603</t>
  </si>
  <si>
    <t>ORD26000389</t>
  </si>
  <si>
    <t>CUST42302</t>
  </si>
  <si>
    <t>ORD26000390</t>
  </si>
  <si>
    <t>CUST30221</t>
  </si>
  <si>
    <t>ORD26000391</t>
  </si>
  <si>
    <t>CUST68292</t>
  </si>
  <si>
    <t>ORD26000392</t>
  </si>
  <si>
    <t>CUST68830</t>
  </si>
  <si>
    <t>ORD26000393</t>
  </si>
  <si>
    <t>CUST22198</t>
  </si>
  <si>
    <t>ORD26000394</t>
  </si>
  <si>
    <t>CUST60829</t>
  </si>
  <si>
    <t>ORD26000395</t>
  </si>
  <si>
    <t>CUST32216</t>
  </si>
  <si>
    <t>ORD26000396</t>
  </si>
  <si>
    <t>CUST66973</t>
  </si>
  <si>
    <t>ORD26000397</t>
  </si>
  <si>
    <t>CUST42321</t>
  </si>
  <si>
    <t>ORD26000398</t>
  </si>
  <si>
    <t>CUST61864</t>
  </si>
  <si>
    <t>ORD26000399</t>
  </si>
  <si>
    <t>CUST66441</t>
  </si>
  <si>
    <t>ORD26000400</t>
  </si>
  <si>
    <t>CUST72784</t>
  </si>
  <si>
    <t>ORD26000401</t>
  </si>
  <si>
    <t>CUST85481</t>
  </si>
  <si>
    <t>1,798.00</t>
  </si>
  <si>
    <t>ORD26000402</t>
  </si>
  <si>
    <t>CUST83905</t>
  </si>
  <si>
    <t>ORD26000403</t>
  </si>
  <si>
    <t>CUST70505</t>
  </si>
  <si>
    <t>3498.0</t>
  </si>
  <si>
    <t>ORD26000404</t>
  </si>
  <si>
    <t>CUST63627</t>
  </si>
  <si>
    <t>ORD26000405</t>
  </si>
  <si>
    <t>CUST59412</t>
  </si>
  <si>
    <t>ORD26000406</t>
  </si>
  <si>
    <t>CUST64827</t>
  </si>
  <si>
    <t>ORD26000407</t>
  </si>
  <si>
    <t>CUST93647</t>
  </si>
  <si>
    <t>ORD26000408</t>
  </si>
  <si>
    <t>CUST90304</t>
  </si>
  <si>
    <t>ORD26000409</t>
  </si>
  <si>
    <t>CUST66420</t>
  </si>
  <si>
    <t>7297.0</t>
  </si>
  <si>
    <t>ORD26000410</t>
  </si>
  <si>
    <t>CUST83137</t>
  </si>
  <si>
    <t>ORD26000411</t>
  </si>
  <si>
    <t>CUST99070</t>
  </si>
  <si>
    <t>2,098.00</t>
  </si>
  <si>
    <t>ORD26000412</t>
  </si>
  <si>
    <t>CUST48722</t>
  </si>
  <si>
    <t>ORD26000413</t>
  </si>
  <si>
    <t>CUST55656</t>
  </si>
  <si>
    <t>ORD26000414</t>
  </si>
  <si>
    <t>CUST22795</t>
  </si>
  <si>
    <t>ORD26000415</t>
  </si>
  <si>
    <t>CUST25084</t>
  </si>
  <si>
    <t>2847.0</t>
  </si>
  <si>
    <t>ORD26000416</t>
  </si>
  <si>
    <t>CUST41970</t>
  </si>
  <si>
    <t>ORD26000417</t>
  </si>
  <si>
    <t>CUST40389</t>
  </si>
  <si>
    <t>ORD26000418</t>
  </si>
  <si>
    <t>CUST13826</t>
  </si>
  <si>
    <t>ORD26000419</t>
  </si>
  <si>
    <t>CUST38153</t>
  </si>
  <si>
    <t>ORD26000420</t>
  </si>
  <si>
    <t>CUST80371</t>
  </si>
  <si>
    <t>10347.0</t>
  </si>
  <si>
    <t>ORD26000421</t>
  </si>
  <si>
    <t>CUST74157</t>
  </si>
  <si>
    <t>ORD26000422</t>
  </si>
  <si>
    <t>CUST24972</t>
  </si>
  <si>
    <t>ORD26000423</t>
  </si>
  <si>
    <t>CUST48986</t>
  </si>
  <si>
    <t>2,998.00</t>
  </si>
  <si>
    <t>ORD26000424</t>
  </si>
  <si>
    <t>CUST50026</t>
  </si>
  <si>
    <t>ORD26000425</t>
  </si>
  <si>
    <t>CUST88174</t>
  </si>
  <si>
    <t>ORD26000426</t>
  </si>
  <si>
    <t>CUST94575</t>
  </si>
  <si>
    <t>ORD26000427</t>
  </si>
  <si>
    <t>CUST69113</t>
  </si>
  <si>
    <t>ORD26000428</t>
  </si>
  <si>
    <t>CUST60324</t>
  </si>
  <si>
    <t>ORD26000429</t>
  </si>
  <si>
    <t>CUST68176</t>
  </si>
  <si>
    <t>ORD26000430</t>
  </si>
  <si>
    <t>CUST48284</t>
  </si>
  <si>
    <t>ORD26000431</t>
  </si>
  <si>
    <t>CUST84140</t>
  </si>
  <si>
    <t>ORD26000432</t>
  </si>
  <si>
    <t>CUST58085</t>
  </si>
  <si>
    <t>ORD26000433</t>
  </si>
  <si>
    <t>CUST65725</t>
  </si>
  <si>
    <t>ORD26000434</t>
  </si>
  <si>
    <t>CUST44447</t>
  </si>
  <si>
    <t>ORD26000435</t>
  </si>
  <si>
    <t>CUST41056</t>
  </si>
  <si>
    <t>ORD26000436</t>
  </si>
  <si>
    <t>CUST66120</t>
  </si>
  <si>
    <t>6997.0</t>
  </si>
  <si>
    <t>ORD26000437</t>
  </si>
  <si>
    <t>CUST17780</t>
  </si>
  <si>
    <t>ORD26000438</t>
  </si>
  <si>
    <t>CUST48356</t>
  </si>
  <si>
    <t>ORD26000439</t>
  </si>
  <si>
    <t>CUST22481</t>
  </si>
  <si>
    <t>ORD26000440</t>
  </si>
  <si>
    <t>CUST27392</t>
  </si>
  <si>
    <t>ORD26000441</t>
  </si>
  <si>
    <t>CUST74154</t>
  </si>
  <si>
    <t>ORD26000442</t>
  </si>
  <si>
    <t>CUST22202</t>
  </si>
  <si>
    <t>ORD26000443</t>
  </si>
  <si>
    <t>CUST86278</t>
  </si>
  <si>
    <t>ORD26000444</t>
  </si>
  <si>
    <t>CUST18300</t>
  </si>
  <si>
    <t>5347.0</t>
  </si>
  <si>
    <t>ORD26000445</t>
  </si>
  <si>
    <t>CUST52318</t>
  </si>
  <si>
    <t>ORD26000446</t>
  </si>
  <si>
    <t>CUST55054</t>
  </si>
  <si>
    <t>ORD26000447</t>
  </si>
  <si>
    <t>CUST26284</t>
  </si>
  <si>
    <t>ORD26000448</t>
  </si>
  <si>
    <t>CUST27290</t>
  </si>
  <si>
    <t>ORD26000449</t>
  </si>
  <si>
    <t>CUST58738</t>
  </si>
  <si>
    <t>ORD26000450</t>
  </si>
  <si>
    <t>CUST66260</t>
  </si>
  <si>
    <t>ORD26000451</t>
  </si>
  <si>
    <t>CUST87814</t>
  </si>
  <si>
    <t>ORD26000452</t>
  </si>
  <si>
    <t>CUST65353</t>
  </si>
  <si>
    <t>2097.0</t>
  </si>
  <si>
    <t>ORD26000453</t>
  </si>
  <si>
    <t>CUST23425</t>
  </si>
  <si>
    <t>ORD26000454</t>
  </si>
  <si>
    <t>CUST27451</t>
  </si>
  <si>
    <t>ORD26000455</t>
  </si>
  <si>
    <t>CUST56030</t>
  </si>
  <si>
    <t>ORD26000456</t>
  </si>
  <si>
    <t>CUST21362</t>
  </si>
  <si>
    <t>4297.0</t>
  </si>
  <si>
    <t>ORD26000457</t>
  </si>
  <si>
    <t>CUST66280</t>
  </si>
  <si>
    <t>ORD26000458</t>
  </si>
  <si>
    <t>CUST82534</t>
  </si>
  <si>
    <t>ORD26000459</t>
  </si>
  <si>
    <t>CUST96298</t>
  </si>
  <si>
    <t>8297.0</t>
  </si>
  <si>
    <t>ORD26000460</t>
  </si>
  <si>
    <t>CUST94694</t>
  </si>
  <si>
    <t>ORD26000461</t>
  </si>
  <si>
    <t>CUST93634</t>
  </si>
  <si>
    <t>ORD26000462</t>
  </si>
  <si>
    <t>CUST84498</t>
  </si>
  <si>
    <t>ORD26000463</t>
  </si>
  <si>
    <t>CUST19567</t>
  </si>
  <si>
    <t>ORD26000464</t>
  </si>
  <si>
    <t>CUST17925</t>
  </si>
  <si>
    <t>ORD26000465</t>
  </si>
  <si>
    <t>CUST65518</t>
  </si>
  <si>
    <t>ORD26000466</t>
  </si>
  <si>
    <t>6097.0</t>
  </si>
  <si>
    <t>ORD26000467</t>
  </si>
  <si>
    <t>CUST86865</t>
  </si>
  <si>
    <t>ORD26000468</t>
  </si>
  <si>
    <t>CUST66948</t>
  </si>
  <si>
    <t>12797.0</t>
  </si>
  <si>
    <t>ORD26000469</t>
  </si>
  <si>
    <t>CUST33022</t>
  </si>
  <si>
    <t>ORD26000470</t>
  </si>
  <si>
    <t>CUST78551</t>
  </si>
  <si>
    <t>ORD26000471</t>
  </si>
  <si>
    <t>CUST45227</t>
  </si>
  <si>
    <t>2297.0</t>
  </si>
  <si>
    <t>ORD26000472</t>
  </si>
  <si>
    <t>CUST18371</t>
  </si>
  <si>
    <t>ORD26000473</t>
  </si>
  <si>
    <t>CUST17266</t>
  </si>
  <si>
    <t>ORD26000474</t>
  </si>
  <si>
    <t>CUST85223</t>
  </si>
  <si>
    <t>ORD26000475</t>
  </si>
  <si>
    <t>CUST16026</t>
  </si>
  <si>
    <t>ORD26000476</t>
  </si>
  <si>
    <t>CUST82465</t>
  </si>
  <si>
    <t>998.0</t>
  </si>
  <si>
    <t>ORD26000477</t>
  </si>
  <si>
    <t>CUST45554</t>
  </si>
  <si>
    <t>ORD26000478</t>
  </si>
  <si>
    <t>CUST33507</t>
  </si>
  <si>
    <t>ORD26000479</t>
  </si>
  <si>
    <t>CUST47002</t>
  </si>
  <si>
    <t>ORD26000480</t>
  </si>
  <si>
    <t>CUST48219</t>
  </si>
  <si>
    <t>ORD26000481</t>
  </si>
  <si>
    <t>CUST87554</t>
  </si>
  <si>
    <t>ORD26000482</t>
  </si>
  <si>
    <t>CUST42129</t>
  </si>
  <si>
    <t>ORD26000483</t>
  </si>
  <si>
    <t>CUST11257</t>
  </si>
  <si>
    <t>898.0</t>
  </si>
  <si>
    <t>ORD26000484</t>
  </si>
  <si>
    <t>CUST79443</t>
  </si>
  <si>
    <t>ORD26000485</t>
  </si>
  <si>
    <t>CUST40339</t>
  </si>
  <si>
    <t>798.0</t>
  </si>
  <si>
    <t>ORD26000486</t>
  </si>
  <si>
    <t>CUST27499</t>
  </si>
  <si>
    <t>5997.0</t>
  </si>
  <si>
    <t>ORD26000487</t>
  </si>
  <si>
    <t>CUST41034</t>
  </si>
  <si>
    <t>ORD26000488</t>
  </si>
  <si>
    <t>CUST52762</t>
  </si>
  <si>
    <t>ORD26000489</t>
  </si>
  <si>
    <t>CUST86638</t>
  </si>
  <si>
    <t>ORD26000490</t>
  </si>
  <si>
    <t>CUST25825</t>
  </si>
  <si>
    <t>ORD26000491</t>
  </si>
  <si>
    <t>CUST25717</t>
  </si>
  <si>
    <t>ORD26000492</t>
  </si>
  <si>
    <t>CUST52964</t>
  </si>
  <si>
    <t>12,297.00</t>
  </si>
  <si>
    <t>ORD26000493</t>
  </si>
  <si>
    <t>CUST44100</t>
  </si>
  <si>
    <t>2897.0</t>
  </si>
  <si>
    <t>ORD26000494</t>
  </si>
  <si>
    <t>CUST22415</t>
  </si>
  <si>
    <t>ORD26000495</t>
  </si>
  <si>
    <t>CUST39135</t>
  </si>
  <si>
    <t>ORD26000496</t>
  </si>
  <si>
    <t>CUST86326</t>
  </si>
  <si>
    <t>ORD26000497</t>
  </si>
  <si>
    <t>CUST94670</t>
  </si>
  <si>
    <t>ORD26000498</t>
  </si>
  <si>
    <t>CUST53456</t>
  </si>
  <si>
    <t>ORD26000499</t>
  </si>
  <si>
    <t>CUST61773</t>
  </si>
  <si>
    <t>ORD26000500</t>
  </si>
  <si>
    <t>CUST34530</t>
  </si>
  <si>
    <t>ORD26000501</t>
  </si>
  <si>
    <t>CUST94840</t>
  </si>
  <si>
    <t>ORD26000502</t>
  </si>
  <si>
    <t>CUST27987</t>
  </si>
  <si>
    <t>ORD26000503</t>
  </si>
  <si>
    <t>CUST12559</t>
  </si>
  <si>
    <t>7397.0</t>
  </si>
  <si>
    <t>ORD26000504</t>
  </si>
  <si>
    <t>CUST84141</t>
  </si>
  <si>
    <t>ORD26000505</t>
  </si>
  <si>
    <t>CUST13840</t>
  </si>
  <si>
    <t>ORD26000506</t>
  </si>
  <si>
    <t>CUST30922</t>
  </si>
  <si>
    <t>ORD26000507</t>
  </si>
  <si>
    <t>CUST17328</t>
  </si>
  <si>
    <t>3197.0</t>
  </si>
  <si>
    <t>ORD26000508</t>
  </si>
  <si>
    <t>CUST41005</t>
  </si>
  <si>
    <t>ORD26000509</t>
  </si>
  <si>
    <t>CUST84403</t>
  </si>
  <si>
    <t>ORD26000510</t>
  </si>
  <si>
    <t>CUST74517</t>
  </si>
  <si>
    <t>8598.0</t>
  </si>
  <si>
    <t>ORD26000511</t>
  </si>
  <si>
    <t>CUST88861</t>
  </si>
  <si>
    <t>ORD26000512</t>
  </si>
  <si>
    <t>CUST27103</t>
  </si>
  <si>
    <t>ORD26000513</t>
  </si>
  <si>
    <t>CUST12872</t>
  </si>
  <si>
    <t>ORD26000514</t>
  </si>
  <si>
    <t>CUST19506</t>
  </si>
  <si>
    <t>5847.0</t>
  </si>
  <si>
    <t>ORD26000515</t>
  </si>
  <si>
    <t>CUST30644</t>
  </si>
  <si>
    <t>4147.0</t>
  </si>
  <si>
    <t>ORD26000516</t>
  </si>
  <si>
    <t>CUST90440</t>
  </si>
  <si>
    <t>ORD26000517</t>
  </si>
  <si>
    <t>CUST48602</t>
  </si>
  <si>
    <t>10997.0</t>
  </si>
  <si>
    <t>ORD26000518</t>
  </si>
  <si>
    <t>CUST84381</t>
  </si>
  <si>
    <t>6297.0</t>
  </si>
  <si>
    <t>ORD26000519</t>
  </si>
  <si>
    <t>CUST84127</t>
  </si>
  <si>
    <t>ORD26000520</t>
  </si>
  <si>
    <t>CUST51879</t>
  </si>
  <si>
    <t>ORD26000521</t>
  </si>
  <si>
    <t>CUST54007</t>
  </si>
  <si>
    <t>ORD26000522</t>
  </si>
  <si>
    <t>CUST43640</t>
  </si>
  <si>
    <t>ORD26000523</t>
  </si>
  <si>
    <t>CUST31802</t>
  </si>
  <si>
    <t>ORD26000524</t>
  </si>
  <si>
    <t>CUST85766</t>
  </si>
  <si>
    <t>ORD26000525</t>
  </si>
  <si>
    <t>CUST51774</t>
  </si>
  <si>
    <t>5348.0</t>
  </si>
  <si>
    <t>ORD26000526</t>
  </si>
  <si>
    <t>CUST19830</t>
  </si>
  <si>
    <t>ORD26000527</t>
  </si>
  <si>
    <t>CUST73273</t>
  </si>
  <si>
    <t>ORD26000528</t>
  </si>
  <si>
    <t>CUST36941</t>
  </si>
  <si>
    <t>ORD26000529</t>
  </si>
  <si>
    <t>CUST48980</t>
  </si>
  <si>
    <t>ORD26000530</t>
  </si>
  <si>
    <t>CUST30131</t>
  </si>
  <si>
    <t>ORD26000531</t>
  </si>
  <si>
    <t>CUST91931</t>
  </si>
  <si>
    <t>ORD26000532</t>
  </si>
  <si>
    <t>CUST48248</t>
  </si>
  <si>
    <t>ORD26000533</t>
  </si>
  <si>
    <t>CUST96643</t>
  </si>
  <si>
    <t>ORD26000534</t>
  </si>
  <si>
    <t>CUST34455</t>
  </si>
  <si>
    <t>ORD26000535</t>
  </si>
  <si>
    <t>CUST45200</t>
  </si>
  <si>
    <t>ORD26000536</t>
  </si>
  <si>
    <t>CUST97574</t>
  </si>
  <si>
    <t>ORD26000537</t>
  </si>
  <si>
    <t>CUST60738</t>
  </si>
  <si>
    <t>ORD26000538</t>
  </si>
  <si>
    <t>CUST40886</t>
  </si>
  <si>
    <t>10,998.00</t>
  </si>
  <si>
    <t>ORD26000539</t>
  </si>
  <si>
    <t>CUST75811</t>
  </si>
  <si>
    <t>ORD26000540</t>
  </si>
  <si>
    <t>CUST25765</t>
  </si>
  <si>
    <t>7498.0</t>
  </si>
  <si>
    <t>ORD26000541</t>
  </si>
  <si>
    <t>CUST65492</t>
  </si>
  <si>
    <t>ORD26000542</t>
  </si>
  <si>
    <t>CUST43801</t>
  </si>
  <si>
    <t>ORD26000543</t>
  </si>
  <si>
    <t>CUST52746</t>
  </si>
  <si>
    <t>5697.0</t>
  </si>
  <si>
    <t>ORD26000544</t>
  </si>
  <si>
    <t>CUST78493</t>
  </si>
  <si>
    <t>8298.0</t>
  </si>
  <si>
    <t>ORD26000545</t>
  </si>
  <si>
    <t>CUST23133</t>
  </si>
  <si>
    <t>ORD26000546</t>
  </si>
  <si>
    <t>CUST55071</t>
  </si>
  <si>
    <t>ORD26000547</t>
  </si>
  <si>
    <t>CUST32570</t>
  </si>
  <si>
    <t>ORD26000548</t>
  </si>
  <si>
    <t>CUST15083</t>
  </si>
  <si>
    <t>ORD26000549</t>
  </si>
  <si>
    <t>CUST45203</t>
  </si>
  <si>
    <t>ORD26000550</t>
  </si>
  <si>
    <t>CUST74437</t>
  </si>
  <si>
    <t>ORD26000551</t>
  </si>
  <si>
    <t>CUST52056</t>
  </si>
  <si>
    <t>499.00</t>
  </si>
  <si>
    <t>ORD26000552</t>
  </si>
  <si>
    <t>CUST63368</t>
  </si>
  <si>
    <t>ORD26000553</t>
  </si>
  <si>
    <t>CUST30836</t>
  </si>
  <si>
    <t>ORD26000554</t>
  </si>
  <si>
    <t>CUST84537</t>
  </si>
  <si>
    <t>ORD26000555</t>
  </si>
  <si>
    <t>CUST14334</t>
  </si>
  <si>
    <t>ORD26000556</t>
  </si>
  <si>
    <t>CUST70846</t>
  </si>
  <si>
    <t>ORD26000557</t>
  </si>
  <si>
    <t>CUST68471</t>
  </si>
  <si>
    <t>3647.0</t>
  </si>
  <si>
    <t>ORD26000558</t>
  </si>
  <si>
    <t>CUST43903</t>
  </si>
  <si>
    <t>ORD26000559</t>
  </si>
  <si>
    <t>CUST38091</t>
  </si>
  <si>
    <t>ORD26000560</t>
  </si>
  <si>
    <t>CUST77276</t>
  </si>
  <si>
    <t>ORD26000561</t>
  </si>
  <si>
    <t>CUST11109</t>
  </si>
  <si>
    <t>ORD26000562</t>
  </si>
  <si>
    <t>CUST46094</t>
  </si>
  <si>
    <t>ORD26000563</t>
  </si>
  <si>
    <t>CUST49602</t>
  </si>
  <si>
    <t>ORD26000564</t>
  </si>
  <si>
    <t>CUST96816</t>
  </si>
  <si>
    <t>ORD26000565</t>
  </si>
  <si>
    <t>CUST18367</t>
  </si>
  <si>
    <t>ORD26000566</t>
  </si>
  <si>
    <t>CUST95389</t>
  </si>
  <si>
    <t>9797.0</t>
  </si>
  <si>
    <t>ORD26000567</t>
  </si>
  <si>
    <t>CUST88647</t>
  </si>
  <si>
    <t>ORD26000568</t>
  </si>
  <si>
    <t>CUST75191</t>
  </si>
  <si>
    <t>ORD26000569</t>
  </si>
  <si>
    <t>CUST84978</t>
  </si>
  <si>
    <t>ORD26000570</t>
  </si>
  <si>
    <t>CUST98063</t>
  </si>
  <si>
    <t>ORD26000571</t>
  </si>
  <si>
    <t>CUST83170</t>
  </si>
  <si>
    <t>ORD26000572</t>
  </si>
  <si>
    <t>CUST83273</t>
  </si>
  <si>
    <t>ORD26000573</t>
  </si>
  <si>
    <t>CUST50250</t>
  </si>
  <si>
    <t>ORD26000574</t>
  </si>
  <si>
    <t>CUST25437</t>
  </si>
  <si>
    <t>ORD26000575</t>
  </si>
  <si>
    <t>CUST75598</t>
  </si>
  <si>
    <t>7497.0</t>
  </si>
  <si>
    <t>ORD26000576</t>
  </si>
  <si>
    <t>CUST29762</t>
  </si>
  <si>
    <t>ORD26000577</t>
  </si>
  <si>
    <t>CUST69974</t>
  </si>
  <si>
    <t>ORD26000578</t>
  </si>
  <si>
    <t>CUST33176</t>
  </si>
  <si>
    <t>ORD26000579</t>
  </si>
  <si>
    <t>CUST32099</t>
  </si>
  <si>
    <t>ORD26000580</t>
  </si>
  <si>
    <t>CUST26961</t>
  </si>
  <si>
    <t>ORD26000581</t>
  </si>
  <si>
    <t>CUST14944</t>
  </si>
  <si>
    <t>ORD26000582</t>
  </si>
  <si>
    <t>CUST12348</t>
  </si>
  <si>
    <t>ORD26000583</t>
  </si>
  <si>
    <t>CUST23462</t>
  </si>
  <si>
    <t>4697.0</t>
  </si>
  <si>
    <t>ORD26000584</t>
  </si>
  <si>
    <t>CUST48119</t>
  </si>
  <si>
    <t>ORD26000585</t>
  </si>
  <si>
    <t>CUST27536</t>
  </si>
  <si>
    <t>ORD26000586</t>
  </si>
  <si>
    <t>CUST62873</t>
  </si>
  <si>
    <t>ORD26000587</t>
  </si>
  <si>
    <t>3,499.00</t>
  </si>
  <si>
    <t>ORD26000588</t>
  </si>
  <si>
    <t>CUST14897</t>
  </si>
  <si>
    <t>ORD26000589</t>
  </si>
  <si>
    <t>CUST16286</t>
  </si>
  <si>
    <t>7597.0</t>
  </si>
  <si>
    <t>ORD26000590</t>
  </si>
  <si>
    <t>CUST59840</t>
  </si>
  <si>
    <t>ORD26000591</t>
  </si>
  <si>
    <t>CUST99881</t>
  </si>
  <si>
    <t>ORD26000592</t>
  </si>
  <si>
    <t>CUST89381</t>
  </si>
  <si>
    <t>ORD26000593</t>
  </si>
  <si>
    <t>CUST24943</t>
  </si>
  <si>
    <t>ORD26000594</t>
  </si>
  <si>
    <t>CUST78569</t>
  </si>
  <si>
    <t>ORD26000595</t>
  </si>
  <si>
    <t>CUST37222</t>
  </si>
  <si>
    <t>2597.0</t>
  </si>
  <si>
    <t>ORD26000596</t>
  </si>
  <si>
    <t>CUST24474</t>
  </si>
  <si>
    <t>ORD26000597</t>
  </si>
  <si>
    <t>CUST23276</t>
  </si>
  <si>
    <t>848.00</t>
  </si>
  <si>
    <t>ORD26000598</t>
  </si>
  <si>
    <t>CUST70853</t>
  </si>
  <si>
    <t>ORD26000599</t>
  </si>
  <si>
    <t>CUST98705</t>
  </si>
  <si>
    <t>ORD26000600</t>
  </si>
  <si>
    <t>CUST28139</t>
  </si>
  <si>
    <t>8697.0</t>
  </si>
  <si>
    <t>ORD26000601</t>
  </si>
  <si>
    <t>CUST22183</t>
  </si>
  <si>
    <t>ORD26000602</t>
  </si>
  <si>
    <t>CUST69839</t>
  </si>
  <si>
    <t>ORD26000603</t>
  </si>
  <si>
    <t>CUST31860</t>
  </si>
  <si>
    <t>ORD26000604</t>
  </si>
  <si>
    <t>CUST87430</t>
  </si>
  <si>
    <t>11797.0</t>
  </si>
  <si>
    <t>ORD26000605</t>
  </si>
  <si>
    <t>CUST57002</t>
  </si>
  <si>
    <t>ORD26000606</t>
  </si>
  <si>
    <t>CUST63907</t>
  </si>
  <si>
    <t>ORD26000607</t>
  </si>
  <si>
    <t>CUST98857</t>
  </si>
  <si>
    <t>ORD26000608</t>
  </si>
  <si>
    <t>CUST54341</t>
  </si>
  <si>
    <t>8497.0</t>
  </si>
  <si>
    <t>ORD26000609</t>
  </si>
  <si>
    <t>CUST73167</t>
  </si>
  <si>
    <t>6347.0</t>
  </si>
  <si>
    <t>ORD26000610</t>
  </si>
  <si>
    <t>CUST90335</t>
  </si>
  <si>
    <t>ORD26000611</t>
  </si>
  <si>
    <t>CUST31679</t>
  </si>
  <si>
    <t>ORD26000612</t>
  </si>
  <si>
    <t>CUST76444</t>
  </si>
  <si>
    <t>ORD26000613</t>
  </si>
  <si>
    <t>CUST85108</t>
  </si>
  <si>
    <t>ORD26000614</t>
  </si>
  <si>
    <t>CUST95638</t>
  </si>
  <si>
    <t>ORD26000615</t>
  </si>
  <si>
    <t>CUST21913</t>
  </si>
  <si>
    <t>ORD26000616</t>
  </si>
  <si>
    <t>CUST54676</t>
  </si>
  <si>
    <t>4397.0</t>
  </si>
  <si>
    <t>ORD26000617</t>
  </si>
  <si>
    <t>CUST83420</t>
  </si>
  <si>
    <t>ORD26000618</t>
  </si>
  <si>
    <t>CUST22771</t>
  </si>
  <si>
    <t>ORD26000619</t>
  </si>
  <si>
    <t>CUST48270</t>
  </si>
  <si>
    <t>ORD26000620</t>
  </si>
  <si>
    <t>CUST74542</t>
  </si>
  <si>
    <t>ORD26000621</t>
  </si>
  <si>
    <t>CUST34581</t>
  </si>
  <si>
    <t>ORD26000622</t>
  </si>
  <si>
    <t>CUST54293</t>
  </si>
  <si>
    <t>ORD26000623</t>
  </si>
  <si>
    <t>CUST69048</t>
  </si>
  <si>
    <t>ORD26000624</t>
  </si>
  <si>
    <t>CUST16366</t>
  </si>
  <si>
    <t>ORD26000625</t>
  </si>
  <si>
    <t>CUST33226</t>
  </si>
  <si>
    <t>ORD26000626</t>
  </si>
  <si>
    <t>CUST52184</t>
  </si>
  <si>
    <t>ORD26000627</t>
  </si>
  <si>
    <t>CUST45860</t>
  </si>
  <si>
    <t>ORD26000628</t>
  </si>
  <si>
    <t>CUST88974</t>
  </si>
  <si>
    <t>ORD26000629</t>
  </si>
  <si>
    <t>CUST92913</t>
  </si>
  <si>
    <t>ORD26000630</t>
  </si>
  <si>
    <t>CUST98129</t>
  </si>
  <si>
    <t>ORD26000631</t>
  </si>
  <si>
    <t>CUST25126</t>
  </si>
  <si>
    <t>4097.0</t>
  </si>
  <si>
    <t>ORD26000632</t>
  </si>
  <si>
    <t>CUST98374</t>
  </si>
  <si>
    <t>ORD26000633</t>
  </si>
  <si>
    <t>CUST29048</t>
  </si>
  <si>
    <t>ORD26000634</t>
  </si>
  <si>
    <t>CUST47567</t>
  </si>
  <si>
    <t>ORD26000635</t>
  </si>
  <si>
    <t>CUST80932</t>
  </si>
  <si>
    <t>ORD26000636</t>
  </si>
  <si>
    <t>CUST39400</t>
  </si>
  <si>
    <t>ORD26000637</t>
  </si>
  <si>
    <t>CUST47701</t>
  </si>
  <si>
    <t>ORD26000638</t>
  </si>
  <si>
    <t>CUST50980</t>
  </si>
  <si>
    <t>ORD26000639</t>
  </si>
  <si>
    <t>CUST68073</t>
  </si>
  <si>
    <t>ORD26000640</t>
  </si>
  <si>
    <t>CUST89087</t>
  </si>
  <si>
    <t>9997.0</t>
  </si>
  <si>
    <t>ORD26000641</t>
  </si>
  <si>
    <t>CUST34507</t>
  </si>
  <si>
    <t>ORD26000642</t>
  </si>
  <si>
    <t>CUST44634</t>
  </si>
  <si>
    <t>ORD26000643</t>
  </si>
  <si>
    <t>CUST30290</t>
  </si>
  <si>
    <t>ORD26000644</t>
  </si>
  <si>
    <t>CUST90689</t>
  </si>
  <si>
    <t>ORD26000645</t>
  </si>
  <si>
    <t>CUST78864</t>
  </si>
  <si>
    <t>ORD26000646</t>
  </si>
  <si>
    <t>CUST80390</t>
  </si>
  <si>
    <t>ORD26000647</t>
  </si>
  <si>
    <t>CUST53393</t>
  </si>
  <si>
    <t>ORD26000648</t>
  </si>
  <si>
    <t>CUST83575</t>
  </si>
  <si>
    <t>ORD26000649</t>
  </si>
  <si>
    <t>CUST91412</t>
  </si>
  <si>
    <t>ORD26000650</t>
  </si>
  <si>
    <t>CUST80809</t>
  </si>
  <si>
    <t>ORD26000651</t>
  </si>
  <si>
    <t>CUST68400</t>
  </si>
  <si>
    <t>12998.0</t>
  </si>
  <si>
    <t>ORD26000652</t>
  </si>
  <si>
    <t>CUST22577</t>
  </si>
  <si>
    <t>ORD26000653</t>
  </si>
  <si>
    <t>CUST92511</t>
  </si>
  <si>
    <t>ORD26000654</t>
  </si>
  <si>
    <t>CUST67047</t>
  </si>
  <si>
    <t>ORD26000655</t>
  </si>
  <si>
    <t>CUST19600</t>
  </si>
  <si>
    <t>ORD26000656</t>
  </si>
  <si>
    <t>CUST43901</t>
  </si>
  <si>
    <t>ORD26000657</t>
  </si>
  <si>
    <t>CUST98250</t>
  </si>
  <si>
    <t>ORD26000658</t>
  </si>
  <si>
    <t>CUST86756</t>
  </si>
  <si>
    <t>ORD26000659</t>
  </si>
  <si>
    <t>CUST99899</t>
  </si>
  <si>
    <t>ORD26000660</t>
  </si>
  <si>
    <t>CUST61788</t>
  </si>
  <si>
    <t>ORD26000661</t>
  </si>
  <si>
    <t>CUST81529</t>
  </si>
  <si>
    <t>ORD26000662</t>
  </si>
  <si>
    <t>CUST94926</t>
  </si>
  <si>
    <t>ORD26000663</t>
  </si>
  <si>
    <t>CUST85067</t>
  </si>
  <si>
    <t>ORD26000664</t>
  </si>
  <si>
    <t>CUST55069</t>
  </si>
  <si>
    <t>2148.0</t>
  </si>
  <si>
    <t>ORD26000665</t>
  </si>
  <si>
    <t>CUST43127</t>
  </si>
  <si>
    <t>ORD26000666</t>
  </si>
  <si>
    <t>CUST81939</t>
  </si>
  <si>
    <t>ORD26000667</t>
  </si>
  <si>
    <t>CUST35875</t>
  </si>
  <si>
    <t>1148.0</t>
  </si>
  <si>
    <t>ORD26000668</t>
  </si>
  <si>
    <t>CUST23113</t>
  </si>
  <si>
    <t>ORD26000669</t>
  </si>
  <si>
    <t>CUST90785</t>
  </si>
  <si>
    <t>ORD26000670</t>
  </si>
  <si>
    <t>CUST66139</t>
  </si>
  <si>
    <t>ORD26000671</t>
  </si>
  <si>
    <t>CUST93995</t>
  </si>
  <si>
    <t>ORD26000672</t>
  </si>
  <si>
    <t>CUST72908</t>
  </si>
  <si>
    <t>ORD26000673</t>
  </si>
  <si>
    <t>CUST33038</t>
  </si>
  <si>
    <t>ORD26000674</t>
  </si>
  <si>
    <t>CUST35746</t>
  </si>
  <si>
    <t>ORD26000675</t>
  </si>
  <si>
    <t>CUST92788</t>
  </si>
  <si>
    <t>ORD26000676</t>
  </si>
  <si>
    <t>CUST14804</t>
  </si>
  <si>
    <t>ORD26000677</t>
  </si>
  <si>
    <t>CUST61445</t>
  </si>
  <si>
    <t>ORD26000678</t>
  </si>
  <si>
    <t>CUST76900</t>
  </si>
  <si>
    <t>11,498.00</t>
  </si>
  <si>
    <t>ORD26000679</t>
  </si>
  <si>
    <t>CUST90482</t>
  </si>
  <si>
    <t>ORD26000680</t>
  </si>
  <si>
    <t>CUST84162</t>
  </si>
  <si>
    <t>ORD26000681</t>
  </si>
  <si>
    <t>CUST18239</t>
  </si>
  <si>
    <t>2797.0</t>
  </si>
  <si>
    <t>ORD26000682</t>
  </si>
  <si>
    <t>CUST57349</t>
  </si>
  <si>
    <t>ORD26000683</t>
  </si>
  <si>
    <t>CUST78337</t>
  </si>
  <si>
    <t>598.0</t>
  </si>
  <si>
    <t>ORD26000684</t>
  </si>
  <si>
    <t>CUST59613</t>
  </si>
  <si>
    <t>ORD26000685</t>
  </si>
  <si>
    <t>CUST39215</t>
  </si>
  <si>
    <t>10147.0</t>
  </si>
  <si>
    <t>ORD26000686</t>
  </si>
  <si>
    <t>CUST73191</t>
  </si>
  <si>
    <t>ORD26000687</t>
  </si>
  <si>
    <t>CUST94341</t>
  </si>
  <si>
    <t>ORD26000688</t>
  </si>
  <si>
    <t>CUST25509</t>
  </si>
  <si>
    <t>ORD26000689</t>
  </si>
  <si>
    <t>CUST72786</t>
  </si>
  <si>
    <t>ORD26000690</t>
  </si>
  <si>
    <t>CUST15655</t>
  </si>
  <si>
    <t>ORD26000691</t>
  </si>
  <si>
    <t>CUST85008</t>
  </si>
  <si>
    <t>ORD26000692</t>
  </si>
  <si>
    <t>CUST63143</t>
  </si>
  <si>
    <t>ORD26000693</t>
  </si>
  <si>
    <t>CUST21239</t>
  </si>
  <si>
    <t>ORD26000694</t>
  </si>
  <si>
    <t>CUST63840</t>
  </si>
  <si>
    <t>ORD26000695</t>
  </si>
  <si>
    <t>CUST44671</t>
  </si>
  <si>
    <t>ORD26000696</t>
  </si>
  <si>
    <t>CUST60523</t>
  </si>
  <si>
    <t>4997.0</t>
  </si>
  <si>
    <t>ORD26000697</t>
  </si>
  <si>
    <t>CUST99701</t>
  </si>
  <si>
    <t>ORD26000698</t>
  </si>
  <si>
    <t>CUST90576</t>
  </si>
  <si>
    <t>ORD26000699</t>
  </si>
  <si>
    <t>CUST27082</t>
  </si>
  <si>
    <t>ORD26000700</t>
  </si>
  <si>
    <t>CUST65139</t>
  </si>
  <si>
    <t>ORD26000701</t>
  </si>
  <si>
    <t>CUST73192</t>
  </si>
  <si>
    <t>ORD26000702</t>
  </si>
  <si>
    <t>CUST85513</t>
  </si>
  <si>
    <t>ORD26000703</t>
  </si>
  <si>
    <t>CUST20986</t>
  </si>
  <si>
    <t>ORD26000704</t>
  </si>
  <si>
    <t>CUST10932</t>
  </si>
  <si>
    <t>ORD26000705</t>
  </si>
  <si>
    <t>CUST51405</t>
  </si>
  <si>
    <t>ORD26000706</t>
  </si>
  <si>
    <t>CUST44249</t>
  </si>
  <si>
    <t>ORD26000707</t>
  </si>
  <si>
    <t>CUST36698</t>
  </si>
  <si>
    <t>ORD26000708</t>
  </si>
  <si>
    <t>CUST43263</t>
  </si>
  <si>
    <t>ORD26000709</t>
  </si>
  <si>
    <t>CUST96413</t>
  </si>
  <si>
    <t>ORD26000710</t>
  </si>
  <si>
    <t>CUST23143</t>
  </si>
  <si>
    <t>ORD26000711</t>
  </si>
  <si>
    <t>CUST99727</t>
  </si>
  <si>
    <t>ORD26000712</t>
  </si>
  <si>
    <t>CUST71822</t>
  </si>
  <si>
    <t>ORD26000713</t>
  </si>
  <si>
    <t>CUST89826</t>
  </si>
  <si>
    <t>ORD26000714</t>
  </si>
  <si>
    <t>CUST88311</t>
  </si>
  <si>
    <t>ORD26000715</t>
  </si>
  <si>
    <t>CUST96099</t>
  </si>
  <si>
    <t>ORD26000716</t>
  </si>
  <si>
    <t>CUST40365</t>
  </si>
  <si>
    <t>ORD26000717</t>
  </si>
  <si>
    <t>CUST21382</t>
  </si>
  <si>
    <t>ORD26000718</t>
  </si>
  <si>
    <t>CUST77861</t>
  </si>
  <si>
    <t>ORD26000719</t>
  </si>
  <si>
    <t>CUST86406</t>
  </si>
  <si>
    <t>2497.0</t>
  </si>
  <si>
    <t>ORD26000720</t>
  </si>
  <si>
    <t>CUST62947</t>
  </si>
  <si>
    <t>ORD26000721</t>
  </si>
  <si>
    <t>CUST19487</t>
  </si>
  <si>
    <t>ORD26000722</t>
  </si>
  <si>
    <t>CUST80504</t>
  </si>
  <si>
    <t>ORD26000723</t>
  </si>
  <si>
    <t>CUST54520</t>
  </si>
  <si>
    <t>ORD26000724</t>
  </si>
  <si>
    <t>CUST18854</t>
  </si>
  <si>
    <t>ORD26000725</t>
  </si>
  <si>
    <t>CUST64057</t>
  </si>
  <si>
    <t>ORD26000726</t>
  </si>
  <si>
    <t>CUST22190</t>
  </si>
  <si>
    <t>ORD26000727</t>
  </si>
  <si>
    <t>CUST51139</t>
  </si>
  <si>
    <t>ORD26000728</t>
  </si>
  <si>
    <t>CUST34925</t>
  </si>
  <si>
    <t>ORD26000729</t>
  </si>
  <si>
    <t>CUST37102</t>
  </si>
  <si>
    <t>ORD26000730</t>
  </si>
  <si>
    <t>CUST23983</t>
  </si>
  <si>
    <t>ORD26000731</t>
  </si>
  <si>
    <t>CUST10868</t>
  </si>
  <si>
    <t>ORD26000732</t>
  </si>
  <si>
    <t>CUST85303</t>
  </si>
  <si>
    <t>ORD26000733</t>
  </si>
  <si>
    <t>CUST39110</t>
  </si>
  <si>
    <t>ORD26000734</t>
  </si>
  <si>
    <t>CUST80879</t>
  </si>
  <si>
    <t>ORD26000735</t>
  </si>
  <si>
    <t>CUST69925</t>
  </si>
  <si>
    <t>ORD26000736</t>
  </si>
  <si>
    <t>CUST37623</t>
  </si>
  <si>
    <t>ORD26000737</t>
  </si>
  <si>
    <t>ORD26000738</t>
  </si>
  <si>
    <t>CUST57962</t>
  </si>
  <si>
    <t>ORD26000739</t>
  </si>
  <si>
    <t>CUST62506</t>
  </si>
  <si>
    <t>ORD26000740</t>
  </si>
  <si>
    <t>CUST39958</t>
  </si>
  <si>
    <t>ORD26000741</t>
  </si>
  <si>
    <t>CUST59923</t>
  </si>
  <si>
    <t>ORD26000742</t>
  </si>
  <si>
    <t>CUST27625</t>
  </si>
  <si>
    <t>ORD26000743</t>
  </si>
  <si>
    <t>CUST84427</t>
  </si>
  <si>
    <t>ORD26000744</t>
  </si>
  <si>
    <t>CUST43330</t>
  </si>
  <si>
    <t>ORD26000745</t>
  </si>
  <si>
    <t>CUST83446</t>
  </si>
  <si>
    <t>ORD26000746</t>
  </si>
  <si>
    <t>CUST99074</t>
  </si>
  <si>
    <t>ORD26000747</t>
  </si>
  <si>
    <t>CUST47304</t>
  </si>
  <si>
    <t>ORD26000748</t>
  </si>
  <si>
    <t>CUST59947</t>
  </si>
  <si>
    <t>ORD26000749</t>
  </si>
  <si>
    <t>CUST54222</t>
  </si>
  <si>
    <t>ORD26000750</t>
  </si>
  <si>
    <t>CUST31233</t>
  </si>
  <si>
    <t>ORD26000751</t>
  </si>
  <si>
    <t>CUST89349</t>
  </si>
  <si>
    <t>ORD26000752</t>
  </si>
  <si>
    <t>CUST78280</t>
  </si>
  <si>
    <t>ORD26000753</t>
  </si>
  <si>
    <t>CUST40753</t>
  </si>
  <si>
    <t>ORD26000754</t>
  </si>
  <si>
    <t>CUST18361</t>
  </si>
  <si>
    <t>4447.0</t>
  </si>
  <si>
    <t>ORD26000755</t>
  </si>
  <si>
    <t>CUST20911</t>
  </si>
  <si>
    <t>ORD26000756</t>
  </si>
  <si>
    <t>CUST50549</t>
  </si>
  <si>
    <t>848.0</t>
  </si>
  <si>
    <t>ORD26000757</t>
  </si>
  <si>
    <t>CUST32361</t>
  </si>
  <si>
    <t>ORD26000758</t>
  </si>
  <si>
    <t>CUST80855</t>
  </si>
  <si>
    <t>ORD26000759</t>
  </si>
  <si>
    <t>CUST69840</t>
  </si>
  <si>
    <t>ORD26000760</t>
  </si>
  <si>
    <t>CUST73131</t>
  </si>
  <si>
    <t>ORD26000761</t>
  </si>
  <si>
    <t>CUST30410</t>
  </si>
  <si>
    <t>ORD26000762</t>
  </si>
  <si>
    <t>CUST55073</t>
  </si>
  <si>
    <t>ORD26000763</t>
  </si>
  <si>
    <t>CUST72530</t>
  </si>
  <si>
    <t>ORD26000764</t>
  </si>
  <si>
    <t>CUST81855</t>
  </si>
  <si>
    <t>ORD26000765</t>
  </si>
  <si>
    <t>CUST94671</t>
  </si>
  <si>
    <t>ORD26000766</t>
  </si>
  <si>
    <t>CUST77713</t>
  </si>
  <si>
    <t>1398.0</t>
  </si>
  <si>
    <t>ORD26000767</t>
  </si>
  <si>
    <t>CUST45235</t>
  </si>
  <si>
    <t>4597.0</t>
  </si>
  <si>
    <t>ORD26000768</t>
  </si>
  <si>
    <t>CUST69682</t>
  </si>
  <si>
    <t>ORD26000769</t>
  </si>
  <si>
    <t>CUST12542</t>
  </si>
  <si>
    <t>ORD26000770</t>
  </si>
  <si>
    <t>CUST26389</t>
  </si>
  <si>
    <t>ORD26000771</t>
  </si>
  <si>
    <t>CUST38467</t>
  </si>
  <si>
    <t>ORD26000772</t>
  </si>
  <si>
    <t>CUST70776</t>
  </si>
  <si>
    <t>ORD26000773</t>
  </si>
  <si>
    <t>CUST44931</t>
  </si>
  <si>
    <t>ORD26000774</t>
  </si>
  <si>
    <t>CUST60014</t>
  </si>
  <si>
    <t>ORD26000775</t>
  </si>
  <si>
    <t>CUST14392</t>
  </si>
  <si>
    <t>6897.0</t>
  </si>
  <si>
    <t>ORD26000776</t>
  </si>
  <si>
    <t>CUST61003</t>
  </si>
  <si>
    <t>7147.0</t>
  </si>
  <si>
    <t>ORD26000777</t>
  </si>
  <si>
    <t>CUST82034</t>
  </si>
  <si>
    <t>ORD26000778</t>
  </si>
  <si>
    <t>CUST16827</t>
  </si>
  <si>
    <t>ORD26000779</t>
  </si>
  <si>
    <t>CUST46188</t>
  </si>
  <si>
    <t>ORD26000780</t>
  </si>
  <si>
    <t>CUST72294</t>
  </si>
  <si>
    <t>5,598.00</t>
  </si>
  <si>
    <t>ORD26000781</t>
  </si>
  <si>
    <t>CUST21980</t>
  </si>
  <si>
    <t>ORD26000782</t>
  </si>
  <si>
    <t>CUST24076</t>
  </si>
  <si>
    <t>1597.0</t>
  </si>
  <si>
    <t>ORD26000783</t>
  </si>
  <si>
    <t>CUST55523</t>
  </si>
  <si>
    <t>ORD26000784</t>
  </si>
  <si>
    <t>CUST27659</t>
  </si>
  <si>
    <t>ORD26000785</t>
  </si>
  <si>
    <t>CUST81137</t>
  </si>
  <si>
    <t>ORD26000786</t>
  </si>
  <si>
    <t>CUST46087</t>
  </si>
  <si>
    <t>ORD26000787</t>
  </si>
  <si>
    <t>CUST44517</t>
  </si>
  <si>
    <t>ORD26000788</t>
  </si>
  <si>
    <t>CUST34318</t>
  </si>
  <si>
    <t>ORD26000789</t>
  </si>
  <si>
    <t>CUST18302</t>
  </si>
  <si>
    <t>ORD26000790</t>
  </si>
  <si>
    <t>CUST30202</t>
  </si>
  <si>
    <t>ORD26000791</t>
  </si>
  <si>
    <t>CUST78576</t>
  </si>
  <si>
    <t>ORD26000792</t>
  </si>
  <si>
    <t>CUST73618</t>
  </si>
  <si>
    <t>ORD26000793</t>
  </si>
  <si>
    <t>CUST74213</t>
  </si>
  <si>
    <t>ORD26000794</t>
  </si>
  <si>
    <t>CUST19289</t>
  </si>
  <si>
    <t>ORD26000795</t>
  </si>
  <si>
    <t>CUST20480</t>
  </si>
  <si>
    <t>ORD26000796</t>
  </si>
  <si>
    <t>CUST58374</t>
  </si>
  <si>
    <t>ORD26000797</t>
  </si>
  <si>
    <t>CUST49833</t>
  </si>
  <si>
    <t>ORD26000798</t>
  </si>
  <si>
    <t>CUST34832</t>
  </si>
  <si>
    <t>698.0</t>
  </si>
  <si>
    <t>ORD26000799</t>
  </si>
  <si>
    <t>CUST83156</t>
  </si>
  <si>
    <t>ORD26000800</t>
  </si>
  <si>
    <t>CUST70125</t>
  </si>
  <si>
    <t>ORD26000801</t>
  </si>
  <si>
    <t>CUST76151</t>
  </si>
  <si>
    <t>ORD26000802</t>
  </si>
  <si>
    <t>ORD26000803</t>
  </si>
  <si>
    <t>CUST66438</t>
  </si>
  <si>
    <t>ORD26000804</t>
  </si>
  <si>
    <t>CUST82120</t>
  </si>
  <si>
    <t>ORD26000805</t>
  </si>
  <si>
    <t>CUST47287</t>
  </si>
  <si>
    <t>ORD26000806</t>
  </si>
  <si>
    <t>CUST38157</t>
  </si>
  <si>
    <t>ORD26000807</t>
  </si>
  <si>
    <t>CUST84922</t>
  </si>
  <si>
    <t>ORD26000808</t>
  </si>
  <si>
    <t>CUST58114</t>
  </si>
  <si>
    <t>ORD26000809</t>
  </si>
  <si>
    <t>CUST62402</t>
  </si>
  <si>
    <t>ORD26000810</t>
  </si>
  <si>
    <t>CUST73246</t>
  </si>
  <si>
    <t>ORD26000811</t>
  </si>
  <si>
    <t>CUST49373</t>
  </si>
  <si>
    <t>ORD26000812</t>
  </si>
  <si>
    <t>CUST53829</t>
  </si>
  <si>
    <t>ORD26000813</t>
  </si>
  <si>
    <t>CUST95561</t>
  </si>
  <si>
    <t>ORD26000814</t>
  </si>
  <si>
    <t>CUST49948</t>
  </si>
  <si>
    <t>ORD26000815</t>
  </si>
  <si>
    <t>CUST38940</t>
  </si>
  <si>
    <t>ORD26000816</t>
  </si>
  <si>
    <t>CUST21807</t>
  </si>
  <si>
    <t>6,297.00</t>
  </si>
  <si>
    <t>ORD26000817</t>
  </si>
  <si>
    <t>CUST20819</t>
  </si>
  <si>
    <t>ORD26000818</t>
  </si>
  <si>
    <t>CUST66949</t>
  </si>
  <si>
    <t>3397.0</t>
  </si>
  <si>
    <t>ORD26000819</t>
  </si>
  <si>
    <t>CUST95491</t>
  </si>
  <si>
    <t>ORD26000820</t>
  </si>
  <si>
    <t>CUST44898</t>
  </si>
  <si>
    <t>ORD26000821</t>
  </si>
  <si>
    <t>CUST55653</t>
  </si>
  <si>
    <t>ORD26000822</t>
  </si>
  <si>
    <t>CUST32184</t>
  </si>
  <si>
    <t>ORD26000823</t>
  </si>
  <si>
    <t>CUST40603</t>
  </si>
  <si>
    <t>ORD26000824</t>
  </si>
  <si>
    <t>CUST24728</t>
  </si>
  <si>
    <t>ORD26000825</t>
  </si>
  <si>
    <t>CUST54993</t>
  </si>
  <si>
    <t>ORD26000826</t>
  </si>
  <si>
    <t>CUST37770</t>
  </si>
  <si>
    <t>ORD26000827</t>
  </si>
  <si>
    <t>CUST28526</t>
  </si>
  <si>
    <t>ORD26000828</t>
  </si>
  <si>
    <t>CUST47226</t>
  </si>
  <si>
    <t>ORD26000829</t>
  </si>
  <si>
    <t>CUST18729</t>
  </si>
  <si>
    <t>ORD26000830</t>
  </si>
  <si>
    <t>CUST24141</t>
  </si>
  <si>
    <t>ORD26000831</t>
  </si>
  <si>
    <t>CUST51347</t>
  </si>
  <si>
    <t>ORD26000832</t>
  </si>
  <si>
    <t>CUST70029</t>
  </si>
  <si>
    <t>ORD26000833</t>
  </si>
  <si>
    <t>CUST74216</t>
  </si>
  <si>
    <t>1197.0</t>
  </si>
  <si>
    <t>ORD26000834</t>
  </si>
  <si>
    <t>CUST91950</t>
  </si>
  <si>
    <t>ORD26000835</t>
  </si>
  <si>
    <t>CUST60747</t>
  </si>
  <si>
    <t>ORD26000836</t>
  </si>
  <si>
    <t>CUST96105</t>
  </si>
  <si>
    <t>ORD26000837</t>
  </si>
  <si>
    <t>CUST39809</t>
  </si>
  <si>
    <t>ORD26000838</t>
  </si>
  <si>
    <t>CUST53160</t>
  </si>
  <si>
    <t>ORD26000839</t>
  </si>
  <si>
    <t>CUST99659</t>
  </si>
  <si>
    <t>ORD26000840</t>
  </si>
  <si>
    <t>CUST27727</t>
  </si>
  <si>
    <t>ORD26000841</t>
  </si>
  <si>
    <t>CUST51614</t>
  </si>
  <si>
    <t>ORD26000842</t>
  </si>
  <si>
    <t>CUST29073</t>
  </si>
  <si>
    <t>ORD26000843</t>
  </si>
  <si>
    <t>CUST93472</t>
  </si>
  <si>
    <t>ORD26000844</t>
  </si>
  <si>
    <t>CUST90213</t>
  </si>
  <si>
    <t>ORD26000845</t>
  </si>
  <si>
    <t>CUST13418</t>
  </si>
  <si>
    <t>ORD26000846</t>
  </si>
  <si>
    <t>CUST95140</t>
  </si>
  <si>
    <t>ORD26000847</t>
  </si>
  <si>
    <t>CUST14224</t>
  </si>
  <si>
    <t>ORD26000848</t>
  </si>
  <si>
    <t>CUST97993</t>
  </si>
  <si>
    <t>ORD26000849</t>
  </si>
  <si>
    <t>CUST67577</t>
  </si>
  <si>
    <t>ORD26000850</t>
  </si>
  <si>
    <t>10,497.00</t>
  </si>
  <si>
    <t>ORD26000851</t>
  </si>
  <si>
    <t>CUST84964</t>
  </si>
  <si>
    <t>ORD26000852</t>
  </si>
  <si>
    <t>CUST69193</t>
  </si>
  <si>
    <t>ORD26000853</t>
  </si>
  <si>
    <t>CUST15144</t>
  </si>
  <si>
    <t>ORD26000854</t>
  </si>
  <si>
    <t>CUST67613</t>
  </si>
  <si>
    <t>7998.0</t>
  </si>
  <si>
    <t>ORD26000855</t>
  </si>
  <si>
    <t>CUST65372</t>
  </si>
  <si>
    <t>ORD26000856</t>
  </si>
  <si>
    <t>CUST94685</t>
  </si>
  <si>
    <t>ORD26000857</t>
  </si>
  <si>
    <t>CUST81618</t>
  </si>
  <si>
    <t>2,647.00</t>
  </si>
  <si>
    <t>ORD26000858</t>
  </si>
  <si>
    <t>CUST36467</t>
  </si>
  <si>
    <t>ORD26000859</t>
  </si>
  <si>
    <t>CUST31495</t>
  </si>
  <si>
    <t>ORD26000860</t>
  </si>
  <si>
    <t>CUST78657</t>
  </si>
  <si>
    <t>ORD26000861</t>
  </si>
  <si>
    <t>CUST32398</t>
  </si>
  <si>
    <t>ORD26000862</t>
  </si>
  <si>
    <t>CUST16725</t>
  </si>
  <si>
    <t>8997.0</t>
  </si>
  <si>
    <t>ORD26000863</t>
  </si>
  <si>
    <t>CUST92110</t>
  </si>
  <si>
    <t>ORD26000864</t>
  </si>
  <si>
    <t>CUST11600</t>
  </si>
  <si>
    <t>ORD26000865</t>
  </si>
  <si>
    <t>CUST41179</t>
  </si>
  <si>
    <t>ORD26000866</t>
  </si>
  <si>
    <t>CUST10861</t>
  </si>
  <si>
    <t>ORD26000867</t>
  </si>
  <si>
    <t>CUST37215</t>
  </si>
  <si>
    <t>ORD26000868</t>
  </si>
  <si>
    <t>CUST14250</t>
  </si>
  <si>
    <t>ORD26000869</t>
  </si>
  <si>
    <t>CUST64651</t>
  </si>
  <si>
    <t>ORD26000870</t>
  </si>
  <si>
    <t>CUST83685</t>
  </si>
  <si>
    <t>ORD26000871</t>
  </si>
  <si>
    <t>CUST58309</t>
  </si>
  <si>
    <t>ORD26000872</t>
  </si>
  <si>
    <t>CUST48382</t>
  </si>
  <si>
    <t>ORD26000873</t>
  </si>
  <si>
    <t>CUST64232</t>
  </si>
  <si>
    <t>ORD26000874</t>
  </si>
  <si>
    <t>CUST92441</t>
  </si>
  <si>
    <t>ORD26000875</t>
  </si>
  <si>
    <t>CUST47642</t>
  </si>
  <si>
    <t>6998.0</t>
  </si>
  <si>
    <t>ORD26000876</t>
  </si>
  <si>
    <t>CUST56380</t>
  </si>
  <si>
    <t>ORD26000877</t>
  </si>
  <si>
    <t>CUST33580</t>
  </si>
  <si>
    <t>ORD26000878</t>
  </si>
  <si>
    <t>CUST25456</t>
  </si>
  <si>
    <t>1697.0</t>
  </si>
  <si>
    <t>ORD26000879</t>
  </si>
  <si>
    <t>CUST93558</t>
  </si>
  <si>
    <t>ORD26000880</t>
  </si>
  <si>
    <t>CUST49358</t>
  </si>
  <si>
    <t>ORD26000881</t>
  </si>
  <si>
    <t>CUST54742</t>
  </si>
  <si>
    <t>ORD26000882</t>
  </si>
  <si>
    <t>CUST54294</t>
  </si>
  <si>
    <t>ORD26000883</t>
  </si>
  <si>
    <t>CUST92208</t>
  </si>
  <si>
    <t>ORD26000884</t>
  </si>
  <si>
    <t>CUST17342</t>
  </si>
  <si>
    <t>ORD26000885</t>
  </si>
  <si>
    <t>CUST37297</t>
  </si>
  <si>
    <t>ORD26000886</t>
  </si>
  <si>
    <t>CUST18678</t>
  </si>
  <si>
    <t>ORD26000887</t>
  </si>
  <si>
    <t>CUST31753</t>
  </si>
  <si>
    <t>ORD26000888</t>
  </si>
  <si>
    <t>CUST50407</t>
  </si>
  <si>
    <t>ORD26000889</t>
  </si>
  <si>
    <t>CUST41148</t>
  </si>
  <si>
    <t>ORD26000890</t>
  </si>
  <si>
    <t>CUST59049</t>
  </si>
  <si>
    <t>ORD26000891</t>
  </si>
  <si>
    <t>CUST73263</t>
  </si>
  <si>
    <t>ORD26000892</t>
  </si>
  <si>
    <t>CUST78632</t>
  </si>
  <si>
    <t>ORD26000893</t>
  </si>
  <si>
    <t>CUST77652</t>
  </si>
  <si>
    <t>ORD26000894</t>
  </si>
  <si>
    <t>CUST10538</t>
  </si>
  <si>
    <t>ORD26000895</t>
  </si>
  <si>
    <t>CUST53684</t>
  </si>
  <si>
    <t>ORD26000896</t>
  </si>
  <si>
    <t>CUST50957</t>
  </si>
  <si>
    <t>ORD26000897</t>
  </si>
  <si>
    <t>CUST35237</t>
  </si>
  <si>
    <t>ORD26000898</t>
  </si>
  <si>
    <t>CUST29571</t>
  </si>
  <si>
    <t>ORD26000899</t>
  </si>
  <si>
    <t>CUST23418</t>
  </si>
  <si>
    <t>ORD26000900</t>
  </si>
  <si>
    <t>CUST47128</t>
  </si>
  <si>
    <t>ORD26000901</t>
  </si>
  <si>
    <t>CUST80854</t>
  </si>
  <si>
    <t>ORD26000902</t>
  </si>
  <si>
    <t>CUST23884</t>
  </si>
  <si>
    <t>ORD26000903</t>
  </si>
  <si>
    <t>CUST87693</t>
  </si>
  <si>
    <t>ORD26000904</t>
  </si>
  <si>
    <t>CUST97932</t>
  </si>
  <si>
    <t>ORD26000905</t>
  </si>
  <si>
    <t>CUST71377</t>
  </si>
  <si>
    <t>ORD26000906</t>
  </si>
  <si>
    <t>CUST71675</t>
  </si>
  <si>
    <t>ORD26000907</t>
  </si>
  <si>
    <t>CUST57638</t>
  </si>
  <si>
    <t>ORD26000908</t>
  </si>
  <si>
    <t>CUST73898</t>
  </si>
  <si>
    <t>ORD26000909</t>
  </si>
  <si>
    <t>CUST46996</t>
  </si>
  <si>
    <t>ORD26000910</t>
  </si>
  <si>
    <t>CUST24022</t>
  </si>
  <si>
    <t>ORD26000911</t>
  </si>
  <si>
    <t>CUST64190</t>
  </si>
  <si>
    <t>6147.0</t>
  </si>
  <si>
    <t>ORD26000912</t>
  </si>
  <si>
    <t>CUST18658</t>
  </si>
  <si>
    <t>ORD26000913</t>
  </si>
  <si>
    <t>CUST54852</t>
  </si>
  <si>
    <t>ORD26000914</t>
  </si>
  <si>
    <t>CUST85260</t>
  </si>
  <si>
    <t>ORD26000915</t>
  </si>
  <si>
    <t>CUST68355</t>
  </si>
  <si>
    <t>ORD26000916</t>
  </si>
  <si>
    <t>CUST59664</t>
  </si>
  <si>
    <t>ORD26000917</t>
  </si>
  <si>
    <t>CUST86122</t>
  </si>
  <si>
    <t>ORD26000918</t>
  </si>
  <si>
    <t>CUST61115</t>
  </si>
  <si>
    <t>ORD26000919</t>
  </si>
  <si>
    <t>CUST84747</t>
  </si>
  <si>
    <t>ORD26000920</t>
  </si>
  <si>
    <t>CUST90149</t>
  </si>
  <si>
    <t>ORD26000921</t>
  </si>
  <si>
    <t>CUST81943</t>
  </si>
  <si>
    <t>ORD26000922</t>
  </si>
  <si>
    <t>CUST14087</t>
  </si>
  <si>
    <t>ORD26000923</t>
  </si>
  <si>
    <t>CUST60012</t>
  </si>
  <si>
    <t>6797.0</t>
  </si>
  <si>
    <t>ORD26000924</t>
  </si>
  <si>
    <t>CUST82800</t>
  </si>
  <si>
    <t>ORD26000925</t>
  </si>
  <si>
    <t>CUST97826</t>
  </si>
  <si>
    <t>ORD26000926</t>
  </si>
  <si>
    <t>CUST73792</t>
  </si>
  <si>
    <t>ORD26000927</t>
  </si>
  <si>
    <t>CUST69772</t>
  </si>
  <si>
    <t>ORD26000928</t>
  </si>
  <si>
    <t>CUST68988</t>
  </si>
  <si>
    <t>ORD26000929</t>
  </si>
  <si>
    <t>CUST75294</t>
  </si>
  <si>
    <t>ORD26000930</t>
  </si>
  <si>
    <t>CUST14385</t>
  </si>
  <si>
    <t>ORD26000931</t>
  </si>
  <si>
    <t>ORD26000932</t>
  </si>
  <si>
    <t>CUST20254</t>
  </si>
  <si>
    <t>14797.0</t>
  </si>
  <si>
    <t>ORD26000933</t>
  </si>
  <si>
    <t>CUST97650</t>
  </si>
  <si>
    <t>ORD26000934</t>
  </si>
  <si>
    <t>CUST55029</t>
  </si>
  <si>
    <t>ORD26000935</t>
  </si>
  <si>
    <t>CUST85230</t>
  </si>
  <si>
    <t>ORD26000936</t>
  </si>
  <si>
    <t>CUST88333</t>
  </si>
  <si>
    <t>ORD26000937</t>
  </si>
  <si>
    <t>CUST85085</t>
  </si>
  <si>
    <t>ORD26000938</t>
  </si>
  <si>
    <t>CUST73538</t>
  </si>
  <si>
    <t>ORD26000939</t>
  </si>
  <si>
    <t>CUST90713</t>
  </si>
  <si>
    <t>8348.0</t>
  </si>
  <si>
    <t>ORD26000940</t>
  </si>
  <si>
    <t>CUST87564</t>
  </si>
  <si>
    <t>ORD26000941</t>
  </si>
  <si>
    <t>CUST40958</t>
  </si>
  <si>
    <t>ORD26000942</t>
  </si>
  <si>
    <t>CUST29014</t>
  </si>
  <si>
    <t>ORD26000943</t>
  </si>
  <si>
    <t>CUST60222</t>
  </si>
  <si>
    <t>ORD26000944</t>
  </si>
  <si>
    <t>CUST55229</t>
  </si>
  <si>
    <t>ORD26000945</t>
  </si>
  <si>
    <t>CUST70819</t>
  </si>
  <si>
    <t>ORD26000946</t>
  </si>
  <si>
    <t>CUST79798</t>
  </si>
  <si>
    <t>ORD26000947</t>
  </si>
  <si>
    <t>CUST66981</t>
  </si>
  <si>
    <t>ORD26000948</t>
  </si>
  <si>
    <t>CUST15376</t>
  </si>
  <si>
    <t>ORD26000949</t>
  </si>
  <si>
    <t>CUST95467</t>
  </si>
  <si>
    <t>ORD26000950</t>
  </si>
  <si>
    <t>CUST86569</t>
  </si>
  <si>
    <t>ORD26000951</t>
  </si>
  <si>
    <t>CUST78151</t>
  </si>
  <si>
    <t>ORD26000952</t>
  </si>
  <si>
    <t>CUST18906</t>
  </si>
  <si>
    <t>3297.0</t>
  </si>
  <si>
    <t>ORD26000953</t>
  </si>
  <si>
    <t>CUST38759</t>
  </si>
  <si>
    <t>ORD26000954</t>
  </si>
  <si>
    <t>CUST87874</t>
  </si>
  <si>
    <t>ORD26000955</t>
  </si>
  <si>
    <t>CUST59277</t>
  </si>
  <si>
    <t>ORD26000956</t>
  </si>
  <si>
    <t>CUST71204</t>
  </si>
  <si>
    <t>ORD26000957</t>
  </si>
  <si>
    <t>CUST52389</t>
  </si>
  <si>
    <t>ORD26000958</t>
  </si>
  <si>
    <t>CUST53601</t>
  </si>
  <si>
    <t>ORD26000959</t>
  </si>
  <si>
    <t>CUST36302</t>
  </si>
  <si>
    <t>ORD26000960</t>
  </si>
  <si>
    <t>CUST66525</t>
  </si>
  <si>
    <t>ORD26000961</t>
  </si>
  <si>
    <t>CUST19229</t>
  </si>
  <si>
    <t>ORD26000962</t>
  </si>
  <si>
    <t>CUST29510</t>
  </si>
  <si>
    <t>ORD26000963</t>
  </si>
  <si>
    <t>CUST53231</t>
  </si>
  <si>
    <t>ORD26000964</t>
  </si>
  <si>
    <t>CUST72670</t>
  </si>
  <si>
    <t>ORD26000965</t>
  </si>
  <si>
    <t>CUST60387</t>
  </si>
  <si>
    <t>14997.0</t>
  </si>
  <si>
    <t>ORD26000966</t>
  </si>
  <si>
    <t>CUST17234</t>
  </si>
  <si>
    <t>ORD26000967</t>
  </si>
  <si>
    <t>CUST48005</t>
  </si>
  <si>
    <t>ORD26000968</t>
  </si>
  <si>
    <t>CUST61131</t>
  </si>
  <si>
    <t>ORD26000969</t>
  </si>
  <si>
    <t>CUST34833</t>
  </si>
  <si>
    <t>ORD26000970</t>
  </si>
  <si>
    <t>CUST74124</t>
  </si>
  <si>
    <t>ORD26000971</t>
  </si>
  <si>
    <t>CUST68891</t>
  </si>
  <si>
    <t>ORD26000972</t>
  </si>
  <si>
    <t>CUST63150</t>
  </si>
  <si>
    <t>ORD26000973</t>
  </si>
  <si>
    <t>CUST80328</t>
  </si>
  <si>
    <t>ORD26000974</t>
  </si>
  <si>
    <t>CUST95699</t>
  </si>
  <si>
    <t>ORD26000975</t>
  </si>
  <si>
    <t>CUST32577</t>
  </si>
  <si>
    <t>ORD26000976</t>
  </si>
  <si>
    <t>CUST32372</t>
  </si>
  <si>
    <t>ORD26000977</t>
  </si>
  <si>
    <t>CUST38910</t>
  </si>
  <si>
    <t>ORD26000978</t>
  </si>
  <si>
    <t>CUST98918</t>
  </si>
  <si>
    <t>ORD26000979</t>
  </si>
  <si>
    <t>CUST37948</t>
  </si>
  <si>
    <t>ORD26000980</t>
  </si>
  <si>
    <t>CUST64415</t>
  </si>
  <si>
    <t>ORD26000981</t>
  </si>
  <si>
    <t>CUST86282</t>
  </si>
  <si>
    <t>ORD26000982</t>
  </si>
  <si>
    <t>CUST30677</t>
  </si>
  <si>
    <t>ORD26000983</t>
  </si>
  <si>
    <t>CUST95426</t>
  </si>
  <si>
    <t>ORD26000984</t>
  </si>
  <si>
    <t>CUST72391</t>
  </si>
  <si>
    <t>ORD26000985</t>
  </si>
  <si>
    <t>CUST41359</t>
  </si>
  <si>
    <t>ORD26000986</t>
  </si>
  <si>
    <t>CUST21537</t>
  </si>
  <si>
    <t>ORD26000987</t>
  </si>
  <si>
    <t>CUST79494</t>
  </si>
  <si>
    <t>ORD26000988</t>
  </si>
  <si>
    <t>CUST38740</t>
  </si>
  <si>
    <t>ORD26000989</t>
  </si>
  <si>
    <t>CUST29558</t>
  </si>
  <si>
    <t>ORD26000990</t>
  </si>
  <si>
    <t>CUST94523</t>
  </si>
  <si>
    <t>ORD26000991</t>
  </si>
  <si>
    <t>CUST69394</t>
  </si>
  <si>
    <t>ORD26000992</t>
  </si>
  <si>
    <t>CUST77489</t>
  </si>
  <si>
    <t>ORD26000993</t>
  </si>
  <si>
    <t>CUST64927</t>
  </si>
  <si>
    <t>ORD26000994</t>
  </si>
  <si>
    <t>CUST41079</t>
  </si>
  <si>
    <t>ORD26000995</t>
  </si>
  <si>
    <t>CUST86689</t>
  </si>
  <si>
    <t>ORD26000996</t>
  </si>
  <si>
    <t>CUST60768</t>
  </si>
  <si>
    <t>ORD26000997</t>
  </si>
  <si>
    <t>CUST36504</t>
  </si>
  <si>
    <t>ORD26000998</t>
  </si>
  <si>
    <t>CUST24563</t>
  </si>
  <si>
    <t>ORD26000999</t>
  </si>
  <si>
    <t>CUST89119</t>
  </si>
  <si>
    <t>ORD26001000</t>
  </si>
  <si>
    <t>CUST21334</t>
  </si>
  <si>
    <t>ORD26001001</t>
  </si>
  <si>
    <t>CUST70655</t>
  </si>
  <si>
    <t>ORD26001002</t>
  </si>
  <si>
    <t>CUST85951</t>
  </si>
  <si>
    <t>ORD26001003</t>
  </si>
  <si>
    <t>CUST15796</t>
  </si>
  <si>
    <t>ORD26001004</t>
  </si>
  <si>
    <t>CUST22844</t>
  </si>
  <si>
    <t>ORD26001005</t>
  </si>
  <si>
    <t>CUST63296</t>
  </si>
  <si>
    <t>ORD26001006</t>
  </si>
  <si>
    <t>CUST12087</t>
  </si>
  <si>
    <t>ORD26001007</t>
  </si>
  <si>
    <t>CUST86501</t>
  </si>
  <si>
    <t>ORD26001008</t>
  </si>
  <si>
    <t>CUST58551</t>
  </si>
  <si>
    <t>ORD26001009</t>
  </si>
  <si>
    <t>CUST53634</t>
  </si>
  <si>
    <t>ORD26001010</t>
  </si>
  <si>
    <t>CUST90281</t>
  </si>
  <si>
    <t>ORD26001011</t>
  </si>
  <si>
    <t>CUST54000</t>
  </si>
  <si>
    <t>ORD26001012</t>
  </si>
  <si>
    <t>CUST15357</t>
  </si>
  <si>
    <t>1647.0</t>
  </si>
  <si>
    <t>ORD26001013</t>
  </si>
  <si>
    <t>CUST36832</t>
  </si>
  <si>
    <t>ORD26001014</t>
  </si>
  <si>
    <t>CUST86037</t>
  </si>
  <si>
    <t>ORD26001015</t>
  </si>
  <si>
    <t>CUST99158</t>
  </si>
  <si>
    <t>ORD26001016</t>
  </si>
  <si>
    <t>CUST75726</t>
  </si>
  <si>
    <t>ORD26001017</t>
  </si>
  <si>
    <t>CUST79842</t>
  </si>
  <si>
    <t>ORD26001018</t>
  </si>
  <si>
    <t>CUST18601</t>
  </si>
  <si>
    <t>5,998.00</t>
  </si>
  <si>
    <t>ORD26001019</t>
  </si>
  <si>
    <t>CUST20085</t>
  </si>
  <si>
    <t>ORD26001020</t>
  </si>
  <si>
    <t>CUST36772</t>
  </si>
  <si>
    <t>ORD26001021</t>
  </si>
  <si>
    <t>CUST27305</t>
  </si>
  <si>
    <t>ORD26001022</t>
  </si>
  <si>
    <t>CUST18250</t>
  </si>
  <si>
    <t>ORD26001023</t>
  </si>
  <si>
    <t>CUST63961</t>
  </si>
  <si>
    <t>ORD26001024</t>
  </si>
  <si>
    <t>CUST79489</t>
  </si>
  <si>
    <t>ORD26001025</t>
  </si>
  <si>
    <t>CUST32509</t>
  </si>
  <si>
    <t>ORD26001026</t>
  </si>
  <si>
    <t>CUST56284</t>
  </si>
  <si>
    <t>ORD26001027</t>
  </si>
  <si>
    <t>CUST47387</t>
  </si>
  <si>
    <t>ORD26001028</t>
  </si>
  <si>
    <t>CUST15393</t>
  </si>
  <si>
    <t>ORD26001029</t>
  </si>
  <si>
    <t>CUST83726</t>
  </si>
  <si>
    <t>ORD26001030</t>
  </si>
  <si>
    <t>CUST31311</t>
  </si>
  <si>
    <t>ORD26001031</t>
  </si>
  <si>
    <t>CUST29055</t>
  </si>
  <si>
    <t>ORD26001032</t>
  </si>
  <si>
    <t>CUST76507</t>
  </si>
  <si>
    <t>ORD26001033</t>
  </si>
  <si>
    <t>CUST85199</t>
  </si>
  <si>
    <t>ORD26001034</t>
  </si>
  <si>
    <t>CUST72781</t>
  </si>
  <si>
    <t>ORD26001035</t>
  </si>
  <si>
    <t>CUST38883</t>
  </si>
  <si>
    <t>2947.0</t>
  </si>
  <si>
    <t>ORD26001036</t>
  </si>
  <si>
    <t>CUST86471</t>
  </si>
  <si>
    <t>ORD26001037</t>
  </si>
  <si>
    <t>CUST68387</t>
  </si>
  <si>
    <t>ORD26001038</t>
  </si>
  <si>
    <t>CUST17346</t>
  </si>
  <si>
    <t>ORD26001039</t>
  </si>
  <si>
    <t>CUST58867</t>
  </si>
  <si>
    <t>ORD26001040</t>
  </si>
  <si>
    <t>CUST83535</t>
  </si>
  <si>
    <t>ORD26001041</t>
  </si>
  <si>
    <t>CUST65552</t>
  </si>
  <si>
    <t>ORD26001042</t>
  </si>
  <si>
    <t>CUST78852</t>
  </si>
  <si>
    <t>ORD26001043</t>
  </si>
  <si>
    <t>CUST45825</t>
  </si>
  <si>
    <t>ORD26001044</t>
  </si>
  <si>
    <t>CUST36117</t>
  </si>
  <si>
    <t>ORD26001045</t>
  </si>
  <si>
    <t>CUST49582</t>
  </si>
  <si>
    <t>ORD26001046</t>
  </si>
  <si>
    <t>CUST10320</t>
  </si>
  <si>
    <t>ORD26001047</t>
  </si>
  <si>
    <t>CUST95696</t>
  </si>
  <si>
    <t>ORD26001048</t>
  </si>
  <si>
    <t>CUST13728</t>
  </si>
  <si>
    <t>ORD26001049</t>
  </si>
  <si>
    <t>CUST57416</t>
  </si>
  <si>
    <t>ORD26001050</t>
  </si>
  <si>
    <t>CUST25674</t>
  </si>
  <si>
    <t>ORD26001051</t>
  </si>
  <si>
    <t>CUST29154</t>
  </si>
  <si>
    <t>ORD26001052</t>
  </si>
  <si>
    <t>CUST93394</t>
  </si>
  <si>
    <t>1,997.00</t>
  </si>
  <si>
    <t>ORD26001053</t>
  </si>
  <si>
    <t>CUST77353</t>
  </si>
  <si>
    <t>ORD26001054</t>
  </si>
  <si>
    <t>CUST52284</t>
  </si>
  <si>
    <t>ORD26001055</t>
  </si>
  <si>
    <t>CUST22561</t>
  </si>
  <si>
    <t>ORD26001056</t>
  </si>
  <si>
    <t>CUST46885</t>
  </si>
  <si>
    <t>ORD26001057</t>
  </si>
  <si>
    <t>CUST38557</t>
  </si>
  <si>
    <t>ORD26001058</t>
  </si>
  <si>
    <t>CUST90403</t>
  </si>
  <si>
    <t>ORD26001059</t>
  </si>
  <si>
    <t>CUST64702</t>
  </si>
  <si>
    <t>ORD26001060</t>
  </si>
  <si>
    <t>CUST72851</t>
  </si>
  <si>
    <t>ORD26001061</t>
  </si>
  <si>
    <t>CUST78566</t>
  </si>
  <si>
    <t>ORD26001062</t>
  </si>
  <si>
    <t>CUST28659</t>
  </si>
  <si>
    <t>ORD26001063</t>
  </si>
  <si>
    <t>CUST24643</t>
  </si>
  <si>
    <t>ORD26001064</t>
  </si>
  <si>
    <t>CUST96479</t>
  </si>
  <si>
    <t>ORD26001065</t>
  </si>
  <si>
    <t>CUST18683</t>
  </si>
  <si>
    <t>ORD26001066</t>
  </si>
  <si>
    <t>CUST88878</t>
  </si>
  <si>
    <t>ORD26001067</t>
  </si>
  <si>
    <t>CUST29078</t>
  </si>
  <si>
    <t>ORD26001068</t>
  </si>
  <si>
    <t>CUST90341</t>
  </si>
  <si>
    <t>ORD26001069</t>
  </si>
  <si>
    <t>CUST79315</t>
  </si>
  <si>
    <t>ORD26001070</t>
  </si>
  <si>
    <t>CUST10567</t>
  </si>
  <si>
    <t>ORD26001071</t>
  </si>
  <si>
    <t>CUST87251</t>
  </si>
  <si>
    <t>ORD26001072</t>
  </si>
  <si>
    <t>CUST38085</t>
  </si>
  <si>
    <t>ORD26001073</t>
  </si>
  <si>
    <t>CUST24459</t>
  </si>
  <si>
    <t>5,348.00</t>
  </si>
  <si>
    <t>ORD26001074</t>
  </si>
  <si>
    <t>CUST15322</t>
  </si>
  <si>
    <t>ORD26001075</t>
  </si>
  <si>
    <t>CUST50895</t>
  </si>
  <si>
    <t>ORD26001076</t>
  </si>
  <si>
    <t>CUST19123</t>
  </si>
  <si>
    <t>ORD26001077</t>
  </si>
  <si>
    <t>CUST98092</t>
  </si>
  <si>
    <t>ORD26001078</t>
  </si>
  <si>
    <t>CUST61748</t>
  </si>
  <si>
    <t>ORD26001079</t>
  </si>
  <si>
    <t>CUST18481</t>
  </si>
  <si>
    <t>ORD26001080</t>
  </si>
  <si>
    <t>CUST26090</t>
  </si>
  <si>
    <t>ORD26001081</t>
  </si>
  <si>
    <t>CUST86273</t>
  </si>
  <si>
    <t>ORD26001082</t>
  </si>
  <si>
    <t>CUST73508</t>
  </si>
  <si>
    <t>ORD26001083</t>
  </si>
  <si>
    <t>CUST74138</t>
  </si>
  <si>
    <t>ORD26001084</t>
  </si>
  <si>
    <t>CUST75291</t>
  </si>
  <si>
    <t>1,147.00</t>
  </si>
  <si>
    <t>ORD26001085</t>
  </si>
  <si>
    <t>CUST91688</t>
  </si>
  <si>
    <t>ORD26001086</t>
  </si>
  <si>
    <t>CUST71082</t>
  </si>
  <si>
    <t>ORD26001087</t>
  </si>
  <si>
    <t>CUST80848</t>
  </si>
  <si>
    <t>ORD26001088</t>
  </si>
  <si>
    <t>CUST68997</t>
  </si>
  <si>
    <t>ORD26001089</t>
  </si>
  <si>
    <t>CUST96430</t>
  </si>
  <si>
    <t>ORD26001090</t>
  </si>
  <si>
    <t>CUST73891</t>
  </si>
  <si>
    <t>ORD26001091</t>
  </si>
  <si>
    <t>CUST72378</t>
  </si>
  <si>
    <t>ORD26001092</t>
  </si>
  <si>
    <t>CUST87469</t>
  </si>
  <si>
    <t>ORD26001093</t>
  </si>
  <si>
    <t>CUST15913</t>
  </si>
  <si>
    <t>ORD26001094</t>
  </si>
  <si>
    <t>CUST91940</t>
  </si>
  <si>
    <t>ORD26001095</t>
  </si>
  <si>
    <t>CUST56041</t>
  </si>
  <si>
    <t>ORD26001096</t>
  </si>
  <si>
    <t>CUST21133</t>
  </si>
  <si>
    <t>ORD26001097</t>
  </si>
  <si>
    <t>CUST52744</t>
  </si>
  <si>
    <t>ORD26001098</t>
  </si>
  <si>
    <t>CUST12674</t>
  </si>
  <si>
    <t>ORD26001099</t>
  </si>
  <si>
    <t>CUST85043</t>
  </si>
  <si>
    <t>ORD26001100</t>
  </si>
  <si>
    <t>CUST75898</t>
  </si>
  <si>
    <t>ORD26001101</t>
  </si>
  <si>
    <t>CUST93288</t>
  </si>
  <si>
    <t>ORD26001102</t>
  </si>
  <si>
    <t>CUST85172</t>
  </si>
  <si>
    <t>ORD26001103</t>
  </si>
  <si>
    <t>CUST85784</t>
  </si>
  <si>
    <t>ORD26001104</t>
  </si>
  <si>
    <t>ORD26001105</t>
  </si>
  <si>
    <t>CUST76144</t>
  </si>
  <si>
    <t>ORD26001106</t>
  </si>
  <si>
    <t>CUST77550</t>
  </si>
  <si>
    <t>ORD26001107</t>
  </si>
  <si>
    <t>CUST34450</t>
  </si>
  <si>
    <t>ORD26001108</t>
  </si>
  <si>
    <t>CUST71249</t>
  </si>
  <si>
    <t>ORD26001109</t>
  </si>
  <si>
    <t>CUST84202</t>
  </si>
  <si>
    <t>ORD26001110</t>
  </si>
  <si>
    <t>CUST99824</t>
  </si>
  <si>
    <t>ORD26001111</t>
  </si>
  <si>
    <t>CUST93090</t>
  </si>
  <si>
    <t>ORD26001112</t>
  </si>
  <si>
    <t>CUST88804</t>
  </si>
  <si>
    <t>ORD26001113</t>
  </si>
  <si>
    <t>CUST50703</t>
  </si>
  <si>
    <t>ORD26001114</t>
  </si>
  <si>
    <t>CUST30887</t>
  </si>
  <si>
    <t>ORD26001115</t>
  </si>
  <si>
    <t>CUST82182</t>
  </si>
  <si>
    <t>ORD26001116</t>
  </si>
  <si>
    <t>CUST21000</t>
  </si>
  <si>
    <t>ORD26001117</t>
  </si>
  <si>
    <t>CUST57636</t>
  </si>
  <si>
    <t>ORD26001118</t>
  </si>
  <si>
    <t>CUST25812</t>
  </si>
  <si>
    <t>ORD26001119</t>
  </si>
  <si>
    <t>CUST41205</t>
  </si>
  <si>
    <t>ORD26001120</t>
  </si>
  <si>
    <t>CUST40924</t>
  </si>
  <si>
    <t>ORD26001121</t>
  </si>
  <si>
    <t>CUST67602</t>
  </si>
  <si>
    <t>ORD26001122</t>
  </si>
  <si>
    <t>CUST24806</t>
  </si>
  <si>
    <t>ORD26001123</t>
  </si>
  <si>
    <t>CUST28993</t>
  </si>
  <si>
    <t>ORD26001124</t>
  </si>
  <si>
    <t>CUST89405</t>
  </si>
  <si>
    <t>9,797.00</t>
  </si>
  <si>
    <t>ORD26001125</t>
  </si>
  <si>
    <t>CUST41414</t>
  </si>
  <si>
    <t>ORD26001126</t>
  </si>
  <si>
    <t>CUST99816</t>
  </si>
  <si>
    <t>ORD26001127</t>
  </si>
  <si>
    <t>CUST61508</t>
  </si>
  <si>
    <t>ORD26001128</t>
  </si>
  <si>
    <t>CUST31001</t>
  </si>
  <si>
    <t>ORD26001129</t>
  </si>
  <si>
    <t>CUST14440</t>
  </si>
  <si>
    <t>ORD26001130</t>
  </si>
  <si>
    <t>CUST64127</t>
  </si>
  <si>
    <t>ORD26001131</t>
  </si>
  <si>
    <t>CUST76366</t>
  </si>
  <si>
    <t>8,348.00</t>
  </si>
  <si>
    <t>ORD26001132</t>
  </si>
  <si>
    <t>CUST69409</t>
  </si>
  <si>
    <t>ORD26001133</t>
  </si>
  <si>
    <t>CUST94030</t>
  </si>
  <si>
    <t>ORD26001134</t>
  </si>
  <si>
    <t>CUST24526</t>
  </si>
  <si>
    <t>ORD26001135</t>
  </si>
  <si>
    <t>CUST87858</t>
  </si>
  <si>
    <t>ORD26001136</t>
  </si>
  <si>
    <t>CUST44167</t>
  </si>
  <si>
    <t>ORD26001137</t>
  </si>
  <si>
    <t>CUST64328</t>
  </si>
  <si>
    <t>ORD26001138</t>
  </si>
  <si>
    <t>CUST13010</t>
  </si>
  <si>
    <t>ORD26001139</t>
  </si>
  <si>
    <t>CUST35987</t>
  </si>
  <si>
    <t>ORD26001140</t>
  </si>
  <si>
    <t>CUST44099</t>
  </si>
  <si>
    <t>ORD26001141</t>
  </si>
  <si>
    <t>CUST78922</t>
  </si>
  <si>
    <t>ORD26001142</t>
  </si>
  <si>
    <t>CUST36626</t>
  </si>
  <si>
    <t>ORD26001143</t>
  </si>
  <si>
    <t>CUST66532</t>
  </si>
  <si>
    <t>ORD26001144</t>
  </si>
  <si>
    <t>CUST64831</t>
  </si>
  <si>
    <t>ORD26001145</t>
  </si>
  <si>
    <t>CUST90960</t>
  </si>
  <si>
    <t>ORD26001146</t>
  </si>
  <si>
    <t>CUST21237</t>
  </si>
  <si>
    <t>ORD26001147</t>
  </si>
  <si>
    <t>CUST37815</t>
  </si>
  <si>
    <t>ORD26001148</t>
  </si>
  <si>
    <t>CUST17700</t>
  </si>
  <si>
    <t>ORD26001149</t>
  </si>
  <si>
    <t>CUST97921</t>
  </si>
  <si>
    <t>ORD26001150</t>
  </si>
  <si>
    <t>CUST49650</t>
  </si>
  <si>
    <t>ORD26001151</t>
  </si>
  <si>
    <t>CUST86085</t>
  </si>
  <si>
    <t>ORD26001152</t>
  </si>
  <si>
    <t>CUST71352</t>
  </si>
  <si>
    <t>ORD26001153</t>
  </si>
  <si>
    <t>CUST25314</t>
  </si>
  <si>
    <t>ORD26001154</t>
  </si>
  <si>
    <t>CUST57263</t>
  </si>
  <si>
    <t>ORD26001155</t>
  </si>
  <si>
    <t>CUST77760</t>
  </si>
  <si>
    <t>ORD26001156</t>
  </si>
  <si>
    <t>CUST29826</t>
  </si>
  <si>
    <t>ORD26001157</t>
  </si>
  <si>
    <t>CUST40128</t>
  </si>
  <si>
    <t>ORD26001158</t>
  </si>
  <si>
    <t>CUST74868</t>
  </si>
  <si>
    <t>ORD26001159</t>
  </si>
  <si>
    <t>CUST24744</t>
  </si>
  <si>
    <t>ORD26001160</t>
  </si>
  <si>
    <t>CUST32058</t>
  </si>
  <si>
    <t>ORD26001161</t>
  </si>
  <si>
    <t>CUST86486</t>
  </si>
  <si>
    <t>ORD26001162</t>
  </si>
  <si>
    <t>CUST75288</t>
  </si>
  <si>
    <t>ORD26001163</t>
  </si>
  <si>
    <t>CUST25989</t>
  </si>
  <si>
    <t>ORD26001164</t>
  </si>
  <si>
    <t>CUST70323</t>
  </si>
  <si>
    <t>ORD26001165</t>
  </si>
  <si>
    <t>CUST96005</t>
  </si>
  <si>
    <t>ORD26001166</t>
  </si>
  <si>
    <t>CUST84600</t>
  </si>
  <si>
    <t>ORD26001167</t>
  </si>
  <si>
    <t>CUST17279</t>
  </si>
  <si>
    <t>ORD26001168</t>
  </si>
  <si>
    <t>CUST62286</t>
  </si>
  <si>
    <t>ORD26001169</t>
  </si>
  <si>
    <t>CUST94825</t>
  </si>
  <si>
    <t>ORD26001170</t>
  </si>
  <si>
    <t>CUST50645</t>
  </si>
  <si>
    <t>ORD26001171</t>
  </si>
  <si>
    <t>CUST36197</t>
  </si>
  <si>
    <t>ORD26001172</t>
  </si>
  <si>
    <t>CUST65382</t>
  </si>
  <si>
    <t>ORD26001173</t>
  </si>
  <si>
    <t>CUST77284</t>
  </si>
  <si>
    <t>ORD26001174</t>
  </si>
  <si>
    <t>CUST79111</t>
  </si>
  <si>
    <t>ORD26001175</t>
  </si>
  <si>
    <t>CUST72601</t>
  </si>
  <si>
    <t>ORD26001176</t>
  </si>
  <si>
    <t>CUST78562</t>
  </si>
  <si>
    <t>ORD26001177</t>
  </si>
  <si>
    <t>CUST24107</t>
  </si>
  <si>
    <t>ORD26001178</t>
  </si>
  <si>
    <t>CUST43211</t>
  </si>
  <si>
    <t>ORD26001179</t>
  </si>
  <si>
    <t>CUST96714</t>
  </si>
  <si>
    <t>ORD26001180</t>
  </si>
  <si>
    <t>CUST49013</t>
  </si>
  <si>
    <t>ORD26001181</t>
  </si>
  <si>
    <t>CUST54739</t>
  </si>
  <si>
    <t>ORD26001182</t>
  </si>
  <si>
    <t>CUST98265</t>
  </si>
  <si>
    <t>ORD26001183</t>
  </si>
  <si>
    <t>CUST95957</t>
  </si>
  <si>
    <t>ORD26001184</t>
  </si>
  <si>
    <t>CUST73795</t>
  </si>
  <si>
    <t>12297.0</t>
  </si>
  <si>
    <t>ORD26001185</t>
  </si>
  <si>
    <t>ORD26001186</t>
  </si>
  <si>
    <t>CUST12082</t>
  </si>
  <si>
    <t>ORD26001187</t>
  </si>
  <si>
    <t>CUST41690</t>
  </si>
  <si>
    <t>ORD26001188</t>
  </si>
  <si>
    <t>CUST70742</t>
  </si>
  <si>
    <t>ORD26001189</t>
  </si>
  <si>
    <t>CUST68361</t>
  </si>
  <si>
    <t>ORD26001190</t>
  </si>
  <si>
    <t>CUST48644</t>
  </si>
  <si>
    <t>ORD26001191</t>
  </si>
  <si>
    <t>CUST66595</t>
  </si>
  <si>
    <t>ORD26001192</t>
  </si>
  <si>
    <t>CUST48112</t>
  </si>
  <si>
    <t>ORD26001193</t>
  </si>
  <si>
    <t>CUST98954</t>
  </si>
  <si>
    <t>ORD26001194</t>
  </si>
  <si>
    <t>CUST18324</t>
  </si>
  <si>
    <t>ORD26001195</t>
  </si>
  <si>
    <t>CUST55451</t>
  </si>
  <si>
    <t>3147.0</t>
  </si>
  <si>
    <t>ORD26001196</t>
  </si>
  <si>
    <t>CUST55068</t>
  </si>
  <si>
    <t>ORD26001197</t>
  </si>
  <si>
    <t>CUST88918</t>
  </si>
  <si>
    <t>ORD26001198</t>
  </si>
  <si>
    <t>CUST98225</t>
  </si>
  <si>
    <t>ORD26001199</t>
  </si>
  <si>
    <t>CUST21297</t>
  </si>
  <si>
    <t>ORD26001200</t>
  </si>
  <si>
    <t>CUST64523</t>
  </si>
  <si>
    <t>ORD26001201</t>
  </si>
  <si>
    <t>CUST57026</t>
  </si>
  <si>
    <t>ORD26001202</t>
  </si>
  <si>
    <t>CUST18344</t>
  </si>
  <si>
    <t>ORD26001203</t>
  </si>
  <si>
    <t>CUST73748</t>
  </si>
  <si>
    <t>ORD26001204</t>
  </si>
  <si>
    <t>CUST45060</t>
  </si>
  <si>
    <t>ORD26001205</t>
  </si>
  <si>
    <t>CUST67386</t>
  </si>
  <si>
    <t>ORD26001206</t>
  </si>
  <si>
    <t>CUST23352</t>
  </si>
  <si>
    <t>ORD26001207</t>
  </si>
  <si>
    <t>CUST57400</t>
  </si>
  <si>
    <t>ORD26001208</t>
  </si>
  <si>
    <t>CUST23014</t>
  </si>
  <si>
    <t>ORD26001209</t>
  </si>
  <si>
    <t>CUST36462</t>
  </si>
  <si>
    <t>ORD26001210</t>
  </si>
  <si>
    <t>CUST47585</t>
  </si>
  <si>
    <t>ORD26001211</t>
  </si>
  <si>
    <t>CUST57270</t>
  </si>
  <si>
    <t>ORD26001212</t>
  </si>
  <si>
    <t>CUST64186</t>
  </si>
  <si>
    <t>ORD26001213</t>
  </si>
  <si>
    <t>CUST13901</t>
  </si>
  <si>
    <t>ORD26001214</t>
  </si>
  <si>
    <t>CUST21112</t>
  </si>
  <si>
    <t>ORD26001215</t>
  </si>
  <si>
    <t>CUST14861</t>
  </si>
  <si>
    <t>ORD26001216</t>
  </si>
  <si>
    <t>CUST78128</t>
  </si>
  <si>
    <t>ORD26001217</t>
  </si>
  <si>
    <t>CUST51116</t>
  </si>
  <si>
    <t>6,498.00</t>
  </si>
  <si>
    <t>ORD26001218</t>
  </si>
  <si>
    <t>CUST62944</t>
  </si>
  <si>
    <t>ORD26001219</t>
  </si>
  <si>
    <t>CUST67952</t>
  </si>
  <si>
    <t>ORD26001220</t>
  </si>
  <si>
    <t>CUST80442</t>
  </si>
  <si>
    <t>ORD26001221</t>
  </si>
  <si>
    <t>CUST38014</t>
  </si>
  <si>
    <t>ORD26001222</t>
  </si>
  <si>
    <t>CUST13069</t>
  </si>
  <si>
    <t>ORD26001223</t>
  </si>
  <si>
    <t>CUST65410</t>
  </si>
  <si>
    <t>ORD26001224</t>
  </si>
  <si>
    <t>CUST26228</t>
  </si>
  <si>
    <t>ORD26001225</t>
  </si>
  <si>
    <t>CUST54430</t>
  </si>
  <si>
    <t>2647.0</t>
  </si>
  <si>
    <t>ORD26001226</t>
  </si>
  <si>
    <t>CUST79899</t>
  </si>
  <si>
    <t>ORD26001227</t>
  </si>
  <si>
    <t>CUST85073</t>
  </si>
  <si>
    <t>ORD26001228</t>
  </si>
  <si>
    <t>CUST86332</t>
  </si>
  <si>
    <t>ORD26001229</t>
  </si>
  <si>
    <t>CUST64008</t>
  </si>
  <si>
    <t>ORD26001230</t>
  </si>
  <si>
    <t>CUST68479</t>
  </si>
  <si>
    <t>ORD26001231</t>
  </si>
  <si>
    <t>CUST44562</t>
  </si>
  <si>
    <t>ORD26001232</t>
  </si>
  <si>
    <t>CUST64646</t>
  </si>
  <si>
    <t>ORD26001233</t>
  </si>
  <si>
    <t>CUST77264</t>
  </si>
  <si>
    <t>ORD26001234</t>
  </si>
  <si>
    <t>CUST83272</t>
  </si>
  <si>
    <t>ORD26001235</t>
  </si>
  <si>
    <t>CUST58442</t>
  </si>
  <si>
    <t>ORD26001236</t>
  </si>
  <si>
    <t>CUST59081</t>
  </si>
  <si>
    <t>ORD26001237</t>
  </si>
  <si>
    <t>CUST65280</t>
  </si>
  <si>
    <t>ORD26001238</t>
  </si>
  <si>
    <t>CUST74067</t>
  </si>
  <si>
    <t>ORD26001239</t>
  </si>
  <si>
    <t>CUST85112</t>
  </si>
  <si>
    <t>ORD26001240</t>
  </si>
  <si>
    <t>CUST89391</t>
  </si>
  <si>
    <t>ORD26001241</t>
  </si>
  <si>
    <t>CUST97453</t>
  </si>
  <si>
    <t>1,799.00</t>
  </si>
  <si>
    <t>ORD26001242</t>
  </si>
  <si>
    <t>CUST60755</t>
  </si>
  <si>
    <t>ORD26001243</t>
  </si>
  <si>
    <t>CUST68077</t>
  </si>
  <si>
    <t>ORD26001244</t>
  </si>
  <si>
    <t>CUST92589</t>
  </si>
  <si>
    <t>ORD26001245</t>
  </si>
  <si>
    <t>CUST81019</t>
  </si>
  <si>
    <t>5147.0</t>
  </si>
  <si>
    <t>ORD26001246</t>
  </si>
  <si>
    <t>CUST75881</t>
  </si>
  <si>
    <t>ORD26001247</t>
  </si>
  <si>
    <t>CUST85963</t>
  </si>
  <si>
    <t>ORD26001248</t>
  </si>
  <si>
    <t>CUST13049</t>
  </si>
  <si>
    <t>ORD26001249</t>
  </si>
  <si>
    <t>CUST60070</t>
  </si>
  <si>
    <t>ORD26001250</t>
  </si>
  <si>
    <t>CUST33942</t>
  </si>
  <si>
    <t>ORD26001251</t>
  </si>
  <si>
    <t>CUST32176</t>
  </si>
  <si>
    <t>ORD26001252</t>
  </si>
  <si>
    <t>CUST61110</t>
  </si>
  <si>
    <t>ORD26001253</t>
  </si>
  <si>
    <t>CUST25855</t>
  </si>
  <si>
    <t>ORD26001254</t>
  </si>
  <si>
    <t>CUST76666</t>
  </si>
  <si>
    <t>ORD26001255</t>
  </si>
  <si>
    <t>CUST63356</t>
  </si>
  <si>
    <t>ORD26001256</t>
  </si>
  <si>
    <t>CUST12440</t>
  </si>
  <si>
    <t>ORD26001257</t>
  </si>
  <si>
    <t>CUST26458</t>
  </si>
  <si>
    <t>ORD26001258</t>
  </si>
  <si>
    <t>CUST28660</t>
  </si>
  <si>
    <t>ORD26001259</t>
  </si>
  <si>
    <t>CUST82764</t>
  </si>
  <si>
    <t>ORD26001260</t>
  </si>
  <si>
    <t>CUST47912</t>
  </si>
  <si>
    <t>ORD26001261</t>
  </si>
  <si>
    <t>CUST99128</t>
  </si>
  <si>
    <t>ORD26001262</t>
  </si>
  <si>
    <t>CUST80004</t>
  </si>
  <si>
    <t>11097.0</t>
  </si>
  <si>
    <t>ORD26001263</t>
  </si>
  <si>
    <t>CUST28304</t>
  </si>
  <si>
    <t>ORD26001264</t>
  </si>
  <si>
    <t>CUST99404</t>
  </si>
  <si>
    <t>ORD26001265</t>
  </si>
  <si>
    <t>CUST96805</t>
  </si>
  <si>
    <t>ORD26001266</t>
  </si>
  <si>
    <t>CUST27527</t>
  </si>
  <si>
    <t>ORD26001267</t>
  </si>
  <si>
    <t>CUST74091</t>
  </si>
  <si>
    <t>ORD26001268</t>
  </si>
  <si>
    <t>CUST80601</t>
  </si>
  <si>
    <t>ORD26001269</t>
  </si>
  <si>
    <t>CUST88815</t>
  </si>
  <si>
    <t>4847.0</t>
  </si>
  <si>
    <t>ORD26001270</t>
  </si>
  <si>
    <t>CUST11105</t>
  </si>
  <si>
    <t>ORD26001271</t>
  </si>
  <si>
    <t>CUST12592</t>
  </si>
  <si>
    <t>ORD26001272</t>
  </si>
  <si>
    <t>CUST38986</t>
  </si>
  <si>
    <t>ORD26001273</t>
  </si>
  <si>
    <t>CUST89433</t>
  </si>
  <si>
    <t>ORD26001274</t>
  </si>
  <si>
    <t>CUST46352</t>
  </si>
  <si>
    <t>ORD26001275</t>
  </si>
  <si>
    <t>CUST98103</t>
  </si>
  <si>
    <t>ORD26001276</t>
  </si>
  <si>
    <t>CUST26702</t>
  </si>
  <si>
    <t>ORD26001277</t>
  </si>
  <si>
    <t>CUST45956</t>
  </si>
  <si>
    <t>ORD26001278</t>
  </si>
  <si>
    <t>CUST83415</t>
  </si>
  <si>
    <t>ORD26001279</t>
  </si>
  <si>
    <t>CUST52336</t>
  </si>
  <si>
    <t>ORD26001280</t>
  </si>
  <si>
    <t>CUST57378</t>
  </si>
  <si>
    <t>ORD26001281</t>
  </si>
  <si>
    <t>CUST65058</t>
  </si>
  <si>
    <t>ORD26001282</t>
  </si>
  <si>
    <t>CUST84949</t>
  </si>
  <si>
    <t>ORD26001283</t>
  </si>
  <si>
    <t>CUST42765</t>
  </si>
  <si>
    <t>ORD26001284</t>
  </si>
  <si>
    <t>CUST13653</t>
  </si>
  <si>
    <t>ORD26001285</t>
  </si>
  <si>
    <t>CUST42821</t>
  </si>
  <si>
    <t>ORD26001286</t>
  </si>
  <si>
    <t>CUST78114</t>
  </si>
  <si>
    <t>ORD26001287</t>
  </si>
  <si>
    <t>CUST85882</t>
  </si>
  <si>
    <t>ORD26001288</t>
  </si>
  <si>
    <t>CUST18523</t>
  </si>
  <si>
    <t>ORD26001289</t>
  </si>
  <si>
    <t>CUST23346</t>
  </si>
  <si>
    <t>ORD26001290</t>
  </si>
  <si>
    <t>CUST90911</t>
  </si>
  <si>
    <t>ORD26001291</t>
  </si>
  <si>
    <t>CUST70844</t>
  </si>
  <si>
    <t>ORD26001292</t>
  </si>
  <si>
    <t>CUST13404</t>
  </si>
  <si>
    <t>ORD26001293</t>
  </si>
  <si>
    <t>CUST88010</t>
  </si>
  <si>
    <t>ORD26001294</t>
  </si>
  <si>
    <t>CUST56581</t>
  </si>
  <si>
    <t>ORD26001295</t>
  </si>
  <si>
    <t>CUST17928</t>
  </si>
  <si>
    <t>4497.0</t>
  </si>
  <si>
    <t>ORD26001296</t>
  </si>
  <si>
    <t>CUST50788</t>
  </si>
  <si>
    <t>ORD26001297</t>
  </si>
  <si>
    <t>CUST54944</t>
  </si>
  <si>
    <t>ORD26001298</t>
  </si>
  <si>
    <t>CUST17512</t>
  </si>
  <si>
    <t>ORD26001299</t>
  </si>
  <si>
    <t>CUST36263</t>
  </si>
  <si>
    <t>ORD26001300</t>
  </si>
  <si>
    <t>CUST71263</t>
  </si>
  <si>
    <t>ORD26001301</t>
  </si>
  <si>
    <t>CUST90753</t>
  </si>
  <si>
    <t>ORD26001302</t>
  </si>
  <si>
    <t>CUST15530</t>
  </si>
  <si>
    <t>ORD26001303</t>
  </si>
  <si>
    <t>CUST91778</t>
  </si>
  <si>
    <t>ORD26001304</t>
  </si>
  <si>
    <t>CUST59271</t>
  </si>
  <si>
    <t>ORD26001305</t>
  </si>
  <si>
    <t>CUST19664</t>
  </si>
  <si>
    <t>ORD26001306</t>
  </si>
  <si>
    <t>CUST86767</t>
  </si>
  <si>
    <t>ORD26001307</t>
  </si>
  <si>
    <t>CUST44340</t>
  </si>
  <si>
    <t>ORD26001308</t>
  </si>
  <si>
    <t>CUST44313</t>
  </si>
  <si>
    <t>ORD26001309</t>
  </si>
  <si>
    <t>CUST37556</t>
  </si>
  <si>
    <t>4,797.00</t>
  </si>
  <si>
    <t>ORD26001310</t>
  </si>
  <si>
    <t>CUST79065</t>
  </si>
  <si>
    <t>ORD26001311</t>
  </si>
  <si>
    <t>CUST27143</t>
  </si>
  <si>
    <t>ORD26001312</t>
  </si>
  <si>
    <t>CUST93380</t>
  </si>
  <si>
    <t>4,798.00</t>
  </si>
  <si>
    <t>ORD26001313</t>
  </si>
  <si>
    <t>CUST80184</t>
  </si>
  <si>
    <t>ORD26001314</t>
  </si>
  <si>
    <t>CUST46709</t>
  </si>
  <si>
    <t>ORD26001315</t>
  </si>
  <si>
    <t>CUST71691</t>
  </si>
  <si>
    <t>3,998.00</t>
  </si>
  <si>
    <t>ORD26001316</t>
  </si>
  <si>
    <t>CUST76736</t>
  </si>
  <si>
    <t>ORD26001317</t>
  </si>
  <si>
    <t>CUST73346</t>
  </si>
  <si>
    <t>ORD26001318</t>
  </si>
  <si>
    <t>CUST86543</t>
  </si>
  <si>
    <t>ORD26001319</t>
  </si>
  <si>
    <t>CUST38651</t>
  </si>
  <si>
    <t>ORD26001320</t>
  </si>
  <si>
    <t>CUST82161</t>
  </si>
  <si>
    <t>ORD26001321</t>
  </si>
  <si>
    <t>CUST86541</t>
  </si>
  <si>
    <t>ORD26001322</t>
  </si>
  <si>
    <t>CUST63602</t>
  </si>
  <si>
    <t>ORD26001323</t>
  </si>
  <si>
    <t>CUST40643</t>
  </si>
  <si>
    <t>ORD26001324</t>
  </si>
  <si>
    <t>CUST75767</t>
  </si>
  <si>
    <t>ORD26001325</t>
  </si>
  <si>
    <t>CUST19351</t>
  </si>
  <si>
    <t>ORD26001326</t>
  </si>
  <si>
    <t>CUST49677</t>
  </si>
  <si>
    <t>ORD26001327</t>
  </si>
  <si>
    <t>CUST44227</t>
  </si>
  <si>
    <t>ORD26001328</t>
  </si>
  <si>
    <t>CUST62928</t>
  </si>
  <si>
    <t>ORD26001329</t>
  </si>
  <si>
    <t>CUST29566</t>
  </si>
  <si>
    <t>ORD26001330</t>
  </si>
  <si>
    <t>CUST77610</t>
  </si>
  <si>
    <t>ORD26001331</t>
  </si>
  <si>
    <t>CUST21255</t>
  </si>
  <si>
    <t>ORD26001332</t>
  </si>
  <si>
    <t>CUST37470</t>
  </si>
  <si>
    <t>ORD26001333</t>
  </si>
  <si>
    <t>CUST50051</t>
  </si>
  <si>
    <t>ORD26001334</t>
  </si>
  <si>
    <t>CUST62870</t>
  </si>
  <si>
    <t>9,997.00</t>
  </si>
  <si>
    <t>ORD26001335</t>
  </si>
  <si>
    <t>CUST28236</t>
  </si>
  <si>
    <t>ORD26001336</t>
  </si>
  <si>
    <t>CUST61234</t>
  </si>
  <si>
    <t>ORD26001337</t>
  </si>
  <si>
    <t>CUST53101</t>
  </si>
  <si>
    <t>ORD26001338</t>
  </si>
  <si>
    <t>CUST14202</t>
  </si>
  <si>
    <t>ORD26001339</t>
  </si>
  <si>
    <t>CUST60579</t>
  </si>
  <si>
    <t>ORD26001340</t>
  </si>
  <si>
    <t>CUST17530</t>
  </si>
  <si>
    <t>ORD26001341</t>
  </si>
  <si>
    <t>CUST61262</t>
  </si>
  <si>
    <t>ORD26001342</t>
  </si>
  <si>
    <t>CUST60986</t>
  </si>
  <si>
    <t>ORD26001343</t>
  </si>
  <si>
    <t>CUST72230</t>
  </si>
  <si>
    <t>ORD26001344</t>
  </si>
  <si>
    <t>CUST70156</t>
  </si>
  <si>
    <t>ORD26001345</t>
  </si>
  <si>
    <t>CUST89278</t>
  </si>
  <si>
    <t>ORD26001346</t>
  </si>
  <si>
    <t>CUST85514</t>
  </si>
  <si>
    <t>ORD26001347</t>
  </si>
  <si>
    <t>CUST55453</t>
  </si>
  <si>
    <t>ORD26001348</t>
  </si>
  <si>
    <t>CUST33537</t>
  </si>
  <si>
    <t>ORD26001349</t>
  </si>
  <si>
    <t>CUST84529</t>
  </si>
  <si>
    <t>ORD26001350</t>
  </si>
  <si>
    <t>CUST80482</t>
  </si>
  <si>
    <t>8897.0</t>
  </si>
  <si>
    <t>ORD26001351</t>
  </si>
  <si>
    <t>CUST74682</t>
  </si>
  <si>
    <t>ORD26001352</t>
  </si>
  <si>
    <t>CUST52731</t>
  </si>
  <si>
    <t>ORD26001353</t>
  </si>
  <si>
    <t>CUST13501</t>
  </si>
  <si>
    <t>ORD26001354</t>
  </si>
  <si>
    <t>CUST35480</t>
  </si>
  <si>
    <t>ORD26001355</t>
  </si>
  <si>
    <t>CUST52875</t>
  </si>
  <si>
    <t>ORD26001356</t>
  </si>
  <si>
    <t>CUST67373</t>
  </si>
  <si>
    <t>ORD26001357</t>
  </si>
  <si>
    <t>CUST89559</t>
  </si>
  <si>
    <t>ORD26001358</t>
  </si>
  <si>
    <t>CUST20169</t>
  </si>
  <si>
    <t>ORD26001359</t>
  </si>
  <si>
    <t>CUST14514</t>
  </si>
  <si>
    <t>ORD26001360</t>
  </si>
  <si>
    <t>CUST94018</t>
  </si>
  <si>
    <t>ORD26001361</t>
  </si>
  <si>
    <t>CUST59465</t>
  </si>
  <si>
    <t>ORD26001362</t>
  </si>
  <si>
    <t>CUST12102</t>
  </si>
  <si>
    <t>ORD26001363</t>
  </si>
  <si>
    <t>CUST18280</t>
  </si>
  <si>
    <t>ORD26001364</t>
  </si>
  <si>
    <t>CUST31895</t>
  </si>
  <si>
    <t>ORD26001365</t>
  </si>
  <si>
    <t>CUST34844</t>
  </si>
  <si>
    <t>ORD26001366</t>
  </si>
  <si>
    <t>CUST56737</t>
  </si>
  <si>
    <t>ORD26001367</t>
  </si>
  <si>
    <t>CUST37887</t>
  </si>
  <si>
    <t>ORD26001368</t>
  </si>
  <si>
    <t>CUST58362</t>
  </si>
  <si>
    <t>ORD26001369</t>
  </si>
  <si>
    <t>CUST23344</t>
  </si>
  <si>
    <t>ORD26001370</t>
  </si>
  <si>
    <t>CUST92689</t>
  </si>
  <si>
    <t>ORD26001371</t>
  </si>
  <si>
    <t>CUST51676</t>
  </si>
  <si>
    <t>1997.0</t>
  </si>
  <si>
    <t>ORD26001372</t>
  </si>
  <si>
    <t>CUST60118</t>
  </si>
  <si>
    <t>ORD26001373</t>
  </si>
  <si>
    <t>CUST12780</t>
  </si>
  <si>
    <t>ORD26001374</t>
  </si>
  <si>
    <t>CUST41922</t>
  </si>
  <si>
    <t>ORD26001375</t>
  </si>
  <si>
    <t>CUST29879</t>
  </si>
  <si>
    <t>ORD26001376</t>
  </si>
  <si>
    <t>CUST53082</t>
  </si>
  <si>
    <t>ORD26001377</t>
  </si>
  <si>
    <t>CUST64380</t>
  </si>
  <si>
    <t>ORD26001378</t>
  </si>
  <si>
    <t>CUST41752</t>
  </si>
  <si>
    <t>ORD26001379</t>
  </si>
  <si>
    <t>CUST39156</t>
  </si>
  <si>
    <t>ORD26001380</t>
  </si>
  <si>
    <t>CUST18469</t>
  </si>
  <si>
    <t>ORD26001381</t>
  </si>
  <si>
    <t>CUST36767</t>
  </si>
  <si>
    <t>ORD26001382</t>
  </si>
  <si>
    <t>CUST36787</t>
  </si>
  <si>
    <t>ORD26001383</t>
  </si>
  <si>
    <t>CUST35891</t>
  </si>
  <si>
    <t>ORD26001384</t>
  </si>
  <si>
    <t>CUST68755</t>
  </si>
  <si>
    <t>ORD26001385</t>
  </si>
  <si>
    <t>CUST67852</t>
  </si>
  <si>
    <t>ORD26001386</t>
  </si>
  <si>
    <t>CUST73176</t>
  </si>
  <si>
    <t>ORD26001387</t>
  </si>
  <si>
    <t>CUST49351</t>
  </si>
  <si>
    <t>ORD26001388</t>
  </si>
  <si>
    <t>CUST70771</t>
  </si>
  <si>
    <t>ORD26001389</t>
  </si>
  <si>
    <t>CUST53677</t>
  </si>
  <si>
    <t>ORD26001390</t>
  </si>
  <si>
    <t>CUST75627</t>
  </si>
  <si>
    <t>ORD26001391</t>
  </si>
  <si>
    <t>CUST74166</t>
  </si>
  <si>
    <t>ORD26001392</t>
  </si>
  <si>
    <t>CUST26315</t>
  </si>
  <si>
    <t>ORD26001393</t>
  </si>
  <si>
    <t>CUST55688</t>
  </si>
  <si>
    <t>ORD26001394</t>
  </si>
  <si>
    <t>CUST60506</t>
  </si>
  <si>
    <t>ORD26001395</t>
  </si>
  <si>
    <t>CUST57371</t>
  </si>
  <si>
    <t>ORD26001396</t>
  </si>
  <si>
    <t>CUST29315</t>
  </si>
  <si>
    <t>ORD26001397</t>
  </si>
  <si>
    <t>CUST22098</t>
  </si>
  <si>
    <t>ORD26001398</t>
  </si>
  <si>
    <t>CUST31734</t>
  </si>
  <si>
    <t>ORD26001399</t>
  </si>
  <si>
    <t>CUST50367</t>
  </si>
  <si>
    <t>ORD26001400</t>
  </si>
  <si>
    <t>CUST55140</t>
  </si>
  <si>
    <t>ORD26001401</t>
  </si>
  <si>
    <t>CUST32072</t>
  </si>
  <si>
    <t>5397.0</t>
  </si>
  <si>
    <t>ORD26001402</t>
  </si>
  <si>
    <t>CUST64636</t>
  </si>
  <si>
    <t>ORD26001403</t>
  </si>
  <si>
    <t>CUST35954</t>
  </si>
  <si>
    <t>ORD26001404</t>
  </si>
  <si>
    <t>CUST36337</t>
  </si>
  <si>
    <t>ORD26001405</t>
  </si>
  <si>
    <t>CUST63581</t>
  </si>
  <si>
    <t>ORD26001406</t>
  </si>
  <si>
    <t>CUST21233</t>
  </si>
  <si>
    <t>ORD26001407</t>
  </si>
  <si>
    <t>CUST72638</t>
  </si>
  <si>
    <t>ORD26001408</t>
  </si>
  <si>
    <t>CUST10947</t>
  </si>
  <si>
    <t>ORD26001409</t>
  </si>
  <si>
    <t>CUST59239</t>
  </si>
  <si>
    <t>ORD26001410</t>
  </si>
  <si>
    <t>CUST66289</t>
  </si>
  <si>
    <t>ORD26001411</t>
  </si>
  <si>
    <t>CUST62228</t>
  </si>
  <si>
    <t>ORD26001412</t>
  </si>
  <si>
    <t>CUST10404</t>
  </si>
  <si>
    <t>ORD26001413</t>
  </si>
  <si>
    <t>CUST88893</t>
  </si>
  <si>
    <t>ORD26001414</t>
  </si>
  <si>
    <t>CUST69233</t>
  </si>
  <si>
    <t>ORD26001415</t>
  </si>
  <si>
    <t>CUST93633</t>
  </si>
  <si>
    <t>ORD26001416</t>
  </si>
  <si>
    <t>ORD26001417</t>
  </si>
  <si>
    <t>ORD26001418</t>
  </si>
  <si>
    <t>CUST60444</t>
  </si>
  <si>
    <t>ORD26001419</t>
  </si>
  <si>
    <t>CUST84959</t>
  </si>
  <si>
    <t>ORD26001420</t>
  </si>
  <si>
    <t>CUST98219</t>
  </si>
  <si>
    <t>ORD26001421</t>
  </si>
  <si>
    <t>CUST80866</t>
  </si>
  <si>
    <t>ORD26001422</t>
  </si>
  <si>
    <t>CUST21722</t>
  </si>
  <si>
    <t>ORD26001423</t>
  </si>
  <si>
    <t>CUST38885</t>
  </si>
  <si>
    <t>1797.0</t>
  </si>
  <si>
    <t>ORD26001424</t>
  </si>
  <si>
    <t>CUST93040</t>
  </si>
  <si>
    <t>ORD26001425</t>
  </si>
  <si>
    <t>CUST88732</t>
  </si>
  <si>
    <t>ORD26001426</t>
  </si>
  <si>
    <t>CUST60023</t>
  </si>
  <si>
    <t>ORD26001427</t>
  </si>
  <si>
    <t>CUST21492</t>
  </si>
  <si>
    <t>ORD26001428</t>
  </si>
  <si>
    <t>CUST25218</t>
  </si>
  <si>
    <t>ORD26001429</t>
  </si>
  <si>
    <t>CUST10220</t>
  </si>
  <si>
    <t>ORD26001430</t>
  </si>
  <si>
    <t>CUST51896</t>
  </si>
  <si>
    <t>ORD26001431</t>
  </si>
  <si>
    <t>ORD26001432</t>
  </si>
  <si>
    <t>CUST48905</t>
  </si>
  <si>
    <t>ORD26001433</t>
  </si>
  <si>
    <t>CUST14501</t>
  </si>
  <si>
    <t>ORD26001434</t>
  </si>
  <si>
    <t>CUST85231</t>
  </si>
  <si>
    <t>ORD26001435</t>
  </si>
  <si>
    <t>CUST17708</t>
  </si>
  <si>
    <t>ORD26001436</t>
  </si>
  <si>
    <t>CUST16889</t>
  </si>
  <si>
    <t>12097.0</t>
  </si>
  <si>
    <t>ORD26001437</t>
  </si>
  <si>
    <t>CUST30865</t>
  </si>
  <si>
    <t>ORD26001438</t>
  </si>
  <si>
    <t>CUST61296</t>
  </si>
  <si>
    <t>ORD26001439</t>
  </si>
  <si>
    <t>CUST81828</t>
  </si>
  <si>
    <t>ORD26001440</t>
  </si>
  <si>
    <t>CUST17094</t>
  </si>
  <si>
    <t>ORD26001441</t>
  </si>
  <si>
    <t>CUST28982</t>
  </si>
  <si>
    <t>3497.0</t>
  </si>
  <si>
    <t>ORD26001442</t>
  </si>
  <si>
    <t>CUST85455</t>
  </si>
  <si>
    <t>ORD26001443</t>
  </si>
  <si>
    <t>CUST32049</t>
  </si>
  <si>
    <t>ORD26001444</t>
  </si>
  <si>
    <t>CUST77559</t>
  </si>
  <si>
    <t>ORD26001445</t>
  </si>
  <si>
    <t>CUST25571</t>
  </si>
  <si>
    <t>ORD26001446</t>
  </si>
  <si>
    <t>CUST59200</t>
  </si>
  <si>
    <t>ORD26001447</t>
  </si>
  <si>
    <t>CUST95615</t>
  </si>
  <si>
    <t>15998.0</t>
  </si>
  <si>
    <t>ORD26001448</t>
  </si>
  <si>
    <t>CUST94070</t>
  </si>
  <si>
    <t>ORD26001449</t>
  </si>
  <si>
    <t>CUST45877</t>
  </si>
  <si>
    <t>ORD26001450</t>
  </si>
  <si>
    <t>CUST66840</t>
  </si>
  <si>
    <t>ORD26001451</t>
  </si>
  <si>
    <t>CUST80452</t>
  </si>
  <si>
    <t>ORD26001452</t>
  </si>
  <si>
    <t>CUST79479</t>
  </si>
  <si>
    <t>ORD26001453</t>
  </si>
  <si>
    <t>CUST95419</t>
  </si>
  <si>
    <t>ORD26001454</t>
  </si>
  <si>
    <t>CUST88525</t>
  </si>
  <si>
    <t>ORD26001455</t>
  </si>
  <si>
    <t>CUST85377</t>
  </si>
  <si>
    <t>ORD26001456</t>
  </si>
  <si>
    <t>CUST14588</t>
  </si>
  <si>
    <t>ORD26001457</t>
  </si>
  <si>
    <t>CUST96266</t>
  </si>
  <si>
    <t>ORD26001458</t>
  </si>
  <si>
    <t>CUST48456</t>
  </si>
  <si>
    <t>ORD26001459</t>
  </si>
  <si>
    <t>CUST56152</t>
  </si>
  <si>
    <t>ORD26001460</t>
  </si>
  <si>
    <t>CUST41077</t>
  </si>
  <si>
    <t>ORD26001461</t>
  </si>
  <si>
    <t>CUST27590</t>
  </si>
  <si>
    <t>ORD26001462</t>
  </si>
  <si>
    <t>CUST91567</t>
  </si>
  <si>
    <t>ORD26001463</t>
  </si>
  <si>
    <t>CUST62436</t>
  </si>
  <si>
    <t>ORD26001464</t>
  </si>
  <si>
    <t>CUST80242</t>
  </si>
  <si>
    <t>ORD26001465</t>
  </si>
  <si>
    <t>CUST58777</t>
  </si>
  <si>
    <t>ORD26001466</t>
  </si>
  <si>
    <t>CUST51465</t>
  </si>
  <si>
    <t>ORD26001467</t>
  </si>
  <si>
    <t>CUST79660</t>
  </si>
  <si>
    <t>ORD26001468</t>
  </si>
  <si>
    <t>CUST53714</t>
  </si>
  <si>
    <t>ORD26001469</t>
  </si>
  <si>
    <t>CUST39127</t>
  </si>
  <si>
    <t>ORD26001470</t>
  </si>
  <si>
    <t>CUST87178</t>
  </si>
  <si>
    <t>ORD26001471</t>
  </si>
  <si>
    <t>CUST45527</t>
  </si>
  <si>
    <t>ORD26001472</t>
  </si>
  <si>
    <t>CUST33681</t>
  </si>
  <si>
    <t>ORD26001473</t>
  </si>
  <si>
    <t>CUST62776</t>
  </si>
  <si>
    <t>ORD26001474</t>
  </si>
  <si>
    <t>CUST30380</t>
  </si>
  <si>
    <t>ORD26001475</t>
  </si>
  <si>
    <t>CUST93780</t>
  </si>
  <si>
    <t>ORD26001476</t>
  </si>
  <si>
    <t>CUST33999</t>
  </si>
  <si>
    <t>ORD26001477</t>
  </si>
  <si>
    <t>CUST39984</t>
  </si>
  <si>
    <t>ORD26001478</t>
  </si>
  <si>
    <t>CUST21814</t>
  </si>
  <si>
    <t>ORD26001479</t>
  </si>
  <si>
    <t>CUST47467</t>
  </si>
  <si>
    <t>ORD26001480</t>
  </si>
  <si>
    <t>CUST98740</t>
  </si>
  <si>
    <t>12,998.00</t>
  </si>
  <si>
    <t>ORD26001481</t>
  </si>
  <si>
    <t>CUST79783</t>
  </si>
  <si>
    <t>ORD26001482</t>
  </si>
  <si>
    <t>CUST10955</t>
  </si>
  <si>
    <t>ORD26001483</t>
  </si>
  <si>
    <t>CUST79220</t>
  </si>
  <si>
    <t>ORD26001484</t>
  </si>
  <si>
    <t>CUST78618</t>
  </si>
  <si>
    <t>ORD26001485</t>
  </si>
  <si>
    <t>CUST16672</t>
  </si>
  <si>
    <t>ORD26001486</t>
  </si>
  <si>
    <t>CUST99006</t>
  </si>
  <si>
    <t>ORD26001487</t>
  </si>
  <si>
    <t>CUST73324</t>
  </si>
  <si>
    <t>ORD26001488</t>
  </si>
  <si>
    <t>CUST38503</t>
  </si>
  <si>
    <t>ORD26001489</t>
  </si>
  <si>
    <t>CUST73998</t>
  </si>
  <si>
    <t>10097.0</t>
  </si>
  <si>
    <t>ORD26001490</t>
  </si>
  <si>
    <t>CUST24046</t>
  </si>
  <si>
    <t>ORD26001491</t>
  </si>
  <si>
    <t>CUST35892</t>
  </si>
  <si>
    <t>ORD26001492</t>
  </si>
  <si>
    <t>CUST30398</t>
  </si>
  <si>
    <t>ORD26001493</t>
  </si>
  <si>
    <t>CUST33878</t>
  </si>
  <si>
    <t>ORD26001494</t>
  </si>
  <si>
    <t>CUST67587</t>
  </si>
  <si>
    <t>ORD26001495</t>
  </si>
  <si>
    <t>CUST36013</t>
  </si>
  <si>
    <t>ORD26001496</t>
  </si>
  <si>
    <t>CUST53412</t>
  </si>
  <si>
    <t>ORD26001497</t>
  </si>
  <si>
    <t>CUST74103</t>
  </si>
  <si>
    <t>ORD26001498</t>
  </si>
  <si>
    <t>CUST62412</t>
  </si>
  <si>
    <t>ORD26001499</t>
  </si>
  <si>
    <t>CUST12772</t>
  </si>
  <si>
    <t>17297.0</t>
  </si>
  <si>
    <t>ORD26001500</t>
  </si>
  <si>
    <t>CUST16820</t>
  </si>
  <si>
    <t>ORD26001501</t>
  </si>
  <si>
    <t>CUST73691</t>
  </si>
  <si>
    <t>ORD26001502</t>
  </si>
  <si>
    <t>CUST42698</t>
  </si>
  <si>
    <t>ORD26001503</t>
  </si>
  <si>
    <t>CUST97337</t>
  </si>
  <si>
    <t>ORD26001504</t>
  </si>
  <si>
    <t>CUST75841</t>
  </si>
  <si>
    <t>ORD26001505</t>
  </si>
  <si>
    <t>CUST40065</t>
  </si>
  <si>
    <t>ORD26001506</t>
  </si>
  <si>
    <t>CUST65876</t>
  </si>
  <si>
    <t>ORD26001507</t>
  </si>
  <si>
    <t>CUST78809</t>
  </si>
  <si>
    <t>ORD26001508</t>
  </si>
  <si>
    <t>CUST65977</t>
  </si>
  <si>
    <t>ORD26001509</t>
  </si>
  <si>
    <t>CUST64797</t>
  </si>
  <si>
    <t>ORD26001510</t>
  </si>
  <si>
    <t>CUST52157</t>
  </si>
  <si>
    <t>ORD26001511</t>
  </si>
  <si>
    <t>CUST74393</t>
  </si>
  <si>
    <t>ORD26001512</t>
  </si>
  <si>
    <t>CUST82321</t>
  </si>
  <si>
    <t>ORD26001513</t>
  </si>
  <si>
    <t>CUST87189</t>
  </si>
  <si>
    <t>ORD26001514</t>
  </si>
  <si>
    <t>CUST60338</t>
  </si>
  <si>
    <t>ORD26001515</t>
  </si>
  <si>
    <t>CUST15379</t>
  </si>
  <si>
    <t>ORD26001516</t>
  </si>
  <si>
    <t>CUST19814</t>
  </si>
  <si>
    <t>9197.0</t>
  </si>
  <si>
    <t>ORD26001517</t>
  </si>
  <si>
    <t>CUST36476</t>
  </si>
  <si>
    <t>ORD26001518</t>
  </si>
  <si>
    <t>CUST43099</t>
  </si>
  <si>
    <t>ORD26001519</t>
  </si>
  <si>
    <t>CUST67163</t>
  </si>
  <si>
    <t>ORD26001520</t>
  </si>
  <si>
    <t>CUST45933</t>
  </si>
  <si>
    <t>ORD26001521</t>
  </si>
  <si>
    <t>CUST34928</t>
  </si>
  <si>
    <t>ORD26001522</t>
  </si>
  <si>
    <t>CUST76752</t>
  </si>
  <si>
    <t>11597.0</t>
  </si>
  <si>
    <t>ORD26001523</t>
  </si>
  <si>
    <t>CUST30971</t>
  </si>
  <si>
    <t>ORD26001524</t>
  </si>
  <si>
    <t>CUST69695</t>
  </si>
  <si>
    <t>ORD26001525</t>
  </si>
  <si>
    <t>CUST45194</t>
  </si>
  <si>
    <t>ORD26001526</t>
  </si>
  <si>
    <t>CUST15123</t>
  </si>
  <si>
    <t>ORD26001527</t>
  </si>
  <si>
    <t>CUST94202</t>
  </si>
  <si>
    <t>ORD26001528</t>
  </si>
  <si>
    <t>CUST92927</t>
  </si>
  <si>
    <t>ORD26001529</t>
  </si>
  <si>
    <t>CUST44608</t>
  </si>
  <si>
    <t>ORD26001530</t>
  </si>
  <si>
    <t>CUST11364</t>
  </si>
  <si>
    <t>ORD26001531</t>
  </si>
  <si>
    <t>CUST86449</t>
  </si>
  <si>
    <t>ORD26001532</t>
  </si>
  <si>
    <t>CUST89212</t>
  </si>
  <si>
    <t>ORD26001533</t>
  </si>
  <si>
    <t>CUST61834</t>
  </si>
  <si>
    <t>1,598.00</t>
  </si>
  <si>
    <t>ORD26001534</t>
  </si>
  <si>
    <t>ORD26001535</t>
  </si>
  <si>
    <t>CUST34754</t>
  </si>
  <si>
    <t>ORD26001536</t>
  </si>
  <si>
    <t>CUST33295</t>
  </si>
  <si>
    <t>ORD26001537</t>
  </si>
  <si>
    <t>CUST69640</t>
  </si>
  <si>
    <t>948.00</t>
  </si>
  <si>
    <t>ORD26001538</t>
  </si>
  <si>
    <t>CUST23071</t>
  </si>
  <si>
    <t>ORD26001539</t>
  </si>
  <si>
    <t>CUST94473</t>
  </si>
  <si>
    <t>ORD26001540</t>
  </si>
  <si>
    <t>CUST92232</t>
  </si>
  <si>
    <t>ORD26001541</t>
  </si>
  <si>
    <t>CUST54353</t>
  </si>
  <si>
    <t>ORD26001542</t>
  </si>
  <si>
    <t>CUST31383</t>
  </si>
  <si>
    <t>ORD26001543</t>
  </si>
  <si>
    <t>CUST92245</t>
  </si>
  <si>
    <t>ORD26001544</t>
  </si>
  <si>
    <t>CUST23443</t>
  </si>
  <si>
    <t>ORD26001545</t>
  </si>
  <si>
    <t>CUST65985</t>
  </si>
  <si>
    <t>ORD26001546</t>
  </si>
  <si>
    <t>CUST99707</t>
  </si>
  <si>
    <t>ORD26001547</t>
  </si>
  <si>
    <t>CUST23334</t>
  </si>
  <si>
    <t>ORD26001548</t>
  </si>
  <si>
    <t>CUST21115</t>
  </si>
  <si>
    <t>ORD26001549</t>
  </si>
  <si>
    <t>CUST33771</t>
  </si>
  <si>
    <t>ORD26001550</t>
  </si>
  <si>
    <t>CUST23621</t>
  </si>
  <si>
    <t>ORD26001551</t>
  </si>
  <si>
    <t>CUST20009</t>
  </si>
  <si>
    <t>ORD26001552</t>
  </si>
  <si>
    <t>CUST61196</t>
  </si>
  <si>
    <t>ORD26001553</t>
  </si>
  <si>
    <t>ORD26001554</t>
  </si>
  <si>
    <t>ORD26001555</t>
  </si>
  <si>
    <t>CUST28116</t>
  </si>
  <si>
    <t>ORD26001556</t>
  </si>
  <si>
    <t>CUST80282</t>
  </si>
  <si>
    <t>ORD26001557</t>
  </si>
  <si>
    <t>CUST38748</t>
  </si>
  <si>
    <t>ORD26001558</t>
  </si>
  <si>
    <t>CUST57500</t>
  </si>
  <si>
    <t>ORD26001559</t>
  </si>
  <si>
    <t>CUST28264</t>
  </si>
  <si>
    <t>ORD26001560</t>
  </si>
  <si>
    <t>CUST65191</t>
  </si>
  <si>
    <t>ORD26001561</t>
  </si>
  <si>
    <t>CUST28753</t>
  </si>
  <si>
    <t>ORD26001562</t>
  </si>
  <si>
    <t>CUST23894</t>
  </si>
  <si>
    <t>ORD26001563</t>
  </si>
  <si>
    <t>CUST57873</t>
  </si>
  <si>
    <t>ORD26001564</t>
  </si>
  <si>
    <t>CUST64590</t>
  </si>
  <si>
    <t>ORD26001565</t>
  </si>
  <si>
    <t>CUST49257</t>
  </si>
  <si>
    <t>ORD26001566</t>
  </si>
  <si>
    <t>CUST24583</t>
  </si>
  <si>
    <t>ORD26001567</t>
  </si>
  <si>
    <t>CUST61955</t>
  </si>
  <si>
    <t>ORD26001568</t>
  </si>
  <si>
    <t>CUST75781</t>
  </si>
  <si>
    <t>ORD26001569</t>
  </si>
  <si>
    <t>CUST22050</t>
  </si>
  <si>
    <t>ORD26001570</t>
  </si>
  <si>
    <t>CUST38692</t>
  </si>
  <si>
    <t>ORD26001571</t>
  </si>
  <si>
    <t>CUST72575</t>
  </si>
  <si>
    <t>ORD26001572</t>
  </si>
  <si>
    <t>CUST94757</t>
  </si>
  <si>
    <t>ORD26001573</t>
  </si>
  <si>
    <t>CUST53970</t>
  </si>
  <si>
    <t>ORD26001574</t>
  </si>
  <si>
    <t>CUST88264</t>
  </si>
  <si>
    <t>ORD26001575</t>
  </si>
  <si>
    <t>CUST14242</t>
  </si>
  <si>
    <t>ORD26001576</t>
  </si>
  <si>
    <t>CUST73413</t>
  </si>
  <si>
    <t>ORD26001577</t>
  </si>
  <si>
    <t>CUST56746</t>
  </si>
  <si>
    <t>ORD26001578</t>
  </si>
  <si>
    <t>CUST26976</t>
  </si>
  <si>
    <t>ORD26001579</t>
  </si>
  <si>
    <t>CUST29685</t>
  </si>
  <si>
    <t>ORD26001580</t>
  </si>
  <si>
    <t>CUST31131</t>
  </si>
  <si>
    <t>ORD26001581</t>
  </si>
  <si>
    <t>CUST38265</t>
  </si>
  <si>
    <t>ORD26001582</t>
  </si>
  <si>
    <t>CUST78588</t>
  </si>
  <si>
    <t>ORD26001583</t>
  </si>
  <si>
    <t>CUST66479</t>
  </si>
  <si>
    <t>ORD26001584</t>
  </si>
  <si>
    <t>CUST89544</t>
  </si>
  <si>
    <t>ORD26001585</t>
  </si>
  <si>
    <t>CUST50572</t>
  </si>
  <si>
    <t>ORD26001586</t>
  </si>
  <si>
    <t>CUST48745</t>
  </si>
  <si>
    <t>ORD26001587</t>
  </si>
  <si>
    <t>CUST33486</t>
  </si>
  <si>
    <t>ORD26001588</t>
  </si>
  <si>
    <t>CUST28408</t>
  </si>
  <si>
    <t>ORD26001589</t>
  </si>
  <si>
    <t>CUST91223</t>
  </si>
  <si>
    <t>ORD26001590</t>
  </si>
  <si>
    <t>CUST58979</t>
  </si>
  <si>
    <t>ORD26001591</t>
  </si>
  <si>
    <t>CUST99463</t>
  </si>
  <si>
    <t>ORD26001592</t>
  </si>
  <si>
    <t>CUST11041</t>
  </si>
  <si>
    <t>ORD26001593</t>
  </si>
  <si>
    <t>CUST19565</t>
  </si>
  <si>
    <t>ORD26001594</t>
  </si>
  <si>
    <t>CUST80138</t>
  </si>
  <si>
    <t>ORD26001595</t>
  </si>
  <si>
    <t>CUST62028</t>
  </si>
  <si>
    <t>ORD26001596</t>
  </si>
  <si>
    <t>CUST73739</t>
  </si>
  <si>
    <t>ORD26001597</t>
  </si>
  <si>
    <t>CUST71599</t>
  </si>
  <si>
    <t>ORD26001598</t>
  </si>
  <si>
    <t>CUST59844</t>
  </si>
  <si>
    <t>ORD26001599</t>
  </si>
  <si>
    <t>CUST17088</t>
  </si>
  <si>
    <t>ORD26001600</t>
  </si>
  <si>
    <t>CUST93320</t>
  </si>
  <si>
    <t>ORD26001601</t>
  </si>
  <si>
    <t>CUST69168</t>
  </si>
  <si>
    <t>ORD26001602</t>
  </si>
  <si>
    <t>CUST17044</t>
  </si>
  <si>
    <t>ORD26001603</t>
  </si>
  <si>
    <t>CUST64932</t>
  </si>
  <si>
    <t>ORD26001604</t>
  </si>
  <si>
    <t>CUST56490</t>
  </si>
  <si>
    <t>ORD26001605</t>
  </si>
  <si>
    <t>CUST20198</t>
  </si>
  <si>
    <t>ORD26001606</t>
  </si>
  <si>
    <t>CUST51486</t>
  </si>
  <si>
    <t>ORD26001607</t>
  </si>
  <si>
    <t>CUST98335</t>
  </si>
  <si>
    <t>ORD26001608</t>
  </si>
  <si>
    <t>CUST26478</t>
  </si>
  <si>
    <t>ORD26001609</t>
  </si>
  <si>
    <t>CUST65073</t>
  </si>
  <si>
    <t>ORD26001610</t>
  </si>
  <si>
    <t>CUST35055</t>
  </si>
  <si>
    <t>ORD26001611</t>
  </si>
  <si>
    <t>CUST50234</t>
  </si>
  <si>
    <t>ORD26001612</t>
  </si>
  <si>
    <t>CUST64270</t>
  </si>
  <si>
    <t>ORD26001613</t>
  </si>
  <si>
    <t>CUST54017</t>
  </si>
  <si>
    <t>ORD26001614</t>
  </si>
  <si>
    <t>CUST87973</t>
  </si>
  <si>
    <t>ORD26001615</t>
  </si>
  <si>
    <t>CUST67343</t>
  </si>
  <si>
    <t>ORD26001616</t>
  </si>
  <si>
    <t>CUST23606</t>
  </si>
  <si>
    <t>ORD26001617</t>
  </si>
  <si>
    <t>CUST91766</t>
  </si>
  <si>
    <t>ORD26001618</t>
  </si>
  <si>
    <t>CUST65134</t>
  </si>
  <si>
    <t>ORD26001619</t>
  </si>
  <si>
    <t>CUST26310</t>
  </si>
  <si>
    <t>ORD26001620</t>
  </si>
  <si>
    <t>CUST61879</t>
  </si>
  <si>
    <t>ORD26001621</t>
  </si>
  <si>
    <t>CUST44668</t>
  </si>
  <si>
    <t>ORD26001622</t>
  </si>
  <si>
    <t>CUST14282</t>
  </si>
  <si>
    <t>ORD26001623</t>
  </si>
  <si>
    <t>CUST88636</t>
  </si>
  <si>
    <t>ORD26001624</t>
  </si>
  <si>
    <t>ORD26001625</t>
  </si>
  <si>
    <t>CUST26891</t>
  </si>
  <si>
    <t>ORD26001626</t>
  </si>
  <si>
    <t>CUST67331</t>
  </si>
  <si>
    <t>ORD26001627</t>
  </si>
  <si>
    <t>CUST61381</t>
  </si>
  <si>
    <t>ORD26001628</t>
  </si>
  <si>
    <t>CUST67333</t>
  </si>
  <si>
    <t>ORD26001629</t>
  </si>
  <si>
    <t>CUST20324</t>
  </si>
  <si>
    <t>ORD26001630</t>
  </si>
  <si>
    <t>CUST93160</t>
  </si>
  <si>
    <t>ORD26001631</t>
  </si>
  <si>
    <t>CUST80178</t>
  </si>
  <si>
    <t>ORD26001632</t>
  </si>
  <si>
    <t>CUST28844</t>
  </si>
  <si>
    <t>ORD26001633</t>
  </si>
  <si>
    <t>CUST26080</t>
  </si>
  <si>
    <t>ORD26001634</t>
  </si>
  <si>
    <t>CUST74781</t>
  </si>
  <si>
    <t>ORD26001635</t>
  </si>
  <si>
    <t>CUST64230</t>
  </si>
  <si>
    <t>ORD26001636</t>
  </si>
  <si>
    <t>3947.0</t>
  </si>
  <si>
    <t>ORD26001637</t>
  </si>
  <si>
    <t>CUST96463</t>
  </si>
  <si>
    <t>ORD26001638</t>
  </si>
  <si>
    <t>ORD26001639</t>
  </si>
  <si>
    <t>CUST25937</t>
  </si>
  <si>
    <t>ORD26001640</t>
  </si>
  <si>
    <t>CUST29968</t>
  </si>
  <si>
    <t>ORD26001641</t>
  </si>
  <si>
    <t>CUST28161</t>
  </si>
  <si>
    <t>ORD26001642</t>
  </si>
  <si>
    <t>CUST22054</t>
  </si>
  <si>
    <t>ORD26001643</t>
  </si>
  <si>
    <t>CUST67155</t>
  </si>
  <si>
    <t>ORD26001644</t>
  </si>
  <si>
    <t>CUST46842</t>
  </si>
  <si>
    <t>ORD26001645</t>
  </si>
  <si>
    <t>CUST36978</t>
  </si>
  <si>
    <t>ORD26001646</t>
  </si>
  <si>
    <t>CUST91646</t>
  </si>
  <si>
    <t>ORD26001647</t>
  </si>
  <si>
    <t>CUST92929</t>
  </si>
  <si>
    <t>ORD26001648</t>
  </si>
  <si>
    <t>CUST63714</t>
  </si>
  <si>
    <t>ORD26001649</t>
  </si>
  <si>
    <t>CUST52294</t>
  </si>
  <si>
    <t>ORD26001650</t>
  </si>
  <si>
    <t>CUST58714</t>
  </si>
  <si>
    <t>ORD26001651</t>
  </si>
  <si>
    <t>CUST53105</t>
  </si>
  <si>
    <t>ORD26001652</t>
  </si>
  <si>
    <t>CUST60540</t>
  </si>
  <si>
    <t>ORD26001653</t>
  </si>
  <si>
    <t>CUST89679</t>
  </si>
  <si>
    <t>ORD26001654</t>
  </si>
  <si>
    <t>CUST35971</t>
  </si>
  <si>
    <t>ORD26001655</t>
  </si>
  <si>
    <t>CUST26265</t>
  </si>
  <si>
    <t>ORD26001656</t>
  </si>
  <si>
    <t>CUST47360</t>
  </si>
  <si>
    <t>ORD26001657</t>
  </si>
  <si>
    <t>CUST62797</t>
  </si>
  <si>
    <t>ORD26001658</t>
  </si>
  <si>
    <t>CUST71589</t>
  </si>
  <si>
    <t>ORD26001659</t>
  </si>
  <si>
    <t>CUST62473</t>
  </si>
  <si>
    <t>ORD26001660</t>
  </si>
  <si>
    <t>CUST69582</t>
  </si>
  <si>
    <t>ORD26001661</t>
  </si>
  <si>
    <t>CUST39362</t>
  </si>
  <si>
    <t>ORD26001662</t>
  </si>
  <si>
    <t>CUST67105</t>
  </si>
  <si>
    <t>ORD26001663</t>
  </si>
  <si>
    <t>CUST80458</t>
  </si>
  <si>
    <t>ORD26001664</t>
  </si>
  <si>
    <t>CUST16291</t>
  </si>
  <si>
    <t>ORD26001665</t>
  </si>
  <si>
    <t>CUST59749</t>
  </si>
  <si>
    <t>ORD26001666</t>
  </si>
  <si>
    <t>CUST51855</t>
  </si>
  <si>
    <t>ORD26001667</t>
  </si>
  <si>
    <t>CUST78388</t>
  </si>
  <si>
    <t>ORD26001668</t>
  </si>
  <si>
    <t>CUST73269</t>
  </si>
  <si>
    <t>ORD26001669</t>
  </si>
  <si>
    <t>CUST83205</t>
  </si>
  <si>
    <t>ORD26001670</t>
  </si>
  <si>
    <t>CUST74828</t>
  </si>
  <si>
    <t>ORD26001671</t>
  </si>
  <si>
    <t>CUST34630</t>
  </si>
  <si>
    <t>ORD26001672</t>
  </si>
  <si>
    <t>CUST77361</t>
  </si>
  <si>
    <t>ORD26001673</t>
  </si>
  <si>
    <t>CUST76127</t>
  </si>
  <si>
    <t>ORD26001674</t>
  </si>
  <si>
    <t>CUST69301</t>
  </si>
  <si>
    <t>ORD26001675</t>
  </si>
  <si>
    <t>CUST65455</t>
  </si>
  <si>
    <t>ORD26001676</t>
  </si>
  <si>
    <t>CUST70418</t>
  </si>
  <si>
    <t>ORD26001677</t>
  </si>
  <si>
    <t>CUST44964</t>
  </si>
  <si>
    <t>ORD26001678</t>
  </si>
  <si>
    <t>CUST21018</t>
  </si>
  <si>
    <t>ORD26001679</t>
  </si>
  <si>
    <t>CUST53743</t>
  </si>
  <si>
    <t>ORD26001680</t>
  </si>
  <si>
    <t>CUST65389</t>
  </si>
  <si>
    <t>ORD26001681</t>
  </si>
  <si>
    <t>CUST89619</t>
  </si>
  <si>
    <t>ORD26001682</t>
  </si>
  <si>
    <t>CUST24559</t>
  </si>
  <si>
    <t>ORD26001683</t>
  </si>
  <si>
    <t>CUST79747</t>
  </si>
  <si>
    <t>ORD26001684</t>
  </si>
  <si>
    <t>CUST61496</t>
  </si>
  <si>
    <t>ORD26001685</t>
  </si>
  <si>
    <t>CUST36683</t>
  </si>
  <si>
    <t>ORD26001686</t>
  </si>
  <si>
    <t>CUST22352</t>
  </si>
  <si>
    <t>ORD26001687</t>
  </si>
  <si>
    <t>CUST41276</t>
  </si>
  <si>
    <t>ORD26001688</t>
  </si>
  <si>
    <t>CUST11669</t>
  </si>
  <si>
    <t>1347.0</t>
  </si>
  <si>
    <t>ORD26001689</t>
  </si>
  <si>
    <t>CUST20089</t>
  </si>
  <si>
    <t>ORD26001690</t>
  </si>
  <si>
    <t>CUST10131</t>
  </si>
  <si>
    <t>ORD26001691</t>
  </si>
  <si>
    <t>CUST84352</t>
  </si>
  <si>
    <t>ORD26001692</t>
  </si>
  <si>
    <t>CUST22308</t>
  </si>
  <si>
    <t>ORD26001693</t>
  </si>
  <si>
    <t>CUST43730</t>
  </si>
  <si>
    <t>3997.0</t>
  </si>
  <si>
    <t>ORD26001694</t>
  </si>
  <si>
    <t>ORD26001695</t>
  </si>
  <si>
    <t>CUST99887</t>
  </si>
  <si>
    <t>23997.0</t>
  </si>
  <si>
    <t>ORD26001696</t>
  </si>
  <si>
    <t>CUST28564</t>
  </si>
  <si>
    <t>ORD26001697</t>
  </si>
  <si>
    <t>CUST66455</t>
  </si>
  <si>
    <t>ORD26001698</t>
  </si>
  <si>
    <t>CUST92167</t>
  </si>
  <si>
    <t>2247.0</t>
  </si>
  <si>
    <t>ORD26001699</t>
  </si>
  <si>
    <t>CUST53410</t>
  </si>
  <si>
    <t>ORD26001700</t>
  </si>
  <si>
    <t>ORD26001701</t>
  </si>
  <si>
    <t>CUST55481</t>
  </si>
  <si>
    <t>ORD26001702</t>
  </si>
  <si>
    <t>CUST99249</t>
  </si>
  <si>
    <t>ORD26001703</t>
  </si>
  <si>
    <t>CUST73809</t>
  </si>
  <si>
    <t>ORD26001704</t>
  </si>
  <si>
    <t>CUST87735</t>
  </si>
  <si>
    <t>ORD26001705</t>
  </si>
  <si>
    <t>CUST10084</t>
  </si>
  <si>
    <t>ORD26001706</t>
  </si>
  <si>
    <t>CUST75797</t>
  </si>
  <si>
    <t>ORD26001707</t>
  </si>
  <si>
    <t>CUST35785</t>
  </si>
  <si>
    <t>ORD26001708</t>
  </si>
  <si>
    <t>CUST56482</t>
  </si>
  <si>
    <t>ORD26001709</t>
  </si>
  <si>
    <t>CUST44243</t>
  </si>
  <si>
    <t>ORD26001710</t>
  </si>
  <si>
    <t>CUST52268</t>
  </si>
  <si>
    <t>ORD26001711</t>
  </si>
  <si>
    <t>CUST49460</t>
  </si>
  <si>
    <t>ORD26001712</t>
  </si>
  <si>
    <t>CUST34034</t>
  </si>
  <si>
    <t>ORD26001713</t>
  </si>
  <si>
    <t>CUST76036</t>
  </si>
  <si>
    <t>ORD26001714</t>
  </si>
  <si>
    <t>CUST70461</t>
  </si>
  <si>
    <t>ORD26001715</t>
  </si>
  <si>
    <t>CUST90636</t>
  </si>
  <si>
    <t>ORD26001716</t>
  </si>
  <si>
    <t>CUST81207</t>
  </si>
  <si>
    <t>ORD26001717</t>
  </si>
  <si>
    <t>CUST62814</t>
  </si>
  <si>
    <t>ORD26001718</t>
  </si>
  <si>
    <t>CUST95181</t>
  </si>
  <si>
    <t>ORD26001719</t>
  </si>
  <si>
    <t>CUST53425</t>
  </si>
  <si>
    <t>ORD26001720</t>
  </si>
  <si>
    <t>CUST36878</t>
  </si>
  <si>
    <t>ORD26001721</t>
  </si>
  <si>
    <t>CUST93842</t>
  </si>
  <si>
    <t>ORD26001722</t>
  </si>
  <si>
    <t>CUST36306</t>
  </si>
  <si>
    <t>ORD26001723</t>
  </si>
  <si>
    <t>CUST22696</t>
  </si>
  <si>
    <t>ORD26001724</t>
  </si>
  <si>
    <t>CUST61211</t>
  </si>
  <si>
    <t>ORD26001725</t>
  </si>
  <si>
    <t>CUST40792</t>
  </si>
  <si>
    <t>ORD26001726</t>
  </si>
  <si>
    <t>CUST66669</t>
  </si>
  <si>
    <t>ORD26001727</t>
  </si>
  <si>
    <t>CUST41546</t>
  </si>
  <si>
    <t>ORD26001728</t>
  </si>
  <si>
    <t>CUST97495</t>
  </si>
  <si>
    <t>5897.0</t>
  </si>
  <si>
    <t>ORD26001729</t>
  </si>
  <si>
    <t>CUST24068</t>
  </si>
  <si>
    <t>ORD26001730</t>
  </si>
  <si>
    <t>CUST61043</t>
  </si>
  <si>
    <t>ORD26001731</t>
  </si>
  <si>
    <t>CUST91248</t>
  </si>
  <si>
    <t>ORD26001732</t>
  </si>
  <si>
    <t>CUST46294</t>
  </si>
  <si>
    <t>ORD26001733</t>
  </si>
  <si>
    <t>CUST55722</t>
  </si>
  <si>
    <t>ORD26001734</t>
  </si>
  <si>
    <t>CUST83812</t>
  </si>
  <si>
    <t>ORD26001735</t>
  </si>
  <si>
    <t>CUST49705</t>
  </si>
  <si>
    <t>ORD26001736</t>
  </si>
  <si>
    <t>CUST76450</t>
  </si>
  <si>
    <t>ORD26001737</t>
  </si>
  <si>
    <t>CUST55625</t>
  </si>
  <si>
    <t>ORD26001738</t>
  </si>
  <si>
    <t>CUST40369</t>
  </si>
  <si>
    <t>ORD26001739</t>
  </si>
  <si>
    <t>CUST40347</t>
  </si>
  <si>
    <t>ORD26001740</t>
  </si>
  <si>
    <t>CUST65057</t>
  </si>
  <si>
    <t>ORD26001741</t>
  </si>
  <si>
    <t>CUST67872</t>
  </si>
  <si>
    <t>ORD26001742</t>
  </si>
  <si>
    <t>CUST59496</t>
  </si>
  <si>
    <t>ORD26001743</t>
  </si>
  <si>
    <t>CUST98978</t>
  </si>
  <si>
    <t>ORD26001744</t>
  </si>
  <si>
    <t>CUST35204</t>
  </si>
  <si>
    <t>ORD26001745</t>
  </si>
  <si>
    <t>CUST14356</t>
  </si>
  <si>
    <t>ORD26001746</t>
  </si>
  <si>
    <t>CUST19432</t>
  </si>
  <si>
    <t>ORD26001747</t>
  </si>
  <si>
    <t>CUST37194</t>
  </si>
  <si>
    <t>ORD26001748</t>
  </si>
  <si>
    <t>CUST28071</t>
  </si>
  <si>
    <t>ORD26001749</t>
  </si>
  <si>
    <t>CUST26671</t>
  </si>
  <si>
    <t>ORD26001750</t>
  </si>
  <si>
    <t>CUST80849</t>
  </si>
  <si>
    <t>ORD26001751</t>
  </si>
  <si>
    <t>CUST42949</t>
  </si>
  <si>
    <t>ORD26001752</t>
  </si>
  <si>
    <t>CUST47757</t>
  </si>
  <si>
    <t>ORD26001753</t>
  </si>
  <si>
    <t>CUST50925</t>
  </si>
  <si>
    <t>ORD26001754</t>
  </si>
  <si>
    <t>CUST71732</t>
  </si>
  <si>
    <t>ORD26001755</t>
  </si>
  <si>
    <t>CUST53848</t>
  </si>
  <si>
    <t>ORD26001756</t>
  </si>
  <si>
    <t>CUST96944</t>
  </si>
  <si>
    <t>ORD26001757</t>
  </si>
  <si>
    <t>CUST14634</t>
  </si>
  <si>
    <t>ORD26001758</t>
  </si>
  <si>
    <t>CUST82276</t>
  </si>
  <si>
    <t>ORD26001759</t>
  </si>
  <si>
    <t>CUST76532</t>
  </si>
  <si>
    <t>ORD26001760</t>
  </si>
  <si>
    <t>CUST39852</t>
  </si>
  <si>
    <t>ORD26001761</t>
  </si>
  <si>
    <t>CUST80016</t>
  </si>
  <si>
    <t>ORD26001762</t>
  </si>
  <si>
    <t>CUST16834</t>
  </si>
  <si>
    <t>ORD26001763</t>
  </si>
  <si>
    <t>CUST28057</t>
  </si>
  <si>
    <t>ORD26001764</t>
  </si>
  <si>
    <t>CUST35381</t>
  </si>
  <si>
    <t>ORD26001765</t>
  </si>
  <si>
    <t>CUST39769</t>
  </si>
  <si>
    <t>ORD26001766</t>
  </si>
  <si>
    <t>CUST42757</t>
  </si>
  <si>
    <t>ORD26001767</t>
  </si>
  <si>
    <t>CUST51173</t>
  </si>
  <si>
    <t>ORD26001768</t>
  </si>
  <si>
    <t>CUST26040</t>
  </si>
  <si>
    <t>ORD26001769</t>
  </si>
  <si>
    <t>CUST56787</t>
  </si>
  <si>
    <t>ORD26001770</t>
  </si>
  <si>
    <t>CUST42008</t>
  </si>
  <si>
    <t>ORD26001771</t>
  </si>
  <si>
    <t>CUST17077</t>
  </si>
  <si>
    <t>ORD26001772</t>
  </si>
  <si>
    <t>CUST27974</t>
  </si>
  <si>
    <t>ORD26001773</t>
  </si>
  <si>
    <t>CUST28607</t>
  </si>
  <si>
    <t>ORD26001774</t>
  </si>
  <si>
    <t>CUST75392</t>
  </si>
  <si>
    <t>ORD26001775</t>
  </si>
  <si>
    <t>CUST21074</t>
  </si>
  <si>
    <t>ORD26001776</t>
  </si>
  <si>
    <t>CUST68198</t>
  </si>
  <si>
    <t>ORD26001777</t>
  </si>
  <si>
    <t>CUST16849</t>
  </si>
  <si>
    <t>ORD26001778</t>
  </si>
  <si>
    <t>CUST54068</t>
  </si>
  <si>
    <t>ORD26001779</t>
  </si>
  <si>
    <t>CUST91465</t>
  </si>
  <si>
    <t>ORD26001780</t>
  </si>
  <si>
    <t>CUST24314</t>
  </si>
  <si>
    <t>ORD26001781</t>
  </si>
  <si>
    <t>ORD26001782</t>
  </si>
  <si>
    <t>CUST71254</t>
  </si>
  <si>
    <t>ORD26001783</t>
  </si>
  <si>
    <t>CUST21211</t>
  </si>
  <si>
    <t>ORD26001784</t>
  </si>
  <si>
    <t>CUST45949</t>
  </si>
  <si>
    <t>ORD26001785</t>
  </si>
  <si>
    <t>CUST26293</t>
  </si>
  <si>
    <t>ORD26001786</t>
  </si>
  <si>
    <t>CUST12263</t>
  </si>
  <si>
    <t>ORD26001787</t>
  </si>
  <si>
    <t>CUST38553</t>
  </si>
  <si>
    <t>ORD26001788</t>
  </si>
  <si>
    <t>CUST18394</t>
  </si>
  <si>
    <t>ORD26001789</t>
  </si>
  <si>
    <t>CUST74871</t>
  </si>
  <si>
    <t>ORD26001790</t>
  </si>
  <si>
    <t>CUST25000</t>
  </si>
  <si>
    <t>ORD26001791</t>
  </si>
  <si>
    <t>CUST39878</t>
  </si>
  <si>
    <t>ORD26001792</t>
  </si>
  <si>
    <t>CUST56312</t>
  </si>
  <si>
    <t>ORD26001793</t>
  </si>
  <si>
    <t>CUST76445</t>
  </si>
  <si>
    <t>ORD26001794</t>
  </si>
  <si>
    <t>CUST99262</t>
  </si>
  <si>
    <t>ORD26001795</t>
  </si>
  <si>
    <t>CUST57223</t>
  </si>
  <si>
    <t>ORD26001796</t>
  </si>
  <si>
    <t>CUST15847</t>
  </si>
  <si>
    <t>ORD26001797</t>
  </si>
  <si>
    <t>CUST51039</t>
  </si>
  <si>
    <t>ORD26001798</t>
  </si>
  <si>
    <t>CUST59655</t>
  </si>
  <si>
    <t>ORD26001799</t>
  </si>
  <si>
    <t>CUST20133</t>
  </si>
  <si>
    <t>ORD26001800</t>
  </si>
  <si>
    <t>CUST25891</t>
  </si>
  <si>
    <t>ORD26001801</t>
  </si>
  <si>
    <t>CUST67805</t>
  </si>
  <si>
    <t>ORD26001802</t>
  </si>
  <si>
    <t>CUST53081</t>
  </si>
  <si>
    <t>ORD26001803</t>
  </si>
  <si>
    <t>CUST25127</t>
  </si>
  <si>
    <t>ORD26001804</t>
  </si>
  <si>
    <t>CUST57486</t>
  </si>
  <si>
    <t>ORD26001805</t>
  </si>
  <si>
    <t>CUST26420</t>
  </si>
  <si>
    <t>ORD26001806</t>
  </si>
  <si>
    <t>CUST47602</t>
  </si>
  <si>
    <t>ORD26001807</t>
  </si>
  <si>
    <t>CUST29450</t>
  </si>
  <si>
    <t>ORD26001808</t>
  </si>
  <si>
    <t>CUST25832</t>
  </si>
  <si>
    <t>ORD26001809</t>
  </si>
  <si>
    <t>CUST14466</t>
  </si>
  <si>
    <t>ORD26001810</t>
  </si>
  <si>
    <t>CUST60870</t>
  </si>
  <si>
    <t>ORD26001811</t>
  </si>
  <si>
    <t>CUST48455</t>
  </si>
  <si>
    <t>ORD26001812</t>
  </si>
  <si>
    <t>CUST15929</t>
  </si>
  <si>
    <t>ORD26001813</t>
  </si>
  <si>
    <t>CUST67106</t>
  </si>
  <si>
    <t>ORD26001814</t>
  </si>
  <si>
    <t>CUST87274</t>
  </si>
  <si>
    <t>ORD26001815</t>
  </si>
  <si>
    <t>CUST95118</t>
  </si>
  <si>
    <t>ORD26001816</t>
  </si>
  <si>
    <t>CUST46608</t>
  </si>
  <si>
    <t>ORD26001817</t>
  </si>
  <si>
    <t>CUST78838</t>
  </si>
  <si>
    <t>ORD26001818</t>
  </si>
  <si>
    <t>CUST28769</t>
  </si>
  <si>
    <t>ORD26001819</t>
  </si>
  <si>
    <t>CUST90671</t>
  </si>
  <si>
    <t>ORD26001820</t>
  </si>
  <si>
    <t>CUST73784</t>
  </si>
  <si>
    <t>ORD26001821</t>
  </si>
  <si>
    <t>CUST89451</t>
  </si>
  <si>
    <t>ORD26001822</t>
  </si>
  <si>
    <t>CUST82373</t>
  </si>
  <si>
    <t>ORD26001823</t>
  </si>
  <si>
    <t>CUST80756</t>
  </si>
  <si>
    <t>ORD26001824</t>
  </si>
  <si>
    <t>CUST58436</t>
  </si>
  <si>
    <t>ORD26001825</t>
  </si>
  <si>
    <t>CUST69486</t>
  </si>
  <si>
    <t>ORD26001826</t>
  </si>
  <si>
    <t>CUST68249</t>
  </si>
  <si>
    <t>ORD26001827</t>
  </si>
  <si>
    <t>CUST97649</t>
  </si>
  <si>
    <t>ORD26001828</t>
  </si>
  <si>
    <t>ORD26001829</t>
  </si>
  <si>
    <t>CUST98091</t>
  </si>
  <si>
    <t>ORD26001830</t>
  </si>
  <si>
    <t>CUST78327</t>
  </si>
  <si>
    <t>ORD26001831</t>
  </si>
  <si>
    <t>CUST93164</t>
  </si>
  <si>
    <t>ORD26001832</t>
  </si>
  <si>
    <t>CUST98257</t>
  </si>
  <si>
    <t>ORD26001833</t>
  </si>
  <si>
    <t>CUST47040</t>
  </si>
  <si>
    <t>ORD26001834</t>
  </si>
  <si>
    <t>CUST66927</t>
  </si>
  <si>
    <t>ORD26001835</t>
  </si>
  <si>
    <t>CUST44481</t>
  </si>
  <si>
    <t>ORD26001836</t>
  </si>
  <si>
    <t>CUST33601</t>
  </si>
  <si>
    <t>ORD26001837</t>
  </si>
  <si>
    <t>CUST92578</t>
  </si>
  <si>
    <t>ORD26001838</t>
  </si>
  <si>
    <t>ORD26001839</t>
  </si>
  <si>
    <t>CUST70913</t>
  </si>
  <si>
    <t>ORD26001840</t>
  </si>
  <si>
    <t>CUST73404</t>
  </si>
  <si>
    <t>ORD26001841</t>
  </si>
  <si>
    <t>CUST38194</t>
  </si>
  <si>
    <t>ORD26001842</t>
  </si>
  <si>
    <t>CUST61298</t>
  </si>
  <si>
    <t>ORD26001843</t>
  </si>
  <si>
    <t>CUST54543</t>
  </si>
  <si>
    <t>ORD26001844</t>
  </si>
  <si>
    <t>CUST37027</t>
  </si>
  <si>
    <t>ORD26001845</t>
  </si>
  <si>
    <t>CUST12767</t>
  </si>
  <si>
    <t>ORD26001846</t>
  </si>
  <si>
    <t>CUST16450</t>
  </si>
  <si>
    <t>ORD26001847</t>
  </si>
  <si>
    <t>CUST80215</t>
  </si>
  <si>
    <t>ORD26001848</t>
  </si>
  <si>
    <t>CUST64184</t>
  </si>
  <si>
    <t>ORD26001849</t>
  </si>
  <si>
    <t>CUST79016</t>
  </si>
  <si>
    <t>ORD26001850</t>
  </si>
  <si>
    <t>CUST13177</t>
  </si>
  <si>
    <t>ORD26001851</t>
  </si>
  <si>
    <t>CUST59526</t>
  </si>
  <si>
    <t>ORD26001852</t>
  </si>
  <si>
    <t>CUST64444</t>
  </si>
  <si>
    <t>9147.0</t>
  </si>
  <si>
    <t>ORD26001853</t>
  </si>
  <si>
    <t>CUST87095</t>
  </si>
  <si>
    <t>ORD26001854</t>
  </si>
  <si>
    <t>CUST13071</t>
  </si>
  <si>
    <t>ORD26001855</t>
  </si>
  <si>
    <t>CUST71787</t>
  </si>
  <si>
    <t>ORD26001856</t>
  </si>
  <si>
    <t>CUST73353</t>
  </si>
  <si>
    <t>ORD26001857</t>
  </si>
  <si>
    <t>CUST61595</t>
  </si>
  <si>
    <t>ORD26001858</t>
  </si>
  <si>
    <t>CUST13262</t>
  </si>
  <si>
    <t>ORD26001859</t>
  </si>
  <si>
    <t>CUST94255</t>
  </si>
  <si>
    <t>ORD26001860</t>
  </si>
  <si>
    <t>CUST83516</t>
  </si>
  <si>
    <t>ORD26001861</t>
  </si>
  <si>
    <t>CUST72064</t>
  </si>
  <si>
    <t>ORD26001862</t>
  </si>
  <si>
    <t>CUST63983</t>
  </si>
  <si>
    <t>ORD26001863</t>
  </si>
  <si>
    <t>CUST84096</t>
  </si>
  <si>
    <t>ORD26001864</t>
  </si>
  <si>
    <t>CUST74058</t>
  </si>
  <si>
    <t>ORD26001865</t>
  </si>
  <si>
    <t>CUST73307</t>
  </si>
  <si>
    <t>ORD26001866</t>
  </si>
  <si>
    <t>CUST26683</t>
  </si>
  <si>
    <t>ORD26001867</t>
  </si>
  <si>
    <t>CUST24898</t>
  </si>
  <si>
    <t>ORD26001868</t>
  </si>
  <si>
    <t>CUST28332</t>
  </si>
  <si>
    <t>ORD26001869</t>
  </si>
  <si>
    <t>CUST98694</t>
  </si>
  <si>
    <t>ORD26001870</t>
  </si>
  <si>
    <t>CUST31750</t>
  </si>
  <si>
    <t>ORD26001871</t>
  </si>
  <si>
    <t>CUST58660</t>
  </si>
  <si>
    <t>ORD26001872</t>
  </si>
  <si>
    <t>CUST27739</t>
  </si>
  <si>
    <t>ORD26001873</t>
  </si>
  <si>
    <t>CUST71668</t>
  </si>
  <si>
    <t>ORD26001874</t>
  </si>
  <si>
    <t>CUST80481</t>
  </si>
  <si>
    <t>ORD26001875</t>
  </si>
  <si>
    <t>CUST18751</t>
  </si>
  <si>
    <t>ORD26001876</t>
  </si>
  <si>
    <t>CUST45989</t>
  </si>
  <si>
    <t>ORD26001877</t>
  </si>
  <si>
    <t>CUST62857</t>
  </si>
  <si>
    <t>ORD26001878</t>
  </si>
  <si>
    <t>CUST23497</t>
  </si>
  <si>
    <t>ORD26001879</t>
  </si>
  <si>
    <t>CUST78461</t>
  </si>
  <si>
    <t>ORD26001880</t>
  </si>
  <si>
    <t>CUST46338</t>
  </si>
  <si>
    <t>ORD26001881</t>
  </si>
  <si>
    <t>CUST38369</t>
  </si>
  <si>
    <t>1,098.00</t>
  </si>
  <si>
    <t>ORD26001882</t>
  </si>
  <si>
    <t>CUST52380</t>
  </si>
  <si>
    <t>ORD26001883</t>
  </si>
  <si>
    <t>CUST97142</t>
  </si>
  <si>
    <t>ORD26001884</t>
  </si>
  <si>
    <t>CUST61543</t>
  </si>
  <si>
    <t>ORD26001885</t>
  </si>
  <si>
    <t>CUST51546</t>
  </si>
  <si>
    <t>ORD26001886</t>
  </si>
  <si>
    <t>CUST46403</t>
  </si>
  <si>
    <t>ORD26001887</t>
  </si>
  <si>
    <t>CUST99832</t>
  </si>
  <si>
    <t>ORD26001888</t>
  </si>
  <si>
    <t>CUST71089</t>
  </si>
  <si>
    <t>ORD26001889</t>
  </si>
  <si>
    <t>CUST35032</t>
  </si>
  <si>
    <t>ORD26001890</t>
  </si>
  <si>
    <t>CUST57315</t>
  </si>
  <si>
    <t>ORD26001891</t>
  </si>
  <si>
    <t>CUST58348</t>
  </si>
  <si>
    <t>ORD26001892</t>
  </si>
  <si>
    <t>CUST94105</t>
  </si>
  <si>
    <t>ORD26001893</t>
  </si>
  <si>
    <t>CUST17500</t>
  </si>
  <si>
    <t>ORD26001894</t>
  </si>
  <si>
    <t>CUST89632</t>
  </si>
  <si>
    <t>ORD26001895</t>
  </si>
  <si>
    <t>CUST81511</t>
  </si>
  <si>
    <t>ORD26001896</t>
  </si>
  <si>
    <t>CUST33187</t>
  </si>
  <si>
    <t>ORD26001897</t>
  </si>
  <si>
    <t>CUST18169</t>
  </si>
  <si>
    <t>ORD26001898</t>
  </si>
  <si>
    <t>CUST12185</t>
  </si>
  <si>
    <t>ORD26001899</t>
  </si>
  <si>
    <t>CUST58005</t>
  </si>
  <si>
    <t>12,497.00</t>
  </si>
  <si>
    <t>ORD26001900</t>
  </si>
  <si>
    <t>CUST35289</t>
  </si>
  <si>
    <t>ORD26001901</t>
  </si>
  <si>
    <t>CUST36041</t>
  </si>
  <si>
    <t>ORD26001902</t>
  </si>
  <si>
    <t>CUST10422</t>
  </si>
  <si>
    <t>ORD26001903</t>
  </si>
  <si>
    <t>CUST21284</t>
  </si>
  <si>
    <t>ORD26001904</t>
  </si>
  <si>
    <t>CUST21326</t>
  </si>
  <si>
    <t>698.00</t>
  </si>
  <si>
    <t>ORD26001905</t>
  </si>
  <si>
    <t>CUST38511</t>
  </si>
  <si>
    <t>ORD26001906</t>
  </si>
  <si>
    <t>CUST99245</t>
  </si>
  <si>
    <t>ORD26001907</t>
  </si>
  <si>
    <t>CUST46564</t>
  </si>
  <si>
    <t>ORD26001908</t>
  </si>
  <si>
    <t>CUST36112</t>
  </si>
  <si>
    <t>ORD26001909</t>
  </si>
  <si>
    <t>CUST56550</t>
  </si>
  <si>
    <t>ORD26001910</t>
  </si>
  <si>
    <t>CUST92709</t>
  </si>
  <si>
    <t>ORD26001911</t>
  </si>
  <si>
    <t>CUST66866</t>
  </si>
  <si>
    <t>ORD26001912</t>
  </si>
  <si>
    <t>CUST82300</t>
  </si>
  <si>
    <t>6,397.00</t>
  </si>
  <si>
    <t>ORD26001913</t>
  </si>
  <si>
    <t>CUST14121</t>
  </si>
  <si>
    <t>ORD26001914</t>
  </si>
  <si>
    <t>CUST58795</t>
  </si>
  <si>
    <t>ORD26001915</t>
  </si>
  <si>
    <t>CUST11035</t>
  </si>
  <si>
    <t>ORD26001916</t>
  </si>
  <si>
    <t>CUST56924</t>
  </si>
  <si>
    <t>ORD26001917</t>
  </si>
  <si>
    <t>CUST90820</t>
  </si>
  <si>
    <t>ORD26001918</t>
  </si>
  <si>
    <t>CUST41927</t>
  </si>
  <si>
    <t>ORD26001919</t>
  </si>
  <si>
    <t>CUST49344</t>
  </si>
  <si>
    <t>ORD26001920</t>
  </si>
  <si>
    <t>CUST24136</t>
  </si>
  <si>
    <t>ORD26001921</t>
  </si>
  <si>
    <t>CUST77135</t>
  </si>
  <si>
    <t>ORD26001922</t>
  </si>
  <si>
    <t>CUST36012</t>
  </si>
  <si>
    <t>ORD26001923</t>
  </si>
  <si>
    <t>CUST17051</t>
  </si>
  <si>
    <t>ORD26001924</t>
  </si>
  <si>
    <t>CUST70370</t>
  </si>
  <si>
    <t>ORD26001925</t>
  </si>
  <si>
    <t>CUST20534</t>
  </si>
  <si>
    <t>ORD26001926</t>
  </si>
  <si>
    <t>CUST99746</t>
  </si>
  <si>
    <t>ORD26001927</t>
  </si>
  <si>
    <t>CUST71708</t>
  </si>
  <si>
    <t>ORD26001928</t>
  </si>
  <si>
    <t>CUST70749</t>
  </si>
  <si>
    <t>ORD26001929</t>
  </si>
  <si>
    <t>CUST27501</t>
  </si>
  <si>
    <t>ORD26001930</t>
  </si>
  <si>
    <t>CUST65652</t>
  </si>
  <si>
    <t>ORD26001931</t>
  </si>
  <si>
    <t>CUST86864</t>
  </si>
  <si>
    <t>ORD26001932</t>
  </si>
  <si>
    <t>ORD26001933</t>
  </si>
  <si>
    <t>ORD26001934</t>
  </si>
  <si>
    <t>CUST60340</t>
  </si>
  <si>
    <t>ORD26001935</t>
  </si>
  <si>
    <t>CUST73000</t>
  </si>
  <si>
    <t>ORD26001936</t>
  </si>
  <si>
    <t>CUST23950</t>
  </si>
  <si>
    <t>ORD26001937</t>
  </si>
  <si>
    <t>CUST63015</t>
  </si>
  <si>
    <t>ORD26001938</t>
  </si>
  <si>
    <t>CUST69597</t>
  </si>
  <si>
    <t>ORD26001939</t>
  </si>
  <si>
    <t>ORD26001940</t>
  </si>
  <si>
    <t>CUST80126</t>
  </si>
  <si>
    <t>ORD26001941</t>
  </si>
  <si>
    <t>CUST98436</t>
  </si>
  <si>
    <t>ORD26001942</t>
  </si>
  <si>
    <t>CUST43795</t>
  </si>
  <si>
    <t>ORD26001943</t>
  </si>
  <si>
    <t>CUST46924</t>
  </si>
  <si>
    <t>ORD26001944</t>
  </si>
  <si>
    <t>CUST58404</t>
  </si>
  <si>
    <t>ORD26001945</t>
  </si>
  <si>
    <t>CUST81139</t>
  </si>
  <si>
    <t>ORD26001946</t>
  </si>
  <si>
    <t>CUST49017</t>
  </si>
  <si>
    <t>ORD26001947</t>
  </si>
  <si>
    <t>CUST61932</t>
  </si>
  <si>
    <t>ORD26001948</t>
  </si>
  <si>
    <t>CUST92958</t>
  </si>
  <si>
    <t>ORD26001949</t>
  </si>
  <si>
    <t>CUST41994</t>
  </si>
  <si>
    <t>ORD26001950</t>
  </si>
  <si>
    <t>CUST89869</t>
  </si>
  <si>
    <t>ORD26001951</t>
  </si>
  <si>
    <t>CUST49581</t>
  </si>
  <si>
    <t>ORD26001952</t>
  </si>
  <si>
    <t>CUST95576</t>
  </si>
  <si>
    <t>ORD26001953</t>
  </si>
  <si>
    <t>CUST49741</t>
  </si>
  <si>
    <t>ORD26001954</t>
  </si>
  <si>
    <t>CUST59051</t>
  </si>
  <si>
    <t>ORD26001955</t>
  </si>
  <si>
    <t>CUST34341</t>
  </si>
  <si>
    <t>ORD26001956</t>
  </si>
  <si>
    <t>CUST45740</t>
  </si>
  <si>
    <t>ORD26001957</t>
  </si>
  <si>
    <t>CUST46014</t>
  </si>
  <si>
    <t>ORD26001958</t>
  </si>
  <si>
    <t>CUST12368</t>
  </si>
  <si>
    <t>ORD26001959</t>
  </si>
  <si>
    <t>CUST70377</t>
  </si>
  <si>
    <t>ORD26001960</t>
  </si>
  <si>
    <t>CUST11647</t>
  </si>
  <si>
    <t>ORD26001961</t>
  </si>
  <si>
    <t>CUST75401</t>
  </si>
  <si>
    <t>ORD26001962</t>
  </si>
  <si>
    <t>CUST84883</t>
  </si>
  <si>
    <t>ORD26001963</t>
  </si>
  <si>
    <t>CUST79414</t>
  </si>
  <si>
    <t>ORD26001964</t>
  </si>
  <si>
    <t>CUST13875</t>
  </si>
  <si>
    <t>ORD26001965</t>
  </si>
  <si>
    <t>CUST13068</t>
  </si>
  <si>
    <t>ORD26001966</t>
  </si>
  <si>
    <t>CUST89576</t>
  </si>
  <si>
    <t>ORD26001967</t>
  </si>
  <si>
    <t>CUST33412</t>
  </si>
  <si>
    <t>ORD26001968</t>
  </si>
  <si>
    <t>CUST88544</t>
  </si>
  <si>
    <t>ORD26001969</t>
  </si>
  <si>
    <t>CUST92984</t>
  </si>
  <si>
    <t>ORD26001970</t>
  </si>
  <si>
    <t>CUST70806</t>
  </si>
  <si>
    <t>ORD26001971</t>
  </si>
  <si>
    <t>CUST79817</t>
  </si>
  <si>
    <t>ORD26001972</t>
  </si>
  <si>
    <t>CUST86042</t>
  </si>
  <si>
    <t>ORD26001973</t>
  </si>
  <si>
    <t>CUST89915</t>
  </si>
  <si>
    <t>ORD26001974</t>
  </si>
  <si>
    <t>CUST12992</t>
  </si>
  <si>
    <t>ORD26001975</t>
  </si>
  <si>
    <t>CUST21923</t>
  </si>
  <si>
    <t>ORD26001976</t>
  </si>
  <si>
    <t>CUST35301</t>
  </si>
  <si>
    <t>10497.0</t>
  </si>
  <si>
    <t>ORD26001977</t>
  </si>
  <si>
    <t>CUST36186</t>
  </si>
  <si>
    <t>ORD26001978</t>
  </si>
  <si>
    <t>CUST70447</t>
  </si>
  <si>
    <t>ORD26001979</t>
  </si>
  <si>
    <t>CUST75564</t>
  </si>
  <si>
    <t>ORD26001980</t>
  </si>
  <si>
    <t>CUST42094</t>
  </si>
  <si>
    <t>ORD26001981</t>
  </si>
  <si>
    <t>CUST63260</t>
  </si>
  <si>
    <t>ORD26001982</t>
  </si>
  <si>
    <t>CUST80430</t>
  </si>
  <si>
    <t>ORD26001983</t>
  </si>
  <si>
    <t>CUST17836</t>
  </si>
  <si>
    <t>ORD26001984</t>
  </si>
  <si>
    <t>CUST62354</t>
  </si>
  <si>
    <t>ORD26001985</t>
  </si>
  <si>
    <t>CUST44406</t>
  </si>
  <si>
    <t>ORD26001986</t>
  </si>
  <si>
    <t>CUST54542</t>
  </si>
  <si>
    <t>ORD26001987</t>
  </si>
  <si>
    <t>CUST53257</t>
  </si>
  <si>
    <t>ORD26001988</t>
  </si>
  <si>
    <t>CUST68284</t>
  </si>
  <si>
    <t>ORD26001989</t>
  </si>
  <si>
    <t>CUST28352</t>
  </si>
  <si>
    <t>ORD26001990</t>
  </si>
  <si>
    <t>CUST57542</t>
  </si>
  <si>
    <t>ORD26001991</t>
  </si>
  <si>
    <t>CUST98247</t>
  </si>
  <si>
    <t>ORD26001992</t>
  </si>
  <si>
    <t>CUST60361</t>
  </si>
  <si>
    <t>ORD26001993</t>
  </si>
  <si>
    <t>CUST29446</t>
  </si>
  <si>
    <t>ORD26001994</t>
  </si>
  <si>
    <t>CUST77740</t>
  </si>
  <si>
    <t>ORD26001995</t>
  </si>
  <si>
    <t>CUST75679</t>
  </si>
  <si>
    <t>ORD26001996</t>
  </si>
  <si>
    <t>CUST32167</t>
  </si>
  <si>
    <t>ORD26001997</t>
  </si>
  <si>
    <t>CUST18487</t>
  </si>
  <si>
    <t>ORD26001998</t>
  </si>
  <si>
    <t>CUST25675</t>
  </si>
  <si>
    <t>ORD26001999</t>
  </si>
  <si>
    <t>CUST78697</t>
  </si>
  <si>
    <t>ORD26002000</t>
  </si>
  <si>
    <t>CUST22955</t>
  </si>
  <si>
    <t>ORD26002001</t>
  </si>
  <si>
    <t>ORD26002002</t>
  </si>
  <si>
    <t>CUST43563</t>
  </si>
  <si>
    <t>ORD26002003</t>
  </si>
  <si>
    <t>CUST15273</t>
  </si>
  <si>
    <t>9,197.00</t>
  </si>
  <si>
    <t>ORD26002004</t>
  </si>
  <si>
    <t>CUST18345</t>
  </si>
  <si>
    <t>1,148.00</t>
  </si>
  <si>
    <t>ORD26002005</t>
  </si>
  <si>
    <t>CUST86188</t>
  </si>
  <si>
    <t>ORD26002006</t>
  </si>
  <si>
    <t>CUST93087</t>
  </si>
  <si>
    <t>ORD26002007</t>
  </si>
  <si>
    <t>CUST81089</t>
  </si>
  <si>
    <t>ORD26002008</t>
  </si>
  <si>
    <t>CUST24617</t>
  </si>
  <si>
    <t>ORD26002009</t>
  </si>
  <si>
    <t>CUST10064</t>
  </si>
  <si>
    <t>8097.0</t>
  </si>
  <si>
    <t>ORD26002010</t>
  </si>
  <si>
    <t>CUST76491</t>
  </si>
  <si>
    <t>ORD26002011</t>
  </si>
  <si>
    <t>CUST42639</t>
  </si>
  <si>
    <t>ORD26002012</t>
  </si>
  <si>
    <t>ORD26002013</t>
  </si>
  <si>
    <t>CUST18593</t>
  </si>
  <si>
    <t>ORD26002014</t>
  </si>
  <si>
    <t>CUST93608</t>
  </si>
  <si>
    <t>ORD26002015</t>
  </si>
  <si>
    <t>CUST37946</t>
  </si>
  <si>
    <t>ORD26002016</t>
  </si>
  <si>
    <t>CUST99751</t>
  </si>
  <si>
    <t>ORD26002017</t>
  </si>
  <si>
    <t>CUST35153</t>
  </si>
  <si>
    <t>ORD26002018</t>
  </si>
  <si>
    <t>CUST52687</t>
  </si>
  <si>
    <t>ORD26002019</t>
  </si>
  <si>
    <t>CUST44452</t>
  </si>
  <si>
    <t>ORD26002020</t>
  </si>
  <si>
    <t>CUST56390</t>
  </si>
  <si>
    <t>ORD26002021</t>
  </si>
  <si>
    <t>CUST10743</t>
  </si>
  <si>
    <t>ORD26002022</t>
  </si>
  <si>
    <t>CUST45940</t>
  </si>
  <si>
    <t>ORD26002023</t>
  </si>
  <si>
    <t>CUST58952</t>
  </si>
  <si>
    <t>ORD26002024</t>
  </si>
  <si>
    <t>CUST36142</t>
  </si>
  <si>
    <t>ORD26002025</t>
  </si>
  <si>
    <t>CUST31026</t>
  </si>
  <si>
    <t>ORD26002026</t>
  </si>
  <si>
    <t>CUST16029</t>
  </si>
  <si>
    <t>ORD26002027</t>
  </si>
  <si>
    <t>CUST17774</t>
  </si>
  <si>
    <t>ORD26002028</t>
  </si>
  <si>
    <t>CUST24553</t>
  </si>
  <si>
    <t>ORD26002029</t>
  </si>
  <si>
    <t>CUST29715</t>
  </si>
  <si>
    <t>ORD26002030</t>
  </si>
  <si>
    <t>CUST85069</t>
  </si>
  <si>
    <t>2,398.00</t>
  </si>
  <si>
    <t>ORD26002031</t>
  </si>
  <si>
    <t>CUST28411</t>
  </si>
  <si>
    <t>ORD26002032</t>
  </si>
  <si>
    <t>CUST68437</t>
  </si>
  <si>
    <t>ORD26002033</t>
  </si>
  <si>
    <t>CUST36081</t>
  </si>
  <si>
    <t>ORD26002034</t>
  </si>
  <si>
    <t>CUST66011</t>
  </si>
  <si>
    <t>ORD26002035</t>
  </si>
  <si>
    <t>CUST77143</t>
  </si>
  <si>
    <t>ORD26002036</t>
  </si>
  <si>
    <t>CUST52869</t>
  </si>
  <si>
    <t>ORD26002037</t>
  </si>
  <si>
    <t>CUST19902</t>
  </si>
  <si>
    <t>ORD26002038</t>
  </si>
  <si>
    <t>CUST21498</t>
  </si>
  <si>
    <t>ORD26002039</t>
  </si>
  <si>
    <t>CUST99647</t>
  </si>
  <si>
    <t>ORD26002040</t>
  </si>
  <si>
    <t>CUST29949</t>
  </si>
  <si>
    <t>ORD26002041</t>
  </si>
  <si>
    <t>CUST66675</t>
  </si>
  <si>
    <t>ORD26002042</t>
  </si>
  <si>
    <t>CUST11119</t>
  </si>
  <si>
    <t>ORD26002043</t>
  </si>
  <si>
    <t>CUST52810</t>
  </si>
  <si>
    <t>ORD26002044</t>
  </si>
  <si>
    <t>CUST85609</t>
  </si>
  <si>
    <t>8597.0</t>
  </si>
  <si>
    <t>ORD26002045</t>
  </si>
  <si>
    <t>CUST79916</t>
  </si>
  <si>
    <t>ORD26002046</t>
  </si>
  <si>
    <t>CUST19078</t>
  </si>
  <si>
    <t>ORD26002047</t>
  </si>
  <si>
    <t>CUST31402</t>
  </si>
  <si>
    <t>ORD26002048</t>
  </si>
  <si>
    <t>CUST67624</t>
  </si>
  <si>
    <t>ORD26002049</t>
  </si>
  <si>
    <t>CUST37339</t>
  </si>
  <si>
    <t>ORD26002050</t>
  </si>
  <si>
    <t>CUST87360</t>
  </si>
  <si>
    <t>ORD26002051</t>
  </si>
  <si>
    <t>CUST25951</t>
  </si>
  <si>
    <t>ORD26002052</t>
  </si>
  <si>
    <t>CUST56974</t>
  </si>
  <si>
    <t>ORD26002053</t>
  </si>
  <si>
    <t>CUST57167</t>
  </si>
  <si>
    <t>ORD26002054</t>
  </si>
  <si>
    <t>CUST65052</t>
  </si>
  <si>
    <t>ORD26002055</t>
  </si>
  <si>
    <t>CUST18559</t>
  </si>
  <si>
    <t>ORD26002056</t>
  </si>
  <si>
    <t>CUST61076</t>
  </si>
  <si>
    <t>ORD26002057</t>
  </si>
  <si>
    <t>CUST28446</t>
  </si>
  <si>
    <t>ORD26002058</t>
  </si>
  <si>
    <t>CUST71579</t>
  </si>
  <si>
    <t>ORD26002059</t>
  </si>
  <si>
    <t>CUST58719</t>
  </si>
  <si>
    <t>ORD26002060</t>
  </si>
  <si>
    <t>CUST29841</t>
  </si>
  <si>
    <t>ORD26002061</t>
  </si>
  <si>
    <t>CUST50116</t>
  </si>
  <si>
    <t>ORD26002062</t>
  </si>
  <si>
    <t>CUST13385</t>
  </si>
  <si>
    <t>ORD26002063</t>
  </si>
  <si>
    <t>CUST16094</t>
  </si>
  <si>
    <t>ORD26002064</t>
  </si>
  <si>
    <t>CUST55700</t>
  </si>
  <si>
    <t>5,298.00</t>
  </si>
  <si>
    <t>ORD26002065</t>
  </si>
  <si>
    <t>CUST64404</t>
  </si>
  <si>
    <t>ORD26002066</t>
  </si>
  <si>
    <t>CUST50819</t>
  </si>
  <si>
    <t>ORD26002067</t>
  </si>
  <si>
    <t>CUST90427</t>
  </si>
  <si>
    <t>ORD26002068</t>
  </si>
  <si>
    <t>CUST38745</t>
  </si>
  <si>
    <t>ORD26002069</t>
  </si>
  <si>
    <t>CUST62931</t>
  </si>
  <si>
    <t>ORD26002070</t>
  </si>
  <si>
    <t>CUST96424</t>
  </si>
  <si>
    <t>ORD26002071</t>
  </si>
  <si>
    <t>CUST44960</t>
  </si>
  <si>
    <t>ORD26002072</t>
  </si>
  <si>
    <t>CUST14485</t>
  </si>
  <si>
    <t>ORD26002073</t>
  </si>
  <si>
    <t>CUST28737</t>
  </si>
  <si>
    <t>ORD26002074</t>
  </si>
  <si>
    <t>CUST73016</t>
  </si>
  <si>
    <t>ORD26002075</t>
  </si>
  <si>
    <t>CUST85654</t>
  </si>
  <si>
    <t>ORD26002076</t>
  </si>
  <si>
    <t>CUST25442</t>
  </si>
  <si>
    <t>ORD26002077</t>
  </si>
  <si>
    <t>CUST54693</t>
  </si>
  <si>
    <t>ORD26002078</t>
  </si>
  <si>
    <t>CUST78035</t>
  </si>
  <si>
    <t>ORD26002079</t>
  </si>
  <si>
    <t>ORD26002080</t>
  </si>
  <si>
    <t>CUST26554</t>
  </si>
  <si>
    <t>ORD26002081</t>
  </si>
  <si>
    <t>CUST76155</t>
  </si>
  <si>
    <t>ORD26002082</t>
  </si>
  <si>
    <t>CUST12191</t>
  </si>
  <si>
    <t>ORD26002083</t>
  </si>
  <si>
    <t>ORD26002084</t>
  </si>
  <si>
    <t>CUST79582</t>
  </si>
  <si>
    <t>ORD26002085</t>
  </si>
  <si>
    <t>CUST91026</t>
  </si>
  <si>
    <t>ORD26002086</t>
  </si>
  <si>
    <t>CUST16411</t>
  </si>
  <si>
    <t>ORD26002087</t>
  </si>
  <si>
    <t>CUST27841</t>
  </si>
  <si>
    <t>ORD26002088</t>
  </si>
  <si>
    <t>CUST37361</t>
  </si>
  <si>
    <t>ORD26002089</t>
  </si>
  <si>
    <t>CUST73036</t>
  </si>
  <si>
    <t>ORD26002090</t>
  </si>
  <si>
    <t>CUST61249</t>
  </si>
  <si>
    <t>ORD26002091</t>
  </si>
  <si>
    <t>CUST46204</t>
  </si>
  <si>
    <t>ORD26002092</t>
  </si>
  <si>
    <t>CUST29902</t>
  </si>
  <si>
    <t>ORD26002093</t>
  </si>
  <si>
    <t>CUST93460</t>
  </si>
  <si>
    <t>ORD26002094</t>
  </si>
  <si>
    <t>CUST71749</t>
  </si>
  <si>
    <t>ORD26002095</t>
  </si>
  <si>
    <t>CUST69554</t>
  </si>
  <si>
    <t>ORD26002096</t>
  </si>
  <si>
    <t>CUST24789</t>
  </si>
  <si>
    <t>ORD26002097</t>
  </si>
  <si>
    <t>CUST48155</t>
  </si>
  <si>
    <t>ORD26002098</t>
  </si>
  <si>
    <t>CUST88518</t>
  </si>
  <si>
    <t>ORD26002099</t>
  </si>
  <si>
    <t>CUST93631</t>
  </si>
  <si>
    <t>12997.0</t>
  </si>
  <si>
    <t>ORD26002100</t>
  </si>
  <si>
    <t>CUST42986</t>
  </si>
  <si>
    <t>ORD26002101</t>
  </si>
  <si>
    <t>CUST11694</t>
  </si>
  <si>
    <t>ORD26002102</t>
  </si>
  <si>
    <t>CUST97245</t>
  </si>
  <si>
    <t>ORD26002103</t>
  </si>
  <si>
    <t>CUST78022</t>
  </si>
  <si>
    <t>ORD26002104</t>
  </si>
  <si>
    <t>CUST22920</t>
  </si>
  <si>
    <t>ORD26002105</t>
  </si>
  <si>
    <t>CUST89142</t>
  </si>
  <si>
    <t>ORD26002106</t>
  </si>
  <si>
    <t>CUST67703</t>
  </si>
  <si>
    <t>ORD26002107</t>
  </si>
  <si>
    <t>CUST66596</t>
  </si>
  <si>
    <t>ORD26002108</t>
  </si>
  <si>
    <t>CUST48309</t>
  </si>
  <si>
    <t>ORD26002109</t>
  </si>
  <si>
    <t>CUST57000</t>
  </si>
  <si>
    <t>ORD26002110</t>
  </si>
  <si>
    <t>CUST70057</t>
  </si>
  <si>
    <t>ORD26002111</t>
  </si>
  <si>
    <t>CUST94972</t>
  </si>
  <si>
    <t>ORD26002112</t>
  </si>
  <si>
    <t>CUST75514</t>
  </si>
  <si>
    <t>ORD26002113</t>
  </si>
  <si>
    <t>CUST39828</t>
  </si>
  <si>
    <t>ORD26002114</t>
  </si>
  <si>
    <t>CUST63223</t>
  </si>
  <si>
    <t>ORD26002115</t>
  </si>
  <si>
    <t>CUST73627</t>
  </si>
  <si>
    <t>ORD26002116</t>
  </si>
  <si>
    <t>ORD26002117</t>
  </si>
  <si>
    <t>CUST83389</t>
  </si>
  <si>
    <t>ORD26002118</t>
  </si>
  <si>
    <t>CUST88377</t>
  </si>
  <si>
    <t>ORD26002119</t>
  </si>
  <si>
    <t>CUST62003</t>
  </si>
  <si>
    <t>ORD26002120</t>
  </si>
  <si>
    <t>CUST48523</t>
  </si>
  <si>
    <t>ORD26002121</t>
  </si>
  <si>
    <t>CUST15344</t>
  </si>
  <si>
    <t>ORD26002122</t>
  </si>
  <si>
    <t>CUST39421</t>
  </si>
  <si>
    <t>ORD26002123</t>
  </si>
  <si>
    <t>CUST11627</t>
  </si>
  <si>
    <t>ORD26002124</t>
  </si>
  <si>
    <t>CUST64332</t>
  </si>
  <si>
    <t>ORD26002125</t>
  </si>
  <si>
    <t>CUST62378</t>
  </si>
  <si>
    <t>ORD26002126</t>
  </si>
  <si>
    <t>CUST44544</t>
  </si>
  <si>
    <t>ORD26002127</t>
  </si>
  <si>
    <t>CUST27628</t>
  </si>
  <si>
    <t>ORD26002128</t>
  </si>
  <si>
    <t>CUST76512</t>
  </si>
  <si>
    <t>ORD26002129</t>
  </si>
  <si>
    <t>CUST55657</t>
  </si>
  <si>
    <t>ORD26002130</t>
  </si>
  <si>
    <t>CUST70324</t>
  </si>
  <si>
    <t>ORD26002131</t>
  </si>
  <si>
    <t>CUST12898</t>
  </si>
  <si>
    <t>ORD26002132</t>
  </si>
  <si>
    <t>CUST29382</t>
  </si>
  <si>
    <t>ORD26002133</t>
  </si>
  <si>
    <t>CUST43031</t>
  </si>
  <si>
    <t>ORD26002134</t>
  </si>
  <si>
    <t>CUST61936</t>
  </si>
  <si>
    <t>ORD26002135</t>
  </si>
  <si>
    <t>CUST40482</t>
  </si>
  <si>
    <t>ORD26002136</t>
  </si>
  <si>
    <t>CUST86922</t>
  </si>
  <si>
    <t>ORD26002137</t>
  </si>
  <si>
    <t>CUST86997</t>
  </si>
  <si>
    <t>ORD26002138</t>
  </si>
  <si>
    <t>CUST31129</t>
  </si>
  <si>
    <t>ORD26002139</t>
  </si>
  <si>
    <t>CUST13864</t>
  </si>
  <si>
    <t>ORD26002140</t>
  </si>
  <si>
    <t>CUST85235</t>
  </si>
  <si>
    <t>ORD26002141</t>
  </si>
  <si>
    <t>CUST33984</t>
  </si>
  <si>
    <t>ORD26002142</t>
  </si>
  <si>
    <t>CUST75494</t>
  </si>
  <si>
    <t>ORD26002143</t>
  </si>
  <si>
    <t>CUST94833</t>
  </si>
  <si>
    <t>ORD26002144</t>
  </si>
  <si>
    <t>CUST89450</t>
  </si>
  <si>
    <t>ORD26002145</t>
  </si>
  <si>
    <t>CUST79352</t>
  </si>
  <si>
    <t>ORD26002146</t>
  </si>
  <si>
    <t>CUST84459</t>
  </si>
  <si>
    <t>ORD26002147</t>
  </si>
  <si>
    <t>CUST33827</t>
  </si>
  <si>
    <t>ORD26002148</t>
  </si>
  <si>
    <t>CUST88606</t>
  </si>
  <si>
    <t>ORD26002149</t>
  </si>
  <si>
    <t>CUST33264</t>
  </si>
  <si>
    <t>ORD26002150</t>
  </si>
  <si>
    <t>ORD26002151</t>
  </si>
  <si>
    <t>CUST77959</t>
  </si>
  <si>
    <t>ORD26002152</t>
  </si>
  <si>
    <t>CUST90372</t>
  </si>
  <si>
    <t>ORD26002153</t>
  </si>
  <si>
    <t>CUST97648</t>
  </si>
  <si>
    <t>ORD26002154</t>
  </si>
  <si>
    <t>CUST74325</t>
  </si>
  <si>
    <t>ORD26002155</t>
  </si>
  <si>
    <t>CUST72970</t>
  </si>
  <si>
    <t>ORD26002156</t>
  </si>
  <si>
    <t>CUST83793</t>
  </si>
  <si>
    <t>ORD26002157</t>
  </si>
  <si>
    <t>CUST47035</t>
  </si>
  <si>
    <t>ORD26002158</t>
  </si>
  <si>
    <t>CUST62984</t>
  </si>
  <si>
    <t>ORD26002159</t>
  </si>
  <si>
    <t>CUST83564</t>
  </si>
  <si>
    <t>ORD26002160</t>
  </si>
  <si>
    <t>CUST99660</t>
  </si>
  <si>
    <t>ORD26002161</t>
  </si>
  <si>
    <t>CUST87000</t>
  </si>
  <si>
    <t>ORD26002162</t>
  </si>
  <si>
    <t>CUST13665</t>
  </si>
  <si>
    <t>ORD26002163</t>
  </si>
  <si>
    <t>CUST99674</t>
  </si>
  <si>
    <t>ORD26002164</t>
  </si>
  <si>
    <t>CUST15861</t>
  </si>
  <si>
    <t>ORD26002165</t>
  </si>
  <si>
    <t>CUST36687</t>
  </si>
  <si>
    <t>ORD26002166</t>
  </si>
  <si>
    <t>CUST37004</t>
  </si>
  <si>
    <t>ORD26002167</t>
  </si>
  <si>
    <t>CUST53352</t>
  </si>
  <si>
    <t>ORD26002168</t>
  </si>
  <si>
    <t>CUST30437</t>
  </si>
  <si>
    <t>ORD26002169</t>
  </si>
  <si>
    <t>CUST65422</t>
  </si>
  <si>
    <t>ORD26002170</t>
  </si>
  <si>
    <t>CUST11340</t>
  </si>
  <si>
    <t>ORD26002171</t>
  </si>
  <si>
    <t>CUST73991</t>
  </si>
  <si>
    <t>ORD26002172</t>
  </si>
  <si>
    <t>CUST68868</t>
  </si>
  <si>
    <t>ORD26002173</t>
  </si>
  <si>
    <t>CUST74033</t>
  </si>
  <si>
    <t>ORD26002174</t>
  </si>
  <si>
    <t>CUST99247</t>
  </si>
  <si>
    <t>ORD26002175</t>
  </si>
  <si>
    <t>CUST25650</t>
  </si>
  <si>
    <t>ORD26002176</t>
  </si>
  <si>
    <t>CUST26661</t>
  </si>
  <si>
    <t>ORD26002177</t>
  </si>
  <si>
    <t>CUST60864</t>
  </si>
  <si>
    <t>ORD26002178</t>
  </si>
  <si>
    <t>CUST28711</t>
  </si>
  <si>
    <t>5947.0</t>
  </si>
  <si>
    <t>ORD26002179</t>
  </si>
  <si>
    <t>CUST34768</t>
  </si>
  <si>
    <t>ORD26002180</t>
  </si>
  <si>
    <t>CUST54741</t>
  </si>
  <si>
    <t>ORD26002181</t>
  </si>
  <si>
    <t>CUST17396</t>
  </si>
  <si>
    <t>ORD26002182</t>
  </si>
  <si>
    <t>CUST92210</t>
  </si>
  <si>
    <t>ORD26002183</t>
  </si>
  <si>
    <t>CUST42214</t>
  </si>
  <si>
    <t>ORD26002184</t>
  </si>
  <si>
    <t>CUST51622</t>
  </si>
  <si>
    <t>ORD26002185</t>
  </si>
  <si>
    <t>CUST32271</t>
  </si>
  <si>
    <t>3447.0</t>
  </si>
  <si>
    <t>ORD26002186</t>
  </si>
  <si>
    <t>CUST10773</t>
  </si>
  <si>
    <t>ORD26002187</t>
  </si>
  <si>
    <t>CUST39428</t>
  </si>
  <si>
    <t>ORD26002188</t>
  </si>
  <si>
    <t>CUST84906</t>
  </si>
  <si>
    <t>ORD26002189</t>
  </si>
  <si>
    <t>CUST74298</t>
  </si>
  <si>
    <t>ORD26002190</t>
  </si>
  <si>
    <t>CUST30072</t>
  </si>
  <si>
    <t>ORD26002191</t>
  </si>
  <si>
    <t>CUST32852</t>
  </si>
  <si>
    <t>ORD26002192</t>
  </si>
  <si>
    <t>CUST49302</t>
  </si>
  <si>
    <t>ORD26002193</t>
  </si>
  <si>
    <t>CUST62721</t>
  </si>
  <si>
    <t>ORD26002194</t>
  </si>
  <si>
    <t>CUST69285</t>
  </si>
  <si>
    <t>ORD26002195</t>
  </si>
  <si>
    <t>CUST79459</t>
  </si>
  <si>
    <t>ORD26002196</t>
  </si>
  <si>
    <t>CUST96419</t>
  </si>
  <si>
    <t>ORD26002197</t>
  </si>
  <si>
    <t>CUST94410</t>
  </si>
  <si>
    <t>ORD26002198</t>
  </si>
  <si>
    <t>CUST49363</t>
  </si>
  <si>
    <t>ORD26002199</t>
  </si>
  <si>
    <t>CUST30541</t>
  </si>
  <si>
    <t>ORD26002200</t>
  </si>
  <si>
    <t>CUST37060</t>
  </si>
  <si>
    <t>ORD26002201</t>
  </si>
  <si>
    <t>CUST94048</t>
  </si>
  <si>
    <t>ORD26002202</t>
  </si>
  <si>
    <t>CUST27112</t>
  </si>
  <si>
    <t>ORD26002203</t>
  </si>
  <si>
    <t>CUST14627</t>
  </si>
  <si>
    <t>ORD26002204</t>
  </si>
  <si>
    <t>CUST16914</t>
  </si>
  <si>
    <t>ORD26002205</t>
  </si>
  <si>
    <t>CUST29739</t>
  </si>
  <si>
    <t>ORD26002206</t>
  </si>
  <si>
    <t>CUST68538</t>
  </si>
  <si>
    <t>ORD26002207</t>
  </si>
  <si>
    <t>CUST29925</t>
  </si>
  <si>
    <t>ORD26002208</t>
  </si>
  <si>
    <t>CUST83618</t>
  </si>
  <si>
    <t>ORD26002209</t>
  </si>
  <si>
    <t>CUST24858</t>
  </si>
  <si>
    <t>ORD26002210</t>
  </si>
  <si>
    <t>CUST71972</t>
  </si>
  <si>
    <t>ORD26002211</t>
  </si>
  <si>
    <t>CUST57498</t>
  </si>
  <si>
    <t>ORD26002212</t>
  </si>
  <si>
    <t>CUST98049</t>
  </si>
  <si>
    <t>ORD26002213</t>
  </si>
  <si>
    <t>CUST27687</t>
  </si>
  <si>
    <t>ORD26002214</t>
  </si>
  <si>
    <t>CUST97674</t>
  </si>
  <si>
    <t>2,147.00</t>
  </si>
  <si>
    <t>ORD26002215</t>
  </si>
  <si>
    <t>CUST20888</t>
  </si>
  <si>
    <t>ORD26002216</t>
  </si>
  <si>
    <t>CUST32159</t>
  </si>
  <si>
    <t>ORD26002217</t>
  </si>
  <si>
    <t>CUST13072</t>
  </si>
  <si>
    <t>ORD26002218</t>
  </si>
  <si>
    <t>CUST44486</t>
  </si>
  <si>
    <t>ORD26002219</t>
  </si>
  <si>
    <t>CUST96074</t>
  </si>
  <si>
    <t>ORD26002220</t>
  </si>
  <si>
    <t>CUST91811</t>
  </si>
  <si>
    <t>ORD26002221</t>
  </si>
  <si>
    <t>CUST59809</t>
  </si>
  <si>
    <t>ORD26002222</t>
  </si>
  <si>
    <t>CUST77185</t>
  </si>
  <si>
    <t>ORD26002223</t>
  </si>
  <si>
    <t>CUST74071</t>
  </si>
  <si>
    <t>ORD26002224</t>
  </si>
  <si>
    <t>CUST97323</t>
  </si>
  <si>
    <t>ORD26002225</t>
  </si>
  <si>
    <t>CUST24031</t>
  </si>
  <si>
    <t>648.00</t>
  </si>
  <si>
    <t>ORD26002226</t>
  </si>
  <si>
    <t>ORD26002227</t>
  </si>
  <si>
    <t>CUST54713</t>
  </si>
  <si>
    <t>ORD26002228</t>
  </si>
  <si>
    <t>CUST70393</t>
  </si>
  <si>
    <t>2,499.00</t>
  </si>
  <si>
    <t>ORD26002229</t>
  </si>
  <si>
    <t>CUST20637</t>
  </si>
  <si>
    <t>ORD26002230</t>
  </si>
  <si>
    <t>CUST16553</t>
  </si>
  <si>
    <t>ORD26002231</t>
  </si>
  <si>
    <t>CUST35860</t>
  </si>
  <si>
    <t>ORD26002232</t>
  </si>
  <si>
    <t>CUST18030</t>
  </si>
  <si>
    <t>ORD26002233</t>
  </si>
  <si>
    <t>CUST28860</t>
  </si>
  <si>
    <t>ORD26002234</t>
  </si>
  <si>
    <t>CUST34667</t>
  </si>
  <si>
    <t>ORD26002235</t>
  </si>
  <si>
    <t>CUST93269</t>
  </si>
  <si>
    <t>ORD26002236</t>
  </si>
  <si>
    <t>CUST42892</t>
  </si>
  <si>
    <t>ORD26002237</t>
  </si>
  <si>
    <t>CUST99591</t>
  </si>
  <si>
    <t>ORD26002238</t>
  </si>
  <si>
    <t>CUST17917</t>
  </si>
  <si>
    <t>ORD26002239</t>
  </si>
  <si>
    <t>CUST11572</t>
  </si>
  <si>
    <t>ORD26002240</t>
  </si>
  <si>
    <t>CUST18634</t>
  </si>
  <si>
    <t>ORD26002241</t>
  </si>
  <si>
    <t>CUST58554</t>
  </si>
  <si>
    <t>ORD26002242</t>
  </si>
  <si>
    <t>CUST86969</t>
  </si>
  <si>
    <t>ORD26002243</t>
  </si>
  <si>
    <t>CUST62853</t>
  </si>
  <si>
    <t>ORD26002244</t>
  </si>
  <si>
    <t>CUST64997</t>
  </si>
  <si>
    <t>ORD26002245</t>
  </si>
  <si>
    <t>CUST92862</t>
  </si>
  <si>
    <t>ORD26002246</t>
  </si>
  <si>
    <t>CUST32646</t>
  </si>
  <si>
    <t>ORD26002247</t>
  </si>
  <si>
    <t>CUST29647</t>
  </si>
  <si>
    <t>ORD26002248</t>
  </si>
  <si>
    <t>CUST82001</t>
  </si>
  <si>
    <t>ORD26002249</t>
  </si>
  <si>
    <t>CUST67030</t>
  </si>
  <si>
    <t>ORD26002250</t>
  </si>
  <si>
    <t>CUST72482</t>
  </si>
  <si>
    <t>ORD26002251</t>
  </si>
  <si>
    <t>CUST38364</t>
  </si>
  <si>
    <t>ORD26002252</t>
  </si>
  <si>
    <t>CUST50712</t>
  </si>
  <si>
    <t>ORD26002253</t>
  </si>
  <si>
    <t>CUST58936</t>
  </si>
  <si>
    <t>2,848.00</t>
  </si>
  <si>
    <t>ORD26002254</t>
  </si>
  <si>
    <t>CUST42258</t>
  </si>
  <si>
    <t>ORD26002255</t>
  </si>
  <si>
    <t>CUST72414</t>
  </si>
  <si>
    <t>ORD26002256</t>
  </si>
  <si>
    <t>CUST26663</t>
  </si>
  <si>
    <t>ORD26002257</t>
  </si>
  <si>
    <t>CUST42649</t>
  </si>
  <si>
    <t>ORD26002258</t>
  </si>
  <si>
    <t>CUST29445</t>
  </si>
  <si>
    <t>ORD26002259</t>
  </si>
  <si>
    <t>CUST44866</t>
  </si>
  <si>
    <t>ORD26002260</t>
  </si>
  <si>
    <t>CUST28754</t>
  </si>
  <si>
    <t>ORD26002261</t>
  </si>
  <si>
    <t>CUST52888</t>
  </si>
  <si>
    <t>ORD26002262</t>
  </si>
  <si>
    <t>CUST51947</t>
  </si>
  <si>
    <t>ORD26002263</t>
  </si>
  <si>
    <t>CUST88326</t>
  </si>
  <si>
    <t>ORD26002264</t>
  </si>
  <si>
    <t>CUST78616</t>
  </si>
  <si>
    <t>ORD26002265</t>
  </si>
  <si>
    <t>CUST11430</t>
  </si>
  <si>
    <t>ORD26002266</t>
  </si>
  <si>
    <t>CUST94408</t>
  </si>
  <si>
    <t>ORD26002267</t>
  </si>
  <si>
    <t>CUST68547</t>
  </si>
  <si>
    <t>ORD26002268</t>
  </si>
  <si>
    <t>CUST45855</t>
  </si>
  <si>
    <t>ORD26002269</t>
  </si>
  <si>
    <t>CUST86871</t>
  </si>
  <si>
    <t>ORD26002270</t>
  </si>
  <si>
    <t>CUST72534</t>
  </si>
  <si>
    <t>ORD26002271</t>
  </si>
  <si>
    <t>CUST92429</t>
  </si>
  <si>
    <t>ORD26002272</t>
  </si>
  <si>
    <t>CUST14526</t>
  </si>
  <si>
    <t>ORD26002273</t>
  </si>
  <si>
    <t>CUST27284</t>
  </si>
  <si>
    <t>ORD26002274</t>
  </si>
  <si>
    <t>CUST40803</t>
  </si>
  <si>
    <t>ORD26002275</t>
  </si>
  <si>
    <t>CUST19119</t>
  </si>
  <si>
    <t>ORD26002276</t>
  </si>
  <si>
    <t>CUST30314</t>
  </si>
  <si>
    <t>ORD26002277</t>
  </si>
  <si>
    <t>CUST44177</t>
  </si>
  <si>
    <t>ORD26002278</t>
  </si>
  <si>
    <t>CUST94266</t>
  </si>
  <si>
    <t>ORD26002279</t>
  </si>
  <si>
    <t>CUST30005</t>
  </si>
  <si>
    <t>ORD26002280</t>
  </si>
  <si>
    <t>ORD26002281</t>
  </si>
  <si>
    <t>CUST64386</t>
  </si>
  <si>
    <t>ORD26002282</t>
  </si>
  <si>
    <t>CUST86380</t>
  </si>
  <si>
    <t>ORD26002283</t>
  </si>
  <si>
    <t>CUST76735</t>
  </si>
  <si>
    <t>ORD26002284</t>
  </si>
  <si>
    <t>CUST91630</t>
  </si>
  <si>
    <t>ORD26002285</t>
  </si>
  <si>
    <t>CUST89641</t>
  </si>
  <si>
    <t>ORD26002286</t>
  </si>
  <si>
    <t>CUST95257</t>
  </si>
  <si>
    <t>ORD26002287</t>
  </si>
  <si>
    <t>CUST77083</t>
  </si>
  <si>
    <t>ORD26002288</t>
  </si>
  <si>
    <t>CUST36946</t>
  </si>
  <si>
    <t>ORD26002289</t>
  </si>
  <si>
    <t>CUST38094</t>
  </si>
  <si>
    <t>ORD26002290</t>
  </si>
  <si>
    <t>CUST40121</t>
  </si>
  <si>
    <t>ORD26002291</t>
  </si>
  <si>
    <t>CUST38367</t>
  </si>
  <si>
    <t>ORD26002292</t>
  </si>
  <si>
    <t>CUST52907</t>
  </si>
  <si>
    <t>ORD26002293</t>
  </si>
  <si>
    <t>CUST88215</t>
  </si>
  <si>
    <t>ORD26002294</t>
  </si>
  <si>
    <t>CUST14089</t>
  </si>
  <si>
    <t>8947.0</t>
  </si>
  <si>
    <t>ORD26002295</t>
  </si>
  <si>
    <t>CUST59993</t>
  </si>
  <si>
    <t>ORD26002296</t>
  </si>
  <si>
    <t>CUST65465</t>
  </si>
  <si>
    <t>ORD26002297</t>
  </si>
  <si>
    <t>CUST14586</t>
  </si>
  <si>
    <t>ORD26002298</t>
  </si>
  <si>
    <t>CUST36825</t>
  </si>
  <si>
    <t>ORD26002299</t>
  </si>
  <si>
    <t>CUST72456</t>
  </si>
  <si>
    <t>ORD26002300</t>
  </si>
  <si>
    <t>CUST85992</t>
  </si>
  <si>
    <t>ORD26002301</t>
  </si>
  <si>
    <t>CUST30092</t>
  </si>
  <si>
    <t>ORD26002302</t>
  </si>
  <si>
    <t>CUST71040</t>
  </si>
  <si>
    <t>ORD26002303</t>
  </si>
  <si>
    <t>CUST46808</t>
  </si>
  <si>
    <t>ORD26002304</t>
  </si>
  <si>
    <t>CUST34650</t>
  </si>
  <si>
    <t>ORD26002305</t>
  </si>
  <si>
    <t>CUST83821</t>
  </si>
  <si>
    <t>ORD26002306</t>
  </si>
  <si>
    <t>CUST47554</t>
  </si>
  <si>
    <t>ORD26002307</t>
  </si>
  <si>
    <t>CUST58924</t>
  </si>
  <si>
    <t>ORD26002308</t>
  </si>
  <si>
    <t>CUST63346</t>
  </si>
  <si>
    <t>ORD26002309</t>
  </si>
  <si>
    <t>CUST29350</t>
  </si>
  <si>
    <t>ORD26002310</t>
  </si>
  <si>
    <t>CUST43187</t>
  </si>
  <si>
    <t>ORD26002311</t>
  </si>
  <si>
    <t>CUST99173</t>
  </si>
  <si>
    <t>ORD26002312</t>
  </si>
  <si>
    <t>CUST91928</t>
  </si>
  <si>
    <t>ORD26002313</t>
  </si>
  <si>
    <t>CUST85195</t>
  </si>
  <si>
    <t>ORD26002314</t>
  </si>
  <si>
    <t>CUST64916</t>
  </si>
  <si>
    <t>ORD26002315</t>
  </si>
  <si>
    <t>CUST82148</t>
  </si>
  <si>
    <t>ORD26002316</t>
  </si>
  <si>
    <t>CUST25325</t>
  </si>
  <si>
    <t>ORD26002317</t>
  </si>
  <si>
    <t>CUST61485</t>
  </si>
  <si>
    <t>ORD26002318</t>
  </si>
  <si>
    <t>CUST23949</t>
  </si>
  <si>
    <t>ORD26002319</t>
  </si>
  <si>
    <t>CUST10078</t>
  </si>
  <si>
    <t>ORD26002320</t>
  </si>
  <si>
    <t>CUST50180</t>
  </si>
  <si>
    <t>ORD26002321</t>
  </si>
  <si>
    <t>CUST35035</t>
  </si>
  <si>
    <t>ORD26002322</t>
  </si>
  <si>
    <t>CUST99192</t>
  </si>
  <si>
    <t>ORD26002323</t>
  </si>
  <si>
    <t>CUST56860</t>
  </si>
  <si>
    <t>ORD26002324</t>
  </si>
  <si>
    <t>CUST66167</t>
  </si>
  <si>
    <t>ORD26002325</t>
  </si>
  <si>
    <t>CUST14131</t>
  </si>
  <si>
    <t>ORD26002326</t>
  </si>
  <si>
    <t>CUST60299</t>
  </si>
  <si>
    <t>ORD26002327</t>
  </si>
  <si>
    <t>CUST56013</t>
  </si>
  <si>
    <t>ORD26002328</t>
  </si>
  <si>
    <t>CUST43050</t>
  </si>
  <si>
    <t>ORD26002329</t>
  </si>
  <si>
    <t>CUST22321</t>
  </si>
  <si>
    <t>ORD26002330</t>
  </si>
  <si>
    <t>CUST50607</t>
  </si>
  <si>
    <t>ORD26002331</t>
  </si>
  <si>
    <t>CUST99630</t>
  </si>
  <si>
    <t>ORD26002332</t>
  </si>
  <si>
    <t>CUST70709</t>
  </si>
  <si>
    <t>ORD26002333</t>
  </si>
  <si>
    <t>CUST16385</t>
  </si>
  <si>
    <t>ORD26002334</t>
  </si>
  <si>
    <t>CUST69208</t>
  </si>
  <si>
    <t>ORD26002335</t>
  </si>
  <si>
    <t>CUST24375</t>
  </si>
  <si>
    <t>ORD26002336</t>
  </si>
  <si>
    <t>CUST60764</t>
  </si>
  <si>
    <t>ORD26002337</t>
  </si>
  <si>
    <t>CUST99526</t>
  </si>
  <si>
    <t>ORD26002338</t>
  </si>
  <si>
    <t>CUST25216</t>
  </si>
  <si>
    <t>ORD26002339</t>
  </si>
  <si>
    <t>CUST83763</t>
  </si>
  <si>
    <t>ORD26002340</t>
  </si>
  <si>
    <t>CUST78835</t>
  </si>
  <si>
    <t>ORD26002341</t>
  </si>
  <si>
    <t>CUST83044</t>
  </si>
  <si>
    <t>ORD26002342</t>
  </si>
  <si>
    <t>CUST56876</t>
  </si>
  <si>
    <t>ORD26002343</t>
  </si>
  <si>
    <t>CUST84766</t>
  </si>
  <si>
    <t>ORD26002344</t>
  </si>
  <si>
    <t>CUST83055</t>
  </si>
  <si>
    <t>ORD26002345</t>
  </si>
  <si>
    <t>CUST25184</t>
  </si>
  <si>
    <t>ORD26002346</t>
  </si>
  <si>
    <t>ORD26002347</t>
  </si>
  <si>
    <t>CUST97282</t>
  </si>
  <si>
    <t>ORD26002348</t>
  </si>
  <si>
    <t>CUST41939</t>
  </si>
  <si>
    <t>ORD26002349</t>
  </si>
  <si>
    <t>CUST38065</t>
  </si>
  <si>
    <t>ORD26002350</t>
  </si>
  <si>
    <t>CUST19295</t>
  </si>
  <si>
    <t>ORD26002351</t>
  </si>
  <si>
    <t>CUST18912</t>
  </si>
  <si>
    <t>ORD26002352</t>
  </si>
  <si>
    <t>CUST64199</t>
  </si>
  <si>
    <t>ORD26002353</t>
  </si>
  <si>
    <t>CUST52006</t>
  </si>
  <si>
    <t>ORD26002354</t>
  </si>
  <si>
    <t>CUST68959</t>
  </si>
  <si>
    <t>ORD26002355</t>
  </si>
  <si>
    <t>CUST76787</t>
  </si>
  <si>
    <t>ORD26002356</t>
  </si>
  <si>
    <t>CUST19837</t>
  </si>
  <si>
    <t>ORD26002357</t>
  </si>
  <si>
    <t>CUST29079</t>
  </si>
  <si>
    <t>ORD26002358</t>
  </si>
  <si>
    <t>CUST54758</t>
  </si>
  <si>
    <t>ORD26002359</t>
  </si>
  <si>
    <t>CUST71592</t>
  </si>
  <si>
    <t>ORD26002360</t>
  </si>
  <si>
    <t>CUST83424</t>
  </si>
  <si>
    <t>ORD26002361</t>
  </si>
  <si>
    <t>CUST74182</t>
  </si>
  <si>
    <t>ORD26002362</t>
  </si>
  <si>
    <t>CUST45553</t>
  </si>
  <si>
    <t>ORD26002363</t>
  </si>
  <si>
    <t>CUST41380</t>
  </si>
  <si>
    <t>ORD26002364</t>
  </si>
  <si>
    <t>CUST98617</t>
  </si>
  <si>
    <t>ORD26002365</t>
  </si>
  <si>
    <t>CUST90354</t>
  </si>
  <si>
    <t>ORD26002366</t>
  </si>
  <si>
    <t>CUST82470</t>
  </si>
  <si>
    <t>ORD26002367</t>
  </si>
  <si>
    <t>CUST48202</t>
  </si>
  <si>
    <t>ORD26002368</t>
  </si>
  <si>
    <t>CUST94866</t>
  </si>
  <si>
    <t>ORD26002369</t>
  </si>
  <si>
    <t>CUST84473</t>
  </si>
  <si>
    <t>ORD26002370</t>
  </si>
  <si>
    <t>CUST26309</t>
  </si>
  <si>
    <t>ORD26002371</t>
  </si>
  <si>
    <t>CUST43398</t>
  </si>
  <si>
    <t>ORD26002372</t>
  </si>
  <si>
    <t>CUST36108</t>
  </si>
  <si>
    <t>ORD26002373</t>
  </si>
  <si>
    <t>CUST60709</t>
  </si>
  <si>
    <t>ORD26002374</t>
  </si>
  <si>
    <t>CUST17143</t>
  </si>
  <si>
    <t>ORD26002375</t>
  </si>
  <si>
    <t>CUST26701</t>
  </si>
  <si>
    <t>ORD26002376</t>
  </si>
  <si>
    <t>CUST17848</t>
  </si>
  <si>
    <t>ORD26002377</t>
  </si>
  <si>
    <t>ORD26002378</t>
  </si>
  <si>
    <t>CUST56340</t>
  </si>
  <si>
    <t>4,998.00</t>
  </si>
  <si>
    <t>ORD26002379</t>
  </si>
  <si>
    <t>CUST32523</t>
  </si>
  <si>
    <t>ORD26002380</t>
  </si>
  <si>
    <t>CUST90495</t>
  </si>
  <si>
    <t>ORD26002381</t>
  </si>
  <si>
    <t>CUST41722</t>
  </si>
  <si>
    <t>ORD26002382</t>
  </si>
  <si>
    <t>CUST10415</t>
  </si>
  <si>
    <t>ORD26002383</t>
  </si>
  <si>
    <t>CUST60685</t>
  </si>
  <si>
    <t>ORD26002384</t>
  </si>
  <si>
    <t>CUST68213</t>
  </si>
  <si>
    <t>ORD26002385</t>
  </si>
  <si>
    <t>CUST45615</t>
  </si>
  <si>
    <t>ORD26002386</t>
  </si>
  <si>
    <t>CUST12715</t>
  </si>
  <si>
    <t>ORD26002387</t>
  </si>
  <si>
    <t>CUST28941</t>
  </si>
  <si>
    <t>ORD26002388</t>
  </si>
  <si>
    <t>CUST51184</t>
  </si>
  <si>
    <t>ORD26002389</t>
  </si>
  <si>
    <t>CUST59734</t>
  </si>
  <si>
    <t>ORD26002390</t>
  </si>
  <si>
    <t>CUST18479</t>
  </si>
  <si>
    <t>ORD26002391</t>
  </si>
  <si>
    <t>CUST12686</t>
  </si>
  <si>
    <t>ORD26002392</t>
  </si>
  <si>
    <t>CUST45274</t>
  </si>
  <si>
    <t>ORD26002393</t>
  </si>
  <si>
    <t>CUST86741</t>
  </si>
  <si>
    <t>ORD26002394</t>
  </si>
  <si>
    <t>CUST57785</t>
  </si>
  <si>
    <t>ORD26002395</t>
  </si>
  <si>
    <t>CUST90668</t>
  </si>
  <si>
    <t>ORD26002396</t>
  </si>
  <si>
    <t>CUST29533</t>
  </si>
  <si>
    <t>ORD26002397</t>
  </si>
  <si>
    <t>CUST50841</t>
  </si>
  <si>
    <t>ORD26002398</t>
  </si>
  <si>
    <t>CUST85053</t>
  </si>
  <si>
    <t>ORD26002399</t>
  </si>
  <si>
    <t>CUST35609</t>
  </si>
  <si>
    <t>ORD26002400</t>
  </si>
  <si>
    <t>CUST33426</t>
  </si>
  <si>
    <t>ORD26002401</t>
  </si>
  <si>
    <t>CUST79947</t>
  </si>
  <si>
    <t>ORD26002402</t>
  </si>
  <si>
    <t>CUST77272</t>
  </si>
  <si>
    <t>ORD26002403</t>
  </si>
  <si>
    <t>CUST30435</t>
  </si>
  <si>
    <t>ORD26002404</t>
  </si>
  <si>
    <t>CUST42216</t>
  </si>
  <si>
    <t>ORD26002405</t>
  </si>
  <si>
    <t>CUST15540</t>
  </si>
  <si>
    <t>ORD26002406</t>
  </si>
  <si>
    <t>CUST74219</t>
  </si>
  <si>
    <t>ORD26002407</t>
  </si>
  <si>
    <t>CUST94849</t>
  </si>
  <si>
    <t>ORD26002408</t>
  </si>
  <si>
    <t>CUST42955</t>
  </si>
  <si>
    <t>ORD26002409</t>
  </si>
  <si>
    <t>CUST14773</t>
  </si>
  <si>
    <t>ORD26002410</t>
  </si>
  <si>
    <t>CUST64055</t>
  </si>
  <si>
    <t>ORD26002411</t>
  </si>
  <si>
    <t>ORD26002412</t>
  </si>
  <si>
    <t>CUST28329</t>
  </si>
  <si>
    <t>ORD26002413</t>
  </si>
  <si>
    <t>CUST67544</t>
  </si>
  <si>
    <t>ORD26002414</t>
  </si>
  <si>
    <t>CUST70725</t>
  </si>
  <si>
    <t>ORD26002415</t>
  </si>
  <si>
    <t>CUST23275</t>
  </si>
  <si>
    <t>ORD26002416</t>
  </si>
  <si>
    <t>CUST95646</t>
  </si>
  <si>
    <t>ORD26002417</t>
  </si>
  <si>
    <t>CUST15311</t>
  </si>
  <si>
    <t>ORD26002418</t>
  </si>
  <si>
    <t>ORD26002419</t>
  </si>
  <si>
    <t>CUST13235</t>
  </si>
  <si>
    <t>ORD26002420</t>
  </si>
  <si>
    <t>CUST90337</t>
  </si>
  <si>
    <t>ORD26002421</t>
  </si>
  <si>
    <t>CUST86758</t>
  </si>
  <si>
    <t>ORD26002422</t>
  </si>
  <si>
    <t>CUST97335</t>
  </si>
  <si>
    <t>ORD26002423</t>
  </si>
  <si>
    <t>CUST59535</t>
  </si>
  <si>
    <t>ORD26002424</t>
  </si>
  <si>
    <t>CUST35733</t>
  </si>
  <si>
    <t>ORD26002425</t>
  </si>
  <si>
    <t>CUST11587</t>
  </si>
  <si>
    <t>ORD26002426</t>
  </si>
  <si>
    <t>CUST29876</t>
  </si>
  <si>
    <t>ORD26002427</t>
  </si>
  <si>
    <t>CUST14910</t>
  </si>
  <si>
    <t>ORD26002428</t>
  </si>
  <si>
    <t>CUST31706</t>
  </si>
  <si>
    <t>ORD26002429</t>
  </si>
  <si>
    <t>CUST90844</t>
  </si>
  <si>
    <t>ORD26002430</t>
  </si>
  <si>
    <t>CUST53332</t>
  </si>
  <si>
    <t>ORD26002431</t>
  </si>
  <si>
    <t>CUST78163</t>
  </si>
  <si>
    <t>ORD26002432</t>
  </si>
  <si>
    <t>CUST73359</t>
  </si>
  <si>
    <t>ORD26002433</t>
  </si>
  <si>
    <t>CUST16722</t>
  </si>
  <si>
    <t>ORD26002434</t>
  </si>
  <si>
    <t>CUST38698</t>
  </si>
  <si>
    <t>ORD26002435</t>
  </si>
  <si>
    <t>CUST64086</t>
  </si>
  <si>
    <t>ORD26002436</t>
  </si>
  <si>
    <t>CUST73068</t>
  </si>
  <si>
    <t>ORD26002437</t>
  </si>
  <si>
    <t>CUST30191</t>
  </si>
  <si>
    <t>ORD26002438</t>
  </si>
  <si>
    <t>CUST40891</t>
  </si>
  <si>
    <t>ORD26002439</t>
  </si>
  <si>
    <t>CUST40816</t>
  </si>
  <si>
    <t>ORD26002440</t>
  </si>
  <si>
    <t>CUST87784</t>
  </si>
  <si>
    <t>ORD26002441</t>
  </si>
  <si>
    <t>CUST11112</t>
  </si>
  <si>
    <t>ORD26002442</t>
  </si>
  <si>
    <t>CUST94930</t>
  </si>
  <si>
    <t>ORD26002443</t>
  </si>
  <si>
    <t>CUST58072</t>
  </si>
  <si>
    <t>ORD26002444</t>
  </si>
  <si>
    <t>CUST23103</t>
  </si>
  <si>
    <t>ORD26002445</t>
  </si>
  <si>
    <t>CUST35198</t>
  </si>
  <si>
    <t>ORD26002446</t>
  </si>
  <si>
    <t>CUST90666</t>
  </si>
  <si>
    <t>ORD26002447</t>
  </si>
  <si>
    <t>CUST44076</t>
  </si>
  <si>
    <t>ORD26002448</t>
  </si>
  <si>
    <t>CUST14198</t>
  </si>
  <si>
    <t>ORD26002449</t>
  </si>
  <si>
    <t>CUST69311</t>
  </si>
  <si>
    <t>ORD26002450</t>
  </si>
  <si>
    <t>CUST64784</t>
  </si>
  <si>
    <t>ORD26002451</t>
  </si>
  <si>
    <t>CUST29493</t>
  </si>
  <si>
    <t>ORD26002452</t>
  </si>
  <si>
    <t>CUST24113</t>
  </si>
  <si>
    <t>ORD26002453</t>
  </si>
  <si>
    <t>CUST51936</t>
  </si>
  <si>
    <t>ORD26002454</t>
  </si>
  <si>
    <t>CUST98033</t>
  </si>
  <si>
    <t>ORD26002455</t>
  </si>
  <si>
    <t>CUST14434</t>
  </si>
  <si>
    <t>ORD26002456</t>
  </si>
  <si>
    <t>CUST43053</t>
  </si>
  <si>
    <t>ORD26002457</t>
  </si>
  <si>
    <t>CUST52412</t>
  </si>
  <si>
    <t>ORD26002458</t>
  </si>
  <si>
    <t>CUST51259</t>
  </si>
  <si>
    <t>ORD26002459</t>
  </si>
  <si>
    <t>CUST64499</t>
  </si>
  <si>
    <t>ORD26002460</t>
  </si>
  <si>
    <t>CUST77211</t>
  </si>
  <si>
    <t>ORD26002461</t>
  </si>
  <si>
    <t>CUST11209</t>
  </si>
  <si>
    <t>ORD26002462</t>
  </si>
  <si>
    <t>CUST23709</t>
  </si>
  <si>
    <t>ORD26002463</t>
  </si>
  <si>
    <t>CUST76188</t>
  </si>
  <si>
    <t>ORD26002464</t>
  </si>
  <si>
    <t>ORD26002465</t>
  </si>
  <si>
    <t>CUST15834</t>
  </si>
  <si>
    <t>ORD26002466</t>
  </si>
  <si>
    <t>CUST18231</t>
  </si>
  <si>
    <t>ORD26002467</t>
  </si>
  <si>
    <t>CUST87449</t>
  </si>
  <si>
    <t>ORD26002468</t>
  </si>
  <si>
    <t>CUST40077</t>
  </si>
  <si>
    <t>ORD26002469</t>
  </si>
  <si>
    <t>CUST68884</t>
  </si>
  <si>
    <t>ORD26002470</t>
  </si>
  <si>
    <t>CUST45865</t>
  </si>
  <si>
    <t>ORD26002471</t>
  </si>
  <si>
    <t>CUST93888</t>
  </si>
  <si>
    <t>ORD26002472</t>
  </si>
  <si>
    <t>ORD26002473</t>
  </si>
  <si>
    <t>CUST83499</t>
  </si>
  <si>
    <t>ORD26002474</t>
  </si>
  <si>
    <t>CUST53093</t>
  </si>
  <si>
    <t>ORD26002475</t>
  </si>
  <si>
    <t>CUST43841</t>
  </si>
  <si>
    <t>ORD26002476</t>
  </si>
  <si>
    <t>CUST65895</t>
  </si>
  <si>
    <t>ORD26002477</t>
  </si>
  <si>
    <t>CUST50565</t>
  </si>
  <si>
    <t>ORD26002478</t>
  </si>
  <si>
    <t>CUST25917</t>
  </si>
  <si>
    <t>ORD26002479</t>
  </si>
  <si>
    <t>CUST45396</t>
  </si>
  <si>
    <t>ORD26002480</t>
  </si>
  <si>
    <t>CUST80070</t>
  </si>
  <si>
    <t>ORD26002481</t>
  </si>
  <si>
    <t>CUST20914</t>
  </si>
  <si>
    <t>ORD26002482</t>
  </si>
  <si>
    <t>CUST81474</t>
  </si>
  <si>
    <t>ORD26002483</t>
  </si>
  <si>
    <t>CUST21327</t>
  </si>
  <si>
    <t>ORD26002484</t>
  </si>
  <si>
    <t>CUST80098</t>
  </si>
  <si>
    <t>ORD26002485</t>
  </si>
  <si>
    <t>ORD26002486</t>
  </si>
  <si>
    <t>CUST91405</t>
  </si>
  <si>
    <t>ORD26002487</t>
  </si>
  <si>
    <t>CUST39720</t>
  </si>
  <si>
    <t>ORD26002488</t>
  </si>
  <si>
    <t>CUST15500</t>
  </si>
  <si>
    <t>ORD26002489</t>
  </si>
  <si>
    <t>CUST97107</t>
  </si>
  <si>
    <t>ORD26002490</t>
  </si>
  <si>
    <t>CUST51309</t>
  </si>
  <si>
    <t>ORD26002491</t>
  </si>
  <si>
    <t>CUST25269</t>
  </si>
  <si>
    <t>ORD26002492</t>
  </si>
  <si>
    <t>CUST54656</t>
  </si>
  <si>
    <t>ORD26002493</t>
  </si>
  <si>
    <t>CUST50902</t>
  </si>
  <si>
    <t>ORD26002494</t>
  </si>
  <si>
    <t>CUST49348</t>
  </si>
  <si>
    <t>ORD26002495</t>
  </si>
  <si>
    <t>CUST54556</t>
  </si>
  <si>
    <t>ORD26002496</t>
  </si>
  <si>
    <t>CUST63329</t>
  </si>
  <si>
    <t>ORD26002497</t>
  </si>
  <si>
    <t>CUST28012</t>
  </si>
  <si>
    <t>ORD26002498</t>
  </si>
  <si>
    <t>CUST44629</t>
  </si>
  <si>
    <t>ORD26002499</t>
  </si>
  <si>
    <t>CUST20333</t>
  </si>
  <si>
    <t>ORD26002500</t>
  </si>
  <si>
    <t>CUST80950</t>
  </si>
  <si>
    <t>ORD26002501</t>
  </si>
  <si>
    <t>CUST82399</t>
  </si>
  <si>
    <t>ORD26002502</t>
  </si>
  <si>
    <t>CUST22185</t>
  </si>
  <si>
    <t>ORD26002503</t>
  </si>
  <si>
    <t>CUST10525</t>
  </si>
  <si>
    <t>1147.0</t>
  </si>
  <si>
    <t>ORD26002504</t>
  </si>
  <si>
    <t>CUST24010</t>
  </si>
  <si>
    <t>ORD26002505</t>
  </si>
  <si>
    <t>CUST34265</t>
  </si>
  <si>
    <t>ORD26002506</t>
  </si>
  <si>
    <t>CUST26601</t>
  </si>
  <si>
    <t>ORD26002507</t>
  </si>
  <si>
    <t>CUST45823</t>
  </si>
  <si>
    <t>3697.0</t>
  </si>
  <si>
    <t>ORD26002508</t>
  </si>
  <si>
    <t>CUST66324</t>
  </si>
  <si>
    <t>ORD26002509</t>
  </si>
  <si>
    <t>CUST63021</t>
  </si>
  <si>
    <t>9897.0</t>
  </si>
  <si>
    <t>ORD26002510</t>
  </si>
  <si>
    <t>CUST26337</t>
  </si>
  <si>
    <t>ORD26002511</t>
  </si>
  <si>
    <t>CUST35056</t>
  </si>
  <si>
    <t>ORD26002512</t>
  </si>
  <si>
    <t>CUST25725</t>
  </si>
  <si>
    <t>ORD26002513</t>
  </si>
  <si>
    <t>CUST99662</t>
  </si>
  <si>
    <t>1497.0</t>
  </si>
  <si>
    <t>ORD26002514</t>
  </si>
  <si>
    <t>CUST95439</t>
  </si>
  <si>
    <t>ORD26002515</t>
  </si>
  <si>
    <t>ORD26002516</t>
  </si>
  <si>
    <t>CUST58333</t>
  </si>
  <si>
    <t>ORD26002517</t>
  </si>
  <si>
    <t>CUST36417</t>
  </si>
  <si>
    <t>ORD26002518</t>
  </si>
  <si>
    <t>CUST96809</t>
  </si>
  <si>
    <t>ORD26002519</t>
  </si>
  <si>
    <t>CUST70762</t>
  </si>
  <si>
    <t>ORD26002520</t>
  </si>
  <si>
    <t>CUST64185</t>
  </si>
  <si>
    <t>ORD26002521</t>
  </si>
  <si>
    <t>CUST11804</t>
  </si>
  <si>
    <t>ORD26002522</t>
  </si>
  <si>
    <t>CUST39401</t>
  </si>
  <si>
    <t>ORD26002523</t>
  </si>
  <si>
    <t>CUST31031</t>
  </si>
  <si>
    <t>16797.0</t>
  </si>
  <si>
    <t>ORD26002524</t>
  </si>
  <si>
    <t>CUST60407</t>
  </si>
  <si>
    <t>ORD26002525</t>
  </si>
  <si>
    <t>CUST78423</t>
  </si>
  <si>
    <t>ORD26002526</t>
  </si>
  <si>
    <t>CUST50660</t>
  </si>
  <si>
    <t>ORD26002527</t>
  </si>
  <si>
    <t>CUST47068</t>
  </si>
  <si>
    <t>ORD26002528</t>
  </si>
  <si>
    <t>CUST90425</t>
  </si>
  <si>
    <t>ORD26002529</t>
  </si>
  <si>
    <t>CUST29542</t>
  </si>
  <si>
    <t>ORD26002530</t>
  </si>
  <si>
    <t>CUST35351</t>
  </si>
  <si>
    <t>8,097.00</t>
  </si>
  <si>
    <t>ORD26002531</t>
  </si>
  <si>
    <t>CUST45643</t>
  </si>
  <si>
    <t>ORD26002532</t>
  </si>
  <si>
    <t>CUST56777</t>
  </si>
  <si>
    <t>ORD26002533</t>
  </si>
  <si>
    <t>CUST54059</t>
  </si>
  <si>
    <t>ORD26002534</t>
  </si>
  <si>
    <t>CUST83719</t>
  </si>
  <si>
    <t>ORD26002535</t>
  </si>
  <si>
    <t>CUST63835</t>
  </si>
  <si>
    <t>ORD26002536</t>
  </si>
  <si>
    <t>CUST99254</t>
  </si>
  <si>
    <t>ORD26002537</t>
  </si>
  <si>
    <t>CUST14799</t>
  </si>
  <si>
    <t>4,597.00</t>
  </si>
  <si>
    <t>ORD26002538</t>
  </si>
  <si>
    <t>CUST68961</t>
  </si>
  <si>
    <t>ORD26002539</t>
  </si>
  <si>
    <t>CUST42809</t>
  </si>
  <si>
    <t>ORD26002540</t>
  </si>
  <si>
    <t>CUST80919</t>
  </si>
  <si>
    <t>ORD26002541</t>
  </si>
  <si>
    <t>CUST63976</t>
  </si>
  <si>
    <t>ORD26002542</t>
  </si>
  <si>
    <t>CUST46394</t>
  </si>
  <si>
    <t>ORD26002543</t>
  </si>
  <si>
    <t>CUST13525</t>
  </si>
  <si>
    <t>ORD26002544</t>
  </si>
  <si>
    <t>CUST30572</t>
  </si>
  <si>
    <t>ORD26002545</t>
  </si>
  <si>
    <t>CUST35905</t>
  </si>
  <si>
    <t>ORD26002546</t>
  </si>
  <si>
    <t>CUST14127</t>
  </si>
  <si>
    <t>ORD26002547</t>
  </si>
  <si>
    <t>CUST66599</t>
  </si>
  <si>
    <t>ORD26002548</t>
  </si>
  <si>
    <t>CUST10999</t>
  </si>
  <si>
    <t>ORD26002549</t>
  </si>
  <si>
    <t>CUST65096</t>
  </si>
  <si>
    <t>ORD26002550</t>
  </si>
  <si>
    <t>CUST66966</t>
  </si>
  <si>
    <t>ORD26002551</t>
  </si>
  <si>
    <t>CUST98754</t>
  </si>
  <si>
    <t>ORD26002552</t>
  </si>
  <si>
    <t>CUST87892</t>
  </si>
  <si>
    <t>ORD26002553</t>
  </si>
  <si>
    <t>CUST68336</t>
  </si>
  <si>
    <t>ORD26002554</t>
  </si>
  <si>
    <t>CUST12625</t>
  </si>
  <si>
    <t>ORD26002555</t>
  </si>
  <si>
    <t>CUST21930</t>
  </si>
  <si>
    <t>ORD26002556</t>
  </si>
  <si>
    <t>CUST24832</t>
  </si>
  <si>
    <t>ORD26002557</t>
  </si>
  <si>
    <t>CUST16924</t>
  </si>
  <si>
    <t>ORD26002558</t>
  </si>
  <si>
    <t>CUST76639</t>
  </si>
  <si>
    <t>ORD26002559</t>
  </si>
  <si>
    <t>CUST78822</t>
  </si>
  <si>
    <t>ORD26002560</t>
  </si>
  <si>
    <t>CUST33371</t>
  </si>
  <si>
    <t>ORD26002561</t>
  </si>
  <si>
    <t>CUST38902</t>
  </si>
  <si>
    <t>ORD26002562</t>
  </si>
  <si>
    <t>CUST93080</t>
  </si>
  <si>
    <t>ORD26002563</t>
  </si>
  <si>
    <t>CUST54260</t>
  </si>
  <si>
    <t>ORD26002564</t>
  </si>
  <si>
    <t>CUST13172</t>
  </si>
  <si>
    <t>ORD26002565</t>
  </si>
  <si>
    <t>CUST86787</t>
  </si>
  <si>
    <t>ORD26002566</t>
  </si>
  <si>
    <t>CUST80651</t>
  </si>
  <si>
    <t>ORD26002567</t>
  </si>
  <si>
    <t>CUST51005</t>
  </si>
  <si>
    <t>ORD26002568</t>
  </si>
  <si>
    <t>CUST48291</t>
  </si>
  <si>
    <t>ORD26002569</t>
  </si>
  <si>
    <t>CUST85547</t>
  </si>
  <si>
    <t>ORD26002570</t>
  </si>
  <si>
    <t>CUST29736</t>
  </si>
  <si>
    <t>ORD26002571</t>
  </si>
  <si>
    <t>ORD26002572</t>
  </si>
  <si>
    <t>CUST10366</t>
  </si>
  <si>
    <t>2,798.00</t>
  </si>
  <si>
    <t>ORD26002573</t>
  </si>
  <si>
    <t>ORD26002574</t>
  </si>
  <si>
    <t>CUST64129</t>
  </si>
  <si>
    <t>ORD26002575</t>
  </si>
  <si>
    <t>CUST96681</t>
  </si>
  <si>
    <t>ORD26002576</t>
  </si>
  <si>
    <t>CUST15488</t>
  </si>
  <si>
    <t>ORD26002577</t>
  </si>
  <si>
    <t>CUST41508</t>
  </si>
  <si>
    <t>ORD26002578</t>
  </si>
  <si>
    <t>CUST12227</t>
  </si>
  <si>
    <t>ORD26002579</t>
  </si>
  <si>
    <t>CUST16158</t>
  </si>
  <si>
    <t>ORD26002580</t>
  </si>
  <si>
    <t>CUST79375</t>
  </si>
  <si>
    <t>ORD26002581</t>
  </si>
  <si>
    <t>CUST72081</t>
  </si>
  <si>
    <t>ORD26002582</t>
  </si>
  <si>
    <t>CUST34600</t>
  </si>
  <si>
    <t>ORD26002583</t>
  </si>
  <si>
    <t>CUST18589</t>
  </si>
  <si>
    <t>ORD26002584</t>
  </si>
  <si>
    <t>CUST84897</t>
  </si>
  <si>
    <t>ORD26002585</t>
  </si>
  <si>
    <t>CUST27106</t>
  </si>
  <si>
    <t>ORD26002586</t>
  </si>
  <si>
    <t>CUST43010</t>
  </si>
  <si>
    <t>ORD26002587</t>
  </si>
  <si>
    <t>CUST92789</t>
  </si>
  <si>
    <t>ORD26002588</t>
  </si>
  <si>
    <t>CUST15546</t>
  </si>
  <si>
    <t>ORD26002589</t>
  </si>
  <si>
    <t>CUST99546</t>
  </si>
  <si>
    <t>ORD26002590</t>
  </si>
  <si>
    <t>CUST21089</t>
  </si>
  <si>
    <t>ORD26002591</t>
  </si>
  <si>
    <t>CUST77237</t>
  </si>
  <si>
    <t>ORD26002592</t>
  </si>
  <si>
    <t>CUST58283</t>
  </si>
  <si>
    <t>ORD26002593</t>
  </si>
  <si>
    <t>CUST27596</t>
  </si>
  <si>
    <t>ORD26002594</t>
  </si>
  <si>
    <t>CUST93765</t>
  </si>
  <si>
    <t>ORD26002595</t>
  </si>
  <si>
    <t>CUST56538</t>
  </si>
  <si>
    <t>ORD26002596</t>
  </si>
  <si>
    <t>CUST61736</t>
  </si>
  <si>
    <t>ORD26002597</t>
  </si>
  <si>
    <t>CUST88624</t>
  </si>
  <si>
    <t>ORD26002598</t>
  </si>
  <si>
    <t>CUST36033</t>
  </si>
  <si>
    <t>ORD26002599</t>
  </si>
  <si>
    <t>CUST27656</t>
  </si>
  <si>
    <t>ORD26002600</t>
  </si>
  <si>
    <t>CUST14555</t>
  </si>
  <si>
    <t>ORD26002601</t>
  </si>
  <si>
    <t>CUST61031</t>
  </si>
  <si>
    <t>ORD26002602</t>
  </si>
  <si>
    <t>CUST78743</t>
  </si>
  <si>
    <t>ORD26002603</t>
  </si>
  <si>
    <t>CUST13853</t>
  </si>
  <si>
    <t>ORD26002604</t>
  </si>
  <si>
    <t>CUST88275</t>
  </si>
  <si>
    <t>ORD26002605</t>
  </si>
  <si>
    <t>CUST93471</t>
  </si>
  <si>
    <t>ORD26002606</t>
  </si>
  <si>
    <t>CUST64461</t>
  </si>
  <si>
    <t>11,297.00</t>
  </si>
  <si>
    <t>ORD26002607</t>
  </si>
  <si>
    <t>CUST55323</t>
  </si>
  <si>
    <t>ORD26002608</t>
  </si>
  <si>
    <t>CUST26144</t>
  </si>
  <si>
    <t>ORD26002609</t>
  </si>
  <si>
    <t>CUST62035</t>
  </si>
  <si>
    <t>ORD26002610</t>
  </si>
  <si>
    <t>CUST63382</t>
  </si>
  <si>
    <t>ORD26002611</t>
  </si>
  <si>
    <t>CUST41475</t>
  </si>
  <si>
    <t>ORD26002612</t>
  </si>
  <si>
    <t>CUST14781</t>
  </si>
  <si>
    <t>ORD26002613</t>
  </si>
  <si>
    <t>CUST58081</t>
  </si>
  <si>
    <t>ORD26002614</t>
  </si>
  <si>
    <t>CUST67064</t>
  </si>
  <si>
    <t>ORD26002615</t>
  </si>
  <si>
    <t>CUST12355</t>
  </si>
  <si>
    <t>ORD26002616</t>
  </si>
  <si>
    <t>CUST62144</t>
  </si>
  <si>
    <t>ORD26002617</t>
  </si>
  <si>
    <t>CUST51992</t>
  </si>
  <si>
    <t>ORD26002618</t>
  </si>
  <si>
    <t>CUST56634</t>
  </si>
  <si>
    <t>ORD26002619</t>
  </si>
  <si>
    <t>CUST73620</t>
  </si>
  <si>
    <t>ORD26002620</t>
  </si>
  <si>
    <t>CUST44574</t>
  </si>
  <si>
    <t>ORD26002621</t>
  </si>
  <si>
    <t>CUST10649</t>
  </si>
  <si>
    <t>ORD26002622</t>
  </si>
  <si>
    <t>CUST97439</t>
  </si>
  <si>
    <t>ORD26002623</t>
  </si>
  <si>
    <t>CUST59060</t>
  </si>
  <si>
    <t>ORD26002624</t>
  </si>
  <si>
    <t>CUST12366</t>
  </si>
  <si>
    <t>ORD26002625</t>
  </si>
  <si>
    <t>CUST18498</t>
  </si>
  <si>
    <t>ORD26002626</t>
  </si>
  <si>
    <t>CUST43455</t>
  </si>
  <si>
    <t>ORD26002627</t>
  </si>
  <si>
    <t>CUST91759</t>
  </si>
  <si>
    <t>ORD26002628</t>
  </si>
  <si>
    <t>CUST48851</t>
  </si>
  <si>
    <t>ORD26002629</t>
  </si>
  <si>
    <t>CUST69795</t>
  </si>
  <si>
    <t>ORD26002630</t>
  </si>
  <si>
    <t>CUST60344</t>
  </si>
  <si>
    <t>ORD26002631</t>
  </si>
  <si>
    <t>CUST75593</t>
  </si>
  <si>
    <t>ORD26002632</t>
  </si>
  <si>
    <t>CUST34952</t>
  </si>
  <si>
    <t>ORD26002633</t>
  </si>
  <si>
    <t>CUST66344</t>
  </si>
  <si>
    <t>ORD26002634</t>
  </si>
  <si>
    <t>CUST83126</t>
  </si>
  <si>
    <t>ORD26002635</t>
  </si>
  <si>
    <t>CUST14000</t>
  </si>
  <si>
    <t>ORD26002636</t>
  </si>
  <si>
    <t>CUST78156</t>
  </si>
  <si>
    <t>ORD26002637</t>
  </si>
  <si>
    <t>CUST95221</t>
  </si>
  <si>
    <t>ORD26002638</t>
  </si>
  <si>
    <t>CUST47316</t>
  </si>
  <si>
    <t>ORD26002639</t>
  </si>
  <si>
    <t>CUST28672</t>
  </si>
  <si>
    <t>ORD26002640</t>
  </si>
  <si>
    <t>CUST29299</t>
  </si>
  <si>
    <t>ORD26002641</t>
  </si>
  <si>
    <t>CUST44870</t>
  </si>
  <si>
    <t>ORD26002642</t>
  </si>
  <si>
    <t>CUST19542</t>
  </si>
  <si>
    <t>ORD26002643</t>
  </si>
  <si>
    <t>CUST99872</t>
  </si>
  <si>
    <t>ORD26002644</t>
  </si>
  <si>
    <t>CUST25753</t>
  </si>
  <si>
    <t>ORD26002645</t>
  </si>
  <si>
    <t>CUST41536</t>
  </si>
  <si>
    <t>ORD26002646</t>
  </si>
  <si>
    <t>CUST15316</t>
  </si>
  <si>
    <t>ORD26002647</t>
  </si>
  <si>
    <t>CUST97518</t>
  </si>
  <si>
    <t>ORD26002648</t>
  </si>
  <si>
    <t>CUST60749</t>
  </si>
  <si>
    <t>ORD26002649</t>
  </si>
  <si>
    <t>CUST53888</t>
  </si>
  <si>
    <t>ORD26002650</t>
  </si>
  <si>
    <t>CUST46601</t>
  </si>
  <si>
    <t>ORD26002651</t>
  </si>
  <si>
    <t>CUST63449</t>
  </si>
  <si>
    <t>10847.0</t>
  </si>
  <si>
    <t>ORD26002652</t>
  </si>
  <si>
    <t>CUST63888</t>
  </si>
  <si>
    <t>10397.0</t>
  </si>
  <si>
    <t>ORD26002653</t>
  </si>
  <si>
    <t>CUST74915</t>
  </si>
  <si>
    <t>ORD26002654</t>
  </si>
  <si>
    <t>CUST68854</t>
  </si>
  <si>
    <t>ORD26002655</t>
  </si>
  <si>
    <t>CUST27982</t>
  </si>
  <si>
    <t>ORD26002656</t>
  </si>
  <si>
    <t>CUST91971</t>
  </si>
  <si>
    <t>ORD26002657</t>
  </si>
  <si>
    <t>CUST18754</t>
  </si>
  <si>
    <t>ORD26002658</t>
  </si>
  <si>
    <t>CUST35594</t>
  </si>
  <si>
    <t>ORD26002659</t>
  </si>
  <si>
    <t>CUST51182</t>
  </si>
  <si>
    <t>ORD26002660</t>
  </si>
  <si>
    <t>CUST24249</t>
  </si>
  <si>
    <t>ORD26002661</t>
  </si>
  <si>
    <t>CUST31531</t>
  </si>
  <si>
    <t>ORD26002662</t>
  </si>
  <si>
    <t>CUST65299</t>
  </si>
  <si>
    <t>ORD26002663</t>
  </si>
  <si>
    <t>CUST85161</t>
  </si>
  <si>
    <t>ORD26002664</t>
  </si>
  <si>
    <t>CUST97539</t>
  </si>
  <si>
    <t>ORD26002665</t>
  </si>
  <si>
    <t>CUST32111</t>
  </si>
  <si>
    <t>ORD26002666</t>
  </si>
  <si>
    <t>CUST15636</t>
  </si>
  <si>
    <t>ORD26002667</t>
  </si>
  <si>
    <t>CUST36855</t>
  </si>
  <si>
    <t>ORD26002668</t>
  </si>
  <si>
    <t>CUST28582</t>
  </si>
  <si>
    <t>ORD26002669</t>
  </si>
  <si>
    <t>CUST11836</t>
  </si>
  <si>
    <t>ORD26002670</t>
  </si>
  <si>
    <t>CUST33906</t>
  </si>
  <si>
    <t>ORD26002671</t>
  </si>
  <si>
    <t>CUST32494</t>
  </si>
  <si>
    <t>ORD26002672</t>
  </si>
  <si>
    <t>CUST89494</t>
  </si>
  <si>
    <t>ORD26002673</t>
  </si>
  <si>
    <t>CUST41854</t>
  </si>
  <si>
    <t>ORD26002674</t>
  </si>
  <si>
    <t>CUST13821</t>
  </si>
  <si>
    <t>ORD26002675</t>
  </si>
  <si>
    <t>CUST87150</t>
  </si>
  <si>
    <t>ORD26002676</t>
  </si>
  <si>
    <t>CUST72694</t>
  </si>
  <si>
    <t>ORD26002677</t>
  </si>
  <si>
    <t>CUST12026</t>
  </si>
  <si>
    <t>ORD26002678</t>
  </si>
  <si>
    <t>CUST32405</t>
  </si>
  <si>
    <t>ORD26002679</t>
  </si>
  <si>
    <t>CUST98964</t>
  </si>
  <si>
    <t>ORD26002680</t>
  </si>
  <si>
    <t>CUST44722</t>
  </si>
  <si>
    <t>ORD26002681</t>
  </si>
  <si>
    <t>CUST32834</t>
  </si>
  <si>
    <t>ORD26002682</t>
  </si>
  <si>
    <t>CUST87879</t>
  </si>
  <si>
    <t>ORD26002683</t>
  </si>
  <si>
    <t>CUST91715</t>
  </si>
  <si>
    <t>ORD26002684</t>
  </si>
  <si>
    <t>CUST30753</t>
  </si>
  <si>
    <t>ORD26002685</t>
  </si>
  <si>
    <t>CUST89320</t>
  </si>
  <si>
    <t>ORD26002686</t>
  </si>
  <si>
    <t>CUST76500</t>
  </si>
  <si>
    <t>ORD26002687</t>
  </si>
  <si>
    <t>CUST89918</t>
  </si>
  <si>
    <t>ORD26002688</t>
  </si>
  <si>
    <t>CUST81524</t>
  </si>
  <si>
    <t>ORD26002689</t>
  </si>
  <si>
    <t>CUST33467</t>
  </si>
  <si>
    <t>ORD26002690</t>
  </si>
  <si>
    <t>CUST96078</t>
  </si>
  <si>
    <t>ORD26002691</t>
  </si>
  <si>
    <t>CUST90481</t>
  </si>
  <si>
    <t>ORD26002692</t>
  </si>
  <si>
    <t>CUST81037</t>
  </si>
  <si>
    <t>ORD26002693</t>
  </si>
  <si>
    <t>CUST30173</t>
  </si>
  <si>
    <t>ORD26002694</t>
  </si>
  <si>
    <t>CUST94319</t>
  </si>
  <si>
    <t>ORD26002695</t>
  </si>
  <si>
    <t>CUST41127</t>
  </si>
  <si>
    <t>ORD26002696</t>
  </si>
  <si>
    <t>CUST61138</t>
  </si>
  <si>
    <t>ORD26002697</t>
  </si>
  <si>
    <t>CUST98212</t>
  </si>
  <si>
    <t>ORD26002698</t>
  </si>
  <si>
    <t>CUST59090</t>
  </si>
  <si>
    <t>ORD26002699</t>
  </si>
  <si>
    <t>CUST35704</t>
  </si>
  <si>
    <t>ORD26002700</t>
  </si>
  <si>
    <t>CUST27445</t>
  </si>
  <si>
    <t>ORD26002701</t>
  </si>
  <si>
    <t>CUST39123</t>
  </si>
  <si>
    <t>ORD26002702</t>
  </si>
  <si>
    <t>CUST99714</t>
  </si>
  <si>
    <t>ORD26002703</t>
  </si>
  <si>
    <t>CUST33317</t>
  </si>
  <si>
    <t>ORD26002704</t>
  </si>
  <si>
    <t>CUST39052</t>
  </si>
  <si>
    <t>ORD26002705</t>
  </si>
  <si>
    <t>CUST76123</t>
  </si>
  <si>
    <t>ORD26002706</t>
  </si>
  <si>
    <t>CUST78017</t>
  </si>
  <si>
    <t>ORD26002707</t>
  </si>
  <si>
    <t>CUST99142</t>
  </si>
  <si>
    <t>ORD26002708</t>
  </si>
  <si>
    <t>CUST91681</t>
  </si>
  <si>
    <t>ORD26002709</t>
  </si>
  <si>
    <t>CUST73074</t>
  </si>
  <si>
    <t>ORD26002710</t>
  </si>
  <si>
    <t>CUST53727</t>
  </si>
  <si>
    <t>ORD26002711</t>
  </si>
  <si>
    <t>CUST37549</t>
  </si>
  <si>
    <t>ORD26002712</t>
  </si>
  <si>
    <t>CUST52960</t>
  </si>
  <si>
    <t>ORD26002713</t>
  </si>
  <si>
    <t>CUST38110</t>
  </si>
  <si>
    <t>ORD26002714</t>
  </si>
  <si>
    <t>CUST51591</t>
  </si>
  <si>
    <t>ORD26002715</t>
  </si>
  <si>
    <t>CUST24300</t>
  </si>
  <si>
    <t>ORD26002716</t>
  </si>
  <si>
    <t>CUST60191</t>
  </si>
  <si>
    <t>ORD26002717</t>
  </si>
  <si>
    <t>CUST17882</t>
  </si>
  <si>
    <t>ORD26002718</t>
  </si>
  <si>
    <t>CUST27009</t>
  </si>
  <si>
    <t>ORD26002719</t>
  </si>
  <si>
    <t>CUST31337</t>
  </si>
  <si>
    <t>ORD26002720</t>
  </si>
  <si>
    <t>CUST66118</t>
  </si>
  <si>
    <t>ORD26002721</t>
  </si>
  <si>
    <t>CUST68953</t>
  </si>
  <si>
    <t>ORD26002722</t>
  </si>
  <si>
    <t>CUST54287</t>
  </si>
  <si>
    <t>ORD26002723</t>
  </si>
  <si>
    <t>CUST65307</t>
  </si>
  <si>
    <t>ORD26002724</t>
  </si>
  <si>
    <t>CUST33301</t>
  </si>
  <si>
    <t>ORD26002725</t>
  </si>
  <si>
    <t>CUST66112</t>
  </si>
  <si>
    <t>ORD26002726</t>
  </si>
  <si>
    <t>CUST30439</t>
  </si>
  <si>
    <t>ORD26002727</t>
  </si>
  <si>
    <t>CUST40988</t>
  </si>
  <si>
    <t>ORD26002728</t>
  </si>
  <si>
    <t>CUST37308</t>
  </si>
  <si>
    <t>ORD26002729</t>
  </si>
  <si>
    <t>CUST92969</t>
  </si>
  <si>
    <t>ORD26002730</t>
  </si>
  <si>
    <t>CUST78132</t>
  </si>
  <si>
    <t>ORD26002731</t>
  </si>
  <si>
    <t>CUST28883</t>
  </si>
  <si>
    <t>ORD26002732</t>
  </si>
  <si>
    <t>CUST48360</t>
  </si>
  <si>
    <t>ORD26002733</t>
  </si>
  <si>
    <t>CUST31981</t>
  </si>
  <si>
    <t>ORD26002734</t>
  </si>
  <si>
    <t>CUST32658</t>
  </si>
  <si>
    <t>ORD26002735</t>
  </si>
  <si>
    <t>CUST26553</t>
  </si>
  <si>
    <t>ORD26002736</t>
  </si>
  <si>
    <t>CUST91797</t>
  </si>
  <si>
    <t>ORD26002737</t>
  </si>
  <si>
    <t>CUST64443</t>
  </si>
  <si>
    <t>ORD26002738</t>
  </si>
  <si>
    <t>CUST13175</t>
  </si>
  <si>
    <t>ORD26002739</t>
  </si>
  <si>
    <t>CUST33192</t>
  </si>
  <si>
    <t>ORD26002740</t>
  </si>
  <si>
    <t>CUST57603</t>
  </si>
  <si>
    <t>ORD26002741</t>
  </si>
  <si>
    <t>CUST84870</t>
  </si>
  <si>
    <t>ORD26002742</t>
  </si>
  <si>
    <t>CUST97789</t>
  </si>
  <si>
    <t>ORD26002743</t>
  </si>
  <si>
    <t>CUST33809</t>
  </si>
  <si>
    <t>ORD26002744</t>
  </si>
  <si>
    <t>CUST68051</t>
  </si>
  <si>
    <t>2,347.00</t>
  </si>
  <si>
    <t>ORD26002745</t>
  </si>
  <si>
    <t>CUST13836</t>
  </si>
  <si>
    <t>ORD26002746</t>
  </si>
  <si>
    <t>CUST90584</t>
  </si>
  <si>
    <t>ORD26002747</t>
  </si>
  <si>
    <t>CUST96146</t>
  </si>
  <si>
    <t>ORD26002748</t>
  </si>
  <si>
    <t>CUST31831</t>
  </si>
  <si>
    <t>ORD26002749</t>
  </si>
  <si>
    <t>CUST80800</t>
  </si>
  <si>
    <t>ORD26002750</t>
  </si>
  <si>
    <t>CUST94489</t>
  </si>
  <si>
    <t>ORD26002751</t>
  </si>
  <si>
    <t>CUST12563</t>
  </si>
  <si>
    <t>ORD26002752</t>
  </si>
  <si>
    <t>CUST75289</t>
  </si>
  <si>
    <t>ORD26002753</t>
  </si>
  <si>
    <t>CUST86318</t>
  </si>
  <si>
    <t>2347.0</t>
  </si>
  <si>
    <t>ORD26002754</t>
  </si>
  <si>
    <t>ORD26002755</t>
  </si>
  <si>
    <t>CUST24747</t>
  </si>
  <si>
    <t>ORD26002756</t>
  </si>
  <si>
    <t>CUST78019</t>
  </si>
  <si>
    <t>ORD26002757</t>
  </si>
  <si>
    <t>CUST22917</t>
  </si>
  <si>
    <t>ORD26002758</t>
  </si>
  <si>
    <t>CUST17115</t>
  </si>
  <si>
    <t>ORD26002759</t>
  </si>
  <si>
    <t>CUST82641</t>
  </si>
  <si>
    <t>ORD26002760</t>
  </si>
  <si>
    <t>CUST55785</t>
  </si>
  <si>
    <t>ORD26002761</t>
  </si>
  <si>
    <t>CUST41037</t>
  </si>
  <si>
    <t>ORD26002762</t>
  </si>
  <si>
    <t>CUST15300</t>
  </si>
  <si>
    <t>ORD26002763</t>
  </si>
  <si>
    <t>CUST20749</t>
  </si>
  <si>
    <t>ORD26002764</t>
  </si>
  <si>
    <t>CUST31365</t>
  </si>
  <si>
    <t>1,348.00</t>
  </si>
  <si>
    <t>ORD26002765</t>
  </si>
  <si>
    <t>CUST85653</t>
  </si>
  <si>
    <t>ORD26002766</t>
  </si>
  <si>
    <t>CUST36062</t>
  </si>
  <si>
    <t>ORD26002767</t>
  </si>
  <si>
    <t>13297.0</t>
  </si>
  <si>
    <t>ORD26002768</t>
  </si>
  <si>
    <t>CUST22180</t>
  </si>
  <si>
    <t>ORD26002769</t>
  </si>
  <si>
    <t>CUST29895</t>
  </si>
  <si>
    <t>ORD26002770</t>
  </si>
  <si>
    <t>CUST70338</t>
  </si>
  <si>
    <t>ORD26002771</t>
  </si>
  <si>
    <t>CUST21696</t>
  </si>
  <si>
    <t>ORD26002772</t>
  </si>
  <si>
    <t>CUST25854</t>
  </si>
  <si>
    <t>ORD26002773</t>
  </si>
  <si>
    <t>CUST79357</t>
  </si>
  <si>
    <t>ORD26002774</t>
  </si>
  <si>
    <t>CUST38061</t>
  </si>
  <si>
    <t>ORD26002775</t>
  </si>
  <si>
    <t>CUST11757</t>
  </si>
  <si>
    <t>ORD26002776</t>
  </si>
  <si>
    <t>CUST46968</t>
  </si>
  <si>
    <t>ORD26002777</t>
  </si>
  <si>
    <t>CUST61745</t>
  </si>
  <si>
    <t>ORD26002778</t>
  </si>
  <si>
    <t>CUST27646</t>
  </si>
  <si>
    <t>ORD26002779</t>
  </si>
  <si>
    <t>CUST87516</t>
  </si>
  <si>
    <t>ORD26002780</t>
  </si>
  <si>
    <t>CUST18653</t>
  </si>
  <si>
    <t>ORD26002781</t>
  </si>
  <si>
    <t>CUST26803</t>
  </si>
  <si>
    <t>ORD26002782</t>
  </si>
  <si>
    <t>CUST25551</t>
  </si>
  <si>
    <t>ORD26002783</t>
  </si>
  <si>
    <t>CUST80731</t>
  </si>
  <si>
    <t>ORD26002784</t>
  </si>
  <si>
    <t>CUST13544</t>
  </si>
  <si>
    <t>ORD26002785</t>
  </si>
  <si>
    <t>CUST17053</t>
  </si>
  <si>
    <t>ORD26002786</t>
  </si>
  <si>
    <t>CUST74861</t>
  </si>
  <si>
    <t>ORD26002787</t>
  </si>
  <si>
    <t>CUST21190</t>
  </si>
  <si>
    <t>ORD26002788</t>
  </si>
  <si>
    <t>CUST46883</t>
  </si>
  <si>
    <t>ORD26002789</t>
  </si>
  <si>
    <t>CUST30787</t>
  </si>
  <si>
    <t>ORD26002790</t>
  </si>
  <si>
    <t>CUST12209</t>
  </si>
  <si>
    <t>ORD26002791</t>
  </si>
  <si>
    <t>CUST58308</t>
  </si>
  <si>
    <t>ORD26002792</t>
  </si>
  <si>
    <t>CUST98744</t>
  </si>
  <si>
    <t>ORD26002793</t>
  </si>
  <si>
    <t>CUST42935</t>
  </si>
  <si>
    <t>ORD26002794</t>
  </si>
  <si>
    <t>CUST66909</t>
  </si>
  <si>
    <t>ORD26002795</t>
  </si>
  <si>
    <t>CUST77394</t>
  </si>
  <si>
    <t>ORD26002796</t>
  </si>
  <si>
    <t>CUST64076</t>
  </si>
  <si>
    <t>ORD26002797</t>
  </si>
  <si>
    <t>CUST21793</t>
  </si>
  <si>
    <t>ORD26002798</t>
  </si>
  <si>
    <t>CUST97843</t>
  </si>
  <si>
    <t>ORD26002799</t>
  </si>
  <si>
    <t>CUST24179</t>
  </si>
  <si>
    <t>ORD26002800</t>
  </si>
  <si>
    <t>CUST63554</t>
  </si>
  <si>
    <t>ORD26002801</t>
  </si>
  <si>
    <t>CUST20447</t>
  </si>
  <si>
    <t>ORD26002802</t>
  </si>
  <si>
    <t>CUST74491</t>
  </si>
  <si>
    <t>ORD26002803</t>
  </si>
  <si>
    <t>CUST84072</t>
  </si>
  <si>
    <t>ORD26002804</t>
  </si>
  <si>
    <t>CUST68565</t>
  </si>
  <si>
    <t>ORD26002805</t>
  </si>
  <si>
    <t>CUST83565</t>
  </si>
  <si>
    <t>ORD26002806</t>
  </si>
  <si>
    <t>CUST89555</t>
  </si>
  <si>
    <t>ORD26002807</t>
  </si>
  <si>
    <t>CUST29518</t>
  </si>
  <si>
    <t>ORD26002808</t>
  </si>
  <si>
    <t>CUST72259</t>
  </si>
  <si>
    <t>ORD26002809</t>
  </si>
  <si>
    <t>CUST50711</t>
  </si>
  <si>
    <t>ORD26002810</t>
  </si>
  <si>
    <t>CUST68580</t>
  </si>
  <si>
    <t>ORD26002811</t>
  </si>
  <si>
    <t>CUST44431</t>
  </si>
  <si>
    <t>ORD26002812</t>
  </si>
  <si>
    <t>CUST92716</t>
  </si>
  <si>
    <t>ORD26002813</t>
  </si>
  <si>
    <t>CUST18621</t>
  </si>
  <si>
    <t>ORD26002814</t>
  </si>
  <si>
    <t>CUST14967</t>
  </si>
  <si>
    <t>ORD26002815</t>
  </si>
  <si>
    <t>CUST89443</t>
  </si>
  <si>
    <t>18497.0</t>
  </si>
  <si>
    <t>ORD26002816</t>
  </si>
  <si>
    <t>CUST99804</t>
  </si>
  <si>
    <t>ORD26002817</t>
  </si>
  <si>
    <t>CUST63855</t>
  </si>
  <si>
    <t>ORD26002818</t>
  </si>
  <si>
    <t>CUST73572</t>
  </si>
  <si>
    <t>ORD26002819</t>
  </si>
  <si>
    <t>ORD26002820</t>
  </si>
  <si>
    <t>CUST87460</t>
  </si>
  <si>
    <t>ORD26002821</t>
  </si>
  <si>
    <t>CUST11921</t>
  </si>
  <si>
    <t>ORD26002822</t>
  </si>
  <si>
    <t>CUST96549</t>
  </si>
  <si>
    <t>ORD26002823</t>
  </si>
  <si>
    <t>CUST80851</t>
  </si>
  <si>
    <t>ORD26002824</t>
  </si>
  <si>
    <t>CUST97209</t>
  </si>
  <si>
    <t>ORD26002825</t>
  </si>
  <si>
    <t>CUST81532</t>
  </si>
  <si>
    <t>ORD26002826</t>
  </si>
  <si>
    <t>CUST77234</t>
  </si>
  <si>
    <t>ORD26002827</t>
  </si>
  <si>
    <t>CUST68255</t>
  </si>
  <si>
    <t>ORD26002828</t>
  </si>
  <si>
    <t>CUST96702</t>
  </si>
  <si>
    <t>ORD26002829</t>
  </si>
  <si>
    <t>CUST49860</t>
  </si>
  <si>
    <t>ORD26002830</t>
  </si>
  <si>
    <t>CUST56668</t>
  </si>
  <si>
    <t>ORD26002831</t>
  </si>
  <si>
    <t>CUST11511</t>
  </si>
  <si>
    <t>ORD26002832</t>
  </si>
  <si>
    <t>CUST64891</t>
  </si>
  <si>
    <t>ORD26002833</t>
  </si>
  <si>
    <t>CUST34761</t>
  </si>
  <si>
    <t>ORD26002834</t>
  </si>
  <si>
    <t>CUST94928</t>
  </si>
  <si>
    <t>ORD26002835</t>
  </si>
  <si>
    <t>CUST87388</t>
  </si>
  <si>
    <t>ORD26002836</t>
  </si>
  <si>
    <t>CUST76150</t>
  </si>
  <si>
    <t>ORD26002837</t>
  </si>
  <si>
    <t>CUST72539</t>
  </si>
  <si>
    <t>ORD26002838</t>
  </si>
  <si>
    <t>ORD26002839</t>
  </si>
  <si>
    <t>CUST82331</t>
  </si>
  <si>
    <t>ORD26002840</t>
  </si>
  <si>
    <t>CUST83162</t>
  </si>
  <si>
    <t>ORD26002841</t>
  </si>
  <si>
    <t>CUST96328</t>
  </si>
  <si>
    <t>ORD26002842</t>
  </si>
  <si>
    <t>CUST65264</t>
  </si>
  <si>
    <t>ORD26002843</t>
  </si>
  <si>
    <t>CUST90190</t>
  </si>
  <si>
    <t>ORD26002844</t>
  </si>
  <si>
    <t>ORD26002845</t>
  </si>
  <si>
    <t>CUST56605</t>
  </si>
  <si>
    <t>ORD26002846</t>
  </si>
  <si>
    <t>CUST81658</t>
  </si>
  <si>
    <t>ORD26002847</t>
  </si>
  <si>
    <t>CUST62445</t>
  </si>
  <si>
    <t>ORD26002848</t>
  </si>
  <si>
    <t>CUST43886</t>
  </si>
  <si>
    <t>ORD26002849</t>
  </si>
  <si>
    <t>CUST18932</t>
  </si>
  <si>
    <t>ORD26002850</t>
  </si>
  <si>
    <t>CUST24804</t>
  </si>
  <si>
    <t>ORD26002851</t>
  </si>
  <si>
    <t>CUST31396</t>
  </si>
  <si>
    <t>ORD26002852</t>
  </si>
  <si>
    <t>CUST10055</t>
  </si>
  <si>
    <t>ORD26002853</t>
  </si>
  <si>
    <t>CUST76983</t>
  </si>
  <si>
    <t>ORD26002854</t>
  </si>
  <si>
    <t>CUST31702</t>
  </si>
  <si>
    <t>ORD26002855</t>
  </si>
  <si>
    <t>CUST26327</t>
  </si>
  <si>
    <t>ORD26002856</t>
  </si>
  <si>
    <t>CUST47899</t>
  </si>
  <si>
    <t>ORD26002857</t>
  </si>
  <si>
    <t>CUST73470</t>
  </si>
  <si>
    <t>ORD26002858</t>
  </si>
  <si>
    <t>CUST81646</t>
  </si>
  <si>
    <t>ORD26002859</t>
  </si>
  <si>
    <t>CUST82240</t>
  </si>
  <si>
    <t>ORD26002860</t>
  </si>
  <si>
    <t>CUST23708</t>
  </si>
  <si>
    <t>ORD26002861</t>
  </si>
  <si>
    <t>CUST59352</t>
  </si>
  <si>
    <t>ORD26002862</t>
  </si>
  <si>
    <t>CUST42633</t>
  </si>
  <si>
    <t>ORD26002863</t>
  </si>
  <si>
    <t>CUST84346</t>
  </si>
  <si>
    <t>ORD26002864</t>
  </si>
  <si>
    <t>CUST51098</t>
  </si>
  <si>
    <t>ORD26002865</t>
  </si>
  <si>
    <t>CUST33669</t>
  </si>
  <si>
    <t>ORD26002866</t>
  </si>
  <si>
    <t>CUST15831</t>
  </si>
  <si>
    <t>ORD26002867</t>
  </si>
  <si>
    <t>CUST18109</t>
  </si>
  <si>
    <t>ORD26002868</t>
  </si>
  <si>
    <t>CUST37150</t>
  </si>
  <si>
    <t>ORD26002869</t>
  </si>
  <si>
    <t>CUST23108</t>
  </si>
  <si>
    <t>ORD26002870</t>
  </si>
  <si>
    <t>CUST73636</t>
  </si>
  <si>
    <t>ORD26002871</t>
  </si>
  <si>
    <t>CUST27810</t>
  </si>
  <si>
    <t>ORD26002872</t>
  </si>
  <si>
    <t>CUST59157</t>
  </si>
  <si>
    <t>ORD26002873</t>
  </si>
  <si>
    <t>ORD26002874</t>
  </si>
  <si>
    <t>CUST50729</t>
  </si>
  <si>
    <t>ORD26002875</t>
  </si>
  <si>
    <t>CUST13825</t>
  </si>
  <si>
    <t>ORD26002876</t>
  </si>
  <si>
    <t>CUST76377</t>
  </si>
  <si>
    <t>ORD26002877</t>
  </si>
  <si>
    <t>CUST63010</t>
  </si>
  <si>
    <t>ORD26002878</t>
  </si>
  <si>
    <t>CUST54106</t>
  </si>
  <si>
    <t>ORD26002879</t>
  </si>
  <si>
    <t>CUST55485</t>
  </si>
  <si>
    <t>ORD26002880</t>
  </si>
  <si>
    <t>CUST31006</t>
  </si>
  <si>
    <t>ORD26002881</t>
  </si>
  <si>
    <t>CUST69234</t>
  </si>
  <si>
    <t>ORD26002882</t>
  </si>
  <si>
    <t>CUST51419</t>
  </si>
  <si>
    <t>ORD26002883</t>
  </si>
  <si>
    <t>CUST23096</t>
  </si>
  <si>
    <t>ORD26002884</t>
  </si>
  <si>
    <t>CUST60888</t>
  </si>
  <si>
    <t>ORD26002885</t>
  </si>
  <si>
    <t>CUST61915</t>
  </si>
  <si>
    <t>ORD26002886</t>
  </si>
  <si>
    <t>CUST85738</t>
  </si>
  <si>
    <t>ORD26002887</t>
  </si>
  <si>
    <t>CUST45808</t>
  </si>
  <si>
    <t>ORD26002888</t>
  </si>
  <si>
    <t>CUST65704</t>
  </si>
  <si>
    <t>ORD26002889</t>
  </si>
  <si>
    <t>CUST72747</t>
  </si>
  <si>
    <t>ORD26002890</t>
  </si>
  <si>
    <t>CUST79768</t>
  </si>
  <si>
    <t>ORD26002891</t>
  </si>
  <si>
    <t>CUST44698</t>
  </si>
  <si>
    <t>ORD26002892</t>
  </si>
  <si>
    <t>ORD26002893</t>
  </si>
  <si>
    <t>CUST45173</t>
  </si>
  <si>
    <t>ORD26002894</t>
  </si>
  <si>
    <t>CUST71239</t>
  </si>
  <si>
    <t>ORD26002895</t>
  </si>
  <si>
    <t>CUST24601</t>
  </si>
  <si>
    <t>ORD26002896</t>
  </si>
  <si>
    <t>CUST80420</t>
  </si>
  <si>
    <t>ORD26002897</t>
  </si>
  <si>
    <t>CUST21123</t>
  </si>
  <si>
    <t>ORD26002898</t>
  </si>
  <si>
    <t>CUST94084</t>
  </si>
  <si>
    <t>ORD26002899</t>
  </si>
  <si>
    <t>CUST80634</t>
  </si>
  <si>
    <t>ORD26002900</t>
  </si>
  <si>
    <t>CUST11653</t>
  </si>
  <si>
    <t>ORD26002901</t>
  </si>
  <si>
    <t>CUST15466</t>
  </si>
  <si>
    <t>ORD26002902</t>
  </si>
  <si>
    <t>CUST40086</t>
  </si>
  <si>
    <t>ORD26002903</t>
  </si>
  <si>
    <t>CUST40072</t>
  </si>
  <si>
    <t>ORD26002904</t>
  </si>
  <si>
    <t>CUST93148</t>
  </si>
  <si>
    <t>ORD26002905</t>
  </si>
  <si>
    <t>CUST76211</t>
  </si>
  <si>
    <t>ORD26002906</t>
  </si>
  <si>
    <t>CUST46549</t>
  </si>
  <si>
    <t>ORD26002907</t>
  </si>
  <si>
    <t>CUST37559</t>
  </si>
  <si>
    <t>ORD26002908</t>
  </si>
  <si>
    <t>CUST38500</t>
  </si>
  <si>
    <t>ORD26002909</t>
  </si>
  <si>
    <t>CUST97755</t>
  </si>
  <si>
    <t>ORD26002910</t>
  </si>
  <si>
    <t>CUST77173</t>
  </si>
  <si>
    <t>3347.0</t>
  </si>
  <si>
    <t>ORD26002911</t>
  </si>
  <si>
    <t>CUST65782</t>
  </si>
  <si>
    <t>ORD26002912</t>
  </si>
  <si>
    <t>CUST88492</t>
  </si>
  <si>
    <t>ORD26002913</t>
  </si>
  <si>
    <t>CUST72828</t>
  </si>
  <si>
    <t>ORD26002914</t>
  </si>
  <si>
    <t>CUST21736</t>
  </si>
  <si>
    <t>ORD26002915</t>
  </si>
  <si>
    <t>CUST36703</t>
  </si>
  <si>
    <t>ORD26002916</t>
  </si>
  <si>
    <t>CUST41230</t>
  </si>
  <si>
    <t>ORD26002917</t>
  </si>
  <si>
    <t>CUST96446</t>
  </si>
  <si>
    <t>ORD26002918</t>
  </si>
  <si>
    <t>CUST84262</t>
  </si>
  <si>
    <t>ORD26002919</t>
  </si>
  <si>
    <t>CUST83013</t>
  </si>
  <si>
    <t>ORD26002920</t>
  </si>
  <si>
    <t>CUST34263</t>
  </si>
  <si>
    <t>ORD26002921</t>
  </si>
  <si>
    <t>CUST70464</t>
  </si>
  <si>
    <t>ORD26002922</t>
  </si>
  <si>
    <t>CUST92756</t>
  </si>
  <si>
    <t>ORD26002923</t>
  </si>
  <si>
    <t>CUST11468</t>
  </si>
  <si>
    <t>ORD26002924</t>
  </si>
  <si>
    <t>CUST47848</t>
  </si>
  <si>
    <t>ORD26002925</t>
  </si>
  <si>
    <t>CUST94037</t>
  </si>
  <si>
    <t>3,197.00</t>
  </si>
  <si>
    <t>ORD26002926</t>
  </si>
  <si>
    <t>CUST82133</t>
  </si>
  <si>
    <t>ORD26002927</t>
  </si>
  <si>
    <t>CUST51470</t>
  </si>
  <si>
    <t>ORD26002928</t>
  </si>
  <si>
    <t>CUST69905</t>
  </si>
  <si>
    <t>ORD26002929</t>
  </si>
  <si>
    <t>CUST53178</t>
  </si>
  <si>
    <t>ORD26002930</t>
  </si>
  <si>
    <t>CUST16039</t>
  </si>
  <si>
    <t>ORD26002931</t>
  </si>
  <si>
    <t>CUST94843</t>
  </si>
  <si>
    <t>ORD26002932</t>
  </si>
  <si>
    <t>CUST39464</t>
  </si>
  <si>
    <t>ORD26002933</t>
  </si>
  <si>
    <t>CUST87526</t>
  </si>
  <si>
    <t>ORD26002934</t>
  </si>
  <si>
    <t>CUST83622</t>
  </si>
  <si>
    <t>ORD26002935</t>
  </si>
  <si>
    <t>CUST80031</t>
  </si>
  <si>
    <t>ORD26002936</t>
  </si>
  <si>
    <t>CUST12021</t>
  </si>
  <si>
    <t>ORD26002937</t>
  </si>
  <si>
    <t>CUST84154</t>
  </si>
  <si>
    <t>3,098.00</t>
  </si>
  <si>
    <t>ORD26002938</t>
  </si>
  <si>
    <t>CUST19522</t>
  </si>
  <si>
    <t>ORD26002939</t>
  </si>
  <si>
    <t>CUST69445</t>
  </si>
  <si>
    <t>ORD26002940</t>
  </si>
  <si>
    <t>CUST12919</t>
  </si>
  <si>
    <t>ORD26002941</t>
  </si>
  <si>
    <t>CUST92714</t>
  </si>
  <si>
    <t>ORD26002942</t>
  </si>
  <si>
    <t>CUST20310</t>
  </si>
  <si>
    <t>ORD26002943</t>
  </si>
  <si>
    <t>CUST58305</t>
  </si>
  <si>
    <t>ORD26002944</t>
  </si>
  <si>
    <t>ORD26002945</t>
  </si>
  <si>
    <t>CUST73999</t>
  </si>
  <si>
    <t>ORD26002946</t>
  </si>
  <si>
    <t>CUST94538</t>
  </si>
  <si>
    <t>ORD26002947</t>
  </si>
  <si>
    <t>ORD26002948</t>
  </si>
  <si>
    <t>CUST53813</t>
  </si>
  <si>
    <t>ORD26002949</t>
  </si>
  <si>
    <t>CUST44646</t>
  </si>
  <si>
    <t>ORD26002950</t>
  </si>
  <si>
    <t>CUST48489</t>
  </si>
  <si>
    <t>ORD26002951</t>
  </si>
  <si>
    <t>CUST10378</t>
  </si>
  <si>
    <t>ORD26002952</t>
  </si>
  <si>
    <t>CUST10007</t>
  </si>
  <si>
    <t>ORD26002953</t>
  </si>
  <si>
    <t>CUST54849</t>
  </si>
  <si>
    <t>ORD26002954</t>
  </si>
  <si>
    <t>CUST46496</t>
  </si>
  <si>
    <t>ORD26002955</t>
  </si>
  <si>
    <t>CUST46699</t>
  </si>
  <si>
    <t>ORD26002956</t>
  </si>
  <si>
    <t>CUST77726</t>
  </si>
  <si>
    <t>ORD26002957</t>
  </si>
  <si>
    <t>CUST65008</t>
  </si>
  <si>
    <t>ORD26002958</t>
  </si>
  <si>
    <t>CUST17722</t>
  </si>
  <si>
    <t>ORD26002959</t>
  </si>
  <si>
    <t>CUST10134</t>
  </si>
  <si>
    <t>ORD26002960</t>
  </si>
  <si>
    <t>CUST51285</t>
  </si>
  <si>
    <t>ORD26002961</t>
  </si>
  <si>
    <t>CUST39807</t>
  </si>
  <si>
    <t>ORD26002962</t>
  </si>
  <si>
    <t>CUST66385</t>
  </si>
  <si>
    <t>ORD26002963</t>
  </si>
  <si>
    <t>CUST95674</t>
  </si>
  <si>
    <t>ORD26002964</t>
  </si>
  <si>
    <t>CUST48408</t>
  </si>
  <si>
    <t>ORD26002965</t>
  </si>
  <si>
    <t>CUST82788</t>
  </si>
  <si>
    <t>ORD26002966</t>
  </si>
  <si>
    <t>CUST71894</t>
  </si>
  <si>
    <t>ORD26002967</t>
  </si>
  <si>
    <t>CUST72145</t>
  </si>
  <si>
    <t>7847.0</t>
  </si>
  <si>
    <t>ORD26002968</t>
  </si>
  <si>
    <t>CUST19269</t>
  </si>
  <si>
    <t>ORD26002969</t>
  </si>
  <si>
    <t>CUST97030</t>
  </si>
  <si>
    <t>ORD26002970</t>
  </si>
  <si>
    <t>CUST48898</t>
  </si>
  <si>
    <t>ORD26002971</t>
  </si>
  <si>
    <t>CUST41713</t>
  </si>
  <si>
    <t>ORD26002972</t>
  </si>
  <si>
    <t>CUST45783</t>
  </si>
  <si>
    <t>ORD26002973</t>
  </si>
  <si>
    <t>CUST81821</t>
  </si>
  <si>
    <t>ORD26002974</t>
  </si>
  <si>
    <t>CUST81717</t>
  </si>
  <si>
    <t>ORD26002975</t>
  </si>
  <si>
    <t>CUST92656</t>
  </si>
  <si>
    <t>ORD26002976</t>
  </si>
  <si>
    <t>CUST68394</t>
  </si>
  <si>
    <t>ORD26002977</t>
  </si>
  <si>
    <t>ORD26002978</t>
  </si>
  <si>
    <t>CUST83999</t>
  </si>
  <si>
    <t>ORD26002979</t>
  </si>
  <si>
    <t>CUST52539</t>
  </si>
  <si>
    <t>ORD26002980</t>
  </si>
  <si>
    <t>CUST88654</t>
  </si>
  <si>
    <t>ORD26002981</t>
  </si>
  <si>
    <t>CUST70646</t>
  </si>
  <si>
    <t>ORD26002982</t>
  </si>
  <si>
    <t>CUST53061</t>
  </si>
  <si>
    <t>ORD26002983</t>
  </si>
  <si>
    <t>CUST32045</t>
  </si>
  <si>
    <t>ORD26002984</t>
  </si>
  <si>
    <t>CUST45133</t>
  </si>
  <si>
    <t>ORD26002985</t>
  </si>
  <si>
    <t>CUST33886</t>
  </si>
  <si>
    <t>ORD26002986</t>
  </si>
  <si>
    <t>CUST17801</t>
  </si>
  <si>
    <t>ORD26002987</t>
  </si>
  <si>
    <t>CUST51878</t>
  </si>
  <si>
    <t>ORD26002988</t>
  </si>
  <si>
    <t>ORD26002989</t>
  </si>
  <si>
    <t>CUST15744</t>
  </si>
  <si>
    <t>ORD26002990</t>
  </si>
  <si>
    <t>CUST82187</t>
  </si>
  <si>
    <t>ORD26002991</t>
  </si>
  <si>
    <t>CUST94399</t>
  </si>
  <si>
    <t>ORD26002992</t>
  </si>
  <si>
    <t>CUST11274</t>
  </si>
  <si>
    <t>ORD26002993</t>
  </si>
  <si>
    <t>CUST85887</t>
  </si>
  <si>
    <t>ORD26002994</t>
  </si>
  <si>
    <t>CUST38116</t>
  </si>
  <si>
    <t>ORD26002995</t>
  </si>
  <si>
    <t>CUST19438</t>
  </si>
  <si>
    <t>ORD26002996</t>
  </si>
  <si>
    <t>CUST90658</t>
  </si>
  <si>
    <t>ORD26002997</t>
  </si>
  <si>
    <t>CUST41933</t>
  </si>
  <si>
    <t>ORD26002998</t>
  </si>
  <si>
    <t>CUST14359</t>
  </si>
  <si>
    <t>ORD26002999</t>
  </si>
  <si>
    <t>CUST84867</t>
  </si>
  <si>
    <t>ORD26003000</t>
  </si>
  <si>
    <t>CUST72586</t>
  </si>
  <si>
    <t>ORD26003001</t>
  </si>
  <si>
    <t>CUST38548</t>
  </si>
  <si>
    <t>ORD26003002</t>
  </si>
  <si>
    <t>CUST59147</t>
  </si>
  <si>
    <t>ORD26003003</t>
  </si>
  <si>
    <t>CUST30601</t>
  </si>
  <si>
    <t>ORD26003004</t>
  </si>
  <si>
    <t>CUST11448</t>
  </si>
  <si>
    <t>ORD26003005</t>
  </si>
  <si>
    <t>CUST61270</t>
  </si>
  <si>
    <t>ORD26003006</t>
  </si>
  <si>
    <t>CUST18014</t>
  </si>
  <si>
    <t>ORD26003007</t>
  </si>
  <si>
    <t>CUST50332</t>
  </si>
  <si>
    <t>ORD26003008</t>
  </si>
  <si>
    <t>ORD26003009</t>
  </si>
  <si>
    <t>CUST93519</t>
  </si>
  <si>
    <t>ORD26003010</t>
  </si>
  <si>
    <t>CUST25289</t>
  </si>
  <si>
    <t>ORD26003011</t>
  </si>
  <si>
    <t>CUST10851</t>
  </si>
  <si>
    <t>ORD26003012</t>
  </si>
  <si>
    <t>CUST82939</t>
  </si>
  <si>
    <t>ORD26003013</t>
  </si>
  <si>
    <t>CUST32412</t>
  </si>
  <si>
    <t>ORD26003014</t>
  </si>
  <si>
    <t>CUST40270</t>
  </si>
  <si>
    <t>ORD26003015</t>
  </si>
  <si>
    <t>CUST69975</t>
  </si>
  <si>
    <t>ORD26003016</t>
  </si>
  <si>
    <t>CUST13232</t>
  </si>
  <si>
    <t>ORD26003017</t>
  </si>
  <si>
    <t>CUST31247</t>
  </si>
  <si>
    <t>ORD26003018</t>
  </si>
  <si>
    <t>CUST32052</t>
  </si>
  <si>
    <t>798.00</t>
  </si>
  <si>
    <t>ORD26003019</t>
  </si>
  <si>
    <t>CUST78738</t>
  </si>
  <si>
    <t>ORD26003020</t>
  </si>
  <si>
    <t>CUST22381</t>
  </si>
  <si>
    <t>ORD26003021</t>
  </si>
  <si>
    <t>CUST53557</t>
  </si>
  <si>
    <t>ORD26003022</t>
  </si>
  <si>
    <t>CUST70784</t>
  </si>
  <si>
    <t>ORD26003023</t>
  </si>
  <si>
    <t>CUST16598</t>
  </si>
  <si>
    <t>ORD26003024</t>
  </si>
  <si>
    <t>CUST89150</t>
  </si>
  <si>
    <t>ORD26003025</t>
  </si>
  <si>
    <t>CUST86268</t>
  </si>
  <si>
    <t>ORD26003026</t>
  </si>
  <si>
    <t>CUST50762</t>
  </si>
  <si>
    <t>ORD26003027</t>
  </si>
  <si>
    <t>CUST72491</t>
  </si>
  <si>
    <t>ORD26003028</t>
  </si>
  <si>
    <t>CUST80340</t>
  </si>
  <si>
    <t>ORD26003029</t>
  </si>
  <si>
    <t>CUST43025</t>
  </si>
  <si>
    <t>ORD26003030</t>
  </si>
  <si>
    <t>CUST27259</t>
  </si>
  <si>
    <t>ORD26003031</t>
  </si>
  <si>
    <t>CUST57173</t>
  </si>
  <si>
    <t>ORD26003032</t>
  </si>
  <si>
    <t>CUST11709</t>
  </si>
  <si>
    <t>ORD26003033</t>
  </si>
  <si>
    <t>CUST38707</t>
  </si>
  <si>
    <t>ORD26003034</t>
  </si>
  <si>
    <t>CUST23531</t>
  </si>
  <si>
    <t>ORD26003035</t>
  </si>
  <si>
    <t>CUST64778</t>
  </si>
  <si>
    <t>ORD26003036</t>
  </si>
  <si>
    <t>CUST99414</t>
  </si>
  <si>
    <t>ORD26003037</t>
  </si>
  <si>
    <t>CUST70240</t>
  </si>
  <si>
    <t>ORD26003038</t>
  </si>
  <si>
    <t>CUST19311</t>
  </si>
  <si>
    <t>ORD26003039</t>
  </si>
  <si>
    <t>ORD26003040</t>
  </si>
  <si>
    <t>CUST30856</t>
  </si>
  <si>
    <t>ORD26003041</t>
  </si>
  <si>
    <t>CUST42498</t>
  </si>
  <si>
    <t>ORD26003042</t>
  </si>
  <si>
    <t>CUST29770</t>
  </si>
  <si>
    <t>ORD26003043</t>
  </si>
  <si>
    <t>CUST17323</t>
  </si>
  <si>
    <t>ORD26003044</t>
  </si>
  <si>
    <t>CUST61544</t>
  </si>
  <si>
    <t>ORD26003045</t>
  </si>
  <si>
    <t>CUST30050</t>
  </si>
  <si>
    <t>ORD26003046</t>
  </si>
  <si>
    <t>CUST86180</t>
  </si>
  <si>
    <t>ORD26003047</t>
  </si>
  <si>
    <t>CUST66555</t>
  </si>
  <si>
    <t>ORD26003048</t>
  </si>
  <si>
    <t>CUST64635</t>
  </si>
  <si>
    <t>ORD26003049</t>
  </si>
  <si>
    <t>CUST34873</t>
  </si>
  <si>
    <t>ORD26003050</t>
  </si>
  <si>
    <t>CUST25397</t>
  </si>
  <si>
    <t>ORD26003051</t>
  </si>
  <si>
    <t>CUST28015</t>
  </si>
  <si>
    <t>ORD26003052</t>
  </si>
  <si>
    <t>CUST99021</t>
  </si>
  <si>
    <t>ORD26003053</t>
  </si>
  <si>
    <t>CUST87872</t>
  </si>
  <si>
    <t>3,298.00</t>
  </si>
  <si>
    <t>ORD26003054</t>
  </si>
  <si>
    <t>CUST21093</t>
  </si>
  <si>
    <t>ORD26003055</t>
  </si>
  <si>
    <t>CUST41381</t>
  </si>
  <si>
    <t>2697.0</t>
  </si>
  <si>
    <t>ORD26003056</t>
  </si>
  <si>
    <t>CUST57924</t>
  </si>
  <si>
    <t>ORD26003057</t>
  </si>
  <si>
    <t>CUST14552</t>
  </si>
  <si>
    <t>1,198.00</t>
  </si>
  <si>
    <t>ORD26003058</t>
  </si>
  <si>
    <t>CUST79337</t>
  </si>
  <si>
    <t>ORD26003059</t>
  </si>
  <si>
    <t>CUST71198</t>
  </si>
  <si>
    <t>ORD26003060</t>
  </si>
  <si>
    <t>CUST62609</t>
  </si>
  <si>
    <t>ORD26003061</t>
  </si>
  <si>
    <t>CUST93326</t>
  </si>
  <si>
    <t>ORD26003062</t>
  </si>
  <si>
    <t>CUST45501</t>
  </si>
  <si>
    <t>ORD26003063</t>
  </si>
  <si>
    <t>9,297.00</t>
  </si>
  <si>
    <t>ORD26003064</t>
  </si>
  <si>
    <t>CUST58488</t>
  </si>
  <si>
    <t>ORD26003065</t>
  </si>
  <si>
    <t>CUST50153</t>
  </si>
  <si>
    <t>ORD26003066</t>
  </si>
  <si>
    <t>CUST52348</t>
  </si>
  <si>
    <t>ORD26003067</t>
  </si>
  <si>
    <t>CUST41395</t>
  </si>
  <si>
    <t>ORD26003068</t>
  </si>
  <si>
    <t>CUST87136</t>
  </si>
  <si>
    <t>ORD26003069</t>
  </si>
  <si>
    <t>CUST16899</t>
  </si>
  <si>
    <t>ORD26003070</t>
  </si>
  <si>
    <t>CUST64454</t>
  </si>
  <si>
    <t>ORD26003071</t>
  </si>
  <si>
    <t>CUST69350</t>
  </si>
  <si>
    <t>ORD26003072</t>
  </si>
  <si>
    <t>CUST99216</t>
  </si>
  <si>
    <t>ORD26003073</t>
  </si>
  <si>
    <t>CUST79576</t>
  </si>
  <si>
    <t>ORD26003074</t>
  </si>
  <si>
    <t>CUST81956</t>
  </si>
  <si>
    <t>ORD26003075</t>
  </si>
  <si>
    <t>CUST96237</t>
  </si>
  <si>
    <t>ORD26003076</t>
  </si>
  <si>
    <t>CUST70378</t>
  </si>
  <si>
    <t>ORD26003077</t>
  </si>
  <si>
    <t>ORD26003078</t>
  </si>
  <si>
    <t>CUST54752</t>
  </si>
  <si>
    <t>ORD26003079</t>
  </si>
  <si>
    <t>CUST99386</t>
  </si>
  <si>
    <t>ORD26003080</t>
  </si>
  <si>
    <t>CUST18119</t>
  </si>
  <si>
    <t>ORD26003081</t>
  </si>
  <si>
    <t>CUST80386</t>
  </si>
  <si>
    <t>12497.0</t>
  </si>
  <si>
    <t>ORD26003082</t>
  </si>
  <si>
    <t>CUST15980</t>
  </si>
  <si>
    <t>ORD26003083</t>
  </si>
  <si>
    <t>CUST26780</t>
  </si>
  <si>
    <t>ORD26003084</t>
  </si>
  <si>
    <t>CUST35541</t>
  </si>
  <si>
    <t>ORD26003085</t>
  </si>
  <si>
    <t>CUST26176</t>
  </si>
  <si>
    <t>ORD26003086</t>
  </si>
  <si>
    <t>CUST31558</t>
  </si>
  <si>
    <t>ORD26003087</t>
  </si>
  <si>
    <t>CUST30207</t>
  </si>
  <si>
    <t>ORD26003088</t>
  </si>
  <si>
    <t>CUST85446</t>
  </si>
  <si>
    <t>ORD26003089</t>
  </si>
  <si>
    <t>CUST90657</t>
  </si>
  <si>
    <t>ORD26003090</t>
  </si>
  <si>
    <t>CUST68024</t>
  </si>
  <si>
    <t>ORD26003091</t>
  </si>
  <si>
    <t>CUST47660</t>
  </si>
  <si>
    <t>ORD26003092</t>
  </si>
  <si>
    <t>CUST39105</t>
  </si>
  <si>
    <t>ORD26003093</t>
  </si>
  <si>
    <t>CUST55876</t>
  </si>
  <si>
    <t>ORD26003094</t>
  </si>
  <si>
    <t>CUST77036</t>
  </si>
  <si>
    <t>ORD26003095</t>
  </si>
  <si>
    <t>CUST30761</t>
  </si>
  <si>
    <t>ORD26003096</t>
  </si>
  <si>
    <t>CUST61960</t>
  </si>
  <si>
    <t>ORD26003097</t>
  </si>
  <si>
    <t>CUST98836</t>
  </si>
  <si>
    <t>17797.0</t>
  </si>
  <si>
    <t>ORD26003098</t>
  </si>
  <si>
    <t>CUST97322</t>
  </si>
  <si>
    <t>ORD26003099</t>
  </si>
  <si>
    <t>CUST72714</t>
  </si>
  <si>
    <t>ORD26003100</t>
  </si>
  <si>
    <t>CUST38402</t>
  </si>
  <si>
    <t>ORD26003101</t>
  </si>
  <si>
    <t>CUST89616</t>
  </si>
  <si>
    <t>ORD26003102</t>
  </si>
  <si>
    <t>CUST84196</t>
  </si>
  <si>
    <t>ORD26003103</t>
  </si>
  <si>
    <t>CUST56365</t>
  </si>
  <si>
    <t>ORD26003104</t>
  </si>
  <si>
    <t>CUST54241</t>
  </si>
  <si>
    <t>ORD26003105</t>
  </si>
  <si>
    <t>CUST72755</t>
  </si>
  <si>
    <t>ORD26003106</t>
  </si>
  <si>
    <t>CUST74458</t>
  </si>
  <si>
    <t>2447.0</t>
  </si>
  <si>
    <t>ORD26003107</t>
  </si>
  <si>
    <t>CUST83254</t>
  </si>
  <si>
    <t>ORD26003108</t>
  </si>
  <si>
    <t>CUST96506</t>
  </si>
  <si>
    <t>ORD26003109</t>
  </si>
  <si>
    <t>CUST47594</t>
  </si>
  <si>
    <t>ORD26003110</t>
  </si>
  <si>
    <t>CUST18291</t>
  </si>
  <si>
    <t>ORD26003111</t>
  </si>
  <si>
    <t>ORD26003112</t>
  </si>
  <si>
    <t>CUST66114</t>
  </si>
  <si>
    <t>ORD26003113</t>
  </si>
  <si>
    <t>CUST53246</t>
  </si>
  <si>
    <t>ORD26003114</t>
  </si>
  <si>
    <t>CUST59279</t>
  </si>
  <si>
    <t>ORD26003115</t>
  </si>
  <si>
    <t>CUST34230</t>
  </si>
  <si>
    <t>ORD26003116</t>
  </si>
  <si>
    <t>CUST66963</t>
  </si>
  <si>
    <t>ORD26003117</t>
  </si>
  <si>
    <t>CUST22595</t>
  </si>
  <si>
    <t>ORD26003118</t>
  </si>
  <si>
    <t>CUST41935</t>
  </si>
  <si>
    <t>ORD26003119</t>
  </si>
  <si>
    <t>CUST63213</t>
  </si>
  <si>
    <t>ORD26003120</t>
  </si>
  <si>
    <t>CUST73422</t>
  </si>
  <si>
    <t>ORD26003121</t>
  </si>
  <si>
    <t>CUST98467</t>
  </si>
  <si>
    <t>ORD26003122</t>
  </si>
  <si>
    <t>CUST91479</t>
  </si>
  <si>
    <t>ORD26003123</t>
  </si>
  <si>
    <t>CUST37263</t>
  </si>
  <si>
    <t>ORD26003124</t>
  </si>
  <si>
    <t>CUST60099</t>
  </si>
  <si>
    <t>ORD26003125</t>
  </si>
  <si>
    <t>CUST85788</t>
  </si>
  <si>
    <t>ORD26003126</t>
  </si>
  <si>
    <t>CUST86820</t>
  </si>
  <si>
    <t>ORD26003127</t>
  </si>
  <si>
    <t>CUST45689</t>
  </si>
  <si>
    <t>ORD26003128</t>
  </si>
  <si>
    <t>CUST10156</t>
  </si>
  <si>
    <t>ORD26003129</t>
  </si>
  <si>
    <t>CUST67050</t>
  </si>
  <si>
    <t>ORD26003130</t>
  </si>
  <si>
    <t>CUST50568</t>
  </si>
  <si>
    <t>ORD26003131</t>
  </si>
  <si>
    <t>CUST14426</t>
  </si>
  <si>
    <t>ORD26003132</t>
  </si>
  <si>
    <t>CUST51252</t>
  </si>
  <si>
    <t>ORD26003133</t>
  </si>
  <si>
    <t>CUST45703</t>
  </si>
  <si>
    <t>ORD26003134</t>
  </si>
  <si>
    <t>CUST93229</t>
  </si>
  <si>
    <t>ORD26003135</t>
  </si>
  <si>
    <t>CUST52086</t>
  </si>
  <si>
    <t>ORD26003136</t>
  </si>
  <si>
    <t>CUST55844</t>
  </si>
  <si>
    <t>ORD26003137</t>
  </si>
  <si>
    <t>CUST49283</t>
  </si>
  <si>
    <t>ORD26003138</t>
  </si>
  <si>
    <t>CUST83346</t>
  </si>
  <si>
    <t>ORD26003139</t>
  </si>
  <si>
    <t>CUST64256</t>
  </si>
  <si>
    <t>ORD26003140</t>
  </si>
  <si>
    <t>CUST48293</t>
  </si>
  <si>
    <t>ORD26003141</t>
  </si>
  <si>
    <t>CUST25900</t>
  </si>
  <si>
    <t>ORD26003142</t>
  </si>
  <si>
    <t>CUST43879</t>
  </si>
  <si>
    <t>ORD26003143</t>
  </si>
  <si>
    <t>CUST63728</t>
  </si>
  <si>
    <t>ORD26003144</t>
  </si>
  <si>
    <t>CUST32457</t>
  </si>
  <si>
    <t>ORD26003145</t>
  </si>
  <si>
    <t>CUST89356</t>
  </si>
  <si>
    <t>ORD26003146</t>
  </si>
  <si>
    <t>CUST78470</t>
  </si>
  <si>
    <t>ORD26003147</t>
  </si>
  <si>
    <t>CUST11045</t>
  </si>
  <si>
    <t>ORD26003148</t>
  </si>
  <si>
    <t>CUST72749</t>
  </si>
  <si>
    <t>ORD26003149</t>
  </si>
  <si>
    <t>CUST35259</t>
  </si>
  <si>
    <t>ORD26003150</t>
  </si>
  <si>
    <t>CUST27289</t>
  </si>
  <si>
    <t>ORD26003151</t>
  </si>
  <si>
    <t>CUST66732</t>
  </si>
  <si>
    <t>ORD26003152</t>
  </si>
  <si>
    <t>CUST17157</t>
  </si>
  <si>
    <t>ORD26003153</t>
  </si>
  <si>
    <t>CUST70485</t>
  </si>
  <si>
    <t>ORD26003154</t>
  </si>
  <si>
    <t>CUST34944</t>
  </si>
  <si>
    <t>ORD26003155</t>
  </si>
  <si>
    <t>CUST10303</t>
  </si>
  <si>
    <t>ORD26003156</t>
  </si>
  <si>
    <t>CUST44221</t>
  </si>
  <si>
    <t>ORD26003157</t>
  </si>
  <si>
    <t>CUST60841</t>
  </si>
  <si>
    <t>ORD26003158</t>
  </si>
  <si>
    <t>CUST16299</t>
  </si>
  <si>
    <t>ORD26003159</t>
  </si>
  <si>
    <t>CUST97916</t>
  </si>
  <si>
    <t>ORD26003160</t>
  </si>
  <si>
    <t>CUST44750</t>
  </si>
  <si>
    <t>ORD26003161</t>
  </si>
  <si>
    <t>CUST85949</t>
  </si>
  <si>
    <t>ORD26003162</t>
  </si>
  <si>
    <t>CUST80814</t>
  </si>
  <si>
    <t>ORD26003163</t>
  </si>
  <si>
    <t>CUST28463</t>
  </si>
  <si>
    <t>ORD26003164</t>
  </si>
  <si>
    <t>CUST30052</t>
  </si>
  <si>
    <t>ORD26003165</t>
  </si>
  <si>
    <t>CUST14920</t>
  </si>
  <si>
    <t>ORD26003166</t>
  </si>
  <si>
    <t>CUST58052</t>
  </si>
  <si>
    <t>ORD26003167</t>
  </si>
  <si>
    <t>CUST65328</t>
  </si>
  <si>
    <t>ORD26003168</t>
  </si>
  <si>
    <t>CUST30903</t>
  </si>
  <si>
    <t>ORD26003169</t>
  </si>
  <si>
    <t>CUST40641</t>
  </si>
  <si>
    <t>ORD26003170</t>
  </si>
  <si>
    <t>CUST24130</t>
  </si>
  <si>
    <t>ORD26003171</t>
  </si>
  <si>
    <t>CUST63515</t>
  </si>
  <si>
    <t>ORD26003172</t>
  </si>
  <si>
    <t>CUST66069</t>
  </si>
  <si>
    <t>ORD26003173</t>
  </si>
  <si>
    <t>CUST72703</t>
  </si>
  <si>
    <t>ORD26003174</t>
  </si>
  <si>
    <t>CUST17427</t>
  </si>
  <si>
    <t>ORD26003175</t>
  </si>
  <si>
    <t>CUST40255</t>
  </si>
  <si>
    <t>ORD26003176</t>
  </si>
  <si>
    <t>CUST38414</t>
  </si>
  <si>
    <t>ORD26003177</t>
  </si>
  <si>
    <t>CUST18926</t>
  </si>
  <si>
    <t>ORD26003178</t>
  </si>
  <si>
    <t>CUST31418</t>
  </si>
  <si>
    <t>ORD26003179</t>
  </si>
  <si>
    <t>CUST64209</t>
  </si>
  <si>
    <t>ORD26003180</t>
  </si>
  <si>
    <t>CUST72427</t>
  </si>
  <si>
    <t>ORD26003181</t>
  </si>
  <si>
    <t>CUST88737</t>
  </si>
  <si>
    <t>ORD26003182</t>
  </si>
  <si>
    <t>CUST39804</t>
  </si>
  <si>
    <t>ORD26003183</t>
  </si>
  <si>
    <t>CUST54496</t>
  </si>
  <si>
    <t>ORD26003184</t>
  </si>
  <si>
    <t>CUST86668</t>
  </si>
  <si>
    <t>ORD26003185</t>
  </si>
  <si>
    <t>CUST76470</t>
  </si>
  <si>
    <t>6,798.00</t>
  </si>
  <si>
    <t>ORD26003186</t>
  </si>
  <si>
    <t>CUST20001</t>
  </si>
  <si>
    <t>ORD26003187</t>
  </si>
  <si>
    <t>CUST79588</t>
  </si>
  <si>
    <t>ORD26003188</t>
  </si>
  <si>
    <t>CUST82456</t>
  </si>
  <si>
    <t>ORD26003189</t>
  </si>
  <si>
    <t>CUST19690</t>
  </si>
  <si>
    <t>ORD26003190</t>
  </si>
  <si>
    <t>CUST14725</t>
  </si>
  <si>
    <t>ORD26003191</t>
  </si>
  <si>
    <t>CUST90904</t>
  </si>
  <si>
    <t>ORD26003192</t>
  </si>
  <si>
    <t>CUST24338</t>
  </si>
  <si>
    <t>ORD26003193</t>
  </si>
  <si>
    <t>CUST60831</t>
  </si>
  <si>
    <t>ORD26003194</t>
  </si>
  <si>
    <t>CUST57279</t>
  </si>
  <si>
    <t>ORD26003195</t>
  </si>
  <si>
    <t>CUST52008</t>
  </si>
  <si>
    <t>ORD26003196</t>
  </si>
  <si>
    <t>CUST10197</t>
  </si>
  <si>
    <t>ORD26003197</t>
  </si>
  <si>
    <t>CUST68041</t>
  </si>
  <si>
    <t>ORD26003198</t>
  </si>
  <si>
    <t>CUST53331</t>
  </si>
  <si>
    <t>ORD26003199</t>
  </si>
  <si>
    <t>CUST90458</t>
  </si>
  <si>
    <t>ORD26003200</t>
  </si>
  <si>
    <t>CUST51054</t>
  </si>
  <si>
    <t>ORD26003201</t>
  </si>
  <si>
    <t>CUST62069</t>
  </si>
  <si>
    <t>ORD26003202</t>
  </si>
  <si>
    <t>CUST45128</t>
  </si>
  <si>
    <t>ORD26003203</t>
  </si>
  <si>
    <t>CUST57014</t>
  </si>
  <si>
    <t>ORD26003204</t>
  </si>
  <si>
    <t>ORD26003205</t>
  </si>
  <si>
    <t>CUST30665</t>
  </si>
  <si>
    <t>ORD26003206</t>
  </si>
  <si>
    <t>CUST63806</t>
  </si>
  <si>
    <t>ORD26003207</t>
  </si>
  <si>
    <t>CUST86226</t>
  </si>
  <si>
    <t>ORD26003208</t>
  </si>
  <si>
    <t>CUST94640</t>
  </si>
  <si>
    <t>ORD26003209</t>
  </si>
  <si>
    <t>CUST15602</t>
  </si>
  <si>
    <t>ORD26003210</t>
  </si>
  <si>
    <t>CUST13547</t>
  </si>
  <si>
    <t>ORD26003211</t>
  </si>
  <si>
    <t>CUST95813</t>
  </si>
  <si>
    <t>ORD26003212</t>
  </si>
  <si>
    <t>CUST39419</t>
  </si>
  <si>
    <t>ORD26003213</t>
  </si>
  <si>
    <t>CUST32661</t>
  </si>
  <si>
    <t>ORD26003214</t>
  </si>
  <si>
    <t>CUST58822</t>
  </si>
  <si>
    <t>ORD26003215</t>
  </si>
  <si>
    <t>CUST49053</t>
  </si>
  <si>
    <t>ORD26003216</t>
  </si>
  <si>
    <t>CUST17666</t>
  </si>
  <si>
    <t>ORD26003217</t>
  </si>
  <si>
    <t>CUST10125</t>
  </si>
  <si>
    <t>ORD26003218</t>
  </si>
  <si>
    <t>CUST75251</t>
  </si>
  <si>
    <t>ORD26003219</t>
  </si>
  <si>
    <t>CUST60818</t>
  </si>
  <si>
    <t>ORD26003220</t>
  </si>
  <si>
    <t>CUST67061</t>
  </si>
  <si>
    <t>ORD26003221</t>
  </si>
  <si>
    <t>CUST67162</t>
  </si>
  <si>
    <t>ORD26003222</t>
  </si>
  <si>
    <t>CUST18383</t>
  </si>
  <si>
    <t>ORD26003223</t>
  </si>
  <si>
    <t>CUST24780</t>
  </si>
  <si>
    <t>ORD26003224</t>
  </si>
  <si>
    <t>CUST24669</t>
  </si>
  <si>
    <t>ORD26003225</t>
  </si>
  <si>
    <t>CUST89876</t>
  </si>
  <si>
    <t>ORD26003226</t>
  </si>
  <si>
    <t>CUST31087</t>
  </si>
  <si>
    <t>ORD26003227</t>
  </si>
  <si>
    <t>CUST38749</t>
  </si>
  <si>
    <t>ORD26003228</t>
  </si>
  <si>
    <t>CUST10279</t>
  </si>
  <si>
    <t>ORD26003229</t>
  </si>
  <si>
    <t>CUST35348</t>
  </si>
  <si>
    <t>ORD26003230</t>
  </si>
  <si>
    <t>CUST16083</t>
  </si>
  <si>
    <t>ORD26003231</t>
  </si>
  <si>
    <t>CUST40794</t>
  </si>
  <si>
    <t>ORD26003232</t>
  </si>
  <si>
    <t>ORD26003233</t>
  </si>
  <si>
    <t>CUST62180</t>
  </si>
  <si>
    <t>ORD26003234</t>
  </si>
  <si>
    <t>CUST41990</t>
  </si>
  <si>
    <t>ORD26003235</t>
  </si>
  <si>
    <t>CUST98234</t>
  </si>
  <si>
    <t>8,598.00</t>
  </si>
  <si>
    <t>ORD26003236</t>
  </si>
  <si>
    <t>CUST24948</t>
  </si>
  <si>
    <t>ORD26003237</t>
  </si>
  <si>
    <t>CUST82371</t>
  </si>
  <si>
    <t>ORD26003238</t>
  </si>
  <si>
    <t>CUST97008</t>
  </si>
  <si>
    <t>ORD26003239</t>
  </si>
  <si>
    <t>CUST29969</t>
  </si>
  <si>
    <t>ORD26003240</t>
  </si>
  <si>
    <t>CUST34488</t>
  </si>
  <si>
    <t>ORD26003241</t>
  </si>
  <si>
    <t>CUST12593</t>
  </si>
  <si>
    <t>ORD26003242</t>
  </si>
  <si>
    <t>CUST92463</t>
  </si>
  <si>
    <t>ORD26003243</t>
  </si>
  <si>
    <t>CUST78504</t>
  </si>
  <si>
    <t>ORD26003244</t>
  </si>
  <si>
    <t>CUST71222</t>
  </si>
  <si>
    <t>9397.0</t>
  </si>
  <si>
    <t>ORD26003245</t>
  </si>
  <si>
    <t>CUST56182</t>
  </si>
  <si>
    <t>1,848.00</t>
  </si>
  <si>
    <t>ORD26003246</t>
  </si>
  <si>
    <t>CUST49178</t>
  </si>
  <si>
    <t>ORD26003247</t>
  </si>
  <si>
    <t>CUST29749</t>
  </si>
  <si>
    <t>ORD26003248</t>
  </si>
  <si>
    <t>CUST60393</t>
  </si>
  <si>
    <t>ORD26003249</t>
  </si>
  <si>
    <t>CUST68748</t>
  </si>
  <si>
    <t>ORD26003250</t>
  </si>
  <si>
    <t>CUST55013</t>
  </si>
  <si>
    <t>ORD26003251</t>
  </si>
  <si>
    <t>CUST68240</t>
  </si>
  <si>
    <t>ORD26003252</t>
  </si>
  <si>
    <t>CUST45142</t>
  </si>
  <si>
    <t>ORD26003253</t>
  </si>
  <si>
    <t>CUST18248</t>
  </si>
  <si>
    <t>ORD26003254</t>
  </si>
  <si>
    <t>CUST88025</t>
  </si>
  <si>
    <t>ORD26003255</t>
  </si>
  <si>
    <t>CUST84839</t>
  </si>
  <si>
    <t>ORD26003256</t>
  </si>
  <si>
    <t>CUST89726</t>
  </si>
  <si>
    <t>ORD26003257</t>
  </si>
  <si>
    <t>CUST70074</t>
  </si>
  <si>
    <t>ORD26003258</t>
  </si>
  <si>
    <t>CUST79889</t>
  </si>
  <si>
    <t>ORD26003259</t>
  </si>
  <si>
    <t>CUST48012</t>
  </si>
  <si>
    <t>ORD26003260</t>
  </si>
  <si>
    <t>CUST11299</t>
  </si>
  <si>
    <t>ORD26003261</t>
  </si>
  <si>
    <t>ORD26003262</t>
  </si>
  <si>
    <t>CUST18022</t>
  </si>
  <si>
    <t>ORD26003263</t>
  </si>
  <si>
    <t>CUST78168</t>
  </si>
  <si>
    <t>ORD26003264</t>
  </si>
  <si>
    <t>CUST82816</t>
  </si>
  <si>
    <t>ORD26003265</t>
  </si>
  <si>
    <t>CUST80891</t>
  </si>
  <si>
    <t>ORD26003266</t>
  </si>
  <si>
    <t>CUST23891</t>
  </si>
  <si>
    <t>ORD26003267</t>
  </si>
  <si>
    <t>CUST68599</t>
  </si>
  <si>
    <t>ORD26003268</t>
  </si>
  <si>
    <t>CUST55208</t>
  </si>
  <si>
    <t>ORD26003269</t>
  </si>
  <si>
    <t>CUST56647</t>
  </si>
  <si>
    <t>ORD26003270</t>
  </si>
  <si>
    <t>CUST84099</t>
  </si>
  <si>
    <t>ORD26003271</t>
  </si>
  <si>
    <t>CUST66622</t>
  </si>
  <si>
    <t>ORD26003272</t>
  </si>
  <si>
    <t>CUST12556</t>
  </si>
  <si>
    <t>ORD26003273</t>
  </si>
  <si>
    <t>CUST14093</t>
  </si>
  <si>
    <t>ORD26003274</t>
  </si>
  <si>
    <t>CUST16239</t>
  </si>
  <si>
    <t>ORD26003275</t>
  </si>
  <si>
    <t>CUST88833</t>
  </si>
  <si>
    <t>ORD26003276</t>
  </si>
  <si>
    <t>CUST83220</t>
  </si>
  <si>
    <t>ORD26003277</t>
  </si>
  <si>
    <t>CUST28581</t>
  </si>
  <si>
    <t>ORD26003278</t>
  </si>
  <si>
    <t>CUST72611</t>
  </si>
  <si>
    <t>ORD26003279</t>
  </si>
  <si>
    <t>CUST26368</t>
  </si>
  <si>
    <t>ORD26003280</t>
  </si>
  <si>
    <t>CUST96495</t>
  </si>
  <si>
    <t>ORD26003281</t>
  </si>
  <si>
    <t>CUST60960</t>
  </si>
  <si>
    <t>ORD26003282</t>
  </si>
  <si>
    <t>CUST39207</t>
  </si>
  <si>
    <t>ORD26003283</t>
  </si>
  <si>
    <t>CUST40377</t>
  </si>
  <si>
    <t>ORD26003284</t>
  </si>
  <si>
    <t>CUST27980</t>
  </si>
  <si>
    <t>ORD26003285</t>
  </si>
  <si>
    <t>CUST88110</t>
  </si>
  <si>
    <t>ORD26003286</t>
  </si>
  <si>
    <t>CUST18911</t>
  </si>
  <si>
    <t>ORD26003287</t>
  </si>
  <si>
    <t>CUST45481</t>
  </si>
  <si>
    <t>ORD26003288</t>
  </si>
  <si>
    <t>CUST98487</t>
  </si>
  <si>
    <t>ORD26003289</t>
  </si>
  <si>
    <t>CUST32323</t>
  </si>
  <si>
    <t>ORD26003290</t>
  </si>
  <si>
    <t>CUST52951</t>
  </si>
  <si>
    <t>ORD26003291</t>
  </si>
  <si>
    <t>CUST16845</t>
  </si>
  <si>
    <t>ORD26003292</t>
  </si>
  <si>
    <t>CUST69520</t>
  </si>
  <si>
    <t>ORD26003293</t>
  </si>
  <si>
    <t>CUST28500</t>
  </si>
  <si>
    <t>ORD26003294</t>
  </si>
  <si>
    <t>CUST70456</t>
  </si>
  <si>
    <t>ORD26003295</t>
  </si>
  <si>
    <t>CUST36140</t>
  </si>
  <si>
    <t>ORD26003296</t>
  </si>
  <si>
    <t>CUST80033</t>
  </si>
  <si>
    <t>ORD26003297</t>
  </si>
  <si>
    <t>CUST18997</t>
  </si>
  <si>
    <t>ORD26003298</t>
  </si>
  <si>
    <t>CUST72185</t>
  </si>
  <si>
    <t>ORD26003299</t>
  </si>
  <si>
    <t>CUST32818</t>
  </si>
  <si>
    <t>ORD26003300</t>
  </si>
  <si>
    <t>CUST34111</t>
  </si>
  <si>
    <t>ORD26003301</t>
  </si>
  <si>
    <t>CUST50072</t>
  </si>
  <si>
    <t>ORD26003302</t>
  </si>
  <si>
    <t>CUST77090</t>
  </si>
  <si>
    <t>ORD26003303</t>
  </si>
  <si>
    <t>CUST72700</t>
  </si>
  <si>
    <t>ORD26003304</t>
  </si>
  <si>
    <t>CUST72808</t>
  </si>
  <si>
    <t>ORD26003305</t>
  </si>
  <si>
    <t>ORD26003306</t>
  </si>
  <si>
    <t>CUST85443</t>
  </si>
  <si>
    <t>ORD26003307</t>
  </si>
  <si>
    <t>CUST54755</t>
  </si>
  <si>
    <t>ORD26003308</t>
  </si>
  <si>
    <t>CUST24701</t>
  </si>
  <si>
    <t>ORD26003309</t>
  </si>
  <si>
    <t>CUST79637</t>
  </si>
  <si>
    <t>ORD26003310</t>
  </si>
  <si>
    <t>CUST87915</t>
  </si>
  <si>
    <t>ORD26003311</t>
  </si>
  <si>
    <t>CUST46298</t>
  </si>
  <si>
    <t>ORD26003312</t>
  </si>
  <si>
    <t>CUST97817</t>
  </si>
  <si>
    <t>ORD26003313</t>
  </si>
  <si>
    <t>CUST58619</t>
  </si>
  <si>
    <t>ORD26003314</t>
  </si>
  <si>
    <t>CUST77936</t>
  </si>
  <si>
    <t>6,997.00</t>
  </si>
  <si>
    <t>ORD26003315</t>
  </si>
  <si>
    <t>CUST86520</t>
  </si>
  <si>
    <t>ORD26003316</t>
  </si>
  <si>
    <t>CUST19696</t>
  </si>
  <si>
    <t>ORD26003317</t>
  </si>
  <si>
    <t>CUST69225</t>
  </si>
  <si>
    <t>ORD26003318</t>
  </si>
  <si>
    <t>ORD26003319</t>
  </si>
  <si>
    <t>CUST65765</t>
  </si>
  <si>
    <t>ORD26003320</t>
  </si>
  <si>
    <t>CUST23737</t>
  </si>
  <si>
    <t>ORD26003321</t>
  </si>
  <si>
    <t>CUST66939</t>
  </si>
  <si>
    <t>ORD26003322</t>
  </si>
  <si>
    <t>CUST74446</t>
  </si>
  <si>
    <t>ORD26003323</t>
  </si>
  <si>
    <t>CUST12970</t>
  </si>
  <si>
    <t>ORD26003324</t>
  </si>
  <si>
    <t>CUST71343</t>
  </si>
  <si>
    <t>ORD26003325</t>
  </si>
  <si>
    <t>CUST65438</t>
  </si>
  <si>
    <t>ORD26003326</t>
  </si>
  <si>
    <t>CUST96113</t>
  </si>
  <si>
    <t>ORD26003327</t>
  </si>
  <si>
    <t>CUST11558</t>
  </si>
  <si>
    <t>ORD26003328</t>
  </si>
  <si>
    <t>CUST25930</t>
  </si>
  <si>
    <t>ORD26003329</t>
  </si>
  <si>
    <t>CUST79813</t>
  </si>
  <si>
    <t>ORD26003330</t>
  </si>
  <si>
    <t>CUST55817</t>
  </si>
  <si>
    <t>ORD26003331</t>
  </si>
  <si>
    <t>CUST80125</t>
  </si>
  <si>
    <t>4,097.00</t>
  </si>
  <si>
    <t>ORD26003332</t>
  </si>
  <si>
    <t>CUST27777</t>
  </si>
  <si>
    <t>ORD26003333</t>
  </si>
  <si>
    <t>CUST79590</t>
  </si>
  <si>
    <t>ORD26003334</t>
  </si>
  <si>
    <t>CUST38446</t>
  </si>
  <si>
    <t>ORD26003335</t>
  </si>
  <si>
    <t>CUST91091</t>
  </si>
  <si>
    <t>ORD26003336</t>
  </si>
  <si>
    <t>CUST66387</t>
  </si>
  <si>
    <t>ORD26003337</t>
  </si>
  <si>
    <t>CUST60572</t>
  </si>
  <si>
    <t>ORD26003338</t>
  </si>
  <si>
    <t>CUST25163</t>
  </si>
  <si>
    <t>ORD26003339</t>
  </si>
  <si>
    <t>CUST15582</t>
  </si>
  <si>
    <t>ORD26003340</t>
  </si>
  <si>
    <t>CUST30762</t>
  </si>
  <si>
    <t>ORD26003341</t>
  </si>
  <si>
    <t>CUST42685</t>
  </si>
  <si>
    <t>ORD26003342</t>
  </si>
  <si>
    <t>CUST99516</t>
  </si>
  <si>
    <t>ORD26003343</t>
  </si>
  <si>
    <t>CUST52379</t>
  </si>
  <si>
    <t>ORD26003344</t>
  </si>
  <si>
    <t>CUST44812</t>
  </si>
  <si>
    <t>ORD26003345</t>
  </si>
  <si>
    <t>CUST10160</t>
  </si>
  <si>
    <t>ORD26003346</t>
  </si>
  <si>
    <t>CUST37332</t>
  </si>
  <si>
    <t>ORD26003347</t>
  </si>
  <si>
    <t>CUST45466</t>
  </si>
  <si>
    <t>ORD26003348</t>
  </si>
  <si>
    <t>CUST37710</t>
  </si>
  <si>
    <t>ORD26003349</t>
  </si>
  <si>
    <t>CUST44095</t>
  </si>
  <si>
    <t>ORD26003350</t>
  </si>
  <si>
    <t>CUST46466</t>
  </si>
  <si>
    <t>ORD26003351</t>
  </si>
  <si>
    <t>CUST55954</t>
  </si>
  <si>
    <t>ORD26003352</t>
  </si>
  <si>
    <t>CUST69464</t>
  </si>
  <si>
    <t>16597.0</t>
  </si>
  <si>
    <t>ORD26003353</t>
  </si>
  <si>
    <t>CUST94122</t>
  </si>
  <si>
    <t>ORD26003354</t>
  </si>
  <si>
    <t>CUST45519</t>
  </si>
  <si>
    <t>ORD26003355</t>
  </si>
  <si>
    <t>CUST18520</t>
  </si>
  <si>
    <t>ORD26003356</t>
  </si>
  <si>
    <t>CUST57073</t>
  </si>
  <si>
    <t>ORD26003357</t>
  </si>
  <si>
    <t>CUST11825</t>
  </si>
  <si>
    <t>ORD26003358</t>
  </si>
  <si>
    <t>CUST24774</t>
  </si>
  <si>
    <t>ORD26003359</t>
  </si>
  <si>
    <t>CUST34417</t>
  </si>
  <si>
    <t>ORD26003360</t>
  </si>
  <si>
    <t>CUST15179</t>
  </si>
  <si>
    <t>ORD26003361</t>
  </si>
  <si>
    <t>CUST90112</t>
  </si>
  <si>
    <t>ORD26003362</t>
  </si>
  <si>
    <t>CUST46634</t>
  </si>
  <si>
    <t>ORD26003363</t>
  </si>
  <si>
    <t>CUST45666</t>
  </si>
  <si>
    <t>ORD26003364</t>
  </si>
  <si>
    <t>CUST41483</t>
  </si>
  <si>
    <t>ORD26003365</t>
  </si>
  <si>
    <t>CUST50575</t>
  </si>
  <si>
    <t>ORD26003366</t>
  </si>
  <si>
    <t>CUST71029</t>
  </si>
  <si>
    <t>ORD26003367</t>
  </si>
  <si>
    <t>CUST43522</t>
  </si>
  <si>
    <t>ORD26003368</t>
  </si>
  <si>
    <t>CUST75012</t>
  </si>
  <si>
    <t>ORD26003369</t>
  </si>
  <si>
    <t>CUST94631</t>
  </si>
  <si>
    <t>ORD26003370</t>
  </si>
  <si>
    <t>CUST14645</t>
  </si>
  <si>
    <t>ORD26003371</t>
  </si>
  <si>
    <t>CUST16587</t>
  </si>
  <si>
    <t>ORD26003372</t>
  </si>
  <si>
    <t>CUST32260</t>
  </si>
  <si>
    <t>ORD26003373</t>
  </si>
  <si>
    <t>CUST40991</t>
  </si>
  <si>
    <t>ORD26003374</t>
  </si>
  <si>
    <t>CUST63643</t>
  </si>
  <si>
    <t>ORD26003375</t>
  </si>
  <si>
    <t>CUST51024</t>
  </si>
  <si>
    <t>ORD26003376</t>
  </si>
  <si>
    <t>CUST83804</t>
  </si>
  <si>
    <t>ORD26003377</t>
  </si>
  <si>
    <t>CUST14536</t>
  </si>
  <si>
    <t>ORD26003378</t>
  </si>
  <si>
    <t>CUST59895</t>
  </si>
  <si>
    <t>ORD26003379</t>
  </si>
  <si>
    <t>CUST34331</t>
  </si>
  <si>
    <t>ORD26003380</t>
  </si>
  <si>
    <t>CUST46612</t>
  </si>
  <si>
    <t>ORD26003381</t>
  </si>
  <si>
    <t>CUST18965</t>
  </si>
  <si>
    <t>ORD26003382</t>
  </si>
  <si>
    <t>CUST17050</t>
  </si>
  <si>
    <t>ORD26003383</t>
  </si>
  <si>
    <t>CUST27268</t>
  </si>
  <si>
    <t>ORD26003384</t>
  </si>
  <si>
    <t>CUST54868</t>
  </si>
  <si>
    <t>ORD26003385</t>
  </si>
  <si>
    <t>CUST97073</t>
  </si>
  <si>
    <t>ORD26003386</t>
  </si>
  <si>
    <t>CUST72188</t>
  </si>
  <si>
    <t>ORD26003387</t>
  </si>
  <si>
    <t>CUST91986</t>
  </si>
  <si>
    <t>ORD26003388</t>
  </si>
  <si>
    <t>CUST20341</t>
  </si>
  <si>
    <t>ORD26003389</t>
  </si>
  <si>
    <t>CUST98752</t>
  </si>
  <si>
    <t>ORD26003390</t>
  </si>
  <si>
    <t>CUST55974</t>
  </si>
  <si>
    <t>ORD26003391</t>
  </si>
  <si>
    <t>CUST24475</t>
  </si>
  <si>
    <t>ORD26003392</t>
  </si>
  <si>
    <t>CUST80843</t>
  </si>
  <si>
    <t>ORD26003393</t>
  </si>
  <si>
    <t>CUST43462</t>
  </si>
  <si>
    <t>ORD26003394</t>
  </si>
  <si>
    <t>CUST70766</t>
  </si>
  <si>
    <t>ORD26003395</t>
  </si>
  <si>
    <t>CUST43923</t>
  </si>
  <si>
    <t>ORD26003396</t>
  </si>
  <si>
    <t>CUST83997</t>
  </si>
  <si>
    <t>ORD26003397</t>
  </si>
  <si>
    <t>CUST27121</t>
  </si>
  <si>
    <t>ORD26003398</t>
  </si>
  <si>
    <t>CUST79348</t>
  </si>
  <si>
    <t>ORD26003399</t>
  </si>
  <si>
    <t>CUST52734</t>
  </si>
  <si>
    <t>ORD26003400</t>
  </si>
  <si>
    <t>CUST15121</t>
  </si>
  <si>
    <t>ORD26003401</t>
  </si>
  <si>
    <t>CUST51754</t>
  </si>
  <si>
    <t>ORD26003402</t>
  </si>
  <si>
    <t>CUST18640</t>
  </si>
  <si>
    <t>ORD26003403</t>
  </si>
  <si>
    <t>CUST11906</t>
  </si>
  <si>
    <t>ORD26003404</t>
  </si>
  <si>
    <t>CUST10259</t>
  </si>
  <si>
    <t>ORD26003405</t>
  </si>
  <si>
    <t>CUST48232</t>
  </si>
  <si>
    <t>ORD26003406</t>
  </si>
  <si>
    <t>CUST77653</t>
  </si>
  <si>
    <t>ORD26003407</t>
  </si>
  <si>
    <t>CUST10347</t>
  </si>
  <si>
    <t>ORD26003408</t>
  </si>
  <si>
    <t>CUST29958</t>
  </si>
  <si>
    <t>ORD26003409</t>
  </si>
  <si>
    <t>CUST79721</t>
  </si>
  <si>
    <t>ORD26003410</t>
  </si>
  <si>
    <t>CUST81011</t>
  </si>
  <si>
    <t>ORD26003411</t>
  </si>
  <si>
    <t>CUST81776</t>
  </si>
  <si>
    <t>ORD26003412</t>
  </si>
  <si>
    <t>CUST88213</t>
  </si>
  <si>
    <t>ORD26003413</t>
  </si>
  <si>
    <t>CUST22685</t>
  </si>
  <si>
    <t>ORD26003414</t>
  </si>
  <si>
    <t>CUST22119</t>
  </si>
  <si>
    <t>ORD26003415</t>
  </si>
  <si>
    <t>CUST85147</t>
  </si>
  <si>
    <t>ORD26003416</t>
  </si>
  <si>
    <t>CUST97127</t>
  </si>
  <si>
    <t>ORD26003417</t>
  </si>
  <si>
    <t>CUST64116</t>
  </si>
  <si>
    <t>ORD26003418</t>
  </si>
  <si>
    <t>CUST42818</t>
  </si>
  <si>
    <t>ORD26003419</t>
  </si>
  <si>
    <t>CUST17034</t>
  </si>
  <si>
    <t>ORD26003420</t>
  </si>
  <si>
    <t>CUST28255</t>
  </si>
  <si>
    <t>ORD26003421</t>
  </si>
  <si>
    <t>CUST95539</t>
  </si>
  <si>
    <t>ORD26003422</t>
  </si>
  <si>
    <t>CUST61259</t>
  </si>
  <si>
    <t>ORD26003423</t>
  </si>
  <si>
    <t>CUST52567</t>
  </si>
  <si>
    <t>ORD26003424</t>
  </si>
  <si>
    <t>CUST35251</t>
  </si>
  <si>
    <t>ORD26003425</t>
  </si>
  <si>
    <t>CUST11103</t>
  </si>
  <si>
    <t>ORD26003426</t>
  </si>
  <si>
    <t>CUST28283</t>
  </si>
  <si>
    <t>ORD26003427</t>
  </si>
  <si>
    <t>CUST19102</t>
  </si>
  <si>
    <t>ORD26003428</t>
  </si>
  <si>
    <t>CUST62111</t>
  </si>
  <si>
    <t>ORD26003429</t>
  </si>
  <si>
    <t>CUST17258</t>
  </si>
  <si>
    <t>ORD26003430</t>
  </si>
  <si>
    <t>CUST78468</t>
  </si>
  <si>
    <t>ORD26003431</t>
  </si>
  <si>
    <t>CUST33039</t>
  </si>
  <si>
    <t>ORD26003432</t>
  </si>
  <si>
    <t>CUST65996</t>
  </si>
  <si>
    <t>ORD26003433</t>
  </si>
  <si>
    <t>CUST79776</t>
  </si>
  <si>
    <t>ORD26003434</t>
  </si>
  <si>
    <t>CUST43888</t>
  </si>
  <si>
    <t>ORD26003435</t>
  </si>
  <si>
    <t>CUST67646</t>
  </si>
  <si>
    <t>ORD26003436</t>
  </si>
  <si>
    <t>CUST21549</t>
  </si>
  <si>
    <t>ORD26003437</t>
  </si>
  <si>
    <t>CUST92040</t>
  </si>
  <si>
    <t>ORD26003438</t>
  </si>
  <si>
    <t>CUST55838</t>
  </si>
  <si>
    <t>ORD26003439</t>
  </si>
  <si>
    <t>CUST31388</t>
  </si>
  <si>
    <t>ORD26003440</t>
  </si>
  <si>
    <t>CUST97579</t>
  </si>
  <si>
    <t>ORD26003441</t>
  </si>
  <si>
    <t>CUST60780</t>
  </si>
  <si>
    <t>ORD26003442</t>
  </si>
  <si>
    <t>CUST20038</t>
  </si>
  <si>
    <t>ORD26003443</t>
  </si>
  <si>
    <t>CUST45332</t>
  </si>
  <si>
    <t>ORD26003444</t>
  </si>
  <si>
    <t>CUST17876</t>
  </si>
  <si>
    <t>ORD26003445</t>
  </si>
  <si>
    <t>CUST76880</t>
  </si>
  <si>
    <t>ORD26003446</t>
  </si>
  <si>
    <t>CUST51052</t>
  </si>
  <si>
    <t>ORD26003447</t>
  </si>
  <si>
    <t>CUST59598</t>
  </si>
  <si>
    <t>ORD26003448</t>
  </si>
  <si>
    <t>CUST66731</t>
  </si>
  <si>
    <t>ORD26003449</t>
  </si>
  <si>
    <t>CUST32553</t>
  </si>
  <si>
    <t>6497.0</t>
  </si>
  <si>
    <t>ORD26003450</t>
  </si>
  <si>
    <t>CUST26216</t>
  </si>
  <si>
    <t>ORD26003451</t>
  </si>
  <si>
    <t>CUST79624</t>
  </si>
  <si>
    <t>ORD26003452</t>
  </si>
  <si>
    <t>CUST50202</t>
  </si>
  <si>
    <t>ORD26003453</t>
  </si>
  <si>
    <t>CUST33431</t>
  </si>
  <si>
    <t>ORD26003454</t>
  </si>
  <si>
    <t>CUST63104</t>
  </si>
  <si>
    <t>ORD26003455</t>
  </si>
  <si>
    <t>CUST15733</t>
  </si>
  <si>
    <t>ORD26003456</t>
  </si>
  <si>
    <t>CUST96050</t>
  </si>
  <si>
    <t>ORD26003457</t>
  </si>
  <si>
    <t>CUST16679</t>
  </si>
  <si>
    <t>ORD26003458</t>
  </si>
  <si>
    <t>CUST28648</t>
  </si>
  <si>
    <t>ORD26003459</t>
  </si>
  <si>
    <t>CUST36559</t>
  </si>
  <si>
    <t>ORD26003460</t>
  </si>
  <si>
    <t>CUST91644</t>
  </si>
  <si>
    <t>ORD26003461</t>
  </si>
  <si>
    <t>CUST11730</t>
  </si>
  <si>
    <t>ORD26003462</t>
  </si>
  <si>
    <t>CUST75061</t>
  </si>
  <si>
    <t>ORD26003463</t>
  </si>
  <si>
    <t>CUST23757</t>
  </si>
  <si>
    <t>ORD26003464</t>
  </si>
  <si>
    <t>CUST90850</t>
  </si>
  <si>
    <t>ORD26003465</t>
  </si>
  <si>
    <t>CUST93379</t>
  </si>
  <si>
    <t>ORD26003466</t>
  </si>
  <si>
    <t>CUST25791</t>
  </si>
  <si>
    <t>ORD26003467</t>
  </si>
  <si>
    <t>CUST25647</t>
  </si>
  <si>
    <t>ORD26003468</t>
  </si>
  <si>
    <t>CUST68148</t>
  </si>
  <si>
    <t>ORD26003469</t>
  </si>
  <si>
    <t>CUST17371</t>
  </si>
  <si>
    <t>ORD26003470</t>
  </si>
  <si>
    <t>CUST77106</t>
  </si>
  <si>
    <t>ORD26003471</t>
  </si>
  <si>
    <t>CUST98715</t>
  </si>
  <si>
    <t>ORD26003472</t>
  </si>
  <si>
    <t>CUST25809</t>
  </si>
  <si>
    <t>ORD26003473</t>
  </si>
  <si>
    <t>ORD26003474</t>
  </si>
  <si>
    <t>CUST11956</t>
  </si>
  <si>
    <t>ORD26003475</t>
  </si>
  <si>
    <t>CUST11930</t>
  </si>
  <si>
    <t>ORD26003476</t>
  </si>
  <si>
    <t>CUST27688</t>
  </si>
  <si>
    <t>ORD26003477</t>
  </si>
  <si>
    <t>CUST86687</t>
  </si>
  <si>
    <t>ORD26003478</t>
  </si>
  <si>
    <t>CUST69754</t>
  </si>
  <si>
    <t>ORD26003479</t>
  </si>
  <si>
    <t>CUST56728</t>
  </si>
  <si>
    <t>ORD26003480</t>
  </si>
  <si>
    <t>CUST57798</t>
  </si>
  <si>
    <t>ORD26003481</t>
  </si>
  <si>
    <t>CUST49084</t>
  </si>
  <si>
    <t>ORD26003482</t>
  </si>
  <si>
    <t>CUST35903</t>
  </si>
  <si>
    <t>ORD26003483</t>
  </si>
  <si>
    <t>CUST37771</t>
  </si>
  <si>
    <t>ORD26003484</t>
  </si>
  <si>
    <t>ORD26003485</t>
  </si>
  <si>
    <t>CUST65716</t>
  </si>
  <si>
    <t>ORD26003486</t>
  </si>
  <si>
    <t>CUST16140</t>
  </si>
  <si>
    <t>ORD26003487</t>
  </si>
  <si>
    <t>CUST82096</t>
  </si>
  <si>
    <t>ORD26003488</t>
  </si>
  <si>
    <t>CUST97522</t>
  </si>
  <si>
    <t>ORD26003489</t>
  </si>
  <si>
    <t>CUST10411</t>
  </si>
  <si>
    <t>ORD26003490</t>
  </si>
  <si>
    <t>CUST44023</t>
  </si>
  <si>
    <t>ORD26003491</t>
  </si>
  <si>
    <t>CUST26027</t>
  </si>
  <si>
    <t>ORD26003492</t>
  </si>
  <si>
    <t>CUST24570</t>
  </si>
  <si>
    <t>ORD26003493</t>
  </si>
  <si>
    <t>CUST22908</t>
  </si>
  <si>
    <t>ORD26003494</t>
  </si>
  <si>
    <t>CUST54743</t>
  </si>
  <si>
    <t>ORD26003495</t>
  </si>
  <si>
    <t>CUST98007</t>
  </si>
  <si>
    <t>ORD26003496</t>
  </si>
  <si>
    <t>CUST48749</t>
  </si>
  <si>
    <t>ORD26003497</t>
  </si>
  <si>
    <t>CUST71415</t>
  </si>
  <si>
    <t>ORD26003498</t>
  </si>
  <si>
    <t>CUST36682</t>
  </si>
  <si>
    <t>ORD26003499</t>
  </si>
  <si>
    <t>CUST95503</t>
  </si>
  <si>
    <t>ORD26003500</t>
  </si>
  <si>
    <t>CUST22806</t>
  </si>
  <si>
    <t>ORD26003501</t>
  </si>
  <si>
    <t>CUST67973</t>
  </si>
  <si>
    <t>ORD26003502</t>
  </si>
  <si>
    <t>CUST70164</t>
  </si>
  <si>
    <t>ORD26003503</t>
  </si>
  <si>
    <t>CUST61698</t>
  </si>
  <si>
    <t>ORD26003504</t>
  </si>
  <si>
    <t>CUST49355</t>
  </si>
  <si>
    <t>ORD26003505</t>
  </si>
  <si>
    <t>CUST59446</t>
  </si>
  <si>
    <t>ORD26003506</t>
  </si>
  <si>
    <t>CUST54336</t>
  </si>
  <si>
    <t>ORD26003507</t>
  </si>
  <si>
    <t>CUST89133</t>
  </si>
  <si>
    <t>ORD26003508</t>
  </si>
  <si>
    <t>CUST16831</t>
  </si>
  <si>
    <t>ORD26003509</t>
  </si>
  <si>
    <t>CUST78592</t>
  </si>
  <si>
    <t>ORD26003510</t>
  </si>
  <si>
    <t>CUST40843</t>
  </si>
  <si>
    <t>ORD26003511</t>
  </si>
  <si>
    <t>CUST89165</t>
  </si>
  <si>
    <t>ORD26003512</t>
  </si>
  <si>
    <t>CUST52909</t>
  </si>
  <si>
    <t>ORD26003513</t>
  </si>
  <si>
    <t>CUST99366</t>
  </si>
  <si>
    <t>ORD26003514</t>
  </si>
  <si>
    <t>CUST70735</t>
  </si>
  <si>
    <t>ORD26003515</t>
  </si>
  <si>
    <t>ORD26003516</t>
  </si>
  <si>
    <t>CUST29288</t>
  </si>
  <si>
    <t>ORD26003517</t>
  </si>
  <si>
    <t>ORD26003518</t>
  </si>
  <si>
    <t>CUST29297</t>
  </si>
  <si>
    <t>ORD26003519</t>
  </si>
  <si>
    <t>CUST58626</t>
  </si>
  <si>
    <t>ORD26003520</t>
  </si>
  <si>
    <t>CUST48604</t>
  </si>
  <si>
    <t>ORD26003521</t>
  </si>
  <si>
    <t>CUST62972</t>
  </si>
  <si>
    <t>ORD26003522</t>
  </si>
  <si>
    <t>CUST65683</t>
  </si>
  <si>
    <t>ORD26003523</t>
  </si>
  <si>
    <t>CUST13878</t>
  </si>
  <si>
    <t>ORD26003524</t>
  </si>
  <si>
    <t>CUST44883</t>
  </si>
  <si>
    <t>ORD26003525</t>
  </si>
  <si>
    <t>CUST81613</t>
  </si>
  <si>
    <t>ORD26003526</t>
  </si>
  <si>
    <t>CUST12533</t>
  </si>
  <si>
    <t>ORD26003527</t>
  </si>
  <si>
    <t>CUST15156</t>
  </si>
  <si>
    <t>ORD26003528</t>
  </si>
  <si>
    <t>CUST34215</t>
  </si>
  <si>
    <t>ORD26003529</t>
  </si>
  <si>
    <t>CUST39343</t>
  </si>
  <si>
    <t>ORD26003530</t>
  </si>
  <si>
    <t>CUST41675</t>
  </si>
  <si>
    <t>ORD26003531</t>
  </si>
  <si>
    <t>CUST52611</t>
  </si>
  <si>
    <t>ORD26003532</t>
  </si>
  <si>
    <t>CUST82095</t>
  </si>
  <si>
    <t>ORD26003533</t>
  </si>
  <si>
    <t>CUST30709</t>
  </si>
  <si>
    <t>ORD26003534</t>
  </si>
  <si>
    <t>CUST60805</t>
  </si>
  <si>
    <t>ORD26003535</t>
  </si>
  <si>
    <t>CUST26441</t>
  </si>
  <si>
    <t>ORD26003536</t>
  </si>
  <si>
    <t>CUST69456</t>
  </si>
  <si>
    <t>ORD26003537</t>
  </si>
  <si>
    <t>CUST92129</t>
  </si>
  <si>
    <t>ORD26003538</t>
  </si>
  <si>
    <t>CUST81582</t>
  </si>
  <si>
    <t>ORD26003539</t>
  </si>
  <si>
    <t>CUST64104</t>
  </si>
  <si>
    <t>ORD26003540</t>
  </si>
  <si>
    <t>CUST23537</t>
  </si>
  <si>
    <t>ORD26003541</t>
  </si>
  <si>
    <t>CUST20191</t>
  </si>
  <si>
    <t>ORD26003542</t>
  </si>
  <si>
    <t>CUST43953</t>
  </si>
  <si>
    <t>ORD26003543</t>
  </si>
  <si>
    <t>CUST55678</t>
  </si>
  <si>
    <t>ORD26003544</t>
  </si>
  <si>
    <t>ORD26003545</t>
  </si>
  <si>
    <t>CUST53435</t>
  </si>
  <si>
    <t>ORD26003546</t>
  </si>
  <si>
    <t>CUST54255</t>
  </si>
  <si>
    <t>ORD26003547</t>
  </si>
  <si>
    <t>CUST82664</t>
  </si>
  <si>
    <t>ORD26003548</t>
  </si>
  <si>
    <t>CUST35263</t>
  </si>
  <si>
    <t>ORD26003549</t>
  </si>
  <si>
    <t>CUST27335</t>
  </si>
  <si>
    <t>ORD26003550</t>
  </si>
  <si>
    <t>CUST94555</t>
  </si>
  <si>
    <t>ORD26003551</t>
  </si>
  <si>
    <t>CUST45418</t>
  </si>
  <si>
    <t>ORD26003552</t>
  </si>
  <si>
    <t>CUST61487</t>
  </si>
  <si>
    <t>ORD26003553</t>
  </si>
  <si>
    <t>CUST28696</t>
  </si>
  <si>
    <t>ORD26003554</t>
  </si>
  <si>
    <t>CUST58718</t>
  </si>
  <si>
    <t>ORD26003555</t>
  </si>
  <si>
    <t>CUST45153</t>
  </si>
  <si>
    <t>ORD26003556</t>
  </si>
  <si>
    <t>CUST22817</t>
  </si>
  <si>
    <t>ORD26003557</t>
  </si>
  <si>
    <t>CUST23090</t>
  </si>
  <si>
    <t>ORD26003558</t>
  </si>
  <si>
    <t>CUST45922</t>
  </si>
  <si>
    <t>ORD26003559</t>
  </si>
  <si>
    <t>CUST62250</t>
  </si>
  <si>
    <t>ORD26003560</t>
  </si>
  <si>
    <t>CUST65800</t>
  </si>
  <si>
    <t>ORD26003561</t>
  </si>
  <si>
    <t>CUST96487</t>
  </si>
  <si>
    <t>ORD26003562</t>
  </si>
  <si>
    <t>CUST35041</t>
  </si>
  <si>
    <t>ORD26003563</t>
  </si>
  <si>
    <t>CUST53498</t>
  </si>
  <si>
    <t>ORD26003564</t>
  </si>
  <si>
    <t>CUST28294</t>
  </si>
  <si>
    <t>ORD26003565</t>
  </si>
  <si>
    <t>CUST67883</t>
  </si>
  <si>
    <t>1747.0</t>
  </si>
  <si>
    <t>ORD26003566</t>
  </si>
  <si>
    <t>CUST26626</t>
  </si>
  <si>
    <t>ORD26003567</t>
  </si>
  <si>
    <t>CUST81467</t>
  </si>
  <si>
    <t>ORD26003568</t>
  </si>
  <si>
    <t>CUST80739</t>
  </si>
  <si>
    <t>ORD26003569</t>
  </si>
  <si>
    <t>CUST81136</t>
  </si>
  <si>
    <t>ORD26003570</t>
  </si>
  <si>
    <t>CUST85311</t>
  </si>
  <si>
    <t>ORD26003571</t>
  </si>
  <si>
    <t>CUST83163</t>
  </si>
  <si>
    <t>ORD26003572</t>
  </si>
  <si>
    <t>CUST31748</t>
  </si>
  <si>
    <t>ORD26003573</t>
  </si>
  <si>
    <t>CUST78126</t>
  </si>
  <si>
    <t>ORD26003574</t>
  </si>
  <si>
    <t>CUST35179</t>
  </si>
  <si>
    <t>ORD26003575</t>
  </si>
  <si>
    <t>CUST27691</t>
  </si>
  <si>
    <t>ORD26003576</t>
  </si>
  <si>
    <t>CUST73210</t>
  </si>
  <si>
    <t>ORD26003577</t>
  </si>
  <si>
    <t>CUST93577</t>
  </si>
  <si>
    <t>ORD26003578</t>
  </si>
  <si>
    <t>CUST82803</t>
  </si>
  <si>
    <t>ORD26003579</t>
  </si>
  <si>
    <t>CUST79898</t>
  </si>
  <si>
    <t>ORD26003580</t>
  </si>
  <si>
    <t>CUST49305</t>
  </si>
  <si>
    <t>ORD26003581</t>
  </si>
  <si>
    <t>CUST33629</t>
  </si>
  <si>
    <t>ORD26003582</t>
  </si>
  <si>
    <t>CUST21428</t>
  </si>
  <si>
    <t>ORD26003583</t>
  </si>
  <si>
    <t>CUST95868</t>
  </si>
  <si>
    <t>ORD26003584</t>
  </si>
  <si>
    <t>CUST63727</t>
  </si>
  <si>
    <t>ORD26003585</t>
  </si>
  <si>
    <t>CUST16896</t>
  </si>
  <si>
    <t>ORD26003586</t>
  </si>
  <si>
    <t>CUST94805</t>
  </si>
  <si>
    <t>ORD26003587</t>
  </si>
  <si>
    <t>CUST85356</t>
  </si>
  <si>
    <t>ORD26003588</t>
  </si>
  <si>
    <t>ORD26003589</t>
  </si>
  <si>
    <t>CUST10758</t>
  </si>
  <si>
    <t>ORD26003590</t>
  </si>
  <si>
    <t>CUST14885</t>
  </si>
  <si>
    <t>ORD26003591</t>
  </si>
  <si>
    <t>CUST64786</t>
  </si>
  <si>
    <t>ORD26003592</t>
  </si>
  <si>
    <t>CUST78907</t>
  </si>
  <si>
    <t>ORD26003593</t>
  </si>
  <si>
    <t>CUST36199</t>
  </si>
  <si>
    <t>ORD26003594</t>
  </si>
  <si>
    <t>CUST39220</t>
  </si>
  <si>
    <t>ORD26003595</t>
  </si>
  <si>
    <t>CUST90900</t>
  </si>
  <si>
    <t>ORD26003596</t>
  </si>
  <si>
    <t>CUST22994</t>
  </si>
  <si>
    <t>ORD26003597</t>
  </si>
  <si>
    <t>CUST35772</t>
  </si>
  <si>
    <t>ORD26003598</t>
  </si>
  <si>
    <t>CUST72470</t>
  </si>
  <si>
    <t>ORD26003599</t>
  </si>
  <si>
    <t>CUST42900</t>
  </si>
  <si>
    <t>ORD26003600</t>
  </si>
  <si>
    <t>CUST66173</t>
  </si>
  <si>
    <t>ORD26003601</t>
  </si>
  <si>
    <t>ORD26003602</t>
  </si>
  <si>
    <t>CUST33953</t>
  </si>
  <si>
    <t>ORD26003603</t>
  </si>
  <si>
    <t>CUST44944</t>
  </si>
  <si>
    <t>ORD26003604</t>
  </si>
  <si>
    <t>CUST53940</t>
  </si>
  <si>
    <t>ORD26003605</t>
  </si>
  <si>
    <t>CUST11412</t>
  </si>
  <si>
    <t>ORD26003606</t>
  </si>
  <si>
    <t>CUST59610</t>
  </si>
  <si>
    <t>ORD26003607</t>
  </si>
  <si>
    <t>CUST35933</t>
  </si>
  <si>
    <t>ORD26003608</t>
  </si>
  <si>
    <t>CUST10421</t>
  </si>
  <si>
    <t>ORD26003609</t>
  </si>
  <si>
    <t>CUST51019</t>
  </si>
  <si>
    <t>ORD26003610</t>
  </si>
  <si>
    <t>CUST40730</t>
  </si>
  <si>
    <t>ORD26003611</t>
  </si>
  <si>
    <t>CUST38884</t>
  </si>
  <si>
    <t>ORD26003612</t>
  </si>
  <si>
    <t>ORD26003613</t>
  </si>
  <si>
    <t>CUST78491</t>
  </si>
  <si>
    <t>ORD26003614</t>
  </si>
  <si>
    <t>CUST20794</t>
  </si>
  <si>
    <t>ORD26003615</t>
  </si>
  <si>
    <t>CUST64478</t>
  </si>
  <si>
    <t>ORD26003616</t>
  </si>
  <si>
    <t>CUST40649</t>
  </si>
  <si>
    <t>ORD26003617</t>
  </si>
  <si>
    <t>CUST21420</t>
  </si>
  <si>
    <t>ORD26003618</t>
  </si>
  <si>
    <t>CUST29549</t>
  </si>
  <si>
    <t>ORD26003619</t>
  </si>
  <si>
    <t>CUST50378</t>
  </si>
  <si>
    <t>ORD26003620</t>
  </si>
  <si>
    <t>CUST48018</t>
  </si>
  <si>
    <t>ORD26003621</t>
  </si>
  <si>
    <t>CUST39870</t>
  </si>
  <si>
    <t>ORD26003622</t>
  </si>
  <si>
    <t>CUST13545</t>
  </si>
  <si>
    <t>ORD26003623</t>
  </si>
  <si>
    <t>CUST25760</t>
  </si>
  <si>
    <t>ORD26003624</t>
  </si>
  <si>
    <t>CUST72308</t>
  </si>
  <si>
    <t>ORD26003625</t>
  </si>
  <si>
    <t>CUST77095</t>
  </si>
  <si>
    <t>ORD26003626</t>
  </si>
  <si>
    <t>CUST98637</t>
  </si>
  <si>
    <t>ORD26003627</t>
  </si>
  <si>
    <t>CUST64356</t>
  </si>
  <si>
    <t>ORD26003628</t>
  </si>
  <si>
    <t>CUST76022</t>
  </si>
  <si>
    <t>11,997.00</t>
  </si>
  <si>
    <t>ORD26003629</t>
  </si>
  <si>
    <t>CUST93582</t>
  </si>
  <si>
    <t>ORD26003630</t>
  </si>
  <si>
    <t>CUST28094</t>
  </si>
  <si>
    <t>ORD26003631</t>
  </si>
  <si>
    <t>ORD26003632</t>
  </si>
  <si>
    <t>CUST68036</t>
  </si>
  <si>
    <t>ORD26003633</t>
  </si>
  <si>
    <t>CUST62719</t>
  </si>
  <si>
    <t>ORD26003634</t>
  </si>
  <si>
    <t>CUST33240</t>
  </si>
  <si>
    <t>ORD26003635</t>
  </si>
  <si>
    <t>CUST30937</t>
  </si>
  <si>
    <t>ORD26003636</t>
  </si>
  <si>
    <t>CUST36748</t>
  </si>
  <si>
    <t>ORD26003637</t>
  </si>
  <si>
    <t>CUST79978</t>
  </si>
  <si>
    <t>ORD26003638</t>
  </si>
  <si>
    <t>CUST48264</t>
  </si>
  <si>
    <t>ORD26003639</t>
  </si>
  <si>
    <t>CUST97145</t>
  </si>
  <si>
    <t>ORD26003640</t>
  </si>
  <si>
    <t>CUST49647</t>
  </si>
  <si>
    <t>ORD26003641</t>
  </si>
  <si>
    <t>CUST90018</t>
  </si>
  <si>
    <t>ORD26003642</t>
  </si>
  <si>
    <t>CUST54561</t>
  </si>
  <si>
    <t>ORD26003643</t>
  </si>
  <si>
    <t>CUST79533</t>
  </si>
  <si>
    <t>ORD26003644</t>
  </si>
  <si>
    <t>CUST46429</t>
  </si>
  <si>
    <t>ORD26003645</t>
  </si>
  <si>
    <t>CUST98905</t>
  </si>
  <si>
    <t>ORD26003646</t>
  </si>
  <si>
    <t>CUST10731</t>
  </si>
  <si>
    <t>ORD26003647</t>
  </si>
  <si>
    <t>ORD26003648</t>
  </si>
  <si>
    <t>CUST86142</t>
  </si>
  <si>
    <t>ORD26003649</t>
  </si>
  <si>
    <t>CUST16079</t>
  </si>
  <si>
    <t>ORD26003650</t>
  </si>
  <si>
    <t>CUST49104</t>
  </si>
  <si>
    <t>ORD26003651</t>
  </si>
  <si>
    <t>ORD26003652</t>
  </si>
  <si>
    <t>ORD26003653</t>
  </si>
  <si>
    <t>CUST49209</t>
  </si>
  <si>
    <t>ORD26003654</t>
  </si>
  <si>
    <t>CUST77677</t>
  </si>
  <si>
    <t>ORD26003655</t>
  </si>
  <si>
    <t>CUST92751</t>
  </si>
  <si>
    <t>ORD26003656</t>
  </si>
  <si>
    <t>CUST87638</t>
  </si>
  <si>
    <t>ORD26003657</t>
  </si>
  <si>
    <t>CUST63234</t>
  </si>
  <si>
    <t>ORD26003658</t>
  </si>
  <si>
    <t>CUST12194</t>
  </si>
  <si>
    <t>ORD26003659</t>
  </si>
  <si>
    <t>CUST32967</t>
  </si>
  <si>
    <t>ORD26003660</t>
  </si>
  <si>
    <t>CUST60002</t>
  </si>
  <si>
    <t>ORD26003661</t>
  </si>
  <si>
    <t>CUST73511</t>
  </si>
  <si>
    <t>ORD26003662</t>
  </si>
  <si>
    <t>CUST96759</t>
  </si>
  <si>
    <t>ORD26003663</t>
  </si>
  <si>
    <t>CUST88206</t>
  </si>
  <si>
    <t>ORD26003664</t>
  </si>
  <si>
    <t>CUST42590</t>
  </si>
  <si>
    <t>ORD26003665</t>
  </si>
  <si>
    <t>CUST17706</t>
  </si>
  <si>
    <t>ORD26003666</t>
  </si>
  <si>
    <t>CUST48488</t>
  </si>
  <si>
    <t>ORD26003667</t>
  </si>
  <si>
    <t>CUST50414</t>
  </si>
  <si>
    <t>ORD26003668</t>
  </si>
  <si>
    <t>CUST75697</t>
  </si>
  <si>
    <t>ORD26003669</t>
  </si>
  <si>
    <t>CUST46488</t>
  </si>
  <si>
    <t>ORD26003670</t>
  </si>
  <si>
    <t>CUST76849</t>
  </si>
  <si>
    <t>ORD26003671</t>
  </si>
  <si>
    <t>CUST75327</t>
  </si>
  <si>
    <t>ORD26003672</t>
  </si>
  <si>
    <t>ORD26003673</t>
  </si>
  <si>
    <t>CUST70764</t>
  </si>
  <si>
    <t>ORD26003674</t>
  </si>
  <si>
    <t>ORD26003675</t>
  </si>
  <si>
    <t>CUST97369</t>
  </si>
  <si>
    <t>ORD26003676</t>
  </si>
  <si>
    <t>CUST31729</t>
  </si>
  <si>
    <t>ORD26003677</t>
  </si>
  <si>
    <t>CUST69468</t>
  </si>
  <si>
    <t>ORD26003678</t>
  </si>
  <si>
    <t>CUST87333</t>
  </si>
  <si>
    <t>ORD26003679</t>
  </si>
  <si>
    <t>CUST81848</t>
  </si>
  <si>
    <t>ORD26003680</t>
  </si>
  <si>
    <t>CUST62404</t>
  </si>
  <si>
    <t>ORD26003681</t>
  </si>
  <si>
    <t>CUST66862</t>
  </si>
  <si>
    <t>ORD26003682</t>
  </si>
  <si>
    <t>CUST78584</t>
  </si>
  <si>
    <t>ORD26003683</t>
  </si>
  <si>
    <t>CUST79190</t>
  </si>
  <si>
    <t>ORD26003684</t>
  </si>
  <si>
    <t>CUST13844</t>
  </si>
  <si>
    <t>ORD26003685</t>
  </si>
  <si>
    <t>CUST96274</t>
  </si>
  <si>
    <t>ORD26003686</t>
  </si>
  <si>
    <t>CUST18826</t>
  </si>
  <si>
    <t>ORD26003687</t>
  </si>
  <si>
    <t>CUST83927</t>
  </si>
  <si>
    <t>ORD26003688</t>
  </si>
  <si>
    <t>CUST85354</t>
  </si>
  <si>
    <t>ORD26003689</t>
  </si>
  <si>
    <t>CUST14347</t>
  </si>
  <si>
    <t>ORD26003690</t>
  </si>
  <si>
    <t>CUST48944</t>
  </si>
  <si>
    <t>ORD26003691</t>
  </si>
  <si>
    <t>CUST95061</t>
  </si>
  <si>
    <t>ORD26003692</t>
  </si>
  <si>
    <t>CUST84740</t>
  </si>
  <si>
    <t>ORD26003693</t>
  </si>
  <si>
    <t>CUST83229</t>
  </si>
  <si>
    <t>ORD26003694</t>
  </si>
  <si>
    <t>CUST81460</t>
  </si>
  <si>
    <t>ORD26003695</t>
  </si>
  <si>
    <t>CUST21164</t>
  </si>
  <si>
    <t>ORD26003696</t>
  </si>
  <si>
    <t>CUST90699</t>
  </si>
  <si>
    <t>ORD26003697</t>
  </si>
  <si>
    <t>CUST72952</t>
  </si>
  <si>
    <t>ORD26003698</t>
  </si>
  <si>
    <t>CUST50582</t>
  </si>
  <si>
    <t>11,497.00</t>
  </si>
  <si>
    <t>ORD26003699</t>
  </si>
  <si>
    <t>CUST51679</t>
  </si>
  <si>
    <t>ORD26003700</t>
  </si>
  <si>
    <t>CUST22705</t>
  </si>
  <si>
    <t>ORD26003701</t>
  </si>
  <si>
    <t>CUST75054</t>
  </si>
  <si>
    <t>ORD26003702</t>
  </si>
  <si>
    <t>CUST96932</t>
  </si>
  <si>
    <t>ORD26003703</t>
  </si>
  <si>
    <t>CUST86523</t>
  </si>
  <si>
    <t>ORD26003704</t>
  </si>
  <si>
    <t>CUST37520</t>
  </si>
  <si>
    <t>ORD26003705</t>
  </si>
  <si>
    <t>CUST50699</t>
  </si>
  <si>
    <t>ORD26003706</t>
  </si>
  <si>
    <t>CUST74668</t>
  </si>
  <si>
    <t>ORD26003707</t>
  </si>
  <si>
    <t>CUST39555</t>
  </si>
  <si>
    <t>ORD26003708</t>
  </si>
  <si>
    <t>CUST19989</t>
  </si>
  <si>
    <t>ORD26003709</t>
  </si>
  <si>
    <t>CUST56829</t>
  </si>
  <si>
    <t>ORD26003710</t>
  </si>
  <si>
    <t>CUST20283</t>
  </si>
  <si>
    <t>ORD26003711</t>
  </si>
  <si>
    <t>CUST83183</t>
  </si>
  <si>
    <t>ORD26003712</t>
  </si>
  <si>
    <t>CUST22509</t>
  </si>
  <si>
    <t>ORD26003713</t>
  </si>
  <si>
    <t>CUST97697</t>
  </si>
  <si>
    <t>ORD26003714</t>
  </si>
  <si>
    <t>CUST74473</t>
  </si>
  <si>
    <t>ORD26003715</t>
  </si>
  <si>
    <t>CUST11651</t>
  </si>
  <si>
    <t>ORD26003716</t>
  </si>
  <si>
    <t>ORD26003717</t>
  </si>
  <si>
    <t>CUST99256</t>
  </si>
  <si>
    <t>ORD26003718</t>
  </si>
  <si>
    <t>CUST15230</t>
  </si>
  <si>
    <t>ORD26003719</t>
  </si>
  <si>
    <t>CUST46529</t>
  </si>
  <si>
    <t>ORD26003720</t>
  </si>
  <si>
    <t>CUST30637</t>
  </si>
  <si>
    <t>ORD26003721</t>
  </si>
  <si>
    <t>CUST67321</t>
  </si>
  <si>
    <t>ORD26003722</t>
  </si>
  <si>
    <t>CUST27321</t>
  </si>
  <si>
    <t>ORD26003723</t>
  </si>
  <si>
    <t>CUST12708</t>
  </si>
  <si>
    <t>ORD26003724</t>
  </si>
  <si>
    <t>CUST15579</t>
  </si>
  <si>
    <t>ORD26003725</t>
  </si>
  <si>
    <t>CUST32044</t>
  </si>
  <si>
    <t>ORD26003726</t>
  </si>
  <si>
    <t>CUST92470</t>
  </si>
  <si>
    <t>ORD26003727</t>
  </si>
  <si>
    <t>CUST29039</t>
  </si>
  <si>
    <t>ORD26003728</t>
  </si>
  <si>
    <t>CUST54368</t>
  </si>
  <si>
    <t>ORD26003729</t>
  </si>
  <si>
    <t>CUST96263</t>
  </si>
  <si>
    <t>ORD26003730</t>
  </si>
  <si>
    <t>CUST99619</t>
  </si>
  <si>
    <t>ORD26003731</t>
  </si>
  <si>
    <t>CUST98882</t>
  </si>
  <si>
    <t>ORD26003732</t>
  </si>
  <si>
    <t>CUST17432</t>
  </si>
  <si>
    <t>ORD26003733</t>
  </si>
  <si>
    <t>CUST18326</t>
  </si>
  <si>
    <t>ORD26003734</t>
  </si>
  <si>
    <t>CUST85573</t>
  </si>
  <si>
    <t>ORD26003735</t>
  </si>
  <si>
    <t>CUST63404</t>
  </si>
  <si>
    <t>ORD26003736</t>
  </si>
  <si>
    <t>CUST10363</t>
  </si>
  <si>
    <t>ORD26003737</t>
  </si>
  <si>
    <t>CUST80073</t>
  </si>
  <si>
    <t>ORD26003738</t>
  </si>
  <si>
    <t>CUST68775</t>
  </si>
  <si>
    <t>ORD26003739</t>
  </si>
  <si>
    <t>CUST16793</t>
  </si>
  <si>
    <t>ORD26003740</t>
  </si>
  <si>
    <t>CUST11096</t>
  </si>
  <si>
    <t>ORD26003741</t>
  </si>
  <si>
    <t>CUST94800</t>
  </si>
  <si>
    <t>ORD26003742</t>
  </si>
  <si>
    <t>CUST38358</t>
  </si>
  <si>
    <t>ORD26003743</t>
  </si>
  <si>
    <t>CUST93767</t>
  </si>
  <si>
    <t>ORD26003744</t>
  </si>
  <si>
    <t>CUST30719</t>
  </si>
  <si>
    <t>ORD26003745</t>
  </si>
  <si>
    <t>CUST58059</t>
  </si>
  <si>
    <t>ORD26003746</t>
  </si>
  <si>
    <t>CUST61435</t>
  </si>
  <si>
    <t>ORD26003747</t>
  </si>
  <si>
    <t>CUST70747</t>
  </si>
  <si>
    <t>ORD26003748</t>
  </si>
  <si>
    <t>CUST92596</t>
  </si>
  <si>
    <t>ORD26003749</t>
  </si>
  <si>
    <t>CUST89295</t>
  </si>
  <si>
    <t>ORD26003750</t>
  </si>
  <si>
    <t>CUST83064</t>
  </si>
  <si>
    <t>ORD26003751</t>
  </si>
  <si>
    <t>CUST92477</t>
  </si>
  <si>
    <t>ORD26003752</t>
  </si>
  <si>
    <t>CUST53276</t>
  </si>
  <si>
    <t>ORD26003753</t>
  </si>
  <si>
    <t>CUST58627</t>
  </si>
  <si>
    <t>ORD26003754</t>
  </si>
  <si>
    <t>CUST59792</t>
  </si>
  <si>
    <t>ORD26003755</t>
  </si>
  <si>
    <t>CUST81009</t>
  </si>
  <si>
    <t>ORD26003756</t>
  </si>
  <si>
    <t>CUST65259</t>
  </si>
  <si>
    <t>ORD26003757</t>
  </si>
  <si>
    <t>CUST57968</t>
  </si>
  <si>
    <t>ORD26003758</t>
  </si>
  <si>
    <t>CUST10572</t>
  </si>
  <si>
    <t>ORD26003759</t>
  </si>
  <si>
    <t>CUST65464</t>
  </si>
  <si>
    <t>ORD26003760</t>
  </si>
  <si>
    <t>CUST67676</t>
  </si>
  <si>
    <t>ORD26003761</t>
  </si>
  <si>
    <t>CUST37418</t>
  </si>
  <si>
    <t>ORD26003762</t>
  </si>
  <si>
    <t>CUST59201</t>
  </si>
  <si>
    <t>ORD26003763</t>
  </si>
  <si>
    <t>CUST71281</t>
  </si>
  <si>
    <t>ORD26003764</t>
  </si>
  <si>
    <t>CUST20479</t>
  </si>
  <si>
    <t>ORD26003765</t>
  </si>
  <si>
    <t>CUST49366</t>
  </si>
  <si>
    <t>ORD26003766</t>
  </si>
  <si>
    <t>CUST82578</t>
  </si>
  <si>
    <t>ORD26003767</t>
  </si>
  <si>
    <t>CUST97890</t>
  </si>
  <si>
    <t>ORD26003768</t>
  </si>
  <si>
    <t>CUST34344</t>
  </si>
  <si>
    <t>ORD26003769</t>
  </si>
  <si>
    <t>CUST44781</t>
  </si>
  <si>
    <t>ORD26003770</t>
  </si>
  <si>
    <t>CUST31488</t>
  </si>
  <si>
    <t>ORD26003771</t>
  </si>
  <si>
    <t>CUST28829</t>
  </si>
  <si>
    <t>ORD26003772</t>
  </si>
  <si>
    <t>CUST63067</t>
  </si>
  <si>
    <t>ORD26003773</t>
  </si>
  <si>
    <t>CUST52226</t>
  </si>
  <si>
    <t>ORD26003774</t>
  </si>
  <si>
    <t>CUST70317</t>
  </si>
  <si>
    <t>ORD26003775</t>
  </si>
  <si>
    <t>CUST41032</t>
  </si>
  <si>
    <t>ORD26003776</t>
  </si>
  <si>
    <t>CUST28440</t>
  </si>
  <si>
    <t>ORD26003777</t>
  </si>
  <si>
    <t>CUST42946</t>
  </si>
  <si>
    <t>ORD26003778</t>
  </si>
  <si>
    <t>CUST77667</t>
  </si>
  <si>
    <t>ORD26003779</t>
  </si>
  <si>
    <t>CUST19253</t>
  </si>
  <si>
    <t>ORD26003780</t>
  </si>
  <si>
    <t>CUST53437</t>
  </si>
  <si>
    <t>ORD26003781</t>
  </si>
  <si>
    <t>CUST26624</t>
  </si>
  <si>
    <t>ORD26003782</t>
  </si>
  <si>
    <t>CUST19101</t>
  </si>
  <si>
    <t>ORD26003783</t>
  </si>
  <si>
    <t>CUST61556</t>
  </si>
  <si>
    <t>ORD26003784</t>
  </si>
  <si>
    <t>CUST66688</t>
  </si>
  <si>
    <t>ORD26003785</t>
  </si>
  <si>
    <t>CUST36706</t>
  </si>
  <si>
    <t>ORD26003786</t>
  </si>
  <si>
    <t>CUST49156</t>
  </si>
  <si>
    <t>ORD26003787</t>
  </si>
  <si>
    <t>CUST59604</t>
  </si>
  <si>
    <t>ORD26003788</t>
  </si>
  <si>
    <t>CUST27730</t>
  </si>
  <si>
    <t>ORD26003789</t>
  </si>
  <si>
    <t>CUST17031</t>
  </si>
  <si>
    <t>ORD26003790</t>
  </si>
  <si>
    <t>CUST72028</t>
  </si>
  <si>
    <t>ORD26003791</t>
  </si>
  <si>
    <t>CUST84602</t>
  </si>
  <si>
    <t>ORD26003792</t>
  </si>
  <si>
    <t>CUST63062</t>
  </si>
  <si>
    <t>ORD26003793</t>
  </si>
  <si>
    <t>CUST62892</t>
  </si>
  <si>
    <t>ORD26003794</t>
  </si>
  <si>
    <t>CUST73661</t>
  </si>
  <si>
    <t>ORD26003795</t>
  </si>
  <si>
    <t>CUST84807</t>
  </si>
  <si>
    <t>ORD26003796</t>
  </si>
  <si>
    <t>CUST88401</t>
  </si>
  <si>
    <t>ORD26003797</t>
  </si>
  <si>
    <t>CUST91293</t>
  </si>
  <si>
    <t>ORD26003798</t>
  </si>
  <si>
    <t>CUST96748</t>
  </si>
  <si>
    <t>ORD26003799</t>
  </si>
  <si>
    <t>CUST27273</t>
  </si>
  <si>
    <t>ORD26003800</t>
  </si>
  <si>
    <t>CUST81834</t>
  </si>
  <si>
    <t>ORD26003801</t>
  </si>
  <si>
    <t>CUST23674</t>
  </si>
  <si>
    <t>ORD26003802</t>
  </si>
  <si>
    <t>CUST12134</t>
  </si>
  <si>
    <t>ORD26003803</t>
  </si>
  <si>
    <t>CUST31410</t>
  </si>
  <si>
    <t>ORD26003804</t>
  </si>
  <si>
    <t>CUST49870</t>
  </si>
  <si>
    <t>ORD26003805</t>
  </si>
  <si>
    <t>CUST54696</t>
  </si>
  <si>
    <t>ORD26003806</t>
  </si>
  <si>
    <t>CUST77291</t>
  </si>
  <si>
    <t>ORD26003807</t>
  </si>
  <si>
    <t>CUST81570</t>
  </si>
  <si>
    <t>ORD26003808</t>
  </si>
  <si>
    <t>CUST18833</t>
  </si>
  <si>
    <t>ORD26003809</t>
  </si>
  <si>
    <t>CUST36205</t>
  </si>
  <si>
    <t>ORD26003810</t>
  </si>
  <si>
    <t>CUST88572</t>
  </si>
  <si>
    <t>ORD26003811</t>
  </si>
  <si>
    <t>CUST77543</t>
  </si>
  <si>
    <t>ORD26003812</t>
  </si>
  <si>
    <t>CUST35270</t>
  </si>
  <si>
    <t>ORD26003813</t>
  </si>
  <si>
    <t>CUST30206</t>
  </si>
  <si>
    <t>ORD26003814</t>
  </si>
  <si>
    <t>CUST28442</t>
  </si>
  <si>
    <t>ORD26003815</t>
  </si>
  <si>
    <t>CUST56704</t>
  </si>
  <si>
    <t>ORD26003816</t>
  </si>
  <si>
    <t>CUST75439</t>
  </si>
  <si>
    <t>ORD26003817</t>
  </si>
  <si>
    <t>CUST74688</t>
  </si>
  <si>
    <t>ORD26003818</t>
  </si>
  <si>
    <t>CUST10897</t>
  </si>
  <si>
    <t>ORD26003819</t>
  </si>
  <si>
    <t>CUST79593</t>
  </si>
  <si>
    <t>ORD26003820</t>
  </si>
  <si>
    <t>CUST52610</t>
  </si>
  <si>
    <t>ORD26003821</t>
  </si>
  <si>
    <t>CUST77147</t>
  </si>
  <si>
    <t>ORD26003822</t>
  </si>
  <si>
    <t>CUST36439</t>
  </si>
  <si>
    <t>ORD26003823</t>
  </si>
  <si>
    <t>CUST51717</t>
  </si>
  <si>
    <t>ORD26003824</t>
  </si>
  <si>
    <t>CUST42132</t>
  </si>
  <si>
    <t>ORD26003825</t>
  </si>
  <si>
    <t>CUST30169</t>
  </si>
  <si>
    <t>ORD26003826</t>
  </si>
  <si>
    <t>CUST16358</t>
  </si>
  <si>
    <t>ORD26003827</t>
  </si>
  <si>
    <t>CUST46435</t>
  </si>
  <si>
    <t>ORD26003828</t>
  </si>
  <si>
    <t>CUST66788</t>
  </si>
  <si>
    <t>ORD26003829</t>
  </si>
  <si>
    <t>CUST85478</t>
  </si>
  <si>
    <t>ORD26003830</t>
  </si>
  <si>
    <t>CUST24354</t>
  </si>
  <si>
    <t>ORD26003831</t>
  </si>
  <si>
    <t>CUST15536</t>
  </si>
  <si>
    <t>ORD26003832</t>
  </si>
  <si>
    <t>CUST74506</t>
  </si>
  <si>
    <t>ORD26003833</t>
  </si>
  <si>
    <t>CUST39199</t>
  </si>
  <si>
    <t>ORD26003834</t>
  </si>
  <si>
    <t>CUST15918</t>
  </si>
  <si>
    <t>ORD26003835</t>
  </si>
  <si>
    <t>CUST29285</t>
  </si>
  <si>
    <t>ORD26003836</t>
  </si>
  <si>
    <t>CUST28338</t>
  </si>
  <si>
    <t>ORD26003837</t>
  </si>
  <si>
    <t>CUST35062</t>
  </si>
  <si>
    <t>ORD26003838</t>
  </si>
  <si>
    <t>CUST97161</t>
  </si>
  <si>
    <t>ORD26003839</t>
  </si>
  <si>
    <t>CUST57880</t>
  </si>
  <si>
    <t>ORD26003840</t>
  </si>
  <si>
    <t>CUST45036</t>
  </si>
  <si>
    <t>ORD26003841</t>
  </si>
  <si>
    <t>CUST26926</t>
  </si>
  <si>
    <t>ORD26003842</t>
  </si>
  <si>
    <t>CUST46235</t>
  </si>
  <si>
    <t>ORD26003843</t>
  </si>
  <si>
    <t>CUST66277</t>
  </si>
  <si>
    <t>ORD26003844</t>
  </si>
  <si>
    <t>CUST46693</t>
  </si>
  <si>
    <t>ORD26003845</t>
  </si>
  <si>
    <t>CUST22931</t>
  </si>
  <si>
    <t>ORD26003846</t>
  </si>
  <si>
    <t>CUST96140</t>
  </si>
  <si>
    <t>ORD26003847</t>
  </si>
  <si>
    <t>CUST21839</t>
  </si>
  <si>
    <t>ORD26003848</t>
  </si>
  <si>
    <t>CUST57423</t>
  </si>
  <si>
    <t>ORD26003849</t>
  </si>
  <si>
    <t>CUST13067</t>
  </si>
  <si>
    <t>ORD26003850</t>
  </si>
  <si>
    <t>CUST38844</t>
  </si>
  <si>
    <t>ORD26003851</t>
  </si>
  <si>
    <t>CUST29857</t>
  </si>
  <si>
    <t>ORD26003852</t>
  </si>
  <si>
    <t>CUST66152</t>
  </si>
  <si>
    <t>ORD26003853</t>
  </si>
  <si>
    <t>CUST93592</t>
  </si>
  <si>
    <t>ORD26003854</t>
  </si>
  <si>
    <t>CUST52331</t>
  </si>
  <si>
    <t>ORD26003855</t>
  </si>
  <si>
    <t>CUST87771</t>
  </si>
  <si>
    <t>ORD26003856</t>
  </si>
  <si>
    <t>CUST37542</t>
  </si>
  <si>
    <t>ORD26003857</t>
  </si>
  <si>
    <t>ORD26003858</t>
  </si>
  <si>
    <t>CUST92206</t>
  </si>
  <si>
    <t>ORD26003859</t>
  </si>
  <si>
    <t>CUST77073</t>
  </si>
  <si>
    <t>ORD26003860</t>
  </si>
  <si>
    <t>CUST12214</t>
  </si>
  <si>
    <t>ORD26003861</t>
  </si>
  <si>
    <t>CUST24257</t>
  </si>
  <si>
    <t>ORD26003862</t>
  </si>
  <si>
    <t>CUST21562</t>
  </si>
  <si>
    <t>ORD26003863</t>
  </si>
  <si>
    <t>CUST80781</t>
  </si>
  <si>
    <t>ORD26003864</t>
  </si>
  <si>
    <t>CUST27539</t>
  </si>
  <si>
    <t>ORD26003865</t>
  </si>
  <si>
    <t>CUST88117</t>
  </si>
  <si>
    <t>ORD26003866</t>
  </si>
  <si>
    <t>CUST73051</t>
  </si>
  <si>
    <t>ORD26003867</t>
  </si>
  <si>
    <t>CUST39347</t>
  </si>
  <si>
    <t>ORD26003868</t>
  </si>
  <si>
    <t>CUST69522</t>
  </si>
  <si>
    <t>ORD26003869</t>
  </si>
  <si>
    <t>CUST90502</t>
  </si>
  <si>
    <t>ORD26003870</t>
  </si>
  <si>
    <t>ORD26003871</t>
  </si>
  <si>
    <t>CUST23311</t>
  </si>
  <si>
    <t>ORD26003872</t>
  </si>
  <si>
    <t>CUST99305</t>
  </si>
  <si>
    <t>ORD26003873</t>
  </si>
  <si>
    <t>CUST90985</t>
  </si>
  <si>
    <t>ORD26003874</t>
  </si>
  <si>
    <t>CUST15860</t>
  </si>
  <si>
    <t>ORD26003875</t>
  </si>
  <si>
    <t>CUST18374</t>
  </si>
  <si>
    <t>ORD26003876</t>
  </si>
  <si>
    <t>CUST29973</t>
  </si>
  <si>
    <t>ORD26003877</t>
  </si>
  <si>
    <t>CUST68191</t>
  </si>
  <si>
    <t>ORD26003878</t>
  </si>
  <si>
    <t>CUST19784</t>
  </si>
  <si>
    <t>14297.0</t>
  </si>
  <si>
    <t>ORD26003879</t>
  </si>
  <si>
    <t>CUST28628</t>
  </si>
  <si>
    <t>ORD26003880</t>
  </si>
  <si>
    <t>CUST65882</t>
  </si>
  <si>
    <t>ORD26003881</t>
  </si>
  <si>
    <t>CUST48462</t>
  </si>
  <si>
    <t>ORD26003882</t>
  </si>
  <si>
    <t>CUST66003</t>
  </si>
  <si>
    <t>ORD26003883</t>
  </si>
  <si>
    <t>CUST90367</t>
  </si>
  <si>
    <t>ORD26003884</t>
  </si>
  <si>
    <t>CUST25600</t>
  </si>
  <si>
    <t>ORD26003885</t>
  </si>
  <si>
    <t>CUST97734</t>
  </si>
  <si>
    <t>ORD26003886</t>
  </si>
  <si>
    <t>CUST37312</t>
  </si>
  <si>
    <t>ORD26003887</t>
  </si>
  <si>
    <t>CUST96755</t>
  </si>
  <si>
    <t>ORD26003888</t>
  </si>
  <si>
    <t>CUST21858</t>
  </si>
  <si>
    <t>ORD26003889</t>
  </si>
  <si>
    <t>CUST80456</t>
  </si>
  <si>
    <t>ORD26003890</t>
  </si>
  <si>
    <t>CUST37171</t>
  </si>
  <si>
    <t>ORD26003891</t>
  </si>
  <si>
    <t>CUST26034</t>
  </si>
  <si>
    <t>ORD26003892</t>
  </si>
  <si>
    <t>CUST92196</t>
  </si>
  <si>
    <t>ORD26003893</t>
  </si>
  <si>
    <t>CUST11720</t>
  </si>
  <si>
    <t>ORD26003894</t>
  </si>
  <si>
    <t>CUST83995</t>
  </si>
  <si>
    <t>ORD26003895</t>
  </si>
  <si>
    <t>CUST45842</t>
  </si>
  <si>
    <t>9,147.00</t>
  </si>
  <si>
    <t>ORD26003896</t>
  </si>
  <si>
    <t>CUST73812</t>
  </si>
  <si>
    <t>ORD26003897</t>
  </si>
  <si>
    <t>CUST26433</t>
  </si>
  <si>
    <t>ORD26003898</t>
  </si>
  <si>
    <t>CUST36382</t>
  </si>
  <si>
    <t>ORD26003899</t>
  </si>
  <si>
    <t>ORD26003900</t>
  </si>
  <si>
    <t>CUST34721</t>
  </si>
  <si>
    <t>ORD26003901</t>
  </si>
  <si>
    <t>CUST64458</t>
  </si>
  <si>
    <t>ORD26003902</t>
  </si>
  <si>
    <t>CUST61662</t>
  </si>
  <si>
    <t>ORD26003903</t>
  </si>
  <si>
    <t>CUST26777</t>
  </si>
  <si>
    <t>ORD26003904</t>
  </si>
  <si>
    <t>CUST37362</t>
  </si>
  <si>
    <t>ORD26003905</t>
  </si>
  <si>
    <t>CUST12116</t>
  </si>
  <si>
    <t>ORD26003906</t>
  </si>
  <si>
    <t>CUST46186</t>
  </si>
  <si>
    <t>ORD26003907</t>
  </si>
  <si>
    <t>CUST42153</t>
  </si>
  <si>
    <t>ORD26003908</t>
  </si>
  <si>
    <t>CUST50261</t>
  </si>
  <si>
    <t>ORD26003909</t>
  </si>
  <si>
    <t>CUST74174</t>
  </si>
  <si>
    <t>ORD26003910</t>
  </si>
  <si>
    <t>CUST56753</t>
  </si>
  <si>
    <t>ORD26003911</t>
  </si>
  <si>
    <t>CUST93802</t>
  </si>
  <si>
    <t>ORD26003912</t>
  </si>
  <si>
    <t>CUST49142</t>
  </si>
  <si>
    <t>ORD26003913</t>
  </si>
  <si>
    <t>CUST81771</t>
  </si>
  <si>
    <t>ORD26003914</t>
  </si>
  <si>
    <t>CUST37300</t>
  </si>
  <si>
    <t>ORD26003915</t>
  </si>
  <si>
    <t>CUST73060</t>
  </si>
  <si>
    <t>ORD26003916</t>
  </si>
  <si>
    <t>CUST41614</t>
  </si>
  <si>
    <t>ORD26003917</t>
  </si>
  <si>
    <t>CUST20969</t>
  </si>
  <si>
    <t>ORD26003918</t>
  </si>
  <si>
    <t>CUST22162</t>
  </si>
  <si>
    <t>ORD26003919</t>
  </si>
  <si>
    <t>CUST51525</t>
  </si>
  <si>
    <t>ORD26003920</t>
  </si>
  <si>
    <t>CUST86436</t>
  </si>
  <si>
    <t>ORD26003921</t>
  </si>
  <si>
    <t>CUST22420</t>
  </si>
  <si>
    <t>ORD26003922</t>
  </si>
  <si>
    <t>CUST16763</t>
  </si>
  <si>
    <t>ORD26003923</t>
  </si>
  <si>
    <t>CUST37017</t>
  </si>
  <si>
    <t>ORD26003924</t>
  </si>
  <si>
    <t>CUST66771</t>
  </si>
  <si>
    <t>ORD26003925</t>
  </si>
  <si>
    <t>CUST73685</t>
  </si>
  <si>
    <t>ORD26003926</t>
  </si>
  <si>
    <t>CUST92688</t>
  </si>
  <si>
    <t>ORD26003927</t>
  </si>
  <si>
    <t>CUST16930</t>
  </si>
  <si>
    <t>ORD26003928</t>
  </si>
  <si>
    <t>ORD26003929</t>
  </si>
  <si>
    <t>CUST11603</t>
  </si>
  <si>
    <t>2147.0</t>
  </si>
  <si>
    <t>ORD26003930</t>
  </si>
  <si>
    <t>CUST75824</t>
  </si>
  <si>
    <t>ORD26003931</t>
  </si>
  <si>
    <t>CUST12472</t>
  </si>
  <si>
    <t>ORD26003932</t>
  </si>
  <si>
    <t>CUST47915</t>
  </si>
  <si>
    <t>ORD26003933</t>
  </si>
  <si>
    <t>CUST43566</t>
  </si>
  <si>
    <t>ORD26003934</t>
  </si>
  <si>
    <t>CUST62664</t>
  </si>
  <si>
    <t>ORD26003935</t>
  </si>
  <si>
    <t>CUST26872</t>
  </si>
  <si>
    <t>ORD26003936</t>
  </si>
  <si>
    <t>CUST40422</t>
  </si>
  <si>
    <t>ORD26003937</t>
  </si>
  <si>
    <t>CUST28328</t>
  </si>
  <si>
    <t>ORD26003938</t>
  </si>
  <si>
    <t>CUST37228</t>
  </si>
  <si>
    <t>ORD26003939</t>
  </si>
  <si>
    <t>CUST39861</t>
  </si>
  <si>
    <t>ORD26003940</t>
  </si>
  <si>
    <t>CUST38138</t>
  </si>
  <si>
    <t>ORD26003941</t>
  </si>
  <si>
    <t>CUST47133</t>
  </si>
  <si>
    <t>ORD26003942</t>
  </si>
  <si>
    <t>CUST49052</t>
  </si>
  <si>
    <t>ORD26003943</t>
  </si>
  <si>
    <t>CUST66367</t>
  </si>
  <si>
    <t>ORD26003944</t>
  </si>
  <si>
    <t>CUST86459</t>
  </si>
  <si>
    <t>ORD26003945</t>
  </si>
  <si>
    <t>CUST41785</t>
  </si>
  <si>
    <t>ORD26003946</t>
  </si>
  <si>
    <t>CUST71852</t>
  </si>
  <si>
    <t>ORD26003947</t>
  </si>
  <si>
    <t>CUST60285</t>
  </si>
  <si>
    <t>ORD26003948</t>
  </si>
  <si>
    <t>CUST61129</t>
  </si>
  <si>
    <t>ORD26003949</t>
  </si>
  <si>
    <t>CUST64598</t>
  </si>
  <si>
    <t>ORD26003950</t>
  </si>
  <si>
    <t>CUST38727</t>
  </si>
  <si>
    <t>ORD26003951</t>
  </si>
  <si>
    <t>CUST45493</t>
  </si>
  <si>
    <t>ORD26003952</t>
  </si>
  <si>
    <t>CUST63440</t>
  </si>
  <si>
    <t>ORD26003953</t>
  </si>
  <si>
    <t>CUST30197</t>
  </si>
  <si>
    <t>ORD26003954</t>
  </si>
  <si>
    <t>CUST23534</t>
  </si>
  <si>
    <t>ORD26003955</t>
  </si>
  <si>
    <t>CUST64833</t>
  </si>
  <si>
    <t>ORD26003956</t>
  </si>
  <si>
    <t>ORD26003957</t>
  </si>
  <si>
    <t>CUST85726</t>
  </si>
  <si>
    <t>ORD26003958</t>
  </si>
  <si>
    <t>CUST84122</t>
  </si>
  <si>
    <t>ORD26003959</t>
  </si>
  <si>
    <t>CUST96150</t>
  </si>
  <si>
    <t>ORD26003960</t>
  </si>
  <si>
    <t>CUST75548</t>
  </si>
  <si>
    <t>ORD26003961</t>
  </si>
  <si>
    <t>CUST21584</t>
  </si>
  <si>
    <t>ORD26003962</t>
  </si>
  <si>
    <t>CUST59747</t>
  </si>
  <si>
    <t>ORD26003963</t>
  </si>
  <si>
    <t>CUST45896</t>
  </si>
  <si>
    <t>ORD26003964</t>
  </si>
  <si>
    <t>CUST12503</t>
  </si>
  <si>
    <t>9,498.00</t>
  </si>
  <si>
    <t>ORD26003965</t>
  </si>
  <si>
    <t>CUST25443</t>
  </si>
  <si>
    <t>ORD26003966</t>
  </si>
  <si>
    <t>CUST49039</t>
  </si>
  <si>
    <t>ORD26003967</t>
  </si>
  <si>
    <t>CUST85779</t>
  </si>
  <si>
    <t>ORD26003968</t>
  </si>
  <si>
    <t>CUST35068</t>
  </si>
  <si>
    <t>ORD26003969</t>
  </si>
  <si>
    <t>CUST87153</t>
  </si>
  <si>
    <t>ORD26003970</t>
  </si>
  <si>
    <t>CUST97155</t>
  </si>
  <si>
    <t>ORD26003971</t>
  </si>
  <si>
    <t>CUST60235</t>
  </si>
  <si>
    <t>ORD26003972</t>
  </si>
  <si>
    <t>CUST13352</t>
  </si>
  <si>
    <t>ORD26003973</t>
  </si>
  <si>
    <t>CUST14307</t>
  </si>
  <si>
    <t>ORD26003974</t>
  </si>
  <si>
    <t>CUST13609</t>
  </si>
  <si>
    <t>ORD26003975</t>
  </si>
  <si>
    <t>CUST20656</t>
  </si>
  <si>
    <t>ORD26003976</t>
  </si>
  <si>
    <t>CUST97278</t>
  </si>
  <si>
    <t>ORD26003977</t>
  </si>
  <si>
    <t>CUST79924</t>
  </si>
  <si>
    <t>ORD26003978</t>
  </si>
  <si>
    <t>CUST44773</t>
  </si>
  <si>
    <t>ORD26003979</t>
  </si>
  <si>
    <t>CUST38378</t>
  </si>
  <si>
    <t>ORD26003980</t>
  </si>
  <si>
    <t>CUST47083</t>
  </si>
  <si>
    <t>ORD26003981</t>
  </si>
  <si>
    <t>CUST50835</t>
  </si>
  <si>
    <t>ORD26003982</t>
  </si>
  <si>
    <t>CUST64687</t>
  </si>
  <si>
    <t>ORD26003983</t>
  </si>
  <si>
    <t>CUST19483</t>
  </si>
  <si>
    <t>ORD26003984</t>
  </si>
  <si>
    <t>CUST36289</t>
  </si>
  <si>
    <t>ORD26003985</t>
  </si>
  <si>
    <t>CUST17853</t>
  </si>
  <si>
    <t>ORD26003986</t>
  </si>
  <si>
    <t>CUST84117</t>
  </si>
  <si>
    <t>ORD26003987</t>
  </si>
  <si>
    <t>CUST20464</t>
  </si>
  <si>
    <t>ORD26003988</t>
  </si>
  <si>
    <t>CUST74947</t>
  </si>
  <si>
    <t>ORD26003989</t>
  </si>
  <si>
    <t>CUST50558</t>
  </si>
  <si>
    <t>ORD26003990</t>
  </si>
  <si>
    <t>CUST78256</t>
  </si>
  <si>
    <t>ORD26003991</t>
  </si>
  <si>
    <t>CUST70211</t>
  </si>
  <si>
    <t>ORD26003992</t>
  </si>
  <si>
    <t>CUST89635</t>
  </si>
  <si>
    <t>ORD26003993</t>
  </si>
  <si>
    <t>CUST66190</t>
  </si>
  <si>
    <t>ORD26003994</t>
  </si>
  <si>
    <t>CUST14916</t>
  </si>
  <si>
    <t>ORD26003995</t>
  </si>
  <si>
    <t>CUST85706</t>
  </si>
  <si>
    <t>ORD26003996</t>
  </si>
  <si>
    <t>CUST16276</t>
  </si>
  <si>
    <t>ORD26003997</t>
  </si>
  <si>
    <t>CUST16736</t>
  </si>
  <si>
    <t>ORD26003998</t>
  </si>
  <si>
    <t>CUST43196</t>
  </si>
  <si>
    <t>ORD26003999</t>
  </si>
  <si>
    <t>CUST50879</t>
  </si>
  <si>
    <t>ORD26004000</t>
  </si>
  <si>
    <t>ORD26004001</t>
  </si>
  <si>
    <t>CUST57040</t>
  </si>
  <si>
    <t>ORD26004002</t>
  </si>
  <si>
    <t>CUST38954</t>
  </si>
  <si>
    <t>ORD26004003</t>
  </si>
  <si>
    <t>CUST54660</t>
  </si>
  <si>
    <t>ORD26004004</t>
  </si>
  <si>
    <t>CUST57718</t>
  </si>
  <si>
    <t>ORD26004005</t>
  </si>
  <si>
    <t>ORD26004006</t>
  </si>
  <si>
    <t>CUST58097</t>
  </si>
  <si>
    <t>ORD26004007</t>
  </si>
  <si>
    <t>CUST20879</t>
  </si>
  <si>
    <t>ORD26004008</t>
  </si>
  <si>
    <t>CUST59554</t>
  </si>
  <si>
    <t>ORD26004009</t>
  </si>
  <si>
    <t>CUST77102</t>
  </si>
  <si>
    <t>ORD26004010</t>
  </si>
  <si>
    <t>CUST63982</t>
  </si>
  <si>
    <t>ORD26004011</t>
  </si>
  <si>
    <t>CUST23145</t>
  </si>
  <si>
    <t>ORD26004012</t>
  </si>
  <si>
    <t>CUST75732</t>
  </si>
  <si>
    <t>ORD26004013</t>
  </si>
  <si>
    <t>CUST40063</t>
  </si>
  <si>
    <t>ORD26004014</t>
  </si>
  <si>
    <t>CUST11726</t>
  </si>
  <si>
    <t>ORD26004015</t>
  </si>
  <si>
    <t>CUST89429</t>
  </si>
  <si>
    <t>ORD26004016</t>
  </si>
  <si>
    <t>CUST82645</t>
  </si>
  <si>
    <t>ORD26004017</t>
  </si>
  <si>
    <t>CUST23340</t>
  </si>
  <si>
    <t>ORD26004018</t>
  </si>
  <si>
    <t>CUST51211</t>
  </si>
  <si>
    <t>ORD26004019</t>
  </si>
  <si>
    <t>CUST27203</t>
  </si>
  <si>
    <t>ORD26004020</t>
  </si>
  <si>
    <t>CUST57105</t>
  </si>
  <si>
    <t>ORD26004021</t>
  </si>
  <si>
    <t>CUST13828</t>
  </si>
  <si>
    <t>ORD26004022</t>
  </si>
  <si>
    <t>CUST23412</t>
  </si>
  <si>
    <t>ORD26004023</t>
  </si>
  <si>
    <t>CUST26547</t>
  </si>
  <si>
    <t>2,397.00</t>
  </si>
  <si>
    <t>ORD26004024</t>
  </si>
  <si>
    <t>CUST63738</t>
  </si>
  <si>
    <t>ORD26004025</t>
  </si>
  <si>
    <t>CUST76838</t>
  </si>
  <si>
    <t>ORD26004026</t>
  </si>
  <si>
    <t>CUST75237</t>
  </si>
  <si>
    <t>ORD26004027</t>
  </si>
  <si>
    <t>ORD26004028</t>
  </si>
  <si>
    <t>CUST68278</t>
  </si>
  <si>
    <t>ORD26004029</t>
  </si>
  <si>
    <t>CUST11801</t>
  </si>
  <si>
    <t>ORD26004030</t>
  </si>
  <si>
    <t>CUST74616</t>
  </si>
  <si>
    <t>ORD26004031</t>
  </si>
  <si>
    <t>CUST46471</t>
  </si>
  <si>
    <t>ORD26004032</t>
  </si>
  <si>
    <t>CUST93575</t>
  </si>
  <si>
    <t>ORD26004033</t>
  </si>
  <si>
    <t>CUST81201</t>
  </si>
  <si>
    <t>ORD26004034</t>
  </si>
  <si>
    <t>CUST70253</t>
  </si>
  <si>
    <t>ORD26004035</t>
  </si>
  <si>
    <t>CUST20878</t>
  </si>
  <si>
    <t>ORD26004036</t>
  </si>
  <si>
    <t>CUST64821</t>
  </si>
  <si>
    <t>ORD26004037</t>
  </si>
  <si>
    <t>CUST56886</t>
  </si>
  <si>
    <t>ORD26004038</t>
  </si>
  <si>
    <t>ORD26004039</t>
  </si>
  <si>
    <t>CUST45304</t>
  </si>
  <si>
    <t>ORD26004040</t>
  </si>
  <si>
    <t>CUST11199</t>
  </si>
  <si>
    <t>ORD26004041</t>
  </si>
  <si>
    <t>CUST37864</t>
  </si>
  <si>
    <t>ORD26004042</t>
  </si>
  <si>
    <t>CUST26517</t>
  </si>
  <si>
    <t>ORD26004043</t>
  </si>
  <si>
    <t>CUST24157</t>
  </si>
  <si>
    <t>ORD26004044</t>
  </si>
  <si>
    <t>CUST86671</t>
  </si>
  <si>
    <t>ORD26004045</t>
  </si>
  <si>
    <t>CUST11959</t>
  </si>
  <si>
    <t>ORD26004046</t>
  </si>
  <si>
    <t>CUST37904</t>
  </si>
  <si>
    <t>ORD26004047</t>
  </si>
  <si>
    <t>CUST48157</t>
  </si>
  <si>
    <t>ORD26004048</t>
  </si>
  <si>
    <t>CUST28258</t>
  </si>
  <si>
    <t>ORD26004049</t>
  </si>
  <si>
    <t>CUST28326</t>
  </si>
  <si>
    <t>ORD26004050</t>
  </si>
  <si>
    <t>CUST30700</t>
  </si>
  <si>
    <t>ORD26004051</t>
  </si>
  <si>
    <t>CUST13465</t>
  </si>
  <si>
    <t>ORD26004052</t>
  </si>
  <si>
    <t>CUST25626</t>
  </si>
  <si>
    <t>ORD26004053</t>
  </si>
  <si>
    <t>CUST89183</t>
  </si>
  <si>
    <t>ORD26004054</t>
  </si>
  <si>
    <t>CUST56524</t>
  </si>
  <si>
    <t>ORD26004055</t>
  </si>
  <si>
    <t>ORD26004056</t>
  </si>
  <si>
    <t>CUST22480</t>
  </si>
  <si>
    <t>ORD26004057</t>
  </si>
  <si>
    <t>CUST58977</t>
  </si>
  <si>
    <t>ORD26004058</t>
  </si>
  <si>
    <t>CUST17619</t>
  </si>
  <si>
    <t>ORD26004059</t>
  </si>
  <si>
    <t>CUST34144</t>
  </si>
  <si>
    <t>ORD26004060</t>
  </si>
  <si>
    <t>CUST58295</t>
  </si>
  <si>
    <t>ORD26004061</t>
  </si>
  <si>
    <t>CUST91480</t>
  </si>
  <si>
    <t>ORD26004062</t>
  </si>
  <si>
    <t>CUST38468</t>
  </si>
  <si>
    <t>ORD26004063</t>
  </si>
  <si>
    <t>CUST71436</t>
  </si>
  <si>
    <t>ORD26004064</t>
  </si>
  <si>
    <t>CUST67814</t>
  </si>
  <si>
    <t>ORD26004065</t>
  </si>
  <si>
    <t>CUST90601</t>
  </si>
  <si>
    <t>ORD26004066</t>
  </si>
  <si>
    <t>CUST23685</t>
  </si>
  <si>
    <t>ORD26004067</t>
  </si>
  <si>
    <t>CUST54562</t>
  </si>
  <si>
    <t>ORD26004068</t>
  </si>
  <si>
    <t>CUST64799</t>
  </si>
  <si>
    <t>ORD26004069</t>
  </si>
  <si>
    <t>CUST94935</t>
  </si>
  <si>
    <t>ORD26004070</t>
  </si>
  <si>
    <t>CUST91913</t>
  </si>
  <si>
    <t>ORD26004071</t>
  </si>
  <si>
    <t>CUST72712</t>
  </si>
  <si>
    <t>ORD26004072</t>
  </si>
  <si>
    <t>CUST66043</t>
  </si>
  <si>
    <t>ORD26004073</t>
  </si>
  <si>
    <t>CUST26135</t>
  </si>
  <si>
    <t>ORD26004074</t>
  </si>
  <si>
    <t>CUST93330</t>
  </si>
  <si>
    <t>ORD26004075</t>
  </si>
  <si>
    <t>CUST75271</t>
  </si>
  <si>
    <t>ORD26004076</t>
  </si>
  <si>
    <t>CUST12827</t>
  </si>
  <si>
    <t>ORD26004077</t>
  </si>
  <si>
    <t>CUST84684</t>
  </si>
  <si>
    <t>ORD26004078</t>
  </si>
  <si>
    <t>ORD26004079</t>
  </si>
  <si>
    <t>CUST59820</t>
  </si>
  <si>
    <t>ORD26004080</t>
  </si>
  <si>
    <t>CUST80172</t>
  </si>
  <si>
    <t>ORD26004081</t>
  </si>
  <si>
    <t>CUST64097</t>
  </si>
  <si>
    <t>ORD26004082</t>
  </si>
  <si>
    <t>CUST28279</t>
  </si>
  <si>
    <t>ORD26004083</t>
  </si>
  <si>
    <t>CUST60834</t>
  </si>
  <si>
    <t>ORD26004084</t>
  </si>
  <si>
    <t>CUST38878</t>
  </si>
  <si>
    <t>ORD26004085</t>
  </si>
  <si>
    <t>CUST55275</t>
  </si>
  <si>
    <t>ORD26004086</t>
  </si>
  <si>
    <t>CUST61413</t>
  </si>
  <si>
    <t>ORD26004087</t>
  </si>
  <si>
    <t>CUST67840</t>
  </si>
  <si>
    <t>ORD26004088</t>
  </si>
  <si>
    <t>CUST85727</t>
  </si>
  <si>
    <t>ORD26004089</t>
  </si>
  <si>
    <t>CUST91982</t>
  </si>
  <si>
    <t>ORD26004090</t>
  </si>
  <si>
    <t>CUST64893</t>
  </si>
  <si>
    <t>ORD26004091</t>
  </si>
  <si>
    <t>CUST17108</t>
  </si>
  <si>
    <t>ORD26004092</t>
  </si>
  <si>
    <t>CUST74512</t>
  </si>
  <si>
    <t>ORD26004093</t>
  </si>
  <si>
    <t>CUST67783</t>
  </si>
  <si>
    <t>ORD26004094</t>
  </si>
  <si>
    <t>CUST28151</t>
  </si>
  <si>
    <t>ORD26004095</t>
  </si>
  <si>
    <t>ORD26004096</t>
  </si>
  <si>
    <t>ORD26004097</t>
  </si>
  <si>
    <t>CUST55205</t>
  </si>
  <si>
    <t>ORD26004098</t>
  </si>
  <si>
    <t>CUST78124</t>
  </si>
  <si>
    <t>ORD26004099</t>
  </si>
  <si>
    <t>CUST79428</t>
  </si>
  <si>
    <t>ORD26004100</t>
  </si>
  <si>
    <t>CUST28876</t>
  </si>
  <si>
    <t>ORD26004101</t>
  </si>
  <si>
    <t>CUST84368</t>
  </si>
  <si>
    <t>ORD26004102</t>
  </si>
  <si>
    <t>CUST68362</t>
  </si>
  <si>
    <t>ORD26004103</t>
  </si>
  <si>
    <t>CUST78186</t>
  </si>
  <si>
    <t>ORD26004104</t>
  </si>
  <si>
    <t>CUST29863</t>
  </si>
  <si>
    <t>ORD26004105</t>
  </si>
  <si>
    <t>CUST45182</t>
  </si>
  <si>
    <t>ORD26004106</t>
  </si>
  <si>
    <t>CUST36816</t>
  </si>
  <si>
    <t>ORD26004107</t>
  </si>
  <si>
    <t>CUST76782</t>
  </si>
  <si>
    <t>ORD26004108</t>
  </si>
  <si>
    <t>CUST21245</t>
  </si>
  <si>
    <t>ORD26004109</t>
  </si>
  <si>
    <t>CUST89506</t>
  </si>
  <si>
    <t>ORD26004110</t>
  </si>
  <si>
    <t>CUST64959</t>
  </si>
  <si>
    <t>ORD26004111</t>
  </si>
  <si>
    <t>CUST91478</t>
  </si>
  <si>
    <t>8647.0</t>
  </si>
  <si>
    <t>ORD26004112</t>
  </si>
  <si>
    <t>CUST95601</t>
  </si>
  <si>
    <t>ORD26004113</t>
  </si>
  <si>
    <t>CUST55217</t>
  </si>
  <si>
    <t>ORD26004114</t>
  </si>
  <si>
    <t>CUST78671</t>
  </si>
  <si>
    <t>ORD26004115</t>
  </si>
  <si>
    <t>CUST18930</t>
  </si>
  <si>
    <t>ORD26004116</t>
  </si>
  <si>
    <t>CUST60457</t>
  </si>
  <si>
    <t>ORD26004117</t>
  </si>
  <si>
    <t>CUST78477</t>
  </si>
  <si>
    <t>ORD26004118</t>
  </si>
  <si>
    <t>CUST56171</t>
  </si>
  <si>
    <t>ORD26004119</t>
  </si>
  <si>
    <t>CUST62863</t>
  </si>
  <si>
    <t>ORD26004120</t>
  </si>
  <si>
    <t>ORD26004121</t>
  </si>
  <si>
    <t>CUST30285</t>
  </si>
  <si>
    <t>ORD26004122</t>
  </si>
  <si>
    <t>CUST36765</t>
  </si>
  <si>
    <t>ORD26004123</t>
  </si>
  <si>
    <t>CUST61021</t>
  </si>
  <si>
    <t>ORD26004124</t>
  </si>
  <si>
    <t>CUST60512</t>
  </si>
  <si>
    <t>ORD26004125</t>
  </si>
  <si>
    <t>CUST30949</t>
  </si>
  <si>
    <t>ORD26004126</t>
  </si>
  <si>
    <t>CUST53625</t>
  </si>
  <si>
    <t>ORD26004127</t>
  </si>
  <si>
    <t>CUST18778</t>
  </si>
  <si>
    <t>ORD26004128</t>
  </si>
  <si>
    <t>CUST42363</t>
  </si>
  <si>
    <t>ORD26004129</t>
  </si>
  <si>
    <t>CUST76739</t>
  </si>
  <si>
    <t>ORD26004130</t>
  </si>
  <si>
    <t>CUST71358</t>
  </si>
  <si>
    <t>ORD26004131</t>
  </si>
  <si>
    <t>CUST45085</t>
  </si>
  <si>
    <t>ORD26004132</t>
  </si>
  <si>
    <t>CUST36528</t>
  </si>
  <si>
    <t>ORD26004133</t>
  </si>
  <si>
    <t>ORD26004134</t>
  </si>
  <si>
    <t>CUST43429</t>
  </si>
  <si>
    <t>ORD26004135</t>
  </si>
  <si>
    <t>CUST26486</t>
  </si>
  <si>
    <t>ORD26004136</t>
  </si>
  <si>
    <t>CUST81351</t>
  </si>
  <si>
    <t>ORD26004137</t>
  </si>
  <si>
    <t>CUST71853</t>
  </si>
  <si>
    <t>ORD26004138</t>
  </si>
  <si>
    <t>CUST82819</t>
  </si>
  <si>
    <t>ORD26004139</t>
  </si>
  <si>
    <t>CUST25198</t>
  </si>
  <si>
    <t>ORD26004140</t>
  </si>
  <si>
    <t>CUST73010</t>
  </si>
  <si>
    <t>ORD26004141</t>
  </si>
  <si>
    <t>CUST68010</t>
  </si>
  <si>
    <t>ORD26004142</t>
  </si>
  <si>
    <t>CUST46524</t>
  </si>
  <si>
    <t>ORD26004143</t>
  </si>
  <si>
    <t>CUST98841</t>
  </si>
  <si>
    <t>ORD26004144</t>
  </si>
  <si>
    <t>CUST71558</t>
  </si>
  <si>
    <t>ORD26004145</t>
  </si>
  <si>
    <t>CUST25769</t>
  </si>
  <si>
    <t>ORD26004146</t>
  </si>
  <si>
    <t>CUST55857</t>
  </si>
  <si>
    <t>ORD26004147</t>
  </si>
  <si>
    <t>CUST99294</t>
  </si>
  <si>
    <t>ORD26004148</t>
  </si>
  <si>
    <t>CUST12289</t>
  </si>
  <si>
    <t>ORD26004149</t>
  </si>
  <si>
    <t>CUST46903</t>
  </si>
  <si>
    <t>ORD26004150</t>
  </si>
  <si>
    <t>CUST91807</t>
  </si>
  <si>
    <t>ORD26004151</t>
  </si>
  <si>
    <t>CUST43865</t>
  </si>
  <si>
    <t>ORD26004152</t>
  </si>
  <si>
    <t>ORD26004153</t>
  </si>
  <si>
    <t>CUST93956</t>
  </si>
  <si>
    <t>ORD26004154</t>
  </si>
  <si>
    <t>CUST15748</t>
  </si>
  <si>
    <t>ORD26004155</t>
  </si>
  <si>
    <t>CUST27635</t>
  </si>
  <si>
    <t>ORD26004156</t>
  </si>
  <si>
    <t>ORD26004157</t>
  </si>
  <si>
    <t>CUST51765</t>
  </si>
  <si>
    <t>ORD26004158</t>
  </si>
  <si>
    <t>CUST88659</t>
  </si>
  <si>
    <t>ORD26004159</t>
  </si>
  <si>
    <t>CUST43049</t>
  </si>
  <si>
    <t>ORD26004160</t>
  </si>
  <si>
    <t>CUST41465</t>
  </si>
  <si>
    <t>ORD26004161</t>
  </si>
  <si>
    <t>CUST28180</t>
  </si>
  <si>
    <t>ORD26004162</t>
  </si>
  <si>
    <t>CUST61491</t>
  </si>
  <si>
    <t>ORD26004163</t>
  </si>
  <si>
    <t>CUST75281</t>
  </si>
  <si>
    <t>ORD26004164</t>
  </si>
  <si>
    <t>CUST98513</t>
  </si>
  <si>
    <t>ORD26004165</t>
  </si>
  <si>
    <t>ORD26004166</t>
  </si>
  <si>
    <t>CUST46674</t>
  </si>
  <si>
    <t>ORD26004167</t>
  </si>
  <si>
    <t>ORD26004168</t>
  </si>
  <si>
    <t>CUST40732</t>
  </si>
  <si>
    <t>ORD26004169</t>
  </si>
  <si>
    <t>CUST36315</t>
  </si>
  <si>
    <t>ORD26004170</t>
  </si>
  <si>
    <t>CUST78986</t>
  </si>
  <si>
    <t>ORD26004171</t>
  </si>
  <si>
    <t>CUST10465</t>
  </si>
  <si>
    <t>ORD26004172</t>
  </si>
  <si>
    <t>CUST40230</t>
  </si>
  <si>
    <t>ORD26004173</t>
  </si>
  <si>
    <t>CUST88661</t>
  </si>
  <si>
    <t>ORD26004174</t>
  </si>
  <si>
    <t>CUST38917</t>
  </si>
  <si>
    <t>ORD26004175</t>
  </si>
  <si>
    <t>CUST79964</t>
  </si>
  <si>
    <t>ORD26004176</t>
  </si>
  <si>
    <t>CUST66241</t>
  </si>
  <si>
    <t>ORD26004177</t>
  </si>
  <si>
    <t>CUST49727</t>
  </si>
  <si>
    <t>ORD26004178</t>
  </si>
  <si>
    <t>CUST38873</t>
  </si>
  <si>
    <t>ORD26004179</t>
  </si>
  <si>
    <t>CUST37799</t>
  </si>
  <si>
    <t>ORD26004180</t>
  </si>
  <si>
    <t>CUST91098</t>
  </si>
  <si>
    <t>ORD26004181</t>
  </si>
  <si>
    <t>CUST50425</t>
  </si>
  <si>
    <t>ORD26004182</t>
  </si>
  <si>
    <t>CUST56658</t>
  </si>
  <si>
    <t>ORD26004183</t>
  </si>
  <si>
    <t>CUST22883</t>
  </si>
  <si>
    <t>6647.0</t>
  </si>
  <si>
    <t>ORD26004184</t>
  </si>
  <si>
    <t>CUST81131</t>
  </si>
  <si>
    <t>ORD26004185</t>
  </si>
  <si>
    <t>CUST97394</t>
  </si>
  <si>
    <t>ORD26004186</t>
  </si>
  <si>
    <t>CUST93870</t>
  </si>
  <si>
    <t>ORD26004187</t>
  </si>
  <si>
    <t>CUST67013</t>
  </si>
  <si>
    <t>ORD26004188</t>
  </si>
  <si>
    <t>CUST94355</t>
  </si>
  <si>
    <t>ORD26004189</t>
  </si>
  <si>
    <t>CUST93994</t>
  </si>
  <si>
    <t>ORD26004190</t>
  </si>
  <si>
    <t>CUST41698</t>
  </si>
  <si>
    <t>ORD26004191</t>
  </si>
  <si>
    <t>CUST72950</t>
  </si>
  <si>
    <t>ORD26004192</t>
  </si>
  <si>
    <t>CUST13268</t>
  </si>
  <si>
    <t>ORD26004193</t>
  </si>
  <si>
    <t>CUST13229</t>
  </si>
  <si>
    <t>ORD26004194</t>
  </si>
  <si>
    <t>CUST67778</t>
  </si>
  <si>
    <t>ORD26004195</t>
  </si>
  <si>
    <t>CUST19171</t>
  </si>
  <si>
    <t>ORD26004196</t>
  </si>
  <si>
    <t>CUST80042</t>
  </si>
  <si>
    <t>ORD26004197</t>
  </si>
  <si>
    <t>CUST78889</t>
  </si>
  <si>
    <t>ORD26004198</t>
  </si>
  <si>
    <t>CUST10571</t>
  </si>
  <si>
    <t>ORD26004199</t>
  </si>
  <si>
    <t>CUST78531</t>
  </si>
  <si>
    <t>ORD26004200</t>
  </si>
  <si>
    <t>CUST40528</t>
  </si>
  <si>
    <t>ORD26004201</t>
  </si>
  <si>
    <t>CUST29651</t>
  </si>
  <si>
    <t>ORD26004202</t>
  </si>
  <si>
    <t>CUST91993</t>
  </si>
  <si>
    <t>ORD26004203</t>
  </si>
  <si>
    <t>CUST62625</t>
  </si>
  <si>
    <t>ORD26004204</t>
  </si>
  <si>
    <t>CUST63487</t>
  </si>
  <si>
    <t>ORD26004205</t>
  </si>
  <si>
    <t>CUST15485</t>
  </si>
  <si>
    <t>ORD26004206</t>
  </si>
  <si>
    <t>CUST44298</t>
  </si>
  <si>
    <t>ORD26004207</t>
  </si>
  <si>
    <t>CUST85263</t>
  </si>
  <si>
    <t>ORD26004208</t>
  </si>
  <si>
    <t>CUST47785</t>
  </si>
  <si>
    <t>ORD26004209</t>
  </si>
  <si>
    <t>CUST94148</t>
  </si>
  <si>
    <t>ORD26004210</t>
  </si>
  <si>
    <t>CUST75016</t>
  </si>
  <si>
    <t>ORD26004211</t>
  </si>
  <si>
    <t>CUST49836</t>
  </si>
  <si>
    <t>ORD26004212</t>
  </si>
  <si>
    <t>CUST59914</t>
  </si>
  <si>
    <t>ORD26004213</t>
  </si>
  <si>
    <t>CUST77385</t>
  </si>
  <si>
    <t>ORD26004214</t>
  </si>
  <si>
    <t>CUST39968</t>
  </si>
  <si>
    <t>ORD26004215</t>
  </si>
  <si>
    <t>CUST74818</t>
  </si>
  <si>
    <t>ORD26004216</t>
  </si>
  <si>
    <t>ORD26004217</t>
  </si>
  <si>
    <t>CUST89816</t>
  </si>
  <si>
    <t>ORD26004218</t>
  </si>
  <si>
    <t>CUST89964</t>
  </si>
  <si>
    <t>ORD26004219</t>
  </si>
  <si>
    <t>CUST66442</t>
  </si>
  <si>
    <t>ORD26004220</t>
  </si>
  <si>
    <t>CUST50055</t>
  </si>
  <si>
    <t>ORD26004221</t>
  </si>
  <si>
    <t>CUST32920</t>
  </si>
  <si>
    <t>ORD26004222</t>
  </si>
  <si>
    <t>CUST70015</t>
  </si>
  <si>
    <t>ORD26004223</t>
  </si>
  <si>
    <t>CUST15987</t>
  </si>
  <si>
    <t>ORD26004224</t>
  </si>
  <si>
    <t>CUST87370</t>
  </si>
  <si>
    <t>ORD26004225</t>
  </si>
  <si>
    <t>CUST41678</t>
  </si>
  <si>
    <t>ORD26004226</t>
  </si>
  <si>
    <t>CUST56027</t>
  </si>
  <si>
    <t>ORD26004227</t>
  </si>
  <si>
    <t>CUST10637</t>
  </si>
  <si>
    <t>ORD26004228</t>
  </si>
  <si>
    <t>CUST50848</t>
  </si>
  <si>
    <t>ORD26004229</t>
  </si>
  <si>
    <t>CUST44710</t>
  </si>
  <si>
    <t>ORD26004230</t>
  </si>
  <si>
    <t>CUST53333</t>
  </si>
  <si>
    <t>ORD26004231</t>
  </si>
  <si>
    <t>CUST85511</t>
  </si>
  <si>
    <t>ORD26004232</t>
  </si>
  <si>
    <t>CUST44628</t>
  </si>
  <si>
    <t>ORD26004233</t>
  </si>
  <si>
    <t>CUST97534</t>
  </si>
  <si>
    <t>ORD26004234</t>
  </si>
  <si>
    <t>CUST82614</t>
  </si>
  <si>
    <t>ORD26004235</t>
  </si>
  <si>
    <t>CUST66543</t>
  </si>
  <si>
    <t>ORD26004236</t>
  </si>
  <si>
    <t>CUST22290</t>
  </si>
  <si>
    <t>ORD26004237</t>
  </si>
  <si>
    <t>CUST38825</t>
  </si>
  <si>
    <t>ORD26004238</t>
  </si>
  <si>
    <t>CUST81279</t>
  </si>
  <si>
    <t>ORD26004239</t>
  </si>
  <si>
    <t>CUST28402</t>
  </si>
  <si>
    <t>ORD26004240</t>
  </si>
  <si>
    <t>ORD26004241</t>
  </si>
  <si>
    <t>CUST43756</t>
  </si>
  <si>
    <t>ORD26004242</t>
  </si>
  <si>
    <t>CUST87221</t>
  </si>
  <si>
    <t>ORD26004243</t>
  </si>
  <si>
    <t>ORD26004244</t>
  </si>
  <si>
    <t>CUST67124</t>
  </si>
  <si>
    <t>ORD26004245</t>
  </si>
  <si>
    <t>CUST90680</t>
  </si>
  <si>
    <t>ORD26004246</t>
  </si>
  <si>
    <t>CUST64889</t>
  </si>
  <si>
    <t>ORD26004247</t>
  </si>
  <si>
    <t>CUST40035</t>
  </si>
  <si>
    <t>ORD26004248</t>
  </si>
  <si>
    <t>CUST21855</t>
  </si>
  <si>
    <t>ORD26004249</t>
  </si>
  <si>
    <t>CUST41757</t>
  </si>
  <si>
    <t>ORD26004250</t>
  </si>
  <si>
    <t>CUST33029</t>
  </si>
  <si>
    <t>ORD26004251</t>
  </si>
  <si>
    <t>CUST58638</t>
  </si>
  <si>
    <t>ORD26004252</t>
  </si>
  <si>
    <t>CUST53415</t>
  </si>
  <si>
    <t>ORD26004253</t>
  </si>
  <si>
    <t>CUST21151</t>
  </si>
  <si>
    <t>ORD26004254</t>
  </si>
  <si>
    <t>CUST58825</t>
  </si>
  <si>
    <t>ORD26004255</t>
  </si>
  <si>
    <t>CUST97093</t>
  </si>
  <si>
    <t>ORD26004256</t>
  </si>
  <si>
    <t>CUST63477</t>
  </si>
  <si>
    <t>ORD26004257</t>
  </si>
  <si>
    <t>CUST61095</t>
  </si>
  <si>
    <t>ORD26004258</t>
  </si>
  <si>
    <t>CUST24620</t>
  </si>
  <si>
    <t>ORD26004259</t>
  </si>
  <si>
    <t>CUST39961</t>
  </si>
  <si>
    <t>ORD26004260</t>
  </si>
  <si>
    <t>CUST84344</t>
  </si>
  <si>
    <t>ORD26004261</t>
  </si>
  <si>
    <t>CUST73444</t>
  </si>
  <si>
    <t>ORD26004262</t>
  </si>
  <si>
    <t>CUST69142</t>
  </si>
  <si>
    <t>ORD26004263</t>
  </si>
  <si>
    <t>CUST91100</t>
  </si>
  <si>
    <t>ORD26004264</t>
  </si>
  <si>
    <t>CUST11356</t>
  </si>
  <si>
    <t>ORD26004265</t>
  </si>
  <si>
    <t>CUST78254</t>
  </si>
  <si>
    <t>ORD26004266</t>
  </si>
  <si>
    <t>CUST50590</t>
  </si>
  <si>
    <t>ORD26004267</t>
  </si>
  <si>
    <t>CUST69321</t>
  </si>
  <si>
    <t>ORD26004268</t>
  </si>
  <si>
    <t>CUST89244</t>
  </si>
  <si>
    <t>ORD26004269</t>
  </si>
  <si>
    <t>CUST91976</t>
  </si>
  <si>
    <t>ORD26004270</t>
  </si>
  <si>
    <t>CUST22616</t>
  </si>
  <si>
    <t>ORD26004271</t>
  </si>
  <si>
    <t>CUST32612</t>
  </si>
  <si>
    <t>ORD26004272</t>
  </si>
  <si>
    <t>CUST17878</t>
  </si>
  <si>
    <t>ORD26004273</t>
  </si>
  <si>
    <t>ORD26004274</t>
  </si>
  <si>
    <t>CUST82112</t>
  </si>
  <si>
    <t>ORD26004275</t>
  </si>
  <si>
    <t>CUST93515</t>
  </si>
  <si>
    <t>8347.0</t>
  </si>
  <si>
    <t>ORD26004276</t>
  </si>
  <si>
    <t>CUST97499</t>
  </si>
  <si>
    <t>ORD26004277</t>
  </si>
  <si>
    <t>CUST76883</t>
  </si>
  <si>
    <t>ORD26004278</t>
  </si>
  <si>
    <t>CUST16051</t>
  </si>
  <si>
    <t>ORD26004279</t>
  </si>
  <si>
    <t>CUST23070</t>
  </si>
  <si>
    <t>ORD26004280</t>
  </si>
  <si>
    <t>CUST83482</t>
  </si>
  <si>
    <t>ORD26004281</t>
  </si>
  <si>
    <t>CUST89515</t>
  </si>
  <si>
    <t>ORD26004282</t>
  </si>
  <si>
    <t>CUST20607</t>
  </si>
  <si>
    <t>ORD26004283</t>
  </si>
  <si>
    <t>CUST49837</t>
  </si>
  <si>
    <t>ORD26004284</t>
  </si>
  <si>
    <t>CUST61829</t>
  </si>
  <si>
    <t>ORD26004285</t>
  </si>
  <si>
    <t>CUST75341</t>
  </si>
  <si>
    <t>ORD26004286</t>
  </si>
  <si>
    <t>CUST98569</t>
  </si>
  <si>
    <t>ORD26004287</t>
  </si>
  <si>
    <t>CUST56448</t>
  </si>
  <si>
    <t>ORD26004288</t>
  </si>
  <si>
    <t>CUST67752</t>
  </si>
  <si>
    <t>ORD26004289</t>
  </si>
  <si>
    <t>CUST22903</t>
  </si>
  <si>
    <t>ORD26004290</t>
  </si>
  <si>
    <t>CUST31741</t>
  </si>
  <si>
    <t>ORD26004291</t>
  </si>
  <si>
    <t>CUST19023</t>
  </si>
  <si>
    <t>ORD26004292</t>
  </si>
  <si>
    <t>CUST38627</t>
  </si>
  <si>
    <t>ORD26004293</t>
  </si>
  <si>
    <t>CUST99679</t>
  </si>
  <si>
    <t>5,697.00</t>
  </si>
  <si>
    <t>ORD26004294</t>
  </si>
  <si>
    <t>CUST24771</t>
  </si>
  <si>
    <t>4,347.00</t>
  </si>
  <si>
    <t>ORD26004295</t>
  </si>
  <si>
    <t>CUST44331</t>
  </si>
  <si>
    <t>ORD26004296</t>
  </si>
  <si>
    <t>CUST84105</t>
  </si>
  <si>
    <t>ORD26004297</t>
  </si>
  <si>
    <t>CUST40320</t>
  </si>
  <si>
    <t>ORD26004298</t>
  </si>
  <si>
    <t>CUST93977</t>
  </si>
  <si>
    <t>ORD26004299</t>
  </si>
  <si>
    <t>CUST33740</t>
  </si>
  <si>
    <t>ORD26004300</t>
  </si>
  <si>
    <t>CUST17556</t>
  </si>
  <si>
    <t>5,847.00</t>
  </si>
  <si>
    <t>ORD26004301</t>
  </si>
  <si>
    <t>CUST16537</t>
  </si>
  <si>
    <t>ORD26004302</t>
  </si>
  <si>
    <t>CUST26814</t>
  </si>
  <si>
    <t>ORD26004303</t>
  </si>
  <si>
    <t>CUST21469</t>
  </si>
  <si>
    <t>ORD26004304</t>
  </si>
  <si>
    <t>CUST95459</t>
  </si>
  <si>
    <t>ORD26004305</t>
  </si>
  <si>
    <t>CUST78241</t>
  </si>
  <si>
    <t>ORD26004306</t>
  </si>
  <si>
    <t>CUST88678</t>
  </si>
  <si>
    <t>ORD26004307</t>
  </si>
  <si>
    <t>CUST24467</t>
  </si>
  <si>
    <t>ORD26004308</t>
  </si>
  <si>
    <t>CUST22441</t>
  </si>
  <si>
    <t>ORD26004309</t>
  </si>
  <si>
    <t>CUST11233</t>
  </si>
  <si>
    <t>ORD26004310</t>
  </si>
  <si>
    <t>CUST51075</t>
  </si>
  <si>
    <t>ORD26004311</t>
  </si>
  <si>
    <t>CUST22336</t>
  </si>
  <si>
    <t>ORD26004312</t>
  </si>
  <si>
    <t>CUST64318</t>
  </si>
  <si>
    <t>ORD26004313</t>
  </si>
  <si>
    <t>CUST83472</t>
  </si>
  <si>
    <t>ORD26004314</t>
  </si>
  <si>
    <t>CUST87329</t>
  </si>
  <si>
    <t>ORD26004315</t>
  </si>
  <si>
    <t>CUST16207</t>
  </si>
  <si>
    <t>ORD26004316</t>
  </si>
  <si>
    <t>CUST65839</t>
  </si>
  <si>
    <t>ORD26004317</t>
  </si>
  <si>
    <t>CUST60989</t>
  </si>
  <si>
    <t>ORD26004318</t>
  </si>
  <si>
    <t>CUST71630</t>
  </si>
  <si>
    <t>ORD26004319</t>
  </si>
  <si>
    <t>CUST15951</t>
  </si>
  <si>
    <t>ORD26004320</t>
  </si>
  <si>
    <t>CUST88823</t>
  </si>
  <si>
    <t>ORD26004321</t>
  </si>
  <si>
    <t>CUST39479</t>
  </si>
  <si>
    <t>ORD26004322</t>
  </si>
  <si>
    <t>CUST86807</t>
  </si>
  <si>
    <t>ORD26004323</t>
  </si>
  <si>
    <t>CUST38551</t>
  </si>
  <si>
    <t>ORD26004324</t>
  </si>
  <si>
    <t>CUST54829</t>
  </si>
  <si>
    <t>ORD26004325</t>
  </si>
  <si>
    <t>CUST34150</t>
  </si>
  <si>
    <t>ORD26004326</t>
  </si>
  <si>
    <t>CUST43300</t>
  </si>
  <si>
    <t>ORD26004327</t>
  </si>
  <si>
    <t>CUST34624</t>
  </si>
  <si>
    <t>ORD26004328</t>
  </si>
  <si>
    <t>CUST84900</t>
  </si>
  <si>
    <t>ORD26004329</t>
  </si>
  <si>
    <t>CUST82726</t>
  </si>
  <si>
    <t>ORD26004330</t>
  </si>
  <si>
    <t>CUST16910</t>
  </si>
  <si>
    <t>ORD26004331</t>
  </si>
  <si>
    <t>CUST78329</t>
  </si>
  <si>
    <t>ORD26004332</t>
  </si>
  <si>
    <t>CUST50088</t>
  </si>
  <si>
    <t>ORD26004333</t>
  </si>
  <si>
    <t>CUST14208</t>
  </si>
  <si>
    <t>ORD26004334</t>
  </si>
  <si>
    <t>CUST73367</t>
  </si>
  <si>
    <t>ORD26004335</t>
  </si>
  <si>
    <t>CUST37026</t>
  </si>
  <si>
    <t>6,647.00</t>
  </si>
  <si>
    <t>ORD26004336</t>
  </si>
  <si>
    <t>CUST27836</t>
  </si>
  <si>
    <t>ORD26004337</t>
  </si>
  <si>
    <t>CUST33626</t>
  </si>
  <si>
    <t>ORD26004338</t>
  </si>
  <si>
    <t>CUST22328</t>
  </si>
  <si>
    <t>ORD26004339</t>
  </si>
  <si>
    <t>CUST42195</t>
  </si>
  <si>
    <t>ORD26004340</t>
  </si>
  <si>
    <t>CUST22339</t>
  </si>
  <si>
    <t>ORD26004341</t>
  </si>
  <si>
    <t>CUST82449</t>
  </si>
  <si>
    <t>ORD26004342</t>
  </si>
  <si>
    <t>CUST58215</t>
  </si>
  <si>
    <t>ORD26004343</t>
  </si>
  <si>
    <t>CUST21909</t>
  </si>
  <si>
    <t>ORD26004344</t>
  </si>
  <si>
    <t>CUST45909</t>
  </si>
  <si>
    <t>ORD26004345</t>
  </si>
  <si>
    <t>CUST91395</t>
  </si>
  <si>
    <t>ORD26004346</t>
  </si>
  <si>
    <t>CUST93399</t>
  </si>
  <si>
    <t>ORD26004347</t>
  </si>
  <si>
    <t>CUST76659</t>
  </si>
  <si>
    <t>ORD26004348</t>
  </si>
  <si>
    <t>CUST13560</t>
  </si>
  <si>
    <t>ORD26004349</t>
  </si>
  <si>
    <t>CUST87808</t>
  </si>
  <si>
    <t>ORD26004350</t>
  </si>
  <si>
    <t>CUST86426</t>
  </si>
  <si>
    <t>ORD26004351</t>
  </si>
  <si>
    <t>CUST40371</t>
  </si>
  <si>
    <t>ORD26004352</t>
  </si>
  <si>
    <t>CUST91934</t>
  </si>
  <si>
    <t>ORD26004353</t>
  </si>
  <si>
    <t>CUST40211</t>
  </si>
  <si>
    <t>ORD26004354</t>
  </si>
  <si>
    <t>CUST10288</t>
  </si>
  <si>
    <t>ORD26004355</t>
  </si>
  <si>
    <t>CUST36420</t>
  </si>
  <si>
    <t>ORD26004356</t>
  </si>
  <si>
    <t>CUST37353</t>
  </si>
  <si>
    <t>ORD26004357</t>
  </si>
  <si>
    <t>CUST90254</t>
  </si>
  <si>
    <t>ORD26004358</t>
  </si>
  <si>
    <t>CUST47744</t>
  </si>
  <si>
    <t>ORD26004359</t>
  </si>
  <si>
    <t>ORD26004360</t>
  </si>
  <si>
    <t>CUST54567</t>
  </si>
  <si>
    <t>ORD26004361</t>
  </si>
  <si>
    <t>CUST93047</t>
  </si>
  <si>
    <t>ORD26004362</t>
  </si>
  <si>
    <t>CUST72862</t>
  </si>
  <si>
    <t>ORD26004363</t>
  </si>
  <si>
    <t>CUST65305</t>
  </si>
  <si>
    <t>ORD26004364</t>
  </si>
  <si>
    <t>CUST71646</t>
  </si>
  <si>
    <t>ORD26004365</t>
  </si>
  <si>
    <t>CUST78555</t>
  </si>
  <si>
    <t>ORD26004366</t>
  </si>
  <si>
    <t>ORD26004367</t>
  </si>
  <si>
    <t>CUST90022</t>
  </si>
  <si>
    <t>ORD26004368</t>
  </si>
  <si>
    <t>CUST90123</t>
  </si>
  <si>
    <t>ORD26004369</t>
  </si>
  <si>
    <t>CUST94210</t>
  </si>
  <si>
    <t>ORD26004370</t>
  </si>
  <si>
    <t>CUST67712</t>
  </si>
  <si>
    <t>ORD26004371</t>
  </si>
  <si>
    <t>CUST68724</t>
  </si>
  <si>
    <t>ORD26004372</t>
  </si>
  <si>
    <t>CUST52702</t>
  </si>
  <si>
    <t>ORD26004373</t>
  </si>
  <si>
    <t>CUST12621</t>
  </si>
  <si>
    <t>ORD26004374</t>
  </si>
  <si>
    <t>CUST99534</t>
  </si>
  <si>
    <t>ORD26004375</t>
  </si>
  <si>
    <t>CUST90045</t>
  </si>
  <si>
    <t>ORD26004376</t>
  </si>
  <si>
    <t>CUST46469</t>
  </si>
  <si>
    <t>ORD26004377</t>
  </si>
  <si>
    <t>CUST85577</t>
  </si>
  <si>
    <t>ORD26004378</t>
  </si>
  <si>
    <t>CUST44641</t>
  </si>
  <si>
    <t>ORD26004379</t>
  </si>
  <si>
    <t>CUST87047</t>
  </si>
  <si>
    <t>ORD26004380</t>
  </si>
  <si>
    <t>CUST14363</t>
  </si>
  <si>
    <t>ORD26004381</t>
  </si>
  <si>
    <t>CUST52431</t>
  </si>
  <si>
    <t>ORD26004382</t>
  </si>
  <si>
    <t>ORD26004383</t>
  </si>
  <si>
    <t>CUST63373</t>
  </si>
  <si>
    <t>ORD26004384</t>
  </si>
  <si>
    <t>CUST55979</t>
  </si>
  <si>
    <t>ORD26004385</t>
  </si>
  <si>
    <t>CUST28520</t>
  </si>
  <si>
    <t>ORD26004386</t>
  </si>
  <si>
    <t>CUST90005</t>
  </si>
  <si>
    <t>ORD26004387</t>
  </si>
  <si>
    <t>CUST29323</t>
  </si>
  <si>
    <t>ORD26004388</t>
  </si>
  <si>
    <t>CUST38342</t>
  </si>
  <si>
    <t>ORD26004389</t>
  </si>
  <si>
    <t>CUST38263</t>
  </si>
  <si>
    <t>ORD26004390</t>
  </si>
  <si>
    <t>CUST88348</t>
  </si>
  <si>
    <t>ORD26004391</t>
  </si>
  <si>
    <t>CUST29731</t>
  </si>
  <si>
    <t>ORD26004392</t>
  </si>
  <si>
    <t>CUST16267</t>
  </si>
  <si>
    <t>ORD26004393</t>
  </si>
  <si>
    <t>CUST46692</t>
  </si>
  <si>
    <t>ORD26004394</t>
  </si>
  <si>
    <t>CUST60872</t>
  </si>
  <si>
    <t>ORD26004395</t>
  </si>
  <si>
    <t>CUST82649</t>
  </si>
  <si>
    <t>ORD26004396</t>
  </si>
  <si>
    <t>CUST59064</t>
  </si>
  <si>
    <t>ORD26004397</t>
  </si>
  <si>
    <t>CUST53815</t>
  </si>
  <si>
    <t>ORD26004398</t>
  </si>
  <si>
    <t>CUST43259</t>
  </si>
  <si>
    <t>ORD26004399</t>
  </si>
  <si>
    <t>CUST72301</t>
  </si>
  <si>
    <t>ORD26004400</t>
  </si>
  <si>
    <t>CUST72916</t>
  </si>
  <si>
    <t>ORD26004401</t>
  </si>
  <si>
    <t>CUST36177</t>
  </si>
  <si>
    <t>ORD26004402</t>
  </si>
  <si>
    <t>CUST95424</t>
  </si>
  <si>
    <t>ORD26004403</t>
  </si>
  <si>
    <t>CUST16096</t>
  </si>
  <si>
    <t>ORD26004404</t>
  </si>
  <si>
    <t>CUST62222</t>
  </si>
  <si>
    <t>ORD26004405</t>
  </si>
  <si>
    <t>CUST55010</t>
  </si>
  <si>
    <t>ORD26004406</t>
  </si>
  <si>
    <t>CUST54820</t>
  </si>
  <si>
    <t>ORD26004407</t>
  </si>
  <si>
    <t>CUST66339</t>
  </si>
  <si>
    <t>ORD26004408</t>
  </si>
  <si>
    <t>CUST71133</t>
  </si>
  <si>
    <t>ORD26004409</t>
  </si>
  <si>
    <t>CUST50326</t>
  </si>
  <si>
    <t>ORD26004410</t>
  </si>
  <si>
    <t>CUST88361</t>
  </si>
  <si>
    <t>ORD26004411</t>
  </si>
  <si>
    <t>CUST21372</t>
  </si>
  <si>
    <t>ORD26004412</t>
  </si>
  <si>
    <t>CUST46265</t>
  </si>
  <si>
    <t>ORD26004413</t>
  </si>
  <si>
    <t>CUST65712</t>
  </si>
  <si>
    <t>ORD26004414</t>
  </si>
  <si>
    <t>CUST46787</t>
  </si>
  <si>
    <t>ORD26004415</t>
  </si>
  <si>
    <t>CUST60252</t>
  </si>
  <si>
    <t>ORD26004416</t>
  </si>
  <si>
    <t>CUST27454</t>
  </si>
  <si>
    <t>ORD26004417</t>
  </si>
  <si>
    <t>CUST94135</t>
  </si>
  <si>
    <t>ORD26004418</t>
  </si>
  <si>
    <t>CUST40350</t>
  </si>
  <si>
    <t>ORD26004419</t>
  </si>
  <si>
    <t>CUST47456</t>
  </si>
  <si>
    <t>ORD26004420</t>
  </si>
  <si>
    <t>CUST80127</t>
  </si>
  <si>
    <t>ORD26004421</t>
  </si>
  <si>
    <t>CUST38348</t>
  </si>
  <si>
    <t>ORD26004422</t>
  </si>
  <si>
    <t>ORD26004423</t>
  </si>
  <si>
    <t>CUST75580</t>
  </si>
  <si>
    <t>ORD26004424</t>
  </si>
  <si>
    <t>ORD26004425</t>
  </si>
  <si>
    <t>CUST98106</t>
  </si>
  <si>
    <t>ORD26004426</t>
  </si>
  <si>
    <t>CUST56838</t>
  </si>
  <si>
    <t>ORD26004427</t>
  </si>
  <si>
    <t>CUST75129</t>
  </si>
  <si>
    <t>ORD26004428</t>
  </si>
  <si>
    <t>CUST58033</t>
  </si>
  <si>
    <t>ORD26004429</t>
  </si>
  <si>
    <t>CUST45066</t>
  </si>
  <si>
    <t>ORD26004430</t>
  </si>
  <si>
    <t>CUST91526</t>
  </si>
  <si>
    <t>ORD26004431</t>
  </si>
  <si>
    <t>CUST82139</t>
  </si>
  <si>
    <t>ORD26004432</t>
  </si>
  <si>
    <t>CUST85672</t>
  </si>
  <si>
    <t>ORD26004433</t>
  </si>
  <si>
    <t>CUST82613</t>
  </si>
  <si>
    <t>ORD26004434</t>
  </si>
  <si>
    <t>CUST24496</t>
  </si>
  <si>
    <t>ORD26004435</t>
  </si>
  <si>
    <t>CUST36939</t>
  </si>
  <si>
    <t>ORD26004436</t>
  </si>
  <si>
    <t>CUST22019</t>
  </si>
  <si>
    <t>ORD26004437</t>
  </si>
  <si>
    <t>CUST79844</t>
  </si>
  <si>
    <t>ORD26004438</t>
  </si>
  <si>
    <t>CUST89521</t>
  </si>
  <si>
    <t>ORD26004439</t>
  </si>
  <si>
    <t>CUST85265</t>
  </si>
  <si>
    <t>ORD26004440</t>
  </si>
  <si>
    <t>CUST23317</t>
  </si>
  <si>
    <t>ORD26004441</t>
  </si>
  <si>
    <t>CUST21885</t>
  </si>
  <si>
    <t>ORD26004442</t>
  </si>
  <si>
    <t>CUST94032</t>
  </si>
  <si>
    <t>ORD26004443</t>
  </si>
  <si>
    <t>CUST39288</t>
  </si>
  <si>
    <t>ORD26004444</t>
  </si>
  <si>
    <t>CUST67796</t>
  </si>
  <si>
    <t>ORD26004445</t>
  </si>
  <si>
    <t>CUST63381</t>
  </si>
  <si>
    <t>4,147.00</t>
  </si>
  <si>
    <t>ORD26004446</t>
  </si>
  <si>
    <t>CUST63317</t>
  </si>
  <si>
    <t>ORD26004447</t>
  </si>
  <si>
    <t>CUST83185</t>
  </si>
  <si>
    <t>ORD26004448</t>
  </si>
  <si>
    <t>CUST88374</t>
  </si>
  <si>
    <t>ORD26004449</t>
  </si>
  <si>
    <t>CUST91018</t>
  </si>
  <si>
    <t>ORD26004450</t>
  </si>
  <si>
    <t>CUST59877</t>
  </si>
  <si>
    <t>3,848.00</t>
  </si>
  <si>
    <t>ORD26004451</t>
  </si>
  <si>
    <t>CUST79001</t>
  </si>
  <si>
    <t>ORD26004452</t>
  </si>
  <si>
    <t>CUST28532</t>
  </si>
  <si>
    <t>ORD26004453</t>
  </si>
  <si>
    <t>CUST75433</t>
  </si>
  <si>
    <t>ORD26004454</t>
  </si>
  <si>
    <t>CUST84511</t>
  </si>
  <si>
    <t>ORD26004455</t>
  </si>
  <si>
    <t>CUST85095</t>
  </si>
  <si>
    <t>ORD26004456</t>
  </si>
  <si>
    <t>CUST96776</t>
  </si>
  <si>
    <t>ORD26004457</t>
  </si>
  <si>
    <t>CUST16443</t>
  </si>
  <si>
    <t>ORD26004458</t>
  </si>
  <si>
    <t>ORD26004459</t>
  </si>
  <si>
    <t>CUST35083</t>
  </si>
  <si>
    <t>ORD26004460</t>
  </si>
  <si>
    <t>CUST53866</t>
  </si>
  <si>
    <t>ORD26004461</t>
  </si>
  <si>
    <t>CUST94216</t>
  </si>
  <si>
    <t>ORD26004462</t>
  </si>
  <si>
    <t>ORD26004463</t>
  </si>
  <si>
    <t>CUST44360</t>
  </si>
  <si>
    <t>ORD26004464</t>
  </si>
  <si>
    <t>CUST69133</t>
  </si>
  <si>
    <t>ORD26004465</t>
  </si>
  <si>
    <t>CUST20935</t>
  </si>
  <si>
    <t>ORD26004466</t>
  </si>
  <si>
    <t>CUST44024</t>
  </si>
  <si>
    <t>ORD26004467</t>
  </si>
  <si>
    <t>CUST66546</t>
  </si>
  <si>
    <t>ORD26004468</t>
  </si>
  <si>
    <t>CUST68038</t>
  </si>
  <si>
    <t>ORD26004469</t>
  </si>
  <si>
    <t>CUST37001</t>
  </si>
  <si>
    <t>ORD26004470</t>
  </si>
  <si>
    <t>ORD26004471</t>
  </si>
  <si>
    <t>CUST82877</t>
  </si>
  <si>
    <t>ORD26004472</t>
  </si>
  <si>
    <t>CUST68617</t>
  </si>
  <si>
    <t>ORD26004473</t>
  </si>
  <si>
    <t>CUST53158</t>
  </si>
  <si>
    <t>ORD26004474</t>
  </si>
  <si>
    <t>CUST52290</t>
  </si>
  <si>
    <t>ORD26004475</t>
  </si>
  <si>
    <t>CUST87217</t>
  </si>
  <si>
    <t>ORD26004476</t>
  </si>
  <si>
    <t>CUST40586</t>
  </si>
  <si>
    <t>ORD26004477</t>
  </si>
  <si>
    <t>CUST22186</t>
  </si>
  <si>
    <t>ORD26004478</t>
  </si>
  <si>
    <t>CUST38975</t>
  </si>
  <si>
    <t>ORD26004479</t>
  </si>
  <si>
    <t>CUST76916</t>
  </si>
  <si>
    <t>ORD26004480</t>
  </si>
  <si>
    <t>CUST59807</t>
  </si>
  <si>
    <t>ORD26004481</t>
  </si>
  <si>
    <t>CUST80096</t>
  </si>
  <si>
    <t>ORD26004482</t>
  </si>
  <si>
    <t>CUST10211</t>
  </si>
  <si>
    <t>ORD26004483</t>
  </si>
  <si>
    <t>CUST67250</t>
  </si>
  <si>
    <t>ORD26004484</t>
  </si>
  <si>
    <t>CUST65365</t>
  </si>
  <si>
    <t>ORD26004485</t>
  </si>
  <si>
    <t>CUST62327</t>
  </si>
  <si>
    <t>ORD26004486</t>
  </si>
  <si>
    <t>CUST85305</t>
  </si>
  <si>
    <t>ORD26004487</t>
  </si>
  <si>
    <t>CUST93385</t>
  </si>
  <si>
    <t>2,498.00</t>
  </si>
  <si>
    <t>ORD26004488</t>
  </si>
  <si>
    <t>CUST88603</t>
  </si>
  <si>
    <t>ORD26004489</t>
  </si>
  <si>
    <t>CUST69946</t>
  </si>
  <si>
    <t>ORD26004490</t>
  </si>
  <si>
    <t>CUST99640</t>
  </si>
  <si>
    <t>6847.0</t>
  </si>
  <si>
    <t>ORD26004491</t>
  </si>
  <si>
    <t>ORD26004492</t>
  </si>
  <si>
    <t>CUST63249</t>
  </si>
  <si>
    <t>ORD26004493</t>
  </si>
  <si>
    <t>CUST67125</t>
  </si>
  <si>
    <t>ORD26004494</t>
  </si>
  <si>
    <t>CUST65937</t>
  </si>
  <si>
    <t>ORD26004495</t>
  </si>
  <si>
    <t>CUST76101</t>
  </si>
  <si>
    <t>5,597.00</t>
  </si>
  <si>
    <t>ORD26004496</t>
  </si>
  <si>
    <t>CUST21254</t>
  </si>
  <si>
    <t>ORD26004497</t>
  </si>
  <si>
    <t>CUST28950</t>
  </si>
  <si>
    <t>ORD26004498</t>
  </si>
  <si>
    <t>CUST50017</t>
  </si>
  <si>
    <t>ORD26004499</t>
  </si>
  <si>
    <t>CUST78144</t>
  </si>
  <si>
    <t>ORD26004500</t>
  </si>
  <si>
    <t>CUST14402</t>
  </si>
  <si>
    <t>ORD26004501</t>
  </si>
  <si>
    <t>CUST19435</t>
  </si>
  <si>
    <t>ORD26004502</t>
  </si>
  <si>
    <t>CUST79072</t>
  </si>
  <si>
    <t>ORD26004503</t>
  </si>
  <si>
    <t>CUST12067</t>
  </si>
  <si>
    <t>ORD26004504</t>
  </si>
  <si>
    <t>ORD26004505</t>
  </si>
  <si>
    <t>CUST16301</t>
  </si>
  <si>
    <t>ORD26004506</t>
  </si>
  <si>
    <t>CUST49179</t>
  </si>
  <si>
    <t>ORD26004507</t>
  </si>
  <si>
    <t>CUST79561</t>
  </si>
  <si>
    <t>ORD26004508</t>
  </si>
  <si>
    <t>CUST75707</t>
  </si>
  <si>
    <t>ORD26004509</t>
  </si>
  <si>
    <t>CUST56847</t>
  </si>
  <si>
    <t>ORD26004510</t>
  </si>
  <si>
    <t>CUST98287</t>
  </si>
  <si>
    <t>ORD26004511</t>
  </si>
  <si>
    <t>CUST30803</t>
  </si>
  <si>
    <t>ORD26004512</t>
  </si>
  <si>
    <t>CUST72612</t>
  </si>
  <si>
    <t>ORD26004513</t>
  </si>
  <si>
    <t>CUST89889</t>
  </si>
  <si>
    <t>ORD26004514</t>
  </si>
  <si>
    <t>CUST83738</t>
  </si>
  <si>
    <t>ORD26004515</t>
  </si>
  <si>
    <t>CUST18981</t>
  </si>
  <si>
    <t>ORD26004516</t>
  </si>
  <si>
    <t>CUST31654</t>
  </si>
  <si>
    <t>ORD26004517</t>
  </si>
  <si>
    <t>CUST98206</t>
  </si>
  <si>
    <t>ORD26004518</t>
  </si>
  <si>
    <t>CUST66934</t>
  </si>
  <si>
    <t>ORD26004519</t>
  </si>
  <si>
    <t>CUST57401</t>
  </si>
  <si>
    <t>ORD26004520</t>
  </si>
  <si>
    <t>CUST50097</t>
  </si>
  <si>
    <t>ORD26004521</t>
  </si>
  <si>
    <t>CUST63808</t>
  </si>
  <si>
    <t>ORD26004522</t>
  </si>
  <si>
    <t>CUST90280</t>
  </si>
  <si>
    <t>ORD26004523</t>
  </si>
  <si>
    <t>CUST37591</t>
  </si>
  <si>
    <t>ORD26004524</t>
  </si>
  <si>
    <t>CUST24390</t>
  </si>
  <si>
    <t>ORD26004525</t>
  </si>
  <si>
    <t>CUST90551</t>
  </si>
  <si>
    <t>ORD26004526</t>
  </si>
  <si>
    <t>CUST27497</t>
  </si>
  <si>
    <t>11347.0</t>
  </si>
  <si>
    <t>ORD26004527</t>
  </si>
  <si>
    <t>CUST43365</t>
  </si>
  <si>
    <t>ORD26004528</t>
  </si>
  <si>
    <t>CUST73936</t>
  </si>
  <si>
    <t>ORD26004529</t>
  </si>
  <si>
    <t>CUST38048</t>
  </si>
  <si>
    <t>ORD26004530</t>
  </si>
  <si>
    <t>CUST58066</t>
  </si>
  <si>
    <t>ORD26004531</t>
  </si>
  <si>
    <t>CUST55090</t>
  </si>
  <si>
    <t>ORD26004532</t>
  </si>
  <si>
    <t>CUST22808</t>
  </si>
  <si>
    <t>ORD26004533</t>
  </si>
  <si>
    <t>CUST44405</t>
  </si>
  <si>
    <t>ORD26004534</t>
  </si>
  <si>
    <t>CUST95878</t>
  </si>
  <si>
    <t>ORD26004535</t>
  </si>
  <si>
    <t>CUST62487</t>
  </si>
  <si>
    <t>ORD26004536</t>
  </si>
  <si>
    <t>CUST87315</t>
  </si>
  <si>
    <t>ORD26004537</t>
  </si>
  <si>
    <t>CUST84960</t>
  </si>
  <si>
    <t>ORD26004538</t>
  </si>
  <si>
    <t>CUST62746</t>
  </si>
  <si>
    <t>ORD26004539</t>
  </si>
  <si>
    <t>CUST12529</t>
  </si>
  <si>
    <t>ORD26004540</t>
  </si>
  <si>
    <t>CUST15152</t>
  </si>
  <si>
    <t>ORD26004541</t>
  </si>
  <si>
    <t>CUST85317</t>
  </si>
  <si>
    <t>ORD26004542</t>
  </si>
  <si>
    <t>CUST50973</t>
  </si>
  <si>
    <t>ORD26004543</t>
  </si>
  <si>
    <t>CUST57862</t>
  </si>
  <si>
    <t>ORD26004544</t>
  </si>
  <si>
    <t>CUST86726</t>
  </si>
  <si>
    <t>ORD26004545</t>
  </si>
  <si>
    <t>CUST66156</t>
  </si>
  <si>
    <t>ORD26004546</t>
  </si>
  <si>
    <t>CUST87902</t>
  </si>
  <si>
    <t>ORD26004547</t>
  </si>
  <si>
    <t>CUST38101</t>
  </si>
  <si>
    <t>ORD26004548</t>
  </si>
  <si>
    <t>CUST23955</t>
  </si>
  <si>
    <t>ORD26004549</t>
  </si>
  <si>
    <t>CUST71354</t>
  </si>
  <si>
    <t>ORD26004550</t>
  </si>
  <si>
    <t>CUST63108</t>
  </si>
  <si>
    <t>ORD26004551</t>
  </si>
  <si>
    <t>CUST18199</t>
  </si>
  <si>
    <t>ORD26004552</t>
  </si>
  <si>
    <t>CUST97498</t>
  </si>
  <si>
    <t>ORD26004553</t>
  </si>
  <si>
    <t>CUST57737</t>
  </si>
  <si>
    <t>ORD26004554</t>
  </si>
  <si>
    <t>CUST13301</t>
  </si>
  <si>
    <t>ORD26004555</t>
  </si>
  <si>
    <t>CUST41101</t>
  </si>
  <si>
    <t>ORD26004556</t>
  </si>
  <si>
    <t>CUST76398</t>
  </si>
  <si>
    <t>ORD26004557</t>
  </si>
  <si>
    <t>CUST26832</t>
  </si>
  <si>
    <t>ORD26004558</t>
  </si>
  <si>
    <t>CUST52240</t>
  </si>
  <si>
    <t>ORD26004559</t>
  </si>
  <si>
    <t>CUST81637</t>
  </si>
  <si>
    <t>ORD26004560</t>
  </si>
  <si>
    <t>CUST50125</t>
  </si>
  <si>
    <t>ORD26004561</t>
  </si>
  <si>
    <t>CUST45762</t>
  </si>
  <si>
    <t>ORD26004562</t>
  </si>
  <si>
    <t>CUST51553</t>
  </si>
  <si>
    <t>ORD26004563</t>
  </si>
  <si>
    <t>CUST79772</t>
  </si>
  <si>
    <t>ORD26004564</t>
  </si>
  <si>
    <t>CUST12397</t>
  </si>
  <si>
    <t>ORD26004565</t>
  </si>
  <si>
    <t>CUST80762</t>
  </si>
  <si>
    <t>ORD26004566</t>
  </si>
  <si>
    <t>CUST77238</t>
  </si>
  <si>
    <t>ORD26004567</t>
  </si>
  <si>
    <t>CUST75097</t>
  </si>
  <si>
    <t>ORD26004568</t>
  </si>
  <si>
    <t>CUST44214</t>
  </si>
  <si>
    <t>ORD26004569</t>
  </si>
  <si>
    <t>CUST22772</t>
  </si>
  <si>
    <t>ORD26004570</t>
  </si>
  <si>
    <t>CUST35637</t>
  </si>
  <si>
    <t>ORD26004571</t>
  </si>
  <si>
    <t>CUST73295</t>
  </si>
  <si>
    <t>ORD26004572</t>
  </si>
  <si>
    <t>CUST24209</t>
  </si>
  <si>
    <t>ORD26004573</t>
  </si>
  <si>
    <t>CUST73331</t>
  </si>
  <si>
    <t>ORD26004574</t>
  </si>
  <si>
    <t>CUST22295</t>
  </si>
  <si>
    <t>ORD26004575</t>
  </si>
  <si>
    <t>CUST61740</t>
  </si>
  <si>
    <t>ORD26004576</t>
  </si>
  <si>
    <t>ORD26004577</t>
  </si>
  <si>
    <t>CUST62508</t>
  </si>
  <si>
    <t>ORD26004578</t>
  </si>
  <si>
    <t>CUST62596</t>
  </si>
  <si>
    <t>ORD26004579</t>
  </si>
  <si>
    <t>CUST42790</t>
  </si>
  <si>
    <t>ORD26004580</t>
  </si>
  <si>
    <t>CUST40076</t>
  </si>
  <si>
    <t>ORD26004581</t>
  </si>
  <si>
    <t>CUST88142</t>
  </si>
  <si>
    <t>ORD26004582</t>
  </si>
  <si>
    <t>CUST58989</t>
  </si>
  <si>
    <t>ORD26004583</t>
  </si>
  <si>
    <t>CUST85966</t>
  </si>
  <si>
    <t>ORD26004584</t>
  </si>
  <si>
    <t>CUST53530</t>
  </si>
  <si>
    <t>ORD26004585</t>
  </si>
  <si>
    <t>CUST54686</t>
  </si>
  <si>
    <t>ORD26004586</t>
  </si>
  <si>
    <t>CUST13287</t>
  </si>
  <si>
    <t>ORD26004587</t>
  </si>
  <si>
    <t>CUST28555</t>
  </si>
  <si>
    <t>ORD26004588</t>
  </si>
  <si>
    <t>CUST75992</t>
  </si>
  <si>
    <t>ORD26004589</t>
  </si>
  <si>
    <t>CUST68803</t>
  </si>
  <si>
    <t>13,497.00</t>
  </si>
  <si>
    <t>ORD26004590</t>
  </si>
  <si>
    <t>CUST43255</t>
  </si>
  <si>
    <t>ORD26004591</t>
  </si>
  <si>
    <t>CUST13407</t>
  </si>
  <si>
    <t>ORD26004592</t>
  </si>
  <si>
    <t>CUST21590</t>
  </si>
  <si>
    <t>ORD26004593</t>
  </si>
  <si>
    <t>CUST77269</t>
  </si>
  <si>
    <t>ORD26004594</t>
  </si>
  <si>
    <t>CUST89023</t>
  </si>
  <si>
    <t>ORD26004595</t>
  </si>
  <si>
    <t>ORD26004596</t>
  </si>
  <si>
    <t>CUST49775</t>
  </si>
  <si>
    <t>ORD26004597</t>
  </si>
  <si>
    <t>CUST61401</t>
  </si>
  <si>
    <t>ORD26004598</t>
  </si>
  <si>
    <t>CUST52042</t>
  </si>
  <si>
    <t>ORD26004599</t>
  </si>
  <si>
    <t>CUST69447</t>
  </si>
  <si>
    <t>ORD26004600</t>
  </si>
  <si>
    <t>CUST60826</t>
  </si>
  <si>
    <t>ORD26004601</t>
  </si>
  <si>
    <t>CUST86955</t>
  </si>
  <si>
    <t>ORD26004602</t>
  </si>
  <si>
    <t>CUST71920</t>
  </si>
  <si>
    <t>ORD26004603</t>
  </si>
  <si>
    <t>CUST65076</t>
  </si>
  <si>
    <t>ORD26004604</t>
  </si>
  <si>
    <t>CUST49609</t>
  </si>
  <si>
    <t>ORD26004605</t>
  </si>
  <si>
    <t>CUST67512</t>
  </si>
  <si>
    <t>ORD26004606</t>
  </si>
  <si>
    <t>CUST12560</t>
  </si>
  <si>
    <t>ORD26004607</t>
  </si>
  <si>
    <t>CUST86503</t>
  </si>
  <si>
    <t>ORD26004608</t>
  </si>
  <si>
    <t>CUST25383</t>
  </si>
  <si>
    <t>ORD26004609</t>
  </si>
  <si>
    <t>CUST61407</t>
  </si>
  <si>
    <t>ORD26004610</t>
  </si>
  <si>
    <t>CUST54750</t>
  </si>
  <si>
    <t>ORD26004611</t>
  </si>
  <si>
    <t>CUST99538</t>
  </si>
  <si>
    <t>7,498.00</t>
  </si>
  <si>
    <t>ORD26004612</t>
  </si>
  <si>
    <t>CUST99168</t>
  </si>
  <si>
    <t>ORD26004613</t>
  </si>
  <si>
    <t>CUST99821</t>
  </si>
  <si>
    <t>ORD26004614</t>
  </si>
  <si>
    <t>CUST59670</t>
  </si>
  <si>
    <t>ORD26004615</t>
  </si>
  <si>
    <t>CUST63441</t>
  </si>
  <si>
    <t>ORD26004616</t>
  </si>
  <si>
    <t>CUST91893</t>
  </si>
  <si>
    <t>ORD26004617</t>
  </si>
  <si>
    <t>CUST95754</t>
  </si>
  <si>
    <t>ORD26004618</t>
  </si>
  <si>
    <t>CUST71398</t>
  </si>
  <si>
    <t>ORD26004619</t>
  </si>
  <si>
    <t>CUST17231</t>
  </si>
  <si>
    <t>ORD26004620</t>
  </si>
  <si>
    <t>CUST64977</t>
  </si>
  <si>
    <t>ORD26004621</t>
  </si>
  <si>
    <t>CUST32010</t>
  </si>
  <si>
    <t>ORD26004622</t>
  </si>
  <si>
    <t>CUST41700</t>
  </si>
  <si>
    <t>ORD26004623</t>
  </si>
  <si>
    <t>CUST43060</t>
  </si>
  <si>
    <t>ORD26004624</t>
  </si>
  <si>
    <t>CUST13608</t>
  </si>
  <si>
    <t>ORD26004625</t>
  </si>
  <si>
    <t>CUST62275</t>
  </si>
  <si>
    <t>ORD26004626</t>
  </si>
  <si>
    <t>CUST52351</t>
  </si>
  <si>
    <t>ORD26004627</t>
  </si>
  <si>
    <t>CUST73228</t>
  </si>
  <si>
    <t>ORD26004628</t>
  </si>
  <si>
    <t>CUST82834</t>
  </si>
  <si>
    <t>ORD26004629</t>
  </si>
  <si>
    <t>CUST25263</t>
  </si>
  <si>
    <t>ORD26004630</t>
  </si>
  <si>
    <t>CUST50765</t>
  </si>
  <si>
    <t>ORD26004631</t>
  </si>
  <si>
    <t>CUST49673</t>
  </si>
  <si>
    <t>ORD26004632</t>
  </si>
  <si>
    <t>CUST65610</t>
  </si>
  <si>
    <t>ORD26004633</t>
  </si>
  <si>
    <t>CUST39974</t>
  </si>
  <si>
    <t>ORD26004634</t>
  </si>
  <si>
    <t>CUST72984</t>
  </si>
  <si>
    <t>ORD26004635</t>
  </si>
  <si>
    <t>ORD26004636</t>
  </si>
  <si>
    <t>CUST80771</t>
  </si>
  <si>
    <t>ORD26004637</t>
  </si>
  <si>
    <t>CUST75151</t>
  </si>
  <si>
    <t>ORD26004638</t>
  </si>
  <si>
    <t>ORD26004639</t>
  </si>
  <si>
    <t>CUST61419</t>
  </si>
  <si>
    <t>ORD26004640</t>
  </si>
  <si>
    <t>ORD26004641</t>
  </si>
  <si>
    <t>CUST15416</t>
  </si>
  <si>
    <t>ORD26004642</t>
  </si>
  <si>
    <t>CUST12779</t>
  </si>
  <si>
    <t>ORD26004643</t>
  </si>
  <si>
    <t>CUST20783</t>
  </si>
  <si>
    <t>ORD26004644</t>
  </si>
  <si>
    <t>CUST46100</t>
  </si>
  <si>
    <t>ORD26004645</t>
  </si>
  <si>
    <t>CUST45266</t>
  </si>
  <si>
    <t>ORD26004646</t>
  </si>
  <si>
    <t>CUST12347</t>
  </si>
  <si>
    <t>ORD26004647</t>
  </si>
  <si>
    <t>CUST43143</t>
  </si>
  <si>
    <t>ORD26004648</t>
  </si>
  <si>
    <t>CUST73082</t>
  </si>
  <si>
    <t>ORD26004649</t>
  </si>
  <si>
    <t>CUST34725</t>
  </si>
  <si>
    <t>ORD26004650</t>
  </si>
  <si>
    <t>CUST41183</t>
  </si>
  <si>
    <t>ORD26004651</t>
  </si>
  <si>
    <t>CUST21524</t>
  </si>
  <si>
    <t>ORD26004652</t>
  </si>
  <si>
    <t>CUST19892</t>
  </si>
  <si>
    <t>ORD26004653</t>
  </si>
  <si>
    <t>ORD26004654</t>
  </si>
  <si>
    <t>CUST75057</t>
  </si>
  <si>
    <t>ORD26004655</t>
  </si>
  <si>
    <t>CUST19648</t>
  </si>
  <si>
    <t>ORD26004656</t>
  </si>
  <si>
    <t>CUST56246</t>
  </si>
  <si>
    <t>ORD26004657</t>
  </si>
  <si>
    <t>CUST10491</t>
  </si>
  <si>
    <t>ORD26004658</t>
  </si>
  <si>
    <t>CUST31171</t>
  </si>
  <si>
    <t>ORD26004659</t>
  </si>
  <si>
    <t>CUST58752</t>
  </si>
  <si>
    <t>ORD26004660</t>
  </si>
  <si>
    <t>CUST89214</t>
  </si>
  <si>
    <t>ORD26004661</t>
  </si>
  <si>
    <t>CUST71164</t>
  </si>
  <si>
    <t>ORD26004662</t>
  </si>
  <si>
    <t>CUST50602</t>
  </si>
  <si>
    <t>ORD26004663</t>
  </si>
  <si>
    <t>CUST30768</t>
  </si>
  <si>
    <t>ORD26004664</t>
  </si>
  <si>
    <t>CUST41160</t>
  </si>
  <si>
    <t>ORD26004665</t>
  </si>
  <si>
    <t>CUST71581</t>
  </si>
  <si>
    <t>ORD26004666</t>
  </si>
  <si>
    <t>ORD26004667</t>
  </si>
  <si>
    <t>CUST91610</t>
  </si>
  <si>
    <t>ORD26004668</t>
  </si>
  <si>
    <t>CUST72462</t>
  </si>
  <si>
    <t>ORD26004669</t>
  </si>
  <si>
    <t>CUST77964</t>
  </si>
  <si>
    <t>ORD26004670</t>
  </si>
  <si>
    <t>CUST39673</t>
  </si>
  <si>
    <t>ORD26004671</t>
  </si>
  <si>
    <t>CUST71721</t>
  </si>
  <si>
    <t>ORD26004672</t>
  </si>
  <si>
    <t>CUST47628</t>
  </si>
  <si>
    <t>ORD26004673</t>
  </si>
  <si>
    <t>CUST72636</t>
  </si>
  <si>
    <t>ORD26004674</t>
  </si>
  <si>
    <t>CUST28143</t>
  </si>
  <si>
    <t>ORD26004675</t>
  </si>
  <si>
    <t>CUST64079</t>
  </si>
  <si>
    <t>ORD26004676</t>
  </si>
  <si>
    <t>CUST45183</t>
  </si>
  <si>
    <t>ORD26004677</t>
  </si>
  <si>
    <t>CUST24251</t>
  </si>
  <si>
    <t>ORD26004678</t>
  </si>
  <si>
    <t>CUST18628</t>
  </si>
  <si>
    <t>ORD26004679</t>
  </si>
  <si>
    <t>CUST11510</t>
  </si>
  <si>
    <t>ORD26004680</t>
  </si>
  <si>
    <t>CUST38498</t>
  </si>
  <si>
    <t>ORD26004681</t>
  </si>
  <si>
    <t>CUST30698</t>
  </si>
  <si>
    <t>ORD26004682</t>
  </si>
  <si>
    <t>CUST52341</t>
  </si>
  <si>
    <t>ORD26004683</t>
  </si>
  <si>
    <t>CUST20802</t>
  </si>
  <si>
    <t>ORD26004684</t>
  </si>
  <si>
    <t>CUST31433</t>
  </si>
  <si>
    <t>ORD26004685</t>
  </si>
  <si>
    <t>CUST36580</t>
  </si>
  <si>
    <t>ORD26004686</t>
  </si>
  <si>
    <t>CUST17287</t>
  </si>
  <si>
    <t>ORD26004687</t>
  </si>
  <si>
    <t>CUST49466</t>
  </si>
  <si>
    <t>ORD26004688</t>
  </si>
  <si>
    <t>CUST51693</t>
  </si>
  <si>
    <t>ORD26004689</t>
  </si>
  <si>
    <t>CUST42582</t>
  </si>
  <si>
    <t>ORD26004690</t>
  </si>
  <si>
    <t>CUST18017</t>
  </si>
  <si>
    <t>ORD26004691</t>
  </si>
  <si>
    <t>CUST39443</t>
  </si>
  <si>
    <t>ORD26004692</t>
  </si>
  <si>
    <t>CUST12519</t>
  </si>
  <si>
    <t>ORD26004693</t>
  </si>
  <si>
    <t>CUST34015</t>
  </si>
  <si>
    <t>ORD26004694</t>
  </si>
  <si>
    <t>CUST35969</t>
  </si>
  <si>
    <t>ORD26004695</t>
  </si>
  <si>
    <t>CUST40466</t>
  </si>
  <si>
    <t>ORD26004696</t>
  </si>
  <si>
    <t>CUST16615</t>
  </si>
  <si>
    <t>ORD26004697</t>
  </si>
  <si>
    <t>CUST72344</t>
  </si>
  <si>
    <t>ORD26004698</t>
  </si>
  <si>
    <t>CUST30615</t>
  </si>
  <si>
    <t>ORD26004699</t>
  </si>
  <si>
    <t>CUST62397</t>
  </si>
  <si>
    <t>ORD26004700</t>
  </si>
  <si>
    <t>CUST13714</t>
  </si>
  <si>
    <t>ORD26004701</t>
  </si>
  <si>
    <t>CUST75359</t>
  </si>
  <si>
    <t>ORD26004702</t>
  </si>
  <si>
    <t>CUST29907</t>
  </si>
  <si>
    <t>ORD26004703</t>
  </si>
  <si>
    <t>CUST50048</t>
  </si>
  <si>
    <t>ORD26004704</t>
  </si>
  <si>
    <t>CUST21482</t>
  </si>
  <si>
    <t>ORD26004705</t>
  </si>
  <si>
    <t>CUST73742</t>
  </si>
  <si>
    <t>ORD26004706</t>
  </si>
  <si>
    <t>CUST55253</t>
  </si>
  <si>
    <t>ORD26004707</t>
  </si>
  <si>
    <t>CUST43282</t>
  </si>
  <si>
    <t>ORD26004708</t>
  </si>
  <si>
    <t>CUST51164</t>
  </si>
  <si>
    <t>ORD26004709</t>
  </si>
  <si>
    <t>CUST77493</t>
  </si>
  <si>
    <t>ORD26004710</t>
  </si>
  <si>
    <t>CUST63807</t>
  </si>
  <si>
    <t>ORD26004711</t>
  </si>
  <si>
    <t>CUST57799</t>
  </si>
  <si>
    <t>ORD26004712</t>
  </si>
  <si>
    <t>ORD26004713</t>
  </si>
  <si>
    <t>CUST89575</t>
  </si>
  <si>
    <t>ORD26004714</t>
  </si>
  <si>
    <t>CUST88072</t>
  </si>
  <si>
    <t>ORD26004715</t>
  </si>
  <si>
    <t>ORD26004716</t>
  </si>
  <si>
    <t>CUST15784</t>
  </si>
  <si>
    <t>ORD26004717</t>
  </si>
  <si>
    <t>CUST16560</t>
  </si>
  <si>
    <t>ORD26004718</t>
  </si>
  <si>
    <t>CUST83042</t>
  </si>
  <si>
    <t>ORD26004719</t>
  </si>
  <si>
    <t>CUST61214</t>
  </si>
  <si>
    <t>ORD26004720</t>
  </si>
  <si>
    <t>CUST76618</t>
  </si>
  <si>
    <t>ORD26004721</t>
  </si>
  <si>
    <t>CUST56297</t>
  </si>
  <si>
    <t>ORD26004722</t>
  </si>
  <si>
    <t>CUST60044</t>
  </si>
  <si>
    <t>ORD26004723</t>
  </si>
  <si>
    <t>CUST78682</t>
  </si>
  <si>
    <t>ORD26004724</t>
  </si>
  <si>
    <t>CUST93665</t>
  </si>
  <si>
    <t>ORD26004725</t>
  </si>
  <si>
    <t>CUST70044</t>
  </si>
  <si>
    <t>ORD26004726</t>
  </si>
  <si>
    <t>CUST13772</t>
  </si>
  <si>
    <t>ORD26004727</t>
  </si>
  <si>
    <t>CUST78213</t>
  </si>
  <si>
    <t>ORD26004728</t>
  </si>
  <si>
    <t>CUST47231</t>
  </si>
  <si>
    <t>ORD26004729</t>
  </si>
  <si>
    <t>CUST60794</t>
  </si>
  <si>
    <t>ORD26004730</t>
  </si>
  <si>
    <t>CUST64769</t>
  </si>
  <si>
    <t>ORD26004731</t>
  </si>
  <si>
    <t>CUST23235</t>
  </si>
  <si>
    <t>ORD26004732</t>
  </si>
  <si>
    <t>ORD26004733</t>
  </si>
  <si>
    <t>CUST76031</t>
  </si>
  <si>
    <t>ORD26004734</t>
  </si>
  <si>
    <t>CUST14243</t>
  </si>
  <si>
    <t>5,097.00</t>
  </si>
  <si>
    <t>ORD26004735</t>
  </si>
  <si>
    <t>CUST38039</t>
  </si>
  <si>
    <t>ORD26004736</t>
  </si>
  <si>
    <t>CUST98736</t>
  </si>
  <si>
    <t>ORD26004737</t>
  </si>
  <si>
    <t>ORD26004738</t>
  </si>
  <si>
    <t>ORD26004739</t>
  </si>
  <si>
    <t>CUST48020</t>
  </si>
  <si>
    <t>ORD26004740</t>
  </si>
  <si>
    <t>CUST87313</t>
  </si>
  <si>
    <t>ORD26004741</t>
  </si>
  <si>
    <t>CUST37365</t>
  </si>
  <si>
    <t>ORD26004742</t>
  </si>
  <si>
    <t>CUST72693</t>
  </si>
  <si>
    <t>ORD26004743</t>
  </si>
  <si>
    <t>CUST46975</t>
  </si>
  <si>
    <t>ORD26004744</t>
  </si>
  <si>
    <t>CUST86056</t>
  </si>
  <si>
    <t>ORD26004745</t>
  </si>
  <si>
    <t>CUST39625</t>
  </si>
  <si>
    <t>ORD26004746</t>
  </si>
  <si>
    <t>CUST94386</t>
  </si>
  <si>
    <t>ORD26004747</t>
  </si>
  <si>
    <t>CUST91159</t>
  </si>
  <si>
    <t>ORD26004748</t>
  </si>
  <si>
    <t>CUST59491</t>
  </si>
  <si>
    <t>ORD26004749</t>
  </si>
  <si>
    <t>CUST62981</t>
  </si>
  <si>
    <t>ORD26004750</t>
  </si>
  <si>
    <t>CUST47613</t>
  </si>
  <si>
    <t>ORD26004751</t>
  </si>
  <si>
    <t>CUST23380</t>
  </si>
  <si>
    <t>ORD26004752</t>
  </si>
  <si>
    <t>CUST15698</t>
  </si>
  <si>
    <t>ORD26004753</t>
  </si>
  <si>
    <t>CUST11569</t>
  </si>
  <si>
    <t>ORD26004754</t>
  </si>
  <si>
    <t>CUST25041</t>
  </si>
  <si>
    <t>2,598.00</t>
  </si>
  <si>
    <t>ORD26004755</t>
  </si>
  <si>
    <t>CUST46098</t>
  </si>
  <si>
    <t>ORD26004756</t>
  </si>
  <si>
    <t>CUST64563</t>
  </si>
  <si>
    <t>ORD26004757</t>
  </si>
  <si>
    <t>CUST82306</t>
  </si>
  <si>
    <t>ORD26004758</t>
  </si>
  <si>
    <t>CUST44016</t>
  </si>
  <si>
    <t>ORD26004759</t>
  </si>
  <si>
    <t>CUST19240</t>
  </si>
  <si>
    <t>ORD26004760</t>
  </si>
  <si>
    <t>CUST39669</t>
  </si>
  <si>
    <t>ORD26004761</t>
  </si>
  <si>
    <t>CUST99003</t>
  </si>
  <si>
    <t>ORD26004762</t>
  </si>
  <si>
    <t>CUST89204</t>
  </si>
  <si>
    <t>ORD26004763</t>
  </si>
  <si>
    <t>CUST69532</t>
  </si>
  <si>
    <t>ORD26004764</t>
  </si>
  <si>
    <t>ORD26004765</t>
  </si>
  <si>
    <t>CUST28745</t>
  </si>
  <si>
    <t>ORD26004766</t>
  </si>
  <si>
    <t>CUST47940</t>
  </si>
  <si>
    <t>ORD26004767</t>
  </si>
  <si>
    <t>CUST19143</t>
  </si>
  <si>
    <t>ORD26004768</t>
  </si>
  <si>
    <t>CUST23574</t>
  </si>
  <si>
    <t>ORD26004769</t>
  </si>
  <si>
    <t>CUST51269</t>
  </si>
  <si>
    <t>ORD26004770</t>
  </si>
  <si>
    <t>ORD26004771</t>
  </si>
  <si>
    <t>CUST60645</t>
  </si>
  <si>
    <t>ORD26004772</t>
  </si>
  <si>
    <t>CUST37876</t>
  </si>
  <si>
    <t>ORD26004773</t>
  </si>
  <si>
    <t>CUST61082</t>
  </si>
  <si>
    <t>ORD26004774</t>
  </si>
  <si>
    <t>CUST71917</t>
  </si>
  <si>
    <t>ORD26004775</t>
  </si>
  <si>
    <t>ORD26004776</t>
  </si>
  <si>
    <t>CUST78847</t>
  </si>
  <si>
    <t>ORD26004777</t>
  </si>
  <si>
    <t>CUST61535</t>
  </si>
  <si>
    <t>ORD26004778</t>
  </si>
  <si>
    <t>CUST49381</t>
  </si>
  <si>
    <t>ORD26004779</t>
  </si>
  <si>
    <t>CUST69103</t>
  </si>
  <si>
    <t>ORD26004780</t>
  </si>
  <si>
    <t>CUST74082</t>
  </si>
  <si>
    <t>ORD26004781</t>
  </si>
  <si>
    <t>CUST79968</t>
  </si>
  <si>
    <t>ORD26004782</t>
  </si>
  <si>
    <t>CUST39603</t>
  </si>
  <si>
    <t>ORD26004783</t>
  </si>
  <si>
    <t>CUST78295</t>
  </si>
  <si>
    <t>ORD26004784</t>
  </si>
  <si>
    <t>CUST86530</t>
  </si>
  <si>
    <t>ORD26004785</t>
  </si>
  <si>
    <t>CUST11588</t>
  </si>
  <si>
    <t>ORD26004786</t>
  </si>
  <si>
    <t>CUST69768</t>
  </si>
  <si>
    <t>ORD26004787</t>
  </si>
  <si>
    <t>CUST39087</t>
  </si>
  <si>
    <t>ORD26004788</t>
  </si>
  <si>
    <t>CUST14846</t>
  </si>
  <si>
    <t>ORD26004789</t>
  </si>
  <si>
    <t>CUST23974</t>
  </si>
  <si>
    <t>ORD26004790</t>
  </si>
  <si>
    <t>CUST13096</t>
  </si>
  <si>
    <t>ORD26004791</t>
  </si>
  <si>
    <t>CUST56749</t>
  </si>
  <si>
    <t>ORD26004792</t>
  </si>
  <si>
    <t>CUST97239</t>
  </si>
  <si>
    <t>ORD26004793</t>
  </si>
  <si>
    <t>CUST59024</t>
  </si>
  <si>
    <t>ORD26004794</t>
  </si>
  <si>
    <t>CUST37671</t>
  </si>
  <si>
    <t>ORD26004795</t>
  </si>
  <si>
    <t>CUST50778</t>
  </si>
  <si>
    <t>ORD26004796</t>
  </si>
  <si>
    <t>CUST55610</t>
  </si>
  <si>
    <t>ORD26004797</t>
  </si>
  <si>
    <t>CUST94881</t>
  </si>
  <si>
    <t>ORD26004798</t>
  </si>
  <si>
    <t>CUST49772</t>
  </si>
  <si>
    <t>ORD26004799</t>
  </si>
  <si>
    <t>CUST29953</t>
  </si>
  <si>
    <t>ORD26004800</t>
  </si>
  <si>
    <t>CUST53197</t>
  </si>
  <si>
    <t>ORD26004801</t>
  </si>
  <si>
    <t>CUST82536</t>
  </si>
  <si>
    <t>ORD26004802</t>
  </si>
  <si>
    <t>CUST41644</t>
  </si>
  <si>
    <t>ORD26004803</t>
  </si>
  <si>
    <t>CUST89817</t>
  </si>
  <si>
    <t>ORD26004804</t>
  </si>
  <si>
    <t>CUST94028</t>
  </si>
  <si>
    <t>ORD26004805</t>
  </si>
  <si>
    <t>CUST25524</t>
  </si>
  <si>
    <t>ORD26004806</t>
  </si>
  <si>
    <t>ORD26004807</t>
  </si>
  <si>
    <t>CUST62513</t>
  </si>
  <si>
    <t>ORD26004808</t>
  </si>
  <si>
    <t>CUST48793</t>
  </si>
  <si>
    <t>ORD26004809</t>
  </si>
  <si>
    <t>CUST41108</t>
  </si>
  <si>
    <t>ORD26004810</t>
  </si>
  <si>
    <t>CUST80910</t>
  </si>
  <si>
    <t>ORD26004811</t>
  </si>
  <si>
    <t>CUST94993</t>
  </si>
  <si>
    <t>ORD26004812</t>
  </si>
  <si>
    <t>CUST17024</t>
  </si>
  <si>
    <t>ORD26004813</t>
  </si>
  <si>
    <t>CUST17259</t>
  </si>
  <si>
    <t>ORD26004814</t>
  </si>
  <si>
    <t>CUST86732</t>
  </si>
  <si>
    <t>ORD26004815</t>
  </si>
  <si>
    <t>CUST91721</t>
  </si>
  <si>
    <t>ORD26004816</t>
  </si>
  <si>
    <t>CUST98157</t>
  </si>
  <si>
    <t>ORD26004817</t>
  </si>
  <si>
    <t>CUST49708</t>
  </si>
  <si>
    <t>ORD26004818</t>
  </si>
  <si>
    <t>CUST83489</t>
  </si>
  <si>
    <t>ORD26004819</t>
  </si>
  <si>
    <t>CUST18042</t>
  </si>
  <si>
    <t>ORD26004820</t>
  </si>
  <si>
    <t>CUST71106</t>
  </si>
  <si>
    <t>ORD26004821</t>
  </si>
  <si>
    <t>CUST19202</t>
  </si>
  <si>
    <t>ORD26004822</t>
  </si>
  <si>
    <t>CUST27853</t>
  </si>
  <si>
    <t>ORD26004823</t>
  </si>
  <si>
    <t>CUST62118</t>
  </si>
  <si>
    <t>ORD26004824</t>
  </si>
  <si>
    <t>CUST39274</t>
  </si>
  <si>
    <t>ORD26004825</t>
  </si>
  <si>
    <t>CUST92285</t>
  </si>
  <si>
    <t>ORD26004826</t>
  </si>
  <si>
    <t>CUST92008</t>
  </si>
  <si>
    <t>ORD26004827</t>
  </si>
  <si>
    <t>ORD26004828</t>
  </si>
  <si>
    <t>CUST84916</t>
  </si>
  <si>
    <t>ORD26004829</t>
  </si>
  <si>
    <t>CUST29553</t>
  </si>
  <si>
    <t>ORD26004830</t>
  </si>
  <si>
    <t>CUST70436</t>
  </si>
  <si>
    <t>ORD26004831</t>
  </si>
  <si>
    <t>CUST31681</t>
  </si>
  <si>
    <t>ORD26004832</t>
  </si>
  <si>
    <t>CUST49489</t>
  </si>
  <si>
    <t>ORD26004833</t>
  </si>
  <si>
    <t>CUST81057</t>
  </si>
  <si>
    <t>ORD26004834</t>
  </si>
  <si>
    <t>CUST50515</t>
  </si>
  <si>
    <t>ORD26004835</t>
  </si>
  <si>
    <t>CUST78123</t>
  </si>
  <si>
    <t>ORD26004836</t>
  </si>
  <si>
    <t>CUST55576</t>
  </si>
  <si>
    <t>ORD26004837</t>
  </si>
  <si>
    <t>CUST31875</t>
  </si>
  <si>
    <t>ORD26004838</t>
  </si>
  <si>
    <t>CUST22840</t>
  </si>
  <si>
    <t>ORD26004839</t>
  </si>
  <si>
    <t>CUST25234</t>
  </si>
  <si>
    <t>ORD26004840</t>
  </si>
  <si>
    <t>CUST52467</t>
  </si>
  <si>
    <t>ORD26004841</t>
  </si>
  <si>
    <t>CUST51874</t>
  </si>
  <si>
    <t>ORD26004842</t>
  </si>
  <si>
    <t>CUST39802</t>
  </si>
  <si>
    <t>ORD26004843</t>
  </si>
  <si>
    <t>CUST85873</t>
  </si>
  <si>
    <t>ORD26004844</t>
  </si>
  <si>
    <t>ORD26004845</t>
  </si>
  <si>
    <t>CUST98527</t>
  </si>
  <si>
    <t>ORD26004846</t>
  </si>
  <si>
    <t>CUST56549</t>
  </si>
  <si>
    <t>ORD26004847</t>
  </si>
  <si>
    <t>CUST82825</t>
  </si>
  <si>
    <t>9,298.00</t>
  </si>
  <si>
    <t>ORD26004848</t>
  </si>
  <si>
    <t>CUST81177</t>
  </si>
  <si>
    <t>ORD26004849</t>
  </si>
  <si>
    <t>CUST29156</t>
  </si>
  <si>
    <t>ORD26004850</t>
  </si>
  <si>
    <t>CUST32450</t>
  </si>
  <si>
    <t>ORD26004851</t>
  </si>
  <si>
    <t>CUST32513</t>
  </si>
  <si>
    <t>ORD26004852</t>
  </si>
  <si>
    <t>CUST29575</t>
  </si>
  <si>
    <t>ORD26004853</t>
  </si>
  <si>
    <t>CUST12949</t>
  </si>
  <si>
    <t>ORD26004854</t>
  </si>
  <si>
    <t>CUST19090</t>
  </si>
  <si>
    <t>ORD26004855</t>
  </si>
  <si>
    <t>CUST37438</t>
  </si>
  <si>
    <t>ORD26004856</t>
  </si>
  <si>
    <t>CUST56331</t>
  </si>
  <si>
    <t>ORD26004857</t>
  </si>
  <si>
    <t>CUST14241</t>
  </si>
  <si>
    <t>ORD26004858</t>
  </si>
  <si>
    <t>CUST26894</t>
  </si>
  <si>
    <t>ORD26004859</t>
  </si>
  <si>
    <t>CUST64832</t>
  </si>
  <si>
    <t>ORD26004860</t>
  </si>
  <si>
    <t>CUST95746</t>
  </si>
  <si>
    <t>ORD26004861</t>
  </si>
  <si>
    <t>CUST99496</t>
  </si>
  <si>
    <t>ORD26004862</t>
  </si>
  <si>
    <t>CUST25037</t>
  </si>
  <si>
    <t>ORD26004863</t>
  </si>
  <si>
    <t>CUST89448</t>
  </si>
  <si>
    <t>ORD26004864</t>
  </si>
  <si>
    <t>CUST65872</t>
  </si>
  <si>
    <t>ORD26004865</t>
  </si>
  <si>
    <t>CUST37045</t>
  </si>
  <si>
    <t>ORD26004866</t>
  </si>
  <si>
    <t>ORD26004867</t>
  </si>
  <si>
    <t>CUST99885</t>
  </si>
  <si>
    <t>ORD26004868</t>
  </si>
  <si>
    <t>CUST23087</t>
  </si>
  <si>
    <t>ORD26004869</t>
  </si>
  <si>
    <t>ORD26004870</t>
  </si>
  <si>
    <t>CUST57010</t>
  </si>
  <si>
    <t>ORD26004871</t>
  </si>
  <si>
    <t>CUST90645</t>
  </si>
  <si>
    <t>ORD26004872</t>
  </si>
  <si>
    <t>CUST53240</t>
  </si>
  <si>
    <t>ORD26004873</t>
  </si>
  <si>
    <t>CUST31318</t>
  </si>
  <si>
    <t>ORD26004874</t>
  </si>
  <si>
    <t>ORD26004875</t>
  </si>
  <si>
    <t>CUST17505</t>
  </si>
  <si>
    <t>ORD26004876</t>
  </si>
  <si>
    <t>CUST88094</t>
  </si>
  <si>
    <t>1,498.00</t>
  </si>
  <si>
    <t>ORD26004877</t>
  </si>
  <si>
    <t>CUST30861</t>
  </si>
  <si>
    <t>ORD26004878</t>
  </si>
  <si>
    <t>CUST81211</t>
  </si>
  <si>
    <t>ORD26004879</t>
  </si>
  <si>
    <t>CUST68345</t>
  </si>
  <si>
    <t>ORD26004880</t>
  </si>
  <si>
    <t>CUST57021</t>
  </si>
  <si>
    <t>ORD26004881</t>
  </si>
  <si>
    <t>CUST81246</t>
  </si>
  <si>
    <t>ORD26004882</t>
  </si>
  <si>
    <t>CUST38860</t>
  </si>
  <si>
    <t>ORD26004883</t>
  </si>
  <si>
    <t>CUST57771</t>
  </si>
  <si>
    <t>ORD26004884</t>
  </si>
  <si>
    <t>CUST83863</t>
  </si>
  <si>
    <t>ORD26004885</t>
  </si>
  <si>
    <t>CUST21568</t>
  </si>
  <si>
    <t>ORD26004886</t>
  </si>
  <si>
    <t>CUST81860</t>
  </si>
  <si>
    <t>ORD26004887</t>
  </si>
  <si>
    <t>CUST67953</t>
  </si>
  <si>
    <t>ORD26004888</t>
  </si>
  <si>
    <t>ORD26004889</t>
  </si>
  <si>
    <t>CUST96415</t>
  </si>
  <si>
    <t>ORD26004890</t>
  </si>
  <si>
    <t>CUST78378</t>
  </si>
  <si>
    <t>ORD26004891</t>
  </si>
  <si>
    <t>CUST70097</t>
  </si>
  <si>
    <t>ORD26004892</t>
  </si>
  <si>
    <t>CUST77661</t>
  </si>
  <si>
    <t>ORD26004893</t>
  </si>
  <si>
    <t>CUST61172</t>
  </si>
  <si>
    <t>ORD26004894</t>
  </si>
  <si>
    <t>CUST89206</t>
  </si>
  <si>
    <t>ORD26004895</t>
  </si>
  <si>
    <t>CUST53038</t>
  </si>
  <si>
    <t>ORD26004896</t>
  </si>
  <si>
    <t>CUST78271</t>
  </si>
  <si>
    <t>ORD26004897</t>
  </si>
  <si>
    <t>CUST77287</t>
  </si>
  <si>
    <t>ORD26004898</t>
  </si>
  <si>
    <t>CUST23751</t>
  </si>
  <si>
    <t>ORD26004899</t>
  </si>
  <si>
    <t>CUST61894</t>
  </si>
  <si>
    <t>ORD26004900</t>
  </si>
  <si>
    <t>CUST86989</t>
  </si>
  <si>
    <t>ORD26004901</t>
  </si>
  <si>
    <t>CUST48953</t>
  </si>
  <si>
    <t>ORD26004902</t>
  </si>
  <si>
    <t>CUST50593</t>
  </si>
  <si>
    <t>ORD26004903</t>
  </si>
  <si>
    <t>CUST32328</t>
  </si>
  <si>
    <t>ORD26004904</t>
  </si>
  <si>
    <t>CUST40442</t>
  </si>
  <si>
    <t>7,998.00</t>
  </si>
  <si>
    <t>ORD26004905</t>
  </si>
  <si>
    <t>ORD26004906</t>
  </si>
  <si>
    <t>CUST37433</t>
  </si>
  <si>
    <t>ORD26004907</t>
  </si>
  <si>
    <t>CUST17102</t>
  </si>
  <si>
    <t>ORD26004908</t>
  </si>
  <si>
    <t>CUST76359</t>
  </si>
  <si>
    <t>ORD26004909</t>
  </si>
  <si>
    <t>CUST64609</t>
  </si>
  <si>
    <t>ORD26004910</t>
  </si>
  <si>
    <t>CUST50184</t>
  </si>
  <si>
    <t>ORD26004911</t>
  </si>
  <si>
    <t>CUST71075</t>
  </si>
  <si>
    <t>ORD26004912</t>
  </si>
  <si>
    <t>CUST96191</t>
  </si>
  <si>
    <t>ORD26004913</t>
  </si>
  <si>
    <t>ORD26004914</t>
  </si>
  <si>
    <t>CUST11789</t>
  </si>
  <si>
    <t>ORD26004915</t>
  </si>
  <si>
    <t>CUST27025</t>
  </si>
  <si>
    <t>ORD26004916</t>
  </si>
  <si>
    <t>CUST28119</t>
  </si>
  <si>
    <t>ORD26004917</t>
  </si>
  <si>
    <t>CUST97945</t>
  </si>
  <si>
    <t>ORD26004918</t>
  </si>
  <si>
    <t>CUST87887</t>
  </si>
  <si>
    <t>ORD26004919</t>
  </si>
  <si>
    <t>CUST19808</t>
  </si>
  <si>
    <t>ORD26004920</t>
  </si>
  <si>
    <t>CUST51151</t>
  </si>
  <si>
    <t>ORD26004921</t>
  </si>
  <si>
    <t>CUST71638</t>
  </si>
  <si>
    <t>ORD26004922</t>
  </si>
  <si>
    <t>CUST57245</t>
  </si>
  <si>
    <t>ORD26004923</t>
  </si>
  <si>
    <t>CUST82222</t>
  </si>
  <si>
    <t>ORD26004924</t>
  </si>
  <si>
    <t>CUST11870</t>
  </si>
  <si>
    <t>ORD26004925</t>
  </si>
  <si>
    <t>CUST30161</t>
  </si>
  <si>
    <t>ORD26004926</t>
  </si>
  <si>
    <t>CUST92879</t>
  </si>
  <si>
    <t>ORD26004927</t>
  </si>
  <si>
    <t>CUST42549</t>
  </si>
  <si>
    <t>ORD26004928</t>
  </si>
  <si>
    <t>CUST54578</t>
  </si>
  <si>
    <t>ORD26004929</t>
  </si>
  <si>
    <t>CUST53624</t>
  </si>
  <si>
    <t>ORD26004930</t>
  </si>
  <si>
    <t>CUST98101</t>
  </si>
  <si>
    <t>ORD26004931</t>
  </si>
  <si>
    <t>CUST35124</t>
  </si>
  <si>
    <t>ORD26004932</t>
  </si>
  <si>
    <t>CUST13831</t>
  </si>
  <si>
    <t>ORD26004933</t>
  </si>
  <si>
    <t>CUST96597</t>
  </si>
  <si>
    <t>ORD26004934</t>
  </si>
  <si>
    <t>CUST18135</t>
  </si>
  <si>
    <t>ORD26004935</t>
  </si>
  <si>
    <t>CUST70019</t>
  </si>
  <si>
    <t>ORD26004936</t>
  </si>
  <si>
    <t>CUST54664</t>
  </si>
  <si>
    <t>ORD26004937</t>
  </si>
  <si>
    <t>CUST43141</t>
  </si>
  <si>
    <t>ORD26004938</t>
  </si>
  <si>
    <t>CUST31442</t>
  </si>
  <si>
    <t>ORD26004939</t>
  </si>
  <si>
    <t>CUST99897</t>
  </si>
  <si>
    <t>ORD26004940</t>
  </si>
  <si>
    <t>CUST19511</t>
  </si>
  <si>
    <t>ORD26004941</t>
  </si>
  <si>
    <t>ORD26004942</t>
  </si>
  <si>
    <t>CUST64775</t>
  </si>
  <si>
    <t>ORD26004943</t>
  </si>
  <si>
    <t>CUST40562</t>
  </si>
  <si>
    <t>ORD26004944</t>
  </si>
  <si>
    <t>CUST91322</t>
  </si>
  <si>
    <t>ORD26004945</t>
  </si>
  <si>
    <t>CUST31825</t>
  </si>
  <si>
    <t>ORD26004946</t>
  </si>
  <si>
    <t>CUST96538</t>
  </si>
  <si>
    <t>ORD26004947</t>
  </si>
  <si>
    <t>CUST31942</t>
  </si>
  <si>
    <t>ORD26004948</t>
  </si>
  <si>
    <t>CUST57929</t>
  </si>
  <si>
    <t>ORD26004949</t>
  </si>
  <si>
    <t>CUST63523</t>
  </si>
  <si>
    <t>ORD26004950</t>
  </si>
  <si>
    <t>CUST65913</t>
  </si>
  <si>
    <t>ORD26004951</t>
  </si>
  <si>
    <t>CUST54910</t>
  </si>
  <si>
    <t>ORD26004952</t>
  </si>
  <si>
    <t>CUST71508</t>
  </si>
  <si>
    <t>ORD26004953</t>
  </si>
  <si>
    <t>ORD26004954</t>
  </si>
  <si>
    <t>CUST16928</t>
  </si>
  <si>
    <t>ORD26004955</t>
  </si>
  <si>
    <t>CUST30074</t>
  </si>
  <si>
    <t>ORD26004956</t>
  </si>
  <si>
    <t>CUST27869</t>
  </si>
  <si>
    <t>ORD26004957</t>
  </si>
  <si>
    <t>CUST94397</t>
  </si>
  <si>
    <t>ORD26004958</t>
  </si>
  <si>
    <t>CUST74578</t>
  </si>
  <si>
    <t>ORD26004959</t>
  </si>
  <si>
    <t>CUST62142</t>
  </si>
  <si>
    <t>ORD26004960</t>
  </si>
  <si>
    <t>CUST94051</t>
  </si>
  <si>
    <t>ORD26004961</t>
  </si>
  <si>
    <t>CUST58192</t>
  </si>
  <si>
    <t>ORD26004962</t>
  </si>
  <si>
    <t>CUST32832</t>
  </si>
  <si>
    <t>ORD26004963</t>
  </si>
  <si>
    <t>ORD26004964</t>
  </si>
  <si>
    <t>CUST90845</t>
  </si>
  <si>
    <t>ORD26004965</t>
  </si>
  <si>
    <t>CUST25532</t>
  </si>
  <si>
    <t>ORD26004966</t>
  </si>
  <si>
    <t>CUST23470</t>
  </si>
  <si>
    <t>ORD26004967</t>
  </si>
  <si>
    <t>CUST17184</t>
  </si>
  <si>
    <t>ORD26004968</t>
  </si>
  <si>
    <t>CUST81823</t>
  </si>
  <si>
    <t>ORD26004969</t>
  </si>
  <si>
    <t>CUST48492</t>
  </si>
  <si>
    <t>ORD26004970</t>
  </si>
  <si>
    <t>CUST84796</t>
  </si>
  <si>
    <t>ORD26004971</t>
  </si>
  <si>
    <t>CUST57463</t>
  </si>
  <si>
    <t>ORD26004972</t>
  </si>
  <si>
    <t>CUST97179</t>
  </si>
  <si>
    <t>ORD26004973</t>
  </si>
  <si>
    <t>CUST99479</t>
  </si>
  <si>
    <t>ORD26004974</t>
  </si>
  <si>
    <t>CUST91278</t>
  </si>
  <si>
    <t>ORD26004975</t>
  </si>
  <si>
    <t>CUST98400</t>
  </si>
  <si>
    <t>ORD26004976</t>
  </si>
  <si>
    <t>CUST69153</t>
  </si>
  <si>
    <t>ORD26004977</t>
  </si>
  <si>
    <t>CUST99188</t>
  </si>
  <si>
    <t>ORD26004978</t>
  </si>
  <si>
    <t>CUST63013</t>
  </si>
  <si>
    <t>ORD26004979</t>
  </si>
  <si>
    <t>CUST15157</t>
  </si>
  <si>
    <t>ORD26004980</t>
  </si>
  <si>
    <t>CUST90295</t>
  </si>
  <si>
    <t>ORD26004981</t>
  </si>
  <si>
    <t>CUST85160</t>
  </si>
  <si>
    <t>ORD26004982</t>
  </si>
  <si>
    <t>CUST10628</t>
  </si>
  <si>
    <t>ORD26004983</t>
  </si>
  <si>
    <t>CUST70005</t>
  </si>
  <si>
    <t>ORD26004984</t>
  </si>
  <si>
    <t>CUST61247</t>
  </si>
  <si>
    <t>ORD26004985</t>
  </si>
  <si>
    <t>CUST77568</t>
  </si>
  <si>
    <t>ORD26004986</t>
  </si>
  <si>
    <t>CUST15915</t>
  </si>
  <si>
    <t>ORD26004987</t>
  </si>
  <si>
    <t>CUST85701</t>
  </si>
  <si>
    <t>ORD26004988</t>
  </si>
  <si>
    <t>CUST51594</t>
  </si>
  <si>
    <t>ORD26004989</t>
  </si>
  <si>
    <t>CUST17438</t>
  </si>
  <si>
    <t>ORD26004990</t>
  </si>
  <si>
    <t>CUST77066</t>
  </si>
  <si>
    <t>ORD26004991</t>
  </si>
  <si>
    <t>CUST41819</t>
  </si>
  <si>
    <t>ORD26004992</t>
  </si>
  <si>
    <t>CUST96386</t>
  </si>
  <si>
    <t>ORD26004993</t>
  </si>
  <si>
    <t>CUST11089</t>
  </si>
  <si>
    <t>ORD26004994</t>
  </si>
  <si>
    <t>CUST30298</t>
  </si>
  <si>
    <t>ORD26004995</t>
  </si>
  <si>
    <t>CUST48863</t>
  </si>
  <si>
    <t>ORD26004996</t>
  </si>
  <si>
    <t>CUST73474</t>
  </si>
  <si>
    <t>ORD26004997</t>
  </si>
  <si>
    <t>CUST46951</t>
  </si>
  <si>
    <t>ORD26004998</t>
  </si>
  <si>
    <t>CUST49983</t>
  </si>
  <si>
    <t>ORD26004999</t>
  </si>
  <si>
    <t>CUST23591</t>
  </si>
  <si>
    <t>ORD26005000</t>
  </si>
  <si>
    <t>CUST33624</t>
  </si>
  <si>
    <t>ORD26005001</t>
  </si>
  <si>
    <t>CUST16215</t>
  </si>
  <si>
    <t>ORD26005002</t>
  </si>
  <si>
    <t>CUST68459</t>
  </si>
  <si>
    <t>ORD26005003</t>
  </si>
  <si>
    <t>ORD26005004</t>
  </si>
  <si>
    <t>ORD26005005</t>
  </si>
  <si>
    <t>CUST27851</t>
  </si>
  <si>
    <t>ORD26005006</t>
  </si>
  <si>
    <t>CUST53030</t>
  </si>
  <si>
    <t>ORD26005007</t>
  </si>
  <si>
    <t>CUST18388</t>
  </si>
  <si>
    <t>ORD26005008</t>
  </si>
  <si>
    <t>CUST13567</t>
  </si>
  <si>
    <t>ORD26005009</t>
  </si>
  <si>
    <t>CUST48614</t>
  </si>
  <si>
    <t>ORD26005010</t>
  </si>
  <si>
    <t>CUST63362</t>
  </si>
  <si>
    <t>ORD26005011</t>
  </si>
  <si>
    <t>CUST27839</t>
  </si>
  <si>
    <t>ORD26005012</t>
  </si>
  <si>
    <t>CUST70992</t>
  </si>
  <si>
    <t>ORD26005013</t>
  </si>
  <si>
    <t>CUST51428</t>
  </si>
  <si>
    <t>ORD26005014</t>
  </si>
  <si>
    <t>ORD26005015</t>
  </si>
  <si>
    <t>CUST33102</t>
  </si>
  <si>
    <t>ORD26005016</t>
  </si>
  <si>
    <t>CUST69843</t>
  </si>
  <si>
    <t>ORD26005017</t>
  </si>
  <si>
    <t>CUST27047</t>
  </si>
  <si>
    <t>ORD26005018</t>
  </si>
  <si>
    <t>CUST83085</t>
  </si>
  <si>
    <t>ORD26005019</t>
  </si>
  <si>
    <t>CUST49165</t>
  </si>
  <si>
    <t>ORD26005020</t>
  </si>
  <si>
    <t>CUST66755</t>
  </si>
  <si>
    <t>ORD26005021</t>
  </si>
  <si>
    <t>CUST92375</t>
  </si>
  <si>
    <t>ORD26005022</t>
  </si>
  <si>
    <t>CUST96870</t>
  </si>
  <si>
    <t>ORD26005023</t>
  </si>
  <si>
    <t>CUST51431</t>
  </si>
  <si>
    <t>ORD26005024</t>
  </si>
  <si>
    <t>CUST33016</t>
  </si>
  <si>
    <t>ORD26005025</t>
  </si>
  <si>
    <t>CUST68852</t>
  </si>
  <si>
    <t>ORD26005026</t>
  </si>
  <si>
    <t>CUST98409</t>
  </si>
  <si>
    <t>ORD26005027</t>
  </si>
  <si>
    <t>CUST31965</t>
  </si>
  <si>
    <t>ORD26005028</t>
  </si>
  <si>
    <t>CUST60021</t>
  </si>
  <si>
    <t>ORD26005029</t>
  </si>
  <si>
    <t>ORD26005030</t>
  </si>
  <si>
    <t>CUST54292</t>
  </si>
  <si>
    <t>ORD26005031</t>
  </si>
  <si>
    <t>CUST13808</t>
  </si>
  <si>
    <t>ORD26005032</t>
  </si>
  <si>
    <t>CUST83536</t>
  </si>
  <si>
    <t>ORD26005033</t>
  </si>
  <si>
    <t>CUST10950</t>
  </si>
  <si>
    <t>ORD26005034</t>
  </si>
  <si>
    <t>CUST55476</t>
  </si>
  <si>
    <t>ORD26005035</t>
  </si>
  <si>
    <t>CUST95245</t>
  </si>
  <si>
    <t>ORD26005036</t>
  </si>
  <si>
    <t>CUST43382</t>
  </si>
  <si>
    <t>ORD26005037</t>
  </si>
  <si>
    <t>CUST38616</t>
  </si>
  <si>
    <t>ORD26005038</t>
  </si>
  <si>
    <t>CUST32310</t>
  </si>
  <si>
    <t>ORD26005039</t>
  </si>
  <si>
    <t>CUST15473</t>
  </si>
  <si>
    <t>ORD26005040</t>
  </si>
  <si>
    <t>ORD26005041</t>
  </si>
  <si>
    <t>CUST64469</t>
  </si>
  <si>
    <t>ORD26005042</t>
  </si>
  <si>
    <t>ORD26005043</t>
  </si>
  <si>
    <t>ORD26005044</t>
  </si>
  <si>
    <t>CUST97975</t>
  </si>
  <si>
    <t>ORD26005045</t>
  </si>
  <si>
    <t>CUST33372</t>
  </si>
  <si>
    <t>ORD26005046</t>
  </si>
  <si>
    <t>CUST53292</t>
  </si>
  <si>
    <t>ORD26005047</t>
  </si>
  <si>
    <t>CUST65474</t>
  </si>
  <si>
    <t>ORD26005048</t>
  </si>
  <si>
    <t>CUST46575</t>
  </si>
  <si>
    <t>ORD26005049</t>
  </si>
  <si>
    <t>CUST82765</t>
  </si>
  <si>
    <t>ORD26005050</t>
  </si>
  <si>
    <t>CUST16186</t>
  </si>
  <si>
    <t>ORD26005051</t>
  </si>
  <si>
    <t>CUST41630</t>
  </si>
  <si>
    <t>ORD26005052</t>
  </si>
  <si>
    <t>CUST39339</t>
  </si>
  <si>
    <t>ORD26005053</t>
  </si>
  <si>
    <t>CUST81842</t>
  </si>
  <si>
    <t>ORD26005054</t>
  </si>
  <si>
    <t>CUST38633</t>
  </si>
  <si>
    <t>ORD26005055</t>
  </si>
  <si>
    <t>CUST70081</t>
  </si>
  <si>
    <t>ORD26005056</t>
  </si>
  <si>
    <t>CUST19290</t>
  </si>
  <si>
    <t>ORD26005057</t>
  </si>
  <si>
    <t>CUST70644</t>
  </si>
  <si>
    <t>ORD26005058</t>
  </si>
  <si>
    <t>CUST54991</t>
  </si>
  <si>
    <t>ORD26005059</t>
  </si>
  <si>
    <t>CUST95005</t>
  </si>
  <si>
    <t>ORD26005060</t>
  </si>
  <si>
    <t>CUST25038</t>
  </si>
  <si>
    <t>ORD26005061</t>
  </si>
  <si>
    <t>CUST39393</t>
  </si>
  <si>
    <t>ORD26005062</t>
  </si>
  <si>
    <t>CUST96875</t>
  </si>
  <si>
    <t>ORD26005063</t>
  </si>
  <si>
    <t>CUST94572</t>
  </si>
  <si>
    <t>ORD26005064</t>
  </si>
  <si>
    <t>CUST18795</t>
  </si>
  <si>
    <t>ORD26005065</t>
  </si>
  <si>
    <t>CUST48718</t>
  </si>
  <si>
    <t>ORD26005066</t>
  </si>
  <si>
    <t>CUST97138</t>
  </si>
  <si>
    <t>ORD26005067</t>
  </si>
  <si>
    <t>CUST13371</t>
  </si>
  <si>
    <t>ORD26005068</t>
  </si>
  <si>
    <t>CUST57497</t>
  </si>
  <si>
    <t>ORD26005069</t>
  </si>
  <si>
    <t>CUST47451</t>
  </si>
  <si>
    <t>ORD26005070</t>
  </si>
  <si>
    <t>CUST47953</t>
  </si>
  <si>
    <t>ORD26005071</t>
  </si>
  <si>
    <t>CUST82309</t>
  </si>
  <si>
    <t>ORD26005072</t>
  </si>
  <si>
    <t>CUST86414</t>
  </si>
  <si>
    <t>ORD26005073</t>
  </si>
  <si>
    <t>CUST21605</t>
  </si>
  <si>
    <t>ORD26005074</t>
  </si>
  <si>
    <t>CUST82573</t>
  </si>
  <si>
    <t>ORD26005075</t>
  </si>
  <si>
    <t>CUST40569</t>
  </si>
  <si>
    <t>ORD26005076</t>
  </si>
  <si>
    <t>CUST88751</t>
  </si>
  <si>
    <t>ORD26005077</t>
  </si>
  <si>
    <t>CUST74693</t>
  </si>
  <si>
    <t>ORD26005078</t>
  </si>
  <si>
    <t>CUST31682</t>
  </si>
  <si>
    <t>ORD26005079</t>
  </si>
  <si>
    <t>CUST22093</t>
  </si>
  <si>
    <t>ORD26005080</t>
  </si>
  <si>
    <t>CUST88950</t>
  </si>
  <si>
    <t>ORD26005081</t>
  </si>
  <si>
    <t>CUST98791</t>
  </si>
  <si>
    <t>ORD26005082</t>
  </si>
  <si>
    <t>CUST24115</t>
  </si>
  <si>
    <t>ORD26005083</t>
  </si>
  <si>
    <t>CUST35191</t>
  </si>
  <si>
    <t>ORD26005084</t>
  </si>
  <si>
    <t>CUST29871</t>
  </si>
  <si>
    <t>ORD26005085</t>
  </si>
  <si>
    <t>ORD26005086</t>
  </si>
  <si>
    <t>CUST81808</t>
  </si>
  <si>
    <t>ORD26005087</t>
  </si>
  <si>
    <t>CUST14687</t>
  </si>
  <si>
    <t>ORD26005088</t>
  </si>
  <si>
    <t>CUST30825</t>
  </si>
  <si>
    <t>ORD26005089</t>
  </si>
  <si>
    <t>CUST58218</t>
  </si>
  <si>
    <t>ORD26005090</t>
  </si>
  <si>
    <t>CUST61228</t>
  </si>
  <si>
    <t>ORD26005091</t>
  </si>
  <si>
    <t>CUST95592</t>
  </si>
  <si>
    <t>ORD26005092</t>
  </si>
  <si>
    <t>CUST37389</t>
  </si>
  <si>
    <t>ORD26005093</t>
  </si>
  <si>
    <t>CUST94212</t>
  </si>
  <si>
    <t>ORD26005094</t>
  </si>
  <si>
    <t>CUST17191</t>
  </si>
  <si>
    <t>ORD26005095</t>
  </si>
  <si>
    <t>14,497.00</t>
  </si>
  <si>
    <t>ORD26005096</t>
  </si>
  <si>
    <t>CUST12976</t>
  </si>
  <si>
    <t>ORD26005097</t>
  </si>
  <si>
    <t>CUST62022</t>
  </si>
  <si>
    <t>ORD26005098</t>
  </si>
  <si>
    <t>CUST42482</t>
  </si>
  <si>
    <t>ORD26005099</t>
  </si>
  <si>
    <t>ORD26005100</t>
  </si>
  <si>
    <t>CUST18611</t>
  </si>
  <si>
    <t>ORD26005101</t>
  </si>
  <si>
    <t>CUST38338</t>
  </si>
  <si>
    <t>ORD26005102</t>
  </si>
  <si>
    <t>CUST80060</t>
  </si>
  <si>
    <t>ORD26005103</t>
  </si>
  <si>
    <t>CUST35257</t>
  </si>
  <si>
    <t>ORD26005104</t>
  </si>
  <si>
    <t>CUST85729</t>
  </si>
  <si>
    <t>ORD26005105</t>
  </si>
  <si>
    <t>CUST81006</t>
  </si>
  <si>
    <t>ORD26005106</t>
  </si>
  <si>
    <t>CUST56670</t>
  </si>
  <si>
    <t>ORD26005107</t>
  </si>
  <si>
    <t>ORD26005108</t>
  </si>
  <si>
    <t>CUST31639</t>
  </si>
  <si>
    <t>ORD26005109</t>
  </si>
  <si>
    <t>CUST74099</t>
  </si>
  <si>
    <t>ORD26005110</t>
  </si>
  <si>
    <t>CUST79715</t>
  </si>
  <si>
    <t>ORD26005111</t>
  </si>
  <si>
    <t>CUST57722</t>
  </si>
  <si>
    <t>ORD26005112</t>
  </si>
  <si>
    <t>CUST72863</t>
  </si>
  <si>
    <t>ORD26005113</t>
  </si>
  <si>
    <t>CUST62471</t>
  </si>
  <si>
    <t>ORD26005114</t>
  </si>
  <si>
    <t>CUST73017</t>
  </si>
  <si>
    <t>ORD26005115</t>
  </si>
  <si>
    <t>CUST77223</t>
  </si>
  <si>
    <t>ORD26005116</t>
  </si>
  <si>
    <t>CUST33365</t>
  </si>
  <si>
    <t>ORD26005117</t>
  </si>
  <si>
    <t>CUST19527</t>
  </si>
  <si>
    <t>ORD26005118</t>
  </si>
  <si>
    <t>CUST35984</t>
  </si>
  <si>
    <t>ORD26005119</t>
  </si>
  <si>
    <t>CUST12901</t>
  </si>
  <si>
    <t>ORD26005120</t>
  </si>
  <si>
    <t>CUST55958</t>
  </si>
  <si>
    <t>ORD26005121</t>
  </si>
  <si>
    <t>ORD26005122</t>
  </si>
  <si>
    <t>CUST98690</t>
  </si>
  <si>
    <t>ORD26005123</t>
  </si>
  <si>
    <t>CUST63775</t>
  </si>
  <si>
    <t>2,797.00</t>
  </si>
  <si>
    <t>ORD26005124</t>
  </si>
  <si>
    <t>CUST22152</t>
  </si>
  <si>
    <t>ORD26005125</t>
  </si>
  <si>
    <t>CUST78506</t>
  </si>
  <si>
    <t>ORD26005126</t>
  </si>
  <si>
    <t>CUST95410</t>
  </si>
  <si>
    <t>ORD26005127</t>
  </si>
  <si>
    <t>CUST58188</t>
  </si>
  <si>
    <t>ORD26005128</t>
  </si>
  <si>
    <t>CUST86739</t>
  </si>
  <si>
    <t>ORD26005129</t>
  </si>
  <si>
    <t>CUST63266</t>
  </si>
  <si>
    <t>ORD26005130</t>
  </si>
  <si>
    <t>CUST44029</t>
  </si>
  <si>
    <t>ORD26005131</t>
  </si>
  <si>
    <t>CUST45652</t>
  </si>
  <si>
    <t>ORD26005132</t>
  </si>
  <si>
    <t>CUST32638</t>
  </si>
  <si>
    <t>ORD26005133</t>
  </si>
  <si>
    <t>CUST26267</t>
  </si>
  <si>
    <t>ORD26005134</t>
  </si>
  <si>
    <t>ORD26005135</t>
  </si>
  <si>
    <t>CUST72387</t>
  </si>
  <si>
    <t>ORD26005136</t>
  </si>
  <si>
    <t>CUST11570</t>
  </si>
  <si>
    <t>1,998.00</t>
  </si>
  <si>
    <t>ORD26005137</t>
  </si>
  <si>
    <t>CUST45507</t>
  </si>
  <si>
    <t>11847.0</t>
  </si>
  <si>
    <t>ORD26005138</t>
  </si>
  <si>
    <t>ORD26005139</t>
  </si>
  <si>
    <t>CUST37899</t>
  </si>
  <si>
    <t>ORD26005140</t>
  </si>
  <si>
    <t>CUST89434</t>
  </si>
  <si>
    <t>ORD26005141</t>
  </si>
  <si>
    <t>CUST16949</t>
  </si>
  <si>
    <t>ORD26005142</t>
  </si>
  <si>
    <t>CUST26442</t>
  </si>
  <si>
    <t>ORD26005143</t>
  </si>
  <si>
    <t>CUST41379</t>
  </si>
  <si>
    <t>ORD26005144</t>
  </si>
  <si>
    <t>CUST84223</t>
  </si>
  <si>
    <t>ORD26005145</t>
  </si>
  <si>
    <t>CUST32771</t>
  </si>
  <si>
    <t>ORD26005146</t>
  </si>
  <si>
    <t>CUST81017</t>
  </si>
  <si>
    <t>ORD26005147</t>
  </si>
  <si>
    <t>CUST71849</t>
  </si>
  <si>
    <t>ORD26005148</t>
  </si>
  <si>
    <t>CUST96447</t>
  </si>
  <si>
    <t>ORD26005149</t>
  </si>
  <si>
    <t>CUST93520</t>
  </si>
  <si>
    <t>ORD26005150</t>
  </si>
  <si>
    <t>ORD26005151</t>
  </si>
  <si>
    <t>CUST78385</t>
  </si>
  <si>
    <t>ORD26005152</t>
  </si>
  <si>
    <t>ORD26005153</t>
  </si>
  <si>
    <t>CUST43368</t>
  </si>
  <si>
    <t>ORD26005154</t>
  </si>
  <si>
    <t>CUST85571</t>
  </si>
  <si>
    <t>ORD26005155</t>
  </si>
  <si>
    <t>CUST74156</t>
  </si>
  <si>
    <t>ORD26005156</t>
  </si>
  <si>
    <t>CUST34212</t>
  </si>
  <si>
    <t>ORD26005157</t>
  </si>
  <si>
    <t>CUST74956</t>
  </si>
  <si>
    <t>ORD26005158</t>
  </si>
  <si>
    <t>CUST92906</t>
  </si>
  <si>
    <t>ORD26005159</t>
  </si>
  <si>
    <t>CUST21343</t>
  </si>
  <si>
    <t>ORD26005160</t>
  </si>
  <si>
    <t>CUST63238</t>
  </si>
  <si>
    <t>ORD26005161</t>
  </si>
  <si>
    <t>ORD26005162</t>
  </si>
  <si>
    <t>CUST38181</t>
  </si>
  <si>
    <t>ORD26005163</t>
  </si>
  <si>
    <t>CUST97639</t>
  </si>
  <si>
    <t>ORD26005164</t>
  </si>
  <si>
    <t>ORD26005165</t>
  </si>
  <si>
    <t>CUST73886</t>
  </si>
  <si>
    <t>ORD26005166</t>
  </si>
  <si>
    <t>CUST64645</t>
  </si>
  <si>
    <t>ORD26005167</t>
  </si>
  <si>
    <t>CUST14603</t>
  </si>
  <si>
    <t>ORD26005168</t>
  </si>
  <si>
    <t>CUST98131</t>
  </si>
  <si>
    <t>ORD26005169</t>
  </si>
  <si>
    <t>CUST33068</t>
  </si>
  <si>
    <t>ORD26005170</t>
  </si>
  <si>
    <t>CUST98237</t>
  </si>
  <si>
    <t>ORD26005171</t>
  </si>
  <si>
    <t>CUST71720</t>
  </si>
  <si>
    <t>ORD26005172</t>
  </si>
  <si>
    <t>CUST23495</t>
  </si>
  <si>
    <t>6,147.00</t>
  </si>
  <si>
    <t>ORD26005173</t>
  </si>
  <si>
    <t>CUST15289</t>
  </si>
  <si>
    <t>ORD26005174</t>
  </si>
  <si>
    <t>CUST34366</t>
  </si>
  <si>
    <t>ORD26005175</t>
  </si>
  <si>
    <t>CUST60979</t>
  </si>
  <si>
    <t>ORD26005176</t>
  </si>
  <si>
    <t>CUST11325</t>
  </si>
  <si>
    <t>ORD26005177</t>
  </si>
  <si>
    <t>CUST15140</t>
  </si>
  <si>
    <t>ORD26005178</t>
  </si>
  <si>
    <t>CUST94842</t>
  </si>
  <si>
    <t>ORD26005179</t>
  </si>
  <si>
    <t>CUST54905</t>
  </si>
  <si>
    <t>ORD26005180</t>
  </si>
  <si>
    <t>CUST18106</t>
  </si>
  <si>
    <t>ORD26005181</t>
  </si>
  <si>
    <t>CUST88706</t>
  </si>
  <si>
    <t>ORD26005182</t>
  </si>
  <si>
    <t>CUST43799</t>
  </si>
  <si>
    <t>ORD26005183</t>
  </si>
  <si>
    <t>CUST78109</t>
  </si>
  <si>
    <t>ORD26005184</t>
  </si>
  <si>
    <t>CUST75181</t>
  </si>
  <si>
    <t>ORD26005185</t>
  </si>
  <si>
    <t>CUST40549</t>
  </si>
  <si>
    <t>ORD26005186</t>
  </si>
  <si>
    <t>CUST16973</t>
  </si>
  <si>
    <t>ORD26005187</t>
  </si>
  <si>
    <t>CUST14460</t>
  </si>
  <si>
    <t>ORD26005188</t>
  </si>
  <si>
    <t>CUST35775</t>
  </si>
  <si>
    <t>ORD26005189</t>
  </si>
  <si>
    <t>CUST62248</t>
  </si>
  <si>
    <t>ORD26005190</t>
  </si>
  <si>
    <t>CUST11656</t>
  </si>
  <si>
    <t>ORD26005191</t>
  </si>
  <si>
    <t>CUST94111</t>
  </si>
  <si>
    <t>ORD26005192</t>
  </si>
  <si>
    <t>CUST60546</t>
  </si>
  <si>
    <t>ORD26005193</t>
  </si>
  <si>
    <t>CUST50260</t>
  </si>
  <si>
    <t>ORD26005194</t>
  </si>
  <si>
    <t>CUST39157</t>
  </si>
  <si>
    <t>1847.0</t>
  </si>
  <si>
    <t>ORD26005195</t>
  </si>
  <si>
    <t>CUST29066</t>
  </si>
  <si>
    <t>ORD26005196</t>
  </si>
  <si>
    <t>ORD26005197</t>
  </si>
  <si>
    <t>CUST89066</t>
  </si>
  <si>
    <t>ORD26005198</t>
  </si>
  <si>
    <t>CUST98830</t>
  </si>
  <si>
    <t>ORD26005199</t>
  </si>
  <si>
    <t>CUST59038</t>
  </si>
  <si>
    <t>ORD26005200</t>
  </si>
  <si>
    <t>CUST99777</t>
  </si>
  <si>
    <t>ORD26005201</t>
  </si>
  <si>
    <t>CUST95111</t>
  </si>
  <si>
    <t>ORD26005202</t>
  </si>
  <si>
    <t>CUST49015</t>
  </si>
  <si>
    <t>ORD26005203</t>
  </si>
  <si>
    <t>CUST98937</t>
  </si>
  <si>
    <t>ORD26005204</t>
  </si>
  <si>
    <t>CUST90692</t>
  </si>
  <si>
    <t>ORD26005205</t>
  </si>
  <si>
    <t>CUST71564</t>
  </si>
  <si>
    <t>ORD26005206</t>
  </si>
  <si>
    <t>CUST62486</t>
  </si>
  <si>
    <t>ORD26005207</t>
  </si>
  <si>
    <t>CUST39865</t>
  </si>
  <si>
    <t>ORD26005208</t>
  </si>
  <si>
    <t>CUST10946</t>
  </si>
  <si>
    <t>ORD26005209</t>
  </si>
  <si>
    <t>ORD26005210</t>
  </si>
  <si>
    <t>CUST74303</t>
  </si>
  <si>
    <t>ORD26005211</t>
  </si>
  <si>
    <t>CUST96794</t>
  </si>
  <si>
    <t>ORD26005212</t>
  </si>
  <si>
    <t>CUST31986</t>
  </si>
  <si>
    <t>ORD26005213</t>
  </si>
  <si>
    <t>CUST34364</t>
  </si>
  <si>
    <t>ORD26005214</t>
  </si>
  <si>
    <t>CUST83961</t>
  </si>
  <si>
    <t>ORD26005215</t>
  </si>
  <si>
    <t>CUST22587</t>
  </si>
  <si>
    <t>ORD26005216</t>
  </si>
  <si>
    <t>CUST66464</t>
  </si>
  <si>
    <t>ORD26005217</t>
  </si>
  <si>
    <t>CUST30218</t>
  </si>
  <si>
    <t>ORD26005218</t>
  </si>
  <si>
    <t>CUST84844</t>
  </si>
  <si>
    <t>ORD26005219</t>
  </si>
  <si>
    <t>CUST46620</t>
  </si>
  <si>
    <t>ORD26005220</t>
  </si>
  <si>
    <t>CUST13042</t>
  </si>
  <si>
    <t>ORD26005221</t>
  </si>
  <si>
    <t>ORD26005222</t>
  </si>
  <si>
    <t>CUST42364</t>
  </si>
  <si>
    <t>ORD26005223</t>
  </si>
  <si>
    <t>CUST37971</t>
  </si>
  <si>
    <t>10,498.00</t>
  </si>
  <si>
    <t>ORD26005224</t>
  </si>
  <si>
    <t>CUST52674</t>
  </si>
  <si>
    <t>ORD26005225</t>
  </si>
  <si>
    <t>CUST21518</t>
  </si>
  <si>
    <t>ORD26005226</t>
  </si>
  <si>
    <t>CUST68004</t>
  </si>
  <si>
    <t>ORD26005227</t>
  </si>
  <si>
    <t>CUST45840</t>
  </si>
  <si>
    <t>ORD26005228</t>
  </si>
  <si>
    <t>CUST76599</t>
  </si>
  <si>
    <t>ORD26005229</t>
  </si>
  <si>
    <t>CUST52384</t>
  </si>
  <si>
    <t>ORD26005230</t>
  </si>
  <si>
    <t>ORD26005231</t>
  </si>
  <si>
    <t>CUST39136</t>
  </si>
  <si>
    <t>ORD26005232</t>
  </si>
  <si>
    <t>CUST53250</t>
  </si>
  <si>
    <t>ORD26005233</t>
  </si>
  <si>
    <t>CUST14219</t>
  </si>
  <si>
    <t>ORD26005234</t>
  </si>
  <si>
    <t>CUST53269</t>
  </si>
  <si>
    <t>ORD26005235</t>
  </si>
  <si>
    <t>CUST86992</t>
  </si>
  <si>
    <t>ORD26005236</t>
  </si>
  <si>
    <t>CUST86393</t>
  </si>
  <si>
    <t>ORD26005237</t>
  </si>
  <si>
    <t>CUST54306</t>
  </si>
  <si>
    <t>ORD26005238</t>
  </si>
  <si>
    <t>CUST51026</t>
  </si>
  <si>
    <t>ORD26005239</t>
  </si>
  <si>
    <t>CUST93686</t>
  </si>
  <si>
    <t>ORD26005240</t>
  </si>
  <si>
    <t>CUST78306</t>
  </si>
  <si>
    <t>ORD26005241</t>
  </si>
  <si>
    <t>ORD26005242</t>
  </si>
  <si>
    <t>CUST10042</t>
  </si>
  <si>
    <t>ORD26005243</t>
  </si>
  <si>
    <t>CUST77981</t>
  </si>
  <si>
    <t>ORD26005244</t>
  </si>
  <si>
    <t>CUST56375</t>
  </si>
  <si>
    <t>ORD26005245</t>
  </si>
  <si>
    <t>CUST95730</t>
  </si>
  <si>
    <t>ORD26005246</t>
  </si>
  <si>
    <t>CUST34863</t>
  </si>
  <si>
    <t>ORD26005247</t>
  </si>
  <si>
    <t>CUST98059</t>
  </si>
  <si>
    <t>ORD26005248</t>
  </si>
  <si>
    <t>CUST96542</t>
  </si>
  <si>
    <t>ORD26005249</t>
  </si>
  <si>
    <t>CUST29346</t>
  </si>
  <si>
    <t>ORD26005250</t>
  </si>
  <si>
    <t>CUST83203</t>
  </si>
  <si>
    <t>ORD26005251</t>
  </si>
  <si>
    <t>CUST87462</t>
  </si>
  <si>
    <t>ORD26005252</t>
  </si>
  <si>
    <t>CUST56270</t>
  </si>
  <si>
    <t>ORD26005253</t>
  </si>
  <si>
    <t>CUST44758</t>
  </si>
  <si>
    <t>ORD26005254</t>
  </si>
  <si>
    <t>CUST19573</t>
  </si>
  <si>
    <t>ORD26005255</t>
  </si>
  <si>
    <t>CUST68846</t>
  </si>
  <si>
    <t>ORD26005256</t>
  </si>
  <si>
    <t>CUST33765</t>
  </si>
  <si>
    <t>ORD26005257</t>
  </si>
  <si>
    <t>CUST60899</t>
  </si>
  <si>
    <t>4,297.00</t>
  </si>
  <si>
    <t>ORD26005258</t>
  </si>
  <si>
    <t>CUST22229</t>
  </si>
  <si>
    <t>ORD26005259</t>
  </si>
  <si>
    <t>CUST18319</t>
  </si>
  <si>
    <t>ORD26005260</t>
  </si>
  <si>
    <t>CUST94550</t>
  </si>
  <si>
    <t>ORD26005261</t>
  </si>
  <si>
    <t>CUST33869</t>
  </si>
  <si>
    <t>ORD26005262</t>
  </si>
  <si>
    <t>CUST27780</t>
  </si>
  <si>
    <t>ORD26005263</t>
  </si>
  <si>
    <t>CUST96867</t>
  </si>
  <si>
    <t>ORD26005264</t>
  </si>
  <si>
    <t>CUST23822</t>
  </si>
  <si>
    <t>ORD26005265</t>
  </si>
  <si>
    <t>CUST63026</t>
  </si>
  <si>
    <t>ORD26005266</t>
  </si>
  <si>
    <t>CUST18533</t>
  </si>
  <si>
    <t>ORD26005267</t>
  </si>
  <si>
    <t>CUST78008</t>
  </si>
  <si>
    <t>ORD26005268</t>
  </si>
  <si>
    <t>CUST82980</t>
  </si>
  <si>
    <t>ORD26005269</t>
  </si>
  <si>
    <t>CUST15570</t>
  </si>
  <si>
    <t>ORD26005270</t>
  </si>
  <si>
    <t>ORD26005271</t>
  </si>
  <si>
    <t>CUST44552</t>
  </si>
  <si>
    <t>ORD26005272</t>
  </si>
  <si>
    <t>ORD26005273</t>
  </si>
  <si>
    <t>CUST69864</t>
  </si>
  <si>
    <t>ORD26005274</t>
  </si>
  <si>
    <t>CUST93581</t>
  </si>
  <si>
    <t>ORD26005275</t>
  </si>
  <si>
    <t>CUST28567</t>
  </si>
  <si>
    <t>ORD26005276</t>
  </si>
  <si>
    <t>CUST12107</t>
  </si>
  <si>
    <t>ORD26005277</t>
  </si>
  <si>
    <t>ORD26005278</t>
  </si>
  <si>
    <t>ORD26005279</t>
  </si>
  <si>
    <t>CUST55271</t>
  </si>
  <si>
    <t>ORD26005280</t>
  </si>
  <si>
    <t>CUST74929</t>
  </si>
  <si>
    <t>ORD26005281</t>
  </si>
  <si>
    <t>CUST59194</t>
  </si>
  <si>
    <t>ORD26005282</t>
  </si>
  <si>
    <t>CUST60779</t>
  </si>
  <si>
    <t>ORD26005283</t>
  </si>
  <si>
    <t>CUST27970</t>
  </si>
  <si>
    <t>ORD26005284</t>
  </si>
  <si>
    <t>CUST26708</t>
  </si>
  <si>
    <t>ORD26005285</t>
  </si>
  <si>
    <t>CUST98489</t>
  </si>
  <si>
    <t>ORD26005286</t>
  </si>
  <si>
    <t>CUST75226</t>
  </si>
  <si>
    <t>ORD26005287</t>
  </si>
  <si>
    <t>CUST75174</t>
  </si>
  <si>
    <t>ORD26005288</t>
  </si>
  <si>
    <t>CUST45850</t>
  </si>
  <si>
    <t>ORD26005289</t>
  </si>
  <si>
    <t>CUST14436</t>
  </si>
  <si>
    <t>ORD26005290</t>
  </si>
  <si>
    <t>CUST50488</t>
  </si>
  <si>
    <t>ORD26005291</t>
  </si>
  <si>
    <t>CUST17414</t>
  </si>
  <si>
    <t>ORD26005292</t>
  </si>
  <si>
    <t>CUST39840</t>
  </si>
  <si>
    <t>ORD26005293</t>
  </si>
  <si>
    <t>CUST58688</t>
  </si>
  <si>
    <t>ORD26005294</t>
  </si>
  <si>
    <t>CUST47769</t>
  </si>
  <si>
    <t>ORD26005295</t>
  </si>
  <si>
    <t>ORD26005296</t>
  </si>
  <si>
    <t>CUST39651</t>
  </si>
  <si>
    <t>ORD26005297</t>
  </si>
  <si>
    <t>CUST14059</t>
  </si>
  <si>
    <t>ORD26005298</t>
  </si>
  <si>
    <t>CUST35799</t>
  </si>
  <si>
    <t>ORD26005299</t>
  </si>
  <si>
    <t>CUST49811</t>
  </si>
  <si>
    <t>ORD26005300</t>
  </si>
  <si>
    <t>CUST79586</t>
  </si>
  <si>
    <t>ORD26005301</t>
  </si>
  <si>
    <t>CUST99319</t>
  </si>
  <si>
    <t>ORD26005302</t>
  </si>
  <si>
    <t>CUST99268</t>
  </si>
  <si>
    <t>ORD26005303</t>
  </si>
  <si>
    <t>CUST55063</t>
  </si>
  <si>
    <t>ORD26005304</t>
  </si>
  <si>
    <t>CUST53580</t>
  </si>
  <si>
    <t>ORD26005305</t>
  </si>
  <si>
    <t>CUST26711</t>
  </si>
  <si>
    <t>ORD26005306</t>
  </si>
  <si>
    <t>CUST74748</t>
  </si>
  <si>
    <t>ORD26005307</t>
  </si>
  <si>
    <t>CUST52195</t>
  </si>
  <si>
    <t>ORD26005308</t>
  </si>
  <si>
    <t>CUST99071</t>
  </si>
  <si>
    <t>ORD26005309</t>
  </si>
  <si>
    <t>CUST42706</t>
  </si>
  <si>
    <t>ORD26005310</t>
  </si>
  <si>
    <t>CUST76949</t>
  </si>
  <si>
    <t>ORD26005311</t>
  </si>
  <si>
    <t>CUST59766</t>
  </si>
  <si>
    <t>ORD26005312</t>
  </si>
  <si>
    <t>CUST74899</t>
  </si>
  <si>
    <t>ORD26005313</t>
  </si>
  <si>
    <t>CUST26958</t>
  </si>
  <si>
    <t>ORD26005314</t>
  </si>
  <si>
    <t>CUST38199</t>
  </si>
  <si>
    <t>ORD26005315</t>
  </si>
  <si>
    <t>CUST27860</t>
  </si>
  <si>
    <t>ORD26005316</t>
  </si>
  <si>
    <t>CUST48736</t>
  </si>
  <si>
    <t>ORD26005317</t>
  </si>
  <si>
    <t>CUST11995</t>
  </si>
  <si>
    <t>ORD26005318</t>
  </si>
  <si>
    <t>CUST88315</t>
  </si>
  <si>
    <t>ORD26005319</t>
  </si>
  <si>
    <t>CUST36835</t>
  </si>
  <si>
    <t>ORD26005320</t>
  </si>
  <si>
    <t>CUST26053</t>
  </si>
  <si>
    <t>ORD26005321</t>
  </si>
  <si>
    <t>CUST86104</t>
  </si>
  <si>
    <t>ORD26005322</t>
  </si>
  <si>
    <t>CUST13296</t>
  </si>
  <si>
    <t>ORD26005323</t>
  </si>
  <si>
    <t>CUST49521</t>
  </si>
  <si>
    <t>ORD26005324</t>
  </si>
  <si>
    <t>CUST82292</t>
  </si>
  <si>
    <t>ORD26005325</t>
  </si>
  <si>
    <t>CUST72411</t>
  </si>
  <si>
    <t>ORD26005326</t>
  </si>
  <si>
    <t>CUST27148</t>
  </si>
  <si>
    <t>ORD26005327</t>
  </si>
  <si>
    <t>CUST69813</t>
  </si>
  <si>
    <t>ORD26005328</t>
  </si>
  <si>
    <t>CUST86463</t>
  </si>
  <si>
    <t>ORD26005329</t>
  </si>
  <si>
    <t>CUST40030</t>
  </si>
  <si>
    <t>ORD26005330</t>
  </si>
  <si>
    <t>CUST11806</t>
  </si>
  <si>
    <t>ORD26005331</t>
  </si>
  <si>
    <t>CUST78860</t>
  </si>
  <si>
    <t>ORD26005332</t>
  </si>
  <si>
    <t>CUST75060</t>
  </si>
  <si>
    <t>ORD26005333</t>
  </si>
  <si>
    <t>CUST56301</t>
  </si>
  <si>
    <t>ORD26005334</t>
  </si>
  <si>
    <t>CUST28251</t>
  </si>
  <si>
    <t>ORD26005335</t>
  </si>
  <si>
    <t>CUST94543</t>
  </si>
  <si>
    <t>ORD26005336</t>
  </si>
  <si>
    <t>CUST75987</t>
  </si>
  <si>
    <t>ORD26005337</t>
  </si>
  <si>
    <t>CUST67719</t>
  </si>
  <si>
    <t>ORD26005338</t>
  </si>
  <si>
    <t>CUST35894</t>
  </si>
  <si>
    <t>ORD26005339</t>
  </si>
  <si>
    <t>CUST66477</t>
  </si>
  <si>
    <t>ORD26005340</t>
  </si>
  <si>
    <t>CUST14254</t>
  </si>
  <si>
    <t>ORD26005341</t>
  </si>
  <si>
    <t>ORD26005342</t>
  </si>
  <si>
    <t>CUST83717</t>
  </si>
  <si>
    <t>ORD26005343</t>
  </si>
  <si>
    <t>CUST56069</t>
  </si>
  <si>
    <t>ORD26005344</t>
  </si>
  <si>
    <t>CUST40807</t>
  </si>
  <si>
    <t>ORD26005345</t>
  </si>
  <si>
    <t>CUST39559</t>
  </si>
  <si>
    <t>ORD26005346</t>
  </si>
  <si>
    <t>CUST85941</t>
  </si>
  <si>
    <t>ORD26005347</t>
  </si>
  <si>
    <t>CUST91975</t>
  </si>
  <si>
    <t>ORD26005348</t>
  </si>
  <si>
    <t>CUST85210</t>
  </si>
  <si>
    <t>ORD26005349</t>
  </si>
  <si>
    <t>CUST61626</t>
  </si>
  <si>
    <t>ORD26005350</t>
  </si>
  <si>
    <t>CUST74536</t>
  </si>
  <si>
    <t>ORD26005351</t>
  </si>
  <si>
    <t>CUST65724</t>
  </si>
  <si>
    <t>ORD26005352</t>
  </si>
  <si>
    <t>CUST19564</t>
  </si>
  <si>
    <t>ORD26005353</t>
  </si>
  <si>
    <t>CUST81791</t>
  </si>
  <si>
    <t>ORD26005354</t>
  </si>
  <si>
    <t>CUST27075</t>
  </si>
  <si>
    <t>ORD26005355</t>
  </si>
  <si>
    <t>CUST63220</t>
  </si>
  <si>
    <t>ORD26005356</t>
  </si>
  <si>
    <t>CUST89926</t>
  </si>
  <si>
    <t>ORD26005357</t>
  </si>
  <si>
    <t>CUST34042</t>
  </si>
  <si>
    <t>ORD26005358</t>
  </si>
  <si>
    <t>CUST44281</t>
  </si>
  <si>
    <t>ORD26005359</t>
  </si>
  <si>
    <t>CUST61613</t>
  </si>
  <si>
    <t>ORD26005360</t>
  </si>
  <si>
    <t>CUST70328</t>
  </si>
  <si>
    <t>ORD26005361</t>
  </si>
  <si>
    <t>CUST89008</t>
  </si>
  <si>
    <t>ORD26005362</t>
  </si>
  <si>
    <t>CUST13507</t>
  </si>
  <si>
    <t>ORD26005363</t>
  </si>
  <si>
    <t>CUST69256</t>
  </si>
  <si>
    <t>ORD26005364</t>
  </si>
  <si>
    <t>CUST35384</t>
  </si>
  <si>
    <t>ORD26005365</t>
  </si>
  <si>
    <t>CUST76704</t>
  </si>
  <si>
    <t>ORD26005366</t>
  </si>
  <si>
    <t>CUST91323</t>
  </si>
  <si>
    <t>ORD26005367</t>
  </si>
  <si>
    <t>CUST68186</t>
  </si>
  <si>
    <t>15,997.00</t>
  </si>
  <si>
    <t>ORD26005368</t>
  </si>
  <si>
    <t>CUST25537</t>
  </si>
  <si>
    <t>ORD26005369</t>
  </si>
  <si>
    <t>CUST71150</t>
  </si>
  <si>
    <t>ORD26005370</t>
  </si>
  <si>
    <t>CUST86839</t>
  </si>
  <si>
    <t>8,997.00</t>
  </si>
  <si>
    <t>ORD26005371</t>
  </si>
  <si>
    <t>CUST93997</t>
  </si>
  <si>
    <t>ORD26005372</t>
  </si>
  <si>
    <t>CUST98283</t>
  </si>
  <si>
    <t>ORD26005373</t>
  </si>
  <si>
    <t>CUST72763</t>
  </si>
  <si>
    <t>ORD26005374</t>
  </si>
  <si>
    <t>CUST63834</t>
  </si>
  <si>
    <t>ORD26005375</t>
  </si>
  <si>
    <t>CUST61853</t>
  </si>
  <si>
    <t>ORD26005376</t>
  </si>
  <si>
    <t>CUST44581</t>
  </si>
  <si>
    <t>ORD26005377</t>
  </si>
  <si>
    <t>ORD26005378</t>
  </si>
  <si>
    <t>CUST41275</t>
  </si>
  <si>
    <t>ORD26005379</t>
  </si>
  <si>
    <t>CUST93692</t>
  </si>
  <si>
    <t>ORD26005380</t>
  </si>
  <si>
    <t>CUST32236</t>
  </si>
  <si>
    <t>ORD26005381</t>
  </si>
  <si>
    <t>CUST78710</t>
  </si>
  <si>
    <t>ORD26005382</t>
  </si>
  <si>
    <t>CUST13537</t>
  </si>
  <si>
    <t>ORD26005383</t>
  </si>
  <si>
    <t>CUST73181</t>
  </si>
  <si>
    <t>ORD26005384</t>
  </si>
  <si>
    <t>CUST79950</t>
  </si>
  <si>
    <t>ORD26005385</t>
  </si>
  <si>
    <t>CUST42463</t>
  </si>
  <si>
    <t>ORD26005386</t>
  </si>
  <si>
    <t>CUST46267</t>
  </si>
  <si>
    <t>ORD26005387</t>
  </si>
  <si>
    <t>CUST46023</t>
  </si>
  <si>
    <t>ORD26005388</t>
  </si>
  <si>
    <t>CUST43759</t>
  </si>
  <si>
    <t>ORD26005389</t>
  </si>
  <si>
    <t>CUST63426</t>
  </si>
  <si>
    <t>ORD26005390</t>
  </si>
  <si>
    <t>CUST66607</t>
  </si>
  <si>
    <t>ORD26005391</t>
  </si>
  <si>
    <t>CUST44927</t>
  </si>
  <si>
    <t>ORD26005392</t>
  </si>
  <si>
    <t>CUST27890</t>
  </si>
  <si>
    <t>ORD26005393</t>
  </si>
  <si>
    <t>CUST29219</t>
  </si>
  <si>
    <t>ORD26005394</t>
  </si>
  <si>
    <t>CUST21637</t>
  </si>
  <si>
    <t>ORD26005395</t>
  </si>
  <si>
    <t>CUST99399</t>
  </si>
  <si>
    <t>ORD26005396</t>
  </si>
  <si>
    <t>CUST87581</t>
  </si>
  <si>
    <t>ORD26005397</t>
  </si>
  <si>
    <t>CUST40940</t>
  </si>
  <si>
    <t>ORD26005398</t>
  </si>
  <si>
    <t>CUST68613</t>
  </si>
  <si>
    <t>ORD26005399</t>
  </si>
  <si>
    <t>CUST55080</t>
  </si>
  <si>
    <t>ORD26005400</t>
  </si>
  <si>
    <t>CUST62885</t>
  </si>
  <si>
    <t>ORD26005401</t>
  </si>
  <si>
    <t>CUST21166</t>
  </si>
  <si>
    <t>ORD26005402</t>
  </si>
  <si>
    <t>CUST62314</t>
  </si>
  <si>
    <t>ORD26005403</t>
  </si>
  <si>
    <t>CUST70518</t>
  </si>
  <si>
    <t>ORD26005404</t>
  </si>
  <si>
    <t>CUST98102</t>
  </si>
  <si>
    <t>ORD26005405</t>
  </si>
  <si>
    <t>CUST11177</t>
  </si>
  <si>
    <t>ORD26005406</t>
  </si>
  <si>
    <t>CUST15881</t>
  </si>
  <si>
    <t>ORD26005407</t>
  </si>
  <si>
    <t>CUST75006</t>
  </si>
  <si>
    <t>ORD26005408</t>
  </si>
  <si>
    <t>CUST67850</t>
  </si>
  <si>
    <t>ORD26005409</t>
  </si>
  <si>
    <t>CUST39884</t>
  </si>
  <si>
    <t>ORD26005410</t>
  </si>
  <si>
    <t>CUST53065</t>
  </si>
  <si>
    <t>ORD26005411</t>
  </si>
  <si>
    <t>CUST72810</t>
  </si>
  <si>
    <t>ORD26005412</t>
  </si>
  <si>
    <t>CUST69203</t>
  </si>
  <si>
    <t>ORD26005413</t>
  </si>
  <si>
    <t>CUST43597</t>
  </si>
  <si>
    <t>ORD26005414</t>
  </si>
  <si>
    <t>ORD26005415</t>
  </si>
  <si>
    <t>CUST82197</t>
  </si>
  <si>
    <t>ORD26005416</t>
  </si>
  <si>
    <t>CUST34404</t>
  </si>
  <si>
    <t>ORD26005417</t>
  </si>
  <si>
    <t>CUST30252</t>
  </si>
  <si>
    <t>ORD26005418</t>
  </si>
  <si>
    <t>CUST37095</t>
  </si>
  <si>
    <t>ORD26005419</t>
  </si>
  <si>
    <t>CUST62717</t>
  </si>
  <si>
    <t>ORD26005420</t>
  </si>
  <si>
    <t>CUST31644</t>
  </si>
  <si>
    <t>ORD26005421</t>
  </si>
  <si>
    <t>CUST13847</t>
  </si>
  <si>
    <t>ORD26005422</t>
  </si>
  <si>
    <t>CUST17880</t>
  </si>
  <si>
    <t>ORD26005423</t>
  </si>
  <si>
    <t>CUST92307</t>
  </si>
  <si>
    <t>ORD26005424</t>
  </si>
  <si>
    <t>CUST10573</t>
  </si>
  <si>
    <t>ORD26005425</t>
  </si>
  <si>
    <t>CUST28354</t>
  </si>
  <si>
    <t>ORD26005426</t>
  </si>
  <si>
    <t>CUST49446</t>
  </si>
  <si>
    <t>ORD26005427</t>
  </si>
  <si>
    <t>ORD26005428</t>
  </si>
  <si>
    <t>CUST57043</t>
  </si>
  <si>
    <t>ORD26005429</t>
  </si>
  <si>
    <t>CUST78869</t>
  </si>
  <si>
    <t>ORD26005430</t>
  </si>
  <si>
    <t>CUST23759</t>
  </si>
  <si>
    <t>ORD26005431</t>
  </si>
  <si>
    <t>CUST98931</t>
  </si>
  <si>
    <t>ORD26005432</t>
  </si>
  <si>
    <t>CUST27236</t>
  </si>
  <si>
    <t>ORD26005433</t>
  </si>
  <si>
    <t>CUST57858</t>
  </si>
  <si>
    <t>ORD26005434</t>
  </si>
  <si>
    <t>CUST20389</t>
  </si>
  <si>
    <t>ORD26005435</t>
  </si>
  <si>
    <t>CUST77279</t>
  </si>
  <si>
    <t>ORD26005436</t>
  </si>
  <si>
    <t>CUST49758</t>
  </si>
  <si>
    <t>ORD26005437</t>
  </si>
  <si>
    <t>CUST11952</t>
  </si>
  <si>
    <t>ORD26005438</t>
  </si>
  <si>
    <t>CUST52642</t>
  </si>
  <si>
    <t>ORD26005439</t>
  </si>
  <si>
    <t>CUST48073</t>
  </si>
  <si>
    <t>ORD26005440</t>
  </si>
  <si>
    <t>CUST88074</t>
  </si>
  <si>
    <t>ORD26005441</t>
  </si>
  <si>
    <t>CUST37568</t>
  </si>
  <si>
    <t>ORD26005442</t>
  </si>
  <si>
    <t>CUST76556</t>
  </si>
  <si>
    <t>ORD26005443</t>
  </si>
  <si>
    <t>CUST68592</t>
  </si>
  <si>
    <t>ORD26005444</t>
  </si>
  <si>
    <t>ORD26005445</t>
  </si>
  <si>
    <t>CUST47808</t>
  </si>
  <si>
    <t>ORD26005446</t>
  </si>
  <si>
    <t>CUST12231</t>
  </si>
  <si>
    <t>ORD26005447</t>
  </si>
  <si>
    <t>CUST47251</t>
  </si>
  <si>
    <t>ORD26005448</t>
  </si>
  <si>
    <t>CUST44753</t>
  </si>
  <si>
    <t>ORD26005449</t>
  </si>
  <si>
    <t>CUST65282</t>
  </si>
  <si>
    <t>ORD26005450</t>
  </si>
  <si>
    <t>CUST13915</t>
  </si>
  <si>
    <t>ORD26005451</t>
  </si>
  <si>
    <t>CUST12729</t>
  </si>
  <si>
    <t>ORD26005452</t>
  </si>
  <si>
    <t>CUST30059</t>
  </si>
  <si>
    <t>ORD26005453</t>
  </si>
  <si>
    <t>CUST47096</t>
  </si>
  <si>
    <t>ORD26005454</t>
  </si>
  <si>
    <t>CUST93488</t>
  </si>
  <si>
    <t>ORD26005455</t>
  </si>
  <si>
    <t>CUST41543</t>
  </si>
  <si>
    <t>ORD26005456</t>
  </si>
  <si>
    <t>CUST57648</t>
  </si>
  <si>
    <t>ORD26005457</t>
  </si>
  <si>
    <t>CUST96974</t>
  </si>
  <si>
    <t>ORD26005458</t>
  </si>
  <si>
    <t>CUST64344</t>
  </si>
  <si>
    <t>ORD26005459</t>
  </si>
  <si>
    <t>CUST11019</t>
  </si>
  <si>
    <t>ORD26005460</t>
  </si>
  <si>
    <t>CUST16660</t>
  </si>
  <si>
    <t>ORD26005461</t>
  </si>
  <si>
    <t>CUST99193</t>
  </si>
  <si>
    <t>ORD26005462</t>
  </si>
  <si>
    <t>CUST85901</t>
  </si>
  <si>
    <t>ORD26005463</t>
  </si>
  <si>
    <t>CUST16058</t>
  </si>
  <si>
    <t>ORD26005464</t>
  </si>
  <si>
    <t>CUST14724</t>
  </si>
  <si>
    <t>ORD26005465</t>
  </si>
  <si>
    <t>CUST21533</t>
  </si>
  <si>
    <t>ORD26005466</t>
  </si>
  <si>
    <t>CUST20260</t>
  </si>
  <si>
    <t>ORD26005467</t>
  </si>
  <si>
    <t>CUST63201</t>
  </si>
  <si>
    <t>ORD26005468</t>
  </si>
  <si>
    <t>CUST41111</t>
  </si>
  <si>
    <t>ORD26005469</t>
  </si>
  <si>
    <t>CUST10319</t>
  </si>
  <si>
    <t>ORD26005470</t>
  </si>
  <si>
    <t>CUST18229</t>
  </si>
  <si>
    <t>ORD26005471</t>
  </si>
  <si>
    <t>CUST68955</t>
  </si>
  <si>
    <t>ORD26005472</t>
  </si>
  <si>
    <t>CUST45778</t>
  </si>
  <si>
    <t>ORD26005473</t>
  </si>
  <si>
    <t>CUST22151</t>
  </si>
  <si>
    <t>ORD26005474</t>
  </si>
  <si>
    <t>ORD26005475</t>
  </si>
  <si>
    <t>CUST70699</t>
  </si>
  <si>
    <t>ORD26005476</t>
  </si>
  <si>
    <t>CUST63276</t>
  </si>
  <si>
    <t>ORD26005477</t>
  </si>
  <si>
    <t>CUST82045</t>
  </si>
  <si>
    <t>ORD26005478</t>
  </si>
  <si>
    <t>CUST60878</t>
  </si>
  <si>
    <t>ORD26005479</t>
  </si>
  <si>
    <t>CUST84584</t>
  </si>
  <si>
    <t>ORD26005480</t>
  </si>
  <si>
    <t>CUST67299</t>
  </si>
  <si>
    <t>ORD26005481</t>
  </si>
  <si>
    <t>CUST92130</t>
  </si>
  <si>
    <t>ORD26005482</t>
  </si>
  <si>
    <t>CUST59156</t>
  </si>
  <si>
    <t>ORD26005483</t>
  </si>
  <si>
    <t>CUST78073</t>
  </si>
  <si>
    <t>ORD26005484</t>
  </si>
  <si>
    <t>CUST28232</t>
  </si>
  <si>
    <t>ORD26005485</t>
  </si>
  <si>
    <t>CUST94620</t>
  </si>
  <si>
    <t>ORD26005486</t>
  </si>
  <si>
    <t>CUST39695</t>
  </si>
  <si>
    <t>ORD26005487</t>
  </si>
  <si>
    <t>CUST16977</t>
  </si>
  <si>
    <t>ORD26005488</t>
  </si>
  <si>
    <t>CUST78265</t>
  </si>
  <si>
    <t>2747.0</t>
  </si>
  <si>
    <t>ORD26005489</t>
  </si>
  <si>
    <t>CUST52973</t>
  </si>
  <si>
    <t>ORD26005490</t>
  </si>
  <si>
    <t>CUST95423</t>
  </si>
  <si>
    <t>ORD26005491</t>
  </si>
  <si>
    <t>CUST56210</t>
  </si>
  <si>
    <t>ORD26005492</t>
  </si>
  <si>
    <t>ORD26005493</t>
  </si>
  <si>
    <t>ORD26005494</t>
  </si>
  <si>
    <t>CUST56547</t>
  </si>
  <si>
    <t>ORD26005495</t>
  </si>
  <si>
    <t>CUST48251</t>
  </si>
  <si>
    <t>ORD26005496</t>
  </si>
  <si>
    <t>CUST58320</t>
  </si>
  <si>
    <t>ORD26005497</t>
  </si>
  <si>
    <t>CUST84927</t>
  </si>
  <si>
    <t>ORD26005498</t>
  </si>
  <si>
    <t>ORD26005499</t>
  </si>
  <si>
    <t>CUST21480</t>
  </si>
  <si>
    <t>ORD26005500</t>
  </si>
  <si>
    <t>CUST72363</t>
  </si>
  <si>
    <t>ORD26005501</t>
  </si>
  <si>
    <t>CUST16241</t>
  </si>
  <si>
    <t>ORD26005502</t>
  </si>
  <si>
    <t>CUST15315</t>
  </si>
  <si>
    <t>ORD26005503</t>
  </si>
  <si>
    <t>CUST57661</t>
  </si>
  <si>
    <t>ORD26005504</t>
  </si>
  <si>
    <t>CUST95762</t>
  </si>
  <si>
    <t>ORD26005505</t>
  </si>
  <si>
    <t>CUST27393</t>
  </si>
  <si>
    <t>ORD26005506</t>
  </si>
  <si>
    <t>CUST24819</t>
  </si>
  <si>
    <t>ORD26005507</t>
  </si>
  <si>
    <t>CUST10817</t>
  </si>
  <si>
    <t>ORD26005508</t>
  </si>
  <si>
    <t>CUST20067</t>
  </si>
  <si>
    <t>ORD26005509</t>
  </si>
  <si>
    <t>CUST69739</t>
  </si>
  <si>
    <t>ORD26005510</t>
  </si>
  <si>
    <t>CUST68590</t>
  </si>
  <si>
    <t>ORD26005511</t>
  </si>
  <si>
    <t>CUST26549</t>
  </si>
  <si>
    <t>ORD26005512</t>
  </si>
  <si>
    <t>CUST63901</t>
  </si>
  <si>
    <t>ORD26005513</t>
  </si>
  <si>
    <t>CUST64240</t>
  </si>
  <si>
    <t>ORD26005514</t>
  </si>
  <si>
    <t>CUST52711</t>
  </si>
  <si>
    <t>ORD26005515</t>
  </si>
  <si>
    <t>CUST17096</t>
  </si>
  <si>
    <t>ORD26005516</t>
  </si>
  <si>
    <t>CUST24776</t>
  </si>
  <si>
    <t>ORD26005517</t>
  </si>
  <si>
    <t>CUST67229</t>
  </si>
  <si>
    <t>ORD26005518</t>
  </si>
  <si>
    <t>ORD26005519</t>
  </si>
  <si>
    <t>CUST69459</t>
  </si>
  <si>
    <t>ORD26005520</t>
  </si>
  <si>
    <t>CUST85281</t>
  </si>
  <si>
    <t>ORD26005521</t>
  </si>
  <si>
    <t>CUST46946</t>
  </si>
  <si>
    <t>ORD26005522</t>
  </si>
  <si>
    <t>CUST72007</t>
  </si>
  <si>
    <t>ORD26005523</t>
  </si>
  <si>
    <t>CUST79207</t>
  </si>
  <si>
    <t>ORD26005524</t>
  </si>
  <si>
    <t>CUST64036</t>
  </si>
  <si>
    <t>ORD26005525</t>
  </si>
  <si>
    <t>CUST24466</t>
  </si>
  <si>
    <t>ORD26005526</t>
  </si>
  <si>
    <t>CUST95517</t>
  </si>
  <si>
    <t>ORD26005527</t>
  </si>
  <si>
    <t>CUST16540</t>
  </si>
  <si>
    <t>ORD26005528</t>
  </si>
  <si>
    <t>CUST42481</t>
  </si>
  <si>
    <t>ORD26005529</t>
  </si>
  <si>
    <t>CUST58274</t>
  </si>
  <si>
    <t>ORD26005530</t>
  </si>
  <si>
    <t>CUST80812</t>
  </si>
  <si>
    <t>ORD26005531</t>
  </si>
  <si>
    <t>CUST14326</t>
  </si>
  <si>
    <t>ORD26005532</t>
  </si>
  <si>
    <t>CUST18059</t>
  </si>
  <si>
    <t>ORD26005533</t>
  </si>
  <si>
    <t>CUST32232</t>
  </si>
  <si>
    <t>ORD26005534</t>
  </si>
  <si>
    <t>CUST92258</t>
  </si>
  <si>
    <t>ORD26005535</t>
  </si>
  <si>
    <t>CUST59035</t>
  </si>
  <si>
    <t>ORD26005536</t>
  </si>
  <si>
    <t>CUST14824</t>
  </si>
  <si>
    <t>ORD26005537</t>
  </si>
  <si>
    <t>CUST83767</t>
  </si>
  <si>
    <t>ORD26005538</t>
  </si>
  <si>
    <t>CUST87288</t>
  </si>
  <si>
    <t>ORD26005539</t>
  </si>
  <si>
    <t>ORD26005540</t>
  </si>
  <si>
    <t>CUST78043</t>
  </si>
  <si>
    <t>ORD26005541</t>
  </si>
  <si>
    <t>CUST92507</t>
  </si>
  <si>
    <t>ORD26005542</t>
  </si>
  <si>
    <t>CUST84833</t>
  </si>
  <si>
    <t>ORD26005543</t>
  </si>
  <si>
    <t>CUST60095</t>
  </si>
  <si>
    <t>ORD26005544</t>
  </si>
  <si>
    <t>CUST80514</t>
  </si>
  <si>
    <t>ORD26005545</t>
  </si>
  <si>
    <t>CUST24504</t>
  </si>
  <si>
    <t>ORD26005546</t>
  </si>
  <si>
    <t>CUST92782</t>
  </si>
  <si>
    <t>ORD26005547</t>
  </si>
  <si>
    <t>CUST12617</t>
  </si>
  <si>
    <t>ORD26005548</t>
  </si>
  <si>
    <t>CUST95112</t>
  </si>
  <si>
    <t>ORD26005549</t>
  </si>
  <si>
    <t>CUST18813</t>
  </si>
  <si>
    <t>ORD26005550</t>
  </si>
  <si>
    <t>CUST63243</t>
  </si>
  <si>
    <t>ORD26005551</t>
  </si>
  <si>
    <t>CUST97422</t>
  </si>
  <si>
    <t>ORD26005552</t>
  </si>
  <si>
    <t>CUST21092</t>
  </si>
  <si>
    <t>ORD26005553</t>
  </si>
  <si>
    <t>CUST23180</t>
  </si>
  <si>
    <t>ORD26005554</t>
  </si>
  <si>
    <t>CUST88629</t>
  </si>
  <si>
    <t>ORD26005555</t>
  </si>
  <si>
    <t>CUST87938</t>
  </si>
  <si>
    <t>ORD26005556</t>
  </si>
  <si>
    <t>CUST31920</t>
  </si>
  <si>
    <t>ORD26005557</t>
  </si>
  <si>
    <t>CUST36824</t>
  </si>
  <si>
    <t>ORD26005558</t>
  </si>
  <si>
    <t>CUST96887</t>
  </si>
  <si>
    <t>ORD26005559</t>
  </si>
  <si>
    <t>CUST32899</t>
  </si>
  <si>
    <t>ORD26005560</t>
  </si>
  <si>
    <t>CUST44823</t>
  </si>
  <si>
    <t>ORD26005561</t>
  </si>
  <si>
    <t>CUST24811</t>
  </si>
  <si>
    <t>ORD26005562</t>
  </si>
  <si>
    <t>CUST75421</t>
  </si>
  <si>
    <t>ORD26005563</t>
  </si>
  <si>
    <t>CUST91651</t>
  </si>
  <si>
    <t>ORD26005564</t>
  </si>
  <si>
    <t>CUST89221</t>
  </si>
  <si>
    <t>ORD26005565</t>
  </si>
  <si>
    <t>CUST14731</t>
  </si>
  <si>
    <t>ORD26005566</t>
  </si>
  <si>
    <t>CUST65808</t>
  </si>
  <si>
    <t>ORD26005567</t>
  </si>
  <si>
    <t>CUST21671</t>
  </si>
  <si>
    <t>ORD26005568</t>
  </si>
  <si>
    <t>CUST14924</t>
  </si>
  <si>
    <t>ORD26005569</t>
  </si>
  <si>
    <t>CUST38409</t>
  </si>
  <si>
    <t>ORD26005570</t>
  </si>
  <si>
    <t>CUST72579</t>
  </si>
  <si>
    <t>ORD26005571</t>
  </si>
  <si>
    <t>CUST32500</t>
  </si>
  <si>
    <t>ORD26005572</t>
  </si>
  <si>
    <t>CUST43237</t>
  </si>
  <si>
    <t>ORD26005573</t>
  </si>
  <si>
    <t>ORD26005574</t>
  </si>
  <si>
    <t>CUST84787</t>
  </si>
  <si>
    <t>ORD26005575</t>
  </si>
  <si>
    <t>CUST94513</t>
  </si>
  <si>
    <t>ORD26005576</t>
  </si>
  <si>
    <t>ORD26005577</t>
  </si>
  <si>
    <t>CUST96529</t>
  </si>
  <si>
    <t>ORD26005578</t>
  </si>
  <si>
    <t>CUST36717</t>
  </si>
  <si>
    <t>ORD26005579</t>
  </si>
  <si>
    <t>CUST51846</t>
  </si>
  <si>
    <t>ORD26005580</t>
  </si>
  <si>
    <t>CUST53309</t>
  </si>
  <si>
    <t>ORD26005581</t>
  </si>
  <si>
    <t>CUST70218</t>
  </si>
  <si>
    <t>ORD26005582</t>
  </si>
  <si>
    <t>ORD26005583</t>
  </si>
  <si>
    <t>CUST34438</t>
  </si>
  <si>
    <t>ORD26005584</t>
  </si>
  <si>
    <t>CUST59488</t>
  </si>
  <si>
    <t>ORD26005585</t>
  </si>
  <si>
    <t>CUST45687</t>
  </si>
  <si>
    <t>ORD26005586</t>
  </si>
  <si>
    <t>CUST18841</t>
  </si>
  <si>
    <t>ORD26005587</t>
  </si>
  <si>
    <t>CUST72120</t>
  </si>
  <si>
    <t>ORD26005588</t>
  </si>
  <si>
    <t>ORD26005589</t>
  </si>
  <si>
    <t>CUST90603</t>
  </si>
  <si>
    <t>ORD26005590</t>
  </si>
  <si>
    <t>CUST92268</t>
  </si>
  <si>
    <t>ORD26005591</t>
  </si>
  <si>
    <t>CUST79293</t>
  </si>
  <si>
    <t>ORD26005592</t>
  </si>
  <si>
    <t>CUST75468</t>
  </si>
  <si>
    <t>ORD26005593</t>
  </si>
  <si>
    <t>CUST94282</t>
  </si>
  <si>
    <t>ORD26005594</t>
  </si>
  <si>
    <t>CUST60377</t>
  </si>
  <si>
    <t>ORD26005595</t>
  </si>
  <si>
    <t>CUST10425</t>
  </si>
  <si>
    <t>ORD26005596</t>
  </si>
  <si>
    <t>CUST91655</t>
  </si>
  <si>
    <t>ORD26005597</t>
  </si>
  <si>
    <t>CUST20926</t>
  </si>
  <si>
    <t>ORD26005598</t>
  </si>
  <si>
    <t>CUST91818</t>
  </si>
  <si>
    <t>ORD26005599</t>
  </si>
  <si>
    <t>CUST16637</t>
  </si>
  <si>
    <t>ORD26005600</t>
  </si>
  <si>
    <t>CUST16746</t>
  </si>
  <si>
    <t>ORD26005601</t>
  </si>
  <si>
    <t>CUST19772</t>
  </si>
  <si>
    <t>ORD26005602</t>
  </si>
  <si>
    <t>CUST48150</t>
  </si>
  <si>
    <t>4347.0</t>
  </si>
  <si>
    <t>ORD26005603</t>
  </si>
  <si>
    <t>CUST89609</t>
  </si>
  <si>
    <t>ORD26005604</t>
  </si>
  <si>
    <t>CUST54010</t>
  </si>
  <si>
    <t>ORD26005605</t>
  </si>
  <si>
    <t>CUST57140</t>
  </si>
  <si>
    <t>ORD26005606</t>
  </si>
  <si>
    <t>CUST66504</t>
  </si>
  <si>
    <t>ORD26005607</t>
  </si>
  <si>
    <t>CUST58917</t>
  </si>
  <si>
    <t>ORD26005608</t>
  </si>
  <si>
    <t>CUST49848</t>
  </si>
  <si>
    <t>ORD26005609</t>
  </si>
  <si>
    <t>CUST94295</t>
  </si>
  <si>
    <t>ORD26005610</t>
  </si>
  <si>
    <t>CUST45433</t>
  </si>
  <si>
    <t>ORD26005611</t>
  </si>
  <si>
    <t>CUST38363</t>
  </si>
  <si>
    <t>ORD26005612</t>
  </si>
  <si>
    <t>CUST47291</t>
  </si>
  <si>
    <t>ORD26005613</t>
  </si>
  <si>
    <t>CUST31271</t>
  </si>
  <si>
    <t>ORD26005614</t>
  </si>
  <si>
    <t>CUST76334</t>
  </si>
  <si>
    <t>ORD26005615</t>
  </si>
  <si>
    <t>CUST78232</t>
  </si>
  <si>
    <t>ORD26005616</t>
  </si>
  <si>
    <t>CUST81101</t>
  </si>
  <si>
    <t>ORD26005617</t>
  </si>
  <si>
    <t>CUST60539</t>
  </si>
  <si>
    <t>ORD26005618</t>
  </si>
  <si>
    <t>CUST45797</t>
  </si>
  <si>
    <t>ORD26005619</t>
  </si>
  <si>
    <t>CUST83367</t>
  </si>
  <si>
    <t>ORD26005620</t>
  </si>
  <si>
    <t>CUST28008</t>
  </si>
  <si>
    <t>ORD26005621</t>
  </si>
  <si>
    <t>CUST32390</t>
  </si>
  <si>
    <t>ORD26005622</t>
  </si>
  <si>
    <t>CUST11621</t>
  </si>
  <si>
    <t>ORD26005623</t>
  </si>
  <si>
    <t>CUST20705</t>
  </si>
  <si>
    <t>ORD26005624</t>
  </si>
  <si>
    <t>CUST43179</t>
  </si>
  <si>
    <t>ORD26005625</t>
  </si>
  <si>
    <t>CUST72139</t>
  </si>
  <si>
    <t>ORD26005626</t>
  </si>
  <si>
    <t>CUST35939</t>
  </si>
  <si>
    <t>ORD26005627</t>
  </si>
  <si>
    <t>CUST61791</t>
  </si>
  <si>
    <t>ORD26005628</t>
  </si>
  <si>
    <t>CUST75432</t>
  </si>
  <si>
    <t>ORD26005629</t>
  </si>
  <si>
    <t>CUST33393</t>
  </si>
  <si>
    <t>ORD26005630</t>
  </si>
  <si>
    <t>CUST58545</t>
  </si>
  <si>
    <t>ORD26005631</t>
  </si>
  <si>
    <t>CUST74624</t>
  </si>
  <si>
    <t>ORD26005632</t>
  </si>
  <si>
    <t>CUST55397</t>
  </si>
  <si>
    <t>ORD26005633</t>
  </si>
  <si>
    <t>CUST79710</t>
  </si>
  <si>
    <t>ORD26005634</t>
  </si>
  <si>
    <t>CUST66937</t>
  </si>
  <si>
    <t>ORD26005635</t>
  </si>
  <si>
    <t>CUST23552</t>
  </si>
  <si>
    <t>ORD26005636</t>
  </si>
  <si>
    <t>CUST97899</t>
  </si>
  <si>
    <t>ORD26005637</t>
  </si>
  <si>
    <t>CUST15207</t>
  </si>
  <si>
    <t>ORD26005638</t>
  </si>
  <si>
    <t>CUST78296</t>
  </si>
  <si>
    <t>ORD26005639</t>
  </si>
  <si>
    <t>CUST65886</t>
  </si>
  <si>
    <t>ORD26005640</t>
  </si>
  <si>
    <t>CUST42695</t>
  </si>
  <si>
    <t>ORD26005641</t>
  </si>
  <si>
    <t>CUST95910</t>
  </si>
  <si>
    <t>ORD26005642</t>
  </si>
  <si>
    <t>CUST48998</t>
  </si>
  <si>
    <t>ORD26005643</t>
  </si>
  <si>
    <t>CUST55416</t>
  </si>
  <si>
    <t>ORD26005644</t>
  </si>
  <si>
    <t>CUST19265</t>
  </si>
  <si>
    <t>ORD26005645</t>
  </si>
  <si>
    <t>CUST19562</t>
  </si>
  <si>
    <t>ORD26005646</t>
  </si>
  <si>
    <t>CUST32454</t>
  </si>
  <si>
    <t>ORD26005647</t>
  </si>
  <si>
    <t>CUST34763</t>
  </si>
  <si>
    <t>ORD26005648</t>
  </si>
  <si>
    <t>CUST86262</t>
  </si>
  <si>
    <t>ORD26005649</t>
  </si>
  <si>
    <t>CUST23041</t>
  </si>
  <si>
    <t>ORD26005650</t>
  </si>
  <si>
    <t>CUST66215</t>
  </si>
  <si>
    <t>ORD26005651</t>
  </si>
  <si>
    <t>CUST53932</t>
  </si>
  <si>
    <t>ORD26005652</t>
  </si>
  <si>
    <t>ORD26005653</t>
  </si>
  <si>
    <t>ORD26005654</t>
  </si>
  <si>
    <t>CUST98923</t>
  </si>
  <si>
    <t>ORD26005655</t>
  </si>
  <si>
    <t>CUST18274</t>
  </si>
  <si>
    <t>ORD26005656</t>
  </si>
  <si>
    <t>CUST50266</t>
  </si>
  <si>
    <t>ORD26005657</t>
  </si>
  <si>
    <t>CUST25729</t>
  </si>
  <si>
    <t>ORD26005658</t>
  </si>
  <si>
    <t>CUST65458</t>
  </si>
  <si>
    <t>ORD26005659</t>
  </si>
  <si>
    <t>CUST36980</t>
  </si>
  <si>
    <t>ORD26005660</t>
  </si>
  <si>
    <t>CUST41553</t>
  </si>
  <si>
    <t>ORD26005661</t>
  </si>
  <si>
    <t>CUST44002</t>
  </si>
  <si>
    <t>ORD26005662</t>
  </si>
  <si>
    <t>CUST12452</t>
  </si>
  <si>
    <t>ORD26005663</t>
  </si>
  <si>
    <t>CUST98802</t>
  </si>
  <si>
    <t>ORD26005664</t>
  </si>
  <si>
    <t>CUST19935</t>
  </si>
  <si>
    <t>ORD26005665</t>
  </si>
  <si>
    <t>CUST65398</t>
  </si>
  <si>
    <t>ORD26005666</t>
  </si>
  <si>
    <t>CUST35108</t>
  </si>
  <si>
    <t>ORD26005667</t>
  </si>
  <si>
    <t>CUST11408</t>
  </si>
  <si>
    <t>ORD26005668</t>
  </si>
  <si>
    <t>CUST97070</t>
  </si>
  <si>
    <t>ORD26005669</t>
  </si>
  <si>
    <t>CUST23693</t>
  </si>
  <si>
    <t>ORD26005670</t>
  </si>
  <si>
    <t>CUST48565</t>
  </si>
  <si>
    <t>ORD26005671</t>
  </si>
  <si>
    <t>CUST25985</t>
  </si>
  <si>
    <t>ORD26005672</t>
  </si>
  <si>
    <t>ORD26005673</t>
  </si>
  <si>
    <t>CUST40411</t>
  </si>
  <si>
    <t>ORD26005674</t>
  </si>
  <si>
    <t>ORD26005675</t>
  </si>
  <si>
    <t>CUST88631</t>
  </si>
  <si>
    <t>ORD26005676</t>
  </si>
  <si>
    <t>CUST69500</t>
  </si>
  <si>
    <t>ORD26005677</t>
  </si>
  <si>
    <t>CUST38539</t>
  </si>
  <si>
    <t>ORD26005678</t>
  </si>
  <si>
    <t>CUST80391</t>
  </si>
  <si>
    <t>ORD26005679</t>
  </si>
  <si>
    <t>CUST31068</t>
  </si>
  <si>
    <t>ORD26005680</t>
  </si>
  <si>
    <t>CUST86929</t>
  </si>
  <si>
    <t>ORD26005681</t>
  </si>
  <si>
    <t>ORD26005682</t>
  </si>
  <si>
    <t>CUST14013</t>
  </si>
  <si>
    <t>ORD26005683</t>
  </si>
  <si>
    <t>CUST92100</t>
  </si>
  <si>
    <t>7,097.00</t>
  </si>
  <si>
    <t>ORD26005684</t>
  </si>
  <si>
    <t>CUST84544</t>
  </si>
  <si>
    <t>ORD26005685</t>
  </si>
  <si>
    <t>CUST28377</t>
  </si>
  <si>
    <t>ORD26005686</t>
  </si>
  <si>
    <t>CUST40872</t>
  </si>
  <si>
    <t>ORD26005687</t>
  </si>
  <si>
    <t>CUST63815</t>
  </si>
  <si>
    <t>ORD26005688</t>
  </si>
  <si>
    <t>CUST28385</t>
  </si>
  <si>
    <t>ORD26005689</t>
  </si>
  <si>
    <t>CUST83259</t>
  </si>
  <si>
    <t>ORD26005690</t>
  </si>
  <si>
    <t>CUST95050</t>
  </si>
  <si>
    <t>ORD26005691</t>
  </si>
  <si>
    <t>CUST47016</t>
  </si>
  <si>
    <t>ORD26005692</t>
  </si>
  <si>
    <t>CUST75973</t>
  </si>
  <si>
    <t>ORD26005693</t>
  </si>
  <si>
    <t>CUST23874</t>
  </si>
  <si>
    <t>ORD26005694</t>
  </si>
  <si>
    <t>ORD26005695</t>
  </si>
  <si>
    <t>CUST26357</t>
  </si>
  <si>
    <t>ORD26005696</t>
  </si>
  <si>
    <t>CUST80440</t>
  </si>
  <si>
    <t>ORD26005697</t>
  </si>
  <si>
    <t>CUST50714</t>
  </si>
  <si>
    <t>ORD26005698</t>
  </si>
  <si>
    <t>CUST45837</t>
  </si>
  <si>
    <t>ORD26005699</t>
  </si>
  <si>
    <t>CUST75216</t>
  </si>
  <si>
    <t>ORD26005700</t>
  </si>
  <si>
    <t>CUST25070</t>
  </si>
  <si>
    <t>ORD26005701</t>
  </si>
  <si>
    <t>CUST30582</t>
  </si>
  <si>
    <t>ORD26005702</t>
  </si>
  <si>
    <t>CUST13820</t>
  </si>
  <si>
    <t>ORD26005703</t>
  </si>
  <si>
    <t>CUST79482</t>
  </si>
  <si>
    <t>ORD26005704</t>
  </si>
  <si>
    <t>CUST17843</t>
  </si>
  <si>
    <t>ORD26005705</t>
  </si>
  <si>
    <t>CUST23251</t>
  </si>
  <si>
    <t>ORD26005706</t>
  </si>
  <si>
    <t>CUST28708</t>
  </si>
  <si>
    <t>ORD26005707</t>
  </si>
  <si>
    <t>CUST79126</t>
  </si>
  <si>
    <t>ORD26005708</t>
  </si>
  <si>
    <t>CUST47802</t>
  </si>
  <si>
    <t>1247.0</t>
  </si>
  <si>
    <t>ORD26005709</t>
  </si>
  <si>
    <t>ORD26005710</t>
  </si>
  <si>
    <t>CUST20574</t>
  </si>
  <si>
    <t>ORD26005711</t>
  </si>
  <si>
    <t>CUST70331</t>
  </si>
  <si>
    <t>ORD26005712</t>
  </si>
  <si>
    <t>CUST71472</t>
  </si>
  <si>
    <t>ORD26005713</t>
  </si>
  <si>
    <t>ORD26005714</t>
  </si>
  <si>
    <t>CUST93491</t>
  </si>
  <si>
    <t>ORD26005715</t>
  </si>
  <si>
    <t>CUST11517</t>
  </si>
  <si>
    <t>ORD26005716</t>
  </si>
  <si>
    <t>CUST16915</t>
  </si>
  <si>
    <t>ORD26005717</t>
  </si>
  <si>
    <t>CUST44705</t>
  </si>
  <si>
    <t>ORD26005718</t>
  </si>
  <si>
    <t>CUST57911</t>
  </si>
  <si>
    <t>ORD26005719</t>
  </si>
  <si>
    <t>CUST25718</t>
  </si>
  <si>
    <t>ORD26005720</t>
  </si>
  <si>
    <t>CUST84825</t>
  </si>
  <si>
    <t>ORD26005721</t>
  </si>
  <si>
    <t>CUST21176</t>
  </si>
  <si>
    <t>ORD26005722</t>
  </si>
  <si>
    <t>CUST51514</t>
  </si>
  <si>
    <t>ORD26005723</t>
  </si>
  <si>
    <t>CUST17867</t>
  </si>
  <si>
    <t>ORD26005724</t>
  </si>
  <si>
    <t>CUST96102</t>
  </si>
  <si>
    <t>ORD26005725</t>
  </si>
  <si>
    <t>ORD26005726</t>
  </si>
  <si>
    <t>CUST37034</t>
  </si>
  <si>
    <t>ORD26005727</t>
  </si>
  <si>
    <t>CUST74990</t>
  </si>
  <si>
    <t>ORD26005728</t>
  </si>
  <si>
    <t>CUST92634</t>
  </si>
  <si>
    <t>ORD26005729</t>
  </si>
  <si>
    <t>CUST48625</t>
  </si>
  <si>
    <t>ORD26005730</t>
  </si>
  <si>
    <t>CUST74049</t>
  </si>
  <si>
    <t>ORD26005731</t>
  </si>
  <si>
    <t>CUST44674</t>
  </si>
  <si>
    <t>ORD26005732</t>
  </si>
  <si>
    <t>CUST16397</t>
  </si>
  <si>
    <t>ORD26005733</t>
  </si>
  <si>
    <t>CUST61140</t>
  </si>
  <si>
    <t>ORD26005734</t>
  </si>
  <si>
    <t>CUST57842</t>
  </si>
  <si>
    <t>ORD26005735</t>
  </si>
  <si>
    <t>CUST83724</t>
  </si>
  <si>
    <t>ORD26005736</t>
  </si>
  <si>
    <t>CUST23195</t>
  </si>
  <si>
    <t>ORD26005737</t>
  </si>
  <si>
    <t>CUST57246</t>
  </si>
  <si>
    <t>ORD26005738</t>
  </si>
  <si>
    <t>CUST22134</t>
  </si>
  <si>
    <t>ORD26005739</t>
  </si>
  <si>
    <t>CUST28525</t>
  </si>
  <si>
    <t>ORD26005740</t>
  </si>
  <si>
    <t>CUST27835</t>
  </si>
  <si>
    <t>ORD26005741</t>
  </si>
  <si>
    <t>CUST99867</t>
  </si>
  <si>
    <t>ORD26005742</t>
  </si>
  <si>
    <t>CUST40295</t>
  </si>
  <si>
    <t>ORD26005743</t>
  </si>
  <si>
    <t>CUST79620</t>
  </si>
  <si>
    <t>ORD26005744</t>
  </si>
  <si>
    <t>CUST99873</t>
  </si>
  <si>
    <t>ORD26005745</t>
  </si>
  <si>
    <t>CUST44681</t>
  </si>
  <si>
    <t>ORD26005746</t>
  </si>
  <si>
    <t>CUST56444</t>
  </si>
  <si>
    <t>ORD26005747</t>
  </si>
  <si>
    <t>CUST35302</t>
  </si>
  <si>
    <t>ORD26005748</t>
  </si>
  <si>
    <t>CUST28838</t>
  </si>
  <si>
    <t>ORD26005749</t>
  </si>
  <si>
    <t>CUST99492</t>
  </si>
  <si>
    <t>ORD26005750</t>
  </si>
  <si>
    <t>CUST61660</t>
  </si>
  <si>
    <t>ORD26005751</t>
  </si>
  <si>
    <t>CUST13984</t>
  </si>
  <si>
    <t>ORD26005752</t>
  </si>
  <si>
    <t>CUST58048</t>
  </si>
  <si>
    <t>ORD26005753</t>
  </si>
  <si>
    <t>CUST26091</t>
  </si>
  <si>
    <t>ORD26005754</t>
  </si>
  <si>
    <t>CUST79716</t>
  </si>
  <si>
    <t>ORD26005755</t>
  </si>
  <si>
    <t>CUST93418</t>
  </si>
  <si>
    <t>ORD26005756</t>
  </si>
  <si>
    <t>CUST27672</t>
  </si>
  <si>
    <t>ORD26005757</t>
  </si>
  <si>
    <t>ORD26005758</t>
  </si>
  <si>
    <t>CUST69874</t>
  </si>
  <si>
    <t>ORD26005759</t>
  </si>
  <si>
    <t>CUST89680</t>
  </si>
  <si>
    <t>ORD26005760</t>
  </si>
  <si>
    <t>CUST15382</t>
  </si>
  <si>
    <t>ORD26005761</t>
  </si>
  <si>
    <t>CUST43745</t>
  </si>
  <si>
    <t>ORD26005762</t>
  </si>
  <si>
    <t>CUST84612</t>
  </si>
  <si>
    <t>ORD26005763</t>
  </si>
  <si>
    <t>CUST56723</t>
  </si>
  <si>
    <t>ORD26005764</t>
  </si>
  <si>
    <t>CUST84421</t>
  </si>
  <si>
    <t>ORD26005765</t>
  </si>
  <si>
    <t>CUST84494</t>
  </si>
  <si>
    <t>ORD26005766</t>
  </si>
  <si>
    <t>CUST39849</t>
  </si>
  <si>
    <t>ORD26005767</t>
  </si>
  <si>
    <t>CUST21224</t>
  </si>
  <si>
    <t>ORD26005768</t>
  </si>
  <si>
    <t>CUST99700</t>
  </si>
  <si>
    <t>ORD26005769</t>
  </si>
  <si>
    <t>CUST13512</t>
  </si>
  <si>
    <t>ORD26005770</t>
  </si>
  <si>
    <t>CUST71875</t>
  </si>
  <si>
    <t>ORD26005771</t>
  </si>
  <si>
    <t>CUST30528</t>
  </si>
  <si>
    <t>ORD26005772</t>
  </si>
  <si>
    <t>ORD26005773</t>
  </si>
  <si>
    <t>CUST37486</t>
  </si>
  <si>
    <t>ORD26005774</t>
  </si>
  <si>
    <t>CUST91767</t>
  </si>
  <si>
    <t>ORD26005775</t>
  </si>
  <si>
    <t>CUST91402</t>
  </si>
  <si>
    <t>ORD26005776</t>
  </si>
  <si>
    <t>CUST78914</t>
  </si>
  <si>
    <t>ORD26005777</t>
  </si>
  <si>
    <t>CUST18786</t>
  </si>
  <si>
    <t>ORD26005778</t>
  </si>
  <si>
    <t>CUST25959</t>
  </si>
  <si>
    <t>ORD26005779</t>
  </si>
  <si>
    <t>CUST65469</t>
  </si>
  <si>
    <t>ORD26005780</t>
  </si>
  <si>
    <t>CUST54652</t>
  </si>
  <si>
    <t>ORD26005781</t>
  </si>
  <si>
    <t>CUST49801</t>
  </si>
  <si>
    <t>ORD26005782</t>
  </si>
  <si>
    <t>CUST42519</t>
  </si>
  <si>
    <t>ORD26005783</t>
  </si>
  <si>
    <t>CUST75759</t>
  </si>
  <si>
    <t>ORD26005784</t>
  </si>
  <si>
    <t>CUST27607</t>
  </si>
  <si>
    <t>ORD26005785</t>
  </si>
  <si>
    <t>CUST52461</t>
  </si>
  <si>
    <t>ORD26005786</t>
  </si>
  <si>
    <t>CUST44182</t>
  </si>
  <si>
    <t>ORD26005787</t>
  </si>
  <si>
    <t>CUST47556</t>
  </si>
  <si>
    <t>ORD26005788</t>
  </si>
  <si>
    <t>CUST82864</t>
  </si>
  <si>
    <t>ORD26005789</t>
  </si>
  <si>
    <t>ORD26005790</t>
  </si>
  <si>
    <t>CUST17156</t>
  </si>
  <si>
    <t>ORD26005791</t>
  </si>
  <si>
    <t>CUST22012</t>
  </si>
  <si>
    <t>ORD26005792</t>
  </si>
  <si>
    <t>ORD26005793</t>
  </si>
  <si>
    <t>ORD26005794</t>
  </si>
  <si>
    <t>CUST29296</t>
  </si>
  <si>
    <t>ORD26005795</t>
  </si>
  <si>
    <t>CUST15148</t>
  </si>
  <si>
    <t>ORD26005796</t>
  </si>
  <si>
    <t>CUST68596</t>
  </si>
  <si>
    <t>1,898.00</t>
  </si>
  <si>
    <t>ORD26005797</t>
  </si>
  <si>
    <t>CUST28292</t>
  </si>
  <si>
    <t>ORD26005798</t>
  </si>
  <si>
    <t>CUST71554</t>
  </si>
  <si>
    <t>ORD26005799</t>
  </si>
  <si>
    <t>CUST34194</t>
  </si>
  <si>
    <t>ORD26005800</t>
  </si>
  <si>
    <t>CUST70009</t>
  </si>
  <si>
    <t>ORD26005801</t>
  </si>
  <si>
    <t>CUST28594</t>
  </si>
  <si>
    <t>ORD26005802</t>
  </si>
  <si>
    <t>CUST86065</t>
  </si>
  <si>
    <t>ORD26005803</t>
  </si>
  <si>
    <t>CUST80476</t>
  </si>
  <si>
    <t>16297.0</t>
  </si>
  <si>
    <t>ORD26005804</t>
  </si>
  <si>
    <t>CUST45214</t>
  </si>
  <si>
    <t>ORD26005805</t>
  </si>
  <si>
    <t>CUST34778</t>
  </si>
  <si>
    <t>ORD26005806</t>
  </si>
  <si>
    <t>CUST90810</t>
  </si>
  <si>
    <t>ORD26005807</t>
  </si>
  <si>
    <t>CUST13619</t>
  </si>
  <si>
    <t>ORD26005808</t>
  </si>
  <si>
    <t>CUST59457</t>
  </si>
  <si>
    <t>ORD26005809</t>
  </si>
  <si>
    <t>CUST14113</t>
  </si>
  <si>
    <t>ORD26005810</t>
  </si>
  <si>
    <t>CUST96569</t>
  </si>
  <si>
    <t>ORD26005811</t>
  </si>
  <si>
    <t>ORD26005812</t>
  </si>
  <si>
    <t>CUST56895</t>
  </si>
  <si>
    <t>ORD26005813</t>
  </si>
  <si>
    <t>CUST43418</t>
  </si>
  <si>
    <t>5,798.00</t>
  </si>
  <si>
    <t>ORD26005814</t>
  </si>
  <si>
    <t>CUST80675</t>
  </si>
  <si>
    <t>ORD26005815</t>
  </si>
  <si>
    <t>CUST40653</t>
  </si>
  <si>
    <t>ORD26005816</t>
  </si>
  <si>
    <t>CUST71620</t>
  </si>
  <si>
    <t>ORD26005817</t>
  </si>
  <si>
    <t>CUST20768</t>
  </si>
  <si>
    <t>ORD26005818</t>
  </si>
  <si>
    <t>CUST78701</t>
  </si>
  <si>
    <t>ORD26005819</t>
  </si>
  <si>
    <t>CUST26111</t>
  </si>
  <si>
    <t>ORD26005820</t>
  </si>
  <si>
    <t>CUST45796</t>
  </si>
  <si>
    <t>ORD26005821</t>
  </si>
  <si>
    <t>CUST19315</t>
  </si>
  <si>
    <t>ORD26005822</t>
  </si>
  <si>
    <t>CUST59790</t>
  </si>
  <si>
    <t>ORD26005823</t>
  </si>
  <si>
    <t>CUST40234</t>
  </si>
  <si>
    <t>ORD26005824</t>
  </si>
  <si>
    <t>CUST58573</t>
  </si>
  <si>
    <t>ORD26005825</t>
  </si>
  <si>
    <t>CUST62363</t>
  </si>
  <si>
    <t>ORD26005826</t>
  </si>
  <si>
    <t>ORD26005827</t>
  </si>
  <si>
    <t>ORD26005828</t>
  </si>
  <si>
    <t>CUST19254</t>
  </si>
  <si>
    <t>ORD26005829</t>
  </si>
  <si>
    <t>CUST74894</t>
  </si>
  <si>
    <t>ORD26005830</t>
  </si>
  <si>
    <t>ORD26005831</t>
  </si>
  <si>
    <t>CUST82615</t>
  </si>
  <si>
    <t>ORD26005832</t>
  </si>
  <si>
    <t>ORD26005833</t>
  </si>
  <si>
    <t>CUST14548</t>
  </si>
  <si>
    <t>ORD26005834</t>
  </si>
  <si>
    <t>CUST36498</t>
  </si>
  <si>
    <t>ORD26005835</t>
  </si>
  <si>
    <t>CUST42397</t>
  </si>
  <si>
    <t>ORD26005836</t>
  </si>
  <si>
    <t>CUST41334</t>
  </si>
  <si>
    <t>ORD26005837</t>
  </si>
  <si>
    <t>CUST76625</t>
  </si>
  <si>
    <t>ORD26005838</t>
  </si>
  <si>
    <t>CUST52386</t>
  </si>
  <si>
    <t>ORD26005839</t>
  </si>
  <si>
    <t>CUST30116</t>
  </si>
  <si>
    <t>ORD26005840</t>
  </si>
  <si>
    <t>CUST89772</t>
  </si>
  <si>
    <t>ORD26005841</t>
  </si>
  <si>
    <t>CUST37672</t>
  </si>
  <si>
    <t>ORD26005842</t>
  </si>
  <si>
    <t>CUST21664</t>
  </si>
  <si>
    <t>ORD26005843</t>
  </si>
  <si>
    <t>CUST66626</t>
  </si>
  <si>
    <t>ORD26005844</t>
  </si>
  <si>
    <t>CUST85388</t>
  </si>
  <si>
    <t>ORD26005845</t>
  </si>
  <si>
    <t>CUST79977</t>
  </si>
  <si>
    <t>ORD26005846</t>
  </si>
  <si>
    <t>CUST86435</t>
  </si>
  <si>
    <t>ORD26005847</t>
  </si>
  <si>
    <t>CUST50176</t>
  </si>
  <si>
    <t>ORD26005848</t>
  </si>
  <si>
    <t>CUST80343</t>
  </si>
  <si>
    <t>ORD26005849</t>
  </si>
  <si>
    <t>ORD26005850</t>
  </si>
  <si>
    <t>CUST16371</t>
  </si>
  <si>
    <t>ORD26005851</t>
  </si>
  <si>
    <t>CUST74808</t>
  </si>
  <si>
    <t>ORD26005852</t>
  </si>
  <si>
    <t>ORD26005853</t>
  </si>
  <si>
    <t>CUST30820</t>
  </si>
  <si>
    <t>ORD26005854</t>
  </si>
  <si>
    <t>CUST93485</t>
  </si>
  <si>
    <t>ORD26005855</t>
  </si>
  <si>
    <t>CUST60160</t>
  </si>
  <si>
    <t>ORD26005856</t>
  </si>
  <si>
    <t>CUST33969</t>
  </si>
  <si>
    <t>ORD26005857</t>
  </si>
  <si>
    <t>CUST92859</t>
  </si>
  <si>
    <t>ORD26005858</t>
  </si>
  <si>
    <t>CUST47742</t>
  </si>
  <si>
    <t>ORD26005859</t>
  </si>
  <si>
    <t>CUST80577</t>
  </si>
  <si>
    <t>ORD26005860</t>
  </si>
  <si>
    <t>CUST51073</t>
  </si>
  <si>
    <t>ORD26005861</t>
  </si>
  <si>
    <t>ORD26005862</t>
  </si>
  <si>
    <t>CUST55419</t>
  </si>
  <si>
    <t>ORD26005863</t>
  </si>
  <si>
    <t>CUST88675</t>
  </si>
  <si>
    <t>ORD26005864</t>
  </si>
  <si>
    <t>CUST93840</t>
  </si>
  <si>
    <t>ORD26005865</t>
  </si>
  <si>
    <t>ORD26005866</t>
  </si>
  <si>
    <t>CUST32792</t>
  </si>
  <si>
    <t>ORD26005867</t>
  </si>
  <si>
    <t>CUST26936</t>
  </si>
  <si>
    <t>ORD26005868</t>
  </si>
  <si>
    <t>CUST67781</t>
  </si>
  <si>
    <t>ORD26005869</t>
  </si>
  <si>
    <t>CUST54243</t>
  </si>
  <si>
    <t>ORD26005870</t>
  </si>
  <si>
    <t>CUST61070</t>
  </si>
  <si>
    <t>ORD26005871</t>
  </si>
  <si>
    <t>CUST38463</t>
  </si>
  <si>
    <t>ORD26005872</t>
  </si>
  <si>
    <t>CUST16685</t>
  </si>
  <si>
    <t>ORD26005873</t>
  </si>
  <si>
    <t>CUST43381</t>
  </si>
  <si>
    <t>ORD26005874</t>
  </si>
  <si>
    <t>ORD26005875</t>
  </si>
  <si>
    <t>CUST72017</t>
  </si>
  <si>
    <t>ORD26005876</t>
  </si>
  <si>
    <t>CUST89124</t>
  </si>
  <si>
    <t>ORD26005877</t>
  </si>
  <si>
    <t>CUST67881</t>
  </si>
  <si>
    <t>ORD26005878</t>
  </si>
  <si>
    <t>CUST70549</t>
  </si>
  <si>
    <t>ORD26005879</t>
  </si>
  <si>
    <t>CUST98256</t>
  </si>
  <si>
    <t>ORD26005880</t>
  </si>
  <si>
    <t>CUST95648</t>
  </si>
  <si>
    <t>ORD26005881</t>
  </si>
  <si>
    <t>ORD26005882</t>
  </si>
  <si>
    <t>ORD26005883</t>
  </si>
  <si>
    <t>CUST29314</t>
  </si>
  <si>
    <t>ORD26005884</t>
  </si>
  <si>
    <t>CUST67859</t>
  </si>
  <si>
    <t>ORD26005885</t>
  </si>
  <si>
    <t>ORD26005886</t>
  </si>
  <si>
    <t>CUST88850</t>
  </si>
  <si>
    <t>ORD26005887</t>
  </si>
  <si>
    <t>CUST87070</t>
  </si>
  <si>
    <t>ORD26005888</t>
  </si>
  <si>
    <t>CUST28417</t>
  </si>
  <si>
    <t>ORD26005889</t>
  </si>
  <si>
    <t>CUST53346</t>
  </si>
  <si>
    <t>ORD26005890</t>
  </si>
  <si>
    <t>CUST82448</t>
  </si>
  <si>
    <t>ORD26005891</t>
  </si>
  <si>
    <t>CUST38389</t>
  </si>
  <si>
    <t>ORD26005892</t>
  </si>
  <si>
    <t>CUST97838</t>
  </si>
  <si>
    <t>ORD26005893</t>
  </si>
  <si>
    <t>CUST63846</t>
  </si>
  <si>
    <t>ORD26005894</t>
  </si>
  <si>
    <t>CUST18910</t>
  </si>
  <si>
    <t>ORD26005895</t>
  </si>
  <si>
    <t>CUST61889</t>
  </si>
  <si>
    <t>ORD26005896</t>
  </si>
  <si>
    <t>CUST86010</t>
  </si>
  <si>
    <t>ORD26005897</t>
  </si>
  <si>
    <t>CUST39971</t>
  </si>
  <si>
    <t>ORD26005898</t>
  </si>
  <si>
    <t>CUST45657</t>
  </si>
  <si>
    <t>ORD26005899</t>
  </si>
  <si>
    <t>CUST26761</t>
  </si>
  <si>
    <t>ORD26005900</t>
  </si>
  <si>
    <t>CUST58269</t>
  </si>
  <si>
    <t>ORD26005901</t>
  </si>
  <si>
    <t>CUST19186</t>
  </si>
  <si>
    <t>ORD26005902</t>
  </si>
  <si>
    <t>CUST71848</t>
  </si>
  <si>
    <t>ORD26005903</t>
  </si>
  <si>
    <t>CUST87376</t>
  </si>
  <si>
    <t>ORD26005904</t>
  </si>
  <si>
    <t>CUST93672</t>
  </si>
  <si>
    <t>ORD26005905</t>
  </si>
  <si>
    <t>CUST14317</t>
  </si>
  <si>
    <t>ORD26005906</t>
  </si>
  <si>
    <t>CUST44118</t>
  </si>
  <si>
    <t>ORD26005907</t>
  </si>
  <si>
    <t>CUST35970</t>
  </si>
  <si>
    <t>ORD26005908</t>
  </si>
  <si>
    <t>CUST96018</t>
  </si>
  <si>
    <t>ORD26005909</t>
  </si>
  <si>
    <t>CUST67449</t>
  </si>
  <si>
    <t>ORD26005910</t>
  </si>
  <si>
    <t>CUST59451</t>
  </si>
  <si>
    <t>ORD26005911</t>
  </si>
  <si>
    <t>CUST99129</t>
  </si>
  <si>
    <t>ORD26005912</t>
  </si>
  <si>
    <t>CUST99427</t>
  </si>
  <si>
    <t>ORD26005913</t>
  </si>
  <si>
    <t>CUST92996</t>
  </si>
  <si>
    <t>ORD26005914</t>
  </si>
  <si>
    <t>CUST29181</t>
  </si>
  <si>
    <t>ORD26005915</t>
  </si>
  <si>
    <t>CUST73942</t>
  </si>
  <si>
    <t>ORD26005916</t>
  </si>
  <si>
    <t>CUST80817</t>
  </si>
  <si>
    <t>ORD26005917</t>
  </si>
  <si>
    <t>CUST45452</t>
  </si>
  <si>
    <t>ORD26005918</t>
  </si>
  <si>
    <t>CUST93628</t>
  </si>
  <si>
    <t>ORD26005919</t>
  </si>
  <si>
    <t>CUST49093</t>
  </si>
  <si>
    <t>ORD26005920</t>
  </si>
  <si>
    <t>CUST77266</t>
  </si>
  <si>
    <t>ORD26005921</t>
  </si>
  <si>
    <t>ORD26005922</t>
  </si>
  <si>
    <t>CUST43399</t>
  </si>
  <si>
    <t>ORD26005923</t>
  </si>
  <si>
    <t>CUST98583</t>
  </si>
  <si>
    <t>ORD26005924</t>
  </si>
  <si>
    <t>CUST52468</t>
  </si>
  <si>
    <t>ORD26005925</t>
  </si>
  <si>
    <t>CUST83589</t>
  </si>
  <si>
    <t>ORD26005926</t>
  </si>
  <si>
    <t>CUST13625</t>
  </si>
  <si>
    <t>ORD26005927</t>
  </si>
  <si>
    <t>CUST18928</t>
  </si>
  <si>
    <t>ORD26005928</t>
  </si>
  <si>
    <t>CUST42466</t>
  </si>
  <si>
    <t>ORD26005929</t>
  </si>
  <si>
    <t>CUST30964</t>
  </si>
  <si>
    <t>ORD26005930</t>
  </si>
  <si>
    <t>CUST14073</t>
  </si>
  <si>
    <t>ORD26005931</t>
  </si>
  <si>
    <t>CUST38344</t>
  </si>
  <si>
    <t>ORD26005932</t>
  </si>
  <si>
    <t>CUST99880</t>
  </si>
  <si>
    <t>ORD26005933</t>
  </si>
  <si>
    <t>CUST33256</t>
  </si>
  <si>
    <t>ORD26005934</t>
  </si>
  <si>
    <t>ORD26005935</t>
  </si>
  <si>
    <t>CUST89219</t>
  </si>
  <si>
    <t>ORD26005936</t>
  </si>
  <si>
    <t>CUST93309</t>
  </si>
  <si>
    <t>ORD26005937</t>
  </si>
  <si>
    <t>CUST23788</t>
  </si>
  <si>
    <t>ORD26005938</t>
  </si>
  <si>
    <t>CUST37861</t>
  </si>
  <si>
    <t>ORD26005939</t>
  </si>
  <si>
    <t>CUST76887</t>
  </si>
  <si>
    <t>ORD26005940</t>
  </si>
  <si>
    <t>CUST49904</t>
  </si>
  <si>
    <t>ORD26005941</t>
  </si>
  <si>
    <t>CUST82410</t>
  </si>
  <si>
    <t>ORD26005942</t>
  </si>
  <si>
    <t>CUST14348</t>
  </si>
  <si>
    <t>ORD26005943</t>
  </si>
  <si>
    <t>ORD26005944</t>
  </si>
  <si>
    <t>ORD26005945</t>
  </si>
  <si>
    <t>ORD26005946</t>
  </si>
  <si>
    <t>CUST19971</t>
  </si>
  <si>
    <t>ORD26005947</t>
  </si>
  <si>
    <t>CUST69096</t>
  </si>
  <si>
    <t>ORD26005948</t>
  </si>
  <si>
    <t>CUST31499</t>
  </si>
  <si>
    <t>ORD26005949</t>
  </si>
  <si>
    <t>CUST48028</t>
  </si>
  <si>
    <t>ORD26005950</t>
  </si>
  <si>
    <t>CUST20936</t>
  </si>
  <si>
    <t>ORD26005951</t>
  </si>
  <si>
    <t>CUST71378</t>
  </si>
  <si>
    <t>ORD26005952</t>
  </si>
  <si>
    <t>CUST34746</t>
  </si>
  <si>
    <t>ORD26005953</t>
  </si>
  <si>
    <t>CUST12063</t>
  </si>
  <si>
    <t>ORD26005954</t>
  </si>
  <si>
    <t>ORD26005955</t>
  </si>
  <si>
    <t>CUST35871</t>
  </si>
  <si>
    <t>ORD26005956</t>
  </si>
  <si>
    <t>CUST13600</t>
  </si>
  <si>
    <t>ORD26005957</t>
  </si>
  <si>
    <t>CUST31471</t>
  </si>
  <si>
    <t>ORD26005958</t>
  </si>
  <si>
    <t>CUST76087</t>
  </si>
  <si>
    <t>ORD26005959</t>
  </si>
  <si>
    <t>CUST95858</t>
  </si>
  <si>
    <t>ORD26005960</t>
  </si>
  <si>
    <t>CUST54530</t>
  </si>
  <si>
    <t>ORD26005961</t>
  </si>
  <si>
    <t>CUST75214</t>
  </si>
  <si>
    <t>ORD26005962</t>
  </si>
  <si>
    <t>CUST41768</t>
  </si>
  <si>
    <t>ORD26005963</t>
  </si>
  <si>
    <t>CUST81715</t>
  </si>
  <si>
    <t>ORD26005964</t>
  </si>
  <si>
    <t>ORD26005965</t>
  </si>
  <si>
    <t>CUST80013</t>
  </si>
  <si>
    <t>ORD26005966</t>
  </si>
  <si>
    <t>CUST15433</t>
  </si>
  <si>
    <t>ORD26005967</t>
  </si>
  <si>
    <t>ORD26005968</t>
  </si>
  <si>
    <t>CUST61495</t>
  </si>
  <si>
    <t>ORD26005969</t>
  </si>
  <si>
    <t>CUST76874</t>
  </si>
  <si>
    <t>ORD26005970</t>
  </si>
  <si>
    <t>CUST43373</t>
  </si>
  <si>
    <t>ORD26005971</t>
  </si>
  <si>
    <t>CUST99750</t>
  </si>
  <si>
    <t>ORD26005972</t>
  </si>
  <si>
    <t>CUST26291</t>
  </si>
  <si>
    <t>ORD26005973</t>
  </si>
  <si>
    <t>CUST75516</t>
  </si>
  <si>
    <t>ORD26005974</t>
  </si>
  <si>
    <t>CUST45123</t>
  </si>
  <si>
    <t>ORD26005975</t>
  </si>
  <si>
    <t>CUST22393</t>
  </si>
  <si>
    <t>ORD26005976</t>
  </si>
  <si>
    <t>CUST71171</t>
  </si>
  <si>
    <t>ORD26005977</t>
  </si>
  <si>
    <t>ORD26005978</t>
  </si>
  <si>
    <t>CUST27823</t>
  </si>
  <si>
    <t>ORD26005979</t>
  </si>
  <si>
    <t>CUST56309</t>
  </si>
  <si>
    <t>ORD26005980</t>
  </si>
  <si>
    <t>CUST40896</t>
  </si>
  <si>
    <t>ORD26005981</t>
  </si>
  <si>
    <t>CUST91185</t>
  </si>
  <si>
    <t>ORD26005982</t>
  </si>
  <si>
    <t>CUST71944</t>
  </si>
  <si>
    <t>ORD26005983</t>
  </si>
  <si>
    <t>CUST62544</t>
  </si>
  <si>
    <t>ORD26005984</t>
  </si>
  <si>
    <t>CUST79955</t>
  </si>
  <si>
    <t>ORD26005985</t>
  </si>
  <si>
    <t>CUST40476</t>
  </si>
  <si>
    <t>ORD26005986</t>
  </si>
  <si>
    <t>CUST89011</t>
  </si>
  <si>
    <t>ORD26005987</t>
  </si>
  <si>
    <t>CUST30384</t>
  </si>
  <si>
    <t>ORD26005988</t>
  </si>
  <si>
    <t>CUST50860</t>
  </si>
  <si>
    <t>ORD26005989</t>
  </si>
  <si>
    <t>CUST42223</t>
  </si>
  <si>
    <t>8,797.00</t>
  </si>
  <si>
    <t>ORD26005990</t>
  </si>
  <si>
    <t>CUST22041</t>
  </si>
  <si>
    <t>ORD26005991</t>
  </si>
  <si>
    <t>CUST64473</t>
  </si>
  <si>
    <t>ORD26005992</t>
  </si>
  <si>
    <t>CUST33848</t>
  </si>
  <si>
    <t>ORD26005993</t>
  </si>
  <si>
    <t>CUST57684</t>
  </si>
  <si>
    <t>ORD26005994</t>
  </si>
  <si>
    <t>CUST48075</t>
  </si>
  <si>
    <t>ORD26005995</t>
  </si>
  <si>
    <t>CUST85479</t>
  </si>
  <si>
    <t>ORD26005996</t>
  </si>
  <si>
    <t>CUST20623</t>
  </si>
  <si>
    <t>ORD26005997</t>
  </si>
  <si>
    <t>CUST41147</t>
  </si>
  <si>
    <t>ORD26005998</t>
  </si>
  <si>
    <t>CUST63460</t>
  </si>
  <si>
    <t>ORD26005999</t>
  </si>
  <si>
    <t>CUST60776</t>
  </si>
  <si>
    <t>ORD26006000</t>
  </si>
  <si>
    <t>CUST67793</t>
  </si>
  <si>
    <t>pg_txn_id</t>
  </si>
  <si>
    <t>original_payment_id</t>
  </si>
  <si>
    <t>merchant_order_ref</t>
  </si>
  <si>
    <t>merchant_order_ref_cleaned</t>
  </si>
  <si>
    <t>txn_date</t>
  </si>
  <si>
    <t>txn_type</t>
  </si>
  <si>
    <t>gross_amount</t>
  </si>
  <si>
    <t>mdr_fee</t>
  </si>
  <si>
    <t>gst_on_fee</t>
  </si>
  <si>
    <t>net_amount</t>
  </si>
  <si>
    <t>settlement_batch_id</t>
  </si>
  <si>
    <t>dup_flag</t>
  </si>
  <si>
    <t>order_key</t>
  </si>
  <si>
    <t>settlement_period</t>
  </si>
  <si>
    <t>order_found</t>
  </si>
  <si>
    <t>pay_420000065</t>
  </si>
  <si>
    <t>CAPTURE</t>
  </si>
  <si>
    <t>pay_420000121</t>
  </si>
  <si>
    <t>ORD-26000130</t>
  </si>
  <si>
    <t>pay_420000170</t>
  </si>
  <si>
    <t>pay_420000229</t>
  </si>
  <si>
    <t>pay_420000236</t>
  </si>
  <si>
    <t>pay_420000249</t>
  </si>
  <si>
    <t>pay_420000316</t>
  </si>
  <si>
    <t>pay_420000355</t>
  </si>
  <si>
    <t>pay_420000357</t>
  </si>
  <si>
    <t>pay_420000392</t>
  </si>
  <si>
    <t>pay_420000449</t>
  </si>
  <si>
    <t>pay_420000460</t>
  </si>
  <si>
    <t>pay_420000471</t>
  </si>
  <si>
    <t>pay_420000489</t>
  </si>
  <si>
    <t>pay_420000525</t>
  </si>
  <si>
    <t>pay_420000584</t>
  </si>
  <si>
    <t>pay_420000597</t>
  </si>
  <si>
    <t>pay_420000636</t>
  </si>
  <si>
    <t>pay_420000644</t>
  </si>
  <si>
    <t>pay_420000659</t>
  </si>
  <si>
    <t>pay_420000691</t>
  </si>
  <si>
    <t>pay_420000728</t>
  </si>
  <si>
    <t>pay_420000774</t>
  </si>
  <si>
    <t>pay_420000775</t>
  </si>
  <si>
    <t>pay_420000884</t>
  </si>
  <si>
    <t>pay_420001020</t>
  </si>
  <si>
    <t>pay_420001091</t>
  </si>
  <si>
    <t>pay_420001207</t>
  </si>
  <si>
    <t>pay_420001249</t>
  </si>
  <si>
    <t>pay_420001252</t>
  </si>
  <si>
    <t>pay_420001351</t>
  </si>
  <si>
    <t>ord26001416</t>
  </si>
  <si>
    <t>pay_420001364</t>
  </si>
  <si>
    <t xml:space="preserve">ORD26001432  </t>
  </si>
  <si>
    <t>pay_420001385</t>
  </si>
  <si>
    <t>pay_420001543</t>
  </si>
  <si>
    <t>pay_420001555</t>
  </si>
  <si>
    <t>pay_420001707</t>
  </si>
  <si>
    <t>pay_420001729</t>
  </si>
  <si>
    <t>pay_420001791</t>
  </si>
  <si>
    <t>pay_420001817</t>
  </si>
  <si>
    <t>pay_420001888</t>
  </si>
  <si>
    <t xml:space="preserve">ORD26001976  </t>
  </si>
  <si>
    <t>pay_420001905</t>
  </si>
  <si>
    <t>pay_420001921</t>
  </si>
  <si>
    <t>pay_420001962</t>
  </si>
  <si>
    <t>pay_420001968</t>
  </si>
  <si>
    <t>ord26002063</t>
  </si>
  <si>
    <t>pay_420001995</t>
  </si>
  <si>
    <t>pay_420002054</t>
  </si>
  <si>
    <t>pay_420002196</t>
  </si>
  <si>
    <t>pay_420002219</t>
  </si>
  <si>
    <t>pay_420002224</t>
  </si>
  <si>
    <t>ord26002328</t>
  </si>
  <si>
    <t>pay_420002249</t>
  </si>
  <si>
    <t xml:space="preserve">ORD26002354  </t>
  </si>
  <si>
    <t>pay_420002385</t>
  </si>
  <si>
    <t>pay_420002425</t>
  </si>
  <si>
    <t>ord26002538</t>
  </si>
  <si>
    <t>pay_420002486</t>
  </si>
  <si>
    <t>pay_420002520</t>
  </si>
  <si>
    <t>pay_420002533</t>
  </si>
  <si>
    <t>pay_420002535</t>
  </si>
  <si>
    <t>pay_420002554</t>
  </si>
  <si>
    <t>pay_420002588</t>
  </si>
  <si>
    <t xml:space="preserve">ORD26002715  </t>
  </si>
  <si>
    <t>pay_420002598</t>
  </si>
  <si>
    <t>pay_420002626</t>
  </si>
  <si>
    <t>pay_420002691</t>
  </si>
  <si>
    <t>pay_420002708</t>
  </si>
  <si>
    <t>pay_420002719</t>
  </si>
  <si>
    <t>pay_420002740</t>
  </si>
  <si>
    <t>pay_420002748</t>
  </si>
  <si>
    <t>pay_420002797</t>
  </si>
  <si>
    <t>ord26002939</t>
  </si>
  <si>
    <t>pay_420002811</t>
  </si>
  <si>
    <t>pay_420002851</t>
  </si>
  <si>
    <t>pay_420002862</t>
  </si>
  <si>
    <t>ord26003003</t>
  </si>
  <si>
    <t>pay_420002886</t>
  </si>
  <si>
    <t>pay_420002905</t>
  </si>
  <si>
    <t>ord26003049</t>
  </si>
  <si>
    <t>pay_420002930</t>
  </si>
  <si>
    <t xml:space="preserve">ORD26003073  </t>
  </si>
  <si>
    <t>pay_420002938</t>
  </si>
  <si>
    <t>pay_420003103</t>
  </si>
  <si>
    <t>ord26003260</t>
  </si>
  <si>
    <t>pay_420003120</t>
  </si>
  <si>
    <t>pay_420003126</t>
  </si>
  <si>
    <t>pay_420003202</t>
  </si>
  <si>
    <t>pay_420003211</t>
  </si>
  <si>
    <t>pay_420003216</t>
  </si>
  <si>
    <t>pay_420003327</t>
  </si>
  <si>
    <t>ORD-26003490</t>
  </si>
  <si>
    <t>pay_420003347</t>
  </si>
  <si>
    <t>pay_420003365</t>
  </si>
  <si>
    <t>pay_420003419</t>
  </si>
  <si>
    <t>pay_420003424</t>
  </si>
  <si>
    <t>pay_420003471</t>
  </si>
  <si>
    <t>pay_420003588</t>
  </si>
  <si>
    <t>pay_420003758</t>
  </si>
  <si>
    <t>pay_420003792</t>
  </si>
  <si>
    <t>pay_420003819</t>
  </si>
  <si>
    <t>pay_420003852</t>
  </si>
  <si>
    <t>pay_420003895</t>
  </si>
  <si>
    <t>ord26004077</t>
  </si>
  <si>
    <t>pay_420003999</t>
  </si>
  <si>
    <t>pay_420004053</t>
  </si>
  <si>
    <t>pay_420004070</t>
  </si>
  <si>
    <t>pay_420004072</t>
  </si>
  <si>
    <t>pay_420004086</t>
  </si>
  <si>
    <t>pay_420004101</t>
  </si>
  <si>
    <t>ord26004296</t>
  </si>
  <si>
    <t>pay_420004190</t>
  </si>
  <si>
    <t>pay_420004252</t>
  </si>
  <si>
    <t>pay_420004272</t>
  </si>
  <si>
    <t>pay_420004486</t>
  </si>
  <si>
    <t>pay_420004555</t>
  </si>
  <si>
    <t>pay_420004563</t>
  </si>
  <si>
    <t>ord26004777</t>
  </si>
  <si>
    <t>pay_420004565</t>
  </si>
  <si>
    <t>pay_420004574</t>
  </si>
  <si>
    <t>pay_420004637</t>
  </si>
  <si>
    <t>pay_420004777</t>
  </si>
  <si>
    <t>pay_420004896</t>
  </si>
  <si>
    <t>pay_420004926</t>
  </si>
  <si>
    <t>pay_420004934</t>
  </si>
  <si>
    <t>pay_420005006</t>
  </si>
  <si>
    <t>pay_420005015</t>
  </si>
  <si>
    <t>pay_420005055</t>
  </si>
  <si>
    <t>pay_420005093</t>
  </si>
  <si>
    <t>pay_420005094</t>
  </si>
  <si>
    <t>pay_420005144</t>
  </si>
  <si>
    <t>pay_420005269</t>
  </si>
  <si>
    <t>pay_420005288</t>
  </si>
  <si>
    <t>ORD-26005526</t>
  </si>
  <si>
    <t>pay_420005306</t>
  </si>
  <si>
    <t>pay_420005309</t>
  </si>
  <si>
    <t>pay_420005343</t>
  </si>
  <si>
    <t>pay_420005418</t>
  </si>
  <si>
    <t>pay_420005424</t>
  </si>
  <si>
    <t>pay_420005464</t>
  </si>
  <si>
    <t>pay_420005484</t>
  </si>
  <si>
    <t>pay_420005568</t>
  </si>
  <si>
    <t>pay_420005609</t>
  </si>
  <si>
    <t>pay_420005694</t>
  </si>
  <si>
    <t>pay_420005740</t>
  </si>
  <si>
    <t>ORD26006505</t>
  </si>
  <si>
    <t>pay_420000034</t>
  </si>
  <si>
    <t>pay_420000054</t>
  </si>
  <si>
    <t>pay_420000064</t>
  </si>
  <si>
    <t>pay_420000082</t>
  </si>
  <si>
    <t>pay_420000086</t>
  </si>
  <si>
    <t>ord26000091</t>
  </si>
  <si>
    <t>pay_420000107</t>
  </si>
  <si>
    <t>pay_420000109</t>
  </si>
  <si>
    <t>pay_420000117</t>
  </si>
  <si>
    <t>pay_420000142</t>
  </si>
  <si>
    <t>pay_420000173</t>
  </si>
  <si>
    <t>pay_420000187</t>
  </si>
  <si>
    <t>pay_420000230</t>
  </si>
  <si>
    <t>pay_420000233</t>
  </si>
  <si>
    <t>pay_420000293</t>
  </si>
  <si>
    <t>pay_420000411</t>
  </si>
  <si>
    <t>pay_420000433</t>
  </si>
  <si>
    <t>pay_420000461</t>
  </si>
  <si>
    <t>pay_420000476</t>
  </si>
  <si>
    <t>pay_420000500</t>
  </si>
  <si>
    <t>pay_420000531</t>
  </si>
  <si>
    <t>pay_420000550</t>
  </si>
  <si>
    <t>pay_420000585</t>
  </si>
  <si>
    <t>ord26000607</t>
  </si>
  <si>
    <t>pay_420000589</t>
  </si>
  <si>
    <t>pay_420000615</t>
  </si>
  <si>
    <t>pay_420000624</t>
  </si>
  <si>
    <t>pay_420000625</t>
  </si>
  <si>
    <t>pay_420000670</t>
  </si>
  <si>
    <t xml:space="preserve">ORD26000699  </t>
  </si>
  <si>
    <t>pay_420000700</t>
  </si>
  <si>
    <t>pay_420000724</t>
  </si>
  <si>
    <t>pay_420000729</t>
  </si>
  <si>
    <t>pay_420000760</t>
  </si>
  <si>
    <t>pay_420000782</t>
  </si>
  <si>
    <t>pay_420000783</t>
  </si>
  <si>
    <t>pay_420000845</t>
  </si>
  <si>
    <t>pay_420000864</t>
  </si>
  <si>
    <t>pay_420000865</t>
  </si>
  <si>
    <t>ord26000903</t>
  </si>
  <si>
    <t>pay_420000929</t>
  </si>
  <si>
    <t>pay_420000931</t>
  </si>
  <si>
    <t>ord26000972</t>
  </si>
  <si>
    <t>pay_420000960</t>
  </si>
  <si>
    <t>ord26001002</t>
  </si>
  <si>
    <t>pay_420000968</t>
  </si>
  <si>
    <t>pay_420001107</t>
  </si>
  <si>
    <t>pay_420001111</t>
  </si>
  <si>
    <t>ord26001158</t>
  </si>
  <si>
    <t>pay_420001121</t>
  </si>
  <si>
    <t>pay_420001158</t>
  </si>
  <si>
    <t>ord26001207</t>
  </si>
  <si>
    <t>pay_420001170</t>
  </si>
  <si>
    <t>pay_420001206</t>
  </si>
  <si>
    <t>pay_420001219</t>
  </si>
  <si>
    <t>pay_420001232</t>
  </si>
  <si>
    <t>pay_420001250</t>
  </si>
  <si>
    <t>pay_420001266</t>
  </si>
  <si>
    <t>pay_420001294</t>
  </si>
  <si>
    <t>pay_420001301</t>
  </si>
  <si>
    <t>pay_420001338</t>
  </si>
  <si>
    <t>pay_420001356</t>
  </si>
  <si>
    <t>pay_420001362</t>
  </si>
  <si>
    <t>pay_420001415</t>
  </si>
  <si>
    <t>pay_420001477</t>
  </si>
  <si>
    <t>pay_420001502</t>
  </si>
  <si>
    <t>pay_420001582</t>
  </si>
  <si>
    <t>pay_420001655</t>
  </si>
  <si>
    <t>pay_420001662</t>
  </si>
  <si>
    <t>pay_420001718</t>
  </si>
  <si>
    <t>ORD-26001799</t>
  </si>
  <si>
    <t>pay_420001760</t>
  </si>
  <si>
    <t>ord26001842</t>
  </si>
  <si>
    <t>pay_420001827</t>
  </si>
  <si>
    <t>pay_420001929</t>
  </si>
  <si>
    <t>pay_420001935</t>
  </si>
  <si>
    <t>pay_420001956</t>
  </si>
  <si>
    <t>pay_420001964</t>
  </si>
  <si>
    <t>pay_420001992</t>
  </si>
  <si>
    <t>pay_420002013</t>
  </si>
  <si>
    <t>pay_420002083</t>
  </si>
  <si>
    <t>pay_420002091</t>
  </si>
  <si>
    <t>pay_420002096</t>
  </si>
  <si>
    <t>pay_420002120</t>
  </si>
  <si>
    <t>pay_420002142</t>
  </si>
  <si>
    <t>pay_420002182</t>
  </si>
  <si>
    <t>pay_420002220</t>
  </si>
  <si>
    <t>pay_420002242</t>
  </si>
  <si>
    <t>pay_420002265</t>
  </si>
  <si>
    <t>pay_420002286</t>
  </si>
  <si>
    <t>pay_420002329</t>
  </si>
  <si>
    <t>pay_420002338</t>
  </si>
  <si>
    <t>pay_420002388</t>
  </si>
  <si>
    <t>pay_420002408</t>
  </si>
  <si>
    <t>pay_420002450</t>
  </si>
  <si>
    <t>pay_420002453</t>
  </si>
  <si>
    <t>pay_420002457</t>
  </si>
  <si>
    <t>ord26002572</t>
  </si>
  <si>
    <t>pay_420002527</t>
  </si>
  <si>
    <t>pay_420002530</t>
  </si>
  <si>
    <t>ord26002653</t>
  </si>
  <si>
    <t>pay_420002565</t>
  </si>
  <si>
    <t>pay_420002634</t>
  </si>
  <si>
    <t>pay_420002655</t>
  </si>
  <si>
    <t>ord26002787</t>
  </si>
  <si>
    <t>pay_420002663</t>
  </si>
  <si>
    <t>ORD-26002796</t>
  </si>
  <si>
    <t>pay_420002677</t>
  </si>
  <si>
    <t>pay_420002711</t>
  </si>
  <si>
    <t>pay_420002734</t>
  </si>
  <si>
    <t>ORD-26002871</t>
  </si>
  <si>
    <t>pay_420002742</t>
  </si>
  <si>
    <t>pay_420002756</t>
  </si>
  <si>
    <t>ORD-26002894</t>
  </si>
  <si>
    <t>pay_420002763</t>
  </si>
  <si>
    <t>pay_420002786</t>
  </si>
  <si>
    <t>pay_420002791</t>
  </si>
  <si>
    <t>pay_420002814</t>
  </si>
  <si>
    <t>pay_420002820</t>
  </si>
  <si>
    <t>ord26002962</t>
  </si>
  <si>
    <t>pay_420002838</t>
  </si>
  <si>
    <t>pay_420002860</t>
  </si>
  <si>
    <t>pay_420002937</t>
  </si>
  <si>
    <t>pay_420002995</t>
  </si>
  <si>
    <t>pay_420003008</t>
  </si>
  <si>
    <t>pay_420003055</t>
  </si>
  <si>
    <t>pay_420003075</t>
  </si>
  <si>
    <t>pay_420003111</t>
  </si>
  <si>
    <t>pay_420003116</t>
  </si>
  <si>
    <t>pay_420003164</t>
  </si>
  <si>
    <t>pay_420003215</t>
  </si>
  <si>
    <t>pay_420003219</t>
  </si>
  <si>
    <t>ORD-26003380</t>
  </si>
  <si>
    <t>pay_420003233</t>
  </si>
  <si>
    <t>pay_420003242</t>
  </si>
  <si>
    <t>pay_420003266</t>
  </si>
  <si>
    <t>pay_420003296</t>
  </si>
  <si>
    <t>pay_420003334</t>
  </si>
  <si>
    <t>pay_420003359</t>
  </si>
  <si>
    <t>pay_420003366</t>
  </si>
  <si>
    <t>pay_420003379</t>
  </si>
  <si>
    <t>pay_420003397</t>
  </si>
  <si>
    <t>pay_420003530</t>
  </si>
  <si>
    <t>pay_420003531</t>
  </si>
  <si>
    <t>ORD-26003702</t>
  </si>
  <si>
    <t>pay_420003532</t>
  </si>
  <si>
    <t>ord26003703</t>
  </si>
  <si>
    <t>pay_420003534</t>
  </si>
  <si>
    <t>pay_420003536</t>
  </si>
  <si>
    <t>pay_420003544</t>
  </si>
  <si>
    <t>ORD-26003715</t>
  </si>
  <si>
    <t>pay_420003553</t>
  </si>
  <si>
    <t>pay_420003561</t>
  </si>
  <si>
    <t>pay_420003570</t>
  </si>
  <si>
    <t>pay_420003587</t>
  </si>
  <si>
    <t>pay_420003592</t>
  </si>
  <si>
    <t>pay_420003595</t>
  </si>
  <si>
    <t>pay_420003614</t>
  </si>
  <si>
    <t>pay_420003618</t>
  </si>
  <si>
    <t>pay_420003636</t>
  </si>
  <si>
    <t>pay_420003683</t>
  </si>
  <si>
    <t>pay_420003740</t>
  </si>
  <si>
    <t>ORD-26003914</t>
  </si>
  <si>
    <t>pay_420003755</t>
  </si>
  <si>
    <t>pay_420003822</t>
  </si>
  <si>
    <t>pay_420003872</t>
  </si>
  <si>
    <t>ord26004057</t>
  </si>
  <si>
    <t>pay_420003935</t>
  </si>
  <si>
    <t>pay_420003978</t>
  </si>
  <si>
    <t>pay_420004010</t>
  </si>
  <si>
    <t>pay_420004054</t>
  </si>
  <si>
    <t>pay_420004075</t>
  </si>
  <si>
    <t>pay_420004079</t>
  </si>
  <si>
    <t xml:space="preserve">ORD26004272  </t>
  </si>
  <si>
    <t>pay_420004103</t>
  </si>
  <si>
    <t>pay_420004157</t>
  </si>
  <si>
    <t>pay_420004173</t>
  </si>
  <si>
    <t>pay_420004202</t>
  </si>
  <si>
    <t>pay_420004267</t>
  </si>
  <si>
    <t>pay_420004271</t>
  </si>
  <si>
    <t>pay_420004337</t>
  </si>
  <si>
    <t>pay_420004345</t>
  </si>
  <si>
    <t>pay_420004373</t>
  </si>
  <si>
    <t>pay_420004377</t>
  </si>
  <si>
    <t>pay_420004421</t>
  </si>
  <si>
    <t>ord26004628</t>
  </si>
  <si>
    <t>pay_420004511</t>
  </si>
  <si>
    <t>pay_420004537</t>
  </si>
  <si>
    <t>pay_420004559</t>
  </si>
  <si>
    <t>ord26004773</t>
  </si>
  <si>
    <t>pay_420004569</t>
  </si>
  <si>
    <t>pay_420004599</t>
  </si>
  <si>
    <t>pay_420004610</t>
  </si>
  <si>
    <t>pay_420004636</t>
  </si>
  <si>
    <t>pay_420004666</t>
  </si>
  <si>
    <t>ORD-26004887</t>
  </si>
  <si>
    <t>pay_420004679</t>
  </si>
  <si>
    <t>ord26004900</t>
  </si>
  <si>
    <t>pay_420004710</t>
  </si>
  <si>
    <t>pay_420004715</t>
  </si>
  <si>
    <t>pay_420004745</t>
  </si>
  <si>
    <t>pay_420004750</t>
  </si>
  <si>
    <t>pay_420004884</t>
  </si>
  <si>
    <t>ord26005111</t>
  </si>
  <si>
    <t>pay_420004887</t>
  </si>
  <si>
    <t xml:space="preserve">ORD26005115  </t>
  </si>
  <si>
    <t>pay_420004903</t>
  </si>
  <si>
    <t>pay_420004960</t>
  </si>
  <si>
    <t>pay_420004979</t>
  </si>
  <si>
    <t>ord26005211</t>
  </si>
  <si>
    <t>pay_420005029</t>
  </si>
  <si>
    <t>pay_420005124</t>
  </si>
  <si>
    <t>pay_420005280</t>
  </si>
  <si>
    <t>pay_420005287</t>
  </si>
  <si>
    <t>pay_420005300</t>
  </si>
  <si>
    <t>pay_420005311</t>
  </si>
  <si>
    <t>pay_420005317</t>
  </si>
  <si>
    <t>pay_420005319</t>
  </si>
  <si>
    <t>pay_420005340</t>
  </si>
  <si>
    <t>ord26005582</t>
  </si>
  <si>
    <t>pay_420005384</t>
  </si>
  <si>
    <t>pay_420005389</t>
  </si>
  <si>
    <t>pay_420005427</t>
  </si>
  <si>
    <t>pay_420005448</t>
  </si>
  <si>
    <t>pay_420005479</t>
  </si>
  <si>
    <t>pay_420005490</t>
  </si>
  <si>
    <t>pay_420005529</t>
  </si>
  <si>
    <t>pay_420005572</t>
  </si>
  <si>
    <t>pay_420005578</t>
  </si>
  <si>
    <t>pay_420005600</t>
  </si>
  <si>
    <t>pay_420005677</t>
  </si>
  <si>
    <t>rfnd_BDDX8L3AAXM0</t>
  </si>
  <si>
    <t>REFUND</t>
  </si>
  <si>
    <t>rfnd_W6UU5WJWSTPB</t>
  </si>
  <si>
    <t>pay_420000041</t>
  </si>
  <si>
    <t>pay_420000078</t>
  </si>
  <si>
    <t>pay_420000101</t>
  </si>
  <si>
    <t>pay_420000111</t>
  </si>
  <si>
    <t>pay_420000115</t>
  </si>
  <si>
    <t>pay_420000228</t>
  </si>
  <si>
    <t>pay_420000250</t>
  </si>
  <si>
    <t>pay_420000268</t>
  </si>
  <si>
    <t>pay_420000281</t>
  </si>
  <si>
    <t>ord26000298</t>
  </si>
  <si>
    <t>pay_420000315</t>
  </si>
  <si>
    <t>pay_420000430</t>
  </si>
  <si>
    <t>pay_420000437</t>
  </si>
  <si>
    <t>ord26000455</t>
  </si>
  <si>
    <t>pay_420000464</t>
  </si>
  <si>
    <t>pay_420000470</t>
  </si>
  <si>
    <t>pay_420000482</t>
  </si>
  <si>
    <t>pay_420000512</t>
  </si>
  <si>
    <t>pay_420000513</t>
  </si>
  <si>
    <t>pay_420000592</t>
  </si>
  <si>
    <t>pay_420000647</t>
  </si>
  <si>
    <t>pay_420000735</t>
  </si>
  <si>
    <t>pay_420000740</t>
  </si>
  <si>
    <t>pay_420000823</t>
  </si>
  <si>
    <t>pay_420000825</t>
  </si>
  <si>
    <t>ord26000859</t>
  </si>
  <si>
    <t>pay_420000826</t>
  </si>
  <si>
    <t>pay_420000840</t>
  </si>
  <si>
    <t>pay_420000867</t>
  </si>
  <si>
    <t>pay_420000870</t>
  </si>
  <si>
    <t>ORD-26000909</t>
  </si>
  <si>
    <t>pay_420000930</t>
  </si>
  <si>
    <t>ord26000971</t>
  </si>
  <si>
    <t>pay_420000951</t>
  </si>
  <si>
    <t>pay_420001000</t>
  </si>
  <si>
    <t>pay_420001010</t>
  </si>
  <si>
    <t>pay_420001106</t>
  </si>
  <si>
    <t>pay_420001138</t>
  </si>
  <si>
    <t>pay_420001195</t>
  </si>
  <si>
    <t>pay_420001197</t>
  </si>
  <si>
    <t>pay_420001209</t>
  </si>
  <si>
    <t>pay_420001230</t>
  </si>
  <si>
    <t>pay_420001231</t>
  </si>
  <si>
    <t xml:space="preserve">ORD26001288  </t>
  </si>
  <si>
    <t>pay_420001259</t>
  </si>
  <si>
    <t>pay_420001307</t>
  </si>
  <si>
    <t>pay_420001312</t>
  </si>
  <si>
    <t>pay_420001320</t>
  </si>
  <si>
    <t>pay_420001360</t>
  </si>
  <si>
    <t>pay_420001371</t>
  </si>
  <si>
    <t>pay_420001384</t>
  </si>
  <si>
    <t>pay_420001393</t>
  </si>
  <si>
    <t>pay_420001394</t>
  </si>
  <si>
    <t>pay_420001409</t>
  </si>
  <si>
    <t>pay_420001488</t>
  </si>
  <si>
    <t>pay_420001499</t>
  </si>
  <si>
    <t>pay_420001520</t>
  </si>
  <si>
    <t>pay_420001534</t>
  </si>
  <si>
    <t>pay_420001571</t>
  </si>
  <si>
    <t>pay_420001591</t>
  </si>
  <si>
    <t>pay_420001628</t>
  </si>
  <si>
    <t>pay_420001629</t>
  </si>
  <si>
    <t>pay_420001646</t>
  </si>
  <si>
    <t>ord26001723</t>
  </si>
  <si>
    <t>pay_420001659</t>
  </si>
  <si>
    <t>pay_420001677</t>
  </si>
  <si>
    <t>pay_420001690</t>
  </si>
  <si>
    <t>pay_420001714</t>
  </si>
  <si>
    <t>pay_420001734</t>
  </si>
  <si>
    <t>pay_420001764</t>
  </si>
  <si>
    <t>pay_420001813</t>
  </si>
  <si>
    <t>ord26001896</t>
  </si>
  <si>
    <t>pay_420001814</t>
  </si>
  <si>
    <t>pay_420001829</t>
  </si>
  <si>
    <t>pay_420001943</t>
  </si>
  <si>
    <t>pay_420001970</t>
  </si>
  <si>
    <t>pay_420001986</t>
  </si>
  <si>
    <t>pay_420002003</t>
  </si>
  <si>
    <t>pay_420002062</t>
  </si>
  <si>
    <t xml:space="preserve">ORD26002154  </t>
  </si>
  <si>
    <t>pay_420002123</t>
  </si>
  <si>
    <t>pay_420002166</t>
  </si>
  <si>
    <t>pay_420002173</t>
  </si>
  <si>
    <t>pay_420002181</t>
  </si>
  <si>
    <t>pay_420002193</t>
  </si>
  <si>
    <t>pay_420002198</t>
  </si>
  <si>
    <t>pay_420002225</t>
  </si>
  <si>
    <t>pay_420002303</t>
  </si>
  <si>
    <t>pay_420002304</t>
  </si>
  <si>
    <t>ord26002418</t>
  </si>
  <si>
    <t>pay_420002378</t>
  </si>
  <si>
    <t>pay_420002384</t>
  </si>
  <si>
    <t>pay_420002427</t>
  </si>
  <si>
    <t>ord26002539</t>
  </si>
  <si>
    <t>pay_420002437</t>
  </si>
  <si>
    <t>pay_420002446</t>
  </si>
  <si>
    <t>pay_420002449</t>
  </si>
  <si>
    <t>pay_420002451</t>
  </si>
  <si>
    <t>pay_420002452</t>
  </si>
  <si>
    <t>ORD-26002566</t>
  </si>
  <si>
    <t>pay_420002484</t>
  </si>
  <si>
    <t>pay_420002498</t>
  </si>
  <si>
    <t>pay_420002594</t>
  </si>
  <si>
    <t>pay_420002619</t>
  </si>
  <si>
    <t>pay_420002653</t>
  </si>
  <si>
    <t>pay_420002783</t>
  </si>
  <si>
    <t>pay_420002852</t>
  </si>
  <si>
    <t>pay_420002899</t>
  </si>
  <si>
    <t>ORD-26003043</t>
  </si>
  <si>
    <t>pay_420002915</t>
  </si>
  <si>
    <t>ord26003058</t>
  </si>
  <si>
    <t>pay_420002923</t>
  </si>
  <si>
    <t>pay_420002966</t>
  </si>
  <si>
    <t>pay_420002967</t>
  </si>
  <si>
    <t>pay_420002974</t>
  </si>
  <si>
    <t>pay_420002987</t>
  </si>
  <si>
    <t>pay_420002989</t>
  </si>
  <si>
    <t>pay_420003011</t>
  </si>
  <si>
    <t>pay_420003061</t>
  </si>
  <si>
    <t>pay_420003182</t>
  </si>
  <si>
    <t>pay_420003200</t>
  </si>
  <si>
    <t>pay_420003218</t>
  </si>
  <si>
    <t>pay_420003253</t>
  </si>
  <si>
    <t>pay_420003258</t>
  </si>
  <si>
    <t>pay_420003292</t>
  </si>
  <si>
    <t>ord26003456</t>
  </si>
  <si>
    <t>pay_420003319</t>
  </si>
  <si>
    <t>pay_420003322</t>
  </si>
  <si>
    <t>pay_420003433</t>
  </si>
  <si>
    <t>pay_420003435</t>
  </si>
  <si>
    <t>ord26003604</t>
  </si>
  <si>
    <t>pay_420003452</t>
  </si>
  <si>
    <t>pay_420003495</t>
  </si>
  <si>
    <t>pay_420003521</t>
  </si>
  <si>
    <t>pay_420003529</t>
  </si>
  <si>
    <t>pay_420003537</t>
  </si>
  <si>
    <t>ord26003708</t>
  </si>
  <si>
    <t>pay_420003538</t>
  </si>
  <si>
    <t>ord26003709</t>
  </si>
  <si>
    <t>pay_420003573</t>
  </si>
  <si>
    <t>ORD-26003741</t>
  </si>
  <si>
    <t>pay_420003575</t>
  </si>
  <si>
    <t>pay_420003579</t>
  </si>
  <si>
    <t>pay_420003609</t>
  </si>
  <si>
    <t>pay_420003620</t>
  </si>
  <si>
    <t>pay_420003643</t>
  </si>
  <si>
    <t>pay_420003684</t>
  </si>
  <si>
    <t>pay_420003736</t>
  </si>
  <si>
    <t>pay_420003743</t>
  </si>
  <si>
    <t>pay_420003746</t>
  </si>
  <si>
    <t xml:space="preserve">ORD26003920  </t>
  </si>
  <si>
    <t>pay_420003751</t>
  </si>
  <si>
    <t>pay_420003802</t>
  </si>
  <si>
    <t>pay_420003894</t>
  </si>
  <si>
    <t>pay_420003903</t>
  </si>
  <si>
    <t>pay_420003929</t>
  </si>
  <si>
    <t xml:space="preserve">ORD26004113  </t>
  </si>
  <si>
    <t>pay_420003982</t>
  </si>
  <si>
    <t>ord26004170</t>
  </si>
  <si>
    <t>pay_420003990</t>
  </si>
  <si>
    <t>pay_420004002</t>
  </si>
  <si>
    <t>pay_420004021</t>
  </si>
  <si>
    <t>pay_420004117</t>
  </si>
  <si>
    <t>pay_420004122</t>
  </si>
  <si>
    <t>ord26004314</t>
  </si>
  <si>
    <t>pay_420004177</t>
  </si>
  <si>
    <t>pay_420004204</t>
  </si>
  <si>
    <t>ord26004402</t>
  </si>
  <si>
    <t>pay_420004205</t>
  </si>
  <si>
    <t>ord26004403</t>
  </si>
  <si>
    <t>pay_420004220</t>
  </si>
  <si>
    <t>pay_420004242</t>
  </si>
  <si>
    <t>pay_420004246</t>
  </si>
  <si>
    <t>pay_420004289</t>
  </si>
  <si>
    <t>pay_420004291</t>
  </si>
  <si>
    <t>pay_420004297</t>
  </si>
  <si>
    <t>pay_420004398</t>
  </si>
  <si>
    <t>pay_420004452</t>
  </si>
  <si>
    <t>pay_420004492</t>
  </si>
  <si>
    <t>pay_420004494</t>
  </si>
  <si>
    <t>pay_420004500</t>
  </si>
  <si>
    <t>pay_420004541</t>
  </si>
  <si>
    <t>ORD-26004754</t>
  </si>
  <si>
    <t>pay_420004552</t>
  </si>
  <si>
    <t>pay_420004602</t>
  </si>
  <si>
    <t>pay_420004657</t>
  </si>
  <si>
    <t xml:space="preserve">ORD26004877  </t>
  </si>
  <si>
    <t>pay_420004688</t>
  </si>
  <si>
    <t>pay_420004700</t>
  </si>
  <si>
    <t>pay_420004733</t>
  </si>
  <si>
    <t>pay_420004743</t>
  </si>
  <si>
    <t>pay_420004749</t>
  </si>
  <si>
    <t>pay_420004783</t>
  </si>
  <si>
    <t>pay_420004850</t>
  </si>
  <si>
    <t>pay_420004866</t>
  </si>
  <si>
    <t>pay_420004966</t>
  </si>
  <si>
    <t xml:space="preserve">ORD26005199  </t>
  </si>
  <si>
    <t>pay_420005013</t>
  </si>
  <si>
    <t>pay_420005024</t>
  </si>
  <si>
    <t>pay_420005077</t>
  </si>
  <si>
    <t>pay_420005127</t>
  </si>
  <si>
    <t>pay_420005214</t>
  </si>
  <si>
    <t>ord26005455</t>
  </si>
  <si>
    <t>pay_420005230</t>
  </si>
  <si>
    <t>pay_420005254</t>
  </si>
  <si>
    <t>pay_420005257</t>
  </si>
  <si>
    <t xml:space="preserve">ORD26005494  </t>
  </si>
  <si>
    <t>pay_420005259</t>
  </si>
  <si>
    <t>pay_420005260</t>
  </si>
  <si>
    <t>pay_420005358</t>
  </si>
  <si>
    <t>ord26005600</t>
  </si>
  <si>
    <t>pay_420005463</t>
  </si>
  <si>
    <t>pay_420005476</t>
  </si>
  <si>
    <t>pay_420005516</t>
  </si>
  <si>
    <t>pay_420005585</t>
  </si>
  <si>
    <t>pay_420005612</t>
  </si>
  <si>
    <t>pay_420005637</t>
  </si>
  <si>
    <t xml:space="preserve">ORD26005900  </t>
  </si>
  <si>
    <t>pay_420005678</t>
  </si>
  <si>
    <t>pay_420005699</t>
  </si>
  <si>
    <t>rfnd_1C41Q7T6GFAL</t>
  </si>
  <si>
    <t>rfnd_KJKJAE6PT0EL</t>
  </si>
  <si>
    <t>pay_420000042</t>
  </si>
  <si>
    <t>pay_420000048</t>
  </si>
  <si>
    <t>pay_420000091</t>
  </si>
  <si>
    <t>ORD-26000097</t>
  </si>
  <si>
    <t>pay_420000104</t>
  </si>
  <si>
    <t>pay_420000108</t>
  </si>
  <si>
    <t>pay_420000110</t>
  </si>
  <si>
    <t>pay_420000150</t>
  </si>
  <si>
    <t>pay_420000189</t>
  </si>
  <si>
    <t>pay_420000207</t>
  </si>
  <si>
    <t>pay_420000253</t>
  </si>
  <si>
    <t>pay_420000284</t>
  </si>
  <si>
    <t xml:space="preserve">ORD26000300  </t>
  </si>
  <si>
    <t>pay_420000304</t>
  </si>
  <si>
    <t>pay_420000324</t>
  </si>
  <si>
    <t>pay_420000333</t>
  </si>
  <si>
    <t>pay_420000372</t>
  </si>
  <si>
    <t>pay_420000445</t>
  </si>
  <si>
    <t>pay_420000472</t>
  </si>
  <si>
    <t>pay_420000508</t>
  </si>
  <si>
    <t>pay_420000593</t>
  </si>
  <si>
    <t>pay_420000639</t>
  </si>
  <si>
    <t>pay_420000668</t>
  </si>
  <si>
    <t>ord26000697</t>
  </si>
  <si>
    <t>pay_420000741</t>
  </si>
  <si>
    <t>pay_420000746</t>
  </si>
  <si>
    <t xml:space="preserve">ORD26000779  </t>
  </si>
  <si>
    <t>pay_420000747</t>
  </si>
  <si>
    <t>pay_420000761</t>
  </si>
  <si>
    <t>pay_420000776</t>
  </si>
  <si>
    <t xml:space="preserve">ORD26000808  </t>
  </si>
  <si>
    <t>pay_420000803</t>
  </si>
  <si>
    <t xml:space="preserve">ORD26000837  </t>
  </si>
  <si>
    <t>pay_420000813</t>
  </si>
  <si>
    <t>pay_420000830</t>
  </si>
  <si>
    <t>pay_420000876</t>
  </si>
  <si>
    <t>pay_420000935</t>
  </si>
  <si>
    <t>pay_420000950</t>
  </si>
  <si>
    <t>pay_420001078</t>
  </si>
  <si>
    <t>pay_420001113</t>
  </si>
  <si>
    <t>pay_420001127</t>
  </si>
  <si>
    <t>pay_420001174</t>
  </si>
  <si>
    <t>ORD-26001224</t>
  </si>
  <si>
    <t>pay_420001194</t>
  </si>
  <si>
    <t>pay_420001229</t>
  </si>
  <si>
    <t>pay_420001309</t>
  </si>
  <si>
    <t>pay_420001319</t>
  </si>
  <si>
    <t>ord26001381</t>
  </si>
  <si>
    <t>pay_420001343</t>
  </si>
  <si>
    <t>pay_420001372</t>
  </si>
  <si>
    <t>pay_420001387</t>
  </si>
  <si>
    <t>pay_420001395</t>
  </si>
  <si>
    <t>pay_420001400</t>
  </si>
  <si>
    <t>pay_420001402</t>
  </si>
  <si>
    <t>pay_420001461</t>
  </si>
  <si>
    <t>pay_420001480</t>
  </si>
  <si>
    <t>pay_420001498</t>
  </si>
  <si>
    <t>ord26001563</t>
  </si>
  <si>
    <t>pay_420001528</t>
  </si>
  <si>
    <t>pay_420001550</t>
  </si>
  <si>
    <t>ORD-26001618</t>
  </si>
  <si>
    <t>pay_420001559</t>
  </si>
  <si>
    <t>pay_420001574</t>
  </si>
  <si>
    <t>pay_420001595</t>
  </si>
  <si>
    <t>pay_420001598</t>
  </si>
  <si>
    <t>pay_420001608</t>
  </si>
  <si>
    <t>pay_420001626</t>
  </si>
  <si>
    <t>pay_420001688</t>
  </si>
  <si>
    <t>pay_420001713</t>
  </si>
  <si>
    <t>pay_420001739</t>
  </si>
  <si>
    <t>pay_420001815</t>
  </si>
  <si>
    <t>pay_420001858</t>
  </si>
  <si>
    <t>pay_420001947</t>
  </si>
  <si>
    <t xml:space="preserve">ORD26002041  </t>
  </si>
  <si>
    <t>pay_420002064</t>
  </si>
  <si>
    <t>pay_420002074</t>
  </si>
  <si>
    <t>pay_420002084</t>
  </si>
  <si>
    <t>pay_420002090</t>
  </si>
  <si>
    <t>pay_420002125</t>
  </si>
  <si>
    <t>pay_420002127</t>
  </si>
  <si>
    <t>pay_420002163</t>
  </si>
  <si>
    <t>pay_420002203</t>
  </si>
  <si>
    <t>pay_420002238</t>
  </si>
  <si>
    <t>ord26002342</t>
  </si>
  <si>
    <t>pay_420002266</t>
  </si>
  <si>
    <t>ord26002374</t>
  </si>
  <si>
    <t>pay_420002289</t>
  </si>
  <si>
    <t>pay_420002297</t>
  </si>
  <si>
    <t>ORD-26002410</t>
  </si>
  <si>
    <t>pay_420002305</t>
  </si>
  <si>
    <t>pay_420002316</t>
  </si>
  <si>
    <t>pay_420002333</t>
  </si>
  <si>
    <t xml:space="preserve">ORD26002447  </t>
  </si>
  <si>
    <t>pay_420002367</t>
  </si>
  <si>
    <t>pay_420002390</t>
  </si>
  <si>
    <t>pay_420002417</t>
  </si>
  <si>
    <t>pay_420002430</t>
  </si>
  <si>
    <t>pay_420002442</t>
  </si>
  <si>
    <t>pay_420002487</t>
  </si>
  <si>
    <t>pay_420002538</t>
  </si>
  <si>
    <t>ORD-26002662</t>
  </si>
  <si>
    <t>pay_420002586</t>
  </si>
  <si>
    <t>pay_420002647</t>
  </si>
  <si>
    <t>pay_420002654</t>
  </si>
  <si>
    <t>pay_420002662</t>
  </si>
  <si>
    <t>ORD-26002795</t>
  </si>
  <si>
    <t>pay_420002668</t>
  </si>
  <si>
    <t>pay_420002686</t>
  </si>
  <si>
    <t>ord26002818</t>
  </si>
  <si>
    <t>pay_420002692</t>
  </si>
  <si>
    <t>pay_420002729</t>
  </si>
  <si>
    <t>pay_420002744</t>
  </si>
  <si>
    <t>pay_420002746</t>
  </si>
  <si>
    <t>pay_420002802</t>
  </si>
  <si>
    <t>pay_420002931</t>
  </si>
  <si>
    <t>pay_420002960</t>
  </si>
  <si>
    <t>pay_420002961</t>
  </si>
  <si>
    <t>pay_420003036</t>
  </si>
  <si>
    <t>pay_420003041</t>
  </si>
  <si>
    <t>pay_420003063</t>
  </si>
  <si>
    <t>pay_420003118</t>
  </si>
  <si>
    <t>pay_420003142</t>
  </si>
  <si>
    <t>pay_420003162</t>
  </si>
  <si>
    <t>pay_420003187</t>
  </si>
  <si>
    <t>pay_420003293</t>
  </si>
  <si>
    <t>pay_420003324</t>
  </si>
  <si>
    <t>pay_420003355</t>
  </si>
  <si>
    <t>pay_420003367</t>
  </si>
  <si>
    <t>pay_420003384</t>
  </si>
  <si>
    <t xml:space="preserve">ORD26003551  </t>
  </si>
  <si>
    <t>pay_420003415</t>
  </si>
  <si>
    <t>pay_420003468</t>
  </si>
  <si>
    <t>ORD-26003636</t>
  </si>
  <si>
    <t>pay_420003488</t>
  </si>
  <si>
    <t>pay_420003562</t>
  </si>
  <si>
    <t>ord26003730</t>
  </si>
  <si>
    <t>pay_420003585</t>
  </si>
  <si>
    <t>pay_420003646</t>
  </si>
  <si>
    <t>pay_420003685</t>
  </si>
  <si>
    <t>ord26003856</t>
  </si>
  <si>
    <t>pay_420003722</t>
  </si>
  <si>
    <t>pay_420003735</t>
  </si>
  <si>
    <t>pay_420003748</t>
  </si>
  <si>
    <t>pay_420003763</t>
  </si>
  <si>
    <t>ord26003938</t>
  </si>
  <si>
    <t>pay_420003784</t>
  </si>
  <si>
    <t>pay_420003832</t>
  </si>
  <si>
    <t>pay_420003847</t>
  </si>
  <si>
    <t>pay_420003900</t>
  </si>
  <si>
    <t>pay_420003901</t>
  </si>
  <si>
    <t>pay_420003918</t>
  </si>
  <si>
    <t>pay_420003943</t>
  </si>
  <si>
    <t>pay_420003952</t>
  </si>
  <si>
    <t>pay_420003970</t>
  </si>
  <si>
    <t>pay_420004041</t>
  </si>
  <si>
    <t>ord26004231</t>
  </si>
  <si>
    <t>pay_420004044</t>
  </si>
  <si>
    <t>pay_420004051</t>
  </si>
  <si>
    <t>pay_420004059</t>
  </si>
  <si>
    <t xml:space="preserve">ORD26004251  </t>
  </si>
  <si>
    <t>pay_420004078</t>
  </si>
  <si>
    <t>ord26004271</t>
  </si>
  <si>
    <t>pay_420004089</t>
  </si>
  <si>
    <t>pay_420004149</t>
  </si>
  <si>
    <t>pay_420004214</t>
  </si>
  <si>
    <t>pay_420004313</t>
  </si>
  <si>
    <t>pay_420004328</t>
  </si>
  <si>
    <t>pay_420004338</t>
  </si>
  <si>
    <t>pay_420004392</t>
  </si>
  <si>
    <t>pay_420004445</t>
  </si>
  <si>
    <t>pay_420004512</t>
  </si>
  <si>
    <t>pay_420004525</t>
  </si>
  <si>
    <t>ord26004738</t>
  </si>
  <si>
    <t>pay_420004553</t>
  </si>
  <si>
    <t>pay_420004611</t>
  </si>
  <si>
    <t>ord26004824</t>
  </si>
  <si>
    <t>pay_420004641</t>
  </si>
  <si>
    <t>pay_420004647</t>
  </si>
  <si>
    <t>pay_420004682</t>
  </si>
  <si>
    <t>pay_420004758</t>
  </si>
  <si>
    <t>pay_420004759</t>
  </si>
  <si>
    <t>pay_420004794</t>
  </si>
  <si>
    <t>pay_420004852</t>
  </si>
  <si>
    <t>pay_420004856</t>
  </si>
  <si>
    <t>pay_420004864</t>
  </si>
  <si>
    <t>pay_420004886</t>
  </si>
  <si>
    <t>pay_420004888</t>
  </si>
  <si>
    <t>pay_420004889</t>
  </si>
  <si>
    <t>pay_420004891</t>
  </si>
  <si>
    <t>ORD-26005119</t>
  </si>
  <si>
    <t>pay_420004983</t>
  </si>
  <si>
    <t>pay_420004997</t>
  </si>
  <si>
    <t>ord26005233</t>
  </si>
  <si>
    <t>pay_420005008</t>
  </si>
  <si>
    <t>pay_420005009</t>
  </si>
  <si>
    <t>pay_420005023</t>
  </si>
  <si>
    <t>pay_420005058</t>
  </si>
  <si>
    <t>pay_420005063</t>
  </si>
  <si>
    <t>pay_420005079</t>
  </si>
  <si>
    <t>pay_420005104</t>
  </si>
  <si>
    <t>pay_420005125</t>
  </si>
  <si>
    <t>pay_420005129</t>
  </si>
  <si>
    <t>pay_420005209</t>
  </si>
  <si>
    <t>ord26005450</t>
  </si>
  <si>
    <t>pay_420005213</t>
  </si>
  <si>
    <t>pay_420005229</t>
  </si>
  <si>
    <t>pay_420005234</t>
  </si>
  <si>
    <t>pay_420005294</t>
  </si>
  <si>
    <t>pay_420005326</t>
  </si>
  <si>
    <t>pay_420005347</t>
  </si>
  <si>
    <t>pay_420005354</t>
  </si>
  <si>
    <t>pay_420005363</t>
  </si>
  <si>
    <t>pay_420005369</t>
  </si>
  <si>
    <t>pay_420005376</t>
  </si>
  <si>
    <t>pay_420005378</t>
  </si>
  <si>
    <t>ord26005621</t>
  </si>
  <si>
    <t>pay_420005415</t>
  </si>
  <si>
    <t>pay_420005453</t>
  </si>
  <si>
    <t>pay_420005460</t>
  </si>
  <si>
    <t>pay_420005467</t>
  </si>
  <si>
    <t>pay_420005475</t>
  </si>
  <si>
    <t>ORD-26005724</t>
  </si>
  <si>
    <t>pay_420005503</t>
  </si>
  <si>
    <t>pay_420005565</t>
  </si>
  <si>
    <t>pay_420005569</t>
  </si>
  <si>
    <t>pay_420005665</t>
  </si>
  <si>
    <t>ORD-26005930</t>
  </si>
  <si>
    <t>pay_420005675</t>
  </si>
  <si>
    <t>pay_420005728</t>
  </si>
  <si>
    <t>pay_420005731</t>
  </si>
  <si>
    <t>rfnd_1R7WDBXGYHDQ</t>
  </si>
  <si>
    <t>rfnd_GKK57QSMZQR7</t>
  </si>
  <si>
    <t>pay_420000116</t>
  </si>
  <si>
    <t>pay_420000220</t>
  </si>
  <si>
    <t>pay_420000266</t>
  </si>
  <si>
    <t>pay_420000267</t>
  </si>
  <si>
    <t xml:space="preserve">ORD26000284  </t>
  </si>
  <si>
    <t>pay_420000320</t>
  </si>
  <si>
    <t>pay_420000329</t>
  </si>
  <si>
    <t>pay_420000387</t>
  </si>
  <si>
    <t>pay_420000389</t>
  </si>
  <si>
    <t>pay_420000486</t>
  </si>
  <si>
    <t>pay_420000504</t>
  </si>
  <si>
    <t>pay_420000520</t>
  </si>
  <si>
    <t>pay_420000578</t>
  </si>
  <si>
    <t>pay_420000582</t>
  </si>
  <si>
    <t>pay_420000612</t>
  </si>
  <si>
    <t>pay_420000620</t>
  </si>
  <si>
    <t>pay_420000666</t>
  </si>
  <si>
    <t>pay_420000701</t>
  </si>
  <si>
    <t>pay_420000709</t>
  </si>
  <si>
    <t>pay_420000745</t>
  </si>
  <si>
    <t>ord26000778</t>
  </si>
  <si>
    <t>pay_420000811</t>
  </si>
  <si>
    <t>pay_420000888</t>
  </si>
  <si>
    <t>pay_420000889</t>
  </si>
  <si>
    <t>pay_420000900</t>
  </si>
  <si>
    <t>ORD-26000939</t>
  </si>
  <si>
    <t>pay_420000926</t>
  </si>
  <si>
    <t>pay_420000940</t>
  </si>
  <si>
    <t>pay_420000953</t>
  </si>
  <si>
    <t>pay_420000964</t>
  </si>
  <si>
    <t>pay_420000992</t>
  </si>
  <si>
    <t>pay_420001073</t>
  </si>
  <si>
    <t>pay_420001122</t>
  </si>
  <si>
    <t>ord26001170</t>
  </si>
  <si>
    <t>pay_420001123</t>
  </si>
  <si>
    <t>pay_420001149</t>
  </si>
  <si>
    <t>pay_420001151</t>
  </si>
  <si>
    <t>pay_420001165</t>
  </si>
  <si>
    <t>ord26001214</t>
  </si>
  <si>
    <t>pay_420001181</t>
  </si>
  <si>
    <t>pay_420001186</t>
  </si>
  <si>
    <t>ord26001239</t>
  </si>
  <si>
    <t>pay_420001189</t>
  </si>
  <si>
    <t>ord26001242</t>
  </si>
  <si>
    <t>pay_420001263</t>
  </si>
  <si>
    <t>pay_420001282</t>
  </si>
  <si>
    <t>pay_420001283</t>
  </si>
  <si>
    <t>pay_420001375</t>
  </si>
  <si>
    <t>pay_420001401</t>
  </si>
  <si>
    <t>pay_420001405</t>
  </si>
  <si>
    <t xml:space="preserve">ORD26001475  </t>
  </si>
  <si>
    <t>pay_420001427</t>
  </si>
  <si>
    <t>pay_420001433</t>
  </si>
  <si>
    <t>pay_420001439</t>
  </si>
  <si>
    <t>pay_420001474</t>
  </si>
  <si>
    <t>ord26001538</t>
  </si>
  <si>
    <t>pay_420001481</t>
  </si>
  <si>
    <t>ord26001546</t>
  </si>
  <si>
    <t>pay_420001485</t>
  </si>
  <si>
    <t>ORD-26001550</t>
  </si>
  <si>
    <t>pay_420001631</t>
  </si>
  <si>
    <t>ORD-26001707</t>
  </si>
  <si>
    <t>pay_420001643</t>
  </si>
  <si>
    <t>pay_420001644</t>
  </si>
  <si>
    <t>pay_420001678</t>
  </si>
  <si>
    <t>pay_420001703</t>
  </si>
  <si>
    <t>pay_420001770</t>
  </si>
  <si>
    <t>pay_420001818</t>
  </si>
  <si>
    <t>pay_420001856</t>
  </si>
  <si>
    <t>pay_420001878</t>
  </si>
  <si>
    <t>pay_420001903</t>
  </si>
  <si>
    <t>pay_420001936</t>
  </si>
  <si>
    <t>pay_420002012</t>
  </si>
  <si>
    <t>pay_420002014</t>
  </si>
  <si>
    <t>pay_420002170</t>
  </si>
  <si>
    <t xml:space="preserve">ORD26002271  </t>
  </si>
  <si>
    <t>pay_420002269</t>
  </si>
  <si>
    <t>pay_420002271</t>
  </si>
  <si>
    <t xml:space="preserve">ORD26002379  </t>
  </si>
  <si>
    <t>pay_420002275</t>
  </si>
  <si>
    <t>pay_420002339</t>
  </si>
  <si>
    <t>pay_420002345</t>
  </si>
  <si>
    <t>pay_420002402</t>
  </si>
  <si>
    <t>pay_420002515</t>
  </si>
  <si>
    <t xml:space="preserve">ORD26002635  </t>
  </si>
  <si>
    <t>pay_420002614</t>
  </si>
  <si>
    <t>pay_420002629</t>
  </si>
  <si>
    <t>pay_420002640</t>
  </si>
  <si>
    <t>pay_420002643</t>
  </si>
  <si>
    <t>pay_420002648</t>
  </si>
  <si>
    <t>pay_420002696</t>
  </si>
  <si>
    <t>pay_420002709</t>
  </si>
  <si>
    <t>pay_420002718</t>
  </si>
  <si>
    <t>pay_420002722</t>
  </si>
  <si>
    <t>pay_420002727</t>
  </si>
  <si>
    <t>pay_420002750</t>
  </si>
  <si>
    <t>pay_420002751</t>
  </si>
  <si>
    <t>pay_420002805</t>
  </si>
  <si>
    <t>pay_420002810</t>
  </si>
  <si>
    <t>pay_420002847</t>
  </si>
  <si>
    <t>ord26002990</t>
  </si>
  <si>
    <t>pay_420002876</t>
  </si>
  <si>
    <t>pay_420002880</t>
  </si>
  <si>
    <t>pay_420002910</t>
  </si>
  <si>
    <t>pay_420002956</t>
  </si>
  <si>
    <t>pay_420003002</t>
  </si>
  <si>
    <t>pay_420003019</t>
  </si>
  <si>
    <t>pay_420003052</t>
  </si>
  <si>
    <t>pay_420003062</t>
  </si>
  <si>
    <t>pay_420003097</t>
  </si>
  <si>
    <t>pay_420003161</t>
  </si>
  <si>
    <t>ord26003322</t>
  </si>
  <si>
    <t>pay_420003186</t>
  </si>
  <si>
    <t>pay_420003197</t>
  </si>
  <si>
    <t>pay_420003252</t>
  </si>
  <si>
    <t>pay_420003284</t>
  </si>
  <si>
    <t>pay_420003391</t>
  </si>
  <si>
    <t>pay_420003490</t>
  </si>
  <si>
    <t>pay_420003503</t>
  </si>
  <si>
    <t>ORD-26003671</t>
  </si>
  <si>
    <t>pay_420003507</t>
  </si>
  <si>
    <t>pay_420003563</t>
  </si>
  <si>
    <t>pay_420003576</t>
  </si>
  <si>
    <t>pay_420003581</t>
  </si>
  <si>
    <t>pay_420003608</t>
  </si>
  <si>
    <t>pay_420003629</t>
  </si>
  <si>
    <t>pay_420003649</t>
  </si>
  <si>
    <t>pay_420003659</t>
  </si>
  <si>
    <t>pay_420003668</t>
  </si>
  <si>
    <t>pay_420003691</t>
  </si>
  <si>
    <t>pay_420003714</t>
  </si>
  <si>
    <t>pay_420003767</t>
  </si>
  <si>
    <t>pay_420003789</t>
  </si>
  <si>
    <t xml:space="preserve">ORD26003966  </t>
  </si>
  <si>
    <t>pay_420003810</t>
  </si>
  <si>
    <t>pay_420003831</t>
  </si>
  <si>
    <t>pay_420003887</t>
  </si>
  <si>
    <t>pay_420003889</t>
  </si>
  <si>
    <t>pay_420003913</t>
  </si>
  <si>
    <t>pay_420003950</t>
  </si>
  <si>
    <t xml:space="preserve">ORD26004133  </t>
  </si>
  <si>
    <t>pay_420003958</t>
  </si>
  <si>
    <t>ord26004142</t>
  </si>
  <si>
    <t>pay_420003974</t>
  </si>
  <si>
    <t>ord26004159</t>
  </si>
  <si>
    <t>pay_420004005</t>
  </si>
  <si>
    <t>pay_420004066</t>
  </si>
  <si>
    <t>pay_420004067</t>
  </si>
  <si>
    <t>pay_420004109</t>
  </si>
  <si>
    <t>pay_420004146</t>
  </si>
  <si>
    <t>ord26004338</t>
  </si>
  <si>
    <t>pay_420004150</t>
  </si>
  <si>
    <t>pay_420004161</t>
  </si>
  <si>
    <t>pay_420004256</t>
  </si>
  <si>
    <t>pay_420004363</t>
  </si>
  <si>
    <t>pay_420004372</t>
  </si>
  <si>
    <t>pay_420004378</t>
  </si>
  <si>
    <t xml:space="preserve">ORD26004581  </t>
  </si>
  <si>
    <t>pay_420004393</t>
  </si>
  <si>
    <t>pay_420004405</t>
  </si>
  <si>
    <t>pay_420004426</t>
  </si>
  <si>
    <t>pay_420004455</t>
  </si>
  <si>
    <t>pay_420004524</t>
  </si>
  <si>
    <t>pay_420004526</t>
  </si>
  <si>
    <t>pay_420004536</t>
  </si>
  <si>
    <t>pay_420004540</t>
  </si>
  <si>
    <t>pay_420004546</t>
  </si>
  <si>
    <t>pay_420004558</t>
  </si>
  <si>
    <t>pay_420004609</t>
  </si>
  <si>
    <t>ord26004822</t>
  </si>
  <si>
    <t>pay_420004612</t>
  </si>
  <si>
    <t>pay_420004615</t>
  </si>
  <si>
    <t>pay_420004741</t>
  </si>
  <si>
    <t>pay_420004742</t>
  </si>
  <si>
    <t>pay_420004792</t>
  </si>
  <si>
    <t>pay_420004809</t>
  </si>
  <si>
    <t>pay_420004816</t>
  </si>
  <si>
    <t>pay_420004834</t>
  </si>
  <si>
    <t>pay_420004867</t>
  </si>
  <si>
    <t>pay_420004921</t>
  </si>
  <si>
    <t>ord26005153</t>
  </si>
  <si>
    <t>pay_420004933</t>
  </si>
  <si>
    <t>pay_420004968</t>
  </si>
  <si>
    <t>pay_420004995</t>
  </si>
  <si>
    <t>pay_420005075</t>
  </si>
  <si>
    <t>pay_420005106</t>
  </si>
  <si>
    <t>pay_420005237</t>
  </si>
  <si>
    <t>pay_420005267</t>
  </si>
  <si>
    <t>ord26005504</t>
  </si>
  <si>
    <t>pay_420005293</t>
  </si>
  <si>
    <t>pay_420005355</t>
  </si>
  <si>
    <t>ord26005597</t>
  </si>
  <si>
    <t>pay_420005372</t>
  </si>
  <si>
    <t>ord26005614</t>
  </si>
  <si>
    <t>pay_420005380</t>
  </si>
  <si>
    <t>pay_420005461</t>
  </si>
  <si>
    <t>pay_420005462</t>
  </si>
  <si>
    <t>ord26005710</t>
  </si>
  <si>
    <t>pay_420005466</t>
  </si>
  <si>
    <t>pay_420005474</t>
  </si>
  <si>
    <t>pay_420005488</t>
  </si>
  <si>
    <t>pay_420005511</t>
  </si>
  <si>
    <t>pay_420005518</t>
  </si>
  <si>
    <t>pay_420005547</t>
  </si>
  <si>
    <t>ord26005800</t>
  </si>
  <si>
    <t>pay_420005574</t>
  </si>
  <si>
    <t>pay_420005591</t>
  </si>
  <si>
    <t>pay_420005605</t>
  </si>
  <si>
    <t>pay_420005639</t>
  </si>
  <si>
    <t>pay_420005641</t>
  </si>
  <si>
    <t>ord26005904</t>
  </si>
  <si>
    <t>pay_420005698</t>
  </si>
  <si>
    <t>pay_420005709</t>
  </si>
  <si>
    <t>rfnd_GKEQ4YTEEKX2</t>
  </si>
  <si>
    <t>rfnd_LNGG7VFY20ET</t>
  </si>
  <si>
    <t>pay_420000021</t>
  </si>
  <si>
    <t>ord26000020</t>
  </si>
  <si>
    <t>pay_420000038</t>
  </si>
  <si>
    <t>pay_420000079</t>
  </si>
  <si>
    <t>pay_420000090</t>
  </si>
  <si>
    <t>pay_420000146</t>
  </si>
  <si>
    <t xml:space="preserve">ORD26000156  </t>
  </si>
  <si>
    <t>pay_420000180</t>
  </si>
  <si>
    <t>pay_420000203</t>
  </si>
  <si>
    <t>pay_420000216</t>
  </si>
  <si>
    <t>ord26000230</t>
  </si>
  <si>
    <t>pay_420000263</t>
  </si>
  <si>
    <t>ord26000280</t>
  </si>
  <si>
    <t>pay_420000264</t>
  </si>
  <si>
    <t>pay_420000365</t>
  </si>
  <si>
    <t>pay_420000382</t>
  </si>
  <si>
    <t>pay_420000383</t>
  </si>
  <si>
    <t>pay_420000400</t>
  </si>
  <si>
    <t>pay_420000408</t>
  </si>
  <si>
    <t>pay_420000424</t>
  </si>
  <si>
    <t>pay_420000439</t>
  </si>
  <si>
    <t>pay_420000467</t>
  </si>
  <si>
    <t>pay_420000469</t>
  </si>
  <si>
    <t>pay_420000495</t>
  </si>
  <si>
    <t>pay_420000496</t>
  </si>
  <si>
    <t>pay_420000516</t>
  </si>
  <si>
    <t>pay_420000605</t>
  </si>
  <si>
    <t>ORD-26000626</t>
  </si>
  <si>
    <t>pay_420000619</t>
  </si>
  <si>
    <t xml:space="preserve">ORD26000643  </t>
  </si>
  <si>
    <t>pay_420000622</t>
  </si>
  <si>
    <t>pay_420000629</t>
  </si>
  <si>
    <t>pay_420000682</t>
  </si>
  <si>
    <t>pay_420000687</t>
  </si>
  <si>
    <t>pay_420000748</t>
  </si>
  <si>
    <t>ORD-26000781</t>
  </si>
  <si>
    <t>pay_420000834</t>
  </si>
  <si>
    <t>pay_420000838</t>
  </si>
  <si>
    <t>pay_420000869</t>
  </si>
  <si>
    <t>pay_420000903</t>
  </si>
  <si>
    <t>pay_420000928</t>
  </si>
  <si>
    <t>pay_420000954</t>
  </si>
  <si>
    <t>pay_420000984</t>
  </si>
  <si>
    <t>pay_420000999</t>
  </si>
  <si>
    <t>pay_420001001</t>
  </si>
  <si>
    <t>pay_420001018</t>
  </si>
  <si>
    <t>pay_420001031</t>
  </si>
  <si>
    <t>pay_420001057</t>
  </si>
  <si>
    <t>pay_420001131</t>
  </si>
  <si>
    <t>pay_420001162</t>
  </si>
  <si>
    <t>pay_420001163</t>
  </si>
  <si>
    <t>pay_420001180</t>
  </si>
  <si>
    <t>pay_420001297</t>
  </si>
  <si>
    <t>pay_420001305</t>
  </si>
  <si>
    <t>pay_420001340</t>
  </si>
  <si>
    <t>pay_420001399</t>
  </si>
  <si>
    <t>pay_420001416</t>
  </si>
  <si>
    <t>pay_420001429</t>
  </si>
  <si>
    <t>pay_420001438</t>
  </si>
  <si>
    <t>ORD-26001505</t>
  </si>
  <si>
    <t>pay_420001476</t>
  </si>
  <si>
    <t>pay_420001505</t>
  </si>
  <si>
    <t>pay_420001518</t>
  </si>
  <si>
    <t>pay_420001539</t>
  </si>
  <si>
    <t>pay_420001579</t>
  </si>
  <si>
    <t>pay_420001584</t>
  </si>
  <si>
    <t>pay_420001590</t>
  </si>
  <si>
    <t>ord26001663</t>
  </si>
  <si>
    <t>pay_420001635</t>
  </si>
  <si>
    <t xml:space="preserve">ORD26001711  </t>
  </si>
  <si>
    <t>pay_420001656</t>
  </si>
  <si>
    <t>pay_420001668</t>
  </si>
  <si>
    <t>ord26001747</t>
  </si>
  <si>
    <t>pay_420001676</t>
  </si>
  <si>
    <t>pay_420001708</t>
  </si>
  <si>
    <t>pay_420001785</t>
  </si>
  <si>
    <t>pay_420001853</t>
  </si>
  <si>
    <t>pay_420001862</t>
  </si>
  <si>
    <t>pay_420001963</t>
  </si>
  <si>
    <t>pay_420001975</t>
  </si>
  <si>
    <t>pay_420002026</t>
  </si>
  <si>
    <t>pay_420002058</t>
  </si>
  <si>
    <t>pay_420002066</t>
  </si>
  <si>
    <t>ORD-26002158</t>
  </si>
  <si>
    <t>pay_420002130</t>
  </si>
  <si>
    <t>pay_420002192</t>
  </si>
  <si>
    <t>pay_420002235</t>
  </si>
  <si>
    <t>pay_420002342</t>
  </si>
  <si>
    <t>pay_420002343</t>
  </si>
  <si>
    <t>pay_420002361</t>
  </si>
  <si>
    <t>ORD-26002474</t>
  </si>
  <si>
    <t>pay_420002379</t>
  </si>
  <si>
    <t>pay_420002393</t>
  </si>
  <si>
    <t>pay_420002444</t>
  </si>
  <si>
    <t>pay_420002494</t>
  </si>
  <si>
    <t>pay_420002513</t>
  </si>
  <si>
    <t>pay_420002576</t>
  </si>
  <si>
    <t>pay_420002604</t>
  </si>
  <si>
    <t>pay_420002609</t>
  </si>
  <si>
    <t>ord26002739</t>
  </si>
  <si>
    <t>pay_420002617</t>
  </si>
  <si>
    <t>pay_420002672</t>
  </si>
  <si>
    <t>pay_420002675</t>
  </si>
  <si>
    <t>ord26002807</t>
  </si>
  <si>
    <t>pay_420002688</t>
  </si>
  <si>
    <t>ord26002820</t>
  </si>
  <si>
    <t>pay_420002699</t>
  </si>
  <si>
    <t>pay_420002754</t>
  </si>
  <si>
    <t>pay_420002780</t>
  </si>
  <si>
    <t>pay_420002781</t>
  </si>
  <si>
    <t>pay_420002799</t>
  </si>
  <si>
    <t>pay_420002813</t>
  </si>
  <si>
    <t>pay_420002815</t>
  </si>
  <si>
    <t>pay_420002844</t>
  </si>
  <si>
    <t>pay_420002882</t>
  </si>
  <si>
    <t>pay_420002892</t>
  </si>
  <si>
    <t xml:space="preserve">ORD26003034  </t>
  </si>
  <si>
    <t>pay_420002978</t>
  </si>
  <si>
    <t>pay_420002988</t>
  </si>
  <si>
    <t>pay_420003015</t>
  </si>
  <si>
    <t>pay_420003043</t>
  </si>
  <si>
    <t>pay_420003053</t>
  </si>
  <si>
    <t>ord26003205</t>
  </si>
  <si>
    <t>pay_420003068</t>
  </si>
  <si>
    <t>pay_420003079</t>
  </si>
  <si>
    <t>pay_420003081</t>
  </si>
  <si>
    <t>pay_420003130</t>
  </si>
  <si>
    <t>pay_420003160</t>
  </si>
  <si>
    <t>pay_420003181</t>
  </si>
  <si>
    <t>pay_420003199</t>
  </si>
  <si>
    <t>pay_420003209</t>
  </si>
  <si>
    <t>pay_420003217</t>
  </si>
  <si>
    <t>pay_420003246</t>
  </si>
  <si>
    <t xml:space="preserve">ORD26003409  </t>
  </si>
  <si>
    <t>pay_420003342</t>
  </si>
  <si>
    <t>pay_420003354</t>
  </si>
  <si>
    <t>pay_420003368</t>
  </si>
  <si>
    <t>pay_420003374</t>
  </si>
  <si>
    <t>pay_420003389</t>
  </si>
  <si>
    <t>ord26003555</t>
  </si>
  <si>
    <t>pay_420003408</t>
  </si>
  <si>
    <t>pay_420003412</t>
  </si>
  <si>
    <t>pay_420003414</t>
  </si>
  <si>
    <t>pay_420003497</t>
  </si>
  <si>
    <t>pay_420003504</t>
  </si>
  <si>
    <t>pay_420003742</t>
  </si>
  <si>
    <t>pay_420003762</t>
  </si>
  <si>
    <t>pay_420003816</t>
  </si>
  <si>
    <t>pay_420003825</t>
  </si>
  <si>
    <t>pay_420003864</t>
  </si>
  <si>
    <t>pay_420003902</t>
  </si>
  <si>
    <t>pay_420004011</t>
  </si>
  <si>
    <t>pay_420004081</t>
  </si>
  <si>
    <t>pay_420004099</t>
  </si>
  <si>
    <t>pay_420004108</t>
  </si>
  <si>
    <t>pay_420004223</t>
  </si>
  <si>
    <t>pay_420004253</t>
  </si>
  <si>
    <t>pay_420004259</t>
  </si>
  <si>
    <t>pay_420004300</t>
  </si>
  <si>
    <t>ord26004499</t>
  </si>
  <si>
    <t>pay_420004348</t>
  </si>
  <si>
    <t>pay_420004368</t>
  </si>
  <si>
    <t>pay_420004432</t>
  </si>
  <si>
    <t>pay_420004440</t>
  </si>
  <si>
    <t xml:space="preserve">ORD26004648  </t>
  </si>
  <si>
    <t>pay_420004447</t>
  </si>
  <si>
    <t>pay_420004456</t>
  </si>
  <si>
    <t>pay_420004464</t>
  </si>
  <si>
    <t>pay_420004483</t>
  </si>
  <si>
    <t>pay_420004488</t>
  </si>
  <si>
    <t>pay_420004635</t>
  </si>
  <si>
    <t>pay_420004669</t>
  </si>
  <si>
    <t>pay_420004713</t>
  </si>
  <si>
    <t>pay_420004716</t>
  </si>
  <si>
    <t>pay_420004720</t>
  </si>
  <si>
    <t>pay_420004746</t>
  </si>
  <si>
    <t xml:space="preserve">ORD26004967  </t>
  </si>
  <si>
    <t>pay_420004753</t>
  </si>
  <si>
    <t>pay_420004787</t>
  </si>
  <si>
    <t>pay_420004813</t>
  </si>
  <si>
    <t>pay_420004842</t>
  </si>
  <si>
    <t>pay_420004845</t>
  </si>
  <si>
    <t>pay_420004881</t>
  </si>
  <si>
    <t>pay_420004893</t>
  </si>
  <si>
    <t>pay_420004951</t>
  </si>
  <si>
    <t>pay_420004953</t>
  </si>
  <si>
    <t>pay_420004958</t>
  </si>
  <si>
    <t>pay_420004974</t>
  </si>
  <si>
    <t xml:space="preserve">ORD26005206  </t>
  </si>
  <si>
    <t>pay_420005007</t>
  </si>
  <si>
    <t>ord26005243</t>
  </si>
  <si>
    <t>pay_420005017</t>
  </si>
  <si>
    <t>pay_420005070</t>
  </si>
  <si>
    <t>pay_420005081</t>
  </si>
  <si>
    <t>pay_420005097</t>
  </si>
  <si>
    <t>pay_420005155</t>
  </si>
  <si>
    <t>pay_420005212</t>
  </si>
  <si>
    <t>pay_420005265</t>
  </si>
  <si>
    <t>pay_420005331</t>
  </si>
  <si>
    <t>pay_420005364</t>
  </si>
  <si>
    <t>pay_420005395</t>
  </si>
  <si>
    <t>pay_420005441</t>
  </si>
  <si>
    <t>pay_420005505</t>
  </si>
  <si>
    <t>pay_420005549</t>
  </si>
  <si>
    <t>pay_420005564</t>
  </si>
  <si>
    <t>pay_420005646</t>
  </si>
  <si>
    <t>pay_420005653</t>
  </si>
  <si>
    <t>pay_420005656</t>
  </si>
  <si>
    <t>pay_420005669</t>
  </si>
  <si>
    <t>pay_420005670</t>
  </si>
  <si>
    <t>pay_420005683</t>
  </si>
  <si>
    <t>ORD-26005948</t>
  </si>
  <si>
    <t>pay_420005716</t>
  </si>
  <si>
    <t xml:space="preserve">ORD26005983  </t>
  </si>
  <si>
    <t>pay_420005733</t>
  </si>
  <si>
    <t>ORD-26006000</t>
  </si>
  <si>
    <t>pay_420005739</t>
  </si>
  <si>
    <t>ORD26006504</t>
  </si>
  <si>
    <t>rfnd_7D82HBZNK9EM</t>
  </si>
  <si>
    <t>rfnd_HS8RMLB6WJAB</t>
  </si>
  <si>
    <t>rfnd_QUZMW0YB4Y1L</t>
  </si>
  <si>
    <t>pay_420000099</t>
  </si>
  <si>
    <t>pay_420000156</t>
  </si>
  <si>
    <t>pay_420000241</t>
  </si>
  <si>
    <t>pay_420000255</t>
  </si>
  <si>
    <t>pay_420000271</t>
  </si>
  <si>
    <t>ord26000289</t>
  </si>
  <si>
    <t>pay_420000295</t>
  </si>
  <si>
    <t xml:space="preserve">ORD26000311  </t>
  </si>
  <si>
    <t>pay_420000344</t>
  </si>
  <si>
    <t>pay_420000413</t>
  </si>
  <si>
    <t>pay_420000432</t>
  </si>
  <si>
    <t>ord26000449</t>
  </si>
  <si>
    <t>pay_420000440</t>
  </si>
  <si>
    <t>pay_420000479</t>
  </si>
  <si>
    <t>pay_420000503</t>
  </si>
  <si>
    <t>pay_420000530</t>
  </si>
  <si>
    <t>pay_420000542</t>
  </si>
  <si>
    <t>pay_420000559</t>
  </si>
  <si>
    <t>pay_420000660</t>
  </si>
  <si>
    <t>pay_420000699</t>
  </si>
  <si>
    <t>pay_420000730</t>
  </si>
  <si>
    <t>pay_420000733</t>
  </si>
  <si>
    <t>pay_420000754</t>
  </si>
  <si>
    <t>pay_420000787</t>
  </si>
  <si>
    <t>pay_420000814</t>
  </si>
  <si>
    <t>pay_420000835</t>
  </si>
  <si>
    <t>pay_420000839</t>
  </si>
  <si>
    <t>pay_420000858</t>
  </si>
  <si>
    <t>pay_420000918</t>
  </si>
  <si>
    <t>pay_420000978</t>
  </si>
  <si>
    <t>pay_420001037</t>
  </si>
  <si>
    <t>pay_420001042</t>
  </si>
  <si>
    <t xml:space="preserve">ORD26001085  </t>
  </si>
  <si>
    <t>pay_420001062</t>
  </si>
  <si>
    <t>pay_420001119</t>
  </si>
  <si>
    <t>pay_420001133</t>
  </si>
  <si>
    <t>pay_420001200</t>
  </si>
  <si>
    <t>pay_420001227</t>
  </si>
  <si>
    <t>pay_420001255</t>
  </si>
  <si>
    <t>pay_420001262</t>
  </si>
  <si>
    <t>ord26001319</t>
  </si>
  <si>
    <t>pay_420001267</t>
  </si>
  <si>
    <t>ord26001327</t>
  </si>
  <si>
    <t>pay_420001285</t>
  </si>
  <si>
    <t xml:space="preserve">ORD26001345  </t>
  </si>
  <si>
    <t>pay_420001299</t>
  </si>
  <si>
    <t>pay_420001304</t>
  </si>
  <si>
    <t>pay_420001374</t>
  </si>
  <si>
    <t>pay_420001391</t>
  </si>
  <si>
    <t>ord26001461</t>
  </si>
  <si>
    <t>pay_420001428</t>
  </si>
  <si>
    <t>pay_420001437</t>
  </si>
  <si>
    <t>pay_420001459</t>
  </si>
  <si>
    <t>pay_420001469</t>
  </si>
  <si>
    <t>pay_420001478</t>
  </si>
  <si>
    <t>pay_420001507</t>
  </si>
  <si>
    <t>ord26001573</t>
  </si>
  <si>
    <t>pay_420001623</t>
  </si>
  <si>
    <t>pay_420001647</t>
  </si>
  <si>
    <t>pay_420001710</t>
  </si>
  <si>
    <t xml:space="preserve">ORD26001791  </t>
  </si>
  <si>
    <t>pay_420001749</t>
  </si>
  <si>
    <t>pay_420001765</t>
  </si>
  <si>
    <t>pay_420001771</t>
  </si>
  <si>
    <t>ord26001854</t>
  </si>
  <si>
    <t>pay_420001779</t>
  </si>
  <si>
    <t>pay_420001808</t>
  </si>
  <si>
    <t>ord26001891</t>
  </si>
  <si>
    <t>pay_420001834</t>
  </si>
  <si>
    <t>pay_420001860</t>
  </si>
  <si>
    <t>ORD-26001946</t>
  </si>
  <si>
    <t>pay_420001915</t>
  </si>
  <si>
    <t>pay_420001939</t>
  </si>
  <si>
    <t>pay_420002017</t>
  </si>
  <si>
    <t>pay_420002025</t>
  </si>
  <si>
    <t>pay_420002051</t>
  </si>
  <si>
    <t xml:space="preserve">ORD26002143  </t>
  </si>
  <si>
    <t>pay_420002056</t>
  </si>
  <si>
    <t>pay_420002075</t>
  </si>
  <si>
    <t xml:space="preserve">ORD26002166  </t>
  </si>
  <si>
    <t>pay_420002186</t>
  </si>
  <si>
    <t>pay_420002245</t>
  </si>
  <si>
    <t>pay_420002259</t>
  </si>
  <si>
    <t>ord26002367</t>
  </si>
  <si>
    <t>pay_420002274</t>
  </si>
  <si>
    <t>pay_420002293</t>
  </si>
  <si>
    <t>pay_420002306</t>
  </si>
  <si>
    <t>pay_420002371</t>
  </si>
  <si>
    <t>pay_420002406</t>
  </si>
  <si>
    <t>pay_420002411</t>
  </si>
  <si>
    <t>pay_420002418</t>
  </si>
  <si>
    <t>pay_420002454</t>
  </si>
  <si>
    <t>ORD-26002569</t>
  </si>
  <si>
    <t>pay_420002473</t>
  </si>
  <si>
    <t>pay_420002526</t>
  </si>
  <si>
    <t>pay_420002571</t>
  </si>
  <si>
    <t>ORD-26002698</t>
  </si>
  <si>
    <t>pay_420002641</t>
  </si>
  <si>
    <t>pay_420002665</t>
  </si>
  <si>
    <t>pay_420002706</t>
  </si>
  <si>
    <t>pay_420002785</t>
  </si>
  <si>
    <t xml:space="preserve">ORD26002927  </t>
  </si>
  <si>
    <t>pay_420002818</t>
  </si>
  <si>
    <t>pay_420002824</t>
  </si>
  <si>
    <t>pay_420002832</t>
  </si>
  <si>
    <t>pay_420002904</t>
  </si>
  <si>
    <t>pay_420002920</t>
  </si>
  <si>
    <t>pay_420002942</t>
  </si>
  <si>
    <t>pay_420003017</t>
  </si>
  <si>
    <t>pay_420003020</t>
  </si>
  <si>
    <t>pay_420003057</t>
  </si>
  <si>
    <t>pay_420003067</t>
  </si>
  <si>
    <t>pay_420003165</t>
  </si>
  <si>
    <t>pay_420003167</t>
  </si>
  <si>
    <t>pay_420003172</t>
  </si>
  <si>
    <t xml:space="preserve">ORD26003333  </t>
  </si>
  <si>
    <t>pay_420003173</t>
  </si>
  <si>
    <t>pay_420003194</t>
  </si>
  <si>
    <t>pay_420003239</t>
  </si>
  <si>
    <t>ord26003401</t>
  </si>
  <si>
    <t>pay_420003304</t>
  </si>
  <si>
    <t>pay_420003310</t>
  </si>
  <si>
    <t>pay_420003344</t>
  </si>
  <si>
    <t>pay_420003386</t>
  </si>
  <si>
    <t>pay_420003403</t>
  </si>
  <si>
    <t>pay_420003509</t>
  </si>
  <si>
    <t>pay_420003518</t>
  </si>
  <si>
    <t>pay_420003552</t>
  </si>
  <si>
    <t>ord26003722</t>
  </si>
  <si>
    <t>pay_420003571</t>
  </si>
  <si>
    <t>pay_420003598</t>
  </si>
  <si>
    <t>ord26003767</t>
  </si>
  <si>
    <t>pay_420003653</t>
  </si>
  <si>
    <t>pay_420003662</t>
  </si>
  <si>
    <t>pay_420003676</t>
  </si>
  <si>
    <t>pay_420003688</t>
  </si>
  <si>
    <t>pay_420003769</t>
  </si>
  <si>
    <t>pay_420003870</t>
  </si>
  <si>
    <t>pay_420003874</t>
  </si>
  <si>
    <t>pay_420003914</t>
  </si>
  <si>
    <t>pay_420003920</t>
  </si>
  <si>
    <t>pay_420003959</t>
  </si>
  <si>
    <t>pay_420004028</t>
  </si>
  <si>
    <t>pay_420004181</t>
  </si>
  <si>
    <t>ord26004375</t>
  </si>
  <si>
    <t>pay_420004226</t>
  </si>
  <si>
    <t>pay_420004227</t>
  </si>
  <si>
    <t>pay_420004245</t>
  </si>
  <si>
    <t xml:space="preserve">ORD26004444  </t>
  </si>
  <si>
    <t>pay_420004319</t>
  </si>
  <si>
    <t>pay_420004409</t>
  </si>
  <si>
    <t>pay_420004412</t>
  </si>
  <si>
    <t>pay_420004414</t>
  </si>
  <si>
    <t>pay_420004442</t>
  </si>
  <si>
    <t>ord26004651</t>
  </si>
  <si>
    <t>pay_420004481</t>
  </si>
  <si>
    <t>pay_420004542</t>
  </si>
  <si>
    <t>pay_420004601</t>
  </si>
  <si>
    <t>pay_420004626</t>
  </si>
  <si>
    <t>pay_420004692</t>
  </si>
  <si>
    <t>pay_420004697</t>
  </si>
  <si>
    <t>pay_420004765</t>
  </si>
  <si>
    <t>pay_420004796</t>
  </si>
  <si>
    <t>pay_420004878</t>
  </si>
  <si>
    <t>pay_420004944</t>
  </si>
  <si>
    <t>pay_420004948</t>
  </si>
  <si>
    <t>pay_420004950</t>
  </si>
  <si>
    <t>pay_420004963</t>
  </si>
  <si>
    <t>pay_420004988</t>
  </si>
  <si>
    <t>ORD-26005221</t>
  </si>
  <si>
    <t>pay_420005016</t>
  </si>
  <si>
    <t>pay_420005040</t>
  </si>
  <si>
    <t>pay_420005050</t>
  </si>
  <si>
    <t>pay_420005054</t>
  </si>
  <si>
    <t>pay_420005101</t>
  </si>
  <si>
    <t xml:space="preserve">ORD26005340  </t>
  </si>
  <si>
    <t>pay_420005103</t>
  </si>
  <si>
    <t>pay_420005115</t>
  </si>
  <si>
    <t>pay_420005128</t>
  </si>
  <si>
    <t>ord26005365</t>
  </si>
  <si>
    <t>pay_420005130</t>
  </si>
  <si>
    <t>pay_420005132</t>
  </si>
  <si>
    <t>pay_420005151</t>
  </si>
  <si>
    <t>pay_420005153</t>
  </si>
  <si>
    <t>pay_420005219</t>
  </si>
  <si>
    <t>ord26005458</t>
  </si>
  <si>
    <t>pay_420005223</t>
  </si>
  <si>
    <t>pay_420005238</t>
  </si>
  <si>
    <t xml:space="preserve">ORD26005476  </t>
  </si>
  <si>
    <t>pay_420005250</t>
  </si>
  <si>
    <t>pay_420005263</t>
  </si>
  <si>
    <t>pay_420005270</t>
  </si>
  <si>
    <t>pay_420005282</t>
  </si>
  <si>
    <t>pay_420005283</t>
  </si>
  <si>
    <t>pay_420005292</t>
  </si>
  <si>
    <t>ord26005530</t>
  </si>
  <si>
    <t>pay_420005367</t>
  </si>
  <si>
    <t>pay_420005410</t>
  </si>
  <si>
    <t>pay_420005465</t>
  </si>
  <si>
    <t>pay_420005515</t>
  </si>
  <si>
    <t>pay_420005519</t>
  </si>
  <si>
    <t>pay_420005579</t>
  </si>
  <si>
    <t>pay_420005592</t>
  </si>
  <si>
    <t>pay_420005626</t>
  </si>
  <si>
    <t>pay_420005649</t>
  </si>
  <si>
    <t>pay_420005680</t>
  </si>
  <si>
    <t>ORD-26005945</t>
  </si>
  <si>
    <t>pay_420005689</t>
  </si>
  <si>
    <t>pay_420005717</t>
  </si>
  <si>
    <t>pay_420005738</t>
  </si>
  <si>
    <t>ORD26006503</t>
  </si>
  <si>
    <t>rfnd_594LCKF7XJKL</t>
  </si>
  <si>
    <t>rfnd_9W43EZ5AG8NS</t>
  </si>
  <si>
    <t>rfnd_CAR7S5T7533X</t>
  </si>
  <si>
    <t>rfnd_D3LD5EY4CUJF</t>
  </si>
  <si>
    <t>rfnd_GXZ3TWCBJSJ6</t>
  </si>
  <si>
    <t>rfnd_JZMCZ5PNDVTT</t>
  </si>
  <si>
    <t>rfnd_K0PZZ4161JQT</t>
  </si>
  <si>
    <t>rfnd_PB5X094KKMG4</t>
  </si>
  <si>
    <t>rfnd_WBGPPC0U3BFL</t>
  </si>
  <si>
    <t>pay_420000012</t>
  </si>
  <si>
    <t>pay_420000023</t>
  </si>
  <si>
    <t>pay_420000030</t>
  </si>
  <si>
    <t>pay_420000040</t>
  </si>
  <si>
    <t>pay_420000075</t>
  </si>
  <si>
    <t>pay_420000106</t>
  </si>
  <si>
    <t>pay_420000168</t>
  </si>
  <si>
    <t>pay_420000184</t>
  </si>
  <si>
    <t>pay_420000202</t>
  </si>
  <si>
    <t>pay_420000278</t>
  </si>
  <si>
    <t>pay_420000286</t>
  </si>
  <si>
    <t>pay_420000339</t>
  </si>
  <si>
    <t>pay_420000454</t>
  </si>
  <si>
    <t>pay_420000455</t>
  </si>
  <si>
    <t>pay_420000473</t>
  </si>
  <si>
    <t>pay_420000483</t>
  </si>
  <si>
    <t>pay_420000494</t>
  </si>
  <si>
    <t>pay_420000552</t>
  </si>
  <si>
    <t>pay_420000608</t>
  </si>
  <si>
    <t>pay_420000714</t>
  </si>
  <si>
    <t xml:space="preserve">ORD26000747  </t>
  </si>
  <si>
    <t>pay_420000718</t>
  </si>
  <si>
    <t>pay_420000723</t>
  </si>
  <si>
    <t>ord26000757</t>
  </si>
  <si>
    <t>pay_420000766</t>
  </si>
  <si>
    <t>pay_420000777</t>
  </si>
  <si>
    <t>pay_420000804</t>
  </si>
  <si>
    <t>pay_420000843</t>
  </si>
  <si>
    <t>pay_420000874</t>
  </si>
  <si>
    <t>ord26000913</t>
  </si>
  <si>
    <t>pay_420000943</t>
  </si>
  <si>
    <t>pay_420000983</t>
  </si>
  <si>
    <t>pay_420000994</t>
  </si>
  <si>
    <t>pay_420000998</t>
  </si>
  <si>
    <t>pay_420001029</t>
  </si>
  <si>
    <t>pay_420001041</t>
  </si>
  <si>
    <t>pay_420001079</t>
  </si>
  <si>
    <t xml:space="preserve">ORD26001121  </t>
  </si>
  <si>
    <t>pay_420001092</t>
  </si>
  <si>
    <t>pay_420001146</t>
  </si>
  <si>
    <t>pay_420001176</t>
  </si>
  <si>
    <t xml:space="preserve">ORD26001227  </t>
  </si>
  <si>
    <t>pay_420001246</t>
  </si>
  <si>
    <t>ORD-26001303</t>
  </si>
  <si>
    <t>pay_420001270</t>
  </si>
  <si>
    <t>pay_420001277</t>
  </si>
  <si>
    <t>ord26001337</t>
  </si>
  <si>
    <t>pay_420001280</t>
  </si>
  <si>
    <t>pay_420001313</t>
  </si>
  <si>
    <t>pay_420001353</t>
  </si>
  <si>
    <t>pay_420001357</t>
  </si>
  <si>
    <t>pay_420001380</t>
  </si>
  <si>
    <t>pay_420001424</t>
  </si>
  <si>
    <t>pay_420001495</t>
  </si>
  <si>
    <t>pay_420001508</t>
  </si>
  <si>
    <t>pay_420001529</t>
  </si>
  <si>
    <t>pay_420001594</t>
  </si>
  <si>
    <t>pay_420001597</t>
  </si>
  <si>
    <t>ord26001671</t>
  </si>
  <si>
    <t>pay_420001610</t>
  </si>
  <si>
    <t>pay_420001665</t>
  </si>
  <si>
    <t>pay_420001694</t>
  </si>
  <si>
    <t>pay_420001695</t>
  </si>
  <si>
    <t>pay_420001736</t>
  </si>
  <si>
    <t>ord26001817</t>
  </si>
  <si>
    <t>pay_420001750</t>
  </si>
  <si>
    <t>pay_420001752</t>
  </si>
  <si>
    <t>pay_420001849</t>
  </si>
  <si>
    <t>pay_420001871</t>
  </si>
  <si>
    <t>pay_420001890</t>
  </si>
  <si>
    <t>pay_420001908</t>
  </si>
  <si>
    <t>pay_420001916</t>
  </si>
  <si>
    <t>pay_420001951</t>
  </si>
  <si>
    <t>pay_420001987</t>
  </si>
  <si>
    <t>pay_420001998</t>
  </si>
  <si>
    <t>pay_420002007</t>
  </si>
  <si>
    <t>pay_420002033</t>
  </si>
  <si>
    <t>pay_420002046</t>
  </si>
  <si>
    <t>pay_420002099</t>
  </si>
  <si>
    <t>ORD-26002196</t>
  </si>
  <si>
    <t>pay_420002101</t>
  </si>
  <si>
    <t>pay_420002148</t>
  </si>
  <si>
    <t>pay_420002177</t>
  </si>
  <si>
    <t>pay_420002248</t>
  </si>
  <si>
    <t>pay_420002256</t>
  </si>
  <si>
    <t>pay_420002260</t>
  </si>
  <si>
    <t>pay_420002270</t>
  </si>
  <si>
    <t>pay_420002292</t>
  </si>
  <si>
    <t>ord26002404</t>
  </si>
  <si>
    <t>pay_420002313</t>
  </si>
  <si>
    <t>pay_420002327</t>
  </si>
  <si>
    <t xml:space="preserve">ORD26002440  </t>
  </si>
  <si>
    <t>pay_420002340</t>
  </si>
  <si>
    <t>pay_420002366</t>
  </si>
  <si>
    <t>pay_420002412</t>
  </si>
  <si>
    <t>pay_420002422</t>
  </si>
  <si>
    <t>pay_420002516</t>
  </si>
  <si>
    <t>ord26002637</t>
  </si>
  <si>
    <t>pay_420002549</t>
  </si>
  <si>
    <t>pay_420002553</t>
  </si>
  <si>
    <t>pay_420002584</t>
  </si>
  <si>
    <t>pay_420002627</t>
  </si>
  <si>
    <t>pay_420002658</t>
  </si>
  <si>
    <t>ord26002790</t>
  </si>
  <si>
    <t>pay_420002664</t>
  </si>
  <si>
    <t>pay_420002671</t>
  </si>
  <si>
    <t>pay_420002680</t>
  </si>
  <si>
    <t>ord26002812</t>
  </si>
  <si>
    <t>pay_420002694</t>
  </si>
  <si>
    <t>pay_420002758</t>
  </si>
  <si>
    <t>pay_420002772</t>
  </si>
  <si>
    <t>pay_420002795</t>
  </si>
  <si>
    <t>ord26002937</t>
  </si>
  <si>
    <t>pay_420002934</t>
  </si>
  <si>
    <t>pay_420002948</t>
  </si>
  <si>
    <t>pay_420002963</t>
  </si>
  <si>
    <t>pay_420002964</t>
  </si>
  <si>
    <t>pay_420002968</t>
  </si>
  <si>
    <t>ord26003115</t>
  </si>
  <si>
    <t>pay_420002996</t>
  </si>
  <si>
    <t>ord26003145</t>
  </si>
  <si>
    <t>pay_420003009</t>
  </si>
  <si>
    <t>pay_420003014</t>
  </si>
  <si>
    <t>pay_420003035</t>
  </si>
  <si>
    <t>pay_420003042</t>
  </si>
  <si>
    <t>pay_420003082</t>
  </si>
  <si>
    <t>pay_420003095</t>
  </si>
  <si>
    <t>pay_420003108</t>
  </si>
  <si>
    <t>pay_420003145</t>
  </si>
  <si>
    <t>pay_420003170</t>
  </si>
  <si>
    <t>ord26003331</t>
  </si>
  <si>
    <t>pay_420003196</t>
  </si>
  <si>
    <t>pay_420003198</t>
  </si>
  <si>
    <t>pay_420003224</t>
  </si>
  <si>
    <t>ORD-26003385</t>
  </si>
  <si>
    <t>pay_420003268</t>
  </si>
  <si>
    <t>pay_420003270</t>
  </si>
  <si>
    <t>pay_420003330</t>
  </si>
  <si>
    <t>ord26003494</t>
  </si>
  <si>
    <t>pay_420003420</t>
  </si>
  <si>
    <t>ord26003588</t>
  </si>
  <si>
    <t>pay_420003426</t>
  </si>
  <si>
    <t>pay_420003492</t>
  </si>
  <si>
    <t>pay_420003502</t>
  </si>
  <si>
    <t>pay_420003568</t>
  </si>
  <si>
    <t>pay_420003572</t>
  </si>
  <si>
    <t>pay_420003586</t>
  </si>
  <si>
    <t>pay_420003616</t>
  </si>
  <si>
    <t>ord26003784</t>
  </si>
  <si>
    <t>pay_420003641</t>
  </si>
  <si>
    <t>pay_420003657</t>
  </si>
  <si>
    <t>pay_420003697</t>
  </si>
  <si>
    <t>pay_420003766</t>
  </si>
  <si>
    <t>pay_420003770</t>
  </si>
  <si>
    <t>pay_420003785</t>
  </si>
  <si>
    <t>ORD-26003962</t>
  </si>
  <si>
    <t>pay_420003786</t>
  </si>
  <si>
    <t>pay_420003797</t>
  </si>
  <si>
    <t>pay_420003809</t>
  </si>
  <si>
    <t>pay_420003853</t>
  </si>
  <si>
    <t>pay_420003873</t>
  </si>
  <si>
    <t>pay_420003878</t>
  </si>
  <si>
    <t>pay_420003944</t>
  </si>
  <si>
    <t>pay_420003946</t>
  </si>
  <si>
    <t>ord26004129</t>
  </si>
  <si>
    <t>pay_420003975</t>
  </si>
  <si>
    <t>pay_420004017</t>
  </si>
  <si>
    <t>pay_420004083</t>
  </si>
  <si>
    <t>pay_420004093</t>
  </si>
  <si>
    <t>pay_420004095</t>
  </si>
  <si>
    <t>pay_420004138</t>
  </si>
  <si>
    <t>ord26004331</t>
  </si>
  <si>
    <t>pay_420004195</t>
  </si>
  <si>
    <t>pay_420004248</t>
  </si>
  <si>
    <t>ord26004447</t>
  </si>
  <si>
    <t>pay_420004304</t>
  </si>
  <si>
    <t>pay_420004315</t>
  </si>
  <si>
    <t>pay_420004324</t>
  </si>
  <si>
    <t>pay_420004327</t>
  </si>
  <si>
    <t>pay_420004344</t>
  </si>
  <si>
    <t>pay_420004367</t>
  </si>
  <si>
    <t>pay_420004370</t>
  </si>
  <si>
    <t xml:space="preserve">ORD26004573  </t>
  </si>
  <si>
    <t>pay_420004384</t>
  </si>
  <si>
    <t>pay_420004386</t>
  </si>
  <si>
    <t>ORD-26004589</t>
  </si>
  <si>
    <t>pay_420004395</t>
  </si>
  <si>
    <t>pay_420004406</t>
  </si>
  <si>
    <t>ORD-26004612</t>
  </si>
  <si>
    <t>pay_420004415</t>
  </si>
  <si>
    <t>pay_420004448</t>
  </si>
  <si>
    <t>pay_420004466</t>
  </si>
  <si>
    <t>pay_420004474</t>
  </si>
  <si>
    <t>pay_420004485</t>
  </si>
  <si>
    <t>pay_420004487</t>
  </si>
  <si>
    <t>pay_420004499</t>
  </si>
  <si>
    <t>pay_420004514</t>
  </si>
  <si>
    <t>pay_420004566</t>
  </si>
  <si>
    <t>pay_420004567</t>
  </si>
  <si>
    <t>pay_420004582</t>
  </si>
  <si>
    <t xml:space="preserve">ORD26004794  </t>
  </si>
  <si>
    <t>pay_420004585</t>
  </si>
  <si>
    <t>pay_420004622</t>
  </si>
  <si>
    <t>pay_420004703</t>
  </si>
  <si>
    <t>ORD-26004924</t>
  </si>
  <si>
    <t>pay_420004815</t>
  </si>
  <si>
    <t>ORD-26005037</t>
  </si>
  <si>
    <t>pay_420004904</t>
  </si>
  <si>
    <t>ord26005131</t>
  </si>
  <si>
    <t>pay_420004911</t>
  </si>
  <si>
    <t xml:space="preserve">ORD26005139  </t>
  </si>
  <si>
    <t>pay_420004912</t>
  </si>
  <si>
    <t>pay_420004946</t>
  </si>
  <si>
    <t>pay_420005000</t>
  </si>
  <si>
    <t>pay_420005012</t>
  </si>
  <si>
    <t>pay_420005080</t>
  </si>
  <si>
    <t>ord26005321</t>
  </si>
  <si>
    <t>pay_420005118</t>
  </si>
  <si>
    <t>pay_420005200</t>
  </si>
  <si>
    <t>pay_420005262</t>
  </si>
  <si>
    <t>pay_420005290</t>
  </si>
  <si>
    <t>pay_420005330</t>
  </si>
  <si>
    <t>ord26005571</t>
  </si>
  <si>
    <t>pay_420005333</t>
  </si>
  <si>
    <t>ord26005574</t>
  </si>
  <si>
    <t>pay_420005349</t>
  </si>
  <si>
    <t>pay_420005383</t>
  </si>
  <si>
    <t>pay_420005408</t>
  </si>
  <si>
    <t>ORD-26005653</t>
  </si>
  <si>
    <t>pay_420005455</t>
  </si>
  <si>
    <t>pay_420005483</t>
  </si>
  <si>
    <t>pay_420005514</t>
  </si>
  <si>
    <t>pay_420005525</t>
  </si>
  <si>
    <t>pay_420005542</t>
  </si>
  <si>
    <t>pay_420005558</t>
  </si>
  <si>
    <t>ord26005812</t>
  </si>
  <si>
    <t>pay_420005616</t>
  </si>
  <si>
    <t>pay_420005660</t>
  </si>
  <si>
    <t>pay_420005695</t>
  </si>
  <si>
    <t>pay_420005705</t>
  </si>
  <si>
    <t>pay_420005721</t>
  </si>
  <si>
    <t>pay_420005727</t>
  </si>
  <si>
    <t>pay_420005737</t>
  </si>
  <si>
    <t>ORD26006502</t>
  </si>
  <si>
    <t>rfnd_4CMUBQVFXUZF</t>
  </si>
  <si>
    <t>rfnd_F36UJP3BM2JW</t>
  </si>
  <si>
    <t>rfnd_G47MGYQQFQSJ</t>
  </si>
  <si>
    <t>rfnd_K6UMSRHP3BJ4</t>
  </si>
  <si>
    <t>rfnd_S34BUU715YB8</t>
  </si>
  <si>
    <t>rfnd_SE7E23HPQE1L</t>
  </si>
  <si>
    <t>rfnd_UZA2SKW6FGBE</t>
  </si>
  <si>
    <t>pay_420000004</t>
  </si>
  <si>
    <t>pay_420000016</t>
  </si>
  <si>
    <t xml:space="preserve">ORD26000016  </t>
  </si>
  <si>
    <t>pay_420000072</t>
  </si>
  <si>
    <t>ord26000074</t>
  </si>
  <si>
    <t>pay_420000087</t>
  </si>
  <si>
    <t>pay_420000089</t>
  </si>
  <si>
    <t>pay_420000113</t>
  </si>
  <si>
    <t>pay_420000120</t>
  </si>
  <si>
    <t>pay_420000128</t>
  </si>
  <si>
    <t>pay_420000185</t>
  </si>
  <si>
    <t>pay_420000192</t>
  </si>
  <si>
    <t>ORD-26000205</t>
  </si>
  <si>
    <t>pay_420000254</t>
  </si>
  <si>
    <t>pay_420000337</t>
  </si>
  <si>
    <t>pay_420000350</t>
  </si>
  <si>
    <t>pay_420000351</t>
  </si>
  <si>
    <t>pay_420000352</t>
  </si>
  <si>
    <t>pay_420000378</t>
  </si>
  <si>
    <t>pay_420000465</t>
  </si>
  <si>
    <t>pay_420000522</t>
  </si>
  <si>
    <t>pay_420000537</t>
  </si>
  <si>
    <t>pay_420000541</t>
  </si>
  <si>
    <t>pay_420000544</t>
  </si>
  <si>
    <t>ord26000569</t>
  </si>
  <si>
    <t>pay_420000564</t>
  </si>
  <si>
    <t>pay_420000645</t>
  </si>
  <si>
    <t>pay_420000649</t>
  </si>
  <si>
    <t>pay_420000693</t>
  </si>
  <si>
    <t>pay_420000705</t>
  </si>
  <si>
    <t>ord26000738</t>
  </si>
  <si>
    <t>pay_420000727</t>
  </si>
  <si>
    <t>pay_420000792</t>
  </si>
  <si>
    <t>pay_420000801</t>
  </si>
  <si>
    <t>pay_420000851</t>
  </si>
  <si>
    <t>pay_420000861</t>
  </si>
  <si>
    <t>pay_420000863</t>
  </si>
  <si>
    <t>pay_420000901</t>
  </si>
  <si>
    <t>pay_420000914</t>
  </si>
  <si>
    <t xml:space="preserve">ORD26000954  </t>
  </si>
  <si>
    <t>pay_420000919</t>
  </si>
  <si>
    <t>pay_420001004</t>
  </si>
  <si>
    <t>pay_420001033</t>
  </si>
  <si>
    <t>pay_420001039</t>
  </si>
  <si>
    <t>pay_420001040</t>
  </si>
  <si>
    <t>pay_420001080</t>
  </si>
  <si>
    <t>pay_420001234</t>
  </si>
  <si>
    <t>pay_420001306</t>
  </si>
  <si>
    <t>pay_420001323</t>
  </si>
  <si>
    <t>pay_420001334</t>
  </si>
  <si>
    <t>pay_420001335</t>
  </si>
  <si>
    <t>pay_420001337</t>
  </si>
  <si>
    <t>pay_420001466</t>
  </si>
  <si>
    <t>pay_420001492</t>
  </si>
  <si>
    <t>pay_420001521</t>
  </si>
  <si>
    <t>pay_420001540</t>
  </si>
  <si>
    <t>pay_420001551</t>
  </si>
  <si>
    <t>pay_420001609</t>
  </si>
  <si>
    <t>pay_420001619</t>
  </si>
  <si>
    <t>pay_420001630</t>
  </si>
  <si>
    <t>pay_420001649</t>
  </si>
  <si>
    <t>pay_420001660</t>
  </si>
  <si>
    <t>ORD-26001737</t>
  </si>
  <si>
    <t>pay_420001696</t>
  </si>
  <si>
    <t>pay_420001697</t>
  </si>
  <si>
    <t>pay_420001698</t>
  </si>
  <si>
    <t>pay_420001705</t>
  </si>
  <si>
    <t>pay_420001709</t>
  </si>
  <si>
    <t>pay_420001721</t>
  </si>
  <si>
    <t>pay_420001725</t>
  </si>
  <si>
    <t>pay_420001728</t>
  </si>
  <si>
    <t>ORD-26001809</t>
  </si>
  <si>
    <t>pay_420001751</t>
  </si>
  <si>
    <t>pay_420001772</t>
  </si>
  <si>
    <t>pay_420001796</t>
  </si>
  <si>
    <t>pay_420001821</t>
  </si>
  <si>
    <t>pay_420001842</t>
  </si>
  <si>
    <t>pay_420001847</t>
  </si>
  <si>
    <t xml:space="preserve">ORD26001932  </t>
  </si>
  <si>
    <t>pay_420001851</t>
  </si>
  <si>
    <t>pay_420001913</t>
  </si>
  <si>
    <t xml:space="preserve">ORD26002004  </t>
  </si>
  <si>
    <t>pay_420001940</t>
  </si>
  <si>
    <t>pay_420001954</t>
  </si>
  <si>
    <t>pay_420001959</t>
  </si>
  <si>
    <t>pay_420002032</t>
  </si>
  <si>
    <t>pay_420002093</t>
  </si>
  <si>
    <t>pay_420002095</t>
  </si>
  <si>
    <t>pay_420002139</t>
  </si>
  <si>
    <t>pay_420002165</t>
  </si>
  <si>
    <t>pay_420002197</t>
  </si>
  <si>
    <t xml:space="preserve">ORD26002301  </t>
  </si>
  <si>
    <t>pay_420002257</t>
  </si>
  <si>
    <t>pay_420002290</t>
  </si>
  <si>
    <t>pay_420002356</t>
  </si>
  <si>
    <t>pay_420002399</t>
  </si>
  <si>
    <t>pay_420002466</t>
  </si>
  <si>
    <t>pay_420002495</t>
  </si>
  <si>
    <t>pay_420002511</t>
  </si>
  <si>
    <t>pay_420002572</t>
  </si>
  <si>
    <t>pay_420002638</t>
  </si>
  <si>
    <t>pay_420002703</t>
  </si>
  <si>
    <t>pay_420002752</t>
  </si>
  <si>
    <t>pay_420002775</t>
  </si>
  <si>
    <t xml:space="preserve">ORD26002914  </t>
  </si>
  <si>
    <t>pay_420002806</t>
  </si>
  <si>
    <t>pay_420002808</t>
  </si>
  <si>
    <t>pay_420002812</t>
  </si>
  <si>
    <t xml:space="preserve">ORD26002954  </t>
  </si>
  <si>
    <t>pay_420002846</t>
  </si>
  <si>
    <t>pay_420002926</t>
  </si>
  <si>
    <t>pay_420002932</t>
  </si>
  <si>
    <t>pay_420002991</t>
  </si>
  <si>
    <t>pay_420003047</t>
  </si>
  <si>
    <t>pay_420003056</t>
  </si>
  <si>
    <t>pay_420003124</t>
  </si>
  <si>
    <t xml:space="preserve">ORD26003284  </t>
  </si>
  <si>
    <t>pay_420003127</t>
  </si>
  <si>
    <t>pay_420003137</t>
  </si>
  <si>
    <t>ORD-26003297</t>
  </si>
  <si>
    <t>pay_420003138</t>
  </si>
  <si>
    <t>pay_420003177</t>
  </si>
  <si>
    <t>pay_420003228</t>
  </si>
  <si>
    <t>ORD-26003390</t>
  </si>
  <si>
    <t>pay_420003291</t>
  </si>
  <si>
    <t>pay_420003378</t>
  </si>
  <si>
    <t>pay_420003445</t>
  </si>
  <si>
    <t>ORD-26003614</t>
  </si>
  <si>
    <t>pay_420003569</t>
  </si>
  <si>
    <t>ord26003737</t>
  </si>
  <si>
    <t>pay_420003574</t>
  </si>
  <si>
    <t>pay_420003604</t>
  </si>
  <si>
    <t>pay_420003664</t>
  </si>
  <si>
    <t>pay_420003681</t>
  </si>
  <si>
    <t>pay_420003720</t>
  </si>
  <si>
    <t>ord26003893</t>
  </si>
  <si>
    <t>pay_420003745</t>
  </si>
  <si>
    <t>pay_420003754</t>
  </si>
  <si>
    <t>pay_420003826</t>
  </si>
  <si>
    <t>pay_420003862</t>
  </si>
  <si>
    <t>pay_420003934</t>
  </si>
  <si>
    <t>pay_420003937</t>
  </si>
  <si>
    <t>pay_420004032</t>
  </si>
  <si>
    <t>pay_420004035</t>
  </si>
  <si>
    <t>pay_420004042</t>
  </si>
  <si>
    <t>ORD-26004232</t>
  </si>
  <si>
    <t>pay_420004050</t>
  </si>
  <si>
    <t>pay_420004076</t>
  </si>
  <si>
    <t>pay_420004091</t>
  </si>
  <si>
    <t>pay_420004136</t>
  </si>
  <si>
    <t>pay_420004175</t>
  </si>
  <si>
    <t>pay_420004268</t>
  </si>
  <si>
    <t>pay_420004277</t>
  </si>
  <si>
    <t>pay_420004311</t>
  </si>
  <si>
    <t>ord26004513</t>
  </si>
  <si>
    <t>pay_420004400</t>
  </si>
  <si>
    <t>ord26004605</t>
  </si>
  <si>
    <t>pay_420004457</t>
  </si>
  <si>
    <t>pay_420004498</t>
  </si>
  <si>
    <t>pay_420004561</t>
  </si>
  <si>
    <t>pay_420004618</t>
  </si>
  <si>
    <t>ord26004831</t>
  </si>
  <si>
    <t>pay_420004702</t>
  </si>
  <si>
    <t>pay_420004721</t>
  </si>
  <si>
    <t>pay_420004736</t>
  </si>
  <si>
    <t>pay_420004779</t>
  </si>
  <si>
    <t>pay_420004793</t>
  </si>
  <si>
    <t>pay_420004827</t>
  </si>
  <si>
    <t>ord26005048</t>
  </si>
  <si>
    <t>pay_420004902</t>
  </si>
  <si>
    <t>pay_420004947</t>
  </si>
  <si>
    <t>pay_420005005</t>
  </si>
  <si>
    <t>pay_420005032</t>
  </si>
  <si>
    <t>pay_420005039</t>
  </si>
  <si>
    <t>pay_420005057</t>
  </si>
  <si>
    <t>pay_420005062</t>
  </si>
  <si>
    <t>pay_420005076</t>
  </si>
  <si>
    <t>pay_420005108</t>
  </si>
  <si>
    <t>ORD-26005346</t>
  </si>
  <si>
    <t>pay_420005135</t>
  </si>
  <si>
    <t>pay_420005159</t>
  </si>
  <si>
    <t>pay_420005190</t>
  </si>
  <si>
    <t>pay_420005249</t>
  </si>
  <si>
    <t>pay_420005342</t>
  </si>
  <si>
    <t>pay_420005356</t>
  </si>
  <si>
    <t>ord26005598</t>
  </si>
  <si>
    <t>pay_420005422</t>
  </si>
  <si>
    <t>pay_420005434</t>
  </si>
  <si>
    <t>pay_420005473</t>
  </si>
  <si>
    <t>pay_420005495</t>
  </si>
  <si>
    <t>pay_420005562</t>
  </si>
  <si>
    <t>ord26005816</t>
  </si>
  <si>
    <t>pay_420005567</t>
  </si>
  <si>
    <t>pay_420005603</t>
  </si>
  <si>
    <t>pay_420005617</t>
  </si>
  <si>
    <t>pay_420005636</t>
  </si>
  <si>
    <t>pay_420005682</t>
  </si>
  <si>
    <t>pay_420005684</t>
  </si>
  <si>
    <t>pay_420005718</t>
  </si>
  <si>
    <t>rfnd_18TWEH5SAVH4</t>
  </si>
  <si>
    <t>rfnd_HUCCQUVLZ546</t>
  </si>
  <si>
    <t>rfnd_P6VJ89GFMCXL</t>
  </si>
  <si>
    <t>pay_420000026</t>
  </si>
  <si>
    <t>pay_420000050</t>
  </si>
  <si>
    <t>pay_420000112</t>
  </si>
  <si>
    <t>pay_420000149</t>
  </si>
  <si>
    <t>ORD-26000159</t>
  </si>
  <si>
    <t>pay_420000171</t>
  </si>
  <si>
    <t>ORD-26000185</t>
  </si>
  <si>
    <t>pay_420000183</t>
  </si>
  <si>
    <t>pay_420000222</t>
  </si>
  <si>
    <t>ord26000237</t>
  </si>
  <si>
    <t>pay_420000226</t>
  </si>
  <si>
    <t>pay_420000270</t>
  </si>
  <si>
    <t>pay_420000290</t>
  </si>
  <si>
    <t>pay_420000312</t>
  </si>
  <si>
    <t>ord26000326</t>
  </si>
  <si>
    <t>pay_420000342</t>
  </si>
  <si>
    <t>pay_420000363</t>
  </si>
  <si>
    <t>pay_420000403</t>
  </si>
  <si>
    <t>pay_420000414</t>
  </si>
  <si>
    <t xml:space="preserve">ORD26000431  </t>
  </si>
  <si>
    <t>pay_420000447</t>
  </si>
  <si>
    <t>pay_420000474</t>
  </si>
  <si>
    <t>pay_420000477</t>
  </si>
  <si>
    <t>pay_420000488</t>
  </si>
  <si>
    <t>pay_420000529</t>
  </si>
  <si>
    <t>pay_420000534</t>
  </si>
  <si>
    <t xml:space="preserve">ORD26000559  </t>
  </si>
  <si>
    <t>pay_420000570</t>
  </si>
  <si>
    <t>ord26000592</t>
  </si>
  <si>
    <t>pay_420000607</t>
  </si>
  <si>
    <t xml:space="preserve">ORD26000629  </t>
  </si>
  <si>
    <t>pay_420000610</t>
  </si>
  <si>
    <t>pay_420000623</t>
  </si>
  <si>
    <t>pay_420000686</t>
  </si>
  <si>
    <t>pay_420000692</t>
  </si>
  <si>
    <t>pay_420000716</t>
  </si>
  <si>
    <t>pay_420000722</t>
  </si>
  <si>
    <t>pay_420000793</t>
  </si>
  <si>
    <t>pay_420000798</t>
  </si>
  <si>
    <t>pay_420000812</t>
  </si>
  <si>
    <t>ord26000845</t>
  </si>
  <si>
    <t>pay_420000829</t>
  </si>
  <si>
    <t>pay_420000850</t>
  </si>
  <si>
    <t>ord26000885</t>
  </si>
  <si>
    <t>pay_420000877</t>
  </si>
  <si>
    <t>pay_420000909</t>
  </si>
  <si>
    <t>pay_420000949</t>
  </si>
  <si>
    <t>pay_420000974</t>
  </si>
  <si>
    <t>pay_420000987</t>
  </si>
  <si>
    <t>ord26001031</t>
  </si>
  <si>
    <t>pay_420000997</t>
  </si>
  <si>
    <t>pay_420001003</t>
  </si>
  <si>
    <t>pay_420001019</t>
  </si>
  <si>
    <t>pay_420001085</t>
  </si>
  <si>
    <t>pay_420001105</t>
  </si>
  <si>
    <t>pay_420001128</t>
  </si>
  <si>
    <t>pay_420001130</t>
  </si>
  <si>
    <t>pay_420001152</t>
  </si>
  <si>
    <t>pay_420001183</t>
  </si>
  <si>
    <t>pay_420001184</t>
  </si>
  <si>
    <t>pay_420001210</t>
  </si>
  <si>
    <t>pay_420001239</t>
  </si>
  <si>
    <t>pay_420001275</t>
  </si>
  <si>
    <t xml:space="preserve">ORD26001335  </t>
  </si>
  <si>
    <t>pay_420001314</t>
  </si>
  <si>
    <t>pay_420001420</t>
  </si>
  <si>
    <t>pay_420001445</t>
  </si>
  <si>
    <t>pay_420001455</t>
  </si>
  <si>
    <t>pay_420001510</t>
  </si>
  <si>
    <t>pay_420001606</t>
  </si>
  <si>
    <t>pay_420001618</t>
  </si>
  <si>
    <t>pay_420001671</t>
  </si>
  <si>
    <t>pay_420001743</t>
  </si>
  <si>
    <t>pay_420001762</t>
  </si>
  <si>
    <t>pay_420001773</t>
  </si>
  <si>
    <t>pay_420001825</t>
  </si>
  <si>
    <t>ORD-26001909</t>
  </si>
  <si>
    <t>pay_420001841</t>
  </si>
  <si>
    <t>ord26001924</t>
  </si>
  <si>
    <t>pay_420001920</t>
  </si>
  <si>
    <t>ord26002012</t>
  </si>
  <si>
    <t>pay_420001937</t>
  </si>
  <si>
    <t>pay_420001988</t>
  </si>
  <si>
    <t>ord26002081</t>
  </si>
  <si>
    <t>pay_420002050</t>
  </si>
  <si>
    <t>pay_420002071</t>
  </si>
  <si>
    <t>pay_420002081</t>
  </si>
  <si>
    <t>pay_420002112</t>
  </si>
  <si>
    <t>pay_420002134</t>
  </si>
  <si>
    <t>pay_420002136</t>
  </si>
  <si>
    <t>pay_420002140</t>
  </si>
  <si>
    <t>pay_420002164</t>
  </si>
  <si>
    <t>pay_420002168</t>
  </si>
  <si>
    <t>pay_420002184</t>
  </si>
  <si>
    <t>ord26002285</t>
  </si>
  <si>
    <t>pay_420002322</t>
  </si>
  <si>
    <t>pay_420002360</t>
  </si>
  <si>
    <t>pay_420002391</t>
  </si>
  <si>
    <t>pay_420002459</t>
  </si>
  <si>
    <t>pay_420002489</t>
  </si>
  <si>
    <t>pay_420002528</t>
  </si>
  <si>
    <t>pay_420002541</t>
  </si>
  <si>
    <t>pay_420002605</t>
  </si>
  <si>
    <t>pay_420002645</t>
  </si>
  <si>
    <t>pay_420002683</t>
  </si>
  <si>
    <t>pay_420002769</t>
  </si>
  <si>
    <t>pay_420002827</t>
  </si>
  <si>
    <t>pay_420002850</t>
  </si>
  <si>
    <t>ORD-26002993</t>
  </si>
  <si>
    <t>pay_420002888</t>
  </si>
  <si>
    <t>pay_420002907</t>
  </si>
  <si>
    <t>pay_420002928</t>
  </si>
  <si>
    <t>pay_420002939</t>
  </si>
  <si>
    <t>pay_420002957</t>
  </si>
  <si>
    <t>pay_420003007</t>
  </si>
  <si>
    <t>pay_420003024</t>
  </si>
  <si>
    <t>pay_420003028</t>
  </si>
  <si>
    <t>pay_420003046</t>
  </si>
  <si>
    <t>pay_420003064</t>
  </si>
  <si>
    <t>pay_420003066</t>
  </si>
  <si>
    <t>pay_420003069</t>
  </si>
  <si>
    <t>pay_420003094</t>
  </si>
  <si>
    <t>pay_420003133</t>
  </si>
  <si>
    <t>pay_420003155</t>
  </si>
  <si>
    <t>pay_420003210</t>
  </si>
  <si>
    <t>pay_420003238</t>
  </si>
  <si>
    <t>pay_420003279</t>
  </si>
  <si>
    <t>pay_420003298</t>
  </si>
  <si>
    <t>pay_420003331</t>
  </si>
  <si>
    <t>pay_420003373</t>
  </si>
  <si>
    <t>pay_420003382</t>
  </si>
  <si>
    <t>pay_420003427</t>
  </si>
  <si>
    <t>pay_420003460</t>
  </si>
  <si>
    <t>ORD-26003628</t>
  </si>
  <si>
    <t>pay_420003496</t>
  </si>
  <si>
    <t>pay_420003506</t>
  </si>
  <si>
    <t>pay_420003511</t>
  </si>
  <si>
    <t xml:space="preserve">ORD26003682  </t>
  </si>
  <si>
    <t>pay_420003627</t>
  </si>
  <si>
    <t>pay_420003648</t>
  </si>
  <si>
    <t xml:space="preserve">ORD26003820  </t>
  </si>
  <si>
    <t>pay_420003707</t>
  </si>
  <si>
    <t>pay_420003718</t>
  </si>
  <si>
    <t>pay_420003724</t>
  </si>
  <si>
    <t>pay_420003747</t>
  </si>
  <si>
    <t xml:space="preserve">ORD26003921  </t>
  </si>
  <si>
    <t>pay_420003775</t>
  </si>
  <si>
    <t>pay_420003800</t>
  </si>
  <si>
    <t>pay_420003823</t>
  </si>
  <si>
    <t>pay_420003834</t>
  </si>
  <si>
    <t>pay_420003842</t>
  </si>
  <si>
    <t>pay_420003858</t>
  </si>
  <si>
    <t>pay_420003906</t>
  </si>
  <si>
    <t>pay_420003932</t>
  </si>
  <si>
    <t>pay_420003977</t>
  </si>
  <si>
    <t>pay_420003995</t>
  </si>
  <si>
    <t>pay_420004020</t>
  </si>
  <si>
    <t>pay_420004033</t>
  </si>
  <si>
    <t>pay_420004058</t>
  </si>
  <si>
    <t>pay_420004097</t>
  </si>
  <si>
    <t>pay_420004155</t>
  </si>
  <si>
    <t>ord26004347</t>
  </si>
  <si>
    <t>pay_420004193</t>
  </si>
  <si>
    <t>pay_420004230</t>
  </si>
  <si>
    <t>pay_420004240</t>
  </si>
  <si>
    <t>pay_420004243</t>
  </si>
  <si>
    <t>pay_420004362</t>
  </si>
  <si>
    <t>pay_420004366</t>
  </si>
  <si>
    <t>pay_420004454</t>
  </si>
  <si>
    <t>pay_420004477</t>
  </si>
  <si>
    <t>pay_420004517</t>
  </si>
  <si>
    <t>pay_420004530</t>
  </si>
  <si>
    <t>pay_420004545</t>
  </si>
  <si>
    <t>pay_420004562</t>
  </si>
  <si>
    <t>pay_420004564</t>
  </si>
  <si>
    <t>ord26004778</t>
  </si>
  <si>
    <t>pay_420004580</t>
  </si>
  <si>
    <t>pay_420004627</t>
  </si>
  <si>
    <t>pay_420004638</t>
  </si>
  <si>
    <t>ord26004854</t>
  </si>
  <si>
    <t>pay_420004734</t>
  </si>
  <si>
    <t>pay_420004756</t>
  </si>
  <si>
    <t>pay_420004802</t>
  </si>
  <si>
    <t>pay_420004859</t>
  </si>
  <si>
    <t>pay_420004879</t>
  </si>
  <si>
    <t>ORD-26005103</t>
  </si>
  <si>
    <t>pay_420004885</t>
  </si>
  <si>
    <t>pay_420004943</t>
  </si>
  <si>
    <t>pay_420004985</t>
  </si>
  <si>
    <t>pay_420005140</t>
  </si>
  <si>
    <t>pay_420005189</t>
  </si>
  <si>
    <t>pay_420005236</t>
  </si>
  <si>
    <t>pay_420005243</t>
  </si>
  <si>
    <t>pay_420005353</t>
  </si>
  <si>
    <t>pay_420005379</t>
  </si>
  <si>
    <t>pay_420005386</t>
  </si>
  <si>
    <t>pay_420005390</t>
  </si>
  <si>
    <t>pay_420005400</t>
  </si>
  <si>
    <t>ord26005643</t>
  </si>
  <si>
    <t>pay_420005407</t>
  </si>
  <si>
    <t>ord26005652</t>
  </si>
  <si>
    <t>pay_420005472</t>
  </si>
  <si>
    <t>pay_420005531</t>
  </si>
  <si>
    <t>pay_420005557</t>
  </si>
  <si>
    <t>pay_420005561</t>
  </si>
  <si>
    <t>pay_420005613</t>
  </si>
  <si>
    <t>pay_420005642</t>
  </si>
  <si>
    <t>pay_420005674</t>
  </si>
  <si>
    <t>pay_420005710</t>
  </si>
  <si>
    <t>rfnd_0WSRTT24HHWU</t>
  </si>
  <si>
    <t>rfnd_1P9EJRJ3DFTU</t>
  </si>
  <si>
    <t>rfnd_4NNBGA0B3BAW</t>
  </si>
  <si>
    <t>rfnd_5X9NCFUVU49C</t>
  </si>
  <si>
    <t>rfnd_9ZZ9QY0KRR5V</t>
  </si>
  <si>
    <t>rfnd_PHZWJNPU1FDB</t>
  </si>
  <si>
    <t>rfnd_PK0N15688WXK</t>
  </si>
  <si>
    <t>rfnd_RH9UD7PELECE</t>
  </si>
  <si>
    <t>rfnd_SPRCBX4G4CXW</t>
  </si>
  <si>
    <t>rfnd_X5KPXHG044XV</t>
  </si>
  <si>
    <t>rfnd_YJKDKVE9H1NK</t>
  </si>
  <si>
    <t>pay_420000005</t>
  </si>
  <si>
    <t>pay_420000051</t>
  </si>
  <si>
    <t>pay_420000061</t>
  </si>
  <si>
    <t>pay_420000215</t>
  </si>
  <si>
    <t>pay_420000235</t>
  </si>
  <si>
    <t>pay_420000288</t>
  </si>
  <si>
    <t>pay_420000373</t>
  </si>
  <si>
    <t>pay_420000384</t>
  </si>
  <si>
    <t>pay_420000397</t>
  </si>
  <si>
    <t>pay_420000485</t>
  </si>
  <si>
    <t>pay_420000545</t>
  </si>
  <si>
    <t>pay_420000547</t>
  </si>
  <si>
    <t>pay_420000574</t>
  </si>
  <si>
    <t>pay_420000715</t>
  </si>
  <si>
    <t>pay_420000739</t>
  </si>
  <si>
    <t>pay_420000749</t>
  </si>
  <si>
    <t>pay_420000759</t>
  </si>
  <si>
    <t>pay_420000788</t>
  </si>
  <si>
    <t>pay_420000789</t>
  </si>
  <si>
    <t>pay_420000910</t>
  </si>
  <si>
    <t>pay_420000937</t>
  </si>
  <si>
    <t xml:space="preserve">ORD26000979  </t>
  </si>
  <si>
    <t>pay_420000981</t>
  </si>
  <si>
    <t>pay_420001017</t>
  </si>
  <si>
    <t>pay_420001032</t>
  </si>
  <si>
    <t>pay_420001044</t>
  </si>
  <si>
    <t>pay_420001108</t>
  </si>
  <si>
    <t>pay_420001155</t>
  </si>
  <si>
    <t>pay_420001166</t>
  </si>
  <si>
    <t>pay_420001251</t>
  </si>
  <si>
    <t>pay_420001276</t>
  </si>
  <si>
    <t>pay_420001443</t>
  </si>
  <si>
    <t>pay_420001444</t>
  </si>
  <si>
    <t>ORD-26001510</t>
  </si>
  <si>
    <t>pay_420001447</t>
  </si>
  <si>
    <t>pay_420001479</t>
  </si>
  <si>
    <t>pay_420001556</t>
  </si>
  <si>
    <t>pay_420001613</t>
  </si>
  <si>
    <t>pay_420001642</t>
  </si>
  <si>
    <t>pay_420001645</t>
  </si>
  <si>
    <t>ord26001722</t>
  </si>
  <si>
    <t>pay_420001726</t>
  </si>
  <si>
    <t>pay_420001731</t>
  </si>
  <si>
    <t>ord26001812</t>
  </si>
  <si>
    <t>pay_420001778</t>
  </si>
  <si>
    <t>pay_420001788</t>
  </si>
  <si>
    <t>pay_420001801</t>
  </si>
  <si>
    <t>pay_420001873</t>
  </si>
  <si>
    <t>pay_420001876</t>
  </si>
  <si>
    <t>ORD-26001964</t>
  </si>
  <si>
    <t>pay_420001881</t>
  </si>
  <si>
    <t>pay_420001902</t>
  </si>
  <si>
    <t>pay_420001931</t>
  </si>
  <si>
    <t>pay_420001949</t>
  </si>
  <si>
    <t>pay_420001977</t>
  </si>
  <si>
    <t>pay_420001978</t>
  </si>
  <si>
    <t>pay_420002010</t>
  </si>
  <si>
    <t>pay_420002022</t>
  </si>
  <si>
    <t>pay_420002024</t>
  </si>
  <si>
    <t>pay_420002052</t>
  </si>
  <si>
    <t>pay_420002088</t>
  </si>
  <si>
    <t>pay_420002105</t>
  </si>
  <si>
    <t>pay_420002107</t>
  </si>
  <si>
    <t>pay_420002108</t>
  </si>
  <si>
    <t>pay_420002138</t>
  </si>
  <si>
    <t>pay_420002147</t>
  </si>
  <si>
    <t>pay_420002150</t>
  </si>
  <si>
    <t>pay_420002154</t>
  </si>
  <si>
    <t>pay_420002158</t>
  </si>
  <si>
    <t>pay_420002169</t>
  </si>
  <si>
    <t>pay_420002172</t>
  </si>
  <si>
    <t>pay_420002194</t>
  </si>
  <si>
    <t>ORD-26002298</t>
  </si>
  <si>
    <t>pay_420002209</t>
  </si>
  <si>
    <t>ord26002311</t>
  </si>
  <si>
    <t>pay_420002222</t>
  </si>
  <si>
    <t>pay_420002354</t>
  </si>
  <si>
    <t>pay_420002387</t>
  </si>
  <si>
    <t>pay_420002416</t>
  </si>
  <si>
    <t>pay_420002434</t>
  </si>
  <si>
    <t>pay_420002440</t>
  </si>
  <si>
    <t>ord26002554</t>
  </si>
  <si>
    <t>pay_420002506</t>
  </si>
  <si>
    <t>pay_420002542</t>
  </si>
  <si>
    <t>pay_420002578</t>
  </si>
  <si>
    <t>ord26002705</t>
  </si>
  <si>
    <t>pay_420002585</t>
  </si>
  <si>
    <t>ord26002712</t>
  </si>
  <si>
    <t>pay_420002596</t>
  </si>
  <si>
    <t>pay_420002601</t>
  </si>
  <si>
    <t>pay_420002612</t>
  </si>
  <si>
    <t>pay_420002622</t>
  </si>
  <si>
    <t>pay_420002624</t>
  </si>
  <si>
    <t>pay_420002689</t>
  </si>
  <si>
    <t>pay_420002700</t>
  </si>
  <si>
    <t>pay_420002705</t>
  </si>
  <si>
    <t xml:space="preserve">ORD26002841  </t>
  </si>
  <si>
    <t>pay_420002731</t>
  </si>
  <si>
    <t>pay_420002764</t>
  </si>
  <si>
    <t>pay_420002774</t>
  </si>
  <si>
    <t>pay_420002821</t>
  </si>
  <si>
    <t xml:space="preserve">ORD26002963  </t>
  </si>
  <si>
    <t>pay_420002854</t>
  </si>
  <si>
    <t>pay_420002863</t>
  </si>
  <si>
    <t>pay_420002865</t>
  </si>
  <si>
    <t>pay_420002955</t>
  </si>
  <si>
    <t>pay_420002992</t>
  </si>
  <si>
    <t>pay_420003016</t>
  </si>
  <si>
    <t>pay_420003059</t>
  </si>
  <si>
    <t>pay_420003099</t>
  </si>
  <si>
    <t>pay_420003119</t>
  </si>
  <si>
    <t>pay_420003136</t>
  </si>
  <si>
    <t>ord26003296</t>
  </si>
  <si>
    <t>pay_420003141</t>
  </si>
  <si>
    <t>pay_420003143</t>
  </si>
  <si>
    <t>pay_420003183</t>
  </si>
  <si>
    <t>pay_420003257</t>
  </si>
  <si>
    <t>pay_420003289</t>
  </si>
  <si>
    <t>pay_420003337</t>
  </si>
  <si>
    <t>pay_420003393</t>
  </si>
  <si>
    <t>pay_420003430</t>
  </si>
  <si>
    <t>pay_420003440</t>
  </si>
  <si>
    <t>pay_420003486</t>
  </si>
  <si>
    <t>pay_420003519</t>
  </si>
  <si>
    <t xml:space="preserve">ORD26003689  </t>
  </si>
  <si>
    <t>pay_420003545</t>
  </si>
  <si>
    <t>pay_420003610</t>
  </si>
  <si>
    <t>ORD-26003779</t>
  </si>
  <si>
    <t>pay_420003619</t>
  </si>
  <si>
    <t>pay_420003672</t>
  </si>
  <si>
    <t>pay_420003752</t>
  </si>
  <si>
    <t>pay_420003807</t>
  </si>
  <si>
    <t>pay_420003814</t>
  </si>
  <si>
    <t>pay_420003818</t>
  </si>
  <si>
    <t>pay_420003838</t>
  </si>
  <si>
    <t>pay_420003844</t>
  </si>
  <si>
    <t>pay_420003908</t>
  </si>
  <si>
    <t>pay_420003933</t>
  </si>
  <si>
    <t>pay_420003947</t>
  </si>
  <si>
    <t>pay_420003948</t>
  </si>
  <si>
    <t>pay_420003979</t>
  </si>
  <si>
    <t>pay_420004038</t>
  </si>
  <si>
    <t>pay_420004039</t>
  </si>
  <si>
    <t>pay_420004092</t>
  </si>
  <si>
    <t>pay_420004098</t>
  </si>
  <si>
    <t>pay_420004106</t>
  </si>
  <si>
    <t>pay_420004112</t>
  </si>
  <si>
    <t>pay_420004142</t>
  </si>
  <si>
    <t>pay_420004156</t>
  </si>
  <si>
    <t>pay_420004166</t>
  </si>
  <si>
    <t>ord26004359</t>
  </si>
  <si>
    <t>pay_420004172</t>
  </si>
  <si>
    <t>pay_420004178</t>
  </si>
  <si>
    <t>pay_420004186</t>
  </si>
  <si>
    <t>ord26004381</t>
  </si>
  <si>
    <t>pay_420004234</t>
  </si>
  <si>
    <t>pay_420004235</t>
  </si>
  <si>
    <t>ord26004434</t>
  </si>
  <si>
    <t>pay_420004251</t>
  </si>
  <si>
    <t>pay_420004263</t>
  </si>
  <si>
    <t>ord26004463</t>
  </si>
  <si>
    <t>pay_420004317</t>
  </si>
  <si>
    <t xml:space="preserve">ORD26004520  </t>
  </si>
  <si>
    <t>pay_420004350</t>
  </si>
  <si>
    <t>pay_420004376</t>
  </si>
  <si>
    <t>pay_420004399</t>
  </si>
  <si>
    <t>pay_420004433</t>
  </si>
  <si>
    <t>pay_420004443</t>
  </si>
  <si>
    <t>pay_420004460</t>
  </si>
  <si>
    <t>pay_420004493</t>
  </si>
  <si>
    <t>pay_420004527</t>
  </si>
  <si>
    <t>pay_420004532</t>
  </si>
  <si>
    <t>ORD-26004745</t>
  </si>
  <si>
    <t>pay_420004534</t>
  </si>
  <si>
    <t>pay_420004544</t>
  </si>
  <si>
    <t>pay_420004560</t>
  </si>
  <si>
    <t>pay_420004575</t>
  </si>
  <si>
    <t>pay_420004623</t>
  </si>
  <si>
    <t>ord26004836</t>
  </si>
  <si>
    <t>pay_420004640</t>
  </si>
  <si>
    <t>pay_420004648</t>
  </si>
  <si>
    <t>pay_420004651</t>
  </si>
  <si>
    <t>pay_420004658</t>
  </si>
  <si>
    <t>ORD-26004878</t>
  </si>
  <si>
    <t>pay_420004667</t>
  </si>
  <si>
    <t>pay_420004681</t>
  </si>
  <si>
    <t>pay_420004694</t>
  </si>
  <si>
    <t>pay_420004695</t>
  </si>
  <si>
    <t>pay_420004704</t>
  </si>
  <si>
    <t>pay_420004708</t>
  </si>
  <si>
    <t>pay_420004724</t>
  </si>
  <si>
    <t>pay_420004804</t>
  </si>
  <si>
    <t>pay_420004818</t>
  </si>
  <si>
    <t>pay_420004829</t>
  </si>
  <si>
    <t>pay_420004844</t>
  </si>
  <si>
    <t>pay_420004855</t>
  </si>
  <si>
    <t>pay_420004892</t>
  </si>
  <si>
    <t>pay_420004917</t>
  </si>
  <si>
    <t>ord26005146</t>
  </si>
  <si>
    <t>pay_420005037</t>
  </si>
  <si>
    <t>pay_420005044</t>
  </si>
  <si>
    <t>pay_420005069</t>
  </si>
  <si>
    <t>pay_420005072</t>
  </si>
  <si>
    <t>pay_420005090</t>
  </si>
  <si>
    <t>pay_420005120</t>
  </si>
  <si>
    <t>pay_420005149</t>
  </si>
  <si>
    <t>pay_420005186</t>
  </si>
  <si>
    <t>pay_420005211</t>
  </si>
  <si>
    <t>pay_420005275</t>
  </si>
  <si>
    <t>pay_420005277</t>
  </si>
  <si>
    <t>pay_420005278</t>
  </si>
  <si>
    <t>pay_420005315</t>
  </si>
  <si>
    <t>ord26005555</t>
  </si>
  <si>
    <t>pay_420005329</t>
  </si>
  <si>
    <t xml:space="preserve">ORD26005570  </t>
  </si>
  <si>
    <t>pay_420005345</t>
  </si>
  <si>
    <t>pay_420005425</t>
  </si>
  <si>
    <t xml:space="preserve">ORD26005672  </t>
  </si>
  <si>
    <t>pay_420005435</t>
  </si>
  <si>
    <t xml:space="preserve">ORD26005681  </t>
  </si>
  <si>
    <t>pay_420005449</t>
  </si>
  <si>
    <t>pay_420005494</t>
  </si>
  <si>
    <t>ord26005743</t>
  </si>
  <si>
    <t>pay_420005508</t>
  </si>
  <si>
    <t>pay_420005528</t>
  </si>
  <si>
    <t>pay_420005536</t>
  </si>
  <si>
    <t>pay_420005588</t>
  </si>
  <si>
    <t>pay_420005619</t>
  </si>
  <si>
    <t>pay_420005631</t>
  </si>
  <si>
    <t>ord26005894</t>
  </si>
  <si>
    <t>pay_420005634</t>
  </si>
  <si>
    <t>pay_420005691</t>
  </si>
  <si>
    <t>pay_420005692</t>
  </si>
  <si>
    <t>pay_420005700</t>
  </si>
  <si>
    <t xml:space="preserve">ORD26005967  </t>
  </si>
  <si>
    <t>pay_420005729</t>
  </si>
  <si>
    <t>rfnd_1E45M61VZAKQ</t>
  </si>
  <si>
    <t>rfnd_4S8GC1FUNUBD</t>
  </si>
  <si>
    <t>rfnd_612ZWKB4G8ZU</t>
  </si>
  <si>
    <t>rfnd_7X7NPSVGYZ6X</t>
  </si>
  <si>
    <t>rfnd_ANGTFDCLEV6P</t>
  </si>
  <si>
    <t>rfnd_ATU0ZTGHM0GM</t>
  </si>
  <si>
    <t>rfnd_CMQUQBNQNCJS</t>
  </si>
  <si>
    <t>rfnd_DZJY53EH7MGC</t>
  </si>
  <si>
    <t>rfnd_MEC74FBMBA22</t>
  </si>
  <si>
    <t>rfnd_N2035Q9U72LT</t>
  </si>
  <si>
    <t>rfnd_NATMV987YTU7</t>
  </si>
  <si>
    <t>rfnd_RCAG53V7U3XL</t>
  </si>
  <si>
    <t>pay_420000063</t>
  </si>
  <si>
    <t>pay_420000088</t>
  </si>
  <si>
    <t>ord26000093</t>
  </si>
  <si>
    <t>pay_420000094</t>
  </si>
  <si>
    <t>pay_420000102</t>
  </si>
  <si>
    <t>pay_420000145</t>
  </si>
  <si>
    <t>pay_420000195</t>
  </si>
  <si>
    <t>pay_420000223</t>
  </si>
  <si>
    <t>pay_420000247</t>
  </si>
  <si>
    <t>pay_420000341</t>
  </si>
  <si>
    <t>ORD-26000359</t>
  </si>
  <si>
    <t>pay_420000349</t>
  </si>
  <si>
    <t>pay_420000406</t>
  </si>
  <si>
    <t>pay_420000421</t>
  </si>
  <si>
    <t xml:space="preserve">ORD26000438  </t>
  </si>
  <si>
    <t>pay_420000429</t>
  </si>
  <si>
    <t>pay_420000442</t>
  </si>
  <si>
    <t>pay_420000458</t>
  </si>
  <si>
    <t>pay_420000468</t>
  </si>
  <si>
    <t>pay_420000481</t>
  </si>
  <si>
    <t>pay_420000509</t>
  </si>
  <si>
    <t>pay_420000554</t>
  </si>
  <si>
    <t>ord26000578</t>
  </si>
  <si>
    <t>pay_420000573</t>
  </si>
  <si>
    <t>ord26000595</t>
  </si>
  <si>
    <t>pay_420000606</t>
  </si>
  <si>
    <t>pay_420000613</t>
  </si>
  <si>
    <t>pay_420000654</t>
  </si>
  <si>
    <t>pay_420000676</t>
  </si>
  <si>
    <t>pay_420000690</t>
  </si>
  <si>
    <t>pay_420000756</t>
  </si>
  <si>
    <t>pay_420000773</t>
  </si>
  <si>
    <t>pay_420000891</t>
  </si>
  <si>
    <t>pay_420000927</t>
  </si>
  <si>
    <t>pay_420000945</t>
  </si>
  <si>
    <t>pay_420000972</t>
  </si>
  <si>
    <t>pay_420000993</t>
  </si>
  <si>
    <t>pay_420001089</t>
  </si>
  <si>
    <t>pay_420001115</t>
  </si>
  <si>
    <t>pay_420001153</t>
  </si>
  <si>
    <t xml:space="preserve">ORD26001202  </t>
  </si>
  <si>
    <t>pay_420001179</t>
  </si>
  <si>
    <t>pay_420001208</t>
  </si>
  <si>
    <t>pay_420001241</t>
  </si>
  <si>
    <t>pay_420001366</t>
  </si>
  <si>
    <t>pay_420001421</t>
  </si>
  <si>
    <t>pay_420001446</t>
  </si>
  <si>
    <t>pay_420001453</t>
  </si>
  <si>
    <t>pay_420001483</t>
  </si>
  <si>
    <t>pay_420001545</t>
  </si>
  <si>
    <t xml:space="preserve">ORD26001613  </t>
  </si>
  <si>
    <t>pay_420001553</t>
  </si>
  <si>
    <t>pay_420001730</t>
  </si>
  <si>
    <t xml:space="preserve">ORD26001811  </t>
  </si>
  <si>
    <t>pay_420001792</t>
  </si>
  <si>
    <t>pay_420001806</t>
  </si>
  <si>
    <t>ord26001890</t>
  </si>
  <si>
    <t>pay_420001822</t>
  </si>
  <si>
    <t>ord26001905</t>
  </si>
  <si>
    <t>pay_420001826</t>
  </si>
  <si>
    <t>ord26001910</t>
  </si>
  <si>
    <t>pay_420001966</t>
  </si>
  <si>
    <t>pay_420001993</t>
  </si>
  <si>
    <t>pay_420002019</t>
  </si>
  <si>
    <t>pay_420002036</t>
  </si>
  <si>
    <t>pay_420002055</t>
  </si>
  <si>
    <t>ord26002147</t>
  </si>
  <si>
    <t>pay_420002116</t>
  </si>
  <si>
    <t>pay_420002153</t>
  </si>
  <si>
    <t>pay_420002162</t>
  </si>
  <si>
    <t>ord26002263</t>
  </si>
  <si>
    <t>pay_420002295</t>
  </si>
  <si>
    <t>pay_420002302</t>
  </si>
  <si>
    <t>pay_420002320</t>
  </si>
  <si>
    <t>pay_420002461</t>
  </si>
  <si>
    <t xml:space="preserve">ORD26002576  </t>
  </si>
  <si>
    <t>pay_420002568</t>
  </si>
  <si>
    <t>pay_420002569</t>
  </si>
  <si>
    <t>pay_420002573</t>
  </si>
  <si>
    <t>pay_420002660</t>
  </si>
  <si>
    <t>pay_420002674</t>
  </si>
  <si>
    <t>pay_420002747</t>
  </si>
  <si>
    <t>pay_420002755</t>
  </si>
  <si>
    <t>pay_420002835</t>
  </si>
  <si>
    <t>pay_420002845</t>
  </si>
  <si>
    <t>pay_420002875</t>
  </si>
  <si>
    <t>pay_420002893</t>
  </si>
  <si>
    <t>pay_420002914</t>
  </si>
  <si>
    <t>pay_420002952</t>
  </si>
  <si>
    <t>pay_420002959</t>
  </si>
  <si>
    <t>pay_420002979</t>
  </si>
  <si>
    <t>pay_420003030</t>
  </si>
  <si>
    <t>pay_420003109</t>
  </si>
  <si>
    <t>pay_420003125</t>
  </si>
  <si>
    <t>pay_420003153</t>
  </si>
  <si>
    <t>pay_420003184</t>
  </si>
  <si>
    <t>pay_420003265</t>
  </si>
  <si>
    <t>pay_420003280</t>
  </si>
  <si>
    <t>pay_420003312</t>
  </si>
  <si>
    <t>pay_420003369</t>
  </si>
  <si>
    <t>pay_420003372</t>
  </si>
  <si>
    <t>pay_420003381</t>
  </si>
  <si>
    <t>pay_420003392</t>
  </si>
  <si>
    <t>pay_420003404</t>
  </si>
  <si>
    <t>ord26003572</t>
  </si>
  <si>
    <t>pay_420003437</t>
  </si>
  <si>
    <t>pay_420003450</t>
  </si>
  <si>
    <t>pay_420003453</t>
  </si>
  <si>
    <t>ord26003621</t>
  </si>
  <si>
    <t>pay_420003500</t>
  </si>
  <si>
    <t>pay_420003661</t>
  </si>
  <si>
    <t>ord26003831</t>
  </si>
  <si>
    <t>pay_420003677</t>
  </si>
  <si>
    <t>pay_420003703</t>
  </si>
  <si>
    <t>ORD-26003875</t>
  </si>
  <si>
    <t>pay_420003765</t>
  </si>
  <si>
    <t>pay_420003772</t>
  </si>
  <si>
    <t>pay_420003773</t>
  </si>
  <si>
    <t xml:space="preserve">ORD26003948  </t>
  </si>
  <si>
    <t>pay_420003854</t>
  </si>
  <si>
    <t>pay_420003886</t>
  </si>
  <si>
    <t>pay_420003891</t>
  </si>
  <si>
    <t>pay_420003892</t>
  </si>
  <si>
    <t>ord26004074</t>
  </si>
  <si>
    <t>pay_420003942</t>
  </si>
  <si>
    <t>ord26004125</t>
  </si>
  <si>
    <t>pay_420003945</t>
  </si>
  <si>
    <t>pay_420003953</t>
  </si>
  <si>
    <t>pay_420003960</t>
  </si>
  <si>
    <t xml:space="preserve">ORD26004144  </t>
  </si>
  <si>
    <t>pay_420003972</t>
  </si>
  <si>
    <t>ord26004156</t>
  </si>
  <si>
    <t>pay_420004016</t>
  </si>
  <si>
    <t>pay_420004037</t>
  </si>
  <si>
    <t>pay_420004071</t>
  </si>
  <si>
    <t>pay_420004125</t>
  </si>
  <si>
    <t>pay_420004137</t>
  </si>
  <si>
    <t>pay_420004164</t>
  </si>
  <si>
    <t>pay_420004171</t>
  </si>
  <si>
    <t>pay_420004222</t>
  </si>
  <si>
    <t>pay_420004269</t>
  </si>
  <si>
    <t>pay_420004286</t>
  </si>
  <si>
    <t>pay_420004323</t>
  </si>
  <si>
    <t>pay_420004325</t>
  </si>
  <si>
    <t>pay_420004330</t>
  </si>
  <si>
    <t>pay_420004419</t>
  </si>
  <si>
    <t>pay_420004424</t>
  </si>
  <si>
    <t>pay_420004439</t>
  </si>
  <si>
    <t>pay_420004465</t>
  </si>
  <si>
    <t>pay_420004482</t>
  </si>
  <si>
    <t>pay_420004495</t>
  </si>
  <si>
    <t>pay_420004513</t>
  </si>
  <si>
    <t xml:space="preserve">ORD26004726  </t>
  </si>
  <si>
    <t>pay_420004522</t>
  </si>
  <si>
    <t>pay_420004538</t>
  </si>
  <si>
    <t>pay_420004583</t>
  </si>
  <si>
    <t>pay_420004596</t>
  </si>
  <si>
    <t>pay_420004619</t>
  </si>
  <si>
    <t>ord26004832</t>
  </si>
  <si>
    <t>pay_420004634</t>
  </si>
  <si>
    <t>ord26004849</t>
  </si>
  <si>
    <t>pay_420004699</t>
  </si>
  <si>
    <t>pay_420004706</t>
  </si>
  <si>
    <t>ORD-26004927</t>
  </si>
  <si>
    <t>pay_420004730</t>
  </si>
  <si>
    <t>pay_420004748</t>
  </si>
  <si>
    <t>pay_420004762</t>
  </si>
  <si>
    <t>pay_420004768</t>
  </si>
  <si>
    <t>pay_420004780</t>
  </si>
  <si>
    <t>pay_420004817</t>
  </si>
  <si>
    <t>pay_420004832</t>
  </si>
  <si>
    <t>pay_420004841</t>
  </si>
  <si>
    <t>pay_420004849</t>
  </si>
  <si>
    <t>ord26005072</t>
  </si>
  <si>
    <t>pay_420004873</t>
  </si>
  <si>
    <t>pay_420004923</t>
  </si>
  <si>
    <t>pay_420004927</t>
  </si>
  <si>
    <t>pay_420004941</t>
  </si>
  <si>
    <t>pay_420005025</t>
  </si>
  <si>
    <t>pay_420005067</t>
  </si>
  <si>
    <t>pay_420005119</t>
  </si>
  <si>
    <t>pay_420005148</t>
  </si>
  <si>
    <t>pay_420005156</t>
  </si>
  <si>
    <t xml:space="preserve">ORD26005396  </t>
  </si>
  <si>
    <t>pay_420005181</t>
  </si>
  <si>
    <t xml:space="preserve">ORD26005421  </t>
  </si>
  <si>
    <t>pay_420005193</t>
  </si>
  <si>
    <t>pay_420005201</t>
  </si>
  <si>
    <t>ord26005441</t>
  </si>
  <si>
    <t>pay_420005216</t>
  </si>
  <si>
    <t>pay_420005228</t>
  </si>
  <si>
    <t>pay_420005273</t>
  </si>
  <si>
    <t>pay_420005289</t>
  </si>
  <si>
    <t>pay_420005336</t>
  </si>
  <si>
    <t>pay_420005339</t>
  </si>
  <si>
    <t>pay_420005370</t>
  </si>
  <si>
    <t>pay_420005428</t>
  </si>
  <si>
    <t>pay_420005440</t>
  </si>
  <si>
    <t>pay_420005468</t>
  </si>
  <si>
    <t>pay_420005498</t>
  </si>
  <si>
    <t>ord26005747</t>
  </si>
  <si>
    <t>pay_420005504</t>
  </si>
  <si>
    <t>pay_420005546</t>
  </si>
  <si>
    <t>ord26005799</t>
  </si>
  <si>
    <t>pay_420005573</t>
  </si>
  <si>
    <t>ORD-26005829</t>
  </si>
  <si>
    <t>pay_420005681</t>
  </si>
  <si>
    <t>pay_420005741</t>
  </si>
  <si>
    <t>ORD26006506</t>
  </si>
  <si>
    <t>rfnd_4HJT64PHJ8ZQ</t>
  </si>
  <si>
    <t>rfnd_72W6R71QLZ8J</t>
  </si>
  <si>
    <t>rfnd_783F0V5VTNMH</t>
  </si>
  <si>
    <t>rfnd_CFT7LUV73PE2</t>
  </si>
  <si>
    <t>rfnd_DBHWCCJBHGBC</t>
  </si>
  <si>
    <t>rfnd_M3GSKRD2CULY</t>
  </si>
  <si>
    <t>rfnd_P53UA9LGNWRY</t>
  </si>
  <si>
    <t>rfnd_S2A3QAF9NJY7</t>
  </si>
  <si>
    <t>rfnd_U98TWK4GSUC2</t>
  </si>
  <si>
    <t>pay_420000006</t>
  </si>
  <si>
    <t>ORD-26000006</t>
  </si>
  <si>
    <t>pay_420000013</t>
  </si>
  <si>
    <t>pay_420000044</t>
  </si>
  <si>
    <t xml:space="preserve">ORD26000045  </t>
  </si>
  <si>
    <t>pay_420000055</t>
  </si>
  <si>
    <t>ord26000056</t>
  </si>
  <si>
    <t>pay_420000103</t>
  </si>
  <si>
    <t>pay_420000136</t>
  </si>
  <si>
    <t>pay_420000137</t>
  </si>
  <si>
    <t>pay_420000164</t>
  </si>
  <si>
    <t xml:space="preserve">ORD26000175  </t>
  </si>
  <si>
    <t>pay_420000190</t>
  </si>
  <si>
    <t>pay_420000242</t>
  </si>
  <si>
    <t>pay_420000346</t>
  </si>
  <si>
    <t>pay_420000359</t>
  </si>
  <si>
    <t>pay_420000404</t>
  </si>
  <si>
    <t>pay_420000428</t>
  </si>
  <si>
    <t>pay_420000523</t>
  </si>
  <si>
    <t>pay_420000532</t>
  </si>
  <si>
    <t>pay_420000614</t>
  </si>
  <si>
    <t>ord26000637</t>
  </si>
  <si>
    <t>pay_420000630</t>
  </si>
  <si>
    <t>pay_420000637</t>
  </si>
  <si>
    <t>pay_420000658</t>
  </si>
  <si>
    <t>pay_420000711</t>
  </si>
  <si>
    <t>pay_420000795</t>
  </si>
  <si>
    <t>pay_420000819</t>
  </si>
  <si>
    <t xml:space="preserve">ORD26000854  </t>
  </si>
  <si>
    <t>pay_420000824</t>
  </si>
  <si>
    <t>pay_420000883</t>
  </si>
  <si>
    <t>pay_420000908</t>
  </si>
  <si>
    <t>pay_420000920</t>
  </si>
  <si>
    <t>pay_420000971</t>
  </si>
  <si>
    <t>pay_420000980</t>
  </si>
  <si>
    <t>pay_420000996</t>
  </si>
  <si>
    <t>pay_420001036</t>
  </si>
  <si>
    <t>pay_420001051</t>
  </si>
  <si>
    <t>pay_420001071</t>
  </si>
  <si>
    <t>pay_420001076</t>
  </si>
  <si>
    <t>pay_420001172</t>
  </si>
  <si>
    <t>pay_420001201</t>
  </si>
  <si>
    <t>pay_420001215</t>
  </si>
  <si>
    <t>ord26001270</t>
  </si>
  <si>
    <t>pay_420001288</t>
  </si>
  <si>
    <t>pay_420001289</t>
  </si>
  <si>
    <t>pay_420001300</t>
  </si>
  <si>
    <t>pay_420001347</t>
  </si>
  <si>
    <t>pay_420001361</t>
  </si>
  <si>
    <t>pay_420001377</t>
  </si>
  <si>
    <t>pay_420001379</t>
  </si>
  <si>
    <t>pay_420001383</t>
  </si>
  <si>
    <t>pay_420001397</t>
  </si>
  <si>
    <t>pay_420001407</t>
  </si>
  <si>
    <t>pay_420001413</t>
  </si>
  <si>
    <t>pay_420001422</t>
  </si>
  <si>
    <t>pay_420001490</t>
  </si>
  <si>
    <t>pay_420001491</t>
  </si>
  <si>
    <t>ord26001557</t>
  </si>
  <si>
    <t>pay_420001511</t>
  </si>
  <si>
    <t>pay_420001527</t>
  </si>
  <si>
    <t xml:space="preserve">ORD26001594  </t>
  </si>
  <si>
    <t>pay_420001562</t>
  </si>
  <si>
    <t>ord26001630</t>
  </si>
  <si>
    <t>pay_420001657</t>
  </si>
  <si>
    <t>pay_420001700</t>
  </si>
  <si>
    <t>pay_420001735</t>
  </si>
  <si>
    <t>ord26001816</t>
  </si>
  <si>
    <t>pay_420001746</t>
  </si>
  <si>
    <t>pay_420001846</t>
  </si>
  <si>
    <t>pay_420001866</t>
  </si>
  <si>
    <t>ord26001951</t>
  </si>
  <si>
    <t>pay_420001948</t>
  </si>
  <si>
    <t>pay_420001990</t>
  </si>
  <si>
    <t>pay_420002067</t>
  </si>
  <si>
    <t>pay_420002087</t>
  </si>
  <si>
    <t>pay_420002098</t>
  </si>
  <si>
    <t>pay_420002100</t>
  </si>
  <si>
    <t>pay_420002128</t>
  </si>
  <si>
    <t>pay_420002145</t>
  </si>
  <si>
    <t>pay_420002175</t>
  </si>
  <si>
    <t>pay_420002183</t>
  </si>
  <si>
    <t>ORD-26002284</t>
  </si>
  <si>
    <t>pay_420002239</t>
  </si>
  <si>
    <t>pay_420002243</t>
  </si>
  <si>
    <t>pay_420002252</t>
  </si>
  <si>
    <t>pay_420002261</t>
  </si>
  <si>
    <t>pay_420002280</t>
  </si>
  <si>
    <t>pay_420002294</t>
  </si>
  <si>
    <t>pay_420002298</t>
  </si>
  <si>
    <t>pay_420002300</t>
  </si>
  <si>
    <t>pay_420002307</t>
  </si>
  <si>
    <t>ord26002421</t>
  </si>
  <si>
    <t>pay_420002357</t>
  </si>
  <si>
    <t>pay_420002436</t>
  </si>
  <si>
    <t>pay_420002441</t>
  </si>
  <si>
    <t xml:space="preserve">ORD26002555  </t>
  </si>
  <si>
    <t>pay_420002474</t>
  </si>
  <si>
    <t>pay_420002540</t>
  </si>
  <si>
    <t>pay_420002577</t>
  </si>
  <si>
    <t>pay_420002580</t>
  </si>
  <si>
    <t>pay_420002599</t>
  </si>
  <si>
    <t>pay_420002613</t>
  </si>
  <si>
    <t>pay_420002633</t>
  </si>
  <si>
    <t>pay_420002676</t>
  </si>
  <si>
    <t>ORD-26002808</t>
  </si>
  <si>
    <t>pay_420002716</t>
  </si>
  <si>
    <t>pay_420002725</t>
  </si>
  <si>
    <t xml:space="preserve">ORD26002863  </t>
  </si>
  <si>
    <t>pay_420002788</t>
  </si>
  <si>
    <t>pay_420002804</t>
  </si>
  <si>
    <t>pay_420002816</t>
  </si>
  <si>
    <t>ord26002958</t>
  </si>
  <si>
    <t>pay_420002828</t>
  </si>
  <si>
    <t>ord26002970</t>
  </si>
  <si>
    <t>pay_420002833</t>
  </si>
  <si>
    <t>pay_420002839</t>
  </si>
  <si>
    <t>pay_420002842</t>
  </si>
  <si>
    <t>pay_420002870</t>
  </si>
  <si>
    <t>pay_420002895</t>
  </si>
  <si>
    <t xml:space="preserve">ORD26003038  </t>
  </si>
  <si>
    <t>pay_420002921</t>
  </si>
  <si>
    <t>pay_420002951</t>
  </si>
  <si>
    <t>pay_420002982</t>
  </si>
  <si>
    <t>pay_420003022</t>
  </si>
  <si>
    <t>pay_420003034</t>
  </si>
  <si>
    <t>pay_420003058</t>
  </si>
  <si>
    <t>pay_420003076</t>
  </si>
  <si>
    <t>pay_420003131</t>
  </si>
  <si>
    <t>pay_420003135</t>
  </si>
  <si>
    <t>pay_420003176</t>
  </si>
  <si>
    <t>pay_420003178</t>
  </si>
  <si>
    <t>ord26003339</t>
  </si>
  <si>
    <t>pay_420003223</t>
  </si>
  <si>
    <t>pay_420003226</t>
  </si>
  <si>
    <t>pay_420003229</t>
  </si>
  <si>
    <t xml:space="preserve">ORD26003391  </t>
  </si>
  <si>
    <t>pay_420003237</t>
  </si>
  <si>
    <t>pay_420003267</t>
  </si>
  <si>
    <t>pay_420003286</t>
  </si>
  <si>
    <t>pay_420003317</t>
  </si>
  <si>
    <t>pay_420003320</t>
  </si>
  <si>
    <t>pay_420003339</t>
  </si>
  <si>
    <t>pay_420003340</t>
  </si>
  <si>
    <t>pay_420003394</t>
  </si>
  <si>
    <t>pay_420003413</t>
  </si>
  <si>
    <t>pay_420003417</t>
  </si>
  <si>
    <t>pay_420003418</t>
  </si>
  <si>
    <t>pay_420003428</t>
  </si>
  <si>
    <t>ORD-26003597</t>
  </si>
  <si>
    <t>pay_420003499</t>
  </si>
  <si>
    <t>ORD-26003667</t>
  </si>
  <si>
    <t>pay_420003523</t>
  </si>
  <si>
    <t>pay_420003541</t>
  </si>
  <si>
    <t>pay_420003565</t>
  </si>
  <si>
    <t>pay_420003584</t>
  </si>
  <si>
    <t>pay_420003589</t>
  </si>
  <si>
    <t>pay_420003642</t>
  </si>
  <si>
    <t>ord26003814</t>
  </si>
  <si>
    <t>pay_420003645</t>
  </si>
  <si>
    <t>pay_420003647</t>
  </si>
  <si>
    <t>pay_420003690</t>
  </si>
  <si>
    <t>pay_420003699</t>
  </si>
  <si>
    <t>pay_420003723</t>
  </si>
  <si>
    <t>pay_420003726</t>
  </si>
  <si>
    <t>pay_420003738</t>
  </si>
  <si>
    <t>pay_420003774</t>
  </si>
  <si>
    <t>pay_420003776</t>
  </si>
  <si>
    <t>pay_420003796</t>
  </si>
  <si>
    <t>pay_420003821</t>
  </si>
  <si>
    <t>pay_420003861</t>
  </si>
  <si>
    <t>pay_420003865</t>
  </si>
  <si>
    <t>ord26004049</t>
  </si>
  <si>
    <t>pay_420003875</t>
  </si>
  <si>
    <t>pay_420003909</t>
  </si>
  <si>
    <t>pay_420003919</t>
  </si>
  <si>
    <t>ORD-26004103</t>
  </si>
  <si>
    <t>pay_420003922</t>
  </si>
  <si>
    <t>pay_420003926</t>
  </si>
  <si>
    <t>pay_420003963</t>
  </si>
  <si>
    <t>pay_420003971</t>
  </si>
  <si>
    <t>pay_420004022</t>
  </si>
  <si>
    <t>pay_420004060</t>
  </si>
  <si>
    <t>pay_420004100</t>
  </si>
  <si>
    <t>ORD-26004295</t>
  </si>
  <si>
    <t>pay_420004104</t>
  </si>
  <si>
    <t>pay_420004180</t>
  </si>
  <si>
    <t xml:space="preserve">ORD26004374  </t>
  </si>
  <si>
    <t>pay_420004198</t>
  </si>
  <si>
    <t>pay_420004219</t>
  </si>
  <si>
    <t>pay_420004244</t>
  </si>
  <si>
    <t>ord26004443</t>
  </si>
  <si>
    <t>pay_420004281</t>
  </si>
  <si>
    <t>pay_420004332</t>
  </si>
  <si>
    <t xml:space="preserve">ORD26004533  </t>
  </si>
  <si>
    <t>pay_420004355</t>
  </si>
  <si>
    <t>pay_420004382</t>
  </si>
  <si>
    <t>pay_420004417</t>
  </si>
  <si>
    <t>pay_420004479</t>
  </si>
  <si>
    <t>pay_420004507</t>
  </si>
  <si>
    <t>pay_420004510</t>
  </si>
  <si>
    <t>pay_420004518</t>
  </si>
  <si>
    <t>pay_420004539</t>
  </si>
  <si>
    <t>ord26004752</t>
  </si>
  <si>
    <t>pay_420004568</t>
  </si>
  <si>
    <t>pay_420004572</t>
  </si>
  <si>
    <t>pay_420004593</t>
  </si>
  <si>
    <t>pay_420004598</t>
  </si>
  <si>
    <t>pay_420004631</t>
  </si>
  <si>
    <t>pay_420004646</t>
  </si>
  <si>
    <t>pay_420004690</t>
  </si>
  <si>
    <t>pay_420004718</t>
  </si>
  <si>
    <t>pay_420004739</t>
  </si>
  <si>
    <t>pay_420004754</t>
  </si>
  <si>
    <t>pay_420004821</t>
  </si>
  <si>
    <t>ord26005043</t>
  </si>
  <si>
    <t>pay_420004868</t>
  </si>
  <si>
    <t>pay_420004872</t>
  </si>
  <si>
    <t>pay_420004883</t>
  </si>
  <si>
    <t>pay_420005031</t>
  </si>
  <si>
    <t>ord26005268</t>
  </si>
  <si>
    <t>pay_420005047</t>
  </si>
  <si>
    <t>pay_420005052</t>
  </si>
  <si>
    <t>pay_420005087</t>
  </si>
  <si>
    <t>pay_420005116</t>
  </si>
  <si>
    <t>pay_420005142</t>
  </si>
  <si>
    <t>pay_420005164</t>
  </si>
  <si>
    <t>pay_420005185</t>
  </si>
  <si>
    <t xml:space="preserve">ORD26005424  </t>
  </si>
  <si>
    <t>pay_420005261</t>
  </si>
  <si>
    <t>pay_420005276</t>
  </si>
  <si>
    <t>pay_420005316</t>
  </si>
  <si>
    <t>pay_420005374</t>
  </si>
  <si>
    <t>pay_420005406</t>
  </si>
  <si>
    <t>pay_420005438</t>
  </si>
  <si>
    <t>pay_420005481</t>
  </si>
  <si>
    <t>pay_420005482</t>
  </si>
  <si>
    <t>pay_420005577</t>
  </si>
  <si>
    <t xml:space="preserve">ORD26005834  </t>
  </si>
  <si>
    <t>pay_420005583</t>
  </si>
  <si>
    <t>pay_420005621</t>
  </si>
  <si>
    <t>pay_420005632</t>
  </si>
  <si>
    <t>pay_420005672</t>
  </si>
  <si>
    <t>pay_420005688</t>
  </si>
  <si>
    <t>pay_420005703</t>
  </si>
  <si>
    <t>pay_420005707</t>
  </si>
  <si>
    <t>pay_420005724</t>
  </si>
  <si>
    <t>pay_420005726</t>
  </si>
  <si>
    <t>rfnd_AWZ3GU97NFEF</t>
  </si>
  <si>
    <t>rfnd_B6TYZEBJK0WJ</t>
  </si>
  <si>
    <t>rfnd_BTQDFUSAP1SL</t>
  </si>
  <si>
    <t>rfnd_GG6DY8ME8DNU</t>
  </si>
  <si>
    <t>rfnd_HN38TSPNM3C2</t>
  </si>
  <si>
    <t>rfnd_J6518LRY2N5E</t>
  </si>
  <si>
    <t>rfnd_R5Q8NA35D18W</t>
  </si>
  <si>
    <t>rfnd_R6D8PLDQERE7</t>
  </si>
  <si>
    <t>rfnd_RPT2YW6GMY9L</t>
  </si>
  <si>
    <t>rfnd_WVL7R3FFZL2Y</t>
  </si>
  <si>
    <t>rfnd_Z7JY8EX5U8ET</t>
  </si>
  <si>
    <t>pay_420000033</t>
  </si>
  <si>
    <t>pay_420000080</t>
  </si>
  <si>
    <t>pay_420000130</t>
  </si>
  <si>
    <t>ord26000139</t>
  </si>
  <si>
    <t>pay_420000143</t>
  </si>
  <si>
    <t>pay_420000179</t>
  </si>
  <si>
    <t>pay_420000199</t>
  </si>
  <si>
    <t>ord26000214</t>
  </si>
  <si>
    <t>pay_420000224</t>
  </si>
  <si>
    <t xml:space="preserve">ORD26000239  </t>
  </si>
  <si>
    <t>pay_420000245</t>
  </si>
  <si>
    <t>pay_420000261</t>
  </si>
  <si>
    <t>pay_420000272</t>
  </si>
  <si>
    <t>ORD-26000290</t>
  </si>
  <si>
    <t>pay_420000274</t>
  </si>
  <si>
    <t>ord26000292</t>
  </si>
  <si>
    <t>pay_420000379</t>
  </si>
  <si>
    <t>ord26000397</t>
  </si>
  <si>
    <t>pay_420000462</t>
  </si>
  <si>
    <t>pay_420000463</t>
  </si>
  <si>
    <t>pay_420000506</t>
  </si>
  <si>
    <t>pay_420000507</t>
  </si>
  <si>
    <t>pay_420000557</t>
  </si>
  <si>
    <t>pay_420000571</t>
  </si>
  <si>
    <t>pay_420000638</t>
  </si>
  <si>
    <t>pay_420000651</t>
  </si>
  <si>
    <t>pay_420000661</t>
  </si>
  <si>
    <t>pay_420000673</t>
  </si>
  <si>
    <t>pay_420000677</t>
  </si>
  <si>
    <t>pay_420000683</t>
  </si>
  <si>
    <t>ord26000713</t>
  </si>
  <si>
    <t>pay_420000719</t>
  </si>
  <si>
    <t>pay_420000726</t>
  </si>
  <si>
    <t>pay_420000738</t>
  </si>
  <si>
    <t>pay_420000784</t>
  </si>
  <si>
    <t>pay_420000885</t>
  </si>
  <si>
    <t>pay_420000897</t>
  </si>
  <si>
    <t>pay_420000913</t>
  </si>
  <si>
    <t>pay_420000925</t>
  </si>
  <si>
    <t>pay_420001063</t>
  </si>
  <si>
    <t>pay_420001099</t>
  </si>
  <si>
    <t>pay_420001109</t>
  </si>
  <si>
    <t>pay_420001129</t>
  </si>
  <si>
    <t>ord26001178</t>
  </si>
  <si>
    <t>pay_420001134</t>
  </si>
  <si>
    <t>pay_420001154</t>
  </si>
  <si>
    <t>ord26001203</t>
  </si>
  <si>
    <t>pay_420001161</t>
  </si>
  <si>
    <t>pay_420001169</t>
  </si>
  <si>
    <t>pay_420001196</t>
  </si>
  <si>
    <t>pay_420001228</t>
  </si>
  <si>
    <t>pay_420001245</t>
  </si>
  <si>
    <t>pay_420001247</t>
  </si>
  <si>
    <t>pay_420001322</t>
  </si>
  <si>
    <t>pay_420001464</t>
  </si>
  <si>
    <t>pay_420001475</t>
  </si>
  <si>
    <t>pay_420001501</t>
  </si>
  <si>
    <t>pay_420001504</t>
  </si>
  <si>
    <t>pay_420001537</t>
  </si>
  <si>
    <t>pay_420001573</t>
  </si>
  <si>
    <t>pay_420001604</t>
  </si>
  <si>
    <t>pay_420001614</t>
  </si>
  <si>
    <t>ord26001689</t>
  </si>
  <si>
    <t>pay_420001653</t>
  </si>
  <si>
    <t>pay_420001685</t>
  </si>
  <si>
    <t>pay_420001715</t>
  </si>
  <si>
    <t>pay_420001754</t>
  </si>
  <si>
    <t>pay_420001757</t>
  </si>
  <si>
    <t xml:space="preserve">ORD26001839  </t>
  </si>
  <si>
    <t>pay_420001761</t>
  </si>
  <si>
    <t>pay_420001782</t>
  </si>
  <si>
    <t>pay_420001787</t>
  </si>
  <si>
    <t>pay_420001810</t>
  </si>
  <si>
    <t>pay_420001820</t>
  </si>
  <si>
    <t>ord26001902</t>
  </si>
  <si>
    <t>pay_420001831</t>
  </si>
  <si>
    <t>pay_420001833</t>
  </si>
  <si>
    <t xml:space="preserve">ORD26001916  </t>
  </si>
  <si>
    <t>pay_420001837</t>
  </si>
  <si>
    <t>pay_420001850</t>
  </si>
  <si>
    <t>pay_420001859</t>
  </si>
  <si>
    <t>pay_420001863</t>
  </si>
  <si>
    <t>pay_420001872</t>
  </si>
  <si>
    <t>ord26001960</t>
  </si>
  <si>
    <t>pay_420001965</t>
  </si>
  <si>
    <t>pay_420001969</t>
  </si>
  <si>
    <t>ord26002064</t>
  </si>
  <si>
    <t>pay_420002004</t>
  </si>
  <si>
    <t>pay_420002102</t>
  </si>
  <si>
    <t>pay_420002117</t>
  </si>
  <si>
    <t>pay_420002121</t>
  </si>
  <si>
    <t>pay_420002152</t>
  </si>
  <si>
    <t>pay_420002226</t>
  </si>
  <si>
    <t>pay_420002282</t>
  </si>
  <si>
    <t>pay_420002299</t>
  </si>
  <si>
    <t>ORD-26002412</t>
  </si>
  <si>
    <t>pay_420002324</t>
  </si>
  <si>
    <t>ord26002436</t>
  </si>
  <si>
    <t>pay_420002398</t>
  </si>
  <si>
    <t>pay_420002405</t>
  </si>
  <si>
    <t>pay_420002431</t>
  </si>
  <si>
    <t>ord26002543</t>
  </si>
  <si>
    <t>pay_420002447</t>
  </si>
  <si>
    <t>pay_420002470</t>
  </si>
  <si>
    <t>ord26002585</t>
  </si>
  <si>
    <t>pay_420002475</t>
  </si>
  <si>
    <t>pay_420002525</t>
  </si>
  <si>
    <t>pay_420002551</t>
  </si>
  <si>
    <t>pay_420002789</t>
  </si>
  <si>
    <t>pay_420002825</t>
  </si>
  <si>
    <t>pay_420002858</t>
  </si>
  <si>
    <t>pay_420002900</t>
  </si>
  <si>
    <t>pay_420002916</t>
  </si>
  <si>
    <t>pay_420002929</t>
  </si>
  <si>
    <t>pay_420002935</t>
  </si>
  <si>
    <t>pay_420002940</t>
  </si>
  <si>
    <t>pay_420002981</t>
  </si>
  <si>
    <t>pay_420002985</t>
  </si>
  <si>
    <t>pay_420003001</t>
  </si>
  <si>
    <t>pay_420003005</t>
  </si>
  <si>
    <t>pay_420003074</t>
  </si>
  <si>
    <t>pay_420003091</t>
  </si>
  <si>
    <t>pay_420003102</t>
  </si>
  <si>
    <t>pay_420003207</t>
  </si>
  <si>
    <t>pay_420003236</t>
  </si>
  <si>
    <t>pay_420003272</t>
  </si>
  <si>
    <t>pay_420003276</t>
  </si>
  <si>
    <t>pay_420003318</t>
  </si>
  <si>
    <t>pay_420003350</t>
  </si>
  <si>
    <t>pay_420003356</t>
  </si>
  <si>
    <t>pay_420003422</t>
  </si>
  <si>
    <t>pay_420003425</t>
  </si>
  <si>
    <t>pay_420003438</t>
  </si>
  <si>
    <t>pay_420003439</t>
  </si>
  <si>
    <t>pay_420003461</t>
  </si>
  <si>
    <t>pay_420003465</t>
  </si>
  <si>
    <t>pay_420003522</t>
  </si>
  <si>
    <t>ord26003693</t>
  </si>
  <si>
    <t>pay_420003526</t>
  </si>
  <si>
    <t>pay_420003560</t>
  </si>
  <si>
    <t>pay_420003566</t>
  </si>
  <si>
    <t>pay_420003625</t>
  </si>
  <si>
    <t>pay_420003730</t>
  </si>
  <si>
    <t>pay_420003731</t>
  </si>
  <si>
    <t>pay_420003733</t>
  </si>
  <si>
    <t>ord26003905</t>
  </si>
  <si>
    <t>pay_420003781</t>
  </si>
  <si>
    <t>pay_420003790</t>
  </si>
  <si>
    <t>pay_420003791</t>
  </si>
  <si>
    <t>pay_420003812</t>
  </si>
  <si>
    <t>pay_420003866</t>
  </si>
  <si>
    <t>pay_420003897</t>
  </si>
  <si>
    <t>pay_420003924</t>
  </si>
  <si>
    <t>pay_420003949</t>
  </si>
  <si>
    <t>pay_420003969</t>
  </si>
  <si>
    <t>pay_420003976</t>
  </si>
  <si>
    <t>pay_420003998</t>
  </si>
  <si>
    <t xml:space="preserve">ORD26004185  </t>
  </si>
  <si>
    <t>pay_420004026</t>
  </si>
  <si>
    <t>pay_420004048</t>
  </si>
  <si>
    <t>pay_420004121</t>
  </si>
  <si>
    <t>pay_420004159</t>
  </si>
  <si>
    <t>pay_420004162</t>
  </si>
  <si>
    <t>pay_420004187</t>
  </si>
  <si>
    <t>ord26004382</t>
  </si>
  <si>
    <t>pay_420004215</t>
  </si>
  <si>
    <t>pay_420004264</t>
  </si>
  <si>
    <t>ord26004464</t>
  </si>
  <si>
    <t>pay_420004301</t>
  </si>
  <si>
    <t>pay_420004303</t>
  </si>
  <si>
    <t>pay_420004429</t>
  </si>
  <si>
    <t xml:space="preserve">ORD26004636  </t>
  </si>
  <si>
    <t>pay_420004438</t>
  </si>
  <si>
    <t>pay_420004519</t>
  </si>
  <si>
    <t>pay_420004557</t>
  </si>
  <si>
    <t>pay_420004698</t>
  </si>
  <si>
    <t>pay_420004732</t>
  </si>
  <si>
    <t>pay_420004767</t>
  </si>
  <si>
    <t>pay_420004786</t>
  </si>
  <si>
    <t>pay_420004807</t>
  </si>
  <si>
    <t>pay_420004828</t>
  </si>
  <si>
    <t>pay_420004854</t>
  </si>
  <si>
    <t>pay_420004861</t>
  </si>
  <si>
    <t>pay_420004898</t>
  </si>
  <si>
    <t>pay_420004907</t>
  </si>
  <si>
    <t>pay_420004939</t>
  </si>
  <si>
    <t>pay_420004969</t>
  </si>
  <si>
    <t>pay_420004970</t>
  </si>
  <si>
    <t>pay_420004990</t>
  </si>
  <si>
    <t>pay_420004999</t>
  </si>
  <si>
    <t>pay_420005026</t>
  </si>
  <si>
    <t xml:space="preserve">ORD26005263  </t>
  </si>
  <si>
    <t>pay_420005064</t>
  </si>
  <si>
    <t>pay_420005085</t>
  </si>
  <si>
    <t>pay_420005099</t>
  </si>
  <si>
    <t>pay_420005122</t>
  </si>
  <si>
    <t>pay_420005160</t>
  </si>
  <si>
    <t>pay_420005208</t>
  </si>
  <si>
    <t>pay_420005252</t>
  </si>
  <si>
    <t>pay_420005279</t>
  </si>
  <si>
    <t>pay_420005291</t>
  </si>
  <si>
    <t xml:space="preserve">ORD26005529  </t>
  </si>
  <si>
    <t>pay_420005320</t>
  </si>
  <si>
    <t>pay_420005327</t>
  </si>
  <si>
    <t>pay_420005362</t>
  </si>
  <si>
    <t>pay_420005371</t>
  </si>
  <si>
    <t>pay_420005419</t>
  </si>
  <si>
    <t>pay_420005423</t>
  </si>
  <si>
    <t>pay_420005451</t>
  </si>
  <si>
    <t>pay_420005459</t>
  </si>
  <si>
    <t>pay_420005530</t>
  </si>
  <si>
    <t>pay_420005534</t>
  </si>
  <si>
    <t xml:space="preserve">ORD26005788  </t>
  </si>
  <si>
    <t>pay_420005541</t>
  </si>
  <si>
    <t>pay_420005563</t>
  </si>
  <si>
    <t>ord26005817</t>
  </si>
  <si>
    <t>pay_420005590</t>
  </si>
  <si>
    <t>pay_420005628</t>
  </si>
  <si>
    <t>pay_420005661</t>
  </si>
  <si>
    <t>pay_420005687</t>
  </si>
  <si>
    <t>pay_420005693</t>
  </si>
  <si>
    <t>ord26005959</t>
  </si>
  <si>
    <t>pay_420005708</t>
  </si>
  <si>
    <t>pay_420005722</t>
  </si>
  <si>
    <t>rfnd_2HXLGS6S6SD8</t>
  </si>
  <si>
    <t>rfnd_31FFVPWC0J3E</t>
  </si>
  <si>
    <t>rfnd_J8JZA3G6ZQDA</t>
  </si>
  <si>
    <t>rfnd_SF03K65LSR7E</t>
  </si>
  <si>
    <t>rfnd_T98X3H4M0SFN</t>
  </si>
  <si>
    <t>rfnd_VENLW78VDUL2</t>
  </si>
  <si>
    <t>rfnd_WTGENESU57QB</t>
  </si>
  <si>
    <t>rfnd_ZFEPNHMXKMMK</t>
  </si>
  <si>
    <t>rfnd_ZV0YMYZQ4RXJ</t>
  </si>
  <si>
    <t>pay_420000010</t>
  </si>
  <si>
    <t>pay_420000029</t>
  </si>
  <si>
    <t>pay_420000039</t>
  </si>
  <si>
    <t>pay_420000045</t>
  </si>
  <si>
    <t>pay_420000069</t>
  </si>
  <si>
    <t>pay_420000114</t>
  </si>
  <si>
    <t>ord26000123</t>
  </si>
  <si>
    <t>pay_420000118</t>
  </si>
  <si>
    <t>pay_420000125</t>
  </si>
  <si>
    <t>pay_420000172</t>
  </si>
  <si>
    <t xml:space="preserve">ORD26000186  </t>
  </si>
  <si>
    <t>pay_420000177</t>
  </si>
  <si>
    <t>pay_420000198</t>
  </si>
  <si>
    <t>pay_420000262</t>
  </si>
  <si>
    <t>pay_420000273</t>
  </si>
  <si>
    <t>pay_420000282</t>
  </si>
  <si>
    <t>pay_420000309</t>
  </si>
  <si>
    <t>ord26000324</t>
  </si>
  <si>
    <t>pay_420000313</t>
  </si>
  <si>
    <t>ORD-26000327</t>
  </si>
  <si>
    <t>pay_420000318</t>
  </si>
  <si>
    <t>pay_420000322</t>
  </si>
  <si>
    <t>pay_420000325</t>
  </si>
  <si>
    <t>pay_420000347</t>
  </si>
  <si>
    <t>pay_420000386</t>
  </si>
  <si>
    <t>pay_420000431</t>
  </si>
  <si>
    <t>pay_420000448</t>
  </si>
  <si>
    <t>pay_420000579</t>
  </si>
  <si>
    <t>ord26000600</t>
  </si>
  <si>
    <t>pay_420000646</t>
  </si>
  <si>
    <t>pay_420000665</t>
  </si>
  <si>
    <t>pay_420000734</t>
  </si>
  <si>
    <t>pay_420000743</t>
  </si>
  <si>
    <t>pay_420000836</t>
  </si>
  <si>
    <t>pay_420000855</t>
  </si>
  <si>
    <t>ord26000890</t>
  </si>
  <si>
    <t>pay_420000955</t>
  </si>
  <si>
    <t>pay_420000966</t>
  </si>
  <si>
    <t>pay_420000976</t>
  </si>
  <si>
    <t>pay_420000982</t>
  </si>
  <si>
    <t>pay_420001009</t>
  </si>
  <si>
    <t>pay_420001028</t>
  </si>
  <si>
    <t>pay_420001112</t>
  </si>
  <si>
    <t>pay_420001116</t>
  </si>
  <si>
    <t>ORD-26001165</t>
  </si>
  <si>
    <t>pay_420001124</t>
  </si>
  <si>
    <t>pay_420001126</t>
  </si>
  <si>
    <t>pay_420001135</t>
  </si>
  <si>
    <t>pay_420001225</t>
  </si>
  <si>
    <t>pay_420001253</t>
  </si>
  <si>
    <t>pay_420001264</t>
  </si>
  <si>
    <t>pay_420001273</t>
  </si>
  <si>
    <t>pay_420001278</t>
  </si>
  <si>
    <t>pay_420001303</t>
  </si>
  <si>
    <t>pay_420001327</t>
  </si>
  <si>
    <t>pay_420001373</t>
  </si>
  <si>
    <t>pay_420001434</t>
  </si>
  <si>
    <t>pay_420001470</t>
  </si>
  <si>
    <t>pay_420001489</t>
  </si>
  <si>
    <t>pay_420001494</t>
  </si>
  <si>
    <t>pay_420001516</t>
  </si>
  <si>
    <t>pay_420001523</t>
  </si>
  <si>
    <t>pay_420001575</t>
  </si>
  <si>
    <t>ord26001646</t>
  </si>
  <si>
    <t>pay_420001637</t>
  </si>
  <si>
    <t>pay_420001641</t>
  </si>
  <si>
    <t>pay_420001670</t>
  </si>
  <si>
    <t>pay_420001683</t>
  </si>
  <si>
    <t>pay_420001691</t>
  </si>
  <si>
    <t>pay_420001869</t>
  </si>
  <si>
    <t>pay_420001870</t>
  </si>
  <si>
    <t>ord26001958</t>
  </si>
  <si>
    <t>pay_420001885</t>
  </si>
  <si>
    <t>pay_420001889</t>
  </si>
  <si>
    <t>pay_420001899</t>
  </si>
  <si>
    <t>pay_420001950</t>
  </si>
  <si>
    <t>pay_420001957</t>
  </si>
  <si>
    <t>pay_420001972</t>
  </si>
  <si>
    <t>pay_420001982</t>
  </si>
  <si>
    <t>pay_420002000</t>
  </si>
  <si>
    <t>pay_420002040</t>
  </si>
  <si>
    <t>pay_420002061</t>
  </si>
  <si>
    <t>pay_420002159</t>
  </si>
  <si>
    <t>pay_420002264</t>
  </si>
  <si>
    <t>pay_420002323</t>
  </si>
  <si>
    <t>pay_420002353</t>
  </si>
  <si>
    <t>ord26002465</t>
  </si>
  <si>
    <t>pay_420002376</t>
  </si>
  <si>
    <t>pay_420002404</t>
  </si>
  <si>
    <t>pay_420002424</t>
  </si>
  <si>
    <t>pay_420002472</t>
  </si>
  <si>
    <t xml:space="preserve">ORD26002587  </t>
  </si>
  <si>
    <t>pay_420002485</t>
  </si>
  <si>
    <t>pay_420002500</t>
  </si>
  <si>
    <t>pay_420002502</t>
  </si>
  <si>
    <t>ord26002622</t>
  </si>
  <si>
    <t>pay_420002531</t>
  </si>
  <si>
    <t>pay_420002543</t>
  </si>
  <si>
    <t>pay_420002563</t>
  </si>
  <si>
    <t>pay_420002595</t>
  </si>
  <si>
    <t>pay_420002642</t>
  </si>
  <si>
    <t>pay_420002646</t>
  </si>
  <si>
    <t>pay_420002656</t>
  </si>
  <si>
    <t>pay_420002738</t>
  </si>
  <si>
    <t>pay_420002739</t>
  </si>
  <si>
    <t>pay_420002793</t>
  </si>
  <si>
    <t>pay_420002831</t>
  </si>
  <si>
    <t>pay_420002874</t>
  </si>
  <si>
    <t>pay_420002975</t>
  </si>
  <si>
    <t>pay_420003104</t>
  </si>
  <si>
    <t>pay_420003121</t>
  </si>
  <si>
    <t>pay_420003123</t>
  </si>
  <si>
    <t>pay_420003134</t>
  </si>
  <si>
    <t>pay_420003156</t>
  </si>
  <si>
    <t>pay_420003240</t>
  </si>
  <si>
    <t>pay_420003243</t>
  </si>
  <si>
    <t>pay_420003250</t>
  </si>
  <si>
    <t>pay_420003262</t>
  </si>
  <si>
    <t>ord26003430</t>
  </si>
  <si>
    <t>pay_420003263</t>
  </si>
  <si>
    <t>ORD-26003431</t>
  </si>
  <si>
    <t>pay_420003288</t>
  </si>
  <si>
    <t>pay_420003307</t>
  </si>
  <si>
    <t>ord26003470</t>
  </si>
  <si>
    <t>pay_420003332</t>
  </si>
  <si>
    <t>pay_420003333</t>
  </si>
  <si>
    <t>pay_420003341</t>
  </si>
  <si>
    <t>pay_420003421</t>
  </si>
  <si>
    <t>pay_420003454</t>
  </si>
  <si>
    <t>ord26003622</t>
  </si>
  <si>
    <t>pay_420003469</t>
  </si>
  <si>
    <t>pay_420003474</t>
  </si>
  <si>
    <t>pay_420003475</t>
  </si>
  <si>
    <t>pay_420003477</t>
  </si>
  <si>
    <t>pay_420003485</t>
  </si>
  <si>
    <t xml:space="preserve">ORD26003653  </t>
  </si>
  <si>
    <t>pay_420003590</t>
  </si>
  <si>
    <t>pay_420003599</t>
  </si>
  <si>
    <t>ord26003768</t>
  </si>
  <si>
    <t>pay_420003675</t>
  </si>
  <si>
    <t>pay_420003689</t>
  </si>
  <si>
    <t>pay_420003701</t>
  </si>
  <si>
    <t>pay_420003768</t>
  </si>
  <si>
    <t>pay_420003777</t>
  </si>
  <si>
    <t>pay_420003783</t>
  </si>
  <si>
    <t>pay_420003836</t>
  </si>
  <si>
    <t>pay_420003987</t>
  </si>
  <si>
    <t>pay_420004000</t>
  </si>
  <si>
    <t>pay_420004009</t>
  </si>
  <si>
    <t>pay_420004034</t>
  </si>
  <si>
    <t>pay_420004132</t>
  </si>
  <si>
    <t>pay_420004192</t>
  </si>
  <si>
    <t>pay_420004197</t>
  </si>
  <si>
    <t>pay_420004203</t>
  </si>
  <si>
    <t>pay_420004236</t>
  </si>
  <si>
    <t>pay_420004278</t>
  </si>
  <si>
    <t>pay_420004292</t>
  </si>
  <si>
    <t>pay_420004334</t>
  </si>
  <si>
    <t>pay_420004339</t>
  </si>
  <si>
    <t xml:space="preserve">ORD26004540  </t>
  </si>
  <si>
    <t>pay_420004340</t>
  </si>
  <si>
    <t>pay_420004343</t>
  </si>
  <si>
    <t>pay_420004381</t>
  </si>
  <si>
    <t>pay_420004396</t>
  </si>
  <si>
    <t>ord26004600</t>
  </si>
  <si>
    <t>pay_420004473</t>
  </si>
  <si>
    <t>pay_420004475</t>
  </si>
  <si>
    <t>pay_420004478</t>
  </si>
  <si>
    <t>pay_420004480</t>
  </si>
  <si>
    <t>pay_420004502</t>
  </si>
  <si>
    <t>pay_420004556</t>
  </si>
  <si>
    <t>pay_420004570</t>
  </si>
  <si>
    <t>pay_420004591</t>
  </si>
  <si>
    <t xml:space="preserve">ORD26004804  </t>
  </si>
  <si>
    <t>pay_420004642</t>
  </si>
  <si>
    <t xml:space="preserve">ORD26004859  </t>
  </si>
  <si>
    <t>pay_420004643</t>
  </si>
  <si>
    <t>ORD-26004860</t>
  </si>
  <si>
    <t>pay_420004714</t>
  </si>
  <si>
    <t>ORD-26004935</t>
  </si>
  <si>
    <t>pay_420004723</t>
  </si>
  <si>
    <t>pay_420004761</t>
  </si>
  <si>
    <t>pay_420004766</t>
  </si>
  <si>
    <t>pay_420004782</t>
  </si>
  <si>
    <t>pay_420004795</t>
  </si>
  <si>
    <t>pay_420004833</t>
  </si>
  <si>
    <t>pay_420004894</t>
  </si>
  <si>
    <t>pay_420004909</t>
  </si>
  <si>
    <t>pay_420004910</t>
  </si>
  <si>
    <t>pay_420004913</t>
  </si>
  <si>
    <t>pay_420004952</t>
  </si>
  <si>
    <t>pay_420004959</t>
  </si>
  <si>
    <t>pay_420004971</t>
  </si>
  <si>
    <t>ORD-26005204</t>
  </si>
  <si>
    <t>pay_420005138</t>
  </si>
  <si>
    <t>pay_420005143</t>
  </si>
  <si>
    <t>pay_420005158</t>
  </si>
  <si>
    <t>pay_420005168</t>
  </si>
  <si>
    <t>pay_420005240</t>
  </si>
  <si>
    <t>pay_420005241</t>
  </si>
  <si>
    <t>pay_420005264</t>
  </si>
  <si>
    <t>pay_420005312</t>
  </si>
  <si>
    <t>pay_420005375</t>
  </si>
  <si>
    <t>pay_420005445</t>
  </si>
  <si>
    <t>pay_420005450</t>
  </si>
  <si>
    <t>pay_420005454</t>
  </si>
  <si>
    <t>pay_420005491</t>
  </si>
  <si>
    <t>pay_420005496</t>
  </si>
  <si>
    <t xml:space="preserve">ORD26005745  </t>
  </si>
  <si>
    <t>pay_420005497</t>
  </si>
  <si>
    <t>pay_420005538</t>
  </si>
  <si>
    <t>pay_420005629</t>
  </si>
  <si>
    <t>ord26005891</t>
  </si>
  <si>
    <t>pay_420005644</t>
  </si>
  <si>
    <t>pay_420005686</t>
  </si>
  <si>
    <t>pay_420005696</t>
  </si>
  <si>
    <t>pay_420005706</t>
  </si>
  <si>
    <t>rfnd_0FQ8DP5Y8WXH</t>
  </si>
  <si>
    <t>rfnd_8EEQ9L6NMKGE</t>
  </si>
  <si>
    <t>rfnd_BR8NXJ8J1QMM</t>
  </si>
  <si>
    <t>rfnd_C3XXHQEYF3EU</t>
  </si>
  <si>
    <t>rfnd_DNKW7XC797EA</t>
  </si>
  <si>
    <t>rfnd_G2XCBQZ15VQ1</t>
  </si>
  <si>
    <t>rfnd_NCWXH6N00P85</t>
  </si>
  <si>
    <t>rfnd_NECKA5F98YPV</t>
  </si>
  <si>
    <t>rfnd_NHDBE7T8TKKR</t>
  </si>
  <si>
    <t>rfnd_SEC45LMN7WT7</t>
  </si>
  <si>
    <t>rfnd_XYZ6H2CJWLSH</t>
  </si>
  <si>
    <t>rfnd_YH6SF76HZ9Z5</t>
  </si>
  <si>
    <t>rfnd_YQ834YQD8GCS</t>
  </si>
  <si>
    <t>pay_420000074</t>
  </si>
  <si>
    <t xml:space="preserve">ORD26000076  </t>
  </si>
  <si>
    <t>pay_420000163</t>
  </si>
  <si>
    <t>pay_420000174</t>
  </si>
  <si>
    <t>pay_420000277</t>
  </si>
  <si>
    <t>ord26000294</t>
  </si>
  <si>
    <t>pay_420000388</t>
  </si>
  <si>
    <t>pay_420000436</t>
  </si>
  <si>
    <t>pay_420000466</t>
  </si>
  <si>
    <t>pay_420000502</t>
  </si>
  <si>
    <t xml:space="preserve">ORD26000524  </t>
  </si>
  <si>
    <t>pay_420000510</t>
  </si>
  <si>
    <t>pay_420000511</t>
  </si>
  <si>
    <t>pay_420000572</t>
  </si>
  <si>
    <t>pay_420000633</t>
  </si>
  <si>
    <t>pay_420000641</t>
  </si>
  <si>
    <t>pay_420000655</t>
  </si>
  <si>
    <t>pay_420000706</t>
  </si>
  <si>
    <t>pay_420000707</t>
  </si>
  <si>
    <t>pay_420000750</t>
  </si>
  <si>
    <t>pay_420000831</t>
  </si>
  <si>
    <t>pay_420000868</t>
  </si>
  <si>
    <t>pay_420000878</t>
  </si>
  <si>
    <t>pay_420000911</t>
  </si>
  <si>
    <t>pay_420000933</t>
  </si>
  <si>
    <t>pay_420000948</t>
  </si>
  <si>
    <t>pay_420000962</t>
  </si>
  <si>
    <t>pay_420000963</t>
  </si>
  <si>
    <t>pay_420001007</t>
  </si>
  <si>
    <t>pay_420001054</t>
  </si>
  <si>
    <t>pay_420001065</t>
  </si>
  <si>
    <t>pay_420001072</t>
  </si>
  <si>
    <t>pay_420001082</t>
  </si>
  <si>
    <t>pay_420001101</t>
  </si>
  <si>
    <t>pay_420001117</t>
  </si>
  <si>
    <t>pay_420001142</t>
  </si>
  <si>
    <t>pay_420001145</t>
  </si>
  <si>
    <t>pay_420001202</t>
  </si>
  <si>
    <t>pay_420001216</t>
  </si>
  <si>
    <t>pay_420001218</t>
  </si>
  <si>
    <t>pay_420001238</t>
  </si>
  <si>
    <t>pay_420001261</t>
  </si>
  <si>
    <t>pay_420001274</t>
  </si>
  <si>
    <t>pay_420001292</t>
  </si>
  <si>
    <t>ord26001353</t>
  </si>
  <si>
    <t>pay_420001328</t>
  </si>
  <si>
    <t>pay_420001389</t>
  </si>
  <si>
    <t>pay_420001454</t>
  </si>
  <si>
    <t>pay_420001456</t>
  </si>
  <si>
    <t>pay_420001536</t>
  </si>
  <si>
    <t>pay_420001603</t>
  </si>
  <si>
    <t>pay_420001605</t>
  </si>
  <si>
    <t>ORD-26001680</t>
  </si>
  <si>
    <t>pay_420001658</t>
  </si>
  <si>
    <t>pay_420001723</t>
  </si>
  <si>
    <t>pay_420001745</t>
  </si>
  <si>
    <t>pay_420001783</t>
  </si>
  <si>
    <t>pay_420001812</t>
  </si>
  <si>
    <t>pay_420001854</t>
  </si>
  <si>
    <t>pay_420001893</t>
  </si>
  <si>
    <t>pay_420001906</t>
  </si>
  <si>
    <t>pay_420001928</t>
  </si>
  <si>
    <t>pay_420001942</t>
  </si>
  <si>
    <t>pay_420001973</t>
  </si>
  <si>
    <t>pay_420001974</t>
  </si>
  <si>
    <t>ord26002068</t>
  </si>
  <si>
    <t>pay_420002111</t>
  </si>
  <si>
    <t>pay_420002151</t>
  </si>
  <si>
    <t>pay_420002178</t>
  </si>
  <si>
    <t>pay_420002185</t>
  </si>
  <si>
    <t>pay_420002236</t>
  </si>
  <si>
    <t>pay_420002241</t>
  </si>
  <si>
    <t>ord26002345</t>
  </si>
  <si>
    <t>pay_420002253</t>
  </si>
  <si>
    <t>pay_420002301</t>
  </si>
  <si>
    <t>pay_420002348</t>
  </si>
  <si>
    <t>pay_420002362</t>
  </si>
  <si>
    <t>pay_420002372</t>
  </si>
  <si>
    <t>pay_420002407</t>
  </si>
  <si>
    <t>pay_420002420</t>
  </si>
  <si>
    <t>pay_420002455</t>
  </si>
  <si>
    <t>pay_420002493</t>
  </si>
  <si>
    <t>pay_420002587</t>
  </si>
  <si>
    <t>pay_420002608</t>
  </si>
  <si>
    <t>pay_420002652</t>
  </si>
  <si>
    <t>pay_420002666</t>
  </si>
  <si>
    <t>pay_420002679</t>
  </si>
  <si>
    <t>pay_420002713</t>
  </si>
  <si>
    <t>pay_420002753</t>
  </si>
  <si>
    <t>pay_420002760</t>
  </si>
  <si>
    <t>pay_420002761</t>
  </si>
  <si>
    <t>pay_420002796</t>
  </si>
  <si>
    <t>ord26002938</t>
  </si>
  <si>
    <t>pay_420002803</t>
  </si>
  <si>
    <t>pay_420002809</t>
  </si>
  <si>
    <t>pay_420002864</t>
  </si>
  <si>
    <t>pay_420002872</t>
  </si>
  <si>
    <t>pay_420002925</t>
  </si>
  <si>
    <t>ord26003068</t>
  </si>
  <si>
    <t>pay_420002969</t>
  </si>
  <si>
    <t>pay_420002999</t>
  </si>
  <si>
    <t>pay_420003021</t>
  </si>
  <si>
    <t>pay_420003051</t>
  </si>
  <si>
    <t xml:space="preserve">ORD26003203  </t>
  </si>
  <si>
    <t>pay_420003071</t>
  </si>
  <si>
    <t>pay_420003185</t>
  </si>
  <si>
    <t>pay_420003195</t>
  </si>
  <si>
    <t>pay_420003248</t>
  </si>
  <si>
    <t>pay_420003305</t>
  </si>
  <si>
    <t>pay_420003329</t>
  </si>
  <si>
    <t>pay_420003348</t>
  </si>
  <si>
    <t>pay_420003353</t>
  </si>
  <si>
    <t>pay_420003388</t>
  </si>
  <si>
    <t>pay_420003405</t>
  </si>
  <si>
    <t>pay_420003423</t>
  </si>
  <si>
    <t>pay_420003432</t>
  </si>
  <si>
    <t>pay_420003455</t>
  </si>
  <si>
    <t>pay_420003483</t>
  </si>
  <si>
    <t>pay_420003540</t>
  </si>
  <si>
    <t>pay_420003778</t>
  </si>
  <si>
    <t>pay_420003787</t>
  </si>
  <si>
    <t>pay_420003857</t>
  </si>
  <si>
    <t>pay_420003867</t>
  </si>
  <si>
    <t>pay_420003869</t>
  </si>
  <si>
    <t>pay_420003888</t>
  </si>
  <si>
    <t>pay_420004015</t>
  </si>
  <si>
    <t>pay_420004027</t>
  </si>
  <si>
    <t>pay_420004046</t>
  </si>
  <si>
    <t>pay_420004064</t>
  </si>
  <si>
    <t xml:space="preserve">ORD26004256  </t>
  </si>
  <si>
    <t>pay_420004087</t>
  </si>
  <si>
    <t>pay_420004144</t>
  </si>
  <si>
    <t>pay_420004183</t>
  </si>
  <si>
    <t>pay_420004199</t>
  </si>
  <si>
    <t>pay_420004261</t>
  </si>
  <si>
    <t>pay_420004279</t>
  </si>
  <si>
    <t>pay_420004310</t>
  </si>
  <si>
    <t>pay_420004320</t>
  </si>
  <si>
    <t>pay_420004335</t>
  </si>
  <si>
    <t>pay_420004341</t>
  </si>
  <si>
    <t>pay_420004437</t>
  </si>
  <si>
    <t>pay_420004469</t>
  </si>
  <si>
    <t>pay_420004592</t>
  </si>
  <si>
    <t>ord26004805</t>
  </si>
  <si>
    <t>pay_420004605</t>
  </si>
  <si>
    <t>pay_420004656</t>
  </si>
  <si>
    <t>ord26004876</t>
  </si>
  <si>
    <t>pay_420004664</t>
  </si>
  <si>
    <t>pay_420004689</t>
  </si>
  <si>
    <t>pay_420004729</t>
  </si>
  <si>
    <t>pay_420004808</t>
  </si>
  <si>
    <t>ord26005031</t>
  </si>
  <si>
    <t>pay_420004831</t>
  </si>
  <si>
    <t>pay_420004987</t>
  </si>
  <si>
    <t>pay_420005019</t>
  </si>
  <si>
    <t>ord26005255</t>
  </si>
  <si>
    <t>pay_420005041</t>
  </si>
  <si>
    <t>pay_420005048</t>
  </si>
  <si>
    <t xml:space="preserve">ORD26005286  </t>
  </si>
  <si>
    <t>pay_420005091</t>
  </si>
  <si>
    <t>pay_420005126</t>
  </si>
  <si>
    <t>pay_420005134</t>
  </si>
  <si>
    <t>pay_420005157</t>
  </si>
  <si>
    <t>pay_420005161</t>
  </si>
  <si>
    <t>pay_420005179</t>
  </si>
  <si>
    <t>pay_420005239</t>
  </si>
  <si>
    <t>ord26005477</t>
  </si>
  <si>
    <t>pay_420005271</t>
  </si>
  <si>
    <t>pay_420005281</t>
  </si>
  <si>
    <t>pay_420005302</t>
  </si>
  <si>
    <t>pay_420005361</t>
  </si>
  <si>
    <t>ord26005603</t>
  </si>
  <si>
    <t>pay_420005399</t>
  </si>
  <si>
    <t>pay_420005432</t>
  </si>
  <si>
    <t>pay_420005458</t>
  </si>
  <si>
    <t>pay_420005486</t>
  </si>
  <si>
    <t>pay_420005499</t>
  </si>
  <si>
    <t>pay_420005502</t>
  </si>
  <si>
    <t>pay_420005539</t>
  </si>
  <si>
    <t>pay_420005606</t>
  </si>
  <si>
    <t>ord26005863</t>
  </si>
  <si>
    <t>pay_420005611</t>
  </si>
  <si>
    <t>pay_420005635</t>
  </si>
  <si>
    <t>pay_420005638</t>
  </si>
  <si>
    <t xml:space="preserve">ORD26005901  </t>
  </si>
  <si>
    <t>pay_420005704</t>
  </si>
  <si>
    <t>rfnd_4LQTDDZSDGBH</t>
  </si>
  <si>
    <t>rfnd_KCCRQX71E0X2</t>
  </si>
  <si>
    <t>rfnd_L123ZW0GTVB4</t>
  </si>
  <si>
    <t>rfnd_SU12KTWM2008</t>
  </si>
  <si>
    <t>pay_420000022</t>
  </si>
  <si>
    <t>pay_420000070</t>
  </si>
  <si>
    <t>ord26000072</t>
  </si>
  <si>
    <t>pay_420000083</t>
  </si>
  <si>
    <t>pay_420000124</t>
  </si>
  <si>
    <t>pay_420000133</t>
  </si>
  <si>
    <t>pay_420000141</t>
  </si>
  <si>
    <t>pay_420000157</t>
  </si>
  <si>
    <t>ord26000167</t>
  </si>
  <si>
    <t>pay_420000194</t>
  </si>
  <si>
    <t>pay_420000206</t>
  </si>
  <si>
    <t>pay_420000211</t>
  </si>
  <si>
    <t>pay_420000217</t>
  </si>
  <si>
    <t>pay_420000265</t>
  </si>
  <si>
    <t>pay_420000335</t>
  </si>
  <si>
    <t>pay_420000353</t>
  </si>
  <si>
    <t>pay_420000412</t>
  </si>
  <si>
    <t xml:space="preserve">ORD26000429  </t>
  </si>
  <si>
    <t>pay_420000426</t>
  </si>
  <si>
    <t>pay_420000478</t>
  </si>
  <si>
    <t>pay_420000519</t>
  </si>
  <si>
    <t>pay_420000546</t>
  </si>
  <si>
    <t>pay_420000561</t>
  </si>
  <si>
    <t>pay_420000566</t>
  </si>
  <si>
    <t>pay_420000587</t>
  </si>
  <si>
    <t>pay_420000598</t>
  </si>
  <si>
    <t>pay_420000621</t>
  </si>
  <si>
    <t>pay_420000681</t>
  </si>
  <si>
    <t>pay_420000702</t>
  </si>
  <si>
    <t>pay_420000907</t>
  </si>
  <si>
    <t>pay_420000970</t>
  </si>
  <si>
    <t>pay_420001008</t>
  </si>
  <si>
    <t>pay_420001014</t>
  </si>
  <si>
    <t>pay_420001141</t>
  </si>
  <si>
    <t>pay_420001220</t>
  </si>
  <si>
    <t>pay_420001236</t>
  </si>
  <si>
    <t>pay_420001242</t>
  </si>
  <si>
    <t>pay_420001260</t>
  </si>
  <si>
    <t>pay_420001279</t>
  </si>
  <si>
    <t>pay_420001281</t>
  </si>
  <si>
    <t>pay_420001295</t>
  </si>
  <si>
    <t>pay_420001296</t>
  </si>
  <si>
    <t>pay_420001324</t>
  </si>
  <si>
    <t>pay_420001365</t>
  </si>
  <si>
    <t>pay_420001417</t>
  </si>
  <si>
    <t>pay_420001423</t>
  </si>
  <si>
    <t>pay_420001431</t>
  </si>
  <si>
    <t>pay_420001471</t>
  </si>
  <si>
    <t>pay_420001472</t>
  </si>
  <si>
    <t>pay_420001493</t>
  </si>
  <si>
    <t>pay_420001566</t>
  </si>
  <si>
    <t>pay_420001600</t>
  </si>
  <si>
    <t>pay_420001607</t>
  </si>
  <si>
    <t>pay_420001612</t>
  </si>
  <si>
    <t>pay_420001622</t>
  </si>
  <si>
    <t>pay_420001627</t>
  </si>
  <si>
    <t>ord26001703</t>
  </si>
  <si>
    <t>pay_420001651</t>
  </si>
  <si>
    <t xml:space="preserve">ORD26001728  </t>
  </si>
  <si>
    <t>pay_420001727</t>
  </si>
  <si>
    <t>pay_420001737</t>
  </si>
  <si>
    <t>pay_420001747</t>
  </si>
  <si>
    <t>pay_420001753</t>
  </si>
  <si>
    <t>ord26001835</t>
  </si>
  <si>
    <t>pay_420001768</t>
  </si>
  <si>
    <t xml:space="preserve">ORD26001850  </t>
  </si>
  <si>
    <t>pay_420001790</t>
  </si>
  <si>
    <t>pay_420001809</t>
  </si>
  <si>
    <t>pay_420001830</t>
  </si>
  <si>
    <t>pay_420001857</t>
  </si>
  <si>
    <t>pay_420001868</t>
  </si>
  <si>
    <t>pay_420001907</t>
  </si>
  <si>
    <t>pay_420001910</t>
  </si>
  <si>
    <t>pay_420001914</t>
  </si>
  <si>
    <t>pay_420001919</t>
  </si>
  <si>
    <t>pay_420001923</t>
  </si>
  <si>
    <t>pay_420001926</t>
  </si>
  <si>
    <t>pay_420002001</t>
  </si>
  <si>
    <t>pay_420002005</t>
  </si>
  <si>
    <t>pay_420002089</t>
  </si>
  <si>
    <t>pay_420002149</t>
  </si>
  <si>
    <t>pay_420002179</t>
  </si>
  <si>
    <t>pay_420002180</t>
  </si>
  <si>
    <t>ord26002281</t>
  </si>
  <si>
    <t>pay_420002213</t>
  </si>
  <si>
    <t>pay_420002247</t>
  </si>
  <si>
    <t>ord26002352</t>
  </si>
  <si>
    <t>pay_420002277</t>
  </si>
  <si>
    <t>pay_420002291</t>
  </si>
  <si>
    <t>pay_420002336</t>
  </si>
  <si>
    <t>pay_420002349</t>
  </si>
  <si>
    <t>pay_420002352</t>
  </si>
  <si>
    <t>pay_420002368</t>
  </si>
  <si>
    <t>pay_420002443</t>
  </si>
  <si>
    <t>ord26002557</t>
  </si>
  <si>
    <t>pay_420002481</t>
  </si>
  <si>
    <t>pay_420002497</t>
  </si>
  <si>
    <t>pay_420002583</t>
  </si>
  <si>
    <t>pay_420002590</t>
  </si>
  <si>
    <t>pay_420002628</t>
  </si>
  <si>
    <t xml:space="preserve">ORD26002756  </t>
  </si>
  <si>
    <t>pay_420002684</t>
  </si>
  <si>
    <t>ORD-26002816</t>
  </si>
  <si>
    <t>pay_420002735</t>
  </si>
  <si>
    <t>ord26002872</t>
  </si>
  <si>
    <t>pay_420002768</t>
  </si>
  <si>
    <t xml:space="preserve">ORD26002906  </t>
  </si>
  <si>
    <t>pay_420002879</t>
  </si>
  <si>
    <t xml:space="preserve">ORD26003020  </t>
  </si>
  <si>
    <t>pay_420002897</t>
  </si>
  <si>
    <t>pay_420002949</t>
  </si>
  <si>
    <t>pay_420002984</t>
  </si>
  <si>
    <t>pay_420003037</t>
  </si>
  <si>
    <t xml:space="preserve">ORD26003188  </t>
  </si>
  <si>
    <t>pay_420003114</t>
  </si>
  <si>
    <t>pay_420003174</t>
  </si>
  <si>
    <t>pay_420003190</t>
  </si>
  <si>
    <t>pay_420003234</t>
  </si>
  <si>
    <t>pay_420003249</t>
  </si>
  <si>
    <t>pay_420003256</t>
  </si>
  <si>
    <t>pay_420003281</t>
  </si>
  <si>
    <t>pay_420003290</t>
  </si>
  <si>
    <t>pay_420003328</t>
  </si>
  <si>
    <t>pay_420003402</t>
  </si>
  <si>
    <t>pay_420003451</t>
  </si>
  <si>
    <t>pay_420003458</t>
  </si>
  <si>
    <t>pay_420003481</t>
  </si>
  <si>
    <t>pay_420003510</t>
  </si>
  <si>
    <t>ord26003681</t>
  </si>
  <si>
    <t>pay_420003542</t>
  </si>
  <si>
    <t>pay_420003548</t>
  </si>
  <si>
    <t>pay_420003564</t>
  </si>
  <si>
    <t>pay_420003622</t>
  </si>
  <si>
    <t>ord26003791</t>
  </si>
  <si>
    <t>pay_420003651</t>
  </si>
  <si>
    <t>pay_420003667</t>
  </si>
  <si>
    <t>pay_420003669</t>
  </si>
  <si>
    <t>pay_420003686</t>
  </si>
  <si>
    <t>pay_420003711</t>
  </si>
  <si>
    <t>pay_420003734</t>
  </si>
  <si>
    <t>pay_420003859</t>
  </si>
  <si>
    <t>pay_420003988</t>
  </si>
  <si>
    <t>pay_420004001</t>
  </si>
  <si>
    <t>pay_420004094</t>
  </si>
  <si>
    <t>pay_420004147</t>
  </si>
  <si>
    <t>pay_420004231</t>
  </si>
  <si>
    <t>pay_420004258</t>
  </si>
  <si>
    <t>pay_420004283</t>
  </si>
  <si>
    <t>ord26004483</t>
  </si>
  <si>
    <t>pay_420004284</t>
  </si>
  <si>
    <t>pay_420004299</t>
  </si>
  <si>
    <t>pay_420004316</t>
  </si>
  <si>
    <t>pay_420004351</t>
  </si>
  <si>
    <t>pay_420004408</t>
  </si>
  <si>
    <t>pay_420004423</t>
  </si>
  <si>
    <t xml:space="preserve">ORD26004631  </t>
  </si>
  <si>
    <t>pay_420004458</t>
  </si>
  <si>
    <t>pay_420004497</t>
  </si>
  <si>
    <t>pay_420004531</t>
  </si>
  <si>
    <t>ord26004744</t>
  </si>
  <si>
    <t>pay_420004533</t>
  </si>
  <si>
    <t>ord26004746</t>
  </si>
  <si>
    <t>pay_420004650</t>
  </si>
  <si>
    <t>pay_420004686</t>
  </si>
  <si>
    <t>pay_420004764</t>
  </si>
  <si>
    <t>pay_420004803</t>
  </si>
  <si>
    <t>pay_420004840</t>
  </si>
  <si>
    <t>ord26005061</t>
  </si>
  <si>
    <t>pay_420004925</t>
  </si>
  <si>
    <t>pay_420004938</t>
  </si>
  <si>
    <t>pay_420004964</t>
  </si>
  <si>
    <t>pay_420004991</t>
  </si>
  <si>
    <t>pay_420005065</t>
  </si>
  <si>
    <t>pay_420005066</t>
  </si>
  <si>
    <t>pay_420005114</t>
  </si>
  <si>
    <t>ord26005351</t>
  </si>
  <si>
    <t>pay_420005133</t>
  </si>
  <si>
    <t>pay_420005137</t>
  </si>
  <si>
    <t>pay_420005147</t>
  </si>
  <si>
    <t>pay_420005150</t>
  </si>
  <si>
    <t>pay_420005171</t>
  </si>
  <si>
    <t>pay_420005198</t>
  </si>
  <si>
    <t>pay_420005221</t>
  </si>
  <si>
    <t>pay_420005299</t>
  </si>
  <si>
    <t>pay_420005332</t>
  </si>
  <si>
    <t>pay_420005335</t>
  </si>
  <si>
    <t>pay_420005430</t>
  </si>
  <si>
    <t>pay_420005442</t>
  </si>
  <si>
    <t>pay_420005520</t>
  </si>
  <si>
    <t>pay_420005582</t>
  </si>
  <si>
    <t>pay_420005657</t>
  </si>
  <si>
    <t xml:space="preserve">ORD26005922  </t>
  </si>
  <si>
    <t>rfnd_4WAWAYR8LKLM</t>
  </si>
  <si>
    <t>rfnd_8WPNVL912W6Y</t>
  </si>
  <si>
    <t>rfnd_93C1GTBJ2M88</t>
  </si>
  <si>
    <t>rfnd_9BH0FMF71JTZ</t>
  </si>
  <si>
    <t>rfnd_CQA2RMLA9Z1V</t>
  </si>
  <si>
    <t>rfnd_GYGX2QZUXUY9</t>
  </si>
  <si>
    <t>rfnd_RCTH98ZVT1JT</t>
  </si>
  <si>
    <t>rfnd_VVVJ55P56WHP</t>
  </si>
  <si>
    <t>rfnd_XE96RJ1VYAKM</t>
  </si>
  <si>
    <t>pay_420000003</t>
  </si>
  <si>
    <t>pay_420000007</t>
  </si>
  <si>
    <t>pay_420000015</t>
  </si>
  <si>
    <t>pay_420000100</t>
  </si>
  <si>
    <t>pay_420000119</t>
  </si>
  <si>
    <t xml:space="preserve">ORD26000128  </t>
  </si>
  <si>
    <t>pay_420000127</t>
  </si>
  <si>
    <t>pay_420000139</t>
  </si>
  <si>
    <t>ord26000148</t>
  </si>
  <si>
    <t>pay_420000169</t>
  </si>
  <si>
    <t>pay_420000196</t>
  </si>
  <si>
    <t>pay_420000201</t>
  </si>
  <si>
    <t>pay_420000210</t>
  </si>
  <si>
    <t>pay_420000214</t>
  </si>
  <si>
    <t>pay_420000375</t>
  </si>
  <si>
    <t>pay_420000410</t>
  </si>
  <si>
    <t>pay_420000415</t>
  </si>
  <si>
    <t>pay_420000435</t>
  </si>
  <si>
    <t>pay_420000444</t>
  </si>
  <si>
    <t>pay_420000540</t>
  </si>
  <si>
    <t>pay_420000569</t>
  </si>
  <si>
    <t>pay_420000591</t>
  </si>
  <si>
    <t>pay_420000631</t>
  </si>
  <si>
    <t>pay_420000671</t>
  </si>
  <si>
    <t>pay_420000675</t>
  </si>
  <si>
    <t xml:space="preserve">ORD26000705  </t>
  </si>
  <si>
    <t>pay_420000696</t>
  </si>
  <si>
    <t>pay_420000721</t>
  </si>
  <si>
    <t>pay_420000794</t>
  </si>
  <si>
    <t>pay_420000802</t>
  </si>
  <si>
    <t>pay_420000806</t>
  </si>
  <si>
    <t>pay_420000808</t>
  </si>
  <si>
    <t>pay_420000817</t>
  </si>
  <si>
    <t>pay_420000846</t>
  </si>
  <si>
    <t>pay_420000862</t>
  </si>
  <si>
    <t>pay_420000872</t>
  </si>
  <si>
    <t>pay_420000886</t>
  </si>
  <si>
    <t>pay_420000995</t>
  </si>
  <si>
    <t>pay_420001025</t>
  </si>
  <si>
    <t>ord26001069</t>
  </si>
  <si>
    <t>pay_420001068</t>
  </si>
  <si>
    <t>pay_420001084</t>
  </si>
  <si>
    <t>pay_420001120</t>
  </si>
  <si>
    <t>pay_420001205</t>
  </si>
  <si>
    <t>pay_420001213</t>
  </si>
  <si>
    <t>pay_420001233</t>
  </si>
  <si>
    <t>pay_420001286</t>
  </si>
  <si>
    <t>pay_420001316</t>
  </si>
  <si>
    <t>pay_420001321</t>
  </si>
  <si>
    <t>pay_420001326</t>
  </si>
  <si>
    <t>pay_420001346</t>
  </si>
  <si>
    <t>pay_420001370</t>
  </si>
  <si>
    <t>ord26001438</t>
  </si>
  <si>
    <t>pay_420001390</t>
  </si>
  <si>
    <t>ord26001460</t>
  </si>
  <si>
    <t>pay_420001392</t>
  </si>
  <si>
    <t>pay_420001458</t>
  </si>
  <si>
    <t>pay_420001547</t>
  </si>
  <si>
    <t>pay_420001673</t>
  </si>
  <si>
    <t>pay_420001767</t>
  </si>
  <si>
    <t>pay_420001784</t>
  </si>
  <si>
    <t>ORD-26001866</t>
  </si>
  <si>
    <t>pay_420001804</t>
  </si>
  <si>
    <t xml:space="preserve">ORD26001888  </t>
  </si>
  <si>
    <t>pay_420001874</t>
  </si>
  <si>
    <t>pay_420001882</t>
  </si>
  <si>
    <t>pay_420001886</t>
  </si>
  <si>
    <t>ord26001974</t>
  </si>
  <si>
    <t>pay_420001901</t>
  </si>
  <si>
    <t>pay_420002038</t>
  </si>
  <si>
    <t>ORD-26002129</t>
  </si>
  <si>
    <t>pay_420002053</t>
  </si>
  <si>
    <t>pay_420002070</t>
  </si>
  <si>
    <t>pay_420002094</t>
  </si>
  <si>
    <t>pay_420002155</t>
  </si>
  <si>
    <t>pay_420002167</t>
  </si>
  <si>
    <t>pay_420002202</t>
  </si>
  <si>
    <t>pay_420002255</t>
  </si>
  <si>
    <t>pay_420002262</t>
  </si>
  <si>
    <t>pay_420002287</t>
  </si>
  <si>
    <t>pay_420002314</t>
  </si>
  <si>
    <t>pay_420002318</t>
  </si>
  <si>
    <t>pay_420002413</t>
  </si>
  <si>
    <t>ord26002525</t>
  </si>
  <si>
    <t>pay_420002428</t>
  </si>
  <si>
    <t>pay_420002448</t>
  </si>
  <si>
    <t>pay_420002477</t>
  </si>
  <si>
    <t>ord26002593</t>
  </si>
  <si>
    <t>pay_420002537</t>
  </si>
  <si>
    <t>pay_420002548</t>
  </si>
  <si>
    <t>pay_420002558</t>
  </si>
  <si>
    <t>pay_420002562</t>
  </si>
  <si>
    <t>pay_420002575</t>
  </si>
  <si>
    <t>ord26002702</t>
  </si>
  <si>
    <t>pay_420002579</t>
  </si>
  <si>
    <t>pay_420002697</t>
  </si>
  <si>
    <t>pay_420002721</t>
  </si>
  <si>
    <t>ord26002859</t>
  </si>
  <si>
    <t>pay_420002724</t>
  </si>
  <si>
    <t>ORD-26002862</t>
  </si>
  <si>
    <t>pay_420002767</t>
  </si>
  <si>
    <t>pay_420002776</t>
  </si>
  <si>
    <t>pay_420002869</t>
  </si>
  <si>
    <t>ORD-26003010</t>
  </si>
  <si>
    <t>pay_420002881</t>
  </si>
  <si>
    <t>pay_420003006</t>
  </si>
  <si>
    <t>pay_420003010</t>
  </si>
  <si>
    <t>pay_420003025</t>
  </si>
  <si>
    <t>pay_420003122</t>
  </si>
  <si>
    <t>pay_420003129</t>
  </si>
  <si>
    <t>pay_420003139</t>
  </si>
  <si>
    <t>pay_420003148</t>
  </si>
  <si>
    <t xml:space="preserve">ORD26003309  </t>
  </si>
  <si>
    <t>pay_420003232</t>
  </si>
  <si>
    <t>pay_420003251</t>
  </si>
  <si>
    <t>pay_420003336</t>
  </si>
  <si>
    <t>pay_420003436</t>
  </si>
  <si>
    <t>ORD-26003605</t>
  </si>
  <si>
    <t>pay_420003449</t>
  </si>
  <si>
    <t>pay_420003635</t>
  </si>
  <si>
    <t>pay_420003637</t>
  </si>
  <si>
    <t>pay_420003654</t>
  </si>
  <si>
    <t>pay_420003663</t>
  </si>
  <si>
    <t>pay_420003750</t>
  </si>
  <si>
    <t>pay_420003764</t>
  </si>
  <si>
    <t>pay_420003806</t>
  </si>
  <si>
    <t>pay_420003830</t>
  </si>
  <si>
    <t>pay_420003840</t>
  </si>
  <si>
    <t>pay_420003871</t>
  </si>
  <si>
    <t>pay_420003964</t>
  </si>
  <si>
    <t>pay_420003973</t>
  </si>
  <si>
    <t>pay_420004012</t>
  </si>
  <si>
    <t>pay_420004043</t>
  </si>
  <si>
    <t>pay_420004055</t>
  </si>
  <si>
    <t>pay_420004077</t>
  </si>
  <si>
    <t>pay_420004080</t>
  </si>
  <si>
    <t>pay_420004096</t>
  </si>
  <si>
    <t>pay_420004113</t>
  </si>
  <si>
    <t>pay_420004133</t>
  </si>
  <si>
    <t>pay_420004191</t>
  </si>
  <si>
    <t>pay_420004208</t>
  </si>
  <si>
    <t>pay_420004216</t>
  </si>
  <si>
    <t>pay_420004225</t>
  </si>
  <si>
    <t>pay_420004229</t>
  </si>
  <si>
    <t>pay_420004260</t>
  </si>
  <si>
    <t>pay_420004276</t>
  </si>
  <si>
    <t>pay_420004394</t>
  </si>
  <si>
    <t>ord26004598</t>
  </si>
  <si>
    <t>pay_420004425</t>
  </si>
  <si>
    <t>pay_420004434</t>
  </si>
  <si>
    <t>pay_420004435</t>
  </si>
  <si>
    <t>pay_420004471</t>
  </si>
  <si>
    <t>pay_420004516</t>
  </si>
  <si>
    <t>pay_420004528</t>
  </si>
  <si>
    <t>pay_420004603</t>
  </si>
  <si>
    <t xml:space="preserve">ORD26004817  </t>
  </si>
  <si>
    <t>pay_420004620</t>
  </si>
  <si>
    <t>ord26004834</t>
  </si>
  <si>
    <t>pay_420004625</t>
  </si>
  <si>
    <t>pay_420004660</t>
  </si>
  <si>
    <t>pay_420004731</t>
  </si>
  <si>
    <t>pay_420004738</t>
  </si>
  <si>
    <t>ord26004960</t>
  </si>
  <si>
    <t>pay_420004797</t>
  </si>
  <si>
    <t>ord26005019</t>
  </si>
  <si>
    <t>pay_420004826</t>
  </si>
  <si>
    <t>pay_420004858</t>
  </si>
  <si>
    <t>pay_420004890</t>
  </si>
  <si>
    <t>pay_420004916</t>
  </si>
  <si>
    <t>pay_420004931</t>
  </si>
  <si>
    <t>pay_420004955</t>
  </si>
  <si>
    <t>pay_420004977</t>
  </si>
  <si>
    <t>pay_420004998</t>
  </si>
  <si>
    <t>pay_420005003</t>
  </si>
  <si>
    <t>pay_420005020</t>
  </si>
  <si>
    <t>pay_420005042</t>
  </si>
  <si>
    <t>pay_420005051</t>
  </si>
  <si>
    <t>pay_420005074</t>
  </si>
  <si>
    <t>pay_420005102</t>
  </si>
  <si>
    <t>pay_420005107</t>
  </si>
  <si>
    <t>pay_420005173</t>
  </si>
  <si>
    <t>pay_420005199</t>
  </si>
  <si>
    <t>pay_420005224</t>
  </si>
  <si>
    <t>pay_420005232</t>
  </si>
  <si>
    <t>pay_420005233</t>
  </si>
  <si>
    <t>pay_420005366</t>
  </si>
  <si>
    <t>pay_420005401</t>
  </si>
  <si>
    <t>pay_420005446</t>
  </si>
  <si>
    <t>pay_420005470</t>
  </si>
  <si>
    <t>ord26005719</t>
  </si>
  <si>
    <t>pay_420005485</t>
  </si>
  <si>
    <t>pay_420005685</t>
  </si>
  <si>
    <t>pay_420005697</t>
  </si>
  <si>
    <t>ORD-26005963</t>
  </si>
  <si>
    <t>pay_420005702</t>
  </si>
  <si>
    <t>pay_420005720</t>
  </si>
  <si>
    <t>rfnd_4EYATDLTL6L2</t>
  </si>
  <si>
    <t>rfnd_4N3Y78X5MSUN</t>
  </si>
  <si>
    <t>rfnd_5LDVPW4M34U0</t>
  </si>
  <si>
    <t>rfnd_79B8T3WMEENG</t>
  </si>
  <si>
    <t>rfnd_PLZTAUDQ3MX1</t>
  </si>
  <si>
    <t>rfnd_PT5YN5W0FJWQ</t>
  </si>
  <si>
    <t>rfnd_TBFGZHMULLRX</t>
  </si>
  <si>
    <t>rfnd_ZRAWWLW4KXMP</t>
  </si>
  <si>
    <t>rfnd_ZS89YXAWZ44J</t>
  </si>
  <si>
    <t>pay_420000035</t>
  </si>
  <si>
    <t>pay_420000043</t>
  </si>
  <si>
    <t>ORD-26000044</t>
  </si>
  <si>
    <t>pay_420000067</t>
  </si>
  <si>
    <t>pay_420000252</t>
  </si>
  <si>
    <t>pay_420000291</t>
  </si>
  <si>
    <t>pay_420000305</t>
  </si>
  <si>
    <t>pay_420000317</t>
  </si>
  <si>
    <t>pay_420000327</t>
  </si>
  <si>
    <t>pay_420000340</t>
  </si>
  <si>
    <t>ord26000358</t>
  </si>
  <si>
    <t>pay_420000407</t>
  </si>
  <si>
    <t>pay_420000409</t>
  </si>
  <si>
    <t>pay_420000422</t>
  </si>
  <si>
    <t>pay_420000425</t>
  </si>
  <si>
    <t>pay_420000443</t>
  </si>
  <si>
    <t>pay_420000456</t>
  </si>
  <si>
    <t>pay_420000484</t>
  </si>
  <si>
    <t>pay_420000491</t>
  </si>
  <si>
    <t>pay_420000521</t>
  </si>
  <si>
    <t>pay_420000657</t>
  </si>
  <si>
    <t>pay_420000662</t>
  </si>
  <si>
    <t>pay_420000663</t>
  </si>
  <si>
    <t>pay_420000664</t>
  </si>
  <si>
    <t>pay_420000678</t>
  </si>
  <si>
    <t xml:space="preserve">ORD26000708  </t>
  </si>
  <si>
    <t>pay_420000704</t>
  </si>
  <si>
    <t>pay_420000710</t>
  </si>
  <si>
    <t>pay_420000725</t>
  </si>
  <si>
    <t>pay_420000771</t>
  </si>
  <si>
    <t>pay_420000785</t>
  </si>
  <si>
    <t>pay_420000828</t>
  </si>
  <si>
    <t>pay_420000880</t>
  </si>
  <si>
    <t>pay_420000892</t>
  </si>
  <si>
    <t>pay_420000924</t>
  </si>
  <si>
    <t>ord26000964</t>
  </si>
  <si>
    <t>pay_420000938</t>
  </si>
  <si>
    <t>pay_420000969</t>
  </si>
  <si>
    <t>pay_420000985</t>
  </si>
  <si>
    <t>pay_420001013</t>
  </si>
  <si>
    <t>pay_420001021</t>
  </si>
  <si>
    <t>pay_420001024</t>
  </si>
  <si>
    <t>pay_420001047</t>
  </si>
  <si>
    <t>pay_420001055</t>
  </si>
  <si>
    <t>pay_420001061</t>
  </si>
  <si>
    <t>pay_420001081</t>
  </si>
  <si>
    <t>pay_420001132</t>
  </si>
  <si>
    <t>pay_420001192</t>
  </si>
  <si>
    <t>pay_420001203</t>
  </si>
  <si>
    <t>pay_420001204</t>
  </si>
  <si>
    <t>pay_420001221</t>
  </si>
  <si>
    <t>pay_420001237</t>
  </si>
  <si>
    <t>pay_420001382</t>
  </si>
  <si>
    <t>pay_420001404</t>
  </si>
  <si>
    <t>pay_420001512</t>
  </si>
  <si>
    <t>pay_420001581</t>
  </si>
  <si>
    <t>pay_420001588</t>
  </si>
  <si>
    <t>pay_420001625</t>
  </si>
  <si>
    <t>pay_420001632</t>
  </si>
  <si>
    <t>pay_420001652</t>
  </si>
  <si>
    <t>pay_420001666</t>
  </si>
  <si>
    <t>pay_420001706</t>
  </si>
  <si>
    <t>pay_420001719</t>
  </si>
  <si>
    <t xml:space="preserve">ORD26001800  </t>
  </si>
  <si>
    <t>pay_420001795</t>
  </si>
  <si>
    <t>ord26001878</t>
  </si>
  <si>
    <t>pay_420001824</t>
  </si>
  <si>
    <t>pay_420001835</t>
  </si>
  <si>
    <t>pay_420001865</t>
  </si>
  <si>
    <t>pay_420002016</t>
  </si>
  <si>
    <t>pay_420002028</t>
  </si>
  <si>
    <t>pay_420002030</t>
  </si>
  <si>
    <t>pay_420002034</t>
  </si>
  <si>
    <t>pay_420002057</t>
  </si>
  <si>
    <t>pay_420002092</t>
  </si>
  <si>
    <t>pay_420002103</t>
  </si>
  <si>
    <t>pay_420002131</t>
  </si>
  <si>
    <t>pay_420002146</t>
  </si>
  <si>
    <t>pay_420002157</t>
  </si>
  <si>
    <t>pay_420002205</t>
  </si>
  <si>
    <t>pay_420002215</t>
  </si>
  <si>
    <t>pay_420002221</t>
  </si>
  <si>
    <t>pay_420002229</t>
  </si>
  <si>
    <t>pay_420002331</t>
  </si>
  <si>
    <t>ord26002445</t>
  </si>
  <si>
    <t>pay_420002375</t>
  </si>
  <si>
    <t>ord26002488</t>
  </si>
  <si>
    <t>pay_420002445</t>
  </si>
  <si>
    <t>pay_420002482</t>
  </si>
  <si>
    <t>pay_420002512</t>
  </si>
  <si>
    <t>pay_420002514</t>
  </si>
  <si>
    <t>pay_420002518</t>
  </si>
  <si>
    <t>pay_420002556</t>
  </si>
  <si>
    <t>pay_420002557</t>
  </si>
  <si>
    <t>pay_420002559</t>
  </si>
  <si>
    <t>pay_420002602</t>
  </si>
  <si>
    <t>ord26002730</t>
  </si>
  <si>
    <t>pay_420002639</t>
  </si>
  <si>
    <t>pay_420002681</t>
  </si>
  <si>
    <t>pay_420002687</t>
  </si>
  <si>
    <t>pay_420002733</t>
  </si>
  <si>
    <t>pay_420002794</t>
  </si>
  <si>
    <t>pay_420002798</t>
  </si>
  <si>
    <t>pay_420002801</t>
  </si>
  <si>
    <t>pay_420002817</t>
  </si>
  <si>
    <t>pay_420002861</t>
  </si>
  <si>
    <t>pay_420002902</t>
  </si>
  <si>
    <t>pay_420002911</t>
  </si>
  <si>
    <t>pay_420002973</t>
  </si>
  <si>
    <t>pay_420002980</t>
  </si>
  <si>
    <t>pay_420002993</t>
  </si>
  <si>
    <t>pay_420002994</t>
  </si>
  <si>
    <t>pay_420003004</t>
  </si>
  <si>
    <t>pay_420003098</t>
  </si>
  <si>
    <t>pay_420003168</t>
  </si>
  <si>
    <t>pay_420003188</t>
  </si>
  <si>
    <t>pay_420003203</t>
  </si>
  <si>
    <t>pay_420003206</t>
  </si>
  <si>
    <t>pay_420003225</t>
  </si>
  <si>
    <t>pay_420003235</t>
  </si>
  <si>
    <t>pay_420003244</t>
  </si>
  <si>
    <t>pay_420003245</t>
  </si>
  <si>
    <t>pay_420003299</t>
  </si>
  <si>
    <t>ord26003463</t>
  </si>
  <si>
    <t>pay_420003346</t>
  </si>
  <si>
    <t>ORD-26003510</t>
  </si>
  <si>
    <t>pay_420003358</t>
  </si>
  <si>
    <t>pay_420003371</t>
  </si>
  <si>
    <t>pay_420003377</t>
  </si>
  <si>
    <t>pay_420003390</t>
  </si>
  <si>
    <t>pay_420003416</t>
  </si>
  <si>
    <t>pay_420003443</t>
  </si>
  <si>
    <t>pay_420003508</t>
  </si>
  <si>
    <t xml:space="preserve">ORD26003677  </t>
  </si>
  <si>
    <t>pay_420003593</t>
  </si>
  <si>
    <t>pay_420003597</t>
  </si>
  <si>
    <t>pay_420003612</t>
  </si>
  <si>
    <t>pay_420003615</t>
  </si>
  <si>
    <t>ord26003783</t>
  </si>
  <si>
    <t>pay_420003630</t>
  </si>
  <si>
    <t>pay_420003638</t>
  </si>
  <si>
    <t>pay_420003673</t>
  </si>
  <si>
    <t>ord26003843</t>
  </si>
  <si>
    <t>pay_420003678</t>
  </si>
  <si>
    <t>pay_420003687</t>
  </si>
  <si>
    <t>pay_420003705</t>
  </si>
  <si>
    <t>pay_420003780</t>
  </si>
  <si>
    <t>ORD-26003957</t>
  </si>
  <si>
    <t>pay_420003782</t>
  </si>
  <si>
    <t>pay_420003820</t>
  </si>
  <si>
    <t>pay_420003833</t>
  </si>
  <si>
    <t>pay_420003860</t>
  </si>
  <si>
    <t>pay_420003896</t>
  </si>
  <si>
    <t>pay_420003931</t>
  </si>
  <si>
    <t>pay_420003962</t>
  </si>
  <si>
    <t>pay_420003983</t>
  </si>
  <si>
    <t>pay_420004008</t>
  </si>
  <si>
    <t>pay_420004073</t>
  </si>
  <si>
    <t>pay_420004102</t>
  </si>
  <si>
    <t>pay_420004167</t>
  </si>
  <si>
    <t>pay_420004168</t>
  </si>
  <si>
    <t>pay_420004213</t>
  </si>
  <si>
    <t>pay_420004224</t>
  </si>
  <si>
    <t>pay_420004237</t>
  </si>
  <si>
    <t>pay_420004282</t>
  </si>
  <si>
    <t>pay_420004298</t>
  </si>
  <si>
    <t>pay_420004306</t>
  </si>
  <si>
    <t>pay_420004380</t>
  </si>
  <si>
    <t>ord26004583</t>
  </si>
  <si>
    <t>pay_420004388</t>
  </si>
  <si>
    <t>pay_420004411</t>
  </si>
  <si>
    <t>pay_420004418</t>
  </si>
  <si>
    <t>pay_420004449</t>
  </si>
  <si>
    <t>ord26004658</t>
  </si>
  <si>
    <t>pay_420004506</t>
  </si>
  <si>
    <t>ord26004719</t>
  </si>
  <si>
    <t>pay_420004590</t>
  </si>
  <si>
    <t>pay_420004614</t>
  </si>
  <si>
    <t>pay_420004659</t>
  </si>
  <si>
    <t>pay_420004668</t>
  </si>
  <si>
    <t>pay_420004726</t>
  </si>
  <si>
    <t>pay_420004727</t>
  </si>
  <si>
    <t>pay_420004769</t>
  </si>
  <si>
    <t>pay_420004819</t>
  </si>
  <si>
    <t>ORD-26005041</t>
  </si>
  <si>
    <t>pay_420004820</t>
  </si>
  <si>
    <t>pay_420004930</t>
  </si>
  <si>
    <t>pay_420004942</t>
  </si>
  <si>
    <t>pay_420004992</t>
  </si>
  <si>
    <t>pay_420005111</t>
  </si>
  <si>
    <t>pay_420005196</t>
  </si>
  <si>
    <t>pay_420005225</t>
  </si>
  <si>
    <t>pay_420005227</t>
  </si>
  <si>
    <t>pay_420005231</t>
  </si>
  <si>
    <t>pay_420005268</t>
  </si>
  <si>
    <t>pay_420005310</t>
  </si>
  <si>
    <t>pay_420005359</t>
  </si>
  <si>
    <t>pay_420005365</t>
  </si>
  <si>
    <t>pay_420005393</t>
  </si>
  <si>
    <t>ord26005635</t>
  </si>
  <si>
    <t>pay_420005431</t>
  </si>
  <si>
    <t>pay_420005433</t>
  </si>
  <si>
    <t>pay_420005437</t>
  </si>
  <si>
    <t>pay_420005477</t>
  </si>
  <si>
    <t>pay_420005552</t>
  </si>
  <si>
    <t>pay_420005597</t>
  </si>
  <si>
    <t>pay_420005640</t>
  </si>
  <si>
    <t>pay_420005664</t>
  </si>
  <si>
    <t>pay_420005730</t>
  </si>
  <si>
    <t>rfnd_6447JZ5P9597</t>
  </si>
  <si>
    <t>rfnd_7KWLXCN07V6S</t>
  </si>
  <si>
    <t>rfnd_97K2NM3FS5CE</t>
  </si>
  <si>
    <t>rfnd_AK76EGFM7NS6</t>
  </si>
  <si>
    <t>rfnd_H6F7KZFFQS4U</t>
  </si>
  <si>
    <t>rfnd_MRPGVPYJKLKR</t>
  </si>
  <si>
    <t>rfnd_QFXF6ZYEFEN5</t>
  </si>
  <si>
    <t>rfnd_RVM0MFA09U9D</t>
  </si>
  <si>
    <t>rfnd_SG8QNTT912QJ</t>
  </si>
  <si>
    <t>rfnd_U1GDUJRQQ0RC</t>
  </si>
  <si>
    <t>rfnd_XL0AYGE41HB0</t>
  </si>
  <si>
    <t>pay_420000011</t>
  </si>
  <si>
    <t>pay_420000068</t>
  </si>
  <si>
    <t>pay_420000097</t>
  </si>
  <si>
    <t>pay_420000155</t>
  </si>
  <si>
    <t>pay_420000191</t>
  </si>
  <si>
    <t>pay_420000212</t>
  </si>
  <si>
    <t>pay_420000231</t>
  </si>
  <si>
    <t>pay_420000251</t>
  </si>
  <si>
    <t>pay_420000297</t>
  </si>
  <si>
    <t>pay_420000368</t>
  </si>
  <si>
    <t>pay_420000376</t>
  </si>
  <si>
    <t>pay_420000380</t>
  </si>
  <si>
    <t>pay_420000385</t>
  </si>
  <si>
    <t>pay_420000390</t>
  </si>
  <si>
    <t xml:space="preserve">ORD26000409  </t>
  </si>
  <si>
    <t>pay_420000420</t>
  </si>
  <si>
    <t>pay_420000594</t>
  </si>
  <si>
    <t>pay_420000596</t>
  </si>
  <si>
    <t>pay_420000632</t>
  </si>
  <si>
    <t>pay_420000642</t>
  </si>
  <si>
    <t>pay_420000674</t>
  </si>
  <si>
    <t>pay_420000679</t>
  </si>
  <si>
    <t>pay_420000757</t>
  </si>
  <si>
    <t>pay_420000762</t>
  </si>
  <si>
    <t>ord26000794</t>
  </si>
  <si>
    <t>pay_420000790</t>
  </si>
  <si>
    <t>pay_420000822</t>
  </si>
  <si>
    <t>pay_420000832</t>
  </si>
  <si>
    <t>pay_420000841</t>
  </si>
  <si>
    <t>pay_420000871</t>
  </si>
  <si>
    <t>pay_420000921</t>
  </si>
  <si>
    <t>pay_420000944</t>
  </si>
  <si>
    <t>pay_420001023</t>
  </si>
  <si>
    <t xml:space="preserve">ORD26001067  </t>
  </si>
  <si>
    <t>pay_420001049</t>
  </si>
  <si>
    <t>pay_420001075</t>
  </si>
  <si>
    <t>pay_420001125</t>
  </si>
  <si>
    <t>pay_420001187</t>
  </si>
  <si>
    <t>pay_420001212</t>
  </si>
  <si>
    <t>pay_420001284</t>
  </si>
  <si>
    <t>ord26001344</t>
  </si>
  <si>
    <t>pay_420001348</t>
  </si>
  <si>
    <t>pay_420001355</t>
  </si>
  <si>
    <t>pay_420001376</t>
  </si>
  <si>
    <t>pay_420001441</t>
  </si>
  <si>
    <t>pay_420001484</t>
  </si>
  <si>
    <t>pay_420001522</t>
  </si>
  <si>
    <t>pay_420001525</t>
  </si>
  <si>
    <t>pay_420001538</t>
  </si>
  <si>
    <t>pay_420001569</t>
  </si>
  <si>
    <t>pay_420001570</t>
  </si>
  <si>
    <t xml:space="preserve">ORD26001640  </t>
  </si>
  <si>
    <t>pay_420001576</t>
  </si>
  <si>
    <t>pay_420001580</t>
  </si>
  <si>
    <t>pay_420001634</t>
  </si>
  <si>
    <t>pay_420001654</t>
  </si>
  <si>
    <t>ORD-26001731</t>
  </si>
  <si>
    <t>pay_420001661</t>
  </si>
  <si>
    <t>ORD-26001738</t>
  </si>
  <si>
    <t>pay_420001663</t>
  </si>
  <si>
    <t>pay_420001674</t>
  </si>
  <si>
    <t xml:space="preserve">ORD26001754  </t>
  </si>
  <si>
    <t>pay_420001724</t>
  </si>
  <si>
    <t>pay_420001756</t>
  </si>
  <si>
    <t>pay_420001763</t>
  </si>
  <si>
    <t>pay_420001789</t>
  </si>
  <si>
    <t>pay_420001848</t>
  </si>
  <si>
    <t>pay_420001855</t>
  </si>
  <si>
    <t>pay_420001877</t>
  </si>
  <si>
    <t>pay_420001887</t>
  </si>
  <si>
    <t>pay_420001932</t>
  </si>
  <si>
    <t>pay_420002076</t>
  </si>
  <si>
    <t>pay_420002104</t>
  </si>
  <si>
    <t>ord26002202</t>
  </si>
  <si>
    <t>pay_420002129</t>
  </si>
  <si>
    <t>pay_420002211</t>
  </si>
  <si>
    <t>pay_420002230</t>
  </si>
  <si>
    <t>pay_420002251</t>
  </si>
  <si>
    <t>pay_420002254</t>
  </si>
  <si>
    <t>pay_420002278</t>
  </si>
  <si>
    <t>pay_420002279</t>
  </si>
  <si>
    <t>pay_420002312</t>
  </si>
  <si>
    <t>pay_420002381</t>
  </si>
  <si>
    <t>pay_420002386</t>
  </si>
  <si>
    <t>pay_420002397</t>
  </si>
  <si>
    <t>pay_420002463</t>
  </si>
  <si>
    <t>pay_420002603</t>
  </si>
  <si>
    <t>pay_420002607</t>
  </si>
  <si>
    <t>pay_420002649</t>
  </si>
  <si>
    <t>pay_420002701</t>
  </si>
  <si>
    <t>pay_420002784</t>
  </si>
  <si>
    <t>pay_420002807</t>
  </si>
  <si>
    <t>ord26002949</t>
  </si>
  <si>
    <t>pay_420002891</t>
  </si>
  <si>
    <t>pay_420002924</t>
  </si>
  <si>
    <t>pay_420003023</t>
  </si>
  <si>
    <t>pay_420003039</t>
  </si>
  <si>
    <t>pay_420003054</t>
  </si>
  <si>
    <t>pay_420003072</t>
  </si>
  <si>
    <t>ord26003226</t>
  </si>
  <si>
    <t>pay_420003113</t>
  </si>
  <si>
    <t>pay_420003147</t>
  </si>
  <si>
    <t>pay_420003180</t>
  </si>
  <si>
    <t>pay_420003214</t>
  </si>
  <si>
    <t>pay_420003227</t>
  </si>
  <si>
    <t xml:space="preserve">ORD26003389  </t>
  </si>
  <si>
    <t>pay_420003254</t>
  </si>
  <si>
    <t>ORD-26003419</t>
  </si>
  <si>
    <t>pay_420003285</t>
  </si>
  <si>
    <t>pay_420003294</t>
  </si>
  <si>
    <t>pay_420003357</t>
  </si>
  <si>
    <t>pay_420003398</t>
  </si>
  <si>
    <t xml:space="preserve">ORD26003565  </t>
  </si>
  <si>
    <t>pay_420003479</t>
  </si>
  <si>
    <t>pay_420003491</t>
  </si>
  <si>
    <t>pay_420003498</t>
  </si>
  <si>
    <t>pay_420003520</t>
  </si>
  <si>
    <t>pay_420003547</t>
  </si>
  <si>
    <t>pay_420003602</t>
  </si>
  <si>
    <t>pay_420003606</t>
  </si>
  <si>
    <t>pay_420003650</t>
  </si>
  <si>
    <t>pay_420003655</t>
  </si>
  <si>
    <t>pay_420003679</t>
  </si>
  <si>
    <t>pay_420003695</t>
  </si>
  <si>
    <t>pay_420003712</t>
  </si>
  <si>
    <t>pay_420003717</t>
  </si>
  <si>
    <t>pay_420003794</t>
  </si>
  <si>
    <t>pay_420003805</t>
  </si>
  <si>
    <t xml:space="preserve">ORD26003984  </t>
  </si>
  <si>
    <t>pay_420003813</t>
  </si>
  <si>
    <t>pay_420003817</t>
  </si>
  <si>
    <t>pay_420003850</t>
  </si>
  <si>
    <t>pay_420003851</t>
  </si>
  <si>
    <t>pay_420003856</t>
  </si>
  <si>
    <t>pay_420003876</t>
  </si>
  <si>
    <t>pay_420003898</t>
  </si>
  <si>
    <t>pay_420003911</t>
  </si>
  <si>
    <t>pay_420003928</t>
  </si>
  <si>
    <t>pay_420003968</t>
  </si>
  <si>
    <t>pay_420003986</t>
  </si>
  <si>
    <t xml:space="preserve">ORD26004174  </t>
  </si>
  <si>
    <t>pay_420004004</t>
  </si>
  <si>
    <t>ord26004191</t>
  </si>
  <si>
    <t>pay_420004061</t>
  </si>
  <si>
    <t>pay_420004115</t>
  </si>
  <si>
    <t>pay_420004143</t>
  </si>
  <si>
    <t>pay_420004153</t>
  </si>
  <si>
    <t>pay_420004154</t>
  </si>
  <si>
    <t>pay_420004200</t>
  </si>
  <si>
    <t>pay_420004247</t>
  </si>
  <si>
    <t>pay_420004314</t>
  </si>
  <si>
    <t>pay_420004321</t>
  </si>
  <si>
    <t>pay_420004347</t>
  </si>
  <si>
    <t>pay_420004375</t>
  </si>
  <si>
    <t>pay_420004420</t>
  </si>
  <si>
    <t>pay_420004430</t>
  </si>
  <si>
    <t>pay_420004463</t>
  </si>
  <si>
    <t>pay_420004470</t>
  </si>
  <si>
    <t>pay_420004476</t>
  </si>
  <si>
    <t>pay_420004496</t>
  </si>
  <si>
    <t>pay_420004505</t>
  </si>
  <si>
    <t>pay_420004515</t>
  </si>
  <si>
    <t xml:space="preserve">ORD26004728  </t>
  </si>
  <si>
    <t>pay_420004571</t>
  </si>
  <si>
    <t>pay_420004594</t>
  </si>
  <si>
    <t>pay_420004613</t>
  </si>
  <si>
    <t>ord26004826</t>
  </si>
  <si>
    <t>pay_420004671</t>
  </si>
  <si>
    <t>pay_420004674</t>
  </si>
  <si>
    <t>ORD-26004895</t>
  </si>
  <si>
    <t>pay_420004680</t>
  </si>
  <si>
    <t>pay_420004752</t>
  </si>
  <si>
    <t>pay_420004763</t>
  </si>
  <si>
    <t>pay_420004773</t>
  </si>
  <si>
    <t>pay_420004781</t>
  </si>
  <si>
    <t>pay_420004789</t>
  </si>
  <si>
    <t>ord26005010</t>
  </si>
  <si>
    <t>pay_420004798</t>
  </si>
  <si>
    <t>pay_420004822</t>
  </si>
  <si>
    <t>pay_420004838</t>
  </si>
  <si>
    <t>pay_420004848</t>
  </si>
  <si>
    <t>pay_420004857</t>
  </si>
  <si>
    <t>ORD-26005080</t>
  </si>
  <si>
    <t>pay_420004901</t>
  </si>
  <si>
    <t>pay_420004962</t>
  </si>
  <si>
    <t>pay_420004965</t>
  </si>
  <si>
    <t>pay_420004976</t>
  </si>
  <si>
    <t>pay_420004994</t>
  </si>
  <si>
    <t>pay_420005010</t>
  </si>
  <si>
    <t>pay_420005027</t>
  </si>
  <si>
    <t>pay_420005035</t>
  </si>
  <si>
    <t>pay_420005046</t>
  </si>
  <si>
    <t xml:space="preserve">ORD26005283  </t>
  </si>
  <si>
    <t>pay_420005083</t>
  </si>
  <si>
    <t>pay_420005113</t>
  </si>
  <si>
    <t xml:space="preserve">ORD26005350  </t>
  </si>
  <si>
    <t>pay_420005123</t>
  </si>
  <si>
    <t>ORD-26005359</t>
  </si>
  <si>
    <t>pay_420005146</t>
  </si>
  <si>
    <t>pay_420005183</t>
  </si>
  <si>
    <t>ord26005422</t>
  </si>
  <si>
    <t>pay_420005266</t>
  </si>
  <si>
    <t>pay_420005272</t>
  </si>
  <si>
    <t>pay_420005314</t>
  </si>
  <si>
    <t>ord26005554</t>
  </si>
  <si>
    <t>pay_420005324</t>
  </si>
  <si>
    <t>pay_420005325</t>
  </si>
  <si>
    <t>ORD-26005566</t>
  </si>
  <si>
    <t>pay_420005346</t>
  </si>
  <si>
    <t>pay_420005348</t>
  </si>
  <si>
    <t>pay_420005396</t>
  </si>
  <si>
    <t>ord26005639</t>
  </si>
  <si>
    <t>pay_420005397</t>
  </si>
  <si>
    <t>pay_420005405</t>
  </si>
  <si>
    <t>pay_420005456</t>
  </si>
  <si>
    <t>pay_420005506</t>
  </si>
  <si>
    <t>pay_420005594</t>
  </si>
  <si>
    <t>pay_420005601</t>
  </si>
  <si>
    <t>pay_420005608</t>
  </si>
  <si>
    <t>pay_420005618</t>
  </si>
  <si>
    <t>pay_420005676</t>
  </si>
  <si>
    <t>pay_420005690</t>
  </si>
  <si>
    <t>rfnd_38BLG666PDTT</t>
  </si>
  <si>
    <t>rfnd_7H6AS93MDQFB</t>
  </si>
  <si>
    <t>rfnd_BXSRPYHJ0FUA</t>
  </si>
  <si>
    <t>rfnd_CVM17N05VLYP</t>
  </si>
  <si>
    <t>rfnd_CZ9HL549HH5D</t>
  </si>
  <si>
    <t>rfnd_FUJ52DTZCC4W</t>
  </si>
  <si>
    <t>rfnd_NCDXK3GYJZGV</t>
  </si>
  <si>
    <t>rfnd_WF2QUF0XN0E8</t>
  </si>
  <si>
    <t>rfnd_WR7CYHBHNSMD</t>
  </si>
  <si>
    <t>pay_420000001</t>
  </si>
  <si>
    <t>pay_420000014</t>
  </si>
  <si>
    <t>pay_420000017</t>
  </si>
  <si>
    <t>pay_420000018</t>
  </si>
  <si>
    <t>pay_420000024</t>
  </si>
  <si>
    <t>ord26000023</t>
  </si>
  <si>
    <t>pay_420000122</t>
  </si>
  <si>
    <t xml:space="preserve">ORD26000131  </t>
  </si>
  <si>
    <t>pay_420000129</t>
  </si>
  <si>
    <t>pay_420000154</t>
  </si>
  <si>
    <t>pay_420000167</t>
  </si>
  <si>
    <t>pay_420000176</t>
  </si>
  <si>
    <t>pay_420000204</t>
  </si>
  <si>
    <t>pay_420000208</t>
  </si>
  <si>
    <t>ord26000222</t>
  </si>
  <si>
    <t>pay_420000225</t>
  </si>
  <si>
    <t>pay_420000248</t>
  </si>
  <si>
    <t>ord26000265</t>
  </si>
  <si>
    <t>pay_420000260</t>
  </si>
  <si>
    <t>pay_420000269</t>
  </si>
  <si>
    <t>pay_420000306</t>
  </si>
  <si>
    <t>pay_420000336</t>
  </si>
  <si>
    <t>ord26000353</t>
  </si>
  <si>
    <t>pay_420000358</t>
  </si>
  <si>
    <t>pay_420000362</t>
  </si>
  <si>
    <t>pay_420000401</t>
  </si>
  <si>
    <t>pay_420000405</t>
  </si>
  <si>
    <t>pay_420000438</t>
  </si>
  <si>
    <t>pay_420000499</t>
  </si>
  <si>
    <t>pay_420000535</t>
  </si>
  <si>
    <t>pay_420000555</t>
  </si>
  <si>
    <t>pay_420000560</t>
  </si>
  <si>
    <t>pay_420000568</t>
  </si>
  <si>
    <t>pay_420000576</t>
  </si>
  <si>
    <t>pay_420000635</t>
  </si>
  <si>
    <t>pay_420000695</t>
  </si>
  <si>
    <t>pay_420000717</t>
  </si>
  <si>
    <t>pay_420000772</t>
  </si>
  <si>
    <t>pay_420000842</t>
  </si>
  <si>
    <t>pay_420000853</t>
  </si>
  <si>
    <t>pay_420000866</t>
  </si>
  <si>
    <t>pay_420000873</t>
  </si>
  <si>
    <t>pay_420000915</t>
  </si>
  <si>
    <t>pay_420000917</t>
  </si>
  <si>
    <t>pay_420000946</t>
  </si>
  <si>
    <t>pay_420000979</t>
  </si>
  <si>
    <t>ord26001021</t>
  </si>
  <si>
    <t>pay_420001074</t>
  </si>
  <si>
    <t>pay_420001086</t>
  </si>
  <si>
    <t>pay_420001098</t>
  </si>
  <si>
    <t>pay_420001137</t>
  </si>
  <si>
    <t>pay_420001160</t>
  </si>
  <si>
    <t>pay_420001191</t>
  </si>
  <si>
    <t xml:space="preserve">ORD26001244  </t>
  </si>
  <si>
    <t>pay_420001199</t>
  </si>
  <si>
    <t>pay_420001211</t>
  </si>
  <si>
    <t>pay_420001293</t>
  </si>
  <si>
    <t>pay_420001310</t>
  </si>
  <si>
    <t>pay_420001342</t>
  </si>
  <si>
    <t>pay_420001368</t>
  </si>
  <si>
    <t>pay_420001386</t>
  </si>
  <si>
    <t xml:space="preserve">ORD26001456  </t>
  </si>
  <si>
    <t>pay_420001408</t>
  </si>
  <si>
    <t>pay_420001448</t>
  </si>
  <si>
    <t xml:space="preserve">ORD26001514  </t>
  </si>
  <si>
    <t>pay_420001451</t>
  </si>
  <si>
    <t>pay_420001506</t>
  </si>
  <si>
    <t>pay_420001531</t>
  </si>
  <si>
    <t>pay_420001558</t>
  </si>
  <si>
    <t>pay_420001561</t>
  </si>
  <si>
    <t>ord26001629</t>
  </si>
  <si>
    <t>pay_420001564</t>
  </si>
  <si>
    <t>pay_420001577</t>
  </si>
  <si>
    <t>pay_420001585</t>
  </si>
  <si>
    <t>ord26001657</t>
  </si>
  <si>
    <t>pay_420001611</t>
  </si>
  <si>
    <t>pay_420001650</t>
  </si>
  <si>
    <t>pay_420001664</t>
  </si>
  <si>
    <t>pay_420001675</t>
  </si>
  <si>
    <t>pay_420001689</t>
  </si>
  <si>
    <t>pay_420001759</t>
  </si>
  <si>
    <t>pay_420001769</t>
  </si>
  <si>
    <t>pay_420001793</t>
  </si>
  <si>
    <t>pay_420001797</t>
  </si>
  <si>
    <t xml:space="preserve">ORD26001880  </t>
  </si>
  <si>
    <t>pay_420001828</t>
  </si>
  <si>
    <t>pay_420001861</t>
  </si>
  <si>
    <t>pay_420001904</t>
  </si>
  <si>
    <t>ORD-26001993</t>
  </si>
  <si>
    <t>pay_420001967</t>
  </si>
  <si>
    <t>pay_420001979</t>
  </si>
  <si>
    <t>pay_420001996</t>
  </si>
  <si>
    <t>pay_420002023</t>
  </si>
  <si>
    <t>pay_420002068</t>
  </si>
  <si>
    <t>pay_420002079</t>
  </si>
  <si>
    <t>pay_420002114</t>
  </si>
  <si>
    <t>ORD-26002215</t>
  </si>
  <si>
    <t>pay_420002237</t>
  </si>
  <si>
    <t>pay_420002250</t>
  </si>
  <si>
    <t xml:space="preserve">ORD26002356  </t>
  </si>
  <si>
    <t>pay_420002284</t>
  </si>
  <si>
    <t>pay_420002432</t>
  </si>
  <si>
    <t>pay_420002478</t>
  </si>
  <si>
    <t>pay_420002492</t>
  </si>
  <si>
    <t>pay_420002509</t>
  </si>
  <si>
    <t>pay_420002517</t>
  </si>
  <si>
    <t>pay_420002600</t>
  </si>
  <si>
    <t>pay_420002611</t>
  </si>
  <si>
    <t>pay_420002620</t>
  </si>
  <si>
    <t>ORD-26002749</t>
  </si>
  <si>
    <t>pay_420002631</t>
  </si>
  <si>
    <t>pay_420002678</t>
  </si>
  <si>
    <t>pay_420002693</t>
  </si>
  <si>
    <t>pay_420002868</t>
  </si>
  <si>
    <t>pay_420002887</t>
  </si>
  <si>
    <t>pay_420002896</t>
  </si>
  <si>
    <t>ORD-26003039</t>
  </si>
  <si>
    <t>pay_420002953</t>
  </si>
  <si>
    <t>pay_420002976</t>
  </si>
  <si>
    <t>pay_420002986</t>
  </si>
  <si>
    <t>pay_420003000</t>
  </si>
  <si>
    <t>pay_420003065</t>
  </si>
  <si>
    <t>pay_420003093</t>
  </si>
  <si>
    <t>pay_420003101</t>
  </si>
  <si>
    <t>pay_420003128</t>
  </si>
  <si>
    <t>pay_420003189</t>
  </si>
  <si>
    <t>pay_420003204</t>
  </si>
  <si>
    <t>pay_420003205</t>
  </si>
  <si>
    <t>pay_420003313</t>
  </si>
  <si>
    <t>pay_420003321</t>
  </si>
  <si>
    <t>pay_420003407</t>
  </si>
  <si>
    <t>pay_420003457</t>
  </si>
  <si>
    <t>pay_420003478</t>
  </si>
  <si>
    <t xml:space="preserve">ORD26003647  </t>
  </si>
  <si>
    <t>pay_420003484</t>
  </si>
  <si>
    <t>ORD-26003652</t>
  </si>
  <si>
    <t>pay_420003493</t>
  </si>
  <si>
    <t>pay_420003524</t>
  </si>
  <si>
    <t xml:space="preserve">ORD26003695  </t>
  </si>
  <si>
    <t>pay_420003596</t>
  </si>
  <si>
    <t>pay_420003692</t>
  </si>
  <si>
    <t>ord26003864</t>
  </si>
  <si>
    <t>pay_420003693</t>
  </si>
  <si>
    <t xml:space="preserve">ORD26003865  </t>
  </si>
  <si>
    <t>pay_420003704</t>
  </si>
  <si>
    <t>pay_420003706</t>
  </si>
  <si>
    <t>pay_420003715</t>
  </si>
  <si>
    <t>pay_420003753</t>
  </si>
  <si>
    <t>pay_420003803</t>
  </si>
  <si>
    <t>pay_420003828</t>
  </si>
  <si>
    <t>pay_420003835</t>
  </si>
  <si>
    <t xml:space="preserve">ORD26004016  </t>
  </si>
  <si>
    <t>pay_420003846</t>
  </si>
  <si>
    <t>pay_420003855</t>
  </si>
  <si>
    <t>pay_420004014</t>
  </si>
  <si>
    <t>pay_420004025</t>
  </si>
  <si>
    <t>ORD-26004215</t>
  </si>
  <si>
    <t>pay_420004057</t>
  </si>
  <si>
    <t xml:space="preserve">ORD26004249  </t>
  </si>
  <si>
    <t>pay_420004120</t>
  </si>
  <si>
    <t>pay_420004158</t>
  </si>
  <si>
    <t>pay_420004250</t>
  </si>
  <si>
    <t>pay_420004293</t>
  </si>
  <si>
    <t>pay_420004371</t>
  </si>
  <si>
    <t>pay_420004543</t>
  </si>
  <si>
    <t>pay_420004607</t>
  </si>
  <si>
    <t>pay_420004632</t>
  </si>
  <si>
    <t>pay_420004717</t>
  </si>
  <si>
    <t>pay_420004737</t>
  </si>
  <si>
    <t>pay_420004755</t>
  </si>
  <si>
    <t>pay_420004843</t>
  </si>
  <si>
    <t>pay_420004895</t>
  </si>
  <si>
    <t>pay_420004918</t>
  </si>
  <si>
    <t>pay_420004932</t>
  </si>
  <si>
    <t xml:space="preserve">ORD26005163  </t>
  </si>
  <si>
    <t>pay_420004957</t>
  </si>
  <si>
    <t>pay_420004982</t>
  </si>
  <si>
    <t>pay_420005011</t>
  </si>
  <si>
    <t>ord26005247</t>
  </si>
  <si>
    <t>pay_420005073</t>
  </si>
  <si>
    <t>ord26005314</t>
  </si>
  <si>
    <t>pay_420005141</t>
  </si>
  <si>
    <t>pay_420005180</t>
  </si>
  <si>
    <t>pay_420005204</t>
  </si>
  <si>
    <t>pay_420005255</t>
  </si>
  <si>
    <t>pay_420005322</t>
  </si>
  <si>
    <t>pay_420005323</t>
  </si>
  <si>
    <t>pay_420005368</t>
  </si>
  <si>
    <t>pay_420005457</t>
  </si>
  <si>
    <t>pay_420005469</t>
  </si>
  <si>
    <t>pay_420005522</t>
  </si>
  <si>
    <t>pay_420005527</t>
  </si>
  <si>
    <t>pay_420005537</t>
  </si>
  <si>
    <t>pay_420005543</t>
  </si>
  <si>
    <t>pay_420005570</t>
  </si>
  <si>
    <t>pay_420005615</t>
  </si>
  <si>
    <t>ORD-26005874</t>
  </si>
  <si>
    <t>pay_420005620</t>
  </si>
  <si>
    <t>pay_420005647</t>
  </si>
  <si>
    <t>pay_420005651</t>
  </si>
  <si>
    <t>pay_420005662</t>
  </si>
  <si>
    <t>ord26005928</t>
  </si>
  <si>
    <t>pay_420005712</t>
  </si>
  <si>
    <t>rfnd_2V9M2216JP6U</t>
  </si>
  <si>
    <t>rfnd_4SQCG41G4THE</t>
  </si>
  <si>
    <t>rfnd_5UHQSMT5J17R</t>
  </si>
  <si>
    <t>rfnd_BPPP7G28P61Y</t>
  </si>
  <si>
    <t>rfnd_CXKD8WWM1PTS</t>
  </si>
  <si>
    <t>rfnd_HAFDB2XX3Q6V</t>
  </si>
  <si>
    <t>rfnd_K9EDEUS395DP</t>
  </si>
  <si>
    <t>rfnd_NW5EFHZPHKH1</t>
  </si>
  <si>
    <t>rfnd_RZL0CYMB8HE7</t>
  </si>
  <si>
    <t>rfnd_SVZ3E9KQNV6F</t>
  </si>
  <si>
    <t>rfnd_X5X1Y15M6MUD</t>
  </si>
  <si>
    <t>pay_420000071</t>
  </si>
  <si>
    <t>pay_420000135</t>
  </si>
  <si>
    <t>pay_420000153</t>
  </si>
  <si>
    <t>pay_420000165</t>
  </si>
  <si>
    <t>pay_420000182</t>
  </si>
  <si>
    <t>pay_420000213</t>
  </si>
  <si>
    <t>ord26000227</t>
  </si>
  <si>
    <t>pay_420000246</t>
  </si>
  <si>
    <t>pay_420000319</t>
  </si>
  <si>
    <t>ord26000334</t>
  </si>
  <si>
    <t>pay_420000326</t>
  </si>
  <si>
    <t>pay_420000331</t>
  </si>
  <si>
    <t>pay_420000361</t>
  </si>
  <si>
    <t>ord26000379</t>
  </si>
  <si>
    <t>pay_420000364</t>
  </si>
  <si>
    <t>pay_420000366</t>
  </si>
  <si>
    <t>pay_420000517</t>
  </si>
  <si>
    <t>pay_420000543</t>
  </si>
  <si>
    <t>ord26000568</t>
  </si>
  <si>
    <t>pay_420000588</t>
  </si>
  <si>
    <t>pay_420000602</t>
  </si>
  <si>
    <t>pay_420000694</t>
  </si>
  <si>
    <t>pay_420000697</t>
  </si>
  <si>
    <t>pay_420000791</t>
  </si>
  <si>
    <t>pay_420000797</t>
  </si>
  <si>
    <t>pay_420000899</t>
  </si>
  <si>
    <t>pay_420000902</t>
  </si>
  <si>
    <t>ord26000941</t>
  </si>
  <si>
    <t>pay_420000906</t>
  </si>
  <si>
    <t>pay_420000912</t>
  </si>
  <si>
    <t>pay_420000986</t>
  </si>
  <si>
    <t>pay_420000989</t>
  </si>
  <si>
    <t>pay_420001035</t>
  </si>
  <si>
    <t>pay_420001052</t>
  </si>
  <si>
    <t>pay_420001064</t>
  </si>
  <si>
    <t>pay_420001077</t>
  </si>
  <si>
    <t>pay_420001094</t>
  </si>
  <si>
    <t>pay_420001104</t>
  </si>
  <si>
    <t>pay_420001171</t>
  </si>
  <si>
    <t>pay_420001217</t>
  </si>
  <si>
    <t>pay_420001298</t>
  </si>
  <si>
    <t>pay_420001308</t>
  </si>
  <si>
    <t xml:space="preserve">ORD26001371  </t>
  </si>
  <si>
    <t>pay_420001350</t>
  </si>
  <si>
    <t>pay_420001358</t>
  </si>
  <si>
    <t>pay_420001398</t>
  </si>
  <si>
    <t>pay_420001473</t>
  </si>
  <si>
    <t>ord26001537</t>
  </si>
  <si>
    <t>pay_420001482</t>
  </si>
  <si>
    <t>pay_420001513</t>
  </si>
  <si>
    <t>ord26001581</t>
  </si>
  <si>
    <t>pay_420001568</t>
  </si>
  <si>
    <t>pay_420001601</t>
  </si>
  <si>
    <t>pay_420001679</t>
  </si>
  <si>
    <t>pay_420001758</t>
  </si>
  <si>
    <t>pay_420001798</t>
  </si>
  <si>
    <t>pay_420001875</t>
  </si>
  <si>
    <t xml:space="preserve">ORD26001963  </t>
  </si>
  <si>
    <t>pay_420001896</t>
  </si>
  <si>
    <t>pay_420001983</t>
  </si>
  <si>
    <t>pay_420002002</t>
  </si>
  <si>
    <t>ORD-26002095</t>
  </si>
  <si>
    <t>pay_420002042</t>
  </si>
  <si>
    <t>pay_420002080</t>
  </si>
  <si>
    <t>pay_420002109</t>
  </si>
  <si>
    <t>pay_420002118</t>
  </si>
  <si>
    <t>pay_420002171</t>
  </si>
  <si>
    <t>pay_420002207</t>
  </si>
  <si>
    <t>pay_420002216</t>
  </si>
  <si>
    <t>ord26002319</t>
  </si>
  <si>
    <t>pay_420002240</t>
  </si>
  <si>
    <t>pay_420002273</t>
  </si>
  <si>
    <t>pay_420002311</t>
  </si>
  <si>
    <t>pay_420002330</t>
  </si>
  <si>
    <t>pay_420002334</t>
  </si>
  <si>
    <t>pay_420002377</t>
  </si>
  <si>
    <t>pay_420002429</t>
  </si>
  <si>
    <t>pay_420002439</t>
  </si>
  <si>
    <t>pay_420002468</t>
  </si>
  <si>
    <t>pay_420002483</t>
  </si>
  <si>
    <t>pay_420002547</t>
  </si>
  <si>
    <t>ORD-26002671</t>
  </si>
  <si>
    <t>pay_420002657</t>
  </si>
  <si>
    <t>pay_420002777</t>
  </si>
  <si>
    <t>ord26002916</t>
  </si>
  <si>
    <t>pay_420002857</t>
  </si>
  <si>
    <t>pay_420002866</t>
  </si>
  <si>
    <t>pay_420002878</t>
  </si>
  <si>
    <t>ord26003019</t>
  </si>
  <si>
    <t>pay_420002908</t>
  </si>
  <si>
    <t>pay_420002927</t>
  </si>
  <si>
    <t>ord26003070</t>
  </si>
  <si>
    <t>pay_420002970</t>
  </si>
  <si>
    <t>pay_420003013</t>
  </si>
  <si>
    <t>pay_420003029</t>
  </si>
  <si>
    <t>pay_420003050</t>
  </si>
  <si>
    <t>ord26003202</t>
  </si>
  <si>
    <t>pay_420003086</t>
  </si>
  <si>
    <t>pay_420003092</t>
  </si>
  <si>
    <t>pay_420003115</t>
  </si>
  <si>
    <t xml:space="preserve">ORD26003274  </t>
  </si>
  <si>
    <t>pay_420003163</t>
  </si>
  <si>
    <t xml:space="preserve">ORD26003324  </t>
  </si>
  <si>
    <t>pay_420003287</t>
  </si>
  <si>
    <t>ord26003451</t>
  </si>
  <si>
    <t>pay_420003361</t>
  </si>
  <si>
    <t>ORD-26003525</t>
  </si>
  <si>
    <t>pay_420003363</t>
  </si>
  <si>
    <t>pay_420003487</t>
  </si>
  <si>
    <t>pay_420003525</t>
  </si>
  <si>
    <t>pay_420003549</t>
  </si>
  <si>
    <t>pay_420003558</t>
  </si>
  <si>
    <t>pay_420003583</t>
  </si>
  <si>
    <t>pay_420003640</t>
  </si>
  <si>
    <t>pay_420003713</t>
  </si>
  <si>
    <t>pay_420003732</t>
  </si>
  <si>
    <t>pay_420003771</t>
  </si>
  <si>
    <t>pay_420003793</t>
  </si>
  <si>
    <t>pay_420003795</t>
  </si>
  <si>
    <t>pay_420003863</t>
  </si>
  <si>
    <t>pay_420003884</t>
  </si>
  <si>
    <t>ORD-26004067</t>
  </si>
  <si>
    <t>pay_420003966</t>
  </si>
  <si>
    <t>pay_420003996</t>
  </si>
  <si>
    <t>pay_420004003</t>
  </si>
  <si>
    <t>pay_420004024</t>
  </si>
  <si>
    <t>pay_420004082</t>
  </si>
  <si>
    <t>pay_420004084</t>
  </si>
  <si>
    <t>pay_420004152</t>
  </si>
  <si>
    <t>pay_420004179</t>
  </si>
  <si>
    <t>pay_420004210</t>
  </si>
  <si>
    <t>pay_420004270</t>
  </si>
  <si>
    <t>pay_420004280</t>
  </si>
  <si>
    <t>pay_420004329</t>
  </si>
  <si>
    <t>pay_420004352</t>
  </si>
  <si>
    <t>pay_420004379</t>
  </si>
  <si>
    <t>pay_420004397</t>
  </si>
  <si>
    <t>pay_420004422</t>
  </si>
  <si>
    <t>pay_420004436</t>
  </si>
  <si>
    <t>pay_420004501</t>
  </si>
  <si>
    <t>pay_420004549</t>
  </si>
  <si>
    <t>pay_420004589</t>
  </si>
  <si>
    <t>pay_420004597</t>
  </si>
  <si>
    <t>pay_420004606</t>
  </si>
  <si>
    <t>pay_420004616</t>
  </si>
  <si>
    <t>pay_420004654</t>
  </si>
  <si>
    <t>pay_420004655</t>
  </si>
  <si>
    <t>pay_420004670</t>
  </si>
  <si>
    <t>ORD-26004892</t>
  </si>
  <si>
    <t>pay_420004691</t>
  </si>
  <si>
    <t>pay_420004744</t>
  </si>
  <si>
    <t>pay_420004776</t>
  </si>
  <si>
    <t>pay_420004791</t>
  </si>
  <si>
    <t>ORD-26005013</t>
  </si>
  <si>
    <t>pay_420004836</t>
  </si>
  <si>
    <t xml:space="preserve">ORD26005058  </t>
  </si>
  <si>
    <t>pay_420004874</t>
  </si>
  <si>
    <t>ord26005098</t>
  </si>
  <si>
    <t>pay_420004877</t>
  </si>
  <si>
    <t>pay_420004986</t>
  </si>
  <si>
    <t>pay_420004989</t>
  </si>
  <si>
    <t>pay_420005001</t>
  </si>
  <si>
    <t>pay_420005018</t>
  </si>
  <si>
    <t>pay_420005084</t>
  </si>
  <si>
    <t>pay_420005131</t>
  </si>
  <si>
    <t>pay_420005136</t>
  </si>
  <si>
    <t>ord26005376</t>
  </si>
  <si>
    <t>pay_420005162</t>
  </si>
  <si>
    <t>pay_420005178</t>
  </si>
  <si>
    <t>pay_420005184</t>
  </si>
  <si>
    <t xml:space="preserve">ORD26005423  </t>
  </si>
  <si>
    <t>pay_420005203</t>
  </si>
  <si>
    <t>pay_420005251</t>
  </si>
  <si>
    <t>ord26005488</t>
  </si>
  <si>
    <t>pay_420005307</t>
  </si>
  <si>
    <t>pay_420005313</t>
  </si>
  <si>
    <t>ORD-26005553</t>
  </si>
  <si>
    <t>pay_420005328</t>
  </si>
  <si>
    <t>pay_420005360</t>
  </si>
  <si>
    <t>pay_420005392</t>
  </si>
  <si>
    <t>pay_420005421</t>
  </si>
  <si>
    <t>pay_420005517</t>
  </si>
  <si>
    <t>pay_420005532</t>
  </si>
  <si>
    <t>pay_420005535</t>
  </si>
  <si>
    <t>pay_420005610</t>
  </si>
  <si>
    <t>ord26005867</t>
  </si>
  <si>
    <t>pay_420005666</t>
  </si>
  <si>
    <t>pay_420005668</t>
  </si>
  <si>
    <t>pay_420005673</t>
  </si>
  <si>
    <t>rfnd_375PVAQTZENM</t>
  </si>
  <si>
    <t>rfnd_59LQLBWTATM5</t>
  </si>
  <si>
    <t>rfnd_5XVSTMWQXK0D</t>
  </si>
  <si>
    <t>rfnd_ABCR96V803JD</t>
  </si>
  <si>
    <t>rfnd_CGDKAKDYPRZ8</t>
  </si>
  <si>
    <t>rfnd_DGBXF8U1QESJ</t>
  </si>
  <si>
    <t>rfnd_DUXLK248W0U1</t>
  </si>
  <si>
    <t>rfnd_EQPEBWZT3LE3</t>
  </si>
  <si>
    <t>rfnd_XR105CRY61WP</t>
  </si>
  <si>
    <t>pay_420000002</t>
  </si>
  <si>
    <t>pay_420000020</t>
  </si>
  <si>
    <t>pay_420000027</t>
  </si>
  <si>
    <t>pay_420000053</t>
  </si>
  <si>
    <t>pay_420000085</t>
  </si>
  <si>
    <t>pay_420000092</t>
  </si>
  <si>
    <t>pay_420000093</t>
  </si>
  <si>
    <t>pay_420000096</t>
  </si>
  <si>
    <t>pay_420000144</t>
  </si>
  <si>
    <t>pay_420000166</t>
  </si>
  <si>
    <t>pay_420000244</t>
  </si>
  <si>
    <t>pay_420000298</t>
  </si>
  <si>
    <t>pay_420000314</t>
  </si>
  <si>
    <t>pay_420000338</t>
  </si>
  <si>
    <t>pay_420000345</t>
  </si>
  <si>
    <t>pay_420000371</t>
  </si>
  <si>
    <t xml:space="preserve">ORD26000389  </t>
  </si>
  <si>
    <t>pay_420000393</t>
  </si>
  <si>
    <t>pay_420000394</t>
  </si>
  <si>
    <t>pay_420000434</t>
  </si>
  <si>
    <t>pay_420000490</t>
  </si>
  <si>
    <t>pay_420000492</t>
  </si>
  <si>
    <t>pay_420000548</t>
  </si>
  <si>
    <t>pay_420000575</t>
  </si>
  <si>
    <t>ord26000597</t>
  </si>
  <si>
    <t>pay_420000609</t>
  </si>
  <si>
    <t>pay_420000611</t>
  </si>
  <si>
    <t>pay_420000769</t>
  </si>
  <si>
    <t>pay_420000854</t>
  </si>
  <si>
    <t>pay_420000875</t>
  </si>
  <si>
    <t>pay_420000895</t>
  </si>
  <si>
    <t>pay_420000905</t>
  </si>
  <si>
    <t>pay_420000939</t>
  </si>
  <si>
    <t>pay_420000965</t>
  </si>
  <si>
    <t>pay_420001022</t>
  </si>
  <si>
    <t>pay_420001088</t>
  </si>
  <si>
    <t>pay_420001095</t>
  </si>
  <si>
    <t>pay_420001102</t>
  </si>
  <si>
    <t>pay_420001148</t>
  </si>
  <si>
    <t>pay_420001177</t>
  </si>
  <si>
    <t>pay_420001290</t>
  </si>
  <si>
    <t>pay_420001333</t>
  </si>
  <si>
    <t>pay_420001344</t>
  </si>
  <si>
    <t>pay_420001396</t>
  </si>
  <si>
    <t>ORD-26001466</t>
  </si>
  <si>
    <t>pay_420001414</t>
  </si>
  <si>
    <t>ord26001483</t>
  </si>
  <si>
    <t>pay_420001460</t>
  </si>
  <si>
    <t>ord26001525</t>
  </si>
  <si>
    <t>pay_420001503</t>
  </si>
  <si>
    <t>ORD-26001568</t>
  </si>
  <si>
    <t>pay_420001524</t>
  </si>
  <si>
    <t>pay_420001530</t>
  </si>
  <si>
    <t>pay_420001592</t>
  </si>
  <si>
    <t>pay_420001596</t>
  </si>
  <si>
    <t>pay_420001615</t>
  </si>
  <si>
    <t>pay_420001711</t>
  </si>
  <si>
    <t>pay_420001717</t>
  </si>
  <si>
    <t>pay_420001748</t>
  </si>
  <si>
    <t>pay_420001894</t>
  </si>
  <si>
    <t>pay_420001912</t>
  </si>
  <si>
    <t>pay_420001933</t>
  </si>
  <si>
    <t>pay_420002041</t>
  </si>
  <si>
    <t xml:space="preserve">ORD26002134  </t>
  </si>
  <si>
    <t>pay_420002065</t>
  </si>
  <si>
    <t>pay_420002077</t>
  </si>
  <si>
    <t>pay_420002200</t>
  </si>
  <si>
    <t>pay_420002246</t>
  </si>
  <si>
    <t>pay_420002281</t>
  </si>
  <si>
    <t>pay_420002288</t>
  </si>
  <si>
    <t>pay_420002350</t>
  </si>
  <si>
    <t>pay_420002363</t>
  </si>
  <si>
    <t>pay_420002383</t>
  </si>
  <si>
    <t>pay_420002401</t>
  </si>
  <si>
    <t>pay_420002403</t>
  </si>
  <si>
    <t>pay_420002414</t>
  </si>
  <si>
    <t>pay_420002421</t>
  </si>
  <si>
    <t>ord26002535</t>
  </si>
  <si>
    <t>pay_420002438</t>
  </si>
  <si>
    <t>pay_420002462</t>
  </si>
  <si>
    <t>pay_420002561</t>
  </si>
  <si>
    <t>pay_420002625</t>
  </si>
  <si>
    <t>pay_420002632</t>
  </si>
  <si>
    <t>pay_420002650</t>
  </si>
  <si>
    <t>pay_420002673</t>
  </si>
  <si>
    <t>pay_420002712</t>
  </si>
  <si>
    <t>ord26002848</t>
  </si>
  <si>
    <t>pay_420002715</t>
  </si>
  <si>
    <t>ord26002852</t>
  </si>
  <si>
    <t>pay_420002726</t>
  </si>
  <si>
    <t>ORD-26002864</t>
  </si>
  <si>
    <t>pay_420002762</t>
  </si>
  <si>
    <t>pay_420002782</t>
  </si>
  <si>
    <t>pay_420002877</t>
  </si>
  <si>
    <t>pay_420002885</t>
  </si>
  <si>
    <t>pay_420002919</t>
  </si>
  <si>
    <t>pay_420002958</t>
  </si>
  <si>
    <t>pay_420003040</t>
  </si>
  <si>
    <t>pay_420003078</t>
  </si>
  <si>
    <t>pay_420003080</t>
  </si>
  <si>
    <t>pay_420003140</t>
  </si>
  <si>
    <t>ord26003301</t>
  </si>
  <si>
    <t>pay_420003150</t>
  </si>
  <si>
    <t>pay_420003175</t>
  </si>
  <si>
    <t>pay_420003259</t>
  </si>
  <si>
    <t>pay_420003325</t>
  </si>
  <si>
    <t>pay_420003351</t>
  </si>
  <si>
    <t>pay_420003352</t>
  </si>
  <si>
    <t>pay_420003370</t>
  </si>
  <si>
    <t>pay_420003396</t>
  </si>
  <si>
    <t>pay_420003400</t>
  </si>
  <si>
    <t>pay_420003401</t>
  </si>
  <si>
    <t>pay_420003410</t>
  </si>
  <si>
    <t>pay_420003501</t>
  </si>
  <si>
    <t>pay_420003550</t>
  </si>
  <si>
    <t>pay_420003582</t>
  </si>
  <si>
    <t>ord26003750</t>
  </si>
  <si>
    <t>pay_420003603</t>
  </si>
  <si>
    <t>pay_420003631</t>
  </si>
  <si>
    <t>ORD-26003801</t>
  </si>
  <si>
    <t>pay_420003632</t>
  </si>
  <si>
    <t>ORD-26003803</t>
  </si>
  <si>
    <t>pay_420003634</t>
  </si>
  <si>
    <t>pay_420003665</t>
  </si>
  <si>
    <t>pay_420003670</t>
  </si>
  <si>
    <t>pay_420003702</t>
  </si>
  <si>
    <t>pay_420003744</t>
  </si>
  <si>
    <t>pay_420003868</t>
  </si>
  <si>
    <t>pay_420003890</t>
  </si>
  <si>
    <t>pay_420003917</t>
  </si>
  <si>
    <t>pay_420003925</t>
  </si>
  <si>
    <t>pay_420003930</t>
  </si>
  <si>
    <t>pay_420003965</t>
  </si>
  <si>
    <t>pay_420004029</t>
  </si>
  <si>
    <t>pay_420004049</t>
  </si>
  <si>
    <t>pay_420004128</t>
  </si>
  <si>
    <t>pay_420004130</t>
  </si>
  <si>
    <t>pay_420004163</t>
  </si>
  <si>
    <t>pay_420004174</t>
  </si>
  <si>
    <t>pay_420004265</t>
  </si>
  <si>
    <t>pay_420004383</t>
  </si>
  <si>
    <t>pay_420004508</t>
  </si>
  <si>
    <t>ord26004721</t>
  </si>
  <si>
    <t>pay_420004535</t>
  </si>
  <si>
    <t>pay_420004576</t>
  </si>
  <si>
    <t>pay_420004584</t>
  </si>
  <si>
    <t>ord26004796</t>
  </si>
  <si>
    <t>pay_420004586</t>
  </si>
  <si>
    <t>pay_420004624</t>
  </si>
  <si>
    <t>pay_420004639</t>
  </si>
  <si>
    <t>pay_420004662</t>
  </si>
  <si>
    <t>pay_420004665</t>
  </si>
  <si>
    <t>pay_420004784</t>
  </si>
  <si>
    <t>pay_420004799</t>
  </si>
  <si>
    <t>pay_420004800</t>
  </si>
  <si>
    <t>pay_420004801</t>
  </si>
  <si>
    <t>pay_420004839</t>
  </si>
  <si>
    <t>pay_420004875</t>
  </si>
  <si>
    <t>pay_420004920</t>
  </si>
  <si>
    <t>pay_420004922</t>
  </si>
  <si>
    <t>pay_420004954</t>
  </si>
  <si>
    <t>pay_420005033</t>
  </si>
  <si>
    <t>pay_420005071</t>
  </si>
  <si>
    <t>pay_420005154</t>
  </si>
  <si>
    <t>pay_420005194</t>
  </si>
  <si>
    <t>pay_420005226</t>
  </si>
  <si>
    <t>pay_420005242</t>
  </si>
  <si>
    <t>pay_420005285</t>
  </si>
  <si>
    <t>pay_420005303</t>
  </si>
  <si>
    <t>pay_420005341</t>
  </si>
  <si>
    <t>pay_420005373</t>
  </si>
  <si>
    <t>pay_420005398</t>
  </si>
  <si>
    <t>pay_420005452</t>
  </si>
  <si>
    <t>pay_420005492</t>
  </si>
  <si>
    <t>pay_420005559</t>
  </si>
  <si>
    <t>pay_420005581</t>
  </si>
  <si>
    <t>ord26005838</t>
  </si>
  <si>
    <t>pay_420005586</t>
  </si>
  <si>
    <t>pay_420005623</t>
  </si>
  <si>
    <t>pay_420005633</t>
  </si>
  <si>
    <t>ord26005896</t>
  </si>
  <si>
    <t>pay_420005652</t>
  </si>
  <si>
    <t>ORD-26005917</t>
  </si>
  <si>
    <t>pay_420005713</t>
  </si>
  <si>
    <t>pay_420005742</t>
  </si>
  <si>
    <t>ORD26006507</t>
  </si>
  <si>
    <t>rfnd_H0TSBDZ38SBS</t>
  </si>
  <si>
    <t>rfnd_L9S3BZFNTJCG</t>
  </si>
  <si>
    <t>rfnd_MNV4E2THTF50</t>
  </si>
  <si>
    <t>pay_420000049</t>
  </si>
  <si>
    <t>pay_420000066</t>
  </si>
  <si>
    <t>pay_420000105</t>
  </si>
  <si>
    <t>pay_420000152</t>
  </si>
  <si>
    <t>pay_420000158</t>
  </si>
  <si>
    <t>pay_420000178</t>
  </si>
  <si>
    <t>pay_420000221</t>
  </si>
  <si>
    <t>pay_420000232</t>
  </si>
  <si>
    <t>ord26000247</t>
  </si>
  <si>
    <t>pay_420000237</t>
  </si>
  <si>
    <t>pay_420000330</t>
  </si>
  <si>
    <t>pay_420000334</t>
  </si>
  <si>
    <t>pay_420000367</t>
  </si>
  <si>
    <t>pay_420000398</t>
  </si>
  <si>
    <t>pay_420000417</t>
  </si>
  <si>
    <t>pay_420000452</t>
  </si>
  <si>
    <t>pay_420000501</t>
  </si>
  <si>
    <t>pay_420000527</t>
  </si>
  <si>
    <t>pay_420000562</t>
  </si>
  <si>
    <t>pay_420000618</t>
  </si>
  <si>
    <t>pay_420000643</t>
  </si>
  <si>
    <t>pay_420000653</t>
  </si>
  <si>
    <t xml:space="preserve">ORD26000681  </t>
  </si>
  <si>
    <t>pay_420000667</t>
  </si>
  <si>
    <t>pay_420000680</t>
  </si>
  <si>
    <t>pay_420000684</t>
  </si>
  <si>
    <t>ord26000714</t>
  </si>
  <si>
    <t>pay_420000689</t>
  </si>
  <si>
    <t>pay_420000698</t>
  </si>
  <si>
    <t>pay_420000703</t>
  </si>
  <si>
    <t>pay_420000720</t>
  </si>
  <si>
    <t>pay_420000737</t>
  </si>
  <si>
    <t>pay_420000752</t>
  </si>
  <si>
    <t xml:space="preserve">ORD26000784  </t>
  </si>
  <si>
    <t>pay_420000767</t>
  </si>
  <si>
    <t>ORD-26000800</t>
  </si>
  <si>
    <t>pay_420000779</t>
  </si>
  <si>
    <t>ORD-26000812</t>
  </si>
  <si>
    <t>pay_420000847</t>
  </si>
  <si>
    <t>pay_420000967</t>
  </si>
  <si>
    <t>pay_420001026</t>
  </si>
  <si>
    <t>pay_420001103</t>
  </si>
  <si>
    <t>pay_420001159</t>
  </si>
  <si>
    <t>pay_420001226</t>
  </si>
  <si>
    <t>pay_420001244</t>
  </si>
  <si>
    <t>pay_420001287</t>
  </si>
  <si>
    <t>pay_420001331</t>
  </si>
  <si>
    <t>pay_420001332</t>
  </si>
  <si>
    <t xml:space="preserve">ORD26001395  </t>
  </si>
  <si>
    <t>pay_420001339</t>
  </si>
  <si>
    <t>pay_420001341</t>
  </si>
  <si>
    <t>pay_420001406</t>
  </si>
  <si>
    <t>ord26001476</t>
  </si>
  <si>
    <t>pay_420001432</t>
  </si>
  <si>
    <t>pay_420001442</t>
  </si>
  <si>
    <t>pay_420001452</t>
  </si>
  <si>
    <t>pay_420001468</t>
  </si>
  <si>
    <t>pay_420001487</t>
  </si>
  <si>
    <t>pay_420001496</t>
  </si>
  <si>
    <t>pay_420001548</t>
  </si>
  <si>
    <t>pay_420001563</t>
  </si>
  <si>
    <t>pay_420001572</t>
  </si>
  <si>
    <t>ord26001643</t>
  </si>
  <si>
    <t>pay_420001602</t>
  </si>
  <si>
    <t>ORD-26001677</t>
  </si>
  <si>
    <t>pay_420001672</t>
  </si>
  <si>
    <t>pay_420001702</t>
  </si>
  <si>
    <t>pay_420001712</t>
  </si>
  <si>
    <t>pay_420001780</t>
  </si>
  <si>
    <t>pay_420001781</t>
  </si>
  <si>
    <t>ord26001863</t>
  </si>
  <si>
    <t>pay_420001805</t>
  </si>
  <si>
    <t>pay_420001823</t>
  </si>
  <si>
    <t>pay_420001836</t>
  </si>
  <si>
    <t>pay_420001892</t>
  </si>
  <si>
    <t>pay_420002011</t>
  </si>
  <si>
    <t>pay_420002048</t>
  </si>
  <si>
    <t>pay_420002073</t>
  </si>
  <si>
    <t>pay_420002085</t>
  </si>
  <si>
    <t>pay_420002119</t>
  </si>
  <si>
    <t xml:space="preserve">ORD26002221  </t>
  </si>
  <si>
    <t>pay_420002199</t>
  </si>
  <si>
    <t>ORD-26002304</t>
  </si>
  <si>
    <t>pay_420002204</t>
  </si>
  <si>
    <t>pay_420002214</t>
  </si>
  <si>
    <t>pay_420002364</t>
  </si>
  <si>
    <t>pay_420002365</t>
  </si>
  <si>
    <t>pay_420002370</t>
  </si>
  <si>
    <t>pay_420002394</t>
  </si>
  <si>
    <t>pay_420002395</t>
  </si>
  <si>
    <t>pay_420002469</t>
  </si>
  <si>
    <t>pay_420002501</t>
  </si>
  <si>
    <t>ord26002621</t>
  </si>
  <si>
    <t>pay_420002532</t>
  </si>
  <si>
    <t>pay_420002536</t>
  </si>
  <si>
    <t>pay_420002546</t>
  </si>
  <si>
    <t>pay_420002566</t>
  </si>
  <si>
    <t>pay_420002570</t>
  </si>
  <si>
    <t>pay_420002574</t>
  </si>
  <si>
    <t>pay_420002591</t>
  </si>
  <si>
    <t>pay_420002618</t>
  </si>
  <si>
    <t>pay_420002623</t>
  </si>
  <si>
    <t>pay_420002644</t>
  </si>
  <si>
    <t>pay_420002667</t>
  </si>
  <si>
    <t>pay_420002695</t>
  </si>
  <si>
    <t>pay_420002749</t>
  </si>
  <si>
    <t>pay_420002757</t>
  </si>
  <si>
    <t>pay_420002765</t>
  </si>
  <si>
    <t>pay_420002771</t>
  </si>
  <si>
    <t>pay_420002837</t>
  </si>
  <si>
    <t>pay_420002841</t>
  </si>
  <si>
    <t>pay_420002873</t>
  </si>
  <si>
    <t>pay_420002890</t>
  </si>
  <si>
    <t>pay_420002912</t>
  </si>
  <si>
    <t>pay_420002946</t>
  </si>
  <si>
    <t>pay_420002971</t>
  </si>
  <si>
    <t>pay_420003026</t>
  </si>
  <si>
    <t>pay_420003073</t>
  </si>
  <si>
    <t>pay_420003087</t>
  </si>
  <si>
    <t>ORD-26003241</t>
  </si>
  <si>
    <t>pay_420003144</t>
  </si>
  <si>
    <t>pay_420003152</t>
  </si>
  <si>
    <t>pay_420003201</t>
  </si>
  <si>
    <t>pay_420003247</t>
  </si>
  <si>
    <t>pay_420003271</t>
  </si>
  <si>
    <t>pay_420003295</t>
  </si>
  <si>
    <t>pay_420003306</t>
  </si>
  <si>
    <t>ord26003469</t>
  </si>
  <si>
    <t>pay_420003343</t>
  </si>
  <si>
    <t>pay_420003360</t>
  </si>
  <si>
    <t>ord26003524</t>
  </si>
  <si>
    <t>pay_420003411</t>
  </si>
  <si>
    <t>pay_420003444</t>
  </si>
  <si>
    <t>pay_420003473</t>
  </si>
  <si>
    <t xml:space="preserve">ORD26003641  </t>
  </si>
  <si>
    <t>pay_420003489</t>
  </si>
  <si>
    <t>pay_420003556</t>
  </si>
  <si>
    <t>pay_420003594</t>
  </si>
  <si>
    <t>ORD-26003763</t>
  </si>
  <si>
    <t>pay_420003600</t>
  </si>
  <si>
    <t>pay_420003626</t>
  </si>
  <si>
    <t>pay_420003674</t>
  </si>
  <si>
    <t>pay_420003719</t>
  </si>
  <si>
    <t>pay_420003729</t>
  </si>
  <si>
    <t>pay_420003759</t>
  </si>
  <si>
    <t>pay_420003907</t>
  </si>
  <si>
    <t>pay_420003916</t>
  </si>
  <si>
    <t xml:space="preserve">ORD26004098  </t>
  </si>
  <si>
    <t>pay_420003940</t>
  </si>
  <si>
    <t>pay_420003967</t>
  </si>
  <si>
    <t>pay_420003981</t>
  </si>
  <si>
    <t>pay_420003985</t>
  </si>
  <si>
    <t>pay_420004047</t>
  </si>
  <si>
    <t>pay_420004085</t>
  </si>
  <si>
    <t>pay_420004107</t>
  </si>
  <si>
    <t>pay_420004129</t>
  </si>
  <si>
    <t>pay_420004141</t>
  </si>
  <si>
    <t>pay_420004148</t>
  </si>
  <si>
    <t xml:space="preserve">ORD26004340  </t>
  </si>
  <si>
    <t>pay_420004151</t>
  </si>
  <si>
    <t>pay_420004165</t>
  </si>
  <si>
    <t>pay_420004194</t>
  </si>
  <si>
    <t>pay_420004217</t>
  </si>
  <si>
    <t>pay_420004241</t>
  </si>
  <si>
    <t>pay_420004257</t>
  </si>
  <si>
    <t>pay_420004266</t>
  </si>
  <si>
    <t>pay_420004309</t>
  </si>
  <si>
    <t>pay_420004336</t>
  </si>
  <si>
    <t>pay_420004364</t>
  </si>
  <si>
    <t>ORD-26004566</t>
  </si>
  <si>
    <t>pay_420004369</t>
  </si>
  <si>
    <t>pay_420004391</t>
  </si>
  <si>
    <t>pay_420004444</t>
  </si>
  <si>
    <t>pay_420004551</t>
  </si>
  <si>
    <t>ord26004766</t>
  </si>
  <si>
    <t>pay_420004649</t>
  </si>
  <si>
    <t>pay_420004652</t>
  </si>
  <si>
    <t>pay_420004653</t>
  </si>
  <si>
    <t xml:space="preserve">ORD26004873  </t>
  </si>
  <si>
    <t>pay_420004673</t>
  </si>
  <si>
    <t>pay_420004676</t>
  </si>
  <si>
    <t>pay_420004677</t>
  </si>
  <si>
    <t>pay_420004712</t>
  </si>
  <si>
    <t>pay_420004751</t>
  </si>
  <si>
    <t>pay_420004771</t>
  </si>
  <si>
    <t>pay_420004778</t>
  </si>
  <si>
    <t>ORD-26005000</t>
  </si>
  <si>
    <t>pay_420004824</t>
  </si>
  <si>
    <t>pay_420004846</t>
  </si>
  <si>
    <t>pay_420004869</t>
  </si>
  <si>
    <t>pay_420004900</t>
  </si>
  <si>
    <t>pay_420004956</t>
  </si>
  <si>
    <t xml:space="preserve">ORD26005188  </t>
  </si>
  <si>
    <t>pay_420004961</t>
  </si>
  <si>
    <t>pay_420004980</t>
  </si>
  <si>
    <t>pay_420004981</t>
  </si>
  <si>
    <t>pay_420005082</t>
  </si>
  <si>
    <t>pay_420005165</t>
  </si>
  <si>
    <t>pay_420005169</t>
  </si>
  <si>
    <t>pay_420005172</t>
  </si>
  <si>
    <t>pay_420005175</t>
  </si>
  <si>
    <t>pay_420005197</t>
  </si>
  <si>
    <t>pay_420005298</t>
  </si>
  <si>
    <t>pay_420005321</t>
  </si>
  <si>
    <t>pay_420005337</t>
  </si>
  <si>
    <t>pay_420005404</t>
  </si>
  <si>
    <t>pay_420005443</t>
  </si>
  <si>
    <t>pay_420005444</t>
  </si>
  <si>
    <t>pay_420005587</t>
  </si>
  <si>
    <t>pay_420005602</t>
  </si>
  <si>
    <t>pay_420005607</t>
  </si>
  <si>
    <t>pay_420005614</t>
  </si>
  <si>
    <t>ord26005872</t>
  </si>
  <si>
    <t>pay_420005622</t>
  </si>
  <si>
    <t>pay_420005624</t>
  </si>
  <si>
    <t>pay_420005643</t>
  </si>
  <si>
    <t>pay_420005655</t>
  </si>
  <si>
    <t>pay_420005719</t>
  </si>
  <si>
    <t>rfnd_8VZYXVMEVLAZ</t>
  </si>
  <si>
    <t>rfnd_ERT4JL6UUC59</t>
  </si>
  <si>
    <t>rfnd_H1FHHSUWJT48</t>
  </si>
  <si>
    <t>rfnd_LAKG09C77EVQ</t>
  </si>
  <si>
    <t>rfnd_SPUQNJK2X0FF</t>
  </si>
  <si>
    <t>rfnd_U7CCCJMRNGUG</t>
  </si>
  <si>
    <t>rfnd_UD7UL8KL0VAW</t>
  </si>
  <si>
    <t>pay_420000009</t>
  </si>
  <si>
    <t>pay_420000025</t>
  </si>
  <si>
    <t>pay_420000098</t>
  </si>
  <si>
    <t>pay_420000193</t>
  </si>
  <si>
    <t>ord26000206</t>
  </si>
  <si>
    <t>pay_420000218</t>
  </si>
  <si>
    <t>pay_420000276</t>
  </si>
  <si>
    <t>pay_420000292</t>
  </si>
  <si>
    <t>pay_420000294</t>
  </si>
  <si>
    <t>pay_420000301</t>
  </si>
  <si>
    <t>pay_420000343</t>
  </si>
  <si>
    <t>pay_420000354</t>
  </si>
  <si>
    <t>pay_420000374</t>
  </si>
  <si>
    <t>pay_420000377</t>
  </si>
  <si>
    <t>pay_420000423</t>
  </si>
  <si>
    <t>pay_420000451</t>
  </si>
  <si>
    <t>pay_420000528</t>
  </si>
  <si>
    <t>pay_420000586</t>
  </si>
  <si>
    <t>pay_420000601</t>
  </si>
  <si>
    <t>pay_420000617</t>
  </si>
  <si>
    <t>pay_420000626</t>
  </si>
  <si>
    <t>pay_420000628</t>
  </si>
  <si>
    <t>ord26000655</t>
  </si>
  <si>
    <t>pay_420000652</t>
  </si>
  <si>
    <t>pay_420000685</t>
  </si>
  <si>
    <t>pay_420000688</t>
  </si>
  <si>
    <t>pay_420000708</t>
  </si>
  <si>
    <t>pay_420000800</t>
  </si>
  <si>
    <t>pay_420000809</t>
  </si>
  <si>
    <t>pay_420000815</t>
  </si>
  <si>
    <t>pay_420000816</t>
  </si>
  <si>
    <t>pay_420000827</t>
  </si>
  <si>
    <t>pay_420000857</t>
  </si>
  <si>
    <t>pay_420000879</t>
  </si>
  <si>
    <t>pay_420000893</t>
  </si>
  <si>
    <t>pay_420000898</t>
  </si>
  <si>
    <t>pay_420000922</t>
  </si>
  <si>
    <t xml:space="preserve">ORD26000962  </t>
  </si>
  <si>
    <t>pay_420000932</t>
  </si>
  <si>
    <t>pay_420000947</t>
  </si>
  <si>
    <t>pay_420000952</t>
  </si>
  <si>
    <t>ord26000994</t>
  </si>
  <si>
    <t>pay_420000973</t>
  </si>
  <si>
    <t>pay_420001005</t>
  </si>
  <si>
    <t>pay_420001011</t>
  </si>
  <si>
    <t>pay_420001043</t>
  </si>
  <si>
    <t>pay_420001096</t>
  </si>
  <si>
    <t>pay_420001175</t>
  </si>
  <si>
    <t>pay_420001188</t>
  </si>
  <si>
    <t>pay_420001193</t>
  </si>
  <si>
    <t>pay_420001224</t>
  </si>
  <si>
    <t>pay_420001268</t>
  </si>
  <si>
    <t>pay_420001291</t>
  </si>
  <si>
    <t>pay_420001325</t>
  </si>
  <si>
    <t>pay_420001336</t>
  </si>
  <si>
    <t>pay_420001378</t>
  </si>
  <si>
    <t>ord26001447</t>
  </si>
  <si>
    <t>pay_420001435</t>
  </si>
  <si>
    <t>pay_420001436</t>
  </si>
  <si>
    <t>ORD-26001503</t>
  </si>
  <si>
    <t>pay_420001509</t>
  </si>
  <si>
    <t>pay_420001514</t>
  </si>
  <si>
    <t>pay_420001542</t>
  </si>
  <si>
    <t>ord26001610</t>
  </si>
  <si>
    <t>pay_420001620</t>
  </si>
  <si>
    <t>pay_420001621</t>
  </si>
  <si>
    <t>ord26001696</t>
  </si>
  <si>
    <t>pay_420001682</t>
  </si>
  <si>
    <t>pay_420001686</t>
  </si>
  <si>
    <t>pay_420001704</t>
  </si>
  <si>
    <t>pay_420001732</t>
  </si>
  <si>
    <t>pay_420001741</t>
  </si>
  <si>
    <t>pay_420001802</t>
  </si>
  <si>
    <t>ord26001885</t>
  </si>
  <si>
    <t>pay_420001840</t>
  </si>
  <si>
    <t>pay_420001845</t>
  </si>
  <si>
    <t>pay_420001884</t>
  </si>
  <si>
    <t>pay_420001897</t>
  </si>
  <si>
    <t>pay_420001909</t>
  </si>
  <si>
    <t>pay_420001917</t>
  </si>
  <si>
    <t>pay_420001918</t>
  </si>
  <si>
    <t>pay_420001938</t>
  </si>
  <si>
    <t>pay_420001985</t>
  </si>
  <si>
    <t>pay_420001991</t>
  </si>
  <si>
    <t>pay_420002020</t>
  </si>
  <si>
    <t>pay_420002021</t>
  </si>
  <si>
    <t>pay_420002135</t>
  </si>
  <si>
    <t>pay_420002174</t>
  </si>
  <si>
    <t>pay_420002187</t>
  </si>
  <si>
    <t>pay_420002218</t>
  </si>
  <si>
    <t>pay_420002228</t>
  </si>
  <si>
    <t>pay_420002233</t>
  </si>
  <si>
    <t>pay_420002285</t>
  </si>
  <si>
    <t xml:space="preserve">ORD26002395  </t>
  </si>
  <si>
    <t>pay_420002309</t>
  </si>
  <si>
    <t>pay_420002315</t>
  </si>
  <si>
    <t>pay_420002325</t>
  </si>
  <si>
    <t>pay_420002341</t>
  </si>
  <si>
    <t>pay_420002351</t>
  </si>
  <si>
    <t>pay_420002433</t>
  </si>
  <si>
    <t>pay_420002435</t>
  </si>
  <si>
    <t>pay_420002464</t>
  </si>
  <si>
    <t>pay_420002471</t>
  </si>
  <si>
    <t>pay_420002496</t>
  </si>
  <si>
    <t>ord26002614</t>
  </si>
  <si>
    <t>pay_420002503</t>
  </si>
  <si>
    <t>pay_420002504</t>
  </si>
  <si>
    <t>pay_420002508</t>
  </si>
  <si>
    <t>pay_420002521</t>
  </si>
  <si>
    <t>pay_420002552</t>
  </si>
  <si>
    <t>pay_420002589</t>
  </si>
  <si>
    <t>pay_420002637</t>
  </si>
  <si>
    <t>pay_420002710</t>
  </si>
  <si>
    <t>pay_420002720</t>
  </si>
  <si>
    <t>ORD-26002858</t>
  </si>
  <si>
    <t>pay_420002941</t>
  </si>
  <si>
    <t>pay_420002943</t>
  </si>
  <si>
    <t>pay_420002962</t>
  </si>
  <si>
    <t>pay_420002965</t>
  </si>
  <si>
    <t>ord26003111</t>
  </si>
  <si>
    <t>pay_420002997</t>
  </si>
  <si>
    <t>pay_420003048</t>
  </si>
  <si>
    <t>pay_420003060</t>
  </si>
  <si>
    <t>ord26003212</t>
  </si>
  <si>
    <t>pay_420003070</t>
  </si>
  <si>
    <t>pay_420003084</t>
  </si>
  <si>
    <t>pay_420003106</t>
  </si>
  <si>
    <t>pay_420003151</t>
  </si>
  <si>
    <t>pay_420003166</t>
  </si>
  <si>
    <t>pay_420003231</t>
  </si>
  <si>
    <t>pay_420003302</t>
  </si>
  <si>
    <t>pay_420003376</t>
  </si>
  <si>
    <t>pay_420003441</t>
  </si>
  <si>
    <t>pay_420003442</t>
  </si>
  <si>
    <t xml:space="preserve">ORD26003611  </t>
  </si>
  <si>
    <t>pay_420003446</t>
  </si>
  <si>
    <t>ORD-26003615</t>
  </si>
  <si>
    <t>pay_420003505</t>
  </si>
  <si>
    <t>pay_420003517</t>
  </si>
  <si>
    <t>pay_420003533</t>
  </si>
  <si>
    <t>pay_420003577</t>
  </si>
  <si>
    <t>pay_420003644</t>
  </si>
  <si>
    <t>pay_420003671</t>
  </si>
  <si>
    <t>pay_420003779</t>
  </si>
  <si>
    <t>pay_420003801</t>
  </si>
  <si>
    <t>pay_420003829</t>
  </si>
  <si>
    <t>pay_420003843</t>
  </si>
  <si>
    <t>pay_420003879</t>
  </si>
  <si>
    <t>pay_420003893</t>
  </si>
  <si>
    <t>pay_420003910</t>
  </si>
  <si>
    <t>pay_420003912</t>
  </si>
  <si>
    <t xml:space="preserve">ORD26004094  </t>
  </si>
  <si>
    <t>pay_420003951</t>
  </si>
  <si>
    <t>pay_420003961</t>
  </si>
  <si>
    <t>pay_420003997</t>
  </si>
  <si>
    <t>pay_420004069</t>
  </si>
  <si>
    <t>pay_420004105</t>
  </si>
  <si>
    <t>pay_420004124</t>
  </si>
  <si>
    <t>pay_420004131</t>
  </si>
  <si>
    <t>pay_420004139</t>
  </si>
  <si>
    <t>pay_420004182</t>
  </si>
  <si>
    <t>pay_420004201</t>
  </si>
  <si>
    <t>pay_420004207</t>
  </si>
  <si>
    <t>pay_420004212</t>
  </si>
  <si>
    <t>pay_420004221</t>
  </si>
  <si>
    <t>pay_420004232</t>
  </si>
  <si>
    <t>ord26004430</t>
  </si>
  <si>
    <t>pay_420004233</t>
  </si>
  <si>
    <t>pay_420004273</t>
  </si>
  <si>
    <t>pay_420004274</t>
  </si>
  <si>
    <t>pay_420004307</t>
  </si>
  <si>
    <t>pay_420004318</t>
  </si>
  <si>
    <t>pay_420004331</t>
  </si>
  <si>
    <t>ord26004532</t>
  </si>
  <si>
    <t>pay_420004333</t>
  </si>
  <si>
    <t>pay_420004365</t>
  </si>
  <si>
    <t xml:space="preserve">ORD26004567  </t>
  </si>
  <si>
    <t>pay_420004389</t>
  </si>
  <si>
    <t>pay_420004407</t>
  </si>
  <si>
    <t>pay_420004413</t>
  </si>
  <si>
    <t xml:space="preserve">ORD26004620  </t>
  </si>
  <si>
    <t>pay_420004468</t>
  </si>
  <si>
    <t>pay_420004523</t>
  </si>
  <si>
    <t>pay_420004630</t>
  </si>
  <si>
    <t>pay_420004633</t>
  </si>
  <si>
    <t>pay_420004678</t>
  </si>
  <si>
    <t>pay_420004683</t>
  </si>
  <si>
    <t>pay_420004719</t>
  </si>
  <si>
    <t>pay_420004757</t>
  </si>
  <si>
    <t>ord26004978</t>
  </si>
  <si>
    <t>pay_420004806</t>
  </si>
  <si>
    <t>pay_420004862</t>
  </si>
  <si>
    <t>pay_420004870</t>
  </si>
  <si>
    <t>pay_420004924</t>
  </si>
  <si>
    <t>pay_420004935</t>
  </si>
  <si>
    <t>pay_420004936</t>
  </si>
  <si>
    <t>pay_420004978</t>
  </si>
  <si>
    <t>pay_420004984</t>
  </si>
  <si>
    <t>ord26005217</t>
  </si>
  <si>
    <t>pay_420004996</t>
  </si>
  <si>
    <t xml:space="preserve">ORD26005232  </t>
  </si>
  <si>
    <t>pay_420005002</t>
  </si>
  <si>
    <t>ord26005238</t>
  </si>
  <si>
    <t>pay_420005030</t>
  </si>
  <si>
    <t>pay_420005053</t>
  </si>
  <si>
    <t>ORD-26005292</t>
  </si>
  <si>
    <t>pay_420005068</t>
  </si>
  <si>
    <t>pay_420005192</t>
  </si>
  <si>
    <t>pay_420005210</t>
  </si>
  <si>
    <t>pay_420005235</t>
  </si>
  <si>
    <t>ord26005473</t>
  </si>
  <si>
    <t>pay_420005245</t>
  </si>
  <si>
    <t>pay_420005284</t>
  </si>
  <si>
    <t>ord26005521</t>
  </si>
  <si>
    <t>pay_420005344</t>
  </si>
  <si>
    <t>pay_420005381</t>
  </si>
  <si>
    <t>pay_420005385</t>
  </si>
  <si>
    <t>ord26005627</t>
  </si>
  <si>
    <t>pay_420005402</t>
  </si>
  <si>
    <t>pay_420005412</t>
  </si>
  <si>
    <t>pay_420005414</t>
  </si>
  <si>
    <t>ORD-26005659</t>
  </si>
  <si>
    <t>pay_420005420</t>
  </si>
  <si>
    <t>pay_420005439</t>
  </si>
  <si>
    <t>pay_420005447</t>
  </si>
  <si>
    <t>pay_420005493</t>
  </si>
  <si>
    <t>pay_420005500</t>
  </si>
  <si>
    <t>ord26005749</t>
  </si>
  <si>
    <t>pay_420005507</t>
  </si>
  <si>
    <t>pay_420005509</t>
  </si>
  <si>
    <t>pay_420005510</t>
  </si>
  <si>
    <t>pay_420005524</t>
  </si>
  <si>
    <t>pay_420005575</t>
  </si>
  <si>
    <t>pay_420005723</t>
  </si>
  <si>
    <t>pay_420005732</t>
  </si>
  <si>
    <t>rfnd_080MABWQ0QL9</t>
  </si>
  <si>
    <t>rfnd_VH05KMJJHH6Y</t>
  </si>
  <si>
    <t>pay_420000056</t>
  </si>
  <si>
    <t>pay_420000058</t>
  </si>
  <si>
    <t xml:space="preserve">ORD26000058  </t>
  </si>
  <si>
    <t>pay_420000059</t>
  </si>
  <si>
    <t>pay_420000161</t>
  </si>
  <si>
    <t>pay_420000181</t>
  </si>
  <si>
    <t>pay_420000238</t>
  </si>
  <si>
    <t>pay_420000256</t>
  </si>
  <si>
    <t>pay_420000258</t>
  </si>
  <si>
    <t>ord26000275</t>
  </si>
  <si>
    <t>pay_420000321</t>
  </si>
  <si>
    <t>pay_420000332</t>
  </si>
  <si>
    <t>pay_420000370</t>
  </si>
  <si>
    <t>pay_420000419</t>
  </si>
  <si>
    <t>ord26000436</t>
  </si>
  <si>
    <t>pay_420000450</t>
  </si>
  <si>
    <t>ord26000471</t>
  </si>
  <si>
    <t>pay_420000459</t>
  </si>
  <si>
    <t>pay_420000493</t>
  </si>
  <si>
    <t>pay_420000556</t>
  </si>
  <si>
    <t>pay_420000583</t>
  </si>
  <si>
    <t>pay_420000590</t>
  </si>
  <si>
    <t>pay_420000732</t>
  </si>
  <si>
    <t>pay_420000764</t>
  </si>
  <si>
    <t>pay_420000786</t>
  </si>
  <si>
    <t>ord26000819</t>
  </si>
  <si>
    <t>pay_420000796</t>
  </si>
  <si>
    <t>pay_420000856</t>
  </si>
  <si>
    <t>pay_420000896</t>
  </si>
  <si>
    <t>pay_420000916</t>
  </si>
  <si>
    <t>pay_420000936</t>
  </si>
  <si>
    <t>pay_420000956</t>
  </si>
  <si>
    <t>pay_420001060</t>
  </si>
  <si>
    <t>pay_420001090</t>
  </si>
  <si>
    <t>ord26001133</t>
  </si>
  <si>
    <t>pay_420001198</t>
  </si>
  <si>
    <t>pay_420001243</t>
  </si>
  <si>
    <t>pay_420001257</t>
  </si>
  <si>
    <t>pay_420001265</t>
  </si>
  <si>
    <t>pay_420001271</t>
  </si>
  <si>
    <t>pay_420001311</t>
  </si>
  <si>
    <t>pay_420001315</t>
  </si>
  <si>
    <t>pay_420001345</t>
  </si>
  <si>
    <t>pay_420001381</t>
  </si>
  <si>
    <t>pay_420001425</t>
  </si>
  <si>
    <t>pay_420001500</t>
  </si>
  <si>
    <t>pay_420001578</t>
  </si>
  <si>
    <t>pay_420001593</t>
  </si>
  <si>
    <t>pay_420001599</t>
  </si>
  <si>
    <t>pay_420001636</t>
  </si>
  <si>
    <t>ord26001713</t>
  </si>
  <si>
    <t>pay_420001639</t>
  </si>
  <si>
    <t>pay_420001720</t>
  </si>
  <si>
    <t>pay_420001722</t>
  </si>
  <si>
    <t>pay_420001733</t>
  </si>
  <si>
    <t>pay_420001742</t>
  </si>
  <si>
    <t>ord26001824</t>
  </si>
  <si>
    <t>pay_420001776</t>
  </si>
  <si>
    <t>ORD-26001858</t>
  </si>
  <si>
    <t>pay_420001777</t>
  </si>
  <si>
    <t>pay_420001844</t>
  </si>
  <si>
    <t>pay_420001852</t>
  </si>
  <si>
    <t>pay_420001880</t>
  </si>
  <si>
    <t>pay_420001891</t>
  </si>
  <si>
    <t>pay_420001895</t>
  </si>
  <si>
    <t>pay_420001900</t>
  </si>
  <si>
    <t>pay_420001911</t>
  </si>
  <si>
    <t>pay_420001925</t>
  </si>
  <si>
    <t>pay_420001997</t>
  </si>
  <si>
    <t>pay_420002018</t>
  </si>
  <si>
    <t>pay_420002045</t>
  </si>
  <si>
    <t xml:space="preserve">ORD26002138  </t>
  </si>
  <si>
    <t>pay_420002049</t>
  </si>
  <si>
    <t>pay_420002126</t>
  </si>
  <si>
    <t>pay_420002137</t>
  </si>
  <si>
    <t>pay_420002191</t>
  </si>
  <si>
    <t>pay_420002217</t>
  </si>
  <si>
    <t>pay_420002223</t>
  </si>
  <si>
    <t>pay_420002244</t>
  </si>
  <si>
    <t>pay_420002258</t>
  </si>
  <si>
    <t>pay_420002272</t>
  </si>
  <si>
    <t>pay_420002319</t>
  </si>
  <si>
    <t>ord26002432</t>
  </si>
  <si>
    <t>pay_420002337</t>
  </si>
  <si>
    <t>ord26002451</t>
  </si>
  <si>
    <t>pay_420002359</t>
  </si>
  <si>
    <t>pay_420002374</t>
  </si>
  <si>
    <t>pay_420002389</t>
  </si>
  <si>
    <t>pay_420002396</t>
  </si>
  <si>
    <t>pay_420002415</t>
  </si>
  <si>
    <t>pay_420002480</t>
  </si>
  <si>
    <t>pay_420002507</t>
  </si>
  <si>
    <t>pay_420002523</t>
  </si>
  <si>
    <t>pay_420002651</t>
  </si>
  <si>
    <t>pay_420002682</t>
  </si>
  <si>
    <t>pay_420002702</t>
  </si>
  <si>
    <t>pay_420002704</t>
  </si>
  <si>
    <t>pay_420002736</t>
  </si>
  <si>
    <t>ord26002873</t>
  </si>
  <si>
    <t>pay_420002737</t>
  </si>
  <si>
    <t>pay_420002741</t>
  </si>
  <si>
    <t>pay_420002792</t>
  </si>
  <si>
    <t>pay_420002826</t>
  </si>
  <si>
    <t>pay_420002901</t>
  </si>
  <si>
    <t>pay_420002903</t>
  </si>
  <si>
    <t>pay_420002990</t>
  </si>
  <si>
    <t>ORD-26003139</t>
  </si>
  <si>
    <t>pay_420003077</t>
  </si>
  <si>
    <t>pay_420003158</t>
  </si>
  <si>
    <t>pay_420003193</t>
  </si>
  <si>
    <t>pay_420003208</t>
  </si>
  <si>
    <t>pay_420003260</t>
  </si>
  <si>
    <t>pay_420003274</t>
  </si>
  <si>
    <t>pay_420003275</t>
  </si>
  <si>
    <t>pay_420003283</t>
  </si>
  <si>
    <t>pay_420003308</t>
  </si>
  <si>
    <t>pay_420003316</t>
  </si>
  <si>
    <t>ORD-26003478</t>
  </si>
  <si>
    <t>pay_420003323</t>
  </si>
  <si>
    <t>pay_420003409</t>
  </si>
  <si>
    <t>pay_420003459</t>
  </si>
  <si>
    <t>pay_420003464</t>
  </si>
  <si>
    <t>pay_420003513</t>
  </si>
  <si>
    <t>pay_420003527</t>
  </si>
  <si>
    <t>pay_420003591</t>
  </si>
  <si>
    <t>pay_420003605</t>
  </si>
  <si>
    <t>pay_420003624</t>
  </si>
  <si>
    <t>pay_420003666</t>
  </si>
  <si>
    <t>pay_420003727</t>
  </si>
  <si>
    <t>ord26003899</t>
  </si>
  <si>
    <t>pay_420003741</t>
  </si>
  <si>
    <t>pay_420003808</t>
  </si>
  <si>
    <t>pay_420003811</t>
  </si>
  <si>
    <t>pay_420003839</t>
  </si>
  <si>
    <t>pay_420003883</t>
  </si>
  <si>
    <t>pay_420003941</t>
  </si>
  <si>
    <t>pay_420004013</t>
  </si>
  <si>
    <t>pay_420004018</t>
  </si>
  <si>
    <t>pay_420004030</t>
  </si>
  <si>
    <t>pay_420004045</t>
  </si>
  <si>
    <t>pay_420004126</t>
  </si>
  <si>
    <t>pay_420004135</t>
  </si>
  <si>
    <t>pay_420004160</t>
  </si>
  <si>
    <t>pay_420004184</t>
  </si>
  <si>
    <t>pay_420004188</t>
  </si>
  <si>
    <t>pay_420004346</t>
  </si>
  <si>
    <t>pay_420004356</t>
  </si>
  <si>
    <t>pay_420004357</t>
  </si>
  <si>
    <t>pay_420004358</t>
  </si>
  <si>
    <t>pay_420004359</t>
  </si>
  <si>
    <t>pay_420004416</t>
  </si>
  <si>
    <t>pay_420004451</t>
  </si>
  <si>
    <t>pay_420004489</t>
  </si>
  <si>
    <t>ORD-26004702</t>
  </si>
  <si>
    <t>pay_420004587</t>
  </si>
  <si>
    <t>pay_420004629</t>
  </si>
  <si>
    <t>pay_420004687</t>
  </si>
  <si>
    <t>pay_420004696</t>
  </si>
  <si>
    <t>pay_420004735</t>
  </si>
  <si>
    <t>pay_420004851</t>
  </si>
  <si>
    <t>pay_420004899</t>
  </si>
  <si>
    <t>pay_420004940</t>
  </si>
  <si>
    <t>pay_420005092</t>
  </si>
  <si>
    <t>pay_420005117</t>
  </si>
  <si>
    <t>pay_420005187</t>
  </si>
  <si>
    <t>pay_420005222</t>
  </si>
  <si>
    <t>pay_420005244</t>
  </si>
  <si>
    <t>pay_420005248</t>
  </si>
  <si>
    <t>pay_420005301</t>
  </si>
  <si>
    <t>pay_420005308</t>
  </si>
  <si>
    <t xml:space="preserve">ORD26005547  </t>
  </si>
  <si>
    <t>pay_420005318</t>
  </si>
  <si>
    <t>pay_420005351</t>
  </si>
  <si>
    <t>pay_420005394</t>
  </si>
  <si>
    <t>pay_420005489</t>
  </si>
  <si>
    <t>pay_420005513</t>
  </si>
  <si>
    <t>pay_420005554</t>
  </si>
  <si>
    <t>pay_420005556</t>
  </si>
  <si>
    <t>pay_420005576</t>
  </si>
  <si>
    <t>pay_420005589</t>
  </si>
  <si>
    <t>pay_420005604</t>
  </si>
  <si>
    <t>pay_420005645</t>
  </si>
  <si>
    <t>pay_420005650</t>
  </si>
  <si>
    <t>pay_420005701</t>
  </si>
  <si>
    <t>pay_420005735</t>
  </si>
  <si>
    <t>ORD26006500</t>
  </si>
  <si>
    <t>rfnd_3WYN6T1DJDB3</t>
  </si>
  <si>
    <t>rfnd_923TWDFZ1WTG</t>
  </si>
  <si>
    <t>rfnd_AF71HLNWW6VE</t>
  </si>
  <si>
    <t>rfnd_B6Q39G8ABCMT</t>
  </si>
  <si>
    <t>rfnd_C84CZNYQMCGQ</t>
  </si>
  <si>
    <t>rfnd_ELK4CYW2S39A</t>
  </si>
  <si>
    <t>rfnd_LKQ537NCSW65</t>
  </si>
  <si>
    <t>rfnd_LSJD3PE5HVE9</t>
  </si>
  <si>
    <t>rfnd_LUCTZT2S87QS</t>
  </si>
  <si>
    <t>rfnd_PNEVYM1ELNJR</t>
  </si>
  <si>
    <t>rfnd_RGKJEWQ134NR</t>
  </si>
  <si>
    <t>rfnd_RK96FUYLZ0GU</t>
  </si>
  <si>
    <t>rfnd_VDHANAGHWRJ7</t>
  </si>
  <si>
    <t>rfnd_VR9U1P3ACN1Z</t>
  </si>
  <si>
    <t>pay_420000032</t>
  </si>
  <si>
    <t>pay_420000036</t>
  </si>
  <si>
    <t>pay_420000047</t>
  </si>
  <si>
    <t>pay_420000076</t>
  </si>
  <si>
    <t>pay_420000077</t>
  </si>
  <si>
    <t>pay_420000084</t>
  </si>
  <si>
    <t>pay_420000126</t>
  </si>
  <si>
    <t>pay_420000132</t>
  </si>
  <si>
    <t>pay_420000151</t>
  </si>
  <si>
    <t xml:space="preserve">ORD26000161  </t>
  </si>
  <si>
    <t>pay_420000209</t>
  </si>
  <si>
    <t xml:space="preserve">ORD26000223  </t>
  </si>
  <si>
    <t>pay_420000227</t>
  </si>
  <si>
    <t>pay_420000234</t>
  </si>
  <si>
    <t>pay_420000239</t>
  </si>
  <si>
    <t>pay_420000240</t>
  </si>
  <si>
    <t>pay_420000259</t>
  </si>
  <si>
    <t>pay_420000289</t>
  </si>
  <si>
    <t>pay_420000381</t>
  </si>
  <si>
    <t>pay_420000441</t>
  </si>
  <si>
    <t>pay_420000457</t>
  </si>
  <si>
    <t>pay_420000480</t>
  </si>
  <si>
    <t>ORD-26000504</t>
  </si>
  <si>
    <t>pay_420000514</t>
  </si>
  <si>
    <t>pay_420000539</t>
  </si>
  <si>
    <t>pay_420000549</t>
  </si>
  <si>
    <t>pay_420000580</t>
  </si>
  <si>
    <t>pay_420000595</t>
  </si>
  <si>
    <t>pay_420000669</t>
  </si>
  <si>
    <t>ord26000698</t>
  </si>
  <si>
    <t>pay_420000731</t>
  </si>
  <si>
    <t>pay_420000758</t>
  </si>
  <si>
    <t xml:space="preserve">ORD26000790  </t>
  </si>
  <si>
    <t>pay_420000765</t>
  </si>
  <si>
    <t>pay_420000818</t>
  </si>
  <si>
    <t>pay_420000837</t>
  </si>
  <si>
    <t>ord26000872</t>
  </si>
  <si>
    <t>pay_420000844</t>
  </si>
  <si>
    <t>pay_420000991</t>
  </si>
  <si>
    <t>ord26001034</t>
  </si>
  <si>
    <t>pay_420001050</t>
  </si>
  <si>
    <t>pay_420001056</t>
  </si>
  <si>
    <t>pay_420001093</t>
  </si>
  <si>
    <t>pay_420001140</t>
  </si>
  <si>
    <t>pay_420001143</t>
  </si>
  <si>
    <t>pay_420001150</t>
  </si>
  <si>
    <t>pay_420001157</t>
  </si>
  <si>
    <t>pay_420001178</t>
  </si>
  <si>
    <t>pay_420001363</t>
  </si>
  <si>
    <t>pay_420001403</t>
  </si>
  <si>
    <t>pay_420001419</t>
  </si>
  <si>
    <t>ord26001487</t>
  </si>
  <si>
    <t>pay_420001552</t>
  </si>
  <si>
    <t>pay_420001560</t>
  </si>
  <si>
    <t>pay_420001567</t>
  </si>
  <si>
    <t>pay_420001587</t>
  </si>
  <si>
    <t>pay_420001617</t>
  </si>
  <si>
    <t>ord26001692</t>
  </si>
  <si>
    <t>pay_420001633</t>
  </si>
  <si>
    <t>pay_420001669</t>
  </si>
  <si>
    <t>pay_420001699</t>
  </si>
  <si>
    <t>pay_420001738</t>
  </si>
  <si>
    <t xml:space="preserve">ORD26001819  </t>
  </si>
  <si>
    <t>pay_420001755</t>
  </si>
  <si>
    <t>pay_420001794</t>
  </si>
  <si>
    <t>pay_420001803</t>
  </si>
  <si>
    <t>pay_420001867</t>
  </si>
  <si>
    <t>pay_420001883</t>
  </si>
  <si>
    <t>pay_420001922</t>
  </si>
  <si>
    <t>ord26002015</t>
  </si>
  <si>
    <t>pay_420001930</t>
  </si>
  <si>
    <t>pay_420001941</t>
  </si>
  <si>
    <t>pay_420001946</t>
  </si>
  <si>
    <t>ord26002040</t>
  </si>
  <si>
    <t>pay_420001994</t>
  </si>
  <si>
    <t>pay_420002015</t>
  </si>
  <si>
    <t>pay_420002039</t>
  </si>
  <si>
    <t>pay_420002043</t>
  </si>
  <si>
    <t>pay_420002063</t>
  </si>
  <si>
    <t>pay_420002078</t>
  </si>
  <si>
    <t>pay_420002082</t>
  </si>
  <si>
    <t>pay_420002097</t>
  </si>
  <si>
    <t>pay_420002106</t>
  </si>
  <si>
    <t>pay_420002156</t>
  </si>
  <si>
    <t>pay_420002176</t>
  </si>
  <si>
    <t>pay_420002188</t>
  </si>
  <si>
    <t>pay_420002212</t>
  </si>
  <si>
    <t>pay_420002263</t>
  </si>
  <si>
    <t>pay_420002358</t>
  </si>
  <si>
    <t xml:space="preserve">ORD26002471  </t>
  </si>
  <si>
    <t>pay_420002369</t>
  </si>
  <si>
    <t>pay_420002373</t>
  </si>
  <si>
    <t>pay_420002382</t>
  </si>
  <si>
    <t>pay_420002410</t>
  </si>
  <si>
    <t>pay_420002456</t>
  </si>
  <si>
    <t>pay_420002460</t>
  </si>
  <si>
    <t>pay_420002476</t>
  </si>
  <si>
    <t>ord26002592</t>
  </si>
  <si>
    <t>pay_420002479</t>
  </si>
  <si>
    <t>pay_420002505</t>
  </si>
  <si>
    <t>pay_420002519</t>
  </si>
  <si>
    <t>pay_420002524</t>
  </si>
  <si>
    <t>pay_420002539</t>
  </si>
  <si>
    <t>pay_420002545</t>
  </si>
  <si>
    <t xml:space="preserve">ORD26002668  </t>
  </si>
  <si>
    <t>pay_420002597</t>
  </si>
  <si>
    <t>pay_420002606</t>
  </si>
  <si>
    <t>pay_420002630</t>
  </si>
  <si>
    <t>pay_420002661</t>
  </si>
  <si>
    <t>pay_420002669</t>
  </si>
  <si>
    <t>pay_420002707</t>
  </si>
  <si>
    <t>ord26002843</t>
  </si>
  <si>
    <t>pay_420002730</t>
  </si>
  <si>
    <t>pay_420002778</t>
  </si>
  <si>
    <t>pay_420002823</t>
  </si>
  <si>
    <t>pay_420002898</t>
  </si>
  <si>
    <t>pay_420002944</t>
  </si>
  <si>
    <t>pay_420003027</t>
  </si>
  <si>
    <t>pay_420003049</t>
  </si>
  <si>
    <t>ord26003201</t>
  </si>
  <si>
    <t>pay_420003089</t>
  </si>
  <si>
    <t>pay_420003105</t>
  </si>
  <si>
    <t>pay_420003117</t>
  </si>
  <si>
    <t>pay_420003149</t>
  </si>
  <si>
    <t>pay_420003154</t>
  </si>
  <si>
    <t>pay_420003157</t>
  </si>
  <si>
    <t>pay_420003179</t>
  </si>
  <si>
    <t>pay_420003220</t>
  </si>
  <si>
    <t>pay_420003221</t>
  </si>
  <si>
    <t>pay_420003222</t>
  </si>
  <si>
    <t>pay_420003303</t>
  </si>
  <si>
    <t>pay_420003335</t>
  </si>
  <si>
    <t>pay_420003338</t>
  </si>
  <si>
    <t>pay_420003375</t>
  </si>
  <si>
    <t>pay_420003383</t>
  </si>
  <si>
    <t>pay_420003463</t>
  </si>
  <si>
    <t>ORD-26003631</t>
  </si>
  <si>
    <t>pay_420003466</t>
  </si>
  <si>
    <t>pay_420003470</t>
  </si>
  <si>
    <t>pay_420003476</t>
  </si>
  <si>
    <t>pay_420003528</t>
  </si>
  <si>
    <t>pay_420003623</t>
  </si>
  <si>
    <t>pay_420003628</t>
  </si>
  <si>
    <t>pay_420003682</t>
  </si>
  <si>
    <t>pay_420003700</t>
  </si>
  <si>
    <t>pay_420003849</t>
  </si>
  <si>
    <t xml:space="preserve">ORD26004030  </t>
  </si>
  <si>
    <t>pay_420003882</t>
  </si>
  <si>
    <t>pay_420003921</t>
  </si>
  <si>
    <t>pay_420003939</t>
  </si>
  <si>
    <t>pay_420003954</t>
  </si>
  <si>
    <t>pay_420003993</t>
  </si>
  <si>
    <t>pay_420004040</t>
  </si>
  <si>
    <t>pay_420004065</t>
  </si>
  <si>
    <t>pay_420004068</t>
  </si>
  <si>
    <t>pay_420004170</t>
  </si>
  <si>
    <t>pay_420004239</t>
  </si>
  <si>
    <t>pay_420004254</t>
  </si>
  <si>
    <t>pay_420004288</t>
  </si>
  <si>
    <t>pay_420004294</t>
  </si>
  <si>
    <t>pay_420004312</t>
  </si>
  <si>
    <t>pay_420004342</t>
  </si>
  <si>
    <t>pay_420004354</t>
  </si>
  <si>
    <t>pay_420004403</t>
  </si>
  <si>
    <t>pay_420004431</t>
  </si>
  <si>
    <t>pay_420004453</t>
  </si>
  <si>
    <t>pay_420004484</t>
  </si>
  <si>
    <t>ord26004695</t>
  </si>
  <si>
    <t>pay_420004520</t>
  </si>
  <si>
    <t>pay_420004548</t>
  </si>
  <si>
    <t>pay_420004588</t>
  </si>
  <si>
    <t>pay_420004595</t>
  </si>
  <si>
    <t>pay_420004600</t>
  </si>
  <si>
    <t>pay_420004604</t>
  </si>
  <si>
    <t>pay_420004617</t>
  </si>
  <si>
    <t>pay_420004747</t>
  </si>
  <si>
    <t>pay_420004770</t>
  </si>
  <si>
    <t>pay_420004774</t>
  </si>
  <si>
    <t>pay_420004805</t>
  </si>
  <si>
    <t>pay_420004811</t>
  </si>
  <si>
    <t>pay_420004853</t>
  </si>
  <si>
    <t xml:space="preserve">ORD26005076  </t>
  </si>
  <si>
    <t>pay_420004865</t>
  </si>
  <si>
    <t>pay_420004876</t>
  </si>
  <si>
    <t>pay_420004949</t>
  </si>
  <si>
    <t>pay_420004967</t>
  </si>
  <si>
    <t>pay_420004993</t>
  </si>
  <si>
    <t>pay_420005021</t>
  </si>
  <si>
    <t xml:space="preserve">ORD26005257  </t>
  </si>
  <si>
    <t>pay_420005022</t>
  </si>
  <si>
    <t>pay_420005034</t>
  </si>
  <si>
    <t>pay_420005036</t>
  </si>
  <si>
    <t>ord26005273</t>
  </si>
  <si>
    <t>pay_420005049</t>
  </si>
  <si>
    <t>ORD-26005287</t>
  </si>
  <si>
    <t>pay_420005059</t>
  </si>
  <si>
    <t>pay_420005176</t>
  </si>
  <si>
    <t xml:space="preserve">ORD26005415  </t>
  </si>
  <si>
    <t>pay_420005206</t>
  </si>
  <si>
    <t>pay_420005207</t>
  </si>
  <si>
    <t>pay_420005218</t>
  </si>
  <si>
    <t>pay_420005253</t>
  </si>
  <si>
    <t>pay_420005274</t>
  </si>
  <si>
    <t>pay_420005296</t>
  </si>
  <si>
    <t>pay_420005334</t>
  </si>
  <si>
    <t>pay_420005416</t>
  </si>
  <si>
    <t>pay_420005436</t>
  </si>
  <si>
    <t>pay_420005480</t>
  </si>
  <si>
    <t>pay_420005550</t>
  </si>
  <si>
    <t>pay_420005560</t>
  </si>
  <si>
    <t>pay_420005571</t>
  </si>
  <si>
    <t>pay_420005593</t>
  </si>
  <si>
    <t>ord26005851</t>
  </si>
  <si>
    <t>pay_420005598</t>
  </si>
  <si>
    <t>pay_420005659</t>
  </si>
  <si>
    <t>rfnd_2K4E7LYSBESV</t>
  </si>
  <si>
    <t>rfnd_CQD1TBB1F0XT</t>
  </si>
  <si>
    <t>rfnd_E8YNDBHKA3L5</t>
  </si>
  <si>
    <t>rfnd_HXR2CSWDHTEE</t>
  </si>
  <si>
    <t>rfnd_MP7P9PN8DFJC</t>
  </si>
  <si>
    <t>rfnd_SZXB9FJAFA2P</t>
  </si>
  <si>
    <t>pay_420000060</t>
  </si>
  <si>
    <t>pay_420000062</t>
  </si>
  <si>
    <t xml:space="preserve">ORD26000062  </t>
  </si>
  <si>
    <t>pay_420000073</t>
  </si>
  <si>
    <t>ord26000075</t>
  </si>
  <si>
    <t>pay_420000095</t>
  </si>
  <si>
    <t>pay_420000159</t>
  </si>
  <si>
    <t>pay_420000399</t>
  </si>
  <si>
    <t>ord26000416</t>
  </si>
  <si>
    <t>pay_420000416</t>
  </si>
  <si>
    <t>pay_420000427</t>
  </si>
  <si>
    <t>pay_420000453</t>
  </si>
  <si>
    <t>pay_420000526</t>
  </si>
  <si>
    <t>ORD-26000551</t>
  </si>
  <si>
    <t>pay_420000581</t>
  </si>
  <si>
    <t>pay_420000599</t>
  </si>
  <si>
    <t>pay_420000648</t>
  </si>
  <si>
    <t>pay_420000656</t>
  </si>
  <si>
    <t>pay_420000672</t>
  </si>
  <si>
    <t>ORD-26000701</t>
  </si>
  <si>
    <t>pay_420000712</t>
  </si>
  <si>
    <t xml:space="preserve">ORD26000745  </t>
  </si>
  <si>
    <t>pay_420000887</t>
  </si>
  <si>
    <t>pay_420000975</t>
  </si>
  <si>
    <t>pay_420001002</t>
  </si>
  <si>
    <t>pay_420001012</t>
  </si>
  <si>
    <t xml:space="preserve">ORD26001055  </t>
  </si>
  <si>
    <t>pay_420001015</t>
  </si>
  <si>
    <t>ORD-26001059</t>
  </si>
  <si>
    <t>pay_420001038</t>
  </si>
  <si>
    <t>pay_420001045</t>
  </si>
  <si>
    <t>ord26001089</t>
  </si>
  <si>
    <t>pay_420001059</t>
  </si>
  <si>
    <t>ord26001102</t>
  </si>
  <si>
    <t>pay_420001070</t>
  </si>
  <si>
    <t>pay_420001083</t>
  </si>
  <si>
    <t xml:space="preserve">ORD26001125  </t>
  </si>
  <si>
    <t>pay_420001087</t>
  </si>
  <si>
    <t>pay_420001110</t>
  </si>
  <si>
    <t>pay_420001139</t>
  </si>
  <si>
    <t>pay_420001144</t>
  </si>
  <si>
    <t>pay_420001156</t>
  </si>
  <si>
    <t>ORD-26001205</t>
  </si>
  <si>
    <t>pay_420001222</t>
  </si>
  <si>
    <t>pay_420001223</t>
  </si>
  <si>
    <t>pay_420001258</t>
  </si>
  <si>
    <t xml:space="preserve">ORD26001315  </t>
  </si>
  <si>
    <t>pay_420001269</t>
  </si>
  <si>
    <t>pay_420001272</t>
  </si>
  <si>
    <t>pay_420001318</t>
  </si>
  <si>
    <t>pay_420001349</t>
  </si>
  <si>
    <t>pay_420001369</t>
  </si>
  <si>
    <t>pay_420001463</t>
  </si>
  <si>
    <t>pay_420001486</t>
  </si>
  <si>
    <t>ord26001552</t>
  </si>
  <si>
    <t>pay_420001519</t>
  </si>
  <si>
    <t>ORD-26001586</t>
  </si>
  <si>
    <t>pay_420001533</t>
  </si>
  <si>
    <t>pay_420001544</t>
  </si>
  <si>
    <t>pay_420001554</t>
  </si>
  <si>
    <t>pay_420001589</t>
  </si>
  <si>
    <t>ord26001662</t>
  </si>
  <si>
    <t>pay_420001766</t>
  </si>
  <si>
    <t>pay_420001811</t>
  </si>
  <si>
    <t>pay_420001816</t>
  </si>
  <si>
    <t>pay_420001843</t>
  </si>
  <si>
    <t>pay_420001952</t>
  </si>
  <si>
    <t>pay_420001953</t>
  </si>
  <si>
    <t>pay_420001955</t>
  </si>
  <si>
    <t>pay_420001960</t>
  </si>
  <si>
    <t>pay_420001980</t>
  </si>
  <si>
    <t>pay_420001981</t>
  </si>
  <si>
    <t>pay_420002009</t>
  </si>
  <si>
    <t>pay_420002027</t>
  </si>
  <si>
    <t>pay_420002037</t>
  </si>
  <si>
    <t>pay_420002044</t>
  </si>
  <si>
    <t>pay_420002115</t>
  </si>
  <si>
    <t>pay_420002122</t>
  </si>
  <si>
    <t>pay_420002124</t>
  </si>
  <si>
    <t>pay_420002132</t>
  </si>
  <si>
    <t>pay_420002143</t>
  </si>
  <si>
    <t>pay_420002144</t>
  </si>
  <si>
    <t>pay_420002160</t>
  </si>
  <si>
    <t>pay_420002161</t>
  </si>
  <si>
    <t>pay_420002232</t>
  </si>
  <si>
    <t>pay_420002234</t>
  </si>
  <si>
    <t>pay_420002317</t>
  </si>
  <si>
    <t>pay_420002328</t>
  </si>
  <si>
    <t>pay_420002335</t>
  </si>
  <si>
    <t>pay_420002355</t>
  </si>
  <si>
    <t>ord26002467</t>
  </si>
  <si>
    <t>pay_420002465</t>
  </si>
  <si>
    <t>pay_420002499</t>
  </si>
  <si>
    <t>pay_420002522</t>
  </si>
  <si>
    <t>pay_420002529</t>
  </si>
  <si>
    <t>pay_420002567</t>
  </si>
  <si>
    <t>pay_420002581</t>
  </si>
  <si>
    <t>pay_420002592</t>
  </si>
  <si>
    <t>pay_420002635</t>
  </si>
  <si>
    <t>pay_420002685</t>
  </si>
  <si>
    <t>pay_420002723</t>
  </si>
  <si>
    <t>pay_420002766</t>
  </si>
  <si>
    <t>pay_420002773</t>
  </si>
  <si>
    <t>pay_420002830</t>
  </si>
  <si>
    <t>pay_420002867</t>
  </si>
  <si>
    <t>pay_420002906</t>
  </si>
  <si>
    <t>pay_420002945</t>
  </si>
  <si>
    <t>pay_420002947</t>
  </si>
  <si>
    <t>pay_420002983</t>
  </si>
  <si>
    <t>pay_420002998</t>
  </si>
  <si>
    <t>pay_420003003</t>
  </si>
  <si>
    <t>pay_420003032</t>
  </si>
  <si>
    <t>pay_420003033</t>
  </si>
  <si>
    <t>pay_420003038</t>
  </si>
  <si>
    <t>pay_420003044</t>
  </si>
  <si>
    <t>ord26003197</t>
  </si>
  <si>
    <t>pay_420003100</t>
  </si>
  <si>
    <t>pay_420003112</t>
  </si>
  <si>
    <t>ord26003271</t>
  </si>
  <si>
    <t>pay_420003132</t>
  </si>
  <si>
    <t xml:space="preserve">ORD26003292  </t>
  </si>
  <si>
    <t>pay_420003169</t>
  </si>
  <si>
    <t>pay_420003171</t>
  </si>
  <si>
    <t>pay_420003191</t>
  </si>
  <si>
    <t>pay_420003311</t>
  </si>
  <si>
    <t>pay_420003349</t>
  </si>
  <si>
    <t>pay_420003362</t>
  </si>
  <si>
    <t>pay_420003364</t>
  </si>
  <si>
    <t>pay_420003380</t>
  </si>
  <si>
    <t>pay_420003462</t>
  </si>
  <si>
    <t>pay_420003535</t>
  </si>
  <si>
    <t>pay_420003559</t>
  </si>
  <si>
    <t>pay_420003578</t>
  </si>
  <si>
    <t>pay_420003601</t>
  </si>
  <si>
    <t xml:space="preserve">ORD26003770  </t>
  </si>
  <si>
    <t>pay_420003613</t>
  </si>
  <si>
    <t>pay_420003639</t>
  </si>
  <si>
    <t>pay_420003652</t>
  </si>
  <si>
    <t>ord26003824</t>
  </si>
  <si>
    <t>pay_420003658</t>
  </si>
  <si>
    <t>pay_420003694</t>
  </si>
  <si>
    <t>pay_420003698</t>
  </si>
  <si>
    <t>pay_420003710</t>
  </si>
  <si>
    <t>pay_420003737</t>
  </si>
  <si>
    <t>pay_420003756</t>
  </si>
  <si>
    <t>ord26003931</t>
  </si>
  <si>
    <t>pay_420003799</t>
  </si>
  <si>
    <t>ord26003977</t>
  </si>
  <si>
    <t>pay_420003827</t>
  </si>
  <si>
    <t>pay_420003980</t>
  </si>
  <si>
    <t>pay_420003984</t>
  </si>
  <si>
    <t>pay_420004006</t>
  </si>
  <si>
    <t>ord26004193</t>
  </si>
  <si>
    <t>pay_420004062</t>
  </si>
  <si>
    <t>pay_420004088</t>
  </si>
  <si>
    <t>pay_420004110</t>
  </si>
  <si>
    <t>pay_420004111</t>
  </si>
  <si>
    <t>ORD-26004306</t>
  </si>
  <si>
    <t>pay_420004118</t>
  </si>
  <si>
    <t>pay_420004176</t>
  </si>
  <si>
    <t>pay_420004189</t>
  </si>
  <si>
    <t>pay_420004206</t>
  </si>
  <si>
    <t>pay_420004211</t>
  </si>
  <si>
    <t>pay_420004302</t>
  </si>
  <si>
    <t>pay_420004353</t>
  </si>
  <si>
    <t>pay_420004401</t>
  </si>
  <si>
    <t>pay_420004402</t>
  </si>
  <si>
    <t>pay_420004446</t>
  </si>
  <si>
    <t>pay_420004462</t>
  </si>
  <si>
    <t>pay_420004529</t>
  </si>
  <si>
    <t>pay_420004547</t>
  </si>
  <si>
    <t>pay_420004550</t>
  </si>
  <si>
    <t>pay_420004579</t>
  </si>
  <si>
    <t>pay_420004705</t>
  </si>
  <si>
    <t>pay_420004722</t>
  </si>
  <si>
    <t>pay_420004728</t>
  </si>
  <si>
    <t>ord26004950</t>
  </si>
  <si>
    <t>pay_420004814</t>
  </si>
  <si>
    <t>pay_420004825</t>
  </si>
  <si>
    <t>pay_420004830</t>
  </si>
  <si>
    <t>pay_420004860</t>
  </si>
  <si>
    <t>pay_420004905</t>
  </si>
  <si>
    <t>pay_420004908</t>
  </si>
  <si>
    <t>pay_420004914</t>
  </si>
  <si>
    <t xml:space="preserve">ORD26005144  </t>
  </si>
  <si>
    <t>pay_420004919</t>
  </si>
  <si>
    <t>pay_420004928</t>
  </si>
  <si>
    <t>pay_420005014</t>
  </si>
  <si>
    <t xml:space="preserve">ORD26005250  </t>
  </si>
  <si>
    <t>pay_420005096</t>
  </si>
  <si>
    <t>pay_420005139</t>
  </si>
  <si>
    <t>pay_420005152</t>
  </si>
  <si>
    <t>pay_420005163</t>
  </si>
  <si>
    <t>pay_420005167</t>
  </si>
  <si>
    <t>ord26005407</t>
  </si>
  <si>
    <t>pay_420005174</t>
  </si>
  <si>
    <t>pay_420005188</t>
  </si>
  <si>
    <t>pay_420005191</t>
  </si>
  <si>
    <t>pay_420005202</t>
  </si>
  <si>
    <t>ord26005442</t>
  </si>
  <si>
    <t>pay_420005352</t>
  </si>
  <si>
    <t>pay_420005357</t>
  </si>
  <si>
    <t>pay_420005387</t>
  </si>
  <si>
    <t xml:space="preserve">ORD26005629  </t>
  </si>
  <si>
    <t>pay_420005388</t>
  </si>
  <si>
    <t>pay_420005409</t>
  </si>
  <si>
    <t>pay_420005411</t>
  </si>
  <si>
    <t>pay_420005471</t>
  </si>
  <si>
    <t>pay_420005523</t>
  </si>
  <si>
    <t>pay_420005544</t>
  </si>
  <si>
    <t>pay_420005548</t>
  </si>
  <si>
    <t>pay_420005551</t>
  </si>
  <si>
    <t>pay_420005555</t>
  </si>
  <si>
    <t>pay_420005566</t>
  </si>
  <si>
    <t>ORD-26005820</t>
  </si>
  <si>
    <t>pay_420005580</t>
  </si>
  <si>
    <t>pay_420005595</t>
  </si>
  <si>
    <t>ord26005853</t>
  </si>
  <si>
    <t>pay_420005630</t>
  </si>
  <si>
    <t>pay_420005736</t>
  </si>
  <si>
    <t>ORD26006501</t>
  </si>
  <si>
    <t>rfnd_2GTNBVDPZF3R</t>
  </si>
  <si>
    <t>rfnd_4H6Q1Q8FHA2E</t>
  </si>
  <si>
    <t>rfnd_CA3BA0N0MUW9</t>
  </si>
  <si>
    <t>rfnd_G2TL1B2YJHSQ</t>
  </si>
  <si>
    <t>rfnd_NJVH0K6M33VX</t>
  </si>
  <si>
    <t>rfnd_V34RGHQV5CHY</t>
  </si>
  <si>
    <t>rfnd_WXXU2SH0LBU1</t>
  </si>
  <si>
    <t>pay_420000008</t>
  </si>
  <si>
    <t>ord26000008</t>
  </si>
  <si>
    <t>pay_420000081</t>
  </si>
  <si>
    <t>pay_420000175</t>
  </si>
  <si>
    <t>pay_420000197</t>
  </si>
  <si>
    <t>pay_420000200</t>
  </si>
  <si>
    <t>pay_420000243</t>
  </si>
  <si>
    <t>pay_420000257</t>
  </si>
  <si>
    <t>pay_420000279</t>
  </si>
  <si>
    <t>pay_420000280</t>
  </si>
  <si>
    <t>pay_420000323</t>
  </si>
  <si>
    <t>pay_420000402</t>
  </si>
  <si>
    <t>pay_420000418</t>
  </si>
  <si>
    <t>pay_420000505</t>
  </si>
  <si>
    <t>pay_420000515</t>
  </si>
  <si>
    <t>pay_420000533</t>
  </si>
  <si>
    <t>ord26000558</t>
  </si>
  <si>
    <t>pay_420000536</t>
  </si>
  <si>
    <t>pay_420000551</t>
  </si>
  <si>
    <t>pay_420000567</t>
  </si>
  <si>
    <t>pay_420000627</t>
  </si>
  <si>
    <t>pay_420000650</t>
  </si>
  <si>
    <t>ord26000678</t>
  </si>
  <si>
    <t>pay_420000753</t>
  </si>
  <si>
    <t>ord26000785</t>
  </si>
  <si>
    <t>pay_420000768</t>
  </si>
  <si>
    <t>pay_420000780</t>
  </si>
  <si>
    <t>ord26000813</t>
  </si>
  <si>
    <t>pay_420000799</t>
  </si>
  <si>
    <t>pay_420000807</t>
  </si>
  <si>
    <t>pay_420000821</t>
  </si>
  <si>
    <t>pay_420000860</t>
  </si>
  <si>
    <t>pay_420000894</t>
  </si>
  <si>
    <t>pay_420000934</t>
  </si>
  <si>
    <t>pay_420000942</t>
  </si>
  <si>
    <t>ord26000984</t>
  </si>
  <si>
    <t>pay_420000958</t>
  </si>
  <si>
    <t>pay_420000961</t>
  </si>
  <si>
    <t>pay_420000977</t>
  </si>
  <si>
    <t>pay_420001046</t>
  </si>
  <si>
    <t>pay_420001048</t>
  </si>
  <si>
    <t>pay_420001053</t>
  </si>
  <si>
    <t>pay_420001069</t>
  </si>
  <si>
    <t>pay_420001097</t>
  </si>
  <si>
    <t>pay_420001114</t>
  </si>
  <si>
    <t>pay_420001164</t>
  </si>
  <si>
    <t>pay_420001167</t>
  </si>
  <si>
    <t>pay_420001173</t>
  </si>
  <si>
    <t>pay_420001214</t>
  </si>
  <si>
    <t>pay_420001235</t>
  </si>
  <si>
    <t>pay_420001240</t>
  </si>
  <si>
    <t xml:space="preserve">ORD26001297  </t>
  </si>
  <si>
    <t>pay_420001254</t>
  </si>
  <si>
    <t>pay_420001302</t>
  </si>
  <si>
    <t>pay_420001359</t>
  </si>
  <si>
    <t>pay_420001449</t>
  </si>
  <si>
    <t>pay_420001517</t>
  </si>
  <si>
    <t>pay_420001526</t>
  </si>
  <si>
    <t>pay_420001535</t>
  </si>
  <si>
    <t>pay_420001616</t>
  </si>
  <si>
    <t>pay_420001624</t>
  </si>
  <si>
    <t>pay_420001640</t>
  </si>
  <si>
    <t>pay_420001667</t>
  </si>
  <si>
    <t>ord26001746</t>
  </si>
  <si>
    <t>pay_420001681</t>
  </si>
  <si>
    <t>pay_420001786</t>
  </si>
  <si>
    <t>pay_420001800</t>
  </si>
  <si>
    <t>pay_420001961</t>
  </si>
  <si>
    <t>pay_420001976</t>
  </si>
  <si>
    <t>ord26002070</t>
  </si>
  <si>
    <t>pay_420002035</t>
  </si>
  <si>
    <t>pay_420002060</t>
  </si>
  <si>
    <t>pay_420002189</t>
  </si>
  <si>
    <t>pay_420002190</t>
  </si>
  <si>
    <t>pay_420002210</t>
  </si>
  <si>
    <t>pay_420002231</t>
  </si>
  <si>
    <t>pay_420002267</t>
  </si>
  <si>
    <t>pay_420002276</t>
  </si>
  <si>
    <t>pay_420002308</t>
  </si>
  <si>
    <t>pay_420002326</t>
  </si>
  <si>
    <t>ord26002439</t>
  </si>
  <si>
    <t>pay_420002332</t>
  </si>
  <si>
    <t>pay_420002347</t>
  </si>
  <si>
    <t>pay_420002392</t>
  </si>
  <si>
    <t>pay_420002409</t>
  </si>
  <si>
    <t>pay_420002491</t>
  </si>
  <si>
    <t>pay_420002510</t>
  </si>
  <si>
    <t>pay_420002550</t>
  </si>
  <si>
    <t>ord26002674</t>
  </si>
  <si>
    <t>pay_420002560</t>
  </si>
  <si>
    <t>pay_420002564</t>
  </si>
  <si>
    <t>pay_420002582</t>
  </si>
  <si>
    <t>pay_420002610</t>
  </si>
  <si>
    <t>pay_420002636</t>
  </si>
  <si>
    <t>pay_420002728</t>
  </si>
  <si>
    <t>ord26002866</t>
  </si>
  <si>
    <t>pay_420002745</t>
  </si>
  <si>
    <t xml:space="preserve">ORD26002882  </t>
  </si>
  <si>
    <t>pay_420002770</t>
  </si>
  <si>
    <t>pay_420002822</t>
  </si>
  <si>
    <t>pay_420002829</t>
  </si>
  <si>
    <t>pay_420002843</t>
  </si>
  <si>
    <t>pay_420002871</t>
  </si>
  <si>
    <t>pay_420002884</t>
  </si>
  <si>
    <t>pay_420002894</t>
  </si>
  <si>
    <t>pay_420002909</t>
  </si>
  <si>
    <t>pay_420002922</t>
  </si>
  <si>
    <t>pay_420002933</t>
  </si>
  <si>
    <t>pay_420002972</t>
  </si>
  <si>
    <t>pay_420002977</t>
  </si>
  <si>
    <t>pay_420003012</t>
  </si>
  <si>
    <t>pay_420003090</t>
  </si>
  <si>
    <t>pay_420003096</t>
  </si>
  <si>
    <t>pay_420003107</t>
  </si>
  <si>
    <t>pay_420003146</t>
  </si>
  <si>
    <t>pay_420003192</t>
  </si>
  <si>
    <t>ORD-26003353</t>
  </si>
  <si>
    <t>pay_420003213</t>
  </si>
  <si>
    <t>pay_420003241</t>
  </si>
  <si>
    <t>pay_420003261</t>
  </si>
  <si>
    <t>ord26003429</t>
  </si>
  <si>
    <t>pay_420003264</t>
  </si>
  <si>
    <t>pay_420003300</t>
  </si>
  <si>
    <t>pay_420003309</t>
  </si>
  <si>
    <t>pay_420003314</t>
  </si>
  <si>
    <t>pay_420003326</t>
  </si>
  <si>
    <t>pay_420003345</t>
  </si>
  <si>
    <t>ord26003509</t>
  </si>
  <si>
    <t>pay_420003395</t>
  </si>
  <si>
    <t>pay_420003429</t>
  </si>
  <si>
    <t>ord26003599</t>
  </si>
  <si>
    <t>pay_420003434</t>
  </si>
  <si>
    <t>pay_420003480</t>
  </si>
  <si>
    <t xml:space="preserve">ORD26003649  </t>
  </si>
  <si>
    <t>pay_420003512</t>
  </si>
  <si>
    <t>pay_420003515</t>
  </si>
  <si>
    <t xml:space="preserve">ORD26003685  </t>
  </si>
  <si>
    <t>pay_420003696</t>
  </si>
  <si>
    <t>pay_420003716</t>
  </si>
  <si>
    <t>pay_420003721</t>
  </si>
  <si>
    <t>pay_420003739</t>
  </si>
  <si>
    <t>pay_420003760</t>
  </si>
  <si>
    <t>pay_420003761</t>
  </si>
  <si>
    <t>pay_420003788</t>
  </si>
  <si>
    <t>pay_420003804</t>
  </si>
  <si>
    <t>pay_420003915</t>
  </si>
  <si>
    <t>pay_420003927</t>
  </si>
  <si>
    <t>pay_420003956</t>
  </si>
  <si>
    <t>pay_420003992</t>
  </si>
  <si>
    <t>pay_420004019</t>
  </si>
  <si>
    <t>pay_420004074</t>
  </si>
  <si>
    <t>pay_420004127</t>
  </si>
  <si>
    <t>pay_420004134</t>
  </si>
  <si>
    <t>pay_420004140</t>
  </si>
  <si>
    <t xml:space="preserve">ORD26004333  </t>
  </si>
  <si>
    <t>pay_420004196</t>
  </si>
  <si>
    <t>pay_420004262</t>
  </si>
  <si>
    <t>pay_420004295</t>
  </si>
  <si>
    <t>pay_420004374</t>
  </si>
  <si>
    <t>pay_420004387</t>
  </si>
  <si>
    <t>pay_420004404</t>
  </si>
  <si>
    <t>pay_420004410</t>
  </si>
  <si>
    <t>pay_420004427</t>
  </si>
  <si>
    <t>pay_420004644</t>
  </si>
  <si>
    <t>pay_420004645</t>
  </si>
  <si>
    <t>pay_420004661</t>
  </si>
  <si>
    <t>pay_420004663</t>
  </si>
  <si>
    <t>pay_420004760</t>
  </si>
  <si>
    <t>pay_420004775</t>
  </si>
  <si>
    <t>pay_420004880</t>
  </si>
  <si>
    <t>pay_420004882</t>
  </si>
  <si>
    <t>pay_420004937</t>
  </si>
  <si>
    <t>pay_420004972</t>
  </si>
  <si>
    <t>ord26005205</t>
  </si>
  <si>
    <t>pay_420005004</t>
  </si>
  <si>
    <t>ord26005240</t>
  </si>
  <si>
    <t>pay_420005028</t>
  </si>
  <si>
    <t>pay_420005061</t>
  </si>
  <si>
    <t>pay_420005098</t>
  </si>
  <si>
    <t xml:space="preserve">ORD26005337  </t>
  </si>
  <si>
    <t>pay_420005195</t>
  </si>
  <si>
    <t>pay_420005205</t>
  </si>
  <si>
    <t>ORD-26005445</t>
  </si>
  <si>
    <t>pay_420005246</t>
  </si>
  <si>
    <t>pay_420005258</t>
  </si>
  <si>
    <t>pay_420005286</t>
  </si>
  <si>
    <t>pay_420005297</t>
  </si>
  <si>
    <t>ORD-26005534</t>
  </si>
  <si>
    <t>pay_420005377</t>
  </si>
  <si>
    <t>pay_420005391</t>
  </si>
  <si>
    <t>pay_420005403</t>
  </si>
  <si>
    <t>pay_420005413</t>
  </si>
  <si>
    <t>pay_420005478</t>
  </si>
  <si>
    <t>pay_420005487</t>
  </si>
  <si>
    <t>ord26005736</t>
  </si>
  <si>
    <t>pay_420005501</t>
  </si>
  <si>
    <t>pay_420005512</t>
  </si>
  <si>
    <t>pay_420005553</t>
  </si>
  <si>
    <t>pay_420005625</t>
  </si>
  <si>
    <t>pay_420005648</t>
  </si>
  <si>
    <t>ORD-26005913</t>
  </si>
  <si>
    <t>pay_420005654</t>
  </si>
  <si>
    <t>pay_420005671</t>
  </si>
  <si>
    <t>pay_420005679</t>
  </si>
  <si>
    <t>pay_420005711</t>
  </si>
  <si>
    <t>pay_420005715</t>
  </si>
  <si>
    <t>rfnd_2AV3T481PNFR</t>
  </si>
  <si>
    <t>rfnd_5WVPJEQN2KP8</t>
  </si>
  <si>
    <t>rfnd_AFL88RA0GZ6Q</t>
  </si>
  <si>
    <t>rfnd_C9AJ449CFUNR</t>
  </si>
  <si>
    <t>rfnd_CAB91VQQEMHW</t>
  </si>
  <si>
    <t>rfnd_CUPVUYFKPP6L</t>
  </si>
  <si>
    <t>rfnd_J78Y90REV6V1</t>
  </si>
  <si>
    <t>rfnd_JKN3PLG1AQU0</t>
  </si>
  <si>
    <t>rfnd_JQ10UZ2K9K6B</t>
  </si>
  <si>
    <t>rfnd_JU5EVVSKTBU6</t>
  </si>
  <si>
    <t>rfnd_PZEYQPE0ZV84</t>
  </si>
  <si>
    <t>rfnd_QTTNJUHKKZWV</t>
  </si>
  <si>
    <t>pay_420000031</t>
  </si>
  <si>
    <t>ord26000030</t>
  </si>
  <si>
    <t>pay_420000037</t>
  </si>
  <si>
    <t>pay_420000046</t>
  </si>
  <si>
    <t xml:space="preserve">ORD26000047  </t>
  </si>
  <si>
    <t>pay_420000134</t>
  </si>
  <si>
    <t>pay_420000140</t>
  </si>
  <si>
    <t>pay_420000147</t>
  </si>
  <si>
    <t>pay_420000148</t>
  </si>
  <si>
    <t>ord26000158</t>
  </si>
  <si>
    <t>pay_420000162</t>
  </si>
  <si>
    <t>pay_420000188</t>
  </si>
  <si>
    <t>pay_420000287</t>
  </si>
  <si>
    <t>pay_420000296</t>
  </si>
  <si>
    <t>ord26000312</t>
  </si>
  <si>
    <t>pay_420000299</t>
  </si>
  <si>
    <t>pay_420000300</t>
  </si>
  <si>
    <t>pay_420000302</t>
  </si>
  <si>
    <t>pay_420000303</t>
  </si>
  <si>
    <t>pay_420000308</t>
  </si>
  <si>
    <t>pay_420000311</t>
  </si>
  <si>
    <t>pay_420000328</t>
  </si>
  <si>
    <t>ord26000343</t>
  </si>
  <si>
    <t>pay_420000356</t>
  </si>
  <si>
    <t>pay_420000396</t>
  </si>
  <si>
    <t>pay_420000446</t>
  </si>
  <si>
    <t>pay_420000498</t>
  </si>
  <si>
    <t>pay_420000518</t>
  </si>
  <si>
    <t>pay_420000524</t>
  </si>
  <si>
    <t>pay_420000538</t>
  </si>
  <si>
    <t>pay_420000563</t>
  </si>
  <si>
    <t>pay_420000600</t>
  </si>
  <si>
    <t>ORD-26000622</t>
  </si>
  <si>
    <t>pay_420000604</t>
  </si>
  <si>
    <t>pay_420000616</t>
  </si>
  <si>
    <t>pay_420000713</t>
  </si>
  <si>
    <t>pay_420000744</t>
  </si>
  <si>
    <t>pay_420000755</t>
  </si>
  <si>
    <t>pay_420000763</t>
  </si>
  <si>
    <t>pay_420000778</t>
  </si>
  <si>
    <t>pay_420000781</t>
  </si>
  <si>
    <t>pay_420000833</t>
  </si>
  <si>
    <t xml:space="preserve">ORD26000867  </t>
  </si>
  <si>
    <t>pay_420000848</t>
  </si>
  <si>
    <t>pay_420000849</t>
  </si>
  <si>
    <t>pay_420000859</t>
  </si>
  <si>
    <t>pay_420000881</t>
  </si>
  <si>
    <t xml:space="preserve">ORD26000920  </t>
  </si>
  <si>
    <t>pay_420000890</t>
  </si>
  <si>
    <t>ord26000928</t>
  </si>
  <si>
    <t>pay_420000904</t>
  </si>
  <si>
    <t>pay_420000923</t>
  </si>
  <si>
    <t>pay_420000941</t>
  </si>
  <si>
    <t>pay_420000988</t>
  </si>
  <si>
    <t>pay_420001016</t>
  </si>
  <si>
    <t>pay_420001027</t>
  </si>
  <si>
    <t>pay_420001067</t>
  </si>
  <si>
    <t>ORD-26001109</t>
  </si>
  <si>
    <t>pay_420001100</t>
  </si>
  <si>
    <t>pay_420001147</t>
  </si>
  <si>
    <t>pay_420001182</t>
  </si>
  <si>
    <t>pay_420001185</t>
  </si>
  <si>
    <t>ord26001238</t>
  </si>
  <si>
    <t>pay_420001190</t>
  </si>
  <si>
    <t>pay_420001256</t>
  </si>
  <si>
    <t>pay_420001330</t>
  </si>
  <si>
    <t>pay_420001354</t>
  </si>
  <si>
    <t>pay_420001410</t>
  </si>
  <si>
    <t>pay_420001411</t>
  </si>
  <si>
    <t>ORD-26001480</t>
  </si>
  <si>
    <t>pay_420001412</t>
  </si>
  <si>
    <t>pay_420001450</t>
  </si>
  <si>
    <t>ord26001516</t>
  </si>
  <si>
    <t>pay_420001462</t>
  </si>
  <si>
    <t>pay_420001532</t>
  </si>
  <si>
    <t>pay_420001546</t>
  </si>
  <si>
    <t>pay_420001565</t>
  </si>
  <si>
    <t>pay_420001586</t>
  </si>
  <si>
    <t>ord26001658</t>
  </si>
  <si>
    <t>pay_420001638</t>
  </si>
  <si>
    <t>pay_420001648</t>
  </si>
  <si>
    <t>pay_420001680</t>
  </si>
  <si>
    <t>pay_420001692</t>
  </si>
  <si>
    <t>pay_420001693</t>
  </si>
  <si>
    <t>pay_420001716</t>
  </si>
  <si>
    <t>pay_420001740</t>
  </si>
  <si>
    <t>pay_420001744</t>
  </si>
  <si>
    <t>pay_420001775</t>
  </si>
  <si>
    <t>pay_420001799</t>
  </si>
  <si>
    <t>pay_420001838</t>
  </si>
  <si>
    <t>pay_420001898</t>
  </si>
  <si>
    <t>pay_420001924</t>
  </si>
  <si>
    <t>ord26002017</t>
  </si>
  <si>
    <t>pay_420001927</t>
  </si>
  <si>
    <t>pay_420001944</t>
  </si>
  <si>
    <t>pay_420001999</t>
  </si>
  <si>
    <t>ORD-26002092</t>
  </si>
  <si>
    <t>pay_420002059</t>
  </si>
  <si>
    <t>pay_420002086</t>
  </si>
  <si>
    <t>pay_420002110</t>
  </si>
  <si>
    <t>ord26002210</t>
  </si>
  <si>
    <t>pay_420002195</t>
  </si>
  <si>
    <t>pay_420002268</t>
  </si>
  <si>
    <t>pay_420002283</t>
  </si>
  <si>
    <t xml:space="preserve">ORD26002393  </t>
  </si>
  <si>
    <t>pay_420002296</t>
  </si>
  <si>
    <t>pay_420002458</t>
  </si>
  <si>
    <t>pay_420002467</t>
  </si>
  <si>
    <t>pay_420002488</t>
  </si>
  <si>
    <t>pay_420002490</t>
  </si>
  <si>
    <t>pay_420002534</t>
  </si>
  <si>
    <t>pay_420002593</t>
  </si>
  <si>
    <t>pay_420002615</t>
  </si>
  <si>
    <t>pay_420002659</t>
  </si>
  <si>
    <t>pay_420002714</t>
  </si>
  <si>
    <t>pay_420002717</t>
  </si>
  <si>
    <t>pay_420002743</t>
  </si>
  <si>
    <t>ORD-26002880</t>
  </si>
  <si>
    <t>pay_420002787</t>
  </si>
  <si>
    <t>pay_420002790</t>
  </si>
  <si>
    <t>pay_420002834</t>
  </si>
  <si>
    <t>pay_420002848</t>
  </si>
  <si>
    <t>pay_420002849</t>
  </si>
  <si>
    <t>pay_420002856</t>
  </si>
  <si>
    <t>pay_420002859</t>
  </si>
  <si>
    <t>pay_420002883</t>
  </si>
  <si>
    <t>pay_420002918</t>
  </si>
  <si>
    <t>pay_420002936</t>
  </si>
  <si>
    <t>pay_420002954</t>
  </si>
  <si>
    <t>pay_420003031</t>
  </si>
  <si>
    <t>ord26003182</t>
  </si>
  <si>
    <t>pay_420003083</t>
  </si>
  <si>
    <t>pay_420003088</t>
  </si>
  <si>
    <t>pay_420003110</t>
  </si>
  <si>
    <t>pay_420003212</t>
  </si>
  <si>
    <t>pay_420003230</t>
  </si>
  <si>
    <t>pay_420003255</t>
  </si>
  <si>
    <t>pay_420003277</t>
  </si>
  <si>
    <t>pay_420003278</t>
  </si>
  <si>
    <t>pay_420003297</t>
  </si>
  <si>
    <t>pay_420003387</t>
  </si>
  <si>
    <t>pay_420003399</t>
  </si>
  <si>
    <t>pay_420003448</t>
  </si>
  <si>
    <t xml:space="preserve">ORD26003616  </t>
  </si>
  <si>
    <t>pay_420003456</t>
  </si>
  <si>
    <t>pay_420003472</t>
  </si>
  <si>
    <t>pay_420003516</t>
  </si>
  <si>
    <t>pay_420003543</t>
  </si>
  <si>
    <t>pay_420003546</t>
  </si>
  <si>
    <t>pay_420003555</t>
  </si>
  <si>
    <t>pay_420003580</t>
  </si>
  <si>
    <t>ord26003748</t>
  </si>
  <si>
    <t>pay_420003607</t>
  </si>
  <si>
    <t xml:space="preserve">ORD26003776  </t>
  </si>
  <si>
    <t>pay_420003617</t>
  </si>
  <si>
    <t>pay_420003621</t>
  </si>
  <si>
    <t>pay_420003633</t>
  </si>
  <si>
    <t>pay_420003680</t>
  </si>
  <si>
    <t>pay_420003709</t>
  </si>
  <si>
    <t>pay_420003757</t>
  </si>
  <si>
    <t>pay_420003837</t>
  </si>
  <si>
    <t>pay_420003841</t>
  </si>
  <si>
    <t>ord26004022</t>
  </si>
  <si>
    <t>pay_420003845</t>
  </si>
  <si>
    <t>pay_420003848</t>
  </si>
  <si>
    <t>pay_420003881</t>
  </si>
  <si>
    <t>pay_420003904</t>
  </si>
  <si>
    <t>pay_420003936</t>
  </si>
  <si>
    <t>ord26004120</t>
  </si>
  <si>
    <t>pay_420003955</t>
  </si>
  <si>
    <t>pay_420003957</t>
  </si>
  <si>
    <t>pay_420004007</t>
  </si>
  <si>
    <t>pay_420004023</t>
  </si>
  <si>
    <t>pay_420004036</t>
  </si>
  <si>
    <t>pay_420004052</t>
  </si>
  <si>
    <t>pay_420004056</t>
  </si>
  <si>
    <t>ord26004248</t>
  </si>
  <si>
    <t>pay_420004063</t>
  </si>
  <si>
    <t>pay_420004090</t>
  </si>
  <si>
    <t>pay_420004123</t>
  </si>
  <si>
    <t>ord26004315</t>
  </si>
  <si>
    <t>pay_420004185</t>
  </si>
  <si>
    <t>pay_420004209</t>
  </si>
  <si>
    <t>pay_420004218</t>
  </si>
  <si>
    <t>pay_420004228</t>
  </si>
  <si>
    <t>pay_420004238</t>
  </si>
  <si>
    <t>pay_420004255</t>
  </si>
  <si>
    <t>pay_420004285</t>
  </si>
  <si>
    <t>pay_420004290</t>
  </si>
  <si>
    <t>ord26004489</t>
  </si>
  <si>
    <t>pay_420004296</t>
  </si>
  <si>
    <t>pay_420004305</t>
  </si>
  <si>
    <t>ORD-26004505</t>
  </si>
  <si>
    <t>pay_420004361</t>
  </si>
  <si>
    <t>pay_420004390</t>
  </si>
  <si>
    <t>pay_420004441</t>
  </si>
  <si>
    <t>pay_420004450</t>
  </si>
  <si>
    <t>ORD-26004659</t>
  </si>
  <si>
    <t>pay_420004461</t>
  </si>
  <si>
    <t>pay_420004467</t>
  </si>
  <si>
    <t>pay_420004491</t>
  </si>
  <si>
    <t xml:space="preserve">ORD26004703  </t>
  </si>
  <si>
    <t>pay_420004503</t>
  </si>
  <si>
    <t>pay_420004504</t>
  </si>
  <si>
    <t>pay_420004509</t>
  </si>
  <si>
    <t>pay_420004521</t>
  </si>
  <si>
    <t>pay_420004578</t>
  </si>
  <si>
    <t>pay_420004628</t>
  </si>
  <si>
    <t>pay_420004675</t>
  </si>
  <si>
    <t xml:space="preserve">ORD26004896  </t>
  </si>
  <si>
    <t>pay_420004685</t>
  </si>
  <si>
    <t>pay_420004693</t>
  </si>
  <si>
    <t>pay_420004707</t>
  </si>
  <si>
    <t>pay_420004711</t>
  </si>
  <si>
    <t>ORD-26004931</t>
  </si>
  <si>
    <t>pay_420004725</t>
  </si>
  <si>
    <t>pay_420004772</t>
  </si>
  <si>
    <t>pay_420004790</t>
  </si>
  <si>
    <t xml:space="preserve">ORD26005011  </t>
  </si>
  <si>
    <t>pay_420004835</t>
  </si>
  <si>
    <t>pay_420004863</t>
  </si>
  <si>
    <t>pay_420004906</t>
  </si>
  <si>
    <t>pay_420004945</t>
  </si>
  <si>
    <t>pay_420004975</t>
  </si>
  <si>
    <t>pay_420005038</t>
  </si>
  <si>
    <t>pay_420005060</t>
  </si>
  <si>
    <t>pay_420005078</t>
  </si>
  <si>
    <t>pay_420005088</t>
  </si>
  <si>
    <t>pay_420005089</t>
  </si>
  <si>
    <t>pay_420005100</t>
  </si>
  <si>
    <t>pay_420005109</t>
  </si>
  <si>
    <t>pay_420005112</t>
  </si>
  <si>
    <t>pay_420005145</t>
  </si>
  <si>
    <t>pay_420005166</t>
  </si>
  <si>
    <t>pay_420005304</t>
  </si>
  <si>
    <t>pay_420005305</t>
  </si>
  <si>
    <t>pay_420005338</t>
  </si>
  <si>
    <t>pay_420005417</t>
  </si>
  <si>
    <t>pay_420005526</t>
  </si>
  <si>
    <t>pay_420005533</t>
  </si>
  <si>
    <t xml:space="preserve">ORD26005787  </t>
  </si>
  <si>
    <t>pay_420005584</t>
  </si>
  <si>
    <t xml:space="preserve">ORD26005841  </t>
  </si>
  <si>
    <t>pay_420005596</t>
  </si>
  <si>
    <t>pay_420005627</t>
  </si>
  <si>
    <t>pay_420005667</t>
  </si>
  <si>
    <t>rfnd_0F27M5805974</t>
  </si>
  <si>
    <t>rfnd_0HF5A5HT4THA</t>
  </si>
  <si>
    <t>rfnd_1VS6Z2UKXBX1</t>
  </si>
  <si>
    <t>rfnd_2EFENNZ11E68</t>
  </si>
  <si>
    <t>rfnd_3NT6DD2VQDF5</t>
  </si>
  <si>
    <t>rfnd_6QA3HMTWTCAF</t>
  </si>
  <si>
    <t>rfnd_9FAWJ1JZS8U0</t>
  </si>
  <si>
    <t>rfnd_9H7CCNHH4P4F</t>
  </si>
  <si>
    <t>rfnd_C6B213GGD4P9</t>
  </si>
  <si>
    <t>rfnd_CUBDLRSSGEZN</t>
  </si>
  <si>
    <t>rfnd_CXZ23K14TGK7</t>
  </si>
  <si>
    <t>rfnd_DFL1AEM3S2P6</t>
  </si>
  <si>
    <t>rfnd_G02M5VGW3Q77</t>
  </si>
  <si>
    <t>rfnd_GEKKFAH8SP8P</t>
  </si>
  <si>
    <t>rfnd_GEPFUSVXHMEX</t>
  </si>
  <si>
    <t>rfnd_H55WFPKV15WL</t>
  </si>
  <si>
    <t>rfnd_JQWZSN82UUFG</t>
  </si>
  <si>
    <t>rfnd_JXE748SVM1NZ</t>
  </si>
  <si>
    <t>rfnd_LB4QEVS1NWVY</t>
  </si>
  <si>
    <t>rfnd_M71T38AEF6W1</t>
  </si>
  <si>
    <t>rfnd_MJYSXX2RH97N</t>
  </si>
  <si>
    <t>rfnd_Q6UW5W6E687P</t>
  </si>
  <si>
    <t>rfnd_QUZ0K7B1YCZQ</t>
  </si>
  <si>
    <t>rfnd_R29A3WRSCE25</t>
  </si>
  <si>
    <t>rfnd_SSJ9D05MRATB</t>
  </si>
  <si>
    <t>rfnd_T6M57G0EYM73</t>
  </si>
  <si>
    <t>rfnd_TU8Q6MMGDSQT</t>
  </si>
  <si>
    <t>rfnd_U9DRH56C7FT2</t>
  </si>
  <si>
    <t>rfnd_UKQM5X3D52T3</t>
  </si>
  <si>
    <t>rfnd_UNBT65QD2P7P</t>
  </si>
  <si>
    <t>rfnd_W3F4ARWUEBNG</t>
  </si>
  <si>
    <t>rfnd_XFV10VRTU46Y</t>
  </si>
  <si>
    <t>rfnd_YTCJX71EWVZX</t>
  </si>
  <si>
    <t>rfnd_Z8C31X3W89HQ</t>
  </si>
  <si>
    <t>rfnd_ZD3FN3ZCMPPL</t>
  </si>
  <si>
    <t>gst_fee</t>
  </si>
  <si>
    <t>slabs_matched</t>
  </si>
  <si>
    <t>mdr_rate</t>
  </si>
  <si>
    <t>expected_mdr</t>
  </si>
  <si>
    <t>mdr_status</t>
  </si>
  <si>
    <t>gst_status</t>
  </si>
  <si>
    <t>expected_gst</t>
  </si>
  <si>
    <t>fee_overcharge</t>
  </si>
  <si>
    <t>amount_above</t>
  </si>
  <si>
    <t>amount_up_to</t>
  </si>
  <si>
    <t>mdr_pct</t>
  </si>
  <si>
    <t>gst_on_mdr_pct</t>
  </si>
  <si>
    <t>amount_up_to_clean</t>
  </si>
  <si>
    <t>gst_rate</t>
  </si>
  <si>
    <t>value_date</t>
  </si>
  <si>
    <t>narration</t>
  </si>
  <si>
    <t>utr</t>
  </si>
  <si>
    <t>debit</t>
  </si>
  <si>
    <t>credit</t>
  </si>
  <si>
    <t>debit_cleaned</t>
  </si>
  <si>
    <t>credit_cleaned</t>
  </si>
  <si>
    <t>source</t>
  </si>
  <si>
    <t>category</t>
  </si>
  <si>
    <t>net_movement</t>
  </si>
  <si>
    <t>NEFT CR-COD REMITTANCE-SWIFTSHIP LOGISTICS</t>
  </si>
  <si>
    <t>HDFC8136935688</t>
  </si>
  <si>
    <t>NEFT CR-UTIB906660787800-PAYGATE SOLUTIONS PVT LTD-STL-20260903</t>
  </si>
  <si>
    <t>UTIB906660787800</t>
  </si>
  <si>
    <t>NEFT CR-UTIB134740040561-PAYGATE SOLUTIONS PVT LTD-STL-20260904</t>
  </si>
  <si>
    <t>UTIB134740040561</t>
  </si>
  <si>
    <t>NEFT CR-UTIB276524154158-PAYGATE SOLUTIONS PVT LTD-STL-20260905</t>
  </si>
  <si>
    <t>UTIB276524154158</t>
  </si>
  <si>
    <t>NEFT CR-UTIB865792282614-PAYGATE SOLUTIONS PVT LTD-STL-20260906</t>
  </si>
  <si>
    <t>UTIB865792282614</t>
  </si>
  <si>
    <t>NEFT CR-UTIB595654249028-PAYGATE SOLUTIONS PVT LTD-STL-20260907</t>
  </si>
  <si>
    <t>UTIB595654249028</t>
  </si>
  <si>
    <t>NEFT CR-UTIB943220216078-PAYGATE SOLUTIONS PVT LTD-STL-20260908</t>
  </si>
  <si>
    <t>UTIB943220216078</t>
  </si>
  <si>
    <t>NEFT CR-UTIB756510761290-PAYGATE SOLUTIONS PVT LTD-STL-20260909</t>
  </si>
  <si>
    <t>UTIB756510761290</t>
  </si>
  <si>
    <t>NEFT CR-UTIB418123975882-PAYGATE SOLUTIONS PVT LTD-STL-20260910</t>
  </si>
  <si>
    <t>UTIB418123975882</t>
  </si>
  <si>
    <t>NEFT CR-UTIB746733271111-PAYGATE SOLUTIONS PVT LTD-STL-20260911</t>
  </si>
  <si>
    <t>UTIB746733271111</t>
  </si>
  <si>
    <t>NEFT CR-UTIB764296259187-PAYGATE SOLUTIONS PVT LTD-STL-20260913</t>
  </si>
  <si>
    <t>UTIB764296259187</t>
  </si>
  <si>
    <t>ACH DR-GST PAYMENT CBIC</t>
  </si>
  <si>
    <t>HDFC8870097090</t>
  </si>
  <si>
    <t>NEFT CR-UTIB939970366942-PAYGATE SOLUTIONS PVT LTD-STL-20260914</t>
  </si>
  <si>
    <t>UTIB939970366942</t>
  </si>
  <si>
    <t>NEFT CR-UTIB932589805755-PAYGATE SOLUTIONS PVT LTD-STL-20260915</t>
  </si>
  <si>
    <t>UTIB932589805755</t>
  </si>
  <si>
    <t>NEFT CR-UTIB617324531513-PAYGATE SOLUTIONS PVT LTD-STL-20260916</t>
  </si>
  <si>
    <t>UTIB617324531513</t>
  </si>
  <si>
    <t>NEFT CR-UTIB353584654258-PAYGATE SOLUTIONS PVT LTD-STL-20260917</t>
  </si>
  <si>
    <t>UTIB353584654258</t>
  </si>
  <si>
    <t>IMPS CR-MARKETPLACE PAYOUT-AMZ-SELLER</t>
  </si>
  <si>
    <t>HDFC2862216226</t>
  </si>
  <si>
    <t>NEFT CR-UTIB869208425014-PAYGATE SOLUTIONS PVT LTD-STL-20260918</t>
  </si>
  <si>
    <t>UTIB869208425014</t>
  </si>
  <si>
    <t>NEFT CR-UTIB627442163787-PAYGATE SOLUTIONS PVT LTD-STL-20260919</t>
  </si>
  <si>
    <t>UTIB627442163787</t>
  </si>
  <si>
    <t>NEFT CR-UTIB495144992158-PAYGATE SOLUTIONS PVT LTD-STL-20260920</t>
  </si>
  <si>
    <t>UTIB495144992158</t>
  </si>
  <si>
    <t>NEFT CR-UTIB685956355261-PAYGATE SOLUTIONS PVT LTD-STL-20260921</t>
  </si>
  <si>
    <t>UTIB685956355261</t>
  </si>
  <si>
    <t>NEFT CR-UTIB897394810424-PAYGATE SOLUTIONS PVT LTD-STL-20260922</t>
  </si>
  <si>
    <t>UTIB897394810424</t>
  </si>
  <si>
    <t>NEFT DR-SALARY BATCH SEP</t>
  </si>
  <si>
    <t>HDFC4763928633</t>
  </si>
  <si>
    <t>NEFT CR-UTIB504267861608-PAYGATE SOLUTIONS PVT LTD-STL-20260923</t>
  </si>
  <si>
    <t>UTIB504267861608</t>
  </si>
  <si>
    <t>NEFT CR-UTIB317118579786-PAYGATE SOLUTIONS PVT LTD-STL-20260924</t>
  </si>
  <si>
    <t>UTIB317118579786</t>
  </si>
  <si>
    <t>NEFT CR-UTIB143751158713-PAYGATE SOLUTIONS PVT LTD-STL-20260925</t>
  </si>
  <si>
    <t>UTIB143751158713</t>
  </si>
  <si>
    <t>UPI DR-AWS INDIA CLOUD</t>
  </si>
  <si>
    <t>HDFC5411449517</t>
  </si>
  <si>
    <t>NEFT CR-UTIB981609697217-PAYGATE SOLUTIONS PVT LTD-STL-20260926</t>
  </si>
  <si>
    <t>UTIB981609697217</t>
  </si>
  <si>
    <t>NEFT DR-OFFICE RENT SEP-ANDHERI PROPS</t>
  </si>
  <si>
    <t>HDFC6284745480</t>
  </si>
  <si>
    <t>NEFT CR-UTIB340186474117-PAYGATE SOLUTIONS PVT LTD-STL-20260927</t>
  </si>
  <si>
    <t>UTIB340186474117</t>
  </si>
  <si>
    <t>NEFT DR-PACKAGING VENDOR PAYMENT</t>
  </si>
  <si>
    <t>HDFC5393831742</t>
  </si>
  <si>
    <t>NEFT CR-UTIB436423719552-PAYGATE SOLUTIONS PVT LTD-STL-20260928</t>
  </si>
  <si>
    <t>UTIB436423719552</t>
  </si>
  <si>
    <t>NEFT CR-UTIB526794747767-PAYGATE SOLUTIONS PVT LTD-STL-20260929</t>
  </si>
  <si>
    <t>UTIB526794747767</t>
  </si>
  <si>
    <t>NEFT CR-UTIB314165247757-PAYGATE SOLUTIONS PVT LTD-STL-20260930</t>
  </si>
  <si>
    <t>UTIB314165247757</t>
  </si>
  <si>
    <t>BANK CHARGES SMS ALERT</t>
  </si>
  <si>
    <t>HDFC5100105168</t>
  </si>
  <si>
    <t>type</t>
  </si>
  <si>
    <t>record_id</t>
  </si>
  <si>
    <t>value_inr</t>
  </si>
  <si>
    <t>detail</t>
  </si>
  <si>
    <t>Paid, no payment</t>
  </si>
  <si>
    <t>Wallet order of INR 3,298 has no gateway payment</t>
  </si>
  <si>
    <t>Card order of INR 799 has no gateway payment</t>
  </si>
  <si>
    <t>UPI order of INR 599 has no gateway payment</t>
  </si>
  <si>
    <t>UPI order of INR 1,499 has no gateway payment</t>
  </si>
  <si>
    <t>UPI order of INR 1,148 has no gateway payment</t>
  </si>
  <si>
    <t>Card order of INR 2,598 has no gateway payment</t>
  </si>
  <si>
    <t>NetBanking order of INR 5,298 has no gateway payment</t>
  </si>
  <si>
    <t>Wallet order of INR 648 has no gateway payment</t>
  </si>
  <si>
    <t>Wallet order of INR 5,998 has no gateway payment</t>
  </si>
  <si>
    <t>Wallet order of INR 4,999 has no gateway payment</t>
  </si>
  <si>
    <t>UPI order of INR 8,348 has no gateway payment</t>
  </si>
  <si>
    <t>UPI order of INR 299 has no gateway payment</t>
  </si>
  <si>
    <t>Card order of INR 299 has no gateway payment</t>
  </si>
  <si>
    <t>UPI order of INR 3,499 has no gateway payment</t>
  </si>
  <si>
    <t>Card order of INR 5,597 has no gateway payment</t>
  </si>
  <si>
    <t>NetBanking order of INR 3,499 has no gateway payment</t>
  </si>
  <si>
    <t>UPI order of INR 2,999 has no gateway payment</t>
  </si>
  <si>
    <t>UPI order of INR 5,497 has no gateway payment</t>
  </si>
  <si>
    <t>Card order of INR 10,097 has no gateway payment</t>
  </si>
  <si>
    <t>Payment with no order</t>
  </si>
  <si>
    <t>Reference ORD26006500 is not in orders</t>
  </si>
  <si>
    <t>Reference ORD26006501 is not in orders</t>
  </si>
  <si>
    <t>Reference ORD26006502 is not in orders</t>
  </si>
  <si>
    <t>Reference ORD26006503 is not in orders</t>
  </si>
  <si>
    <t>Reference ORD26006504 is not in orders</t>
  </si>
  <si>
    <t>Reference ORD26006505 is not in orders</t>
  </si>
  <si>
    <t>Reference ORD26006506 is not in orders</t>
  </si>
  <si>
    <t>Reference ORD26006507 is not in orders</t>
  </si>
  <si>
    <t>Amount difference</t>
  </si>
  <si>
    <t>Order INR 3,499 vs gateway INR 3,100 (pay_420000253)</t>
  </si>
  <si>
    <t>Order INR 5,847 vs gateway INR 5,698 (pay_420000491)</t>
  </si>
  <si>
    <t>Order INR 2,798 vs gateway INR 2,649 (pay_420000621)</t>
  </si>
  <si>
    <t>Order INR 2,999 vs gateway INR 2,850 (pay_420000971)</t>
  </si>
  <si>
    <t>Order INR 8,348 vs gateway INR 8,248 (pay_420001088)</t>
  </si>
  <si>
    <t>Order INR 999 vs gateway INR 949 (pay_420001348)</t>
  </si>
  <si>
    <t>Order INR 1,598 vs gateway INR 1,449 (pay_420001469)</t>
  </si>
  <si>
    <t>Order INR 2,499 vs gateway INR 2,299 (pay_420001609)</t>
  </si>
  <si>
    <t>Order INR 648 vs gateway INR 448 (pay_420001661)</t>
  </si>
  <si>
    <t>Order INR 1,848 vs gateway INR 1,348 (pay_420001915)</t>
  </si>
  <si>
    <t>Order INR 4,447 vs gateway INR 3,947 (pay_420002293)</t>
  </si>
  <si>
    <t>Order INR 599 vs gateway INR 349 (pay_420002948)</t>
  </si>
  <si>
    <t>Order INR 1,398 vs gateway INR 1,298 (pay_420002994)</t>
  </si>
  <si>
    <t>Order INR 1,799 vs gateway INR 1,749 (pay_420003329)</t>
  </si>
  <si>
    <t>Order INR 3,499 vs gateway INR 3,299 (pay_420005406)</t>
  </si>
  <si>
    <t>Duplicate charge</t>
  </si>
  <si>
    <t>Captured 2 times (pay_420000299, pay_420000300); order amount INR 1,947</t>
  </si>
  <si>
    <t>Captured 2 times (pay_420001410, pay_420001411); order amount INR 12,998</t>
  </si>
  <si>
    <t>Captured 2 times (pay_420002278, pay_420002279); order amount INR 4,797</t>
  </si>
  <si>
    <t>Captured 2 times (pay_420003274, pay_420003275); order amount INR 3,499</t>
  </si>
  <si>
    <t>Captured 2 times (pay_420003785, pay_420003786); order amount INR 1,499</t>
  </si>
  <si>
    <t>Captured 2 times (pay_420005481, pay_420005482); order amount INR 799</t>
  </si>
  <si>
    <t>Payment on failed/cancelled</t>
  </si>
  <si>
    <t>Order is Cancelled but gateway captured INR 8,797 (pay_420000332)</t>
  </si>
  <si>
    <t>Order is Failed but gateway captured INR 499 (pay_420000364)</t>
  </si>
  <si>
    <t>Order is Failed but gateway captured INR 2,998 (pay_420000961)</t>
  </si>
  <si>
    <t>Order is Cancelled but gateway captured INR 3,098 (pay_420001239)</t>
  </si>
  <si>
    <t>Order is Cancelled but gateway captured INR 2,999 (pay_420001666)</t>
  </si>
  <si>
    <t>Order is Failed but gateway captured INR 1,499 (pay_420001732)</t>
  </si>
  <si>
    <t>Order is Failed but gateway captured INR 6,298 (pay_420001848)</t>
  </si>
  <si>
    <t>Order is Cancelled but gateway captured INR 2,499 (pay_420003523)</t>
  </si>
  <si>
    <t>Refund, order not Refunded</t>
  </si>
  <si>
    <t>Gateway refunded INR 1,799 but order status is Paid</t>
  </si>
  <si>
    <t>Gateway refunded INR 2,999 but order status is Paid</t>
  </si>
  <si>
    <t>Gateway refunded INR 1,647 but order status is Paid</t>
  </si>
  <si>
    <t>Gateway refunded INR 3,797 but order status is Paid</t>
  </si>
  <si>
    <t>Gateway refunded INR 648 but order status is Paid</t>
  </si>
  <si>
    <t>Gateway refunded INR 299 but order status is Paid</t>
  </si>
  <si>
    <t>Gateway refunded INR 2,697 but order status is Paid</t>
  </si>
  <si>
    <t>Refunded, no refund</t>
  </si>
  <si>
    <t>Order marked Refunded but no refund in the gateway</t>
  </si>
  <si>
    <t>Wallet INR 6,798: charged MDR 163.15 vs correct 115.57 (rate 1.7%)</t>
  </si>
  <si>
    <t>Wallet INR 5,298: charged MDR 127.15 vs correct 90.07 (rate 1.7%)</t>
  </si>
  <si>
    <t>Wallet INR 3,499: charged MDR 83.98 vs correct 59.48 (rate 1.7%)</t>
  </si>
  <si>
    <t>Wallet INR 2,098: charged MDR 50.35 vs correct 35.67 (rate 1.7%)</t>
  </si>
  <si>
    <t>UPI INR 599: charged MDR 1.8 vs correct 0.00 (rate 0.0%)</t>
  </si>
  <si>
    <t>Wallet INR 5,998: charged MDR 143.95 vs correct 101.97 (rate 1.7%)</t>
  </si>
  <si>
    <t>UPI INR 799: charged MDR 2.4 vs correct 0.00 (rate 0.0%)</t>
  </si>
  <si>
    <t>Wallet INR 8,497: charged MDR 203.93 vs correct 144.45 (rate 1.7%)</t>
  </si>
  <si>
    <t>Wallet INR 10,147: charged MDR 243.53 vs correct 172.50 (rate 1.7%)</t>
  </si>
  <si>
    <t>Wallet INR 3,498: charged MDR 83.95 vs correct 59.47 (rate 1.7%)</t>
  </si>
  <si>
    <t>UPI INR 499: charged MDR 1.5 vs correct 0.00 (rate 0.0%)</t>
  </si>
  <si>
    <t>Wallet INR 3,848: charged MDR 92.35 vs correct 65.42 (rate 1.7%)</t>
  </si>
  <si>
    <t>Wallet INR 3,348: charged MDR 80.35 vs correct 56.92 (rate 1.7%)</t>
  </si>
  <si>
    <t>Wallet INR 2,398: charged MDR 57.55 vs correct 40.77 (rate 1.7%)</t>
  </si>
  <si>
    <t>Wallet INR 2,499: charged MDR 59.98 vs correct 42.48 (rate 1.7%)</t>
  </si>
  <si>
    <t>Wallet INR 7,497: charged MDR 179.93 vs correct 127.45 (rate 1.7%)</t>
  </si>
  <si>
    <t>Wallet INR 2,247: charged MDR 53.93 vs correct 38.20 (rate 1.7%)</t>
  </si>
  <si>
    <t>UPI INR 648: charged MDR 1.94 vs correct 0.00 (rate 0.0%)</t>
  </si>
  <si>
    <t>UPI INR 1,799: charged MDR 5.4 vs correct 0.00 (rate 0.0%)</t>
  </si>
  <si>
    <t>Wallet INR 2,298: charged MDR 55.15 vs correct 39.07 (rate 1.7%)</t>
  </si>
  <si>
    <t>UPI INR 898: charged MDR 2.69 vs correct 0.00 (rate 0.0%)</t>
  </si>
  <si>
    <t>Wallet INR 5,498: charged MDR 131.95 vs correct 93.47 (rate 1.7%)</t>
  </si>
  <si>
    <t>Wallet INR 2,999: charged MDR 71.98 vs correct 50.98 (rate 1.7%)</t>
  </si>
  <si>
    <t>UPI INR 299: charged MDR 0.9 vs correct 0.00 (rate 0.0%)</t>
  </si>
  <si>
    <t>Wallet INR 6,797: charged MDR 163.13 vs correct 115.55 (rate 1.7%)</t>
  </si>
  <si>
    <t>Wallet INR 6,297: charged MDR 151.13 vs correct 107.05 (rate 1.7%)</t>
  </si>
  <si>
    <t>Wallet INR 3,798: charged MDR 91.15 vs correct 64.57 (rate 1.7%)</t>
  </si>
  <si>
    <t>Wallet INR 7,999: charged MDR 191.98 vs correct 135.98 (rate 1.7%)</t>
  </si>
  <si>
    <t>UPI INR 1,299: charged MDR 3.9 vs correct 0.00 (rate 0.0%)</t>
  </si>
  <si>
    <t>UPI INR 1,648: charged MDR 4.94 vs correct 0.00 (rate 0.0%)</t>
  </si>
  <si>
    <t>Wallet INR 4,397: charged MDR 105.53 vs correct 74.75 (rate 1.7%)</t>
  </si>
  <si>
    <t>Wallet INR 2,598: charged MDR 62.35 vs correct 44.17 (rate 1.7%)</t>
  </si>
  <si>
    <t>UPI INR 1,998: charged MDR 5.99 vs correct 0.00 (rate 0.0%)</t>
  </si>
  <si>
    <t>UPI INR 1,499: charged MDR 4.5 vs correct 0.00 (rate 0.0%)</t>
  </si>
  <si>
    <t>Missing settlement</t>
  </si>
  <si>
    <t>See batch_recon</t>
  </si>
  <si>
    <t>Short-paid settlement</t>
  </si>
  <si>
    <t>Data quality log</t>
  </si>
  <si>
    <t>Green = fixed, yellow = observation (not an error), blue = checked and found clean.</t>
  </si>
  <si>
    <t>#</t>
  </si>
  <si>
    <t>Type</t>
  </si>
  <si>
    <t>File</t>
  </si>
  <si>
    <t>Problem</t>
  </si>
  <si>
    <t>Rows / INR affected</t>
  </si>
  <si>
    <t>Example</t>
  </si>
  <si>
    <t>How fixed</t>
  </si>
  <si>
    <t>Where fixed</t>
  </si>
  <si>
    <t>Impact if left unfixed</t>
  </si>
  <si>
    <t>Fixed</t>
  </si>
  <si>
    <t>orders.csv</t>
  </si>
  <si>
    <t>Order dates in 3 formats (dd-mm-yyyy, yyyy-mm-dd, dd/mm/yyyy)</t>
  </si>
  <si>
    <t>6,000 rows (3,600 / 1,812 / 588)</t>
  </si>
  <si>
    <t>21-09-2026 | 2026-09-08 | 22/09/2026</t>
  </si>
  <si>
    <t>Parsed each format and converted to one real date, read day-first (all dates fall in 1-30 Sep 2026)</t>
  </si>
  <si>
    <t>orders_cleaned!B</t>
  </si>
  <si>
    <t>Text dates cannot be sorted, filtered or charted by day</t>
  </si>
  <si>
    <t>Amounts stored as text with thousands commas</t>
  </si>
  <si>
    <t>266 rows</t>
  </si>
  <si>
    <t>Removed the comma and converted to a number</t>
  </si>
  <si>
    <t>orders_cleaned!H (order_amount_cleaned)</t>
  </si>
  <si>
    <t>Text amounts are skipped by SUM, so sales would be understated</t>
  </si>
  <si>
    <t>Blank city</t>
  </si>
  <si>
    <t>180 rows (164 are Paid orders)</t>
  </si>
  <si>
    <t>Kept the order and set city_clean to "Unknown". City is not used in matching</t>
  </si>
  <si>
    <t>orders_cleaned!I (city_clean)</t>
  </si>
  <si>
    <t>None on the reconciliation; needed for any city analysis</t>
  </si>
  <si>
    <t>pg_transactions.csv</t>
  </si>
  <si>
    <t>Exact duplicate rows (same pg_txn_id and every value)</t>
  </si>
  <si>
    <t>10 rows; gross INR 25,386; net INR 25,162.89</t>
  </si>
  <si>
    <t>pay_420000156 (INR 499)</t>
  </si>
  <si>
    <t>Removed the second occurrence and kept an audit copy of the 10 rows. Sheet now has 5,742 rows. These are NOT the 6 real duplicate charges (different pg_txn_id, same order), which stay in the data</t>
  </si>
  <si>
    <t>pg_transaction_cleaned!N (dup_flag)</t>
  </si>
  <si>
    <t>Left in, 7 batches are overstated by INR 25,162.89 and show as false short-paid</t>
  </si>
  <si>
    <t>Order reference in lowercase</t>
  </si>
  <si>
    <t>464 rows</t>
  </si>
  <si>
    <t>Converted to uppercase (UPPER)</t>
  </si>
  <si>
    <t>pg_transaction_cleaned!D</t>
  </si>
  <si>
    <t>Would not match orders.csv, giving false "payment with no order"</t>
  </si>
  <si>
    <t>Order reference with a hyphen</t>
  </si>
  <si>
    <t>169 rows</t>
  </si>
  <si>
    <t>Removed the hyphen (SUBSTITUTE)</t>
  </si>
  <si>
    <t>Same as above</t>
  </si>
  <si>
    <t>Order reference padded with trailing spaces</t>
  </si>
  <si>
    <t>231 rows</t>
  </si>
  <si>
    <t>'ORD26001432  '</t>
  </si>
  <si>
    <t>Trimmed the spaces (TRIM)</t>
  </si>
  <si>
    <t>Refund rows have no order reference (linked only through original_payment_id)</t>
  </si>
  <si>
    <t>243 rows</t>
  </si>
  <si>
    <t>rfnd_BDDX8L3AAXM0 -&gt; pay_420002554</t>
  </si>
  <si>
    <t>Left the reference blank. order_key is looked up through original_payment_id -&gt; original capture -&gt; order</t>
  </si>
  <si>
    <t>pg_transaction_cleaned!O (order_key)</t>
  </si>
  <si>
    <t>Refunds could not be matched to orders</t>
  </si>
  <si>
    <t>bank_statement.csv</t>
  </si>
  <si>
    <t>Non-gateway rows mixed in (COD remittance, marketplace payout, GST, salary, rent, AWS, vendor, bank charges)</t>
  </si>
  <si>
    <t>8 rows: 2 credits INR 2,07,300.55; 6 debits INR 11,82,240.20</t>
  </si>
  <si>
    <t>Kept on the sheet but tagged source = Other and excluded from the gateway match (no batch ID)</t>
  </si>
  <si>
    <t>bank_statement_cleaned!I (source)</t>
  </si>
  <si>
    <t>Would inflate cash received if counted as gateway money</t>
  </si>
  <si>
    <t>Settlement batch ID exists only inside the narration text</t>
  </si>
  <si>
    <t>27 rows</t>
  </si>
  <si>
    <t>...PAYGATE SOLUTIONS PVT LTD-STL-20260903</t>
  </si>
  <si>
    <t>Extracted with MID/FIND on "STL-" into a batch_id column</t>
  </si>
  <si>
    <t>bank_statement_cleaned!H (batch_id)</t>
  </si>
  <si>
    <t>No way to match batches to the gateway without it</t>
  </si>
  <si>
    <t>Debit and credit in separate columns, blanks instead of zeros</t>
  </si>
  <si>
    <t>29 blank debits, 6 blank credits</t>
  </si>
  <si>
    <t>Any gateway row has a credit and no debit</t>
  </si>
  <si>
    <t>Blanks converted to 0 in debit_cleaned and credit_cleaned</t>
  </si>
  <si>
    <t>bank_statement_cleaned!F, G</t>
  </si>
  <si>
    <t>Needed for clean totals and net movement</t>
  </si>
  <si>
    <t>mdr_rate_card.csv</t>
  </si>
  <si>
    <t>Top slab has a blank upper limit</t>
  </si>
  <si>
    <t>4 slabs</t>
  </si>
  <si>
    <t>UPI above 2,000 (amount_up_to blank)</t>
  </si>
  <si>
    <t>Blank upper limit replaced with 999,999,999 so range lookups work</t>
  </si>
  <si>
    <t>mdr_rate_cleaned!F</t>
  </si>
  <si>
    <t>Payments above the last limit would match no slab</t>
  </si>
  <si>
    <t>Rates stored as whole percentages (1.8 means 1.8%)</t>
  </si>
  <si>
    <t>9 rows</t>
  </si>
  <si>
    <t>Card 0-2,000: 1.8</t>
  </si>
  <si>
    <t>Divided by 100 before calculating; GST 18 treated as 18%</t>
  </si>
  <si>
    <t>mdr_rate_cleaned!G, H</t>
  </si>
  <si>
    <t>Fees would be calculated 100 times too high</t>
  </si>
  <si>
    <t>Observation</t>
  </si>
  <si>
    <t>436 rows settle in October, after the bank statement ends on 30 Sep</t>
  </si>
  <si>
    <t>436 rows; net INR 12,65,526.90</t>
  </si>
  <si>
    <t>Batches STL-20261001 and STL-20261002</t>
  </si>
  <si>
    <t>Not an error. Flagged settlement_period = Oct-Due and shown as a timing difference in the bridge</t>
  </si>
  <si>
    <t>pg_transaction_cleaned!P</t>
  </si>
  <si>
    <t>Cash is still on its way, not lost</t>
  </si>
  <si>
    <t>Refund rows carry a negative net_amount and zero fees</t>
  </si>
  <si>
    <t>Sign kept as is, so refunds net off inside each settlement batch total</t>
  </si>
  <si>
    <t>pg_transaction_cleaned!K</t>
  </si>
  <si>
    <t>Needed so batch totals match the bank</t>
  </si>
  <si>
    <t>Checked: clean</t>
  </si>
  <si>
    <t>order_id unique</t>
  </si>
  <si>
    <t>6,000 unique of 6,000</t>
  </si>
  <si>
    <t>No action needed</t>
  </si>
  <si>
    <t>payment_method and order_status spelled consistently, no stray spaces</t>
  </si>
  <si>
    <t>4 methods, 4 statuses</t>
  </si>
  <si>
    <t>Amounts numeric and net = gross - MDR - GST on every capture</t>
  </si>
  <si>
    <t>5,499 captures</t>
  </si>
  <si>
    <t>Every payment settles exactly 2 days after the transaction date</t>
  </si>
  <si>
    <t>5,742 rows</t>
  </si>
  <si>
    <t>Payment method on the gateway matches the order on every matched payment</t>
  </si>
  <si>
    <t>5,491 matched payments</t>
  </si>
  <si>
    <t>UTR unique on every row</t>
  </si>
  <si>
    <t>35 rows</t>
  </si>
  <si>
    <t>Rows before</t>
  </si>
  <si>
    <t>Rows removed</t>
  </si>
  <si>
    <t>Rows after</t>
  </si>
  <si>
    <t>Note</t>
  </si>
  <si>
    <t>Nothing removed; values converted in place</t>
  </si>
  <si>
    <t>10 exact duplicate rows removed (audit copy kept)</t>
  </si>
  <si>
    <t>8 non-gateway rows kept but excluded from the gateway match</t>
  </si>
  <si>
    <t>Nothing removed</t>
  </si>
  <si>
    <t>Waterfall helper (reads from bridge)</t>
  </si>
  <si>
    <t>label</t>
  </si>
  <si>
    <t>value</t>
  </si>
  <si>
    <t>base</t>
  </si>
  <si>
    <t>total</t>
  </si>
  <si>
    <t>increase</t>
  </si>
  <si>
    <t>decrease</t>
  </si>
  <si>
    <t>running</t>
  </si>
  <si>
    <t>date</t>
  </si>
  <si>
    <t>Sales</t>
  </si>
  <si>
    <t>delta</t>
  </si>
  <si>
    <t>Amount diff</t>
  </si>
  <si>
    <t>No order</t>
  </si>
  <si>
    <t>Failed/cancelled</t>
  </si>
  <si>
    <t>Gross captured</t>
  </si>
  <si>
    <t>MDR</t>
  </si>
  <si>
    <t>GST</t>
  </si>
  <si>
    <t>Fee overcharge</t>
  </si>
  <si>
    <t>Net payable</t>
  </si>
  <si>
    <t>Due in Oct</t>
  </si>
  <si>
    <t>Missing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</si>
</sst>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₹#,##0"/>
    <numFmt numFmtId="165" formatCode="\₹#,##0.00"/>
    <numFmt numFmtId="166" formatCode="#,##0.00;\(#,##0.00\);\-"/>
    <numFmt numFmtId="167" formatCode="0.0%;\(0.0%\);\-"/>
    <numFmt numFmtId="168" formatCode="0.0%"/>
    <numFmt numFmtId="169" formatCode="dd\-mmm\-yyyy"/>
  </numFmts>
  <fonts count="25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sz val="9"/>
      <color rgb="FF595959"/>
      <name val="Arial"/>
      <family val="2"/>
    </font>
    <font>
      <b/>
      <sz val="9"/>
      <color rgb="FF595959"/>
      <name val="Arial"/>
      <family val="2"/>
    </font>
    <font>
      <b/>
      <sz val="20"/>
      <color rgb="FF1F3864"/>
      <name val="Arial"/>
      <family val="2"/>
    </font>
    <font>
      <b/>
      <sz val="20"/>
      <color rgb="FFC00000"/>
      <name val="Arial"/>
      <family val="2"/>
    </font>
    <font>
      <b/>
      <sz val="20"/>
      <color rgb="FF548235"/>
      <name val="Arial"/>
      <family val="2"/>
    </font>
    <font>
      <sz val="8"/>
      <color rgb="FF7F7F7F"/>
      <name val="Arial"/>
      <family val="2"/>
    </font>
    <font>
      <b/>
      <sz val="20"/>
      <color rgb="FFBF8F0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548235"/>
      <name val="Arial"/>
      <family val="2"/>
    </font>
    <font>
      <b/>
      <sz val="13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3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9F9F9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BF8F00"/>
        <bgColor rgb="FFED7D31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</fills>
  <borders count="6">
    <border>
      <left/>
      <right/>
      <top/>
      <bottom/>
      <diagonal/>
    </border>
    <border>
      <left style="medium">
        <color rgb="FF1F3864"/>
      </left>
      <right/>
      <top/>
      <bottom/>
      <diagonal/>
    </border>
    <border>
      <left style="medium">
        <color rgb="FFC00000"/>
      </left>
      <right/>
      <top/>
      <bottom/>
      <diagonal/>
    </border>
    <border>
      <left style="medium">
        <color rgb="FF548235"/>
      </left>
      <right/>
      <top/>
      <bottom/>
      <diagonal/>
    </border>
    <border>
      <left style="medium">
        <color rgb="FFBF8F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0" fillId="4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 vertical="center" wrapText="1"/>
    </xf>
    <xf numFmtId="166" fontId="11" fillId="0" borderId="5" xfId="0" applyNumberFormat="1" applyFont="1" applyBorder="1"/>
    <xf numFmtId="167" fontId="11" fillId="0" borderId="5" xfId="0" applyNumberFormat="1" applyFont="1" applyBorder="1"/>
    <xf numFmtId="4" fontId="10" fillId="0" borderId="5" xfId="0" applyNumberFormat="1" applyFont="1" applyBorder="1"/>
    <xf numFmtId="168" fontId="10" fillId="0" borderId="5" xfId="0" applyNumberFormat="1" applyFont="1" applyBorder="1"/>
    <xf numFmtId="3" fontId="11" fillId="0" borderId="5" xfId="0" applyNumberFormat="1" applyFont="1" applyBorder="1" applyAlignment="1">
      <alignment horizontal="center"/>
    </xf>
    <xf numFmtId="168" fontId="11" fillId="0" borderId="5" xfId="0" applyNumberFormat="1" applyFont="1" applyBorder="1" applyAlignment="1">
      <alignment horizontal="center"/>
    </xf>
    <xf numFmtId="169" fontId="11" fillId="0" borderId="5" xfId="0" applyNumberFormat="1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3" fontId="11" fillId="0" borderId="5" xfId="0" applyNumberFormat="1" applyFont="1" applyBorder="1"/>
    <xf numFmtId="4" fontId="11" fillId="0" borderId="5" xfId="0" applyNumberFormat="1" applyFont="1" applyBorder="1"/>
    <xf numFmtId="10" fontId="11" fillId="0" borderId="5" xfId="0" applyNumberFormat="1" applyFont="1" applyBorder="1" applyAlignment="1">
      <alignment horizontal="center"/>
    </xf>
    <xf numFmtId="3" fontId="10" fillId="0" borderId="5" xfId="0" applyNumberFormat="1" applyFont="1" applyBorder="1"/>
    <xf numFmtId="10" fontId="10" fillId="0" borderId="5" xfId="0" applyNumberFormat="1" applyFont="1" applyBorder="1"/>
    <xf numFmtId="0" fontId="14" fillId="0" borderId="0" xfId="0" applyFont="1"/>
    <xf numFmtId="0" fontId="15" fillId="3" borderId="5" xfId="0" applyFont="1" applyFill="1" applyBorder="1" applyAlignment="1">
      <alignment vertical="center" wrapText="1"/>
    </xf>
    <xf numFmtId="0" fontId="16" fillId="0" borderId="5" xfId="0" applyFont="1" applyBorder="1"/>
    <xf numFmtId="166" fontId="16" fillId="0" borderId="5" xfId="0" applyNumberFormat="1" applyFont="1" applyBorder="1"/>
    <xf numFmtId="0" fontId="17" fillId="5" borderId="5" xfId="0" applyFont="1" applyFill="1" applyBorder="1"/>
    <xf numFmtId="166" fontId="17" fillId="5" borderId="5" xfId="0" applyNumberFormat="1" applyFont="1" applyFill="1" applyBorder="1"/>
    <xf numFmtId="0" fontId="17" fillId="0" borderId="0" xfId="0" applyFont="1"/>
    <xf numFmtId="0" fontId="16" fillId="0" borderId="0" xfId="0" applyFont="1"/>
    <xf numFmtId="166" fontId="16" fillId="0" borderId="0" xfId="0" applyNumberFormat="1" applyFont="1"/>
    <xf numFmtId="166" fontId="17" fillId="0" borderId="0" xfId="0" applyNumberFormat="1" applyFont="1"/>
    <xf numFmtId="0" fontId="18" fillId="0" borderId="0" xfId="0" applyFont="1"/>
    <xf numFmtId="14" fontId="16" fillId="0" borderId="5" xfId="0" applyNumberFormat="1" applyFont="1" applyBorder="1"/>
    <xf numFmtId="0" fontId="17" fillId="0" borderId="5" xfId="0" applyFont="1" applyBorder="1"/>
    <xf numFmtId="166" fontId="17" fillId="0" borderId="5" xfId="0" applyNumberFormat="1" applyFont="1" applyBorder="1"/>
    <xf numFmtId="1" fontId="16" fillId="0" borderId="5" xfId="0" applyNumberFormat="1" applyFont="1" applyBorder="1"/>
    <xf numFmtId="1" fontId="19" fillId="0" borderId="5" xfId="0" applyNumberFormat="1" applyFont="1" applyBorder="1"/>
    <xf numFmtId="4" fontId="16" fillId="0" borderId="5" xfId="0" applyNumberFormat="1" applyFont="1" applyBorder="1"/>
    <xf numFmtId="4" fontId="19" fillId="0" borderId="5" xfId="0" applyNumberFormat="1" applyFont="1" applyBorder="1"/>
    <xf numFmtId="2" fontId="16" fillId="0" borderId="5" xfId="0" applyNumberFormat="1" applyFont="1" applyBorder="1"/>
    <xf numFmtId="2" fontId="19" fillId="0" borderId="5" xfId="0" applyNumberFormat="1" applyFont="1" applyBorder="1"/>
    <xf numFmtId="0" fontId="15" fillId="6" borderId="5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14" fontId="16" fillId="0" borderId="0" xfId="0" applyNumberFormat="1" applyFont="1"/>
    <xf numFmtId="4" fontId="16" fillId="0" borderId="0" xfId="0" applyNumberFormat="1" applyFont="1"/>
    <xf numFmtId="168" fontId="16" fillId="0" borderId="0" xfId="0" applyNumberFormat="1" applyFont="1"/>
    <xf numFmtId="3" fontId="16" fillId="0" borderId="0" xfId="0" applyNumberFormat="1" applyFont="1"/>
    <xf numFmtId="9" fontId="16" fillId="0" borderId="0" xfId="0" applyNumberFormat="1" applyFont="1"/>
    <xf numFmtId="4" fontId="17" fillId="0" borderId="0" xfId="0" applyNumberFormat="1" applyFont="1"/>
    <xf numFmtId="0" fontId="20" fillId="0" borderId="0" xfId="0" applyFont="1"/>
    <xf numFmtId="0" fontId="21" fillId="0" borderId="0" xfId="0" applyFont="1"/>
    <xf numFmtId="0" fontId="22" fillId="3" borderId="5" xfId="0" applyFont="1" applyFill="1" applyBorder="1" applyAlignment="1">
      <alignment vertical="center" wrapText="1"/>
    </xf>
    <xf numFmtId="0" fontId="21" fillId="0" borderId="5" xfId="0" applyFont="1" applyBorder="1" applyAlignment="1">
      <alignment vertical="top" wrapText="1"/>
    </xf>
    <xf numFmtId="0" fontId="21" fillId="8" borderId="5" xfId="0" applyFont="1" applyFill="1" applyBorder="1" applyAlignment="1">
      <alignment vertical="top" wrapText="1"/>
    </xf>
    <xf numFmtId="0" fontId="21" fillId="9" borderId="5" xfId="0" applyFont="1" applyFill="1" applyBorder="1" applyAlignment="1">
      <alignment vertical="top" wrapText="1"/>
    </xf>
    <xf numFmtId="0" fontId="21" fillId="5" borderId="5" xfId="0" applyFont="1" applyFill="1" applyBorder="1" applyAlignment="1">
      <alignment vertical="top" wrapText="1"/>
    </xf>
    <xf numFmtId="0" fontId="23" fillId="0" borderId="0" xfId="0" applyFont="1"/>
    <xf numFmtId="0" fontId="22" fillId="3" borderId="5" xfId="0" applyFont="1" applyFill="1" applyBorder="1" applyAlignment="1">
      <alignment wrapText="1"/>
    </xf>
    <xf numFmtId="0" fontId="21" fillId="0" borderId="5" xfId="0" applyFont="1" applyBorder="1"/>
    <xf numFmtId="3" fontId="24" fillId="0" borderId="5" xfId="0" applyNumberFormat="1" applyFont="1" applyBorder="1"/>
    <xf numFmtId="3" fontId="21" fillId="0" borderId="5" xfId="0" applyNumberFormat="1" applyFont="1" applyBorder="1"/>
    <xf numFmtId="0" fontId="10" fillId="0" borderId="5" xfId="0" applyFont="1" applyBorder="1"/>
    <xf numFmtId="0" fontId="11" fillId="0" borderId="5" xfId="0" applyFont="1" applyBorder="1"/>
    <xf numFmtId="0" fontId="7" fillId="0" borderId="0" xfId="0" applyFont="1"/>
    <xf numFmtId="0" fontId="11" fillId="0" borderId="0" xfId="0" applyFont="1" applyAlignment="1">
      <alignment vertical="top" wrapText="1"/>
    </xf>
    <xf numFmtId="0" fontId="10" fillId="4" borderId="5" xfId="0" applyFont="1" applyFill="1" applyBorder="1" applyAlignment="1">
      <alignment horizontal="left" vertical="center" wrapText="1"/>
    </xf>
    <xf numFmtId="0" fontId="12" fillId="0" borderId="5" xfId="0" applyFont="1" applyBorder="1"/>
    <xf numFmtId="0" fontId="0" fillId="0" borderId="0" xfId="0"/>
    <xf numFmtId="0" fontId="10" fillId="4" borderId="5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/>
    </xf>
    <xf numFmtId="0" fontId="13" fillId="0" borderId="5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3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B3B3B3"/>
      <rgbColor rgb="FFFF99CC"/>
      <rgbColor rgb="FFCC99FF"/>
      <rgbColor rgb="FFD9E1F2"/>
      <rgbColor rgb="FF2E75B6"/>
      <rgbColor rgb="FF33CCCC"/>
      <rgbColor rgb="FF99CC00"/>
      <rgbColor rgb="FFFFCC00"/>
      <rgbColor rgb="FFBF8F00"/>
      <rgbColor rgb="FFED7D31"/>
      <rgbColor rgb="FF595959"/>
      <rgbColor rgb="FF878787"/>
      <rgbColor rgb="FF1F3864"/>
      <rgbColor rgb="FF339966"/>
      <rgbColor rgb="FF003300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</a:t>
            </a:r>
            <a:r>
              <a:rPr lang="en-IN" baseline="0"/>
              <a:t> per Order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chart_data!$D$2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chart_data!$A$3:$A$18</c:f>
              <c:strCache>
                <c:ptCount val="16"/>
                <c:pt idx="0">
                  <c:v>Sales</c:v>
                </c:pt>
                <c:pt idx="1">
                  <c:v>Paid, no payment</c:v>
                </c:pt>
                <c:pt idx="2">
                  <c:v>Amount diff</c:v>
                </c:pt>
                <c:pt idx="3">
                  <c:v>Duplicate charges</c:v>
                </c:pt>
                <c:pt idx="4">
                  <c:v>No order</c:v>
                </c:pt>
                <c:pt idx="5">
                  <c:v>Failed/cancelled</c:v>
                </c:pt>
                <c:pt idx="6">
                  <c:v>Gross captured</c:v>
                </c:pt>
                <c:pt idx="7">
                  <c:v>Refunds</c:v>
                </c:pt>
                <c:pt idx="8">
                  <c:v>MDR</c:v>
                </c:pt>
                <c:pt idx="9">
                  <c:v>GST</c:v>
                </c:pt>
                <c:pt idx="10">
                  <c:v>Fee overcharge</c:v>
                </c:pt>
                <c:pt idx="11">
                  <c:v>Net payable</c:v>
                </c:pt>
                <c:pt idx="12">
                  <c:v>Due in Oct</c:v>
                </c:pt>
                <c:pt idx="13">
                  <c:v>Missing batch</c:v>
                </c:pt>
                <c:pt idx="14">
                  <c:v>Short-paid</c:v>
                </c:pt>
                <c:pt idx="15">
                  <c:v>Cash in bank</c:v>
                </c:pt>
              </c:strCache>
            </c:strRef>
          </c:cat>
          <c:val>
            <c:numRef>
              <c:f>chart_data!$D$3:$D$18</c:f>
              <c:numCache>
                <c:formatCode>#,##0</c:formatCode>
                <c:ptCount val="16"/>
                <c:pt idx="0">
                  <c:v>0</c:v>
                </c:pt>
                <c:pt idx="1">
                  <c:v>19826676</c:v>
                </c:pt>
                <c:pt idx="2">
                  <c:v>19823531</c:v>
                </c:pt>
                <c:pt idx="3">
                  <c:v>19823531</c:v>
                </c:pt>
                <c:pt idx="4">
                  <c:v>19849070</c:v>
                </c:pt>
                <c:pt idx="5">
                  <c:v>19874062</c:v>
                </c:pt>
                <c:pt idx="6">
                  <c:v>0</c:v>
                </c:pt>
                <c:pt idx="7">
                  <c:v>19008861</c:v>
                </c:pt>
                <c:pt idx="8">
                  <c:v>18834475.889999997</c:v>
                </c:pt>
                <c:pt idx="9">
                  <c:v>18803084.689999998</c:v>
                </c:pt>
                <c:pt idx="10">
                  <c:v>18801899.489999998</c:v>
                </c:pt>
                <c:pt idx="11">
                  <c:v>0</c:v>
                </c:pt>
                <c:pt idx="12">
                  <c:v>17536372.59</c:v>
                </c:pt>
                <c:pt idx="13">
                  <c:v>16985298.559999999</c:v>
                </c:pt>
                <c:pt idx="14">
                  <c:v>16984048.559999999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5-4ED6-BA2D-F757B4E3527E}"/>
            </c:ext>
          </c:extLst>
        </c:ser>
        <c:ser>
          <c:idx val="1"/>
          <c:order val="1"/>
          <c:tx>
            <c:strRef>
              <c:f>chart_data!$E$2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chart_data!$A$3:$A$18</c:f>
              <c:strCache>
                <c:ptCount val="16"/>
                <c:pt idx="0">
                  <c:v>Sales</c:v>
                </c:pt>
                <c:pt idx="1">
                  <c:v>Paid, no payment</c:v>
                </c:pt>
                <c:pt idx="2">
                  <c:v>Amount diff</c:v>
                </c:pt>
                <c:pt idx="3">
                  <c:v>Duplicate charges</c:v>
                </c:pt>
                <c:pt idx="4">
                  <c:v>No order</c:v>
                </c:pt>
                <c:pt idx="5">
                  <c:v>Failed/cancelled</c:v>
                </c:pt>
                <c:pt idx="6">
                  <c:v>Gross captured</c:v>
                </c:pt>
                <c:pt idx="7">
                  <c:v>Refunds</c:v>
                </c:pt>
                <c:pt idx="8">
                  <c:v>MDR</c:v>
                </c:pt>
                <c:pt idx="9">
                  <c:v>GST</c:v>
                </c:pt>
                <c:pt idx="10">
                  <c:v>Fee overcharge</c:v>
                </c:pt>
                <c:pt idx="11">
                  <c:v>Net payable</c:v>
                </c:pt>
                <c:pt idx="12">
                  <c:v>Due in Oct</c:v>
                </c:pt>
                <c:pt idx="13">
                  <c:v>Missing batch</c:v>
                </c:pt>
                <c:pt idx="14">
                  <c:v>Short-paid</c:v>
                </c:pt>
                <c:pt idx="15">
                  <c:v>Cash in bank</c:v>
                </c:pt>
              </c:strCache>
            </c:strRef>
          </c:cat>
          <c:val>
            <c:numRef>
              <c:f>chart_data!$E$3:$E$18</c:f>
              <c:numCache>
                <c:formatCode>#,##0</c:formatCode>
                <c:ptCount val="16"/>
                <c:pt idx="0">
                  <c:v>19894293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19902749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18801899.489999998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16984048.559999999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5-4ED6-BA2D-F757B4E3527E}"/>
            </c:ext>
          </c:extLst>
        </c:ser>
        <c:ser>
          <c:idx val="2"/>
          <c:order val="2"/>
          <c:tx>
            <c:strRef>
              <c:f>chart_data!$F$2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chart_data!$A$3:$A$18</c:f>
              <c:strCache>
                <c:ptCount val="16"/>
                <c:pt idx="0">
                  <c:v>Sales</c:v>
                </c:pt>
                <c:pt idx="1">
                  <c:v>Paid, no payment</c:v>
                </c:pt>
                <c:pt idx="2">
                  <c:v>Amount diff</c:v>
                </c:pt>
                <c:pt idx="3">
                  <c:v>Duplicate charges</c:v>
                </c:pt>
                <c:pt idx="4">
                  <c:v>No order</c:v>
                </c:pt>
                <c:pt idx="5">
                  <c:v>Failed/cancelled</c:v>
                </c:pt>
                <c:pt idx="6">
                  <c:v>Gross captured</c:v>
                </c:pt>
                <c:pt idx="7">
                  <c:v>Refunds</c:v>
                </c:pt>
                <c:pt idx="8">
                  <c:v>MDR</c:v>
                </c:pt>
                <c:pt idx="9">
                  <c:v>GST</c:v>
                </c:pt>
                <c:pt idx="10">
                  <c:v>Fee overcharge</c:v>
                </c:pt>
                <c:pt idx="11">
                  <c:v>Net payable</c:v>
                </c:pt>
                <c:pt idx="12">
                  <c:v>Due in Oct</c:v>
                </c:pt>
                <c:pt idx="13">
                  <c:v>Missing batch</c:v>
                </c:pt>
                <c:pt idx="14">
                  <c:v>Short-paid</c:v>
                </c:pt>
                <c:pt idx="15">
                  <c:v>Cash in bank</c:v>
                </c:pt>
              </c:strCache>
            </c:strRef>
          </c:cat>
          <c:val>
            <c:numRef>
              <c:f>chart_data!$F$3:$F$18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25539</c:v>
                </c:pt>
                <c:pt idx="4">
                  <c:v>24992</c:v>
                </c:pt>
                <c:pt idx="5">
                  <c:v>28687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25-4ED6-BA2D-F757B4E3527E}"/>
            </c:ext>
          </c:extLst>
        </c:ser>
        <c:ser>
          <c:idx val="3"/>
          <c:order val="3"/>
          <c:tx>
            <c:strRef>
              <c:f>chart_data!$G$2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chart_data!$A$3:$A$18</c:f>
              <c:strCache>
                <c:ptCount val="16"/>
                <c:pt idx="0">
                  <c:v>Sales</c:v>
                </c:pt>
                <c:pt idx="1">
                  <c:v>Paid, no payment</c:v>
                </c:pt>
                <c:pt idx="2">
                  <c:v>Amount diff</c:v>
                </c:pt>
                <c:pt idx="3">
                  <c:v>Duplicate charges</c:v>
                </c:pt>
                <c:pt idx="4">
                  <c:v>No order</c:v>
                </c:pt>
                <c:pt idx="5">
                  <c:v>Failed/cancelled</c:v>
                </c:pt>
                <c:pt idx="6">
                  <c:v>Gross captured</c:v>
                </c:pt>
                <c:pt idx="7">
                  <c:v>Refunds</c:v>
                </c:pt>
                <c:pt idx="8">
                  <c:v>MDR</c:v>
                </c:pt>
                <c:pt idx="9">
                  <c:v>GST</c:v>
                </c:pt>
                <c:pt idx="10">
                  <c:v>Fee overcharge</c:v>
                </c:pt>
                <c:pt idx="11">
                  <c:v>Net payable</c:v>
                </c:pt>
                <c:pt idx="12">
                  <c:v>Due in Oct</c:v>
                </c:pt>
                <c:pt idx="13">
                  <c:v>Missing batch</c:v>
                </c:pt>
                <c:pt idx="14">
                  <c:v>Short-paid</c:v>
                </c:pt>
                <c:pt idx="15">
                  <c:v>Cash in bank</c:v>
                </c:pt>
              </c:strCache>
            </c:strRef>
          </c:cat>
          <c:val>
            <c:numRef>
              <c:f>chart_data!$G$3:$G$18</c:f>
              <c:numCache>
                <c:formatCode>#,##0</c:formatCode>
                <c:ptCount val="16"/>
                <c:pt idx="0">
                  <c:v>0</c:v>
                </c:pt>
                <c:pt idx="1">
                  <c:v>67617</c:v>
                </c:pt>
                <c:pt idx="2">
                  <c:v>3145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893888</c:v>
                </c:pt>
                <c:pt idx="8">
                  <c:v>174385.11000000167</c:v>
                </c:pt>
                <c:pt idx="9">
                  <c:v>31391.199999999917</c:v>
                </c:pt>
                <c:pt idx="10">
                  <c:v>1185.1999999999996</c:v>
                </c:pt>
                <c:pt idx="11">
                  <c:v>0</c:v>
                </c:pt>
                <c:pt idx="12">
                  <c:v>1265526.8999999999</c:v>
                </c:pt>
                <c:pt idx="13">
                  <c:v>551074.03000000026</c:v>
                </c:pt>
                <c:pt idx="14">
                  <c:v>1250.0000000001164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25-4ED6-BA2D-F757B4E35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77672143"/>
        <c:axId val="66876340"/>
      </c:barChart>
      <c:catAx>
        <c:axId val="77672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876340"/>
        <c:crosses val="autoZero"/>
        <c:auto val="1"/>
        <c:lblAlgn val="ctr"/>
        <c:lblOffset val="100"/>
        <c:noMultiLvlLbl val="0"/>
      </c:catAx>
      <c:valAx>
        <c:axId val="66876340"/>
        <c:scaling>
          <c:orientation val="minMax"/>
          <c:max val="20500000"/>
          <c:min val="1600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INR (axis starts at 16.0M so small steps are visible)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72143"/>
        <c:crosses val="autoZero"/>
        <c:crossBetween val="between"/>
        <c:majorUnit val="500000"/>
      </c:valAx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000" b="1" strike="noStrike" spc="-1">
                <a:solidFill>
                  <a:srgbClr val="000000"/>
                </a:solidFill>
                <a:latin typeface="Calibri"/>
              </a:rPr>
              <a:t>Contribution to the gap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Dashboard!$E$35</c:f>
              <c:strCache>
                <c:ptCount val="1"/>
                <c:pt idx="0">
                  <c:v>Amount (INR)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Dashboard!$B$36:$B$46</c:f>
              <c:strCache>
                <c:ptCount val="11"/>
                <c:pt idx="0">
                  <c:v>Due in October (timing)</c:v>
                </c:pt>
                <c:pt idx="1">
                  <c:v>Refunds paid to customers</c:v>
                </c:pt>
                <c:pt idx="2">
                  <c:v>Missing settlement STL-20260912</c:v>
                </c:pt>
                <c:pt idx="3">
                  <c:v>Gateway fees at correct rate</c:v>
                </c:pt>
                <c:pt idx="4">
                  <c:v>Paid orders with no payment</c:v>
                </c:pt>
                <c:pt idx="5">
                  <c:v>Amount differences</c:v>
                </c:pt>
                <c:pt idx="6">
                  <c:v>Short-paid batch STL-20260911</c:v>
                </c:pt>
                <c:pt idx="7">
                  <c:v>Excess MDR + GST charged</c:v>
                </c:pt>
                <c:pt idx="8">
                  <c:v>Payments with no order</c:v>
                </c:pt>
                <c:pt idx="9">
                  <c:v>Duplicate charges</c:v>
                </c:pt>
                <c:pt idx="10">
                  <c:v>Payments on Failed/Cancelled orders</c:v>
                </c:pt>
              </c:strCache>
            </c:strRef>
          </c:cat>
          <c:val>
            <c:numRef>
              <c:f>Dashboard!$E$36:$E$46</c:f>
              <c:numCache>
                <c:formatCode>#,##0.00;\(#,##0.00\);\-</c:formatCode>
                <c:ptCount val="11"/>
                <c:pt idx="0">
                  <c:v>1265526.8999999999</c:v>
                </c:pt>
                <c:pt idx="1">
                  <c:v>893888</c:v>
                </c:pt>
                <c:pt idx="2">
                  <c:v>551074.03000000026</c:v>
                </c:pt>
                <c:pt idx="3">
                  <c:v>205776.3100000016</c:v>
                </c:pt>
                <c:pt idx="4">
                  <c:v>67617</c:v>
                </c:pt>
                <c:pt idx="5">
                  <c:v>3145</c:v>
                </c:pt>
                <c:pt idx="6">
                  <c:v>1250.0000000001164</c:v>
                </c:pt>
                <c:pt idx="7">
                  <c:v>1185.1999999999996</c:v>
                </c:pt>
                <c:pt idx="8">
                  <c:v>-24992</c:v>
                </c:pt>
                <c:pt idx="9">
                  <c:v>-25539</c:v>
                </c:pt>
                <c:pt idx="10">
                  <c:v>-28687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7-45FB-A318-3E026484E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8623249"/>
        <c:axId val="64617572"/>
      </c:barChart>
      <c:catAx>
        <c:axId val="78623249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17572"/>
        <c:crosses val="autoZero"/>
        <c:auto val="1"/>
        <c:lblAlgn val="ctr"/>
        <c:lblOffset val="100"/>
        <c:noMultiLvlLbl val="0"/>
      </c:catAx>
      <c:valAx>
        <c:axId val="64617572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23249"/>
        <c:crosses val="autoZero"/>
        <c:crossBetween val="between"/>
        <c:majorUnit val="50000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000" b="1" strike="noStrike" spc="-1">
                <a:solidFill>
                  <a:srgbClr val="000000"/>
                </a:solidFill>
                <a:latin typeface="Calibri"/>
              </a:rPr>
              <a:t>Number of exceptions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Dashboard!$E$51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Dashboard!$B$52:$B$63</c:f>
              <c:strCache>
                <c:ptCount val="12"/>
                <c:pt idx="0">
                  <c:v>Due in October (batches)</c:v>
                </c:pt>
                <c:pt idx="1">
                  <c:v>Missing settlement (batches)</c:v>
                </c:pt>
                <c:pt idx="2">
                  <c:v>Paid orders with no payment</c:v>
                </c:pt>
                <c:pt idx="3">
                  <c:v>Refunded orders with no refund</c:v>
                </c:pt>
                <c:pt idx="4">
                  <c:v>Payments on Failed/Cancelled orders</c:v>
                </c:pt>
                <c:pt idx="5">
                  <c:v>Duplicate charges (extra amount)</c:v>
                </c:pt>
                <c:pt idx="6">
                  <c:v>Payments with no order</c:v>
                </c:pt>
                <c:pt idx="7">
                  <c:v>Refund given, order not Refunded</c:v>
                </c:pt>
                <c:pt idx="8">
                  <c:v>Amount differences</c:v>
                </c:pt>
                <c:pt idx="9">
                  <c:v>Short-paid settlement (batches)</c:v>
                </c:pt>
                <c:pt idx="10">
                  <c:v>MDR + GST overcharge (payments)</c:v>
                </c:pt>
                <c:pt idx="11">
                  <c:v>Refund amount differs from order</c:v>
                </c:pt>
              </c:strCache>
            </c:strRef>
          </c:cat>
          <c:val>
            <c:numRef>
              <c:f>Dashboard!$E$52:$E$63</c:f>
              <c:numCache>
                <c:formatCode>#,##0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20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15</c:v>
                </c:pt>
                <c:pt idx="9">
                  <c:v>1</c:v>
                </c:pt>
                <c:pt idx="10">
                  <c:v>55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7-4664-88C6-DB3BCD703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791391"/>
        <c:axId val="90679601"/>
      </c:barChart>
      <c:catAx>
        <c:axId val="6979139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679601"/>
        <c:crosses val="autoZero"/>
        <c:auto val="1"/>
        <c:lblAlgn val="ctr"/>
        <c:lblOffset val="100"/>
        <c:noMultiLvlLbl val="0"/>
      </c:catAx>
      <c:valAx>
        <c:axId val="90679601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791391"/>
        <c:crosses val="autoZero"/>
        <c:crossBetween val="between"/>
      </c:valAx>
      <c:spPr>
        <a:solidFill>
          <a:sysClr val="window" lastClr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Debit</a:t>
            </a:r>
            <a:r>
              <a:rPr lang="en-IN" baseline="0"/>
              <a:t> vs Credit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chart_data!$K$2</c:f>
              <c:strCache>
                <c:ptCount val="1"/>
                <c:pt idx="0">
                  <c:v>Gateway net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chart_data!$J$3:$J$32</c:f>
              <c:strCache>
                <c:ptCount val="30"/>
                <c:pt idx="0">
                  <c:v>03-Sep</c:v>
                </c:pt>
                <c:pt idx="1">
                  <c:v>04-Sep</c:v>
                </c:pt>
                <c:pt idx="2">
                  <c:v>05-Sep</c:v>
                </c:pt>
                <c:pt idx="3">
                  <c:v>06-Sep</c:v>
                </c:pt>
                <c:pt idx="4">
                  <c:v>07-Sep</c:v>
                </c:pt>
                <c:pt idx="5">
                  <c:v>08-Sep</c:v>
                </c:pt>
                <c:pt idx="6">
                  <c:v>09-Sep</c:v>
                </c:pt>
                <c:pt idx="7">
                  <c:v>10-Sep</c:v>
                </c:pt>
                <c:pt idx="8">
                  <c:v>11-Sep</c:v>
                </c:pt>
                <c:pt idx="9">
                  <c:v>12-Sep</c:v>
                </c:pt>
                <c:pt idx="10">
                  <c:v>13-Sep</c:v>
                </c:pt>
                <c:pt idx="11">
                  <c:v>14-Sep</c:v>
                </c:pt>
                <c:pt idx="12">
                  <c:v>15-Sep</c:v>
                </c:pt>
                <c:pt idx="13">
                  <c:v>16-Sep</c:v>
                </c:pt>
                <c:pt idx="14">
                  <c:v>17-Sep</c:v>
                </c:pt>
                <c:pt idx="15">
                  <c:v>18-Sep</c:v>
                </c:pt>
                <c:pt idx="16">
                  <c:v>19-Sep</c:v>
                </c:pt>
                <c:pt idx="17">
                  <c:v>20-Sep</c:v>
                </c:pt>
                <c:pt idx="18">
                  <c:v>21-Sep</c:v>
                </c:pt>
                <c:pt idx="19">
                  <c:v>22-Sep</c:v>
                </c:pt>
                <c:pt idx="20">
                  <c:v>23-Sep</c:v>
                </c:pt>
                <c:pt idx="21">
                  <c:v>24-Sep</c:v>
                </c:pt>
                <c:pt idx="22">
                  <c:v>25-Sep</c:v>
                </c:pt>
                <c:pt idx="23">
                  <c:v>26-Sep</c:v>
                </c:pt>
                <c:pt idx="24">
                  <c:v>27-Sep</c:v>
                </c:pt>
                <c:pt idx="25">
                  <c:v>28-Sep</c:v>
                </c:pt>
                <c:pt idx="26">
                  <c:v>29-Sep</c:v>
                </c:pt>
                <c:pt idx="27">
                  <c:v>30-Sep</c:v>
                </c:pt>
                <c:pt idx="28">
                  <c:v>01-Oct</c:v>
                </c:pt>
                <c:pt idx="29">
                  <c:v>02-Oct</c:v>
                </c:pt>
              </c:strCache>
            </c:strRef>
          </c:cat>
          <c:val>
            <c:numRef>
              <c:f>chart_data!$K$3:$K$32</c:f>
              <c:numCache>
                <c:formatCode>#,##0</c:formatCode>
                <c:ptCount val="30"/>
                <c:pt idx="0">
                  <c:v>463778.55000000005</c:v>
                </c:pt>
                <c:pt idx="1">
                  <c:v>680913.82</c:v>
                </c:pt>
                <c:pt idx="2">
                  <c:v>578249.99000000022</c:v>
                </c:pt>
                <c:pt idx="3">
                  <c:v>655139.18000000052</c:v>
                </c:pt>
                <c:pt idx="4">
                  <c:v>614451.50000000012</c:v>
                </c:pt>
                <c:pt idx="5">
                  <c:v>704983.27000000025</c:v>
                </c:pt>
                <c:pt idx="6">
                  <c:v>606316.51000000024</c:v>
                </c:pt>
                <c:pt idx="7">
                  <c:v>740734.11999999976</c:v>
                </c:pt>
                <c:pt idx="8">
                  <c:v>556411.99000000011</c:v>
                </c:pt>
                <c:pt idx="9">
                  <c:v>551074.03000000026</c:v>
                </c:pt>
                <c:pt idx="10">
                  <c:v>654313.30000000016</c:v>
                </c:pt>
                <c:pt idx="11">
                  <c:v>596289.91000000015</c:v>
                </c:pt>
                <c:pt idx="12">
                  <c:v>773297.25000000058</c:v>
                </c:pt>
                <c:pt idx="13">
                  <c:v>614772.67999999993</c:v>
                </c:pt>
                <c:pt idx="14">
                  <c:v>671270.49000000022</c:v>
                </c:pt>
                <c:pt idx="15">
                  <c:v>589645.34999999963</c:v>
                </c:pt>
                <c:pt idx="16">
                  <c:v>610773.29000000027</c:v>
                </c:pt>
                <c:pt idx="17">
                  <c:v>548940.40999999992</c:v>
                </c:pt>
                <c:pt idx="18">
                  <c:v>592258.60999999987</c:v>
                </c:pt>
                <c:pt idx="19">
                  <c:v>584876.78000000014</c:v>
                </c:pt>
                <c:pt idx="20">
                  <c:v>590273.39000000025</c:v>
                </c:pt>
                <c:pt idx="21">
                  <c:v>540644.2200000002</c:v>
                </c:pt>
                <c:pt idx="22">
                  <c:v>594966.58999999985</c:v>
                </c:pt>
                <c:pt idx="23">
                  <c:v>711251.32000000007</c:v>
                </c:pt>
                <c:pt idx="24">
                  <c:v>805057.10000000056</c:v>
                </c:pt>
                <c:pt idx="25">
                  <c:v>569672.42999999959</c:v>
                </c:pt>
                <c:pt idx="26">
                  <c:v>641930.7300000008</c:v>
                </c:pt>
                <c:pt idx="27">
                  <c:v>694085.78</c:v>
                </c:pt>
                <c:pt idx="28">
                  <c:v>650622.70000000019</c:v>
                </c:pt>
                <c:pt idx="29">
                  <c:v>614904.19999999972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F-4DE7-B458-F5C8E9237C3B}"/>
            </c:ext>
          </c:extLst>
        </c:ser>
        <c:ser>
          <c:idx val="1"/>
          <c:order val="1"/>
          <c:tx>
            <c:strRef>
              <c:f>chart_data!$L$2</c:f>
              <c:strCache>
                <c:ptCount val="1"/>
                <c:pt idx="0">
                  <c:v>Bank credit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chart_data!$J$3:$J$32</c:f>
              <c:strCache>
                <c:ptCount val="30"/>
                <c:pt idx="0">
                  <c:v>03-Sep</c:v>
                </c:pt>
                <c:pt idx="1">
                  <c:v>04-Sep</c:v>
                </c:pt>
                <c:pt idx="2">
                  <c:v>05-Sep</c:v>
                </c:pt>
                <c:pt idx="3">
                  <c:v>06-Sep</c:v>
                </c:pt>
                <c:pt idx="4">
                  <c:v>07-Sep</c:v>
                </c:pt>
                <c:pt idx="5">
                  <c:v>08-Sep</c:v>
                </c:pt>
                <c:pt idx="6">
                  <c:v>09-Sep</c:v>
                </c:pt>
                <c:pt idx="7">
                  <c:v>10-Sep</c:v>
                </c:pt>
                <c:pt idx="8">
                  <c:v>11-Sep</c:v>
                </c:pt>
                <c:pt idx="9">
                  <c:v>12-Sep</c:v>
                </c:pt>
                <c:pt idx="10">
                  <c:v>13-Sep</c:v>
                </c:pt>
                <c:pt idx="11">
                  <c:v>14-Sep</c:v>
                </c:pt>
                <c:pt idx="12">
                  <c:v>15-Sep</c:v>
                </c:pt>
                <c:pt idx="13">
                  <c:v>16-Sep</c:v>
                </c:pt>
                <c:pt idx="14">
                  <c:v>17-Sep</c:v>
                </c:pt>
                <c:pt idx="15">
                  <c:v>18-Sep</c:v>
                </c:pt>
                <c:pt idx="16">
                  <c:v>19-Sep</c:v>
                </c:pt>
                <c:pt idx="17">
                  <c:v>20-Sep</c:v>
                </c:pt>
                <c:pt idx="18">
                  <c:v>21-Sep</c:v>
                </c:pt>
                <c:pt idx="19">
                  <c:v>22-Sep</c:v>
                </c:pt>
                <c:pt idx="20">
                  <c:v>23-Sep</c:v>
                </c:pt>
                <c:pt idx="21">
                  <c:v>24-Sep</c:v>
                </c:pt>
                <c:pt idx="22">
                  <c:v>25-Sep</c:v>
                </c:pt>
                <c:pt idx="23">
                  <c:v>26-Sep</c:v>
                </c:pt>
                <c:pt idx="24">
                  <c:v>27-Sep</c:v>
                </c:pt>
                <c:pt idx="25">
                  <c:v>28-Sep</c:v>
                </c:pt>
                <c:pt idx="26">
                  <c:v>29-Sep</c:v>
                </c:pt>
                <c:pt idx="27">
                  <c:v>30-Sep</c:v>
                </c:pt>
                <c:pt idx="28">
                  <c:v>01-Oct</c:v>
                </c:pt>
                <c:pt idx="29">
                  <c:v>02-Oct</c:v>
                </c:pt>
              </c:strCache>
            </c:strRef>
          </c:cat>
          <c:val>
            <c:numRef>
              <c:f>chart_data!$L$3:$L$32</c:f>
              <c:numCache>
                <c:formatCode>#,##0</c:formatCode>
                <c:ptCount val="30"/>
                <c:pt idx="0">
                  <c:v>463778.55</c:v>
                </c:pt>
                <c:pt idx="1">
                  <c:v>680913.82</c:v>
                </c:pt>
                <c:pt idx="2">
                  <c:v>578249.99</c:v>
                </c:pt>
                <c:pt idx="3">
                  <c:v>655139.18000000005</c:v>
                </c:pt>
                <c:pt idx="4">
                  <c:v>614451.5</c:v>
                </c:pt>
                <c:pt idx="5">
                  <c:v>704983.27</c:v>
                </c:pt>
                <c:pt idx="6">
                  <c:v>606316.51</c:v>
                </c:pt>
                <c:pt idx="7">
                  <c:v>740734.12</c:v>
                </c:pt>
                <c:pt idx="8">
                  <c:v>555161.99</c:v>
                </c:pt>
                <c:pt idx="9">
                  <c:v>0</c:v>
                </c:pt>
                <c:pt idx="10">
                  <c:v>654313.30000000005</c:v>
                </c:pt>
                <c:pt idx="11">
                  <c:v>596289.91</c:v>
                </c:pt>
                <c:pt idx="12">
                  <c:v>773297.25</c:v>
                </c:pt>
                <c:pt idx="13">
                  <c:v>614772.68000000005</c:v>
                </c:pt>
                <c:pt idx="14">
                  <c:v>671270.49</c:v>
                </c:pt>
                <c:pt idx="15">
                  <c:v>589645.35</c:v>
                </c:pt>
                <c:pt idx="16">
                  <c:v>610773.29</c:v>
                </c:pt>
                <c:pt idx="17">
                  <c:v>548940.41</c:v>
                </c:pt>
                <c:pt idx="18">
                  <c:v>592258.61</c:v>
                </c:pt>
                <c:pt idx="19">
                  <c:v>584876.78</c:v>
                </c:pt>
                <c:pt idx="20">
                  <c:v>590273.39</c:v>
                </c:pt>
                <c:pt idx="21">
                  <c:v>540644.22</c:v>
                </c:pt>
                <c:pt idx="22">
                  <c:v>594966.59</c:v>
                </c:pt>
                <c:pt idx="23">
                  <c:v>711251.32</c:v>
                </c:pt>
                <c:pt idx="24">
                  <c:v>805057.1</c:v>
                </c:pt>
                <c:pt idx="25">
                  <c:v>569672.43000000005</c:v>
                </c:pt>
                <c:pt idx="26">
                  <c:v>641930.73</c:v>
                </c:pt>
                <c:pt idx="27">
                  <c:v>694085.78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F-4DE7-B458-F5C8E9237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4047133"/>
        <c:axId val="38315854"/>
      </c:barChart>
      <c:catAx>
        <c:axId val="340471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15854"/>
        <c:crosses val="autoZero"/>
        <c:auto val="1"/>
        <c:lblAlgn val="ctr"/>
        <c:lblOffset val="100"/>
        <c:noMultiLvlLbl val="0"/>
      </c:catAx>
      <c:valAx>
        <c:axId val="38315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INR thousands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471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IN" sz="1000" b="1" strike="noStrike" spc="-1">
                <a:solidFill>
                  <a:srgbClr val="000000"/>
                </a:solidFill>
                <a:latin typeface="Calibri"/>
              </a:rPr>
              <a:t>Order exception rate by city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Dashboard!$F$97</c:f>
              <c:strCache>
                <c:ptCount val="1"/>
                <c:pt idx="0">
                  <c:v>Exception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Dashboard!$B$98:$B$107</c:f>
              <c:strCache>
                <c:ptCount val="10"/>
                <c:pt idx="0">
                  <c:v>Delhi</c:v>
                </c:pt>
                <c:pt idx="1">
                  <c:v>Mumbai</c:v>
                </c:pt>
                <c:pt idx="2">
                  <c:v>Lucknow</c:v>
                </c:pt>
                <c:pt idx="3">
                  <c:v>Jaipur</c:v>
                </c:pt>
                <c:pt idx="4">
                  <c:v>Ahmedabad</c:v>
                </c:pt>
                <c:pt idx="5">
                  <c:v>Pune</c:v>
                </c:pt>
                <c:pt idx="6">
                  <c:v>Hyderabad</c:v>
                </c:pt>
                <c:pt idx="7">
                  <c:v>Kolkata</c:v>
                </c:pt>
                <c:pt idx="8">
                  <c:v>Chennai</c:v>
                </c:pt>
                <c:pt idx="9">
                  <c:v>Bengaluru</c:v>
                </c:pt>
              </c:strCache>
            </c:strRef>
          </c:cat>
          <c:val>
            <c:numRef>
              <c:f>Dashboard!$F$98:$F$107</c:f>
              <c:numCache>
                <c:formatCode>0.0%</c:formatCode>
                <c:ptCount val="10"/>
                <c:pt idx="0">
                  <c:v>1.8211920529801324E-2</c:v>
                </c:pt>
                <c:pt idx="1">
                  <c:v>1.7361111111111112E-2</c:v>
                </c:pt>
                <c:pt idx="2">
                  <c:v>1.3769363166953529E-2</c:v>
                </c:pt>
                <c:pt idx="3">
                  <c:v>1.0452961672473868E-2</c:v>
                </c:pt>
                <c:pt idx="4">
                  <c:v>9.0252707581227436E-3</c:v>
                </c:pt>
                <c:pt idx="5">
                  <c:v>8.8028169014084511E-3</c:v>
                </c:pt>
                <c:pt idx="6">
                  <c:v>8.2508250825082501E-3</c:v>
                </c:pt>
                <c:pt idx="7">
                  <c:v>6.6777963272120202E-3</c:v>
                </c:pt>
                <c:pt idx="8">
                  <c:v>5.2539404553415062E-3</c:v>
                </c:pt>
                <c:pt idx="9">
                  <c:v>5.1107325383304937E-3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C-416E-B93D-90D5FB491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2298925"/>
        <c:axId val="85288698"/>
      </c:barChart>
      <c:catAx>
        <c:axId val="822989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85288698"/>
        <c:crosses val="autoZero"/>
        <c:auto val="1"/>
        <c:lblAlgn val="ctr"/>
        <c:lblOffset val="100"/>
        <c:noMultiLvlLbl val="0"/>
      </c:catAx>
      <c:valAx>
        <c:axId val="8528869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82298925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IN" sz="1000" b="1" strike="noStrike" spc="-1">
                <a:solidFill>
                  <a:srgbClr val="000000"/>
                </a:solidFill>
                <a:latin typeface="Arial"/>
              </a:rPr>
              <a:t>Unresolved batches: gateway net vs bank credit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Dashboard!$E$117</c:f>
              <c:strCache>
                <c:ptCount val="1"/>
                <c:pt idx="0">
                  <c:v>Gateway net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Dashboard!$B$118:$B$121</c:f>
              <c:strCache>
                <c:ptCount val="4"/>
                <c:pt idx="0">
                  <c:v>STL-20260912</c:v>
                </c:pt>
                <c:pt idx="1">
                  <c:v>STL-20260911</c:v>
                </c:pt>
                <c:pt idx="2">
                  <c:v>STL-20261001</c:v>
                </c:pt>
                <c:pt idx="3">
                  <c:v>STL-20261002</c:v>
                </c:pt>
              </c:strCache>
            </c:strRef>
          </c:cat>
          <c:val>
            <c:numRef>
              <c:f>Dashboard!$E$118:$E$121</c:f>
              <c:numCache>
                <c:formatCode>#,##0.00;\(#,##0.00\);\-</c:formatCode>
                <c:ptCount val="4"/>
                <c:pt idx="0">
                  <c:v>551074.03000000026</c:v>
                </c:pt>
                <c:pt idx="1">
                  <c:v>556411.99000000011</c:v>
                </c:pt>
                <c:pt idx="2">
                  <c:v>650622.70000000019</c:v>
                </c:pt>
                <c:pt idx="3">
                  <c:v>614904.19999999972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4-42DE-9587-9BD1C4BF917E}"/>
            </c:ext>
          </c:extLst>
        </c:ser>
        <c:ser>
          <c:idx val="1"/>
          <c:order val="1"/>
          <c:tx>
            <c:strRef>
              <c:f>Dashboard!$F$117</c:f>
              <c:strCache>
                <c:ptCount val="1"/>
                <c:pt idx="0">
                  <c:v>Bank credit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Dashboard!$B$118:$B$121</c:f>
              <c:strCache>
                <c:ptCount val="4"/>
                <c:pt idx="0">
                  <c:v>STL-20260912</c:v>
                </c:pt>
                <c:pt idx="1">
                  <c:v>STL-20260911</c:v>
                </c:pt>
                <c:pt idx="2">
                  <c:v>STL-20261001</c:v>
                </c:pt>
                <c:pt idx="3">
                  <c:v>STL-20261002</c:v>
                </c:pt>
              </c:strCache>
            </c:strRef>
          </c:cat>
          <c:val>
            <c:numRef>
              <c:f>Dashboard!$F$118:$F$121</c:f>
              <c:numCache>
                <c:formatCode>#,##0.00;\(#,##0.00\);\-</c:formatCode>
                <c:ptCount val="4"/>
                <c:pt idx="0">
                  <c:v>0</c:v>
                </c:pt>
                <c:pt idx="1">
                  <c:v>555161.99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4-42DE-9587-9BD1C4BF9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007602"/>
        <c:axId val="46342156"/>
      </c:barChart>
      <c:catAx>
        <c:axId val="12007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6342156"/>
        <c:crosses val="autoZero"/>
        <c:auto val="1"/>
        <c:lblAlgn val="ctr"/>
        <c:lblOffset val="100"/>
        <c:noMultiLvlLbl val="0"/>
      </c:catAx>
      <c:valAx>
        <c:axId val="463421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20076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n-IN" sz="1000" b="1" strike="noStrike" spc="-1">
                <a:solidFill>
                  <a:srgbClr val="000000"/>
                </a:solidFill>
                <a:latin typeface="Arial"/>
              </a:rPr>
              <a:t>Other bank flows (gateway settlements excluded), INR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Dashboard!$E$141</c:f>
              <c:strCache>
                <c:ptCount val="1"/>
                <c:pt idx="0">
                  <c:v>Credits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54823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Dashboard!$B$142:$B$149</c:f>
              <c:strCache>
                <c:ptCount val="8"/>
                <c:pt idx="0">
                  <c:v>COD remittance</c:v>
                </c:pt>
                <c:pt idx="1">
                  <c:v>Marketplace payout</c:v>
                </c:pt>
                <c:pt idx="2">
                  <c:v>GST payment</c:v>
                </c:pt>
                <c:pt idx="3">
                  <c:v>Salary</c:v>
                </c:pt>
                <c:pt idx="4">
                  <c:v>Cloud (AWS)</c:v>
                </c:pt>
                <c:pt idx="5">
                  <c:v>Rent</c:v>
                </c:pt>
                <c:pt idx="6">
                  <c:v>Packaging vendor</c:v>
                </c:pt>
                <c:pt idx="7">
                  <c:v>Bank charges</c:v>
                </c:pt>
              </c:strCache>
            </c:strRef>
          </c:cat>
          <c:val>
            <c:numRef>
              <c:f>Dashboard!$E$142:$E$149</c:f>
              <c:numCache>
                <c:formatCode>#,##0.00;\(#,##0.00\);\-</c:formatCode>
                <c:ptCount val="8"/>
                <c:pt idx="0">
                  <c:v>132980</c:v>
                </c:pt>
                <c:pt idx="1">
                  <c:v>74320.55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6-4D6F-B326-6C854A756713}"/>
            </c:ext>
          </c:extLst>
        </c:ser>
        <c:ser>
          <c:idx val="1"/>
          <c:order val="1"/>
          <c:tx>
            <c:strRef>
              <c:f>Dashboard!$F$141</c:f>
              <c:strCache>
                <c:ptCount val="1"/>
                <c:pt idx="0">
                  <c:v>Debits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Dashboard!$B$142:$B$149</c:f>
              <c:strCache>
                <c:ptCount val="8"/>
                <c:pt idx="0">
                  <c:v>COD remittance</c:v>
                </c:pt>
                <c:pt idx="1">
                  <c:v>Marketplace payout</c:v>
                </c:pt>
                <c:pt idx="2">
                  <c:v>GST payment</c:v>
                </c:pt>
                <c:pt idx="3">
                  <c:v>Salary</c:v>
                </c:pt>
                <c:pt idx="4">
                  <c:v>Cloud (AWS)</c:v>
                </c:pt>
                <c:pt idx="5">
                  <c:v>Rent</c:v>
                </c:pt>
                <c:pt idx="6">
                  <c:v>Packaging vendor</c:v>
                </c:pt>
                <c:pt idx="7">
                  <c:v>Bank charges</c:v>
                </c:pt>
              </c:strCache>
            </c:strRef>
          </c:cat>
          <c:val>
            <c:numRef>
              <c:f>Dashboard!$F$142:$F$149</c:f>
              <c:numCache>
                <c:formatCode>#,##0.00;\(#,##0.00\);\-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212450</c:v>
                </c:pt>
                <c:pt idx="3">
                  <c:v>640000</c:v>
                </c:pt>
                <c:pt idx="4">
                  <c:v>48231.199999999997</c:v>
                </c:pt>
                <c:pt idx="5">
                  <c:v>185000</c:v>
                </c:pt>
                <c:pt idx="6">
                  <c:v>96500</c:v>
                </c:pt>
                <c:pt idx="7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6-4D6F-B326-6C854A75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8714555"/>
        <c:axId val="28993538"/>
      </c:barChart>
      <c:catAx>
        <c:axId val="287145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8993538"/>
        <c:crosses val="autoZero"/>
        <c:auto val="1"/>
        <c:lblAlgn val="ctr"/>
        <c:lblOffset val="100"/>
        <c:noMultiLvlLbl val="0"/>
      </c:catAx>
      <c:valAx>
        <c:axId val="2899353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,\K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871455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Share of money collected vs share of fees paid, by payment method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Dashboard!$L$157</c:f>
              <c:strCache>
                <c:ptCount val="1"/>
                <c:pt idx="0">
                  <c:v>Share of gross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Dashboard!$B$158:$B$161</c:f>
              <c:strCache>
                <c:ptCount val="4"/>
                <c:pt idx="0">
                  <c:v>UPI</c:v>
                </c:pt>
                <c:pt idx="1">
                  <c:v>Card</c:v>
                </c:pt>
                <c:pt idx="2">
                  <c:v>NetBanking</c:v>
                </c:pt>
                <c:pt idx="3">
                  <c:v>Wallet</c:v>
                </c:pt>
              </c:strCache>
            </c:strRef>
          </c:cat>
          <c:val>
            <c:numRef>
              <c:f>Dashboard!$L$158:$L$161</c:f>
              <c:numCache>
                <c:formatCode>0.0%</c:formatCode>
                <c:ptCount val="4"/>
                <c:pt idx="0">
                  <c:v>0.53249106442532135</c:v>
                </c:pt>
                <c:pt idx="1">
                  <c:v>0.26573736120573094</c:v>
                </c:pt>
                <c:pt idx="2">
                  <c:v>8.1081060711763991E-2</c:v>
                </c:pt>
                <c:pt idx="3">
                  <c:v>0.12069051365718374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4-47DD-9281-A1BB8ACE1732}"/>
            </c:ext>
          </c:extLst>
        </c:ser>
        <c:ser>
          <c:idx val="1"/>
          <c:order val="1"/>
          <c:tx>
            <c:strRef>
              <c:f>Dashboard!$M$157</c:f>
              <c:strCache>
                <c:ptCount val="1"/>
                <c:pt idx="0">
                  <c:v>Share of fees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Dashboard!$B$158:$B$161</c:f>
              <c:strCache>
                <c:ptCount val="4"/>
                <c:pt idx="0">
                  <c:v>UPI</c:v>
                </c:pt>
                <c:pt idx="1">
                  <c:v>Card</c:v>
                </c:pt>
                <c:pt idx="2">
                  <c:v>NetBanking</c:v>
                </c:pt>
                <c:pt idx="3">
                  <c:v>Wallet</c:v>
                </c:pt>
              </c:strCache>
            </c:strRef>
          </c:cat>
          <c:val>
            <c:numRef>
              <c:f>Dashboard!$M$158:$M$161</c:f>
              <c:numCache>
                <c:formatCode>0.0%</c:formatCode>
                <c:ptCount val="4"/>
                <c:pt idx="0">
                  <c:v>0.16082589463132593</c:v>
                </c:pt>
                <c:pt idx="1">
                  <c:v>0.48924961940990908</c:v>
                </c:pt>
                <c:pt idx="2">
                  <c:v>0.10858569789136112</c:v>
                </c:pt>
                <c:pt idx="3">
                  <c:v>0.24133878806740386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4-47DD-9281-A1BB8ACE1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81874"/>
        <c:axId val="56976467"/>
      </c:lineChart>
      <c:catAx>
        <c:axId val="66981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6467"/>
        <c:crosses val="autoZero"/>
        <c:auto val="1"/>
        <c:lblAlgn val="ctr"/>
        <c:lblOffset val="100"/>
        <c:noMultiLvlLbl val="0"/>
      </c:catAx>
      <c:valAx>
        <c:axId val="569764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18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12</xdr:col>
      <xdr:colOff>689040</xdr:colOff>
      <xdr:row>30</xdr:row>
      <xdr:rowOff>26280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34</xdr:row>
      <xdr:rowOff>0</xdr:rowOff>
    </xdr:from>
    <xdr:to>
      <xdr:col>12</xdr:col>
      <xdr:colOff>727920</xdr:colOff>
      <xdr:row>47</xdr:row>
      <xdr:rowOff>179220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50</xdr:row>
      <xdr:rowOff>0</xdr:rowOff>
    </xdr:from>
    <xdr:to>
      <xdr:col>12</xdr:col>
      <xdr:colOff>727920</xdr:colOff>
      <xdr:row>64</xdr:row>
      <xdr:rowOff>68040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67</xdr:row>
      <xdr:rowOff>0</xdr:rowOff>
    </xdr:from>
    <xdr:to>
      <xdr:col>12</xdr:col>
      <xdr:colOff>689040</xdr:colOff>
      <xdr:row>84</xdr:row>
      <xdr:rowOff>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101</xdr:row>
      <xdr:rowOff>78120</xdr:rowOff>
    </xdr:from>
    <xdr:to>
      <xdr:col>12</xdr:col>
      <xdr:colOff>820080</xdr:colOff>
      <xdr:row>113</xdr:row>
      <xdr:rowOff>23400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124</xdr:row>
      <xdr:rowOff>0</xdr:rowOff>
    </xdr:from>
    <xdr:to>
      <xdr:col>12</xdr:col>
      <xdr:colOff>1345</xdr:colOff>
      <xdr:row>136</xdr:row>
      <xdr:rowOff>182460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0</xdr:colOff>
      <xdr:row>140</xdr:row>
      <xdr:rowOff>0</xdr:rowOff>
    </xdr:from>
    <xdr:to>
      <xdr:col>12</xdr:col>
      <xdr:colOff>1345</xdr:colOff>
      <xdr:row>152</xdr:row>
      <xdr:rowOff>182460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165</xdr:row>
      <xdr:rowOff>0</xdr:rowOff>
    </xdr:from>
    <xdr:to>
      <xdr:col>12</xdr:col>
      <xdr:colOff>1345</xdr:colOff>
      <xdr:row>177</xdr:row>
      <xdr:rowOff>182460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M179"/>
  <sheetViews>
    <sheetView showGridLines="0" tabSelected="1" zoomScaleNormal="100" workbookViewId="0">
      <selection activeCell="J163" sqref="J163"/>
    </sheetView>
  </sheetViews>
  <sheetFormatPr defaultColWidth="8.6640625" defaultRowHeight="14.4" x14ac:dyDescent="0.3"/>
  <cols>
    <col min="1" max="1" width="2" customWidth="1"/>
    <col min="2" max="13" width="13.44140625" customWidth="1"/>
  </cols>
  <sheetData>
    <row r="1" spans="2:13" ht="25.5" customHeight="1" x14ac:dyDescent="0.4"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2:13" ht="15" customHeight="1" x14ac:dyDescent="0.3">
      <c r="B2" s="77" t="s">
        <v>1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4" spans="2:13" ht="15" customHeight="1" x14ac:dyDescent="0.3">
      <c r="B4" s="72" t="s">
        <v>2</v>
      </c>
      <c r="C4" s="72"/>
      <c r="D4" s="72"/>
      <c r="E4" s="72" t="s">
        <v>3</v>
      </c>
      <c r="F4" s="72"/>
      <c r="G4" s="72"/>
      <c r="H4" s="71" t="s">
        <v>4</v>
      </c>
      <c r="I4" s="71"/>
      <c r="J4" s="71"/>
      <c r="K4" s="78" t="s">
        <v>5</v>
      </c>
      <c r="L4" s="78"/>
      <c r="M4" s="78"/>
    </row>
    <row r="5" spans="2:13" ht="30" customHeight="1" x14ac:dyDescent="0.3">
      <c r="B5" s="79">
        <f>bridge!B4</f>
        <v>19894293</v>
      </c>
      <c r="C5" s="79"/>
      <c r="D5" s="79"/>
      <c r="E5" s="75">
        <f>bridge!B19</f>
        <v>16984048.559999999</v>
      </c>
      <c r="F5" s="75"/>
      <c r="G5" s="75"/>
      <c r="H5" s="74">
        <f>bridge!B26</f>
        <v>2910244.4400000013</v>
      </c>
      <c r="I5" s="74"/>
      <c r="J5" s="74"/>
      <c r="K5" s="80">
        <f>bridge!B27</f>
        <v>0</v>
      </c>
      <c r="L5" s="80"/>
      <c r="M5" s="80"/>
    </row>
    <row r="6" spans="2:13" ht="15" customHeight="1" x14ac:dyDescent="0.3">
      <c r="B6" s="68" t="s">
        <v>6</v>
      </c>
      <c r="C6" s="68"/>
      <c r="D6" s="68"/>
      <c r="E6" s="68" t="s">
        <v>7</v>
      </c>
      <c r="F6" s="68"/>
      <c r="G6" s="68"/>
      <c r="H6" s="67" t="s">
        <v>8</v>
      </c>
      <c r="I6" s="67"/>
      <c r="J6" s="67"/>
      <c r="K6" s="69" t="str">
        <f>IF(bridge!B27=0,"Gap fully explained by the bridge","CHECK THE BRIDGE")</f>
        <v>Gap fully explained by the bridge</v>
      </c>
      <c r="L6" s="69"/>
      <c r="M6" s="69"/>
    </row>
    <row r="7" spans="2:13" ht="7.5" customHeight="1" x14ac:dyDescent="0.3"/>
    <row r="8" spans="2:13" ht="15" customHeight="1" x14ac:dyDescent="0.3">
      <c r="B8" s="70" t="s">
        <v>9</v>
      </c>
      <c r="C8" s="70"/>
      <c r="D8" s="70"/>
      <c r="E8" s="71" t="s">
        <v>10</v>
      </c>
      <c r="F8" s="71"/>
      <c r="G8" s="71"/>
      <c r="H8" s="71" t="s">
        <v>11</v>
      </c>
      <c r="I8" s="71"/>
      <c r="J8" s="71"/>
      <c r="K8" s="72" t="s">
        <v>12</v>
      </c>
      <c r="L8" s="72"/>
      <c r="M8" s="72"/>
    </row>
    <row r="9" spans="2:13" ht="30" customHeight="1" x14ac:dyDescent="0.3">
      <c r="B9" s="73">
        <f>-bridge!B16</f>
        <v>1265526.8999999999</v>
      </c>
      <c r="C9" s="73"/>
      <c r="D9" s="73"/>
      <c r="E9" s="74">
        <f>-(bridge!B17+bridge!B18)</f>
        <v>552324.03000000038</v>
      </c>
      <c r="F9" s="74"/>
      <c r="G9" s="74"/>
      <c r="H9" s="74">
        <f>-bridge!B14</f>
        <v>1185.1999999999996</v>
      </c>
      <c r="I9" s="74"/>
      <c r="J9" s="74"/>
      <c r="K9" s="75">
        <f>-bridge!B11</f>
        <v>893888</v>
      </c>
      <c r="L9" s="75"/>
      <c r="M9" s="75"/>
    </row>
    <row r="10" spans="2:13" ht="15" customHeight="1" x14ac:dyDescent="0.3">
      <c r="B10" s="66" t="s">
        <v>13</v>
      </c>
      <c r="C10" s="66"/>
      <c r="D10" s="66"/>
      <c r="E10" s="67" t="s">
        <v>14</v>
      </c>
      <c r="F10" s="67"/>
      <c r="G10" s="67"/>
      <c r="H10" s="67" t="s">
        <v>15</v>
      </c>
      <c r="I10" s="67"/>
      <c r="J10" s="67"/>
      <c r="K10" s="68" t="s">
        <v>16</v>
      </c>
      <c r="L10" s="68"/>
      <c r="M10" s="68"/>
    </row>
    <row r="11" spans="2:13" ht="7.5" customHeight="1" x14ac:dyDescent="0.3"/>
    <row r="12" spans="2:13" ht="19.5" customHeight="1" x14ac:dyDescent="0.3">
      <c r="B12" s="64" t="s">
        <v>17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</row>
    <row r="32" spans="2:13" ht="15" customHeight="1" x14ac:dyDescent="0.3">
      <c r="B32" s="58" t="s">
        <v>18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4" spans="2:13" ht="19.5" customHeight="1" x14ac:dyDescent="0.3">
      <c r="B34" s="64" t="s">
        <v>19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</row>
    <row r="35" spans="2:13" ht="15" customHeight="1" x14ac:dyDescent="0.3">
      <c r="B35" s="60" t="s">
        <v>20</v>
      </c>
      <c r="C35" s="60"/>
      <c r="D35" s="60"/>
      <c r="E35" s="2" t="s">
        <v>21</v>
      </c>
      <c r="F35" s="2" t="s">
        <v>22</v>
      </c>
      <c r="G35" s="63" t="s">
        <v>23</v>
      </c>
      <c r="H35" s="63"/>
    </row>
    <row r="36" spans="2:13" ht="15" customHeight="1" x14ac:dyDescent="0.3">
      <c r="B36" s="57" t="s">
        <v>24</v>
      </c>
      <c r="C36" s="57"/>
      <c r="D36" s="57"/>
      <c r="E36" s="3">
        <f>-bridge!B16</f>
        <v>1265526.8999999999</v>
      </c>
      <c r="F36" s="4">
        <f t="shared" ref="F36:F46" si="0">E36/$E$47</f>
        <v>0.43485244146708141</v>
      </c>
      <c r="G36" s="61" t="s">
        <v>25</v>
      </c>
      <c r="H36" s="61"/>
    </row>
    <row r="37" spans="2:13" ht="15" customHeight="1" x14ac:dyDescent="0.3">
      <c r="B37" s="57" t="s">
        <v>26</v>
      </c>
      <c r="C37" s="57"/>
      <c r="D37" s="57"/>
      <c r="E37" s="3">
        <f>-bridge!B11</f>
        <v>893888</v>
      </c>
      <c r="F37" s="4">
        <f t="shared" si="0"/>
        <v>0.30715220608754068</v>
      </c>
      <c r="G37" s="61" t="s">
        <v>27</v>
      </c>
      <c r="H37" s="61"/>
    </row>
    <row r="38" spans="2:13" ht="15" customHeight="1" x14ac:dyDescent="0.3">
      <c r="B38" s="57" t="s">
        <v>28</v>
      </c>
      <c r="C38" s="57"/>
      <c r="D38" s="57"/>
      <c r="E38" s="3">
        <f>-bridge!B17</f>
        <v>551074.03000000026</v>
      </c>
      <c r="F38" s="4">
        <f t="shared" si="0"/>
        <v>0.18935661294485626</v>
      </c>
      <c r="G38" s="61" t="s">
        <v>29</v>
      </c>
      <c r="H38" s="61"/>
    </row>
    <row r="39" spans="2:13" ht="15" customHeight="1" x14ac:dyDescent="0.3">
      <c r="B39" s="57" t="s">
        <v>30</v>
      </c>
      <c r="C39" s="57"/>
      <c r="D39" s="57"/>
      <c r="E39" s="3">
        <f>-(bridge!B12+bridge!B13)</f>
        <v>205776.3100000016</v>
      </c>
      <c r="F39" s="4">
        <f t="shared" si="0"/>
        <v>7.070756915525675E-2</v>
      </c>
      <c r="G39" s="61" t="s">
        <v>31</v>
      </c>
      <c r="H39" s="61"/>
    </row>
    <row r="40" spans="2:13" ht="15" customHeight="1" x14ac:dyDescent="0.3">
      <c r="B40" s="57" t="s">
        <v>32</v>
      </c>
      <c r="C40" s="57"/>
      <c r="D40" s="57"/>
      <c r="E40" s="3">
        <f>-bridge!B5</f>
        <v>67617</v>
      </c>
      <c r="F40" s="4">
        <f t="shared" si="0"/>
        <v>2.3234130807238983E-2</v>
      </c>
      <c r="G40" s="61" t="s">
        <v>33</v>
      </c>
      <c r="H40" s="61"/>
    </row>
    <row r="41" spans="2:13" ht="15" customHeight="1" x14ac:dyDescent="0.3">
      <c r="B41" s="57" t="s">
        <v>34</v>
      </c>
      <c r="C41" s="57"/>
      <c r="D41" s="57"/>
      <c r="E41" s="3">
        <f>-bridge!B6</f>
        <v>3145</v>
      </c>
      <c r="F41" s="4">
        <f t="shared" si="0"/>
        <v>1.0806652378657232E-3</v>
      </c>
      <c r="G41" s="61" t="s">
        <v>35</v>
      </c>
      <c r="H41" s="61"/>
    </row>
    <row r="42" spans="2:13" ht="15" customHeight="1" x14ac:dyDescent="0.3">
      <c r="B42" s="57" t="s">
        <v>36</v>
      </c>
      <c r="C42" s="57"/>
      <c r="D42" s="57"/>
      <c r="E42" s="3">
        <f>-bridge!B18</f>
        <v>1250.0000000001164</v>
      </c>
      <c r="F42" s="4">
        <f t="shared" si="0"/>
        <v>4.2951718516129718E-4</v>
      </c>
      <c r="G42" s="61" t="s">
        <v>29</v>
      </c>
      <c r="H42" s="61"/>
    </row>
    <row r="43" spans="2:13" ht="15" customHeight="1" x14ac:dyDescent="0.3">
      <c r="B43" s="57" t="s">
        <v>37</v>
      </c>
      <c r="C43" s="57"/>
      <c r="D43" s="57"/>
      <c r="E43" s="3">
        <f>-bridge!B14</f>
        <v>1185.1999999999996</v>
      </c>
      <c r="F43" s="4">
        <f t="shared" si="0"/>
        <v>4.0725101428249746E-4</v>
      </c>
      <c r="G43" s="61" t="s">
        <v>38</v>
      </c>
      <c r="H43" s="61"/>
    </row>
    <row r="44" spans="2:13" ht="15" customHeight="1" x14ac:dyDescent="0.3">
      <c r="B44" s="57" t="s">
        <v>39</v>
      </c>
      <c r="C44" s="57"/>
      <c r="D44" s="57"/>
      <c r="E44" s="3">
        <f>-bridge!B8</f>
        <v>-24992</v>
      </c>
      <c r="F44" s="4">
        <f t="shared" si="0"/>
        <v>-8.5875947932401112E-3</v>
      </c>
      <c r="G44" s="61" t="s">
        <v>40</v>
      </c>
      <c r="H44" s="61"/>
    </row>
    <row r="45" spans="2:13" ht="15" customHeight="1" x14ac:dyDescent="0.3">
      <c r="B45" s="57" t="s">
        <v>41</v>
      </c>
      <c r="C45" s="57"/>
      <c r="D45" s="57"/>
      <c r="E45" s="3">
        <f>-bridge!B7</f>
        <v>-25539</v>
      </c>
      <c r="F45" s="4">
        <f t="shared" si="0"/>
        <v>-8.7755515134666784E-3</v>
      </c>
      <c r="G45" s="61" t="s">
        <v>42</v>
      </c>
      <c r="H45" s="61"/>
    </row>
    <row r="46" spans="2:13" ht="15" customHeight="1" x14ac:dyDescent="0.3">
      <c r="B46" s="57" t="s">
        <v>43</v>
      </c>
      <c r="C46" s="57"/>
      <c r="D46" s="57"/>
      <c r="E46" s="3">
        <f>-bridge!B9</f>
        <v>-28687</v>
      </c>
      <c r="F46" s="4">
        <f t="shared" si="0"/>
        <v>-9.8572475925767875E-3</v>
      </c>
      <c r="G46" s="61" t="s">
        <v>42</v>
      </c>
      <c r="H46" s="61"/>
    </row>
    <row r="47" spans="2:13" ht="15" customHeight="1" x14ac:dyDescent="0.3">
      <c r="B47" s="56" t="s">
        <v>44</v>
      </c>
      <c r="C47" s="56"/>
      <c r="D47" s="56"/>
      <c r="E47" s="5">
        <f>SUM(E36:E46)</f>
        <v>2910244.4400000018</v>
      </c>
      <c r="F47" s="6">
        <f>SUM(F36:F46)</f>
        <v>1</v>
      </c>
      <c r="G47" s="65" t="str">
        <f>IF(ROUND(E47-bridge!B26,2)=0,"Agrees with bridge","DOES NOT AGREE")</f>
        <v>Agrees with bridge</v>
      </c>
      <c r="H47" s="65"/>
    </row>
    <row r="50" spans="2:13" ht="19.5" customHeight="1" x14ac:dyDescent="0.3">
      <c r="B50" s="64" t="s">
        <v>45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</row>
    <row r="51" spans="2:13" ht="15" customHeight="1" x14ac:dyDescent="0.3">
      <c r="B51" s="60" t="s">
        <v>46</v>
      </c>
      <c r="C51" s="60"/>
      <c r="D51" s="60"/>
      <c r="E51" s="2" t="s">
        <v>47</v>
      </c>
      <c r="F51" s="2" t="s">
        <v>48</v>
      </c>
      <c r="G51" s="63" t="s">
        <v>23</v>
      </c>
      <c r="H51" s="63"/>
    </row>
    <row r="52" spans="2:13" ht="15" customHeight="1" x14ac:dyDescent="0.3">
      <c r="B52" s="57" t="s">
        <v>49</v>
      </c>
      <c r="C52" s="57"/>
      <c r="D52" s="57"/>
      <c r="E52" s="7">
        <f>COUNTIF(batch_recon!F:F,"Due in October")</f>
        <v>2</v>
      </c>
      <c r="F52" s="3">
        <f>-bridge!B16</f>
        <v>1265526.8999999999</v>
      </c>
      <c r="G52" s="61" t="s">
        <v>50</v>
      </c>
      <c r="H52" s="61"/>
    </row>
    <row r="53" spans="2:13" ht="15" customHeight="1" x14ac:dyDescent="0.3">
      <c r="B53" s="57" t="s">
        <v>51</v>
      </c>
      <c r="C53" s="57"/>
      <c r="D53" s="57"/>
      <c r="E53" s="7">
        <f>COUNTIF(batch_recon!F:F,"Missing")</f>
        <v>1</v>
      </c>
      <c r="F53" s="3">
        <f>-bridge!B17</f>
        <v>551074.03000000026</v>
      </c>
      <c r="G53" s="61" t="s">
        <v>29</v>
      </c>
      <c r="H53" s="61"/>
    </row>
    <row r="54" spans="2:13" ht="15" customHeight="1" x14ac:dyDescent="0.3">
      <c r="B54" s="57" t="s">
        <v>32</v>
      </c>
      <c r="C54" s="57"/>
      <c r="D54" s="57"/>
      <c r="E54" s="7">
        <f>COUNTIF(orders!N:N,"Paid, no payment")</f>
        <v>20</v>
      </c>
      <c r="F54" s="3">
        <f>SUMIF(orders!N:N,"Paid, no payment",orders!O:O)</f>
        <v>67617</v>
      </c>
      <c r="G54" s="61" t="s">
        <v>52</v>
      </c>
      <c r="H54" s="61"/>
    </row>
    <row r="55" spans="2:13" ht="15" customHeight="1" x14ac:dyDescent="0.3">
      <c r="B55" s="57" t="s">
        <v>53</v>
      </c>
      <c r="C55" s="57"/>
      <c r="D55" s="57"/>
      <c r="E55" s="7">
        <f>COUNTIF(orders!N:N,"Refunded, no refund")</f>
        <v>6</v>
      </c>
      <c r="F55" s="3">
        <f>SUMIF(orders!N:N,"Refunded, no refund",orders!O:O)</f>
        <v>29889</v>
      </c>
      <c r="G55" s="61" t="s">
        <v>54</v>
      </c>
      <c r="H55" s="61"/>
    </row>
    <row r="56" spans="2:13" ht="15" customHeight="1" x14ac:dyDescent="0.3">
      <c r="B56" s="57" t="s">
        <v>43</v>
      </c>
      <c r="C56" s="57"/>
      <c r="D56" s="57"/>
      <c r="E56" s="7">
        <f>COUNTIF(orders!N:N,"Payment on failed/cancelled")</f>
        <v>8</v>
      </c>
      <c r="F56" s="3">
        <f>SUMIF(orders!N:N,"Payment on failed/cancelled",orders!O:O)</f>
        <v>28687</v>
      </c>
      <c r="G56" s="61" t="s">
        <v>54</v>
      </c>
      <c r="H56" s="61"/>
    </row>
    <row r="57" spans="2:13" ht="15" customHeight="1" x14ac:dyDescent="0.3">
      <c r="B57" s="57" t="s">
        <v>55</v>
      </c>
      <c r="C57" s="57"/>
      <c r="D57" s="57"/>
      <c r="E57" s="7">
        <f>COUNTIF(orders!N:N,"Duplicate charge")</f>
        <v>6</v>
      </c>
      <c r="F57" s="3">
        <f>SUMIF(orders!N:N,"Duplicate charge",orders!O:O)</f>
        <v>25539</v>
      </c>
      <c r="G57" s="61" t="s">
        <v>54</v>
      </c>
      <c r="H57" s="61"/>
    </row>
    <row r="58" spans="2:13" ht="15" customHeight="1" x14ac:dyDescent="0.3">
      <c r="B58" s="57" t="s">
        <v>39</v>
      </c>
      <c r="C58" s="57"/>
      <c r="D58" s="57"/>
      <c r="E58" s="7">
        <f>COUNTIF(pg_transaction_cleaned!Q:Q,"NO ORDER")</f>
        <v>8</v>
      </c>
      <c r="F58" s="3">
        <f>SUMIFS(pg_transaction_cleaned!H:H,pg_transaction_cleaned!Q:Q,"NO ORDER")</f>
        <v>24992</v>
      </c>
      <c r="G58" s="61" t="s">
        <v>56</v>
      </c>
      <c r="H58" s="61"/>
    </row>
    <row r="59" spans="2:13" ht="15" customHeight="1" x14ac:dyDescent="0.3">
      <c r="B59" s="57" t="s">
        <v>57</v>
      </c>
      <c r="C59" s="57"/>
      <c r="D59" s="57"/>
      <c r="E59" s="7">
        <f>COUNTIF(orders!N:N,"Refund, order not Refunded")</f>
        <v>7</v>
      </c>
      <c r="F59" s="3">
        <f>SUMIF(orders!N:N,"Refund, order not Refunded",orders!O:O)</f>
        <v>13886</v>
      </c>
      <c r="G59" s="61" t="s">
        <v>58</v>
      </c>
      <c r="H59" s="61"/>
    </row>
    <row r="60" spans="2:13" ht="15" customHeight="1" x14ac:dyDescent="0.3">
      <c r="B60" s="57" t="s">
        <v>34</v>
      </c>
      <c r="C60" s="57"/>
      <c r="D60" s="57"/>
      <c r="E60" s="7">
        <f>COUNTIF(orders!N:N,"Amount difference")</f>
        <v>15</v>
      </c>
      <c r="F60" s="3">
        <f>ABS(SUMIF(orders!N:N,"Amount difference",orders!O:O))</f>
        <v>3145</v>
      </c>
      <c r="G60" s="61" t="s">
        <v>59</v>
      </c>
      <c r="H60" s="61"/>
    </row>
    <row r="61" spans="2:13" ht="15" customHeight="1" x14ac:dyDescent="0.3">
      <c r="B61" s="57" t="s">
        <v>60</v>
      </c>
      <c r="C61" s="57"/>
      <c r="D61" s="57"/>
      <c r="E61" s="7">
        <f>COUNTIF(batch_recon!F:F,"Short-paid")</f>
        <v>1</v>
      </c>
      <c r="F61" s="3">
        <f>-bridge!B18</f>
        <v>1250.0000000001164</v>
      </c>
      <c r="G61" s="61" t="s">
        <v>29</v>
      </c>
      <c r="H61" s="61"/>
    </row>
    <row r="62" spans="2:13" ht="15" customHeight="1" x14ac:dyDescent="0.3">
      <c r="B62" s="57" t="s">
        <v>61</v>
      </c>
      <c r="C62" s="57"/>
      <c r="D62" s="57"/>
      <c r="E62" s="7">
        <f>COUNTIF(mdr_check!L:L,"&gt;0")</f>
        <v>55</v>
      </c>
      <c r="F62" s="3">
        <f>SUM(mdr_check!L:L)</f>
        <v>1185.1999999999996</v>
      </c>
      <c r="G62" s="61" t="s">
        <v>62</v>
      </c>
      <c r="H62" s="61"/>
    </row>
    <row r="63" spans="2:13" ht="15" customHeight="1" x14ac:dyDescent="0.3">
      <c r="B63" s="57" t="s">
        <v>63</v>
      </c>
      <c r="C63" s="57"/>
      <c r="D63" s="57"/>
      <c r="E63" s="7">
        <f>COUNTIF(orders!N:N,"Refund amount differs")</f>
        <v>0</v>
      </c>
      <c r="F63" s="3">
        <f>SUMIF(orders!N:N,"Refund amount differs",orders!O:O)</f>
        <v>0</v>
      </c>
      <c r="G63" s="61" t="s">
        <v>64</v>
      </c>
      <c r="H63" s="61"/>
    </row>
    <row r="65" spans="2:13" ht="15" customHeight="1" x14ac:dyDescent="0.3">
      <c r="B65" s="58" t="s">
        <v>65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</row>
    <row r="67" spans="2:13" ht="19.5" customHeight="1" x14ac:dyDescent="0.3">
      <c r="B67" s="64" t="s">
        <v>66</v>
      </c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</row>
    <row r="86" spans="2:13" ht="15" customHeight="1" x14ac:dyDescent="0.3">
      <c r="B86" s="58" t="s">
        <v>67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</row>
    <row r="88" spans="2:13" ht="19.5" customHeight="1" x14ac:dyDescent="0.3">
      <c r="B88" s="64" t="s">
        <v>68</v>
      </c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</row>
    <row r="89" spans="2:13" ht="43.5" customHeight="1" x14ac:dyDescent="0.3">
      <c r="B89" s="59" t="str">
        <f>"1. Fee overcharges sit in two places only. UPI payments of ₹2,000 or less should cost nothing, yet "&amp;D91&amp;" were charged "&amp;TEXT(F91,"0.0%")&amp;"; "&amp;D92&amp;" Wallet payments above ₹2,000 were charged "&amp;TEXT(F92,"0.0%")&amp;" instead of "&amp;TEXT(G92,"0.0%")&amp;". Together ₹"&amp;TEXT(E91+E92,"#,##0.00")&amp;" (MDR + GST) is recoverable from the gateway. Card and NetBanking are charged correctly."</f>
        <v>1. Fee overcharges sit in two places only. UPI payments of ₹2,000 or less should cost nothing, yet 25 were charged 0.3%; 30 Wallet payments above ₹2,000 were charged 2.4% instead of 1.7%. Together ₹1,185.20 (MDR + GST) is recoverable from the gateway. Card and NetBanking are charged correctly.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</row>
    <row r="90" spans="2:13" ht="23.25" customHeight="1" x14ac:dyDescent="0.3">
      <c r="B90" s="60" t="s">
        <v>69</v>
      </c>
      <c r="C90" s="60"/>
      <c r="D90" s="2" t="s">
        <v>70</v>
      </c>
      <c r="E90" s="2" t="s">
        <v>71</v>
      </c>
      <c r="F90" s="2" t="s">
        <v>72</v>
      </c>
      <c r="G90" s="2" t="s">
        <v>73</v>
      </c>
      <c r="H90" s="63" t="s">
        <v>74</v>
      </c>
      <c r="I90" s="63"/>
    </row>
    <row r="91" spans="2:13" ht="15" customHeight="1" x14ac:dyDescent="0.3">
      <c r="B91" s="57" t="s">
        <v>75</v>
      </c>
      <c r="C91" s="57"/>
      <c r="D91" s="7">
        <f>COUNTIFS(mdr_check!B:B,B91,mdr_check!L:L,"&gt;0")</f>
        <v>25</v>
      </c>
      <c r="E91" s="3">
        <f>SUMIFS(mdr_check!L:L,mdr_check!B:B,B91)</f>
        <v>73.899999999999991</v>
      </c>
      <c r="F91" s="8">
        <f>IFERROR(SUMIFS(mdr_check!D:D,mdr_check!B:B,B91,mdr_check!L:L,"&gt;0")/SUMIFS(mdr_check!C:C,mdr_check!B:B,B91,mdr_check!L:L,"&gt;0"),"-")</f>
        <v>3.0022519285132477E-3</v>
      </c>
      <c r="G91" s="8">
        <f>IFERROR(SUMIFS(mdr_check!H:H,mdr_check!B:B,B91,mdr_check!L:L,"&gt;0")/SUMIFS(mdr_check!C:C,mdr_check!B:B,B91,mdr_check!L:L,"&gt;0"),"-")</f>
        <v>0</v>
      </c>
      <c r="H91" s="61" t="s">
        <v>76</v>
      </c>
      <c r="I91" s="61"/>
    </row>
    <row r="92" spans="2:13" ht="15" customHeight="1" x14ac:dyDescent="0.3">
      <c r="B92" s="57" t="s">
        <v>77</v>
      </c>
      <c r="C92" s="57"/>
      <c r="D92" s="7">
        <f>COUNTIFS(mdr_check!B:B,B92,mdr_check!L:L,"&gt;0")</f>
        <v>30</v>
      </c>
      <c r="E92" s="3">
        <f>SUMIFS(mdr_check!L:L,mdr_check!B:B,B92)</f>
        <v>1111.3</v>
      </c>
      <c r="F92" s="8">
        <f>IFERROR(SUMIFS(mdr_check!D:D,mdr_check!B:B,B92,mdr_check!L:L,"&gt;0")/SUMIFS(mdr_check!C:C,mdr_check!B:B,B92,mdr_check!L:L,"&gt;0"),"-")</f>
        <v>2.4000118922856226E-2</v>
      </c>
      <c r="G92" s="8">
        <f>IFERROR(SUMIFS(mdr_check!H:H,mdr_check!B:B,B92,mdr_check!L:L,"&gt;0")/SUMIFS(mdr_check!C:C,mdr_check!B:B,B92,mdr_check!L:L,"&gt;0"),"-")</f>
        <v>1.7000319605176117E-2</v>
      </c>
      <c r="H92" s="61" t="s">
        <v>78</v>
      </c>
      <c r="I92" s="61"/>
    </row>
    <row r="93" spans="2:13" ht="15" customHeight="1" x14ac:dyDescent="0.3">
      <c r="B93" s="57" t="s">
        <v>79</v>
      </c>
      <c r="C93" s="57"/>
      <c r="D93" s="7">
        <f>COUNTIFS(mdr_check!B:B,B93,mdr_check!L:L,"&gt;0")</f>
        <v>0</v>
      </c>
      <c r="E93" s="3">
        <f>SUMIFS(mdr_check!L:L,mdr_check!B:B,B93)</f>
        <v>0</v>
      </c>
      <c r="F93" s="8" t="str">
        <f>IFERROR(SUMIFS(mdr_check!D:D,mdr_check!B:B,B93,mdr_check!L:L,"&gt;0")/SUMIFS(mdr_check!C:C,mdr_check!B:B,B93,mdr_check!L:L,"&gt;0"),"-")</f>
        <v>-</v>
      </c>
      <c r="G93" s="8" t="str">
        <f>IFERROR(SUMIFS(mdr_check!H:H,mdr_check!B:B,B93,mdr_check!L:L,"&gt;0")/SUMIFS(mdr_check!C:C,mdr_check!B:B,B93,mdr_check!L:L,"&gt;0"),"-")</f>
        <v>-</v>
      </c>
      <c r="H93" s="61" t="s">
        <v>80</v>
      </c>
      <c r="I93" s="61"/>
    </row>
    <row r="94" spans="2:13" ht="15" customHeight="1" x14ac:dyDescent="0.3">
      <c r="B94" s="57" t="s">
        <v>81</v>
      </c>
      <c r="C94" s="57"/>
      <c r="D94" s="7">
        <f>COUNTIFS(mdr_check!B:B,B94,mdr_check!L:L,"&gt;0")</f>
        <v>0</v>
      </c>
      <c r="E94" s="3">
        <f>SUMIFS(mdr_check!L:L,mdr_check!B:B,B94)</f>
        <v>0</v>
      </c>
      <c r="F94" s="8" t="str">
        <f>IFERROR(SUMIFS(mdr_check!D:D,mdr_check!B:B,B94,mdr_check!L:L,"&gt;0")/SUMIFS(mdr_check!C:C,mdr_check!B:B,B94,mdr_check!L:L,"&gt;0"),"-")</f>
        <v>-</v>
      </c>
      <c r="G94" s="8" t="str">
        <f>IFERROR(SUMIFS(mdr_check!H:H,mdr_check!B:B,B94,mdr_check!L:L,"&gt;0")/SUMIFS(mdr_check!C:C,mdr_check!B:B,B94,mdr_check!L:L,"&gt;0"),"-")</f>
        <v>-</v>
      </c>
      <c r="H94" s="61" t="s">
        <v>80</v>
      </c>
      <c r="I94" s="61"/>
    </row>
    <row r="96" spans="2:13" ht="43.5" customHeight="1" x14ac:dyDescent="0.3">
      <c r="B96" s="59" t="str">
        <f>"2. Problems cluster in Delhi and Mumbai: exception rates of "&amp;TEXT(F98,"0.0%")&amp;" and "&amp;TEXT(F99,"0.0%")&amp;" against "&amp;TEXT(COUNTIF(orders!$N$2:$N$6001,"&lt;&gt;OK")/COUNTA(orders!$A$2:$A$6001),"0.0%")&amp;" across all orders, so "&amp;TEXT((E98+E99)/COUNTIF(orders!$N$2:$N$6001,"&lt;&gt;OK"),"0%")&amp;" of all order exceptions come from "&amp;TEXT((D98+D99)/COUNTA(orders!$A$2:$A$6001),"0%")&amp;" of orders. By payment method NetBanking is highest at "&amp;TEXT(L98,"0.0%")&amp;". Counts are small, so monitor these rather than draw firm conclusions."</f>
        <v>2. Problems cluster in Delhi and Mumbai: exception rates of 1.8% and 1.7% against 1.0% across all orders, so 34% of all order exceptions come from 20% of orders. By payment method NetBanking is highest at 1.7%. Counts are small, so monitor these rather than draw firm conclusions.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</row>
    <row r="97" spans="2:12" ht="15" customHeight="1" x14ac:dyDescent="0.3">
      <c r="B97" s="60" t="s">
        <v>82</v>
      </c>
      <c r="C97" s="60"/>
      <c r="D97" s="2" t="s">
        <v>83</v>
      </c>
      <c r="E97" s="2" t="s">
        <v>84</v>
      </c>
      <c r="F97" s="2" t="s">
        <v>85</v>
      </c>
      <c r="H97" s="63" t="s">
        <v>69</v>
      </c>
      <c r="I97" s="63"/>
      <c r="J97" s="2" t="s">
        <v>83</v>
      </c>
      <c r="K97" s="2" t="s">
        <v>84</v>
      </c>
      <c r="L97" s="2" t="s">
        <v>85</v>
      </c>
    </row>
    <row r="98" spans="2:12" ht="15" customHeight="1" x14ac:dyDescent="0.3">
      <c r="B98" s="57" t="s">
        <v>86</v>
      </c>
      <c r="C98" s="57"/>
      <c r="D98" s="7">
        <f>COUNTIF(orders!$I$2:$I$6001,B98)</f>
        <v>604</v>
      </c>
      <c r="E98" s="7">
        <f>COUNTIFS(orders!$I$2:$I$6001,B98,orders!$N$2:$N$6001,"&lt;&gt;OK")</f>
        <v>11</v>
      </c>
      <c r="F98" s="8">
        <f t="shared" ref="F98:F107" si="1">E98/D98</f>
        <v>1.8211920529801324E-2</v>
      </c>
      <c r="H98" s="57" t="s">
        <v>81</v>
      </c>
      <c r="I98" s="57"/>
      <c r="J98" s="7">
        <f>COUNTIF(orders!$E$2:$E$6001,H98)</f>
        <v>475</v>
      </c>
      <c r="K98" s="7">
        <f>COUNTIFS(orders!$E$2:$E$6001,H98,orders!$N$2:$N$6001,"&lt;&gt;OK")</f>
        <v>8</v>
      </c>
      <c r="L98" s="8">
        <f>K98/J98</f>
        <v>1.6842105263157894E-2</v>
      </c>
    </row>
    <row r="99" spans="2:12" ht="15" customHeight="1" x14ac:dyDescent="0.3">
      <c r="B99" s="57" t="s">
        <v>87</v>
      </c>
      <c r="C99" s="57"/>
      <c r="D99" s="7">
        <f>COUNTIF(orders!$I$2:$I$6001,B99)</f>
        <v>576</v>
      </c>
      <c r="E99" s="7">
        <f>COUNTIFS(orders!$I$2:$I$6001,B99,orders!$N$2:$N$6001,"&lt;&gt;OK")</f>
        <v>10</v>
      </c>
      <c r="F99" s="8">
        <f t="shared" si="1"/>
        <v>1.7361111111111112E-2</v>
      </c>
      <c r="H99" s="57" t="s">
        <v>79</v>
      </c>
      <c r="I99" s="57"/>
      <c r="J99" s="7">
        <f>COUNTIF(orders!$E$2:$E$6001,H99)</f>
        <v>1595</v>
      </c>
      <c r="K99" s="7">
        <f>COUNTIFS(orders!$E$2:$E$6001,H99,orders!$N$2:$N$6001,"&lt;&gt;OK")</f>
        <v>20</v>
      </c>
      <c r="L99" s="8">
        <f>K99/J99</f>
        <v>1.2539184952978056E-2</v>
      </c>
    </row>
    <row r="100" spans="2:12" ht="15" customHeight="1" x14ac:dyDescent="0.3">
      <c r="B100" s="57" t="s">
        <v>88</v>
      </c>
      <c r="C100" s="57"/>
      <c r="D100" s="7">
        <f>COUNTIF(orders!$I$2:$I$6001,B100)</f>
        <v>581</v>
      </c>
      <c r="E100" s="7">
        <f>COUNTIFS(orders!$I$2:$I$6001,B100,orders!$N$2:$N$6001,"&lt;&gt;OK")</f>
        <v>8</v>
      </c>
      <c r="F100" s="8">
        <f t="shared" si="1"/>
        <v>1.3769363166953529E-2</v>
      </c>
      <c r="H100" s="57" t="s">
        <v>77</v>
      </c>
      <c r="I100" s="57"/>
      <c r="J100" s="7">
        <f>COUNTIF(orders!$E$2:$E$6001,H100)</f>
        <v>719</v>
      </c>
      <c r="K100" s="7">
        <f>COUNTIFS(orders!$E$2:$E$6001,H100,orders!$N$2:$N$6001,"&lt;&gt;OK")</f>
        <v>7</v>
      </c>
      <c r="L100" s="8">
        <f>K100/J100</f>
        <v>9.7357440890125171E-3</v>
      </c>
    </row>
    <row r="101" spans="2:12" ht="15" customHeight="1" x14ac:dyDescent="0.3">
      <c r="B101" s="57" t="s">
        <v>89</v>
      </c>
      <c r="C101" s="57"/>
      <c r="D101" s="7">
        <f>COUNTIF(orders!$I$2:$I$6001,B101)</f>
        <v>574</v>
      </c>
      <c r="E101" s="7">
        <f>COUNTIFS(orders!$I$2:$I$6001,B101,orders!$N$2:$N$6001,"&lt;&gt;OK")</f>
        <v>6</v>
      </c>
      <c r="F101" s="8">
        <f t="shared" si="1"/>
        <v>1.0452961672473868E-2</v>
      </c>
      <c r="H101" s="57" t="s">
        <v>75</v>
      </c>
      <c r="I101" s="57"/>
      <c r="J101" s="7">
        <f>COUNTIF(orders!$E$2:$E$6001,H101)</f>
        <v>3211</v>
      </c>
      <c r="K101" s="7">
        <f>COUNTIFS(orders!$E$2:$E$6001,H101,orders!$N$2:$N$6001,"&lt;&gt;OK")</f>
        <v>27</v>
      </c>
      <c r="L101" s="8">
        <f>K101/J101</f>
        <v>8.4085954531298666E-3</v>
      </c>
    </row>
    <row r="102" spans="2:12" ht="15" customHeight="1" x14ac:dyDescent="0.3">
      <c r="B102" s="57" t="s">
        <v>90</v>
      </c>
      <c r="C102" s="57"/>
      <c r="D102" s="7">
        <f>COUNTIF(orders!$I$2:$I$6001,B102)</f>
        <v>554</v>
      </c>
      <c r="E102" s="7">
        <f>COUNTIFS(orders!$I$2:$I$6001,B102,orders!$N$2:$N$6001,"&lt;&gt;OK")</f>
        <v>5</v>
      </c>
      <c r="F102" s="8">
        <f t="shared" si="1"/>
        <v>9.0252707581227436E-3</v>
      </c>
    </row>
    <row r="103" spans="2:12" ht="15" customHeight="1" x14ac:dyDescent="0.3">
      <c r="B103" s="57" t="s">
        <v>91</v>
      </c>
      <c r="C103" s="57"/>
      <c r="D103" s="7">
        <f>COUNTIF(orders!$I$2:$I$6001,B103)</f>
        <v>568</v>
      </c>
      <c r="E103" s="7">
        <f>COUNTIFS(orders!$I$2:$I$6001,B103,orders!$N$2:$N$6001,"&lt;&gt;OK")</f>
        <v>5</v>
      </c>
      <c r="F103" s="8">
        <f t="shared" si="1"/>
        <v>8.8028169014084511E-3</v>
      </c>
    </row>
    <row r="104" spans="2:12" ht="15" customHeight="1" x14ac:dyDescent="0.3">
      <c r="B104" s="57" t="s">
        <v>92</v>
      </c>
      <c r="C104" s="57"/>
      <c r="D104" s="7">
        <f>COUNTIF(orders!$I$2:$I$6001,B104)</f>
        <v>606</v>
      </c>
      <c r="E104" s="7">
        <f>COUNTIFS(orders!$I$2:$I$6001,B104,orders!$N$2:$N$6001,"&lt;&gt;OK")</f>
        <v>5</v>
      </c>
      <c r="F104" s="8">
        <f t="shared" si="1"/>
        <v>8.2508250825082501E-3</v>
      </c>
    </row>
    <row r="105" spans="2:12" ht="15" customHeight="1" x14ac:dyDescent="0.3">
      <c r="B105" s="57" t="s">
        <v>93</v>
      </c>
      <c r="C105" s="57"/>
      <c r="D105" s="7">
        <f>COUNTIF(orders!$I$2:$I$6001,B105)</f>
        <v>599</v>
      </c>
      <c r="E105" s="7">
        <f>COUNTIFS(orders!$I$2:$I$6001,B105,orders!$N$2:$N$6001,"&lt;&gt;OK")</f>
        <v>4</v>
      </c>
      <c r="F105" s="8">
        <f t="shared" si="1"/>
        <v>6.6777963272120202E-3</v>
      </c>
    </row>
    <row r="106" spans="2:12" ht="15" customHeight="1" x14ac:dyDescent="0.3">
      <c r="B106" s="57" t="s">
        <v>94</v>
      </c>
      <c r="C106" s="57"/>
      <c r="D106" s="7">
        <f>COUNTIF(orders!$I$2:$I$6001,B106)</f>
        <v>571</v>
      </c>
      <c r="E106" s="7">
        <f>COUNTIFS(orders!$I$2:$I$6001,B106,orders!$N$2:$N$6001,"&lt;&gt;OK")</f>
        <v>3</v>
      </c>
      <c r="F106" s="8">
        <f t="shared" si="1"/>
        <v>5.2539404553415062E-3</v>
      </c>
    </row>
    <row r="107" spans="2:12" ht="15" customHeight="1" x14ac:dyDescent="0.3">
      <c r="B107" s="57" t="s">
        <v>95</v>
      </c>
      <c r="C107" s="57"/>
      <c r="D107" s="7">
        <f>COUNTIF(orders!$I$2:$I$6001,B107)</f>
        <v>587</v>
      </c>
      <c r="E107" s="7">
        <f>COUNTIFS(orders!$I$2:$I$6001,B107,orders!$N$2:$N$6001,"&lt;&gt;OK")</f>
        <v>3</v>
      </c>
      <c r="F107" s="8">
        <f t="shared" si="1"/>
        <v>5.1107325383304937E-3</v>
      </c>
    </row>
    <row r="109" spans="2:12" ht="15" customHeight="1" x14ac:dyDescent="0.3">
      <c r="B109" s="62"/>
      <c r="C109" s="62"/>
      <c r="D109" s="62"/>
      <c r="E109" s="62"/>
      <c r="F109" s="62"/>
    </row>
    <row r="116" spans="2:13" ht="43.5" customHeight="1" x14ac:dyDescent="0.3">
      <c r="B116" s="59" t="str">
        <f>"3. ₹"&amp;TEXT(-(bridge!B17+bridge!B18),"#,##0")&amp;" is still owed by the gateway: batch STL-20260912 never arrived and STL-20260911 was ₹"&amp;TEXT(-bridge!B18,"#,##0")&amp;" short. The other ₹"&amp;TEXT(-bridge!B16,"#,##0")&amp;" is only timing (the 1-2 Oct batches). Matching bank receipts to batches every day would catch a missing batch in days instead of at month end."</f>
        <v>3. ₹552,324 is still owed by the gateway: batch STL-20260912 never arrived and STL-20260911 was ₹1,250 short. The other ₹1,265,527 is only timing (the 1-2 Oct batches). Matching bank receipts to batches every day would catch a missing batch in days instead of at month end.</v>
      </c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</row>
    <row r="117" spans="2:13" ht="27.75" customHeight="1" x14ac:dyDescent="0.3">
      <c r="B117" s="60" t="s">
        <v>96</v>
      </c>
      <c r="C117" s="60"/>
      <c r="D117" s="1" t="s">
        <v>97</v>
      </c>
      <c r="E117" s="1" t="s">
        <v>98</v>
      </c>
      <c r="F117" s="1" t="s">
        <v>99</v>
      </c>
      <c r="G117" s="1" t="s">
        <v>100</v>
      </c>
      <c r="H117" s="60" t="s">
        <v>101</v>
      </c>
      <c r="I117" s="60"/>
      <c r="J117" s="1" t="s">
        <v>102</v>
      </c>
      <c r="K117" s="60" t="s">
        <v>103</v>
      </c>
      <c r="L117" s="60"/>
      <c r="M117" s="60"/>
    </row>
    <row r="118" spans="2:13" x14ac:dyDescent="0.3">
      <c r="B118" s="57" t="s">
        <v>104</v>
      </c>
      <c r="C118" s="57"/>
      <c r="D118" s="9">
        <f>INDEX(batch_recon!$B:$B,MATCH($B118,batch_recon!$A:$A,0))</f>
        <v>46277</v>
      </c>
      <c r="E118" s="3">
        <f>INDEX(batch_recon!$C:$C,MATCH($B118,batch_recon!$A:$A,0))</f>
        <v>551074.03000000026</v>
      </c>
      <c r="F118" s="3">
        <f>INDEX(batch_recon!$D:$D,MATCH($B118,batch_recon!$A:$A,0))</f>
        <v>0</v>
      </c>
      <c r="G118" s="3">
        <f t="shared" ref="G118:G123" si="2">E118-F118</f>
        <v>551074.03000000026</v>
      </c>
      <c r="H118" s="57" t="str">
        <f>INDEX(batch_recon!$F:$F,MATCH($B118,batch_recon!$A:$A,0))</f>
        <v>Missing</v>
      </c>
      <c r="I118" s="57"/>
      <c r="J118" s="10">
        <f>IF(H118="Due in October","not yet due",DATE(2026,9,30)-D118)</f>
        <v>18</v>
      </c>
      <c r="K118" s="61" t="s">
        <v>105</v>
      </c>
      <c r="L118" s="61"/>
      <c r="M118" s="61"/>
    </row>
    <row r="119" spans="2:13" x14ac:dyDescent="0.3">
      <c r="B119" s="57" t="s">
        <v>106</v>
      </c>
      <c r="C119" s="57"/>
      <c r="D119" s="9">
        <f>INDEX(batch_recon!$B:$B,MATCH($B119,batch_recon!$A:$A,0))</f>
        <v>46276</v>
      </c>
      <c r="E119" s="3">
        <f>INDEX(batch_recon!$C:$C,MATCH($B119,batch_recon!$A:$A,0))</f>
        <v>556411.99000000011</v>
      </c>
      <c r="F119" s="3">
        <f>INDEX(batch_recon!$D:$D,MATCH($B119,batch_recon!$A:$A,0))</f>
        <v>555161.99</v>
      </c>
      <c r="G119" s="3">
        <f t="shared" si="2"/>
        <v>1250.0000000001164</v>
      </c>
      <c r="H119" s="57" t="str">
        <f>INDEX(batch_recon!$F:$F,MATCH($B119,batch_recon!$A:$A,0))</f>
        <v>Short-paid</v>
      </c>
      <c r="I119" s="57"/>
      <c r="J119" s="10">
        <f>IF(H119="Due in October","not yet due",DATE(2026,9,30)-D119)</f>
        <v>19</v>
      </c>
      <c r="K119" s="61" t="s">
        <v>107</v>
      </c>
      <c r="L119" s="61"/>
      <c r="M119" s="61"/>
    </row>
    <row r="120" spans="2:13" x14ac:dyDescent="0.3">
      <c r="B120" s="57" t="s">
        <v>108</v>
      </c>
      <c r="C120" s="57"/>
      <c r="D120" s="9">
        <f>INDEX(batch_recon!$B:$B,MATCH($B120,batch_recon!$A:$A,0))</f>
        <v>46296</v>
      </c>
      <c r="E120" s="3">
        <f>INDEX(batch_recon!$C:$C,MATCH($B120,batch_recon!$A:$A,0))</f>
        <v>650622.70000000019</v>
      </c>
      <c r="F120" s="3">
        <f>INDEX(batch_recon!$D:$D,MATCH($B120,batch_recon!$A:$A,0))</f>
        <v>0</v>
      </c>
      <c r="G120" s="3">
        <f t="shared" si="2"/>
        <v>650622.70000000019</v>
      </c>
      <c r="H120" s="57" t="str">
        <f>INDEX(batch_recon!$F:$F,MATCH($B120,batch_recon!$A:$A,0))</f>
        <v>Due in October</v>
      </c>
      <c r="I120" s="57"/>
      <c r="J120" s="10" t="str">
        <f>IF(H120="Due in October","not yet due",DATE(2026,9,30)-D120)</f>
        <v>not yet due</v>
      </c>
      <c r="K120" s="61" t="s">
        <v>109</v>
      </c>
      <c r="L120" s="61"/>
      <c r="M120" s="61"/>
    </row>
    <row r="121" spans="2:13" x14ac:dyDescent="0.3">
      <c r="B121" s="57" t="s">
        <v>110</v>
      </c>
      <c r="C121" s="57"/>
      <c r="D121" s="9">
        <f>INDEX(batch_recon!$B:$B,MATCH($B121,batch_recon!$A:$A,0))</f>
        <v>46297</v>
      </c>
      <c r="E121" s="3">
        <f>INDEX(batch_recon!$C:$C,MATCH($B121,batch_recon!$A:$A,0))</f>
        <v>614904.19999999972</v>
      </c>
      <c r="F121" s="3">
        <f>INDEX(batch_recon!$D:$D,MATCH($B121,batch_recon!$A:$A,0))</f>
        <v>0</v>
      </c>
      <c r="G121" s="3">
        <f t="shared" si="2"/>
        <v>614904.19999999972</v>
      </c>
      <c r="H121" s="57" t="str">
        <f>INDEX(batch_recon!$F:$F,MATCH($B121,batch_recon!$A:$A,0))</f>
        <v>Due in October</v>
      </c>
      <c r="I121" s="57"/>
      <c r="J121" s="10" t="str">
        <f>IF(H121="Due in October","not yet due",DATE(2026,9,30)-D121)</f>
        <v>not yet due</v>
      </c>
      <c r="K121" s="61" t="s">
        <v>109</v>
      </c>
      <c r="L121" s="61"/>
      <c r="M121" s="61"/>
    </row>
    <row r="122" spans="2:13" x14ac:dyDescent="0.3">
      <c r="B122" s="56" t="s">
        <v>111</v>
      </c>
      <c r="C122" s="56"/>
      <c r="D122" s="56"/>
      <c r="E122" s="5">
        <f>SUMIF($H118:$H121,"Missing",E118:E121)+SUMIF($H118:$H121,"Short-paid",E118:E121)</f>
        <v>1107486.0200000005</v>
      </c>
      <c r="F122" s="5">
        <f>SUMIF($H118:$H121,"Missing",F118:F121)+SUMIF($H118:$H121,"Short-paid",F118:F121)</f>
        <v>555161.99</v>
      </c>
      <c r="G122" s="5">
        <f t="shared" si="2"/>
        <v>552324.03000000049</v>
      </c>
      <c r="H122" s="56" t="str">
        <f>IF(ROUND(G122-$E$9,2)=0,"Agrees with the headline above","DOES NOT AGREE")</f>
        <v>Agrees with the headline above</v>
      </c>
      <c r="I122" s="56"/>
      <c r="J122" s="56"/>
      <c r="K122" s="56"/>
      <c r="L122" s="56"/>
      <c r="M122" s="56"/>
    </row>
    <row r="123" spans="2:13" x14ac:dyDescent="0.3">
      <c r="B123" s="56" t="s">
        <v>112</v>
      </c>
      <c r="C123" s="56"/>
      <c r="D123" s="56"/>
      <c r="E123" s="5">
        <f>SUMIF($H118:$H121,"Due in October",E118:E121)</f>
        <v>1265526.8999999999</v>
      </c>
      <c r="F123" s="5">
        <f>SUMIF($H118:$H121,"Due in October",F118:F121)</f>
        <v>0</v>
      </c>
      <c r="G123" s="5">
        <f t="shared" si="2"/>
        <v>1265526.8999999999</v>
      </c>
      <c r="H123" s="56" t="str">
        <f>IF(ROUND(G123+bridge!B16,2)=0,"Agrees with the bridge","DOES NOT AGREE")</f>
        <v>Agrees with the bridge</v>
      </c>
      <c r="I123" s="56"/>
      <c r="J123" s="56"/>
      <c r="K123" s="56"/>
      <c r="L123" s="56"/>
      <c r="M123" s="56"/>
    </row>
    <row r="138" spans="2:13" x14ac:dyDescent="0.3">
      <c r="B138" s="58" t="s">
        <v>113</v>
      </c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</row>
    <row r="140" spans="2:13" ht="57.75" customHeight="1" x14ac:dyDescent="0.3">
      <c r="B140" s="59" t="str">
        <f>"4. Gateway settlements are "&amp;TEXT(E150/E151,"0.0%")&amp;" of all money credited to the bank in September (₹"&amp;TEXT(E150,"#,##0")&amp;" of ₹"&amp;TEXT(E151,"#,##0")&amp;"). The other ₹"&amp;TEXT(E151-E150,"#,##0")&amp;" (COD remittance and marketplace payout) is not gateway money, so it is kept out of the reconciliation. Debits total ₹"&amp;TEXT(F151,"#,##0")&amp;", led by "&amp;INDEX(B142:B149,MATCH(MAX(F142:F149),F142:F149,0))&amp;" (₹"&amp;TEXT(MAX(F142:F149),"#,##0")&amp;"), so the account grew by ₹"&amp;TEXT(G151,"#,##0")&amp;". The ₹"&amp;TEXT($E$9,"#,##0")&amp;" still owed by the gateway equals "&amp;TEXT($E$9/F151,"0%")&amp;" of everything the business paid out in the month."</f>
        <v>4. Gateway settlements are 98.8% of all money credited to the bank in September (₹16,984,049 of ₹17,191,349). The other ₹207,301 (COD remittance and marketplace payout) is not gateway money, so it is kept out of the reconciliation. Debits total ₹1,182,240, led by Salary (₹640,000), so the account grew by ₹16,009,109. The ₹552,324 still owed by the gateway equals 47% of everything the business paid out in the month.</v>
      </c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</row>
    <row r="141" spans="2:13" ht="19.5" customHeight="1" x14ac:dyDescent="0.3">
      <c r="B141" s="60" t="s">
        <v>114</v>
      </c>
      <c r="C141" s="60"/>
      <c r="D141" s="60"/>
      <c r="E141" s="1" t="s">
        <v>115</v>
      </c>
      <c r="F141" s="1" t="s">
        <v>116</v>
      </c>
      <c r="G141" s="1" t="s">
        <v>117</v>
      </c>
    </row>
    <row r="142" spans="2:13" x14ac:dyDescent="0.3">
      <c r="B142" s="57" t="s">
        <v>118</v>
      </c>
      <c r="C142" s="57"/>
      <c r="D142" s="57"/>
      <c r="E142" s="3">
        <f>SUMIFS(bank_statement_cleaned!$G:$G,bank_statement_cleaned!$J:$J,$B142)</f>
        <v>132980</v>
      </c>
      <c r="F142" s="3">
        <f>SUMIFS(bank_statement_cleaned!$F:$F,bank_statement_cleaned!$J:$J,$B142)</f>
        <v>0</v>
      </c>
      <c r="G142" s="3">
        <f t="shared" ref="G142:G150" si="3">E142-F142</f>
        <v>132980</v>
      </c>
    </row>
    <row r="143" spans="2:13" x14ac:dyDescent="0.3">
      <c r="B143" s="57" t="s">
        <v>119</v>
      </c>
      <c r="C143" s="57"/>
      <c r="D143" s="57"/>
      <c r="E143" s="3">
        <f>SUMIFS(bank_statement_cleaned!$G:$G,bank_statement_cleaned!$J:$J,$B143)</f>
        <v>74320.55</v>
      </c>
      <c r="F143" s="3">
        <f>SUMIFS(bank_statement_cleaned!$F:$F,bank_statement_cleaned!$J:$J,$B143)</f>
        <v>0</v>
      </c>
      <c r="G143" s="3">
        <f t="shared" si="3"/>
        <v>74320.55</v>
      </c>
    </row>
    <row r="144" spans="2:13" x14ac:dyDescent="0.3">
      <c r="B144" s="57" t="s">
        <v>120</v>
      </c>
      <c r="C144" s="57"/>
      <c r="D144" s="57"/>
      <c r="E144" s="3">
        <f>SUMIFS(bank_statement_cleaned!$G:$G,bank_statement_cleaned!$J:$J,$B144)</f>
        <v>0</v>
      </c>
      <c r="F144" s="3">
        <f>SUMIFS(bank_statement_cleaned!$F:$F,bank_statement_cleaned!$J:$J,$B144)</f>
        <v>212450</v>
      </c>
      <c r="G144" s="3">
        <f t="shared" si="3"/>
        <v>-212450</v>
      </c>
    </row>
    <row r="145" spans="2:13" x14ac:dyDescent="0.3">
      <c r="B145" s="57" t="s">
        <v>121</v>
      </c>
      <c r="C145" s="57"/>
      <c r="D145" s="57"/>
      <c r="E145" s="3">
        <f>SUMIFS(bank_statement_cleaned!$G:$G,bank_statement_cleaned!$J:$J,$B145)</f>
        <v>0</v>
      </c>
      <c r="F145" s="3">
        <f>SUMIFS(bank_statement_cleaned!$F:$F,bank_statement_cleaned!$J:$J,$B145)</f>
        <v>640000</v>
      </c>
      <c r="G145" s="3">
        <f t="shared" si="3"/>
        <v>-640000</v>
      </c>
    </row>
    <row r="146" spans="2:13" x14ac:dyDescent="0.3">
      <c r="B146" s="57" t="s">
        <v>122</v>
      </c>
      <c r="C146" s="57"/>
      <c r="D146" s="57"/>
      <c r="E146" s="3">
        <f>SUMIFS(bank_statement_cleaned!$G:$G,bank_statement_cleaned!$J:$J,$B146)</f>
        <v>0</v>
      </c>
      <c r="F146" s="3">
        <f>SUMIFS(bank_statement_cleaned!$F:$F,bank_statement_cleaned!$J:$J,$B146)</f>
        <v>48231.199999999997</v>
      </c>
      <c r="G146" s="3">
        <f t="shared" si="3"/>
        <v>-48231.199999999997</v>
      </c>
    </row>
    <row r="147" spans="2:13" x14ac:dyDescent="0.3">
      <c r="B147" s="57" t="s">
        <v>123</v>
      </c>
      <c r="C147" s="57"/>
      <c r="D147" s="57"/>
      <c r="E147" s="3">
        <f>SUMIFS(bank_statement_cleaned!$G:$G,bank_statement_cleaned!$J:$J,$B147)</f>
        <v>0</v>
      </c>
      <c r="F147" s="3">
        <f>SUMIFS(bank_statement_cleaned!$F:$F,bank_statement_cleaned!$J:$J,$B147)</f>
        <v>185000</v>
      </c>
      <c r="G147" s="3">
        <f t="shared" si="3"/>
        <v>-185000</v>
      </c>
    </row>
    <row r="148" spans="2:13" x14ac:dyDescent="0.3">
      <c r="B148" s="57" t="s">
        <v>124</v>
      </c>
      <c r="C148" s="57"/>
      <c r="D148" s="57"/>
      <c r="E148" s="3">
        <f>SUMIFS(bank_statement_cleaned!$G:$G,bank_statement_cleaned!$J:$J,$B148)</f>
        <v>0</v>
      </c>
      <c r="F148" s="3">
        <f>SUMIFS(bank_statement_cleaned!$F:$F,bank_statement_cleaned!$J:$J,$B148)</f>
        <v>96500</v>
      </c>
      <c r="G148" s="3">
        <f t="shared" si="3"/>
        <v>-96500</v>
      </c>
    </row>
    <row r="149" spans="2:13" x14ac:dyDescent="0.3">
      <c r="B149" s="57" t="s">
        <v>125</v>
      </c>
      <c r="C149" s="57"/>
      <c r="D149" s="57"/>
      <c r="E149" s="3">
        <f>SUMIFS(bank_statement_cleaned!$G:$G,bank_statement_cleaned!$J:$J,$B149)</f>
        <v>0</v>
      </c>
      <c r="F149" s="3">
        <f>SUMIFS(bank_statement_cleaned!$F:$F,bank_statement_cleaned!$J:$J,$B149)</f>
        <v>59</v>
      </c>
      <c r="G149" s="3">
        <f t="shared" si="3"/>
        <v>-59</v>
      </c>
    </row>
    <row r="150" spans="2:13" x14ac:dyDescent="0.3">
      <c r="B150" s="57" t="s">
        <v>126</v>
      </c>
      <c r="C150" s="57"/>
      <c r="D150" s="57"/>
      <c r="E150" s="3">
        <f>SUMIFS(bank_statement_cleaned!$G:$G,bank_statement_cleaned!$J:$J,$B150)</f>
        <v>16984048.559999999</v>
      </c>
      <c r="F150" s="3">
        <f>SUMIFS(bank_statement_cleaned!$F:$F,bank_statement_cleaned!$J:$J,$B150)</f>
        <v>0</v>
      </c>
      <c r="G150" s="3">
        <f t="shared" si="3"/>
        <v>16984048.559999999</v>
      </c>
    </row>
    <row r="151" spans="2:13" x14ac:dyDescent="0.3">
      <c r="B151" s="56" t="s">
        <v>127</v>
      </c>
      <c r="C151" s="56"/>
      <c r="D151" s="56"/>
      <c r="E151" s="5">
        <f>SUM(E142:E150)</f>
        <v>17191349.109999999</v>
      </c>
      <c r="F151" s="5">
        <f>SUM(F142:F150)</f>
        <v>1182240.2</v>
      </c>
      <c r="G151" s="5">
        <f>SUM(G142:G150)</f>
        <v>16009108.909999998</v>
      </c>
    </row>
    <row r="152" spans="2:13" x14ac:dyDescent="0.3">
      <c r="B152" s="58" t="str">
        <f>IF(AND(ROUND(E150-bridge!B19,2)=0,ROUND(E151-SUM(bank_statement_cleaned!G:G),2)=0,ROUND(F151-SUM(bank_statement_cleaned!F:F),2)=0),"Checks pass: credit_cleaned and debit_cleaned totals equal the bank sheet; gateway credits equal bridge cash in bank","DOES NOT AGREE")</f>
        <v>Checks pass: credit_cleaned and debit_cleaned totals equal the bank sheet; gateway credits equal bridge cash in bank</v>
      </c>
      <c r="C152" s="58"/>
      <c r="D152" s="58"/>
      <c r="E152" s="58"/>
      <c r="F152" s="58"/>
      <c r="G152" s="58"/>
    </row>
    <row r="156" spans="2:13" ht="57.75" customHeight="1" x14ac:dyDescent="0.3">
      <c r="B156" s="59" t="str">
        <f>"5. Gateway fees cost ₹"&amp;TEXT(F162+G162,"#,##0")&amp;" ("&amp;TEXT(I162,"0.00%")&amp;" of the ₹"&amp;TEXT(E162,"#,##0")&amp;" collected): ₹"&amp;TEXT(F162,"#,##0")&amp;" MDR plus ₹"&amp;TEXT(G162,"#,##0")&amp;" GST. "&amp;INDEX(B158:B161,MATCH(MAX(I158:I161),I158:I161,0))&amp;" is the most expensive at "&amp;TEXT(MAX(I158:I161),"0.0%")&amp;" and "&amp;INDEX(B158:B161,MATCH(MIN(I158:I161),I158:I161,0))&amp;" the cheapest at "&amp;TEXT(MIN(I158:I161),"0.0%")&amp;". Card is "&amp;TEXT(E159/E162,"0%")&amp;" of the money collected but "&amp;TEXT((F159+G159)/(F162+G162),"0%")&amp;" of the fees. After fees and refunds, net received is ₹"&amp;TEXT(H164,"#,##0")&amp;", exactly what the gateway owed per the bridge."</f>
        <v>5. Gateway fees cost ₹206,962 (1.04% of the ₹19,902,749 collected): ₹175,390 MDR plus ₹31,572 GST. Wallet is the most expensive at 2.1% and UPI the cheapest at 0.3%. Card is 27% of the money collected but 49% of the fees. After fees and refunds, net received is ₹18,801,899, exactly what the gateway owed per the bridge.</v>
      </c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</row>
    <row r="157" spans="2:13" ht="27.75" customHeight="1" x14ac:dyDescent="0.3">
      <c r="B157" s="60" t="s">
        <v>69</v>
      </c>
      <c r="C157" s="60"/>
      <c r="D157" s="1" t="s">
        <v>128</v>
      </c>
      <c r="E157" s="1" t="s">
        <v>129</v>
      </c>
      <c r="F157" s="1" t="s">
        <v>130</v>
      </c>
      <c r="G157" s="1" t="s">
        <v>131</v>
      </c>
      <c r="H157" s="1" t="s">
        <v>132</v>
      </c>
      <c r="I157" s="1" t="s">
        <v>133</v>
      </c>
      <c r="J157" s="1" t="s">
        <v>134</v>
      </c>
      <c r="K157" s="1" t="s">
        <v>135</v>
      </c>
      <c r="L157" s="1" t="s">
        <v>136</v>
      </c>
      <c r="M157" s="1" t="s">
        <v>137</v>
      </c>
    </row>
    <row r="158" spans="2:13" x14ac:dyDescent="0.3">
      <c r="B158" s="57" t="s">
        <v>75</v>
      </c>
      <c r="C158" s="57"/>
      <c r="D158" s="7">
        <f>COUNTIFS(pg_transaction_cleaned!$F:$F,"CAPTURE",pg_transaction_cleaned!$G:$G,$B158)</f>
        <v>2934</v>
      </c>
      <c r="E158" s="11">
        <f>SUMIFS(pg_transaction_cleaned!$H:$H,pg_transaction_cleaned!$F:$F,"CAPTURE",pg_transaction_cleaned!$G:$G,$B158)</f>
        <v>10598036</v>
      </c>
      <c r="F158" s="3">
        <f>SUMIFS(pg_transaction_cleaned!$I:$I,pg_transaction_cleaned!$F:$F,"CAPTURE",pg_transaction_cleaned!$G:$G,$B158)</f>
        <v>28207.310000000231</v>
      </c>
      <c r="G158" s="3">
        <f>SUMIFS(pg_transaction_cleaned!$J:$J,pg_transaction_cleaned!$F:$F,"CAPTURE",pg_transaction_cleaned!$G:$G,$B158)</f>
        <v>5077.4599999999982</v>
      </c>
      <c r="H158" s="12">
        <f>SUMIFS(pg_transaction_cleaned!$K:$K,pg_transaction_cleaned!$F:$F,"CAPTURE",pg_transaction_cleaned!$G:$G,$B158)</f>
        <v>10564751.230000013</v>
      </c>
      <c r="I158" s="13">
        <f>(F158+G158)/E158</f>
        <v>3.1406545514659724E-3</v>
      </c>
      <c r="J158" s="13">
        <f>(SUMIFS(mdr_check!$H:$H,mdr_check!$B:$B,$B158)+SUMIFS(mdr_check!$K:$K,mdr_check!$B:$B,$B158))/SUMIFS(mdr_check!$C:$C,mdr_check!$B:$B,$B158)</f>
        <v>3.1336815613761098E-3</v>
      </c>
      <c r="K158" s="3">
        <f>SUMIFS(mdr_check!$L:$L,mdr_check!$B:$B,$B158)</f>
        <v>73.899999999999991</v>
      </c>
      <c r="L158" s="8">
        <f>E158/E$162</f>
        <v>0.53249106442532135</v>
      </c>
      <c r="M158" s="8">
        <f>(F158+G158)/(F$162+G$162)</f>
        <v>0.16082589463132593</v>
      </c>
    </row>
    <row r="159" spans="2:13" x14ac:dyDescent="0.3">
      <c r="B159" s="57" t="s">
        <v>79</v>
      </c>
      <c r="C159" s="57"/>
      <c r="D159" s="7">
        <f>COUNTIFS(pg_transaction_cleaned!$F:$F,"CAPTURE",pg_transaction_cleaned!$G:$G,$B159)</f>
        <v>1462</v>
      </c>
      <c r="E159" s="11">
        <f>SUMIFS(pg_transaction_cleaned!$H:$H,pg_transaction_cleaned!$F:$F,"CAPTURE",pg_transaction_cleaned!$G:$G,$B159)</f>
        <v>5288904</v>
      </c>
      <c r="F159" s="3">
        <f>SUMIFS(pg_transaction_cleaned!$I:$I,pg_transaction_cleaned!$F:$F,"CAPTURE",pg_transaction_cleaned!$G:$G,$B159)</f>
        <v>85808.87000000049</v>
      </c>
      <c r="G159" s="3">
        <f>SUMIFS(pg_transaction_cleaned!$J:$J,pg_transaction_cleaned!$F:$F,"CAPTURE",pg_transaction_cleaned!$G:$G,$B159)</f>
        <v>15446.969999999979</v>
      </c>
      <c r="H159" s="12">
        <f>SUMIFS(pg_transaction_cleaned!$K:$K,pg_transaction_cleaned!$F:$F,"CAPTURE",pg_transaction_cleaned!$G:$G,$B159)</f>
        <v>5187648.160000016</v>
      </c>
      <c r="I159" s="13">
        <f>(F159+G159)/E159</f>
        <v>1.9144957064828643E-2</v>
      </c>
      <c r="J159" s="13">
        <f>(SUMIFS(mdr_check!$H:$H,mdr_check!$B:$B,$B159)+SUMIFS(mdr_check!$K:$K,mdr_check!$B:$B,$B159))/SUMIFS(mdr_check!$C:$C,mdr_check!$B:$B,$B159)</f>
        <v>1.9144957064828643E-2</v>
      </c>
      <c r="K159" s="3">
        <f>SUMIFS(mdr_check!$L:$L,mdr_check!$B:$B,$B159)</f>
        <v>0</v>
      </c>
      <c r="L159" s="8">
        <f>E159/E$162</f>
        <v>0.26573736120573094</v>
      </c>
      <c r="M159" s="8">
        <f>(F159+G159)/(F$162+G$162)</f>
        <v>0.48924961940990908</v>
      </c>
    </row>
    <row r="160" spans="2:13" x14ac:dyDescent="0.3">
      <c r="B160" s="57" t="s">
        <v>81</v>
      </c>
      <c r="C160" s="57"/>
      <c r="D160" s="7">
        <f>COUNTIFS(pg_transaction_cleaned!$F:$F,"CAPTURE",pg_transaction_cleaned!$G:$G,$B160)</f>
        <v>440</v>
      </c>
      <c r="E160" s="11">
        <f>SUMIFS(pg_transaction_cleaned!$H:$H,pg_transaction_cleaned!$F:$F,"CAPTURE",pg_transaction_cleaned!$G:$G,$B160)</f>
        <v>1613736</v>
      </c>
      <c r="F160" s="3">
        <f>SUMIFS(pg_transaction_cleaned!$I:$I,pg_transaction_cleaned!$F:$F,"CAPTURE",pg_transaction_cleaned!$G:$G,$B160)</f>
        <v>19044.859999999997</v>
      </c>
      <c r="G160" s="3">
        <f>SUMIFS(pg_transaction_cleaned!$J:$J,pg_transaction_cleaned!$F:$F,"CAPTURE",pg_transaction_cleaned!$G:$G,$B160)</f>
        <v>3428.1999999999994</v>
      </c>
      <c r="H160" s="12">
        <f>SUMIFS(pg_transaction_cleaned!$K:$K,pg_transaction_cleaned!$F:$F,"CAPTURE",pg_transaction_cleaned!$G:$G,$B160)</f>
        <v>1591262.9399999983</v>
      </c>
      <c r="I160" s="13">
        <f>(F160+G160)/E160</f>
        <v>1.3926106872499589E-2</v>
      </c>
      <c r="J160" s="13">
        <f>(SUMIFS(mdr_check!$H:$H,mdr_check!$B:$B,$B160)+SUMIFS(mdr_check!$K:$K,mdr_check!$B:$B,$B160))/SUMIFS(mdr_check!$C:$C,mdr_check!$B:$B,$B160)</f>
        <v>1.3926106872499589E-2</v>
      </c>
      <c r="K160" s="3">
        <f>SUMIFS(mdr_check!$L:$L,mdr_check!$B:$B,$B160)</f>
        <v>0</v>
      </c>
      <c r="L160" s="8">
        <f>E160/E$162</f>
        <v>8.1081060711763991E-2</v>
      </c>
      <c r="M160" s="8">
        <f>(F160+G160)/(F$162+G$162)</f>
        <v>0.10858569789136112</v>
      </c>
    </row>
    <row r="161" spans="2:13" x14ac:dyDescent="0.3">
      <c r="B161" s="57" t="s">
        <v>77</v>
      </c>
      <c r="C161" s="57"/>
      <c r="D161" s="7">
        <f>COUNTIFS(pg_transaction_cleaned!$F:$F,"CAPTURE",pg_transaction_cleaned!$G:$G,$B161)</f>
        <v>663</v>
      </c>
      <c r="E161" s="11">
        <f>SUMIFS(pg_transaction_cleaned!$H:$H,pg_transaction_cleaned!$F:$F,"CAPTURE",pg_transaction_cleaned!$G:$G,$B161)</f>
        <v>2402073</v>
      </c>
      <c r="F161" s="3">
        <f>SUMIFS(pg_transaction_cleaned!$I:$I,pg_transaction_cleaned!$F:$F,"CAPTURE",pg_transaction_cleaned!$G:$G,$B161)</f>
        <v>42328.490000000078</v>
      </c>
      <c r="G161" s="3">
        <f>SUMIFS(pg_transaction_cleaned!$J:$J,pg_transaction_cleaned!$F:$F,"CAPTURE",pg_transaction_cleaned!$G:$G,$B161)</f>
        <v>7619.3499999999894</v>
      </c>
      <c r="H161" s="12">
        <f>SUMIFS(pg_transaction_cleaned!$K:$K,pg_transaction_cleaned!$F:$F,"CAPTURE",pg_transaction_cleaned!$G:$G,$B161)</f>
        <v>2352125.160000002</v>
      </c>
      <c r="I161" s="13">
        <f>(F161+G161)/E161</f>
        <v>2.0793639493887184E-2</v>
      </c>
      <c r="J161" s="13">
        <f>(SUMIFS(mdr_check!$H:$H,mdr_check!$B:$B,$B161)+SUMIFS(mdr_check!$K:$K,mdr_check!$B:$B,$B161))/SUMIFS(mdr_check!$C:$C,mdr_check!$B:$B,$B161)</f>
        <v>2.0330997434299478E-2</v>
      </c>
      <c r="K161" s="3">
        <f>SUMIFS(mdr_check!$L:$L,mdr_check!$B:$B,$B161)</f>
        <v>1111.3</v>
      </c>
      <c r="L161" s="8">
        <f>E161/E$162</f>
        <v>0.12069051365718374</v>
      </c>
      <c r="M161" s="8">
        <f>(F161+G161)/(F$162+G$162)</f>
        <v>0.24133878806740386</v>
      </c>
    </row>
    <row r="162" spans="2:13" x14ac:dyDescent="0.3">
      <c r="B162" s="56" t="s">
        <v>138</v>
      </c>
      <c r="C162" s="56"/>
      <c r="D162" s="14">
        <f>SUM(D158:D161)</f>
        <v>5499</v>
      </c>
      <c r="E162" s="14">
        <f>SUM(E158:E161)</f>
        <v>19902749</v>
      </c>
      <c r="F162" s="5">
        <f>SUM(F158:F161)</f>
        <v>175389.53000000078</v>
      </c>
      <c r="G162" s="5">
        <f>SUM(G158:G161)</f>
        <v>31571.979999999967</v>
      </c>
      <c r="H162" s="5">
        <f>SUM(H158:H161)</f>
        <v>19695787.490000032</v>
      </c>
      <c r="I162" s="15">
        <f>(F162+G162)/E162</f>
        <v>1.0398639404034125E-2</v>
      </c>
      <c r="J162" s="15">
        <f>(SUM(mdr_check!H:H)+SUM(mdr_check!K:K))/SUM(mdr_check!C:C)</f>
        <v>1.0339089841307932E-2</v>
      </c>
      <c r="K162" s="5">
        <f>SUM(K158:K161)</f>
        <v>1185.2</v>
      </c>
      <c r="L162" s="6">
        <f>SUM(L158:L161)</f>
        <v>1</v>
      </c>
      <c r="M162" s="6">
        <f>SUM(M158:M161)</f>
        <v>0.99999999999999989</v>
      </c>
    </row>
    <row r="163" spans="2:13" x14ac:dyDescent="0.3">
      <c r="B163" s="57" t="s">
        <v>139</v>
      </c>
      <c r="C163" s="57"/>
      <c r="D163" s="57"/>
      <c r="E163" s="57"/>
      <c r="F163" s="57"/>
      <c r="G163" s="57"/>
      <c r="H163" s="3">
        <f>bridge!B11</f>
        <v>-893888</v>
      </c>
    </row>
    <row r="164" spans="2:13" x14ac:dyDescent="0.3">
      <c r="B164" s="56" t="s">
        <v>140</v>
      </c>
      <c r="C164" s="56"/>
      <c r="D164" s="56"/>
      <c r="E164" s="56"/>
      <c r="F164" s="56"/>
      <c r="G164" s="56"/>
      <c r="H164" s="5">
        <f>H162+H163</f>
        <v>18801899.490000032</v>
      </c>
      <c r="I164" s="58" t="str">
        <f>IF(AND(ROUND(H164-bridge!B15,2)=0,ROUND(K162+bridge!B14,2)=0),"Agrees with bridge","DOES NOT AGREE")</f>
        <v>Agrees with bridge</v>
      </c>
      <c r="J164" s="58"/>
      <c r="K164" s="58"/>
    </row>
    <row r="179" spans="2:13" x14ac:dyDescent="0.3">
      <c r="B179" s="58" t="s">
        <v>141</v>
      </c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</row>
  </sheetData>
  <mergeCells count="160">
    <mergeCell ref="B1:M1"/>
    <mergeCell ref="B2:M2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2:M12"/>
    <mergeCell ref="B32:M32"/>
    <mergeCell ref="B34:M34"/>
    <mergeCell ref="B35:D35"/>
    <mergeCell ref="G35:H35"/>
    <mergeCell ref="B36:D36"/>
    <mergeCell ref="G36:H36"/>
    <mergeCell ref="B37:D37"/>
    <mergeCell ref="G37:H37"/>
    <mergeCell ref="B38:D38"/>
    <mergeCell ref="G38:H38"/>
    <mergeCell ref="B39:D39"/>
    <mergeCell ref="G39:H39"/>
    <mergeCell ref="B40:D40"/>
    <mergeCell ref="G40:H40"/>
    <mergeCell ref="B41:D41"/>
    <mergeCell ref="G41:H41"/>
    <mergeCell ref="B42:D42"/>
    <mergeCell ref="G42:H42"/>
    <mergeCell ref="B43:D43"/>
    <mergeCell ref="G43:H43"/>
    <mergeCell ref="B44:D44"/>
    <mergeCell ref="G44:H44"/>
    <mergeCell ref="B45:D45"/>
    <mergeCell ref="G45:H45"/>
    <mergeCell ref="B46:D46"/>
    <mergeCell ref="G46:H46"/>
    <mergeCell ref="B47:D47"/>
    <mergeCell ref="G47:H47"/>
    <mergeCell ref="B50:M50"/>
    <mergeCell ref="B51:D51"/>
    <mergeCell ref="G51:H51"/>
    <mergeCell ref="B52:D52"/>
    <mergeCell ref="G52:H52"/>
    <mergeCell ref="B53:D53"/>
    <mergeCell ref="G53:H53"/>
    <mergeCell ref="B54:D54"/>
    <mergeCell ref="G54:H54"/>
    <mergeCell ref="B55:D55"/>
    <mergeCell ref="G55:H55"/>
    <mergeCell ref="B56:D56"/>
    <mergeCell ref="G56:H56"/>
    <mergeCell ref="B57:D57"/>
    <mergeCell ref="G57:H57"/>
    <mergeCell ref="B58:D58"/>
    <mergeCell ref="G58:H58"/>
    <mergeCell ref="B59:D59"/>
    <mergeCell ref="G59:H59"/>
    <mergeCell ref="B60:D60"/>
    <mergeCell ref="G60:H60"/>
    <mergeCell ref="B61:D61"/>
    <mergeCell ref="G61:H61"/>
    <mergeCell ref="B62:D62"/>
    <mergeCell ref="G62:H62"/>
    <mergeCell ref="B63:D63"/>
    <mergeCell ref="G63:H63"/>
    <mergeCell ref="B65:M65"/>
    <mergeCell ref="B67:M67"/>
    <mergeCell ref="B86:M86"/>
    <mergeCell ref="B88:M88"/>
    <mergeCell ref="B89:M89"/>
    <mergeCell ref="B90:C90"/>
    <mergeCell ref="H90:I90"/>
    <mergeCell ref="B91:C91"/>
    <mergeCell ref="H91:I91"/>
    <mergeCell ref="B92:C92"/>
    <mergeCell ref="H92:I92"/>
    <mergeCell ref="B93:C93"/>
    <mergeCell ref="H93:I93"/>
    <mergeCell ref="B94:C94"/>
    <mergeCell ref="H94:I94"/>
    <mergeCell ref="B96:M96"/>
    <mergeCell ref="B97:C97"/>
    <mergeCell ref="H97:I97"/>
    <mergeCell ref="B98:C98"/>
    <mergeCell ref="H98:I98"/>
    <mergeCell ref="B99:C99"/>
    <mergeCell ref="H99:I99"/>
    <mergeCell ref="B100:C100"/>
    <mergeCell ref="H100:I100"/>
    <mergeCell ref="B101:C101"/>
    <mergeCell ref="H101:I101"/>
    <mergeCell ref="B102:C102"/>
    <mergeCell ref="B103:C103"/>
    <mergeCell ref="B104:C104"/>
    <mergeCell ref="B105:C105"/>
    <mergeCell ref="B106:C106"/>
    <mergeCell ref="B107:C107"/>
    <mergeCell ref="B109:F109"/>
    <mergeCell ref="B116:M116"/>
    <mergeCell ref="B117:C117"/>
    <mergeCell ref="H117:I117"/>
    <mergeCell ref="K117:M117"/>
    <mergeCell ref="B118:C118"/>
    <mergeCell ref="H118:I118"/>
    <mergeCell ref="K118:M118"/>
    <mergeCell ref="B119:C119"/>
    <mergeCell ref="H119:I119"/>
    <mergeCell ref="K119:M119"/>
    <mergeCell ref="B120:C120"/>
    <mergeCell ref="H120:I120"/>
    <mergeCell ref="K120:M120"/>
    <mergeCell ref="B121:C121"/>
    <mergeCell ref="H121:I121"/>
    <mergeCell ref="K121:M121"/>
    <mergeCell ref="B122:D122"/>
    <mergeCell ref="H122:M122"/>
    <mergeCell ref="B123:D123"/>
    <mergeCell ref="H123:M123"/>
    <mergeCell ref="B138:M138"/>
    <mergeCell ref="B140:M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62:C162"/>
    <mergeCell ref="B163:G163"/>
    <mergeCell ref="B164:G164"/>
    <mergeCell ref="I164:K164"/>
    <mergeCell ref="B179:M179"/>
    <mergeCell ref="B150:D150"/>
    <mergeCell ref="B151:D151"/>
    <mergeCell ref="B152:G152"/>
    <mergeCell ref="B156:M156"/>
    <mergeCell ref="B157:C157"/>
    <mergeCell ref="B158:C158"/>
    <mergeCell ref="B159:C159"/>
    <mergeCell ref="B160:C160"/>
    <mergeCell ref="B161:C161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C27"/>
  <sheetViews>
    <sheetView zoomScaleNormal="100" workbookViewId="0"/>
  </sheetViews>
  <sheetFormatPr defaultColWidth="8.6640625" defaultRowHeight="14.4" x14ac:dyDescent="0.3"/>
  <cols>
    <col min="1" max="1" width="56" customWidth="1"/>
    <col min="2" max="2" width="18" customWidth="1"/>
    <col min="3" max="3" width="60" customWidth="1"/>
  </cols>
  <sheetData>
    <row r="1" spans="1:3" ht="15.75" customHeight="1" x14ac:dyDescent="0.3">
      <c r="A1" s="16" t="s">
        <v>142</v>
      </c>
    </row>
    <row r="3" spans="1:3" ht="15" customHeight="1" x14ac:dyDescent="0.3">
      <c r="A3" s="17" t="s">
        <v>143</v>
      </c>
      <c r="B3" s="17" t="s">
        <v>21</v>
      </c>
      <c r="C3" s="17" t="s">
        <v>144</v>
      </c>
    </row>
    <row r="4" spans="1:3" ht="15" customHeight="1" x14ac:dyDescent="0.3">
      <c r="A4" s="18" t="s">
        <v>145</v>
      </c>
      <c r="B4" s="19">
        <f>SUMIFS(orders!H:H,orders!G:G,"Paid")+SUMIFS(orders!H:H,orders!G:G,"Refunded")</f>
        <v>19894293</v>
      </c>
      <c r="C4" s="18" t="s">
        <v>146</v>
      </c>
    </row>
    <row r="5" spans="1:3" ht="15" customHeight="1" x14ac:dyDescent="0.3">
      <c r="A5" s="18" t="s">
        <v>32</v>
      </c>
      <c r="B5" s="19">
        <f>-SUMIFS(orders!O:O,orders!N:N,"Paid, no payment")</f>
        <v>-67617</v>
      </c>
      <c r="C5" s="18" t="s">
        <v>147</v>
      </c>
    </row>
    <row r="6" spans="1:3" ht="15" customHeight="1" x14ac:dyDescent="0.3">
      <c r="A6" s="18" t="s">
        <v>34</v>
      </c>
      <c r="B6" s="19">
        <f>SUMIFS(orders!O:O,orders!N:N,"Amount difference")</f>
        <v>-3145</v>
      </c>
      <c r="C6" s="18" t="s">
        <v>148</v>
      </c>
    </row>
    <row r="7" spans="1:3" ht="15" customHeight="1" x14ac:dyDescent="0.3">
      <c r="A7" s="18" t="s">
        <v>41</v>
      </c>
      <c r="B7" s="19">
        <f>SUMIFS(orders!O:O,orders!N:N,"Duplicate charge")</f>
        <v>25539</v>
      </c>
      <c r="C7" s="18" t="s">
        <v>149</v>
      </c>
    </row>
    <row r="8" spans="1:3" ht="15" customHeight="1" x14ac:dyDescent="0.3">
      <c r="A8" s="18" t="s">
        <v>39</v>
      </c>
      <c r="B8" s="19">
        <f>SUMIFS(pg_transaction_cleaned!H:H,pg_transaction_cleaned!Q:Q,"NO ORDER")</f>
        <v>24992</v>
      </c>
      <c r="C8" s="18" t="s">
        <v>150</v>
      </c>
    </row>
    <row r="9" spans="1:3" ht="15" customHeight="1" x14ac:dyDescent="0.3">
      <c r="A9" s="18" t="s">
        <v>43</v>
      </c>
      <c r="B9" s="19">
        <f>SUMIFS(orders!O:O,orders!N:N,"Payment on failed/cancelled")</f>
        <v>28687</v>
      </c>
      <c r="C9" s="18" t="s">
        <v>147</v>
      </c>
    </row>
    <row r="10" spans="1:3" ht="15" customHeight="1" x14ac:dyDescent="0.3">
      <c r="A10" s="20" t="s">
        <v>151</v>
      </c>
      <c r="B10" s="21">
        <f>SUM(B4:B9)</f>
        <v>19902749</v>
      </c>
      <c r="C10" s="20" t="s">
        <v>152</v>
      </c>
    </row>
    <row r="11" spans="1:3" ht="15" customHeight="1" x14ac:dyDescent="0.3">
      <c r="A11" s="18" t="s">
        <v>153</v>
      </c>
      <c r="B11" s="19">
        <f>-SUMIFS(pg_transaction_cleaned!H:H,pg_transaction_cleaned!F:F,"REFUND")</f>
        <v>-893888</v>
      </c>
      <c r="C11" s="18" t="s">
        <v>154</v>
      </c>
    </row>
    <row r="12" spans="1:3" ht="15" customHeight="1" x14ac:dyDescent="0.3">
      <c r="A12" s="18" t="s">
        <v>155</v>
      </c>
      <c r="B12" s="19">
        <f>-SUM(mdr_check!H:H)</f>
        <v>-174385.11000000167</v>
      </c>
      <c r="C12" s="18" t="s">
        <v>156</v>
      </c>
    </row>
    <row r="13" spans="1:3" ht="15" customHeight="1" x14ac:dyDescent="0.3">
      <c r="A13" s="18" t="s">
        <v>157</v>
      </c>
      <c r="B13" s="19">
        <f>-SUM(mdr_check!K:K)</f>
        <v>-31391.199999999917</v>
      </c>
      <c r="C13" s="18" t="s">
        <v>158</v>
      </c>
    </row>
    <row r="14" spans="1:3" ht="15" customHeight="1" x14ac:dyDescent="0.3">
      <c r="A14" s="18" t="s">
        <v>159</v>
      </c>
      <c r="B14" s="19">
        <f>-SUM(mdr_check!L:L)</f>
        <v>-1185.1999999999996</v>
      </c>
      <c r="C14" s="18" t="s">
        <v>160</v>
      </c>
    </row>
    <row r="15" spans="1:3" ht="15" customHeight="1" x14ac:dyDescent="0.3">
      <c r="A15" s="20" t="s">
        <v>140</v>
      </c>
      <c r="B15" s="21">
        <f>B10+SUM(B11:B14)</f>
        <v>18801899.489999998</v>
      </c>
      <c r="C15" s="20" t="s">
        <v>152</v>
      </c>
    </row>
    <row r="16" spans="1:3" ht="15" customHeight="1" x14ac:dyDescent="0.3">
      <c r="A16" s="18" t="s">
        <v>161</v>
      </c>
      <c r="B16" s="19">
        <f>-SUMIFS(batch_recon!C:C,batch_recon!F:F,"Due in October")+SUMIFS(batch_recon!D:D,batch_recon!F:F,"Due in October")</f>
        <v>-1265526.8999999999</v>
      </c>
      <c r="C16" s="18" t="s">
        <v>162</v>
      </c>
    </row>
    <row r="17" spans="1:3" ht="15" customHeight="1" x14ac:dyDescent="0.3">
      <c r="A17" s="18" t="s">
        <v>163</v>
      </c>
      <c r="B17" s="19">
        <f>SUMIFS(batch_recon!D:D,batch_recon!F:F,"Missing")-SUMIFS(batch_recon!C:C,batch_recon!F:F,"Missing")</f>
        <v>-551074.03000000026</v>
      </c>
      <c r="C17" s="18" t="s">
        <v>162</v>
      </c>
    </row>
    <row r="18" spans="1:3" ht="15" customHeight="1" x14ac:dyDescent="0.3">
      <c r="A18" s="18" t="s">
        <v>164</v>
      </c>
      <c r="B18" s="19">
        <f>SUMIFS(batch_recon!D:D,batch_recon!F:F,"Short-paid")-SUMIFS(batch_recon!C:C,batch_recon!F:F,"Short-paid")</f>
        <v>-1250.0000000001164</v>
      </c>
      <c r="C18" s="18" t="s">
        <v>162</v>
      </c>
    </row>
    <row r="19" spans="1:3" ht="15" customHeight="1" x14ac:dyDescent="0.3">
      <c r="A19" s="20" t="s">
        <v>165</v>
      </c>
      <c r="B19" s="21">
        <f>B15+SUM(B16:B18)</f>
        <v>16984048.559999999</v>
      </c>
      <c r="C19" s="20" t="s">
        <v>152</v>
      </c>
    </row>
    <row r="21" spans="1:3" ht="15" customHeight="1" x14ac:dyDescent="0.3">
      <c r="A21" s="22" t="s">
        <v>166</v>
      </c>
    </row>
    <row r="22" spans="1:3" ht="15" customHeight="1" x14ac:dyDescent="0.3">
      <c r="A22" s="23" t="s">
        <v>167</v>
      </c>
      <c r="B22" s="24">
        <f>SUM(batch_recon!D2:D31)</f>
        <v>16984048.559999999</v>
      </c>
      <c r="C22" s="23" t="s">
        <v>162</v>
      </c>
    </row>
    <row r="23" spans="1:3" ht="15" customHeight="1" x14ac:dyDescent="0.3">
      <c r="A23" s="23" t="s">
        <v>168</v>
      </c>
      <c r="B23" s="24">
        <f>ROUND(B19-B22,2)</f>
        <v>0</v>
      </c>
    </row>
    <row r="24" spans="1:3" ht="15" customHeight="1" x14ac:dyDescent="0.3">
      <c r="A24" s="23" t="s">
        <v>169</v>
      </c>
      <c r="B24" s="24">
        <f>ROUND(B10-SUMIFS(pg_transaction_cleaned!H:H,pg_transaction_cleaned!F:F,"CAPTURE"),2)</f>
        <v>0</v>
      </c>
    </row>
    <row r="25" spans="1:3" ht="15" customHeight="1" x14ac:dyDescent="0.3">
      <c r="A25" s="23" t="s">
        <v>170</v>
      </c>
      <c r="B25" s="24">
        <f>ROUND(B15-SUM(pg_transaction_cleaned!K:K),2)</f>
        <v>0</v>
      </c>
    </row>
    <row r="26" spans="1:3" ht="15" customHeight="1" x14ac:dyDescent="0.3">
      <c r="A26" s="23" t="s">
        <v>171</v>
      </c>
      <c r="B26" s="24">
        <f>B4-B19</f>
        <v>2910244.4400000013</v>
      </c>
    </row>
    <row r="27" spans="1:3" ht="15" customHeight="1" x14ac:dyDescent="0.3">
      <c r="A27" s="22" t="s">
        <v>172</v>
      </c>
      <c r="B27" s="25">
        <f>ROUND((B19-B4)-(SUM(B5:B9)+B11+B12+B13+B14+SUM(B16:B18)),2)</f>
        <v>0</v>
      </c>
      <c r="C27" s="23" t="s">
        <v>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L3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4" width="16" customWidth="1"/>
    <col min="5" max="5" width="14" customWidth="1"/>
    <col min="6" max="6" width="16" customWidth="1"/>
    <col min="8" max="8" width="38" customWidth="1"/>
    <col min="9" max="11" width="16" customWidth="1"/>
    <col min="12" max="12" width="26" customWidth="1"/>
  </cols>
  <sheetData>
    <row r="1" spans="1:12" ht="15" customHeight="1" x14ac:dyDescent="0.3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H1" s="26" t="s">
        <v>180</v>
      </c>
    </row>
    <row r="2" spans="1:12" ht="15" customHeight="1" x14ac:dyDescent="0.3">
      <c r="A2" s="18" t="s">
        <v>181</v>
      </c>
      <c r="B2" s="27">
        <f t="shared" ref="B2:B31" si="0">DATE(MID(A2,5,4),MID(A2,9,2),RIGHT(A2,2))</f>
        <v>46268</v>
      </c>
      <c r="C2" s="19">
        <f>SUMIFS(pg_transaction_cleaned!$K:$K,pg_transaction_cleaned!$M:$M,A2)</f>
        <v>463778.55000000005</v>
      </c>
      <c r="D2" s="19">
        <f>SUMIFS(bank_statement_cleaned!$G:$G,bank_statement_cleaned!$H:$H,A2)</f>
        <v>463778.55</v>
      </c>
      <c r="E2" s="19">
        <f t="shared" ref="E2:E31" si="1">D2-C2</f>
        <v>0</v>
      </c>
      <c r="F2" s="18" t="str">
        <f>IF(B2&gt;DATE(2026,9,30),"Due in October",IF(COUNTIF(bank_statement_cleaned!$H:$H,A2)=0,"Missing",IF(ROUND(E2,2)=0,"Matched",IF(E2&lt;0,"Short-paid","Excess"))))</f>
        <v>Matched</v>
      </c>
      <c r="H2" s="17" t="s">
        <v>101</v>
      </c>
      <c r="I2" s="17" t="s">
        <v>182</v>
      </c>
      <c r="J2" s="17" t="s">
        <v>98</v>
      </c>
      <c r="K2" s="17" t="s">
        <v>99</v>
      </c>
      <c r="L2" s="17" t="s">
        <v>183</v>
      </c>
    </row>
    <row r="3" spans="1:12" ht="15" customHeight="1" x14ac:dyDescent="0.3">
      <c r="A3" s="18" t="s">
        <v>184</v>
      </c>
      <c r="B3" s="27">
        <f t="shared" si="0"/>
        <v>46269</v>
      </c>
      <c r="C3" s="19">
        <f>SUMIFS(pg_transaction_cleaned!$K:$K,pg_transaction_cleaned!$M:$M,A3)</f>
        <v>680913.82</v>
      </c>
      <c r="D3" s="19">
        <f>SUMIFS(bank_statement_cleaned!$G:$G,bank_statement_cleaned!$H:$H,A3)</f>
        <v>680913.82</v>
      </c>
      <c r="E3" s="19">
        <f t="shared" si="1"/>
        <v>0</v>
      </c>
      <c r="F3" s="18" t="str">
        <f>IF(B3&gt;DATE(2026,9,30),"Due in October",IF(COUNTIF(bank_statement_cleaned!$H:$H,A3)=0,"Missing",IF(ROUND(E3,2)=0,"Matched",IF(E3&lt;0,"Short-paid","Excess"))))</f>
        <v>Matched</v>
      </c>
      <c r="H3" s="18" t="s">
        <v>185</v>
      </c>
      <c r="I3" s="18">
        <f>COUNTIF($F$2:$F$31,H3)</f>
        <v>26</v>
      </c>
      <c r="J3" s="19">
        <f>SUMIF($F$2:$F$31,H3,$C$2:$C$31)</f>
        <v>16428886.570000002</v>
      </c>
      <c r="K3" s="19">
        <f>SUMIF($F$2:$F$31,H3,$D$2:$D$31)</f>
        <v>16428886.57</v>
      </c>
      <c r="L3" s="19">
        <f>K3-J3</f>
        <v>0</v>
      </c>
    </row>
    <row r="4" spans="1:12" ht="15" customHeight="1" x14ac:dyDescent="0.3">
      <c r="A4" s="18" t="s">
        <v>186</v>
      </c>
      <c r="B4" s="27">
        <f t="shared" si="0"/>
        <v>46270</v>
      </c>
      <c r="C4" s="19">
        <f>SUMIFS(pg_transaction_cleaned!$K:$K,pg_transaction_cleaned!$M:$M,A4)</f>
        <v>578249.99000000022</v>
      </c>
      <c r="D4" s="19">
        <f>SUMIFS(bank_statement_cleaned!$G:$G,bank_statement_cleaned!$H:$H,A4)</f>
        <v>578249.99</v>
      </c>
      <c r="E4" s="19">
        <f t="shared" si="1"/>
        <v>0</v>
      </c>
      <c r="F4" s="18" t="str">
        <f>IF(B4&gt;DATE(2026,9,30),"Due in October",IF(COUNTIF(bank_statement_cleaned!$H:$H,A4)=0,"Missing",IF(ROUND(E4,2)=0,"Matched",IF(E4&lt;0,"Short-paid","Excess"))))</f>
        <v>Matched</v>
      </c>
      <c r="H4" s="18" t="s">
        <v>187</v>
      </c>
      <c r="I4" s="18">
        <f>COUNTIF($F$2:$F$31,H4)</f>
        <v>1</v>
      </c>
      <c r="J4" s="19">
        <f>SUMIF($F$2:$F$31,H4,$C$2:$C$31)</f>
        <v>556411.99000000011</v>
      </c>
      <c r="K4" s="19">
        <f>SUMIF($F$2:$F$31,H4,$D$2:$D$31)</f>
        <v>555161.99</v>
      </c>
      <c r="L4" s="19">
        <f>K4-J4</f>
        <v>-1250.0000000001164</v>
      </c>
    </row>
    <row r="5" spans="1:12" ht="15" customHeight="1" x14ac:dyDescent="0.3">
      <c r="A5" s="18" t="s">
        <v>188</v>
      </c>
      <c r="B5" s="27">
        <f t="shared" si="0"/>
        <v>46271</v>
      </c>
      <c r="C5" s="19">
        <f>SUMIFS(pg_transaction_cleaned!$K:$K,pg_transaction_cleaned!$M:$M,A5)</f>
        <v>655139.18000000052</v>
      </c>
      <c r="D5" s="19">
        <f>SUMIFS(bank_statement_cleaned!$G:$G,bank_statement_cleaned!$H:$H,A5)</f>
        <v>655139.18000000005</v>
      </c>
      <c r="E5" s="19">
        <f t="shared" si="1"/>
        <v>0</v>
      </c>
      <c r="F5" s="18" t="str">
        <f>IF(B5&gt;DATE(2026,9,30),"Due in October",IF(COUNTIF(bank_statement_cleaned!$H:$H,A5)=0,"Missing",IF(ROUND(E5,2)=0,"Matched",IF(E5&lt;0,"Short-paid","Excess"))))</f>
        <v>Matched</v>
      </c>
      <c r="H5" s="18" t="s">
        <v>189</v>
      </c>
      <c r="I5" s="18">
        <f>COUNTIF($F$2:$F$31,H5)</f>
        <v>1</v>
      </c>
      <c r="J5" s="19">
        <f>SUMIF($F$2:$F$31,H5,$C$2:$C$31)</f>
        <v>551074.03000000026</v>
      </c>
      <c r="K5" s="19">
        <f>SUMIF($F$2:$F$31,H5,$D$2:$D$31)</f>
        <v>0</v>
      </c>
      <c r="L5" s="19">
        <f>K5-J5</f>
        <v>-551074.03000000026</v>
      </c>
    </row>
    <row r="6" spans="1:12" ht="15" customHeight="1" x14ac:dyDescent="0.3">
      <c r="A6" s="18" t="s">
        <v>190</v>
      </c>
      <c r="B6" s="27">
        <f t="shared" si="0"/>
        <v>46272</v>
      </c>
      <c r="C6" s="19">
        <f>SUMIFS(pg_transaction_cleaned!$K:$K,pg_transaction_cleaned!$M:$M,A6)</f>
        <v>614451.50000000012</v>
      </c>
      <c r="D6" s="19">
        <f>SUMIFS(bank_statement_cleaned!$G:$G,bank_statement_cleaned!$H:$H,A6)</f>
        <v>614451.5</v>
      </c>
      <c r="E6" s="19">
        <f t="shared" si="1"/>
        <v>0</v>
      </c>
      <c r="F6" s="18" t="str">
        <f>IF(B6&gt;DATE(2026,9,30),"Due in October",IF(COUNTIF(bank_statement_cleaned!$H:$H,A6)=0,"Missing",IF(ROUND(E6,2)=0,"Matched",IF(E6&lt;0,"Short-paid","Excess"))))</f>
        <v>Matched</v>
      </c>
      <c r="H6" s="18" t="s">
        <v>161</v>
      </c>
      <c r="I6" s="18">
        <f>COUNTIF($F$2:$F$31,H6)</f>
        <v>2</v>
      </c>
      <c r="J6" s="19">
        <f>SUMIF($F$2:$F$31,H6,$C$2:$C$31)</f>
        <v>1265526.8999999999</v>
      </c>
      <c r="K6" s="19">
        <f>SUMIF($F$2:$F$31,H6,$D$2:$D$31)</f>
        <v>0</v>
      </c>
      <c r="L6" s="19">
        <f>K6-J6</f>
        <v>-1265526.8999999999</v>
      </c>
    </row>
    <row r="7" spans="1:12" ht="15" customHeight="1" x14ac:dyDescent="0.3">
      <c r="A7" s="18" t="s">
        <v>191</v>
      </c>
      <c r="B7" s="27">
        <f t="shared" si="0"/>
        <v>46273</v>
      </c>
      <c r="C7" s="19">
        <f>SUMIFS(pg_transaction_cleaned!$K:$K,pg_transaction_cleaned!$M:$M,A7)</f>
        <v>704983.27000000025</v>
      </c>
      <c r="D7" s="19">
        <f>SUMIFS(bank_statement_cleaned!$G:$G,bank_statement_cleaned!$H:$H,A7)</f>
        <v>704983.27</v>
      </c>
      <c r="E7" s="19">
        <f t="shared" si="1"/>
        <v>0</v>
      </c>
      <c r="F7" s="18" t="str">
        <f>IF(B7&gt;DATE(2026,9,30),"Due in October",IF(COUNTIF(bank_statement_cleaned!$H:$H,A7)=0,"Missing",IF(ROUND(E7,2)=0,"Matched",IF(E7&lt;0,"Short-paid","Excess"))))</f>
        <v>Matched</v>
      </c>
      <c r="H7" s="18" t="s">
        <v>192</v>
      </c>
      <c r="I7" s="18">
        <f>COUNTIF($F$2:$F$31,H7)</f>
        <v>0</v>
      </c>
      <c r="J7" s="19">
        <f>SUMIF($F$2:$F$31,H7,$C$2:$C$31)</f>
        <v>0</v>
      </c>
      <c r="K7" s="19">
        <f>SUMIF($F$2:$F$31,H7,$D$2:$D$31)</f>
        <v>0</v>
      </c>
      <c r="L7" s="19">
        <f>K7-J7</f>
        <v>0</v>
      </c>
    </row>
    <row r="8" spans="1:12" ht="15" customHeight="1" x14ac:dyDescent="0.3">
      <c r="A8" s="18" t="s">
        <v>193</v>
      </c>
      <c r="B8" s="27">
        <f t="shared" si="0"/>
        <v>46274</v>
      </c>
      <c r="C8" s="19">
        <f>SUMIFS(pg_transaction_cleaned!$K:$K,pg_transaction_cleaned!$M:$M,A8)</f>
        <v>606316.51000000024</v>
      </c>
      <c r="D8" s="19">
        <f>SUMIFS(bank_statement_cleaned!$G:$G,bank_statement_cleaned!$H:$H,A8)</f>
        <v>606316.51</v>
      </c>
      <c r="E8" s="19">
        <f t="shared" si="1"/>
        <v>0</v>
      </c>
      <c r="F8" s="18" t="str">
        <f>IF(B8&gt;DATE(2026,9,30),"Due in October",IF(COUNTIF(bank_statement_cleaned!$H:$H,A8)=0,"Missing",IF(ROUND(E8,2)=0,"Matched",IF(E8&lt;0,"Short-paid","Excess"))))</f>
        <v>Matched</v>
      </c>
      <c r="H8" s="22" t="s">
        <v>127</v>
      </c>
      <c r="I8" s="28">
        <f>SUM(I3:I7)</f>
        <v>30</v>
      </c>
      <c r="J8" s="29">
        <f>SUM(J3:J7)</f>
        <v>18801899.490000002</v>
      </c>
      <c r="K8" s="29">
        <f>SUM(K3:K7)</f>
        <v>16984048.559999999</v>
      </c>
      <c r="L8" s="29">
        <f>SUM(L3:L7)</f>
        <v>-1817850.9300000002</v>
      </c>
    </row>
    <row r="9" spans="1:12" ht="15" customHeight="1" x14ac:dyDescent="0.3">
      <c r="A9" s="18" t="s">
        <v>194</v>
      </c>
      <c r="B9" s="27">
        <f t="shared" si="0"/>
        <v>46275</v>
      </c>
      <c r="C9" s="19">
        <f>SUMIFS(pg_transaction_cleaned!$K:$K,pg_transaction_cleaned!$M:$M,A9)</f>
        <v>740734.11999999976</v>
      </c>
      <c r="D9" s="19">
        <f>SUMIFS(bank_statement_cleaned!$G:$G,bank_statement_cleaned!$H:$H,A9)</f>
        <v>740734.12</v>
      </c>
      <c r="E9" s="19">
        <f t="shared" si="1"/>
        <v>0</v>
      </c>
      <c r="F9" s="18" t="str">
        <f>IF(B9&gt;DATE(2026,9,30),"Due in October",IF(COUNTIF(bank_statement_cleaned!$H:$H,A9)=0,"Missing",IF(ROUND(E9,2)=0,"Matched",IF(E9&lt;0,"Short-paid","Excess"))))</f>
        <v>Matched</v>
      </c>
    </row>
    <row r="10" spans="1:12" ht="15" customHeight="1" x14ac:dyDescent="0.3">
      <c r="A10" s="18" t="s">
        <v>106</v>
      </c>
      <c r="B10" s="27">
        <f t="shared" si="0"/>
        <v>46276</v>
      </c>
      <c r="C10" s="19">
        <f>SUMIFS(pg_transaction_cleaned!$K:$K,pg_transaction_cleaned!$M:$M,A10)</f>
        <v>556411.99000000011</v>
      </c>
      <c r="D10" s="19">
        <f>SUMIFS(bank_statement_cleaned!$G:$G,bank_statement_cleaned!$H:$H,A10)</f>
        <v>555161.99</v>
      </c>
      <c r="E10" s="19">
        <f t="shared" si="1"/>
        <v>-1250.0000000001164</v>
      </c>
      <c r="F10" s="18" t="str">
        <f>IF(B10&gt;DATE(2026,9,30),"Due in October",IF(COUNTIF(bank_statement_cleaned!$H:$H,A10)=0,"Missing",IF(ROUND(E10,2)=0,"Matched",IF(E10&lt;0,"Short-paid","Excess"))))</f>
        <v>Short-paid</v>
      </c>
    </row>
    <row r="11" spans="1:12" ht="15" customHeight="1" x14ac:dyDescent="0.3">
      <c r="A11" s="18" t="s">
        <v>104</v>
      </c>
      <c r="B11" s="27">
        <f t="shared" si="0"/>
        <v>46277</v>
      </c>
      <c r="C11" s="19">
        <f>SUMIFS(pg_transaction_cleaned!$K:$K,pg_transaction_cleaned!$M:$M,A11)</f>
        <v>551074.03000000026</v>
      </c>
      <c r="D11" s="19">
        <f>SUMIFS(bank_statement_cleaned!$G:$G,bank_statement_cleaned!$H:$H,A11)</f>
        <v>0</v>
      </c>
      <c r="E11" s="19">
        <f t="shared" si="1"/>
        <v>-551074.03000000026</v>
      </c>
      <c r="F11" s="18" t="str">
        <f>IF(B11&gt;DATE(2026,9,30),"Due in October",IF(COUNTIF(bank_statement_cleaned!$H:$H,A11)=0,"Missing",IF(ROUND(E11,2)=0,"Matched",IF(E11&lt;0,"Short-paid","Excess"))))</f>
        <v>Missing</v>
      </c>
      <c r="H11" s="26" t="s">
        <v>195</v>
      </c>
    </row>
    <row r="12" spans="1:12" ht="15" customHeight="1" x14ac:dyDescent="0.3">
      <c r="A12" s="18" t="s">
        <v>196</v>
      </c>
      <c r="B12" s="27">
        <f t="shared" si="0"/>
        <v>46278</v>
      </c>
      <c r="C12" s="19">
        <f>SUMIFS(pg_transaction_cleaned!$K:$K,pg_transaction_cleaned!$M:$M,A12)</f>
        <v>654313.30000000016</v>
      </c>
      <c r="D12" s="19">
        <f>SUMIFS(bank_statement_cleaned!$G:$G,bank_statement_cleaned!$H:$H,A12)</f>
        <v>654313.30000000005</v>
      </c>
      <c r="E12" s="19">
        <f t="shared" si="1"/>
        <v>0</v>
      </c>
      <c r="F12" s="18" t="str">
        <f>IF(B12&gt;DATE(2026,9,30),"Due in October",IF(COUNTIF(bank_statement_cleaned!$H:$H,A12)=0,"Missing",IF(ROUND(E12,2)=0,"Matched",IF(E12&lt;0,"Short-paid","Excess"))))</f>
        <v>Matched</v>
      </c>
      <c r="H12" s="17" t="s">
        <v>197</v>
      </c>
      <c r="I12" s="17" t="s">
        <v>198</v>
      </c>
      <c r="J12" s="17" t="s">
        <v>199</v>
      </c>
      <c r="K12" s="17" t="s">
        <v>101</v>
      </c>
    </row>
    <row r="13" spans="1:12" ht="15" customHeight="1" x14ac:dyDescent="0.3">
      <c r="A13" s="18" t="s">
        <v>200</v>
      </c>
      <c r="B13" s="27">
        <f t="shared" si="0"/>
        <v>46279</v>
      </c>
      <c r="C13" s="19">
        <f>SUMIFS(pg_transaction_cleaned!$K:$K,pg_transaction_cleaned!$M:$M,A13)</f>
        <v>596289.91000000015</v>
      </c>
      <c r="D13" s="19">
        <f>SUMIFS(bank_statement_cleaned!$G:$G,bank_statement_cleaned!$H:$H,A13)</f>
        <v>596289.91</v>
      </c>
      <c r="E13" s="19">
        <f t="shared" si="1"/>
        <v>0</v>
      </c>
      <c r="F13" s="18" t="str">
        <f>IF(B13&gt;DATE(2026,9,30),"Due in October",IF(COUNTIF(bank_statement_cleaned!$H:$H,A13)=0,"Missing",IF(ROUND(E13,2)=0,"Matched",IF(E13&lt;0,"Short-paid","Excess"))))</f>
        <v>Matched</v>
      </c>
      <c r="H13" s="18" t="s">
        <v>201</v>
      </c>
      <c r="I13" s="30">
        <f>COUNTA(A2:A31)</f>
        <v>30</v>
      </c>
      <c r="J13" s="31">
        <v>30</v>
      </c>
      <c r="K13" s="28" t="str">
        <f t="shared" ref="K13:K26" si="2">IF(ROUND(I13-J13,2)=0,"PASS","FAIL")</f>
        <v>PASS</v>
      </c>
    </row>
    <row r="14" spans="1:12" ht="15" customHeight="1" x14ac:dyDescent="0.3">
      <c r="A14" s="18" t="s">
        <v>202</v>
      </c>
      <c r="B14" s="27">
        <f t="shared" si="0"/>
        <v>46280</v>
      </c>
      <c r="C14" s="19">
        <f>SUMIFS(pg_transaction_cleaned!$K:$K,pg_transaction_cleaned!$M:$M,A14)</f>
        <v>773297.25000000058</v>
      </c>
      <c r="D14" s="19">
        <f>SUMIFS(bank_statement_cleaned!$G:$G,bank_statement_cleaned!$H:$H,A14)</f>
        <v>773297.25</v>
      </c>
      <c r="E14" s="19">
        <f t="shared" si="1"/>
        <v>0</v>
      </c>
      <c r="F14" s="18" t="str">
        <f>IF(B14&gt;DATE(2026,9,30),"Due in October",IF(COUNTIF(bank_statement_cleaned!$H:$H,A14)=0,"Missing",IF(ROUND(E14,2)=0,"Matched",IF(E14&lt;0,"Short-paid","Excess"))))</f>
        <v>Matched</v>
      </c>
      <c r="H14" s="18" t="s">
        <v>203</v>
      </c>
      <c r="I14" s="30">
        <f>I3</f>
        <v>26</v>
      </c>
      <c r="J14" s="31">
        <v>26</v>
      </c>
      <c r="K14" s="28" t="str">
        <f t="shared" si="2"/>
        <v>PASS</v>
      </c>
    </row>
    <row r="15" spans="1:12" ht="15" customHeight="1" x14ac:dyDescent="0.3">
      <c r="A15" s="18" t="s">
        <v>204</v>
      </c>
      <c r="B15" s="27">
        <f t="shared" si="0"/>
        <v>46281</v>
      </c>
      <c r="C15" s="19">
        <f>SUMIFS(pg_transaction_cleaned!$K:$K,pg_transaction_cleaned!$M:$M,A15)</f>
        <v>614772.67999999993</v>
      </c>
      <c r="D15" s="19">
        <f>SUMIFS(bank_statement_cleaned!$G:$G,bank_statement_cleaned!$H:$H,A15)</f>
        <v>614772.68000000005</v>
      </c>
      <c r="E15" s="19">
        <f t="shared" si="1"/>
        <v>0</v>
      </c>
      <c r="F15" s="18" t="str">
        <f>IF(B15&gt;DATE(2026,9,30),"Due in October",IF(COUNTIF(bank_statement_cleaned!$H:$H,A15)=0,"Missing",IF(ROUND(E15,2)=0,"Matched",IF(E15&lt;0,"Short-paid","Excess"))))</f>
        <v>Matched</v>
      </c>
      <c r="H15" s="18" t="s">
        <v>205</v>
      </c>
      <c r="I15" s="30">
        <f>I4</f>
        <v>1</v>
      </c>
      <c r="J15" s="31">
        <v>1</v>
      </c>
      <c r="K15" s="28" t="str">
        <f t="shared" si="2"/>
        <v>PASS</v>
      </c>
    </row>
    <row r="16" spans="1:12" ht="15" customHeight="1" x14ac:dyDescent="0.3">
      <c r="A16" s="18" t="s">
        <v>206</v>
      </c>
      <c r="B16" s="27">
        <f t="shared" si="0"/>
        <v>46282</v>
      </c>
      <c r="C16" s="19">
        <f>SUMIFS(pg_transaction_cleaned!$K:$K,pg_transaction_cleaned!$M:$M,A16)</f>
        <v>671270.49000000022</v>
      </c>
      <c r="D16" s="19">
        <f>SUMIFS(bank_statement_cleaned!$G:$G,bank_statement_cleaned!$H:$H,A16)</f>
        <v>671270.49</v>
      </c>
      <c r="E16" s="19">
        <f t="shared" si="1"/>
        <v>0</v>
      </c>
      <c r="F16" s="18" t="str">
        <f>IF(B16&gt;DATE(2026,9,30),"Due in October",IF(COUNTIF(bank_statement_cleaned!$H:$H,A16)=0,"Missing",IF(ROUND(E16,2)=0,"Matched",IF(E16&lt;0,"Short-paid","Excess"))))</f>
        <v>Matched</v>
      </c>
      <c r="H16" s="18" t="s">
        <v>207</v>
      </c>
      <c r="I16" s="30">
        <f>I5</f>
        <v>1</v>
      </c>
      <c r="J16" s="31">
        <v>1</v>
      </c>
      <c r="K16" s="28" t="str">
        <f t="shared" si="2"/>
        <v>PASS</v>
      </c>
    </row>
    <row r="17" spans="1:11" ht="15" customHeight="1" x14ac:dyDescent="0.3">
      <c r="A17" s="18" t="s">
        <v>208</v>
      </c>
      <c r="B17" s="27">
        <f t="shared" si="0"/>
        <v>46283</v>
      </c>
      <c r="C17" s="19">
        <f>SUMIFS(pg_transaction_cleaned!$K:$K,pg_transaction_cleaned!$M:$M,A17)</f>
        <v>589645.34999999963</v>
      </c>
      <c r="D17" s="19">
        <f>SUMIFS(bank_statement_cleaned!$G:$G,bank_statement_cleaned!$H:$H,A17)</f>
        <v>589645.35</v>
      </c>
      <c r="E17" s="19">
        <f t="shared" si="1"/>
        <v>0</v>
      </c>
      <c r="F17" s="18" t="str">
        <f>IF(B17&gt;DATE(2026,9,30),"Due in October",IF(COUNTIF(bank_statement_cleaned!$H:$H,A17)=0,"Missing",IF(ROUND(E17,2)=0,"Matched",IF(E17&lt;0,"Short-paid","Excess"))))</f>
        <v>Matched</v>
      </c>
      <c r="H17" s="18" t="s">
        <v>209</v>
      </c>
      <c r="I17" s="30">
        <f>I6</f>
        <v>2</v>
      </c>
      <c r="J17" s="31">
        <v>2</v>
      </c>
      <c r="K17" s="28" t="str">
        <f t="shared" si="2"/>
        <v>PASS</v>
      </c>
    </row>
    <row r="18" spans="1:11" ht="15" customHeight="1" x14ac:dyDescent="0.3">
      <c r="A18" s="18" t="s">
        <v>210</v>
      </c>
      <c r="B18" s="27">
        <f t="shared" si="0"/>
        <v>46284</v>
      </c>
      <c r="C18" s="19">
        <f>SUMIFS(pg_transaction_cleaned!$K:$K,pg_transaction_cleaned!$M:$M,A18)</f>
        <v>610773.29000000027</v>
      </c>
      <c r="D18" s="19">
        <f>SUMIFS(bank_statement_cleaned!$G:$G,bank_statement_cleaned!$H:$H,A18)</f>
        <v>610773.29</v>
      </c>
      <c r="E18" s="19">
        <f t="shared" si="1"/>
        <v>0</v>
      </c>
      <c r="F18" s="18" t="str">
        <f>IF(B18&gt;DATE(2026,9,30),"Due in October",IF(COUNTIF(bank_statement_cleaned!$H:$H,A18)=0,"Missing",IF(ROUND(E18,2)=0,"Matched",IF(E18&lt;0,"Short-paid","Excess"))))</f>
        <v>Matched</v>
      </c>
      <c r="H18" s="18" t="s">
        <v>211</v>
      </c>
      <c r="I18" s="30">
        <f>I7</f>
        <v>0</v>
      </c>
      <c r="J18" s="31">
        <v>0</v>
      </c>
      <c r="K18" s="28" t="str">
        <f t="shared" si="2"/>
        <v>PASS</v>
      </c>
    </row>
    <row r="19" spans="1:11" ht="15" customHeight="1" x14ac:dyDescent="0.3">
      <c r="A19" s="18" t="s">
        <v>212</v>
      </c>
      <c r="B19" s="27">
        <f t="shared" si="0"/>
        <v>46285</v>
      </c>
      <c r="C19" s="19">
        <f>SUMIFS(pg_transaction_cleaned!$K:$K,pg_transaction_cleaned!$M:$M,A19)</f>
        <v>548940.40999999992</v>
      </c>
      <c r="D19" s="19">
        <f>SUMIFS(bank_statement_cleaned!$G:$G,bank_statement_cleaned!$H:$H,A19)</f>
        <v>548940.41</v>
      </c>
      <c r="E19" s="19">
        <f t="shared" si="1"/>
        <v>0</v>
      </c>
      <c r="F19" s="18" t="str">
        <f>IF(B19&gt;DATE(2026,9,30),"Due in October",IF(COUNTIF(bank_statement_cleaned!$H:$H,A19)=0,"Missing",IF(ROUND(E19,2)=0,"Matched",IF(E19&lt;0,"Short-paid","Excess"))))</f>
        <v>Matched</v>
      </c>
      <c r="H19" s="18" t="s">
        <v>213</v>
      </c>
      <c r="I19" s="32">
        <f>ROUND(-L4,2)</f>
        <v>1250</v>
      </c>
      <c r="J19" s="33">
        <v>1250</v>
      </c>
      <c r="K19" s="28" t="str">
        <f t="shared" si="2"/>
        <v>PASS</v>
      </c>
    </row>
    <row r="20" spans="1:11" ht="15" customHeight="1" x14ac:dyDescent="0.3">
      <c r="A20" s="18" t="s">
        <v>214</v>
      </c>
      <c r="B20" s="27">
        <f t="shared" si="0"/>
        <v>46286</v>
      </c>
      <c r="C20" s="19">
        <f>SUMIFS(pg_transaction_cleaned!$K:$K,pg_transaction_cleaned!$M:$M,A20)</f>
        <v>592258.60999999987</v>
      </c>
      <c r="D20" s="19">
        <f>SUMIFS(bank_statement_cleaned!$G:$G,bank_statement_cleaned!$H:$H,A20)</f>
        <v>592258.61</v>
      </c>
      <c r="E20" s="19">
        <f t="shared" si="1"/>
        <v>0</v>
      </c>
      <c r="F20" s="18" t="str">
        <f>IF(B20&gt;DATE(2026,9,30),"Due in October",IF(COUNTIF(bank_statement_cleaned!$H:$H,A20)=0,"Missing",IF(ROUND(E20,2)=0,"Matched",IF(E20&lt;0,"Short-paid","Excess"))))</f>
        <v>Matched</v>
      </c>
      <c r="H20" s="18" t="s">
        <v>215</v>
      </c>
      <c r="I20" s="32">
        <f>ROUND(J5,2)</f>
        <v>551074.03</v>
      </c>
      <c r="J20" s="33">
        <v>551074.03</v>
      </c>
      <c r="K20" s="28" t="str">
        <f t="shared" si="2"/>
        <v>PASS</v>
      </c>
    </row>
    <row r="21" spans="1:11" ht="15" customHeight="1" x14ac:dyDescent="0.3">
      <c r="A21" s="18" t="s">
        <v>216</v>
      </c>
      <c r="B21" s="27">
        <f t="shared" si="0"/>
        <v>46287</v>
      </c>
      <c r="C21" s="19">
        <f>SUMIFS(pg_transaction_cleaned!$K:$K,pg_transaction_cleaned!$M:$M,A21)</f>
        <v>584876.78000000014</v>
      </c>
      <c r="D21" s="19">
        <f>SUMIFS(bank_statement_cleaned!$G:$G,bank_statement_cleaned!$H:$H,A21)</f>
        <v>584876.78</v>
      </c>
      <c r="E21" s="19">
        <f t="shared" si="1"/>
        <v>0</v>
      </c>
      <c r="F21" s="18" t="str">
        <f>IF(B21&gt;DATE(2026,9,30),"Due in October",IF(COUNTIF(bank_statement_cleaned!$H:$H,A21)=0,"Missing",IF(ROUND(E21,2)=0,"Matched",IF(E21&lt;0,"Short-paid","Excess"))))</f>
        <v>Matched</v>
      </c>
      <c r="H21" s="18" t="s">
        <v>217</v>
      </c>
      <c r="I21" s="32">
        <f>ROUND(J6,2)</f>
        <v>1265526.8999999999</v>
      </c>
      <c r="J21" s="33">
        <v>1265526.8999999999</v>
      </c>
      <c r="K21" s="28" t="str">
        <f t="shared" si="2"/>
        <v>PASS</v>
      </c>
    </row>
    <row r="22" spans="1:11" ht="15" customHeight="1" x14ac:dyDescent="0.3">
      <c r="A22" s="18" t="s">
        <v>218</v>
      </c>
      <c r="B22" s="27">
        <f t="shared" si="0"/>
        <v>46288</v>
      </c>
      <c r="C22" s="19">
        <f>SUMIFS(pg_transaction_cleaned!$K:$K,pg_transaction_cleaned!$M:$M,A22)</f>
        <v>590273.39000000025</v>
      </c>
      <c r="D22" s="19">
        <f>SUMIFS(bank_statement_cleaned!$G:$G,bank_statement_cleaned!$H:$H,A22)</f>
        <v>590273.39</v>
      </c>
      <c r="E22" s="19">
        <f t="shared" si="1"/>
        <v>0</v>
      </c>
      <c r="F22" s="18" t="str">
        <f>IF(B22&gt;DATE(2026,9,30),"Due in October",IF(COUNTIF(bank_statement_cleaned!$H:$H,A22)=0,"Missing",IF(ROUND(E22,2)=0,"Matched",IF(E22&lt;0,"Short-paid","Excess"))))</f>
        <v>Matched</v>
      </c>
      <c r="H22" s="18" t="s">
        <v>219</v>
      </c>
      <c r="I22" s="32">
        <f>ROUND(C32,2)</f>
        <v>18801899.489999998</v>
      </c>
      <c r="J22" s="33">
        <v>18801899.489999998</v>
      </c>
      <c r="K22" s="28" t="str">
        <f t="shared" si="2"/>
        <v>PASS</v>
      </c>
    </row>
    <row r="23" spans="1:11" ht="15" customHeight="1" x14ac:dyDescent="0.3">
      <c r="A23" s="18" t="s">
        <v>220</v>
      </c>
      <c r="B23" s="27">
        <f t="shared" si="0"/>
        <v>46289</v>
      </c>
      <c r="C23" s="19">
        <f>SUMIFS(pg_transaction_cleaned!$K:$K,pg_transaction_cleaned!$M:$M,A23)</f>
        <v>540644.2200000002</v>
      </c>
      <c r="D23" s="19">
        <f>SUMIFS(bank_statement_cleaned!$G:$G,bank_statement_cleaned!$H:$H,A23)</f>
        <v>540644.22</v>
      </c>
      <c r="E23" s="19">
        <f t="shared" si="1"/>
        <v>0</v>
      </c>
      <c r="F23" s="18" t="str">
        <f>IF(B23&gt;DATE(2026,9,30),"Due in October",IF(COUNTIF(bank_statement_cleaned!$H:$H,A23)=0,"Missing",IF(ROUND(E23,2)=0,"Matched",IF(E23&lt;0,"Short-paid","Excess"))))</f>
        <v>Matched</v>
      </c>
      <c r="H23" s="18" t="s">
        <v>221</v>
      </c>
      <c r="I23" s="34">
        <f>ROUND(C32-SUM(pg_transaction_cleaned!$K:$K),2)</f>
        <v>0</v>
      </c>
      <c r="J23" s="35">
        <v>0</v>
      </c>
      <c r="K23" s="28" t="str">
        <f t="shared" si="2"/>
        <v>PASS</v>
      </c>
    </row>
    <row r="24" spans="1:11" ht="15" customHeight="1" x14ac:dyDescent="0.3">
      <c r="A24" s="18" t="s">
        <v>222</v>
      </c>
      <c r="B24" s="27">
        <f t="shared" si="0"/>
        <v>46290</v>
      </c>
      <c r="C24" s="19">
        <f>SUMIFS(pg_transaction_cleaned!$K:$K,pg_transaction_cleaned!$M:$M,A24)</f>
        <v>594966.58999999985</v>
      </c>
      <c r="D24" s="19">
        <f>SUMIFS(bank_statement_cleaned!$G:$G,bank_statement_cleaned!$H:$H,A24)</f>
        <v>594966.59</v>
      </c>
      <c r="E24" s="19">
        <f t="shared" si="1"/>
        <v>0</v>
      </c>
      <c r="F24" s="18" t="str">
        <f>IF(B24&gt;DATE(2026,9,30),"Due in October",IF(COUNTIF(bank_statement_cleaned!$H:$H,A24)=0,"Missing",IF(ROUND(E24,2)=0,"Matched",IF(E24&lt;0,"Short-paid","Excess"))))</f>
        <v>Matched</v>
      </c>
      <c r="H24" s="18" t="s">
        <v>223</v>
      </c>
      <c r="I24" s="32">
        <f>ROUND(D32,2)</f>
        <v>16984048.559999999</v>
      </c>
      <c r="J24" s="33">
        <v>16984048.559999999</v>
      </c>
      <c r="K24" s="28" t="str">
        <f t="shared" si="2"/>
        <v>PASS</v>
      </c>
    </row>
    <row r="25" spans="1:11" ht="15" customHeight="1" x14ac:dyDescent="0.3">
      <c r="A25" s="18" t="s">
        <v>224</v>
      </c>
      <c r="B25" s="27">
        <f t="shared" si="0"/>
        <v>46291</v>
      </c>
      <c r="C25" s="19">
        <f>SUMIFS(pg_transaction_cleaned!$K:$K,pg_transaction_cleaned!$M:$M,A25)</f>
        <v>711251.32000000007</v>
      </c>
      <c r="D25" s="19">
        <f>SUMIFS(bank_statement_cleaned!$G:$G,bank_statement_cleaned!$H:$H,A25)</f>
        <v>711251.32</v>
      </c>
      <c r="E25" s="19">
        <f t="shared" si="1"/>
        <v>0</v>
      </c>
      <c r="F25" s="18" t="str">
        <f>IF(B25&gt;DATE(2026,9,30),"Due in October",IF(COUNTIF(bank_statement_cleaned!$H:$H,A25)=0,"Missing",IF(ROUND(E25,2)=0,"Matched",IF(E25&lt;0,"Short-paid","Excess"))))</f>
        <v>Matched</v>
      </c>
      <c r="H25" s="18" t="s">
        <v>225</v>
      </c>
      <c r="I25" s="34">
        <f>ROUND(D32-SUMIF(bank_statement_cleaned!$I:$I,"Gateway",bank_statement_cleaned!$G:$G),2)</f>
        <v>0</v>
      </c>
      <c r="J25" s="35">
        <v>0</v>
      </c>
      <c r="K25" s="28" t="str">
        <f t="shared" si="2"/>
        <v>PASS</v>
      </c>
    </row>
    <row r="26" spans="1:11" ht="15" customHeight="1" x14ac:dyDescent="0.3">
      <c r="A26" s="18" t="s">
        <v>226</v>
      </c>
      <c r="B26" s="27">
        <f t="shared" si="0"/>
        <v>46292</v>
      </c>
      <c r="C26" s="19">
        <f>SUMIFS(pg_transaction_cleaned!$K:$K,pg_transaction_cleaned!$M:$M,A26)</f>
        <v>805057.10000000056</v>
      </c>
      <c r="D26" s="19">
        <f>SUMIFS(bank_statement_cleaned!$G:$G,bank_statement_cleaned!$H:$H,A26)</f>
        <v>805057.1</v>
      </c>
      <c r="E26" s="19">
        <f t="shared" si="1"/>
        <v>0</v>
      </c>
      <c r="F26" s="18" t="str">
        <f>IF(B26&gt;DATE(2026,9,30),"Due in October",IF(COUNTIF(bank_statement_cleaned!$H:$H,A26)=0,"Missing",IF(ROUND(E26,2)=0,"Matched",IF(E26&lt;0,"Short-paid","Excess"))))</f>
        <v>Matched</v>
      </c>
      <c r="H26" s="18" t="s">
        <v>227</v>
      </c>
      <c r="I26" s="34">
        <f>ROUND((C32-D32)-(-L4+J5+J6),2)</f>
        <v>0</v>
      </c>
      <c r="J26" s="35">
        <v>0</v>
      </c>
      <c r="K26" s="28" t="str">
        <f t="shared" si="2"/>
        <v>PASS</v>
      </c>
    </row>
    <row r="27" spans="1:11" ht="15" customHeight="1" x14ac:dyDescent="0.3">
      <c r="A27" s="18" t="s">
        <v>228</v>
      </c>
      <c r="B27" s="27">
        <f t="shared" si="0"/>
        <v>46293</v>
      </c>
      <c r="C27" s="19">
        <f>SUMIFS(pg_transaction_cleaned!$K:$K,pg_transaction_cleaned!$M:$M,A27)</f>
        <v>569672.42999999959</v>
      </c>
      <c r="D27" s="19">
        <f>SUMIFS(bank_statement_cleaned!$G:$G,bank_statement_cleaned!$H:$H,A27)</f>
        <v>569672.43000000005</v>
      </c>
      <c r="E27" s="19">
        <f t="shared" si="1"/>
        <v>0</v>
      </c>
      <c r="F27" s="18" t="str">
        <f>IF(B27&gt;DATE(2026,9,30),"Due in October",IF(COUNTIF(bank_statement_cleaned!$H:$H,A27)=0,"Missing",IF(ROUND(E27,2)=0,"Matched",IF(E27&lt;0,"Short-paid","Excess"))))</f>
        <v>Matched</v>
      </c>
    </row>
    <row r="28" spans="1:11" ht="15" customHeight="1" x14ac:dyDescent="0.3">
      <c r="A28" s="18" t="s">
        <v>229</v>
      </c>
      <c r="B28" s="27">
        <f t="shared" si="0"/>
        <v>46294</v>
      </c>
      <c r="C28" s="19">
        <f>SUMIFS(pg_transaction_cleaned!$K:$K,pg_transaction_cleaned!$M:$M,A28)</f>
        <v>641930.7300000008</v>
      </c>
      <c r="D28" s="19">
        <f>SUMIFS(bank_statement_cleaned!$G:$G,bank_statement_cleaned!$H:$H,A28)</f>
        <v>641930.73</v>
      </c>
      <c r="E28" s="19">
        <f t="shared" si="1"/>
        <v>0</v>
      </c>
      <c r="F28" s="18" t="str">
        <f>IF(B28&gt;DATE(2026,9,30),"Due in October",IF(COUNTIF(bank_statement_cleaned!$H:$H,A28)=0,"Missing",IF(ROUND(E28,2)=0,"Matched",IF(E28&lt;0,"Short-paid","Excess"))))</f>
        <v>Matched</v>
      </c>
      <c r="H28" s="22" t="s">
        <v>230</v>
      </c>
      <c r="I28" s="22" t="str">
        <f>COUNTIF(K13:K26,"PASS")&amp;" of "&amp;COUNTA(K13:K26)</f>
        <v>14 of 14</v>
      </c>
    </row>
    <row r="29" spans="1:11" ht="15" customHeight="1" x14ac:dyDescent="0.3">
      <c r="A29" s="18" t="s">
        <v>231</v>
      </c>
      <c r="B29" s="27">
        <f t="shared" si="0"/>
        <v>46295</v>
      </c>
      <c r="C29" s="19">
        <f>SUMIFS(pg_transaction_cleaned!$K:$K,pg_transaction_cleaned!$M:$M,A29)</f>
        <v>694085.78</v>
      </c>
      <c r="D29" s="19">
        <f>SUMIFS(bank_statement_cleaned!$G:$G,bank_statement_cleaned!$H:$H,A29)</f>
        <v>694085.78</v>
      </c>
      <c r="E29" s="19">
        <f t="shared" si="1"/>
        <v>0</v>
      </c>
      <c r="F29" s="18" t="str">
        <f>IF(B29&gt;DATE(2026,9,30),"Due in October",IF(COUNTIF(bank_statement_cleaned!$H:$H,A29)=0,"Missing",IF(ROUND(E29,2)=0,"Matched",IF(E29&lt;0,"Short-paid","Excess"))))</f>
        <v>Matched</v>
      </c>
    </row>
    <row r="30" spans="1:11" ht="15" customHeight="1" x14ac:dyDescent="0.3">
      <c r="A30" s="18" t="s">
        <v>108</v>
      </c>
      <c r="B30" s="27">
        <f t="shared" si="0"/>
        <v>46296</v>
      </c>
      <c r="C30" s="19">
        <f>SUMIFS(pg_transaction_cleaned!$K:$K,pg_transaction_cleaned!$M:$M,A30)</f>
        <v>650622.70000000019</v>
      </c>
      <c r="D30" s="19">
        <f>SUMIFS(bank_statement_cleaned!$G:$G,bank_statement_cleaned!$H:$H,A30)</f>
        <v>0</v>
      </c>
      <c r="E30" s="19">
        <f t="shared" si="1"/>
        <v>-650622.70000000019</v>
      </c>
      <c r="F30" s="18" t="str">
        <f>IF(B30&gt;DATE(2026,9,30),"Due in October",IF(COUNTIF(bank_statement_cleaned!$H:$H,A30)=0,"Missing",IF(ROUND(E30,2)=0,"Matched",IF(E30&lt;0,"Short-paid","Excess"))))</f>
        <v>Due in October</v>
      </c>
    </row>
    <row r="31" spans="1:11" ht="15" customHeight="1" x14ac:dyDescent="0.3">
      <c r="A31" s="18" t="s">
        <v>110</v>
      </c>
      <c r="B31" s="27">
        <f t="shared" si="0"/>
        <v>46297</v>
      </c>
      <c r="C31" s="19">
        <f>SUMIFS(pg_transaction_cleaned!$K:$K,pg_transaction_cleaned!$M:$M,A31)</f>
        <v>614904.19999999972</v>
      </c>
      <c r="D31" s="19">
        <f>SUMIFS(bank_statement_cleaned!$G:$G,bank_statement_cleaned!$H:$H,A31)</f>
        <v>0</v>
      </c>
      <c r="E31" s="19">
        <f t="shared" si="1"/>
        <v>-614904.19999999972</v>
      </c>
      <c r="F31" s="18" t="str">
        <f>IF(B31&gt;DATE(2026,9,30),"Due in October",IF(COUNTIF(bank_statement_cleaned!$H:$H,A31)=0,"Missing",IF(ROUND(E31,2)=0,"Matched",IF(E31&lt;0,"Short-paid","Excess"))))</f>
        <v>Due in October</v>
      </c>
    </row>
    <row r="32" spans="1:11" ht="15" customHeight="1" x14ac:dyDescent="0.3">
      <c r="A32" s="22" t="s">
        <v>127</v>
      </c>
      <c r="C32" s="25">
        <f>SUM(C2:C31)</f>
        <v>18801899.490000006</v>
      </c>
      <c r="D32" s="25">
        <f>SUM(D2:D31)</f>
        <v>16984048.559999999</v>
      </c>
      <c r="E32" s="25">
        <f>SUM(E2:E31)</f>
        <v>-1817850.9300000002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3" customWidth="1"/>
    <col min="4" max="4" width="12" customWidth="1"/>
    <col min="5" max="5" width="15" customWidth="1"/>
    <col min="6" max="7" width="13" customWidth="1"/>
    <col min="8" max="8" width="19" customWidth="1"/>
    <col min="9" max="10" width="13" customWidth="1"/>
    <col min="11" max="11" width="14" customWidth="1"/>
    <col min="12" max="12" width="13" customWidth="1"/>
    <col min="13" max="13" width="14" customWidth="1"/>
    <col min="14" max="14" width="26" customWidth="1"/>
    <col min="15" max="15" width="15" customWidth="1"/>
  </cols>
  <sheetData>
    <row r="1" spans="1:15" ht="23.25" customHeight="1" x14ac:dyDescent="0.3">
      <c r="A1" s="17" t="s">
        <v>232</v>
      </c>
      <c r="B1" s="17" t="s">
        <v>233</v>
      </c>
      <c r="C1" s="17" t="s">
        <v>234</v>
      </c>
      <c r="D1" s="17" t="s">
        <v>235</v>
      </c>
      <c r="E1" s="17" t="s">
        <v>236</v>
      </c>
      <c r="F1" s="17" t="s">
        <v>237</v>
      </c>
      <c r="G1" s="17" t="s">
        <v>238</v>
      </c>
      <c r="H1" s="36" t="s">
        <v>239</v>
      </c>
      <c r="I1" s="36" t="s">
        <v>240</v>
      </c>
      <c r="J1" s="37" t="s">
        <v>241</v>
      </c>
      <c r="K1" s="37" t="s">
        <v>242</v>
      </c>
      <c r="L1" s="37" t="s">
        <v>243</v>
      </c>
      <c r="M1" s="37" t="s">
        <v>244</v>
      </c>
      <c r="N1" s="37" t="s">
        <v>245</v>
      </c>
      <c r="O1" s="37" t="s">
        <v>246</v>
      </c>
    </row>
    <row r="2" spans="1:15" ht="15" customHeight="1" x14ac:dyDescent="0.3">
      <c r="A2" s="23" t="s">
        <v>247</v>
      </c>
      <c r="B2" s="38">
        <v>46286</v>
      </c>
      <c r="C2" s="23" t="s">
        <v>248</v>
      </c>
      <c r="D2" s="23" t="s">
        <v>91</v>
      </c>
      <c r="E2" s="23" t="s">
        <v>75</v>
      </c>
      <c r="F2" s="23" t="s">
        <v>249</v>
      </c>
      <c r="G2" s="23" t="s">
        <v>250</v>
      </c>
      <c r="H2" s="39">
        <f t="shared" ref="H2:H65" si="0">VALUE(SUBSTITUTE(F2,",",""))</f>
        <v>299</v>
      </c>
      <c r="I2" s="23" t="str">
        <f t="shared" ref="I2:I65" si="1">IF(TRIM(D2)="","Unknown",TRIM(D2))</f>
        <v>Pune</v>
      </c>
      <c r="J2" s="23">
        <f>COUNTIFS(pg_transaction_cleaned!$O:$O,A2,pg_transaction_cleaned!$F:$F,"CAPTURE")</f>
        <v>1</v>
      </c>
      <c r="K2" s="39">
        <f>SUMIFS(pg_transaction_cleaned!$H:$H,pg_transaction_cleaned!$O:$O,A2,pg_transaction_cleaned!$F:$F,"CAPTURE")</f>
        <v>299</v>
      </c>
      <c r="L2" s="23">
        <f>COUNTIFS(pg_transaction_cleaned!$O:$O,A2,pg_transaction_cleaned!$F:$F,"REFUND")</f>
        <v>0</v>
      </c>
      <c r="M2" s="39">
        <f>SUMIFS(pg_transaction_cleaned!$H:$H,pg_transaction_cleaned!$O:$O,A2,pg_transaction_cleaned!$F:$F,"REFUND")</f>
        <v>0</v>
      </c>
      <c r="N2" s="23" t="str">
        <f t="shared" ref="N2:N65" si="2">IF(AND(G2="Paid",J2=0),"Paid, no payment",IF(AND(OR(G2="Failed",G2="Cancelled"),J2&gt;0),"Payment on failed/cancelled",IF(J2&gt;1,"Duplicate charge",IF(AND(J2=1,ROUND(K2-H2,2)&lt;&gt;0),"Amount difference",IF(AND(G2="Refunded",L2=0),"Refunded, no refund",IF(AND(G2&lt;&gt;"Refunded",L2&gt;0),"Refund, order not Refunded",IF(AND(L2&gt;0,ROUND(M2-H2,2)&lt;&gt;0),"Refund amount differs","OK")))))))</f>
        <v>OK</v>
      </c>
      <c r="O2" s="24">
        <f t="shared" ref="O2:O65" si="3">IF(N2="OK",0,IF(N2="Paid, no payment",H2,IF(N2="Payment on failed/cancelled",K2,IF(OR(N2="Duplicate charge",N2="Amount difference"),K2-H2,IF(N2="Refunded, no refund",H2,M2)))))</f>
        <v>0</v>
      </c>
    </row>
    <row r="3" spans="1:15" ht="15" customHeight="1" x14ac:dyDescent="0.3">
      <c r="A3" s="23" t="s">
        <v>251</v>
      </c>
      <c r="B3" s="38">
        <v>46287</v>
      </c>
      <c r="C3" s="23" t="s">
        <v>252</v>
      </c>
      <c r="D3" s="23" t="s">
        <v>95</v>
      </c>
      <c r="E3" s="23" t="s">
        <v>75</v>
      </c>
      <c r="F3" s="23" t="s">
        <v>253</v>
      </c>
      <c r="G3" s="23" t="s">
        <v>250</v>
      </c>
      <c r="H3" s="39">
        <f t="shared" si="0"/>
        <v>4647</v>
      </c>
      <c r="I3" s="23" t="str">
        <f t="shared" si="1"/>
        <v>Bengaluru</v>
      </c>
      <c r="J3" s="23">
        <f>COUNTIFS(pg_transaction_cleaned!$O:$O,A3,pg_transaction_cleaned!$F:$F,"CAPTURE")</f>
        <v>1</v>
      </c>
      <c r="K3" s="39">
        <f>SUMIFS(pg_transaction_cleaned!$H:$H,pg_transaction_cleaned!$O:$O,A3,pg_transaction_cleaned!$F:$F,"CAPTURE")</f>
        <v>4647</v>
      </c>
      <c r="L3" s="23">
        <f>COUNTIFS(pg_transaction_cleaned!$O:$O,A3,pg_transaction_cleaned!$F:$F,"REFUND")</f>
        <v>0</v>
      </c>
      <c r="M3" s="39">
        <f>SUMIFS(pg_transaction_cleaned!$H:$H,pg_transaction_cleaned!$O:$O,A3,pg_transaction_cleaned!$F:$F,"REFUND")</f>
        <v>0</v>
      </c>
      <c r="N3" s="23" t="str">
        <f t="shared" si="2"/>
        <v>OK</v>
      </c>
      <c r="O3" s="24">
        <f t="shared" si="3"/>
        <v>0</v>
      </c>
    </row>
    <row r="4" spans="1:15" ht="15" customHeight="1" x14ac:dyDescent="0.3">
      <c r="A4" s="23" t="s">
        <v>254</v>
      </c>
      <c r="B4" s="38">
        <v>46282</v>
      </c>
      <c r="C4" s="23" t="s">
        <v>255</v>
      </c>
      <c r="D4" s="23" t="s">
        <v>93</v>
      </c>
      <c r="E4" s="23" t="s">
        <v>79</v>
      </c>
      <c r="F4" s="23" t="s">
        <v>256</v>
      </c>
      <c r="G4" s="23" t="s">
        <v>250</v>
      </c>
      <c r="H4" s="39">
        <f t="shared" si="0"/>
        <v>2098</v>
      </c>
      <c r="I4" s="23" t="str">
        <f t="shared" si="1"/>
        <v>Kolkata</v>
      </c>
      <c r="J4" s="23">
        <f>COUNTIFS(pg_transaction_cleaned!$O:$O,A4,pg_transaction_cleaned!$F:$F,"CAPTURE")</f>
        <v>1</v>
      </c>
      <c r="K4" s="39">
        <f>SUMIFS(pg_transaction_cleaned!$H:$H,pg_transaction_cleaned!$O:$O,A4,pg_transaction_cleaned!$F:$F,"CAPTURE")</f>
        <v>2098</v>
      </c>
      <c r="L4" s="23">
        <f>COUNTIFS(pg_transaction_cleaned!$O:$O,A4,pg_transaction_cleaned!$F:$F,"REFUND")</f>
        <v>0</v>
      </c>
      <c r="M4" s="39">
        <f>SUMIFS(pg_transaction_cleaned!$H:$H,pg_transaction_cleaned!$O:$O,A4,pg_transaction_cleaned!$F:$F,"REFUND")</f>
        <v>0</v>
      </c>
      <c r="N4" s="23" t="str">
        <f t="shared" si="2"/>
        <v>OK</v>
      </c>
      <c r="O4" s="24">
        <f t="shared" si="3"/>
        <v>0</v>
      </c>
    </row>
    <row r="5" spans="1:15" ht="15" customHeight="1" x14ac:dyDescent="0.3">
      <c r="A5" s="23" t="s">
        <v>257</v>
      </c>
      <c r="B5" s="38">
        <v>46273</v>
      </c>
      <c r="C5" s="23" t="s">
        <v>258</v>
      </c>
      <c r="D5" s="23" t="s">
        <v>93</v>
      </c>
      <c r="E5" s="23" t="s">
        <v>75</v>
      </c>
      <c r="F5" s="23" t="s">
        <v>259</v>
      </c>
      <c r="G5" s="23" t="s">
        <v>250</v>
      </c>
      <c r="H5" s="39">
        <f t="shared" si="0"/>
        <v>3298</v>
      </c>
      <c r="I5" s="23" t="str">
        <f t="shared" si="1"/>
        <v>Kolkata</v>
      </c>
      <c r="J5" s="23">
        <f>COUNTIFS(pg_transaction_cleaned!$O:$O,A5,pg_transaction_cleaned!$F:$F,"CAPTURE")</f>
        <v>1</v>
      </c>
      <c r="K5" s="39">
        <f>SUMIFS(pg_transaction_cleaned!$H:$H,pg_transaction_cleaned!$O:$O,A5,pg_transaction_cleaned!$F:$F,"CAPTURE")</f>
        <v>3298</v>
      </c>
      <c r="L5" s="23">
        <f>COUNTIFS(pg_transaction_cleaned!$O:$O,A5,pg_transaction_cleaned!$F:$F,"REFUND")</f>
        <v>0</v>
      </c>
      <c r="M5" s="39">
        <f>SUMIFS(pg_transaction_cleaned!$H:$H,pg_transaction_cleaned!$O:$O,A5,pg_transaction_cleaned!$F:$F,"REFUND")</f>
        <v>0</v>
      </c>
      <c r="N5" s="23" t="str">
        <f t="shared" si="2"/>
        <v>OK</v>
      </c>
      <c r="O5" s="24">
        <f t="shared" si="3"/>
        <v>0</v>
      </c>
    </row>
    <row r="6" spans="1:15" ht="15" customHeight="1" x14ac:dyDescent="0.3">
      <c r="A6" s="23" t="s">
        <v>260</v>
      </c>
      <c r="B6" s="38">
        <v>46276</v>
      </c>
      <c r="C6" s="23" t="s">
        <v>261</v>
      </c>
      <c r="D6" s="23" t="s">
        <v>91</v>
      </c>
      <c r="E6" s="23" t="s">
        <v>79</v>
      </c>
      <c r="F6" s="23" t="s">
        <v>262</v>
      </c>
      <c r="G6" s="23" t="s">
        <v>250</v>
      </c>
      <c r="H6" s="39">
        <f t="shared" si="0"/>
        <v>499</v>
      </c>
      <c r="I6" s="23" t="str">
        <f t="shared" si="1"/>
        <v>Pune</v>
      </c>
      <c r="J6" s="23">
        <f>COUNTIFS(pg_transaction_cleaned!$O:$O,A6,pg_transaction_cleaned!$F:$F,"CAPTURE")</f>
        <v>1</v>
      </c>
      <c r="K6" s="39">
        <f>SUMIFS(pg_transaction_cleaned!$H:$H,pg_transaction_cleaned!$O:$O,A6,pg_transaction_cleaned!$F:$F,"CAPTURE")</f>
        <v>499</v>
      </c>
      <c r="L6" s="23">
        <f>COUNTIFS(pg_transaction_cleaned!$O:$O,A6,pg_transaction_cleaned!$F:$F,"REFUND")</f>
        <v>0</v>
      </c>
      <c r="M6" s="39">
        <f>SUMIFS(pg_transaction_cleaned!$H:$H,pg_transaction_cleaned!$O:$O,A6,pg_transaction_cleaned!$F:$F,"REFUND")</f>
        <v>0</v>
      </c>
      <c r="N6" s="23" t="str">
        <f t="shared" si="2"/>
        <v>OK</v>
      </c>
      <c r="O6" s="24">
        <f t="shared" si="3"/>
        <v>0</v>
      </c>
    </row>
    <row r="7" spans="1:15" ht="15" customHeight="1" x14ac:dyDescent="0.3">
      <c r="A7" s="23" t="s">
        <v>263</v>
      </c>
      <c r="B7" s="38">
        <v>46278</v>
      </c>
      <c r="C7" s="23" t="s">
        <v>264</v>
      </c>
      <c r="D7" s="23" t="s">
        <v>90</v>
      </c>
      <c r="E7" s="23" t="s">
        <v>79</v>
      </c>
      <c r="F7" s="23" t="s">
        <v>265</v>
      </c>
      <c r="G7" s="23" t="s">
        <v>250</v>
      </c>
      <c r="H7" s="39">
        <f t="shared" si="0"/>
        <v>999</v>
      </c>
      <c r="I7" s="23" t="str">
        <f t="shared" si="1"/>
        <v>Ahmedabad</v>
      </c>
      <c r="J7" s="23">
        <f>COUNTIFS(pg_transaction_cleaned!$O:$O,A7,pg_transaction_cleaned!$F:$F,"CAPTURE")</f>
        <v>1</v>
      </c>
      <c r="K7" s="39">
        <f>SUMIFS(pg_transaction_cleaned!$H:$H,pg_transaction_cleaned!$O:$O,A7,pg_transaction_cleaned!$F:$F,"CAPTURE")</f>
        <v>999</v>
      </c>
      <c r="L7" s="23">
        <f>COUNTIFS(pg_transaction_cleaned!$O:$O,A7,pg_transaction_cleaned!$F:$F,"REFUND")</f>
        <v>0</v>
      </c>
      <c r="M7" s="39">
        <f>SUMIFS(pg_transaction_cleaned!$H:$H,pg_transaction_cleaned!$O:$O,A7,pg_transaction_cleaned!$F:$F,"REFUND")</f>
        <v>0</v>
      </c>
      <c r="N7" s="23" t="str">
        <f t="shared" si="2"/>
        <v>OK</v>
      </c>
      <c r="O7" s="24">
        <f t="shared" si="3"/>
        <v>0</v>
      </c>
    </row>
    <row r="8" spans="1:15" ht="15" customHeight="1" x14ac:dyDescent="0.3">
      <c r="A8" s="23" t="s">
        <v>266</v>
      </c>
      <c r="B8" s="38">
        <v>46283</v>
      </c>
      <c r="C8" s="23" t="s">
        <v>267</v>
      </c>
      <c r="D8" s="23" t="s">
        <v>88</v>
      </c>
      <c r="E8" s="23" t="s">
        <v>75</v>
      </c>
      <c r="F8" s="23" t="s">
        <v>268</v>
      </c>
      <c r="G8" s="23" t="s">
        <v>250</v>
      </c>
      <c r="H8" s="39">
        <f t="shared" si="0"/>
        <v>1299</v>
      </c>
      <c r="I8" s="23" t="str">
        <f t="shared" si="1"/>
        <v>Lucknow</v>
      </c>
      <c r="J8" s="23">
        <f>COUNTIFS(pg_transaction_cleaned!$O:$O,A8,pg_transaction_cleaned!$F:$F,"CAPTURE")</f>
        <v>1</v>
      </c>
      <c r="K8" s="39">
        <f>SUMIFS(pg_transaction_cleaned!$H:$H,pg_transaction_cleaned!$O:$O,A8,pg_transaction_cleaned!$F:$F,"CAPTURE")</f>
        <v>1299</v>
      </c>
      <c r="L8" s="23">
        <f>COUNTIFS(pg_transaction_cleaned!$O:$O,A8,pg_transaction_cleaned!$F:$F,"REFUND")</f>
        <v>0</v>
      </c>
      <c r="M8" s="39">
        <f>SUMIFS(pg_transaction_cleaned!$H:$H,pg_transaction_cleaned!$O:$O,A8,pg_transaction_cleaned!$F:$F,"REFUND")</f>
        <v>0</v>
      </c>
      <c r="N8" s="23" t="str">
        <f t="shared" si="2"/>
        <v>OK</v>
      </c>
      <c r="O8" s="24">
        <f t="shared" si="3"/>
        <v>0</v>
      </c>
    </row>
    <row r="9" spans="1:15" ht="15" customHeight="1" x14ac:dyDescent="0.3">
      <c r="A9" s="23" t="s">
        <v>269</v>
      </c>
      <c r="B9" s="38">
        <v>46294</v>
      </c>
      <c r="C9" s="23" t="s">
        <v>270</v>
      </c>
      <c r="D9" s="23" t="s">
        <v>95</v>
      </c>
      <c r="E9" s="23" t="s">
        <v>75</v>
      </c>
      <c r="F9" s="23" t="s">
        <v>271</v>
      </c>
      <c r="G9" s="23" t="s">
        <v>250</v>
      </c>
      <c r="H9" s="39">
        <f t="shared" si="0"/>
        <v>2499</v>
      </c>
      <c r="I9" s="23" t="str">
        <f t="shared" si="1"/>
        <v>Bengaluru</v>
      </c>
      <c r="J9" s="23">
        <f>COUNTIFS(pg_transaction_cleaned!$O:$O,A9,pg_transaction_cleaned!$F:$F,"CAPTURE")</f>
        <v>1</v>
      </c>
      <c r="K9" s="39">
        <f>SUMIFS(pg_transaction_cleaned!$H:$H,pg_transaction_cleaned!$O:$O,A9,pg_transaction_cleaned!$F:$F,"CAPTURE")</f>
        <v>2499</v>
      </c>
      <c r="L9" s="23">
        <f>COUNTIFS(pg_transaction_cleaned!$O:$O,A9,pg_transaction_cleaned!$F:$F,"REFUND")</f>
        <v>0</v>
      </c>
      <c r="M9" s="39">
        <f>SUMIFS(pg_transaction_cleaned!$H:$H,pg_transaction_cleaned!$O:$O,A9,pg_transaction_cleaned!$F:$F,"REFUND")</f>
        <v>0</v>
      </c>
      <c r="N9" s="23" t="str">
        <f t="shared" si="2"/>
        <v>OK</v>
      </c>
      <c r="O9" s="24">
        <f t="shared" si="3"/>
        <v>0</v>
      </c>
    </row>
    <row r="10" spans="1:15" ht="15" customHeight="1" x14ac:dyDescent="0.3">
      <c r="A10" s="23" t="s">
        <v>272</v>
      </c>
      <c r="B10" s="38">
        <v>46290</v>
      </c>
      <c r="C10" s="23" t="s">
        <v>273</v>
      </c>
      <c r="D10" s="23" t="s">
        <v>92</v>
      </c>
      <c r="E10" s="23" t="s">
        <v>81</v>
      </c>
      <c r="F10" s="23" t="s">
        <v>274</v>
      </c>
      <c r="G10" s="23" t="s">
        <v>250</v>
      </c>
      <c r="H10" s="39">
        <f t="shared" si="0"/>
        <v>349</v>
      </c>
      <c r="I10" s="23" t="str">
        <f t="shared" si="1"/>
        <v>Hyderabad</v>
      </c>
      <c r="J10" s="23">
        <f>COUNTIFS(pg_transaction_cleaned!$O:$O,A10,pg_transaction_cleaned!$F:$F,"CAPTURE")</f>
        <v>1</v>
      </c>
      <c r="K10" s="39">
        <f>SUMIFS(pg_transaction_cleaned!$H:$H,pg_transaction_cleaned!$O:$O,A10,pg_transaction_cleaned!$F:$F,"CAPTURE")</f>
        <v>349</v>
      </c>
      <c r="L10" s="23">
        <f>COUNTIFS(pg_transaction_cleaned!$O:$O,A10,pg_transaction_cleaned!$F:$F,"REFUND")</f>
        <v>0</v>
      </c>
      <c r="M10" s="39">
        <f>SUMIFS(pg_transaction_cleaned!$H:$H,pg_transaction_cleaned!$O:$O,A10,pg_transaction_cleaned!$F:$F,"REFUND")</f>
        <v>0</v>
      </c>
      <c r="N10" s="23" t="str">
        <f t="shared" si="2"/>
        <v>OK</v>
      </c>
      <c r="O10" s="24">
        <f t="shared" si="3"/>
        <v>0</v>
      </c>
    </row>
    <row r="11" spans="1:15" ht="15" customHeight="1" x14ac:dyDescent="0.3">
      <c r="A11" s="23" t="s">
        <v>275</v>
      </c>
      <c r="B11" s="38">
        <v>46280</v>
      </c>
      <c r="C11" s="23" t="s">
        <v>276</v>
      </c>
      <c r="D11" s="23" t="s">
        <v>91</v>
      </c>
      <c r="E11" s="23" t="s">
        <v>75</v>
      </c>
      <c r="F11" s="23" t="s">
        <v>277</v>
      </c>
      <c r="G11" s="23" t="s">
        <v>250</v>
      </c>
      <c r="H11" s="39">
        <f t="shared" si="0"/>
        <v>9497</v>
      </c>
      <c r="I11" s="23" t="str">
        <f t="shared" si="1"/>
        <v>Pune</v>
      </c>
      <c r="J11" s="23">
        <f>COUNTIFS(pg_transaction_cleaned!$O:$O,A11,pg_transaction_cleaned!$F:$F,"CAPTURE")</f>
        <v>1</v>
      </c>
      <c r="K11" s="39">
        <f>SUMIFS(pg_transaction_cleaned!$H:$H,pg_transaction_cleaned!$O:$O,A11,pg_transaction_cleaned!$F:$F,"CAPTURE")</f>
        <v>9497</v>
      </c>
      <c r="L11" s="23">
        <f>COUNTIFS(pg_transaction_cleaned!$O:$O,A11,pg_transaction_cleaned!$F:$F,"REFUND")</f>
        <v>0</v>
      </c>
      <c r="M11" s="39">
        <f>SUMIFS(pg_transaction_cleaned!$H:$H,pg_transaction_cleaned!$O:$O,A11,pg_transaction_cleaned!$F:$F,"REFUND")</f>
        <v>0</v>
      </c>
      <c r="N11" s="23" t="str">
        <f t="shared" si="2"/>
        <v>OK</v>
      </c>
      <c r="O11" s="24">
        <f t="shared" si="3"/>
        <v>0</v>
      </c>
    </row>
    <row r="12" spans="1:15" ht="15" customHeight="1" x14ac:dyDescent="0.3">
      <c r="A12" s="23" t="s">
        <v>278</v>
      </c>
      <c r="B12" s="38">
        <v>46285</v>
      </c>
      <c r="C12" s="23" t="s">
        <v>279</v>
      </c>
      <c r="D12" s="23" t="s">
        <v>89</v>
      </c>
      <c r="E12" s="23" t="s">
        <v>75</v>
      </c>
      <c r="F12" s="23" t="s">
        <v>280</v>
      </c>
      <c r="G12" s="23" t="s">
        <v>250</v>
      </c>
      <c r="H12" s="39">
        <f t="shared" si="0"/>
        <v>5797</v>
      </c>
      <c r="I12" s="23" t="str">
        <f t="shared" si="1"/>
        <v>Jaipur</v>
      </c>
      <c r="J12" s="23">
        <f>COUNTIFS(pg_transaction_cleaned!$O:$O,A12,pg_transaction_cleaned!$F:$F,"CAPTURE")</f>
        <v>1</v>
      </c>
      <c r="K12" s="39">
        <f>SUMIFS(pg_transaction_cleaned!$H:$H,pg_transaction_cleaned!$O:$O,A12,pg_transaction_cleaned!$F:$F,"CAPTURE")</f>
        <v>5797</v>
      </c>
      <c r="L12" s="23">
        <f>COUNTIFS(pg_transaction_cleaned!$O:$O,A12,pg_transaction_cleaned!$F:$F,"REFUND")</f>
        <v>0</v>
      </c>
      <c r="M12" s="39">
        <f>SUMIFS(pg_transaction_cleaned!$H:$H,pg_transaction_cleaned!$O:$O,A12,pg_transaction_cleaned!$F:$F,"REFUND")</f>
        <v>0</v>
      </c>
      <c r="N12" s="23" t="str">
        <f t="shared" si="2"/>
        <v>OK</v>
      </c>
      <c r="O12" s="24">
        <f t="shared" si="3"/>
        <v>0</v>
      </c>
    </row>
    <row r="13" spans="1:15" ht="15" customHeight="1" x14ac:dyDescent="0.3">
      <c r="A13" s="23" t="s">
        <v>281</v>
      </c>
      <c r="B13" s="38">
        <v>46273</v>
      </c>
      <c r="C13" s="23" t="s">
        <v>282</v>
      </c>
      <c r="D13" s="23" t="s">
        <v>94</v>
      </c>
      <c r="E13" s="23" t="s">
        <v>75</v>
      </c>
      <c r="F13" s="23" t="s">
        <v>283</v>
      </c>
      <c r="G13" s="23" t="s">
        <v>250</v>
      </c>
      <c r="H13" s="39">
        <f t="shared" si="0"/>
        <v>13997</v>
      </c>
      <c r="I13" s="23" t="str">
        <f t="shared" si="1"/>
        <v>Chennai</v>
      </c>
      <c r="J13" s="23">
        <f>COUNTIFS(pg_transaction_cleaned!$O:$O,A13,pg_transaction_cleaned!$F:$F,"CAPTURE")</f>
        <v>1</v>
      </c>
      <c r="K13" s="39">
        <f>SUMIFS(pg_transaction_cleaned!$H:$H,pg_transaction_cleaned!$O:$O,A13,pg_transaction_cleaned!$F:$F,"CAPTURE")</f>
        <v>13997</v>
      </c>
      <c r="L13" s="23">
        <f>COUNTIFS(pg_transaction_cleaned!$O:$O,A13,pg_transaction_cleaned!$F:$F,"REFUND")</f>
        <v>0</v>
      </c>
      <c r="M13" s="39">
        <f>SUMIFS(pg_transaction_cleaned!$H:$H,pg_transaction_cleaned!$O:$O,A13,pg_transaction_cleaned!$F:$F,"REFUND")</f>
        <v>0</v>
      </c>
      <c r="N13" s="23" t="str">
        <f t="shared" si="2"/>
        <v>OK</v>
      </c>
      <c r="O13" s="24">
        <f t="shared" si="3"/>
        <v>0</v>
      </c>
    </row>
    <row r="14" spans="1:15" ht="15" customHeight="1" x14ac:dyDescent="0.3">
      <c r="A14" s="23" t="s">
        <v>284</v>
      </c>
      <c r="B14" s="38">
        <v>46278</v>
      </c>
      <c r="C14" s="23" t="s">
        <v>285</v>
      </c>
      <c r="D14" s="23" t="s">
        <v>95</v>
      </c>
      <c r="E14" s="23" t="s">
        <v>77</v>
      </c>
      <c r="F14" s="23" t="s">
        <v>274</v>
      </c>
      <c r="G14" s="23" t="s">
        <v>250</v>
      </c>
      <c r="H14" s="39">
        <f t="shared" si="0"/>
        <v>349</v>
      </c>
      <c r="I14" s="23" t="str">
        <f t="shared" si="1"/>
        <v>Bengaluru</v>
      </c>
      <c r="J14" s="23">
        <f>COUNTIFS(pg_transaction_cleaned!$O:$O,A14,pg_transaction_cleaned!$F:$F,"CAPTURE")</f>
        <v>1</v>
      </c>
      <c r="K14" s="39">
        <f>SUMIFS(pg_transaction_cleaned!$H:$H,pg_transaction_cleaned!$O:$O,A14,pg_transaction_cleaned!$F:$F,"CAPTURE")</f>
        <v>349</v>
      </c>
      <c r="L14" s="23">
        <f>COUNTIFS(pg_transaction_cleaned!$O:$O,A14,pg_transaction_cleaned!$F:$F,"REFUND")</f>
        <v>0</v>
      </c>
      <c r="M14" s="39">
        <f>SUMIFS(pg_transaction_cleaned!$H:$H,pg_transaction_cleaned!$O:$O,A14,pg_transaction_cleaned!$F:$F,"REFUND")</f>
        <v>0</v>
      </c>
      <c r="N14" s="23" t="str">
        <f t="shared" si="2"/>
        <v>OK</v>
      </c>
      <c r="O14" s="24">
        <f t="shared" si="3"/>
        <v>0</v>
      </c>
    </row>
    <row r="15" spans="1:15" ht="15" customHeight="1" x14ac:dyDescent="0.3">
      <c r="A15" s="23" t="s">
        <v>286</v>
      </c>
      <c r="B15" s="38">
        <v>46286</v>
      </c>
      <c r="C15" s="23" t="s">
        <v>287</v>
      </c>
      <c r="D15" s="23" t="s">
        <v>89</v>
      </c>
      <c r="E15" s="23" t="s">
        <v>75</v>
      </c>
      <c r="F15" s="23" t="s">
        <v>288</v>
      </c>
      <c r="G15" s="23" t="s">
        <v>250</v>
      </c>
      <c r="H15" s="39">
        <f t="shared" si="0"/>
        <v>4298</v>
      </c>
      <c r="I15" s="23" t="str">
        <f t="shared" si="1"/>
        <v>Jaipur</v>
      </c>
      <c r="J15" s="23">
        <f>COUNTIFS(pg_transaction_cleaned!$O:$O,A15,pg_transaction_cleaned!$F:$F,"CAPTURE")</f>
        <v>1</v>
      </c>
      <c r="K15" s="39">
        <f>SUMIFS(pg_transaction_cleaned!$H:$H,pg_transaction_cleaned!$O:$O,A15,pg_transaction_cleaned!$F:$F,"CAPTURE")</f>
        <v>4298</v>
      </c>
      <c r="L15" s="23">
        <f>COUNTIFS(pg_transaction_cleaned!$O:$O,A15,pg_transaction_cleaned!$F:$F,"REFUND")</f>
        <v>0</v>
      </c>
      <c r="M15" s="39">
        <f>SUMIFS(pg_transaction_cleaned!$H:$H,pg_transaction_cleaned!$O:$O,A15,pg_transaction_cleaned!$F:$F,"REFUND")</f>
        <v>0</v>
      </c>
      <c r="N15" s="23" t="str">
        <f t="shared" si="2"/>
        <v>OK</v>
      </c>
      <c r="O15" s="24">
        <f t="shared" si="3"/>
        <v>0</v>
      </c>
    </row>
    <row r="16" spans="1:15" ht="15" customHeight="1" x14ac:dyDescent="0.3">
      <c r="A16" s="23" t="s">
        <v>289</v>
      </c>
      <c r="B16" s="38">
        <v>46283</v>
      </c>
      <c r="C16" s="23" t="s">
        <v>290</v>
      </c>
      <c r="D16" s="23" t="s">
        <v>94</v>
      </c>
      <c r="E16" s="23" t="s">
        <v>77</v>
      </c>
      <c r="F16" s="23" t="s">
        <v>291</v>
      </c>
      <c r="G16" s="23" t="s">
        <v>250</v>
      </c>
      <c r="H16" s="39">
        <f t="shared" si="0"/>
        <v>3499</v>
      </c>
      <c r="I16" s="23" t="str">
        <f t="shared" si="1"/>
        <v>Chennai</v>
      </c>
      <c r="J16" s="23">
        <f>COUNTIFS(pg_transaction_cleaned!$O:$O,A16,pg_transaction_cleaned!$F:$F,"CAPTURE")</f>
        <v>1</v>
      </c>
      <c r="K16" s="39">
        <f>SUMIFS(pg_transaction_cleaned!$H:$H,pg_transaction_cleaned!$O:$O,A16,pg_transaction_cleaned!$F:$F,"CAPTURE")</f>
        <v>3499</v>
      </c>
      <c r="L16" s="23">
        <f>COUNTIFS(pg_transaction_cleaned!$O:$O,A16,pg_transaction_cleaned!$F:$F,"REFUND")</f>
        <v>0</v>
      </c>
      <c r="M16" s="39">
        <f>SUMIFS(pg_transaction_cleaned!$H:$H,pg_transaction_cleaned!$O:$O,A16,pg_transaction_cleaned!$F:$F,"REFUND")</f>
        <v>0</v>
      </c>
      <c r="N16" s="23" t="str">
        <f t="shared" si="2"/>
        <v>OK</v>
      </c>
      <c r="O16" s="24">
        <f t="shared" si="3"/>
        <v>0</v>
      </c>
    </row>
    <row r="17" spans="1:15" ht="15" customHeight="1" x14ac:dyDescent="0.3">
      <c r="A17" s="23" t="s">
        <v>292</v>
      </c>
      <c r="B17" s="38">
        <v>46273</v>
      </c>
      <c r="C17" s="23" t="s">
        <v>293</v>
      </c>
      <c r="D17" s="23" t="s">
        <v>86</v>
      </c>
      <c r="E17" s="23" t="s">
        <v>79</v>
      </c>
      <c r="F17" s="23" t="s">
        <v>294</v>
      </c>
      <c r="G17" s="23" t="s">
        <v>250</v>
      </c>
      <c r="H17" s="39">
        <f t="shared" si="0"/>
        <v>1799</v>
      </c>
      <c r="I17" s="23" t="str">
        <f t="shared" si="1"/>
        <v>Delhi</v>
      </c>
      <c r="J17" s="23">
        <f>COUNTIFS(pg_transaction_cleaned!$O:$O,A17,pg_transaction_cleaned!$F:$F,"CAPTURE")</f>
        <v>1</v>
      </c>
      <c r="K17" s="39">
        <f>SUMIFS(pg_transaction_cleaned!$H:$H,pg_transaction_cleaned!$O:$O,A17,pg_transaction_cleaned!$F:$F,"CAPTURE")</f>
        <v>1799</v>
      </c>
      <c r="L17" s="23">
        <f>COUNTIFS(pg_transaction_cleaned!$O:$O,A17,pg_transaction_cleaned!$F:$F,"REFUND")</f>
        <v>0</v>
      </c>
      <c r="M17" s="39">
        <f>SUMIFS(pg_transaction_cleaned!$H:$H,pg_transaction_cleaned!$O:$O,A17,pg_transaction_cleaned!$F:$F,"REFUND")</f>
        <v>0</v>
      </c>
      <c r="N17" s="23" t="str">
        <f t="shared" si="2"/>
        <v>OK</v>
      </c>
      <c r="O17" s="24">
        <f t="shared" si="3"/>
        <v>0</v>
      </c>
    </row>
    <row r="18" spans="1:15" ht="15" customHeight="1" x14ac:dyDescent="0.3">
      <c r="A18" s="23" t="s">
        <v>295</v>
      </c>
      <c r="B18" s="38">
        <v>46286</v>
      </c>
      <c r="C18" s="23" t="s">
        <v>296</v>
      </c>
      <c r="D18" s="23" t="s">
        <v>93</v>
      </c>
      <c r="E18" s="23" t="s">
        <v>79</v>
      </c>
      <c r="F18" s="23" t="s">
        <v>297</v>
      </c>
      <c r="G18" s="23" t="s">
        <v>250</v>
      </c>
      <c r="H18" s="39">
        <f t="shared" si="0"/>
        <v>4999</v>
      </c>
      <c r="I18" s="23" t="str">
        <f t="shared" si="1"/>
        <v>Kolkata</v>
      </c>
      <c r="J18" s="23">
        <f>COUNTIFS(pg_transaction_cleaned!$O:$O,A18,pg_transaction_cleaned!$F:$F,"CAPTURE")</f>
        <v>1</v>
      </c>
      <c r="K18" s="39">
        <f>SUMIFS(pg_transaction_cleaned!$H:$H,pg_transaction_cleaned!$O:$O,A18,pg_transaction_cleaned!$F:$F,"CAPTURE")</f>
        <v>4999</v>
      </c>
      <c r="L18" s="23">
        <f>COUNTIFS(pg_transaction_cleaned!$O:$O,A18,pg_transaction_cleaned!$F:$F,"REFUND")</f>
        <v>0</v>
      </c>
      <c r="M18" s="39">
        <f>SUMIFS(pg_transaction_cleaned!$H:$H,pg_transaction_cleaned!$O:$O,A18,pg_transaction_cleaned!$F:$F,"REFUND")</f>
        <v>0</v>
      </c>
      <c r="N18" s="23" t="str">
        <f t="shared" si="2"/>
        <v>OK</v>
      </c>
      <c r="O18" s="24">
        <f t="shared" si="3"/>
        <v>0</v>
      </c>
    </row>
    <row r="19" spans="1:15" ht="15" customHeight="1" x14ac:dyDescent="0.3">
      <c r="A19" s="23" t="s">
        <v>298</v>
      </c>
      <c r="B19" s="38">
        <v>46285</v>
      </c>
      <c r="C19" s="23" t="s">
        <v>299</v>
      </c>
      <c r="D19" s="23" t="s">
        <v>91</v>
      </c>
      <c r="E19" s="23" t="s">
        <v>81</v>
      </c>
      <c r="F19" s="23" t="s">
        <v>300</v>
      </c>
      <c r="G19" s="23" t="s">
        <v>301</v>
      </c>
      <c r="H19" s="39">
        <f t="shared" si="0"/>
        <v>2598</v>
      </c>
      <c r="I19" s="23" t="str">
        <f t="shared" si="1"/>
        <v>Pune</v>
      </c>
      <c r="J19" s="23">
        <f>COUNTIFS(pg_transaction_cleaned!$O:$O,A19,pg_transaction_cleaned!$F:$F,"CAPTURE")</f>
        <v>1</v>
      </c>
      <c r="K19" s="39">
        <f>SUMIFS(pg_transaction_cleaned!$H:$H,pg_transaction_cleaned!$O:$O,A19,pg_transaction_cleaned!$F:$F,"CAPTURE")</f>
        <v>2598</v>
      </c>
      <c r="L19" s="23">
        <f>COUNTIFS(pg_transaction_cleaned!$O:$O,A19,pg_transaction_cleaned!$F:$F,"REFUND")</f>
        <v>1</v>
      </c>
      <c r="M19" s="39">
        <f>SUMIFS(pg_transaction_cleaned!$H:$H,pg_transaction_cleaned!$O:$O,A19,pg_transaction_cleaned!$F:$F,"REFUND")</f>
        <v>2598</v>
      </c>
      <c r="N19" s="23" t="str">
        <f t="shared" si="2"/>
        <v>OK</v>
      </c>
      <c r="O19" s="24">
        <f t="shared" si="3"/>
        <v>0</v>
      </c>
    </row>
    <row r="20" spans="1:15" ht="15" customHeight="1" x14ac:dyDescent="0.3">
      <c r="A20" s="23" t="s">
        <v>302</v>
      </c>
      <c r="B20" s="38">
        <v>46287</v>
      </c>
      <c r="C20" s="23" t="s">
        <v>303</v>
      </c>
      <c r="D20" s="23" t="s">
        <v>93</v>
      </c>
      <c r="E20" s="23" t="s">
        <v>75</v>
      </c>
      <c r="F20" s="23" t="s">
        <v>304</v>
      </c>
      <c r="G20" s="23" t="s">
        <v>250</v>
      </c>
      <c r="H20" s="39">
        <f t="shared" si="0"/>
        <v>5798</v>
      </c>
      <c r="I20" s="23" t="str">
        <f t="shared" si="1"/>
        <v>Kolkata</v>
      </c>
      <c r="J20" s="23">
        <f>COUNTIFS(pg_transaction_cleaned!$O:$O,A20,pg_transaction_cleaned!$F:$F,"CAPTURE")</f>
        <v>1</v>
      </c>
      <c r="K20" s="39">
        <f>SUMIFS(pg_transaction_cleaned!$H:$H,pg_transaction_cleaned!$O:$O,A20,pg_transaction_cleaned!$F:$F,"CAPTURE")</f>
        <v>5798</v>
      </c>
      <c r="L20" s="23">
        <f>COUNTIFS(pg_transaction_cleaned!$O:$O,A20,pg_transaction_cleaned!$F:$F,"REFUND")</f>
        <v>0</v>
      </c>
      <c r="M20" s="39">
        <f>SUMIFS(pg_transaction_cleaned!$H:$H,pg_transaction_cleaned!$O:$O,A20,pg_transaction_cleaned!$F:$F,"REFUND")</f>
        <v>0</v>
      </c>
      <c r="N20" s="23" t="str">
        <f t="shared" si="2"/>
        <v>OK</v>
      </c>
      <c r="O20" s="24">
        <f t="shared" si="3"/>
        <v>0</v>
      </c>
    </row>
    <row r="21" spans="1:15" ht="15" customHeight="1" x14ac:dyDescent="0.3">
      <c r="A21" s="23" t="s">
        <v>305</v>
      </c>
      <c r="B21" s="38">
        <v>46271</v>
      </c>
      <c r="C21" s="23" t="s">
        <v>306</v>
      </c>
      <c r="D21" s="23" t="s">
        <v>86</v>
      </c>
      <c r="E21" s="23" t="s">
        <v>75</v>
      </c>
      <c r="F21" s="23" t="s">
        <v>307</v>
      </c>
      <c r="G21" s="23" t="s">
        <v>250</v>
      </c>
      <c r="H21" s="39">
        <f t="shared" si="0"/>
        <v>3798</v>
      </c>
      <c r="I21" s="23" t="str">
        <f t="shared" si="1"/>
        <v>Delhi</v>
      </c>
      <c r="J21" s="23">
        <f>COUNTIFS(pg_transaction_cleaned!$O:$O,A21,pg_transaction_cleaned!$F:$F,"CAPTURE")</f>
        <v>1</v>
      </c>
      <c r="K21" s="39">
        <f>SUMIFS(pg_transaction_cleaned!$H:$H,pg_transaction_cleaned!$O:$O,A21,pg_transaction_cleaned!$F:$F,"CAPTURE")</f>
        <v>3798</v>
      </c>
      <c r="L21" s="23">
        <f>COUNTIFS(pg_transaction_cleaned!$O:$O,A21,pg_transaction_cleaned!$F:$F,"REFUND")</f>
        <v>0</v>
      </c>
      <c r="M21" s="39">
        <f>SUMIFS(pg_transaction_cleaned!$H:$H,pg_transaction_cleaned!$O:$O,A21,pg_transaction_cleaned!$F:$F,"REFUND")</f>
        <v>0</v>
      </c>
      <c r="N21" s="23" t="str">
        <f t="shared" si="2"/>
        <v>OK</v>
      </c>
      <c r="O21" s="24">
        <f t="shared" si="3"/>
        <v>0</v>
      </c>
    </row>
    <row r="22" spans="1:15" ht="15" customHeight="1" x14ac:dyDescent="0.3">
      <c r="A22" s="23" t="s">
        <v>308</v>
      </c>
      <c r="B22" s="38">
        <v>46282</v>
      </c>
      <c r="C22" s="23" t="s">
        <v>309</v>
      </c>
      <c r="D22" s="23" t="s">
        <v>88</v>
      </c>
      <c r="E22" s="23" t="s">
        <v>81</v>
      </c>
      <c r="F22" s="23" t="s">
        <v>310</v>
      </c>
      <c r="G22" s="23" t="s">
        <v>250</v>
      </c>
      <c r="H22" s="39">
        <f t="shared" si="0"/>
        <v>7999</v>
      </c>
      <c r="I22" s="23" t="str">
        <f t="shared" si="1"/>
        <v>Lucknow</v>
      </c>
      <c r="J22" s="23">
        <f>COUNTIFS(pg_transaction_cleaned!$O:$O,A22,pg_transaction_cleaned!$F:$F,"CAPTURE")</f>
        <v>1</v>
      </c>
      <c r="K22" s="39">
        <f>SUMIFS(pg_transaction_cleaned!$H:$H,pg_transaction_cleaned!$O:$O,A22,pg_transaction_cleaned!$F:$F,"CAPTURE")</f>
        <v>7999</v>
      </c>
      <c r="L22" s="23">
        <f>COUNTIFS(pg_transaction_cleaned!$O:$O,A22,pg_transaction_cleaned!$F:$F,"REFUND")</f>
        <v>0</v>
      </c>
      <c r="M22" s="39">
        <f>SUMIFS(pg_transaction_cleaned!$H:$H,pg_transaction_cleaned!$O:$O,A22,pg_transaction_cleaned!$F:$F,"REFUND")</f>
        <v>0</v>
      </c>
      <c r="N22" s="23" t="str">
        <f t="shared" si="2"/>
        <v>OK</v>
      </c>
      <c r="O22" s="24">
        <f t="shared" si="3"/>
        <v>0</v>
      </c>
    </row>
    <row r="23" spans="1:15" ht="15" customHeight="1" x14ac:dyDescent="0.3">
      <c r="A23" s="23" t="s">
        <v>311</v>
      </c>
      <c r="B23" s="38">
        <v>46272</v>
      </c>
      <c r="C23" s="23" t="s">
        <v>312</v>
      </c>
      <c r="D23" s="23" t="s">
        <v>87</v>
      </c>
      <c r="E23" s="23" t="s">
        <v>75</v>
      </c>
      <c r="F23" s="23" t="s">
        <v>265</v>
      </c>
      <c r="G23" s="23" t="s">
        <v>250</v>
      </c>
      <c r="H23" s="39">
        <f t="shared" si="0"/>
        <v>999</v>
      </c>
      <c r="I23" s="23" t="str">
        <f t="shared" si="1"/>
        <v>Mumbai</v>
      </c>
      <c r="J23" s="23">
        <f>COUNTIFS(pg_transaction_cleaned!$O:$O,A23,pg_transaction_cleaned!$F:$F,"CAPTURE")</f>
        <v>1</v>
      </c>
      <c r="K23" s="39">
        <f>SUMIFS(pg_transaction_cleaned!$H:$H,pg_transaction_cleaned!$O:$O,A23,pg_transaction_cleaned!$F:$F,"CAPTURE")</f>
        <v>999</v>
      </c>
      <c r="L23" s="23">
        <f>COUNTIFS(pg_transaction_cleaned!$O:$O,A23,pg_transaction_cleaned!$F:$F,"REFUND")</f>
        <v>0</v>
      </c>
      <c r="M23" s="39">
        <f>SUMIFS(pg_transaction_cleaned!$H:$H,pg_transaction_cleaned!$O:$O,A23,pg_transaction_cleaned!$F:$F,"REFUND")</f>
        <v>0</v>
      </c>
      <c r="N23" s="23" t="str">
        <f t="shared" si="2"/>
        <v>OK</v>
      </c>
      <c r="O23" s="24">
        <f t="shared" si="3"/>
        <v>0</v>
      </c>
    </row>
    <row r="24" spans="1:15" ht="15" customHeight="1" x14ac:dyDescent="0.3">
      <c r="A24" s="23" t="s">
        <v>313</v>
      </c>
      <c r="B24" s="38">
        <v>46285</v>
      </c>
      <c r="C24" s="23" t="s">
        <v>314</v>
      </c>
      <c r="D24" s="23" t="s">
        <v>95</v>
      </c>
      <c r="E24" s="23" t="s">
        <v>77</v>
      </c>
      <c r="F24" s="23" t="s">
        <v>315</v>
      </c>
      <c r="G24" s="23" t="s">
        <v>250</v>
      </c>
      <c r="H24" s="39">
        <f t="shared" si="0"/>
        <v>1499</v>
      </c>
      <c r="I24" s="23" t="str">
        <f t="shared" si="1"/>
        <v>Bengaluru</v>
      </c>
      <c r="J24" s="23">
        <f>COUNTIFS(pg_transaction_cleaned!$O:$O,A24,pg_transaction_cleaned!$F:$F,"CAPTURE")</f>
        <v>1</v>
      </c>
      <c r="K24" s="39">
        <f>SUMIFS(pg_transaction_cleaned!$H:$H,pg_transaction_cleaned!$O:$O,A24,pg_transaction_cleaned!$F:$F,"CAPTURE")</f>
        <v>1499</v>
      </c>
      <c r="L24" s="23">
        <f>COUNTIFS(pg_transaction_cleaned!$O:$O,A24,pg_transaction_cleaned!$F:$F,"REFUND")</f>
        <v>0</v>
      </c>
      <c r="M24" s="39">
        <f>SUMIFS(pg_transaction_cleaned!$H:$H,pg_transaction_cleaned!$O:$O,A24,pg_transaction_cleaned!$F:$F,"REFUND")</f>
        <v>0</v>
      </c>
      <c r="N24" s="23" t="str">
        <f t="shared" si="2"/>
        <v>OK</v>
      </c>
      <c r="O24" s="24">
        <f t="shared" si="3"/>
        <v>0</v>
      </c>
    </row>
    <row r="25" spans="1:15" ht="15" customHeight="1" x14ac:dyDescent="0.3">
      <c r="A25" s="23" t="s">
        <v>316</v>
      </c>
      <c r="B25" s="38">
        <v>46267</v>
      </c>
      <c r="C25" s="23" t="s">
        <v>317</v>
      </c>
      <c r="D25" s="23" t="s">
        <v>91</v>
      </c>
      <c r="E25" s="23" t="s">
        <v>75</v>
      </c>
      <c r="F25" s="23" t="s">
        <v>271</v>
      </c>
      <c r="G25" s="23" t="s">
        <v>318</v>
      </c>
      <c r="H25" s="39">
        <f t="shared" si="0"/>
        <v>2499</v>
      </c>
      <c r="I25" s="23" t="str">
        <f t="shared" si="1"/>
        <v>Pune</v>
      </c>
      <c r="J25" s="23">
        <f>COUNTIFS(pg_transaction_cleaned!$O:$O,A25,pg_transaction_cleaned!$F:$F,"CAPTURE")</f>
        <v>0</v>
      </c>
      <c r="K25" s="39">
        <f>SUMIFS(pg_transaction_cleaned!$H:$H,pg_transaction_cleaned!$O:$O,A25,pg_transaction_cleaned!$F:$F,"CAPTURE")</f>
        <v>0</v>
      </c>
      <c r="L25" s="23">
        <f>COUNTIFS(pg_transaction_cleaned!$O:$O,A25,pg_transaction_cleaned!$F:$F,"REFUND")</f>
        <v>0</v>
      </c>
      <c r="M25" s="39">
        <f>SUMIFS(pg_transaction_cleaned!$H:$H,pg_transaction_cleaned!$O:$O,A25,pg_transaction_cleaned!$F:$F,"REFUND")</f>
        <v>0</v>
      </c>
      <c r="N25" s="23" t="str">
        <f t="shared" si="2"/>
        <v>OK</v>
      </c>
      <c r="O25" s="24">
        <f t="shared" si="3"/>
        <v>0</v>
      </c>
    </row>
    <row r="26" spans="1:15" ht="15" customHeight="1" x14ac:dyDescent="0.3">
      <c r="A26" s="23" t="s">
        <v>319</v>
      </c>
      <c r="B26" s="38">
        <v>46290</v>
      </c>
      <c r="C26" s="23" t="s">
        <v>320</v>
      </c>
      <c r="D26" s="23" t="s">
        <v>86</v>
      </c>
      <c r="E26" s="23" t="s">
        <v>75</v>
      </c>
      <c r="F26" s="23" t="s">
        <v>321</v>
      </c>
      <c r="G26" s="23" t="s">
        <v>250</v>
      </c>
      <c r="H26" s="39">
        <f t="shared" si="0"/>
        <v>5498</v>
      </c>
      <c r="I26" s="23" t="str">
        <f t="shared" si="1"/>
        <v>Delhi</v>
      </c>
      <c r="J26" s="23">
        <f>COUNTIFS(pg_transaction_cleaned!$O:$O,A26,pg_transaction_cleaned!$F:$F,"CAPTURE")</f>
        <v>1</v>
      </c>
      <c r="K26" s="39">
        <f>SUMIFS(pg_transaction_cleaned!$H:$H,pg_transaction_cleaned!$O:$O,A26,pg_transaction_cleaned!$F:$F,"CAPTURE")</f>
        <v>5498</v>
      </c>
      <c r="L26" s="23">
        <f>COUNTIFS(pg_transaction_cleaned!$O:$O,A26,pg_transaction_cleaned!$F:$F,"REFUND")</f>
        <v>0</v>
      </c>
      <c r="M26" s="39">
        <f>SUMIFS(pg_transaction_cleaned!$H:$H,pg_transaction_cleaned!$O:$O,A26,pg_transaction_cleaned!$F:$F,"REFUND")</f>
        <v>0</v>
      </c>
      <c r="N26" s="23" t="str">
        <f t="shared" si="2"/>
        <v>OK</v>
      </c>
      <c r="O26" s="24">
        <f t="shared" si="3"/>
        <v>0</v>
      </c>
    </row>
    <row r="27" spans="1:15" ht="15" customHeight="1" x14ac:dyDescent="0.3">
      <c r="A27" s="23" t="s">
        <v>322</v>
      </c>
      <c r="B27" s="38">
        <v>46274</v>
      </c>
      <c r="C27" s="23" t="s">
        <v>323</v>
      </c>
      <c r="D27" s="23" t="s">
        <v>95</v>
      </c>
      <c r="E27" s="23" t="s">
        <v>75</v>
      </c>
      <c r="F27" s="23" t="s">
        <v>324</v>
      </c>
      <c r="G27" s="23" t="s">
        <v>250</v>
      </c>
      <c r="H27" s="39">
        <f t="shared" si="0"/>
        <v>10498</v>
      </c>
      <c r="I27" s="23" t="str">
        <f t="shared" si="1"/>
        <v>Bengaluru</v>
      </c>
      <c r="J27" s="23">
        <f>COUNTIFS(pg_transaction_cleaned!$O:$O,A27,pg_transaction_cleaned!$F:$F,"CAPTURE")</f>
        <v>1</v>
      </c>
      <c r="K27" s="39">
        <f>SUMIFS(pg_transaction_cleaned!$H:$H,pg_transaction_cleaned!$O:$O,A27,pg_transaction_cleaned!$F:$F,"CAPTURE")</f>
        <v>10498</v>
      </c>
      <c r="L27" s="23">
        <f>COUNTIFS(pg_transaction_cleaned!$O:$O,A27,pg_transaction_cleaned!$F:$F,"REFUND")</f>
        <v>0</v>
      </c>
      <c r="M27" s="39">
        <f>SUMIFS(pg_transaction_cleaned!$H:$H,pg_transaction_cleaned!$O:$O,A27,pg_transaction_cleaned!$F:$F,"REFUND")</f>
        <v>0</v>
      </c>
      <c r="N27" s="23" t="str">
        <f t="shared" si="2"/>
        <v>OK</v>
      </c>
      <c r="O27" s="24">
        <f t="shared" si="3"/>
        <v>0</v>
      </c>
    </row>
    <row r="28" spans="1:15" ht="15" customHeight="1" x14ac:dyDescent="0.3">
      <c r="A28" s="23" t="s">
        <v>325</v>
      </c>
      <c r="B28" s="38">
        <v>46288</v>
      </c>
      <c r="C28" s="23" t="s">
        <v>326</v>
      </c>
      <c r="D28" s="23" t="s">
        <v>89</v>
      </c>
      <c r="E28" s="23" t="s">
        <v>79</v>
      </c>
      <c r="F28" s="23" t="s">
        <v>268</v>
      </c>
      <c r="G28" s="23" t="s">
        <v>301</v>
      </c>
      <c r="H28" s="39">
        <f t="shared" si="0"/>
        <v>1299</v>
      </c>
      <c r="I28" s="23" t="str">
        <f t="shared" si="1"/>
        <v>Jaipur</v>
      </c>
      <c r="J28" s="23">
        <f>COUNTIFS(pg_transaction_cleaned!$O:$O,A28,pg_transaction_cleaned!$F:$F,"CAPTURE")</f>
        <v>1</v>
      </c>
      <c r="K28" s="39">
        <f>SUMIFS(pg_transaction_cleaned!$H:$H,pg_transaction_cleaned!$O:$O,A28,pg_transaction_cleaned!$F:$F,"CAPTURE")</f>
        <v>1299</v>
      </c>
      <c r="L28" s="23">
        <f>COUNTIFS(pg_transaction_cleaned!$O:$O,A28,pg_transaction_cleaned!$F:$F,"REFUND")</f>
        <v>1</v>
      </c>
      <c r="M28" s="39">
        <f>SUMIFS(pg_transaction_cleaned!$H:$H,pg_transaction_cleaned!$O:$O,A28,pg_transaction_cleaned!$F:$F,"REFUND")</f>
        <v>1299</v>
      </c>
      <c r="N28" s="23" t="str">
        <f t="shared" si="2"/>
        <v>OK</v>
      </c>
      <c r="O28" s="24">
        <f t="shared" si="3"/>
        <v>0</v>
      </c>
    </row>
    <row r="29" spans="1:15" ht="15" customHeight="1" x14ac:dyDescent="0.3">
      <c r="A29" s="23" t="s">
        <v>327</v>
      </c>
      <c r="B29" s="38">
        <v>46280</v>
      </c>
      <c r="C29" s="23" t="s">
        <v>328</v>
      </c>
      <c r="D29" s="23" t="s">
        <v>89</v>
      </c>
      <c r="E29" s="23" t="s">
        <v>75</v>
      </c>
      <c r="F29" s="23" t="s">
        <v>329</v>
      </c>
      <c r="G29" s="23" t="s">
        <v>250</v>
      </c>
      <c r="H29" s="39">
        <f t="shared" si="0"/>
        <v>599</v>
      </c>
      <c r="I29" s="23" t="str">
        <f t="shared" si="1"/>
        <v>Jaipur</v>
      </c>
      <c r="J29" s="23">
        <f>COUNTIFS(pg_transaction_cleaned!$O:$O,A29,pg_transaction_cleaned!$F:$F,"CAPTURE")</f>
        <v>1</v>
      </c>
      <c r="K29" s="39">
        <f>SUMIFS(pg_transaction_cleaned!$H:$H,pg_transaction_cleaned!$O:$O,A29,pg_transaction_cleaned!$F:$F,"CAPTURE")</f>
        <v>599</v>
      </c>
      <c r="L29" s="23">
        <f>COUNTIFS(pg_transaction_cleaned!$O:$O,A29,pg_transaction_cleaned!$F:$F,"REFUND")</f>
        <v>0</v>
      </c>
      <c r="M29" s="39">
        <f>SUMIFS(pg_transaction_cleaned!$H:$H,pg_transaction_cleaned!$O:$O,A29,pg_transaction_cleaned!$F:$F,"REFUND")</f>
        <v>0</v>
      </c>
      <c r="N29" s="23" t="str">
        <f t="shared" si="2"/>
        <v>OK</v>
      </c>
      <c r="O29" s="24">
        <f t="shared" si="3"/>
        <v>0</v>
      </c>
    </row>
    <row r="30" spans="1:15" ht="15" customHeight="1" x14ac:dyDescent="0.3">
      <c r="A30" s="23" t="s">
        <v>330</v>
      </c>
      <c r="B30" s="38">
        <v>46273</v>
      </c>
      <c r="C30" s="23" t="s">
        <v>331</v>
      </c>
      <c r="D30" s="23" t="s">
        <v>91</v>
      </c>
      <c r="E30" s="23" t="s">
        <v>79</v>
      </c>
      <c r="F30" s="23" t="s">
        <v>332</v>
      </c>
      <c r="G30" s="23" t="s">
        <v>250</v>
      </c>
      <c r="H30" s="39">
        <f t="shared" si="0"/>
        <v>898</v>
      </c>
      <c r="I30" s="23" t="str">
        <f t="shared" si="1"/>
        <v>Pune</v>
      </c>
      <c r="J30" s="23">
        <f>COUNTIFS(pg_transaction_cleaned!$O:$O,A30,pg_transaction_cleaned!$F:$F,"CAPTURE")</f>
        <v>1</v>
      </c>
      <c r="K30" s="39">
        <f>SUMIFS(pg_transaction_cleaned!$H:$H,pg_transaction_cleaned!$O:$O,A30,pg_transaction_cleaned!$F:$F,"CAPTURE")</f>
        <v>898</v>
      </c>
      <c r="L30" s="23">
        <f>COUNTIFS(pg_transaction_cleaned!$O:$O,A30,pg_transaction_cleaned!$F:$F,"REFUND")</f>
        <v>0</v>
      </c>
      <c r="M30" s="39">
        <f>SUMIFS(pg_transaction_cleaned!$H:$H,pg_transaction_cleaned!$O:$O,A30,pg_transaction_cleaned!$F:$F,"REFUND")</f>
        <v>0</v>
      </c>
      <c r="N30" s="23" t="str">
        <f t="shared" si="2"/>
        <v>OK</v>
      </c>
      <c r="O30" s="24">
        <f t="shared" si="3"/>
        <v>0</v>
      </c>
    </row>
    <row r="31" spans="1:15" ht="15" customHeight="1" x14ac:dyDescent="0.3">
      <c r="A31" s="23" t="s">
        <v>333</v>
      </c>
      <c r="B31" s="38">
        <v>46294</v>
      </c>
      <c r="C31" s="23" t="s">
        <v>334</v>
      </c>
      <c r="D31" s="23" t="s">
        <v>90</v>
      </c>
      <c r="E31" s="23" t="s">
        <v>75</v>
      </c>
      <c r="F31" s="23" t="s">
        <v>310</v>
      </c>
      <c r="G31" s="23" t="s">
        <v>250</v>
      </c>
      <c r="H31" s="39">
        <f t="shared" si="0"/>
        <v>7999</v>
      </c>
      <c r="I31" s="23" t="str">
        <f t="shared" si="1"/>
        <v>Ahmedabad</v>
      </c>
      <c r="J31" s="23">
        <f>COUNTIFS(pg_transaction_cleaned!$O:$O,A31,pg_transaction_cleaned!$F:$F,"CAPTURE")</f>
        <v>1</v>
      </c>
      <c r="K31" s="39">
        <f>SUMIFS(pg_transaction_cleaned!$H:$H,pg_transaction_cleaned!$O:$O,A31,pg_transaction_cleaned!$F:$F,"CAPTURE")</f>
        <v>7999</v>
      </c>
      <c r="L31" s="23">
        <f>COUNTIFS(pg_transaction_cleaned!$O:$O,A31,pg_transaction_cleaned!$F:$F,"REFUND")</f>
        <v>0</v>
      </c>
      <c r="M31" s="39">
        <f>SUMIFS(pg_transaction_cleaned!$H:$H,pg_transaction_cleaned!$O:$O,A31,pg_transaction_cleaned!$F:$F,"REFUND")</f>
        <v>0</v>
      </c>
      <c r="N31" s="23" t="str">
        <f t="shared" si="2"/>
        <v>OK</v>
      </c>
      <c r="O31" s="24">
        <f t="shared" si="3"/>
        <v>0</v>
      </c>
    </row>
    <row r="32" spans="1:15" ht="15" customHeight="1" x14ac:dyDescent="0.3">
      <c r="A32" s="23" t="s">
        <v>335</v>
      </c>
      <c r="B32" s="38">
        <v>46272</v>
      </c>
      <c r="C32" s="23" t="s">
        <v>336</v>
      </c>
      <c r="D32" s="23" t="s">
        <v>95</v>
      </c>
      <c r="E32" s="23" t="s">
        <v>79</v>
      </c>
      <c r="F32" s="23" t="s">
        <v>337</v>
      </c>
      <c r="G32" s="23" t="s">
        <v>318</v>
      </c>
      <c r="H32" s="39">
        <f t="shared" si="0"/>
        <v>3998</v>
      </c>
      <c r="I32" s="23" t="str">
        <f t="shared" si="1"/>
        <v>Bengaluru</v>
      </c>
      <c r="J32" s="23">
        <f>COUNTIFS(pg_transaction_cleaned!$O:$O,A32,pg_transaction_cleaned!$F:$F,"CAPTURE")</f>
        <v>0</v>
      </c>
      <c r="K32" s="39">
        <f>SUMIFS(pg_transaction_cleaned!$H:$H,pg_transaction_cleaned!$O:$O,A32,pg_transaction_cleaned!$F:$F,"CAPTURE")</f>
        <v>0</v>
      </c>
      <c r="L32" s="23">
        <f>COUNTIFS(pg_transaction_cleaned!$O:$O,A32,pg_transaction_cleaned!$F:$F,"REFUND")</f>
        <v>0</v>
      </c>
      <c r="M32" s="39">
        <f>SUMIFS(pg_transaction_cleaned!$H:$H,pg_transaction_cleaned!$O:$O,A32,pg_transaction_cleaned!$F:$F,"REFUND")</f>
        <v>0</v>
      </c>
      <c r="N32" s="23" t="str">
        <f t="shared" si="2"/>
        <v>OK</v>
      </c>
      <c r="O32" s="24">
        <f t="shared" si="3"/>
        <v>0</v>
      </c>
    </row>
    <row r="33" spans="1:15" ht="15" customHeight="1" x14ac:dyDescent="0.3">
      <c r="A33" s="23" t="s">
        <v>338</v>
      </c>
      <c r="B33" s="38">
        <v>46291</v>
      </c>
      <c r="C33" s="23" t="s">
        <v>339</v>
      </c>
      <c r="D33" s="23" t="s">
        <v>94</v>
      </c>
      <c r="E33" s="23" t="s">
        <v>75</v>
      </c>
      <c r="F33" s="23" t="s">
        <v>340</v>
      </c>
      <c r="G33" s="23" t="s">
        <v>250</v>
      </c>
      <c r="H33" s="39">
        <f t="shared" si="0"/>
        <v>6298</v>
      </c>
      <c r="I33" s="23" t="str">
        <f t="shared" si="1"/>
        <v>Chennai</v>
      </c>
      <c r="J33" s="23">
        <f>COUNTIFS(pg_transaction_cleaned!$O:$O,A33,pg_transaction_cleaned!$F:$F,"CAPTURE")</f>
        <v>1</v>
      </c>
      <c r="K33" s="39">
        <f>SUMIFS(pg_transaction_cleaned!$H:$H,pg_transaction_cleaned!$O:$O,A33,pg_transaction_cleaned!$F:$F,"CAPTURE")</f>
        <v>6298</v>
      </c>
      <c r="L33" s="23">
        <f>COUNTIFS(pg_transaction_cleaned!$O:$O,A33,pg_transaction_cleaned!$F:$F,"REFUND")</f>
        <v>0</v>
      </c>
      <c r="M33" s="39">
        <f>SUMIFS(pg_transaction_cleaned!$H:$H,pg_transaction_cleaned!$O:$O,A33,pg_transaction_cleaned!$F:$F,"REFUND")</f>
        <v>0</v>
      </c>
      <c r="N33" s="23" t="str">
        <f t="shared" si="2"/>
        <v>OK</v>
      </c>
      <c r="O33" s="24">
        <f t="shared" si="3"/>
        <v>0</v>
      </c>
    </row>
    <row r="34" spans="1:15" ht="15" customHeight="1" x14ac:dyDescent="0.3">
      <c r="A34" s="23" t="s">
        <v>341</v>
      </c>
      <c r="B34" s="38">
        <v>46279</v>
      </c>
      <c r="C34" s="23" t="s">
        <v>342</v>
      </c>
      <c r="D34" s="23" t="s">
        <v>91</v>
      </c>
      <c r="E34" s="23" t="s">
        <v>79</v>
      </c>
      <c r="F34" s="23" t="s">
        <v>343</v>
      </c>
      <c r="G34" s="23" t="s">
        <v>250</v>
      </c>
      <c r="H34" s="39">
        <f t="shared" si="0"/>
        <v>9498</v>
      </c>
      <c r="I34" s="23" t="str">
        <f t="shared" si="1"/>
        <v>Pune</v>
      </c>
      <c r="J34" s="23">
        <f>COUNTIFS(pg_transaction_cleaned!$O:$O,A34,pg_transaction_cleaned!$F:$F,"CAPTURE")</f>
        <v>1</v>
      </c>
      <c r="K34" s="39">
        <f>SUMIFS(pg_transaction_cleaned!$H:$H,pg_transaction_cleaned!$O:$O,A34,pg_transaction_cleaned!$F:$F,"CAPTURE")</f>
        <v>9498</v>
      </c>
      <c r="L34" s="23">
        <f>COUNTIFS(pg_transaction_cleaned!$O:$O,A34,pg_transaction_cleaned!$F:$F,"REFUND")</f>
        <v>0</v>
      </c>
      <c r="M34" s="39">
        <f>SUMIFS(pg_transaction_cleaned!$H:$H,pg_transaction_cleaned!$O:$O,A34,pg_transaction_cleaned!$F:$F,"REFUND")</f>
        <v>0</v>
      </c>
      <c r="N34" s="23" t="str">
        <f t="shared" si="2"/>
        <v>OK</v>
      </c>
      <c r="O34" s="24">
        <f t="shared" si="3"/>
        <v>0</v>
      </c>
    </row>
    <row r="35" spans="1:15" ht="15" customHeight="1" x14ac:dyDescent="0.3">
      <c r="A35" s="23" t="s">
        <v>344</v>
      </c>
      <c r="B35" s="38">
        <v>46267</v>
      </c>
      <c r="C35" s="23" t="s">
        <v>345</v>
      </c>
      <c r="D35" s="23" t="s">
        <v>95</v>
      </c>
      <c r="E35" s="23" t="s">
        <v>75</v>
      </c>
      <c r="F35" s="23" t="s">
        <v>346</v>
      </c>
      <c r="G35" s="23" t="s">
        <v>250</v>
      </c>
      <c r="H35" s="39">
        <f t="shared" si="0"/>
        <v>4498</v>
      </c>
      <c r="I35" s="23" t="str">
        <f t="shared" si="1"/>
        <v>Bengaluru</v>
      </c>
      <c r="J35" s="23">
        <f>COUNTIFS(pg_transaction_cleaned!$O:$O,A35,pg_transaction_cleaned!$F:$F,"CAPTURE")</f>
        <v>1</v>
      </c>
      <c r="K35" s="39">
        <f>SUMIFS(pg_transaction_cleaned!$H:$H,pg_transaction_cleaned!$O:$O,A35,pg_transaction_cleaned!$F:$F,"CAPTURE")</f>
        <v>4498</v>
      </c>
      <c r="L35" s="23">
        <f>COUNTIFS(pg_transaction_cleaned!$O:$O,A35,pg_transaction_cleaned!$F:$F,"REFUND")</f>
        <v>0</v>
      </c>
      <c r="M35" s="39">
        <f>SUMIFS(pg_transaction_cleaned!$H:$H,pg_transaction_cleaned!$O:$O,A35,pg_transaction_cleaned!$F:$F,"REFUND")</f>
        <v>0</v>
      </c>
      <c r="N35" s="23" t="str">
        <f t="shared" si="2"/>
        <v>OK</v>
      </c>
      <c r="O35" s="24">
        <f t="shared" si="3"/>
        <v>0</v>
      </c>
    </row>
    <row r="36" spans="1:15" ht="15" customHeight="1" x14ac:dyDescent="0.3">
      <c r="A36" s="23" t="s">
        <v>347</v>
      </c>
      <c r="B36" s="38">
        <v>46283</v>
      </c>
      <c r="C36" s="23" t="s">
        <v>348</v>
      </c>
      <c r="D36" s="23" t="s">
        <v>90</v>
      </c>
      <c r="E36" s="23" t="s">
        <v>75</v>
      </c>
      <c r="F36" s="23" t="s">
        <v>349</v>
      </c>
      <c r="G36" s="23" t="s">
        <v>250</v>
      </c>
      <c r="H36" s="39">
        <f t="shared" si="0"/>
        <v>1798</v>
      </c>
      <c r="I36" s="23" t="str">
        <f t="shared" si="1"/>
        <v>Ahmedabad</v>
      </c>
      <c r="J36" s="23">
        <f>COUNTIFS(pg_transaction_cleaned!$O:$O,A36,pg_transaction_cleaned!$F:$F,"CAPTURE")</f>
        <v>1</v>
      </c>
      <c r="K36" s="39">
        <f>SUMIFS(pg_transaction_cleaned!$H:$H,pg_transaction_cleaned!$O:$O,A36,pg_transaction_cleaned!$F:$F,"CAPTURE")</f>
        <v>1798</v>
      </c>
      <c r="L36" s="23">
        <f>COUNTIFS(pg_transaction_cleaned!$O:$O,A36,pg_transaction_cleaned!$F:$F,"REFUND")</f>
        <v>0</v>
      </c>
      <c r="M36" s="39">
        <f>SUMIFS(pg_transaction_cleaned!$H:$H,pg_transaction_cleaned!$O:$O,A36,pg_transaction_cleaned!$F:$F,"REFUND")</f>
        <v>0</v>
      </c>
      <c r="N36" s="23" t="str">
        <f t="shared" si="2"/>
        <v>OK</v>
      </c>
      <c r="O36" s="24">
        <f t="shared" si="3"/>
        <v>0</v>
      </c>
    </row>
    <row r="37" spans="1:15" ht="15" customHeight="1" x14ac:dyDescent="0.3">
      <c r="A37" s="23" t="s">
        <v>350</v>
      </c>
      <c r="B37" s="38">
        <v>46291</v>
      </c>
      <c r="C37" s="23" t="s">
        <v>351</v>
      </c>
      <c r="D37" s="23" t="s">
        <v>91</v>
      </c>
      <c r="E37" s="23" t="s">
        <v>75</v>
      </c>
      <c r="F37" s="23" t="s">
        <v>352</v>
      </c>
      <c r="G37" s="23" t="s">
        <v>250</v>
      </c>
      <c r="H37" s="39">
        <f t="shared" si="0"/>
        <v>648</v>
      </c>
      <c r="I37" s="23" t="str">
        <f t="shared" si="1"/>
        <v>Pune</v>
      </c>
      <c r="J37" s="23">
        <f>COUNTIFS(pg_transaction_cleaned!$O:$O,A37,pg_transaction_cleaned!$F:$F,"CAPTURE")</f>
        <v>1</v>
      </c>
      <c r="K37" s="39">
        <f>SUMIFS(pg_transaction_cleaned!$H:$H,pg_transaction_cleaned!$O:$O,A37,pg_transaction_cleaned!$F:$F,"CAPTURE")</f>
        <v>648</v>
      </c>
      <c r="L37" s="23">
        <f>COUNTIFS(pg_transaction_cleaned!$O:$O,A37,pg_transaction_cleaned!$F:$F,"REFUND")</f>
        <v>0</v>
      </c>
      <c r="M37" s="39">
        <f>SUMIFS(pg_transaction_cleaned!$H:$H,pg_transaction_cleaned!$O:$O,A37,pg_transaction_cleaned!$F:$F,"REFUND")</f>
        <v>0</v>
      </c>
      <c r="N37" s="23" t="str">
        <f t="shared" si="2"/>
        <v>OK</v>
      </c>
      <c r="O37" s="24">
        <f t="shared" si="3"/>
        <v>0</v>
      </c>
    </row>
    <row r="38" spans="1:15" ht="15" customHeight="1" x14ac:dyDescent="0.3">
      <c r="A38" s="23" t="s">
        <v>353</v>
      </c>
      <c r="B38" s="38">
        <v>46295</v>
      </c>
      <c r="C38" s="23" t="s">
        <v>354</v>
      </c>
      <c r="D38" s="23" t="s">
        <v>87</v>
      </c>
      <c r="E38" s="23" t="s">
        <v>75</v>
      </c>
      <c r="F38" s="23" t="s">
        <v>262</v>
      </c>
      <c r="G38" s="23" t="s">
        <v>250</v>
      </c>
      <c r="H38" s="39">
        <f t="shared" si="0"/>
        <v>499</v>
      </c>
      <c r="I38" s="23" t="str">
        <f t="shared" si="1"/>
        <v>Mumbai</v>
      </c>
      <c r="J38" s="23">
        <f>COUNTIFS(pg_transaction_cleaned!$O:$O,A38,pg_transaction_cleaned!$F:$F,"CAPTURE")</f>
        <v>1</v>
      </c>
      <c r="K38" s="39">
        <f>SUMIFS(pg_transaction_cleaned!$H:$H,pg_transaction_cleaned!$O:$O,A38,pg_transaction_cleaned!$F:$F,"CAPTURE")</f>
        <v>499</v>
      </c>
      <c r="L38" s="23">
        <f>COUNTIFS(pg_transaction_cleaned!$O:$O,A38,pg_transaction_cleaned!$F:$F,"REFUND")</f>
        <v>0</v>
      </c>
      <c r="M38" s="39">
        <f>SUMIFS(pg_transaction_cleaned!$H:$H,pg_transaction_cleaned!$O:$O,A38,pg_transaction_cleaned!$F:$F,"REFUND")</f>
        <v>0</v>
      </c>
      <c r="N38" s="23" t="str">
        <f t="shared" si="2"/>
        <v>OK</v>
      </c>
      <c r="O38" s="24">
        <f t="shared" si="3"/>
        <v>0</v>
      </c>
    </row>
    <row r="39" spans="1:15" ht="15" customHeight="1" x14ac:dyDescent="0.3">
      <c r="A39" s="23" t="s">
        <v>355</v>
      </c>
      <c r="B39" s="38">
        <v>46271</v>
      </c>
      <c r="C39" s="23" t="s">
        <v>356</v>
      </c>
      <c r="D39" s="23" t="s">
        <v>92</v>
      </c>
      <c r="E39" s="23" t="s">
        <v>79</v>
      </c>
      <c r="F39" s="23" t="s">
        <v>357</v>
      </c>
      <c r="G39" s="23" t="s">
        <v>250</v>
      </c>
      <c r="H39" s="39">
        <f t="shared" si="0"/>
        <v>1598</v>
      </c>
      <c r="I39" s="23" t="str">
        <f t="shared" si="1"/>
        <v>Hyderabad</v>
      </c>
      <c r="J39" s="23">
        <f>COUNTIFS(pg_transaction_cleaned!$O:$O,A39,pg_transaction_cleaned!$F:$F,"CAPTURE")</f>
        <v>1</v>
      </c>
      <c r="K39" s="39">
        <f>SUMIFS(pg_transaction_cleaned!$H:$H,pg_transaction_cleaned!$O:$O,A39,pg_transaction_cleaned!$F:$F,"CAPTURE")</f>
        <v>1598</v>
      </c>
      <c r="L39" s="23">
        <f>COUNTIFS(pg_transaction_cleaned!$O:$O,A39,pg_transaction_cleaned!$F:$F,"REFUND")</f>
        <v>0</v>
      </c>
      <c r="M39" s="39">
        <f>SUMIFS(pg_transaction_cleaned!$H:$H,pg_transaction_cleaned!$O:$O,A39,pg_transaction_cleaned!$F:$F,"REFUND")</f>
        <v>0</v>
      </c>
      <c r="N39" s="23" t="str">
        <f t="shared" si="2"/>
        <v>OK</v>
      </c>
      <c r="O39" s="24">
        <f t="shared" si="3"/>
        <v>0</v>
      </c>
    </row>
    <row r="40" spans="1:15" ht="15" customHeight="1" x14ac:dyDescent="0.3">
      <c r="A40" s="23" t="s">
        <v>358</v>
      </c>
      <c r="B40" s="38">
        <v>46279</v>
      </c>
      <c r="C40" s="23" t="s">
        <v>359</v>
      </c>
      <c r="D40" s="23" t="s">
        <v>92</v>
      </c>
      <c r="E40" s="23" t="s">
        <v>75</v>
      </c>
      <c r="F40" s="23" t="s">
        <v>360</v>
      </c>
      <c r="G40" s="23" t="s">
        <v>250</v>
      </c>
      <c r="H40" s="39">
        <f t="shared" si="0"/>
        <v>10297</v>
      </c>
      <c r="I40" s="23" t="str">
        <f t="shared" si="1"/>
        <v>Hyderabad</v>
      </c>
      <c r="J40" s="23">
        <f>COUNTIFS(pg_transaction_cleaned!$O:$O,A40,pg_transaction_cleaned!$F:$F,"CAPTURE")</f>
        <v>1</v>
      </c>
      <c r="K40" s="39">
        <f>SUMIFS(pg_transaction_cleaned!$H:$H,pg_transaction_cleaned!$O:$O,A40,pg_transaction_cleaned!$F:$F,"CAPTURE")</f>
        <v>10297</v>
      </c>
      <c r="L40" s="23">
        <f>COUNTIFS(pg_transaction_cleaned!$O:$O,A40,pg_transaction_cleaned!$F:$F,"REFUND")</f>
        <v>0</v>
      </c>
      <c r="M40" s="39">
        <f>SUMIFS(pg_transaction_cleaned!$H:$H,pg_transaction_cleaned!$O:$O,A40,pg_transaction_cleaned!$F:$F,"REFUND")</f>
        <v>0</v>
      </c>
      <c r="N40" s="23" t="str">
        <f t="shared" si="2"/>
        <v>OK</v>
      </c>
      <c r="O40" s="24">
        <f t="shared" si="3"/>
        <v>0</v>
      </c>
    </row>
    <row r="41" spans="1:15" ht="15" customHeight="1" x14ac:dyDescent="0.3">
      <c r="A41" s="23" t="s">
        <v>361</v>
      </c>
      <c r="B41" s="38">
        <v>46272</v>
      </c>
      <c r="C41" s="23" t="s">
        <v>362</v>
      </c>
      <c r="D41" s="23" t="s">
        <v>87</v>
      </c>
      <c r="E41" s="23" t="s">
        <v>75</v>
      </c>
      <c r="F41" s="23" t="s">
        <v>271</v>
      </c>
      <c r="G41" s="23" t="s">
        <v>250</v>
      </c>
      <c r="H41" s="39">
        <f t="shared" si="0"/>
        <v>2499</v>
      </c>
      <c r="I41" s="23" t="str">
        <f t="shared" si="1"/>
        <v>Mumbai</v>
      </c>
      <c r="J41" s="23">
        <f>COUNTIFS(pg_transaction_cleaned!$O:$O,A41,pg_transaction_cleaned!$F:$F,"CAPTURE")</f>
        <v>1</v>
      </c>
      <c r="K41" s="39">
        <f>SUMIFS(pg_transaction_cleaned!$H:$H,pg_transaction_cleaned!$O:$O,A41,pg_transaction_cleaned!$F:$F,"CAPTURE")</f>
        <v>2499</v>
      </c>
      <c r="L41" s="23">
        <f>COUNTIFS(pg_transaction_cleaned!$O:$O,A41,pg_transaction_cleaned!$F:$F,"REFUND")</f>
        <v>0</v>
      </c>
      <c r="M41" s="39">
        <f>SUMIFS(pg_transaction_cleaned!$H:$H,pg_transaction_cleaned!$O:$O,A41,pg_transaction_cleaned!$F:$F,"REFUND")</f>
        <v>0</v>
      </c>
      <c r="N41" s="23" t="str">
        <f t="shared" si="2"/>
        <v>OK</v>
      </c>
      <c r="O41" s="24">
        <f t="shared" si="3"/>
        <v>0</v>
      </c>
    </row>
    <row r="42" spans="1:15" ht="15" customHeight="1" x14ac:dyDescent="0.3">
      <c r="A42" s="23" t="s">
        <v>363</v>
      </c>
      <c r="B42" s="38">
        <v>46267</v>
      </c>
      <c r="C42" s="23" t="s">
        <v>364</v>
      </c>
      <c r="D42" s="23" t="s">
        <v>89</v>
      </c>
      <c r="E42" s="23" t="s">
        <v>75</v>
      </c>
      <c r="F42" s="23" t="s">
        <v>259</v>
      </c>
      <c r="G42" s="23" t="s">
        <v>365</v>
      </c>
      <c r="H42" s="39">
        <f t="shared" si="0"/>
        <v>3298</v>
      </c>
      <c r="I42" s="23" t="str">
        <f t="shared" si="1"/>
        <v>Jaipur</v>
      </c>
      <c r="J42" s="23">
        <f>COUNTIFS(pg_transaction_cleaned!$O:$O,A42,pg_transaction_cleaned!$F:$F,"CAPTURE")</f>
        <v>0</v>
      </c>
      <c r="K42" s="39">
        <f>SUMIFS(pg_transaction_cleaned!$H:$H,pg_transaction_cleaned!$O:$O,A42,pg_transaction_cleaned!$F:$F,"CAPTURE")</f>
        <v>0</v>
      </c>
      <c r="L42" s="23">
        <f>COUNTIFS(pg_transaction_cleaned!$O:$O,A42,pg_transaction_cleaned!$F:$F,"REFUND")</f>
        <v>0</v>
      </c>
      <c r="M42" s="39">
        <f>SUMIFS(pg_transaction_cleaned!$H:$H,pg_transaction_cleaned!$O:$O,A42,pg_transaction_cleaned!$F:$F,"REFUND")</f>
        <v>0</v>
      </c>
      <c r="N42" s="23" t="str">
        <f t="shared" si="2"/>
        <v>OK</v>
      </c>
      <c r="O42" s="24">
        <f t="shared" si="3"/>
        <v>0</v>
      </c>
    </row>
    <row r="43" spans="1:15" ht="15" customHeight="1" x14ac:dyDescent="0.3">
      <c r="A43" s="23" t="s">
        <v>366</v>
      </c>
      <c r="B43" s="38">
        <v>46268</v>
      </c>
      <c r="C43" s="23" t="s">
        <v>367</v>
      </c>
      <c r="D43" s="23" t="s">
        <v>93</v>
      </c>
      <c r="E43" s="23" t="s">
        <v>79</v>
      </c>
      <c r="F43" s="23" t="s">
        <v>274</v>
      </c>
      <c r="G43" s="23" t="s">
        <v>250</v>
      </c>
      <c r="H43" s="39">
        <f t="shared" si="0"/>
        <v>349</v>
      </c>
      <c r="I43" s="23" t="str">
        <f t="shared" si="1"/>
        <v>Kolkata</v>
      </c>
      <c r="J43" s="23">
        <f>COUNTIFS(pg_transaction_cleaned!$O:$O,A43,pg_transaction_cleaned!$F:$F,"CAPTURE")</f>
        <v>1</v>
      </c>
      <c r="K43" s="39">
        <f>SUMIFS(pg_transaction_cleaned!$H:$H,pg_transaction_cleaned!$O:$O,A43,pg_transaction_cleaned!$F:$F,"CAPTURE")</f>
        <v>349</v>
      </c>
      <c r="L43" s="23">
        <f>COUNTIFS(pg_transaction_cleaned!$O:$O,A43,pg_transaction_cleaned!$F:$F,"REFUND")</f>
        <v>0</v>
      </c>
      <c r="M43" s="39">
        <f>SUMIFS(pg_transaction_cleaned!$H:$H,pg_transaction_cleaned!$O:$O,A43,pg_transaction_cleaned!$F:$F,"REFUND")</f>
        <v>0</v>
      </c>
      <c r="N43" s="23" t="str">
        <f t="shared" si="2"/>
        <v>OK</v>
      </c>
      <c r="O43" s="24">
        <f t="shared" si="3"/>
        <v>0</v>
      </c>
    </row>
    <row r="44" spans="1:15" ht="15" customHeight="1" x14ac:dyDescent="0.3">
      <c r="A44" s="23" t="s">
        <v>368</v>
      </c>
      <c r="B44" s="38">
        <v>46269</v>
      </c>
      <c r="C44" s="23" t="s">
        <v>369</v>
      </c>
      <c r="D44" s="23" t="s">
        <v>88</v>
      </c>
      <c r="E44" s="23" t="s">
        <v>79</v>
      </c>
      <c r="F44" s="23" t="s">
        <v>370</v>
      </c>
      <c r="G44" s="23" t="s">
        <v>250</v>
      </c>
      <c r="H44" s="39">
        <f t="shared" si="0"/>
        <v>3098</v>
      </c>
      <c r="I44" s="23" t="str">
        <f t="shared" si="1"/>
        <v>Lucknow</v>
      </c>
      <c r="J44" s="23">
        <f>COUNTIFS(pg_transaction_cleaned!$O:$O,A44,pg_transaction_cleaned!$F:$F,"CAPTURE")</f>
        <v>1</v>
      </c>
      <c r="K44" s="39">
        <f>SUMIFS(pg_transaction_cleaned!$H:$H,pg_transaction_cleaned!$O:$O,A44,pg_transaction_cleaned!$F:$F,"CAPTURE")</f>
        <v>3098</v>
      </c>
      <c r="L44" s="23">
        <f>COUNTIFS(pg_transaction_cleaned!$O:$O,A44,pg_transaction_cleaned!$F:$F,"REFUND")</f>
        <v>0</v>
      </c>
      <c r="M44" s="39">
        <f>SUMIFS(pg_transaction_cleaned!$H:$H,pg_transaction_cleaned!$O:$O,A44,pg_transaction_cleaned!$F:$F,"REFUND")</f>
        <v>0</v>
      </c>
      <c r="N44" s="23" t="str">
        <f t="shared" si="2"/>
        <v>OK</v>
      </c>
      <c r="O44" s="24">
        <f t="shared" si="3"/>
        <v>0</v>
      </c>
    </row>
    <row r="45" spans="1:15" ht="15" customHeight="1" x14ac:dyDescent="0.3">
      <c r="A45" s="23" t="s">
        <v>371</v>
      </c>
      <c r="B45" s="38">
        <v>46284</v>
      </c>
      <c r="C45" s="23" t="s">
        <v>372</v>
      </c>
      <c r="D45" s="23" t="s">
        <v>92</v>
      </c>
      <c r="E45" s="23" t="s">
        <v>79</v>
      </c>
      <c r="F45" s="23" t="s">
        <v>349</v>
      </c>
      <c r="G45" s="23" t="s">
        <v>250</v>
      </c>
      <c r="H45" s="39">
        <f t="shared" si="0"/>
        <v>1798</v>
      </c>
      <c r="I45" s="23" t="str">
        <f t="shared" si="1"/>
        <v>Hyderabad</v>
      </c>
      <c r="J45" s="23">
        <f>COUNTIFS(pg_transaction_cleaned!$O:$O,A45,pg_transaction_cleaned!$F:$F,"CAPTURE")</f>
        <v>1</v>
      </c>
      <c r="K45" s="39">
        <f>SUMIFS(pg_transaction_cleaned!$H:$H,pg_transaction_cleaned!$O:$O,A45,pg_transaction_cleaned!$F:$F,"CAPTURE")</f>
        <v>1798</v>
      </c>
      <c r="L45" s="23">
        <f>COUNTIFS(pg_transaction_cleaned!$O:$O,A45,pg_transaction_cleaned!$F:$F,"REFUND")</f>
        <v>0</v>
      </c>
      <c r="M45" s="39">
        <f>SUMIFS(pg_transaction_cleaned!$H:$H,pg_transaction_cleaned!$O:$O,A45,pg_transaction_cleaned!$F:$F,"REFUND")</f>
        <v>0</v>
      </c>
      <c r="N45" s="23" t="str">
        <f t="shared" si="2"/>
        <v>OK</v>
      </c>
      <c r="O45" s="24">
        <f t="shared" si="3"/>
        <v>0</v>
      </c>
    </row>
    <row r="46" spans="1:15" ht="15" customHeight="1" x14ac:dyDescent="0.3">
      <c r="A46" s="23" t="s">
        <v>373</v>
      </c>
      <c r="B46" s="38">
        <v>46278</v>
      </c>
      <c r="C46" s="23" t="s">
        <v>374</v>
      </c>
      <c r="D46" s="23" t="s">
        <v>87</v>
      </c>
      <c r="E46" s="23" t="s">
        <v>75</v>
      </c>
      <c r="F46" s="23" t="s">
        <v>375</v>
      </c>
      <c r="G46" s="23" t="s">
        <v>250</v>
      </c>
      <c r="H46" s="39">
        <f t="shared" si="0"/>
        <v>2999</v>
      </c>
      <c r="I46" s="23" t="str">
        <f t="shared" si="1"/>
        <v>Mumbai</v>
      </c>
      <c r="J46" s="23">
        <f>COUNTIFS(pg_transaction_cleaned!$O:$O,A46,pg_transaction_cleaned!$F:$F,"CAPTURE")</f>
        <v>1</v>
      </c>
      <c r="K46" s="39">
        <f>SUMIFS(pg_transaction_cleaned!$H:$H,pg_transaction_cleaned!$O:$O,A46,pg_transaction_cleaned!$F:$F,"CAPTURE")</f>
        <v>2999</v>
      </c>
      <c r="L46" s="23">
        <f>COUNTIFS(pg_transaction_cleaned!$O:$O,A46,pg_transaction_cleaned!$F:$F,"REFUND")</f>
        <v>0</v>
      </c>
      <c r="M46" s="39">
        <f>SUMIFS(pg_transaction_cleaned!$H:$H,pg_transaction_cleaned!$O:$O,A46,pg_transaction_cleaned!$F:$F,"REFUND")</f>
        <v>0</v>
      </c>
      <c r="N46" s="23" t="str">
        <f t="shared" si="2"/>
        <v>OK</v>
      </c>
      <c r="O46" s="24">
        <f t="shared" si="3"/>
        <v>0</v>
      </c>
    </row>
    <row r="47" spans="1:15" ht="15" customHeight="1" x14ac:dyDescent="0.3">
      <c r="A47" s="23" t="s">
        <v>376</v>
      </c>
      <c r="B47" s="38">
        <v>46280</v>
      </c>
      <c r="C47" s="23" t="s">
        <v>377</v>
      </c>
      <c r="D47" s="23" t="s">
        <v>86</v>
      </c>
      <c r="E47" s="23" t="s">
        <v>75</v>
      </c>
      <c r="F47" s="23" t="s">
        <v>378</v>
      </c>
      <c r="G47" s="23" t="s">
        <v>250</v>
      </c>
      <c r="H47" s="39">
        <f t="shared" si="0"/>
        <v>2848</v>
      </c>
      <c r="I47" s="23" t="str">
        <f t="shared" si="1"/>
        <v>Delhi</v>
      </c>
      <c r="J47" s="23">
        <f>COUNTIFS(pg_transaction_cleaned!$O:$O,A47,pg_transaction_cleaned!$F:$F,"CAPTURE")</f>
        <v>1</v>
      </c>
      <c r="K47" s="39">
        <f>SUMIFS(pg_transaction_cleaned!$H:$H,pg_transaction_cleaned!$O:$O,A47,pg_transaction_cleaned!$F:$F,"CAPTURE")</f>
        <v>2848</v>
      </c>
      <c r="L47" s="23">
        <f>COUNTIFS(pg_transaction_cleaned!$O:$O,A47,pg_transaction_cleaned!$F:$F,"REFUND")</f>
        <v>0</v>
      </c>
      <c r="M47" s="39">
        <f>SUMIFS(pg_transaction_cleaned!$H:$H,pg_transaction_cleaned!$O:$O,A47,pg_transaction_cleaned!$F:$F,"REFUND")</f>
        <v>0</v>
      </c>
      <c r="N47" s="23" t="str">
        <f t="shared" si="2"/>
        <v>OK</v>
      </c>
      <c r="O47" s="24">
        <f t="shared" si="3"/>
        <v>0</v>
      </c>
    </row>
    <row r="48" spans="1:15" ht="15" customHeight="1" x14ac:dyDescent="0.3">
      <c r="A48" s="23" t="s">
        <v>379</v>
      </c>
      <c r="B48" s="38">
        <v>46295</v>
      </c>
      <c r="C48" s="23" t="s">
        <v>380</v>
      </c>
      <c r="D48" s="23" t="s">
        <v>90</v>
      </c>
      <c r="E48" s="23" t="s">
        <v>75</v>
      </c>
      <c r="F48" s="23" t="s">
        <v>274</v>
      </c>
      <c r="G48" s="23" t="s">
        <v>250</v>
      </c>
      <c r="H48" s="39">
        <f t="shared" si="0"/>
        <v>349</v>
      </c>
      <c r="I48" s="23" t="str">
        <f t="shared" si="1"/>
        <v>Ahmedabad</v>
      </c>
      <c r="J48" s="23">
        <f>COUNTIFS(pg_transaction_cleaned!$O:$O,A48,pg_transaction_cleaned!$F:$F,"CAPTURE")</f>
        <v>1</v>
      </c>
      <c r="K48" s="39">
        <f>SUMIFS(pg_transaction_cleaned!$H:$H,pg_transaction_cleaned!$O:$O,A48,pg_transaction_cleaned!$F:$F,"CAPTURE")</f>
        <v>349</v>
      </c>
      <c r="L48" s="23">
        <f>COUNTIFS(pg_transaction_cleaned!$O:$O,A48,pg_transaction_cleaned!$F:$F,"REFUND")</f>
        <v>0</v>
      </c>
      <c r="M48" s="39">
        <f>SUMIFS(pg_transaction_cleaned!$H:$H,pg_transaction_cleaned!$O:$O,A48,pg_transaction_cleaned!$F:$F,"REFUND")</f>
        <v>0</v>
      </c>
      <c r="N48" s="23" t="str">
        <f t="shared" si="2"/>
        <v>OK</v>
      </c>
      <c r="O48" s="24">
        <f t="shared" si="3"/>
        <v>0</v>
      </c>
    </row>
    <row r="49" spans="1:15" ht="15" customHeight="1" x14ac:dyDescent="0.3">
      <c r="A49" s="23" t="s">
        <v>381</v>
      </c>
      <c r="B49" s="38">
        <v>46292</v>
      </c>
      <c r="C49" s="23" t="s">
        <v>382</v>
      </c>
      <c r="D49" s="23" t="s">
        <v>89</v>
      </c>
      <c r="E49" s="23" t="s">
        <v>77</v>
      </c>
      <c r="F49" s="23" t="s">
        <v>288</v>
      </c>
      <c r="G49" s="23" t="s">
        <v>250</v>
      </c>
      <c r="H49" s="39">
        <f t="shared" si="0"/>
        <v>4298</v>
      </c>
      <c r="I49" s="23" t="str">
        <f t="shared" si="1"/>
        <v>Jaipur</v>
      </c>
      <c r="J49" s="23">
        <f>COUNTIFS(pg_transaction_cleaned!$O:$O,A49,pg_transaction_cleaned!$F:$F,"CAPTURE")</f>
        <v>1</v>
      </c>
      <c r="K49" s="39">
        <f>SUMIFS(pg_transaction_cleaned!$H:$H,pg_transaction_cleaned!$O:$O,A49,pg_transaction_cleaned!$F:$F,"CAPTURE")</f>
        <v>4298</v>
      </c>
      <c r="L49" s="23">
        <f>COUNTIFS(pg_transaction_cleaned!$O:$O,A49,pg_transaction_cleaned!$F:$F,"REFUND")</f>
        <v>0</v>
      </c>
      <c r="M49" s="39">
        <f>SUMIFS(pg_transaction_cleaned!$H:$H,pg_transaction_cleaned!$O:$O,A49,pg_transaction_cleaned!$F:$F,"REFUND")</f>
        <v>0</v>
      </c>
      <c r="N49" s="23" t="str">
        <f t="shared" si="2"/>
        <v>OK</v>
      </c>
      <c r="O49" s="24">
        <f t="shared" si="3"/>
        <v>0</v>
      </c>
    </row>
    <row r="50" spans="1:15" ht="15" customHeight="1" x14ac:dyDescent="0.3">
      <c r="A50" s="23" t="s">
        <v>383</v>
      </c>
      <c r="B50" s="38">
        <v>46266</v>
      </c>
      <c r="C50" s="23" t="s">
        <v>384</v>
      </c>
      <c r="D50" s="23" t="s">
        <v>92</v>
      </c>
      <c r="E50" s="23" t="s">
        <v>75</v>
      </c>
      <c r="F50" s="23" t="s">
        <v>385</v>
      </c>
      <c r="G50" s="23" t="s">
        <v>318</v>
      </c>
      <c r="H50" s="39">
        <f t="shared" si="0"/>
        <v>10597</v>
      </c>
      <c r="I50" s="23" t="str">
        <f t="shared" si="1"/>
        <v>Hyderabad</v>
      </c>
      <c r="J50" s="23">
        <f>COUNTIFS(pg_transaction_cleaned!$O:$O,A50,pg_transaction_cleaned!$F:$F,"CAPTURE")</f>
        <v>0</v>
      </c>
      <c r="K50" s="39">
        <f>SUMIFS(pg_transaction_cleaned!$H:$H,pg_transaction_cleaned!$O:$O,A50,pg_transaction_cleaned!$F:$F,"CAPTURE")</f>
        <v>0</v>
      </c>
      <c r="L50" s="23">
        <f>COUNTIFS(pg_transaction_cleaned!$O:$O,A50,pg_transaction_cleaned!$F:$F,"REFUND")</f>
        <v>0</v>
      </c>
      <c r="M50" s="39">
        <f>SUMIFS(pg_transaction_cleaned!$H:$H,pg_transaction_cleaned!$O:$O,A50,pg_transaction_cleaned!$F:$F,"REFUND")</f>
        <v>0</v>
      </c>
      <c r="N50" s="23" t="str">
        <f t="shared" si="2"/>
        <v>OK</v>
      </c>
      <c r="O50" s="24">
        <f t="shared" si="3"/>
        <v>0</v>
      </c>
    </row>
    <row r="51" spans="1:15" ht="15" customHeight="1" x14ac:dyDescent="0.3">
      <c r="A51" s="23" t="s">
        <v>386</v>
      </c>
      <c r="B51" s="38">
        <v>46269</v>
      </c>
      <c r="C51" s="23" t="s">
        <v>387</v>
      </c>
      <c r="D51" s="23" t="s">
        <v>95</v>
      </c>
      <c r="E51" s="23" t="s">
        <v>75</v>
      </c>
      <c r="F51" s="23" t="s">
        <v>291</v>
      </c>
      <c r="G51" s="23" t="s">
        <v>250</v>
      </c>
      <c r="H51" s="39">
        <f t="shared" si="0"/>
        <v>3499</v>
      </c>
      <c r="I51" s="23" t="str">
        <f t="shared" si="1"/>
        <v>Bengaluru</v>
      </c>
      <c r="J51" s="23">
        <f>COUNTIFS(pg_transaction_cleaned!$O:$O,A51,pg_transaction_cleaned!$F:$F,"CAPTURE")</f>
        <v>1</v>
      </c>
      <c r="K51" s="39">
        <f>SUMIFS(pg_transaction_cleaned!$H:$H,pg_transaction_cleaned!$O:$O,A51,pg_transaction_cleaned!$F:$F,"CAPTURE")</f>
        <v>3499</v>
      </c>
      <c r="L51" s="23">
        <f>COUNTIFS(pg_transaction_cleaned!$O:$O,A51,pg_transaction_cleaned!$F:$F,"REFUND")</f>
        <v>0</v>
      </c>
      <c r="M51" s="39">
        <f>SUMIFS(pg_transaction_cleaned!$H:$H,pg_transaction_cleaned!$O:$O,A51,pg_transaction_cleaned!$F:$F,"REFUND")</f>
        <v>0</v>
      </c>
      <c r="N51" s="23" t="str">
        <f t="shared" si="2"/>
        <v>OK</v>
      </c>
      <c r="O51" s="24">
        <f t="shared" si="3"/>
        <v>0</v>
      </c>
    </row>
    <row r="52" spans="1:15" ht="15" customHeight="1" x14ac:dyDescent="0.3">
      <c r="A52" s="23" t="s">
        <v>388</v>
      </c>
      <c r="B52" s="38">
        <v>46288</v>
      </c>
      <c r="C52" s="23" t="s">
        <v>389</v>
      </c>
      <c r="D52" s="23" t="s">
        <v>90</v>
      </c>
      <c r="E52" s="23" t="s">
        <v>81</v>
      </c>
      <c r="F52" s="23" t="s">
        <v>390</v>
      </c>
      <c r="G52" s="23" t="s">
        <v>250</v>
      </c>
      <c r="H52" s="39">
        <f t="shared" si="0"/>
        <v>599</v>
      </c>
      <c r="I52" s="23" t="str">
        <f t="shared" si="1"/>
        <v>Ahmedabad</v>
      </c>
      <c r="J52" s="23">
        <f>COUNTIFS(pg_transaction_cleaned!$O:$O,A52,pg_transaction_cleaned!$F:$F,"CAPTURE")</f>
        <v>1</v>
      </c>
      <c r="K52" s="39">
        <f>SUMIFS(pg_transaction_cleaned!$H:$H,pg_transaction_cleaned!$O:$O,A52,pg_transaction_cleaned!$F:$F,"CAPTURE")</f>
        <v>599</v>
      </c>
      <c r="L52" s="23">
        <f>COUNTIFS(pg_transaction_cleaned!$O:$O,A52,pg_transaction_cleaned!$F:$F,"REFUND")</f>
        <v>0</v>
      </c>
      <c r="M52" s="39">
        <f>SUMIFS(pg_transaction_cleaned!$H:$H,pg_transaction_cleaned!$O:$O,A52,pg_transaction_cleaned!$F:$F,"REFUND")</f>
        <v>0</v>
      </c>
      <c r="N52" s="23" t="str">
        <f t="shared" si="2"/>
        <v>OK</v>
      </c>
      <c r="O52" s="24">
        <f t="shared" si="3"/>
        <v>0</v>
      </c>
    </row>
    <row r="53" spans="1:15" ht="15" customHeight="1" x14ac:dyDescent="0.3">
      <c r="A53" s="23" t="s">
        <v>391</v>
      </c>
      <c r="B53" s="38">
        <v>46274</v>
      </c>
      <c r="C53" s="23" t="s">
        <v>392</v>
      </c>
      <c r="D53" s="23" t="s">
        <v>87</v>
      </c>
      <c r="E53" s="23" t="s">
        <v>81</v>
      </c>
      <c r="F53" s="23" t="s">
        <v>393</v>
      </c>
      <c r="G53" s="23" t="s">
        <v>250</v>
      </c>
      <c r="H53" s="39">
        <f t="shared" si="0"/>
        <v>349</v>
      </c>
      <c r="I53" s="23" t="str">
        <f t="shared" si="1"/>
        <v>Mumbai</v>
      </c>
      <c r="J53" s="23">
        <f>COUNTIFS(pg_transaction_cleaned!$O:$O,A53,pg_transaction_cleaned!$F:$F,"CAPTURE")</f>
        <v>1</v>
      </c>
      <c r="K53" s="39">
        <f>SUMIFS(pg_transaction_cleaned!$H:$H,pg_transaction_cleaned!$O:$O,A53,pg_transaction_cleaned!$F:$F,"CAPTURE")</f>
        <v>349</v>
      </c>
      <c r="L53" s="23">
        <f>COUNTIFS(pg_transaction_cleaned!$O:$O,A53,pg_transaction_cleaned!$F:$F,"REFUND")</f>
        <v>0</v>
      </c>
      <c r="M53" s="39">
        <f>SUMIFS(pg_transaction_cleaned!$H:$H,pg_transaction_cleaned!$O:$O,A53,pg_transaction_cleaned!$F:$F,"REFUND")</f>
        <v>0</v>
      </c>
      <c r="N53" s="23" t="str">
        <f t="shared" si="2"/>
        <v>OK</v>
      </c>
      <c r="O53" s="24">
        <f t="shared" si="3"/>
        <v>0</v>
      </c>
    </row>
    <row r="54" spans="1:15" ht="15" customHeight="1" x14ac:dyDescent="0.3">
      <c r="A54" s="23" t="s">
        <v>394</v>
      </c>
      <c r="B54" s="38">
        <v>46276</v>
      </c>
      <c r="C54" s="23" t="s">
        <v>395</v>
      </c>
      <c r="D54" s="23" t="s">
        <v>89</v>
      </c>
      <c r="E54" s="23" t="s">
        <v>75</v>
      </c>
      <c r="F54" s="23" t="s">
        <v>396</v>
      </c>
      <c r="G54" s="23" t="s">
        <v>301</v>
      </c>
      <c r="H54" s="39">
        <f t="shared" si="0"/>
        <v>2999</v>
      </c>
      <c r="I54" s="23" t="str">
        <f t="shared" si="1"/>
        <v>Jaipur</v>
      </c>
      <c r="J54" s="23">
        <f>COUNTIFS(pg_transaction_cleaned!$O:$O,A54,pg_transaction_cleaned!$F:$F,"CAPTURE")</f>
        <v>1</v>
      </c>
      <c r="K54" s="39">
        <f>SUMIFS(pg_transaction_cleaned!$H:$H,pg_transaction_cleaned!$O:$O,A54,pg_transaction_cleaned!$F:$F,"CAPTURE")</f>
        <v>2999</v>
      </c>
      <c r="L54" s="23">
        <f>COUNTIFS(pg_transaction_cleaned!$O:$O,A54,pg_transaction_cleaned!$F:$F,"REFUND")</f>
        <v>1</v>
      </c>
      <c r="M54" s="39">
        <f>SUMIFS(pg_transaction_cleaned!$H:$H,pg_transaction_cleaned!$O:$O,A54,pg_transaction_cleaned!$F:$F,"REFUND")</f>
        <v>2999</v>
      </c>
      <c r="N54" s="23" t="str">
        <f t="shared" si="2"/>
        <v>OK</v>
      </c>
      <c r="O54" s="24">
        <f t="shared" si="3"/>
        <v>0</v>
      </c>
    </row>
    <row r="55" spans="1:15" ht="15" customHeight="1" x14ac:dyDescent="0.3">
      <c r="A55" s="23" t="s">
        <v>397</v>
      </c>
      <c r="B55" s="38">
        <v>46288</v>
      </c>
      <c r="C55" s="23" t="s">
        <v>398</v>
      </c>
      <c r="D55" s="23" t="s">
        <v>89</v>
      </c>
      <c r="E55" s="23" t="s">
        <v>77</v>
      </c>
      <c r="F55" s="23" t="s">
        <v>256</v>
      </c>
      <c r="G55" s="23" t="s">
        <v>250</v>
      </c>
      <c r="H55" s="39">
        <f t="shared" si="0"/>
        <v>2098</v>
      </c>
      <c r="I55" s="23" t="str">
        <f t="shared" si="1"/>
        <v>Jaipur</v>
      </c>
      <c r="J55" s="23">
        <f>COUNTIFS(pg_transaction_cleaned!$O:$O,A55,pg_transaction_cleaned!$F:$F,"CAPTURE")</f>
        <v>1</v>
      </c>
      <c r="K55" s="39">
        <f>SUMIFS(pg_transaction_cleaned!$H:$H,pg_transaction_cleaned!$O:$O,A55,pg_transaction_cleaned!$F:$F,"CAPTURE")</f>
        <v>2098</v>
      </c>
      <c r="L55" s="23">
        <f>COUNTIFS(pg_transaction_cleaned!$O:$O,A55,pg_transaction_cleaned!$F:$F,"REFUND")</f>
        <v>0</v>
      </c>
      <c r="M55" s="39">
        <f>SUMIFS(pg_transaction_cleaned!$H:$H,pg_transaction_cleaned!$O:$O,A55,pg_transaction_cleaned!$F:$F,"REFUND")</f>
        <v>0</v>
      </c>
      <c r="N55" s="23" t="str">
        <f t="shared" si="2"/>
        <v>OK</v>
      </c>
      <c r="O55" s="24">
        <f t="shared" si="3"/>
        <v>0</v>
      </c>
    </row>
    <row r="56" spans="1:15" ht="15" customHeight="1" x14ac:dyDescent="0.3">
      <c r="A56" s="23" t="s">
        <v>399</v>
      </c>
      <c r="B56" s="38">
        <v>46267</v>
      </c>
      <c r="C56" s="23" t="s">
        <v>400</v>
      </c>
      <c r="D56" s="23" t="s">
        <v>92</v>
      </c>
      <c r="E56" s="23" t="s">
        <v>75</v>
      </c>
      <c r="F56" s="23" t="s">
        <v>271</v>
      </c>
      <c r="G56" s="23" t="s">
        <v>250</v>
      </c>
      <c r="H56" s="39">
        <f t="shared" si="0"/>
        <v>2499</v>
      </c>
      <c r="I56" s="23" t="str">
        <f t="shared" si="1"/>
        <v>Hyderabad</v>
      </c>
      <c r="J56" s="23">
        <f>COUNTIFS(pg_transaction_cleaned!$O:$O,A56,pg_transaction_cleaned!$F:$F,"CAPTURE")</f>
        <v>1</v>
      </c>
      <c r="K56" s="39">
        <f>SUMIFS(pg_transaction_cleaned!$H:$H,pg_transaction_cleaned!$O:$O,A56,pg_transaction_cleaned!$F:$F,"CAPTURE")</f>
        <v>2499</v>
      </c>
      <c r="L56" s="23">
        <f>COUNTIFS(pg_transaction_cleaned!$O:$O,A56,pg_transaction_cleaned!$F:$F,"REFUND")</f>
        <v>0</v>
      </c>
      <c r="M56" s="39">
        <f>SUMIFS(pg_transaction_cleaned!$H:$H,pg_transaction_cleaned!$O:$O,A56,pg_transaction_cleaned!$F:$F,"REFUND")</f>
        <v>0</v>
      </c>
      <c r="N56" s="23" t="str">
        <f t="shared" si="2"/>
        <v>OK</v>
      </c>
      <c r="O56" s="24">
        <f t="shared" si="3"/>
        <v>0</v>
      </c>
    </row>
    <row r="57" spans="1:15" ht="15" customHeight="1" x14ac:dyDescent="0.3">
      <c r="A57" s="23" t="s">
        <v>401</v>
      </c>
      <c r="B57" s="38">
        <v>46277</v>
      </c>
      <c r="C57" s="23" t="s">
        <v>402</v>
      </c>
      <c r="D57" s="23" t="s">
        <v>94</v>
      </c>
      <c r="E57" s="23" t="s">
        <v>75</v>
      </c>
      <c r="F57" s="23" t="s">
        <v>265</v>
      </c>
      <c r="G57" s="23" t="s">
        <v>250</v>
      </c>
      <c r="H57" s="39">
        <f t="shared" si="0"/>
        <v>999</v>
      </c>
      <c r="I57" s="23" t="str">
        <f t="shared" si="1"/>
        <v>Chennai</v>
      </c>
      <c r="J57" s="23">
        <f>COUNTIFS(pg_transaction_cleaned!$O:$O,A57,pg_transaction_cleaned!$F:$F,"CAPTURE")</f>
        <v>1</v>
      </c>
      <c r="K57" s="39">
        <f>SUMIFS(pg_transaction_cleaned!$H:$H,pg_transaction_cleaned!$O:$O,A57,pg_transaction_cleaned!$F:$F,"CAPTURE")</f>
        <v>999</v>
      </c>
      <c r="L57" s="23">
        <f>COUNTIFS(pg_transaction_cleaned!$O:$O,A57,pg_transaction_cleaned!$F:$F,"REFUND")</f>
        <v>0</v>
      </c>
      <c r="M57" s="39">
        <f>SUMIFS(pg_transaction_cleaned!$H:$H,pg_transaction_cleaned!$O:$O,A57,pg_transaction_cleaned!$F:$F,"REFUND")</f>
        <v>0</v>
      </c>
      <c r="N57" s="23" t="str">
        <f t="shared" si="2"/>
        <v>OK</v>
      </c>
      <c r="O57" s="24">
        <f t="shared" si="3"/>
        <v>0</v>
      </c>
    </row>
    <row r="58" spans="1:15" ht="15" customHeight="1" x14ac:dyDescent="0.3">
      <c r="A58" s="23" t="s">
        <v>403</v>
      </c>
      <c r="B58" s="38">
        <v>46290</v>
      </c>
      <c r="C58" s="23" t="s">
        <v>404</v>
      </c>
      <c r="D58" s="23" t="s">
        <v>86</v>
      </c>
      <c r="E58" s="23" t="s">
        <v>79</v>
      </c>
      <c r="F58" s="23" t="s">
        <v>405</v>
      </c>
      <c r="G58" s="23" t="s">
        <v>301</v>
      </c>
      <c r="H58" s="39">
        <f t="shared" si="0"/>
        <v>9298</v>
      </c>
      <c r="I58" s="23" t="str">
        <f t="shared" si="1"/>
        <v>Delhi</v>
      </c>
      <c r="J58" s="23">
        <f>COUNTIFS(pg_transaction_cleaned!$O:$O,A58,pg_transaction_cleaned!$F:$F,"CAPTURE")</f>
        <v>1</v>
      </c>
      <c r="K58" s="39">
        <f>SUMIFS(pg_transaction_cleaned!$H:$H,pg_transaction_cleaned!$O:$O,A58,pg_transaction_cleaned!$F:$F,"CAPTURE")</f>
        <v>9298</v>
      </c>
      <c r="L58" s="23">
        <f>COUNTIFS(pg_transaction_cleaned!$O:$O,A58,pg_transaction_cleaned!$F:$F,"REFUND")</f>
        <v>1</v>
      </c>
      <c r="M58" s="39">
        <f>SUMIFS(pg_transaction_cleaned!$H:$H,pg_transaction_cleaned!$O:$O,A58,pg_transaction_cleaned!$F:$F,"REFUND")</f>
        <v>9298</v>
      </c>
      <c r="N58" s="23" t="str">
        <f t="shared" si="2"/>
        <v>OK</v>
      </c>
      <c r="O58" s="24">
        <f t="shared" si="3"/>
        <v>0</v>
      </c>
    </row>
    <row r="59" spans="1:15" ht="15" customHeight="1" x14ac:dyDescent="0.3">
      <c r="A59" s="23" t="s">
        <v>406</v>
      </c>
      <c r="B59" s="38">
        <v>46291</v>
      </c>
      <c r="C59" s="23" t="s">
        <v>407</v>
      </c>
      <c r="D59" s="23" t="s">
        <v>93</v>
      </c>
      <c r="E59" s="23" t="s">
        <v>79</v>
      </c>
      <c r="F59" s="23" t="s">
        <v>268</v>
      </c>
      <c r="G59" s="23" t="s">
        <v>250</v>
      </c>
      <c r="H59" s="39">
        <f t="shared" si="0"/>
        <v>1299</v>
      </c>
      <c r="I59" s="23" t="str">
        <f t="shared" si="1"/>
        <v>Kolkata</v>
      </c>
      <c r="J59" s="23">
        <f>COUNTIFS(pg_transaction_cleaned!$O:$O,A59,pg_transaction_cleaned!$F:$F,"CAPTURE")</f>
        <v>1</v>
      </c>
      <c r="K59" s="39">
        <f>SUMIFS(pg_transaction_cleaned!$H:$H,pg_transaction_cleaned!$O:$O,A59,pg_transaction_cleaned!$F:$F,"CAPTURE")</f>
        <v>1299</v>
      </c>
      <c r="L59" s="23">
        <f>COUNTIFS(pg_transaction_cleaned!$O:$O,A59,pg_transaction_cleaned!$F:$F,"REFUND")</f>
        <v>0</v>
      </c>
      <c r="M59" s="39">
        <f>SUMIFS(pg_transaction_cleaned!$H:$H,pg_transaction_cleaned!$O:$O,A59,pg_transaction_cleaned!$F:$F,"REFUND")</f>
        <v>0</v>
      </c>
      <c r="N59" s="23" t="str">
        <f t="shared" si="2"/>
        <v>OK</v>
      </c>
      <c r="O59" s="24">
        <f t="shared" si="3"/>
        <v>0</v>
      </c>
    </row>
    <row r="60" spans="1:15" ht="15" customHeight="1" x14ac:dyDescent="0.3">
      <c r="A60" s="23" t="s">
        <v>408</v>
      </c>
      <c r="B60" s="38">
        <v>46291</v>
      </c>
      <c r="C60" s="23" t="s">
        <v>409</v>
      </c>
      <c r="D60" s="23" t="s">
        <v>93</v>
      </c>
      <c r="E60" s="23" t="s">
        <v>75</v>
      </c>
      <c r="F60" s="23" t="s">
        <v>410</v>
      </c>
      <c r="G60" s="23" t="s">
        <v>250</v>
      </c>
      <c r="H60" s="39">
        <f t="shared" si="0"/>
        <v>16497</v>
      </c>
      <c r="I60" s="23" t="str">
        <f t="shared" si="1"/>
        <v>Kolkata</v>
      </c>
      <c r="J60" s="23">
        <f>COUNTIFS(pg_transaction_cleaned!$O:$O,A60,pg_transaction_cleaned!$F:$F,"CAPTURE")</f>
        <v>1</v>
      </c>
      <c r="K60" s="39">
        <f>SUMIFS(pg_transaction_cleaned!$H:$H,pg_transaction_cleaned!$O:$O,A60,pg_transaction_cleaned!$F:$F,"CAPTURE")</f>
        <v>16497</v>
      </c>
      <c r="L60" s="23">
        <f>COUNTIFS(pg_transaction_cleaned!$O:$O,A60,pg_transaction_cleaned!$F:$F,"REFUND")</f>
        <v>0</v>
      </c>
      <c r="M60" s="39">
        <f>SUMIFS(pg_transaction_cleaned!$H:$H,pg_transaction_cleaned!$O:$O,A60,pg_transaction_cleaned!$F:$F,"REFUND")</f>
        <v>0</v>
      </c>
      <c r="N60" s="23" t="str">
        <f t="shared" si="2"/>
        <v>OK</v>
      </c>
      <c r="O60" s="24">
        <f t="shared" si="3"/>
        <v>0</v>
      </c>
    </row>
    <row r="61" spans="1:15" ht="15" customHeight="1" x14ac:dyDescent="0.3">
      <c r="A61" s="23" t="s">
        <v>411</v>
      </c>
      <c r="B61" s="38">
        <v>46293</v>
      </c>
      <c r="C61" s="23" t="s">
        <v>412</v>
      </c>
      <c r="D61" s="23" t="s">
        <v>94</v>
      </c>
      <c r="E61" s="23" t="s">
        <v>75</v>
      </c>
      <c r="F61" s="23" t="s">
        <v>310</v>
      </c>
      <c r="G61" s="23" t="s">
        <v>250</v>
      </c>
      <c r="H61" s="39">
        <f t="shared" si="0"/>
        <v>7999</v>
      </c>
      <c r="I61" s="23" t="str">
        <f t="shared" si="1"/>
        <v>Chennai</v>
      </c>
      <c r="J61" s="23">
        <f>COUNTIFS(pg_transaction_cleaned!$O:$O,A61,pg_transaction_cleaned!$F:$F,"CAPTURE")</f>
        <v>1</v>
      </c>
      <c r="K61" s="39">
        <f>SUMIFS(pg_transaction_cleaned!$H:$H,pg_transaction_cleaned!$O:$O,A61,pg_transaction_cleaned!$F:$F,"CAPTURE")</f>
        <v>7999</v>
      </c>
      <c r="L61" s="23">
        <f>COUNTIFS(pg_transaction_cleaned!$O:$O,A61,pg_transaction_cleaned!$F:$F,"REFUND")</f>
        <v>0</v>
      </c>
      <c r="M61" s="39">
        <f>SUMIFS(pg_transaction_cleaned!$H:$H,pg_transaction_cleaned!$O:$O,A61,pg_transaction_cleaned!$F:$F,"REFUND")</f>
        <v>0</v>
      </c>
      <c r="N61" s="23" t="str">
        <f t="shared" si="2"/>
        <v>OK</v>
      </c>
      <c r="O61" s="24">
        <f t="shared" si="3"/>
        <v>0</v>
      </c>
    </row>
    <row r="62" spans="1:15" ht="15" customHeight="1" x14ac:dyDescent="0.3">
      <c r="A62" s="23" t="s">
        <v>413</v>
      </c>
      <c r="B62" s="38">
        <v>46275</v>
      </c>
      <c r="C62" s="23" t="s">
        <v>414</v>
      </c>
      <c r="D62" s="23" t="s">
        <v>92</v>
      </c>
      <c r="E62" s="23" t="s">
        <v>75</v>
      </c>
      <c r="F62" s="23" t="s">
        <v>329</v>
      </c>
      <c r="G62" s="23" t="s">
        <v>250</v>
      </c>
      <c r="H62" s="39">
        <f t="shared" si="0"/>
        <v>599</v>
      </c>
      <c r="I62" s="23" t="str">
        <f t="shared" si="1"/>
        <v>Hyderabad</v>
      </c>
      <c r="J62" s="23">
        <f>COUNTIFS(pg_transaction_cleaned!$O:$O,A62,pg_transaction_cleaned!$F:$F,"CAPTURE")</f>
        <v>1</v>
      </c>
      <c r="K62" s="39">
        <f>SUMIFS(pg_transaction_cleaned!$H:$H,pg_transaction_cleaned!$O:$O,A62,pg_transaction_cleaned!$F:$F,"CAPTURE")</f>
        <v>599</v>
      </c>
      <c r="L62" s="23">
        <f>COUNTIFS(pg_transaction_cleaned!$O:$O,A62,pg_transaction_cleaned!$F:$F,"REFUND")</f>
        <v>0</v>
      </c>
      <c r="M62" s="39">
        <f>SUMIFS(pg_transaction_cleaned!$H:$H,pg_transaction_cleaned!$O:$O,A62,pg_transaction_cleaned!$F:$F,"REFUND")</f>
        <v>0</v>
      </c>
      <c r="N62" s="23" t="str">
        <f t="shared" si="2"/>
        <v>OK</v>
      </c>
      <c r="O62" s="24">
        <f t="shared" si="3"/>
        <v>0</v>
      </c>
    </row>
    <row r="63" spans="1:15" ht="15" customHeight="1" x14ac:dyDescent="0.3">
      <c r="A63" s="23" t="s">
        <v>415</v>
      </c>
      <c r="B63" s="38">
        <v>46293</v>
      </c>
      <c r="C63" s="23" t="s">
        <v>416</v>
      </c>
      <c r="D63" s="23" t="s">
        <v>89</v>
      </c>
      <c r="E63" s="23" t="s">
        <v>79</v>
      </c>
      <c r="F63" s="23" t="s">
        <v>297</v>
      </c>
      <c r="G63" s="23" t="s">
        <v>250</v>
      </c>
      <c r="H63" s="39">
        <f t="shared" si="0"/>
        <v>4999</v>
      </c>
      <c r="I63" s="23" t="str">
        <f t="shared" si="1"/>
        <v>Jaipur</v>
      </c>
      <c r="J63" s="23">
        <f>COUNTIFS(pg_transaction_cleaned!$O:$O,A63,pg_transaction_cleaned!$F:$F,"CAPTURE")</f>
        <v>1</v>
      </c>
      <c r="K63" s="39">
        <f>SUMIFS(pg_transaction_cleaned!$H:$H,pg_transaction_cleaned!$O:$O,A63,pg_transaction_cleaned!$F:$F,"CAPTURE")</f>
        <v>4999</v>
      </c>
      <c r="L63" s="23">
        <f>COUNTIFS(pg_transaction_cleaned!$O:$O,A63,pg_transaction_cleaned!$F:$F,"REFUND")</f>
        <v>0</v>
      </c>
      <c r="M63" s="39">
        <f>SUMIFS(pg_transaction_cleaned!$H:$H,pg_transaction_cleaned!$O:$O,A63,pg_transaction_cleaned!$F:$F,"REFUND")</f>
        <v>0</v>
      </c>
      <c r="N63" s="23" t="str">
        <f t="shared" si="2"/>
        <v>OK</v>
      </c>
      <c r="O63" s="24">
        <f t="shared" si="3"/>
        <v>0</v>
      </c>
    </row>
    <row r="64" spans="1:15" ht="15" customHeight="1" x14ac:dyDescent="0.3">
      <c r="A64" s="23" t="s">
        <v>417</v>
      </c>
      <c r="B64" s="38">
        <v>46276</v>
      </c>
      <c r="C64" s="23" t="s">
        <v>418</v>
      </c>
      <c r="D64" s="23" t="s">
        <v>92</v>
      </c>
      <c r="E64" s="23" t="s">
        <v>75</v>
      </c>
      <c r="F64" s="23" t="s">
        <v>274</v>
      </c>
      <c r="G64" s="23" t="s">
        <v>250</v>
      </c>
      <c r="H64" s="39">
        <f t="shared" si="0"/>
        <v>349</v>
      </c>
      <c r="I64" s="23" t="str">
        <f t="shared" si="1"/>
        <v>Hyderabad</v>
      </c>
      <c r="J64" s="23">
        <f>COUNTIFS(pg_transaction_cleaned!$O:$O,A64,pg_transaction_cleaned!$F:$F,"CAPTURE")</f>
        <v>1</v>
      </c>
      <c r="K64" s="39">
        <f>SUMIFS(pg_transaction_cleaned!$H:$H,pg_transaction_cleaned!$O:$O,A64,pg_transaction_cleaned!$F:$F,"CAPTURE")</f>
        <v>349</v>
      </c>
      <c r="L64" s="23">
        <f>COUNTIFS(pg_transaction_cleaned!$O:$O,A64,pg_transaction_cleaned!$F:$F,"REFUND")</f>
        <v>0</v>
      </c>
      <c r="M64" s="39">
        <f>SUMIFS(pg_transaction_cleaned!$H:$H,pg_transaction_cleaned!$O:$O,A64,pg_transaction_cleaned!$F:$F,"REFUND")</f>
        <v>0</v>
      </c>
      <c r="N64" s="23" t="str">
        <f t="shared" si="2"/>
        <v>OK</v>
      </c>
      <c r="O64" s="24">
        <f t="shared" si="3"/>
        <v>0</v>
      </c>
    </row>
    <row r="65" spans="1:15" ht="15" customHeight="1" x14ac:dyDescent="0.3">
      <c r="A65" s="23" t="s">
        <v>419</v>
      </c>
      <c r="B65" s="38">
        <v>46267</v>
      </c>
      <c r="C65" s="23" t="s">
        <v>420</v>
      </c>
      <c r="D65" s="23" t="s">
        <v>93</v>
      </c>
      <c r="E65" s="23" t="s">
        <v>79</v>
      </c>
      <c r="F65" s="23" t="s">
        <v>271</v>
      </c>
      <c r="G65" s="23" t="s">
        <v>250</v>
      </c>
      <c r="H65" s="39">
        <f t="shared" si="0"/>
        <v>2499</v>
      </c>
      <c r="I65" s="23" t="str">
        <f t="shared" si="1"/>
        <v>Kolkata</v>
      </c>
      <c r="J65" s="23">
        <f>COUNTIFS(pg_transaction_cleaned!$O:$O,A65,pg_transaction_cleaned!$F:$F,"CAPTURE")</f>
        <v>1</v>
      </c>
      <c r="K65" s="39">
        <f>SUMIFS(pg_transaction_cleaned!$H:$H,pg_transaction_cleaned!$O:$O,A65,pg_transaction_cleaned!$F:$F,"CAPTURE")</f>
        <v>2499</v>
      </c>
      <c r="L65" s="23">
        <f>COUNTIFS(pg_transaction_cleaned!$O:$O,A65,pg_transaction_cleaned!$F:$F,"REFUND")</f>
        <v>0</v>
      </c>
      <c r="M65" s="39">
        <f>SUMIFS(pg_transaction_cleaned!$H:$H,pg_transaction_cleaned!$O:$O,A65,pg_transaction_cleaned!$F:$F,"REFUND")</f>
        <v>0</v>
      </c>
      <c r="N65" s="23" t="str">
        <f t="shared" si="2"/>
        <v>OK</v>
      </c>
      <c r="O65" s="24">
        <f t="shared" si="3"/>
        <v>0</v>
      </c>
    </row>
    <row r="66" spans="1:15" ht="15" customHeight="1" x14ac:dyDescent="0.3">
      <c r="A66" s="23" t="s">
        <v>421</v>
      </c>
      <c r="B66" s="38">
        <v>46285</v>
      </c>
      <c r="C66" s="23" t="s">
        <v>422</v>
      </c>
      <c r="D66" s="23" t="s">
        <v>93</v>
      </c>
      <c r="E66" s="23" t="s">
        <v>75</v>
      </c>
      <c r="F66" s="23" t="s">
        <v>423</v>
      </c>
      <c r="G66" s="23" t="s">
        <v>365</v>
      </c>
      <c r="H66" s="39">
        <f t="shared" ref="H66:H129" si="4">VALUE(SUBSTITUTE(F66,",",""))</f>
        <v>1648</v>
      </c>
      <c r="I66" s="23" t="str">
        <f t="shared" ref="I66:I129" si="5">IF(TRIM(D66)="","Unknown",TRIM(D66))</f>
        <v>Kolkata</v>
      </c>
      <c r="J66" s="23">
        <f>COUNTIFS(pg_transaction_cleaned!$O:$O,A66,pg_transaction_cleaned!$F:$F,"CAPTURE")</f>
        <v>0</v>
      </c>
      <c r="K66" s="39">
        <f>SUMIFS(pg_transaction_cleaned!$H:$H,pg_transaction_cleaned!$O:$O,A66,pg_transaction_cleaned!$F:$F,"CAPTURE")</f>
        <v>0</v>
      </c>
      <c r="L66" s="23">
        <f>COUNTIFS(pg_transaction_cleaned!$O:$O,A66,pg_transaction_cleaned!$F:$F,"REFUND")</f>
        <v>0</v>
      </c>
      <c r="M66" s="39">
        <f>SUMIFS(pg_transaction_cleaned!$H:$H,pg_transaction_cleaned!$O:$O,A66,pg_transaction_cleaned!$F:$F,"REFUND")</f>
        <v>0</v>
      </c>
      <c r="N66" s="23" t="str">
        <f t="shared" ref="N66:N129" si="6">IF(AND(G66="Paid",J66=0),"Paid, no payment",IF(AND(OR(G66="Failed",G66="Cancelled"),J66&gt;0),"Payment on failed/cancelled",IF(J66&gt;1,"Duplicate charge",IF(AND(J66=1,ROUND(K66-H66,2)&lt;&gt;0),"Amount difference",IF(AND(G66="Refunded",L66=0),"Refunded, no refund",IF(AND(G66&lt;&gt;"Refunded",L66&gt;0),"Refund, order not Refunded",IF(AND(L66&gt;0,ROUND(M66-H66,2)&lt;&gt;0),"Refund amount differs","OK")))))))</f>
        <v>OK</v>
      </c>
      <c r="O66" s="24">
        <f t="shared" ref="O66:O129" si="7">IF(N66="OK",0,IF(N66="Paid, no payment",H66,IF(N66="Payment on failed/cancelled",K66,IF(OR(N66="Duplicate charge",N66="Amount difference"),K66-H66,IF(N66="Refunded, no refund",H66,M66)))))</f>
        <v>0</v>
      </c>
    </row>
    <row r="67" spans="1:15" ht="15" customHeight="1" x14ac:dyDescent="0.3">
      <c r="A67" s="23" t="s">
        <v>424</v>
      </c>
      <c r="B67" s="38">
        <v>46266</v>
      </c>
      <c r="C67" s="23" t="s">
        <v>425</v>
      </c>
      <c r="D67" s="23" t="s">
        <v>95</v>
      </c>
      <c r="E67" s="23" t="s">
        <v>77</v>
      </c>
      <c r="F67" s="23" t="s">
        <v>426</v>
      </c>
      <c r="G67" s="23" t="s">
        <v>250</v>
      </c>
      <c r="H67" s="39">
        <f t="shared" si="4"/>
        <v>6798</v>
      </c>
      <c r="I67" s="23" t="str">
        <f t="shared" si="5"/>
        <v>Bengaluru</v>
      </c>
      <c r="J67" s="23">
        <f>COUNTIFS(pg_transaction_cleaned!$O:$O,A67,pg_transaction_cleaned!$F:$F,"CAPTURE")</f>
        <v>1</v>
      </c>
      <c r="K67" s="39">
        <f>SUMIFS(pg_transaction_cleaned!$H:$H,pg_transaction_cleaned!$O:$O,A67,pg_transaction_cleaned!$F:$F,"CAPTURE")</f>
        <v>6798</v>
      </c>
      <c r="L67" s="23">
        <f>COUNTIFS(pg_transaction_cleaned!$O:$O,A67,pg_transaction_cleaned!$F:$F,"REFUND")</f>
        <v>0</v>
      </c>
      <c r="M67" s="39">
        <f>SUMIFS(pg_transaction_cleaned!$H:$H,pg_transaction_cleaned!$O:$O,A67,pg_transaction_cleaned!$F:$F,"REFUND")</f>
        <v>0</v>
      </c>
      <c r="N67" s="23" t="str">
        <f t="shared" si="6"/>
        <v>OK</v>
      </c>
      <c r="O67" s="24">
        <f t="shared" si="7"/>
        <v>0</v>
      </c>
    </row>
    <row r="68" spans="1:15" ht="15" customHeight="1" x14ac:dyDescent="0.3">
      <c r="A68" s="23" t="s">
        <v>427</v>
      </c>
      <c r="B68" s="38">
        <v>46277</v>
      </c>
      <c r="C68" s="23" t="s">
        <v>428</v>
      </c>
      <c r="D68" s="23" t="s">
        <v>91</v>
      </c>
      <c r="E68" s="23" t="s">
        <v>79</v>
      </c>
      <c r="F68" s="23" t="s">
        <v>429</v>
      </c>
      <c r="G68" s="23" t="s">
        <v>365</v>
      </c>
      <c r="H68" s="39">
        <f t="shared" si="4"/>
        <v>3348</v>
      </c>
      <c r="I68" s="23" t="str">
        <f t="shared" si="5"/>
        <v>Pune</v>
      </c>
      <c r="J68" s="23">
        <f>COUNTIFS(pg_transaction_cleaned!$O:$O,A68,pg_transaction_cleaned!$F:$F,"CAPTURE")</f>
        <v>0</v>
      </c>
      <c r="K68" s="39">
        <f>SUMIFS(pg_transaction_cleaned!$H:$H,pg_transaction_cleaned!$O:$O,A68,pg_transaction_cleaned!$F:$F,"CAPTURE")</f>
        <v>0</v>
      </c>
      <c r="L68" s="23">
        <f>COUNTIFS(pg_transaction_cleaned!$O:$O,A68,pg_transaction_cleaned!$F:$F,"REFUND")</f>
        <v>0</v>
      </c>
      <c r="M68" s="39">
        <f>SUMIFS(pg_transaction_cleaned!$H:$H,pg_transaction_cleaned!$O:$O,A68,pg_transaction_cleaned!$F:$F,"REFUND")</f>
        <v>0</v>
      </c>
      <c r="N68" s="23" t="str">
        <f t="shared" si="6"/>
        <v>OK</v>
      </c>
      <c r="O68" s="24">
        <f t="shared" si="7"/>
        <v>0</v>
      </c>
    </row>
    <row r="69" spans="1:15" ht="15" customHeight="1" x14ac:dyDescent="0.3">
      <c r="A69" s="23" t="s">
        <v>430</v>
      </c>
      <c r="B69" s="38">
        <v>46289</v>
      </c>
      <c r="C69" s="23" t="s">
        <v>431</v>
      </c>
      <c r="D69" s="23" t="s">
        <v>92</v>
      </c>
      <c r="E69" s="23" t="s">
        <v>75</v>
      </c>
      <c r="F69" s="23" t="s">
        <v>294</v>
      </c>
      <c r="G69" s="23" t="s">
        <v>250</v>
      </c>
      <c r="H69" s="39">
        <f t="shared" si="4"/>
        <v>1799</v>
      </c>
      <c r="I69" s="23" t="str">
        <f t="shared" si="5"/>
        <v>Hyderabad</v>
      </c>
      <c r="J69" s="23">
        <f>COUNTIFS(pg_transaction_cleaned!$O:$O,A69,pg_transaction_cleaned!$F:$F,"CAPTURE")</f>
        <v>1</v>
      </c>
      <c r="K69" s="39">
        <f>SUMIFS(pg_transaction_cleaned!$H:$H,pg_transaction_cleaned!$O:$O,A69,pg_transaction_cleaned!$F:$F,"CAPTURE")</f>
        <v>1799</v>
      </c>
      <c r="L69" s="23">
        <f>COUNTIFS(pg_transaction_cleaned!$O:$O,A69,pg_transaction_cleaned!$F:$F,"REFUND")</f>
        <v>0</v>
      </c>
      <c r="M69" s="39">
        <f>SUMIFS(pg_transaction_cleaned!$H:$H,pg_transaction_cleaned!$O:$O,A69,pg_transaction_cleaned!$F:$F,"REFUND")</f>
        <v>0</v>
      </c>
      <c r="N69" s="23" t="str">
        <f t="shared" si="6"/>
        <v>OK</v>
      </c>
      <c r="O69" s="24">
        <f t="shared" si="7"/>
        <v>0</v>
      </c>
    </row>
    <row r="70" spans="1:15" ht="15" customHeight="1" x14ac:dyDescent="0.3">
      <c r="A70" s="23" t="s">
        <v>432</v>
      </c>
      <c r="B70" s="38">
        <v>46283</v>
      </c>
      <c r="C70" s="23" t="s">
        <v>433</v>
      </c>
      <c r="D70" s="23" t="s">
        <v>86</v>
      </c>
      <c r="E70" s="23" t="s">
        <v>77</v>
      </c>
      <c r="F70" s="23" t="s">
        <v>329</v>
      </c>
      <c r="G70" s="23" t="s">
        <v>250</v>
      </c>
      <c r="H70" s="39">
        <f t="shared" si="4"/>
        <v>599</v>
      </c>
      <c r="I70" s="23" t="str">
        <f t="shared" si="5"/>
        <v>Delhi</v>
      </c>
      <c r="J70" s="23">
        <f>COUNTIFS(pg_transaction_cleaned!$O:$O,A70,pg_transaction_cleaned!$F:$F,"CAPTURE")</f>
        <v>1</v>
      </c>
      <c r="K70" s="39">
        <f>SUMIFS(pg_transaction_cleaned!$H:$H,pg_transaction_cleaned!$O:$O,A70,pg_transaction_cleaned!$F:$F,"CAPTURE")</f>
        <v>599</v>
      </c>
      <c r="L70" s="23">
        <f>COUNTIFS(pg_transaction_cleaned!$O:$O,A70,pg_transaction_cleaned!$F:$F,"REFUND")</f>
        <v>0</v>
      </c>
      <c r="M70" s="39">
        <f>SUMIFS(pg_transaction_cleaned!$H:$H,pg_transaction_cleaned!$O:$O,A70,pg_transaction_cleaned!$F:$F,"REFUND")</f>
        <v>0</v>
      </c>
      <c r="N70" s="23" t="str">
        <f t="shared" si="6"/>
        <v>OK</v>
      </c>
      <c r="O70" s="24">
        <f t="shared" si="7"/>
        <v>0</v>
      </c>
    </row>
    <row r="71" spans="1:15" ht="15" customHeight="1" x14ac:dyDescent="0.3">
      <c r="A71" s="23" t="s">
        <v>434</v>
      </c>
      <c r="B71" s="38">
        <v>46285</v>
      </c>
      <c r="C71" s="23" t="s">
        <v>435</v>
      </c>
      <c r="D71" s="23" t="s">
        <v>95</v>
      </c>
      <c r="E71" s="23" t="s">
        <v>75</v>
      </c>
      <c r="F71" s="23" t="s">
        <v>256</v>
      </c>
      <c r="G71" s="23" t="s">
        <v>250</v>
      </c>
      <c r="H71" s="39">
        <f t="shared" si="4"/>
        <v>2098</v>
      </c>
      <c r="I71" s="23" t="str">
        <f t="shared" si="5"/>
        <v>Bengaluru</v>
      </c>
      <c r="J71" s="23">
        <f>COUNTIFS(pg_transaction_cleaned!$O:$O,A71,pg_transaction_cleaned!$F:$F,"CAPTURE")</f>
        <v>1</v>
      </c>
      <c r="K71" s="39">
        <f>SUMIFS(pg_transaction_cleaned!$H:$H,pg_transaction_cleaned!$O:$O,A71,pg_transaction_cleaned!$F:$F,"CAPTURE")</f>
        <v>2098</v>
      </c>
      <c r="L71" s="23">
        <f>COUNTIFS(pg_transaction_cleaned!$O:$O,A71,pg_transaction_cleaned!$F:$F,"REFUND")</f>
        <v>0</v>
      </c>
      <c r="M71" s="39">
        <f>SUMIFS(pg_transaction_cleaned!$H:$H,pg_transaction_cleaned!$O:$O,A71,pg_transaction_cleaned!$F:$F,"REFUND")</f>
        <v>0</v>
      </c>
      <c r="N71" s="23" t="str">
        <f t="shared" si="6"/>
        <v>OK</v>
      </c>
      <c r="O71" s="24">
        <f t="shared" si="7"/>
        <v>0</v>
      </c>
    </row>
    <row r="72" spans="1:15" ht="15" customHeight="1" x14ac:dyDescent="0.3">
      <c r="A72" s="23" t="s">
        <v>436</v>
      </c>
      <c r="B72" s="38">
        <v>46279</v>
      </c>
      <c r="C72" s="23" t="s">
        <v>437</v>
      </c>
      <c r="D72" s="23" t="s">
        <v>95</v>
      </c>
      <c r="E72" s="23" t="s">
        <v>75</v>
      </c>
      <c r="F72" s="23" t="s">
        <v>438</v>
      </c>
      <c r="G72" s="23" t="s">
        <v>250</v>
      </c>
      <c r="H72" s="39">
        <f t="shared" si="4"/>
        <v>5498</v>
      </c>
      <c r="I72" s="23" t="str">
        <f t="shared" si="5"/>
        <v>Bengaluru</v>
      </c>
      <c r="J72" s="23">
        <f>COUNTIFS(pg_transaction_cleaned!$O:$O,A72,pg_transaction_cleaned!$F:$F,"CAPTURE")</f>
        <v>1</v>
      </c>
      <c r="K72" s="39">
        <f>SUMIFS(pg_transaction_cleaned!$H:$H,pg_transaction_cleaned!$O:$O,A72,pg_transaction_cleaned!$F:$F,"CAPTURE")</f>
        <v>5498</v>
      </c>
      <c r="L72" s="23">
        <f>COUNTIFS(pg_transaction_cleaned!$O:$O,A72,pg_transaction_cleaned!$F:$F,"REFUND")</f>
        <v>0</v>
      </c>
      <c r="M72" s="39">
        <f>SUMIFS(pg_transaction_cleaned!$H:$H,pg_transaction_cleaned!$O:$O,A72,pg_transaction_cleaned!$F:$F,"REFUND")</f>
        <v>0</v>
      </c>
      <c r="N72" s="23" t="str">
        <f t="shared" si="6"/>
        <v>OK</v>
      </c>
      <c r="O72" s="24">
        <f t="shared" si="7"/>
        <v>0</v>
      </c>
    </row>
    <row r="73" spans="1:15" ht="15" customHeight="1" x14ac:dyDescent="0.3">
      <c r="A73" s="23" t="s">
        <v>439</v>
      </c>
      <c r="B73" s="38">
        <v>46282</v>
      </c>
      <c r="C73" s="23" t="s">
        <v>440</v>
      </c>
      <c r="D73" s="23" t="s">
        <v>89</v>
      </c>
      <c r="E73" s="23" t="s">
        <v>79</v>
      </c>
      <c r="F73" s="23" t="s">
        <v>441</v>
      </c>
      <c r="G73" s="23" t="s">
        <v>250</v>
      </c>
      <c r="H73" s="39">
        <f t="shared" si="4"/>
        <v>9998</v>
      </c>
      <c r="I73" s="23" t="str">
        <f t="shared" si="5"/>
        <v>Jaipur</v>
      </c>
      <c r="J73" s="23">
        <f>COUNTIFS(pg_transaction_cleaned!$O:$O,A73,pg_transaction_cleaned!$F:$F,"CAPTURE")</f>
        <v>1</v>
      </c>
      <c r="K73" s="39">
        <f>SUMIFS(pg_transaction_cleaned!$H:$H,pg_transaction_cleaned!$O:$O,A73,pg_transaction_cleaned!$F:$F,"CAPTURE")</f>
        <v>9998</v>
      </c>
      <c r="L73" s="23">
        <f>COUNTIFS(pg_transaction_cleaned!$O:$O,A73,pg_transaction_cleaned!$F:$F,"REFUND")</f>
        <v>0</v>
      </c>
      <c r="M73" s="39">
        <f>SUMIFS(pg_transaction_cleaned!$H:$H,pg_transaction_cleaned!$O:$O,A73,pg_transaction_cleaned!$F:$F,"REFUND")</f>
        <v>0</v>
      </c>
      <c r="N73" s="23" t="str">
        <f t="shared" si="6"/>
        <v>OK</v>
      </c>
      <c r="O73" s="24">
        <f t="shared" si="7"/>
        <v>0</v>
      </c>
    </row>
    <row r="74" spans="1:15" ht="15" customHeight="1" x14ac:dyDescent="0.3">
      <c r="A74" s="23" t="s">
        <v>442</v>
      </c>
      <c r="B74" s="38">
        <v>46287</v>
      </c>
      <c r="C74" s="23" t="s">
        <v>443</v>
      </c>
      <c r="D74" s="23" t="s">
        <v>92</v>
      </c>
      <c r="E74" s="23" t="s">
        <v>79</v>
      </c>
      <c r="F74" s="23" t="s">
        <v>444</v>
      </c>
      <c r="G74" s="23" t="s">
        <v>250</v>
      </c>
      <c r="H74" s="39">
        <f t="shared" si="4"/>
        <v>3847</v>
      </c>
      <c r="I74" s="23" t="str">
        <f t="shared" si="5"/>
        <v>Hyderabad</v>
      </c>
      <c r="J74" s="23">
        <f>COUNTIFS(pg_transaction_cleaned!$O:$O,A74,pg_transaction_cleaned!$F:$F,"CAPTURE")</f>
        <v>1</v>
      </c>
      <c r="K74" s="39">
        <f>SUMIFS(pg_transaction_cleaned!$H:$H,pg_transaction_cleaned!$O:$O,A74,pg_transaction_cleaned!$F:$F,"CAPTURE")</f>
        <v>3847</v>
      </c>
      <c r="L74" s="23">
        <f>COUNTIFS(pg_transaction_cleaned!$O:$O,A74,pg_transaction_cleaned!$F:$F,"REFUND")</f>
        <v>0</v>
      </c>
      <c r="M74" s="39">
        <f>SUMIFS(pg_transaction_cleaned!$H:$H,pg_transaction_cleaned!$O:$O,A74,pg_transaction_cleaned!$F:$F,"REFUND")</f>
        <v>0</v>
      </c>
      <c r="N74" s="23" t="str">
        <f t="shared" si="6"/>
        <v>OK</v>
      </c>
      <c r="O74" s="24">
        <f t="shared" si="7"/>
        <v>0</v>
      </c>
    </row>
    <row r="75" spans="1:15" ht="15" customHeight="1" x14ac:dyDescent="0.3">
      <c r="A75" s="23" t="s">
        <v>445</v>
      </c>
      <c r="B75" s="38">
        <v>46273</v>
      </c>
      <c r="C75" s="23" t="s">
        <v>446</v>
      </c>
      <c r="D75" s="23" t="s">
        <v>88</v>
      </c>
      <c r="E75" s="23" t="s">
        <v>75</v>
      </c>
      <c r="F75" s="23" t="s">
        <v>262</v>
      </c>
      <c r="G75" s="23" t="s">
        <v>250</v>
      </c>
      <c r="H75" s="39">
        <f t="shared" si="4"/>
        <v>499</v>
      </c>
      <c r="I75" s="23" t="str">
        <f t="shared" si="5"/>
        <v>Lucknow</v>
      </c>
      <c r="J75" s="23">
        <f>COUNTIFS(pg_transaction_cleaned!$O:$O,A75,pg_transaction_cleaned!$F:$F,"CAPTURE")</f>
        <v>1</v>
      </c>
      <c r="K75" s="39">
        <f>SUMIFS(pg_transaction_cleaned!$H:$H,pg_transaction_cleaned!$O:$O,A75,pg_transaction_cleaned!$F:$F,"CAPTURE")</f>
        <v>499</v>
      </c>
      <c r="L75" s="23">
        <f>COUNTIFS(pg_transaction_cleaned!$O:$O,A75,pg_transaction_cleaned!$F:$F,"REFUND")</f>
        <v>0</v>
      </c>
      <c r="M75" s="39">
        <f>SUMIFS(pg_transaction_cleaned!$H:$H,pg_transaction_cleaned!$O:$O,A75,pg_transaction_cleaned!$F:$F,"REFUND")</f>
        <v>0</v>
      </c>
      <c r="N75" s="23" t="str">
        <f t="shared" si="6"/>
        <v>OK</v>
      </c>
      <c r="O75" s="24">
        <f t="shared" si="7"/>
        <v>0</v>
      </c>
    </row>
    <row r="76" spans="1:15" ht="15" customHeight="1" x14ac:dyDescent="0.3">
      <c r="A76" s="23" t="s">
        <v>447</v>
      </c>
      <c r="B76" s="38">
        <v>46293</v>
      </c>
      <c r="C76" s="23" t="s">
        <v>448</v>
      </c>
      <c r="D76" s="23" t="s">
        <v>93</v>
      </c>
      <c r="E76" s="23" t="s">
        <v>79</v>
      </c>
      <c r="F76" s="23" t="s">
        <v>315</v>
      </c>
      <c r="G76" s="23" t="s">
        <v>250</v>
      </c>
      <c r="H76" s="39">
        <f t="shared" si="4"/>
        <v>1499</v>
      </c>
      <c r="I76" s="23" t="str">
        <f t="shared" si="5"/>
        <v>Kolkata</v>
      </c>
      <c r="J76" s="23">
        <f>COUNTIFS(pg_transaction_cleaned!$O:$O,A76,pg_transaction_cleaned!$F:$F,"CAPTURE")</f>
        <v>1</v>
      </c>
      <c r="K76" s="39">
        <f>SUMIFS(pg_transaction_cleaned!$H:$H,pg_transaction_cleaned!$O:$O,A76,pg_transaction_cleaned!$F:$F,"CAPTURE")</f>
        <v>1499</v>
      </c>
      <c r="L76" s="23">
        <f>COUNTIFS(pg_transaction_cleaned!$O:$O,A76,pg_transaction_cleaned!$F:$F,"REFUND")</f>
        <v>0</v>
      </c>
      <c r="M76" s="39">
        <f>SUMIFS(pg_transaction_cleaned!$H:$H,pg_transaction_cleaned!$O:$O,A76,pg_transaction_cleaned!$F:$F,"REFUND")</f>
        <v>0</v>
      </c>
      <c r="N76" s="23" t="str">
        <f t="shared" si="6"/>
        <v>OK</v>
      </c>
      <c r="O76" s="24">
        <f t="shared" si="7"/>
        <v>0</v>
      </c>
    </row>
    <row r="77" spans="1:15" ht="15" customHeight="1" x14ac:dyDescent="0.3">
      <c r="A77" s="23" t="s">
        <v>449</v>
      </c>
      <c r="B77" s="38">
        <v>46281</v>
      </c>
      <c r="C77" s="23" t="s">
        <v>450</v>
      </c>
      <c r="D77" s="23" t="s">
        <v>93</v>
      </c>
      <c r="E77" s="23" t="s">
        <v>75</v>
      </c>
      <c r="F77" s="23" t="s">
        <v>451</v>
      </c>
      <c r="G77" s="23" t="s">
        <v>250</v>
      </c>
      <c r="H77" s="39">
        <f t="shared" si="4"/>
        <v>1098</v>
      </c>
      <c r="I77" s="23" t="str">
        <f t="shared" si="5"/>
        <v>Kolkata</v>
      </c>
      <c r="J77" s="23">
        <f>COUNTIFS(pg_transaction_cleaned!$O:$O,A77,pg_transaction_cleaned!$F:$F,"CAPTURE")</f>
        <v>1</v>
      </c>
      <c r="K77" s="39">
        <f>SUMIFS(pg_transaction_cleaned!$H:$H,pg_transaction_cleaned!$O:$O,A77,pg_transaction_cleaned!$F:$F,"CAPTURE")</f>
        <v>1098</v>
      </c>
      <c r="L77" s="23">
        <f>COUNTIFS(pg_transaction_cleaned!$O:$O,A77,pg_transaction_cleaned!$F:$F,"REFUND")</f>
        <v>0</v>
      </c>
      <c r="M77" s="39">
        <f>SUMIFS(pg_transaction_cleaned!$H:$H,pg_transaction_cleaned!$O:$O,A77,pg_transaction_cleaned!$F:$F,"REFUND")</f>
        <v>0</v>
      </c>
      <c r="N77" s="23" t="str">
        <f t="shared" si="6"/>
        <v>OK</v>
      </c>
      <c r="O77" s="24">
        <f t="shared" si="7"/>
        <v>0</v>
      </c>
    </row>
    <row r="78" spans="1:15" ht="15" customHeight="1" x14ac:dyDescent="0.3">
      <c r="A78" s="23" t="s">
        <v>452</v>
      </c>
      <c r="B78" s="38">
        <v>46273</v>
      </c>
      <c r="C78" s="23" t="s">
        <v>453</v>
      </c>
      <c r="D78" s="23" t="s">
        <v>89</v>
      </c>
      <c r="E78" s="23" t="s">
        <v>75</v>
      </c>
      <c r="F78" s="23" t="s">
        <v>297</v>
      </c>
      <c r="G78" s="23" t="s">
        <v>318</v>
      </c>
      <c r="H78" s="39">
        <f t="shared" si="4"/>
        <v>4999</v>
      </c>
      <c r="I78" s="23" t="str">
        <f t="shared" si="5"/>
        <v>Jaipur</v>
      </c>
      <c r="J78" s="23">
        <f>COUNTIFS(pg_transaction_cleaned!$O:$O,A78,pg_transaction_cleaned!$F:$F,"CAPTURE")</f>
        <v>0</v>
      </c>
      <c r="K78" s="39">
        <f>SUMIFS(pg_transaction_cleaned!$H:$H,pg_transaction_cleaned!$O:$O,A78,pg_transaction_cleaned!$F:$F,"CAPTURE")</f>
        <v>0</v>
      </c>
      <c r="L78" s="23">
        <f>COUNTIFS(pg_transaction_cleaned!$O:$O,A78,pg_transaction_cleaned!$F:$F,"REFUND")</f>
        <v>0</v>
      </c>
      <c r="M78" s="39">
        <f>SUMIFS(pg_transaction_cleaned!$H:$H,pg_transaction_cleaned!$O:$O,A78,pg_transaction_cleaned!$F:$F,"REFUND")</f>
        <v>0</v>
      </c>
      <c r="N78" s="23" t="str">
        <f t="shared" si="6"/>
        <v>OK</v>
      </c>
      <c r="O78" s="24">
        <f t="shared" si="7"/>
        <v>0</v>
      </c>
    </row>
    <row r="79" spans="1:15" ht="15" customHeight="1" x14ac:dyDescent="0.3">
      <c r="A79" s="23" t="s">
        <v>454</v>
      </c>
      <c r="B79" s="38">
        <v>46273</v>
      </c>
      <c r="C79" s="23" t="s">
        <v>455</v>
      </c>
      <c r="D79" s="23" t="s">
        <v>89</v>
      </c>
      <c r="E79" s="23" t="s">
        <v>75</v>
      </c>
      <c r="F79" s="23" t="s">
        <v>315</v>
      </c>
      <c r="G79" s="23" t="s">
        <v>250</v>
      </c>
      <c r="H79" s="39">
        <f t="shared" si="4"/>
        <v>1499</v>
      </c>
      <c r="I79" s="23" t="str">
        <f t="shared" si="5"/>
        <v>Jaipur</v>
      </c>
      <c r="J79" s="23">
        <f>COUNTIFS(pg_transaction_cleaned!$O:$O,A79,pg_transaction_cleaned!$F:$F,"CAPTURE")</f>
        <v>1</v>
      </c>
      <c r="K79" s="39">
        <f>SUMIFS(pg_transaction_cleaned!$H:$H,pg_transaction_cleaned!$O:$O,A79,pg_transaction_cleaned!$F:$F,"CAPTURE")</f>
        <v>1499</v>
      </c>
      <c r="L79" s="23">
        <f>COUNTIFS(pg_transaction_cleaned!$O:$O,A79,pg_transaction_cleaned!$F:$F,"REFUND")</f>
        <v>0</v>
      </c>
      <c r="M79" s="39">
        <f>SUMIFS(pg_transaction_cleaned!$H:$H,pg_transaction_cleaned!$O:$O,A79,pg_transaction_cleaned!$F:$F,"REFUND")</f>
        <v>0</v>
      </c>
      <c r="N79" s="23" t="str">
        <f t="shared" si="6"/>
        <v>OK</v>
      </c>
      <c r="O79" s="24">
        <f t="shared" si="7"/>
        <v>0</v>
      </c>
    </row>
    <row r="80" spans="1:15" ht="15" customHeight="1" x14ac:dyDescent="0.3">
      <c r="A80" s="23" t="s">
        <v>456</v>
      </c>
      <c r="B80" s="38">
        <v>46285</v>
      </c>
      <c r="C80" s="23" t="s">
        <v>457</v>
      </c>
      <c r="D80" s="23" t="s">
        <v>93</v>
      </c>
      <c r="E80" s="23" t="s">
        <v>79</v>
      </c>
      <c r="F80" s="23" t="s">
        <v>297</v>
      </c>
      <c r="G80" s="23" t="s">
        <v>365</v>
      </c>
      <c r="H80" s="39">
        <f t="shared" si="4"/>
        <v>4999</v>
      </c>
      <c r="I80" s="23" t="str">
        <f t="shared" si="5"/>
        <v>Kolkata</v>
      </c>
      <c r="J80" s="23">
        <f>COUNTIFS(pg_transaction_cleaned!$O:$O,A80,pg_transaction_cleaned!$F:$F,"CAPTURE")</f>
        <v>0</v>
      </c>
      <c r="K80" s="39">
        <f>SUMIFS(pg_transaction_cleaned!$H:$H,pg_transaction_cleaned!$O:$O,A80,pg_transaction_cleaned!$F:$F,"CAPTURE")</f>
        <v>0</v>
      </c>
      <c r="L80" s="23">
        <f>COUNTIFS(pg_transaction_cleaned!$O:$O,A80,pg_transaction_cleaned!$F:$F,"REFUND")</f>
        <v>0</v>
      </c>
      <c r="M80" s="39">
        <f>SUMIFS(pg_transaction_cleaned!$H:$H,pg_transaction_cleaned!$O:$O,A80,pg_transaction_cleaned!$F:$F,"REFUND")</f>
        <v>0</v>
      </c>
      <c r="N80" s="23" t="str">
        <f t="shared" si="6"/>
        <v>OK</v>
      </c>
      <c r="O80" s="24">
        <f t="shared" si="7"/>
        <v>0</v>
      </c>
    </row>
    <row r="81" spans="1:15" ht="15" customHeight="1" x14ac:dyDescent="0.3">
      <c r="A81" s="23" t="s">
        <v>458</v>
      </c>
      <c r="B81" s="38">
        <v>46292</v>
      </c>
      <c r="C81" s="23" t="s">
        <v>459</v>
      </c>
      <c r="D81" s="23"/>
      <c r="E81" s="23" t="s">
        <v>75</v>
      </c>
      <c r="F81" s="23" t="s">
        <v>460</v>
      </c>
      <c r="G81" s="23" t="s">
        <v>250</v>
      </c>
      <c r="H81" s="39">
        <f t="shared" si="4"/>
        <v>1998</v>
      </c>
      <c r="I81" s="23" t="str">
        <f t="shared" si="5"/>
        <v>Unknown</v>
      </c>
      <c r="J81" s="23">
        <f>COUNTIFS(pg_transaction_cleaned!$O:$O,A81,pg_transaction_cleaned!$F:$F,"CAPTURE")</f>
        <v>1</v>
      </c>
      <c r="K81" s="39">
        <f>SUMIFS(pg_transaction_cleaned!$H:$H,pg_transaction_cleaned!$O:$O,A81,pg_transaction_cleaned!$F:$F,"CAPTURE")</f>
        <v>1998</v>
      </c>
      <c r="L81" s="23">
        <f>COUNTIFS(pg_transaction_cleaned!$O:$O,A81,pg_transaction_cleaned!$F:$F,"REFUND")</f>
        <v>0</v>
      </c>
      <c r="M81" s="39">
        <f>SUMIFS(pg_transaction_cleaned!$H:$H,pg_transaction_cleaned!$O:$O,A81,pg_transaction_cleaned!$F:$F,"REFUND")</f>
        <v>0</v>
      </c>
      <c r="N81" s="23" t="str">
        <f t="shared" si="6"/>
        <v>OK</v>
      </c>
      <c r="O81" s="24">
        <f t="shared" si="7"/>
        <v>0</v>
      </c>
    </row>
    <row r="82" spans="1:15" ht="15" customHeight="1" x14ac:dyDescent="0.3">
      <c r="A82" s="23" t="s">
        <v>461</v>
      </c>
      <c r="B82" s="38">
        <v>46292</v>
      </c>
      <c r="C82" s="23" t="s">
        <v>462</v>
      </c>
      <c r="D82" s="23" t="s">
        <v>90</v>
      </c>
      <c r="E82" s="23" t="s">
        <v>79</v>
      </c>
      <c r="F82" s="23" t="s">
        <v>463</v>
      </c>
      <c r="G82" s="23" t="s">
        <v>250</v>
      </c>
      <c r="H82" s="39">
        <f t="shared" si="4"/>
        <v>10797</v>
      </c>
      <c r="I82" s="23" t="str">
        <f t="shared" si="5"/>
        <v>Ahmedabad</v>
      </c>
      <c r="J82" s="23">
        <f>COUNTIFS(pg_transaction_cleaned!$O:$O,A82,pg_transaction_cleaned!$F:$F,"CAPTURE")</f>
        <v>1</v>
      </c>
      <c r="K82" s="39">
        <f>SUMIFS(pg_transaction_cleaned!$H:$H,pg_transaction_cleaned!$O:$O,A82,pg_transaction_cleaned!$F:$F,"CAPTURE")</f>
        <v>10797</v>
      </c>
      <c r="L82" s="23">
        <f>COUNTIFS(pg_transaction_cleaned!$O:$O,A82,pg_transaction_cleaned!$F:$F,"REFUND")</f>
        <v>0</v>
      </c>
      <c r="M82" s="39">
        <f>SUMIFS(pg_transaction_cleaned!$H:$H,pg_transaction_cleaned!$O:$O,A82,pg_transaction_cleaned!$F:$F,"REFUND")</f>
        <v>0</v>
      </c>
      <c r="N82" s="23" t="str">
        <f t="shared" si="6"/>
        <v>OK</v>
      </c>
      <c r="O82" s="24">
        <f t="shared" si="7"/>
        <v>0</v>
      </c>
    </row>
    <row r="83" spans="1:15" ht="15" customHeight="1" x14ac:dyDescent="0.3">
      <c r="A83" s="23" t="s">
        <v>464</v>
      </c>
      <c r="B83" s="38">
        <v>46268</v>
      </c>
      <c r="C83" s="23" t="s">
        <v>465</v>
      </c>
      <c r="D83" s="23" t="s">
        <v>86</v>
      </c>
      <c r="E83" s="23" t="s">
        <v>77</v>
      </c>
      <c r="F83" s="23" t="s">
        <v>466</v>
      </c>
      <c r="G83" s="23" t="s">
        <v>250</v>
      </c>
      <c r="H83" s="39">
        <f t="shared" si="4"/>
        <v>2197</v>
      </c>
      <c r="I83" s="23" t="str">
        <f t="shared" si="5"/>
        <v>Delhi</v>
      </c>
      <c r="J83" s="23">
        <f>COUNTIFS(pg_transaction_cleaned!$O:$O,A83,pg_transaction_cleaned!$F:$F,"CAPTURE")</f>
        <v>1</v>
      </c>
      <c r="K83" s="39">
        <f>SUMIFS(pg_transaction_cleaned!$H:$H,pg_transaction_cleaned!$O:$O,A83,pg_transaction_cleaned!$F:$F,"CAPTURE")</f>
        <v>2197</v>
      </c>
      <c r="L83" s="23">
        <f>COUNTIFS(pg_transaction_cleaned!$O:$O,A83,pg_transaction_cleaned!$F:$F,"REFUND")</f>
        <v>0</v>
      </c>
      <c r="M83" s="39">
        <f>SUMIFS(pg_transaction_cleaned!$H:$H,pg_transaction_cleaned!$O:$O,A83,pg_transaction_cleaned!$F:$F,"REFUND")</f>
        <v>0</v>
      </c>
      <c r="N83" s="23" t="str">
        <f t="shared" si="6"/>
        <v>OK</v>
      </c>
      <c r="O83" s="24">
        <f t="shared" si="7"/>
        <v>0</v>
      </c>
    </row>
    <row r="84" spans="1:15" ht="15" customHeight="1" x14ac:dyDescent="0.3">
      <c r="A84" s="23" t="s">
        <v>467</v>
      </c>
      <c r="B84" s="38">
        <v>46270</v>
      </c>
      <c r="C84" s="23" t="s">
        <v>468</v>
      </c>
      <c r="D84" s="23" t="s">
        <v>93</v>
      </c>
      <c r="E84" s="23" t="s">
        <v>79</v>
      </c>
      <c r="F84" s="23" t="s">
        <v>268</v>
      </c>
      <c r="G84" s="23" t="s">
        <v>250</v>
      </c>
      <c r="H84" s="39">
        <f t="shared" si="4"/>
        <v>1299</v>
      </c>
      <c r="I84" s="23" t="str">
        <f t="shared" si="5"/>
        <v>Kolkata</v>
      </c>
      <c r="J84" s="23">
        <f>COUNTIFS(pg_transaction_cleaned!$O:$O,A84,pg_transaction_cleaned!$F:$F,"CAPTURE")</f>
        <v>1</v>
      </c>
      <c r="K84" s="39">
        <f>SUMIFS(pg_transaction_cleaned!$H:$H,pg_transaction_cleaned!$O:$O,A84,pg_transaction_cleaned!$F:$F,"CAPTURE")</f>
        <v>1299</v>
      </c>
      <c r="L84" s="23">
        <f>COUNTIFS(pg_transaction_cleaned!$O:$O,A84,pg_transaction_cleaned!$F:$F,"REFUND")</f>
        <v>0</v>
      </c>
      <c r="M84" s="39">
        <f>SUMIFS(pg_transaction_cleaned!$H:$H,pg_transaction_cleaned!$O:$O,A84,pg_transaction_cleaned!$F:$F,"REFUND")</f>
        <v>0</v>
      </c>
      <c r="N84" s="23" t="str">
        <f t="shared" si="6"/>
        <v>OK</v>
      </c>
      <c r="O84" s="24">
        <f t="shared" si="7"/>
        <v>0</v>
      </c>
    </row>
    <row r="85" spans="1:15" ht="15" customHeight="1" x14ac:dyDescent="0.3">
      <c r="A85" s="23" t="s">
        <v>469</v>
      </c>
      <c r="B85" s="38">
        <v>46279</v>
      </c>
      <c r="C85" s="23" t="s">
        <v>470</v>
      </c>
      <c r="D85" s="23" t="s">
        <v>93</v>
      </c>
      <c r="E85" s="23" t="s">
        <v>75</v>
      </c>
      <c r="F85" s="23" t="s">
        <v>294</v>
      </c>
      <c r="G85" s="23" t="s">
        <v>250</v>
      </c>
      <c r="H85" s="39">
        <f t="shared" si="4"/>
        <v>1799</v>
      </c>
      <c r="I85" s="23" t="str">
        <f t="shared" si="5"/>
        <v>Kolkata</v>
      </c>
      <c r="J85" s="23">
        <f>COUNTIFS(pg_transaction_cleaned!$O:$O,A85,pg_transaction_cleaned!$F:$F,"CAPTURE")</f>
        <v>1</v>
      </c>
      <c r="K85" s="39">
        <f>SUMIFS(pg_transaction_cleaned!$H:$H,pg_transaction_cleaned!$O:$O,A85,pg_transaction_cleaned!$F:$F,"CAPTURE")</f>
        <v>1799</v>
      </c>
      <c r="L85" s="23">
        <f>COUNTIFS(pg_transaction_cleaned!$O:$O,A85,pg_transaction_cleaned!$F:$F,"REFUND")</f>
        <v>0</v>
      </c>
      <c r="M85" s="39">
        <f>SUMIFS(pg_transaction_cleaned!$H:$H,pg_transaction_cleaned!$O:$O,A85,pg_transaction_cleaned!$F:$F,"REFUND")</f>
        <v>0</v>
      </c>
      <c r="N85" s="23" t="str">
        <f t="shared" si="6"/>
        <v>OK</v>
      </c>
      <c r="O85" s="24">
        <f t="shared" si="7"/>
        <v>0</v>
      </c>
    </row>
    <row r="86" spans="1:15" ht="15" customHeight="1" x14ac:dyDescent="0.3">
      <c r="A86" s="23" t="s">
        <v>471</v>
      </c>
      <c r="B86" s="38">
        <v>46294</v>
      </c>
      <c r="C86" s="23" t="s">
        <v>472</v>
      </c>
      <c r="D86" s="23" t="s">
        <v>90</v>
      </c>
      <c r="E86" s="23" t="s">
        <v>79</v>
      </c>
      <c r="F86" s="23" t="s">
        <v>307</v>
      </c>
      <c r="G86" s="23" t="s">
        <v>250</v>
      </c>
      <c r="H86" s="39">
        <f t="shared" si="4"/>
        <v>3798</v>
      </c>
      <c r="I86" s="23" t="str">
        <f t="shared" si="5"/>
        <v>Ahmedabad</v>
      </c>
      <c r="J86" s="23">
        <f>COUNTIFS(pg_transaction_cleaned!$O:$O,A86,pg_transaction_cleaned!$F:$F,"CAPTURE")</f>
        <v>1</v>
      </c>
      <c r="K86" s="39">
        <f>SUMIFS(pg_transaction_cleaned!$H:$H,pg_transaction_cleaned!$O:$O,A86,pg_transaction_cleaned!$F:$F,"CAPTURE")</f>
        <v>3798</v>
      </c>
      <c r="L86" s="23">
        <f>COUNTIFS(pg_transaction_cleaned!$O:$O,A86,pg_transaction_cleaned!$F:$F,"REFUND")</f>
        <v>0</v>
      </c>
      <c r="M86" s="39">
        <f>SUMIFS(pg_transaction_cleaned!$H:$H,pg_transaction_cleaned!$O:$O,A86,pg_transaction_cleaned!$F:$F,"REFUND")</f>
        <v>0</v>
      </c>
      <c r="N86" s="23" t="str">
        <f t="shared" si="6"/>
        <v>OK</v>
      </c>
      <c r="O86" s="24">
        <f t="shared" si="7"/>
        <v>0</v>
      </c>
    </row>
    <row r="87" spans="1:15" ht="15" customHeight="1" x14ac:dyDescent="0.3">
      <c r="A87" s="23" t="s">
        <v>473</v>
      </c>
      <c r="B87" s="38">
        <v>46266</v>
      </c>
      <c r="C87" s="23" t="s">
        <v>474</v>
      </c>
      <c r="D87" s="23" t="s">
        <v>89</v>
      </c>
      <c r="E87" s="23" t="s">
        <v>81</v>
      </c>
      <c r="F87" s="23" t="s">
        <v>475</v>
      </c>
      <c r="G87" s="23" t="s">
        <v>250</v>
      </c>
      <c r="H87" s="39">
        <f t="shared" si="4"/>
        <v>799</v>
      </c>
      <c r="I87" s="23" t="str">
        <f t="shared" si="5"/>
        <v>Jaipur</v>
      </c>
      <c r="J87" s="23">
        <f>COUNTIFS(pg_transaction_cleaned!$O:$O,A87,pg_transaction_cleaned!$F:$F,"CAPTURE")</f>
        <v>1</v>
      </c>
      <c r="K87" s="39">
        <f>SUMIFS(pg_transaction_cleaned!$H:$H,pg_transaction_cleaned!$O:$O,A87,pg_transaction_cleaned!$F:$F,"CAPTURE")</f>
        <v>799</v>
      </c>
      <c r="L87" s="23">
        <f>COUNTIFS(pg_transaction_cleaned!$O:$O,A87,pg_transaction_cleaned!$F:$F,"REFUND")</f>
        <v>0</v>
      </c>
      <c r="M87" s="39">
        <f>SUMIFS(pg_transaction_cleaned!$H:$H,pg_transaction_cleaned!$O:$O,A87,pg_transaction_cleaned!$F:$F,"REFUND")</f>
        <v>0</v>
      </c>
      <c r="N87" s="23" t="str">
        <f t="shared" si="6"/>
        <v>OK</v>
      </c>
      <c r="O87" s="24">
        <f t="shared" si="7"/>
        <v>0</v>
      </c>
    </row>
    <row r="88" spans="1:15" ht="15" customHeight="1" x14ac:dyDescent="0.3">
      <c r="A88" s="23" t="s">
        <v>476</v>
      </c>
      <c r="B88" s="38">
        <v>46289</v>
      </c>
      <c r="C88" s="23" t="s">
        <v>477</v>
      </c>
      <c r="D88" s="23" t="s">
        <v>93</v>
      </c>
      <c r="E88" s="23" t="s">
        <v>75</v>
      </c>
      <c r="F88" s="23" t="s">
        <v>478</v>
      </c>
      <c r="G88" s="23" t="s">
        <v>365</v>
      </c>
      <c r="H88" s="39">
        <f t="shared" si="4"/>
        <v>9297</v>
      </c>
      <c r="I88" s="23" t="str">
        <f t="shared" si="5"/>
        <v>Kolkata</v>
      </c>
      <c r="J88" s="23">
        <f>COUNTIFS(pg_transaction_cleaned!$O:$O,A88,pg_transaction_cleaned!$F:$F,"CAPTURE")</f>
        <v>0</v>
      </c>
      <c r="K88" s="39">
        <f>SUMIFS(pg_transaction_cleaned!$H:$H,pg_transaction_cleaned!$O:$O,A88,pg_transaction_cleaned!$F:$F,"CAPTURE")</f>
        <v>0</v>
      </c>
      <c r="L88" s="23">
        <f>COUNTIFS(pg_transaction_cleaned!$O:$O,A88,pg_transaction_cleaned!$F:$F,"REFUND")</f>
        <v>0</v>
      </c>
      <c r="M88" s="39">
        <f>SUMIFS(pg_transaction_cleaned!$H:$H,pg_transaction_cleaned!$O:$O,A88,pg_transaction_cleaned!$F:$F,"REFUND")</f>
        <v>0</v>
      </c>
      <c r="N88" s="23" t="str">
        <f t="shared" si="6"/>
        <v>OK</v>
      </c>
      <c r="O88" s="24">
        <f t="shared" si="7"/>
        <v>0</v>
      </c>
    </row>
    <row r="89" spans="1:15" ht="15" customHeight="1" x14ac:dyDescent="0.3">
      <c r="A89" s="23" t="s">
        <v>479</v>
      </c>
      <c r="B89" s="38">
        <v>46281</v>
      </c>
      <c r="C89" s="23" t="s">
        <v>480</v>
      </c>
      <c r="D89" s="23" t="s">
        <v>86</v>
      </c>
      <c r="E89" s="23" t="s">
        <v>79</v>
      </c>
      <c r="F89" s="23" t="s">
        <v>268</v>
      </c>
      <c r="G89" s="23" t="s">
        <v>250</v>
      </c>
      <c r="H89" s="39">
        <f t="shared" si="4"/>
        <v>1299</v>
      </c>
      <c r="I89" s="23" t="str">
        <f t="shared" si="5"/>
        <v>Delhi</v>
      </c>
      <c r="J89" s="23">
        <f>COUNTIFS(pg_transaction_cleaned!$O:$O,A89,pg_transaction_cleaned!$F:$F,"CAPTURE")</f>
        <v>1</v>
      </c>
      <c r="K89" s="39">
        <f>SUMIFS(pg_transaction_cleaned!$H:$H,pg_transaction_cleaned!$O:$O,A89,pg_transaction_cleaned!$F:$F,"CAPTURE")</f>
        <v>1299</v>
      </c>
      <c r="L89" s="23">
        <f>COUNTIFS(pg_transaction_cleaned!$O:$O,A89,pg_transaction_cleaned!$F:$F,"REFUND")</f>
        <v>0</v>
      </c>
      <c r="M89" s="39">
        <f>SUMIFS(pg_transaction_cleaned!$H:$H,pg_transaction_cleaned!$O:$O,A89,pg_transaction_cleaned!$F:$F,"REFUND")</f>
        <v>0</v>
      </c>
      <c r="N89" s="23" t="str">
        <f t="shared" si="6"/>
        <v>OK</v>
      </c>
      <c r="O89" s="24">
        <f t="shared" si="7"/>
        <v>0</v>
      </c>
    </row>
    <row r="90" spans="1:15" ht="15" customHeight="1" x14ac:dyDescent="0.3">
      <c r="A90" s="23" t="s">
        <v>481</v>
      </c>
      <c r="B90" s="38">
        <v>46292</v>
      </c>
      <c r="C90" s="23" t="s">
        <v>482</v>
      </c>
      <c r="D90" s="23" t="s">
        <v>88</v>
      </c>
      <c r="E90" s="23" t="s">
        <v>77</v>
      </c>
      <c r="F90" s="23" t="s">
        <v>483</v>
      </c>
      <c r="G90" s="23" t="s">
        <v>250</v>
      </c>
      <c r="H90" s="39">
        <f t="shared" si="4"/>
        <v>2998</v>
      </c>
      <c r="I90" s="23" t="str">
        <f t="shared" si="5"/>
        <v>Lucknow</v>
      </c>
      <c r="J90" s="23">
        <f>COUNTIFS(pg_transaction_cleaned!$O:$O,A90,pg_transaction_cleaned!$F:$F,"CAPTURE")</f>
        <v>1</v>
      </c>
      <c r="K90" s="39">
        <f>SUMIFS(pg_transaction_cleaned!$H:$H,pg_transaction_cleaned!$O:$O,A90,pg_transaction_cleaned!$F:$F,"CAPTURE")</f>
        <v>2998</v>
      </c>
      <c r="L90" s="23">
        <f>COUNTIFS(pg_transaction_cleaned!$O:$O,A90,pg_transaction_cleaned!$F:$F,"REFUND")</f>
        <v>0</v>
      </c>
      <c r="M90" s="39">
        <f>SUMIFS(pg_transaction_cleaned!$H:$H,pg_transaction_cleaned!$O:$O,A90,pg_transaction_cleaned!$F:$F,"REFUND")</f>
        <v>0</v>
      </c>
      <c r="N90" s="23" t="str">
        <f t="shared" si="6"/>
        <v>OK</v>
      </c>
      <c r="O90" s="24">
        <f t="shared" si="7"/>
        <v>0</v>
      </c>
    </row>
    <row r="91" spans="1:15" ht="15" customHeight="1" x14ac:dyDescent="0.3">
      <c r="A91" s="23" t="s">
        <v>484</v>
      </c>
      <c r="B91" s="38">
        <v>46287</v>
      </c>
      <c r="C91" s="23" t="s">
        <v>485</v>
      </c>
      <c r="D91" s="23" t="s">
        <v>86</v>
      </c>
      <c r="E91" s="23" t="s">
        <v>75</v>
      </c>
      <c r="F91" s="23" t="s">
        <v>274</v>
      </c>
      <c r="G91" s="23" t="s">
        <v>250</v>
      </c>
      <c r="H91" s="39">
        <f t="shared" si="4"/>
        <v>349</v>
      </c>
      <c r="I91" s="23" t="str">
        <f t="shared" si="5"/>
        <v>Delhi</v>
      </c>
      <c r="J91" s="23">
        <f>COUNTIFS(pg_transaction_cleaned!$O:$O,A91,pg_transaction_cleaned!$F:$F,"CAPTURE")</f>
        <v>1</v>
      </c>
      <c r="K91" s="39">
        <f>SUMIFS(pg_transaction_cleaned!$H:$H,pg_transaction_cleaned!$O:$O,A91,pg_transaction_cleaned!$F:$F,"CAPTURE")</f>
        <v>349</v>
      </c>
      <c r="L91" s="23">
        <f>COUNTIFS(pg_transaction_cleaned!$O:$O,A91,pg_transaction_cleaned!$F:$F,"REFUND")</f>
        <v>0</v>
      </c>
      <c r="M91" s="39">
        <f>SUMIFS(pg_transaction_cleaned!$H:$H,pg_transaction_cleaned!$O:$O,A91,pg_transaction_cleaned!$F:$F,"REFUND")</f>
        <v>0</v>
      </c>
      <c r="N91" s="23" t="str">
        <f t="shared" si="6"/>
        <v>OK</v>
      </c>
      <c r="O91" s="24">
        <f t="shared" si="7"/>
        <v>0</v>
      </c>
    </row>
    <row r="92" spans="1:15" ht="15" customHeight="1" x14ac:dyDescent="0.3">
      <c r="A92" s="23" t="s">
        <v>486</v>
      </c>
      <c r="B92" s="38">
        <v>46267</v>
      </c>
      <c r="C92" s="23" t="s">
        <v>487</v>
      </c>
      <c r="D92" s="23" t="s">
        <v>93</v>
      </c>
      <c r="E92" s="23" t="s">
        <v>75</v>
      </c>
      <c r="F92" s="23" t="s">
        <v>268</v>
      </c>
      <c r="G92" s="23" t="s">
        <v>250</v>
      </c>
      <c r="H92" s="39">
        <f t="shared" si="4"/>
        <v>1299</v>
      </c>
      <c r="I92" s="23" t="str">
        <f t="shared" si="5"/>
        <v>Kolkata</v>
      </c>
      <c r="J92" s="23">
        <f>COUNTIFS(pg_transaction_cleaned!$O:$O,A92,pg_transaction_cleaned!$F:$F,"CAPTURE")</f>
        <v>1</v>
      </c>
      <c r="K92" s="39">
        <f>SUMIFS(pg_transaction_cleaned!$H:$H,pg_transaction_cleaned!$O:$O,A92,pg_transaction_cleaned!$F:$F,"CAPTURE")</f>
        <v>1299</v>
      </c>
      <c r="L92" s="23">
        <f>COUNTIFS(pg_transaction_cleaned!$O:$O,A92,pg_transaction_cleaned!$F:$F,"REFUND")</f>
        <v>0</v>
      </c>
      <c r="M92" s="39">
        <f>SUMIFS(pg_transaction_cleaned!$H:$H,pg_transaction_cleaned!$O:$O,A92,pg_transaction_cleaned!$F:$F,"REFUND")</f>
        <v>0</v>
      </c>
      <c r="N92" s="23" t="str">
        <f t="shared" si="6"/>
        <v>OK</v>
      </c>
      <c r="O92" s="24">
        <f t="shared" si="7"/>
        <v>0</v>
      </c>
    </row>
    <row r="93" spans="1:15" ht="15" customHeight="1" x14ac:dyDescent="0.3">
      <c r="A93" s="23" t="s">
        <v>488</v>
      </c>
      <c r="B93" s="38">
        <v>46274</v>
      </c>
      <c r="C93" s="23" t="s">
        <v>489</v>
      </c>
      <c r="D93" s="23" t="s">
        <v>87</v>
      </c>
      <c r="E93" s="23" t="s">
        <v>75</v>
      </c>
      <c r="F93" s="23" t="s">
        <v>490</v>
      </c>
      <c r="G93" s="23" t="s">
        <v>250</v>
      </c>
      <c r="H93" s="39">
        <f t="shared" si="4"/>
        <v>8798</v>
      </c>
      <c r="I93" s="23" t="str">
        <f t="shared" si="5"/>
        <v>Mumbai</v>
      </c>
      <c r="J93" s="23">
        <f>COUNTIFS(pg_transaction_cleaned!$O:$O,A93,pg_transaction_cleaned!$F:$F,"CAPTURE")</f>
        <v>1</v>
      </c>
      <c r="K93" s="39">
        <f>SUMIFS(pg_transaction_cleaned!$H:$H,pg_transaction_cleaned!$O:$O,A93,pg_transaction_cleaned!$F:$F,"CAPTURE")</f>
        <v>8798</v>
      </c>
      <c r="L93" s="23">
        <f>COUNTIFS(pg_transaction_cleaned!$O:$O,A93,pg_transaction_cleaned!$F:$F,"REFUND")</f>
        <v>0</v>
      </c>
      <c r="M93" s="39">
        <f>SUMIFS(pg_transaction_cleaned!$H:$H,pg_transaction_cleaned!$O:$O,A93,pg_transaction_cleaned!$F:$F,"REFUND")</f>
        <v>0</v>
      </c>
      <c r="N93" s="23" t="str">
        <f t="shared" si="6"/>
        <v>OK</v>
      </c>
      <c r="O93" s="24">
        <f t="shared" si="7"/>
        <v>0</v>
      </c>
    </row>
    <row r="94" spans="1:15" ht="15" customHeight="1" x14ac:dyDescent="0.3">
      <c r="A94" s="23" t="s">
        <v>491</v>
      </c>
      <c r="B94" s="38">
        <v>46277</v>
      </c>
      <c r="C94" s="23" t="s">
        <v>492</v>
      </c>
      <c r="D94" s="23" t="s">
        <v>87</v>
      </c>
      <c r="E94" s="23" t="s">
        <v>77</v>
      </c>
      <c r="F94" s="23" t="s">
        <v>396</v>
      </c>
      <c r="G94" s="23" t="s">
        <v>250</v>
      </c>
      <c r="H94" s="39">
        <f t="shared" si="4"/>
        <v>2999</v>
      </c>
      <c r="I94" s="23" t="str">
        <f t="shared" si="5"/>
        <v>Mumbai</v>
      </c>
      <c r="J94" s="23">
        <f>COUNTIFS(pg_transaction_cleaned!$O:$O,A94,pg_transaction_cleaned!$F:$F,"CAPTURE")</f>
        <v>1</v>
      </c>
      <c r="K94" s="39">
        <f>SUMIFS(pg_transaction_cleaned!$H:$H,pg_transaction_cleaned!$O:$O,A94,pg_transaction_cleaned!$F:$F,"CAPTURE")</f>
        <v>2999</v>
      </c>
      <c r="L94" s="23">
        <f>COUNTIFS(pg_transaction_cleaned!$O:$O,A94,pg_transaction_cleaned!$F:$F,"REFUND")</f>
        <v>0</v>
      </c>
      <c r="M94" s="39">
        <f>SUMIFS(pg_transaction_cleaned!$H:$H,pg_transaction_cleaned!$O:$O,A94,pg_transaction_cleaned!$F:$F,"REFUND")</f>
        <v>0</v>
      </c>
      <c r="N94" s="23" t="str">
        <f t="shared" si="6"/>
        <v>OK</v>
      </c>
      <c r="O94" s="24">
        <f t="shared" si="7"/>
        <v>0</v>
      </c>
    </row>
    <row r="95" spans="1:15" ht="15" customHeight="1" x14ac:dyDescent="0.3">
      <c r="A95" s="23" t="s">
        <v>493</v>
      </c>
      <c r="B95" s="38">
        <v>46273</v>
      </c>
      <c r="C95" s="23" t="s">
        <v>494</v>
      </c>
      <c r="D95" s="23" t="s">
        <v>90</v>
      </c>
      <c r="E95" s="23" t="s">
        <v>75</v>
      </c>
      <c r="F95" s="23" t="s">
        <v>310</v>
      </c>
      <c r="G95" s="23" t="s">
        <v>250</v>
      </c>
      <c r="H95" s="39">
        <f t="shared" si="4"/>
        <v>7999</v>
      </c>
      <c r="I95" s="23" t="str">
        <f t="shared" si="5"/>
        <v>Ahmedabad</v>
      </c>
      <c r="J95" s="23">
        <f>COUNTIFS(pg_transaction_cleaned!$O:$O,A95,pg_transaction_cleaned!$F:$F,"CAPTURE")</f>
        <v>1</v>
      </c>
      <c r="K95" s="39">
        <f>SUMIFS(pg_transaction_cleaned!$H:$H,pg_transaction_cleaned!$O:$O,A95,pg_transaction_cleaned!$F:$F,"CAPTURE")</f>
        <v>7999</v>
      </c>
      <c r="L95" s="23">
        <f>COUNTIFS(pg_transaction_cleaned!$O:$O,A95,pg_transaction_cleaned!$F:$F,"REFUND")</f>
        <v>0</v>
      </c>
      <c r="M95" s="39">
        <f>SUMIFS(pg_transaction_cleaned!$H:$H,pg_transaction_cleaned!$O:$O,A95,pg_transaction_cleaned!$F:$F,"REFUND")</f>
        <v>0</v>
      </c>
      <c r="N95" s="23" t="str">
        <f t="shared" si="6"/>
        <v>OK</v>
      </c>
      <c r="O95" s="24">
        <f t="shared" si="7"/>
        <v>0</v>
      </c>
    </row>
    <row r="96" spans="1:15" ht="15" customHeight="1" x14ac:dyDescent="0.3">
      <c r="A96" s="23" t="s">
        <v>495</v>
      </c>
      <c r="B96" s="38">
        <v>46287</v>
      </c>
      <c r="C96" s="23" t="s">
        <v>496</v>
      </c>
      <c r="D96" s="23" t="s">
        <v>94</v>
      </c>
      <c r="E96" s="23" t="s">
        <v>75</v>
      </c>
      <c r="F96" s="23" t="s">
        <v>271</v>
      </c>
      <c r="G96" s="23" t="s">
        <v>318</v>
      </c>
      <c r="H96" s="39">
        <f t="shared" si="4"/>
        <v>2499</v>
      </c>
      <c r="I96" s="23" t="str">
        <f t="shared" si="5"/>
        <v>Chennai</v>
      </c>
      <c r="J96" s="23">
        <f>COUNTIFS(pg_transaction_cleaned!$O:$O,A96,pg_transaction_cleaned!$F:$F,"CAPTURE")</f>
        <v>0</v>
      </c>
      <c r="K96" s="39">
        <f>SUMIFS(pg_transaction_cleaned!$H:$H,pg_transaction_cleaned!$O:$O,A96,pg_transaction_cleaned!$F:$F,"CAPTURE")</f>
        <v>0</v>
      </c>
      <c r="L96" s="23">
        <f>COUNTIFS(pg_transaction_cleaned!$O:$O,A96,pg_transaction_cleaned!$F:$F,"REFUND")</f>
        <v>0</v>
      </c>
      <c r="M96" s="39">
        <f>SUMIFS(pg_transaction_cleaned!$H:$H,pg_transaction_cleaned!$O:$O,A96,pg_transaction_cleaned!$F:$F,"REFUND")</f>
        <v>0</v>
      </c>
      <c r="N96" s="23" t="str">
        <f t="shared" si="6"/>
        <v>OK</v>
      </c>
      <c r="O96" s="24">
        <f t="shared" si="7"/>
        <v>0</v>
      </c>
    </row>
    <row r="97" spans="1:15" ht="15" customHeight="1" x14ac:dyDescent="0.3">
      <c r="A97" s="23" t="s">
        <v>497</v>
      </c>
      <c r="B97" s="38">
        <v>46271</v>
      </c>
      <c r="C97" s="23" t="s">
        <v>498</v>
      </c>
      <c r="D97" s="23" t="s">
        <v>92</v>
      </c>
      <c r="E97" s="23" t="s">
        <v>79</v>
      </c>
      <c r="F97" s="23" t="s">
        <v>499</v>
      </c>
      <c r="G97" s="23" t="s">
        <v>250</v>
      </c>
      <c r="H97" s="39">
        <f t="shared" si="4"/>
        <v>5998</v>
      </c>
      <c r="I97" s="23" t="str">
        <f t="shared" si="5"/>
        <v>Hyderabad</v>
      </c>
      <c r="J97" s="23">
        <f>COUNTIFS(pg_transaction_cleaned!$O:$O,A97,pg_transaction_cleaned!$F:$F,"CAPTURE")</f>
        <v>1</v>
      </c>
      <c r="K97" s="39">
        <f>SUMIFS(pg_transaction_cleaned!$H:$H,pg_transaction_cleaned!$O:$O,A97,pg_transaction_cleaned!$F:$F,"CAPTURE")</f>
        <v>5998</v>
      </c>
      <c r="L97" s="23">
        <f>COUNTIFS(pg_transaction_cleaned!$O:$O,A97,pg_transaction_cleaned!$F:$F,"REFUND")</f>
        <v>0</v>
      </c>
      <c r="M97" s="39">
        <f>SUMIFS(pg_transaction_cleaned!$H:$H,pg_transaction_cleaned!$O:$O,A97,pg_transaction_cleaned!$F:$F,"REFUND")</f>
        <v>0</v>
      </c>
      <c r="N97" s="23" t="str">
        <f t="shared" si="6"/>
        <v>OK</v>
      </c>
      <c r="O97" s="24">
        <f t="shared" si="7"/>
        <v>0</v>
      </c>
    </row>
    <row r="98" spans="1:15" ht="15" customHeight="1" x14ac:dyDescent="0.3">
      <c r="A98" s="23" t="s">
        <v>500</v>
      </c>
      <c r="B98" s="38">
        <v>46269</v>
      </c>
      <c r="C98" s="23" t="s">
        <v>501</v>
      </c>
      <c r="D98" s="23" t="s">
        <v>93</v>
      </c>
      <c r="E98" s="23" t="s">
        <v>77</v>
      </c>
      <c r="F98" s="23" t="s">
        <v>451</v>
      </c>
      <c r="G98" s="23" t="s">
        <v>250</v>
      </c>
      <c r="H98" s="39">
        <f t="shared" si="4"/>
        <v>1098</v>
      </c>
      <c r="I98" s="23" t="str">
        <f t="shared" si="5"/>
        <v>Kolkata</v>
      </c>
      <c r="J98" s="23">
        <f>COUNTIFS(pg_transaction_cleaned!$O:$O,A98,pg_transaction_cleaned!$F:$F,"CAPTURE")</f>
        <v>1</v>
      </c>
      <c r="K98" s="39">
        <f>SUMIFS(pg_transaction_cleaned!$H:$H,pg_transaction_cleaned!$O:$O,A98,pg_transaction_cleaned!$F:$F,"CAPTURE")</f>
        <v>1098</v>
      </c>
      <c r="L98" s="23">
        <f>COUNTIFS(pg_transaction_cleaned!$O:$O,A98,pg_transaction_cleaned!$F:$F,"REFUND")</f>
        <v>0</v>
      </c>
      <c r="M98" s="39">
        <f>SUMIFS(pg_transaction_cleaned!$H:$H,pg_transaction_cleaned!$O:$O,A98,pg_transaction_cleaned!$F:$F,"REFUND")</f>
        <v>0</v>
      </c>
      <c r="N98" s="23" t="str">
        <f t="shared" si="6"/>
        <v>OK</v>
      </c>
      <c r="O98" s="24">
        <f t="shared" si="7"/>
        <v>0</v>
      </c>
    </row>
    <row r="99" spans="1:15" ht="15" customHeight="1" x14ac:dyDescent="0.3">
      <c r="A99" s="23" t="s">
        <v>502</v>
      </c>
      <c r="B99" s="38">
        <v>46288</v>
      </c>
      <c r="C99" s="23" t="s">
        <v>503</v>
      </c>
      <c r="D99" s="23" t="s">
        <v>91</v>
      </c>
      <c r="E99" s="23" t="s">
        <v>81</v>
      </c>
      <c r="F99" s="23" t="s">
        <v>274</v>
      </c>
      <c r="G99" s="23" t="s">
        <v>250</v>
      </c>
      <c r="H99" s="39">
        <f t="shared" si="4"/>
        <v>349</v>
      </c>
      <c r="I99" s="23" t="str">
        <f t="shared" si="5"/>
        <v>Pune</v>
      </c>
      <c r="J99" s="23">
        <f>COUNTIFS(pg_transaction_cleaned!$O:$O,A99,pg_transaction_cleaned!$F:$F,"CAPTURE")</f>
        <v>1</v>
      </c>
      <c r="K99" s="39">
        <f>SUMIFS(pg_transaction_cleaned!$H:$H,pg_transaction_cleaned!$O:$O,A99,pg_transaction_cleaned!$F:$F,"CAPTURE")</f>
        <v>349</v>
      </c>
      <c r="L99" s="23">
        <f>COUNTIFS(pg_transaction_cleaned!$O:$O,A99,pg_transaction_cleaned!$F:$F,"REFUND")</f>
        <v>0</v>
      </c>
      <c r="M99" s="39">
        <f>SUMIFS(pg_transaction_cleaned!$H:$H,pg_transaction_cleaned!$O:$O,A99,pg_transaction_cleaned!$F:$F,"REFUND")</f>
        <v>0</v>
      </c>
      <c r="N99" s="23" t="str">
        <f t="shared" si="6"/>
        <v>OK</v>
      </c>
      <c r="O99" s="24">
        <f t="shared" si="7"/>
        <v>0</v>
      </c>
    </row>
    <row r="100" spans="1:15" ht="15" customHeight="1" x14ac:dyDescent="0.3">
      <c r="A100" s="23" t="s">
        <v>504</v>
      </c>
      <c r="B100" s="38">
        <v>46288</v>
      </c>
      <c r="C100" s="23" t="s">
        <v>505</v>
      </c>
      <c r="D100" s="23" t="s">
        <v>87</v>
      </c>
      <c r="E100" s="23" t="s">
        <v>81</v>
      </c>
      <c r="F100" s="23" t="s">
        <v>310</v>
      </c>
      <c r="G100" s="23" t="s">
        <v>250</v>
      </c>
      <c r="H100" s="39">
        <f t="shared" si="4"/>
        <v>7999</v>
      </c>
      <c r="I100" s="23" t="str">
        <f t="shared" si="5"/>
        <v>Mumbai</v>
      </c>
      <c r="J100" s="23">
        <f>COUNTIFS(pg_transaction_cleaned!$O:$O,A100,pg_transaction_cleaned!$F:$F,"CAPTURE")</f>
        <v>1</v>
      </c>
      <c r="K100" s="39">
        <f>SUMIFS(pg_transaction_cleaned!$H:$H,pg_transaction_cleaned!$O:$O,A100,pg_transaction_cleaned!$F:$F,"CAPTURE")</f>
        <v>7999</v>
      </c>
      <c r="L100" s="23">
        <f>COUNTIFS(pg_transaction_cleaned!$O:$O,A100,pg_transaction_cleaned!$F:$F,"REFUND")</f>
        <v>0</v>
      </c>
      <c r="M100" s="39">
        <f>SUMIFS(pg_transaction_cleaned!$H:$H,pg_transaction_cleaned!$O:$O,A100,pg_transaction_cleaned!$F:$F,"REFUND")</f>
        <v>0</v>
      </c>
      <c r="N100" s="23" t="str">
        <f t="shared" si="6"/>
        <v>OK</v>
      </c>
      <c r="O100" s="24">
        <f t="shared" si="7"/>
        <v>0</v>
      </c>
    </row>
    <row r="101" spans="1:15" ht="15" customHeight="1" x14ac:dyDescent="0.3">
      <c r="A101" s="23" t="s">
        <v>506</v>
      </c>
      <c r="B101" s="38">
        <v>46277</v>
      </c>
      <c r="C101" s="23" t="s">
        <v>507</v>
      </c>
      <c r="D101" s="23" t="s">
        <v>87</v>
      </c>
      <c r="E101" s="23" t="s">
        <v>75</v>
      </c>
      <c r="F101" s="23" t="s">
        <v>288</v>
      </c>
      <c r="G101" s="23" t="s">
        <v>250</v>
      </c>
      <c r="H101" s="39">
        <f t="shared" si="4"/>
        <v>4298</v>
      </c>
      <c r="I101" s="23" t="str">
        <f t="shared" si="5"/>
        <v>Mumbai</v>
      </c>
      <c r="J101" s="23">
        <f>COUNTIFS(pg_transaction_cleaned!$O:$O,A101,pg_transaction_cleaned!$F:$F,"CAPTURE")</f>
        <v>1</v>
      </c>
      <c r="K101" s="39">
        <f>SUMIFS(pg_transaction_cleaned!$H:$H,pg_transaction_cleaned!$O:$O,A101,pg_transaction_cleaned!$F:$F,"CAPTURE")</f>
        <v>4298</v>
      </c>
      <c r="L101" s="23">
        <f>COUNTIFS(pg_transaction_cleaned!$O:$O,A101,pg_transaction_cleaned!$F:$F,"REFUND")</f>
        <v>0</v>
      </c>
      <c r="M101" s="39">
        <f>SUMIFS(pg_transaction_cleaned!$H:$H,pg_transaction_cleaned!$O:$O,A101,pg_transaction_cleaned!$F:$F,"REFUND")</f>
        <v>0</v>
      </c>
      <c r="N101" s="23" t="str">
        <f t="shared" si="6"/>
        <v>OK</v>
      </c>
      <c r="O101" s="24">
        <f t="shared" si="7"/>
        <v>0</v>
      </c>
    </row>
    <row r="102" spans="1:15" ht="15" customHeight="1" x14ac:dyDescent="0.3">
      <c r="A102" s="23" t="s">
        <v>508</v>
      </c>
      <c r="B102" s="38">
        <v>46293</v>
      </c>
      <c r="C102" s="23" t="s">
        <v>509</v>
      </c>
      <c r="D102" s="23" t="s">
        <v>90</v>
      </c>
      <c r="E102" s="23" t="s">
        <v>77</v>
      </c>
      <c r="F102" s="23" t="s">
        <v>343</v>
      </c>
      <c r="G102" s="23" t="s">
        <v>250</v>
      </c>
      <c r="H102" s="39">
        <f t="shared" si="4"/>
        <v>9498</v>
      </c>
      <c r="I102" s="23" t="str">
        <f t="shared" si="5"/>
        <v>Ahmedabad</v>
      </c>
      <c r="J102" s="23">
        <f>COUNTIFS(pg_transaction_cleaned!$O:$O,A102,pg_transaction_cleaned!$F:$F,"CAPTURE")</f>
        <v>1</v>
      </c>
      <c r="K102" s="39">
        <f>SUMIFS(pg_transaction_cleaned!$H:$H,pg_transaction_cleaned!$O:$O,A102,pg_transaction_cleaned!$F:$F,"CAPTURE")</f>
        <v>9498</v>
      </c>
      <c r="L102" s="23">
        <f>COUNTIFS(pg_transaction_cleaned!$O:$O,A102,pg_transaction_cleaned!$F:$F,"REFUND")</f>
        <v>0</v>
      </c>
      <c r="M102" s="39">
        <f>SUMIFS(pg_transaction_cleaned!$H:$H,pg_transaction_cleaned!$O:$O,A102,pg_transaction_cleaned!$F:$F,"REFUND")</f>
        <v>0</v>
      </c>
      <c r="N102" s="23" t="str">
        <f t="shared" si="6"/>
        <v>OK</v>
      </c>
      <c r="O102" s="24">
        <f t="shared" si="7"/>
        <v>0</v>
      </c>
    </row>
    <row r="103" spans="1:15" ht="15" customHeight="1" x14ac:dyDescent="0.3">
      <c r="A103" s="23" t="s">
        <v>510</v>
      </c>
      <c r="B103" s="38">
        <v>46288</v>
      </c>
      <c r="C103" s="23" t="s">
        <v>511</v>
      </c>
      <c r="D103" s="23" t="s">
        <v>92</v>
      </c>
      <c r="E103" s="23" t="s">
        <v>75</v>
      </c>
      <c r="F103" s="23" t="s">
        <v>268</v>
      </c>
      <c r="G103" s="23" t="s">
        <v>250</v>
      </c>
      <c r="H103" s="39">
        <f t="shared" si="4"/>
        <v>1299</v>
      </c>
      <c r="I103" s="23" t="str">
        <f t="shared" si="5"/>
        <v>Hyderabad</v>
      </c>
      <c r="J103" s="23">
        <f>COUNTIFS(pg_transaction_cleaned!$O:$O,A103,pg_transaction_cleaned!$F:$F,"CAPTURE")</f>
        <v>1</v>
      </c>
      <c r="K103" s="39">
        <f>SUMIFS(pg_transaction_cleaned!$H:$H,pg_transaction_cleaned!$O:$O,A103,pg_transaction_cleaned!$F:$F,"CAPTURE")</f>
        <v>1299</v>
      </c>
      <c r="L103" s="23">
        <f>COUNTIFS(pg_transaction_cleaned!$O:$O,A103,pg_transaction_cleaned!$F:$F,"REFUND")</f>
        <v>0</v>
      </c>
      <c r="M103" s="39">
        <f>SUMIFS(pg_transaction_cleaned!$H:$H,pg_transaction_cleaned!$O:$O,A103,pg_transaction_cleaned!$F:$F,"REFUND")</f>
        <v>0</v>
      </c>
      <c r="N103" s="23" t="str">
        <f t="shared" si="6"/>
        <v>OK</v>
      </c>
      <c r="O103" s="24">
        <f t="shared" si="7"/>
        <v>0</v>
      </c>
    </row>
    <row r="104" spans="1:15" ht="15" customHeight="1" x14ac:dyDescent="0.3">
      <c r="A104" s="23" t="s">
        <v>512</v>
      </c>
      <c r="B104" s="38">
        <v>46285</v>
      </c>
      <c r="C104" s="23" t="s">
        <v>513</v>
      </c>
      <c r="D104" s="23" t="s">
        <v>92</v>
      </c>
      <c r="E104" s="23" t="s">
        <v>81</v>
      </c>
      <c r="F104" s="23" t="s">
        <v>514</v>
      </c>
      <c r="G104" s="23" t="s">
        <v>250</v>
      </c>
      <c r="H104" s="39">
        <f t="shared" si="4"/>
        <v>6498</v>
      </c>
      <c r="I104" s="23" t="str">
        <f t="shared" si="5"/>
        <v>Hyderabad</v>
      </c>
      <c r="J104" s="23">
        <f>COUNTIFS(pg_transaction_cleaned!$O:$O,A104,pg_transaction_cleaned!$F:$F,"CAPTURE")</f>
        <v>1</v>
      </c>
      <c r="K104" s="39">
        <f>SUMIFS(pg_transaction_cleaned!$H:$H,pg_transaction_cleaned!$O:$O,A104,pg_transaction_cleaned!$F:$F,"CAPTURE")</f>
        <v>6498</v>
      </c>
      <c r="L104" s="23">
        <f>COUNTIFS(pg_transaction_cleaned!$O:$O,A104,pg_transaction_cleaned!$F:$F,"REFUND")</f>
        <v>0</v>
      </c>
      <c r="M104" s="39">
        <f>SUMIFS(pg_transaction_cleaned!$H:$H,pg_transaction_cleaned!$O:$O,A104,pg_transaction_cleaned!$F:$F,"REFUND")</f>
        <v>0</v>
      </c>
      <c r="N104" s="23" t="str">
        <f t="shared" si="6"/>
        <v>OK</v>
      </c>
      <c r="O104" s="24">
        <f t="shared" si="7"/>
        <v>0</v>
      </c>
    </row>
    <row r="105" spans="1:15" ht="15" customHeight="1" x14ac:dyDescent="0.3">
      <c r="A105" s="23" t="s">
        <v>515</v>
      </c>
      <c r="B105" s="38">
        <v>46276</v>
      </c>
      <c r="C105" s="23" t="s">
        <v>516</v>
      </c>
      <c r="D105" s="23" t="s">
        <v>95</v>
      </c>
      <c r="E105" s="23" t="s">
        <v>75</v>
      </c>
      <c r="F105" s="23" t="s">
        <v>517</v>
      </c>
      <c r="G105" s="23" t="s">
        <v>318</v>
      </c>
      <c r="H105" s="39">
        <f t="shared" si="4"/>
        <v>7999</v>
      </c>
      <c r="I105" s="23" t="str">
        <f t="shared" si="5"/>
        <v>Bengaluru</v>
      </c>
      <c r="J105" s="23">
        <f>COUNTIFS(pg_transaction_cleaned!$O:$O,A105,pg_transaction_cleaned!$F:$F,"CAPTURE")</f>
        <v>0</v>
      </c>
      <c r="K105" s="39">
        <f>SUMIFS(pg_transaction_cleaned!$H:$H,pg_transaction_cleaned!$O:$O,A105,pg_transaction_cleaned!$F:$F,"CAPTURE")</f>
        <v>0</v>
      </c>
      <c r="L105" s="23">
        <f>COUNTIFS(pg_transaction_cleaned!$O:$O,A105,pg_transaction_cleaned!$F:$F,"REFUND")</f>
        <v>0</v>
      </c>
      <c r="M105" s="39">
        <f>SUMIFS(pg_transaction_cleaned!$H:$H,pg_transaction_cleaned!$O:$O,A105,pg_transaction_cleaned!$F:$F,"REFUND")</f>
        <v>0</v>
      </c>
      <c r="N105" s="23" t="str">
        <f t="shared" si="6"/>
        <v>OK</v>
      </c>
      <c r="O105" s="24">
        <f t="shared" si="7"/>
        <v>0</v>
      </c>
    </row>
    <row r="106" spans="1:15" ht="15" customHeight="1" x14ac:dyDescent="0.3">
      <c r="A106" s="23" t="s">
        <v>518</v>
      </c>
      <c r="B106" s="38">
        <v>46290</v>
      </c>
      <c r="C106" s="23" t="s">
        <v>519</v>
      </c>
      <c r="D106" s="23" t="s">
        <v>94</v>
      </c>
      <c r="E106" s="23" t="s">
        <v>75</v>
      </c>
      <c r="F106" s="23" t="s">
        <v>520</v>
      </c>
      <c r="G106" s="23" t="s">
        <v>250</v>
      </c>
      <c r="H106" s="39">
        <f t="shared" si="4"/>
        <v>4998</v>
      </c>
      <c r="I106" s="23" t="str">
        <f t="shared" si="5"/>
        <v>Chennai</v>
      </c>
      <c r="J106" s="23">
        <f>COUNTIFS(pg_transaction_cleaned!$O:$O,A106,pg_transaction_cleaned!$F:$F,"CAPTURE")</f>
        <v>1</v>
      </c>
      <c r="K106" s="39">
        <f>SUMIFS(pg_transaction_cleaned!$H:$H,pg_transaction_cleaned!$O:$O,A106,pg_transaction_cleaned!$F:$F,"CAPTURE")</f>
        <v>4998</v>
      </c>
      <c r="L106" s="23">
        <f>COUNTIFS(pg_transaction_cleaned!$O:$O,A106,pg_transaction_cleaned!$F:$F,"REFUND")</f>
        <v>0</v>
      </c>
      <c r="M106" s="39">
        <f>SUMIFS(pg_transaction_cleaned!$H:$H,pg_transaction_cleaned!$O:$O,A106,pg_transaction_cleaned!$F:$F,"REFUND")</f>
        <v>0</v>
      </c>
      <c r="N106" s="23" t="str">
        <f t="shared" si="6"/>
        <v>OK</v>
      </c>
      <c r="O106" s="24">
        <f t="shared" si="7"/>
        <v>0</v>
      </c>
    </row>
    <row r="107" spans="1:15" ht="15" customHeight="1" x14ac:dyDescent="0.3">
      <c r="A107" s="23" t="s">
        <v>521</v>
      </c>
      <c r="B107" s="38">
        <v>46271</v>
      </c>
      <c r="C107" s="23" t="s">
        <v>522</v>
      </c>
      <c r="D107" s="23" t="s">
        <v>92</v>
      </c>
      <c r="E107" s="23" t="s">
        <v>75</v>
      </c>
      <c r="F107" s="23" t="s">
        <v>357</v>
      </c>
      <c r="G107" s="23" t="s">
        <v>250</v>
      </c>
      <c r="H107" s="39">
        <f t="shared" si="4"/>
        <v>1598</v>
      </c>
      <c r="I107" s="23" t="str">
        <f t="shared" si="5"/>
        <v>Hyderabad</v>
      </c>
      <c r="J107" s="23">
        <f>COUNTIFS(pg_transaction_cleaned!$O:$O,A107,pg_transaction_cleaned!$F:$F,"CAPTURE")</f>
        <v>1</v>
      </c>
      <c r="K107" s="39">
        <f>SUMIFS(pg_transaction_cleaned!$H:$H,pg_transaction_cleaned!$O:$O,A107,pg_transaction_cleaned!$F:$F,"CAPTURE")</f>
        <v>1598</v>
      </c>
      <c r="L107" s="23">
        <f>COUNTIFS(pg_transaction_cleaned!$O:$O,A107,pg_transaction_cleaned!$F:$F,"REFUND")</f>
        <v>0</v>
      </c>
      <c r="M107" s="39">
        <f>SUMIFS(pg_transaction_cleaned!$H:$H,pg_transaction_cleaned!$O:$O,A107,pg_transaction_cleaned!$F:$F,"REFUND")</f>
        <v>0</v>
      </c>
      <c r="N107" s="23" t="str">
        <f t="shared" si="6"/>
        <v>OK</v>
      </c>
      <c r="O107" s="24">
        <f t="shared" si="7"/>
        <v>0</v>
      </c>
    </row>
    <row r="108" spans="1:15" ht="15" customHeight="1" x14ac:dyDescent="0.3">
      <c r="A108" s="23" t="s">
        <v>523</v>
      </c>
      <c r="B108" s="38">
        <v>46283</v>
      </c>
      <c r="C108" s="23" t="s">
        <v>524</v>
      </c>
      <c r="D108" s="23" t="s">
        <v>90</v>
      </c>
      <c r="E108" s="23" t="s">
        <v>75</v>
      </c>
      <c r="F108" s="23" t="s">
        <v>294</v>
      </c>
      <c r="G108" s="23" t="s">
        <v>318</v>
      </c>
      <c r="H108" s="39">
        <f t="shared" si="4"/>
        <v>1799</v>
      </c>
      <c r="I108" s="23" t="str">
        <f t="shared" si="5"/>
        <v>Ahmedabad</v>
      </c>
      <c r="J108" s="23">
        <f>COUNTIFS(pg_transaction_cleaned!$O:$O,A108,pg_transaction_cleaned!$F:$F,"CAPTURE")</f>
        <v>0</v>
      </c>
      <c r="K108" s="39">
        <f>SUMIFS(pg_transaction_cleaned!$H:$H,pg_transaction_cleaned!$O:$O,A108,pg_transaction_cleaned!$F:$F,"CAPTURE")</f>
        <v>0</v>
      </c>
      <c r="L108" s="23">
        <f>COUNTIFS(pg_transaction_cleaned!$O:$O,A108,pg_transaction_cleaned!$F:$F,"REFUND")</f>
        <v>0</v>
      </c>
      <c r="M108" s="39">
        <f>SUMIFS(pg_transaction_cleaned!$H:$H,pg_transaction_cleaned!$O:$O,A108,pg_transaction_cleaned!$F:$F,"REFUND")</f>
        <v>0</v>
      </c>
      <c r="N108" s="23" t="str">
        <f t="shared" si="6"/>
        <v>OK</v>
      </c>
      <c r="O108" s="24">
        <f t="shared" si="7"/>
        <v>0</v>
      </c>
    </row>
    <row r="109" spans="1:15" ht="15" customHeight="1" x14ac:dyDescent="0.3">
      <c r="A109" s="23" t="s">
        <v>525</v>
      </c>
      <c r="B109" s="38">
        <v>46283</v>
      </c>
      <c r="C109" s="23" t="s">
        <v>526</v>
      </c>
      <c r="D109" s="23" t="s">
        <v>87</v>
      </c>
      <c r="E109" s="23" t="s">
        <v>79</v>
      </c>
      <c r="F109" s="23" t="s">
        <v>291</v>
      </c>
      <c r="G109" s="23" t="s">
        <v>250</v>
      </c>
      <c r="H109" s="39">
        <f t="shared" si="4"/>
        <v>3499</v>
      </c>
      <c r="I109" s="23" t="str">
        <f t="shared" si="5"/>
        <v>Mumbai</v>
      </c>
      <c r="J109" s="23">
        <f>COUNTIFS(pg_transaction_cleaned!$O:$O,A109,pg_transaction_cleaned!$F:$F,"CAPTURE")</f>
        <v>1</v>
      </c>
      <c r="K109" s="39">
        <f>SUMIFS(pg_transaction_cleaned!$H:$H,pg_transaction_cleaned!$O:$O,A109,pg_transaction_cleaned!$F:$F,"CAPTURE")</f>
        <v>3499</v>
      </c>
      <c r="L109" s="23">
        <f>COUNTIFS(pg_transaction_cleaned!$O:$O,A109,pg_transaction_cleaned!$F:$F,"REFUND")</f>
        <v>0</v>
      </c>
      <c r="M109" s="39">
        <f>SUMIFS(pg_transaction_cleaned!$H:$H,pg_transaction_cleaned!$O:$O,A109,pg_transaction_cleaned!$F:$F,"REFUND")</f>
        <v>0</v>
      </c>
      <c r="N109" s="23" t="str">
        <f t="shared" si="6"/>
        <v>OK</v>
      </c>
      <c r="O109" s="24">
        <f t="shared" si="7"/>
        <v>0</v>
      </c>
    </row>
    <row r="110" spans="1:15" ht="15" customHeight="1" x14ac:dyDescent="0.3">
      <c r="A110" s="23" t="s">
        <v>527</v>
      </c>
      <c r="B110" s="38">
        <v>46268</v>
      </c>
      <c r="C110" s="23" t="s">
        <v>528</v>
      </c>
      <c r="D110" s="23" t="s">
        <v>88</v>
      </c>
      <c r="E110" s="23" t="s">
        <v>75</v>
      </c>
      <c r="F110" s="23" t="s">
        <v>329</v>
      </c>
      <c r="G110" s="23" t="s">
        <v>250</v>
      </c>
      <c r="H110" s="39">
        <f t="shared" si="4"/>
        <v>599</v>
      </c>
      <c r="I110" s="23" t="str">
        <f t="shared" si="5"/>
        <v>Lucknow</v>
      </c>
      <c r="J110" s="23">
        <f>COUNTIFS(pg_transaction_cleaned!$O:$O,A110,pg_transaction_cleaned!$F:$F,"CAPTURE")</f>
        <v>1</v>
      </c>
      <c r="K110" s="39">
        <f>SUMIFS(pg_transaction_cleaned!$H:$H,pg_transaction_cleaned!$O:$O,A110,pg_transaction_cleaned!$F:$F,"CAPTURE")</f>
        <v>599</v>
      </c>
      <c r="L110" s="23">
        <f>COUNTIFS(pg_transaction_cleaned!$O:$O,A110,pg_transaction_cleaned!$F:$F,"REFUND")</f>
        <v>0</v>
      </c>
      <c r="M110" s="39">
        <f>SUMIFS(pg_transaction_cleaned!$H:$H,pg_transaction_cleaned!$O:$O,A110,pg_transaction_cleaned!$F:$F,"REFUND")</f>
        <v>0</v>
      </c>
      <c r="N110" s="23" t="str">
        <f t="shared" si="6"/>
        <v>OK</v>
      </c>
      <c r="O110" s="24">
        <f t="shared" si="7"/>
        <v>0</v>
      </c>
    </row>
    <row r="111" spans="1:15" ht="15" customHeight="1" x14ac:dyDescent="0.3">
      <c r="A111" s="23" t="s">
        <v>529</v>
      </c>
      <c r="B111" s="38">
        <v>46277</v>
      </c>
      <c r="C111" s="23" t="s">
        <v>530</v>
      </c>
      <c r="D111" s="23" t="s">
        <v>94</v>
      </c>
      <c r="E111" s="23" t="s">
        <v>77</v>
      </c>
      <c r="F111" s="23" t="s">
        <v>531</v>
      </c>
      <c r="G111" s="23" t="s">
        <v>250</v>
      </c>
      <c r="H111" s="39">
        <f t="shared" si="4"/>
        <v>3598</v>
      </c>
      <c r="I111" s="23" t="str">
        <f t="shared" si="5"/>
        <v>Chennai</v>
      </c>
      <c r="J111" s="23">
        <f>COUNTIFS(pg_transaction_cleaned!$O:$O,A111,pg_transaction_cleaned!$F:$F,"CAPTURE")</f>
        <v>1</v>
      </c>
      <c r="K111" s="39">
        <f>SUMIFS(pg_transaction_cleaned!$H:$H,pg_transaction_cleaned!$O:$O,A111,pg_transaction_cleaned!$F:$F,"CAPTURE")</f>
        <v>3598</v>
      </c>
      <c r="L111" s="23">
        <f>COUNTIFS(pg_transaction_cleaned!$O:$O,A111,pg_transaction_cleaned!$F:$F,"REFUND")</f>
        <v>0</v>
      </c>
      <c r="M111" s="39">
        <f>SUMIFS(pg_transaction_cleaned!$H:$H,pg_transaction_cleaned!$O:$O,A111,pg_transaction_cleaned!$F:$F,"REFUND")</f>
        <v>0</v>
      </c>
      <c r="N111" s="23" t="str">
        <f t="shared" si="6"/>
        <v>OK</v>
      </c>
      <c r="O111" s="24">
        <f t="shared" si="7"/>
        <v>0</v>
      </c>
    </row>
    <row r="112" spans="1:15" ht="15" customHeight="1" x14ac:dyDescent="0.3">
      <c r="A112" s="23" t="s">
        <v>532</v>
      </c>
      <c r="B112" s="38">
        <v>46277</v>
      </c>
      <c r="C112" s="23" t="s">
        <v>533</v>
      </c>
      <c r="D112" s="23" t="s">
        <v>94</v>
      </c>
      <c r="E112" s="23" t="s">
        <v>75</v>
      </c>
      <c r="F112" s="23" t="s">
        <v>534</v>
      </c>
      <c r="G112" s="23" t="s">
        <v>250</v>
      </c>
      <c r="H112" s="39">
        <f t="shared" si="4"/>
        <v>3097</v>
      </c>
      <c r="I112" s="23" t="str">
        <f t="shared" si="5"/>
        <v>Chennai</v>
      </c>
      <c r="J112" s="23">
        <f>COUNTIFS(pg_transaction_cleaned!$O:$O,A112,pg_transaction_cleaned!$F:$F,"CAPTURE")</f>
        <v>1</v>
      </c>
      <c r="K112" s="39">
        <f>SUMIFS(pg_transaction_cleaned!$H:$H,pg_transaction_cleaned!$O:$O,A112,pg_transaction_cleaned!$F:$F,"CAPTURE")</f>
        <v>3097</v>
      </c>
      <c r="L112" s="23">
        <f>COUNTIFS(pg_transaction_cleaned!$O:$O,A112,pg_transaction_cleaned!$F:$F,"REFUND")</f>
        <v>0</v>
      </c>
      <c r="M112" s="39">
        <f>SUMIFS(pg_transaction_cleaned!$H:$H,pg_transaction_cleaned!$O:$O,A112,pg_transaction_cleaned!$F:$F,"REFUND")</f>
        <v>0</v>
      </c>
      <c r="N112" s="23" t="str">
        <f t="shared" si="6"/>
        <v>OK</v>
      </c>
      <c r="O112" s="24">
        <f t="shared" si="7"/>
        <v>0</v>
      </c>
    </row>
    <row r="113" spans="1:15" ht="15" customHeight="1" x14ac:dyDescent="0.3">
      <c r="A113" s="23" t="s">
        <v>535</v>
      </c>
      <c r="B113" s="38">
        <v>46269</v>
      </c>
      <c r="C113" s="23" t="s">
        <v>536</v>
      </c>
      <c r="D113" s="23" t="s">
        <v>92</v>
      </c>
      <c r="E113" s="23" t="s">
        <v>75</v>
      </c>
      <c r="F113" s="23" t="s">
        <v>360</v>
      </c>
      <c r="G113" s="23" t="s">
        <v>250</v>
      </c>
      <c r="H113" s="39">
        <f t="shared" si="4"/>
        <v>10297</v>
      </c>
      <c r="I113" s="23" t="str">
        <f t="shared" si="5"/>
        <v>Hyderabad</v>
      </c>
      <c r="J113" s="23">
        <f>COUNTIFS(pg_transaction_cleaned!$O:$O,A113,pg_transaction_cleaned!$F:$F,"CAPTURE")</f>
        <v>1</v>
      </c>
      <c r="K113" s="39">
        <f>SUMIFS(pg_transaction_cleaned!$H:$H,pg_transaction_cleaned!$O:$O,A113,pg_transaction_cleaned!$F:$F,"CAPTURE")</f>
        <v>10297</v>
      </c>
      <c r="L113" s="23">
        <f>COUNTIFS(pg_transaction_cleaned!$O:$O,A113,pg_transaction_cleaned!$F:$F,"REFUND")</f>
        <v>0</v>
      </c>
      <c r="M113" s="39">
        <f>SUMIFS(pg_transaction_cleaned!$H:$H,pg_transaction_cleaned!$O:$O,A113,pg_transaction_cleaned!$F:$F,"REFUND")</f>
        <v>0</v>
      </c>
      <c r="N113" s="23" t="str">
        <f t="shared" si="6"/>
        <v>OK</v>
      </c>
      <c r="O113" s="24">
        <f t="shared" si="7"/>
        <v>0</v>
      </c>
    </row>
    <row r="114" spans="1:15" ht="15" customHeight="1" x14ac:dyDescent="0.3">
      <c r="A114" s="23" t="s">
        <v>537</v>
      </c>
      <c r="B114" s="38">
        <v>46289</v>
      </c>
      <c r="C114" s="23" t="s">
        <v>538</v>
      </c>
      <c r="D114" s="23" t="s">
        <v>92</v>
      </c>
      <c r="E114" s="23" t="s">
        <v>77</v>
      </c>
      <c r="F114" s="23" t="s">
        <v>426</v>
      </c>
      <c r="G114" s="23" t="s">
        <v>250</v>
      </c>
      <c r="H114" s="39">
        <f t="shared" si="4"/>
        <v>6798</v>
      </c>
      <c r="I114" s="23" t="str">
        <f t="shared" si="5"/>
        <v>Hyderabad</v>
      </c>
      <c r="J114" s="23">
        <f>COUNTIFS(pg_transaction_cleaned!$O:$O,A114,pg_transaction_cleaned!$F:$F,"CAPTURE")</f>
        <v>1</v>
      </c>
      <c r="K114" s="39">
        <f>SUMIFS(pg_transaction_cleaned!$H:$H,pg_transaction_cleaned!$O:$O,A114,pg_transaction_cleaned!$F:$F,"CAPTURE")</f>
        <v>6798</v>
      </c>
      <c r="L114" s="23">
        <f>COUNTIFS(pg_transaction_cleaned!$O:$O,A114,pg_transaction_cleaned!$F:$F,"REFUND")</f>
        <v>0</v>
      </c>
      <c r="M114" s="39">
        <f>SUMIFS(pg_transaction_cleaned!$H:$H,pg_transaction_cleaned!$O:$O,A114,pg_transaction_cleaned!$F:$F,"REFUND")</f>
        <v>0</v>
      </c>
      <c r="N114" s="23" t="str">
        <f t="shared" si="6"/>
        <v>OK</v>
      </c>
      <c r="O114" s="24">
        <f t="shared" si="7"/>
        <v>0</v>
      </c>
    </row>
    <row r="115" spans="1:15" ht="15" customHeight="1" x14ac:dyDescent="0.3">
      <c r="A115" s="23" t="s">
        <v>539</v>
      </c>
      <c r="B115" s="38">
        <v>46273</v>
      </c>
      <c r="C115" s="23" t="s">
        <v>540</v>
      </c>
      <c r="D115" s="23" t="s">
        <v>92</v>
      </c>
      <c r="E115" s="23" t="s">
        <v>79</v>
      </c>
      <c r="F115" s="23" t="s">
        <v>262</v>
      </c>
      <c r="G115" s="23" t="s">
        <v>250</v>
      </c>
      <c r="H115" s="39">
        <f t="shared" si="4"/>
        <v>499</v>
      </c>
      <c r="I115" s="23" t="str">
        <f t="shared" si="5"/>
        <v>Hyderabad</v>
      </c>
      <c r="J115" s="23">
        <f>COUNTIFS(pg_transaction_cleaned!$O:$O,A115,pg_transaction_cleaned!$F:$F,"CAPTURE")</f>
        <v>1</v>
      </c>
      <c r="K115" s="39">
        <f>SUMIFS(pg_transaction_cleaned!$H:$H,pg_transaction_cleaned!$O:$O,A115,pg_transaction_cleaned!$F:$F,"CAPTURE")</f>
        <v>499</v>
      </c>
      <c r="L115" s="23">
        <f>COUNTIFS(pg_transaction_cleaned!$O:$O,A115,pg_transaction_cleaned!$F:$F,"REFUND")</f>
        <v>0</v>
      </c>
      <c r="M115" s="39">
        <f>SUMIFS(pg_transaction_cleaned!$H:$H,pg_transaction_cleaned!$O:$O,A115,pg_transaction_cleaned!$F:$F,"REFUND")</f>
        <v>0</v>
      </c>
      <c r="N115" s="23" t="str">
        <f t="shared" si="6"/>
        <v>OK</v>
      </c>
      <c r="O115" s="24">
        <f t="shared" si="7"/>
        <v>0</v>
      </c>
    </row>
    <row r="116" spans="1:15" ht="15" customHeight="1" x14ac:dyDescent="0.3">
      <c r="A116" s="23" t="s">
        <v>541</v>
      </c>
      <c r="B116" s="38">
        <v>46267</v>
      </c>
      <c r="C116" s="23" t="s">
        <v>542</v>
      </c>
      <c r="D116" s="23" t="s">
        <v>90</v>
      </c>
      <c r="E116" s="23" t="s">
        <v>77</v>
      </c>
      <c r="F116" s="23" t="s">
        <v>294</v>
      </c>
      <c r="G116" s="23" t="s">
        <v>250</v>
      </c>
      <c r="H116" s="39">
        <f t="shared" si="4"/>
        <v>1799</v>
      </c>
      <c r="I116" s="23" t="str">
        <f t="shared" si="5"/>
        <v>Ahmedabad</v>
      </c>
      <c r="J116" s="23">
        <f>COUNTIFS(pg_transaction_cleaned!$O:$O,A116,pg_transaction_cleaned!$F:$F,"CAPTURE")</f>
        <v>1</v>
      </c>
      <c r="K116" s="39">
        <f>SUMIFS(pg_transaction_cleaned!$H:$H,pg_transaction_cleaned!$O:$O,A116,pg_transaction_cleaned!$F:$F,"CAPTURE")</f>
        <v>1799</v>
      </c>
      <c r="L116" s="23">
        <f>COUNTIFS(pg_transaction_cleaned!$O:$O,A116,pg_transaction_cleaned!$F:$F,"REFUND")</f>
        <v>0</v>
      </c>
      <c r="M116" s="39">
        <f>SUMIFS(pg_transaction_cleaned!$H:$H,pg_transaction_cleaned!$O:$O,A116,pg_transaction_cleaned!$F:$F,"REFUND")</f>
        <v>0</v>
      </c>
      <c r="N116" s="23" t="str">
        <f t="shared" si="6"/>
        <v>OK</v>
      </c>
      <c r="O116" s="24">
        <f t="shared" si="7"/>
        <v>0</v>
      </c>
    </row>
    <row r="117" spans="1:15" ht="15" customHeight="1" x14ac:dyDescent="0.3">
      <c r="A117" s="23" t="s">
        <v>543</v>
      </c>
      <c r="B117" s="38">
        <v>46269</v>
      </c>
      <c r="C117" s="23" t="s">
        <v>544</v>
      </c>
      <c r="D117" s="23" t="s">
        <v>86</v>
      </c>
      <c r="E117" s="23" t="s">
        <v>75</v>
      </c>
      <c r="F117" s="23" t="s">
        <v>271</v>
      </c>
      <c r="G117" s="23" t="s">
        <v>250</v>
      </c>
      <c r="H117" s="39">
        <f t="shared" si="4"/>
        <v>2499</v>
      </c>
      <c r="I117" s="23" t="str">
        <f t="shared" si="5"/>
        <v>Delhi</v>
      </c>
      <c r="J117" s="23">
        <f>COUNTIFS(pg_transaction_cleaned!$O:$O,A117,pg_transaction_cleaned!$F:$F,"CAPTURE")</f>
        <v>1</v>
      </c>
      <c r="K117" s="39">
        <f>SUMIFS(pg_transaction_cleaned!$H:$H,pg_transaction_cleaned!$O:$O,A117,pg_transaction_cleaned!$F:$F,"CAPTURE")</f>
        <v>2499</v>
      </c>
      <c r="L117" s="23">
        <f>COUNTIFS(pg_transaction_cleaned!$O:$O,A117,pg_transaction_cleaned!$F:$F,"REFUND")</f>
        <v>0</v>
      </c>
      <c r="M117" s="39">
        <f>SUMIFS(pg_transaction_cleaned!$H:$H,pg_transaction_cleaned!$O:$O,A117,pg_transaction_cleaned!$F:$F,"REFUND")</f>
        <v>0</v>
      </c>
      <c r="N117" s="23" t="str">
        <f t="shared" si="6"/>
        <v>OK</v>
      </c>
      <c r="O117" s="24">
        <f t="shared" si="7"/>
        <v>0</v>
      </c>
    </row>
    <row r="118" spans="1:15" ht="15" customHeight="1" x14ac:dyDescent="0.3">
      <c r="A118" s="23" t="s">
        <v>545</v>
      </c>
      <c r="B118" s="38">
        <v>46267</v>
      </c>
      <c r="C118" s="23" t="s">
        <v>546</v>
      </c>
      <c r="D118" s="23" t="s">
        <v>90</v>
      </c>
      <c r="E118" s="23" t="s">
        <v>81</v>
      </c>
      <c r="F118" s="23" t="s">
        <v>310</v>
      </c>
      <c r="G118" s="23" t="s">
        <v>250</v>
      </c>
      <c r="H118" s="39">
        <f t="shared" si="4"/>
        <v>7999</v>
      </c>
      <c r="I118" s="23" t="str">
        <f t="shared" si="5"/>
        <v>Ahmedabad</v>
      </c>
      <c r="J118" s="23">
        <f>COUNTIFS(pg_transaction_cleaned!$O:$O,A118,pg_transaction_cleaned!$F:$F,"CAPTURE")</f>
        <v>1</v>
      </c>
      <c r="K118" s="39">
        <f>SUMIFS(pg_transaction_cleaned!$H:$H,pg_transaction_cleaned!$O:$O,A118,pg_transaction_cleaned!$F:$F,"CAPTURE")</f>
        <v>7999</v>
      </c>
      <c r="L118" s="23">
        <f>COUNTIFS(pg_transaction_cleaned!$O:$O,A118,pg_transaction_cleaned!$F:$F,"REFUND")</f>
        <v>0</v>
      </c>
      <c r="M118" s="39">
        <f>SUMIFS(pg_transaction_cleaned!$H:$H,pg_transaction_cleaned!$O:$O,A118,pg_transaction_cleaned!$F:$F,"REFUND")</f>
        <v>0</v>
      </c>
      <c r="N118" s="23" t="str">
        <f t="shared" si="6"/>
        <v>OK</v>
      </c>
      <c r="O118" s="24">
        <f t="shared" si="7"/>
        <v>0</v>
      </c>
    </row>
    <row r="119" spans="1:15" ht="15" customHeight="1" x14ac:dyDescent="0.3">
      <c r="A119" s="23" t="s">
        <v>547</v>
      </c>
      <c r="B119" s="38">
        <v>46268</v>
      </c>
      <c r="C119" s="23" t="s">
        <v>548</v>
      </c>
      <c r="D119" s="23" t="s">
        <v>92</v>
      </c>
      <c r="E119" s="23" t="s">
        <v>75</v>
      </c>
      <c r="F119" s="23" t="s">
        <v>499</v>
      </c>
      <c r="G119" s="23" t="s">
        <v>250</v>
      </c>
      <c r="H119" s="39">
        <f t="shared" si="4"/>
        <v>5998</v>
      </c>
      <c r="I119" s="23" t="str">
        <f t="shared" si="5"/>
        <v>Hyderabad</v>
      </c>
      <c r="J119" s="23">
        <f>COUNTIFS(pg_transaction_cleaned!$O:$O,A119,pg_transaction_cleaned!$F:$F,"CAPTURE")</f>
        <v>1</v>
      </c>
      <c r="K119" s="39">
        <f>SUMIFS(pg_transaction_cleaned!$H:$H,pg_transaction_cleaned!$O:$O,A119,pg_transaction_cleaned!$F:$F,"CAPTURE")</f>
        <v>5998</v>
      </c>
      <c r="L119" s="23">
        <f>COUNTIFS(pg_transaction_cleaned!$O:$O,A119,pg_transaction_cleaned!$F:$F,"REFUND")</f>
        <v>0</v>
      </c>
      <c r="M119" s="39">
        <f>SUMIFS(pg_transaction_cleaned!$H:$H,pg_transaction_cleaned!$O:$O,A119,pg_transaction_cleaned!$F:$F,"REFUND")</f>
        <v>0</v>
      </c>
      <c r="N119" s="23" t="str">
        <f t="shared" si="6"/>
        <v>OK</v>
      </c>
      <c r="O119" s="24">
        <f t="shared" si="7"/>
        <v>0</v>
      </c>
    </row>
    <row r="120" spans="1:15" ht="15" customHeight="1" x14ac:dyDescent="0.3">
      <c r="A120" s="23" t="s">
        <v>549</v>
      </c>
      <c r="B120" s="38">
        <v>46268</v>
      </c>
      <c r="C120" s="23" t="s">
        <v>550</v>
      </c>
      <c r="D120" s="23" t="s">
        <v>88</v>
      </c>
      <c r="E120" s="23" t="s">
        <v>75</v>
      </c>
      <c r="F120" s="23" t="s">
        <v>274</v>
      </c>
      <c r="G120" s="23" t="s">
        <v>250</v>
      </c>
      <c r="H120" s="39">
        <f t="shared" si="4"/>
        <v>349</v>
      </c>
      <c r="I120" s="23" t="str">
        <f t="shared" si="5"/>
        <v>Lucknow</v>
      </c>
      <c r="J120" s="23">
        <f>COUNTIFS(pg_transaction_cleaned!$O:$O,A120,pg_transaction_cleaned!$F:$F,"CAPTURE")</f>
        <v>1</v>
      </c>
      <c r="K120" s="39">
        <f>SUMIFS(pg_transaction_cleaned!$H:$H,pg_transaction_cleaned!$O:$O,A120,pg_transaction_cleaned!$F:$F,"CAPTURE")</f>
        <v>349</v>
      </c>
      <c r="L120" s="23">
        <f>COUNTIFS(pg_transaction_cleaned!$O:$O,A120,pg_transaction_cleaned!$F:$F,"REFUND")</f>
        <v>0</v>
      </c>
      <c r="M120" s="39">
        <f>SUMIFS(pg_transaction_cleaned!$H:$H,pg_transaction_cleaned!$O:$O,A120,pg_transaction_cleaned!$F:$F,"REFUND")</f>
        <v>0</v>
      </c>
      <c r="N120" s="23" t="str">
        <f t="shared" si="6"/>
        <v>OK</v>
      </c>
      <c r="O120" s="24">
        <f t="shared" si="7"/>
        <v>0</v>
      </c>
    </row>
    <row r="121" spans="1:15" ht="15" customHeight="1" x14ac:dyDescent="0.3">
      <c r="A121" s="23" t="s">
        <v>551</v>
      </c>
      <c r="B121" s="38">
        <v>46273</v>
      </c>
      <c r="C121" s="23" t="s">
        <v>552</v>
      </c>
      <c r="D121" s="23" t="s">
        <v>93</v>
      </c>
      <c r="E121" s="23" t="s">
        <v>75</v>
      </c>
      <c r="F121" s="23" t="s">
        <v>553</v>
      </c>
      <c r="G121" s="23" t="s">
        <v>365</v>
      </c>
      <c r="H121" s="39">
        <f t="shared" si="4"/>
        <v>2798</v>
      </c>
      <c r="I121" s="23" t="str">
        <f t="shared" si="5"/>
        <v>Kolkata</v>
      </c>
      <c r="J121" s="23">
        <f>COUNTIFS(pg_transaction_cleaned!$O:$O,A121,pg_transaction_cleaned!$F:$F,"CAPTURE")</f>
        <v>0</v>
      </c>
      <c r="K121" s="39">
        <f>SUMIFS(pg_transaction_cleaned!$H:$H,pg_transaction_cleaned!$O:$O,A121,pg_transaction_cleaned!$F:$F,"CAPTURE")</f>
        <v>0</v>
      </c>
      <c r="L121" s="23">
        <f>COUNTIFS(pg_transaction_cleaned!$O:$O,A121,pg_transaction_cleaned!$F:$F,"REFUND")</f>
        <v>0</v>
      </c>
      <c r="M121" s="39">
        <f>SUMIFS(pg_transaction_cleaned!$H:$H,pg_transaction_cleaned!$O:$O,A121,pg_transaction_cleaned!$F:$F,"REFUND")</f>
        <v>0</v>
      </c>
      <c r="N121" s="23" t="str">
        <f t="shared" si="6"/>
        <v>OK</v>
      </c>
      <c r="O121" s="24">
        <f t="shared" si="7"/>
        <v>0</v>
      </c>
    </row>
    <row r="122" spans="1:15" ht="15" customHeight="1" x14ac:dyDescent="0.3">
      <c r="A122" s="23" t="s">
        <v>554</v>
      </c>
      <c r="B122" s="38">
        <v>46275</v>
      </c>
      <c r="C122" s="23" t="s">
        <v>555</v>
      </c>
      <c r="D122" s="23" t="s">
        <v>95</v>
      </c>
      <c r="E122" s="23" t="s">
        <v>79</v>
      </c>
      <c r="F122" s="23" t="s">
        <v>553</v>
      </c>
      <c r="G122" s="23" t="s">
        <v>250</v>
      </c>
      <c r="H122" s="39">
        <f t="shared" si="4"/>
        <v>2798</v>
      </c>
      <c r="I122" s="23" t="str">
        <f t="shared" si="5"/>
        <v>Bengaluru</v>
      </c>
      <c r="J122" s="23">
        <f>COUNTIFS(pg_transaction_cleaned!$O:$O,A122,pg_transaction_cleaned!$F:$F,"CAPTURE")</f>
        <v>1</v>
      </c>
      <c r="K122" s="39">
        <f>SUMIFS(pg_transaction_cleaned!$H:$H,pg_transaction_cleaned!$O:$O,A122,pg_transaction_cleaned!$F:$F,"CAPTURE")</f>
        <v>2798</v>
      </c>
      <c r="L122" s="23">
        <f>COUNTIFS(pg_transaction_cleaned!$O:$O,A122,pg_transaction_cleaned!$F:$F,"REFUND")</f>
        <v>0</v>
      </c>
      <c r="M122" s="39">
        <f>SUMIFS(pg_transaction_cleaned!$H:$H,pg_transaction_cleaned!$O:$O,A122,pg_transaction_cleaned!$F:$F,"REFUND")</f>
        <v>0</v>
      </c>
      <c r="N122" s="23" t="str">
        <f t="shared" si="6"/>
        <v>OK</v>
      </c>
      <c r="O122" s="24">
        <f t="shared" si="7"/>
        <v>0</v>
      </c>
    </row>
    <row r="123" spans="1:15" ht="15" customHeight="1" x14ac:dyDescent="0.3">
      <c r="A123" s="23" t="s">
        <v>556</v>
      </c>
      <c r="B123" s="38">
        <v>46274</v>
      </c>
      <c r="C123" s="23" t="s">
        <v>557</v>
      </c>
      <c r="D123" s="23" t="s">
        <v>93</v>
      </c>
      <c r="E123" s="23" t="s">
        <v>75</v>
      </c>
      <c r="F123" s="23" t="s">
        <v>558</v>
      </c>
      <c r="G123" s="23" t="s">
        <v>250</v>
      </c>
      <c r="H123" s="39">
        <f t="shared" si="4"/>
        <v>1447</v>
      </c>
      <c r="I123" s="23" t="str">
        <f t="shared" si="5"/>
        <v>Kolkata</v>
      </c>
      <c r="J123" s="23">
        <f>COUNTIFS(pg_transaction_cleaned!$O:$O,A123,pg_transaction_cleaned!$F:$F,"CAPTURE")</f>
        <v>1</v>
      </c>
      <c r="K123" s="39">
        <f>SUMIFS(pg_transaction_cleaned!$H:$H,pg_transaction_cleaned!$O:$O,A123,pg_transaction_cleaned!$F:$F,"CAPTURE")</f>
        <v>1447</v>
      </c>
      <c r="L123" s="23">
        <f>COUNTIFS(pg_transaction_cleaned!$O:$O,A123,pg_transaction_cleaned!$F:$F,"REFUND")</f>
        <v>0</v>
      </c>
      <c r="M123" s="39">
        <f>SUMIFS(pg_transaction_cleaned!$H:$H,pg_transaction_cleaned!$O:$O,A123,pg_transaction_cleaned!$F:$F,"REFUND")</f>
        <v>0</v>
      </c>
      <c r="N123" s="23" t="str">
        <f t="shared" si="6"/>
        <v>OK</v>
      </c>
      <c r="O123" s="24">
        <f t="shared" si="7"/>
        <v>0</v>
      </c>
    </row>
    <row r="124" spans="1:15" ht="15" customHeight="1" x14ac:dyDescent="0.3">
      <c r="A124" s="23" t="s">
        <v>559</v>
      </c>
      <c r="B124" s="38">
        <v>46280</v>
      </c>
      <c r="C124" s="23" t="s">
        <v>560</v>
      </c>
      <c r="D124" s="23" t="s">
        <v>90</v>
      </c>
      <c r="E124" s="23" t="s">
        <v>75</v>
      </c>
      <c r="F124" s="23" t="s">
        <v>561</v>
      </c>
      <c r="G124" s="23" t="s">
        <v>250</v>
      </c>
      <c r="H124" s="39">
        <f t="shared" si="4"/>
        <v>4797</v>
      </c>
      <c r="I124" s="23" t="str">
        <f t="shared" si="5"/>
        <v>Ahmedabad</v>
      </c>
      <c r="J124" s="23">
        <f>COUNTIFS(pg_transaction_cleaned!$O:$O,A124,pg_transaction_cleaned!$F:$F,"CAPTURE")</f>
        <v>1</v>
      </c>
      <c r="K124" s="39">
        <f>SUMIFS(pg_transaction_cleaned!$H:$H,pg_transaction_cleaned!$O:$O,A124,pg_transaction_cleaned!$F:$F,"CAPTURE")</f>
        <v>4797</v>
      </c>
      <c r="L124" s="23">
        <f>COUNTIFS(pg_transaction_cleaned!$O:$O,A124,pg_transaction_cleaned!$F:$F,"REFUND")</f>
        <v>0</v>
      </c>
      <c r="M124" s="39">
        <f>SUMIFS(pg_transaction_cleaned!$H:$H,pg_transaction_cleaned!$O:$O,A124,pg_transaction_cleaned!$F:$F,"REFUND")</f>
        <v>0</v>
      </c>
      <c r="N124" s="23" t="str">
        <f t="shared" si="6"/>
        <v>OK</v>
      </c>
      <c r="O124" s="24">
        <f t="shared" si="7"/>
        <v>0</v>
      </c>
    </row>
    <row r="125" spans="1:15" ht="15" customHeight="1" x14ac:dyDescent="0.3">
      <c r="A125" s="23" t="s">
        <v>562</v>
      </c>
      <c r="B125" s="38">
        <v>46268</v>
      </c>
      <c r="C125" s="23" t="s">
        <v>563</v>
      </c>
      <c r="D125" s="23" t="s">
        <v>93</v>
      </c>
      <c r="E125" s="23" t="s">
        <v>79</v>
      </c>
      <c r="F125" s="23" t="s">
        <v>564</v>
      </c>
      <c r="G125" s="23" t="s">
        <v>250</v>
      </c>
      <c r="H125" s="39">
        <f t="shared" si="4"/>
        <v>6397</v>
      </c>
      <c r="I125" s="23" t="str">
        <f t="shared" si="5"/>
        <v>Kolkata</v>
      </c>
      <c r="J125" s="23">
        <f>COUNTIFS(pg_transaction_cleaned!$O:$O,A125,pg_transaction_cleaned!$F:$F,"CAPTURE")</f>
        <v>1</v>
      </c>
      <c r="K125" s="39">
        <f>SUMIFS(pg_transaction_cleaned!$H:$H,pg_transaction_cleaned!$O:$O,A125,pg_transaction_cleaned!$F:$F,"CAPTURE")</f>
        <v>6397</v>
      </c>
      <c r="L125" s="23">
        <f>COUNTIFS(pg_transaction_cleaned!$O:$O,A125,pg_transaction_cleaned!$F:$F,"REFUND")</f>
        <v>0</v>
      </c>
      <c r="M125" s="39">
        <f>SUMIFS(pg_transaction_cleaned!$H:$H,pg_transaction_cleaned!$O:$O,A125,pg_transaction_cleaned!$F:$F,"REFUND")</f>
        <v>0</v>
      </c>
      <c r="N125" s="23" t="str">
        <f t="shared" si="6"/>
        <v>OK</v>
      </c>
      <c r="O125" s="24">
        <f t="shared" si="7"/>
        <v>0</v>
      </c>
    </row>
    <row r="126" spans="1:15" ht="15" customHeight="1" x14ac:dyDescent="0.3">
      <c r="A126" s="23" t="s">
        <v>565</v>
      </c>
      <c r="B126" s="38">
        <v>46269</v>
      </c>
      <c r="C126" s="23" t="s">
        <v>566</v>
      </c>
      <c r="D126" s="23" t="s">
        <v>91</v>
      </c>
      <c r="E126" s="23" t="s">
        <v>75</v>
      </c>
      <c r="F126" s="23" t="s">
        <v>567</v>
      </c>
      <c r="G126" s="23" t="s">
        <v>250</v>
      </c>
      <c r="H126" s="39">
        <f t="shared" si="4"/>
        <v>3598</v>
      </c>
      <c r="I126" s="23" t="str">
        <f t="shared" si="5"/>
        <v>Pune</v>
      </c>
      <c r="J126" s="23">
        <f>COUNTIFS(pg_transaction_cleaned!$O:$O,A126,pg_transaction_cleaned!$F:$F,"CAPTURE")</f>
        <v>1</v>
      </c>
      <c r="K126" s="39">
        <f>SUMIFS(pg_transaction_cleaned!$H:$H,pg_transaction_cleaned!$O:$O,A126,pg_transaction_cleaned!$F:$F,"CAPTURE")</f>
        <v>3598</v>
      </c>
      <c r="L126" s="23">
        <f>COUNTIFS(pg_transaction_cleaned!$O:$O,A126,pg_transaction_cleaned!$F:$F,"REFUND")</f>
        <v>0</v>
      </c>
      <c r="M126" s="39">
        <f>SUMIFS(pg_transaction_cleaned!$H:$H,pg_transaction_cleaned!$O:$O,A126,pg_transaction_cleaned!$F:$F,"REFUND")</f>
        <v>0</v>
      </c>
      <c r="N126" s="23" t="str">
        <f t="shared" si="6"/>
        <v>OK</v>
      </c>
      <c r="O126" s="24">
        <f t="shared" si="7"/>
        <v>0</v>
      </c>
    </row>
    <row r="127" spans="1:15" ht="15" customHeight="1" x14ac:dyDescent="0.3">
      <c r="A127" s="23" t="s">
        <v>568</v>
      </c>
      <c r="B127" s="38">
        <v>46267</v>
      </c>
      <c r="C127" s="23" t="s">
        <v>569</v>
      </c>
      <c r="D127" s="23"/>
      <c r="E127" s="23" t="s">
        <v>79</v>
      </c>
      <c r="F127" s="23" t="s">
        <v>297</v>
      </c>
      <c r="G127" s="23" t="s">
        <v>250</v>
      </c>
      <c r="H127" s="39">
        <f t="shared" si="4"/>
        <v>4999</v>
      </c>
      <c r="I127" s="23" t="str">
        <f t="shared" si="5"/>
        <v>Unknown</v>
      </c>
      <c r="J127" s="23">
        <f>COUNTIFS(pg_transaction_cleaned!$O:$O,A127,pg_transaction_cleaned!$F:$F,"CAPTURE")</f>
        <v>1</v>
      </c>
      <c r="K127" s="39">
        <f>SUMIFS(pg_transaction_cleaned!$H:$H,pg_transaction_cleaned!$O:$O,A127,pg_transaction_cleaned!$F:$F,"CAPTURE")</f>
        <v>4999</v>
      </c>
      <c r="L127" s="23">
        <f>COUNTIFS(pg_transaction_cleaned!$O:$O,A127,pg_transaction_cleaned!$F:$F,"REFUND")</f>
        <v>0</v>
      </c>
      <c r="M127" s="39">
        <f>SUMIFS(pg_transaction_cleaned!$H:$H,pg_transaction_cleaned!$O:$O,A127,pg_transaction_cleaned!$F:$F,"REFUND")</f>
        <v>0</v>
      </c>
      <c r="N127" s="23" t="str">
        <f t="shared" si="6"/>
        <v>OK</v>
      </c>
      <c r="O127" s="24">
        <f t="shared" si="7"/>
        <v>0</v>
      </c>
    </row>
    <row r="128" spans="1:15" ht="15" customHeight="1" x14ac:dyDescent="0.3">
      <c r="A128" s="23" t="s">
        <v>570</v>
      </c>
      <c r="B128" s="38">
        <v>46280</v>
      </c>
      <c r="C128" s="23" t="s">
        <v>571</v>
      </c>
      <c r="D128" s="23" t="s">
        <v>89</v>
      </c>
      <c r="E128" s="23" t="s">
        <v>79</v>
      </c>
      <c r="F128" s="23" t="s">
        <v>315</v>
      </c>
      <c r="G128" s="23" t="s">
        <v>250</v>
      </c>
      <c r="H128" s="39">
        <f t="shared" si="4"/>
        <v>1499</v>
      </c>
      <c r="I128" s="23" t="str">
        <f t="shared" si="5"/>
        <v>Jaipur</v>
      </c>
      <c r="J128" s="23">
        <f>COUNTIFS(pg_transaction_cleaned!$O:$O,A128,pg_transaction_cleaned!$F:$F,"CAPTURE")</f>
        <v>1</v>
      </c>
      <c r="K128" s="39">
        <f>SUMIFS(pg_transaction_cleaned!$H:$H,pg_transaction_cleaned!$O:$O,A128,pg_transaction_cleaned!$F:$F,"CAPTURE")</f>
        <v>1499</v>
      </c>
      <c r="L128" s="23">
        <f>COUNTIFS(pg_transaction_cleaned!$O:$O,A128,pg_transaction_cleaned!$F:$F,"REFUND")</f>
        <v>0</v>
      </c>
      <c r="M128" s="39">
        <f>SUMIFS(pg_transaction_cleaned!$H:$H,pg_transaction_cleaned!$O:$O,A128,pg_transaction_cleaned!$F:$F,"REFUND")</f>
        <v>0</v>
      </c>
      <c r="N128" s="23" t="str">
        <f t="shared" si="6"/>
        <v>OK</v>
      </c>
      <c r="O128" s="24">
        <f t="shared" si="7"/>
        <v>0</v>
      </c>
    </row>
    <row r="129" spans="1:15" ht="15" customHeight="1" x14ac:dyDescent="0.3">
      <c r="A129" s="23" t="s">
        <v>572</v>
      </c>
      <c r="B129" s="38">
        <v>46283</v>
      </c>
      <c r="C129" s="23" t="s">
        <v>573</v>
      </c>
      <c r="D129" s="23" t="s">
        <v>88</v>
      </c>
      <c r="E129" s="23" t="s">
        <v>77</v>
      </c>
      <c r="F129" s="23" t="s">
        <v>574</v>
      </c>
      <c r="G129" s="23" t="s">
        <v>250</v>
      </c>
      <c r="H129" s="39">
        <f t="shared" si="4"/>
        <v>1848</v>
      </c>
      <c r="I129" s="23" t="str">
        <f t="shared" si="5"/>
        <v>Lucknow</v>
      </c>
      <c r="J129" s="23">
        <f>COUNTIFS(pg_transaction_cleaned!$O:$O,A129,pg_transaction_cleaned!$F:$F,"CAPTURE")</f>
        <v>1</v>
      </c>
      <c r="K129" s="39">
        <f>SUMIFS(pg_transaction_cleaned!$H:$H,pg_transaction_cleaned!$O:$O,A129,pg_transaction_cleaned!$F:$F,"CAPTURE")</f>
        <v>1848</v>
      </c>
      <c r="L129" s="23">
        <f>COUNTIFS(pg_transaction_cleaned!$O:$O,A129,pg_transaction_cleaned!$F:$F,"REFUND")</f>
        <v>0</v>
      </c>
      <c r="M129" s="39">
        <f>SUMIFS(pg_transaction_cleaned!$H:$H,pg_transaction_cleaned!$O:$O,A129,pg_transaction_cleaned!$F:$F,"REFUND")</f>
        <v>0</v>
      </c>
      <c r="N129" s="23" t="str">
        <f t="shared" si="6"/>
        <v>OK</v>
      </c>
      <c r="O129" s="24">
        <f t="shared" si="7"/>
        <v>0</v>
      </c>
    </row>
    <row r="130" spans="1:15" ht="15" customHeight="1" x14ac:dyDescent="0.3">
      <c r="A130" s="23" t="s">
        <v>575</v>
      </c>
      <c r="B130" s="38">
        <v>46274</v>
      </c>
      <c r="C130" s="23" t="s">
        <v>576</v>
      </c>
      <c r="D130" s="23" t="s">
        <v>88</v>
      </c>
      <c r="E130" s="23" t="s">
        <v>79</v>
      </c>
      <c r="F130" s="23" t="s">
        <v>274</v>
      </c>
      <c r="G130" s="23" t="s">
        <v>250</v>
      </c>
      <c r="H130" s="39">
        <f t="shared" ref="H130:H193" si="8">VALUE(SUBSTITUTE(F130,",",""))</f>
        <v>349</v>
      </c>
      <c r="I130" s="23" t="str">
        <f t="shared" ref="I130:I193" si="9">IF(TRIM(D130)="","Unknown",TRIM(D130))</f>
        <v>Lucknow</v>
      </c>
      <c r="J130" s="23">
        <f>COUNTIFS(pg_transaction_cleaned!$O:$O,A130,pg_transaction_cleaned!$F:$F,"CAPTURE")</f>
        <v>1</v>
      </c>
      <c r="K130" s="39">
        <f>SUMIFS(pg_transaction_cleaned!$H:$H,pg_transaction_cleaned!$O:$O,A130,pg_transaction_cleaned!$F:$F,"CAPTURE")</f>
        <v>349</v>
      </c>
      <c r="L130" s="23">
        <f>COUNTIFS(pg_transaction_cleaned!$O:$O,A130,pg_transaction_cleaned!$F:$F,"REFUND")</f>
        <v>0</v>
      </c>
      <c r="M130" s="39">
        <f>SUMIFS(pg_transaction_cleaned!$H:$H,pg_transaction_cleaned!$O:$O,A130,pg_transaction_cleaned!$F:$F,"REFUND")</f>
        <v>0</v>
      </c>
      <c r="N130" s="23" t="str">
        <f t="shared" ref="N130:N193" si="10">IF(AND(G130="Paid",J130=0),"Paid, no payment",IF(AND(OR(G130="Failed",G130="Cancelled"),J130&gt;0),"Payment on failed/cancelled",IF(J130&gt;1,"Duplicate charge",IF(AND(J130=1,ROUND(K130-H130,2)&lt;&gt;0),"Amount difference",IF(AND(G130="Refunded",L130=0),"Refunded, no refund",IF(AND(G130&lt;&gt;"Refunded",L130&gt;0),"Refund, order not Refunded",IF(AND(L130&gt;0,ROUND(M130-H130,2)&lt;&gt;0),"Refund amount differs","OK")))))))</f>
        <v>OK</v>
      </c>
      <c r="O130" s="24">
        <f t="shared" ref="O130:O193" si="11">IF(N130="OK",0,IF(N130="Paid, no payment",H130,IF(N130="Payment on failed/cancelled",K130,IF(OR(N130="Duplicate charge",N130="Amount difference"),K130-H130,IF(N130="Refunded, no refund",H130,M130)))))</f>
        <v>0</v>
      </c>
    </row>
    <row r="131" spans="1:15" ht="15" customHeight="1" x14ac:dyDescent="0.3">
      <c r="A131" s="23" t="s">
        <v>577</v>
      </c>
      <c r="B131" s="38">
        <v>46266</v>
      </c>
      <c r="C131" s="23" t="s">
        <v>578</v>
      </c>
      <c r="D131" s="23" t="s">
        <v>89</v>
      </c>
      <c r="E131" s="23" t="s">
        <v>79</v>
      </c>
      <c r="F131" s="23" t="s">
        <v>579</v>
      </c>
      <c r="G131" s="23" t="s">
        <v>250</v>
      </c>
      <c r="H131" s="39">
        <f t="shared" si="8"/>
        <v>11297</v>
      </c>
      <c r="I131" s="23" t="str">
        <f t="shared" si="9"/>
        <v>Jaipur</v>
      </c>
      <c r="J131" s="23">
        <f>COUNTIFS(pg_transaction_cleaned!$O:$O,A131,pg_transaction_cleaned!$F:$F,"CAPTURE")</f>
        <v>1</v>
      </c>
      <c r="K131" s="39">
        <f>SUMIFS(pg_transaction_cleaned!$H:$H,pg_transaction_cleaned!$O:$O,A131,pg_transaction_cleaned!$F:$F,"CAPTURE")</f>
        <v>11297</v>
      </c>
      <c r="L131" s="23">
        <f>COUNTIFS(pg_transaction_cleaned!$O:$O,A131,pg_transaction_cleaned!$F:$F,"REFUND")</f>
        <v>0</v>
      </c>
      <c r="M131" s="39">
        <f>SUMIFS(pg_transaction_cleaned!$H:$H,pg_transaction_cleaned!$O:$O,A131,pg_transaction_cleaned!$F:$F,"REFUND")</f>
        <v>0</v>
      </c>
      <c r="N131" s="23" t="str">
        <f t="shared" si="10"/>
        <v>OK</v>
      </c>
      <c r="O131" s="24">
        <f t="shared" si="11"/>
        <v>0</v>
      </c>
    </row>
    <row r="132" spans="1:15" ht="15" customHeight="1" x14ac:dyDescent="0.3">
      <c r="A132" s="23" t="s">
        <v>580</v>
      </c>
      <c r="B132" s="38">
        <v>46286</v>
      </c>
      <c r="C132" s="23" t="s">
        <v>581</v>
      </c>
      <c r="D132" s="23" t="s">
        <v>91</v>
      </c>
      <c r="E132" s="23" t="s">
        <v>75</v>
      </c>
      <c r="F132" s="23" t="s">
        <v>582</v>
      </c>
      <c r="G132" s="23" t="s">
        <v>301</v>
      </c>
      <c r="H132" s="39">
        <f t="shared" si="8"/>
        <v>1298</v>
      </c>
      <c r="I132" s="23" t="str">
        <f t="shared" si="9"/>
        <v>Pune</v>
      </c>
      <c r="J132" s="23">
        <f>COUNTIFS(pg_transaction_cleaned!$O:$O,A132,pg_transaction_cleaned!$F:$F,"CAPTURE")</f>
        <v>1</v>
      </c>
      <c r="K132" s="39">
        <f>SUMIFS(pg_transaction_cleaned!$H:$H,pg_transaction_cleaned!$O:$O,A132,pg_transaction_cleaned!$F:$F,"CAPTURE")</f>
        <v>1298</v>
      </c>
      <c r="L132" s="23">
        <f>COUNTIFS(pg_transaction_cleaned!$O:$O,A132,pg_transaction_cleaned!$F:$F,"REFUND")</f>
        <v>1</v>
      </c>
      <c r="M132" s="39">
        <f>SUMIFS(pg_transaction_cleaned!$H:$H,pg_transaction_cleaned!$O:$O,A132,pg_transaction_cleaned!$F:$F,"REFUND")</f>
        <v>1298</v>
      </c>
      <c r="N132" s="23" t="str">
        <f t="shared" si="10"/>
        <v>OK</v>
      </c>
      <c r="O132" s="24">
        <f t="shared" si="11"/>
        <v>0</v>
      </c>
    </row>
    <row r="133" spans="1:15" ht="15" customHeight="1" x14ac:dyDescent="0.3">
      <c r="A133" s="23" t="s">
        <v>583</v>
      </c>
      <c r="B133" s="38">
        <v>46281</v>
      </c>
      <c r="C133" s="23" t="s">
        <v>584</v>
      </c>
      <c r="D133" s="23" t="s">
        <v>94</v>
      </c>
      <c r="E133" s="23" t="s">
        <v>79</v>
      </c>
      <c r="F133" s="23" t="s">
        <v>268</v>
      </c>
      <c r="G133" s="23" t="s">
        <v>250</v>
      </c>
      <c r="H133" s="39">
        <f t="shared" si="8"/>
        <v>1299</v>
      </c>
      <c r="I133" s="23" t="str">
        <f t="shared" si="9"/>
        <v>Chennai</v>
      </c>
      <c r="J133" s="23">
        <f>COUNTIFS(pg_transaction_cleaned!$O:$O,A133,pg_transaction_cleaned!$F:$F,"CAPTURE")</f>
        <v>1</v>
      </c>
      <c r="K133" s="39">
        <f>SUMIFS(pg_transaction_cleaned!$H:$H,pg_transaction_cleaned!$O:$O,A133,pg_transaction_cleaned!$F:$F,"CAPTURE")</f>
        <v>1299</v>
      </c>
      <c r="L133" s="23">
        <f>COUNTIFS(pg_transaction_cleaned!$O:$O,A133,pg_transaction_cleaned!$F:$F,"REFUND")</f>
        <v>0</v>
      </c>
      <c r="M133" s="39">
        <f>SUMIFS(pg_transaction_cleaned!$H:$H,pg_transaction_cleaned!$O:$O,A133,pg_transaction_cleaned!$F:$F,"REFUND")</f>
        <v>0</v>
      </c>
      <c r="N133" s="23" t="str">
        <f t="shared" si="10"/>
        <v>OK</v>
      </c>
      <c r="O133" s="24">
        <f t="shared" si="11"/>
        <v>0</v>
      </c>
    </row>
    <row r="134" spans="1:15" ht="15" customHeight="1" x14ac:dyDescent="0.3">
      <c r="A134" s="23" t="s">
        <v>585</v>
      </c>
      <c r="B134" s="38">
        <v>46279</v>
      </c>
      <c r="C134" s="23" t="s">
        <v>586</v>
      </c>
      <c r="D134" s="23" t="s">
        <v>87</v>
      </c>
      <c r="E134" s="23" t="s">
        <v>81</v>
      </c>
      <c r="F134" s="23" t="s">
        <v>587</v>
      </c>
      <c r="G134" s="23" t="s">
        <v>318</v>
      </c>
      <c r="H134" s="39">
        <f t="shared" si="8"/>
        <v>5297</v>
      </c>
      <c r="I134" s="23" t="str">
        <f t="shared" si="9"/>
        <v>Mumbai</v>
      </c>
      <c r="J134" s="23">
        <f>COUNTIFS(pg_transaction_cleaned!$O:$O,A134,pg_transaction_cleaned!$F:$F,"CAPTURE")</f>
        <v>0</v>
      </c>
      <c r="K134" s="39">
        <f>SUMIFS(pg_transaction_cleaned!$H:$H,pg_transaction_cleaned!$O:$O,A134,pg_transaction_cleaned!$F:$F,"CAPTURE")</f>
        <v>0</v>
      </c>
      <c r="L134" s="23">
        <f>COUNTIFS(pg_transaction_cleaned!$O:$O,A134,pg_transaction_cleaned!$F:$F,"REFUND")</f>
        <v>0</v>
      </c>
      <c r="M134" s="39">
        <f>SUMIFS(pg_transaction_cleaned!$H:$H,pg_transaction_cleaned!$O:$O,A134,pg_transaction_cleaned!$F:$F,"REFUND")</f>
        <v>0</v>
      </c>
      <c r="N134" s="23" t="str">
        <f t="shared" si="10"/>
        <v>OK</v>
      </c>
      <c r="O134" s="24">
        <f t="shared" si="11"/>
        <v>0</v>
      </c>
    </row>
    <row r="135" spans="1:15" ht="15" customHeight="1" x14ac:dyDescent="0.3">
      <c r="A135" s="23" t="s">
        <v>588</v>
      </c>
      <c r="B135" s="38">
        <v>46280</v>
      </c>
      <c r="C135" s="23" t="s">
        <v>589</v>
      </c>
      <c r="D135" s="23" t="s">
        <v>89</v>
      </c>
      <c r="E135" s="23" t="s">
        <v>75</v>
      </c>
      <c r="F135" s="23" t="s">
        <v>265</v>
      </c>
      <c r="G135" s="23" t="s">
        <v>250</v>
      </c>
      <c r="H135" s="39">
        <f t="shared" si="8"/>
        <v>999</v>
      </c>
      <c r="I135" s="23" t="str">
        <f t="shared" si="9"/>
        <v>Jaipur</v>
      </c>
      <c r="J135" s="23">
        <f>COUNTIFS(pg_transaction_cleaned!$O:$O,A135,pg_transaction_cleaned!$F:$F,"CAPTURE")</f>
        <v>1</v>
      </c>
      <c r="K135" s="39">
        <f>SUMIFS(pg_transaction_cleaned!$H:$H,pg_transaction_cleaned!$O:$O,A135,pg_transaction_cleaned!$F:$F,"CAPTURE")</f>
        <v>999</v>
      </c>
      <c r="L135" s="23">
        <f>COUNTIFS(pg_transaction_cleaned!$O:$O,A135,pg_transaction_cleaned!$F:$F,"REFUND")</f>
        <v>0</v>
      </c>
      <c r="M135" s="39">
        <f>SUMIFS(pg_transaction_cleaned!$H:$H,pg_transaction_cleaned!$O:$O,A135,pg_transaction_cleaned!$F:$F,"REFUND")</f>
        <v>0</v>
      </c>
      <c r="N135" s="23" t="str">
        <f t="shared" si="10"/>
        <v>OK</v>
      </c>
      <c r="O135" s="24">
        <f t="shared" si="11"/>
        <v>0</v>
      </c>
    </row>
    <row r="136" spans="1:15" ht="15" customHeight="1" x14ac:dyDescent="0.3">
      <c r="A136" s="23" t="s">
        <v>590</v>
      </c>
      <c r="B136" s="38">
        <v>46292</v>
      </c>
      <c r="C136" s="23" t="s">
        <v>591</v>
      </c>
      <c r="D136" s="23" t="s">
        <v>95</v>
      </c>
      <c r="E136" s="23" t="s">
        <v>75</v>
      </c>
      <c r="F136" s="23" t="s">
        <v>396</v>
      </c>
      <c r="G136" s="23" t="s">
        <v>250</v>
      </c>
      <c r="H136" s="39">
        <f t="shared" si="8"/>
        <v>2999</v>
      </c>
      <c r="I136" s="23" t="str">
        <f t="shared" si="9"/>
        <v>Bengaluru</v>
      </c>
      <c r="J136" s="23">
        <f>COUNTIFS(pg_transaction_cleaned!$O:$O,A136,pg_transaction_cleaned!$F:$F,"CAPTURE")</f>
        <v>1</v>
      </c>
      <c r="K136" s="39">
        <f>SUMIFS(pg_transaction_cleaned!$H:$H,pg_transaction_cleaned!$O:$O,A136,pg_transaction_cleaned!$F:$F,"CAPTURE")</f>
        <v>2999</v>
      </c>
      <c r="L136" s="23">
        <f>COUNTIFS(pg_transaction_cleaned!$O:$O,A136,pg_transaction_cleaned!$F:$F,"REFUND")</f>
        <v>0</v>
      </c>
      <c r="M136" s="39">
        <f>SUMIFS(pg_transaction_cleaned!$H:$H,pg_transaction_cleaned!$O:$O,A136,pg_transaction_cleaned!$F:$F,"REFUND")</f>
        <v>0</v>
      </c>
      <c r="N136" s="23" t="str">
        <f t="shared" si="10"/>
        <v>OK</v>
      </c>
      <c r="O136" s="24">
        <f t="shared" si="11"/>
        <v>0</v>
      </c>
    </row>
    <row r="137" spans="1:15" ht="15" customHeight="1" x14ac:dyDescent="0.3">
      <c r="A137" s="23" t="s">
        <v>592</v>
      </c>
      <c r="B137" s="38">
        <v>46282</v>
      </c>
      <c r="C137" s="23" t="s">
        <v>593</v>
      </c>
      <c r="D137" s="23" t="s">
        <v>95</v>
      </c>
      <c r="E137" s="23" t="s">
        <v>79</v>
      </c>
      <c r="F137" s="23" t="s">
        <v>271</v>
      </c>
      <c r="G137" s="23" t="s">
        <v>250</v>
      </c>
      <c r="H137" s="39">
        <f t="shared" si="8"/>
        <v>2499</v>
      </c>
      <c r="I137" s="23" t="str">
        <f t="shared" si="9"/>
        <v>Bengaluru</v>
      </c>
      <c r="J137" s="23">
        <f>COUNTIFS(pg_transaction_cleaned!$O:$O,A137,pg_transaction_cleaned!$F:$F,"CAPTURE")</f>
        <v>1</v>
      </c>
      <c r="K137" s="39">
        <f>SUMIFS(pg_transaction_cleaned!$H:$H,pg_transaction_cleaned!$O:$O,A137,pg_transaction_cleaned!$F:$F,"CAPTURE")</f>
        <v>2499</v>
      </c>
      <c r="L137" s="23">
        <f>COUNTIFS(pg_transaction_cleaned!$O:$O,A137,pg_transaction_cleaned!$F:$F,"REFUND")</f>
        <v>0</v>
      </c>
      <c r="M137" s="39">
        <f>SUMIFS(pg_transaction_cleaned!$H:$H,pg_transaction_cleaned!$O:$O,A137,pg_transaction_cleaned!$F:$F,"REFUND")</f>
        <v>0</v>
      </c>
      <c r="N137" s="23" t="str">
        <f t="shared" si="10"/>
        <v>OK</v>
      </c>
      <c r="O137" s="24">
        <f t="shared" si="11"/>
        <v>0</v>
      </c>
    </row>
    <row r="138" spans="1:15" ht="15" customHeight="1" x14ac:dyDescent="0.3">
      <c r="A138" s="23" t="s">
        <v>594</v>
      </c>
      <c r="B138" s="38">
        <v>46274</v>
      </c>
      <c r="C138" s="23" t="s">
        <v>595</v>
      </c>
      <c r="D138" s="23"/>
      <c r="E138" s="23" t="s">
        <v>79</v>
      </c>
      <c r="F138" s="23" t="s">
        <v>582</v>
      </c>
      <c r="G138" s="23" t="s">
        <v>250</v>
      </c>
      <c r="H138" s="39">
        <f t="shared" si="8"/>
        <v>1298</v>
      </c>
      <c r="I138" s="23" t="str">
        <f t="shared" si="9"/>
        <v>Unknown</v>
      </c>
      <c r="J138" s="23">
        <f>COUNTIFS(pg_transaction_cleaned!$O:$O,A138,pg_transaction_cleaned!$F:$F,"CAPTURE")</f>
        <v>1</v>
      </c>
      <c r="K138" s="39">
        <f>SUMIFS(pg_transaction_cleaned!$H:$H,pg_transaction_cleaned!$O:$O,A138,pg_transaction_cleaned!$F:$F,"CAPTURE")</f>
        <v>1298</v>
      </c>
      <c r="L138" s="23">
        <f>COUNTIFS(pg_transaction_cleaned!$O:$O,A138,pg_transaction_cleaned!$F:$F,"REFUND")</f>
        <v>0</v>
      </c>
      <c r="M138" s="39">
        <f>SUMIFS(pg_transaction_cleaned!$H:$H,pg_transaction_cleaned!$O:$O,A138,pg_transaction_cleaned!$F:$F,"REFUND")</f>
        <v>0</v>
      </c>
      <c r="N138" s="23" t="str">
        <f t="shared" si="10"/>
        <v>OK</v>
      </c>
      <c r="O138" s="24">
        <f t="shared" si="11"/>
        <v>0</v>
      </c>
    </row>
    <row r="139" spans="1:15" ht="15" customHeight="1" x14ac:dyDescent="0.3">
      <c r="A139" s="23" t="s">
        <v>596</v>
      </c>
      <c r="B139" s="38">
        <v>46286</v>
      </c>
      <c r="C139" s="23" t="s">
        <v>597</v>
      </c>
      <c r="D139" s="23" t="s">
        <v>89</v>
      </c>
      <c r="E139" s="23" t="s">
        <v>75</v>
      </c>
      <c r="F139" s="23" t="s">
        <v>598</v>
      </c>
      <c r="G139" s="23" t="s">
        <v>250</v>
      </c>
      <c r="H139" s="39">
        <f t="shared" si="8"/>
        <v>5598</v>
      </c>
      <c r="I139" s="23" t="str">
        <f t="shared" si="9"/>
        <v>Jaipur</v>
      </c>
      <c r="J139" s="23">
        <f>COUNTIFS(pg_transaction_cleaned!$O:$O,A139,pg_transaction_cleaned!$F:$F,"CAPTURE")</f>
        <v>1</v>
      </c>
      <c r="K139" s="39">
        <f>SUMIFS(pg_transaction_cleaned!$H:$H,pg_transaction_cleaned!$O:$O,A139,pg_transaction_cleaned!$F:$F,"CAPTURE")</f>
        <v>5598</v>
      </c>
      <c r="L139" s="23">
        <f>COUNTIFS(pg_transaction_cleaned!$O:$O,A139,pg_transaction_cleaned!$F:$F,"REFUND")</f>
        <v>0</v>
      </c>
      <c r="M139" s="39">
        <f>SUMIFS(pg_transaction_cleaned!$H:$H,pg_transaction_cleaned!$O:$O,A139,pg_transaction_cleaned!$F:$F,"REFUND")</f>
        <v>0</v>
      </c>
      <c r="N139" s="23" t="str">
        <f t="shared" si="10"/>
        <v>OK</v>
      </c>
      <c r="O139" s="24">
        <f t="shared" si="11"/>
        <v>0</v>
      </c>
    </row>
    <row r="140" spans="1:15" ht="15" customHeight="1" x14ac:dyDescent="0.3">
      <c r="A140" s="23" t="s">
        <v>599</v>
      </c>
      <c r="B140" s="38">
        <v>46279</v>
      </c>
      <c r="C140" s="23" t="s">
        <v>600</v>
      </c>
      <c r="D140" s="23" t="s">
        <v>91</v>
      </c>
      <c r="E140" s="23" t="s">
        <v>77</v>
      </c>
      <c r="F140" s="23" t="s">
        <v>329</v>
      </c>
      <c r="G140" s="23" t="s">
        <v>301</v>
      </c>
      <c r="H140" s="39">
        <f t="shared" si="8"/>
        <v>599</v>
      </c>
      <c r="I140" s="23" t="str">
        <f t="shared" si="9"/>
        <v>Pune</v>
      </c>
      <c r="J140" s="23">
        <f>COUNTIFS(pg_transaction_cleaned!$O:$O,A140,pg_transaction_cleaned!$F:$F,"CAPTURE")</f>
        <v>1</v>
      </c>
      <c r="K140" s="39">
        <f>SUMIFS(pg_transaction_cleaned!$H:$H,pg_transaction_cleaned!$O:$O,A140,pg_transaction_cleaned!$F:$F,"CAPTURE")</f>
        <v>599</v>
      </c>
      <c r="L140" s="23">
        <f>COUNTIFS(pg_transaction_cleaned!$O:$O,A140,pg_transaction_cleaned!$F:$F,"REFUND")</f>
        <v>1</v>
      </c>
      <c r="M140" s="39">
        <f>SUMIFS(pg_transaction_cleaned!$H:$H,pg_transaction_cleaned!$O:$O,A140,pg_transaction_cleaned!$F:$F,"REFUND")</f>
        <v>599</v>
      </c>
      <c r="N140" s="23" t="str">
        <f t="shared" si="10"/>
        <v>OK</v>
      </c>
      <c r="O140" s="24">
        <f t="shared" si="11"/>
        <v>0</v>
      </c>
    </row>
    <row r="141" spans="1:15" ht="15" customHeight="1" x14ac:dyDescent="0.3">
      <c r="A141" s="23" t="s">
        <v>601</v>
      </c>
      <c r="B141" s="38">
        <v>46286</v>
      </c>
      <c r="C141" s="23" t="s">
        <v>602</v>
      </c>
      <c r="D141" s="23" t="s">
        <v>93</v>
      </c>
      <c r="E141" s="23" t="s">
        <v>75</v>
      </c>
      <c r="F141" s="23" t="s">
        <v>315</v>
      </c>
      <c r="G141" s="23" t="s">
        <v>318</v>
      </c>
      <c r="H141" s="39">
        <f t="shared" si="8"/>
        <v>1499</v>
      </c>
      <c r="I141" s="23" t="str">
        <f t="shared" si="9"/>
        <v>Kolkata</v>
      </c>
      <c r="J141" s="23">
        <f>COUNTIFS(pg_transaction_cleaned!$O:$O,A141,pg_transaction_cleaned!$F:$F,"CAPTURE")</f>
        <v>0</v>
      </c>
      <c r="K141" s="39">
        <f>SUMIFS(pg_transaction_cleaned!$H:$H,pg_transaction_cleaned!$O:$O,A141,pg_transaction_cleaned!$F:$F,"CAPTURE")</f>
        <v>0</v>
      </c>
      <c r="L141" s="23">
        <f>COUNTIFS(pg_transaction_cleaned!$O:$O,A141,pg_transaction_cleaned!$F:$F,"REFUND")</f>
        <v>0</v>
      </c>
      <c r="M141" s="39">
        <f>SUMIFS(pg_transaction_cleaned!$H:$H,pg_transaction_cleaned!$O:$O,A141,pg_transaction_cleaned!$F:$F,"REFUND")</f>
        <v>0</v>
      </c>
      <c r="N141" s="23" t="str">
        <f t="shared" si="10"/>
        <v>OK</v>
      </c>
      <c r="O141" s="24">
        <f t="shared" si="11"/>
        <v>0</v>
      </c>
    </row>
    <row r="142" spans="1:15" ht="15" customHeight="1" x14ac:dyDescent="0.3">
      <c r="A142" s="23" t="s">
        <v>603</v>
      </c>
      <c r="B142" s="38">
        <v>46292</v>
      </c>
      <c r="C142" s="23" t="s">
        <v>604</v>
      </c>
      <c r="D142" s="23" t="s">
        <v>88</v>
      </c>
      <c r="E142" s="23" t="s">
        <v>75</v>
      </c>
      <c r="F142" s="23" t="s">
        <v>256</v>
      </c>
      <c r="G142" s="23" t="s">
        <v>250</v>
      </c>
      <c r="H142" s="39">
        <f t="shared" si="8"/>
        <v>2098</v>
      </c>
      <c r="I142" s="23" t="str">
        <f t="shared" si="9"/>
        <v>Lucknow</v>
      </c>
      <c r="J142" s="23">
        <f>COUNTIFS(pg_transaction_cleaned!$O:$O,A142,pg_transaction_cleaned!$F:$F,"CAPTURE")</f>
        <v>1</v>
      </c>
      <c r="K142" s="39">
        <f>SUMIFS(pg_transaction_cleaned!$H:$H,pg_transaction_cleaned!$O:$O,A142,pg_transaction_cleaned!$F:$F,"CAPTURE")</f>
        <v>2098</v>
      </c>
      <c r="L142" s="23">
        <f>COUNTIFS(pg_transaction_cleaned!$O:$O,A142,pg_transaction_cleaned!$F:$F,"REFUND")</f>
        <v>0</v>
      </c>
      <c r="M142" s="39">
        <f>SUMIFS(pg_transaction_cleaned!$H:$H,pg_transaction_cleaned!$O:$O,A142,pg_transaction_cleaned!$F:$F,"REFUND")</f>
        <v>0</v>
      </c>
      <c r="N142" s="23" t="str">
        <f t="shared" si="10"/>
        <v>OK</v>
      </c>
      <c r="O142" s="24">
        <f t="shared" si="11"/>
        <v>0</v>
      </c>
    </row>
    <row r="143" spans="1:15" ht="15" customHeight="1" x14ac:dyDescent="0.3">
      <c r="A143" s="23" t="s">
        <v>605</v>
      </c>
      <c r="B143" s="38">
        <v>46282</v>
      </c>
      <c r="C143" s="23" t="s">
        <v>606</v>
      </c>
      <c r="D143" s="23" t="s">
        <v>94</v>
      </c>
      <c r="E143" s="23" t="s">
        <v>79</v>
      </c>
      <c r="F143" s="23" t="s">
        <v>607</v>
      </c>
      <c r="G143" s="23" t="s">
        <v>250</v>
      </c>
      <c r="H143" s="39">
        <f t="shared" si="8"/>
        <v>8847</v>
      </c>
      <c r="I143" s="23" t="str">
        <f t="shared" si="9"/>
        <v>Chennai</v>
      </c>
      <c r="J143" s="23">
        <f>COUNTIFS(pg_transaction_cleaned!$O:$O,A143,pg_transaction_cleaned!$F:$F,"CAPTURE")</f>
        <v>1</v>
      </c>
      <c r="K143" s="39">
        <f>SUMIFS(pg_transaction_cleaned!$H:$H,pg_transaction_cleaned!$O:$O,A143,pg_transaction_cleaned!$F:$F,"CAPTURE")</f>
        <v>8847</v>
      </c>
      <c r="L143" s="23">
        <f>COUNTIFS(pg_transaction_cleaned!$O:$O,A143,pg_transaction_cleaned!$F:$F,"REFUND")</f>
        <v>0</v>
      </c>
      <c r="M143" s="39">
        <f>SUMIFS(pg_transaction_cleaned!$H:$H,pg_transaction_cleaned!$O:$O,A143,pg_transaction_cleaned!$F:$F,"REFUND")</f>
        <v>0</v>
      </c>
      <c r="N143" s="23" t="str">
        <f t="shared" si="10"/>
        <v>OK</v>
      </c>
      <c r="O143" s="24">
        <f t="shared" si="11"/>
        <v>0</v>
      </c>
    </row>
    <row r="144" spans="1:15" ht="15" customHeight="1" x14ac:dyDescent="0.3">
      <c r="A144" s="23" t="s">
        <v>608</v>
      </c>
      <c r="B144" s="38">
        <v>46295</v>
      </c>
      <c r="C144" s="23" t="s">
        <v>609</v>
      </c>
      <c r="D144" s="23" t="s">
        <v>88</v>
      </c>
      <c r="E144" s="23" t="s">
        <v>79</v>
      </c>
      <c r="F144" s="23" t="s">
        <v>490</v>
      </c>
      <c r="G144" s="23" t="s">
        <v>250</v>
      </c>
      <c r="H144" s="39">
        <f t="shared" si="8"/>
        <v>8798</v>
      </c>
      <c r="I144" s="23" t="str">
        <f t="shared" si="9"/>
        <v>Lucknow</v>
      </c>
      <c r="J144" s="23">
        <f>COUNTIFS(pg_transaction_cleaned!$O:$O,A144,pg_transaction_cleaned!$F:$F,"CAPTURE")</f>
        <v>1</v>
      </c>
      <c r="K144" s="39">
        <f>SUMIFS(pg_transaction_cleaned!$H:$H,pg_transaction_cleaned!$O:$O,A144,pg_transaction_cleaned!$F:$F,"CAPTURE")</f>
        <v>8798</v>
      </c>
      <c r="L144" s="23">
        <f>COUNTIFS(pg_transaction_cleaned!$O:$O,A144,pg_transaction_cleaned!$F:$F,"REFUND")</f>
        <v>0</v>
      </c>
      <c r="M144" s="39">
        <f>SUMIFS(pg_transaction_cleaned!$H:$H,pg_transaction_cleaned!$O:$O,A144,pg_transaction_cleaned!$F:$F,"REFUND")</f>
        <v>0</v>
      </c>
      <c r="N144" s="23" t="str">
        <f t="shared" si="10"/>
        <v>OK</v>
      </c>
      <c r="O144" s="24">
        <f t="shared" si="11"/>
        <v>0</v>
      </c>
    </row>
    <row r="145" spans="1:15" ht="15" customHeight="1" x14ac:dyDescent="0.3">
      <c r="A145" s="23" t="s">
        <v>610</v>
      </c>
      <c r="B145" s="38">
        <v>46287</v>
      </c>
      <c r="C145" s="23" t="s">
        <v>611</v>
      </c>
      <c r="D145" s="23" t="s">
        <v>89</v>
      </c>
      <c r="E145" s="23" t="s">
        <v>75</v>
      </c>
      <c r="F145" s="23" t="s">
        <v>612</v>
      </c>
      <c r="G145" s="23" t="s">
        <v>250</v>
      </c>
      <c r="H145" s="39">
        <f t="shared" si="8"/>
        <v>8498</v>
      </c>
      <c r="I145" s="23" t="str">
        <f t="shared" si="9"/>
        <v>Jaipur</v>
      </c>
      <c r="J145" s="23">
        <f>COUNTIFS(pg_transaction_cleaned!$O:$O,A145,pg_transaction_cleaned!$F:$F,"CAPTURE")</f>
        <v>1</v>
      </c>
      <c r="K145" s="39">
        <f>SUMIFS(pg_transaction_cleaned!$H:$H,pg_transaction_cleaned!$O:$O,A145,pg_transaction_cleaned!$F:$F,"CAPTURE")</f>
        <v>8498</v>
      </c>
      <c r="L145" s="23">
        <f>COUNTIFS(pg_transaction_cleaned!$O:$O,A145,pg_transaction_cleaned!$F:$F,"REFUND")</f>
        <v>0</v>
      </c>
      <c r="M145" s="39">
        <f>SUMIFS(pg_transaction_cleaned!$H:$H,pg_transaction_cleaned!$O:$O,A145,pg_transaction_cleaned!$F:$F,"REFUND")</f>
        <v>0</v>
      </c>
      <c r="N145" s="23" t="str">
        <f t="shared" si="10"/>
        <v>OK</v>
      </c>
      <c r="O145" s="24">
        <f t="shared" si="11"/>
        <v>0</v>
      </c>
    </row>
    <row r="146" spans="1:15" ht="15" customHeight="1" x14ac:dyDescent="0.3">
      <c r="A146" s="23" t="s">
        <v>613</v>
      </c>
      <c r="B146" s="38">
        <v>46290</v>
      </c>
      <c r="C146" s="23" t="s">
        <v>614</v>
      </c>
      <c r="D146" s="23" t="s">
        <v>88</v>
      </c>
      <c r="E146" s="23" t="s">
        <v>81</v>
      </c>
      <c r="F146" s="23" t="s">
        <v>553</v>
      </c>
      <c r="G146" s="23" t="s">
        <v>318</v>
      </c>
      <c r="H146" s="39">
        <f t="shared" si="8"/>
        <v>2798</v>
      </c>
      <c r="I146" s="23" t="str">
        <f t="shared" si="9"/>
        <v>Lucknow</v>
      </c>
      <c r="J146" s="23">
        <f>COUNTIFS(pg_transaction_cleaned!$O:$O,A146,pg_transaction_cleaned!$F:$F,"CAPTURE")</f>
        <v>0</v>
      </c>
      <c r="K146" s="39">
        <f>SUMIFS(pg_transaction_cleaned!$H:$H,pg_transaction_cleaned!$O:$O,A146,pg_transaction_cleaned!$F:$F,"CAPTURE")</f>
        <v>0</v>
      </c>
      <c r="L146" s="23">
        <f>COUNTIFS(pg_transaction_cleaned!$O:$O,A146,pg_transaction_cleaned!$F:$F,"REFUND")</f>
        <v>0</v>
      </c>
      <c r="M146" s="39">
        <f>SUMIFS(pg_transaction_cleaned!$H:$H,pg_transaction_cleaned!$O:$O,A146,pg_transaction_cleaned!$F:$F,"REFUND")</f>
        <v>0</v>
      </c>
      <c r="N146" s="23" t="str">
        <f t="shared" si="10"/>
        <v>OK</v>
      </c>
      <c r="O146" s="24">
        <f t="shared" si="11"/>
        <v>0</v>
      </c>
    </row>
    <row r="147" spans="1:15" ht="15" customHeight="1" x14ac:dyDescent="0.3">
      <c r="A147" s="23" t="s">
        <v>615</v>
      </c>
      <c r="B147" s="38">
        <v>46278</v>
      </c>
      <c r="C147" s="23" t="s">
        <v>616</v>
      </c>
      <c r="D147" s="23" t="s">
        <v>93</v>
      </c>
      <c r="E147" s="23" t="s">
        <v>75</v>
      </c>
      <c r="F147" s="23" t="s">
        <v>310</v>
      </c>
      <c r="G147" s="23" t="s">
        <v>250</v>
      </c>
      <c r="H147" s="39">
        <f t="shared" si="8"/>
        <v>7999</v>
      </c>
      <c r="I147" s="23" t="str">
        <f t="shared" si="9"/>
        <v>Kolkata</v>
      </c>
      <c r="J147" s="23">
        <f>COUNTIFS(pg_transaction_cleaned!$O:$O,A147,pg_transaction_cleaned!$F:$F,"CAPTURE")</f>
        <v>1</v>
      </c>
      <c r="K147" s="39">
        <f>SUMIFS(pg_transaction_cleaned!$H:$H,pg_transaction_cleaned!$O:$O,A147,pg_transaction_cleaned!$F:$F,"CAPTURE")</f>
        <v>7999</v>
      </c>
      <c r="L147" s="23">
        <f>COUNTIFS(pg_transaction_cleaned!$O:$O,A147,pg_transaction_cleaned!$F:$F,"REFUND")</f>
        <v>0</v>
      </c>
      <c r="M147" s="39">
        <f>SUMIFS(pg_transaction_cleaned!$H:$H,pg_transaction_cleaned!$O:$O,A147,pg_transaction_cleaned!$F:$F,"REFUND")</f>
        <v>0</v>
      </c>
      <c r="N147" s="23" t="str">
        <f t="shared" si="10"/>
        <v>OK</v>
      </c>
      <c r="O147" s="24">
        <f t="shared" si="11"/>
        <v>0</v>
      </c>
    </row>
    <row r="148" spans="1:15" ht="15" customHeight="1" x14ac:dyDescent="0.3">
      <c r="A148" s="23" t="s">
        <v>617</v>
      </c>
      <c r="B148" s="38">
        <v>46278</v>
      </c>
      <c r="C148" s="23" t="s">
        <v>618</v>
      </c>
      <c r="D148" s="23" t="s">
        <v>86</v>
      </c>
      <c r="E148" s="23" t="s">
        <v>75</v>
      </c>
      <c r="F148" s="23" t="s">
        <v>619</v>
      </c>
      <c r="G148" s="23" t="s">
        <v>301</v>
      </c>
      <c r="H148" s="39">
        <f t="shared" si="8"/>
        <v>15997</v>
      </c>
      <c r="I148" s="23" t="str">
        <f t="shared" si="9"/>
        <v>Delhi</v>
      </c>
      <c r="J148" s="23">
        <f>COUNTIFS(pg_transaction_cleaned!$O:$O,A148,pg_transaction_cleaned!$F:$F,"CAPTURE")</f>
        <v>1</v>
      </c>
      <c r="K148" s="39">
        <f>SUMIFS(pg_transaction_cleaned!$H:$H,pg_transaction_cleaned!$O:$O,A148,pg_transaction_cleaned!$F:$F,"CAPTURE")</f>
        <v>15997</v>
      </c>
      <c r="L148" s="23">
        <f>COUNTIFS(pg_transaction_cleaned!$O:$O,A148,pg_transaction_cleaned!$F:$F,"REFUND")</f>
        <v>1</v>
      </c>
      <c r="M148" s="39">
        <f>SUMIFS(pg_transaction_cleaned!$H:$H,pg_transaction_cleaned!$O:$O,A148,pg_transaction_cleaned!$F:$F,"REFUND")</f>
        <v>15997</v>
      </c>
      <c r="N148" s="23" t="str">
        <f t="shared" si="10"/>
        <v>OK</v>
      </c>
      <c r="O148" s="24">
        <f t="shared" si="11"/>
        <v>0</v>
      </c>
    </row>
    <row r="149" spans="1:15" ht="15" customHeight="1" x14ac:dyDescent="0.3">
      <c r="A149" s="23" t="s">
        <v>620</v>
      </c>
      <c r="B149" s="38">
        <v>46282</v>
      </c>
      <c r="C149" s="23" t="s">
        <v>621</v>
      </c>
      <c r="D149" s="23"/>
      <c r="E149" s="23" t="s">
        <v>81</v>
      </c>
      <c r="F149" s="23" t="s">
        <v>622</v>
      </c>
      <c r="G149" s="23" t="s">
        <v>250</v>
      </c>
      <c r="H149" s="39">
        <f t="shared" si="8"/>
        <v>8998</v>
      </c>
      <c r="I149" s="23" t="str">
        <f t="shared" si="9"/>
        <v>Unknown</v>
      </c>
      <c r="J149" s="23">
        <f>COUNTIFS(pg_transaction_cleaned!$O:$O,A149,pg_transaction_cleaned!$F:$F,"CAPTURE")</f>
        <v>1</v>
      </c>
      <c r="K149" s="39">
        <f>SUMIFS(pg_transaction_cleaned!$H:$H,pg_transaction_cleaned!$O:$O,A149,pg_transaction_cleaned!$F:$F,"CAPTURE")</f>
        <v>8998</v>
      </c>
      <c r="L149" s="23">
        <f>COUNTIFS(pg_transaction_cleaned!$O:$O,A149,pg_transaction_cleaned!$F:$F,"REFUND")</f>
        <v>0</v>
      </c>
      <c r="M149" s="39">
        <f>SUMIFS(pg_transaction_cleaned!$H:$H,pg_transaction_cleaned!$O:$O,A149,pg_transaction_cleaned!$F:$F,"REFUND")</f>
        <v>0</v>
      </c>
      <c r="N149" s="23" t="str">
        <f t="shared" si="10"/>
        <v>OK</v>
      </c>
      <c r="O149" s="24">
        <f t="shared" si="11"/>
        <v>0</v>
      </c>
    </row>
    <row r="150" spans="1:15" ht="15" customHeight="1" x14ac:dyDescent="0.3">
      <c r="A150" s="23" t="s">
        <v>623</v>
      </c>
      <c r="B150" s="38">
        <v>46295</v>
      </c>
      <c r="C150" s="23" t="s">
        <v>624</v>
      </c>
      <c r="D150" s="23" t="s">
        <v>91</v>
      </c>
      <c r="E150" s="23" t="s">
        <v>81</v>
      </c>
      <c r="F150" s="23" t="s">
        <v>307</v>
      </c>
      <c r="G150" s="23" t="s">
        <v>250</v>
      </c>
      <c r="H150" s="39">
        <f t="shared" si="8"/>
        <v>3798</v>
      </c>
      <c r="I150" s="23" t="str">
        <f t="shared" si="9"/>
        <v>Pune</v>
      </c>
      <c r="J150" s="23">
        <f>COUNTIFS(pg_transaction_cleaned!$O:$O,A150,pg_transaction_cleaned!$F:$F,"CAPTURE")</f>
        <v>1</v>
      </c>
      <c r="K150" s="39">
        <f>SUMIFS(pg_transaction_cleaned!$H:$H,pg_transaction_cleaned!$O:$O,A150,pg_transaction_cleaned!$F:$F,"CAPTURE")</f>
        <v>3798</v>
      </c>
      <c r="L150" s="23">
        <f>COUNTIFS(pg_transaction_cleaned!$O:$O,A150,pg_transaction_cleaned!$F:$F,"REFUND")</f>
        <v>0</v>
      </c>
      <c r="M150" s="39">
        <f>SUMIFS(pg_transaction_cleaned!$H:$H,pg_transaction_cleaned!$O:$O,A150,pg_transaction_cleaned!$F:$F,"REFUND")</f>
        <v>0</v>
      </c>
      <c r="N150" s="23" t="str">
        <f t="shared" si="10"/>
        <v>OK</v>
      </c>
      <c r="O150" s="24">
        <f t="shared" si="11"/>
        <v>0</v>
      </c>
    </row>
    <row r="151" spans="1:15" ht="15" customHeight="1" x14ac:dyDescent="0.3">
      <c r="A151" s="23" t="s">
        <v>625</v>
      </c>
      <c r="B151" s="38">
        <v>46281</v>
      </c>
      <c r="C151" s="23" t="s">
        <v>626</v>
      </c>
      <c r="D151" s="23" t="s">
        <v>94</v>
      </c>
      <c r="E151" s="23" t="s">
        <v>75</v>
      </c>
      <c r="F151" s="23" t="s">
        <v>265</v>
      </c>
      <c r="G151" s="23" t="s">
        <v>250</v>
      </c>
      <c r="H151" s="39">
        <f t="shared" si="8"/>
        <v>999</v>
      </c>
      <c r="I151" s="23" t="str">
        <f t="shared" si="9"/>
        <v>Chennai</v>
      </c>
      <c r="J151" s="23">
        <f>COUNTIFS(pg_transaction_cleaned!$O:$O,A151,pg_transaction_cleaned!$F:$F,"CAPTURE")</f>
        <v>1</v>
      </c>
      <c r="K151" s="39">
        <f>SUMIFS(pg_transaction_cleaned!$H:$H,pg_transaction_cleaned!$O:$O,A151,pg_transaction_cleaned!$F:$F,"CAPTURE")</f>
        <v>999</v>
      </c>
      <c r="L151" s="23">
        <f>COUNTIFS(pg_transaction_cleaned!$O:$O,A151,pg_transaction_cleaned!$F:$F,"REFUND")</f>
        <v>0</v>
      </c>
      <c r="M151" s="39">
        <f>SUMIFS(pg_transaction_cleaned!$H:$H,pg_transaction_cleaned!$O:$O,A151,pg_transaction_cleaned!$F:$F,"REFUND")</f>
        <v>0</v>
      </c>
      <c r="N151" s="23" t="str">
        <f t="shared" si="10"/>
        <v>OK</v>
      </c>
      <c r="O151" s="24">
        <f t="shared" si="11"/>
        <v>0</v>
      </c>
    </row>
    <row r="152" spans="1:15" ht="15" customHeight="1" x14ac:dyDescent="0.3">
      <c r="A152" s="23" t="s">
        <v>627</v>
      </c>
      <c r="B152" s="38">
        <v>46293</v>
      </c>
      <c r="C152" s="23" t="s">
        <v>628</v>
      </c>
      <c r="D152" s="23" t="s">
        <v>89</v>
      </c>
      <c r="E152" s="23" t="s">
        <v>79</v>
      </c>
      <c r="F152" s="23" t="s">
        <v>629</v>
      </c>
      <c r="G152" s="23" t="s">
        <v>318</v>
      </c>
      <c r="H152" s="39">
        <f t="shared" si="8"/>
        <v>11097</v>
      </c>
      <c r="I152" s="23" t="str">
        <f t="shared" si="9"/>
        <v>Jaipur</v>
      </c>
      <c r="J152" s="23">
        <f>COUNTIFS(pg_transaction_cleaned!$O:$O,A152,pg_transaction_cleaned!$F:$F,"CAPTURE")</f>
        <v>0</v>
      </c>
      <c r="K152" s="39">
        <f>SUMIFS(pg_transaction_cleaned!$H:$H,pg_transaction_cleaned!$O:$O,A152,pg_transaction_cleaned!$F:$F,"CAPTURE")</f>
        <v>0</v>
      </c>
      <c r="L152" s="23">
        <f>COUNTIFS(pg_transaction_cleaned!$O:$O,A152,pg_transaction_cleaned!$F:$F,"REFUND")</f>
        <v>0</v>
      </c>
      <c r="M152" s="39">
        <f>SUMIFS(pg_transaction_cleaned!$H:$H,pg_transaction_cleaned!$O:$O,A152,pg_transaction_cleaned!$F:$F,"REFUND")</f>
        <v>0</v>
      </c>
      <c r="N152" s="23" t="str">
        <f t="shared" si="10"/>
        <v>OK</v>
      </c>
      <c r="O152" s="24">
        <f t="shared" si="11"/>
        <v>0</v>
      </c>
    </row>
    <row r="153" spans="1:15" ht="15" customHeight="1" x14ac:dyDescent="0.3">
      <c r="A153" s="23" t="s">
        <v>630</v>
      </c>
      <c r="B153" s="38">
        <v>46267</v>
      </c>
      <c r="C153" s="23" t="s">
        <v>631</v>
      </c>
      <c r="D153" s="23" t="s">
        <v>91</v>
      </c>
      <c r="E153" s="23" t="s">
        <v>77</v>
      </c>
      <c r="F153" s="23" t="s">
        <v>632</v>
      </c>
      <c r="G153" s="23" t="s">
        <v>250</v>
      </c>
      <c r="H153" s="39">
        <f t="shared" si="8"/>
        <v>948</v>
      </c>
      <c r="I153" s="23" t="str">
        <f t="shared" si="9"/>
        <v>Pune</v>
      </c>
      <c r="J153" s="23">
        <f>COUNTIFS(pg_transaction_cleaned!$O:$O,A153,pg_transaction_cleaned!$F:$F,"CAPTURE")</f>
        <v>1</v>
      </c>
      <c r="K153" s="39">
        <f>SUMIFS(pg_transaction_cleaned!$H:$H,pg_transaction_cleaned!$O:$O,A153,pg_transaction_cleaned!$F:$F,"CAPTURE")</f>
        <v>948</v>
      </c>
      <c r="L153" s="23">
        <f>COUNTIFS(pg_transaction_cleaned!$O:$O,A153,pg_transaction_cleaned!$F:$F,"REFUND")</f>
        <v>0</v>
      </c>
      <c r="M153" s="39">
        <f>SUMIFS(pg_transaction_cleaned!$H:$H,pg_transaction_cleaned!$O:$O,A153,pg_transaction_cleaned!$F:$F,"REFUND")</f>
        <v>0</v>
      </c>
      <c r="N153" s="23" t="str">
        <f t="shared" si="10"/>
        <v>OK</v>
      </c>
      <c r="O153" s="24">
        <f t="shared" si="11"/>
        <v>0</v>
      </c>
    </row>
    <row r="154" spans="1:15" ht="15" customHeight="1" x14ac:dyDescent="0.3">
      <c r="A154" s="23" t="s">
        <v>633</v>
      </c>
      <c r="B154" s="38">
        <v>46279</v>
      </c>
      <c r="C154" s="23" t="s">
        <v>634</v>
      </c>
      <c r="D154" s="23" t="s">
        <v>86</v>
      </c>
      <c r="E154" s="23" t="s">
        <v>81</v>
      </c>
      <c r="F154" s="23" t="s">
        <v>297</v>
      </c>
      <c r="G154" s="23" t="s">
        <v>250</v>
      </c>
      <c r="H154" s="39">
        <f t="shared" si="8"/>
        <v>4999</v>
      </c>
      <c r="I154" s="23" t="str">
        <f t="shared" si="9"/>
        <v>Delhi</v>
      </c>
      <c r="J154" s="23">
        <f>COUNTIFS(pg_transaction_cleaned!$O:$O,A154,pg_transaction_cleaned!$F:$F,"CAPTURE")</f>
        <v>1</v>
      </c>
      <c r="K154" s="39">
        <f>SUMIFS(pg_transaction_cleaned!$H:$H,pg_transaction_cleaned!$O:$O,A154,pg_transaction_cleaned!$F:$F,"CAPTURE")</f>
        <v>4999</v>
      </c>
      <c r="L154" s="23">
        <f>COUNTIFS(pg_transaction_cleaned!$O:$O,A154,pg_transaction_cleaned!$F:$F,"REFUND")</f>
        <v>0</v>
      </c>
      <c r="M154" s="39">
        <f>SUMIFS(pg_transaction_cleaned!$H:$H,pg_transaction_cleaned!$O:$O,A154,pg_transaction_cleaned!$F:$F,"REFUND")</f>
        <v>0</v>
      </c>
      <c r="N154" s="23" t="str">
        <f t="shared" si="10"/>
        <v>OK</v>
      </c>
      <c r="O154" s="24">
        <f t="shared" si="11"/>
        <v>0</v>
      </c>
    </row>
    <row r="155" spans="1:15" ht="15" customHeight="1" x14ac:dyDescent="0.3">
      <c r="A155" s="23" t="s">
        <v>635</v>
      </c>
      <c r="B155" s="38">
        <v>46288</v>
      </c>
      <c r="C155" s="23" t="s">
        <v>636</v>
      </c>
      <c r="D155" s="23" t="s">
        <v>94</v>
      </c>
      <c r="E155" s="23" t="s">
        <v>79</v>
      </c>
      <c r="F155" s="23" t="s">
        <v>249</v>
      </c>
      <c r="G155" s="23" t="s">
        <v>250</v>
      </c>
      <c r="H155" s="39">
        <f t="shared" si="8"/>
        <v>299</v>
      </c>
      <c r="I155" s="23" t="str">
        <f t="shared" si="9"/>
        <v>Chennai</v>
      </c>
      <c r="J155" s="23">
        <f>COUNTIFS(pg_transaction_cleaned!$O:$O,A155,pg_transaction_cleaned!$F:$F,"CAPTURE")</f>
        <v>1</v>
      </c>
      <c r="K155" s="39">
        <f>SUMIFS(pg_transaction_cleaned!$H:$H,pg_transaction_cleaned!$O:$O,A155,pg_transaction_cleaned!$F:$F,"CAPTURE")</f>
        <v>299</v>
      </c>
      <c r="L155" s="23">
        <f>COUNTIFS(pg_transaction_cleaned!$O:$O,A155,pg_transaction_cleaned!$F:$F,"REFUND")</f>
        <v>0</v>
      </c>
      <c r="M155" s="39">
        <f>SUMIFS(pg_transaction_cleaned!$H:$H,pg_transaction_cleaned!$O:$O,A155,pg_transaction_cleaned!$F:$F,"REFUND")</f>
        <v>0</v>
      </c>
      <c r="N155" s="23" t="str">
        <f t="shared" si="10"/>
        <v>OK</v>
      </c>
      <c r="O155" s="24">
        <f t="shared" si="11"/>
        <v>0</v>
      </c>
    </row>
    <row r="156" spans="1:15" ht="15" customHeight="1" x14ac:dyDescent="0.3">
      <c r="A156" s="23" t="s">
        <v>637</v>
      </c>
      <c r="B156" s="38">
        <v>46277</v>
      </c>
      <c r="C156" s="23" t="s">
        <v>638</v>
      </c>
      <c r="D156" s="23" t="s">
        <v>86</v>
      </c>
      <c r="E156" s="23" t="s">
        <v>79</v>
      </c>
      <c r="F156" s="23" t="s">
        <v>451</v>
      </c>
      <c r="G156" s="23" t="s">
        <v>250</v>
      </c>
      <c r="H156" s="39">
        <f t="shared" si="8"/>
        <v>1098</v>
      </c>
      <c r="I156" s="23" t="str">
        <f t="shared" si="9"/>
        <v>Delhi</v>
      </c>
      <c r="J156" s="23">
        <f>COUNTIFS(pg_transaction_cleaned!$O:$O,A156,pg_transaction_cleaned!$F:$F,"CAPTURE")</f>
        <v>1</v>
      </c>
      <c r="K156" s="39">
        <f>SUMIFS(pg_transaction_cleaned!$H:$H,pg_transaction_cleaned!$O:$O,A156,pg_transaction_cleaned!$F:$F,"CAPTURE")</f>
        <v>1098</v>
      </c>
      <c r="L156" s="23">
        <f>COUNTIFS(pg_transaction_cleaned!$O:$O,A156,pg_transaction_cleaned!$F:$F,"REFUND")</f>
        <v>0</v>
      </c>
      <c r="M156" s="39">
        <f>SUMIFS(pg_transaction_cleaned!$H:$H,pg_transaction_cleaned!$O:$O,A156,pg_transaction_cleaned!$F:$F,"REFUND")</f>
        <v>0</v>
      </c>
      <c r="N156" s="23" t="str">
        <f t="shared" si="10"/>
        <v>OK</v>
      </c>
      <c r="O156" s="24">
        <f t="shared" si="11"/>
        <v>0</v>
      </c>
    </row>
    <row r="157" spans="1:15" ht="15" customHeight="1" x14ac:dyDescent="0.3">
      <c r="A157" s="23" t="s">
        <v>639</v>
      </c>
      <c r="B157" s="38">
        <v>46271</v>
      </c>
      <c r="C157" s="23" t="s">
        <v>640</v>
      </c>
      <c r="D157" s="23" t="s">
        <v>90</v>
      </c>
      <c r="E157" s="23" t="s">
        <v>79</v>
      </c>
      <c r="F157" s="23" t="s">
        <v>271</v>
      </c>
      <c r="G157" s="23" t="s">
        <v>250</v>
      </c>
      <c r="H157" s="39">
        <f t="shared" si="8"/>
        <v>2499</v>
      </c>
      <c r="I157" s="23" t="str">
        <f t="shared" si="9"/>
        <v>Ahmedabad</v>
      </c>
      <c r="J157" s="23">
        <f>COUNTIFS(pg_transaction_cleaned!$O:$O,A157,pg_transaction_cleaned!$F:$F,"CAPTURE")</f>
        <v>1</v>
      </c>
      <c r="K157" s="39">
        <f>SUMIFS(pg_transaction_cleaned!$H:$H,pg_transaction_cleaned!$O:$O,A157,pg_transaction_cleaned!$F:$F,"CAPTURE")</f>
        <v>2499</v>
      </c>
      <c r="L157" s="23">
        <f>COUNTIFS(pg_transaction_cleaned!$O:$O,A157,pg_transaction_cleaned!$F:$F,"REFUND")</f>
        <v>0</v>
      </c>
      <c r="M157" s="39">
        <f>SUMIFS(pg_transaction_cleaned!$H:$H,pg_transaction_cleaned!$O:$O,A157,pg_transaction_cleaned!$F:$F,"REFUND")</f>
        <v>0</v>
      </c>
      <c r="N157" s="23" t="str">
        <f t="shared" si="10"/>
        <v>OK</v>
      </c>
      <c r="O157" s="24">
        <f t="shared" si="11"/>
        <v>0</v>
      </c>
    </row>
    <row r="158" spans="1:15" ht="15" customHeight="1" x14ac:dyDescent="0.3">
      <c r="A158" s="23" t="s">
        <v>641</v>
      </c>
      <c r="B158" s="38">
        <v>46295</v>
      </c>
      <c r="C158" s="23" t="s">
        <v>642</v>
      </c>
      <c r="D158" s="23" t="s">
        <v>87</v>
      </c>
      <c r="E158" s="23" t="s">
        <v>75</v>
      </c>
      <c r="F158" s="23" t="s">
        <v>451</v>
      </c>
      <c r="G158" s="23" t="s">
        <v>250</v>
      </c>
      <c r="H158" s="39">
        <f t="shared" si="8"/>
        <v>1098</v>
      </c>
      <c r="I158" s="23" t="str">
        <f t="shared" si="9"/>
        <v>Mumbai</v>
      </c>
      <c r="J158" s="23">
        <f>COUNTIFS(pg_transaction_cleaned!$O:$O,A158,pg_transaction_cleaned!$F:$F,"CAPTURE")</f>
        <v>1</v>
      </c>
      <c r="K158" s="39">
        <f>SUMIFS(pg_transaction_cleaned!$H:$H,pg_transaction_cleaned!$O:$O,A158,pg_transaction_cleaned!$F:$F,"CAPTURE")</f>
        <v>1098</v>
      </c>
      <c r="L158" s="23">
        <f>COUNTIFS(pg_transaction_cleaned!$O:$O,A158,pg_transaction_cleaned!$F:$F,"REFUND")</f>
        <v>0</v>
      </c>
      <c r="M158" s="39">
        <f>SUMIFS(pg_transaction_cleaned!$H:$H,pg_transaction_cleaned!$O:$O,A158,pg_transaction_cleaned!$F:$F,"REFUND")</f>
        <v>0</v>
      </c>
      <c r="N158" s="23" t="str">
        <f t="shared" si="10"/>
        <v>OK</v>
      </c>
      <c r="O158" s="24">
        <f t="shared" si="11"/>
        <v>0</v>
      </c>
    </row>
    <row r="159" spans="1:15" ht="15" customHeight="1" x14ac:dyDescent="0.3">
      <c r="A159" s="23" t="s">
        <v>643</v>
      </c>
      <c r="B159" s="38">
        <v>46294</v>
      </c>
      <c r="C159" s="23" t="s">
        <v>644</v>
      </c>
      <c r="D159" s="23" t="s">
        <v>88</v>
      </c>
      <c r="E159" s="23" t="s">
        <v>75</v>
      </c>
      <c r="F159" s="23" t="s">
        <v>307</v>
      </c>
      <c r="G159" s="23" t="s">
        <v>250</v>
      </c>
      <c r="H159" s="39">
        <f t="shared" si="8"/>
        <v>3798</v>
      </c>
      <c r="I159" s="23" t="str">
        <f t="shared" si="9"/>
        <v>Lucknow</v>
      </c>
      <c r="J159" s="23">
        <f>COUNTIFS(pg_transaction_cleaned!$O:$O,A159,pg_transaction_cleaned!$F:$F,"CAPTURE")</f>
        <v>1</v>
      </c>
      <c r="K159" s="39">
        <f>SUMIFS(pg_transaction_cleaned!$H:$H,pg_transaction_cleaned!$O:$O,A159,pg_transaction_cleaned!$F:$F,"CAPTURE")</f>
        <v>3798</v>
      </c>
      <c r="L159" s="23">
        <f>COUNTIFS(pg_transaction_cleaned!$O:$O,A159,pg_transaction_cleaned!$F:$F,"REFUND")</f>
        <v>0</v>
      </c>
      <c r="M159" s="39">
        <f>SUMIFS(pg_transaction_cleaned!$H:$H,pg_transaction_cleaned!$O:$O,A159,pg_transaction_cleaned!$F:$F,"REFUND")</f>
        <v>0</v>
      </c>
      <c r="N159" s="23" t="str">
        <f t="shared" si="10"/>
        <v>OK</v>
      </c>
      <c r="O159" s="24">
        <f t="shared" si="11"/>
        <v>0</v>
      </c>
    </row>
    <row r="160" spans="1:15" ht="15" customHeight="1" x14ac:dyDescent="0.3">
      <c r="A160" s="23" t="s">
        <v>645</v>
      </c>
      <c r="B160" s="38">
        <v>46275</v>
      </c>
      <c r="C160" s="23" t="s">
        <v>646</v>
      </c>
      <c r="D160" s="23" t="s">
        <v>90</v>
      </c>
      <c r="E160" s="23" t="s">
        <v>75</v>
      </c>
      <c r="F160" s="23" t="s">
        <v>647</v>
      </c>
      <c r="G160" s="23" t="s">
        <v>250</v>
      </c>
      <c r="H160" s="39">
        <f t="shared" si="8"/>
        <v>5597</v>
      </c>
      <c r="I160" s="23" t="str">
        <f t="shared" si="9"/>
        <v>Ahmedabad</v>
      </c>
      <c r="J160" s="23">
        <f>COUNTIFS(pg_transaction_cleaned!$O:$O,A160,pg_transaction_cleaned!$F:$F,"CAPTURE")</f>
        <v>1</v>
      </c>
      <c r="K160" s="39">
        <f>SUMIFS(pg_transaction_cleaned!$H:$H,pg_transaction_cleaned!$O:$O,A160,pg_transaction_cleaned!$F:$F,"CAPTURE")</f>
        <v>5597</v>
      </c>
      <c r="L160" s="23">
        <f>COUNTIFS(pg_transaction_cleaned!$O:$O,A160,pg_transaction_cleaned!$F:$F,"REFUND")</f>
        <v>0</v>
      </c>
      <c r="M160" s="39">
        <f>SUMIFS(pg_transaction_cleaned!$H:$H,pg_transaction_cleaned!$O:$O,A160,pg_transaction_cleaned!$F:$F,"REFUND")</f>
        <v>0</v>
      </c>
      <c r="N160" s="23" t="str">
        <f t="shared" si="10"/>
        <v>OK</v>
      </c>
      <c r="O160" s="24">
        <f t="shared" si="11"/>
        <v>0</v>
      </c>
    </row>
    <row r="161" spans="1:15" ht="15" customHeight="1" x14ac:dyDescent="0.3">
      <c r="A161" s="23" t="s">
        <v>648</v>
      </c>
      <c r="B161" s="38">
        <v>46269</v>
      </c>
      <c r="C161" s="23" t="s">
        <v>649</v>
      </c>
      <c r="D161" s="23" t="s">
        <v>87</v>
      </c>
      <c r="E161" s="23" t="s">
        <v>79</v>
      </c>
      <c r="F161" s="23" t="s">
        <v>268</v>
      </c>
      <c r="G161" s="23" t="s">
        <v>250</v>
      </c>
      <c r="H161" s="39">
        <f t="shared" si="8"/>
        <v>1299</v>
      </c>
      <c r="I161" s="23" t="str">
        <f t="shared" si="9"/>
        <v>Mumbai</v>
      </c>
      <c r="J161" s="23">
        <f>COUNTIFS(pg_transaction_cleaned!$O:$O,A161,pg_transaction_cleaned!$F:$F,"CAPTURE")</f>
        <v>1</v>
      </c>
      <c r="K161" s="39">
        <f>SUMIFS(pg_transaction_cleaned!$H:$H,pg_transaction_cleaned!$O:$O,A161,pg_transaction_cleaned!$F:$F,"CAPTURE")</f>
        <v>1299</v>
      </c>
      <c r="L161" s="23">
        <f>COUNTIFS(pg_transaction_cleaned!$O:$O,A161,pg_transaction_cleaned!$F:$F,"REFUND")</f>
        <v>0</v>
      </c>
      <c r="M161" s="39">
        <f>SUMIFS(pg_transaction_cleaned!$H:$H,pg_transaction_cleaned!$O:$O,A161,pg_transaction_cleaned!$F:$F,"REFUND")</f>
        <v>0</v>
      </c>
      <c r="N161" s="23" t="str">
        <f t="shared" si="10"/>
        <v>OK</v>
      </c>
      <c r="O161" s="24">
        <f t="shared" si="11"/>
        <v>0</v>
      </c>
    </row>
    <row r="162" spans="1:15" ht="15" customHeight="1" x14ac:dyDescent="0.3">
      <c r="A162" s="23" t="s">
        <v>650</v>
      </c>
      <c r="B162" s="38">
        <v>46292</v>
      </c>
      <c r="C162" s="23" t="s">
        <v>651</v>
      </c>
      <c r="D162" s="23" t="s">
        <v>88</v>
      </c>
      <c r="E162" s="23" t="s">
        <v>79</v>
      </c>
      <c r="F162" s="23" t="s">
        <v>652</v>
      </c>
      <c r="G162" s="23" t="s">
        <v>250</v>
      </c>
      <c r="H162" s="39">
        <f t="shared" si="8"/>
        <v>2397</v>
      </c>
      <c r="I162" s="23" t="str">
        <f t="shared" si="9"/>
        <v>Lucknow</v>
      </c>
      <c r="J162" s="23">
        <f>COUNTIFS(pg_transaction_cleaned!$O:$O,A162,pg_transaction_cleaned!$F:$F,"CAPTURE")</f>
        <v>1</v>
      </c>
      <c r="K162" s="39">
        <f>SUMIFS(pg_transaction_cleaned!$H:$H,pg_transaction_cleaned!$O:$O,A162,pg_transaction_cleaned!$F:$F,"CAPTURE")</f>
        <v>2397</v>
      </c>
      <c r="L162" s="23">
        <f>COUNTIFS(pg_transaction_cleaned!$O:$O,A162,pg_transaction_cleaned!$F:$F,"REFUND")</f>
        <v>0</v>
      </c>
      <c r="M162" s="39">
        <f>SUMIFS(pg_transaction_cleaned!$H:$H,pg_transaction_cleaned!$O:$O,A162,pg_transaction_cleaned!$F:$F,"REFUND")</f>
        <v>0</v>
      </c>
      <c r="N162" s="23" t="str">
        <f t="shared" si="10"/>
        <v>OK</v>
      </c>
      <c r="O162" s="24">
        <f t="shared" si="11"/>
        <v>0</v>
      </c>
    </row>
    <row r="163" spans="1:15" ht="15" customHeight="1" x14ac:dyDescent="0.3">
      <c r="A163" s="23" t="s">
        <v>653</v>
      </c>
      <c r="B163" s="38">
        <v>46289</v>
      </c>
      <c r="C163" s="23" t="s">
        <v>654</v>
      </c>
      <c r="D163" s="23"/>
      <c r="E163" s="23" t="s">
        <v>75</v>
      </c>
      <c r="F163" s="23" t="s">
        <v>655</v>
      </c>
      <c r="G163" s="23" t="s">
        <v>250</v>
      </c>
      <c r="H163" s="39">
        <f t="shared" si="8"/>
        <v>8798</v>
      </c>
      <c r="I163" s="23" t="str">
        <f t="shared" si="9"/>
        <v>Unknown</v>
      </c>
      <c r="J163" s="23">
        <f>COUNTIFS(pg_transaction_cleaned!$O:$O,A163,pg_transaction_cleaned!$F:$F,"CAPTURE")</f>
        <v>1</v>
      </c>
      <c r="K163" s="39">
        <f>SUMIFS(pg_transaction_cleaned!$H:$H,pg_transaction_cleaned!$O:$O,A163,pg_transaction_cleaned!$F:$F,"CAPTURE")</f>
        <v>8798</v>
      </c>
      <c r="L163" s="23">
        <f>COUNTIFS(pg_transaction_cleaned!$O:$O,A163,pg_transaction_cleaned!$F:$F,"REFUND")</f>
        <v>0</v>
      </c>
      <c r="M163" s="39">
        <f>SUMIFS(pg_transaction_cleaned!$H:$H,pg_transaction_cleaned!$O:$O,A163,pg_transaction_cleaned!$F:$F,"REFUND")</f>
        <v>0</v>
      </c>
      <c r="N163" s="23" t="str">
        <f t="shared" si="10"/>
        <v>OK</v>
      </c>
      <c r="O163" s="24">
        <f t="shared" si="11"/>
        <v>0</v>
      </c>
    </row>
    <row r="164" spans="1:15" ht="15" customHeight="1" x14ac:dyDescent="0.3">
      <c r="A164" s="23" t="s">
        <v>656</v>
      </c>
      <c r="B164" s="38">
        <v>46286</v>
      </c>
      <c r="C164" s="23" t="s">
        <v>657</v>
      </c>
      <c r="D164" s="23" t="s">
        <v>86</v>
      </c>
      <c r="E164" s="23" t="s">
        <v>79</v>
      </c>
      <c r="F164" s="23" t="s">
        <v>271</v>
      </c>
      <c r="G164" s="23" t="s">
        <v>250</v>
      </c>
      <c r="H164" s="39">
        <f t="shared" si="8"/>
        <v>2499</v>
      </c>
      <c r="I164" s="23" t="str">
        <f t="shared" si="9"/>
        <v>Delhi</v>
      </c>
      <c r="J164" s="23">
        <f>COUNTIFS(pg_transaction_cleaned!$O:$O,A164,pg_transaction_cleaned!$F:$F,"CAPTURE")</f>
        <v>1</v>
      </c>
      <c r="K164" s="39">
        <f>SUMIFS(pg_transaction_cleaned!$H:$H,pg_transaction_cleaned!$O:$O,A164,pg_transaction_cleaned!$F:$F,"CAPTURE")</f>
        <v>2499</v>
      </c>
      <c r="L164" s="23">
        <f>COUNTIFS(pg_transaction_cleaned!$O:$O,A164,pg_transaction_cleaned!$F:$F,"REFUND")</f>
        <v>0</v>
      </c>
      <c r="M164" s="39">
        <f>SUMIFS(pg_transaction_cleaned!$H:$H,pg_transaction_cleaned!$O:$O,A164,pg_transaction_cleaned!$F:$F,"REFUND")</f>
        <v>0</v>
      </c>
      <c r="N164" s="23" t="str">
        <f t="shared" si="10"/>
        <v>OK</v>
      </c>
      <c r="O164" s="24">
        <f t="shared" si="11"/>
        <v>0</v>
      </c>
    </row>
    <row r="165" spans="1:15" ht="15" customHeight="1" x14ac:dyDescent="0.3">
      <c r="A165" s="23" t="s">
        <v>658</v>
      </c>
      <c r="B165" s="38">
        <v>46286</v>
      </c>
      <c r="C165" s="23" t="s">
        <v>659</v>
      </c>
      <c r="D165" s="23" t="s">
        <v>87</v>
      </c>
      <c r="E165" s="23" t="s">
        <v>75</v>
      </c>
      <c r="F165" s="23" t="s">
        <v>396</v>
      </c>
      <c r="G165" s="23" t="s">
        <v>250</v>
      </c>
      <c r="H165" s="39">
        <f t="shared" si="8"/>
        <v>2999</v>
      </c>
      <c r="I165" s="23" t="str">
        <f t="shared" si="9"/>
        <v>Mumbai</v>
      </c>
      <c r="J165" s="23">
        <f>COUNTIFS(pg_transaction_cleaned!$O:$O,A165,pg_transaction_cleaned!$F:$F,"CAPTURE")</f>
        <v>1</v>
      </c>
      <c r="K165" s="39">
        <f>SUMIFS(pg_transaction_cleaned!$H:$H,pg_transaction_cleaned!$O:$O,A165,pg_transaction_cleaned!$F:$F,"CAPTURE")</f>
        <v>2999</v>
      </c>
      <c r="L165" s="23">
        <f>COUNTIFS(pg_transaction_cleaned!$O:$O,A165,pg_transaction_cleaned!$F:$F,"REFUND")</f>
        <v>0</v>
      </c>
      <c r="M165" s="39">
        <f>SUMIFS(pg_transaction_cleaned!$H:$H,pg_transaction_cleaned!$O:$O,A165,pg_transaction_cleaned!$F:$F,"REFUND")</f>
        <v>0</v>
      </c>
      <c r="N165" s="23" t="str">
        <f t="shared" si="10"/>
        <v>OK</v>
      </c>
      <c r="O165" s="24">
        <f t="shared" si="11"/>
        <v>0</v>
      </c>
    </row>
    <row r="166" spans="1:15" ht="15" customHeight="1" x14ac:dyDescent="0.3">
      <c r="A166" s="23" t="s">
        <v>660</v>
      </c>
      <c r="B166" s="38">
        <v>46284</v>
      </c>
      <c r="C166" s="23" t="s">
        <v>661</v>
      </c>
      <c r="D166" s="23" t="s">
        <v>93</v>
      </c>
      <c r="E166" s="23" t="s">
        <v>77</v>
      </c>
      <c r="F166" s="23" t="s">
        <v>291</v>
      </c>
      <c r="G166" s="23" t="s">
        <v>250</v>
      </c>
      <c r="H166" s="39">
        <f t="shared" si="8"/>
        <v>3499</v>
      </c>
      <c r="I166" s="23" t="str">
        <f t="shared" si="9"/>
        <v>Kolkata</v>
      </c>
      <c r="J166" s="23">
        <f>COUNTIFS(pg_transaction_cleaned!$O:$O,A166,pg_transaction_cleaned!$F:$F,"CAPTURE")</f>
        <v>1</v>
      </c>
      <c r="K166" s="39">
        <f>SUMIFS(pg_transaction_cleaned!$H:$H,pg_transaction_cleaned!$O:$O,A166,pg_transaction_cleaned!$F:$F,"CAPTURE")</f>
        <v>3499</v>
      </c>
      <c r="L166" s="23">
        <f>COUNTIFS(pg_transaction_cleaned!$O:$O,A166,pg_transaction_cleaned!$F:$F,"REFUND")</f>
        <v>0</v>
      </c>
      <c r="M166" s="39">
        <f>SUMIFS(pg_transaction_cleaned!$H:$H,pg_transaction_cleaned!$O:$O,A166,pg_transaction_cleaned!$F:$F,"REFUND")</f>
        <v>0</v>
      </c>
      <c r="N166" s="23" t="str">
        <f t="shared" si="10"/>
        <v>OK</v>
      </c>
      <c r="O166" s="24">
        <f t="shared" si="11"/>
        <v>0</v>
      </c>
    </row>
    <row r="167" spans="1:15" ht="15" customHeight="1" x14ac:dyDescent="0.3">
      <c r="A167" s="23" t="s">
        <v>662</v>
      </c>
      <c r="B167" s="38">
        <v>46271</v>
      </c>
      <c r="C167" s="23" t="s">
        <v>663</v>
      </c>
      <c r="D167" s="23" t="s">
        <v>89</v>
      </c>
      <c r="E167" s="23" t="s">
        <v>81</v>
      </c>
      <c r="F167" s="23" t="s">
        <v>262</v>
      </c>
      <c r="G167" s="23" t="s">
        <v>250</v>
      </c>
      <c r="H167" s="39">
        <f t="shared" si="8"/>
        <v>499</v>
      </c>
      <c r="I167" s="23" t="str">
        <f t="shared" si="9"/>
        <v>Jaipur</v>
      </c>
      <c r="J167" s="23">
        <f>COUNTIFS(pg_transaction_cleaned!$O:$O,A167,pg_transaction_cleaned!$F:$F,"CAPTURE")</f>
        <v>1</v>
      </c>
      <c r="K167" s="39">
        <f>SUMIFS(pg_transaction_cleaned!$H:$H,pg_transaction_cleaned!$O:$O,A167,pg_transaction_cleaned!$F:$F,"CAPTURE")</f>
        <v>499</v>
      </c>
      <c r="L167" s="23">
        <f>COUNTIFS(pg_transaction_cleaned!$O:$O,A167,pg_transaction_cleaned!$F:$F,"REFUND")</f>
        <v>0</v>
      </c>
      <c r="M167" s="39">
        <f>SUMIFS(pg_transaction_cleaned!$H:$H,pg_transaction_cleaned!$O:$O,A167,pg_transaction_cleaned!$F:$F,"REFUND")</f>
        <v>0</v>
      </c>
      <c r="N167" s="23" t="str">
        <f t="shared" si="10"/>
        <v>OK</v>
      </c>
      <c r="O167" s="24">
        <f t="shared" si="11"/>
        <v>0</v>
      </c>
    </row>
    <row r="168" spans="1:15" ht="15" customHeight="1" x14ac:dyDescent="0.3">
      <c r="A168" s="23" t="s">
        <v>664</v>
      </c>
      <c r="B168" s="38">
        <v>46282</v>
      </c>
      <c r="C168" s="23" t="s">
        <v>665</v>
      </c>
      <c r="D168" s="23" t="s">
        <v>92</v>
      </c>
      <c r="E168" s="23" t="s">
        <v>77</v>
      </c>
      <c r="F168" s="23" t="s">
        <v>310</v>
      </c>
      <c r="G168" s="23" t="s">
        <v>250</v>
      </c>
      <c r="H168" s="39">
        <f t="shared" si="8"/>
        <v>7999</v>
      </c>
      <c r="I168" s="23" t="str">
        <f t="shared" si="9"/>
        <v>Hyderabad</v>
      </c>
      <c r="J168" s="23">
        <f>COUNTIFS(pg_transaction_cleaned!$O:$O,A168,pg_transaction_cleaned!$F:$F,"CAPTURE")</f>
        <v>1</v>
      </c>
      <c r="K168" s="39">
        <f>SUMIFS(pg_transaction_cleaned!$H:$H,pg_transaction_cleaned!$O:$O,A168,pg_transaction_cleaned!$F:$F,"CAPTURE")</f>
        <v>7999</v>
      </c>
      <c r="L168" s="23">
        <f>COUNTIFS(pg_transaction_cleaned!$O:$O,A168,pg_transaction_cleaned!$F:$F,"REFUND")</f>
        <v>0</v>
      </c>
      <c r="M168" s="39">
        <f>SUMIFS(pg_transaction_cleaned!$H:$H,pg_transaction_cleaned!$O:$O,A168,pg_transaction_cleaned!$F:$F,"REFUND")</f>
        <v>0</v>
      </c>
      <c r="N168" s="23" t="str">
        <f t="shared" si="10"/>
        <v>OK</v>
      </c>
      <c r="O168" s="24">
        <f t="shared" si="11"/>
        <v>0</v>
      </c>
    </row>
    <row r="169" spans="1:15" ht="15" customHeight="1" x14ac:dyDescent="0.3">
      <c r="A169" s="23" t="s">
        <v>666</v>
      </c>
      <c r="B169" s="38">
        <v>46289</v>
      </c>
      <c r="C169" s="23" t="s">
        <v>667</v>
      </c>
      <c r="D169" s="23" t="s">
        <v>95</v>
      </c>
      <c r="E169" s="23" t="s">
        <v>77</v>
      </c>
      <c r="F169" s="23" t="s">
        <v>297</v>
      </c>
      <c r="G169" s="23" t="s">
        <v>250</v>
      </c>
      <c r="H169" s="39">
        <f t="shared" si="8"/>
        <v>4999</v>
      </c>
      <c r="I169" s="23" t="str">
        <f t="shared" si="9"/>
        <v>Bengaluru</v>
      </c>
      <c r="J169" s="23">
        <f>COUNTIFS(pg_transaction_cleaned!$O:$O,A169,pg_transaction_cleaned!$F:$F,"CAPTURE")</f>
        <v>1</v>
      </c>
      <c r="K169" s="39">
        <f>SUMIFS(pg_transaction_cleaned!$H:$H,pg_transaction_cleaned!$O:$O,A169,pg_transaction_cleaned!$F:$F,"CAPTURE")</f>
        <v>4999</v>
      </c>
      <c r="L169" s="23">
        <f>COUNTIFS(pg_transaction_cleaned!$O:$O,A169,pg_transaction_cleaned!$F:$F,"REFUND")</f>
        <v>0</v>
      </c>
      <c r="M169" s="39">
        <f>SUMIFS(pg_transaction_cleaned!$H:$H,pg_transaction_cleaned!$O:$O,A169,pg_transaction_cleaned!$F:$F,"REFUND")</f>
        <v>0</v>
      </c>
      <c r="N169" s="23" t="str">
        <f t="shared" si="10"/>
        <v>OK</v>
      </c>
      <c r="O169" s="24">
        <f t="shared" si="11"/>
        <v>0</v>
      </c>
    </row>
    <row r="170" spans="1:15" ht="15" customHeight="1" x14ac:dyDescent="0.3">
      <c r="A170" s="23" t="s">
        <v>668</v>
      </c>
      <c r="B170" s="38">
        <v>46293</v>
      </c>
      <c r="C170" s="23" t="s">
        <v>669</v>
      </c>
      <c r="D170" s="23" t="s">
        <v>91</v>
      </c>
      <c r="E170" s="23" t="s">
        <v>81</v>
      </c>
      <c r="F170" s="23" t="s">
        <v>670</v>
      </c>
      <c r="G170" s="23" t="s">
        <v>301</v>
      </c>
      <c r="H170" s="39">
        <f t="shared" si="8"/>
        <v>7797</v>
      </c>
      <c r="I170" s="23" t="str">
        <f t="shared" si="9"/>
        <v>Pune</v>
      </c>
      <c r="J170" s="23">
        <f>COUNTIFS(pg_transaction_cleaned!$O:$O,A170,pg_transaction_cleaned!$F:$F,"CAPTURE")</f>
        <v>1</v>
      </c>
      <c r="K170" s="39">
        <f>SUMIFS(pg_transaction_cleaned!$H:$H,pg_transaction_cleaned!$O:$O,A170,pg_transaction_cleaned!$F:$F,"CAPTURE")</f>
        <v>7797</v>
      </c>
      <c r="L170" s="23">
        <f>COUNTIFS(pg_transaction_cleaned!$O:$O,A170,pg_transaction_cleaned!$F:$F,"REFUND")</f>
        <v>1</v>
      </c>
      <c r="M170" s="39">
        <f>SUMIFS(pg_transaction_cleaned!$H:$H,pg_transaction_cleaned!$O:$O,A170,pg_transaction_cleaned!$F:$F,"REFUND")</f>
        <v>7797</v>
      </c>
      <c r="N170" s="23" t="str">
        <f t="shared" si="10"/>
        <v>OK</v>
      </c>
      <c r="O170" s="24">
        <f t="shared" si="11"/>
        <v>0</v>
      </c>
    </row>
    <row r="171" spans="1:15" ht="15" customHeight="1" x14ac:dyDescent="0.3">
      <c r="A171" s="23" t="s">
        <v>671</v>
      </c>
      <c r="B171" s="38">
        <v>46291</v>
      </c>
      <c r="C171" s="23" t="s">
        <v>672</v>
      </c>
      <c r="D171" s="23"/>
      <c r="E171" s="23" t="s">
        <v>75</v>
      </c>
      <c r="F171" s="23" t="s">
        <v>451</v>
      </c>
      <c r="G171" s="23" t="s">
        <v>250</v>
      </c>
      <c r="H171" s="39">
        <f t="shared" si="8"/>
        <v>1098</v>
      </c>
      <c r="I171" s="23" t="str">
        <f t="shared" si="9"/>
        <v>Unknown</v>
      </c>
      <c r="J171" s="23">
        <f>COUNTIFS(pg_transaction_cleaned!$O:$O,A171,pg_transaction_cleaned!$F:$F,"CAPTURE")</f>
        <v>1</v>
      </c>
      <c r="K171" s="39">
        <f>SUMIFS(pg_transaction_cleaned!$H:$H,pg_transaction_cleaned!$O:$O,A171,pg_transaction_cleaned!$F:$F,"CAPTURE")</f>
        <v>1098</v>
      </c>
      <c r="L171" s="23">
        <f>COUNTIFS(pg_transaction_cleaned!$O:$O,A171,pg_transaction_cleaned!$F:$F,"REFUND")</f>
        <v>0</v>
      </c>
      <c r="M171" s="39">
        <f>SUMIFS(pg_transaction_cleaned!$H:$H,pg_transaction_cleaned!$O:$O,A171,pg_transaction_cleaned!$F:$F,"REFUND")</f>
        <v>0</v>
      </c>
      <c r="N171" s="23" t="str">
        <f t="shared" si="10"/>
        <v>OK</v>
      </c>
      <c r="O171" s="24">
        <f t="shared" si="11"/>
        <v>0</v>
      </c>
    </row>
    <row r="172" spans="1:15" ht="15" customHeight="1" x14ac:dyDescent="0.3">
      <c r="A172" s="23" t="s">
        <v>673</v>
      </c>
      <c r="B172" s="38">
        <v>46284</v>
      </c>
      <c r="C172" s="23" t="s">
        <v>674</v>
      </c>
      <c r="D172" s="23" t="s">
        <v>90</v>
      </c>
      <c r="E172" s="23" t="s">
        <v>75</v>
      </c>
      <c r="F172" s="23" t="s">
        <v>675</v>
      </c>
      <c r="G172" s="23" t="s">
        <v>318</v>
      </c>
      <c r="H172" s="39">
        <f t="shared" si="8"/>
        <v>10998</v>
      </c>
      <c r="I172" s="23" t="str">
        <f t="shared" si="9"/>
        <v>Ahmedabad</v>
      </c>
      <c r="J172" s="23">
        <f>COUNTIFS(pg_transaction_cleaned!$O:$O,A172,pg_transaction_cleaned!$F:$F,"CAPTURE")</f>
        <v>0</v>
      </c>
      <c r="K172" s="39">
        <f>SUMIFS(pg_transaction_cleaned!$H:$H,pg_transaction_cleaned!$O:$O,A172,pg_transaction_cleaned!$F:$F,"CAPTURE")</f>
        <v>0</v>
      </c>
      <c r="L172" s="23">
        <f>COUNTIFS(pg_transaction_cleaned!$O:$O,A172,pg_transaction_cleaned!$F:$F,"REFUND")</f>
        <v>0</v>
      </c>
      <c r="M172" s="39">
        <f>SUMIFS(pg_transaction_cleaned!$H:$H,pg_transaction_cleaned!$O:$O,A172,pg_transaction_cleaned!$F:$F,"REFUND")</f>
        <v>0</v>
      </c>
      <c r="N172" s="23" t="str">
        <f t="shared" si="10"/>
        <v>OK</v>
      </c>
      <c r="O172" s="24">
        <f t="shared" si="11"/>
        <v>0</v>
      </c>
    </row>
    <row r="173" spans="1:15" ht="15" customHeight="1" x14ac:dyDescent="0.3">
      <c r="A173" s="23" t="s">
        <v>676</v>
      </c>
      <c r="B173" s="38">
        <v>46266</v>
      </c>
      <c r="C173" s="23" t="s">
        <v>677</v>
      </c>
      <c r="D173" s="23" t="s">
        <v>90</v>
      </c>
      <c r="E173" s="23" t="s">
        <v>75</v>
      </c>
      <c r="F173" s="23" t="s">
        <v>553</v>
      </c>
      <c r="G173" s="23" t="s">
        <v>365</v>
      </c>
      <c r="H173" s="39">
        <f t="shared" si="8"/>
        <v>2798</v>
      </c>
      <c r="I173" s="23" t="str">
        <f t="shared" si="9"/>
        <v>Ahmedabad</v>
      </c>
      <c r="J173" s="23">
        <f>COUNTIFS(pg_transaction_cleaned!$O:$O,A173,pg_transaction_cleaned!$F:$F,"CAPTURE")</f>
        <v>0</v>
      </c>
      <c r="K173" s="39">
        <f>SUMIFS(pg_transaction_cleaned!$H:$H,pg_transaction_cleaned!$O:$O,A173,pg_transaction_cleaned!$F:$F,"CAPTURE")</f>
        <v>0</v>
      </c>
      <c r="L173" s="23">
        <f>COUNTIFS(pg_transaction_cleaned!$O:$O,A173,pg_transaction_cleaned!$F:$F,"REFUND")</f>
        <v>0</v>
      </c>
      <c r="M173" s="39">
        <f>SUMIFS(pg_transaction_cleaned!$H:$H,pg_transaction_cleaned!$O:$O,A173,pg_transaction_cleaned!$F:$F,"REFUND")</f>
        <v>0</v>
      </c>
      <c r="N173" s="23" t="str">
        <f t="shared" si="10"/>
        <v>OK</v>
      </c>
      <c r="O173" s="24">
        <f t="shared" si="11"/>
        <v>0</v>
      </c>
    </row>
    <row r="174" spans="1:15" ht="15" customHeight="1" x14ac:dyDescent="0.3">
      <c r="A174" s="23" t="s">
        <v>678</v>
      </c>
      <c r="B174" s="38">
        <v>46295</v>
      </c>
      <c r="C174" s="23" t="s">
        <v>679</v>
      </c>
      <c r="D174" s="23" t="s">
        <v>92</v>
      </c>
      <c r="E174" s="23" t="s">
        <v>75</v>
      </c>
      <c r="F174" s="23" t="s">
        <v>680</v>
      </c>
      <c r="G174" s="23" t="s">
        <v>250</v>
      </c>
      <c r="H174" s="39">
        <f t="shared" si="8"/>
        <v>5097</v>
      </c>
      <c r="I174" s="23" t="str">
        <f t="shared" si="9"/>
        <v>Hyderabad</v>
      </c>
      <c r="J174" s="23">
        <f>COUNTIFS(pg_transaction_cleaned!$O:$O,A174,pg_transaction_cleaned!$F:$F,"CAPTURE")</f>
        <v>1</v>
      </c>
      <c r="K174" s="39">
        <f>SUMIFS(pg_transaction_cleaned!$H:$H,pg_transaction_cleaned!$O:$O,A174,pg_transaction_cleaned!$F:$F,"CAPTURE")</f>
        <v>5097</v>
      </c>
      <c r="L174" s="23">
        <f>COUNTIFS(pg_transaction_cleaned!$O:$O,A174,pg_transaction_cleaned!$F:$F,"REFUND")</f>
        <v>0</v>
      </c>
      <c r="M174" s="39">
        <f>SUMIFS(pg_transaction_cleaned!$H:$H,pg_transaction_cleaned!$O:$O,A174,pg_transaction_cleaned!$F:$F,"REFUND")</f>
        <v>0</v>
      </c>
      <c r="N174" s="23" t="str">
        <f t="shared" si="10"/>
        <v>OK</v>
      </c>
      <c r="O174" s="24">
        <f t="shared" si="11"/>
        <v>0</v>
      </c>
    </row>
    <row r="175" spans="1:15" ht="15" customHeight="1" x14ac:dyDescent="0.3">
      <c r="A175" s="23" t="s">
        <v>681</v>
      </c>
      <c r="B175" s="38">
        <v>46281</v>
      </c>
      <c r="C175" s="23" t="s">
        <v>682</v>
      </c>
      <c r="D175" s="23" t="s">
        <v>90</v>
      </c>
      <c r="E175" s="23" t="s">
        <v>75</v>
      </c>
      <c r="F175" s="23" t="s">
        <v>274</v>
      </c>
      <c r="G175" s="23" t="s">
        <v>250</v>
      </c>
      <c r="H175" s="39">
        <f t="shared" si="8"/>
        <v>349</v>
      </c>
      <c r="I175" s="23" t="str">
        <f t="shared" si="9"/>
        <v>Ahmedabad</v>
      </c>
      <c r="J175" s="23">
        <f>COUNTIFS(pg_transaction_cleaned!$O:$O,A175,pg_transaction_cleaned!$F:$F,"CAPTURE")</f>
        <v>1</v>
      </c>
      <c r="K175" s="39">
        <f>SUMIFS(pg_transaction_cleaned!$H:$H,pg_transaction_cleaned!$O:$O,A175,pg_transaction_cleaned!$F:$F,"CAPTURE")</f>
        <v>349</v>
      </c>
      <c r="L175" s="23">
        <f>COUNTIFS(pg_transaction_cleaned!$O:$O,A175,pg_transaction_cleaned!$F:$F,"REFUND")</f>
        <v>0</v>
      </c>
      <c r="M175" s="39">
        <f>SUMIFS(pg_transaction_cleaned!$H:$H,pg_transaction_cleaned!$O:$O,A175,pg_transaction_cleaned!$F:$F,"REFUND")</f>
        <v>0</v>
      </c>
      <c r="N175" s="23" t="str">
        <f t="shared" si="10"/>
        <v>OK</v>
      </c>
      <c r="O175" s="24">
        <f t="shared" si="11"/>
        <v>0</v>
      </c>
    </row>
    <row r="176" spans="1:15" ht="15" customHeight="1" x14ac:dyDescent="0.3">
      <c r="A176" s="23" t="s">
        <v>683</v>
      </c>
      <c r="B176" s="38">
        <v>46277</v>
      </c>
      <c r="C176" s="23" t="s">
        <v>684</v>
      </c>
      <c r="D176" s="23" t="s">
        <v>93</v>
      </c>
      <c r="E176" s="23" t="s">
        <v>79</v>
      </c>
      <c r="F176" s="23" t="s">
        <v>685</v>
      </c>
      <c r="G176" s="23" t="s">
        <v>250</v>
      </c>
      <c r="H176" s="39">
        <f t="shared" si="8"/>
        <v>8797</v>
      </c>
      <c r="I176" s="23" t="str">
        <f t="shared" si="9"/>
        <v>Kolkata</v>
      </c>
      <c r="J176" s="23">
        <f>COUNTIFS(pg_transaction_cleaned!$O:$O,A176,pg_transaction_cleaned!$F:$F,"CAPTURE")</f>
        <v>1</v>
      </c>
      <c r="K176" s="39">
        <f>SUMIFS(pg_transaction_cleaned!$H:$H,pg_transaction_cleaned!$O:$O,A176,pg_transaction_cleaned!$F:$F,"CAPTURE")</f>
        <v>8797</v>
      </c>
      <c r="L176" s="23">
        <f>COUNTIFS(pg_transaction_cleaned!$O:$O,A176,pg_transaction_cleaned!$F:$F,"REFUND")</f>
        <v>0</v>
      </c>
      <c r="M176" s="39">
        <f>SUMIFS(pg_transaction_cleaned!$H:$H,pg_transaction_cleaned!$O:$O,A176,pg_transaction_cleaned!$F:$F,"REFUND")</f>
        <v>0</v>
      </c>
      <c r="N176" s="23" t="str">
        <f t="shared" si="10"/>
        <v>OK</v>
      </c>
      <c r="O176" s="24">
        <f t="shared" si="11"/>
        <v>0</v>
      </c>
    </row>
    <row r="177" spans="1:15" ht="15" customHeight="1" x14ac:dyDescent="0.3">
      <c r="A177" s="23" t="s">
        <v>686</v>
      </c>
      <c r="B177" s="38">
        <v>46286</v>
      </c>
      <c r="C177" s="23" t="s">
        <v>687</v>
      </c>
      <c r="D177" s="23" t="s">
        <v>87</v>
      </c>
      <c r="E177" s="23" t="s">
        <v>75</v>
      </c>
      <c r="F177" s="23" t="s">
        <v>310</v>
      </c>
      <c r="G177" s="23" t="s">
        <v>250</v>
      </c>
      <c r="H177" s="39">
        <f t="shared" si="8"/>
        <v>7999</v>
      </c>
      <c r="I177" s="23" t="str">
        <f t="shared" si="9"/>
        <v>Mumbai</v>
      </c>
      <c r="J177" s="23">
        <f>COUNTIFS(pg_transaction_cleaned!$O:$O,A177,pg_transaction_cleaned!$F:$F,"CAPTURE")</f>
        <v>1</v>
      </c>
      <c r="K177" s="39">
        <f>SUMIFS(pg_transaction_cleaned!$H:$H,pg_transaction_cleaned!$O:$O,A177,pg_transaction_cleaned!$F:$F,"CAPTURE")</f>
        <v>7999</v>
      </c>
      <c r="L177" s="23">
        <f>COUNTIFS(pg_transaction_cleaned!$O:$O,A177,pg_transaction_cleaned!$F:$F,"REFUND")</f>
        <v>0</v>
      </c>
      <c r="M177" s="39">
        <f>SUMIFS(pg_transaction_cleaned!$H:$H,pg_transaction_cleaned!$O:$O,A177,pg_transaction_cleaned!$F:$F,"REFUND")</f>
        <v>0</v>
      </c>
      <c r="N177" s="23" t="str">
        <f t="shared" si="10"/>
        <v>OK</v>
      </c>
      <c r="O177" s="24">
        <f t="shared" si="11"/>
        <v>0</v>
      </c>
    </row>
    <row r="178" spans="1:15" ht="15" customHeight="1" x14ac:dyDescent="0.3">
      <c r="A178" s="23" t="s">
        <v>688</v>
      </c>
      <c r="B178" s="38">
        <v>46288</v>
      </c>
      <c r="C178" s="23" t="s">
        <v>689</v>
      </c>
      <c r="D178" s="23" t="s">
        <v>91</v>
      </c>
      <c r="E178" s="23" t="s">
        <v>77</v>
      </c>
      <c r="F178" s="23" t="s">
        <v>329</v>
      </c>
      <c r="G178" s="23" t="s">
        <v>250</v>
      </c>
      <c r="H178" s="39">
        <f t="shared" si="8"/>
        <v>599</v>
      </c>
      <c r="I178" s="23" t="str">
        <f t="shared" si="9"/>
        <v>Pune</v>
      </c>
      <c r="J178" s="23">
        <f>COUNTIFS(pg_transaction_cleaned!$O:$O,A178,pg_transaction_cleaned!$F:$F,"CAPTURE")</f>
        <v>1</v>
      </c>
      <c r="K178" s="39">
        <f>SUMIFS(pg_transaction_cleaned!$H:$H,pg_transaction_cleaned!$O:$O,A178,pg_transaction_cleaned!$F:$F,"CAPTURE")</f>
        <v>599</v>
      </c>
      <c r="L178" s="23">
        <f>COUNTIFS(pg_transaction_cleaned!$O:$O,A178,pg_transaction_cleaned!$F:$F,"REFUND")</f>
        <v>0</v>
      </c>
      <c r="M178" s="39">
        <f>SUMIFS(pg_transaction_cleaned!$H:$H,pg_transaction_cleaned!$O:$O,A178,pg_transaction_cleaned!$F:$F,"REFUND")</f>
        <v>0</v>
      </c>
      <c r="N178" s="23" t="str">
        <f t="shared" si="10"/>
        <v>OK</v>
      </c>
      <c r="O178" s="24">
        <f t="shared" si="11"/>
        <v>0</v>
      </c>
    </row>
    <row r="179" spans="1:15" ht="15" customHeight="1" x14ac:dyDescent="0.3">
      <c r="A179" s="23" t="s">
        <v>690</v>
      </c>
      <c r="B179" s="38">
        <v>46287</v>
      </c>
      <c r="C179" s="23" t="s">
        <v>691</v>
      </c>
      <c r="D179" s="23" t="s">
        <v>93</v>
      </c>
      <c r="E179" s="23" t="s">
        <v>79</v>
      </c>
      <c r="F179" s="23" t="s">
        <v>294</v>
      </c>
      <c r="G179" s="23" t="s">
        <v>365</v>
      </c>
      <c r="H179" s="39">
        <f t="shared" si="8"/>
        <v>1799</v>
      </c>
      <c r="I179" s="23" t="str">
        <f t="shared" si="9"/>
        <v>Kolkata</v>
      </c>
      <c r="J179" s="23">
        <f>COUNTIFS(pg_transaction_cleaned!$O:$O,A179,pg_transaction_cleaned!$F:$F,"CAPTURE")</f>
        <v>0</v>
      </c>
      <c r="K179" s="39">
        <f>SUMIFS(pg_transaction_cleaned!$H:$H,pg_transaction_cleaned!$O:$O,A179,pg_transaction_cleaned!$F:$F,"CAPTURE")</f>
        <v>0</v>
      </c>
      <c r="L179" s="23">
        <f>COUNTIFS(pg_transaction_cleaned!$O:$O,A179,pg_transaction_cleaned!$F:$F,"REFUND")</f>
        <v>0</v>
      </c>
      <c r="M179" s="39">
        <f>SUMIFS(pg_transaction_cleaned!$H:$H,pg_transaction_cleaned!$O:$O,A179,pg_transaction_cleaned!$F:$F,"REFUND")</f>
        <v>0</v>
      </c>
      <c r="N179" s="23" t="str">
        <f t="shared" si="10"/>
        <v>OK</v>
      </c>
      <c r="O179" s="24">
        <f t="shared" si="11"/>
        <v>0</v>
      </c>
    </row>
    <row r="180" spans="1:15" ht="15" customHeight="1" x14ac:dyDescent="0.3">
      <c r="A180" s="23" t="s">
        <v>692</v>
      </c>
      <c r="B180" s="38">
        <v>46274</v>
      </c>
      <c r="C180" s="23" t="s">
        <v>693</v>
      </c>
      <c r="D180" s="23" t="s">
        <v>95</v>
      </c>
      <c r="E180" s="23" t="s">
        <v>81</v>
      </c>
      <c r="F180" s="23" t="s">
        <v>274</v>
      </c>
      <c r="G180" s="23" t="s">
        <v>318</v>
      </c>
      <c r="H180" s="39">
        <f t="shared" si="8"/>
        <v>349</v>
      </c>
      <c r="I180" s="23" t="str">
        <f t="shared" si="9"/>
        <v>Bengaluru</v>
      </c>
      <c r="J180" s="23">
        <f>COUNTIFS(pg_transaction_cleaned!$O:$O,A180,pg_transaction_cleaned!$F:$F,"CAPTURE")</f>
        <v>0</v>
      </c>
      <c r="K180" s="39">
        <f>SUMIFS(pg_transaction_cleaned!$H:$H,pg_transaction_cleaned!$O:$O,A180,pg_transaction_cleaned!$F:$F,"CAPTURE")</f>
        <v>0</v>
      </c>
      <c r="L180" s="23">
        <f>COUNTIFS(pg_transaction_cleaned!$O:$O,A180,pg_transaction_cleaned!$F:$F,"REFUND")</f>
        <v>0</v>
      </c>
      <c r="M180" s="39">
        <f>SUMIFS(pg_transaction_cleaned!$H:$H,pg_transaction_cleaned!$O:$O,A180,pg_transaction_cleaned!$F:$F,"REFUND")</f>
        <v>0</v>
      </c>
      <c r="N180" s="23" t="str">
        <f t="shared" si="10"/>
        <v>OK</v>
      </c>
      <c r="O180" s="24">
        <f t="shared" si="11"/>
        <v>0</v>
      </c>
    </row>
    <row r="181" spans="1:15" ht="15" customHeight="1" x14ac:dyDescent="0.3">
      <c r="A181" s="23" t="s">
        <v>694</v>
      </c>
      <c r="B181" s="38">
        <v>46286</v>
      </c>
      <c r="C181" s="23" t="s">
        <v>695</v>
      </c>
      <c r="D181" s="23"/>
      <c r="E181" s="23" t="s">
        <v>75</v>
      </c>
      <c r="F181" s="23" t="s">
        <v>534</v>
      </c>
      <c r="G181" s="23" t="s">
        <v>250</v>
      </c>
      <c r="H181" s="39">
        <f t="shared" si="8"/>
        <v>3097</v>
      </c>
      <c r="I181" s="23" t="str">
        <f t="shared" si="9"/>
        <v>Unknown</v>
      </c>
      <c r="J181" s="23">
        <f>COUNTIFS(pg_transaction_cleaned!$O:$O,A181,pg_transaction_cleaned!$F:$F,"CAPTURE")</f>
        <v>1</v>
      </c>
      <c r="K181" s="39">
        <f>SUMIFS(pg_transaction_cleaned!$H:$H,pg_transaction_cleaned!$O:$O,A181,pg_transaction_cleaned!$F:$F,"CAPTURE")</f>
        <v>3097</v>
      </c>
      <c r="L181" s="23">
        <f>COUNTIFS(pg_transaction_cleaned!$O:$O,A181,pg_transaction_cleaned!$F:$F,"REFUND")</f>
        <v>0</v>
      </c>
      <c r="M181" s="39">
        <f>SUMIFS(pg_transaction_cleaned!$H:$H,pg_transaction_cleaned!$O:$O,A181,pg_transaction_cleaned!$F:$F,"REFUND")</f>
        <v>0</v>
      </c>
      <c r="N181" s="23" t="str">
        <f t="shared" si="10"/>
        <v>OK</v>
      </c>
      <c r="O181" s="24">
        <f t="shared" si="11"/>
        <v>0</v>
      </c>
    </row>
    <row r="182" spans="1:15" ht="15" customHeight="1" x14ac:dyDescent="0.3">
      <c r="A182" s="23" t="s">
        <v>696</v>
      </c>
      <c r="B182" s="38">
        <v>46272</v>
      </c>
      <c r="C182" s="23" t="s">
        <v>697</v>
      </c>
      <c r="D182" s="23" t="s">
        <v>95</v>
      </c>
      <c r="E182" s="23" t="s">
        <v>75</v>
      </c>
      <c r="F182" s="23" t="s">
        <v>310</v>
      </c>
      <c r="G182" s="23" t="s">
        <v>250</v>
      </c>
      <c r="H182" s="39">
        <f t="shared" si="8"/>
        <v>7999</v>
      </c>
      <c r="I182" s="23" t="str">
        <f t="shared" si="9"/>
        <v>Bengaluru</v>
      </c>
      <c r="J182" s="23">
        <f>COUNTIFS(pg_transaction_cleaned!$O:$O,A182,pg_transaction_cleaned!$F:$F,"CAPTURE")</f>
        <v>1</v>
      </c>
      <c r="K182" s="39">
        <f>SUMIFS(pg_transaction_cleaned!$H:$H,pg_transaction_cleaned!$O:$O,A182,pg_transaction_cleaned!$F:$F,"CAPTURE")</f>
        <v>7999</v>
      </c>
      <c r="L182" s="23">
        <f>COUNTIFS(pg_transaction_cleaned!$O:$O,A182,pg_transaction_cleaned!$F:$F,"REFUND")</f>
        <v>0</v>
      </c>
      <c r="M182" s="39">
        <f>SUMIFS(pg_transaction_cleaned!$H:$H,pg_transaction_cleaned!$O:$O,A182,pg_transaction_cleaned!$F:$F,"REFUND")</f>
        <v>0</v>
      </c>
      <c r="N182" s="23" t="str">
        <f t="shared" si="10"/>
        <v>OK</v>
      </c>
      <c r="O182" s="24">
        <f t="shared" si="11"/>
        <v>0</v>
      </c>
    </row>
    <row r="183" spans="1:15" ht="15" customHeight="1" x14ac:dyDescent="0.3">
      <c r="A183" s="23" t="s">
        <v>698</v>
      </c>
      <c r="B183" s="38">
        <v>46276</v>
      </c>
      <c r="C183" s="23" t="s">
        <v>699</v>
      </c>
      <c r="D183" s="23" t="s">
        <v>86</v>
      </c>
      <c r="E183" s="23" t="s">
        <v>75</v>
      </c>
      <c r="F183" s="23" t="s">
        <v>297</v>
      </c>
      <c r="G183" s="23" t="s">
        <v>365</v>
      </c>
      <c r="H183" s="39">
        <f t="shared" si="8"/>
        <v>4999</v>
      </c>
      <c r="I183" s="23" t="str">
        <f t="shared" si="9"/>
        <v>Delhi</v>
      </c>
      <c r="J183" s="23">
        <f>COUNTIFS(pg_transaction_cleaned!$O:$O,A183,pg_transaction_cleaned!$F:$F,"CAPTURE")</f>
        <v>0</v>
      </c>
      <c r="K183" s="39">
        <f>SUMIFS(pg_transaction_cleaned!$H:$H,pg_transaction_cleaned!$O:$O,A183,pg_transaction_cleaned!$F:$F,"CAPTURE")</f>
        <v>0</v>
      </c>
      <c r="L183" s="23">
        <f>COUNTIFS(pg_transaction_cleaned!$O:$O,A183,pg_transaction_cleaned!$F:$F,"REFUND")</f>
        <v>0</v>
      </c>
      <c r="M183" s="39">
        <f>SUMIFS(pg_transaction_cleaned!$H:$H,pg_transaction_cleaned!$O:$O,A183,pg_transaction_cleaned!$F:$F,"REFUND")</f>
        <v>0</v>
      </c>
      <c r="N183" s="23" t="str">
        <f t="shared" si="10"/>
        <v>OK</v>
      </c>
      <c r="O183" s="24">
        <f t="shared" si="11"/>
        <v>0</v>
      </c>
    </row>
    <row r="184" spans="1:15" ht="15" customHeight="1" x14ac:dyDescent="0.3">
      <c r="A184" s="23" t="s">
        <v>700</v>
      </c>
      <c r="B184" s="38">
        <v>46283</v>
      </c>
      <c r="C184" s="23" t="s">
        <v>701</v>
      </c>
      <c r="D184" s="23" t="s">
        <v>86</v>
      </c>
      <c r="E184" s="23" t="s">
        <v>79</v>
      </c>
      <c r="F184" s="23" t="s">
        <v>297</v>
      </c>
      <c r="G184" s="23" t="s">
        <v>250</v>
      </c>
      <c r="H184" s="39">
        <f t="shared" si="8"/>
        <v>4999</v>
      </c>
      <c r="I184" s="23" t="str">
        <f t="shared" si="9"/>
        <v>Delhi</v>
      </c>
      <c r="J184" s="23">
        <f>COUNTIFS(pg_transaction_cleaned!$O:$O,A184,pg_transaction_cleaned!$F:$F,"CAPTURE")</f>
        <v>1</v>
      </c>
      <c r="K184" s="39">
        <f>SUMIFS(pg_transaction_cleaned!$H:$H,pg_transaction_cleaned!$O:$O,A184,pg_transaction_cleaned!$F:$F,"CAPTURE")</f>
        <v>4999</v>
      </c>
      <c r="L184" s="23">
        <f>COUNTIFS(pg_transaction_cleaned!$O:$O,A184,pg_transaction_cleaned!$F:$F,"REFUND")</f>
        <v>0</v>
      </c>
      <c r="M184" s="39">
        <f>SUMIFS(pg_transaction_cleaned!$H:$H,pg_transaction_cleaned!$O:$O,A184,pg_transaction_cleaned!$F:$F,"REFUND")</f>
        <v>0</v>
      </c>
      <c r="N184" s="23" t="str">
        <f t="shared" si="10"/>
        <v>OK</v>
      </c>
      <c r="O184" s="24">
        <f t="shared" si="11"/>
        <v>0</v>
      </c>
    </row>
    <row r="185" spans="1:15" ht="15" customHeight="1" x14ac:dyDescent="0.3">
      <c r="A185" s="23" t="s">
        <v>702</v>
      </c>
      <c r="B185" s="38">
        <v>46266</v>
      </c>
      <c r="C185" s="23" t="s">
        <v>703</v>
      </c>
      <c r="D185" s="23" t="s">
        <v>86</v>
      </c>
      <c r="E185" s="23" t="s">
        <v>79</v>
      </c>
      <c r="F185" s="23" t="s">
        <v>297</v>
      </c>
      <c r="G185" s="23" t="s">
        <v>250</v>
      </c>
      <c r="H185" s="39">
        <f t="shared" si="8"/>
        <v>4999</v>
      </c>
      <c r="I185" s="23" t="str">
        <f t="shared" si="9"/>
        <v>Delhi</v>
      </c>
      <c r="J185" s="23">
        <f>COUNTIFS(pg_transaction_cleaned!$O:$O,A185,pg_transaction_cleaned!$F:$F,"CAPTURE")</f>
        <v>1</v>
      </c>
      <c r="K185" s="39">
        <f>SUMIFS(pg_transaction_cleaned!$H:$H,pg_transaction_cleaned!$O:$O,A185,pg_transaction_cleaned!$F:$F,"CAPTURE")</f>
        <v>4999</v>
      </c>
      <c r="L185" s="23">
        <f>COUNTIFS(pg_transaction_cleaned!$O:$O,A185,pg_transaction_cleaned!$F:$F,"REFUND")</f>
        <v>0</v>
      </c>
      <c r="M185" s="39">
        <f>SUMIFS(pg_transaction_cleaned!$H:$H,pg_transaction_cleaned!$O:$O,A185,pg_transaction_cleaned!$F:$F,"REFUND")</f>
        <v>0</v>
      </c>
      <c r="N185" s="23" t="str">
        <f t="shared" si="10"/>
        <v>OK</v>
      </c>
      <c r="O185" s="24">
        <f t="shared" si="11"/>
        <v>0</v>
      </c>
    </row>
    <row r="186" spans="1:15" ht="15" customHeight="1" x14ac:dyDescent="0.3">
      <c r="A186" s="23" t="s">
        <v>704</v>
      </c>
      <c r="B186" s="38">
        <v>46274</v>
      </c>
      <c r="C186" s="23" t="s">
        <v>705</v>
      </c>
      <c r="D186" s="23" t="s">
        <v>90</v>
      </c>
      <c r="E186" s="23" t="s">
        <v>75</v>
      </c>
      <c r="F186" s="23" t="s">
        <v>262</v>
      </c>
      <c r="G186" s="23" t="s">
        <v>250</v>
      </c>
      <c r="H186" s="39">
        <f t="shared" si="8"/>
        <v>499</v>
      </c>
      <c r="I186" s="23" t="str">
        <f t="shared" si="9"/>
        <v>Ahmedabad</v>
      </c>
      <c r="J186" s="23">
        <f>COUNTIFS(pg_transaction_cleaned!$O:$O,A186,pg_transaction_cleaned!$F:$F,"CAPTURE")</f>
        <v>1</v>
      </c>
      <c r="K186" s="39">
        <f>SUMIFS(pg_transaction_cleaned!$H:$H,pg_transaction_cleaned!$O:$O,A186,pg_transaction_cleaned!$F:$F,"CAPTURE")</f>
        <v>499</v>
      </c>
      <c r="L186" s="23">
        <f>COUNTIFS(pg_transaction_cleaned!$O:$O,A186,pg_transaction_cleaned!$F:$F,"REFUND")</f>
        <v>0</v>
      </c>
      <c r="M186" s="39">
        <f>SUMIFS(pg_transaction_cleaned!$H:$H,pg_transaction_cleaned!$O:$O,A186,pg_transaction_cleaned!$F:$F,"REFUND")</f>
        <v>0</v>
      </c>
      <c r="N186" s="23" t="str">
        <f t="shared" si="10"/>
        <v>OK</v>
      </c>
      <c r="O186" s="24">
        <f t="shared" si="11"/>
        <v>0</v>
      </c>
    </row>
    <row r="187" spans="1:15" ht="15" customHeight="1" x14ac:dyDescent="0.3">
      <c r="A187" s="23" t="s">
        <v>706</v>
      </c>
      <c r="B187" s="38">
        <v>46280</v>
      </c>
      <c r="C187" s="23" t="s">
        <v>707</v>
      </c>
      <c r="D187" s="23" t="s">
        <v>88</v>
      </c>
      <c r="E187" s="23" t="s">
        <v>75</v>
      </c>
      <c r="F187" s="23" t="s">
        <v>294</v>
      </c>
      <c r="G187" s="23" t="s">
        <v>250</v>
      </c>
      <c r="H187" s="39">
        <f t="shared" si="8"/>
        <v>1799</v>
      </c>
      <c r="I187" s="23" t="str">
        <f t="shared" si="9"/>
        <v>Lucknow</v>
      </c>
      <c r="J187" s="23">
        <f>COUNTIFS(pg_transaction_cleaned!$O:$O,A187,pg_transaction_cleaned!$F:$F,"CAPTURE")</f>
        <v>1</v>
      </c>
      <c r="K187" s="39">
        <f>SUMIFS(pg_transaction_cleaned!$H:$H,pg_transaction_cleaned!$O:$O,A187,pg_transaction_cleaned!$F:$F,"CAPTURE")</f>
        <v>1799</v>
      </c>
      <c r="L187" s="23">
        <f>COUNTIFS(pg_transaction_cleaned!$O:$O,A187,pg_transaction_cleaned!$F:$F,"REFUND")</f>
        <v>0</v>
      </c>
      <c r="M187" s="39">
        <f>SUMIFS(pg_transaction_cleaned!$H:$H,pg_transaction_cleaned!$O:$O,A187,pg_transaction_cleaned!$F:$F,"REFUND")</f>
        <v>0</v>
      </c>
      <c r="N187" s="23" t="str">
        <f t="shared" si="10"/>
        <v>OK</v>
      </c>
      <c r="O187" s="24">
        <f t="shared" si="11"/>
        <v>0</v>
      </c>
    </row>
    <row r="188" spans="1:15" ht="15" customHeight="1" x14ac:dyDescent="0.3">
      <c r="A188" s="23" t="s">
        <v>708</v>
      </c>
      <c r="B188" s="38">
        <v>46267</v>
      </c>
      <c r="C188" s="23" t="s">
        <v>709</v>
      </c>
      <c r="D188" s="23" t="s">
        <v>87</v>
      </c>
      <c r="E188" s="23" t="s">
        <v>75</v>
      </c>
      <c r="F188" s="23" t="s">
        <v>619</v>
      </c>
      <c r="G188" s="23" t="s">
        <v>250</v>
      </c>
      <c r="H188" s="39">
        <f t="shared" si="8"/>
        <v>15997</v>
      </c>
      <c r="I188" s="23" t="str">
        <f t="shared" si="9"/>
        <v>Mumbai</v>
      </c>
      <c r="J188" s="23">
        <f>COUNTIFS(pg_transaction_cleaned!$O:$O,A188,pg_transaction_cleaned!$F:$F,"CAPTURE")</f>
        <v>1</v>
      </c>
      <c r="K188" s="39">
        <f>SUMIFS(pg_transaction_cleaned!$H:$H,pg_transaction_cleaned!$O:$O,A188,pg_transaction_cleaned!$F:$F,"CAPTURE")</f>
        <v>15997</v>
      </c>
      <c r="L188" s="23">
        <f>COUNTIFS(pg_transaction_cleaned!$O:$O,A188,pg_transaction_cleaned!$F:$F,"REFUND")</f>
        <v>0</v>
      </c>
      <c r="M188" s="39">
        <f>SUMIFS(pg_transaction_cleaned!$H:$H,pg_transaction_cleaned!$O:$O,A188,pg_transaction_cleaned!$F:$F,"REFUND")</f>
        <v>0</v>
      </c>
      <c r="N188" s="23" t="str">
        <f t="shared" si="10"/>
        <v>OK</v>
      </c>
      <c r="O188" s="24">
        <f t="shared" si="11"/>
        <v>0</v>
      </c>
    </row>
    <row r="189" spans="1:15" ht="15" customHeight="1" x14ac:dyDescent="0.3">
      <c r="A189" s="23" t="s">
        <v>710</v>
      </c>
      <c r="B189" s="38">
        <v>46281</v>
      </c>
      <c r="C189" s="23" t="s">
        <v>711</v>
      </c>
      <c r="D189" s="23" t="s">
        <v>91</v>
      </c>
      <c r="E189" s="23" t="s">
        <v>79</v>
      </c>
      <c r="F189" s="23" t="s">
        <v>712</v>
      </c>
      <c r="G189" s="23" t="s">
        <v>250</v>
      </c>
      <c r="H189" s="39">
        <f t="shared" si="8"/>
        <v>4298</v>
      </c>
      <c r="I189" s="23" t="str">
        <f t="shared" si="9"/>
        <v>Pune</v>
      </c>
      <c r="J189" s="23">
        <f>COUNTIFS(pg_transaction_cleaned!$O:$O,A189,pg_transaction_cleaned!$F:$F,"CAPTURE")</f>
        <v>1</v>
      </c>
      <c r="K189" s="39">
        <f>SUMIFS(pg_transaction_cleaned!$H:$H,pg_transaction_cleaned!$O:$O,A189,pg_transaction_cleaned!$F:$F,"CAPTURE")</f>
        <v>4298</v>
      </c>
      <c r="L189" s="23">
        <f>COUNTIFS(pg_transaction_cleaned!$O:$O,A189,pg_transaction_cleaned!$F:$F,"REFUND")</f>
        <v>0</v>
      </c>
      <c r="M189" s="39">
        <f>SUMIFS(pg_transaction_cleaned!$H:$H,pg_transaction_cleaned!$O:$O,A189,pg_transaction_cleaned!$F:$F,"REFUND")</f>
        <v>0</v>
      </c>
      <c r="N189" s="23" t="str">
        <f t="shared" si="10"/>
        <v>OK</v>
      </c>
      <c r="O189" s="24">
        <f t="shared" si="11"/>
        <v>0</v>
      </c>
    </row>
    <row r="190" spans="1:15" ht="15" customHeight="1" x14ac:dyDescent="0.3">
      <c r="A190" s="23" t="s">
        <v>713</v>
      </c>
      <c r="B190" s="38">
        <v>46294</v>
      </c>
      <c r="C190" s="23" t="s">
        <v>714</v>
      </c>
      <c r="D190" s="23" t="s">
        <v>88</v>
      </c>
      <c r="E190" s="23" t="s">
        <v>75</v>
      </c>
      <c r="F190" s="23" t="s">
        <v>265</v>
      </c>
      <c r="G190" s="23" t="s">
        <v>250</v>
      </c>
      <c r="H190" s="39">
        <f t="shared" si="8"/>
        <v>999</v>
      </c>
      <c r="I190" s="23" t="str">
        <f t="shared" si="9"/>
        <v>Lucknow</v>
      </c>
      <c r="J190" s="23">
        <f>COUNTIFS(pg_transaction_cleaned!$O:$O,A190,pg_transaction_cleaned!$F:$F,"CAPTURE")</f>
        <v>1</v>
      </c>
      <c r="K190" s="39">
        <f>SUMIFS(pg_transaction_cleaned!$H:$H,pg_transaction_cleaned!$O:$O,A190,pg_transaction_cleaned!$F:$F,"CAPTURE")</f>
        <v>999</v>
      </c>
      <c r="L190" s="23">
        <f>COUNTIFS(pg_transaction_cleaned!$O:$O,A190,pg_transaction_cleaned!$F:$F,"REFUND")</f>
        <v>0</v>
      </c>
      <c r="M190" s="39">
        <f>SUMIFS(pg_transaction_cleaned!$H:$H,pg_transaction_cleaned!$O:$O,A190,pg_transaction_cleaned!$F:$F,"REFUND")</f>
        <v>0</v>
      </c>
      <c r="N190" s="23" t="str">
        <f t="shared" si="10"/>
        <v>OK</v>
      </c>
      <c r="O190" s="24">
        <f t="shared" si="11"/>
        <v>0</v>
      </c>
    </row>
    <row r="191" spans="1:15" ht="15" customHeight="1" x14ac:dyDescent="0.3">
      <c r="A191" s="23" t="s">
        <v>715</v>
      </c>
      <c r="B191" s="38">
        <v>46286</v>
      </c>
      <c r="C191" s="23" t="s">
        <v>716</v>
      </c>
      <c r="D191" s="23" t="s">
        <v>92</v>
      </c>
      <c r="E191" s="23" t="s">
        <v>77</v>
      </c>
      <c r="F191" s="23" t="s">
        <v>717</v>
      </c>
      <c r="G191" s="23" t="s">
        <v>250</v>
      </c>
      <c r="H191" s="39">
        <f t="shared" si="8"/>
        <v>5298</v>
      </c>
      <c r="I191" s="23" t="str">
        <f t="shared" si="9"/>
        <v>Hyderabad</v>
      </c>
      <c r="J191" s="23">
        <f>COUNTIFS(pg_transaction_cleaned!$O:$O,A191,pg_transaction_cleaned!$F:$F,"CAPTURE")</f>
        <v>1</v>
      </c>
      <c r="K191" s="39">
        <f>SUMIFS(pg_transaction_cleaned!$H:$H,pg_transaction_cleaned!$O:$O,A191,pg_transaction_cleaned!$F:$F,"CAPTURE")</f>
        <v>5298</v>
      </c>
      <c r="L191" s="23">
        <f>COUNTIFS(pg_transaction_cleaned!$O:$O,A191,pg_transaction_cleaned!$F:$F,"REFUND")</f>
        <v>0</v>
      </c>
      <c r="M191" s="39">
        <f>SUMIFS(pg_transaction_cleaned!$H:$H,pg_transaction_cleaned!$O:$O,A191,pg_transaction_cleaned!$F:$F,"REFUND")</f>
        <v>0</v>
      </c>
      <c r="N191" s="23" t="str">
        <f t="shared" si="10"/>
        <v>OK</v>
      </c>
      <c r="O191" s="24">
        <f t="shared" si="11"/>
        <v>0</v>
      </c>
    </row>
    <row r="192" spans="1:15" ht="15" customHeight="1" x14ac:dyDescent="0.3">
      <c r="A192" s="23" t="s">
        <v>718</v>
      </c>
      <c r="B192" s="38">
        <v>46280</v>
      </c>
      <c r="C192" s="23" t="s">
        <v>719</v>
      </c>
      <c r="D192" s="23" t="s">
        <v>89</v>
      </c>
      <c r="E192" s="23" t="s">
        <v>79</v>
      </c>
      <c r="F192" s="23" t="s">
        <v>307</v>
      </c>
      <c r="G192" s="23" t="s">
        <v>250</v>
      </c>
      <c r="H192" s="39">
        <f t="shared" si="8"/>
        <v>3798</v>
      </c>
      <c r="I192" s="23" t="str">
        <f t="shared" si="9"/>
        <v>Jaipur</v>
      </c>
      <c r="J192" s="23">
        <f>COUNTIFS(pg_transaction_cleaned!$O:$O,A192,pg_transaction_cleaned!$F:$F,"CAPTURE")</f>
        <v>1</v>
      </c>
      <c r="K192" s="39">
        <f>SUMIFS(pg_transaction_cleaned!$H:$H,pg_transaction_cleaned!$O:$O,A192,pg_transaction_cleaned!$F:$F,"CAPTURE")</f>
        <v>3798</v>
      </c>
      <c r="L192" s="23">
        <f>COUNTIFS(pg_transaction_cleaned!$O:$O,A192,pg_transaction_cleaned!$F:$F,"REFUND")</f>
        <v>0</v>
      </c>
      <c r="M192" s="39">
        <f>SUMIFS(pg_transaction_cleaned!$H:$H,pg_transaction_cleaned!$O:$O,A192,pg_transaction_cleaned!$F:$F,"REFUND")</f>
        <v>0</v>
      </c>
      <c r="N192" s="23" t="str">
        <f t="shared" si="10"/>
        <v>OK</v>
      </c>
      <c r="O192" s="24">
        <f t="shared" si="11"/>
        <v>0</v>
      </c>
    </row>
    <row r="193" spans="1:15" ht="15" customHeight="1" x14ac:dyDescent="0.3">
      <c r="A193" s="23" t="s">
        <v>720</v>
      </c>
      <c r="B193" s="38">
        <v>46289</v>
      </c>
      <c r="C193" s="23" t="s">
        <v>721</v>
      </c>
      <c r="D193" s="23" t="s">
        <v>90</v>
      </c>
      <c r="E193" s="23" t="s">
        <v>75</v>
      </c>
      <c r="F193" s="23" t="s">
        <v>268</v>
      </c>
      <c r="G193" s="23" t="s">
        <v>250</v>
      </c>
      <c r="H193" s="39">
        <f t="shared" si="8"/>
        <v>1299</v>
      </c>
      <c r="I193" s="23" t="str">
        <f t="shared" si="9"/>
        <v>Ahmedabad</v>
      </c>
      <c r="J193" s="23">
        <f>COUNTIFS(pg_transaction_cleaned!$O:$O,A193,pg_transaction_cleaned!$F:$F,"CAPTURE")</f>
        <v>1</v>
      </c>
      <c r="K193" s="39">
        <f>SUMIFS(pg_transaction_cleaned!$H:$H,pg_transaction_cleaned!$O:$O,A193,pg_transaction_cleaned!$F:$F,"CAPTURE")</f>
        <v>1299</v>
      </c>
      <c r="L193" s="23">
        <f>COUNTIFS(pg_transaction_cleaned!$O:$O,A193,pg_transaction_cleaned!$F:$F,"REFUND")</f>
        <v>0</v>
      </c>
      <c r="M193" s="39">
        <f>SUMIFS(pg_transaction_cleaned!$H:$H,pg_transaction_cleaned!$O:$O,A193,pg_transaction_cleaned!$F:$F,"REFUND")</f>
        <v>0</v>
      </c>
      <c r="N193" s="23" t="str">
        <f t="shared" si="10"/>
        <v>OK</v>
      </c>
      <c r="O193" s="24">
        <f t="shared" si="11"/>
        <v>0</v>
      </c>
    </row>
    <row r="194" spans="1:15" ht="15" customHeight="1" x14ac:dyDescent="0.3">
      <c r="A194" s="23" t="s">
        <v>722</v>
      </c>
      <c r="B194" s="38">
        <v>46278</v>
      </c>
      <c r="C194" s="23" t="s">
        <v>723</v>
      </c>
      <c r="D194" s="23" t="s">
        <v>94</v>
      </c>
      <c r="E194" s="23" t="s">
        <v>75</v>
      </c>
      <c r="F194" s="23" t="s">
        <v>724</v>
      </c>
      <c r="G194" s="23" t="s">
        <v>250</v>
      </c>
      <c r="H194" s="39">
        <f t="shared" ref="H194:H257" si="12">VALUE(SUBSTITUTE(F194,",",""))</f>
        <v>3848</v>
      </c>
      <c r="I194" s="23" t="str">
        <f t="shared" ref="I194:I257" si="13">IF(TRIM(D194)="","Unknown",TRIM(D194))</f>
        <v>Chennai</v>
      </c>
      <c r="J194" s="23">
        <f>COUNTIFS(pg_transaction_cleaned!$O:$O,A194,pg_transaction_cleaned!$F:$F,"CAPTURE")</f>
        <v>1</v>
      </c>
      <c r="K194" s="39">
        <f>SUMIFS(pg_transaction_cleaned!$H:$H,pg_transaction_cleaned!$O:$O,A194,pg_transaction_cleaned!$F:$F,"CAPTURE")</f>
        <v>3848</v>
      </c>
      <c r="L194" s="23">
        <f>COUNTIFS(pg_transaction_cleaned!$O:$O,A194,pg_transaction_cleaned!$F:$F,"REFUND")</f>
        <v>0</v>
      </c>
      <c r="M194" s="39">
        <f>SUMIFS(pg_transaction_cleaned!$H:$H,pg_transaction_cleaned!$O:$O,A194,pg_transaction_cleaned!$F:$F,"REFUND")</f>
        <v>0</v>
      </c>
      <c r="N194" s="23" t="str">
        <f t="shared" ref="N194:N257" si="14">IF(AND(G194="Paid",J194=0),"Paid, no payment",IF(AND(OR(G194="Failed",G194="Cancelled"),J194&gt;0),"Payment on failed/cancelled",IF(J194&gt;1,"Duplicate charge",IF(AND(J194=1,ROUND(K194-H194,2)&lt;&gt;0),"Amount difference",IF(AND(G194="Refunded",L194=0),"Refunded, no refund",IF(AND(G194&lt;&gt;"Refunded",L194&gt;0),"Refund, order not Refunded",IF(AND(L194&gt;0,ROUND(M194-H194,2)&lt;&gt;0),"Refund amount differs","OK")))))))</f>
        <v>OK</v>
      </c>
      <c r="O194" s="24">
        <f t="shared" ref="O194:O257" si="15">IF(N194="OK",0,IF(N194="Paid, no payment",H194,IF(N194="Payment on failed/cancelled",K194,IF(OR(N194="Duplicate charge",N194="Amount difference"),K194-H194,IF(N194="Refunded, no refund",H194,M194)))))</f>
        <v>0</v>
      </c>
    </row>
    <row r="195" spans="1:15" ht="15" customHeight="1" x14ac:dyDescent="0.3">
      <c r="A195" s="23" t="s">
        <v>725</v>
      </c>
      <c r="B195" s="38">
        <v>46270</v>
      </c>
      <c r="C195" s="23" t="s">
        <v>726</v>
      </c>
      <c r="D195" s="23" t="s">
        <v>94</v>
      </c>
      <c r="E195" s="23" t="s">
        <v>75</v>
      </c>
      <c r="F195" s="23" t="s">
        <v>466</v>
      </c>
      <c r="G195" s="23" t="s">
        <v>250</v>
      </c>
      <c r="H195" s="39">
        <f t="shared" si="12"/>
        <v>2197</v>
      </c>
      <c r="I195" s="23" t="str">
        <f t="shared" si="13"/>
        <v>Chennai</v>
      </c>
      <c r="J195" s="23">
        <f>COUNTIFS(pg_transaction_cleaned!$O:$O,A195,pg_transaction_cleaned!$F:$F,"CAPTURE")</f>
        <v>1</v>
      </c>
      <c r="K195" s="39">
        <f>SUMIFS(pg_transaction_cleaned!$H:$H,pg_transaction_cleaned!$O:$O,A195,pg_transaction_cleaned!$F:$F,"CAPTURE")</f>
        <v>2197</v>
      </c>
      <c r="L195" s="23">
        <f>COUNTIFS(pg_transaction_cleaned!$O:$O,A195,pg_transaction_cleaned!$F:$F,"REFUND")</f>
        <v>0</v>
      </c>
      <c r="M195" s="39">
        <f>SUMIFS(pg_transaction_cleaned!$H:$H,pg_transaction_cleaned!$O:$O,A195,pg_transaction_cleaned!$F:$F,"REFUND")</f>
        <v>0</v>
      </c>
      <c r="N195" s="23" t="str">
        <f t="shared" si="14"/>
        <v>OK</v>
      </c>
      <c r="O195" s="24">
        <f t="shared" si="15"/>
        <v>0</v>
      </c>
    </row>
    <row r="196" spans="1:15" ht="15" customHeight="1" x14ac:dyDescent="0.3">
      <c r="A196" s="23" t="s">
        <v>727</v>
      </c>
      <c r="B196" s="38">
        <v>46291</v>
      </c>
      <c r="C196" s="23" t="s">
        <v>728</v>
      </c>
      <c r="D196" s="23" t="s">
        <v>94</v>
      </c>
      <c r="E196" s="23" t="s">
        <v>77</v>
      </c>
      <c r="F196" s="23" t="s">
        <v>294</v>
      </c>
      <c r="G196" s="23" t="s">
        <v>250</v>
      </c>
      <c r="H196" s="39">
        <f t="shared" si="12"/>
        <v>1799</v>
      </c>
      <c r="I196" s="23" t="str">
        <f t="shared" si="13"/>
        <v>Chennai</v>
      </c>
      <c r="J196" s="23">
        <f>COUNTIFS(pg_transaction_cleaned!$O:$O,A196,pg_transaction_cleaned!$F:$F,"CAPTURE")</f>
        <v>1</v>
      </c>
      <c r="K196" s="39">
        <f>SUMIFS(pg_transaction_cleaned!$H:$H,pg_transaction_cleaned!$O:$O,A196,pg_transaction_cleaned!$F:$F,"CAPTURE")</f>
        <v>1799</v>
      </c>
      <c r="L196" s="23">
        <f>COUNTIFS(pg_transaction_cleaned!$O:$O,A196,pg_transaction_cleaned!$F:$F,"REFUND")</f>
        <v>0</v>
      </c>
      <c r="M196" s="39">
        <f>SUMIFS(pg_transaction_cleaned!$H:$H,pg_transaction_cleaned!$O:$O,A196,pg_transaction_cleaned!$F:$F,"REFUND")</f>
        <v>0</v>
      </c>
      <c r="N196" s="23" t="str">
        <f t="shared" si="14"/>
        <v>OK</v>
      </c>
      <c r="O196" s="24">
        <f t="shared" si="15"/>
        <v>0</v>
      </c>
    </row>
    <row r="197" spans="1:15" ht="15" customHeight="1" x14ac:dyDescent="0.3">
      <c r="A197" s="23" t="s">
        <v>729</v>
      </c>
      <c r="B197" s="38">
        <v>46287</v>
      </c>
      <c r="C197" s="23" t="s">
        <v>730</v>
      </c>
      <c r="D197" s="23" t="s">
        <v>87</v>
      </c>
      <c r="E197" s="23" t="s">
        <v>79</v>
      </c>
      <c r="F197" s="23" t="s">
        <v>268</v>
      </c>
      <c r="G197" s="23" t="s">
        <v>250</v>
      </c>
      <c r="H197" s="39">
        <f t="shared" si="12"/>
        <v>1299</v>
      </c>
      <c r="I197" s="23" t="str">
        <f t="shared" si="13"/>
        <v>Mumbai</v>
      </c>
      <c r="J197" s="23">
        <f>COUNTIFS(pg_transaction_cleaned!$O:$O,A197,pg_transaction_cleaned!$F:$F,"CAPTURE")</f>
        <v>1</v>
      </c>
      <c r="K197" s="39">
        <f>SUMIFS(pg_transaction_cleaned!$H:$H,pg_transaction_cleaned!$O:$O,A197,pg_transaction_cleaned!$F:$F,"CAPTURE")</f>
        <v>1299</v>
      </c>
      <c r="L197" s="23">
        <f>COUNTIFS(pg_transaction_cleaned!$O:$O,A197,pg_transaction_cleaned!$F:$F,"REFUND")</f>
        <v>0</v>
      </c>
      <c r="M197" s="39">
        <f>SUMIFS(pg_transaction_cleaned!$H:$H,pg_transaction_cleaned!$O:$O,A197,pg_transaction_cleaned!$F:$F,"REFUND")</f>
        <v>0</v>
      </c>
      <c r="N197" s="23" t="str">
        <f t="shared" si="14"/>
        <v>OK</v>
      </c>
      <c r="O197" s="24">
        <f t="shared" si="15"/>
        <v>0</v>
      </c>
    </row>
    <row r="198" spans="1:15" ht="15" customHeight="1" x14ac:dyDescent="0.3">
      <c r="A198" s="23" t="s">
        <v>731</v>
      </c>
      <c r="B198" s="38">
        <v>46275</v>
      </c>
      <c r="C198" s="23" t="s">
        <v>732</v>
      </c>
      <c r="D198" s="23" t="s">
        <v>90</v>
      </c>
      <c r="E198" s="23" t="s">
        <v>75</v>
      </c>
      <c r="F198" s="23" t="s">
        <v>349</v>
      </c>
      <c r="G198" s="23" t="s">
        <v>250</v>
      </c>
      <c r="H198" s="39">
        <f t="shared" si="12"/>
        <v>1798</v>
      </c>
      <c r="I198" s="23" t="str">
        <f t="shared" si="13"/>
        <v>Ahmedabad</v>
      </c>
      <c r="J198" s="23">
        <f>COUNTIFS(pg_transaction_cleaned!$O:$O,A198,pg_transaction_cleaned!$F:$F,"CAPTURE")</f>
        <v>1</v>
      </c>
      <c r="K198" s="39">
        <f>SUMIFS(pg_transaction_cleaned!$H:$H,pg_transaction_cleaned!$O:$O,A198,pg_transaction_cleaned!$F:$F,"CAPTURE")</f>
        <v>1798</v>
      </c>
      <c r="L198" s="23">
        <f>COUNTIFS(pg_transaction_cleaned!$O:$O,A198,pg_transaction_cleaned!$F:$F,"REFUND")</f>
        <v>0</v>
      </c>
      <c r="M198" s="39">
        <f>SUMIFS(pg_transaction_cleaned!$H:$H,pg_transaction_cleaned!$O:$O,A198,pg_transaction_cleaned!$F:$F,"REFUND")</f>
        <v>0</v>
      </c>
      <c r="N198" s="23" t="str">
        <f t="shared" si="14"/>
        <v>OK</v>
      </c>
      <c r="O198" s="24">
        <f t="shared" si="15"/>
        <v>0</v>
      </c>
    </row>
    <row r="199" spans="1:15" ht="15" customHeight="1" x14ac:dyDescent="0.3">
      <c r="A199" s="23" t="s">
        <v>733</v>
      </c>
      <c r="B199" s="38">
        <v>46273</v>
      </c>
      <c r="C199" s="23" t="s">
        <v>734</v>
      </c>
      <c r="D199" s="23" t="s">
        <v>88</v>
      </c>
      <c r="E199" s="23" t="s">
        <v>75</v>
      </c>
      <c r="F199" s="23" t="s">
        <v>265</v>
      </c>
      <c r="G199" s="23" t="s">
        <v>250</v>
      </c>
      <c r="H199" s="39">
        <f t="shared" si="12"/>
        <v>999</v>
      </c>
      <c r="I199" s="23" t="str">
        <f t="shared" si="13"/>
        <v>Lucknow</v>
      </c>
      <c r="J199" s="23">
        <f>COUNTIFS(pg_transaction_cleaned!$O:$O,A199,pg_transaction_cleaned!$F:$F,"CAPTURE")</f>
        <v>1</v>
      </c>
      <c r="K199" s="39">
        <f>SUMIFS(pg_transaction_cleaned!$H:$H,pg_transaction_cleaned!$O:$O,A199,pg_transaction_cleaned!$F:$F,"CAPTURE")</f>
        <v>999</v>
      </c>
      <c r="L199" s="23">
        <f>COUNTIFS(pg_transaction_cleaned!$O:$O,A199,pg_transaction_cleaned!$F:$F,"REFUND")</f>
        <v>0</v>
      </c>
      <c r="M199" s="39">
        <f>SUMIFS(pg_transaction_cleaned!$H:$H,pg_transaction_cleaned!$O:$O,A199,pg_transaction_cleaned!$F:$F,"REFUND")</f>
        <v>0</v>
      </c>
      <c r="N199" s="23" t="str">
        <f t="shared" si="14"/>
        <v>OK</v>
      </c>
      <c r="O199" s="24">
        <f t="shared" si="15"/>
        <v>0</v>
      </c>
    </row>
    <row r="200" spans="1:15" ht="15" customHeight="1" x14ac:dyDescent="0.3">
      <c r="A200" s="23" t="s">
        <v>735</v>
      </c>
      <c r="B200" s="38">
        <v>46273</v>
      </c>
      <c r="C200" s="23" t="s">
        <v>736</v>
      </c>
      <c r="D200" s="23" t="s">
        <v>89</v>
      </c>
      <c r="E200" s="23" t="s">
        <v>81</v>
      </c>
      <c r="F200" s="23" t="s">
        <v>737</v>
      </c>
      <c r="G200" s="23" t="s">
        <v>301</v>
      </c>
      <c r="H200" s="39">
        <f t="shared" si="12"/>
        <v>9798</v>
      </c>
      <c r="I200" s="23" t="str">
        <f t="shared" si="13"/>
        <v>Jaipur</v>
      </c>
      <c r="J200" s="23">
        <f>COUNTIFS(pg_transaction_cleaned!$O:$O,A200,pg_transaction_cleaned!$F:$F,"CAPTURE")</f>
        <v>1</v>
      </c>
      <c r="K200" s="39">
        <f>SUMIFS(pg_transaction_cleaned!$H:$H,pg_transaction_cleaned!$O:$O,A200,pg_transaction_cleaned!$F:$F,"CAPTURE")</f>
        <v>9798</v>
      </c>
      <c r="L200" s="23">
        <f>COUNTIFS(pg_transaction_cleaned!$O:$O,A200,pg_transaction_cleaned!$F:$F,"REFUND")</f>
        <v>1</v>
      </c>
      <c r="M200" s="39">
        <f>SUMIFS(pg_transaction_cleaned!$H:$H,pg_transaction_cleaned!$O:$O,A200,pg_transaction_cleaned!$F:$F,"REFUND")</f>
        <v>9798</v>
      </c>
      <c r="N200" s="23" t="str">
        <f t="shared" si="14"/>
        <v>OK</v>
      </c>
      <c r="O200" s="24">
        <f t="shared" si="15"/>
        <v>0</v>
      </c>
    </row>
    <row r="201" spans="1:15" ht="15" customHeight="1" x14ac:dyDescent="0.3">
      <c r="A201" s="23" t="s">
        <v>738</v>
      </c>
      <c r="B201" s="38">
        <v>46266</v>
      </c>
      <c r="C201" s="23" t="s">
        <v>739</v>
      </c>
      <c r="D201" s="23" t="s">
        <v>92</v>
      </c>
      <c r="E201" s="23" t="s">
        <v>75</v>
      </c>
      <c r="F201" s="23" t="s">
        <v>675</v>
      </c>
      <c r="G201" s="23" t="s">
        <v>250</v>
      </c>
      <c r="H201" s="39">
        <f t="shared" si="12"/>
        <v>10998</v>
      </c>
      <c r="I201" s="23" t="str">
        <f t="shared" si="13"/>
        <v>Hyderabad</v>
      </c>
      <c r="J201" s="23">
        <f>COUNTIFS(pg_transaction_cleaned!$O:$O,A201,pg_transaction_cleaned!$F:$F,"CAPTURE")</f>
        <v>1</v>
      </c>
      <c r="K201" s="39">
        <f>SUMIFS(pg_transaction_cleaned!$H:$H,pg_transaction_cleaned!$O:$O,A201,pg_transaction_cleaned!$F:$F,"CAPTURE")</f>
        <v>10998</v>
      </c>
      <c r="L201" s="23">
        <f>COUNTIFS(pg_transaction_cleaned!$O:$O,A201,pg_transaction_cleaned!$F:$F,"REFUND")</f>
        <v>0</v>
      </c>
      <c r="M201" s="39">
        <f>SUMIFS(pg_transaction_cleaned!$H:$H,pg_transaction_cleaned!$O:$O,A201,pg_transaction_cleaned!$F:$F,"REFUND")</f>
        <v>0</v>
      </c>
      <c r="N201" s="23" t="str">
        <f t="shared" si="14"/>
        <v>OK</v>
      </c>
      <c r="O201" s="24">
        <f t="shared" si="15"/>
        <v>0</v>
      </c>
    </row>
    <row r="202" spans="1:15" ht="15" customHeight="1" x14ac:dyDescent="0.3">
      <c r="A202" s="23" t="s">
        <v>740</v>
      </c>
      <c r="B202" s="38">
        <v>46295</v>
      </c>
      <c r="C202" s="23" t="s">
        <v>741</v>
      </c>
      <c r="D202" s="23" t="s">
        <v>93</v>
      </c>
      <c r="E202" s="23" t="s">
        <v>81</v>
      </c>
      <c r="F202" s="23" t="s">
        <v>742</v>
      </c>
      <c r="G202" s="23" t="s">
        <v>250</v>
      </c>
      <c r="H202" s="39">
        <f t="shared" si="12"/>
        <v>999</v>
      </c>
      <c r="I202" s="23" t="str">
        <f t="shared" si="13"/>
        <v>Kolkata</v>
      </c>
      <c r="J202" s="23">
        <f>COUNTIFS(pg_transaction_cleaned!$O:$O,A202,pg_transaction_cleaned!$F:$F,"CAPTURE")</f>
        <v>1</v>
      </c>
      <c r="K202" s="39">
        <f>SUMIFS(pg_transaction_cleaned!$H:$H,pg_transaction_cleaned!$O:$O,A202,pg_transaction_cleaned!$F:$F,"CAPTURE")</f>
        <v>999</v>
      </c>
      <c r="L202" s="23">
        <f>COUNTIFS(pg_transaction_cleaned!$O:$O,A202,pg_transaction_cleaned!$F:$F,"REFUND")</f>
        <v>0</v>
      </c>
      <c r="M202" s="39">
        <f>SUMIFS(pg_transaction_cleaned!$H:$H,pg_transaction_cleaned!$O:$O,A202,pg_transaction_cleaned!$F:$F,"REFUND")</f>
        <v>0</v>
      </c>
      <c r="N202" s="23" t="str">
        <f t="shared" si="14"/>
        <v>OK</v>
      </c>
      <c r="O202" s="24">
        <f t="shared" si="15"/>
        <v>0</v>
      </c>
    </row>
    <row r="203" spans="1:15" ht="15" customHeight="1" x14ac:dyDescent="0.3">
      <c r="A203" s="23" t="s">
        <v>743</v>
      </c>
      <c r="B203" s="38">
        <v>46268</v>
      </c>
      <c r="C203" s="23" t="s">
        <v>744</v>
      </c>
      <c r="D203" s="23" t="s">
        <v>95</v>
      </c>
      <c r="E203" s="23" t="s">
        <v>75</v>
      </c>
      <c r="F203" s="23" t="s">
        <v>291</v>
      </c>
      <c r="G203" s="23" t="s">
        <v>250</v>
      </c>
      <c r="H203" s="39">
        <f t="shared" si="12"/>
        <v>3499</v>
      </c>
      <c r="I203" s="23" t="str">
        <f t="shared" si="13"/>
        <v>Bengaluru</v>
      </c>
      <c r="J203" s="23">
        <f>COUNTIFS(pg_transaction_cleaned!$O:$O,A203,pg_transaction_cleaned!$F:$F,"CAPTURE")</f>
        <v>1</v>
      </c>
      <c r="K203" s="39">
        <f>SUMIFS(pg_transaction_cleaned!$H:$H,pg_transaction_cleaned!$O:$O,A203,pg_transaction_cleaned!$F:$F,"CAPTURE")</f>
        <v>3499</v>
      </c>
      <c r="L203" s="23">
        <f>COUNTIFS(pg_transaction_cleaned!$O:$O,A203,pg_transaction_cleaned!$F:$F,"REFUND")</f>
        <v>0</v>
      </c>
      <c r="M203" s="39">
        <f>SUMIFS(pg_transaction_cleaned!$H:$H,pg_transaction_cleaned!$O:$O,A203,pg_transaction_cleaned!$F:$F,"REFUND")</f>
        <v>0</v>
      </c>
      <c r="N203" s="23" t="str">
        <f t="shared" si="14"/>
        <v>OK</v>
      </c>
      <c r="O203" s="24">
        <f t="shared" si="15"/>
        <v>0</v>
      </c>
    </row>
    <row r="204" spans="1:15" ht="15" customHeight="1" x14ac:dyDescent="0.3">
      <c r="A204" s="23" t="s">
        <v>745</v>
      </c>
      <c r="B204" s="38">
        <v>46278</v>
      </c>
      <c r="C204" s="23" t="s">
        <v>746</v>
      </c>
      <c r="D204" s="23" t="s">
        <v>88</v>
      </c>
      <c r="E204" s="23" t="s">
        <v>75</v>
      </c>
      <c r="F204" s="23" t="s">
        <v>747</v>
      </c>
      <c r="G204" s="23" t="s">
        <v>250</v>
      </c>
      <c r="H204" s="39">
        <f t="shared" si="12"/>
        <v>2498</v>
      </c>
      <c r="I204" s="23" t="str">
        <f t="shared" si="13"/>
        <v>Lucknow</v>
      </c>
      <c r="J204" s="23">
        <f>COUNTIFS(pg_transaction_cleaned!$O:$O,A204,pg_transaction_cleaned!$F:$F,"CAPTURE")</f>
        <v>1</v>
      </c>
      <c r="K204" s="39">
        <f>SUMIFS(pg_transaction_cleaned!$H:$H,pg_transaction_cleaned!$O:$O,A204,pg_transaction_cleaned!$F:$F,"CAPTURE")</f>
        <v>2498</v>
      </c>
      <c r="L204" s="23">
        <f>COUNTIFS(pg_transaction_cleaned!$O:$O,A204,pg_transaction_cleaned!$F:$F,"REFUND")</f>
        <v>0</v>
      </c>
      <c r="M204" s="39">
        <f>SUMIFS(pg_transaction_cleaned!$H:$H,pg_transaction_cleaned!$O:$O,A204,pg_transaction_cleaned!$F:$F,"REFUND")</f>
        <v>0</v>
      </c>
      <c r="N204" s="23" t="str">
        <f t="shared" si="14"/>
        <v>OK</v>
      </c>
      <c r="O204" s="24">
        <f t="shared" si="15"/>
        <v>0</v>
      </c>
    </row>
    <row r="205" spans="1:15" ht="15" customHeight="1" x14ac:dyDescent="0.3">
      <c r="A205" s="23" t="s">
        <v>748</v>
      </c>
      <c r="B205" s="38">
        <v>46285</v>
      </c>
      <c r="C205" s="23" t="s">
        <v>749</v>
      </c>
      <c r="D205" s="23" t="s">
        <v>91</v>
      </c>
      <c r="E205" s="23" t="s">
        <v>79</v>
      </c>
      <c r="F205" s="23" t="s">
        <v>249</v>
      </c>
      <c r="G205" s="23" t="s">
        <v>250</v>
      </c>
      <c r="H205" s="39">
        <f t="shared" si="12"/>
        <v>299</v>
      </c>
      <c r="I205" s="23" t="str">
        <f t="shared" si="13"/>
        <v>Pune</v>
      </c>
      <c r="J205" s="23">
        <f>COUNTIFS(pg_transaction_cleaned!$O:$O,A205,pg_transaction_cleaned!$F:$F,"CAPTURE")</f>
        <v>1</v>
      </c>
      <c r="K205" s="39">
        <f>SUMIFS(pg_transaction_cleaned!$H:$H,pg_transaction_cleaned!$O:$O,A205,pg_transaction_cleaned!$F:$F,"CAPTURE")</f>
        <v>299</v>
      </c>
      <c r="L205" s="23">
        <f>COUNTIFS(pg_transaction_cleaned!$O:$O,A205,pg_transaction_cleaned!$F:$F,"REFUND")</f>
        <v>0</v>
      </c>
      <c r="M205" s="39">
        <f>SUMIFS(pg_transaction_cleaned!$H:$H,pg_transaction_cleaned!$O:$O,A205,pg_transaction_cleaned!$F:$F,"REFUND")</f>
        <v>0</v>
      </c>
      <c r="N205" s="23" t="str">
        <f t="shared" si="14"/>
        <v>OK</v>
      </c>
      <c r="O205" s="24">
        <f t="shared" si="15"/>
        <v>0</v>
      </c>
    </row>
    <row r="206" spans="1:15" ht="15" customHeight="1" x14ac:dyDescent="0.3">
      <c r="A206" s="23" t="s">
        <v>750</v>
      </c>
      <c r="B206" s="38">
        <v>46274</v>
      </c>
      <c r="C206" s="23" t="s">
        <v>751</v>
      </c>
      <c r="D206" s="23" t="s">
        <v>95</v>
      </c>
      <c r="E206" s="23" t="s">
        <v>75</v>
      </c>
      <c r="F206" s="23" t="s">
        <v>288</v>
      </c>
      <c r="G206" s="23" t="s">
        <v>250</v>
      </c>
      <c r="H206" s="39">
        <f t="shared" si="12"/>
        <v>4298</v>
      </c>
      <c r="I206" s="23" t="str">
        <f t="shared" si="13"/>
        <v>Bengaluru</v>
      </c>
      <c r="J206" s="23">
        <f>COUNTIFS(pg_transaction_cleaned!$O:$O,A206,pg_transaction_cleaned!$F:$F,"CAPTURE")</f>
        <v>1</v>
      </c>
      <c r="K206" s="39">
        <f>SUMIFS(pg_transaction_cleaned!$H:$H,pg_transaction_cleaned!$O:$O,A206,pg_transaction_cleaned!$F:$F,"CAPTURE")</f>
        <v>4298</v>
      </c>
      <c r="L206" s="23">
        <f>COUNTIFS(pg_transaction_cleaned!$O:$O,A206,pg_transaction_cleaned!$F:$F,"REFUND")</f>
        <v>0</v>
      </c>
      <c r="M206" s="39">
        <f>SUMIFS(pg_transaction_cleaned!$H:$H,pg_transaction_cleaned!$O:$O,A206,pg_transaction_cleaned!$F:$F,"REFUND")</f>
        <v>0</v>
      </c>
      <c r="N206" s="23" t="str">
        <f t="shared" si="14"/>
        <v>OK</v>
      </c>
      <c r="O206" s="24">
        <f t="shared" si="15"/>
        <v>0</v>
      </c>
    </row>
    <row r="207" spans="1:15" ht="15" customHeight="1" x14ac:dyDescent="0.3">
      <c r="A207" s="23" t="s">
        <v>752</v>
      </c>
      <c r="B207" s="38">
        <v>46290</v>
      </c>
      <c r="C207" s="23" t="s">
        <v>753</v>
      </c>
      <c r="D207" s="23" t="s">
        <v>88</v>
      </c>
      <c r="E207" s="23" t="s">
        <v>75</v>
      </c>
      <c r="F207" s="23" t="s">
        <v>754</v>
      </c>
      <c r="G207" s="23" t="s">
        <v>250</v>
      </c>
      <c r="H207" s="39">
        <f t="shared" si="12"/>
        <v>1348</v>
      </c>
      <c r="I207" s="23" t="str">
        <f t="shared" si="13"/>
        <v>Lucknow</v>
      </c>
      <c r="J207" s="23">
        <f>COUNTIFS(pg_transaction_cleaned!$O:$O,A207,pg_transaction_cleaned!$F:$F,"CAPTURE")</f>
        <v>1</v>
      </c>
      <c r="K207" s="39">
        <f>SUMIFS(pg_transaction_cleaned!$H:$H,pg_transaction_cleaned!$O:$O,A207,pg_transaction_cleaned!$F:$F,"CAPTURE")</f>
        <v>1348</v>
      </c>
      <c r="L207" s="23">
        <f>COUNTIFS(pg_transaction_cleaned!$O:$O,A207,pg_transaction_cleaned!$F:$F,"REFUND")</f>
        <v>0</v>
      </c>
      <c r="M207" s="39">
        <f>SUMIFS(pg_transaction_cleaned!$H:$H,pg_transaction_cleaned!$O:$O,A207,pg_transaction_cleaned!$F:$F,"REFUND")</f>
        <v>0</v>
      </c>
      <c r="N207" s="23" t="str">
        <f t="shared" si="14"/>
        <v>OK</v>
      </c>
      <c r="O207" s="24">
        <f t="shared" si="15"/>
        <v>0</v>
      </c>
    </row>
    <row r="208" spans="1:15" ht="15" customHeight="1" x14ac:dyDescent="0.3">
      <c r="A208" s="23" t="s">
        <v>755</v>
      </c>
      <c r="B208" s="38">
        <v>46281</v>
      </c>
      <c r="C208" s="23" t="s">
        <v>756</v>
      </c>
      <c r="D208" s="23" t="s">
        <v>87</v>
      </c>
      <c r="E208" s="23" t="s">
        <v>75</v>
      </c>
      <c r="F208" s="23" t="s">
        <v>757</v>
      </c>
      <c r="G208" s="23" t="s">
        <v>250</v>
      </c>
      <c r="H208" s="39">
        <f t="shared" si="12"/>
        <v>3798</v>
      </c>
      <c r="I208" s="23" t="str">
        <f t="shared" si="13"/>
        <v>Mumbai</v>
      </c>
      <c r="J208" s="23">
        <f>COUNTIFS(pg_transaction_cleaned!$O:$O,A208,pg_transaction_cleaned!$F:$F,"CAPTURE")</f>
        <v>1</v>
      </c>
      <c r="K208" s="39">
        <f>SUMIFS(pg_transaction_cleaned!$H:$H,pg_transaction_cleaned!$O:$O,A208,pg_transaction_cleaned!$F:$F,"CAPTURE")</f>
        <v>3798</v>
      </c>
      <c r="L208" s="23">
        <f>COUNTIFS(pg_transaction_cleaned!$O:$O,A208,pg_transaction_cleaned!$F:$F,"REFUND")</f>
        <v>0</v>
      </c>
      <c r="M208" s="39">
        <f>SUMIFS(pg_transaction_cleaned!$H:$H,pg_transaction_cleaned!$O:$O,A208,pg_transaction_cleaned!$F:$F,"REFUND")</f>
        <v>0</v>
      </c>
      <c r="N208" s="23" t="str">
        <f t="shared" si="14"/>
        <v>OK</v>
      </c>
      <c r="O208" s="24">
        <f t="shared" si="15"/>
        <v>0</v>
      </c>
    </row>
    <row r="209" spans="1:15" ht="15" customHeight="1" x14ac:dyDescent="0.3">
      <c r="A209" s="23" t="s">
        <v>758</v>
      </c>
      <c r="B209" s="38">
        <v>46266</v>
      </c>
      <c r="C209" s="23" t="s">
        <v>759</v>
      </c>
      <c r="D209" s="23" t="s">
        <v>92</v>
      </c>
      <c r="E209" s="23" t="s">
        <v>79</v>
      </c>
      <c r="F209" s="23" t="s">
        <v>760</v>
      </c>
      <c r="G209" s="23" t="s">
        <v>318</v>
      </c>
      <c r="H209" s="39">
        <f t="shared" si="12"/>
        <v>799</v>
      </c>
      <c r="I209" s="23" t="str">
        <f t="shared" si="13"/>
        <v>Hyderabad</v>
      </c>
      <c r="J209" s="23">
        <f>COUNTIFS(pg_transaction_cleaned!$O:$O,A209,pg_transaction_cleaned!$F:$F,"CAPTURE")</f>
        <v>0</v>
      </c>
      <c r="K209" s="39">
        <f>SUMIFS(pg_transaction_cleaned!$H:$H,pg_transaction_cleaned!$O:$O,A209,pg_transaction_cleaned!$F:$F,"CAPTURE")</f>
        <v>0</v>
      </c>
      <c r="L209" s="23">
        <f>COUNTIFS(pg_transaction_cleaned!$O:$O,A209,pg_transaction_cleaned!$F:$F,"REFUND")</f>
        <v>0</v>
      </c>
      <c r="M209" s="39">
        <f>SUMIFS(pg_transaction_cleaned!$H:$H,pg_transaction_cleaned!$O:$O,A209,pg_transaction_cleaned!$F:$F,"REFUND")</f>
        <v>0</v>
      </c>
      <c r="N209" s="23" t="str">
        <f t="shared" si="14"/>
        <v>OK</v>
      </c>
      <c r="O209" s="24">
        <f t="shared" si="15"/>
        <v>0</v>
      </c>
    </row>
    <row r="210" spans="1:15" ht="15" customHeight="1" x14ac:dyDescent="0.3">
      <c r="A210" s="23" t="s">
        <v>761</v>
      </c>
      <c r="B210" s="38">
        <v>46276</v>
      </c>
      <c r="C210" s="23" t="s">
        <v>762</v>
      </c>
      <c r="D210" s="23" t="s">
        <v>93</v>
      </c>
      <c r="E210" s="23" t="s">
        <v>75</v>
      </c>
      <c r="F210" s="23" t="s">
        <v>763</v>
      </c>
      <c r="G210" s="23" t="s">
        <v>250</v>
      </c>
      <c r="H210" s="39">
        <f t="shared" si="12"/>
        <v>299</v>
      </c>
      <c r="I210" s="23" t="str">
        <f t="shared" si="13"/>
        <v>Kolkata</v>
      </c>
      <c r="J210" s="23">
        <f>COUNTIFS(pg_transaction_cleaned!$O:$O,A210,pg_transaction_cleaned!$F:$F,"CAPTURE")</f>
        <v>1</v>
      </c>
      <c r="K210" s="39">
        <f>SUMIFS(pg_transaction_cleaned!$H:$H,pg_transaction_cleaned!$O:$O,A210,pg_transaction_cleaned!$F:$F,"CAPTURE")</f>
        <v>299</v>
      </c>
      <c r="L210" s="23">
        <f>COUNTIFS(pg_transaction_cleaned!$O:$O,A210,pg_transaction_cleaned!$F:$F,"REFUND")</f>
        <v>0</v>
      </c>
      <c r="M210" s="39">
        <f>SUMIFS(pg_transaction_cleaned!$H:$H,pg_transaction_cleaned!$O:$O,A210,pg_transaction_cleaned!$F:$F,"REFUND")</f>
        <v>0</v>
      </c>
      <c r="N210" s="23" t="str">
        <f t="shared" si="14"/>
        <v>OK</v>
      </c>
      <c r="O210" s="24">
        <f t="shared" si="15"/>
        <v>0</v>
      </c>
    </row>
    <row r="211" spans="1:15" ht="15" customHeight="1" x14ac:dyDescent="0.3">
      <c r="A211" s="23" t="s">
        <v>764</v>
      </c>
      <c r="B211" s="38">
        <v>46283</v>
      </c>
      <c r="C211" s="23" t="s">
        <v>765</v>
      </c>
      <c r="D211" s="23" t="s">
        <v>93</v>
      </c>
      <c r="E211" s="23" t="s">
        <v>81</v>
      </c>
      <c r="F211" s="23" t="s">
        <v>766</v>
      </c>
      <c r="G211" s="23" t="s">
        <v>250</v>
      </c>
      <c r="H211" s="39">
        <f t="shared" si="12"/>
        <v>4197</v>
      </c>
      <c r="I211" s="23" t="str">
        <f t="shared" si="13"/>
        <v>Kolkata</v>
      </c>
      <c r="J211" s="23">
        <f>COUNTIFS(pg_transaction_cleaned!$O:$O,A211,pg_transaction_cleaned!$F:$F,"CAPTURE")</f>
        <v>1</v>
      </c>
      <c r="K211" s="39">
        <f>SUMIFS(pg_transaction_cleaned!$H:$H,pg_transaction_cleaned!$O:$O,A211,pg_transaction_cleaned!$F:$F,"CAPTURE")</f>
        <v>4197</v>
      </c>
      <c r="L211" s="23">
        <f>COUNTIFS(pg_transaction_cleaned!$O:$O,A211,pg_transaction_cleaned!$F:$F,"REFUND")</f>
        <v>0</v>
      </c>
      <c r="M211" s="39">
        <f>SUMIFS(pg_transaction_cleaned!$H:$H,pg_transaction_cleaned!$O:$O,A211,pg_transaction_cleaned!$F:$F,"REFUND")</f>
        <v>0</v>
      </c>
      <c r="N211" s="23" t="str">
        <f t="shared" si="14"/>
        <v>OK</v>
      </c>
      <c r="O211" s="24">
        <f t="shared" si="15"/>
        <v>0</v>
      </c>
    </row>
    <row r="212" spans="1:15" ht="15" customHeight="1" x14ac:dyDescent="0.3">
      <c r="A212" s="23" t="s">
        <v>767</v>
      </c>
      <c r="B212" s="38">
        <v>46293</v>
      </c>
      <c r="C212" s="23" t="s">
        <v>768</v>
      </c>
      <c r="D212" s="23" t="s">
        <v>88</v>
      </c>
      <c r="E212" s="23" t="s">
        <v>75</v>
      </c>
      <c r="F212" s="23" t="s">
        <v>769</v>
      </c>
      <c r="G212" s="23" t="s">
        <v>250</v>
      </c>
      <c r="H212" s="39">
        <f t="shared" si="12"/>
        <v>1897</v>
      </c>
      <c r="I212" s="23" t="str">
        <f t="shared" si="13"/>
        <v>Lucknow</v>
      </c>
      <c r="J212" s="23">
        <f>COUNTIFS(pg_transaction_cleaned!$O:$O,A212,pg_transaction_cleaned!$F:$F,"CAPTURE")</f>
        <v>1</v>
      </c>
      <c r="K212" s="39">
        <f>SUMIFS(pg_transaction_cleaned!$H:$H,pg_transaction_cleaned!$O:$O,A212,pg_transaction_cleaned!$F:$F,"CAPTURE")</f>
        <v>1897</v>
      </c>
      <c r="L212" s="23">
        <f>COUNTIFS(pg_transaction_cleaned!$O:$O,A212,pg_transaction_cleaned!$F:$F,"REFUND")</f>
        <v>0</v>
      </c>
      <c r="M212" s="39">
        <f>SUMIFS(pg_transaction_cleaned!$H:$H,pg_transaction_cleaned!$O:$O,A212,pg_transaction_cleaned!$F:$F,"REFUND")</f>
        <v>0</v>
      </c>
      <c r="N212" s="23" t="str">
        <f t="shared" si="14"/>
        <v>OK</v>
      </c>
      <c r="O212" s="24">
        <f t="shared" si="15"/>
        <v>0</v>
      </c>
    </row>
    <row r="213" spans="1:15" ht="15" customHeight="1" x14ac:dyDescent="0.3">
      <c r="A213" s="23" t="s">
        <v>770</v>
      </c>
      <c r="B213" s="38">
        <v>46279</v>
      </c>
      <c r="C213" s="23" t="s">
        <v>771</v>
      </c>
      <c r="D213" s="23" t="s">
        <v>87</v>
      </c>
      <c r="E213" s="23" t="s">
        <v>75</v>
      </c>
      <c r="F213" s="23" t="s">
        <v>772</v>
      </c>
      <c r="G213" s="23" t="s">
        <v>250</v>
      </c>
      <c r="H213" s="39">
        <f t="shared" si="12"/>
        <v>4798</v>
      </c>
      <c r="I213" s="23" t="str">
        <f t="shared" si="13"/>
        <v>Mumbai</v>
      </c>
      <c r="J213" s="23">
        <f>COUNTIFS(pg_transaction_cleaned!$O:$O,A213,pg_transaction_cleaned!$F:$F,"CAPTURE")</f>
        <v>1</v>
      </c>
      <c r="K213" s="39">
        <f>SUMIFS(pg_transaction_cleaned!$H:$H,pg_transaction_cleaned!$O:$O,A213,pg_transaction_cleaned!$F:$F,"CAPTURE")</f>
        <v>4798</v>
      </c>
      <c r="L213" s="23">
        <f>COUNTIFS(pg_transaction_cleaned!$O:$O,A213,pg_transaction_cleaned!$F:$F,"REFUND")</f>
        <v>0</v>
      </c>
      <c r="M213" s="39">
        <f>SUMIFS(pg_transaction_cleaned!$H:$H,pg_transaction_cleaned!$O:$O,A213,pg_transaction_cleaned!$F:$F,"REFUND")</f>
        <v>0</v>
      </c>
      <c r="N213" s="23" t="str">
        <f t="shared" si="14"/>
        <v>OK</v>
      </c>
      <c r="O213" s="24">
        <f t="shared" si="15"/>
        <v>0</v>
      </c>
    </row>
    <row r="214" spans="1:15" ht="15" customHeight="1" x14ac:dyDescent="0.3">
      <c r="A214" s="23" t="s">
        <v>773</v>
      </c>
      <c r="B214" s="38">
        <v>46276</v>
      </c>
      <c r="C214" s="23" t="s">
        <v>774</v>
      </c>
      <c r="D214" s="23" t="s">
        <v>91</v>
      </c>
      <c r="E214" s="23" t="s">
        <v>75</v>
      </c>
      <c r="F214" s="23" t="s">
        <v>775</v>
      </c>
      <c r="G214" s="23" t="s">
        <v>318</v>
      </c>
      <c r="H214" s="39">
        <f t="shared" si="12"/>
        <v>4999</v>
      </c>
      <c r="I214" s="23" t="str">
        <f t="shared" si="13"/>
        <v>Pune</v>
      </c>
      <c r="J214" s="23">
        <f>COUNTIFS(pg_transaction_cleaned!$O:$O,A214,pg_transaction_cleaned!$F:$F,"CAPTURE")</f>
        <v>0</v>
      </c>
      <c r="K214" s="39">
        <f>SUMIFS(pg_transaction_cleaned!$H:$H,pg_transaction_cleaned!$O:$O,A214,pg_transaction_cleaned!$F:$F,"CAPTURE")</f>
        <v>0</v>
      </c>
      <c r="L214" s="23">
        <f>COUNTIFS(pg_transaction_cleaned!$O:$O,A214,pg_transaction_cleaned!$F:$F,"REFUND")</f>
        <v>0</v>
      </c>
      <c r="M214" s="39">
        <f>SUMIFS(pg_transaction_cleaned!$H:$H,pg_transaction_cleaned!$O:$O,A214,pg_transaction_cleaned!$F:$F,"REFUND")</f>
        <v>0</v>
      </c>
      <c r="N214" s="23" t="str">
        <f t="shared" si="14"/>
        <v>OK</v>
      </c>
      <c r="O214" s="24">
        <f t="shared" si="15"/>
        <v>0</v>
      </c>
    </row>
    <row r="215" spans="1:15" ht="15" customHeight="1" x14ac:dyDescent="0.3">
      <c r="A215" s="23" t="s">
        <v>776</v>
      </c>
      <c r="B215" s="38">
        <v>46279</v>
      </c>
      <c r="C215" s="23" t="s">
        <v>777</v>
      </c>
      <c r="D215" s="23" t="s">
        <v>93</v>
      </c>
      <c r="E215" s="23" t="s">
        <v>75</v>
      </c>
      <c r="F215" s="23" t="s">
        <v>329</v>
      </c>
      <c r="G215" s="23" t="s">
        <v>250</v>
      </c>
      <c r="H215" s="39">
        <f t="shared" si="12"/>
        <v>599</v>
      </c>
      <c r="I215" s="23" t="str">
        <f t="shared" si="13"/>
        <v>Kolkata</v>
      </c>
      <c r="J215" s="23">
        <f>COUNTIFS(pg_transaction_cleaned!$O:$O,A215,pg_transaction_cleaned!$F:$F,"CAPTURE")</f>
        <v>1</v>
      </c>
      <c r="K215" s="39">
        <f>SUMIFS(pg_transaction_cleaned!$H:$H,pg_transaction_cleaned!$O:$O,A215,pg_transaction_cleaned!$F:$F,"CAPTURE")</f>
        <v>599</v>
      </c>
      <c r="L215" s="23">
        <f>COUNTIFS(pg_transaction_cleaned!$O:$O,A215,pg_transaction_cleaned!$F:$F,"REFUND")</f>
        <v>0</v>
      </c>
      <c r="M215" s="39">
        <f>SUMIFS(pg_transaction_cleaned!$H:$H,pg_transaction_cleaned!$O:$O,A215,pg_transaction_cleaned!$F:$F,"REFUND")</f>
        <v>0</v>
      </c>
      <c r="N215" s="23" t="str">
        <f t="shared" si="14"/>
        <v>OK</v>
      </c>
      <c r="O215" s="24">
        <f t="shared" si="15"/>
        <v>0</v>
      </c>
    </row>
    <row r="216" spans="1:15" ht="15" customHeight="1" x14ac:dyDescent="0.3">
      <c r="A216" s="23" t="s">
        <v>778</v>
      </c>
      <c r="B216" s="38">
        <v>46293</v>
      </c>
      <c r="C216" s="23" t="s">
        <v>779</v>
      </c>
      <c r="D216" s="23" t="s">
        <v>91</v>
      </c>
      <c r="E216" s="23" t="s">
        <v>75</v>
      </c>
      <c r="F216" s="23" t="s">
        <v>291</v>
      </c>
      <c r="G216" s="23" t="s">
        <v>250</v>
      </c>
      <c r="H216" s="39">
        <f t="shared" si="12"/>
        <v>3499</v>
      </c>
      <c r="I216" s="23" t="str">
        <f t="shared" si="13"/>
        <v>Pune</v>
      </c>
      <c r="J216" s="23">
        <f>COUNTIFS(pg_transaction_cleaned!$O:$O,A216,pg_transaction_cleaned!$F:$F,"CAPTURE")</f>
        <v>1</v>
      </c>
      <c r="K216" s="39">
        <f>SUMIFS(pg_transaction_cleaned!$H:$H,pg_transaction_cleaned!$O:$O,A216,pg_transaction_cleaned!$F:$F,"CAPTURE")</f>
        <v>3499</v>
      </c>
      <c r="L216" s="23">
        <f>COUNTIFS(pg_transaction_cleaned!$O:$O,A216,pg_transaction_cleaned!$F:$F,"REFUND")</f>
        <v>0</v>
      </c>
      <c r="M216" s="39">
        <f>SUMIFS(pg_transaction_cleaned!$H:$H,pg_transaction_cleaned!$O:$O,A216,pg_transaction_cleaned!$F:$F,"REFUND")</f>
        <v>0</v>
      </c>
      <c r="N216" s="23" t="str">
        <f t="shared" si="14"/>
        <v>OK</v>
      </c>
      <c r="O216" s="24">
        <f t="shared" si="15"/>
        <v>0</v>
      </c>
    </row>
    <row r="217" spans="1:15" ht="15" customHeight="1" x14ac:dyDescent="0.3">
      <c r="A217" s="23" t="s">
        <v>780</v>
      </c>
      <c r="B217" s="38">
        <v>46282</v>
      </c>
      <c r="C217" s="23" t="s">
        <v>781</v>
      </c>
      <c r="D217" s="23" t="s">
        <v>86</v>
      </c>
      <c r="E217" s="23" t="s">
        <v>79</v>
      </c>
      <c r="F217" s="23" t="s">
        <v>782</v>
      </c>
      <c r="G217" s="23" t="s">
        <v>250</v>
      </c>
      <c r="H217" s="39">
        <f t="shared" si="12"/>
        <v>3947</v>
      </c>
      <c r="I217" s="23" t="str">
        <f t="shared" si="13"/>
        <v>Delhi</v>
      </c>
      <c r="J217" s="23">
        <f>COUNTIFS(pg_transaction_cleaned!$O:$O,A217,pg_transaction_cleaned!$F:$F,"CAPTURE")</f>
        <v>1</v>
      </c>
      <c r="K217" s="39">
        <f>SUMIFS(pg_transaction_cleaned!$H:$H,pg_transaction_cleaned!$O:$O,A217,pg_transaction_cleaned!$F:$F,"CAPTURE")</f>
        <v>3947</v>
      </c>
      <c r="L217" s="23">
        <f>COUNTIFS(pg_transaction_cleaned!$O:$O,A217,pg_transaction_cleaned!$F:$F,"REFUND")</f>
        <v>0</v>
      </c>
      <c r="M217" s="39">
        <f>SUMIFS(pg_transaction_cleaned!$H:$H,pg_transaction_cleaned!$O:$O,A217,pg_transaction_cleaned!$F:$F,"REFUND")</f>
        <v>0</v>
      </c>
      <c r="N217" s="23" t="str">
        <f t="shared" si="14"/>
        <v>OK</v>
      </c>
      <c r="O217" s="24">
        <f t="shared" si="15"/>
        <v>0</v>
      </c>
    </row>
    <row r="218" spans="1:15" ht="15" customHeight="1" x14ac:dyDescent="0.3">
      <c r="A218" s="23" t="s">
        <v>783</v>
      </c>
      <c r="B218" s="38">
        <v>46273</v>
      </c>
      <c r="C218" s="23" t="s">
        <v>784</v>
      </c>
      <c r="D218" s="23" t="s">
        <v>91</v>
      </c>
      <c r="E218" s="23" t="s">
        <v>75</v>
      </c>
      <c r="F218" s="23" t="s">
        <v>262</v>
      </c>
      <c r="G218" s="23" t="s">
        <v>250</v>
      </c>
      <c r="H218" s="39">
        <f t="shared" si="12"/>
        <v>499</v>
      </c>
      <c r="I218" s="23" t="str">
        <f t="shared" si="13"/>
        <v>Pune</v>
      </c>
      <c r="J218" s="23">
        <f>COUNTIFS(pg_transaction_cleaned!$O:$O,A218,pg_transaction_cleaned!$F:$F,"CAPTURE")</f>
        <v>1</v>
      </c>
      <c r="K218" s="39">
        <f>SUMIFS(pg_transaction_cleaned!$H:$H,pg_transaction_cleaned!$O:$O,A218,pg_transaction_cleaned!$F:$F,"CAPTURE")</f>
        <v>499</v>
      </c>
      <c r="L218" s="23">
        <f>COUNTIFS(pg_transaction_cleaned!$O:$O,A218,pg_transaction_cleaned!$F:$F,"REFUND")</f>
        <v>0</v>
      </c>
      <c r="M218" s="39">
        <f>SUMIFS(pg_transaction_cleaned!$H:$H,pg_transaction_cleaned!$O:$O,A218,pg_transaction_cleaned!$F:$F,"REFUND")</f>
        <v>0</v>
      </c>
      <c r="N218" s="23" t="str">
        <f t="shared" si="14"/>
        <v>OK</v>
      </c>
      <c r="O218" s="24">
        <f t="shared" si="15"/>
        <v>0</v>
      </c>
    </row>
    <row r="219" spans="1:15" ht="15" customHeight="1" x14ac:dyDescent="0.3">
      <c r="A219" s="23" t="s">
        <v>785</v>
      </c>
      <c r="B219" s="38">
        <v>46271</v>
      </c>
      <c r="C219" s="23" t="s">
        <v>786</v>
      </c>
      <c r="D219" s="23" t="s">
        <v>88</v>
      </c>
      <c r="E219" s="23" t="s">
        <v>79</v>
      </c>
      <c r="F219" s="23" t="s">
        <v>787</v>
      </c>
      <c r="G219" s="23" t="s">
        <v>250</v>
      </c>
      <c r="H219" s="39">
        <f t="shared" si="12"/>
        <v>7997</v>
      </c>
      <c r="I219" s="23" t="str">
        <f t="shared" si="13"/>
        <v>Lucknow</v>
      </c>
      <c r="J219" s="23">
        <f>COUNTIFS(pg_transaction_cleaned!$O:$O,A219,pg_transaction_cleaned!$F:$F,"CAPTURE")</f>
        <v>1</v>
      </c>
      <c r="K219" s="39">
        <f>SUMIFS(pg_transaction_cleaned!$H:$H,pg_transaction_cleaned!$O:$O,A219,pg_transaction_cleaned!$F:$F,"CAPTURE")</f>
        <v>7997</v>
      </c>
      <c r="L219" s="23">
        <f>COUNTIFS(pg_transaction_cleaned!$O:$O,A219,pg_transaction_cleaned!$F:$F,"REFUND")</f>
        <v>0</v>
      </c>
      <c r="M219" s="39">
        <f>SUMIFS(pg_transaction_cleaned!$H:$H,pg_transaction_cleaned!$O:$O,A219,pg_transaction_cleaned!$F:$F,"REFUND")</f>
        <v>0</v>
      </c>
      <c r="N219" s="23" t="str">
        <f t="shared" si="14"/>
        <v>OK</v>
      </c>
      <c r="O219" s="24">
        <f t="shared" si="15"/>
        <v>0</v>
      </c>
    </row>
    <row r="220" spans="1:15" ht="15" customHeight="1" x14ac:dyDescent="0.3">
      <c r="A220" s="23" t="s">
        <v>788</v>
      </c>
      <c r="B220" s="38">
        <v>46286</v>
      </c>
      <c r="C220" s="23" t="s">
        <v>789</v>
      </c>
      <c r="D220" s="23" t="s">
        <v>91</v>
      </c>
      <c r="E220" s="23" t="s">
        <v>75</v>
      </c>
      <c r="F220" s="23" t="s">
        <v>790</v>
      </c>
      <c r="G220" s="23" t="s">
        <v>301</v>
      </c>
      <c r="H220" s="39">
        <f t="shared" si="12"/>
        <v>11497</v>
      </c>
      <c r="I220" s="23" t="str">
        <f t="shared" si="13"/>
        <v>Pune</v>
      </c>
      <c r="J220" s="23">
        <f>COUNTIFS(pg_transaction_cleaned!$O:$O,A220,pg_transaction_cleaned!$F:$F,"CAPTURE")</f>
        <v>1</v>
      </c>
      <c r="K220" s="39">
        <f>SUMIFS(pg_transaction_cleaned!$H:$H,pg_transaction_cleaned!$O:$O,A220,pg_transaction_cleaned!$F:$F,"CAPTURE")</f>
        <v>11497</v>
      </c>
      <c r="L220" s="23">
        <f>COUNTIFS(pg_transaction_cleaned!$O:$O,A220,pg_transaction_cleaned!$F:$F,"REFUND")</f>
        <v>1</v>
      </c>
      <c r="M220" s="39">
        <f>SUMIFS(pg_transaction_cleaned!$H:$H,pg_transaction_cleaned!$O:$O,A220,pg_transaction_cleaned!$F:$F,"REFUND")</f>
        <v>11497</v>
      </c>
      <c r="N220" s="23" t="str">
        <f t="shared" si="14"/>
        <v>OK</v>
      </c>
      <c r="O220" s="24">
        <f t="shared" si="15"/>
        <v>0</v>
      </c>
    </row>
    <row r="221" spans="1:15" ht="15" customHeight="1" x14ac:dyDescent="0.3">
      <c r="A221" s="23" t="s">
        <v>791</v>
      </c>
      <c r="B221" s="38">
        <v>46281</v>
      </c>
      <c r="C221" s="23" t="s">
        <v>792</v>
      </c>
      <c r="D221" s="23" t="s">
        <v>89</v>
      </c>
      <c r="E221" s="23" t="s">
        <v>79</v>
      </c>
      <c r="F221" s="23" t="s">
        <v>307</v>
      </c>
      <c r="G221" s="23" t="s">
        <v>250</v>
      </c>
      <c r="H221" s="39">
        <f t="shared" si="12"/>
        <v>3798</v>
      </c>
      <c r="I221" s="23" t="str">
        <f t="shared" si="13"/>
        <v>Jaipur</v>
      </c>
      <c r="J221" s="23">
        <f>COUNTIFS(pg_transaction_cleaned!$O:$O,A221,pg_transaction_cleaned!$F:$F,"CAPTURE")</f>
        <v>1</v>
      </c>
      <c r="K221" s="39">
        <f>SUMIFS(pg_transaction_cleaned!$H:$H,pg_transaction_cleaned!$O:$O,A221,pg_transaction_cleaned!$F:$F,"CAPTURE")</f>
        <v>3798</v>
      </c>
      <c r="L221" s="23">
        <f>COUNTIFS(pg_transaction_cleaned!$O:$O,A221,pg_transaction_cleaned!$F:$F,"REFUND")</f>
        <v>0</v>
      </c>
      <c r="M221" s="39">
        <f>SUMIFS(pg_transaction_cleaned!$H:$H,pg_transaction_cleaned!$O:$O,A221,pg_transaction_cleaned!$F:$F,"REFUND")</f>
        <v>0</v>
      </c>
      <c r="N221" s="23" t="str">
        <f t="shared" si="14"/>
        <v>OK</v>
      </c>
      <c r="O221" s="24">
        <f t="shared" si="15"/>
        <v>0</v>
      </c>
    </row>
    <row r="222" spans="1:15" ht="15" customHeight="1" x14ac:dyDescent="0.3">
      <c r="A222" s="23" t="s">
        <v>793</v>
      </c>
      <c r="B222" s="38">
        <v>46268</v>
      </c>
      <c r="C222" s="23" t="s">
        <v>794</v>
      </c>
      <c r="D222" s="23" t="s">
        <v>91</v>
      </c>
      <c r="E222" s="23" t="s">
        <v>75</v>
      </c>
      <c r="F222" s="23" t="s">
        <v>795</v>
      </c>
      <c r="G222" s="23" t="s">
        <v>250</v>
      </c>
      <c r="H222" s="39">
        <f t="shared" si="12"/>
        <v>1499</v>
      </c>
      <c r="I222" s="23" t="str">
        <f t="shared" si="13"/>
        <v>Pune</v>
      </c>
      <c r="J222" s="23">
        <f>COUNTIFS(pg_transaction_cleaned!$O:$O,A222,pg_transaction_cleaned!$F:$F,"CAPTURE")</f>
        <v>1</v>
      </c>
      <c r="K222" s="39">
        <f>SUMIFS(pg_transaction_cleaned!$H:$H,pg_transaction_cleaned!$O:$O,A222,pg_transaction_cleaned!$F:$F,"CAPTURE")</f>
        <v>1499</v>
      </c>
      <c r="L222" s="23">
        <f>COUNTIFS(pg_transaction_cleaned!$O:$O,A222,pg_transaction_cleaned!$F:$F,"REFUND")</f>
        <v>0</v>
      </c>
      <c r="M222" s="39">
        <f>SUMIFS(pg_transaction_cleaned!$H:$H,pg_transaction_cleaned!$O:$O,A222,pg_transaction_cleaned!$F:$F,"REFUND")</f>
        <v>0</v>
      </c>
      <c r="N222" s="23" t="str">
        <f t="shared" si="14"/>
        <v>OK</v>
      </c>
      <c r="O222" s="24">
        <f t="shared" si="15"/>
        <v>0</v>
      </c>
    </row>
    <row r="223" spans="1:15" ht="15" customHeight="1" x14ac:dyDescent="0.3">
      <c r="A223" s="23" t="s">
        <v>796</v>
      </c>
      <c r="B223" s="38">
        <v>46286</v>
      </c>
      <c r="C223" s="23" t="s">
        <v>797</v>
      </c>
      <c r="D223" s="23" t="s">
        <v>89</v>
      </c>
      <c r="E223" s="23" t="s">
        <v>75</v>
      </c>
      <c r="F223" s="23" t="s">
        <v>271</v>
      </c>
      <c r="G223" s="23" t="s">
        <v>250</v>
      </c>
      <c r="H223" s="39">
        <f t="shared" si="12"/>
        <v>2499</v>
      </c>
      <c r="I223" s="23" t="str">
        <f t="shared" si="13"/>
        <v>Jaipur</v>
      </c>
      <c r="J223" s="23">
        <f>COUNTIFS(pg_transaction_cleaned!$O:$O,A223,pg_transaction_cleaned!$F:$F,"CAPTURE")</f>
        <v>1</v>
      </c>
      <c r="K223" s="39">
        <f>SUMIFS(pg_transaction_cleaned!$H:$H,pg_transaction_cleaned!$O:$O,A223,pg_transaction_cleaned!$F:$F,"CAPTURE")</f>
        <v>2499</v>
      </c>
      <c r="L223" s="23">
        <f>COUNTIFS(pg_transaction_cleaned!$O:$O,A223,pg_transaction_cleaned!$F:$F,"REFUND")</f>
        <v>0</v>
      </c>
      <c r="M223" s="39">
        <f>SUMIFS(pg_transaction_cleaned!$H:$H,pg_transaction_cleaned!$O:$O,A223,pg_transaction_cleaned!$F:$F,"REFUND")</f>
        <v>0</v>
      </c>
      <c r="N223" s="23" t="str">
        <f t="shared" si="14"/>
        <v>OK</v>
      </c>
      <c r="O223" s="24">
        <f t="shared" si="15"/>
        <v>0</v>
      </c>
    </row>
    <row r="224" spans="1:15" ht="15" customHeight="1" x14ac:dyDescent="0.3">
      <c r="A224" s="23" t="s">
        <v>798</v>
      </c>
      <c r="B224" s="38">
        <v>46291</v>
      </c>
      <c r="C224" s="23" t="s">
        <v>799</v>
      </c>
      <c r="D224" s="23" t="s">
        <v>90</v>
      </c>
      <c r="E224" s="23" t="s">
        <v>75</v>
      </c>
      <c r="F224" s="23" t="s">
        <v>800</v>
      </c>
      <c r="G224" s="23" t="s">
        <v>250</v>
      </c>
      <c r="H224" s="39">
        <f t="shared" si="12"/>
        <v>6797</v>
      </c>
      <c r="I224" s="23" t="str">
        <f t="shared" si="13"/>
        <v>Ahmedabad</v>
      </c>
      <c r="J224" s="23">
        <f>COUNTIFS(pg_transaction_cleaned!$O:$O,A224,pg_transaction_cleaned!$F:$F,"CAPTURE")</f>
        <v>1</v>
      </c>
      <c r="K224" s="39">
        <f>SUMIFS(pg_transaction_cleaned!$H:$H,pg_transaction_cleaned!$O:$O,A224,pg_transaction_cleaned!$F:$F,"CAPTURE")</f>
        <v>6797</v>
      </c>
      <c r="L224" s="23">
        <f>COUNTIFS(pg_transaction_cleaned!$O:$O,A224,pg_transaction_cleaned!$F:$F,"REFUND")</f>
        <v>0</v>
      </c>
      <c r="M224" s="39">
        <f>SUMIFS(pg_transaction_cleaned!$H:$H,pg_transaction_cleaned!$O:$O,A224,pg_transaction_cleaned!$F:$F,"REFUND")</f>
        <v>0</v>
      </c>
      <c r="N224" s="23" t="str">
        <f t="shared" si="14"/>
        <v>OK</v>
      </c>
      <c r="O224" s="24">
        <f t="shared" si="15"/>
        <v>0</v>
      </c>
    </row>
    <row r="225" spans="1:15" ht="15" customHeight="1" x14ac:dyDescent="0.3">
      <c r="A225" s="23" t="s">
        <v>801</v>
      </c>
      <c r="B225" s="38">
        <v>46282</v>
      </c>
      <c r="C225" s="23" t="s">
        <v>802</v>
      </c>
      <c r="D225" s="23" t="s">
        <v>91</v>
      </c>
      <c r="E225" s="23" t="s">
        <v>81</v>
      </c>
      <c r="F225" s="23" t="s">
        <v>249</v>
      </c>
      <c r="G225" s="23" t="s">
        <v>250</v>
      </c>
      <c r="H225" s="39">
        <f t="shared" si="12"/>
        <v>299</v>
      </c>
      <c r="I225" s="23" t="str">
        <f t="shared" si="13"/>
        <v>Pune</v>
      </c>
      <c r="J225" s="23">
        <f>COUNTIFS(pg_transaction_cleaned!$O:$O,A225,pg_transaction_cleaned!$F:$F,"CAPTURE")</f>
        <v>1</v>
      </c>
      <c r="K225" s="39">
        <f>SUMIFS(pg_transaction_cleaned!$H:$H,pg_transaction_cleaned!$O:$O,A225,pg_transaction_cleaned!$F:$F,"CAPTURE")</f>
        <v>299</v>
      </c>
      <c r="L225" s="23">
        <f>COUNTIFS(pg_transaction_cleaned!$O:$O,A225,pg_transaction_cleaned!$F:$F,"REFUND")</f>
        <v>0</v>
      </c>
      <c r="M225" s="39">
        <f>SUMIFS(pg_transaction_cleaned!$H:$H,pg_transaction_cleaned!$O:$O,A225,pg_transaction_cleaned!$F:$F,"REFUND")</f>
        <v>0</v>
      </c>
      <c r="N225" s="23" t="str">
        <f t="shared" si="14"/>
        <v>OK</v>
      </c>
      <c r="O225" s="24">
        <f t="shared" si="15"/>
        <v>0</v>
      </c>
    </row>
    <row r="226" spans="1:15" ht="15" customHeight="1" x14ac:dyDescent="0.3">
      <c r="A226" s="23" t="s">
        <v>803</v>
      </c>
      <c r="B226" s="38">
        <v>46282</v>
      </c>
      <c r="C226" s="23" t="s">
        <v>804</v>
      </c>
      <c r="D226" s="23" t="s">
        <v>89</v>
      </c>
      <c r="E226" s="23" t="s">
        <v>77</v>
      </c>
      <c r="F226" s="23" t="s">
        <v>805</v>
      </c>
      <c r="G226" s="23" t="s">
        <v>250</v>
      </c>
      <c r="H226" s="39">
        <f t="shared" si="12"/>
        <v>1397</v>
      </c>
      <c r="I226" s="23" t="str">
        <f t="shared" si="13"/>
        <v>Jaipur</v>
      </c>
      <c r="J226" s="23">
        <f>COUNTIFS(pg_transaction_cleaned!$O:$O,A226,pg_transaction_cleaned!$F:$F,"CAPTURE")</f>
        <v>1</v>
      </c>
      <c r="K226" s="39">
        <f>SUMIFS(pg_transaction_cleaned!$H:$H,pg_transaction_cleaned!$O:$O,A226,pg_transaction_cleaned!$F:$F,"CAPTURE")</f>
        <v>1397</v>
      </c>
      <c r="L226" s="23">
        <f>COUNTIFS(pg_transaction_cleaned!$O:$O,A226,pg_transaction_cleaned!$F:$F,"REFUND")</f>
        <v>0</v>
      </c>
      <c r="M226" s="39">
        <f>SUMIFS(pg_transaction_cleaned!$H:$H,pg_transaction_cleaned!$O:$O,A226,pg_transaction_cleaned!$F:$F,"REFUND")</f>
        <v>0</v>
      </c>
      <c r="N226" s="23" t="str">
        <f t="shared" si="14"/>
        <v>OK</v>
      </c>
      <c r="O226" s="24">
        <f t="shared" si="15"/>
        <v>0</v>
      </c>
    </row>
    <row r="227" spans="1:15" ht="15" customHeight="1" x14ac:dyDescent="0.3">
      <c r="A227" s="23" t="s">
        <v>806</v>
      </c>
      <c r="B227" s="38">
        <v>46285</v>
      </c>
      <c r="C227" s="23" t="s">
        <v>807</v>
      </c>
      <c r="D227" s="23" t="s">
        <v>94</v>
      </c>
      <c r="E227" s="23" t="s">
        <v>75</v>
      </c>
      <c r="F227" s="23" t="s">
        <v>265</v>
      </c>
      <c r="G227" s="23" t="s">
        <v>250</v>
      </c>
      <c r="H227" s="39">
        <f t="shared" si="12"/>
        <v>999</v>
      </c>
      <c r="I227" s="23" t="str">
        <f t="shared" si="13"/>
        <v>Chennai</v>
      </c>
      <c r="J227" s="23">
        <f>COUNTIFS(pg_transaction_cleaned!$O:$O,A227,pg_transaction_cleaned!$F:$F,"CAPTURE")</f>
        <v>1</v>
      </c>
      <c r="K227" s="39">
        <f>SUMIFS(pg_transaction_cleaned!$H:$H,pg_transaction_cleaned!$O:$O,A227,pg_transaction_cleaned!$F:$F,"CAPTURE")</f>
        <v>999</v>
      </c>
      <c r="L227" s="23">
        <f>COUNTIFS(pg_transaction_cleaned!$O:$O,A227,pg_transaction_cleaned!$F:$F,"REFUND")</f>
        <v>0</v>
      </c>
      <c r="M227" s="39">
        <f>SUMIFS(pg_transaction_cleaned!$H:$H,pg_transaction_cleaned!$O:$O,A227,pg_transaction_cleaned!$F:$F,"REFUND")</f>
        <v>0</v>
      </c>
      <c r="N227" s="23" t="str">
        <f t="shared" si="14"/>
        <v>OK</v>
      </c>
      <c r="O227" s="24">
        <f t="shared" si="15"/>
        <v>0</v>
      </c>
    </row>
    <row r="228" spans="1:15" ht="15" customHeight="1" x14ac:dyDescent="0.3">
      <c r="A228" s="23" t="s">
        <v>808</v>
      </c>
      <c r="B228" s="38">
        <v>46287</v>
      </c>
      <c r="C228" s="23" t="s">
        <v>809</v>
      </c>
      <c r="D228" s="23" t="s">
        <v>91</v>
      </c>
      <c r="E228" s="23" t="s">
        <v>75</v>
      </c>
      <c r="F228" s="23" t="s">
        <v>717</v>
      </c>
      <c r="G228" s="23" t="s">
        <v>250</v>
      </c>
      <c r="H228" s="39">
        <f t="shared" si="12"/>
        <v>5298</v>
      </c>
      <c r="I228" s="23" t="str">
        <f t="shared" si="13"/>
        <v>Pune</v>
      </c>
      <c r="J228" s="23">
        <f>COUNTIFS(pg_transaction_cleaned!$O:$O,A228,pg_transaction_cleaned!$F:$F,"CAPTURE")</f>
        <v>1</v>
      </c>
      <c r="K228" s="39">
        <f>SUMIFS(pg_transaction_cleaned!$H:$H,pg_transaction_cleaned!$O:$O,A228,pg_transaction_cleaned!$F:$F,"CAPTURE")</f>
        <v>5298</v>
      </c>
      <c r="L228" s="23">
        <f>COUNTIFS(pg_transaction_cleaned!$O:$O,A228,pg_transaction_cleaned!$F:$F,"REFUND")</f>
        <v>0</v>
      </c>
      <c r="M228" s="39">
        <f>SUMIFS(pg_transaction_cleaned!$H:$H,pg_transaction_cleaned!$O:$O,A228,pg_transaction_cleaned!$F:$F,"REFUND")</f>
        <v>0</v>
      </c>
      <c r="N228" s="23" t="str">
        <f t="shared" si="14"/>
        <v>OK</v>
      </c>
      <c r="O228" s="24">
        <f t="shared" si="15"/>
        <v>0</v>
      </c>
    </row>
    <row r="229" spans="1:15" ht="15" customHeight="1" x14ac:dyDescent="0.3">
      <c r="A229" s="23" t="s">
        <v>810</v>
      </c>
      <c r="B229" s="38">
        <v>46283</v>
      </c>
      <c r="C229" s="23" t="s">
        <v>811</v>
      </c>
      <c r="D229" s="23" t="s">
        <v>86</v>
      </c>
      <c r="E229" s="23" t="s">
        <v>79</v>
      </c>
      <c r="F229" s="23" t="s">
        <v>812</v>
      </c>
      <c r="G229" s="23" t="s">
        <v>250</v>
      </c>
      <c r="H229" s="39">
        <f t="shared" si="12"/>
        <v>2897</v>
      </c>
      <c r="I229" s="23" t="str">
        <f t="shared" si="13"/>
        <v>Delhi</v>
      </c>
      <c r="J229" s="23">
        <f>COUNTIFS(pg_transaction_cleaned!$O:$O,A229,pg_transaction_cleaned!$F:$F,"CAPTURE")</f>
        <v>1</v>
      </c>
      <c r="K229" s="39">
        <f>SUMIFS(pg_transaction_cleaned!$H:$H,pg_transaction_cleaned!$O:$O,A229,pg_transaction_cleaned!$F:$F,"CAPTURE")</f>
        <v>2897</v>
      </c>
      <c r="L229" s="23">
        <f>COUNTIFS(pg_transaction_cleaned!$O:$O,A229,pg_transaction_cleaned!$F:$F,"REFUND")</f>
        <v>0</v>
      </c>
      <c r="M229" s="39">
        <f>SUMIFS(pg_transaction_cleaned!$H:$H,pg_transaction_cleaned!$O:$O,A229,pg_transaction_cleaned!$F:$F,"REFUND")</f>
        <v>0</v>
      </c>
      <c r="N229" s="23" t="str">
        <f t="shared" si="14"/>
        <v>OK</v>
      </c>
      <c r="O229" s="24">
        <f t="shared" si="15"/>
        <v>0</v>
      </c>
    </row>
    <row r="230" spans="1:15" ht="15" customHeight="1" x14ac:dyDescent="0.3">
      <c r="A230" s="23" t="s">
        <v>813</v>
      </c>
      <c r="B230" s="38">
        <v>46276</v>
      </c>
      <c r="C230" s="23" t="s">
        <v>814</v>
      </c>
      <c r="D230" s="23" t="s">
        <v>93</v>
      </c>
      <c r="E230" s="23" t="s">
        <v>77</v>
      </c>
      <c r="F230" s="23" t="s">
        <v>271</v>
      </c>
      <c r="G230" s="23" t="s">
        <v>250</v>
      </c>
      <c r="H230" s="39">
        <f t="shared" si="12"/>
        <v>2499</v>
      </c>
      <c r="I230" s="23" t="str">
        <f t="shared" si="13"/>
        <v>Kolkata</v>
      </c>
      <c r="J230" s="23">
        <f>COUNTIFS(pg_transaction_cleaned!$O:$O,A230,pg_transaction_cleaned!$F:$F,"CAPTURE")</f>
        <v>1</v>
      </c>
      <c r="K230" s="39">
        <f>SUMIFS(pg_transaction_cleaned!$H:$H,pg_transaction_cleaned!$O:$O,A230,pg_transaction_cleaned!$F:$F,"CAPTURE")</f>
        <v>2499</v>
      </c>
      <c r="L230" s="23">
        <f>COUNTIFS(pg_transaction_cleaned!$O:$O,A230,pg_transaction_cleaned!$F:$F,"REFUND")</f>
        <v>0</v>
      </c>
      <c r="M230" s="39">
        <f>SUMIFS(pg_transaction_cleaned!$H:$H,pg_transaction_cleaned!$O:$O,A230,pg_transaction_cleaned!$F:$F,"REFUND")</f>
        <v>0</v>
      </c>
      <c r="N230" s="23" t="str">
        <f t="shared" si="14"/>
        <v>OK</v>
      </c>
      <c r="O230" s="24">
        <f t="shared" si="15"/>
        <v>0</v>
      </c>
    </row>
    <row r="231" spans="1:15" ht="15" customHeight="1" x14ac:dyDescent="0.3">
      <c r="A231" s="23" t="s">
        <v>815</v>
      </c>
      <c r="B231" s="38">
        <v>46270</v>
      </c>
      <c r="C231" s="23" t="s">
        <v>816</v>
      </c>
      <c r="D231" s="23" t="s">
        <v>86</v>
      </c>
      <c r="E231" s="23" t="s">
        <v>75</v>
      </c>
      <c r="F231" s="23" t="s">
        <v>724</v>
      </c>
      <c r="G231" s="23" t="s">
        <v>250</v>
      </c>
      <c r="H231" s="39">
        <f t="shared" si="12"/>
        <v>3848</v>
      </c>
      <c r="I231" s="23" t="str">
        <f t="shared" si="13"/>
        <v>Delhi</v>
      </c>
      <c r="J231" s="23">
        <f>COUNTIFS(pg_transaction_cleaned!$O:$O,A231,pg_transaction_cleaned!$F:$F,"CAPTURE")</f>
        <v>1</v>
      </c>
      <c r="K231" s="39">
        <f>SUMIFS(pg_transaction_cleaned!$H:$H,pg_transaction_cleaned!$O:$O,A231,pg_transaction_cleaned!$F:$F,"CAPTURE")</f>
        <v>3848</v>
      </c>
      <c r="L231" s="23">
        <f>COUNTIFS(pg_transaction_cleaned!$O:$O,A231,pg_transaction_cleaned!$F:$F,"REFUND")</f>
        <v>0</v>
      </c>
      <c r="M231" s="39">
        <f>SUMIFS(pg_transaction_cleaned!$H:$H,pg_transaction_cleaned!$O:$O,A231,pg_transaction_cleaned!$F:$F,"REFUND")</f>
        <v>0</v>
      </c>
      <c r="N231" s="23" t="str">
        <f t="shared" si="14"/>
        <v>OK</v>
      </c>
      <c r="O231" s="24">
        <f t="shared" si="15"/>
        <v>0</v>
      </c>
    </row>
    <row r="232" spans="1:15" ht="15" customHeight="1" x14ac:dyDescent="0.3">
      <c r="A232" s="23" t="s">
        <v>817</v>
      </c>
      <c r="B232" s="38">
        <v>46287</v>
      </c>
      <c r="C232" s="23" t="s">
        <v>818</v>
      </c>
      <c r="D232" s="23" t="s">
        <v>93</v>
      </c>
      <c r="E232" s="23" t="s">
        <v>75</v>
      </c>
      <c r="F232" s="23" t="s">
        <v>819</v>
      </c>
      <c r="G232" s="23" t="s">
        <v>365</v>
      </c>
      <c r="H232" s="39">
        <f t="shared" si="12"/>
        <v>14497</v>
      </c>
      <c r="I232" s="23" t="str">
        <f t="shared" si="13"/>
        <v>Kolkata</v>
      </c>
      <c r="J232" s="23">
        <f>COUNTIFS(pg_transaction_cleaned!$O:$O,A232,pg_transaction_cleaned!$F:$F,"CAPTURE")</f>
        <v>0</v>
      </c>
      <c r="K232" s="39">
        <f>SUMIFS(pg_transaction_cleaned!$H:$H,pg_transaction_cleaned!$O:$O,A232,pg_transaction_cleaned!$F:$F,"CAPTURE")</f>
        <v>0</v>
      </c>
      <c r="L232" s="23">
        <f>COUNTIFS(pg_transaction_cleaned!$O:$O,A232,pg_transaction_cleaned!$F:$F,"REFUND")</f>
        <v>0</v>
      </c>
      <c r="M232" s="39">
        <f>SUMIFS(pg_transaction_cleaned!$H:$H,pg_transaction_cleaned!$O:$O,A232,pg_transaction_cleaned!$F:$F,"REFUND")</f>
        <v>0</v>
      </c>
      <c r="N232" s="23" t="str">
        <f t="shared" si="14"/>
        <v>OK</v>
      </c>
      <c r="O232" s="24">
        <f t="shared" si="15"/>
        <v>0</v>
      </c>
    </row>
    <row r="233" spans="1:15" ht="15" customHeight="1" x14ac:dyDescent="0.3">
      <c r="A233" s="23" t="s">
        <v>820</v>
      </c>
      <c r="B233" s="38">
        <v>46282</v>
      </c>
      <c r="C233" s="23" t="s">
        <v>821</v>
      </c>
      <c r="D233" s="23" t="s">
        <v>94</v>
      </c>
      <c r="E233" s="23" t="s">
        <v>75</v>
      </c>
      <c r="F233" s="23" t="s">
        <v>249</v>
      </c>
      <c r="G233" s="23" t="s">
        <v>250</v>
      </c>
      <c r="H233" s="39">
        <f t="shared" si="12"/>
        <v>299</v>
      </c>
      <c r="I233" s="23" t="str">
        <f t="shared" si="13"/>
        <v>Chennai</v>
      </c>
      <c r="J233" s="23">
        <f>COUNTIFS(pg_transaction_cleaned!$O:$O,A233,pg_transaction_cleaned!$F:$F,"CAPTURE")</f>
        <v>1</v>
      </c>
      <c r="K233" s="39">
        <f>SUMIFS(pg_transaction_cleaned!$H:$H,pg_transaction_cleaned!$O:$O,A233,pg_transaction_cleaned!$F:$F,"CAPTURE")</f>
        <v>299</v>
      </c>
      <c r="L233" s="23">
        <f>COUNTIFS(pg_transaction_cleaned!$O:$O,A233,pg_transaction_cleaned!$F:$F,"REFUND")</f>
        <v>0</v>
      </c>
      <c r="M233" s="39">
        <f>SUMIFS(pg_transaction_cleaned!$H:$H,pg_transaction_cleaned!$O:$O,A233,pg_transaction_cleaned!$F:$F,"REFUND")</f>
        <v>0</v>
      </c>
      <c r="N233" s="23" t="str">
        <f t="shared" si="14"/>
        <v>OK</v>
      </c>
      <c r="O233" s="24">
        <f t="shared" si="15"/>
        <v>0</v>
      </c>
    </row>
    <row r="234" spans="1:15" ht="15" customHeight="1" x14ac:dyDescent="0.3">
      <c r="A234" s="23" t="s">
        <v>822</v>
      </c>
      <c r="B234" s="38">
        <v>46290</v>
      </c>
      <c r="C234" s="23" t="s">
        <v>823</v>
      </c>
      <c r="D234" s="23" t="s">
        <v>91</v>
      </c>
      <c r="E234" s="23" t="s">
        <v>75</v>
      </c>
      <c r="F234" s="23" t="s">
        <v>824</v>
      </c>
      <c r="G234" s="23" t="s">
        <v>301</v>
      </c>
      <c r="H234" s="39">
        <f t="shared" si="12"/>
        <v>1198</v>
      </c>
      <c r="I234" s="23" t="str">
        <f t="shared" si="13"/>
        <v>Pune</v>
      </c>
      <c r="J234" s="23">
        <f>COUNTIFS(pg_transaction_cleaned!$O:$O,A234,pg_transaction_cleaned!$F:$F,"CAPTURE")</f>
        <v>1</v>
      </c>
      <c r="K234" s="39">
        <f>SUMIFS(pg_transaction_cleaned!$H:$H,pg_transaction_cleaned!$O:$O,A234,pg_transaction_cleaned!$F:$F,"CAPTURE")</f>
        <v>1198</v>
      </c>
      <c r="L234" s="23">
        <f>COUNTIFS(pg_transaction_cleaned!$O:$O,A234,pg_transaction_cleaned!$F:$F,"REFUND")</f>
        <v>1</v>
      </c>
      <c r="M234" s="39">
        <f>SUMIFS(pg_transaction_cleaned!$H:$H,pg_transaction_cleaned!$O:$O,A234,pg_transaction_cleaned!$F:$F,"REFUND")</f>
        <v>1198</v>
      </c>
      <c r="N234" s="23" t="str">
        <f t="shared" si="14"/>
        <v>OK</v>
      </c>
      <c r="O234" s="24">
        <f t="shared" si="15"/>
        <v>0</v>
      </c>
    </row>
    <row r="235" spans="1:15" ht="15" customHeight="1" x14ac:dyDescent="0.3">
      <c r="A235" s="23" t="s">
        <v>825</v>
      </c>
      <c r="B235" s="38">
        <v>46282</v>
      </c>
      <c r="C235" s="23" t="s">
        <v>826</v>
      </c>
      <c r="D235" s="23" t="s">
        <v>88</v>
      </c>
      <c r="E235" s="23" t="s">
        <v>75</v>
      </c>
      <c r="F235" s="23" t="s">
        <v>827</v>
      </c>
      <c r="G235" s="23" t="s">
        <v>365</v>
      </c>
      <c r="H235" s="39">
        <f t="shared" si="12"/>
        <v>11498</v>
      </c>
      <c r="I235" s="23" t="str">
        <f t="shared" si="13"/>
        <v>Lucknow</v>
      </c>
      <c r="J235" s="23">
        <f>COUNTIFS(pg_transaction_cleaned!$O:$O,A235,pg_transaction_cleaned!$F:$F,"CAPTURE")</f>
        <v>0</v>
      </c>
      <c r="K235" s="39">
        <f>SUMIFS(pg_transaction_cleaned!$H:$H,pg_transaction_cleaned!$O:$O,A235,pg_transaction_cleaned!$F:$F,"CAPTURE")</f>
        <v>0</v>
      </c>
      <c r="L235" s="23">
        <f>COUNTIFS(pg_transaction_cleaned!$O:$O,A235,pg_transaction_cleaned!$F:$F,"REFUND")</f>
        <v>0</v>
      </c>
      <c r="M235" s="39">
        <f>SUMIFS(pg_transaction_cleaned!$H:$H,pg_transaction_cleaned!$O:$O,A235,pg_transaction_cleaned!$F:$F,"REFUND")</f>
        <v>0</v>
      </c>
      <c r="N235" s="23" t="str">
        <f t="shared" si="14"/>
        <v>OK</v>
      </c>
      <c r="O235" s="24">
        <f t="shared" si="15"/>
        <v>0</v>
      </c>
    </row>
    <row r="236" spans="1:15" ht="15" customHeight="1" x14ac:dyDescent="0.3">
      <c r="A236" s="23" t="s">
        <v>828</v>
      </c>
      <c r="B236" s="38">
        <v>46270</v>
      </c>
      <c r="C236" s="23" t="s">
        <v>829</v>
      </c>
      <c r="D236" s="23"/>
      <c r="E236" s="23" t="s">
        <v>81</v>
      </c>
      <c r="F236" s="23" t="s">
        <v>349</v>
      </c>
      <c r="G236" s="23" t="s">
        <v>250</v>
      </c>
      <c r="H236" s="39">
        <f t="shared" si="12"/>
        <v>1798</v>
      </c>
      <c r="I236" s="23" t="str">
        <f t="shared" si="13"/>
        <v>Unknown</v>
      </c>
      <c r="J236" s="23">
        <f>COUNTIFS(pg_transaction_cleaned!$O:$O,A236,pg_transaction_cleaned!$F:$F,"CAPTURE")</f>
        <v>1</v>
      </c>
      <c r="K236" s="39">
        <f>SUMIFS(pg_transaction_cleaned!$H:$H,pg_transaction_cleaned!$O:$O,A236,pg_transaction_cleaned!$F:$F,"CAPTURE")</f>
        <v>1798</v>
      </c>
      <c r="L236" s="23">
        <f>COUNTIFS(pg_transaction_cleaned!$O:$O,A236,pg_transaction_cleaned!$F:$F,"REFUND")</f>
        <v>0</v>
      </c>
      <c r="M236" s="39">
        <f>SUMIFS(pg_transaction_cleaned!$H:$H,pg_transaction_cleaned!$O:$O,A236,pg_transaction_cleaned!$F:$F,"REFUND")</f>
        <v>0</v>
      </c>
      <c r="N236" s="23" t="str">
        <f t="shared" si="14"/>
        <v>OK</v>
      </c>
      <c r="O236" s="24">
        <f t="shared" si="15"/>
        <v>0</v>
      </c>
    </row>
    <row r="237" spans="1:15" ht="15" customHeight="1" x14ac:dyDescent="0.3">
      <c r="A237" s="23" t="s">
        <v>830</v>
      </c>
      <c r="B237" s="38">
        <v>46289</v>
      </c>
      <c r="C237" s="23" t="s">
        <v>831</v>
      </c>
      <c r="D237" s="23" t="s">
        <v>88</v>
      </c>
      <c r="E237" s="23" t="s">
        <v>79</v>
      </c>
      <c r="F237" s="23" t="s">
        <v>357</v>
      </c>
      <c r="G237" s="23" t="s">
        <v>250</v>
      </c>
      <c r="H237" s="39">
        <f t="shared" si="12"/>
        <v>1598</v>
      </c>
      <c r="I237" s="23" t="str">
        <f t="shared" si="13"/>
        <v>Lucknow</v>
      </c>
      <c r="J237" s="23">
        <f>COUNTIFS(pg_transaction_cleaned!$O:$O,A237,pg_transaction_cleaned!$F:$F,"CAPTURE")</f>
        <v>1</v>
      </c>
      <c r="K237" s="39">
        <f>SUMIFS(pg_transaction_cleaned!$H:$H,pg_transaction_cleaned!$O:$O,A237,pg_transaction_cleaned!$F:$F,"CAPTURE")</f>
        <v>1598</v>
      </c>
      <c r="L237" s="23">
        <f>COUNTIFS(pg_transaction_cleaned!$O:$O,A237,pg_transaction_cleaned!$F:$F,"REFUND")</f>
        <v>0</v>
      </c>
      <c r="M237" s="39">
        <f>SUMIFS(pg_transaction_cleaned!$H:$H,pg_transaction_cleaned!$O:$O,A237,pg_transaction_cleaned!$F:$F,"REFUND")</f>
        <v>0</v>
      </c>
      <c r="N237" s="23" t="str">
        <f t="shared" si="14"/>
        <v>OK</v>
      </c>
      <c r="O237" s="24">
        <f t="shared" si="15"/>
        <v>0</v>
      </c>
    </row>
    <row r="238" spans="1:15" ht="15" customHeight="1" x14ac:dyDescent="0.3">
      <c r="A238" s="23" t="s">
        <v>832</v>
      </c>
      <c r="B238" s="38">
        <v>46275</v>
      </c>
      <c r="C238" s="23" t="s">
        <v>833</v>
      </c>
      <c r="D238" s="23" t="s">
        <v>95</v>
      </c>
      <c r="E238" s="23" t="s">
        <v>75</v>
      </c>
      <c r="F238" s="23" t="s">
        <v>834</v>
      </c>
      <c r="G238" s="23" t="s">
        <v>250</v>
      </c>
      <c r="H238" s="39">
        <f t="shared" si="12"/>
        <v>7097</v>
      </c>
      <c r="I238" s="23" t="str">
        <f t="shared" si="13"/>
        <v>Bengaluru</v>
      </c>
      <c r="J238" s="23">
        <f>COUNTIFS(pg_transaction_cleaned!$O:$O,A238,pg_transaction_cleaned!$F:$F,"CAPTURE")</f>
        <v>1</v>
      </c>
      <c r="K238" s="39">
        <f>SUMIFS(pg_transaction_cleaned!$H:$H,pg_transaction_cleaned!$O:$O,A238,pg_transaction_cleaned!$F:$F,"CAPTURE")</f>
        <v>7097</v>
      </c>
      <c r="L238" s="23">
        <f>COUNTIFS(pg_transaction_cleaned!$O:$O,A238,pg_transaction_cleaned!$F:$F,"REFUND")</f>
        <v>0</v>
      </c>
      <c r="M238" s="39">
        <f>SUMIFS(pg_transaction_cleaned!$H:$H,pg_transaction_cleaned!$O:$O,A238,pg_transaction_cleaned!$F:$F,"REFUND")</f>
        <v>0</v>
      </c>
      <c r="N238" s="23" t="str">
        <f t="shared" si="14"/>
        <v>OK</v>
      </c>
      <c r="O238" s="24">
        <f t="shared" si="15"/>
        <v>0</v>
      </c>
    </row>
    <row r="239" spans="1:15" ht="15" customHeight="1" x14ac:dyDescent="0.3">
      <c r="A239" s="23" t="s">
        <v>835</v>
      </c>
      <c r="B239" s="38">
        <v>46277</v>
      </c>
      <c r="C239" s="23" t="s">
        <v>836</v>
      </c>
      <c r="D239" s="23" t="s">
        <v>89</v>
      </c>
      <c r="E239" s="23" t="s">
        <v>79</v>
      </c>
      <c r="F239" s="23" t="s">
        <v>837</v>
      </c>
      <c r="G239" s="23" t="s">
        <v>250</v>
      </c>
      <c r="H239" s="39">
        <f t="shared" si="12"/>
        <v>5497</v>
      </c>
      <c r="I239" s="23" t="str">
        <f t="shared" si="13"/>
        <v>Jaipur</v>
      </c>
      <c r="J239" s="23">
        <f>COUNTIFS(pg_transaction_cleaned!$O:$O,A239,pg_transaction_cleaned!$F:$F,"CAPTURE")</f>
        <v>1</v>
      </c>
      <c r="K239" s="39">
        <f>SUMIFS(pg_transaction_cleaned!$H:$H,pg_transaction_cleaned!$O:$O,A239,pg_transaction_cleaned!$F:$F,"CAPTURE")</f>
        <v>5497</v>
      </c>
      <c r="L239" s="23">
        <f>COUNTIFS(pg_transaction_cleaned!$O:$O,A239,pg_transaction_cleaned!$F:$F,"REFUND")</f>
        <v>0</v>
      </c>
      <c r="M239" s="39">
        <f>SUMIFS(pg_transaction_cleaned!$H:$H,pg_transaction_cleaned!$O:$O,A239,pg_transaction_cleaned!$F:$F,"REFUND")</f>
        <v>0</v>
      </c>
      <c r="N239" s="23" t="str">
        <f t="shared" si="14"/>
        <v>OK</v>
      </c>
      <c r="O239" s="24">
        <f t="shared" si="15"/>
        <v>0</v>
      </c>
    </row>
    <row r="240" spans="1:15" ht="15" customHeight="1" x14ac:dyDescent="0.3">
      <c r="A240" s="23" t="s">
        <v>838</v>
      </c>
      <c r="B240" s="38">
        <v>46279</v>
      </c>
      <c r="C240" s="23" t="s">
        <v>839</v>
      </c>
      <c r="D240" s="23" t="s">
        <v>87</v>
      </c>
      <c r="E240" s="23" t="s">
        <v>79</v>
      </c>
      <c r="F240" s="23" t="s">
        <v>310</v>
      </c>
      <c r="G240" s="23" t="s">
        <v>250</v>
      </c>
      <c r="H240" s="39">
        <f t="shared" si="12"/>
        <v>7999</v>
      </c>
      <c r="I240" s="23" t="str">
        <f t="shared" si="13"/>
        <v>Mumbai</v>
      </c>
      <c r="J240" s="23">
        <f>COUNTIFS(pg_transaction_cleaned!$O:$O,A240,pg_transaction_cleaned!$F:$F,"CAPTURE")</f>
        <v>1</v>
      </c>
      <c r="K240" s="39">
        <f>SUMIFS(pg_transaction_cleaned!$H:$H,pg_transaction_cleaned!$O:$O,A240,pg_transaction_cleaned!$F:$F,"CAPTURE")</f>
        <v>7999</v>
      </c>
      <c r="L240" s="23">
        <f>COUNTIFS(pg_transaction_cleaned!$O:$O,A240,pg_transaction_cleaned!$F:$F,"REFUND")</f>
        <v>0</v>
      </c>
      <c r="M240" s="39">
        <f>SUMIFS(pg_transaction_cleaned!$H:$H,pg_transaction_cleaned!$O:$O,A240,pg_transaction_cleaned!$F:$F,"REFUND")</f>
        <v>0</v>
      </c>
      <c r="N240" s="23" t="str">
        <f t="shared" si="14"/>
        <v>OK</v>
      </c>
      <c r="O240" s="24">
        <f t="shared" si="15"/>
        <v>0</v>
      </c>
    </row>
    <row r="241" spans="1:15" ht="15" customHeight="1" x14ac:dyDescent="0.3">
      <c r="A241" s="23" t="s">
        <v>840</v>
      </c>
      <c r="B241" s="38">
        <v>46286</v>
      </c>
      <c r="C241" s="23" t="s">
        <v>841</v>
      </c>
      <c r="D241" s="23" t="s">
        <v>91</v>
      </c>
      <c r="E241" s="23" t="s">
        <v>75</v>
      </c>
      <c r="F241" s="23" t="s">
        <v>842</v>
      </c>
      <c r="G241" s="23" t="s">
        <v>250</v>
      </c>
      <c r="H241" s="39">
        <f t="shared" si="12"/>
        <v>8998</v>
      </c>
      <c r="I241" s="23" t="str">
        <f t="shared" si="13"/>
        <v>Pune</v>
      </c>
      <c r="J241" s="23">
        <f>COUNTIFS(pg_transaction_cleaned!$O:$O,A241,pg_transaction_cleaned!$F:$F,"CAPTURE")</f>
        <v>1</v>
      </c>
      <c r="K241" s="39">
        <f>SUMIFS(pg_transaction_cleaned!$H:$H,pg_transaction_cleaned!$O:$O,A241,pg_transaction_cleaned!$F:$F,"CAPTURE")</f>
        <v>8998</v>
      </c>
      <c r="L241" s="23">
        <f>COUNTIFS(pg_transaction_cleaned!$O:$O,A241,pg_transaction_cleaned!$F:$F,"REFUND")</f>
        <v>0</v>
      </c>
      <c r="M241" s="39">
        <f>SUMIFS(pg_transaction_cleaned!$H:$H,pg_transaction_cleaned!$O:$O,A241,pg_transaction_cleaned!$F:$F,"REFUND")</f>
        <v>0</v>
      </c>
      <c r="N241" s="23" t="str">
        <f t="shared" si="14"/>
        <v>OK</v>
      </c>
      <c r="O241" s="24">
        <f t="shared" si="15"/>
        <v>0</v>
      </c>
    </row>
    <row r="242" spans="1:15" ht="15" customHeight="1" x14ac:dyDescent="0.3">
      <c r="A242" s="23" t="s">
        <v>843</v>
      </c>
      <c r="B242" s="38">
        <v>46275</v>
      </c>
      <c r="C242" s="23" t="s">
        <v>844</v>
      </c>
      <c r="D242" s="23" t="s">
        <v>86</v>
      </c>
      <c r="E242" s="23" t="s">
        <v>75</v>
      </c>
      <c r="F242" s="23" t="s">
        <v>297</v>
      </c>
      <c r="G242" s="23" t="s">
        <v>250</v>
      </c>
      <c r="H242" s="39">
        <f t="shared" si="12"/>
        <v>4999</v>
      </c>
      <c r="I242" s="23" t="str">
        <f t="shared" si="13"/>
        <v>Delhi</v>
      </c>
      <c r="J242" s="23">
        <f>COUNTIFS(pg_transaction_cleaned!$O:$O,A242,pg_transaction_cleaned!$F:$F,"CAPTURE")</f>
        <v>1</v>
      </c>
      <c r="K242" s="39">
        <f>SUMIFS(pg_transaction_cleaned!$H:$H,pg_transaction_cleaned!$O:$O,A242,pg_transaction_cleaned!$F:$F,"CAPTURE")</f>
        <v>4999</v>
      </c>
      <c r="L242" s="23">
        <f>COUNTIFS(pg_transaction_cleaned!$O:$O,A242,pg_transaction_cleaned!$F:$F,"REFUND")</f>
        <v>0</v>
      </c>
      <c r="M242" s="39">
        <f>SUMIFS(pg_transaction_cleaned!$H:$H,pg_transaction_cleaned!$O:$O,A242,pg_transaction_cleaned!$F:$F,"REFUND")</f>
        <v>0</v>
      </c>
      <c r="N242" s="23" t="str">
        <f t="shared" si="14"/>
        <v>OK</v>
      </c>
      <c r="O242" s="24">
        <f t="shared" si="15"/>
        <v>0</v>
      </c>
    </row>
    <row r="243" spans="1:15" ht="15" customHeight="1" x14ac:dyDescent="0.3">
      <c r="A243" s="23" t="s">
        <v>845</v>
      </c>
      <c r="B243" s="38">
        <v>46292</v>
      </c>
      <c r="C243" s="23" t="s">
        <v>846</v>
      </c>
      <c r="D243" s="23" t="s">
        <v>93</v>
      </c>
      <c r="E243" s="23" t="s">
        <v>77</v>
      </c>
      <c r="F243" s="23" t="s">
        <v>632</v>
      </c>
      <c r="G243" s="23" t="s">
        <v>250</v>
      </c>
      <c r="H243" s="39">
        <f t="shared" si="12"/>
        <v>948</v>
      </c>
      <c r="I243" s="23" t="str">
        <f t="shared" si="13"/>
        <v>Kolkata</v>
      </c>
      <c r="J243" s="23">
        <f>COUNTIFS(pg_transaction_cleaned!$O:$O,A243,pg_transaction_cleaned!$F:$F,"CAPTURE")</f>
        <v>1</v>
      </c>
      <c r="K243" s="39">
        <f>SUMIFS(pg_transaction_cleaned!$H:$H,pg_transaction_cleaned!$O:$O,A243,pg_transaction_cleaned!$F:$F,"CAPTURE")</f>
        <v>948</v>
      </c>
      <c r="L243" s="23">
        <f>COUNTIFS(pg_transaction_cleaned!$O:$O,A243,pg_transaction_cleaned!$F:$F,"REFUND")</f>
        <v>0</v>
      </c>
      <c r="M243" s="39">
        <f>SUMIFS(pg_transaction_cleaned!$H:$H,pg_transaction_cleaned!$O:$O,A243,pg_transaction_cleaned!$F:$F,"REFUND")</f>
        <v>0</v>
      </c>
      <c r="N243" s="23" t="str">
        <f t="shared" si="14"/>
        <v>OK</v>
      </c>
      <c r="O243" s="24">
        <f t="shared" si="15"/>
        <v>0</v>
      </c>
    </row>
    <row r="244" spans="1:15" ht="15" customHeight="1" x14ac:dyDescent="0.3">
      <c r="A244" s="23" t="s">
        <v>847</v>
      </c>
      <c r="B244" s="38">
        <v>46267</v>
      </c>
      <c r="C244" s="23" t="s">
        <v>848</v>
      </c>
      <c r="D244" s="23" t="s">
        <v>95</v>
      </c>
      <c r="E244" s="23" t="s">
        <v>77</v>
      </c>
      <c r="F244" s="23" t="s">
        <v>553</v>
      </c>
      <c r="G244" s="23" t="s">
        <v>250</v>
      </c>
      <c r="H244" s="39">
        <f t="shared" si="12"/>
        <v>2798</v>
      </c>
      <c r="I244" s="23" t="str">
        <f t="shared" si="13"/>
        <v>Bengaluru</v>
      </c>
      <c r="J244" s="23">
        <f>COUNTIFS(pg_transaction_cleaned!$O:$O,A244,pg_transaction_cleaned!$F:$F,"CAPTURE")</f>
        <v>1</v>
      </c>
      <c r="K244" s="39">
        <f>SUMIFS(pg_transaction_cleaned!$H:$H,pg_transaction_cleaned!$O:$O,A244,pg_transaction_cleaned!$F:$F,"CAPTURE")</f>
        <v>2798</v>
      </c>
      <c r="L244" s="23">
        <f>COUNTIFS(pg_transaction_cleaned!$O:$O,A244,pg_transaction_cleaned!$F:$F,"REFUND")</f>
        <v>0</v>
      </c>
      <c r="M244" s="39">
        <f>SUMIFS(pg_transaction_cleaned!$H:$H,pg_transaction_cleaned!$O:$O,A244,pg_transaction_cleaned!$F:$F,"REFUND")</f>
        <v>0</v>
      </c>
      <c r="N244" s="23" t="str">
        <f t="shared" si="14"/>
        <v>OK</v>
      </c>
      <c r="O244" s="24">
        <f t="shared" si="15"/>
        <v>0</v>
      </c>
    </row>
    <row r="245" spans="1:15" ht="15" customHeight="1" x14ac:dyDescent="0.3">
      <c r="A245" s="23" t="s">
        <v>849</v>
      </c>
      <c r="B245" s="38">
        <v>46266</v>
      </c>
      <c r="C245" s="23" t="s">
        <v>850</v>
      </c>
      <c r="D245" s="23" t="s">
        <v>86</v>
      </c>
      <c r="E245" s="23" t="s">
        <v>79</v>
      </c>
      <c r="F245" s="23" t="s">
        <v>274</v>
      </c>
      <c r="G245" s="23" t="s">
        <v>250</v>
      </c>
      <c r="H245" s="39">
        <f t="shared" si="12"/>
        <v>349</v>
      </c>
      <c r="I245" s="23" t="str">
        <f t="shared" si="13"/>
        <v>Delhi</v>
      </c>
      <c r="J245" s="23">
        <f>COUNTIFS(pg_transaction_cleaned!$O:$O,A245,pg_transaction_cleaned!$F:$F,"CAPTURE")</f>
        <v>1</v>
      </c>
      <c r="K245" s="39">
        <f>SUMIFS(pg_transaction_cleaned!$H:$H,pg_transaction_cleaned!$O:$O,A245,pg_transaction_cleaned!$F:$F,"CAPTURE")</f>
        <v>349</v>
      </c>
      <c r="L245" s="23">
        <f>COUNTIFS(pg_transaction_cleaned!$O:$O,A245,pg_transaction_cleaned!$F:$F,"REFUND")</f>
        <v>0</v>
      </c>
      <c r="M245" s="39">
        <f>SUMIFS(pg_transaction_cleaned!$H:$H,pg_transaction_cleaned!$O:$O,A245,pg_transaction_cleaned!$F:$F,"REFUND")</f>
        <v>0</v>
      </c>
      <c r="N245" s="23" t="str">
        <f t="shared" si="14"/>
        <v>OK</v>
      </c>
      <c r="O245" s="24">
        <f t="shared" si="15"/>
        <v>0</v>
      </c>
    </row>
    <row r="246" spans="1:15" ht="15" customHeight="1" x14ac:dyDescent="0.3">
      <c r="A246" s="23" t="s">
        <v>851</v>
      </c>
      <c r="B246" s="38">
        <v>46267</v>
      </c>
      <c r="C246" s="23" t="s">
        <v>852</v>
      </c>
      <c r="D246" s="23" t="s">
        <v>90</v>
      </c>
      <c r="E246" s="23" t="s">
        <v>81</v>
      </c>
      <c r="F246" s="23" t="s">
        <v>310</v>
      </c>
      <c r="G246" s="23" t="s">
        <v>250</v>
      </c>
      <c r="H246" s="39">
        <f t="shared" si="12"/>
        <v>7999</v>
      </c>
      <c r="I246" s="23" t="str">
        <f t="shared" si="13"/>
        <v>Ahmedabad</v>
      </c>
      <c r="J246" s="23">
        <f>COUNTIFS(pg_transaction_cleaned!$O:$O,A246,pg_transaction_cleaned!$F:$F,"CAPTURE")</f>
        <v>1</v>
      </c>
      <c r="K246" s="39">
        <f>SUMIFS(pg_transaction_cleaned!$H:$H,pg_transaction_cleaned!$O:$O,A246,pg_transaction_cleaned!$F:$F,"CAPTURE")</f>
        <v>7999</v>
      </c>
      <c r="L246" s="23">
        <f>COUNTIFS(pg_transaction_cleaned!$O:$O,A246,pg_transaction_cleaned!$F:$F,"REFUND")</f>
        <v>0</v>
      </c>
      <c r="M246" s="39">
        <f>SUMIFS(pg_transaction_cleaned!$H:$H,pg_transaction_cleaned!$O:$O,A246,pg_transaction_cleaned!$F:$F,"REFUND")</f>
        <v>0</v>
      </c>
      <c r="N246" s="23" t="str">
        <f t="shared" si="14"/>
        <v>OK</v>
      </c>
      <c r="O246" s="24">
        <f t="shared" si="15"/>
        <v>0</v>
      </c>
    </row>
    <row r="247" spans="1:15" ht="15" customHeight="1" x14ac:dyDescent="0.3">
      <c r="A247" s="23" t="s">
        <v>853</v>
      </c>
      <c r="B247" s="38">
        <v>46285</v>
      </c>
      <c r="C247" s="23" t="s">
        <v>854</v>
      </c>
      <c r="D247" s="23" t="s">
        <v>89</v>
      </c>
      <c r="E247" s="23" t="s">
        <v>75</v>
      </c>
      <c r="F247" s="23" t="s">
        <v>274</v>
      </c>
      <c r="G247" s="23" t="s">
        <v>250</v>
      </c>
      <c r="H247" s="39">
        <f t="shared" si="12"/>
        <v>349</v>
      </c>
      <c r="I247" s="23" t="str">
        <f t="shared" si="13"/>
        <v>Jaipur</v>
      </c>
      <c r="J247" s="23">
        <f>COUNTIFS(pg_transaction_cleaned!$O:$O,A247,pg_transaction_cleaned!$F:$F,"CAPTURE")</f>
        <v>1</v>
      </c>
      <c r="K247" s="39">
        <f>SUMIFS(pg_transaction_cleaned!$H:$H,pg_transaction_cleaned!$O:$O,A247,pg_transaction_cleaned!$F:$F,"CAPTURE")</f>
        <v>349</v>
      </c>
      <c r="L247" s="23">
        <f>COUNTIFS(pg_transaction_cleaned!$O:$O,A247,pg_transaction_cleaned!$F:$F,"REFUND")</f>
        <v>0</v>
      </c>
      <c r="M247" s="39">
        <f>SUMIFS(pg_transaction_cleaned!$H:$H,pg_transaction_cleaned!$O:$O,A247,pg_transaction_cleaned!$F:$F,"REFUND")</f>
        <v>0</v>
      </c>
      <c r="N247" s="23" t="str">
        <f t="shared" si="14"/>
        <v>OK</v>
      </c>
      <c r="O247" s="24">
        <f t="shared" si="15"/>
        <v>0</v>
      </c>
    </row>
    <row r="248" spans="1:15" ht="15" customHeight="1" x14ac:dyDescent="0.3">
      <c r="A248" s="23" t="s">
        <v>855</v>
      </c>
      <c r="B248" s="38">
        <v>46289</v>
      </c>
      <c r="C248" s="23" t="s">
        <v>856</v>
      </c>
      <c r="D248" s="23" t="s">
        <v>91</v>
      </c>
      <c r="E248" s="23" t="s">
        <v>75</v>
      </c>
      <c r="F248" s="23" t="s">
        <v>370</v>
      </c>
      <c r="G248" s="23" t="s">
        <v>250</v>
      </c>
      <c r="H248" s="39">
        <f t="shared" si="12"/>
        <v>3098</v>
      </c>
      <c r="I248" s="23" t="str">
        <f t="shared" si="13"/>
        <v>Pune</v>
      </c>
      <c r="J248" s="23">
        <f>COUNTIFS(pg_transaction_cleaned!$O:$O,A248,pg_transaction_cleaned!$F:$F,"CAPTURE")</f>
        <v>1</v>
      </c>
      <c r="K248" s="39">
        <f>SUMIFS(pg_transaction_cleaned!$H:$H,pg_transaction_cleaned!$O:$O,A248,pg_transaction_cleaned!$F:$F,"CAPTURE")</f>
        <v>3098</v>
      </c>
      <c r="L248" s="23">
        <f>COUNTIFS(pg_transaction_cleaned!$O:$O,A248,pg_transaction_cleaned!$F:$F,"REFUND")</f>
        <v>0</v>
      </c>
      <c r="M248" s="39">
        <f>SUMIFS(pg_transaction_cleaned!$H:$H,pg_transaction_cleaned!$O:$O,A248,pg_transaction_cleaned!$F:$F,"REFUND")</f>
        <v>0</v>
      </c>
      <c r="N248" s="23" t="str">
        <f t="shared" si="14"/>
        <v>OK</v>
      </c>
      <c r="O248" s="24">
        <f t="shared" si="15"/>
        <v>0</v>
      </c>
    </row>
    <row r="249" spans="1:15" ht="15" customHeight="1" x14ac:dyDescent="0.3">
      <c r="A249" s="23" t="s">
        <v>857</v>
      </c>
      <c r="B249" s="38">
        <v>46267</v>
      </c>
      <c r="C249" s="23" t="s">
        <v>858</v>
      </c>
      <c r="D249" s="23" t="s">
        <v>91</v>
      </c>
      <c r="E249" s="23" t="s">
        <v>79</v>
      </c>
      <c r="F249" s="23" t="s">
        <v>268</v>
      </c>
      <c r="G249" s="23" t="s">
        <v>250</v>
      </c>
      <c r="H249" s="39">
        <f t="shared" si="12"/>
        <v>1299</v>
      </c>
      <c r="I249" s="23" t="str">
        <f t="shared" si="13"/>
        <v>Pune</v>
      </c>
      <c r="J249" s="23">
        <f>COUNTIFS(pg_transaction_cleaned!$O:$O,A249,pg_transaction_cleaned!$F:$F,"CAPTURE")</f>
        <v>1</v>
      </c>
      <c r="K249" s="39">
        <f>SUMIFS(pg_transaction_cleaned!$H:$H,pg_transaction_cleaned!$O:$O,A249,pg_transaction_cleaned!$F:$F,"CAPTURE")</f>
        <v>1299</v>
      </c>
      <c r="L249" s="23">
        <f>COUNTIFS(pg_transaction_cleaned!$O:$O,A249,pg_transaction_cleaned!$F:$F,"REFUND")</f>
        <v>0</v>
      </c>
      <c r="M249" s="39">
        <f>SUMIFS(pg_transaction_cleaned!$H:$H,pg_transaction_cleaned!$O:$O,A249,pg_transaction_cleaned!$F:$F,"REFUND")</f>
        <v>0</v>
      </c>
      <c r="N249" s="23" t="str">
        <f t="shared" si="14"/>
        <v>OK</v>
      </c>
      <c r="O249" s="24">
        <f t="shared" si="15"/>
        <v>0</v>
      </c>
    </row>
    <row r="250" spans="1:15" ht="15" customHeight="1" x14ac:dyDescent="0.3">
      <c r="A250" s="23" t="s">
        <v>859</v>
      </c>
      <c r="B250" s="38">
        <v>46292</v>
      </c>
      <c r="C250" s="23" t="s">
        <v>860</v>
      </c>
      <c r="D250" s="23" t="s">
        <v>86</v>
      </c>
      <c r="E250" s="23" t="s">
        <v>75</v>
      </c>
      <c r="F250" s="23" t="s">
        <v>712</v>
      </c>
      <c r="G250" s="23" t="s">
        <v>250</v>
      </c>
      <c r="H250" s="39">
        <f t="shared" si="12"/>
        <v>4298</v>
      </c>
      <c r="I250" s="23" t="str">
        <f t="shared" si="13"/>
        <v>Delhi</v>
      </c>
      <c r="J250" s="23">
        <f>COUNTIFS(pg_transaction_cleaned!$O:$O,A250,pg_transaction_cleaned!$F:$F,"CAPTURE")</f>
        <v>1</v>
      </c>
      <c r="K250" s="39">
        <f>SUMIFS(pg_transaction_cleaned!$H:$H,pg_transaction_cleaned!$O:$O,A250,pg_transaction_cleaned!$F:$F,"CAPTURE")</f>
        <v>4298</v>
      </c>
      <c r="L250" s="23">
        <f>COUNTIFS(pg_transaction_cleaned!$O:$O,A250,pg_transaction_cleaned!$F:$F,"REFUND")</f>
        <v>0</v>
      </c>
      <c r="M250" s="39">
        <f>SUMIFS(pg_transaction_cleaned!$H:$H,pg_transaction_cleaned!$O:$O,A250,pg_transaction_cleaned!$F:$F,"REFUND")</f>
        <v>0</v>
      </c>
      <c r="N250" s="23" t="str">
        <f t="shared" si="14"/>
        <v>OK</v>
      </c>
      <c r="O250" s="24">
        <f t="shared" si="15"/>
        <v>0</v>
      </c>
    </row>
    <row r="251" spans="1:15" ht="15" customHeight="1" x14ac:dyDescent="0.3">
      <c r="A251" s="23" t="s">
        <v>861</v>
      </c>
      <c r="B251" s="38">
        <v>46275</v>
      </c>
      <c r="C251" s="23" t="s">
        <v>862</v>
      </c>
      <c r="D251" s="23" t="s">
        <v>91</v>
      </c>
      <c r="E251" s="23" t="s">
        <v>79</v>
      </c>
      <c r="F251" s="23" t="s">
        <v>553</v>
      </c>
      <c r="G251" s="23" t="s">
        <v>250</v>
      </c>
      <c r="H251" s="39">
        <f t="shared" si="12"/>
        <v>2798</v>
      </c>
      <c r="I251" s="23" t="str">
        <f t="shared" si="13"/>
        <v>Pune</v>
      </c>
      <c r="J251" s="23">
        <f>COUNTIFS(pg_transaction_cleaned!$O:$O,A251,pg_transaction_cleaned!$F:$F,"CAPTURE")</f>
        <v>1</v>
      </c>
      <c r="K251" s="39">
        <f>SUMIFS(pg_transaction_cleaned!$H:$H,pg_transaction_cleaned!$O:$O,A251,pg_transaction_cleaned!$F:$F,"CAPTURE")</f>
        <v>2798</v>
      </c>
      <c r="L251" s="23">
        <f>COUNTIFS(pg_transaction_cleaned!$O:$O,A251,pg_transaction_cleaned!$F:$F,"REFUND")</f>
        <v>0</v>
      </c>
      <c r="M251" s="39">
        <f>SUMIFS(pg_transaction_cleaned!$H:$H,pg_transaction_cleaned!$O:$O,A251,pg_transaction_cleaned!$F:$F,"REFUND")</f>
        <v>0</v>
      </c>
      <c r="N251" s="23" t="str">
        <f t="shared" si="14"/>
        <v>OK</v>
      </c>
      <c r="O251" s="24">
        <f t="shared" si="15"/>
        <v>0</v>
      </c>
    </row>
    <row r="252" spans="1:15" ht="15" customHeight="1" x14ac:dyDescent="0.3">
      <c r="A252" s="23" t="s">
        <v>863</v>
      </c>
      <c r="B252" s="38">
        <v>46282</v>
      </c>
      <c r="C252" s="23" t="s">
        <v>864</v>
      </c>
      <c r="D252" s="23"/>
      <c r="E252" s="23" t="s">
        <v>75</v>
      </c>
      <c r="F252" s="23" t="s">
        <v>274</v>
      </c>
      <c r="G252" s="23" t="s">
        <v>318</v>
      </c>
      <c r="H252" s="39">
        <f t="shared" si="12"/>
        <v>349</v>
      </c>
      <c r="I252" s="23" t="str">
        <f t="shared" si="13"/>
        <v>Unknown</v>
      </c>
      <c r="J252" s="23">
        <f>COUNTIFS(pg_transaction_cleaned!$O:$O,A252,pg_transaction_cleaned!$F:$F,"CAPTURE")</f>
        <v>0</v>
      </c>
      <c r="K252" s="39">
        <f>SUMIFS(pg_transaction_cleaned!$H:$H,pg_transaction_cleaned!$O:$O,A252,pg_transaction_cleaned!$F:$F,"CAPTURE")</f>
        <v>0</v>
      </c>
      <c r="L252" s="23">
        <f>COUNTIFS(pg_transaction_cleaned!$O:$O,A252,pg_transaction_cleaned!$F:$F,"REFUND")</f>
        <v>0</v>
      </c>
      <c r="M252" s="39">
        <f>SUMIFS(pg_transaction_cleaned!$H:$H,pg_transaction_cleaned!$O:$O,A252,pg_transaction_cleaned!$F:$F,"REFUND")</f>
        <v>0</v>
      </c>
      <c r="N252" s="23" t="str">
        <f t="shared" si="14"/>
        <v>OK</v>
      </c>
      <c r="O252" s="24">
        <f t="shared" si="15"/>
        <v>0</v>
      </c>
    </row>
    <row r="253" spans="1:15" ht="15" customHeight="1" x14ac:dyDescent="0.3">
      <c r="A253" s="23" t="s">
        <v>865</v>
      </c>
      <c r="B253" s="38">
        <v>46266</v>
      </c>
      <c r="C253" s="23" t="s">
        <v>866</v>
      </c>
      <c r="D253" s="23" t="s">
        <v>92</v>
      </c>
      <c r="E253" s="23" t="s">
        <v>75</v>
      </c>
      <c r="F253" s="23" t="s">
        <v>343</v>
      </c>
      <c r="G253" s="23" t="s">
        <v>250</v>
      </c>
      <c r="H253" s="39">
        <f t="shared" si="12"/>
        <v>9498</v>
      </c>
      <c r="I253" s="23" t="str">
        <f t="shared" si="13"/>
        <v>Hyderabad</v>
      </c>
      <c r="J253" s="23">
        <f>COUNTIFS(pg_transaction_cleaned!$O:$O,A253,pg_transaction_cleaned!$F:$F,"CAPTURE")</f>
        <v>1</v>
      </c>
      <c r="K253" s="39">
        <f>SUMIFS(pg_transaction_cleaned!$H:$H,pg_transaction_cleaned!$O:$O,A253,pg_transaction_cleaned!$F:$F,"CAPTURE")</f>
        <v>9498</v>
      </c>
      <c r="L253" s="23">
        <f>COUNTIFS(pg_transaction_cleaned!$O:$O,A253,pg_transaction_cleaned!$F:$F,"REFUND")</f>
        <v>0</v>
      </c>
      <c r="M253" s="39">
        <f>SUMIFS(pg_transaction_cleaned!$H:$H,pg_transaction_cleaned!$O:$O,A253,pg_transaction_cleaned!$F:$F,"REFUND")</f>
        <v>0</v>
      </c>
      <c r="N253" s="23" t="str">
        <f t="shared" si="14"/>
        <v>OK</v>
      </c>
      <c r="O253" s="24">
        <f t="shared" si="15"/>
        <v>0</v>
      </c>
    </row>
    <row r="254" spans="1:15" ht="15" customHeight="1" x14ac:dyDescent="0.3">
      <c r="A254" s="23" t="s">
        <v>867</v>
      </c>
      <c r="B254" s="38">
        <v>46289</v>
      </c>
      <c r="C254" s="23" t="s">
        <v>868</v>
      </c>
      <c r="D254" s="23" t="s">
        <v>91</v>
      </c>
      <c r="E254" s="23" t="s">
        <v>75</v>
      </c>
      <c r="F254" s="23" t="s">
        <v>742</v>
      </c>
      <c r="G254" s="23" t="s">
        <v>250</v>
      </c>
      <c r="H254" s="39">
        <f t="shared" si="12"/>
        <v>999</v>
      </c>
      <c r="I254" s="23" t="str">
        <f t="shared" si="13"/>
        <v>Pune</v>
      </c>
      <c r="J254" s="23">
        <f>COUNTIFS(pg_transaction_cleaned!$O:$O,A254,pg_transaction_cleaned!$F:$F,"CAPTURE")</f>
        <v>1</v>
      </c>
      <c r="K254" s="39">
        <f>SUMIFS(pg_transaction_cleaned!$H:$H,pg_transaction_cleaned!$O:$O,A254,pg_transaction_cleaned!$F:$F,"CAPTURE")</f>
        <v>999</v>
      </c>
      <c r="L254" s="23">
        <f>COUNTIFS(pg_transaction_cleaned!$O:$O,A254,pg_transaction_cleaned!$F:$F,"REFUND")</f>
        <v>0</v>
      </c>
      <c r="M254" s="39">
        <f>SUMIFS(pg_transaction_cleaned!$H:$H,pg_transaction_cleaned!$O:$O,A254,pg_transaction_cleaned!$F:$F,"REFUND")</f>
        <v>0</v>
      </c>
      <c r="N254" s="23" t="str">
        <f t="shared" si="14"/>
        <v>OK</v>
      </c>
      <c r="O254" s="24">
        <f t="shared" si="15"/>
        <v>0</v>
      </c>
    </row>
    <row r="255" spans="1:15" ht="15" customHeight="1" x14ac:dyDescent="0.3">
      <c r="A255" s="23" t="s">
        <v>869</v>
      </c>
      <c r="B255" s="38">
        <v>46290</v>
      </c>
      <c r="C255" s="23" t="s">
        <v>870</v>
      </c>
      <c r="D255" s="23" t="s">
        <v>94</v>
      </c>
      <c r="E255" s="23" t="s">
        <v>75</v>
      </c>
      <c r="F255" s="23" t="s">
        <v>612</v>
      </c>
      <c r="G255" s="23" t="s">
        <v>250</v>
      </c>
      <c r="H255" s="39">
        <f t="shared" si="12"/>
        <v>8498</v>
      </c>
      <c r="I255" s="23" t="str">
        <f t="shared" si="13"/>
        <v>Chennai</v>
      </c>
      <c r="J255" s="23">
        <f>COUNTIFS(pg_transaction_cleaned!$O:$O,A255,pg_transaction_cleaned!$F:$F,"CAPTURE")</f>
        <v>1</v>
      </c>
      <c r="K255" s="39">
        <f>SUMIFS(pg_transaction_cleaned!$H:$H,pg_transaction_cleaned!$O:$O,A255,pg_transaction_cleaned!$F:$F,"CAPTURE")</f>
        <v>8498</v>
      </c>
      <c r="L255" s="23">
        <f>COUNTIFS(pg_transaction_cleaned!$O:$O,A255,pg_transaction_cleaned!$F:$F,"REFUND")</f>
        <v>0</v>
      </c>
      <c r="M255" s="39">
        <f>SUMIFS(pg_transaction_cleaned!$H:$H,pg_transaction_cleaned!$O:$O,A255,pg_transaction_cleaned!$F:$F,"REFUND")</f>
        <v>0</v>
      </c>
      <c r="N255" s="23" t="str">
        <f t="shared" si="14"/>
        <v>OK</v>
      </c>
      <c r="O255" s="24">
        <f t="shared" si="15"/>
        <v>0</v>
      </c>
    </row>
    <row r="256" spans="1:15" ht="15" customHeight="1" x14ac:dyDescent="0.3">
      <c r="A256" s="23" t="s">
        <v>871</v>
      </c>
      <c r="B256" s="38">
        <v>46292</v>
      </c>
      <c r="C256" s="23" t="s">
        <v>872</v>
      </c>
      <c r="D256" s="23" t="s">
        <v>86</v>
      </c>
      <c r="E256" s="23" t="s">
        <v>77</v>
      </c>
      <c r="F256" s="23" t="s">
        <v>873</v>
      </c>
      <c r="G256" s="23" t="s">
        <v>250</v>
      </c>
      <c r="H256" s="39">
        <f t="shared" si="12"/>
        <v>13497</v>
      </c>
      <c r="I256" s="23" t="str">
        <f t="shared" si="13"/>
        <v>Delhi</v>
      </c>
      <c r="J256" s="23">
        <f>COUNTIFS(pg_transaction_cleaned!$O:$O,A256,pg_transaction_cleaned!$F:$F,"CAPTURE")</f>
        <v>1</v>
      </c>
      <c r="K256" s="39">
        <f>SUMIFS(pg_transaction_cleaned!$H:$H,pg_transaction_cleaned!$O:$O,A256,pg_transaction_cleaned!$F:$F,"CAPTURE")</f>
        <v>13497</v>
      </c>
      <c r="L256" s="23">
        <f>COUNTIFS(pg_transaction_cleaned!$O:$O,A256,pg_transaction_cleaned!$F:$F,"REFUND")</f>
        <v>0</v>
      </c>
      <c r="M256" s="39">
        <f>SUMIFS(pg_transaction_cleaned!$H:$H,pg_transaction_cleaned!$O:$O,A256,pg_transaction_cleaned!$F:$F,"REFUND")</f>
        <v>0</v>
      </c>
      <c r="N256" s="23" t="str">
        <f t="shared" si="14"/>
        <v>OK</v>
      </c>
      <c r="O256" s="24">
        <f t="shared" si="15"/>
        <v>0</v>
      </c>
    </row>
    <row r="257" spans="1:15" ht="15" customHeight="1" x14ac:dyDescent="0.3">
      <c r="A257" s="23" t="s">
        <v>874</v>
      </c>
      <c r="B257" s="38">
        <v>46291</v>
      </c>
      <c r="C257" s="23" t="s">
        <v>875</v>
      </c>
      <c r="D257" s="23" t="s">
        <v>92</v>
      </c>
      <c r="E257" s="23" t="s">
        <v>77</v>
      </c>
      <c r="F257" s="23" t="s">
        <v>274</v>
      </c>
      <c r="G257" s="23" t="s">
        <v>250</v>
      </c>
      <c r="H257" s="39">
        <f t="shared" si="12"/>
        <v>349</v>
      </c>
      <c r="I257" s="23" t="str">
        <f t="shared" si="13"/>
        <v>Hyderabad</v>
      </c>
      <c r="J257" s="23">
        <f>COUNTIFS(pg_transaction_cleaned!$O:$O,A257,pg_transaction_cleaned!$F:$F,"CAPTURE")</f>
        <v>1</v>
      </c>
      <c r="K257" s="39">
        <f>SUMIFS(pg_transaction_cleaned!$H:$H,pg_transaction_cleaned!$O:$O,A257,pg_transaction_cleaned!$F:$F,"CAPTURE")</f>
        <v>349</v>
      </c>
      <c r="L257" s="23">
        <f>COUNTIFS(pg_transaction_cleaned!$O:$O,A257,pg_transaction_cleaned!$F:$F,"REFUND")</f>
        <v>0</v>
      </c>
      <c r="M257" s="39">
        <f>SUMIFS(pg_transaction_cleaned!$H:$H,pg_transaction_cleaned!$O:$O,A257,pg_transaction_cleaned!$F:$F,"REFUND")</f>
        <v>0</v>
      </c>
      <c r="N257" s="23" t="str">
        <f t="shared" si="14"/>
        <v>OK</v>
      </c>
      <c r="O257" s="24">
        <f t="shared" si="15"/>
        <v>0</v>
      </c>
    </row>
    <row r="258" spans="1:15" ht="15" customHeight="1" x14ac:dyDescent="0.3">
      <c r="A258" s="23" t="s">
        <v>876</v>
      </c>
      <c r="B258" s="38">
        <v>46272</v>
      </c>
      <c r="C258" s="23" t="s">
        <v>877</v>
      </c>
      <c r="D258" s="23" t="s">
        <v>89</v>
      </c>
      <c r="E258" s="23" t="s">
        <v>75</v>
      </c>
      <c r="F258" s="23" t="s">
        <v>297</v>
      </c>
      <c r="G258" s="23" t="s">
        <v>250</v>
      </c>
      <c r="H258" s="39">
        <f t="shared" ref="H258:H321" si="16">VALUE(SUBSTITUTE(F258,",",""))</f>
        <v>4999</v>
      </c>
      <c r="I258" s="23" t="str">
        <f t="shared" ref="I258:I321" si="17">IF(TRIM(D258)="","Unknown",TRIM(D258))</f>
        <v>Jaipur</v>
      </c>
      <c r="J258" s="23">
        <f>COUNTIFS(pg_transaction_cleaned!$O:$O,A258,pg_transaction_cleaned!$F:$F,"CAPTURE")</f>
        <v>1</v>
      </c>
      <c r="K258" s="39">
        <f>SUMIFS(pg_transaction_cleaned!$H:$H,pg_transaction_cleaned!$O:$O,A258,pg_transaction_cleaned!$F:$F,"CAPTURE")</f>
        <v>4999</v>
      </c>
      <c r="L258" s="23">
        <f>COUNTIFS(pg_transaction_cleaned!$O:$O,A258,pg_transaction_cleaned!$F:$F,"REFUND")</f>
        <v>0</v>
      </c>
      <c r="M258" s="39">
        <f>SUMIFS(pg_transaction_cleaned!$H:$H,pg_transaction_cleaned!$O:$O,A258,pg_transaction_cleaned!$F:$F,"REFUND")</f>
        <v>0</v>
      </c>
      <c r="N258" s="23" t="str">
        <f t="shared" ref="N258:N321" si="18">IF(AND(G258="Paid",J258=0),"Paid, no payment",IF(AND(OR(G258="Failed",G258="Cancelled"),J258&gt;0),"Payment on failed/cancelled",IF(J258&gt;1,"Duplicate charge",IF(AND(J258=1,ROUND(K258-H258,2)&lt;&gt;0),"Amount difference",IF(AND(G258="Refunded",L258=0),"Refunded, no refund",IF(AND(G258&lt;&gt;"Refunded",L258&gt;0),"Refund, order not Refunded",IF(AND(L258&gt;0,ROUND(M258-H258,2)&lt;&gt;0),"Refund amount differs","OK")))))))</f>
        <v>OK</v>
      </c>
      <c r="O258" s="24">
        <f t="shared" ref="O258:O321" si="19">IF(N258="OK",0,IF(N258="Paid, no payment",H258,IF(N258="Payment on failed/cancelled",K258,IF(OR(N258="Duplicate charge",N258="Amount difference"),K258-H258,IF(N258="Refunded, no refund",H258,M258)))))</f>
        <v>0</v>
      </c>
    </row>
    <row r="259" spans="1:15" ht="15" customHeight="1" x14ac:dyDescent="0.3">
      <c r="A259" s="23" t="s">
        <v>878</v>
      </c>
      <c r="B259" s="38">
        <v>46278</v>
      </c>
      <c r="C259" s="23" t="s">
        <v>879</v>
      </c>
      <c r="D259" s="23" t="s">
        <v>94</v>
      </c>
      <c r="E259" s="23" t="s">
        <v>79</v>
      </c>
      <c r="F259" s="23" t="s">
        <v>880</v>
      </c>
      <c r="G259" s="23" t="s">
        <v>250</v>
      </c>
      <c r="H259" s="39">
        <f t="shared" si="16"/>
        <v>2298</v>
      </c>
      <c r="I259" s="23" t="str">
        <f t="shared" si="17"/>
        <v>Chennai</v>
      </c>
      <c r="J259" s="23">
        <f>COUNTIFS(pg_transaction_cleaned!$O:$O,A259,pg_transaction_cleaned!$F:$F,"CAPTURE")</f>
        <v>1</v>
      </c>
      <c r="K259" s="39">
        <f>SUMIFS(pg_transaction_cleaned!$H:$H,pg_transaction_cleaned!$O:$O,A259,pg_transaction_cleaned!$F:$F,"CAPTURE")</f>
        <v>2298</v>
      </c>
      <c r="L259" s="23">
        <f>COUNTIFS(pg_transaction_cleaned!$O:$O,A259,pg_transaction_cleaned!$F:$F,"REFUND")</f>
        <v>0</v>
      </c>
      <c r="M259" s="39">
        <f>SUMIFS(pg_transaction_cleaned!$H:$H,pg_transaction_cleaned!$O:$O,A259,pg_transaction_cleaned!$F:$F,"REFUND")</f>
        <v>0</v>
      </c>
      <c r="N259" s="23" t="str">
        <f t="shared" si="18"/>
        <v>OK</v>
      </c>
      <c r="O259" s="24">
        <f t="shared" si="19"/>
        <v>0</v>
      </c>
    </row>
    <row r="260" spans="1:15" ht="15" customHeight="1" x14ac:dyDescent="0.3">
      <c r="A260" s="23" t="s">
        <v>881</v>
      </c>
      <c r="B260" s="38">
        <v>46293</v>
      </c>
      <c r="C260" s="23" t="s">
        <v>882</v>
      </c>
      <c r="D260" s="23" t="s">
        <v>93</v>
      </c>
      <c r="E260" s="23" t="s">
        <v>75</v>
      </c>
      <c r="F260" s="23" t="s">
        <v>517</v>
      </c>
      <c r="G260" s="23" t="s">
        <v>250</v>
      </c>
      <c r="H260" s="39">
        <f t="shared" si="16"/>
        <v>7999</v>
      </c>
      <c r="I260" s="23" t="str">
        <f t="shared" si="17"/>
        <v>Kolkata</v>
      </c>
      <c r="J260" s="23">
        <f>COUNTIFS(pg_transaction_cleaned!$O:$O,A260,pg_transaction_cleaned!$F:$F,"CAPTURE")</f>
        <v>1</v>
      </c>
      <c r="K260" s="39">
        <f>SUMIFS(pg_transaction_cleaned!$H:$H,pg_transaction_cleaned!$O:$O,A260,pg_transaction_cleaned!$F:$F,"CAPTURE")</f>
        <v>7999</v>
      </c>
      <c r="L260" s="23">
        <f>COUNTIFS(pg_transaction_cleaned!$O:$O,A260,pg_transaction_cleaned!$F:$F,"REFUND")</f>
        <v>0</v>
      </c>
      <c r="M260" s="39">
        <f>SUMIFS(pg_transaction_cleaned!$H:$H,pg_transaction_cleaned!$O:$O,A260,pg_transaction_cleaned!$F:$F,"REFUND")</f>
        <v>0</v>
      </c>
      <c r="N260" s="23" t="str">
        <f t="shared" si="18"/>
        <v>OK</v>
      </c>
      <c r="O260" s="24">
        <f t="shared" si="19"/>
        <v>0</v>
      </c>
    </row>
    <row r="261" spans="1:15" ht="15" customHeight="1" x14ac:dyDescent="0.3">
      <c r="A261" s="23" t="s">
        <v>883</v>
      </c>
      <c r="B261" s="38">
        <v>46294</v>
      </c>
      <c r="C261" s="23" t="s">
        <v>884</v>
      </c>
      <c r="D261" s="23" t="s">
        <v>90</v>
      </c>
      <c r="E261" s="23" t="s">
        <v>75</v>
      </c>
      <c r="F261" s="23" t="s">
        <v>520</v>
      </c>
      <c r="G261" s="23" t="s">
        <v>365</v>
      </c>
      <c r="H261" s="39">
        <f t="shared" si="16"/>
        <v>4998</v>
      </c>
      <c r="I261" s="23" t="str">
        <f t="shared" si="17"/>
        <v>Ahmedabad</v>
      </c>
      <c r="J261" s="23">
        <f>COUNTIFS(pg_transaction_cleaned!$O:$O,A261,pg_transaction_cleaned!$F:$F,"CAPTURE")</f>
        <v>0</v>
      </c>
      <c r="K261" s="39">
        <f>SUMIFS(pg_transaction_cleaned!$H:$H,pg_transaction_cleaned!$O:$O,A261,pg_transaction_cleaned!$F:$F,"CAPTURE")</f>
        <v>0</v>
      </c>
      <c r="L261" s="23">
        <f>COUNTIFS(pg_transaction_cleaned!$O:$O,A261,pg_transaction_cleaned!$F:$F,"REFUND")</f>
        <v>0</v>
      </c>
      <c r="M261" s="39">
        <f>SUMIFS(pg_transaction_cleaned!$H:$H,pg_transaction_cleaned!$O:$O,A261,pg_transaction_cleaned!$F:$F,"REFUND")</f>
        <v>0</v>
      </c>
      <c r="N261" s="23" t="str">
        <f t="shared" si="18"/>
        <v>OK</v>
      </c>
      <c r="O261" s="24">
        <f t="shared" si="19"/>
        <v>0</v>
      </c>
    </row>
    <row r="262" spans="1:15" ht="15" customHeight="1" x14ac:dyDescent="0.3">
      <c r="A262" s="23" t="s">
        <v>885</v>
      </c>
      <c r="B262" s="38">
        <v>46288</v>
      </c>
      <c r="C262" s="23" t="s">
        <v>886</v>
      </c>
      <c r="D262" s="23" t="s">
        <v>91</v>
      </c>
      <c r="E262" s="23" t="s">
        <v>81</v>
      </c>
      <c r="F262" s="23" t="s">
        <v>499</v>
      </c>
      <c r="G262" s="23" t="s">
        <v>250</v>
      </c>
      <c r="H262" s="39">
        <f t="shared" si="16"/>
        <v>5998</v>
      </c>
      <c r="I262" s="23" t="str">
        <f t="shared" si="17"/>
        <v>Pune</v>
      </c>
      <c r="J262" s="23">
        <f>COUNTIFS(pg_transaction_cleaned!$O:$O,A262,pg_transaction_cleaned!$F:$F,"CAPTURE")</f>
        <v>1</v>
      </c>
      <c r="K262" s="39">
        <f>SUMIFS(pg_transaction_cleaned!$H:$H,pg_transaction_cleaned!$O:$O,A262,pg_transaction_cleaned!$F:$F,"CAPTURE")</f>
        <v>5998</v>
      </c>
      <c r="L262" s="23">
        <f>COUNTIFS(pg_transaction_cleaned!$O:$O,A262,pg_transaction_cleaned!$F:$F,"REFUND")</f>
        <v>0</v>
      </c>
      <c r="M262" s="39">
        <f>SUMIFS(pg_transaction_cleaned!$H:$H,pg_transaction_cleaned!$O:$O,A262,pg_transaction_cleaned!$F:$F,"REFUND")</f>
        <v>0</v>
      </c>
      <c r="N262" s="23" t="str">
        <f t="shared" si="18"/>
        <v>OK</v>
      </c>
      <c r="O262" s="24">
        <f t="shared" si="19"/>
        <v>0</v>
      </c>
    </row>
    <row r="263" spans="1:15" ht="15" customHeight="1" x14ac:dyDescent="0.3">
      <c r="A263" s="23" t="s">
        <v>887</v>
      </c>
      <c r="B263" s="38">
        <v>46279</v>
      </c>
      <c r="C263" s="23" t="s">
        <v>888</v>
      </c>
      <c r="D263" s="23" t="s">
        <v>94</v>
      </c>
      <c r="E263" s="23" t="s">
        <v>75</v>
      </c>
      <c r="F263" s="23" t="s">
        <v>612</v>
      </c>
      <c r="G263" s="23" t="s">
        <v>250</v>
      </c>
      <c r="H263" s="39">
        <f t="shared" si="16"/>
        <v>8498</v>
      </c>
      <c r="I263" s="23" t="str">
        <f t="shared" si="17"/>
        <v>Chennai</v>
      </c>
      <c r="J263" s="23">
        <f>COUNTIFS(pg_transaction_cleaned!$O:$O,A263,pg_transaction_cleaned!$F:$F,"CAPTURE")</f>
        <v>1</v>
      </c>
      <c r="K263" s="39">
        <f>SUMIFS(pg_transaction_cleaned!$H:$H,pg_transaction_cleaned!$O:$O,A263,pg_transaction_cleaned!$F:$F,"CAPTURE")</f>
        <v>8498</v>
      </c>
      <c r="L263" s="23">
        <f>COUNTIFS(pg_transaction_cleaned!$O:$O,A263,pg_transaction_cleaned!$F:$F,"REFUND")</f>
        <v>0</v>
      </c>
      <c r="M263" s="39">
        <f>SUMIFS(pg_transaction_cleaned!$H:$H,pg_transaction_cleaned!$O:$O,A263,pg_transaction_cleaned!$F:$F,"REFUND")</f>
        <v>0</v>
      </c>
      <c r="N263" s="23" t="str">
        <f t="shared" si="18"/>
        <v>OK</v>
      </c>
      <c r="O263" s="24">
        <f t="shared" si="19"/>
        <v>0</v>
      </c>
    </row>
    <row r="264" spans="1:15" ht="15" customHeight="1" x14ac:dyDescent="0.3">
      <c r="A264" s="23" t="s">
        <v>889</v>
      </c>
      <c r="B264" s="38">
        <v>46287</v>
      </c>
      <c r="C264" s="23" t="s">
        <v>890</v>
      </c>
      <c r="D264" s="23" t="s">
        <v>90</v>
      </c>
      <c r="E264" s="23" t="s">
        <v>79</v>
      </c>
      <c r="F264" s="23" t="s">
        <v>475</v>
      </c>
      <c r="G264" s="23" t="s">
        <v>250</v>
      </c>
      <c r="H264" s="39">
        <f t="shared" si="16"/>
        <v>799</v>
      </c>
      <c r="I264" s="23" t="str">
        <f t="shared" si="17"/>
        <v>Ahmedabad</v>
      </c>
      <c r="J264" s="23">
        <f>COUNTIFS(pg_transaction_cleaned!$O:$O,A264,pg_transaction_cleaned!$F:$F,"CAPTURE")</f>
        <v>1</v>
      </c>
      <c r="K264" s="39">
        <f>SUMIFS(pg_transaction_cleaned!$H:$H,pg_transaction_cleaned!$O:$O,A264,pg_transaction_cleaned!$F:$F,"CAPTURE")</f>
        <v>799</v>
      </c>
      <c r="L264" s="23">
        <f>COUNTIFS(pg_transaction_cleaned!$O:$O,A264,pg_transaction_cleaned!$F:$F,"REFUND")</f>
        <v>0</v>
      </c>
      <c r="M264" s="39">
        <f>SUMIFS(pg_transaction_cleaned!$H:$H,pg_transaction_cleaned!$O:$O,A264,pg_transaction_cleaned!$F:$F,"REFUND")</f>
        <v>0</v>
      </c>
      <c r="N264" s="23" t="str">
        <f t="shared" si="18"/>
        <v>OK</v>
      </c>
      <c r="O264" s="24">
        <f t="shared" si="19"/>
        <v>0</v>
      </c>
    </row>
    <row r="265" spans="1:15" ht="15" customHeight="1" x14ac:dyDescent="0.3">
      <c r="A265" s="23" t="s">
        <v>891</v>
      </c>
      <c r="B265" s="38">
        <v>46277</v>
      </c>
      <c r="C265" s="23" t="s">
        <v>892</v>
      </c>
      <c r="D265" s="23" t="s">
        <v>92</v>
      </c>
      <c r="E265" s="23" t="s">
        <v>75</v>
      </c>
      <c r="F265" s="23" t="s">
        <v>307</v>
      </c>
      <c r="G265" s="23" t="s">
        <v>250</v>
      </c>
      <c r="H265" s="39">
        <f t="shared" si="16"/>
        <v>3798</v>
      </c>
      <c r="I265" s="23" t="str">
        <f t="shared" si="17"/>
        <v>Hyderabad</v>
      </c>
      <c r="J265" s="23">
        <f>COUNTIFS(pg_transaction_cleaned!$O:$O,A265,pg_transaction_cleaned!$F:$F,"CAPTURE")</f>
        <v>1</v>
      </c>
      <c r="K265" s="39">
        <f>SUMIFS(pg_transaction_cleaned!$H:$H,pg_transaction_cleaned!$O:$O,A265,pg_transaction_cleaned!$F:$F,"CAPTURE")</f>
        <v>3798</v>
      </c>
      <c r="L265" s="23">
        <f>COUNTIFS(pg_transaction_cleaned!$O:$O,A265,pg_transaction_cleaned!$F:$F,"REFUND")</f>
        <v>0</v>
      </c>
      <c r="M265" s="39">
        <f>SUMIFS(pg_transaction_cleaned!$H:$H,pg_transaction_cleaned!$O:$O,A265,pg_transaction_cleaned!$F:$F,"REFUND")</f>
        <v>0</v>
      </c>
      <c r="N265" s="23" t="str">
        <f t="shared" si="18"/>
        <v>OK</v>
      </c>
      <c r="O265" s="24">
        <f t="shared" si="19"/>
        <v>0</v>
      </c>
    </row>
    <row r="266" spans="1:15" ht="15" customHeight="1" x14ac:dyDescent="0.3">
      <c r="A266" s="23" t="s">
        <v>893</v>
      </c>
      <c r="B266" s="38">
        <v>46286</v>
      </c>
      <c r="C266" s="23" t="s">
        <v>894</v>
      </c>
      <c r="D266" s="23" t="s">
        <v>86</v>
      </c>
      <c r="E266" s="23" t="s">
        <v>75</v>
      </c>
      <c r="F266" s="23" t="s">
        <v>274</v>
      </c>
      <c r="G266" s="23" t="s">
        <v>250</v>
      </c>
      <c r="H266" s="39">
        <f t="shared" si="16"/>
        <v>349</v>
      </c>
      <c r="I266" s="23" t="str">
        <f t="shared" si="17"/>
        <v>Delhi</v>
      </c>
      <c r="J266" s="23">
        <f>COUNTIFS(pg_transaction_cleaned!$O:$O,A266,pg_transaction_cleaned!$F:$F,"CAPTURE")</f>
        <v>1</v>
      </c>
      <c r="K266" s="39">
        <f>SUMIFS(pg_transaction_cleaned!$H:$H,pg_transaction_cleaned!$O:$O,A266,pg_transaction_cleaned!$F:$F,"CAPTURE")</f>
        <v>349</v>
      </c>
      <c r="L266" s="23">
        <f>COUNTIFS(pg_transaction_cleaned!$O:$O,A266,pg_transaction_cleaned!$F:$F,"REFUND")</f>
        <v>0</v>
      </c>
      <c r="M266" s="39">
        <f>SUMIFS(pg_transaction_cleaned!$H:$H,pg_transaction_cleaned!$O:$O,A266,pg_transaction_cleaned!$F:$F,"REFUND")</f>
        <v>0</v>
      </c>
      <c r="N266" s="23" t="str">
        <f t="shared" si="18"/>
        <v>OK</v>
      </c>
      <c r="O266" s="24">
        <f t="shared" si="19"/>
        <v>0</v>
      </c>
    </row>
    <row r="267" spans="1:15" ht="15" customHeight="1" x14ac:dyDescent="0.3">
      <c r="A267" s="23" t="s">
        <v>895</v>
      </c>
      <c r="B267" s="38">
        <v>46266</v>
      </c>
      <c r="C267" s="23" t="s">
        <v>896</v>
      </c>
      <c r="D267" s="23" t="s">
        <v>86</v>
      </c>
      <c r="E267" s="23" t="s">
        <v>79</v>
      </c>
      <c r="F267" s="23" t="s">
        <v>310</v>
      </c>
      <c r="G267" s="23" t="s">
        <v>250</v>
      </c>
      <c r="H267" s="39">
        <f t="shared" si="16"/>
        <v>7999</v>
      </c>
      <c r="I267" s="23" t="str">
        <f t="shared" si="17"/>
        <v>Delhi</v>
      </c>
      <c r="J267" s="23">
        <f>COUNTIFS(pg_transaction_cleaned!$O:$O,A267,pg_transaction_cleaned!$F:$F,"CAPTURE")</f>
        <v>1</v>
      </c>
      <c r="K267" s="39">
        <f>SUMIFS(pg_transaction_cleaned!$H:$H,pg_transaction_cleaned!$O:$O,A267,pg_transaction_cleaned!$F:$F,"CAPTURE")</f>
        <v>7999</v>
      </c>
      <c r="L267" s="23">
        <f>COUNTIFS(pg_transaction_cleaned!$O:$O,A267,pg_transaction_cleaned!$F:$F,"REFUND")</f>
        <v>0</v>
      </c>
      <c r="M267" s="39">
        <f>SUMIFS(pg_transaction_cleaned!$H:$H,pg_transaction_cleaned!$O:$O,A267,pg_transaction_cleaned!$F:$F,"REFUND")</f>
        <v>0</v>
      </c>
      <c r="N267" s="23" t="str">
        <f t="shared" si="18"/>
        <v>OK</v>
      </c>
      <c r="O267" s="24">
        <f t="shared" si="19"/>
        <v>0</v>
      </c>
    </row>
    <row r="268" spans="1:15" ht="15" customHeight="1" x14ac:dyDescent="0.3">
      <c r="A268" s="23" t="s">
        <v>897</v>
      </c>
      <c r="B268" s="38">
        <v>46268</v>
      </c>
      <c r="C268" s="23" t="s">
        <v>898</v>
      </c>
      <c r="D268" s="23" t="s">
        <v>87</v>
      </c>
      <c r="E268" s="23" t="s">
        <v>75</v>
      </c>
      <c r="F268" s="23" t="s">
        <v>297</v>
      </c>
      <c r="G268" s="23" t="s">
        <v>250</v>
      </c>
      <c r="H268" s="39">
        <f t="shared" si="16"/>
        <v>4999</v>
      </c>
      <c r="I268" s="23" t="str">
        <f t="shared" si="17"/>
        <v>Mumbai</v>
      </c>
      <c r="J268" s="23">
        <f>COUNTIFS(pg_transaction_cleaned!$O:$O,A268,pg_transaction_cleaned!$F:$F,"CAPTURE")</f>
        <v>1</v>
      </c>
      <c r="K268" s="39">
        <f>SUMIFS(pg_transaction_cleaned!$H:$H,pg_transaction_cleaned!$O:$O,A268,pg_transaction_cleaned!$F:$F,"CAPTURE")</f>
        <v>4999</v>
      </c>
      <c r="L268" s="23">
        <f>COUNTIFS(pg_transaction_cleaned!$O:$O,A268,pg_transaction_cleaned!$F:$F,"REFUND")</f>
        <v>0</v>
      </c>
      <c r="M268" s="39">
        <f>SUMIFS(pg_transaction_cleaned!$H:$H,pg_transaction_cleaned!$O:$O,A268,pg_transaction_cleaned!$F:$F,"REFUND")</f>
        <v>0</v>
      </c>
      <c r="N268" s="23" t="str">
        <f t="shared" si="18"/>
        <v>OK</v>
      </c>
      <c r="O268" s="24">
        <f t="shared" si="19"/>
        <v>0</v>
      </c>
    </row>
    <row r="269" spans="1:15" ht="15" customHeight="1" x14ac:dyDescent="0.3">
      <c r="A269" s="23" t="s">
        <v>899</v>
      </c>
      <c r="B269" s="38">
        <v>46285</v>
      </c>
      <c r="C269" s="23" t="s">
        <v>900</v>
      </c>
      <c r="D269" s="23" t="s">
        <v>91</v>
      </c>
      <c r="E269" s="23" t="s">
        <v>75</v>
      </c>
      <c r="F269" s="23" t="s">
        <v>396</v>
      </c>
      <c r="G269" s="23" t="s">
        <v>250</v>
      </c>
      <c r="H269" s="39">
        <f t="shared" si="16"/>
        <v>2999</v>
      </c>
      <c r="I269" s="23" t="str">
        <f t="shared" si="17"/>
        <v>Pune</v>
      </c>
      <c r="J269" s="23">
        <f>COUNTIFS(pg_transaction_cleaned!$O:$O,A269,pg_transaction_cleaned!$F:$F,"CAPTURE")</f>
        <v>1</v>
      </c>
      <c r="K269" s="39">
        <f>SUMIFS(pg_transaction_cleaned!$H:$H,pg_transaction_cleaned!$O:$O,A269,pg_transaction_cleaned!$F:$F,"CAPTURE")</f>
        <v>2999</v>
      </c>
      <c r="L269" s="23">
        <f>COUNTIFS(pg_transaction_cleaned!$O:$O,A269,pg_transaction_cleaned!$F:$F,"REFUND")</f>
        <v>0</v>
      </c>
      <c r="M269" s="39">
        <f>SUMIFS(pg_transaction_cleaned!$H:$H,pg_transaction_cleaned!$O:$O,A269,pg_transaction_cleaned!$F:$F,"REFUND")</f>
        <v>0</v>
      </c>
      <c r="N269" s="23" t="str">
        <f t="shared" si="18"/>
        <v>OK</v>
      </c>
      <c r="O269" s="24">
        <f t="shared" si="19"/>
        <v>0</v>
      </c>
    </row>
    <row r="270" spans="1:15" ht="15" customHeight="1" x14ac:dyDescent="0.3">
      <c r="A270" s="23" t="s">
        <v>901</v>
      </c>
      <c r="B270" s="38">
        <v>46284</v>
      </c>
      <c r="C270" s="23" t="s">
        <v>902</v>
      </c>
      <c r="D270" s="23" t="s">
        <v>95</v>
      </c>
      <c r="E270" s="23" t="s">
        <v>75</v>
      </c>
      <c r="F270" s="23" t="s">
        <v>294</v>
      </c>
      <c r="G270" s="23" t="s">
        <v>250</v>
      </c>
      <c r="H270" s="39">
        <f t="shared" si="16"/>
        <v>1799</v>
      </c>
      <c r="I270" s="23" t="str">
        <f t="shared" si="17"/>
        <v>Bengaluru</v>
      </c>
      <c r="J270" s="23">
        <f>COUNTIFS(pg_transaction_cleaned!$O:$O,A270,pg_transaction_cleaned!$F:$F,"CAPTURE")</f>
        <v>1</v>
      </c>
      <c r="K270" s="39">
        <f>SUMIFS(pg_transaction_cleaned!$H:$H,pg_transaction_cleaned!$O:$O,A270,pg_transaction_cleaned!$F:$F,"CAPTURE")</f>
        <v>1799</v>
      </c>
      <c r="L270" s="23">
        <f>COUNTIFS(pg_transaction_cleaned!$O:$O,A270,pg_transaction_cleaned!$F:$F,"REFUND")</f>
        <v>0</v>
      </c>
      <c r="M270" s="39">
        <f>SUMIFS(pg_transaction_cleaned!$H:$H,pg_transaction_cleaned!$O:$O,A270,pg_transaction_cleaned!$F:$F,"REFUND")</f>
        <v>0</v>
      </c>
      <c r="N270" s="23" t="str">
        <f t="shared" si="18"/>
        <v>OK</v>
      </c>
      <c r="O270" s="24">
        <f t="shared" si="19"/>
        <v>0</v>
      </c>
    </row>
    <row r="271" spans="1:15" ht="15" customHeight="1" x14ac:dyDescent="0.3">
      <c r="A271" s="23" t="s">
        <v>903</v>
      </c>
      <c r="B271" s="38">
        <v>46269</v>
      </c>
      <c r="C271" s="23" t="s">
        <v>904</v>
      </c>
      <c r="D271" s="23" t="s">
        <v>91</v>
      </c>
      <c r="E271" s="23" t="s">
        <v>75</v>
      </c>
      <c r="F271" s="23" t="s">
        <v>291</v>
      </c>
      <c r="G271" s="23" t="s">
        <v>250</v>
      </c>
      <c r="H271" s="39">
        <f t="shared" si="16"/>
        <v>3499</v>
      </c>
      <c r="I271" s="23" t="str">
        <f t="shared" si="17"/>
        <v>Pune</v>
      </c>
      <c r="J271" s="23">
        <f>COUNTIFS(pg_transaction_cleaned!$O:$O,A271,pg_transaction_cleaned!$F:$F,"CAPTURE")</f>
        <v>1</v>
      </c>
      <c r="K271" s="39">
        <f>SUMIFS(pg_transaction_cleaned!$H:$H,pg_transaction_cleaned!$O:$O,A271,pg_transaction_cleaned!$F:$F,"CAPTURE")</f>
        <v>3100</v>
      </c>
      <c r="L271" s="23">
        <f>COUNTIFS(pg_transaction_cleaned!$O:$O,A271,pg_transaction_cleaned!$F:$F,"REFUND")</f>
        <v>0</v>
      </c>
      <c r="M271" s="39">
        <f>SUMIFS(pg_transaction_cleaned!$H:$H,pg_transaction_cleaned!$O:$O,A271,pg_transaction_cleaned!$F:$F,"REFUND")</f>
        <v>0</v>
      </c>
      <c r="N271" s="23" t="str">
        <f t="shared" si="18"/>
        <v>Amount difference</v>
      </c>
      <c r="O271" s="24">
        <f t="shared" si="19"/>
        <v>-399</v>
      </c>
    </row>
    <row r="272" spans="1:15" ht="15" customHeight="1" x14ac:dyDescent="0.3">
      <c r="A272" s="23" t="s">
        <v>905</v>
      </c>
      <c r="B272" s="38">
        <v>46274</v>
      </c>
      <c r="C272" s="23" t="s">
        <v>906</v>
      </c>
      <c r="D272" s="23" t="s">
        <v>90</v>
      </c>
      <c r="E272" s="23" t="s">
        <v>77</v>
      </c>
      <c r="F272" s="23" t="s">
        <v>291</v>
      </c>
      <c r="G272" s="23" t="s">
        <v>250</v>
      </c>
      <c r="H272" s="39">
        <f t="shared" si="16"/>
        <v>3499</v>
      </c>
      <c r="I272" s="23" t="str">
        <f t="shared" si="17"/>
        <v>Ahmedabad</v>
      </c>
      <c r="J272" s="23">
        <f>COUNTIFS(pg_transaction_cleaned!$O:$O,A272,pg_transaction_cleaned!$F:$F,"CAPTURE")</f>
        <v>1</v>
      </c>
      <c r="K272" s="39">
        <f>SUMIFS(pg_transaction_cleaned!$H:$H,pg_transaction_cleaned!$O:$O,A272,pg_transaction_cleaned!$F:$F,"CAPTURE")</f>
        <v>3499</v>
      </c>
      <c r="L272" s="23">
        <f>COUNTIFS(pg_transaction_cleaned!$O:$O,A272,pg_transaction_cleaned!$F:$F,"REFUND")</f>
        <v>0</v>
      </c>
      <c r="M272" s="39">
        <f>SUMIFS(pg_transaction_cleaned!$H:$H,pg_transaction_cleaned!$O:$O,A272,pg_transaction_cleaned!$F:$F,"REFUND")</f>
        <v>0</v>
      </c>
      <c r="N272" s="23" t="str">
        <f t="shared" si="18"/>
        <v>OK</v>
      </c>
      <c r="O272" s="24">
        <f t="shared" si="19"/>
        <v>0</v>
      </c>
    </row>
    <row r="273" spans="1:15" ht="15" customHeight="1" x14ac:dyDescent="0.3">
      <c r="A273" s="23" t="s">
        <v>907</v>
      </c>
      <c r="B273" s="38">
        <v>46272</v>
      </c>
      <c r="C273" s="23" t="s">
        <v>908</v>
      </c>
      <c r="D273" s="23" t="s">
        <v>91</v>
      </c>
      <c r="E273" s="23" t="s">
        <v>75</v>
      </c>
      <c r="F273" s="23" t="s">
        <v>262</v>
      </c>
      <c r="G273" s="23" t="s">
        <v>250</v>
      </c>
      <c r="H273" s="39">
        <f t="shared" si="16"/>
        <v>499</v>
      </c>
      <c r="I273" s="23" t="str">
        <f t="shared" si="17"/>
        <v>Pune</v>
      </c>
      <c r="J273" s="23">
        <f>COUNTIFS(pg_transaction_cleaned!$O:$O,A273,pg_transaction_cleaned!$F:$F,"CAPTURE")</f>
        <v>1</v>
      </c>
      <c r="K273" s="39">
        <f>SUMIFS(pg_transaction_cleaned!$H:$H,pg_transaction_cleaned!$O:$O,A273,pg_transaction_cleaned!$F:$F,"CAPTURE")</f>
        <v>499</v>
      </c>
      <c r="L273" s="23">
        <f>COUNTIFS(pg_transaction_cleaned!$O:$O,A273,pg_transaction_cleaned!$F:$F,"REFUND")</f>
        <v>0</v>
      </c>
      <c r="M273" s="39">
        <f>SUMIFS(pg_transaction_cleaned!$H:$H,pg_transaction_cleaned!$O:$O,A273,pg_transaction_cleaned!$F:$F,"REFUND")</f>
        <v>0</v>
      </c>
      <c r="N273" s="23" t="str">
        <f t="shared" si="18"/>
        <v>OK</v>
      </c>
      <c r="O273" s="24">
        <f t="shared" si="19"/>
        <v>0</v>
      </c>
    </row>
    <row r="274" spans="1:15" ht="15" customHeight="1" x14ac:dyDescent="0.3">
      <c r="A274" s="23" t="s">
        <v>909</v>
      </c>
      <c r="B274" s="38">
        <v>46291</v>
      </c>
      <c r="C274" s="23" t="s">
        <v>910</v>
      </c>
      <c r="D274" s="23" t="s">
        <v>92</v>
      </c>
      <c r="E274" s="23" t="s">
        <v>75</v>
      </c>
      <c r="F274" s="23" t="s">
        <v>911</v>
      </c>
      <c r="G274" s="23" t="s">
        <v>250</v>
      </c>
      <c r="H274" s="39">
        <f t="shared" si="16"/>
        <v>11997</v>
      </c>
      <c r="I274" s="23" t="str">
        <f t="shared" si="17"/>
        <v>Hyderabad</v>
      </c>
      <c r="J274" s="23">
        <f>COUNTIFS(pg_transaction_cleaned!$O:$O,A274,pg_transaction_cleaned!$F:$F,"CAPTURE")</f>
        <v>1</v>
      </c>
      <c r="K274" s="39">
        <f>SUMIFS(pg_transaction_cleaned!$H:$H,pg_transaction_cleaned!$O:$O,A274,pg_transaction_cleaned!$F:$F,"CAPTURE")</f>
        <v>11997</v>
      </c>
      <c r="L274" s="23">
        <f>COUNTIFS(pg_transaction_cleaned!$O:$O,A274,pg_transaction_cleaned!$F:$F,"REFUND")</f>
        <v>0</v>
      </c>
      <c r="M274" s="39">
        <f>SUMIFS(pg_transaction_cleaned!$H:$H,pg_transaction_cleaned!$O:$O,A274,pg_transaction_cleaned!$F:$F,"REFUND")</f>
        <v>0</v>
      </c>
      <c r="N274" s="23" t="str">
        <f t="shared" si="18"/>
        <v>OK</v>
      </c>
      <c r="O274" s="24">
        <f t="shared" si="19"/>
        <v>0</v>
      </c>
    </row>
    <row r="275" spans="1:15" ht="15" customHeight="1" x14ac:dyDescent="0.3">
      <c r="A275" s="23" t="s">
        <v>912</v>
      </c>
      <c r="B275" s="38">
        <v>46294</v>
      </c>
      <c r="C275" s="23" t="s">
        <v>913</v>
      </c>
      <c r="D275" s="23" t="s">
        <v>86</v>
      </c>
      <c r="E275" s="23" t="s">
        <v>79</v>
      </c>
      <c r="F275" s="23" t="s">
        <v>310</v>
      </c>
      <c r="G275" s="23" t="s">
        <v>250</v>
      </c>
      <c r="H275" s="39">
        <f t="shared" si="16"/>
        <v>7999</v>
      </c>
      <c r="I275" s="23" t="str">
        <f t="shared" si="17"/>
        <v>Delhi</v>
      </c>
      <c r="J275" s="23">
        <f>COUNTIFS(pg_transaction_cleaned!$O:$O,A275,pg_transaction_cleaned!$F:$F,"CAPTURE")</f>
        <v>1</v>
      </c>
      <c r="K275" s="39">
        <f>SUMIFS(pg_transaction_cleaned!$H:$H,pg_transaction_cleaned!$O:$O,A275,pg_transaction_cleaned!$F:$F,"CAPTURE")</f>
        <v>7999</v>
      </c>
      <c r="L275" s="23">
        <f>COUNTIFS(pg_transaction_cleaned!$O:$O,A275,pg_transaction_cleaned!$F:$F,"REFUND")</f>
        <v>0</v>
      </c>
      <c r="M275" s="39">
        <f>SUMIFS(pg_transaction_cleaned!$H:$H,pg_transaction_cleaned!$O:$O,A275,pg_transaction_cleaned!$F:$F,"REFUND")</f>
        <v>0</v>
      </c>
      <c r="N275" s="23" t="str">
        <f t="shared" si="18"/>
        <v>OK</v>
      </c>
      <c r="O275" s="24">
        <f t="shared" si="19"/>
        <v>0</v>
      </c>
    </row>
    <row r="276" spans="1:15" ht="15" customHeight="1" x14ac:dyDescent="0.3">
      <c r="A276" s="23" t="s">
        <v>914</v>
      </c>
      <c r="B276" s="38">
        <v>46291</v>
      </c>
      <c r="C276" s="23" t="s">
        <v>915</v>
      </c>
      <c r="D276" s="23" t="s">
        <v>95</v>
      </c>
      <c r="E276" s="23" t="s">
        <v>77</v>
      </c>
      <c r="F276" s="23" t="s">
        <v>294</v>
      </c>
      <c r="G276" s="23" t="s">
        <v>250</v>
      </c>
      <c r="H276" s="39">
        <f t="shared" si="16"/>
        <v>1799</v>
      </c>
      <c r="I276" s="23" t="str">
        <f t="shared" si="17"/>
        <v>Bengaluru</v>
      </c>
      <c r="J276" s="23">
        <f>COUNTIFS(pg_transaction_cleaned!$O:$O,A276,pg_transaction_cleaned!$F:$F,"CAPTURE")</f>
        <v>1</v>
      </c>
      <c r="K276" s="39">
        <f>SUMIFS(pg_transaction_cleaned!$H:$H,pg_transaction_cleaned!$O:$O,A276,pg_transaction_cleaned!$F:$F,"CAPTURE")</f>
        <v>1799</v>
      </c>
      <c r="L276" s="23">
        <f>COUNTIFS(pg_transaction_cleaned!$O:$O,A276,pg_transaction_cleaned!$F:$F,"REFUND")</f>
        <v>0</v>
      </c>
      <c r="M276" s="39">
        <f>SUMIFS(pg_transaction_cleaned!$H:$H,pg_transaction_cleaned!$O:$O,A276,pg_transaction_cleaned!$F:$F,"REFUND")</f>
        <v>0</v>
      </c>
      <c r="N276" s="23" t="str">
        <f t="shared" si="18"/>
        <v>OK</v>
      </c>
      <c r="O276" s="24">
        <f t="shared" si="19"/>
        <v>0</v>
      </c>
    </row>
    <row r="277" spans="1:15" ht="15" customHeight="1" x14ac:dyDescent="0.3">
      <c r="A277" s="23" t="s">
        <v>916</v>
      </c>
      <c r="B277" s="38">
        <v>46291</v>
      </c>
      <c r="C277" s="23" t="s">
        <v>917</v>
      </c>
      <c r="D277" s="23" t="s">
        <v>86</v>
      </c>
      <c r="E277" s="23" t="s">
        <v>75</v>
      </c>
      <c r="F277" s="23" t="s">
        <v>582</v>
      </c>
      <c r="G277" s="23" t="s">
        <v>250</v>
      </c>
      <c r="H277" s="39">
        <f t="shared" si="16"/>
        <v>1298</v>
      </c>
      <c r="I277" s="23" t="str">
        <f t="shared" si="17"/>
        <v>Delhi</v>
      </c>
      <c r="J277" s="23">
        <f>COUNTIFS(pg_transaction_cleaned!$O:$O,A277,pg_transaction_cleaned!$F:$F,"CAPTURE")</f>
        <v>1</v>
      </c>
      <c r="K277" s="39">
        <f>SUMIFS(pg_transaction_cleaned!$H:$H,pg_transaction_cleaned!$O:$O,A277,pg_transaction_cleaned!$F:$F,"CAPTURE")</f>
        <v>1298</v>
      </c>
      <c r="L277" s="23">
        <f>COUNTIFS(pg_transaction_cleaned!$O:$O,A277,pg_transaction_cleaned!$F:$F,"REFUND")</f>
        <v>0</v>
      </c>
      <c r="M277" s="39">
        <f>SUMIFS(pg_transaction_cleaned!$H:$H,pg_transaction_cleaned!$O:$O,A277,pg_transaction_cleaned!$F:$F,"REFUND")</f>
        <v>0</v>
      </c>
      <c r="N277" s="23" t="str">
        <f t="shared" si="18"/>
        <v>OK</v>
      </c>
      <c r="O277" s="24">
        <f t="shared" si="19"/>
        <v>0</v>
      </c>
    </row>
    <row r="278" spans="1:15" ht="15" customHeight="1" x14ac:dyDescent="0.3">
      <c r="A278" s="23" t="s">
        <v>918</v>
      </c>
      <c r="B278" s="38">
        <v>46285</v>
      </c>
      <c r="C278" s="23" t="s">
        <v>919</v>
      </c>
      <c r="D278" s="23"/>
      <c r="E278" s="23" t="s">
        <v>77</v>
      </c>
      <c r="F278" s="23" t="s">
        <v>274</v>
      </c>
      <c r="G278" s="23" t="s">
        <v>250</v>
      </c>
      <c r="H278" s="39">
        <f t="shared" si="16"/>
        <v>349</v>
      </c>
      <c r="I278" s="23" t="str">
        <f t="shared" si="17"/>
        <v>Unknown</v>
      </c>
      <c r="J278" s="23">
        <f>COUNTIFS(pg_transaction_cleaned!$O:$O,A278,pg_transaction_cleaned!$F:$F,"CAPTURE")</f>
        <v>1</v>
      </c>
      <c r="K278" s="39">
        <f>SUMIFS(pg_transaction_cleaned!$H:$H,pg_transaction_cleaned!$O:$O,A278,pg_transaction_cleaned!$F:$F,"CAPTURE")</f>
        <v>349</v>
      </c>
      <c r="L278" s="23">
        <f>COUNTIFS(pg_transaction_cleaned!$O:$O,A278,pg_transaction_cleaned!$F:$F,"REFUND")</f>
        <v>0</v>
      </c>
      <c r="M278" s="39">
        <f>SUMIFS(pg_transaction_cleaned!$H:$H,pg_transaction_cleaned!$O:$O,A278,pg_transaction_cleaned!$F:$F,"REFUND")</f>
        <v>0</v>
      </c>
      <c r="N278" s="23" t="str">
        <f t="shared" si="18"/>
        <v>OK</v>
      </c>
      <c r="O278" s="24">
        <f t="shared" si="19"/>
        <v>0</v>
      </c>
    </row>
    <row r="279" spans="1:15" ht="15" customHeight="1" x14ac:dyDescent="0.3">
      <c r="A279" s="23" t="s">
        <v>920</v>
      </c>
      <c r="B279" s="38">
        <v>46279</v>
      </c>
      <c r="C279" s="23" t="s">
        <v>921</v>
      </c>
      <c r="D279" s="23" t="s">
        <v>91</v>
      </c>
      <c r="E279" s="23" t="s">
        <v>77</v>
      </c>
      <c r="F279" s="23" t="s">
        <v>324</v>
      </c>
      <c r="G279" s="23" t="s">
        <v>250</v>
      </c>
      <c r="H279" s="39">
        <f t="shared" si="16"/>
        <v>10498</v>
      </c>
      <c r="I279" s="23" t="str">
        <f t="shared" si="17"/>
        <v>Pune</v>
      </c>
      <c r="J279" s="23">
        <f>COUNTIFS(pg_transaction_cleaned!$O:$O,A279,pg_transaction_cleaned!$F:$F,"CAPTURE")</f>
        <v>1</v>
      </c>
      <c r="K279" s="39">
        <f>SUMIFS(pg_transaction_cleaned!$H:$H,pg_transaction_cleaned!$O:$O,A279,pg_transaction_cleaned!$F:$F,"CAPTURE")</f>
        <v>10498</v>
      </c>
      <c r="L279" s="23">
        <f>COUNTIFS(pg_transaction_cleaned!$O:$O,A279,pg_transaction_cleaned!$F:$F,"REFUND")</f>
        <v>0</v>
      </c>
      <c r="M279" s="39">
        <f>SUMIFS(pg_transaction_cleaned!$H:$H,pg_transaction_cleaned!$O:$O,A279,pg_transaction_cleaned!$F:$F,"REFUND")</f>
        <v>0</v>
      </c>
      <c r="N279" s="23" t="str">
        <f t="shared" si="18"/>
        <v>OK</v>
      </c>
      <c r="O279" s="24">
        <f t="shared" si="19"/>
        <v>0</v>
      </c>
    </row>
    <row r="280" spans="1:15" ht="15" customHeight="1" x14ac:dyDescent="0.3">
      <c r="A280" s="23" t="s">
        <v>922</v>
      </c>
      <c r="B280" s="38">
        <v>46280</v>
      </c>
      <c r="C280" s="23" t="s">
        <v>923</v>
      </c>
      <c r="D280" s="23" t="s">
        <v>88</v>
      </c>
      <c r="E280" s="23" t="s">
        <v>81</v>
      </c>
      <c r="F280" s="23" t="s">
        <v>772</v>
      </c>
      <c r="G280" s="23" t="s">
        <v>250</v>
      </c>
      <c r="H280" s="39">
        <f t="shared" si="16"/>
        <v>4798</v>
      </c>
      <c r="I280" s="23" t="str">
        <f t="shared" si="17"/>
        <v>Lucknow</v>
      </c>
      <c r="J280" s="23">
        <f>COUNTIFS(pg_transaction_cleaned!$O:$O,A280,pg_transaction_cleaned!$F:$F,"CAPTURE")</f>
        <v>1</v>
      </c>
      <c r="K280" s="39">
        <f>SUMIFS(pg_transaction_cleaned!$H:$H,pg_transaction_cleaned!$O:$O,A280,pg_transaction_cleaned!$F:$F,"CAPTURE")</f>
        <v>4798</v>
      </c>
      <c r="L280" s="23">
        <f>COUNTIFS(pg_transaction_cleaned!$O:$O,A280,pg_transaction_cleaned!$F:$F,"REFUND")</f>
        <v>0</v>
      </c>
      <c r="M280" s="39">
        <f>SUMIFS(pg_transaction_cleaned!$H:$H,pg_transaction_cleaned!$O:$O,A280,pg_transaction_cleaned!$F:$F,"REFUND")</f>
        <v>0</v>
      </c>
      <c r="N280" s="23" t="str">
        <f t="shared" si="18"/>
        <v>OK</v>
      </c>
      <c r="O280" s="24">
        <f t="shared" si="19"/>
        <v>0</v>
      </c>
    </row>
    <row r="281" spans="1:15" ht="15" customHeight="1" x14ac:dyDescent="0.3">
      <c r="A281" s="23" t="s">
        <v>924</v>
      </c>
      <c r="B281" s="38">
        <v>46271</v>
      </c>
      <c r="C281" s="23" t="s">
        <v>925</v>
      </c>
      <c r="D281" s="23" t="s">
        <v>89</v>
      </c>
      <c r="E281" s="23" t="s">
        <v>81</v>
      </c>
      <c r="F281" s="23" t="s">
        <v>268</v>
      </c>
      <c r="G281" s="23" t="s">
        <v>250</v>
      </c>
      <c r="H281" s="39">
        <f t="shared" si="16"/>
        <v>1299</v>
      </c>
      <c r="I281" s="23" t="str">
        <f t="shared" si="17"/>
        <v>Jaipur</v>
      </c>
      <c r="J281" s="23">
        <f>COUNTIFS(pg_transaction_cleaned!$O:$O,A281,pg_transaction_cleaned!$F:$F,"CAPTURE")</f>
        <v>1</v>
      </c>
      <c r="K281" s="39">
        <f>SUMIFS(pg_transaction_cleaned!$H:$H,pg_transaction_cleaned!$O:$O,A281,pg_transaction_cleaned!$F:$F,"CAPTURE")</f>
        <v>1299</v>
      </c>
      <c r="L281" s="23">
        <f>COUNTIFS(pg_transaction_cleaned!$O:$O,A281,pg_transaction_cleaned!$F:$F,"REFUND")</f>
        <v>0</v>
      </c>
      <c r="M281" s="39">
        <f>SUMIFS(pg_transaction_cleaned!$H:$H,pg_transaction_cleaned!$O:$O,A281,pg_transaction_cleaned!$F:$F,"REFUND")</f>
        <v>0</v>
      </c>
      <c r="N281" s="23" t="str">
        <f t="shared" si="18"/>
        <v>OK</v>
      </c>
      <c r="O281" s="24">
        <f t="shared" si="19"/>
        <v>0</v>
      </c>
    </row>
    <row r="282" spans="1:15" ht="15" customHeight="1" x14ac:dyDescent="0.3">
      <c r="A282" s="23" t="s">
        <v>926</v>
      </c>
      <c r="B282" s="38">
        <v>46270</v>
      </c>
      <c r="C282" s="23" t="s">
        <v>927</v>
      </c>
      <c r="D282" s="23" t="s">
        <v>94</v>
      </c>
      <c r="E282" s="23" t="s">
        <v>77</v>
      </c>
      <c r="F282" s="23" t="s">
        <v>262</v>
      </c>
      <c r="G282" s="23" t="s">
        <v>250</v>
      </c>
      <c r="H282" s="39">
        <f t="shared" si="16"/>
        <v>499</v>
      </c>
      <c r="I282" s="23" t="str">
        <f t="shared" si="17"/>
        <v>Chennai</v>
      </c>
      <c r="J282" s="23">
        <f>COUNTIFS(pg_transaction_cleaned!$O:$O,A282,pg_transaction_cleaned!$F:$F,"CAPTURE")</f>
        <v>1</v>
      </c>
      <c r="K282" s="39">
        <f>SUMIFS(pg_transaction_cleaned!$H:$H,pg_transaction_cleaned!$O:$O,A282,pg_transaction_cleaned!$F:$F,"CAPTURE")</f>
        <v>499</v>
      </c>
      <c r="L282" s="23">
        <f>COUNTIFS(pg_transaction_cleaned!$O:$O,A282,pg_transaction_cleaned!$F:$F,"REFUND")</f>
        <v>0</v>
      </c>
      <c r="M282" s="39">
        <f>SUMIFS(pg_transaction_cleaned!$H:$H,pg_transaction_cleaned!$O:$O,A282,pg_transaction_cleaned!$F:$F,"REFUND")</f>
        <v>0</v>
      </c>
      <c r="N282" s="23" t="str">
        <f t="shared" si="18"/>
        <v>OK</v>
      </c>
      <c r="O282" s="24">
        <f t="shared" si="19"/>
        <v>0</v>
      </c>
    </row>
    <row r="283" spans="1:15" ht="15" customHeight="1" x14ac:dyDescent="0.3">
      <c r="A283" s="23" t="s">
        <v>928</v>
      </c>
      <c r="B283" s="38">
        <v>46282</v>
      </c>
      <c r="C283" s="23" t="s">
        <v>929</v>
      </c>
      <c r="D283" s="23" t="s">
        <v>92</v>
      </c>
      <c r="E283" s="23" t="s">
        <v>75</v>
      </c>
      <c r="F283" s="23" t="s">
        <v>310</v>
      </c>
      <c r="G283" s="23" t="s">
        <v>250</v>
      </c>
      <c r="H283" s="39">
        <f t="shared" si="16"/>
        <v>7999</v>
      </c>
      <c r="I283" s="23" t="str">
        <f t="shared" si="17"/>
        <v>Hyderabad</v>
      </c>
      <c r="J283" s="23">
        <f>COUNTIFS(pg_transaction_cleaned!$O:$O,A283,pg_transaction_cleaned!$F:$F,"CAPTURE")</f>
        <v>1</v>
      </c>
      <c r="K283" s="39">
        <f>SUMIFS(pg_transaction_cleaned!$H:$H,pg_transaction_cleaned!$O:$O,A283,pg_transaction_cleaned!$F:$F,"CAPTURE")</f>
        <v>7999</v>
      </c>
      <c r="L283" s="23">
        <f>COUNTIFS(pg_transaction_cleaned!$O:$O,A283,pg_transaction_cleaned!$F:$F,"REFUND")</f>
        <v>0</v>
      </c>
      <c r="M283" s="39">
        <f>SUMIFS(pg_transaction_cleaned!$H:$H,pg_transaction_cleaned!$O:$O,A283,pg_transaction_cleaned!$F:$F,"REFUND")</f>
        <v>0</v>
      </c>
      <c r="N283" s="23" t="str">
        <f t="shared" si="18"/>
        <v>OK</v>
      </c>
      <c r="O283" s="24">
        <f t="shared" si="19"/>
        <v>0</v>
      </c>
    </row>
    <row r="284" spans="1:15" ht="15" customHeight="1" x14ac:dyDescent="0.3">
      <c r="A284" s="23" t="s">
        <v>930</v>
      </c>
      <c r="B284" s="38">
        <v>46270</v>
      </c>
      <c r="C284" s="23" t="s">
        <v>931</v>
      </c>
      <c r="D284" s="23" t="s">
        <v>88</v>
      </c>
      <c r="E284" s="23" t="s">
        <v>79</v>
      </c>
      <c r="F284" s="23" t="s">
        <v>680</v>
      </c>
      <c r="G284" s="23" t="s">
        <v>250</v>
      </c>
      <c r="H284" s="39">
        <f t="shared" si="16"/>
        <v>5097</v>
      </c>
      <c r="I284" s="23" t="str">
        <f t="shared" si="17"/>
        <v>Lucknow</v>
      </c>
      <c r="J284" s="23">
        <f>COUNTIFS(pg_transaction_cleaned!$O:$O,A284,pg_transaction_cleaned!$F:$F,"CAPTURE")</f>
        <v>1</v>
      </c>
      <c r="K284" s="39">
        <f>SUMIFS(pg_transaction_cleaned!$H:$H,pg_transaction_cleaned!$O:$O,A284,pg_transaction_cleaned!$F:$F,"CAPTURE")</f>
        <v>5097</v>
      </c>
      <c r="L284" s="23">
        <f>COUNTIFS(pg_transaction_cleaned!$O:$O,A284,pg_transaction_cleaned!$F:$F,"REFUND")</f>
        <v>0</v>
      </c>
      <c r="M284" s="39">
        <f>SUMIFS(pg_transaction_cleaned!$H:$H,pg_transaction_cleaned!$O:$O,A284,pg_transaction_cleaned!$F:$F,"REFUND")</f>
        <v>0</v>
      </c>
      <c r="N284" s="23" t="str">
        <f t="shared" si="18"/>
        <v>OK</v>
      </c>
      <c r="O284" s="24">
        <f t="shared" si="19"/>
        <v>0</v>
      </c>
    </row>
    <row r="285" spans="1:15" ht="15" customHeight="1" x14ac:dyDescent="0.3">
      <c r="A285" s="23" t="s">
        <v>932</v>
      </c>
      <c r="B285" s="38">
        <v>46270</v>
      </c>
      <c r="C285" s="23" t="s">
        <v>933</v>
      </c>
      <c r="D285" s="23" t="s">
        <v>88</v>
      </c>
      <c r="E285" s="23" t="s">
        <v>77</v>
      </c>
      <c r="F285" s="23" t="s">
        <v>396</v>
      </c>
      <c r="G285" s="23" t="s">
        <v>250</v>
      </c>
      <c r="H285" s="39">
        <f t="shared" si="16"/>
        <v>2999</v>
      </c>
      <c r="I285" s="23" t="str">
        <f t="shared" si="17"/>
        <v>Lucknow</v>
      </c>
      <c r="J285" s="23">
        <f>COUNTIFS(pg_transaction_cleaned!$O:$O,A285,pg_transaction_cleaned!$F:$F,"CAPTURE")</f>
        <v>1</v>
      </c>
      <c r="K285" s="39">
        <f>SUMIFS(pg_transaction_cleaned!$H:$H,pg_transaction_cleaned!$O:$O,A285,pg_transaction_cleaned!$F:$F,"CAPTURE")</f>
        <v>2999</v>
      </c>
      <c r="L285" s="23">
        <f>COUNTIFS(pg_transaction_cleaned!$O:$O,A285,pg_transaction_cleaned!$F:$F,"REFUND")</f>
        <v>0</v>
      </c>
      <c r="M285" s="39">
        <f>SUMIFS(pg_transaction_cleaned!$H:$H,pg_transaction_cleaned!$O:$O,A285,pg_transaction_cleaned!$F:$F,"REFUND")</f>
        <v>0</v>
      </c>
      <c r="N285" s="23" t="str">
        <f t="shared" si="18"/>
        <v>OK</v>
      </c>
      <c r="O285" s="24">
        <f t="shared" si="19"/>
        <v>0</v>
      </c>
    </row>
    <row r="286" spans="1:15" ht="15" customHeight="1" x14ac:dyDescent="0.3">
      <c r="A286" s="23" t="s">
        <v>934</v>
      </c>
      <c r="B286" s="38">
        <v>46267</v>
      </c>
      <c r="C286" s="23" t="s">
        <v>935</v>
      </c>
      <c r="D286" s="23" t="s">
        <v>92</v>
      </c>
      <c r="E286" s="23" t="s">
        <v>79</v>
      </c>
      <c r="F286" s="23" t="s">
        <v>274</v>
      </c>
      <c r="G286" s="23" t="s">
        <v>250</v>
      </c>
      <c r="H286" s="39">
        <f t="shared" si="16"/>
        <v>349</v>
      </c>
      <c r="I286" s="23" t="str">
        <f t="shared" si="17"/>
        <v>Hyderabad</v>
      </c>
      <c r="J286" s="23">
        <f>COUNTIFS(pg_transaction_cleaned!$O:$O,A286,pg_transaction_cleaned!$F:$F,"CAPTURE")</f>
        <v>1</v>
      </c>
      <c r="K286" s="39">
        <f>SUMIFS(pg_transaction_cleaned!$H:$H,pg_transaction_cleaned!$O:$O,A286,pg_transaction_cleaned!$F:$F,"CAPTURE")</f>
        <v>349</v>
      </c>
      <c r="L286" s="23">
        <f>COUNTIFS(pg_transaction_cleaned!$O:$O,A286,pg_transaction_cleaned!$F:$F,"REFUND")</f>
        <v>0</v>
      </c>
      <c r="M286" s="39">
        <f>SUMIFS(pg_transaction_cleaned!$H:$H,pg_transaction_cleaned!$O:$O,A286,pg_transaction_cleaned!$F:$F,"REFUND")</f>
        <v>0</v>
      </c>
      <c r="N286" s="23" t="str">
        <f t="shared" si="18"/>
        <v>OK</v>
      </c>
      <c r="O286" s="24">
        <f t="shared" si="19"/>
        <v>0</v>
      </c>
    </row>
    <row r="287" spans="1:15" ht="15" customHeight="1" x14ac:dyDescent="0.3">
      <c r="A287" s="23" t="s">
        <v>936</v>
      </c>
      <c r="B287" s="38">
        <v>46286</v>
      </c>
      <c r="C287" s="23" t="s">
        <v>937</v>
      </c>
      <c r="D287" s="23"/>
      <c r="E287" s="23" t="s">
        <v>79</v>
      </c>
      <c r="F287" s="23" t="s">
        <v>297</v>
      </c>
      <c r="G287" s="23" t="s">
        <v>250</v>
      </c>
      <c r="H287" s="39">
        <f t="shared" si="16"/>
        <v>4999</v>
      </c>
      <c r="I287" s="23" t="str">
        <f t="shared" si="17"/>
        <v>Unknown</v>
      </c>
      <c r="J287" s="23">
        <f>COUNTIFS(pg_transaction_cleaned!$O:$O,A287,pg_transaction_cleaned!$F:$F,"CAPTURE")</f>
        <v>1</v>
      </c>
      <c r="K287" s="39">
        <f>SUMIFS(pg_transaction_cleaned!$H:$H,pg_transaction_cleaned!$O:$O,A287,pg_transaction_cleaned!$F:$F,"CAPTURE")</f>
        <v>4999</v>
      </c>
      <c r="L287" s="23">
        <f>COUNTIFS(pg_transaction_cleaned!$O:$O,A287,pg_transaction_cleaned!$F:$F,"REFUND")</f>
        <v>0</v>
      </c>
      <c r="M287" s="39">
        <f>SUMIFS(pg_transaction_cleaned!$H:$H,pg_transaction_cleaned!$O:$O,A287,pg_transaction_cleaned!$F:$F,"REFUND")</f>
        <v>0</v>
      </c>
      <c r="N287" s="23" t="str">
        <f t="shared" si="18"/>
        <v>OK</v>
      </c>
      <c r="O287" s="24">
        <f t="shared" si="19"/>
        <v>0</v>
      </c>
    </row>
    <row r="288" spans="1:15" ht="15" customHeight="1" x14ac:dyDescent="0.3">
      <c r="A288" s="23" t="s">
        <v>938</v>
      </c>
      <c r="B288" s="38">
        <v>46294</v>
      </c>
      <c r="C288" s="23" t="s">
        <v>939</v>
      </c>
      <c r="D288" s="23" t="s">
        <v>93</v>
      </c>
      <c r="E288" s="23" t="s">
        <v>75</v>
      </c>
      <c r="F288" s="23" t="s">
        <v>647</v>
      </c>
      <c r="G288" s="23" t="s">
        <v>318</v>
      </c>
      <c r="H288" s="39">
        <f t="shared" si="16"/>
        <v>5597</v>
      </c>
      <c r="I288" s="23" t="str">
        <f t="shared" si="17"/>
        <v>Kolkata</v>
      </c>
      <c r="J288" s="23">
        <f>COUNTIFS(pg_transaction_cleaned!$O:$O,A288,pg_transaction_cleaned!$F:$F,"CAPTURE")</f>
        <v>0</v>
      </c>
      <c r="K288" s="39">
        <f>SUMIFS(pg_transaction_cleaned!$H:$H,pg_transaction_cleaned!$O:$O,A288,pg_transaction_cleaned!$F:$F,"CAPTURE")</f>
        <v>0</v>
      </c>
      <c r="L288" s="23">
        <f>COUNTIFS(pg_transaction_cleaned!$O:$O,A288,pg_transaction_cleaned!$F:$F,"REFUND")</f>
        <v>0</v>
      </c>
      <c r="M288" s="39">
        <f>SUMIFS(pg_transaction_cleaned!$H:$H,pg_transaction_cleaned!$O:$O,A288,pg_transaction_cleaned!$F:$F,"REFUND")</f>
        <v>0</v>
      </c>
      <c r="N288" s="23" t="str">
        <f t="shared" si="18"/>
        <v>OK</v>
      </c>
      <c r="O288" s="24">
        <f t="shared" si="19"/>
        <v>0</v>
      </c>
    </row>
    <row r="289" spans="1:15" ht="15" customHeight="1" x14ac:dyDescent="0.3">
      <c r="A289" s="23" t="s">
        <v>940</v>
      </c>
      <c r="B289" s="38">
        <v>46275</v>
      </c>
      <c r="C289" s="23" t="s">
        <v>941</v>
      </c>
      <c r="D289" s="23" t="s">
        <v>90</v>
      </c>
      <c r="E289" s="23" t="s">
        <v>75</v>
      </c>
      <c r="F289" s="23" t="s">
        <v>724</v>
      </c>
      <c r="G289" s="23" t="s">
        <v>250</v>
      </c>
      <c r="H289" s="39">
        <f t="shared" si="16"/>
        <v>3848</v>
      </c>
      <c r="I289" s="23" t="str">
        <f t="shared" si="17"/>
        <v>Ahmedabad</v>
      </c>
      <c r="J289" s="23">
        <f>COUNTIFS(pg_transaction_cleaned!$O:$O,A289,pg_transaction_cleaned!$F:$F,"CAPTURE")</f>
        <v>1</v>
      </c>
      <c r="K289" s="39">
        <f>SUMIFS(pg_transaction_cleaned!$H:$H,pg_transaction_cleaned!$O:$O,A289,pg_transaction_cleaned!$F:$F,"CAPTURE")</f>
        <v>3848</v>
      </c>
      <c r="L289" s="23">
        <f>COUNTIFS(pg_transaction_cleaned!$O:$O,A289,pg_transaction_cleaned!$F:$F,"REFUND")</f>
        <v>0</v>
      </c>
      <c r="M289" s="39">
        <f>SUMIFS(pg_transaction_cleaned!$H:$H,pg_transaction_cleaned!$O:$O,A289,pg_transaction_cleaned!$F:$F,"REFUND")</f>
        <v>0</v>
      </c>
      <c r="N289" s="23" t="str">
        <f t="shared" si="18"/>
        <v>OK</v>
      </c>
      <c r="O289" s="24">
        <f t="shared" si="19"/>
        <v>0</v>
      </c>
    </row>
    <row r="290" spans="1:15" ht="15" customHeight="1" x14ac:dyDescent="0.3">
      <c r="A290" s="23" t="s">
        <v>942</v>
      </c>
      <c r="B290" s="38">
        <v>46272</v>
      </c>
      <c r="C290" s="23" t="s">
        <v>943</v>
      </c>
      <c r="D290" s="23" t="s">
        <v>94</v>
      </c>
      <c r="E290" s="23" t="s">
        <v>81</v>
      </c>
      <c r="F290" s="23" t="s">
        <v>271</v>
      </c>
      <c r="G290" s="23" t="s">
        <v>250</v>
      </c>
      <c r="H290" s="39">
        <f t="shared" si="16"/>
        <v>2499</v>
      </c>
      <c r="I290" s="23" t="str">
        <f t="shared" si="17"/>
        <v>Chennai</v>
      </c>
      <c r="J290" s="23">
        <f>COUNTIFS(pg_transaction_cleaned!$O:$O,A290,pg_transaction_cleaned!$F:$F,"CAPTURE")</f>
        <v>1</v>
      </c>
      <c r="K290" s="39">
        <f>SUMIFS(pg_transaction_cleaned!$H:$H,pg_transaction_cleaned!$O:$O,A290,pg_transaction_cleaned!$F:$F,"CAPTURE")</f>
        <v>2499</v>
      </c>
      <c r="L290" s="23">
        <f>COUNTIFS(pg_transaction_cleaned!$O:$O,A290,pg_transaction_cleaned!$F:$F,"REFUND")</f>
        <v>0</v>
      </c>
      <c r="M290" s="39">
        <f>SUMIFS(pg_transaction_cleaned!$H:$H,pg_transaction_cleaned!$O:$O,A290,pg_transaction_cleaned!$F:$F,"REFUND")</f>
        <v>0</v>
      </c>
      <c r="N290" s="23" t="str">
        <f t="shared" si="18"/>
        <v>OK</v>
      </c>
      <c r="O290" s="24">
        <f t="shared" si="19"/>
        <v>0</v>
      </c>
    </row>
    <row r="291" spans="1:15" ht="15" customHeight="1" x14ac:dyDescent="0.3">
      <c r="A291" s="23" t="s">
        <v>944</v>
      </c>
      <c r="B291" s="38">
        <v>46278</v>
      </c>
      <c r="C291" s="23" t="s">
        <v>945</v>
      </c>
      <c r="D291" s="23" t="s">
        <v>95</v>
      </c>
      <c r="E291" s="23" t="s">
        <v>79</v>
      </c>
      <c r="F291" s="23" t="s">
        <v>775</v>
      </c>
      <c r="G291" s="23" t="s">
        <v>250</v>
      </c>
      <c r="H291" s="39">
        <f t="shared" si="16"/>
        <v>4999</v>
      </c>
      <c r="I291" s="23" t="str">
        <f t="shared" si="17"/>
        <v>Bengaluru</v>
      </c>
      <c r="J291" s="23">
        <f>COUNTIFS(pg_transaction_cleaned!$O:$O,A291,pg_transaction_cleaned!$F:$F,"CAPTURE")</f>
        <v>1</v>
      </c>
      <c r="K291" s="39">
        <f>SUMIFS(pg_transaction_cleaned!$H:$H,pg_transaction_cleaned!$O:$O,A291,pg_transaction_cleaned!$F:$F,"CAPTURE")</f>
        <v>4999</v>
      </c>
      <c r="L291" s="23">
        <f>COUNTIFS(pg_transaction_cleaned!$O:$O,A291,pg_transaction_cleaned!$F:$F,"REFUND")</f>
        <v>0</v>
      </c>
      <c r="M291" s="39">
        <f>SUMIFS(pg_transaction_cleaned!$H:$H,pg_transaction_cleaned!$O:$O,A291,pg_transaction_cleaned!$F:$F,"REFUND")</f>
        <v>0</v>
      </c>
      <c r="N291" s="23" t="str">
        <f t="shared" si="18"/>
        <v>OK</v>
      </c>
      <c r="O291" s="24">
        <f t="shared" si="19"/>
        <v>0</v>
      </c>
    </row>
    <row r="292" spans="1:15" ht="15" customHeight="1" x14ac:dyDescent="0.3">
      <c r="A292" s="23" t="s">
        <v>946</v>
      </c>
      <c r="B292" s="38">
        <v>46280</v>
      </c>
      <c r="C292" s="23" t="s">
        <v>947</v>
      </c>
      <c r="D292" s="23" t="s">
        <v>92</v>
      </c>
      <c r="E292" s="23" t="s">
        <v>75</v>
      </c>
      <c r="F292" s="23" t="s">
        <v>760</v>
      </c>
      <c r="G292" s="23" t="s">
        <v>250</v>
      </c>
      <c r="H292" s="39">
        <f t="shared" si="16"/>
        <v>799</v>
      </c>
      <c r="I292" s="23" t="str">
        <f t="shared" si="17"/>
        <v>Hyderabad</v>
      </c>
      <c r="J292" s="23">
        <f>COUNTIFS(pg_transaction_cleaned!$O:$O,A292,pg_transaction_cleaned!$F:$F,"CAPTURE")</f>
        <v>1</v>
      </c>
      <c r="K292" s="39">
        <f>SUMIFS(pg_transaction_cleaned!$H:$H,pg_transaction_cleaned!$O:$O,A292,pg_transaction_cleaned!$F:$F,"CAPTURE")</f>
        <v>799</v>
      </c>
      <c r="L292" s="23">
        <f>COUNTIFS(pg_transaction_cleaned!$O:$O,A292,pg_transaction_cleaned!$F:$F,"REFUND")</f>
        <v>0</v>
      </c>
      <c r="M292" s="39">
        <f>SUMIFS(pg_transaction_cleaned!$H:$H,pg_transaction_cleaned!$O:$O,A292,pg_transaction_cleaned!$F:$F,"REFUND")</f>
        <v>0</v>
      </c>
      <c r="N292" s="23" t="str">
        <f t="shared" si="18"/>
        <v>OK</v>
      </c>
      <c r="O292" s="24">
        <f t="shared" si="19"/>
        <v>0</v>
      </c>
    </row>
    <row r="293" spans="1:15" ht="15" customHeight="1" x14ac:dyDescent="0.3">
      <c r="A293" s="23" t="s">
        <v>948</v>
      </c>
      <c r="B293" s="38">
        <v>46278</v>
      </c>
      <c r="C293" s="23" t="s">
        <v>949</v>
      </c>
      <c r="D293" s="23" t="s">
        <v>88</v>
      </c>
      <c r="E293" s="23" t="s">
        <v>77</v>
      </c>
      <c r="F293" s="23" t="s">
        <v>950</v>
      </c>
      <c r="G293" s="23" t="s">
        <v>301</v>
      </c>
      <c r="H293" s="39">
        <f t="shared" si="16"/>
        <v>1898</v>
      </c>
      <c r="I293" s="23" t="str">
        <f t="shared" si="17"/>
        <v>Lucknow</v>
      </c>
      <c r="J293" s="23">
        <f>COUNTIFS(pg_transaction_cleaned!$O:$O,A293,pg_transaction_cleaned!$F:$F,"CAPTURE")</f>
        <v>1</v>
      </c>
      <c r="K293" s="39">
        <f>SUMIFS(pg_transaction_cleaned!$H:$H,pg_transaction_cleaned!$O:$O,A293,pg_transaction_cleaned!$F:$F,"CAPTURE")</f>
        <v>1898</v>
      </c>
      <c r="L293" s="23">
        <f>COUNTIFS(pg_transaction_cleaned!$O:$O,A293,pg_transaction_cleaned!$F:$F,"REFUND")</f>
        <v>1</v>
      </c>
      <c r="M293" s="39">
        <f>SUMIFS(pg_transaction_cleaned!$H:$H,pg_transaction_cleaned!$O:$O,A293,pg_transaction_cleaned!$F:$F,"REFUND")</f>
        <v>1898</v>
      </c>
      <c r="N293" s="23" t="str">
        <f t="shared" si="18"/>
        <v>OK</v>
      </c>
      <c r="O293" s="24">
        <f t="shared" si="19"/>
        <v>0</v>
      </c>
    </row>
    <row r="294" spans="1:15" ht="15" customHeight="1" x14ac:dyDescent="0.3">
      <c r="A294" s="23" t="s">
        <v>951</v>
      </c>
      <c r="B294" s="38">
        <v>46289</v>
      </c>
      <c r="C294" s="23" t="s">
        <v>952</v>
      </c>
      <c r="D294" s="23" t="s">
        <v>90</v>
      </c>
      <c r="E294" s="23" t="s">
        <v>75</v>
      </c>
      <c r="F294" s="23" t="s">
        <v>390</v>
      </c>
      <c r="G294" s="23" t="s">
        <v>250</v>
      </c>
      <c r="H294" s="39">
        <f t="shared" si="16"/>
        <v>599</v>
      </c>
      <c r="I294" s="23" t="str">
        <f t="shared" si="17"/>
        <v>Ahmedabad</v>
      </c>
      <c r="J294" s="23">
        <f>COUNTIFS(pg_transaction_cleaned!$O:$O,A294,pg_transaction_cleaned!$F:$F,"CAPTURE")</f>
        <v>1</v>
      </c>
      <c r="K294" s="39">
        <f>SUMIFS(pg_transaction_cleaned!$H:$H,pg_transaction_cleaned!$O:$O,A294,pg_transaction_cleaned!$F:$F,"CAPTURE")</f>
        <v>599</v>
      </c>
      <c r="L294" s="23">
        <f>COUNTIFS(pg_transaction_cleaned!$O:$O,A294,pg_transaction_cleaned!$F:$F,"REFUND")</f>
        <v>0</v>
      </c>
      <c r="M294" s="39">
        <f>SUMIFS(pg_transaction_cleaned!$H:$H,pg_transaction_cleaned!$O:$O,A294,pg_transaction_cleaned!$F:$F,"REFUND")</f>
        <v>0</v>
      </c>
      <c r="N294" s="23" t="str">
        <f t="shared" si="18"/>
        <v>OK</v>
      </c>
      <c r="O294" s="24">
        <f t="shared" si="19"/>
        <v>0</v>
      </c>
    </row>
    <row r="295" spans="1:15" ht="15" customHeight="1" x14ac:dyDescent="0.3">
      <c r="A295" s="23" t="s">
        <v>953</v>
      </c>
      <c r="B295" s="38">
        <v>46281</v>
      </c>
      <c r="C295" s="23" t="s">
        <v>954</v>
      </c>
      <c r="D295" s="23" t="s">
        <v>90</v>
      </c>
      <c r="E295" s="23" t="s">
        <v>77</v>
      </c>
      <c r="F295" s="23" t="s">
        <v>315</v>
      </c>
      <c r="G295" s="23" t="s">
        <v>250</v>
      </c>
      <c r="H295" s="39">
        <f t="shared" si="16"/>
        <v>1499</v>
      </c>
      <c r="I295" s="23" t="str">
        <f t="shared" si="17"/>
        <v>Ahmedabad</v>
      </c>
      <c r="J295" s="23">
        <f>COUNTIFS(pg_transaction_cleaned!$O:$O,A295,pg_transaction_cleaned!$F:$F,"CAPTURE")</f>
        <v>1</v>
      </c>
      <c r="K295" s="39">
        <f>SUMIFS(pg_transaction_cleaned!$H:$H,pg_transaction_cleaned!$O:$O,A295,pg_transaction_cleaned!$F:$F,"CAPTURE")</f>
        <v>1499</v>
      </c>
      <c r="L295" s="23">
        <f>COUNTIFS(pg_transaction_cleaned!$O:$O,A295,pg_transaction_cleaned!$F:$F,"REFUND")</f>
        <v>0</v>
      </c>
      <c r="M295" s="39">
        <f>SUMIFS(pg_transaction_cleaned!$H:$H,pg_transaction_cleaned!$O:$O,A295,pg_transaction_cleaned!$F:$F,"REFUND")</f>
        <v>0</v>
      </c>
      <c r="N295" s="23" t="str">
        <f t="shared" si="18"/>
        <v>OK</v>
      </c>
      <c r="O295" s="24">
        <f t="shared" si="19"/>
        <v>0</v>
      </c>
    </row>
    <row r="296" spans="1:15" ht="15" customHeight="1" x14ac:dyDescent="0.3">
      <c r="A296" s="23" t="s">
        <v>955</v>
      </c>
      <c r="B296" s="38">
        <v>46273</v>
      </c>
      <c r="C296" s="23" t="s">
        <v>956</v>
      </c>
      <c r="D296" s="23" t="s">
        <v>88</v>
      </c>
      <c r="E296" s="23" t="s">
        <v>75</v>
      </c>
      <c r="F296" s="23" t="s">
        <v>271</v>
      </c>
      <c r="G296" s="23" t="s">
        <v>250</v>
      </c>
      <c r="H296" s="39">
        <f t="shared" si="16"/>
        <v>2499</v>
      </c>
      <c r="I296" s="23" t="str">
        <f t="shared" si="17"/>
        <v>Lucknow</v>
      </c>
      <c r="J296" s="23">
        <f>COUNTIFS(pg_transaction_cleaned!$O:$O,A296,pg_transaction_cleaned!$F:$F,"CAPTURE")</f>
        <v>1</v>
      </c>
      <c r="K296" s="39">
        <f>SUMIFS(pg_transaction_cleaned!$H:$H,pg_transaction_cleaned!$O:$O,A296,pg_transaction_cleaned!$F:$F,"CAPTURE")</f>
        <v>2499</v>
      </c>
      <c r="L296" s="23">
        <f>COUNTIFS(pg_transaction_cleaned!$O:$O,A296,pg_transaction_cleaned!$F:$F,"REFUND")</f>
        <v>0</v>
      </c>
      <c r="M296" s="39">
        <f>SUMIFS(pg_transaction_cleaned!$H:$H,pg_transaction_cleaned!$O:$O,A296,pg_transaction_cleaned!$F:$F,"REFUND")</f>
        <v>0</v>
      </c>
      <c r="N296" s="23" t="str">
        <f t="shared" si="18"/>
        <v>OK</v>
      </c>
      <c r="O296" s="24">
        <f t="shared" si="19"/>
        <v>0</v>
      </c>
    </row>
    <row r="297" spans="1:15" ht="15" customHeight="1" x14ac:dyDescent="0.3">
      <c r="A297" s="23" t="s">
        <v>957</v>
      </c>
      <c r="B297" s="38">
        <v>46294</v>
      </c>
      <c r="C297" s="23" t="s">
        <v>958</v>
      </c>
      <c r="D297" s="23" t="s">
        <v>86</v>
      </c>
      <c r="E297" s="23" t="s">
        <v>81</v>
      </c>
      <c r="F297" s="23" t="s">
        <v>587</v>
      </c>
      <c r="G297" s="23" t="s">
        <v>250</v>
      </c>
      <c r="H297" s="39">
        <f t="shared" si="16"/>
        <v>5297</v>
      </c>
      <c r="I297" s="23" t="str">
        <f t="shared" si="17"/>
        <v>Delhi</v>
      </c>
      <c r="J297" s="23">
        <f>COUNTIFS(pg_transaction_cleaned!$O:$O,A297,pg_transaction_cleaned!$F:$F,"CAPTURE")</f>
        <v>1</v>
      </c>
      <c r="K297" s="39">
        <f>SUMIFS(pg_transaction_cleaned!$H:$H,pg_transaction_cleaned!$O:$O,A297,pg_transaction_cleaned!$F:$F,"CAPTURE")</f>
        <v>5297</v>
      </c>
      <c r="L297" s="23">
        <f>COUNTIFS(pg_transaction_cleaned!$O:$O,A297,pg_transaction_cleaned!$F:$F,"REFUND")</f>
        <v>0</v>
      </c>
      <c r="M297" s="39">
        <f>SUMIFS(pg_transaction_cleaned!$H:$H,pg_transaction_cleaned!$O:$O,A297,pg_transaction_cleaned!$F:$F,"REFUND")</f>
        <v>0</v>
      </c>
      <c r="N297" s="23" t="str">
        <f t="shared" si="18"/>
        <v>OK</v>
      </c>
      <c r="O297" s="24">
        <f t="shared" si="19"/>
        <v>0</v>
      </c>
    </row>
    <row r="298" spans="1:15" ht="15" customHeight="1" x14ac:dyDescent="0.3">
      <c r="A298" s="23" t="s">
        <v>959</v>
      </c>
      <c r="B298" s="38">
        <v>46294</v>
      </c>
      <c r="C298" s="23" t="s">
        <v>960</v>
      </c>
      <c r="D298" s="23" t="s">
        <v>93</v>
      </c>
      <c r="E298" s="23" t="s">
        <v>75</v>
      </c>
      <c r="F298" s="23" t="s">
        <v>291</v>
      </c>
      <c r="G298" s="23" t="s">
        <v>250</v>
      </c>
      <c r="H298" s="39">
        <f t="shared" si="16"/>
        <v>3499</v>
      </c>
      <c r="I298" s="23" t="str">
        <f t="shared" si="17"/>
        <v>Kolkata</v>
      </c>
      <c r="J298" s="23">
        <f>COUNTIFS(pg_transaction_cleaned!$O:$O,A298,pg_transaction_cleaned!$F:$F,"CAPTURE")</f>
        <v>1</v>
      </c>
      <c r="K298" s="39">
        <f>SUMIFS(pg_transaction_cleaned!$H:$H,pg_transaction_cleaned!$O:$O,A298,pg_transaction_cleaned!$F:$F,"CAPTURE")</f>
        <v>3499</v>
      </c>
      <c r="L298" s="23">
        <f>COUNTIFS(pg_transaction_cleaned!$O:$O,A298,pg_transaction_cleaned!$F:$F,"REFUND")</f>
        <v>0</v>
      </c>
      <c r="M298" s="39">
        <f>SUMIFS(pg_transaction_cleaned!$H:$H,pg_transaction_cleaned!$O:$O,A298,pg_transaction_cleaned!$F:$F,"REFUND")</f>
        <v>0</v>
      </c>
      <c r="N298" s="23" t="str">
        <f t="shared" si="18"/>
        <v>OK</v>
      </c>
      <c r="O298" s="24">
        <f t="shared" si="19"/>
        <v>0</v>
      </c>
    </row>
    <row r="299" spans="1:15" ht="15" customHeight="1" x14ac:dyDescent="0.3">
      <c r="A299" s="23" t="s">
        <v>961</v>
      </c>
      <c r="B299" s="38">
        <v>46267</v>
      </c>
      <c r="C299" s="23" t="s">
        <v>962</v>
      </c>
      <c r="D299" s="23" t="s">
        <v>89</v>
      </c>
      <c r="E299" s="23" t="s">
        <v>75</v>
      </c>
      <c r="F299" s="23" t="s">
        <v>963</v>
      </c>
      <c r="G299" s="23" t="s">
        <v>250</v>
      </c>
      <c r="H299" s="39">
        <f t="shared" si="16"/>
        <v>2398</v>
      </c>
      <c r="I299" s="23" t="str">
        <f t="shared" si="17"/>
        <v>Jaipur</v>
      </c>
      <c r="J299" s="23">
        <f>COUNTIFS(pg_transaction_cleaned!$O:$O,A299,pg_transaction_cleaned!$F:$F,"CAPTURE")</f>
        <v>1</v>
      </c>
      <c r="K299" s="39">
        <f>SUMIFS(pg_transaction_cleaned!$H:$H,pg_transaction_cleaned!$O:$O,A299,pg_transaction_cleaned!$F:$F,"CAPTURE")</f>
        <v>2398</v>
      </c>
      <c r="L299" s="23">
        <f>COUNTIFS(pg_transaction_cleaned!$O:$O,A299,pg_transaction_cleaned!$F:$F,"REFUND")</f>
        <v>0</v>
      </c>
      <c r="M299" s="39">
        <f>SUMIFS(pg_transaction_cleaned!$H:$H,pg_transaction_cleaned!$O:$O,A299,pg_transaction_cleaned!$F:$F,"REFUND")</f>
        <v>0</v>
      </c>
      <c r="N299" s="23" t="str">
        <f t="shared" si="18"/>
        <v>OK</v>
      </c>
      <c r="O299" s="24">
        <f t="shared" si="19"/>
        <v>0</v>
      </c>
    </row>
    <row r="300" spans="1:15" ht="15" customHeight="1" x14ac:dyDescent="0.3">
      <c r="A300" s="23" t="s">
        <v>964</v>
      </c>
      <c r="B300" s="38">
        <v>46280</v>
      </c>
      <c r="C300" s="23" t="s">
        <v>965</v>
      </c>
      <c r="D300" s="23" t="s">
        <v>86</v>
      </c>
      <c r="E300" s="23" t="s">
        <v>79</v>
      </c>
      <c r="F300" s="23" t="s">
        <v>490</v>
      </c>
      <c r="G300" s="23" t="s">
        <v>301</v>
      </c>
      <c r="H300" s="39">
        <f t="shared" si="16"/>
        <v>8798</v>
      </c>
      <c r="I300" s="23" t="str">
        <f t="shared" si="17"/>
        <v>Delhi</v>
      </c>
      <c r="J300" s="23">
        <f>COUNTIFS(pg_transaction_cleaned!$O:$O,A300,pg_transaction_cleaned!$F:$F,"CAPTURE")</f>
        <v>1</v>
      </c>
      <c r="K300" s="39">
        <f>SUMIFS(pg_transaction_cleaned!$H:$H,pg_transaction_cleaned!$O:$O,A300,pg_transaction_cleaned!$F:$F,"CAPTURE")</f>
        <v>8798</v>
      </c>
      <c r="L300" s="23">
        <f>COUNTIFS(pg_transaction_cleaned!$O:$O,A300,pg_transaction_cleaned!$F:$F,"REFUND")</f>
        <v>1</v>
      </c>
      <c r="M300" s="39">
        <f>SUMIFS(pg_transaction_cleaned!$H:$H,pg_transaction_cleaned!$O:$O,A300,pg_transaction_cleaned!$F:$F,"REFUND")</f>
        <v>8798</v>
      </c>
      <c r="N300" s="23" t="str">
        <f t="shared" si="18"/>
        <v>OK</v>
      </c>
      <c r="O300" s="24">
        <f t="shared" si="19"/>
        <v>0</v>
      </c>
    </row>
    <row r="301" spans="1:15" ht="15" customHeight="1" x14ac:dyDescent="0.3">
      <c r="A301" s="23" t="s">
        <v>966</v>
      </c>
      <c r="B301" s="38">
        <v>46269</v>
      </c>
      <c r="C301" s="23" t="s">
        <v>967</v>
      </c>
      <c r="D301" s="23" t="s">
        <v>86</v>
      </c>
      <c r="E301" s="23" t="s">
        <v>79</v>
      </c>
      <c r="F301" s="23" t="s">
        <v>499</v>
      </c>
      <c r="G301" s="23" t="s">
        <v>301</v>
      </c>
      <c r="H301" s="39">
        <f t="shared" si="16"/>
        <v>5998</v>
      </c>
      <c r="I301" s="23" t="str">
        <f t="shared" si="17"/>
        <v>Delhi</v>
      </c>
      <c r="J301" s="23">
        <f>COUNTIFS(pg_transaction_cleaned!$O:$O,A301,pg_transaction_cleaned!$F:$F,"CAPTURE")</f>
        <v>1</v>
      </c>
      <c r="K301" s="39">
        <f>SUMIFS(pg_transaction_cleaned!$H:$H,pg_transaction_cleaned!$O:$O,A301,pg_transaction_cleaned!$F:$F,"CAPTURE")</f>
        <v>5998</v>
      </c>
      <c r="L301" s="23">
        <f>COUNTIFS(pg_transaction_cleaned!$O:$O,A301,pg_transaction_cleaned!$F:$F,"REFUND")</f>
        <v>1</v>
      </c>
      <c r="M301" s="39">
        <f>SUMIFS(pg_transaction_cleaned!$H:$H,pg_transaction_cleaned!$O:$O,A301,pg_transaction_cleaned!$F:$F,"REFUND")</f>
        <v>5998</v>
      </c>
      <c r="N301" s="23" t="str">
        <f t="shared" si="18"/>
        <v>OK</v>
      </c>
      <c r="O301" s="24">
        <f t="shared" si="19"/>
        <v>0</v>
      </c>
    </row>
    <row r="302" spans="1:15" ht="15" customHeight="1" x14ac:dyDescent="0.3">
      <c r="A302" s="23" t="s">
        <v>968</v>
      </c>
      <c r="B302" s="38">
        <v>46272</v>
      </c>
      <c r="C302" s="23" t="s">
        <v>969</v>
      </c>
      <c r="D302" s="23" t="s">
        <v>94</v>
      </c>
      <c r="E302" s="23" t="s">
        <v>75</v>
      </c>
      <c r="F302" s="23" t="s">
        <v>370</v>
      </c>
      <c r="G302" s="23" t="s">
        <v>250</v>
      </c>
      <c r="H302" s="39">
        <f t="shared" si="16"/>
        <v>3098</v>
      </c>
      <c r="I302" s="23" t="str">
        <f t="shared" si="17"/>
        <v>Chennai</v>
      </c>
      <c r="J302" s="23">
        <f>COUNTIFS(pg_transaction_cleaned!$O:$O,A302,pg_transaction_cleaned!$F:$F,"CAPTURE")</f>
        <v>1</v>
      </c>
      <c r="K302" s="39">
        <f>SUMIFS(pg_transaction_cleaned!$H:$H,pg_transaction_cleaned!$O:$O,A302,pg_transaction_cleaned!$F:$F,"CAPTURE")</f>
        <v>3098</v>
      </c>
      <c r="L302" s="23">
        <f>COUNTIFS(pg_transaction_cleaned!$O:$O,A302,pg_transaction_cleaned!$F:$F,"REFUND")</f>
        <v>0</v>
      </c>
      <c r="M302" s="39">
        <f>SUMIFS(pg_transaction_cleaned!$H:$H,pg_transaction_cleaned!$O:$O,A302,pg_transaction_cleaned!$F:$F,"REFUND")</f>
        <v>0</v>
      </c>
      <c r="N302" s="23" t="str">
        <f t="shared" si="18"/>
        <v>OK</v>
      </c>
      <c r="O302" s="24">
        <f t="shared" si="19"/>
        <v>0</v>
      </c>
    </row>
    <row r="303" spans="1:15" ht="15" customHeight="1" x14ac:dyDescent="0.3">
      <c r="A303" s="23" t="s">
        <v>970</v>
      </c>
      <c r="B303" s="38">
        <v>46291</v>
      </c>
      <c r="C303" s="23" t="s">
        <v>971</v>
      </c>
      <c r="D303" s="23"/>
      <c r="E303" s="23" t="s">
        <v>77</v>
      </c>
      <c r="F303" s="23" t="s">
        <v>259</v>
      </c>
      <c r="G303" s="23" t="s">
        <v>250</v>
      </c>
      <c r="H303" s="39">
        <f t="shared" si="16"/>
        <v>3298</v>
      </c>
      <c r="I303" s="23" t="str">
        <f t="shared" si="17"/>
        <v>Unknown</v>
      </c>
      <c r="J303" s="23">
        <f>COUNTIFS(pg_transaction_cleaned!$O:$O,A303,pg_transaction_cleaned!$F:$F,"CAPTURE")</f>
        <v>0</v>
      </c>
      <c r="K303" s="39">
        <f>SUMIFS(pg_transaction_cleaned!$H:$H,pg_transaction_cleaned!$O:$O,A303,pg_transaction_cleaned!$F:$F,"CAPTURE")</f>
        <v>0</v>
      </c>
      <c r="L303" s="23">
        <f>COUNTIFS(pg_transaction_cleaned!$O:$O,A303,pg_transaction_cleaned!$F:$F,"REFUND")</f>
        <v>0</v>
      </c>
      <c r="M303" s="39">
        <f>SUMIFS(pg_transaction_cleaned!$H:$H,pg_transaction_cleaned!$O:$O,A303,pg_transaction_cleaned!$F:$F,"REFUND")</f>
        <v>0</v>
      </c>
      <c r="N303" s="23" t="str">
        <f t="shared" si="18"/>
        <v>Paid, no payment</v>
      </c>
      <c r="O303" s="24">
        <f t="shared" si="19"/>
        <v>3298</v>
      </c>
    </row>
    <row r="304" spans="1:15" ht="15" customHeight="1" x14ac:dyDescent="0.3">
      <c r="A304" s="23" t="s">
        <v>972</v>
      </c>
      <c r="B304" s="38">
        <v>46295</v>
      </c>
      <c r="C304" s="23" t="s">
        <v>973</v>
      </c>
      <c r="D304" s="23" t="s">
        <v>88</v>
      </c>
      <c r="E304" s="23" t="s">
        <v>79</v>
      </c>
      <c r="F304" s="23" t="s">
        <v>974</v>
      </c>
      <c r="G304" s="23" t="s">
        <v>250</v>
      </c>
      <c r="H304" s="39">
        <f t="shared" si="16"/>
        <v>1498</v>
      </c>
      <c r="I304" s="23" t="str">
        <f t="shared" si="17"/>
        <v>Lucknow</v>
      </c>
      <c r="J304" s="23">
        <f>COUNTIFS(pg_transaction_cleaned!$O:$O,A304,pg_transaction_cleaned!$F:$F,"CAPTURE")</f>
        <v>1</v>
      </c>
      <c r="K304" s="39">
        <f>SUMIFS(pg_transaction_cleaned!$H:$H,pg_transaction_cleaned!$O:$O,A304,pg_transaction_cleaned!$F:$F,"CAPTURE")</f>
        <v>1498</v>
      </c>
      <c r="L304" s="23">
        <f>COUNTIFS(pg_transaction_cleaned!$O:$O,A304,pg_transaction_cleaned!$F:$F,"REFUND")</f>
        <v>0</v>
      </c>
      <c r="M304" s="39">
        <f>SUMIFS(pg_transaction_cleaned!$H:$H,pg_transaction_cleaned!$O:$O,A304,pg_transaction_cleaned!$F:$F,"REFUND")</f>
        <v>0</v>
      </c>
      <c r="N304" s="23" t="str">
        <f t="shared" si="18"/>
        <v>OK</v>
      </c>
      <c r="O304" s="24">
        <f t="shared" si="19"/>
        <v>0</v>
      </c>
    </row>
    <row r="305" spans="1:15" ht="15" customHeight="1" x14ac:dyDescent="0.3">
      <c r="A305" s="23" t="s">
        <v>975</v>
      </c>
      <c r="B305" s="38">
        <v>46276</v>
      </c>
      <c r="C305" s="23" t="s">
        <v>976</v>
      </c>
      <c r="D305" s="23" t="s">
        <v>90</v>
      </c>
      <c r="E305" s="23" t="s">
        <v>79</v>
      </c>
      <c r="F305" s="23" t="s">
        <v>737</v>
      </c>
      <c r="G305" s="23" t="s">
        <v>250</v>
      </c>
      <c r="H305" s="39">
        <f t="shared" si="16"/>
        <v>9798</v>
      </c>
      <c r="I305" s="23" t="str">
        <f t="shared" si="17"/>
        <v>Ahmedabad</v>
      </c>
      <c r="J305" s="23">
        <f>COUNTIFS(pg_transaction_cleaned!$O:$O,A305,pg_transaction_cleaned!$F:$F,"CAPTURE")</f>
        <v>1</v>
      </c>
      <c r="K305" s="39">
        <f>SUMIFS(pg_transaction_cleaned!$H:$H,pg_transaction_cleaned!$O:$O,A305,pg_transaction_cleaned!$F:$F,"CAPTURE")</f>
        <v>9798</v>
      </c>
      <c r="L305" s="23">
        <f>COUNTIFS(pg_transaction_cleaned!$O:$O,A305,pg_transaction_cleaned!$F:$F,"REFUND")</f>
        <v>0</v>
      </c>
      <c r="M305" s="39">
        <f>SUMIFS(pg_transaction_cleaned!$H:$H,pg_transaction_cleaned!$O:$O,A305,pg_transaction_cleaned!$F:$F,"REFUND")</f>
        <v>0</v>
      </c>
      <c r="N305" s="23" t="str">
        <f t="shared" si="18"/>
        <v>OK</v>
      </c>
      <c r="O305" s="24">
        <f t="shared" si="19"/>
        <v>0</v>
      </c>
    </row>
    <row r="306" spans="1:15" ht="15" customHeight="1" x14ac:dyDescent="0.3">
      <c r="A306" s="23" t="s">
        <v>977</v>
      </c>
      <c r="B306" s="38">
        <v>46292</v>
      </c>
      <c r="C306" s="23" t="s">
        <v>978</v>
      </c>
      <c r="D306" s="23" t="s">
        <v>88</v>
      </c>
      <c r="E306" s="23" t="s">
        <v>75</v>
      </c>
      <c r="F306" s="23" t="s">
        <v>265</v>
      </c>
      <c r="G306" s="23" t="s">
        <v>250</v>
      </c>
      <c r="H306" s="39">
        <f t="shared" si="16"/>
        <v>999</v>
      </c>
      <c r="I306" s="23" t="str">
        <f t="shared" si="17"/>
        <v>Lucknow</v>
      </c>
      <c r="J306" s="23">
        <f>COUNTIFS(pg_transaction_cleaned!$O:$O,A306,pg_transaction_cleaned!$F:$F,"CAPTURE")</f>
        <v>1</v>
      </c>
      <c r="K306" s="39">
        <f>SUMIFS(pg_transaction_cleaned!$H:$H,pg_transaction_cleaned!$O:$O,A306,pg_transaction_cleaned!$F:$F,"CAPTURE")</f>
        <v>999</v>
      </c>
      <c r="L306" s="23">
        <f>COUNTIFS(pg_transaction_cleaned!$O:$O,A306,pg_transaction_cleaned!$F:$F,"REFUND")</f>
        <v>0</v>
      </c>
      <c r="M306" s="39">
        <f>SUMIFS(pg_transaction_cleaned!$H:$H,pg_transaction_cleaned!$O:$O,A306,pg_transaction_cleaned!$F:$F,"REFUND")</f>
        <v>0</v>
      </c>
      <c r="N306" s="23" t="str">
        <f t="shared" si="18"/>
        <v>OK</v>
      </c>
      <c r="O306" s="24">
        <f t="shared" si="19"/>
        <v>0</v>
      </c>
    </row>
    <row r="307" spans="1:15" ht="15" customHeight="1" x14ac:dyDescent="0.3">
      <c r="A307" s="23" t="s">
        <v>979</v>
      </c>
      <c r="B307" s="38">
        <v>46275</v>
      </c>
      <c r="C307" s="23" t="s">
        <v>980</v>
      </c>
      <c r="D307" s="23" t="s">
        <v>88</v>
      </c>
      <c r="E307" s="23" t="s">
        <v>75</v>
      </c>
      <c r="F307" s="23" t="s">
        <v>819</v>
      </c>
      <c r="G307" s="23" t="s">
        <v>250</v>
      </c>
      <c r="H307" s="39">
        <f t="shared" si="16"/>
        <v>14497</v>
      </c>
      <c r="I307" s="23" t="str">
        <f t="shared" si="17"/>
        <v>Lucknow</v>
      </c>
      <c r="J307" s="23">
        <f>COUNTIFS(pg_transaction_cleaned!$O:$O,A307,pg_transaction_cleaned!$F:$F,"CAPTURE")</f>
        <v>1</v>
      </c>
      <c r="K307" s="39">
        <f>SUMIFS(pg_transaction_cleaned!$H:$H,pg_transaction_cleaned!$O:$O,A307,pg_transaction_cleaned!$F:$F,"CAPTURE")</f>
        <v>14497</v>
      </c>
      <c r="L307" s="23">
        <f>COUNTIFS(pg_transaction_cleaned!$O:$O,A307,pg_transaction_cleaned!$F:$F,"REFUND")</f>
        <v>0</v>
      </c>
      <c r="M307" s="39">
        <f>SUMIFS(pg_transaction_cleaned!$H:$H,pg_transaction_cleaned!$O:$O,A307,pg_transaction_cleaned!$F:$F,"REFUND")</f>
        <v>0</v>
      </c>
      <c r="N307" s="23" t="str">
        <f t="shared" si="18"/>
        <v>OK</v>
      </c>
      <c r="O307" s="24">
        <f t="shared" si="19"/>
        <v>0</v>
      </c>
    </row>
    <row r="308" spans="1:15" ht="15" customHeight="1" x14ac:dyDescent="0.3">
      <c r="A308" s="23" t="s">
        <v>981</v>
      </c>
      <c r="B308" s="38">
        <v>46284</v>
      </c>
      <c r="C308" s="23" t="s">
        <v>982</v>
      </c>
      <c r="D308" s="23" t="s">
        <v>88</v>
      </c>
      <c r="E308" s="23" t="s">
        <v>75</v>
      </c>
      <c r="F308" s="23" t="s">
        <v>291</v>
      </c>
      <c r="G308" s="23" t="s">
        <v>250</v>
      </c>
      <c r="H308" s="39">
        <f t="shared" si="16"/>
        <v>3499</v>
      </c>
      <c r="I308" s="23" t="str">
        <f t="shared" si="17"/>
        <v>Lucknow</v>
      </c>
      <c r="J308" s="23">
        <f>COUNTIFS(pg_transaction_cleaned!$O:$O,A308,pg_transaction_cleaned!$F:$F,"CAPTURE")</f>
        <v>1</v>
      </c>
      <c r="K308" s="39">
        <f>SUMIFS(pg_transaction_cleaned!$H:$H,pg_transaction_cleaned!$O:$O,A308,pg_transaction_cleaned!$F:$F,"CAPTURE")</f>
        <v>3499</v>
      </c>
      <c r="L308" s="23">
        <f>COUNTIFS(pg_transaction_cleaned!$O:$O,A308,pg_transaction_cleaned!$F:$F,"REFUND")</f>
        <v>0</v>
      </c>
      <c r="M308" s="39">
        <f>SUMIFS(pg_transaction_cleaned!$H:$H,pg_transaction_cleaned!$O:$O,A308,pg_transaction_cleaned!$F:$F,"REFUND")</f>
        <v>0</v>
      </c>
      <c r="N308" s="23" t="str">
        <f t="shared" si="18"/>
        <v>OK</v>
      </c>
      <c r="O308" s="24">
        <f t="shared" si="19"/>
        <v>0</v>
      </c>
    </row>
    <row r="309" spans="1:15" ht="15" customHeight="1" x14ac:dyDescent="0.3">
      <c r="A309" s="23" t="s">
        <v>983</v>
      </c>
      <c r="B309" s="38">
        <v>46290</v>
      </c>
      <c r="C309" s="23" t="s">
        <v>984</v>
      </c>
      <c r="D309" s="23" t="s">
        <v>95</v>
      </c>
      <c r="E309" s="23" t="s">
        <v>75</v>
      </c>
      <c r="F309" s="23" t="s">
        <v>612</v>
      </c>
      <c r="G309" s="23" t="s">
        <v>250</v>
      </c>
      <c r="H309" s="39">
        <f t="shared" si="16"/>
        <v>8498</v>
      </c>
      <c r="I309" s="23" t="str">
        <f t="shared" si="17"/>
        <v>Bengaluru</v>
      </c>
      <c r="J309" s="23">
        <f>COUNTIFS(pg_transaction_cleaned!$O:$O,A309,pg_transaction_cleaned!$F:$F,"CAPTURE")</f>
        <v>1</v>
      </c>
      <c r="K309" s="39">
        <f>SUMIFS(pg_transaction_cleaned!$H:$H,pg_transaction_cleaned!$O:$O,A309,pg_transaction_cleaned!$F:$F,"CAPTURE")</f>
        <v>8498</v>
      </c>
      <c r="L309" s="23">
        <f>COUNTIFS(pg_transaction_cleaned!$O:$O,A309,pg_transaction_cleaned!$F:$F,"REFUND")</f>
        <v>0</v>
      </c>
      <c r="M309" s="39">
        <f>SUMIFS(pg_transaction_cleaned!$H:$H,pg_transaction_cleaned!$O:$O,A309,pg_transaction_cleaned!$F:$F,"REFUND")</f>
        <v>0</v>
      </c>
      <c r="N309" s="23" t="str">
        <f t="shared" si="18"/>
        <v>OK</v>
      </c>
      <c r="O309" s="24">
        <f t="shared" si="19"/>
        <v>0</v>
      </c>
    </row>
    <row r="310" spans="1:15" ht="15" customHeight="1" x14ac:dyDescent="0.3">
      <c r="A310" s="23" t="s">
        <v>985</v>
      </c>
      <c r="B310" s="38">
        <v>46266</v>
      </c>
      <c r="C310" s="23" t="s">
        <v>986</v>
      </c>
      <c r="D310" s="23"/>
      <c r="E310" s="23" t="s">
        <v>79</v>
      </c>
      <c r="F310" s="23" t="s">
        <v>880</v>
      </c>
      <c r="G310" s="23" t="s">
        <v>250</v>
      </c>
      <c r="H310" s="39">
        <f t="shared" si="16"/>
        <v>2298</v>
      </c>
      <c r="I310" s="23" t="str">
        <f t="shared" si="17"/>
        <v>Unknown</v>
      </c>
      <c r="J310" s="23">
        <f>COUNTIFS(pg_transaction_cleaned!$O:$O,A310,pg_transaction_cleaned!$F:$F,"CAPTURE")</f>
        <v>1</v>
      </c>
      <c r="K310" s="39">
        <f>SUMIFS(pg_transaction_cleaned!$H:$H,pg_transaction_cleaned!$O:$O,A310,pg_transaction_cleaned!$F:$F,"CAPTURE")</f>
        <v>2298</v>
      </c>
      <c r="L310" s="23">
        <f>COUNTIFS(pg_transaction_cleaned!$O:$O,A310,pg_transaction_cleaned!$F:$F,"REFUND")</f>
        <v>0</v>
      </c>
      <c r="M310" s="39">
        <f>SUMIFS(pg_transaction_cleaned!$H:$H,pg_transaction_cleaned!$O:$O,A310,pg_transaction_cleaned!$F:$F,"REFUND")</f>
        <v>0</v>
      </c>
      <c r="N310" s="23" t="str">
        <f t="shared" si="18"/>
        <v>OK</v>
      </c>
      <c r="O310" s="24">
        <f t="shared" si="19"/>
        <v>0</v>
      </c>
    </row>
    <row r="311" spans="1:15" ht="15" customHeight="1" x14ac:dyDescent="0.3">
      <c r="A311" s="23" t="s">
        <v>987</v>
      </c>
      <c r="B311" s="38">
        <v>46290</v>
      </c>
      <c r="C311" s="23" t="s">
        <v>988</v>
      </c>
      <c r="D311" s="23" t="s">
        <v>89</v>
      </c>
      <c r="E311" s="23" t="s">
        <v>79</v>
      </c>
      <c r="F311" s="23" t="s">
        <v>343</v>
      </c>
      <c r="G311" s="23" t="s">
        <v>250</v>
      </c>
      <c r="H311" s="39">
        <f t="shared" si="16"/>
        <v>9498</v>
      </c>
      <c r="I311" s="23" t="str">
        <f t="shared" si="17"/>
        <v>Jaipur</v>
      </c>
      <c r="J311" s="23">
        <f>COUNTIFS(pg_transaction_cleaned!$O:$O,A311,pg_transaction_cleaned!$F:$F,"CAPTURE")</f>
        <v>1</v>
      </c>
      <c r="K311" s="39">
        <f>SUMIFS(pg_transaction_cleaned!$H:$H,pg_transaction_cleaned!$O:$O,A311,pg_transaction_cleaned!$F:$F,"CAPTURE")</f>
        <v>9498</v>
      </c>
      <c r="L311" s="23">
        <f>COUNTIFS(pg_transaction_cleaned!$O:$O,A311,pg_transaction_cleaned!$F:$F,"REFUND")</f>
        <v>0</v>
      </c>
      <c r="M311" s="39">
        <f>SUMIFS(pg_transaction_cleaned!$H:$H,pg_transaction_cleaned!$O:$O,A311,pg_transaction_cleaned!$F:$F,"REFUND")</f>
        <v>0</v>
      </c>
      <c r="N311" s="23" t="str">
        <f t="shared" si="18"/>
        <v>OK</v>
      </c>
      <c r="O311" s="24">
        <f t="shared" si="19"/>
        <v>0</v>
      </c>
    </row>
    <row r="312" spans="1:15" ht="15" customHeight="1" x14ac:dyDescent="0.3">
      <c r="A312" s="23" t="s">
        <v>989</v>
      </c>
      <c r="B312" s="38">
        <v>46272</v>
      </c>
      <c r="C312" s="23" t="s">
        <v>990</v>
      </c>
      <c r="D312" s="23" t="s">
        <v>90</v>
      </c>
      <c r="E312" s="23" t="s">
        <v>75</v>
      </c>
      <c r="F312" s="23" t="s">
        <v>337</v>
      </c>
      <c r="G312" s="23" t="s">
        <v>250</v>
      </c>
      <c r="H312" s="39">
        <f t="shared" si="16"/>
        <v>3998</v>
      </c>
      <c r="I312" s="23" t="str">
        <f t="shared" si="17"/>
        <v>Ahmedabad</v>
      </c>
      <c r="J312" s="23">
        <f>COUNTIFS(pg_transaction_cleaned!$O:$O,A312,pg_transaction_cleaned!$F:$F,"CAPTURE")</f>
        <v>1</v>
      </c>
      <c r="K312" s="39">
        <f>SUMIFS(pg_transaction_cleaned!$H:$H,pg_transaction_cleaned!$O:$O,A312,pg_transaction_cleaned!$F:$F,"CAPTURE")</f>
        <v>3998</v>
      </c>
      <c r="L312" s="23">
        <f>COUNTIFS(pg_transaction_cleaned!$O:$O,A312,pg_transaction_cleaned!$F:$F,"REFUND")</f>
        <v>0</v>
      </c>
      <c r="M312" s="39">
        <f>SUMIFS(pg_transaction_cleaned!$H:$H,pg_transaction_cleaned!$O:$O,A312,pg_transaction_cleaned!$F:$F,"REFUND")</f>
        <v>0</v>
      </c>
      <c r="N312" s="23" t="str">
        <f t="shared" si="18"/>
        <v>OK</v>
      </c>
      <c r="O312" s="24">
        <f t="shared" si="19"/>
        <v>0</v>
      </c>
    </row>
    <row r="313" spans="1:15" ht="15" customHeight="1" x14ac:dyDescent="0.3">
      <c r="A313" s="23" t="s">
        <v>991</v>
      </c>
      <c r="B313" s="38">
        <v>46295</v>
      </c>
      <c r="C313" s="23" t="s">
        <v>992</v>
      </c>
      <c r="D313" s="23" t="s">
        <v>92</v>
      </c>
      <c r="E313" s="23" t="s">
        <v>79</v>
      </c>
      <c r="F313" s="23" t="s">
        <v>553</v>
      </c>
      <c r="G313" s="23" t="s">
        <v>250</v>
      </c>
      <c r="H313" s="39">
        <f t="shared" si="16"/>
        <v>2798</v>
      </c>
      <c r="I313" s="23" t="str">
        <f t="shared" si="17"/>
        <v>Hyderabad</v>
      </c>
      <c r="J313" s="23">
        <f>COUNTIFS(pg_transaction_cleaned!$O:$O,A313,pg_transaction_cleaned!$F:$F,"CAPTURE")</f>
        <v>1</v>
      </c>
      <c r="K313" s="39">
        <f>SUMIFS(pg_transaction_cleaned!$H:$H,pg_transaction_cleaned!$O:$O,A313,pg_transaction_cleaned!$F:$F,"CAPTURE")</f>
        <v>2798</v>
      </c>
      <c r="L313" s="23">
        <f>COUNTIFS(pg_transaction_cleaned!$O:$O,A313,pg_transaction_cleaned!$F:$F,"REFUND")</f>
        <v>0</v>
      </c>
      <c r="M313" s="39">
        <f>SUMIFS(pg_transaction_cleaned!$H:$H,pg_transaction_cleaned!$O:$O,A313,pg_transaction_cleaned!$F:$F,"REFUND")</f>
        <v>0</v>
      </c>
      <c r="N313" s="23" t="str">
        <f t="shared" si="18"/>
        <v>OK</v>
      </c>
      <c r="O313" s="24">
        <f t="shared" si="19"/>
        <v>0</v>
      </c>
    </row>
    <row r="314" spans="1:15" ht="15" customHeight="1" x14ac:dyDescent="0.3">
      <c r="A314" s="23" t="s">
        <v>993</v>
      </c>
      <c r="B314" s="38">
        <v>46285</v>
      </c>
      <c r="C314" s="23" t="s">
        <v>994</v>
      </c>
      <c r="D314" s="23" t="s">
        <v>92</v>
      </c>
      <c r="E314" s="23" t="s">
        <v>75</v>
      </c>
      <c r="F314" s="23" t="s">
        <v>824</v>
      </c>
      <c r="G314" s="23" t="s">
        <v>250</v>
      </c>
      <c r="H314" s="39">
        <f t="shared" si="16"/>
        <v>1198</v>
      </c>
      <c r="I314" s="23" t="str">
        <f t="shared" si="17"/>
        <v>Hyderabad</v>
      </c>
      <c r="J314" s="23">
        <f>COUNTIFS(pg_transaction_cleaned!$O:$O,A314,pg_transaction_cleaned!$F:$F,"CAPTURE")</f>
        <v>1</v>
      </c>
      <c r="K314" s="39">
        <f>SUMIFS(pg_transaction_cleaned!$H:$H,pg_transaction_cleaned!$O:$O,A314,pg_transaction_cleaned!$F:$F,"CAPTURE")</f>
        <v>1198</v>
      </c>
      <c r="L314" s="23">
        <f>COUNTIFS(pg_transaction_cleaned!$O:$O,A314,pg_transaction_cleaned!$F:$F,"REFUND")</f>
        <v>0</v>
      </c>
      <c r="M314" s="39">
        <f>SUMIFS(pg_transaction_cleaned!$H:$H,pg_transaction_cleaned!$O:$O,A314,pg_transaction_cleaned!$F:$F,"REFUND")</f>
        <v>0</v>
      </c>
      <c r="N314" s="23" t="str">
        <f t="shared" si="18"/>
        <v>OK</v>
      </c>
      <c r="O314" s="24">
        <f t="shared" si="19"/>
        <v>0</v>
      </c>
    </row>
    <row r="315" spans="1:15" ht="15" customHeight="1" x14ac:dyDescent="0.3">
      <c r="A315" s="23" t="s">
        <v>995</v>
      </c>
      <c r="B315" s="38">
        <v>46288</v>
      </c>
      <c r="C315" s="23" t="s">
        <v>996</v>
      </c>
      <c r="D315" s="23" t="s">
        <v>89</v>
      </c>
      <c r="E315" s="23" t="s">
        <v>75</v>
      </c>
      <c r="F315" s="23" t="s">
        <v>291</v>
      </c>
      <c r="G315" s="23" t="s">
        <v>250</v>
      </c>
      <c r="H315" s="39">
        <f t="shared" si="16"/>
        <v>3499</v>
      </c>
      <c r="I315" s="23" t="str">
        <f t="shared" si="17"/>
        <v>Jaipur</v>
      </c>
      <c r="J315" s="23">
        <f>COUNTIFS(pg_transaction_cleaned!$O:$O,A315,pg_transaction_cleaned!$F:$F,"CAPTURE")</f>
        <v>1</v>
      </c>
      <c r="K315" s="39">
        <f>SUMIFS(pg_transaction_cleaned!$H:$H,pg_transaction_cleaned!$O:$O,A315,pg_transaction_cleaned!$F:$F,"CAPTURE")</f>
        <v>3499</v>
      </c>
      <c r="L315" s="23">
        <f>COUNTIFS(pg_transaction_cleaned!$O:$O,A315,pg_transaction_cleaned!$F:$F,"REFUND")</f>
        <v>0</v>
      </c>
      <c r="M315" s="39">
        <f>SUMIFS(pg_transaction_cleaned!$H:$H,pg_transaction_cleaned!$O:$O,A315,pg_transaction_cleaned!$F:$F,"REFUND")</f>
        <v>0</v>
      </c>
      <c r="N315" s="23" t="str">
        <f t="shared" si="18"/>
        <v>OK</v>
      </c>
      <c r="O315" s="24">
        <f t="shared" si="19"/>
        <v>0</v>
      </c>
    </row>
    <row r="316" spans="1:15" ht="15" customHeight="1" x14ac:dyDescent="0.3">
      <c r="A316" s="23" t="s">
        <v>997</v>
      </c>
      <c r="B316" s="38">
        <v>46295</v>
      </c>
      <c r="C316" s="23" t="s">
        <v>998</v>
      </c>
      <c r="D316" s="23" t="s">
        <v>94</v>
      </c>
      <c r="E316" s="23" t="s">
        <v>75</v>
      </c>
      <c r="F316" s="23" t="s">
        <v>999</v>
      </c>
      <c r="G316" s="23" t="s">
        <v>250</v>
      </c>
      <c r="H316" s="39">
        <f t="shared" si="16"/>
        <v>1947</v>
      </c>
      <c r="I316" s="23" t="str">
        <f t="shared" si="17"/>
        <v>Chennai</v>
      </c>
      <c r="J316" s="23">
        <f>COUNTIFS(pg_transaction_cleaned!$O:$O,A316,pg_transaction_cleaned!$F:$F,"CAPTURE")</f>
        <v>2</v>
      </c>
      <c r="K316" s="39">
        <f>SUMIFS(pg_transaction_cleaned!$H:$H,pg_transaction_cleaned!$O:$O,A316,pg_transaction_cleaned!$F:$F,"CAPTURE")</f>
        <v>3894</v>
      </c>
      <c r="L316" s="23">
        <f>COUNTIFS(pg_transaction_cleaned!$O:$O,A316,pg_transaction_cleaned!$F:$F,"REFUND")</f>
        <v>0</v>
      </c>
      <c r="M316" s="39">
        <f>SUMIFS(pg_transaction_cleaned!$H:$H,pg_transaction_cleaned!$O:$O,A316,pg_transaction_cleaned!$F:$F,"REFUND")</f>
        <v>0</v>
      </c>
      <c r="N316" s="23" t="str">
        <f t="shared" si="18"/>
        <v>Duplicate charge</v>
      </c>
      <c r="O316" s="24">
        <f t="shared" si="19"/>
        <v>1947</v>
      </c>
    </row>
    <row r="317" spans="1:15" ht="15" customHeight="1" x14ac:dyDescent="0.3">
      <c r="A317" s="23" t="s">
        <v>1000</v>
      </c>
      <c r="B317" s="38">
        <v>46290</v>
      </c>
      <c r="C317" s="23" t="s">
        <v>1001</v>
      </c>
      <c r="D317" s="23" t="s">
        <v>94</v>
      </c>
      <c r="E317" s="23" t="s">
        <v>77</v>
      </c>
      <c r="F317" s="23" t="s">
        <v>475</v>
      </c>
      <c r="G317" s="23" t="s">
        <v>250</v>
      </c>
      <c r="H317" s="39">
        <f t="shared" si="16"/>
        <v>799</v>
      </c>
      <c r="I317" s="23" t="str">
        <f t="shared" si="17"/>
        <v>Chennai</v>
      </c>
      <c r="J317" s="23">
        <f>COUNTIFS(pg_transaction_cleaned!$O:$O,A317,pg_transaction_cleaned!$F:$F,"CAPTURE")</f>
        <v>1</v>
      </c>
      <c r="K317" s="39">
        <f>SUMIFS(pg_transaction_cleaned!$H:$H,pg_transaction_cleaned!$O:$O,A317,pg_transaction_cleaned!$F:$F,"CAPTURE")</f>
        <v>799</v>
      </c>
      <c r="L317" s="23">
        <f>COUNTIFS(pg_transaction_cleaned!$O:$O,A317,pg_transaction_cleaned!$F:$F,"REFUND")</f>
        <v>0</v>
      </c>
      <c r="M317" s="39">
        <f>SUMIFS(pg_transaction_cleaned!$H:$H,pg_transaction_cleaned!$O:$O,A317,pg_transaction_cleaned!$F:$F,"REFUND")</f>
        <v>0</v>
      </c>
      <c r="N317" s="23" t="str">
        <f t="shared" si="18"/>
        <v>OK</v>
      </c>
      <c r="O317" s="24">
        <f t="shared" si="19"/>
        <v>0</v>
      </c>
    </row>
    <row r="318" spans="1:15" ht="15" customHeight="1" x14ac:dyDescent="0.3">
      <c r="A318" s="23" t="s">
        <v>1002</v>
      </c>
      <c r="B318" s="38">
        <v>46295</v>
      </c>
      <c r="C318" s="23" t="s">
        <v>1003</v>
      </c>
      <c r="D318" s="23" t="s">
        <v>92</v>
      </c>
      <c r="E318" s="23" t="s">
        <v>75</v>
      </c>
      <c r="F318" s="23" t="s">
        <v>307</v>
      </c>
      <c r="G318" s="23" t="s">
        <v>250</v>
      </c>
      <c r="H318" s="39">
        <f t="shared" si="16"/>
        <v>3798</v>
      </c>
      <c r="I318" s="23" t="str">
        <f t="shared" si="17"/>
        <v>Hyderabad</v>
      </c>
      <c r="J318" s="23">
        <f>COUNTIFS(pg_transaction_cleaned!$O:$O,A318,pg_transaction_cleaned!$F:$F,"CAPTURE")</f>
        <v>1</v>
      </c>
      <c r="K318" s="39">
        <f>SUMIFS(pg_transaction_cleaned!$H:$H,pg_transaction_cleaned!$O:$O,A318,pg_transaction_cleaned!$F:$F,"CAPTURE")</f>
        <v>3798</v>
      </c>
      <c r="L318" s="23">
        <f>COUNTIFS(pg_transaction_cleaned!$O:$O,A318,pg_transaction_cleaned!$F:$F,"REFUND")</f>
        <v>0</v>
      </c>
      <c r="M318" s="39">
        <f>SUMIFS(pg_transaction_cleaned!$H:$H,pg_transaction_cleaned!$O:$O,A318,pg_transaction_cleaned!$F:$F,"REFUND")</f>
        <v>0</v>
      </c>
      <c r="N318" s="23" t="str">
        <f t="shared" si="18"/>
        <v>OK</v>
      </c>
      <c r="O318" s="24">
        <f t="shared" si="19"/>
        <v>0</v>
      </c>
    </row>
    <row r="319" spans="1:15" ht="15" customHeight="1" x14ac:dyDescent="0.3">
      <c r="A319" s="23" t="s">
        <v>1004</v>
      </c>
      <c r="B319" s="38">
        <v>46295</v>
      </c>
      <c r="C319" s="23" t="s">
        <v>1005</v>
      </c>
      <c r="D319" s="23" t="s">
        <v>95</v>
      </c>
      <c r="E319" s="23" t="s">
        <v>79</v>
      </c>
      <c r="F319" s="23" t="s">
        <v>288</v>
      </c>
      <c r="G319" s="23" t="s">
        <v>250</v>
      </c>
      <c r="H319" s="39">
        <f t="shared" si="16"/>
        <v>4298</v>
      </c>
      <c r="I319" s="23" t="str">
        <f t="shared" si="17"/>
        <v>Bengaluru</v>
      </c>
      <c r="J319" s="23">
        <f>COUNTIFS(pg_transaction_cleaned!$O:$O,A319,pg_transaction_cleaned!$F:$F,"CAPTURE")</f>
        <v>1</v>
      </c>
      <c r="K319" s="39">
        <f>SUMIFS(pg_transaction_cleaned!$H:$H,pg_transaction_cleaned!$O:$O,A319,pg_transaction_cleaned!$F:$F,"CAPTURE")</f>
        <v>4298</v>
      </c>
      <c r="L319" s="23">
        <f>COUNTIFS(pg_transaction_cleaned!$O:$O,A319,pg_transaction_cleaned!$F:$F,"REFUND")</f>
        <v>0</v>
      </c>
      <c r="M319" s="39">
        <f>SUMIFS(pg_transaction_cleaned!$H:$H,pg_transaction_cleaned!$O:$O,A319,pg_transaction_cleaned!$F:$F,"REFUND")</f>
        <v>0</v>
      </c>
      <c r="N319" s="23" t="str">
        <f t="shared" si="18"/>
        <v>OK</v>
      </c>
      <c r="O319" s="24">
        <f t="shared" si="19"/>
        <v>0</v>
      </c>
    </row>
    <row r="320" spans="1:15" ht="15" customHeight="1" x14ac:dyDescent="0.3">
      <c r="A320" s="23" t="s">
        <v>1006</v>
      </c>
      <c r="B320" s="38">
        <v>46273</v>
      </c>
      <c r="C320" s="23" t="s">
        <v>1007</v>
      </c>
      <c r="D320" s="23" t="s">
        <v>87</v>
      </c>
      <c r="E320" s="23" t="s">
        <v>75</v>
      </c>
      <c r="F320" s="23" t="s">
        <v>396</v>
      </c>
      <c r="G320" s="23" t="s">
        <v>365</v>
      </c>
      <c r="H320" s="39">
        <f t="shared" si="16"/>
        <v>2999</v>
      </c>
      <c r="I320" s="23" t="str">
        <f t="shared" si="17"/>
        <v>Mumbai</v>
      </c>
      <c r="J320" s="23">
        <f>COUNTIFS(pg_transaction_cleaned!$O:$O,A320,pg_transaction_cleaned!$F:$F,"CAPTURE")</f>
        <v>0</v>
      </c>
      <c r="K320" s="39">
        <f>SUMIFS(pg_transaction_cleaned!$H:$H,pg_transaction_cleaned!$O:$O,A320,pg_transaction_cleaned!$F:$F,"CAPTURE")</f>
        <v>0</v>
      </c>
      <c r="L320" s="23">
        <f>COUNTIFS(pg_transaction_cleaned!$O:$O,A320,pg_transaction_cleaned!$F:$F,"REFUND")</f>
        <v>0</v>
      </c>
      <c r="M320" s="39">
        <f>SUMIFS(pg_transaction_cleaned!$H:$H,pg_transaction_cleaned!$O:$O,A320,pg_transaction_cleaned!$F:$F,"REFUND")</f>
        <v>0</v>
      </c>
      <c r="N320" s="23" t="str">
        <f t="shared" si="18"/>
        <v>OK</v>
      </c>
      <c r="O320" s="24">
        <f t="shared" si="19"/>
        <v>0</v>
      </c>
    </row>
    <row r="321" spans="1:15" ht="15" customHeight="1" x14ac:dyDescent="0.3">
      <c r="A321" s="23" t="s">
        <v>1008</v>
      </c>
      <c r="B321" s="38">
        <v>46269</v>
      </c>
      <c r="C321" s="23" t="s">
        <v>1009</v>
      </c>
      <c r="D321" s="23" t="s">
        <v>87</v>
      </c>
      <c r="E321" s="23" t="s">
        <v>79</v>
      </c>
      <c r="F321" s="23" t="s">
        <v>1010</v>
      </c>
      <c r="G321" s="23" t="s">
        <v>250</v>
      </c>
      <c r="H321" s="39">
        <f t="shared" si="16"/>
        <v>4498</v>
      </c>
      <c r="I321" s="23" t="str">
        <f t="shared" si="17"/>
        <v>Mumbai</v>
      </c>
      <c r="J321" s="23">
        <f>COUNTIFS(pg_transaction_cleaned!$O:$O,A321,pg_transaction_cleaned!$F:$F,"CAPTURE")</f>
        <v>1</v>
      </c>
      <c r="K321" s="39">
        <f>SUMIFS(pg_transaction_cleaned!$H:$H,pg_transaction_cleaned!$O:$O,A321,pg_transaction_cleaned!$F:$F,"CAPTURE")</f>
        <v>4498</v>
      </c>
      <c r="L321" s="23">
        <f>COUNTIFS(pg_transaction_cleaned!$O:$O,A321,pg_transaction_cleaned!$F:$F,"REFUND")</f>
        <v>0</v>
      </c>
      <c r="M321" s="39">
        <f>SUMIFS(pg_transaction_cleaned!$H:$H,pg_transaction_cleaned!$O:$O,A321,pg_transaction_cleaned!$F:$F,"REFUND")</f>
        <v>0</v>
      </c>
      <c r="N321" s="23" t="str">
        <f t="shared" si="18"/>
        <v>OK</v>
      </c>
      <c r="O321" s="24">
        <f t="shared" si="19"/>
        <v>0</v>
      </c>
    </row>
    <row r="322" spans="1:15" ht="15" customHeight="1" x14ac:dyDescent="0.3">
      <c r="A322" s="23" t="s">
        <v>1011</v>
      </c>
      <c r="B322" s="38">
        <v>46283</v>
      </c>
      <c r="C322" s="23" t="s">
        <v>1012</v>
      </c>
      <c r="D322" s="23" t="s">
        <v>90</v>
      </c>
      <c r="E322" s="23" t="s">
        <v>77</v>
      </c>
      <c r="F322" s="23" t="s">
        <v>268</v>
      </c>
      <c r="G322" s="23" t="s">
        <v>250</v>
      </c>
      <c r="H322" s="39">
        <f t="shared" ref="H322:H385" si="20">VALUE(SUBSTITUTE(F322,",",""))</f>
        <v>1299</v>
      </c>
      <c r="I322" s="23" t="str">
        <f t="shared" ref="I322:I385" si="21">IF(TRIM(D322)="","Unknown",TRIM(D322))</f>
        <v>Ahmedabad</v>
      </c>
      <c r="J322" s="23">
        <f>COUNTIFS(pg_transaction_cleaned!$O:$O,A322,pg_transaction_cleaned!$F:$F,"CAPTURE")</f>
        <v>1</v>
      </c>
      <c r="K322" s="39">
        <f>SUMIFS(pg_transaction_cleaned!$H:$H,pg_transaction_cleaned!$O:$O,A322,pg_transaction_cleaned!$F:$F,"CAPTURE")</f>
        <v>1299</v>
      </c>
      <c r="L322" s="23">
        <f>COUNTIFS(pg_transaction_cleaned!$O:$O,A322,pg_transaction_cleaned!$F:$F,"REFUND")</f>
        <v>0</v>
      </c>
      <c r="M322" s="39">
        <f>SUMIFS(pg_transaction_cleaned!$H:$H,pg_transaction_cleaned!$O:$O,A322,pg_transaction_cleaned!$F:$F,"REFUND")</f>
        <v>0</v>
      </c>
      <c r="N322" s="23" t="str">
        <f t="shared" ref="N322:N385" si="22">IF(AND(G322="Paid",J322=0),"Paid, no payment",IF(AND(OR(G322="Failed",G322="Cancelled"),J322&gt;0),"Payment on failed/cancelled",IF(J322&gt;1,"Duplicate charge",IF(AND(J322=1,ROUND(K322-H322,2)&lt;&gt;0),"Amount difference",IF(AND(G322="Refunded",L322=0),"Refunded, no refund",IF(AND(G322&lt;&gt;"Refunded",L322&gt;0),"Refund, order not Refunded",IF(AND(L322&gt;0,ROUND(M322-H322,2)&lt;&gt;0),"Refund amount differs","OK")))))))</f>
        <v>OK</v>
      </c>
      <c r="O322" s="24">
        <f t="shared" ref="O322:O385" si="23">IF(N322="OK",0,IF(N322="Paid, no payment",H322,IF(N322="Payment on failed/cancelled",K322,IF(OR(N322="Duplicate charge",N322="Amount difference"),K322-H322,IF(N322="Refunded, no refund",H322,M322)))))</f>
        <v>0</v>
      </c>
    </row>
    <row r="323" spans="1:15" ht="15" customHeight="1" x14ac:dyDescent="0.3">
      <c r="A323" s="23" t="s">
        <v>1013</v>
      </c>
      <c r="B323" s="38">
        <v>46286</v>
      </c>
      <c r="C323" s="23" t="s">
        <v>1014</v>
      </c>
      <c r="D323" s="23" t="s">
        <v>87</v>
      </c>
      <c r="E323" s="23" t="s">
        <v>75</v>
      </c>
      <c r="F323" s="23" t="s">
        <v>297</v>
      </c>
      <c r="G323" s="23" t="s">
        <v>301</v>
      </c>
      <c r="H323" s="39">
        <f t="shared" si="20"/>
        <v>4999</v>
      </c>
      <c r="I323" s="23" t="str">
        <f t="shared" si="21"/>
        <v>Mumbai</v>
      </c>
      <c r="J323" s="23">
        <f>COUNTIFS(pg_transaction_cleaned!$O:$O,A323,pg_transaction_cleaned!$F:$F,"CAPTURE")</f>
        <v>1</v>
      </c>
      <c r="K323" s="39">
        <f>SUMIFS(pg_transaction_cleaned!$H:$H,pg_transaction_cleaned!$O:$O,A323,pg_transaction_cleaned!$F:$F,"CAPTURE")</f>
        <v>4999</v>
      </c>
      <c r="L323" s="23">
        <f>COUNTIFS(pg_transaction_cleaned!$O:$O,A323,pg_transaction_cleaned!$F:$F,"REFUND")</f>
        <v>1</v>
      </c>
      <c r="M323" s="39">
        <f>SUMIFS(pg_transaction_cleaned!$H:$H,pg_transaction_cleaned!$O:$O,A323,pg_transaction_cleaned!$F:$F,"REFUND")</f>
        <v>4999</v>
      </c>
      <c r="N323" s="23" t="str">
        <f t="shared" si="22"/>
        <v>OK</v>
      </c>
      <c r="O323" s="24">
        <f t="shared" si="23"/>
        <v>0</v>
      </c>
    </row>
    <row r="324" spans="1:15" ht="15" customHeight="1" x14ac:dyDescent="0.3">
      <c r="A324" s="23" t="s">
        <v>1015</v>
      </c>
      <c r="B324" s="38">
        <v>46295</v>
      </c>
      <c r="C324" s="23" t="s">
        <v>1016</v>
      </c>
      <c r="D324" s="23" t="s">
        <v>86</v>
      </c>
      <c r="E324" s="23" t="s">
        <v>75</v>
      </c>
      <c r="F324" s="23" t="s">
        <v>396</v>
      </c>
      <c r="G324" s="23" t="s">
        <v>250</v>
      </c>
      <c r="H324" s="39">
        <f t="shared" si="20"/>
        <v>2999</v>
      </c>
      <c r="I324" s="23" t="str">
        <f t="shared" si="21"/>
        <v>Delhi</v>
      </c>
      <c r="J324" s="23">
        <f>COUNTIFS(pg_transaction_cleaned!$O:$O,A324,pg_transaction_cleaned!$F:$F,"CAPTURE")</f>
        <v>1</v>
      </c>
      <c r="K324" s="39">
        <f>SUMIFS(pg_transaction_cleaned!$H:$H,pg_transaction_cleaned!$O:$O,A324,pg_transaction_cleaned!$F:$F,"CAPTURE")</f>
        <v>2999</v>
      </c>
      <c r="L324" s="23">
        <f>COUNTIFS(pg_transaction_cleaned!$O:$O,A324,pg_transaction_cleaned!$F:$F,"REFUND")</f>
        <v>0</v>
      </c>
      <c r="M324" s="39">
        <f>SUMIFS(pg_transaction_cleaned!$H:$H,pg_transaction_cleaned!$O:$O,A324,pg_transaction_cleaned!$F:$F,"REFUND")</f>
        <v>0</v>
      </c>
      <c r="N324" s="23" t="str">
        <f t="shared" si="22"/>
        <v>OK</v>
      </c>
      <c r="O324" s="24">
        <f t="shared" si="23"/>
        <v>0</v>
      </c>
    </row>
    <row r="325" spans="1:15" ht="15" customHeight="1" x14ac:dyDescent="0.3">
      <c r="A325" s="23" t="s">
        <v>1017</v>
      </c>
      <c r="B325" s="38">
        <v>46279</v>
      </c>
      <c r="C325" s="23" t="s">
        <v>1018</v>
      </c>
      <c r="D325" s="23" t="s">
        <v>86</v>
      </c>
      <c r="E325" s="23" t="s">
        <v>75</v>
      </c>
      <c r="F325" s="23" t="s">
        <v>249</v>
      </c>
      <c r="G325" s="23" t="s">
        <v>301</v>
      </c>
      <c r="H325" s="39">
        <f t="shared" si="20"/>
        <v>299</v>
      </c>
      <c r="I325" s="23" t="str">
        <f t="shared" si="21"/>
        <v>Delhi</v>
      </c>
      <c r="J325" s="23">
        <f>COUNTIFS(pg_transaction_cleaned!$O:$O,A325,pg_transaction_cleaned!$F:$F,"CAPTURE")</f>
        <v>1</v>
      </c>
      <c r="K325" s="39">
        <f>SUMIFS(pg_transaction_cleaned!$H:$H,pg_transaction_cleaned!$O:$O,A325,pg_transaction_cleaned!$F:$F,"CAPTURE")</f>
        <v>299</v>
      </c>
      <c r="L325" s="23">
        <f>COUNTIFS(pg_transaction_cleaned!$O:$O,A325,pg_transaction_cleaned!$F:$F,"REFUND")</f>
        <v>1</v>
      </c>
      <c r="M325" s="39">
        <f>SUMIFS(pg_transaction_cleaned!$H:$H,pg_transaction_cleaned!$O:$O,A325,pg_transaction_cleaned!$F:$F,"REFUND")</f>
        <v>299</v>
      </c>
      <c r="N325" s="23" t="str">
        <f t="shared" si="22"/>
        <v>OK</v>
      </c>
      <c r="O325" s="24">
        <f t="shared" si="23"/>
        <v>0</v>
      </c>
    </row>
    <row r="326" spans="1:15" ht="15" customHeight="1" x14ac:dyDescent="0.3">
      <c r="A326" s="23" t="s">
        <v>1019</v>
      </c>
      <c r="B326" s="38">
        <v>46295</v>
      </c>
      <c r="C326" s="23" t="s">
        <v>1020</v>
      </c>
      <c r="D326" s="23" t="s">
        <v>94</v>
      </c>
      <c r="E326" s="23" t="s">
        <v>79</v>
      </c>
      <c r="F326" s="23" t="s">
        <v>1021</v>
      </c>
      <c r="G326" s="23" t="s">
        <v>250</v>
      </c>
      <c r="H326" s="39">
        <f t="shared" si="20"/>
        <v>9097</v>
      </c>
      <c r="I326" s="23" t="str">
        <f t="shared" si="21"/>
        <v>Chennai</v>
      </c>
      <c r="J326" s="23">
        <f>COUNTIFS(pg_transaction_cleaned!$O:$O,A326,pg_transaction_cleaned!$F:$F,"CAPTURE")</f>
        <v>1</v>
      </c>
      <c r="K326" s="39">
        <f>SUMIFS(pg_transaction_cleaned!$H:$H,pg_transaction_cleaned!$O:$O,A326,pg_transaction_cleaned!$F:$F,"CAPTURE")</f>
        <v>9097</v>
      </c>
      <c r="L326" s="23">
        <f>COUNTIFS(pg_transaction_cleaned!$O:$O,A326,pg_transaction_cleaned!$F:$F,"REFUND")</f>
        <v>0</v>
      </c>
      <c r="M326" s="39">
        <f>SUMIFS(pg_transaction_cleaned!$H:$H,pg_transaction_cleaned!$O:$O,A326,pg_transaction_cleaned!$F:$F,"REFUND")</f>
        <v>0</v>
      </c>
      <c r="N326" s="23" t="str">
        <f t="shared" si="22"/>
        <v>OK</v>
      </c>
      <c r="O326" s="24">
        <f t="shared" si="23"/>
        <v>0</v>
      </c>
    </row>
    <row r="327" spans="1:15" ht="15" customHeight="1" x14ac:dyDescent="0.3">
      <c r="A327" s="23" t="s">
        <v>1022</v>
      </c>
      <c r="B327" s="38">
        <v>46275</v>
      </c>
      <c r="C327" s="23" t="s">
        <v>1023</v>
      </c>
      <c r="D327" s="23" t="s">
        <v>89</v>
      </c>
      <c r="E327" s="23" t="s">
        <v>77</v>
      </c>
      <c r="F327" s="23" t="s">
        <v>772</v>
      </c>
      <c r="G327" s="23" t="s">
        <v>250</v>
      </c>
      <c r="H327" s="39">
        <f t="shared" si="20"/>
        <v>4798</v>
      </c>
      <c r="I327" s="23" t="str">
        <f t="shared" si="21"/>
        <v>Jaipur</v>
      </c>
      <c r="J327" s="23">
        <f>COUNTIFS(pg_transaction_cleaned!$O:$O,A327,pg_transaction_cleaned!$F:$F,"CAPTURE")</f>
        <v>1</v>
      </c>
      <c r="K327" s="39">
        <f>SUMIFS(pg_transaction_cleaned!$H:$H,pg_transaction_cleaned!$O:$O,A327,pg_transaction_cleaned!$F:$F,"CAPTURE")</f>
        <v>4798</v>
      </c>
      <c r="L327" s="23">
        <f>COUNTIFS(pg_transaction_cleaned!$O:$O,A327,pg_transaction_cleaned!$F:$F,"REFUND")</f>
        <v>0</v>
      </c>
      <c r="M327" s="39">
        <f>SUMIFS(pg_transaction_cleaned!$H:$H,pg_transaction_cleaned!$O:$O,A327,pg_transaction_cleaned!$F:$F,"REFUND")</f>
        <v>0</v>
      </c>
      <c r="N327" s="23" t="str">
        <f t="shared" si="22"/>
        <v>OK</v>
      </c>
      <c r="O327" s="24">
        <f t="shared" si="23"/>
        <v>0</v>
      </c>
    </row>
    <row r="328" spans="1:15" ht="15" customHeight="1" x14ac:dyDescent="0.3">
      <c r="A328" s="23" t="s">
        <v>1024</v>
      </c>
      <c r="B328" s="38">
        <v>46280</v>
      </c>
      <c r="C328" s="23" t="s">
        <v>1025</v>
      </c>
      <c r="D328" s="23" t="s">
        <v>92</v>
      </c>
      <c r="E328" s="23" t="s">
        <v>75</v>
      </c>
      <c r="F328" s="23" t="s">
        <v>329</v>
      </c>
      <c r="G328" s="23" t="s">
        <v>250</v>
      </c>
      <c r="H328" s="39">
        <f t="shared" si="20"/>
        <v>599</v>
      </c>
      <c r="I328" s="23" t="str">
        <f t="shared" si="21"/>
        <v>Hyderabad</v>
      </c>
      <c r="J328" s="23">
        <f>COUNTIFS(pg_transaction_cleaned!$O:$O,A328,pg_transaction_cleaned!$F:$F,"CAPTURE")</f>
        <v>1</v>
      </c>
      <c r="K328" s="39">
        <f>SUMIFS(pg_transaction_cleaned!$H:$H,pg_transaction_cleaned!$O:$O,A328,pg_transaction_cleaned!$F:$F,"CAPTURE")</f>
        <v>599</v>
      </c>
      <c r="L328" s="23">
        <f>COUNTIFS(pg_transaction_cleaned!$O:$O,A328,pg_transaction_cleaned!$F:$F,"REFUND")</f>
        <v>0</v>
      </c>
      <c r="M328" s="39">
        <f>SUMIFS(pg_transaction_cleaned!$H:$H,pg_transaction_cleaned!$O:$O,A328,pg_transaction_cleaned!$F:$F,"REFUND")</f>
        <v>0</v>
      </c>
      <c r="N328" s="23" t="str">
        <f t="shared" si="22"/>
        <v>OK</v>
      </c>
      <c r="O328" s="24">
        <f t="shared" si="23"/>
        <v>0</v>
      </c>
    </row>
    <row r="329" spans="1:15" ht="15" customHeight="1" x14ac:dyDescent="0.3">
      <c r="A329" s="23" t="s">
        <v>1026</v>
      </c>
      <c r="B329" s="38">
        <v>46288</v>
      </c>
      <c r="C329" s="23" t="s">
        <v>1027</v>
      </c>
      <c r="D329" s="23" t="s">
        <v>95</v>
      </c>
      <c r="E329" s="23" t="s">
        <v>79</v>
      </c>
      <c r="F329" s="23" t="s">
        <v>249</v>
      </c>
      <c r="G329" s="23" t="s">
        <v>250</v>
      </c>
      <c r="H329" s="39">
        <f t="shared" si="20"/>
        <v>299</v>
      </c>
      <c r="I329" s="23" t="str">
        <f t="shared" si="21"/>
        <v>Bengaluru</v>
      </c>
      <c r="J329" s="23">
        <f>COUNTIFS(pg_transaction_cleaned!$O:$O,A329,pg_transaction_cleaned!$F:$F,"CAPTURE")</f>
        <v>1</v>
      </c>
      <c r="K329" s="39">
        <f>SUMIFS(pg_transaction_cleaned!$H:$H,pg_transaction_cleaned!$O:$O,A329,pg_transaction_cleaned!$F:$F,"CAPTURE")</f>
        <v>299</v>
      </c>
      <c r="L329" s="23">
        <f>COUNTIFS(pg_transaction_cleaned!$O:$O,A329,pg_transaction_cleaned!$F:$F,"REFUND")</f>
        <v>0</v>
      </c>
      <c r="M329" s="39">
        <f>SUMIFS(pg_transaction_cleaned!$H:$H,pg_transaction_cleaned!$O:$O,A329,pg_transaction_cleaned!$F:$F,"REFUND")</f>
        <v>0</v>
      </c>
      <c r="N329" s="23" t="str">
        <f t="shared" si="22"/>
        <v>OK</v>
      </c>
      <c r="O329" s="24">
        <f t="shared" si="23"/>
        <v>0</v>
      </c>
    </row>
    <row r="330" spans="1:15" ht="15" customHeight="1" x14ac:dyDescent="0.3">
      <c r="A330" s="23" t="s">
        <v>1028</v>
      </c>
      <c r="B330" s="38">
        <v>46271</v>
      </c>
      <c r="C330" s="23" t="s">
        <v>1029</v>
      </c>
      <c r="D330" s="23" t="s">
        <v>94</v>
      </c>
      <c r="E330" s="23" t="s">
        <v>81</v>
      </c>
      <c r="F330" s="23" t="s">
        <v>675</v>
      </c>
      <c r="G330" s="23" t="s">
        <v>365</v>
      </c>
      <c r="H330" s="39">
        <f t="shared" si="20"/>
        <v>10998</v>
      </c>
      <c r="I330" s="23" t="str">
        <f t="shared" si="21"/>
        <v>Chennai</v>
      </c>
      <c r="J330" s="23">
        <f>COUNTIFS(pg_transaction_cleaned!$O:$O,A330,pg_transaction_cleaned!$F:$F,"CAPTURE")</f>
        <v>0</v>
      </c>
      <c r="K330" s="39">
        <f>SUMIFS(pg_transaction_cleaned!$H:$H,pg_transaction_cleaned!$O:$O,A330,pg_transaction_cleaned!$F:$F,"CAPTURE")</f>
        <v>0</v>
      </c>
      <c r="L330" s="23">
        <f>COUNTIFS(pg_transaction_cleaned!$O:$O,A330,pg_transaction_cleaned!$F:$F,"REFUND")</f>
        <v>0</v>
      </c>
      <c r="M330" s="39">
        <f>SUMIFS(pg_transaction_cleaned!$H:$H,pg_transaction_cleaned!$O:$O,A330,pg_transaction_cleaned!$F:$F,"REFUND")</f>
        <v>0</v>
      </c>
      <c r="N330" s="23" t="str">
        <f t="shared" si="22"/>
        <v>OK</v>
      </c>
      <c r="O330" s="24">
        <f t="shared" si="23"/>
        <v>0</v>
      </c>
    </row>
    <row r="331" spans="1:15" ht="15" customHeight="1" x14ac:dyDescent="0.3">
      <c r="A331" s="23" t="s">
        <v>1030</v>
      </c>
      <c r="B331" s="38">
        <v>46268</v>
      </c>
      <c r="C331" s="23" t="s">
        <v>1031</v>
      </c>
      <c r="D331" s="23" t="s">
        <v>95</v>
      </c>
      <c r="E331" s="23" t="s">
        <v>75</v>
      </c>
      <c r="F331" s="23" t="s">
        <v>1032</v>
      </c>
      <c r="G331" s="23" t="s">
        <v>250</v>
      </c>
      <c r="H331" s="39">
        <f t="shared" si="20"/>
        <v>3348</v>
      </c>
      <c r="I331" s="23" t="str">
        <f t="shared" si="21"/>
        <v>Bengaluru</v>
      </c>
      <c r="J331" s="23">
        <f>COUNTIFS(pg_transaction_cleaned!$O:$O,A331,pg_transaction_cleaned!$F:$F,"CAPTURE")</f>
        <v>1</v>
      </c>
      <c r="K331" s="39">
        <f>SUMIFS(pg_transaction_cleaned!$H:$H,pg_transaction_cleaned!$O:$O,A331,pg_transaction_cleaned!$F:$F,"CAPTURE")</f>
        <v>3348</v>
      </c>
      <c r="L331" s="23">
        <f>COUNTIFS(pg_transaction_cleaned!$O:$O,A331,pg_transaction_cleaned!$F:$F,"REFUND")</f>
        <v>0</v>
      </c>
      <c r="M331" s="39">
        <f>SUMIFS(pg_transaction_cleaned!$H:$H,pg_transaction_cleaned!$O:$O,A331,pg_transaction_cleaned!$F:$F,"REFUND")</f>
        <v>0</v>
      </c>
      <c r="N331" s="23" t="str">
        <f t="shared" si="22"/>
        <v>OK</v>
      </c>
      <c r="O331" s="24">
        <f t="shared" si="23"/>
        <v>0</v>
      </c>
    </row>
    <row r="332" spans="1:15" ht="15" customHeight="1" x14ac:dyDescent="0.3">
      <c r="A332" s="23" t="s">
        <v>1033</v>
      </c>
      <c r="B332" s="38">
        <v>46266</v>
      </c>
      <c r="C332" s="23" t="s">
        <v>1034</v>
      </c>
      <c r="D332" s="23" t="s">
        <v>92</v>
      </c>
      <c r="E332" s="23" t="s">
        <v>79</v>
      </c>
      <c r="F332" s="23" t="s">
        <v>1035</v>
      </c>
      <c r="G332" s="23" t="s">
        <v>250</v>
      </c>
      <c r="H332" s="39">
        <f t="shared" si="20"/>
        <v>1299</v>
      </c>
      <c r="I332" s="23" t="str">
        <f t="shared" si="21"/>
        <v>Hyderabad</v>
      </c>
      <c r="J332" s="23">
        <f>COUNTIFS(pg_transaction_cleaned!$O:$O,A332,pg_transaction_cleaned!$F:$F,"CAPTURE")</f>
        <v>1</v>
      </c>
      <c r="K332" s="39">
        <f>SUMIFS(pg_transaction_cleaned!$H:$H,pg_transaction_cleaned!$O:$O,A332,pg_transaction_cleaned!$F:$F,"CAPTURE")</f>
        <v>1299</v>
      </c>
      <c r="L332" s="23">
        <f>COUNTIFS(pg_transaction_cleaned!$O:$O,A332,pg_transaction_cleaned!$F:$F,"REFUND")</f>
        <v>0</v>
      </c>
      <c r="M332" s="39">
        <f>SUMIFS(pg_transaction_cleaned!$H:$H,pg_transaction_cleaned!$O:$O,A332,pg_transaction_cleaned!$F:$F,"REFUND")</f>
        <v>0</v>
      </c>
      <c r="N332" s="23" t="str">
        <f t="shared" si="22"/>
        <v>OK</v>
      </c>
      <c r="O332" s="24">
        <f t="shared" si="23"/>
        <v>0</v>
      </c>
    </row>
    <row r="333" spans="1:15" ht="15" customHeight="1" x14ac:dyDescent="0.3">
      <c r="A333" s="23" t="s">
        <v>1036</v>
      </c>
      <c r="B333" s="38">
        <v>46284</v>
      </c>
      <c r="C333" s="23" t="s">
        <v>1037</v>
      </c>
      <c r="D333" s="23" t="s">
        <v>91</v>
      </c>
      <c r="E333" s="23" t="s">
        <v>79</v>
      </c>
      <c r="F333" s="23" t="s">
        <v>1038</v>
      </c>
      <c r="G333" s="23" t="s">
        <v>250</v>
      </c>
      <c r="H333" s="39">
        <f t="shared" si="20"/>
        <v>3597</v>
      </c>
      <c r="I333" s="23" t="str">
        <f t="shared" si="21"/>
        <v>Pune</v>
      </c>
      <c r="J333" s="23">
        <f>COUNTIFS(pg_transaction_cleaned!$O:$O,A333,pg_transaction_cleaned!$F:$F,"CAPTURE")</f>
        <v>1</v>
      </c>
      <c r="K333" s="39">
        <f>SUMIFS(pg_transaction_cleaned!$H:$H,pg_transaction_cleaned!$O:$O,A333,pg_transaction_cleaned!$F:$F,"CAPTURE")</f>
        <v>3597</v>
      </c>
      <c r="L333" s="23">
        <f>COUNTIFS(pg_transaction_cleaned!$O:$O,A333,pg_transaction_cleaned!$F:$F,"REFUND")</f>
        <v>0</v>
      </c>
      <c r="M333" s="39">
        <f>SUMIFS(pg_transaction_cleaned!$H:$H,pg_transaction_cleaned!$O:$O,A333,pg_transaction_cleaned!$F:$F,"REFUND")</f>
        <v>0</v>
      </c>
      <c r="N333" s="23" t="str">
        <f t="shared" si="22"/>
        <v>OK</v>
      </c>
      <c r="O333" s="24">
        <f t="shared" si="23"/>
        <v>0</v>
      </c>
    </row>
    <row r="334" spans="1:15" ht="15" customHeight="1" x14ac:dyDescent="0.3">
      <c r="A334" s="23" t="s">
        <v>1039</v>
      </c>
      <c r="B334" s="38">
        <v>46280</v>
      </c>
      <c r="C334" s="23" t="s">
        <v>1040</v>
      </c>
      <c r="D334" s="23" t="s">
        <v>91</v>
      </c>
      <c r="E334" s="23" t="s">
        <v>75</v>
      </c>
      <c r="F334" s="23" t="s">
        <v>262</v>
      </c>
      <c r="G334" s="23" t="s">
        <v>250</v>
      </c>
      <c r="H334" s="39">
        <f t="shared" si="20"/>
        <v>499</v>
      </c>
      <c r="I334" s="23" t="str">
        <f t="shared" si="21"/>
        <v>Pune</v>
      </c>
      <c r="J334" s="23">
        <f>COUNTIFS(pg_transaction_cleaned!$O:$O,A334,pg_transaction_cleaned!$F:$F,"CAPTURE")</f>
        <v>1</v>
      </c>
      <c r="K334" s="39">
        <f>SUMIFS(pg_transaction_cleaned!$H:$H,pg_transaction_cleaned!$O:$O,A334,pg_transaction_cleaned!$F:$F,"CAPTURE")</f>
        <v>499</v>
      </c>
      <c r="L334" s="23">
        <f>COUNTIFS(pg_transaction_cleaned!$O:$O,A334,pg_transaction_cleaned!$F:$F,"REFUND")</f>
        <v>0</v>
      </c>
      <c r="M334" s="39">
        <f>SUMIFS(pg_transaction_cleaned!$H:$H,pg_transaction_cleaned!$O:$O,A334,pg_transaction_cleaned!$F:$F,"REFUND")</f>
        <v>0</v>
      </c>
      <c r="N334" s="23" t="str">
        <f t="shared" si="22"/>
        <v>OK</v>
      </c>
      <c r="O334" s="24">
        <f t="shared" si="23"/>
        <v>0</v>
      </c>
    </row>
    <row r="335" spans="1:15" ht="15" customHeight="1" x14ac:dyDescent="0.3">
      <c r="A335" s="23" t="s">
        <v>1041</v>
      </c>
      <c r="B335" s="38">
        <v>46286</v>
      </c>
      <c r="C335" s="23" t="s">
        <v>1042</v>
      </c>
      <c r="D335" s="23" t="s">
        <v>90</v>
      </c>
      <c r="E335" s="23" t="s">
        <v>75</v>
      </c>
      <c r="F335" s="23" t="s">
        <v>265</v>
      </c>
      <c r="G335" s="23" t="s">
        <v>250</v>
      </c>
      <c r="H335" s="39">
        <f t="shared" si="20"/>
        <v>999</v>
      </c>
      <c r="I335" s="23" t="str">
        <f t="shared" si="21"/>
        <v>Ahmedabad</v>
      </c>
      <c r="J335" s="23">
        <f>COUNTIFS(pg_transaction_cleaned!$O:$O,A335,pg_transaction_cleaned!$F:$F,"CAPTURE")</f>
        <v>1</v>
      </c>
      <c r="K335" s="39">
        <f>SUMIFS(pg_transaction_cleaned!$H:$H,pg_transaction_cleaned!$O:$O,A335,pg_transaction_cleaned!$F:$F,"CAPTURE")</f>
        <v>999</v>
      </c>
      <c r="L335" s="23">
        <f>COUNTIFS(pg_transaction_cleaned!$O:$O,A335,pg_transaction_cleaned!$F:$F,"REFUND")</f>
        <v>0</v>
      </c>
      <c r="M335" s="39">
        <f>SUMIFS(pg_transaction_cleaned!$H:$H,pg_transaction_cleaned!$O:$O,A335,pg_transaction_cleaned!$F:$F,"REFUND")</f>
        <v>0</v>
      </c>
      <c r="N335" s="23" t="str">
        <f t="shared" si="22"/>
        <v>OK</v>
      </c>
      <c r="O335" s="24">
        <f t="shared" si="23"/>
        <v>0</v>
      </c>
    </row>
    <row r="336" spans="1:15" ht="15" customHeight="1" x14ac:dyDescent="0.3">
      <c r="A336" s="23" t="s">
        <v>1043</v>
      </c>
      <c r="B336" s="38">
        <v>46270</v>
      </c>
      <c r="C336" s="23" t="s">
        <v>1044</v>
      </c>
      <c r="D336" s="23" t="s">
        <v>89</v>
      </c>
      <c r="E336" s="23" t="s">
        <v>79</v>
      </c>
      <c r="F336" s="23" t="s">
        <v>499</v>
      </c>
      <c r="G336" s="23" t="s">
        <v>250</v>
      </c>
      <c r="H336" s="39">
        <f t="shared" si="20"/>
        <v>5998</v>
      </c>
      <c r="I336" s="23" t="str">
        <f t="shared" si="21"/>
        <v>Jaipur</v>
      </c>
      <c r="J336" s="23">
        <f>COUNTIFS(pg_transaction_cleaned!$O:$O,A336,pg_transaction_cleaned!$F:$F,"CAPTURE")</f>
        <v>1</v>
      </c>
      <c r="K336" s="39">
        <f>SUMIFS(pg_transaction_cleaned!$H:$H,pg_transaction_cleaned!$O:$O,A336,pg_transaction_cleaned!$F:$F,"CAPTURE")</f>
        <v>5998</v>
      </c>
      <c r="L336" s="23">
        <f>COUNTIFS(pg_transaction_cleaned!$O:$O,A336,pg_transaction_cleaned!$F:$F,"REFUND")</f>
        <v>0</v>
      </c>
      <c r="M336" s="39">
        <f>SUMIFS(pg_transaction_cleaned!$H:$H,pg_transaction_cleaned!$O:$O,A336,pg_transaction_cleaned!$F:$F,"REFUND")</f>
        <v>0</v>
      </c>
      <c r="N336" s="23" t="str">
        <f t="shared" si="22"/>
        <v>OK</v>
      </c>
      <c r="O336" s="24">
        <f t="shared" si="23"/>
        <v>0</v>
      </c>
    </row>
    <row r="337" spans="1:15" ht="15" customHeight="1" x14ac:dyDescent="0.3">
      <c r="A337" s="23" t="s">
        <v>1045</v>
      </c>
      <c r="B337" s="38">
        <v>46291</v>
      </c>
      <c r="C337" s="23" t="s">
        <v>1046</v>
      </c>
      <c r="D337" s="23" t="s">
        <v>89</v>
      </c>
      <c r="E337" s="23" t="s">
        <v>79</v>
      </c>
      <c r="F337" s="23" t="s">
        <v>1047</v>
      </c>
      <c r="G337" s="23" t="s">
        <v>250</v>
      </c>
      <c r="H337" s="39">
        <f t="shared" si="20"/>
        <v>13597</v>
      </c>
      <c r="I337" s="23" t="str">
        <f t="shared" si="21"/>
        <v>Jaipur</v>
      </c>
      <c r="J337" s="23">
        <f>COUNTIFS(pg_transaction_cleaned!$O:$O,A337,pg_transaction_cleaned!$F:$F,"CAPTURE")</f>
        <v>1</v>
      </c>
      <c r="K337" s="39">
        <f>SUMIFS(pg_transaction_cleaned!$H:$H,pg_transaction_cleaned!$O:$O,A337,pg_transaction_cleaned!$F:$F,"CAPTURE")</f>
        <v>13597</v>
      </c>
      <c r="L337" s="23">
        <f>COUNTIFS(pg_transaction_cleaned!$O:$O,A337,pg_transaction_cleaned!$F:$F,"REFUND")</f>
        <v>0</v>
      </c>
      <c r="M337" s="39">
        <f>SUMIFS(pg_transaction_cleaned!$H:$H,pg_transaction_cleaned!$O:$O,A337,pg_transaction_cleaned!$F:$F,"REFUND")</f>
        <v>0</v>
      </c>
      <c r="N337" s="23" t="str">
        <f t="shared" si="22"/>
        <v>OK</v>
      </c>
      <c r="O337" s="24">
        <f t="shared" si="23"/>
        <v>0</v>
      </c>
    </row>
    <row r="338" spans="1:15" ht="15" customHeight="1" x14ac:dyDescent="0.3">
      <c r="A338" s="23" t="s">
        <v>1048</v>
      </c>
      <c r="B338" s="38">
        <v>46280</v>
      </c>
      <c r="C338" s="23" t="s">
        <v>1049</v>
      </c>
      <c r="D338" s="23" t="s">
        <v>89</v>
      </c>
      <c r="E338" s="23" t="s">
        <v>79</v>
      </c>
      <c r="F338" s="23" t="s">
        <v>346</v>
      </c>
      <c r="G338" s="23" t="s">
        <v>250</v>
      </c>
      <c r="H338" s="39">
        <f t="shared" si="20"/>
        <v>4498</v>
      </c>
      <c r="I338" s="23" t="str">
        <f t="shared" si="21"/>
        <v>Jaipur</v>
      </c>
      <c r="J338" s="23">
        <f>COUNTIFS(pg_transaction_cleaned!$O:$O,A338,pg_transaction_cleaned!$F:$F,"CAPTURE")</f>
        <v>1</v>
      </c>
      <c r="K338" s="39">
        <f>SUMIFS(pg_transaction_cleaned!$H:$H,pg_transaction_cleaned!$O:$O,A338,pg_transaction_cleaned!$F:$F,"CAPTURE")</f>
        <v>4498</v>
      </c>
      <c r="L338" s="23">
        <f>COUNTIFS(pg_transaction_cleaned!$O:$O,A338,pg_transaction_cleaned!$F:$F,"REFUND")</f>
        <v>0</v>
      </c>
      <c r="M338" s="39">
        <f>SUMIFS(pg_transaction_cleaned!$H:$H,pg_transaction_cleaned!$O:$O,A338,pg_transaction_cleaned!$F:$F,"REFUND")</f>
        <v>0</v>
      </c>
      <c r="N338" s="23" t="str">
        <f t="shared" si="22"/>
        <v>OK</v>
      </c>
      <c r="O338" s="24">
        <f t="shared" si="23"/>
        <v>0</v>
      </c>
    </row>
    <row r="339" spans="1:15" ht="15" customHeight="1" x14ac:dyDescent="0.3">
      <c r="A339" s="23" t="s">
        <v>1050</v>
      </c>
      <c r="B339" s="38">
        <v>46294</v>
      </c>
      <c r="C339" s="23" t="s">
        <v>1051</v>
      </c>
      <c r="D339" s="23" t="s">
        <v>90</v>
      </c>
      <c r="E339" s="23" t="s">
        <v>75</v>
      </c>
      <c r="F339" s="23" t="s">
        <v>370</v>
      </c>
      <c r="G339" s="23" t="s">
        <v>250</v>
      </c>
      <c r="H339" s="39">
        <f t="shared" si="20"/>
        <v>3098</v>
      </c>
      <c r="I339" s="23" t="str">
        <f t="shared" si="21"/>
        <v>Ahmedabad</v>
      </c>
      <c r="J339" s="23">
        <f>COUNTIFS(pg_transaction_cleaned!$O:$O,A339,pg_transaction_cleaned!$F:$F,"CAPTURE")</f>
        <v>1</v>
      </c>
      <c r="K339" s="39">
        <f>SUMIFS(pg_transaction_cleaned!$H:$H,pg_transaction_cleaned!$O:$O,A339,pg_transaction_cleaned!$F:$F,"CAPTURE")</f>
        <v>3098</v>
      </c>
      <c r="L339" s="23">
        <f>COUNTIFS(pg_transaction_cleaned!$O:$O,A339,pg_transaction_cleaned!$F:$F,"REFUND")</f>
        <v>0</v>
      </c>
      <c r="M339" s="39">
        <f>SUMIFS(pg_transaction_cleaned!$H:$H,pg_transaction_cleaned!$O:$O,A339,pg_transaction_cleaned!$F:$F,"REFUND")</f>
        <v>0</v>
      </c>
      <c r="N339" s="23" t="str">
        <f t="shared" si="22"/>
        <v>OK</v>
      </c>
      <c r="O339" s="24">
        <f t="shared" si="23"/>
        <v>0</v>
      </c>
    </row>
    <row r="340" spans="1:15" ht="15" customHeight="1" x14ac:dyDescent="0.3">
      <c r="A340" s="23" t="s">
        <v>1052</v>
      </c>
      <c r="B340" s="38">
        <v>46269</v>
      </c>
      <c r="C340" s="23" t="s">
        <v>1053</v>
      </c>
      <c r="D340" s="23" t="s">
        <v>87</v>
      </c>
      <c r="E340" s="23" t="s">
        <v>77</v>
      </c>
      <c r="F340" s="23" t="s">
        <v>1054</v>
      </c>
      <c r="G340" s="23" t="s">
        <v>250</v>
      </c>
      <c r="H340" s="39">
        <f t="shared" si="20"/>
        <v>6597</v>
      </c>
      <c r="I340" s="23" t="str">
        <f t="shared" si="21"/>
        <v>Mumbai</v>
      </c>
      <c r="J340" s="23">
        <f>COUNTIFS(pg_transaction_cleaned!$O:$O,A340,pg_transaction_cleaned!$F:$F,"CAPTURE")</f>
        <v>1</v>
      </c>
      <c r="K340" s="39">
        <f>SUMIFS(pg_transaction_cleaned!$H:$H,pg_transaction_cleaned!$O:$O,A340,pg_transaction_cleaned!$F:$F,"CAPTURE")</f>
        <v>6597</v>
      </c>
      <c r="L340" s="23">
        <f>COUNTIFS(pg_transaction_cleaned!$O:$O,A340,pg_transaction_cleaned!$F:$F,"REFUND")</f>
        <v>0</v>
      </c>
      <c r="M340" s="39">
        <f>SUMIFS(pg_transaction_cleaned!$H:$H,pg_transaction_cleaned!$O:$O,A340,pg_transaction_cleaned!$F:$F,"REFUND")</f>
        <v>0</v>
      </c>
      <c r="N340" s="23" t="str">
        <f t="shared" si="22"/>
        <v>OK</v>
      </c>
      <c r="O340" s="24">
        <f t="shared" si="23"/>
        <v>0</v>
      </c>
    </row>
    <row r="341" spans="1:15" ht="15" customHeight="1" x14ac:dyDescent="0.3">
      <c r="A341" s="23" t="s">
        <v>1055</v>
      </c>
      <c r="B341" s="38">
        <v>46280</v>
      </c>
      <c r="C341" s="23" t="s">
        <v>1056</v>
      </c>
      <c r="D341" s="23" t="s">
        <v>90</v>
      </c>
      <c r="E341" s="23" t="s">
        <v>79</v>
      </c>
      <c r="F341" s="23" t="s">
        <v>294</v>
      </c>
      <c r="G341" s="23" t="s">
        <v>250</v>
      </c>
      <c r="H341" s="39">
        <f t="shared" si="20"/>
        <v>1799</v>
      </c>
      <c r="I341" s="23" t="str">
        <f t="shared" si="21"/>
        <v>Ahmedabad</v>
      </c>
      <c r="J341" s="23">
        <f>COUNTIFS(pg_transaction_cleaned!$O:$O,A341,pg_transaction_cleaned!$F:$F,"CAPTURE")</f>
        <v>1</v>
      </c>
      <c r="K341" s="39">
        <f>SUMIFS(pg_transaction_cleaned!$H:$H,pg_transaction_cleaned!$O:$O,A341,pg_transaction_cleaned!$F:$F,"CAPTURE")</f>
        <v>1799</v>
      </c>
      <c r="L341" s="23">
        <f>COUNTIFS(pg_transaction_cleaned!$O:$O,A341,pg_transaction_cleaned!$F:$F,"REFUND")</f>
        <v>0</v>
      </c>
      <c r="M341" s="39">
        <f>SUMIFS(pg_transaction_cleaned!$H:$H,pg_transaction_cleaned!$O:$O,A341,pg_transaction_cleaned!$F:$F,"REFUND")</f>
        <v>0</v>
      </c>
      <c r="N341" s="23" t="str">
        <f t="shared" si="22"/>
        <v>OK</v>
      </c>
      <c r="O341" s="24">
        <f t="shared" si="23"/>
        <v>0</v>
      </c>
    </row>
    <row r="342" spans="1:15" ht="15" customHeight="1" x14ac:dyDescent="0.3">
      <c r="A342" s="23" t="s">
        <v>1057</v>
      </c>
      <c r="B342" s="38">
        <v>46287</v>
      </c>
      <c r="C342" s="23" t="s">
        <v>1058</v>
      </c>
      <c r="D342" s="23" t="s">
        <v>95</v>
      </c>
      <c r="E342" s="23" t="s">
        <v>75</v>
      </c>
      <c r="F342" s="23" t="s">
        <v>291</v>
      </c>
      <c r="G342" s="23" t="s">
        <v>250</v>
      </c>
      <c r="H342" s="39">
        <f t="shared" si="20"/>
        <v>3499</v>
      </c>
      <c r="I342" s="23" t="str">
        <f t="shared" si="21"/>
        <v>Bengaluru</v>
      </c>
      <c r="J342" s="23">
        <f>COUNTIFS(pg_transaction_cleaned!$O:$O,A342,pg_transaction_cleaned!$F:$F,"CAPTURE")</f>
        <v>1</v>
      </c>
      <c r="K342" s="39">
        <f>SUMIFS(pg_transaction_cleaned!$H:$H,pg_transaction_cleaned!$O:$O,A342,pg_transaction_cleaned!$F:$F,"CAPTURE")</f>
        <v>3499</v>
      </c>
      <c r="L342" s="23">
        <f>COUNTIFS(pg_transaction_cleaned!$O:$O,A342,pg_transaction_cleaned!$F:$F,"REFUND")</f>
        <v>0</v>
      </c>
      <c r="M342" s="39">
        <f>SUMIFS(pg_transaction_cleaned!$H:$H,pg_transaction_cleaned!$O:$O,A342,pg_transaction_cleaned!$F:$F,"REFUND")</f>
        <v>0</v>
      </c>
      <c r="N342" s="23" t="str">
        <f t="shared" si="22"/>
        <v>OK</v>
      </c>
      <c r="O342" s="24">
        <f t="shared" si="23"/>
        <v>0</v>
      </c>
    </row>
    <row r="343" spans="1:15" ht="15" customHeight="1" x14ac:dyDescent="0.3">
      <c r="A343" s="23" t="s">
        <v>1059</v>
      </c>
      <c r="B343" s="38">
        <v>46284</v>
      </c>
      <c r="C343" s="23" t="s">
        <v>1060</v>
      </c>
      <c r="D343" s="23" t="s">
        <v>87</v>
      </c>
      <c r="E343" s="23" t="s">
        <v>79</v>
      </c>
      <c r="F343" s="23" t="s">
        <v>249</v>
      </c>
      <c r="G343" s="23" t="s">
        <v>250</v>
      </c>
      <c r="H343" s="39">
        <f t="shared" si="20"/>
        <v>299</v>
      </c>
      <c r="I343" s="23" t="str">
        <f t="shared" si="21"/>
        <v>Mumbai</v>
      </c>
      <c r="J343" s="23">
        <f>COUNTIFS(pg_transaction_cleaned!$O:$O,A343,pg_transaction_cleaned!$F:$F,"CAPTURE")</f>
        <v>1</v>
      </c>
      <c r="K343" s="39">
        <f>SUMIFS(pg_transaction_cleaned!$H:$H,pg_transaction_cleaned!$O:$O,A343,pg_transaction_cleaned!$F:$F,"CAPTURE")</f>
        <v>299</v>
      </c>
      <c r="L343" s="23">
        <f>COUNTIFS(pg_transaction_cleaned!$O:$O,A343,pg_transaction_cleaned!$F:$F,"REFUND")</f>
        <v>0</v>
      </c>
      <c r="M343" s="39">
        <f>SUMIFS(pg_transaction_cleaned!$H:$H,pg_transaction_cleaned!$O:$O,A343,pg_transaction_cleaned!$F:$F,"REFUND")</f>
        <v>0</v>
      </c>
      <c r="N343" s="23" t="str">
        <f t="shared" si="22"/>
        <v>OK</v>
      </c>
      <c r="O343" s="24">
        <f t="shared" si="23"/>
        <v>0</v>
      </c>
    </row>
    <row r="344" spans="1:15" ht="15" customHeight="1" x14ac:dyDescent="0.3">
      <c r="A344" s="23" t="s">
        <v>1061</v>
      </c>
      <c r="B344" s="38">
        <v>46295</v>
      </c>
      <c r="C344" s="23" t="s">
        <v>1062</v>
      </c>
      <c r="D344" s="23" t="s">
        <v>93</v>
      </c>
      <c r="E344" s="23" t="s">
        <v>75</v>
      </c>
      <c r="F344" s="23" t="s">
        <v>315</v>
      </c>
      <c r="G344" s="23" t="s">
        <v>250</v>
      </c>
      <c r="H344" s="39">
        <f t="shared" si="20"/>
        <v>1499</v>
      </c>
      <c r="I344" s="23" t="str">
        <f t="shared" si="21"/>
        <v>Kolkata</v>
      </c>
      <c r="J344" s="23">
        <f>COUNTIFS(pg_transaction_cleaned!$O:$O,A344,pg_transaction_cleaned!$F:$F,"CAPTURE")</f>
        <v>1</v>
      </c>
      <c r="K344" s="39">
        <f>SUMIFS(pg_transaction_cleaned!$H:$H,pg_transaction_cleaned!$O:$O,A344,pg_transaction_cleaned!$F:$F,"CAPTURE")</f>
        <v>1499</v>
      </c>
      <c r="L344" s="23">
        <f>COUNTIFS(pg_transaction_cleaned!$O:$O,A344,pg_transaction_cleaned!$F:$F,"REFUND")</f>
        <v>0</v>
      </c>
      <c r="M344" s="39">
        <f>SUMIFS(pg_transaction_cleaned!$H:$H,pg_transaction_cleaned!$O:$O,A344,pg_transaction_cleaned!$F:$F,"REFUND")</f>
        <v>0</v>
      </c>
      <c r="N344" s="23" t="str">
        <f t="shared" si="22"/>
        <v>OK</v>
      </c>
      <c r="O344" s="24">
        <f t="shared" si="23"/>
        <v>0</v>
      </c>
    </row>
    <row r="345" spans="1:15" ht="15" customHeight="1" x14ac:dyDescent="0.3">
      <c r="A345" s="23" t="s">
        <v>1063</v>
      </c>
      <c r="B345" s="38">
        <v>46277</v>
      </c>
      <c r="C345" s="23" t="s">
        <v>1064</v>
      </c>
      <c r="D345" s="23" t="s">
        <v>89</v>
      </c>
      <c r="E345" s="23" t="s">
        <v>75</v>
      </c>
      <c r="F345" s="23" t="s">
        <v>343</v>
      </c>
      <c r="G345" s="23" t="s">
        <v>365</v>
      </c>
      <c r="H345" s="39">
        <f t="shared" si="20"/>
        <v>9498</v>
      </c>
      <c r="I345" s="23" t="str">
        <f t="shared" si="21"/>
        <v>Jaipur</v>
      </c>
      <c r="J345" s="23">
        <f>COUNTIFS(pg_transaction_cleaned!$O:$O,A345,pg_transaction_cleaned!$F:$F,"CAPTURE")</f>
        <v>0</v>
      </c>
      <c r="K345" s="39">
        <f>SUMIFS(pg_transaction_cleaned!$H:$H,pg_transaction_cleaned!$O:$O,A345,pg_transaction_cleaned!$F:$F,"CAPTURE")</f>
        <v>0</v>
      </c>
      <c r="L345" s="23">
        <f>COUNTIFS(pg_transaction_cleaned!$O:$O,A345,pg_transaction_cleaned!$F:$F,"REFUND")</f>
        <v>0</v>
      </c>
      <c r="M345" s="39">
        <f>SUMIFS(pg_transaction_cleaned!$H:$H,pg_transaction_cleaned!$O:$O,A345,pg_transaction_cleaned!$F:$F,"REFUND")</f>
        <v>0</v>
      </c>
      <c r="N345" s="23" t="str">
        <f t="shared" si="22"/>
        <v>OK</v>
      </c>
      <c r="O345" s="24">
        <f t="shared" si="23"/>
        <v>0</v>
      </c>
    </row>
    <row r="346" spans="1:15" ht="15" customHeight="1" x14ac:dyDescent="0.3">
      <c r="A346" s="23" t="s">
        <v>1065</v>
      </c>
      <c r="B346" s="38">
        <v>46270</v>
      </c>
      <c r="C346" s="23" t="s">
        <v>1066</v>
      </c>
      <c r="D346" s="23" t="s">
        <v>86</v>
      </c>
      <c r="E346" s="23" t="s">
        <v>75</v>
      </c>
      <c r="F346" s="23" t="s">
        <v>1067</v>
      </c>
      <c r="G346" s="23" t="s">
        <v>250</v>
      </c>
      <c r="H346" s="39">
        <f t="shared" si="20"/>
        <v>9347</v>
      </c>
      <c r="I346" s="23" t="str">
        <f t="shared" si="21"/>
        <v>Delhi</v>
      </c>
      <c r="J346" s="23">
        <f>COUNTIFS(pg_transaction_cleaned!$O:$O,A346,pg_transaction_cleaned!$F:$F,"CAPTURE")</f>
        <v>1</v>
      </c>
      <c r="K346" s="39">
        <f>SUMIFS(pg_transaction_cleaned!$H:$H,pg_transaction_cleaned!$O:$O,A346,pg_transaction_cleaned!$F:$F,"CAPTURE")</f>
        <v>9347</v>
      </c>
      <c r="L346" s="23">
        <f>COUNTIFS(pg_transaction_cleaned!$O:$O,A346,pg_transaction_cleaned!$F:$F,"REFUND")</f>
        <v>0</v>
      </c>
      <c r="M346" s="39">
        <f>SUMIFS(pg_transaction_cleaned!$H:$H,pg_transaction_cleaned!$O:$O,A346,pg_transaction_cleaned!$F:$F,"REFUND")</f>
        <v>0</v>
      </c>
      <c r="N346" s="23" t="str">
        <f t="shared" si="22"/>
        <v>OK</v>
      </c>
      <c r="O346" s="24">
        <f t="shared" si="23"/>
        <v>0</v>
      </c>
    </row>
    <row r="347" spans="1:15" ht="15" customHeight="1" x14ac:dyDescent="0.3">
      <c r="A347" s="23" t="s">
        <v>1068</v>
      </c>
      <c r="B347" s="38">
        <v>46289</v>
      </c>
      <c r="C347" s="23" t="s">
        <v>1069</v>
      </c>
      <c r="D347" s="23" t="s">
        <v>90</v>
      </c>
      <c r="E347" s="23" t="s">
        <v>75</v>
      </c>
      <c r="F347" s="23" t="s">
        <v>310</v>
      </c>
      <c r="G347" s="23" t="s">
        <v>250</v>
      </c>
      <c r="H347" s="39">
        <f t="shared" si="20"/>
        <v>7999</v>
      </c>
      <c r="I347" s="23" t="str">
        <f t="shared" si="21"/>
        <v>Ahmedabad</v>
      </c>
      <c r="J347" s="23">
        <f>COUNTIFS(pg_transaction_cleaned!$O:$O,A347,pg_transaction_cleaned!$F:$F,"CAPTURE")</f>
        <v>1</v>
      </c>
      <c r="K347" s="39">
        <f>SUMIFS(pg_transaction_cleaned!$H:$H,pg_transaction_cleaned!$O:$O,A347,pg_transaction_cleaned!$F:$F,"CAPTURE")</f>
        <v>7999</v>
      </c>
      <c r="L347" s="23">
        <f>COUNTIFS(pg_transaction_cleaned!$O:$O,A347,pg_transaction_cleaned!$F:$F,"REFUND")</f>
        <v>0</v>
      </c>
      <c r="M347" s="39">
        <f>SUMIFS(pg_transaction_cleaned!$H:$H,pg_transaction_cleaned!$O:$O,A347,pg_transaction_cleaned!$F:$F,"REFUND")</f>
        <v>0</v>
      </c>
      <c r="N347" s="23" t="str">
        <f t="shared" si="22"/>
        <v>OK</v>
      </c>
      <c r="O347" s="24">
        <f t="shared" si="23"/>
        <v>0</v>
      </c>
    </row>
    <row r="348" spans="1:15" ht="15" customHeight="1" x14ac:dyDescent="0.3">
      <c r="A348" s="23" t="s">
        <v>1070</v>
      </c>
      <c r="B348" s="38">
        <v>46287</v>
      </c>
      <c r="C348" s="23" t="s">
        <v>1071</v>
      </c>
      <c r="D348" s="23" t="s">
        <v>94</v>
      </c>
      <c r="E348" s="23" t="s">
        <v>75</v>
      </c>
      <c r="F348" s="23" t="s">
        <v>1072</v>
      </c>
      <c r="G348" s="23" t="s">
        <v>250</v>
      </c>
      <c r="H348" s="39">
        <f t="shared" si="20"/>
        <v>4897</v>
      </c>
      <c r="I348" s="23" t="str">
        <f t="shared" si="21"/>
        <v>Chennai</v>
      </c>
      <c r="J348" s="23">
        <f>COUNTIFS(pg_transaction_cleaned!$O:$O,A348,pg_transaction_cleaned!$F:$F,"CAPTURE")</f>
        <v>1</v>
      </c>
      <c r="K348" s="39">
        <f>SUMIFS(pg_transaction_cleaned!$H:$H,pg_transaction_cleaned!$O:$O,A348,pg_transaction_cleaned!$F:$F,"CAPTURE")</f>
        <v>4897</v>
      </c>
      <c r="L348" s="23">
        <f>COUNTIFS(pg_transaction_cleaned!$O:$O,A348,pg_transaction_cleaned!$F:$F,"REFUND")</f>
        <v>0</v>
      </c>
      <c r="M348" s="39">
        <f>SUMIFS(pg_transaction_cleaned!$H:$H,pg_transaction_cleaned!$O:$O,A348,pg_transaction_cleaned!$F:$F,"REFUND")</f>
        <v>0</v>
      </c>
      <c r="N348" s="23" t="str">
        <f t="shared" si="22"/>
        <v>OK</v>
      </c>
      <c r="O348" s="24">
        <f t="shared" si="23"/>
        <v>0</v>
      </c>
    </row>
    <row r="349" spans="1:15" ht="15" customHeight="1" x14ac:dyDescent="0.3">
      <c r="A349" s="23" t="s">
        <v>1073</v>
      </c>
      <c r="B349" s="38">
        <v>46270</v>
      </c>
      <c r="C349" s="23" t="s">
        <v>1074</v>
      </c>
      <c r="D349" s="23" t="s">
        <v>87</v>
      </c>
      <c r="E349" s="23" t="s">
        <v>79</v>
      </c>
      <c r="F349" s="23" t="s">
        <v>329</v>
      </c>
      <c r="G349" s="23" t="s">
        <v>318</v>
      </c>
      <c r="H349" s="39">
        <f t="shared" si="20"/>
        <v>599</v>
      </c>
      <c r="I349" s="23" t="str">
        <f t="shared" si="21"/>
        <v>Mumbai</v>
      </c>
      <c r="J349" s="23">
        <f>COUNTIFS(pg_transaction_cleaned!$O:$O,A349,pg_transaction_cleaned!$F:$F,"CAPTURE")</f>
        <v>0</v>
      </c>
      <c r="K349" s="39">
        <f>SUMIFS(pg_transaction_cleaned!$H:$H,pg_transaction_cleaned!$O:$O,A349,pg_transaction_cleaned!$F:$F,"CAPTURE")</f>
        <v>0</v>
      </c>
      <c r="L349" s="23">
        <f>COUNTIFS(pg_transaction_cleaned!$O:$O,A349,pg_transaction_cleaned!$F:$F,"REFUND")</f>
        <v>0</v>
      </c>
      <c r="M349" s="39">
        <f>SUMIFS(pg_transaction_cleaned!$H:$H,pg_transaction_cleaned!$O:$O,A349,pg_transaction_cleaned!$F:$F,"REFUND")</f>
        <v>0</v>
      </c>
      <c r="N349" s="23" t="str">
        <f t="shared" si="22"/>
        <v>OK</v>
      </c>
      <c r="O349" s="24">
        <f t="shared" si="23"/>
        <v>0</v>
      </c>
    </row>
    <row r="350" spans="1:15" ht="15" customHeight="1" x14ac:dyDescent="0.3">
      <c r="A350" s="23" t="s">
        <v>1075</v>
      </c>
      <c r="B350" s="38">
        <v>46291</v>
      </c>
      <c r="C350" s="23" t="s">
        <v>1076</v>
      </c>
      <c r="D350" s="23" t="s">
        <v>95</v>
      </c>
      <c r="E350" s="23" t="s">
        <v>77</v>
      </c>
      <c r="F350" s="23" t="s">
        <v>685</v>
      </c>
      <c r="G350" s="23" t="s">
        <v>318</v>
      </c>
      <c r="H350" s="39">
        <f t="shared" si="20"/>
        <v>8797</v>
      </c>
      <c r="I350" s="23" t="str">
        <f t="shared" si="21"/>
        <v>Bengaluru</v>
      </c>
      <c r="J350" s="23">
        <f>COUNTIFS(pg_transaction_cleaned!$O:$O,A350,pg_transaction_cleaned!$F:$F,"CAPTURE")</f>
        <v>1</v>
      </c>
      <c r="K350" s="39">
        <f>SUMIFS(pg_transaction_cleaned!$H:$H,pg_transaction_cleaned!$O:$O,A350,pg_transaction_cleaned!$F:$F,"CAPTURE")</f>
        <v>8797</v>
      </c>
      <c r="L350" s="23">
        <f>COUNTIFS(pg_transaction_cleaned!$O:$O,A350,pg_transaction_cleaned!$F:$F,"REFUND")</f>
        <v>0</v>
      </c>
      <c r="M350" s="39">
        <f>SUMIFS(pg_transaction_cleaned!$H:$H,pg_transaction_cleaned!$O:$O,A350,pg_transaction_cleaned!$F:$F,"REFUND")</f>
        <v>0</v>
      </c>
      <c r="N350" s="23" t="str">
        <f t="shared" si="22"/>
        <v>Payment on failed/cancelled</v>
      </c>
      <c r="O350" s="24">
        <f t="shared" si="23"/>
        <v>8797</v>
      </c>
    </row>
    <row r="351" spans="1:15" ht="15" customHeight="1" x14ac:dyDescent="0.3">
      <c r="A351" s="23" t="s">
        <v>1077</v>
      </c>
      <c r="B351" s="38">
        <v>46268</v>
      </c>
      <c r="C351" s="23" t="s">
        <v>1078</v>
      </c>
      <c r="D351" s="23" t="s">
        <v>95</v>
      </c>
      <c r="E351" s="23" t="s">
        <v>79</v>
      </c>
      <c r="F351" s="23" t="s">
        <v>271</v>
      </c>
      <c r="G351" s="23" t="s">
        <v>250</v>
      </c>
      <c r="H351" s="39">
        <f t="shared" si="20"/>
        <v>2499</v>
      </c>
      <c r="I351" s="23" t="str">
        <f t="shared" si="21"/>
        <v>Bengaluru</v>
      </c>
      <c r="J351" s="23">
        <f>COUNTIFS(pg_transaction_cleaned!$O:$O,A351,pg_transaction_cleaned!$F:$F,"CAPTURE")</f>
        <v>1</v>
      </c>
      <c r="K351" s="39">
        <f>SUMIFS(pg_transaction_cleaned!$H:$H,pg_transaction_cleaned!$O:$O,A351,pg_transaction_cleaned!$F:$F,"CAPTURE")</f>
        <v>2499</v>
      </c>
      <c r="L351" s="23">
        <f>COUNTIFS(pg_transaction_cleaned!$O:$O,A351,pg_transaction_cleaned!$F:$F,"REFUND")</f>
        <v>0</v>
      </c>
      <c r="M351" s="39">
        <f>SUMIFS(pg_transaction_cleaned!$H:$H,pg_transaction_cleaned!$O:$O,A351,pg_transaction_cleaned!$F:$F,"REFUND")</f>
        <v>0</v>
      </c>
      <c r="N351" s="23" t="str">
        <f t="shared" si="22"/>
        <v>OK</v>
      </c>
      <c r="O351" s="24">
        <f t="shared" si="23"/>
        <v>0</v>
      </c>
    </row>
    <row r="352" spans="1:15" ht="15" customHeight="1" x14ac:dyDescent="0.3">
      <c r="A352" s="23" t="s">
        <v>1079</v>
      </c>
      <c r="B352" s="38">
        <v>46289</v>
      </c>
      <c r="C352" s="23" t="s">
        <v>1080</v>
      </c>
      <c r="D352" s="23" t="s">
        <v>86</v>
      </c>
      <c r="E352" s="23" t="s">
        <v>75</v>
      </c>
      <c r="F352" s="23" t="s">
        <v>268</v>
      </c>
      <c r="G352" s="23" t="s">
        <v>250</v>
      </c>
      <c r="H352" s="39">
        <f t="shared" si="20"/>
        <v>1299</v>
      </c>
      <c r="I352" s="23" t="str">
        <f t="shared" si="21"/>
        <v>Delhi</v>
      </c>
      <c r="J352" s="23">
        <f>COUNTIFS(pg_transaction_cleaned!$O:$O,A352,pg_transaction_cleaned!$F:$F,"CAPTURE")</f>
        <v>1</v>
      </c>
      <c r="K352" s="39">
        <f>SUMIFS(pg_transaction_cleaned!$H:$H,pg_transaction_cleaned!$O:$O,A352,pg_transaction_cleaned!$F:$F,"CAPTURE")</f>
        <v>1299</v>
      </c>
      <c r="L352" s="23">
        <f>COUNTIFS(pg_transaction_cleaned!$O:$O,A352,pg_transaction_cleaned!$F:$F,"REFUND")</f>
        <v>0</v>
      </c>
      <c r="M352" s="39">
        <f>SUMIFS(pg_transaction_cleaned!$H:$H,pg_transaction_cleaned!$O:$O,A352,pg_transaction_cleaned!$F:$F,"REFUND")</f>
        <v>0</v>
      </c>
      <c r="N352" s="23" t="str">
        <f t="shared" si="22"/>
        <v>OK</v>
      </c>
      <c r="O352" s="24">
        <f t="shared" si="23"/>
        <v>0</v>
      </c>
    </row>
    <row r="353" spans="1:15" ht="15" customHeight="1" x14ac:dyDescent="0.3">
      <c r="A353" s="23" t="s">
        <v>1081</v>
      </c>
      <c r="B353" s="38">
        <v>46282</v>
      </c>
      <c r="C353" s="23" t="s">
        <v>1082</v>
      </c>
      <c r="D353" s="23" t="s">
        <v>88</v>
      </c>
      <c r="E353" s="23" t="s">
        <v>79</v>
      </c>
      <c r="F353" s="23" t="s">
        <v>329</v>
      </c>
      <c r="G353" s="23" t="s">
        <v>250</v>
      </c>
      <c r="H353" s="39">
        <f t="shared" si="20"/>
        <v>599</v>
      </c>
      <c r="I353" s="23" t="str">
        <f t="shared" si="21"/>
        <v>Lucknow</v>
      </c>
      <c r="J353" s="23">
        <f>COUNTIFS(pg_transaction_cleaned!$O:$O,A353,pg_transaction_cleaned!$F:$F,"CAPTURE")</f>
        <v>1</v>
      </c>
      <c r="K353" s="39">
        <f>SUMIFS(pg_transaction_cleaned!$H:$H,pg_transaction_cleaned!$O:$O,A353,pg_transaction_cleaned!$F:$F,"CAPTURE")</f>
        <v>599</v>
      </c>
      <c r="L353" s="23">
        <f>COUNTIFS(pg_transaction_cleaned!$O:$O,A353,pg_transaction_cleaned!$F:$F,"REFUND")</f>
        <v>0</v>
      </c>
      <c r="M353" s="39">
        <f>SUMIFS(pg_transaction_cleaned!$H:$H,pg_transaction_cleaned!$O:$O,A353,pg_transaction_cleaned!$F:$F,"REFUND")</f>
        <v>0</v>
      </c>
      <c r="N353" s="23" t="str">
        <f t="shared" si="22"/>
        <v>OK</v>
      </c>
      <c r="O353" s="24">
        <f t="shared" si="23"/>
        <v>0</v>
      </c>
    </row>
    <row r="354" spans="1:15" ht="15" customHeight="1" x14ac:dyDescent="0.3">
      <c r="A354" s="23" t="s">
        <v>1083</v>
      </c>
      <c r="B354" s="38">
        <v>46285</v>
      </c>
      <c r="C354" s="23" t="s">
        <v>1084</v>
      </c>
      <c r="D354" s="23" t="s">
        <v>89</v>
      </c>
      <c r="E354" s="23" t="s">
        <v>75</v>
      </c>
      <c r="F354" s="23" t="s">
        <v>1085</v>
      </c>
      <c r="G354" s="23" t="s">
        <v>250</v>
      </c>
      <c r="H354" s="39">
        <f t="shared" si="20"/>
        <v>9597</v>
      </c>
      <c r="I354" s="23" t="str">
        <f t="shared" si="21"/>
        <v>Jaipur</v>
      </c>
      <c r="J354" s="23">
        <f>COUNTIFS(pg_transaction_cleaned!$O:$O,A354,pg_transaction_cleaned!$F:$F,"CAPTURE")</f>
        <v>1</v>
      </c>
      <c r="K354" s="39">
        <f>SUMIFS(pg_transaction_cleaned!$H:$H,pg_transaction_cleaned!$O:$O,A354,pg_transaction_cleaned!$F:$F,"CAPTURE")</f>
        <v>9597</v>
      </c>
      <c r="L354" s="23">
        <f>COUNTIFS(pg_transaction_cleaned!$O:$O,A354,pg_transaction_cleaned!$F:$F,"REFUND")</f>
        <v>0</v>
      </c>
      <c r="M354" s="39">
        <f>SUMIFS(pg_transaction_cleaned!$H:$H,pg_transaction_cleaned!$O:$O,A354,pg_transaction_cleaned!$F:$F,"REFUND")</f>
        <v>0</v>
      </c>
      <c r="N354" s="23" t="str">
        <f t="shared" si="22"/>
        <v>OK</v>
      </c>
      <c r="O354" s="24">
        <f t="shared" si="23"/>
        <v>0</v>
      </c>
    </row>
    <row r="355" spans="1:15" ht="15" customHeight="1" x14ac:dyDescent="0.3">
      <c r="A355" s="23" t="s">
        <v>1086</v>
      </c>
      <c r="B355" s="38">
        <v>46273</v>
      </c>
      <c r="C355" s="23" t="s">
        <v>1087</v>
      </c>
      <c r="D355" s="23" t="s">
        <v>93</v>
      </c>
      <c r="E355" s="23" t="s">
        <v>77</v>
      </c>
      <c r="F355" s="23" t="s">
        <v>357</v>
      </c>
      <c r="G355" s="23" t="s">
        <v>250</v>
      </c>
      <c r="H355" s="39">
        <f t="shared" si="20"/>
        <v>1598</v>
      </c>
      <c r="I355" s="23" t="str">
        <f t="shared" si="21"/>
        <v>Kolkata</v>
      </c>
      <c r="J355" s="23">
        <f>COUNTIFS(pg_transaction_cleaned!$O:$O,A355,pg_transaction_cleaned!$F:$F,"CAPTURE")</f>
        <v>1</v>
      </c>
      <c r="K355" s="39">
        <f>SUMIFS(pg_transaction_cleaned!$H:$H,pg_transaction_cleaned!$O:$O,A355,pg_transaction_cleaned!$F:$F,"CAPTURE")</f>
        <v>1598</v>
      </c>
      <c r="L355" s="23">
        <f>COUNTIFS(pg_transaction_cleaned!$O:$O,A355,pg_transaction_cleaned!$F:$F,"REFUND")</f>
        <v>0</v>
      </c>
      <c r="M355" s="39">
        <f>SUMIFS(pg_transaction_cleaned!$H:$H,pg_transaction_cleaned!$O:$O,A355,pg_transaction_cleaned!$F:$F,"REFUND")</f>
        <v>0</v>
      </c>
      <c r="N355" s="23" t="str">
        <f t="shared" si="22"/>
        <v>OK</v>
      </c>
      <c r="O355" s="24">
        <f t="shared" si="23"/>
        <v>0</v>
      </c>
    </row>
    <row r="356" spans="1:15" ht="15" customHeight="1" x14ac:dyDescent="0.3">
      <c r="A356" s="23" t="s">
        <v>1088</v>
      </c>
      <c r="B356" s="38">
        <v>46283</v>
      </c>
      <c r="C356" s="23" t="s">
        <v>1089</v>
      </c>
      <c r="D356" s="23"/>
      <c r="E356" s="23" t="s">
        <v>79</v>
      </c>
      <c r="F356" s="23" t="s">
        <v>582</v>
      </c>
      <c r="G356" s="23" t="s">
        <v>318</v>
      </c>
      <c r="H356" s="39">
        <f t="shared" si="20"/>
        <v>1298</v>
      </c>
      <c r="I356" s="23" t="str">
        <f t="shared" si="21"/>
        <v>Unknown</v>
      </c>
      <c r="J356" s="23">
        <f>COUNTIFS(pg_transaction_cleaned!$O:$O,A356,pg_transaction_cleaned!$F:$F,"CAPTURE")</f>
        <v>0</v>
      </c>
      <c r="K356" s="39">
        <f>SUMIFS(pg_transaction_cleaned!$H:$H,pg_transaction_cleaned!$O:$O,A356,pg_transaction_cleaned!$F:$F,"CAPTURE")</f>
        <v>0</v>
      </c>
      <c r="L356" s="23">
        <f>COUNTIFS(pg_transaction_cleaned!$O:$O,A356,pg_transaction_cleaned!$F:$F,"REFUND")</f>
        <v>0</v>
      </c>
      <c r="M356" s="39">
        <f>SUMIFS(pg_transaction_cleaned!$H:$H,pg_transaction_cleaned!$O:$O,A356,pg_transaction_cleaned!$F:$F,"REFUND")</f>
        <v>0</v>
      </c>
      <c r="N356" s="23" t="str">
        <f t="shared" si="22"/>
        <v>OK</v>
      </c>
      <c r="O356" s="24">
        <f t="shared" si="23"/>
        <v>0</v>
      </c>
    </row>
    <row r="357" spans="1:15" ht="15" customHeight="1" x14ac:dyDescent="0.3">
      <c r="A357" s="23" t="s">
        <v>1090</v>
      </c>
      <c r="B357" s="38">
        <v>46288</v>
      </c>
      <c r="C357" s="23" t="s">
        <v>1091</v>
      </c>
      <c r="D357" s="23" t="s">
        <v>90</v>
      </c>
      <c r="E357" s="23" t="s">
        <v>75</v>
      </c>
      <c r="F357" s="23" t="s">
        <v>349</v>
      </c>
      <c r="G357" s="23" t="s">
        <v>250</v>
      </c>
      <c r="H357" s="39">
        <f t="shared" si="20"/>
        <v>1798</v>
      </c>
      <c r="I357" s="23" t="str">
        <f t="shared" si="21"/>
        <v>Ahmedabad</v>
      </c>
      <c r="J357" s="23">
        <f>COUNTIFS(pg_transaction_cleaned!$O:$O,A357,pg_transaction_cleaned!$F:$F,"CAPTURE")</f>
        <v>1</v>
      </c>
      <c r="K357" s="39">
        <f>SUMIFS(pg_transaction_cleaned!$H:$H,pg_transaction_cleaned!$O:$O,A357,pg_transaction_cleaned!$F:$F,"CAPTURE")</f>
        <v>1798</v>
      </c>
      <c r="L357" s="23">
        <f>COUNTIFS(pg_transaction_cleaned!$O:$O,A357,pg_transaction_cleaned!$F:$F,"REFUND")</f>
        <v>0</v>
      </c>
      <c r="M357" s="39">
        <f>SUMIFS(pg_transaction_cleaned!$H:$H,pg_transaction_cleaned!$O:$O,A357,pg_transaction_cleaned!$F:$F,"REFUND")</f>
        <v>0</v>
      </c>
      <c r="N357" s="23" t="str">
        <f t="shared" si="22"/>
        <v>OK</v>
      </c>
      <c r="O357" s="24">
        <f t="shared" si="23"/>
        <v>0</v>
      </c>
    </row>
    <row r="358" spans="1:15" ht="15" customHeight="1" x14ac:dyDescent="0.3">
      <c r="A358" s="23" t="s">
        <v>1092</v>
      </c>
      <c r="B358" s="38">
        <v>46273</v>
      </c>
      <c r="C358" s="23" t="s">
        <v>1093</v>
      </c>
      <c r="D358" s="23" t="s">
        <v>87</v>
      </c>
      <c r="E358" s="23" t="s">
        <v>75</v>
      </c>
      <c r="F358" s="23" t="s">
        <v>475</v>
      </c>
      <c r="G358" s="23" t="s">
        <v>250</v>
      </c>
      <c r="H358" s="39">
        <f t="shared" si="20"/>
        <v>799</v>
      </c>
      <c r="I358" s="23" t="str">
        <f t="shared" si="21"/>
        <v>Mumbai</v>
      </c>
      <c r="J358" s="23">
        <f>COUNTIFS(pg_transaction_cleaned!$O:$O,A358,pg_transaction_cleaned!$F:$F,"CAPTURE")</f>
        <v>1</v>
      </c>
      <c r="K358" s="39">
        <f>SUMIFS(pg_transaction_cleaned!$H:$H,pg_transaction_cleaned!$O:$O,A358,pg_transaction_cleaned!$F:$F,"CAPTURE")</f>
        <v>799</v>
      </c>
      <c r="L358" s="23">
        <f>COUNTIFS(pg_transaction_cleaned!$O:$O,A358,pg_transaction_cleaned!$F:$F,"REFUND")</f>
        <v>0</v>
      </c>
      <c r="M358" s="39">
        <f>SUMIFS(pg_transaction_cleaned!$H:$H,pg_transaction_cleaned!$O:$O,A358,pg_transaction_cleaned!$F:$F,"REFUND")</f>
        <v>0</v>
      </c>
      <c r="N358" s="23" t="str">
        <f t="shared" si="22"/>
        <v>OK</v>
      </c>
      <c r="O358" s="24">
        <f t="shared" si="23"/>
        <v>0</v>
      </c>
    </row>
    <row r="359" spans="1:15" ht="15" customHeight="1" x14ac:dyDescent="0.3">
      <c r="A359" s="23" t="s">
        <v>1094</v>
      </c>
      <c r="B359" s="38">
        <v>46283</v>
      </c>
      <c r="C359" s="23" t="s">
        <v>1095</v>
      </c>
      <c r="D359" s="23" t="s">
        <v>95</v>
      </c>
      <c r="E359" s="23" t="s">
        <v>75</v>
      </c>
      <c r="F359" s="23" t="s">
        <v>370</v>
      </c>
      <c r="G359" s="23" t="s">
        <v>250</v>
      </c>
      <c r="H359" s="39">
        <f t="shared" si="20"/>
        <v>3098</v>
      </c>
      <c r="I359" s="23" t="str">
        <f t="shared" si="21"/>
        <v>Bengaluru</v>
      </c>
      <c r="J359" s="23">
        <f>COUNTIFS(pg_transaction_cleaned!$O:$O,A359,pg_transaction_cleaned!$F:$F,"CAPTURE")</f>
        <v>1</v>
      </c>
      <c r="K359" s="39">
        <f>SUMIFS(pg_transaction_cleaned!$H:$H,pg_transaction_cleaned!$O:$O,A359,pg_transaction_cleaned!$F:$F,"CAPTURE")</f>
        <v>3098</v>
      </c>
      <c r="L359" s="23">
        <f>COUNTIFS(pg_transaction_cleaned!$O:$O,A359,pg_transaction_cleaned!$F:$F,"REFUND")</f>
        <v>0</v>
      </c>
      <c r="M359" s="39">
        <f>SUMIFS(pg_transaction_cleaned!$H:$H,pg_transaction_cleaned!$O:$O,A359,pg_transaction_cleaned!$F:$F,"REFUND")</f>
        <v>0</v>
      </c>
      <c r="N359" s="23" t="str">
        <f t="shared" si="22"/>
        <v>OK</v>
      </c>
      <c r="O359" s="24">
        <f t="shared" si="23"/>
        <v>0</v>
      </c>
    </row>
    <row r="360" spans="1:15" ht="15" customHeight="1" x14ac:dyDescent="0.3">
      <c r="A360" s="23" t="s">
        <v>1096</v>
      </c>
      <c r="B360" s="38">
        <v>46276</v>
      </c>
      <c r="C360" s="23" t="s">
        <v>1097</v>
      </c>
      <c r="D360" s="23" t="s">
        <v>87</v>
      </c>
      <c r="E360" s="23" t="s">
        <v>75</v>
      </c>
      <c r="F360" s="23" t="s">
        <v>1098</v>
      </c>
      <c r="G360" s="23" t="s">
        <v>250</v>
      </c>
      <c r="H360" s="39">
        <f t="shared" si="20"/>
        <v>9847</v>
      </c>
      <c r="I360" s="23" t="str">
        <f t="shared" si="21"/>
        <v>Mumbai</v>
      </c>
      <c r="J360" s="23">
        <f>COUNTIFS(pg_transaction_cleaned!$O:$O,A360,pg_transaction_cleaned!$F:$F,"CAPTURE")</f>
        <v>1</v>
      </c>
      <c r="K360" s="39">
        <f>SUMIFS(pg_transaction_cleaned!$H:$H,pg_transaction_cleaned!$O:$O,A360,pg_transaction_cleaned!$F:$F,"CAPTURE")</f>
        <v>9847</v>
      </c>
      <c r="L360" s="23">
        <f>COUNTIFS(pg_transaction_cleaned!$O:$O,A360,pg_transaction_cleaned!$F:$F,"REFUND")</f>
        <v>0</v>
      </c>
      <c r="M360" s="39">
        <f>SUMIFS(pg_transaction_cleaned!$H:$H,pg_transaction_cleaned!$O:$O,A360,pg_transaction_cleaned!$F:$F,"REFUND")</f>
        <v>0</v>
      </c>
      <c r="N360" s="23" t="str">
        <f t="shared" si="22"/>
        <v>OK</v>
      </c>
      <c r="O360" s="24">
        <f t="shared" si="23"/>
        <v>0</v>
      </c>
    </row>
    <row r="361" spans="1:15" ht="15" customHeight="1" x14ac:dyDescent="0.3">
      <c r="A361" s="23" t="s">
        <v>1099</v>
      </c>
      <c r="B361" s="38">
        <v>46274</v>
      </c>
      <c r="C361" s="23" t="s">
        <v>1100</v>
      </c>
      <c r="D361" s="23" t="s">
        <v>88</v>
      </c>
      <c r="E361" s="23" t="s">
        <v>81</v>
      </c>
      <c r="F361" s="23" t="s">
        <v>438</v>
      </c>
      <c r="G361" s="23" t="s">
        <v>250</v>
      </c>
      <c r="H361" s="39">
        <f t="shared" si="20"/>
        <v>5498</v>
      </c>
      <c r="I361" s="23" t="str">
        <f t="shared" si="21"/>
        <v>Lucknow</v>
      </c>
      <c r="J361" s="23">
        <f>COUNTIFS(pg_transaction_cleaned!$O:$O,A361,pg_transaction_cleaned!$F:$F,"CAPTURE")</f>
        <v>1</v>
      </c>
      <c r="K361" s="39">
        <f>SUMIFS(pg_transaction_cleaned!$H:$H,pg_transaction_cleaned!$O:$O,A361,pg_transaction_cleaned!$F:$F,"CAPTURE")</f>
        <v>5498</v>
      </c>
      <c r="L361" s="23">
        <f>COUNTIFS(pg_transaction_cleaned!$O:$O,A361,pg_transaction_cleaned!$F:$F,"REFUND")</f>
        <v>0</v>
      </c>
      <c r="M361" s="39">
        <f>SUMIFS(pg_transaction_cleaned!$H:$H,pg_transaction_cleaned!$O:$O,A361,pg_transaction_cleaned!$F:$F,"REFUND")</f>
        <v>0</v>
      </c>
      <c r="N361" s="23" t="str">
        <f t="shared" si="22"/>
        <v>OK</v>
      </c>
      <c r="O361" s="24">
        <f t="shared" si="23"/>
        <v>0</v>
      </c>
    </row>
    <row r="362" spans="1:15" ht="15" customHeight="1" x14ac:dyDescent="0.3">
      <c r="A362" s="23" t="s">
        <v>1101</v>
      </c>
      <c r="B362" s="38">
        <v>46289</v>
      </c>
      <c r="C362" s="23" t="s">
        <v>1102</v>
      </c>
      <c r="D362" s="23" t="s">
        <v>87</v>
      </c>
      <c r="E362" s="23" t="s">
        <v>77</v>
      </c>
      <c r="F362" s="23" t="s">
        <v>1103</v>
      </c>
      <c r="G362" s="23" t="s">
        <v>250</v>
      </c>
      <c r="H362" s="39">
        <f t="shared" si="20"/>
        <v>3897</v>
      </c>
      <c r="I362" s="23" t="str">
        <f t="shared" si="21"/>
        <v>Mumbai</v>
      </c>
      <c r="J362" s="23">
        <f>COUNTIFS(pg_transaction_cleaned!$O:$O,A362,pg_transaction_cleaned!$F:$F,"CAPTURE")</f>
        <v>1</v>
      </c>
      <c r="K362" s="39">
        <f>SUMIFS(pg_transaction_cleaned!$H:$H,pg_transaction_cleaned!$O:$O,A362,pg_transaction_cleaned!$F:$F,"CAPTURE")</f>
        <v>3897</v>
      </c>
      <c r="L362" s="23">
        <f>COUNTIFS(pg_transaction_cleaned!$O:$O,A362,pg_transaction_cleaned!$F:$F,"REFUND")</f>
        <v>0</v>
      </c>
      <c r="M362" s="39">
        <f>SUMIFS(pg_transaction_cleaned!$H:$H,pg_transaction_cleaned!$O:$O,A362,pg_transaction_cleaned!$F:$F,"REFUND")</f>
        <v>0</v>
      </c>
      <c r="N362" s="23" t="str">
        <f t="shared" si="22"/>
        <v>OK</v>
      </c>
      <c r="O362" s="24">
        <f t="shared" si="23"/>
        <v>0</v>
      </c>
    </row>
    <row r="363" spans="1:15" ht="15" customHeight="1" x14ac:dyDescent="0.3">
      <c r="A363" s="23" t="s">
        <v>1104</v>
      </c>
      <c r="B363" s="38">
        <v>46272</v>
      </c>
      <c r="C363" s="23" t="s">
        <v>1105</v>
      </c>
      <c r="D363" s="23" t="s">
        <v>95</v>
      </c>
      <c r="E363" s="23" t="s">
        <v>77</v>
      </c>
      <c r="F363" s="23" t="s">
        <v>291</v>
      </c>
      <c r="G363" s="23" t="s">
        <v>250</v>
      </c>
      <c r="H363" s="39">
        <f t="shared" si="20"/>
        <v>3499</v>
      </c>
      <c r="I363" s="23" t="str">
        <f t="shared" si="21"/>
        <v>Bengaluru</v>
      </c>
      <c r="J363" s="23">
        <f>COUNTIFS(pg_transaction_cleaned!$O:$O,A363,pg_transaction_cleaned!$F:$F,"CAPTURE")</f>
        <v>1</v>
      </c>
      <c r="K363" s="39">
        <f>SUMIFS(pg_transaction_cleaned!$H:$H,pg_transaction_cleaned!$O:$O,A363,pg_transaction_cleaned!$F:$F,"CAPTURE")</f>
        <v>3499</v>
      </c>
      <c r="L363" s="23">
        <f>COUNTIFS(pg_transaction_cleaned!$O:$O,A363,pg_transaction_cleaned!$F:$F,"REFUND")</f>
        <v>0</v>
      </c>
      <c r="M363" s="39">
        <f>SUMIFS(pg_transaction_cleaned!$H:$H,pg_transaction_cleaned!$O:$O,A363,pg_transaction_cleaned!$F:$F,"REFUND")</f>
        <v>0</v>
      </c>
      <c r="N363" s="23" t="str">
        <f t="shared" si="22"/>
        <v>OK</v>
      </c>
      <c r="O363" s="24">
        <f t="shared" si="23"/>
        <v>0</v>
      </c>
    </row>
    <row r="364" spans="1:15" ht="15" customHeight="1" x14ac:dyDescent="0.3">
      <c r="A364" s="23" t="s">
        <v>1106</v>
      </c>
      <c r="B364" s="38">
        <v>46288</v>
      </c>
      <c r="C364" s="23" t="s">
        <v>1107</v>
      </c>
      <c r="D364" s="23" t="s">
        <v>92</v>
      </c>
      <c r="E364" s="23" t="s">
        <v>75</v>
      </c>
      <c r="F364" s="23" t="s">
        <v>1108</v>
      </c>
      <c r="G364" s="23" t="s">
        <v>250</v>
      </c>
      <c r="H364" s="39">
        <f t="shared" si="20"/>
        <v>4098</v>
      </c>
      <c r="I364" s="23" t="str">
        <f t="shared" si="21"/>
        <v>Hyderabad</v>
      </c>
      <c r="J364" s="23">
        <f>COUNTIFS(pg_transaction_cleaned!$O:$O,A364,pg_transaction_cleaned!$F:$F,"CAPTURE")</f>
        <v>1</v>
      </c>
      <c r="K364" s="39">
        <f>SUMIFS(pg_transaction_cleaned!$H:$H,pg_transaction_cleaned!$O:$O,A364,pg_transaction_cleaned!$F:$F,"CAPTURE")</f>
        <v>4098</v>
      </c>
      <c r="L364" s="23">
        <f>COUNTIFS(pg_transaction_cleaned!$O:$O,A364,pg_transaction_cleaned!$F:$F,"REFUND")</f>
        <v>0</v>
      </c>
      <c r="M364" s="39">
        <f>SUMIFS(pg_transaction_cleaned!$H:$H,pg_transaction_cleaned!$O:$O,A364,pg_transaction_cleaned!$F:$F,"REFUND")</f>
        <v>0</v>
      </c>
      <c r="N364" s="23" t="str">
        <f t="shared" si="22"/>
        <v>OK</v>
      </c>
      <c r="O364" s="24">
        <f t="shared" si="23"/>
        <v>0</v>
      </c>
    </row>
    <row r="365" spans="1:15" ht="15" customHeight="1" x14ac:dyDescent="0.3">
      <c r="A365" s="23" t="s">
        <v>1109</v>
      </c>
      <c r="B365" s="38">
        <v>46278</v>
      </c>
      <c r="C365" s="23" t="s">
        <v>1110</v>
      </c>
      <c r="D365" s="23" t="s">
        <v>90</v>
      </c>
      <c r="E365" s="23" t="s">
        <v>75</v>
      </c>
      <c r="F365" s="23" t="s">
        <v>772</v>
      </c>
      <c r="G365" s="23" t="s">
        <v>250</v>
      </c>
      <c r="H365" s="39">
        <f t="shared" si="20"/>
        <v>4798</v>
      </c>
      <c r="I365" s="23" t="str">
        <f t="shared" si="21"/>
        <v>Ahmedabad</v>
      </c>
      <c r="J365" s="23">
        <f>COUNTIFS(pg_transaction_cleaned!$O:$O,A365,pg_transaction_cleaned!$F:$F,"CAPTURE")</f>
        <v>1</v>
      </c>
      <c r="K365" s="39">
        <f>SUMIFS(pg_transaction_cleaned!$H:$H,pg_transaction_cleaned!$O:$O,A365,pg_transaction_cleaned!$F:$F,"CAPTURE")</f>
        <v>4798</v>
      </c>
      <c r="L365" s="23">
        <f>COUNTIFS(pg_transaction_cleaned!$O:$O,A365,pg_transaction_cleaned!$F:$F,"REFUND")</f>
        <v>0</v>
      </c>
      <c r="M365" s="39">
        <f>SUMIFS(pg_transaction_cleaned!$H:$H,pg_transaction_cleaned!$O:$O,A365,pg_transaction_cleaned!$F:$F,"REFUND")</f>
        <v>0</v>
      </c>
      <c r="N365" s="23" t="str">
        <f t="shared" si="22"/>
        <v>OK</v>
      </c>
      <c r="O365" s="24">
        <f t="shared" si="23"/>
        <v>0</v>
      </c>
    </row>
    <row r="366" spans="1:15" ht="15" customHeight="1" x14ac:dyDescent="0.3">
      <c r="A366" s="23" t="s">
        <v>1111</v>
      </c>
      <c r="B366" s="38">
        <v>46280</v>
      </c>
      <c r="C366" s="23" t="s">
        <v>1112</v>
      </c>
      <c r="D366" s="23" t="s">
        <v>95</v>
      </c>
      <c r="E366" s="23" t="s">
        <v>75</v>
      </c>
      <c r="F366" s="23" t="s">
        <v>297</v>
      </c>
      <c r="G366" s="23" t="s">
        <v>301</v>
      </c>
      <c r="H366" s="39">
        <f t="shared" si="20"/>
        <v>4999</v>
      </c>
      <c r="I366" s="23" t="str">
        <f t="shared" si="21"/>
        <v>Bengaluru</v>
      </c>
      <c r="J366" s="23">
        <f>COUNTIFS(pg_transaction_cleaned!$O:$O,A366,pg_transaction_cleaned!$F:$F,"CAPTURE")</f>
        <v>1</v>
      </c>
      <c r="K366" s="39">
        <f>SUMIFS(pg_transaction_cleaned!$H:$H,pg_transaction_cleaned!$O:$O,A366,pg_transaction_cleaned!$F:$F,"CAPTURE")</f>
        <v>4999</v>
      </c>
      <c r="L366" s="23">
        <f>COUNTIFS(pg_transaction_cleaned!$O:$O,A366,pg_transaction_cleaned!$F:$F,"REFUND")</f>
        <v>1</v>
      </c>
      <c r="M366" s="39">
        <f>SUMIFS(pg_transaction_cleaned!$H:$H,pg_transaction_cleaned!$O:$O,A366,pg_transaction_cleaned!$F:$F,"REFUND")</f>
        <v>4999</v>
      </c>
      <c r="N366" s="23" t="str">
        <f t="shared" si="22"/>
        <v>OK</v>
      </c>
      <c r="O366" s="24">
        <f t="shared" si="23"/>
        <v>0</v>
      </c>
    </row>
    <row r="367" spans="1:15" ht="15" customHeight="1" x14ac:dyDescent="0.3">
      <c r="A367" s="23" t="s">
        <v>1113</v>
      </c>
      <c r="B367" s="38">
        <v>46277</v>
      </c>
      <c r="C367" s="23" t="s">
        <v>1114</v>
      </c>
      <c r="D367" s="23" t="s">
        <v>87</v>
      </c>
      <c r="E367" s="23" t="s">
        <v>81</v>
      </c>
      <c r="F367" s="23" t="s">
        <v>268</v>
      </c>
      <c r="G367" s="23" t="s">
        <v>250</v>
      </c>
      <c r="H367" s="39">
        <f t="shared" si="20"/>
        <v>1299</v>
      </c>
      <c r="I367" s="23" t="str">
        <f t="shared" si="21"/>
        <v>Mumbai</v>
      </c>
      <c r="J367" s="23">
        <f>COUNTIFS(pg_transaction_cleaned!$O:$O,A367,pg_transaction_cleaned!$F:$F,"CAPTURE")</f>
        <v>1</v>
      </c>
      <c r="K367" s="39">
        <f>SUMIFS(pg_transaction_cleaned!$H:$H,pg_transaction_cleaned!$O:$O,A367,pg_transaction_cleaned!$F:$F,"CAPTURE")</f>
        <v>1299</v>
      </c>
      <c r="L367" s="23">
        <f>COUNTIFS(pg_transaction_cleaned!$O:$O,A367,pg_transaction_cleaned!$F:$F,"REFUND")</f>
        <v>0</v>
      </c>
      <c r="M367" s="39">
        <f>SUMIFS(pg_transaction_cleaned!$H:$H,pg_transaction_cleaned!$O:$O,A367,pg_transaction_cleaned!$F:$F,"REFUND")</f>
        <v>0</v>
      </c>
      <c r="N367" s="23" t="str">
        <f t="shared" si="22"/>
        <v>OK</v>
      </c>
      <c r="O367" s="24">
        <f t="shared" si="23"/>
        <v>0</v>
      </c>
    </row>
    <row r="368" spans="1:15" ht="15" customHeight="1" x14ac:dyDescent="0.3">
      <c r="A368" s="23" t="s">
        <v>1115</v>
      </c>
      <c r="B368" s="38">
        <v>46274</v>
      </c>
      <c r="C368" s="23" t="s">
        <v>1116</v>
      </c>
      <c r="D368" s="23" t="s">
        <v>94</v>
      </c>
      <c r="E368" s="23" t="s">
        <v>75</v>
      </c>
      <c r="F368" s="23" t="s">
        <v>520</v>
      </c>
      <c r="G368" s="23" t="s">
        <v>250</v>
      </c>
      <c r="H368" s="39">
        <f t="shared" si="20"/>
        <v>4998</v>
      </c>
      <c r="I368" s="23" t="str">
        <f t="shared" si="21"/>
        <v>Chennai</v>
      </c>
      <c r="J368" s="23">
        <f>COUNTIFS(pg_transaction_cleaned!$O:$O,A368,pg_transaction_cleaned!$F:$F,"CAPTURE")</f>
        <v>1</v>
      </c>
      <c r="K368" s="39">
        <f>SUMIFS(pg_transaction_cleaned!$H:$H,pg_transaction_cleaned!$O:$O,A368,pg_transaction_cleaned!$F:$F,"CAPTURE")</f>
        <v>4998</v>
      </c>
      <c r="L368" s="23">
        <f>COUNTIFS(pg_transaction_cleaned!$O:$O,A368,pg_transaction_cleaned!$F:$F,"REFUND")</f>
        <v>0</v>
      </c>
      <c r="M368" s="39">
        <f>SUMIFS(pg_transaction_cleaned!$H:$H,pg_transaction_cleaned!$O:$O,A368,pg_transaction_cleaned!$F:$F,"REFUND")</f>
        <v>0</v>
      </c>
      <c r="N368" s="23" t="str">
        <f t="shared" si="22"/>
        <v>OK</v>
      </c>
      <c r="O368" s="24">
        <f t="shared" si="23"/>
        <v>0</v>
      </c>
    </row>
    <row r="369" spans="1:15" ht="15" customHeight="1" x14ac:dyDescent="0.3">
      <c r="A369" s="23" t="s">
        <v>1117</v>
      </c>
      <c r="B369" s="38">
        <v>46273</v>
      </c>
      <c r="C369" s="23" t="s">
        <v>1118</v>
      </c>
      <c r="D369" s="23" t="s">
        <v>94</v>
      </c>
      <c r="E369" s="23" t="s">
        <v>79</v>
      </c>
      <c r="F369" s="23" t="s">
        <v>324</v>
      </c>
      <c r="G369" s="23" t="s">
        <v>250</v>
      </c>
      <c r="H369" s="39">
        <f t="shared" si="20"/>
        <v>10498</v>
      </c>
      <c r="I369" s="23" t="str">
        <f t="shared" si="21"/>
        <v>Chennai</v>
      </c>
      <c r="J369" s="23">
        <f>COUNTIFS(pg_transaction_cleaned!$O:$O,A369,pg_transaction_cleaned!$F:$F,"CAPTURE")</f>
        <v>1</v>
      </c>
      <c r="K369" s="39">
        <f>SUMIFS(pg_transaction_cleaned!$H:$H,pg_transaction_cleaned!$O:$O,A369,pg_transaction_cleaned!$F:$F,"CAPTURE")</f>
        <v>10498</v>
      </c>
      <c r="L369" s="23">
        <f>COUNTIFS(pg_transaction_cleaned!$O:$O,A369,pg_transaction_cleaned!$F:$F,"REFUND")</f>
        <v>0</v>
      </c>
      <c r="M369" s="39">
        <f>SUMIFS(pg_transaction_cleaned!$H:$H,pg_transaction_cleaned!$O:$O,A369,pg_transaction_cleaned!$F:$F,"REFUND")</f>
        <v>0</v>
      </c>
      <c r="N369" s="23" t="str">
        <f t="shared" si="22"/>
        <v>OK</v>
      </c>
      <c r="O369" s="24">
        <f t="shared" si="23"/>
        <v>0</v>
      </c>
    </row>
    <row r="370" spans="1:15" ht="15" customHeight="1" x14ac:dyDescent="0.3">
      <c r="A370" s="23" t="s">
        <v>1119</v>
      </c>
      <c r="B370" s="38">
        <v>46274</v>
      </c>
      <c r="C370" s="23" t="s">
        <v>1120</v>
      </c>
      <c r="D370" s="23"/>
      <c r="E370" s="23" t="s">
        <v>75</v>
      </c>
      <c r="F370" s="23" t="s">
        <v>514</v>
      </c>
      <c r="G370" s="23" t="s">
        <v>250</v>
      </c>
      <c r="H370" s="39">
        <f t="shared" si="20"/>
        <v>6498</v>
      </c>
      <c r="I370" s="23" t="str">
        <f t="shared" si="21"/>
        <v>Unknown</v>
      </c>
      <c r="J370" s="23">
        <f>COUNTIFS(pg_transaction_cleaned!$O:$O,A370,pg_transaction_cleaned!$F:$F,"CAPTURE")</f>
        <v>1</v>
      </c>
      <c r="K370" s="39">
        <f>SUMIFS(pg_transaction_cleaned!$H:$H,pg_transaction_cleaned!$O:$O,A370,pg_transaction_cleaned!$F:$F,"CAPTURE")</f>
        <v>6498</v>
      </c>
      <c r="L370" s="23">
        <f>COUNTIFS(pg_transaction_cleaned!$O:$O,A370,pg_transaction_cleaned!$F:$F,"REFUND")</f>
        <v>0</v>
      </c>
      <c r="M370" s="39">
        <f>SUMIFS(pg_transaction_cleaned!$H:$H,pg_transaction_cleaned!$O:$O,A370,pg_transaction_cleaned!$F:$F,"REFUND")</f>
        <v>0</v>
      </c>
      <c r="N370" s="23" t="str">
        <f t="shared" si="22"/>
        <v>OK</v>
      </c>
      <c r="O370" s="24">
        <f t="shared" si="23"/>
        <v>0</v>
      </c>
    </row>
    <row r="371" spans="1:15" ht="15" customHeight="1" x14ac:dyDescent="0.3">
      <c r="A371" s="23" t="s">
        <v>1121</v>
      </c>
      <c r="B371" s="38">
        <v>46270</v>
      </c>
      <c r="C371" s="23" t="s">
        <v>1122</v>
      </c>
      <c r="D371" s="23" t="s">
        <v>87</v>
      </c>
      <c r="E371" s="23" t="s">
        <v>75</v>
      </c>
      <c r="F371" s="23" t="s">
        <v>1123</v>
      </c>
      <c r="G371" s="23" t="s">
        <v>365</v>
      </c>
      <c r="H371" s="39">
        <f t="shared" si="20"/>
        <v>3797</v>
      </c>
      <c r="I371" s="23" t="str">
        <f t="shared" si="21"/>
        <v>Mumbai</v>
      </c>
      <c r="J371" s="23">
        <f>COUNTIFS(pg_transaction_cleaned!$O:$O,A371,pg_transaction_cleaned!$F:$F,"CAPTURE")</f>
        <v>0</v>
      </c>
      <c r="K371" s="39">
        <f>SUMIFS(pg_transaction_cleaned!$H:$H,pg_transaction_cleaned!$O:$O,A371,pg_transaction_cleaned!$F:$F,"CAPTURE")</f>
        <v>0</v>
      </c>
      <c r="L371" s="23">
        <f>COUNTIFS(pg_transaction_cleaned!$O:$O,A371,pg_transaction_cleaned!$F:$F,"REFUND")</f>
        <v>0</v>
      </c>
      <c r="M371" s="39">
        <f>SUMIFS(pg_transaction_cleaned!$H:$H,pg_transaction_cleaned!$O:$O,A371,pg_transaction_cleaned!$F:$F,"REFUND")</f>
        <v>0</v>
      </c>
      <c r="N371" s="23" t="str">
        <f t="shared" si="22"/>
        <v>OK</v>
      </c>
      <c r="O371" s="24">
        <f t="shared" si="23"/>
        <v>0</v>
      </c>
    </row>
    <row r="372" spans="1:15" ht="15" customHeight="1" x14ac:dyDescent="0.3">
      <c r="A372" s="23" t="s">
        <v>1124</v>
      </c>
      <c r="B372" s="38">
        <v>46282</v>
      </c>
      <c r="C372" s="23" t="s">
        <v>1125</v>
      </c>
      <c r="D372" s="23" t="s">
        <v>87</v>
      </c>
      <c r="E372" s="23" t="s">
        <v>77</v>
      </c>
      <c r="F372" s="23" t="s">
        <v>517</v>
      </c>
      <c r="G372" s="23" t="s">
        <v>250</v>
      </c>
      <c r="H372" s="39">
        <f t="shared" si="20"/>
        <v>7999</v>
      </c>
      <c r="I372" s="23" t="str">
        <f t="shared" si="21"/>
        <v>Mumbai</v>
      </c>
      <c r="J372" s="23">
        <f>COUNTIFS(pg_transaction_cleaned!$O:$O,A372,pg_transaction_cleaned!$F:$F,"CAPTURE")</f>
        <v>1</v>
      </c>
      <c r="K372" s="39">
        <f>SUMIFS(pg_transaction_cleaned!$H:$H,pg_transaction_cleaned!$O:$O,A372,pg_transaction_cleaned!$F:$F,"CAPTURE")</f>
        <v>7999</v>
      </c>
      <c r="L372" s="23">
        <f>COUNTIFS(pg_transaction_cleaned!$O:$O,A372,pg_transaction_cleaned!$F:$F,"REFUND")</f>
        <v>0</v>
      </c>
      <c r="M372" s="39">
        <f>SUMIFS(pg_transaction_cleaned!$H:$H,pg_transaction_cleaned!$O:$O,A372,pg_transaction_cleaned!$F:$F,"REFUND")</f>
        <v>0</v>
      </c>
      <c r="N372" s="23" t="str">
        <f t="shared" si="22"/>
        <v>OK</v>
      </c>
      <c r="O372" s="24">
        <f t="shared" si="23"/>
        <v>0</v>
      </c>
    </row>
    <row r="373" spans="1:15" ht="15" customHeight="1" x14ac:dyDescent="0.3">
      <c r="A373" s="23" t="s">
        <v>1126</v>
      </c>
      <c r="B373" s="38">
        <v>46290</v>
      </c>
      <c r="C373" s="23" t="s">
        <v>1127</v>
      </c>
      <c r="D373" s="23" t="s">
        <v>86</v>
      </c>
      <c r="E373" s="23" t="s">
        <v>79</v>
      </c>
      <c r="F373" s="23" t="s">
        <v>268</v>
      </c>
      <c r="G373" s="23" t="s">
        <v>250</v>
      </c>
      <c r="H373" s="39">
        <f t="shared" si="20"/>
        <v>1299</v>
      </c>
      <c r="I373" s="23" t="str">
        <f t="shared" si="21"/>
        <v>Delhi</v>
      </c>
      <c r="J373" s="23">
        <f>COUNTIFS(pg_transaction_cleaned!$O:$O,A373,pg_transaction_cleaned!$F:$F,"CAPTURE")</f>
        <v>1</v>
      </c>
      <c r="K373" s="39">
        <f>SUMIFS(pg_transaction_cleaned!$H:$H,pg_transaction_cleaned!$O:$O,A373,pg_transaction_cleaned!$F:$F,"CAPTURE")</f>
        <v>1299</v>
      </c>
      <c r="L373" s="23">
        <f>COUNTIFS(pg_transaction_cleaned!$O:$O,A373,pg_transaction_cleaned!$F:$F,"REFUND")</f>
        <v>0</v>
      </c>
      <c r="M373" s="39">
        <f>SUMIFS(pg_transaction_cleaned!$H:$H,pg_transaction_cleaned!$O:$O,A373,pg_transaction_cleaned!$F:$F,"REFUND")</f>
        <v>0</v>
      </c>
      <c r="N373" s="23" t="str">
        <f t="shared" si="22"/>
        <v>OK</v>
      </c>
      <c r="O373" s="24">
        <f t="shared" si="23"/>
        <v>0</v>
      </c>
    </row>
    <row r="374" spans="1:15" ht="15" customHeight="1" x14ac:dyDescent="0.3">
      <c r="A374" s="23" t="s">
        <v>1128</v>
      </c>
      <c r="B374" s="38">
        <v>46266</v>
      </c>
      <c r="C374" s="23" t="s">
        <v>1129</v>
      </c>
      <c r="D374" s="23" t="s">
        <v>88</v>
      </c>
      <c r="E374" s="23" t="s">
        <v>75</v>
      </c>
      <c r="F374" s="23" t="s">
        <v>294</v>
      </c>
      <c r="G374" s="23" t="s">
        <v>250</v>
      </c>
      <c r="H374" s="39">
        <f t="shared" si="20"/>
        <v>1799</v>
      </c>
      <c r="I374" s="23" t="str">
        <f t="shared" si="21"/>
        <v>Lucknow</v>
      </c>
      <c r="J374" s="23">
        <f>COUNTIFS(pg_transaction_cleaned!$O:$O,A374,pg_transaction_cleaned!$F:$F,"CAPTURE")</f>
        <v>1</v>
      </c>
      <c r="K374" s="39">
        <f>SUMIFS(pg_transaction_cleaned!$H:$H,pg_transaction_cleaned!$O:$O,A374,pg_transaction_cleaned!$F:$F,"CAPTURE")</f>
        <v>1799</v>
      </c>
      <c r="L374" s="23">
        <f>COUNTIFS(pg_transaction_cleaned!$O:$O,A374,pg_transaction_cleaned!$F:$F,"REFUND")</f>
        <v>0</v>
      </c>
      <c r="M374" s="39">
        <f>SUMIFS(pg_transaction_cleaned!$H:$H,pg_transaction_cleaned!$O:$O,A374,pg_transaction_cleaned!$F:$F,"REFUND")</f>
        <v>0</v>
      </c>
      <c r="N374" s="23" t="str">
        <f t="shared" si="22"/>
        <v>OK</v>
      </c>
      <c r="O374" s="24">
        <f t="shared" si="23"/>
        <v>0</v>
      </c>
    </row>
    <row r="375" spans="1:15" ht="15" customHeight="1" x14ac:dyDescent="0.3">
      <c r="A375" s="23" t="s">
        <v>1130</v>
      </c>
      <c r="B375" s="38">
        <v>46295</v>
      </c>
      <c r="C375" s="23" t="s">
        <v>1131</v>
      </c>
      <c r="D375" s="23" t="s">
        <v>87</v>
      </c>
      <c r="E375" s="23" t="s">
        <v>75</v>
      </c>
      <c r="F375" s="23" t="s">
        <v>346</v>
      </c>
      <c r="G375" s="23" t="s">
        <v>250</v>
      </c>
      <c r="H375" s="39">
        <f t="shared" si="20"/>
        <v>4498</v>
      </c>
      <c r="I375" s="23" t="str">
        <f t="shared" si="21"/>
        <v>Mumbai</v>
      </c>
      <c r="J375" s="23">
        <f>COUNTIFS(pg_transaction_cleaned!$O:$O,A375,pg_transaction_cleaned!$F:$F,"CAPTURE")</f>
        <v>1</v>
      </c>
      <c r="K375" s="39">
        <f>SUMIFS(pg_transaction_cleaned!$H:$H,pg_transaction_cleaned!$O:$O,A375,pg_transaction_cleaned!$F:$F,"CAPTURE")</f>
        <v>4498</v>
      </c>
      <c r="L375" s="23">
        <f>COUNTIFS(pg_transaction_cleaned!$O:$O,A375,pg_transaction_cleaned!$F:$F,"REFUND")</f>
        <v>0</v>
      </c>
      <c r="M375" s="39">
        <f>SUMIFS(pg_transaction_cleaned!$H:$H,pg_transaction_cleaned!$O:$O,A375,pg_transaction_cleaned!$F:$F,"REFUND")</f>
        <v>0</v>
      </c>
      <c r="N375" s="23" t="str">
        <f t="shared" si="22"/>
        <v>OK</v>
      </c>
      <c r="O375" s="24">
        <f t="shared" si="23"/>
        <v>0</v>
      </c>
    </row>
    <row r="376" spans="1:15" ht="15" customHeight="1" x14ac:dyDescent="0.3">
      <c r="A376" s="23" t="s">
        <v>1132</v>
      </c>
      <c r="B376" s="38">
        <v>46266</v>
      </c>
      <c r="C376" s="23" t="s">
        <v>1133</v>
      </c>
      <c r="D376" s="23" t="s">
        <v>93</v>
      </c>
      <c r="E376" s="23" t="s">
        <v>75</v>
      </c>
      <c r="F376" s="23" t="s">
        <v>288</v>
      </c>
      <c r="G376" s="23" t="s">
        <v>250</v>
      </c>
      <c r="H376" s="39">
        <f t="shared" si="20"/>
        <v>4298</v>
      </c>
      <c r="I376" s="23" t="str">
        <f t="shared" si="21"/>
        <v>Kolkata</v>
      </c>
      <c r="J376" s="23">
        <f>COUNTIFS(pg_transaction_cleaned!$O:$O,A376,pg_transaction_cleaned!$F:$F,"CAPTURE")</f>
        <v>1</v>
      </c>
      <c r="K376" s="39">
        <f>SUMIFS(pg_transaction_cleaned!$H:$H,pg_transaction_cleaned!$O:$O,A376,pg_transaction_cleaned!$F:$F,"CAPTURE")</f>
        <v>4298</v>
      </c>
      <c r="L376" s="23">
        <f>COUNTIFS(pg_transaction_cleaned!$O:$O,A376,pg_transaction_cleaned!$F:$F,"REFUND")</f>
        <v>0</v>
      </c>
      <c r="M376" s="39">
        <f>SUMIFS(pg_transaction_cleaned!$H:$H,pg_transaction_cleaned!$O:$O,A376,pg_transaction_cleaned!$F:$F,"REFUND")</f>
        <v>0</v>
      </c>
      <c r="N376" s="23" t="str">
        <f t="shared" si="22"/>
        <v>OK</v>
      </c>
      <c r="O376" s="24">
        <f t="shared" si="23"/>
        <v>0</v>
      </c>
    </row>
    <row r="377" spans="1:15" ht="15" customHeight="1" x14ac:dyDescent="0.3">
      <c r="A377" s="23" t="s">
        <v>1134</v>
      </c>
      <c r="B377" s="38">
        <v>46291</v>
      </c>
      <c r="C377" s="23" t="s">
        <v>1135</v>
      </c>
      <c r="D377" s="23" t="s">
        <v>95</v>
      </c>
      <c r="E377" s="23" t="s">
        <v>75</v>
      </c>
      <c r="F377" s="23" t="s">
        <v>274</v>
      </c>
      <c r="G377" s="23" t="s">
        <v>365</v>
      </c>
      <c r="H377" s="39">
        <f t="shared" si="20"/>
        <v>349</v>
      </c>
      <c r="I377" s="23" t="str">
        <f t="shared" si="21"/>
        <v>Bengaluru</v>
      </c>
      <c r="J377" s="23">
        <f>COUNTIFS(pg_transaction_cleaned!$O:$O,A377,pg_transaction_cleaned!$F:$F,"CAPTURE")</f>
        <v>0</v>
      </c>
      <c r="K377" s="39">
        <f>SUMIFS(pg_transaction_cleaned!$H:$H,pg_transaction_cleaned!$O:$O,A377,pg_transaction_cleaned!$F:$F,"CAPTURE")</f>
        <v>0</v>
      </c>
      <c r="L377" s="23">
        <f>COUNTIFS(pg_transaction_cleaned!$O:$O,A377,pg_transaction_cleaned!$F:$F,"REFUND")</f>
        <v>0</v>
      </c>
      <c r="M377" s="39">
        <f>SUMIFS(pg_transaction_cleaned!$H:$H,pg_transaction_cleaned!$O:$O,A377,pg_transaction_cleaned!$F:$F,"REFUND")</f>
        <v>0</v>
      </c>
      <c r="N377" s="23" t="str">
        <f t="shared" si="22"/>
        <v>OK</v>
      </c>
      <c r="O377" s="24">
        <f t="shared" si="23"/>
        <v>0</v>
      </c>
    </row>
    <row r="378" spans="1:15" ht="15" customHeight="1" x14ac:dyDescent="0.3">
      <c r="A378" s="23" t="s">
        <v>1136</v>
      </c>
      <c r="B378" s="38">
        <v>46285</v>
      </c>
      <c r="C378" s="23" t="s">
        <v>1137</v>
      </c>
      <c r="D378" s="23" t="s">
        <v>94</v>
      </c>
      <c r="E378" s="23" t="s">
        <v>79</v>
      </c>
      <c r="F378" s="23" t="s">
        <v>655</v>
      </c>
      <c r="G378" s="23" t="s">
        <v>250</v>
      </c>
      <c r="H378" s="39">
        <f t="shared" si="20"/>
        <v>8798</v>
      </c>
      <c r="I378" s="23" t="str">
        <f t="shared" si="21"/>
        <v>Chennai</v>
      </c>
      <c r="J378" s="23">
        <f>COUNTIFS(pg_transaction_cleaned!$O:$O,A378,pg_transaction_cleaned!$F:$F,"CAPTURE")</f>
        <v>1</v>
      </c>
      <c r="K378" s="39">
        <f>SUMIFS(pg_transaction_cleaned!$H:$H,pg_transaction_cleaned!$O:$O,A378,pg_transaction_cleaned!$F:$F,"CAPTURE")</f>
        <v>8798</v>
      </c>
      <c r="L378" s="23">
        <f>COUNTIFS(pg_transaction_cleaned!$O:$O,A378,pg_transaction_cleaned!$F:$F,"REFUND")</f>
        <v>0</v>
      </c>
      <c r="M378" s="39">
        <f>SUMIFS(pg_transaction_cleaned!$H:$H,pg_transaction_cleaned!$O:$O,A378,pg_transaction_cleaned!$F:$F,"REFUND")</f>
        <v>0</v>
      </c>
      <c r="N378" s="23" t="str">
        <f t="shared" si="22"/>
        <v>OK</v>
      </c>
      <c r="O378" s="24">
        <f t="shared" si="23"/>
        <v>0</v>
      </c>
    </row>
    <row r="379" spans="1:15" ht="15" customHeight="1" x14ac:dyDescent="0.3">
      <c r="A379" s="23" t="s">
        <v>1138</v>
      </c>
      <c r="B379" s="38">
        <v>46278</v>
      </c>
      <c r="C379" s="23" t="s">
        <v>1139</v>
      </c>
      <c r="D379" s="23" t="s">
        <v>91</v>
      </c>
      <c r="E379" s="23" t="s">
        <v>75</v>
      </c>
      <c r="F379" s="23" t="s">
        <v>370</v>
      </c>
      <c r="G379" s="23" t="s">
        <v>301</v>
      </c>
      <c r="H379" s="39">
        <f t="shared" si="20"/>
        <v>3098</v>
      </c>
      <c r="I379" s="23" t="str">
        <f t="shared" si="21"/>
        <v>Pune</v>
      </c>
      <c r="J379" s="23">
        <f>COUNTIFS(pg_transaction_cleaned!$O:$O,A379,pg_transaction_cleaned!$F:$F,"CAPTURE")</f>
        <v>1</v>
      </c>
      <c r="K379" s="39">
        <f>SUMIFS(pg_transaction_cleaned!$H:$H,pg_transaction_cleaned!$O:$O,A379,pg_transaction_cleaned!$F:$F,"CAPTURE")</f>
        <v>3098</v>
      </c>
      <c r="L379" s="23">
        <f>COUNTIFS(pg_transaction_cleaned!$O:$O,A379,pg_transaction_cleaned!$F:$F,"REFUND")</f>
        <v>1</v>
      </c>
      <c r="M379" s="39">
        <f>SUMIFS(pg_transaction_cleaned!$H:$H,pg_transaction_cleaned!$O:$O,A379,pg_transaction_cleaned!$F:$F,"REFUND")</f>
        <v>3098</v>
      </c>
      <c r="N379" s="23" t="str">
        <f t="shared" si="22"/>
        <v>OK</v>
      </c>
      <c r="O379" s="24">
        <f t="shared" si="23"/>
        <v>0</v>
      </c>
    </row>
    <row r="380" spans="1:15" ht="15" customHeight="1" x14ac:dyDescent="0.3">
      <c r="A380" s="23" t="s">
        <v>1140</v>
      </c>
      <c r="B380" s="38">
        <v>46286</v>
      </c>
      <c r="C380" s="23" t="s">
        <v>1141</v>
      </c>
      <c r="D380" s="23" t="s">
        <v>87</v>
      </c>
      <c r="E380" s="23" t="s">
        <v>75</v>
      </c>
      <c r="F380" s="23" t="s">
        <v>1142</v>
      </c>
      <c r="G380" s="23" t="s">
        <v>250</v>
      </c>
      <c r="H380" s="39">
        <f t="shared" si="20"/>
        <v>5647</v>
      </c>
      <c r="I380" s="23" t="str">
        <f t="shared" si="21"/>
        <v>Mumbai</v>
      </c>
      <c r="J380" s="23">
        <f>COUNTIFS(pg_transaction_cleaned!$O:$O,A380,pg_transaction_cleaned!$F:$F,"CAPTURE")</f>
        <v>1</v>
      </c>
      <c r="K380" s="39">
        <f>SUMIFS(pg_transaction_cleaned!$H:$H,pg_transaction_cleaned!$O:$O,A380,pg_transaction_cleaned!$F:$F,"CAPTURE")</f>
        <v>5647</v>
      </c>
      <c r="L380" s="23">
        <f>COUNTIFS(pg_transaction_cleaned!$O:$O,A380,pg_transaction_cleaned!$F:$F,"REFUND")</f>
        <v>0</v>
      </c>
      <c r="M380" s="39">
        <f>SUMIFS(pg_transaction_cleaned!$H:$H,pg_transaction_cleaned!$O:$O,A380,pg_transaction_cleaned!$F:$F,"REFUND")</f>
        <v>0</v>
      </c>
      <c r="N380" s="23" t="str">
        <f t="shared" si="22"/>
        <v>OK</v>
      </c>
      <c r="O380" s="24">
        <f t="shared" si="23"/>
        <v>0</v>
      </c>
    </row>
    <row r="381" spans="1:15" ht="15" customHeight="1" x14ac:dyDescent="0.3">
      <c r="A381" s="23" t="s">
        <v>1143</v>
      </c>
      <c r="B381" s="38">
        <v>46286</v>
      </c>
      <c r="C381" s="23" t="s">
        <v>1144</v>
      </c>
      <c r="D381" s="23" t="s">
        <v>94</v>
      </c>
      <c r="E381" s="23" t="s">
        <v>75</v>
      </c>
      <c r="F381" s="23" t="s">
        <v>291</v>
      </c>
      <c r="G381" s="23" t="s">
        <v>250</v>
      </c>
      <c r="H381" s="39">
        <f t="shared" si="20"/>
        <v>3499</v>
      </c>
      <c r="I381" s="23" t="str">
        <f t="shared" si="21"/>
        <v>Chennai</v>
      </c>
      <c r="J381" s="23">
        <f>COUNTIFS(pg_transaction_cleaned!$O:$O,A381,pg_transaction_cleaned!$F:$F,"CAPTURE")</f>
        <v>1</v>
      </c>
      <c r="K381" s="39">
        <f>SUMIFS(pg_transaction_cleaned!$H:$H,pg_transaction_cleaned!$O:$O,A381,pg_transaction_cleaned!$F:$F,"CAPTURE")</f>
        <v>3499</v>
      </c>
      <c r="L381" s="23">
        <f>COUNTIFS(pg_transaction_cleaned!$O:$O,A381,pg_transaction_cleaned!$F:$F,"REFUND")</f>
        <v>0</v>
      </c>
      <c r="M381" s="39">
        <f>SUMIFS(pg_transaction_cleaned!$H:$H,pg_transaction_cleaned!$O:$O,A381,pg_transaction_cleaned!$F:$F,"REFUND")</f>
        <v>0</v>
      </c>
      <c r="N381" s="23" t="str">
        <f t="shared" si="22"/>
        <v>OK</v>
      </c>
      <c r="O381" s="24">
        <f t="shared" si="23"/>
        <v>0</v>
      </c>
    </row>
    <row r="382" spans="1:15" ht="15" customHeight="1" x14ac:dyDescent="0.3">
      <c r="A382" s="23" t="s">
        <v>1145</v>
      </c>
      <c r="B382" s="38">
        <v>46284</v>
      </c>
      <c r="C382" s="23" t="s">
        <v>1146</v>
      </c>
      <c r="D382" s="23" t="s">
        <v>90</v>
      </c>
      <c r="E382" s="23" t="s">
        <v>75</v>
      </c>
      <c r="F382" s="23" t="s">
        <v>294</v>
      </c>
      <c r="G382" s="23" t="s">
        <v>365</v>
      </c>
      <c r="H382" s="39">
        <f t="shared" si="20"/>
        <v>1799</v>
      </c>
      <c r="I382" s="23" t="str">
        <f t="shared" si="21"/>
        <v>Ahmedabad</v>
      </c>
      <c r="J382" s="23">
        <f>COUNTIFS(pg_transaction_cleaned!$O:$O,A382,pg_transaction_cleaned!$F:$F,"CAPTURE")</f>
        <v>0</v>
      </c>
      <c r="K382" s="39">
        <f>SUMIFS(pg_transaction_cleaned!$H:$H,pg_transaction_cleaned!$O:$O,A382,pg_transaction_cleaned!$F:$F,"CAPTURE")</f>
        <v>0</v>
      </c>
      <c r="L382" s="23">
        <f>COUNTIFS(pg_transaction_cleaned!$O:$O,A382,pg_transaction_cleaned!$F:$F,"REFUND")</f>
        <v>0</v>
      </c>
      <c r="M382" s="39">
        <f>SUMIFS(pg_transaction_cleaned!$H:$H,pg_transaction_cleaned!$O:$O,A382,pg_transaction_cleaned!$F:$F,"REFUND")</f>
        <v>0</v>
      </c>
      <c r="N382" s="23" t="str">
        <f t="shared" si="22"/>
        <v>OK</v>
      </c>
      <c r="O382" s="24">
        <f t="shared" si="23"/>
        <v>0</v>
      </c>
    </row>
    <row r="383" spans="1:15" ht="15" customHeight="1" x14ac:dyDescent="0.3">
      <c r="A383" s="23" t="s">
        <v>1147</v>
      </c>
      <c r="B383" s="38">
        <v>46274</v>
      </c>
      <c r="C383" s="23" t="s">
        <v>1148</v>
      </c>
      <c r="D383" s="23" t="s">
        <v>88</v>
      </c>
      <c r="E383" s="23" t="s">
        <v>75</v>
      </c>
      <c r="F383" s="23" t="s">
        <v>274</v>
      </c>
      <c r="G383" s="23" t="s">
        <v>250</v>
      </c>
      <c r="H383" s="39">
        <f t="shared" si="20"/>
        <v>349</v>
      </c>
      <c r="I383" s="23" t="str">
        <f t="shared" si="21"/>
        <v>Lucknow</v>
      </c>
      <c r="J383" s="23">
        <f>COUNTIFS(pg_transaction_cleaned!$O:$O,A383,pg_transaction_cleaned!$F:$F,"CAPTURE")</f>
        <v>1</v>
      </c>
      <c r="K383" s="39">
        <f>SUMIFS(pg_transaction_cleaned!$H:$H,pg_transaction_cleaned!$O:$O,A383,pg_transaction_cleaned!$F:$F,"CAPTURE")</f>
        <v>349</v>
      </c>
      <c r="L383" s="23">
        <f>COUNTIFS(pg_transaction_cleaned!$O:$O,A383,pg_transaction_cleaned!$F:$F,"REFUND")</f>
        <v>0</v>
      </c>
      <c r="M383" s="39">
        <f>SUMIFS(pg_transaction_cleaned!$H:$H,pg_transaction_cleaned!$O:$O,A383,pg_transaction_cleaned!$F:$F,"REFUND")</f>
        <v>0</v>
      </c>
      <c r="N383" s="23" t="str">
        <f t="shared" si="22"/>
        <v>OK</v>
      </c>
      <c r="O383" s="24">
        <f t="shared" si="23"/>
        <v>0</v>
      </c>
    </row>
    <row r="384" spans="1:15" ht="15" customHeight="1" x14ac:dyDescent="0.3">
      <c r="A384" s="23" t="s">
        <v>1149</v>
      </c>
      <c r="B384" s="38">
        <v>46287</v>
      </c>
      <c r="C384" s="23" t="s">
        <v>1150</v>
      </c>
      <c r="D384" s="23" t="s">
        <v>88</v>
      </c>
      <c r="E384" s="23" t="s">
        <v>75</v>
      </c>
      <c r="F384" s="23" t="s">
        <v>262</v>
      </c>
      <c r="G384" s="23" t="s">
        <v>365</v>
      </c>
      <c r="H384" s="39">
        <f t="shared" si="20"/>
        <v>499</v>
      </c>
      <c r="I384" s="23" t="str">
        <f t="shared" si="21"/>
        <v>Lucknow</v>
      </c>
      <c r="J384" s="23">
        <f>COUNTIFS(pg_transaction_cleaned!$O:$O,A384,pg_transaction_cleaned!$F:$F,"CAPTURE")</f>
        <v>1</v>
      </c>
      <c r="K384" s="39">
        <f>SUMIFS(pg_transaction_cleaned!$H:$H,pg_transaction_cleaned!$O:$O,A384,pg_transaction_cleaned!$F:$F,"CAPTURE")</f>
        <v>499</v>
      </c>
      <c r="L384" s="23">
        <f>COUNTIFS(pg_transaction_cleaned!$O:$O,A384,pg_transaction_cleaned!$F:$F,"REFUND")</f>
        <v>0</v>
      </c>
      <c r="M384" s="39">
        <f>SUMIFS(pg_transaction_cleaned!$H:$H,pg_transaction_cleaned!$O:$O,A384,pg_transaction_cleaned!$F:$F,"REFUND")</f>
        <v>0</v>
      </c>
      <c r="N384" s="23" t="str">
        <f t="shared" si="22"/>
        <v>Payment on failed/cancelled</v>
      </c>
      <c r="O384" s="24">
        <f t="shared" si="23"/>
        <v>499</v>
      </c>
    </row>
    <row r="385" spans="1:15" ht="15" customHeight="1" x14ac:dyDescent="0.3">
      <c r="A385" s="23" t="s">
        <v>1151</v>
      </c>
      <c r="B385" s="38">
        <v>46270</v>
      </c>
      <c r="C385" s="23" t="s">
        <v>1152</v>
      </c>
      <c r="D385" s="23" t="s">
        <v>93</v>
      </c>
      <c r="E385" s="23" t="s">
        <v>79</v>
      </c>
      <c r="F385" s="23" t="s">
        <v>1153</v>
      </c>
      <c r="G385" s="23" t="s">
        <v>250</v>
      </c>
      <c r="H385" s="39">
        <f t="shared" si="20"/>
        <v>9647</v>
      </c>
      <c r="I385" s="23" t="str">
        <f t="shared" si="21"/>
        <v>Kolkata</v>
      </c>
      <c r="J385" s="23">
        <f>COUNTIFS(pg_transaction_cleaned!$O:$O,A385,pg_transaction_cleaned!$F:$F,"CAPTURE")</f>
        <v>1</v>
      </c>
      <c r="K385" s="39">
        <f>SUMIFS(pg_transaction_cleaned!$H:$H,pg_transaction_cleaned!$O:$O,A385,pg_transaction_cleaned!$F:$F,"CAPTURE")</f>
        <v>9647</v>
      </c>
      <c r="L385" s="23">
        <f>COUNTIFS(pg_transaction_cleaned!$O:$O,A385,pg_transaction_cleaned!$F:$F,"REFUND")</f>
        <v>0</v>
      </c>
      <c r="M385" s="39">
        <f>SUMIFS(pg_transaction_cleaned!$H:$H,pg_transaction_cleaned!$O:$O,A385,pg_transaction_cleaned!$F:$F,"REFUND")</f>
        <v>0</v>
      </c>
      <c r="N385" s="23" t="str">
        <f t="shared" si="22"/>
        <v>OK</v>
      </c>
      <c r="O385" s="24">
        <f t="shared" si="23"/>
        <v>0</v>
      </c>
    </row>
    <row r="386" spans="1:15" ht="15" customHeight="1" x14ac:dyDescent="0.3">
      <c r="A386" s="23" t="s">
        <v>1154</v>
      </c>
      <c r="B386" s="38">
        <v>46287</v>
      </c>
      <c r="C386" s="23" t="s">
        <v>1155</v>
      </c>
      <c r="D386" s="23" t="s">
        <v>89</v>
      </c>
      <c r="E386" s="23" t="s">
        <v>75</v>
      </c>
      <c r="F386" s="23" t="s">
        <v>880</v>
      </c>
      <c r="G386" s="23" t="s">
        <v>250</v>
      </c>
      <c r="H386" s="39">
        <f t="shared" ref="H386:H449" si="24">VALUE(SUBSTITUTE(F386,",",""))</f>
        <v>2298</v>
      </c>
      <c r="I386" s="23" t="str">
        <f t="shared" ref="I386:I449" si="25">IF(TRIM(D386)="","Unknown",TRIM(D386))</f>
        <v>Jaipur</v>
      </c>
      <c r="J386" s="23">
        <f>COUNTIFS(pg_transaction_cleaned!$O:$O,A386,pg_transaction_cleaned!$F:$F,"CAPTURE")</f>
        <v>1</v>
      </c>
      <c r="K386" s="39">
        <f>SUMIFS(pg_transaction_cleaned!$H:$H,pg_transaction_cleaned!$O:$O,A386,pg_transaction_cleaned!$F:$F,"CAPTURE")</f>
        <v>2298</v>
      </c>
      <c r="L386" s="23">
        <f>COUNTIFS(pg_transaction_cleaned!$O:$O,A386,pg_transaction_cleaned!$F:$F,"REFUND")</f>
        <v>0</v>
      </c>
      <c r="M386" s="39">
        <f>SUMIFS(pg_transaction_cleaned!$H:$H,pg_transaction_cleaned!$O:$O,A386,pg_transaction_cleaned!$F:$F,"REFUND")</f>
        <v>0</v>
      </c>
      <c r="N386" s="23" t="str">
        <f t="shared" ref="N386:N449" si="26">IF(AND(G386="Paid",J386=0),"Paid, no payment",IF(AND(OR(G386="Failed",G386="Cancelled"),J386&gt;0),"Payment on failed/cancelled",IF(J386&gt;1,"Duplicate charge",IF(AND(J386=1,ROUND(K386-H386,2)&lt;&gt;0),"Amount difference",IF(AND(G386="Refunded",L386=0),"Refunded, no refund",IF(AND(G386&lt;&gt;"Refunded",L386&gt;0),"Refund, order not Refunded",IF(AND(L386&gt;0,ROUND(M386-H386,2)&lt;&gt;0),"Refund amount differs","OK")))))))</f>
        <v>OK</v>
      </c>
      <c r="O386" s="24">
        <f t="shared" ref="O386:O449" si="27">IF(N386="OK",0,IF(N386="Paid, no payment",H386,IF(N386="Payment on failed/cancelled",K386,IF(OR(N386="Duplicate charge",N386="Amount difference"),K386-H386,IF(N386="Refunded, no refund",H386,M386)))))</f>
        <v>0</v>
      </c>
    </row>
    <row r="387" spans="1:15" ht="15" customHeight="1" x14ac:dyDescent="0.3">
      <c r="A387" s="23" t="s">
        <v>1156</v>
      </c>
      <c r="B387" s="38">
        <v>46289</v>
      </c>
      <c r="C387" s="23" t="s">
        <v>1157</v>
      </c>
      <c r="D387" s="23"/>
      <c r="E387" s="23" t="s">
        <v>75</v>
      </c>
      <c r="F387" s="23" t="s">
        <v>249</v>
      </c>
      <c r="G387" s="23" t="s">
        <v>250</v>
      </c>
      <c r="H387" s="39">
        <f t="shared" si="24"/>
        <v>299</v>
      </c>
      <c r="I387" s="23" t="str">
        <f t="shared" si="25"/>
        <v>Unknown</v>
      </c>
      <c r="J387" s="23">
        <f>COUNTIFS(pg_transaction_cleaned!$O:$O,A387,pg_transaction_cleaned!$F:$F,"CAPTURE")</f>
        <v>1</v>
      </c>
      <c r="K387" s="39">
        <f>SUMIFS(pg_transaction_cleaned!$H:$H,pg_transaction_cleaned!$O:$O,A387,pg_transaction_cleaned!$F:$F,"CAPTURE")</f>
        <v>299</v>
      </c>
      <c r="L387" s="23">
        <f>COUNTIFS(pg_transaction_cleaned!$O:$O,A387,pg_transaction_cleaned!$F:$F,"REFUND")</f>
        <v>0</v>
      </c>
      <c r="M387" s="39">
        <f>SUMIFS(pg_transaction_cleaned!$H:$H,pg_transaction_cleaned!$O:$O,A387,pg_transaction_cleaned!$F:$F,"REFUND")</f>
        <v>0</v>
      </c>
      <c r="N387" s="23" t="str">
        <f t="shared" si="26"/>
        <v>OK</v>
      </c>
      <c r="O387" s="24">
        <f t="shared" si="27"/>
        <v>0</v>
      </c>
    </row>
    <row r="388" spans="1:15" ht="15" customHeight="1" x14ac:dyDescent="0.3">
      <c r="A388" s="23" t="s">
        <v>1158</v>
      </c>
      <c r="B388" s="38">
        <v>46285</v>
      </c>
      <c r="C388" s="23" t="s">
        <v>1159</v>
      </c>
      <c r="D388" s="23" t="s">
        <v>92</v>
      </c>
      <c r="E388" s="23" t="s">
        <v>75</v>
      </c>
      <c r="F388" s="23" t="s">
        <v>307</v>
      </c>
      <c r="G388" s="23" t="s">
        <v>301</v>
      </c>
      <c r="H388" s="39">
        <f t="shared" si="24"/>
        <v>3798</v>
      </c>
      <c r="I388" s="23" t="str">
        <f t="shared" si="25"/>
        <v>Hyderabad</v>
      </c>
      <c r="J388" s="23">
        <f>COUNTIFS(pg_transaction_cleaned!$O:$O,A388,pg_transaction_cleaned!$F:$F,"CAPTURE")</f>
        <v>1</v>
      </c>
      <c r="K388" s="39">
        <f>SUMIFS(pg_transaction_cleaned!$H:$H,pg_transaction_cleaned!$O:$O,A388,pg_transaction_cleaned!$F:$F,"CAPTURE")</f>
        <v>3798</v>
      </c>
      <c r="L388" s="23">
        <f>COUNTIFS(pg_transaction_cleaned!$O:$O,A388,pg_transaction_cleaned!$F:$F,"REFUND")</f>
        <v>1</v>
      </c>
      <c r="M388" s="39">
        <f>SUMIFS(pg_transaction_cleaned!$H:$H,pg_transaction_cleaned!$O:$O,A388,pg_transaction_cleaned!$F:$F,"REFUND")</f>
        <v>3798</v>
      </c>
      <c r="N388" s="23" t="str">
        <f t="shared" si="26"/>
        <v>OK</v>
      </c>
      <c r="O388" s="24">
        <f t="shared" si="27"/>
        <v>0</v>
      </c>
    </row>
    <row r="389" spans="1:15" ht="15" customHeight="1" x14ac:dyDescent="0.3">
      <c r="A389" s="23" t="s">
        <v>1160</v>
      </c>
      <c r="B389" s="38">
        <v>46291</v>
      </c>
      <c r="C389" s="23" t="s">
        <v>1161</v>
      </c>
      <c r="D389" s="23" t="s">
        <v>86</v>
      </c>
      <c r="E389" s="23" t="s">
        <v>77</v>
      </c>
      <c r="F389" s="23" t="s">
        <v>256</v>
      </c>
      <c r="G389" s="23" t="s">
        <v>250</v>
      </c>
      <c r="H389" s="39">
        <f t="shared" si="24"/>
        <v>2098</v>
      </c>
      <c r="I389" s="23" t="str">
        <f t="shared" si="25"/>
        <v>Delhi</v>
      </c>
      <c r="J389" s="23">
        <f>COUNTIFS(pg_transaction_cleaned!$O:$O,A389,pg_transaction_cleaned!$F:$F,"CAPTURE")</f>
        <v>1</v>
      </c>
      <c r="K389" s="39">
        <f>SUMIFS(pg_transaction_cleaned!$H:$H,pg_transaction_cleaned!$O:$O,A389,pg_transaction_cleaned!$F:$F,"CAPTURE")</f>
        <v>2098</v>
      </c>
      <c r="L389" s="23">
        <f>COUNTIFS(pg_transaction_cleaned!$O:$O,A389,pg_transaction_cleaned!$F:$F,"REFUND")</f>
        <v>0</v>
      </c>
      <c r="M389" s="39">
        <f>SUMIFS(pg_transaction_cleaned!$H:$H,pg_transaction_cleaned!$O:$O,A389,pg_transaction_cleaned!$F:$F,"REFUND")</f>
        <v>0</v>
      </c>
      <c r="N389" s="23" t="str">
        <f t="shared" si="26"/>
        <v>OK</v>
      </c>
      <c r="O389" s="24">
        <f t="shared" si="27"/>
        <v>0</v>
      </c>
    </row>
    <row r="390" spans="1:15" ht="15" customHeight="1" x14ac:dyDescent="0.3">
      <c r="A390" s="23" t="s">
        <v>1162</v>
      </c>
      <c r="B390" s="38">
        <v>46287</v>
      </c>
      <c r="C390" s="23" t="s">
        <v>1163</v>
      </c>
      <c r="D390" s="23" t="s">
        <v>91</v>
      </c>
      <c r="E390" s="23" t="s">
        <v>79</v>
      </c>
      <c r="F390" s="23" t="s">
        <v>288</v>
      </c>
      <c r="G390" s="23" t="s">
        <v>250</v>
      </c>
      <c r="H390" s="39">
        <f t="shared" si="24"/>
        <v>4298</v>
      </c>
      <c r="I390" s="23" t="str">
        <f t="shared" si="25"/>
        <v>Pune</v>
      </c>
      <c r="J390" s="23">
        <f>COUNTIFS(pg_transaction_cleaned!$O:$O,A390,pg_transaction_cleaned!$F:$F,"CAPTURE")</f>
        <v>1</v>
      </c>
      <c r="K390" s="39">
        <f>SUMIFS(pg_transaction_cleaned!$H:$H,pg_transaction_cleaned!$O:$O,A390,pg_transaction_cleaned!$F:$F,"CAPTURE")</f>
        <v>4298</v>
      </c>
      <c r="L390" s="23">
        <f>COUNTIFS(pg_transaction_cleaned!$O:$O,A390,pg_transaction_cleaned!$F:$F,"REFUND")</f>
        <v>0</v>
      </c>
      <c r="M390" s="39">
        <f>SUMIFS(pg_transaction_cleaned!$H:$H,pg_transaction_cleaned!$O:$O,A390,pg_transaction_cleaned!$F:$F,"REFUND")</f>
        <v>0</v>
      </c>
      <c r="N390" s="23" t="str">
        <f t="shared" si="26"/>
        <v>OK</v>
      </c>
      <c r="O390" s="24">
        <f t="shared" si="27"/>
        <v>0</v>
      </c>
    </row>
    <row r="391" spans="1:15" ht="15" customHeight="1" x14ac:dyDescent="0.3">
      <c r="A391" s="23" t="s">
        <v>1164</v>
      </c>
      <c r="B391" s="38">
        <v>46268</v>
      </c>
      <c r="C391" s="23" t="s">
        <v>1165</v>
      </c>
      <c r="D391" s="23" t="s">
        <v>93</v>
      </c>
      <c r="E391" s="23" t="s">
        <v>79</v>
      </c>
      <c r="F391" s="23" t="s">
        <v>262</v>
      </c>
      <c r="G391" s="23" t="s">
        <v>250</v>
      </c>
      <c r="H391" s="39">
        <f t="shared" si="24"/>
        <v>499</v>
      </c>
      <c r="I391" s="23" t="str">
        <f t="shared" si="25"/>
        <v>Kolkata</v>
      </c>
      <c r="J391" s="23">
        <f>COUNTIFS(pg_transaction_cleaned!$O:$O,A391,pg_transaction_cleaned!$F:$F,"CAPTURE")</f>
        <v>1</v>
      </c>
      <c r="K391" s="39">
        <f>SUMIFS(pg_transaction_cleaned!$H:$H,pg_transaction_cleaned!$O:$O,A391,pg_transaction_cleaned!$F:$F,"CAPTURE")</f>
        <v>499</v>
      </c>
      <c r="L391" s="23">
        <f>COUNTIFS(pg_transaction_cleaned!$O:$O,A391,pg_transaction_cleaned!$F:$F,"REFUND")</f>
        <v>0</v>
      </c>
      <c r="M391" s="39">
        <f>SUMIFS(pg_transaction_cleaned!$H:$H,pg_transaction_cleaned!$O:$O,A391,pg_transaction_cleaned!$F:$F,"REFUND")</f>
        <v>0</v>
      </c>
      <c r="N391" s="23" t="str">
        <f t="shared" si="26"/>
        <v>OK</v>
      </c>
      <c r="O391" s="24">
        <f t="shared" si="27"/>
        <v>0</v>
      </c>
    </row>
    <row r="392" spans="1:15" ht="15" customHeight="1" x14ac:dyDescent="0.3">
      <c r="A392" s="23" t="s">
        <v>1166</v>
      </c>
      <c r="B392" s="38">
        <v>46276</v>
      </c>
      <c r="C392" s="23" t="s">
        <v>1167</v>
      </c>
      <c r="D392" s="23" t="s">
        <v>94</v>
      </c>
      <c r="E392" s="23" t="s">
        <v>77</v>
      </c>
      <c r="F392" s="23" t="s">
        <v>274</v>
      </c>
      <c r="G392" s="23" t="s">
        <v>250</v>
      </c>
      <c r="H392" s="39">
        <f t="shared" si="24"/>
        <v>349</v>
      </c>
      <c r="I392" s="23" t="str">
        <f t="shared" si="25"/>
        <v>Chennai</v>
      </c>
      <c r="J392" s="23">
        <f>COUNTIFS(pg_transaction_cleaned!$O:$O,A392,pg_transaction_cleaned!$F:$F,"CAPTURE")</f>
        <v>1</v>
      </c>
      <c r="K392" s="39">
        <f>SUMIFS(pg_transaction_cleaned!$H:$H,pg_transaction_cleaned!$O:$O,A392,pg_transaction_cleaned!$F:$F,"CAPTURE")</f>
        <v>349</v>
      </c>
      <c r="L392" s="23">
        <f>COUNTIFS(pg_transaction_cleaned!$O:$O,A392,pg_transaction_cleaned!$F:$F,"REFUND")</f>
        <v>0</v>
      </c>
      <c r="M392" s="39">
        <f>SUMIFS(pg_transaction_cleaned!$H:$H,pg_transaction_cleaned!$O:$O,A392,pg_transaction_cleaned!$F:$F,"REFUND")</f>
        <v>0</v>
      </c>
      <c r="N392" s="23" t="str">
        <f t="shared" si="26"/>
        <v>OK</v>
      </c>
      <c r="O392" s="24">
        <f t="shared" si="27"/>
        <v>0</v>
      </c>
    </row>
    <row r="393" spans="1:15" ht="15" customHeight="1" x14ac:dyDescent="0.3">
      <c r="A393" s="23" t="s">
        <v>1168</v>
      </c>
      <c r="B393" s="38">
        <v>46290</v>
      </c>
      <c r="C393" s="23" t="s">
        <v>1169</v>
      </c>
      <c r="D393" s="23" t="s">
        <v>89</v>
      </c>
      <c r="E393" s="23" t="s">
        <v>75</v>
      </c>
      <c r="F393" s="23" t="s">
        <v>274</v>
      </c>
      <c r="G393" s="23" t="s">
        <v>250</v>
      </c>
      <c r="H393" s="39">
        <f t="shared" si="24"/>
        <v>349</v>
      </c>
      <c r="I393" s="23" t="str">
        <f t="shared" si="25"/>
        <v>Jaipur</v>
      </c>
      <c r="J393" s="23">
        <f>COUNTIFS(pg_transaction_cleaned!$O:$O,A393,pg_transaction_cleaned!$F:$F,"CAPTURE")</f>
        <v>1</v>
      </c>
      <c r="K393" s="39">
        <f>SUMIFS(pg_transaction_cleaned!$H:$H,pg_transaction_cleaned!$O:$O,A393,pg_transaction_cleaned!$F:$F,"CAPTURE")</f>
        <v>349</v>
      </c>
      <c r="L393" s="23">
        <f>COUNTIFS(pg_transaction_cleaned!$O:$O,A393,pg_transaction_cleaned!$F:$F,"REFUND")</f>
        <v>0</v>
      </c>
      <c r="M393" s="39">
        <f>SUMIFS(pg_transaction_cleaned!$H:$H,pg_transaction_cleaned!$O:$O,A393,pg_transaction_cleaned!$F:$F,"REFUND")</f>
        <v>0</v>
      </c>
      <c r="N393" s="23" t="str">
        <f t="shared" si="26"/>
        <v>OK</v>
      </c>
      <c r="O393" s="24">
        <f t="shared" si="27"/>
        <v>0</v>
      </c>
    </row>
    <row r="394" spans="1:15" ht="15" customHeight="1" x14ac:dyDescent="0.3">
      <c r="A394" s="23" t="s">
        <v>1170</v>
      </c>
      <c r="B394" s="38">
        <v>46283</v>
      </c>
      <c r="C394" s="23" t="s">
        <v>1171</v>
      </c>
      <c r="D394" s="23" t="s">
        <v>88</v>
      </c>
      <c r="E394" s="23" t="s">
        <v>75</v>
      </c>
      <c r="F394" s="23" t="s">
        <v>423</v>
      </c>
      <c r="G394" s="23" t="s">
        <v>250</v>
      </c>
      <c r="H394" s="39">
        <f t="shared" si="24"/>
        <v>1648</v>
      </c>
      <c r="I394" s="23" t="str">
        <f t="shared" si="25"/>
        <v>Lucknow</v>
      </c>
      <c r="J394" s="23">
        <f>COUNTIFS(pg_transaction_cleaned!$O:$O,A394,pg_transaction_cleaned!$F:$F,"CAPTURE")</f>
        <v>1</v>
      </c>
      <c r="K394" s="39">
        <f>SUMIFS(pg_transaction_cleaned!$H:$H,pg_transaction_cleaned!$O:$O,A394,pg_transaction_cleaned!$F:$F,"CAPTURE")</f>
        <v>1648</v>
      </c>
      <c r="L394" s="23">
        <f>COUNTIFS(pg_transaction_cleaned!$O:$O,A394,pg_transaction_cleaned!$F:$F,"REFUND")</f>
        <v>0</v>
      </c>
      <c r="M394" s="39">
        <f>SUMIFS(pg_transaction_cleaned!$H:$H,pg_transaction_cleaned!$O:$O,A394,pg_transaction_cleaned!$F:$F,"REFUND")</f>
        <v>0</v>
      </c>
      <c r="N394" s="23" t="str">
        <f t="shared" si="26"/>
        <v>OK</v>
      </c>
      <c r="O394" s="24">
        <f t="shared" si="27"/>
        <v>0</v>
      </c>
    </row>
    <row r="395" spans="1:15" ht="15" customHeight="1" x14ac:dyDescent="0.3">
      <c r="A395" s="23" t="s">
        <v>1172</v>
      </c>
      <c r="B395" s="38">
        <v>46285</v>
      </c>
      <c r="C395" s="23" t="s">
        <v>1173</v>
      </c>
      <c r="D395" s="23" t="s">
        <v>91</v>
      </c>
      <c r="E395" s="23" t="s">
        <v>75</v>
      </c>
      <c r="F395" s="23" t="s">
        <v>310</v>
      </c>
      <c r="G395" s="23" t="s">
        <v>250</v>
      </c>
      <c r="H395" s="39">
        <f t="shared" si="24"/>
        <v>7999</v>
      </c>
      <c r="I395" s="23" t="str">
        <f t="shared" si="25"/>
        <v>Pune</v>
      </c>
      <c r="J395" s="23">
        <f>COUNTIFS(pg_transaction_cleaned!$O:$O,A395,pg_transaction_cleaned!$F:$F,"CAPTURE")</f>
        <v>1</v>
      </c>
      <c r="K395" s="39">
        <f>SUMIFS(pg_transaction_cleaned!$H:$H,pg_transaction_cleaned!$O:$O,A395,pg_transaction_cleaned!$F:$F,"CAPTURE")</f>
        <v>7999</v>
      </c>
      <c r="L395" s="23">
        <f>COUNTIFS(pg_transaction_cleaned!$O:$O,A395,pg_transaction_cleaned!$F:$F,"REFUND")</f>
        <v>0</v>
      </c>
      <c r="M395" s="39">
        <f>SUMIFS(pg_transaction_cleaned!$H:$H,pg_transaction_cleaned!$O:$O,A395,pg_transaction_cleaned!$F:$F,"REFUND")</f>
        <v>0</v>
      </c>
      <c r="N395" s="23" t="str">
        <f t="shared" si="26"/>
        <v>OK</v>
      </c>
      <c r="O395" s="24">
        <f t="shared" si="27"/>
        <v>0</v>
      </c>
    </row>
    <row r="396" spans="1:15" ht="15" customHeight="1" x14ac:dyDescent="0.3">
      <c r="A396" s="23" t="s">
        <v>1174</v>
      </c>
      <c r="B396" s="38">
        <v>46289</v>
      </c>
      <c r="C396" s="23" t="s">
        <v>1175</v>
      </c>
      <c r="D396" s="23" t="s">
        <v>86</v>
      </c>
      <c r="E396" s="23" t="s">
        <v>79</v>
      </c>
      <c r="F396" s="23" t="s">
        <v>370</v>
      </c>
      <c r="G396" s="23" t="s">
        <v>250</v>
      </c>
      <c r="H396" s="39">
        <f t="shared" si="24"/>
        <v>3098</v>
      </c>
      <c r="I396" s="23" t="str">
        <f t="shared" si="25"/>
        <v>Delhi</v>
      </c>
      <c r="J396" s="23">
        <f>COUNTIFS(pg_transaction_cleaned!$O:$O,A396,pg_transaction_cleaned!$F:$F,"CAPTURE")</f>
        <v>1</v>
      </c>
      <c r="K396" s="39">
        <f>SUMIFS(pg_transaction_cleaned!$H:$H,pg_transaction_cleaned!$O:$O,A396,pg_transaction_cleaned!$F:$F,"CAPTURE")</f>
        <v>3098</v>
      </c>
      <c r="L396" s="23">
        <f>COUNTIFS(pg_transaction_cleaned!$O:$O,A396,pg_transaction_cleaned!$F:$F,"REFUND")</f>
        <v>0</v>
      </c>
      <c r="M396" s="39">
        <f>SUMIFS(pg_transaction_cleaned!$H:$H,pg_transaction_cleaned!$O:$O,A396,pg_transaction_cleaned!$F:$F,"REFUND")</f>
        <v>0</v>
      </c>
      <c r="N396" s="23" t="str">
        <f t="shared" si="26"/>
        <v>OK</v>
      </c>
      <c r="O396" s="24">
        <f t="shared" si="27"/>
        <v>0</v>
      </c>
    </row>
    <row r="397" spans="1:15" ht="15" customHeight="1" x14ac:dyDescent="0.3">
      <c r="A397" s="23" t="s">
        <v>1176</v>
      </c>
      <c r="B397" s="38">
        <v>46274</v>
      </c>
      <c r="C397" s="23" t="s">
        <v>1177</v>
      </c>
      <c r="D397" s="23" t="s">
        <v>92</v>
      </c>
      <c r="E397" s="23" t="s">
        <v>75</v>
      </c>
      <c r="F397" s="23" t="s">
        <v>475</v>
      </c>
      <c r="G397" s="23" t="s">
        <v>250</v>
      </c>
      <c r="H397" s="39">
        <f t="shared" si="24"/>
        <v>799</v>
      </c>
      <c r="I397" s="23" t="str">
        <f t="shared" si="25"/>
        <v>Hyderabad</v>
      </c>
      <c r="J397" s="23">
        <f>COUNTIFS(pg_transaction_cleaned!$O:$O,A397,pg_transaction_cleaned!$F:$F,"CAPTURE")</f>
        <v>1</v>
      </c>
      <c r="K397" s="39">
        <f>SUMIFS(pg_transaction_cleaned!$H:$H,pg_transaction_cleaned!$O:$O,A397,pg_transaction_cleaned!$F:$F,"CAPTURE")</f>
        <v>799</v>
      </c>
      <c r="L397" s="23">
        <f>COUNTIFS(pg_transaction_cleaned!$O:$O,A397,pg_transaction_cleaned!$F:$F,"REFUND")</f>
        <v>0</v>
      </c>
      <c r="M397" s="39">
        <f>SUMIFS(pg_transaction_cleaned!$H:$H,pg_transaction_cleaned!$O:$O,A397,pg_transaction_cleaned!$F:$F,"REFUND")</f>
        <v>0</v>
      </c>
      <c r="N397" s="23" t="str">
        <f t="shared" si="26"/>
        <v>OK</v>
      </c>
      <c r="O397" s="24">
        <f t="shared" si="27"/>
        <v>0</v>
      </c>
    </row>
    <row r="398" spans="1:15" ht="15" customHeight="1" x14ac:dyDescent="0.3">
      <c r="A398" s="23" t="s">
        <v>1178</v>
      </c>
      <c r="B398" s="38">
        <v>46279</v>
      </c>
      <c r="C398" s="23" t="s">
        <v>1179</v>
      </c>
      <c r="D398" s="23" t="s">
        <v>90</v>
      </c>
      <c r="E398" s="23" t="s">
        <v>75</v>
      </c>
      <c r="F398" s="23" t="s">
        <v>315</v>
      </c>
      <c r="G398" s="23" t="s">
        <v>250</v>
      </c>
      <c r="H398" s="39">
        <f t="shared" si="24"/>
        <v>1499</v>
      </c>
      <c r="I398" s="23" t="str">
        <f t="shared" si="25"/>
        <v>Ahmedabad</v>
      </c>
      <c r="J398" s="23">
        <f>COUNTIFS(pg_transaction_cleaned!$O:$O,A398,pg_transaction_cleaned!$F:$F,"CAPTURE")</f>
        <v>1</v>
      </c>
      <c r="K398" s="39">
        <f>SUMIFS(pg_transaction_cleaned!$H:$H,pg_transaction_cleaned!$O:$O,A398,pg_transaction_cleaned!$F:$F,"CAPTURE")</f>
        <v>1499</v>
      </c>
      <c r="L398" s="23">
        <f>COUNTIFS(pg_transaction_cleaned!$O:$O,A398,pg_transaction_cleaned!$F:$F,"REFUND")</f>
        <v>0</v>
      </c>
      <c r="M398" s="39">
        <f>SUMIFS(pg_transaction_cleaned!$H:$H,pg_transaction_cleaned!$O:$O,A398,pg_transaction_cleaned!$F:$F,"REFUND")</f>
        <v>0</v>
      </c>
      <c r="N398" s="23" t="str">
        <f t="shared" si="26"/>
        <v>OK</v>
      </c>
      <c r="O398" s="24">
        <f t="shared" si="27"/>
        <v>0</v>
      </c>
    </row>
    <row r="399" spans="1:15" ht="15" customHeight="1" x14ac:dyDescent="0.3">
      <c r="A399" s="23" t="s">
        <v>1180</v>
      </c>
      <c r="B399" s="38">
        <v>46285</v>
      </c>
      <c r="C399" s="23" t="s">
        <v>1181</v>
      </c>
      <c r="D399" s="23" t="s">
        <v>94</v>
      </c>
      <c r="E399" s="23" t="s">
        <v>75</v>
      </c>
      <c r="F399" s="23" t="s">
        <v>256</v>
      </c>
      <c r="G399" s="23" t="s">
        <v>250</v>
      </c>
      <c r="H399" s="39">
        <f t="shared" si="24"/>
        <v>2098</v>
      </c>
      <c r="I399" s="23" t="str">
        <f t="shared" si="25"/>
        <v>Chennai</v>
      </c>
      <c r="J399" s="23">
        <f>COUNTIFS(pg_transaction_cleaned!$O:$O,A399,pg_transaction_cleaned!$F:$F,"CAPTURE")</f>
        <v>1</v>
      </c>
      <c r="K399" s="39">
        <f>SUMIFS(pg_transaction_cleaned!$H:$H,pg_transaction_cleaned!$O:$O,A399,pg_transaction_cleaned!$F:$F,"CAPTURE")</f>
        <v>2098</v>
      </c>
      <c r="L399" s="23">
        <f>COUNTIFS(pg_transaction_cleaned!$O:$O,A399,pg_transaction_cleaned!$F:$F,"REFUND")</f>
        <v>0</v>
      </c>
      <c r="M399" s="39">
        <f>SUMIFS(pg_transaction_cleaned!$H:$H,pg_transaction_cleaned!$O:$O,A399,pg_transaction_cleaned!$F:$F,"REFUND")</f>
        <v>0</v>
      </c>
      <c r="N399" s="23" t="str">
        <f t="shared" si="26"/>
        <v>OK</v>
      </c>
      <c r="O399" s="24">
        <f t="shared" si="27"/>
        <v>0</v>
      </c>
    </row>
    <row r="400" spans="1:15" ht="15" customHeight="1" x14ac:dyDescent="0.3">
      <c r="A400" s="23" t="s">
        <v>1182</v>
      </c>
      <c r="B400" s="38">
        <v>46292</v>
      </c>
      <c r="C400" s="23" t="s">
        <v>1183</v>
      </c>
      <c r="D400" s="23" t="s">
        <v>88</v>
      </c>
      <c r="E400" s="23" t="s">
        <v>75</v>
      </c>
      <c r="F400" s="23" t="s">
        <v>340</v>
      </c>
      <c r="G400" s="23" t="s">
        <v>250</v>
      </c>
      <c r="H400" s="39">
        <f t="shared" si="24"/>
        <v>6298</v>
      </c>
      <c r="I400" s="23" t="str">
        <f t="shared" si="25"/>
        <v>Lucknow</v>
      </c>
      <c r="J400" s="23">
        <f>COUNTIFS(pg_transaction_cleaned!$O:$O,A400,pg_transaction_cleaned!$F:$F,"CAPTURE")</f>
        <v>1</v>
      </c>
      <c r="K400" s="39">
        <f>SUMIFS(pg_transaction_cleaned!$H:$H,pg_transaction_cleaned!$O:$O,A400,pg_transaction_cleaned!$F:$F,"CAPTURE")</f>
        <v>6298</v>
      </c>
      <c r="L400" s="23">
        <f>COUNTIFS(pg_transaction_cleaned!$O:$O,A400,pg_transaction_cleaned!$F:$F,"REFUND")</f>
        <v>0</v>
      </c>
      <c r="M400" s="39">
        <f>SUMIFS(pg_transaction_cleaned!$H:$H,pg_transaction_cleaned!$O:$O,A400,pg_transaction_cleaned!$F:$F,"REFUND")</f>
        <v>0</v>
      </c>
      <c r="N400" s="23" t="str">
        <f t="shared" si="26"/>
        <v>OK</v>
      </c>
      <c r="O400" s="24">
        <f t="shared" si="27"/>
        <v>0</v>
      </c>
    </row>
    <row r="401" spans="1:15" ht="15" customHeight="1" x14ac:dyDescent="0.3">
      <c r="A401" s="23" t="s">
        <v>1184</v>
      </c>
      <c r="B401" s="38">
        <v>46270</v>
      </c>
      <c r="C401" s="23" t="s">
        <v>1185</v>
      </c>
      <c r="D401" s="23" t="s">
        <v>94</v>
      </c>
      <c r="E401" s="23" t="s">
        <v>79</v>
      </c>
      <c r="F401" s="23" t="s">
        <v>742</v>
      </c>
      <c r="G401" s="23" t="s">
        <v>250</v>
      </c>
      <c r="H401" s="39">
        <f t="shared" si="24"/>
        <v>999</v>
      </c>
      <c r="I401" s="23" t="str">
        <f t="shared" si="25"/>
        <v>Chennai</v>
      </c>
      <c r="J401" s="23">
        <f>COUNTIFS(pg_transaction_cleaned!$O:$O,A401,pg_transaction_cleaned!$F:$F,"CAPTURE")</f>
        <v>1</v>
      </c>
      <c r="K401" s="39">
        <f>SUMIFS(pg_transaction_cleaned!$H:$H,pg_transaction_cleaned!$O:$O,A401,pg_transaction_cleaned!$F:$F,"CAPTURE")</f>
        <v>999</v>
      </c>
      <c r="L401" s="23">
        <f>COUNTIFS(pg_transaction_cleaned!$O:$O,A401,pg_transaction_cleaned!$F:$F,"REFUND")</f>
        <v>0</v>
      </c>
      <c r="M401" s="39">
        <f>SUMIFS(pg_transaction_cleaned!$H:$H,pg_transaction_cleaned!$O:$O,A401,pg_transaction_cleaned!$F:$F,"REFUND")</f>
        <v>0</v>
      </c>
      <c r="N401" s="23" t="str">
        <f t="shared" si="26"/>
        <v>OK</v>
      </c>
      <c r="O401" s="24">
        <f t="shared" si="27"/>
        <v>0</v>
      </c>
    </row>
    <row r="402" spans="1:15" ht="15" customHeight="1" x14ac:dyDescent="0.3">
      <c r="A402" s="23" t="s">
        <v>1186</v>
      </c>
      <c r="B402" s="38">
        <v>46271</v>
      </c>
      <c r="C402" s="23" t="s">
        <v>1187</v>
      </c>
      <c r="D402" s="23" t="s">
        <v>95</v>
      </c>
      <c r="E402" s="23" t="s">
        <v>79</v>
      </c>
      <c r="F402" s="23" t="s">
        <v>1188</v>
      </c>
      <c r="G402" s="23" t="s">
        <v>250</v>
      </c>
      <c r="H402" s="39">
        <f t="shared" si="24"/>
        <v>1798</v>
      </c>
      <c r="I402" s="23" t="str">
        <f t="shared" si="25"/>
        <v>Bengaluru</v>
      </c>
      <c r="J402" s="23">
        <f>COUNTIFS(pg_transaction_cleaned!$O:$O,A402,pg_transaction_cleaned!$F:$F,"CAPTURE")</f>
        <v>1</v>
      </c>
      <c r="K402" s="39">
        <f>SUMIFS(pg_transaction_cleaned!$H:$H,pg_transaction_cleaned!$O:$O,A402,pg_transaction_cleaned!$F:$F,"CAPTURE")</f>
        <v>1798</v>
      </c>
      <c r="L402" s="23">
        <f>COUNTIFS(pg_transaction_cleaned!$O:$O,A402,pg_transaction_cleaned!$F:$F,"REFUND")</f>
        <v>0</v>
      </c>
      <c r="M402" s="39">
        <f>SUMIFS(pg_transaction_cleaned!$H:$H,pg_transaction_cleaned!$O:$O,A402,pg_transaction_cleaned!$F:$F,"REFUND")</f>
        <v>0</v>
      </c>
      <c r="N402" s="23" t="str">
        <f t="shared" si="26"/>
        <v>OK</v>
      </c>
      <c r="O402" s="24">
        <f t="shared" si="27"/>
        <v>0</v>
      </c>
    </row>
    <row r="403" spans="1:15" ht="15" customHeight="1" x14ac:dyDescent="0.3">
      <c r="A403" s="23" t="s">
        <v>1189</v>
      </c>
      <c r="B403" s="38">
        <v>46276</v>
      </c>
      <c r="C403" s="23" t="s">
        <v>1190</v>
      </c>
      <c r="D403" s="23" t="s">
        <v>95</v>
      </c>
      <c r="E403" s="23" t="s">
        <v>75</v>
      </c>
      <c r="F403" s="23" t="s">
        <v>490</v>
      </c>
      <c r="G403" s="23" t="s">
        <v>250</v>
      </c>
      <c r="H403" s="39">
        <f t="shared" si="24"/>
        <v>8798</v>
      </c>
      <c r="I403" s="23" t="str">
        <f t="shared" si="25"/>
        <v>Bengaluru</v>
      </c>
      <c r="J403" s="23">
        <f>COUNTIFS(pg_transaction_cleaned!$O:$O,A403,pg_transaction_cleaned!$F:$F,"CAPTURE")</f>
        <v>1</v>
      </c>
      <c r="K403" s="39">
        <f>SUMIFS(pg_transaction_cleaned!$H:$H,pg_transaction_cleaned!$O:$O,A403,pg_transaction_cleaned!$F:$F,"CAPTURE")</f>
        <v>8798</v>
      </c>
      <c r="L403" s="23">
        <f>COUNTIFS(pg_transaction_cleaned!$O:$O,A403,pg_transaction_cleaned!$F:$F,"REFUND")</f>
        <v>0</v>
      </c>
      <c r="M403" s="39">
        <f>SUMIFS(pg_transaction_cleaned!$H:$H,pg_transaction_cleaned!$O:$O,A403,pg_transaction_cleaned!$F:$F,"REFUND")</f>
        <v>0</v>
      </c>
      <c r="N403" s="23" t="str">
        <f t="shared" si="26"/>
        <v>OK</v>
      </c>
      <c r="O403" s="24">
        <f t="shared" si="27"/>
        <v>0</v>
      </c>
    </row>
    <row r="404" spans="1:15" ht="15" customHeight="1" x14ac:dyDescent="0.3">
      <c r="A404" s="23" t="s">
        <v>1191</v>
      </c>
      <c r="B404" s="38">
        <v>46284</v>
      </c>
      <c r="C404" s="23" t="s">
        <v>1192</v>
      </c>
      <c r="D404" s="23" t="s">
        <v>95</v>
      </c>
      <c r="E404" s="23" t="s">
        <v>75</v>
      </c>
      <c r="F404" s="23" t="s">
        <v>1193</v>
      </c>
      <c r="G404" s="23" t="s">
        <v>250</v>
      </c>
      <c r="H404" s="39">
        <f t="shared" si="24"/>
        <v>3498</v>
      </c>
      <c r="I404" s="23" t="str">
        <f t="shared" si="25"/>
        <v>Bengaluru</v>
      </c>
      <c r="J404" s="23">
        <f>COUNTIFS(pg_transaction_cleaned!$O:$O,A404,pg_transaction_cleaned!$F:$F,"CAPTURE")</f>
        <v>1</v>
      </c>
      <c r="K404" s="39">
        <f>SUMIFS(pg_transaction_cleaned!$H:$H,pg_transaction_cleaned!$O:$O,A404,pg_transaction_cleaned!$F:$F,"CAPTURE")</f>
        <v>3498</v>
      </c>
      <c r="L404" s="23">
        <f>COUNTIFS(pg_transaction_cleaned!$O:$O,A404,pg_transaction_cleaned!$F:$F,"REFUND")</f>
        <v>0</v>
      </c>
      <c r="M404" s="39">
        <f>SUMIFS(pg_transaction_cleaned!$H:$H,pg_transaction_cleaned!$O:$O,A404,pg_transaction_cleaned!$F:$F,"REFUND")</f>
        <v>0</v>
      </c>
      <c r="N404" s="23" t="str">
        <f t="shared" si="26"/>
        <v>OK</v>
      </c>
      <c r="O404" s="24">
        <f t="shared" si="27"/>
        <v>0</v>
      </c>
    </row>
    <row r="405" spans="1:15" ht="15" customHeight="1" x14ac:dyDescent="0.3">
      <c r="A405" s="23" t="s">
        <v>1194</v>
      </c>
      <c r="B405" s="38">
        <v>46280</v>
      </c>
      <c r="C405" s="23" t="s">
        <v>1195</v>
      </c>
      <c r="D405" s="23" t="s">
        <v>90</v>
      </c>
      <c r="E405" s="23" t="s">
        <v>81</v>
      </c>
      <c r="F405" s="23" t="s">
        <v>310</v>
      </c>
      <c r="G405" s="23" t="s">
        <v>250</v>
      </c>
      <c r="H405" s="39">
        <f t="shared" si="24"/>
        <v>7999</v>
      </c>
      <c r="I405" s="23" t="str">
        <f t="shared" si="25"/>
        <v>Ahmedabad</v>
      </c>
      <c r="J405" s="23">
        <f>COUNTIFS(pg_transaction_cleaned!$O:$O,A405,pg_transaction_cleaned!$F:$F,"CAPTURE")</f>
        <v>1</v>
      </c>
      <c r="K405" s="39">
        <f>SUMIFS(pg_transaction_cleaned!$H:$H,pg_transaction_cleaned!$O:$O,A405,pg_transaction_cleaned!$F:$F,"CAPTURE")</f>
        <v>7999</v>
      </c>
      <c r="L405" s="23">
        <f>COUNTIFS(pg_transaction_cleaned!$O:$O,A405,pg_transaction_cleaned!$F:$F,"REFUND")</f>
        <v>0</v>
      </c>
      <c r="M405" s="39">
        <f>SUMIFS(pg_transaction_cleaned!$H:$H,pg_transaction_cleaned!$O:$O,A405,pg_transaction_cleaned!$F:$F,"REFUND")</f>
        <v>0</v>
      </c>
      <c r="N405" s="23" t="str">
        <f t="shared" si="26"/>
        <v>OK</v>
      </c>
      <c r="O405" s="24">
        <f t="shared" si="27"/>
        <v>0</v>
      </c>
    </row>
    <row r="406" spans="1:15" ht="15" customHeight="1" x14ac:dyDescent="0.3">
      <c r="A406" s="23" t="s">
        <v>1196</v>
      </c>
      <c r="B406" s="38">
        <v>46270</v>
      </c>
      <c r="C406" s="23" t="s">
        <v>1197</v>
      </c>
      <c r="D406" s="23" t="s">
        <v>91</v>
      </c>
      <c r="E406" s="23" t="s">
        <v>79</v>
      </c>
      <c r="F406" s="23" t="s">
        <v>466</v>
      </c>
      <c r="G406" s="23" t="s">
        <v>250</v>
      </c>
      <c r="H406" s="39">
        <f t="shared" si="24"/>
        <v>2197</v>
      </c>
      <c r="I406" s="23" t="str">
        <f t="shared" si="25"/>
        <v>Pune</v>
      </c>
      <c r="J406" s="23">
        <f>COUNTIFS(pg_transaction_cleaned!$O:$O,A406,pg_transaction_cleaned!$F:$F,"CAPTURE")</f>
        <v>1</v>
      </c>
      <c r="K406" s="39">
        <f>SUMIFS(pg_transaction_cleaned!$H:$H,pg_transaction_cleaned!$O:$O,A406,pg_transaction_cleaned!$F:$F,"CAPTURE")</f>
        <v>2197</v>
      </c>
      <c r="L406" s="23">
        <f>COUNTIFS(pg_transaction_cleaned!$O:$O,A406,pg_transaction_cleaned!$F:$F,"REFUND")</f>
        <v>0</v>
      </c>
      <c r="M406" s="39">
        <f>SUMIFS(pg_transaction_cleaned!$H:$H,pg_transaction_cleaned!$O:$O,A406,pg_transaction_cleaned!$F:$F,"REFUND")</f>
        <v>0</v>
      </c>
      <c r="N406" s="23" t="str">
        <f t="shared" si="26"/>
        <v>OK</v>
      </c>
      <c r="O406" s="24">
        <f t="shared" si="27"/>
        <v>0</v>
      </c>
    </row>
    <row r="407" spans="1:15" ht="15" customHeight="1" x14ac:dyDescent="0.3">
      <c r="A407" s="23" t="s">
        <v>1198</v>
      </c>
      <c r="B407" s="38">
        <v>46280</v>
      </c>
      <c r="C407" s="23" t="s">
        <v>1199</v>
      </c>
      <c r="D407" s="23" t="s">
        <v>89</v>
      </c>
      <c r="E407" s="23" t="s">
        <v>75</v>
      </c>
      <c r="F407" s="23" t="s">
        <v>337</v>
      </c>
      <c r="G407" s="23" t="s">
        <v>250</v>
      </c>
      <c r="H407" s="39">
        <f t="shared" si="24"/>
        <v>3998</v>
      </c>
      <c r="I407" s="23" t="str">
        <f t="shared" si="25"/>
        <v>Jaipur</v>
      </c>
      <c r="J407" s="23">
        <f>COUNTIFS(pg_transaction_cleaned!$O:$O,A407,pg_transaction_cleaned!$F:$F,"CAPTURE")</f>
        <v>1</v>
      </c>
      <c r="K407" s="39">
        <f>SUMIFS(pg_transaction_cleaned!$H:$H,pg_transaction_cleaned!$O:$O,A407,pg_transaction_cleaned!$F:$F,"CAPTURE")</f>
        <v>3998</v>
      </c>
      <c r="L407" s="23">
        <f>COUNTIFS(pg_transaction_cleaned!$O:$O,A407,pg_transaction_cleaned!$F:$F,"REFUND")</f>
        <v>0</v>
      </c>
      <c r="M407" s="39">
        <f>SUMIFS(pg_transaction_cleaned!$H:$H,pg_transaction_cleaned!$O:$O,A407,pg_transaction_cleaned!$F:$F,"REFUND")</f>
        <v>0</v>
      </c>
      <c r="N407" s="23" t="str">
        <f t="shared" si="26"/>
        <v>OK</v>
      </c>
      <c r="O407" s="24">
        <f t="shared" si="27"/>
        <v>0</v>
      </c>
    </row>
    <row r="408" spans="1:15" ht="15" customHeight="1" x14ac:dyDescent="0.3">
      <c r="A408" s="23" t="s">
        <v>1200</v>
      </c>
      <c r="B408" s="38">
        <v>46267</v>
      </c>
      <c r="C408" s="23" t="s">
        <v>1201</v>
      </c>
      <c r="D408" s="23" t="s">
        <v>91</v>
      </c>
      <c r="E408" s="23" t="s">
        <v>75</v>
      </c>
      <c r="F408" s="23" t="s">
        <v>291</v>
      </c>
      <c r="G408" s="23" t="s">
        <v>365</v>
      </c>
      <c r="H408" s="39">
        <f t="shared" si="24"/>
        <v>3499</v>
      </c>
      <c r="I408" s="23" t="str">
        <f t="shared" si="25"/>
        <v>Pune</v>
      </c>
      <c r="J408" s="23">
        <f>COUNTIFS(pg_transaction_cleaned!$O:$O,A408,pg_transaction_cleaned!$F:$F,"CAPTURE")</f>
        <v>0</v>
      </c>
      <c r="K408" s="39">
        <f>SUMIFS(pg_transaction_cleaned!$H:$H,pg_transaction_cleaned!$O:$O,A408,pg_transaction_cleaned!$F:$F,"CAPTURE")</f>
        <v>0</v>
      </c>
      <c r="L408" s="23">
        <f>COUNTIFS(pg_transaction_cleaned!$O:$O,A408,pg_transaction_cleaned!$F:$F,"REFUND")</f>
        <v>0</v>
      </c>
      <c r="M408" s="39">
        <f>SUMIFS(pg_transaction_cleaned!$H:$H,pg_transaction_cleaned!$O:$O,A408,pg_transaction_cleaned!$F:$F,"REFUND")</f>
        <v>0</v>
      </c>
      <c r="N408" s="23" t="str">
        <f t="shared" si="26"/>
        <v>OK</v>
      </c>
      <c r="O408" s="24">
        <f t="shared" si="27"/>
        <v>0</v>
      </c>
    </row>
    <row r="409" spans="1:15" ht="15" customHeight="1" x14ac:dyDescent="0.3">
      <c r="A409" s="23" t="s">
        <v>1202</v>
      </c>
      <c r="B409" s="38">
        <v>46269</v>
      </c>
      <c r="C409" s="23" t="s">
        <v>1203</v>
      </c>
      <c r="D409" s="23" t="s">
        <v>87</v>
      </c>
      <c r="E409" s="23" t="s">
        <v>75</v>
      </c>
      <c r="F409" s="23" t="s">
        <v>396</v>
      </c>
      <c r="G409" s="23" t="s">
        <v>250</v>
      </c>
      <c r="H409" s="39">
        <f t="shared" si="24"/>
        <v>2999</v>
      </c>
      <c r="I409" s="23" t="str">
        <f t="shared" si="25"/>
        <v>Mumbai</v>
      </c>
      <c r="J409" s="23">
        <f>COUNTIFS(pg_transaction_cleaned!$O:$O,A409,pg_transaction_cleaned!$F:$F,"CAPTURE")</f>
        <v>1</v>
      </c>
      <c r="K409" s="39">
        <f>SUMIFS(pg_transaction_cleaned!$H:$H,pg_transaction_cleaned!$O:$O,A409,pg_transaction_cleaned!$F:$F,"CAPTURE")</f>
        <v>2999</v>
      </c>
      <c r="L409" s="23">
        <f>COUNTIFS(pg_transaction_cleaned!$O:$O,A409,pg_transaction_cleaned!$F:$F,"REFUND")</f>
        <v>0</v>
      </c>
      <c r="M409" s="39">
        <f>SUMIFS(pg_transaction_cleaned!$H:$H,pg_transaction_cleaned!$O:$O,A409,pg_transaction_cleaned!$F:$F,"REFUND")</f>
        <v>0</v>
      </c>
      <c r="N409" s="23" t="str">
        <f t="shared" si="26"/>
        <v>OK</v>
      </c>
      <c r="O409" s="24">
        <f t="shared" si="27"/>
        <v>0</v>
      </c>
    </row>
    <row r="410" spans="1:15" ht="15" customHeight="1" x14ac:dyDescent="0.3">
      <c r="A410" s="23" t="s">
        <v>1204</v>
      </c>
      <c r="B410" s="38">
        <v>46284</v>
      </c>
      <c r="C410" s="23" t="s">
        <v>1205</v>
      </c>
      <c r="D410" s="23" t="s">
        <v>91</v>
      </c>
      <c r="E410" s="23" t="s">
        <v>75</v>
      </c>
      <c r="F410" s="23" t="s">
        <v>1206</v>
      </c>
      <c r="G410" s="23" t="s">
        <v>301</v>
      </c>
      <c r="H410" s="39">
        <f t="shared" si="24"/>
        <v>7297</v>
      </c>
      <c r="I410" s="23" t="str">
        <f t="shared" si="25"/>
        <v>Pune</v>
      </c>
      <c r="J410" s="23">
        <f>COUNTIFS(pg_transaction_cleaned!$O:$O,A410,pg_transaction_cleaned!$F:$F,"CAPTURE")</f>
        <v>1</v>
      </c>
      <c r="K410" s="39">
        <f>SUMIFS(pg_transaction_cleaned!$H:$H,pg_transaction_cleaned!$O:$O,A410,pg_transaction_cleaned!$F:$F,"CAPTURE")</f>
        <v>7297</v>
      </c>
      <c r="L410" s="23">
        <f>COUNTIFS(pg_transaction_cleaned!$O:$O,A410,pg_transaction_cleaned!$F:$F,"REFUND")</f>
        <v>1</v>
      </c>
      <c r="M410" s="39">
        <f>SUMIFS(pg_transaction_cleaned!$H:$H,pg_transaction_cleaned!$O:$O,A410,pg_transaction_cleaned!$F:$F,"REFUND")</f>
        <v>7297</v>
      </c>
      <c r="N410" s="23" t="str">
        <f t="shared" si="26"/>
        <v>OK</v>
      </c>
      <c r="O410" s="24">
        <f t="shared" si="27"/>
        <v>0</v>
      </c>
    </row>
    <row r="411" spans="1:15" ht="15" customHeight="1" x14ac:dyDescent="0.3">
      <c r="A411" s="23" t="s">
        <v>1207</v>
      </c>
      <c r="B411" s="38">
        <v>46266</v>
      </c>
      <c r="C411" s="23" t="s">
        <v>1208</v>
      </c>
      <c r="D411" s="23" t="s">
        <v>88</v>
      </c>
      <c r="E411" s="23" t="s">
        <v>79</v>
      </c>
      <c r="F411" s="23" t="s">
        <v>475</v>
      </c>
      <c r="G411" s="23" t="s">
        <v>250</v>
      </c>
      <c r="H411" s="39">
        <f t="shared" si="24"/>
        <v>799</v>
      </c>
      <c r="I411" s="23" t="str">
        <f t="shared" si="25"/>
        <v>Lucknow</v>
      </c>
      <c r="J411" s="23">
        <f>COUNTIFS(pg_transaction_cleaned!$O:$O,A411,pg_transaction_cleaned!$F:$F,"CAPTURE")</f>
        <v>1</v>
      </c>
      <c r="K411" s="39">
        <f>SUMIFS(pg_transaction_cleaned!$H:$H,pg_transaction_cleaned!$O:$O,A411,pg_transaction_cleaned!$F:$F,"CAPTURE")</f>
        <v>799</v>
      </c>
      <c r="L411" s="23">
        <f>COUNTIFS(pg_transaction_cleaned!$O:$O,A411,pg_transaction_cleaned!$F:$F,"REFUND")</f>
        <v>0</v>
      </c>
      <c r="M411" s="39">
        <f>SUMIFS(pg_transaction_cleaned!$H:$H,pg_transaction_cleaned!$O:$O,A411,pg_transaction_cleaned!$F:$F,"REFUND")</f>
        <v>0</v>
      </c>
      <c r="N411" s="23" t="str">
        <f t="shared" si="26"/>
        <v>OK</v>
      </c>
      <c r="O411" s="24">
        <f t="shared" si="27"/>
        <v>0</v>
      </c>
    </row>
    <row r="412" spans="1:15" ht="15" customHeight="1" x14ac:dyDescent="0.3">
      <c r="A412" s="23" t="s">
        <v>1209</v>
      </c>
      <c r="B412" s="38">
        <v>46288</v>
      </c>
      <c r="C412" s="23" t="s">
        <v>1210</v>
      </c>
      <c r="D412" s="23" t="s">
        <v>88</v>
      </c>
      <c r="E412" s="23" t="s">
        <v>75</v>
      </c>
      <c r="F412" s="23" t="s">
        <v>1211</v>
      </c>
      <c r="G412" s="23" t="s">
        <v>250</v>
      </c>
      <c r="H412" s="39">
        <f t="shared" si="24"/>
        <v>2098</v>
      </c>
      <c r="I412" s="23" t="str">
        <f t="shared" si="25"/>
        <v>Lucknow</v>
      </c>
      <c r="J412" s="23">
        <f>COUNTIFS(pg_transaction_cleaned!$O:$O,A412,pg_transaction_cleaned!$F:$F,"CAPTURE")</f>
        <v>1</v>
      </c>
      <c r="K412" s="39">
        <f>SUMIFS(pg_transaction_cleaned!$H:$H,pg_transaction_cleaned!$O:$O,A412,pg_transaction_cleaned!$F:$F,"CAPTURE")</f>
        <v>2098</v>
      </c>
      <c r="L412" s="23">
        <f>COUNTIFS(pg_transaction_cleaned!$O:$O,A412,pg_transaction_cleaned!$F:$F,"REFUND")</f>
        <v>0</v>
      </c>
      <c r="M412" s="39">
        <f>SUMIFS(pg_transaction_cleaned!$H:$H,pg_transaction_cleaned!$O:$O,A412,pg_transaction_cleaned!$F:$F,"REFUND")</f>
        <v>0</v>
      </c>
      <c r="N412" s="23" t="str">
        <f t="shared" si="26"/>
        <v>OK</v>
      </c>
      <c r="O412" s="24">
        <f t="shared" si="27"/>
        <v>0</v>
      </c>
    </row>
    <row r="413" spans="1:15" ht="15" customHeight="1" x14ac:dyDescent="0.3">
      <c r="A413" s="23" t="s">
        <v>1212</v>
      </c>
      <c r="B413" s="38">
        <v>46288</v>
      </c>
      <c r="C413" s="23" t="s">
        <v>1213</v>
      </c>
      <c r="D413" s="23" t="s">
        <v>93</v>
      </c>
      <c r="E413" s="23" t="s">
        <v>75</v>
      </c>
      <c r="F413" s="23" t="s">
        <v>974</v>
      </c>
      <c r="G413" s="23" t="s">
        <v>301</v>
      </c>
      <c r="H413" s="39">
        <f t="shared" si="24"/>
        <v>1498</v>
      </c>
      <c r="I413" s="23" t="str">
        <f t="shared" si="25"/>
        <v>Kolkata</v>
      </c>
      <c r="J413" s="23">
        <f>COUNTIFS(pg_transaction_cleaned!$O:$O,A413,pg_transaction_cleaned!$F:$F,"CAPTURE")</f>
        <v>1</v>
      </c>
      <c r="K413" s="39">
        <f>SUMIFS(pg_transaction_cleaned!$H:$H,pg_transaction_cleaned!$O:$O,A413,pg_transaction_cleaned!$F:$F,"CAPTURE")</f>
        <v>1498</v>
      </c>
      <c r="L413" s="23">
        <f>COUNTIFS(pg_transaction_cleaned!$O:$O,A413,pg_transaction_cleaned!$F:$F,"REFUND")</f>
        <v>1</v>
      </c>
      <c r="M413" s="39">
        <f>SUMIFS(pg_transaction_cleaned!$H:$H,pg_transaction_cleaned!$O:$O,A413,pg_transaction_cleaned!$F:$F,"REFUND")</f>
        <v>1498</v>
      </c>
      <c r="N413" s="23" t="str">
        <f t="shared" si="26"/>
        <v>OK</v>
      </c>
      <c r="O413" s="24">
        <f t="shared" si="27"/>
        <v>0</v>
      </c>
    </row>
    <row r="414" spans="1:15" ht="15" customHeight="1" x14ac:dyDescent="0.3">
      <c r="A414" s="23" t="s">
        <v>1214</v>
      </c>
      <c r="B414" s="38">
        <v>46295</v>
      </c>
      <c r="C414" s="23" t="s">
        <v>1215</v>
      </c>
      <c r="D414" s="23" t="s">
        <v>92</v>
      </c>
      <c r="E414" s="23" t="s">
        <v>79</v>
      </c>
      <c r="F414" s="23" t="s">
        <v>274</v>
      </c>
      <c r="G414" s="23" t="s">
        <v>250</v>
      </c>
      <c r="H414" s="39">
        <f t="shared" si="24"/>
        <v>349</v>
      </c>
      <c r="I414" s="23" t="str">
        <f t="shared" si="25"/>
        <v>Hyderabad</v>
      </c>
      <c r="J414" s="23">
        <f>COUNTIFS(pg_transaction_cleaned!$O:$O,A414,pg_transaction_cleaned!$F:$F,"CAPTURE")</f>
        <v>1</v>
      </c>
      <c r="K414" s="39">
        <f>SUMIFS(pg_transaction_cleaned!$H:$H,pg_transaction_cleaned!$O:$O,A414,pg_transaction_cleaned!$F:$F,"CAPTURE")</f>
        <v>349</v>
      </c>
      <c r="L414" s="23">
        <f>COUNTIFS(pg_transaction_cleaned!$O:$O,A414,pg_transaction_cleaned!$F:$F,"REFUND")</f>
        <v>0</v>
      </c>
      <c r="M414" s="39">
        <f>SUMIFS(pg_transaction_cleaned!$H:$H,pg_transaction_cleaned!$O:$O,A414,pg_transaction_cleaned!$F:$F,"REFUND")</f>
        <v>0</v>
      </c>
      <c r="N414" s="23" t="str">
        <f t="shared" si="26"/>
        <v>OK</v>
      </c>
      <c r="O414" s="24">
        <f t="shared" si="27"/>
        <v>0</v>
      </c>
    </row>
    <row r="415" spans="1:15" ht="15" customHeight="1" x14ac:dyDescent="0.3">
      <c r="A415" s="23" t="s">
        <v>1216</v>
      </c>
      <c r="B415" s="38">
        <v>46276</v>
      </c>
      <c r="C415" s="23" t="s">
        <v>1217</v>
      </c>
      <c r="D415" s="23" t="s">
        <v>90</v>
      </c>
      <c r="E415" s="23" t="s">
        <v>75</v>
      </c>
      <c r="F415" s="23" t="s">
        <v>598</v>
      </c>
      <c r="G415" s="23" t="s">
        <v>250</v>
      </c>
      <c r="H415" s="39">
        <f t="shared" si="24"/>
        <v>5598</v>
      </c>
      <c r="I415" s="23" t="str">
        <f t="shared" si="25"/>
        <v>Ahmedabad</v>
      </c>
      <c r="J415" s="23">
        <f>COUNTIFS(pg_transaction_cleaned!$O:$O,A415,pg_transaction_cleaned!$F:$F,"CAPTURE")</f>
        <v>1</v>
      </c>
      <c r="K415" s="39">
        <f>SUMIFS(pg_transaction_cleaned!$H:$H,pg_transaction_cleaned!$O:$O,A415,pg_transaction_cleaned!$F:$F,"CAPTURE")</f>
        <v>5598</v>
      </c>
      <c r="L415" s="23">
        <f>COUNTIFS(pg_transaction_cleaned!$O:$O,A415,pg_transaction_cleaned!$F:$F,"REFUND")</f>
        <v>0</v>
      </c>
      <c r="M415" s="39">
        <f>SUMIFS(pg_transaction_cleaned!$H:$H,pg_transaction_cleaned!$O:$O,A415,pg_transaction_cleaned!$F:$F,"REFUND")</f>
        <v>0</v>
      </c>
      <c r="N415" s="23" t="str">
        <f t="shared" si="26"/>
        <v>OK</v>
      </c>
      <c r="O415" s="24">
        <f t="shared" si="27"/>
        <v>0</v>
      </c>
    </row>
    <row r="416" spans="1:15" ht="15" customHeight="1" x14ac:dyDescent="0.3">
      <c r="A416" s="23" t="s">
        <v>1218</v>
      </c>
      <c r="B416" s="38">
        <v>46289</v>
      </c>
      <c r="C416" s="23" t="s">
        <v>1219</v>
      </c>
      <c r="D416" s="23" t="s">
        <v>87</v>
      </c>
      <c r="E416" s="23" t="s">
        <v>81</v>
      </c>
      <c r="F416" s="23" t="s">
        <v>1220</v>
      </c>
      <c r="G416" s="23" t="s">
        <v>250</v>
      </c>
      <c r="H416" s="39">
        <f t="shared" si="24"/>
        <v>2847</v>
      </c>
      <c r="I416" s="23" t="str">
        <f t="shared" si="25"/>
        <v>Mumbai</v>
      </c>
      <c r="J416" s="23">
        <f>COUNTIFS(pg_transaction_cleaned!$O:$O,A416,pg_transaction_cleaned!$F:$F,"CAPTURE")</f>
        <v>1</v>
      </c>
      <c r="K416" s="39">
        <f>SUMIFS(pg_transaction_cleaned!$H:$H,pg_transaction_cleaned!$O:$O,A416,pg_transaction_cleaned!$F:$F,"CAPTURE")</f>
        <v>2847</v>
      </c>
      <c r="L416" s="23">
        <f>COUNTIFS(pg_transaction_cleaned!$O:$O,A416,pg_transaction_cleaned!$F:$F,"REFUND")</f>
        <v>0</v>
      </c>
      <c r="M416" s="39">
        <f>SUMIFS(pg_transaction_cleaned!$H:$H,pg_transaction_cleaned!$O:$O,A416,pg_transaction_cleaned!$F:$F,"REFUND")</f>
        <v>0</v>
      </c>
      <c r="N416" s="23" t="str">
        <f t="shared" si="26"/>
        <v>OK</v>
      </c>
      <c r="O416" s="24">
        <f t="shared" si="27"/>
        <v>0</v>
      </c>
    </row>
    <row r="417" spans="1:15" ht="15" customHeight="1" x14ac:dyDescent="0.3">
      <c r="A417" s="23" t="s">
        <v>1221</v>
      </c>
      <c r="B417" s="38">
        <v>46293</v>
      </c>
      <c r="C417" s="23" t="s">
        <v>1222</v>
      </c>
      <c r="D417" s="23" t="s">
        <v>89</v>
      </c>
      <c r="E417" s="23" t="s">
        <v>81</v>
      </c>
      <c r="F417" s="23" t="s">
        <v>396</v>
      </c>
      <c r="G417" s="23" t="s">
        <v>250</v>
      </c>
      <c r="H417" s="39">
        <f t="shared" si="24"/>
        <v>2999</v>
      </c>
      <c r="I417" s="23" t="str">
        <f t="shared" si="25"/>
        <v>Jaipur</v>
      </c>
      <c r="J417" s="23">
        <f>COUNTIFS(pg_transaction_cleaned!$O:$O,A417,pg_transaction_cleaned!$F:$F,"CAPTURE")</f>
        <v>1</v>
      </c>
      <c r="K417" s="39">
        <f>SUMIFS(pg_transaction_cleaned!$H:$H,pg_transaction_cleaned!$O:$O,A417,pg_transaction_cleaned!$F:$F,"CAPTURE")</f>
        <v>2999</v>
      </c>
      <c r="L417" s="23">
        <f>COUNTIFS(pg_transaction_cleaned!$O:$O,A417,pg_transaction_cleaned!$F:$F,"REFUND")</f>
        <v>0</v>
      </c>
      <c r="M417" s="39">
        <f>SUMIFS(pg_transaction_cleaned!$H:$H,pg_transaction_cleaned!$O:$O,A417,pg_transaction_cleaned!$F:$F,"REFUND")</f>
        <v>0</v>
      </c>
      <c r="N417" s="23" t="str">
        <f t="shared" si="26"/>
        <v>OK</v>
      </c>
      <c r="O417" s="24">
        <f t="shared" si="27"/>
        <v>0</v>
      </c>
    </row>
    <row r="418" spans="1:15" ht="15" customHeight="1" x14ac:dyDescent="0.3">
      <c r="A418" s="23" t="s">
        <v>1223</v>
      </c>
      <c r="B418" s="38">
        <v>46271</v>
      </c>
      <c r="C418" s="23" t="s">
        <v>1224</v>
      </c>
      <c r="D418" s="23" t="s">
        <v>93</v>
      </c>
      <c r="E418" s="23" t="s">
        <v>77</v>
      </c>
      <c r="F418" s="23" t="s">
        <v>974</v>
      </c>
      <c r="G418" s="23" t="s">
        <v>250</v>
      </c>
      <c r="H418" s="39">
        <f t="shared" si="24"/>
        <v>1498</v>
      </c>
      <c r="I418" s="23" t="str">
        <f t="shared" si="25"/>
        <v>Kolkata</v>
      </c>
      <c r="J418" s="23">
        <f>COUNTIFS(pg_transaction_cleaned!$O:$O,A418,pg_transaction_cleaned!$F:$F,"CAPTURE")</f>
        <v>1</v>
      </c>
      <c r="K418" s="39">
        <f>SUMIFS(pg_transaction_cleaned!$H:$H,pg_transaction_cleaned!$O:$O,A418,pg_transaction_cleaned!$F:$F,"CAPTURE")</f>
        <v>1498</v>
      </c>
      <c r="L418" s="23">
        <f>COUNTIFS(pg_transaction_cleaned!$O:$O,A418,pg_transaction_cleaned!$F:$F,"REFUND")</f>
        <v>0</v>
      </c>
      <c r="M418" s="39">
        <f>SUMIFS(pg_transaction_cleaned!$H:$H,pg_transaction_cleaned!$O:$O,A418,pg_transaction_cleaned!$F:$F,"REFUND")</f>
        <v>0</v>
      </c>
      <c r="N418" s="23" t="str">
        <f t="shared" si="26"/>
        <v>OK</v>
      </c>
      <c r="O418" s="24">
        <f t="shared" si="27"/>
        <v>0</v>
      </c>
    </row>
    <row r="419" spans="1:15" ht="15" customHeight="1" x14ac:dyDescent="0.3">
      <c r="A419" s="23" t="s">
        <v>1225</v>
      </c>
      <c r="B419" s="38">
        <v>46286</v>
      </c>
      <c r="C419" s="23" t="s">
        <v>1226</v>
      </c>
      <c r="D419" s="23" t="s">
        <v>88</v>
      </c>
      <c r="E419" s="23" t="s">
        <v>75</v>
      </c>
      <c r="F419" s="23" t="s">
        <v>262</v>
      </c>
      <c r="G419" s="23" t="s">
        <v>250</v>
      </c>
      <c r="H419" s="39">
        <f t="shared" si="24"/>
        <v>499</v>
      </c>
      <c r="I419" s="23" t="str">
        <f t="shared" si="25"/>
        <v>Lucknow</v>
      </c>
      <c r="J419" s="23">
        <f>COUNTIFS(pg_transaction_cleaned!$O:$O,A419,pg_transaction_cleaned!$F:$F,"CAPTURE")</f>
        <v>1</v>
      </c>
      <c r="K419" s="39">
        <f>SUMIFS(pg_transaction_cleaned!$H:$H,pg_transaction_cleaned!$O:$O,A419,pg_transaction_cleaned!$F:$F,"CAPTURE")</f>
        <v>499</v>
      </c>
      <c r="L419" s="23">
        <f>COUNTIFS(pg_transaction_cleaned!$O:$O,A419,pg_transaction_cleaned!$F:$F,"REFUND")</f>
        <v>0</v>
      </c>
      <c r="M419" s="39">
        <f>SUMIFS(pg_transaction_cleaned!$H:$H,pg_transaction_cleaned!$O:$O,A419,pg_transaction_cleaned!$F:$F,"REFUND")</f>
        <v>0</v>
      </c>
      <c r="N419" s="23" t="str">
        <f t="shared" si="26"/>
        <v>OK</v>
      </c>
      <c r="O419" s="24">
        <f t="shared" si="27"/>
        <v>0</v>
      </c>
    </row>
    <row r="420" spans="1:15" ht="15" customHeight="1" x14ac:dyDescent="0.3">
      <c r="A420" s="23" t="s">
        <v>1227</v>
      </c>
      <c r="B420" s="38">
        <v>46294</v>
      </c>
      <c r="C420" s="23" t="s">
        <v>1228</v>
      </c>
      <c r="D420" s="23" t="s">
        <v>95</v>
      </c>
      <c r="E420" s="23" t="s">
        <v>75</v>
      </c>
      <c r="F420" s="23" t="s">
        <v>315</v>
      </c>
      <c r="G420" s="23" t="s">
        <v>250</v>
      </c>
      <c r="H420" s="39">
        <f t="shared" si="24"/>
        <v>1499</v>
      </c>
      <c r="I420" s="23" t="str">
        <f t="shared" si="25"/>
        <v>Bengaluru</v>
      </c>
      <c r="J420" s="23">
        <f>COUNTIFS(pg_transaction_cleaned!$O:$O,A420,pg_transaction_cleaned!$F:$F,"CAPTURE")</f>
        <v>1</v>
      </c>
      <c r="K420" s="39">
        <f>SUMIFS(pg_transaction_cleaned!$H:$H,pg_transaction_cleaned!$O:$O,A420,pg_transaction_cleaned!$F:$F,"CAPTURE")</f>
        <v>1499</v>
      </c>
      <c r="L420" s="23">
        <f>COUNTIFS(pg_transaction_cleaned!$O:$O,A420,pg_transaction_cleaned!$F:$F,"REFUND")</f>
        <v>0</v>
      </c>
      <c r="M420" s="39">
        <f>SUMIFS(pg_transaction_cleaned!$H:$H,pg_transaction_cleaned!$O:$O,A420,pg_transaction_cleaned!$F:$F,"REFUND")</f>
        <v>0</v>
      </c>
      <c r="N420" s="23" t="str">
        <f t="shared" si="26"/>
        <v>OK</v>
      </c>
      <c r="O420" s="24">
        <f t="shared" si="27"/>
        <v>0</v>
      </c>
    </row>
    <row r="421" spans="1:15" ht="15" customHeight="1" x14ac:dyDescent="0.3">
      <c r="A421" s="23" t="s">
        <v>1229</v>
      </c>
      <c r="B421" s="38">
        <v>46274</v>
      </c>
      <c r="C421" s="23" t="s">
        <v>1230</v>
      </c>
      <c r="D421" s="23" t="s">
        <v>86</v>
      </c>
      <c r="E421" s="23" t="s">
        <v>79</v>
      </c>
      <c r="F421" s="23" t="s">
        <v>1231</v>
      </c>
      <c r="G421" s="23" t="s">
        <v>250</v>
      </c>
      <c r="H421" s="39">
        <f t="shared" si="24"/>
        <v>10347</v>
      </c>
      <c r="I421" s="23" t="str">
        <f t="shared" si="25"/>
        <v>Delhi</v>
      </c>
      <c r="J421" s="23">
        <f>COUNTIFS(pg_transaction_cleaned!$O:$O,A421,pg_transaction_cleaned!$F:$F,"CAPTURE")</f>
        <v>1</v>
      </c>
      <c r="K421" s="39">
        <f>SUMIFS(pg_transaction_cleaned!$H:$H,pg_transaction_cleaned!$O:$O,A421,pg_transaction_cleaned!$F:$F,"CAPTURE")</f>
        <v>10347</v>
      </c>
      <c r="L421" s="23">
        <f>COUNTIFS(pg_transaction_cleaned!$O:$O,A421,pg_transaction_cleaned!$F:$F,"REFUND")</f>
        <v>0</v>
      </c>
      <c r="M421" s="39">
        <f>SUMIFS(pg_transaction_cleaned!$H:$H,pg_transaction_cleaned!$O:$O,A421,pg_transaction_cleaned!$F:$F,"REFUND")</f>
        <v>0</v>
      </c>
      <c r="N421" s="23" t="str">
        <f t="shared" si="26"/>
        <v>OK</v>
      </c>
      <c r="O421" s="24">
        <f t="shared" si="27"/>
        <v>0</v>
      </c>
    </row>
    <row r="422" spans="1:15" ht="15" customHeight="1" x14ac:dyDescent="0.3">
      <c r="A422" s="23" t="s">
        <v>1232</v>
      </c>
      <c r="B422" s="38">
        <v>46277</v>
      </c>
      <c r="C422" s="23" t="s">
        <v>1233</v>
      </c>
      <c r="D422" s="23" t="s">
        <v>89</v>
      </c>
      <c r="E422" s="23" t="s">
        <v>75</v>
      </c>
      <c r="F422" s="23" t="s">
        <v>329</v>
      </c>
      <c r="G422" s="23" t="s">
        <v>250</v>
      </c>
      <c r="H422" s="39">
        <f t="shared" si="24"/>
        <v>599</v>
      </c>
      <c r="I422" s="23" t="str">
        <f t="shared" si="25"/>
        <v>Jaipur</v>
      </c>
      <c r="J422" s="23">
        <f>COUNTIFS(pg_transaction_cleaned!$O:$O,A422,pg_transaction_cleaned!$F:$F,"CAPTURE")</f>
        <v>1</v>
      </c>
      <c r="K422" s="39">
        <f>SUMIFS(pg_transaction_cleaned!$H:$H,pg_transaction_cleaned!$O:$O,A422,pg_transaction_cleaned!$F:$F,"CAPTURE")</f>
        <v>599</v>
      </c>
      <c r="L422" s="23">
        <f>COUNTIFS(pg_transaction_cleaned!$O:$O,A422,pg_transaction_cleaned!$F:$F,"REFUND")</f>
        <v>0</v>
      </c>
      <c r="M422" s="39">
        <f>SUMIFS(pg_transaction_cleaned!$H:$H,pg_transaction_cleaned!$O:$O,A422,pg_transaction_cleaned!$F:$F,"REFUND")</f>
        <v>0</v>
      </c>
      <c r="N422" s="23" t="str">
        <f t="shared" si="26"/>
        <v>OK</v>
      </c>
      <c r="O422" s="24">
        <f t="shared" si="27"/>
        <v>0</v>
      </c>
    </row>
    <row r="423" spans="1:15" ht="15" customHeight="1" x14ac:dyDescent="0.3">
      <c r="A423" s="23" t="s">
        <v>1234</v>
      </c>
      <c r="B423" s="38">
        <v>46286</v>
      </c>
      <c r="C423" s="23" t="s">
        <v>1235</v>
      </c>
      <c r="D423" s="23" t="s">
        <v>94</v>
      </c>
      <c r="E423" s="23" t="s">
        <v>75</v>
      </c>
      <c r="F423" s="23" t="s">
        <v>271</v>
      </c>
      <c r="G423" s="23" t="s">
        <v>250</v>
      </c>
      <c r="H423" s="39">
        <f t="shared" si="24"/>
        <v>2499</v>
      </c>
      <c r="I423" s="23" t="str">
        <f t="shared" si="25"/>
        <v>Chennai</v>
      </c>
      <c r="J423" s="23">
        <f>COUNTIFS(pg_transaction_cleaned!$O:$O,A423,pg_transaction_cleaned!$F:$F,"CAPTURE")</f>
        <v>1</v>
      </c>
      <c r="K423" s="39">
        <f>SUMIFS(pg_transaction_cleaned!$H:$H,pg_transaction_cleaned!$O:$O,A423,pg_transaction_cleaned!$F:$F,"CAPTURE")</f>
        <v>2499</v>
      </c>
      <c r="L423" s="23">
        <f>COUNTIFS(pg_transaction_cleaned!$O:$O,A423,pg_transaction_cleaned!$F:$F,"REFUND")</f>
        <v>0</v>
      </c>
      <c r="M423" s="39">
        <f>SUMIFS(pg_transaction_cleaned!$H:$H,pg_transaction_cleaned!$O:$O,A423,pg_transaction_cleaned!$F:$F,"REFUND")</f>
        <v>0</v>
      </c>
      <c r="N423" s="23" t="str">
        <f t="shared" si="26"/>
        <v>OK</v>
      </c>
      <c r="O423" s="24">
        <f t="shared" si="27"/>
        <v>0</v>
      </c>
    </row>
    <row r="424" spans="1:15" ht="15" customHeight="1" x14ac:dyDescent="0.3">
      <c r="A424" s="23" t="s">
        <v>1236</v>
      </c>
      <c r="B424" s="38">
        <v>46277</v>
      </c>
      <c r="C424" s="23" t="s">
        <v>1237</v>
      </c>
      <c r="D424" s="23" t="s">
        <v>88</v>
      </c>
      <c r="E424" s="23" t="s">
        <v>79</v>
      </c>
      <c r="F424" s="23" t="s">
        <v>1238</v>
      </c>
      <c r="G424" s="23" t="s">
        <v>250</v>
      </c>
      <c r="H424" s="39">
        <f t="shared" si="24"/>
        <v>2998</v>
      </c>
      <c r="I424" s="23" t="str">
        <f t="shared" si="25"/>
        <v>Lucknow</v>
      </c>
      <c r="J424" s="23">
        <f>COUNTIFS(pg_transaction_cleaned!$O:$O,A424,pg_transaction_cleaned!$F:$F,"CAPTURE")</f>
        <v>1</v>
      </c>
      <c r="K424" s="39">
        <f>SUMIFS(pg_transaction_cleaned!$H:$H,pg_transaction_cleaned!$O:$O,A424,pg_transaction_cleaned!$F:$F,"CAPTURE")</f>
        <v>2998</v>
      </c>
      <c r="L424" s="23">
        <f>COUNTIFS(pg_transaction_cleaned!$O:$O,A424,pg_transaction_cleaned!$F:$F,"REFUND")</f>
        <v>0</v>
      </c>
      <c r="M424" s="39">
        <f>SUMIFS(pg_transaction_cleaned!$H:$H,pg_transaction_cleaned!$O:$O,A424,pg_transaction_cleaned!$F:$F,"REFUND")</f>
        <v>0</v>
      </c>
      <c r="N424" s="23" t="str">
        <f t="shared" si="26"/>
        <v>OK</v>
      </c>
      <c r="O424" s="24">
        <f t="shared" si="27"/>
        <v>0</v>
      </c>
    </row>
    <row r="425" spans="1:15" ht="15" customHeight="1" x14ac:dyDescent="0.3">
      <c r="A425" s="23" t="s">
        <v>1239</v>
      </c>
      <c r="B425" s="38">
        <v>46284</v>
      </c>
      <c r="C425" s="23" t="s">
        <v>1240</v>
      </c>
      <c r="D425" s="23" t="s">
        <v>91</v>
      </c>
      <c r="E425" s="23" t="s">
        <v>75</v>
      </c>
      <c r="F425" s="23" t="s">
        <v>396</v>
      </c>
      <c r="G425" s="23" t="s">
        <v>250</v>
      </c>
      <c r="H425" s="39">
        <f t="shared" si="24"/>
        <v>2999</v>
      </c>
      <c r="I425" s="23" t="str">
        <f t="shared" si="25"/>
        <v>Pune</v>
      </c>
      <c r="J425" s="23">
        <f>COUNTIFS(pg_transaction_cleaned!$O:$O,A425,pg_transaction_cleaned!$F:$F,"CAPTURE")</f>
        <v>1</v>
      </c>
      <c r="K425" s="39">
        <f>SUMIFS(pg_transaction_cleaned!$H:$H,pg_transaction_cleaned!$O:$O,A425,pg_transaction_cleaned!$F:$F,"CAPTURE")</f>
        <v>2999</v>
      </c>
      <c r="L425" s="23">
        <f>COUNTIFS(pg_transaction_cleaned!$O:$O,A425,pg_transaction_cleaned!$F:$F,"REFUND")</f>
        <v>0</v>
      </c>
      <c r="M425" s="39">
        <f>SUMIFS(pg_transaction_cleaned!$H:$H,pg_transaction_cleaned!$O:$O,A425,pg_transaction_cleaned!$F:$F,"REFUND")</f>
        <v>0</v>
      </c>
      <c r="N425" s="23" t="str">
        <f t="shared" si="26"/>
        <v>OK</v>
      </c>
      <c r="O425" s="24">
        <f t="shared" si="27"/>
        <v>0</v>
      </c>
    </row>
    <row r="426" spans="1:15" ht="15" customHeight="1" x14ac:dyDescent="0.3">
      <c r="A426" s="23" t="s">
        <v>1241</v>
      </c>
      <c r="B426" s="38">
        <v>46271</v>
      </c>
      <c r="C426" s="23" t="s">
        <v>1242</v>
      </c>
      <c r="D426" s="23" t="s">
        <v>86</v>
      </c>
      <c r="E426" s="23" t="s">
        <v>75</v>
      </c>
      <c r="F426" s="23" t="s">
        <v>291</v>
      </c>
      <c r="G426" s="23" t="s">
        <v>250</v>
      </c>
      <c r="H426" s="39">
        <f t="shared" si="24"/>
        <v>3499</v>
      </c>
      <c r="I426" s="23" t="str">
        <f t="shared" si="25"/>
        <v>Delhi</v>
      </c>
      <c r="J426" s="23">
        <f>COUNTIFS(pg_transaction_cleaned!$O:$O,A426,pg_transaction_cleaned!$F:$F,"CAPTURE")</f>
        <v>1</v>
      </c>
      <c r="K426" s="39">
        <f>SUMIFS(pg_transaction_cleaned!$H:$H,pg_transaction_cleaned!$O:$O,A426,pg_transaction_cleaned!$F:$F,"CAPTURE")</f>
        <v>3499</v>
      </c>
      <c r="L426" s="23">
        <f>COUNTIFS(pg_transaction_cleaned!$O:$O,A426,pg_transaction_cleaned!$F:$F,"REFUND")</f>
        <v>0</v>
      </c>
      <c r="M426" s="39">
        <f>SUMIFS(pg_transaction_cleaned!$H:$H,pg_transaction_cleaned!$O:$O,A426,pg_transaction_cleaned!$F:$F,"REFUND")</f>
        <v>0</v>
      </c>
      <c r="N426" s="23" t="str">
        <f t="shared" si="26"/>
        <v>OK</v>
      </c>
      <c r="O426" s="24">
        <f t="shared" si="27"/>
        <v>0</v>
      </c>
    </row>
    <row r="427" spans="1:15" ht="15" customHeight="1" x14ac:dyDescent="0.3">
      <c r="A427" s="23" t="s">
        <v>1243</v>
      </c>
      <c r="B427" s="38">
        <v>46284</v>
      </c>
      <c r="C427" s="23" t="s">
        <v>1244</v>
      </c>
      <c r="D427" s="23" t="s">
        <v>86</v>
      </c>
      <c r="E427" s="23" t="s">
        <v>75</v>
      </c>
      <c r="F427" s="23" t="s">
        <v>349</v>
      </c>
      <c r="G427" s="23" t="s">
        <v>250</v>
      </c>
      <c r="H427" s="39">
        <f t="shared" si="24"/>
        <v>1798</v>
      </c>
      <c r="I427" s="23" t="str">
        <f t="shared" si="25"/>
        <v>Delhi</v>
      </c>
      <c r="J427" s="23">
        <f>COUNTIFS(pg_transaction_cleaned!$O:$O,A427,pg_transaction_cleaned!$F:$F,"CAPTURE")</f>
        <v>1</v>
      </c>
      <c r="K427" s="39">
        <f>SUMIFS(pg_transaction_cleaned!$H:$H,pg_transaction_cleaned!$O:$O,A427,pg_transaction_cleaned!$F:$F,"CAPTURE")</f>
        <v>1798</v>
      </c>
      <c r="L427" s="23">
        <f>COUNTIFS(pg_transaction_cleaned!$O:$O,A427,pg_transaction_cleaned!$F:$F,"REFUND")</f>
        <v>0</v>
      </c>
      <c r="M427" s="39">
        <f>SUMIFS(pg_transaction_cleaned!$H:$H,pg_transaction_cleaned!$O:$O,A427,pg_transaction_cleaned!$F:$F,"REFUND")</f>
        <v>0</v>
      </c>
      <c r="N427" s="23" t="str">
        <f t="shared" si="26"/>
        <v>OK</v>
      </c>
      <c r="O427" s="24">
        <f t="shared" si="27"/>
        <v>0</v>
      </c>
    </row>
    <row r="428" spans="1:15" ht="15" customHeight="1" x14ac:dyDescent="0.3">
      <c r="A428" s="23" t="s">
        <v>1245</v>
      </c>
      <c r="B428" s="38">
        <v>46283</v>
      </c>
      <c r="C428" s="23" t="s">
        <v>1246</v>
      </c>
      <c r="D428" s="23" t="s">
        <v>88</v>
      </c>
      <c r="E428" s="23" t="s">
        <v>75</v>
      </c>
      <c r="F428" s="23" t="s">
        <v>795</v>
      </c>
      <c r="G428" s="23" t="s">
        <v>250</v>
      </c>
      <c r="H428" s="39">
        <f t="shared" si="24"/>
        <v>1499</v>
      </c>
      <c r="I428" s="23" t="str">
        <f t="shared" si="25"/>
        <v>Lucknow</v>
      </c>
      <c r="J428" s="23">
        <f>COUNTIFS(pg_transaction_cleaned!$O:$O,A428,pg_transaction_cleaned!$F:$F,"CAPTURE")</f>
        <v>1</v>
      </c>
      <c r="K428" s="39">
        <f>SUMIFS(pg_transaction_cleaned!$H:$H,pg_transaction_cleaned!$O:$O,A428,pg_transaction_cleaned!$F:$F,"CAPTURE")</f>
        <v>1499</v>
      </c>
      <c r="L428" s="23">
        <f>COUNTIFS(pg_transaction_cleaned!$O:$O,A428,pg_transaction_cleaned!$F:$F,"REFUND")</f>
        <v>0</v>
      </c>
      <c r="M428" s="39">
        <f>SUMIFS(pg_transaction_cleaned!$H:$H,pg_transaction_cleaned!$O:$O,A428,pg_transaction_cleaned!$F:$F,"REFUND")</f>
        <v>0</v>
      </c>
      <c r="N428" s="23" t="str">
        <f t="shared" si="26"/>
        <v>OK</v>
      </c>
      <c r="O428" s="24">
        <f t="shared" si="27"/>
        <v>0</v>
      </c>
    </row>
    <row r="429" spans="1:15" ht="15" customHeight="1" x14ac:dyDescent="0.3">
      <c r="A429" s="23" t="s">
        <v>1247</v>
      </c>
      <c r="B429" s="38">
        <v>46267</v>
      </c>
      <c r="C429" s="23" t="s">
        <v>1248</v>
      </c>
      <c r="D429" s="23" t="s">
        <v>89</v>
      </c>
      <c r="E429" s="23" t="s">
        <v>75</v>
      </c>
      <c r="F429" s="23" t="s">
        <v>249</v>
      </c>
      <c r="G429" s="23" t="s">
        <v>250</v>
      </c>
      <c r="H429" s="39">
        <f t="shared" si="24"/>
        <v>299</v>
      </c>
      <c r="I429" s="23" t="str">
        <f t="shared" si="25"/>
        <v>Jaipur</v>
      </c>
      <c r="J429" s="23">
        <f>COUNTIFS(pg_transaction_cleaned!$O:$O,A429,pg_transaction_cleaned!$F:$F,"CAPTURE")</f>
        <v>1</v>
      </c>
      <c r="K429" s="39">
        <f>SUMIFS(pg_transaction_cleaned!$H:$H,pg_transaction_cleaned!$O:$O,A429,pg_transaction_cleaned!$F:$F,"CAPTURE")</f>
        <v>299</v>
      </c>
      <c r="L429" s="23">
        <f>COUNTIFS(pg_transaction_cleaned!$O:$O,A429,pg_transaction_cleaned!$F:$F,"REFUND")</f>
        <v>0</v>
      </c>
      <c r="M429" s="39">
        <f>SUMIFS(pg_transaction_cleaned!$H:$H,pg_transaction_cleaned!$O:$O,A429,pg_transaction_cleaned!$F:$F,"REFUND")</f>
        <v>0</v>
      </c>
      <c r="N429" s="23" t="str">
        <f t="shared" si="26"/>
        <v>OK</v>
      </c>
      <c r="O429" s="24">
        <f t="shared" si="27"/>
        <v>0</v>
      </c>
    </row>
    <row r="430" spans="1:15" ht="15" customHeight="1" x14ac:dyDescent="0.3">
      <c r="A430" s="23" t="s">
        <v>1249</v>
      </c>
      <c r="B430" s="38">
        <v>46282</v>
      </c>
      <c r="C430" s="23" t="s">
        <v>1250</v>
      </c>
      <c r="D430" s="23" t="s">
        <v>90</v>
      </c>
      <c r="E430" s="23" t="s">
        <v>79</v>
      </c>
      <c r="F430" s="23" t="s">
        <v>280</v>
      </c>
      <c r="G430" s="23" t="s">
        <v>250</v>
      </c>
      <c r="H430" s="39">
        <f t="shared" si="24"/>
        <v>5797</v>
      </c>
      <c r="I430" s="23" t="str">
        <f t="shared" si="25"/>
        <v>Ahmedabad</v>
      </c>
      <c r="J430" s="23">
        <f>COUNTIFS(pg_transaction_cleaned!$O:$O,A430,pg_transaction_cleaned!$F:$F,"CAPTURE")</f>
        <v>1</v>
      </c>
      <c r="K430" s="39">
        <f>SUMIFS(pg_transaction_cleaned!$H:$H,pg_transaction_cleaned!$O:$O,A430,pg_transaction_cleaned!$F:$F,"CAPTURE")</f>
        <v>5797</v>
      </c>
      <c r="L430" s="23">
        <f>COUNTIFS(pg_transaction_cleaned!$O:$O,A430,pg_transaction_cleaned!$F:$F,"REFUND")</f>
        <v>0</v>
      </c>
      <c r="M430" s="39">
        <f>SUMIFS(pg_transaction_cleaned!$H:$H,pg_transaction_cleaned!$O:$O,A430,pg_transaction_cleaned!$F:$F,"REFUND")</f>
        <v>0</v>
      </c>
      <c r="N430" s="23" t="str">
        <f t="shared" si="26"/>
        <v>OK</v>
      </c>
      <c r="O430" s="24">
        <f t="shared" si="27"/>
        <v>0</v>
      </c>
    </row>
    <row r="431" spans="1:15" ht="15" customHeight="1" x14ac:dyDescent="0.3">
      <c r="A431" s="23" t="s">
        <v>1251</v>
      </c>
      <c r="B431" s="38">
        <v>46271</v>
      </c>
      <c r="C431" s="23" t="s">
        <v>1252</v>
      </c>
      <c r="D431" s="23" t="s">
        <v>87</v>
      </c>
      <c r="E431" s="23" t="s">
        <v>79</v>
      </c>
      <c r="F431" s="23" t="s">
        <v>271</v>
      </c>
      <c r="G431" s="23" t="s">
        <v>250</v>
      </c>
      <c r="H431" s="39">
        <f t="shared" si="24"/>
        <v>2499</v>
      </c>
      <c r="I431" s="23" t="str">
        <f t="shared" si="25"/>
        <v>Mumbai</v>
      </c>
      <c r="J431" s="23">
        <f>COUNTIFS(pg_transaction_cleaned!$O:$O,A431,pg_transaction_cleaned!$F:$F,"CAPTURE")</f>
        <v>1</v>
      </c>
      <c r="K431" s="39">
        <f>SUMIFS(pg_transaction_cleaned!$H:$H,pg_transaction_cleaned!$O:$O,A431,pg_transaction_cleaned!$F:$F,"CAPTURE")</f>
        <v>2499</v>
      </c>
      <c r="L431" s="23">
        <f>COUNTIFS(pg_transaction_cleaned!$O:$O,A431,pg_transaction_cleaned!$F:$F,"REFUND")</f>
        <v>0</v>
      </c>
      <c r="M431" s="39">
        <f>SUMIFS(pg_transaction_cleaned!$H:$H,pg_transaction_cleaned!$O:$O,A431,pg_transaction_cleaned!$F:$F,"REFUND")</f>
        <v>0</v>
      </c>
      <c r="N431" s="23" t="str">
        <f t="shared" si="26"/>
        <v>OK</v>
      </c>
      <c r="O431" s="24">
        <f t="shared" si="27"/>
        <v>0</v>
      </c>
    </row>
    <row r="432" spans="1:15" ht="15" customHeight="1" x14ac:dyDescent="0.3">
      <c r="A432" s="23" t="s">
        <v>1253</v>
      </c>
      <c r="B432" s="38">
        <v>46274</v>
      </c>
      <c r="C432" s="23" t="s">
        <v>1254</v>
      </c>
      <c r="D432" s="23" t="s">
        <v>90</v>
      </c>
      <c r="E432" s="23" t="s">
        <v>79</v>
      </c>
      <c r="F432" s="23" t="s">
        <v>294</v>
      </c>
      <c r="G432" s="23" t="s">
        <v>250</v>
      </c>
      <c r="H432" s="39">
        <f t="shared" si="24"/>
        <v>1799</v>
      </c>
      <c r="I432" s="23" t="str">
        <f t="shared" si="25"/>
        <v>Ahmedabad</v>
      </c>
      <c r="J432" s="23">
        <f>COUNTIFS(pg_transaction_cleaned!$O:$O,A432,pg_transaction_cleaned!$F:$F,"CAPTURE")</f>
        <v>1</v>
      </c>
      <c r="K432" s="39">
        <f>SUMIFS(pg_transaction_cleaned!$H:$H,pg_transaction_cleaned!$O:$O,A432,pg_transaction_cleaned!$F:$F,"CAPTURE")</f>
        <v>1799</v>
      </c>
      <c r="L432" s="23">
        <f>COUNTIFS(pg_transaction_cleaned!$O:$O,A432,pg_transaction_cleaned!$F:$F,"REFUND")</f>
        <v>0</v>
      </c>
      <c r="M432" s="39">
        <f>SUMIFS(pg_transaction_cleaned!$H:$H,pg_transaction_cleaned!$O:$O,A432,pg_transaction_cleaned!$F:$F,"REFUND")</f>
        <v>0</v>
      </c>
      <c r="N432" s="23" t="str">
        <f t="shared" si="26"/>
        <v>OK</v>
      </c>
      <c r="O432" s="24">
        <f t="shared" si="27"/>
        <v>0</v>
      </c>
    </row>
    <row r="433" spans="1:15" ht="15" customHeight="1" x14ac:dyDescent="0.3">
      <c r="A433" s="23" t="s">
        <v>1255</v>
      </c>
      <c r="B433" s="38">
        <v>46283</v>
      </c>
      <c r="C433" s="23" t="s">
        <v>1256</v>
      </c>
      <c r="D433" s="23" t="s">
        <v>89</v>
      </c>
      <c r="E433" s="23" t="s">
        <v>79</v>
      </c>
      <c r="F433" s="23" t="s">
        <v>378</v>
      </c>
      <c r="G433" s="23" t="s">
        <v>250</v>
      </c>
      <c r="H433" s="39">
        <f t="shared" si="24"/>
        <v>2848</v>
      </c>
      <c r="I433" s="23" t="str">
        <f t="shared" si="25"/>
        <v>Jaipur</v>
      </c>
      <c r="J433" s="23">
        <f>COUNTIFS(pg_transaction_cleaned!$O:$O,A433,pg_transaction_cleaned!$F:$F,"CAPTURE")</f>
        <v>1</v>
      </c>
      <c r="K433" s="39">
        <f>SUMIFS(pg_transaction_cleaned!$H:$H,pg_transaction_cleaned!$O:$O,A433,pg_transaction_cleaned!$F:$F,"CAPTURE")</f>
        <v>2848</v>
      </c>
      <c r="L433" s="23">
        <f>COUNTIFS(pg_transaction_cleaned!$O:$O,A433,pg_transaction_cleaned!$F:$F,"REFUND")</f>
        <v>0</v>
      </c>
      <c r="M433" s="39">
        <f>SUMIFS(pg_transaction_cleaned!$H:$H,pg_transaction_cleaned!$O:$O,A433,pg_transaction_cleaned!$F:$F,"REFUND")</f>
        <v>0</v>
      </c>
      <c r="N433" s="23" t="str">
        <f t="shared" si="26"/>
        <v>OK</v>
      </c>
      <c r="O433" s="24">
        <f t="shared" si="27"/>
        <v>0</v>
      </c>
    </row>
    <row r="434" spans="1:15" ht="15" customHeight="1" x14ac:dyDescent="0.3">
      <c r="A434" s="23" t="s">
        <v>1257</v>
      </c>
      <c r="B434" s="38">
        <v>46292</v>
      </c>
      <c r="C434" s="23" t="s">
        <v>1258</v>
      </c>
      <c r="D434" s="23" t="s">
        <v>91</v>
      </c>
      <c r="E434" s="23" t="s">
        <v>75</v>
      </c>
      <c r="F434" s="23" t="s">
        <v>297</v>
      </c>
      <c r="G434" s="23" t="s">
        <v>250</v>
      </c>
      <c r="H434" s="39">
        <f t="shared" si="24"/>
        <v>4999</v>
      </c>
      <c r="I434" s="23" t="str">
        <f t="shared" si="25"/>
        <v>Pune</v>
      </c>
      <c r="J434" s="23">
        <f>COUNTIFS(pg_transaction_cleaned!$O:$O,A434,pg_transaction_cleaned!$F:$F,"CAPTURE")</f>
        <v>1</v>
      </c>
      <c r="K434" s="39">
        <f>SUMIFS(pg_transaction_cleaned!$H:$H,pg_transaction_cleaned!$O:$O,A434,pg_transaction_cleaned!$F:$F,"CAPTURE")</f>
        <v>4999</v>
      </c>
      <c r="L434" s="23">
        <f>COUNTIFS(pg_transaction_cleaned!$O:$O,A434,pg_transaction_cleaned!$F:$F,"REFUND")</f>
        <v>0</v>
      </c>
      <c r="M434" s="39">
        <f>SUMIFS(pg_transaction_cleaned!$H:$H,pg_transaction_cleaned!$O:$O,A434,pg_transaction_cleaned!$F:$F,"REFUND")</f>
        <v>0</v>
      </c>
      <c r="N434" s="23" t="str">
        <f t="shared" si="26"/>
        <v>OK</v>
      </c>
      <c r="O434" s="24">
        <f t="shared" si="27"/>
        <v>0</v>
      </c>
    </row>
    <row r="435" spans="1:15" ht="15" customHeight="1" x14ac:dyDescent="0.3">
      <c r="A435" s="23" t="s">
        <v>1259</v>
      </c>
      <c r="B435" s="38">
        <v>46289</v>
      </c>
      <c r="C435" s="23" t="s">
        <v>1260</v>
      </c>
      <c r="D435" s="23" t="s">
        <v>94</v>
      </c>
      <c r="E435" s="23" t="s">
        <v>75</v>
      </c>
      <c r="F435" s="23" t="s">
        <v>564</v>
      </c>
      <c r="G435" s="23" t="s">
        <v>250</v>
      </c>
      <c r="H435" s="39">
        <f t="shared" si="24"/>
        <v>6397</v>
      </c>
      <c r="I435" s="23" t="str">
        <f t="shared" si="25"/>
        <v>Chennai</v>
      </c>
      <c r="J435" s="23">
        <f>COUNTIFS(pg_transaction_cleaned!$O:$O,A435,pg_transaction_cleaned!$F:$F,"CAPTURE")</f>
        <v>1</v>
      </c>
      <c r="K435" s="39">
        <f>SUMIFS(pg_transaction_cleaned!$H:$H,pg_transaction_cleaned!$O:$O,A435,pg_transaction_cleaned!$F:$F,"CAPTURE")</f>
        <v>6397</v>
      </c>
      <c r="L435" s="23">
        <f>COUNTIFS(pg_transaction_cleaned!$O:$O,A435,pg_transaction_cleaned!$F:$F,"REFUND")</f>
        <v>0</v>
      </c>
      <c r="M435" s="39">
        <f>SUMIFS(pg_transaction_cleaned!$H:$H,pg_transaction_cleaned!$O:$O,A435,pg_transaction_cleaned!$F:$F,"REFUND")</f>
        <v>0</v>
      </c>
      <c r="N435" s="23" t="str">
        <f t="shared" si="26"/>
        <v>OK</v>
      </c>
      <c r="O435" s="24">
        <f t="shared" si="27"/>
        <v>0</v>
      </c>
    </row>
    <row r="436" spans="1:15" ht="15" customHeight="1" x14ac:dyDescent="0.3">
      <c r="A436" s="23" t="s">
        <v>1261</v>
      </c>
      <c r="B436" s="38">
        <v>46293</v>
      </c>
      <c r="C436" s="23" t="s">
        <v>1262</v>
      </c>
      <c r="D436" s="23" t="s">
        <v>95</v>
      </c>
      <c r="E436" s="23" t="s">
        <v>75</v>
      </c>
      <c r="F436" s="23" t="s">
        <v>315</v>
      </c>
      <c r="G436" s="23" t="s">
        <v>250</v>
      </c>
      <c r="H436" s="39">
        <f t="shared" si="24"/>
        <v>1499</v>
      </c>
      <c r="I436" s="23" t="str">
        <f t="shared" si="25"/>
        <v>Bengaluru</v>
      </c>
      <c r="J436" s="23">
        <f>COUNTIFS(pg_transaction_cleaned!$O:$O,A436,pg_transaction_cleaned!$F:$F,"CAPTURE")</f>
        <v>1</v>
      </c>
      <c r="K436" s="39">
        <f>SUMIFS(pg_transaction_cleaned!$H:$H,pg_transaction_cleaned!$O:$O,A436,pg_transaction_cleaned!$F:$F,"CAPTURE")</f>
        <v>1499</v>
      </c>
      <c r="L436" s="23">
        <f>COUNTIFS(pg_transaction_cleaned!$O:$O,A436,pg_transaction_cleaned!$F:$F,"REFUND")</f>
        <v>0</v>
      </c>
      <c r="M436" s="39">
        <f>SUMIFS(pg_transaction_cleaned!$H:$H,pg_transaction_cleaned!$O:$O,A436,pg_transaction_cleaned!$F:$F,"REFUND")</f>
        <v>0</v>
      </c>
      <c r="N436" s="23" t="str">
        <f t="shared" si="26"/>
        <v>OK</v>
      </c>
      <c r="O436" s="24">
        <f t="shared" si="27"/>
        <v>0</v>
      </c>
    </row>
    <row r="437" spans="1:15" ht="15" customHeight="1" x14ac:dyDescent="0.3">
      <c r="A437" s="23" t="s">
        <v>1263</v>
      </c>
      <c r="B437" s="38">
        <v>46291</v>
      </c>
      <c r="C437" s="23" t="s">
        <v>1264</v>
      </c>
      <c r="D437" s="23" t="s">
        <v>86</v>
      </c>
      <c r="E437" s="23" t="s">
        <v>79</v>
      </c>
      <c r="F437" s="23" t="s">
        <v>1265</v>
      </c>
      <c r="G437" s="23" t="s">
        <v>250</v>
      </c>
      <c r="H437" s="39">
        <f t="shared" si="24"/>
        <v>6997</v>
      </c>
      <c r="I437" s="23" t="str">
        <f t="shared" si="25"/>
        <v>Delhi</v>
      </c>
      <c r="J437" s="23">
        <f>COUNTIFS(pg_transaction_cleaned!$O:$O,A437,pg_transaction_cleaned!$F:$F,"CAPTURE")</f>
        <v>1</v>
      </c>
      <c r="K437" s="39">
        <f>SUMIFS(pg_transaction_cleaned!$H:$H,pg_transaction_cleaned!$O:$O,A437,pg_transaction_cleaned!$F:$F,"CAPTURE")</f>
        <v>6997</v>
      </c>
      <c r="L437" s="23">
        <f>COUNTIFS(pg_transaction_cleaned!$O:$O,A437,pg_transaction_cleaned!$F:$F,"REFUND")</f>
        <v>0</v>
      </c>
      <c r="M437" s="39">
        <f>SUMIFS(pg_transaction_cleaned!$H:$H,pg_transaction_cleaned!$O:$O,A437,pg_transaction_cleaned!$F:$F,"REFUND")</f>
        <v>0</v>
      </c>
      <c r="N437" s="23" t="str">
        <f t="shared" si="26"/>
        <v>OK</v>
      </c>
      <c r="O437" s="24">
        <f t="shared" si="27"/>
        <v>0</v>
      </c>
    </row>
    <row r="438" spans="1:15" ht="15" customHeight="1" x14ac:dyDescent="0.3">
      <c r="A438" s="23" t="s">
        <v>1266</v>
      </c>
      <c r="B438" s="38">
        <v>46285</v>
      </c>
      <c r="C438" s="23" t="s">
        <v>1267</v>
      </c>
      <c r="D438" s="23" t="s">
        <v>88</v>
      </c>
      <c r="E438" s="23" t="s">
        <v>75</v>
      </c>
      <c r="F438" s="23" t="s">
        <v>297</v>
      </c>
      <c r="G438" s="23" t="s">
        <v>250</v>
      </c>
      <c r="H438" s="39">
        <f t="shared" si="24"/>
        <v>4999</v>
      </c>
      <c r="I438" s="23" t="str">
        <f t="shared" si="25"/>
        <v>Lucknow</v>
      </c>
      <c r="J438" s="23">
        <f>COUNTIFS(pg_transaction_cleaned!$O:$O,A438,pg_transaction_cleaned!$F:$F,"CAPTURE")</f>
        <v>1</v>
      </c>
      <c r="K438" s="39">
        <f>SUMIFS(pg_transaction_cleaned!$H:$H,pg_transaction_cleaned!$O:$O,A438,pg_transaction_cleaned!$F:$F,"CAPTURE")</f>
        <v>4999</v>
      </c>
      <c r="L438" s="23">
        <f>COUNTIFS(pg_transaction_cleaned!$O:$O,A438,pg_transaction_cleaned!$F:$F,"REFUND")</f>
        <v>0</v>
      </c>
      <c r="M438" s="39">
        <f>SUMIFS(pg_transaction_cleaned!$H:$H,pg_transaction_cleaned!$O:$O,A438,pg_transaction_cleaned!$F:$F,"REFUND")</f>
        <v>0</v>
      </c>
      <c r="N438" s="23" t="str">
        <f t="shared" si="26"/>
        <v>OK</v>
      </c>
      <c r="O438" s="24">
        <f t="shared" si="27"/>
        <v>0</v>
      </c>
    </row>
    <row r="439" spans="1:15" ht="15" customHeight="1" x14ac:dyDescent="0.3">
      <c r="A439" s="23" t="s">
        <v>1268</v>
      </c>
      <c r="B439" s="38">
        <v>46277</v>
      </c>
      <c r="C439" s="23" t="s">
        <v>1269</v>
      </c>
      <c r="D439" s="23" t="s">
        <v>92</v>
      </c>
      <c r="E439" s="23" t="s">
        <v>75</v>
      </c>
      <c r="F439" s="23" t="s">
        <v>259</v>
      </c>
      <c r="G439" s="23" t="s">
        <v>250</v>
      </c>
      <c r="H439" s="39">
        <f t="shared" si="24"/>
        <v>3298</v>
      </c>
      <c r="I439" s="23" t="str">
        <f t="shared" si="25"/>
        <v>Hyderabad</v>
      </c>
      <c r="J439" s="23">
        <f>COUNTIFS(pg_transaction_cleaned!$O:$O,A439,pg_transaction_cleaned!$F:$F,"CAPTURE")</f>
        <v>1</v>
      </c>
      <c r="K439" s="39">
        <f>SUMIFS(pg_transaction_cleaned!$H:$H,pg_transaction_cleaned!$O:$O,A439,pg_transaction_cleaned!$F:$F,"CAPTURE")</f>
        <v>3298</v>
      </c>
      <c r="L439" s="23">
        <f>COUNTIFS(pg_transaction_cleaned!$O:$O,A439,pg_transaction_cleaned!$F:$F,"REFUND")</f>
        <v>0</v>
      </c>
      <c r="M439" s="39">
        <f>SUMIFS(pg_transaction_cleaned!$H:$H,pg_transaction_cleaned!$O:$O,A439,pg_transaction_cleaned!$F:$F,"REFUND")</f>
        <v>0</v>
      </c>
      <c r="N439" s="23" t="str">
        <f t="shared" si="26"/>
        <v>OK</v>
      </c>
      <c r="O439" s="24">
        <f t="shared" si="27"/>
        <v>0</v>
      </c>
    </row>
    <row r="440" spans="1:15" ht="15" customHeight="1" x14ac:dyDescent="0.3">
      <c r="A440" s="23" t="s">
        <v>1270</v>
      </c>
      <c r="B440" s="38">
        <v>46284</v>
      </c>
      <c r="C440" s="23" t="s">
        <v>1271</v>
      </c>
      <c r="D440" s="23" t="s">
        <v>86</v>
      </c>
      <c r="E440" s="23" t="s">
        <v>77</v>
      </c>
      <c r="F440" s="23" t="s">
        <v>310</v>
      </c>
      <c r="G440" s="23" t="s">
        <v>250</v>
      </c>
      <c r="H440" s="39">
        <f t="shared" si="24"/>
        <v>7999</v>
      </c>
      <c r="I440" s="23" t="str">
        <f t="shared" si="25"/>
        <v>Delhi</v>
      </c>
      <c r="J440" s="23">
        <f>COUNTIFS(pg_transaction_cleaned!$O:$O,A440,pg_transaction_cleaned!$F:$F,"CAPTURE")</f>
        <v>1</v>
      </c>
      <c r="K440" s="39">
        <f>SUMIFS(pg_transaction_cleaned!$H:$H,pg_transaction_cleaned!$O:$O,A440,pg_transaction_cleaned!$F:$F,"CAPTURE")</f>
        <v>7999</v>
      </c>
      <c r="L440" s="23">
        <f>COUNTIFS(pg_transaction_cleaned!$O:$O,A440,pg_transaction_cleaned!$F:$F,"REFUND")</f>
        <v>0</v>
      </c>
      <c r="M440" s="39">
        <f>SUMIFS(pg_transaction_cleaned!$H:$H,pg_transaction_cleaned!$O:$O,A440,pg_transaction_cleaned!$F:$F,"REFUND")</f>
        <v>0</v>
      </c>
      <c r="N440" s="23" t="str">
        <f t="shared" si="26"/>
        <v>OK</v>
      </c>
      <c r="O440" s="24">
        <f t="shared" si="27"/>
        <v>0</v>
      </c>
    </row>
    <row r="441" spans="1:15" ht="15" customHeight="1" x14ac:dyDescent="0.3">
      <c r="A441" s="23" t="s">
        <v>1272</v>
      </c>
      <c r="B441" s="38">
        <v>46290</v>
      </c>
      <c r="C441" s="23" t="s">
        <v>1273</v>
      </c>
      <c r="D441" s="23" t="s">
        <v>95</v>
      </c>
      <c r="E441" s="23" t="s">
        <v>75</v>
      </c>
      <c r="F441" s="23" t="s">
        <v>451</v>
      </c>
      <c r="G441" s="23" t="s">
        <v>250</v>
      </c>
      <c r="H441" s="39">
        <f t="shared" si="24"/>
        <v>1098</v>
      </c>
      <c r="I441" s="23" t="str">
        <f t="shared" si="25"/>
        <v>Bengaluru</v>
      </c>
      <c r="J441" s="23">
        <f>COUNTIFS(pg_transaction_cleaned!$O:$O,A441,pg_transaction_cleaned!$F:$F,"CAPTURE")</f>
        <v>1</v>
      </c>
      <c r="K441" s="39">
        <f>SUMIFS(pg_transaction_cleaned!$H:$H,pg_transaction_cleaned!$O:$O,A441,pg_transaction_cleaned!$F:$F,"CAPTURE")</f>
        <v>1098</v>
      </c>
      <c r="L441" s="23">
        <f>COUNTIFS(pg_transaction_cleaned!$O:$O,A441,pg_transaction_cleaned!$F:$F,"REFUND")</f>
        <v>0</v>
      </c>
      <c r="M441" s="39">
        <f>SUMIFS(pg_transaction_cleaned!$H:$H,pg_transaction_cleaned!$O:$O,A441,pg_transaction_cleaned!$F:$F,"REFUND")</f>
        <v>0</v>
      </c>
      <c r="N441" s="23" t="str">
        <f t="shared" si="26"/>
        <v>OK</v>
      </c>
      <c r="O441" s="24">
        <f t="shared" si="27"/>
        <v>0</v>
      </c>
    </row>
    <row r="442" spans="1:15" ht="15" customHeight="1" x14ac:dyDescent="0.3">
      <c r="A442" s="23" t="s">
        <v>1274</v>
      </c>
      <c r="B442" s="38">
        <v>46270</v>
      </c>
      <c r="C442" s="23" t="s">
        <v>1275</v>
      </c>
      <c r="D442" s="23" t="s">
        <v>86</v>
      </c>
      <c r="E442" s="23" t="s">
        <v>79</v>
      </c>
      <c r="F442" s="23" t="s">
        <v>1085</v>
      </c>
      <c r="G442" s="23" t="s">
        <v>250</v>
      </c>
      <c r="H442" s="39">
        <f t="shared" si="24"/>
        <v>9597</v>
      </c>
      <c r="I442" s="23" t="str">
        <f t="shared" si="25"/>
        <v>Delhi</v>
      </c>
      <c r="J442" s="23">
        <f>COUNTIFS(pg_transaction_cleaned!$O:$O,A442,pg_transaction_cleaned!$F:$F,"CAPTURE")</f>
        <v>1</v>
      </c>
      <c r="K442" s="39">
        <f>SUMIFS(pg_transaction_cleaned!$H:$H,pg_transaction_cleaned!$O:$O,A442,pg_transaction_cleaned!$F:$F,"CAPTURE")</f>
        <v>9597</v>
      </c>
      <c r="L442" s="23">
        <f>COUNTIFS(pg_transaction_cleaned!$O:$O,A442,pg_transaction_cleaned!$F:$F,"REFUND")</f>
        <v>0</v>
      </c>
      <c r="M442" s="39">
        <f>SUMIFS(pg_transaction_cleaned!$H:$H,pg_transaction_cleaned!$O:$O,A442,pg_transaction_cleaned!$F:$F,"REFUND")</f>
        <v>0</v>
      </c>
      <c r="N442" s="23" t="str">
        <f t="shared" si="26"/>
        <v>OK</v>
      </c>
      <c r="O442" s="24">
        <f t="shared" si="27"/>
        <v>0</v>
      </c>
    </row>
    <row r="443" spans="1:15" ht="15" customHeight="1" x14ac:dyDescent="0.3">
      <c r="A443" s="23" t="s">
        <v>1276</v>
      </c>
      <c r="B443" s="38">
        <v>46284</v>
      </c>
      <c r="C443" s="23" t="s">
        <v>1277</v>
      </c>
      <c r="D443" s="23" t="s">
        <v>93</v>
      </c>
      <c r="E443" s="23" t="s">
        <v>75</v>
      </c>
      <c r="F443" s="23" t="s">
        <v>680</v>
      </c>
      <c r="G443" s="23" t="s">
        <v>250</v>
      </c>
      <c r="H443" s="39">
        <f t="shared" si="24"/>
        <v>5097</v>
      </c>
      <c r="I443" s="23" t="str">
        <f t="shared" si="25"/>
        <v>Kolkata</v>
      </c>
      <c r="J443" s="23">
        <f>COUNTIFS(pg_transaction_cleaned!$O:$O,A443,pg_transaction_cleaned!$F:$F,"CAPTURE")</f>
        <v>1</v>
      </c>
      <c r="K443" s="39">
        <f>SUMIFS(pg_transaction_cleaned!$H:$H,pg_transaction_cleaned!$O:$O,A443,pg_transaction_cleaned!$F:$F,"CAPTURE")</f>
        <v>5097</v>
      </c>
      <c r="L443" s="23">
        <f>COUNTIFS(pg_transaction_cleaned!$O:$O,A443,pg_transaction_cleaned!$F:$F,"REFUND")</f>
        <v>0</v>
      </c>
      <c r="M443" s="39">
        <f>SUMIFS(pg_transaction_cleaned!$H:$H,pg_transaction_cleaned!$O:$O,A443,pg_transaction_cleaned!$F:$F,"REFUND")</f>
        <v>0</v>
      </c>
      <c r="N443" s="23" t="str">
        <f t="shared" si="26"/>
        <v>OK</v>
      </c>
      <c r="O443" s="24">
        <f t="shared" si="27"/>
        <v>0</v>
      </c>
    </row>
    <row r="444" spans="1:15" ht="15" customHeight="1" x14ac:dyDescent="0.3">
      <c r="A444" s="23" t="s">
        <v>1278</v>
      </c>
      <c r="B444" s="38">
        <v>46282</v>
      </c>
      <c r="C444" s="23" t="s">
        <v>1279</v>
      </c>
      <c r="D444" s="23" t="s">
        <v>87</v>
      </c>
      <c r="E444" s="23" t="s">
        <v>75</v>
      </c>
      <c r="F444" s="23" t="s">
        <v>587</v>
      </c>
      <c r="G444" s="23" t="s">
        <v>250</v>
      </c>
      <c r="H444" s="39">
        <f t="shared" si="24"/>
        <v>5297</v>
      </c>
      <c r="I444" s="23" t="str">
        <f t="shared" si="25"/>
        <v>Mumbai</v>
      </c>
      <c r="J444" s="23">
        <f>COUNTIFS(pg_transaction_cleaned!$O:$O,A444,pg_transaction_cleaned!$F:$F,"CAPTURE")</f>
        <v>1</v>
      </c>
      <c r="K444" s="39">
        <f>SUMIFS(pg_transaction_cleaned!$H:$H,pg_transaction_cleaned!$O:$O,A444,pg_transaction_cleaned!$F:$F,"CAPTURE")</f>
        <v>5297</v>
      </c>
      <c r="L444" s="23">
        <f>COUNTIFS(pg_transaction_cleaned!$O:$O,A444,pg_transaction_cleaned!$F:$F,"REFUND")</f>
        <v>0</v>
      </c>
      <c r="M444" s="39">
        <f>SUMIFS(pg_transaction_cleaned!$H:$H,pg_transaction_cleaned!$O:$O,A444,pg_transaction_cleaned!$F:$F,"REFUND")</f>
        <v>0</v>
      </c>
      <c r="N444" s="23" t="str">
        <f t="shared" si="26"/>
        <v>OK</v>
      </c>
      <c r="O444" s="24">
        <f t="shared" si="27"/>
        <v>0</v>
      </c>
    </row>
    <row r="445" spans="1:15" ht="15" customHeight="1" x14ac:dyDescent="0.3">
      <c r="A445" s="23" t="s">
        <v>1280</v>
      </c>
      <c r="B445" s="38">
        <v>46293</v>
      </c>
      <c r="C445" s="23" t="s">
        <v>1281</v>
      </c>
      <c r="D445" s="23" t="s">
        <v>89</v>
      </c>
      <c r="E445" s="23" t="s">
        <v>79</v>
      </c>
      <c r="F445" s="23" t="s">
        <v>1282</v>
      </c>
      <c r="G445" s="23" t="s">
        <v>250</v>
      </c>
      <c r="H445" s="39">
        <f t="shared" si="24"/>
        <v>5347</v>
      </c>
      <c r="I445" s="23" t="str">
        <f t="shared" si="25"/>
        <v>Jaipur</v>
      </c>
      <c r="J445" s="23">
        <f>COUNTIFS(pg_transaction_cleaned!$O:$O,A445,pg_transaction_cleaned!$F:$F,"CAPTURE")</f>
        <v>1</v>
      </c>
      <c r="K445" s="39">
        <f>SUMIFS(pg_transaction_cleaned!$H:$H,pg_transaction_cleaned!$O:$O,A445,pg_transaction_cleaned!$F:$F,"CAPTURE")</f>
        <v>5347</v>
      </c>
      <c r="L445" s="23">
        <f>COUNTIFS(pg_transaction_cleaned!$O:$O,A445,pg_transaction_cleaned!$F:$F,"REFUND")</f>
        <v>0</v>
      </c>
      <c r="M445" s="39">
        <f>SUMIFS(pg_transaction_cleaned!$H:$H,pg_transaction_cleaned!$O:$O,A445,pg_transaction_cleaned!$F:$F,"REFUND")</f>
        <v>0</v>
      </c>
      <c r="N445" s="23" t="str">
        <f t="shared" si="26"/>
        <v>OK</v>
      </c>
      <c r="O445" s="24">
        <f t="shared" si="27"/>
        <v>0</v>
      </c>
    </row>
    <row r="446" spans="1:15" ht="15" customHeight="1" x14ac:dyDescent="0.3">
      <c r="A446" s="23" t="s">
        <v>1283</v>
      </c>
      <c r="B446" s="38">
        <v>46278</v>
      </c>
      <c r="C446" s="23" t="s">
        <v>1284</v>
      </c>
      <c r="D446" s="23" t="s">
        <v>92</v>
      </c>
      <c r="E446" s="23" t="s">
        <v>75</v>
      </c>
      <c r="F446" s="23" t="s">
        <v>268</v>
      </c>
      <c r="G446" s="23" t="s">
        <v>250</v>
      </c>
      <c r="H446" s="39">
        <f t="shared" si="24"/>
        <v>1299</v>
      </c>
      <c r="I446" s="23" t="str">
        <f t="shared" si="25"/>
        <v>Hyderabad</v>
      </c>
      <c r="J446" s="23">
        <f>COUNTIFS(pg_transaction_cleaned!$O:$O,A446,pg_transaction_cleaned!$F:$F,"CAPTURE")</f>
        <v>1</v>
      </c>
      <c r="K446" s="39">
        <f>SUMIFS(pg_transaction_cleaned!$H:$H,pg_transaction_cleaned!$O:$O,A446,pg_transaction_cleaned!$F:$F,"CAPTURE")</f>
        <v>1299</v>
      </c>
      <c r="L446" s="23">
        <f>COUNTIFS(pg_transaction_cleaned!$O:$O,A446,pg_transaction_cleaned!$F:$F,"REFUND")</f>
        <v>0</v>
      </c>
      <c r="M446" s="39">
        <f>SUMIFS(pg_transaction_cleaned!$H:$H,pg_transaction_cleaned!$O:$O,A446,pg_transaction_cleaned!$F:$F,"REFUND")</f>
        <v>0</v>
      </c>
      <c r="N446" s="23" t="str">
        <f t="shared" si="26"/>
        <v>OK</v>
      </c>
      <c r="O446" s="24">
        <f t="shared" si="27"/>
        <v>0</v>
      </c>
    </row>
    <row r="447" spans="1:15" ht="15" customHeight="1" x14ac:dyDescent="0.3">
      <c r="A447" s="23" t="s">
        <v>1285</v>
      </c>
      <c r="B447" s="38">
        <v>46276</v>
      </c>
      <c r="C447" s="23" t="s">
        <v>1286</v>
      </c>
      <c r="D447" s="23" t="s">
        <v>87</v>
      </c>
      <c r="E447" s="23" t="s">
        <v>75</v>
      </c>
      <c r="F447" s="23" t="s">
        <v>483</v>
      </c>
      <c r="G447" s="23" t="s">
        <v>250</v>
      </c>
      <c r="H447" s="39">
        <f t="shared" si="24"/>
        <v>2998</v>
      </c>
      <c r="I447" s="23" t="str">
        <f t="shared" si="25"/>
        <v>Mumbai</v>
      </c>
      <c r="J447" s="23">
        <f>COUNTIFS(pg_transaction_cleaned!$O:$O,A447,pg_transaction_cleaned!$F:$F,"CAPTURE")</f>
        <v>1</v>
      </c>
      <c r="K447" s="39">
        <f>SUMIFS(pg_transaction_cleaned!$H:$H,pg_transaction_cleaned!$O:$O,A447,pg_transaction_cleaned!$F:$F,"CAPTURE")</f>
        <v>2998</v>
      </c>
      <c r="L447" s="23">
        <f>COUNTIFS(pg_transaction_cleaned!$O:$O,A447,pg_transaction_cleaned!$F:$F,"REFUND")</f>
        <v>0</v>
      </c>
      <c r="M447" s="39">
        <f>SUMIFS(pg_transaction_cleaned!$H:$H,pg_transaction_cleaned!$O:$O,A447,pg_transaction_cleaned!$F:$F,"REFUND")</f>
        <v>0</v>
      </c>
      <c r="N447" s="23" t="str">
        <f t="shared" si="26"/>
        <v>OK</v>
      </c>
      <c r="O447" s="24">
        <f t="shared" si="27"/>
        <v>0</v>
      </c>
    </row>
    <row r="448" spans="1:15" ht="15" customHeight="1" x14ac:dyDescent="0.3">
      <c r="A448" s="23" t="s">
        <v>1287</v>
      </c>
      <c r="B448" s="38">
        <v>46267</v>
      </c>
      <c r="C448" s="23" t="s">
        <v>1288</v>
      </c>
      <c r="D448" s="23" t="s">
        <v>86</v>
      </c>
      <c r="E448" s="23" t="s">
        <v>75</v>
      </c>
      <c r="F448" s="23" t="s">
        <v>396</v>
      </c>
      <c r="G448" s="23" t="s">
        <v>250</v>
      </c>
      <c r="H448" s="39">
        <f t="shared" si="24"/>
        <v>2999</v>
      </c>
      <c r="I448" s="23" t="str">
        <f t="shared" si="25"/>
        <v>Delhi</v>
      </c>
      <c r="J448" s="23">
        <f>COUNTIFS(pg_transaction_cleaned!$O:$O,A448,pg_transaction_cleaned!$F:$F,"CAPTURE")</f>
        <v>1</v>
      </c>
      <c r="K448" s="39">
        <f>SUMIFS(pg_transaction_cleaned!$H:$H,pg_transaction_cleaned!$O:$O,A448,pg_transaction_cleaned!$F:$F,"CAPTURE")</f>
        <v>2999</v>
      </c>
      <c r="L448" s="23">
        <f>COUNTIFS(pg_transaction_cleaned!$O:$O,A448,pg_transaction_cleaned!$F:$F,"REFUND")</f>
        <v>0</v>
      </c>
      <c r="M448" s="39">
        <f>SUMIFS(pg_transaction_cleaned!$H:$H,pg_transaction_cleaned!$O:$O,A448,pg_transaction_cleaned!$F:$F,"REFUND")</f>
        <v>0</v>
      </c>
      <c r="N448" s="23" t="str">
        <f t="shared" si="26"/>
        <v>OK</v>
      </c>
      <c r="O448" s="24">
        <f t="shared" si="27"/>
        <v>0</v>
      </c>
    </row>
    <row r="449" spans="1:15" ht="15" customHeight="1" x14ac:dyDescent="0.3">
      <c r="A449" s="23" t="s">
        <v>1289</v>
      </c>
      <c r="B449" s="38">
        <v>46280</v>
      </c>
      <c r="C449" s="23" t="s">
        <v>1290</v>
      </c>
      <c r="D449" s="23" t="s">
        <v>92</v>
      </c>
      <c r="E449" s="23" t="s">
        <v>79</v>
      </c>
      <c r="F449" s="23" t="s">
        <v>357</v>
      </c>
      <c r="G449" s="23" t="s">
        <v>250</v>
      </c>
      <c r="H449" s="39">
        <f t="shared" si="24"/>
        <v>1598</v>
      </c>
      <c r="I449" s="23" t="str">
        <f t="shared" si="25"/>
        <v>Hyderabad</v>
      </c>
      <c r="J449" s="23">
        <f>COUNTIFS(pg_transaction_cleaned!$O:$O,A449,pg_transaction_cleaned!$F:$F,"CAPTURE")</f>
        <v>1</v>
      </c>
      <c r="K449" s="39">
        <f>SUMIFS(pg_transaction_cleaned!$H:$H,pg_transaction_cleaned!$O:$O,A449,pg_transaction_cleaned!$F:$F,"CAPTURE")</f>
        <v>1598</v>
      </c>
      <c r="L449" s="23">
        <f>COUNTIFS(pg_transaction_cleaned!$O:$O,A449,pg_transaction_cleaned!$F:$F,"REFUND")</f>
        <v>0</v>
      </c>
      <c r="M449" s="39">
        <f>SUMIFS(pg_transaction_cleaned!$H:$H,pg_transaction_cleaned!$O:$O,A449,pg_transaction_cleaned!$F:$F,"REFUND")</f>
        <v>0</v>
      </c>
      <c r="N449" s="23" t="str">
        <f t="shared" si="26"/>
        <v>OK</v>
      </c>
      <c r="O449" s="24">
        <f t="shared" si="27"/>
        <v>0</v>
      </c>
    </row>
    <row r="450" spans="1:15" ht="15" customHeight="1" x14ac:dyDescent="0.3">
      <c r="A450" s="23" t="s">
        <v>1291</v>
      </c>
      <c r="B450" s="38">
        <v>46271</v>
      </c>
      <c r="C450" s="23" t="s">
        <v>1292</v>
      </c>
      <c r="D450" s="23" t="s">
        <v>86</v>
      </c>
      <c r="E450" s="23" t="s">
        <v>75</v>
      </c>
      <c r="F450" s="23" t="s">
        <v>274</v>
      </c>
      <c r="G450" s="23" t="s">
        <v>250</v>
      </c>
      <c r="H450" s="39">
        <f t="shared" ref="H450:H513" si="28">VALUE(SUBSTITUTE(F450,",",""))</f>
        <v>349</v>
      </c>
      <c r="I450" s="23" t="str">
        <f t="shared" ref="I450:I513" si="29">IF(TRIM(D450)="","Unknown",TRIM(D450))</f>
        <v>Delhi</v>
      </c>
      <c r="J450" s="23">
        <f>COUNTIFS(pg_transaction_cleaned!$O:$O,A450,pg_transaction_cleaned!$F:$F,"CAPTURE")</f>
        <v>1</v>
      </c>
      <c r="K450" s="39">
        <f>SUMIFS(pg_transaction_cleaned!$H:$H,pg_transaction_cleaned!$O:$O,A450,pg_transaction_cleaned!$F:$F,"CAPTURE")</f>
        <v>349</v>
      </c>
      <c r="L450" s="23">
        <f>COUNTIFS(pg_transaction_cleaned!$O:$O,A450,pg_transaction_cleaned!$F:$F,"REFUND")</f>
        <v>0</v>
      </c>
      <c r="M450" s="39">
        <f>SUMIFS(pg_transaction_cleaned!$H:$H,pg_transaction_cleaned!$O:$O,A450,pg_transaction_cleaned!$F:$F,"REFUND")</f>
        <v>0</v>
      </c>
      <c r="N450" s="23" t="str">
        <f t="shared" ref="N450:N513" si="30">IF(AND(G450="Paid",J450=0),"Paid, no payment",IF(AND(OR(G450="Failed",G450="Cancelled"),J450&gt;0),"Payment on failed/cancelled",IF(J450&gt;1,"Duplicate charge",IF(AND(J450=1,ROUND(K450-H450,2)&lt;&gt;0),"Amount difference",IF(AND(G450="Refunded",L450=0),"Refunded, no refund",IF(AND(G450&lt;&gt;"Refunded",L450&gt;0),"Refund, order not Refunded",IF(AND(L450&gt;0,ROUND(M450-H450,2)&lt;&gt;0),"Refund amount differs","OK")))))))</f>
        <v>OK</v>
      </c>
      <c r="O450" s="24">
        <f t="shared" ref="O450:O513" si="31">IF(N450="OK",0,IF(N450="Paid, no payment",H450,IF(N450="Payment on failed/cancelled",K450,IF(OR(N450="Duplicate charge",N450="Amount difference"),K450-H450,IF(N450="Refunded, no refund",H450,M450)))))</f>
        <v>0</v>
      </c>
    </row>
    <row r="451" spans="1:15" ht="15" customHeight="1" x14ac:dyDescent="0.3">
      <c r="A451" s="23" t="s">
        <v>1293</v>
      </c>
      <c r="B451" s="38">
        <v>46267</v>
      </c>
      <c r="C451" s="23" t="s">
        <v>1294</v>
      </c>
      <c r="D451" s="23" t="s">
        <v>91</v>
      </c>
      <c r="E451" s="23" t="s">
        <v>79</v>
      </c>
      <c r="F451" s="23" t="s">
        <v>307</v>
      </c>
      <c r="G451" s="23" t="s">
        <v>250</v>
      </c>
      <c r="H451" s="39">
        <f t="shared" si="28"/>
        <v>3798</v>
      </c>
      <c r="I451" s="23" t="str">
        <f t="shared" si="29"/>
        <v>Pune</v>
      </c>
      <c r="J451" s="23">
        <f>COUNTIFS(pg_transaction_cleaned!$O:$O,A451,pg_transaction_cleaned!$F:$F,"CAPTURE")</f>
        <v>1</v>
      </c>
      <c r="K451" s="39">
        <f>SUMIFS(pg_transaction_cleaned!$H:$H,pg_transaction_cleaned!$O:$O,A451,pg_transaction_cleaned!$F:$F,"CAPTURE")</f>
        <v>3798</v>
      </c>
      <c r="L451" s="23">
        <f>COUNTIFS(pg_transaction_cleaned!$O:$O,A451,pg_transaction_cleaned!$F:$F,"REFUND")</f>
        <v>0</v>
      </c>
      <c r="M451" s="39">
        <f>SUMIFS(pg_transaction_cleaned!$H:$H,pg_transaction_cleaned!$O:$O,A451,pg_transaction_cleaned!$F:$F,"REFUND")</f>
        <v>0</v>
      </c>
      <c r="N451" s="23" t="str">
        <f t="shared" si="30"/>
        <v>OK</v>
      </c>
      <c r="O451" s="24">
        <f t="shared" si="31"/>
        <v>0</v>
      </c>
    </row>
    <row r="452" spans="1:15" ht="15" customHeight="1" x14ac:dyDescent="0.3">
      <c r="A452" s="23" t="s">
        <v>1295</v>
      </c>
      <c r="B452" s="38">
        <v>46288</v>
      </c>
      <c r="C452" s="23" t="s">
        <v>1296</v>
      </c>
      <c r="D452" s="23" t="s">
        <v>95</v>
      </c>
      <c r="E452" s="23" t="s">
        <v>75</v>
      </c>
      <c r="F452" s="23" t="s">
        <v>249</v>
      </c>
      <c r="G452" s="23" t="s">
        <v>250</v>
      </c>
      <c r="H452" s="39">
        <f t="shared" si="28"/>
        <v>299</v>
      </c>
      <c r="I452" s="23" t="str">
        <f t="shared" si="29"/>
        <v>Bengaluru</v>
      </c>
      <c r="J452" s="23">
        <f>COUNTIFS(pg_transaction_cleaned!$O:$O,A452,pg_transaction_cleaned!$F:$F,"CAPTURE")</f>
        <v>1</v>
      </c>
      <c r="K452" s="39">
        <f>SUMIFS(pg_transaction_cleaned!$H:$H,pg_transaction_cleaned!$O:$O,A452,pg_transaction_cleaned!$F:$F,"CAPTURE")</f>
        <v>299</v>
      </c>
      <c r="L452" s="23">
        <f>COUNTIFS(pg_transaction_cleaned!$O:$O,A452,pg_transaction_cleaned!$F:$F,"REFUND")</f>
        <v>0</v>
      </c>
      <c r="M452" s="39">
        <f>SUMIFS(pg_transaction_cleaned!$H:$H,pg_transaction_cleaned!$O:$O,A452,pg_transaction_cleaned!$F:$F,"REFUND")</f>
        <v>0</v>
      </c>
      <c r="N452" s="23" t="str">
        <f t="shared" si="30"/>
        <v>OK</v>
      </c>
      <c r="O452" s="24">
        <f t="shared" si="31"/>
        <v>0</v>
      </c>
    </row>
    <row r="453" spans="1:15" ht="15" customHeight="1" x14ac:dyDescent="0.3">
      <c r="A453" s="23" t="s">
        <v>1297</v>
      </c>
      <c r="B453" s="38">
        <v>46282</v>
      </c>
      <c r="C453" s="23" t="s">
        <v>1298</v>
      </c>
      <c r="D453" s="23" t="s">
        <v>86</v>
      </c>
      <c r="E453" s="23" t="s">
        <v>81</v>
      </c>
      <c r="F453" s="23" t="s">
        <v>1299</v>
      </c>
      <c r="G453" s="23" t="s">
        <v>250</v>
      </c>
      <c r="H453" s="39">
        <f t="shared" si="28"/>
        <v>2097</v>
      </c>
      <c r="I453" s="23" t="str">
        <f t="shared" si="29"/>
        <v>Delhi</v>
      </c>
      <c r="J453" s="23">
        <f>COUNTIFS(pg_transaction_cleaned!$O:$O,A453,pg_transaction_cleaned!$F:$F,"CAPTURE")</f>
        <v>1</v>
      </c>
      <c r="K453" s="39">
        <f>SUMIFS(pg_transaction_cleaned!$H:$H,pg_transaction_cleaned!$O:$O,A453,pg_transaction_cleaned!$F:$F,"CAPTURE")</f>
        <v>2097</v>
      </c>
      <c r="L453" s="23">
        <f>COUNTIFS(pg_transaction_cleaned!$O:$O,A453,pg_transaction_cleaned!$F:$F,"REFUND")</f>
        <v>0</v>
      </c>
      <c r="M453" s="39">
        <f>SUMIFS(pg_transaction_cleaned!$H:$H,pg_transaction_cleaned!$O:$O,A453,pg_transaction_cleaned!$F:$F,"REFUND")</f>
        <v>0</v>
      </c>
      <c r="N453" s="23" t="str">
        <f t="shared" si="30"/>
        <v>OK</v>
      </c>
      <c r="O453" s="24">
        <f t="shared" si="31"/>
        <v>0</v>
      </c>
    </row>
    <row r="454" spans="1:15" ht="15" customHeight="1" x14ac:dyDescent="0.3">
      <c r="A454" s="23" t="s">
        <v>1300</v>
      </c>
      <c r="B454" s="38">
        <v>46281</v>
      </c>
      <c r="C454" s="23" t="s">
        <v>1301</v>
      </c>
      <c r="D454" s="23" t="s">
        <v>91</v>
      </c>
      <c r="E454" s="23" t="s">
        <v>79</v>
      </c>
      <c r="F454" s="23" t="s">
        <v>329</v>
      </c>
      <c r="G454" s="23" t="s">
        <v>250</v>
      </c>
      <c r="H454" s="39">
        <f t="shared" si="28"/>
        <v>599</v>
      </c>
      <c r="I454" s="23" t="str">
        <f t="shared" si="29"/>
        <v>Pune</v>
      </c>
      <c r="J454" s="23">
        <f>COUNTIFS(pg_transaction_cleaned!$O:$O,A454,pg_transaction_cleaned!$F:$F,"CAPTURE")</f>
        <v>1</v>
      </c>
      <c r="K454" s="39">
        <f>SUMIFS(pg_transaction_cleaned!$H:$H,pg_transaction_cleaned!$O:$O,A454,pg_transaction_cleaned!$F:$F,"CAPTURE")</f>
        <v>599</v>
      </c>
      <c r="L454" s="23">
        <f>COUNTIFS(pg_transaction_cleaned!$O:$O,A454,pg_transaction_cleaned!$F:$F,"REFUND")</f>
        <v>0</v>
      </c>
      <c r="M454" s="39">
        <f>SUMIFS(pg_transaction_cleaned!$H:$H,pg_transaction_cleaned!$O:$O,A454,pg_transaction_cleaned!$F:$F,"REFUND")</f>
        <v>0</v>
      </c>
      <c r="N454" s="23" t="str">
        <f t="shared" si="30"/>
        <v>OK</v>
      </c>
      <c r="O454" s="24">
        <f t="shared" si="31"/>
        <v>0</v>
      </c>
    </row>
    <row r="455" spans="1:15" ht="15" customHeight="1" x14ac:dyDescent="0.3">
      <c r="A455" s="23" t="s">
        <v>1302</v>
      </c>
      <c r="B455" s="38">
        <v>46276</v>
      </c>
      <c r="C455" s="23" t="s">
        <v>1303</v>
      </c>
      <c r="D455" s="23" t="s">
        <v>86</v>
      </c>
      <c r="E455" s="23" t="s">
        <v>79</v>
      </c>
      <c r="F455" s="23" t="s">
        <v>475</v>
      </c>
      <c r="G455" s="23" t="s">
        <v>250</v>
      </c>
      <c r="H455" s="39">
        <f t="shared" si="28"/>
        <v>799</v>
      </c>
      <c r="I455" s="23" t="str">
        <f t="shared" si="29"/>
        <v>Delhi</v>
      </c>
      <c r="J455" s="23">
        <f>COUNTIFS(pg_transaction_cleaned!$O:$O,A455,pg_transaction_cleaned!$F:$F,"CAPTURE")</f>
        <v>0</v>
      </c>
      <c r="K455" s="39">
        <f>SUMIFS(pg_transaction_cleaned!$H:$H,pg_transaction_cleaned!$O:$O,A455,pg_transaction_cleaned!$F:$F,"CAPTURE")</f>
        <v>0</v>
      </c>
      <c r="L455" s="23">
        <f>COUNTIFS(pg_transaction_cleaned!$O:$O,A455,pg_transaction_cleaned!$F:$F,"REFUND")</f>
        <v>0</v>
      </c>
      <c r="M455" s="39">
        <f>SUMIFS(pg_transaction_cleaned!$H:$H,pg_transaction_cleaned!$O:$O,A455,pg_transaction_cleaned!$F:$F,"REFUND")</f>
        <v>0</v>
      </c>
      <c r="N455" s="23" t="str">
        <f t="shared" si="30"/>
        <v>Paid, no payment</v>
      </c>
      <c r="O455" s="24">
        <f t="shared" si="31"/>
        <v>799</v>
      </c>
    </row>
    <row r="456" spans="1:15" ht="15" customHeight="1" x14ac:dyDescent="0.3">
      <c r="A456" s="23" t="s">
        <v>1304</v>
      </c>
      <c r="B456" s="38">
        <v>46268</v>
      </c>
      <c r="C456" s="23" t="s">
        <v>1305</v>
      </c>
      <c r="D456" s="23" t="s">
        <v>95</v>
      </c>
      <c r="E456" s="23" t="s">
        <v>75</v>
      </c>
      <c r="F456" s="23" t="s">
        <v>553</v>
      </c>
      <c r="G456" s="23" t="s">
        <v>250</v>
      </c>
      <c r="H456" s="39">
        <f t="shared" si="28"/>
        <v>2798</v>
      </c>
      <c r="I456" s="23" t="str">
        <f t="shared" si="29"/>
        <v>Bengaluru</v>
      </c>
      <c r="J456" s="23">
        <f>COUNTIFS(pg_transaction_cleaned!$O:$O,A456,pg_transaction_cleaned!$F:$F,"CAPTURE")</f>
        <v>1</v>
      </c>
      <c r="K456" s="39">
        <f>SUMIFS(pg_transaction_cleaned!$H:$H,pg_transaction_cleaned!$O:$O,A456,pg_transaction_cleaned!$F:$F,"CAPTURE")</f>
        <v>2798</v>
      </c>
      <c r="L456" s="23">
        <f>COUNTIFS(pg_transaction_cleaned!$O:$O,A456,pg_transaction_cleaned!$F:$F,"REFUND")</f>
        <v>0</v>
      </c>
      <c r="M456" s="39">
        <f>SUMIFS(pg_transaction_cleaned!$H:$H,pg_transaction_cleaned!$O:$O,A456,pg_transaction_cleaned!$F:$F,"REFUND")</f>
        <v>0</v>
      </c>
      <c r="N456" s="23" t="str">
        <f t="shared" si="30"/>
        <v>OK</v>
      </c>
      <c r="O456" s="24">
        <f t="shared" si="31"/>
        <v>0</v>
      </c>
    </row>
    <row r="457" spans="1:15" ht="15" customHeight="1" x14ac:dyDescent="0.3">
      <c r="A457" s="23" t="s">
        <v>1306</v>
      </c>
      <c r="B457" s="38">
        <v>46286</v>
      </c>
      <c r="C457" s="23" t="s">
        <v>1307</v>
      </c>
      <c r="D457" s="23" t="s">
        <v>91</v>
      </c>
      <c r="E457" s="23" t="s">
        <v>81</v>
      </c>
      <c r="F457" s="23" t="s">
        <v>1308</v>
      </c>
      <c r="G457" s="23" t="s">
        <v>250</v>
      </c>
      <c r="H457" s="39">
        <f t="shared" si="28"/>
        <v>4297</v>
      </c>
      <c r="I457" s="23" t="str">
        <f t="shared" si="29"/>
        <v>Pune</v>
      </c>
      <c r="J457" s="23">
        <f>COUNTIFS(pg_transaction_cleaned!$O:$O,A457,pg_transaction_cleaned!$F:$F,"CAPTURE")</f>
        <v>1</v>
      </c>
      <c r="K457" s="39">
        <f>SUMIFS(pg_transaction_cleaned!$H:$H,pg_transaction_cleaned!$O:$O,A457,pg_transaction_cleaned!$F:$F,"CAPTURE")</f>
        <v>4297</v>
      </c>
      <c r="L457" s="23">
        <f>COUNTIFS(pg_transaction_cleaned!$O:$O,A457,pg_transaction_cleaned!$F:$F,"REFUND")</f>
        <v>0</v>
      </c>
      <c r="M457" s="39">
        <f>SUMIFS(pg_transaction_cleaned!$H:$H,pg_transaction_cleaned!$O:$O,A457,pg_transaction_cleaned!$F:$F,"REFUND")</f>
        <v>0</v>
      </c>
      <c r="N457" s="23" t="str">
        <f t="shared" si="30"/>
        <v>OK</v>
      </c>
      <c r="O457" s="24">
        <f t="shared" si="31"/>
        <v>0</v>
      </c>
    </row>
    <row r="458" spans="1:15" ht="15" customHeight="1" x14ac:dyDescent="0.3">
      <c r="A458" s="23" t="s">
        <v>1309</v>
      </c>
      <c r="B458" s="38">
        <v>46270</v>
      </c>
      <c r="C458" s="23" t="s">
        <v>1310</v>
      </c>
      <c r="D458" s="23" t="s">
        <v>94</v>
      </c>
      <c r="E458" s="23" t="s">
        <v>75</v>
      </c>
      <c r="F458" s="23" t="s">
        <v>271</v>
      </c>
      <c r="G458" s="23" t="s">
        <v>250</v>
      </c>
      <c r="H458" s="39">
        <f t="shared" si="28"/>
        <v>2499</v>
      </c>
      <c r="I458" s="23" t="str">
        <f t="shared" si="29"/>
        <v>Chennai</v>
      </c>
      <c r="J458" s="23">
        <f>COUNTIFS(pg_transaction_cleaned!$O:$O,A458,pg_transaction_cleaned!$F:$F,"CAPTURE")</f>
        <v>1</v>
      </c>
      <c r="K458" s="39">
        <f>SUMIFS(pg_transaction_cleaned!$H:$H,pg_transaction_cleaned!$O:$O,A458,pg_transaction_cleaned!$F:$F,"CAPTURE")</f>
        <v>2499</v>
      </c>
      <c r="L458" s="23">
        <f>COUNTIFS(pg_transaction_cleaned!$O:$O,A458,pg_transaction_cleaned!$F:$F,"REFUND")</f>
        <v>0</v>
      </c>
      <c r="M458" s="39">
        <f>SUMIFS(pg_transaction_cleaned!$H:$H,pg_transaction_cleaned!$O:$O,A458,pg_transaction_cleaned!$F:$F,"REFUND")</f>
        <v>0</v>
      </c>
      <c r="N458" s="23" t="str">
        <f t="shared" si="30"/>
        <v>OK</v>
      </c>
      <c r="O458" s="24">
        <f t="shared" si="31"/>
        <v>0</v>
      </c>
    </row>
    <row r="459" spans="1:15" ht="15" customHeight="1" x14ac:dyDescent="0.3">
      <c r="A459" s="23" t="s">
        <v>1311</v>
      </c>
      <c r="B459" s="38">
        <v>46291</v>
      </c>
      <c r="C459" s="23" t="s">
        <v>1312</v>
      </c>
      <c r="D459" s="23" t="s">
        <v>88</v>
      </c>
      <c r="E459" s="23" t="s">
        <v>75</v>
      </c>
      <c r="F459" s="23" t="s">
        <v>329</v>
      </c>
      <c r="G459" s="23" t="s">
        <v>250</v>
      </c>
      <c r="H459" s="39">
        <f t="shared" si="28"/>
        <v>599</v>
      </c>
      <c r="I459" s="23" t="str">
        <f t="shared" si="29"/>
        <v>Lucknow</v>
      </c>
      <c r="J459" s="23">
        <f>COUNTIFS(pg_transaction_cleaned!$O:$O,A459,pg_transaction_cleaned!$F:$F,"CAPTURE")</f>
        <v>0</v>
      </c>
      <c r="K459" s="39">
        <f>SUMIFS(pg_transaction_cleaned!$H:$H,pg_transaction_cleaned!$O:$O,A459,pg_transaction_cleaned!$F:$F,"CAPTURE")</f>
        <v>0</v>
      </c>
      <c r="L459" s="23">
        <f>COUNTIFS(pg_transaction_cleaned!$O:$O,A459,pg_transaction_cleaned!$F:$F,"REFUND")</f>
        <v>0</v>
      </c>
      <c r="M459" s="39">
        <f>SUMIFS(pg_transaction_cleaned!$H:$H,pg_transaction_cleaned!$O:$O,A459,pg_transaction_cleaned!$F:$F,"REFUND")</f>
        <v>0</v>
      </c>
      <c r="N459" s="23" t="str">
        <f t="shared" si="30"/>
        <v>Paid, no payment</v>
      </c>
      <c r="O459" s="24">
        <f t="shared" si="31"/>
        <v>599</v>
      </c>
    </row>
    <row r="460" spans="1:15" ht="15" customHeight="1" x14ac:dyDescent="0.3">
      <c r="A460" s="23" t="s">
        <v>1313</v>
      </c>
      <c r="B460" s="38">
        <v>46285</v>
      </c>
      <c r="C460" s="23" t="s">
        <v>1314</v>
      </c>
      <c r="D460" s="23" t="s">
        <v>92</v>
      </c>
      <c r="E460" s="23" t="s">
        <v>75</v>
      </c>
      <c r="F460" s="23" t="s">
        <v>1315</v>
      </c>
      <c r="G460" s="23" t="s">
        <v>318</v>
      </c>
      <c r="H460" s="39">
        <f t="shared" si="28"/>
        <v>8297</v>
      </c>
      <c r="I460" s="23" t="str">
        <f t="shared" si="29"/>
        <v>Hyderabad</v>
      </c>
      <c r="J460" s="23">
        <f>COUNTIFS(pg_transaction_cleaned!$O:$O,A460,pg_transaction_cleaned!$F:$F,"CAPTURE")</f>
        <v>0</v>
      </c>
      <c r="K460" s="39">
        <f>SUMIFS(pg_transaction_cleaned!$H:$H,pg_transaction_cleaned!$O:$O,A460,pg_transaction_cleaned!$F:$F,"CAPTURE")</f>
        <v>0</v>
      </c>
      <c r="L460" s="23">
        <f>COUNTIFS(pg_transaction_cleaned!$O:$O,A460,pg_transaction_cleaned!$F:$F,"REFUND")</f>
        <v>0</v>
      </c>
      <c r="M460" s="39">
        <f>SUMIFS(pg_transaction_cleaned!$H:$H,pg_transaction_cleaned!$O:$O,A460,pg_transaction_cleaned!$F:$F,"REFUND")</f>
        <v>0</v>
      </c>
      <c r="N460" s="23" t="str">
        <f t="shared" si="30"/>
        <v>OK</v>
      </c>
      <c r="O460" s="24">
        <f t="shared" si="31"/>
        <v>0</v>
      </c>
    </row>
    <row r="461" spans="1:15" ht="15" customHeight="1" x14ac:dyDescent="0.3">
      <c r="A461" s="23" t="s">
        <v>1316</v>
      </c>
      <c r="B461" s="38">
        <v>46272</v>
      </c>
      <c r="C461" s="23" t="s">
        <v>1317</v>
      </c>
      <c r="D461" s="23" t="s">
        <v>87</v>
      </c>
      <c r="E461" s="23" t="s">
        <v>75</v>
      </c>
      <c r="F461" s="23" t="s">
        <v>288</v>
      </c>
      <c r="G461" s="23" t="s">
        <v>250</v>
      </c>
      <c r="H461" s="39">
        <f t="shared" si="28"/>
        <v>4298</v>
      </c>
      <c r="I461" s="23" t="str">
        <f t="shared" si="29"/>
        <v>Mumbai</v>
      </c>
      <c r="J461" s="23">
        <f>COUNTIFS(pg_transaction_cleaned!$O:$O,A461,pg_transaction_cleaned!$F:$F,"CAPTURE")</f>
        <v>1</v>
      </c>
      <c r="K461" s="39">
        <f>SUMIFS(pg_transaction_cleaned!$H:$H,pg_transaction_cleaned!$O:$O,A461,pg_transaction_cleaned!$F:$F,"CAPTURE")</f>
        <v>4298</v>
      </c>
      <c r="L461" s="23">
        <f>COUNTIFS(pg_transaction_cleaned!$O:$O,A461,pg_transaction_cleaned!$F:$F,"REFUND")</f>
        <v>0</v>
      </c>
      <c r="M461" s="39">
        <f>SUMIFS(pg_transaction_cleaned!$H:$H,pg_transaction_cleaned!$O:$O,A461,pg_transaction_cleaned!$F:$F,"REFUND")</f>
        <v>0</v>
      </c>
      <c r="N461" s="23" t="str">
        <f t="shared" si="30"/>
        <v>OK</v>
      </c>
      <c r="O461" s="24">
        <f t="shared" si="31"/>
        <v>0</v>
      </c>
    </row>
    <row r="462" spans="1:15" ht="15" customHeight="1" x14ac:dyDescent="0.3">
      <c r="A462" s="23" t="s">
        <v>1318</v>
      </c>
      <c r="B462" s="38">
        <v>46291</v>
      </c>
      <c r="C462" s="23" t="s">
        <v>1319</v>
      </c>
      <c r="D462" s="23" t="s">
        <v>88</v>
      </c>
      <c r="E462" s="23" t="s">
        <v>75</v>
      </c>
      <c r="F462" s="23" t="s">
        <v>315</v>
      </c>
      <c r="G462" s="23" t="s">
        <v>250</v>
      </c>
      <c r="H462" s="39">
        <f t="shared" si="28"/>
        <v>1499</v>
      </c>
      <c r="I462" s="23" t="str">
        <f t="shared" si="29"/>
        <v>Lucknow</v>
      </c>
      <c r="J462" s="23">
        <f>COUNTIFS(pg_transaction_cleaned!$O:$O,A462,pg_transaction_cleaned!$F:$F,"CAPTURE")</f>
        <v>1</v>
      </c>
      <c r="K462" s="39">
        <f>SUMIFS(pg_transaction_cleaned!$H:$H,pg_transaction_cleaned!$O:$O,A462,pg_transaction_cleaned!$F:$F,"CAPTURE")</f>
        <v>1499</v>
      </c>
      <c r="L462" s="23">
        <f>COUNTIFS(pg_transaction_cleaned!$O:$O,A462,pg_transaction_cleaned!$F:$F,"REFUND")</f>
        <v>0</v>
      </c>
      <c r="M462" s="39">
        <f>SUMIFS(pg_transaction_cleaned!$H:$H,pg_transaction_cleaned!$O:$O,A462,pg_transaction_cleaned!$F:$F,"REFUND")</f>
        <v>0</v>
      </c>
      <c r="N462" s="23" t="str">
        <f t="shared" si="30"/>
        <v>OK</v>
      </c>
      <c r="O462" s="24">
        <f t="shared" si="31"/>
        <v>0</v>
      </c>
    </row>
    <row r="463" spans="1:15" ht="15" customHeight="1" x14ac:dyDescent="0.3">
      <c r="A463" s="23" t="s">
        <v>1320</v>
      </c>
      <c r="B463" s="38">
        <v>46268</v>
      </c>
      <c r="C463" s="23" t="s">
        <v>1321</v>
      </c>
      <c r="D463" s="23" t="s">
        <v>93</v>
      </c>
      <c r="E463" s="23" t="s">
        <v>75</v>
      </c>
      <c r="F463" s="23" t="s">
        <v>582</v>
      </c>
      <c r="G463" s="23" t="s">
        <v>318</v>
      </c>
      <c r="H463" s="39">
        <f t="shared" si="28"/>
        <v>1298</v>
      </c>
      <c r="I463" s="23" t="str">
        <f t="shared" si="29"/>
        <v>Kolkata</v>
      </c>
      <c r="J463" s="23">
        <f>COUNTIFS(pg_transaction_cleaned!$O:$O,A463,pg_transaction_cleaned!$F:$F,"CAPTURE")</f>
        <v>0</v>
      </c>
      <c r="K463" s="39">
        <f>SUMIFS(pg_transaction_cleaned!$H:$H,pg_transaction_cleaned!$O:$O,A463,pg_transaction_cleaned!$F:$F,"CAPTURE")</f>
        <v>0</v>
      </c>
      <c r="L463" s="23">
        <f>COUNTIFS(pg_transaction_cleaned!$O:$O,A463,pg_transaction_cleaned!$F:$F,"REFUND")</f>
        <v>0</v>
      </c>
      <c r="M463" s="39">
        <f>SUMIFS(pg_transaction_cleaned!$H:$H,pg_transaction_cleaned!$O:$O,A463,pg_transaction_cleaned!$F:$F,"REFUND")</f>
        <v>0</v>
      </c>
      <c r="N463" s="23" t="str">
        <f t="shared" si="30"/>
        <v>OK</v>
      </c>
      <c r="O463" s="24">
        <f t="shared" si="31"/>
        <v>0</v>
      </c>
    </row>
    <row r="464" spans="1:15" ht="15" customHeight="1" x14ac:dyDescent="0.3">
      <c r="A464" s="23" t="s">
        <v>1322</v>
      </c>
      <c r="B464" s="38">
        <v>46277</v>
      </c>
      <c r="C464" s="23" t="s">
        <v>1323</v>
      </c>
      <c r="D464" s="23" t="s">
        <v>87</v>
      </c>
      <c r="E464" s="23" t="s">
        <v>77</v>
      </c>
      <c r="F464" s="23" t="s">
        <v>1193</v>
      </c>
      <c r="G464" s="23" t="s">
        <v>250</v>
      </c>
      <c r="H464" s="39">
        <f t="shared" si="28"/>
        <v>3498</v>
      </c>
      <c r="I464" s="23" t="str">
        <f t="shared" si="29"/>
        <v>Mumbai</v>
      </c>
      <c r="J464" s="23">
        <f>COUNTIFS(pg_transaction_cleaned!$O:$O,A464,pg_transaction_cleaned!$F:$F,"CAPTURE")</f>
        <v>1</v>
      </c>
      <c r="K464" s="39">
        <f>SUMIFS(pg_transaction_cleaned!$H:$H,pg_transaction_cleaned!$O:$O,A464,pg_transaction_cleaned!$F:$F,"CAPTURE")</f>
        <v>3498</v>
      </c>
      <c r="L464" s="23">
        <f>COUNTIFS(pg_transaction_cleaned!$O:$O,A464,pg_transaction_cleaned!$F:$F,"REFUND")</f>
        <v>0</v>
      </c>
      <c r="M464" s="39">
        <f>SUMIFS(pg_transaction_cleaned!$H:$H,pg_transaction_cleaned!$O:$O,A464,pg_transaction_cleaned!$F:$F,"REFUND")</f>
        <v>0</v>
      </c>
      <c r="N464" s="23" t="str">
        <f t="shared" si="30"/>
        <v>OK</v>
      </c>
      <c r="O464" s="24">
        <f t="shared" si="31"/>
        <v>0</v>
      </c>
    </row>
    <row r="465" spans="1:15" ht="15" customHeight="1" x14ac:dyDescent="0.3">
      <c r="A465" s="23" t="s">
        <v>1324</v>
      </c>
      <c r="B465" s="38">
        <v>46284</v>
      </c>
      <c r="C465" s="23" t="s">
        <v>1325</v>
      </c>
      <c r="D465" s="23" t="s">
        <v>93</v>
      </c>
      <c r="E465" s="23" t="s">
        <v>75</v>
      </c>
      <c r="F465" s="23" t="s">
        <v>249</v>
      </c>
      <c r="G465" s="23" t="s">
        <v>250</v>
      </c>
      <c r="H465" s="39">
        <f t="shared" si="28"/>
        <v>299</v>
      </c>
      <c r="I465" s="23" t="str">
        <f t="shared" si="29"/>
        <v>Kolkata</v>
      </c>
      <c r="J465" s="23">
        <f>COUNTIFS(pg_transaction_cleaned!$O:$O,A465,pg_transaction_cleaned!$F:$F,"CAPTURE")</f>
        <v>1</v>
      </c>
      <c r="K465" s="39">
        <f>SUMIFS(pg_transaction_cleaned!$H:$H,pg_transaction_cleaned!$O:$O,A465,pg_transaction_cleaned!$F:$F,"CAPTURE")</f>
        <v>299</v>
      </c>
      <c r="L465" s="23">
        <f>COUNTIFS(pg_transaction_cleaned!$O:$O,A465,pg_transaction_cleaned!$F:$F,"REFUND")</f>
        <v>0</v>
      </c>
      <c r="M465" s="39">
        <f>SUMIFS(pg_transaction_cleaned!$H:$H,pg_transaction_cleaned!$O:$O,A465,pg_transaction_cleaned!$F:$F,"REFUND")</f>
        <v>0</v>
      </c>
      <c r="N465" s="23" t="str">
        <f t="shared" si="30"/>
        <v>OK</v>
      </c>
      <c r="O465" s="24">
        <f t="shared" si="31"/>
        <v>0</v>
      </c>
    </row>
    <row r="466" spans="1:15" ht="15" customHeight="1" x14ac:dyDescent="0.3">
      <c r="A466" s="23" t="s">
        <v>1326</v>
      </c>
      <c r="B466" s="38">
        <v>46282</v>
      </c>
      <c r="C466" s="23" t="s">
        <v>1327</v>
      </c>
      <c r="D466" s="23" t="s">
        <v>93</v>
      </c>
      <c r="E466" s="23" t="s">
        <v>79</v>
      </c>
      <c r="F466" s="23" t="s">
        <v>396</v>
      </c>
      <c r="G466" s="23" t="s">
        <v>250</v>
      </c>
      <c r="H466" s="39">
        <f t="shared" si="28"/>
        <v>2999</v>
      </c>
      <c r="I466" s="23" t="str">
        <f t="shared" si="29"/>
        <v>Kolkata</v>
      </c>
      <c r="J466" s="23">
        <f>COUNTIFS(pg_transaction_cleaned!$O:$O,A466,pg_transaction_cleaned!$F:$F,"CAPTURE")</f>
        <v>1</v>
      </c>
      <c r="K466" s="39">
        <f>SUMIFS(pg_transaction_cleaned!$H:$H,pg_transaction_cleaned!$O:$O,A466,pg_transaction_cleaned!$F:$F,"CAPTURE")</f>
        <v>2999</v>
      </c>
      <c r="L466" s="23">
        <f>COUNTIFS(pg_transaction_cleaned!$O:$O,A466,pg_transaction_cleaned!$F:$F,"REFUND")</f>
        <v>0</v>
      </c>
      <c r="M466" s="39">
        <f>SUMIFS(pg_transaction_cleaned!$H:$H,pg_transaction_cleaned!$O:$O,A466,pg_transaction_cleaned!$F:$F,"REFUND")</f>
        <v>0</v>
      </c>
      <c r="N466" s="23" t="str">
        <f t="shared" si="30"/>
        <v>OK</v>
      </c>
      <c r="O466" s="24">
        <f t="shared" si="31"/>
        <v>0</v>
      </c>
    </row>
    <row r="467" spans="1:15" ht="15" customHeight="1" x14ac:dyDescent="0.3">
      <c r="A467" s="23" t="s">
        <v>1328</v>
      </c>
      <c r="B467" s="38">
        <v>46268</v>
      </c>
      <c r="C467" s="23" t="s">
        <v>1137</v>
      </c>
      <c r="D467" s="23" t="s">
        <v>89</v>
      </c>
      <c r="E467" s="23" t="s">
        <v>75</v>
      </c>
      <c r="F467" s="23" t="s">
        <v>1329</v>
      </c>
      <c r="G467" s="23" t="s">
        <v>250</v>
      </c>
      <c r="H467" s="39">
        <f t="shared" si="28"/>
        <v>6097</v>
      </c>
      <c r="I467" s="23" t="str">
        <f t="shared" si="29"/>
        <v>Jaipur</v>
      </c>
      <c r="J467" s="23">
        <f>COUNTIFS(pg_transaction_cleaned!$O:$O,A467,pg_transaction_cleaned!$F:$F,"CAPTURE")</f>
        <v>1</v>
      </c>
      <c r="K467" s="39">
        <f>SUMIFS(pg_transaction_cleaned!$H:$H,pg_transaction_cleaned!$O:$O,A467,pg_transaction_cleaned!$F:$F,"CAPTURE")</f>
        <v>6097</v>
      </c>
      <c r="L467" s="23">
        <f>COUNTIFS(pg_transaction_cleaned!$O:$O,A467,pg_transaction_cleaned!$F:$F,"REFUND")</f>
        <v>0</v>
      </c>
      <c r="M467" s="39">
        <f>SUMIFS(pg_transaction_cleaned!$H:$H,pg_transaction_cleaned!$O:$O,A467,pg_transaction_cleaned!$F:$F,"REFUND")</f>
        <v>0</v>
      </c>
      <c r="N467" s="23" t="str">
        <f t="shared" si="30"/>
        <v>OK</v>
      </c>
      <c r="O467" s="24">
        <f t="shared" si="31"/>
        <v>0</v>
      </c>
    </row>
    <row r="468" spans="1:15" ht="15" customHeight="1" x14ac:dyDescent="0.3">
      <c r="A468" s="23" t="s">
        <v>1330</v>
      </c>
      <c r="B468" s="38">
        <v>46295</v>
      </c>
      <c r="C468" s="23" t="s">
        <v>1331</v>
      </c>
      <c r="D468" s="23" t="s">
        <v>91</v>
      </c>
      <c r="E468" s="23" t="s">
        <v>75</v>
      </c>
      <c r="F468" s="23" t="s">
        <v>297</v>
      </c>
      <c r="G468" s="23" t="s">
        <v>250</v>
      </c>
      <c r="H468" s="39">
        <f t="shared" si="28"/>
        <v>4999</v>
      </c>
      <c r="I468" s="23" t="str">
        <f t="shared" si="29"/>
        <v>Pune</v>
      </c>
      <c r="J468" s="23">
        <f>COUNTIFS(pg_transaction_cleaned!$O:$O,A468,pg_transaction_cleaned!$F:$F,"CAPTURE")</f>
        <v>1</v>
      </c>
      <c r="K468" s="39">
        <f>SUMIFS(pg_transaction_cleaned!$H:$H,pg_transaction_cleaned!$O:$O,A468,pg_transaction_cleaned!$F:$F,"CAPTURE")</f>
        <v>4999</v>
      </c>
      <c r="L468" s="23">
        <f>COUNTIFS(pg_transaction_cleaned!$O:$O,A468,pg_transaction_cleaned!$F:$F,"REFUND")</f>
        <v>0</v>
      </c>
      <c r="M468" s="39">
        <f>SUMIFS(pg_transaction_cleaned!$H:$H,pg_transaction_cleaned!$O:$O,A468,pg_transaction_cleaned!$F:$F,"REFUND")</f>
        <v>0</v>
      </c>
      <c r="N468" s="23" t="str">
        <f t="shared" si="30"/>
        <v>OK</v>
      </c>
      <c r="O468" s="24">
        <f t="shared" si="31"/>
        <v>0</v>
      </c>
    </row>
    <row r="469" spans="1:15" ht="15" customHeight="1" x14ac:dyDescent="0.3">
      <c r="A469" s="23" t="s">
        <v>1332</v>
      </c>
      <c r="B469" s="38">
        <v>46275</v>
      </c>
      <c r="C469" s="23" t="s">
        <v>1333</v>
      </c>
      <c r="D469" s="23" t="s">
        <v>91</v>
      </c>
      <c r="E469" s="23" t="s">
        <v>75</v>
      </c>
      <c r="F469" s="23" t="s">
        <v>1334</v>
      </c>
      <c r="G469" s="23" t="s">
        <v>250</v>
      </c>
      <c r="H469" s="39">
        <f t="shared" si="28"/>
        <v>12797</v>
      </c>
      <c r="I469" s="23" t="str">
        <f t="shared" si="29"/>
        <v>Pune</v>
      </c>
      <c r="J469" s="23">
        <f>COUNTIFS(pg_transaction_cleaned!$O:$O,A469,pg_transaction_cleaned!$F:$F,"CAPTURE")</f>
        <v>1</v>
      </c>
      <c r="K469" s="39">
        <f>SUMIFS(pg_transaction_cleaned!$H:$H,pg_transaction_cleaned!$O:$O,A469,pg_transaction_cleaned!$F:$F,"CAPTURE")</f>
        <v>12797</v>
      </c>
      <c r="L469" s="23">
        <f>COUNTIFS(pg_transaction_cleaned!$O:$O,A469,pg_transaction_cleaned!$F:$F,"REFUND")</f>
        <v>0</v>
      </c>
      <c r="M469" s="39">
        <f>SUMIFS(pg_transaction_cleaned!$H:$H,pg_transaction_cleaned!$O:$O,A469,pg_transaction_cleaned!$F:$F,"REFUND")</f>
        <v>0</v>
      </c>
      <c r="N469" s="23" t="str">
        <f t="shared" si="30"/>
        <v>OK</v>
      </c>
      <c r="O469" s="24">
        <f t="shared" si="31"/>
        <v>0</v>
      </c>
    </row>
    <row r="470" spans="1:15" ht="15" customHeight="1" x14ac:dyDescent="0.3">
      <c r="A470" s="23" t="s">
        <v>1335</v>
      </c>
      <c r="B470" s="38">
        <v>46280</v>
      </c>
      <c r="C470" s="23" t="s">
        <v>1336</v>
      </c>
      <c r="D470" s="23" t="s">
        <v>91</v>
      </c>
      <c r="E470" s="23" t="s">
        <v>79</v>
      </c>
      <c r="F470" s="23" t="s">
        <v>553</v>
      </c>
      <c r="G470" s="23" t="s">
        <v>250</v>
      </c>
      <c r="H470" s="39">
        <f t="shared" si="28"/>
        <v>2798</v>
      </c>
      <c r="I470" s="23" t="str">
        <f t="shared" si="29"/>
        <v>Pune</v>
      </c>
      <c r="J470" s="23">
        <f>COUNTIFS(pg_transaction_cleaned!$O:$O,A470,pg_transaction_cleaned!$F:$F,"CAPTURE")</f>
        <v>1</v>
      </c>
      <c r="K470" s="39">
        <f>SUMIFS(pg_transaction_cleaned!$H:$H,pg_transaction_cleaned!$O:$O,A470,pg_transaction_cleaned!$F:$F,"CAPTURE")</f>
        <v>2798</v>
      </c>
      <c r="L470" s="23">
        <f>COUNTIFS(pg_transaction_cleaned!$O:$O,A470,pg_transaction_cleaned!$F:$F,"REFUND")</f>
        <v>0</v>
      </c>
      <c r="M470" s="39">
        <f>SUMIFS(pg_transaction_cleaned!$H:$H,pg_transaction_cleaned!$O:$O,A470,pg_transaction_cleaned!$F:$F,"REFUND")</f>
        <v>0</v>
      </c>
      <c r="N470" s="23" t="str">
        <f t="shared" si="30"/>
        <v>OK</v>
      </c>
      <c r="O470" s="24">
        <f t="shared" si="31"/>
        <v>0</v>
      </c>
    </row>
    <row r="471" spans="1:15" ht="15" customHeight="1" x14ac:dyDescent="0.3">
      <c r="A471" s="23" t="s">
        <v>1337</v>
      </c>
      <c r="B471" s="38">
        <v>46266</v>
      </c>
      <c r="C471" s="23" t="s">
        <v>1338</v>
      </c>
      <c r="D471" s="23" t="s">
        <v>89</v>
      </c>
      <c r="E471" s="23" t="s">
        <v>77</v>
      </c>
      <c r="F471" s="23" t="s">
        <v>1308</v>
      </c>
      <c r="G471" s="23" t="s">
        <v>250</v>
      </c>
      <c r="H471" s="39">
        <f t="shared" si="28"/>
        <v>4297</v>
      </c>
      <c r="I471" s="23" t="str">
        <f t="shared" si="29"/>
        <v>Jaipur</v>
      </c>
      <c r="J471" s="23">
        <f>COUNTIFS(pg_transaction_cleaned!$O:$O,A471,pg_transaction_cleaned!$F:$F,"CAPTURE")</f>
        <v>1</v>
      </c>
      <c r="K471" s="39">
        <f>SUMIFS(pg_transaction_cleaned!$H:$H,pg_transaction_cleaned!$O:$O,A471,pg_transaction_cleaned!$F:$F,"CAPTURE")</f>
        <v>4297</v>
      </c>
      <c r="L471" s="23">
        <f>COUNTIFS(pg_transaction_cleaned!$O:$O,A471,pg_transaction_cleaned!$F:$F,"REFUND")</f>
        <v>0</v>
      </c>
      <c r="M471" s="39">
        <f>SUMIFS(pg_transaction_cleaned!$H:$H,pg_transaction_cleaned!$O:$O,A471,pg_transaction_cleaned!$F:$F,"REFUND")</f>
        <v>0</v>
      </c>
      <c r="N471" s="23" t="str">
        <f t="shared" si="30"/>
        <v>OK</v>
      </c>
      <c r="O471" s="24">
        <f t="shared" si="31"/>
        <v>0</v>
      </c>
    </row>
    <row r="472" spans="1:15" ht="15" customHeight="1" x14ac:dyDescent="0.3">
      <c r="A472" s="23" t="s">
        <v>1339</v>
      </c>
      <c r="B472" s="38">
        <v>46291</v>
      </c>
      <c r="C472" s="23" t="s">
        <v>1340</v>
      </c>
      <c r="D472" s="23" t="s">
        <v>91</v>
      </c>
      <c r="E472" s="23" t="s">
        <v>79</v>
      </c>
      <c r="F472" s="23" t="s">
        <v>1341</v>
      </c>
      <c r="G472" s="23" t="s">
        <v>250</v>
      </c>
      <c r="H472" s="39">
        <f t="shared" si="28"/>
        <v>2297</v>
      </c>
      <c r="I472" s="23" t="str">
        <f t="shared" si="29"/>
        <v>Pune</v>
      </c>
      <c r="J472" s="23">
        <f>COUNTIFS(pg_transaction_cleaned!$O:$O,A472,pg_transaction_cleaned!$F:$F,"CAPTURE")</f>
        <v>1</v>
      </c>
      <c r="K472" s="39">
        <f>SUMIFS(pg_transaction_cleaned!$H:$H,pg_transaction_cleaned!$O:$O,A472,pg_transaction_cleaned!$F:$F,"CAPTURE")</f>
        <v>2297</v>
      </c>
      <c r="L472" s="23">
        <f>COUNTIFS(pg_transaction_cleaned!$O:$O,A472,pg_transaction_cleaned!$F:$F,"REFUND")</f>
        <v>0</v>
      </c>
      <c r="M472" s="39">
        <f>SUMIFS(pg_transaction_cleaned!$H:$H,pg_transaction_cleaned!$O:$O,A472,pg_transaction_cleaned!$F:$F,"REFUND")</f>
        <v>0</v>
      </c>
      <c r="N472" s="23" t="str">
        <f t="shared" si="30"/>
        <v>OK</v>
      </c>
      <c r="O472" s="24">
        <f t="shared" si="31"/>
        <v>0</v>
      </c>
    </row>
    <row r="473" spans="1:15" ht="15" customHeight="1" x14ac:dyDescent="0.3">
      <c r="A473" s="23" t="s">
        <v>1342</v>
      </c>
      <c r="B473" s="38">
        <v>46290</v>
      </c>
      <c r="C473" s="23" t="s">
        <v>1343</v>
      </c>
      <c r="D473" s="23" t="s">
        <v>92</v>
      </c>
      <c r="E473" s="23" t="s">
        <v>75</v>
      </c>
      <c r="F473" s="23" t="s">
        <v>265</v>
      </c>
      <c r="G473" s="23" t="s">
        <v>250</v>
      </c>
      <c r="H473" s="39">
        <f t="shared" si="28"/>
        <v>999</v>
      </c>
      <c r="I473" s="23" t="str">
        <f t="shared" si="29"/>
        <v>Hyderabad</v>
      </c>
      <c r="J473" s="23">
        <f>COUNTIFS(pg_transaction_cleaned!$O:$O,A473,pg_transaction_cleaned!$F:$F,"CAPTURE")</f>
        <v>1</v>
      </c>
      <c r="K473" s="39">
        <f>SUMIFS(pg_transaction_cleaned!$H:$H,pg_transaction_cleaned!$O:$O,A473,pg_transaction_cleaned!$F:$F,"CAPTURE")</f>
        <v>999</v>
      </c>
      <c r="L473" s="23">
        <f>COUNTIFS(pg_transaction_cleaned!$O:$O,A473,pg_transaction_cleaned!$F:$F,"REFUND")</f>
        <v>0</v>
      </c>
      <c r="M473" s="39">
        <f>SUMIFS(pg_transaction_cleaned!$H:$H,pg_transaction_cleaned!$O:$O,A473,pg_transaction_cleaned!$F:$F,"REFUND")</f>
        <v>0</v>
      </c>
      <c r="N473" s="23" t="str">
        <f t="shared" si="30"/>
        <v>OK</v>
      </c>
      <c r="O473" s="24">
        <f t="shared" si="31"/>
        <v>0</v>
      </c>
    </row>
    <row r="474" spans="1:15" ht="15" customHeight="1" x14ac:dyDescent="0.3">
      <c r="A474" s="23" t="s">
        <v>1344</v>
      </c>
      <c r="B474" s="38">
        <v>46288</v>
      </c>
      <c r="C474" s="23" t="s">
        <v>1345</v>
      </c>
      <c r="D474" s="23" t="s">
        <v>90</v>
      </c>
      <c r="E474" s="23" t="s">
        <v>75</v>
      </c>
      <c r="F474" s="23" t="s">
        <v>429</v>
      </c>
      <c r="G474" s="23" t="s">
        <v>250</v>
      </c>
      <c r="H474" s="39">
        <f t="shared" si="28"/>
        <v>3348</v>
      </c>
      <c r="I474" s="23" t="str">
        <f t="shared" si="29"/>
        <v>Ahmedabad</v>
      </c>
      <c r="J474" s="23">
        <f>COUNTIFS(pg_transaction_cleaned!$O:$O,A474,pg_transaction_cleaned!$F:$F,"CAPTURE")</f>
        <v>1</v>
      </c>
      <c r="K474" s="39">
        <f>SUMIFS(pg_transaction_cleaned!$H:$H,pg_transaction_cleaned!$O:$O,A474,pg_transaction_cleaned!$F:$F,"CAPTURE")</f>
        <v>3348</v>
      </c>
      <c r="L474" s="23">
        <f>COUNTIFS(pg_transaction_cleaned!$O:$O,A474,pg_transaction_cleaned!$F:$F,"REFUND")</f>
        <v>0</v>
      </c>
      <c r="M474" s="39">
        <f>SUMIFS(pg_transaction_cleaned!$H:$H,pg_transaction_cleaned!$O:$O,A474,pg_transaction_cleaned!$F:$F,"REFUND")</f>
        <v>0</v>
      </c>
      <c r="N474" s="23" t="str">
        <f t="shared" si="30"/>
        <v>OK</v>
      </c>
      <c r="O474" s="24">
        <f t="shared" si="31"/>
        <v>0</v>
      </c>
    </row>
    <row r="475" spans="1:15" ht="15" customHeight="1" x14ac:dyDescent="0.3">
      <c r="A475" s="23" t="s">
        <v>1346</v>
      </c>
      <c r="B475" s="38">
        <v>46293</v>
      </c>
      <c r="C475" s="23" t="s">
        <v>1347</v>
      </c>
      <c r="D475" s="23" t="s">
        <v>91</v>
      </c>
      <c r="E475" s="23" t="s">
        <v>79</v>
      </c>
      <c r="F475" s="23" t="s">
        <v>974</v>
      </c>
      <c r="G475" s="23" t="s">
        <v>250</v>
      </c>
      <c r="H475" s="39">
        <f t="shared" si="28"/>
        <v>1498</v>
      </c>
      <c r="I475" s="23" t="str">
        <f t="shared" si="29"/>
        <v>Pune</v>
      </c>
      <c r="J475" s="23">
        <f>COUNTIFS(pg_transaction_cleaned!$O:$O,A475,pg_transaction_cleaned!$F:$F,"CAPTURE")</f>
        <v>1</v>
      </c>
      <c r="K475" s="39">
        <f>SUMIFS(pg_transaction_cleaned!$H:$H,pg_transaction_cleaned!$O:$O,A475,pg_transaction_cleaned!$F:$F,"CAPTURE")</f>
        <v>1498</v>
      </c>
      <c r="L475" s="23">
        <f>COUNTIFS(pg_transaction_cleaned!$O:$O,A475,pg_transaction_cleaned!$F:$F,"REFUND")</f>
        <v>0</v>
      </c>
      <c r="M475" s="39">
        <f>SUMIFS(pg_transaction_cleaned!$H:$H,pg_transaction_cleaned!$O:$O,A475,pg_transaction_cleaned!$F:$F,"REFUND")</f>
        <v>0</v>
      </c>
      <c r="N475" s="23" t="str">
        <f t="shared" si="30"/>
        <v>OK</v>
      </c>
      <c r="O475" s="24">
        <f t="shared" si="31"/>
        <v>0</v>
      </c>
    </row>
    <row r="476" spans="1:15" ht="15" customHeight="1" x14ac:dyDescent="0.3">
      <c r="A476" s="23" t="s">
        <v>1348</v>
      </c>
      <c r="B476" s="38">
        <v>46273</v>
      </c>
      <c r="C476" s="23" t="s">
        <v>1349</v>
      </c>
      <c r="D476" s="23" t="s">
        <v>90</v>
      </c>
      <c r="E476" s="23" t="s">
        <v>75</v>
      </c>
      <c r="F476" s="23" t="s">
        <v>652</v>
      </c>
      <c r="G476" s="23" t="s">
        <v>250</v>
      </c>
      <c r="H476" s="39">
        <f t="shared" si="28"/>
        <v>2397</v>
      </c>
      <c r="I476" s="23" t="str">
        <f t="shared" si="29"/>
        <v>Ahmedabad</v>
      </c>
      <c r="J476" s="23">
        <f>COUNTIFS(pg_transaction_cleaned!$O:$O,A476,pg_transaction_cleaned!$F:$F,"CAPTURE")</f>
        <v>1</v>
      </c>
      <c r="K476" s="39">
        <f>SUMIFS(pg_transaction_cleaned!$H:$H,pg_transaction_cleaned!$O:$O,A476,pg_transaction_cleaned!$F:$F,"CAPTURE")</f>
        <v>2397</v>
      </c>
      <c r="L476" s="23">
        <f>COUNTIFS(pg_transaction_cleaned!$O:$O,A476,pg_transaction_cleaned!$F:$F,"REFUND")</f>
        <v>0</v>
      </c>
      <c r="M476" s="39">
        <f>SUMIFS(pg_transaction_cleaned!$H:$H,pg_transaction_cleaned!$O:$O,A476,pg_transaction_cleaned!$F:$F,"REFUND")</f>
        <v>0</v>
      </c>
      <c r="N476" s="23" t="str">
        <f t="shared" si="30"/>
        <v>OK</v>
      </c>
      <c r="O476" s="24">
        <f t="shared" si="31"/>
        <v>0</v>
      </c>
    </row>
    <row r="477" spans="1:15" ht="15" customHeight="1" x14ac:dyDescent="0.3">
      <c r="A477" s="23" t="s">
        <v>1350</v>
      </c>
      <c r="B477" s="38">
        <v>46277</v>
      </c>
      <c r="C477" s="23" t="s">
        <v>1351</v>
      </c>
      <c r="D477" s="23" t="s">
        <v>93</v>
      </c>
      <c r="E477" s="23" t="s">
        <v>81</v>
      </c>
      <c r="F477" s="23" t="s">
        <v>1352</v>
      </c>
      <c r="G477" s="23" t="s">
        <v>318</v>
      </c>
      <c r="H477" s="39">
        <f t="shared" si="28"/>
        <v>998</v>
      </c>
      <c r="I477" s="23" t="str">
        <f t="shared" si="29"/>
        <v>Kolkata</v>
      </c>
      <c r="J477" s="23">
        <f>COUNTIFS(pg_transaction_cleaned!$O:$O,A477,pg_transaction_cleaned!$F:$F,"CAPTURE")</f>
        <v>0</v>
      </c>
      <c r="K477" s="39">
        <f>SUMIFS(pg_transaction_cleaned!$H:$H,pg_transaction_cleaned!$O:$O,A477,pg_transaction_cleaned!$F:$F,"CAPTURE")</f>
        <v>0</v>
      </c>
      <c r="L477" s="23">
        <f>COUNTIFS(pg_transaction_cleaned!$O:$O,A477,pg_transaction_cleaned!$F:$F,"REFUND")</f>
        <v>0</v>
      </c>
      <c r="M477" s="39">
        <f>SUMIFS(pg_transaction_cleaned!$H:$H,pg_transaction_cleaned!$O:$O,A477,pg_transaction_cleaned!$F:$F,"REFUND")</f>
        <v>0</v>
      </c>
      <c r="N477" s="23" t="str">
        <f t="shared" si="30"/>
        <v>OK</v>
      </c>
      <c r="O477" s="24">
        <f t="shared" si="31"/>
        <v>0</v>
      </c>
    </row>
    <row r="478" spans="1:15" ht="15" customHeight="1" x14ac:dyDescent="0.3">
      <c r="A478" s="23" t="s">
        <v>1353</v>
      </c>
      <c r="B478" s="38">
        <v>46273</v>
      </c>
      <c r="C478" s="23" t="s">
        <v>1354</v>
      </c>
      <c r="D478" s="23" t="s">
        <v>91</v>
      </c>
      <c r="E478" s="23" t="s">
        <v>79</v>
      </c>
      <c r="F478" s="23" t="s">
        <v>329</v>
      </c>
      <c r="G478" s="23" t="s">
        <v>250</v>
      </c>
      <c r="H478" s="39">
        <f t="shared" si="28"/>
        <v>599</v>
      </c>
      <c r="I478" s="23" t="str">
        <f t="shared" si="29"/>
        <v>Pune</v>
      </c>
      <c r="J478" s="23">
        <f>COUNTIFS(pg_transaction_cleaned!$O:$O,A478,pg_transaction_cleaned!$F:$F,"CAPTURE")</f>
        <v>1</v>
      </c>
      <c r="K478" s="39">
        <f>SUMIFS(pg_transaction_cleaned!$H:$H,pg_transaction_cleaned!$O:$O,A478,pg_transaction_cleaned!$F:$F,"CAPTURE")</f>
        <v>599</v>
      </c>
      <c r="L478" s="23">
        <f>COUNTIFS(pg_transaction_cleaned!$O:$O,A478,pg_transaction_cleaned!$F:$F,"REFUND")</f>
        <v>0</v>
      </c>
      <c r="M478" s="39">
        <f>SUMIFS(pg_transaction_cleaned!$H:$H,pg_transaction_cleaned!$O:$O,A478,pg_transaction_cleaned!$F:$F,"REFUND")</f>
        <v>0</v>
      </c>
      <c r="N478" s="23" t="str">
        <f t="shared" si="30"/>
        <v>OK</v>
      </c>
      <c r="O478" s="24">
        <f t="shared" si="31"/>
        <v>0</v>
      </c>
    </row>
    <row r="479" spans="1:15" ht="15" customHeight="1" x14ac:dyDescent="0.3">
      <c r="A479" s="23" t="s">
        <v>1355</v>
      </c>
      <c r="B479" s="38">
        <v>46284</v>
      </c>
      <c r="C479" s="23" t="s">
        <v>1356</v>
      </c>
      <c r="D479" s="23" t="s">
        <v>95</v>
      </c>
      <c r="E479" s="23" t="s">
        <v>77</v>
      </c>
      <c r="F479" s="23" t="s">
        <v>393</v>
      </c>
      <c r="G479" s="23" t="s">
        <v>250</v>
      </c>
      <c r="H479" s="39">
        <f t="shared" si="28"/>
        <v>349</v>
      </c>
      <c r="I479" s="23" t="str">
        <f t="shared" si="29"/>
        <v>Bengaluru</v>
      </c>
      <c r="J479" s="23">
        <f>COUNTIFS(pg_transaction_cleaned!$O:$O,A479,pg_transaction_cleaned!$F:$F,"CAPTURE")</f>
        <v>1</v>
      </c>
      <c r="K479" s="39">
        <f>SUMIFS(pg_transaction_cleaned!$H:$H,pg_transaction_cleaned!$O:$O,A479,pg_transaction_cleaned!$F:$F,"CAPTURE")</f>
        <v>349</v>
      </c>
      <c r="L479" s="23">
        <f>COUNTIFS(pg_transaction_cleaned!$O:$O,A479,pg_transaction_cleaned!$F:$F,"REFUND")</f>
        <v>0</v>
      </c>
      <c r="M479" s="39">
        <f>SUMIFS(pg_transaction_cleaned!$H:$H,pg_transaction_cleaned!$O:$O,A479,pg_transaction_cleaned!$F:$F,"REFUND")</f>
        <v>0</v>
      </c>
      <c r="N479" s="23" t="str">
        <f t="shared" si="30"/>
        <v>OK</v>
      </c>
      <c r="O479" s="24">
        <f t="shared" si="31"/>
        <v>0</v>
      </c>
    </row>
    <row r="480" spans="1:15" ht="15" customHeight="1" x14ac:dyDescent="0.3">
      <c r="A480" s="23" t="s">
        <v>1357</v>
      </c>
      <c r="B480" s="38">
        <v>46291</v>
      </c>
      <c r="C480" s="23" t="s">
        <v>1358</v>
      </c>
      <c r="D480" s="23" t="s">
        <v>92</v>
      </c>
      <c r="E480" s="23" t="s">
        <v>75</v>
      </c>
      <c r="F480" s="23" t="s">
        <v>357</v>
      </c>
      <c r="G480" s="23" t="s">
        <v>250</v>
      </c>
      <c r="H480" s="39">
        <f t="shared" si="28"/>
        <v>1598</v>
      </c>
      <c r="I480" s="23" t="str">
        <f t="shared" si="29"/>
        <v>Hyderabad</v>
      </c>
      <c r="J480" s="23">
        <f>COUNTIFS(pg_transaction_cleaned!$O:$O,A480,pg_transaction_cleaned!$F:$F,"CAPTURE")</f>
        <v>1</v>
      </c>
      <c r="K480" s="39">
        <f>SUMIFS(pg_transaction_cleaned!$H:$H,pg_transaction_cleaned!$O:$O,A480,pg_transaction_cleaned!$F:$F,"CAPTURE")</f>
        <v>1598</v>
      </c>
      <c r="L480" s="23">
        <f>COUNTIFS(pg_transaction_cleaned!$O:$O,A480,pg_transaction_cleaned!$F:$F,"REFUND")</f>
        <v>0</v>
      </c>
      <c r="M480" s="39">
        <f>SUMIFS(pg_transaction_cleaned!$H:$H,pg_transaction_cleaned!$O:$O,A480,pg_transaction_cleaned!$F:$F,"REFUND")</f>
        <v>0</v>
      </c>
      <c r="N480" s="23" t="str">
        <f t="shared" si="30"/>
        <v>OK</v>
      </c>
      <c r="O480" s="24">
        <f t="shared" si="31"/>
        <v>0</v>
      </c>
    </row>
    <row r="481" spans="1:15" ht="15" customHeight="1" x14ac:dyDescent="0.3">
      <c r="A481" s="23" t="s">
        <v>1359</v>
      </c>
      <c r="B481" s="38">
        <v>46276</v>
      </c>
      <c r="C481" s="23" t="s">
        <v>1360</v>
      </c>
      <c r="D481" s="23" t="s">
        <v>88</v>
      </c>
      <c r="E481" s="23" t="s">
        <v>75</v>
      </c>
      <c r="F481" s="23" t="s">
        <v>294</v>
      </c>
      <c r="G481" s="23" t="s">
        <v>250</v>
      </c>
      <c r="H481" s="39">
        <f t="shared" si="28"/>
        <v>1799</v>
      </c>
      <c r="I481" s="23" t="str">
        <f t="shared" si="29"/>
        <v>Lucknow</v>
      </c>
      <c r="J481" s="23">
        <f>COUNTIFS(pg_transaction_cleaned!$O:$O,A481,pg_transaction_cleaned!$F:$F,"CAPTURE")</f>
        <v>1</v>
      </c>
      <c r="K481" s="39">
        <f>SUMIFS(pg_transaction_cleaned!$H:$H,pg_transaction_cleaned!$O:$O,A481,pg_transaction_cleaned!$F:$F,"CAPTURE")</f>
        <v>1799</v>
      </c>
      <c r="L481" s="23">
        <f>COUNTIFS(pg_transaction_cleaned!$O:$O,A481,pg_transaction_cleaned!$F:$F,"REFUND")</f>
        <v>0</v>
      </c>
      <c r="M481" s="39">
        <f>SUMIFS(pg_transaction_cleaned!$H:$H,pg_transaction_cleaned!$O:$O,A481,pg_transaction_cleaned!$F:$F,"REFUND")</f>
        <v>0</v>
      </c>
      <c r="N481" s="23" t="str">
        <f t="shared" si="30"/>
        <v>OK</v>
      </c>
      <c r="O481" s="24">
        <f t="shared" si="31"/>
        <v>0</v>
      </c>
    </row>
    <row r="482" spans="1:15" ht="15" customHeight="1" x14ac:dyDescent="0.3">
      <c r="A482" s="23" t="s">
        <v>1361</v>
      </c>
      <c r="B482" s="38">
        <v>46291</v>
      </c>
      <c r="C482" s="23" t="s">
        <v>1362</v>
      </c>
      <c r="D482" s="23" t="s">
        <v>90</v>
      </c>
      <c r="E482" s="23" t="s">
        <v>75</v>
      </c>
      <c r="F482" s="23" t="s">
        <v>291</v>
      </c>
      <c r="G482" s="23" t="s">
        <v>250</v>
      </c>
      <c r="H482" s="39">
        <f t="shared" si="28"/>
        <v>3499</v>
      </c>
      <c r="I482" s="23" t="str">
        <f t="shared" si="29"/>
        <v>Ahmedabad</v>
      </c>
      <c r="J482" s="23">
        <f>COUNTIFS(pg_transaction_cleaned!$O:$O,A482,pg_transaction_cleaned!$F:$F,"CAPTURE")</f>
        <v>1</v>
      </c>
      <c r="K482" s="39">
        <f>SUMIFS(pg_transaction_cleaned!$H:$H,pg_transaction_cleaned!$O:$O,A482,pg_transaction_cleaned!$F:$F,"CAPTURE")</f>
        <v>3499</v>
      </c>
      <c r="L482" s="23">
        <f>COUNTIFS(pg_transaction_cleaned!$O:$O,A482,pg_transaction_cleaned!$F:$F,"REFUND")</f>
        <v>0</v>
      </c>
      <c r="M482" s="39">
        <f>SUMIFS(pg_transaction_cleaned!$H:$H,pg_transaction_cleaned!$O:$O,A482,pg_transaction_cleaned!$F:$F,"REFUND")</f>
        <v>0</v>
      </c>
      <c r="N482" s="23" t="str">
        <f t="shared" si="30"/>
        <v>OK</v>
      </c>
      <c r="O482" s="24">
        <f t="shared" si="31"/>
        <v>0</v>
      </c>
    </row>
    <row r="483" spans="1:15" ht="15" customHeight="1" x14ac:dyDescent="0.3">
      <c r="A483" s="23" t="s">
        <v>1363</v>
      </c>
      <c r="B483" s="38">
        <v>46290</v>
      </c>
      <c r="C483" s="23" t="s">
        <v>1364</v>
      </c>
      <c r="D483" s="23" t="s">
        <v>86</v>
      </c>
      <c r="E483" s="23" t="s">
        <v>79</v>
      </c>
      <c r="F483" s="23" t="s">
        <v>291</v>
      </c>
      <c r="G483" s="23" t="s">
        <v>365</v>
      </c>
      <c r="H483" s="39">
        <f t="shared" si="28"/>
        <v>3499</v>
      </c>
      <c r="I483" s="23" t="str">
        <f t="shared" si="29"/>
        <v>Delhi</v>
      </c>
      <c r="J483" s="23">
        <f>COUNTIFS(pg_transaction_cleaned!$O:$O,A483,pg_transaction_cleaned!$F:$F,"CAPTURE")</f>
        <v>0</v>
      </c>
      <c r="K483" s="39">
        <f>SUMIFS(pg_transaction_cleaned!$H:$H,pg_transaction_cleaned!$O:$O,A483,pg_transaction_cleaned!$F:$F,"CAPTURE")</f>
        <v>0</v>
      </c>
      <c r="L483" s="23">
        <f>COUNTIFS(pg_transaction_cleaned!$O:$O,A483,pg_transaction_cleaned!$F:$F,"REFUND")</f>
        <v>0</v>
      </c>
      <c r="M483" s="39">
        <f>SUMIFS(pg_transaction_cleaned!$H:$H,pg_transaction_cleaned!$O:$O,A483,pg_transaction_cleaned!$F:$F,"REFUND")</f>
        <v>0</v>
      </c>
      <c r="N483" s="23" t="str">
        <f t="shared" si="30"/>
        <v>OK</v>
      </c>
      <c r="O483" s="24">
        <f t="shared" si="31"/>
        <v>0</v>
      </c>
    </row>
    <row r="484" spans="1:15" ht="15" customHeight="1" x14ac:dyDescent="0.3">
      <c r="A484" s="23" t="s">
        <v>1365</v>
      </c>
      <c r="B484" s="38">
        <v>46266</v>
      </c>
      <c r="C484" s="23" t="s">
        <v>1366</v>
      </c>
      <c r="D484" s="23" t="s">
        <v>94</v>
      </c>
      <c r="E484" s="23" t="s">
        <v>79</v>
      </c>
      <c r="F484" s="23" t="s">
        <v>1367</v>
      </c>
      <c r="G484" s="23" t="s">
        <v>250</v>
      </c>
      <c r="H484" s="39">
        <f t="shared" si="28"/>
        <v>898</v>
      </c>
      <c r="I484" s="23" t="str">
        <f t="shared" si="29"/>
        <v>Chennai</v>
      </c>
      <c r="J484" s="23">
        <f>COUNTIFS(pg_transaction_cleaned!$O:$O,A484,pg_transaction_cleaned!$F:$F,"CAPTURE")</f>
        <v>1</v>
      </c>
      <c r="K484" s="39">
        <f>SUMIFS(pg_transaction_cleaned!$H:$H,pg_transaction_cleaned!$O:$O,A484,pg_transaction_cleaned!$F:$F,"CAPTURE")</f>
        <v>898</v>
      </c>
      <c r="L484" s="23">
        <f>COUNTIFS(pg_transaction_cleaned!$O:$O,A484,pg_transaction_cleaned!$F:$F,"REFUND")</f>
        <v>0</v>
      </c>
      <c r="M484" s="39">
        <f>SUMIFS(pg_transaction_cleaned!$H:$H,pg_transaction_cleaned!$O:$O,A484,pg_transaction_cleaned!$F:$F,"REFUND")</f>
        <v>0</v>
      </c>
      <c r="N484" s="23" t="str">
        <f t="shared" si="30"/>
        <v>OK</v>
      </c>
      <c r="O484" s="24">
        <f t="shared" si="31"/>
        <v>0</v>
      </c>
    </row>
    <row r="485" spans="1:15" ht="15" customHeight="1" x14ac:dyDescent="0.3">
      <c r="A485" s="23" t="s">
        <v>1368</v>
      </c>
      <c r="B485" s="38">
        <v>46266</v>
      </c>
      <c r="C485" s="23" t="s">
        <v>1369</v>
      </c>
      <c r="D485" s="23" t="s">
        <v>95</v>
      </c>
      <c r="E485" s="23" t="s">
        <v>75</v>
      </c>
      <c r="F485" s="23" t="s">
        <v>1334</v>
      </c>
      <c r="G485" s="23" t="s">
        <v>250</v>
      </c>
      <c r="H485" s="39">
        <f t="shared" si="28"/>
        <v>12797</v>
      </c>
      <c r="I485" s="23" t="str">
        <f t="shared" si="29"/>
        <v>Bengaluru</v>
      </c>
      <c r="J485" s="23">
        <f>COUNTIFS(pg_transaction_cleaned!$O:$O,A485,pg_transaction_cleaned!$F:$F,"CAPTURE")</f>
        <v>1</v>
      </c>
      <c r="K485" s="39">
        <f>SUMIFS(pg_transaction_cleaned!$H:$H,pg_transaction_cleaned!$O:$O,A485,pg_transaction_cleaned!$F:$F,"CAPTURE")</f>
        <v>12797</v>
      </c>
      <c r="L485" s="23">
        <f>COUNTIFS(pg_transaction_cleaned!$O:$O,A485,pg_transaction_cleaned!$F:$F,"REFUND")</f>
        <v>0</v>
      </c>
      <c r="M485" s="39">
        <f>SUMIFS(pg_transaction_cleaned!$H:$H,pg_transaction_cleaned!$O:$O,A485,pg_transaction_cleaned!$F:$F,"REFUND")</f>
        <v>0</v>
      </c>
      <c r="N485" s="23" t="str">
        <f t="shared" si="30"/>
        <v>OK</v>
      </c>
      <c r="O485" s="24">
        <f t="shared" si="31"/>
        <v>0</v>
      </c>
    </row>
    <row r="486" spans="1:15" ht="15" customHeight="1" x14ac:dyDescent="0.3">
      <c r="A486" s="23" t="s">
        <v>1370</v>
      </c>
      <c r="B486" s="38">
        <v>46279</v>
      </c>
      <c r="C486" s="23" t="s">
        <v>1371</v>
      </c>
      <c r="D486" s="23" t="s">
        <v>89</v>
      </c>
      <c r="E486" s="23" t="s">
        <v>75</v>
      </c>
      <c r="F486" s="23" t="s">
        <v>1372</v>
      </c>
      <c r="G486" s="23" t="s">
        <v>250</v>
      </c>
      <c r="H486" s="39">
        <f t="shared" si="28"/>
        <v>798</v>
      </c>
      <c r="I486" s="23" t="str">
        <f t="shared" si="29"/>
        <v>Jaipur</v>
      </c>
      <c r="J486" s="23">
        <f>COUNTIFS(pg_transaction_cleaned!$O:$O,A486,pg_transaction_cleaned!$F:$F,"CAPTURE")</f>
        <v>1</v>
      </c>
      <c r="K486" s="39">
        <f>SUMIFS(pg_transaction_cleaned!$H:$H,pg_transaction_cleaned!$O:$O,A486,pg_transaction_cleaned!$F:$F,"CAPTURE")</f>
        <v>798</v>
      </c>
      <c r="L486" s="23">
        <f>COUNTIFS(pg_transaction_cleaned!$O:$O,A486,pg_transaction_cleaned!$F:$F,"REFUND")</f>
        <v>0</v>
      </c>
      <c r="M486" s="39">
        <f>SUMIFS(pg_transaction_cleaned!$H:$H,pg_transaction_cleaned!$O:$O,A486,pg_transaction_cleaned!$F:$F,"REFUND")</f>
        <v>0</v>
      </c>
      <c r="N486" s="23" t="str">
        <f t="shared" si="30"/>
        <v>OK</v>
      </c>
      <c r="O486" s="24">
        <f t="shared" si="31"/>
        <v>0</v>
      </c>
    </row>
    <row r="487" spans="1:15" ht="15" customHeight="1" x14ac:dyDescent="0.3">
      <c r="A487" s="23" t="s">
        <v>1373</v>
      </c>
      <c r="B487" s="38">
        <v>46279</v>
      </c>
      <c r="C487" s="23" t="s">
        <v>1374</v>
      </c>
      <c r="D487" s="23" t="s">
        <v>93</v>
      </c>
      <c r="E487" s="23" t="s">
        <v>75</v>
      </c>
      <c r="F487" s="23" t="s">
        <v>1375</v>
      </c>
      <c r="G487" s="23" t="s">
        <v>250</v>
      </c>
      <c r="H487" s="39">
        <f t="shared" si="28"/>
        <v>5997</v>
      </c>
      <c r="I487" s="23" t="str">
        <f t="shared" si="29"/>
        <v>Kolkata</v>
      </c>
      <c r="J487" s="23">
        <f>COUNTIFS(pg_transaction_cleaned!$O:$O,A487,pg_transaction_cleaned!$F:$F,"CAPTURE")</f>
        <v>1</v>
      </c>
      <c r="K487" s="39">
        <f>SUMIFS(pg_transaction_cleaned!$H:$H,pg_transaction_cleaned!$O:$O,A487,pg_transaction_cleaned!$F:$F,"CAPTURE")</f>
        <v>5997</v>
      </c>
      <c r="L487" s="23">
        <f>COUNTIFS(pg_transaction_cleaned!$O:$O,A487,pg_transaction_cleaned!$F:$F,"REFUND")</f>
        <v>0</v>
      </c>
      <c r="M487" s="39">
        <f>SUMIFS(pg_transaction_cleaned!$H:$H,pg_transaction_cleaned!$O:$O,A487,pg_transaction_cleaned!$F:$F,"REFUND")</f>
        <v>0</v>
      </c>
      <c r="N487" s="23" t="str">
        <f t="shared" si="30"/>
        <v>OK</v>
      </c>
      <c r="O487" s="24">
        <f t="shared" si="31"/>
        <v>0</v>
      </c>
    </row>
    <row r="488" spans="1:15" ht="15" customHeight="1" x14ac:dyDescent="0.3">
      <c r="A488" s="23" t="s">
        <v>1376</v>
      </c>
      <c r="B488" s="38">
        <v>46268</v>
      </c>
      <c r="C488" s="23" t="s">
        <v>1377</v>
      </c>
      <c r="D488" s="23" t="s">
        <v>92</v>
      </c>
      <c r="E488" s="23" t="s">
        <v>77</v>
      </c>
      <c r="F488" s="23" t="s">
        <v>553</v>
      </c>
      <c r="G488" s="23" t="s">
        <v>250</v>
      </c>
      <c r="H488" s="39">
        <f t="shared" si="28"/>
        <v>2798</v>
      </c>
      <c r="I488" s="23" t="str">
        <f t="shared" si="29"/>
        <v>Hyderabad</v>
      </c>
      <c r="J488" s="23">
        <f>COUNTIFS(pg_transaction_cleaned!$O:$O,A488,pg_transaction_cleaned!$F:$F,"CAPTURE")</f>
        <v>1</v>
      </c>
      <c r="K488" s="39">
        <f>SUMIFS(pg_transaction_cleaned!$H:$H,pg_transaction_cleaned!$O:$O,A488,pg_transaction_cleaned!$F:$F,"CAPTURE")</f>
        <v>2798</v>
      </c>
      <c r="L488" s="23">
        <f>COUNTIFS(pg_transaction_cleaned!$O:$O,A488,pg_transaction_cleaned!$F:$F,"REFUND")</f>
        <v>0</v>
      </c>
      <c r="M488" s="39">
        <f>SUMIFS(pg_transaction_cleaned!$H:$H,pg_transaction_cleaned!$O:$O,A488,pg_transaction_cleaned!$F:$F,"REFUND")</f>
        <v>0</v>
      </c>
      <c r="N488" s="23" t="str">
        <f t="shared" si="30"/>
        <v>OK</v>
      </c>
      <c r="O488" s="24">
        <f t="shared" si="31"/>
        <v>0</v>
      </c>
    </row>
    <row r="489" spans="1:15" ht="15" customHeight="1" x14ac:dyDescent="0.3">
      <c r="A489" s="23" t="s">
        <v>1378</v>
      </c>
      <c r="B489" s="38">
        <v>46274</v>
      </c>
      <c r="C489" s="23" t="s">
        <v>1379</v>
      </c>
      <c r="D489" s="23" t="s">
        <v>94</v>
      </c>
      <c r="E489" s="23" t="s">
        <v>81</v>
      </c>
      <c r="F489" s="23" t="s">
        <v>297</v>
      </c>
      <c r="G489" s="23" t="s">
        <v>250</v>
      </c>
      <c r="H489" s="39">
        <f t="shared" si="28"/>
        <v>4999</v>
      </c>
      <c r="I489" s="23" t="str">
        <f t="shared" si="29"/>
        <v>Chennai</v>
      </c>
      <c r="J489" s="23">
        <f>COUNTIFS(pg_transaction_cleaned!$O:$O,A489,pg_transaction_cleaned!$F:$F,"CAPTURE")</f>
        <v>1</v>
      </c>
      <c r="K489" s="39">
        <f>SUMIFS(pg_transaction_cleaned!$H:$H,pg_transaction_cleaned!$O:$O,A489,pg_transaction_cleaned!$F:$F,"CAPTURE")</f>
        <v>4999</v>
      </c>
      <c r="L489" s="23">
        <f>COUNTIFS(pg_transaction_cleaned!$O:$O,A489,pg_transaction_cleaned!$F:$F,"REFUND")</f>
        <v>0</v>
      </c>
      <c r="M489" s="39">
        <f>SUMIFS(pg_transaction_cleaned!$H:$H,pg_transaction_cleaned!$O:$O,A489,pg_transaction_cleaned!$F:$F,"REFUND")</f>
        <v>0</v>
      </c>
      <c r="N489" s="23" t="str">
        <f t="shared" si="30"/>
        <v>OK</v>
      </c>
      <c r="O489" s="24">
        <f t="shared" si="31"/>
        <v>0</v>
      </c>
    </row>
    <row r="490" spans="1:15" ht="15" customHeight="1" x14ac:dyDescent="0.3">
      <c r="A490" s="23" t="s">
        <v>1380</v>
      </c>
      <c r="B490" s="38">
        <v>46280</v>
      </c>
      <c r="C490" s="23" t="s">
        <v>1381</v>
      </c>
      <c r="D490" s="23" t="s">
        <v>91</v>
      </c>
      <c r="E490" s="23" t="s">
        <v>75</v>
      </c>
      <c r="F490" s="23" t="s">
        <v>329</v>
      </c>
      <c r="G490" s="23" t="s">
        <v>250</v>
      </c>
      <c r="H490" s="39">
        <f t="shared" si="28"/>
        <v>599</v>
      </c>
      <c r="I490" s="23" t="str">
        <f t="shared" si="29"/>
        <v>Pune</v>
      </c>
      <c r="J490" s="23">
        <f>COUNTIFS(pg_transaction_cleaned!$O:$O,A490,pg_transaction_cleaned!$F:$F,"CAPTURE")</f>
        <v>1</v>
      </c>
      <c r="K490" s="39">
        <f>SUMIFS(pg_transaction_cleaned!$H:$H,pg_transaction_cleaned!$O:$O,A490,pg_transaction_cleaned!$F:$F,"CAPTURE")</f>
        <v>599</v>
      </c>
      <c r="L490" s="23">
        <f>COUNTIFS(pg_transaction_cleaned!$O:$O,A490,pg_transaction_cleaned!$F:$F,"REFUND")</f>
        <v>0</v>
      </c>
      <c r="M490" s="39">
        <f>SUMIFS(pg_transaction_cleaned!$H:$H,pg_transaction_cleaned!$O:$O,A490,pg_transaction_cleaned!$F:$F,"REFUND")</f>
        <v>0</v>
      </c>
      <c r="N490" s="23" t="str">
        <f t="shared" si="30"/>
        <v>OK</v>
      </c>
      <c r="O490" s="24">
        <f t="shared" si="31"/>
        <v>0</v>
      </c>
    </row>
    <row r="491" spans="1:15" ht="15" customHeight="1" x14ac:dyDescent="0.3">
      <c r="A491" s="23" t="s">
        <v>1382</v>
      </c>
      <c r="B491" s="38">
        <v>46270</v>
      </c>
      <c r="C491" s="23" t="s">
        <v>1383</v>
      </c>
      <c r="D491" s="23" t="s">
        <v>89</v>
      </c>
      <c r="E491" s="23" t="s">
        <v>75</v>
      </c>
      <c r="F491" s="23" t="s">
        <v>262</v>
      </c>
      <c r="G491" s="23" t="s">
        <v>250</v>
      </c>
      <c r="H491" s="39">
        <f t="shared" si="28"/>
        <v>499</v>
      </c>
      <c r="I491" s="23" t="str">
        <f t="shared" si="29"/>
        <v>Jaipur</v>
      </c>
      <c r="J491" s="23">
        <f>COUNTIFS(pg_transaction_cleaned!$O:$O,A491,pg_transaction_cleaned!$F:$F,"CAPTURE")</f>
        <v>1</v>
      </c>
      <c r="K491" s="39">
        <f>SUMIFS(pg_transaction_cleaned!$H:$H,pg_transaction_cleaned!$O:$O,A491,pg_transaction_cleaned!$F:$F,"CAPTURE")</f>
        <v>499</v>
      </c>
      <c r="L491" s="23">
        <f>COUNTIFS(pg_transaction_cleaned!$O:$O,A491,pg_transaction_cleaned!$F:$F,"REFUND")</f>
        <v>0</v>
      </c>
      <c r="M491" s="39">
        <f>SUMIFS(pg_transaction_cleaned!$H:$H,pg_transaction_cleaned!$O:$O,A491,pg_transaction_cleaned!$F:$F,"REFUND")</f>
        <v>0</v>
      </c>
      <c r="N491" s="23" t="str">
        <f t="shared" si="30"/>
        <v>OK</v>
      </c>
      <c r="O491" s="24">
        <f t="shared" si="31"/>
        <v>0</v>
      </c>
    </row>
    <row r="492" spans="1:15" ht="15" customHeight="1" x14ac:dyDescent="0.3">
      <c r="A492" s="23" t="s">
        <v>1384</v>
      </c>
      <c r="B492" s="38">
        <v>46277</v>
      </c>
      <c r="C492" s="23" t="s">
        <v>1385</v>
      </c>
      <c r="D492" s="23" t="s">
        <v>91</v>
      </c>
      <c r="E492" s="23" t="s">
        <v>75</v>
      </c>
      <c r="F492" s="23" t="s">
        <v>315</v>
      </c>
      <c r="G492" s="23" t="s">
        <v>250</v>
      </c>
      <c r="H492" s="39">
        <f t="shared" si="28"/>
        <v>1499</v>
      </c>
      <c r="I492" s="23" t="str">
        <f t="shared" si="29"/>
        <v>Pune</v>
      </c>
      <c r="J492" s="23">
        <f>COUNTIFS(pg_transaction_cleaned!$O:$O,A492,pg_transaction_cleaned!$F:$F,"CAPTURE")</f>
        <v>1</v>
      </c>
      <c r="K492" s="39">
        <f>SUMIFS(pg_transaction_cleaned!$H:$H,pg_transaction_cleaned!$O:$O,A492,pg_transaction_cleaned!$F:$F,"CAPTURE")</f>
        <v>1499</v>
      </c>
      <c r="L492" s="23">
        <f>COUNTIFS(pg_transaction_cleaned!$O:$O,A492,pg_transaction_cleaned!$F:$F,"REFUND")</f>
        <v>0</v>
      </c>
      <c r="M492" s="39">
        <f>SUMIFS(pg_transaction_cleaned!$H:$H,pg_transaction_cleaned!$O:$O,A492,pg_transaction_cleaned!$F:$F,"REFUND")</f>
        <v>0</v>
      </c>
      <c r="N492" s="23" t="str">
        <f t="shared" si="30"/>
        <v>OK</v>
      </c>
      <c r="O492" s="24">
        <f t="shared" si="31"/>
        <v>0</v>
      </c>
    </row>
    <row r="493" spans="1:15" ht="15" customHeight="1" x14ac:dyDescent="0.3">
      <c r="A493" s="23" t="s">
        <v>1386</v>
      </c>
      <c r="B493" s="38">
        <v>46271</v>
      </c>
      <c r="C493" s="23" t="s">
        <v>1387</v>
      </c>
      <c r="D493" s="23" t="s">
        <v>86</v>
      </c>
      <c r="E493" s="23" t="s">
        <v>75</v>
      </c>
      <c r="F493" s="23" t="s">
        <v>1388</v>
      </c>
      <c r="G493" s="23" t="s">
        <v>250</v>
      </c>
      <c r="H493" s="39">
        <f t="shared" si="28"/>
        <v>12297</v>
      </c>
      <c r="I493" s="23" t="str">
        <f t="shared" si="29"/>
        <v>Delhi</v>
      </c>
      <c r="J493" s="23">
        <f>COUNTIFS(pg_transaction_cleaned!$O:$O,A493,pg_transaction_cleaned!$F:$F,"CAPTURE")</f>
        <v>1</v>
      </c>
      <c r="K493" s="39">
        <f>SUMIFS(pg_transaction_cleaned!$H:$H,pg_transaction_cleaned!$O:$O,A493,pg_transaction_cleaned!$F:$F,"CAPTURE")</f>
        <v>12297</v>
      </c>
      <c r="L493" s="23">
        <f>COUNTIFS(pg_transaction_cleaned!$O:$O,A493,pg_transaction_cleaned!$F:$F,"REFUND")</f>
        <v>0</v>
      </c>
      <c r="M493" s="39">
        <f>SUMIFS(pg_transaction_cleaned!$H:$H,pg_transaction_cleaned!$O:$O,A493,pg_transaction_cleaned!$F:$F,"REFUND")</f>
        <v>0</v>
      </c>
      <c r="N493" s="23" t="str">
        <f t="shared" si="30"/>
        <v>OK</v>
      </c>
      <c r="O493" s="24">
        <f t="shared" si="31"/>
        <v>0</v>
      </c>
    </row>
    <row r="494" spans="1:15" ht="15" customHeight="1" x14ac:dyDescent="0.3">
      <c r="A494" s="23" t="s">
        <v>1389</v>
      </c>
      <c r="B494" s="38">
        <v>46268</v>
      </c>
      <c r="C494" s="23" t="s">
        <v>1390</v>
      </c>
      <c r="D494" s="23" t="s">
        <v>86</v>
      </c>
      <c r="E494" s="23" t="s">
        <v>79</v>
      </c>
      <c r="F494" s="23" t="s">
        <v>1391</v>
      </c>
      <c r="G494" s="23" t="s">
        <v>250</v>
      </c>
      <c r="H494" s="39">
        <f t="shared" si="28"/>
        <v>2897</v>
      </c>
      <c r="I494" s="23" t="str">
        <f t="shared" si="29"/>
        <v>Delhi</v>
      </c>
      <c r="J494" s="23">
        <f>COUNTIFS(pg_transaction_cleaned!$O:$O,A494,pg_transaction_cleaned!$F:$F,"CAPTURE")</f>
        <v>1</v>
      </c>
      <c r="K494" s="39">
        <f>SUMIFS(pg_transaction_cleaned!$H:$H,pg_transaction_cleaned!$O:$O,A494,pg_transaction_cleaned!$F:$F,"CAPTURE")</f>
        <v>2897</v>
      </c>
      <c r="L494" s="23">
        <f>COUNTIFS(pg_transaction_cleaned!$O:$O,A494,pg_transaction_cleaned!$F:$F,"REFUND")</f>
        <v>0</v>
      </c>
      <c r="M494" s="39">
        <f>SUMIFS(pg_transaction_cleaned!$H:$H,pg_transaction_cleaned!$O:$O,A494,pg_transaction_cleaned!$F:$F,"REFUND")</f>
        <v>0</v>
      </c>
      <c r="N494" s="23" t="str">
        <f t="shared" si="30"/>
        <v>OK</v>
      </c>
      <c r="O494" s="24">
        <f t="shared" si="31"/>
        <v>0</v>
      </c>
    </row>
    <row r="495" spans="1:15" ht="15" customHeight="1" x14ac:dyDescent="0.3">
      <c r="A495" s="23" t="s">
        <v>1392</v>
      </c>
      <c r="B495" s="38">
        <v>46266</v>
      </c>
      <c r="C495" s="23" t="s">
        <v>1393</v>
      </c>
      <c r="D495" s="23" t="s">
        <v>90</v>
      </c>
      <c r="E495" s="23" t="s">
        <v>79</v>
      </c>
      <c r="F495" s="23" t="s">
        <v>343</v>
      </c>
      <c r="G495" s="23" t="s">
        <v>250</v>
      </c>
      <c r="H495" s="39">
        <f t="shared" si="28"/>
        <v>9498</v>
      </c>
      <c r="I495" s="23" t="str">
        <f t="shared" si="29"/>
        <v>Ahmedabad</v>
      </c>
      <c r="J495" s="23">
        <f>COUNTIFS(pg_transaction_cleaned!$O:$O,A495,pg_transaction_cleaned!$F:$F,"CAPTURE")</f>
        <v>1</v>
      </c>
      <c r="K495" s="39">
        <f>SUMIFS(pg_transaction_cleaned!$H:$H,pg_transaction_cleaned!$O:$O,A495,pg_transaction_cleaned!$F:$F,"CAPTURE")</f>
        <v>9498</v>
      </c>
      <c r="L495" s="23">
        <f>COUNTIFS(pg_transaction_cleaned!$O:$O,A495,pg_transaction_cleaned!$F:$F,"REFUND")</f>
        <v>0</v>
      </c>
      <c r="M495" s="39">
        <f>SUMIFS(pg_transaction_cleaned!$H:$H,pg_transaction_cleaned!$O:$O,A495,pg_transaction_cleaned!$F:$F,"REFUND")</f>
        <v>0</v>
      </c>
      <c r="N495" s="23" t="str">
        <f t="shared" si="30"/>
        <v>OK</v>
      </c>
      <c r="O495" s="24">
        <f t="shared" si="31"/>
        <v>0</v>
      </c>
    </row>
    <row r="496" spans="1:15" ht="15" customHeight="1" x14ac:dyDescent="0.3">
      <c r="A496" s="23" t="s">
        <v>1394</v>
      </c>
      <c r="B496" s="38">
        <v>46269</v>
      </c>
      <c r="C496" s="23" t="s">
        <v>1395</v>
      </c>
      <c r="D496" s="23" t="s">
        <v>86</v>
      </c>
      <c r="E496" s="23" t="s">
        <v>81</v>
      </c>
      <c r="F496" s="23" t="s">
        <v>274</v>
      </c>
      <c r="G496" s="23" t="s">
        <v>250</v>
      </c>
      <c r="H496" s="39">
        <f t="shared" si="28"/>
        <v>349</v>
      </c>
      <c r="I496" s="23" t="str">
        <f t="shared" si="29"/>
        <v>Delhi</v>
      </c>
      <c r="J496" s="23">
        <f>COUNTIFS(pg_transaction_cleaned!$O:$O,A496,pg_transaction_cleaned!$F:$F,"CAPTURE")</f>
        <v>1</v>
      </c>
      <c r="K496" s="39">
        <f>SUMIFS(pg_transaction_cleaned!$H:$H,pg_transaction_cleaned!$O:$O,A496,pg_transaction_cleaned!$F:$F,"CAPTURE")</f>
        <v>349</v>
      </c>
      <c r="L496" s="23">
        <f>COUNTIFS(pg_transaction_cleaned!$O:$O,A496,pg_transaction_cleaned!$F:$F,"REFUND")</f>
        <v>0</v>
      </c>
      <c r="M496" s="39">
        <f>SUMIFS(pg_transaction_cleaned!$H:$H,pg_transaction_cleaned!$O:$O,A496,pg_transaction_cleaned!$F:$F,"REFUND")</f>
        <v>0</v>
      </c>
      <c r="N496" s="23" t="str">
        <f t="shared" si="30"/>
        <v>OK</v>
      </c>
      <c r="O496" s="24">
        <f t="shared" si="31"/>
        <v>0</v>
      </c>
    </row>
    <row r="497" spans="1:15" ht="15" customHeight="1" x14ac:dyDescent="0.3">
      <c r="A497" s="23" t="s">
        <v>1396</v>
      </c>
      <c r="B497" s="38">
        <v>46272</v>
      </c>
      <c r="C497" s="23" t="s">
        <v>1397</v>
      </c>
      <c r="D497" s="23" t="s">
        <v>88</v>
      </c>
      <c r="E497" s="23" t="s">
        <v>79</v>
      </c>
      <c r="F497" s="23" t="s">
        <v>337</v>
      </c>
      <c r="G497" s="23" t="s">
        <v>250</v>
      </c>
      <c r="H497" s="39">
        <f t="shared" si="28"/>
        <v>3998</v>
      </c>
      <c r="I497" s="23" t="str">
        <f t="shared" si="29"/>
        <v>Lucknow</v>
      </c>
      <c r="J497" s="23">
        <f>COUNTIFS(pg_transaction_cleaned!$O:$O,A497,pg_transaction_cleaned!$F:$F,"CAPTURE")</f>
        <v>1</v>
      </c>
      <c r="K497" s="39">
        <f>SUMIFS(pg_transaction_cleaned!$H:$H,pg_transaction_cleaned!$O:$O,A497,pg_transaction_cleaned!$F:$F,"CAPTURE")</f>
        <v>3998</v>
      </c>
      <c r="L497" s="23">
        <f>COUNTIFS(pg_transaction_cleaned!$O:$O,A497,pg_transaction_cleaned!$F:$F,"REFUND")</f>
        <v>0</v>
      </c>
      <c r="M497" s="39">
        <f>SUMIFS(pg_transaction_cleaned!$H:$H,pg_transaction_cleaned!$O:$O,A497,pg_transaction_cleaned!$F:$F,"REFUND")</f>
        <v>0</v>
      </c>
      <c r="N497" s="23" t="str">
        <f t="shared" si="30"/>
        <v>OK</v>
      </c>
      <c r="O497" s="24">
        <f t="shared" si="31"/>
        <v>0</v>
      </c>
    </row>
    <row r="498" spans="1:15" ht="15" customHeight="1" x14ac:dyDescent="0.3">
      <c r="A498" s="23" t="s">
        <v>1398</v>
      </c>
      <c r="B498" s="38">
        <v>46274</v>
      </c>
      <c r="C498" s="23" t="s">
        <v>1399</v>
      </c>
      <c r="D498" s="23" t="s">
        <v>90</v>
      </c>
      <c r="E498" s="23" t="s">
        <v>75</v>
      </c>
      <c r="F498" s="23" t="s">
        <v>249</v>
      </c>
      <c r="G498" s="23" t="s">
        <v>301</v>
      </c>
      <c r="H498" s="39">
        <f t="shared" si="28"/>
        <v>299</v>
      </c>
      <c r="I498" s="23" t="str">
        <f t="shared" si="29"/>
        <v>Ahmedabad</v>
      </c>
      <c r="J498" s="23">
        <f>COUNTIFS(pg_transaction_cleaned!$O:$O,A498,pg_transaction_cleaned!$F:$F,"CAPTURE")</f>
        <v>1</v>
      </c>
      <c r="K498" s="39">
        <f>SUMIFS(pg_transaction_cleaned!$H:$H,pg_transaction_cleaned!$O:$O,A498,pg_transaction_cleaned!$F:$F,"CAPTURE")</f>
        <v>299</v>
      </c>
      <c r="L498" s="23">
        <f>COUNTIFS(pg_transaction_cleaned!$O:$O,A498,pg_transaction_cleaned!$F:$F,"REFUND")</f>
        <v>1</v>
      </c>
      <c r="M498" s="39">
        <f>SUMIFS(pg_transaction_cleaned!$H:$H,pg_transaction_cleaned!$O:$O,A498,pg_transaction_cleaned!$F:$F,"REFUND")</f>
        <v>299</v>
      </c>
      <c r="N498" s="23" t="str">
        <f t="shared" si="30"/>
        <v>OK</v>
      </c>
      <c r="O498" s="24">
        <f t="shared" si="31"/>
        <v>0</v>
      </c>
    </row>
    <row r="499" spans="1:15" ht="15" customHeight="1" x14ac:dyDescent="0.3">
      <c r="A499" s="23" t="s">
        <v>1400</v>
      </c>
      <c r="B499" s="38">
        <v>46291</v>
      </c>
      <c r="C499" s="23" t="s">
        <v>1401</v>
      </c>
      <c r="D499" s="23" t="s">
        <v>91</v>
      </c>
      <c r="E499" s="23" t="s">
        <v>81</v>
      </c>
      <c r="F499" s="23" t="s">
        <v>274</v>
      </c>
      <c r="G499" s="23" t="s">
        <v>365</v>
      </c>
      <c r="H499" s="39">
        <f t="shared" si="28"/>
        <v>349</v>
      </c>
      <c r="I499" s="23" t="str">
        <f t="shared" si="29"/>
        <v>Pune</v>
      </c>
      <c r="J499" s="23">
        <f>COUNTIFS(pg_transaction_cleaned!$O:$O,A499,pg_transaction_cleaned!$F:$F,"CAPTURE")</f>
        <v>0</v>
      </c>
      <c r="K499" s="39">
        <f>SUMIFS(pg_transaction_cleaned!$H:$H,pg_transaction_cleaned!$O:$O,A499,pg_transaction_cleaned!$F:$F,"CAPTURE")</f>
        <v>0</v>
      </c>
      <c r="L499" s="23">
        <f>COUNTIFS(pg_transaction_cleaned!$O:$O,A499,pg_transaction_cleaned!$F:$F,"REFUND")</f>
        <v>0</v>
      </c>
      <c r="M499" s="39">
        <f>SUMIFS(pg_transaction_cleaned!$H:$H,pg_transaction_cleaned!$O:$O,A499,pg_transaction_cleaned!$F:$F,"REFUND")</f>
        <v>0</v>
      </c>
      <c r="N499" s="23" t="str">
        <f t="shared" si="30"/>
        <v>OK</v>
      </c>
      <c r="O499" s="24">
        <f t="shared" si="31"/>
        <v>0</v>
      </c>
    </row>
    <row r="500" spans="1:15" ht="15" customHeight="1" x14ac:dyDescent="0.3">
      <c r="A500" s="23" t="s">
        <v>1402</v>
      </c>
      <c r="B500" s="38">
        <v>46267</v>
      </c>
      <c r="C500" s="23" t="s">
        <v>1403</v>
      </c>
      <c r="D500" s="23" t="s">
        <v>90</v>
      </c>
      <c r="E500" s="23" t="s">
        <v>75</v>
      </c>
      <c r="F500" s="23" t="s">
        <v>1372</v>
      </c>
      <c r="G500" s="23" t="s">
        <v>365</v>
      </c>
      <c r="H500" s="39">
        <f t="shared" si="28"/>
        <v>798</v>
      </c>
      <c r="I500" s="23" t="str">
        <f t="shared" si="29"/>
        <v>Ahmedabad</v>
      </c>
      <c r="J500" s="23">
        <f>COUNTIFS(pg_transaction_cleaned!$O:$O,A500,pg_transaction_cleaned!$F:$F,"CAPTURE")</f>
        <v>0</v>
      </c>
      <c r="K500" s="39">
        <f>SUMIFS(pg_transaction_cleaned!$H:$H,pg_transaction_cleaned!$O:$O,A500,pg_transaction_cleaned!$F:$F,"CAPTURE")</f>
        <v>0</v>
      </c>
      <c r="L500" s="23">
        <f>COUNTIFS(pg_transaction_cleaned!$O:$O,A500,pg_transaction_cleaned!$F:$F,"REFUND")</f>
        <v>0</v>
      </c>
      <c r="M500" s="39">
        <f>SUMIFS(pg_transaction_cleaned!$H:$H,pg_transaction_cleaned!$O:$O,A500,pg_transaction_cleaned!$F:$F,"REFUND")</f>
        <v>0</v>
      </c>
      <c r="N500" s="23" t="str">
        <f t="shared" si="30"/>
        <v>OK</v>
      </c>
      <c r="O500" s="24">
        <f t="shared" si="31"/>
        <v>0</v>
      </c>
    </row>
    <row r="501" spans="1:15" ht="15" customHeight="1" x14ac:dyDescent="0.3">
      <c r="A501" s="23" t="s">
        <v>1404</v>
      </c>
      <c r="B501" s="38">
        <v>46266</v>
      </c>
      <c r="C501" s="23" t="s">
        <v>1405</v>
      </c>
      <c r="D501" s="23" t="s">
        <v>92</v>
      </c>
      <c r="E501" s="23" t="s">
        <v>75</v>
      </c>
      <c r="F501" s="23" t="s">
        <v>288</v>
      </c>
      <c r="G501" s="23" t="s">
        <v>250</v>
      </c>
      <c r="H501" s="39">
        <f t="shared" si="28"/>
        <v>4298</v>
      </c>
      <c r="I501" s="23" t="str">
        <f t="shared" si="29"/>
        <v>Hyderabad</v>
      </c>
      <c r="J501" s="23">
        <f>COUNTIFS(pg_transaction_cleaned!$O:$O,A501,pg_transaction_cleaned!$F:$F,"CAPTURE")</f>
        <v>1</v>
      </c>
      <c r="K501" s="39">
        <f>SUMIFS(pg_transaction_cleaned!$H:$H,pg_transaction_cleaned!$O:$O,A501,pg_transaction_cleaned!$F:$F,"CAPTURE")</f>
        <v>4298</v>
      </c>
      <c r="L501" s="23">
        <f>COUNTIFS(pg_transaction_cleaned!$O:$O,A501,pg_transaction_cleaned!$F:$F,"REFUND")</f>
        <v>0</v>
      </c>
      <c r="M501" s="39">
        <f>SUMIFS(pg_transaction_cleaned!$H:$H,pg_transaction_cleaned!$O:$O,A501,pg_transaction_cleaned!$F:$F,"REFUND")</f>
        <v>0</v>
      </c>
      <c r="N501" s="23" t="str">
        <f t="shared" si="30"/>
        <v>OK</v>
      </c>
      <c r="O501" s="24">
        <f t="shared" si="31"/>
        <v>0</v>
      </c>
    </row>
    <row r="502" spans="1:15" ht="15" customHeight="1" x14ac:dyDescent="0.3">
      <c r="A502" s="23" t="s">
        <v>1406</v>
      </c>
      <c r="B502" s="38">
        <v>46274</v>
      </c>
      <c r="C502" s="23" t="s">
        <v>1407</v>
      </c>
      <c r="D502" s="23" t="s">
        <v>92</v>
      </c>
      <c r="E502" s="23" t="s">
        <v>79</v>
      </c>
      <c r="F502" s="23" t="s">
        <v>1372</v>
      </c>
      <c r="G502" s="23" t="s">
        <v>250</v>
      </c>
      <c r="H502" s="39">
        <f t="shared" si="28"/>
        <v>798</v>
      </c>
      <c r="I502" s="23" t="str">
        <f t="shared" si="29"/>
        <v>Hyderabad</v>
      </c>
      <c r="J502" s="23">
        <f>COUNTIFS(pg_transaction_cleaned!$O:$O,A502,pg_transaction_cleaned!$F:$F,"CAPTURE")</f>
        <v>1</v>
      </c>
      <c r="K502" s="39">
        <f>SUMIFS(pg_transaction_cleaned!$H:$H,pg_transaction_cleaned!$O:$O,A502,pg_transaction_cleaned!$F:$F,"CAPTURE")</f>
        <v>798</v>
      </c>
      <c r="L502" s="23">
        <f>COUNTIFS(pg_transaction_cleaned!$O:$O,A502,pg_transaction_cleaned!$F:$F,"REFUND")</f>
        <v>0</v>
      </c>
      <c r="M502" s="39">
        <f>SUMIFS(pg_transaction_cleaned!$H:$H,pg_transaction_cleaned!$O:$O,A502,pg_transaction_cleaned!$F:$F,"REFUND")</f>
        <v>0</v>
      </c>
      <c r="N502" s="23" t="str">
        <f t="shared" si="30"/>
        <v>OK</v>
      </c>
      <c r="O502" s="24">
        <f t="shared" si="31"/>
        <v>0</v>
      </c>
    </row>
    <row r="503" spans="1:15" ht="15" customHeight="1" x14ac:dyDescent="0.3">
      <c r="A503" s="23" t="s">
        <v>1408</v>
      </c>
      <c r="B503" s="38">
        <v>46281</v>
      </c>
      <c r="C503" s="23" t="s">
        <v>1409</v>
      </c>
      <c r="D503" s="23" t="s">
        <v>93</v>
      </c>
      <c r="E503" s="23" t="s">
        <v>75</v>
      </c>
      <c r="F503" s="23" t="s">
        <v>259</v>
      </c>
      <c r="G503" s="23" t="s">
        <v>250</v>
      </c>
      <c r="H503" s="39">
        <f t="shared" si="28"/>
        <v>3298</v>
      </c>
      <c r="I503" s="23" t="str">
        <f t="shared" si="29"/>
        <v>Kolkata</v>
      </c>
      <c r="J503" s="23">
        <f>COUNTIFS(pg_transaction_cleaned!$O:$O,A503,pg_transaction_cleaned!$F:$F,"CAPTURE")</f>
        <v>1</v>
      </c>
      <c r="K503" s="39">
        <f>SUMIFS(pg_transaction_cleaned!$H:$H,pg_transaction_cleaned!$O:$O,A503,pg_transaction_cleaned!$F:$F,"CAPTURE")</f>
        <v>3298</v>
      </c>
      <c r="L503" s="23">
        <f>COUNTIFS(pg_transaction_cleaned!$O:$O,A503,pg_transaction_cleaned!$F:$F,"REFUND")</f>
        <v>0</v>
      </c>
      <c r="M503" s="39">
        <f>SUMIFS(pg_transaction_cleaned!$H:$H,pg_transaction_cleaned!$O:$O,A503,pg_transaction_cleaned!$F:$F,"REFUND")</f>
        <v>0</v>
      </c>
      <c r="N503" s="23" t="str">
        <f t="shared" si="30"/>
        <v>OK</v>
      </c>
      <c r="O503" s="24">
        <f t="shared" si="31"/>
        <v>0</v>
      </c>
    </row>
    <row r="504" spans="1:15" ht="15" customHeight="1" x14ac:dyDescent="0.3">
      <c r="A504" s="23" t="s">
        <v>1410</v>
      </c>
      <c r="B504" s="38">
        <v>46272</v>
      </c>
      <c r="C504" s="23" t="s">
        <v>1411</v>
      </c>
      <c r="D504" s="23" t="s">
        <v>93</v>
      </c>
      <c r="E504" s="23" t="s">
        <v>81</v>
      </c>
      <c r="F504" s="23" t="s">
        <v>1412</v>
      </c>
      <c r="G504" s="23" t="s">
        <v>250</v>
      </c>
      <c r="H504" s="39">
        <f t="shared" si="28"/>
        <v>7397</v>
      </c>
      <c r="I504" s="23" t="str">
        <f t="shared" si="29"/>
        <v>Kolkata</v>
      </c>
      <c r="J504" s="23">
        <f>COUNTIFS(pg_transaction_cleaned!$O:$O,A504,pg_transaction_cleaned!$F:$F,"CAPTURE")</f>
        <v>1</v>
      </c>
      <c r="K504" s="39">
        <f>SUMIFS(pg_transaction_cleaned!$H:$H,pg_transaction_cleaned!$O:$O,A504,pg_transaction_cleaned!$F:$F,"CAPTURE")</f>
        <v>7397</v>
      </c>
      <c r="L504" s="23">
        <f>COUNTIFS(pg_transaction_cleaned!$O:$O,A504,pg_transaction_cleaned!$F:$F,"REFUND")</f>
        <v>0</v>
      </c>
      <c r="M504" s="39">
        <f>SUMIFS(pg_transaction_cleaned!$H:$H,pg_transaction_cleaned!$O:$O,A504,pg_transaction_cleaned!$F:$F,"REFUND")</f>
        <v>0</v>
      </c>
      <c r="N504" s="23" t="str">
        <f t="shared" si="30"/>
        <v>OK</v>
      </c>
      <c r="O504" s="24">
        <f t="shared" si="31"/>
        <v>0</v>
      </c>
    </row>
    <row r="505" spans="1:15" ht="15" customHeight="1" x14ac:dyDescent="0.3">
      <c r="A505" s="23" t="s">
        <v>1413</v>
      </c>
      <c r="B505" s="38">
        <v>46291</v>
      </c>
      <c r="C505" s="23" t="s">
        <v>1414</v>
      </c>
      <c r="D505" s="23" t="s">
        <v>89</v>
      </c>
      <c r="E505" s="23" t="s">
        <v>75</v>
      </c>
      <c r="F505" s="23" t="s">
        <v>1308</v>
      </c>
      <c r="G505" s="23" t="s">
        <v>250</v>
      </c>
      <c r="H505" s="39">
        <f t="shared" si="28"/>
        <v>4297</v>
      </c>
      <c r="I505" s="23" t="str">
        <f t="shared" si="29"/>
        <v>Jaipur</v>
      </c>
      <c r="J505" s="23">
        <f>COUNTIFS(pg_transaction_cleaned!$O:$O,A505,pg_transaction_cleaned!$F:$F,"CAPTURE")</f>
        <v>1</v>
      </c>
      <c r="K505" s="39">
        <f>SUMIFS(pg_transaction_cleaned!$H:$H,pg_transaction_cleaned!$O:$O,A505,pg_transaction_cleaned!$F:$F,"CAPTURE")</f>
        <v>4297</v>
      </c>
      <c r="L505" s="23">
        <f>COUNTIFS(pg_transaction_cleaned!$O:$O,A505,pg_transaction_cleaned!$F:$F,"REFUND")</f>
        <v>0</v>
      </c>
      <c r="M505" s="39">
        <f>SUMIFS(pg_transaction_cleaned!$H:$H,pg_transaction_cleaned!$O:$O,A505,pg_transaction_cleaned!$F:$F,"REFUND")</f>
        <v>0</v>
      </c>
      <c r="N505" s="23" t="str">
        <f t="shared" si="30"/>
        <v>OK</v>
      </c>
      <c r="O505" s="24">
        <f t="shared" si="31"/>
        <v>0</v>
      </c>
    </row>
    <row r="506" spans="1:15" ht="15" customHeight="1" x14ac:dyDescent="0.3">
      <c r="A506" s="23" t="s">
        <v>1415</v>
      </c>
      <c r="B506" s="38">
        <v>46276</v>
      </c>
      <c r="C506" s="23" t="s">
        <v>1416</v>
      </c>
      <c r="D506" s="23" t="s">
        <v>92</v>
      </c>
      <c r="E506" s="23" t="s">
        <v>79</v>
      </c>
      <c r="F506" s="23" t="s">
        <v>582</v>
      </c>
      <c r="G506" s="23" t="s">
        <v>250</v>
      </c>
      <c r="H506" s="39">
        <f t="shared" si="28"/>
        <v>1298</v>
      </c>
      <c r="I506" s="23" t="str">
        <f t="shared" si="29"/>
        <v>Hyderabad</v>
      </c>
      <c r="J506" s="23">
        <f>COUNTIFS(pg_transaction_cleaned!$O:$O,A506,pg_transaction_cleaned!$F:$F,"CAPTURE")</f>
        <v>1</v>
      </c>
      <c r="K506" s="39">
        <f>SUMIFS(pg_transaction_cleaned!$H:$H,pg_transaction_cleaned!$O:$O,A506,pg_transaction_cleaned!$F:$F,"CAPTURE")</f>
        <v>1298</v>
      </c>
      <c r="L506" s="23">
        <f>COUNTIFS(pg_transaction_cleaned!$O:$O,A506,pg_transaction_cleaned!$F:$F,"REFUND")</f>
        <v>0</v>
      </c>
      <c r="M506" s="39">
        <f>SUMIFS(pg_transaction_cleaned!$H:$H,pg_transaction_cleaned!$O:$O,A506,pg_transaction_cleaned!$F:$F,"REFUND")</f>
        <v>0</v>
      </c>
      <c r="N506" s="23" t="str">
        <f t="shared" si="30"/>
        <v>OK</v>
      </c>
      <c r="O506" s="24">
        <f t="shared" si="31"/>
        <v>0</v>
      </c>
    </row>
    <row r="507" spans="1:15" ht="15" customHeight="1" x14ac:dyDescent="0.3">
      <c r="A507" s="23" t="s">
        <v>1417</v>
      </c>
      <c r="B507" s="38">
        <v>46267</v>
      </c>
      <c r="C507" s="23" t="s">
        <v>1418</v>
      </c>
      <c r="D507" s="23" t="s">
        <v>91</v>
      </c>
      <c r="E507" s="23" t="s">
        <v>77</v>
      </c>
      <c r="F507" s="23" t="s">
        <v>553</v>
      </c>
      <c r="G507" s="23" t="s">
        <v>250</v>
      </c>
      <c r="H507" s="39">
        <f t="shared" si="28"/>
        <v>2798</v>
      </c>
      <c r="I507" s="23" t="str">
        <f t="shared" si="29"/>
        <v>Pune</v>
      </c>
      <c r="J507" s="23">
        <f>COUNTIFS(pg_transaction_cleaned!$O:$O,A507,pg_transaction_cleaned!$F:$F,"CAPTURE")</f>
        <v>1</v>
      </c>
      <c r="K507" s="39">
        <f>SUMIFS(pg_transaction_cleaned!$H:$H,pg_transaction_cleaned!$O:$O,A507,pg_transaction_cleaned!$F:$F,"CAPTURE")</f>
        <v>2798</v>
      </c>
      <c r="L507" s="23">
        <f>COUNTIFS(pg_transaction_cleaned!$O:$O,A507,pg_transaction_cleaned!$F:$F,"REFUND")</f>
        <v>0</v>
      </c>
      <c r="M507" s="39">
        <f>SUMIFS(pg_transaction_cleaned!$H:$H,pg_transaction_cleaned!$O:$O,A507,pg_transaction_cleaned!$F:$F,"REFUND")</f>
        <v>0</v>
      </c>
      <c r="N507" s="23" t="str">
        <f t="shared" si="30"/>
        <v>OK</v>
      </c>
      <c r="O507" s="24">
        <f t="shared" si="31"/>
        <v>0</v>
      </c>
    </row>
    <row r="508" spans="1:15" ht="15" customHeight="1" x14ac:dyDescent="0.3">
      <c r="A508" s="23" t="s">
        <v>1419</v>
      </c>
      <c r="B508" s="38">
        <v>46273</v>
      </c>
      <c r="C508" s="23" t="s">
        <v>1420</v>
      </c>
      <c r="D508" s="23" t="s">
        <v>95</v>
      </c>
      <c r="E508" s="23" t="s">
        <v>77</v>
      </c>
      <c r="F508" s="23" t="s">
        <v>1421</v>
      </c>
      <c r="G508" s="23" t="s">
        <v>250</v>
      </c>
      <c r="H508" s="39">
        <f t="shared" si="28"/>
        <v>3197</v>
      </c>
      <c r="I508" s="23" t="str">
        <f t="shared" si="29"/>
        <v>Bengaluru</v>
      </c>
      <c r="J508" s="23">
        <f>COUNTIFS(pg_transaction_cleaned!$O:$O,A508,pg_transaction_cleaned!$F:$F,"CAPTURE")</f>
        <v>1</v>
      </c>
      <c r="K508" s="39">
        <f>SUMIFS(pg_transaction_cleaned!$H:$H,pg_transaction_cleaned!$O:$O,A508,pg_transaction_cleaned!$F:$F,"CAPTURE")</f>
        <v>3197</v>
      </c>
      <c r="L508" s="23">
        <f>COUNTIFS(pg_transaction_cleaned!$O:$O,A508,pg_transaction_cleaned!$F:$F,"REFUND")</f>
        <v>0</v>
      </c>
      <c r="M508" s="39">
        <f>SUMIFS(pg_transaction_cleaned!$H:$H,pg_transaction_cleaned!$O:$O,A508,pg_transaction_cleaned!$F:$F,"REFUND")</f>
        <v>0</v>
      </c>
      <c r="N508" s="23" t="str">
        <f t="shared" si="30"/>
        <v>OK</v>
      </c>
      <c r="O508" s="24">
        <f t="shared" si="31"/>
        <v>0</v>
      </c>
    </row>
    <row r="509" spans="1:15" ht="15" customHeight="1" x14ac:dyDescent="0.3">
      <c r="A509" s="23" t="s">
        <v>1422</v>
      </c>
      <c r="B509" s="38">
        <v>46284</v>
      </c>
      <c r="C509" s="23" t="s">
        <v>1423</v>
      </c>
      <c r="D509" s="23" t="s">
        <v>88</v>
      </c>
      <c r="E509" s="23" t="s">
        <v>75</v>
      </c>
      <c r="F509" s="23" t="s">
        <v>622</v>
      </c>
      <c r="G509" s="23" t="s">
        <v>301</v>
      </c>
      <c r="H509" s="39">
        <f t="shared" si="28"/>
        <v>8998</v>
      </c>
      <c r="I509" s="23" t="str">
        <f t="shared" si="29"/>
        <v>Lucknow</v>
      </c>
      <c r="J509" s="23">
        <f>COUNTIFS(pg_transaction_cleaned!$O:$O,A509,pg_transaction_cleaned!$F:$F,"CAPTURE")</f>
        <v>1</v>
      </c>
      <c r="K509" s="39">
        <f>SUMIFS(pg_transaction_cleaned!$H:$H,pg_transaction_cleaned!$O:$O,A509,pg_transaction_cleaned!$F:$F,"CAPTURE")</f>
        <v>8998</v>
      </c>
      <c r="L509" s="23">
        <f>COUNTIFS(pg_transaction_cleaned!$O:$O,A509,pg_transaction_cleaned!$F:$F,"REFUND")</f>
        <v>0</v>
      </c>
      <c r="M509" s="39">
        <f>SUMIFS(pg_transaction_cleaned!$H:$H,pg_transaction_cleaned!$O:$O,A509,pg_transaction_cleaned!$F:$F,"REFUND")</f>
        <v>0</v>
      </c>
      <c r="N509" s="23" t="str">
        <f t="shared" si="30"/>
        <v>Refunded, no refund</v>
      </c>
      <c r="O509" s="24">
        <f t="shared" si="31"/>
        <v>8998</v>
      </c>
    </row>
    <row r="510" spans="1:15" ht="15" customHeight="1" x14ac:dyDescent="0.3">
      <c r="A510" s="23" t="s">
        <v>1424</v>
      </c>
      <c r="B510" s="38">
        <v>46276</v>
      </c>
      <c r="C510" s="23" t="s">
        <v>1425</v>
      </c>
      <c r="D510" s="23" t="s">
        <v>88</v>
      </c>
      <c r="E510" s="23" t="s">
        <v>79</v>
      </c>
      <c r="F510" s="23" t="s">
        <v>1265</v>
      </c>
      <c r="G510" s="23" t="s">
        <v>250</v>
      </c>
      <c r="H510" s="39">
        <f t="shared" si="28"/>
        <v>6997</v>
      </c>
      <c r="I510" s="23" t="str">
        <f t="shared" si="29"/>
        <v>Lucknow</v>
      </c>
      <c r="J510" s="23">
        <f>COUNTIFS(pg_transaction_cleaned!$O:$O,A510,pg_transaction_cleaned!$F:$F,"CAPTURE")</f>
        <v>1</v>
      </c>
      <c r="K510" s="39">
        <f>SUMIFS(pg_transaction_cleaned!$H:$H,pg_transaction_cleaned!$O:$O,A510,pg_transaction_cleaned!$F:$F,"CAPTURE")</f>
        <v>6997</v>
      </c>
      <c r="L510" s="23">
        <f>COUNTIFS(pg_transaction_cleaned!$O:$O,A510,pg_transaction_cleaned!$F:$F,"REFUND")</f>
        <v>0</v>
      </c>
      <c r="M510" s="39">
        <f>SUMIFS(pg_transaction_cleaned!$H:$H,pg_transaction_cleaned!$O:$O,A510,pg_transaction_cleaned!$F:$F,"REFUND")</f>
        <v>0</v>
      </c>
      <c r="N510" s="23" t="str">
        <f t="shared" si="30"/>
        <v>OK</v>
      </c>
      <c r="O510" s="24">
        <f t="shared" si="31"/>
        <v>0</v>
      </c>
    </row>
    <row r="511" spans="1:15" ht="15" customHeight="1" x14ac:dyDescent="0.3">
      <c r="A511" s="23" t="s">
        <v>1426</v>
      </c>
      <c r="B511" s="38">
        <v>46270</v>
      </c>
      <c r="C511" s="23" t="s">
        <v>1427</v>
      </c>
      <c r="D511" s="23" t="s">
        <v>89</v>
      </c>
      <c r="E511" s="23" t="s">
        <v>77</v>
      </c>
      <c r="F511" s="23" t="s">
        <v>1428</v>
      </c>
      <c r="G511" s="23" t="s">
        <v>301</v>
      </c>
      <c r="H511" s="39">
        <f t="shared" si="28"/>
        <v>8598</v>
      </c>
      <c r="I511" s="23" t="str">
        <f t="shared" si="29"/>
        <v>Jaipur</v>
      </c>
      <c r="J511" s="23">
        <f>COUNTIFS(pg_transaction_cleaned!$O:$O,A511,pg_transaction_cleaned!$F:$F,"CAPTURE")</f>
        <v>1</v>
      </c>
      <c r="K511" s="39">
        <f>SUMIFS(pg_transaction_cleaned!$H:$H,pg_transaction_cleaned!$O:$O,A511,pg_transaction_cleaned!$F:$F,"CAPTURE")</f>
        <v>8598</v>
      </c>
      <c r="L511" s="23">
        <f>COUNTIFS(pg_transaction_cleaned!$O:$O,A511,pg_transaction_cleaned!$F:$F,"REFUND")</f>
        <v>1</v>
      </c>
      <c r="M511" s="39">
        <f>SUMIFS(pg_transaction_cleaned!$H:$H,pg_transaction_cleaned!$O:$O,A511,pg_transaction_cleaned!$F:$F,"REFUND")</f>
        <v>8598</v>
      </c>
      <c r="N511" s="23" t="str">
        <f t="shared" si="30"/>
        <v>OK</v>
      </c>
      <c r="O511" s="24">
        <f t="shared" si="31"/>
        <v>0</v>
      </c>
    </row>
    <row r="512" spans="1:15" ht="15" customHeight="1" x14ac:dyDescent="0.3">
      <c r="A512" s="23" t="s">
        <v>1429</v>
      </c>
      <c r="B512" s="38">
        <v>46275</v>
      </c>
      <c r="C512" s="23" t="s">
        <v>1430</v>
      </c>
      <c r="D512" s="23" t="s">
        <v>95</v>
      </c>
      <c r="E512" s="23" t="s">
        <v>75</v>
      </c>
      <c r="F512" s="23" t="s">
        <v>315</v>
      </c>
      <c r="G512" s="23" t="s">
        <v>250</v>
      </c>
      <c r="H512" s="39">
        <f t="shared" si="28"/>
        <v>1499</v>
      </c>
      <c r="I512" s="23" t="str">
        <f t="shared" si="29"/>
        <v>Bengaluru</v>
      </c>
      <c r="J512" s="23">
        <f>COUNTIFS(pg_transaction_cleaned!$O:$O,A512,pg_transaction_cleaned!$F:$F,"CAPTURE")</f>
        <v>1</v>
      </c>
      <c r="K512" s="39">
        <f>SUMIFS(pg_transaction_cleaned!$H:$H,pg_transaction_cleaned!$O:$O,A512,pg_transaction_cleaned!$F:$F,"CAPTURE")</f>
        <v>1499</v>
      </c>
      <c r="L512" s="23">
        <f>COUNTIFS(pg_transaction_cleaned!$O:$O,A512,pg_transaction_cleaned!$F:$F,"REFUND")</f>
        <v>0</v>
      </c>
      <c r="M512" s="39">
        <f>SUMIFS(pg_transaction_cleaned!$H:$H,pg_transaction_cleaned!$O:$O,A512,pg_transaction_cleaned!$F:$F,"REFUND")</f>
        <v>0</v>
      </c>
      <c r="N512" s="23" t="str">
        <f t="shared" si="30"/>
        <v>OK</v>
      </c>
      <c r="O512" s="24">
        <f t="shared" si="31"/>
        <v>0</v>
      </c>
    </row>
    <row r="513" spans="1:15" ht="15" customHeight="1" x14ac:dyDescent="0.3">
      <c r="A513" s="23" t="s">
        <v>1431</v>
      </c>
      <c r="B513" s="38">
        <v>46266</v>
      </c>
      <c r="C513" s="23" t="s">
        <v>1432</v>
      </c>
      <c r="D513" s="23" t="s">
        <v>94</v>
      </c>
      <c r="E513" s="23" t="s">
        <v>79</v>
      </c>
      <c r="F513" s="23" t="s">
        <v>349</v>
      </c>
      <c r="G513" s="23" t="s">
        <v>250</v>
      </c>
      <c r="H513" s="39">
        <f t="shared" si="28"/>
        <v>1798</v>
      </c>
      <c r="I513" s="23" t="str">
        <f t="shared" si="29"/>
        <v>Chennai</v>
      </c>
      <c r="J513" s="23">
        <f>COUNTIFS(pg_transaction_cleaned!$O:$O,A513,pg_transaction_cleaned!$F:$F,"CAPTURE")</f>
        <v>1</v>
      </c>
      <c r="K513" s="39">
        <f>SUMIFS(pg_transaction_cleaned!$H:$H,pg_transaction_cleaned!$O:$O,A513,pg_transaction_cleaned!$F:$F,"CAPTURE")</f>
        <v>1798</v>
      </c>
      <c r="L513" s="23">
        <f>COUNTIFS(pg_transaction_cleaned!$O:$O,A513,pg_transaction_cleaned!$F:$F,"REFUND")</f>
        <v>0</v>
      </c>
      <c r="M513" s="39">
        <f>SUMIFS(pg_transaction_cleaned!$H:$H,pg_transaction_cleaned!$O:$O,A513,pg_transaction_cleaned!$F:$F,"REFUND")</f>
        <v>0</v>
      </c>
      <c r="N513" s="23" t="str">
        <f t="shared" si="30"/>
        <v>OK</v>
      </c>
      <c r="O513" s="24">
        <f t="shared" si="31"/>
        <v>0</v>
      </c>
    </row>
    <row r="514" spans="1:15" ht="15" customHeight="1" x14ac:dyDescent="0.3">
      <c r="A514" s="23" t="s">
        <v>1433</v>
      </c>
      <c r="B514" s="38">
        <v>46288</v>
      </c>
      <c r="C514" s="23" t="s">
        <v>1434</v>
      </c>
      <c r="D514" s="23" t="s">
        <v>86</v>
      </c>
      <c r="E514" s="23" t="s">
        <v>75</v>
      </c>
      <c r="F514" s="23" t="s">
        <v>297</v>
      </c>
      <c r="G514" s="23" t="s">
        <v>250</v>
      </c>
      <c r="H514" s="39">
        <f t="shared" ref="H514:H577" si="32">VALUE(SUBSTITUTE(F514,",",""))</f>
        <v>4999</v>
      </c>
      <c r="I514" s="23" t="str">
        <f t="shared" ref="I514:I577" si="33">IF(TRIM(D514)="","Unknown",TRIM(D514))</f>
        <v>Delhi</v>
      </c>
      <c r="J514" s="23">
        <f>COUNTIFS(pg_transaction_cleaned!$O:$O,A514,pg_transaction_cleaned!$F:$F,"CAPTURE")</f>
        <v>1</v>
      </c>
      <c r="K514" s="39">
        <f>SUMIFS(pg_transaction_cleaned!$H:$H,pg_transaction_cleaned!$O:$O,A514,pg_transaction_cleaned!$F:$F,"CAPTURE")</f>
        <v>4999</v>
      </c>
      <c r="L514" s="23">
        <f>COUNTIFS(pg_transaction_cleaned!$O:$O,A514,pg_transaction_cleaned!$F:$F,"REFUND")</f>
        <v>0</v>
      </c>
      <c r="M514" s="39">
        <f>SUMIFS(pg_transaction_cleaned!$H:$H,pg_transaction_cleaned!$O:$O,A514,pg_transaction_cleaned!$F:$F,"REFUND")</f>
        <v>0</v>
      </c>
      <c r="N514" s="23" t="str">
        <f t="shared" ref="N514:N577" si="34">IF(AND(G514="Paid",J514=0),"Paid, no payment",IF(AND(OR(G514="Failed",G514="Cancelled"),J514&gt;0),"Payment on failed/cancelled",IF(J514&gt;1,"Duplicate charge",IF(AND(J514=1,ROUND(K514-H514,2)&lt;&gt;0),"Amount difference",IF(AND(G514="Refunded",L514=0),"Refunded, no refund",IF(AND(G514&lt;&gt;"Refunded",L514&gt;0),"Refund, order not Refunded",IF(AND(L514&gt;0,ROUND(M514-H514,2)&lt;&gt;0),"Refund amount differs","OK")))))))</f>
        <v>OK</v>
      </c>
      <c r="O514" s="24">
        <f t="shared" ref="O514:O577" si="35">IF(N514="OK",0,IF(N514="Paid, no payment",H514,IF(N514="Payment on failed/cancelled",K514,IF(OR(N514="Duplicate charge",N514="Amount difference"),K514-H514,IF(N514="Refunded, no refund",H514,M514)))))</f>
        <v>0</v>
      </c>
    </row>
    <row r="515" spans="1:15" ht="15" customHeight="1" x14ac:dyDescent="0.3">
      <c r="A515" s="23" t="s">
        <v>1435</v>
      </c>
      <c r="B515" s="38">
        <v>46284</v>
      </c>
      <c r="C515" s="23" t="s">
        <v>1436</v>
      </c>
      <c r="D515" s="23" t="s">
        <v>94</v>
      </c>
      <c r="E515" s="23" t="s">
        <v>81</v>
      </c>
      <c r="F515" s="23" t="s">
        <v>1437</v>
      </c>
      <c r="G515" s="23" t="s">
        <v>250</v>
      </c>
      <c r="H515" s="39">
        <f t="shared" si="32"/>
        <v>5847</v>
      </c>
      <c r="I515" s="23" t="str">
        <f t="shared" si="33"/>
        <v>Chennai</v>
      </c>
      <c r="J515" s="23">
        <f>COUNTIFS(pg_transaction_cleaned!$O:$O,A515,pg_transaction_cleaned!$F:$F,"CAPTURE")</f>
        <v>1</v>
      </c>
      <c r="K515" s="39">
        <f>SUMIFS(pg_transaction_cleaned!$H:$H,pg_transaction_cleaned!$O:$O,A515,pg_transaction_cleaned!$F:$F,"CAPTURE")</f>
        <v>5698</v>
      </c>
      <c r="L515" s="23">
        <f>COUNTIFS(pg_transaction_cleaned!$O:$O,A515,pg_transaction_cleaned!$F:$F,"REFUND")</f>
        <v>0</v>
      </c>
      <c r="M515" s="39">
        <f>SUMIFS(pg_transaction_cleaned!$H:$H,pg_transaction_cleaned!$O:$O,A515,pg_transaction_cleaned!$F:$F,"REFUND")</f>
        <v>0</v>
      </c>
      <c r="N515" s="23" t="str">
        <f t="shared" si="34"/>
        <v>Amount difference</v>
      </c>
      <c r="O515" s="24">
        <f t="shared" si="35"/>
        <v>-149</v>
      </c>
    </row>
    <row r="516" spans="1:15" ht="15" customHeight="1" x14ac:dyDescent="0.3">
      <c r="A516" s="23" t="s">
        <v>1438</v>
      </c>
      <c r="B516" s="38">
        <v>46288</v>
      </c>
      <c r="C516" s="23" t="s">
        <v>1439</v>
      </c>
      <c r="D516" s="23" t="s">
        <v>93</v>
      </c>
      <c r="E516" s="23" t="s">
        <v>75</v>
      </c>
      <c r="F516" s="23" t="s">
        <v>1440</v>
      </c>
      <c r="G516" s="23" t="s">
        <v>250</v>
      </c>
      <c r="H516" s="39">
        <f t="shared" si="32"/>
        <v>4147</v>
      </c>
      <c r="I516" s="23" t="str">
        <f t="shared" si="33"/>
        <v>Kolkata</v>
      </c>
      <c r="J516" s="23">
        <f>COUNTIFS(pg_transaction_cleaned!$O:$O,A516,pg_transaction_cleaned!$F:$F,"CAPTURE")</f>
        <v>1</v>
      </c>
      <c r="K516" s="39">
        <f>SUMIFS(pg_transaction_cleaned!$H:$H,pg_transaction_cleaned!$O:$O,A516,pg_transaction_cleaned!$F:$F,"CAPTURE")</f>
        <v>4147</v>
      </c>
      <c r="L516" s="23">
        <f>COUNTIFS(pg_transaction_cleaned!$O:$O,A516,pg_transaction_cleaned!$F:$F,"REFUND")</f>
        <v>0</v>
      </c>
      <c r="M516" s="39">
        <f>SUMIFS(pg_transaction_cleaned!$H:$H,pg_transaction_cleaned!$O:$O,A516,pg_transaction_cleaned!$F:$F,"REFUND")</f>
        <v>0</v>
      </c>
      <c r="N516" s="23" t="str">
        <f t="shared" si="34"/>
        <v>OK</v>
      </c>
      <c r="O516" s="24">
        <f t="shared" si="35"/>
        <v>0</v>
      </c>
    </row>
    <row r="517" spans="1:15" ht="15" customHeight="1" x14ac:dyDescent="0.3">
      <c r="A517" s="23" t="s">
        <v>1441</v>
      </c>
      <c r="B517" s="38">
        <v>46291</v>
      </c>
      <c r="C517" s="23" t="s">
        <v>1442</v>
      </c>
      <c r="D517" s="23" t="s">
        <v>94</v>
      </c>
      <c r="E517" s="23" t="s">
        <v>77</v>
      </c>
      <c r="F517" s="23" t="s">
        <v>837</v>
      </c>
      <c r="G517" s="23" t="s">
        <v>250</v>
      </c>
      <c r="H517" s="39">
        <f t="shared" si="32"/>
        <v>5497</v>
      </c>
      <c r="I517" s="23" t="str">
        <f t="shared" si="33"/>
        <v>Chennai</v>
      </c>
      <c r="J517" s="23">
        <f>COUNTIFS(pg_transaction_cleaned!$O:$O,A517,pg_transaction_cleaned!$F:$F,"CAPTURE")</f>
        <v>1</v>
      </c>
      <c r="K517" s="39">
        <f>SUMIFS(pg_transaction_cleaned!$H:$H,pg_transaction_cleaned!$O:$O,A517,pg_transaction_cleaned!$F:$F,"CAPTURE")</f>
        <v>5497</v>
      </c>
      <c r="L517" s="23">
        <f>COUNTIFS(pg_transaction_cleaned!$O:$O,A517,pg_transaction_cleaned!$F:$F,"REFUND")</f>
        <v>0</v>
      </c>
      <c r="M517" s="39">
        <f>SUMIFS(pg_transaction_cleaned!$H:$H,pg_transaction_cleaned!$O:$O,A517,pg_transaction_cleaned!$F:$F,"REFUND")</f>
        <v>0</v>
      </c>
      <c r="N517" s="23" t="str">
        <f t="shared" si="34"/>
        <v>OK</v>
      </c>
      <c r="O517" s="24">
        <f t="shared" si="35"/>
        <v>0</v>
      </c>
    </row>
    <row r="518" spans="1:15" ht="15" customHeight="1" x14ac:dyDescent="0.3">
      <c r="A518" s="23" t="s">
        <v>1443</v>
      </c>
      <c r="B518" s="38">
        <v>46273</v>
      </c>
      <c r="C518" s="23" t="s">
        <v>1444</v>
      </c>
      <c r="D518" s="23" t="s">
        <v>86</v>
      </c>
      <c r="E518" s="23" t="s">
        <v>79</v>
      </c>
      <c r="F518" s="23" t="s">
        <v>1445</v>
      </c>
      <c r="G518" s="23" t="s">
        <v>250</v>
      </c>
      <c r="H518" s="39">
        <f t="shared" si="32"/>
        <v>10997</v>
      </c>
      <c r="I518" s="23" t="str">
        <f t="shared" si="33"/>
        <v>Delhi</v>
      </c>
      <c r="J518" s="23">
        <f>COUNTIFS(pg_transaction_cleaned!$O:$O,A518,pg_transaction_cleaned!$F:$F,"CAPTURE")</f>
        <v>1</v>
      </c>
      <c r="K518" s="39">
        <f>SUMIFS(pg_transaction_cleaned!$H:$H,pg_transaction_cleaned!$O:$O,A518,pg_transaction_cleaned!$F:$F,"CAPTURE")</f>
        <v>10997</v>
      </c>
      <c r="L518" s="23">
        <f>COUNTIFS(pg_transaction_cleaned!$O:$O,A518,pg_transaction_cleaned!$F:$F,"REFUND")</f>
        <v>0</v>
      </c>
      <c r="M518" s="39">
        <f>SUMIFS(pg_transaction_cleaned!$H:$H,pg_transaction_cleaned!$O:$O,A518,pg_transaction_cleaned!$F:$F,"REFUND")</f>
        <v>0</v>
      </c>
      <c r="N518" s="23" t="str">
        <f t="shared" si="34"/>
        <v>OK</v>
      </c>
      <c r="O518" s="24">
        <f t="shared" si="35"/>
        <v>0</v>
      </c>
    </row>
    <row r="519" spans="1:15" ht="15" customHeight="1" x14ac:dyDescent="0.3">
      <c r="A519" s="23" t="s">
        <v>1446</v>
      </c>
      <c r="B519" s="38">
        <v>46271</v>
      </c>
      <c r="C519" s="23" t="s">
        <v>1447</v>
      </c>
      <c r="D519" s="23" t="s">
        <v>87</v>
      </c>
      <c r="E519" s="23" t="s">
        <v>77</v>
      </c>
      <c r="F519" s="23" t="s">
        <v>1448</v>
      </c>
      <c r="G519" s="23" t="s">
        <v>250</v>
      </c>
      <c r="H519" s="39">
        <f t="shared" si="32"/>
        <v>6297</v>
      </c>
      <c r="I519" s="23" t="str">
        <f t="shared" si="33"/>
        <v>Mumbai</v>
      </c>
      <c r="J519" s="23">
        <f>COUNTIFS(pg_transaction_cleaned!$O:$O,A519,pg_transaction_cleaned!$F:$F,"CAPTURE")</f>
        <v>1</v>
      </c>
      <c r="K519" s="39">
        <f>SUMIFS(pg_transaction_cleaned!$H:$H,pg_transaction_cleaned!$O:$O,A519,pg_transaction_cleaned!$F:$F,"CAPTURE")</f>
        <v>6297</v>
      </c>
      <c r="L519" s="23">
        <f>COUNTIFS(pg_transaction_cleaned!$O:$O,A519,pg_transaction_cleaned!$F:$F,"REFUND")</f>
        <v>0</v>
      </c>
      <c r="M519" s="39">
        <f>SUMIFS(pg_transaction_cleaned!$H:$H,pg_transaction_cleaned!$O:$O,A519,pg_transaction_cleaned!$F:$F,"REFUND")</f>
        <v>0</v>
      </c>
      <c r="N519" s="23" t="str">
        <f t="shared" si="34"/>
        <v>OK</v>
      </c>
      <c r="O519" s="24">
        <f t="shared" si="35"/>
        <v>0</v>
      </c>
    </row>
    <row r="520" spans="1:15" ht="15" customHeight="1" x14ac:dyDescent="0.3">
      <c r="A520" s="23" t="s">
        <v>1449</v>
      </c>
      <c r="B520" s="38">
        <v>46271</v>
      </c>
      <c r="C520" s="23" t="s">
        <v>1450</v>
      </c>
      <c r="D520" s="23" t="s">
        <v>91</v>
      </c>
      <c r="E520" s="23" t="s">
        <v>75</v>
      </c>
      <c r="F520" s="23" t="s">
        <v>499</v>
      </c>
      <c r="G520" s="23" t="s">
        <v>301</v>
      </c>
      <c r="H520" s="39">
        <f t="shared" si="32"/>
        <v>5998</v>
      </c>
      <c r="I520" s="23" t="str">
        <f t="shared" si="33"/>
        <v>Pune</v>
      </c>
      <c r="J520" s="23">
        <f>COUNTIFS(pg_transaction_cleaned!$O:$O,A520,pg_transaction_cleaned!$F:$F,"CAPTURE")</f>
        <v>1</v>
      </c>
      <c r="K520" s="39">
        <f>SUMIFS(pg_transaction_cleaned!$H:$H,pg_transaction_cleaned!$O:$O,A520,pg_transaction_cleaned!$F:$F,"CAPTURE")</f>
        <v>5998</v>
      </c>
      <c r="L520" s="23">
        <f>COUNTIFS(pg_transaction_cleaned!$O:$O,A520,pg_transaction_cleaned!$F:$F,"REFUND")</f>
        <v>1</v>
      </c>
      <c r="M520" s="39">
        <f>SUMIFS(pg_transaction_cleaned!$H:$H,pg_transaction_cleaned!$O:$O,A520,pg_transaction_cleaned!$F:$F,"REFUND")</f>
        <v>5998</v>
      </c>
      <c r="N520" s="23" t="str">
        <f t="shared" si="34"/>
        <v>OK</v>
      </c>
      <c r="O520" s="24">
        <f t="shared" si="35"/>
        <v>0</v>
      </c>
    </row>
    <row r="521" spans="1:15" ht="15" customHeight="1" x14ac:dyDescent="0.3">
      <c r="A521" s="23" t="s">
        <v>1451</v>
      </c>
      <c r="B521" s="38">
        <v>46295</v>
      </c>
      <c r="C521" s="23" t="s">
        <v>1452</v>
      </c>
      <c r="D521" s="23" t="s">
        <v>86</v>
      </c>
      <c r="E521" s="23" t="s">
        <v>75</v>
      </c>
      <c r="F521" s="23" t="s">
        <v>974</v>
      </c>
      <c r="G521" s="23" t="s">
        <v>250</v>
      </c>
      <c r="H521" s="39">
        <f t="shared" si="32"/>
        <v>1498</v>
      </c>
      <c r="I521" s="23" t="str">
        <f t="shared" si="33"/>
        <v>Delhi</v>
      </c>
      <c r="J521" s="23">
        <f>COUNTIFS(pg_transaction_cleaned!$O:$O,A521,pg_transaction_cleaned!$F:$F,"CAPTURE")</f>
        <v>1</v>
      </c>
      <c r="K521" s="39">
        <f>SUMIFS(pg_transaction_cleaned!$H:$H,pg_transaction_cleaned!$O:$O,A521,pg_transaction_cleaned!$F:$F,"CAPTURE")</f>
        <v>1498</v>
      </c>
      <c r="L521" s="23">
        <f>COUNTIFS(pg_transaction_cleaned!$O:$O,A521,pg_transaction_cleaned!$F:$F,"REFUND")</f>
        <v>0</v>
      </c>
      <c r="M521" s="39">
        <f>SUMIFS(pg_transaction_cleaned!$H:$H,pg_transaction_cleaned!$O:$O,A521,pg_transaction_cleaned!$F:$F,"REFUND")</f>
        <v>0</v>
      </c>
      <c r="N521" s="23" t="str">
        <f t="shared" si="34"/>
        <v>OK</v>
      </c>
      <c r="O521" s="24">
        <f t="shared" si="35"/>
        <v>0</v>
      </c>
    </row>
    <row r="522" spans="1:15" ht="15" customHeight="1" x14ac:dyDescent="0.3">
      <c r="A522" s="23" t="s">
        <v>1453</v>
      </c>
      <c r="B522" s="38">
        <v>46286</v>
      </c>
      <c r="C522" s="23" t="s">
        <v>1454</v>
      </c>
      <c r="D522" s="23" t="s">
        <v>90</v>
      </c>
      <c r="E522" s="23" t="s">
        <v>79</v>
      </c>
      <c r="F522" s="23" t="s">
        <v>310</v>
      </c>
      <c r="G522" s="23" t="s">
        <v>250</v>
      </c>
      <c r="H522" s="39">
        <f t="shared" si="32"/>
        <v>7999</v>
      </c>
      <c r="I522" s="23" t="str">
        <f t="shared" si="33"/>
        <v>Ahmedabad</v>
      </c>
      <c r="J522" s="23">
        <f>COUNTIFS(pg_transaction_cleaned!$O:$O,A522,pg_transaction_cleaned!$F:$F,"CAPTURE")</f>
        <v>1</v>
      </c>
      <c r="K522" s="39">
        <f>SUMIFS(pg_transaction_cleaned!$H:$H,pg_transaction_cleaned!$O:$O,A522,pg_transaction_cleaned!$F:$F,"CAPTURE")</f>
        <v>7999</v>
      </c>
      <c r="L522" s="23">
        <f>COUNTIFS(pg_transaction_cleaned!$O:$O,A522,pg_transaction_cleaned!$F:$F,"REFUND")</f>
        <v>0</v>
      </c>
      <c r="M522" s="39">
        <f>SUMIFS(pg_transaction_cleaned!$H:$H,pg_transaction_cleaned!$O:$O,A522,pg_transaction_cleaned!$F:$F,"REFUND")</f>
        <v>0</v>
      </c>
      <c r="N522" s="23" t="str">
        <f t="shared" si="34"/>
        <v>OK</v>
      </c>
      <c r="O522" s="24">
        <f t="shared" si="35"/>
        <v>0</v>
      </c>
    </row>
    <row r="523" spans="1:15" ht="15" customHeight="1" x14ac:dyDescent="0.3">
      <c r="A523" s="23" t="s">
        <v>1455</v>
      </c>
      <c r="B523" s="38">
        <v>46266</v>
      </c>
      <c r="C523" s="23" t="s">
        <v>1456</v>
      </c>
      <c r="D523" s="23" t="s">
        <v>91</v>
      </c>
      <c r="E523" s="23" t="s">
        <v>75</v>
      </c>
      <c r="F523" s="23" t="s">
        <v>329</v>
      </c>
      <c r="G523" s="23" t="s">
        <v>250</v>
      </c>
      <c r="H523" s="39">
        <f t="shared" si="32"/>
        <v>599</v>
      </c>
      <c r="I523" s="23" t="str">
        <f t="shared" si="33"/>
        <v>Pune</v>
      </c>
      <c r="J523" s="23">
        <f>COUNTIFS(pg_transaction_cleaned!$O:$O,A523,pg_transaction_cleaned!$F:$F,"CAPTURE")</f>
        <v>1</v>
      </c>
      <c r="K523" s="39">
        <f>SUMIFS(pg_transaction_cleaned!$H:$H,pg_transaction_cleaned!$O:$O,A523,pg_transaction_cleaned!$F:$F,"CAPTURE")</f>
        <v>599</v>
      </c>
      <c r="L523" s="23">
        <f>COUNTIFS(pg_transaction_cleaned!$O:$O,A523,pg_transaction_cleaned!$F:$F,"REFUND")</f>
        <v>0</v>
      </c>
      <c r="M523" s="39">
        <f>SUMIFS(pg_transaction_cleaned!$H:$H,pg_transaction_cleaned!$O:$O,A523,pg_transaction_cleaned!$F:$F,"REFUND")</f>
        <v>0</v>
      </c>
      <c r="N523" s="23" t="str">
        <f t="shared" si="34"/>
        <v>OK</v>
      </c>
      <c r="O523" s="24">
        <f t="shared" si="35"/>
        <v>0</v>
      </c>
    </row>
    <row r="524" spans="1:15" ht="15" customHeight="1" x14ac:dyDescent="0.3">
      <c r="A524" s="23" t="s">
        <v>1457</v>
      </c>
      <c r="B524" s="38">
        <v>46289</v>
      </c>
      <c r="C524" s="23" t="s">
        <v>1458</v>
      </c>
      <c r="D524" s="23" t="s">
        <v>93</v>
      </c>
      <c r="E524" s="23" t="s">
        <v>79</v>
      </c>
      <c r="F524" s="23" t="s">
        <v>763</v>
      </c>
      <c r="G524" s="23" t="s">
        <v>250</v>
      </c>
      <c r="H524" s="39">
        <f t="shared" si="32"/>
        <v>299</v>
      </c>
      <c r="I524" s="23" t="str">
        <f t="shared" si="33"/>
        <v>Kolkata</v>
      </c>
      <c r="J524" s="23">
        <f>COUNTIFS(pg_transaction_cleaned!$O:$O,A524,pg_transaction_cleaned!$F:$F,"CAPTURE")</f>
        <v>1</v>
      </c>
      <c r="K524" s="39">
        <f>SUMIFS(pg_transaction_cleaned!$H:$H,pg_transaction_cleaned!$O:$O,A524,pg_transaction_cleaned!$F:$F,"CAPTURE")</f>
        <v>299</v>
      </c>
      <c r="L524" s="23">
        <f>COUNTIFS(pg_transaction_cleaned!$O:$O,A524,pg_transaction_cleaned!$F:$F,"REFUND")</f>
        <v>0</v>
      </c>
      <c r="M524" s="39">
        <f>SUMIFS(pg_transaction_cleaned!$H:$H,pg_transaction_cleaned!$O:$O,A524,pg_transaction_cleaned!$F:$F,"REFUND")</f>
        <v>0</v>
      </c>
      <c r="N524" s="23" t="str">
        <f t="shared" si="34"/>
        <v>OK</v>
      </c>
      <c r="O524" s="24">
        <f t="shared" si="35"/>
        <v>0</v>
      </c>
    </row>
    <row r="525" spans="1:15" ht="15" customHeight="1" x14ac:dyDescent="0.3">
      <c r="A525" s="23" t="s">
        <v>1459</v>
      </c>
      <c r="B525" s="38">
        <v>46281</v>
      </c>
      <c r="C525" s="23" t="s">
        <v>1460</v>
      </c>
      <c r="D525" s="23" t="s">
        <v>95</v>
      </c>
      <c r="E525" s="23" t="s">
        <v>81</v>
      </c>
      <c r="F525" s="23" t="s">
        <v>553</v>
      </c>
      <c r="G525" s="23" t="s">
        <v>250</v>
      </c>
      <c r="H525" s="39">
        <f t="shared" si="32"/>
        <v>2798</v>
      </c>
      <c r="I525" s="23" t="str">
        <f t="shared" si="33"/>
        <v>Bengaluru</v>
      </c>
      <c r="J525" s="23">
        <f>COUNTIFS(pg_transaction_cleaned!$O:$O,A525,pg_transaction_cleaned!$F:$F,"CAPTURE")</f>
        <v>1</v>
      </c>
      <c r="K525" s="39">
        <f>SUMIFS(pg_transaction_cleaned!$H:$H,pg_transaction_cleaned!$O:$O,A525,pg_transaction_cleaned!$F:$F,"CAPTURE")</f>
        <v>2798</v>
      </c>
      <c r="L525" s="23">
        <f>COUNTIFS(pg_transaction_cleaned!$O:$O,A525,pg_transaction_cleaned!$F:$F,"REFUND")</f>
        <v>0</v>
      </c>
      <c r="M525" s="39">
        <f>SUMIFS(pg_transaction_cleaned!$H:$H,pg_transaction_cleaned!$O:$O,A525,pg_transaction_cleaned!$F:$F,"REFUND")</f>
        <v>0</v>
      </c>
      <c r="N525" s="23" t="str">
        <f t="shared" si="34"/>
        <v>OK</v>
      </c>
      <c r="O525" s="24">
        <f t="shared" si="35"/>
        <v>0</v>
      </c>
    </row>
    <row r="526" spans="1:15" ht="15" customHeight="1" x14ac:dyDescent="0.3">
      <c r="A526" s="23" t="s">
        <v>1461</v>
      </c>
      <c r="B526" s="38">
        <v>46271</v>
      </c>
      <c r="C526" s="23" t="s">
        <v>1462</v>
      </c>
      <c r="D526" s="23" t="s">
        <v>92</v>
      </c>
      <c r="E526" s="23" t="s">
        <v>75</v>
      </c>
      <c r="F526" s="23" t="s">
        <v>1463</v>
      </c>
      <c r="G526" s="23" t="s">
        <v>250</v>
      </c>
      <c r="H526" s="39">
        <f t="shared" si="32"/>
        <v>5348</v>
      </c>
      <c r="I526" s="23" t="str">
        <f t="shared" si="33"/>
        <v>Hyderabad</v>
      </c>
      <c r="J526" s="23">
        <f>COUNTIFS(pg_transaction_cleaned!$O:$O,A526,pg_transaction_cleaned!$F:$F,"CAPTURE")</f>
        <v>1</v>
      </c>
      <c r="K526" s="39">
        <f>SUMIFS(pg_transaction_cleaned!$H:$H,pg_transaction_cleaned!$O:$O,A526,pg_transaction_cleaned!$F:$F,"CAPTURE")</f>
        <v>5348</v>
      </c>
      <c r="L526" s="23">
        <f>COUNTIFS(pg_transaction_cleaned!$O:$O,A526,pg_transaction_cleaned!$F:$F,"REFUND")</f>
        <v>0</v>
      </c>
      <c r="M526" s="39">
        <f>SUMIFS(pg_transaction_cleaned!$H:$H,pg_transaction_cleaned!$O:$O,A526,pg_transaction_cleaned!$F:$F,"REFUND")</f>
        <v>0</v>
      </c>
      <c r="N526" s="23" t="str">
        <f t="shared" si="34"/>
        <v>OK</v>
      </c>
      <c r="O526" s="24">
        <f t="shared" si="35"/>
        <v>0</v>
      </c>
    </row>
    <row r="527" spans="1:15" ht="15" customHeight="1" x14ac:dyDescent="0.3">
      <c r="A527" s="23" t="s">
        <v>1464</v>
      </c>
      <c r="B527" s="38">
        <v>46269</v>
      </c>
      <c r="C527" s="23" t="s">
        <v>1465</v>
      </c>
      <c r="D527" s="23" t="s">
        <v>89</v>
      </c>
      <c r="E527" s="23" t="s">
        <v>75</v>
      </c>
      <c r="F527" s="23" t="s">
        <v>265</v>
      </c>
      <c r="G527" s="23" t="s">
        <v>250</v>
      </c>
      <c r="H527" s="39">
        <f t="shared" si="32"/>
        <v>999</v>
      </c>
      <c r="I527" s="23" t="str">
        <f t="shared" si="33"/>
        <v>Jaipur</v>
      </c>
      <c r="J527" s="23">
        <f>COUNTIFS(pg_transaction_cleaned!$O:$O,A527,pg_transaction_cleaned!$F:$F,"CAPTURE")</f>
        <v>1</v>
      </c>
      <c r="K527" s="39">
        <f>SUMIFS(pg_transaction_cleaned!$H:$H,pg_transaction_cleaned!$O:$O,A527,pg_transaction_cleaned!$F:$F,"CAPTURE")</f>
        <v>999</v>
      </c>
      <c r="L527" s="23">
        <f>COUNTIFS(pg_transaction_cleaned!$O:$O,A527,pg_transaction_cleaned!$F:$F,"REFUND")</f>
        <v>0</v>
      </c>
      <c r="M527" s="39">
        <f>SUMIFS(pg_transaction_cleaned!$H:$H,pg_transaction_cleaned!$O:$O,A527,pg_transaction_cleaned!$F:$F,"REFUND")</f>
        <v>0</v>
      </c>
      <c r="N527" s="23" t="str">
        <f t="shared" si="34"/>
        <v>OK</v>
      </c>
      <c r="O527" s="24">
        <f t="shared" si="35"/>
        <v>0</v>
      </c>
    </row>
    <row r="528" spans="1:15" ht="15" customHeight="1" x14ac:dyDescent="0.3">
      <c r="A528" s="23" t="s">
        <v>1466</v>
      </c>
      <c r="B528" s="38">
        <v>46294</v>
      </c>
      <c r="C528" s="23" t="s">
        <v>1467</v>
      </c>
      <c r="D528" s="23" t="s">
        <v>87</v>
      </c>
      <c r="E528" s="23" t="s">
        <v>79</v>
      </c>
      <c r="F528" s="23" t="s">
        <v>265</v>
      </c>
      <c r="G528" s="23" t="s">
        <v>250</v>
      </c>
      <c r="H528" s="39">
        <f t="shared" si="32"/>
        <v>999</v>
      </c>
      <c r="I528" s="23" t="str">
        <f t="shared" si="33"/>
        <v>Mumbai</v>
      </c>
      <c r="J528" s="23">
        <f>COUNTIFS(pg_transaction_cleaned!$O:$O,A528,pg_transaction_cleaned!$F:$F,"CAPTURE")</f>
        <v>1</v>
      </c>
      <c r="K528" s="39">
        <f>SUMIFS(pg_transaction_cleaned!$H:$H,pg_transaction_cleaned!$O:$O,A528,pg_transaction_cleaned!$F:$F,"CAPTURE")</f>
        <v>999</v>
      </c>
      <c r="L528" s="23">
        <f>COUNTIFS(pg_transaction_cleaned!$O:$O,A528,pg_transaction_cleaned!$F:$F,"REFUND")</f>
        <v>0</v>
      </c>
      <c r="M528" s="39">
        <f>SUMIFS(pg_transaction_cleaned!$H:$H,pg_transaction_cleaned!$O:$O,A528,pg_transaction_cleaned!$F:$F,"REFUND")</f>
        <v>0</v>
      </c>
      <c r="N528" s="23" t="str">
        <f t="shared" si="34"/>
        <v>OK</v>
      </c>
      <c r="O528" s="24">
        <f t="shared" si="35"/>
        <v>0</v>
      </c>
    </row>
    <row r="529" spans="1:15" ht="15" customHeight="1" x14ac:dyDescent="0.3">
      <c r="A529" s="23" t="s">
        <v>1468</v>
      </c>
      <c r="B529" s="38">
        <v>46279</v>
      </c>
      <c r="C529" s="23" t="s">
        <v>1469</v>
      </c>
      <c r="D529" s="23" t="s">
        <v>95</v>
      </c>
      <c r="E529" s="23" t="s">
        <v>75</v>
      </c>
      <c r="F529" s="23" t="s">
        <v>1308</v>
      </c>
      <c r="G529" s="23" t="s">
        <v>250</v>
      </c>
      <c r="H529" s="39">
        <f t="shared" si="32"/>
        <v>4297</v>
      </c>
      <c r="I529" s="23" t="str">
        <f t="shared" si="33"/>
        <v>Bengaluru</v>
      </c>
      <c r="J529" s="23">
        <f>COUNTIFS(pg_transaction_cleaned!$O:$O,A529,pg_transaction_cleaned!$F:$F,"CAPTURE")</f>
        <v>1</v>
      </c>
      <c r="K529" s="39">
        <f>SUMIFS(pg_transaction_cleaned!$H:$H,pg_transaction_cleaned!$O:$O,A529,pg_transaction_cleaned!$F:$F,"CAPTURE")</f>
        <v>4297</v>
      </c>
      <c r="L529" s="23">
        <f>COUNTIFS(pg_transaction_cleaned!$O:$O,A529,pg_transaction_cleaned!$F:$F,"REFUND")</f>
        <v>0</v>
      </c>
      <c r="M529" s="39">
        <f>SUMIFS(pg_transaction_cleaned!$H:$H,pg_transaction_cleaned!$O:$O,A529,pg_transaction_cleaned!$F:$F,"REFUND")</f>
        <v>0</v>
      </c>
      <c r="N529" s="23" t="str">
        <f t="shared" si="34"/>
        <v>OK</v>
      </c>
      <c r="O529" s="24">
        <f t="shared" si="35"/>
        <v>0</v>
      </c>
    </row>
    <row r="530" spans="1:15" ht="15" customHeight="1" x14ac:dyDescent="0.3">
      <c r="A530" s="23" t="s">
        <v>1470</v>
      </c>
      <c r="B530" s="38">
        <v>46279</v>
      </c>
      <c r="C530" s="23" t="s">
        <v>1471</v>
      </c>
      <c r="D530" s="23" t="s">
        <v>95</v>
      </c>
      <c r="E530" s="23" t="s">
        <v>79</v>
      </c>
      <c r="F530" s="23" t="s">
        <v>685</v>
      </c>
      <c r="G530" s="23" t="s">
        <v>250</v>
      </c>
      <c r="H530" s="39">
        <f t="shared" si="32"/>
        <v>8797</v>
      </c>
      <c r="I530" s="23" t="str">
        <f t="shared" si="33"/>
        <v>Bengaluru</v>
      </c>
      <c r="J530" s="23">
        <f>COUNTIFS(pg_transaction_cleaned!$O:$O,A530,pg_transaction_cleaned!$F:$F,"CAPTURE")</f>
        <v>1</v>
      </c>
      <c r="K530" s="39">
        <f>SUMIFS(pg_transaction_cleaned!$H:$H,pg_transaction_cleaned!$O:$O,A530,pg_transaction_cleaned!$F:$F,"CAPTURE")</f>
        <v>8797</v>
      </c>
      <c r="L530" s="23">
        <f>COUNTIFS(pg_transaction_cleaned!$O:$O,A530,pg_transaction_cleaned!$F:$F,"REFUND")</f>
        <v>0</v>
      </c>
      <c r="M530" s="39">
        <f>SUMIFS(pg_transaction_cleaned!$H:$H,pg_transaction_cleaned!$O:$O,A530,pg_transaction_cleaned!$F:$F,"REFUND")</f>
        <v>0</v>
      </c>
      <c r="N530" s="23" t="str">
        <f t="shared" si="34"/>
        <v>OK</v>
      </c>
      <c r="O530" s="24">
        <f t="shared" si="35"/>
        <v>0</v>
      </c>
    </row>
    <row r="531" spans="1:15" ht="15" customHeight="1" x14ac:dyDescent="0.3">
      <c r="A531" s="23" t="s">
        <v>1472</v>
      </c>
      <c r="B531" s="38">
        <v>46269</v>
      </c>
      <c r="C531" s="23" t="s">
        <v>1473</v>
      </c>
      <c r="D531" s="23" t="s">
        <v>87</v>
      </c>
      <c r="E531" s="23" t="s">
        <v>81</v>
      </c>
      <c r="F531" s="23" t="s">
        <v>268</v>
      </c>
      <c r="G531" s="23" t="s">
        <v>250</v>
      </c>
      <c r="H531" s="39">
        <f t="shared" si="32"/>
        <v>1299</v>
      </c>
      <c r="I531" s="23" t="str">
        <f t="shared" si="33"/>
        <v>Mumbai</v>
      </c>
      <c r="J531" s="23">
        <f>COUNTIFS(pg_transaction_cleaned!$O:$O,A531,pg_transaction_cleaned!$F:$F,"CAPTURE")</f>
        <v>1</v>
      </c>
      <c r="K531" s="39">
        <f>SUMIFS(pg_transaction_cleaned!$H:$H,pg_transaction_cleaned!$O:$O,A531,pg_transaction_cleaned!$F:$F,"CAPTURE")</f>
        <v>1299</v>
      </c>
      <c r="L531" s="23">
        <f>COUNTIFS(pg_transaction_cleaned!$O:$O,A531,pg_transaction_cleaned!$F:$F,"REFUND")</f>
        <v>0</v>
      </c>
      <c r="M531" s="39">
        <f>SUMIFS(pg_transaction_cleaned!$H:$H,pg_transaction_cleaned!$O:$O,A531,pg_transaction_cleaned!$F:$F,"REFUND")</f>
        <v>0</v>
      </c>
      <c r="N531" s="23" t="str">
        <f t="shared" si="34"/>
        <v>OK</v>
      </c>
      <c r="O531" s="24">
        <f t="shared" si="35"/>
        <v>0</v>
      </c>
    </row>
    <row r="532" spans="1:15" ht="15" customHeight="1" x14ac:dyDescent="0.3">
      <c r="A532" s="23" t="s">
        <v>1474</v>
      </c>
      <c r="B532" s="38">
        <v>46277</v>
      </c>
      <c r="C532" s="23" t="s">
        <v>1475</v>
      </c>
      <c r="D532" s="23" t="s">
        <v>88</v>
      </c>
      <c r="E532" s="23" t="s">
        <v>81</v>
      </c>
      <c r="F532" s="23" t="s">
        <v>268</v>
      </c>
      <c r="G532" s="23" t="s">
        <v>250</v>
      </c>
      <c r="H532" s="39">
        <f t="shared" si="32"/>
        <v>1299</v>
      </c>
      <c r="I532" s="23" t="str">
        <f t="shared" si="33"/>
        <v>Lucknow</v>
      </c>
      <c r="J532" s="23">
        <f>COUNTIFS(pg_transaction_cleaned!$O:$O,A532,pg_transaction_cleaned!$F:$F,"CAPTURE")</f>
        <v>1</v>
      </c>
      <c r="K532" s="39">
        <f>SUMIFS(pg_transaction_cleaned!$H:$H,pg_transaction_cleaned!$O:$O,A532,pg_transaction_cleaned!$F:$F,"CAPTURE")</f>
        <v>1299</v>
      </c>
      <c r="L532" s="23">
        <f>COUNTIFS(pg_transaction_cleaned!$O:$O,A532,pg_transaction_cleaned!$F:$F,"REFUND")</f>
        <v>0</v>
      </c>
      <c r="M532" s="39">
        <f>SUMIFS(pg_transaction_cleaned!$H:$H,pg_transaction_cleaned!$O:$O,A532,pg_transaction_cleaned!$F:$F,"REFUND")</f>
        <v>0</v>
      </c>
      <c r="N532" s="23" t="str">
        <f t="shared" si="34"/>
        <v>OK</v>
      </c>
      <c r="O532" s="24">
        <f t="shared" si="35"/>
        <v>0</v>
      </c>
    </row>
    <row r="533" spans="1:15" ht="15" customHeight="1" x14ac:dyDescent="0.3">
      <c r="A533" s="23" t="s">
        <v>1476</v>
      </c>
      <c r="B533" s="38">
        <v>46281</v>
      </c>
      <c r="C533" s="23" t="s">
        <v>1477</v>
      </c>
      <c r="D533" s="23" t="s">
        <v>91</v>
      </c>
      <c r="E533" s="23" t="s">
        <v>75</v>
      </c>
      <c r="F533" s="23" t="s">
        <v>274</v>
      </c>
      <c r="G533" s="23" t="s">
        <v>250</v>
      </c>
      <c r="H533" s="39">
        <f t="shared" si="32"/>
        <v>349</v>
      </c>
      <c r="I533" s="23" t="str">
        <f t="shared" si="33"/>
        <v>Pune</v>
      </c>
      <c r="J533" s="23">
        <f>COUNTIFS(pg_transaction_cleaned!$O:$O,A533,pg_transaction_cleaned!$F:$F,"CAPTURE")</f>
        <v>1</v>
      </c>
      <c r="K533" s="39">
        <f>SUMIFS(pg_transaction_cleaned!$H:$H,pg_transaction_cleaned!$O:$O,A533,pg_transaction_cleaned!$F:$F,"CAPTURE")</f>
        <v>349</v>
      </c>
      <c r="L533" s="23">
        <f>COUNTIFS(pg_transaction_cleaned!$O:$O,A533,pg_transaction_cleaned!$F:$F,"REFUND")</f>
        <v>0</v>
      </c>
      <c r="M533" s="39">
        <f>SUMIFS(pg_transaction_cleaned!$H:$H,pg_transaction_cleaned!$O:$O,A533,pg_transaction_cleaned!$F:$F,"REFUND")</f>
        <v>0</v>
      </c>
      <c r="N533" s="23" t="str">
        <f t="shared" si="34"/>
        <v>OK</v>
      </c>
      <c r="O533" s="24">
        <f t="shared" si="35"/>
        <v>0</v>
      </c>
    </row>
    <row r="534" spans="1:15" ht="15" customHeight="1" x14ac:dyDescent="0.3">
      <c r="A534" s="23" t="s">
        <v>1478</v>
      </c>
      <c r="B534" s="38">
        <v>46281</v>
      </c>
      <c r="C534" s="23" t="s">
        <v>1479</v>
      </c>
      <c r="D534" s="23" t="s">
        <v>92</v>
      </c>
      <c r="E534" s="23" t="s">
        <v>75</v>
      </c>
      <c r="F534" s="23" t="s">
        <v>475</v>
      </c>
      <c r="G534" s="23" t="s">
        <v>250</v>
      </c>
      <c r="H534" s="39">
        <f t="shared" si="32"/>
        <v>799</v>
      </c>
      <c r="I534" s="23" t="str">
        <f t="shared" si="33"/>
        <v>Hyderabad</v>
      </c>
      <c r="J534" s="23">
        <f>COUNTIFS(pg_transaction_cleaned!$O:$O,A534,pg_transaction_cleaned!$F:$F,"CAPTURE")</f>
        <v>1</v>
      </c>
      <c r="K534" s="39">
        <f>SUMIFS(pg_transaction_cleaned!$H:$H,pg_transaction_cleaned!$O:$O,A534,pg_transaction_cleaned!$F:$F,"CAPTURE")</f>
        <v>799</v>
      </c>
      <c r="L534" s="23">
        <f>COUNTIFS(pg_transaction_cleaned!$O:$O,A534,pg_transaction_cleaned!$F:$F,"REFUND")</f>
        <v>0</v>
      </c>
      <c r="M534" s="39">
        <f>SUMIFS(pg_transaction_cleaned!$H:$H,pg_transaction_cleaned!$O:$O,A534,pg_transaction_cleaned!$F:$F,"REFUND")</f>
        <v>0</v>
      </c>
      <c r="N534" s="23" t="str">
        <f t="shared" si="34"/>
        <v>OK</v>
      </c>
      <c r="O534" s="24">
        <f t="shared" si="35"/>
        <v>0</v>
      </c>
    </row>
    <row r="535" spans="1:15" ht="15" customHeight="1" x14ac:dyDescent="0.3">
      <c r="A535" s="23" t="s">
        <v>1480</v>
      </c>
      <c r="B535" s="38">
        <v>46268</v>
      </c>
      <c r="C535" s="23" t="s">
        <v>1481</v>
      </c>
      <c r="D535" s="23" t="s">
        <v>90</v>
      </c>
      <c r="E535" s="23" t="s">
        <v>75</v>
      </c>
      <c r="F535" s="23" t="s">
        <v>1038</v>
      </c>
      <c r="G535" s="23" t="s">
        <v>250</v>
      </c>
      <c r="H535" s="39">
        <f t="shared" si="32"/>
        <v>3597</v>
      </c>
      <c r="I535" s="23" t="str">
        <f t="shared" si="33"/>
        <v>Ahmedabad</v>
      </c>
      <c r="J535" s="23">
        <f>COUNTIFS(pg_transaction_cleaned!$O:$O,A535,pg_transaction_cleaned!$F:$F,"CAPTURE")</f>
        <v>1</v>
      </c>
      <c r="K535" s="39">
        <f>SUMIFS(pg_transaction_cleaned!$H:$H,pg_transaction_cleaned!$O:$O,A535,pg_transaction_cleaned!$F:$F,"CAPTURE")</f>
        <v>3597</v>
      </c>
      <c r="L535" s="23">
        <f>COUNTIFS(pg_transaction_cleaned!$O:$O,A535,pg_transaction_cleaned!$F:$F,"REFUND")</f>
        <v>0</v>
      </c>
      <c r="M535" s="39">
        <f>SUMIFS(pg_transaction_cleaned!$H:$H,pg_transaction_cleaned!$O:$O,A535,pg_transaction_cleaned!$F:$F,"REFUND")</f>
        <v>0</v>
      </c>
      <c r="N535" s="23" t="str">
        <f t="shared" si="34"/>
        <v>OK</v>
      </c>
      <c r="O535" s="24">
        <f t="shared" si="35"/>
        <v>0</v>
      </c>
    </row>
    <row r="536" spans="1:15" ht="15" customHeight="1" x14ac:dyDescent="0.3">
      <c r="A536" s="23" t="s">
        <v>1482</v>
      </c>
      <c r="B536" s="38">
        <v>46267</v>
      </c>
      <c r="C536" s="23" t="s">
        <v>1483</v>
      </c>
      <c r="D536" s="23" t="s">
        <v>88</v>
      </c>
      <c r="E536" s="23" t="s">
        <v>75</v>
      </c>
      <c r="F536" s="23" t="s">
        <v>315</v>
      </c>
      <c r="G536" s="23" t="s">
        <v>250</v>
      </c>
      <c r="H536" s="39">
        <f t="shared" si="32"/>
        <v>1499</v>
      </c>
      <c r="I536" s="23" t="str">
        <f t="shared" si="33"/>
        <v>Lucknow</v>
      </c>
      <c r="J536" s="23">
        <f>COUNTIFS(pg_transaction_cleaned!$O:$O,A536,pg_transaction_cleaned!$F:$F,"CAPTURE")</f>
        <v>0</v>
      </c>
      <c r="K536" s="39">
        <f>SUMIFS(pg_transaction_cleaned!$H:$H,pg_transaction_cleaned!$O:$O,A536,pg_transaction_cleaned!$F:$F,"CAPTURE")</f>
        <v>0</v>
      </c>
      <c r="L536" s="23">
        <f>COUNTIFS(pg_transaction_cleaned!$O:$O,A536,pg_transaction_cleaned!$F:$F,"REFUND")</f>
        <v>0</v>
      </c>
      <c r="M536" s="39">
        <f>SUMIFS(pg_transaction_cleaned!$H:$H,pg_transaction_cleaned!$O:$O,A536,pg_transaction_cleaned!$F:$F,"REFUND")</f>
        <v>0</v>
      </c>
      <c r="N536" s="23" t="str">
        <f t="shared" si="34"/>
        <v>Paid, no payment</v>
      </c>
      <c r="O536" s="24">
        <f t="shared" si="35"/>
        <v>1499</v>
      </c>
    </row>
    <row r="537" spans="1:15" ht="15" customHeight="1" x14ac:dyDescent="0.3">
      <c r="A537" s="23" t="s">
        <v>1484</v>
      </c>
      <c r="B537" s="38">
        <v>46267</v>
      </c>
      <c r="C537" s="23" t="s">
        <v>1485</v>
      </c>
      <c r="D537" s="23" t="s">
        <v>94</v>
      </c>
      <c r="E537" s="23" t="s">
        <v>75</v>
      </c>
      <c r="F537" s="23" t="s">
        <v>297</v>
      </c>
      <c r="G537" s="23" t="s">
        <v>250</v>
      </c>
      <c r="H537" s="39">
        <f t="shared" si="32"/>
        <v>4999</v>
      </c>
      <c r="I537" s="23" t="str">
        <f t="shared" si="33"/>
        <v>Chennai</v>
      </c>
      <c r="J537" s="23">
        <f>COUNTIFS(pg_transaction_cleaned!$O:$O,A537,pg_transaction_cleaned!$F:$F,"CAPTURE")</f>
        <v>1</v>
      </c>
      <c r="K537" s="39">
        <f>SUMIFS(pg_transaction_cleaned!$H:$H,pg_transaction_cleaned!$O:$O,A537,pg_transaction_cleaned!$F:$F,"CAPTURE")</f>
        <v>4999</v>
      </c>
      <c r="L537" s="23">
        <f>COUNTIFS(pg_transaction_cleaned!$O:$O,A537,pg_transaction_cleaned!$F:$F,"REFUND")</f>
        <v>0</v>
      </c>
      <c r="M537" s="39">
        <f>SUMIFS(pg_transaction_cleaned!$H:$H,pg_transaction_cleaned!$O:$O,A537,pg_transaction_cleaned!$F:$F,"REFUND")</f>
        <v>0</v>
      </c>
      <c r="N537" s="23" t="str">
        <f t="shared" si="34"/>
        <v>OK</v>
      </c>
      <c r="O537" s="24">
        <f t="shared" si="35"/>
        <v>0</v>
      </c>
    </row>
    <row r="538" spans="1:15" ht="15" customHeight="1" x14ac:dyDescent="0.3">
      <c r="A538" s="23" t="s">
        <v>1486</v>
      </c>
      <c r="B538" s="38">
        <v>46291</v>
      </c>
      <c r="C538" s="23" t="s">
        <v>1487</v>
      </c>
      <c r="D538" s="23" t="s">
        <v>89</v>
      </c>
      <c r="E538" s="23" t="s">
        <v>79</v>
      </c>
      <c r="F538" s="23" t="s">
        <v>340</v>
      </c>
      <c r="G538" s="23" t="s">
        <v>250</v>
      </c>
      <c r="H538" s="39">
        <f t="shared" si="32"/>
        <v>6298</v>
      </c>
      <c r="I538" s="23" t="str">
        <f t="shared" si="33"/>
        <v>Jaipur</v>
      </c>
      <c r="J538" s="23">
        <f>COUNTIFS(pg_transaction_cleaned!$O:$O,A538,pg_transaction_cleaned!$F:$F,"CAPTURE")</f>
        <v>1</v>
      </c>
      <c r="K538" s="39">
        <f>SUMIFS(pg_transaction_cleaned!$H:$H,pg_transaction_cleaned!$O:$O,A538,pg_transaction_cleaned!$F:$F,"CAPTURE")</f>
        <v>6298</v>
      </c>
      <c r="L538" s="23">
        <f>COUNTIFS(pg_transaction_cleaned!$O:$O,A538,pg_transaction_cleaned!$F:$F,"REFUND")</f>
        <v>0</v>
      </c>
      <c r="M538" s="39">
        <f>SUMIFS(pg_transaction_cleaned!$H:$H,pg_transaction_cleaned!$O:$O,A538,pg_transaction_cleaned!$F:$F,"REFUND")</f>
        <v>0</v>
      </c>
      <c r="N538" s="23" t="str">
        <f t="shared" si="34"/>
        <v>OK</v>
      </c>
      <c r="O538" s="24">
        <f t="shared" si="35"/>
        <v>0</v>
      </c>
    </row>
    <row r="539" spans="1:15" ht="15" customHeight="1" x14ac:dyDescent="0.3">
      <c r="A539" s="23" t="s">
        <v>1488</v>
      </c>
      <c r="B539" s="38">
        <v>46279</v>
      </c>
      <c r="C539" s="23" t="s">
        <v>1489</v>
      </c>
      <c r="D539" s="23" t="s">
        <v>90</v>
      </c>
      <c r="E539" s="23" t="s">
        <v>79</v>
      </c>
      <c r="F539" s="23" t="s">
        <v>1490</v>
      </c>
      <c r="G539" s="23" t="s">
        <v>318</v>
      </c>
      <c r="H539" s="39">
        <f t="shared" si="32"/>
        <v>10998</v>
      </c>
      <c r="I539" s="23" t="str">
        <f t="shared" si="33"/>
        <v>Ahmedabad</v>
      </c>
      <c r="J539" s="23">
        <f>COUNTIFS(pg_transaction_cleaned!$O:$O,A539,pg_transaction_cleaned!$F:$F,"CAPTURE")</f>
        <v>0</v>
      </c>
      <c r="K539" s="39">
        <f>SUMIFS(pg_transaction_cleaned!$H:$H,pg_transaction_cleaned!$O:$O,A539,pg_transaction_cleaned!$F:$F,"CAPTURE")</f>
        <v>0</v>
      </c>
      <c r="L539" s="23">
        <f>COUNTIFS(pg_transaction_cleaned!$O:$O,A539,pg_transaction_cleaned!$F:$F,"REFUND")</f>
        <v>0</v>
      </c>
      <c r="M539" s="39">
        <f>SUMIFS(pg_transaction_cleaned!$H:$H,pg_transaction_cleaned!$O:$O,A539,pg_transaction_cleaned!$F:$F,"REFUND")</f>
        <v>0</v>
      </c>
      <c r="N539" s="23" t="str">
        <f t="shared" si="34"/>
        <v>OK</v>
      </c>
      <c r="O539" s="24">
        <f t="shared" si="35"/>
        <v>0</v>
      </c>
    </row>
    <row r="540" spans="1:15" ht="15" customHeight="1" x14ac:dyDescent="0.3">
      <c r="A540" s="23" t="s">
        <v>1491</v>
      </c>
      <c r="B540" s="38">
        <v>46275</v>
      </c>
      <c r="C540" s="23" t="s">
        <v>1492</v>
      </c>
      <c r="D540" s="23" t="s">
        <v>88</v>
      </c>
      <c r="E540" s="23" t="s">
        <v>79</v>
      </c>
      <c r="F540" s="23" t="s">
        <v>268</v>
      </c>
      <c r="G540" s="23" t="s">
        <v>365</v>
      </c>
      <c r="H540" s="39">
        <f t="shared" si="32"/>
        <v>1299</v>
      </c>
      <c r="I540" s="23" t="str">
        <f t="shared" si="33"/>
        <v>Lucknow</v>
      </c>
      <c r="J540" s="23">
        <f>COUNTIFS(pg_transaction_cleaned!$O:$O,A540,pg_transaction_cleaned!$F:$F,"CAPTURE")</f>
        <v>0</v>
      </c>
      <c r="K540" s="39">
        <f>SUMIFS(pg_transaction_cleaned!$H:$H,pg_transaction_cleaned!$O:$O,A540,pg_transaction_cleaned!$F:$F,"CAPTURE")</f>
        <v>0</v>
      </c>
      <c r="L540" s="23">
        <f>COUNTIFS(pg_transaction_cleaned!$O:$O,A540,pg_transaction_cleaned!$F:$F,"REFUND")</f>
        <v>0</v>
      </c>
      <c r="M540" s="39">
        <f>SUMIFS(pg_transaction_cleaned!$H:$H,pg_transaction_cleaned!$O:$O,A540,pg_transaction_cleaned!$F:$F,"REFUND")</f>
        <v>0</v>
      </c>
      <c r="N540" s="23" t="str">
        <f t="shared" si="34"/>
        <v>OK</v>
      </c>
      <c r="O540" s="24">
        <f t="shared" si="35"/>
        <v>0</v>
      </c>
    </row>
    <row r="541" spans="1:15" ht="15" customHeight="1" x14ac:dyDescent="0.3">
      <c r="A541" s="23" t="s">
        <v>1493</v>
      </c>
      <c r="B541" s="38">
        <v>46294</v>
      </c>
      <c r="C541" s="23" t="s">
        <v>1494</v>
      </c>
      <c r="D541" s="23" t="s">
        <v>90</v>
      </c>
      <c r="E541" s="23" t="s">
        <v>79</v>
      </c>
      <c r="F541" s="23" t="s">
        <v>1495</v>
      </c>
      <c r="G541" s="23" t="s">
        <v>250</v>
      </c>
      <c r="H541" s="39">
        <f t="shared" si="32"/>
        <v>7498</v>
      </c>
      <c r="I541" s="23" t="str">
        <f t="shared" si="33"/>
        <v>Ahmedabad</v>
      </c>
      <c r="J541" s="23">
        <f>COUNTIFS(pg_transaction_cleaned!$O:$O,A541,pg_transaction_cleaned!$F:$F,"CAPTURE")</f>
        <v>1</v>
      </c>
      <c r="K541" s="39">
        <f>SUMIFS(pg_transaction_cleaned!$H:$H,pg_transaction_cleaned!$O:$O,A541,pg_transaction_cleaned!$F:$F,"CAPTURE")</f>
        <v>7498</v>
      </c>
      <c r="L541" s="23">
        <f>COUNTIFS(pg_transaction_cleaned!$O:$O,A541,pg_transaction_cleaned!$F:$F,"REFUND")</f>
        <v>0</v>
      </c>
      <c r="M541" s="39">
        <f>SUMIFS(pg_transaction_cleaned!$H:$H,pg_transaction_cleaned!$O:$O,A541,pg_transaction_cleaned!$F:$F,"REFUND")</f>
        <v>0</v>
      </c>
      <c r="N541" s="23" t="str">
        <f t="shared" si="34"/>
        <v>OK</v>
      </c>
      <c r="O541" s="24">
        <f t="shared" si="35"/>
        <v>0</v>
      </c>
    </row>
    <row r="542" spans="1:15" ht="15" customHeight="1" x14ac:dyDescent="0.3">
      <c r="A542" s="23" t="s">
        <v>1496</v>
      </c>
      <c r="B542" s="38">
        <v>46271</v>
      </c>
      <c r="C542" s="23" t="s">
        <v>1497</v>
      </c>
      <c r="D542" s="23" t="s">
        <v>91</v>
      </c>
      <c r="E542" s="23" t="s">
        <v>75</v>
      </c>
      <c r="F542" s="23" t="s">
        <v>329</v>
      </c>
      <c r="G542" s="23" t="s">
        <v>250</v>
      </c>
      <c r="H542" s="39">
        <f t="shared" si="32"/>
        <v>599</v>
      </c>
      <c r="I542" s="23" t="str">
        <f t="shared" si="33"/>
        <v>Pune</v>
      </c>
      <c r="J542" s="23">
        <f>COUNTIFS(pg_transaction_cleaned!$O:$O,A542,pg_transaction_cleaned!$F:$F,"CAPTURE")</f>
        <v>1</v>
      </c>
      <c r="K542" s="39">
        <f>SUMIFS(pg_transaction_cleaned!$H:$H,pg_transaction_cleaned!$O:$O,A542,pg_transaction_cleaned!$F:$F,"CAPTURE")</f>
        <v>599</v>
      </c>
      <c r="L542" s="23">
        <f>COUNTIFS(pg_transaction_cleaned!$O:$O,A542,pg_transaction_cleaned!$F:$F,"REFUND")</f>
        <v>0</v>
      </c>
      <c r="M542" s="39">
        <f>SUMIFS(pg_transaction_cleaned!$H:$H,pg_transaction_cleaned!$O:$O,A542,pg_transaction_cleaned!$F:$F,"REFUND")</f>
        <v>0</v>
      </c>
      <c r="N542" s="23" t="str">
        <f t="shared" si="34"/>
        <v>OK</v>
      </c>
      <c r="O542" s="24">
        <f t="shared" si="35"/>
        <v>0</v>
      </c>
    </row>
    <row r="543" spans="1:15" ht="15" customHeight="1" x14ac:dyDescent="0.3">
      <c r="A543" s="23" t="s">
        <v>1498</v>
      </c>
      <c r="B543" s="38">
        <v>46287</v>
      </c>
      <c r="C543" s="23" t="s">
        <v>1499</v>
      </c>
      <c r="D543" s="23" t="s">
        <v>94</v>
      </c>
      <c r="E543" s="23" t="s">
        <v>81</v>
      </c>
      <c r="F543" s="23" t="s">
        <v>1428</v>
      </c>
      <c r="G543" s="23" t="s">
        <v>250</v>
      </c>
      <c r="H543" s="39">
        <f t="shared" si="32"/>
        <v>8598</v>
      </c>
      <c r="I543" s="23" t="str">
        <f t="shared" si="33"/>
        <v>Chennai</v>
      </c>
      <c r="J543" s="23">
        <f>COUNTIFS(pg_transaction_cleaned!$O:$O,A543,pg_transaction_cleaned!$F:$F,"CAPTURE")</f>
        <v>1</v>
      </c>
      <c r="K543" s="39">
        <f>SUMIFS(pg_transaction_cleaned!$H:$H,pg_transaction_cleaned!$O:$O,A543,pg_transaction_cleaned!$F:$F,"CAPTURE")</f>
        <v>8598</v>
      </c>
      <c r="L543" s="23">
        <f>COUNTIFS(pg_transaction_cleaned!$O:$O,A543,pg_transaction_cleaned!$F:$F,"REFUND")</f>
        <v>0</v>
      </c>
      <c r="M543" s="39">
        <f>SUMIFS(pg_transaction_cleaned!$H:$H,pg_transaction_cleaned!$O:$O,A543,pg_transaction_cleaned!$F:$F,"REFUND")</f>
        <v>0</v>
      </c>
      <c r="N543" s="23" t="str">
        <f t="shared" si="34"/>
        <v>OK</v>
      </c>
      <c r="O543" s="24">
        <f t="shared" si="35"/>
        <v>0</v>
      </c>
    </row>
    <row r="544" spans="1:15" ht="15" customHeight="1" x14ac:dyDescent="0.3">
      <c r="A544" s="23" t="s">
        <v>1500</v>
      </c>
      <c r="B544" s="38">
        <v>46295</v>
      </c>
      <c r="C544" s="23" t="s">
        <v>1501</v>
      </c>
      <c r="D544" s="23" t="s">
        <v>92</v>
      </c>
      <c r="E544" s="23" t="s">
        <v>75</v>
      </c>
      <c r="F544" s="23" t="s">
        <v>1502</v>
      </c>
      <c r="G544" s="23" t="s">
        <v>250</v>
      </c>
      <c r="H544" s="39">
        <f t="shared" si="32"/>
        <v>5697</v>
      </c>
      <c r="I544" s="23" t="str">
        <f t="shared" si="33"/>
        <v>Hyderabad</v>
      </c>
      <c r="J544" s="23">
        <f>COUNTIFS(pg_transaction_cleaned!$O:$O,A544,pg_transaction_cleaned!$F:$F,"CAPTURE")</f>
        <v>1</v>
      </c>
      <c r="K544" s="39">
        <f>SUMIFS(pg_transaction_cleaned!$H:$H,pg_transaction_cleaned!$O:$O,A544,pg_transaction_cleaned!$F:$F,"CAPTURE")</f>
        <v>5697</v>
      </c>
      <c r="L544" s="23">
        <f>COUNTIFS(pg_transaction_cleaned!$O:$O,A544,pg_transaction_cleaned!$F:$F,"REFUND")</f>
        <v>0</v>
      </c>
      <c r="M544" s="39">
        <f>SUMIFS(pg_transaction_cleaned!$H:$H,pg_transaction_cleaned!$O:$O,A544,pg_transaction_cleaned!$F:$F,"REFUND")</f>
        <v>0</v>
      </c>
      <c r="N544" s="23" t="str">
        <f t="shared" si="34"/>
        <v>OK</v>
      </c>
      <c r="O544" s="24">
        <f t="shared" si="35"/>
        <v>0</v>
      </c>
    </row>
    <row r="545" spans="1:15" ht="15" customHeight="1" x14ac:dyDescent="0.3">
      <c r="A545" s="23" t="s">
        <v>1503</v>
      </c>
      <c r="B545" s="38">
        <v>46282</v>
      </c>
      <c r="C545" s="23" t="s">
        <v>1504</v>
      </c>
      <c r="D545" s="23" t="s">
        <v>93</v>
      </c>
      <c r="E545" s="23" t="s">
        <v>79</v>
      </c>
      <c r="F545" s="23" t="s">
        <v>1505</v>
      </c>
      <c r="G545" s="23" t="s">
        <v>250</v>
      </c>
      <c r="H545" s="39">
        <f t="shared" si="32"/>
        <v>8298</v>
      </c>
      <c r="I545" s="23" t="str">
        <f t="shared" si="33"/>
        <v>Kolkata</v>
      </c>
      <c r="J545" s="23">
        <f>COUNTIFS(pg_transaction_cleaned!$O:$O,A545,pg_transaction_cleaned!$F:$F,"CAPTURE")</f>
        <v>1</v>
      </c>
      <c r="K545" s="39">
        <f>SUMIFS(pg_transaction_cleaned!$H:$H,pg_transaction_cleaned!$O:$O,A545,pg_transaction_cleaned!$F:$F,"CAPTURE")</f>
        <v>8298</v>
      </c>
      <c r="L545" s="23">
        <f>COUNTIFS(pg_transaction_cleaned!$O:$O,A545,pg_transaction_cleaned!$F:$F,"REFUND")</f>
        <v>0</v>
      </c>
      <c r="M545" s="39">
        <f>SUMIFS(pg_transaction_cleaned!$H:$H,pg_transaction_cleaned!$O:$O,A545,pg_transaction_cleaned!$F:$F,"REFUND")</f>
        <v>0</v>
      </c>
      <c r="N545" s="23" t="str">
        <f t="shared" si="34"/>
        <v>OK</v>
      </c>
      <c r="O545" s="24">
        <f t="shared" si="35"/>
        <v>0</v>
      </c>
    </row>
    <row r="546" spans="1:15" ht="15" customHeight="1" x14ac:dyDescent="0.3">
      <c r="A546" s="23" t="s">
        <v>1506</v>
      </c>
      <c r="B546" s="38">
        <v>46269</v>
      </c>
      <c r="C546" s="23" t="s">
        <v>1507</v>
      </c>
      <c r="D546" s="23" t="s">
        <v>91</v>
      </c>
      <c r="E546" s="23" t="s">
        <v>79</v>
      </c>
      <c r="F546" s="23" t="s">
        <v>1352</v>
      </c>
      <c r="G546" s="23" t="s">
        <v>250</v>
      </c>
      <c r="H546" s="39">
        <f t="shared" si="32"/>
        <v>998</v>
      </c>
      <c r="I546" s="23" t="str">
        <f t="shared" si="33"/>
        <v>Pune</v>
      </c>
      <c r="J546" s="23">
        <f>COUNTIFS(pg_transaction_cleaned!$O:$O,A546,pg_transaction_cleaned!$F:$F,"CAPTURE")</f>
        <v>1</v>
      </c>
      <c r="K546" s="39">
        <f>SUMIFS(pg_transaction_cleaned!$H:$H,pg_transaction_cleaned!$O:$O,A546,pg_transaction_cleaned!$F:$F,"CAPTURE")</f>
        <v>998</v>
      </c>
      <c r="L546" s="23">
        <f>COUNTIFS(pg_transaction_cleaned!$O:$O,A546,pg_transaction_cleaned!$F:$F,"REFUND")</f>
        <v>0</v>
      </c>
      <c r="M546" s="39">
        <f>SUMIFS(pg_transaction_cleaned!$H:$H,pg_transaction_cleaned!$O:$O,A546,pg_transaction_cleaned!$F:$F,"REFUND")</f>
        <v>0</v>
      </c>
      <c r="N546" s="23" t="str">
        <f t="shared" si="34"/>
        <v>OK</v>
      </c>
      <c r="O546" s="24">
        <f t="shared" si="35"/>
        <v>0</v>
      </c>
    </row>
    <row r="547" spans="1:15" ht="15" customHeight="1" x14ac:dyDescent="0.3">
      <c r="A547" s="23" t="s">
        <v>1508</v>
      </c>
      <c r="B547" s="38">
        <v>46284</v>
      </c>
      <c r="C547" s="23" t="s">
        <v>1509</v>
      </c>
      <c r="D547" s="23" t="s">
        <v>93</v>
      </c>
      <c r="E547" s="23" t="s">
        <v>75</v>
      </c>
      <c r="F547" s="23" t="s">
        <v>297</v>
      </c>
      <c r="G547" s="23" t="s">
        <v>250</v>
      </c>
      <c r="H547" s="39">
        <f t="shared" si="32"/>
        <v>4999</v>
      </c>
      <c r="I547" s="23" t="str">
        <f t="shared" si="33"/>
        <v>Kolkata</v>
      </c>
      <c r="J547" s="23">
        <f>COUNTIFS(pg_transaction_cleaned!$O:$O,A547,pg_transaction_cleaned!$F:$F,"CAPTURE")</f>
        <v>1</v>
      </c>
      <c r="K547" s="39">
        <f>SUMIFS(pg_transaction_cleaned!$H:$H,pg_transaction_cleaned!$O:$O,A547,pg_transaction_cleaned!$F:$F,"CAPTURE")</f>
        <v>4999</v>
      </c>
      <c r="L547" s="23">
        <f>COUNTIFS(pg_transaction_cleaned!$O:$O,A547,pg_transaction_cleaned!$F:$F,"REFUND")</f>
        <v>0</v>
      </c>
      <c r="M547" s="39">
        <f>SUMIFS(pg_transaction_cleaned!$H:$H,pg_transaction_cleaned!$O:$O,A547,pg_transaction_cleaned!$F:$F,"REFUND")</f>
        <v>0</v>
      </c>
      <c r="N547" s="23" t="str">
        <f t="shared" si="34"/>
        <v>OK</v>
      </c>
      <c r="O547" s="24">
        <f t="shared" si="35"/>
        <v>0</v>
      </c>
    </row>
    <row r="548" spans="1:15" ht="15" customHeight="1" x14ac:dyDescent="0.3">
      <c r="A548" s="23" t="s">
        <v>1510</v>
      </c>
      <c r="B548" s="38">
        <v>46274</v>
      </c>
      <c r="C548" s="23" t="s">
        <v>1511</v>
      </c>
      <c r="D548" s="23" t="s">
        <v>92</v>
      </c>
      <c r="E548" s="23" t="s">
        <v>75</v>
      </c>
      <c r="F548" s="23" t="s">
        <v>346</v>
      </c>
      <c r="G548" s="23" t="s">
        <v>250</v>
      </c>
      <c r="H548" s="39">
        <f t="shared" si="32"/>
        <v>4498</v>
      </c>
      <c r="I548" s="23" t="str">
        <f t="shared" si="33"/>
        <v>Hyderabad</v>
      </c>
      <c r="J548" s="23">
        <f>COUNTIFS(pg_transaction_cleaned!$O:$O,A548,pg_transaction_cleaned!$F:$F,"CAPTURE")</f>
        <v>1</v>
      </c>
      <c r="K548" s="39">
        <f>SUMIFS(pg_transaction_cleaned!$H:$H,pg_transaction_cleaned!$O:$O,A548,pg_transaction_cleaned!$F:$F,"CAPTURE")</f>
        <v>4498</v>
      </c>
      <c r="L548" s="23">
        <f>COUNTIFS(pg_transaction_cleaned!$O:$O,A548,pg_transaction_cleaned!$F:$F,"REFUND")</f>
        <v>0</v>
      </c>
      <c r="M548" s="39">
        <f>SUMIFS(pg_transaction_cleaned!$H:$H,pg_transaction_cleaned!$O:$O,A548,pg_transaction_cleaned!$F:$F,"REFUND")</f>
        <v>0</v>
      </c>
      <c r="N548" s="23" t="str">
        <f t="shared" si="34"/>
        <v>OK</v>
      </c>
      <c r="O548" s="24">
        <f t="shared" si="35"/>
        <v>0</v>
      </c>
    </row>
    <row r="549" spans="1:15" ht="15" customHeight="1" x14ac:dyDescent="0.3">
      <c r="A549" s="23" t="s">
        <v>1512</v>
      </c>
      <c r="B549" s="38">
        <v>46278</v>
      </c>
      <c r="C549" s="23" t="s">
        <v>1513</v>
      </c>
      <c r="D549" s="23" t="s">
        <v>93</v>
      </c>
      <c r="E549" s="23" t="s">
        <v>79</v>
      </c>
      <c r="F549" s="23" t="s">
        <v>271</v>
      </c>
      <c r="G549" s="23" t="s">
        <v>250</v>
      </c>
      <c r="H549" s="39">
        <f t="shared" si="32"/>
        <v>2499</v>
      </c>
      <c r="I549" s="23" t="str">
        <f t="shared" si="33"/>
        <v>Kolkata</v>
      </c>
      <c r="J549" s="23">
        <f>COUNTIFS(pg_transaction_cleaned!$O:$O,A549,pg_transaction_cleaned!$F:$F,"CAPTURE")</f>
        <v>1</v>
      </c>
      <c r="K549" s="39">
        <f>SUMIFS(pg_transaction_cleaned!$H:$H,pg_transaction_cleaned!$O:$O,A549,pg_transaction_cleaned!$F:$F,"CAPTURE")</f>
        <v>2499</v>
      </c>
      <c r="L549" s="23">
        <f>COUNTIFS(pg_transaction_cleaned!$O:$O,A549,pg_transaction_cleaned!$F:$F,"REFUND")</f>
        <v>0</v>
      </c>
      <c r="M549" s="39">
        <f>SUMIFS(pg_transaction_cleaned!$H:$H,pg_transaction_cleaned!$O:$O,A549,pg_transaction_cleaned!$F:$F,"REFUND")</f>
        <v>0</v>
      </c>
      <c r="N549" s="23" t="str">
        <f t="shared" si="34"/>
        <v>OK</v>
      </c>
      <c r="O549" s="24">
        <f t="shared" si="35"/>
        <v>0</v>
      </c>
    </row>
    <row r="550" spans="1:15" ht="15" customHeight="1" x14ac:dyDescent="0.3">
      <c r="A550" s="23" t="s">
        <v>1514</v>
      </c>
      <c r="B550" s="38">
        <v>46294</v>
      </c>
      <c r="C550" s="23" t="s">
        <v>1515</v>
      </c>
      <c r="D550" s="23" t="s">
        <v>94</v>
      </c>
      <c r="E550" s="23" t="s">
        <v>79</v>
      </c>
      <c r="F550" s="23" t="s">
        <v>291</v>
      </c>
      <c r="G550" s="23" t="s">
        <v>250</v>
      </c>
      <c r="H550" s="39">
        <f t="shared" si="32"/>
        <v>3499</v>
      </c>
      <c r="I550" s="23" t="str">
        <f t="shared" si="33"/>
        <v>Chennai</v>
      </c>
      <c r="J550" s="23">
        <f>COUNTIFS(pg_transaction_cleaned!$O:$O,A550,pg_transaction_cleaned!$F:$F,"CAPTURE")</f>
        <v>1</v>
      </c>
      <c r="K550" s="39">
        <f>SUMIFS(pg_transaction_cleaned!$H:$H,pg_transaction_cleaned!$O:$O,A550,pg_transaction_cleaned!$F:$F,"CAPTURE")</f>
        <v>3499</v>
      </c>
      <c r="L550" s="23">
        <f>COUNTIFS(pg_transaction_cleaned!$O:$O,A550,pg_transaction_cleaned!$F:$F,"REFUND")</f>
        <v>0</v>
      </c>
      <c r="M550" s="39">
        <f>SUMIFS(pg_transaction_cleaned!$H:$H,pg_transaction_cleaned!$O:$O,A550,pg_transaction_cleaned!$F:$F,"REFUND")</f>
        <v>0</v>
      </c>
      <c r="N550" s="23" t="str">
        <f t="shared" si="34"/>
        <v>OK</v>
      </c>
      <c r="O550" s="24">
        <f t="shared" si="35"/>
        <v>0</v>
      </c>
    </row>
    <row r="551" spans="1:15" ht="15" customHeight="1" x14ac:dyDescent="0.3">
      <c r="A551" s="23" t="s">
        <v>1516</v>
      </c>
      <c r="B551" s="38">
        <v>46266</v>
      </c>
      <c r="C551" s="23" t="s">
        <v>1517</v>
      </c>
      <c r="D551" s="23" t="s">
        <v>91</v>
      </c>
      <c r="E551" s="23" t="s">
        <v>75</v>
      </c>
      <c r="F551" s="23" t="s">
        <v>310</v>
      </c>
      <c r="G551" s="23" t="s">
        <v>250</v>
      </c>
      <c r="H551" s="39">
        <f t="shared" si="32"/>
        <v>7999</v>
      </c>
      <c r="I551" s="23" t="str">
        <f t="shared" si="33"/>
        <v>Pune</v>
      </c>
      <c r="J551" s="23">
        <f>COUNTIFS(pg_transaction_cleaned!$O:$O,A551,pg_transaction_cleaned!$F:$F,"CAPTURE")</f>
        <v>1</v>
      </c>
      <c r="K551" s="39">
        <f>SUMIFS(pg_transaction_cleaned!$H:$H,pg_transaction_cleaned!$O:$O,A551,pg_transaction_cleaned!$F:$F,"CAPTURE")</f>
        <v>7999</v>
      </c>
      <c r="L551" s="23">
        <f>COUNTIFS(pg_transaction_cleaned!$O:$O,A551,pg_transaction_cleaned!$F:$F,"REFUND")</f>
        <v>0</v>
      </c>
      <c r="M551" s="39">
        <f>SUMIFS(pg_transaction_cleaned!$H:$H,pg_transaction_cleaned!$O:$O,A551,pg_transaction_cleaned!$F:$F,"REFUND")</f>
        <v>0</v>
      </c>
      <c r="N551" s="23" t="str">
        <f t="shared" si="34"/>
        <v>OK</v>
      </c>
      <c r="O551" s="24">
        <f t="shared" si="35"/>
        <v>0</v>
      </c>
    </row>
    <row r="552" spans="1:15" ht="15" customHeight="1" x14ac:dyDescent="0.3">
      <c r="A552" s="23" t="s">
        <v>1518</v>
      </c>
      <c r="B552" s="38">
        <v>46293</v>
      </c>
      <c r="C552" s="23" t="s">
        <v>1519</v>
      </c>
      <c r="D552" s="23" t="s">
        <v>92</v>
      </c>
      <c r="E552" s="23" t="s">
        <v>79</v>
      </c>
      <c r="F552" s="23" t="s">
        <v>1520</v>
      </c>
      <c r="G552" s="23" t="s">
        <v>250</v>
      </c>
      <c r="H552" s="39">
        <f t="shared" si="32"/>
        <v>499</v>
      </c>
      <c r="I552" s="23" t="str">
        <f t="shared" si="33"/>
        <v>Hyderabad</v>
      </c>
      <c r="J552" s="23">
        <f>COUNTIFS(pg_transaction_cleaned!$O:$O,A552,pg_transaction_cleaned!$F:$F,"CAPTURE")</f>
        <v>1</v>
      </c>
      <c r="K552" s="39">
        <f>SUMIFS(pg_transaction_cleaned!$H:$H,pg_transaction_cleaned!$O:$O,A552,pg_transaction_cleaned!$F:$F,"CAPTURE")</f>
        <v>499</v>
      </c>
      <c r="L552" s="23">
        <f>COUNTIFS(pg_transaction_cleaned!$O:$O,A552,pg_transaction_cleaned!$F:$F,"REFUND")</f>
        <v>0</v>
      </c>
      <c r="M552" s="39">
        <f>SUMIFS(pg_transaction_cleaned!$H:$H,pg_transaction_cleaned!$O:$O,A552,pg_transaction_cleaned!$F:$F,"REFUND")</f>
        <v>0</v>
      </c>
      <c r="N552" s="23" t="str">
        <f t="shared" si="34"/>
        <v>OK</v>
      </c>
      <c r="O552" s="24">
        <f t="shared" si="35"/>
        <v>0</v>
      </c>
    </row>
    <row r="553" spans="1:15" ht="15" customHeight="1" x14ac:dyDescent="0.3">
      <c r="A553" s="23" t="s">
        <v>1521</v>
      </c>
      <c r="B553" s="38">
        <v>46289</v>
      </c>
      <c r="C553" s="23" t="s">
        <v>1522</v>
      </c>
      <c r="D553" s="23" t="s">
        <v>90</v>
      </c>
      <c r="E553" s="23" t="s">
        <v>75</v>
      </c>
      <c r="F553" s="23" t="s">
        <v>438</v>
      </c>
      <c r="G553" s="23" t="s">
        <v>250</v>
      </c>
      <c r="H553" s="39">
        <f t="shared" si="32"/>
        <v>5498</v>
      </c>
      <c r="I553" s="23" t="str">
        <f t="shared" si="33"/>
        <v>Ahmedabad</v>
      </c>
      <c r="J553" s="23">
        <f>COUNTIFS(pg_transaction_cleaned!$O:$O,A553,pg_transaction_cleaned!$F:$F,"CAPTURE")</f>
        <v>1</v>
      </c>
      <c r="K553" s="39">
        <f>SUMIFS(pg_transaction_cleaned!$H:$H,pg_transaction_cleaned!$O:$O,A553,pg_transaction_cleaned!$F:$F,"CAPTURE")</f>
        <v>5498</v>
      </c>
      <c r="L553" s="23">
        <f>COUNTIFS(pg_transaction_cleaned!$O:$O,A553,pg_transaction_cleaned!$F:$F,"REFUND")</f>
        <v>0</v>
      </c>
      <c r="M553" s="39">
        <f>SUMIFS(pg_transaction_cleaned!$H:$H,pg_transaction_cleaned!$O:$O,A553,pg_transaction_cleaned!$F:$F,"REFUND")</f>
        <v>0</v>
      </c>
      <c r="N553" s="23" t="str">
        <f t="shared" si="34"/>
        <v>OK</v>
      </c>
      <c r="O553" s="24">
        <f t="shared" si="35"/>
        <v>0</v>
      </c>
    </row>
    <row r="554" spans="1:15" ht="15" customHeight="1" x14ac:dyDescent="0.3">
      <c r="A554" s="23" t="s">
        <v>1523</v>
      </c>
      <c r="B554" s="38">
        <v>46290</v>
      </c>
      <c r="C554" s="23" t="s">
        <v>1524</v>
      </c>
      <c r="D554" s="23" t="s">
        <v>91</v>
      </c>
      <c r="E554" s="23" t="s">
        <v>75</v>
      </c>
      <c r="F554" s="23" t="s">
        <v>622</v>
      </c>
      <c r="G554" s="23" t="s">
        <v>250</v>
      </c>
      <c r="H554" s="39">
        <f t="shared" si="32"/>
        <v>8998</v>
      </c>
      <c r="I554" s="23" t="str">
        <f t="shared" si="33"/>
        <v>Pune</v>
      </c>
      <c r="J554" s="23">
        <f>COUNTIFS(pg_transaction_cleaned!$O:$O,A554,pg_transaction_cleaned!$F:$F,"CAPTURE")</f>
        <v>1</v>
      </c>
      <c r="K554" s="39">
        <f>SUMIFS(pg_transaction_cleaned!$H:$H,pg_transaction_cleaned!$O:$O,A554,pg_transaction_cleaned!$F:$F,"CAPTURE")</f>
        <v>8998</v>
      </c>
      <c r="L554" s="23">
        <f>COUNTIFS(pg_transaction_cleaned!$O:$O,A554,pg_transaction_cleaned!$F:$F,"REFUND")</f>
        <v>0</v>
      </c>
      <c r="M554" s="39">
        <f>SUMIFS(pg_transaction_cleaned!$H:$H,pg_transaction_cleaned!$O:$O,A554,pg_transaction_cleaned!$F:$F,"REFUND")</f>
        <v>0</v>
      </c>
      <c r="N554" s="23" t="str">
        <f t="shared" si="34"/>
        <v>OK</v>
      </c>
      <c r="O554" s="24">
        <f t="shared" si="35"/>
        <v>0</v>
      </c>
    </row>
    <row r="555" spans="1:15" ht="15" customHeight="1" x14ac:dyDescent="0.3">
      <c r="A555" s="23" t="s">
        <v>1525</v>
      </c>
      <c r="B555" s="38">
        <v>46275</v>
      </c>
      <c r="C555" s="23" t="s">
        <v>1526</v>
      </c>
      <c r="D555" s="23" t="s">
        <v>87</v>
      </c>
      <c r="E555" s="23" t="s">
        <v>75</v>
      </c>
      <c r="F555" s="23" t="s">
        <v>1038</v>
      </c>
      <c r="G555" s="23" t="s">
        <v>250</v>
      </c>
      <c r="H555" s="39">
        <f t="shared" si="32"/>
        <v>3597</v>
      </c>
      <c r="I555" s="23" t="str">
        <f t="shared" si="33"/>
        <v>Mumbai</v>
      </c>
      <c r="J555" s="23">
        <f>COUNTIFS(pg_transaction_cleaned!$O:$O,A555,pg_transaction_cleaned!$F:$F,"CAPTURE")</f>
        <v>1</v>
      </c>
      <c r="K555" s="39">
        <f>SUMIFS(pg_transaction_cleaned!$H:$H,pg_transaction_cleaned!$O:$O,A555,pg_transaction_cleaned!$F:$F,"CAPTURE")</f>
        <v>3597</v>
      </c>
      <c r="L555" s="23">
        <f>COUNTIFS(pg_transaction_cleaned!$O:$O,A555,pg_transaction_cleaned!$F:$F,"REFUND")</f>
        <v>0</v>
      </c>
      <c r="M555" s="39">
        <f>SUMIFS(pg_transaction_cleaned!$H:$H,pg_transaction_cleaned!$O:$O,A555,pg_transaction_cleaned!$F:$F,"REFUND")</f>
        <v>0</v>
      </c>
      <c r="N555" s="23" t="str">
        <f t="shared" si="34"/>
        <v>OK</v>
      </c>
      <c r="O555" s="24">
        <f t="shared" si="35"/>
        <v>0</v>
      </c>
    </row>
    <row r="556" spans="1:15" ht="15" customHeight="1" x14ac:dyDescent="0.3">
      <c r="A556" s="23" t="s">
        <v>1527</v>
      </c>
      <c r="B556" s="38">
        <v>46271</v>
      </c>
      <c r="C556" s="23" t="s">
        <v>1528</v>
      </c>
      <c r="D556" s="23"/>
      <c r="E556" s="23" t="s">
        <v>75</v>
      </c>
      <c r="F556" s="23" t="s">
        <v>310</v>
      </c>
      <c r="G556" s="23" t="s">
        <v>250</v>
      </c>
      <c r="H556" s="39">
        <f t="shared" si="32"/>
        <v>7999</v>
      </c>
      <c r="I556" s="23" t="str">
        <f t="shared" si="33"/>
        <v>Unknown</v>
      </c>
      <c r="J556" s="23">
        <f>COUNTIFS(pg_transaction_cleaned!$O:$O,A556,pg_transaction_cleaned!$F:$F,"CAPTURE")</f>
        <v>1</v>
      </c>
      <c r="K556" s="39">
        <f>SUMIFS(pg_transaction_cleaned!$H:$H,pg_transaction_cleaned!$O:$O,A556,pg_transaction_cleaned!$F:$F,"CAPTURE")</f>
        <v>7999</v>
      </c>
      <c r="L556" s="23">
        <f>COUNTIFS(pg_transaction_cleaned!$O:$O,A556,pg_transaction_cleaned!$F:$F,"REFUND")</f>
        <v>0</v>
      </c>
      <c r="M556" s="39">
        <f>SUMIFS(pg_transaction_cleaned!$H:$H,pg_transaction_cleaned!$O:$O,A556,pg_transaction_cleaned!$F:$F,"REFUND")</f>
        <v>0</v>
      </c>
      <c r="N556" s="23" t="str">
        <f t="shared" si="34"/>
        <v>OK</v>
      </c>
      <c r="O556" s="24">
        <f t="shared" si="35"/>
        <v>0</v>
      </c>
    </row>
    <row r="557" spans="1:15" ht="15" customHeight="1" x14ac:dyDescent="0.3">
      <c r="A557" s="23" t="s">
        <v>1529</v>
      </c>
      <c r="B557" s="38">
        <v>46267</v>
      </c>
      <c r="C557" s="23" t="s">
        <v>1530</v>
      </c>
      <c r="D557" s="23"/>
      <c r="E557" s="23" t="s">
        <v>75</v>
      </c>
      <c r="F557" s="23" t="s">
        <v>291</v>
      </c>
      <c r="G557" s="23" t="s">
        <v>250</v>
      </c>
      <c r="H557" s="39">
        <f t="shared" si="32"/>
        <v>3499</v>
      </c>
      <c r="I557" s="23" t="str">
        <f t="shared" si="33"/>
        <v>Unknown</v>
      </c>
      <c r="J557" s="23">
        <f>COUNTIFS(pg_transaction_cleaned!$O:$O,A557,pg_transaction_cleaned!$F:$F,"CAPTURE")</f>
        <v>1</v>
      </c>
      <c r="K557" s="39">
        <f>SUMIFS(pg_transaction_cleaned!$H:$H,pg_transaction_cleaned!$O:$O,A557,pg_transaction_cleaned!$F:$F,"CAPTURE")</f>
        <v>3499</v>
      </c>
      <c r="L557" s="23">
        <f>COUNTIFS(pg_transaction_cleaned!$O:$O,A557,pg_transaction_cleaned!$F:$F,"REFUND")</f>
        <v>0</v>
      </c>
      <c r="M557" s="39">
        <f>SUMIFS(pg_transaction_cleaned!$H:$H,pg_transaction_cleaned!$O:$O,A557,pg_transaction_cleaned!$F:$F,"REFUND")</f>
        <v>0</v>
      </c>
      <c r="N557" s="23" t="str">
        <f t="shared" si="34"/>
        <v>OK</v>
      </c>
      <c r="O557" s="24">
        <f t="shared" si="35"/>
        <v>0</v>
      </c>
    </row>
    <row r="558" spans="1:15" ht="15" customHeight="1" x14ac:dyDescent="0.3">
      <c r="A558" s="23" t="s">
        <v>1531</v>
      </c>
      <c r="B558" s="38">
        <v>46278</v>
      </c>
      <c r="C558" s="23" t="s">
        <v>1532</v>
      </c>
      <c r="D558" s="23" t="s">
        <v>86</v>
      </c>
      <c r="E558" s="23" t="s">
        <v>75</v>
      </c>
      <c r="F558" s="23" t="s">
        <v>1533</v>
      </c>
      <c r="G558" s="23" t="s">
        <v>250</v>
      </c>
      <c r="H558" s="39">
        <f t="shared" si="32"/>
        <v>3647</v>
      </c>
      <c r="I558" s="23" t="str">
        <f t="shared" si="33"/>
        <v>Delhi</v>
      </c>
      <c r="J558" s="23">
        <f>COUNTIFS(pg_transaction_cleaned!$O:$O,A558,pg_transaction_cleaned!$F:$F,"CAPTURE")</f>
        <v>1</v>
      </c>
      <c r="K558" s="39">
        <f>SUMIFS(pg_transaction_cleaned!$H:$H,pg_transaction_cleaned!$O:$O,A558,pg_transaction_cleaned!$F:$F,"CAPTURE")</f>
        <v>3647</v>
      </c>
      <c r="L558" s="23">
        <f>COUNTIFS(pg_transaction_cleaned!$O:$O,A558,pg_transaction_cleaned!$F:$F,"REFUND")</f>
        <v>0</v>
      </c>
      <c r="M558" s="39">
        <f>SUMIFS(pg_transaction_cleaned!$H:$H,pg_transaction_cleaned!$O:$O,A558,pg_transaction_cleaned!$F:$F,"REFUND")</f>
        <v>0</v>
      </c>
      <c r="N558" s="23" t="str">
        <f t="shared" si="34"/>
        <v>OK</v>
      </c>
      <c r="O558" s="24">
        <f t="shared" si="35"/>
        <v>0</v>
      </c>
    </row>
    <row r="559" spans="1:15" ht="15" customHeight="1" x14ac:dyDescent="0.3">
      <c r="A559" s="23" t="s">
        <v>1534</v>
      </c>
      <c r="B559" s="38">
        <v>46293</v>
      </c>
      <c r="C559" s="23" t="s">
        <v>1535</v>
      </c>
      <c r="D559" s="23" t="s">
        <v>91</v>
      </c>
      <c r="E559" s="23" t="s">
        <v>75</v>
      </c>
      <c r="F559" s="23" t="s">
        <v>288</v>
      </c>
      <c r="G559" s="23" t="s">
        <v>250</v>
      </c>
      <c r="H559" s="39">
        <f t="shared" si="32"/>
        <v>4298</v>
      </c>
      <c r="I559" s="23" t="str">
        <f t="shared" si="33"/>
        <v>Pune</v>
      </c>
      <c r="J559" s="23">
        <f>COUNTIFS(pg_transaction_cleaned!$O:$O,A559,pg_transaction_cleaned!$F:$F,"CAPTURE")</f>
        <v>1</v>
      </c>
      <c r="K559" s="39">
        <f>SUMIFS(pg_transaction_cleaned!$H:$H,pg_transaction_cleaned!$O:$O,A559,pg_transaction_cleaned!$F:$F,"CAPTURE")</f>
        <v>4298</v>
      </c>
      <c r="L559" s="23">
        <f>COUNTIFS(pg_transaction_cleaned!$O:$O,A559,pg_transaction_cleaned!$F:$F,"REFUND")</f>
        <v>0</v>
      </c>
      <c r="M559" s="39">
        <f>SUMIFS(pg_transaction_cleaned!$H:$H,pg_transaction_cleaned!$O:$O,A559,pg_transaction_cleaned!$F:$F,"REFUND")</f>
        <v>0</v>
      </c>
      <c r="N559" s="23" t="str">
        <f t="shared" si="34"/>
        <v>OK</v>
      </c>
      <c r="O559" s="24">
        <f t="shared" si="35"/>
        <v>0</v>
      </c>
    </row>
    <row r="560" spans="1:15" ht="15" customHeight="1" x14ac:dyDescent="0.3">
      <c r="A560" s="23" t="s">
        <v>1536</v>
      </c>
      <c r="B560" s="38">
        <v>46275</v>
      </c>
      <c r="C560" s="23" t="s">
        <v>1537</v>
      </c>
      <c r="D560" s="23" t="s">
        <v>95</v>
      </c>
      <c r="E560" s="23" t="s">
        <v>81</v>
      </c>
      <c r="F560" s="23" t="s">
        <v>268</v>
      </c>
      <c r="G560" s="23" t="s">
        <v>250</v>
      </c>
      <c r="H560" s="39">
        <f t="shared" si="32"/>
        <v>1299</v>
      </c>
      <c r="I560" s="23" t="str">
        <f t="shared" si="33"/>
        <v>Bengaluru</v>
      </c>
      <c r="J560" s="23">
        <f>COUNTIFS(pg_transaction_cleaned!$O:$O,A560,pg_transaction_cleaned!$F:$F,"CAPTURE")</f>
        <v>1</v>
      </c>
      <c r="K560" s="39">
        <f>SUMIFS(pg_transaction_cleaned!$H:$H,pg_transaction_cleaned!$O:$O,A560,pg_transaction_cleaned!$F:$F,"CAPTURE")</f>
        <v>1299</v>
      </c>
      <c r="L560" s="23">
        <f>COUNTIFS(pg_transaction_cleaned!$O:$O,A560,pg_transaction_cleaned!$F:$F,"REFUND")</f>
        <v>0</v>
      </c>
      <c r="M560" s="39">
        <f>SUMIFS(pg_transaction_cleaned!$H:$H,pg_transaction_cleaned!$O:$O,A560,pg_transaction_cleaned!$F:$F,"REFUND")</f>
        <v>0</v>
      </c>
      <c r="N560" s="23" t="str">
        <f t="shared" si="34"/>
        <v>OK</v>
      </c>
      <c r="O560" s="24">
        <f t="shared" si="35"/>
        <v>0</v>
      </c>
    </row>
    <row r="561" spans="1:15" ht="15" customHeight="1" x14ac:dyDescent="0.3">
      <c r="A561" s="23" t="s">
        <v>1538</v>
      </c>
      <c r="B561" s="38">
        <v>46286</v>
      </c>
      <c r="C561" s="23" t="s">
        <v>1539</v>
      </c>
      <c r="D561" s="23" t="s">
        <v>87</v>
      </c>
      <c r="E561" s="23" t="s">
        <v>79</v>
      </c>
      <c r="F561" s="23" t="s">
        <v>396</v>
      </c>
      <c r="G561" s="23" t="s">
        <v>250</v>
      </c>
      <c r="H561" s="39">
        <f t="shared" si="32"/>
        <v>2999</v>
      </c>
      <c r="I561" s="23" t="str">
        <f t="shared" si="33"/>
        <v>Mumbai</v>
      </c>
      <c r="J561" s="23">
        <f>COUNTIFS(pg_transaction_cleaned!$O:$O,A561,pg_transaction_cleaned!$F:$F,"CAPTURE")</f>
        <v>1</v>
      </c>
      <c r="K561" s="39">
        <f>SUMIFS(pg_transaction_cleaned!$H:$H,pg_transaction_cleaned!$O:$O,A561,pg_transaction_cleaned!$F:$F,"CAPTURE")</f>
        <v>2999</v>
      </c>
      <c r="L561" s="23">
        <f>COUNTIFS(pg_transaction_cleaned!$O:$O,A561,pg_transaction_cleaned!$F:$F,"REFUND")</f>
        <v>0</v>
      </c>
      <c r="M561" s="39">
        <f>SUMIFS(pg_transaction_cleaned!$H:$H,pg_transaction_cleaned!$O:$O,A561,pg_transaction_cleaned!$F:$F,"REFUND")</f>
        <v>0</v>
      </c>
      <c r="N561" s="23" t="str">
        <f t="shared" si="34"/>
        <v>OK</v>
      </c>
      <c r="O561" s="24">
        <f t="shared" si="35"/>
        <v>0</v>
      </c>
    </row>
    <row r="562" spans="1:15" ht="15" customHeight="1" x14ac:dyDescent="0.3">
      <c r="A562" s="23" t="s">
        <v>1540</v>
      </c>
      <c r="B562" s="38">
        <v>46293</v>
      </c>
      <c r="C562" s="23" t="s">
        <v>1541</v>
      </c>
      <c r="D562" s="23" t="s">
        <v>95</v>
      </c>
      <c r="E562" s="23" t="s">
        <v>79</v>
      </c>
      <c r="F562" s="23" t="s">
        <v>1341</v>
      </c>
      <c r="G562" s="23" t="s">
        <v>250</v>
      </c>
      <c r="H562" s="39">
        <f t="shared" si="32"/>
        <v>2297</v>
      </c>
      <c r="I562" s="23" t="str">
        <f t="shared" si="33"/>
        <v>Bengaluru</v>
      </c>
      <c r="J562" s="23">
        <f>COUNTIFS(pg_transaction_cleaned!$O:$O,A562,pg_transaction_cleaned!$F:$F,"CAPTURE")</f>
        <v>1</v>
      </c>
      <c r="K562" s="39">
        <f>SUMIFS(pg_transaction_cleaned!$H:$H,pg_transaction_cleaned!$O:$O,A562,pg_transaction_cleaned!$F:$F,"CAPTURE")</f>
        <v>2297</v>
      </c>
      <c r="L562" s="23">
        <f>COUNTIFS(pg_transaction_cleaned!$O:$O,A562,pg_transaction_cleaned!$F:$F,"REFUND")</f>
        <v>0</v>
      </c>
      <c r="M562" s="39">
        <f>SUMIFS(pg_transaction_cleaned!$H:$H,pg_transaction_cleaned!$O:$O,A562,pg_transaction_cleaned!$F:$F,"REFUND")</f>
        <v>0</v>
      </c>
      <c r="N562" s="23" t="str">
        <f t="shared" si="34"/>
        <v>OK</v>
      </c>
      <c r="O562" s="24">
        <f t="shared" si="35"/>
        <v>0</v>
      </c>
    </row>
    <row r="563" spans="1:15" ht="15" customHeight="1" x14ac:dyDescent="0.3">
      <c r="A563" s="23" t="s">
        <v>1542</v>
      </c>
      <c r="B563" s="38">
        <v>46274</v>
      </c>
      <c r="C563" s="23" t="s">
        <v>1543</v>
      </c>
      <c r="D563" s="23" t="s">
        <v>93</v>
      </c>
      <c r="E563" s="23" t="s">
        <v>79</v>
      </c>
      <c r="F563" s="23" t="s">
        <v>304</v>
      </c>
      <c r="G563" s="23" t="s">
        <v>250</v>
      </c>
      <c r="H563" s="39">
        <f t="shared" si="32"/>
        <v>5798</v>
      </c>
      <c r="I563" s="23" t="str">
        <f t="shared" si="33"/>
        <v>Kolkata</v>
      </c>
      <c r="J563" s="23">
        <f>COUNTIFS(pg_transaction_cleaned!$O:$O,A563,pg_transaction_cleaned!$F:$F,"CAPTURE")</f>
        <v>1</v>
      </c>
      <c r="K563" s="39">
        <f>SUMIFS(pg_transaction_cleaned!$H:$H,pg_transaction_cleaned!$O:$O,A563,pg_transaction_cleaned!$F:$F,"CAPTURE")</f>
        <v>5798</v>
      </c>
      <c r="L563" s="23">
        <f>COUNTIFS(pg_transaction_cleaned!$O:$O,A563,pg_transaction_cleaned!$F:$F,"REFUND")</f>
        <v>0</v>
      </c>
      <c r="M563" s="39">
        <f>SUMIFS(pg_transaction_cleaned!$H:$H,pg_transaction_cleaned!$O:$O,A563,pg_transaction_cleaned!$F:$F,"REFUND")</f>
        <v>0</v>
      </c>
      <c r="N563" s="23" t="str">
        <f t="shared" si="34"/>
        <v>OK</v>
      </c>
      <c r="O563" s="24">
        <f t="shared" si="35"/>
        <v>0</v>
      </c>
    </row>
    <row r="564" spans="1:15" ht="15" customHeight="1" x14ac:dyDescent="0.3">
      <c r="A564" s="23" t="s">
        <v>1544</v>
      </c>
      <c r="B564" s="38">
        <v>46294</v>
      </c>
      <c r="C564" s="23" t="s">
        <v>1545</v>
      </c>
      <c r="D564" s="23" t="s">
        <v>89</v>
      </c>
      <c r="E564" s="23" t="s">
        <v>75</v>
      </c>
      <c r="F564" s="23" t="s">
        <v>622</v>
      </c>
      <c r="G564" s="23" t="s">
        <v>250</v>
      </c>
      <c r="H564" s="39">
        <f t="shared" si="32"/>
        <v>8998</v>
      </c>
      <c r="I564" s="23" t="str">
        <f t="shared" si="33"/>
        <v>Jaipur</v>
      </c>
      <c r="J564" s="23">
        <f>COUNTIFS(pg_transaction_cleaned!$O:$O,A564,pg_transaction_cleaned!$F:$F,"CAPTURE")</f>
        <v>1</v>
      </c>
      <c r="K564" s="39">
        <f>SUMIFS(pg_transaction_cleaned!$H:$H,pg_transaction_cleaned!$O:$O,A564,pg_transaction_cleaned!$F:$F,"CAPTURE")</f>
        <v>8998</v>
      </c>
      <c r="L564" s="23">
        <f>COUNTIFS(pg_transaction_cleaned!$O:$O,A564,pg_transaction_cleaned!$F:$F,"REFUND")</f>
        <v>0</v>
      </c>
      <c r="M564" s="39">
        <f>SUMIFS(pg_transaction_cleaned!$H:$H,pg_transaction_cleaned!$O:$O,A564,pg_transaction_cleaned!$F:$F,"REFUND")</f>
        <v>0</v>
      </c>
      <c r="N564" s="23" t="str">
        <f t="shared" si="34"/>
        <v>OK</v>
      </c>
      <c r="O564" s="24">
        <f t="shared" si="35"/>
        <v>0</v>
      </c>
    </row>
    <row r="565" spans="1:15" ht="15" customHeight="1" x14ac:dyDescent="0.3">
      <c r="A565" s="23" t="s">
        <v>1546</v>
      </c>
      <c r="B565" s="38">
        <v>46292</v>
      </c>
      <c r="C565" s="23" t="s">
        <v>1547</v>
      </c>
      <c r="D565" s="23" t="s">
        <v>94</v>
      </c>
      <c r="E565" s="23" t="s">
        <v>75</v>
      </c>
      <c r="F565" s="23" t="s">
        <v>307</v>
      </c>
      <c r="G565" s="23" t="s">
        <v>250</v>
      </c>
      <c r="H565" s="39">
        <f t="shared" si="32"/>
        <v>3798</v>
      </c>
      <c r="I565" s="23" t="str">
        <f t="shared" si="33"/>
        <v>Chennai</v>
      </c>
      <c r="J565" s="23">
        <f>COUNTIFS(pg_transaction_cleaned!$O:$O,A565,pg_transaction_cleaned!$F:$F,"CAPTURE")</f>
        <v>1</v>
      </c>
      <c r="K565" s="39">
        <f>SUMIFS(pg_transaction_cleaned!$H:$H,pg_transaction_cleaned!$O:$O,A565,pg_transaction_cleaned!$F:$F,"CAPTURE")</f>
        <v>3798</v>
      </c>
      <c r="L565" s="23">
        <f>COUNTIFS(pg_transaction_cleaned!$O:$O,A565,pg_transaction_cleaned!$F:$F,"REFUND")</f>
        <v>0</v>
      </c>
      <c r="M565" s="39">
        <f>SUMIFS(pg_transaction_cleaned!$H:$H,pg_transaction_cleaned!$O:$O,A565,pg_transaction_cleaned!$F:$F,"REFUND")</f>
        <v>0</v>
      </c>
      <c r="N565" s="23" t="str">
        <f t="shared" si="34"/>
        <v>OK</v>
      </c>
      <c r="O565" s="24">
        <f t="shared" si="35"/>
        <v>0</v>
      </c>
    </row>
    <row r="566" spans="1:15" ht="15" customHeight="1" x14ac:dyDescent="0.3">
      <c r="A566" s="23" t="s">
        <v>1548</v>
      </c>
      <c r="B566" s="38">
        <v>46283</v>
      </c>
      <c r="C566" s="23" t="s">
        <v>1549</v>
      </c>
      <c r="D566" s="23" t="s">
        <v>94</v>
      </c>
      <c r="E566" s="23" t="s">
        <v>75</v>
      </c>
      <c r="F566" s="23" t="s">
        <v>280</v>
      </c>
      <c r="G566" s="23" t="s">
        <v>250</v>
      </c>
      <c r="H566" s="39">
        <f t="shared" si="32"/>
        <v>5797</v>
      </c>
      <c r="I566" s="23" t="str">
        <f t="shared" si="33"/>
        <v>Chennai</v>
      </c>
      <c r="J566" s="23">
        <f>COUNTIFS(pg_transaction_cleaned!$O:$O,A566,pg_transaction_cleaned!$F:$F,"CAPTURE")</f>
        <v>1</v>
      </c>
      <c r="K566" s="39">
        <f>SUMIFS(pg_transaction_cleaned!$H:$H,pg_transaction_cleaned!$O:$O,A566,pg_transaction_cleaned!$F:$F,"CAPTURE")</f>
        <v>5797</v>
      </c>
      <c r="L566" s="23">
        <f>COUNTIFS(pg_transaction_cleaned!$O:$O,A566,pg_transaction_cleaned!$F:$F,"REFUND")</f>
        <v>0</v>
      </c>
      <c r="M566" s="39">
        <f>SUMIFS(pg_transaction_cleaned!$H:$H,pg_transaction_cleaned!$O:$O,A566,pg_transaction_cleaned!$F:$F,"REFUND")</f>
        <v>0</v>
      </c>
      <c r="N566" s="23" t="str">
        <f t="shared" si="34"/>
        <v>OK</v>
      </c>
      <c r="O566" s="24">
        <f t="shared" si="35"/>
        <v>0</v>
      </c>
    </row>
    <row r="567" spans="1:15" ht="15" customHeight="1" x14ac:dyDescent="0.3">
      <c r="A567" s="23" t="s">
        <v>1550</v>
      </c>
      <c r="B567" s="38">
        <v>46274</v>
      </c>
      <c r="C567" s="23" t="s">
        <v>1551</v>
      </c>
      <c r="D567" s="23" t="s">
        <v>92</v>
      </c>
      <c r="E567" s="23" t="s">
        <v>79</v>
      </c>
      <c r="F567" s="23" t="s">
        <v>1552</v>
      </c>
      <c r="G567" s="23" t="s">
        <v>250</v>
      </c>
      <c r="H567" s="39">
        <f t="shared" si="32"/>
        <v>9797</v>
      </c>
      <c r="I567" s="23" t="str">
        <f t="shared" si="33"/>
        <v>Hyderabad</v>
      </c>
      <c r="J567" s="23">
        <f>COUNTIFS(pg_transaction_cleaned!$O:$O,A567,pg_transaction_cleaned!$F:$F,"CAPTURE")</f>
        <v>1</v>
      </c>
      <c r="K567" s="39">
        <f>SUMIFS(pg_transaction_cleaned!$H:$H,pg_transaction_cleaned!$O:$O,A567,pg_transaction_cleaned!$F:$F,"CAPTURE")</f>
        <v>9797</v>
      </c>
      <c r="L567" s="23">
        <f>COUNTIFS(pg_transaction_cleaned!$O:$O,A567,pg_transaction_cleaned!$F:$F,"REFUND")</f>
        <v>0</v>
      </c>
      <c r="M567" s="39">
        <f>SUMIFS(pg_transaction_cleaned!$H:$H,pg_transaction_cleaned!$O:$O,A567,pg_transaction_cleaned!$F:$F,"REFUND")</f>
        <v>0</v>
      </c>
      <c r="N567" s="23" t="str">
        <f t="shared" si="34"/>
        <v>OK</v>
      </c>
      <c r="O567" s="24">
        <f t="shared" si="35"/>
        <v>0</v>
      </c>
    </row>
    <row r="568" spans="1:15" ht="15" customHeight="1" x14ac:dyDescent="0.3">
      <c r="A568" s="23" t="s">
        <v>1553</v>
      </c>
      <c r="B568" s="38">
        <v>46272</v>
      </c>
      <c r="C568" s="23" t="s">
        <v>1554</v>
      </c>
      <c r="D568" s="23" t="s">
        <v>93</v>
      </c>
      <c r="E568" s="23" t="s">
        <v>77</v>
      </c>
      <c r="F568" s="23" t="s">
        <v>294</v>
      </c>
      <c r="G568" s="23" t="s">
        <v>250</v>
      </c>
      <c r="H568" s="39">
        <f t="shared" si="32"/>
        <v>1799</v>
      </c>
      <c r="I568" s="23" t="str">
        <f t="shared" si="33"/>
        <v>Kolkata</v>
      </c>
      <c r="J568" s="23">
        <f>COUNTIFS(pg_transaction_cleaned!$O:$O,A568,pg_transaction_cleaned!$F:$F,"CAPTURE")</f>
        <v>1</v>
      </c>
      <c r="K568" s="39">
        <f>SUMIFS(pg_transaction_cleaned!$H:$H,pg_transaction_cleaned!$O:$O,A568,pg_transaction_cleaned!$F:$F,"CAPTURE")</f>
        <v>1799</v>
      </c>
      <c r="L568" s="23">
        <f>COUNTIFS(pg_transaction_cleaned!$O:$O,A568,pg_transaction_cleaned!$F:$F,"REFUND")</f>
        <v>0</v>
      </c>
      <c r="M568" s="39">
        <f>SUMIFS(pg_transaction_cleaned!$H:$H,pg_transaction_cleaned!$O:$O,A568,pg_transaction_cleaned!$F:$F,"REFUND")</f>
        <v>0</v>
      </c>
      <c r="N568" s="23" t="str">
        <f t="shared" si="34"/>
        <v>OK</v>
      </c>
      <c r="O568" s="24">
        <f t="shared" si="35"/>
        <v>0</v>
      </c>
    </row>
    <row r="569" spans="1:15" ht="15" customHeight="1" x14ac:dyDescent="0.3">
      <c r="A569" s="23" t="s">
        <v>1555</v>
      </c>
      <c r="B569" s="38">
        <v>46287</v>
      </c>
      <c r="C569" s="23" t="s">
        <v>1556</v>
      </c>
      <c r="D569" s="23" t="s">
        <v>92</v>
      </c>
      <c r="E569" s="23" t="s">
        <v>75</v>
      </c>
      <c r="F569" s="23" t="s">
        <v>396</v>
      </c>
      <c r="G569" s="23" t="s">
        <v>250</v>
      </c>
      <c r="H569" s="39">
        <f t="shared" si="32"/>
        <v>2999</v>
      </c>
      <c r="I569" s="23" t="str">
        <f t="shared" si="33"/>
        <v>Hyderabad</v>
      </c>
      <c r="J569" s="23">
        <f>COUNTIFS(pg_transaction_cleaned!$O:$O,A569,pg_transaction_cleaned!$F:$F,"CAPTURE")</f>
        <v>1</v>
      </c>
      <c r="K569" s="39">
        <f>SUMIFS(pg_transaction_cleaned!$H:$H,pg_transaction_cleaned!$O:$O,A569,pg_transaction_cleaned!$F:$F,"CAPTURE")</f>
        <v>2999</v>
      </c>
      <c r="L569" s="23">
        <f>COUNTIFS(pg_transaction_cleaned!$O:$O,A569,pg_transaction_cleaned!$F:$F,"REFUND")</f>
        <v>0</v>
      </c>
      <c r="M569" s="39">
        <f>SUMIFS(pg_transaction_cleaned!$H:$H,pg_transaction_cleaned!$O:$O,A569,pg_transaction_cleaned!$F:$F,"REFUND")</f>
        <v>0</v>
      </c>
      <c r="N569" s="23" t="str">
        <f t="shared" si="34"/>
        <v>OK</v>
      </c>
      <c r="O569" s="24">
        <f t="shared" si="35"/>
        <v>0</v>
      </c>
    </row>
    <row r="570" spans="1:15" ht="15" customHeight="1" x14ac:dyDescent="0.3">
      <c r="A570" s="23" t="s">
        <v>1557</v>
      </c>
      <c r="B570" s="38">
        <v>46274</v>
      </c>
      <c r="C570" s="23" t="s">
        <v>1558</v>
      </c>
      <c r="D570" s="23" t="s">
        <v>95</v>
      </c>
      <c r="E570" s="23" t="s">
        <v>79</v>
      </c>
      <c r="F570" s="23" t="s">
        <v>300</v>
      </c>
      <c r="G570" s="23" t="s">
        <v>250</v>
      </c>
      <c r="H570" s="39">
        <f t="shared" si="32"/>
        <v>2598</v>
      </c>
      <c r="I570" s="23" t="str">
        <f t="shared" si="33"/>
        <v>Bengaluru</v>
      </c>
      <c r="J570" s="23">
        <f>COUNTIFS(pg_transaction_cleaned!$O:$O,A570,pg_transaction_cleaned!$F:$F,"CAPTURE")</f>
        <v>1</v>
      </c>
      <c r="K570" s="39">
        <f>SUMIFS(pg_transaction_cleaned!$H:$H,pg_transaction_cleaned!$O:$O,A570,pg_transaction_cleaned!$F:$F,"CAPTURE")</f>
        <v>2598</v>
      </c>
      <c r="L570" s="23">
        <f>COUNTIFS(pg_transaction_cleaned!$O:$O,A570,pg_transaction_cleaned!$F:$F,"REFUND")</f>
        <v>0</v>
      </c>
      <c r="M570" s="39">
        <f>SUMIFS(pg_transaction_cleaned!$H:$H,pg_transaction_cleaned!$O:$O,A570,pg_transaction_cleaned!$F:$F,"REFUND")</f>
        <v>0</v>
      </c>
      <c r="N570" s="23" t="str">
        <f t="shared" si="34"/>
        <v>OK</v>
      </c>
      <c r="O570" s="24">
        <f t="shared" si="35"/>
        <v>0</v>
      </c>
    </row>
    <row r="571" spans="1:15" ht="15" customHeight="1" x14ac:dyDescent="0.3">
      <c r="A571" s="23" t="s">
        <v>1559</v>
      </c>
      <c r="B571" s="38">
        <v>46276</v>
      </c>
      <c r="C571" s="23" t="s">
        <v>1560</v>
      </c>
      <c r="D571" s="23" t="s">
        <v>94</v>
      </c>
      <c r="E571" s="23" t="s">
        <v>79</v>
      </c>
      <c r="F571" s="23" t="s">
        <v>834</v>
      </c>
      <c r="G571" s="23" t="s">
        <v>250</v>
      </c>
      <c r="H571" s="39">
        <f t="shared" si="32"/>
        <v>7097</v>
      </c>
      <c r="I571" s="23" t="str">
        <f t="shared" si="33"/>
        <v>Chennai</v>
      </c>
      <c r="J571" s="23">
        <f>COUNTIFS(pg_transaction_cleaned!$O:$O,A571,pg_transaction_cleaned!$F:$F,"CAPTURE")</f>
        <v>1</v>
      </c>
      <c r="K571" s="39">
        <f>SUMIFS(pg_transaction_cleaned!$H:$H,pg_transaction_cleaned!$O:$O,A571,pg_transaction_cleaned!$F:$F,"CAPTURE")</f>
        <v>7097</v>
      </c>
      <c r="L571" s="23">
        <f>COUNTIFS(pg_transaction_cleaned!$O:$O,A571,pg_transaction_cleaned!$F:$F,"REFUND")</f>
        <v>0</v>
      </c>
      <c r="M571" s="39">
        <f>SUMIFS(pg_transaction_cleaned!$H:$H,pg_transaction_cleaned!$O:$O,A571,pg_transaction_cleaned!$F:$F,"REFUND")</f>
        <v>0</v>
      </c>
      <c r="N571" s="23" t="str">
        <f t="shared" si="34"/>
        <v>OK</v>
      </c>
      <c r="O571" s="24">
        <f t="shared" si="35"/>
        <v>0</v>
      </c>
    </row>
    <row r="572" spans="1:15" ht="15" customHeight="1" x14ac:dyDescent="0.3">
      <c r="A572" s="23" t="s">
        <v>1561</v>
      </c>
      <c r="B572" s="38">
        <v>46282</v>
      </c>
      <c r="C572" s="23" t="s">
        <v>1562</v>
      </c>
      <c r="D572" s="23" t="s">
        <v>86</v>
      </c>
      <c r="E572" s="23" t="s">
        <v>79</v>
      </c>
      <c r="F572" s="23" t="s">
        <v>310</v>
      </c>
      <c r="G572" s="23" t="s">
        <v>250</v>
      </c>
      <c r="H572" s="39">
        <f t="shared" si="32"/>
        <v>7999</v>
      </c>
      <c r="I572" s="23" t="str">
        <f t="shared" si="33"/>
        <v>Delhi</v>
      </c>
      <c r="J572" s="23">
        <f>COUNTIFS(pg_transaction_cleaned!$O:$O,A572,pg_transaction_cleaned!$F:$F,"CAPTURE")</f>
        <v>1</v>
      </c>
      <c r="K572" s="39">
        <f>SUMIFS(pg_transaction_cleaned!$H:$H,pg_transaction_cleaned!$O:$O,A572,pg_transaction_cleaned!$F:$F,"CAPTURE")</f>
        <v>7999</v>
      </c>
      <c r="L572" s="23">
        <f>COUNTIFS(pg_transaction_cleaned!$O:$O,A572,pg_transaction_cleaned!$F:$F,"REFUND")</f>
        <v>0</v>
      </c>
      <c r="M572" s="39">
        <f>SUMIFS(pg_transaction_cleaned!$H:$H,pg_transaction_cleaned!$O:$O,A572,pg_transaction_cleaned!$F:$F,"REFUND")</f>
        <v>0</v>
      </c>
      <c r="N572" s="23" t="str">
        <f t="shared" si="34"/>
        <v>OK</v>
      </c>
      <c r="O572" s="24">
        <f t="shared" si="35"/>
        <v>0</v>
      </c>
    </row>
    <row r="573" spans="1:15" ht="15" customHeight="1" x14ac:dyDescent="0.3">
      <c r="A573" s="23" t="s">
        <v>1563</v>
      </c>
      <c r="B573" s="38">
        <v>46275</v>
      </c>
      <c r="C573" s="23" t="s">
        <v>1564</v>
      </c>
      <c r="D573" s="23" t="s">
        <v>86</v>
      </c>
      <c r="E573" s="23" t="s">
        <v>75</v>
      </c>
      <c r="F573" s="23" t="s">
        <v>315</v>
      </c>
      <c r="G573" s="23" t="s">
        <v>250</v>
      </c>
      <c r="H573" s="39">
        <f t="shared" si="32"/>
        <v>1499</v>
      </c>
      <c r="I573" s="23" t="str">
        <f t="shared" si="33"/>
        <v>Delhi</v>
      </c>
      <c r="J573" s="23">
        <f>COUNTIFS(pg_transaction_cleaned!$O:$O,A573,pg_transaction_cleaned!$F:$F,"CAPTURE")</f>
        <v>1</v>
      </c>
      <c r="K573" s="39">
        <f>SUMIFS(pg_transaction_cleaned!$H:$H,pg_transaction_cleaned!$O:$O,A573,pg_transaction_cleaned!$F:$F,"CAPTURE")</f>
        <v>1499</v>
      </c>
      <c r="L573" s="23">
        <f>COUNTIFS(pg_transaction_cleaned!$O:$O,A573,pg_transaction_cleaned!$F:$F,"REFUND")</f>
        <v>0</v>
      </c>
      <c r="M573" s="39">
        <f>SUMIFS(pg_transaction_cleaned!$H:$H,pg_transaction_cleaned!$O:$O,A573,pg_transaction_cleaned!$F:$F,"REFUND")</f>
        <v>0</v>
      </c>
      <c r="N573" s="23" t="str">
        <f t="shared" si="34"/>
        <v>OK</v>
      </c>
      <c r="O573" s="24">
        <f t="shared" si="35"/>
        <v>0</v>
      </c>
    </row>
    <row r="574" spans="1:15" ht="15" customHeight="1" x14ac:dyDescent="0.3">
      <c r="A574" s="23" t="s">
        <v>1565</v>
      </c>
      <c r="B574" s="38">
        <v>46287</v>
      </c>
      <c r="C574" s="23" t="s">
        <v>1566</v>
      </c>
      <c r="D574" s="23" t="s">
        <v>93</v>
      </c>
      <c r="E574" s="23" t="s">
        <v>75</v>
      </c>
      <c r="F574" s="23" t="s">
        <v>396</v>
      </c>
      <c r="G574" s="23" t="s">
        <v>250</v>
      </c>
      <c r="H574" s="39">
        <f t="shared" si="32"/>
        <v>2999</v>
      </c>
      <c r="I574" s="23" t="str">
        <f t="shared" si="33"/>
        <v>Kolkata</v>
      </c>
      <c r="J574" s="23">
        <f>COUNTIFS(pg_transaction_cleaned!$O:$O,A574,pg_transaction_cleaned!$F:$F,"CAPTURE")</f>
        <v>1</v>
      </c>
      <c r="K574" s="39">
        <f>SUMIFS(pg_transaction_cleaned!$H:$H,pg_transaction_cleaned!$O:$O,A574,pg_transaction_cleaned!$F:$F,"CAPTURE")</f>
        <v>2999</v>
      </c>
      <c r="L574" s="23">
        <f>COUNTIFS(pg_transaction_cleaned!$O:$O,A574,pg_transaction_cleaned!$F:$F,"REFUND")</f>
        <v>0</v>
      </c>
      <c r="M574" s="39">
        <f>SUMIFS(pg_transaction_cleaned!$H:$H,pg_transaction_cleaned!$O:$O,A574,pg_transaction_cleaned!$F:$F,"REFUND")</f>
        <v>0</v>
      </c>
      <c r="N574" s="23" t="str">
        <f t="shared" si="34"/>
        <v>OK</v>
      </c>
      <c r="O574" s="24">
        <f t="shared" si="35"/>
        <v>0</v>
      </c>
    </row>
    <row r="575" spans="1:15" ht="15" customHeight="1" x14ac:dyDescent="0.3">
      <c r="A575" s="23" t="s">
        <v>1567</v>
      </c>
      <c r="B575" s="38">
        <v>46291</v>
      </c>
      <c r="C575" s="23" t="s">
        <v>1568</v>
      </c>
      <c r="D575" s="23" t="s">
        <v>90</v>
      </c>
      <c r="E575" s="23" t="s">
        <v>75</v>
      </c>
      <c r="F575" s="23" t="s">
        <v>265</v>
      </c>
      <c r="G575" s="23" t="s">
        <v>250</v>
      </c>
      <c r="H575" s="39">
        <f t="shared" si="32"/>
        <v>999</v>
      </c>
      <c r="I575" s="23" t="str">
        <f t="shared" si="33"/>
        <v>Ahmedabad</v>
      </c>
      <c r="J575" s="23">
        <f>COUNTIFS(pg_transaction_cleaned!$O:$O,A575,pg_transaction_cleaned!$F:$F,"CAPTURE")</f>
        <v>1</v>
      </c>
      <c r="K575" s="39">
        <f>SUMIFS(pg_transaction_cleaned!$H:$H,pg_transaction_cleaned!$O:$O,A575,pg_transaction_cleaned!$F:$F,"CAPTURE")</f>
        <v>999</v>
      </c>
      <c r="L575" s="23">
        <f>COUNTIFS(pg_transaction_cleaned!$O:$O,A575,pg_transaction_cleaned!$F:$F,"REFUND")</f>
        <v>0</v>
      </c>
      <c r="M575" s="39">
        <f>SUMIFS(pg_transaction_cleaned!$H:$H,pg_transaction_cleaned!$O:$O,A575,pg_transaction_cleaned!$F:$F,"REFUND")</f>
        <v>0</v>
      </c>
      <c r="N575" s="23" t="str">
        <f t="shared" si="34"/>
        <v>OK</v>
      </c>
      <c r="O575" s="24">
        <f t="shared" si="35"/>
        <v>0</v>
      </c>
    </row>
    <row r="576" spans="1:15" ht="15" customHeight="1" x14ac:dyDescent="0.3">
      <c r="A576" s="23" t="s">
        <v>1569</v>
      </c>
      <c r="B576" s="38">
        <v>46267</v>
      </c>
      <c r="C576" s="23" t="s">
        <v>1570</v>
      </c>
      <c r="D576" s="23" t="s">
        <v>91</v>
      </c>
      <c r="E576" s="23" t="s">
        <v>77</v>
      </c>
      <c r="F576" s="23" t="s">
        <v>1571</v>
      </c>
      <c r="G576" s="23" t="s">
        <v>250</v>
      </c>
      <c r="H576" s="39">
        <f t="shared" si="32"/>
        <v>7497</v>
      </c>
      <c r="I576" s="23" t="str">
        <f t="shared" si="33"/>
        <v>Pune</v>
      </c>
      <c r="J576" s="23">
        <f>COUNTIFS(pg_transaction_cleaned!$O:$O,A576,pg_transaction_cleaned!$F:$F,"CAPTURE")</f>
        <v>1</v>
      </c>
      <c r="K576" s="39">
        <f>SUMIFS(pg_transaction_cleaned!$H:$H,pg_transaction_cleaned!$O:$O,A576,pg_transaction_cleaned!$F:$F,"CAPTURE")</f>
        <v>7497</v>
      </c>
      <c r="L576" s="23">
        <f>COUNTIFS(pg_transaction_cleaned!$O:$O,A576,pg_transaction_cleaned!$F:$F,"REFUND")</f>
        <v>0</v>
      </c>
      <c r="M576" s="39">
        <f>SUMIFS(pg_transaction_cleaned!$H:$H,pg_transaction_cleaned!$O:$O,A576,pg_transaction_cleaned!$F:$F,"REFUND")</f>
        <v>0</v>
      </c>
      <c r="N576" s="23" t="str">
        <f t="shared" si="34"/>
        <v>OK</v>
      </c>
      <c r="O576" s="24">
        <f t="shared" si="35"/>
        <v>0</v>
      </c>
    </row>
    <row r="577" spans="1:15" ht="15" customHeight="1" x14ac:dyDescent="0.3">
      <c r="A577" s="23" t="s">
        <v>1572</v>
      </c>
      <c r="B577" s="38">
        <v>46293</v>
      </c>
      <c r="C577" s="23" t="s">
        <v>1573</v>
      </c>
      <c r="D577" s="23" t="s">
        <v>86</v>
      </c>
      <c r="E577" s="23" t="s">
        <v>81</v>
      </c>
      <c r="F577" s="23" t="s">
        <v>1103</v>
      </c>
      <c r="G577" s="23" t="s">
        <v>250</v>
      </c>
      <c r="H577" s="39">
        <f t="shared" si="32"/>
        <v>3897</v>
      </c>
      <c r="I577" s="23" t="str">
        <f t="shared" si="33"/>
        <v>Delhi</v>
      </c>
      <c r="J577" s="23">
        <f>COUNTIFS(pg_transaction_cleaned!$O:$O,A577,pg_transaction_cleaned!$F:$F,"CAPTURE")</f>
        <v>1</v>
      </c>
      <c r="K577" s="39">
        <f>SUMIFS(pg_transaction_cleaned!$H:$H,pg_transaction_cleaned!$O:$O,A577,pg_transaction_cleaned!$F:$F,"CAPTURE")</f>
        <v>3897</v>
      </c>
      <c r="L577" s="23">
        <f>COUNTIFS(pg_transaction_cleaned!$O:$O,A577,pg_transaction_cleaned!$F:$F,"REFUND")</f>
        <v>0</v>
      </c>
      <c r="M577" s="39">
        <f>SUMIFS(pg_transaction_cleaned!$H:$H,pg_transaction_cleaned!$O:$O,A577,pg_transaction_cleaned!$F:$F,"REFUND")</f>
        <v>0</v>
      </c>
      <c r="N577" s="23" t="str">
        <f t="shared" si="34"/>
        <v>OK</v>
      </c>
      <c r="O577" s="24">
        <f t="shared" si="35"/>
        <v>0</v>
      </c>
    </row>
    <row r="578" spans="1:15" ht="15" customHeight="1" x14ac:dyDescent="0.3">
      <c r="A578" s="23" t="s">
        <v>1574</v>
      </c>
      <c r="B578" s="38">
        <v>46272</v>
      </c>
      <c r="C578" s="23" t="s">
        <v>1575</v>
      </c>
      <c r="D578" s="23" t="s">
        <v>86</v>
      </c>
      <c r="E578" s="23" t="s">
        <v>77</v>
      </c>
      <c r="F578" s="23" t="s">
        <v>268</v>
      </c>
      <c r="G578" s="23" t="s">
        <v>301</v>
      </c>
      <c r="H578" s="39">
        <f t="shared" ref="H578:H641" si="36">VALUE(SUBSTITUTE(F578,",",""))</f>
        <v>1299</v>
      </c>
      <c r="I578" s="23" t="str">
        <f t="shared" ref="I578:I641" si="37">IF(TRIM(D578)="","Unknown",TRIM(D578))</f>
        <v>Delhi</v>
      </c>
      <c r="J578" s="23">
        <f>COUNTIFS(pg_transaction_cleaned!$O:$O,A578,pg_transaction_cleaned!$F:$F,"CAPTURE")</f>
        <v>1</v>
      </c>
      <c r="K578" s="39">
        <f>SUMIFS(pg_transaction_cleaned!$H:$H,pg_transaction_cleaned!$O:$O,A578,pg_transaction_cleaned!$F:$F,"CAPTURE")</f>
        <v>1299</v>
      </c>
      <c r="L578" s="23">
        <f>COUNTIFS(pg_transaction_cleaned!$O:$O,A578,pg_transaction_cleaned!$F:$F,"REFUND")</f>
        <v>1</v>
      </c>
      <c r="M578" s="39">
        <f>SUMIFS(pg_transaction_cleaned!$H:$H,pg_transaction_cleaned!$O:$O,A578,pg_transaction_cleaned!$F:$F,"REFUND")</f>
        <v>1299</v>
      </c>
      <c r="N578" s="23" t="str">
        <f t="shared" ref="N578:N641" si="38">IF(AND(G578="Paid",J578=0),"Paid, no payment",IF(AND(OR(G578="Failed",G578="Cancelled"),J578&gt;0),"Payment on failed/cancelled",IF(J578&gt;1,"Duplicate charge",IF(AND(J578=1,ROUND(K578-H578,2)&lt;&gt;0),"Amount difference",IF(AND(G578="Refunded",L578=0),"Refunded, no refund",IF(AND(G578&lt;&gt;"Refunded",L578&gt;0),"Refund, order not Refunded",IF(AND(L578&gt;0,ROUND(M578-H578,2)&lt;&gt;0),"Refund amount differs","OK")))))))</f>
        <v>OK</v>
      </c>
      <c r="O578" s="24">
        <f t="shared" ref="O578:O641" si="39">IF(N578="OK",0,IF(N578="Paid, no payment",H578,IF(N578="Payment on failed/cancelled",K578,IF(OR(N578="Duplicate charge",N578="Amount difference"),K578-H578,IF(N578="Refunded, no refund",H578,M578)))))</f>
        <v>0</v>
      </c>
    </row>
    <row r="579" spans="1:15" ht="15" customHeight="1" x14ac:dyDescent="0.3">
      <c r="A579" s="23" t="s">
        <v>1576</v>
      </c>
      <c r="B579" s="38">
        <v>46276</v>
      </c>
      <c r="C579" s="23" t="s">
        <v>1577</v>
      </c>
      <c r="D579" s="23" t="s">
        <v>94</v>
      </c>
      <c r="E579" s="23" t="s">
        <v>79</v>
      </c>
      <c r="F579" s="23" t="s">
        <v>1437</v>
      </c>
      <c r="G579" s="23" t="s">
        <v>250</v>
      </c>
      <c r="H579" s="39">
        <f t="shared" si="36"/>
        <v>5847</v>
      </c>
      <c r="I579" s="23" t="str">
        <f t="shared" si="37"/>
        <v>Chennai</v>
      </c>
      <c r="J579" s="23">
        <f>COUNTIFS(pg_transaction_cleaned!$O:$O,A579,pg_transaction_cleaned!$F:$F,"CAPTURE")</f>
        <v>1</v>
      </c>
      <c r="K579" s="39">
        <f>SUMIFS(pg_transaction_cleaned!$H:$H,pg_transaction_cleaned!$O:$O,A579,pg_transaction_cleaned!$F:$F,"CAPTURE")</f>
        <v>5847</v>
      </c>
      <c r="L579" s="23">
        <f>COUNTIFS(pg_transaction_cleaned!$O:$O,A579,pg_transaction_cleaned!$F:$F,"REFUND")</f>
        <v>0</v>
      </c>
      <c r="M579" s="39">
        <f>SUMIFS(pg_transaction_cleaned!$H:$H,pg_transaction_cleaned!$O:$O,A579,pg_transaction_cleaned!$F:$F,"REFUND")</f>
        <v>0</v>
      </c>
      <c r="N579" s="23" t="str">
        <f t="shared" si="38"/>
        <v>OK</v>
      </c>
      <c r="O579" s="24">
        <f t="shared" si="39"/>
        <v>0</v>
      </c>
    </row>
    <row r="580" spans="1:15" ht="15" customHeight="1" x14ac:dyDescent="0.3">
      <c r="A580" s="23" t="s">
        <v>1578</v>
      </c>
      <c r="B580" s="38">
        <v>46286</v>
      </c>
      <c r="C580" s="23" t="s">
        <v>1579</v>
      </c>
      <c r="D580" s="23" t="s">
        <v>88</v>
      </c>
      <c r="E580" s="23" t="s">
        <v>75</v>
      </c>
      <c r="F580" s="23" t="s">
        <v>249</v>
      </c>
      <c r="G580" s="23" t="s">
        <v>250</v>
      </c>
      <c r="H580" s="39">
        <f t="shared" si="36"/>
        <v>299</v>
      </c>
      <c r="I580" s="23" t="str">
        <f t="shared" si="37"/>
        <v>Lucknow</v>
      </c>
      <c r="J580" s="23">
        <f>COUNTIFS(pg_transaction_cleaned!$O:$O,A580,pg_transaction_cleaned!$F:$F,"CAPTURE")</f>
        <v>1</v>
      </c>
      <c r="K580" s="39">
        <f>SUMIFS(pg_transaction_cleaned!$H:$H,pg_transaction_cleaned!$O:$O,A580,pg_transaction_cleaned!$F:$F,"CAPTURE")</f>
        <v>299</v>
      </c>
      <c r="L580" s="23">
        <f>COUNTIFS(pg_transaction_cleaned!$O:$O,A580,pg_transaction_cleaned!$F:$F,"REFUND")</f>
        <v>0</v>
      </c>
      <c r="M580" s="39">
        <f>SUMIFS(pg_transaction_cleaned!$H:$H,pg_transaction_cleaned!$O:$O,A580,pg_transaction_cleaned!$F:$F,"REFUND")</f>
        <v>0</v>
      </c>
      <c r="N580" s="23" t="str">
        <f t="shared" si="38"/>
        <v>OK</v>
      </c>
      <c r="O580" s="24">
        <f t="shared" si="39"/>
        <v>0</v>
      </c>
    </row>
    <row r="581" spans="1:15" ht="15" customHeight="1" x14ac:dyDescent="0.3">
      <c r="A581" s="23" t="s">
        <v>1580</v>
      </c>
      <c r="B581" s="38">
        <v>46290</v>
      </c>
      <c r="C581" s="23" t="s">
        <v>1581</v>
      </c>
      <c r="D581" s="23" t="s">
        <v>88</v>
      </c>
      <c r="E581" s="23" t="s">
        <v>79</v>
      </c>
      <c r="F581" s="23" t="s">
        <v>315</v>
      </c>
      <c r="G581" s="23" t="s">
        <v>250</v>
      </c>
      <c r="H581" s="39">
        <f t="shared" si="36"/>
        <v>1499</v>
      </c>
      <c r="I581" s="23" t="str">
        <f t="shared" si="37"/>
        <v>Lucknow</v>
      </c>
      <c r="J581" s="23">
        <f>COUNTIFS(pg_transaction_cleaned!$O:$O,A581,pg_transaction_cleaned!$F:$F,"CAPTURE")</f>
        <v>1</v>
      </c>
      <c r="K581" s="39">
        <f>SUMIFS(pg_transaction_cleaned!$H:$H,pg_transaction_cleaned!$O:$O,A581,pg_transaction_cleaned!$F:$F,"CAPTURE")</f>
        <v>1499</v>
      </c>
      <c r="L581" s="23">
        <f>COUNTIFS(pg_transaction_cleaned!$O:$O,A581,pg_transaction_cleaned!$F:$F,"REFUND")</f>
        <v>0</v>
      </c>
      <c r="M581" s="39">
        <f>SUMIFS(pg_transaction_cleaned!$H:$H,pg_transaction_cleaned!$O:$O,A581,pg_transaction_cleaned!$F:$F,"REFUND")</f>
        <v>0</v>
      </c>
      <c r="N581" s="23" t="str">
        <f t="shared" si="38"/>
        <v>OK</v>
      </c>
      <c r="O581" s="24">
        <f t="shared" si="39"/>
        <v>0</v>
      </c>
    </row>
    <row r="582" spans="1:15" ht="15" customHeight="1" x14ac:dyDescent="0.3">
      <c r="A582" s="23" t="s">
        <v>1582</v>
      </c>
      <c r="B582" s="38">
        <v>46279</v>
      </c>
      <c r="C582" s="23" t="s">
        <v>1583</v>
      </c>
      <c r="D582" s="23"/>
      <c r="E582" s="23" t="s">
        <v>75</v>
      </c>
      <c r="F582" s="23" t="s">
        <v>1103</v>
      </c>
      <c r="G582" s="23" t="s">
        <v>301</v>
      </c>
      <c r="H582" s="39">
        <f t="shared" si="36"/>
        <v>3897</v>
      </c>
      <c r="I582" s="23" t="str">
        <f t="shared" si="37"/>
        <v>Unknown</v>
      </c>
      <c r="J582" s="23">
        <f>COUNTIFS(pg_transaction_cleaned!$O:$O,A582,pg_transaction_cleaned!$F:$F,"CAPTURE")</f>
        <v>1</v>
      </c>
      <c r="K582" s="39">
        <f>SUMIFS(pg_transaction_cleaned!$H:$H,pg_transaction_cleaned!$O:$O,A582,pg_transaction_cleaned!$F:$F,"CAPTURE")</f>
        <v>3897</v>
      </c>
      <c r="L582" s="23">
        <f>COUNTIFS(pg_transaction_cleaned!$O:$O,A582,pg_transaction_cleaned!$F:$F,"REFUND")</f>
        <v>1</v>
      </c>
      <c r="M582" s="39">
        <f>SUMIFS(pg_transaction_cleaned!$H:$H,pg_transaction_cleaned!$O:$O,A582,pg_transaction_cleaned!$F:$F,"REFUND")</f>
        <v>3897</v>
      </c>
      <c r="N582" s="23" t="str">
        <f t="shared" si="38"/>
        <v>OK</v>
      </c>
      <c r="O582" s="24">
        <f t="shared" si="39"/>
        <v>0</v>
      </c>
    </row>
    <row r="583" spans="1:15" ht="15" customHeight="1" x14ac:dyDescent="0.3">
      <c r="A583" s="23" t="s">
        <v>1584</v>
      </c>
      <c r="B583" s="38">
        <v>46272</v>
      </c>
      <c r="C583" s="23" t="s">
        <v>1585</v>
      </c>
      <c r="D583" s="23" t="s">
        <v>87</v>
      </c>
      <c r="E583" s="23" t="s">
        <v>75</v>
      </c>
      <c r="F583" s="23" t="s">
        <v>1341</v>
      </c>
      <c r="G583" s="23" t="s">
        <v>250</v>
      </c>
      <c r="H583" s="39">
        <f t="shared" si="36"/>
        <v>2297</v>
      </c>
      <c r="I583" s="23" t="str">
        <f t="shared" si="37"/>
        <v>Mumbai</v>
      </c>
      <c r="J583" s="23">
        <f>COUNTIFS(pg_transaction_cleaned!$O:$O,A583,pg_transaction_cleaned!$F:$F,"CAPTURE")</f>
        <v>1</v>
      </c>
      <c r="K583" s="39">
        <f>SUMIFS(pg_transaction_cleaned!$H:$H,pg_transaction_cleaned!$O:$O,A583,pg_transaction_cleaned!$F:$F,"CAPTURE")</f>
        <v>2297</v>
      </c>
      <c r="L583" s="23">
        <f>COUNTIFS(pg_transaction_cleaned!$O:$O,A583,pg_transaction_cleaned!$F:$F,"REFUND")</f>
        <v>0</v>
      </c>
      <c r="M583" s="39">
        <f>SUMIFS(pg_transaction_cleaned!$H:$H,pg_transaction_cleaned!$O:$O,A583,pg_transaction_cleaned!$F:$F,"REFUND")</f>
        <v>0</v>
      </c>
      <c r="N583" s="23" t="str">
        <f t="shared" si="38"/>
        <v>OK</v>
      </c>
      <c r="O583" s="24">
        <f t="shared" si="39"/>
        <v>0</v>
      </c>
    </row>
    <row r="584" spans="1:15" ht="15" customHeight="1" x14ac:dyDescent="0.3">
      <c r="A584" s="23" t="s">
        <v>1586</v>
      </c>
      <c r="B584" s="38">
        <v>46286</v>
      </c>
      <c r="C584" s="23" t="s">
        <v>1587</v>
      </c>
      <c r="D584" s="23" t="s">
        <v>93</v>
      </c>
      <c r="E584" s="23" t="s">
        <v>75</v>
      </c>
      <c r="F584" s="23" t="s">
        <v>1588</v>
      </c>
      <c r="G584" s="23" t="s">
        <v>250</v>
      </c>
      <c r="H584" s="39">
        <f t="shared" si="36"/>
        <v>4697</v>
      </c>
      <c r="I584" s="23" t="str">
        <f t="shared" si="37"/>
        <v>Kolkata</v>
      </c>
      <c r="J584" s="23">
        <f>COUNTIFS(pg_transaction_cleaned!$O:$O,A584,pg_transaction_cleaned!$F:$F,"CAPTURE")</f>
        <v>1</v>
      </c>
      <c r="K584" s="39">
        <f>SUMIFS(pg_transaction_cleaned!$H:$H,pg_transaction_cleaned!$O:$O,A584,pg_transaction_cleaned!$F:$F,"CAPTURE")</f>
        <v>4697</v>
      </c>
      <c r="L584" s="23">
        <f>COUNTIFS(pg_transaction_cleaned!$O:$O,A584,pg_transaction_cleaned!$F:$F,"REFUND")</f>
        <v>0</v>
      </c>
      <c r="M584" s="39">
        <f>SUMIFS(pg_transaction_cleaned!$H:$H,pg_transaction_cleaned!$O:$O,A584,pg_transaction_cleaned!$F:$F,"REFUND")</f>
        <v>0</v>
      </c>
      <c r="N584" s="23" t="str">
        <f t="shared" si="38"/>
        <v>OK</v>
      </c>
      <c r="O584" s="24">
        <f t="shared" si="39"/>
        <v>0</v>
      </c>
    </row>
    <row r="585" spans="1:15" ht="15" customHeight="1" x14ac:dyDescent="0.3">
      <c r="A585" s="23" t="s">
        <v>1589</v>
      </c>
      <c r="B585" s="38">
        <v>46282</v>
      </c>
      <c r="C585" s="23" t="s">
        <v>1590</v>
      </c>
      <c r="D585" s="23" t="s">
        <v>90</v>
      </c>
      <c r="E585" s="23" t="s">
        <v>75</v>
      </c>
      <c r="F585" s="23" t="s">
        <v>582</v>
      </c>
      <c r="G585" s="23" t="s">
        <v>250</v>
      </c>
      <c r="H585" s="39">
        <f t="shared" si="36"/>
        <v>1298</v>
      </c>
      <c r="I585" s="23" t="str">
        <f t="shared" si="37"/>
        <v>Ahmedabad</v>
      </c>
      <c r="J585" s="23">
        <f>COUNTIFS(pg_transaction_cleaned!$O:$O,A585,pg_transaction_cleaned!$F:$F,"CAPTURE")</f>
        <v>1</v>
      </c>
      <c r="K585" s="39">
        <f>SUMIFS(pg_transaction_cleaned!$H:$H,pg_transaction_cleaned!$O:$O,A585,pg_transaction_cleaned!$F:$F,"CAPTURE")</f>
        <v>1298</v>
      </c>
      <c r="L585" s="23">
        <f>COUNTIFS(pg_transaction_cleaned!$O:$O,A585,pg_transaction_cleaned!$F:$F,"REFUND")</f>
        <v>0</v>
      </c>
      <c r="M585" s="39">
        <f>SUMIFS(pg_transaction_cleaned!$H:$H,pg_transaction_cleaned!$O:$O,A585,pg_transaction_cleaned!$F:$F,"REFUND")</f>
        <v>0</v>
      </c>
      <c r="N585" s="23" t="str">
        <f t="shared" si="38"/>
        <v>OK</v>
      </c>
      <c r="O585" s="24">
        <f t="shared" si="39"/>
        <v>0</v>
      </c>
    </row>
    <row r="586" spans="1:15" ht="15" customHeight="1" x14ac:dyDescent="0.3">
      <c r="A586" s="23" t="s">
        <v>1591</v>
      </c>
      <c r="B586" s="38">
        <v>46289</v>
      </c>
      <c r="C586" s="23" t="s">
        <v>1592</v>
      </c>
      <c r="D586" s="23" t="s">
        <v>94</v>
      </c>
      <c r="E586" s="23" t="s">
        <v>77</v>
      </c>
      <c r="F586" s="23" t="s">
        <v>288</v>
      </c>
      <c r="G586" s="23" t="s">
        <v>250</v>
      </c>
      <c r="H586" s="39">
        <f t="shared" si="36"/>
        <v>4298</v>
      </c>
      <c r="I586" s="23" t="str">
        <f t="shared" si="37"/>
        <v>Chennai</v>
      </c>
      <c r="J586" s="23">
        <f>COUNTIFS(pg_transaction_cleaned!$O:$O,A586,pg_transaction_cleaned!$F:$F,"CAPTURE")</f>
        <v>1</v>
      </c>
      <c r="K586" s="39">
        <f>SUMIFS(pg_transaction_cleaned!$H:$H,pg_transaction_cleaned!$O:$O,A586,pg_transaction_cleaned!$F:$F,"CAPTURE")</f>
        <v>4298</v>
      </c>
      <c r="L586" s="23">
        <f>COUNTIFS(pg_transaction_cleaned!$O:$O,A586,pg_transaction_cleaned!$F:$F,"REFUND")</f>
        <v>0</v>
      </c>
      <c r="M586" s="39">
        <f>SUMIFS(pg_transaction_cleaned!$H:$H,pg_transaction_cleaned!$O:$O,A586,pg_transaction_cleaned!$F:$F,"REFUND")</f>
        <v>0</v>
      </c>
      <c r="N586" s="23" t="str">
        <f t="shared" si="38"/>
        <v>OK</v>
      </c>
      <c r="O586" s="24">
        <f t="shared" si="39"/>
        <v>0</v>
      </c>
    </row>
    <row r="587" spans="1:15" ht="15" customHeight="1" x14ac:dyDescent="0.3">
      <c r="A587" s="23" t="s">
        <v>1593</v>
      </c>
      <c r="B587" s="38">
        <v>46294</v>
      </c>
      <c r="C587" s="23" t="s">
        <v>1594</v>
      </c>
      <c r="D587" s="23" t="s">
        <v>87</v>
      </c>
      <c r="E587" s="23" t="s">
        <v>77</v>
      </c>
      <c r="F587" s="23" t="s">
        <v>499</v>
      </c>
      <c r="G587" s="23" t="s">
        <v>250</v>
      </c>
      <c r="H587" s="39">
        <f t="shared" si="36"/>
        <v>5998</v>
      </c>
      <c r="I587" s="23" t="str">
        <f t="shared" si="37"/>
        <v>Mumbai</v>
      </c>
      <c r="J587" s="23">
        <f>COUNTIFS(pg_transaction_cleaned!$O:$O,A587,pg_transaction_cleaned!$F:$F,"CAPTURE")</f>
        <v>1</v>
      </c>
      <c r="K587" s="39">
        <f>SUMIFS(pg_transaction_cleaned!$H:$H,pg_transaction_cleaned!$O:$O,A587,pg_transaction_cleaned!$F:$F,"CAPTURE")</f>
        <v>5998</v>
      </c>
      <c r="L587" s="23">
        <f>COUNTIFS(pg_transaction_cleaned!$O:$O,A587,pg_transaction_cleaned!$F:$F,"REFUND")</f>
        <v>0</v>
      </c>
      <c r="M587" s="39">
        <f>SUMIFS(pg_transaction_cleaned!$H:$H,pg_transaction_cleaned!$O:$O,A587,pg_transaction_cleaned!$F:$F,"REFUND")</f>
        <v>0</v>
      </c>
      <c r="N587" s="23" t="str">
        <f t="shared" si="38"/>
        <v>OK</v>
      </c>
      <c r="O587" s="24">
        <f t="shared" si="39"/>
        <v>0</v>
      </c>
    </row>
    <row r="588" spans="1:15" ht="15" customHeight="1" x14ac:dyDescent="0.3">
      <c r="A588" s="23" t="s">
        <v>1595</v>
      </c>
      <c r="B588" s="38">
        <v>46273</v>
      </c>
      <c r="C588" s="23" t="s">
        <v>1434</v>
      </c>
      <c r="D588" s="23" t="s">
        <v>88</v>
      </c>
      <c r="E588" s="23" t="s">
        <v>75</v>
      </c>
      <c r="F588" s="23" t="s">
        <v>1596</v>
      </c>
      <c r="G588" s="23" t="s">
        <v>301</v>
      </c>
      <c r="H588" s="39">
        <f t="shared" si="36"/>
        <v>3499</v>
      </c>
      <c r="I588" s="23" t="str">
        <f t="shared" si="37"/>
        <v>Lucknow</v>
      </c>
      <c r="J588" s="23">
        <f>COUNTIFS(pg_transaction_cleaned!$O:$O,A588,pg_transaction_cleaned!$F:$F,"CAPTURE")</f>
        <v>1</v>
      </c>
      <c r="K588" s="39">
        <f>SUMIFS(pg_transaction_cleaned!$H:$H,pg_transaction_cleaned!$O:$O,A588,pg_transaction_cleaned!$F:$F,"CAPTURE")</f>
        <v>3499</v>
      </c>
      <c r="L588" s="23">
        <f>COUNTIFS(pg_transaction_cleaned!$O:$O,A588,pg_transaction_cleaned!$F:$F,"REFUND")</f>
        <v>1</v>
      </c>
      <c r="M588" s="39">
        <f>SUMIFS(pg_transaction_cleaned!$H:$H,pg_transaction_cleaned!$O:$O,A588,pg_transaction_cleaned!$F:$F,"REFUND")</f>
        <v>3499</v>
      </c>
      <c r="N588" s="23" t="str">
        <f t="shared" si="38"/>
        <v>OK</v>
      </c>
      <c r="O588" s="24">
        <f t="shared" si="39"/>
        <v>0</v>
      </c>
    </row>
    <row r="589" spans="1:15" ht="15" customHeight="1" x14ac:dyDescent="0.3">
      <c r="A589" s="23" t="s">
        <v>1597</v>
      </c>
      <c r="B589" s="38">
        <v>46282</v>
      </c>
      <c r="C589" s="23" t="s">
        <v>1598</v>
      </c>
      <c r="D589" s="23" t="s">
        <v>93</v>
      </c>
      <c r="E589" s="23" t="s">
        <v>79</v>
      </c>
      <c r="F589" s="23" t="s">
        <v>274</v>
      </c>
      <c r="G589" s="23" t="s">
        <v>250</v>
      </c>
      <c r="H589" s="39">
        <f t="shared" si="36"/>
        <v>349</v>
      </c>
      <c r="I589" s="23" t="str">
        <f t="shared" si="37"/>
        <v>Kolkata</v>
      </c>
      <c r="J589" s="23">
        <f>COUNTIFS(pg_transaction_cleaned!$O:$O,A589,pg_transaction_cleaned!$F:$F,"CAPTURE")</f>
        <v>1</v>
      </c>
      <c r="K589" s="39">
        <f>SUMIFS(pg_transaction_cleaned!$H:$H,pg_transaction_cleaned!$O:$O,A589,pg_transaction_cleaned!$F:$F,"CAPTURE")</f>
        <v>349</v>
      </c>
      <c r="L589" s="23">
        <f>COUNTIFS(pg_transaction_cleaned!$O:$O,A589,pg_transaction_cleaned!$F:$F,"REFUND")</f>
        <v>0</v>
      </c>
      <c r="M589" s="39">
        <f>SUMIFS(pg_transaction_cleaned!$H:$H,pg_transaction_cleaned!$O:$O,A589,pg_transaction_cleaned!$F:$F,"REFUND")</f>
        <v>0</v>
      </c>
      <c r="N589" s="23" t="str">
        <f t="shared" si="38"/>
        <v>OK</v>
      </c>
      <c r="O589" s="24">
        <f t="shared" si="39"/>
        <v>0</v>
      </c>
    </row>
    <row r="590" spans="1:15" ht="15" customHeight="1" x14ac:dyDescent="0.3">
      <c r="A590" s="23" t="s">
        <v>1599</v>
      </c>
      <c r="B590" s="38">
        <v>46294</v>
      </c>
      <c r="C590" s="23" t="s">
        <v>1600</v>
      </c>
      <c r="D590" s="23" t="s">
        <v>91</v>
      </c>
      <c r="E590" s="23" t="s">
        <v>79</v>
      </c>
      <c r="F590" s="23" t="s">
        <v>1601</v>
      </c>
      <c r="G590" s="23" t="s">
        <v>250</v>
      </c>
      <c r="H590" s="39">
        <f t="shared" si="36"/>
        <v>7597</v>
      </c>
      <c r="I590" s="23" t="str">
        <f t="shared" si="37"/>
        <v>Pune</v>
      </c>
      <c r="J590" s="23">
        <f>COUNTIFS(pg_transaction_cleaned!$O:$O,A590,pg_transaction_cleaned!$F:$F,"CAPTURE")</f>
        <v>1</v>
      </c>
      <c r="K590" s="39">
        <f>SUMIFS(pg_transaction_cleaned!$H:$H,pg_transaction_cleaned!$O:$O,A590,pg_transaction_cleaned!$F:$F,"CAPTURE")</f>
        <v>7597</v>
      </c>
      <c r="L590" s="23">
        <f>COUNTIFS(pg_transaction_cleaned!$O:$O,A590,pg_transaction_cleaned!$F:$F,"REFUND")</f>
        <v>0</v>
      </c>
      <c r="M590" s="39">
        <f>SUMIFS(pg_transaction_cleaned!$H:$H,pg_transaction_cleaned!$O:$O,A590,pg_transaction_cleaned!$F:$F,"REFUND")</f>
        <v>0</v>
      </c>
      <c r="N590" s="23" t="str">
        <f t="shared" si="38"/>
        <v>OK</v>
      </c>
      <c r="O590" s="24">
        <f t="shared" si="39"/>
        <v>0</v>
      </c>
    </row>
    <row r="591" spans="1:15" ht="15" customHeight="1" x14ac:dyDescent="0.3">
      <c r="A591" s="23" t="s">
        <v>1602</v>
      </c>
      <c r="B591" s="38">
        <v>46286</v>
      </c>
      <c r="C591" s="23" t="s">
        <v>1603</v>
      </c>
      <c r="D591" s="23" t="s">
        <v>91</v>
      </c>
      <c r="E591" s="23" t="s">
        <v>75</v>
      </c>
      <c r="F591" s="23" t="s">
        <v>249</v>
      </c>
      <c r="G591" s="23" t="s">
        <v>250</v>
      </c>
      <c r="H591" s="39">
        <f t="shared" si="36"/>
        <v>299</v>
      </c>
      <c r="I591" s="23" t="str">
        <f t="shared" si="37"/>
        <v>Pune</v>
      </c>
      <c r="J591" s="23">
        <f>COUNTIFS(pg_transaction_cleaned!$O:$O,A591,pg_transaction_cleaned!$F:$F,"CAPTURE")</f>
        <v>1</v>
      </c>
      <c r="K591" s="39">
        <f>SUMIFS(pg_transaction_cleaned!$H:$H,pg_transaction_cleaned!$O:$O,A591,pg_transaction_cleaned!$F:$F,"CAPTURE")</f>
        <v>299</v>
      </c>
      <c r="L591" s="23">
        <f>COUNTIFS(pg_transaction_cleaned!$O:$O,A591,pg_transaction_cleaned!$F:$F,"REFUND")</f>
        <v>0</v>
      </c>
      <c r="M591" s="39">
        <f>SUMIFS(pg_transaction_cleaned!$H:$H,pg_transaction_cleaned!$O:$O,A591,pg_transaction_cleaned!$F:$F,"REFUND")</f>
        <v>0</v>
      </c>
      <c r="N591" s="23" t="str">
        <f t="shared" si="38"/>
        <v>OK</v>
      </c>
      <c r="O591" s="24">
        <f t="shared" si="39"/>
        <v>0</v>
      </c>
    </row>
    <row r="592" spans="1:15" ht="15" customHeight="1" x14ac:dyDescent="0.3">
      <c r="A592" s="23" t="s">
        <v>1604</v>
      </c>
      <c r="B592" s="38">
        <v>46283</v>
      </c>
      <c r="C592" s="23" t="s">
        <v>1605</v>
      </c>
      <c r="D592" s="23" t="s">
        <v>87</v>
      </c>
      <c r="E592" s="23" t="s">
        <v>75</v>
      </c>
      <c r="F592" s="23" t="s">
        <v>315</v>
      </c>
      <c r="G592" s="23" t="s">
        <v>250</v>
      </c>
      <c r="H592" s="39">
        <f t="shared" si="36"/>
        <v>1499</v>
      </c>
      <c r="I592" s="23" t="str">
        <f t="shared" si="37"/>
        <v>Mumbai</v>
      </c>
      <c r="J592" s="23">
        <f>COUNTIFS(pg_transaction_cleaned!$O:$O,A592,pg_transaction_cleaned!$F:$F,"CAPTURE")</f>
        <v>1</v>
      </c>
      <c r="K592" s="39">
        <f>SUMIFS(pg_transaction_cleaned!$H:$H,pg_transaction_cleaned!$O:$O,A592,pg_transaction_cleaned!$F:$F,"CAPTURE")</f>
        <v>1499</v>
      </c>
      <c r="L592" s="23">
        <f>COUNTIFS(pg_transaction_cleaned!$O:$O,A592,pg_transaction_cleaned!$F:$F,"REFUND")</f>
        <v>0</v>
      </c>
      <c r="M592" s="39">
        <f>SUMIFS(pg_transaction_cleaned!$H:$H,pg_transaction_cleaned!$O:$O,A592,pg_transaction_cleaned!$F:$F,"REFUND")</f>
        <v>0</v>
      </c>
      <c r="N592" s="23" t="str">
        <f t="shared" si="38"/>
        <v>OK</v>
      </c>
      <c r="O592" s="24">
        <f t="shared" si="39"/>
        <v>0</v>
      </c>
    </row>
    <row r="593" spans="1:15" ht="15" customHeight="1" x14ac:dyDescent="0.3">
      <c r="A593" s="23" t="s">
        <v>1606</v>
      </c>
      <c r="B593" s="38">
        <v>46275</v>
      </c>
      <c r="C593" s="23" t="s">
        <v>1607</v>
      </c>
      <c r="D593" s="23" t="s">
        <v>86</v>
      </c>
      <c r="E593" s="23" t="s">
        <v>75</v>
      </c>
      <c r="F593" s="23" t="s">
        <v>429</v>
      </c>
      <c r="G593" s="23" t="s">
        <v>250</v>
      </c>
      <c r="H593" s="39">
        <f t="shared" si="36"/>
        <v>3348</v>
      </c>
      <c r="I593" s="23" t="str">
        <f t="shared" si="37"/>
        <v>Delhi</v>
      </c>
      <c r="J593" s="23">
        <f>COUNTIFS(pg_transaction_cleaned!$O:$O,A593,pg_transaction_cleaned!$F:$F,"CAPTURE")</f>
        <v>1</v>
      </c>
      <c r="K593" s="39">
        <f>SUMIFS(pg_transaction_cleaned!$H:$H,pg_transaction_cleaned!$O:$O,A593,pg_transaction_cleaned!$F:$F,"CAPTURE")</f>
        <v>3348</v>
      </c>
      <c r="L593" s="23">
        <f>COUNTIFS(pg_transaction_cleaned!$O:$O,A593,pg_transaction_cleaned!$F:$F,"REFUND")</f>
        <v>0</v>
      </c>
      <c r="M593" s="39">
        <f>SUMIFS(pg_transaction_cleaned!$H:$H,pg_transaction_cleaned!$O:$O,A593,pg_transaction_cleaned!$F:$F,"REFUND")</f>
        <v>0</v>
      </c>
      <c r="N593" s="23" t="str">
        <f t="shared" si="38"/>
        <v>OK</v>
      </c>
      <c r="O593" s="24">
        <f t="shared" si="39"/>
        <v>0</v>
      </c>
    </row>
    <row r="594" spans="1:15" ht="15" customHeight="1" x14ac:dyDescent="0.3">
      <c r="A594" s="23" t="s">
        <v>1608</v>
      </c>
      <c r="B594" s="38">
        <v>46279</v>
      </c>
      <c r="C594" s="23" t="s">
        <v>1609</v>
      </c>
      <c r="D594" s="23" t="s">
        <v>91</v>
      </c>
      <c r="E594" s="23" t="s">
        <v>75</v>
      </c>
      <c r="F594" s="23" t="s">
        <v>294</v>
      </c>
      <c r="G594" s="23" t="s">
        <v>250</v>
      </c>
      <c r="H594" s="39">
        <f t="shared" si="36"/>
        <v>1799</v>
      </c>
      <c r="I594" s="23" t="str">
        <f t="shared" si="37"/>
        <v>Pune</v>
      </c>
      <c r="J594" s="23">
        <f>COUNTIFS(pg_transaction_cleaned!$O:$O,A594,pg_transaction_cleaned!$F:$F,"CAPTURE")</f>
        <v>1</v>
      </c>
      <c r="K594" s="39">
        <f>SUMIFS(pg_transaction_cleaned!$H:$H,pg_transaction_cleaned!$O:$O,A594,pg_transaction_cleaned!$F:$F,"CAPTURE")</f>
        <v>1799</v>
      </c>
      <c r="L594" s="23">
        <f>COUNTIFS(pg_transaction_cleaned!$O:$O,A594,pg_transaction_cleaned!$F:$F,"REFUND")</f>
        <v>0</v>
      </c>
      <c r="M594" s="39">
        <f>SUMIFS(pg_transaction_cleaned!$H:$H,pg_transaction_cleaned!$O:$O,A594,pg_transaction_cleaned!$F:$F,"REFUND")</f>
        <v>0</v>
      </c>
      <c r="N594" s="23" t="str">
        <f t="shared" si="38"/>
        <v>OK</v>
      </c>
      <c r="O594" s="24">
        <f t="shared" si="39"/>
        <v>0</v>
      </c>
    </row>
    <row r="595" spans="1:15" ht="15" customHeight="1" x14ac:dyDescent="0.3">
      <c r="A595" s="23" t="s">
        <v>1610</v>
      </c>
      <c r="B595" s="38">
        <v>46281</v>
      </c>
      <c r="C595" s="23" t="s">
        <v>1611</v>
      </c>
      <c r="D595" s="23" t="s">
        <v>95</v>
      </c>
      <c r="E595" s="23" t="s">
        <v>75</v>
      </c>
      <c r="F595" s="23" t="s">
        <v>271</v>
      </c>
      <c r="G595" s="23" t="s">
        <v>250</v>
      </c>
      <c r="H595" s="39">
        <f t="shared" si="36"/>
        <v>2499</v>
      </c>
      <c r="I595" s="23" t="str">
        <f t="shared" si="37"/>
        <v>Bengaluru</v>
      </c>
      <c r="J595" s="23">
        <f>COUNTIFS(pg_transaction_cleaned!$O:$O,A595,pg_transaction_cleaned!$F:$F,"CAPTURE")</f>
        <v>1</v>
      </c>
      <c r="K595" s="39">
        <f>SUMIFS(pg_transaction_cleaned!$H:$H,pg_transaction_cleaned!$O:$O,A595,pg_transaction_cleaned!$F:$F,"CAPTURE")</f>
        <v>2499</v>
      </c>
      <c r="L595" s="23">
        <f>COUNTIFS(pg_transaction_cleaned!$O:$O,A595,pg_transaction_cleaned!$F:$F,"REFUND")</f>
        <v>0</v>
      </c>
      <c r="M595" s="39">
        <f>SUMIFS(pg_transaction_cleaned!$H:$H,pg_transaction_cleaned!$O:$O,A595,pg_transaction_cleaned!$F:$F,"REFUND")</f>
        <v>0</v>
      </c>
      <c r="N595" s="23" t="str">
        <f t="shared" si="38"/>
        <v>OK</v>
      </c>
      <c r="O595" s="24">
        <f t="shared" si="39"/>
        <v>0</v>
      </c>
    </row>
    <row r="596" spans="1:15" ht="15" customHeight="1" x14ac:dyDescent="0.3">
      <c r="A596" s="23" t="s">
        <v>1612</v>
      </c>
      <c r="B596" s="38">
        <v>46277</v>
      </c>
      <c r="C596" s="23" t="s">
        <v>1613</v>
      </c>
      <c r="D596" s="23" t="s">
        <v>90</v>
      </c>
      <c r="E596" s="23" t="s">
        <v>75</v>
      </c>
      <c r="F596" s="23" t="s">
        <v>1614</v>
      </c>
      <c r="G596" s="23" t="s">
        <v>250</v>
      </c>
      <c r="H596" s="39">
        <f t="shared" si="36"/>
        <v>2597</v>
      </c>
      <c r="I596" s="23" t="str">
        <f t="shared" si="37"/>
        <v>Ahmedabad</v>
      </c>
      <c r="J596" s="23">
        <f>COUNTIFS(pg_transaction_cleaned!$O:$O,A596,pg_transaction_cleaned!$F:$F,"CAPTURE")</f>
        <v>1</v>
      </c>
      <c r="K596" s="39">
        <f>SUMIFS(pg_transaction_cleaned!$H:$H,pg_transaction_cleaned!$O:$O,A596,pg_transaction_cleaned!$F:$F,"CAPTURE")</f>
        <v>2597</v>
      </c>
      <c r="L596" s="23">
        <f>COUNTIFS(pg_transaction_cleaned!$O:$O,A596,pg_transaction_cleaned!$F:$F,"REFUND")</f>
        <v>0</v>
      </c>
      <c r="M596" s="39">
        <f>SUMIFS(pg_transaction_cleaned!$H:$H,pg_transaction_cleaned!$O:$O,A596,pg_transaction_cleaned!$F:$F,"REFUND")</f>
        <v>0</v>
      </c>
      <c r="N596" s="23" t="str">
        <f t="shared" si="38"/>
        <v>OK</v>
      </c>
      <c r="O596" s="24">
        <f t="shared" si="39"/>
        <v>0</v>
      </c>
    </row>
    <row r="597" spans="1:15" ht="15" customHeight="1" x14ac:dyDescent="0.3">
      <c r="A597" s="23" t="s">
        <v>1615</v>
      </c>
      <c r="B597" s="38">
        <v>46276</v>
      </c>
      <c r="C597" s="23" t="s">
        <v>1616</v>
      </c>
      <c r="D597" s="23" t="s">
        <v>88</v>
      </c>
      <c r="E597" s="23" t="s">
        <v>75</v>
      </c>
      <c r="F597" s="23" t="s">
        <v>249</v>
      </c>
      <c r="G597" s="23" t="s">
        <v>250</v>
      </c>
      <c r="H597" s="39">
        <f t="shared" si="36"/>
        <v>299</v>
      </c>
      <c r="I597" s="23" t="str">
        <f t="shared" si="37"/>
        <v>Lucknow</v>
      </c>
      <c r="J597" s="23">
        <f>COUNTIFS(pg_transaction_cleaned!$O:$O,A597,pg_transaction_cleaned!$F:$F,"CAPTURE")</f>
        <v>1</v>
      </c>
      <c r="K597" s="39">
        <f>SUMIFS(pg_transaction_cleaned!$H:$H,pg_transaction_cleaned!$O:$O,A597,pg_transaction_cleaned!$F:$F,"CAPTURE")</f>
        <v>299</v>
      </c>
      <c r="L597" s="23">
        <f>COUNTIFS(pg_transaction_cleaned!$O:$O,A597,pg_transaction_cleaned!$F:$F,"REFUND")</f>
        <v>0</v>
      </c>
      <c r="M597" s="39">
        <f>SUMIFS(pg_transaction_cleaned!$H:$H,pg_transaction_cleaned!$O:$O,A597,pg_transaction_cleaned!$F:$F,"REFUND")</f>
        <v>0</v>
      </c>
      <c r="N597" s="23" t="str">
        <f t="shared" si="38"/>
        <v>OK</v>
      </c>
      <c r="O597" s="24">
        <f t="shared" si="39"/>
        <v>0</v>
      </c>
    </row>
    <row r="598" spans="1:15" ht="15" customHeight="1" x14ac:dyDescent="0.3">
      <c r="A598" s="23" t="s">
        <v>1617</v>
      </c>
      <c r="B598" s="38">
        <v>46287</v>
      </c>
      <c r="C598" s="23" t="s">
        <v>1618</v>
      </c>
      <c r="D598" s="23" t="s">
        <v>92</v>
      </c>
      <c r="E598" s="23" t="s">
        <v>75</v>
      </c>
      <c r="F598" s="23" t="s">
        <v>1619</v>
      </c>
      <c r="G598" s="23" t="s">
        <v>250</v>
      </c>
      <c r="H598" s="39">
        <f t="shared" si="36"/>
        <v>848</v>
      </c>
      <c r="I598" s="23" t="str">
        <f t="shared" si="37"/>
        <v>Hyderabad</v>
      </c>
      <c r="J598" s="23">
        <f>COUNTIFS(pg_transaction_cleaned!$O:$O,A598,pg_transaction_cleaned!$F:$F,"CAPTURE")</f>
        <v>1</v>
      </c>
      <c r="K598" s="39">
        <f>SUMIFS(pg_transaction_cleaned!$H:$H,pg_transaction_cleaned!$O:$O,A598,pg_transaction_cleaned!$F:$F,"CAPTURE")</f>
        <v>848</v>
      </c>
      <c r="L598" s="23">
        <f>COUNTIFS(pg_transaction_cleaned!$O:$O,A598,pg_transaction_cleaned!$F:$F,"REFUND")</f>
        <v>0</v>
      </c>
      <c r="M598" s="39">
        <f>SUMIFS(pg_transaction_cleaned!$H:$H,pg_transaction_cleaned!$O:$O,A598,pg_transaction_cleaned!$F:$F,"REFUND")</f>
        <v>0</v>
      </c>
      <c r="N598" s="23" t="str">
        <f t="shared" si="38"/>
        <v>OK</v>
      </c>
      <c r="O598" s="24">
        <f t="shared" si="39"/>
        <v>0</v>
      </c>
    </row>
    <row r="599" spans="1:15" ht="15" customHeight="1" x14ac:dyDescent="0.3">
      <c r="A599" s="23" t="s">
        <v>1620</v>
      </c>
      <c r="B599" s="38">
        <v>46286</v>
      </c>
      <c r="C599" s="23" t="s">
        <v>1621</v>
      </c>
      <c r="D599" s="23" t="s">
        <v>87</v>
      </c>
      <c r="E599" s="23" t="s">
        <v>75</v>
      </c>
      <c r="F599" s="23" t="s">
        <v>315</v>
      </c>
      <c r="G599" s="23" t="s">
        <v>301</v>
      </c>
      <c r="H599" s="39">
        <f t="shared" si="36"/>
        <v>1499</v>
      </c>
      <c r="I599" s="23" t="str">
        <f t="shared" si="37"/>
        <v>Mumbai</v>
      </c>
      <c r="J599" s="23">
        <f>COUNTIFS(pg_transaction_cleaned!$O:$O,A599,pg_transaction_cleaned!$F:$F,"CAPTURE")</f>
        <v>1</v>
      </c>
      <c r="K599" s="39">
        <f>SUMIFS(pg_transaction_cleaned!$H:$H,pg_transaction_cleaned!$O:$O,A599,pg_transaction_cleaned!$F:$F,"CAPTURE")</f>
        <v>1499</v>
      </c>
      <c r="L599" s="23">
        <f>COUNTIFS(pg_transaction_cleaned!$O:$O,A599,pg_transaction_cleaned!$F:$F,"REFUND")</f>
        <v>1</v>
      </c>
      <c r="M599" s="39">
        <f>SUMIFS(pg_transaction_cleaned!$H:$H,pg_transaction_cleaned!$O:$O,A599,pg_transaction_cleaned!$F:$F,"REFUND")</f>
        <v>1499</v>
      </c>
      <c r="N599" s="23" t="str">
        <f t="shared" si="38"/>
        <v>OK</v>
      </c>
      <c r="O599" s="24">
        <f t="shared" si="39"/>
        <v>0</v>
      </c>
    </row>
    <row r="600" spans="1:15" ht="15" customHeight="1" x14ac:dyDescent="0.3">
      <c r="A600" s="23" t="s">
        <v>1622</v>
      </c>
      <c r="B600" s="38">
        <v>46269</v>
      </c>
      <c r="C600" s="23" t="s">
        <v>1623</v>
      </c>
      <c r="D600" s="23" t="s">
        <v>94</v>
      </c>
      <c r="E600" s="23" t="s">
        <v>75</v>
      </c>
      <c r="F600" s="23" t="s">
        <v>310</v>
      </c>
      <c r="G600" s="23" t="s">
        <v>250</v>
      </c>
      <c r="H600" s="39">
        <f t="shared" si="36"/>
        <v>7999</v>
      </c>
      <c r="I600" s="23" t="str">
        <f t="shared" si="37"/>
        <v>Chennai</v>
      </c>
      <c r="J600" s="23">
        <f>COUNTIFS(pg_transaction_cleaned!$O:$O,A600,pg_transaction_cleaned!$F:$F,"CAPTURE")</f>
        <v>1</v>
      </c>
      <c r="K600" s="39">
        <f>SUMIFS(pg_transaction_cleaned!$H:$H,pg_transaction_cleaned!$O:$O,A600,pg_transaction_cleaned!$F:$F,"CAPTURE")</f>
        <v>7999</v>
      </c>
      <c r="L600" s="23">
        <f>COUNTIFS(pg_transaction_cleaned!$O:$O,A600,pg_transaction_cleaned!$F:$F,"REFUND")</f>
        <v>0</v>
      </c>
      <c r="M600" s="39">
        <f>SUMIFS(pg_transaction_cleaned!$H:$H,pg_transaction_cleaned!$O:$O,A600,pg_transaction_cleaned!$F:$F,"REFUND")</f>
        <v>0</v>
      </c>
      <c r="N600" s="23" t="str">
        <f t="shared" si="38"/>
        <v>OK</v>
      </c>
      <c r="O600" s="24">
        <f t="shared" si="39"/>
        <v>0</v>
      </c>
    </row>
    <row r="601" spans="1:15" ht="15" customHeight="1" x14ac:dyDescent="0.3">
      <c r="A601" s="23" t="s">
        <v>1624</v>
      </c>
      <c r="B601" s="38">
        <v>46279</v>
      </c>
      <c r="C601" s="23" t="s">
        <v>1625</v>
      </c>
      <c r="D601" s="23" t="s">
        <v>86</v>
      </c>
      <c r="E601" s="23" t="s">
        <v>75</v>
      </c>
      <c r="F601" s="23" t="s">
        <v>1626</v>
      </c>
      <c r="G601" s="23" t="s">
        <v>250</v>
      </c>
      <c r="H601" s="39">
        <f t="shared" si="36"/>
        <v>8697</v>
      </c>
      <c r="I601" s="23" t="str">
        <f t="shared" si="37"/>
        <v>Delhi</v>
      </c>
      <c r="J601" s="23">
        <f>COUNTIFS(pg_transaction_cleaned!$O:$O,A601,pg_transaction_cleaned!$F:$F,"CAPTURE")</f>
        <v>1</v>
      </c>
      <c r="K601" s="39">
        <f>SUMIFS(pg_transaction_cleaned!$H:$H,pg_transaction_cleaned!$O:$O,A601,pg_transaction_cleaned!$F:$F,"CAPTURE")</f>
        <v>8697</v>
      </c>
      <c r="L601" s="23">
        <f>COUNTIFS(pg_transaction_cleaned!$O:$O,A601,pg_transaction_cleaned!$F:$F,"REFUND")</f>
        <v>0</v>
      </c>
      <c r="M601" s="39">
        <f>SUMIFS(pg_transaction_cleaned!$H:$H,pg_transaction_cleaned!$O:$O,A601,pg_transaction_cleaned!$F:$F,"REFUND")</f>
        <v>0</v>
      </c>
      <c r="N601" s="23" t="str">
        <f t="shared" si="38"/>
        <v>OK</v>
      </c>
      <c r="O601" s="24">
        <f t="shared" si="39"/>
        <v>0</v>
      </c>
    </row>
    <row r="602" spans="1:15" ht="15" customHeight="1" x14ac:dyDescent="0.3">
      <c r="A602" s="23" t="s">
        <v>1627</v>
      </c>
      <c r="B602" s="38">
        <v>46276</v>
      </c>
      <c r="C602" s="23" t="s">
        <v>1628</v>
      </c>
      <c r="D602" s="23" t="s">
        <v>94</v>
      </c>
      <c r="E602" s="23" t="s">
        <v>75</v>
      </c>
      <c r="F602" s="23" t="s">
        <v>315</v>
      </c>
      <c r="G602" s="23" t="s">
        <v>318</v>
      </c>
      <c r="H602" s="39">
        <f t="shared" si="36"/>
        <v>1499</v>
      </c>
      <c r="I602" s="23" t="str">
        <f t="shared" si="37"/>
        <v>Chennai</v>
      </c>
      <c r="J602" s="23">
        <f>COUNTIFS(pg_transaction_cleaned!$O:$O,A602,pg_transaction_cleaned!$F:$F,"CAPTURE")</f>
        <v>0</v>
      </c>
      <c r="K602" s="39">
        <f>SUMIFS(pg_transaction_cleaned!$H:$H,pg_transaction_cleaned!$O:$O,A602,pg_transaction_cleaned!$F:$F,"CAPTURE")</f>
        <v>0</v>
      </c>
      <c r="L602" s="23">
        <f>COUNTIFS(pg_transaction_cleaned!$O:$O,A602,pg_transaction_cleaned!$F:$F,"REFUND")</f>
        <v>0</v>
      </c>
      <c r="M602" s="39">
        <f>SUMIFS(pg_transaction_cleaned!$H:$H,pg_transaction_cleaned!$O:$O,A602,pg_transaction_cleaned!$F:$F,"REFUND")</f>
        <v>0</v>
      </c>
      <c r="N602" s="23" t="str">
        <f t="shared" si="38"/>
        <v>OK</v>
      </c>
      <c r="O602" s="24">
        <f t="shared" si="39"/>
        <v>0</v>
      </c>
    </row>
    <row r="603" spans="1:15" ht="15" customHeight="1" x14ac:dyDescent="0.3">
      <c r="A603" s="23" t="s">
        <v>1629</v>
      </c>
      <c r="B603" s="38">
        <v>46292</v>
      </c>
      <c r="C603" s="23" t="s">
        <v>1630</v>
      </c>
      <c r="D603" s="23" t="s">
        <v>92</v>
      </c>
      <c r="E603" s="23" t="s">
        <v>75</v>
      </c>
      <c r="F603" s="23" t="s">
        <v>262</v>
      </c>
      <c r="G603" s="23" t="s">
        <v>250</v>
      </c>
      <c r="H603" s="39">
        <f t="shared" si="36"/>
        <v>499</v>
      </c>
      <c r="I603" s="23" t="str">
        <f t="shared" si="37"/>
        <v>Hyderabad</v>
      </c>
      <c r="J603" s="23">
        <f>COUNTIFS(pg_transaction_cleaned!$O:$O,A603,pg_transaction_cleaned!$F:$F,"CAPTURE")</f>
        <v>1</v>
      </c>
      <c r="K603" s="39">
        <f>SUMIFS(pg_transaction_cleaned!$H:$H,pg_transaction_cleaned!$O:$O,A603,pg_transaction_cleaned!$F:$F,"CAPTURE")</f>
        <v>499</v>
      </c>
      <c r="L603" s="23">
        <f>COUNTIFS(pg_transaction_cleaned!$O:$O,A603,pg_transaction_cleaned!$F:$F,"REFUND")</f>
        <v>0</v>
      </c>
      <c r="M603" s="39">
        <f>SUMIFS(pg_transaction_cleaned!$H:$H,pg_transaction_cleaned!$O:$O,A603,pg_transaction_cleaned!$F:$F,"REFUND")</f>
        <v>0</v>
      </c>
      <c r="N603" s="23" t="str">
        <f t="shared" si="38"/>
        <v>OK</v>
      </c>
      <c r="O603" s="24">
        <f t="shared" si="39"/>
        <v>0</v>
      </c>
    </row>
    <row r="604" spans="1:15" ht="15" customHeight="1" x14ac:dyDescent="0.3">
      <c r="A604" s="23" t="s">
        <v>1631</v>
      </c>
      <c r="B604" s="38">
        <v>46292</v>
      </c>
      <c r="C604" s="23" t="s">
        <v>1632</v>
      </c>
      <c r="D604" s="23" t="s">
        <v>91</v>
      </c>
      <c r="E604" s="23" t="s">
        <v>75</v>
      </c>
      <c r="F604" s="23" t="s">
        <v>827</v>
      </c>
      <c r="G604" s="23" t="s">
        <v>250</v>
      </c>
      <c r="H604" s="39">
        <f t="shared" si="36"/>
        <v>11498</v>
      </c>
      <c r="I604" s="23" t="str">
        <f t="shared" si="37"/>
        <v>Pune</v>
      </c>
      <c r="J604" s="23">
        <f>COUNTIFS(pg_transaction_cleaned!$O:$O,A604,pg_transaction_cleaned!$F:$F,"CAPTURE")</f>
        <v>1</v>
      </c>
      <c r="K604" s="39">
        <f>SUMIFS(pg_transaction_cleaned!$H:$H,pg_transaction_cleaned!$O:$O,A604,pg_transaction_cleaned!$F:$F,"CAPTURE")</f>
        <v>11498</v>
      </c>
      <c r="L604" s="23">
        <f>COUNTIFS(pg_transaction_cleaned!$O:$O,A604,pg_transaction_cleaned!$F:$F,"REFUND")</f>
        <v>0</v>
      </c>
      <c r="M604" s="39">
        <f>SUMIFS(pg_transaction_cleaned!$H:$H,pg_transaction_cleaned!$O:$O,A604,pg_transaction_cleaned!$F:$F,"REFUND")</f>
        <v>0</v>
      </c>
      <c r="N604" s="23" t="str">
        <f t="shared" si="38"/>
        <v>OK</v>
      </c>
      <c r="O604" s="24">
        <f t="shared" si="39"/>
        <v>0</v>
      </c>
    </row>
    <row r="605" spans="1:15" ht="15" customHeight="1" x14ac:dyDescent="0.3">
      <c r="A605" s="23" t="s">
        <v>1633</v>
      </c>
      <c r="B605" s="38">
        <v>46270</v>
      </c>
      <c r="C605" s="23" t="s">
        <v>1634</v>
      </c>
      <c r="D605" s="23" t="s">
        <v>90</v>
      </c>
      <c r="E605" s="23" t="s">
        <v>75</v>
      </c>
      <c r="F605" s="23" t="s">
        <v>1635</v>
      </c>
      <c r="G605" s="23" t="s">
        <v>250</v>
      </c>
      <c r="H605" s="39">
        <f t="shared" si="36"/>
        <v>11797</v>
      </c>
      <c r="I605" s="23" t="str">
        <f t="shared" si="37"/>
        <v>Ahmedabad</v>
      </c>
      <c r="J605" s="23">
        <f>COUNTIFS(pg_transaction_cleaned!$O:$O,A605,pg_transaction_cleaned!$F:$F,"CAPTURE")</f>
        <v>1</v>
      </c>
      <c r="K605" s="39">
        <f>SUMIFS(pg_transaction_cleaned!$H:$H,pg_transaction_cleaned!$O:$O,A605,pg_transaction_cleaned!$F:$F,"CAPTURE")</f>
        <v>11797</v>
      </c>
      <c r="L605" s="23">
        <f>COUNTIFS(pg_transaction_cleaned!$O:$O,A605,pg_transaction_cleaned!$F:$F,"REFUND")</f>
        <v>0</v>
      </c>
      <c r="M605" s="39">
        <f>SUMIFS(pg_transaction_cleaned!$H:$H,pg_transaction_cleaned!$O:$O,A605,pg_transaction_cleaned!$F:$F,"REFUND")</f>
        <v>0</v>
      </c>
      <c r="N605" s="23" t="str">
        <f t="shared" si="38"/>
        <v>OK</v>
      </c>
      <c r="O605" s="24">
        <f t="shared" si="39"/>
        <v>0</v>
      </c>
    </row>
    <row r="606" spans="1:15" ht="15" customHeight="1" x14ac:dyDescent="0.3">
      <c r="A606" s="23" t="s">
        <v>1636</v>
      </c>
      <c r="B606" s="38">
        <v>46291</v>
      </c>
      <c r="C606" s="23" t="s">
        <v>1637</v>
      </c>
      <c r="D606" s="23" t="s">
        <v>88</v>
      </c>
      <c r="E606" s="23" t="s">
        <v>75</v>
      </c>
      <c r="F606" s="23" t="s">
        <v>346</v>
      </c>
      <c r="G606" s="23" t="s">
        <v>250</v>
      </c>
      <c r="H606" s="39">
        <f t="shared" si="36"/>
        <v>4498</v>
      </c>
      <c r="I606" s="23" t="str">
        <f t="shared" si="37"/>
        <v>Lucknow</v>
      </c>
      <c r="J606" s="23">
        <f>COUNTIFS(pg_transaction_cleaned!$O:$O,A606,pg_transaction_cleaned!$F:$F,"CAPTURE")</f>
        <v>1</v>
      </c>
      <c r="K606" s="39">
        <f>SUMIFS(pg_transaction_cleaned!$H:$H,pg_transaction_cleaned!$O:$O,A606,pg_transaction_cleaned!$F:$F,"CAPTURE")</f>
        <v>4498</v>
      </c>
      <c r="L606" s="23">
        <f>COUNTIFS(pg_transaction_cleaned!$O:$O,A606,pg_transaction_cleaned!$F:$F,"REFUND")</f>
        <v>0</v>
      </c>
      <c r="M606" s="39">
        <f>SUMIFS(pg_transaction_cleaned!$H:$H,pg_transaction_cleaned!$O:$O,A606,pg_transaction_cleaned!$F:$F,"REFUND")</f>
        <v>0</v>
      </c>
      <c r="N606" s="23" t="str">
        <f t="shared" si="38"/>
        <v>OK</v>
      </c>
      <c r="O606" s="24">
        <f t="shared" si="39"/>
        <v>0</v>
      </c>
    </row>
    <row r="607" spans="1:15" ht="15" customHeight="1" x14ac:dyDescent="0.3">
      <c r="A607" s="23" t="s">
        <v>1638</v>
      </c>
      <c r="B607" s="38">
        <v>46266</v>
      </c>
      <c r="C607" s="23" t="s">
        <v>1639</v>
      </c>
      <c r="D607" s="23" t="s">
        <v>90</v>
      </c>
      <c r="E607" s="23" t="s">
        <v>75</v>
      </c>
      <c r="F607" s="23" t="s">
        <v>911</v>
      </c>
      <c r="G607" s="23" t="s">
        <v>250</v>
      </c>
      <c r="H607" s="39">
        <f t="shared" si="36"/>
        <v>11997</v>
      </c>
      <c r="I607" s="23" t="str">
        <f t="shared" si="37"/>
        <v>Ahmedabad</v>
      </c>
      <c r="J607" s="23">
        <f>COUNTIFS(pg_transaction_cleaned!$O:$O,A607,pg_transaction_cleaned!$F:$F,"CAPTURE")</f>
        <v>1</v>
      </c>
      <c r="K607" s="39">
        <f>SUMIFS(pg_transaction_cleaned!$H:$H,pg_transaction_cleaned!$O:$O,A607,pg_transaction_cleaned!$F:$F,"CAPTURE")</f>
        <v>11997</v>
      </c>
      <c r="L607" s="23">
        <f>COUNTIFS(pg_transaction_cleaned!$O:$O,A607,pg_transaction_cleaned!$F:$F,"REFUND")</f>
        <v>0</v>
      </c>
      <c r="M607" s="39">
        <f>SUMIFS(pg_transaction_cleaned!$H:$H,pg_transaction_cleaned!$O:$O,A607,pg_transaction_cleaned!$F:$F,"REFUND")</f>
        <v>0</v>
      </c>
      <c r="N607" s="23" t="str">
        <f t="shared" si="38"/>
        <v>OK</v>
      </c>
      <c r="O607" s="24">
        <f t="shared" si="39"/>
        <v>0</v>
      </c>
    </row>
    <row r="608" spans="1:15" ht="15" customHeight="1" x14ac:dyDescent="0.3">
      <c r="A608" s="23" t="s">
        <v>1640</v>
      </c>
      <c r="B608" s="38">
        <v>46267</v>
      </c>
      <c r="C608" s="23" t="s">
        <v>1641</v>
      </c>
      <c r="D608" s="23" t="s">
        <v>89</v>
      </c>
      <c r="E608" s="23" t="s">
        <v>75</v>
      </c>
      <c r="F608" s="23" t="s">
        <v>475</v>
      </c>
      <c r="G608" s="23" t="s">
        <v>250</v>
      </c>
      <c r="H608" s="39">
        <f t="shared" si="36"/>
        <v>799</v>
      </c>
      <c r="I608" s="23" t="str">
        <f t="shared" si="37"/>
        <v>Jaipur</v>
      </c>
      <c r="J608" s="23">
        <f>COUNTIFS(pg_transaction_cleaned!$O:$O,A608,pg_transaction_cleaned!$F:$F,"CAPTURE")</f>
        <v>1</v>
      </c>
      <c r="K608" s="39">
        <f>SUMIFS(pg_transaction_cleaned!$H:$H,pg_transaction_cleaned!$O:$O,A608,pg_transaction_cleaned!$F:$F,"CAPTURE")</f>
        <v>799</v>
      </c>
      <c r="L608" s="23">
        <f>COUNTIFS(pg_transaction_cleaned!$O:$O,A608,pg_transaction_cleaned!$F:$F,"REFUND")</f>
        <v>0</v>
      </c>
      <c r="M608" s="39">
        <f>SUMIFS(pg_transaction_cleaned!$H:$H,pg_transaction_cleaned!$O:$O,A608,pg_transaction_cleaned!$F:$F,"REFUND")</f>
        <v>0</v>
      </c>
      <c r="N608" s="23" t="str">
        <f t="shared" si="38"/>
        <v>OK</v>
      </c>
      <c r="O608" s="24">
        <f t="shared" si="39"/>
        <v>0</v>
      </c>
    </row>
    <row r="609" spans="1:15" ht="15" customHeight="1" x14ac:dyDescent="0.3">
      <c r="A609" s="23" t="s">
        <v>1642</v>
      </c>
      <c r="B609" s="38">
        <v>46290</v>
      </c>
      <c r="C609" s="23" t="s">
        <v>1643</v>
      </c>
      <c r="D609" s="23" t="s">
        <v>89</v>
      </c>
      <c r="E609" s="23" t="s">
        <v>77</v>
      </c>
      <c r="F609" s="23" t="s">
        <v>1644</v>
      </c>
      <c r="G609" s="23" t="s">
        <v>250</v>
      </c>
      <c r="H609" s="39">
        <f t="shared" si="36"/>
        <v>8497</v>
      </c>
      <c r="I609" s="23" t="str">
        <f t="shared" si="37"/>
        <v>Jaipur</v>
      </c>
      <c r="J609" s="23">
        <f>COUNTIFS(pg_transaction_cleaned!$O:$O,A609,pg_transaction_cleaned!$F:$F,"CAPTURE")</f>
        <v>1</v>
      </c>
      <c r="K609" s="39">
        <f>SUMIFS(pg_transaction_cleaned!$H:$H,pg_transaction_cleaned!$O:$O,A609,pg_transaction_cleaned!$F:$F,"CAPTURE")</f>
        <v>8497</v>
      </c>
      <c r="L609" s="23">
        <f>COUNTIFS(pg_transaction_cleaned!$O:$O,A609,pg_transaction_cleaned!$F:$F,"REFUND")</f>
        <v>0</v>
      </c>
      <c r="M609" s="39">
        <f>SUMIFS(pg_transaction_cleaned!$H:$H,pg_transaction_cleaned!$O:$O,A609,pg_transaction_cleaned!$F:$F,"REFUND")</f>
        <v>0</v>
      </c>
      <c r="N609" s="23" t="str">
        <f t="shared" si="38"/>
        <v>OK</v>
      </c>
      <c r="O609" s="24">
        <f t="shared" si="39"/>
        <v>0</v>
      </c>
    </row>
    <row r="610" spans="1:15" ht="15" customHeight="1" x14ac:dyDescent="0.3">
      <c r="A610" s="23" t="s">
        <v>1645</v>
      </c>
      <c r="B610" s="38">
        <v>46282</v>
      </c>
      <c r="C610" s="23" t="s">
        <v>1646</v>
      </c>
      <c r="D610" s="23" t="s">
        <v>94</v>
      </c>
      <c r="E610" s="23" t="s">
        <v>79</v>
      </c>
      <c r="F610" s="23" t="s">
        <v>1647</v>
      </c>
      <c r="G610" s="23" t="s">
        <v>250</v>
      </c>
      <c r="H610" s="39">
        <f t="shared" si="36"/>
        <v>6347</v>
      </c>
      <c r="I610" s="23" t="str">
        <f t="shared" si="37"/>
        <v>Chennai</v>
      </c>
      <c r="J610" s="23">
        <f>COUNTIFS(pg_transaction_cleaned!$O:$O,A610,pg_transaction_cleaned!$F:$F,"CAPTURE")</f>
        <v>1</v>
      </c>
      <c r="K610" s="39">
        <f>SUMIFS(pg_transaction_cleaned!$H:$H,pg_transaction_cleaned!$O:$O,A610,pg_transaction_cleaned!$F:$F,"CAPTURE")</f>
        <v>6347</v>
      </c>
      <c r="L610" s="23">
        <f>COUNTIFS(pg_transaction_cleaned!$O:$O,A610,pg_transaction_cleaned!$F:$F,"REFUND")</f>
        <v>0</v>
      </c>
      <c r="M610" s="39">
        <f>SUMIFS(pg_transaction_cleaned!$H:$H,pg_transaction_cleaned!$O:$O,A610,pg_transaction_cleaned!$F:$F,"REFUND")</f>
        <v>0</v>
      </c>
      <c r="N610" s="23" t="str">
        <f t="shared" si="38"/>
        <v>OK</v>
      </c>
      <c r="O610" s="24">
        <f t="shared" si="39"/>
        <v>0</v>
      </c>
    </row>
    <row r="611" spans="1:15" ht="15" customHeight="1" x14ac:dyDescent="0.3">
      <c r="A611" s="23" t="s">
        <v>1648</v>
      </c>
      <c r="B611" s="38">
        <v>46287</v>
      </c>
      <c r="C611" s="23" t="s">
        <v>1649</v>
      </c>
      <c r="D611" s="23" t="s">
        <v>87</v>
      </c>
      <c r="E611" s="23" t="s">
        <v>79</v>
      </c>
      <c r="F611" s="23" t="s">
        <v>561</v>
      </c>
      <c r="G611" s="23" t="s">
        <v>250</v>
      </c>
      <c r="H611" s="39">
        <f t="shared" si="36"/>
        <v>4797</v>
      </c>
      <c r="I611" s="23" t="str">
        <f t="shared" si="37"/>
        <v>Mumbai</v>
      </c>
      <c r="J611" s="23">
        <f>COUNTIFS(pg_transaction_cleaned!$O:$O,A611,pg_transaction_cleaned!$F:$F,"CAPTURE")</f>
        <v>1</v>
      </c>
      <c r="K611" s="39">
        <f>SUMIFS(pg_transaction_cleaned!$H:$H,pg_transaction_cleaned!$O:$O,A611,pg_transaction_cleaned!$F:$F,"CAPTURE")</f>
        <v>4797</v>
      </c>
      <c r="L611" s="23">
        <f>COUNTIFS(pg_transaction_cleaned!$O:$O,A611,pg_transaction_cleaned!$F:$F,"REFUND")</f>
        <v>0</v>
      </c>
      <c r="M611" s="39">
        <f>SUMIFS(pg_transaction_cleaned!$H:$H,pg_transaction_cleaned!$O:$O,A611,pg_transaction_cleaned!$F:$F,"REFUND")</f>
        <v>0</v>
      </c>
      <c r="N611" s="23" t="str">
        <f t="shared" si="38"/>
        <v>OK</v>
      </c>
      <c r="O611" s="24">
        <f t="shared" si="39"/>
        <v>0</v>
      </c>
    </row>
    <row r="612" spans="1:15" ht="15" customHeight="1" x14ac:dyDescent="0.3">
      <c r="A612" s="23" t="s">
        <v>1650</v>
      </c>
      <c r="B612" s="38">
        <v>46266</v>
      </c>
      <c r="C612" s="23" t="s">
        <v>1651</v>
      </c>
      <c r="D612" s="23" t="s">
        <v>91</v>
      </c>
      <c r="E612" s="23" t="s">
        <v>75</v>
      </c>
      <c r="F612" s="23" t="s">
        <v>360</v>
      </c>
      <c r="G612" s="23" t="s">
        <v>250</v>
      </c>
      <c r="H612" s="39">
        <f t="shared" si="36"/>
        <v>10297</v>
      </c>
      <c r="I612" s="23" t="str">
        <f t="shared" si="37"/>
        <v>Pune</v>
      </c>
      <c r="J612" s="23">
        <f>COUNTIFS(pg_transaction_cleaned!$O:$O,A612,pg_transaction_cleaned!$F:$F,"CAPTURE")</f>
        <v>1</v>
      </c>
      <c r="K612" s="39">
        <f>SUMIFS(pg_transaction_cleaned!$H:$H,pg_transaction_cleaned!$O:$O,A612,pg_transaction_cleaned!$F:$F,"CAPTURE")</f>
        <v>10297</v>
      </c>
      <c r="L612" s="23">
        <f>COUNTIFS(pg_transaction_cleaned!$O:$O,A612,pg_transaction_cleaned!$F:$F,"REFUND")</f>
        <v>0</v>
      </c>
      <c r="M612" s="39">
        <f>SUMIFS(pg_transaction_cleaned!$H:$H,pg_transaction_cleaned!$O:$O,A612,pg_transaction_cleaned!$F:$F,"REFUND")</f>
        <v>0</v>
      </c>
      <c r="N612" s="23" t="str">
        <f t="shared" si="38"/>
        <v>OK</v>
      </c>
      <c r="O612" s="24">
        <f t="shared" si="39"/>
        <v>0</v>
      </c>
    </row>
    <row r="613" spans="1:15" ht="15" customHeight="1" x14ac:dyDescent="0.3">
      <c r="A613" s="23" t="s">
        <v>1652</v>
      </c>
      <c r="B613" s="38">
        <v>46290</v>
      </c>
      <c r="C613" s="23" t="s">
        <v>1653</v>
      </c>
      <c r="D613" s="23" t="s">
        <v>95</v>
      </c>
      <c r="E613" s="23" t="s">
        <v>75</v>
      </c>
      <c r="F613" s="23" t="s">
        <v>357</v>
      </c>
      <c r="G613" s="23" t="s">
        <v>250</v>
      </c>
      <c r="H613" s="39">
        <f t="shared" si="36"/>
        <v>1598</v>
      </c>
      <c r="I613" s="23" t="str">
        <f t="shared" si="37"/>
        <v>Bengaluru</v>
      </c>
      <c r="J613" s="23">
        <f>COUNTIFS(pg_transaction_cleaned!$O:$O,A613,pg_transaction_cleaned!$F:$F,"CAPTURE")</f>
        <v>1</v>
      </c>
      <c r="K613" s="39">
        <f>SUMIFS(pg_transaction_cleaned!$H:$H,pg_transaction_cleaned!$O:$O,A613,pg_transaction_cleaned!$F:$F,"CAPTURE")</f>
        <v>1598</v>
      </c>
      <c r="L613" s="23">
        <f>COUNTIFS(pg_transaction_cleaned!$O:$O,A613,pg_transaction_cleaned!$F:$F,"REFUND")</f>
        <v>0</v>
      </c>
      <c r="M613" s="39">
        <f>SUMIFS(pg_transaction_cleaned!$H:$H,pg_transaction_cleaned!$O:$O,A613,pg_transaction_cleaned!$F:$F,"REFUND")</f>
        <v>0</v>
      </c>
      <c r="N613" s="23" t="str">
        <f t="shared" si="38"/>
        <v>OK</v>
      </c>
      <c r="O613" s="24">
        <f t="shared" si="39"/>
        <v>0</v>
      </c>
    </row>
    <row r="614" spans="1:15" ht="15" customHeight="1" x14ac:dyDescent="0.3">
      <c r="A614" s="23" t="s">
        <v>1654</v>
      </c>
      <c r="B614" s="38">
        <v>46283</v>
      </c>
      <c r="C614" s="23" t="s">
        <v>1655</v>
      </c>
      <c r="D614" s="23" t="s">
        <v>90</v>
      </c>
      <c r="E614" s="23" t="s">
        <v>75</v>
      </c>
      <c r="F614" s="23" t="s">
        <v>385</v>
      </c>
      <c r="G614" s="23" t="s">
        <v>250</v>
      </c>
      <c r="H614" s="39">
        <f t="shared" si="36"/>
        <v>10597</v>
      </c>
      <c r="I614" s="23" t="str">
        <f t="shared" si="37"/>
        <v>Ahmedabad</v>
      </c>
      <c r="J614" s="23">
        <f>COUNTIFS(pg_transaction_cleaned!$O:$O,A614,pg_transaction_cleaned!$F:$F,"CAPTURE")</f>
        <v>1</v>
      </c>
      <c r="K614" s="39">
        <f>SUMIFS(pg_transaction_cleaned!$H:$H,pg_transaction_cleaned!$O:$O,A614,pg_transaction_cleaned!$F:$F,"CAPTURE")</f>
        <v>10597</v>
      </c>
      <c r="L614" s="23">
        <f>COUNTIFS(pg_transaction_cleaned!$O:$O,A614,pg_transaction_cleaned!$F:$F,"REFUND")</f>
        <v>0</v>
      </c>
      <c r="M614" s="39">
        <f>SUMIFS(pg_transaction_cleaned!$H:$H,pg_transaction_cleaned!$O:$O,A614,pg_transaction_cleaned!$F:$F,"REFUND")</f>
        <v>0</v>
      </c>
      <c r="N614" s="23" t="str">
        <f t="shared" si="38"/>
        <v>OK</v>
      </c>
      <c r="O614" s="24">
        <f t="shared" si="39"/>
        <v>0</v>
      </c>
    </row>
    <row r="615" spans="1:15" ht="15" customHeight="1" x14ac:dyDescent="0.3">
      <c r="A615" s="23" t="s">
        <v>1656</v>
      </c>
      <c r="B615" s="38">
        <v>46268</v>
      </c>
      <c r="C615" s="23" t="s">
        <v>1657</v>
      </c>
      <c r="D615" s="23" t="s">
        <v>87</v>
      </c>
      <c r="E615" s="23" t="s">
        <v>75</v>
      </c>
      <c r="F615" s="23" t="s">
        <v>747</v>
      </c>
      <c r="G615" s="23" t="s">
        <v>250</v>
      </c>
      <c r="H615" s="39">
        <f t="shared" si="36"/>
        <v>2498</v>
      </c>
      <c r="I615" s="23" t="str">
        <f t="shared" si="37"/>
        <v>Mumbai</v>
      </c>
      <c r="J615" s="23">
        <f>COUNTIFS(pg_transaction_cleaned!$O:$O,A615,pg_transaction_cleaned!$F:$F,"CAPTURE")</f>
        <v>1</v>
      </c>
      <c r="K615" s="39">
        <f>SUMIFS(pg_transaction_cleaned!$H:$H,pg_transaction_cleaned!$O:$O,A615,pg_transaction_cleaned!$F:$F,"CAPTURE")</f>
        <v>2498</v>
      </c>
      <c r="L615" s="23">
        <f>COUNTIFS(pg_transaction_cleaned!$O:$O,A615,pg_transaction_cleaned!$F:$F,"REFUND")</f>
        <v>0</v>
      </c>
      <c r="M615" s="39">
        <f>SUMIFS(pg_transaction_cleaned!$H:$H,pg_transaction_cleaned!$O:$O,A615,pg_transaction_cleaned!$F:$F,"REFUND")</f>
        <v>0</v>
      </c>
      <c r="N615" s="23" t="str">
        <f t="shared" si="38"/>
        <v>OK</v>
      </c>
      <c r="O615" s="24">
        <f t="shared" si="39"/>
        <v>0</v>
      </c>
    </row>
    <row r="616" spans="1:15" ht="15" customHeight="1" x14ac:dyDescent="0.3">
      <c r="A616" s="23" t="s">
        <v>1658</v>
      </c>
      <c r="B616" s="38">
        <v>46269</v>
      </c>
      <c r="C616" s="23" t="s">
        <v>1659</v>
      </c>
      <c r="D616" s="23" t="s">
        <v>88</v>
      </c>
      <c r="E616" s="23" t="s">
        <v>75</v>
      </c>
      <c r="F616" s="23" t="s">
        <v>357</v>
      </c>
      <c r="G616" s="23" t="s">
        <v>250</v>
      </c>
      <c r="H616" s="39">
        <f t="shared" si="36"/>
        <v>1598</v>
      </c>
      <c r="I616" s="23" t="str">
        <f t="shared" si="37"/>
        <v>Lucknow</v>
      </c>
      <c r="J616" s="23">
        <f>COUNTIFS(pg_transaction_cleaned!$O:$O,A616,pg_transaction_cleaned!$F:$F,"CAPTURE")</f>
        <v>1</v>
      </c>
      <c r="K616" s="39">
        <f>SUMIFS(pg_transaction_cleaned!$H:$H,pg_transaction_cleaned!$O:$O,A616,pg_transaction_cleaned!$F:$F,"CAPTURE")</f>
        <v>1598</v>
      </c>
      <c r="L616" s="23">
        <f>COUNTIFS(pg_transaction_cleaned!$O:$O,A616,pg_transaction_cleaned!$F:$F,"REFUND")</f>
        <v>0</v>
      </c>
      <c r="M616" s="39">
        <f>SUMIFS(pg_transaction_cleaned!$H:$H,pg_transaction_cleaned!$O:$O,A616,pg_transaction_cleaned!$F:$F,"REFUND")</f>
        <v>0</v>
      </c>
      <c r="N616" s="23" t="str">
        <f t="shared" si="38"/>
        <v>OK</v>
      </c>
      <c r="O616" s="24">
        <f t="shared" si="39"/>
        <v>0</v>
      </c>
    </row>
    <row r="617" spans="1:15" ht="15" customHeight="1" x14ac:dyDescent="0.3">
      <c r="A617" s="23" t="s">
        <v>1660</v>
      </c>
      <c r="B617" s="38">
        <v>46285</v>
      </c>
      <c r="C617" s="23" t="s">
        <v>1661</v>
      </c>
      <c r="D617" s="23" t="s">
        <v>94</v>
      </c>
      <c r="E617" s="23" t="s">
        <v>79</v>
      </c>
      <c r="F617" s="23" t="s">
        <v>1662</v>
      </c>
      <c r="G617" s="23" t="s">
        <v>250</v>
      </c>
      <c r="H617" s="39">
        <f t="shared" si="36"/>
        <v>4397</v>
      </c>
      <c r="I617" s="23" t="str">
        <f t="shared" si="37"/>
        <v>Chennai</v>
      </c>
      <c r="J617" s="23">
        <f>COUNTIFS(pg_transaction_cleaned!$O:$O,A617,pg_transaction_cleaned!$F:$F,"CAPTURE")</f>
        <v>1</v>
      </c>
      <c r="K617" s="39">
        <f>SUMIFS(pg_transaction_cleaned!$H:$H,pg_transaction_cleaned!$O:$O,A617,pg_transaction_cleaned!$F:$F,"CAPTURE")</f>
        <v>4397</v>
      </c>
      <c r="L617" s="23">
        <f>COUNTIFS(pg_transaction_cleaned!$O:$O,A617,pg_transaction_cleaned!$F:$F,"REFUND")</f>
        <v>0</v>
      </c>
      <c r="M617" s="39">
        <f>SUMIFS(pg_transaction_cleaned!$H:$H,pg_transaction_cleaned!$O:$O,A617,pg_transaction_cleaned!$F:$F,"REFUND")</f>
        <v>0</v>
      </c>
      <c r="N617" s="23" t="str">
        <f t="shared" si="38"/>
        <v>OK</v>
      </c>
      <c r="O617" s="24">
        <f t="shared" si="39"/>
        <v>0</v>
      </c>
    </row>
    <row r="618" spans="1:15" ht="15" customHeight="1" x14ac:dyDescent="0.3">
      <c r="A618" s="23" t="s">
        <v>1663</v>
      </c>
      <c r="B618" s="38">
        <v>46292</v>
      </c>
      <c r="C618" s="23" t="s">
        <v>1664</v>
      </c>
      <c r="D618" s="23" t="s">
        <v>88</v>
      </c>
      <c r="E618" s="23" t="s">
        <v>75</v>
      </c>
      <c r="F618" s="23" t="s">
        <v>310</v>
      </c>
      <c r="G618" s="23" t="s">
        <v>250</v>
      </c>
      <c r="H618" s="39">
        <f t="shared" si="36"/>
        <v>7999</v>
      </c>
      <c r="I618" s="23" t="str">
        <f t="shared" si="37"/>
        <v>Lucknow</v>
      </c>
      <c r="J618" s="23">
        <f>COUNTIFS(pg_transaction_cleaned!$O:$O,A618,pg_transaction_cleaned!$F:$F,"CAPTURE")</f>
        <v>1</v>
      </c>
      <c r="K618" s="39">
        <f>SUMIFS(pg_transaction_cleaned!$H:$H,pg_transaction_cleaned!$O:$O,A618,pg_transaction_cleaned!$F:$F,"CAPTURE")</f>
        <v>7999</v>
      </c>
      <c r="L618" s="23">
        <f>COUNTIFS(pg_transaction_cleaned!$O:$O,A618,pg_transaction_cleaned!$F:$F,"REFUND")</f>
        <v>0</v>
      </c>
      <c r="M618" s="39">
        <f>SUMIFS(pg_transaction_cleaned!$H:$H,pg_transaction_cleaned!$O:$O,A618,pg_transaction_cleaned!$F:$F,"REFUND")</f>
        <v>0</v>
      </c>
      <c r="N618" s="23" t="str">
        <f t="shared" si="38"/>
        <v>OK</v>
      </c>
      <c r="O618" s="24">
        <f t="shared" si="39"/>
        <v>0</v>
      </c>
    </row>
    <row r="619" spans="1:15" ht="15" customHeight="1" x14ac:dyDescent="0.3">
      <c r="A619" s="23" t="s">
        <v>1665</v>
      </c>
      <c r="B619" s="38">
        <v>46285</v>
      </c>
      <c r="C619" s="23" t="s">
        <v>1666</v>
      </c>
      <c r="D619" s="23" t="s">
        <v>95</v>
      </c>
      <c r="E619" s="23" t="s">
        <v>75</v>
      </c>
      <c r="F619" s="23" t="s">
        <v>514</v>
      </c>
      <c r="G619" s="23" t="s">
        <v>250</v>
      </c>
      <c r="H619" s="39">
        <f t="shared" si="36"/>
        <v>6498</v>
      </c>
      <c r="I619" s="23" t="str">
        <f t="shared" si="37"/>
        <v>Bengaluru</v>
      </c>
      <c r="J619" s="23">
        <f>COUNTIFS(pg_transaction_cleaned!$O:$O,A619,pg_transaction_cleaned!$F:$F,"CAPTURE")</f>
        <v>1</v>
      </c>
      <c r="K619" s="39">
        <f>SUMIFS(pg_transaction_cleaned!$H:$H,pg_transaction_cleaned!$O:$O,A619,pg_transaction_cleaned!$F:$F,"CAPTURE")</f>
        <v>6498</v>
      </c>
      <c r="L619" s="23">
        <f>COUNTIFS(pg_transaction_cleaned!$O:$O,A619,pg_transaction_cleaned!$F:$F,"REFUND")</f>
        <v>0</v>
      </c>
      <c r="M619" s="39">
        <f>SUMIFS(pg_transaction_cleaned!$H:$H,pg_transaction_cleaned!$O:$O,A619,pg_transaction_cleaned!$F:$F,"REFUND")</f>
        <v>0</v>
      </c>
      <c r="N619" s="23" t="str">
        <f t="shared" si="38"/>
        <v>OK</v>
      </c>
      <c r="O619" s="24">
        <f t="shared" si="39"/>
        <v>0</v>
      </c>
    </row>
    <row r="620" spans="1:15" ht="15" customHeight="1" x14ac:dyDescent="0.3">
      <c r="A620" s="23" t="s">
        <v>1667</v>
      </c>
      <c r="B620" s="38">
        <v>46266</v>
      </c>
      <c r="C620" s="23" t="s">
        <v>1668</v>
      </c>
      <c r="D620" s="23" t="s">
        <v>89</v>
      </c>
      <c r="E620" s="23" t="s">
        <v>77</v>
      </c>
      <c r="F620" s="23" t="s">
        <v>265</v>
      </c>
      <c r="G620" s="23" t="s">
        <v>250</v>
      </c>
      <c r="H620" s="39">
        <f t="shared" si="36"/>
        <v>999</v>
      </c>
      <c r="I620" s="23" t="str">
        <f t="shared" si="37"/>
        <v>Jaipur</v>
      </c>
      <c r="J620" s="23">
        <f>COUNTIFS(pg_transaction_cleaned!$O:$O,A620,pg_transaction_cleaned!$F:$F,"CAPTURE")</f>
        <v>1</v>
      </c>
      <c r="K620" s="39">
        <f>SUMIFS(pg_transaction_cleaned!$H:$H,pg_transaction_cleaned!$O:$O,A620,pg_transaction_cleaned!$F:$F,"CAPTURE")</f>
        <v>999</v>
      </c>
      <c r="L620" s="23">
        <f>COUNTIFS(pg_transaction_cleaned!$O:$O,A620,pg_transaction_cleaned!$F:$F,"REFUND")</f>
        <v>0</v>
      </c>
      <c r="M620" s="39">
        <f>SUMIFS(pg_transaction_cleaned!$H:$H,pg_transaction_cleaned!$O:$O,A620,pg_transaction_cleaned!$F:$F,"REFUND")</f>
        <v>0</v>
      </c>
      <c r="N620" s="23" t="str">
        <f t="shared" si="38"/>
        <v>OK</v>
      </c>
      <c r="O620" s="24">
        <f t="shared" si="39"/>
        <v>0</v>
      </c>
    </row>
    <row r="621" spans="1:15" ht="15" customHeight="1" x14ac:dyDescent="0.3">
      <c r="A621" s="23" t="s">
        <v>1669</v>
      </c>
      <c r="B621" s="38">
        <v>46282</v>
      </c>
      <c r="C621" s="23" t="s">
        <v>1670</v>
      </c>
      <c r="D621" s="23" t="s">
        <v>86</v>
      </c>
      <c r="E621" s="23" t="s">
        <v>77</v>
      </c>
      <c r="F621" s="23" t="s">
        <v>291</v>
      </c>
      <c r="G621" s="23" t="s">
        <v>250</v>
      </c>
      <c r="H621" s="39">
        <f t="shared" si="36"/>
        <v>3499</v>
      </c>
      <c r="I621" s="23" t="str">
        <f t="shared" si="37"/>
        <v>Delhi</v>
      </c>
      <c r="J621" s="23">
        <f>COUNTIFS(pg_transaction_cleaned!$O:$O,A621,pg_transaction_cleaned!$F:$F,"CAPTURE")</f>
        <v>1</v>
      </c>
      <c r="K621" s="39">
        <f>SUMIFS(pg_transaction_cleaned!$H:$H,pg_transaction_cleaned!$O:$O,A621,pg_transaction_cleaned!$F:$F,"CAPTURE")</f>
        <v>3499</v>
      </c>
      <c r="L621" s="23">
        <f>COUNTIFS(pg_transaction_cleaned!$O:$O,A621,pg_transaction_cleaned!$F:$F,"REFUND")</f>
        <v>0</v>
      </c>
      <c r="M621" s="39">
        <f>SUMIFS(pg_transaction_cleaned!$H:$H,pg_transaction_cleaned!$O:$O,A621,pg_transaction_cleaned!$F:$F,"REFUND")</f>
        <v>0</v>
      </c>
      <c r="N621" s="23" t="str">
        <f t="shared" si="38"/>
        <v>OK</v>
      </c>
      <c r="O621" s="24">
        <f t="shared" si="39"/>
        <v>0</v>
      </c>
    </row>
    <row r="622" spans="1:15" ht="15" customHeight="1" x14ac:dyDescent="0.3">
      <c r="A622" s="23" t="s">
        <v>1671</v>
      </c>
      <c r="B622" s="38">
        <v>46292</v>
      </c>
      <c r="C622" s="23" t="s">
        <v>1672</v>
      </c>
      <c r="D622" s="23" t="s">
        <v>91</v>
      </c>
      <c r="E622" s="23" t="s">
        <v>79</v>
      </c>
      <c r="F622" s="23" t="s">
        <v>1315</v>
      </c>
      <c r="G622" s="23" t="s">
        <v>250</v>
      </c>
      <c r="H622" s="39">
        <f t="shared" si="36"/>
        <v>8297</v>
      </c>
      <c r="I622" s="23" t="str">
        <f t="shared" si="37"/>
        <v>Pune</v>
      </c>
      <c r="J622" s="23">
        <f>COUNTIFS(pg_transaction_cleaned!$O:$O,A622,pg_transaction_cleaned!$F:$F,"CAPTURE")</f>
        <v>1</v>
      </c>
      <c r="K622" s="39">
        <f>SUMIFS(pg_transaction_cleaned!$H:$H,pg_transaction_cleaned!$O:$O,A622,pg_transaction_cleaned!$F:$F,"CAPTURE")</f>
        <v>8297</v>
      </c>
      <c r="L622" s="23">
        <f>COUNTIFS(pg_transaction_cleaned!$O:$O,A622,pg_transaction_cleaned!$F:$F,"REFUND")</f>
        <v>0</v>
      </c>
      <c r="M622" s="39">
        <f>SUMIFS(pg_transaction_cleaned!$H:$H,pg_transaction_cleaned!$O:$O,A622,pg_transaction_cleaned!$F:$F,"REFUND")</f>
        <v>0</v>
      </c>
      <c r="N622" s="23" t="str">
        <f t="shared" si="38"/>
        <v>OK</v>
      </c>
      <c r="O622" s="24">
        <f t="shared" si="39"/>
        <v>0</v>
      </c>
    </row>
    <row r="623" spans="1:15" ht="15" customHeight="1" x14ac:dyDescent="0.3">
      <c r="A623" s="23" t="s">
        <v>1673</v>
      </c>
      <c r="B623" s="38">
        <v>46295</v>
      </c>
      <c r="C623" s="23" t="s">
        <v>1674</v>
      </c>
      <c r="D623" s="23" t="s">
        <v>91</v>
      </c>
      <c r="E623" s="23" t="s">
        <v>75</v>
      </c>
      <c r="F623" s="23" t="s">
        <v>1211</v>
      </c>
      <c r="G623" s="23" t="s">
        <v>250</v>
      </c>
      <c r="H623" s="39">
        <f t="shared" si="36"/>
        <v>2098</v>
      </c>
      <c r="I623" s="23" t="str">
        <f t="shared" si="37"/>
        <v>Pune</v>
      </c>
      <c r="J623" s="23">
        <f>COUNTIFS(pg_transaction_cleaned!$O:$O,A623,pg_transaction_cleaned!$F:$F,"CAPTURE")</f>
        <v>1</v>
      </c>
      <c r="K623" s="39">
        <f>SUMIFS(pg_transaction_cleaned!$H:$H,pg_transaction_cleaned!$O:$O,A623,pg_transaction_cleaned!$F:$F,"CAPTURE")</f>
        <v>2098</v>
      </c>
      <c r="L623" s="23">
        <f>COUNTIFS(pg_transaction_cleaned!$O:$O,A623,pg_transaction_cleaned!$F:$F,"REFUND")</f>
        <v>0</v>
      </c>
      <c r="M623" s="39">
        <f>SUMIFS(pg_transaction_cleaned!$H:$H,pg_transaction_cleaned!$O:$O,A623,pg_transaction_cleaned!$F:$F,"REFUND")</f>
        <v>0</v>
      </c>
      <c r="N623" s="23" t="str">
        <f t="shared" si="38"/>
        <v>OK</v>
      </c>
      <c r="O623" s="24">
        <f t="shared" si="39"/>
        <v>0</v>
      </c>
    </row>
    <row r="624" spans="1:15" ht="15" customHeight="1" x14ac:dyDescent="0.3">
      <c r="A624" s="23" t="s">
        <v>1675</v>
      </c>
      <c r="B624" s="38">
        <v>46290</v>
      </c>
      <c r="C624" s="23" t="s">
        <v>1676</v>
      </c>
      <c r="D624" s="23" t="s">
        <v>90</v>
      </c>
      <c r="E624" s="23" t="s">
        <v>79</v>
      </c>
      <c r="F624" s="23" t="s">
        <v>259</v>
      </c>
      <c r="G624" s="23" t="s">
        <v>250</v>
      </c>
      <c r="H624" s="39">
        <f t="shared" si="36"/>
        <v>3298</v>
      </c>
      <c r="I624" s="23" t="str">
        <f t="shared" si="37"/>
        <v>Ahmedabad</v>
      </c>
      <c r="J624" s="23">
        <f>COUNTIFS(pg_transaction_cleaned!$O:$O,A624,pg_transaction_cleaned!$F:$F,"CAPTURE")</f>
        <v>1</v>
      </c>
      <c r="K624" s="39">
        <f>SUMIFS(pg_transaction_cleaned!$H:$H,pg_transaction_cleaned!$O:$O,A624,pg_transaction_cleaned!$F:$F,"CAPTURE")</f>
        <v>3298</v>
      </c>
      <c r="L624" s="23">
        <f>COUNTIFS(pg_transaction_cleaned!$O:$O,A624,pg_transaction_cleaned!$F:$F,"REFUND")</f>
        <v>0</v>
      </c>
      <c r="M624" s="39">
        <f>SUMIFS(pg_transaction_cleaned!$H:$H,pg_transaction_cleaned!$O:$O,A624,pg_transaction_cleaned!$F:$F,"REFUND")</f>
        <v>0</v>
      </c>
      <c r="N624" s="23" t="str">
        <f t="shared" si="38"/>
        <v>OK</v>
      </c>
      <c r="O624" s="24">
        <f t="shared" si="39"/>
        <v>0</v>
      </c>
    </row>
    <row r="625" spans="1:15" ht="15" customHeight="1" x14ac:dyDescent="0.3">
      <c r="A625" s="23" t="s">
        <v>1677</v>
      </c>
      <c r="B625" s="38">
        <v>46287</v>
      </c>
      <c r="C625" s="23" t="s">
        <v>1678</v>
      </c>
      <c r="D625" s="23" t="s">
        <v>89</v>
      </c>
      <c r="E625" s="23" t="s">
        <v>75</v>
      </c>
      <c r="F625" s="23" t="s">
        <v>880</v>
      </c>
      <c r="G625" s="23" t="s">
        <v>301</v>
      </c>
      <c r="H625" s="39">
        <f t="shared" si="36"/>
        <v>2298</v>
      </c>
      <c r="I625" s="23" t="str">
        <f t="shared" si="37"/>
        <v>Jaipur</v>
      </c>
      <c r="J625" s="23">
        <f>COUNTIFS(pg_transaction_cleaned!$O:$O,A625,pg_transaction_cleaned!$F:$F,"CAPTURE")</f>
        <v>1</v>
      </c>
      <c r="K625" s="39">
        <f>SUMIFS(pg_transaction_cleaned!$H:$H,pg_transaction_cleaned!$O:$O,A625,pg_transaction_cleaned!$F:$F,"CAPTURE")</f>
        <v>2298</v>
      </c>
      <c r="L625" s="23">
        <f>COUNTIFS(pg_transaction_cleaned!$O:$O,A625,pg_transaction_cleaned!$F:$F,"REFUND")</f>
        <v>1</v>
      </c>
      <c r="M625" s="39">
        <f>SUMIFS(pg_transaction_cleaned!$H:$H,pg_transaction_cleaned!$O:$O,A625,pg_transaction_cleaned!$F:$F,"REFUND")</f>
        <v>2298</v>
      </c>
      <c r="N625" s="23" t="str">
        <f t="shared" si="38"/>
        <v>OK</v>
      </c>
      <c r="O625" s="24">
        <f t="shared" si="39"/>
        <v>0</v>
      </c>
    </row>
    <row r="626" spans="1:15" ht="15" customHeight="1" x14ac:dyDescent="0.3">
      <c r="A626" s="23" t="s">
        <v>1679</v>
      </c>
      <c r="B626" s="38">
        <v>46295</v>
      </c>
      <c r="C626" s="23" t="s">
        <v>1680</v>
      </c>
      <c r="D626" s="23" t="s">
        <v>88</v>
      </c>
      <c r="E626" s="23" t="s">
        <v>75</v>
      </c>
      <c r="F626" s="23" t="s">
        <v>324</v>
      </c>
      <c r="G626" s="23" t="s">
        <v>250</v>
      </c>
      <c r="H626" s="39">
        <f t="shared" si="36"/>
        <v>10498</v>
      </c>
      <c r="I626" s="23" t="str">
        <f t="shared" si="37"/>
        <v>Lucknow</v>
      </c>
      <c r="J626" s="23">
        <f>COUNTIFS(pg_transaction_cleaned!$O:$O,A626,pg_transaction_cleaned!$F:$F,"CAPTURE")</f>
        <v>1</v>
      </c>
      <c r="K626" s="39">
        <f>SUMIFS(pg_transaction_cleaned!$H:$H,pg_transaction_cleaned!$O:$O,A626,pg_transaction_cleaned!$F:$F,"CAPTURE")</f>
        <v>10498</v>
      </c>
      <c r="L626" s="23">
        <f>COUNTIFS(pg_transaction_cleaned!$O:$O,A626,pg_transaction_cleaned!$F:$F,"REFUND")</f>
        <v>0</v>
      </c>
      <c r="M626" s="39">
        <f>SUMIFS(pg_transaction_cleaned!$H:$H,pg_transaction_cleaned!$O:$O,A626,pg_transaction_cleaned!$F:$F,"REFUND")</f>
        <v>0</v>
      </c>
      <c r="N626" s="23" t="str">
        <f t="shared" si="38"/>
        <v>OK</v>
      </c>
      <c r="O626" s="24">
        <f t="shared" si="39"/>
        <v>0</v>
      </c>
    </row>
    <row r="627" spans="1:15" ht="15" customHeight="1" x14ac:dyDescent="0.3">
      <c r="A627" s="23" t="s">
        <v>1681</v>
      </c>
      <c r="B627" s="38">
        <v>46271</v>
      </c>
      <c r="C627" s="23" t="s">
        <v>1682</v>
      </c>
      <c r="D627" s="23" t="s">
        <v>89</v>
      </c>
      <c r="E627" s="23" t="s">
        <v>79</v>
      </c>
      <c r="F627" s="23" t="s">
        <v>607</v>
      </c>
      <c r="G627" s="23" t="s">
        <v>250</v>
      </c>
      <c r="H627" s="39">
        <f t="shared" si="36"/>
        <v>8847</v>
      </c>
      <c r="I627" s="23" t="str">
        <f t="shared" si="37"/>
        <v>Jaipur</v>
      </c>
      <c r="J627" s="23">
        <f>COUNTIFS(pg_transaction_cleaned!$O:$O,A627,pg_transaction_cleaned!$F:$F,"CAPTURE")</f>
        <v>1</v>
      </c>
      <c r="K627" s="39">
        <f>SUMIFS(pg_transaction_cleaned!$H:$H,pg_transaction_cleaned!$O:$O,A627,pg_transaction_cleaned!$F:$F,"CAPTURE")</f>
        <v>8847</v>
      </c>
      <c r="L627" s="23">
        <f>COUNTIFS(pg_transaction_cleaned!$O:$O,A627,pg_transaction_cleaned!$F:$F,"REFUND")</f>
        <v>0</v>
      </c>
      <c r="M627" s="39">
        <f>SUMIFS(pg_transaction_cleaned!$H:$H,pg_transaction_cleaned!$O:$O,A627,pg_transaction_cleaned!$F:$F,"REFUND")</f>
        <v>0</v>
      </c>
      <c r="N627" s="23" t="str">
        <f t="shared" si="38"/>
        <v>OK</v>
      </c>
      <c r="O627" s="24">
        <f t="shared" si="39"/>
        <v>0</v>
      </c>
    </row>
    <row r="628" spans="1:15" ht="15" customHeight="1" x14ac:dyDescent="0.3">
      <c r="A628" s="23" t="s">
        <v>1683</v>
      </c>
      <c r="B628" s="38">
        <v>46294</v>
      </c>
      <c r="C628" s="23" t="s">
        <v>1684</v>
      </c>
      <c r="D628" s="23" t="s">
        <v>93</v>
      </c>
      <c r="E628" s="23" t="s">
        <v>79</v>
      </c>
      <c r="F628" s="23" t="s">
        <v>307</v>
      </c>
      <c r="G628" s="23" t="s">
        <v>365</v>
      </c>
      <c r="H628" s="39">
        <f t="shared" si="36"/>
        <v>3798</v>
      </c>
      <c r="I628" s="23" t="str">
        <f t="shared" si="37"/>
        <v>Kolkata</v>
      </c>
      <c r="J628" s="23">
        <f>COUNTIFS(pg_transaction_cleaned!$O:$O,A628,pg_transaction_cleaned!$F:$F,"CAPTURE")</f>
        <v>0</v>
      </c>
      <c r="K628" s="39">
        <f>SUMIFS(pg_transaction_cleaned!$H:$H,pg_transaction_cleaned!$O:$O,A628,pg_transaction_cleaned!$F:$F,"CAPTURE")</f>
        <v>0</v>
      </c>
      <c r="L628" s="23">
        <f>COUNTIFS(pg_transaction_cleaned!$O:$O,A628,pg_transaction_cleaned!$F:$F,"REFUND")</f>
        <v>0</v>
      </c>
      <c r="M628" s="39">
        <f>SUMIFS(pg_transaction_cleaned!$H:$H,pg_transaction_cleaned!$O:$O,A628,pg_transaction_cleaned!$F:$F,"REFUND")</f>
        <v>0</v>
      </c>
      <c r="N628" s="23" t="str">
        <f t="shared" si="38"/>
        <v>OK</v>
      </c>
      <c r="O628" s="24">
        <f t="shared" si="39"/>
        <v>0</v>
      </c>
    </row>
    <row r="629" spans="1:15" ht="15" customHeight="1" x14ac:dyDescent="0.3">
      <c r="A629" s="23" t="s">
        <v>1685</v>
      </c>
      <c r="B629" s="38">
        <v>46276</v>
      </c>
      <c r="C629" s="23" t="s">
        <v>1686</v>
      </c>
      <c r="D629" s="23" t="s">
        <v>89</v>
      </c>
      <c r="E629" s="23" t="s">
        <v>75</v>
      </c>
      <c r="F629" s="23" t="s">
        <v>315</v>
      </c>
      <c r="G629" s="23" t="s">
        <v>250</v>
      </c>
      <c r="H629" s="39">
        <f t="shared" si="36"/>
        <v>1499</v>
      </c>
      <c r="I629" s="23" t="str">
        <f t="shared" si="37"/>
        <v>Jaipur</v>
      </c>
      <c r="J629" s="23">
        <f>COUNTIFS(pg_transaction_cleaned!$O:$O,A629,pg_transaction_cleaned!$F:$F,"CAPTURE")</f>
        <v>1</v>
      </c>
      <c r="K629" s="39">
        <f>SUMIFS(pg_transaction_cleaned!$H:$H,pg_transaction_cleaned!$O:$O,A629,pg_transaction_cleaned!$F:$F,"CAPTURE")</f>
        <v>1499</v>
      </c>
      <c r="L629" s="23">
        <f>COUNTIFS(pg_transaction_cleaned!$O:$O,A629,pg_transaction_cleaned!$F:$F,"REFUND")</f>
        <v>0</v>
      </c>
      <c r="M629" s="39">
        <f>SUMIFS(pg_transaction_cleaned!$H:$H,pg_transaction_cleaned!$O:$O,A629,pg_transaction_cleaned!$F:$F,"REFUND")</f>
        <v>0</v>
      </c>
      <c r="N629" s="23" t="str">
        <f t="shared" si="38"/>
        <v>OK</v>
      </c>
      <c r="O629" s="24">
        <f t="shared" si="39"/>
        <v>0</v>
      </c>
    </row>
    <row r="630" spans="1:15" ht="15" customHeight="1" x14ac:dyDescent="0.3">
      <c r="A630" s="23" t="s">
        <v>1687</v>
      </c>
      <c r="B630" s="38">
        <v>46275</v>
      </c>
      <c r="C630" s="23" t="s">
        <v>1688</v>
      </c>
      <c r="D630" s="23" t="s">
        <v>95</v>
      </c>
      <c r="E630" s="23" t="s">
        <v>77</v>
      </c>
      <c r="F630" s="23" t="s">
        <v>463</v>
      </c>
      <c r="G630" s="23" t="s">
        <v>250</v>
      </c>
      <c r="H630" s="39">
        <f t="shared" si="36"/>
        <v>10797</v>
      </c>
      <c r="I630" s="23" t="str">
        <f t="shared" si="37"/>
        <v>Bengaluru</v>
      </c>
      <c r="J630" s="23">
        <f>COUNTIFS(pg_transaction_cleaned!$O:$O,A630,pg_transaction_cleaned!$F:$F,"CAPTURE")</f>
        <v>1</v>
      </c>
      <c r="K630" s="39">
        <f>SUMIFS(pg_transaction_cleaned!$H:$H,pg_transaction_cleaned!$O:$O,A630,pg_transaction_cleaned!$F:$F,"CAPTURE")</f>
        <v>10797</v>
      </c>
      <c r="L630" s="23">
        <f>COUNTIFS(pg_transaction_cleaned!$O:$O,A630,pg_transaction_cleaned!$F:$F,"REFUND")</f>
        <v>0</v>
      </c>
      <c r="M630" s="39">
        <f>SUMIFS(pg_transaction_cleaned!$H:$H,pg_transaction_cleaned!$O:$O,A630,pg_transaction_cleaned!$F:$F,"REFUND")</f>
        <v>0</v>
      </c>
      <c r="N630" s="23" t="str">
        <f t="shared" si="38"/>
        <v>OK</v>
      </c>
      <c r="O630" s="24">
        <f t="shared" si="39"/>
        <v>0</v>
      </c>
    </row>
    <row r="631" spans="1:15" ht="15" customHeight="1" x14ac:dyDescent="0.3">
      <c r="A631" s="23" t="s">
        <v>1689</v>
      </c>
      <c r="B631" s="38">
        <v>46272</v>
      </c>
      <c r="C631" s="23" t="s">
        <v>1690</v>
      </c>
      <c r="D631" s="23" t="s">
        <v>86</v>
      </c>
      <c r="E631" s="23" t="s">
        <v>79</v>
      </c>
      <c r="F631" s="23" t="s">
        <v>271</v>
      </c>
      <c r="G631" s="23" t="s">
        <v>250</v>
      </c>
      <c r="H631" s="39">
        <f t="shared" si="36"/>
        <v>2499</v>
      </c>
      <c r="I631" s="23" t="str">
        <f t="shared" si="37"/>
        <v>Delhi</v>
      </c>
      <c r="J631" s="23">
        <f>COUNTIFS(pg_transaction_cleaned!$O:$O,A631,pg_transaction_cleaned!$F:$F,"CAPTURE")</f>
        <v>1</v>
      </c>
      <c r="K631" s="39">
        <f>SUMIFS(pg_transaction_cleaned!$H:$H,pg_transaction_cleaned!$O:$O,A631,pg_transaction_cleaned!$F:$F,"CAPTURE")</f>
        <v>2499</v>
      </c>
      <c r="L631" s="23">
        <f>COUNTIFS(pg_transaction_cleaned!$O:$O,A631,pg_transaction_cleaned!$F:$F,"REFUND")</f>
        <v>0</v>
      </c>
      <c r="M631" s="39">
        <f>SUMIFS(pg_transaction_cleaned!$H:$H,pg_transaction_cleaned!$O:$O,A631,pg_transaction_cleaned!$F:$F,"REFUND")</f>
        <v>0</v>
      </c>
      <c r="N631" s="23" t="str">
        <f t="shared" si="38"/>
        <v>OK</v>
      </c>
      <c r="O631" s="24">
        <f t="shared" si="39"/>
        <v>0</v>
      </c>
    </row>
    <row r="632" spans="1:15" ht="15" customHeight="1" x14ac:dyDescent="0.3">
      <c r="A632" s="23" t="s">
        <v>1691</v>
      </c>
      <c r="B632" s="38">
        <v>46288</v>
      </c>
      <c r="C632" s="23" t="s">
        <v>1692</v>
      </c>
      <c r="D632" s="23" t="s">
        <v>94</v>
      </c>
      <c r="E632" s="23" t="s">
        <v>75</v>
      </c>
      <c r="F632" s="23" t="s">
        <v>1693</v>
      </c>
      <c r="G632" s="23" t="s">
        <v>250</v>
      </c>
      <c r="H632" s="39">
        <f t="shared" si="36"/>
        <v>4097</v>
      </c>
      <c r="I632" s="23" t="str">
        <f t="shared" si="37"/>
        <v>Chennai</v>
      </c>
      <c r="J632" s="23">
        <f>COUNTIFS(pg_transaction_cleaned!$O:$O,A632,pg_transaction_cleaned!$F:$F,"CAPTURE")</f>
        <v>1</v>
      </c>
      <c r="K632" s="39">
        <f>SUMIFS(pg_transaction_cleaned!$H:$H,pg_transaction_cleaned!$O:$O,A632,pg_transaction_cleaned!$F:$F,"CAPTURE")</f>
        <v>4097</v>
      </c>
      <c r="L632" s="23">
        <f>COUNTIFS(pg_transaction_cleaned!$O:$O,A632,pg_transaction_cleaned!$F:$F,"REFUND")</f>
        <v>0</v>
      </c>
      <c r="M632" s="39">
        <f>SUMIFS(pg_transaction_cleaned!$H:$H,pg_transaction_cleaned!$O:$O,A632,pg_transaction_cleaned!$F:$F,"REFUND")</f>
        <v>0</v>
      </c>
      <c r="N632" s="23" t="str">
        <f t="shared" si="38"/>
        <v>OK</v>
      </c>
      <c r="O632" s="24">
        <f t="shared" si="39"/>
        <v>0</v>
      </c>
    </row>
    <row r="633" spans="1:15" ht="15" customHeight="1" x14ac:dyDescent="0.3">
      <c r="A633" s="23" t="s">
        <v>1694</v>
      </c>
      <c r="B633" s="38">
        <v>46283</v>
      </c>
      <c r="C633" s="23" t="s">
        <v>1695</v>
      </c>
      <c r="D633" s="23" t="s">
        <v>89</v>
      </c>
      <c r="E633" s="23" t="s">
        <v>79</v>
      </c>
      <c r="F633" s="23" t="s">
        <v>520</v>
      </c>
      <c r="G633" s="23" t="s">
        <v>318</v>
      </c>
      <c r="H633" s="39">
        <f t="shared" si="36"/>
        <v>4998</v>
      </c>
      <c r="I633" s="23" t="str">
        <f t="shared" si="37"/>
        <v>Jaipur</v>
      </c>
      <c r="J633" s="23">
        <f>COUNTIFS(pg_transaction_cleaned!$O:$O,A633,pg_transaction_cleaned!$F:$F,"CAPTURE")</f>
        <v>0</v>
      </c>
      <c r="K633" s="39">
        <f>SUMIFS(pg_transaction_cleaned!$H:$H,pg_transaction_cleaned!$O:$O,A633,pg_transaction_cleaned!$F:$F,"CAPTURE")</f>
        <v>0</v>
      </c>
      <c r="L633" s="23">
        <f>COUNTIFS(pg_transaction_cleaned!$O:$O,A633,pg_transaction_cleaned!$F:$F,"REFUND")</f>
        <v>0</v>
      </c>
      <c r="M633" s="39">
        <f>SUMIFS(pg_transaction_cleaned!$H:$H,pg_transaction_cleaned!$O:$O,A633,pg_transaction_cleaned!$F:$F,"REFUND")</f>
        <v>0</v>
      </c>
      <c r="N633" s="23" t="str">
        <f t="shared" si="38"/>
        <v>OK</v>
      </c>
      <c r="O633" s="24">
        <f t="shared" si="39"/>
        <v>0</v>
      </c>
    </row>
    <row r="634" spans="1:15" ht="15" customHeight="1" x14ac:dyDescent="0.3">
      <c r="A634" s="23" t="s">
        <v>1696</v>
      </c>
      <c r="B634" s="38">
        <v>46275</v>
      </c>
      <c r="C634" s="23" t="s">
        <v>1697</v>
      </c>
      <c r="D634" s="23" t="s">
        <v>87</v>
      </c>
      <c r="E634" s="23" t="s">
        <v>75</v>
      </c>
      <c r="F634" s="23" t="s">
        <v>717</v>
      </c>
      <c r="G634" s="23" t="s">
        <v>250</v>
      </c>
      <c r="H634" s="39">
        <f t="shared" si="36"/>
        <v>5298</v>
      </c>
      <c r="I634" s="23" t="str">
        <f t="shared" si="37"/>
        <v>Mumbai</v>
      </c>
      <c r="J634" s="23">
        <f>COUNTIFS(pg_transaction_cleaned!$O:$O,A634,pg_transaction_cleaned!$F:$F,"CAPTURE")</f>
        <v>1</v>
      </c>
      <c r="K634" s="39">
        <f>SUMIFS(pg_transaction_cleaned!$H:$H,pg_transaction_cleaned!$O:$O,A634,pg_transaction_cleaned!$F:$F,"CAPTURE")</f>
        <v>5298</v>
      </c>
      <c r="L634" s="23">
        <f>COUNTIFS(pg_transaction_cleaned!$O:$O,A634,pg_transaction_cleaned!$F:$F,"REFUND")</f>
        <v>0</v>
      </c>
      <c r="M634" s="39">
        <f>SUMIFS(pg_transaction_cleaned!$H:$H,pg_transaction_cleaned!$O:$O,A634,pg_transaction_cleaned!$F:$F,"REFUND")</f>
        <v>0</v>
      </c>
      <c r="N634" s="23" t="str">
        <f t="shared" si="38"/>
        <v>OK</v>
      </c>
      <c r="O634" s="24">
        <f t="shared" si="39"/>
        <v>0</v>
      </c>
    </row>
    <row r="635" spans="1:15" ht="15" customHeight="1" x14ac:dyDescent="0.3">
      <c r="A635" s="23" t="s">
        <v>1698</v>
      </c>
      <c r="B635" s="38">
        <v>46287</v>
      </c>
      <c r="C635" s="23" t="s">
        <v>1699</v>
      </c>
      <c r="D635" s="23" t="s">
        <v>92</v>
      </c>
      <c r="E635" s="23" t="s">
        <v>79</v>
      </c>
      <c r="F635" s="23" t="s">
        <v>329</v>
      </c>
      <c r="G635" s="23" t="s">
        <v>250</v>
      </c>
      <c r="H635" s="39">
        <f t="shared" si="36"/>
        <v>599</v>
      </c>
      <c r="I635" s="23" t="str">
        <f t="shared" si="37"/>
        <v>Hyderabad</v>
      </c>
      <c r="J635" s="23">
        <f>COUNTIFS(pg_transaction_cleaned!$O:$O,A635,pg_transaction_cleaned!$F:$F,"CAPTURE")</f>
        <v>1</v>
      </c>
      <c r="K635" s="39">
        <f>SUMIFS(pg_transaction_cleaned!$H:$H,pg_transaction_cleaned!$O:$O,A635,pg_transaction_cleaned!$F:$F,"CAPTURE")</f>
        <v>599</v>
      </c>
      <c r="L635" s="23">
        <f>COUNTIFS(pg_transaction_cleaned!$O:$O,A635,pg_transaction_cleaned!$F:$F,"REFUND")</f>
        <v>0</v>
      </c>
      <c r="M635" s="39">
        <f>SUMIFS(pg_transaction_cleaned!$H:$H,pg_transaction_cleaned!$O:$O,A635,pg_transaction_cleaned!$F:$F,"REFUND")</f>
        <v>0</v>
      </c>
      <c r="N635" s="23" t="str">
        <f t="shared" si="38"/>
        <v>OK</v>
      </c>
      <c r="O635" s="24">
        <f t="shared" si="39"/>
        <v>0</v>
      </c>
    </row>
    <row r="636" spans="1:15" ht="15" customHeight="1" x14ac:dyDescent="0.3">
      <c r="A636" s="23" t="s">
        <v>1700</v>
      </c>
      <c r="B636" s="38">
        <v>46270</v>
      </c>
      <c r="C636" s="23" t="s">
        <v>1701</v>
      </c>
      <c r="D636" s="23" t="s">
        <v>87</v>
      </c>
      <c r="E636" s="23" t="s">
        <v>75</v>
      </c>
      <c r="F636" s="23" t="s">
        <v>291</v>
      </c>
      <c r="G636" s="23" t="s">
        <v>250</v>
      </c>
      <c r="H636" s="39">
        <f t="shared" si="36"/>
        <v>3499</v>
      </c>
      <c r="I636" s="23" t="str">
        <f t="shared" si="37"/>
        <v>Mumbai</v>
      </c>
      <c r="J636" s="23">
        <f>COUNTIFS(pg_transaction_cleaned!$O:$O,A636,pg_transaction_cleaned!$F:$F,"CAPTURE")</f>
        <v>1</v>
      </c>
      <c r="K636" s="39">
        <f>SUMIFS(pg_transaction_cleaned!$H:$H,pg_transaction_cleaned!$O:$O,A636,pg_transaction_cleaned!$F:$F,"CAPTURE")</f>
        <v>3499</v>
      </c>
      <c r="L636" s="23">
        <f>COUNTIFS(pg_transaction_cleaned!$O:$O,A636,pg_transaction_cleaned!$F:$F,"REFUND")</f>
        <v>0</v>
      </c>
      <c r="M636" s="39">
        <f>SUMIFS(pg_transaction_cleaned!$H:$H,pg_transaction_cleaned!$O:$O,A636,pg_transaction_cleaned!$F:$F,"REFUND")</f>
        <v>0</v>
      </c>
      <c r="N636" s="23" t="str">
        <f t="shared" si="38"/>
        <v>OK</v>
      </c>
      <c r="O636" s="24">
        <f t="shared" si="39"/>
        <v>0</v>
      </c>
    </row>
    <row r="637" spans="1:15" ht="15" customHeight="1" x14ac:dyDescent="0.3">
      <c r="A637" s="23" t="s">
        <v>1702</v>
      </c>
      <c r="B637" s="38">
        <v>46277</v>
      </c>
      <c r="C637" s="23" t="s">
        <v>1703</v>
      </c>
      <c r="D637" s="23" t="s">
        <v>89</v>
      </c>
      <c r="E637" s="23" t="s">
        <v>79</v>
      </c>
      <c r="F637" s="23" t="s">
        <v>378</v>
      </c>
      <c r="G637" s="23" t="s">
        <v>250</v>
      </c>
      <c r="H637" s="39">
        <f t="shared" si="36"/>
        <v>2848</v>
      </c>
      <c r="I637" s="23" t="str">
        <f t="shared" si="37"/>
        <v>Jaipur</v>
      </c>
      <c r="J637" s="23">
        <f>COUNTIFS(pg_transaction_cleaned!$O:$O,A637,pg_transaction_cleaned!$F:$F,"CAPTURE")</f>
        <v>1</v>
      </c>
      <c r="K637" s="39">
        <f>SUMIFS(pg_transaction_cleaned!$H:$H,pg_transaction_cleaned!$O:$O,A637,pg_transaction_cleaned!$F:$F,"CAPTURE")</f>
        <v>2848</v>
      </c>
      <c r="L637" s="23">
        <f>COUNTIFS(pg_transaction_cleaned!$O:$O,A637,pg_transaction_cleaned!$F:$F,"REFUND")</f>
        <v>0</v>
      </c>
      <c r="M637" s="39">
        <f>SUMIFS(pg_transaction_cleaned!$H:$H,pg_transaction_cleaned!$O:$O,A637,pg_transaction_cleaned!$F:$F,"REFUND")</f>
        <v>0</v>
      </c>
      <c r="N637" s="23" t="str">
        <f t="shared" si="38"/>
        <v>OK</v>
      </c>
      <c r="O637" s="24">
        <f t="shared" si="39"/>
        <v>0</v>
      </c>
    </row>
    <row r="638" spans="1:15" ht="15" customHeight="1" x14ac:dyDescent="0.3">
      <c r="A638" s="23" t="s">
        <v>1704</v>
      </c>
      <c r="B638" s="38">
        <v>46278</v>
      </c>
      <c r="C638" s="23" t="s">
        <v>1705</v>
      </c>
      <c r="D638" s="23" t="s">
        <v>87</v>
      </c>
      <c r="E638" s="23" t="s">
        <v>79</v>
      </c>
      <c r="F638" s="23" t="s">
        <v>294</v>
      </c>
      <c r="G638" s="23" t="s">
        <v>250</v>
      </c>
      <c r="H638" s="39">
        <f t="shared" si="36"/>
        <v>1799</v>
      </c>
      <c r="I638" s="23" t="str">
        <f t="shared" si="37"/>
        <v>Mumbai</v>
      </c>
      <c r="J638" s="23">
        <f>COUNTIFS(pg_transaction_cleaned!$O:$O,A638,pg_transaction_cleaned!$F:$F,"CAPTURE")</f>
        <v>1</v>
      </c>
      <c r="K638" s="39">
        <f>SUMIFS(pg_transaction_cleaned!$H:$H,pg_transaction_cleaned!$O:$O,A638,pg_transaction_cleaned!$F:$F,"CAPTURE")</f>
        <v>1799</v>
      </c>
      <c r="L638" s="23">
        <f>COUNTIFS(pg_transaction_cleaned!$O:$O,A638,pg_transaction_cleaned!$F:$F,"REFUND")</f>
        <v>0</v>
      </c>
      <c r="M638" s="39">
        <f>SUMIFS(pg_transaction_cleaned!$H:$H,pg_transaction_cleaned!$O:$O,A638,pg_transaction_cleaned!$F:$F,"REFUND")</f>
        <v>0</v>
      </c>
      <c r="N638" s="23" t="str">
        <f t="shared" si="38"/>
        <v>OK</v>
      </c>
      <c r="O638" s="24">
        <f t="shared" si="39"/>
        <v>0</v>
      </c>
    </row>
    <row r="639" spans="1:15" ht="15" customHeight="1" x14ac:dyDescent="0.3">
      <c r="A639" s="23" t="s">
        <v>1706</v>
      </c>
      <c r="B639" s="38">
        <v>46295</v>
      </c>
      <c r="C639" s="23" t="s">
        <v>1707</v>
      </c>
      <c r="D639" s="23" t="s">
        <v>89</v>
      </c>
      <c r="E639" s="23" t="s">
        <v>77</v>
      </c>
      <c r="F639" s="23" t="s">
        <v>300</v>
      </c>
      <c r="G639" s="23" t="s">
        <v>318</v>
      </c>
      <c r="H639" s="39">
        <f t="shared" si="36"/>
        <v>2598</v>
      </c>
      <c r="I639" s="23" t="str">
        <f t="shared" si="37"/>
        <v>Jaipur</v>
      </c>
      <c r="J639" s="23">
        <f>COUNTIFS(pg_transaction_cleaned!$O:$O,A639,pg_transaction_cleaned!$F:$F,"CAPTURE")</f>
        <v>0</v>
      </c>
      <c r="K639" s="39">
        <f>SUMIFS(pg_transaction_cleaned!$H:$H,pg_transaction_cleaned!$O:$O,A639,pg_transaction_cleaned!$F:$F,"CAPTURE")</f>
        <v>0</v>
      </c>
      <c r="L639" s="23">
        <f>COUNTIFS(pg_transaction_cleaned!$O:$O,A639,pg_transaction_cleaned!$F:$F,"REFUND")</f>
        <v>0</v>
      </c>
      <c r="M639" s="39">
        <f>SUMIFS(pg_transaction_cleaned!$H:$H,pg_transaction_cleaned!$O:$O,A639,pg_transaction_cleaned!$F:$F,"REFUND")</f>
        <v>0</v>
      </c>
      <c r="N639" s="23" t="str">
        <f t="shared" si="38"/>
        <v>OK</v>
      </c>
      <c r="O639" s="24">
        <f t="shared" si="39"/>
        <v>0</v>
      </c>
    </row>
    <row r="640" spans="1:15" ht="15" customHeight="1" x14ac:dyDescent="0.3">
      <c r="A640" s="23" t="s">
        <v>1708</v>
      </c>
      <c r="B640" s="38">
        <v>46267</v>
      </c>
      <c r="C640" s="23" t="s">
        <v>1709</v>
      </c>
      <c r="D640" s="23" t="s">
        <v>95</v>
      </c>
      <c r="E640" s="23" t="s">
        <v>79</v>
      </c>
      <c r="F640" s="23" t="s">
        <v>291</v>
      </c>
      <c r="G640" s="23" t="s">
        <v>250</v>
      </c>
      <c r="H640" s="39">
        <f t="shared" si="36"/>
        <v>3499</v>
      </c>
      <c r="I640" s="23" t="str">
        <f t="shared" si="37"/>
        <v>Bengaluru</v>
      </c>
      <c r="J640" s="23">
        <f>COUNTIFS(pg_transaction_cleaned!$O:$O,A640,pg_transaction_cleaned!$F:$F,"CAPTURE")</f>
        <v>1</v>
      </c>
      <c r="K640" s="39">
        <f>SUMIFS(pg_transaction_cleaned!$H:$H,pg_transaction_cleaned!$O:$O,A640,pg_transaction_cleaned!$F:$F,"CAPTURE")</f>
        <v>3499</v>
      </c>
      <c r="L640" s="23">
        <f>COUNTIFS(pg_transaction_cleaned!$O:$O,A640,pg_transaction_cleaned!$F:$F,"REFUND")</f>
        <v>0</v>
      </c>
      <c r="M640" s="39">
        <f>SUMIFS(pg_transaction_cleaned!$H:$H,pg_transaction_cleaned!$O:$O,A640,pg_transaction_cleaned!$F:$F,"REFUND")</f>
        <v>0</v>
      </c>
      <c r="N640" s="23" t="str">
        <f t="shared" si="38"/>
        <v>OK</v>
      </c>
      <c r="O640" s="24">
        <f t="shared" si="39"/>
        <v>0</v>
      </c>
    </row>
    <row r="641" spans="1:15" ht="15" customHeight="1" x14ac:dyDescent="0.3">
      <c r="A641" s="23" t="s">
        <v>1710</v>
      </c>
      <c r="B641" s="38">
        <v>46295</v>
      </c>
      <c r="C641" s="23" t="s">
        <v>1711</v>
      </c>
      <c r="D641" s="23" t="s">
        <v>95</v>
      </c>
      <c r="E641" s="23" t="s">
        <v>79</v>
      </c>
      <c r="F641" s="23" t="s">
        <v>1712</v>
      </c>
      <c r="G641" s="23" t="s">
        <v>250</v>
      </c>
      <c r="H641" s="39">
        <f t="shared" si="36"/>
        <v>9997</v>
      </c>
      <c r="I641" s="23" t="str">
        <f t="shared" si="37"/>
        <v>Bengaluru</v>
      </c>
      <c r="J641" s="23">
        <f>COUNTIFS(pg_transaction_cleaned!$O:$O,A641,pg_transaction_cleaned!$F:$F,"CAPTURE")</f>
        <v>1</v>
      </c>
      <c r="K641" s="39">
        <f>SUMIFS(pg_transaction_cleaned!$H:$H,pg_transaction_cleaned!$O:$O,A641,pg_transaction_cleaned!$F:$F,"CAPTURE")</f>
        <v>9997</v>
      </c>
      <c r="L641" s="23">
        <f>COUNTIFS(pg_transaction_cleaned!$O:$O,A641,pg_transaction_cleaned!$F:$F,"REFUND")</f>
        <v>0</v>
      </c>
      <c r="M641" s="39">
        <f>SUMIFS(pg_transaction_cleaned!$H:$H,pg_transaction_cleaned!$O:$O,A641,pg_transaction_cleaned!$F:$F,"REFUND")</f>
        <v>0</v>
      </c>
      <c r="N641" s="23" t="str">
        <f t="shared" si="38"/>
        <v>OK</v>
      </c>
      <c r="O641" s="24">
        <f t="shared" si="39"/>
        <v>0</v>
      </c>
    </row>
    <row r="642" spans="1:15" ht="15" customHeight="1" x14ac:dyDescent="0.3">
      <c r="A642" s="23" t="s">
        <v>1713</v>
      </c>
      <c r="B642" s="38">
        <v>46290</v>
      </c>
      <c r="C642" s="23" t="s">
        <v>1714</v>
      </c>
      <c r="D642" s="23" t="s">
        <v>86</v>
      </c>
      <c r="E642" s="23" t="s">
        <v>79</v>
      </c>
      <c r="F642" s="23" t="s">
        <v>1391</v>
      </c>
      <c r="G642" s="23" t="s">
        <v>250</v>
      </c>
      <c r="H642" s="39">
        <f t="shared" ref="H642:H705" si="40">VALUE(SUBSTITUTE(F642,",",""))</f>
        <v>2897</v>
      </c>
      <c r="I642" s="23" t="str">
        <f t="shared" ref="I642:I705" si="41">IF(TRIM(D642)="","Unknown",TRIM(D642))</f>
        <v>Delhi</v>
      </c>
      <c r="J642" s="23">
        <f>COUNTIFS(pg_transaction_cleaned!$O:$O,A642,pg_transaction_cleaned!$F:$F,"CAPTURE")</f>
        <v>1</v>
      </c>
      <c r="K642" s="39">
        <f>SUMIFS(pg_transaction_cleaned!$H:$H,pg_transaction_cleaned!$O:$O,A642,pg_transaction_cleaned!$F:$F,"CAPTURE")</f>
        <v>2897</v>
      </c>
      <c r="L642" s="23">
        <f>COUNTIFS(pg_transaction_cleaned!$O:$O,A642,pg_transaction_cleaned!$F:$F,"REFUND")</f>
        <v>0</v>
      </c>
      <c r="M642" s="39">
        <f>SUMIFS(pg_transaction_cleaned!$H:$H,pg_transaction_cleaned!$O:$O,A642,pg_transaction_cleaned!$F:$F,"REFUND")</f>
        <v>0</v>
      </c>
      <c r="N642" s="23" t="str">
        <f t="shared" ref="N642:N705" si="42">IF(AND(G642="Paid",J642=0),"Paid, no payment",IF(AND(OR(G642="Failed",G642="Cancelled"),J642&gt;0),"Payment on failed/cancelled",IF(J642&gt;1,"Duplicate charge",IF(AND(J642=1,ROUND(K642-H642,2)&lt;&gt;0),"Amount difference",IF(AND(G642="Refunded",L642=0),"Refunded, no refund",IF(AND(G642&lt;&gt;"Refunded",L642&gt;0),"Refund, order not Refunded",IF(AND(L642&gt;0,ROUND(M642-H642,2)&lt;&gt;0),"Refund amount differs","OK")))))))</f>
        <v>OK</v>
      </c>
      <c r="O642" s="24">
        <f t="shared" ref="O642:O705" si="43">IF(N642="OK",0,IF(N642="Paid, no payment",H642,IF(N642="Payment on failed/cancelled",K642,IF(OR(N642="Duplicate charge",N642="Amount difference"),K642-H642,IF(N642="Refunded, no refund",H642,M642)))))</f>
        <v>0</v>
      </c>
    </row>
    <row r="643" spans="1:15" ht="15" customHeight="1" x14ac:dyDescent="0.3">
      <c r="A643" s="23" t="s">
        <v>1715</v>
      </c>
      <c r="B643" s="38">
        <v>46289</v>
      </c>
      <c r="C643" s="23" t="s">
        <v>1716</v>
      </c>
      <c r="D643" s="23" t="s">
        <v>86</v>
      </c>
      <c r="E643" s="23" t="s">
        <v>75</v>
      </c>
      <c r="F643" s="23" t="s">
        <v>423</v>
      </c>
      <c r="G643" s="23" t="s">
        <v>250</v>
      </c>
      <c r="H643" s="39">
        <f t="shared" si="40"/>
        <v>1648</v>
      </c>
      <c r="I643" s="23" t="str">
        <f t="shared" si="41"/>
        <v>Delhi</v>
      </c>
      <c r="J643" s="23">
        <f>COUNTIFS(pg_transaction_cleaned!$O:$O,A643,pg_transaction_cleaned!$F:$F,"CAPTURE")</f>
        <v>1</v>
      </c>
      <c r="K643" s="39">
        <f>SUMIFS(pg_transaction_cleaned!$H:$H,pg_transaction_cleaned!$O:$O,A643,pg_transaction_cleaned!$F:$F,"CAPTURE")</f>
        <v>1648</v>
      </c>
      <c r="L643" s="23">
        <f>COUNTIFS(pg_transaction_cleaned!$O:$O,A643,pg_transaction_cleaned!$F:$F,"REFUND")</f>
        <v>0</v>
      </c>
      <c r="M643" s="39">
        <f>SUMIFS(pg_transaction_cleaned!$H:$H,pg_transaction_cleaned!$O:$O,A643,pg_transaction_cleaned!$F:$F,"REFUND")</f>
        <v>0</v>
      </c>
      <c r="N643" s="23" t="str">
        <f t="shared" si="42"/>
        <v>OK</v>
      </c>
      <c r="O643" s="24">
        <f t="shared" si="43"/>
        <v>0</v>
      </c>
    </row>
    <row r="644" spans="1:15" ht="15" customHeight="1" x14ac:dyDescent="0.3">
      <c r="A644" s="23" t="s">
        <v>1717</v>
      </c>
      <c r="B644" s="38">
        <v>46271</v>
      </c>
      <c r="C644" s="23" t="s">
        <v>1718</v>
      </c>
      <c r="D644" s="23" t="s">
        <v>87</v>
      </c>
      <c r="E644" s="23" t="s">
        <v>75</v>
      </c>
      <c r="F644" s="23" t="s">
        <v>655</v>
      </c>
      <c r="G644" s="23" t="s">
        <v>250</v>
      </c>
      <c r="H644" s="39">
        <f t="shared" si="40"/>
        <v>8798</v>
      </c>
      <c r="I644" s="23" t="str">
        <f t="shared" si="41"/>
        <v>Mumbai</v>
      </c>
      <c r="J644" s="23">
        <f>COUNTIFS(pg_transaction_cleaned!$O:$O,A644,pg_transaction_cleaned!$F:$F,"CAPTURE")</f>
        <v>1</v>
      </c>
      <c r="K644" s="39">
        <f>SUMIFS(pg_transaction_cleaned!$H:$H,pg_transaction_cleaned!$O:$O,A644,pg_transaction_cleaned!$F:$F,"CAPTURE")</f>
        <v>8798</v>
      </c>
      <c r="L644" s="23">
        <f>COUNTIFS(pg_transaction_cleaned!$O:$O,A644,pg_transaction_cleaned!$F:$F,"REFUND")</f>
        <v>0</v>
      </c>
      <c r="M644" s="39">
        <f>SUMIFS(pg_transaction_cleaned!$H:$H,pg_transaction_cleaned!$O:$O,A644,pg_transaction_cleaned!$F:$F,"REFUND")</f>
        <v>0</v>
      </c>
      <c r="N644" s="23" t="str">
        <f t="shared" si="42"/>
        <v>OK</v>
      </c>
      <c r="O644" s="24">
        <f t="shared" si="43"/>
        <v>0</v>
      </c>
    </row>
    <row r="645" spans="1:15" ht="15" customHeight="1" x14ac:dyDescent="0.3">
      <c r="A645" s="23" t="s">
        <v>1719</v>
      </c>
      <c r="B645" s="38">
        <v>46270</v>
      </c>
      <c r="C645" s="23" t="s">
        <v>1720</v>
      </c>
      <c r="D645" s="23" t="s">
        <v>92</v>
      </c>
      <c r="E645" s="23" t="s">
        <v>77</v>
      </c>
      <c r="F645" s="23" t="s">
        <v>271</v>
      </c>
      <c r="G645" s="23" t="s">
        <v>250</v>
      </c>
      <c r="H645" s="39">
        <f t="shared" si="40"/>
        <v>2499</v>
      </c>
      <c r="I645" s="23" t="str">
        <f t="shared" si="41"/>
        <v>Hyderabad</v>
      </c>
      <c r="J645" s="23">
        <f>COUNTIFS(pg_transaction_cleaned!$O:$O,A645,pg_transaction_cleaned!$F:$F,"CAPTURE")</f>
        <v>1</v>
      </c>
      <c r="K645" s="39">
        <f>SUMIFS(pg_transaction_cleaned!$H:$H,pg_transaction_cleaned!$O:$O,A645,pg_transaction_cleaned!$F:$F,"CAPTURE")</f>
        <v>2499</v>
      </c>
      <c r="L645" s="23">
        <f>COUNTIFS(pg_transaction_cleaned!$O:$O,A645,pg_transaction_cleaned!$F:$F,"REFUND")</f>
        <v>0</v>
      </c>
      <c r="M645" s="39">
        <f>SUMIFS(pg_transaction_cleaned!$H:$H,pg_transaction_cleaned!$O:$O,A645,pg_transaction_cleaned!$F:$F,"REFUND")</f>
        <v>0</v>
      </c>
      <c r="N645" s="23" t="str">
        <f t="shared" si="42"/>
        <v>OK</v>
      </c>
      <c r="O645" s="24">
        <f t="shared" si="43"/>
        <v>0</v>
      </c>
    </row>
    <row r="646" spans="1:15" ht="15" customHeight="1" x14ac:dyDescent="0.3">
      <c r="A646" s="23" t="s">
        <v>1721</v>
      </c>
      <c r="B646" s="38">
        <v>46281</v>
      </c>
      <c r="C646" s="23" t="s">
        <v>1722</v>
      </c>
      <c r="D646" s="23" t="s">
        <v>95</v>
      </c>
      <c r="E646" s="23" t="s">
        <v>79</v>
      </c>
      <c r="F646" s="23" t="s">
        <v>553</v>
      </c>
      <c r="G646" s="23" t="s">
        <v>250</v>
      </c>
      <c r="H646" s="39">
        <f t="shared" si="40"/>
        <v>2798</v>
      </c>
      <c r="I646" s="23" t="str">
        <f t="shared" si="41"/>
        <v>Bengaluru</v>
      </c>
      <c r="J646" s="23">
        <f>COUNTIFS(pg_transaction_cleaned!$O:$O,A646,pg_transaction_cleaned!$F:$F,"CAPTURE")</f>
        <v>1</v>
      </c>
      <c r="K646" s="39">
        <f>SUMIFS(pg_transaction_cleaned!$H:$H,pg_transaction_cleaned!$O:$O,A646,pg_transaction_cleaned!$F:$F,"CAPTURE")</f>
        <v>2649</v>
      </c>
      <c r="L646" s="23">
        <f>COUNTIFS(pg_transaction_cleaned!$O:$O,A646,pg_transaction_cleaned!$F:$F,"REFUND")</f>
        <v>0</v>
      </c>
      <c r="M646" s="39">
        <f>SUMIFS(pg_transaction_cleaned!$H:$H,pg_transaction_cleaned!$O:$O,A646,pg_transaction_cleaned!$F:$F,"REFUND")</f>
        <v>0</v>
      </c>
      <c r="N646" s="23" t="str">
        <f t="shared" si="42"/>
        <v>Amount difference</v>
      </c>
      <c r="O646" s="24">
        <f t="shared" si="43"/>
        <v>-149</v>
      </c>
    </row>
    <row r="647" spans="1:15" ht="15" customHeight="1" x14ac:dyDescent="0.3">
      <c r="A647" s="23" t="s">
        <v>1723</v>
      </c>
      <c r="B647" s="38">
        <v>46271</v>
      </c>
      <c r="C647" s="23" t="s">
        <v>1724</v>
      </c>
      <c r="D647" s="23" t="s">
        <v>93</v>
      </c>
      <c r="E647" s="23" t="s">
        <v>75</v>
      </c>
      <c r="F647" s="23" t="s">
        <v>1463</v>
      </c>
      <c r="G647" s="23" t="s">
        <v>250</v>
      </c>
      <c r="H647" s="39">
        <f t="shared" si="40"/>
        <v>5348</v>
      </c>
      <c r="I647" s="23" t="str">
        <f t="shared" si="41"/>
        <v>Kolkata</v>
      </c>
      <c r="J647" s="23">
        <f>COUNTIFS(pg_transaction_cleaned!$O:$O,A647,pg_transaction_cleaned!$F:$F,"CAPTURE")</f>
        <v>1</v>
      </c>
      <c r="K647" s="39">
        <f>SUMIFS(pg_transaction_cleaned!$H:$H,pg_transaction_cleaned!$O:$O,A647,pg_transaction_cleaned!$F:$F,"CAPTURE")</f>
        <v>5348</v>
      </c>
      <c r="L647" s="23">
        <f>COUNTIFS(pg_transaction_cleaned!$O:$O,A647,pg_transaction_cleaned!$F:$F,"REFUND")</f>
        <v>0</v>
      </c>
      <c r="M647" s="39">
        <f>SUMIFS(pg_transaction_cleaned!$H:$H,pg_transaction_cleaned!$O:$O,A647,pg_transaction_cleaned!$F:$F,"REFUND")</f>
        <v>0</v>
      </c>
      <c r="N647" s="23" t="str">
        <f t="shared" si="42"/>
        <v>OK</v>
      </c>
      <c r="O647" s="24">
        <f t="shared" si="43"/>
        <v>0</v>
      </c>
    </row>
    <row r="648" spans="1:15" ht="15" customHeight="1" x14ac:dyDescent="0.3">
      <c r="A648" s="23" t="s">
        <v>1725</v>
      </c>
      <c r="B648" s="38">
        <v>46268</v>
      </c>
      <c r="C648" s="23" t="s">
        <v>1726</v>
      </c>
      <c r="D648" s="23" t="s">
        <v>94</v>
      </c>
      <c r="E648" s="23" t="s">
        <v>79</v>
      </c>
      <c r="F648" s="23" t="s">
        <v>329</v>
      </c>
      <c r="G648" s="23" t="s">
        <v>365</v>
      </c>
      <c r="H648" s="39">
        <f t="shared" si="40"/>
        <v>599</v>
      </c>
      <c r="I648" s="23" t="str">
        <f t="shared" si="41"/>
        <v>Chennai</v>
      </c>
      <c r="J648" s="23">
        <f>COUNTIFS(pg_transaction_cleaned!$O:$O,A648,pg_transaction_cleaned!$F:$F,"CAPTURE")</f>
        <v>0</v>
      </c>
      <c r="K648" s="39">
        <f>SUMIFS(pg_transaction_cleaned!$H:$H,pg_transaction_cleaned!$O:$O,A648,pg_transaction_cleaned!$F:$F,"CAPTURE")</f>
        <v>0</v>
      </c>
      <c r="L648" s="23">
        <f>COUNTIFS(pg_transaction_cleaned!$O:$O,A648,pg_transaction_cleaned!$F:$F,"REFUND")</f>
        <v>0</v>
      </c>
      <c r="M648" s="39">
        <f>SUMIFS(pg_transaction_cleaned!$H:$H,pg_transaction_cleaned!$O:$O,A648,pg_transaction_cleaned!$F:$F,"REFUND")</f>
        <v>0</v>
      </c>
      <c r="N648" s="23" t="str">
        <f t="shared" si="42"/>
        <v>OK</v>
      </c>
      <c r="O648" s="24">
        <f t="shared" si="43"/>
        <v>0</v>
      </c>
    </row>
    <row r="649" spans="1:15" ht="15" customHeight="1" x14ac:dyDescent="0.3">
      <c r="A649" s="23" t="s">
        <v>1727</v>
      </c>
      <c r="B649" s="38">
        <v>46275</v>
      </c>
      <c r="C649" s="23" t="s">
        <v>1728</v>
      </c>
      <c r="D649" s="23" t="s">
        <v>87</v>
      </c>
      <c r="E649" s="23" t="s">
        <v>75</v>
      </c>
      <c r="F649" s="23" t="s">
        <v>297</v>
      </c>
      <c r="G649" s="23" t="s">
        <v>250</v>
      </c>
      <c r="H649" s="39">
        <f t="shared" si="40"/>
        <v>4999</v>
      </c>
      <c r="I649" s="23" t="str">
        <f t="shared" si="41"/>
        <v>Mumbai</v>
      </c>
      <c r="J649" s="23">
        <f>COUNTIFS(pg_transaction_cleaned!$O:$O,A649,pg_transaction_cleaned!$F:$F,"CAPTURE")</f>
        <v>1</v>
      </c>
      <c r="K649" s="39">
        <f>SUMIFS(pg_transaction_cleaned!$H:$H,pg_transaction_cleaned!$O:$O,A649,pg_transaction_cleaned!$F:$F,"CAPTURE")</f>
        <v>4999</v>
      </c>
      <c r="L649" s="23">
        <f>COUNTIFS(pg_transaction_cleaned!$O:$O,A649,pg_transaction_cleaned!$F:$F,"REFUND")</f>
        <v>0</v>
      </c>
      <c r="M649" s="39">
        <f>SUMIFS(pg_transaction_cleaned!$H:$H,pg_transaction_cleaned!$O:$O,A649,pg_transaction_cleaned!$F:$F,"REFUND")</f>
        <v>0</v>
      </c>
      <c r="N649" s="23" t="str">
        <f t="shared" si="42"/>
        <v>OK</v>
      </c>
      <c r="O649" s="24">
        <f t="shared" si="43"/>
        <v>0</v>
      </c>
    </row>
    <row r="650" spans="1:15" ht="15" customHeight="1" x14ac:dyDescent="0.3">
      <c r="A650" s="23" t="s">
        <v>1729</v>
      </c>
      <c r="B650" s="38">
        <v>46269</v>
      </c>
      <c r="C650" s="23" t="s">
        <v>1730</v>
      </c>
      <c r="D650" s="23" t="s">
        <v>95</v>
      </c>
      <c r="E650" s="23" t="s">
        <v>79</v>
      </c>
      <c r="F650" s="23" t="s">
        <v>534</v>
      </c>
      <c r="G650" s="23" t="s">
        <v>365</v>
      </c>
      <c r="H650" s="39">
        <f t="shared" si="40"/>
        <v>3097</v>
      </c>
      <c r="I650" s="23" t="str">
        <f t="shared" si="41"/>
        <v>Bengaluru</v>
      </c>
      <c r="J650" s="23">
        <f>COUNTIFS(pg_transaction_cleaned!$O:$O,A650,pg_transaction_cleaned!$F:$F,"CAPTURE")</f>
        <v>0</v>
      </c>
      <c r="K650" s="39">
        <f>SUMIFS(pg_transaction_cleaned!$H:$H,pg_transaction_cleaned!$O:$O,A650,pg_transaction_cleaned!$F:$F,"CAPTURE")</f>
        <v>0</v>
      </c>
      <c r="L650" s="23">
        <f>COUNTIFS(pg_transaction_cleaned!$O:$O,A650,pg_transaction_cleaned!$F:$F,"REFUND")</f>
        <v>0</v>
      </c>
      <c r="M650" s="39">
        <f>SUMIFS(pg_transaction_cleaned!$H:$H,pg_transaction_cleaned!$O:$O,A650,pg_transaction_cleaned!$F:$F,"REFUND")</f>
        <v>0</v>
      </c>
      <c r="N650" s="23" t="str">
        <f t="shared" si="42"/>
        <v>OK</v>
      </c>
      <c r="O650" s="24">
        <f t="shared" si="43"/>
        <v>0</v>
      </c>
    </row>
    <row r="651" spans="1:15" ht="15" customHeight="1" x14ac:dyDescent="0.3">
      <c r="A651" s="23" t="s">
        <v>1731</v>
      </c>
      <c r="B651" s="38">
        <v>46267</v>
      </c>
      <c r="C651" s="23" t="s">
        <v>1732</v>
      </c>
      <c r="D651" s="23" t="s">
        <v>92</v>
      </c>
      <c r="E651" s="23" t="s">
        <v>75</v>
      </c>
      <c r="F651" s="23" t="s">
        <v>1206</v>
      </c>
      <c r="G651" s="23" t="s">
        <v>318</v>
      </c>
      <c r="H651" s="39">
        <f t="shared" si="40"/>
        <v>7297</v>
      </c>
      <c r="I651" s="23" t="str">
        <f t="shared" si="41"/>
        <v>Hyderabad</v>
      </c>
      <c r="J651" s="23">
        <f>COUNTIFS(pg_transaction_cleaned!$O:$O,A651,pg_transaction_cleaned!$F:$F,"CAPTURE")</f>
        <v>0</v>
      </c>
      <c r="K651" s="39">
        <f>SUMIFS(pg_transaction_cleaned!$H:$H,pg_transaction_cleaned!$O:$O,A651,pg_transaction_cleaned!$F:$F,"CAPTURE")</f>
        <v>0</v>
      </c>
      <c r="L651" s="23">
        <f>COUNTIFS(pg_transaction_cleaned!$O:$O,A651,pg_transaction_cleaned!$F:$F,"REFUND")</f>
        <v>0</v>
      </c>
      <c r="M651" s="39">
        <f>SUMIFS(pg_transaction_cleaned!$H:$H,pg_transaction_cleaned!$O:$O,A651,pg_transaction_cleaned!$F:$F,"REFUND")</f>
        <v>0</v>
      </c>
      <c r="N651" s="23" t="str">
        <f t="shared" si="42"/>
        <v>OK</v>
      </c>
      <c r="O651" s="24">
        <f t="shared" si="43"/>
        <v>0</v>
      </c>
    </row>
    <row r="652" spans="1:15" ht="15" customHeight="1" x14ac:dyDescent="0.3">
      <c r="A652" s="23" t="s">
        <v>1733</v>
      </c>
      <c r="B652" s="38">
        <v>46266</v>
      </c>
      <c r="C652" s="23" t="s">
        <v>1734</v>
      </c>
      <c r="D652" s="23" t="s">
        <v>90</v>
      </c>
      <c r="E652" s="23" t="s">
        <v>81</v>
      </c>
      <c r="F652" s="23" t="s">
        <v>1735</v>
      </c>
      <c r="G652" s="23" t="s">
        <v>250</v>
      </c>
      <c r="H652" s="39">
        <f t="shared" si="40"/>
        <v>12998</v>
      </c>
      <c r="I652" s="23" t="str">
        <f t="shared" si="41"/>
        <v>Ahmedabad</v>
      </c>
      <c r="J652" s="23">
        <f>COUNTIFS(pg_transaction_cleaned!$O:$O,A652,pg_transaction_cleaned!$F:$F,"CAPTURE")</f>
        <v>1</v>
      </c>
      <c r="K652" s="39">
        <f>SUMIFS(pg_transaction_cleaned!$H:$H,pg_transaction_cleaned!$O:$O,A652,pg_transaction_cleaned!$F:$F,"CAPTURE")</f>
        <v>12998</v>
      </c>
      <c r="L652" s="23">
        <f>COUNTIFS(pg_transaction_cleaned!$O:$O,A652,pg_transaction_cleaned!$F:$F,"REFUND")</f>
        <v>0</v>
      </c>
      <c r="M652" s="39">
        <f>SUMIFS(pg_transaction_cleaned!$H:$H,pg_transaction_cleaned!$O:$O,A652,pg_transaction_cleaned!$F:$F,"REFUND")</f>
        <v>0</v>
      </c>
      <c r="N652" s="23" t="str">
        <f t="shared" si="42"/>
        <v>OK</v>
      </c>
      <c r="O652" s="24">
        <f t="shared" si="43"/>
        <v>0</v>
      </c>
    </row>
    <row r="653" spans="1:15" ht="15" customHeight="1" x14ac:dyDescent="0.3">
      <c r="A653" s="23" t="s">
        <v>1736</v>
      </c>
      <c r="B653" s="38">
        <v>46267</v>
      </c>
      <c r="C653" s="23" t="s">
        <v>1737</v>
      </c>
      <c r="D653" s="23" t="s">
        <v>86</v>
      </c>
      <c r="E653" s="23" t="s">
        <v>75</v>
      </c>
      <c r="F653" s="23" t="s">
        <v>396</v>
      </c>
      <c r="G653" s="23" t="s">
        <v>250</v>
      </c>
      <c r="H653" s="39">
        <f t="shared" si="40"/>
        <v>2999</v>
      </c>
      <c r="I653" s="23" t="str">
        <f t="shared" si="41"/>
        <v>Delhi</v>
      </c>
      <c r="J653" s="23">
        <f>COUNTIFS(pg_transaction_cleaned!$O:$O,A653,pg_transaction_cleaned!$F:$F,"CAPTURE")</f>
        <v>1</v>
      </c>
      <c r="K653" s="39">
        <f>SUMIFS(pg_transaction_cleaned!$H:$H,pg_transaction_cleaned!$O:$O,A653,pg_transaction_cleaned!$F:$F,"CAPTURE")</f>
        <v>2999</v>
      </c>
      <c r="L653" s="23">
        <f>COUNTIFS(pg_transaction_cleaned!$O:$O,A653,pg_transaction_cleaned!$F:$F,"REFUND")</f>
        <v>0</v>
      </c>
      <c r="M653" s="39">
        <f>SUMIFS(pg_transaction_cleaned!$H:$H,pg_transaction_cleaned!$O:$O,A653,pg_transaction_cleaned!$F:$F,"REFUND")</f>
        <v>0</v>
      </c>
      <c r="N653" s="23" t="str">
        <f t="shared" si="42"/>
        <v>OK</v>
      </c>
      <c r="O653" s="24">
        <f t="shared" si="43"/>
        <v>0</v>
      </c>
    </row>
    <row r="654" spans="1:15" ht="15" customHeight="1" x14ac:dyDescent="0.3">
      <c r="A654" s="23" t="s">
        <v>1738</v>
      </c>
      <c r="B654" s="38">
        <v>46290</v>
      </c>
      <c r="C654" s="23" t="s">
        <v>1739</v>
      </c>
      <c r="D654" s="23" t="s">
        <v>95</v>
      </c>
      <c r="E654" s="23" t="s">
        <v>75</v>
      </c>
      <c r="F654" s="23" t="s">
        <v>256</v>
      </c>
      <c r="G654" s="23" t="s">
        <v>250</v>
      </c>
      <c r="H654" s="39">
        <f t="shared" si="40"/>
        <v>2098</v>
      </c>
      <c r="I654" s="23" t="str">
        <f t="shared" si="41"/>
        <v>Bengaluru</v>
      </c>
      <c r="J654" s="23">
        <f>COUNTIFS(pg_transaction_cleaned!$O:$O,A654,pg_transaction_cleaned!$F:$F,"CAPTURE")</f>
        <v>1</v>
      </c>
      <c r="K654" s="39">
        <f>SUMIFS(pg_transaction_cleaned!$H:$H,pg_transaction_cleaned!$O:$O,A654,pg_transaction_cleaned!$F:$F,"CAPTURE")</f>
        <v>2098</v>
      </c>
      <c r="L654" s="23">
        <f>COUNTIFS(pg_transaction_cleaned!$O:$O,A654,pg_transaction_cleaned!$F:$F,"REFUND")</f>
        <v>0</v>
      </c>
      <c r="M654" s="39">
        <f>SUMIFS(pg_transaction_cleaned!$H:$H,pg_transaction_cleaned!$O:$O,A654,pg_transaction_cleaned!$F:$F,"REFUND")</f>
        <v>0</v>
      </c>
      <c r="N654" s="23" t="str">
        <f t="shared" si="42"/>
        <v>OK</v>
      </c>
      <c r="O654" s="24">
        <f t="shared" si="43"/>
        <v>0</v>
      </c>
    </row>
    <row r="655" spans="1:15" ht="15" customHeight="1" x14ac:dyDescent="0.3">
      <c r="A655" s="23" t="s">
        <v>1740</v>
      </c>
      <c r="B655" s="38">
        <v>46293</v>
      </c>
      <c r="C655" s="23" t="s">
        <v>1741</v>
      </c>
      <c r="D655" s="23" t="s">
        <v>91</v>
      </c>
      <c r="E655" s="23" t="s">
        <v>81</v>
      </c>
      <c r="F655" s="23" t="s">
        <v>1153</v>
      </c>
      <c r="G655" s="23" t="s">
        <v>250</v>
      </c>
      <c r="H655" s="39">
        <f t="shared" si="40"/>
        <v>9647</v>
      </c>
      <c r="I655" s="23" t="str">
        <f t="shared" si="41"/>
        <v>Pune</v>
      </c>
      <c r="J655" s="23">
        <f>COUNTIFS(pg_transaction_cleaned!$O:$O,A655,pg_transaction_cleaned!$F:$F,"CAPTURE")</f>
        <v>1</v>
      </c>
      <c r="K655" s="39">
        <f>SUMIFS(pg_transaction_cleaned!$H:$H,pg_transaction_cleaned!$O:$O,A655,pg_transaction_cleaned!$F:$F,"CAPTURE")</f>
        <v>9647</v>
      </c>
      <c r="L655" s="23">
        <f>COUNTIFS(pg_transaction_cleaned!$O:$O,A655,pg_transaction_cleaned!$F:$F,"REFUND")</f>
        <v>0</v>
      </c>
      <c r="M655" s="39">
        <f>SUMIFS(pg_transaction_cleaned!$H:$H,pg_transaction_cleaned!$O:$O,A655,pg_transaction_cleaned!$F:$F,"REFUND")</f>
        <v>0</v>
      </c>
      <c r="N655" s="23" t="str">
        <f t="shared" si="42"/>
        <v>OK</v>
      </c>
      <c r="O655" s="24">
        <f t="shared" si="43"/>
        <v>0</v>
      </c>
    </row>
    <row r="656" spans="1:15" ht="15" customHeight="1" x14ac:dyDescent="0.3">
      <c r="A656" s="23" t="s">
        <v>1742</v>
      </c>
      <c r="B656" s="38">
        <v>46289</v>
      </c>
      <c r="C656" s="23" t="s">
        <v>1743</v>
      </c>
      <c r="D656" s="23" t="s">
        <v>87</v>
      </c>
      <c r="E656" s="23" t="s">
        <v>75</v>
      </c>
      <c r="F656" s="23" t="s">
        <v>1341</v>
      </c>
      <c r="G656" s="23" t="s">
        <v>250</v>
      </c>
      <c r="H656" s="39">
        <f t="shared" si="40"/>
        <v>2297</v>
      </c>
      <c r="I656" s="23" t="str">
        <f t="shared" si="41"/>
        <v>Mumbai</v>
      </c>
      <c r="J656" s="23">
        <f>COUNTIFS(pg_transaction_cleaned!$O:$O,A656,pg_transaction_cleaned!$F:$F,"CAPTURE")</f>
        <v>1</v>
      </c>
      <c r="K656" s="39">
        <f>SUMIFS(pg_transaction_cleaned!$H:$H,pg_transaction_cleaned!$O:$O,A656,pg_transaction_cleaned!$F:$F,"CAPTURE")</f>
        <v>2297</v>
      </c>
      <c r="L656" s="23">
        <f>COUNTIFS(pg_transaction_cleaned!$O:$O,A656,pg_transaction_cleaned!$F:$F,"REFUND")</f>
        <v>0</v>
      </c>
      <c r="M656" s="39">
        <f>SUMIFS(pg_transaction_cleaned!$H:$H,pg_transaction_cleaned!$O:$O,A656,pg_transaction_cleaned!$F:$F,"REFUND")</f>
        <v>0</v>
      </c>
      <c r="N656" s="23" t="str">
        <f t="shared" si="42"/>
        <v>OK</v>
      </c>
      <c r="O656" s="24">
        <f t="shared" si="43"/>
        <v>0</v>
      </c>
    </row>
    <row r="657" spans="1:15" ht="15" customHeight="1" x14ac:dyDescent="0.3">
      <c r="A657" s="23" t="s">
        <v>1744</v>
      </c>
      <c r="B657" s="38">
        <v>46271</v>
      </c>
      <c r="C657" s="23" t="s">
        <v>1745</v>
      </c>
      <c r="D657" s="23" t="s">
        <v>93</v>
      </c>
      <c r="E657" s="23" t="s">
        <v>81</v>
      </c>
      <c r="F657" s="23" t="s">
        <v>294</v>
      </c>
      <c r="G657" s="23" t="s">
        <v>250</v>
      </c>
      <c r="H657" s="39">
        <f t="shared" si="40"/>
        <v>1799</v>
      </c>
      <c r="I657" s="23" t="str">
        <f t="shared" si="41"/>
        <v>Kolkata</v>
      </c>
      <c r="J657" s="23">
        <f>COUNTIFS(pg_transaction_cleaned!$O:$O,A657,pg_transaction_cleaned!$F:$F,"CAPTURE")</f>
        <v>1</v>
      </c>
      <c r="K657" s="39">
        <f>SUMIFS(pg_transaction_cleaned!$H:$H,pg_transaction_cleaned!$O:$O,A657,pg_transaction_cleaned!$F:$F,"CAPTURE")</f>
        <v>1799</v>
      </c>
      <c r="L657" s="23">
        <f>COUNTIFS(pg_transaction_cleaned!$O:$O,A657,pg_transaction_cleaned!$F:$F,"REFUND")</f>
        <v>0</v>
      </c>
      <c r="M657" s="39">
        <f>SUMIFS(pg_transaction_cleaned!$H:$H,pg_transaction_cleaned!$O:$O,A657,pg_transaction_cleaned!$F:$F,"REFUND")</f>
        <v>0</v>
      </c>
      <c r="N657" s="23" t="str">
        <f t="shared" si="42"/>
        <v>OK</v>
      </c>
      <c r="O657" s="24">
        <f t="shared" si="43"/>
        <v>0</v>
      </c>
    </row>
    <row r="658" spans="1:15" ht="15" customHeight="1" x14ac:dyDescent="0.3">
      <c r="A658" s="23" t="s">
        <v>1746</v>
      </c>
      <c r="B658" s="38">
        <v>46278</v>
      </c>
      <c r="C658" s="23" t="s">
        <v>1747</v>
      </c>
      <c r="D658" s="23" t="s">
        <v>91</v>
      </c>
      <c r="E658" s="23" t="s">
        <v>75</v>
      </c>
      <c r="F658" s="23" t="s">
        <v>288</v>
      </c>
      <c r="G658" s="23" t="s">
        <v>250</v>
      </c>
      <c r="H658" s="39">
        <f t="shared" si="40"/>
        <v>4298</v>
      </c>
      <c r="I658" s="23" t="str">
        <f t="shared" si="41"/>
        <v>Pune</v>
      </c>
      <c r="J658" s="23">
        <f>COUNTIFS(pg_transaction_cleaned!$O:$O,A658,pg_transaction_cleaned!$F:$F,"CAPTURE")</f>
        <v>1</v>
      </c>
      <c r="K658" s="39">
        <f>SUMIFS(pg_transaction_cleaned!$H:$H,pg_transaction_cleaned!$O:$O,A658,pg_transaction_cleaned!$F:$F,"CAPTURE")</f>
        <v>4298</v>
      </c>
      <c r="L658" s="23">
        <f>COUNTIFS(pg_transaction_cleaned!$O:$O,A658,pg_transaction_cleaned!$F:$F,"REFUND")</f>
        <v>0</v>
      </c>
      <c r="M658" s="39">
        <f>SUMIFS(pg_transaction_cleaned!$H:$H,pg_transaction_cleaned!$O:$O,A658,pg_transaction_cleaned!$F:$F,"REFUND")</f>
        <v>0</v>
      </c>
      <c r="N658" s="23" t="str">
        <f t="shared" si="42"/>
        <v>OK</v>
      </c>
      <c r="O658" s="24">
        <f t="shared" si="43"/>
        <v>0</v>
      </c>
    </row>
    <row r="659" spans="1:15" ht="15" customHeight="1" x14ac:dyDescent="0.3">
      <c r="A659" s="23" t="s">
        <v>1748</v>
      </c>
      <c r="B659" s="38">
        <v>46283</v>
      </c>
      <c r="C659" s="23" t="s">
        <v>1749</v>
      </c>
      <c r="D659" s="23" t="s">
        <v>87</v>
      </c>
      <c r="E659" s="23" t="s">
        <v>75</v>
      </c>
      <c r="F659" s="23" t="s">
        <v>396</v>
      </c>
      <c r="G659" s="23" t="s">
        <v>250</v>
      </c>
      <c r="H659" s="39">
        <f t="shared" si="40"/>
        <v>2999</v>
      </c>
      <c r="I659" s="23" t="str">
        <f t="shared" si="41"/>
        <v>Mumbai</v>
      </c>
      <c r="J659" s="23">
        <f>COUNTIFS(pg_transaction_cleaned!$O:$O,A659,pg_transaction_cleaned!$F:$F,"CAPTURE")</f>
        <v>1</v>
      </c>
      <c r="K659" s="39">
        <f>SUMIFS(pg_transaction_cleaned!$H:$H,pg_transaction_cleaned!$O:$O,A659,pg_transaction_cleaned!$F:$F,"CAPTURE")</f>
        <v>2999</v>
      </c>
      <c r="L659" s="23">
        <f>COUNTIFS(pg_transaction_cleaned!$O:$O,A659,pg_transaction_cleaned!$F:$F,"REFUND")</f>
        <v>0</v>
      </c>
      <c r="M659" s="39">
        <f>SUMIFS(pg_transaction_cleaned!$H:$H,pg_transaction_cleaned!$O:$O,A659,pg_transaction_cleaned!$F:$F,"REFUND")</f>
        <v>0</v>
      </c>
      <c r="N659" s="23" t="str">
        <f t="shared" si="42"/>
        <v>OK</v>
      </c>
      <c r="O659" s="24">
        <f t="shared" si="43"/>
        <v>0</v>
      </c>
    </row>
    <row r="660" spans="1:15" ht="15" customHeight="1" x14ac:dyDescent="0.3">
      <c r="A660" s="23" t="s">
        <v>1750</v>
      </c>
      <c r="B660" s="38">
        <v>46288</v>
      </c>
      <c r="C660" s="23" t="s">
        <v>1751</v>
      </c>
      <c r="D660" s="23" t="s">
        <v>92</v>
      </c>
      <c r="E660" s="23" t="s">
        <v>75</v>
      </c>
      <c r="F660" s="23" t="s">
        <v>265</v>
      </c>
      <c r="G660" s="23" t="s">
        <v>365</v>
      </c>
      <c r="H660" s="39">
        <f t="shared" si="40"/>
        <v>999</v>
      </c>
      <c r="I660" s="23" t="str">
        <f t="shared" si="41"/>
        <v>Hyderabad</v>
      </c>
      <c r="J660" s="23">
        <f>COUNTIFS(pg_transaction_cleaned!$O:$O,A660,pg_transaction_cleaned!$F:$F,"CAPTURE")</f>
        <v>0</v>
      </c>
      <c r="K660" s="39">
        <f>SUMIFS(pg_transaction_cleaned!$H:$H,pg_transaction_cleaned!$O:$O,A660,pg_transaction_cleaned!$F:$F,"CAPTURE")</f>
        <v>0</v>
      </c>
      <c r="L660" s="23">
        <f>COUNTIFS(pg_transaction_cleaned!$O:$O,A660,pg_transaction_cleaned!$F:$F,"REFUND")</f>
        <v>0</v>
      </c>
      <c r="M660" s="39">
        <f>SUMIFS(pg_transaction_cleaned!$H:$H,pg_transaction_cleaned!$O:$O,A660,pg_transaction_cleaned!$F:$F,"REFUND")</f>
        <v>0</v>
      </c>
      <c r="N660" s="23" t="str">
        <f t="shared" si="42"/>
        <v>OK</v>
      </c>
      <c r="O660" s="24">
        <f t="shared" si="43"/>
        <v>0</v>
      </c>
    </row>
    <row r="661" spans="1:15" ht="15" customHeight="1" x14ac:dyDescent="0.3">
      <c r="A661" s="23" t="s">
        <v>1752</v>
      </c>
      <c r="B661" s="38">
        <v>46285</v>
      </c>
      <c r="C661" s="23" t="s">
        <v>1753</v>
      </c>
      <c r="D661" s="23" t="s">
        <v>87</v>
      </c>
      <c r="E661" s="23" t="s">
        <v>75</v>
      </c>
      <c r="F661" s="23" t="s">
        <v>475</v>
      </c>
      <c r="G661" s="23" t="s">
        <v>250</v>
      </c>
      <c r="H661" s="39">
        <f t="shared" si="40"/>
        <v>799</v>
      </c>
      <c r="I661" s="23" t="str">
        <f t="shared" si="41"/>
        <v>Mumbai</v>
      </c>
      <c r="J661" s="23">
        <f>COUNTIFS(pg_transaction_cleaned!$O:$O,A661,pg_transaction_cleaned!$F:$F,"CAPTURE")</f>
        <v>1</v>
      </c>
      <c r="K661" s="39">
        <f>SUMIFS(pg_transaction_cleaned!$H:$H,pg_transaction_cleaned!$O:$O,A661,pg_transaction_cleaned!$F:$F,"CAPTURE")</f>
        <v>799</v>
      </c>
      <c r="L661" s="23">
        <f>COUNTIFS(pg_transaction_cleaned!$O:$O,A661,pg_transaction_cleaned!$F:$F,"REFUND")</f>
        <v>0</v>
      </c>
      <c r="M661" s="39">
        <f>SUMIFS(pg_transaction_cleaned!$H:$H,pg_transaction_cleaned!$O:$O,A661,pg_transaction_cleaned!$F:$F,"REFUND")</f>
        <v>0</v>
      </c>
      <c r="N661" s="23" t="str">
        <f t="shared" si="42"/>
        <v>OK</v>
      </c>
      <c r="O661" s="24">
        <f t="shared" si="43"/>
        <v>0</v>
      </c>
    </row>
    <row r="662" spans="1:15" ht="15" customHeight="1" x14ac:dyDescent="0.3">
      <c r="A662" s="23" t="s">
        <v>1754</v>
      </c>
      <c r="B662" s="38">
        <v>46281</v>
      </c>
      <c r="C662" s="23" t="s">
        <v>1755</v>
      </c>
      <c r="D662" s="23" t="s">
        <v>92</v>
      </c>
      <c r="E662" s="23" t="s">
        <v>79</v>
      </c>
      <c r="F662" s="23" t="s">
        <v>294</v>
      </c>
      <c r="G662" s="23" t="s">
        <v>250</v>
      </c>
      <c r="H662" s="39">
        <f t="shared" si="40"/>
        <v>1799</v>
      </c>
      <c r="I662" s="23" t="str">
        <f t="shared" si="41"/>
        <v>Hyderabad</v>
      </c>
      <c r="J662" s="23">
        <f>COUNTIFS(pg_transaction_cleaned!$O:$O,A662,pg_transaction_cleaned!$F:$F,"CAPTURE")</f>
        <v>1</v>
      </c>
      <c r="K662" s="39">
        <f>SUMIFS(pg_transaction_cleaned!$H:$H,pg_transaction_cleaned!$O:$O,A662,pg_transaction_cleaned!$F:$F,"CAPTURE")</f>
        <v>1799</v>
      </c>
      <c r="L662" s="23">
        <f>COUNTIFS(pg_transaction_cleaned!$O:$O,A662,pg_transaction_cleaned!$F:$F,"REFUND")</f>
        <v>1</v>
      </c>
      <c r="M662" s="39">
        <f>SUMIFS(pg_transaction_cleaned!$H:$H,pg_transaction_cleaned!$O:$O,A662,pg_transaction_cleaned!$F:$F,"REFUND")</f>
        <v>1799</v>
      </c>
      <c r="N662" s="23" t="str">
        <f t="shared" si="42"/>
        <v>Refund, order not Refunded</v>
      </c>
      <c r="O662" s="24">
        <f t="shared" si="43"/>
        <v>1799</v>
      </c>
    </row>
    <row r="663" spans="1:15" ht="15" customHeight="1" x14ac:dyDescent="0.3">
      <c r="A663" s="23" t="s">
        <v>1756</v>
      </c>
      <c r="B663" s="38">
        <v>46286</v>
      </c>
      <c r="C663" s="23" t="s">
        <v>1757</v>
      </c>
      <c r="D663" s="23" t="s">
        <v>94</v>
      </c>
      <c r="E663" s="23" t="s">
        <v>77</v>
      </c>
      <c r="F663" s="23" t="s">
        <v>475</v>
      </c>
      <c r="G663" s="23" t="s">
        <v>250</v>
      </c>
      <c r="H663" s="39">
        <f t="shared" si="40"/>
        <v>799</v>
      </c>
      <c r="I663" s="23" t="str">
        <f t="shared" si="41"/>
        <v>Chennai</v>
      </c>
      <c r="J663" s="23">
        <f>COUNTIFS(pg_transaction_cleaned!$O:$O,A663,pg_transaction_cleaned!$F:$F,"CAPTURE")</f>
        <v>1</v>
      </c>
      <c r="K663" s="39">
        <f>SUMIFS(pg_transaction_cleaned!$H:$H,pg_transaction_cleaned!$O:$O,A663,pg_transaction_cleaned!$F:$F,"CAPTURE")</f>
        <v>799</v>
      </c>
      <c r="L663" s="23">
        <f>COUNTIFS(pg_transaction_cleaned!$O:$O,A663,pg_transaction_cleaned!$F:$F,"REFUND")</f>
        <v>0</v>
      </c>
      <c r="M663" s="39">
        <f>SUMIFS(pg_transaction_cleaned!$H:$H,pg_transaction_cleaned!$O:$O,A663,pg_transaction_cleaned!$F:$F,"REFUND")</f>
        <v>0</v>
      </c>
      <c r="N663" s="23" t="str">
        <f t="shared" si="42"/>
        <v>OK</v>
      </c>
      <c r="O663" s="24">
        <f t="shared" si="43"/>
        <v>0</v>
      </c>
    </row>
    <row r="664" spans="1:15" ht="15" customHeight="1" x14ac:dyDescent="0.3">
      <c r="A664" s="23" t="s">
        <v>1758</v>
      </c>
      <c r="B664" s="38">
        <v>46266</v>
      </c>
      <c r="C664" s="23" t="s">
        <v>1759</v>
      </c>
      <c r="D664" s="23" t="s">
        <v>88</v>
      </c>
      <c r="E664" s="23" t="s">
        <v>75</v>
      </c>
      <c r="F664" s="23" t="s">
        <v>737</v>
      </c>
      <c r="G664" s="23" t="s">
        <v>250</v>
      </c>
      <c r="H664" s="39">
        <f t="shared" si="40"/>
        <v>9798</v>
      </c>
      <c r="I664" s="23" t="str">
        <f t="shared" si="41"/>
        <v>Lucknow</v>
      </c>
      <c r="J664" s="23">
        <f>COUNTIFS(pg_transaction_cleaned!$O:$O,A664,pg_transaction_cleaned!$F:$F,"CAPTURE")</f>
        <v>1</v>
      </c>
      <c r="K664" s="39">
        <f>SUMIFS(pg_transaction_cleaned!$H:$H,pg_transaction_cleaned!$O:$O,A664,pg_transaction_cleaned!$F:$F,"CAPTURE")</f>
        <v>9798</v>
      </c>
      <c r="L664" s="23">
        <f>COUNTIFS(pg_transaction_cleaned!$O:$O,A664,pg_transaction_cleaned!$F:$F,"REFUND")</f>
        <v>0</v>
      </c>
      <c r="M664" s="39">
        <f>SUMIFS(pg_transaction_cleaned!$H:$H,pg_transaction_cleaned!$O:$O,A664,pg_transaction_cleaned!$F:$F,"REFUND")</f>
        <v>0</v>
      </c>
      <c r="N664" s="23" t="str">
        <f t="shared" si="42"/>
        <v>OK</v>
      </c>
      <c r="O664" s="24">
        <f t="shared" si="43"/>
        <v>0</v>
      </c>
    </row>
    <row r="665" spans="1:15" ht="15" customHeight="1" x14ac:dyDescent="0.3">
      <c r="A665" s="23" t="s">
        <v>1760</v>
      </c>
      <c r="B665" s="38">
        <v>46278</v>
      </c>
      <c r="C665" s="23" t="s">
        <v>1761</v>
      </c>
      <c r="D665" s="23" t="s">
        <v>95</v>
      </c>
      <c r="E665" s="23" t="s">
        <v>79</v>
      </c>
      <c r="F665" s="23" t="s">
        <v>1762</v>
      </c>
      <c r="G665" s="23" t="s">
        <v>250</v>
      </c>
      <c r="H665" s="39">
        <f t="shared" si="40"/>
        <v>2148</v>
      </c>
      <c r="I665" s="23" t="str">
        <f t="shared" si="41"/>
        <v>Bengaluru</v>
      </c>
      <c r="J665" s="23">
        <f>COUNTIFS(pg_transaction_cleaned!$O:$O,A665,pg_transaction_cleaned!$F:$F,"CAPTURE")</f>
        <v>1</v>
      </c>
      <c r="K665" s="39">
        <f>SUMIFS(pg_transaction_cleaned!$H:$H,pg_transaction_cleaned!$O:$O,A665,pg_transaction_cleaned!$F:$F,"CAPTURE")</f>
        <v>2148</v>
      </c>
      <c r="L665" s="23">
        <f>COUNTIFS(pg_transaction_cleaned!$O:$O,A665,pg_transaction_cleaned!$F:$F,"REFUND")</f>
        <v>0</v>
      </c>
      <c r="M665" s="39">
        <f>SUMIFS(pg_transaction_cleaned!$H:$H,pg_transaction_cleaned!$O:$O,A665,pg_transaction_cleaned!$F:$F,"REFUND")</f>
        <v>0</v>
      </c>
      <c r="N665" s="23" t="str">
        <f t="shared" si="42"/>
        <v>OK</v>
      </c>
      <c r="O665" s="24">
        <f t="shared" si="43"/>
        <v>0</v>
      </c>
    </row>
    <row r="666" spans="1:15" ht="15" customHeight="1" x14ac:dyDescent="0.3">
      <c r="A666" s="23" t="s">
        <v>1763</v>
      </c>
      <c r="B666" s="38">
        <v>46279</v>
      </c>
      <c r="C666" s="23" t="s">
        <v>1764</v>
      </c>
      <c r="D666" s="23" t="s">
        <v>95</v>
      </c>
      <c r="E666" s="23" t="s">
        <v>75</v>
      </c>
      <c r="F666" s="23" t="s">
        <v>360</v>
      </c>
      <c r="G666" s="23" t="s">
        <v>250</v>
      </c>
      <c r="H666" s="39">
        <f t="shared" si="40"/>
        <v>10297</v>
      </c>
      <c r="I666" s="23" t="str">
        <f t="shared" si="41"/>
        <v>Bengaluru</v>
      </c>
      <c r="J666" s="23">
        <f>COUNTIFS(pg_transaction_cleaned!$O:$O,A666,pg_transaction_cleaned!$F:$F,"CAPTURE")</f>
        <v>1</v>
      </c>
      <c r="K666" s="39">
        <f>SUMIFS(pg_transaction_cleaned!$H:$H,pg_transaction_cleaned!$O:$O,A666,pg_transaction_cleaned!$F:$F,"CAPTURE")</f>
        <v>10297</v>
      </c>
      <c r="L666" s="23">
        <f>COUNTIFS(pg_transaction_cleaned!$O:$O,A666,pg_transaction_cleaned!$F:$F,"REFUND")</f>
        <v>0</v>
      </c>
      <c r="M666" s="39">
        <f>SUMIFS(pg_transaction_cleaned!$H:$H,pg_transaction_cleaned!$O:$O,A666,pg_transaction_cleaned!$F:$F,"REFUND")</f>
        <v>0</v>
      </c>
      <c r="N666" s="23" t="str">
        <f t="shared" si="42"/>
        <v>OK</v>
      </c>
      <c r="O666" s="24">
        <f t="shared" si="43"/>
        <v>0</v>
      </c>
    </row>
    <row r="667" spans="1:15" ht="15" customHeight="1" x14ac:dyDescent="0.3">
      <c r="A667" s="23" t="s">
        <v>1765</v>
      </c>
      <c r="B667" s="38">
        <v>46269</v>
      </c>
      <c r="C667" s="23" t="s">
        <v>1766</v>
      </c>
      <c r="D667" s="23" t="s">
        <v>90</v>
      </c>
      <c r="E667" s="23" t="s">
        <v>81</v>
      </c>
      <c r="F667" s="23" t="s">
        <v>396</v>
      </c>
      <c r="G667" s="23" t="s">
        <v>250</v>
      </c>
      <c r="H667" s="39">
        <f t="shared" si="40"/>
        <v>2999</v>
      </c>
      <c r="I667" s="23" t="str">
        <f t="shared" si="41"/>
        <v>Ahmedabad</v>
      </c>
      <c r="J667" s="23">
        <f>COUNTIFS(pg_transaction_cleaned!$O:$O,A667,pg_transaction_cleaned!$F:$F,"CAPTURE")</f>
        <v>1</v>
      </c>
      <c r="K667" s="39">
        <f>SUMIFS(pg_transaction_cleaned!$H:$H,pg_transaction_cleaned!$O:$O,A667,pg_transaction_cleaned!$F:$F,"CAPTURE")</f>
        <v>2999</v>
      </c>
      <c r="L667" s="23">
        <f>COUNTIFS(pg_transaction_cleaned!$O:$O,A667,pg_transaction_cleaned!$F:$F,"REFUND")</f>
        <v>1</v>
      </c>
      <c r="M667" s="39">
        <f>SUMIFS(pg_transaction_cleaned!$H:$H,pg_transaction_cleaned!$O:$O,A667,pg_transaction_cleaned!$F:$F,"REFUND")</f>
        <v>2999</v>
      </c>
      <c r="N667" s="23" t="str">
        <f t="shared" si="42"/>
        <v>Refund, order not Refunded</v>
      </c>
      <c r="O667" s="24">
        <f t="shared" si="43"/>
        <v>2999</v>
      </c>
    </row>
    <row r="668" spans="1:15" ht="15" customHeight="1" x14ac:dyDescent="0.3">
      <c r="A668" s="23" t="s">
        <v>1767</v>
      </c>
      <c r="B668" s="38">
        <v>46286</v>
      </c>
      <c r="C668" s="23" t="s">
        <v>1768</v>
      </c>
      <c r="D668" s="23" t="s">
        <v>88</v>
      </c>
      <c r="E668" s="23" t="s">
        <v>75</v>
      </c>
      <c r="F668" s="23" t="s">
        <v>1769</v>
      </c>
      <c r="G668" s="23" t="s">
        <v>250</v>
      </c>
      <c r="H668" s="39">
        <f t="shared" si="40"/>
        <v>1148</v>
      </c>
      <c r="I668" s="23" t="str">
        <f t="shared" si="41"/>
        <v>Lucknow</v>
      </c>
      <c r="J668" s="23">
        <f>COUNTIFS(pg_transaction_cleaned!$O:$O,A668,pg_transaction_cleaned!$F:$F,"CAPTURE")</f>
        <v>0</v>
      </c>
      <c r="K668" s="39">
        <f>SUMIFS(pg_transaction_cleaned!$H:$H,pg_transaction_cleaned!$O:$O,A668,pg_transaction_cleaned!$F:$F,"CAPTURE")</f>
        <v>0</v>
      </c>
      <c r="L668" s="23">
        <f>COUNTIFS(pg_transaction_cleaned!$O:$O,A668,pg_transaction_cleaned!$F:$F,"REFUND")</f>
        <v>0</v>
      </c>
      <c r="M668" s="39">
        <f>SUMIFS(pg_transaction_cleaned!$H:$H,pg_transaction_cleaned!$O:$O,A668,pg_transaction_cleaned!$F:$F,"REFUND")</f>
        <v>0</v>
      </c>
      <c r="N668" s="23" t="str">
        <f t="shared" si="42"/>
        <v>Paid, no payment</v>
      </c>
      <c r="O668" s="24">
        <f t="shared" si="43"/>
        <v>1148</v>
      </c>
    </row>
    <row r="669" spans="1:15" ht="15" customHeight="1" x14ac:dyDescent="0.3">
      <c r="A669" s="23" t="s">
        <v>1770</v>
      </c>
      <c r="B669" s="38">
        <v>46281</v>
      </c>
      <c r="C669" s="23" t="s">
        <v>1771</v>
      </c>
      <c r="D669" s="23" t="s">
        <v>92</v>
      </c>
      <c r="E669" s="23" t="s">
        <v>79</v>
      </c>
      <c r="F669" s="23" t="s">
        <v>265</v>
      </c>
      <c r="G669" s="23" t="s">
        <v>250</v>
      </c>
      <c r="H669" s="39">
        <f t="shared" si="40"/>
        <v>999</v>
      </c>
      <c r="I669" s="23" t="str">
        <f t="shared" si="41"/>
        <v>Hyderabad</v>
      </c>
      <c r="J669" s="23">
        <f>COUNTIFS(pg_transaction_cleaned!$O:$O,A669,pg_transaction_cleaned!$F:$F,"CAPTURE")</f>
        <v>1</v>
      </c>
      <c r="K669" s="39">
        <f>SUMIFS(pg_transaction_cleaned!$H:$H,pg_transaction_cleaned!$O:$O,A669,pg_transaction_cleaned!$F:$F,"CAPTURE")</f>
        <v>999</v>
      </c>
      <c r="L669" s="23">
        <f>COUNTIFS(pg_transaction_cleaned!$O:$O,A669,pg_transaction_cleaned!$F:$F,"REFUND")</f>
        <v>0</v>
      </c>
      <c r="M669" s="39">
        <f>SUMIFS(pg_transaction_cleaned!$H:$H,pg_transaction_cleaned!$O:$O,A669,pg_transaction_cleaned!$F:$F,"REFUND")</f>
        <v>0</v>
      </c>
      <c r="N669" s="23" t="str">
        <f t="shared" si="42"/>
        <v>OK</v>
      </c>
      <c r="O669" s="24">
        <f t="shared" si="43"/>
        <v>0</v>
      </c>
    </row>
    <row r="670" spans="1:15" ht="15" customHeight="1" x14ac:dyDescent="0.3">
      <c r="A670" s="23" t="s">
        <v>1772</v>
      </c>
      <c r="B670" s="38">
        <v>46285</v>
      </c>
      <c r="C670" s="23" t="s">
        <v>1773</v>
      </c>
      <c r="D670" s="23" t="s">
        <v>92</v>
      </c>
      <c r="E670" s="23" t="s">
        <v>75</v>
      </c>
      <c r="F670" s="23" t="s">
        <v>329</v>
      </c>
      <c r="G670" s="23" t="s">
        <v>250</v>
      </c>
      <c r="H670" s="39">
        <f t="shared" si="40"/>
        <v>599</v>
      </c>
      <c r="I670" s="23" t="str">
        <f t="shared" si="41"/>
        <v>Hyderabad</v>
      </c>
      <c r="J670" s="23">
        <f>COUNTIFS(pg_transaction_cleaned!$O:$O,A670,pg_transaction_cleaned!$F:$F,"CAPTURE")</f>
        <v>1</v>
      </c>
      <c r="K670" s="39">
        <f>SUMIFS(pg_transaction_cleaned!$H:$H,pg_transaction_cleaned!$O:$O,A670,pg_transaction_cleaned!$F:$F,"CAPTURE")</f>
        <v>599</v>
      </c>
      <c r="L670" s="23">
        <f>COUNTIFS(pg_transaction_cleaned!$O:$O,A670,pg_transaction_cleaned!$F:$F,"REFUND")</f>
        <v>0</v>
      </c>
      <c r="M670" s="39">
        <f>SUMIFS(pg_transaction_cleaned!$H:$H,pg_transaction_cleaned!$O:$O,A670,pg_transaction_cleaned!$F:$F,"REFUND")</f>
        <v>0</v>
      </c>
      <c r="N670" s="23" t="str">
        <f t="shared" si="42"/>
        <v>OK</v>
      </c>
      <c r="O670" s="24">
        <f t="shared" si="43"/>
        <v>0</v>
      </c>
    </row>
    <row r="671" spans="1:15" ht="15" customHeight="1" x14ac:dyDescent="0.3">
      <c r="A671" s="23" t="s">
        <v>1774</v>
      </c>
      <c r="B671" s="38">
        <v>46288</v>
      </c>
      <c r="C671" s="23" t="s">
        <v>1775</v>
      </c>
      <c r="D671" s="23" t="s">
        <v>86</v>
      </c>
      <c r="E671" s="23" t="s">
        <v>81</v>
      </c>
      <c r="F671" s="23" t="s">
        <v>483</v>
      </c>
      <c r="G671" s="23" t="s">
        <v>250</v>
      </c>
      <c r="H671" s="39">
        <f t="shared" si="40"/>
        <v>2998</v>
      </c>
      <c r="I671" s="23" t="str">
        <f t="shared" si="41"/>
        <v>Delhi</v>
      </c>
      <c r="J671" s="23">
        <f>COUNTIFS(pg_transaction_cleaned!$O:$O,A671,pg_transaction_cleaned!$F:$F,"CAPTURE")</f>
        <v>1</v>
      </c>
      <c r="K671" s="39">
        <f>SUMIFS(pg_transaction_cleaned!$H:$H,pg_transaction_cleaned!$O:$O,A671,pg_transaction_cleaned!$F:$F,"CAPTURE")</f>
        <v>2998</v>
      </c>
      <c r="L671" s="23">
        <f>COUNTIFS(pg_transaction_cleaned!$O:$O,A671,pg_transaction_cleaned!$F:$F,"REFUND")</f>
        <v>0</v>
      </c>
      <c r="M671" s="39">
        <f>SUMIFS(pg_transaction_cleaned!$H:$H,pg_transaction_cleaned!$O:$O,A671,pg_transaction_cleaned!$F:$F,"REFUND")</f>
        <v>0</v>
      </c>
      <c r="N671" s="23" t="str">
        <f t="shared" si="42"/>
        <v>OK</v>
      </c>
      <c r="O671" s="24">
        <f t="shared" si="43"/>
        <v>0</v>
      </c>
    </row>
    <row r="672" spans="1:15" ht="15" customHeight="1" x14ac:dyDescent="0.3">
      <c r="A672" s="23" t="s">
        <v>1776</v>
      </c>
      <c r="B672" s="38">
        <v>46266</v>
      </c>
      <c r="C672" s="23" t="s">
        <v>1777</v>
      </c>
      <c r="D672" s="23" t="s">
        <v>93</v>
      </c>
      <c r="E672" s="23" t="s">
        <v>79</v>
      </c>
      <c r="F672" s="23" t="s">
        <v>329</v>
      </c>
      <c r="G672" s="23" t="s">
        <v>250</v>
      </c>
      <c r="H672" s="39">
        <f t="shared" si="40"/>
        <v>599</v>
      </c>
      <c r="I672" s="23" t="str">
        <f t="shared" si="41"/>
        <v>Kolkata</v>
      </c>
      <c r="J672" s="23">
        <f>COUNTIFS(pg_transaction_cleaned!$O:$O,A672,pg_transaction_cleaned!$F:$F,"CAPTURE")</f>
        <v>1</v>
      </c>
      <c r="K672" s="39">
        <f>SUMIFS(pg_transaction_cleaned!$H:$H,pg_transaction_cleaned!$O:$O,A672,pg_transaction_cleaned!$F:$F,"CAPTURE")</f>
        <v>599</v>
      </c>
      <c r="L672" s="23">
        <f>COUNTIFS(pg_transaction_cleaned!$O:$O,A672,pg_transaction_cleaned!$F:$F,"REFUND")</f>
        <v>0</v>
      </c>
      <c r="M672" s="39">
        <f>SUMIFS(pg_transaction_cleaned!$H:$H,pg_transaction_cleaned!$O:$O,A672,pg_transaction_cleaned!$F:$F,"REFUND")</f>
        <v>0</v>
      </c>
      <c r="N672" s="23" t="str">
        <f t="shared" si="42"/>
        <v>OK</v>
      </c>
      <c r="O672" s="24">
        <f t="shared" si="43"/>
        <v>0</v>
      </c>
    </row>
    <row r="673" spans="1:15" ht="15" customHeight="1" x14ac:dyDescent="0.3">
      <c r="A673" s="23" t="s">
        <v>1778</v>
      </c>
      <c r="B673" s="38">
        <v>46274</v>
      </c>
      <c r="C673" s="23" t="s">
        <v>1779</v>
      </c>
      <c r="D673" s="23" t="s">
        <v>90</v>
      </c>
      <c r="E673" s="23" t="s">
        <v>75</v>
      </c>
      <c r="F673" s="23" t="s">
        <v>262</v>
      </c>
      <c r="G673" s="23" t="s">
        <v>250</v>
      </c>
      <c r="H673" s="39">
        <f t="shared" si="40"/>
        <v>499</v>
      </c>
      <c r="I673" s="23" t="str">
        <f t="shared" si="41"/>
        <v>Ahmedabad</v>
      </c>
      <c r="J673" s="23">
        <f>COUNTIFS(pg_transaction_cleaned!$O:$O,A673,pg_transaction_cleaned!$F:$F,"CAPTURE")</f>
        <v>1</v>
      </c>
      <c r="K673" s="39">
        <f>SUMIFS(pg_transaction_cleaned!$H:$H,pg_transaction_cleaned!$O:$O,A673,pg_transaction_cleaned!$F:$F,"CAPTURE")</f>
        <v>499</v>
      </c>
      <c r="L673" s="23">
        <f>COUNTIFS(pg_transaction_cleaned!$O:$O,A673,pg_transaction_cleaned!$F:$F,"REFUND")</f>
        <v>0</v>
      </c>
      <c r="M673" s="39">
        <f>SUMIFS(pg_transaction_cleaned!$H:$H,pg_transaction_cleaned!$O:$O,A673,pg_transaction_cleaned!$F:$F,"REFUND")</f>
        <v>0</v>
      </c>
      <c r="N673" s="23" t="str">
        <f t="shared" si="42"/>
        <v>OK</v>
      </c>
      <c r="O673" s="24">
        <f t="shared" si="43"/>
        <v>0</v>
      </c>
    </row>
    <row r="674" spans="1:15" ht="15" customHeight="1" x14ac:dyDescent="0.3">
      <c r="A674" s="23" t="s">
        <v>1780</v>
      </c>
      <c r="B674" s="38">
        <v>46280</v>
      </c>
      <c r="C674" s="23" t="s">
        <v>1781</v>
      </c>
      <c r="D674" s="23" t="s">
        <v>88</v>
      </c>
      <c r="E674" s="23" t="s">
        <v>79</v>
      </c>
      <c r="F674" s="23" t="s">
        <v>297</v>
      </c>
      <c r="G674" s="23" t="s">
        <v>250</v>
      </c>
      <c r="H674" s="39">
        <f t="shared" si="40"/>
        <v>4999</v>
      </c>
      <c r="I674" s="23" t="str">
        <f t="shared" si="41"/>
        <v>Lucknow</v>
      </c>
      <c r="J674" s="23">
        <f>COUNTIFS(pg_transaction_cleaned!$O:$O,A674,pg_transaction_cleaned!$F:$F,"CAPTURE")</f>
        <v>1</v>
      </c>
      <c r="K674" s="39">
        <f>SUMIFS(pg_transaction_cleaned!$H:$H,pg_transaction_cleaned!$O:$O,A674,pg_transaction_cleaned!$F:$F,"CAPTURE")</f>
        <v>4999</v>
      </c>
      <c r="L674" s="23">
        <f>COUNTIFS(pg_transaction_cleaned!$O:$O,A674,pg_transaction_cleaned!$F:$F,"REFUND")</f>
        <v>0</v>
      </c>
      <c r="M674" s="39">
        <f>SUMIFS(pg_transaction_cleaned!$H:$H,pg_transaction_cleaned!$O:$O,A674,pg_transaction_cleaned!$F:$F,"REFUND")</f>
        <v>0</v>
      </c>
      <c r="N674" s="23" t="str">
        <f t="shared" si="42"/>
        <v>OK</v>
      </c>
      <c r="O674" s="24">
        <f t="shared" si="43"/>
        <v>0</v>
      </c>
    </row>
    <row r="675" spans="1:15" ht="15" customHeight="1" x14ac:dyDescent="0.3">
      <c r="A675" s="23" t="s">
        <v>1782</v>
      </c>
      <c r="B675" s="38">
        <v>46268</v>
      </c>
      <c r="C675" s="23" t="s">
        <v>1783</v>
      </c>
      <c r="D675" s="23" t="s">
        <v>92</v>
      </c>
      <c r="E675" s="23" t="s">
        <v>77</v>
      </c>
      <c r="F675" s="23" t="s">
        <v>310</v>
      </c>
      <c r="G675" s="23" t="s">
        <v>250</v>
      </c>
      <c r="H675" s="39">
        <f t="shared" si="40"/>
        <v>7999</v>
      </c>
      <c r="I675" s="23" t="str">
        <f t="shared" si="41"/>
        <v>Hyderabad</v>
      </c>
      <c r="J675" s="23">
        <f>COUNTIFS(pg_transaction_cleaned!$O:$O,A675,pg_transaction_cleaned!$F:$F,"CAPTURE")</f>
        <v>1</v>
      </c>
      <c r="K675" s="39">
        <f>SUMIFS(pg_transaction_cleaned!$H:$H,pg_transaction_cleaned!$O:$O,A675,pg_transaction_cleaned!$F:$F,"CAPTURE")</f>
        <v>7999</v>
      </c>
      <c r="L675" s="23">
        <f>COUNTIFS(pg_transaction_cleaned!$O:$O,A675,pg_transaction_cleaned!$F:$F,"REFUND")</f>
        <v>0</v>
      </c>
      <c r="M675" s="39">
        <f>SUMIFS(pg_transaction_cleaned!$H:$H,pg_transaction_cleaned!$O:$O,A675,pg_transaction_cleaned!$F:$F,"REFUND")</f>
        <v>0</v>
      </c>
      <c r="N675" s="23" t="str">
        <f t="shared" si="42"/>
        <v>OK</v>
      </c>
      <c r="O675" s="24">
        <f t="shared" si="43"/>
        <v>0</v>
      </c>
    </row>
    <row r="676" spans="1:15" ht="15" customHeight="1" x14ac:dyDescent="0.3">
      <c r="A676" s="23" t="s">
        <v>1784</v>
      </c>
      <c r="B676" s="38">
        <v>46289</v>
      </c>
      <c r="C676" s="23" t="s">
        <v>1785</v>
      </c>
      <c r="D676" s="23" t="s">
        <v>87</v>
      </c>
      <c r="E676" s="23" t="s">
        <v>81</v>
      </c>
      <c r="F676" s="23" t="s">
        <v>766</v>
      </c>
      <c r="G676" s="23" t="s">
        <v>365</v>
      </c>
      <c r="H676" s="39">
        <f t="shared" si="40"/>
        <v>4197</v>
      </c>
      <c r="I676" s="23" t="str">
        <f t="shared" si="41"/>
        <v>Mumbai</v>
      </c>
      <c r="J676" s="23">
        <f>COUNTIFS(pg_transaction_cleaned!$O:$O,A676,pg_transaction_cleaned!$F:$F,"CAPTURE")</f>
        <v>0</v>
      </c>
      <c r="K676" s="39">
        <f>SUMIFS(pg_transaction_cleaned!$H:$H,pg_transaction_cleaned!$O:$O,A676,pg_transaction_cleaned!$F:$F,"CAPTURE")</f>
        <v>0</v>
      </c>
      <c r="L676" s="23">
        <f>COUNTIFS(pg_transaction_cleaned!$O:$O,A676,pg_transaction_cleaned!$F:$F,"REFUND")</f>
        <v>0</v>
      </c>
      <c r="M676" s="39">
        <f>SUMIFS(pg_transaction_cleaned!$H:$H,pg_transaction_cleaned!$O:$O,A676,pg_transaction_cleaned!$F:$F,"REFUND")</f>
        <v>0</v>
      </c>
      <c r="N676" s="23" t="str">
        <f t="shared" si="42"/>
        <v>OK</v>
      </c>
      <c r="O676" s="24">
        <f t="shared" si="43"/>
        <v>0</v>
      </c>
    </row>
    <row r="677" spans="1:15" ht="15" customHeight="1" x14ac:dyDescent="0.3">
      <c r="A677" s="23" t="s">
        <v>1786</v>
      </c>
      <c r="B677" s="38">
        <v>46292</v>
      </c>
      <c r="C677" s="23" t="s">
        <v>1787</v>
      </c>
      <c r="D677" s="23" t="s">
        <v>89</v>
      </c>
      <c r="E677" s="23" t="s">
        <v>75</v>
      </c>
      <c r="F677" s="23" t="s">
        <v>307</v>
      </c>
      <c r="G677" s="23" t="s">
        <v>250</v>
      </c>
      <c r="H677" s="39">
        <f t="shared" si="40"/>
        <v>3798</v>
      </c>
      <c r="I677" s="23" t="str">
        <f t="shared" si="41"/>
        <v>Jaipur</v>
      </c>
      <c r="J677" s="23">
        <f>COUNTIFS(pg_transaction_cleaned!$O:$O,A677,pg_transaction_cleaned!$F:$F,"CAPTURE")</f>
        <v>1</v>
      </c>
      <c r="K677" s="39">
        <f>SUMIFS(pg_transaction_cleaned!$H:$H,pg_transaction_cleaned!$O:$O,A677,pg_transaction_cleaned!$F:$F,"CAPTURE")</f>
        <v>3798</v>
      </c>
      <c r="L677" s="23">
        <f>COUNTIFS(pg_transaction_cleaned!$O:$O,A677,pg_transaction_cleaned!$F:$F,"REFUND")</f>
        <v>0</v>
      </c>
      <c r="M677" s="39">
        <f>SUMIFS(pg_transaction_cleaned!$H:$H,pg_transaction_cleaned!$O:$O,A677,pg_transaction_cleaned!$F:$F,"REFUND")</f>
        <v>0</v>
      </c>
      <c r="N677" s="23" t="str">
        <f t="shared" si="42"/>
        <v>OK</v>
      </c>
      <c r="O677" s="24">
        <f t="shared" si="43"/>
        <v>0</v>
      </c>
    </row>
    <row r="678" spans="1:15" ht="15" customHeight="1" x14ac:dyDescent="0.3">
      <c r="A678" s="23" t="s">
        <v>1788</v>
      </c>
      <c r="B678" s="38">
        <v>46274</v>
      </c>
      <c r="C678" s="23" t="s">
        <v>1789</v>
      </c>
      <c r="D678" s="23" t="s">
        <v>95</v>
      </c>
      <c r="E678" s="23" t="s">
        <v>75</v>
      </c>
      <c r="F678" s="23" t="s">
        <v>259</v>
      </c>
      <c r="G678" s="23" t="s">
        <v>250</v>
      </c>
      <c r="H678" s="39">
        <f t="shared" si="40"/>
        <v>3298</v>
      </c>
      <c r="I678" s="23" t="str">
        <f t="shared" si="41"/>
        <v>Bengaluru</v>
      </c>
      <c r="J678" s="23">
        <f>COUNTIFS(pg_transaction_cleaned!$O:$O,A678,pg_transaction_cleaned!$F:$F,"CAPTURE")</f>
        <v>1</v>
      </c>
      <c r="K678" s="39">
        <f>SUMIFS(pg_transaction_cleaned!$H:$H,pg_transaction_cleaned!$O:$O,A678,pg_transaction_cleaned!$F:$F,"CAPTURE")</f>
        <v>3298</v>
      </c>
      <c r="L678" s="23">
        <f>COUNTIFS(pg_transaction_cleaned!$O:$O,A678,pg_transaction_cleaned!$F:$F,"REFUND")</f>
        <v>0</v>
      </c>
      <c r="M678" s="39">
        <f>SUMIFS(pg_transaction_cleaned!$H:$H,pg_transaction_cleaned!$O:$O,A678,pg_transaction_cleaned!$F:$F,"REFUND")</f>
        <v>0</v>
      </c>
      <c r="N678" s="23" t="str">
        <f t="shared" si="42"/>
        <v>OK</v>
      </c>
      <c r="O678" s="24">
        <f t="shared" si="43"/>
        <v>0</v>
      </c>
    </row>
    <row r="679" spans="1:15" ht="15" customHeight="1" x14ac:dyDescent="0.3">
      <c r="A679" s="23" t="s">
        <v>1790</v>
      </c>
      <c r="B679" s="38">
        <v>46294</v>
      </c>
      <c r="C679" s="23" t="s">
        <v>1791</v>
      </c>
      <c r="D679" s="23" t="s">
        <v>91</v>
      </c>
      <c r="E679" s="23" t="s">
        <v>75</v>
      </c>
      <c r="F679" s="23" t="s">
        <v>1792</v>
      </c>
      <c r="G679" s="23" t="s">
        <v>250</v>
      </c>
      <c r="H679" s="39">
        <f t="shared" si="40"/>
        <v>11498</v>
      </c>
      <c r="I679" s="23" t="str">
        <f t="shared" si="41"/>
        <v>Pune</v>
      </c>
      <c r="J679" s="23">
        <f>COUNTIFS(pg_transaction_cleaned!$O:$O,A679,pg_transaction_cleaned!$F:$F,"CAPTURE")</f>
        <v>1</v>
      </c>
      <c r="K679" s="39">
        <f>SUMIFS(pg_transaction_cleaned!$H:$H,pg_transaction_cleaned!$O:$O,A679,pg_transaction_cleaned!$F:$F,"CAPTURE")</f>
        <v>11498</v>
      </c>
      <c r="L679" s="23">
        <f>COUNTIFS(pg_transaction_cleaned!$O:$O,A679,pg_transaction_cleaned!$F:$F,"REFUND")</f>
        <v>0</v>
      </c>
      <c r="M679" s="39">
        <f>SUMIFS(pg_transaction_cleaned!$H:$H,pg_transaction_cleaned!$O:$O,A679,pg_transaction_cleaned!$F:$F,"REFUND")</f>
        <v>0</v>
      </c>
      <c r="N679" s="23" t="str">
        <f t="shared" si="42"/>
        <v>OK</v>
      </c>
      <c r="O679" s="24">
        <f t="shared" si="43"/>
        <v>0</v>
      </c>
    </row>
    <row r="680" spans="1:15" ht="15" customHeight="1" x14ac:dyDescent="0.3">
      <c r="A680" s="23" t="s">
        <v>1793</v>
      </c>
      <c r="B680" s="38">
        <v>46278</v>
      </c>
      <c r="C680" s="23" t="s">
        <v>1794</v>
      </c>
      <c r="D680" s="23" t="s">
        <v>86</v>
      </c>
      <c r="E680" s="23" t="s">
        <v>75</v>
      </c>
      <c r="F680" s="23" t="s">
        <v>294</v>
      </c>
      <c r="G680" s="23" t="s">
        <v>250</v>
      </c>
      <c r="H680" s="39">
        <f t="shared" si="40"/>
        <v>1799</v>
      </c>
      <c r="I680" s="23" t="str">
        <f t="shared" si="41"/>
        <v>Delhi</v>
      </c>
      <c r="J680" s="23">
        <f>COUNTIFS(pg_transaction_cleaned!$O:$O,A680,pg_transaction_cleaned!$F:$F,"CAPTURE")</f>
        <v>1</v>
      </c>
      <c r="K680" s="39">
        <f>SUMIFS(pg_transaction_cleaned!$H:$H,pg_transaction_cleaned!$O:$O,A680,pg_transaction_cleaned!$F:$F,"CAPTURE")</f>
        <v>1799</v>
      </c>
      <c r="L680" s="23">
        <f>COUNTIFS(pg_transaction_cleaned!$O:$O,A680,pg_transaction_cleaned!$F:$F,"REFUND")</f>
        <v>0</v>
      </c>
      <c r="M680" s="39">
        <f>SUMIFS(pg_transaction_cleaned!$H:$H,pg_transaction_cleaned!$O:$O,A680,pg_transaction_cleaned!$F:$F,"REFUND")</f>
        <v>0</v>
      </c>
      <c r="N680" s="23" t="str">
        <f t="shared" si="42"/>
        <v>OK</v>
      </c>
      <c r="O680" s="24">
        <f t="shared" si="43"/>
        <v>0</v>
      </c>
    </row>
    <row r="681" spans="1:15" ht="15" customHeight="1" x14ac:dyDescent="0.3">
      <c r="A681" s="23" t="s">
        <v>1795</v>
      </c>
      <c r="B681" s="38">
        <v>46290</v>
      </c>
      <c r="C681" s="23" t="s">
        <v>1796</v>
      </c>
      <c r="D681" s="23" t="s">
        <v>86</v>
      </c>
      <c r="E681" s="23" t="s">
        <v>79</v>
      </c>
      <c r="F681" s="23" t="s">
        <v>460</v>
      </c>
      <c r="G681" s="23" t="s">
        <v>250</v>
      </c>
      <c r="H681" s="39">
        <f t="shared" si="40"/>
        <v>1998</v>
      </c>
      <c r="I681" s="23" t="str">
        <f t="shared" si="41"/>
        <v>Delhi</v>
      </c>
      <c r="J681" s="23">
        <f>COUNTIFS(pg_transaction_cleaned!$O:$O,A681,pg_transaction_cleaned!$F:$F,"CAPTURE")</f>
        <v>1</v>
      </c>
      <c r="K681" s="39">
        <f>SUMIFS(pg_transaction_cleaned!$H:$H,pg_transaction_cleaned!$O:$O,A681,pg_transaction_cleaned!$F:$F,"CAPTURE")</f>
        <v>1998</v>
      </c>
      <c r="L681" s="23">
        <f>COUNTIFS(pg_transaction_cleaned!$O:$O,A681,pg_transaction_cleaned!$F:$F,"REFUND")</f>
        <v>0</v>
      </c>
      <c r="M681" s="39">
        <f>SUMIFS(pg_transaction_cleaned!$H:$H,pg_transaction_cleaned!$O:$O,A681,pg_transaction_cleaned!$F:$F,"REFUND")</f>
        <v>0</v>
      </c>
      <c r="N681" s="23" t="str">
        <f t="shared" si="42"/>
        <v>OK</v>
      </c>
      <c r="O681" s="24">
        <f t="shared" si="43"/>
        <v>0</v>
      </c>
    </row>
    <row r="682" spans="1:15" ht="15" customHeight="1" x14ac:dyDescent="0.3">
      <c r="A682" s="23" t="s">
        <v>1797</v>
      </c>
      <c r="B682" s="38">
        <v>46289</v>
      </c>
      <c r="C682" s="23" t="s">
        <v>1798</v>
      </c>
      <c r="D682" s="23" t="s">
        <v>92</v>
      </c>
      <c r="E682" s="23" t="s">
        <v>75</v>
      </c>
      <c r="F682" s="23" t="s">
        <v>1799</v>
      </c>
      <c r="G682" s="23" t="s">
        <v>250</v>
      </c>
      <c r="H682" s="39">
        <f t="shared" si="40"/>
        <v>2797</v>
      </c>
      <c r="I682" s="23" t="str">
        <f t="shared" si="41"/>
        <v>Hyderabad</v>
      </c>
      <c r="J682" s="23">
        <f>COUNTIFS(pg_transaction_cleaned!$O:$O,A682,pg_transaction_cleaned!$F:$F,"CAPTURE")</f>
        <v>1</v>
      </c>
      <c r="K682" s="39">
        <f>SUMIFS(pg_transaction_cleaned!$H:$H,pg_transaction_cleaned!$O:$O,A682,pg_transaction_cleaned!$F:$F,"CAPTURE")</f>
        <v>2797</v>
      </c>
      <c r="L682" s="23">
        <f>COUNTIFS(pg_transaction_cleaned!$O:$O,A682,pg_transaction_cleaned!$F:$F,"REFUND")</f>
        <v>0</v>
      </c>
      <c r="M682" s="39">
        <f>SUMIFS(pg_transaction_cleaned!$H:$H,pg_transaction_cleaned!$O:$O,A682,pg_transaction_cleaned!$F:$F,"REFUND")</f>
        <v>0</v>
      </c>
      <c r="N682" s="23" t="str">
        <f t="shared" si="42"/>
        <v>OK</v>
      </c>
      <c r="O682" s="24">
        <f t="shared" si="43"/>
        <v>0</v>
      </c>
    </row>
    <row r="683" spans="1:15" ht="15" customHeight="1" x14ac:dyDescent="0.3">
      <c r="A683" s="23" t="s">
        <v>1800</v>
      </c>
      <c r="B683" s="38">
        <v>46277</v>
      </c>
      <c r="C683" s="23" t="s">
        <v>1801</v>
      </c>
      <c r="D683" s="23" t="s">
        <v>93</v>
      </c>
      <c r="E683" s="23" t="s">
        <v>75</v>
      </c>
      <c r="F683" s="23" t="s">
        <v>249</v>
      </c>
      <c r="G683" s="23" t="s">
        <v>250</v>
      </c>
      <c r="H683" s="39">
        <f t="shared" si="40"/>
        <v>299</v>
      </c>
      <c r="I683" s="23" t="str">
        <f t="shared" si="41"/>
        <v>Kolkata</v>
      </c>
      <c r="J683" s="23">
        <f>COUNTIFS(pg_transaction_cleaned!$O:$O,A683,pg_transaction_cleaned!$F:$F,"CAPTURE")</f>
        <v>1</v>
      </c>
      <c r="K683" s="39">
        <f>SUMIFS(pg_transaction_cleaned!$H:$H,pg_transaction_cleaned!$O:$O,A683,pg_transaction_cleaned!$F:$F,"CAPTURE")</f>
        <v>299</v>
      </c>
      <c r="L683" s="23">
        <f>COUNTIFS(pg_transaction_cleaned!$O:$O,A683,pg_transaction_cleaned!$F:$F,"REFUND")</f>
        <v>0</v>
      </c>
      <c r="M683" s="39">
        <f>SUMIFS(pg_transaction_cleaned!$H:$H,pg_transaction_cleaned!$O:$O,A683,pg_transaction_cleaned!$F:$F,"REFUND")</f>
        <v>0</v>
      </c>
      <c r="N683" s="23" t="str">
        <f t="shared" si="42"/>
        <v>OK</v>
      </c>
      <c r="O683" s="24">
        <f t="shared" si="43"/>
        <v>0</v>
      </c>
    </row>
    <row r="684" spans="1:15" ht="15" customHeight="1" x14ac:dyDescent="0.3">
      <c r="A684" s="23" t="s">
        <v>1802</v>
      </c>
      <c r="B684" s="38">
        <v>46281</v>
      </c>
      <c r="C684" s="23" t="s">
        <v>1803</v>
      </c>
      <c r="D684" s="23" t="s">
        <v>92</v>
      </c>
      <c r="E684" s="23" t="s">
        <v>75</v>
      </c>
      <c r="F684" s="23" t="s">
        <v>1804</v>
      </c>
      <c r="G684" s="23" t="s">
        <v>301</v>
      </c>
      <c r="H684" s="39">
        <f t="shared" si="40"/>
        <v>598</v>
      </c>
      <c r="I684" s="23" t="str">
        <f t="shared" si="41"/>
        <v>Hyderabad</v>
      </c>
      <c r="J684" s="23">
        <f>COUNTIFS(pg_transaction_cleaned!$O:$O,A684,pg_transaction_cleaned!$F:$F,"CAPTURE")</f>
        <v>1</v>
      </c>
      <c r="K684" s="39">
        <f>SUMIFS(pg_transaction_cleaned!$H:$H,pg_transaction_cleaned!$O:$O,A684,pg_transaction_cleaned!$F:$F,"CAPTURE")</f>
        <v>598</v>
      </c>
      <c r="L684" s="23">
        <f>COUNTIFS(pg_transaction_cleaned!$O:$O,A684,pg_transaction_cleaned!$F:$F,"REFUND")</f>
        <v>0</v>
      </c>
      <c r="M684" s="39">
        <f>SUMIFS(pg_transaction_cleaned!$H:$H,pg_transaction_cleaned!$O:$O,A684,pg_transaction_cleaned!$F:$F,"REFUND")</f>
        <v>0</v>
      </c>
      <c r="N684" s="23" t="str">
        <f t="shared" si="42"/>
        <v>Refunded, no refund</v>
      </c>
      <c r="O684" s="24">
        <f t="shared" si="43"/>
        <v>598</v>
      </c>
    </row>
    <row r="685" spans="1:15" ht="15" customHeight="1" x14ac:dyDescent="0.3">
      <c r="A685" s="23" t="s">
        <v>1805</v>
      </c>
      <c r="B685" s="38">
        <v>46292</v>
      </c>
      <c r="C685" s="23" t="s">
        <v>1806</v>
      </c>
      <c r="D685" s="23" t="s">
        <v>94</v>
      </c>
      <c r="E685" s="23" t="s">
        <v>75</v>
      </c>
      <c r="F685" s="23" t="s">
        <v>680</v>
      </c>
      <c r="G685" s="23" t="s">
        <v>250</v>
      </c>
      <c r="H685" s="39">
        <f t="shared" si="40"/>
        <v>5097</v>
      </c>
      <c r="I685" s="23" t="str">
        <f t="shared" si="41"/>
        <v>Chennai</v>
      </c>
      <c r="J685" s="23">
        <f>COUNTIFS(pg_transaction_cleaned!$O:$O,A685,pg_transaction_cleaned!$F:$F,"CAPTURE")</f>
        <v>1</v>
      </c>
      <c r="K685" s="39">
        <f>SUMIFS(pg_transaction_cleaned!$H:$H,pg_transaction_cleaned!$O:$O,A685,pg_transaction_cleaned!$F:$F,"CAPTURE")</f>
        <v>5097</v>
      </c>
      <c r="L685" s="23">
        <f>COUNTIFS(pg_transaction_cleaned!$O:$O,A685,pg_transaction_cleaned!$F:$F,"REFUND")</f>
        <v>0</v>
      </c>
      <c r="M685" s="39">
        <f>SUMIFS(pg_transaction_cleaned!$H:$H,pg_transaction_cleaned!$O:$O,A685,pg_transaction_cleaned!$F:$F,"REFUND")</f>
        <v>0</v>
      </c>
      <c r="N685" s="23" t="str">
        <f t="shared" si="42"/>
        <v>OK</v>
      </c>
      <c r="O685" s="24">
        <f t="shared" si="43"/>
        <v>0</v>
      </c>
    </row>
    <row r="686" spans="1:15" ht="15" customHeight="1" x14ac:dyDescent="0.3">
      <c r="A686" s="23" t="s">
        <v>1807</v>
      </c>
      <c r="B686" s="38">
        <v>46284</v>
      </c>
      <c r="C686" s="23" t="s">
        <v>1808</v>
      </c>
      <c r="D686" s="23" t="s">
        <v>89</v>
      </c>
      <c r="E686" s="23" t="s">
        <v>77</v>
      </c>
      <c r="F686" s="23" t="s">
        <v>1809</v>
      </c>
      <c r="G686" s="23" t="s">
        <v>250</v>
      </c>
      <c r="H686" s="39">
        <f t="shared" si="40"/>
        <v>10147</v>
      </c>
      <c r="I686" s="23" t="str">
        <f t="shared" si="41"/>
        <v>Jaipur</v>
      </c>
      <c r="J686" s="23">
        <f>COUNTIFS(pg_transaction_cleaned!$O:$O,A686,pg_transaction_cleaned!$F:$F,"CAPTURE")</f>
        <v>1</v>
      </c>
      <c r="K686" s="39">
        <f>SUMIFS(pg_transaction_cleaned!$H:$H,pg_transaction_cleaned!$O:$O,A686,pg_transaction_cleaned!$F:$F,"CAPTURE")</f>
        <v>10147</v>
      </c>
      <c r="L686" s="23">
        <f>COUNTIFS(pg_transaction_cleaned!$O:$O,A686,pg_transaction_cleaned!$F:$F,"REFUND")</f>
        <v>0</v>
      </c>
      <c r="M686" s="39">
        <f>SUMIFS(pg_transaction_cleaned!$H:$H,pg_transaction_cleaned!$O:$O,A686,pg_transaction_cleaned!$F:$F,"REFUND")</f>
        <v>0</v>
      </c>
      <c r="N686" s="23" t="str">
        <f t="shared" si="42"/>
        <v>OK</v>
      </c>
      <c r="O686" s="24">
        <f t="shared" si="43"/>
        <v>0</v>
      </c>
    </row>
    <row r="687" spans="1:15" ht="15" customHeight="1" x14ac:dyDescent="0.3">
      <c r="A687" s="23" t="s">
        <v>1810</v>
      </c>
      <c r="B687" s="38">
        <v>46278</v>
      </c>
      <c r="C687" s="23" t="s">
        <v>1811</v>
      </c>
      <c r="D687" s="23" t="s">
        <v>88</v>
      </c>
      <c r="E687" s="23" t="s">
        <v>75</v>
      </c>
      <c r="F687" s="23" t="s">
        <v>310</v>
      </c>
      <c r="G687" s="23" t="s">
        <v>250</v>
      </c>
      <c r="H687" s="39">
        <f t="shared" si="40"/>
        <v>7999</v>
      </c>
      <c r="I687" s="23" t="str">
        <f t="shared" si="41"/>
        <v>Lucknow</v>
      </c>
      <c r="J687" s="23">
        <f>COUNTIFS(pg_transaction_cleaned!$O:$O,A687,pg_transaction_cleaned!$F:$F,"CAPTURE")</f>
        <v>1</v>
      </c>
      <c r="K687" s="39">
        <f>SUMIFS(pg_transaction_cleaned!$H:$H,pg_transaction_cleaned!$O:$O,A687,pg_transaction_cleaned!$F:$F,"CAPTURE")</f>
        <v>7999</v>
      </c>
      <c r="L687" s="23">
        <f>COUNTIFS(pg_transaction_cleaned!$O:$O,A687,pg_transaction_cleaned!$F:$F,"REFUND")</f>
        <v>0</v>
      </c>
      <c r="M687" s="39">
        <f>SUMIFS(pg_transaction_cleaned!$H:$H,pg_transaction_cleaned!$O:$O,A687,pg_transaction_cleaned!$F:$F,"REFUND")</f>
        <v>0</v>
      </c>
      <c r="N687" s="23" t="str">
        <f t="shared" si="42"/>
        <v>OK</v>
      </c>
      <c r="O687" s="24">
        <f t="shared" si="43"/>
        <v>0</v>
      </c>
    </row>
    <row r="688" spans="1:15" ht="15" customHeight="1" x14ac:dyDescent="0.3">
      <c r="A688" s="23" t="s">
        <v>1812</v>
      </c>
      <c r="B688" s="38">
        <v>46266</v>
      </c>
      <c r="C688" s="23" t="s">
        <v>1813</v>
      </c>
      <c r="D688" s="23" t="s">
        <v>92</v>
      </c>
      <c r="E688" s="23" t="s">
        <v>75</v>
      </c>
      <c r="F688" s="23" t="s">
        <v>460</v>
      </c>
      <c r="G688" s="23" t="s">
        <v>250</v>
      </c>
      <c r="H688" s="39">
        <f t="shared" si="40"/>
        <v>1998</v>
      </c>
      <c r="I688" s="23" t="str">
        <f t="shared" si="41"/>
        <v>Hyderabad</v>
      </c>
      <c r="J688" s="23">
        <f>COUNTIFS(pg_transaction_cleaned!$O:$O,A688,pg_transaction_cleaned!$F:$F,"CAPTURE")</f>
        <v>1</v>
      </c>
      <c r="K688" s="39">
        <f>SUMIFS(pg_transaction_cleaned!$H:$H,pg_transaction_cleaned!$O:$O,A688,pg_transaction_cleaned!$F:$F,"CAPTURE")</f>
        <v>1998</v>
      </c>
      <c r="L688" s="23">
        <f>COUNTIFS(pg_transaction_cleaned!$O:$O,A688,pg_transaction_cleaned!$F:$F,"REFUND")</f>
        <v>0</v>
      </c>
      <c r="M688" s="39">
        <f>SUMIFS(pg_transaction_cleaned!$H:$H,pg_transaction_cleaned!$O:$O,A688,pg_transaction_cleaned!$F:$F,"REFUND")</f>
        <v>0</v>
      </c>
      <c r="N688" s="23" t="str">
        <f t="shared" si="42"/>
        <v>OK</v>
      </c>
      <c r="O688" s="24">
        <f t="shared" si="43"/>
        <v>0</v>
      </c>
    </row>
    <row r="689" spans="1:15" ht="15" customHeight="1" x14ac:dyDescent="0.3">
      <c r="A689" s="23" t="s">
        <v>1814</v>
      </c>
      <c r="B689" s="38">
        <v>46272</v>
      </c>
      <c r="C689" s="23" t="s">
        <v>1815</v>
      </c>
      <c r="D689" s="23" t="s">
        <v>95</v>
      </c>
      <c r="E689" s="23" t="s">
        <v>79</v>
      </c>
      <c r="F689" s="23" t="s">
        <v>262</v>
      </c>
      <c r="G689" s="23" t="s">
        <v>250</v>
      </c>
      <c r="H689" s="39">
        <f t="shared" si="40"/>
        <v>499</v>
      </c>
      <c r="I689" s="23" t="str">
        <f t="shared" si="41"/>
        <v>Bengaluru</v>
      </c>
      <c r="J689" s="23">
        <f>COUNTIFS(pg_transaction_cleaned!$O:$O,A689,pg_transaction_cleaned!$F:$F,"CAPTURE")</f>
        <v>1</v>
      </c>
      <c r="K689" s="39">
        <f>SUMIFS(pg_transaction_cleaned!$H:$H,pg_transaction_cleaned!$O:$O,A689,pg_transaction_cleaned!$F:$F,"CAPTURE")</f>
        <v>499</v>
      </c>
      <c r="L689" s="23">
        <f>COUNTIFS(pg_transaction_cleaned!$O:$O,A689,pg_transaction_cleaned!$F:$F,"REFUND")</f>
        <v>0</v>
      </c>
      <c r="M689" s="39">
        <f>SUMIFS(pg_transaction_cleaned!$H:$H,pg_transaction_cleaned!$O:$O,A689,pg_transaction_cleaned!$F:$F,"REFUND")</f>
        <v>0</v>
      </c>
      <c r="N689" s="23" t="str">
        <f t="shared" si="42"/>
        <v>OK</v>
      </c>
      <c r="O689" s="24">
        <f t="shared" si="43"/>
        <v>0</v>
      </c>
    </row>
    <row r="690" spans="1:15" ht="15" customHeight="1" x14ac:dyDescent="0.3">
      <c r="A690" s="23" t="s">
        <v>1816</v>
      </c>
      <c r="B690" s="38">
        <v>46279</v>
      </c>
      <c r="C690" s="23" t="s">
        <v>1817</v>
      </c>
      <c r="D690" s="23" t="s">
        <v>95</v>
      </c>
      <c r="E690" s="23" t="s">
        <v>79</v>
      </c>
      <c r="F690" s="23" t="s">
        <v>291</v>
      </c>
      <c r="G690" s="23" t="s">
        <v>250</v>
      </c>
      <c r="H690" s="39">
        <f t="shared" si="40"/>
        <v>3499</v>
      </c>
      <c r="I690" s="23" t="str">
        <f t="shared" si="41"/>
        <v>Bengaluru</v>
      </c>
      <c r="J690" s="23">
        <f>COUNTIFS(pg_transaction_cleaned!$O:$O,A690,pg_transaction_cleaned!$F:$F,"CAPTURE")</f>
        <v>1</v>
      </c>
      <c r="K690" s="39">
        <f>SUMIFS(pg_transaction_cleaned!$H:$H,pg_transaction_cleaned!$O:$O,A690,pg_transaction_cleaned!$F:$F,"CAPTURE")</f>
        <v>3499</v>
      </c>
      <c r="L690" s="23">
        <f>COUNTIFS(pg_transaction_cleaned!$O:$O,A690,pg_transaction_cleaned!$F:$F,"REFUND")</f>
        <v>0</v>
      </c>
      <c r="M690" s="39">
        <f>SUMIFS(pg_transaction_cleaned!$H:$H,pg_transaction_cleaned!$O:$O,A690,pg_transaction_cleaned!$F:$F,"REFUND")</f>
        <v>0</v>
      </c>
      <c r="N690" s="23" t="str">
        <f t="shared" si="42"/>
        <v>OK</v>
      </c>
      <c r="O690" s="24">
        <f t="shared" si="43"/>
        <v>0</v>
      </c>
    </row>
    <row r="691" spans="1:15" ht="15" customHeight="1" x14ac:dyDescent="0.3">
      <c r="A691" s="23" t="s">
        <v>1818</v>
      </c>
      <c r="B691" s="38">
        <v>46284</v>
      </c>
      <c r="C691" s="23" t="s">
        <v>1819</v>
      </c>
      <c r="D691" s="23"/>
      <c r="E691" s="23" t="s">
        <v>75</v>
      </c>
      <c r="F691" s="23" t="s">
        <v>396</v>
      </c>
      <c r="G691" s="23" t="s">
        <v>250</v>
      </c>
      <c r="H691" s="39">
        <f t="shared" si="40"/>
        <v>2999</v>
      </c>
      <c r="I691" s="23" t="str">
        <f t="shared" si="41"/>
        <v>Unknown</v>
      </c>
      <c r="J691" s="23">
        <f>COUNTIFS(pg_transaction_cleaned!$O:$O,A691,pg_transaction_cleaned!$F:$F,"CAPTURE")</f>
        <v>1</v>
      </c>
      <c r="K691" s="39">
        <f>SUMIFS(pg_transaction_cleaned!$H:$H,pg_transaction_cleaned!$O:$O,A691,pg_transaction_cleaned!$F:$F,"CAPTURE")</f>
        <v>2999</v>
      </c>
      <c r="L691" s="23">
        <f>COUNTIFS(pg_transaction_cleaned!$O:$O,A691,pg_transaction_cleaned!$F:$F,"REFUND")</f>
        <v>0</v>
      </c>
      <c r="M691" s="39">
        <f>SUMIFS(pg_transaction_cleaned!$H:$H,pg_transaction_cleaned!$O:$O,A691,pg_transaction_cleaned!$F:$F,"REFUND")</f>
        <v>0</v>
      </c>
      <c r="N691" s="23" t="str">
        <f t="shared" si="42"/>
        <v>OK</v>
      </c>
      <c r="O691" s="24">
        <f t="shared" si="43"/>
        <v>0</v>
      </c>
    </row>
    <row r="692" spans="1:15" ht="15" customHeight="1" x14ac:dyDescent="0.3">
      <c r="A692" s="23" t="s">
        <v>1820</v>
      </c>
      <c r="B692" s="38">
        <v>46284</v>
      </c>
      <c r="C692" s="23" t="s">
        <v>1821</v>
      </c>
      <c r="D692" s="23" t="s">
        <v>86</v>
      </c>
      <c r="E692" s="23" t="s">
        <v>75</v>
      </c>
      <c r="F692" s="23" t="s">
        <v>1352</v>
      </c>
      <c r="G692" s="23" t="s">
        <v>250</v>
      </c>
      <c r="H692" s="39">
        <f t="shared" si="40"/>
        <v>998</v>
      </c>
      <c r="I692" s="23" t="str">
        <f t="shared" si="41"/>
        <v>Delhi</v>
      </c>
      <c r="J692" s="23">
        <f>COUNTIFS(pg_transaction_cleaned!$O:$O,A692,pg_transaction_cleaned!$F:$F,"CAPTURE")</f>
        <v>1</v>
      </c>
      <c r="K692" s="39">
        <f>SUMIFS(pg_transaction_cleaned!$H:$H,pg_transaction_cleaned!$O:$O,A692,pg_transaction_cleaned!$F:$F,"CAPTURE")</f>
        <v>998</v>
      </c>
      <c r="L692" s="23">
        <f>COUNTIFS(pg_transaction_cleaned!$O:$O,A692,pg_transaction_cleaned!$F:$F,"REFUND")</f>
        <v>0</v>
      </c>
      <c r="M692" s="39">
        <f>SUMIFS(pg_transaction_cleaned!$H:$H,pg_transaction_cleaned!$O:$O,A692,pg_transaction_cleaned!$F:$F,"REFUND")</f>
        <v>0</v>
      </c>
      <c r="N692" s="23" t="str">
        <f t="shared" si="42"/>
        <v>OK</v>
      </c>
      <c r="O692" s="24">
        <f t="shared" si="43"/>
        <v>0</v>
      </c>
    </row>
    <row r="693" spans="1:15" ht="15" customHeight="1" x14ac:dyDescent="0.3">
      <c r="A693" s="23" t="s">
        <v>1822</v>
      </c>
      <c r="B693" s="38">
        <v>46267</v>
      </c>
      <c r="C693" s="23" t="s">
        <v>1823</v>
      </c>
      <c r="D693" s="23" t="s">
        <v>88</v>
      </c>
      <c r="E693" s="23" t="s">
        <v>75</v>
      </c>
      <c r="F693" s="23" t="s">
        <v>475</v>
      </c>
      <c r="G693" s="23" t="s">
        <v>365</v>
      </c>
      <c r="H693" s="39">
        <f t="shared" si="40"/>
        <v>799</v>
      </c>
      <c r="I693" s="23" t="str">
        <f t="shared" si="41"/>
        <v>Lucknow</v>
      </c>
      <c r="J693" s="23">
        <f>COUNTIFS(pg_transaction_cleaned!$O:$O,A693,pg_transaction_cleaned!$F:$F,"CAPTURE")</f>
        <v>0</v>
      </c>
      <c r="K693" s="39">
        <f>SUMIFS(pg_transaction_cleaned!$H:$H,pg_transaction_cleaned!$O:$O,A693,pg_transaction_cleaned!$F:$F,"CAPTURE")</f>
        <v>0</v>
      </c>
      <c r="L693" s="23">
        <f>COUNTIFS(pg_transaction_cleaned!$O:$O,A693,pg_transaction_cleaned!$F:$F,"REFUND")</f>
        <v>0</v>
      </c>
      <c r="M693" s="39">
        <f>SUMIFS(pg_transaction_cleaned!$H:$H,pg_transaction_cleaned!$O:$O,A693,pg_transaction_cleaned!$F:$F,"REFUND")</f>
        <v>0</v>
      </c>
      <c r="N693" s="23" t="str">
        <f t="shared" si="42"/>
        <v>OK</v>
      </c>
      <c r="O693" s="24">
        <f t="shared" si="43"/>
        <v>0</v>
      </c>
    </row>
    <row r="694" spans="1:15" ht="15" customHeight="1" x14ac:dyDescent="0.3">
      <c r="A694" s="23" t="s">
        <v>1824</v>
      </c>
      <c r="B694" s="38">
        <v>46284</v>
      </c>
      <c r="C694" s="23" t="s">
        <v>1825</v>
      </c>
      <c r="D694" s="23" t="s">
        <v>95</v>
      </c>
      <c r="E694" s="23" t="s">
        <v>75</v>
      </c>
      <c r="F694" s="23" t="s">
        <v>1206</v>
      </c>
      <c r="G694" s="23" t="s">
        <v>250</v>
      </c>
      <c r="H694" s="39">
        <f t="shared" si="40"/>
        <v>7297</v>
      </c>
      <c r="I694" s="23" t="str">
        <f t="shared" si="41"/>
        <v>Bengaluru</v>
      </c>
      <c r="J694" s="23">
        <f>COUNTIFS(pg_transaction_cleaned!$O:$O,A694,pg_transaction_cleaned!$F:$F,"CAPTURE")</f>
        <v>1</v>
      </c>
      <c r="K694" s="39">
        <f>SUMIFS(pg_transaction_cleaned!$H:$H,pg_transaction_cleaned!$O:$O,A694,pg_transaction_cleaned!$F:$F,"CAPTURE")</f>
        <v>7297</v>
      </c>
      <c r="L694" s="23">
        <f>COUNTIFS(pg_transaction_cleaned!$O:$O,A694,pg_transaction_cleaned!$F:$F,"REFUND")</f>
        <v>0</v>
      </c>
      <c r="M694" s="39">
        <f>SUMIFS(pg_transaction_cleaned!$H:$H,pg_transaction_cleaned!$O:$O,A694,pg_transaction_cleaned!$F:$F,"REFUND")</f>
        <v>0</v>
      </c>
      <c r="N694" s="23" t="str">
        <f t="shared" si="42"/>
        <v>OK</v>
      </c>
      <c r="O694" s="24">
        <f t="shared" si="43"/>
        <v>0</v>
      </c>
    </row>
    <row r="695" spans="1:15" ht="15" customHeight="1" x14ac:dyDescent="0.3">
      <c r="A695" s="23" t="s">
        <v>1826</v>
      </c>
      <c r="B695" s="38">
        <v>46280</v>
      </c>
      <c r="C695" s="23" t="s">
        <v>1827</v>
      </c>
      <c r="D695" s="23" t="s">
        <v>88</v>
      </c>
      <c r="E695" s="23" t="s">
        <v>75</v>
      </c>
      <c r="F695" s="23" t="s">
        <v>343</v>
      </c>
      <c r="G695" s="23" t="s">
        <v>250</v>
      </c>
      <c r="H695" s="39">
        <f t="shared" si="40"/>
        <v>9498</v>
      </c>
      <c r="I695" s="23" t="str">
        <f t="shared" si="41"/>
        <v>Lucknow</v>
      </c>
      <c r="J695" s="23">
        <f>COUNTIFS(pg_transaction_cleaned!$O:$O,A695,pg_transaction_cleaned!$F:$F,"CAPTURE")</f>
        <v>1</v>
      </c>
      <c r="K695" s="39">
        <f>SUMIFS(pg_transaction_cleaned!$H:$H,pg_transaction_cleaned!$O:$O,A695,pg_transaction_cleaned!$F:$F,"CAPTURE")</f>
        <v>9498</v>
      </c>
      <c r="L695" s="23">
        <f>COUNTIFS(pg_transaction_cleaned!$O:$O,A695,pg_transaction_cleaned!$F:$F,"REFUND")</f>
        <v>0</v>
      </c>
      <c r="M695" s="39">
        <f>SUMIFS(pg_transaction_cleaned!$H:$H,pg_transaction_cleaned!$O:$O,A695,pg_transaction_cleaned!$F:$F,"REFUND")</f>
        <v>0</v>
      </c>
      <c r="N695" s="23" t="str">
        <f t="shared" si="42"/>
        <v>OK</v>
      </c>
      <c r="O695" s="24">
        <f t="shared" si="43"/>
        <v>0</v>
      </c>
    </row>
    <row r="696" spans="1:15" ht="15" customHeight="1" x14ac:dyDescent="0.3">
      <c r="A696" s="23" t="s">
        <v>1828</v>
      </c>
      <c r="B696" s="38">
        <v>46270</v>
      </c>
      <c r="C696" s="23" t="s">
        <v>1829</v>
      </c>
      <c r="D696" s="23" t="s">
        <v>86</v>
      </c>
      <c r="E696" s="23" t="s">
        <v>79</v>
      </c>
      <c r="F696" s="23" t="s">
        <v>1735</v>
      </c>
      <c r="G696" s="23" t="s">
        <v>250</v>
      </c>
      <c r="H696" s="39">
        <f t="shared" si="40"/>
        <v>12998</v>
      </c>
      <c r="I696" s="23" t="str">
        <f t="shared" si="41"/>
        <v>Delhi</v>
      </c>
      <c r="J696" s="23">
        <f>COUNTIFS(pg_transaction_cleaned!$O:$O,A696,pg_transaction_cleaned!$F:$F,"CAPTURE")</f>
        <v>1</v>
      </c>
      <c r="K696" s="39">
        <f>SUMIFS(pg_transaction_cleaned!$H:$H,pg_transaction_cleaned!$O:$O,A696,pg_transaction_cleaned!$F:$F,"CAPTURE")</f>
        <v>12998</v>
      </c>
      <c r="L696" s="23">
        <f>COUNTIFS(pg_transaction_cleaned!$O:$O,A696,pg_transaction_cleaned!$F:$F,"REFUND")</f>
        <v>0</v>
      </c>
      <c r="M696" s="39">
        <f>SUMIFS(pg_transaction_cleaned!$H:$H,pg_transaction_cleaned!$O:$O,A696,pg_transaction_cleaned!$F:$F,"REFUND")</f>
        <v>0</v>
      </c>
      <c r="N696" s="23" t="str">
        <f t="shared" si="42"/>
        <v>OK</v>
      </c>
      <c r="O696" s="24">
        <f t="shared" si="43"/>
        <v>0</v>
      </c>
    </row>
    <row r="697" spans="1:15" ht="15" customHeight="1" x14ac:dyDescent="0.3">
      <c r="A697" s="23" t="s">
        <v>1830</v>
      </c>
      <c r="B697" s="38">
        <v>46289</v>
      </c>
      <c r="C697" s="23" t="s">
        <v>1831</v>
      </c>
      <c r="D697" s="23" t="s">
        <v>86</v>
      </c>
      <c r="E697" s="23" t="s">
        <v>75</v>
      </c>
      <c r="F697" s="23" t="s">
        <v>1832</v>
      </c>
      <c r="G697" s="23" t="s">
        <v>250</v>
      </c>
      <c r="H697" s="39">
        <f t="shared" si="40"/>
        <v>4997</v>
      </c>
      <c r="I697" s="23" t="str">
        <f t="shared" si="41"/>
        <v>Delhi</v>
      </c>
      <c r="J697" s="23">
        <f>COUNTIFS(pg_transaction_cleaned!$O:$O,A697,pg_transaction_cleaned!$F:$F,"CAPTURE")</f>
        <v>1</v>
      </c>
      <c r="K697" s="39">
        <f>SUMIFS(pg_transaction_cleaned!$H:$H,pg_transaction_cleaned!$O:$O,A697,pg_transaction_cleaned!$F:$F,"CAPTURE")</f>
        <v>4997</v>
      </c>
      <c r="L697" s="23">
        <f>COUNTIFS(pg_transaction_cleaned!$O:$O,A697,pg_transaction_cleaned!$F:$F,"REFUND")</f>
        <v>0</v>
      </c>
      <c r="M697" s="39">
        <f>SUMIFS(pg_transaction_cleaned!$H:$H,pg_transaction_cleaned!$O:$O,A697,pg_transaction_cleaned!$F:$F,"REFUND")</f>
        <v>0</v>
      </c>
      <c r="N697" s="23" t="str">
        <f t="shared" si="42"/>
        <v>OK</v>
      </c>
      <c r="O697" s="24">
        <f t="shared" si="43"/>
        <v>0</v>
      </c>
    </row>
    <row r="698" spans="1:15" ht="15" customHeight="1" x14ac:dyDescent="0.3">
      <c r="A698" s="23" t="s">
        <v>1833</v>
      </c>
      <c r="B698" s="38">
        <v>46269</v>
      </c>
      <c r="C698" s="23" t="s">
        <v>1834</v>
      </c>
      <c r="D698" s="23" t="s">
        <v>93</v>
      </c>
      <c r="E698" s="23" t="s">
        <v>77</v>
      </c>
      <c r="F698" s="23" t="s">
        <v>390</v>
      </c>
      <c r="G698" s="23" t="s">
        <v>250</v>
      </c>
      <c r="H698" s="39">
        <f t="shared" si="40"/>
        <v>599</v>
      </c>
      <c r="I698" s="23" t="str">
        <f t="shared" si="41"/>
        <v>Kolkata</v>
      </c>
      <c r="J698" s="23">
        <f>COUNTIFS(pg_transaction_cleaned!$O:$O,A698,pg_transaction_cleaned!$F:$F,"CAPTURE")</f>
        <v>1</v>
      </c>
      <c r="K698" s="39">
        <f>SUMIFS(pg_transaction_cleaned!$H:$H,pg_transaction_cleaned!$O:$O,A698,pg_transaction_cleaned!$F:$F,"CAPTURE")</f>
        <v>599</v>
      </c>
      <c r="L698" s="23">
        <f>COUNTIFS(pg_transaction_cleaned!$O:$O,A698,pg_transaction_cleaned!$F:$F,"REFUND")</f>
        <v>0</v>
      </c>
      <c r="M698" s="39">
        <f>SUMIFS(pg_transaction_cleaned!$H:$H,pg_transaction_cleaned!$O:$O,A698,pg_transaction_cleaned!$F:$F,"REFUND")</f>
        <v>0</v>
      </c>
      <c r="N698" s="23" t="str">
        <f t="shared" si="42"/>
        <v>OK</v>
      </c>
      <c r="O698" s="24">
        <f t="shared" si="43"/>
        <v>0</v>
      </c>
    </row>
    <row r="699" spans="1:15" ht="15" customHeight="1" x14ac:dyDescent="0.3">
      <c r="A699" s="23" t="s">
        <v>1835</v>
      </c>
      <c r="B699" s="38">
        <v>46292</v>
      </c>
      <c r="C699" s="23" t="s">
        <v>1836</v>
      </c>
      <c r="D699" s="23" t="s">
        <v>88</v>
      </c>
      <c r="E699" s="23" t="s">
        <v>75</v>
      </c>
      <c r="F699" s="23" t="s">
        <v>271</v>
      </c>
      <c r="G699" s="23" t="s">
        <v>250</v>
      </c>
      <c r="H699" s="39">
        <f t="shared" si="40"/>
        <v>2499</v>
      </c>
      <c r="I699" s="23" t="str">
        <f t="shared" si="41"/>
        <v>Lucknow</v>
      </c>
      <c r="J699" s="23">
        <f>COUNTIFS(pg_transaction_cleaned!$O:$O,A699,pg_transaction_cleaned!$F:$F,"CAPTURE")</f>
        <v>1</v>
      </c>
      <c r="K699" s="39">
        <f>SUMIFS(pg_transaction_cleaned!$H:$H,pg_transaction_cleaned!$O:$O,A699,pg_transaction_cleaned!$F:$F,"CAPTURE")</f>
        <v>2499</v>
      </c>
      <c r="L699" s="23">
        <f>COUNTIFS(pg_transaction_cleaned!$O:$O,A699,pg_transaction_cleaned!$F:$F,"REFUND")</f>
        <v>0</v>
      </c>
      <c r="M699" s="39">
        <f>SUMIFS(pg_transaction_cleaned!$H:$H,pg_transaction_cleaned!$O:$O,A699,pg_transaction_cleaned!$F:$F,"REFUND")</f>
        <v>0</v>
      </c>
      <c r="N699" s="23" t="str">
        <f t="shared" si="42"/>
        <v>OK</v>
      </c>
      <c r="O699" s="24">
        <f t="shared" si="43"/>
        <v>0</v>
      </c>
    </row>
    <row r="700" spans="1:15" ht="15" customHeight="1" x14ac:dyDescent="0.3">
      <c r="A700" s="23" t="s">
        <v>1837</v>
      </c>
      <c r="B700" s="38">
        <v>46267</v>
      </c>
      <c r="C700" s="23" t="s">
        <v>1838</v>
      </c>
      <c r="D700" s="23" t="s">
        <v>88</v>
      </c>
      <c r="E700" s="23" t="s">
        <v>75</v>
      </c>
      <c r="F700" s="23" t="s">
        <v>426</v>
      </c>
      <c r="G700" s="23" t="s">
        <v>250</v>
      </c>
      <c r="H700" s="39">
        <f t="shared" si="40"/>
        <v>6798</v>
      </c>
      <c r="I700" s="23" t="str">
        <f t="shared" si="41"/>
        <v>Lucknow</v>
      </c>
      <c r="J700" s="23">
        <f>COUNTIFS(pg_transaction_cleaned!$O:$O,A700,pg_transaction_cleaned!$F:$F,"CAPTURE")</f>
        <v>1</v>
      </c>
      <c r="K700" s="39">
        <f>SUMIFS(pg_transaction_cleaned!$H:$H,pg_transaction_cleaned!$O:$O,A700,pg_transaction_cleaned!$F:$F,"CAPTURE")</f>
        <v>6798</v>
      </c>
      <c r="L700" s="23">
        <f>COUNTIFS(pg_transaction_cleaned!$O:$O,A700,pg_transaction_cleaned!$F:$F,"REFUND")</f>
        <v>0</v>
      </c>
      <c r="M700" s="39">
        <f>SUMIFS(pg_transaction_cleaned!$H:$H,pg_transaction_cleaned!$O:$O,A700,pg_transaction_cleaned!$F:$F,"REFUND")</f>
        <v>0</v>
      </c>
      <c r="N700" s="23" t="str">
        <f t="shared" si="42"/>
        <v>OK</v>
      </c>
      <c r="O700" s="24">
        <f t="shared" si="43"/>
        <v>0</v>
      </c>
    </row>
    <row r="701" spans="1:15" ht="15" customHeight="1" x14ac:dyDescent="0.3">
      <c r="A701" s="23" t="s">
        <v>1839</v>
      </c>
      <c r="B701" s="38">
        <v>46283</v>
      </c>
      <c r="C701" s="23" t="s">
        <v>1840</v>
      </c>
      <c r="D701" s="23" t="s">
        <v>94</v>
      </c>
      <c r="E701" s="23" t="s">
        <v>75</v>
      </c>
      <c r="F701" s="23" t="s">
        <v>297</v>
      </c>
      <c r="G701" s="23" t="s">
        <v>250</v>
      </c>
      <c r="H701" s="39">
        <f t="shared" si="40"/>
        <v>4999</v>
      </c>
      <c r="I701" s="23" t="str">
        <f t="shared" si="41"/>
        <v>Chennai</v>
      </c>
      <c r="J701" s="23">
        <f>COUNTIFS(pg_transaction_cleaned!$O:$O,A701,pg_transaction_cleaned!$F:$F,"CAPTURE")</f>
        <v>1</v>
      </c>
      <c r="K701" s="39">
        <f>SUMIFS(pg_transaction_cleaned!$H:$H,pg_transaction_cleaned!$O:$O,A701,pg_transaction_cleaned!$F:$F,"CAPTURE")</f>
        <v>4999</v>
      </c>
      <c r="L701" s="23">
        <f>COUNTIFS(pg_transaction_cleaned!$O:$O,A701,pg_transaction_cleaned!$F:$F,"REFUND")</f>
        <v>0</v>
      </c>
      <c r="M701" s="39">
        <f>SUMIFS(pg_transaction_cleaned!$H:$H,pg_transaction_cleaned!$O:$O,A701,pg_transaction_cleaned!$F:$F,"REFUND")</f>
        <v>0</v>
      </c>
      <c r="N701" s="23" t="str">
        <f t="shared" si="42"/>
        <v>OK</v>
      </c>
      <c r="O701" s="24">
        <f t="shared" si="43"/>
        <v>0</v>
      </c>
    </row>
    <row r="702" spans="1:15" ht="15" customHeight="1" x14ac:dyDescent="0.3">
      <c r="A702" s="23" t="s">
        <v>1841</v>
      </c>
      <c r="B702" s="38">
        <v>46293</v>
      </c>
      <c r="C702" s="23" t="s">
        <v>1842</v>
      </c>
      <c r="D702" s="23" t="s">
        <v>93</v>
      </c>
      <c r="E702" s="23" t="s">
        <v>75</v>
      </c>
      <c r="F702" s="23" t="s">
        <v>1596</v>
      </c>
      <c r="G702" s="23" t="s">
        <v>250</v>
      </c>
      <c r="H702" s="39">
        <f t="shared" si="40"/>
        <v>3499</v>
      </c>
      <c r="I702" s="23" t="str">
        <f t="shared" si="41"/>
        <v>Kolkata</v>
      </c>
      <c r="J702" s="23">
        <f>COUNTIFS(pg_transaction_cleaned!$O:$O,A702,pg_transaction_cleaned!$F:$F,"CAPTURE")</f>
        <v>1</v>
      </c>
      <c r="K702" s="39">
        <f>SUMIFS(pg_transaction_cleaned!$H:$H,pg_transaction_cleaned!$O:$O,A702,pg_transaction_cleaned!$F:$F,"CAPTURE")</f>
        <v>3499</v>
      </c>
      <c r="L702" s="23">
        <f>COUNTIFS(pg_transaction_cleaned!$O:$O,A702,pg_transaction_cleaned!$F:$F,"REFUND")</f>
        <v>0</v>
      </c>
      <c r="M702" s="39">
        <f>SUMIFS(pg_transaction_cleaned!$H:$H,pg_transaction_cleaned!$O:$O,A702,pg_transaction_cleaned!$F:$F,"REFUND")</f>
        <v>0</v>
      </c>
      <c r="N702" s="23" t="str">
        <f t="shared" si="42"/>
        <v>OK</v>
      </c>
      <c r="O702" s="24">
        <f t="shared" si="43"/>
        <v>0</v>
      </c>
    </row>
    <row r="703" spans="1:15" ht="15" customHeight="1" x14ac:dyDescent="0.3">
      <c r="A703" s="23" t="s">
        <v>1843</v>
      </c>
      <c r="B703" s="38">
        <v>46277</v>
      </c>
      <c r="C703" s="23" t="s">
        <v>1844</v>
      </c>
      <c r="D703" s="23" t="s">
        <v>91</v>
      </c>
      <c r="E703" s="23" t="s">
        <v>81</v>
      </c>
      <c r="F703" s="23" t="s">
        <v>612</v>
      </c>
      <c r="G703" s="23" t="s">
        <v>365</v>
      </c>
      <c r="H703" s="39">
        <f t="shared" si="40"/>
        <v>8498</v>
      </c>
      <c r="I703" s="23" t="str">
        <f t="shared" si="41"/>
        <v>Pune</v>
      </c>
      <c r="J703" s="23">
        <f>COUNTIFS(pg_transaction_cleaned!$O:$O,A703,pg_transaction_cleaned!$F:$F,"CAPTURE")</f>
        <v>0</v>
      </c>
      <c r="K703" s="39">
        <f>SUMIFS(pg_transaction_cleaned!$H:$H,pg_transaction_cleaned!$O:$O,A703,pg_transaction_cleaned!$F:$F,"CAPTURE")</f>
        <v>0</v>
      </c>
      <c r="L703" s="23">
        <f>COUNTIFS(pg_transaction_cleaned!$O:$O,A703,pg_transaction_cleaned!$F:$F,"REFUND")</f>
        <v>0</v>
      </c>
      <c r="M703" s="39">
        <f>SUMIFS(pg_transaction_cleaned!$H:$H,pg_transaction_cleaned!$O:$O,A703,pg_transaction_cleaned!$F:$F,"REFUND")</f>
        <v>0</v>
      </c>
      <c r="N703" s="23" t="str">
        <f t="shared" si="42"/>
        <v>OK</v>
      </c>
      <c r="O703" s="24">
        <f t="shared" si="43"/>
        <v>0</v>
      </c>
    </row>
    <row r="704" spans="1:15" ht="15" customHeight="1" x14ac:dyDescent="0.3">
      <c r="A704" s="23" t="s">
        <v>1845</v>
      </c>
      <c r="B704" s="38">
        <v>46279</v>
      </c>
      <c r="C704" s="23" t="s">
        <v>1846</v>
      </c>
      <c r="D704" s="23" t="s">
        <v>92</v>
      </c>
      <c r="E704" s="23" t="s">
        <v>75</v>
      </c>
      <c r="F704" s="23" t="s">
        <v>475</v>
      </c>
      <c r="G704" s="23" t="s">
        <v>250</v>
      </c>
      <c r="H704" s="39">
        <f t="shared" si="40"/>
        <v>799</v>
      </c>
      <c r="I704" s="23" t="str">
        <f t="shared" si="41"/>
        <v>Hyderabad</v>
      </c>
      <c r="J704" s="23">
        <f>COUNTIFS(pg_transaction_cleaned!$O:$O,A704,pg_transaction_cleaned!$F:$F,"CAPTURE")</f>
        <v>1</v>
      </c>
      <c r="K704" s="39">
        <f>SUMIFS(pg_transaction_cleaned!$H:$H,pg_transaction_cleaned!$O:$O,A704,pg_transaction_cleaned!$F:$F,"CAPTURE")</f>
        <v>799</v>
      </c>
      <c r="L704" s="23">
        <f>COUNTIFS(pg_transaction_cleaned!$O:$O,A704,pg_transaction_cleaned!$F:$F,"REFUND")</f>
        <v>0</v>
      </c>
      <c r="M704" s="39">
        <f>SUMIFS(pg_transaction_cleaned!$H:$H,pg_transaction_cleaned!$O:$O,A704,pg_transaction_cleaned!$F:$F,"REFUND")</f>
        <v>0</v>
      </c>
      <c r="N704" s="23" t="str">
        <f t="shared" si="42"/>
        <v>OK</v>
      </c>
      <c r="O704" s="24">
        <f t="shared" si="43"/>
        <v>0</v>
      </c>
    </row>
    <row r="705" spans="1:15" ht="15" customHeight="1" x14ac:dyDescent="0.3">
      <c r="A705" s="23" t="s">
        <v>1847</v>
      </c>
      <c r="B705" s="38">
        <v>46285</v>
      </c>
      <c r="C705" s="23" t="s">
        <v>1848</v>
      </c>
      <c r="D705" s="23" t="s">
        <v>88</v>
      </c>
      <c r="E705" s="23" t="s">
        <v>79</v>
      </c>
      <c r="F705" s="23" t="s">
        <v>256</v>
      </c>
      <c r="G705" s="23" t="s">
        <v>250</v>
      </c>
      <c r="H705" s="39">
        <f t="shared" si="40"/>
        <v>2098</v>
      </c>
      <c r="I705" s="23" t="str">
        <f t="shared" si="41"/>
        <v>Lucknow</v>
      </c>
      <c r="J705" s="23">
        <f>COUNTIFS(pg_transaction_cleaned!$O:$O,A705,pg_transaction_cleaned!$F:$F,"CAPTURE")</f>
        <v>1</v>
      </c>
      <c r="K705" s="39">
        <f>SUMIFS(pg_transaction_cleaned!$H:$H,pg_transaction_cleaned!$O:$O,A705,pg_transaction_cleaned!$F:$F,"CAPTURE")</f>
        <v>2098</v>
      </c>
      <c r="L705" s="23">
        <f>COUNTIFS(pg_transaction_cleaned!$O:$O,A705,pg_transaction_cleaned!$F:$F,"REFUND")</f>
        <v>0</v>
      </c>
      <c r="M705" s="39">
        <f>SUMIFS(pg_transaction_cleaned!$H:$H,pg_transaction_cleaned!$O:$O,A705,pg_transaction_cleaned!$F:$F,"REFUND")</f>
        <v>0</v>
      </c>
      <c r="N705" s="23" t="str">
        <f t="shared" si="42"/>
        <v>OK</v>
      </c>
      <c r="O705" s="24">
        <f t="shared" si="43"/>
        <v>0</v>
      </c>
    </row>
    <row r="706" spans="1:15" ht="15" customHeight="1" x14ac:dyDescent="0.3">
      <c r="A706" s="23" t="s">
        <v>1849</v>
      </c>
      <c r="B706" s="38">
        <v>46282</v>
      </c>
      <c r="C706" s="23" t="s">
        <v>1850</v>
      </c>
      <c r="D706" s="23" t="s">
        <v>93</v>
      </c>
      <c r="E706" s="23" t="s">
        <v>79</v>
      </c>
      <c r="F706" s="23" t="s">
        <v>294</v>
      </c>
      <c r="G706" s="23" t="s">
        <v>250</v>
      </c>
      <c r="H706" s="39">
        <f t="shared" ref="H706:H769" si="44">VALUE(SUBSTITUTE(F706,",",""))</f>
        <v>1799</v>
      </c>
      <c r="I706" s="23" t="str">
        <f t="shared" ref="I706:I769" si="45">IF(TRIM(D706)="","Unknown",TRIM(D706))</f>
        <v>Kolkata</v>
      </c>
      <c r="J706" s="23">
        <f>COUNTIFS(pg_transaction_cleaned!$O:$O,A706,pg_transaction_cleaned!$F:$F,"CAPTURE")</f>
        <v>1</v>
      </c>
      <c r="K706" s="39">
        <f>SUMIFS(pg_transaction_cleaned!$H:$H,pg_transaction_cleaned!$O:$O,A706,pg_transaction_cleaned!$F:$F,"CAPTURE")</f>
        <v>1799</v>
      </c>
      <c r="L706" s="23">
        <f>COUNTIFS(pg_transaction_cleaned!$O:$O,A706,pg_transaction_cleaned!$F:$F,"REFUND")</f>
        <v>0</v>
      </c>
      <c r="M706" s="39">
        <f>SUMIFS(pg_transaction_cleaned!$H:$H,pg_transaction_cleaned!$O:$O,A706,pg_transaction_cleaned!$F:$F,"REFUND")</f>
        <v>0</v>
      </c>
      <c r="N706" s="23" t="str">
        <f t="shared" ref="N706:N769" si="46">IF(AND(G706="Paid",J706=0),"Paid, no payment",IF(AND(OR(G706="Failed",G706="Cancelled"),J706&gt;0),"Payment on failed/cancelled",IF(J706&gt;1,"Duplicate charge",IF(AND(J706=1,ROUND(K706-H706,2)&lt;&gt;0),"Amount difference",IF(AND(G706="Refunded",L706=0),"Refunded, no refund",IF(AND(G706&lt;&gt;"Refunded",L706&gt;0),"Refund, order not Refunded",IF(AND(L706&gt;0,ROUND(M706-H706,2)&lt;&gt;0),"Refund amount differs","OK")))))))</f>
        <v>OK</v>
      </c>
      <c r="O706" s="24">
        <f t="shared" ref="O706:O769" si="47">IF(N706="OK",0,IF(N706="Paid, no payment",H706,IF(N706="Payment on failed/cancelled",K706,IF(OR(N706="Duplicate charge",N706="Amount difference"),K706-H706,IF(N706="Refunded, no refund",H706,M706)))))</f>
        <v>0</v>
      </c>
    </row>
    <row r="707" spans="1:15" ht="15" customHeight="1" x14ac:dyDescent="0.3">
      <c r="A707" s="23" t="s">
        <v>1851</v>
      </c>
      <c r="B707" s="38">
        <v>46277</v>
      </c>
      <c r="C707" s="23" t="s">
        <v>1852</v>
      </c>
      <c r="D707" s="23" t="s">
        <v>89</v>
      </c>
      <c r="E707" s="23" t="s">
        <v>79</v>
      </c>
      <c r="F707" s="23" t="s">
        <v>262</v>
      </c>
      <c r="G707" s="23" t="s">
        <v>250</v>
      </c>
      <c r="H707" s="39">
        <f t="shared" si="44"/>
        <v>499</v>
      </c>
      <c r="I707" s="23" t="str">
        <f t="shared" si="45"/>
        <v>Jaipur</v>
      </c>
      <c r="J707" s="23">
        <f>COUNTIFS(pg_transaction_cleaned!$O:$O,A707,pg_transaction_cleaned!$F:$F,"CAPTURE")</f>
        <v>1</v>
      </c>
      <c r="K707" s="39">
        <f>SUMIFS(pg_transaction_cleaned!$H:$H,pg_transaction_cleaned!$O:$O,A707,pg_transaction_cleaned!$F:$F,"CAPTURE")</f>
        <v>499</v>
      </c>
      <c r="L707" s="23">
        <f>COUNTIFS(pg_transaction_cleaned!$O:$O,A707,pg_transaction_cleaned!$F:$F,"REFUND")</f>
        <v>0</v>
      </c>
      <c r="M707" s="39">
        <f>SUMIFS(pg_transaction_cleaned!$H:$H,pg_transaction_cleaned!$O:$O,A707,pg_transaction_cleaned!$F:$F,"REFUND")</f>
        <v>0</v>
      </c>
      <c r="N707" s="23" t="str">
        <f t="shared" si="46"/>
        <v>OK</v>
      </c>
      <c r="O707" s="24">
        <f t="shared" si="47"/>
        <v>0</v>
      </c>
    </row>
    <row r="708" spans="1:15" ht="15" customHeight="1" x14ac:dyDescent="0.3">
      <c r="A708" s="23" t="s">
        <v>1853</v>
      </c>
      <c r="B708" s="38">
        <v>46279</v>
      </c>
      <c r="C708" s="23" t="s">
        <v>1854</v>
      </c>
      <c r="D708" s="23" t="s">
        <v>93</v>
      </c>
      <c r="E708" s="23" t="s">
        <v>79</v>
      </c>
      <c r="F708" s="23" t="s">
        <v>1193</v>
      </c>
      <c r="G708" s="23" t="s">
        <v>250</v>
      </c>
      <c r="H708" s="39">
        <f t="shared" si="44"/>
        <v>3498</v>
      </c>
      <c r="I708" s="23" t="str">
        <f t="shared" si="45"/>
        <v>Kolkata</v>
      </c>
      <c r="J708" s="23">
        <f>COUNTIFS(pg_transaction_cleaned!$O:$O,A708,pg_transaction_cleaned!$F:$F,"CAPTURE")</f>
        <v>1</v>
      </c>
      <c r="K708" s="39">
        <f>SUMIFS(pg_transaction_cleaned!$H:$H,pg_transaction_cleaned!$O:$O,A708,pg_transaction_cleaned!$F:$F,"CAPTURE")</f>
        <v>3498</v>
      </c>
      <c r="L708" s="23">
        <f>COUNTIFS(pg_transaction_cleaned!$O:$O,A708,pg_transaction_cleaned!$F:$F,"REFUND")</f>
        <v>0</v>
      </c>
      <c r="M708" s="39">
        <f>SUMIFS(pg_transaction_cleaned!$H:$H,pg_transaction_cleaned!$O:$O,A708,pg_transaction_cleaned!$F:$F,"REFUND")</f>
        <v>0</v>
      </c>
      <c r="N708" s="23" t="str">
        <f t="shared" si="46"/>
        <v>OK</v>
      </c>
      <c r="O708" s="24">
        <f t="shared" si="47"/>
        <v>0</v>
      </c>
    </row>
    <row r="709" spans="1:15" ht="15" customHeight="1" x14ac:dyDescent="0.3">
      <c r="A709" s="23" t="s">
        <v>1855</v>
      </c>
      <c r="B709" s="38">
        <v>46283</v>
      </c>
      <c r="C709" s="23" t="s">
        <v>1856</v>
      </c>
      <c r="D709" s="23" t="s">
        <v>92</v>
      </c>
      <c r="E709" s="23" t="s">
        <v>79</v>
      </c>
      <c r="F709" s="23" t="s">
        <v>460</v>
      </c>
      <c r="G709" s="23" t="s">
        <v>250</v>
      </c>
      <c r="H709" s="39">
        <f t="shared" si="44"/>
        <v>1998</v>
      </c>
      <c r="I709" s="23" t="str">
        <f t="shared" si="45"/>
        <v>Hyderabad</v>
      </c>
      <c r="J709" s="23">
        <f>COUNTIFS(pg_transaction_cleaned!$O:$O,A709,pg_transaction_cleaned!$F:$F,"CAPTURE")</f>
        <v>1</v>
      </c>
      <c r="K709" s="39">
        <f>SUMIFS(pg_transaction_cleaned!$H:$H,pg_transaction_cleaned!$O:$O,A709,pg_transaction_cleaned!$F:$F,"CAPTURE")</f>
        <v>1998</v>
      </c>
      <c r="L709" s="23">
        <f>COUNTIFS(pg_transaction_cleaned!$O:$O,A709,pg_transaction_cleaned!$F:$F,"REFUND")</f>
        <v>0</v>
      </c>
      <c r="M709" s="39">
        <f>SUMIFS(pg_transaction_cleaned!$H:$H,pg_transaction_cleaned!$O:$O,A709,pg_transaction_cleaned!$F:$F,"REFUND")</f>
        <v>0</v>
      </c>
      <c r="N709" s="23" t="str">
        <f t="shared" si="46"/>
        <v>OK</v>
      </c>
      <c r="O709" s="24">
        <f t="shared" si="47"/>
        <v>0</v>
      </c>
    </row>
    <row r="710" spans="1:15" ht="15" customHeight="1" x14ac:dyDescent="0.3">
      <c r="A710" s="23" t="s">
        <v>1857</v>
      </c>
      <c r="B710" s="38">
        <v>46284</v>
      </c>
      <c r="C710" s="23" t="s">
        <v>1858</v>
      </c>
      <c r="D710" s="23" t="s">
        <v>91</v>
      </c>
      <c r="E710" s="23" t="s">
        <v>79</v>
      </c>
      <c r="F710" s="23" t="s">
        <v>297</v>
      </c>
      <c r="G710" s="23" t="s">
        <v>250</v>
      </c>
      <c r="H710" s="39">
        <f t="shared" si="44"/>
        <v>4999</v>
      </c>
      <c r="I710" s="23" t="str">
        <f t="shared" si="45"/>
        <v>Pune</v>
      </c>
      <c r="J710" s="23">
        <f>COUNTIFS(pg_transaction_cleaned!$O:$O,A710,pg_transaction_cleaned!$F:$F,"CAPTURE")</f>
        <v>1</v>
      </c>
      <c r="K710" s="39">
        <f>SUMIFS(pg_transaction_cleaned!$H:$H,pg_transaction_cleaned!$O:$O,A710,pg_transaction_cleaned!$F:$F,"CAPTURE")</f>
        <v>4999</v>
      </c>
      <c r="L710" s="23">
        <f>COUNTIFS(pg_transaction_cleaned!$O:$O,A710,pg_transaction_cleaned!$F:$F,"REFUND")</f>
        <v>0</v>
      </c>
      <c r="M710" s="39">
        <f>SUMIFS(pg_transaction_cleaned!$H:$H,pg_transaction_cleaned!$O:$O,A710,pg_transaction_cleaned!$F:$F,"REFUND")</f>
        <v>0</v>
      </c>
      <c r="N710" s="23" t="str">
        <f t="shared" si="46"/>
        <v>OK</v>
      </c>
      <c r="O710" s="24">
        <f t="shared" si="47"/>
        <v>0</v>
      </c>
    </row>
    <row r="711" spans="1:15" ht="15" customHeight="1" x14ac:dyDescent="0.3">
      <c r="A711" s="23" t="s">
        <v>1859</v>
      </c>
      <c r="B711" s="38">
        <v>46289</v>
      </c>
      <c r="C711" s="23" t="s">
        <v>1860</v>
      </c>
      <c r="D711" s="23" t="s">
        <v>95</v>
      </c>
      <c r="E711" s="23" t="s">
        <v>77</v>
      </c>
      <c r="F711" s="23" t="s">
        <v>315</v>
      </c>
      <c r="G711" s="23" t="s">
        <v>250</v>
      </c>
      <c r="H711" s="39">
        <f t="shared" si="44"/>
        <v>1499</v>
      </c>
      <c r="I711" s="23" t="str">
        <f t="shared" si="45"/>
        <v>Bengaluru</v>
      </c>
      <c r="J711" s="23">
        <f>COUNTIFS(pg_transaction_cleaned!$O:$O,A711,pg_transaction_cleaned!$F:$F,"CAPTURE")</f>
        <v>1</v>
      </c>
      <c r="K711" s="39">
        <f>SUMIFS(pg_transaction_cleaned!$H:$H,pg_transaction_cleaned!$O:$O,A711,pg_transaction_cleaned!$F:$F,"CAPTURE")</f>
        <v>1499</v>
      </c>
      <c r="L711" s="23">
        <f>COUNTIFS(pg_transaction_cleaned!$O:$O,A711,pg_transaction_cleaned!$F:$F,"REFUND")</f>
        <v>0</v>
      </c>
      <c r="M711" s="39">
        <f>SUMIFS(pg_transaction_cleaned!$H:$H,pg_transaction_cleaned!$O:$O,A711,pg_transaction_cleaned!$F:$F,"REFUND")</f>
        <v>0</v>
      </c>
      <c r="N711" s="23" t="str">
        <f t="shared" si="46"/>
        <v>OK</v>
      </c>
      <c r="O711" s="24">
        <f t="shared" si="47"/>
        <v>0</v>
      </c>
    </row>
    <row r="712" spans="1:15" ht="15" customHeight="1" x14ac:dyDescent="0.3">
      <c r="A712" s="23" t="s">
        <v>1861</v>
      </c>
      <c r="B712" s="38">
        <v>46282</v>
      </c>
      <c r="C712" s="23" t="s">
        <v>1862</v>
      </c>
      <c r="D712" s="23" t="s">
        <v>87</v>
      </c>
      <c r="E712" s="23" t="s">
        <v>79</v>
      </c>
      <c r="F712" s="23" t="s">
        <v>499</v>
      </c>
      <c r="G712" s="23" t="s">
        <v>250</v>
      </c>
      <c r="H712" s="39">
        <f t="shared" si="44"/>
        <v>5998</v>
      </c>
      <c r="I712" s="23" t="str">
        <f t="shared" si="45"/>
        <v>Mumbai</v>
      </c>
      <c r="J712" s="23">
        <f>COUNTIFS(pg_transaction_cleaned!$O:$O,A712,pg_transaction_cleaned!$F:$F,"CAPTURE")</f>
        <v>1</v>
      </c>
      <c r="K712" s="39">
        <f>SUMIFS(pg_transaction_cleaned!$H:$H,pg_transaction_cleaned!$O:$O,A712,pg_transaction_cleaned!$F:$F,"CAPTURE")</f>
        <v>5998</v>
      </c>
      <c r="L712" s="23">
        <f>COUNTIFS(pg_transaction_cleaned!$O:$O,A712,pg_transaction_cleaned!$F:$F,"REFUND")</f>
        <v>0</v>
      </c>
      <c r="M712" s="39">
        <f>SUMIFS(pg_transaction_cleaned!$H:$H,pg_transaction_cleaned!$O:$O,A712,pg_transaction_cleaned!$F:$F,"REFUND")</f>
        <v>0</v>
      </c>
      <c r="N712" s="23" t="str">
        <f t="shared" si="46"/>
        <v>OK</v>
      </c>
      <c r="O712" s="24">
        <f t="shared" si="47"/>
        <v>0</v>
      </c>
    </row>
    <row r="713" spans="1:15" ht="15" customHeight="1" x14ac:dyDescent="0.3">
      <c r="A713" s="23" t="s">
        <v>1863</v>
      </c>
      <c r="B713" s="38">
        <v>46271</v>
      </c>
      <c r="C713" s="23" t="s">
        <v>1864</v>
      </c>
      <c r="D713" s="23" t="s">
        <v>88</v>
      </c>
      <c r="E713" s="23" t="s">
        <v>81</v>
      </c>
      <c r="F713" s="23" t="s">
        <v>259</v>
      </c>
      <c r="G713" s="23" t="s">
        <v>250</v>
      </c>
      <c r="H713" s="39">
        <f t="shared" si="44"/>
        <v>3298</v>
      </c>
      <c r="I713" s="23" t="str">
        <f t="shared" si="45"/>
        <v>Lucknow</v>
      </c>
      <c r="J713" s="23">
        <f>COUNTIFS(pg_transaction_cleaned!$O:$O,A713,pg_transaction_cleaned!$F:$F,"CAPTURE")</f>
        <v>1</v>
      </c>
      <c r="K713" s="39">
        <f>SUMIFS(pg_transaction_cleaned!$H:$H,pg_transaction_cleaned!$O:$O,A713,pg_transaction_cleaned!$F:$F,"CAPTURE")</f>
        <v>3298</v>
      </c>
      <c r="L713" s="23">
        <f>COUNTIFS(pg_transaction_cleaned!$O:$O,A713,pg_transaction_cleaned!$F:$F,"REFUND")</f>
        <v>0</v>
      </c>
      <c r="M713" s="39">
        <f>SUMIFS(pg_transaction_cleaned!$H:$H,pg_transaction_cleaned!$O:$O,A713,pg_transaction_cleaned!$F:$F,"REFUND")</f>
        <v>0</v>
      </c>
      <c r="N713" s="23" t="str">
        <f t="shared" si="46"/>
        <v>OK</v>
      </c>
      <c r="O713" s="24">
        <f t="shared" si="47"/>
        <v>0</v>
      </c>
    </row>
    <row r="714" spans="1:15" ht="15" customHeight="1" x14ac:dyDescent="0.3">
      <c r="A714" s="23" t="s">
        <v>1865</v>
      </c>
      <c r="B714" s="38">
        <v>46279</v>
      </c>
      <c r="C714" s="23" t="s">
        <v>1866</v>
      </c>
      <c r="D714" s="23" t="s">
        <v>87</v>
      </c>
      <c r="E714" s="23" t="s">
        <v>75</v>
      </c>
      <c r="F714" s="23" t="s">
        <v>274</v>
      </c>
      <c r="G714" s="23" t="s">
        <v>250</v>
      </c>
      <c r="H714" s="39">
        <f t="shared" si="44"/>
        <v>349</v>
      </c>
      <c r="I714" s="23" t="str">
        <f t="shared" si="45"/>
        <v>Mumbai</v>
      </c>
      <c r="J714" s="23">
        <f>COUNTIFS(pg_transaction_cleaned!$O:$O,A714,pg_transaction_cleaned!$F:$F,"CAPTURE")</f>
        <v>1</v>
      </c>
      <c r="K714" s="39">
        <f>SUMIFS(pg_transaction_cleaned!$H:$H,pg_transaction_cleaned!$O:$O,A714,pg_transaction_cleaned!$F:$F,"CAPTURE")</f>
        <v>349</v>
      </c>
      <c r="L714" s="23">
        <f>COUNTIFS(pg_transaction_cleaned!$O:$O,A714,pg_transaction_cleaned!$F:$F,"REFUND")</f>
        <v>0</v>
      </c>
      <c r="M714" s="39">
        <f>SUMIFS(pg_transaction_cleaned!$H:$H,pg_transaction_cleaned!$O:$O,A714,pg_transaction_cleaned!$F:$F,"REFUND")</f>
        <v>0</v>
      </c>
      <c r="N714" s="23" t="str">
        <f t="shared" si="46"/>
        <v>OK</v>
      </c>
      <c r="O714" s="24">
        <f t="shared" si="47"/>
        <v>0</v>
      </c>
    </row>
    <row r="715" spans="1:15" ht="15" customHeight="1" x14ac:dyDescent="0.3">
      <c r="A715" s="23" t="s">
        <v>1867</v>
      </c>
      <c r="B715" s="38">
        <v>46289</v>
      </c>
      <c r="C715" s="23" t="s">
        <v>1868</v>
      </c>
      <c r="D715" s="23" t="s">
        <v>87</v>
      </c>
      <c r="E715" s="23" t="s">
        <v>75</v>
      </c>
      <c r="F715" s="23" t="s">
        <v>307</v>
      </c>
      <c r="G715" s="23" t="s">
        <v>250</v>
      </c>
      <c r="H715" s="39">
        <f t="shared" si="44"/>
        <v>3798</v>
      </c>
      <c r="I715" s="23" t="str">
        <f t="shared" si="45"/>
        <v>Mumbai</v>
      </c>
      <c r="J715" s="23">
        <f>COUNTIFS(pg_transaction_cleaned!$O:$O,A715,pg_transaction_cleaned!$F:$F,"CAPTURE")</f>
        <v>1</v>
      </c>
      <c r="K715" s="39">
        <f>SUMIFS(pg_transaction_cleaned!$H:$H,pg_transaction_cleaned!$O:$O,A715,pg_transaction_cleaned!$F:$F,"CAPTURE")</f>
        <v>3798</v>
      </c>
      <c r="L715" s="23">
        <f>COUNTIFS(pg_transaction_cleaned!$O:$O,A715,pg_transaction_cleaned!$F:$F,"REFUND")</f>
        <v>0</v>
      </c>
      <c r="M715" s="39">
        <f>SUMIFS(pg_transaction_cleaned!$H:$H,pg_transaction_cleaned!$O:$O,A715,pg_transaction_cleaned!$F:$F,"REFUND")</f>
        <v>0</v>
      </c>
      <c r="N715" s="23" t="str">
        <f t="shared" si="46"/>
        <v>OK</v>
      </c>
      <c r="O715" s="24">
        <f t="shared" si="47"/>
        <v>0</v>
      </c>
    </row>
    <row r="716" spans="1:15" ht="15" customHeight="1" x14ac:dyDescent="0.3">
      <c r="A716" s="23" t="s">
        <v>1869</v>
      </c>
      <c r="B716" s="38">
        <v>46290</v>
      </c>
      <c r="C716" s="23" t="s">
        <v>1870</v>
      </c>
      <c r="D716" s="23"/>
      <c r="E716" s="23" t="s">
        <v>75</v>
      </c>
      <c r="F716" s="23" t="s">
        <v>396</v>
      </c>
      <c r="G716" s="23" t="s">
        <v>250</v>
      </c>
      <c r="H716" s="39">
        <f t="shared" si="44"/>
        <v>2999</v>
      </c>
      <c r="I716" s="23" t="str">
        <f t="shared" si="45"/>
        <v>Unknown</v>
      </c>
      <c r="J716" s="23">
        <f>COUNTIFS(pg_transaction_cleaned!$O:$O,A716,pg_transaction_cleaned!$F:$F,"CAPTURE")</f>
        <v>1</v>
      </c>
      <c r="K716" s="39">
        <f>SUMIFS(pg_transaction_cleaned!$H:$H,pg_transaction_cleaned!$O:$O,A716,pg_transaction_cleaned!$F:$F,"CAPTURE")</f>
        <v>2999</v>
      </c>
      <c r="L716" s="23">
        <f>COUNTIFS(pg_transaction_cleaned!$O:$O,A716,pg_transaction_cleaned!$F:$F,"REFUND")</f>
        <v>0</v>
      </c>
      <c r="M716" s="39">
        <f>SUMIFS(pg_transaction_cleaned!$H:$H,pg_transaction_cleaned!$O:$O,A716,pg_transaction_cleaned!$F:$F,"REFUND")</f>
        <v>0</v>
      </c>
      <c r="N716" s="23" t="str">
        <f t="shared" si="46"/>
        <v>OK</v>
      </c>
      <c r="O716" s="24">
        <f t="shared" si="47"/>
        <v>0</v>
      </c>
    </row>
    <row r="717" spans="1:15" ht="15" customHeight="1" x14ac:dyDescent="0.3">
      <c r="A717" s="23" t="s">
        <v>1871</v>
      </c>
      <c r="B717" s="38">
        <v>46275</v>
      </c>
      <c r="C717" s="23" t="s">
        <v>1872</v>
      </c>
      <c r="D717" s="23" t="s">
        <v>88</v>
      </c>
      <c r="E717" s="23" t="s">
        <v>75</v>
      </c>
      <c r="F717" s="23" t="s">
        <v>249</v>
      </c>
      <c r="G717" s="23" t="s">
        <v>250</v>
      </c>
      <c r="H717" s="39">
        <f t="shared" si="44"/>
        <v>299</v>
      </c>
      <c r="I717" s="23" t="str">
        <f t="shared" si="45"/>
        <v>Lucknow</v>
      </c>
      <c r="J717" s="23">
        <f>COUNTIFS(pg_transaction_cleaned!$O:$O,A717,pg_transaction_cleaned!$F:$F,"CAPTURE")</f>
        <v>1</v>
      </c>
      <c r="K717" s="39">
        <f>SUMIFS(pg_transaction_cleaned!$H:$H,pg_transaction_cleaned!$O:$O,A717,pg_transaction_cleaned!$F:$F,"CAPTURE")</f>
        <v>299</v>
      </c>
      <c r="L717" s="23">
        <f>COUNTIFS(pg_transaction_cleaned!$O:$O,A717,pg_transaction_cleaned!$F:$F,"REFUND")</f>
        <v>0</v>
      </c>
      <c r="M717" s="39">
        <f>SUMIFS(pg_transaction_cleaned!$H:$H,pg_transaction_cleaned!$O:$O,A717,pg_transaction_cleaned!$F:$F,"REFUND")</f>
        <v>0</v>
      </c>
      <c r="N717" s="23" t="str">
        <f t="shared" si="46"/>
        <v>OK</v>
      </c>
      <c r="O717" s="24">
        <f t="shared" si="47"/>
        <v>0</v>
      </c>
    </row>
    <row r="718" spans="1:15" ht="15" customHeight="1" x14ac:dyDescent="0.3">
      <c r="A718" s="23" t="s">
        <v>1873</v>
      </c>
      <c r="B718" s="38">
        <v>46271</v>
      </c>
      <c r="C718" s="23" t="s">
        <v>1874</v>
      </c>
      <c r="D718" s="23" t="s">
        <v>92</v>
      </c>
      <c r="E718" s="23" t="s">
        <v>77</v>
      </c>
      <c r="F718" s="23" t="s">
        <v>769</v>
      </c>
      <c r="G718" s="23" t="s">
        <v>250</v>
      </c>
      <c r="H718" s="39">
        <f t="shared" si="44"/>
        <v>1897</v>
      </c>
      <c r="I718" s="23" t="str">
        <f t="shared" si="45"/>
        <v>Hyderabad</v>
      </c>
      <c r="J718" s="23">
        <f>COUNTIFS(pg_transaction_cleaned!$O:$O,A718,pg_transaction_cleaned!$F:$F,"CAPTURE")</f>
        <v>1</v>
      </c>
      <c r="K718" s="39">
        <f>SUMIFS(pg_transaction_cleaned!$H:$H,pg_transaction_cleaned!$O:$O,A718,pg_transaction_cleaned!$F:$F,"CAPTURE")</f>
        <v>1897</v>
      </c>
      <c r="L718" s="23">
        <f>COUNTIFS(pg_transaction_cleaned!$O:$O,A718,pg_transaction_cleaned!$F:$F,"REFUND")</f>
        <v>0</v>
      </c>
      <c r="M718" s="39">
        <f>SUMIFS(pg_transaction_cleaned!$H:$H,pg_transaction_cleaned!$O:$O,A718,pg_transaction_cleaned!$F:$F,"REFUND")</f>
        <v>0</v>
      </c>
      <c r="N718" s="23" t="str">
        <f t="shared" si="46"/>
        <v>OK</v>
      </c>
      <c r="O718" s="24">
        <f t="shared" si="47"/>
        <v>0</v>
      </c>
    </row>
    <row r="719" spans="1:15" ht="15" customHeight="1" x14ac:dyDescent="0.3">
      <c r="A719" s="23" t="s">
        <v>1875</v>
      </c>
      <c r="B719" s="38">
        <v>46290</v>
      </c>
      <c r="C719" s="23" t="s">
        <v>1876</v>
      </c>
      <c r="D719" s="23" t="s">
        <v>87</v>
      </c>
      <c r="E719" s="23" t="s">
        <v>79</v>
      </c>
      <c r="F719" s="23" t="s">
        <v>337</v>
      </c>
      <c r="G719" s="23" t="s">
        <v>250</v>
      </c>
      <c r="H719" s="39">
        <f t="shared" si="44"/>
        <v>3998</v>
      </c>
      <c r="I719" s="23" t="str">
        <f t="shared" si="45"/>
        <v>Mumbai</v>
      </c>
      <c r="J719" s="23">
        <f>COUNTIFS(pg_transaction_cleaned!$O:$O,A719,pg_transaction_cleaned!$F:$F,"CAPTURE")</f>
        <v>1</v>
      </c>
      <c r="K719" s="39">
        <f>SUMIFS(pg_transaction_cleaned!$H:$H,pg_transaction_cleaned!$O:$O,A719,pg_transaction_cleaned!$F:$F,"CAPTURE")</f>
        <v>3998</v>
      </c>
      <c r="L719" s="23">
        <f>COUNTIFS(pg_transaction_cleaned!$O:$O,A719,pg_transaction_cleaned!$F:$F,"REFUND")</f>
        <v>0</v>
      </c>
      <c r="M719" s="39">
        <f>SUMIFS(pg_transaction_cleaned!$H:$H,pg_transaction_cleaned!$O:$O,A719,pg_transaction_cleaned!$F:$F,"REFUND")</f>
        <v>0</v>
      </c>
      <c r="N719" s="23" t="str">
        <f t="shared" si="46"/>
        <v>OK</v>
      </c>
      <c r="O719" s="24">
        <f t="shared" si="47"/>
        <v>0</v>
      </c>
    </row>
    <row r="720" spans="1:15" ht="15" customHeight="1" x14ac:dyDescent="0.3">
      <c r="A720" s="23" t="s">
        <v>1877</v>
      </c>
      <c r="B720" s="38">
        <v>46289</v>
      </c>
      <c r="C720" s="23" t="s">
        <v>1878</v>
      </c>
      <c r="D720" s="23" t="s">
        <v>94</v>
      </c>
      <c r="E720" s="23" t="s">
        <v>81</v>
      </c>
      <c r="F720" s="23" t="s">
        <v>1879</v>
      </c>
      <c r="G720" s="23" t="s">
        <v>250</v>
      </c>
      <c r="H720" s="39">
        <f t="shared" si="44"/>
        <v>2497</v>
      </c>
      <c r="I720" s="23" t="str">
        <f t="shared" si="45"/>
        <v>Chennai</v>
      </c>
      <c r="J720" s="23">
        <f>COUNTIFS(pg_transaction_cleaned!$O:$O,A720,pg_transaction_cleaned!$F:$F,"CAPTURE")</f>
        <v>1</v>
      </c>
      <c r="K720" s="39">
        <f>SUMIFS(pg_transaction_cleaned!$H:$H,pg_transaction_cleaned!$O:$O,A720,pg_transaction_cleaned!$F:$F,"CAPTURE")</f>
        <v>2497</v>
      </c>
      <c r="L720" s="23">
        <f>COUNTIFS(pg_transaction_cleaned!$O:$O,A720,pg_transaction_cleaned!$F:$F,"REFUND")</f>
        <v>0</v>
      </c>
      <c r="M720" s="39">
        <f>SUMIFS(pg_transaction_cleaned!$H:$H,pg_transaction_cleaned!$O:$O,A720,pg_transaction_cleaned!$F:$F,"REFUND")</f>
        <v>0</v>
      </c>
      <c r="N720" s="23" t="str">
        <f t="shared" si="46"/>
        <v>OK</v>
      </c>
      <c r="O720" s="24">
        <f t="shared" si="47"/>
        <v>0</v>
      </c>
    </row>
    <row r="721" spans="1:15" ht="15" customHeight="1" x14ac:dyDescent="0.3">
      <c r="A721" s="23" t="s">
        <v>1880</v>
      </c>
      <c r="B721" s="38">
        <v>46277</v>
      </c>
      <c r="C721" s="23" t="s">
        <v>1881</v>
      </c>
      <c r="D721" s="23" t="s">
        <v>88</v>
      </c>
      <c r="E721" s="23" t="s">
        <v>75</v>
      </c>
      <c r="F721" s="23" t="s">
        <v>329</v>
      </c>
      <c r="G721" s="23" t="s">
        <v>250</v>
      </c>
      <c r="H721" s="39">
        <f t="shared" si="44"/>
        <v>599</v>
      </c>
      <c r="I721" s="23" t="str">
        <f t="shared" si="45"/>
        <v>Lucknow</v>
      </c>
      <c r="J721" s="23">
        <f>COUNTIFS(pg_transaction_cleaned!$O:$O,A721,pg_transaction_cleaned!$F:$F,"CAPTURE")</f>
        <v>1</v>
      </c>
      <c r="K721" s="39">
        <f>SUMIFS(pg_transaction_cleaned!$H:$H,pg_transaction_cleaned!$O:$O,A721,pg_transaction_cleaned!$F:$F,"CAPTURE")</f>
        <v>599</v>
      </c>
      <c r="L721" s="23">
        <f>COUNTIFS(pg_transaction_cleaned!$O:$O,A721,pg_transaction_cleaned!$F:$F,"REFUND")</f>
        <v>0</v>
      </c>
      <c r="M721" s="39">
        <f>SUMIFS(pg_transaction_cleaned!$H:$H,pg_transaction_cleaned!$O:$O,A721,pg_transaction_cleaned!$F:$F,"REFUND")</f>
        <v>0</v>
      </c>
      <c r="N721" s="23" t="str">
        <f t="shared" si="46"/>
        <v>OK</v>
      </c>
      <c r="O721" s="24">
        <f t="shared" si="47"/>
        <v>0</v>
      </c>
    </row>
    <row r="722" spans="1:15" ht="15" customHeight="1" x14ac:dyDescent="0.3">
      <c r="A722" s="23" t="s">
        <v>1882</v>
      </c>
      <c r="B722" s="38">
        <v>46266</v>
      </c>
      <c r="C722" s="23" t="s">
        <v>1883</v>
      </c>
      <c r="D722" s="23" t="s">
        <v>89</v>
      </c>
      <c r="E722" s="23" t="s">
        <v>75</v>
      </c>
      <c r="F722" s="23" t="s">
        <v>262</v>
      </c>
      <c r="G722" s="23" t="s">
        <v>250</v>
      </c>
      <c r="H722" s="39">
        <f t="shared" si="44"/>
        <v>499</v>
      </c>
      <c r="I722" s="23" t="str">
        <f t="shared" si="45"/>
        <v>Jaipur</v>
      </c>
      <c r="J722" s="23">
        <f>COUNTIFS(pg_transaction_cleaned!$O:$O,A722,pg_transaction_cleaned!$F:$F,"CAPTURE")</f>
        <v>1</v>
      </c>
      <c r="K722" s="39">
        <f>SUMIFS(pg_transaction_cleaned!$H:$H,pg_transaction_cleaned!$O:$O,A722,pg_transaction_cleaned!$F:$F,"CAPTURE")</f>
        <v>499</v>
      </c>
      <c r="L722" s="23">
        <f>COUNTIFS(pg_transaction_cleaned!$O:$O,A722,pg_transaction_cleaned!$F:$F,"REFUND")</f>
        <v>0</v>
      </c>
      <c r="M722" s="39">
        <f>SUMIFS(pg_transaction_cleaned!$H:$H,pg_transaction_cleaned!$O:$O,A722,pg_transaction_cleaned!$F:$F,"REFUND")</f>
        <v>0</v>
      </c>
      <c r="N722" s="23" t="str">
        <f t="shared" si="46"/>
        <v>OK</v>
      </c>
      <c r="O722" s="24">
        <f t="shared" si="47"/>
        <v>0</v>
      </c>
    </row>
    <row r="723" spans="1:15" ht="15" customHeight="1" x14ac:dyDescent="0.3">
      <c r="A723" s="23" t="s">
        <v>1884</v>
      </c>
      <c r="B723" s="38">
        <v>46275</v>
      </c>
      <c r="C723" s="23" t="s">
        <v>1885</v>
      </c>
      <c r="D723" s="23" t="s">
        <v>88</v>
      </c>
      <c r="E723" s="23" t="s">
        <v>77</v>
      </c>
      <c r="F723" s="23" t="s">
        <v>274</v>
      </c>
      <c r="G723" s="23" t="s">
        <v>250</v>
      </c>
      <c r="H723" s="39">
        <f t="shared" si="44"/>
        <v>349</v>
      </c>
      <c r="I723" s="23" t="str">
        <f t="shared" si="45"/>
        <v>Lucknow</v>
      </c>
      <c r="J723" s="23">
        <f>COUNTIFS(pg_transaction_cleaned!$O:$O,A723,pg_transaction_cleaned!$F:$F,"CAPTURE")</f>
        <v>1</v>
      </c>
      <c r="K723" s="39">
        <f>SUMIFS(pg_transaction_cleaned!$H:$H,pg_transaction_cleaned!$O:$O,A723,pg_transaction_cleaned!$F:$F,"CAPTURE")</f>
        <v>349</v>
      </c>
      <c r="L723" s="23">
        <f>COUNTIFS(pg_transaction_cleaned!$O:$O,A723,pg_transaction_cleaned!$F:$F,"REFUND")</f>
        <v>0</v>
      </c>
      <c r="M723" s="39">
        <f>SUMIFS(pg_transaction_cleaned!$H:$H,pg_transaction_cleaned!$O:$O,A723,pg_transaction_cleaned!$F:$F,"REFUND")</f>
        <v>0</v>
      </c>
      <c r="N723" s="23" t="str">
        <f t="shared" si="46"/>
        <v>OK</v>
      </c>
      <c r="O723" s="24">
        <f t="shared" si="47"/>
        <v>0</v>
      </c>
    </row>
    <row r="724" spans="1:15" ht="15" customHeight="1" x14ac:dyDescent="0.3">
      <c r="A724" s="23" t="s">
        <v>1886</v>
      </c>
      <c r="B724" s="38">
        <v>46274</v>
      </c>
      <c r="C724" s="23" t="s">
        <v>1887</v>
      </c>
      <c r="D724" s="23" t="s">
        <v>90</v>
      </c>
      <c r="E724" s="23" t="s">
        <v>75</v>
      </c>
      <c r="F724" s="23" t="s">
        <v>587</v>
      </c>
      <c r="G724" s="23" t="s">
        <v>250</v>
      </c>
      <c r="H724" s="39">
        <f t="shared" si="44"/>
        <v>5297</v>
      </c>
      <c r="I724" s="23" t="str">
        <f t="shared" si="45"/>
        <v>Ahmedabad</v>
      </c>
      <c r="J724" s="23">
        <f>COUNTIFS(pg_transaction_cleaned!$O:$O,A724,pg_transaction_cleaned!$F:$F,"CAPTURE")</f>
        <v>1</v>
      </c>
      <c r="K724" s="39">
        <f>SUMIFS(pg_transaction_cleaned!$H:$H,pg_transaction_cleaned!$O:$O,A724,pg_transaction_cleaned!$F:$F,"CAPTURE")</f>
        <v>5297</v>
      </c>
      <c r="L724" s="23">
        <f>COUNTIFS(pg_transaction_cleaned!$O:$O,A724,pg_transaction_cleaned!$F:$F,"REFUND")</f>
        <v>0</v>
      </c>
      <c r="M724" s="39">
        <f>SUMIFS(pg_transaction_cleaned!$H:$H,pg_transaction_cleaned!$O:$O,A724,pg_transaction_cleaned!$F:$F,"REFUND")</f>
        <v>0</v>
      </c>
      <c r="N724" s="23" t="str">
        <f t="shared" si="46"/>
        <v>OK</v>
      </c>
      <c r="O724" s="24">
        <f t="shared" si="47"/>
        <v>0</v>
      </c>
    </row>
    <row r="725" spans="1:15" ht="15" customHeight="1" x14ac:dyDescent="0.3">
      <c r="A725" s="23" t="s">
        <v>1888</v>
      </c>
      <c r="B725" s="38">
        <v>46287</v>
      </c>
      <c r="C725" s="23" t="s">
        <v>1889</v>
      </c>
      <c r="D725" s="23" t="s">
        <v>93</v>
      </c>
      <c r="E725" s="23" t="s">
        <v>75</v>
      </c>
      <c r="F725" s="23" t="s">
        <v>324</v>
      </c>
      <c r="G725" s="23" t="s">
        <v>250</v>
      </c>
      <c r="H725" s="39">
        <f t="shared" si="44"/>
        <v>10498</v>
      </c>
      <c r="I725" s="23" t="str">
        <f t="shared" si="45"/>
        <v>Kolkata</v>
      </c>
      <c r="J725" s="23">
        <f>COUNTIFS(pg_transaction_cleaned!$O:$O,A725,pg_transaction_cleaned!$F:$F,"CAPTURE")</f>
        <v>1</v>
      </c>
      <c r="K725" s="39">
        <f>SUMIFS(pg_transaction_cleaned!$H:$H,pg_transaction_cleaned!$O:$O,A725,pg_transaction_cleaned!$F:$F,"CAPTURE")</f>
        <v>10498</v>
      </c>
      <c r="L725" s="23">
        <f>COUNTIFS(pg_transaction_cleaned!$O:$O,A725,pg_transaction_cleaned!$F:$F,"REFUND")</f>
        <v>0</v>
      </c>
      <c r="M725" s="39">
        <f>SUMIFS(pg_transaction_cleaned!$H:$H,pg_transaction_cleaned!$O:$O,A725,pg_transaction_cleaned!$F:$F,"REFUND")</f>
        <v>0</v>
      </c>
      <c r="N725" s="23" t="str">
        <f t="shared" si="46"/>
        <v>OK</v>
      </c>
      <c r="O725" s="24">
        <f t="shared" si="47"/>
        <v>0</v>
      </c>
    </row>
    <row r="726" spans="1:15" ht="15" customHeight="1" x14ac:dyDescent="0.3">
      <c r="A726" s="23" t="s">
        <v>1890</v>
      </c>
      <c r="B726" s="38">
        <v>46286</v>
      </c>
      <c r="C726" s="23" t="s">
        <v>1891</v>
      </c>
      <c r="D726" s="23" t="s">
        <v>94</v>
      </c>
      <c r="E726" s="23" t="s">
        <v>81</v>
      </c>
      <c r="F726" s="23" t="s">
        <v>396</v>
      </c>
      <c r="G726" s="23" t="s">
        <v>250</v>
      </c>
      <c r="H726" s="39">
        <f t="shared" si="44"/>
        <v>2999</v>
      </c>
      <c r="I726" s="23" t="str">
        <f t="shared" si="45"/>
        <v>Chennai</v>
      </c>
      <c r="J726" s="23">
        <f>COUNTIFS(pg_transaction_cleaned!$O:$O,A726,pg_transaction_cleaned!$F:$F,"CAPTURE")</f>
        <v>1</v>
      </c>
      <c r="K726" s="39">
        <f>SUMIFS(pg_transaction_cleaned!$H:$H,pg_transaction_cleaned!$O:$O,A726,pg_transaction_cleaned!$F:$F,"CAPTURE")</f>
        <v>2999</v>
      </c>
      <c r="L726" s="23">
        <f>COUNTIFS(pg_transaction_cleaned!$O:$O,A726,pg_transaction_cleaned!$F:$F,"REFUND")</f>
        <v>0</v>
      </c>
      <c r="M726" s="39">
        <f>SUMIFS(pg_transaction_cleaned!$H:$H,pg_transaction_cleaned!$O:$O,A726,pg_transaction_cleaned!$F:$F,"REFUND")</f>
        <v>0</v>
      </c>
      <c r="N726" s="23" t="str">
        <f t="shared" si="46"/>
        <v>OK</v>
      </c>
      <c r="O726" s="24">
        <f t="shared" si="47"/>
        <v>0</v>
      </c>
    </row>
    <row r="727" spans="1:15" ht="15" customHeight="1" x14ac:dyDescent="0.3">
      <c r="A727" s="23" t="s">
        <v>1892</v>
      </c>
      <c r="B727" s="38">
        <v>46282</v>
      </c>
      <c r="C727" s="23" t="s">
        <v>1893</v>
      </c>
      <c r="D727" s="23" t="s">
        <v>93</v>
      </c>
      <c r="E727" s="23" t="s">
        <v>75</v>
      </c>
      <c r="F727" s="23" t="s">
        <v>307</v>
      </c>
      <c r="G727" s="23" t="s">
        <v>250</v>
      </c>
      <c r="H727" s="39">
        <f t="shared" si="44"/>
        <v>3798</v>
      </c>
      <c r="I727" s="23" t="str">
        <f t="shared" si="45"/>
        <v>Kolkata</v>
      </c>
      <c r="J727" s="23">
        <f>COUNTIFS(pg_transaction_cleaned!$O:$O,A727,pg_transaction_cleaned!$F:$F,"CAPTURE")</f>
        <v>1</v>
      </c>
      <c r="K727" s="39">
        <f>SUMIFS(pg_transaction_cleaned!$H:$H,pg_transaction_cleaned!$O:$O,A727,pg_transaction_cleaned!$F:$F,"CAPTURE")</f>
        <v>3798</v>
      </c>
      <c r="L727" s="23">
        <f>COUNTIFS(pg_transaction_cleaned!$O:$O,A727,pg_transaction_cleaned!$F:$F,"REFUND")</f>
        <v>0</v>
      </c>
      <c r="M727" s="39">
        <f>SUMIFS(pg_transaction_cleaned!$H:$H,pg_transaction_cleaned!$O:$O,A727,pg_transaction_cleaned!$F:$F,"REFUND")</f>
        <v>0</v>
      </c>
      <c r="N727" s="23" t="str">
        <f t="shared" si="46"/>
        <v>OK</v>
      </c>
      <c r="O727" s="24">
        <f t="shared" si="47"/>
        <v>0</v>
      </c>
    </row>
    <row r="728" spans="1:15" ht="15" customHeight="1" x14ac:dyDescent="0.3">
      <c r="A728" s="23" t="s">
        <v>1894</v>
      </c>
      <c r="B728" s="38">
        <v>46287</v>
      </c>
      <c r="C728" s="23" t="s">
        <v>1895</v>
      </c>
      <c r="D728" s="23" t="s">
        <v>94</v>
      </c>
      <c r="E728" s="23" t="s">
        <v>75</v>
      </c>
      <c r="F728" s="23" t="s">
        <v>1067</v>
      </c>
      <c r="G728" s="23" t="s">
        <v>250</v>
      </c>
      <c r="H728" s="39">
        <f t="shared" si="44"/>
        <v>9347</v>
      </c>
      <c r="I728" s="23" t="str">
        <f t="shared" si="45"/>
        <v>Chennai</v>
      </c>
      <c r="J728" s="23">
        <f>COUNTIFS(pg_transaction_cleaned!$O:$O,A728,pg_transaction_cleaned!$F:$F,"CAPTURE")</f>
        <v>1</v>
      </c>
      <c r="K728" s="39">
        <f>SUMIFS(pg_transaction_cleaned!$H:$H,pg_transaction_cleaned!$O:$O,A728,pg_transaction_cleaned!$F:$F,"CAPTURE")</f>
        <v>9347</v>
      </c>
      <c r="L728" s="23">
        <f>COUNTIFS(pg_transaction_cleaned!$O:$O,A728,pg_transaction_cleaned!$F:$F,"REFUND")</f>
        <v>0</v>
      </c>
      <c r="M728" s="39">
        <f>SUMIFS(pg_transaction_cleaned!$H:$H,pg_transaction_cleaned!$O:$O,A728,pg_transaction_cleaned!$F:$F,"REFUND")</f>
        <v>0</v>
      </c>
      <c r="N728" s="23" t="str">
        <f t="shared" si="46"/>
        <v>OK</v>
      </c>
      <c r="O728" s="24">
        <f t="shared" si="47"/>
        <v>0</v>
      </c>
    </row>
    <row r="729" spans="1:15" ht="15" customHeight="1" x14ac:dyDescent="0.3">
      <c r="A729" s="23" t="s">
        <v>1896</v>
      </c>
      <c r="B729" s="38">
        <v>46272</v>
      </c>
      <c r="C729" s="23" t="s">
        <v>1897</v>
      </c>
      <c r="D729" s="23" t="s">
        <v>90</v>
      </c>
      <c r="E729" s="23" t="s">
        <v>79</v>
      </c>
      <c r="F729" s="23" t="s">
        <v>582</v>
      </c>
      <c r="G729" s="23" t="s">
        <v>318</v>
      </c>
      <c r="H729" s="39">
        <f t="shared" si="44"/>
        <v>1298</v>
      </c>
      <c r="I729" s="23" t="str">
        <f t="shared" si="45"/>
        <v>Ahmedabad</v>
      </c>
      <c r="J729" s="23">
        <f>COUNTIFS(pg_transaction_cleaned!$O:$O,A729,pg_transaction_cleaned!$F:$F,"CAPTURE")</f>
        <v>0</v>
      </c>
      <c r="K729" s="39">
        <f>SUMIFS(pg_transaction_cleaned!$H:$H,pg_transaction_cleaned!$O:$O,A729,pg_transaction_cleaned!$F:$F,"CAPTURE")</f>
        <v>0</v>
      </c>
      <c r="L729" s="23">
        <f>COUNTIFS(pg_transaction_cleaned!$O:$O,A729,pg_transaction_cleaned!$F:$F,"REFUND")</f>
        <v>0</v>
      </c>
      <c r="M729" s="39">
        <f>SUMIFS(pg_transaction_cleaned!$H:$H,pg_transaction_cleaned!$O:$O,A729,pg_transaction_cleaned!$F:$F,"REFUND")</f>
        <v>0</v>
      </c>
      <c r="N729" s="23" t="str">
        <f t="shared" si="46"/>
        <v>OK</v>
      </c>
      <c r="O729" s="24">
        <f t="shared" si="47"/>
        <v>0</v>
      </c>
    </row>
    <row r="730" spans="1:15" ht="15" customHeight="1" x14ac:dyDescent="0.3">
      <c r="A730" s="23" t="s">
        <v>1898</v>
      </c>
      <c r="B730" s="38">
        <v>46289</v>
      </c>
      <c r="C730" s="23" t="s">
        <v>1899</v>
      </c>
      <c r="D730" s="23" t="s">
        <v>95</v>
      </c>
      <c r="E730" s="23" t="s">
        <v>81</v>
      </c>
      <c r="F730" s="23" t="s">
        <v>329</v>
      </c>
      <c r="G730" s="23" t="s">
        <v>250</v>
      </c>
      <c r="H730" s="39">
        <f t="shared" si="44"/>
        <v>599</v>
      </c>
      <c r="I730" s="23" t="str">
        <f t="shared" si="45"/>
        <v>Bengaluru</v>
      </c>
      <c r="J730" s="23">
        <f>COUNTIFS(pg_transaction_cleaned!$O:$O,A730,pg_transaction_cleaned!$F:$F,"CAPTURE")</f>
        <v>1</v>
      </c>
      <c r="K730" s="39">
        <f>SUMIFS(pg_transaction_cleaned!$H:$H,pg_transaction_cleaned!$O:$O,A730,pg_transaction_cleaned!$F:$F,"CAPTURE")</f>
        <v>599</v>
      </c>
      <c r="L730" s="23">
        <f>COUNTIFS(pg_transaction_cleaned!$O:$O,A730,pg_transaction_cleaned!$F:$F,"REFUND")</f>
        <v>0</v>
      </c>
      <c r="M730" s="39">
        <f>SUMIFS(pg_transaction_cleaned!$H:$H,pg_transaction_cleaned!$O:$O,A730,pg_transaction_cleaned!$F:$F,"REFUND")</f>
        <v>0</v>
      </c>
      <c r="N730" s="23" t="str">
        <f t="shared" si="46"/>
        <v>OK</v>
      </c>
      <c r="O730" s="24">
        <f t="shared" si="47"/>
        <v>0</v>
      </c>
    </row>
    <row r="731" spans="1:15" ht="15" customHeight="1" x14ac:dyDescent="0.3">
      <c r="A731" s="23" t="s">
        <v>1900</v>
      </c>
      <c r="B731" s="38">
        <v>46272</v>
      </c>
      <c r="C731" s="23" t="s">
        <v>1901</v>
      </c>
      <c r="D731" s="23" t="s">
        <v>91</v>
      </c>
      <c r="E731" s="23" t="s">
        <v>75</v>
      </c>
      <c r="F731" s="23" t="s">
        <v>310</v>
      </c>
      <c r="G731" s="23" t="s">
        <v>250</v>
      </c>
      <c r="H731" s="39">
        <f t="shared" si="44"/>
        <v>7999</v>
      </c>
      <c r="I731" s="23" t="str">
        <f t="shared" si="45"/>
        <v>Pune</v>
      </c>
      <c r="J731" s="23">
        <f>COUNTIFS(pg_transaction_cleaned!$O:$O,A731,pg_transaction_cleaned!$F:$F,"CAPTURE")</f>
        <v>1</v>
      </c>
      <c r="K731" s="39">
        <f>SUMIFS(pg_transaction_cleaned!$H:$H,pg_transaction_cleaned!$O:$O,A731,pg_transaction_cleaned!$F:$F,"CAPTURE")</f>
        <v>7999</v>
      </c>
      <c r="L731" s="23">
        <f>COUNTIFS(pg_transaction_cleaned!$O:$O,A731,pg_transaction_cleaned!$F:$F,"REFUND")</f>
        <v>0</v>
      </c>
      <c r="M731" s="39">
        <f>SUMIFS(pg_transaction_cleaned!$H:$H,pg_transaction_cleaned!$O:$O,A731,pg_transaction_cleaned!$F:$F,"REFUND")</f>
        <v>0</v>
      </c>
      <c r="N731" s="23" t="str">
        <f t="shared" si="46"/>
        <v>OK</v>
      </c>
      <c r="O731" s="24">
        <f t="shared" si="47"/>
        <v>0</v>
      </c>
    </row>
    <row r="732" spans="1:15" ht="15" customHeight="1" x14ac:dyDescent="0.3">
      <c r="A732" s="23" t="s">
        <v>1902</v>
      </c>
      <c r="B732" s="38">
        <v>46295</v>
      </c>
      <c r="C732" s="23" t="s">
        <v>1903</v>
      </c>
      <c r="D732" s="23" t="s">
        <v>89</v>
      </c>
      <c r="E732" s="23" t="s">
        <v>75</v>
      </c>
      <c r="F732" s="23" t="s">
        <v>396</v>
      </c>
      <c r="G732" s="23" t="s">
        <v>318</v>
      </c>
      <c r="H732" s="39">
        <f t="shared" si="44"/>
        <v>2999</v>
      </c>
      <c r="I732" s="23" t="str">
        <f t="shared" si="45"/>
        <v>Jaipur</v>
      </c>
      <c r="J732" s="23">
        <f>COUNTIFS(pg_transaction_cleaned!$O:$O,A732,pg_transaction_cleaned!$F:$F,"CAPTURE")</f>
        <v>0</v>
      </c>
      <c r="K732" s="39">
        <f>SUMIFS(pg_transaction_cleaned!$H:$H,pg_transaction_cleaned!$O:$O,A732,pg_transaction_cleaned!$F:$F,"CAPTURE")</f>
        <v>0</v>
      </c>
      <c r="L732" s="23">
        <f>COUNTIFS(pg_transaction_cleaned!$O:$O,A732,pg_transaction_cleaned!$F:$F,"REFUND")</f>
        <v>0</v>
      </c>
      <c r="M732" s="39">
        <f>SUMIFS(pg_transaction_cleaned!$H:$H,pg_transaction_cleaned!$O:$O,A732,pg_transaction_cleaned!$F:$F,"REFUND")</f>
        <v>0</v>
      </c>
      <c r="N732" s="23" t="str">
        <f t="shared" si="46"/>
        <v>OK</v>
      </c>
      <c r="O732" s="24">
        <f t="shared" si="47"/>
        <v>0</v>
      </c>
    </row>
    <row r="733" spans="1:15" ht="15" customHeight="1" x14ac:dyDescent="0.3">
      <c r="A733" s="23" t="s">
        <v>1904</v>
      </c>
      <c r="B733" s="38">
        <v>46267</v>
      </c>
      <c r="C733" s="23" t="s">
        <v>1905</v>
      </c>
      <c r="D733" s="23" t="s">
        <v>92</v>
      </c>
      <c r="E733" s="23" t="s">
        <v>77</v>
      </c>
      <c r="F733" s="23" t="s">
        <v>1193</v>
      </c>
      <c r="G733" s="23" t="s">
        <v>250</v>
      </c>
      <c r="H733" s="39">
        <f t="shared" si="44"/>
        <v>3498</v>
      </c>
      <c r="I733" s="23" t="str">
        <f t="shared" si="45"/>
        <v>Hyderabad</v>
      </c>
      <c r="J733" s="23">
        <f>COUNTIFS(pg_transaction_cleaned!$O:$O,A733,pg_transaction_cleaned!$F:$F,"CAPTURE")</f>
        <v>1</v>
      </c>
      <c r="K733" s="39">
        <f>SUMIFS(pg_transaction_cleaned!$H:$H,pg_transaction_cleaned!$O:$O,A733,pg_transaction_cleaned!$F:$F,"CAPTURE")</f>
        <v>3498</v>
      </c>
      <c r="L733" s="23">
        <f>COUNTIFS(pg_transaction_cleaned!$O:$O,A733,pg_transaction_cleaned!$F:$F,"REFUND")</f>
        <v>0</v>
      </c>
      <c r="M733" s="39">
        <f>SUMIFS(pg_transaction_cleaned!$H:$H,pg_transaction_cleaned!$O:$O,A733,pg_transaction_cleaned!$F:$F,"REFUND")</f>
        <v>0</v>
      </c>
      <c r="N733" s="23" t="str">
        <f t="shared" si="46"/>
        <v>OK</v>
      </c>
      <c r="O733" s="24">
        <f t="shared" si="47"/>
        <v>0</v>
      </c>
    </row>
    <row r="734" spans="1:15" ht="15" customHeight="1" x14ac:dyDescent="0.3">
      <c r="A734" s="23" t="s">
        <v>1906</v>
      </c>
      <c r="B734" s="38">
        <v>46281</v>
      </c>
      <c r="C734" s="23" t="s">
        <v>1907</v>
      </c>
      <c r="D734" s="23" t="s">
        <v>88</v>
      </c>
      <c r="E734" s="23" t="s">
        <v>75</v>
      </c>
      <c r="F734" s="23" t="s">
        <v>297</v>
      </c>
      <c r="G734" s="23" t="s">
        <v>365</v>
      </c>
      <c r="H734" s="39">
        <f t="shared" si="44"/>
        <v>4999</v>
      </c>
      <c r="I734" s="23" t="str">
        <f t="shared" si="45"/>
        <v>Lucknow</v>
      </c>
      <c r="J734" s="23">
        <f>COUNTIFS(pg_transaction_cleaned!$O:$O,A734,pg_transaction_cleaned!$F:$F,"CAPTURE")</f>
        <v>0</v>
      </c>
      <c r="K734" s="39">
        <f>SUMIFS(pg_transaction_cleaned!$H:$H,pg_transaction_cleaned!$O:$O,A734,pg_transaction_cleaned!$F:$F,"CAPTURE")</f>
        <v>0</v>
      </c>
      <c r="L734" s="23">
        <f>COUNTIFS(pg_transaction_cleaned!$O:$O,A734,pg_transaction_cleaned!$F:$F,"REFUND")</f>
        <v>0</v>
      </c>
      <c r="M734" s="39">
        <f>SUMIFS(pg_transaction_cleaned!$H:$H,pg_transaction_cleaned!$O:$O,A734,pg_transaction_cleaned!$F:$F,"REFUND")</f>
        <v>0</v>
      </c>
      <c r="N734" s="23" t="str">
        <f t="shared" si="46"/>
        <v>OK</v>
      </c>
      <c r="O734" s="24">
        <f t="shared" si="47"/>
        <v>0</v>
      </c>
    </row>
    <row r="735" spans="1:15" ht="15" customHeight="1" x14ac:dyDescent="0.3">
      <c r="A735" s="23" t="s">
        <v>1908</v>
      </c>
      <c r="B735" s="38">
        <v>46270</v>
      </c>
      <c r="C735" s="23" t="s">
        <v>1909</v>
      </c>
      <c r="D735" s="23" t="s">
        <v>87</v>
      </c>
      <c r="E735" s="23" t="s">
        <v>75</v>
      </c>
      <c r="F735" s="23" t="s">
        <v>294</v>
      </c>
      <c r="G735" s="23" t="s">
        <v>250</v>
      </c>
      <c r="H735" s="39">
        <f t="shared" si="44"/>
        <v>1799</v>
      </c>
      <c r="I735" s="23" t="str">
        <f t="shared" si="45"/>
        <v>Mumbai</v>
      </c>
      <c r="J735" s="23">
        <f>COUNTIFS(pg_transaction_cleaned!$O:$O,A735,pg_transaction_cleaned!$F:$F,"CAPTURE")</f>
        <v>1</v>
      </c>
      <c r="K735" s="39">
        <f>SUMIFS(pg_transaction_cleaned!$H:$H,pg_transaction_cleaned!$O:$O,A735,pg_transaction_cleaned!$F:$F,"CAPTURE")</f>
        <v>1799</v>
      </c>
      <c r="L735" s="23">
        <f>COUNTIFS(pg_transaction_cleaned!$O:$O,A735,pg_transaction_cleaned!$F:$F,"REFUND")</f>
        <v>0</v>
      </c>
      <c r="M735" s="39">
        <f>SUMIFS(pg_transaction_cleaned!$H:$H,pg_transaction_cleaned!$O:$O,A735,pg_transaction_cleaned!$F:$F,"REFUND")</f>
        <v>0</v>
      </c>
      <c r="N735" s="23" t="str">
        <f t="shared" si="46"/>
        <v>OK</v>
      </c>
      <c r="O735" s="24">
        <f t="shared" si="47"/>
        <v>0</v>
      </c>
    </row>
    <row r="736" spans="1:15" ht="15" customHeight="1" x14ac:dyDescent="0.3">
      <c r="A736" s="23" t="s">
        <v>1910</v>
      </c>
      <c r="B736" s="38">
        <v>46282</v>
      </c>
      <c r="C736" s="23" t="s">
        <v>1911</v>
      </c>
      <c r="D736" s="23" t="s">
        <v>91</v>
      </c>
      <c r="E736" s="23" t="s">
        <v>79</v>
      </c>
      <c r="F736" s="23" t="s">
        <v>268</v>
      </c>
      <c r="G736" s="23" t="s">
        <v>250</v>
      </c>
      <c r="H736" s="39">
        <f t="shared" si="44"/>
        <v>1299</v>
      </c>
      <c r="I736" s="23" t="str">
        <f t="shared" si="45"/>
        <v>Pune</v>
      </c>
      <c r="J736" s="23">
        <f>COUNTIFS(pg_transaction_cleaned!$O:$O,A736,pg_transaction_cleaned!$F:$F,"CAPTURE")</f>
        <v>1</v>
      </c>
      <c r="K736" s="39">
        <f>SUMIFS(pg_transaction_cleaned!$H:$H,pg_transaction_cleaned!$O:$O,A736,pg_transaction_cleaned!$F:$F,"CAPTURE")</f>
        <v>1299</v>
      </c>
      <c r="L736" s="23">
        <f>COUNTIFS(pg_transaction_cleaned!$O:$O,A736,pg_transaction_cleaned!$F:$F,"REFUND")</f>
        <v>0</v>
      </c>
      <c r="M736" s="39">
        <f>SUMIFS(pg_transaction_cleaned!$H:$H,pg_transaction_cleaned!$O:$O,A736,pg_transaction_cleaned!$F:$F,"REFUND")</f>
        <v>0</v>
      </c>
      <c r="N736" s="23" t="str">
        <f t="shared" si="46"/>
        <v>OK</v>
      </c>
      <c r="O736" s="24">
        <f t="shared" si="47"/>
        <v>0</v>
      </c>
    </row>
    <row r="737" spans="1:15" ht="15" customHeight="1" x14ac:dyDescent="0.3">
      <c r="A737" s="23" t="s">
        <v>1912</v>
      </c>
      <c r="B737" s="38">
        <v>46288</v>
      </c>
      <c r="C737" s="23" t="s">
        <v>1913</v>
      </c>
      <c r="D737" s="23" t="s">
        <v>93</v>
      </c>
      <c r="E737" s="23" t="s">
        <v>75</v>
      </c>
      <c r="F737" s="23" t="s">
        <v>747</v>
      </c>
      <c r="G737" s="23" t="s">
        <v>250</v>
      </c>
      <c r="H737" s="39">
        <f t="shared" si="44"/>
        <v>2498</v>
      </c>
      <c r="I737" s="23" t="str">
        <f t="shared" si="45"/>
        <v>Kolkata</v>
      </c>
      <c r="J737" s="23">
        <f>COUNTIFS(pg_transaction_cleaned!$O:$O,A737,pg_transaction_cleaned!$F:$F,"CAPTURE")</f>
        <v>1</v>
      </c>
      <c r="K737" s="39">
        <f>SUMIFS(pg_transaction_cleaned!$H:$H,pg_transaction_cleaned!$O:$O,A737,pg_transaction_cleaned!$F:$F,"CAPTURE")</f>
        <v>2498</v>
      </c>
      <c r="L737" s="23">
        <f>COUNTIFS(pg_transaction_cleaned!$O:$O,A737,pg_transaction_cleaned!$F:$F,"REFUND")</f>
        <v>0</v>
      </c>
      <c r="M737" s="39">
        <f>SUMIFS(pg_transaction_cleaned!$H:$H,pg_transaction_cleaned!$O:$O,A737,pg_transaction_cleaned!$F:$F,"REFUND")</f>
        <v>0</v>
      </c>
      <c r="N737" s="23" t="str">
        <f t="shared" si="46"/>
        <v>OK</v>
      </c>
      <c r="O737" s="24">
        <f t="shared" si="47"/>
        <v>0</v>
      </c>
    </row>
    <row r="738" spans="1:15" ht="15" customHeight="1" x14ac:dyDescent="0.3">
      <c r="A738" s="23" t="s">
        <v>1914</v>
      </c>
      <c r="B738" s="38">
        <v>46284</v>
      </c>
      <c r="C738" s="23" t="s">
        <v>1405</v>
      </c>
      <c r="D738" s="23" t="s">
        <v>89</v>
      </c>
      <c r="E738" s="23" t="s">
        <v>81</v>
      </c>
      <c r="F738" s="23" t="s">
        <v>742</v>
      </c>
      <c r="G738" s="23" t="s">
        <v>250</v>
      </c>
      <c r="H738" s="39">
        <f t="shared" si="44"/>
        <v>999</v>
      </c>
      <c r="I738" s="23" t="str">
        <f t="shared" si="45"/>
        <v>Jaipur</v>
      </c>
      <c r="J738" s="23">
        <f>COUNTIFS(pg_transaction_cleaned!$O:$O,A738,pg_transaction_cleaned!$F:$F,"CAPTURE")</f>
        <v>1</v>
      </c>
      <c r="K738" s="39">
        <f>SUMIFS(pg_transaction_cleaned!$H:$H,pg_transaction_cleaned!$O:$O,A738,pg_transaction_cleaned!$F:$F,"CAPTURE")</f>
        <v>999</v>
      </c>
      <c r="L738" s="23">
        <f>COUNTIFS(pg_transaction_cleaned!$O:$O,A738,pg_transaction_cleaned!$F:$F,"REFUND")</f>
        <v>0</v>
      </c>
      <c r="M738" s="39">
        <f>SUMIFS(pg_transaction_cleaned!$H:$H,pg_transaction_cleaned!$O:$O,A738,pg_transaction_cleaned!$F:$F,"REFUND")</f>
        <v>0</v>
      </c>
      <c r="N738" s="23" t="str">
        <f t="shared" si="46"/>
        <v>OK</v>
      </c>
      <c r="O738" s="24">
        <f t="shared" si="47"/>
        <v>0</v>
      </c>
    </row>
    <row r="739" spans="1:15" ht="15" customHeight="1" x14ac:dyDescent="0.3">
      <c r="A739" s="23" t="s">
        <v>1915</v>
      </c>
      <c r="B739" s="38">
        <v>46274</v>
      </c>
      <c r="C739" s="23" t="s">
        <v>1916</v>
      </c>
      <c r="D739" s="23" t="s">
        <v>86</v>
      </c>
      <c r="E739" s="23" t="s">
        <v>79</v>
      </c>
      <c r="F739" s="23" t="s">
        <v>475</v>
      </c>
      <c r="G739" s="23" t="s">
        <v>250</v>
      </c>
      <c r="H739" s="39">
        <f t="shared" si="44"/>
        <v>799</v>
      </c>
      <c r="I739" s="23" t="str">
        <f t="shared" si="45"/>
        <v>Delhi</v>
      </c>
      <c r="J739" s="23">
        <f>COUNTIFS(pg_transaction_cleaned!$O:$O,A739,pg_transaction_cleaned!$F:$F,"CAPTURE")</f>
        <v>1</v>
      </c>
      <c r="K739" s="39">
        <f>SUMIFS(pg_transaction_cleaned!$H:$H,pg_transaction_cleaned!$O:$O,A739,pg_transaction_cleaned!$F:$F,"CAPTURE")</f>
        <v>799</v>
      </c>
      <c r="L739" s="23">
        <f>COUNTIFS(pg_transaction_cleaned!$O:$O,A739,pg_transaction_cleaned!$F:$F,"REFUND")</f>
        <v>0</v>
      </c>
      <c r="M739" s="39">
        <f>SUMIFS(pg_transaction_cleaned!$H:$H,pg_transaction_cleaned!$O:$O,A739,pg_transaction_cleaned!$F:$F,"REFUND")</f>
        <v>0</v>
      </c>
      <c r="N739" s="23" t="str">
        <f t="shared" si="46"/>
        <v>OK</v>
      </c>
      <c r="O739" s="24">
        <f t="shared" si="47"/>
        <v>0</v>
      </c>
    </row>
    <row r="740" spans="1:15" ht="15" customHeight="1" x14ac:dyDescent="0.3">
      <c r="A740" s="23" t="s">
        <v>1917</v>
      </c>
      <c r="B740" s="38">
        <v>46281</v>
      </c>
      <c r="C740" s="23" t="s">
        <v>1918</v>
      </c>
      <c r="D740" s="23" t="s">
        <v>92</v>
      </c>
      <c r="E740" s="23" t="s">
        <v>75</v>
      </c>
      <c r="F740" s="23" t="s">
        <v>950</v>
      </c>
      <c r="G740" s="23" t="s">
        <v>250</v>
      </c>
      <c r="H740" s="39">
        <f t="shared" si="44"/>
        <v>1898</v>
      </c>
      <c r="I740" s="23" t="str">
        <f t="shared" si="45"/>
        <v>Hyderabad</v>
      </c>
      <c r="J740" s="23">
        <f>COUNTIFS(pg_transaction_cleaned!$O:$O,A740,pg_transaction_cleaned!$F:$F,"CAPTURE")</f>
        <v>1</v>
      </c>
      <c r="K740" s="39">
        <f>SUMIFS(pg_transaction_cleaned!$H:$H,pg_transaction_cleaned!$O:$O,A740,pg_transaction_cleaned!$F:$F,"CAPTURE")</f>
        <v>1898</v>
      </c>
      <c r="L740" s="23">
        <f>COUNTIFS(pg_transaction_cleaned!$O:$O,A740,pg_transaction_cleaned!$F:$F,"REFUND")</f>
        <v>0</v>
      </c>
      <c r="M740" s="39">
        <f>SUMIFS(pg_transaction_cleaned!$H:$H,pg_transaction_cleaned!$O:$O,A740,pg_transaction_cleaned!$F:$F,"REFUND")</f>
        <v>0</v>
      </c>
      <c r="N740" s="23" t="str">
        <f t="shared" si="46"/>
        <v>OK</v>
      </c>
      <c r="O740" s="24">
        <f t="shared" si="47"/>
        <v>0</v>
      </c>
    </row>
    <row r="741" spans="1:15" ht="15" customHeight="1" x14ac:dyDescent="0.3">
      <c r="A741" s="23" t="s">
        <v>1919</v>
      </c>
      <c r="B741" s="38">
        <v>46280</v>
      </c>
      <c r="C741" s="23" t="s">
        <v>1920</v>
      </c>
      <c r="D741" s="23" t="s">
        <v>91</v>
      </c>
      <c r="E741" s="23" t="s">
        <v>79</v>
      </c>
      <c r="F741" s="23" t="s">
        <v>271</v>
      </c>
      <c r="G741" s="23" t="s">
        <v>250</v>
      </c>
      <c r="H741" s="39">
        <f t="shared" si="44"/>
        <v>2499</v>
      </c>
      <c r="I741" s="23" t="str">
        <f t="shared" si="45"/>
        <v>Pune</v>
      </c>
      <c r="J741" s="23">
        <f>COUNTIFS(pg_transaction_cleaned!$O:$O,A741,pg_transaction_cleaned!$F:$F,"CAPTURE")</f>
        <v>1</v>
      </c>
      <c r="K741" s="39">
        <f>SUMIFS(pg_transaction_cleaned!$H:$H,pg_transaction_cleaned!$O:$O,A741,pg_transaction_cleaned!$F:$F,"CAPTURE")</f>
        <v>2499</v>
      </c>
      <c r="L741" s="23">
        <f>COUNTIFS(pg_transaction_cleaned!$O:$O,A741,pg_transaction_cleaned!$F:$F,"REFUND")</f>
        <v>0</v>
      </c>
      <c r="M741" s="39">
        <f>SUMIFS(pg_transaction_cleaned!$H:$H,pg_transaction_cleaned!$O:$O,A741,pg_transaction_cleaned!$F:$F,"REFUND")</f>
        <v>0</v>
      </c>
      <c r="N741" s="23" t="str">
        <f t="shared" si="46"/>
        <v>OK</v>
      </c>
      <c r="O741" s="24">
        <f t="shared" si="47"/>
        <v>0</v>
      </c>
    </row>
    <row r="742" spans="1:15" ht="15" customHeight="1" x14ac:dyDescent="0.3">
      <c r="A742" s="23" t="s">
        <v>1921</v>
      </c>
      <c r="B742" s="38">
        <v>46289</v>
      </c>
      <c r="C742" s="23" t="s">
        <v>1922</v>
      </c>
      <c r="D742" s="23" t="s">
        <v>95</v>
      </c>
      <c r="E742" s="23" t="s">
        <v>75</v>
      </c>
      <c r="F742" s="23" t="s">
        <v>297</v>
      </c>
      <c r="G742" s="23" t="s">
        <v>250</v>
      </c>
      <c r="H742" s="39">
        <f t="shared" si="44"/>
        <v>4999</v>
      </c>
      <c r="I742" s="23" t="str">
        <f t="shared" si="45"/>
        <v>Bengaluru</v>
      </c>
      <c r="J742" s="23">
        <f>COUNTIFS(pg_transaction_cleaned!$O:$O,A742,pg_transaction_cleaned!$F:$F,"CAPTURE")</f>
        <v>1</v>
      </c>
      <c r="K742" s="39">
        <f>SUMIFS(pg_transaction_cleaned!$H:$H,pg_transaction_cleaned!$O:$O,A742,pg_transaction_cleaned!$F:$F,"CAPTURE")</f>
        <v>4999</v>
      </c>
      <c r="L742" s="23">
        <f>COUNTIFS(pg_transaction_cleaned!$O:$O,A742,pg_transaction_cleaned!$F:$F,"REFUND")</f>
        <v>0</v>
      </c>
      <c r="M742" s="39">
        <f>SUMIFS(pg_transaction_cleaned!$H:$H,pg_transaction_cleaned!$O:$O,A742,pg_transaction_cleaned!$F:$F,"REFUND")</f>
        <v>0</v>
      </c>
      <c r="N742" s="23" t="str">
        <f t="shared" si="46"/>
        <v>OK</v>
      </c>
      <c r="O742" s="24">
        <f t="shared" si="47"/>
        <v>0</v>
      </c>
    </row>
    <row r="743" spans="1:15" ht="15" customHeight="1" x14ac:dyDescent="0.3">
      <c r="A743" s="23" t="s">
        <v>1923</v>
      </c>
      <c r="B743" s="38">
        <v>46270</v>
      </c>
      <c r="C743" s="23" t="s">
        <v>1924</v>
      </c>
      <c r="D743" s="23" t="s">
        <v>89</v>
      </c>
      <c r="E743" s="23" t="s">
        <v>75</v>
      </c>
      <c r="F743" s="23" t="s">
        <v>1265</v>
      </c>
      <c r="G743" s="23" t="s">
        <v>250</v>
      </c>
      <c r="H743" s="39">
        <f t="shared" si="44"/>
        <v>6997</v>
      </c>
      <c r="I743" s="23" t="str">
        <f t="shared" si="45"/>
        <v>Jaipur</v>
      </c>
      <c r="J743" s="23">
        <f>COUNTIFS(pg_transaction_cleaned!$O:$O,A743,pg_transaction_cleaned!$F:$F,"CAPTURE")</f>
        <v>1</v>
      </c>
      <c r="K743" s="39">
        <f>SUMIFS(pg_transaction_cleaned!$H:$H,pg_transaction_cleaned!$O:$O,A743,pg_transaction_cleaned!$F:$F,"CAPTURE")</f>
        <v>6997</v>
      </c>
      <c r="L743" s="23">
        <f>COUNTIFS(pg_transaction_cleaned!$O:$O,A743,pg_transaction_cleaned!$F:$F,"REFUND")</f>
        <v>0</v>
      </c>
      <c r="M743" s="39">
        <f>SUMIFS(pg_transaction_cleaned!$H:$H,pg_transaction_cleaned!$O:$O,A743,pg_transaction_cleaned!$F:$F,"REFUND")</f>
        <v>0</v>
      </c>
      <c r="N743" s="23" t="str">
        <f t="shared" si="46"/>
        <v>OK</v>
      </c>
      <c r="O743" s="24">
        <f t="shared" si="47"/>
        <v>0</v>
      </c>
    </row>
    <row r="744" spans="1:15" ht="15" customHeight="1" x14ac:dyDescent="0.3">
      <c r="A744" s="23" t="s">
        <v>1925</v>
      </c>
      <c r="B744" s="38">
        <v>46283</v>
      </c>
      <c r="C744" s="23" t="s">
        <v>1926</v>
      </c>
      <c r="D744" s="23" t="s">
        <v>87</v>
      </c>
      <c r="E744" s="23" t="s">
        <v>79</v>
      </c>
      <c r="F744" s="23" t="s">
        <v>1571</v>
      </c>
      <c r="G744" s="23" t="s">
        <v>250</v>
      </c>
      <c r="H744" s="39">
        <f t="shared" si="44"/>
        <v>7497</v>
      </c>
      <c r="I744" s="23" t="str">
        <f t="shared" si="45"/>
        <v>Mumbai</v>
      </c>
      <c r="J744" s="23">
        <f>COUNTIFS(pg_transaction_cleaned!$O:$O,A744,pg_transaction_cleaned!$F:$F,"CAPTURE")</f>
        <v>1</v>
      </c>
      <c r="K744" s="39">
        <f>SUMIFS(pg_transaction_cleaned!$H:$H,pg_transaction_cleaned!$O:$O,A744,pg_transaction_cleaned!$F:$F,"CAPTURE")</f>
        <v>7497</v>
      </c>
      <c r="L744" s="23">
        <f>COUNTIFS(pg_transaction_cleaned!$O:$O,A744,pg_transaction_cleaned!$F:$F,"REFUND")</f>
        <v>0</v>
      </c>
      <c r="M744" s="39">
        <f>SUMIFS(pg_transaction_cleaned!$H:$H,pg_transaction_cleaned!$O:$O,A744,pg_transaction_cleaned!$F:$F,"REFUND")</f>
        <v>0</v>
      </c>
      <c r="N744" s="23" t="str">
        <f t="shared" si="46"/>
        <v>OK</v>
      </c>
      <c r="O744" s="24">
        <f t="shared" si="47"/>
        <v>0</v>
      </c>
    </row>
    <row r="745" spans="1:15" ht="15" customHeight="1" x14ac:dyDescent="0.3">
      <c r="A745" s="23" t="s">
        <v>1927</v>
      </c>
      <c r="B745" s="38">
        <v>46278</v>
      </c>
      <c r="C745" s="23" t="s">
        <v>1928</v>
      </c>
      <c r="D745" s="23" t="s">
        <v>90</v>
      </c>
      <c r="E745" s="23" t="s">
        <v>75</v>
      </c>
      <c r="F745" s="23" t="s">
        <v>291</v>
      </c>
      <c r="G745" s="23" t="s">
        <v>250</v>
      </c>
      <c r="H745" s="39">
        <f t="shared" si="44"/>
        <v>3499</v>
      </c>
      <c r="I745" s="23" t="str">
        <f t="shared" si="45"/>
        <v>Ahmedabad</v>
      </c>
      <c r="J745" s="23">
        <f>COUNTIFS(pg_transaction_cleaned!$O:$O,A745,pg_transaction_cleaned!$F:$F,"CAPTURE")</f>
        <v>1</v>
      </c>
      <c r="K745" s="39">
        <f>SUMIFS(pg_transaction_cleaned!$H:$H,pg_transaction_cleaned!$O:$O,A745,pg_transaction_cleaned!$F:$F,"CAPTURE")</f>
        <v>3499</v>
      </c>
      <c r="L745" s="23">
        <f>COUNTIFS(pg_transaction_cleaned!$O:$O,A745,pg_transaction_cleaned!$F:$F,"REFUND")</f>
        <v>0</v>
      </c>
      <c r="M745" s="39">
        <f>SUMIFS(pg_transaction_cleaned!$H:$H,pg_transaction_cleaned!$O:$O,A745,pg_transaction_cleaned!$F:$F,"REFUND")</f>
        <v>0</v>
      </c>
      <c r="N745" s="23" t="str">
        <f t="shared" si="46"/>
        <v>OK</v>
      </c>
      <c r="O745" s="24">
        <f t="shared" si="47"/>
        <v>0</v>
      </c>
    </row>
    <row r="746" spans="1:15" ht="15" customHeight="1" x14ac:dyDescent="0.3">
      <c r="A746" s="23" t="s">
        <v>1929</v>
      </c>
      <c r="B746" s="38">
        <v>46292</v>
      </c>
      <c r="C746" s="23" t="s">
        <v>1930</v>
      </c>
      <c r="D746" s="23" t="s">
        <v>89</v>
      </c>
      <c r="E746" s="23" t="s">
        <v>75</v>
      </c>
      <c r="F746" s="23" t="s">
        <v>1282</v>
      </c>
      <c r="G746" s="23" t="s">
        <v>250</v>
      </c>
      <c r="H746" s="39">
        <f t="shared" si="44"/>
        <v>5347</v>
      </c>
      <c r="I746" s="23" t="str">
        <f t="shared" si="45"/>
        <v>Jaipur</v>
      </c>
      <c r="J746" s="23">
        <f>COUNTIFS(pg_transaction_cleaned!$O:$O,A746,pg_transaction_cleaned!$F:$F,"CAPTURE")</f>
        <v>1</v>
      </c>
      <c r="K746" s="39">
        <f>SUMIFS(pg_transaction_cleaned!$H:$H,pg_transaction_cleaned!$O:$O,A746,pg_transaction_cleaned!$F:$F,"CAPTURE")</f>
        <v>5347</v>
      </c>
      <c r="L746" s="23">
        <f>COUNTIFS(pg_transaction_cleaned!$O:$O,A746,pg_transaction_cleaned!$F:$F,"REFUND")</f>
        <v>0</v>
      </c>
      <c r="M746" s="39">
        <f>SUMIFS(pg_transaction_cleaned!$H:$H,pg_transaction_cleaned!$O:$O,A746,pg_transaction_cleaned!$F:$F,"REFUND")</f>
        <v>0</v>
      </c>
      <c r="N746" s="23" t="str">
        <f t="shared" si="46"/>
        <v>OK</v>
      </c>
      <c r="O746" s="24">
        <f t="shared" si="47"/>
        <v>0</v>
      </c>
    </row>
    <row r="747" spans="1:15" ht="15" customHeight="1" x14ac:dyDescent="0.3">
      <c r="A747" s="23" t="s">
        <v>1931</v>
      </c>
      <c r="B747" s="38">
        <v>46295</v>
      </c>
      <c r="C747" s="23" t="s">
        <v>1932</v>
      </c>
      <c r="D747" s="23" t="s">
        <v>88</v>
      </c>
      <c r="E747" s="23" t="s">
        <v>75</v>
      </c>
      <c r="F747" s="23" t="s">
        <v>742</v>
      </c>
      <c r="G747" s="23" t="s">
        <v>250</v>
      </c>
      <c r="H747" s="39">
        <f t="shared" si="44"/>
        <v>999</v>
      </c>
      <c r="I747" s="23" t="str">
        <f t="shared" si="45"/>
        <v>Lucknow</v>
      </c>
      <c r="J747" s="23">
        <f>COUNTIFS(pg_transaction_cleaned!$O:$O,A747,pg_transaction_cleaned!$F:$F,"CAPTURE")</f>
        <v>1</v>
      </c>
      <c r="K747" s="39">
        <f>SUMIFS(pg_transaction_cleaned!$H:$H,pg_transaction_cleaned!$O:$O,A747,pg_transaction_cleaned!$F:$F,"CAPTURE")</f>
        <v>999</v>
      </c>
      <c r="L747" s="23">
        <f>COUNTIFS(pg_transaction_cleaned!$O:$O,A747,pg_transaction_cleaned!$F:$F,"REFUND")</f>
        <v>0</v>
      </c>
      <c r="M747" s="39">
        <f>SUMIFS(pg_transaction_cleaned!$H:$H,pg_transaction_cleaned!$O:$O,A747,pg_transaction_cleaned!$F:$F,"REFUND")</f>
        <v>0</v>
      </c>
      <c r="N747" s="23" t="str">
        <f t="shared" si="46"/>
        <v>OK</v>
      </c>
      <c r="O747" s="24">
        <f t="shared" si="47"/>
        <v>0</v>
      </c>
    </row>
    <row r="748" spans="1:15" ht="15" customHeight="1" x14ac:dyDescent="0.3">
      <c r="A748" s="23" t="s">
        <v>1933</v>
      </c>
      <c r="B748" s="38">
        <v>46272</v>
      </c>
      <c r="C748" s="23" t="s">
        <v>1934</v>
      </c>
      <c r="D748" s="23" t="s">
        <v>94</v>
      </c>
      <c r="E748" s="23" t="s">
        <v>75</v>
      </c>
      <c r="F748" s="23" t="s">
        <v>438</v>
      </c>
      <c r="G748" s="23" t="s">
        <v>250</v>
      </c>
      <c r="H748" s="39">
        <f t="shared" si="44"/>
        <v>5498</v>
      </c>
      <c r="I748" s="23" t="str">
        <f t="shared" si="45"/>
        <v>Chennai</v>
      </c>
      <c r="J748" s="23">
        <f>COUNTIFS(pg_transaction_cleaned!$O:$O,A748,pg_transaction_cleaned!$F:$F,"CAPTURE")</f>
        <v>1</v>
      </c>
      <c r="K748" s="39">
        <f>SUMIFS(pg_transaction_cleaned!$H:$H,pg_transaction_cleaned!$O:$O,A748,pg_transaction_cleaned!$F:$F,"CAPTURE")</f>
        <v>5498</v>
      </c>
      <c r="L748" s="23">
        <f>COUNTIFS(pg_transaction_cleaned!$O:$O,A748,pg_transaction_cleaned!$F:$F,"REFUND")</f>
        <v>0</v>
      </c>
      <c r="M748" s="39">
        <f>SUMIFS(pg_transaction_cleaned!$H:$H,pg_transaction_cleaned!$O:$O,A748,pg_transaction_cleaned!$F:$F,"REFUND")</f>
        <v>0</v>
      </c>
      <c r="N748" s="23" t="str">
        <f t="shared" si="46"/>
        <v>OK</v>
      </c>
      <c r="O748" s="24">
        <f t="shared" si="47"/>
        <v>0</v>
      </c>
    </row>
    <row r="749" spans="1:15" ht="15" customHeight="1" x14ac:dyDescent="0.3">
      <c r="A749" s="23" t="s">
        <v>1935</v>
      </c>
      <c r="B749" s="38">
        <v>46276</v>
      </c>
      <c r="C749" s="23" t="s">
        <v>1936</v>
      </c>
      <c r="D749" s="23" t="s">
        <v>88</v>
      </c>
      <c r="E749" s="23" t="s">
        <v>77</v>
      </c>
      <c r="F749" s="23" t="s">
        <v>1315</v>
      </c>
      <c r="G749" s="23" t="s">
        <v>250</v>
      </c>
      <c r="H749" s="39">
        <f t="shared" si="44"/>
        <v>8297</v>
      </c>
      <c r="I749" s="23" t="str">
        <f t="shared" si="45"/>
        <v>Lucknow</v>
      </c>
      <c r="J749" s="23">
        <f>COUNTIFS(pg_transaction_cleaned!$O:$O,A749,pg_transaction_cleaned!$F:$F,"CAPTURE")</f>
        <v>1</v>
      </c>
      <c r="K749" s="39">
        <f>SUMIFS(pg_transaction_cleaned!$H:$H,pg_transaction_cleaned!$O:$O,A749,pg_transaction_cleaned!$F:$F,"CAPTURE")</f>
        <v>8297</v>
      </c>
      <c r="L749" s="23">
        <f>COUNTIFS(pg_transaction_cleaned!$O:$O,A749,pg_transaction_cleaned!$F:$F,"REFUND")</f>
        <v>0</v>
      </c>
      <c r="M749" s="39">
        <f>SUMIFS(pg_transaction_cleaned!$H:$H,pg_transaction_cleaned!$O:$O,A749,pg_transaction_cleaned!$F:$F,"REFUND")</f>
        <v>0</v>
      </c>
      <c r="N749" s="23" t="str">
        <f t="shared" si="46"/>
        <v>OK</v>
      </c>
      <c r="O749" s="24">
        <f t="shared" si="47"/>
        <v>0</v>
      </c>
    </row>
    <row r="750" spans="1:15" ht="15" customHeight="1" x14ac:dyDescent="0.3">
      <c r="A750" s="23" t="s">
        <v>1937</v>
      </c>
      <c r="B750" s="38">
        <v>46275</v>
      </c>
      <c r="C750" s="23" t="s">
        <v>1938</v>
      </c>
      <c r="D750" s="23" t="s">
        <v>93</v>
      </c>
      <c r="E750" s="23" t="s">
        <v>79</v>
      </c>
      <c r="F750" s="23" t="s">
        <v>1193</v>
      </c>
      <c r="G750" s="23" t="s">
        <v>250</v>
      </c>
      <c r="H750" s="39">
        <f t="shared" si="44"/>
        <v>3498</v>
      </c>
      <c r="I750" s="23" t="str">
        <f t="shared" si="45"/>
        <v>Kolkata</v>
      </c>
      <c r="J750" s="23">
        <f>COUNTIFS(pg_transaction_cleaned!$O:$O,A750,pg_transaction_cleaned!$F:$F,"CAPTURE")</f>
        <v>1</v>
      </c>
      <c r="K750" s="39">
        <f>SUMIFS(pg_transaction_cleaned!$H:$H,pg_transaction_cleaned!$O:$O,A750,pg_transaction_cleaned!$F:$F,"CAPTURE")</f>
        <v>3498</v>
      </c>
      <c r="L750" s="23">
        <f>COUNTIFS(pg_transaction_cleaned!$O:$O,A750,pg_transaction_cleaned!$F:$F,"REFUND")</f>
        <v>0</v>
      </c>
      <c r="M750" s="39">
        <f>SUMIFS(pg_transaction_cleaned!$H:$H,pg_transaction_cleaned!$O:$O,A750,pg_transaction_cleaned!$F:$F,"REFUND")</f>
        <v>0</v>
      </c>
      <c r="N750" s="23" t="str">
        <f t="shared" si="46"/>
        <v>OK</v>
      </c>
      <c r="O750" s="24">
        <f t="shared" si="47"/>
        <v>0</v>
      </c>
    </row>
    <row r="751" spans="1:15" ht="15" customHeight="1" x14ac:dyDescent="0.3">
      <c r="A751" s="23" t="s">
        <v>1939</v>
      </c>
      <c r="B751" s="38">
        <v>46286</v>
      </c>
      <c r="C751" s="23" t="s">
        <v>1940</v>
      </c>
      <c r="D751" s="23" t="s">
        <v>94</v>
      </c>
      <c r="E751" s="23" t="s">
        <v>75</v>
      </c>
      <c r="F751" s="23" t="s">
        <v>757</v>
      </c>
      <c r="G751" s="23" t="s">
        <v>250</v>
      </c>
      <c r="H751" s="39">
        <f t="shared" si="44"/>
        <v>3798</v>
      </c>
      <c r="I751" s="23" t="str">
        <f t="shared" si="45"/>
        <v>Chennai</v>
      </c>
      <c r="J751" s="23">
        <f>COUNTIFS(pg_transaction_cleaned!$O:$O,A751,pg_transaction_cleaned!$F:$F,"CAPTURE")</f>
        <v>1</v>
      </c>
      <c r="K751" s="39">
        <f>SUMIFS(pg_transaction_cleaned!$H:$H,pg_transaction_cleaned!$O:$O,A751,pg_transaction_cleaned!$F:$F,"CAPTURE")</f>
        <v>3798</v>
      </c>
      <c r="L751" s="23">
        <f>COUNTIFS(pg_transaction_cleaned!$O:$O,A751,pg_transaction_cleaned!$F:$F,"REFUND")</f>
        <v>0</v>
      </c>
      <c r="M751" s="39">
        <f>SUMIFS(pg_transaction_cleaned!$H:$H,pg_transaction_cleaned!$O:$O,A751,pg_transaction_cleaned!$F:$F,"REFUND")</f>
        <v>0</v>
      </c>
      <c r="N751" s="23" t="str">
        <f t="shared" si="46"/>
        <v>OK</v>
      </c>
      <c r="O751" s="24">
        <f t="shared" si="47"/>
        <v>0</v>
      </c>
    </row>
    <row r="752" spans="1:15" ht="15" customHeight="1" x14ac:dyDescent="0.3">
      <c r="A752" s="23" t="s">
        <v>1941</v>
      </c>
      <c r="B752" s="38">
        <v>46273</v>
      </c>
      <c r="C752" s="23" t="s">
        <v>1942</v>
      </c>
      <c r="D752" s="23" t="s">
        <v>93</v>
      </c>
      <c r="E752" s="23" t="s">
        <v>79</v>
      </c>
      <c r="F752" s="23" t="s">
        <v>265</v>
      </c>
      <c r="G752" s="23" t="s">
        <v>250</v>
      </c>
      <c r="H752" s="39">
        <f t="shared" si="44"/>
        <v>999</v>
      </c>
      <c r="I752" s="23" t="str">
        <f t="shared" si="45"/>
        <v>Kolkata</v>
      </c>
      <c r="J752" s="23">
        <f>COUNTIFS(pg_transaction_cleaned!$O:$O,A752,pg_transaction_cleaned!$F:$F,"CAPTURE")</f>
        <v>1</v>
      </c>
      <c r="K752" s="39">
        <f>SUMIFS(pg_transaction_cleaned!$H:$H,pg_transaction_cleaned!$O:$O,A752,pg_transaction_cleaned!$F:$F,"CAPTURE")</f>
        <v>999</v>
      </c>
      <c r="L752" s="23">
        <f>COUNTIFS(pg_transaction_cleaned!$O:$O,A752,pg_transaction_cleaned!$F:$F,"REFUND")</f>
        <v>0</v>
      </c>
      <c r="M752" s="39">
        <f>SUMIFS(pg_transaction_cleaned!$H:$H,pg_transaction_cleaned!$O:$O,A752,pg_transaction_cleaned!$F:$F,"REFUND")</f>
        <v>0</v>
      </c>
      <c r="N752" s="23" t="str">
        <f t="shared" si="46"/>
        <v>OK</v>
      </c>
      <c r="O752" s="24">
        <f t="shared" si="47"/>
        <v>0</v>
      </c>
    </row>
    <row r="753" spans="1:15" ht="15" customHeight="1" x14ac:dyDescent="0.3">
      <c r="A753" s="23" t="s">
        <v>1943</v>
      </c>
      <c r="B753" s="38">
        <v>46274</v>
      </c>
      <c r="C753" s="23" t="s">
        <v>1944</v>
      </c>
      <c r="D753" s="23" t="s">
        <v>90</v>
      </c>
      <c r="E753" s="23" t="s">
        <v>79</v>
      </c>
      <c r="F753" s="23" t="s">
        <v>1735</v>
      </c>
      <c r="G753" s="23" t="s">
        <v>318</v>
      </c>
      <c r="H753" s="39">
        <f t="shared" si="44"/>
        <v>12998</v>
      </c>
      <c r="I753" s="23" t="str">
        <f t="shared" si="45"/>
        <v>Ahmedabad</v>
      </c>
      <c r="J753" s="23">
        <f>COUNTIFS(pg_transaction_cleaned!$O:$O,A753,pg_transaction_cleaned!$F:$F,"CAPTURE")</f>
        <v>0</v>
      </c>
      <c r="K753" s="39">
        <f>SUMIFS(pg_transaction_cleaned!$H:$H,pg_transaction_cleaned!$O:$O,A753,pg_transaction_cleaned!$F:$F,"CAPTURE")</f>
        <v>0</v>
      </c>
      <c r="L753" s="23">
        <f>COUNTIFS(pg_transaction_cleaned!$O:$O,A753,pg_transaction_cleaned!$F:$F,"REFUND")</f>
        <v>0</v>
      </c>
      <c r="M753" s="39">
        <f>SUMIFS(pg_transaction_cleaned!$H:$H,pg_transaction_cleaned!$O:$O,A753,pg_transaction_cleaned!$F:$F,"REFUND")</f>
        <v>0</v>
      </c>
      <c r="N753" s="23" t="str">
        <f t="shared" si="46"/>
        <v>OK</v>
      </c>
      <c r="O753" s="24">
        <f t="shared" si="47"/>
        <v>0</v>
      </c>
    </row>
    <row r="754" spans="1:15" ht="15" customHeight="1" x14ac:dyDescent="0.3">
      <c r="A754" s="23" t="s">
        <v>1945</v>
      </c>
      <c r="B754" s="38">
        <v>46279</v>
      </c>
      <c r="C754" s="23" t="s">
        <v>1946</v>
      </c>
      <c r="D754" s="23" t="s">
        <v>92</v>
      </c>
      <c r="E754" s="23" t="s">
        <v>75</v>
      </c>
      <c r="F754" s="23" t="s">
        <v>262</v>
      </c>
      <c r="G754" s="23" t="s">
        <v>250</v>
      </c>
      <c r="H754" s="39">
        <f t="shared" si="44"/>
        <v>499</v>
      </c>
      <c r="I754" s="23" t="str">
        <f t="shared" si="45"/>
        <v>Hyderabad</v>
      </c>
      <c r="J754" s="23">
        <f>COUNTIFS(pg_transaction_cleaned!$O:$O,A754,pg_transaction_cleaned!$F:$F,"CAPTURE")</f>
        <v>1</v>
      </c>
      <c r="K754" s="39">
        <f>SUMIFS(pg_transaction_cleaned!$H:$H,pg_transaction_cleaned!$O:$O,A754,pg_transaction_cleaned!$F:$F,"CAPTURE")</f>
        <v>499</v>
      </c>
      <c r="L754" s="23">
        <f>COUNTIFS(pg_transaction_cleaned!$O:$O,A754,pg_transaction_cleaned!$F:$F,"REFUND")</f>
        <v>0</v>
      </c>
      <c r="M754" s="39">
        <f>SUMIFS(pg_transaction_cleaned!$H:$H,pg_transaction_cleaned!$O:$O,A754,pg_transaction_cleaned!$F:$F,"REFUND")</f>
        <v>0</v>
      </c>
      <c r="N754" s="23" t="str">
        <f t="shared" si="46"/>
        <v>OK</v>
      </c>
      <c r="O754" s="24">
        <f t="shared" si="47"/>
        <v>0</v>
      </c>
    </row>
    <row r="755" spans="1:15" ht="15" customHeight="1" x14ac:dyDescent="0.3">
      <c r="A755" s="23" t="s">
        <v>1947</v>
      </c>
      <c r="B755" s="38">
        <v>46289</v>
      </c>
      <c r="C755" s="23" t="s">
        <v>1948</v>
      </c>
      <c r="D755" s="23" t="s">
        <v>90</v>
      </c>
      <c r="E755" s="23" t="s">
        <v>75</v>
      </c>
      <c r="F755" s="23" t="s">
        <v>1949</v>
      </c>
      <c r="G755" s="23" t="s">
        <v>250</v>
      </c>
      <c r="H755" s="39">
        <f t="shared" si="44"/>
        <v>4447</v>
      </c>
      <c r="I755" s="23" t="str">
        <f t="shared" si="45"/>
        <v>Ahmedabad</v>
      </c>
      <c r="J755" s="23">
        <f>COUNTIFS(pg_transaction_cleaned!$O:$O,A755,pg_transaction_cleaned!$F:$F,"CAPTURE")</f>
        <v>1</v>
      </c>
      <c r="K755" s="39">
        <f>SUMIFS(pg_transaction_cleaned!$H:$H,pg_transaction_cleaned!$O:$O,A755,pg_transaction_cleaned!$F:$F,"CAPTURE")</f>
        <v>4447</v>
      </c>
      <c r="L755" s="23">
        <f>COUNTIFS(pg_transaction_cleaned!$O:$O,A755,pg_transaction_cleaned!$F:$F,"REFUND")</f>
        <v>0</v>
      </c>
      <c r="M755" s="39">
        <f>SUMIFS(pg_transaction_cleaned!$H:$H,pg_transaction_cleaned!$O:$O,A755,pg_transaction_cleaned!$F:$F,"REFUND")</f>
        <v>0</v>
      </c>
      <c r="N755" s="23" t="str">
        <f t="shared" si="46"/>
        <v>OK</v>
      </c>
      <c r="O755" s="24">
        <f t="shared" si="47"/>
        <v>0</v>
      </c>
    </row>
    <row r="756" spans="1:15" ht="15" customHeight="1" x14ac:dyDescent="0.3">
      <c r="A756" s="23" t="s">
        <v>1950</v>
      </c>
      <c r="B756" s="38">
        <v>46283</v>
      </c>
      <c r="C756" s="23" t="s">
        <v>1951</v>
      </c>
      <c r="D756" s="23" t="s">
        <v>91</v>
      </c>
      <c r="E756" s="23" t="s">
        <v>75</v>
      </c>
      <c r="F756" s="23" t="s">
        <v>249</v>
      </c>
      <c r="G756" s="23" t="s">
        <v>250</v>
      </c>
      <c r="H756" s="39">
        <f t="shared" si="44"/>
        <v>299</v>
      </c>
      <c r="I756" s="23" t="str">
        <f t="shared" si="45"/>
        <v>Pune</v>
      </c>
      <c r="J756" s="23">
        <f>COUNTIFS(pg_transaction_cleaned!$O:$O,A756,pg_transaction_cleaned!$F:$F,"CAPTURE")</f>
        <v>1</v>
      </c>
      <c r="K756" s="39">
        <f>SUMIFS(pg_transaction_cleaned!$H:$H,pg_transaction_cleaned!$O:$O,A756,pg_transaction_cleaned!$F:$F,"CAPTURE")</f>
        <v>299</v>
      </c>
      <c r="L756" s="23">
        <f>COUNTIFS(pg_transaction_cleaned!$O:$O,A756,pg_transaction_cleaned!$F:$F,"REFUND")</f>
        <v>0</v>
      </c>
      <c r="M756" s="39">
        <f>SUMIFS(pg_transaction_cleaned!$H:$H,pg_transaction_cleaned!$O:$O,A756,pg_transaction_cleaned!$F:$F,"REFUND")</f>
        <v>0</v>
      </c>
      <c r="N756" s="23" t="str">
        <f t="shared" si="46"/>
        <v>OK</v>
      </c>
      <c r="O756" s="24">
        <f t="shared" si="47"/>
        <v>0</v>
      </c>
    </row>
    <row r="757" spans="1:15" ht="15" customHeight="1" x14ac:dyDescent="0.3">
      <c r="A757" s="23" t="s">
        <v>1952</v>
      </c>
      <c r="B757" s="38">
        <v>46274</v>
      </c>
      <c r="C757" s="23" t="s">
        <v>1953</v>
      </c>
      <c r="D757" s="23" t="s">
        <v>95</v>
      </c>
      <c r="E757" s="23" t="s">
        <v>77</v>
      </c>
      <c r="F757" s="23" t="s">
        <v>1954</v>
      </c>
      <c r="G757" s="23" t="s">
        <v>250</v>
      </c>
      <c r="H757" s="39">
        <f t="shared" si="44"/>
        <v>848</v>
      </c>
      <c r="I757" s="23" t="str">
        <f t="shared" si="45"/>
        <v>Bengaluru</v>
      </c>
      <c r="J757" s="23">
        <f>COUNTIFS(pg_transaction_cleaned!$O:$O,A757,pg_transaction_cleaned!$F:$F,"CAPTURE")</f>
        <v>1</v>
      </c>
      <c r="K757" s="39">
        <f>SUMIFS(pg_transaction_cleaned!$H:$H,pg_transaction_cleaned!$O:$O,A757,pg_transaction_cleaned!$F:$F,"CAPTURE")</f>
        <v>848</v>
      </c>
      <c r="L757" s="23">
        <f>COUNTIFS(pg_transaction_cleaned!$O:$O,A757,pg_transaction_cleaned!$F:$F,"REFUND")</f>
        <v>0</v>
      </c>
      <c r="M757" s="39">
        <f>SUMIFS(pg_transaction_cleaned!$H:$H,pg_transaction_cleaned!$O:$O,A757,pg_transaction_cleaned!$F:$F,"REFUND")</f>
        <v>0</v>
      </c>
      <c r="N757" s="23" t="str">
        <f t="shared" si="46"/>
        <v>OK</v>
      </c>
      <c r="O757" s="24">
        <f t="shared" si="47"/>
        <v>0</v>
      </c>
    </row>
    <row r="758" spans="1:15" ht="15" customHeight="1" x14ac:dyDescent="0.3">
      <c r="A758" s="23" t="s">
        <v>1955</v>
      </c>
      <c r="B758" s="38">
        <v>46273</v>
      </c>
      <c r="C758" s="23" t="s">
        <v>1956</v>
      </c>
      <c r="D758" s="23" t="s">
        <v>87</v>
      </c>
      <c r="E758" s="23" t="s">
        <v>75</v>
      </c>
      <c r="F758" s="23" t="s">
        <v>587</v>
      </c>
      <c r="G758" s="23" t="s">
        <v>250</v>
      </c>
      <c r="H758" s="39">
        <f t="shared" si="44"/>
        <v>5297</v>
      </c>
      <c r="I758" s="23" t="str">
        <f t="shared" si="45"/>
        <v>Mumbai</v>
      </c>
      <c r="J758" s="23">
        <f>COUNTIFS(pg_transaction_cleaned!$O:$O,A758,pg_transaction_cleaned!$F:$F,"CAPTURE")</f>
        <v>1</v>
      </c>
      <c r="K758" s="39">
        <f>SUMIFS(pg_transaction_cleaned!$H:$H,pg_transaction_cleaned!$O:$O,A758,pg_transaction_cleaned!$F:$F,"CAPTURE")</f>
        <v>5297</v>
      </c>
      <c r="L758" s="23">
        <f>COUNTIFS(pg_transaction_cleaned!$O:$O,A758,pg_transaction_cleaned!$F:$F,"REFUND")</f>
        <v>0</v>
      </c>
      <c r="M758" s="39">
        <f>SUMIFS(pg_transaction_cleaned!$H:$H,pg_transaction_cleaned!$O:$O,A758,pg_transaction_cleaned!$F:$F,"REFUND")</f>
        <v>0</v>
      </c>
      <c r="N758" s="23" t="str">
        <f t="shared" si="46"/>
        <v>OK</v>
      </c>
      <c r="O758" s="24">
        <f t="shared" si="47"/>
        <v>0</v>
      </c>
    </row>
    <row r="759" spans="1:15" ht="15" customHeight="1" x14ac:dyDescent="0.3">
      <c r="A759" s="23" t="s">
        <v>1957</v>
      </c>
      <c r="B759" s="38">
        <v>46267</v>
      </c>
      <c r="C759" s="23" t="s">
        <v>1958</v>
      </c>
      <c r="D759" s="23" t="s">
        <v>92</v>
      </c>
      <c r="E759" s="23" t="s">
        <v>75</v>
      </c>
      <c r="F759" s="23" t="s">
        <v>1712</v>
      </c>
      <c r="G759" s="23" t="s">
        <v>250</v>
      </c>
      <c r="H759" s="39">
        <f t="shared" si="44"/>
        <v>9997</v>
      </c>
      <c r="I759" s="23" t="str">
        <f t="shared" si="45"/>
        <v>Hyderabad</v>
      </c>
      <c r="J759" s="23">
        <f>COUNTIFS(pg_transaction_cleaned!$O:$O,A759,pg_transaction_cleaned!$F:$F,"CAPTURE")</f>
        <v>1</v>
      </c>
      <c r="K759" s="39">
        <f>SUMIFS(pg_transaction_cleaned!$H:$H,pg_transaction_cleaned!$O:$O,A759,pg_transaction_cleaned!$F:$F,"CAPTURE")</f>
        <v>9997</v>
      </c>
      <c r="L759" s="23">
        <f>COUNTIFS(pg_transaction_cleaned!$O:$O,A759,pg_transaction_cleaned!$F:$F,"REFUND")</f>
        <v>0</v>
      </c>
      <c r="M759" s="39">
        <f>SUMIFS(pg_transaction_cleaned!$H:$H,pg_transaction_cleaned!$O:$O,A759,pg_transaction_cleaned!$F:$F,"REFUND")</f>
        <v>0</v>
      </c>
      <c r="N759" s="23" t="str">
        <f t="shared" si="46"/>
        <v>OK</v>
      </c>
      <c r="O759" s="24">
        <f t="shared" si="47"/>
        <v>0</v>
      </c>
    </row>
    <row r="760" spans="1:15" ht="15" customHeight="1" x14ac:dyDescent="0.3">
      <c r="A760" s="23" t="s">
        <v>1959</v>
      </c>
      <c r="B760" s="38">
        <v>46283</v>
      </c>
      <c r="C760" s="23" t="s">
        <v>1960</v>
      </c>
      <c r="D760" s="23" t="s">
        <v>88</v>
      </c>
      <c r="E760" s="23" t="s">
        <v>79</v>
      </c>
      <c r="F760" s="23" t="s">
        <v>337</v>
      </c>
      <c r="G760" s="23" t="s">
        <v>250</v>
      </c>
      <c r="H760" s="39">
        <f t="shared" si="44"/>
        <v>3998</v>
      </c>
      <c r="I760" s="23" t="str">
        <f t="shared" si="45"/>
        <v>Lucknow</v>
      </c>
      <c r="J760" s="23">
        <f>COUNTIFS(pg_transaction_cleaned!$O:$O,A760,pg_transaction_cleaned!$F:$F,"CAPTURE")</f>
        <v>1</v>
      </c>
      <c r="K760" s="39">
        <f>SUMIFS(pg_transaction_cleaned!$H:$H,pg_transaction_cleaned!$O:$O,A760,pg_transaction_cleaned!$F:$F,"CAPTURE")</f>
        <v>3998</v>
      </c>
      <c r="L760" s="23">
        <f>COUNTIFS(pg_transaction_cleaned!$O:$O,A760,pg_transaction_cleaned!$F:$F,"REFUND")</f>
        <v>0</v>
      </c>
      <c r="M760" s="39">
        <f>SUMIFS(pg_transaction_cleaned!$H:$H,pg_transaction_cleaned!$O:$O,A760,pg_transaction_cleaned!$F:$F,"REFUND")</f>
        <v>0</v>
      </c>
      <c r="N760" s="23" t="str">
        <f t="shared" si="46"/>
        <v>OK</v>
      </c>
      <c r="O760" s="24">
        <f t="shared" si="47"/>
        <v>0</v>
      </c>
    </row>
    <row r="761" spans="1:15" ht="15" customHeight="1" x14ac:dyDescent="0.3">
      <c r="A761" s="23" t="s">
        <v>1961</v>
      </c>
      <c r="B761" s="38">
        <v>46279</v>
      </c>
      <c r="C761" s="23" t="s">
        <v>1962</v>
      </c>
      <c r="D761" s="23" t="s">
        <v>89</v>
      </c>
      <c r="E761" s="23" t="s">
        <v>77</v>
      </c>
      <c r="F761" s="23" t="s">
        <v>499</v>
      </c>
      <c r="G761" s="23" t="s">
        <v>250</v>
      </c>
      <c r="H761" s="39">
        <f t="shared" si="44"/>
        <v>5998</v>
      </c>
      <c r="I761" s="23" t="str">
        <f t="shared" si="45"/>
        <v>Jaipur</v>
      </c>
      <c r="J761" s="23">
        <f>COUNTIFS(pg_transaction_cleaned!$O:$O,A761,pg_transaction_cleaned!$F:$F,"CAPTURE")</f>
        <v>1</v>
      </c>
      <c r="K761" s="39">
        <f>SUMIFS(pg_transaction_cleaned!$H:$H,pg_transaction_cleaned!$O:$O,A761,pg_transaction_cleaned!$F:$F,"CAPTURE")</f>
        <v>5998</v>
      </c>
      <c r="L761" s="23">
        <f>COUNTIFS(pg_transaction_cleaned!$O:$O,A761,pg_transaction_cleaned!$F:$F,"REFUND")</f>
        <v>0</v>
      </c>
      <c r="M761" s="39">
        <f>SUMIFS(pg_transaction_cleaned!$H:$H,pg_transaction_cleaned!$O:$O,A761,pg_transaction_cleaned!$F:$F,"REFUND")</f>
        <v>0</v>
      </c>
      <c r="N761" s="23" t="str">
        <f t="shared" si="46"/>
        <v>OK</v>
      </c>
      <c r="O761" s="24">
        <f t="shared" si="47"/>
        <v>0</v>
      </c>
    </row>
    <row r="762" spans="1:15" ht="15" customHeight="1" x14ac:dyDescent="0.3">
      <c r="A762" s="23" t="s">
        <v>1963</v>
      </c>
      <c r="B762" s="38">
        <v>46273</v>
      </c>
      <c r="C762" s="23" t="s">
        <v>1964</v>
      </c>
      <c r="D762" s="23" t="s">
        <v>92</v>
      </c>
      <c r="E762" s="23" t="s">
        <v>75</v>
      </c>
      <c r="F762" s="23" t="s">
        <v>315</v>
      </c>
      <c r="G762" s="23" t="s">
        <v>250</v>
      </c>
      <c r="H762" s="39">
        <f t="shared" si="44"/>
        <v>1499</v>
      </c>
      <c r="I762" s="23" t="str">
        <f t="shared" si="45"/>
        <v>Hyderabad</v>
      </c>
      <c r="J762" s="23">
        <f>COUNTIFS(pg_transaction_cleaned!$O:$O,A762,pg_transaction_cleaned!$F:$F,"CAPTURE")</f>
        <v>1</v>
      </c>
      <c r="K762" s="39">
        <f>SUMIFS(pg_transaction_cleaned!$H:$H,pg_transaction_cleaned!$O:$O,A762,pg_transaction_cleaned!$F:$F,"CAPTURE")</f>
        <v>1499</v>
      </c>
      <c r="L762" s="23">
        <f>COUNTIFS(pg_transaction_cleaned!$O:$O,A762,pg_transaction_cleaned!$F:$F,"REFUND")</f>
        <v>0</v>
      </c>
      <c r="M762" s="39">
        <f>SUMIFS(pg_transaction_cleaned!$H:$H,pg_transaction_cleaned!$O:$O,A762,pg_transaction_cleaned!$F:$F,"REFUND")</f>
        <v>0</v>
      </c>
      <c r="N762" s="23" t="str">
        <f t="shared" si="46"/>
        <v>OK</v>
      </c>
      <c r="O762" s="24">
        <f t="shared" si="47"/>
        <v>0</v>
      </c>
    </row>
    <row r="763" spans="1:15" ht="15" customHeight="1" x14ac:dyDescent="0.3">
      <c r="A763" s="23" t="s">
        <v>1965</v>
      </c>
      <c r="B763" s="38">
        <v>46266</v>
      </c>
      <c r="C763" s="23" t="s">
        <v>1966</v>
      </c>
      <c r="D763" s="23" t="s">
        <v>92</v>
      </c>
      <c r="E763" s="23" t="s">
        <v>81</v>
      </c>
      <c r="F763" s="23" t="s">
        <v>294</v>
      </c>
      <c r="G763" s="23" t="s">
        <v>250</v>
      </c>
      <c r="H763" s="39">
        <f t="shared" si="44"/>
        <v>1799</v>
      </c>
      <c r="I763" s="23" t="str">
        <f t="shared" si="45"/>
        <v>Hyderabad</v>
      </c>
      <c r="J763" s="23">
        <f>COUNTIFS(pg_transaction_cleaned!$O:$O,A763,pg_transaction_cleaned!$F:$F,"CAPTURE")</f>
        <v>1</v>
      </c>
      <c r="K763" s="39">
        <f>SUMIFS(pg_transaction_cleaned!$H:$H,pg_transaction_cleaned!$O:$O,A763,pg_transaction_cleaned!$F:$F,"CAPTURE")</f>
        <v>1799</v>
      </c>
      <c r="L763" s="23">
        <f>COUNTIFS(pg_transaction_cleaned!$O:$O,A763,pg_transaction_cleaned!$F:$F,"REFUND")</f>
        <v>0</v>
      </c>
      <c r="M763" s="39">
        <f>SUMIFS(pg_transaction_cleaned!$H:$H,pg_transaction_cleaned!$O:$O,A763,pg_transaction_cleaned!$F:$F,"REFUND")</f>
        <v>0</v>
      </c>
      <c r="N763" s="23" t="str">
        <f t="shared" si="46"/>
        <v>OK</v>
      </c>
      <c r="O763" s="24">
        <f t="shared" si="47"/>
        <v>0</v>
      </c>
    </row>
    <row r="764" spans="1:15" ht="15" customHeight="1" x14ac:dyDescent="0.3">
      <c r="A764" s="23" t="s">
        <v>1967</v>
      </c>
      <c r="B764" s="38">
        <v>46281</v>
      </c>
      <c r="C764" s="23" t="s">
        <v>1968</v>
      </c>
      <c r="D764" s="23" t="s">
        <v>92</v>
      </c>
      <c r="E764" s="23" t="s">
        <v>77</v>
      </c>
      <c r="F764" s="23" t="s">
        <v>307</v>
      </c>
      <c r="G764" s="23" t="s">
        <v>365</v>
      </c>
      <c r="H764" s="39">
        <f t="shared" si="44"/>
        <v>3798</v>
      </c>
      <c r="I764" s="23" t="str">
        <f t="shared" si="45"/>
        <v>Hyderabad</v>
      </c>
      <c r="J764" s="23">
        <f>COUNTIFS(pg_transaction_cleaned!$O:$O,A764,pg_transaction_cleaned!$F:$F,"CAPTURE")</f>
        <v>0</v>
      </c>
      <c r="K764" s="39">
        <f>SUMIFS(pg_transaction_cleaned!$H:$H,pg_transaction_cleaned!$O:$O,A764,pg_transaction_cleaned!$F:$F,"CAPTURE")</f>
        <v>0</v>
      </c>
      <c r="L764" s="23">
        <f>COUNTIFS(pg_transaction_cleaned!$O:$O,A764,pg_transaction_cleaned!$F:$F,"REFUND")</f>
        <v>0</v>
      </c>
      <c r="M764" s="39">
        <f>SUMIFS(pg_transaction_cleaned!$H:$H,pg_transaction_cleaned!$O:$O,A764,pg_transaction_cleaned!$F:$F,"REFUND")</f>
        <v>0</v>
      </c>
      <c r="N764" s="23" t="str">
        <f t="shared" si="46"/>
        <v>OK</v>
      </c>
      <c r="O764" s="24">
        <f t="shared" si="47"/>
        <v>0</v>
      </c>
    </row>
    <row r="765" spans="1:15" ht="15" customHeight="1" x14ac:dyDescent="0.3">
      <c r="A765" s="23" t="s">
        <v>1969</v>
      </c>
      <c r="B765" s="38">
        <v>46266</v>
      </c>
      <c r="C765" s="23" t="s">
        <v>1970</v>
      </c>
      <c r="D765" s="23"/>
      <c r="E765" s="23" t="s">
        <v>79</v>
      </c>
      <c r="F765" s="23" t="s">
        <v>304</v>
      </c>
      <c r="G765" s="23" t="s">
        <v>250</v>
      </c>
      <c r="H765" s="39">
        <f t="shared" si="44"/>
        <v>5798</v>
      </c>
      <c r="I765" s="23" t="str">
        <f t="shared" si="45"/>
        <v>Unknown</v>
      </c>
      <c r="J765" s="23">
        <f>COUNTIFS(pg_transaction_cleaned!$O:$O,A765,pg_transaction_cleaned!$F:$F,"CAPTURE")</f>
        <v>1</v>
      </c>
      <c r="K765" s="39">
        <f>SUMIFS(pg_transaction_cleaned!$H:$H,pg_transaction_cleaned!$O:$O,A765,pg_transaction_cleaned!$F:$F,"CAPTURE")</f>
        <v>5798</v>
      </c>
      <c r="L765" s="23">
        <f>COUNTIFS(pg_transaction_cleaned!$O:$O,A765,pg_transaction_cleaned!$F:$F,"REFUND")</f>
        <v>0</v>
      </c>
      <c r="M765" s="39">
        <f>SUMIFS(pg_transaction_cleaned!$H:$H,pg_transaction_cleaned!$O:$O,A765,pg_transaction_cleaned!$F:$F,"REFUND")</f>
        <v>0</v>
      </c>
      <c r="N765" s="23" t="str">
        <f t="shared" si="46"/>
        <v>OK</v>
      </c>
      <c r="O765" s="24">
        <f t="shared" si="47"/>
        <v>0</v>
      </c>
    </row>
    <row r="766" spans="1:15" ht="15" customHeight="1" x14ac:dyDescent="0.3">
      <c r="A766" s="23" t="s">
        <v>1971</v>
      </c>
      <c r="B766" s="38">
        <v>46272</v>
      </c>
      <c r="C766" s="23" t="s">
        <v>1972</v>
      </c>
      <c r="D766" s="23" t="s">
        <v>93</v>
      </c>
      <c r="E766" s="23" t="s">
        <v>75</v>
      </c>
      <c r="F766" s="23" t="s">
        <v>370</v>
      </c>
      <c r="G766" s="23" t="s">
        <v>250</v>
      </c>
      <c r="H766" s="39">
        <f t="shared" si="44"/>
        <v>3098</v>
      </c>
      <c r="I766" s="23" t="str">
        <f t="shared" si="45"/>
        <v>Kolkata</v>
      </c>
      <c r="J766" s="23">
        <f>COUNTIFS(pg_transaction_cleaned!$O:$O,A766,pg_transaction_cleaned!$F:$F,"CAPTURE")</f>
        <v>1</v>
      </c>
      <c r="K766" s="39">
        <f>SUMIFS(pg_transaction_cleaned!$H:$H,pg_transaction_cleaned!$O:$O,A766,pg_transaction_cleaned!$F:$F,"CAPTURE")</f>
        <v>3098</v>
      </c>
      <c r="L766" s="23">
        <f>COUNTIFS(pg_transaction_cleaned!$O:$O,A766,pg_transaction_cleaned!$F:$F,"REFUND")</f>
        <v>0</v>
      </c>
      <c r="M766" s="39">
        <f>SUMIFS(pg_transaction_cleaned!$H:$H,pg_transaction_cleaned!$O:$O,A766,pg_transaction_cleaned!$F:$F,"REFUND")</f>
        <v>0</v>
      </c>
      <c r="N766" s="23" t="str">
        <f t="shared" si="46"/>
        <v>OK</v>
      </c>
      <c r="O766" s="24">
        <f t="shared" si="47"/>
        <v>0</v>
      </c>
    </row>
    <row r="767" spans="1:15" ht="15" customHeight="1" x14ac:dyDescent="0.3">
      <c r="A767" s="23" t="s">
        <v>1973</v>
      </c>
      <c r="B767" s="38">
        <v>46292</v>
      </c>
      <c r="C767" s="23" t="s">
        <v>1974</v>
      </c>
      <c r="D767" s="23" t="s">
        <v>88</v>
      </c>
      <c r="E767" s="23" t="s">
        <v>79</v>
      </c>
      <c r="F767" s="23" t="s">
        <v>1975</v>
      </c>
      <c r="G767" s="23" t="s">
        <v>250</v>
      </c>
      <c r="H767" s="39">
        <f t="shared" si="44"/>
        <v>1398</v>
      </c>
      <c r="I767" s="23" t="str">
        <f t="shared" si="45"/>
        <v>Lucknow</v>
      </c>
      <c r="J767" s="23">
        <f>COUNTIFS(pg_transaction_cleaned!$O:$O,A767,pg_transaction_cleaned!$F:$F,"CAPTURE")</f>
        <v>1</v>
      </c>
      <c r="K767" s="39">
        <f>SUMIFS(pg_transaction_cleaned!$H:$H,pg_transaction_cleaned!$O:$O,A767,pg_transaction_cleaned!$F:$F,"CAPTURE")</f>
        <v>1398</v>
      </c>
      <c r="L767" s="23">
        <f>COUNTIFS(pg_transaction_cleaned!$O:$O,A767,pg_transaction_cleaned!$F:$F,"REFUND")</f>
        <v>0</v>
      </c>
      <c r="M767" s="39">
        <f>SUMIFS(pg_transaction_cleaned!$H:$H,pg_transaction_cleaned!$O:$O,A767,pg_transaction_cleaned!$F:$F,"REFUND")</f>
        <v>0</v>
      </c>
      <c r="N767" s="23" t="str">
        <f t="shared" si="46"/>
        <v>OK</v>
      </c>
      <c r="O767" s="24">
        <f t="shared" si="47"/>
        <v>0</v>
      </c>
    </row>
    <row r="768" spans="1:15" ht="15" customHeight="1" x14ac:dyDescent="0.3">
      <c r="A768" s="23" t="s">
        <v>1976</v>
      </c>
      <c r="B768" s="38">
        <v>46291</v>
      </c>
      <c r="C768" s="23" t="s">
        <v>1977</v>
      </c>
      <c r="D768" s="23" t="s">
        <v>93</v>
      </c>
      <c r="E768" s="23" t="s">
        <v>75</v>
      </c>
      <c r="F768" s="23" t="s">
        <v>1978</v>
      </c>
      <c r="G768" s="23" t="s">
        <v>250</v>
      </c>
      <c r="H768" s="39">
        <f t="shared" si="44"/>
        <v>4597</v>
      </c>
      <c r="I768" s="23" t="str">
        <f t="shared" si="45"/>
        <v>Kolkata</v>
      </c>
      <c r="J768" s="23">
        <f>COUNTIFS(pg_transaction_cleaned!$O:$O,A768,pg_transaction_cleaned!$F:$F,"CAPTURE")</f>
        <v>1</v>
      </c>
      <c r="K768" s="39">
        <f>SUMIFS(pg_transaction_cleaned!$H:$H,pg_transaction_cleaned!$O:$O,A768,pg_transaction_cleaned!$F:$F,"CAPTURE")</f>
        <v>4597</v>
      </c>
      <c r="L768" s="23">
        <f>COUNTIFS(pg_transaction_cleaned!$O:$O,A768,pg_transaction_cleaned!$F:$F,"REFUND")</f>
        <v>0</v>
      </c>
      <c r="M768" s="39">
        <f>SUMIFS(pg_transaction_cleaned!$H:$H,pg_transaction_cleaned!$O:$O,A768,pg_transaction_cleaned!$F:$F,"REFUND")</f>
        <v>0</v>
      </c>
      <c r="N768" s="23" t="str">
        <f t="shared" si="46"/>
        <v>OK</v>
      </c>
      <c r="O768" s="24">
        <f t="shared" si="47"/>
        <v>0</v>
      </c>
    </row>
    <row r="769" spans="1:15" ht="15" customHeight="1" x14ac:dyDescent="0.3">
      <c r="A769" s="23" t="s">
        <v>1979</v>
      </c>
      <c r="B769" s="38">
        <v>46272</v>
      </c>
      <c r="C769" s="23" t="s">
        <v>1980</v>
      </c>
      <c r="D769" s="23" t="s">
        <v>88</v>
      </c>
      <c r="E769" s="23" t="s">
        <v>75</v>
      </c>
      <c r="F769" s="23" t="s">
        <v>262</v>
      </c>
      <c r="G769" s="23" t="s">
        <v>250</v>
      </c>
      <c r="H769" s="39">
        <f t="shared" si="44"/>
        <v>499</v>
      </c>
      <c r="I769" s="23" t="str">
        <f t="shared" si="45"/>
        <v>Lucknow</v>
      </c>
      <c r="J769" s="23">
        <f>COUNTIFS(pg_transaction_cleaned!$O:$O,A769,pg_transaction_cleaned!$F:$F,"CAPTURE")</f>
        <v>1</v>
      </c>
      <c r="K769" s="39">
        <f>SUMIFS(pg_transaction_cleaned!$H:$H,pg_transaction_cleaned!$O:$O,A769,pg_transaction_cleaned!$F:$F,"CAPTURE")</f>
        <v>499</v>
      </c>
      <c r="L769" s="23">
        <f>COUNTIFS(pg_transaction_cleaned!$O:$O,A769,pg_transaction_cleaned!$F:$F,"REFUND")</f>
        <v>0</v>
      </c>
      <c r="M769" s="39">
        <f>SUMIFS(pg_transaction_cleaned!$H:$H,pg_transaction_cleaned!$O:$O,A769,pg_transaction_cleaned!$F:$F,"REFUND")</f>
        <v>0</v>
      </c>
      <c r="N769" s="23" t="str">
        <f t="shared" si="46"/>
        <v>OK</v>
      </c>
      <c r="O769" s="24">
        <f t="shared" si="47"/>
        <v>0</v>
      </c>
    </row>
    <row r="770" spans="1:15" ht="15" customHeight="1" x14ac:dyDescent="0.3">
      <c r="A770" s="23" t="s">
        <v>1981</v>
      </c>
      <c r="B770" s="38">
        <v>46280</v>
      </c>
      <c r="C770" s="23" t="s">
        <v>1982</v>
      </c>
      <c r="D770" s="23" t="s">
        <v>86</v>
      </c>
      <c r="E770" s="23" t="s">
        <v>75</v>
      </c>
      <c r="F770" s="23" t="s">
        <v>291</v>
      </c>
      <c r="G770" s="23" t="s">
        <v>250</v>
      </c>
      <c r="H770" s="39">
        <f t="shared" ref="H770:H833" si="48">VALUE(SUBSTITUTE(F770,",",""))</f>
        <v>3499</v>
      </c>
      <c r="I770" s="23" t="str">
        <f t="shared" ref="I770:I833" si="49">IF(TRIM(D770)="","Unknown",TRIM(D770))</f>
        <v>Delhi</v>
      </c>
      <c r="J770" s="23">
        <f>COUNTIFS(pg_transaction_cleaned!$O:$O,A770,pg_transaction_cleaned!$F:$F,"CAPTURE")</f>
        <v>1</v>
      </c>
      <c r="K770" s="39">
        <f>SUMIFS(pg_transaction_cleaned!$H:$H,pg_transaction_cleaned!$O:$O,A770,pg_transaction_cleaned!$F:$F,"CAPTURE")</f>
        <v>3499</v>
      </c>
      <c r="L770" s="23">
        <f>COUNTIFS(pg_transaction_cleaned!$O:$O,A770,pg_transaction_cleaned!$F:$F,"REFUND")</f>
        <v>0</v>
      </c>
      <c r="M770" s="39">
        <f>SUMIFS(pg_transaction_cleaned!$H:$H,pg_transaction_cleaned!$O:$O,A770,pg_transaction_cleaned!$F:$F,"REFUND")</f>
        <v>0</v>
      </c>
      <c r="N770" s="23" t="str">
        <f t="shared" ref="N770:N833" si="50">IF(AND(G770="Paid",J770=0),"Paid, no payment",IF(AND(OR(G770="Failed",G770="Cancelled"),J770&gt;0),"Payment on failed/cancelled",IF(J770&gt;1,"Duplicate charge",IF(AND(J770=1,ROUND(K770-H770,2)&lt;&gt;0),"Amount difference",IF(AND(G770="Refunded",L770=0),"Refunded, no refund",IF(AND(G770&lt;&gt;"Refunded",L770&gt;0),"Refund, order not Refunded",IF(AND(L770&gt;0,ROUND(M770-H770,2)&lt;&gt;0),"Refund amount differs","OK")))))))</f>
        <v>OK</v>
      </c>
      <c r="O770" s="24">
        <f t="shared" ref="O770:O833" si="51">IF(N770="OK",0,IF(N770="Paid, no payment",H770,IF(N770="Payment on failed/cancelled",K770,IF(OR(N770="Duplicate charge",N770="Amount difference"),K770-H770,IF(N770="Refunded, no refund",H770,M770)))))</f>
        <v>0</v>
      </c>
    </row>
    <row r="771" spans="1:15" ht="15" customHeight="1" x14ac:dyDescent="0.3">
      <c r="A771" s="23" t="s">
        <v>1983</v>
      </c>
      <c r="B771" s="38">
        <v>46267</v>
      </c>
      <c r="C771" s="23" t="s">
        <v>1984</v>
      </c>
      <c r="D771" s="23" t="s">
        <v>90</v>
      </c>
      <c r="E771" s="23" t="s">
        <v>75</v>
      </c>
      <c r="F771" s="23" t="s">
        <v>1372</v>
      </c>
      <c r="G771" s="23" t="s">
        <v>301</v>
      </c>
      <c r="H771" s="39">
        <f t="shared" si="48"/>
        <v>798</v>
      </c>
      <c r="I771" s="23" t="str">
        <f t="shared" si="49"/>
        <v>Ahmedabad</v>
      </c>
      <c r="J771" s="23">
        <f>COUNTIFS(pg_transaction_cleaned!$O:$O,A771,pg_transaction_cleaned!$F:$F,"CAPTURE")</f>
        <v>1</v>
      </c>
      <c r="K771" s="39">
        <f>SUMIFS(pg_transaction_cleaned!$H:$H,pg_transaction_cleaned!$O:$O,A771,pg_transaction_cleaned!$F:$F,"CAPTURE")</f>
        <v>798</v>
      </c>
      <c r="L771" s="23">
        <f>COUNTIFS(pg_transaction_cleaned!$O:$O,A771,pg_transaction_cleaned!$F:$F,"REFUND")</f>
        <v>1</v>
      </c>
      <c r="M771" s="39">
        <f>SUMIFS(pg_transaction_cleaned!$H:$H,pg_transaction_cleaned!$O:$O,A771,pg_transaction_cleaned!$F:$F,"REFUND")</f>
        <v>798</v>
      </c>
      <c r="N771" s="23" t="str">
        <f t="shared" si="50"/>
        <v>OK</v>
      </c>
      <c r="O771" s="24">
        <f t="shared" si="51"/>
        <v>0</v>
      </c>
    </row>
    <row r="772" spans="1:15" ht="15" customHeight="1" x14ac:dyDescent="0.3">
      <c r="A772" s="23" t="s">
        <v>1985</v>
      </c>
      <c r="B772" s="38">
        <v>46289</v>
      </c>
      <c r="C772" s="23" t="s">
        <v>1986</v>
      </c>
      <c r="D772" s="23" t="s">
        <v>94</v>
      </c>
      <c r="E772" s="23" t="s">
        <v>75</v>
      </c>
      <c r="F772" s="23" t="s">
        <v>329</v>
      </c>
      <c r="G772" s="23" t="s">
        <v>250</v>
      </c>
      <c r="H772" s="39">
        <f t="shared" si="48"/>
        <v>599</v>
      </c>
      <c r="I772" s="23" t="str">
        <f t="shared" si="49"/>
        <v>Chennai</v>
      </c>
      <c r="J772" s="23">
        <f>COUNTIFS(pg_transaction_cleaned!$O:$O,A772,pg_transaction_cleaned!$F:$F,"CAPTURE")</f>
        <v>1</v>
      </c>
      <c r="K772" s="39">
        <f>SUMIFS(pg_transaction_cleaned!$H:$H,pg_transaction_cleaned!$O:$O,A772,pg_transaction_cleaned!$F:$F,"CAPTURE")</f>
        <v>599</v>
      </c>
      <c r="L772" s="23">
        <f>COUNTIFS(pg_transaction_cleaned!$O:$O,A772,pg_transaction_cleaned!$F:$F,"REFUND")</f>
        <v>0</v>
      </c>
      <c r="M772" s="39">
        <f>SUMIFS(pg_transaction_cleaned!$H:$H,pg_transaction_cleaned!$O:$O,A772,pg_transaction_cleaned!$F:$F,"REFUND")</f>
        <v>0</v>
      </c>
      <c r="N772" s="23" t="str">
        <f t="shared" si="50"/>
        <v>OK</v>
      </c>
      <c r="O772" s="24">
        <f t="shared" si="51"/>
        <v>0</v>
      </c>
    </row>
    <row r="773" spans="1:15" ht="15" customHeight="1" x14ac:dyDescent="0.3">
      <c r="A773" s="23" t="s">
        <v>1987</v>
      </c>
      <c r="B773" s="38">
        <v>46279</v>
      </c>
      <c r="C773" s="23" t="s">
        <v>1988</v>
      </c>
      <c r="D773" s="23" t="s">
        <v>87</v>
      </c>
      <c r="E773" s="23" t="s">
        <v>77</v>
      </c>
      <c r="F773" s="23" t="s">
        <v>297</v>
      </c>
      <c r="G773" s="23" t="s">
        <v>250</v>
      </c>
      <c r="H773" s="39">
        <f t="shared" si="48"/>
        <v>4999</v>
      </c>
      <c r="I773" s="23" t="str">
        <f t="shared" si="49"/>
        <v>Mumbai</v>
      </c>
      <c r="J773" s="23">
        <f>COUNTIFS(pg_transaction_cleaned!$O:$O,A773,pg_transaction_cleaned!$F:$F,"CAPTURE")</f>
        <v>1</v>
      </c>
      <c r="K773" s="39">
        <f>SUMIFS(pg_transaction_cleaned!$H:$H,pg_transaction_cleaned!$O:$O,A773,pg_transaction_cleaned!$F:$F,"CAPTURE")</f>
        <v>4999</v>
      </c>
      <c r="L773" s="23">
        <f>COUNTIFS(pg_transaction_cleaned!$O:$O,A773,pg_transaction_cleaned!$F:$F,"REFUND")</f>
        <v>0</v>
      </c>
      <c r="M773" s="39">
        <f>SUMIFS(pg_transaction_cleaned!$H:$H,pg_transaction_cleaned!$O:$O,A773,pg_transaction_cleaned!$F:$F,"REFUND")</f>
        <v>0</v>
      </c>
      <c r="N773" s="23" t="str">
        <f t="shared" si="50"/>
        <v>OK</v>
      </c>
      <c r="O773" s="24">
        <f t="shared" si="51"/>
        <v>0</v>
      </c>
    </row>
    <row r="774" spans="1:15" ht="15" customHeight="1" x14ac:dyDescent="0.3">
      <c r="A774" s="23" t="s">
        <v>1989</v>
      </c>
      <c r="B774" s="38">
        <v>46276</v>
      </c>
      <c r="C774" s="23" t="s">
        <v>1990</v>
      </c>
      <c r="D774" s="23" t="s">
        <v>93</v>
      </c>
      <c r="E774" s="23" t="s">
        <v>75</v>
      </c>
      <c r="F774" s="23" t="s">
        <v>310</v>
      </c>
      <c r="G774" s="23" t="s">
        <v>250</v>
      </c>
      <c r="H774" s="39">
        <f t="shared" si="48"/>
        <v>7999</v>
      </c>
      <c r="I774" s="23" t="str">
        <f t="shared" si="49"/>
        <v>Kolkata</v>
      </c>
      <c r="J774" s="23">
        <f>COUNTIFS(pg_transaction_cleaned!$O:$O,A774,pg_transaction_cleaned!$F:$F,"CAPTURE")</f>
        <v>1</v>
      </c>
      <c r="K774" s="39">
        <f>SUMIFS(pg_transaction_cleaned!$H:$H,pg_transaction_cleaned!$O:$O,A774,pg_transaction_cleaned!$F:$F,"CAPTURE")</f>
        <v>7999</v>
      </c>
      <c r="L774" s="23">
        <f>COUNTIFS(pg_transaction_cleaned!$O:$O,A774,pg_transaction_cleaned!$F:$F,"REFUND")</f>
        <v>0</v>
      </c>
      <c r="M774" s="39">
        <f>SUMIFS(pg_transaction_cleaned!$H:$H,pg_transaction_cleaned!$O:$O,A774,pg_transaction_cleaned!$F:$F,"REFUND")</f>
        <v>0</v>
      </c>
      <c r="N774" s="23" t="str">
        <f t="shared" si="50"/>
        <v>OK</v>
      </c>
      <c r="O774" s="24">
        <f t="shared" si="51"/>
        <v>0</v>
      </c>
    </row>
    <row r="775" spans="1:15" ht="15" customHeight="1" x14ac:dyDescent="0.3">
      <c r="A775" s="23" t="s">
        <v>1991</v>
      </c>
      <c r="B775" s="38">
        <v>46268</v>
      </c>
      <c r="C775" s="23" t="s">
        <v>1992</v>
      </c>
      <c r="D775" s="23" t="s">
        <v>87</v>
      </c>
      <c r="E775" s="23" t="s">
        <v>81</v>
      </c>
      <c r="F775" s="23" t="s">
        <v>460</v>
      </c>
      <c r="G775" s="23" t="s">
        <v>250</v>
      </c>
      <c r="H775" s="39">
        <f t="shared" si="48"/>
        <v>1998</v>
      </c>
      <c r="I775" s="23" t="str">
        <f t="shared" si="49"/>
        <v>Mumbai</v>
      </c>
      <c r="J775" s="23">
        <f>COUNTIFS(pg_transaction_cleaned!$O:$O,A775,pg_transaction_cleaned!$F:$F,"CAPTURE")</f>
        <v>1</v>
      </c>
      <c r="K775" s="39">
        <f>SUMIFS(pg_transaction_cleaned!$H:$H,pg_transaction_cleaned!$O:$O,A775,pg_transaction_cleaned!$F:$F,"CAPTURE")</f>
        <v>1998</v>
      </c>
      <c r="L775" s="23">
        <f>COUNTIFS(pg_transaction_cleaned!$O:$O,A775,pg_transaction_cleaned!$F:$F,"REFUND")</f>
        <v>0</v>
      </c>
      <c r="M775" s="39">
        <f>SUMIFS(pg_transaction_cleaned!$H:$H,pg_transaction_cleaned!$O:$O,A775,pg_transaction_cleaned!$F:$F,"REFUND")</f>
        <v>0</v>
      </c>
      <c r="N775" s="23" t="str">
        <f t="shared" si="50"/>
        <v>OK</v>
      </c>
      <c r="O775" s="24">
        <f t="shared" si="51"/>
        <v>0</v>
      </c>
    </row>
    <row r="776" spans="1:15" ht="15" customHeight="1" x14ac:dyDescent="0.3">
      <c r="A776" s="23" t="s">
        <v>1993</v>
      </c>
      <c r="B776" s="38">
        <v>46269</v>
      </c>
      <c r="C776" s="23" t="s">
        <v>1994</v>
      </c>
      <c r="D776" s="23" t="s">
        <v>95</v>
      </c>
      <c r="E776" s="23" t="s">
        <v>75</v>
      </c>
      <c r="F776" s="23" t="s">
        <v>1995</v>
      </c>
      <c r="G776" s="23" t="s">
        <v>301</v>
      </c>
      <c r="H776" s="39">
        <f t="shared" si="48"/>
        <v>6897</v>
      </c>
      <c r="I776" s="23" t="str">
        <f t="shared" si="49"/>
        <v>Bengaluru</v>
      </c>
      <c r="J776" s="23">
        <f>COUNTIFS(pg_transaction_cleaned!$O:$O,A776,pg_transaction_cleaned!$F:$F,"CAPTURE")</f>
        <v>1</v>
      </c>
      <c r="K776" s="39">
        <f>SUMIFS(pg_transaction_cleaned!$H:$H,pg_transaction_cleaned!$O:$O,A776,pg_transaction_cleaned!$F:$F,"CAPTURE")</f>
        <v>6897</v>
      </c>
      <c r="L776" s="23">
        <f>COUNTIFS(pg_transaction_cleaned!$O:$O,A776,pg_transaction_cleaned!$F:$F,"REFUND")</f>
        <v>1</v>
      </c>
      <c r="M776" s="39">
        <f>SUMIFS(pg_transaction_cleaned!$H:$H,pg_transaction_cleaned!$O:$O,A776,pg_transaction_cleaned!$F:$F,"REFUND")</f>
        <v>6897</v>
      </c>
      <c r="N776" s="23" t="str">
        <f t="shared" si="50"/>
        <v>OK</v>
      </c>
      <c r="O776" s="24">
        <f t="shared" si="51"/>
        <v>0</v>
      </c>
    </row>
    <row r="777" spans="1:15" ht="15" customHeight="1" x14ac:dyDescent="0.3">
      <c r="A777" s="23" t="s">
        <v>1996</v>
      </c>
      <c r="B777" s="38">
        <v>46280</v>
      </c>
      <c r="C777" s="23" t="s">
        <v>1997</v>
      </c>
      <c r="D777" s="23" t="s">
        <v>92</v>
      </c>
      <c r="E777" s="23" t="s">
        <v>75</v>
      </c>
      <c r="F777" s="23" t="s">
        <v>1998</v>
      </c>
      <c r="G777" s="23" t="s">
        <v>250</v>
      </c>
      <c r="H777" s="39">
        <f t="shared" si="48"/>
        <v>7147</v>
      </c>
      <c r="I777" s="23" t="str">
        <f t="shared" si="49"/>
        <v>Hyderabad</v>
      </c>
      <c r="J777" s="23">
        <f>COUNTIFS(pg_transaction_cleaned!$O:$O,A777,pg_transaction_cleaned!$F:$F,"CAPTURE")</f>
        <v>1</v>
      </c>
      <c r="K777" s="39">
        <f>SUMIFS(pg_transaction_cleaned!$H:$H,pg_transaction_cleaned!$O:$O,A777,pg_transaction_cleaned!$F:$F,"CAPTURE")</f>
        <v>7147</v>
      </c>
      <c r="L777" s="23">
        <f>COUNTIFS(pg_transaction_cleaned!$O:$O,A777,pg_transaction_cleaned!$F:$F,"REFUND")</f>
        <v>0</v>
      </c>
      <c r="M777" s="39">
        <f>SUMIFS(pg_transaction_cleaned!$H:$H,pg_transaction_cleaned!$O:$O,A777,pg_transaction_cleaned!$F:$F,"REFUND")</f>
        <v>0</v>
      </c>
      <c r="N777" s="23" t="str">
        <f t="shared" si="50"/>
        <v>OK</v>
      </c>
      <c r="O777" s="24">
        <f t="shared" si="51"/>
        <v>0</v>
      </c>
    </row>
    <row r="778" spans="1:15" ht="15" customHeight="1" x14ac:dyDescent="0.3">
      <c r="A778" s="23" t="s">
        <v>1999</v>
      </c>
      <c r="B778" s="38">
        <v>46295</v>
      </c>
      <c r="C778" s="23" t="s">
        <v>2000</v>
      </c>
      <c r="D778" s="23" t="s">
        <v>89</v>
      </c>
      <c r="E778" s="23" t="s">
        <v>75</v>
      </c>
      <c r="F778" s="23" t="s">
        <v>262</v>
      </c>
      <c r="G778" s="23" t="s">
        <v>250</v>
      </c>
      <c r="H778" s="39">
        <f t="shared" si="48"/>
        <v>499</v>
      </c>
      <c r="I778" s="23" t="str">
        <f t="shared" si="49"/>
        <v>Jaipur</v>
      </c>
      <c r="J778" s="23">
        <f>COUNTIFS(pg_transaction_cleaned!$O:$O,A778,pg_transaction_cleaned!$F:$F,"CAPTURE")</f>
        <v>1</v>
      </c>
      <c r="K778" s="39">
        <f>SUMIFS(pg_transaction_cleaned!$H:$H,pg_transaction_cleaned!$O:$O,A778,pg_transaction_cleaned!$F:$F,"CAPTURE")</f>
        <v>499</v>
      </c>
      <c r="L778" s="23">
        <f>COUNTIFS(pg_transaction_cleaned!$O:$O,A778,pg_transaction_cleaned!$F:$F,"REFUND")</f>
        <v>0</v>
      </c>
      <c r="M778" s="39">
        <f>SUMIFS(pg_transaction_cleaned!$H:$H,pg_transaction_cleaned!$O:$O,A778,pg_transaction_cleaned!$F:$F,"REFUND")</f>
        <v>0</v>
      </c>
      <c r="N778" s="23" t="str">
        <f t="shared" si="50"/>
        <v>OK</v>
      </c>
      <c r="O778" s="24">
        <f t="shared" si="51"/>
        <v>0</v>
      </c>
    </row>
    <row r="779" spans="1:15" ht="15" customHeight="1" x14ac:dyDescent="0.3">
      <c r="A779" s="23" t="s">
        <v>2001</v>
      </c>
      <c r="B779" s="38">
        <v>46269</v>
      </c>
      <c r="C779" s="23" t="s">
        <v>2002</v>
      </c>
      <c r="D779" s="23" t="s">
        <v>95</v>
      </c>
      <c r="E779" s="23" t="s">
        <v>75</v>
      </c>
      <c r="F779" s="23" t="s">
        <v>315</v>
      </c>
      <c r="G779" s="23" t="s">
        <v>250</v>
      </c>
      <c r="H779" s="39">
        <f t="shared" si="48"/>
        <v>1499</v>
      </c>
      <c r="I779" s="23" t="str">
        <f t="shared" si="49"/>
        <v>Bengaluru</v>
      </c>
      <c r="J779" s="23">
        <f>COUNTIFS(pg_transaction_cleaned!$O:$O,A779,pg_transaction_cleaned!$F:$F,"CAPTURE")</f>
        <v>1</v>
      </c>
      <c r="K779" s="39">
        <f>SUMIFS(pg_transaction_cleaned!$H:$H,pg_transaction_cleaned!$O:$O,A779,pg_transaction_cleaned!$F:$F,"CAPTURE")</f>
        <v>1499</v>
      </c>
      <c r="L779" s="23">
        <f>COUNTIFS(pg_transaction_cleaned!$O:$O,A779,pg_transaction_cleaned!$F:$F,"REFUND")</f>
        <v>0</v>
      </c>
      <c r="M779" s="39">
        <f>SUMIFS(pg_transaction_cleaned!$H:$H,pg_transaction_cleaned!$O:$O,A779,pg_transaction_cleaned!$F:$F,"REFUND")</f>
        <v>0</v>
      </c>
      <c r="N779" s="23" t="str">
        <f t="shared" si="50"/>
        <v>OK</v>
      </c>
      <c r="O779" s="24">
        <f t="shared" si="51"/>
        <v>0</v>
      </c>
    </row>
    <row r="780" spans="1:15" ht="15" customHeight="1" x14ac:dyDescent="0.3">
      <c r="A780" s="23" t="s">
        <v>2003</v>
      </c>
      <c r="B780" s="38">
        <v>46269</v>
      </c>
      <c r="C780" s="23" t="s">
        <v>2004</v>
      </c>
      <c r="D780" s="23" t="s">
        <v>88</v>
      </c>
      <c r="E780" s="23" t="s">
        <v>75</v>
      </c>
      <c r="F780" s="23" t="s">
        <v>396</v>
      </c>
      <c r="G780" s="23" t="s">
        <v>250</v>
      </c>
      <c r="H780" s="39">
        <f t="shared" si="48"/>
        <v>2999</v>
      </c>
      <c r="I780" s="23" t="str">
        <f t="shared" si="49"/>
        <v>Lucknow</v>
      </c>
      <c r="J780" s="23">
        <f>COUNTIFS(pg_transaction_cleaned!$O:$O,A780,pg_transaction_cleaned!$F:$F,"CAPTURE")</f>
        <v>1</v>
      </c>
      <c r="K780" s="39">
        <f>SUMIFS(pg_transaction_cleaned!$H:$H,pg_transaction_cleaned!$O:$O,A780,pg_transaction_cleaned!$F:$F,"CAPTURE")</f>
        <v>2999</v>
      </c>
      <c r="L780" s="23">
        <f>COUNTIFS(pg_transaction_cleaned!$O:$O,A780,pg_transaction_cleaned!$F:$F,"REFUND")</f>
        <v>0</v>
      </c>
      <c r="M780" s="39">
        <f>SUMIFS(pg_transaction_cleaned!$H:$H,pg_transaction_cleaned!$O:$O,A780,pg_transaction_cleaned!$F:$F,"REFUND")</f>
        <v>0</v>
      </c>
      <c r="N780" s="23" t="str">
        <f t="shared" si="50"/>
        <v>OK</v>
      </c>
      <c r="O780" s="24">
        <f t="shared" si="51"/>
        <v>0</v>
      </c>
    </row>
    <row r="781" spans="1:15" ht="15" customHeight="1" x14ac:dyDescent="0.3">
      <c r="A781" s="23" t="s">
        <v>2005</v>
      </c>
      <c r="B781" s="38">
        <v>46269</v>
      </c>
      <c r="C781" s="23" t="s">
        <v>2006</v>
      </c>
      <c r="D781" s="23" t="s">
        <v>88</v>
      </c>
      <c r="E781" s="23" t="s">
        <v>75</v>
      </c>
      <c r="F781" s="23" t="s">
        <v>2007</v>
      </c>
      <c r="G781" s="23" t="s">
        <v>250</v>
      </c>
      <c r="H781" s="39">
        <f t="shared" si="48"/>
        <v>5598</v>
      </c>
      <c r="I781" s="23" t="str">
        <f t="shared" si="49"/>
        <v>Lucknow</v>
      </c>
      <c r="J781" s="23">
        <f>COUNTIFS(pg_transaction_cleaned!$O:$O,A781,pg_transaction_cleaned!$F:$F,"CAPTURE")</f>
        <v>1</v>
      </c>
      <c r="K781" s="39">
        <f>SUMIFS(pg_transaction_cleaned!$H:$H,pg_transaction_cleaned!$O:$O,A781,pg_transaction_cleaned!$F:$F,"CAPTURE")</f>
        <v>5598</v>
      </c>
      <c r="L781" s="23">
        <f>COUNTIFS(pg_transaction_cleaned!$O:$O,A781,pg_transaction_cleaned!$F:$F,"REFUND")</f>
        <v>0</v>
      </c>
      <c r="M781" s="39">
        <f>SUMIFS(pg_transaction_cleaned!$H:$H,pg_transaction_cleaned!$O:$O,A781,pg_transaction_cleaned!$F:$F,"REFUND")</f>
        <v>0</v>
      </c>
      <c r="N781" s="23" t="str">
        <f t="shared" si="50"/>
        <v>OK</v>
      </c>
      <c r="O781" s="24">
        <f t="shared" si="51"/>
        <v>0</v>
      </c>
    </row>
    <row r="782" spans="1:15" ht="15" customHeight="1" x14ac:dyDescent="0.3">
      <c r="A782" s="23" t="s">
        <v>2008</v>
      </c>
      <c r="B782" s="38">
        <v>46270</v>
      </c>
      <c r="C782" s="23" t="s">
        <v>2009</v>
      </c>
      <c r="D782" s="23" t="s">
        <v>88</v>
      </c>
      <c r="E782" s="23" t="s">
        <v>75</v>
      </c>
      <c r="F782" s="23" t="s">
        <v>775</v>
      </c>
      <c r="G782" s="23" t="s">
        <v>250</v>
      </c>
      <c r="H782" s="39">
        <f t="shared" si="48"/>
        <v>4999</v>
      </c>
      <c r="I782" s="23" t="str">
        <f t="shared" si="49"/>
        <v>Lucknow</v>
      </c>
      <c r="J782" s="23">
        <f>COUNTIFS(pg_transaction_cleaned!$O:$O,A782,pg_transaction_cleaned!$F:$F,"CAPTURE")</f>
        <v>1</v>
      </c>
      <c r="K782" s="39">
        <f>SUMIFS(pg_transaction_cleaned!$H:$H,pg_transaction_cleaned!$O:$O,A782,pg_transaction_cleaned!$F:$F,"CAPTURE")</f>
        <v>4999</v>
      </c>
      <c r="L782" s="23">
        <f>COUNTIFS(pg_transaction_cleaned!$O:$O,A782,pg_transaction_cleaned!$F:$F,"REFUND")</f>
        <v>0</v>
      </c>
      <c r="M782" s="39">
        <f>SUMIFS(pg_transaction_cleaned!$H:$H,pg_transaction_cleaned!$O:$O,A782,pg_transaction_cleaned!$F:$F,"REFUND")</f>
        <v>0</v>
      </c>
      <c r="N782" s="23" t="str">
        <f t="shared" si="50"/>
        <v>OK</v>
      </c>
      <c r="O782" s="24">
        <f t="shared" si="51"/>
        <v>0</v>
      </c>
    </row>
    <row r="783" spans="1:15" ht="15" customHeight="1" x14ac:dyDescent="0.3">
      <c r="A783" s="23" t="s">
        <v>2010</v>
      </c>
      <c r="B783" s="38">
        <v>46276</v>
      </c>
      <c r="C783" s="23" t="s">
        <v>2011</v>
      </c>
      <c r="D783" s="23" t="s">
        <v>86</v>
      </c>
      <c r="E783" s="23" t="s">
        <v>79</v>
      </c>
      <c r="F783" s="23" t="s">
        <v>2012</v>
      </c>
      <c r="G783" s="23" t="s">
        <v>250</v>
      </c>
      <c r="H783" s="39">
        <f t="shared" si="48"/>
        <v>1597</v>
      </c>
      <c r="I783" s="23" t="str">
        <f t="shared" si="49"/>
        <v>Delhi</v>
      </c>
      <c r="J783" s="23">
        <f>COUNTIFS(pg_transaction_cleaned!$O:$O,A783,pg_transaction_cleaned!$F:$F,"CAPTURE")</f>
        <v>1</v>
      </c>
      <c r="K783" s="39">
        <f>SUMIFS(pg_transaction_cleaned!$H:$H,pg_transaction_cleaned!$O:$O,A783,pg_transaction_cleaned!$F:$F,"CAPTURE")</f>
        <v>1597</v>
      </c>
      <c r="L783" s="23">
        <f>COUNTIFS(pg_transaction_cleaned!$O:$O,A783,pg_transaction_cleaned!$F:$F,"REFUND")</f>
        <v>0</v>
      </c>
      <c r="M783" s="39">
        <f>SUMIFS(pg_transaction_cleaned!$H:$H,pg_transaction_cleaned!$O:$O,A783,pg_transaction_cleaned!$F:$F,"REFUND")</f>
        <v>0</v>
      </c>
      <c r="N783" s="23" t="str">
        <f t="shared" si="50"/>
        <v>OK</v>
      </c>
      <c r="O783" s="24">
        <f t="shared" si="51"/>
        <v>0</v>
      </c>
    </row>
    <row r="784" spans="1:15" ht="15" customHeight="1" x14ac:dyDescent="0.3">
      <c r="A784" s="23" t="s">
        <v>2013</v>
      </c>
      <c r="B784" s="38">
        <v>46281</v>
      </c>
      <c r="C784" s="23" t="s">
        <v>2014</v>
      </c>
      <c r="D784" s="23" t="s">
        <v>90</v>
      </c>
      <c r="E784" s="23" t="s">
        <v>79</v>
      </c>
      <c r="F784" s="23" t="s">
        <v>265</v>
      </c>
      <c r="G784" s="23" t="s">
        <v>301</v>
      </c>
      <c r="H784" s="39">
        <f t="shared" si="48"/>
        <v>999</v>
      </c>
      <c r="I784" s="23" t="str">
        <f t="shared" si="49"/>
        <v>Ahmedabad</v>
      </c>
      <c r="J784" s="23">
        <f>COUNTIFS(pg_transaction_cleaned!$O:$O,A784,pg_transaction_cleaned!$F:$F,"CAPTURE")</f>
        <v>1</v>
      </c>
      <c r="K784" s="39">
        <f>SUMIFS(pg_transaction_cleaned!$H:$H,pg_transaction_cleaned!$O:$O,A784,pg_transaction_cleaned!$F:$F,"CAPTURE")</f>
        <v>999</v>
      </c>
      <c r="L784" s="23">
        <f>COUNTIFS(pg_transaction_cleaned!$O:$O,A784,pg_transaction_cleaned!$F:$F,"REFUND")</f>
        <v>1</v>
      </c>
      <c r="M784" s="39">
        <f>SUMIFS(pg_transaction_cleaned!$H:$H,pg_transaction_cleaned!$O:$O,A784,pg_transaction_cleaned!$F:$F,"REFUND")</f>
        <v>999</v>
      </c>
      <c r="N784" s="23" t="str">
        <f t="shared" si="50"/>
        <v>OK</v>
      </c>
      <c r="O784" s="24">
        <f t="shared" si="51"/>
        <v>0</v>
      </c>
    </row>
    <row r="785" spans="1:15" ht="15" customHeight="1" x14ac:dyDescent="0.3">
      <c r="A785" s="23" t="s">
        <v>2015</v>
      </c>
      <c r="B785" s="38">
        <v>46289</v>
      </c>
      <c r="C785" s="23" t="s">
        <v>2016</v>
      </c>
      <c r="D785" s="23" t="s">
        <v>92</v>
      </c>
      <c r="E785" s="23" t="s">
        <v>75</v>
      </c>
      <c r="F785" s="23" t="s">
        <v>249</v>
      </c>
      <c r="G785" s="23" t="s">
        <v>250</v>
      </c>
      <c r="H785" s="39">
        <f t="shared" si="48"/>
        <v>299</v>
      </c>
      <c r="I785" s="23" t="str">
        <f t="shared" si="49"/>
        <v>Hyderabad</v>
      </c>
      <c r="J785" s="23">
        <f>COUNTIFS(pg_transaction_cleaned!$O:$O,A785,pg_transaction_cleaned!$F:$F,"CAPTURE")</f>
        <v>1</v>
      </c>
      <c r="K785" s="39">
        <f>SUMIFS(pg_transaction_cleaned!$H:$H,pg_transaction_cleaned!$O:$O,A785,pg_transaction_cleaned!$F:$F,"CAPTURE")</f>
        <v>299</v>
      </c>
      <c r="L785" s="23">
        <f>COUNTIFS(pg_transaction_cleaned!$O:$O,A785,pg_transaction_cleaned!$F:$F,"REFUND")</f>
        <v>0</v>
      </c>
      <c r="M785" s="39">
        <f>SUMIFS(pg_transaction_cleaned!$H:$H,pg_transaction_cleaned!$O:$O,A785,pg_transaction_cleaned!$F:$F,"REFUND")</f>
        <v>0</v>
      </c>
      <c r="N785" s="23" t="str">
        <f t="shared" si="50"/>
        <v>OK</v>
      </c>
      <c r="O785" s="24">
        <f t="shared" si="51"/>
        <v>0</v>
      </c>
    </row>
    <row r="786" spans="1:15" ht="15" customHeight="1" x14ac:dyDescent="0.3">
      <c r="A786" s="23" t="s">
        <v>2017</v>
      </c>
      <c r="B786" s="38">
        <v>46294</v>
      </c>
      <c r="C786" s="23" t="s">
        <v>2018</v>
      </c>
      <c r="D786" s="23" t="s">
        <v>90</v>
      </c>
      <c r="E786" s="23" t="s">
        <v>79</v>
      </c>
      <c r="F786" s="23" t="s">
        <v>315</v>
      </c>
      <c r="G786" s="23" t="s">
        <v>250</v>
      </c>
      <c r="H786" s="39">
        <f t="shared" si="48"/>
        <v>1499</v>
      </c>
      <c r="I786" s="23" t="str">
        <f t="shared" si="49"/>
        <v>Ahmedabad</v>
      </c>
      <c r="J786" s="23">
        <f>COUNTIFS(pg_transaction_cleaned!$O:$O,A786,pg_transaction_cleaned!$F:$F,"CAPTURE")</f>
        <v>1</v>
      </c>
      <c r="K786" s="39">
        <f>SUMIFS(pg_transaction_cleaned!$H:$H,pg_transaction_cleaned!$O:$O,A786,pg_transaction_cleaned!$F:$F,"CAPTURE")</f>
        <v>1499</v>
      </c>
      <c r="L786" s="23">
        <f>COUNTIFS(pg_transaction_cleaned!$O:$O,A786,pg_transaction_cleaned!$F:$F,"REFUND")</f>
        <v>0</v>
      </c>
      <c r="M786" s="39">
        <f>SUMIFS(pg_transaction_cleaned!$H:$H,pg_transaction_cleaned!$O:$O,A786,pg_transaction_cleaned!$F:$F,"REFUND")</f>
        <v>0</v>
      </c>
      <c r="N786" s="23" t="str">
        <f t="shared" si="50"/>
        <v>OK</v>
      </c>
      <c r="O786" s="24">
        <f t="shared" si="51"/>
        <v>0</v>
      </c>
    </row>
    <row r="787" spans="1:15" ht="15" customHeight="1" x14ac:dyDescent="0.3">
      <c r="A787" s="23" t="s">
        <v>2019</v>
      </c>
      <c r="B787" s="38">
        <v>46272</v>
      </c>
      <c r="C787" s="23" t="s">
        <v>2020</v>
      </c>
      <c r="D787" s="23" t="s">
        <v>88</v>
      </c>
      <c r="E787" s="23" t="s">
        <v>79</v>
      </c>
      <c r="F787" s="23" t="s">
        <v>880</v>
      </c>
      <c r="G787" s="23" t="s">
        <v>250</v>
      </c>
      <c r="H787" s="39">
        <f t="shared" si="48"/>
        <v>2298</v>
      </c>
      <c r="I787" s="23" t="str">
        <f t="shared" si="49"/>
        <v>Lucknow</v>
      </c>
      <c r="J787" s="23">
        <f>COUNTIFS(pg_transaction_cleaned!$O:$O,A787,pg_transaction_cleaned!$F:$F,"CAPTURE")</f>
        <v>1</v>
      </c>
      <c r="K787" s="39">
        <f>SUMIFS(pg_transaction_cleaned!$H:$H,pg_transaction_cleaned!$O:$O,A787,pg_transaction_cleaned!$F:$F,"CAPTURE")</f>
        <v>2298</v>
      </c>
      <c r="L787" s="23">
        <f>COUNTIFS(pg_transaction_cleaned!$O:$O,A787,pg_transaction_cleaned!$F:$F,"REFUND")</f>
        <v>0</v>
      </c>
      <c r="M787" s="39">
        <f>SUMIFS(pg_transaction_cleaned!$H:$H,pg_transaction_cleaned!$O:$O,A787,pg_transaction_cleaned!$F:$F,"REFUND")</f>
        <v>0</v>
      </c>
      <c r="N787" s="23" t="str">
        <f t="shared" si="50"/>
        <v>OK</v>
      </c>
      <c r="O787" s="24">
        <f t="shared" si="51"/>
        <v>0</v>
      </c>
    </row>
    <row r="788" spans="1:15" ht="15" customHeight="1" x14ac:dyDescent="0.3">
      <c r="A788" s="23" t="s">
        <v>2021</v>
      </c>
      <c r="B788" s="38">
        <v>46295</v>
      </c>
      <c r="C788" s="23" t="s">
        <v>2022</v>
      </c>
      <c r="D788" s="23" t="s">
        <v>89</v>
      </c>
      <c r="E788" s="23" t="s">
        <v>75</v>
      </c>
      <c r="F788" s="23" t="s">
        <v>1954</v>
      </c>
      <c r="G788" s="23" t="s">
        <v>250</v>
      </c>
      <c r="H788" s="39">
        <f t="shared" si="48"/>
        <v>848</v>
      </c>
      <c r="I788" s="23" t="str">
        <f t="shared" si="49"/>
        <v>Jaipur</v>
      </c>
      <c r="J788" s="23">
        <f>COUNTIFS(pg_transaction_cleaned!$O:$O,A788,pg_transaction_cleaned!$F:$F,"CAPTURE")</f>
        <v>1</v>
      </c>
      <c r="K788" s="39">
        <f>SUMIFS(pg_transaction_cleaned!$H:$H,pg_transaction_cleaned!$O:$O,A788,pg_transaction_cleaned!$F:$F,"CAPTURE")</f>
        <v>848</v>
      </c>
      <c r="L788" s="23">
        <f>COUNTIFS(pg_transaction_cleaned!$O:$O,A788,pg_transaction_cleaned!$F:$F,"REFUND")</f>
        <v>0</v>
      </c>
      <c r="M788" s="39">
        <f>SUMIFS(pg_transaction_cleaned!$H:$H,pg_transaction_cleaned!$O:$O,A788,pg_transaction_cleaned!$F:$F,"REFUND")</f>
        <v>0</v>
      </c>
      <c r="N788" s="23" t="str">
        <f t="shared" si="50"/>
        <v>OK</v>
      </c>
      <c r="O788" s="24">
        <f t="shared" si="51"/>
        <v>0</v>
      </c>
    </row>
    <row r="789" spans="1:15" ht="15" customHeight="1" x14ac:dyDescent="0.3">
      <c r="A789" s="23" t="s">
        <v>2023</v>
      </c>
      <c r="B789" s="38">
        <v>46277</v>
      </c>
      <c r="C789" s="23" t="s">
        <v>2024</v>
      </c>
      <c r="D789" s="23" t="s">
        <v>87</v>
      </c>
      <c r="E789" s="23" t="s">
        <v>75</v>
      </c>
      <c r="F789" s="23" t="s">
        <v>717</v>
      </c>
      <c r="G789" s="23" t="s">
        <v>250</v>
      </c>
      <c r="H789" s="39">
        <f t="shared" si="48"/>
        <v>5298</v>
      </c>
      <c r="I789" s="23" t="str">
        <f t="shared" si="49"/>
        <v>Mumbai</v>
      </c>
      <c r="J789" s="23">
        <f>COUNTIFS(pg_transaction_cleaned!$O:$O,A789,pg_transaction_cleaned!$F:$F,"CAPTURE")</f>
        <v>1</v>
      </c>
      <c r="K789" s="39">
        <f>SUMIFS(pg_transaction_cleaned!$H:$H,pg_transaction_cleaned!$O:$O,A789,pg_transaction_cleaned!$F:$F,"CAPTURE")</f>
        <v>5298</v>
      </c>
      <c r="L789" s="23">
        <f>COUNTIFS(pg_transaction_cleaned!$O:$O,A789,pg_transaction_cleaned!$F:$F,"REFUND")</f>
        <v>0</v>
      </c>
      <c r="M789" s="39">
        <f>SUMIFS(pg_transaction_cleaned!$H:$H,pg_transaction_cleaned!$O:$O,A789,pg_transaction_cleaned!$F:$F,"REFUND")</f>
        <v>0</v>
      </c>
      <c r="N789" s="23" t="str">
        <f t="shared" si="50"/>
        <v>OK</v>
      </c>
      <c r="O789" s="24">
        <f t="shared" si="51"/>
        <v>0</v>
      </c>
    </row>
    <row r="790" spans="1:15" ht="15" customHeight="1" x14ac:dyDescent="0.3">
      <c r="A790" s="23" t="s">
        <v>2025</v>
      </c>
      <c r="B790" s="38">
        <v>46285</v>
      </c>
      <c r="C790" s="23" t="s">
        <v>2026</v>
      </c>
      <c r="D790" s="23" t="s">
        <v>89</v>
      </c>
      <c r="E790" s="23" t="s">
        <v>75</v>
      </c>
      <c r="F790" s="23" t="s">
        <v>297</v>
      </c>
      <c r="G790" s="23" t="s">
        <v>250</v>
      </c>
      <c r="H790" s="39">
        <f t="shared" si="48"/>
        <v>4999</v>
      </c>
      <c r="I790" s="23" t="str">
        <f t="shared" si="49"/>
        <v>Jaipur</v>
      </c>
      <c r="J790" s="23">
        <f>COUNTIFS(pg_transaction_cleaned!$O:$O,A790,pg_transaction_cleaned!$F:$F,"CAPTURE")</f>
        <v>1</v>
      </c>
      <c r="K790" s="39">
        <f>SUMIFS(pg_transaction_cleaned!$H:$H,pg_transaction_cleaned!$O:$O,A790,pg_transaction_cleaned!$F:$F,"CAPTURE")</f>
        <v>4999</v>
      </c>
      <c r="L790" s="23">
        <f>COUNTIFS(pg_transaction_cleaned!$O:$O,A790,pg_transaction_cleaned!$F:$F,"REFUND")</f>
        <v>0</v>
      </c>
      <c r="M790" s="39">
        <f>SUMIFS(pg_transaction_cleaned!$H:$H,pg_transaction_cleaned!$O:$O,A790,pg_transaction_cleaned!$F:$F,"REFUND")</f>
        <v>0</v>
      </c>
      <c r="N790" s="23" t="str">
        <f t="shared" si="50"/>
        <v>OK</v>
      </c>
      <c r="O790" s="24">
        <f t="shared" si="51"/>
        <v>0</v>
      </c>
    </row>
    <row r="791" spans="1:15" ht="15" customHeight="1" x14ac:dyDescent="0.3">
      <c r="A791" s="23" t="s">
        <v>2027</v>
      </c>
      <c r="B791" s="38">
        <v>46292</v>
      </c>
      <c r="C791" s="23" t="s">
        <v>2028</v>
      </c>
      <c r="D791" s="23" t="s">
        <v>88</v>
      </c>
      <c r="E791" s="23" t="s">
        <v>79</v>
      </c>
      <c r="F791" s="23" t="s">
        <v>963</v>
      </c>
      <c r="G791" s="23" t="s">
        <v>250</v>
      </c>
      <c r="H791" s="39">
        <f t="shared" si="48"/>
        <v>2398</v>
      </c>
      <c r="I791" s="23" t="str">
        <f t="shared" si="49"/>
        <v>Lucknow</v>
      </c>
      <c r="J791" s="23">
        <f>COUNTIFS(pg_transaction_cleaned!$O:$O,A791,pg_transaction_cleaned!$F:$F,"CAPTURE")</f>
        <v>1</v>
      </c>
      <c r="K791" s="39">
        <f>SUMIFS(pg_transaction_cleaned!$H:$H,pg_transaction_cleaned!$O:$O,A791,pg_transaction_cleaned!$F:$F,"CAPTURE")</f>
        <v>2398</v>
      </c>
      <c r="L791" s="23">
        <f>COUNTIFS(pg_transaction_cleaned!$O:$O,A791,pg_transaction_cleaned!$F:$F,"REFUND")</f>
        <v>0</v>
      </c>
      <c r="M791" s="39">
        <f>SUMIFS(pg_transaction_cleaned!$H:$H,pg_transaction_cleaned!$O:$O,A791,pg_transaction_cleaned!$F:$F,"REFUND")</f>
        <v>0</v>
      </c>
      <c r="N791" s="23" t="str">
        <f t="shared" si="50"/>
        <v>OK</v>
      </c>
      <c r="O791" s="24">
        <f t="shared" si="51"/>
        <v>0</v>
      </c>
    </row>
    <row r="792" spans="1:15" ht="15" customHeight="1" x14ac:dyDescent="0.3">
      <c r="A792" s="23" t="s">
        <v>2029</v>
      </c>
      <c r="B792" s="38">
        <v>46275</v>
      </c>
      <c r="C792" s="23" t="s">
        <v>2030</v>
      </c>
      <c r="D792" s="23" t="s">
        <v>91</v>
      </c>
      <c r="E792" s="23" t="s">
        <v>75</v>
      </c>
      <c r="F792" s="23" t="s">
        <v>268</v>
      </c>
      <c r="G792" s="23" t="s">
        <v>250</v>
      </c>
      <c r="H792" s="39">
        <f t="shared" si="48"/>
        <v>1299</v>
      </c>
      <c r="I792" s="23" t="str">
        <f t="shared" si="49"/>
        <v>Pune</v>
      </c>
      <c r="J792" s="23">
        <f>COUNTIFS(pg_transaction_cleaned!$O:$O,A792,pg_transaction_cleaned!$F:$F,"CAPTURE")</f>
        <v>1</v>
      </c>
      <c r="K792" s="39">
        <f>SUMIFS(pg_transaction_cleaned!$H:$H,pg_transaction_cleaned!$O:$O,A792,pg_transaction_cleaned!$F:$F,"CAPTURE")</f>
        <v>1299</v>
      </c>
      <c r="L792" s="23">
        <f>COUNTIFS(pg_transaction_cleaned!$O:$O,A792,pg_transaction_cleaned!$F:$F,"REFUND")</f>
        <v>0</v>
      </c>
      <c r="M792" s="39">
        <f>SUMIFS(pg_transaction_cleaned!$H:$H,pg_transaction_cleaned!$O:$O,A792,pg_transaction_cleaned!$F:$F,"REFUND")</f>
        <v>0</v>
      </c>
      <c r="N792" s="23" t="str">
        <f t="shared" si="50"/>
        <v>OK</v>
      </c>
      <c r="O792" s="24">
        <f t="shared" si="51"/>
        <v>0</v>
      </c>
    </row>
    <row r="793" spans="1:15" ht="15" customHeight="1" x14ac:dyDescent="0.3">
      <c r="A793" s="23" t="s">
        <v>2031</v>
      </c>
      <c r="B793" s="38">
        <v>46267</v>
      </c>
      <c r="C793" s="23" t="s">
        <v>2032</v>
      </c>
      <c r="D793" s="23" t="s">
        <v>95</v>
      </c>
      <c r="E793" s="23" t="s">
        <v>75</v>
      </c>
      <c r="F793" s="23" t="s">
        <v>262</v>
      </c>
      <c r="G793" s="23" t="s">
        <v>250</v>
      </c>
      <c r="H793" s="39">
        <f t="shared" si="48"/>
        <v>499</v>
      </c>
      <c r="I793" s="23" t="str">
        <f t="shared" si="49"/>
        <v>Bengaluru</v>
      </c>
      <c r="J793" s="23">
        <f>COUNTIFS(pg_transaction_cleaned!$O:$O,A793,pg_transaction_cleaned!$F:$F,"CAPTURE")</f>
        <v>1</v>
      </c>
      <c r="K793" s="39">
        <f>SUMIFS(pg_transaction_cleaned!$H:$H,pg_transaction_cleaned!$O:$O,A793,pg_transaction_cleaned!$F:$F,"CAPTURE")</f>
        <v>499</v>
      </c>
      <c r="L793" s="23">
        <f>COUNTIFS(pg_transaction_cleaned!$O:$O,A793,pg_transaction_cleaned!$F:$F,"REFUND")</f>
        <v>0</v>
      </c>
      <c r="M793" s="39">
        <f>SUMIFS(pg_transaction_cleaned!$H:$H,pg_transaction_cleaned!$O:$O,A793,pg_transaction_cleaned!$F:$F,"REFUND")</f>
        <v>0</v>
      </c>
      <c r="N793" s="23" t="str">
        <f t="shared" si="50"/>
        <v>OK</v>
      </c>
      <c r="O793" s="24">
        <f t="shared" si="51"/>
        <v>0</v>
      </c>
    </row>
    <row r="794" spans="1:15" ht="15" customHeight="1" x14ac:dyDescent="0.3">
      <c r="A794" s="23" t="s">
        <v>2033</v>
      </c>
      <c r="B794" s="38">
        <v>46269</v>
      </c>
      <c r="C794" s="23" t="s">
        <v>2034</v>
      </c>
      <c r="D794" s="23" t="s">
        <v>89</v>
      </c>
      <c r="E794" s="23" t="s">
        <v>75</v>
      </c>
      <c r="F794" s="23" t="s">
        <v>271</v>
      </c>
      <c r="G794" s="23" t="s">
        <v>250</v>
      </c>
      <c r="H794" s="39">
        <f t="shared" si="48"/>
        <v>2499</v>
      </c>
      <c r="I794" s="23" t="str">
        <f t="shared" si="49"/>
        <v>Jaipur</v>
      </c>
      <c r="J794" s="23">
        <f>COUNTIFS(pg_transaction_cleaned!$O:$O,A794,pg_transaction_cleaned!$F:$F,"CAPTURE")</f>
        <v>1</v>
      </c>
      <c r="K794" s="39">
        <f>SUMIFS(pg_transaction_cleaned!$H:$H,pg_transaction_cleaned!$O:$O,A794,pg_transaction_cleaned!$F:$F,"CAPTURE")</f>
        <v>2499</v>
      </c>
      <c r="L794" s="23">
        <f>COUNTIFS(pg_transaction_cleaned!$O:$O,A794,pg_transaction_cleaned!$F:$F,"REFUND")</f>
        <v>0</v>
      </c>
      <c r="M794" s="39">
        <f>SUMIFS(pg_transaction_cleaned!$H:$H,pg_transaction_cleaned!$O:$O,A794,pg_transaction_cleaned!$F:$F,"REFUND")</f>
        <v>0</v>
      </c>
      <c r="N794" s="23" t="str">
        <f t="shared" si="50"/>
        <v>OK</v>
      </c>
      <c r="O794" s="24">
        <f t="shared" si="51"/>
        <v>0</v>
      </c>
    </row>
    <row r="795" spans="1:15" ht="15" customHeight="1" x14ac:dyDescent="0.3">
      <c r="A795" s="23" t="s">
        <v>2035</v>
      </c>
      <c r="B795" s="38">
        <v>46285</v>
      </c>
      <c r="C795" s="23" t="s">
        <v>2036</v>
      </c>
      <c r="D795" s="23" t="s">
        <v>87</v>
      </c>
      <c r="E795" s="23" t="s">
        <v>79</v>
      </c>
      <c r="F795" s="23" t="s">
        <v>1038</v>
      </c>
      <c r="G795" s="23" t="s">
        <v>250</v>
      </c>
      <c r="H795" s="39">
        <f t="shared" si="48"/>
        <v>3597</v>
      </c>
      <c r="I795" s="23" t="str">
        <f t="shared" si="49"/>
        <v>Mumbai</v>
      </c>
      <c r="J795" s="23">
        <f>COUNTIFS(pg_transaction_cleaned!$O:$O,A795,pg_transaction_cleaned!$F:$F,"CAPTURE")</f>
        <v>1</v>
      </c>
      <c r="K795" s="39">
        <f>SUMIFS(pg_transaction_cleaned!$H:$H,pg_transaction_cleaned!$O:$O,A795,pg_transaction_cleaned!$F:$F,"CAPTURE")</f>
        <v>3597</v>
      </c>
      <c r="L795" s="23">
        <f>COUNTIFS(pg_transaction_cleaned!$O:$O,A795,pg_transaction_cleaned!$F:$F,"REFUND")</f>
        <v>0</v>
      </c>
      <c r="M795" s="39">
        <f>SUMIFS(pg_transaction_cleaned!$H:$H,pg_transaction_cleaned!$O:$O,A795,pg_transaction_cleaned!$F:$F,"REFUND")</f>
        <v>0</v>
      </c>
      <c r="N795" s="23" t="str">
        <f t="shared" si="50"/>
        <v>OK</v>
      </c>
      <c r="O795" s="24">
        <f t="shared" si="51"/>
        <v>0</v>
      </c>
    </row>
    <row r="796" spans="1:15" ht="15" customHeight="1" x14ac:dyDescent="0.3">
      <c r="A796" s="23" t="s">
        <v>2037</v>
      </c>
      <c r="B796" s="38">
        <v>46295</v>
      </c>
      <c r="C796" s="23" t="s">
        <v>2038</v>
      </c>
      <c r="D796" s="23" t="s">
        <v>90</v>
      </c>
      <c r="E796" s="23" t="s">
        <v>77</v>
      </c>
      <c r="F796" s="23" t="s">
        <v>396</v>
      </c>
      <c r="G796" s="23" t="s">
        <v>250</v>
      </c>
      <c r="H796" s="39">
        <f t="shared" si="48"/>
        <v>2999</v>
      </c>
      <c r="I796" s="23" t="str">
        <f t="shared" si="49"/>
        <v>Ahmedabad</v>
      </c>
      <c r="J796" s="23">
        <f>COUNTIFS(pg_transaction_cleaned!$O:$O,A796,pg_transaction_cleaned!$F:$F,"CAPTURE")</f>
        <v>1</v>
      </c>
      <c r="K796" s="39">
        <f>SUMIFS(pg_transaction_cleaned!$H:$H,pg_transaction_cleaned!$O:$O,A796,pg_transaction_cleaned!$F:$F,"CAPTURE")</f>
        <v>2999</v>
      </c>
      <c r="L796" s="23">
        <f>COUNTIFS(pg_transaction_cleaned!$O:$O,A796,pg_transaction_cleaned!$F:$F,"REFUND")</f>
        <v>0</v>
      </c>
      <c r="M796" s="39">
        <f>SUMIFS(pg_transaction_cleaned!$H:$H,pg_transaction_cleaned!$O:$O,A796,pg_transaction_cleaned!$F:$F,"REFUND")</f>
        <v>0</v>
      </c>
      <c r="N796" s="23" t="str">
        <f t="shared" si="50"/>
        <v>OK</v>
      </c>
      <c r="O796" s="24">
        <f t="shared" si="51"/>
        <v>0</v>
      </c>
    </row>
    <row r="797" spans="1:15" ht="15" customHeight="1" x14ac:dyDescent="0.3">
      <c r="A797" s="23" t="s">
        <v>2039</v>
      </c>
      <c r="B797" s="38">
        <v>46291</v>
      </c>
      <c r="C797" s="23" t="s">
        <v>2040</v>
      </c>
      <c r="D797" s="23" t="s">
        <v>87</v>
      </c>
      <c r="E797" s="23" t="s">
        <v>77</v>
      </c>
      <c r="F797" s="23" t="s">
        <v>534</v>
      </c>
      <c r="G797" s="23" t="s">
        <v>250</v>
      </c>
      <c r="H797" s="39">
        <f t="shared" si="48"/>
        <v>3097</v>
      </c>
      <c r="I797" s="23" t="str">
        <f t="shared" si="49"/>
        <v>Mumbai</v>
      </c>
      <c r="J797" s="23">
        <f>COUNTIFS(pg_transaction_cleaned!$O:$O,A797,pg_transaction_cleaned!$F:$F,"CAPTURE")</f>
        <v>1</v>
      </c>
      <c r="K797" s="39">
        <f>SUMIFS(pg_transaction_cleaned!$H:$H,pg_transaction_cleaned!$O:$O,A797,pg_transaction_cleaned!$F:$F,"CAPTURE")</f>
        <v>3097</v>
      </c>
      <c r="L797" s="23">
        <f>COUNTIFS(pg_transaction_cleaned!$O:$O,A797,pg_transaction_cleaned!$F:$F,"REFUND")</f>
        <v>0</v>
      </c>
      <c r="M797" s="39">
        <f>SUMIFS(pg_transaction_cleaned!$H:$H,pg_transaction_cleaned!$O:$O,A797,pg_transaction_cleaned!$F:$F,"REFUND")</f>
        <v>0</v>
      </c>
      <c r="N797" s="23" t="str">
        <f t="shared" si="50"/>
        <v>OK</v>
      </c>
      <c r="O797" s="24">
        <f t="shared" si="51"/>
        <v>0</v>
      </c>
    </row>
    <row r="798" spans="1:15" ht="15" customHeight="1" x14ac:dyDescent="0.3">
      <c r="A798" s="23" t="s">
        <v>2041</v>
      </c>
      <c r="B798" s="38">
        <v>46292</v>
      </c>
      <c r="C798" s="23" t="s">
        <v>2042</v>
      </c>
      <c r="D798" s="23" t="s">
        <v>91</v>
      </c>
      <c r="E798" s="23" t="s">
        <v>75</v>
      </c>
      <c r="F798" s="23" t="s">
        <v>300</v>
      </c>
      <c r="G798" s="23" t="s">
        <v>250</v>
      </c>
      <c r="H798" s="39">
        <f t="shared" si="48"/>
        <v>2598</v>
      </c>
      <c r="I798" s="23" t="str">
        <f t="shared" si="49"/>
        <v>Pune</v>
      </c>
      <c r="J798" s="23">
        <f>COUNTIFS(pg_transaction_cleaned!$O:$O,A798,pg_transaction_cleaned!$F:$F,"CAPTURE")</f>
        <v>1</v>
      </c>
      <c r="K798" s="39">
        <f>SUMIFS(pg_transaction_cleaned!$H:$H,pg_transaction_cleaned!$O:$O,A798,pg_transaction_cleaned!$F:$F,"CAPTURE")</f>
        <v>2598</v>
      </c>
      <c r="L798" s="23">
        <f>COUNTIFS(pg_transaction_cleaned!$O:$O,A798,pg_transaction_cleaned!$F:$F,"REFUND")</f>
        <v>0</v>
      </c>
      <c r="M798" s="39">
        <f>SUMIFS(pg_transaction_cleaned!$H:$H,pg_transaction_cleaned!$O:$O,A798,pg_transaction_cleaned!$F:$F,"REFUND")</f>
        <v>0</v>
      </c>
      <c r="N798" s="23" t="str">
        <f t="shared" si="50"/>
        <v>OK</v>
      </c>
      <c r="O798" s="24">
        <f t="shared" si="51"/>
        <v>0</v>
      </c>
    </row>
    <row r="799" spans="1:15" ht="15" customHeight="1" x14ac:dyDescent="0.3">
      <c r="A799" s="23" t="s">
        <v>2043</v>
      </c>
      <c r="B799" s="38">
        <v>46272</v>
      </c>
      <c r="C799" s="23" t="s">
        <v>2044</v>
      </c>
      <c r="D799" s="23" t="s">
        <v>95</v>
      </c>
      <c r="E799" s="23" t="s">
        <v>75</v>
      </c>
      <c r="F799" s="23" t="s">
        <v>2045</v>
      </c>
      <c r="G799" s="23" t="s">
        <v>250</v>
      </c>
      <c r="H799" s="39">
        <f t="shared" si="48"/>
        <v>698</v>
      </c>
      <c r="I799" s="23" t="str">
        <f t="shared" si="49"/>
        <v>Bengaluru</v>
      </c>
      <c r="J799" s="23">
        <f>COUNTIFS(pg_transaction_cleaned!$O:$O,A799,pg_transaction_cleaned!$F:$F,"CAPTURE")</f>
        <v>1</v>
      </c>
      <c r="K799" s="39">
        <f>SUMIFS(pg_transaction_cleaned!$H:$H,pg_transaction_cleaned!$O:$O,A799,pg_transaction_cleaned!$F:$F,"CAPTURE")</f>
        <v>698</v>
      </c>
      <c r="L799" s="23">
        <f>COUNTIFS(pg_transaction_cleaned!$O:$O,A799,pg_transaction_cleaned!$F:$F,"REFUND")</f>
        <v>0</v>
      </c>
      <c r="M799" s="39">
        <f>SUMIFS(pg_transaction_cleaned!$H:$H,pg_transaction_cleaned!$O:$O,A799,pg_transaction_cleaned!$F:$F,"REFUND")</f>
        <v>0</v>
      </c>
      <c r="N799" s="23" t="str">
        <f t="shared" si="50"/>
        <v>OK</v>
      </c>
      <c r="O799" s="24">
        <f t="shared" si="51"/>
        <v>0</v>
      </c>
    </row>
    <row r="800" spans="1:15" ht="15" customHeight="1" x14ac:dyDescent="0.3">
      <c r="A800" s="23" t="s">
        <v>2046</v>
      </c>
      <c r="B800" s="38">
        <v>46282</v>
      </c>
      <c r="C800" s="23" t="s">
        <v>2047</v>
      </c>
      <c r="D800" s="23" t="s">
        <v>93</v>
      </c>
      <c r="E800" s="23" t="s">
        <v>79</v>
      </c>
      <c r="F800" s="23" t="s">
        <v>1329</v>
      </c>
      <c r="G800" s="23" t="s">
        <v>318</v>
      </c>
      <c r="H800" s="39">
        <f t="shared" si="48"/>
        <v>6097</v>
      </c>
      <c r="I800" s="23" t="str">
        <f t="shared" si="49"/>
        <v>Kolkata</v>
      </c>
      <c r="J800" s="23">
        <f>COUNTIFS(pg_transaction_cleaned!$O:$O,A800,pg_transaction_cleaned!$F:$F,"CAPTURE")</f>
        <v>0</v>
      </c>
      <c r="K800" s="39">
        <f>SUMIFS(pg_transaction_cleaned!$H:$H,pg_transaction_cleaned!$O:$O,A800,pg_transaction_cleaned!$F:$F,"CAPTURE")</f>
        <v>0</v>
      </c>
      <c r="L800" s="23">
        <f>COUNTIFS(pg_transaction_cleaned!$O:$O,A800,pg_transaction_cleaned!$F:$F,"REFUND")</f>
        <v>0</v>
      </c>
      <c r="M800" s="39">
        <f>SUMIFS(pg_transaction_cleaned!$H:$H,pg_transaction_cleaned!$O:$O,A800,pg_transaction_cleaned!$F:$F,"REFUND")</f>
        <v>0</v>
      </c>
      <c r="N800" s="23" t="str">
        <f t="shared" si="50"/>
        <v>OK</v>
      </c>
      <c r="O800" s="24">
        <f t="shared" si="51"/>
        <v>0</v>
      </c>
    </row>
    <row r="801" spans="1:15" ht="15" customHeight="1" x14ac:dyDescent="0.3">
      <c r="A801" s="23" t="s">
        <v>2048</v>
      </c>
      <c r="B801" s="38">
        <v>46289</v>
      </c>
      <c r="C801" s="23" t="s">
        <v>2049</v>
      </c>
      <c r="D801" s="23" t="s">
        <v>93</v>
      </c>
      <c r="E801" s="23" t="s">
        <v>75</v>
      </c>
      <c r="F801" s="23" t="s">
        <v>297</v>
      </c>
      <c r="G801" s="23" t="s">
        <v>250</v>
      </c>
      <c r="H801" s="39">
        <f t="shared" si="48"/>
        <v>4999</v>
      </c>
      <c r="I801" s="23" t="str">
        <f t="shared" si="49"/>
        <v>Kolkata</v>
      </c>
      <c r="J801" s="23">
        <f>COUNTIFS(pg_transaction_cleaned!$O:$O,A801,pg_transaction_cleaned!$F:$F,"CAPTURE")</f>
        <v>1</v>
      </c>
      <c r="K801" s="39">
        <f>SUMIFS(pg_transaction_cleaned!$H:$H,pg_transaction_cleaned!$O:$O,A801,pg_transaction_cleaned!$F:$F,"CAPTURE")</f>
        <v>4999</v>
      </c>
      <c r="L801" s="23">
        <f>COUNTIFS(pg_transaction_cleaned!$O:$O,A801,pg_transaction_cleaned!$F:$F,"REFUND")</f>
        <v>0</v>
      </c>
      <c r="M801" s="39">
        <f>SUMIFS(pg_transaction_cleaned!$H:$H,pg_transaction_cleaned!$O:$O,A801,pg_transaction_cleaned!$F:$F,"REFUND")</f>
        <v>0</v>
      </c>
      <c r="N801" s="23" t="str">
        <f t="shared" si="50"/>
        <v>OK</v>
      </c>
      <c r="O801" s="24">
        <f t="shared" si="51"/>
        <v>0</v>
      </c>
    </row>
    <row r="802" spans="1:15" ht="15" customHeight="1" x14ac:dyDescent="0.3">
      <c r="A802" s="23" t="s">
        <v>2050</v>
      </c>
      <c r="B802" s="38">
        <v>46294</v>
      </c>
      <c r="C802" s="23" t="s">
        <v>2051</v>
      </c>
      <c r="D802" s="23" t="s">
        <v>94</v>
      </c>
      <c r="E802" s="23" t="s">
        <v>75</v>
      </c>
      <c r="F802" s="23" t="s">
        <v>262</v>
      </c>
      <c r="G802" s="23" t="s">
        <v>250</v>
      </c>
      <c r="H802" s="39">
        <f t="shared" si="48"/>
        <v>499</v>
      </c>
      <c r="I802" s="23" t="str">
        <f t="shared" si="49"/>
        <v>Chennai</v>
      </c>
      <c r="J802" s="23">
        <f>COUNTIFS(pg_transaction_cleaned!$O:$O,A802,pg_transaction_cleaned!$F:$F,"CAPTURE")</f>
        <v>1</v>
      </c>
      <c r="K802" s="39">
        <f>SUMIFS(pg_transaction_cleaned!$H:$H,pg_transaction_cleaned!$O:$O,A802,pg_transaction_cleaned!$F:$F,"CAPTURE")</f>
        <v>499</v>
      </c>
      <c r="L802" s="23">
        <f>COUNTIFS(pg_transaction_cleaned!$O:$O,A802,pg_transaction_cleaned!$F:$F,"REFUND")</f>
        <v>0</v>
      </c>
      <c r="M802" s="39">
        <f>SUMIFS(pg_transaction_cleaned!$H:$H,pg_transaction_cleaned!$O:$O,A802,pg_transaction_cleaned!$F:$F,"REFUND")</f>
        <v>0</v>
      </c>
      <c r="N802" s="23" t="str">
        <f t="shared" si="50"/>
        <v>OK</v>
      </c>
      <c r="O802" s="24">
        <f t="shared" si="51"/>
        <v>0</v>
      </c>
    </row>
    <row r="803" spans="1:15" ht="15" customHeight="1" x14ac:dyDescent="0.3">
      <c r="A803" s="23" t="s">
        <v>2052</v>
      </c>
      <c r="B803" s="38">
        <v>46287</v>
      </c>
      <c r="C803" s="23" t="s">
        <v>654</v>
      </c>
      <c r="D803" s="23" t="s">
        <v>94</v>
      </c>
      <c r="E803" s="23" t="s">
        <v>75</v>
      </c>
      <c r="F803" s="23" t="s">
        <v>294</v>
      </c>
      <c r="G803" s="23" t="s">
        <v>301</v>
      </c>
      <c r="H803" s="39">
        <f t="shared" si="48"/>
        <v>1799</v>
      </c>
      <c r="I803" s="23" t="str">
        <f t="shared" si="49"/>
        <v>Chennai</v>
      </c>
      <c r="J803" s="23">
        <f>COUNTIFS(pg_transaction_cleaned!$O:$O,A803,pg_transaction_cleaned!$F:$F,"CAPTURE")</f>
        <v>1</v>
      </c>
      <c r="K803" s="39">
        <f>SUMIFS(pg_transaction_cleaned!$H:$H,pg_transaction_cleaned!$O:$O,A803,pg_transaction_cleaned!$F:$F,"CAPTURE")</f>
        <v>1799</v>
      </c>
      <c r="L803" s="23">
        <f>COUNTIFS(pg_transaction_cleaned!$O:$O,A803,pg_transaction_cleaned!$F:$F,"REFUND")</f>
        <v>1</v>
      </c>
      <c r="M803" s="39">
        <f>SUMIFS(pg_transaction_cleaned!$H:$H,pg_transaction_cleaned!$O:$O,A803,pg_transaction_cleaned!$F:$F,"REFUND")</f>
        <v>1799</v>
      </c>
      <c r="N803" s="23" t="str">
        <f t="shared" si="50"/>
        <v>OK</v>
      </c>
      <c r="O803" s="24">
        <f t="shared" si="51"/>
        <v>0</v>
      </c>
    </row>
    <row r="804" spans="1:15" ht="15" customHeight="1" x14ac:dyDescent="0.3">
      <c r="A804" s="23" t="s">
        <v>2053</v>
      </c>
      <c r="B804" s="38">
        <v>46283</v>
      </c>
      <c r="C804" s="23" t="s">
        <v>2054</v>
      </c>
      <c r="D804" s="23" t="s">
        <v>94</v>
      </c>
      <c r="E804" s="23" t="s">
        <v>79</v>
      </c>
      <c r="F804" s="23" t="s">
        <v>310</v>
      </c>
      <c r="G804" s="23" t="s">
        <v>250</v>
      </c>
      <c r="H804" s="39">
        <f t="shared" si="48"/>
        <v>7999</v>
      </c>
      <c r="I804" s="23" t="str">
        <f t="shared" si="49"/>
        <v>Chennai</v>
      </c>
      <c r="J804" s="23">
        <f>COUNTIFS(pg_transaction_cleaned!$O:$O,A804,pg_transaction_cleaned!$F:$F,"CAPTURE")</f>
        <v>1</v>
      </c>
      <c r="K804" s="39">
        <f>SUMIFS(pg_transaction_cleaned!$H:$H,pg_transaction_cleaned!$O:$O,A804,pg_transaction_cleaned!$F:$F,"CAPTURE")</f>
        <v>7999</v>
      </c>
      <c r="L804" s="23">
        <f>COUNTIFS(pg_transaction_cleaned!$O:$O,A804,pg_transaction_cleaned!$F:$F,"REFUND")</f>
        <v>0</v>
      </c>
      <c r="M804" s="39">
        <f>SUMIFS(pg_transaction_cleaned!$H:$H,pg_transaction_cleaned!$O:$O,A804,pg_transaction_cleaned!$F:$F,"REFUND")</f>
        <v>0</v>
      </c>
      <c r="N804" s="23" t="str">
        <f t="shared" si="50"/>
        <v>OK</v>
      </c>
      <c r="O804" s="24">
        <f t="shared" si="51"/>
        <v>0</v>
      </c>
    </row>
    <row r="805" spans="1:15" ht="15" customHeight="1" x14ac:dyDescent="0.3">
      <c r="A805" s="23" t="s">
        <v>2055</v>
      </c>
      <c r="B805" s="38">
        <v>46285</v>
      </c>
      <c r="C805" s="23" t="s">
        <v>2056</v>
      </c>
      <c r="D805" s="23" t="s">
        <v>92</v>
      </c>
      <c r="E805" s="23" t="s">
        <v>75</v>
      </c>
      <c r="F805" s="23" t="s">
        <v>271</v>
      </c>
      <c r="G805" s="23" t="s">
        <v>250</v>
      </c>
      <c r="H805" s="39">
        <f t="shared" si="48"/>
        <v>2499</v>
      </c>
      <c r="I805" s="23" t="str">
        <f t="shared" si="49"/>
        <v>Hyderabad</v>
      </c>
      <c r="J805" s="23">
        <f>COUNTIFS(pg_transaction_cleaned!$O:$O,A805,pg_transaction_cleaned!$F:$F,"CAPTURE")</f>
        <v>1</v>
      </c>
      <c r="K805" s="39">
        <f>SUMIFS(pg_transaction_cleaned!$H:$H,pg_transaction_cleaned!$O:$O,A805,pg_transaction_cleaned!$F:$F,"CAPTURE")</f>
        <v>2499</v>
      </c>
      <c r="L805" s="23">
        <f>COUNTIFS(pg_transaction_cleaned!$O:$O,A805,pg_transaction_cleaned!$F:$F,"REFUND")</f>
        <v>0</v>
      </c>
      <c r="M805" s="39">
        <f>SUMIFS(pg_transaction_cleaned!$H:$H,pg_transaction_cleaned!$O:$O,A805,pg_transaction_cleaned!$F:$F,"REFUND")</f>
        <v>0</v>
      </c>
      <c r="N805" s="23" t="str">
        <f t="shared" si="50"/>
        <v>OK</v>
      </c>
      <c r="O805" s="24">
        <f t="shared" si="51"/>
        <v>0</v>
      </c>
    </row>
    <row r="806" spans="1:15" ht="15" customHeight="1" x14ac:dyDescent="0.3">
      <c r="A806" s="23" t="s">
        <v>2057</v>
      </c>
      <c r="B806" s="38">
        <v>46277</v>
      </c>
      <c r="C806" s="23" t="s">
        <v>2058</v>
      </c>
      <c r="D806" s="23" t="s">
        <v>88</v>
      </c>
      <c r="E806" s="23" t="s">
        <v>75</v>
      </c>
      <c r="F806" s="23" t="s">
        <v>553</v>
      </c>
      <c r="G806" s="23" t="s">
        <v>250</v>
      </c>
      <c r="H806" s="39">
        <f t="shared" si="48"/>
        <v>2798</v>
      </c>
      <c r="I806" s="23" t="str">
        <f t="shared" si="49"/>
        <v>Lucknow</v>
      </c>
      <c r="J806" s="23">
        <f>COUNTIFS(pg_transaction_cleaned!$O:$O,A806,pg_transaction_cleaned!$F:$F,"CAPTURE")</f>
        <v>1</v>
      </c>
      <c r="K806" s="39">
        <f>SUMIFS(pg_transaction_cleaned!$H:$H,pg_transaction_cleaned!$O:$O,A806,pg_transaction_cleaned!$F:$F,"CAPTURE")</f>
        <v>2798</v>
      </c>
      <c r="L806" s="23">
        <f>COUNTIFS(pg_transaction_cleaned!$O:$O,A806,pg_transaction_cleaned!$F:$F,"REFUND")</f>
        <v>0</v>
      </c>
      <c r="M806" s="39">
        <f>SUMIFS(pg_transaction_cleaned!$H:$H,pg_transaction_cleaned!$O:$O,A806,pg_transaction_cleaned!$F:$F,"REFUND")</f>
        <v>0</v>
      </c>
      <c r="N806" s="23" t="str">
        <f t="shared" si="50"/>
        <v>OK</v>
      </c>
      <c r="O806" s="24">
        <f t="shared" si="51"/>
        <v>0</v>
      </c>
    </row>
    <row r="807" spans="1:15" ht="15" customHeight="1" x14ac:dyDescent="0.3">
      <c r="A807" s="23" t="s">
        <v>2059</v>
      </c>
      <c r="B807" s="38">
        <v>46266</v>
      </c>
      <c r="C807" s="23" t="s">
        <v>2060</v>
      </c>
      <c r="D807" s="23" t="s">
        <v>94</v>
      </c>
      <c r="E807" s="23" t="s">
        <v>77</v>
      </c>
      <c r="F807" s="23" t="s">
        <v>582</v>
      </c>
      <c r="G807" s="23" t="s">
        <v>250</v>
      </c>
      <c r="H807" s="39">
        <f t="shared" si="48"/>
        <v>1298</v>
      </c>
      <c r="I807" s="23" t="str">
        <f t="shared" si="49"/>
        <v>Chennai</v>
      </c>
      <c r="J807" s="23">
        <f>COUNTIFS(pg_transaction_cleaned!$O:$O,A807,pg_transaction_cleaned!$F:$F,"CAPTURE")</f>
        <v>1</v>
      </c>
      <c r="K807" s="39">
        <f>SUMIFS(pg_transaction_cleaned!$H:$H,pg_transaction_cleaned!$O:$O,A807,pg_transaction_cleaned!$F:$F,"CAPTURE")</f>
        <v>1298</v>
      </c>
      <c r="L807" s="23">
        <f>COUNTIFS(pg_transaction_cleaned!$O:$O,A807,pg_transaction_cleaned!$F:$F,"REFUND")</f>
        <v>0</v>
      </c>
      <c r="M807" s="39">
        <f>SUMIFS(pg_transaction_cleaned!$H:$H,pg_transaction_cleaned!$O:$O,A807,pg_transaction_cleaned!$F:$F,"REFUND")</f>
        <v>0</v>
      </c>
      <c r="N807" s="23" t="str">
        <f t="shared" si="50"/>
        <v>OK</v>
      </c>
      <c r="O807" s="24">
        <f t="shared" si="51"/>
        <v>0</v>
      </c>
    </row>
    <row r="808" spans="1:15" ht="15" customHeight="1" x14ac:dyDescent="0.3">
      <c r="A808" s="23" t="s">
        <v>2061</v>
      </c>
      <c r="B808" s="38">
        <v>46266</v>
      </c>
      <c r="C808" s="23" t="s">
        <v>2062</v>
      </c>
      <c r="D808" s="23" t="s">
        <v>86</v>
      </c>
      <c r="E808" s="23" t="s">
        <v>79</v>
      </c>
      <c r="F808" s="23" t="s">
        <v>385</v>
      </c>
      <c r="G808" s="23" t="s">
        <v>250</v>
      </c>
      <c r="H808" s="39">
        <f t="shared" si="48"/>
        <v>10597</v>
      </c>
      <c r="I808" s="23" t="str">
        <f t="shared" si="49"/>
        <v>Delhi</v>
      </c>
      <c r="J808" s="23">
        <f>COUNTIFS(pg_transaction_cleaned!$O:$O,A808,pg_transaction_cleaned!$F:$F,"CAPTURE")</f>
        <v>1</v>
      </c>
      <c r="K808" s="39">
        <f>SUMIFS(pg_transaction_cleaned!$H:$H,pg_transaction_cleaned!$O:$O,A808,pg_transaction_cleaned!$F:$F,"CAPTURE")</f>
        <v>10597</v>
      </c>
      <c r="L808" s="23">
        <f>COUNTIFS(pg_transaction_cleaned!$O:$O,A808,pg_transaction_cleaned!$F:$F,"REFUND")</f>
        <v>0</v>
      </c>
      <c r="M808" s="39">
        <f>SUMIFS(pg_transaction_cleaned!$H:$H,pg_transaction_cleaned!$O:$O,A808,pg_transaction_cleaned!$F:$F,"REFUND")</f>
        <v>0</v>
      </c>
      <c r="N808" s="23" t="str">
        <f t="shared" si="50"/>
        <v>OK</v>
      </c>
      <c r="O808" s="24">
        <f t="shared" si="51"/>
        <v>0</v>
      </c>
    </row>
    <row r="809" spans="1:15" ht="15" customHeight="1" x14ac:dyDescent="0.3">
      <c r="A809" s="23" t="s">
        <v>2063</v>
      </c>
      <c r="B809" s="38">
        <v>46269</v>
      </c>
      <c r="C809" s="23" t="s">
        <v>2064</v>
      </c>
      <c r="D809" s="23" t="s">
        <v>88</v>
      </c>
      <c r="E809" s="23" t="s">
        <v>75</v>
      </c>
      <c r="F809" s="23" t="s">
        <v>315</v>
      </c>
      <c r="G809" s="23" t="s">
        <v>250</v>
      </c>
      <c r="H809" s="39">
        <f t="shared" si="48"/>
        <v>1499</v>
      </c>
      <c r="I809" s="23" t="str">
        <f t="shared" si="49"/>
        <v>Lucknow</v>
      </c>
      <c r="J809" s="23">
        <f>COUNTIFS(pg_transaction_cleaned!$O:$O,A809,pg_transaction_cleaned!$F:$F,"CAPTURE")</f>
        <v>1</v>
      </c>
      <c r="K809" s="39">
        <f>SUMIFS(pg_transaction_cleaned!$H:$H,pg_transaction_cleaned!$O:$O,A809,pg_transaction_cleaned!$F:$F,"CAPTURE")</f>
        <v>1499</v>
      </c>
      <c r="L809" s="23">
        <f>COUNTIFS(pg_transaction_cleaned!$O:$O,A809,pg_transaction_cleaned!$F:$F,"REFUND")</f>
        <v>0</v>
      </c>
      <c r="M809" s="39">
        <f>SUMIFS(pg_transaction_cleaned!$H:$H,pg_transaction_cleaned!$O:$O,A809,pg_transaction_cleaned!$F:$F,"REFUND")</f>
        <v>0</v>
      </c>
      <c r="N809" s="23" t="str">
        <f t="shared" si="50"/>
        <v>OK</v>
      </c>
      <c r="O809" s="24">
        <f t="shared" si="51"/>
        <v>0</v>
      </c>
    </row>
    <row r="810" spans="1:15" ht="15" customHeight="1" x14ac:dyDescent="0.3">
      <c r="A810" s="23" t="s">
        <v>2065</v>
      </c>
      <c r="B810" s="38">
        <v>46273</v>
      </c>
      <c r="C810" s="23" t="s">
        <v>2066</v>
      </c>
      <c r="D810" s="23" t="s">
        <v>88</v>
      </c>
      <c r="E810" s="23" t="s">
        <v>75</v>
      </c>
      <c r="F810" s="23" t="s">
        <v>475</v>
      </c>
      <c r="G810" s="23" t="s">
        <v>250</v>
      </c>
      <c r="H810" s="39">
        <f t="shared" si="48"/>
        <v>799</v>
      </c>
      <c r="I810" s="23" t="str">
        <f t="shared" si="49"/>
        <v>Lucknow</v>
      </c>
      <c r="J810" s="23">
        <f>COUNTIFS(pg_transaction_cleaned!$O:$O,A810,pg_transaction_cleaned!$F:$F,"CAPTURE")</f>
        <v>1</v>
      </c>
      <c r="K810" s="39">
        <f>SUMIFS(pg_transaction_cleaned!$H:$H,pg_transaction_cleaned!$O:$O,A810,pg_transaction_cleaned!$F:$F,"CAPTURE")</f>
        <v>799</v>
      </c>
      <c r="L810" s="23">
        <f>COUNTIFS(pg_transaction_cleaned!$O:$O,A810,pg_transaction_cleaned!$F:$F,"REFUND")</f>
        <v>0</v>
      </c>
      <c r="M810" s="39">
        <f>SUMIFS(pg_transaction_cleaned!$H:$H,pg_transaction_cleaned!$O:$O,A810,pg_transaction_cleaned!$F:$F,"REFUND")</f>
        <v>0</v>
      </c>
      <c r="N810" s="23" t="str">
        <f t="shared" si="50"/>
        <v>OK</v>
      </c>
      <c r="O810" s="24">
        <f t="shared" si="51"/>
        <v>0</v>
      </c>
    </row>
    <row r="811" spans="1:15" ht="15" customHeight="1" x14ac:dyDescent="0.3">
      <c r="A811" s="23" t="s">
        <v>2067</v>
      </c>
      <c r="B811" s="38">
        <v>46295</v>
      </c>
      <c r="C811" s="23" t="s">
        <v>2068</v>
      </c>
      <c r="D811" s="23" t="s">
        <v>86</v>
      </c>
      <c r="E811" s="23" t="s">
        <v>75</v>
      </c>
      <c r="F811" s="23" t="s">
        <v>291</v>
      </c>
      <c r="G811" s="23" t="s">
        <v>250</v>
      </c>
      <c r="H811" s="39">
        <f t="shared" si="48"/>
        <v>3499</v>
      </c>
      <c r="I811" s="23" t="str">
        <f t="shared" si="49"/>
        <v>Delhi</v>
      </c>
      <c r="J811" s="23">
        <f>COUNTIFS(pg_transaction_cleaned!$O:$O,A811,pg_transaction_cleaned!$F:$F,"CAPTURE")</f>
        <v>1</v>
      </c>
      <c r="K811" s="39">
        <f>SUMIFS(pg_transaction_cleaned!$H:$H,pg_transaction_cleaned!$O:$O,A811,pg_transaction_cleaned!$F:$F,"CAPTURE")</f>
        <v>3499</v>
      </c>
      <c r="L811" s="23">
        <f>COUNTIFS(pg_transaction_cleaned!$O:$O,A811,pg_transaction_cleaned!$F:$F,"REFUND")</f>
        <v>0</v>
      </c>
      <c r="M811" s="39">
        <f>SUMIFS(pg_transaction_cleaned!$H:$H,pg_transaction_cleaned!$O:$O,A811,pg_transaction_cleaned!$F:$F,"REFUND")</f>
        <v>0</v>
      </c>
      <c r="N811" s="23" t="str">
        <f t="shared" si="50"/>
        <v>OK</v>
      </c>
      <c r="O811" s="24">
        <f t="shared" si="51"/>
        <v>0</v>
      </c>
    </row>
    <row r="812" spans="1:15" ht="15" customHeight="1" x14ac:dyDescent="0.3">
      <c r="A812" s="23" t="s">
        <v>2069</v>
      </c>
      <c r="B812" s="38">
        <v>46281</v>
      </c>
      <c r="C812" s="23" t="s">
        <v>2070</v>
      </c>
      <c r="D812" s="23" t="s">
        <v>87</v>
      </c>
      <c r="E812" s="23" t="s">
        <v>79</v>
      </c>
      <c r="F812" s="23" t="s">
        <v>283</v>
      </c>
      <c r="G812" s="23" t="s">
        <v>365</v>
      </c>
      <c r="H812" s="39">
        <f t="shared" si="48"/>
        <v>13997</v>
      </c>
      <c r="I812" s="23" t="str">
        <f t="shared" si="49"/>
        <v>Mumbai</v>
      </c>
      <c r="J812" s="23">
        <f>COUNTIFS(pg_transaction_cleaned!$O:$O,A812,pg_transaction_cleaned!$F:$F,"CAPTURE")</f>
        <v>0</v>
      </c>
      <c r="K812" s="39">
        <f>SUMIFS(pg_transaction_cleaned!$H:$H,pg_transaction_cleaned!$O:$O,A812,pg_transaction_cleaned!$F:$F,"CAPTURE")</f>
        <v>0</v>
      </c>
      <c r="L812" s="23">
        <f>COUNTIFS(pg_transaction_cleaned!$O:$O,A812,pg_transaction_cleaned!$F:$F,"REFUND")</f>
        <v>0</v>
      </c>
      <c r="M812" s="39">
        <f>SUMIFS(pg_transaction_cleaned!$H:$H,pg_transaction_cleaned!$O:$O,A812,pg_transaction_cleaned!$F:$F,"REFUND")</f>
        <v>0</v>
      </c>
      <c r="N812" s="23" t="str">
        <f t="shared" si="50"/>
        <v>OK</v>
      </c>
      <c r="O812" s="24">
        <f t="shared" si="51"/>
        <v>0</v>
      </c>
    </row>
    <row r="813" spans="1:15" ht="15" customHeight="1" x14ac:dyDescent="0.3">
      <c r="A813" s="23" t="s">
        <v>2071</v>
      </c>
      <c r="B813" s="38">
        <v>46289</v>
      </c>
      <c r="C813" s="23" t="s">
        <v>2072</v>
      </c>
      <c r="D813" s="23" t="s">
        <v>94</v>
      </c>
      <c r="E813" s="23" t="s">
        <v>77</v>
      </c>
      <c r="F813" s="23" t="s">
        <v>423</v>
      </c>
      <c r="G813" s="23" t="s">
        <v>250</v>
      </c>
      <c r="H813" s="39">
        <f t="shared" si="48"/>
        <v>1648</v>
      </c>
      <c r="I813" s="23" t="str">
        <f t="shared" si="49"/>
        <v>Chennai</v>
      </c>
      <c r="J813" s="23">
        <f>COUNTIFS(pg_transaction_cleaned!$O:$O,A813,pg_transaction_cleaned!$F:$F,"CAPTURE")</f>
        <v>1</v>
      </c>
      <c r="K813" s="39">
        <f>SUMIFS(pg_transaction_cleaned!$H:$H,pg_transaction_cleaned!$O:$O,A813,pg_transaction_cleaned!$F:$F,"CAPTURE")</f>
        <v>1648</v>
      </c>
      <c r="L813" s="23">
        <f>COUNTIFS(pg_transaction_cleaned!$O:$O,A813,pg_transaction_cleaned!$F:$F,"REFUND")</f>
        <v>0</v>
      </c>
      <c r="M813" s="39">
        <f>SUMIFS(pg_transaction_cleaned!$H:$H,pg_transaction_cleaned!$O:$O,A813,pg_transaction_cleaned!$F:$F,"REFUND")</f>
        <v>0</v>
      </c>
      <c r="N813" s="23" t="str">
        <f t="shared" si="50"/>
        <v>OK</v>
      </c>
      <c r="O813" s="24">
        <f t="shared" si="51"/>
        <v>0</v>
      </c>
    </row>
    <row r="814" spans="1:15" ht="15" customHeight="1" x14ac:dyDescent="0.3">
      <c r="A814" s="23" t="s">
        <v>2073</v>
      </c>
      <c r="B814" s="38">
        <v>46294</v>
      </c>
      <c r="C814" s="23" t="s">
        <v>2074</v>
      </c>
      <c r="D814" s="23" t="s">
        <v>88</v>
      </c>
      <c r="E814" s="23" t="s">
        <v>79</v>
      </c>
      <c r="F814" s="23" t="s">
        <v>405</v>
      </c>
      <c r="G814" s="23" t="s">
        <v>250</v>
      </c>
      <c r="H814" s="39">
        <f t="shared" si="48"/>
        <v>9298</v>
      </c>
      <c r="I814" s="23" t="str">
        <f t="shared" si="49"/>
        <v>Lucknow</v>
      </c>
      <c r="J814" s="23">
        <f>COUNTIFS(pg_transaction_cleaned!$O:$O,A814,pg_transaction_cleaned!$F:$F,"CAPTURE")</f>
        <v>1</v>
      </c>
      <c r="K814" s="39">
        <f>SUMIFS(pg_transaction_cleaned!$H:$H,pg_transaction_cleaned!$O:$O,A814,pg_transaction_cleaned!$F:$F,"CAPTURE")</f>
        <v>9298</v>
      </c>
      <c r="L814" s="23">
        <f>COUNTIFS(pg_transaction_cleaned!$O:$O,A814,pg_transaction_cleaned!$F:$F,"REFUND")</f>
        <v>0</v>
      </c>
      <c r="M814" s="39">
        <f>SUMIFS(pg_transaction_cleaned!$H:$H,pg_transaction_cleaned!$O:$O,A814,pg_transaction_cleaned!$F:$F,"REFUND")</f>
        <v>0</v>
      </c>
      <c r="N814" s="23" t="str">
        <f t="shared" si="50"/>
        <v>OK</v>
      </c>
      <c r="O814" s="24">
        <f t="shared" si="51"/>
        <v>0</v>
      </c>
    </row>
    <row r="815" spans="1:15" ht="15" customHeight="1" x14ac:dyDescent="0.3">
      <c r="A815" s="23" t="s">
        <v>2075</v>
      </c>
      <c r="B815" s="38">
        <v>46295</v>
      </c>
      <c r="C815" s="23" t="s">
        <v>2076</v>
      </c>
      <c r="D815" s="23" t="s">
        <v>89</v>
      </c>
      <c r="E815" s="23" t="s">
        <v>75</v>
      </c>
      <c r="F815" s="23" t="s">
        <v>396</v>
      </c>
      <c r="G815" s="23" t="s">
        <v>250</v>
      </c>
      <c r="H815" s="39">
        <f t="shared" si="48"/>
        <v>2999</v>
      </c>
      <c r="I815" s="23" t="str">
        <f t="shared" si="49"/>
        <v>Jaipur</v>
      </c>
      <c r="J815" s="23">
        <f>COUNTIFS(pg_transaction_cleaned!$O:$O,A815,pg_transaction_cleaned!$F:$F,"CAPTURE")</f>
        <v>1</v>
      </c>
      <c r="K815" s="39">
        <f>SUMIFS(pg_transaction_cleaned!$H:$H,pg_transaction_cleaned!$O:$O,A815,pg_transaction_cleaned!$F:$F,"CAPTURE")</f>
        <v>2999</v>
      </c>
      <c r="L815" s="23">
        <f>COUNTIFS(pg_transaction_cleaned!$O:$O,A815,pg_transaction_cleaned!$F:$F,"REFUND")</f>
        <v>0</v>
      </c>
      <c r="M815" s="39">
        <f>SUMIFS(pg_transaction_cleaned!$H:$H,pg_transaction_cleaned!$O:$O,A815,pg_transaction_cleaned!$F:$F,"REFUND")</f>
        <v>0</v>
      </c>
      <c r="N815" s="23" t="str">
        <f t="shared" si="50"/>
        <v>OK</v>
      </c>
      <c r="O815" s="24">
        <f t="shared" si="51"/>
        <v>0</v>
      </c>
    </row>
    <row r="816" spans="1:15" ht="15" customHeight="1" x14ac:dyDescent="0.3">
      <c r="A816" s="23" t="s">
        <v>2077</v>
      </c>
      <c r="B816" s="38">
        <v>46267</v>
      </c>
      <c r="C816" s="23" t="s">
        <v>2078</v>
      </c>
      <c r="D816" s="23" t="s">
        <v>86</v>
      </c>
      <c r="E816" s="23" t="s">
        <v>75</v>
      </c>
      <c r="F816" s="23" t="s">
        <v>294</v>
      </c>
      <c r="G816" s="23" t="s">
        <v>250</v>
      </c>
      <c r="H816" s="39">
        <f t="shared" si="48"/>
        <v>1799</v>
      </c>
      <c r="I816" s="23" t="str">
        <f t="shared" si="49"/>
        <v>Delhi</v>
      </c>
      <c r="J816" s="23">
        <f>COUNTIFS(pg_transaction_cleaned!$O:$O,A816,pg_transaction_cleaned!$F:$F,"CAPTURE")</f>
        <v>1</v>
      </c>
      <c r="K816" s="39">
        <f>SUMIFS(pg_transaction_cleaned!$H:$H,pg_transaction_cleaned!$O:$O,A816,pg_transaction_cleaned!$F:$F,"CAPTURE")</f>
        <v>1799</v>
      </c>
      <c r="L816" s="23">
        <f>COUNTIFS(pg_transaction_cleaned!$O:$O,A816,pg_transaction_cleaned!$F:$F,"REFUND")</f>
        <v>0</v>
      </c>
      <c r="M816" s="39">
        <f>SUMIFS(pg_transaction_cleaned!$H:$H,pg_transaction_cleaned!$O:$O,A816,pg_transaction_cleaned!$F:$F,"REFUND")</f>
        <v>0</v>
      </c>
      <c r="N816" s="23" t="str">
        <f t="shared" si="50"/>
        <v>OK</v>
      </c>
      <c r="O816" s="24">
        <f t="shared" si="51"/>
        <v>0</v>
      </c>
    </row>
    <row r="817" spans="1:15" ht="15" customHeight="1" x14ac:dyDescent="0.3">
      <c r="A817" s="23" t="s">
        <v>2079</v>
      </c>
      <c r="B817" s="38">
        <v>46267</v>
      </c>
      <c r="C817" s="23" t="s">
        <v>2080</v>
      </c>
      <c r="D817" s="23" t="s">
        <v>95</v>
      </c>
      <c r="E817" s="23" t="s">
        <v>79</v>
      </c>
      <c r="F817" s="23" t="s">
        <v>2081</v>
      </c>
      <c r="G817" s="23" t="s">
        <v>250</v>
      </c>
      <c r="H817" s="39">
        <f t="shared" si="48"/>
        <v>6297</v>
      </c>
      <c r="I817" s="23" t="str">
        <f t="shared" si="49"/>
        <v>Bengaluru</v>
      </c>
      <c r="J817" s="23">
        <f>COUNTIFS(pg_transaction_cleaned!$O:$O,A817,pg_transaction_cleaned!$F:$F,"CAPTURE")</f>
        <v>1</v>
      </c>
      <c r="K817" s="39">
        <f>SUMIFS(pg_transaction_cleaned!$H:$H,pg_transaction_cleaned!$O:$O,A817,pg_transaction_cleaned!$F:$F,"CAPTURE")</f>
        <v>6297</v>
      </c>
      <c r="L817" s="23">
        <f>COUNTIFS(pg_transaction_cleaned!$O:$O,A817,pg_transaction_cleaned!$F:$F,"REFUND")</f>
        <v>0</v>
      </c>
      <c r="M817" s="39">
        <f>SUMIFS(pg_transaction_cleaned!$H:$H,pg_transaction_cleaned!$O:$O,A817,pg_transaction_cleaned!$F:$F,"REFUND")</f>
        <v>0</v>
      </c>
      <c r="N817" s="23" t="str">
        <f t="shared" si="50"/>
        <v>OK</v>
      </c>
      <c r="O817" s="24">
        <f t="shared" si="51"/>
        <v>0</v>
      </c>
    </row>
    <row r="818" spans="1:15" ht="15" customHeight="1" x14ac:dyDescent="0.3">
      <c r="A818" s="23" t="s">
        <v>2082</v>
      </c>
      <c r="B818" s="38">
        <v>46279</v>
      </c>
      <c r="C818" s="23" t="s">
        <v>2083</v>
      </c>
      <c r="D818" s="23" t="s">
        <v>90</v>
      </c>
      <c r="E818" s="23" t="s">
        <v>75</v>
      </c>
      <c r="F818" s="23" t="s">
        <v>297</v>
      </c>
      <c r="G818" s="23" t="s">
        <v>250</v>
      </c>
      <c r="H818" s="39">
        <f t="shared" si="48"/>
        <v>4999</v>
      </c>
      <c r="I818" s="23" t="str">
        <f t="shared" si="49"/>
        <v>Ahmedabad</v>
      </c>
      <c r="J818" s="23">
        <f>COUNTIFS(pg_transaction_cleaned!$O:$O,A818,pg_transaction_cleaned!$F:$F,"CAPTURE")</f>
        <v>1</v>
      </c>
      <c r="K818" s="39">
        <f>SUMIFS(pg_transaction_cleaned!$H:$H,pg_transaction_cleaned!$O:$O,A818,pg_transaction_cleaned!$F:$F,"CAPTURE")</f>
        <v>4999</v>
      </c>
      <c r="L818" s="23">
        <f>COUNTIFS(pg_transaction_cleaned!$O:$O,A818,pg_transaction_cleaned!$F:$F,"REFUND")</f>
        <v>0</v>
      </c>
      <c r="M818" s="39">
        <f>SUMIFS(pg_transaction_cleaned!$H:$H,pg_transaction_cleaned!$O:$O,A818,pg_transaction_cleaned!$F:$F,"REFUND")</f>
        <v>0</v>
      </c>
      <c r="N818" s="23" t="str">
        <f t="shared" si="50"/>
        <v>OK</v>
      </c>
      <c r="O818" s="24">
        <f t="shared" si="51"/>
        <v>0</v>
      </c>
    </row>
    <row r="819" spans="1:15" ht="15" customHeight="1" x14ac:dyDescent="0.3">
      <c r="A819" s="23" t="s">
        <v>2084</v>
      </c>
      <c r="B819" s="38">
        <v>46284</v>
      </c>
      <c r="C819" s="23" t="s">
        <v>2085</v>
      </c>
      <c r="D819" s="23" t="s">
        <v>86</v>
      </c>
      <c r="E819" s="23" t="s">
        <v>75</v>
      </c>
      <c r="F819" s="23" t="s">
        <v>2086</v>
      </c>
      <c r="G819" s="23" t="s">
        <v>250</v>
      </c>
      <c r="H819" s="39">
        <f t="shared" si="48"/>
        <v>3397</v>
      </c>
      <c r="I819" s="23" t="str">
        <f t="shared" si="49"/>
        <v>Delhi</v>
      </c>
      <c r="J819" s="23">
        <f>COUNTIFS(pg_transaction_cleaned!$O:$O,A819,pg_transaction_cleaned!$F:$F,"CAPTURE")</f>
        <v>1</v>
      </c>
      <c r="K819" s="39">
        <f>SUMIFS(pg_transaction_cleaned!$H:$H,pg_transaction_cleaned!$O:$O,A819,pg_transaction_cleaned!$F:$F,"CAPTURE")</f>
        <v>3397</v>
      </c>
      <c r="L819" s="23">
        <f>COUNTIFS(pg_transaction_cleaned!$O:$O,A819,pg_transaction_cleaned!$F:$F,"REFUND")</f>
        <v>0</v>
      </c>
      <c r="M819" s="39">
        <f>SUMIFS(pg_transaction_cleaned!$H:$H,pg_transaction_cleaned!$O:$O,A819,pg_transaction_cleaned!$F:$F,"REFUND")</f>
        <v>0</v>
      </c>
      <c r="N819" s="23" t="str">
        <f t="shared" si="50"/>
        <v>OK</v>
      </c>
      <c r="O819" s="24">
        <f t="shared" si="51"/>
        <v>0</v>
      </c>
    </row>
    <row r="820" spans="1:15" ht="15" customHeight="1" x14ac:dyDescent="0.3">
      <c r="A820" s="23" t="s">
        <v>2087</v>
      </c>
      <c r="B820" s="38">
        <v>46290</v>
      </c>
      <c r="C820" s="23" t="s">
        <v>2088</v>
      </c>
      <c r="D820" s="23" t="s">
        <v>88</v>
      </c>
      <c r="E820" s="23" t="s">
        <v>75</v>
      </c>
      <c r="F820" s="23" t="s">
        <v>315</v>
      </c>
      <c r="G820" s="23" t="s">
        <v>250</v>
      </c>
      <c r="H820" s="39">
        <f t="shared" si="48"/>
        <v>1499</v>
      </c>
      <c r="I820" s="23" t="str">
        <f t="shared" si="49"/>
        <v>Lucknow</v>
      </c>
      <c r="J820" s="23">
        <f>COUNTIFS(pg_transaction_cleaned!$O:$O,A820,pg_transaction_cleaned!$F:$F,"CAPTURE")</f>
        <v>1</v>
      </c>
      <c r="K820" s="39">
        <f>SUMIFS(pg_transaction_cleaned!$H:$H,pg_transaction_cleaned!$O:$O,A820,pg_transaction_cleaned!$F:$F,"CAPTURE")</f>
        <v>1499</v>
      </c>
      <c r="L820" s="23">
        <f>COUNTIFS(pg_transaction_cleaned!$O:$O,A820,pg_transaction_cleaned!$F:$F,"REFUND")</f>
        <v>0</v>
      </c>
      <c r="M820" s="39">
        <f>SUMIFS(pg_transaction_cleaned!$H:$H,pg_transaction_cleaned!$O:$O,A820,pg_transaction_cleaned!$F:$F,"REFUND")</f>
        <v>0</v>
      </c>
      <c r="N820" s="23" t="str">
        <f t="shared" si="50"/>
        <v>OK</v>
      </c>
      <c r="O820" s="24">
        <f t="shared" si="51"/>
        <v>0</v>
      </c>
    </row>
    <row r="821" spans="1:15" ht="15" customHeight="1" x14ac:dyDescent="0.3">
      <c r="A821" s="23" t="s">
        <v>2089</v>
      </c>
      <c r="B821" s="38">
        <v>46272</v>
      </c>
      <c r="C821" s="23" t="s">
        <v>2090</v>
      </c>
      <c r="D821" s="23" t="s">
        <v>93</v>
      </c>
      <c r="E821" s="23" t="s">
        <v>75</v>
      </c>
      <c r="F821" s="23" t="s">
        <v>499</v>
      </c>
      <c r="G821" s="23" t="s">
        <v>250</v>
      </c>
      <c r="H821" s="39">
        <f t="shared" si="48"/>
        <v>5998</v>
      </c>
      <c r="I821" s="23" t="str">
        <f t="shared" si="49"/>
        <v>Kolkata</v>
      </c>
      <c r="J821" s="23">
        <f>COUNTIFS(pg_transaction_cleaned!$O:$O,A821,pg_transaction_cleaned!$F:$F,"CAPTURE")</f>
        <v>1</v>
      </c>
      <c r="K821" s="39">
        <f>SUMIFS(pg_transaction_cleaned!$H:$H,pg_transaction_cleaned!$O:$O,A821,pg_transaction_cleaned!$F:$F,"CAPTURE")</f>
        <v>5998</v>
      </c>
      <c r="L821" s="23">
        <f>COUNTIFS(pg_transaction_cleaned!$O:$O,A821,pg_transaction_cleaned!$F:$F,"REFUND")</f>
        <v>0</v>
      </c>
      <c r="M821" s="39">
        <f>SUMIFS(pg_transaction_cleaned!$H:$H,pg_transaction_cleaned!$O:$O,A821,pg_transaction_cleaned!$F:$F,"REFUND")</f>
        <v>0</v>
      </c>
      <c r="N821" s="23" t="str">
        <f t="shared" si="50"/>
        <v>OK</v>
      </c>
      <c r="O821" s="24">
        <f t="shared" si="51"/>
        <v>0</v>
      </c>
    </row>
    <row r="822" spans="1:15" ht="15" customHeight="1" x14ac:dyDescent="0.3">
      <c r="A822" s="23" t="s">
        <v>2091</v>
      </c>
      <c r="B822" s="38">
        <v>46276</v>
      </c>
      <c r="C822" s="23" t="s">
        <v>2092</v>
      </c>
      <c r="D822" s="23" t="s">
        <v>95</v>
      </c>
      <c r="E822" s="23" t="s">
        <v>75</v>
      </c>
      <c r="F822" s="23" t="s">
        <v>1421</v>
      </c>
      <c r="G822" s="23" t="s">
        <v>250</v>
      </c>
      <c r="H822" s="39">
        <f t="shared" si="48"/>
        <v>3197</v>
      </c>
      <c r="I822" s="23" t="str">
        <f t="shared" si="49"/>
        <v>Bengaluru</v>
      </c>
      <c r="J822" s="23">
        <f>COUNTIFS(pg_transaction_cleaned!$O:$O,A822,pg_transaction_cleaned!$F:$F,"CAPTURE")</f>
        <v>1</v>
      </c>
      <c r="K822" s="39">
        <f>SUMIFS(pg_transaction_cleaned!$H:$H,pg_transaction_cleaned!$O:$O,A822,pg_transaction_cleaned!$F:$F,"CAPTURE")</f>
        <v>3197</v>
      </c>
      <c r="L822" s="23">
        <f>COUNTIFS(pg_transaction_cleaned!$O:$O,A822,pg_transaction_cleaned!$F:$F,"REFUND")</f>
        <v>0</v>
      </c>
      <c r="M822" s="39">
        <f>SUMIFS(pg_transaction_cleaned!$H:$H,pg_transaction_cleaned!$O:$O,A822,pg_transaction_cleaned!$F:$F,"REFUND")</f>
        <v>0</v>
      </c>
      <c r="N822" s="23" t="str">
        <f t="shared" si="50"/>
        <v>OK</v>
      </c>
      <c r="O822" s="24">
        <f t="shared" si="51"/>
        <v>0</v>
      </c>
    </row>
    <row r="823" spans="1:15" ht="15" customHeight="1" x14ac:dyDescent="0.3">
      <c r="A823" s="23" t="s">
        <v>2093</v>
      </c>
      <c r="B823" s="38">
        <v>46276</v>
      </c>
      <c r="C823" s="23" t="s">
        <v>2094</v>
      </c>
      <c r="D823" s="23" t="s">
        <v>94</v>
      </c>
      <c r="E823" s="23" t="s">
        <v>79</v>
      </c>
      <c r="F823" s="23" t="s">
        <v>271</v>
      </c>
      <c r="G823" s="23" t="s">
        <v>250</v>
      </c>
      <c r="H823" s="39">
        <f t="shared" si="48"/>
        <v>2499</v>
      </c>
      <c r="I823" s="23" t="str">
        <f t="shared" si="49"/>
        <v>Chennai</v>
      </c>
      <c r="J823" s="23">
        <f>COUNTIFS(pg_transaction_cleaned!$O:$O,A823,pg_transaction_cleaned!$F:$F,"CAPTURE")</f>
        <v>1</v>
      </c>
      <c r="K823" s="39">
        <f>SUMIFS(pg_transaction_cleaned!$H:$H,pg_transaction_cleaned!$O:$O,A823,pg_transaction_cleaned!$F:$F,"CAPTURE")</f>
        <v>2499</v>
      </c>
      <c r="L823" s="23">
        <f>COUNTIFS(pg_transaction_cleaned!$O:$O,A823,pg_transaction_cleaned!$F:$F,"REFUND")</f>
        <v>0</v>
      </c>
      <c r="M823" s="39">
        <f>SUMIFS(pg_transaction_cleaned!$H:$H,pg_transaction_cleaned!$O:$O,A823,pg_transaction_cleaned!$F:$F,"REFUND")</f>
        <v>0</v>
      </c>
      <c r="N823" s="23" t="str">
        <f t="shared" si="50"/>
        <v>OK</v>
      </c>
      <c r="O823" s="24">
        <f t="shared" si="51"/>
        <v>0</v>
      </c>
    </row>
    <row r="824" spans="1:15" ht="15" customHeight="1" x14ac:dyDescent="0.3">
      <c r="A824" s="23" t="s">
        <v>2095</v>
      </c>
      <c r="B824" s="38">
        <v>46285</v>
      </c>
      <c r="C824" s="23" t="s">
        <v>2096</v>
      </c>
      <c r="D824" s="23" t="s">
        <v>95</v>
      </c>
      <c r="E824" s="23" t="s">
        <v>77</v>
      </c>
      <c r="F824" s="23" t="s">
        <v>1238</v>
      </c>
      <c r="G824" s="23" t="s">
        <v>250</v>
      </c>
      <c r="H824" s="39">
        <f t="shared" si="48"/>
        <v>2998</v>
      </c>
      <c r="I824" s="23" t="str">
        <f t="shared" si="49"/>
        <v>Bengaluru</v>
      </c>
      <c r="J824" s="23">
        <f>COUNTIFS(pg_transaction_cleaned!$O:$O,A824,pg_transaction_cleaned!$F:$F,"CAPTURE")</f>
        <v>1</v>
      </c>
      <c r="K824" s="39">
        <f>SUMIFS(pg_transaction_cleaned!$H:$H,pg_transaction_cleaned!$O:$O,A824,pg_transaction_cleaned!$F:$F,"CAPTURE")</f>
        <v>2998</v>
      </c>
      <c r="L824" s="23">
        <f>COUNTIFS(pg_transaction_cleaned!$O:$O,A824,pg_transaction_cleaned!$F:$F,"REFUND")</f>
        <v>0</v>
      </c>
      <c r="M824" s="39">
        <f>SUMIFS(pg_transaction_cleaned!$H:$H,pg_transaction_cleaned!$O:$O,A824,pg_transaction_cleaned!$F:$F,"REFUND")</f>
        <v>0</v>
      </c>
      <c r="N824" s="23" t="str">
        <f t="shared" si="50"/>
        <v>OK</v>
      </c>
      <c r="O824" s="24">
        <f t="shared" si="51"/>
        <v>0</v>
      </c>
    </row>
    <row r="825" spans="1:15" ht="15" customHeight="1" x14ac:dyDescent="0.3">
      <c r="A825" s="23" t="s">
        <v>2097</v>
      </c>
      <c r="B825" s="38">
        <v>46287</v>
      </c>
      <c r="C825" s="23" t="s">
        <v>2098</v>
      </c>
      <c r="D825" s="23" t="s">
        <v>87</v>
      </c>
      <c r="E825" s="23" t="s">
        <v>81</v>
      </c>
      <c r="F825" s="23" t="s">
        <v>262</v>
      </c>
      <c r="G825" s="23" t="s">
        <v>250</v>
      </c>
      <c r="H825" s="39">
        <f t="shared" si="48"/>
        <v>499</v>
      </c>
      <c r="I825" s="23" t="str">
        <f t="shared" si="49"/>
        <v>Mumbai</v>
      </c>
      <c r="J825" s="23">
        <f>COUNTIFS(pg_transaction_cleaned!$O:$O,A825,pg_transaction_cleaned!$F:$F,"CAPTURE")</f>
        <v>1</v>
      </c>
      <c r="K825" s="39">
        <f>SUMIFS(pg_transaction_cleaned!$H:$H,pg_transaction_cleaned!$O:$O,A825,pg_transaction_cleaned!$F:$F,"CAPTURE")</f>
        <v>499</v>
      </c>
      <c r="L825" s="23">
        <f>COUNTIFS(pg_transaction_cleaned!$O:$O,A825,pg_transaction_cleaned!$F:$F,"REFUND")</f>
        <v>0</v>
      </c>
      <c r="M825" s="39">
        <f>SUMIFS(pg_transaction_cleaned!$H:$H,pg_transaction_cleaned!$O:$O,A825,pg_transaction_cleaned!$F:$F,"REFUND")</f>
        <v>0</v>
      </c>
      <c r="N825" s="23" t="str">
        <f t="shared" si="50"/>
        <v>OK</v>
      </c>
      <c r="O825" s="24">
        <f t="shared" si="51"/>
        <v>0</v>
      </c>
    </row>
    <row r="826" spans="1:15" ht="15" customHeight="1" x14ac:dyDescent="0.3">
      <c r="A826" s="23" t="s">
        <v>2099</v>
      </c>
      <c r="B826" s="38">
        <v>46273</v>
      </c>
      <c r="C826" s="23" t="s">
        <v>2100</v>
      </c>
      <c r="D826" s="23" t="s">
        <v>91</v>
      </c>
      <c r="E826" s="23" t="s">
        <v>75</v>
      </c>
      <c r="F826" s="23" t="s">
        <v>612</v>
      </c>
      <c r="G826" s="23" t="s">
        <v>250</v>
      </c>
      <c r="H826" s="39">
        <f t="shared" si="48"/>
        <v>8498</v>
      </c>
      <c r="I826" s="23" t="str">
        <f t="shared" si="49"/>
        <v>Pune</v>
      </c>
      <c r="J826" s="23">
        <f>COUNTIFS(pg_transaction_cleaned!$O:$O,A826,pg_transaction_cleaned!$F:$F,"CAPTURE")</f>
        <v>1</v>
      </c>
      <c r="K826" s="39">
        <f>SUMIFS(pg_transaction_cleaned!$H:$H,pg_transaction_cleaned!$O:$O,A826,pg_transaction_cleaned!$F:$F,"CAPTURE")</f>
        <v>8498</v>
      </c>
      <c r="L826" s="23">
        <f>COUNTIFS(pg_transaction_cleaned!$O:$O,A826,pg_transaction_cleaned!$F:$F,"REFUND")</f>
        <v>0</v>
      </c>
      <c r="M826" s="39">
        <f>SUMIFS(pg_transaction_cleaned!$H:$H,pg_transaction_cleaned!$O:$O,A826,pg_transaction_cleaned!$F:$F,"REFUND")</f>
        <v>0</v>
      </c>
      <c r="N826" s="23" t="str">
        <f t="shared" si="50"/>
        <v>OK</v>
      </c>
      <c r="O826" s="24">
        <f t="shared" si="51"/>
        <v>0</v>
      </c>
    </row>
    <row r="827" spans="1:15" ht="15" customHeight="1" x14ac:dyDescent="0.3">
      <c r="A827" s="23" t="s">
        <v>2101</v>
      </c>
      <c r="B827" s="38">
        <v>46275</v>
      </c>
      <c r="C827" s="23" t="s">
        <v>2102</v>
      </c>
      <c r="D827" s="23" t="s">
        <v>95</v>
      </c>
      <c r="E827" s="23" t="s">
        <v>79</v>
      </c>
      <c r="F827" s="23" t="s">
        <v>349</v>
      </c>
      <c r="G827" s="23" t="s">
        <v>250</v>
      </c>
      <c r="H827" s="39">
        <f t="shared" si="48"/>
        <v>1798</v>
      </c>
      <c r="I827" s="23" t="str">
        <f t="shared" si="49"/>
        <v>Bengaluru</v>
      </c>
      <c r="J827" s="23">
        <f>COUNTIFS(pg_transaction_cleaned!$O:$O,A827,pg_transaction_cleaned!$F:$F,"CAPTURE")</f>
        <v>1</v>
      </c>
      <c r="K827" s="39">
        <f>SUMIFS(pg_transaction_cleaned!$H:$H,pg_transaction_cleaned!$O:$O,A827,pg_transaction_cleaned!$F:$F,"CAPTURE")</f>
        <v>1798</v>
      </c>
      <c r="L827" s="23">
        <f>COUNTIFS(pg_transaction_cleaned!$O:$O,A827,pg_transaction_cleaned!$F:$F,"REFUND")</f>
        <v>0</v>
      </c>
      <c r="M827" s="39">
        <f>SUMIFS(pg_transaction_cleaned!$H:$H,pg_transaction_cleaned!$O:$O,A827,pg_transaction_cleaned!$F:$F,"REFUND")</f>
        <v>0</v>
      </c>
      <c r="N827" s="23" t="str">
        <f t="shared" si="50"/>
        <v>OK</v>
      </c>
      <c r="O827" s="24">
        <f t="shared" si="51"/>
        <v>0</v>
      </c>
    </row>
    <row r="828" spans="1:15" ht="15" customHeight="1" x14ac:dyDescent="0.3">
      <c r="A828" s="23" t="s">
        <v>2103</v>
      </c>
      <c r="B828" s="38">
        <v>46283</v>
      </c>
      <c r="C828" s="23" t="s">
        <v>2104</v>
      </c>
      <c r="D828" s="23" t="s">
        <v>87</v>
      </c>
      <c r="E828" s="23" t="s">
        <v>79</v>
      </c>
      <c r="F828" s="23" t="s">
        <v>304</v>
      </c>
      <c r="G828" s="23" t="s">
        <v>250</v>
      </c>
      <c r="H828" s="39">
        <f t="shared" si="48"/>
        <v>5798</v>
      </c>
      <c r="I828" s="23" t="str">
        <f t="shared" si="49"/>
        <v>Mumbai</v>
      </c>
      <c r="J828" s="23">
        <f>COUNTIFS(pg_transaction_cleaned!$O:$O,A828,pg_transaction_cleaned!$F:$F,"CAPTURE")</f>
        <v>1</v>
      </c>
      <c r="K828" s="39">
        <f>SUMIFS(pg_transaction_cleaned!$H:$H,pg_transaction_cleaned!$O:$O,A828,pg_transaction_cleaned!$F:$F,"CAPTURE")</f>
        <v>5798</v>
      </c>
      <c r="L828" s="23">
        <f>COUNTIFS(pg_transaction_cleaned!$O:$O,A828,pg_transaction_cleaned!$F:$F,"REFUND")</f>
        <v>0</v>
      </c>
      <c r="M828" s="39">
        <f>SUMIFS(pg_transaction_cleaned!$H:$H,pg_transaction_cleaned!$O:$O,A828,pg_transaction_cleaned!$F:$F,"REFUND")</f>
        <v>0</v>
      </c>
      <c r="N828" s="23" t="str">
        <f t="shared" si="50"/>
        <v>OK</v>
      </c>
      <c r="O828" s="24">
        <f t="shared" si="51"/>
        <v>0</v>
      </c>
    </row>
    <row r="829" spans="1:15" ht="15" customHeight="1" x14ac:dyDescent="0.3">
      <c r="A829" s="23" t="s">
        <v>2105</v>
      </c>
      <c r="B829" s="38">
        <v>46278</v>
      </c>
      <c r="C829" s="23" t="s">
        <v>2106</v>
      </c>
      <c r="D829" s="23" t="s">
        <v>95</v>
      </c>
      <c r="E829" s="23" t="s">
        <v>75</v>
      </c>
      <c r="F829" s="23" t="s">
        <v>772</v>
      </c>
      <c r="G829" s="23" t="s">
        <v>250</v>
      </c>
      <c r="H829" s="39">
        <f t="shared" si="48"/>
        <v>4798</v>
      </c>
      <c r="I829" s="23" t="str">
        <f t="shared" si="49"/>
        <v>Bengaluru</v>
      </c>
      <c r="J829" s="23">
        <f>COUNTIFS(pg_transaction_cleaned!$O:$O,A829,pg_transaction_cleaned!$F:$F,"CAPTURE")</f>
        <v>1</v>
      </c>
      <c r="K829" s="39">
        <f>SUMIFS(pg_transaction_cleaned!$H:$H,pg_transaction_cleaned!$O:$O,A829,pg_transaction_cleaned!$F:$F,"CAPTURE")</f>
        <v>4798</v>
      </c>
      <c r="L829" s="23">
        <f>COUNTIFS(pg_transaction_cleaned!$O:$O,A829,pg_transaction_cleaned!$F:$F,"REFUND")</f>
        <v>0</v>
      </c>
      <c r="M829" s="39">
        <f>SUMIFS(pg_transaction_cleaned!$H:$H,pg_transaction_cleaned!$O:$O,A829,pg_transaction_cleaned!$F:$F,"REFUND")</f>
        <v>0</v>
      </c>
      <c r="N829" s="23" t="str">
        <f t="shared" si="50"/>
        <v>OK</v>
      </c>
      <c r="O829" s="24">
        <f t="shared" si="51"/>
        <v>0</v>
      </c>
    </row>
    <row r="830" spans="1:15" ht="15" customHeight="1" x14ac:dyDescent="0.3">
      <c r="A830" s="23" t="s">
        <v>2107</v>
      </c>
      <c r="B830" s="38">
        <v>46291</v>
      </c>
      <c r="C830" s="23" t="s">
        <v>2108</v>
      </c>
      <c r="D830" s="23" t="s">
        <v>93</v>
      </c>
      <c r="E830" s="23" t="s">
        <v>77</v>
      </c>
      <c r="F830" s="23" t="s">
        <v>1038</v>
      </c>
      <c r="G830" s="23" t="s">
        <v>250</v>
      </c>
      <c r="H830" s="39">
        <f t="shared" si="48"/>
        <v>3597</v>
      </c>
      <c r="I830" s="23" t="str">
        <f t="shared" si="49"/>
        <v>Kolkata</v>
      </c>
      <c r="J830" s="23">
        <f>COUNTIFS(pg_transaction_cleaned!$O:$O,A830,pg_transaction_cleaned!$F:$F,"CAPTURE")</f>
        <v>1</v>
      </c>
      <c r="K830" s="39">
        <f>SUMIFS(pg_transaction_cleaned!$H:$H,pg_transaction_cleaned!$O:$O,A830,pg_transaction_cleaned!$F:$F,"CAPTURE")</f>
        <v>3597</v>
      </c>
      <c r="L830" s="23">
        <f>COUNTIFS(pg_transaction_cleaned!$O:$O,A830,pg_transaction_cleaned!$F:$F,"REFUND")</f>
        <v>0</v>
      </c>
      <c r="M830" s="39">
        <f>SUMIFS(pg_transaction_cleaned!$H:$H,pg_transaction_cleaned!$O:$O,A830,pg_transaction_cleaned!$F:$F,"REFUND")</f>
        <v>0</v>
      </c>
      <c r="N830" s="23" t="str">
        <f t="shared" si="50"/>
        <v>OK</v>
      </c>
      <c r="O830" s="24">
        <f t="shared" si="51"/>
        <v>0</v>
      </c>
    </row>
    <row r="831" spans="1:15" ht="15" customHeight="1" x14ac:dyDescent="0.3">
      <c r="A831" s="23" t="s">
        <v>2109</v>
      </c>
      <c r="B831" s="38">
        <v>46287</v>
      </c>
      <c r="C831" s="23" t="s">
        <v>2110</v>
      </c>
      <c r="D831" s="23" t="s">
        <v>87</v>
      </c>
      <c r="E831" s="23" t="s">
        <v>79</v>
      </c>
      <c r="F831" s="23" t="s">
        <v>396</v>
      </c>
      <c r="G831" s="23" t="s">
        <v>250</v>
      </c>
      <c r="H831" s="39">
        <f t="shared" si="48"/>
        <v>2999</v>
      </c>
      <c r="I831" s="23" t="str">
        <f t="shared" si="49"/>
        <v>Mumbai</v>
      </c>
      <c r="J831" s="23">
        <f>COUNTIFS(pg_transaction_cleaned!$O:$O,A831,pg_transaction_cleaned!$F:$F,"CAPTURE")</f>
        <v>1</v>
      </c>
      <c r="K831" s="39">
        <f>SUMIFS(pg_transaction_cleaned!$H:$H,pg_transaction_cleaned!$O:$O,A831,pg_transaction_cleaned!$F:$F,"CAPTURE")</f>
        <v>2999</v>
      </c>
      <c r="L831" s="23">
        <f>COUNTIFS(pg_transaction_cleaned!$O:$O,A831,pg_transaction_cleaned!$F:$F,"REFUND")</f>
        <v>0</v>
      </c>
      <c r="M831" s="39">
        <f>SUMIFS(pg_transaction_cleaned!$H:$H,pg_transaction_cleaned!$O:$O,A831,pg_transaction_cleaned!$F:$F,"REFUND")</f>
        <v>0</v>
      </c>
      <c r="N831" s="23" t="str">
        <f t="shared" si="50"/>
        <v>OK</v>
      </c>
      <c r="O831" s="24">
        <f t="shared" si="51"/>
        <v>0</v>
      </c>
    </row>
    <row r="832" spans="1:15" ht="15" customHeight="1" x14ac:dyDescent="0.3">
      <c r="A832" s="23" t="s">
        <v>2111</v>
      </c>
      <c r="B832" s="38">
        <v>46275</v>
      </c>
      <c r="C832" s="23" t="s">
        <v>2112</v>
      </c>
      <c r="D832" s="23" t="s">
        <v>90</v>
      </c>
      <c r="E832" s="23" t="s">
        <v>79</v>
      </c>
      <c r="F832" s="23" t="s">
        <v>1421</v>
      </c>
      <c r="G832" s="23" t="s">
        <v>250</v>
      </c>
      <c r="H832" s="39">
        <f t="shared" si="48"/>
        <v>3197</v>
      </c>
      <c r="I832" s="23" t="str">
        <f t="shared" si="49"/>
        <v>Ahmedabad</v>
      </c>
      <c r="J832" s="23">
        <f>COUNTIFS(pg_transaction_cleaned!$O:$O,A832,pg_transaction_cleaned!$F:$F,"CAPTURE")</f>
        <v>1</v>
      </c>
      <c r="K832" s="39">
        <f>SUMIFS(pg_transaction_cleaned!$H:$H,pg_transaction_cleaned!$O:$O,A832,pg_transaction_cleaned!$F:$F,"CAPTURE")</f>
        <v>3197</v>
      </c>
      <c r="L832" s="23">
        <f>COUNTIFS(pg_transaction_cleaned!$O:$O,A832,pg_transaction_cleaned!$F:$F,"REFUND")</f>
        <v>0</v>
      </c>
      <c r="M832" s="39">
        <f>SUMIFS(pg_transaction_cleaned!$H:$H,pg_transaction_cleaned!$O:$O,A832,pg_transaction_cleaned!$F:$F,"REFUND")</f>
        <v>0</v>
      </c>
      <c r="N832" s="23" t="str">
        <f t="shared" si="50"/>
        <v>OK</v>
      </c>
      <c r="O832" s="24">
        <f t="shared" si="51"/>
        <v>0</v>
      </c>
    </row>
    <row r="833" spans="1:15" ht="15" customHeight="1" x14ac:dyDescent="0.3">
      <c r="A833" s="23" t="s">
        <v>2113</v>
      </c>
      <c r="B833" s="38">
        <v>46293</v>
      </c>
      <c r="C833" s="23" t="s">
        <v>2114</v>
      </c>
      <c r="D833" s="23" t="s">
        <v>89</v>
      </c>
      <c r="E833" s="23" t="s">
        <v>75</v>
      </c>
      <c r="F833" s="23" t="s">
        <v>1762</v>
      </c>
      <c r="G833" s="23" t="s">
        <v>250</v>
      </c>
      <c r="H833" s="39">
        <f t="shared" si="48"/>
        <v>2148</v>
      </c>
      <c r="I833" s="23" t="str">
        <f t="shared" si="49"/>
        <v>Jaipur</v>
      </c>
      <c r="J833" s="23">
        <f>COUNTIFS(pg_transaction_cleaned!$O:$O,A833,pg_transaction_cleaned!$F:$F,"CAPTURE")</f>
        <v>1</v>
      </c>
      <c r="K833" s="39">
        <f>SUMIFS(pg_transaction_cleaned!$H:$H,pg_transaction_cleaned!$O:$O,A833,pg_transaction_cleaned!$F:$F,"CAPTURE")</f>
        <v>2148</v>
      </c>
      <c r="L833" s="23">
        <f>COUNTIFS(pg_transaction_cleaned!$O:$O,A833,pg_transaction_cleaned!$F:$F,"REFUND")</f>
        <v>0</v>
      </c>
      <c r="M833" s="39">
        <f>SUMIFS(pg_transaction_cleaned!$H:$H,pg_transaction_cleaned!$O:$O,A833,pg_transaction_cleaned!$F:$F,"REFUND")</f>
        <v>0</v>
      </c>
      <c r="N833" s="23" t="str">
        <f t="shared" si="50"/>
        <v>OK</v>
      </c>
      <c r="O833" s="24">
        <f t="shared" si="51"/>
        <v>0</v>
      </c>
    </row>
    <row r="834" spans="1:15" ht="15" customHeight="1" x14ac:dyDescent="0.3">
      <c r="A834" s="23" t="s">
        <v>2115</v>
      </c>
      <c r="B834" s="38">
        <v>46295</v>
      </c>
      <c r="C834" s="23" t="s">
        <v>2116</v>
      </c>
      <c r="D834" s="23" t="s">
        <v>93</v>
      </c>
      <c r="E834" s="23" t="s">
        <v>75</v>
      </c>
      <c r="F834" s="23" t="s">
        <v>2117</v>
      </c>
      <c r="G834" s="23" t="s">
        <v>365</v>
      </c>
      <c r="H834" s="39">
        <f t="shared" ref="H834:H897" si="52">VALUE(SUBSTITUTE(F834,",",""))</f>
        <v>1197</v>
      </c>
      <c r="I834" s="23" t="str">
        <f t="shared" ref="I834:I897" si="53">IF(TRIM(D834)="","Unknown",TRIM(D834))</f>
        <v>Kolkata</v>
      </c>
      <c r="J834" s="23">
        <f>COUNTIFS(pg_transaction_cleaned!$O:$O,A834,pg_transaction_cleaned!$F:$F,"CAPTURE")</f>
        <v>0</v>
      </c>
      <c r="K834" s="39">
        <f>SUMIFS(pg_transaction_cleaned!$H:$H,pg_transaction_cleaned!$O:$O,A834,pg_transaction_cleaned!$F:$F,"CAPTURE")</f>
        <v>0</v>
      </c>
      <c r="L834" s="23">
        <f>COUNTIFS(pg_transaction_cleaned!$O:$O,A834,pg_transaction_cleaned!$F:$F,"REFUND")</f>
        <v>0</v>
      </c>
      <c r="M834" s="39">
        <f>SUMIFS(pg_transaction_cleaned!$H:$H,pg_transaction_cleaned!$O:$O,A834,pg_transaction_cleaned!$F:$F,"REFUND")</f>
        <v>0</v>
      </c>
      <c r="N834" s="23" t="str">
        <f t="shared" ref="N834:N897" si="54">IF(AND(G834="Paid",J834=0),"Paid, no payment",IF(AND(OR(G834="Failed",G834="Cancelled"),J834&gt;0),"Payment on failed/cancelled",IF(J834&gt;1,"Duplicate charge",IF(AND(J834=1,ROUND(K834-H834,2)&lt;&gt;0),"Amount difference",IF(AND(G834="Refunded",L834=0),"Refunded, no refund",IF(AND(G834&lt;&gt;"Refunded",L834&gt;0),"Refund, order not Refunded",IF(AND(L834&gt;0,ROUND(M834-H834,2)&lt;&gt;0),"Refund amount differs","OK")))))))</f>
        <v>OK</v>
      </c>
      <c r="O834" s="24">
        <f t="shared" ref="O834:O897" si="55">IF(N834="OK",0,IF(N834="Paid, no payment",H834,IF(N834="Payment on failed/cancelled",K834,IF(OR(N834="Duplicate charge",N834="Amount difference"),K834-H834,IF(N834="Refunded, no refund",H834,M834)))))</f>
        <v>0</v>
      </c>
    </row>
    <row r="835" spans="1:15" ht="15" customHeight="1" x14ac:dyDescent="0.3">
      <c r="A835" s="23" t="s">
        <v>2118</v>
      </c>
      <c r="B835" s="38">
        <v>46289</v>
      </c>
      <c r="C835" s="23" t="s">
        <v>2119</v>
      </c>
      <c r="D835" s="23" t="s">
        <v>92</v>
      </c>
      <c r="E835" s="23" t="s">
        <v>75</v>
      </c>
      <c r="F835" s="23" t="s">
        <v>249</v>
      </c>
      <c r="G835" s="23" t="s">
        <v>250</v>
      </c>
      <c r="H835" s="39">
        <f t="shared" si="52"/>
        <v>299</v>
      </c>
      <c r="I835" s="23" t="str">
        <f t="shared" si="53"/>
        <v>Hyderabad</v>
      </c>
      <c r="J835" s="23">
        <f>COUNTIFS(pg_transaction_cleaned!$O:$O,A835,pg_transaction_cleaned!$F:$F,"CAPTURE")</f>
        <v>1</v>
      </c>
      <c r="K835" s="39">
        <f>SUMIFS(pg_transaction_cleaned!$H:$H,pg_transaction_cleaned!$O:$O,A835,pg_transaction_cleaned!$F:$F,"CAPTURE")</f>
        <v>299</v>
      </c>
      <c r="L835" s="23">
        <f>COUNTIFS(pg_transaction_cleaned!$O:$O,A835,pg_transaction_cleaned!$F:$F,"REFUND")</f>
        <v>0</v>
      </c>
      <c r="M835" s="39">
        <f>SUMIFS(pg_transaction_cleaned!$H:$H,pg_transaction_cleaned!$O:$O,A835,pg_transaction_cleaned!$F:$F,"REFUND")</f>
        <v>0</v>
      </c>
      <c r="N835" s="23" t="str">
        <f t="shared" si="54"/>
        <v>OK</v>
      </c>
      <c r="O835" s="24">
        <f t="shared" si="55"/>
        <v>0</v>
      </c>
    </row>
    <row r="836" spans="1:15" ht="15" customHeight="1" x14ac:dyDescent="0.3">
      <c r="A836" s="23" t="s">
        <v>2120</v>
      </c>
      <c r="B836" s="38">
        <v>46273</v>
      </c>
      <c r="C836" s="23" t="s">
        <v>2121</v>
      </c>
      <c r="D836" s="23" t="s">
        <v>87</v>
      </c>
      <c r="E836" s="23" t="s">
        <v>75</v>
      </c>
      <c r="F836" s="23" t="s">
        <v>304</v>
      </c>
      <c r="G836" s="23" t="s">
        <v>250</v>
      </c>
      <c r="H836" s="39">
        <f t="shared" si="52"/>
        <v>5798</v>
      </c>
      <c r="I836" s="23" t="str">
        <f t="shared" si="53"/>
        <v>Mumbai</v>
      </c>
      <c r="J836" s="23">
        <f>COUNTIFS(pg_transaction_cleaned!$O:$O,A836,pg_transaction_cleaned!$F:$F,"CAPTURE")</f>
        <v>1</v>
      </c>
      <c r="K836" s="39">
        <f>SUMIFS(pg_transaction_cleaned!$H:$H,pg_transaction_cleaned!$O:$O,A836,pg_transaction_cleaned!$F:$F,"CAPTURE")</f>
        <v>5798</v>
      </c>
      <c r="L836" s="23">
        <f>COUNTIFS(pg_transaction_cleaned!$O:$O,A836,pg_transaction_cleaned!$F:$F,"REFUND")</f>
        <v>0</v>
      </c>
      <c r="M836" s="39">
        <f>SUMIFS(pg_transaction_cleaned!$H:$H,pg_transaction_cleaned!$O:$O,A836,pg_transaction_cleaned!$F:$F,"REFUND")</f>
        <v>0</v>
      </c>
      <c r="N836" s="23" t="str">
        <f t="shared" si="54"/>
        <v>OK</v>
      </c>
      <c r="O836" s="24">
        <f t="shared" si="55"/>
        <v>0</v>
      </c>
    </row>
    <row r="837" spans="1:15" ht="15" customHeight="1" x14ac:dyDescent="0.3">
      <c r="A837" s="23" t="s">
        <v>2122</v>
      </c>
      <c r="B837" s="38">
        <v>46283</v>
      </c>
      <c r="C837" s="23" t="s">
        <v>2123</v>
      </c>
      <c r="D837" s="23" t="s">
        <v>86</v>
      </c>
      <c r="E837" s="23" t="s">
        <v>77</v>
      </c>
      <c r="F837" s="23" t="s">
        <v>329</v>
      </c>
      <c r="G837" s="23" t="s">
        <v>250</v>
      </c>
      <c r="H837" s="39">
        <f t="shared" si="52"/>
        <v>599</v>
      </c>
      <c r="I837" s="23" t="str">
        <f t="shared" si="53"/>
        <v>Delhi</v>
      </c>
      <c r="J837" s="23">
        <f>COUNTIFS(pg_transaction_cleaned!$O:$O,A837,pg_transaction_cleaned!$F:$F,"CAPTURE")</f>
        <v>1</v>
      </c>
      <c r="K837" s="39">
        <f>SUMIFS(pg_transaction_cleaned!$H:$H,pg_transaction_cleaned!$O:$O,A837,pg_transaction_cleaned!$F:$F,"CAPTURE")</f>
        <v>599</v>
      </c>
      <c r="L837" s="23">
        <f>COUNTIFS(pg_transaction_cleaned!$O:$O,A837,pg_transaction_cleaned!$F:$F,"REFUND")</f>
        <v>0</v>
      </c>
      <c r="M837" s="39">
        <f>SUMIFS(pg_transaction_cleaned!$H:$H,pg_transaction_cleaned!$O:$O,A837,pg_transaction_cleaned!$F:$F,"REFUND")</f>
        <v>0</v>
      </c>
      <c r="N837" s="23" t="str">
        <f t="shared" si="54"/>
        <v>OK</v>
      </c>
      <c r="O837" s="24">
        <f t="shared" si="55"/>
        <v>0</v>
      </c>
    </row>
    <row r="838" spans="1:15" ht="15" customHeight="1" x14ac:dyDescent="0.3">
      <c r="A838" s="23" t="s">
        <v>2124</v>
      </c>
      <c r="B838" s="38">
        <v>46268</v>
      </c>
      <c r="C838" s="23" t="s">
        <v>2125</v>
      </c>
      <c r="D838" s="23" t="s">
        <v>93</v>
      </c>
      <c r="E838" s="23" t="s">
        <v>79</v>
      </c>
      <c r="F838" s="23" t="s">
        <v>1329</v>
      </c>
      <c r="G838" s="23" t="s">
        <v>250</v>
      </c>
      <c r="H838" s="39">
        <f t="shared" si="52"/>
        <v>6097</v>
      </c>
      <c r="I838" s="23" t="str">
        <f t="shared" si="53"/>
        <v>Kolkata</v>
      </c>
      <c r="J838" s="23">
        <f>COUNTIFS(pg_transaction_cleaned!$O:$O,A838,pg_transaction_cleaned!$F:$F,"CAPTURE")</f>
        <v>1</v>
      </c>
      <c r="K838" s="39">
        <f>SUMIFS(pg_transaction_cleaned!$H:$H,pg_transaction_cleaned!$O:$O,A838,pg_transaction_cleaned!$F:$F,"CAPTURE")</f>
        <v>6097</v>
      </c>
      <c r="L838" s="23">
        <f>COUNTIFS(pg_transaction_cleaned!$O:$O,A838,pg_transaction_cleaned!$F:$F,"REFUND")</f>
        <v>0</v>
      </c>
      <c r="M838" s="39">
        <f>SUMIFS(pg_transaction_cleaned!$H:$H,pg_transaction_cleaned!$O:$O,A838,pg_transaction_cleaned!$F:$F,"REFUND")</f>
        <v>0</v>
      </c>
      <c r="N838" s="23" t="str">
        <f t="shared" si="54"/>
        <v>OK</v>
      </c>
      <c r="O838" s="24">
        <f t="shared" si="55"/>
        <v>0</v>
      </c>
    </row>
    <row r="839" spans="1:15" ht="15" customHeight="1" x14ac:dyDescent="0.3">
      <c r="A839" s="23" t="s">
        <v>2126</v>
      </c>
      <c r="B839" s="38">
        <v>46273</v>
      </c>
      <c r="C839" s="23" t="s">
        <v>2127</v>
      </c>
      <c r="D839" s="23" t="s">
        <v>90</v>
      </c>
      <c r="E839" s="23" t="s">
        <v>77</v>
      </c>
      <c r="F839" s="23" t="s">
        <v>349</v>
      </c>
      <c r="G839" s="23" t="s">
        <v>301</v>
      </c>
      <c r="H839" s="39">
        <f t="shared" si="52"/>
        <v>1798</v>
      </c>
      <c r="I839" s="23" t="str">
        <f t="shared" si="53"/>
        <v>Ahmedabad</v>
      </c>
      <c r="J839" s="23">
        <f>COUNTIFS(pg_transaction_cleaned!$O:$O,A839,pg_transaction_cleaned!$F:$F,"CAPTURE")</f>
        <v>1</v>
      </c>
      <c r="K839" s="39">
        <f>SUMIFS(pg_transaction_cleaned!$H:$H,pg_transaction_cleaned!$O:$O,A839,pg_transaction_cleaned!$F:$F,"CAPTURE")</f>
        <v>1798</v>
      </c>
      <c r="L839" s="23">
        <f>COUNTIFS(pg_transaction_cleaned!$O:$O,A839,pg_transaction_cleaned!$F:$F,"REFUND")</f>
        <v>1</v>
      </c>
      <c r="M839" s="39">
        <f>SUMIFS(pg_transaction_cleaned!$H:$H,pg_transaction_cleaned!$O:$O,A839,pg_transaction_cleaned!$F:$F,"REFUND")</f>
        <v>1798</v>
      </c>
      <c r="N839" s="23" t="str">
        <f t="shared" si="54"/>
        <v>OK</v>
      </c>
      <c r="O839" s="24">
        <f t="shared" si="55"/>
        <v>0</v>
      </c>
    </row>
    <row r="840" spans="1:15" ht="15" customHeight="1" x14ac:dyDescent="0.3">
      <c r="A840" s="23" t="s">
        <v>2128</v>
      </c>
      <c r="B840" s="38">
        <v>46283</v>
      </c>
      <c r="C840" s="23" t="s">
        <v>2129</v>
      </c>
      <c r="D840" s="23" t="s">
        <v>95</v>
      </c>
      <c r="E840" s="23" t="s">
        <v>79</v>
      </c>
      <c r="F840" s="23" t="s">
        <v>329</v>
      </c>
      <c r="G840" s="23" t="s">
        <v>250</v>
      </c>
      <c r="H840" s="39">
        <f t="shared" si="52"/>
        <v>599</v>
      </c>
      <c r="I840" s="23" t="str">
        <f t="shared" si="53"/>
        <v>Bengaluru</v>
      </c>
      <c r="J840" s="23">
        <f>COUNTIFS(pg_transaction_cleaned!$O:$O,A840,pg_transaction_cleaned!$F:$F,"CAPTURE")</f>
        <v>1</v>
      </c>
      <c r="K840" s="39">
        <f>SUMIFS(pg_transaction_cleaned!$H:$H,pg_transaction_cleaned!$O:$O,A840,pg_transaction_cleaned!$F:$F,"CAPTURE")</f>
        <v>599</v>
      </c>
      <c r="L840" s="23">
        <f>COUNTIFS(pg_transaction_cleaned!$O:$O,A840,pg_transaction_cleaned!$F:$F,"REFUND")</f>
        <v>0</v>
      </c>
      <c r="M840" s="39">
        <f>SUMIFS(pg_transaction_cleaned!$H:$H,pg_transaction_cleaned!$O:$O,A840,pg_transaction_cleaned!$F:$F,"REFUND")</f>
        <v>0</v>
      </c>
      <c r="N840" s="23" t="str">
        <f t="shared" si="54"/>
        <v>OK</v>
      </c>
      <c r="O840" s="24">
        <f t="shared" si="55"/>
        <v>0</v>
      </c>
    </row>
    <row r="841" spans="1:15" ht="15" customHeight="1" x14ac:dyDescent="0.3">
      <c r="A841" s="23" t="s">
        <v>2130</v>
      </c>
      <c r="B841" s="38">
        <v>46293</v>
      </c>
      <c r="C841" s="23" t="s">
        <v>2131</v>
      </c>
      <c r="D841" s="23" t="s">
        <v>93</v>
      </c>
      <c r="E841" s="23" t="s">
        <v>77</v>
      </c>
      <c r="F841" s="23" t="s">
        <v>475</v>
      </c>
      <c r="G841" s="23" t="s">
        <v>250</v>
      </c>
      <c r="H841" s="39">
        <f t="shared" si="52"/>
        <v>799</v>
      </c>
      <c r="I841" s="23" t="str">
        <f t="shared" si="53"/>
        <v>Kolkata</v>
      </c>
      <c r="J841" s="23">
        <f>COUNTIFS(pg_transaction_cleaned!$O:$O,A841,pg_transaction_cleaned!$F:$F,"CAPTURE")</f>
        <v>1</v>
      </c>
      <c r="K841" s="39">
        <f>SUMIFS(pg_transaction_cleaned!$H:$H,pg_transaction_cleaned!$O:$O,A841,pg_transaction_cleaned!$F:$F,"CAPTURE")</f>
        <v>799</v>
      </c>
      <c r="L841" s="23">
        <f>COUNTIFS(pg_transaction_cleaned!$O:$O,A841,pg_transaction_cleaned!$F:$F,"REFUND")</f>
        <v>0</v>
      </c>
      <c r="M841" s="39">
        <f>SUMIFS(pg_transaction_cleaned!$H:$H,pg_transaction_cleaned!$O:$O,A841,pg_transaction_cleaned!$F:$F,"REFUND")</f>
        <v>0</v>
      </c>
      <c r="N841" s="23" t="str">
        <f t="shared" si="54"/>
        <v>OK</v>
      </c>
      <c r="O841" s="24">
        <f t="shared" si="55"/>
        <v>0</v>
      </c>
    </row>
    <row r="842" spans="1:15" ht="15" customHeight="1" x14ac:dyDescent="0.3">
      <c r="A842" s="23" t="s">
        <v>2132</v>
      </c>
      <c r="B842" s="38">
        <v>46295</v>
      </c>
      <c r="C842" s="23" t="s">
        <v>2133</v>
      </c>
      <c r="D842" s="23" t="s">
        <v>91</v>
      </c>
      <c r="E842" s="23" t="s">
        <v>77</v>
      </c>
      <c r="F842" s="23" t="s">
        <v>396</v>
      </c>
      <c r="G842" s="23" t="s">
        <v>318</v>
      </c>
      <c r="H842" s="39">
        <f t="shared" si="52"/>
        <v>2999</v>
      </c>
      <c r="I842" s="23" t="str">
        <f t="shared" si="53"/>
        <v>Pune</v>
      </c>
      <c r="J842" s="23">
        <f>COUNTIFS(pg_transaction_cleaned!$O:$O,A842,pg_transaction_cleaned!$F:$F,"CAPTURE")</f>
        <v>0</v>
      </c>
      <c r="K842" s="39">
        <f>SUMIFS(pg_transaction_cleaned!$H:$H,pg_transaction_cleaned!$O:$O,A842,pg_transaction_cleaned!$F:$F,"CAPTURE")</f>
        <v>0</v>
      </c>
      <c r="L842" s="23">
        <f>COUNTIFS(pg_transaction_cleaned!$O:$O,A842,pg_transaction_cleaned!$F:$F,"REFUND")</f>
        <v>0</v>
      </c>
      <c r="M842" s="39">
        <f>SUMIFS(pg_transaction_cleaned!$H:$H,pg_transaction_cleaned!$O:$O,A842,pg_transaction_cleaned!$F:$F,"REFUND")</f>
        <v>0</v>
      </c>
      <c r="N842" s="23" t="str">
        <f t="shared" si="54"/>
        <v>OK</v>
      </c>
      <c r="O842" s="24">
        <f t="shared" si="55"/>
        <v>0</v>
      </c>
    </row>
    <row r="843" spans="1:15" ht="15" customHeight="1" x14ac:dyDescent="0.3">
      <c r="A843" s="23" t="s">
        <v>2134</v>
      </c>
      <c r="B843" s="38">
        <v>46283</v>
      </c>
      <c r="C843" s="23" t="s">
        <v>2135</v>
      </c>
      <c r="D843" s="23" t="s">
        <v>87</v>
      </c>
      <c r="E843" s="23" t="s">
        <v>81</v>
      </c>
      <c r="F843" s="23" t="s">
        <v>724</v>
      </c>
      <c r="G843" s="23" t="s">
        <v>250</v>
      </c>
      <c r="H843" s="39">
        <f t="shared" si="52"/>
        <v>3848</v>
      </c>
      <c r="I843" s="23" t="str">
        <f t="shared" si="53"/>
        <v>Mumbai</v>
      </c>
      <c r="J843" s="23">
        <f>COUNTIFS(pg_transaction_cleaned!$O:$O,A843,pg_transaction_cleaned!$F:$F,"CAPTURE")</f>
        <v>1</v>
      </c>
      <c r="K843" s="39">
        <f>SUMIFS(pg_transaction_cleaned!$H:$H,pg_transaction_cleaned!$O:$O,A843,pg_transaction_cleaned!$F:$F,"CAPTURE")</f>
        <v>3848</v>
      </c>
      <c r="L843" s="23">
        <f>COUNTIFS(pg_transaction_cleaned!$O:$O,A843,pg_transaction_cleaned!$F:$F,"REFUND")</f>
        <v>0</v>
      </c>
      <c r="M843" s="39">
        <f>SUMIFS(pg_transaction_cleaned!$H:$H,pg_transaction_cleaned!$O:$O,A843,pg_transaction_cleaned!$F:$F,"REFUND")</f>
        <v>0</v>
      </c>
      <c r="N843" s="23" t="str">
        <f t="shared" si="54"/>
        <v>OK</v>
      </c>
      <c r="O843" s="24">
        <f t="shared" si="55"/>
        <v>0</v>
      </c>
    </row>
    <row r="844" spans="1:15" ht="15" customHeight="1" x14ac:dyDescent="0.3">
      <c r="A844" s="23" t="s">
        <v>2136</v>
      </c>
      <c r="B844" s="38">
        <v>46290</v>
      </c>
      <c r="C844" s="23" t="s">
        <v>2137</v>
      </c>
      <c r="D844" s="23" t="s">
        <v>92</v>
      </c>
      <c r="E844" s="23" t="s">
        <v>75</v>
      </c>
      <c r="F844" s="23" t="s">
        <v>268</v>
      </c>
      <c r="G844" s="23" t="s">
        <v>301</v>
      </c>
      <c r="H844" s="39">
        <f t="shared" si="52"/>
        <v>1299</v>
      </c>
      <c r="I844" s="23" t="str">
        <f t="shared" si="53"/>
        <v>Hyderabad</v>
      </c>
      <c r="J844" s="23">
        <f>COUNTIFS(pg_transaction_cleaned!$O:$O,A844,pg_transaction_cleaned!$F:$F,"CAPTURE")</f>
        <v>1</v>
      </c>
      <c r="K844" s="39">
        <f>SUMIFS(pg_transaction_cleaned!$H:$H,pg_transaction_cleaned!$O:$O,A844,pg_transaction_cleaned!$F:$F,"CAPTURE")</f>
        <v>1299</v>
      </c>
      <c r="L844" s="23">
        <f>COUNTIFS(pg_transaction_cleaned!$O:$O,A844,pg_transaction_cleaned!$F:$F,"REFUND")</f>
        <v>1</v>
      </c>
      <c r="M844" s="39">
        <f>SUMIFS(pg_transaction_cleaned!$H:$H,pg_transaction_cleaned!$O:$O,A844,pg_transaction_cleaned!$F:$F,"REFUND")</f>
        <v>1299</v>
      </c>
      <c r="N844" s="23" t="str">
        <f t="shared" si="54"/>
        <v>OK</v>
      </c>
      <c r="O844" s="24">
        <f t="shared" si="55"/>
        <v>0</v>
      </c>
    </row>
    <row r="845" spans="1:15" ht="15" customHeight="1" x14ac:dyDescent="0.3">
      <c r="A845" s="23" t="s">
        <v>2138</v>
      </c>
      <c r="B845" s="38">
        <v>46270</v>
      </c>
      <c r="C845" s="23" t="s">
        <v>2139</v>
      </c>
      <c r="D845" s="23" t="s">
        <v>88</v>
      </c>
      <c r="E845" s="23" t="s">
        <v>75</v>
      </c>
      <c r="F845" s="23" t="s">
        <v>274</v>
      </c>
      <c r="G845" s="23" t="s">
        <v>250</v>
      </c>
      <c r="H845" s="39">
        <f t="shared" si="52"/>
        <v>349</v>
      </c>
      <c r="I845" s="23" t="str">
        <f t="shared" si="53"/>
        <v>Lucknow</v>
      </c>
      <c r="J845" s="23">
        <f>COUNTIFS(pg_transaction_cleaned!$O:$O,A845,pg_transaction_cleaned!$F:$F,"CAPTURE")</f>
        <v>1</v>
      </c>
      <c r="K845" s="39">
        <f>SUMIFS(pg_transaction_cleaned!$H:$H,pg_transaction_cleaned!$O:$O,A845,pg_transaction_cleaned!$F:$F,"CAPTURE")</f>
        <v>349</v>
      </c>
      <c r="L845" s="23">
        <f>COUNTIFS(pg_transaction_cleaned!$O:$O,A845,pg_transaction_cleaned!$F:$F,"REFUND")</f>
        <v>0</v>
      </c>
      <c r="M845" s="39">
        <f>SUMIFS(pg_transaction_cleaned!$H:$H,pg_transaction_cleaned!$O:$O,A845,pg_transaction_cleaned!$F:$F,"REFUND")</f>
        <v>0</v>
      </c>
      <c r="N845" s="23" t="str">
        <f t="shared" si="54"/>
        <v>OK</v>
      </c>
      <c r="O845" s="24">
        <f t="shared" si="55"/>
        <v>0</v>
      </c>
    </row>
    <row r="846" spans="1:15" ht="15" customHeight="1" x14ac:dyDescent="0.3">
      <c r="A846" s="23" t="s">
        <v>2140</v>
      </c>
      <c r="B846" s="38">
        <v>46274</v>
      </c>
      <c r="C846" s="23" t="s">
        <v>2141</v>
      </c>
      <c r="D846" s="23" t="s">
        <v>94</v>
      </c>
      <c r="E846" s="23" t="s">
        <v>75</v>
      </c>
      <c r="F846" s="23" t="s">
        <v>520</v>
      </c>
      <c r="G846" s="23" t="s">
        <v>250</v>
      </c>
      <c r="H846" s="39">
        <f t="shared" si="52"/>
        <v>4998</v>
      </c>
      <c r="I846" s="23" t="str">
        <f t="shared" si="53"/>
        <v>Chennai</v>
      </c>
      <c r="J846" s="23">
        <f>COUNTIFS(pg_transaction_cleaned!$O:$O,A846,pg_transaction_cleaned!$F:$F,"CAPTURE")</f>
        <v>1</v>
      </c>
      <c r="K846" s="39">
        <f>SUMIFS(pg_transaction_cleaned!$H:$H,pg_transaction_cleaned!$O:$O,A846,pg_transaction_cleaned!$F:$F,"CAPTURE")</f>
        <v>4998</v>
      </c>
      <c r="L846" s="23">
        <f>COUNTIFS(pg_transaction_cleaned!$O:$O,A846,pg_transaction_cleaned!$F:$F,"REFUND")</f>
        <v>0</v>
      </c>
      <c r="M846" s="39">
        <f>SUMIFS(pg_transaction_cleaned!$H:$H,pg_transaction_cleaned!$O:$O,A846,pg_transaction_cleaned!$F:$F,"REFUND")</f>
        <v>0</v>
      </c>
      <c r="N846" s="23" t="str">
        <f t="shared" si="54"/>
        <v>OK</v>
      </c>
      <c r="O846" s="24">
        <f t="shared" si="55"/>
        <v>0</v>
      </c>
    </row>
    <row r="847" spans="1:15" ht="15" customHeight="1" x14ac:dyDescent="0.3">
      <c r="A847" s="23" t="s">
        <v>2142</v>
      </c>
      <c r="B847" s="38">
        <v>46268</v>
      </c>
      <c r="C847" s="23" t="s">
        <v>2143</v>
      </c>
      <c r="D847" s="23" t="s">
        <v>94</v>
      </c>
      <c r="E847" s="23" t="s">
        <v>79</v>
      </c>
      <c r="F847" s="23" t="s">
        <v>1265</v>
      </c>
      <c r="G847" s="23" t="s">
        <v>250</v>
      </c>
      <c r="H847" s="39">
        <f t="shared" si="52"/>
        <v>6997</v>
      </c>
      <c r="I847" s="23" t="str">
        <f t="shared" si="53"/>
        <v>Chennai</v>
      </c>
      <c r="J847" s="23">
        <f>COUNTIFS(pg_transaction_cleaned!$O:$O,A847,pg_transaction_cleaned!$F:$F,"CAPTURE")</f>
        <v>1</v>
      </c>
      <c r="K847" s="39">
        <f>SUMIFS(pg_transaction_cleaned!$H:$H,pg_transaction_cleaned!$O:$O,A847,pg_transaction_cleaned!$F:$F,"CAPTURE")</f>
        <v>6997</v>
      </c>
      <c r="L847" s="23">
        <f>COUNTIFS(pg_transaction_cleaned!$O:$O,A847,pg_transaction_cleaned!$F:$F,"REFUND")</f>
        <v>0</v>
      </c>
      <c r="M847" s="39">
        <f>SUMIFS(pg_transaction_cleaned!$H:$H,pg_transaction_cleaned!$O:$O,A847,pg_transaction_cleaned!$F:$F,"REFUND")</f>
        <v>0</v>
      </c>
      <c r="N847" s="23" t="str">
        <f t="shared" si="54"/>
        <v>OK</v>
      </c>
      <c r="O847" s="24">
        <f t="shared" si="55"/>
        <v>0</v>
      </c>
    </row>
    <row r="848" spans="1:15" ht="15" customHeight="1" x14ac:dyDescent="0.3">
      <c r="A848" s="23" t="s">
        <v>2144</v>
      </c>
      <c r="B848" s="38">
        <v>46271</v>
      </c>
      <c r="C848" s="23" t="s">
        <v>2145</v>
      </c>
      <c r="D848" s="23" t="s">
        <v>93</v>
      </c>
      <c r="E848" s="23" t="s">
        <v>75</v>
      </c>
      <c r="F848" s="23" t="s">
        <v>483</v>
      </c>
      <c r="G848" s="23" t="s">
        <v>250</v>
      </c>
      <c r="H848" s="39">
        <f t="shared" si="52"/>
        <v>2998</v>
      </c>
      <c r="I848" s="23" t="str">
        <f t="shared" si="53"/>
        <v>Kolkata</v>
      </c>
      <c r="J848" s="23">
        <f>COUNTIFS(pg_transaction_cleaned!$O:$O,A848,pg_transaction_cleaned!$F:$F,"CAPTURE")</f>
        <v>1</v>
      </c>
      <c r="K848" s="39">
        <f>SUMIFS(pg_transaction_cleaned!$H:$H,pg_transaction_cleaned!$O:$O,A848,pg_transaction_cleaned!$F:$F,"CAPTURE")</f>
        <v>2998</v>
      </c>
      <c r="L848" s="23">
        <f>COUNTIFS(pg_transaction_cleaned!$O:$O,A848,pg_transaction_cleaned!$F:$F,"REFUND")</f>
        <v>0</v>
      </c>
      <c r="M848" s="39">
        <f>SUMIFS(pg_transaction_cleaned!$H:$H,pg_transaction_cleaned!$O:$O,A848,pg_transaction_cleaned!$F:$F,"REFUND")</f>
        <v>0</v>
      </c>
      <c r="N848" s="23" t="str">
        <f t="shared" si="54"/>
        <v>OK</v>
      </c>
      <c r="O848" s="24">
        <f t="shared" si="55"/>
        <v>0</v>
      </c>
    </row>
    <row r="849" spans="1:15" ht="15" customHeight="1" x14ac:dyDescent="0.3">
      <c r="A849" s="23" t="s">
        <v>2146</v>
      </c>
      <c r="B849" s="38">
        <v>46290</v>
      </c>
      <c r="C849" s="23" t="s">
        <v>2147</v>
      </c>
      <c r="D849" s="23" t="s">
        <v>95</v>
      </c>
      <c r="E849" s="23" t="s">
        <v>75</v>
      </c>
      <c r="F849" s="23" t="s">
        <v>475</v>
      </c>
      <c r="G849" s="23" t="s">
        <v>318</v>
      </c>
      <c r="H849" s="39">
        <f t="shared" si="52"/>
        <v>799</v>
      </c>
      <c r="I849" s="23" t="str">
        <f t="shared" si="53"/>
        <v>Bengaluru</v>
      </c>
      <c r="J849" s="23">
        <f>COUNTIFS(pg_transaction_cleaned!$O:$O,A849,pg_transaction_cleaned!$F:$F,"CAPTURE")</f>
        <v>0</v>
      </c>
      <c r="K849" s="39">
        <f>SUMIFS(pg_transaction_cleaned!$H:$H,pg_transaction_cleaned!$O:$O,A849,pg_transaction_cleaned!$F:$F,"CAPTURE")</f>
        <v>0</v>
      </c>
      <c r="L849" s="23">
        <f>COUNTIFS(pg_transaction_cleaned!$O:$O,A849,pg_transaction_cleaned!$F:$F,"REFUND")</f>
        <v>0</v>
      </c>
      <c r="M849" s="39">
        <f>SUMIFS(pg_transaction_cleaned!$H:$H,pg_transaction_cleaned!$O:$O,A849,pg_transaction_cleaned!$F:$F,"REFUND")</f>
        <v>0</v>
      </c>
      <c r="N849" s="23" t="str">
        <f t="shared" si="54"/>
        <v>OK</v>
      </c>
      <c r="O849" s="24">
        <f t="shared" si="55"/>
        <v>0</v>
      </c>
    </row>
    <row r="850" spans="1:15" ht="15" customHeight="1" x14ac:dyDescent="0.3">
      <c r="A850" s="23" t="s">
        <v>2148</v>
      </c>
      <c r="B850" s="38">
        <v>46290</v>
      </c>
      <c r="C850" s="23" t="s">
        <v>2149</v>
      </c>
      <c r="D850" s="23" t="s">
        <v>88</v>
      </c>
      <c r="E850" s="23" t="s">
        <v>77</v>
      </c>
      <c r="F850" s="23" t="s">
        <v>274</v>
      </c>
      <c r="G850" s="23" t="s">
        <v>250</v>
      </c>
      <c r="H850" s="39">
        <f t="shared" si="52"/>
        <v>349</v>
      </c>
      <c r="I850" s="23" t="str">
        <f t="shared" si="53"/>
        <v>Lucknow</v>
      </c>
      <c r="J850" s="23">
        <f>COUNTIFS(pg_transaction_cleaned!$O:$O,A850,pg_transaction_cleaned!$F:$F,"CAPTURE")</f>
        <v>1</v>
      </c>
      <c r="K850" s="39">
        <f>SUMIFS(pg_transaction_cleaned!$H:$H,pg_transaction_cleaned!$O:$O,A850,pg_transaction_cleaned!$F:$F,"CAPTURE")</f>
        <v>349</v>
      </c>
      <c r="L850" s="23">
        <f>COUNTIFS(pg_transaction_cleaned!$O:$O,A850,pg_transaction_cleaned!$F:$F,"REFUND")</f>
        <v>0</v>
      </c>
      <c r="M850" s="39">
        <f>SUMIFS(pg_transaction_cleaned!$H:$H,pg_transaction_cleaned!$O:$O,A850,pg_transaction_cleaned!$F:$F,"REFUND")</f>
        <v>0</v>
      </c>
      <c r="N850" s="23" t="str">
        <f t="shared" si="54"/>
        <v>OK</v>
      </c>
      <c r="O850" s="24">
        <f t="shared" si="55"/>
        <v>0</v>
      </c>
    </row>
    <row r="851" spans="1:15" ht="15" customHeight="1" x14ac:dyDescent="0.3">
      <c r="A851" s="23" t="s">
        <v>2150</v>
      </c>
      <c r="B851" s="38">
        <v>46281</v>
      </c>
      <c r="C851" s="23" t="s">
        <v>400</v>
      </c>
      <c r="D851" s="23" t="s">
        <v>88</v>
      </c>
      <c r="E851" s="23" t="s">
        <v>75</v>
      </c>
      <c r="F851" s="23" t="s">
        <v>2151</v>
      </c>
      <c r="G851" s="23" t="s">
        <v>365</v>
      </c>
      <c r="H851" s="39">
        <f t="shared" si="52"/>
        <v>10497</v>
      </c>
      <c r="I851" s="23" t="str">
        <f t="shared" si="53"/>
        <v>Lucknow</v>
      </c>
      <c r="J851" s="23">
        <f>COUNTIFS(pg_transaction_cleaned!$O:$O,A851,pg_transaction_cleaned!$F:$F,"CAPTURE")</f>
        <v>0</v>
      </c>
      <c r="K851" s="39">
        <f>SUMIFS(pg_transaction_cleaned!$H:$H,pg_transaction_cleaned!$O:$O,A851,pg_transaction_cleaned!$F:$F,"CAPTURE")</f>
        <v>0</v>
      </c>
      <c r="L851" s="23">
        <f>COUNTIFS(pg_transaction_cleaned!$O:$O,A851,pg_transaction_cleaned!$F:$F,"REFUND")</f>
        <v>0</v>
      </c>
      <c r="M851" s="39">
        <f>SUMIFS(pg_transaction_cleaned!$H:$H,pg_transaction_cleaned!$O:$O,A851,pg_transaction_cleaned!$F:$F,"REFUND")</f>
        <v>0</v>
      </c>
      <c r="N851" s="23" t="str">
        <f t="shared" si="54"/>
        <v>OK</v>
      </c>
      <c r="O851" s="24">
        <f t="shared" si="55"/>
        <v>0</v>
      </c>
    </row>
    <row r="852" spans="1:15" ht="15" customHeight="1" x14ac:dyDescent="0.3">
      <c r="A852" s="23" t="s">
        <v>2152</v>
      </c>
      <c r="B852" s="38">
        <v>46289</v>
      </c>
      <c r="C852" s="23" t="s">
        <v>2153</v>
      </c>
      <c r="D852" s="23" t="s">
        <v>88</v>
      </c>
      <c r="E852" s="23" t="s">
        <v>77</v>
      </c>
      <c r="F852" s="23" t="s">
        <v>1010</v>
      </c>
      <c r="G852" s="23" t="s">
        <v>250</v>
      </c>
      <c r="H852" s="39">
        <f t="shared" si="52"/>
        <v>4498</v>
      </c>
      <c r="I852" s="23" t="str">
        <f t="shared" si="53"/>
        <v>Lucknow</v>
      </c>
      <c r="J852" s="23">
        <f>COUNTIFS(pg_transaction_cleaned!$O:$O,A852,pg_transaction_cleaned!$F:$F,"CAPTURE")</f>
        <v>1</v>
      </c>
      <c r="K852" s="39">
        <f>SUMIFS(pg_transaction_cleaned!$H:$H,pg_transaction_cleaned!$O:$O,A852,pg_transaction_cleaned!$F:$F,"CAPTURE")</f>
        <v>4498</v>
      </c>
      <c r="L852" s="23">
        <f>COUNTIFS(pg_transaction_cleaned!$O:$O,A852,pg_transaction_cleaned!$F:$F,"REFUND")</f>
        <v>0</v>
      </c>
      <c r="M852" s="39">
        <f>SUMIFS(pg_transaction_cleaned!$H:$H,pg_transaction_cleaned!$O:$O,A852,pg_transaction_cleaned!$F:$F,"REFUND")</f>
        <v>0</v>
      </c>
      <c r="N852" s="23" t="str">
        <f t="shared" si="54"/>
        <v>OK</v>
      </c>
      <c r="O852" s="24">
        <f t="shared" si="55"/>
        <v>0</v>
      </c>
    </row>
    <row r="853" spans="1:15" ht="15" customHeight="1" x14ac:dyDescent="0.3">
      <c r="A853" s="23" t="s">
        <v>2154</v>
      </c>
      <c r="B853" s="38">
        <v>46283</v>
      </c>
      <c r="C853" s="23" t="s">
        <v>2155</v>
      </c>
      <c r="D853" s="23" t="s">
        <v>90</v>
      </c>
      <c r="E853" s="23" t="s">
        <v>75</v>
      </c>
      <c r="F853" s="23" t="s">
        <v>514</v>
      </c>
      <c r="G853" s="23" t="s">
        <v>250</v>
      </c>
      <c r="H853" s="39">
        <f t="shared" si="52"/>
        <v>6498</v>
      </c>
      <c r="I853" s="23" t="str">
        <f t="shared" si="53"/>
        <v>Ahmedabad</v>
      </c>
      <c r="J853" s="23">
        <f>COUNTIFS(pg_transaction_cleaned!$O:$O,A853,pg_transaction_cleaned!$F:$F,"CAPTURE")</f>
        <v>1</v>
      </c>
      <c r="K853" s="39">
        <f>SUMIFS(pg_transaction_cleaned!$H:$H,pg_transaction_cleaned!$O:$O,A853,pg_transaction_cleaned!$F:$F,"CAPTURE")</f>
        <v>6498</v>
      </c>
      <c r="L853" s="23">
        <f>COUNTIFS(pg_transaction_cleaned!$O:$O,A853,pg_transaction_cleaned!$F:$F,"REFUND")</f>
        <v>0</v>
      </c>
      <c r="M853" s="39">
        <f>SUMIFS(pg_transaction_cleaned!$H:$H,pg_transaction_cleaned!$O:$O,A853,pg_transaction_cleaned!$F:$F,"REFUND")</f>
        <v>0</v>
      </c>
      <c r="N853" s="23" t="str">
        <f t="shared" si="54"/>
        <v>OK</v>
      </c>
      <c r="O853" s="24">
        <f t="shared" si="55"/>
        <v>0</v>
      </c>
    </row>
    <row r="854" spans="1:15" ht="15" customHeight="1" x14ac:dyDescent="0.3">
      <c r="A854" s="23" t="s">
        <v>2156</v>
      </c>
      <c r="B854" s="38">
        <v>46292</v>
      </c>
      <c r="C854" s="23" t="s">
        <v>2157</v>
      </c>
      <c r="D854" s="23" t="s">
        <v>89</v>
      </c>
      <c r="E854" s="23" t="s">
        <v>75</v>
      </c>
      <c r="F854" s="23" t="s">
        <v>329</v>
      </c>
      <c r="G854" s="23" t="s">
        <v>250</v>
      </c>
      <c r="H854" s="39">
        <f t="shared" si="52"/>
        <v>599</v>
      </c>
      <c r="I854" s="23" t="str">
        <f t="shared" si="53"/>
        <v>Jaipur</v>
      </c>
      <c r="J854" s="23">
        <f>COUNTIFS(pg_transaction_cleaned!$O:$O,A854,pg_transaction_cleaned!$F:$F,"CAPTURE")</f>
        <v>1</v>
      </c>
      <c r="K854" s="39">
        <f>SUMIFS(pg_transaction_cleaned!$H:$H,pg_transaction_cleaned!$O:$O,A854,pg_transaction_cleaned!$F:$F,"CAPTURE")</f>
        <v>599</v>
      </c>
      <c r="L854" s="23">
        <f>COUNTIFS(pg_transaction_cleaned!$O:$O,A854,pg_transaction_cleaned!$F:$F,"REFUND")</f>
        <v>0</v>
      </c>
      <c r="M854" s="39">
        <f>SUMIFS(pg_transaction_cleaned!$H:$H,pg_transaction_cleaned!$O:$O,A854,pg_transaction_cleaned!$F:$F,"REFUND")</f>
        <v>0</v>
      </c>
      <c r="N854" s="23" t="str">
        <f t="shared" si="54"/>
        <v>OK</v>
      </c>
      <c r="O854" s="24">
        <f t="shared" si="55"/>
        <v>0</v>
      </c>
    </row>
    <row r="855" spans="1:15" ht="15" customHeight="1" x14ac:dyDescent="0.3">
      <c r="A855" s="23" t="s">
        <v>2158</v>
      </c>
      <c r="B855" s="38">
        <v>46278</v>
      </c>
      <c r="C855" s="23" t="s">
        <v>2159</v>
      </c>
      <c r="D855" s="23" t="s">
        <v>93</v>
      </c>
      <c r="E855" s="23" t="s">
        <v>75</v>
      </c>
      <c r="F855" s="23" t="s">
        <v>2160</v>
      </c>
      <c r="G855" s="23" t="s">
        <v>301</v>
      </c>
      <c r="H855" s="39">
        <f t="shared" si="52"/>
        <v>7998</v>
      </c>
      <c r="I855" s="23" t="str">
        <f t="shared" si="53"/>
        <v>Kolkata</v>
      </c>
      <c r="J855" s="23">
        <f>COUNTIFS(pg_transaction_cleaned!$O:$O,A855,pg_transaction_cleaned!$F:$F,"CAPTURE")</f>
        <v>1</v>
      </c>
      <c r="K855" s="39">
        <f>SUMIFS(pg_transaction_cleaned!$H:$H,pg_transaction_cleaned!$O:$O,A855,pg_transaction_cleaned!$F:$F,"CAPTURE")</f>
        <v>7998</v>
      </c>
      <c r="L855" s="23">
        <f>COUNTIFS(pg_transaction_cleaned!$O:$O,A855,pg_transaction_cleaned!$F:$F,"REFUND")</f>
        <v>1</v>
      </c>
      <c r="M855" s="39">
        <f>SUMIFS(pg_transaction_cleaned!$H:$H,pg_transaction_cleaned!$O:$O,A855,pg_transaction_cleaned!$F:$F,"REFUND")</f>
        <v>7998</v>
      </c>
      <c r="N855" s="23" t="str">
        <f t="shared" si="54"/>
        <v>OK</v>
      </c>
      <c r="O855" s="24">
        <f t="shared" si="55"/>
        <v>0</v>
      </c>
    </row>
    <row r="856" spans="1:15" ht="15" customHeight="1" x14ac:dyDescent="0.3">
      <c r="A856" s="23" t="s">
        <v>2161</v>
      </c>
      <c r="B856" s="38">
        <v>46294</v>
      </c>
      <c r="C856" s="23" t="s">
        <v>2162</v>
      </c>
      <c r="D856" s="23" t="s">
        <v>92</v>
      </c>
      <c r="E856" s="23" t="s">
        <v>75</v>
      </c>
      <c r="F856" s="23" t="s">
        <v>297</v>
      </c>
      <c r="G856" s="23" t="s">
        <v>250</v>
      </c>
      <c r="H856" s="39">
        <f t="shared" si="52"/>
        <v>4999</v>
      </c>
      <c r="I856" s="23" t="str">
        <f t="shared" si="53"/>
        <v>Hyderabad</v>
      </c>
      <c r="J856" s="23">
        <f>COUNTIFS(pg_transaction_cleaned!$O:$O,A856,pg_transaction_cleaned!$F:$F,"CAPTURE")</f>
        <v>1</v>
      </c>
      <c r="K856" s="39">
        <f>SUMIFS(pg_transaction_cleaned!$H:$H,pg_transaction_cleaned!$O:$O,A856,pg_transaction_cleaned!$F:$F,"CAPTURE")</f>
        <v>4999</v>
      </c>
      <c r="L856" s="23">
        <f>COUNTIFS(pg_transaction_cleaned!$O:$O,A856,pg_transaction_cleaned!$F:$F,"REFUND")</f>
        <v>0</v>
      </c>
      <c r="M856" s="39">
        <f>SUMIFS(pg_transaction_cleaned!$H:$H,pg_transaction_cleaned!$O:$O,A856,pg_transaction_cleaned!$F:$F,"REFUND")</f>
        <v>0</v>
      </c>
      <c r="N856" s="23" t="str">
        <f t="shared" si="54"/>
        <v>OK</v>
      </c>
      <c r="O856" s="24">
        <f t="shared" si="55"/>
        <v>0</v>
      </c>
    </row>
    <row r="857" spans="1:15" ht="15" customHeight="1" x14ac:dyDescent="0.3">
      <c r="A857" s="23" t="s">
        <v>2163</v>
      </c>
      <c r="B857" s="38">
        <v>46285</v>
      </c>
      <c r="C857" s="23" t="s">
        <v>2164</v>
      </c>
      <c r="D857" s="23" t="s">
        <v>90</v>
      </c>
      <c r="E857" s="23" t="s">
        <v>75</v>
      </c>
      <c r="F857" s="23" t="s">
        <v>291</v>
      </c>
      <c r="G857" s="23" t="s">
        <v>250</v>
      </c>
      <c r="H857" s="39">
        <f t="shared" si="52"/>
        <v>3499</v>
      </c>
      <c r="I857" s="23" t="str">
        <f t="shared" si="53"/>
        <v>Ahmedabad</v>
      </c>
      <c r="J857" s="23">
        <f>COUNTIFS(pg_transaction_cleaned!$O:$O,A857,pg_transaction_cleaned!$F:$F,"CAPTURE")</f>
        <v>1</v>
      </c>
      <c r="K857" s="39">
        <f>SUMIFS(pg_transaction_cleaned!$H:$H,pg_transaction_cleaned!$O:$O,A857,pg_transaction_cleaned!$F:$F,"CAPTURE")</f>
        <v>3499</v>
      </c>
      <c r="L857" s="23">
        <f>COUNTIFS(pg_transaction_cleaned!$O:$O,A857,pg_transaction_cleaned!$F:$F,"REFUND")</f>
        <v>0</v>
      </c>
      <c r="M857" s="39">
        <f>SUMIFS(pg_transaction_cleaned!$H:$H,pg_transaction_cleaned!$O:$O,A857,pg_transaction_cleaned!$F:$F,"REFUND")</f>
        <v>0</v>
      </c>
      <c r="N857" s="23" t="str">
        <f t="shared" si="54"/>
        <v>OK</v>
      </c>
      <c r="O857" s="24">
        <f t="shared" si="55"/>
        <v>0</v>
      </c>
    </row>
    <row r="858" spans="1:15" ht="15" customHeight="1" x14ac:dyDescent="0.3">
      <c r="A858" s="23" t="s">
        <v>2165</v>
      </c>
      <c r="B858" s="38">
        <v>46268</v>
      </c>
      <c r="C858" s="23" t="s">
        <v>2166</v>
      </c>
      <c r="D858" s="23" t="s">
        <v>86</v>
      </c>
      <c r="E858" s="23" t="s">
        <v>77</v>
      </c>
      <c r="F858" s="23" t="s">
        <v>2167</v>
      </c>
      <c r="G858" s="23" t="s">
        <v>250</v>
      </c>
      <c r="H858" s="39">
        <f t="shared" si="52"/>
        <v>2647</v>
      </c>
      <c r="I858" s="23" t="str">
        <f t="shared" si="53"/>
        <v>Delhi</v>
      </c>
      <c r="J858" s="23">
        <f>COUNTIFS(pg_transaction_cleaned!$O:$O,A858,pg_transaction_cleaned!$F:$F,"CAPTURE")</f>
        <v>1</v>
      </c>
      <c r="K858" s="39">
        <f>SUMIFS(pg_transaction_cleaned!$H:$H,pg_transaction_cleaned!$O:$O,A858,pg_transaction_cleaned!$F:$F,"CAPTURE")</f>
        <v>2647</v>
      </c>
      <c r="L858" s="23">
        <f>COUNTIFS(pg_transaction_cleaned!$O:$O,A858,pg_transaction_cleaned!$F:$F,"REFUND")</f>
        <v>0</v>
      </c>
      <c r="M858" s="39">
        <f>SUMIFS(pg_transaction_cleaned!$H:$H,pg_transaction_cleaned!$O:$O,A858,pg_transaction_cleaned!$F:$F,"REFUND")</f>
        <v>0</v>
      </c>
      <c r="N858" s="23" t="str">
        <f t="shared" si="54"/>
        <v>OK</v>
      </c>
      <c r="O858" s="24">
        <f t="shared" si="55"/>
        <v>0</v>
      </c>
    </row>
    <row r="859" spans="1:15" ht="15" customHeight="1" x14ac:dyDescent="0.3">
      <c r="A859" s="23" t="s">
        <v>2168</v>
      </c>
      <c r="B859" s="38">
        <v>46278</v>
      </c>
      <c r="C859" s="23" t="s">
        <v>2169</v>
      </c>
      <c r="D859" s="23" t="s">
        <v>90</v>
      </c>
      <c r="E859" s="23" t="s">
        <v>75</v>
      </c>
      <c r="F859" s="23" t="s">
        <v>747</v>
      </c>
      <c r="G859" s="23" t="s">
        <v>250</v>
      </c>
      <c r="H859" s="39">
        <f t="shared" si="52"/>
        <v>2498</v>
      </c>
      <c r="I859" s="23" t="str">
        <f t="shared" si="53"/>
        <v>Ahmedabad</v>
      </c>
      <c r="J859" s="23">
        <f>COUNTIFS(pg_transaction_cleaned!$O:$O,A859,pg_transaction_cleaned!$F:$F,"CAPTURE")</f>
        <v>1</v>
      </c>
      <c r="K859" s="39">
        <f>SUMIFS(pg_transaction_cleaned!$H:$H,pg_transaction_cleaned!$O:$O,A859,pg_transaction_cleaned!$F:$F,"CAPTURE")</f>
        <v>2498</v>
      </c>
      <c r="L859" s="23">
        <f>COUNTIFS(pg_transaction_cleaned!$O:$O,A859,pg_transaction_cleaned!$F:$F,"REFUND")</f>
        <v>0</v>
      </c>
      <c r="M859" s="39">
        <f>SUMIFS(pg_transaction_cleaned!$H:$H,pg_transaction_cleaned!$O:$O,A859,pg_transaction_cleaned!$F:$F,"REFUND")</f>
        <v>0</v>
      </c>
      <c r="N859" s="23" t="str">
        <f t="shared" si="54"/>
        <v>OK</v>
      </c>
      <c r="O859" s="24">
        <f t="shared" si="55"/>
        <v>0</v>
      </c>
    </row>
    <row r="860" spans="1:15" ht="15" customHeight="1" x14ac:dyDescent="0.3">
      <c r="A860" s="23" t="s">
        <v>2170</v>
      </c>
      <c r="B860" s="38">
        <v>46268</v>
      </c>
      <c r="C860" s="23" t="s">
        <v>2171</v>
      </c>
      <c r="D860" s="23" t="s">
        <v>91</v>
      </c>
      <c r="E860" s="23" t="s">
        <v>77</v>
      </c>
      <c r="F860" s="23" t="s">
        <v>265</v>
      </c>
      <c r="G860" s="23" t="s">
        <v>250</v>
      </c>
      <c r="H860" s="39">
        <f t="shared" si="52"/>
        <v>999</v>
      </c>
      <c r="I860" s="23" t="str">
        <f t="shared" si="53"/>
        <v>Pune</v>
      </c>
      <c r="J860" s="23">
        <f>COUNTIFS(pg_transaction_cleaned!$O:$O,A860,pg_transaction_cleaned!$F:$F,"CAPTURE")</f>
        <v>1</v>
      </c>
      <c r="K860" s="39">
        <f>SUMIFS(pg_transaction_cleaned!$H:$H,pg_transaction_cleaned!$O:$O,A860,pg_transaction_cleaned!$F:$F,"CAPTURE")</f>
        <v>999</v>
      </c>
      <c r="L860" s="23">
        <f>COUNTIFS(pg_transaction_cleaned!$O:$O,A860,pg_transaction_cleaned!$F:$F,"REFUND")</f>
        <v>0</v>
      </c>
      <c r="M860" s="39">
        <f>SUMIFS(pg_transaction_cleaned!$H:$H,pg_transaction_cleaned!$O:$O,A860,pg_transaction_cleaned!$F:$F,"REFUND")</f>
        <v>0</v>
      </c>
      <c r="N860" s="23" t="str">
        <f t="shared" si="54"/>
        <v>OK</v>
      </c>
      <c r="O860" s="24">
        <f t="shared" si="55"/>
        <v>0</v>
      </c>
    </row>
    <row r="861" spans="1:15" ht="15" customHeight="1" x14ac:dyDescent="0.3">
      <c r="A861" s="23" t="s">
        <v>2172</v>
      </c>
      <c r="B861" s="38">
        <v>46268</v>
      </c>
      <c r="C861" s="23" t="s">
        <v>2173</v>
      </c>
      <c r="D861" s="23" t="s">
        <v>93</v>
      </c>
      <c r="E861" s="23" t="s">
        <v>75</v>
      </c>
      <c r="F861" s="23" t="s">
        <v>291</v>
      </c>
      <c r="G861" s="23" t="s">
        <v>250</v>
      </c>
      <c r="H861" s="39">
        <f t="shared" si="52"/>
        <v>3499</v>
      </c>
      <c r="I861" s="23" t="str">
        <f t="shared" si="53"/>
        <v>Kolkata</v>
      </c>
      <c r="J861" s="23">
        <f>COUNTIFS(pg_transaction_cleaned!$O:$O,A861,pg_transaction_cleaned!$F:$F,"CAPTURE")</f>
        <v>1</v>
      </c>
      <c r="K861" s="39">
        <f>SUMIFS(pg_transaction_cleaned!$H:$H,pg_transaction_cleaned!$O:$O,A861,pg_transaction_cleaned!$F:$F,"CAPTURE")</f>
        <v>3499</v>
      </c>
      <c r="L861" s="23">
        <f>COUNTIFS(pg_transaction_cleaned!$O:$O,A861,pg_transaction_cleaned!$F:$F,"REFUND")</f>
        <v>0</v>
      </c>
      <c r="M861" s="39">
        <f>SUMIFS(pg_transaction_cleaned!$H:$H,pg_transaction_cleaned!$O:$O,A861,pg_transaction_cleaned!$F:$F,"REFUND")</f>
        <v>0</v>
      </c>
      <c r="N861" s="23" t="str">
        <f t="shared" si="54"/>
        <v>OK</v>
      </c>
      <c r="O861" s="24">
        <f t="shared" si="55"/>
        <v>0</v>
      </c>
    </row>
    <row r="862" spans="1:15" ht="15" customHeight="1" x14ac:dyDescent="0.3">
      <c r="A862" s="23" t="s">
        <v>2174</v>
      </c>
      <c r="B862" s="38">
        <v>46289</v>
      </c>
      <c r="C862" s="23" t="s">
        <v>2175</v>
      </c>
      <c r="D862" s="23" t="s">
        <v>94</v>
      </c>
      <c r="E862" s="23" t="s">
        <v>75</v>
      </c>
      <c r="F862" s="23" t="s">
        <v>483</v>
      </c>
      <c r="G862" s="23" t="s">
        <v>250</v>
      </c>
      <c r="H862" s="39">
        <f t="shared" si="52"/>
        <v>2998</v>
      </c>
      <c r="I862" s="23" t="str">
        <f t="shared" si="53"/>
        <v>Chennai</v>
      </c>
      <c r="J862" s="23">
        <f>COUNTIFS(pg_transaction_cleaned!$O:$O,A862,pg_transaction_cleaned!$F:$F,"CAPTURE")</f>
        <v>1</v>
      </c>
      <c r="K862" s="39">
        <f>SUMIFS(pg_transaction_cleaned!$H:$H,pg_transaction_cleaned!$O:$O,A862,pg_transaction_cleaned!$F:$F,"CAPTURE")</f>
        <v>2998</v>
      </c>
      <c r="L862" s="23">
        <f>COUNTIFS(pg_transaction_cleaned!$O:$O,A862,pg_transaction_cleaned!$F:$F,"REFUND")</f>
        <v>0</v>
      </c>
      <c r="M862" s="39">
        <f>SUMIFS(pg_transaction_cleaned!$H:$H,pg_transaction_cleaned!$O:$O,A862,pg_transaction_cleaned!$F:$F,"REFUND")</f>
        <v>0</v>
      </c>
      <c r="N862" s="23" t="str">
        <f t="shared" si="54"/>
        <v>OK</v>
      </c>
      <c r="O862" s="24">
        <f t="shared" si="55"/>
        <v>0</v>
      </c>
    </row>
    <row r="863" spans="1:15" ht="15" customHeight="1" x14ac:dyDescent="0.3">
      <c r="A863" s="23" t="s">
        <v>2176</v>
      </c>
      <c r="B863" s="38">
        <v>46284</v>
      </c>
      <c r="C863" s="23" t="s">
        <v>2177</v>
      </c>
      <c r="D863" s="23" t="s">
        <v>93</v>
      </c>
      <c r="E863" s="23" t="s">
        <v>75</v>
      </c>
      <c r="F863" s="23" t="s">
        <v>2178</v>
      </c>
      <c r="G863" s="23" t="s">
        <v>250</v>
      </c>
      <c r="H863" s="39">
        <f t="shared" si="52"/>
        <v>8997</v>
      </c>
      <c r="I863" s="23" t="str">
        <f t="shared" si="53"/>
        <v>Kolkata</v>
      </c>
      <c r="J863" s="23">
        <f>COUNTIFS(pg_transaction_cleaned!$O:$O,A863,pg_transaction_cleaned!$F:$F,"CAPTURE")</f>
        <v>1</v>
      </c>
      <c r="K863" s="39">
        <f>SUMIFS(pg_transaction_cleaned!$H:$H,pg_transaction_cleaned!$O:$O,A863,pg_transaction_cleaned!$F:$F,"CAPTURE")</f>
        <v>8997</v>
      </c>
      <c r="L863" s="23">
        <f>COUNTIFS(pg_transaction_cleaned!$O:$O,A863,pg_transaction_cleaned!$F:$F,"REFUND")</f>
        <v>0</v>
      </c>
      <c r="M863" s="39">
        <f>SUMIFS(pg_transaction_cleaned!$H:$H,pg_transaction_cleaned!$O:$O,A863,pg_transaction_cleaned!$F:$F,"REFUND")</f>
        <v>0</v>
      </c>
      <c r="N863" s="23" t="str">
        <f t="shared" si="54"/>
        <v>OK</v>
      </c>
      <c r="O863" s="24">
        <f t="shared" si="55"/>
        <v>0</v>
      </c>
    </row>
    <row r="864" spans="1:15" ht="15" customHeight="1" x14ac:dyDescent="0.3">
      <c r="A864" s="23" t="s">
        <v>2179</v>
      </c>
      <c r="B864" s="38">
        <v>46275</v>
      </c>
      <c r="C864" s="23" t="s">
        <v>2180</v>
      </c>
      <c r="D864" s="23" t="s">
        <v>86</v>
      </c>
      <c r="E864" s="23" t="s">
        <v>75</v>
      </c>
      <c r="F864" s="23" t="s">
        <v>291</v>
      </c>
      <c r="G864" s="23" t="s">
        <v>250</v>
      </c>
      <c r="H864" s="39">
        <f t="shared" si="52"/>
        <v>3499</v>
      </c>
      <c r="I864" s="23" t="str">
        <f t="shared" si="53"/>
        <v>Delhi</v>
      </c>
      <c r="J864" s="23">
        <f>COUNTIFS(pg_transaction_cleaned!$O:$O,A864,pg_transaction_cleaned!$F:$F,"CAPTURE")</f>
        <v>1</v>
      </c>
      <c r="K864" s="39">
        <f>SUMIFS(pg_transaction_cleaned!$H:$H,pg_transaction_cleaned!$O:$O,A864,pg_transaction_cleaned!$F:$F,"CAPTURE")</f>
        <v>3499</v>
      </c>
      <c r="L864" s="23">
        <f>COUNTIFS(pg_transaction_cleaned!$O:$O,A864,pg_transaction_cleaned!$F:$F,"REFUND")</f>
        <v>0</v>
      </c>
      <c r="M864" s="39">
        <f>SUMIFS(pg_transaction_cleaned!$H:$H,pg_transaction_cleaned!$O:$O,A864,pg_transaction_cleaned!$F:$F,"REFUND")</f>
        <v>0</v>
      </c>
      <c r="N864" s="23" t="str">
        <f t="shared" si="54"/>
        <v>OK</v>
      </c>
      <c r="O864" s="24">
        <f t="shared" si="55"/>
        <v>0</v>
      </c>
    </row>
    <row r="865" spans="1:15" ht="15" customHeight="1" x14ac:dyDescent="0.3">
      <c r="A865" s="23" t="s">
        <v>2181</v>
      </c>
      <c r="B865" s="38">
        <v>46269</v>
      </c>
      <c r="C865" s="23" t="s">
        <v>2182</v>
      </c>
      <c r="D865" s="23" t="s">
        <v>90</v>
      </c>
      <c r="E865" s="23" t="s">
        <v>79</v>
      </c>
      <c r="F865" s="23" t="s">
        <v>329</v>
      </c>
      <c r="G865" s="23" t="s">
        <v>250</v>
      </c>
      <c r="H865" s="39">
        <f t="shared" si="52"/>
        <v>599</v>
      </c>
      <c r="I865" s="23" t="str">
        <f t="shared" si="53"/>
        <v>Ahmedabad</v>
      </c>
      <c r="J865" s="23">
        <f>COUNTIFS(pg_transaction_cleaned!$O:$O,A865,pg_transaction_cleaned!$F:$F,"CAPTURE")</f>
        <v>1</v>
      </c>
      <c r="K865" s="39">
        <f>SUMIFS(pg_transaction_cleaned!$H:$H,pg_transaction_cleaned!$O:$O,A865,pg_transaction_cleaned!$F:$F,"CAPTURE")</f>
        <v>599</v>
      </c>
      <c r="L865" s="23">
        <f>COUNTIFS(pg_transaction_cleaned!$O:$O,A865,pg_transaction_cleaned!$F:$F,"REFUND")</f>
        <v>0</v>
      </c>
      <c r="M865" s="39">
        <f>SUMIFS(pg_transaction_cleaned!$H:$H,pg_transaction_cleaned!$O:$O,A865,pg_transaction_cleaned!$F:$F,"REFUND")</f>
        <v>0</v>
      </c>
      <c r="N865" s="23" t="str">
        <f t="shared" si="54"/>
        <v>OK</v>
      </c>
      <c r="O865" s="24">
        <f t="shared" si="55"/>
        <v>0</v>
      </c>
    </row>
    <row r="866" spans="1:15" ht="15" customHeight="1" x14ac:dyDescent="0.3">
      <c r="A866" s="23" t="s">
        <v>2183</v>
      </c>
      <c r="B866" s="38">
        <v>46281</v>
      </c>
      <c r="C866" s="23" t="s">
        <v>2184</v>
      </c>
      <c r="D866" s="23" t="s">
        <v>95</v>
      </c>
      <c r="E866" s="23" t="s">
        <v>77</v>
      </c>
      <c r="F866" s="23" t="s">
        <v>426</v>
      </c>
      <c r="G866" s="23" t="s">
        <v>250</v>
      </c>
      <c r="H866" s="39">
        <f t="shared" si="52"/>
        <v>6798</v>
      </c>
      <c r="I866" s="23" t="str">
        <f t="shared" si="53"/>
        <v>Bengaluru</v>
      </c>
      <c r="J866" s="23">
        <f>COUNTIFS(pg_transaction_cleaned!$O:$O,A866,pg_transaction_cleaned!$F:$F,"CAPTURE")</f>
        <v>1</v>
      </c>
      <c r="K866" s="39">
        <f>SUMIFS(pg_transaction_cleaned!$H:$H,pg_transaction_cleaned!$O:$O,A866,pg_transaction_cleaned!$F:$F,"CAPTURE")</f>
        <v>6798</v>
      </c>
      <c r="L866" s="23">
        <f>COUNTIFS(pg_transaction_cleaned!$O:$O,A866,pg_transaction_cleaned!$F:$F,"REFUND")</f>
        <v>0</v>
      </c>
      <c r="M866" s="39">
        <f>SUMIFS(pg_transaction_cleaned!$H:$H,pg_transaction_cleaned!$O:$O,A866,pg_transaction_cleaned!$F:$F,"REFUND")</f>
        <v>0</v>
      </c>
      <c r="N866" s="23" t="str">
        <f t="shared" si="54"/>
        <v>OK</v>
      </c>
      <c r="O866" s="24">
        <f t="shared" si="55"/>
        <v>0</v>
      </c>
    </row>
    <row r="867" spans="1:15" ht="15" customHeight="1" x14ac:dyDescent="0.3">
      <c r="A867" s="23" t="s">
        <v>2185</v>
      </c>
      <c r="B867" s="38">
        <v>46284</v>
      </c>
      <c r="C867" s="23" t="s">
        <v>2186</v>
      </c>
      <c r="D867" s="23" t="s">
        <v>95</v>
      </c>
      <c r="E867" s="23" t="s">
        <v>79</v>
      </c>
      <c r="F867" s="23" t="s">
        <v>1308</v>
      </c>
      <c r="G867" s="23" t="s">
        <v>250</v>
      </c>
      <c r="H867" s="39">
        <f t="shared" si="52"/>
        <v>4297</v>
      </c>
      <c r="I867" s="23" t="str">
        <f t="shared" si="53"/>
        <v>Bengaluru</v>
      </c>
      <c r="J867" s="23">
        <f>COUNTIFS(pg_transaction_cleaned!$O:$O,A867,pg_transaction_cleaned!$F:$F,"CAPTURE")</f>
        <v>1</v>
      </c>
      <c r="K867" s="39">
        <f>SUMIFS(pg_transaction_cleaned!$H:$H,pg_transaction_cleaned!$O:$O,A867,pg_transaction_cleaned!$F:$F,"CAPTURE")</f>
        <v>4297</v>
      </c>
      <c r="L867" s="23">
        <f>COUNTIFS(pg_transaction_cleaned!$O:$O,A867,pg_transaction_cleaned!$F:$F,"REFUND")</f>
        <v>0</v>
      </c>
      <c r="M867" s="39">
        <f>SUMIFS(pg_transaction_cleaned!$H:$H,pg_transaction_cleaned!$O:$O,A867,pg_transaction_cleaned!$F:$F,"REFUND")</f>
        <v>0</v>
      </c>
      <c r="N867" s="23" t="str">
        <f t="shared" si="54"/>
        <v>OK</v>
      </c>
      <c r="O867" s="24">
        <f t="shared" si="55"/>
        <v>0</v>
      </c>
    </row>
    <row r="868" spans="1:15" ht="15" customHeight="1" x14ac:dyDescent="0.3">
      <c r="A868" s="23" t="s">
        <v>2187</v>
      </c>
      <c r="B868" s="38">
        <v>46294</v>
      </c>
      <c r="C868" s="23" t="s">
        <v>2188</v>
      </c>
      <c r="D868" s="23" t="s">
        <v>87</v>
      </c>
      <c r="E868" s="23" t="s">
        <v>81</v>
      </c>
      <c r="F868" s="23" t="s">
        <v>259</v>
      </c>
      <c r="G868" s="23" t="s">
        <v>250</v>
      </c>
      <c r="H868" s="39">
        <f t="shared" si="52"/>
        <v>3298</v>
      </c>
      <c r="I868" s="23" t="str">
        <f t="shared" si="53"/>
        <v>Mumbai</v>
      </c>
      <c r="J868" s="23">
        <f>COUNTIFS(pg_transaction_cleaned!$O:$O,A868,pg_transaction_cleaned!$F:$F,"CAPTURE")</f>
        <v>1</v>
      </c>
      <c r="K868" s="39">
        <f>SUMIFS(pg_transaction_cleaned!$H:$H,pg_transaction_cleaned!$O:$O,A868,pg_transaction_cleaned!$F:$F,"CAPTURE")</f>
        <v>3298</v>
      </c>
      <c r="L868" s="23">
        <f>COUNTIFS(pg_transaction_cleaned!$O:$O,A868,pg_transaction_cleaned!$F:$F,"REFUND")</f>
        <v>0</v>
      </c>
      <c r="M868" s="39">
        <f>SUMIFS(pg_transaction_cleaned!$H:$H,pg_transaction_cleaned!$O:$O,A868,pg_transaction_cleaned!$F:$F,"REFUND")</f>
        <v>0</v>
      </c>
      <c r="N868" s="23" t="str">
        <f t="shared" si="54"/>
        <v>OK</v>
      </c>
      <c r="O868" s="24">
        <f t="shared" si="55"/>
        <v>0</v>
      </c>
    </row>
    <row r="869" spans="1:15" ht="15" customHeight="1" x14ac:dyDescent="0.3">
      <c r="A869" s="23" t="s">
        <v>2189</v>
      </c>
      <c r="B869" s="38">
        <v>46271</v>
      </c>
      <c r="C869" s="23" t="s">
        <v>2190</v>
      </c>
      <c r="D869" s="23"/>
      <c r="E869" s="23" t="s">
        <v>75</v>
      </c>
      <c r="F869" s="23" t="s">
        <v>249</v>
      </c>
      <c r="G869" s="23" t="s">
        <v>250</v>
      </c>
      <c r="H869" s="39">
        <f t="shared" si="52"/>
        <v>299</v>
      </c>
      <c r="I869" s="23" t="str">
        <f t="shared" si="53"/>
        <v>Unknown</v>
      </c>
      <c r="J869" s="23">
        <f>COUNTIFS(pg_transaction_cleaned!$O:$O,A869,pg_transaction_cleaned!$F:$F,"CAPTURE")</f>
        <v>1</v>
      </c>
      <c r="K869" s="39">
        <f>SUMIFS(pg_transaction_cleaned!$H:$H,pg_transaction_cleaned!$O:$O,A869,pg_transaction_cleaned!$F:$F,"CAPTURE")</f>
        <v>299</v>
      </c>
      <c r="L869" s="23">
        <f>COUNTIFS(pg_transaction_cleaned!$O:$O,A869,pg_transaction_cleaned!$F:$F,"REFUND")</f>
        <v>0</v>
      </c>
      <c r="M869" s="39">
        <f>SUMIFS(pg_transaction_cleaned!$H:$H,pg_transaction_cleaned!$O:$O,A869,pg_transaction_cleaned!$F:$F,"REFUND")</f>
        <v>0</v>
      </c>
      <c r="N869" s="23" t="str">
        <f t="shared" si="54"/>
        <v>OK</v>
      </c>
      <c r="O869" s="24">
        <f t="shared" si="55"/>
        <v>0</v>
      </c>
    </row>
    <row r="870" spans="1:15" ht="15" customHeight="1" x14ac:dyDescent="0.3">
      <c r="A870" s="23" t="s">
        <v>2191</v>
      </c>
      <c r="B870" s="38">
        <v>46292</v>
      </c>
      <c r="C870" s="23" t="s">
        <v>2192</v>
      </c>
      <c r="D870" s="23" t="s">
        <v>86</v>
      </c>
      <c r="E870" s="23" t="s">
        <v>75</v>
      </c>
      <c r="F870" s="23" t="s">
        <v>1188</v>
      </c>
      <c r="G870" s="23" t="s">
        <v>365</v>
      </c>
      <c r="H870" s="39">
        <f t="shared" si="52"/>
        <v>1798</v>
      </c>
      <c r="I870" s="23" t="str">
        <f t="shared" si="53"/>
        <v>Delhi</v>
      </c>
      <c r="J870" s="23">
        <f>COUNTIFS(pg_transaction_cleaned!$O:$O,A870,pg_transaction_cleaned!$F:$F,"CAPTURE")</f>
        <v>0</v>
      </c>
      <c r="K870" s="39">
        <f>SUMIFS(pg_transaction_cleaned!$H:$H,pg_transaction_cleaned!$O:$O,A870,pg_transaction_cleaned!$F:$F,"CAPTURE")</f>
        <v>0</v>
      </c>
      <c r="L870" s="23">
        <f>COUNTIFS(pg_transaction_cleaned!$O:$O,A870,pg_transaction_cleaned!$F:$F,"REFUND")</f>
        <v>0</v>
      </c>
      <c r="M870" s="39">
        <f>SUMIFS(pg_transaction_cleaned!$H:$H,pg_transaction_cleaned!$O:$O,A870,pg_transaction_cleaned!$F:$F,"REFUND")</f>
        <v>0</v>
      </c>
      <c r="N870" s="23" t="str">
        <f t="shared" si="54"/>
        <v>OK</v>
      </c>
      <c r="O870" s="24">
        <f t="shared" si="55"/>
        <v>0</v>
      </c>
    </row>
    <row r="871" spans="1:15" ht="15" customHeight="1" x14ac:dyDescent="0.3">
      <c r="A871" s="23" t="s">
        <v>2193</v>
      </c>
      <c r="B871" s="38">
        <v>46271</v>
      </c>
      <c r="C871" s="23" t="s">
        <v>2194</v>
      </c>
      <c r="D871" s="23" t="s">
        <v>86</v>
      </c>
      <c r="E871" s="23" t="s">
        <v>79</v>
      </c>
      <c r="F871" s="23" t="s">
        <v>1448</v>
      </c>
      <c r="G871" s="23" t="s">
        <v>250</v>
      </c>
      <c r="H871" s="39">
        <f t="shared" si="52"/>
        <v>6297</v>
      </c>
      <c r="I871" s="23" t="str">
        <f t="shared" si="53"/>
        <v>Delhi</v>
      </c>
      <c r="J871" s="23">
        <f>COUNTIFS(pg_transaction_cleaned!$O:$O,A871,pg_transaction_cleaned!$F:$F,"CAPTURE")</f>
        <v>1</v>
      </c>
      <c r="K871" s="39">
        <f>SUMIFS(pg_transaction_cleaned!$H:$H,pg_transaction_cleaned!$O:$O,A871,pg_transaction_cleaned!$F:$F,"CAPTURE")</f>
        <v>6297</v>
      </c>
      <c r="L871" s="23">
        <f>COUNTIFS(pg_transaction_cleaned!$O:$O,A871,pg_transaction_cleaned!$F:$F,"REFUND")</f>
        <v>0</v>
      </c>
      <c r="M871" s="39">
        <f>SUMIFS(pg_transaction_cleaned!$H:$H,pg_transaction_cleaned!$O:$O,A871,pg_transaction_cleaned!$F:$F,"REFUND")</f>
        <v>0</v>
      </c>
      <c r="N871" s="23" t="str">
        <f t="shared" si="54"/>
        <v>OK</v>
      </c>
      <c r="O871" s="24">
        <f t="shared" si="55"/>
        <v>0</v>
      </c>
    </row>
    <row r="872" spans="1:15" ht="15" customHeight="1" x14ac:dyDescent="0.3">
      <c r="A872" s="23" t="s">
        <v>2195</v>
      </c>
      <c r="B872" s="38">
        <v>46280</v>
      </c>
      <c r="C872" s="23" t="s">
        <v>2196</v>
      </c>
      <c r="D872" s="23"/>
      <c r="E872" s="23" t="s">
        <v>75</v>
      </c>
      <c r="F872" s="23" t="s">
        <v>1123</v>
      </c>
      <c r="G872" s="23" t="s">
        <v>250</v>
      </c>
      <c r="H872" s="39">
        <f t="shared" si="52"/>
        <v>3797</v>
      </c>
      <c r="I872" s="23" t="str">
        <f t="shared" si="53"/>
        <v>Unknown</v>
      </c>
      <c r="J872" s="23">
        <f>COUNTIFS(pg_transaction_cleaned!$O:$O,A872,pg_transaction_cleaned!$F:$F,"CAPTURE")</f>
        <v>1</v>
      </c>
      <c r="K872" s="39">
        <f>SUMIFS(pg_transaction_cleaned!$H:$H,pg_transaction_cleaned!$O:$O,A872,pg_transaction_cleaned!$F:$F,"CAPTURE")</f>
        <v>3797</v>
      </c>
      <c r="L872" s="23">
        <f>COUNTIFS(pg_transaction_cleaned!$O:$O,A872,pg_transaction_cleaned!$F:$F,"REFUND")</f>
        <v>0</v>
      </c>
      <c r="M872" s="39">
        <f>SUMIFS(pg_transaction_cleaned!$H:$H,pg_transaction_cleaned!$O:$O,A872,pg_transaction_cleaned!$F:$F,"REFUND")</f>
        <v>0</v>
      </c>
      <c r="N872" s="23" t="str">
        <f t="shared" si="54"/>
        <v>OK</v>
      </c>
      <c r="O872" s="24">
        <f t="shared" si="55"/>
        <v>0</v>
      </c>
    </row>
    <row r="873" spans="1:15" ht="15" customHeight="1" x14ac:dyDescent="0.3">
      <c r="A873" s="23" t="s">
        <v>2197</v>
      </c>
      <c r="B873" s="38">
        <v>46292</v>
      </c>
      <c r="C873" s="23" t="s">
        <v>2198</v>
      </c>
      <c r="D873" s="23" t="s">
        <v>90</v>
      </c>
      <c r="E873" s="23" t="s">
        <v>79</v>
      </c>
      <c r="F873" s="23" t="s">
        <v>297</v>
      </c>
      <c r="G873" s="23" t="s">
        <v>250</v>
      </c>
      <c r="H873" s="39">
        <f t="shared" si="52"/>
        <v>4999</v>
      </c>
      <c r="I873" s="23" t="str">
        <f t="shared" si="53"/>
        <v>Ahmedabad</v>
      </c>
      <c r="J873" s="23">
        <f>COUNTIFS(pg_transaction_cleaned!$O:$O,A873,pg_transaction_cleaned!$F:$F,"CAPTURE")</f>
        <v>1</v>
      </c>
      <c r="K873" s="39">
        <f>SUMIFS(pg_transaction_cleaned!$H:$H,pg_transaction_cleaned!$O:$O,A873,pg_transaction_cleaned!$F:$F,"CAPTURE")</f>
        <v>4999</v>
      </c>
      <c r="L873" s="23">
        <f>COUNTIFS(pg_transaction_cleaned!$O:$O,A873,pg_transaction_cleaned!$F:$F,"REFUND")</f>
        <v>0</v>
      </c>
      <c r="M873" s="39">
        <f>SUMIFS(pg_transaction_cleaned!$H:$H,pg_transaction_cleaned!$O:$O,A873,pg_transaction_cleaned!$F:$F,"REFUND")</f>
        <v>0</v>
      </c>
      <c r="N873" s="23" t="str">
        <f t="shared" si="54"/>
        <v>OK</v>
      </c>
      <c r="O873" s="24">
        <f t="shared" si="55"/>
        <v>0</v>
      </c>
    </row>
    <row r="874" spans="1:15" ht="15" customHeight="1" x14ac:dyDescent="0.3">
      <c r="A874" s="23" t="s">
        <v>2199</v>
      </c>
      <c r="B874" s="38">
        <v>46270</v>
      </c>
      <c r="C874" s="23" t="s">
        <v>2200</v>
      </c>
      <c r="D874" s="23" t="s">
        <v>89</v>
      </c>
      <c r="E874" s="23" t="s">
        <v>75</v>
      </c>
      <c r="F874" s="23" t="s">
        <v>291</v>
      </c>
      <c r="G874" s="23" t="s">
        <v>250</v>
      </c>
      <c r="H874" s="39">
        <f t="shared" si="52"/>
        <v>3499</v>
      </c>
      <c r="I874" s="23" t="str">
        <f t="shared" si="53"/>
        <v>Jaipur</v>
      </c>
      <c r="J874" s="23">
        <f>COUNTIFS(pg_transaction_cleaned!$O:$O,A874,pg_transaction_cleaned!$F:$F,"CAPTURE")</f>
        <v>1</v>
      </c>
      <c r="K874" s="39">
        <f>SUMIFS(pg_transaction_cleaned!$H:$H,pg_transaction_cleaned!$O:$O,A874,pg_transaction_cleaned!$F:$F,"CAPTURE")</f>
        <v>3499</v>
      </c>
      <c r="L874" s="23">
        <f>COUNTIFS(pg_transaction_cleaned!$O:$O,A874,pg_transaction_cleaned!$F:$F,"REFUND")</f>
        <v>0</v>
      </c>
      <c r="M874" s="39">
        <f>SUMIFS(pg_transaction_cleaned!$H:$H,pg_transaction_cleaned!$O:$O,A874,pg_transaction_cleaned!$F:$F,"REFUND")</f>
        <v>0</v>
      </c>
      <c r="N874" s="23" t="str">
        <f t="shared" si="54"/>
        <v>OK</v>
      </c>
      <c r="O874" s="24">
        <f t="shared" si="55"/>
        <v>0</v>
      </c>
    </row>
    <row r="875" spans="1:15" ht="15" customHeight="1" x14ac:dyDescent="0.3">
      <c r="A875" s="23" t="s">
        <v>2201</v>
      </c>
      <c r="B875" s="38">
        <v>46272</v>
      </c>
      <c r="C875" s="23" t="s">
        <v>2202</v>
      </c>
      <c r="D875" s="23" t="s">
        <v>89</v>
      </c>
      <c r="E875" s="23" t="s">
        <v>79</v>
      </c>
      <c r="F875" s="23" t="s">
        <v>2086</v>
      </c>
      <c r="G875" s="23" t="s">
        <v>250</v>
      </c>
      <c r="H875" s="39">
        <f t="shared" si="52"/>
        <v>3397</v>
      </c>
      <c r="I875" s="23" t="str">
        <f t="shared" si="53"/>
        <v>Jaipur</v>
      </c>
      <c r="J875" s="23">
        <f>COUNTIFS(pg_transaction_cleaned!$O:$O,A875,pg_transaction_cleaned!$F:$F,"CAPTURE")</f>
        <v>1</v>
      </c>
      <c r="K875" s="39">
        <f>SUMIFS(pg_transaction_cleaned!$H:$H,pg_transaction_cleaned!$O:$O,A875,pg_transaction_cleaned!$F:$F,"CAPTURE")</f>
        <v>3397</v>
      </c>
      <c r="L875" s="23">
        <f>COUNTIFS(pg_transaction_cleaned!$O:$O,A875,pg_transaction_cleaned!$F:$F,"REFUND")</f>
        <v>0</v>
      </c>
      <c r="M875" s="39">
        <f>SUMIFS(pg_transaction_cleaned!$H:$H,pg_transaction_cleaned!$O:$O,A875,pg_transaction_cleaned!$F:$F,"REFUND")</f>
        <v>0</v>
      </c>
      <c r="N875" s="23" t="str">
        <f t="shared" si="54"/>
        <v>OK</v>
      </c>
      <c r="O875" s="24">
        <f t="shared" si="55"/>
        <v>0</v>
      </c>
    </row>
    <row r="876" spans="1:15" ht="15" customHeight="1" x14ac:dyDescent="0.3">
      <c r="A876" s="23" t="s">
        <v>2203</v>
      </c>
      <c r="B876" s="38">
        <v>46268</v>
      </c>
      <c r="C876" s="23" t="s">
        <v>2204</v>
      </c>
      <c r="D876" s="23" t="s">
        <v>93</v>
      </c>
      <c r="E876" s="23" t="s">
        <v>79</v>
      </c>
      <c r="F876" s="23" t="s">
        <v>2205</v>
      </c>
      <c r="G876" s="23" t="s">
        <v>250</v>
      </c>
      <c r="H876" s="39">
        <f t="shared" si="52"/>
        <v>6998</v>
      </c>
      <c r="I876" s="23" t="str">
        <f t="shared" si="53"/>
        <v>Kolkata</v>
      </c>
      <c r="J876" s="23">
        <f>COUNTIFS(pg_transaction_cleaned!$O:$O,A876,pg_transaction_cleaned!$F:$F,"CAPTURE")</f>
        <v>1</v>
      </c>
      <c r="K876" s="39">
        <f>SUMIFS(pg_transaction_cleaned!$H:$H,pg_transaction_cleaned!$O:$O,A876,pg_transaction_cleaned!$F:$F,"CAPTURE")</f>
        <v>6998</v>
      </c>
      <c r="L876" s="23">
        <f>COUNTIFS(pg_transaction_cleaned!$O:$O,A876,pg_transaction_cleaned!$F:$F,"REFUND")</f>
        <v>0</v>
      </c>
      <c r="M876" s="39">
        <f>SUMIFS(pg_transaction_cleaned!$H:$H,pg_transaction_cleaned!$O:$O,A876,pg_transaction_cleaned!$F:$F,"REFUND")</f>
        <v>0</v>
      </c>
      <c r="N876" s="23" t="str">
        <f t="shared" si="54"/>
        <v>OK</v>
      </c>
      <c r="O876" s="24">
        <f t="shared" si="55"/>
        <v>0</v>
      </c>
    </row>
    <row r="877" spans="1:15" ht="15" customHeight="1" x14ac:dyDescent="0.3">
      <c r="A877" s="23" t="s">
        <v>2206</v>
      </c>
      <c r="B877" s="38">
        <v>46285</v>
      </c>
      <c r="C877" s="23" t="s">
        <v>2207</v>
      </c>
      <c r="D877" s="23" t="s">
        <v>86</v>
      </c>
      <c r="E877" s="23" t="s">
        <v>77</v>
      </c>
      <c r="F877" s="23" t="s">
        <v>475</v>
      </c>
      <c r="G877" s="23" t="s">
        <v>250</v>
      </c>
      <c r="H877" s="39">
        <f t="shared" si="52"/>
        <v>799</v>
      </c>
      <c r="I877" s="23" t="str">
        <f t="shared" si="53"/>
        <v>Delhi</v>
      </c>
      <c r="J877" s="23">
        <f>COUNTIFS(pg_transaction_cleaned!$O:$O,A877,pg_transaction_cleaned!$F:$F,"CAPTURE")</f>
        <v>1</v>
      </c>
      <c r="K877" s="39">
        <f>SUMIFS(pg_transaction_cleaned!$H:$H,pg_transaction_cleaned!$O:$O,A877,pg_transaction_cleaned!$F:$F,"CAPTURE")</f>
        <v>799</v>
      </c>
      <c r="L877" s="23">
        <f>COUNTIFS(pg_transaction_cleaned!$O:$O,A877,pg_transaction_cleaned!$F:$F,"REFUND")</f>
        <v>0</v>
      </c>
      <c r="M877" s="39">
        <f>SUMIFS(pg_transaction_cleaned!$H:$H,pg_transaction_cleaned!$O:$O,A877,pg_transaction_cleaned!$F:$F,"REFUND")</f>
        <v>0</v>
      </c>
      <c r="N877" s="23" t="str">
        <f t="shared" si="54"/>
        <v>OK</v>
      </c>
      <c r="O877" s="24">
        <f t="shared" si="55"/>
        <v>0</v>
      </c>
    </row>
    <row r="878" spans="1:15" ht="15" customHeight="1" x14ac:dyDescent="0.3">
      <c r="A878" s="23" t="s">
        <v>2208</v>
      </c>
      <c r="B878" s="38">
        <v>46285</v>
      </c>
      <c r="C878" s="23" t="s">
        <v>2209</v>
      </c>
      <c r="D878" s="23" t="s">
        <v>88</v>
      </c>
      <c r="E878" s="23" t="s">
        <v>75</v>
      </c>
      <c r="F878" s="23" t="s">
        <v>259</v>
      </c>
      <c r="G878" s="23" t="s">
        <v>250</v>
      </c>
      <c r="H878" s="39">
        <f t="shared" si="52"/>
        <v>3298</v>
      </c>
      <c r="I878" s="23" t="str">
        <f t="shared" si="53"/>
        <v>Lucknow</v>
      </c>
      <c r="J878" s="23">
        <f>COUNTIFS(pg_transaction_cleaned!$O:$O,A878,pg_transaction_cleaned!$F:$F,"CAPTURE")</f>
        <v>1</v>
      </c>
      <c r="K878" s="39">
        <f>SUMIFS(pg_transaction_cleaned!$H:$H,pg_transaction_cleaned!$O:$O,A878,pg_transaction_cleaned!$F:$F,"CAPTURE")</f>
        <v>3298</v>
      </c>
      <c r="L878" s="23">
        <f>COUNTIFS(pg_transaction_cleaned!$O:$O,A878,pg_transaction_cleaned!$F:$F,"REFUND")</f>
        <v>0</v>
      </c>
      <c r="M878" s="39">
        <f>SUMIFS(pg_transaction_cleaned!$H:$H,pg_transaction_cleaned!$O:$O,A878,pg_transaction_cleaned!$F:$F,"REFUND")</f>
        <v>0</v>
      </c>
      <c r="N878" s="23" t="str">
        <f t="shared" si="54"/>
        <v>OK</v>
      </c>
      <c r="O878" s="24">
        <f t="shared" si="55"/>
        <v>0</v>
      </c>
    </row>
    <row r="879" spans="1:15" ht="15" customHeight="1" x14ac:dyDescent="0.3">
      <c r="A879" s="23" t="s">
        <v>2210</v>
      </c>
      <c r="B879" s="38">
        <v>46273</v>
      </c>
      <c r="C879" s="23" t="s">
        <v>2211</v>
      </c>
      <c r="D879" s="23" t="s">
        <v>95</v>
      </c>
      <c r="E879" s="23" t="s">
        <v>75</v>
      </c>
      <c r="F879" s="23" t="s">
        <v>2212</v>
      </c>
      <c r="G879" s="23" t="s">
        <v>250</v>
      </c>
      <c r="H879" s="39">
        <f t="shared" si="52"/>
        <v>1697</v>
      </c>
      <c r="I879" s="23" t="str">
        <f t="shared" si="53"/>
        <v>Bengaluru</v>
      </c>
      <c r="J879" s="23">
        <f>COUNTIFS(pg_transaction_cleaned!$O:$O,A879,pg_transaction_cleaned!$F:$F,"CAPTURE")</f>
        <v>1</v>
      </c>
      <c r="K879" s="39">
        <f>SUMIFS(pg_transaction_cleaned!$H:$H,pg_transaction_cleaned!$O:$O,A879,pg_transaction_cleaned!$F:$F,"CAPTURE")</f>
        <v>1697</v>
      </c>
      <c r="L879" s="23">
        <f>COUNTIFS(pg_transaction_cleaned!$O:$O,A879,pg_transaction_cleaned!$F:$F,"REFUND")</f>
        <v>0</v>
      </c>
      <c r="M879" s="39">
        <f>SUMIFS(pg_transaction_cleaned!$H:$H,pg_transaction_cleaned!$O:$O,A879,pg_transaction_cleaned!$F:$F,"REFUND")</f>
        <v>0</v>
      </c>
      <c r="N879" s="23" t="str">
        <f t="shared" si="54"/>
        <v>OK</v>
      </c>
      <c r="O879" s="24">
        <f t="shared" si="55"/>
        <v>0</v>
      </c>
    </row>
    <row r="880" spans="1:15" ht="15" customHeight="1" x14ac:dyDescent="0.3">
      <c r="A880" s="23" t="s">
        <v>2213</v>
      </c>
      <c r="B880" s="38">
        <v>46291</v>
      </c>
      <c r="C880" s="23" t="s">
        <v>2214</v>
      </c>
      <c r="D880" s="23" t="s">
        <v>95</v>
      </c>
      <c r="E880" s="23" t="s">
        <v>75</v>
      </c>
      <c r="F880" s="23" t="s">
        <v>300</v>
      </c>
      <c r="G880" s="23" t="s">
        <v>250</v>
      </c>
      <c r="H880" s="39">
        <f t="shared" si="52"/>
        <v>2598</v>
      </c>
      <c r="I880" s="23" t="str">
        <f t="shared" si="53"/>
        <v>Bengaluru</v>
      </c>
      <c r="J880" s="23">
        <f>COUNTIFS(pg_transaction_cleaned!$O:$O,A880,pg_transaction_cleaned!$F:$F,"CAPTURE")</f>
        <v>1</v>
      </c>
      <c r="K880" s="39">
        <f>SUMIFS(pg_transaction_cleaned!$H:$H,pg_transaction_cleaned!$O:$O,A880,pg_transaction_cleaned!$F:$F,"CAPTURE")</f>
        <v>2598</v>
      </c>
      <c r="L880" s="23">
        <f>COUNTIFS(pg_transaction_cleaned!$O:$O,A880,pg_transaction_cleaned!$F:$F,"REFUND")</f>
        <v>0</v>
      </c>
      <c r="M880" s="39">
        <f>SUMIFS(pg_transaction_cleaned!$H:$H,pg_transaction_cleaned!$O:$O,A880,pg_transaction_cleaned!$F:$F,"REFUND")</f>
        <v>0</v>
      </c>
      <c r="N880" s="23" t="str">
        <f t="shared" si="54"/>
        <v>OK</v>
      </c>
      <c r="O880" s="24">
        <f t="shared" si="55"/>
        <v>0</v>
      </c>
    </row>
    <row r="881" spans="1:15" ht="15" customHeight="1" x14ac:dyDescent="0.3">
      <c r="A881" s="23" t="s">
        <v>2215</v>
      </c>
      <c r="B881" s="38">
        <v>46266</v>
      </c>
      <c r="C881" s="23" t="s">
        <v>2216</v>
      </c>
      <c r="D881" s="23" t="s">
        <v>89</v>
      </c>
      <c r="E881" s="23" t="s">
        <v>75</v>
      </c>
      <c r="F881" s="23" t="s">
        <v>1072</v>
      </c>
      <c r="G881" s="23" t="s">
        <v>250</v>
      </c>
      <c r="H881" s="39">
        <f t="shared" si="52"/>
        <v>4897</v>
      </c>
      <c r="I881" s="23" t="str">
        <f t="shared" si="53"/>
        <v>Jaipur</v>
      </c>
      <c r="J881" s="23">
        <f>COUNTIFS(pg_transaction_cleaned!$O:$O,A881,pg_transaction_cleaned!$F:$F,"CAPTURE")</f>
        <v>1</v>
      </c>
      <c r="K881" s="39">
        <f>SUMIFS(pg_transaction_cleaned!$H:$H,pg_transaction_cleaned!$O:$O,A881,pg_transaction_cleaned!$F:$F,"CAPTURE")</f>
        <v>4897</v>
      </c>
      <c r="L881" s="23">
        <f>COUNTIFS(pg_transaction_cleaned!$O:$O,A881,pg_transaction_cleaned!$F:$F,"REFUND")</f>
        <v>0</v>
      </c>
      <c r="M881" s="39">
        <f>SUMIFS(pg_transaction_cleaned!$H:$H,pg_transaction_cleaned!$O:$O,A881,pg_transaction_cleaned!$F:$F,"REFUND")</f>
        <v>0</v>
      </c>
      <c r="N881" s="23" t="str">
        <f t="shared" si="54"/>
        <v>OK</v>
      </c>
      <c r="O881" s="24">
        <f t="shared" si="55"/>
        <v>0</v>
      </c>
    </row>
    <row r="882" spans="1:15" ht="15" customHeight="1" x14ac:dyDescent="0.3">
      <c r="A882" s="23" t="s">
        <v>2217</v>
      </c>
      <c r="B882" s="38">
        <v>46283</v>
      </c>
      <c r="C882" s="23" t="s">
        <v>2218</v>
      </c>
      <c r="D882" s="23" t="s">
        <v>93</v>
      </c>
      <c r="E882" s="23" t="s">
        <v>79</v>
      </c>
      <c r="F882" s="23" t="s">
        <v>775</v>
      </c>
      <c r="G882" s="23" t="s">
        <v>250</v>
      </c>
      <c r="H882" s="39">
        <f t="shared" si="52"/>
        <v>4999</v>
      </c>
      <c r="I882" s="23" t="str">
        <f t="shared" si="53"/>
        <v>Kolkata</v>
      </c>
      <c r="J882" s="23">
        <f>COUNTIFS(pg_transaction_cleaned!$O:$O,A882,pg_transaction_cleaned!$F:$F,"CAPTURE")</f>
        <v>1</v>
      </c>
      <c r="K882" s="39">
        <f>SUMIFS(pg_transaction_cleaned!$H:$H,pg_transaction_cleaned!$O:$O,A882,pg_transaction_cleaned!$F:$F,"CAPTURE")</f>
        <v>4999</v>
      </c>
      <c r="L882" s="23">
        <f>COUNTIFS(pg_transaction_cleaned!$O:$O,A882,pg_transaction_cleaned!$F:$F,"REFUND")</f>
        <v>0</v>
      </c>
      <c r="M882" s="39">
        <f>SUMIFS(pg_transaction_cleaned!$H:$H,pg_transaction_cleaned!$O:$O,A882,pg_transaction_cleaned!$F:$F,"REFUND")</f>
        <v>0</v>
      </c>
      <c r="N882" s="23" t="str">
        <f t="shared" si="54"/>
        <v>OK</v>
      </c>
      <c r="O882" s="24">
        <f t="shared" si="55"/>
        <v>0</v>
      </c>
    </row>
    <row r="883" spans="1:15" ht="15" customHeight="1" x14ac:dyDescent="0.3">
      <c r="A883" s="23" t="s">
        <v>2219</v>
      </c>
      <c r="B883" s="38">
        <v>46289</v>
      </c>
      <c r="C883" s="23" t="s">
        <v>2220</v>
      </c>
      <c r="D883" s="23"/>
      <c r="E883" s="23" t="s">
        <v>75</v>
      </c>
      <c r="F883" s="23" t="s">
        <v>553</v>
      </c>
      <c r="G883" s="23" t="s">
        <v>250</v>
      </c>
      <c r="H883" s="39">
        <f t="shared" si="52"/>
        <v>2798</v>
      </c>
      <c r="I883" s="23" t="str">
        <f t="shared" si="53"/>
        <v>Unknown</v>
      </c>
      <c r="J883" s="23">
        <f>COUNTIFS(pg_transaction_cleaned!$O:$O,A883,pg_transaction_cleaned!$F:$F,"CAPTURE")</f>
        <v>1</v>
      </c>
      <c r="K883" s="39">
        <f>SUMIFS(pg_transaction_cleaned!$H:$H,pg_transaction_cleaned!$O:$O,A883,pg_transaction_cleaned!$F:$F,"CAPTURE")</f>
        <v>2798</v>
      </c>
      <c r="L883" s="23">
        <f>COUNTIFS(pg_transaction_cleaned!$O:$O,A883,pg_transaction_cleaned!$F:$F,"REFUND")</f>
        <v>0</v>
      </c>
      <c r="M883" s="39">
        <f>SUMIFS(pg_transaction_cleaned!$H:$H,pg_transaction_cleaned!$O:$O,A883,pg_transaction_cleaned!$F:$F,"REFUND")</f>
        <v>0</v>
      </c>
      <c r="N883" s="23" t="str">
        <f t="shared" si="54"/>
        <v>OK</v>
      </c>
      <c r="O883" s="24">
        <f t="shared" si="55"/>
        <v>0</v>
      </c>
    </row>
    <row r="884" spans="1:15" ht="15" customHeight="1" x14ac:dyDescent="0.3">
      <c r="A884" s="23" t="s">
        <v>2221</v>
      </c>
      <c r="B884" s="38">
        <v>46295</v>
      </c>
      <c r="C884" s="23" t="s">
        <v>2222</v>
      </c>
      <c r="D884" s="23" t="s">
        <v>90</v>
      </c>
      <c r="E884" s="23" t="s">
        <v>75</v>
      </c>
      <c r="F884" s="23" t="s">
        <v>717</v>
      </c>
      <c r="G884" s="23" t="s">
        <v>250</v>
      </c>
      <c r="H884" s="39">
        <f t="shared" si="52"/>
        <v>5298</v>
      </c>
      <c r="I884" s="23" t="str">
        <f t="shared" si="53"/>
        <v>Ahmedabad</v>
      </c>
      <c r="J884" s="23">
        <f>COUNTIFS(pg_transaction_cleaned!$O:$O,A884,pg_transaction_cleaned!$F:$F,"CAPTURE")</f>
        <v>1</v>
      </c>
      <c r="K884" s="39">
        <f>SUMIFS(pg_transaction_cleaned!$H:$H,pg_transaction_cleaned!$O:$O,A884,pg_transaction_cleaned!$F:$F,"CAPTURE")</f>
        <v>5298</v>
      </c>
      <c r="L884" s="23">
        <f>COUNTIFS(pg_transaction_cleaned!$O:$O,A884,pg_transaction_cleaned!$F:$F,"REFUND")</f>
        <v>0</v>
      </c>
      <c r="M884" s="39">
        <f>SUMIFS(pg_transaction_cleaned!$H:$H,pg_transaction_cleaned!$O:$O,A884,pg_transaction_cleaned!$F:$F,"REFUND")</f>
        <v>0</v>
      </c>
      <c r="N884" s="23" t="str">
        <f t="shared" si="54"/>
        <v>OK</v>
      </c>
      <c r="O884" s="24">
        <f t="shared" si="55"/>
        <v>0</v>
      </c>
    </row>
    <row r="885" spans="1:15" ht="15" customHeight="1" x14ac:dyDescent="0.3">
      <c r="A885" s="23" t="s">
        <v>2223</v>
      </c>
      <c r="B885" s="38">
        <v>46294</v>
      </c>
      <c r="C885" s="23" t="s">
        <v>2224</v>
      </c>
      <c r="D885" s="23" t="s">
        <v>89</v>
      </c>
      <c r="E885" s="23" t="s">
        <v>75</v>
      </c>
      <c r="F885" s="23" t="s">
        <v>747</v>
      </c>
      <c r="G885" s="23" t="s">
        <v>250</v>
      </c>
      <c r="H885" s="39">
        <f t="shared" si="52"/>
        <v>2498</v>
      </c>
      <c r="I885" s="23" t="str">
        <f t="shared" si="53"/>
        <v>Jaipur</v>
      </c>
      <c r="J885" s="23">
        <f>COUNTIFS(pg_transaction_cleaned!$O:$O,A885,pg_transaction_cleaned!$F:$F,"CAPTURE")</f>
        <v>1</v>
      </c>
      <c r="K885" s="39">
        <f>SUMIFS(pg_transaction_cleaned!$H:$H,pg_transaction_cleaned!$O:$O,A885,pg_transaction_cleaned!$F:$F,"CAPTURE")</f>
        <v>2498</v>
      </c>
      <c r="L885" s="23">
        <f>COUNTIFS(pg_transaction_cleaned!$O:$O,A885,pg_transaction_cleaned!$F:$F,"REFUND")</f>
        <v>0</v>
      </c>
      <c r="M885" s="39">
        <f>SUMIFS(pg_transaction_cleaned!$H:$H,pg_transaction_cleaned!$O:$O,A885,pg_transaction_cleaned!$F:$F,"REFUND")</f>
        <v>0</v>
      </c>
      <c r="N885" s="23" t="str">
        <f t="shared" si="54"/>
        <v>OK</v>
      </c>
      <c r="O885" s="24">
        <f t="shared" si="55"/>
        <v>0</v>
      </c>
    </row>
    <row r="886" spans="1:15" ht="15" customHeight="1" x14ac:dyDescent="0.3">
      <c r="A886" s="23" t="s">
        <v>2225</v>
      </c>
      <c r="B886" s="38">
        <v>46275</v>
      </c>
      <c r="C886" s="23" t="s">
        <v>2226</v>
      </c>
      <c r="D886" s="23" t="s">
        <v>88</v>
      </c>
      <c r="E886" s="23" t="s">
        <v>75</v>
      </c>
      <c r="F886" s="23" t="s">
        <v>514</v>
      </c>
      <c r="G886" s="23" t="s">
        <v>250</v>
      </c>
      <c r="H886" s="39">
        <f t="shared" si="52"/>
        <v>6498</v>
      </c>
      <c r="I886" s="23" t="str">
        <f t="shared" si="53"/>
        <v>Lucknow</v>
      </c>
      <c r="J886" s="23">
        <f>COUNTIFS(pg_transaction_cleaned!$O:$O,A886,pg_transaction_cleaned!$F:$F,"CAPTURE")</f>
        <v>1</v>
      </c>
      <c r="K886" s="39">
        <f>SUMIFS(pg_transaction_cleaned!$H:$H,pg_transaction_cleaned!$O:$O,A886,pg_transaction_cleaned!$F:$F,"CAPTURE")</f>
        <v>6498</v>
      </c>
      <c r="L886" s="23">
        <f>COUNTIFS(pg_transaction_cleaned!$O:$O,A886,pg_transaction_cleaned!$F:$F,"REFUND")</f>
        <v>0</v>
      </c>
      <c r="M886" s="39">
        <f>SUMIFS(pg_transaction_cleaned!$H:$H,pg_transaction_cleaned!$O:$O,A886,pg_transaction_cleaned!$F:$F,"REFUND")</f>
        <v>0</v>
      </c>
      <c r="N886" s="23" t="str">
        <f t="shared" si="54"/>
        <v>OK</v>
      </c>
      <c r="O886" s="24">
        <f t="shared" si="55"/>
        <v>0</v>
      </c>
    </row>
    <row r="887" spans="1:15" ht="15" customHeight="1" x14ac:dyDescent="0.3">
      <c r="A887" s="23" t="s">
        <v>2227</v>
      </c>
      <c r="B887" s="38">
        <v>46287</v>
      </c>
      <c r="C887" s="23" t="s">
        <v>2228</v>
      </c>
      <c r="D887" s="23" t="s">
        <v>86</v>
      </c>
      <c r="E887" s="23" t="s">
        <v>79</v>
      </c>
      <c r="F887" s="23" t="s">
        <v>297</v>
      </c>
      <c r="G887" s="23" t="s">
        <v>365</v>
      </c>
      <c r="H887" s="39">
        <f t="shared" si="52"/>
        <v>4999</v>
      </c>
      <c r="I887" s="23" t="str">
        <f t="shared" si="53"/>
        <v>Delhi</v>
      </c>
      <c r="J887" s="23">
        <f>COUNTIFS(pg_transaction_cleaned!$O:$O,A887,pg_transaction_cleaned!$F:$F,"CAPTURE")</f>
        <v>0</v>
      </c>
      <c r="K887" s="39">
        <f>SUMIFS(pg_transaction_cleaned!$H:$H,pg_transaction_cleaned!$O:$O,A887,pg_transaction_cleaned!$F:$F,"CAPTURE")</f>
        <v>0</v>
      </c>
      <c r="L887" s="23">
        <f>COUNTIFS(pg_transaction_cleaned!$O:$O,A887,pg_transaction_cleaned!$F:$F,"REFUND")</f>
        <v>0</v>
      </c>
      <c r="M887" s="39">
        <f>SUMIFS(pg_transaction_cleaned!$H:$H,pg_transaction_cleaned!$O:$O,A887,pg_transaction_cleaned!$F:$F,"REFUND")</f>
        <v>0</v>
      </c>
      <c r="N887" s="23" t="str">
        <f t="shared" si="54"/>
        <v>OK</v>
      </c>
      <c r="O887" s="24">
        <f t="shared" si="55"/>
        <v>0</v>
      </c>
    </row>
    <row r="888" spans="1:15" ht="15" customHeight="1" x14ac:dyDescent="0.3">
      <c r="A888" s="23" t="s">
        <v>2229</v>
      </c>
      <c r="B888" s="38">
        <v>46274</v>
      </c>
      <c r="C888" s="23" t="s">
        <v>2230</v>
      </c>
      <c r="D888" s="23" t="s">
        <v>88</v>
      </c>
      <c r="E888" s="23" t="s">
        <v>79</v>
      </c>
      <c r="F888" s="23" t="s">
        <v>265</v>
      </c>
      <c r="G888" s="23" t="s">
        <v>301</v>
      </c>
      <c r="H888" s="39">
        <f t="shared" si="52"/>
        <v>999</v>
      </c>
      <c r="I888" s="23" t="str">
        <f t="shared" si="53"/>
        <v>Lucknow</v>
      </c>
      <c r="J888" s="23">
        <f>COUNTIFS(pg_transaction_cleaned!$O:$O,A888,pg_transaction_cleaned!$F:$F,"CAPTURE")</f>
        <v>1</v>
      </c>
      <c r="K888" s="39">
        <f>SUMIFS(pg_transaction_cleaned!$H:$H,pg_transaction_cleaned!$O:$O,A888,pg_transaction_cleaned!$F:$F,"CAPTURE")</f>
        <v>999</v>
      </c>
      <c r="L888" s="23">
        <f>COUNTIFS(pg_transaction_cleaned!$O:$O,A888,pg_transaction_cleaned!$F:$F,"REFUND")</f>
        <v>1</v>
      </c>
      <c r="M888" s="39">
        <f>SUMIFS(pg_transaction_cleaned!$H:$H,pg_transaction_cleaned!$O:$O,A888,pg_transaction_cleaned!$F:$F,"REFUND")</f>
        <v>999</v>
      </c>
      <c r="N888" s="23" t="str">
        <f t="shared" si="54"/>
        <v>OK</v>
      </c>
      <c r="O888" s="24">
        <f t="shared" si="55"/>
        <v>0</v>
      </c>
    </row>
    <row r="889" spans="1:15" ht="15" customHeight="1" x14ac:dyDescent="0.3">
      <c r="A889" s="23" t="s">
        <v>2231</v>
      </c>
      <c r="B889" s="38">
        <v>46285</v>
      </c>
      <c r="C889" s="23" t="s">
        <v>2232</v>
      </c>
      <c r="D889" s="23" t="s">
        <v>94</v>
      </c>
      <c r="E889" s="23" t="s">
        <v>79</v>
      </c>
      <c r="F889" s="23" t="s">
        <v>483</v>
      </c>
      <c r="G889" s="23" t="s">
        <v>250</v>
      </c>
      <c r="H889" s="39">
        <f t="shared" si="52"/>
        <v>2998</v>
      </c>
      <c r="I889" s="23" t="str">
        <f t="shared" si="53"/>
        <v>Chennai</v>
      </c>
      <c r="J889" s="23">
        <f>COUNTIFS(pg_transaction_cleaned!$O:$O,A889,pg_transaction_cleaned!$F:$F,"CAPTURE")</f>
        <v>1</v>
      </c>
      <c r="K889" s="39">
        <f>SUMIFS(pg_transaction_cleaned!$H:$H,pg_transaction_cleaned!$O:$O,A889,pg_transaction_cleaned!$F:$F,"CAPTURE")</f>
        <v>2998</v>
      </c>
      <c r="L889" s="23">
        <f>COUNTIFS(pg_transaction_cleaned!$O:$O,A889,pg_transaction_cleaned!$F:$F,"REFUND")</f>
        <v>0</v>
      </c>
      <c r="M889" s="39">
        <f>SUMIFS(pg_transaction_cleaned!$H:$H,pg_transaction_cleaned!$O:$O,A889,pg_transaction_cleaned!$F:$F,"REFUND")</f>
        <v>0</v>
      </c>
      <c r="N889" s="23" t="str">
        <f t="shared" si="54"/>
        <v>OK</v>
      </c>
      <c r="O889" s="24">
        <f t="shared" si="55"/>
        <v>0</v>
      </c>
    </row>
    <row r="890" spans="1:15" ht="15" customHeight="1" x14ac:dyDescent="0.3">
      <c r="A890" s="23" t="s">
        <v>2233</v>
      </c>
      <c r="B890" s="38">
        <v>46288</v>
      </c>
      <c r="C890" s="23" t="s">
        <v>2234</v>
      </c>
      <c r="D890" s="23" t="s">
        <v>94</v>
      </c>
      <c r="E890" s="23" t="s">
        <v>75</v>
      </c>
      <c r="F890" s="23" t="s">
        <v>475</v>
      </c>
      <c r="G890" s="23" t="s">
        <v>250</v>
      </c>
      <c r="H890" s="39">
        <f t="shared" si="52"/>
        <v>799</v>
      </c>
      <c r="I890" s="23" t="str">
        <f t="shared" si="53"/>
        <v>Chennai</v>
      </c>
      <c r="J890" s="23">
        <f>COUNTIFS(pg_transaction_cleaned!$O:$O,A890,pg_transaction_cleaned!$F:$F,"CAPTURE")</f>
        <v>1</v>
      </c>
      <c r="K890" s="39">
        <f>SUMIFS(pg_transaction_cleaned!$H:$H,pg_transaction_cleaned!$O:$O,A890,pg_transaction_cleaned!$F:$F,"CAPTURE")</f>
        <v>799</v>
      </c>
      <c r="L890" s="23">
        <f>COUNTIFS(pg_transaction_cleaned!$O:$O,A890,pg_transaction_cleaned!$F:$F,"REFUND")</f>
        <v>0</v>
      </c>
      <c r="M890" s="39">
        <f>SUMIFS(pg_transaction_cleaned!$H:$H,pg_transaction_cleaned!$O:$O,A890,pg_transaction_cleaned!$F:$F,"REFUND")</f>
        <v>0</v>
      </c>
      <c r="N890" s="23" t="str">
        <f t="shared" si="54"/>
        <v>OK</v>
      </c>
      <c r="O890" s="24">
        <f t="shared" si="55"/>
        <v>0</v>
      </c>
    </row>
    <row r="891" spans="1:15" ht="15" customHeight="1" x14ac:dyDescent="0.3">
      <c r="A891" s="23" t="s">
        <v>2235</v>
      </c>
      <c r="B891" s="38">
        <v>46280</v>
      </c>
      <c r="C891" s="23" t="s">
        <v>2236</v>
      </c>
      <c r="D891" s="23" t="s">
        <v>87</v>
      </c>
      <c r="E891" s="23" t="s">
        <v>75</v>
      </c>
      <c r="F891" s="23" t="s">
        <v>329</v>
      </c>
      <c r="G891" s="23" t="s">
        <v>250</v>
      </c>
      <c r="H891" s="39">
        <f t="shared" si="52"/>
        <v>599</v>
      </c>
      <c r="I891" s="23" t="str">
        <f t="shared" si="53"/>
        <v>Mumbai</v>
      </c>
      <c r="J891" s="23">
        <f>COUNTIFS(pg_transaction_cleaned!$O:$O,A891,pg_transaction_cleaned!$F:$F,"CAPTURE")</f>
        <v>1</v>
      </c>
      <c r="K891" s="39">
        <f>SUMIFS(pg_transaction_cleaned!$H:$H,pg_transaction_cleaned!$O:$O,A891,pg_transaction_cleaned!$F:$F,"CAPTURE")</f>
        <v>599</v>
      </c>
      <c r="L891" s="23">
        <f>COUNTIFS(pg_transaction_cleaned!$O:$O,A891,pg_transaction_cleaned!$F:$F,"REFUND")</f>
        <v>0</v>
      </c>
      <c r="M891" s="39">
        <f>SUMIFS(pg_transaction_cleaned!$H:$H,pg_transaction_cleaned!$O:$O,A891,pg_transaction_cleaned!$F:$F,"REFUND")</f>
        <v>0</v>
      </c>
      <c r="N891" s="23" t="str">
        <f t="shared" si="54"/>
        <v>OK</v>
      </c>
      <c r="O891" s="24">
        <f t="shared" si="55"/>
        <v>0</v>
      </c>
    </row>
    <row r="892" spans="1:15" ht="15" customHeight="1" x14ac:dyDescent="0.3">
      <c r="A892" s="23" t="s">
        <v>2237</v>
      </c>
      <c r="B892" s="38">
        <v>46290</v>
      </c>
      <c r="C892" s="23" t="s">
        <v>2238</v>
      </c>
      <c r="D892" s="23" t="s">
        <v>89</v>
      </c>
      <c r="E892" s="23" t="s">
        <v>75</v>
      </c>
      <c r="F892" s="23" t="s">
        <v>274</v>
      </c>
      <c r="G892" s="23" t="s">
        <v>250</v>
      </c>
      <c r="H892" s="39">
        <f t="shared" si="52"/>
        <v>349</v>
      </c>
      <c r="I892" s="23" t="str">
        <f t="shared" si="53"/>
        <v>Jaipur</v>
      </c>
      <c r="J892" s="23">
        <f>COUNTIFS(pg_transaction_cleaned!$O:$O,A892,pg_transaction_cleaned!$F:$F,"CAPTURE")</f>
        <v>1</v>
      </c>
      <c r="K892" s="39">
        <f>SUMIFS(pg_transaction_cleaned!$H:$H,pg_transaction_cleaned!$O:$O,A892,pg_transaction_cleaned!$F:$F,"CAPTURE")</f>
        <v>349</v>
      </c>
      <c r="L892" s="23">
        <f>COUNTIFS(pg_transaction_cleaned!$O:$O,A892,pg_transaction_cleaned!$F:$F,"REFUND")</f>
        <v>0</v>
      </c>
      <c r="M892" s="39">
        <f>SUMIFS(pg_transaction_cleaned!$H:$H,pg_transaction_cleaned!$O:$O,A892,pg_transaction_cleaned!$F:$F,"REFUND")</f>
        <v>0</v>
      </c>
      <c r="N892" s="23" t="str">
        <f t="shared" si="54"/>
        <v>OK</v>
      </c>
      <c r="O892" s="24">
        <f t="shared" si="55"/>
        <v>0</v>
      </c>
    </row>
    <row r="893" spans="1:15" ht="15" customHeight="1" x14ac:dyDescent="0.3">
      <c r="A893" s="23" t="s">
        <v>2239</v>
      </c>
      <c r="B893" s="38">
        <v>46270</v>
      </c>
      <c r="C893" s="23" t="s">
        <v>2240</v>
      </c>
      <c r="D893" s="23" t="s">
        <v>92</v>
      </c>
      <c r="E893" s="23" t="s">
        <v>79</v>
      </c>
      <c r="F893" s="23" t="s">
        <v>265</v>
      </c>
      <c r="G893" s="23" t="s">
        <v>365</v>
      </c>
      <c r="H893" s="39">
        <f t="shared" si="52"/>
        <v>999</v>
      </c>
      <c r="I893" s="23" t="str">
        <f t="shared" si="53"/>
        <v>Hyderabad</v>
      </c>
      <c r="J893" s="23">
        <f>COUNTIFS(pg_transaction_cleaned!$O:$O,A893,pg_transaction_cleaned!$F:$F,"CAPTURE")</f>
        <v>0</v>
      </c>
      <c r="K893" s="39">
        <f>SUMIFS(pg_transaction_cleaned!$H:$H,pg_transaction_cleaned!$O:$O,A893,pg_transaction_cleaned!$F:$F,"CAPTURE")</f>
        <v>0</v>
      </c>
      <c r="L893" s="23">
        <f>COUNTIFS(pg_transaction_cleaned!$O:$O,A893,pg_transaction_cleaned!$F:$F,"REFUND")</f>
        <v>0</v>
      </c>
      <c r="M893" s="39">
        <f>SUMIFS(pg_transaction_cleaned!$H:$H,pg_transaction_cleaned!$O:$O,A893,pg_transaction_cleaned!$F:$F,"REFUND")</f>
        <v>0</v>
      </c>
      <c r="N893" s="23" t="str">
        <f t="shared" si="54"/>
        <v>OK</v>
      </c>
      <c r="O893" s="24">
        <f t="shared" si="55"/>
        <v>0</v>
      </c>
    </row>
    <row r="894" spans="1:15" ht="15" customHeight="1" x14ac:dyDescent="0.3">
      <c r="A894" s="23" t="s">
        <v>2241</v>
      </c>
      <c r="B894" s="38">
        <v>46290</v>
      </c>
      <c r="C894" s="23" t="s">
        <v>2242</v>
      </c>
      <c r="D894" s="23" t="s">
        <v>86</v>
      </c>
      <c r="E894" s="23" t="s">
        <v>75</v>
      </c>
      <c r="F894" s="23" t="s">
        <v>262</v>
      </c>
      <c r="G894" s="23" t="s">
        <v>250</v>
      </c>
      <c r="H894" s="39">
        <f t="shared" si="52"/>
        <v>499</v>
      </c>
      <c r="I894" s="23" t="str">
        <f t="shared" si="53"/>
        <v>Delhi</v>
      </c>
      <c r="J894" s="23">
        <f>COUNTIFS(pg_transaction_cleaned!$O:$O,A894,pg_transaction_cleaned!$F:$F,"CAPTURE")</f>
        <v>1</v>
      </c>
      <c r="K894" s="39">
        <f>SUMIFS(pg_transaction_cleaned!$H:$H,pg_transaction_cleaned!$O:$O,A894,pg_transaction_cleaned!$F:$F,"CAPTURE")</f>
        <v>499</v>
      </c>
      <c r="L894" s="23">
        <f>COUNTIFS(pg_transaction_cleaned!$O:$O,A894,pg_transaction_cleaned!$F:$F,"REFUND")</f>
        <v>0</v>
      </c>
      <c r="M894" s="39">
        <f>SUMIFS(pg_transaction_cleaned!$H:$H,pg_transaction_cleaned!$O:$O,A894,pg_transaction_cleaned!$F:$F,"REFUND")</f>
        <v>0</v>
      </c>
      <c r="N894" s="23" t="str">
        <f t="shared" si="54"/>
        <v>OK</v>
      </c>
      <c r="O894" s="24">
        <f t="shared" si="55"/>
        <v>0</v>
      </c>
    </row>
    <row r="895" spans="1:15" ht="15" customHeight="1" x14ac:dyDescent="0.3">
      <c r="A895" s="23" t="s">
        <v>2243</v>
      </c>
      <c r="B895" s="38">
        <v>46272</v>
      </c>
      <c r="C895" s="23" t="s">
        <v>2244</v>
      </c>
      <c r="D895" s="23" t="s">
        <v>92</v>
      </c>
      <c r="E895" s="23" t="s">
        <v>75</v>
      </c>
      <c r="F895" s="23" t="s">
        <v>534</v>
      </c>
      <c r="G895" s="23" t="s">
        <v>250</v>
      </c>
      <c r="H895" s="39">
        <f t="shared" si="52"/>
        <v>3097</v>
      </c>
      <c r="I895" s="23" t="str">
        <f t="shared" si="53"/>
        <v>Hyderabad</v>
      </c>
      <c r="J895" s="23">
        <f>COUNTIFS(pg_transaction_cleaned!$O:$O,A895,pg_transaction_cleaned!$F:$F,"CAPTURE")</f>
        <v>1</v>
      </c>
      <c r="K895" s="39">
        <f>SUMIFS(pg_transaction_cleaned!$H:$H,pg_transaction_cleaned!$O:$O,A895,pg_transaction_cleaned!$F:$F,"CAPTURE")</f>
        <v>3097</v>
      </c>
      <c r="L895" s="23">
        <f>COUNTIFS(pg_transaction_cleaned!$O:$O,A895,pg_transaction_cleaned!$F:$F,"REFUND")</f>
        <v>0</v>
      </c>
      <c r="M895" s="39">
        <f>SUMIFS(pg_transaction_cleaned!$H:$H,pg_transaction_cleaned!$O:$O,A895,pg_transaction_cleaned!$F:$F,"REFUND")</f>
        <v>0</v>
      </c>
      <c r="N895" s="23" t="str">
        <f t="shared" si="54"/>
        <v>OK</v>
      </c>
      <c r="O895" s="24">
        <f t="shared" si="55"/>
        <v>0</v>
      </c>
    </row>
    <row r="896" spans="1:15" ht="15" customHeight="1" x14ac:dyDescent="0.3">
      <c r="A896" s="23" t="s">
        <v>2245</v>
      </c>
      <c r="B896" s="38">
        <v>46295</v>
      </c>
      <c r="C896" s="23" t="s">
        <v>2246</v>
      </c>
      <c r="D896" s="23" t="s">
        <v>90</v>
      </c>
      <c r="E896" s="23" t="s">
        <v>81</v>
      </c>
      <c r="F896" s="23" t="s">
        <v>396</v>
      </c>
      <c r="G896" s="23" t="s">
        <v>250</v>
      </c>
      <c r="H896" s="39">
        <f t="shared" si="52"/>
        <v>2999</v>
      </c>
      <c r="I896" s="23" t="str">
        <f t="shared" si="53"/>
        <v>Ahmedabad</v>
      </c>
      <c r="J896" s="23">
        <f>COUNTIFS(pg_transaction_cleaned!$O:$O,A896,pg_transaction_cleaned!$F:$F,"CAPTURE")</f>
        <v>1</v>
      </c>
      <c r="K896" s="39">
        <f>SUMIFS(pg_transaction_cleaned!$H:$H,pg_transaction_cleaned!$O:$O,A896,pg_transaction_cleaned!$F:$F,"CAPTURE")</f>
        <v>2999</v>
      </c>
      <c r="L896" s="23">
        <f>COUNTIFS(pg_transaction_cleaned!$O:$O,A896,pg_transaction_cleaned!$F:$F,"REFUND")</f>
        <v>0</v>
      </c>
      <c r="M896" s="39">
        <f>SUMIFS(pg_transaction_cleaned!$H:$H,pg_transaction_cleaned!$O:$O,A896,pg_transaction_cleaned!$F:$F,"REFUND")</f>
        <v>0</v>
      </c>
      <c r="N896" s="23" t="str">
        <f t="shared" si="54"/>
        <v>OK</v>
      </c>
      <c r="O896" s="24">
        <f t="shared" si="55"/>
        <v>0</v>
      </c>
    </row>
    <row r="897" spans="1:15" ht="15" customHeight="1" x14ac:dyDescent="0.3">
      <c r="A897" s="23" t="s">
        <v>2247</v>
      </c>
      <c r="B897" s="38">
        <v>46294</v>
      </c>
      <c r="C897" s="23" t="s">
        <v>2248</v>
      </c>
      <c r="D897" s="23"/>
      <c r="E897" s="23" t="s">
        <v>79</v>
      </c>
      <c r="F897" s="23" t="s">
        <v>274</v>
      </c>
      <c r="G897" s="23" t="s">
        <v>250</v>
      </c>
      <c r="H897" s="39">
        <f t="shared" si="52"/>
        <v>349</v>
      </c>
      <c r="I897" s="23" t="str">
        <f t="shared" si="53"/>
        <v>Unknown</v>
      </c>
      <c r="J897" s="23">
        <f>COUNTIFS(pg_transaction_cleaned!$O:$O,A897,pg_transaction_cleaned!$F:$F,"CAPTURE")</f>
        <v>1</v>
      </c>
      <c r="K897" s="39">
        <f>SUMIFS(pg_transaction_cleaned!$H:$H,pg_transaction_cleaned!$O:$O,A897,pg_transaction_cleaned!$F:$F,"CAPTURE")</f>
        <v>349</v>
      </c>
      <c r="L897" s="23">
        <f>COUNTIFS(pg_transaction_cleaned!$O:$O,A897,pg_transaction_cleaned!$F:$F,"REFUND")</f>
        <v>0</v>
      </c>
      <c r="M897" s="39">
        <f>SUMIFS(pg_transaction_cleaned!$H:$H,pg_transaction_cleaned!$O:$O,A897,pg_transaction_cleaned!$F:$F,"REFUND")</f>
        <v>0</v>
      </c>
      <c r="N897" s="23" t="str">
        <f t="shared" si="54"/>
        <v>OK</v>
      </c>
      <c r="O897" s="24">
        <f t="shared" si="55"/>
        <v>0</v>
      </c>
    </row>
    <row r="898" spans="1:15" ht="15" customHeight="1" x14ac:dyDescent="0.3">
      <c r="A898" s="23" t="s">
        <v>2249</v>
      </c>
      <c r="B898" s="38">
        <v>46284</v>
      </c>
      <c r="C898" s="23" t="s">
        <v>2250</v>
      </c>
      <c r="D898" s="23" t="s">
        <v>92</v>
      </c>
      <c r="E898" s="23" t="s">
        <v>75</v>
      </c>
      <c r="F898" s="23" t="s">
        <v>396</v>
      </c>
      <c r="G898" s="23" t="s">
        <v>365</v>
      </c>
      <c r="H898" s="39">
        <f t="shared" ref="H898:H961" si="56">VALUE(SUBSTITUTE(F898,",",""))</f>
        <v>2999</v>
      </c>
      <c r="I898" s="23" t="str">
        <f t="shared" ref="I898:I961" si="57">IF(TRIM(D898)="","Unknown",TRIM(D898))</f>
        <v>Hyderabad</v>
      </c>
      <c r="J898" s="23">
        <f>COUNTIFS(pg_transaction_cleaned!$O:$O,A898,pg_transaction_cleaned!$F:$F,"CAPTURE")</f>
        <v>0</v>
      </c>
      <c r="K898" s="39">
        <f>SUMIFS(pg_transaction_cleaned!$H:$H,pg_transaction_cleaned!$O:$O,A898,pg_transaction_cleaned!$F:$F,"CAPTURE")</f>
        <v>0</v>
      </c>
      <c r="L898" s="23">
        <f>COUNTIFS(pg_transaction_cleaned!$O:$O,A898,pg_transaction_cleaned!$F:$F,"REFUND")</f>
        <v>0</v>
      </c>
      <c r="M898" s="39">
        <f>SUMIFS(pg_transaction_cleaned!$H:$H,pg_transaction_cleaned!$O:$O,A898,pg_transaction_cleaned!$F:$F,"REFUND")</f>
        <v>0</v>
      </c>
      <c r="N898" s="23" t="str">
        <f t="shared" ref="N898:N961" si="58">IF(AND(G898="Paid",J898=0),"Paid, no payment",IF(AND(OR(G898="Failed",G898="Cancelled"),J898&gt;0),"Payment on failed/cancelled",IF(J898&gt;1,"Duplicate charge",IF(AND(J898=1,ROUND(K898-H898,2)&lt;&gt;0),"Amount difference",IF(AND(G898="Refunded",L898=0),"Refunded, no refund",IF(AND(G898&lt;&gt;"Refunded",L898&gt;0),"Refund, order not Refunded",IF(AND(L898&gt;0,ROUND(M898-H898,2)&lt;&gt;0),"Refund amount differs","OK")))))))</f>
        <v>OK</v>
      </c>
      <c r="O898" s="24">
        <f t="shared" ref="O898:O961" si="59">IF(N898="OK",0,IF(N898="Paid, no payment",H898,IF(N898="Payment on failed/cancelled",K898,IF(OR(N898="Duplicate charge",N898="Amount difference"),K898-H898,IF(N898="Refunded, no refund",H898,M898)))))</f>
        <v>0</v>
      </c>
    </row>
    <row r="899" spans="1:15" ht="15" customHeight="1" x14ac:dyDescent="0.3">
      <c r="A899" s="23" t="s">
        <v>2251</v>
      </c>
      <c r="B899" s="38">
        <v>46274</v>
      </c>
      <c r="C899" s="23" t="s">
        <v>2252</v>
      </c>
      <c r="D899" s="23" t="s">
        <v>86</v>
      </c>
      <c r="E899" s="23" t="s">
        <v>75</v>
      </c>
      <c r="F899" s="23" t="s">
        <v>499</v>
      </c>
      <c r="G899" s="23" t="s">
        <v>250</v>
      </c>
      <c r="H899" s="39">
        <f t="shared" si="56"/>
        <v>5998</v>
      </c>
      <c r="I899" s="23" t="str">
        <f t="shared" si="57"/>
        <v>Delhi</v>
      </c>
      <c r="J899" s="23">
        <f>COUNTIFS(pg_transaction_cleaned!$O:$O,A899,pg_transaction_cleaned!$F:$F,"CAPTURE")</f>
        <v>1</v>
      </c>
      <c r="K899" s="39">
        <f>SUMIFS(pg_transaction_cleaned!$H:$H,pg_transaction_cleaned!$O:$O,A899,pg_transaction_cleaned!$F:$F,"CAPTURE")</f>
        <v>5998</v>
      </c>
      <c r="L899" s="23">
        <f>COUNTIFS(pg_transaction_cleaned!$O:$O,A899,pg_transaction_cleaned!$F:$F,"REFUND")</f>
        <v>0</v>
      </c>
      <c r="M899" s="39">
        <f>SUMIFS(pg_transaction_cleaned!$H:$H,pg_transaction_cleaned!$O:$O,A899,pg_transaction_cleaned!$F:$F,"REFUND")</f>
        <v>0</v>
      </c>
      <c r="N899" s="23" t="str">
        <f t="shared" si="58"/>
        <v>OK</v>
      </c>
      <c r="O899" s="24">
        <f t="shared" si="59"/>
        <v>0</v>
      </c>
    </row>
    <row r="900" spans="1:15" ht="15" customHeight="1" x14ac:dyDescent="0.3">
      <c r="A900" s="23" t="s">
        <v>2253</v>
      </c>
      <c r="B900" s="38">
        <v>46274</v>
      </c>
      <c r="C900" s="23" t="s">
        <v>2254</v>
      </c>
      <c r="D900" s="23" t="s">
        <v>95</v>
      </c>
      <c r="E900" s="23" t="s">
        <v>79</v>
      </c>
      <c r="F900" s="23" t="s">
        <v>249</v>
      </c>
      <c r="G900" s="23" t="s">
        <v>318</v>
      </c>
      <c r="H900" s="39">
        <f t="shared" si="56"/>
        <v>299</v>
      </c>
      <c r="I900" s="23" t="str">
        <f t="shared" si="57"/>
        <v>Bengaluru</v>
      </c>
      <c r="J900" s="23">
        <f>COUNTIFS(pg_transaction_cleaned!$O:$O,A900,pg_transaction_cleaned!$F:$F,"CAPTURE")</f>
        <v>0</v>
      </c>
      <c r="K900" s="39">
        <f>SUMIFS(pg_transaction_cleaned!$H:$H,pg_transaction_cleaned!$O:$O,A900,pg_transaction_cleaned!$F:$F,"CAPTURE")</f>
        <v>0</v>
      </c>
      <c r="L900" s="23">
        <f>COUNTIFS(pg_transaction_cleaned!$O:$O,A900,pg_transaction_cleaned!$F:$F,"REFUND")</f>
        <v>0</v>
      </c>
      <c r="M900" s="39">
        <f>SUMIFS(pg_transaction_cleaned!$H:$H,pg_transaction_cleaned!$O:$O,A900,pg_transaction_cleaned!$F:$F,"REFUND")</f>
        <v>0</v>
      </c>
      <c r="N900" s="23" t="str">
        <f t="shared" si="58"/>
        <v>OK</v>
      </c>
      <c r="O900" s="24">
        <f t="shared" si="59"/>
        <v>0</v>
      </c>
    </row>
    <row r="901" spans="1:15" ht="15" customHeight="1" x14ac:dyDescent="0.3">
      <c r="A901" s="23" t="s">
        <v>2255</v>
      </c>
      <c r="B901" s="38">
        <v>46283</v>
      </c>
      <c r="C901" s="23" t="s">
        <v>2256</v>
      </c>
      <c r="D901" s="23" t="s">
        <v>88</v>
      </c>
      <c r="E901" s="23" t="s">
        <v>75</v>
      </c>
      <c r="F901" s="23" t="s">
        <v>294</v>
      </c>
      <c r="G901" s="23" t="s">
        <v>250</v>
      </c>
      <c r="H901" s="39">
        <f t="shared" si="56"/>
        <v>1799</v>
      </c>
      <c r="I901" s="23" t="str">
        <f t="shared" si="57"/>
        <v>Lucknow</v>
      </c>
      <c r="J901" s="23">
        <f>COUNTIFS(pg_transaction_cleaned!$O:$O,A901,pg_transaction_cleaned!$F:$F,"CAPTURE")</f>
        <v>1</v>
      </c>
      <c r="K901" s="39">
        <f>SUMIFS(pg_transaction_cleaned!$H:$H,pg_transaction_cleaned!$O:$O,A901,pg_transaction_cleaned!$F:$F,"CAPTURE")</f>
        <v>1799</v>
      </c>
      <c r="L901" s="23">
        <f>COUNTIFS(pg_transaction_cleaned!$O:$O,A901,pg_transaction_cleaned!$F:$F,"REFUND")</f>
        <v>0</v>
      </c>
      <c r="M901" s="39">
        <f>SUMIFS(pg_transaction_cleaned!$H:$H,pg_transaction_cleaned!$O:$O,A901,pg_transaction_cleaned!$F:$F,"REFUND")</f>
        <v>0</v>
      </c>
      <c r="N901" s="23" t="str">
        <f t="shared" si="58"/>
        <v>OK</v>
      </c>
      <c r="O901" s="24">
        <f t="shared" si="59"/>
        <v>0</v>
      </c>
    </row>
    <row r="902" spans="1:15" ht="15" customHeight="1" x14ac:dyDescent="0.3">
      <c r="A902" s="23" t="s">
        <v>2257</v>
      </c>
      <c r="B902" s="38">
        <v>46273</v>
      </c>
      <c r="C902" s="23" t="s">
        <v>2258</v>
      </c>
      <c r="D902" s="23" t="s">
        <v>90</v>
      </c>
      <c r="E902" s="23" t="s">
        <v>77</v>
      </c>
      <c r="F902" s="23" t="s">
        <v>274</v>
      </c>
      <c r="G902" s="23" t="s">
        <v>250</v>
      </c>
      <c r="H902" s="39">
        <f t="shared" si="56"/>
        <v>349</v>
      </c>
      <c r="I902" s="23" t="str">
        <f t="shared" si="57"/>
        <v>Ahmedabad</v>
      </c>
      <c r="J902" s="23">
        <f>COUNTIFS(pg_transaction_cleaned!$O:$O,A902,pg_transaction_cleaned!$F:$F,"CAPTURE")</f>
        <v>1</v>
      </c>
      <c r="K902" s="39">
        <f>SUMIFS(pg_transaction_cleaned!$H:$H,pg_transaction_cleaned!$O:$O,A902,pg_transaction_cleaned!$F:$F,"CAPTURE")</f>
        <v>349</v>
      </c>
      <c r="L902" s="23">
        <f>COUNTIFS(pg_transaction_cleaned!$O:$O,A902,pg_transaction_cleaned!$F:$F,"REFUND")</f>
        <v>0</v>
      </c>
      <c r="M902" s="39">
        <f>SUMIFS(pg_transaction_cleaned!$H:$H,pg_transaction_cleaned!$O:$O,A902,pg_transaction_cleaned!$F:$F,"REFUND")</f>
        <v>0</v>
      </c>
      <c r="N902" s="23" t="str">
        <f t="shared" si="58"/>
        <v>OK</v>
      </c>
      <c r="O902" s="24">
        <f t="shared" si="59"/>
        <v>0</v>
      </c>
    </row>
    <row r="903" spans="1:15" ht="15" customHeight="1" x14ac:dyDescent="0.3">
      <c r="A903" s="23" t="s">
        <v>2259</v>
      </c>
      <c r="B903" s="38">
        <v>46267</v>
      </c>
      <c r="C903" s="23" t="s">
        <v>2260</v>
      </c>
      <c r="D903" s="23" t="s">
        <v>93</v>
      </c>
      <c r="E903" s="23" t="s">
        <v>79</v>
      </c>
      <c r="F903" s="23" t="s">
        <v>249</v>
      </c>
      <c r="G903" s="23" t="s">
        <v>250</v>
      </c>
      <c r="H903" s="39">
        <f t="shared" si="56"/>
        <v>299</v>
      </c>
      <c r="I903" s="23" t="str">
        <f t="shared" si="57"/>
        <v>Kolkata</v>
      </c>
      <c r="J903" s="23">
        <f>COUNTIFS(pg_transaction_cleaned!$O:$O,A903,pg_transaction_cleaned!$F:$F,"CAPTURE")</f>
        <v>1</v>
      </c>
      <c r="K903" s="39">
        <f>SUMIFS(pg_transaction_cleaned!$H:$H,pg_transaction_cleaned!$O:$O,A903,pg_transaction_cleaned!$F:$F,"CAPTURE")</f>
        <v>299</v>
      </c>
      <c r="L903" s="23">
        <f>COUNTIFS(pg_transaction_cleaned!$O:$O,A903,pg_transaction_cleaned!$F:$F,"REFUND")</f>
        <v>0</v>
      </c>
      <c r="M903" s="39">
        <f>SUMIFS(pg_transaction_cleaned!$H:$H,pg_transaction_cleaned!$O:$O,A903,pg_transaction_cleaned!$F:$F,"REFUND")</f>
        <v>0</v>
      </c>
      <c r="N903" s="23" t="str">
        <f t="shared" si="58"/>
        <v>OK</v>
      </c>
      <c r="O903" s="24">
        <f t="shared" si="59"/>
        <v>0</v>
      </c>
    </row>
    <row r="904" spans="1:15" ht="15" customHeight="1" x14ac:dyDescent="0.3">
      <c r="A904" s="23" t="s">
        <v>2261</v>
      </c>
      <c r="B904" s="38">
        <v>46267</v>
      </c>
      <c r="C904" s="23" t="s">
        <v>2262</v>
      </c>
      <c r="D904" s="23" t="s">
        <v>90</v>
      </c>
      <c r="E904" s="23" t="s">
        <v>79</v>
      </c>
      <c r="F904" s="23" t="s">
        <v>268</v>
      </c>
      <c r="G904" s="23" t="s">
        <v>250</v>
      </c>
      <c r="H904" s="39">
        <f t="shared" si="56"/>
        <v>1299</v>
      </c>
      <c r="I904" s="23" t="str">
        <f t="shared" si="57"/>
        <v>Ahmedabad</v>
      </c>
      <c r="J904" s="23">
        <f>COUNTIFS(pg_transaction_cleaned!$O:$O,A904,pg_transaction_cleaned!$F:$F,"CAPTURE")</f>
        <v>1</v>
      </c>
      <c r="K904" s="39">
        <f>SUMIFS(pg_transaction_cleaned!$H:$H,pg_transaction_cleaned!$O:$O,A904,pg_transaction_cleaned!$F:$F,"CAPTURE")</f>
        <v>1299</v>
      </c>
      <c r="L904" s="23">
        <f>COUNTIFS(pg_transaction_cleaned!$O:$O,A904,pg_transaction_cleaned!$F:$F,"REFUND")</f>
        <v>0</v>
      </c>
      <c r="M904" s="39">
        <f>SUMIFS(pg_transaction_cleaned!$H:$H,pg_transaction_cleaned!$O:$O,A904,pg_transaction_cleaned!$F:$F,"REFUND")</f>
        <v>0</v>
      </c>
      <c r="N904" s="23" t="str">
        <f t="shared" si="58"/>
        <v>OK</v>
      </c>
      <c r="O904" s="24">
        <f t="shared" si="59"/>
        <v>0</v>
      </c>
    </row>
    <row r="905" spans="1:15" ht="15" customHeight="1" x14ac:dyDescent="0.3">
      <c r="A905" s="23" t="s">
        <v>2263</v>
      </c>
      <c r="B905" s="38">
        <v>46285</v>
      </c>
      <c r="C905" s="23" t="s">
        <v>2264</v>
      </c>
      <c r="D905" s="23" t="s">
        <v>89</v>
      </c>
      <c r="E905" s="23" t="s">
        <v>75</v>
      </c>
      <c r="F905" s="23" t="s">
        <v>475</v>
      </c>
      <c r="G905" s="23" t="s">
        <v>250</v>
      </c>
      <c r="H905" s="39">
        <f t="shared" si="56"/>
        <v>799</v>
      </c>
      <c r="I905" s="23" t="str">
        <f t="shared" si="57"/>
        <v>Jaipur</v>
      </c>
      <c r="J905" s="23">
        <f>COUNTIFS(pg_transaction_cleaned!$O:$O,A905,pg_transaction_cleaned!$F:$F,"CAPTURE")</f>
        <v>1</v>
      </c>
      <c r="K905" s="39">
        <f>SUMIFS(pg_transaction_cleaned!$H:$H,pg_transaction_cleaned!$O:$O,A905,pg_transaction_cleaned!$F:$F,"CAPTURE")</f>
        <v>799</v>
      </c>
      <c r="L905" s="23">
        <f>COUNTIFS(pg_transaction_cleaned!$O:$O,A905,pg_transaction_cleaned!$F:$F,"REFUND")</f>
        <v>0</v>
      </c>
      <c r="M905" s="39">
        <f>SUMIFS(pg_transaction_cleaned!$H:$H,pg_transaction_cleaned!$O:$O,A905,pg_transaction_cleaned!$F:$F,"REFUND")</f>
        <v>0</v>
      </c>
      <c r="N905" s="23" t="str">
        <f t="shared" si="58"/>
        <v>OK</v>
      </c>
      <c r="O905" s="24">
        <f t="shared" si="59"/>
        <v>0</v>
      </c>
    </row>
    <row r="906" spans="1:15" ht="15" customHeight="1" x14ac:dyDescent="0.3">
      <c r="A906" s="23" t="s">
        <v>2265</v>
      </c>
      <c r="B906" s="38">
        <v>46268</v>
      </c>
      <c r="C906" s="23" t="s">
        <v>2266</v>
      </c>
      <c r="D906" s="23" t="s">
        <v>91</v>
      </c>
      <c r="E906" s="23" t="s">
        <v>81</v>
      </c>
      <c r="F906" s="23" t="s">
        <v>483</v>
      </c>
      <c r="G906" s="23" t="s">
        <v>250</v>
      </c>
      <c r="H906" s="39">
        <f t="shared" si="56"/>
        <v>2998</v>
      </c>
      <c r="I906" s="23" t="str">
        <f t="shared" si="57"/>
        <v>Pune</v>
      </c>
      <c r="J906" s="23">
        <f>COUNTIFS(pg_transaction_cleaned!$O:$O,A906,pg_transaction_cleaned!$F:$F,"CAPTURE")</f>
        <v>1</v>
      </c>
      <c r="K906" s="39">
        <f>SUMIFS(pg_transaction_cleaned!$H:$H,pg_transaction_cleaned!$O:$O,A906,pg_transaction_cleaned!$F:$F,"CAPTURE")</f>
        <v>2998</v>
      </c>
      <c r="L906" s="23">
        <f>COUNTIFS(pg_transaction_cleaned!$O:$O,A906,pg_transaction_cleaned!$F:$F,"REFUND")</f>
        <v>0</v>
      </c>
      <c r="M906" s="39">
        <f>SUMIFS(pg_transaction_cleaned!$H:$H,pg_transaction_cleaned!$O:$O,A906,pg_transaction_cleaned!$F:$F,"REFUND")</f>
        <v>0</v>
      </c>
      <c r="N906" s="23" t="str">
        <f t="shared" si="58"/>
        <v>OK</v>
      </c>
      <c r="O906" s="24">
        <f t="shared" si="59"/>
        <v>0</v>
      </c>
    </row>
    <row r="907" spans="1:15" ht="15" customHeight="1" x14ac:dyDescent="0.3">
      <c r="A907" s="23" t="s">
        <v>2267</v>
      </c>
      <c r="B907" s="38">
        <v>46280</v>
      </c>
      <c r="C907" s="23" t="s">
        <v>2268</v>
      </c>
      <c r="D907" s="23" t="s">
        <v>95</v>
      </c>
      <c r="E907" s="23" t="s">
        <v>79</v>
      </c>
      <c r="F907" s="23" t="s">
        <v>396</v>
      </c>
      <c r="G907" s="23" t="s">
        <v>250</v>
      </c>
      <c r="H907" s="39">
        <f t="shared" si="56"/>
        <v>2999</v>
      </c>
      <c r="I907" s="23" t="str">
        <f t="shared" si="57"/>
        <v>Bengaluru</v>
      </c>
      <c r="J907" s="23">
        <f>COUNTIFS(pg_transaction_cleaned!$O:$O,A907,pg_transaction_cleaned!$F:$F,"CAPTURE")</f>
        <v>1</v>
      </c>
      <c r="K907" s="39">
        <f>SUMIFS(pg_transaction_cleaned!$H:$H,pg_transaction_cleaned!$O:$O,A907,pg_transaction_cleaned!$F:$F,"CAPTURE")</f>
        <v>2999</v>
      </c>
      <c r="L907" s="23">
        <f>COUNTIFS(pg_transaction_cleaned!$O:$O,A907,pg_transaction_cleaned!$F:$F,"REFUND")</f>
        <v>0</v>
      </c>
      <c r="M907" s="39">
        <f>SUMIFS(pg_transaction_cleaned!$H:$H,pg_transaction_cleaned!$O:$O,A907,pg_transaction_cleaned!$F:$F,"REFUND")</f>
        <v>0</v>
      </c>
      <c r="N907" s="23" t="str">
        <f t="shared" si="58"/>
        <v>OK</v>
      </c>
      <c r="O907" s="24">
        <f t="shared" si="59"/>
        <v>0</v>
      </c>
    </row>
    <row r="908" spans="1:15" ht="15" customHeight="1" x14ac:dyDescent="0.3">
      <c r="A908" s="23" t="s">
        <v>2269</v>
      </c>
      <c r="B908" s="38">
        <v>46273</v>
      </c>
      <c r="C908" s="23" t="s">
        <v>2270</v>
      </c>
      <c r="D908" s="23" t="s">
        <v>93</v>
      </c>
      <c r="E908" s="23" t="s">
        <v>75</v>
      </c>
      <c r="F908" s="23" t="s">
        <v>310</v>
      </c>
      <c r="G908" s="23" t="s">
        <v>365</v>
      </c>
      <c r="H908" s="39">
        <f t="shared" si="56"/>
        <v>7999</v>
      </c>
      <c r="I908" s="23" t="str">
        <f t="shared" si="57"/>
        <v>Kolkata</v>
      </c>
      <c r="J908" s="23">
        <f>COUNTIFS(pg_transaction_cleaned!$O:$O,A908,pg_transaction_cleaned!$F:$F,"CAPTURE")</f>
        <v>0</v>
      </c>
      <c r="K908" s="39">
        <f>SUMIFS(pg_transaction_cleaned!$H:$H,pg_transaction_cleaned!$O:$O,A908,pg_transaction_cleaned!$F:$F,"CAPTURE")</f>
        <v>0</v>
      </c>
      <c r="L908" s="23">
        <f>COUNTIFS(pg_transaction_cleaned!$O:$O,A908,pg_transaction_cleaned!$F:$F,"REFUND")</f>
        <v>0</v>
      </c>
      <c r="M908" s="39">
        <f>SUMIFS(pg_transaction_cleaned!$H:$H,pg_transaction_cleaned!$O:$O,A908,pg_transaction_cleaned!$F:$F,"REFUND")</f>
        <v>0</v>
      </c>
      <c r="N908" s="23" t="str">
        <f t="shared" si="58"/>
        <v>OK</v>
      </c>
      <c r="O908" s="24">
        <f t="shared" si="59"/>
        <v>0</v>
      </c>
    </row>
    <row r="909" spans="1:15" ht="15" customHeight="1" x14ac:dyDescent="0.3">
      <c r="A909" s="23" t="s">
        <v>2271</v>
      </c>
      <c r="B909" s="38">
        <v>46271</v>
      </c>
      <c r="C909" s="23" t="s">
        <v>2272</v>
      </c>
      <c r="D909" s="23" t="s">
        <v>87</v>
      </c>
      <c r="E909" s="23" t="s">
        <v>75</v>
      </c>
      <c r="F909" s="23" t="s">
        <v>2178</v>
      </c>
      <c r="G909" s="23" t="s">
        <v>250</v>
      </c>
      <c r="H909" s="39">
        <f t="shared" si="56"/>
        <v>8997</v>
      </c>
      <c r="I909" s="23" t="str">
        <f t="shared" si="57"/>
        <v>Mumbai</v>
      </c>
      <c r="J909" s="23">
        <f>COUNTIFS(pg_transaction_cleaned!$O:$O,A909,pg_transaction_cleaned!$F:$F,"CAPTURE")</f>
        <v>1</v>
      </c>
      <c r="K909" s="39">
        <f>SUMIFS(pg_transaction_cleaned!$H:$H,pg_transaction_cleaned!$O:$O,A909,pg_transaction_cleaned!$F:$F,"CAPTURE")</f>
        <v>8997</v>
      </c>
      <c r="L909" s="23">
        <f>COUNTIFS(pg_transaction_cleaned!$O:$O,A909,pg_transaction_cleaned!$F:$F,"REFUND")</f>
        <v>0</v>
      </c>
      <c r="M909" s="39">
        <f>SUMIFS(pg_transaction_cleaned!$H:$H,pg_transaction_cleaned!$O:$O,A909,pg_transaction_cleaned!$F:$F,"REFUND")</f>
        <v>0</v>
      </c>
      <c r="N909" s="23" t="str">
        <f t="shared" si="58"/>
        <v>OK</v>
      </c>
      <c r="O909" s="24">
        <f t="shared" si="59"/>
        <v>0</v>
      </c>
    </row>
    <row r="910" spans="1:15" ht="15" customHeight="1" x14ac:dyDescent="0.3">
      <c r="A910" s="23" t="s">
        <v>2273</v>
      </c>
      <c r="B910" s="38">
        <v>46268</v>
      </c>
      <c r="C910" s="23" t="s">
        <v>2274</v>
      </c>
      <c r="D910" s="23" t="s">
        <v>94</v>
      </c>
      <c r="E910" s="23" t="s">
        <v>81</v>
      </c>
      <c r="F910" s="23" t="s">
        <v>754</v>
      </c>
      <c r="G910" s="23" t="s">
        <v>250</v>
      </c>
      <c r="H910" s="39">
        <f t="shared" si="56"/>
        <v>1348</v>
      </c>
      <c r="I910" s="23" t="str">
        <f t="shared" si="57"/>
        <v>Chennai</v>
      </c>
      <c r="J910" s="23">
        <f>COUNTIFS(pg_transaction_cleaned!$O:$O,A910,pg_transaction_cleaned!$F:$F,"CAPTURE")</f>
        <v>1</v>
      </c>
      <c r="K910" s="39">
        <f>SUMIFS(pg_transaction_cleaned!$H:$H,pg_transaction_cleaned!$O:$O,A910,pg_transaction_cleaned!$F:$F,"CAPTURE")</f>
        <v>1348</v>
      </c>
      <c r="L910" s="23">
        <f>COUNTIFS(pg_transaction_cleaned!$O:$O,A910,pg_transaction_cleaned!$F:$F,"REFUND")</f>
        <v>0</v>
      </c>
      <c r="M910" s="39">
        <f>SUMIFS(pg_transaction_cleaned!$H:$H,pg_transaction_cleaned!$O:$O,A910,pg_transaction_cleaned!$F:$F,"REFUND")</f>
        <v>0</v>
      </c>
      <c r="N910" s="23" t="str">
        <f t="shared" si="58"/>
        <v>OK</v>
      </c>
      <c r="O910" s="24">
        <f t="shared" si="59"/>
        <v>0</v>
      </c>
    </row>
    <row r="911" spans="1:15" ht="15" customHeight="1" x14ac:dyDescent="0.3">
      <c r="A911" s="23" t="s">
        <v>2275</v>
      </c>
      <c r="B911" s="38">
        <v>46285</v>
      </c>
      <c r="C911" s="23" t="s">
        <v>2276</v>
      </c>
      <c r="D911" s="23" t="s">
        <v>94</v>
      </c>
      <c r="E911" s="23" t="s">
        <v>81</v>
      </c>
      <c r="F911" s="23" t="s">
        <v>880</v>
      </c>
      <c r="G911" s="23" t="s">
        <v>250</v>
      </c>
      <c r="H911" s="39">
        <f t="shared" si="56"/>
        <v>2298</v>
      </c>
      <c r="I911" s="23" t="str">
        <f t="shared" si="57"/>
        <v>Chennai</v>
      </c>
      <c r="J911" s="23">
        <f>COUNTIFS(pg_transaction_cleaned!$O:$O,A911,pg_transaction_cleaned!$F:$F,"CAPTURE")</f>
        <v>1</v>
      </c>
      <c r="K911" s="39">
        <f>SUMIFS(pg_transaction_cleaned!$H:$H,pg_transaction_cleaned!$O:$O,A911,pg_transaction_cleaned!$F:$F,"CAPTURE")</f>
        <v>2298</v>
      </c>
      <c r="L911" s="23">
        <f>COUNTIFS(pg_transaction_cleaned!$O:$O,A911,pg_transaction_cleaned!$F:$F,"REFUND")</f>
        <v>0</v>
      </c>
      <c r="M911" s="39">
        <f>SUMIFS(pg_transaction_cleaned!$H:$H,pg_transaction_cleaned!$O:$O,A911,pg_transaction_cleaned!$F:$F,"REFUND")</f>
        <v>0</v>
      </c>
      <c r="N911" s="23" t="str">
        <f t="shared" si="58"/>
        <v>OK</v>
      </c>
      <c r="O911" s="24">
        <f t="shared" si="59"/>
        <v>0</v>
      </c>
    </row>
    <row r="912" spans="1:15" ht="15" customHeight="1" x14ac:dyDescent="0.3">
      <c r="A912" s="23" t="s">
        <v>2277</v>
      </c>
      <c r="B912" s="38">
        <v>46283</v>
      </c>
      <c r="C912" s="23" t="s">
        <v>2278</v>
      </c>
      <c r="D912" s="23" t="s">
        <v>95</v>
      </c>
      <c r="E912" s="23" t="s">
        <v>75</v>
      </c>
      <c r="F912" s="23" t="s">
        <v>2279</v>
      </c>
      <c r="G912" s="23" t="s">
        <v>250</v>
      </c>
      <c r="H912" s="39">
        <f t="shared" si="56"/>
        <v>6147</v>
      </c>
      <c r="I912" s="23" t="str">
        <f t="shared" si="57"/>
        <v>Bengaluru</v>
      </c>
      <c r="J912" s="23">
        <f>COUNTIFS(pg_transaction_cleaned!$O:$O,A912,pg_transaction_cleaned!$F:$F,"CAPTURE")</f>
        <v>1</v>
      </c>
      <c r="K912" s="39">
        <f>SUMIFS(pg_transaction_cleaned!$H:$H,pg_transaction_cleaned!$O:$O,A912,pg_transaction_cleaned!$F:$F,"CAPTURE")</f>
        <v>6147</v>
      </c>
      <c r="L912" s="23">
        <f>COUNTIFS(pg_transaction_cleaned!$O:$O,A912,pg_transaction_cleaned!$F:$F,"REFUND")</f>
        <v>0</v>
      </c>
      <c r="M912" s="39">
        <f>SUMIFS(pg_transaction_cleaned!$H:$H,pg_transaction_cleaned!$O:$O,A912,pg_transaction_cleaned!$F:$F,"REFUND")</f>
        <v>0</v>
      </c>
      <c r="N912" s="23" t="str">
        <f t="shared" si="58"/>
        <v>OK</v>
      </c>
      <c r="O912" s="24">
        <f t="shared" si="59"/>
        <v>0</v>
      </c>
    </row>
    <row r="913" spans="1:15" ht="15" customHeight="1" x14ac:dyDescent="0.3">
      <c r="A913" s="23" t="s">
        <v>2280</v>
      </c>
      <c r="B913" s="38">
        <v>46285</v>
      </c>
      <c r="C913" s="23" t="s">
        <v>2281</v>
      </c>
      <c r="D913" s="23" t="s">
        <v>94</v>
      </c>
      <c r="E913" s="23" t="s">
        <v>75</v>
      </c>
      <c r="F913" s="23" t="s">
        <v>294</v>
      </c>
      <c r="G913" s="23" t="s">
        <v>250</v>
      </c>
      <c r="H913" s="39">
        <f t="shared" si="56"/>
        <v>1799</v>
      </c>
      <c r="I913" s="23" t="str">
        <f t="shared" si="57"/>
        <v>Chennai</v>
      </c>
      <c r="J913" s="23">
        <f>COUNTIFS(pg_transaction_cleaned!$O:$O,A913,pg_transaction_cleaned!$F:$F,"CAPTURE")</f>
        <v>1</v>
      </c>
      <c r="K913" s="39">
        <f>SUMIFS(pg_transaction_cleaned!$H:$H,pg_transaction_cleaned!$O:$O,A913,pg_transaction_cleaned!$F:$F,"CAPTURE")</f>
        <v>1799</v>
      </c>
      <c r="L913" s="23">
        <f>COUNTIFS(pg_transaction_cleaned!$O:$O,A913,pg_transaction_cleaned!$F:$F,"REFUND")</f>
        <v>0</v>
      </c>
      <c r="M913" s="39">
        <f>SUMIFS(pg_transaction_cleaned!$H:$H,pg_transaction_cleaned!$O:$O,A913,pg_transaction_cleaned!$F:$F,"REFUND")</f>
        <v>0</v>
      </c>
      <c r="N913" s="23" t="str">
        <f t="shared" si="58"/>
        <v>OK</v>
      </c>
      <c r="O913" s="24">
        <f t="shared" si="59"/>
        <v>0</v>
      </c>
    </row>
    <row r="914" spans="1:15" ht="15" customHeight="1" x14ac:dyDescent="0.3">
      <c r="A914" s="23" t="s">
        <v>2282</v>
      </c>
      <c r="B914" s="38">
        <v>46272</v>
      </c>
      <c r="C914" s="23" t="s">
        <v>2283</v>
      </c>
      <c r="D914" s="23" t="s">
        <v>89</v>
      </c>
      <c r="E914" s="23" t="s">
        <v>79</v>
      </c>
      <c r="F914" s="23" t="s">
        <v>685</v>
      </c>
      <c r="G914" s="23" t="s">
        <v>301</v>
      </c>
      <c r="H914" s="39">
        <f t="shared" si="56"/>
        <v>8797</v>
      </c>
      <c r="I914" s="23" t="str">
        <f t="shared" si="57"/>
        <v>Jaipur</v>
      </c>
      <c r="J914" s="23">
        <f>COUNTIFS(pg_transaction_cleaned!$O:$O,A914,pg_transaction_cleaned!$F:$F,"CAPTURE")</f>
        <v>1</v>
      </c>
      <c r="K914" s="39">
        <f>SUMIFS(pg_transaction_cleaned!$H:$H,pg_transaction_cleaned!$O:$O,A914,pg_transaction_cleaned!$F:$F,"CAPTURE")</f>
        <v>8797</v>
      </c>
      <c r="L914" s="23">
        <f>COUNTIFS(pg_transaction_cleaned!$O:$O,A914,pg_transaction_cleaned!$F:$F,"REFUND")</f>
        <v>0</v>
      </c>
      <c r="M914" s="39">
        <f>SUMIFS(pg_transaction_cleaned!$H:$H,pg_transaction_cleaned!$O:$O,A914,pg_transaction_cleaned!$F:$F,"REFUND")</f>
        <v>0</v>
      </c>
      <c r="N914" s="23" t="str">
        <f t="shared" si="58"/>
        <v>Refunded, no refund</v>
      </c>
      <c r="O914" s="24">
        <f t="shared" si="59"/>
        <v>8797</v>
      </c>
    </row>
    <row r="915" spans="1:15" ht="15" customHeight="1" x14ac:dyDescent="0.3">
      <c r="A915" s="23" t="s">
        <v>2284</v>
      </c>
      <c r="B915" s="38">
        <v>46288</v>
      </c>
      <c r="C915" s="23" t="s">
        <v>2285</v>
      </c>
      <c r="D915" s="23" t="s">
        <v>90</v>
      </c>
      <c r="E915" s="23" t="s">
        <v>75</v>
      </c>
      <c r="F915" s="23" t="s">
        <v>262</v>
      </c>
      <c r="G915" s="23" t="s">
        <v>250</v>
      </c>
      <c r="H915" s="39">
        <f t="shared" si="56"/>
        <v>499</v>
      </c>
      <c r="I915" s="23" t="str">
        <f t="shared" si="57"/>
        <v>Ahmedabad</v>
      </c>
      <c r="J915" s="23">
        <f>COUNTIFS(pg_transaction_cleaned!$O:$O,A915,pg_transaction_cleaned!$F:$F,"CAPTURE")</f>
        <v>1</v>
      </c>
      <c r="K915" s="39">
        <f>SUMIFS(pg_transaction_cleaned!$H:$H,pg_transaction_cleaned!$O:$O,A915,pg_transaction_cleaned!$F:$F,"CAPTURE")</f>
        <v>499</v>
      </c>
      <c r="L915" s="23">
        <f>COUNTIFS(pg_transaction_cleaned!$O:$O,A915,pg_transaction_cleaned!$F:$F,"REFUND")</f>
        <v>0</v>
      </c>
      <c r="M915" s="39">
        <f>SUMIFS(pg_transaction_cleaned!$H:$H,pg_transaction_cleaned!$O:$O,A915,pg_transaction_cleaned!$F:$F,"REFUND")</f>
        <v>0</v>
      </c>
      <c r="N915" s="23" t="str">
        <f t="shared" si="58"/>
        <v>OK</v>
      </c>
      <c r="O915" s="24">
        <f t="shared" si="59"/>
        <v>0</v>
      </c>
    </row>
    <row r="916" spans="1:15" ht="15" customHeight="1" x14ac:dyDescent="0.3">
      <c r="A916" s="23" t="s">
        <v>2286</v>
      </c>
      <c r="B916" s="38">
        <v>46269</v>
      </c>
      <c r="C916" s="23" t="s">
        <v>2287</v>
      </c>
      <c r="D916" s="23" t="s">
        <v>86</v>
      </c>
      <c r="E916" s="23" t="s">
        <v>75</v>
      </c>
      <c r="F916" s="23" t="s">
        <v>337</v>
      </c>
      <c r="G916" s="23" t="s">
        <v>250</v>
      </c>
      <c r="H916" s="39">
        <f t="shared" si="56"/>
        <v>3998</v>
      </c>
      <c r="I916" s="23" t="str">
        <f t="shared" si="57"/>
        <v>Delhi</v>
      </c>
      <c r="J916" s="23">
        <f>COUNTIFS(pg_transaction_cleaned!$O:$O,A916,pg_transaction_cleaned!$F:$F,"CAPTURE")</f>
        <v>1</v>
      </c>
      <c r="K916" s="39">
        <f>SUMIFS(pg_transaction_cleaned!$H:$H,pg_transaction_cleaned!$O:$O,A916,pg_transaction_cleaned!$F:$F,"CAPTURE")</f>
        <v>3998</v>
      </c>
      <c r="L916" s="23">
        <f>COUNTIFS(pg_transaction_cleaned!$O:$O,A916,pg_transaction_cleaned!$F:$F,"REFUND")</f>
        <v>0</v>
      </c>
      <c r="M916" s="39">
        <f>SUMIFS(pg_transaction_cleaned!$H:$H,pg_transaction_cleaned!$O:$O,A916,pg_transaction_cleaned!$F:$F,"REFUND")</f>
        <v>0</v>
      </c>
      <c r="N916" s="23" t="str">
        <f t="shared" si="58"/>
        <v>OK</v>
      </c>
      <c r="O916" s="24">
        <f t="shared" si="59"/>
        <v>0</v>
      </c>
    </row>
    <row r="917" spans="1:15" ht="15" customHeight="1" x14ac:dyDescent="0.3">
      <c r="A917" s="23" t="s">
        <v>2288</v>
      </c>
      <c r="B917" s="38">
        <v>46275</v>
      </c>
      <c r="C917" s="23" t="s">
        <v>2289</v>
      </c>
      <c r="D917" s="23" t="s">
        <v>94</v>
      </c>
      <c r="E917" s="23" t="s">
        <v>81</v>
      </c>
      <c r="F917" s="23" t="s">
        <v>378</v>
      </c>
      <c r="G917" s="23" t="s">
        <v>250</v>
      </c>
      <c r="H917" s="39">
        <f t="shared" si="56"/>
        <v>2848</v>
      </c>
      <c r="I917" s="23" t="str">
        <f t="shared" si="57"/>
        <v>Chennai</v>
      </c>
      <c r="J917" s="23">
        <f>COUNTIFS(pg_transaction_cleaned!$O:$O,A917,pg_transaction_cleaned!$F:$F,"CAPTURE")</f>
        <v>1</v>
      </c>
      <c r="K917" s="39">
        <f>SUMIFS(pg_transaction_cleaned!$H:$H,pg_transaction_cleaned!$O:$O,A917,pg_transaction_cleaned!$F:$F,"CAPTURE")</f>
        <v>2848</v>
      </c>
      <c r="L917" s="23">
        <f>COUNTIFS(pg_transaction_cleaned!$O:$O,A917,pg_transaction_cleaned!$F:$F,"REFUND")</f>
        <v>0</v>
      </c>
      <c r="M917" s="39">
        <f>SUMIFS(pg_transaction_cleaned!$H:$H,pg_transaction_cleaned!$O:$O,A917,pg_transaction_cleaned!$F:$F,"REFUND")</f>
        <v>0</v>
      </c>
      <c r="N917" s="23" t="str">
        <f t="shared" si="58"/>
        <v>OK</v>
      </c>
      <c r="O917" s="24">
        <f t="shared" si="59"/>
        <v>0</v>
      </c>
    </row>
    <row r="918" spans="1:15" ht="15" customHeight="1" x14ac:dyDescent="0.3">
      <c r="A918" s="23" t="s">
        <v>2290</v>
      </c>
      <c r="B918" s="38">
        <v>46281</v>
      </c>
      <c r="C918" s="23" t="s">
        <v>2291</v>
      </c>
      <c r="D918" s="23" t="s">
        <v>87</v>
      </c>
      <c r="E918" s="23" t="s">
        <v>75</v>
      </c>
      <c r="F918" s="23" t="s">
        <v>1533</v>
      </c>
      <c r="G918" s="23" t="s">
        <v>250</v>
      </c>
      <c r="H918" s="39">
        <f t="shared" si="56"/>
        <v>3647</v>
      </c>
      <c r="I918" s="23" t="str">
        <f t="shared" si="57"/>
        <v>Mumbai</v>
      </c>
      <c r="J918" s="23">
        <f>COUNTIFS(pg_transaction_cleaned!$O:$O,A918,pg_transaction_cleaned!$F:$F,"CAPTURE")</f>
        <v>1</v>
      </c>
      <c r="K918" s="39">
        <f>SUMIFS(pg_transaction_cleaned!$H:$H,pg_transaction_cleaned!$O:$O,A918,pg_transaction_cleaned!$F:$F,"CAPTURE")</f>
        <v>3647</v>
      </c>
      <c r="L918" s="23">
        <f>COUNTIFS(pg_transaction_cleaned!$O:$O,A918,pg_transaction_cleaned!$F:$F,"REFUND")</f>
        <v>0</v>
      </c>
      <c r="M918" s="39">
        <f>SUMIFS(pg_transaction_cleaned!$H:$H,pg_transaction_cleaned!$O:$O,A918,pg_transaction_cleaned!$F:$F,"REFUND")</f>
        <v>0</v>
      </c>
      <c r="N918" s="23" t="str">
        <f t="shared" si="58"/>
        <v>OK</v>
      </c>
      <c r="O918" s="24">
        <f t="shared" si="59"/>
        <v>0</v>
      </c>
    </row>
    <row r="919" spans="1:15" ht="15" customHeight="1" x14ac:dyDescent="0.3">
      <c r="A919" s="23" t="s">
        <v>2292</v>
      </c>
      <c r="B919" s="38">
        <v>46290</v>
      </c>
      <c r="C919" s="23" t="s">
        <v>2293</v>
      </c>
      <c r="D919" s="23" t="s">
        <v>88</v>
      </c>
      <c r="E919" s="23" t="s">
        <v>75</v>
      </c>
      <c r="F919" s="23" t="s">
        <v>396</v>
      </c>
      <c r="G919" s="23" t="s">
        <v>250</v>
      </c>
      <c r="H919" s="39">
        <f t="shared" si="56"/>
        <v>2999</v>
      </c>
      <c r="I919" s="23" t="str">
        <f t="shared" si="57"/>
        <v>Lucknow</v>
      </c>
      <c r="J919" s="23">
        <f>COUNTIFS(pg_transaction_cleaned!$O:$O,A919,pg_transaction_cleaned!$F:$F,"CAPTURE")</f>
        <v>1</v>
      </c>
      <c r="K919" s="39">
        <f>SUMIFS(pg_transaction_cleaned!$H:$H,pg_transaction_cleaned!$O:$O,A919,pg_transaction_cleaned!$F:$F,"CAPTURE")</f>
        <v>2999</v>
      </c>
      <c r="L919" s="23">
        <f>COUNTIFS(pg_transaction_cleaned!$O:$O,A919,pg_transaction_cleaned!$F:$F,"REFUND")</f>
        <v>0</v>
      </c>
      <c r="M919" s="39">
        <f>SUMIFS(pg_transaction_cleaned!$H:$H,pg_transaction_cleaned!$O:$O,A919,pg_transaction_cleaned!$F:$F,"REFUND")</f>
        <v>0</v>
      </c>
      <c r="N919" s="23" t="str">
        <f t="shared" si="58"/>
        <v>OK</v>
      </c>
      <c r="O919" s="24">
        <f t="shared" si="59"/>
        <v>0</v>
      </c>
    </row>
    <row r="920" spans="1:15" ht="15" customHeight="1" x14ac:dyDescent="0.3">
      <c r="A920" s="23" t="s">
        <v>2294</v>
      </c>
      <c r="B920" s="38">
        <v>46284</v>
      </c>
      <c r="C920" s="23" t="s">
        <v>2295</v>
      </c>
      <c r="D920" s="23" t="s">
        <v>92</v>
      </c>
      <c r="E920" s="23" t="s">
        <v>75</v>
      </c>
      <c r="F920" s="23" t="s">
        <v>824</v>
      </c>
      <c r="G920" s="23" t="s">
        <v>250</v>
      </c>
      <c r="H920" s="39">
        <f t="shared" si="56"/>
        <v>1198</v>
      </c>
      <c r="I920" s="23" t="str">
        <f t="shared" si="57"/>
        <v>Hyderabad</v>
      </c>
      <c r="J920" s="23">
        <f>COUNTIFS(pg_transaction_cleaned!$O:$O,A920,pg_transaction_cleaned!$F:$F,"CAPTURE")</f>
        <v>1</v>
      </c>
      <c r="K920" s="39">
        <f>SUMIFS(pg_transaction_cleaned!$H:$H,pg_transaction_cleaned!$O:$O,A920,pg_transaction_cleaned!$F:$F,"CAPTURE")</f>
        <v>1198</v>
      </c>
      <c r="L920" s="23">
        <f>COUNTIFS(pg_transaction_cleaned!$O:$O,A920,pg_transaction_cleaned!$F:$F,"REFUND")</f>
        <v>0</v>
      </c>
      <c r="M920" s="39">
        <f>SUMIFS(pg_transaction_cleaned!$H:$H,pg_transaction_cleaned!$O:$O,A920,pg_transaction_cleaned!$F:$F,"REFUND")</f>
        <v>0</v>
      </c>
      <c r="N920" s="23" t="str">
        <f t="shared" si="58"/>
        <v>OK</v>
      </c>
      <c r="O920" s="24">
        <f t="shared" si="59"/>
        <v>0</v>
      </c>
    </row>
    <row r="921" spans="1:15" ht="15" customHeight="1" x14ac:dyDescent="0.3">
      <c r="A921" s="23" t="s">
        <v>2296</v>
      </c>
      <c r="B921" s="38">
        <v>46295</v>
      </c>
      <c r="C921" s="23" t="s">
        <v>2297</v>
      </c>
      <c r="D921" s="23" t="s">
        <v>89</v>
      </c>
      <c r="E921" s="23" t="s">
        <v>79</v>
      </c>
      <c r="F921" s="23" t="s">
        <v>346</v>
      </c>
      <c r="G921" s="23" t="s">
        <v>301</v>
      </c>
      <c r="H921" s="39">
        <f t="shared" si="56"/>
        <v>4498</v>
      </c>
      <c r="I921" s="23" t="str">
        <f t="shared" si="57"/>
        <v>Jaipur</v>
      </c>
      <c r="J921" s="23">
        <f>COUNTIFS(pg_transaction_cleaned!$O:$O,A921,pg_transaction_cleaned!$F:$F,"CAPTURE")</f>
        <v>1</v>
      </c>
      <c r="K921" s="39">
        <f>SUMIFS(pg_transaction_cleaned!$H:$H,pg_transaction_cleaned!$O:$O,A921,pg_transaction_cleaned!$F:$F,"CAPTURE")</f>
        <v>4498</v>
      </c>
      <c r="L921" s="23">
        <f>COUNTIFS(pg_transaction_cleaned!$O:$O,A921,pg_transaction_cleaned!$F:$F,"REFUND")</f>
        <v>1</v>
      </c>
      <c r="M921" s="39">
        <f>SUMIFS(pg_transaction_cleaned!$H:$H,pg_transaction_cleaned!$O:$O,A921,pg_transaction_cleaned!$F:$F,"REFUND")</f>
        <v>4498</v>
      </c>
      <c r="N921" s="23" t="str">
        <f t="shared" si="58"/>
        <v>OK</v>
      </c>
      <c r="O921" s="24">
        <f t="shared" si="59"/>
        <v>0</v>
      </c>
    </row>
    <row r="922" spans="1:15" ht="15" customHeight="1" x14ac:dyDescent="0.3">
      <c r="A922" s="23" t="s">
        <v>2298</v>
      </c>
      <c r="B922" s="38">
        <v>46278</v>
      </c>
      <c r="C922" s="23" t="s">
        <v>2299</v>
      </c>
      <c r="D922" s="23" t="s">
        <v>87</v>
      </c>
      <c r="E922" s="23" t="s">
        <v>75</v>
      </c>
      <c r="F922" s="23" t="s">
        <v>310</v>
      </c>
      <c r="G922" s="23" t="s">
        <v>250</v>
      </c>
      <c r="H922" s="39">
        <f t="shared" si="56"/>
        <v>7999</v>
      </c>
      <c r="I922" s="23" t="str">
        <f t="shared" si="57"/>
        <v>Mumbai</v>
      </c>
      <c r="J922" s="23">
        <f>COUNTIFS(pg_transaction_cleaned!$O:$O,A922,pg_transaction_cleaned!$F:$F,"CAPTURE")</f>
        <v>1</v>
      </c>
      <c r="K922" s="39">
        <f>SUMIFS(pg_transaction_cleaned!$H:$H,pg_transaction_cleaned!$O:$O,A922,pg_transaction_cleaned!$F:$F,"CAPTURE")</f>
        <v>7999</v>
      </c>
      <c r="L922" s="23">
        <f>COUNTIFS(pg_transaction_cleaned!$O:$O,A922,pg_transaction_cleaned!$F:$F,"REFUND")</f>
        <v>0</v>
      </c>
      <c r="M922" s="39">
        <f>SUMIFS(pg_transaction_cleaned!$H:$H,pg_transaction_cleaned!$O:$O,A922,pg_transaction_cleaned!$F:$F,"REFUND")</f>
        <v>0</v>
      </c>
      <c r="N922" s="23" t="str">
        <f t="shared" si="58"/>
        <v>OK</v>
      </c>
      <c r="O922" s="24">
        <f t="shared" si="59"/>
        <v>0</v>
      </c>
    </row>
    <row r="923" spans="1:15" ht="15" customHeight="1" x14ac:dyDescent="0.3">
      <c r="A923" s="23" t="s">
        <v>2300</v>
      </c>
      <c r="B923" s="38">
        <v>46266</v>
      </c>
      <c r="C923" s="23" t="s">
        <v>2301</v>
      </c>
      <c r="D923" s="23" t="s">
        <v>95</v>
      </c>
      <c r="E923" s="23" t="s">
        <v>75</v>
      </c>
      <c r="F923" s="23" t="s">
        <v>463</v>
      </c>
      <c r="G923" s="23" t="s">
        <v>250</v>
      </c>
      <c r="H923" s="39">
        <f t="shared" si="56"/>
        <v>10797</v>
      </c>
      <c r="I923" s="23" t="str">
        <f t="shared" si="57"/>
        <v>Bengaluru</v>
      </c>
      <c r="J923" s="23">
        <f>COUNTIFS(pg_transaction_cleaned!$O:$O,A923,pg_transaction_cleaned!$F:$F,"CAPTURE")</f>
        <v>1</v>
      </c>
      <c r="K923" s="39">
        <f>SUMIFS(pg_transaction_cleaned!$H:$H,pg_transaction_cleaned!$O:$O,A923,pg_transaction_cleaned!$F:$F,"CAPTURE")</f>
        <v>10797</v>
      </c>
      <c r="L923" s="23">
        <f>COUNTIFS(pg_transaction_cleaned!$O:$O,A923,pg_transaction_cleaned!$F:$F,"REFUND")</f>
        <v>0</v>
      </c>
      <c r="M923" s="39">
        <f>SUMIFS(pg_transaction_cleaned!$H:$H,pg_transaction_cleaned!$O:$O,A923,pg_transaction_cleaned!$F:$F,"REFUND")</f>
        <v>0</v>
      </c>
      <c r="N923" s="23" t="str">
        <f t="shared" si="58"/>
        <v>OK</v>
      </c>
      <c r="O923" s="24">
        <f t="shared" si="59"/>
        <v>0</v>
      </c>
    </row>
    <row r="924" spans="1:15" ht="15" customHeight="1" x14ac:dyDescent="0.3">
      <c r="A924" s="23" t="s">
        <v>2302</v>
      </c>
      <c r="B924" s="38">
        <v>46279</v>
      </c>
      <c r="C924" s="23" t="s">
        <v>2303</v>
      </c>
      <c r="D924" s="23" t="s">
        <v>93</v>
      </c>
      <c r="E924" s="23" t="s">
        <v>75</v>
      </c>
      <c r="F924" s="23" t="s">
        <v>2304</v>
      </c>
      <c r="G924" s="23" t="s">
        <v>250</v>
      </c>
      <c r="H924" s="39">
        <f t="shared" si="56"/>
        <v>6797</v>
      </c>
      <c r="I924" s="23" t="str">
        <f t="shared" si="57"/>
        <v>Kolkata</v>
      </c>
      <c r="J924" s="23">
        <f>COUNTIFS(pg_transaction_cleaned!$O:$O,A924,pg_transaction_cleaned!$F:$F,"CAPTURE")</f>
        <v>1</v>
      </c>
      <c r="K924" s="39">
        <f>SUMIFS(pg_transaction_cleaned!$H:$H,pg_transaction_cleaned!$O:$O,A924,pg_transaction_cleaned!$F:$F,"CAPTURE")</f>
        <v>6797</v>
      </c>
      <c r="L924" s="23">
        <f>COUNTIFS(pg_transaction_cleaned!$O:$O,A924,pg_transaction_cleaned!$F:$F,"REFUND")</f>
        <v>0</v>
      </c>
      <c r="M924" s="39">
        <f>SUMIFS(pg_transaction_cleaned!$H:$H,pg_transaction_cleaned!$O:$O,A924,pg_transaction_cleaned!$F:$F,"REFUND")</f>
        <v>0</v>
      </c>
      <c r="N924" s="23" t="str">
        <f t="shared" si="58"/>
        <v>OK</v>
      </c>
      <c r="O924" s="24">
        <f t="shared" si="59"/>
        <v>0</v>
      </c>
    </row>
    <row r="925" spans="1:15" ht="15" customHeight="1" x14ac:dyDescent="0.3">
      <c r="A925" s="23" t="s">
        <v>2305</v>
      </c>
      <c r="B925" s="38">
        <v>46283</v>
      </c>
      <c r="C925" s="23" t="s">
        <v>2306</v>
      </c>
      <c r="D925" s="23" t="s">
        <v>93</v>
      </c>
      <c r="E925" s="23" t="s">
        <v>75</v>
      </c>
      <c r="F925" s="23" t="s">
        <v>396</v>
      </c>
      <c r="G925" s="23" t="s">
        <v>250</v>
      </c>
      <c r="H925" s="39">
        <f t="shared" si="56"/>
        <v>2999</v>
      </c>
      <c r="I925" s="23" t="str">
        <f t="shared" si="57"/>
        <v>Kolkata</v>
      </c>
      <c r="J925" s="23">
        <f>COUNTIFS(pg_transaction_cleaned!$O:$O,A925,pg_transaction_cleaned!$F:$F,"CAPTURE")</f>
        <v>1</v>
      </c>
      <c r="K925" s="39">
        <f>SUMIFS(pg_transaction_cleaned!$H:$H,pg_transaction_cleaned!$O:$O,A925,pg_transaction_cleaned!$F:$F,"CAPTURE")</f>
        <v>2999</v>
      </c>
      <c r="L925" s="23">
        <f>COUNTIFS(pg_transaction_cleaned!$O:$O,A925,pg_transaction_cleaned!$F:$F,"REFUND")</f>
        <v>0</v>
      </c>
      <c r="M925" s="39">
        <f>SUMIFS(pg_transaction_cleaned!$H:$H,pg_transaction_cleaned!$O:$O,A925,pg_transaction_cleaned!$F:$F,"REFUND")</f>
        <v>0</v>
      </c>
      <c r="N925" s="23" t="str">
        <f t="shared" si="58"/>
        <v>OK</v>
      </c>
      <c r="O925" s="24">
        <f t="shared" si="59"/>
        <v>0</v>
      </c>
    </row>
    <row r="926" spans="1:15" ht="15" customHeight="1" x14ac:dyDescent="0.3">
      <c r="A926" s="23" t="s">
        <v>2307</v>
      </c>
      <c r="B926" s="38">
        <v>46292</v>
      </c>
      <c r="C926" s="23" t="s">
        <v>2308</v>
      </c>
      <c r="D926" s="23" t="s">
        <v>86</v>
      </c>
      <c r="E926" s="23" t="s">
        <v>75</v>
      </c>
      <c r="F926" s="23" t="s">
        <v>310</v>
      </c>
      <c r="G926" s="23" t="s">
        <v>250</v>
      </c>
      <c r="H926" s="39">
        <f t="shared" si="56"/>
        <v>7999</v>
      </c>
      <c r="I926" s="23" t="str">
        <f t="shared" si="57"/>
        <v>Delhi</v>
      </c>
      <c r="J926" s="23">
        <f>COUNTIFS(pg_transaction_cleaned!$O:$O,A926,pg_transaction_cleaned!$F:$F,"CAPTURE")</f>
        <v>1</v>
      </c>
      <c r="K926" s="39">
        <f>SUMIFS(pg_transaction_cleaned!$H:$H,pg_transaction_cleaned!$O:$O,A926,pg_transaction_cleaned!$F:$F,"CAPTURE")</f>
        <v>7999</v>
      </c>
      <c r="L926" s="23">
        <f>COUNTIFS(pg_transaction_cleaned!$O:$O,A926,pg_transaction_cleaned!$F:$F,"REFUND")</f>
        <v>0</v>
      </c>
      <c r="M926" s="39">
        <f>SUMIFS(pg_transaction_cleaned!$H:$H,pg_transaction_cleaned!$O:$O,A926,pg_transaction_cleaned!$F:$F,"REFUND")</f>
        <v>0</v>
      </c>
      <c r="N926" s="23" t="str">
        <f t="shared" si="58"/>
        <v>OK</v>
      </c>
      <c r="O926" s="24">
        <f t="shared" si="59"/>
        <v>0</v>
      </c>
    </row>
    <row r="927" spans="1:15" ht="15" customHeight="1" x14ac:dyDescent="0.3">
      <c r="A927" s="23" t="s">
        <v>2309</v>
      </c>
      <c r="B927" s="38">
        <v>46270</v>
      </c>
      <c r="C927" s="23" t="s">
        <v>2310</v>
      </c>
      <c r="D927" s="23" t="s">
        <v>93</v>
      </c>
      <c r="E927" s="23" t="s">
        <v>75</v>
      </c>
      <c r="F927" s="23" t="s">
        <v>274</v>
      </c>
      <c r="G927" s="23" t="s">
        <v>250</v>
      </c>
      <c r="H927" s="39">
        <f t="shared" si="56"/>
        <v>349</v>
      </c>
      <c r="I927" s="23" t="str">
        <f t="shared" si="57"/>
        <v>Kolkata</v>
      </c>
      <c r="J927" s="23">
        <f>COUNTIFS(pg_transaction_cleaned!$O:$O,A927,pg_transaction_cleaned!$F:$F,"CAPTURE")</f>
        <v>1</v>
      </c>
      <c r="K927" s="39">
        <f>SUMIFS(pg_transaction_cleaned!$H:$H,pg_transaction_cleaned!$O:$O,A927,pg_transaction_cleaned!$F:$F,"CAPTURE")</f>
        <v>349</v>
      </c>
      <c r="L927" s="23">
        <f>COUNTIFS(pg_transaction_cleaned!$O:$O,A927,pg_transaction_cleaned!$F:$F,"REFUND")</f>
        <v>0</v>
      </c>
      <c r="M927" s="39">
        <f>SUMIFS(pg_transaction_cleaned!$H:$H,pg_transaction_cleaned!$O:$O,A927,pg_transaction_cleaned!$F:$F,"REFUND")</f>
        <v>0</v>
      </c>
      <c r="N927" s="23" t="str">
        <f t="shared" si="58"/>
        <v>OK</v>
      </c>
      <c r="O927" s="24">
        <f t="shared" si="59"/>
        <v>0</v>
      </c>
    </row>
    <row r="928" spans="1:15" ht="15" customHeight="1" x14ac:dyDescent="0.3">
      <c r="A928" s="23" t="s">
        <v>2311</v>
      </c>
      <c r="B928" s="38">
        <v>46270</v>
      </c>
      <c r="C928" s="23" t="s">
        <v>2312</v>
      </c>
      <c r="D928" s="23" t="s">
        <v>88</v>
      </c>
      <c r="E928" s="23" t="s">
        <v>75</v>
      </c>
      <c r="F928" s="23" t="s">
        <v>262</v>
      </c>
      <c r="G928" s="23" t="s">
        <v>250</v>
      </c>
      <c r="H928" s="39">
        <f t="shared" si="56"/>
        <v>499</v>
      </c>
      <c r="I928" s="23" t="str">
        <f t="shared" si="57"/>
        <v>Lucknow</v>
      </c>
      <c r="J928" s="23">
        <f>COUNTIFS(pg_transaction_cleaned!$O:$O,A928,pg_transaction_cleaned!$F:$F,"CAPTURE")</f>
        <v>1</v>
      </c>
      <c r="K928" s="39">
        <f>SUMIFS(pg_transaction_cleaned!$H:$H,pg_transaction_cleaned!$O:$O,A928,pg_transaction_cleaned!$F:$F,"CAPTURE")</f>
        <v>499</v>
      </c>
      <c r="L928" s="23">
        <f>COUNTIFS(pg_transaction_cleaned!$O:$O,A928,pg_transaction_cleaned!$F:$F,"REFUND")</f>
        <v>0</v>
      </c>
      <c r="M928" s="39">
        <f>SUMIFS(pg_transaction_cleaned!$H:$H,pg_transaction_cleaned!$O:$O,A928,pg_transaction_cleaned!$F:$F,"REFUND")</f>
        <v>0</v>
      </c>
      <c r="N928" s="23" t="str">
        <f t="shared" si="58"/>
        <v>OK</v>
      </c>
      <c r="O928" s="24">
        <f t="shared" si="59"/>
        <v>0</v>
      </c>
    </row>
    <row r="929" spans="1:15" ht="15" customHeight="1" x14ac:dyDescent="0.3">
      <c r="A929" s="23" t="s">
        <v>2313</v>
      </c>
      <c r="B929" s="38">
        <v>46295</v>
      </c>
      <c r="C929" s="23" t="s">
        <v>2314</v>
      </c>
      <c r="D929" s="23" t="s">
        <v>93</v>
      </c>
      <c r="E929" s="23" t="s">
        <v>75</v>
      </c>
      <c r="F929" s="23" t="s">
        <v>483</v>
      </c>
      <c r="G929" s="23" t="s">
        <v>250</v>
      </c>
      <c r="H929" s="39">
        <f t="shared" si="56"/>
        <v>2998</v>
      </c>
      <c r="I929" s="23" t="str">
        <f t="shared" si="57"/>
        <v>Kolkata</v>
      </c>
      <c r="J929" s="23">
        <f>COUNTIFS(pg_transaction_cleaned!$O:$O,A929,pg_transaction_cleaned!$F:$F,"CAPTURE")</f>
        <v>1</v>
      </c>
      <c r="K929" s="39">
        <f>SUMIFS(pg_transaction_cleaned!$H:$H,pg_transaction_cleaned!$O:$O,A929,pg_transaction_cleaned!$F:$F,"CAPTURE")</f>
        <v>2998</v>
      </c>
      <c r="L929" s="23">
        <f>COUNTIFS(pg_transaction_cleaned!$O:$O,A929,pg_transaction_cleaned!$F:$F,"REFUND")</f>
        <v>0</v>
      </c>
      <c r="M929" s="39">
        <f>SUMIFS(pg_transaction_cleaned!$H:$H,pg_transaction_cleaned!$O:$O,A929,pg_transaction_cleaned!$F:$F,"REFUND")</f>
        <v>0</v>
      </c>
      <c r="N929" s="23" t="str">
        <f t="shared" si="58"/>
        <v>OK</v>
      </c>
      <c r="O929" s="24">
        <f t="shared" si="59"/>
        <v>0</v>
      </c>
    </row>
    <row r="930" spans="1:15" ht="15" customHeight="1" x14ac:dyDescent="0.3">
      <c r="A930" s="23" t="s">
        <v>2315</v>
      </c>
      <c r="B930" s="38">
        <v>46277</v>
      </c>
      <c r="C930" s="23" t="s">
        <v>2316</v>
      </c>
      <c r="D930" s="23" t="s">
        <v>95</v>
      </c>
      <c r="E930" s="23" t="s">
        <v>75</v>
      </c>
      <c r="F930" s="23" t="s">
        <v>262</v>
      </c>
      <c r="G930" s="23" t="s">
        <v>250</v>
      </c>
      <c r="H930" s="39">
        <f t="shared" si="56"/>
        <v>499</v>
      </c>
      <c r="I930" s="23" t="str">
        <f t="shared" si="57"/>
        <v>Bengaluru</v>
      </c>
      <c r="J930" s="23">
        <f>COUNTIFS(pg_transaction_cleaned!$O:$O,A930,pg_transaction_cleaned!$F:$F,"CAPTURE")</f>
        <v>1</v>
      </c>
      <c r="K930" s="39">
        <f>SUMIFS(pg_transaction_cleaned!$H:$H,pg_transaction_cleaned!$O:$O,A930,pg_transaction_cleaned!$F:$F,"CAPTURE")</f>
        <v>499</v>
      </c>
      <c r="L930" s="23">
        <f>COUNTIFS(pg_transaction_cleaned!$O:$O,A930,pg_transaction_cleaned!$F:$F,"REFUND")</f>
        <v>0</v>
      </c>
      <c r="M930" s="39">
        <f>SUMIFS(pg_transaction_cleaned!$H:$H,pg_transaction_cleaned!$O:$O,A930,pg_transaction_cleaned!$F:$F,"REFUND")</f>
        <v>0</v>
      </c>
      <c r="N930" s="23" t="str">
        <f t="shared" si="58"/>
        <v>OK</v>
      </c>
      <c r="O930" s="24">
        <f t="shared" si="59"/>
        <v>0</v>
      </c>
    </row>
    <row r="931" spans="1:15" ht="15" customHeight="1" x14ac:dyDescent="0.3">
      <c r="A931" s="23" t="s">
        <v>2317</v>
      </c>
      <c r="B931" s="38">
        <v>46288</v>
      </c>
      <c r="C931" s="23" t="s">
        <v>2318</v>
      </c>
      <c r="D931" s="23" t="s">
        <v>87</v>
      </c>
      <c r="E931" s="23" t="s">
        <v>79</v>
      </c>
      <c r="F931" s="23" t="s">
        <v>1211</v>
      </c>
      <c r="G931" s="23" t="s">
        <v>365</v>
      </c>
      <c r="H931" s="39">
        <f t="shared" si="56"/>
        <v>2098</v>
      </c>
      <c r="I931" s="23" t="str">
        <f t="shared" si="57"/>
        <v>Mumbai</v>
      </c>
      <c r="J931" s="23">
        <f>COUNTIFS(pg_transaction_cleaned!$O:$O,A931,pg_transaction_cleaned!$F:$F,"CAPTURE")</f>
        <v>0</v>
      </c>
      <c r="K931" s="39">
        <f>SUMIFS(pg_transaction_cleaned!$H:$H,pg_transaction_cleaned!$O:$O,A931,pg_transaction_cleaned!$F:$F,"CAPTURE")</f>
        <v>0</v>
      </c>
      <c r="L931" s="23">
        <f>COUNTIFS(pg_transaction_cleaned!$O:$O,A931,pg_transaction_cleaned!$F:$F,"REFUND")</f>
        <v>0</v>
      </c>
      <c r="M931" s="39">
        <f>SUMIFS(pg_transaction_cleaned!$H:$H,pg_transaction_cleaned!$O:$O,A931,pg_transaction_cleaned!$F:$F,"REFUND")</f>
        <v>0</v>
      </c>
      <c r="N931" s="23" t="str">
        <f t="shared" si="58"/>
        <v>OK</v>
      </c>
      <c r="O931" s="24">
        <f t="shared" si="59"/>
        <v>0</v>
      </c>
    </row>
    <row r="932" spans="1:15" ht="15" customHeight="1" x14ac:dyDescent="0.3">
      <c r="A932" s="23" t="s">
        <v>2319</v>
      </c>
      <c r="B932" s="38">
        <v>46284</v>
      </c>
      <c r="C932" s="23" t="s">
        <v>888</v>
      </c>
      <c r="D932" s="23" t="s">
        <v>86</v>
      </c>
      <c r="E932" s="23" t="s">
        <v>75</v>
      </c>
      <c r="F932" s="23" t="s">
        <v>346</v>
      </c>
      <c r="G932" s="23" t="s">
        <v>250</v>
      </c>
      <c r="H932" s="39">
        <f t="shared" si="56"/>
        <v>4498</v>
      </c>
      <c r="I932" s="23" t="str">
        <f t="shared" si="57"/>
        <v>Delhi</v>
      </c>
      <c r="J932" s="23">
        <f>COUNTIFS(pg_transaction_cleaned!$O:$O,A932,pg_transaction_cleaned!$F:$F,"CAPTURE")</f>
        <v>1</v>
      </c>
      <c r="K932" s="39">
        <f>SUMIFS(pg_transaction_cleaned!$H:$H,pg_transaction_cleaned!$O:$O,A932,pg_transaction_cleaned!$F:$F,"CAPTURE")</f>
        <v>4498</v>
      </c>
      <c r="L932" s="23">
        <f>COUNTIFS(pg_transaction_cleaned!$O:$O,A932,pg_transaction_cleaned!$F:$F,"REFUND")</f>
        <v>0</v>
      </c>
      <c r="M932" s="39">
        <f>SUMIFS(pg_transaction_cleaned!$H:$H,pg_transaction_cleaned!$O:$O,A932,pg_transaction_cleaned!$F:$F,"REFUND")</f>
        <v>0</v>
      </c>
      <c r="N932" s="23" t="str">
        <f t="shared" si="58"/>
        <v>OK</v>
      </c>
      <c r="O932" s="24">
        <f t="shared" si="59"/>
        <v>0</v>
      </c>
    </row>
    <row r="933" spans="1:15" ht="15" customHeight="1" x14ac:dyDescent="0.3">
      <c r="A933" s="23" t="s">
        <v>2320</v>
      </c>
      <c r="B933" s="38">
        <v>46289</v>
      </c>
      <c r="C933" s="23" t="s">
        <v>2321</v>
      </c>
      <c r="D933" s="23"/>
      <c r="E933" s="23" t="s">
        <v>75</v>
      </c>
      <c r="F933" s="23" t="s">
        <v>2322</v>
      </c>
      <c r="G933" s="23" t="s">
        <v>250</v>
      </c>
      <c r="H933" s="39">
        <f t="shared" si="56"/>
        <v>14797</v>
      </c>
      <c r="I933" s="23" t="str">
        <f t="shared" si="57"/>
        <v>Unknown</v>
      </c>
      <c r="J933" s="23">
        <f>COUNTIFS(pg_transaction_cleaned!$O:$O,A933,pg_transaction_cleaned!$F:$F,"CAPTURE")</f>
        <v>1</v>
      </c>
      <c r="K933" s="39">
        <f>SUMIFS(pg_transaction_cleaned!$H:$H,pg_transaction_cleaned!$O:$O,A933,pg_transaction_cleaned!$F:$F,"CAPTURE")</f>
        <v>14797</v>
      </c>
      <c r="L933" s="23">
        <f>COUNTIFS(pg_transaction_cleaned!$O:$O,A933,pg_transaction_cleaned!$F:$F,"REFUND")</f>
        <v>0</v>
      </c>
      <c r="M933" s="39">
        <f>SUMIFS(pg_transaction_cleaned!$H:$H,pg_transaction_cleaned!$O:$O,A933,pg_transaction_cleaned!$F:$F,"REFUND")</f>
        <v>0</v>
      </c>
      <c r="N933" s="23" t="str">
        <f t="shared" si="58"/>
        <v>OK</v>
      </c>
      <c r="O933" s="24">
        <f t="shared" si="59"/>
        <v>0</v>
      </c>
    </row>
    <row r="934" spans="1:15" ht="15" customHeight="1" x14ac:dyDescent="0.3">
      <c r="A934" s="23" t="s">
        <v>2323</v>
      </c>
      <c r="B934" s="38">
        <v>46294</v>
      </c>
      <c r="C934" s="23" t="s">
        <v>2324</v>
      </c>
      <c r="D934" s="23" t="s">
        <v>91</v>
      </c>
      <c r="E934" s="23" t="s">
        <v>79</v>
      </c>
      <c r="F934" s="23" t="s">
        <v>632</v>
      </c>
      <c r="G934" s="23" t="s">
        <v>250</v>
      </c>
      <c r="H934" s="39">
        <f t="shared" si="56"/>
        <v>948</v>
      </c>
      <c r="I934" s="23" t="str">
        <f t="shared" si="57"/>
        <v>Pune</v>
      </c>
      <c r="J934" s="23">
        <f>COUNTIFS(pg_transaction_cleaned!$O:$O,A934,pg_transaction_cleaned!$F:$F,"CAPTURE")</f>
        <v>1</v>
      </c>
      <c r="K934" s="39">
        <f>SUMIFS(pg_transaction_cleaned!$H:$H,pg_transaction_cleaned!$O:$O,A934,pg_transaction_cleaned!$F:$F,"CAPTURE")</f>
        <v>948</v>
      </c>
      <c r="L934" s="23">
        <f>COUNTIFS(pg_transaction_cleaned!$O:$O,A934,pg_transaction_cleaned!$F:$F,"REFUND")</f>
        <v>0</v>
      </c>
      <c r="M934" s="39">
        <f>SUMIFS(pg_transaction_cleaned!$H:$H,pg_transaction_cleaned!$O:$O,A934,pg_transaction_cleaned!$F:$F,"REFUND")</f>
        <v>0</v>
      </c>
      <c r="N934" s="23" t="str">
        <f t="shared" si="58"/>
        <v>OK</v>
      </c>
      <c r="O934" s="24">
        <f t="shared" si="59"/>
        <v>0</v>
      </c>
    </row>
    <row r="935" spans="1:15" ht="15" customHeight="1" x14ac:dyDescent="0.3">
      <c r="A935" s="23" t="s">
        <v>2325</v>
      </c>
      <c r="B935" s="38">
        <v>46287</v>
      </c>
      <c r="C935" s="23" t="s">
        <v>2326</v>
      </c>
      <c r="D935" s="23" t="s">
        <v>89</v>
      </c>
      <c r="E935" s="23" t="s">
        <v>75</v>
      </c>
      <c r="F935" s="23" t="s">
        <v>478</v>
      </c>
      <c r="G935" s="23" t="s">
        <v>250</v>
      </c>
      <c r="H935" s="39">
        <f t="shared" si="56"/>
        <v>9297</v>
      </c>
      <c r="I935" s="23" t="str">
        <f t="shared" si="57"/>
        <v>Jaipur</v>
      </c>
      <c r="J935" s="23">
        <f>COUNTIFS(pg_transaction_cleaned!$O:$O,A935,pg_transaction_cleaned!$F:$F,"CAPTURE")</f>
        <v>1</v>
      </c>
      <c r="K935" s="39">
        <f>SUMIFS(pg_transaction_cleaned!$H:$H,pg_transaction_cleaned!$O:$O,A935,pg_transaction_cleaned!$F:$F,"CAPTURE")</f>
        <v>9297</v>
      </c>
      <c r="L935" s="23">
        <f>COUNTIFS(pg_transaction_cleaned!$O:$O,A935,pg_transaction_cleaned!$F:$F,"REFUND")</f>
        <v>0</v>
      </c>
      <c r="M935" s="39">
        <f>SUMIFS(pg_transaction_cleaned!$H:$H,pg_transaction_cleaned!$O:$O,A935,pg_transaction_cleaned!$F:$F,"REFUND")</f>
        <v>0</v>
      </c>
      <c r="N935" s="23" t="str">
        <f t="shared" si="58"/>
        <v>OK</v>
      </c>
      <c r="O935" s="24">
        <f t="shared" si="59"/>
        <v>0</v>
      </c>
    </row>
    <row r="936" spans="1:15" ht="15" customHeight="1" x14ac:dyDescent="0.3">
      <c r="A936" s="23" t="s">
        <v>2327</v>
      </c>
      <c r="B936" s="38">
        <v>46290</v>
      </c>
      <c r="C936" s="23" t="s">
        <v>2328</v>
      </c>
      <c r="D936" s="23" t="s">
        <v>94</v>
      </c>
      <c r="E936" s="23" t="s">
        <v>77</v>
      </c>
      <c r="F936" s="23" t="s">
        <v>315</v>
      </c>
      <c r="G936" s="23" t="s">
        <v>250</v>
      </c>
      <c r="H936" s="39">
        <f t="shared" si="56"/>
        <v>1499</v>
      </c>
      <c r="I936" s="23" t="str">
        <f t="shared" si="57"/>
        <v>Chennai</v>
      </c>
      <c r="J936" s="23">
        <f>COUNTIFS(pg_transaction_cleaned!$O:$O,A936,pg_transaction_cleaned!$F:$F,"CAPTURE")</f>
        <v>1</v>
      </c>
      <c r="K936" s="39">
        <f>SUMIFS(pg_transaction_cleaned!$H:$H,pg_transaction_cleaned!$O:$O,A936,pg_transaction_cleaned!$F:$F,"CAPTURE")</f>
        <v>1499</v>
      </c>
      <c r="L936" s="23">
        <f>COUNTIFS(pg_transaction_cleaned!$O:$O,A936,pg_transaction_cleaned!$F:$F,"REFUND")</f>
        <v>0</v>
      </c>
      <c r="M936" s="39">
        <f>SUMIFS(pg_transaction_cleaned!$H:$H,pg_transaction_cleaned!$O:$O,A936,pg_transaction_cleaned!$F:$F,"REFUND")</f>
        <v>0</v>
      </c>
      <c r="N936" s="23" t="str">
        <f t="shared" si="58"/>
        <v>OK</v>
      </c>
      <c r="O936" s="24">
        <f t="shared" si="59"/>
        <v>0</v>
      </c>
    </row>
    <row r="937" spans="1:15" ht="15" customHeight="1" x14ac:dyDescent="0.3">
      <c r="A937" s="23" t="s">
        <v>2329</v>
      </c>
      <c r="B937" s="38">
        <v>46279</v>
      </c>
      <c r="C937" s="23" t="s">
        <v>2330</v>
      </c>
      <c r="D937" s="23" t="s">
        <v>92</v>
      </c>
      <c r="E937" s="23" t="s">
        <v>75</v>
      </c>
      <c r="F937" s="23" t="s">
        <v>297</v>
      </c>
      <c r="G937" s="23" t="s">
        <v>250</v>
      </c>
      <c r="H937" s="39">
        <f t="shared" si="56"/>
        <v>4999</v>
      </c>
      <c r="I937" s="23" t="str">
        <f t="shared" si="57"/>
        <v>Hyderabad</v>
      </c>
      <c r="J937" s="23">
        <f>COUNTIFS(pg_transaction_cleaned!$O:$O,A937,pg_transaction_cleaned!$F:$F,"CAPTURE")</f>
        <v>1</v>
      </c>
      <c r="K937" s="39">
        <f>SUMIFS(pg_transaction_cleaned!$H:$H,pg_transaction_cleaned!$O:$O,A937,pg_transaction_cleaned!$F:$F,"CAPTURE")</f>
        <v>4999</v>
      </c>
      <c r="L937" s="23">
        <f>COUNTIFS(pg_transaction_cleaned!$O:$O,A937,pg_transaction_cleaned!$F:$F,"REFUND")</f>
        <v>0</v>
      </c>
      <c r="M937" s="39">
        <f>SUMIFS(pg_transaction_cleaned!$H:$H,pg_transaction_cleaned!$O:$O,A937,pg_transaction_cleaned!$F:$F,"REFUND")</f>
        <v>0</v>
      </c>
      <c r="N937" s="23" t="str">
        <f t="shared" si="58"/>
        <v>OK</v>
      </c>
      <c r="O937" s="24">
        <f t="shared" si="59"/>
        <v>0</v>
      </c>
    </row>
    <row r="938" spans="1:15" ht="15" customHeight="1" x14ac:dyDescent="0.3">
      <c r="A938" s="23" t="s">
        <v>2331</v>
      </c>
      <c r="B938" s="38">
        <v>46289</v>
      </c>
      <c r="C938" s="23" t="s">
        <v>2332</v>
      </c>
      <c r="D938" s="23" t="s">
        <v>87</v>
      </c>
      <c r="E938" s="23" t="s">
        <v>79</v>
      </c>
      <c r="F938" s="23" t="s">
        <v>451</v>
      </c>
      <c r="G938" s="23" t="s">
        <v>250</v>
      </c>
      <c r="H938" s="39">
        <f t="shared" si="56"/>
        <v>1098</v>
      </c>
      <c r="I938" s="23" t="str">
        <f t="shared" si="57"/>
        <v>Mumbai</v>
      </c>
      <c r="J938" s="23">
        <f>COUNTIFS(pg_transaction_cleaned!$O:$O,A938,pg_transaction_cleaned!$F:$F,"CAPTURE")</f>
        <v>1</v>
      </c>
      <c r="K938" s="39">
        <f>SUMIFS(pg_transaction_cleaned!$H:$H,pg_transaction_cleaned!$O:$O,A938,pg_transaction_cleaned!$F:$F,"CAPTURE")</f>
        <v>1098</v>
      </c>
      <c r="L938" s="23">
        <f>COUNTIFS(pg_transaction_cleaned!$O:$O,A938,pg_transaction_cleaned!$F:$F,"REFUND")</f>
        <v>0</v>
      </c>
      <c r="M938" s="39">
        <f>SUMIFS(pg_transaction_cleaned!$H:$H,pg_transaction_cleaned!$O:$O,A938,pg_transaction_cleaned!$F:$F,"REFUND")</f>
        <v>0</v>
      </c>
      <c r="N938" s="23" t="str">
        <f t="shared" si="58"/>
        <v>OK</v>
      </c>
      <c r="O938" s="24">
        <f t="shared" si="59"/>
        <v>0</v>
      </c>
    </row>
    <row r="939" spans="1:15" ht="15" customHeight="1" x14ac:dyDescent="0.3">
      <c r="A939" s="23" t="s">
        <v>2333</v>
      </c>
      <c r="B939" s="38">
        <v>46287</v>
      </c>
      <c r="C939" s="23" t="s">
        <v>2334</v>
      </c>
      <c r="D939" s="23" t="s">
        <v>91</v>
      </c>
      <c r="E939" s="23" t="s">
        <v>75</v>
      </c>
      <c r="F939" s="23" t="s">
        <v>297</v>
      </c>
      <c r="G939" s="23" t="s">
        <v>250</v>
      </c>
      <c r="H939" s="39">
        <f t="shared" si="56"/>
        <v>4999</v>
      </c>
      <c r="I939" s="23" t="str">
        <f t="shared" si="57"/>
        <v>Pune</v>
      </c>
      <c r="J939" s="23">
        <f>COUNTIFS(pg_transaction_cleaned!$O:$O,A939,pg_transaction_cleaned!$F:$F,"CAPTURE")</f>
        <v>1</v>
      </c>
      <c r="K939" s="39">
        <f>SUMIFS(pg_transaction_cleaned!$H:$H,pg_transaction_cleaned!$O:$O,A939,pg_transaction_cleaned!$F:$F,"CAPTURE")</f>
        <v>4999</v>
      </c>
      <c r="L939" s="23">
        <f>COUNTIFS(pg_transaction_cleaned!$O:$O,A939,pg_transaction_cleaned!$F:$F,"REFUND")</f>
        <v>0</v>
      </c>
      <c r="M939" s="39">
        <f>SUMIFS(pg_transaction_cleaned!$H:$H,pg_transaction_cleaned!$O:$O,A939,pg_transaction_cleaned!$F:$F,"REFUND")</f>
        <v>0</v>
      </c>
      <c r="N939" s="23" t="str">
        <f t="shared" si="58"/>
        <v>OK</v>
      </c>
      <c r="O939" s="24">
        <f t="shared" si="59"/>
        <v>0</v>
      </c>
    </row>
    <row r="940" spans="1:15" ht="15" customHeight="1" x14ac:dyDescent="0.3">
      <c r="A940" s="23" t="s">
        <v>2335</v>
      </c>
      <c r="B940" s="38">
        <v>46270</v>
      </c>
      <c r="C940" s="23" t="s">
        <v>2336</v>
      </c>
      <c r="D940" s="23" t="s">
        <v>92</v>
      </c>
      <c r="E940" s="23" t="s">
        <v>75</v>
      </c>
      <c r="F940" s="23" t="s">
        <v>2337</v>
      </c>
      <c r="G940" s="23" t="s">
        <v>250</v>
      </c>
      <c r="H940" s="39">
        <f t="shared" si="56"/>
        <v>8348</v>
      </c>
      <c r="I940" s="23" t="str">
        <f t="shared" si="57"/>
        <v>Hyderabad</v>
      </c>
      <c r="J940" s="23">
        <f>COUNTIFS(pg_transaction_cleaned!$O:$O,A940,pg_transaction_cleaned!$F:$F,"CAPTURE")</f>
        <v>1</v>
      </c>
      <c r="K940" s="39">
        <f>SUMIFS(pg_transaction_cleaned!$H:$H,pg_transaction_cleaned!$O:$O,A940,pg_transaction_cleaned!$F:$F,"CAPTURE")</f>
        <v>8348</v>
      </c>
      <c r="L940" s="23">
        <f>COUNTIFS(pg_transaction_cleaned!$O:$O,A940,pg_transaction_cleaned!$F:$F,"REFUND")</f>
        <v>0</v>
      </c>
      <c r="M940" s="39">
        <f>SUMIFS(pg_transaction_cleaned!$H:$H,pg_transaction_cleaned!$O:$O,A940,pg_transaction_cleaned!$F:$F,"REFUND")</f>
        <v>0</v>
      </c>
      <c r="N940" s="23" t="str">
        <f t="shared" si="58"/>
        <v>OK</v>
      </c>
      <c r="O940" s="24">
        <f t="shared" si="59"/>
        <v>0</v>
      </c>
    </row>
    <row r="941" spans="1:15" ht="15" customHeight="1" x14ac:dyDescent="0.3">
      <c r="A941" s="23" t="s">
        <v>2338</v>
      </c>
      <c r="B941" s="38">
        <v>46274</v>
      </c>
      <c r="C941" s="23" t="s">
        <v>2339</v>
      </c>
      <c r="D941" s="23" t="s">
        <v>86</v>
      </c>
      <c r="E941" s="23" t="s">
        <v>79</v>
      </c>
      <c r="F941" s="23" t="s">
        <v>249</v>
      </c>
      <c r="G941" s="23" t="s">
        <v>250</v>
      </c>
      <c r="H941" s="39">
        <f t="shared" si="56"/>
        <v>299</v>
      </c>
      <c r="I941" s="23" t="str">
        <f t="shared" si="57"/>
        <v>Delhi</v>
      </c>
      <c r="J941" s="23">
        <f>COUNTIFS(pg_transaction_cleaned!$O:$O,A941,pg_transaction_cleaned!$F:$F,"CAPTURE")</f>
        <v>1</v>
      </c>
      <c r="K941" s="39">
        <f>SUMIFS(pg_transaction_cleaned!$H:$H,pg_transaction_cleaned!$O:$O,A941,pg_transaction_cleaned!$F:$F,"CAPTURE")</f>
        <v>299</v>
      </c>
      <c r="L941" s="23">
        <f>COUNTIFS(pg_transaction_cleaned!$O:$O,A941,pg_transaction_cleaned!$F:$F,"REFUND")</f>
        <v>0</v>
      </c>
      <c r="M941" s="39">
        <f>SUMIFS(pg_transaction_cleaned!$H:$H,pg_transaction_cleaned!$O:$O,A941,pg_transaction_cleaned!$F:$F,"REFUND")</f>
        <v>0</v>
      </c>
      <c r="N941" s="23" t="str">
        <f t="shared" si="58"/>
        <v>OK</v>
      </c>
      <c r="O941" s="24">
        <f t="shared" si="59"/>
        <v>0</v>
      </c>
    </row>
    <row r="942" spans="1:15" ht="15" customHeight="1" x14ac:dyDescent="0.3">
      <c r="A942" s="23" t="s">
        <v>2340</v>
      </c>
      <c r="B942" s="38">
        <v>46287</v>
      </c>
      <c r="C942" s="23" t="s">
        <v>2341</v>
      </c>
      <c r="D942" s="23" t="s">
        <v>90</v>
      </c>
      <c r="E942" s="23" t="s">
        <v>79</v>
      </c>
      <c r="F942" s="23" t="s">
        <v>499</v>
      </c>
      <c r="G942" s="23" t="s">
        <v>250</v>
      </c>
      <c r="H942" s="39">
        <f t="shared" si="56"/>
        <v>5998</v>
      </c>
      <c r="I942" s="23" t="str">
        <f t="shared" si="57"/>
        <v>Ahmedabad</v>
      </c>
      <c r="J942" s="23">
        <f>COUNTIFS(pg_transaction_cleaned!$O:$O,A942,pg_transaction_cleaned!$F:$F,"CAPTURE")</f>
        <v>1</v>
      </c>
      <c r="K942" s="39">
        <f>SUMIFS(pg_transaction_cleaned!$H:$H,pg_transaction_cleaned!$O:$O,A942,pg_transaction_cleaned!$F:$F,"CAPTURE")</f>
        <v>5998</v>
      </c>
      <c r="L942" s="23">
        <f>COUNTIFS(pg_transaction_cleaned!$O:$O,A942,pg_transaction_cleaned!$F:$F,"REFUND")</f>
        <v>0</v>
      </c>
      <c r="M942" s="39">
        <f>SUMIFS(pg_transaction_cleaned!$H:$H,pg_transaction_cleaned!$O:$O,A942,pg_transaction_cleaned!$F:$F,"REFUND")</f>
        <v>0</v>
      </c>
      <c r="N942" s="23" t="str">
        <f t="shared" si="58"/>
        <v>OK</v>
      </c>
      <c r="O942" s="24">
        <f t="shared" si="59"/>
        <v>0</v>
      </c>
    </row>
    <row r="943" spans="1:15" ht="15" customHeight="1" x14ac:dyDescent="0.3">
      <c r="A943" s="23" t="s">
        <v>2342</v>
      </c>
      <c r="B943" s="38">
        <v>46271</v>
      </c>
      <c r="C943" s="23" t="s">
        <v>2343</v>
      </c>
      <c r="D943" s="23" t="s">
        <v>88</v>
      </c>
      <c r="E943" s="23" t="s">
        <v>75</v>
      </c>
      <c r="F943" s="23" t="s">
        <v>1505</v>
      </c>
      <c r="G943" s="23" t="s">
        <v>250</v>
      </c>
      <c r="H943" s="39">
        <f t="shared" si="56"/>
        <v>8298</v>
      </c>
      <c r="I943" s="23" t="str">
        <f t="shared" si="57"/>
        <v>Lucknow</v>
      </c>
      <c r="J943" s="23">
        <f>COUNTIFS(pg_transaction_cleaned!$O:$O,A943,pg_transaction_cleaned!$F:$F,"CAPTURE")</f>
        <v>1</v>
      </c>
      <c r="K943" s="39">
        <f>SUMIFS(pg_transaction_cleaned!$H:$H,pg_transaction_cleaned!$O:$O,A943,pg_transaction_cleaned!$F:$F,"CAPTURE")</f>
        <v>8298</v>
      </c>
      <c r="L943" s="23">
        <f>COUNTIFS(pg_transaction_cleaned!$O:$O,A943,pg_transaction_cleaned!$F:$F,"REFUND")</f>
        <v>0</v>
      </c>
      <c r="M943" s="39">
        <f>SUMIFS(pg_transaction_cleaned!$H:$H,pg_transaction_cleaned!$O:$O,A943,pg_transaction_cleaned!$F:$F,"REFUND")</f>
        <v>0</v>
      </c>
      <c r="N943" s="23" t="str">
        <f t="shared" si="58"/>
        <v>OK</v>
      </c>
      <c r="O943" s="24">
        <f t="shared" si="59"/>
        <v>0</v>
      </c>
    </row>
    <row r="944" spans="1:15" ht="15" customHeight="1" x14ac:dyDescent="0.3">
      <c r="A944" s="23" t="s">
        <v>2344</v>
      </c>
      <c r="B944" s="38">
        <v>46295</v>
      </c>
      <c r="C944" s="23" t="s">
        <v>2345</v>
      </c>
      <c r="D944" s="23" t="s">
        <v>95</v>
      </c>
      <c r="E944" s="23" t="s">
        <v>77</v>
      </c>
      <c r="F944" s="23" t="s">
        <v>310</v>
      </c>
      <c r="G944" s="23" t="s">
        <v>250</v>
      </c>
      <c r="H944" s="39">
        <f t="shared" si="56"/>
        <v>7999</v>
      </c>
      <c r="I944" s="23" t="str">
        <f t="shared" si="57"/>
        <v>Bengaluru</v>
      </c>
      <c r="J944" s="23">
        <f>COUNTIFS(pg_transaction_cleaned!$O:$O,A944,pg_transaction_cleaned!$F:$F,"CAPTURE")</f>
        <v>1</v>
      </c>
      <c r="K944" s="39">
        <f>SUMIFS(pg_transaction_cleaned!$H:$H,pg_transaction_cleaned!$O:$O,A944,pg_transaction_cleaned!$F:$F,"CAPTURE")</f>
        <v>7999</v>
      </c>
      <c r="L944" s="23">
        <f>COUNTIFS(pg_transaction_cleaned!$O:$O,A944,pg_transaction_cleaned!$F:$F,"REFUND")</f>
        <v>0</v>
      </c>
      <c r="M944" s="39">
        <f>SUMIFS(pg_transaction_cleaned!$H:$H,pg_transaction_cleaned!$O:$O,A944,pg_transaction_cleaned!$F:$F,"REFUND")</f>
        <v>0</v>
      </c>
      <c r="N944" s="23" t="str">
        <f t="shared" si="58"/>
        <v>OK</v>
      </c>
      <c r="O944" s="24">
        <f t="shared" si="59"/>
        <v>0</v>
      </c>
    </row>
    <row r="945" spans="1:15" ht="15" customHeight="1" x14ac:dyDescent="0.3">
      <c r="A945" s="23" t="s">
        <v>2346</v>
      </c>
      <c r="B945" s="38">
        <v>46287</v>
      </c>
      <c r="C945" s="23" t="s">
        <v>2347</v>
      </c>
      <c r="D945" s="23"/>
      <c r="E945" s="23" t="s">
        <v>79</v>
      </c>
      <c r="F945" s="23" t="s">
        <v>514</v>
      </c>
      <c r="G945" s="23" t="s">
        <v>250</v>
      </c>
      <c r="H945" s="39">
        <f t="shared" si="56"/>
        <v>6498</v>
      </c>
      <c r="I945" s="23" t="str">
        <f t="shared" si="57"/>
        <v>Unknown</v>
      </c>
      <c r="J945" s="23">
        <f>COUNTIFS(pg_transaction_cleaned!$O:$O,A945,pg_transaction_cleaned!$F:$F,"CAPTURE")</f>
        <v>1</v>
      </c>
      <c r="K945" s="39">
        <f>SUMIFS(pg_transaction_cleaned!$H:$H,pg_transaction_cleaned!$O:$O,A945,pg_transaction_cleaned!$F:$F,"CAPTURE")</f>
        <v>6498</v>
      </c>
      <c r="L945" s="23">
        <f>COUNTIFS(pg_transaction_cleaned!$O:$O,A945,pg_transaction_cleaned!$F:$F,"REFUND")</f>
        <v>0</v>
      </c>
      <c r="M945" s="39">
        <f>SUMIFS(pg_transaction_cleaned!$H:$H,pg_transaction_cleaned!$O:$O,A945,pg_transaction_cleaned!$F:$F,"REFUND")</f>
        <v>0</v>
      </c>
      <c r="N945" s="23" t="str">
        <f t="shared" si="58"/>
        <v>OK</v>
      </c>
      <c r="O945" s="24">
        <f t="shared" si="59"/>
        <v>0</v>
      </c>
    </row>
    <row r="946" spans="1:15" ht="15" customHeight="1" x14ac:dyDescent="0.3">
      <c r="A946" s="23" t="s">
        <v>2348</v>
      </c>
      <c r="B946" s="38">
        <v>46286</v>
      </c>
      <c r="C946" s="23" t="s">
        <v>2349</v>
      </c>
      <c r="D946" s="23" t="s">
        <v>93</v>
      </c>
      <c r="E946" s="23" t="s">
        <v>75</v>
      </c>
      <c r="F946" s="23" t="s">
        <v>297</v>
      </c>
      <c r="G946" s="23" t="s">
        <v>250</v>
      </c>
      <c r="H946" s="39">
        <f t="shared" si="56"/>
        <v>4999</v>
      </c>
      <c r="I946" s="23" t="str">
        <f t="shared" si="57"/>
        <v>Kolkata</v>
      </c>
      <c r="J946" s="23">
        <f>COUNTIFS(pg_transaction_cleaned!$O:$O,A946,pg_transaction_cleaned!$F:$F,"CAPTURE")</f>
        <v>1</v>
      </c>
      <c r="K946" s="39">
        <f>SUMIFS(pg_transaction_cleaned!$H:$H,pg_transaction_cleaned!$O:$O,A946,pg_transaction_cleaned!$F:$F,"CAPTURE")</f>
        <v>4999</v>
      </c>
      <c r="L946" s="23">
        <f>COUNTIFS(pg_transaction_cleaned!$O:$O,A946,pg_transaction_cleaned!$F:$F,"REFUND")</f>
        <v>0</v>
      </c>
      <c r="M946" s="39">
        <f>SUMIFS(pg_transaction_cleaned!$H:$H,pg_transaction_cleaned!$O:$O,A946,pg_transaction_cleaned!$F:$F,"REFUND")</f>
        <v>0</v>
      </c>
      <c r="N946" s="23" t="str">
        <f t="shared" si="58"/>
        <v>OK</v>
      </c>
      <c r="O946" s="24">
        <f t="shared" si="59"/>
        <v>0</v>
      </c>
    </row>
    <row r="947" spans="1:15" ht="15" customHeight="1" x14ac:dyDescent="0.3">
      <c r="A947" s="23" t="s">
        <v>2350</v>
      </c>
      <c r="B947" s="38">
        <v>46281</v>
      </c>
      <c r="C947" s="23" t="s">
        <v>2351</v>
      </c>
      <c r="D947" s="23" t="s">
        <v>95</v>
      </c>
      <c r="E947" s="23" t="s">
        <v>79</v>
      </c>
      <c r="F947" s="23" t="s">
        <v>315</v>
      </c>
      <c r="G947" s="23" t="s">
        <v>250</v>
      </c>
      <c r="H947" s="39">
        <f t="shared" si="56"/>
        <v>1499</v>
      </c>
      <c r="I947" s="23" t="str">
        <f t="shared" si="57"/>
        <v>Bengaluru</v>
      </c>
      <c r="J947" s="23">
        <f>COUNTIFS(pg_transaction_cleaned!$O:$O,A947,pg_transaction_cleaned!$F:$F,"CAPTURE")</f>
        <v>1</v>
      </c>
      <c r="K947" s="39">
        <f>SUMIFS(pg_transaction_cleaned!$H:$H,pg_transaction_cleaned!$O:$O,A947,pg_transaction_cleaned!$F:$F,"CAPTURE")</f>
        <v>1499</v>
      </c>
      <c r="L947" s="23">
        <f>COUNTIFS(pg_transaction_cleaned!$O:$O,A947,pg_transaction_cleaned!$F:$F,"REFUND")</f>
        <v>0</v>
      </c>
      <c r="M947" s="39">
        <f>SUMIFS(pg_transaction_cleaned!$H:$H,pg_transaction_cleaned!$O:$O,A947,pg_transaction_cleaned!$F:$F,"REFUND")</f>
        <v>0</v>
      </c>
      <c r="N947" s="23" t="str">
        <f t="shared" si="58"/>
        <v>OK</v>
      </c>
      <c r="O947" s="24">
        <f t="shared" si="59"/>
        <v>0</v>
      </c>
    </row>
    <row r="948" spans="1:15" ht="15" customHeight="1" x14ac:dyDescent="0.3">
      <c r="A948" s="23" t="s">
        <v>2352</v>
      </c>
      <c r="B948" s="38">
        <v>46278</v>
      </c>
      <c r="C948" s="23" t="s">
        <v>2353</v>
      </c>
      <c r="D948" s="23" t="s">
        <v>87</v>
      </c>
      <c r="E948" s="23" t="s">
        <v>75</v>
      </c>
      <c r="F948" s="23" t="s">
        <v>1448</v>
      </c>
      <c r="G948" s="23" t="s">
        <v>250</v>
      </c>
      <c r="H948" s="39">
        <f t="shared" si="56"/>
        <v>6297</v>
      </c>
      <c r="I948" s="23" t="str">
        <f t="shared" si="57"/>
        <v>Mumbai</v>
      </c>
      <c r="J948" s="23">
        <f>COUNTIFS(pg_transaction_cleaned!$O:$O,A948,pg_transaction_cleaned!$F:$F,"CAPTURE")</f>
        <v>1</v>
      </c>
      <c r="K948" s="39">
        <f>SUMIFS(pg_transaction_cleaned!$H:$H,pg_transaction_cleaned!$O:$O,A948,pg_transaction_cleaned!$F:$F,"CAPTURE")</f>
        <v>6297</v>
      </c>
      <c r="L948" s="23">
        <f>COUNTIFS(pg_transaction_cleaned!$O:$O,A948,pg_transaction_cleaned!$F:$F,"REFUND")</f>
        <v>0</v>
      </c>
      <c r="M948" s="39">
        <f>SUMIFS(pg_transaction_cleaned!$H:$H,pg_transaction_cleaned!$O:$O,A948,pg_transaction_cleaned!$F:$F,"REFUND")</f>
        <v>0</v>
      </c>
      <c r="N948" s="23" t="str">
        <f t="shared" si="58"/>
        <v>OK</v>
      </c>
      <c r="O948" s="24">
        <f t="shared" si="59"/>
        <v>0</v>
      </c>
    </row>
    <row r="949" spans="1:15" ht="15" customHeight="1" x14ac:dyDescent="0.3">
      <c r="A949" s="23" t="s">
        <v>2354</v>
      </c>
      <c r="B949" s="38">
        <v>46275</v>
      </c>
      <c r="C949" s="23" t="s">
        <v>2355</v>
      </c>
      <c r="D949" s="23" t="s">
        <v>91</v>
      </c>
      <c r="E949" s="23" t="s">
        <v>75</v>
      </c>
      <c r="F949" s="23" t="s">
        <v>288</v>
      </c>
      <c r="G949" s="23" t="s">
        <v>250</v>
      </c>
      <c r="H949" s="39">
        <f t="shared" si="56"/>
        <v>4298</v>
      </c>
      <c r="I949" s="23" t="str">
        <f t="shared" si="57"/>
        <v>Pune</v>
      </c>
      <c r="J949" s="23">
        <f>COUNTIFS(pg_transaction_cleaned!$O:$O,A949,pg_transaction_cleaned!$F:$F,"CAPTURE")</f>
        <v>1</v>
      </c>
      <c r="K949" s="39">
        <f>SUMIFS(pg_transaction_cleaned!$H:$H,pg_transaction_cleaned!$O:$O,A949,pg_transaction_cleaned!$F:$F,"CAPTURE")</f>
        <v>4298</v>
      </c>
      <c r="L949" s="23">
        <f>COUNTIFS(pg_transaction_cleaned!$O:$O,A949,pg_transaction_cleaned!$F:$F,"REFUND")</f>
        <v>0</v>
      </c>
      <c r="M949" s="39">
        <f>SUMIFS(pg_transaction_cleaned!$H:$H,pg_transaction_cleaned!$O:$O,A949,pg_transaction_cleaned!$F:$F,"REFUND")</f>
        <v>0</v>
      </c>
      <c r="N949" s="23" t="str">
        <f t="shared" si="58"/>
        <v>OK</v>
      </c>
      <c r="O949" s="24">
        <f t="shared" si="59"/>
        <v>0</v>
      </c>
    </row>
    <row r="950" spans="1:15" ht="15" customHeight="1" x14ac:dyDescent="0.3">
      <c r="A950" s="23" t="s">
        <v>2356</v>
      </c>
      <c r="B950" s="38">
        <v>46295</v>
      </c>
      <c r="C950" s="23" t="s">
        <v>2357</v>
      </c>
      <c r="D950" s="23" t="s">
        <v>92</v>
      </c>
      <c r="E950" s="23" t="s">
        <v>75</v>
      </c>
      <c r="F950" s="23" t="s">
        <v>337</v>
      </c>
      <c r="G950" s="23" t="s">
        <v>318</v>
      </c>
      <c r="H950" s="39">
        <f t="shared" si="56"/>
        <v>3998</v>
      </c>
      <c r="I950" s="23" t="str">
        <f t="shared" si="57"/>
        <v>Hyderabad</v>
      </c>
      <c r="J950" s="23">
        <f>COUNTIFS(pg_transaction_cleaned!$O:$O,A950,pg_transaction_cleaned!$F:$F,"CAPTURE")</f>
        <v>0</v>
      </c>
      <c r="K950" s="39">
        <f>SUMIFS(pg_transaction_cleaned!$H:$H,pg_transaction_cleaned!$O:$O,A950,pg_transaction_cleaned!$F:$F,"CAPTURE")</f>
        <v>0</v>
      </c>
      <c r="L950" s="23">
        <f>COUNTIFS(pg_transaction_cleaned!$O:$O,A950,pg_transaction_cleaned!$F:$F,"REFUND")</f>
        <v>0</v>
      </c>
      <c r="M950" s="39">
        <f>SUMIFS(pg_transaction_cleaned!$H:$H,pg_transaction_cleaned!$O:$O,A950,pg_transaction_cleaned!$F:$F,"REFUND")</f>
        <v>0</v>
      </c>
      <c r="N950" s="23" t="str">
        <f t="shared" si="58"/>
        <v>OK</v>
      </c>
      <c r="O950" s="24">
        <f t="shared" si="59"/>
        <v>0</v>
      </c>
    </row>
    <row r="951" spans="1:15" ht="15" customHeight="1" x14ac:dyDescent="0.3">
      <c r="A951" s="23" t="s">
        <v>2358</v>
      </c>
      <c r="B951" s="38">
        <v>46276</v>
      </c>
      <c r="C951" s="23" t="s">
        <v>2359</v>
      </c>
      <c r="D951" s="23" t="s">
        <v>93</v>
      </c>
      <c r="E951" s="23" t="s">
        <v>75</v>
      </c>
      <c r="F951" s="23" t="s">
        <v>475</v>
      </c>
      <c r="G951" s="23" t="s">
        <v>250</v>
      </c>
      <c r="H951" s="39">
        <f t="shared" si="56"/>
        <v>799</v>
      </c>
      <c r="I951" s="23" t="str">
        <f t="shared" si="57"/>
        <v>Kolkata</v>
      </c>
      <c r="J951" s="23">
        <f>COUNTIFS(pg_transaction_cleaned!$O:$O,A951,pg_transaction_cleaned!$F:$F,"CAPTURE")</f>
        <v>1</v>
      </c>
      <c r="K951" s="39">
        <f>SUMIFS(pg_transaction_cleaned!$H:$H,pg_transaction_cleaned!$O:$O,A951,pg_transaction_cleaned!$F:$F,"CAPTURE")</f>
        <v>799</v>
      </c>
      <c r="L951" s="23">
        <f>COUNTIFS(pg_transaction_cleaned!$O:$O,A951,pg_transaction_cleaned!$F:$F,"REFUND")</f>
        <v>0</v>
      </c>
      <c r="M951" s="39">
        <f>SUMIFS(pg_transaction_cleaned!$H:$H,pg_transaction_cleaned!$O:$O,A951,pg_transaction_cleaned!$F:$F,"REFUND")</f>
        <v>0</v>
      </c>
      <c r="N951" s="23" t="str">
        <f t="shared" si="58"/>
        <v>OK</v>
      </c>
      <c r="O951" s="24">
        <f t="shared" si="59"/>
        <v>0</v>
      </c>
    </row>
    <row r="952" spans="1:15" ht="15" customHeight="1" x14ac:dyDescent="0.3">
      <c r="A952" s="23" t="s">
        <v>2360</v>
      </c>
      <c r="B952" s="38">
        <v>46280</v>
      </c>
      <c r="C952" s="23" t="s">
        <v>2361</v>
      </c>
      <c r="D952" s="23" t="s">
        <v>94</v>
      </c>
      <c r="E952" s="23" t="s">
        <v>79</v>
      </c>
      <c r="F952" s="23" t="s">
        <v>1601</v>
      </c>
      <c r="G952" s="23" t="s">
        <v>250</v>
      </c>
      <c r="H952" s="39">
        <f t="shared" si="56"/>
        <v>7597</v>
      </c>
      <c r="I952" s="23" t="str">
        <f t="shared" si="57"/>
        <v>Chennai</v>
      </c>
      <c r="J952" s="23">
        <f>COUNTIFS(pg_transaction_cleaned!$O:$O,A952,pg_transaction_cleaned!$F:$F,"CAPTURE")</f>
        <v>1</v>
      </c>
      <c r="K952" s="39">
        <f>SUMIFS(pg_transaction_cleaned!$H:$H,pg_transaction_cleaned!$O:$O,A952,pg_transaction_cleaned!$F:$F,"CAPTURE")</f>
        <v>7597</v>
      </c>
      <c r="L952" s="23">
        <f>COUNTIFS(pg_transaction_cleaned!$O:$O,A952,pg_transaction_cleaned!$F:$F,"REFUND")</f>
        <v>0</v>
      </c>
      <c r="M952" s="39">
        <f>SUMIFS(pg_transaction_cleaned!$H:$H,pg_transaction_cleaned!$O:$O,A952,pg_transaction_cleaned!$F:$F,"REFUND")</f>
        <v>0</v>
      </c>
      <c r="N952" s="23" t="str">
        <f t="shared" si="58"/>
        <v>OK</v>
      </c>
      <c r="O952" s="24">
        <f t="shared" si="59"/>
        <v>0</v>
      </c>
    </row>
    <row r="953" spans="1:15" ht="15" customHeight="1" x14ac:dyDescent="0.3">
      <c r="A953" s="23" t="s">
        <v>2362</v>
      </c>
      <c r="B953" s="38">
        <v>46287</v>
      </c>
      <c r="C953" s="23" t="s">
        <v>2363</v>
      </c>
      <c r="D953" s="23" t="s">
        <v>87</v>
      </c>
      <c r="E953" s="23" t="s">
        <v>75</v>
      </c>
      <c r="F953" s="23" t="s">
        <v>2364</v>
      </c>
      <c r="G953" s="23" t="s">
        <v>250</v>
      </c>
      <c r="H953" s="39">
        <f t="shared" si="56"/>
        <v>3297</v>
      </c>
      <c r="I953" s="23" t="str">
        <f t="shared" si="57"/>
        <v>Mumbai</v>
      </c>
      <c r="J953" s="23">
        <f>COUNTIFS(pg_transaction_cleaned!$O:$O,A953,pg_transaction_cleaned!$F:$F,"CAPTURE")</f>
        <v>1</v>
      </c>
      <c r="K953" s="39">
        <f>SUMIFS(pg_transaction_cleaned!$H:$H,pg_transaction_cleaned!$O:$O,A953,pg_transaction_cleaned!$F:$F,"CAPTURE")</f>
        <v>3297</v>
      </c>
      <c r="L953" s="23">
        <f>COUNTIFS(pg_transaction_cleaned!$O:$O,A953,pg_transaction_cleaned!$F:$F,"REFUND")</f>
        <v>0</v>
      </c>
      <c r="M953" s="39">
        <f>SUMIFS(pg_transaction_cleaned!$H:$H,pg_transaction_cleaned!$O:$O,A953,pg_transaction_cleaned!$F:$F,"REFUND")</f>
        <v>0</v>
      </c>
      <c r="N953" s="23" t="str">
        <f t="shared" si="58"/>
        <v>OK</v>
      </c>
      <c r="O953" s="24">
        <f t="shared" si="59"/>
        <v>0</v>
      </c>
    </row>
    <row r="954" spans="1:15" ht="15" customHeight="1" x14ac:dyDescent="0.3">
      <c r="A954" s="23" t="s">
        <v>2365</v>
      </c>
      <c r="B954" s="38">
        <v>46279</v>
      </c>
      <c r="C954" s="23" t="s">
        <v>2366</v>
      </c>
      <c r="D954" s="23" t="s">
        <v>92</v>
      </c>
      <c r="E954" s="23" t="s">
        <v>75</v>
      </c>
      <c r="F954" s="23" t="s">
        <v>294</v>
      </c>
      <c r="G954" s="23" t="s">
        <v>250</v>
      </c>
      <c r="H954" s="39">
        <f t="shared" si="56"/>
        <v>1799</v>
      </c>
      <c r="I954" s="23" t="str">
        <f t="shared" si="57"/>
        <v>Hyderabad</v>
      </c>
      <c r="J954" s="23">
        <f>COUNTIFS(pg_transaction_cleaned!$O:$O,A954,pg_transaction_cleaned!$F:$F,"CAPTURE")</f>
        <v>1</v>
      </c>
      <c r="K954" s="39">
        <f>SUMIFS(pg_transaction_cleaned!$H:$H,pg_transaction_cleaned!$O:$O,A954,pg_transaction_cleaned!$F:$F,"CAPTURE")</f>
        <v>1799</v>
      </c>
      <c r="L954" s="23">
        <f>COUNTIFS(pg_transaction_cleaned!$O:$O,A954,pg_transaction_cleaned!$F:$F,"REFUND")</f>
        <v>0</v>
      </c>
      <c r="M954" s="39">
        <f>SUMIFS(pg_transaction_cleaned!$H:$H,pg_transaction_cleaned!$O:$O,A954,pg_transaction_cleaned!$F:$F,"REFUND")</f>
        <v>0</v>
      </c>
      <c r="N954" s="23" t="str">
        <f t="shared" si="58"/>
        <v>OK</v>
      </c>
      <c r="O954" s="24">
        <f t="shared" si="59"/>
        <v>0</v>
      </c>
    </row>
    <row r="955" spans="1:15" ht="15" customHeight="1" x14ac:dyDescent="0.3">
      <c r="A955" s="23" t="s">
        <v>2367</v>
      </c>
      <c r="B955" s="38">
        <v>46274</v>
      </c>
      <c r="C955" s="23" t="s">
        <v>2368</v>
      </c>
      <c r="D955" s="23" t="s">
        <v>95</v>
      </c>
      <c r="E955" s="23" t="s">
        <v>75</v>
      </c>
      <c r="F955" s="23" t="s">
        <v>249</v>
      </c>
      <c r="G955" s="23" t="s">
        <v>250</v>
      </c>
      <c r="H955" s="39">
        <f t="shared" si="56"/>
        <v>299</v>
      </c>
      <c r="I955" s="23" t="str">
        <f t="shared" si="57"/>
        <v>Bengaluru</v>
      </c>
      <c r="J955" s="23">
        <f>COUNTIFS(pg_transaction_cleaned!$O:$O,A955,pg_transaction_cleaned!$F:$F,"CAPTURE")</f>
        <v>1</v>
      </c>
      <c r="K955" s="39">
        <f>SUMIFS(pg_transaction_cleaned!$H:$H,pg_transaction_cleaned!$O:$O,A955,pg_transaction_cleaned!$F:$F,"CAPTURE")</f>
        <v>299</v>
      </c>
      <c r="L955" s="23">
        <f>COUNTIFS(pg_transaction_cleaned!$O:$O,A955,pg_transaction_cleaned!$F:$F,"REFUND")</f>
        <v>0</v>
      </c>
      <c r="M955" s="39">
        <f>SUMIFS(pg_transaction_cleaned!$H:$H,pg_transaction_cleaned!$O:$O,A955,pg_transaction_cleaned!$F:$F,"REFUND")</f>
        <v>0</v>
      </c>
      <c r="N955" s="23" t="str">
        <f t="shared" si="58"/>
        <v>OK</v>
      </c>
      <c r="O955" s="24">
        <f t="shared" si="59"/>
        <v>0</v>
      </c>
    </row>
    <row r="956" spans="1:15" ht="15" customHeight="1" x14ac:dyDescent="0.3">
      <c r="A956" s="23" t="s">
        <v>2369</v>
      </c>
      <c r="B956" s="38">
        <v>46285</v>
      </c>
      <c r="C956" s="23" t="s">
        <v>2370</v>
      </c>
      <c r="D956" s="23" t="s">
        <v>88</v>
      </c>
      <c r="E956" s="23" t="s">
        <v>79</v>
      </c>
      <c r="F956" s="23" t="s">
        <v>766</v>
      </c>
      <c r="G956" s="23" t="s">
        <v>250</v>
      </c>
      <c r="H956" s="39">
        <f t="shared" si="56"/>
        <v>4197</v>
      </c>
      <c r="I956" s="23" t="str">
        <f t="shared" si="57"/>
        <v>Lucknow</v>
      </c>
      <c r="J956" s="23">
        <f>COUNTIFS(pg_transaction_cleaned!$O:$O,A956,pg_transaction_cleaned!$F:$F,"CAPTURE")</f>
        <v>1</v>
      </c>
      <c r="K956" s="39">
        <f>SUMIFS(pg_transaction_cleaned!$H:$H,pg_transaction_cleaned!$O:$O,A956,pg_transaction_cleaned!$F:$F,"CAPTURE")</f>
        <v>4197</v>
      </c>
      <c r="L956" s="23">
        <f>COUNTIFS(pg_transaction_cleaned!$O:$O,A956,pg_transaction_cleaned!$F:$F,"REFUND")</f>
        <v>0</v>
      </c>
      <c r="M956" s="39">
        <f>SUMIFS(pg_transaction_cleaned!$H:$H,pg_transaction_cleaned!$O:$O,A956,pg_transaction_cleaned!$F:$F,"REFUND")</f>
        <v>0</v>
      </c>
      <c r="N956" s="23" t="str">
        <f t="shared" si="58"/>
        <v>OK</v>
      </c>
      <c r="O956" s="24">
        <f t="shared" si="59"/>
        <v>0</v>
      </c>
    </row>
    <row r="957" spans="1:15" ht="15" customHeight="1" x14ac:dyDescent="0.3">
      <c r="A957" s="23" t="s">
        <v>2371</v>
      </c>
      <c r="B957" s="38">
        <v>46291</v>
      </c>
      <c r="C957" s="23" t="s">
        <v>2372</v>
      </c>
      <c r="D957" s="23" t="s">
        <v>91</v>
      </c>
      <c r="E957" s="23" t="s">
        <v>75</v>
      </c>
      <c r="F957" s="23" t="s">
        <v>274</v>
      </c>
      <c r="G957" s="23" t="s">
        <v>250</v>
      </c>
      <c r="H957" s="39">
        <f t="shared" si="56"/>
        <v>349</v>
      </c>
      <c r="I957" s="23" t="str">
        <f t="shared" si="57"/>
        <v>Pune</v>
      </c>
      <c r="J957" s="23">
        <f>COUNTIFS(pg_transaction_cleaned!$O:$O,A957,pg_transaction_cleaned!$F:$F,"CAPTURE")</f>
        <v>1</v>
      </c>
      <c r="K957" s="39">
        <f>SUMIFS(pg_transaction_cleaned!$H:$H,pg_transaction_cleaned!$O:$O,A957,pg_transaction_cleaned!$F:$F,"CAPTURE")</f>
        <v>349</v>
      </c>
      <c r="L957" s="23">
        <f>COUNTIFS(pg_transaction_cleaned!$O:$O,A957,pg_transaction_cleaned!$F:$F,"REFUND")</f>
        <v>0</v>
      </c>
      <c r="M957" s="39">
        <f>SUMIFS(pg_transaction_cleaned!$H:$H,pg_transaction_cleaned!$O:$O,A957,pg_transaction_cleaned!$F:$F,"REFUND")</f>
        <v>0</v>
      </c>
      <c r="N957" s="23" t="str">
        <f t="shared" si="58"/>
        <v>OK</v>
      </c>
      <c r="O957" s="24">
        <f t="shared" si="59"/>
        <v>0</v>
      </c>
    </row>
    <row r="958" spans="1:15" ht="15" customHeight="1" x14ac:dyDescent="0.3">
      <c r="A958" s="23" t="s">
        <v>2373</v>
      </c>
      <c r="B958" s="38">
        <v>46286</v>
      </c>
      <c r="C958" s="23" t="s">
        <v>2374</v>
      </c>
      <c r="D958" s="23" t="s">
        <v>92</v>
      </c>
      <c r="E958" s="23" t="s">
        <v>77</v>
      </c>
      <c r="F958" s="23" t="s">
        <v>304</v>
      </c>
      <c r="G958" s="23" t="s">
        <v>250</v>
      </c>
      <c r="H958" s="39">
        <f t="shared" si="56"/>
        <v>5798</v>
      </c>
      <c r="I958" s="23" t="str">
        <f t="shared" si="57"/>
        <v>Hyderabad</v>
      </c>
      <c r="J958" s="23">
        <f>COUNTIFS(pg_transaction_cleaned!$O:$O,A958,pg_transaction_cleaned!$F:$F,"CAPTURE")</f>
        <v>1</v>
      </c>
      <c r="K958" s="39">
        <f>SUMIFS(pg_transaction_cleaned!$H:$H,pg_transaction_cleaned!$O:$O,A958,pg_transaction_cleaned!$F:$F,"CAPTURE")</f>
        <v>5798</v>
      </c>
      <c r="L958" s="23">
        <f>COUNTIFS(pg_transaction_cleaned!$O:$O,A958,pg_transaction_cleaned!$F:$F,"REFUND")</f>
        <v>0</v>
      </c>
      <c r="M958" s="39">
        <f>SUMIFS(pg_transaction_cleaned!$H:$H,pg_transaction_cleaned!$O:$O,A958,pg_transaction_cleaned!$F:$F,"REFUND")</f>
        <v>0</v>
      </c>
      <c r="N958" s="23" t="str">
        <f t="shared" si="58"/>
        <v>OK</v>
      </c>
      <c r="O958" s="24">
        <f t="shared" si="59"/>
        <v>0</v>
      </c>
    </row>
    <row r="959" spans="1:15" ht="15" customHeight="1" x14ac:dyDescent="0.3">
      <c r="A959" s="23" t="s">
        <v>2375</v>
      </c>
      <c r="B959" s="38">
        <v>46271</v>
      </c>
      <c r="C959" s="23" t="s">
        <v>2376</v>
      </c>
      <c r="D959" s="23"/>
      <c r="E959" s="23" t="s">
        <v>75</v>
      </c>
      <c r="F959" s="23" t="s">
        <v>475</v>
      </c>
      <c r="G959" s="23" t="s">
        <v>250</v>
      </c>
      <c r="H959" s="39">
        <f t="shared" si="56"/>
        <v>799</v>
      </c>
      <c r="I959" s="23" t="str">
        <f t="shared" si="57"/>
        <v>Unknown</v>
      </c>
      <c r="J959" s="23">
        <f>COUNTIFS(pg_transaction_cleaned!$O:$O,A959,pg_transaction_cleaned!$F:$F,"CAPTURE")</f>
        <v>1</v>
      </c>
      <c r="K959" s="39">
        <f>SUMIFS(pg_transaction_cleaned!$H:$H,pg_transaction_cleaned!$O:$O,A959,pg_transaction_cleaned!$F:$F,"CAPTURE")</f>
        <v>799</v>
      </c>
      <c r="L959" s="23">
        <f>COUNTIFS(pg_transaction_cleaned!$O:$O,A959,pg_transaction_cleaned!$F:$F,"REFUND")</f>
        <v>0</v>
      </c>
      <c r="M959" s="39">
        <f>SUMIFS(pg_transaction_cleaned!$H:$H,pg_transaction_cleaned!$O:$O,A959,pg_transaction_cleaned!$F:$F,"REFUND")</f>
        <v>0</v>
      </c>
      <c r="N959" s="23" t="str">
        <f t="shared" si="58"/>
        <v>OK</v>
      </c>
      <c r="O959" s="24">
        <f t="shared" si="59"/>
        <v>0</v>
      </c>
    </row>
    <row r="960" spans="1:15" ht="15" customHeight="1" x14ac:dyDescent="0.3">
      <c r="A960" s="23" t="s">
        <v>2377</v>
      </c>
      <c r="B960" s="38">
        <v>46274</v>
      </c>
      <c r="C960" s="23" t="s">
        <v>2378</v>
      </c>
      <c r="D960" s="23" t="s">
        <v>88</v>
      </c>
      <c r="E960" s="23" t="s">
        <v>75</v>
      </c>
      <c r="F960" s="23" t="s">
        <v>262</v>
      </c>
      <c r="G960" s="23" t="s">
        <v>250</v>
      </c>
      <c r="H960" s="39">
        <f t="shared" si="56"/>
        <v>499</v>
      </c>
      <c r="I960" s="23" t="str">
        <f t="shared" si="57"/>
        <v>Lucknow</v>
      </c>
      <c r="J960" s="23">
        <f>COUNTIFS(pg_transaction_cleaned!$O:$O,A960,pg_transaction_cleaned!$F:$F,"CAPTURE")</f>
        <v>1</v>
      </c>
      <c r="K960" s="39">
        <f>SUMIFS(pg_transaction_cleaned!$H:$H,pg_transaction_cleaned!$O:$O,A960,pg_transaction_cleaned!$F:$F,"CAPTURE")</f>
        <v>499</v>
      </c>
      <c r="L960" s="23">
        <f>COUNTIFS(pg_transaction_cleaned!$O:$O,A960,pg_transaction_cleaned!$F:$F,"REFUND")</f>
        <v>0</v>
      </c>
      <c r="M960" s="39">
        <f>SUMIFS(pg_transaction_cleaned!$H:$H,pg_transaction_cleaned!$O:$O,A960,pg_transaction_cleaned!$F:$F,"REFUND")</f>
        <v>0</v>
      </c>
      <c r="N960" s="23" t="str">
        <f t="shared" si="58"/>
        <v>OK</v>
      </c>
      <c r="O960" s="24">
        <f t="shared" si="59"/>
        <v>0</v>
      </c>
    </row>
    <row r="961" spans="1:15" ht="15" customHeight="1" x14ac:dyDescent="0.3">
      <c r="A961" s="23" t="s">
        <v>2379</v>
      </c>
      <c r="B961" s="38">
        <v>46278</v>
      </c>
      <c r="C961" s="23" t="s">
        <v>2380</v>
      </c>
      <c r="D961" s="23" t="s">
        <v>95</v>
      </c>
      <c r="E961" s="23" t="s">
        <v>75</v>
      </c>
      <c r="F961" s="23" t="s">
        <v>396</v>
      </c>
      <c r="G961" s="23" t="s">
        <v>250</v>
      </c>
      <c r="H961" s="39">
        <f t="shared" si="56"/>
        <v>2999</v>
      </c>
      <c r="I961" s="23" t="str">
        <f t="shared" si="57"/>
        <v>Bengaluru</v>
      </c>
      <c r="J961" s="23">
        <f>COUNTIFS(pg_transaction_cleaned!$O:$O,A961,pg_transaction_cleaned!$F:$F,"CAPTURE")</f>
        <v>1</v>
      </c>
      <c r="K961" s="39">
        <f>SUMIFS(pg_transaction_cleaned!$H:$H,pg_transaction_cleaned!$O:$O,A961,pg_transaction_cleaned!$F:$F,"CAPTURE")</f>
        <v>2999</v>
      </c>
      <c r="L961" s="23">
        <f>COUNTIFS(pg_transaction_cleaned!$O:$O,A961,pg_transaction_cleaned!$F:$F,"REFUND")</f>
        <v>0</v>
      </c>
      <c r="M961" s="39">
        <f>SUMIFS(pg_transaction_cleaned!$H:$H,pg_transaction_cleaned!$O:$O,A961,pg_transaction_cleaned!$F:$F,"REFUND")</f>
        <v>0</v>
      </c>
      <c r="N961" s="23" t="str">
        <f t="shared" si="58"/>
        <v>OK</v>
      </c>
      <c r="O961" s="24">
        <f t="shared" si="59"/>
        <v>0</v>
      </c>
    </row>
    <row r="962" spans="1:15" ht="15" customHeight="1" x14ac:dyDescent="0.3">
      <c r="A962" s="23" t="s">
        <v>2381</v>
      </c>
      <c r="B962" s="38">
        <v>46285</v>
      </c>
      <c r="C962" s="23" t="s">
        <v>2382</v>
      </c>
      <c r="D962" s="23" t="s">
        <v>88</v>
      </c>
      <c r="E962" s="23" t="s">
        <v>75</v>
      </c>
      <c r="F962" s="23" t="s">
        <v>1282</v>
      </c>
      <c r="G962" s="23" t="s">
        <v>250</v>
      </c>
      <c r="H962" s="39">
        <f t="shared" ref="H962:H1025" si="60">VALUE(SUBSTITUTE(F962,",",""))</f>
        <v>5347</v>
      </c>
      <c r="I962" s="23" t="str">
        <f t="shared" ref="I962:I1025" si="61">IF(TRIM(D962)="","Unknown",TRIM(D962))</f>
        <v>Lucknow</v>
      </c>
      <c r="J962" s="23">
        <f>COUNTIFS(pg_transaction_cleaned!$O:$O,A962,pg_transaction_cleaned!$F:$F,"CAPTURE")</f>
        <v>1</v>
      </c>
      <c r="K962" s="39">
        <f>SUMIFS(pg_transaction_cleaned!$H:$H,pg_transaction_cleaned!$O:$O,A962,pg_transaction_cleaned!$F:$F,"CAPTURE")</f>
        <v>5347</v>
      </c>
      <c r="L962" s="23">
        <f>COUNTIFS(pg_transaction_cleaned!$O:$O,A962,pg_transaction_cleaned!$F:$F,"REFUND")</f>
        <v>0</v>
      </c>
      <c r="M962" s="39">
        <f>SUMIFS(pg_transaction_cleaned!$H:$H,pg_transaction_cleaned!$O:$O,A962,pg_transaction_cleaned!$F:$F,"REFUND")</f>
        <v>0</v>
      </c>
      <c r="N962" s="23" t="str">
        <f t="shared" ref="N962:N1025" si="62">IF(AND(G962="Paid",J962=0),"Paid, no payment",IF(AND(OR(G962="Failed",G962="Cancelled"),J962&gt;0),"Payment on failed/cancelled",IF(J962&gt;1,"Duplicate charge",IF(AND(J962=1,ROUND(K962-H962,2)&lt;&gt;0),"Amount difference",IF(AND(G962="Refunded",L962=0),"Refunded, no refund",IF(AND(G962&lt;&gt;"Refunded",L962&gt;0),"Refund, order not Refunded",IF(AND(L962&gt;0,ROUND(M962-H962,2)&lt;&gt;0),"Refund amount differs","OK")))))))</f>
        <v>OK</v>
      </c>
      <c r="O962" s="24">
        <f t="shared" ref="O962:O1025" si="63">IF(N962="OK",0,IF(N962="Paid, no payment",H962,IF(N962="Payment on failed/cancelled",K962,IF(OR(N962="Duplicate charge",N962="Amount difference"),K962-H962,IF(N962="Refunded, no refund",H962,M962)))))</f>
        <v>0</v>
      </c>
    </row>
    <row r="963" spans="1:15" ht="15" customHeight="1" x14ac:dyDescent="0.3">
      <c r="A963" s="23" t="s">
        <v>2383</v>
      </c>
      <c r="B963" s="38">
        <v>46289</v>
      </c>
      <c r="C963" s="23" t="s">
        <v>2384</v>
      </c>
      <c r="D963" s="23" t="s">
        <v>87</v>
      </c>
      <c r="E963" s="23" t="s">
        <v>77</v>
      </c>
      <c r="F963" s="23" t="s">
        <v>297</v>
      </c>
      <c r="G963" s="23" t="s">
        <v>250</v>
      </c>
      <c r="H963" s="39">
        <f t="shared" si="60"/>
        <v>4999</v>
      </c>
      <c r="I963" s="23" t="str">
        <f t="shared" si="61"/>
        <v>Mumbai</v>
      </c>
      <c r="J963" s="23">
        <f>COUNTIFS(pg_transaction_cleaned!$O:$O,A963,pg_transaction_cleaned!$F:$F,"CAPTURE")</f>
        <v>1</v>
      </c>
      <c r="K963" s="39">
        <f>SUMIFS(pg_transaction_cleaned!$H:$H,pg_transaction_cleaned!$O:$O,A963,pg_transaction_cleaned!$F:$F,"CAPTURE")</f>
        <v>4999</v>
      </c>
      <c r="L963" s="23">
        <f>COUNTIFS(pg_transaction_cleaned!$O:$O,A963,pg_transaction_cleaned!$F:$F,"REFUND")</f>
        <v>0</v>
      </c>
      <c r="M963" s="39">
        <f>SUMIFS(pg_transaction_cleaned!$H:$H,pg_transaction_cleaned!$O:$O,A963,pg_transaction_cleaned!$F:$F,"REFUND")</f>
        <v>0</v>
      </c>
      <c r="N963" s="23" t="str">
        <f t="shared" si="62"/>
        <v>OK</v>
      </c>
      <c r="O963" s="24">
        <f t="shared" si="63"/>
        <v>0</v>
      </c>
    </row>
    <row r="964" spans="1:15" ht="15" customHeight="1" x14ac:dyDescent="0.3">
      <c r="A964" s="23" t="s">
        <v>2385</v>
      </c>
      <c r="B964" s="38">
        <v>46295</v>
      </c>
      <c r="C964" s="23" t="s">
        <v>2386</v>
      </c>
      <c r="D964" s="23" t="s">
        <v>93</v>
      </c>
      <c r="E964" s="23" t="s">
        <v>75</v>
      </c>
      <c r="F964" s="23" t="s">
        <v>396</v>
      </c>
      <c r="G964" s="23" t="s">
        <v>250</v>
      </c>
      <c r="H964" s="39">
        <f t="shared" si="60"/>
        <v>2999</v>
      </c>
      <c r="I964" s="23" t="str">
        <f t="shared" si="61"/>
        <v>Kolkata</v>
      </c>
      <c r="J964" s="23">
        <f>COUNTIFS(pg_transaction_cleaned!$O:$O,A964,pg_transaction_cleaned!$F:$F,"CAPTURE")</f>
        <v>1</v>
      </c>
      <c r="K964" s="39">
        <f>SUMIFS(pg_transaction_cleaned!$H:$H,pg_transaction_cleaned!$O:$O,A964,pg_transaction_cleaned!$F:$F,"CAPTURE")</f>
        <v>2999</v>
      </c>
      <c r="L964" s="23">
        <f>COUNTIFS(pg_transaction_cleaned!$O:$O,A964,pg_transaction_cleaned!$F:$F,"REFUND")</f>
        <v>0</v>
      </c>
      <c r="M964" s="39">
        <f>SUMIFS(pg_transaction_cleaned!$H:$H,pg_transaction_cleaned!$O:$O,A964,pg_transaction_cleaned!$F:$F,"REFUND")</f>
        <v>0</v>
      </c>
      <c r="N964" s="23" t="str">
        <f t="shared" si="62"/>
        <v>OK</v>
      </c>
      <c r="O964" s="24">
        <f t="shared" si="63"/>
        <v>0</v>
      </c>
    </row>
    <row r="965" spans="1:15" ht="15" customHeight="1" x14ac:dyDescent="0.3">
      <c r="A965" s="23" t="s">
        <v>2387</v>
      </c>
      <c r="B965" s="38">
        <v>46284</v>
      </c>
      <c r="C965" s="23" t="s">
        <v>2388</v>
      </c>
      <c r="D965" s="23" t="s">
        <v>93</v>
      </c>
      <c r="E965" s="23" t="s">
        <v>79</v>
      </c>
      <c r="F965" s="23" t="s">
        <v>294</v>
      </c>
      <c r="G965" s="23" t="s">
        <v>250</v>
      </c>
      <c r="H965" s="39">
        <f t="shared" si="60"/>
        <v>1799</v>
      </c>
      <c r="I965" s="23" t="str">
        <f t="shared" si="61"/>
        <v>Kolkata</v>
      </c>
      <c r="J965" s="23">
        <f>COUNTIFS(pg_transaction_cleaned!$O:$O,A965,pg_transaction_cleaned!$F:$F,"CAPTURE")</f>
        <v>1</v>
      </c>
      <c r="K965" s="39">
        <f>SUMIFS(pg_transaction_cleaned!$H:$H,pg_transaction_cleaned!$O:$O,A965,pg_transaction_cleaned!$F:$F,"CAPTURE")</f>
        <v>1799</v>
      </c>
      <c r="L965" s="23">
        <f>COUNTIFS(pg_transaction_cleaned!$O:$O,A965,pg_transaction_cleaned!$F:$F,"REFUND")</f>
        <v>0</v>
      </c>
      <c r="M965" s="39">
        <f>SUMIFS(pg_transaction_cleaned!$H:$H,pg_transaction_cleaned!$O:$O,A965,pg_transaction_cleaned!$F:$F,"REFUND")</f>
        <v>0</v>
      </c>
      <c r="N965" s="23" t="str">
        <f t="shared" si="62"/>
        <v>OK</v>
      </c>
      <c r="O965" s="24">
        <f t="shared" si="63"/>
        <v>0</v>
      </c>
    </row>
    <row r="966" spans="1:15" ht="15" customHeight="1" x14ac:dyDescent="0.3">
      <c r="A966" s="23" t="s">
        <v>2389</v>
      </c>
      <c r="B966" s="38">
        <v>46278</v>
      </c>
      <c r="C966" s="23" t="s">
        <v>2390</v>
      </c>
      <c r="D966" s="23" t="s">
        <v>90</v>
      </c>
      <c r="E966" s="23" t="s">
        <v>75</v>
      </c>
      <c r="F966" s="23" t="s">
        <v>2391</v>
      </c>
      <c r="G966" s="23" t="s">
        <v>250</v>
      </c>
      <c r="H966" s="39">
        <f t="shared" si="60"/>
        <v>14997</v>
      </c>
      <c r="I966" s="23" t="str">
        <f t="shared" si="61"/>
        <v>Ahmedabad</v>
      </c>
      <c r="J966" s="23">
        <f>COUNTIFS(pg_transaction_cleaned!$O:$O,A966,pg_transaction_cleaned!$F:$F,"CAPTURE")</f>
        <v>1</v>
      </c>
      <c r="K966" s="39">
        <f>SUMIFS(pg_transaction_cleaned!$H:$H,pg_transaction_cleaned!$O:$O,A966,pg_transaction_cleaned!$F:$F,"CAPTURE")</f>
        <v>14997</v>
      </c>
      <c r="L966" s="23">
        <f>COUNTIFS(pg_transaction_cleaned!$O:$O,A966,pg_transaction_cleaned!$F:$F,"REFUND")</f>
        <v>0</v>
      </c>
      <c r="M966" s="39">
        <f>SUMIFS(pg_transaction_cleaned!$H:$H,pg_transaction_cleaned!$O:$O,A966,pg_transaction_cleaned!$F:$F,"REFUND")</f>
        <v>0</v>
      </c>
      <c r="N966" s="23" t="str">
        <f t="shared" si="62"/>
        <v>OK</v>
      </c>
      <c r="O966" s="24">
        <f t="shared" si="63"/>
        <v>0</v>
      </c>
    </row>
    <row r="967" spans="1:15" ht="15" customHeight="1" x14ac:dyDescent="0.3">
      <c r="A967" s="23" t="s">
        <v>2392</v>
      </c>
      <c r="B967" s="38">
        <v>46269</v>
      </c>
      <c r="C967" s="23" t="s">
        <v>2393</v>
      </c>
      <c r="D967" s="23" t="s">
        <v>91</v>
      </c>
      <c r="E967" s="23" t="s">
        <v>75</v>
      </c>
      <c r="F967" s="23" t="s">
        <v>553</v>
      </c>
      <c r="G967" s="23" t="s">
        <v>250</v>
      </c>
      <c r="H967" s="39">
        <f t="shared" si="60"/>
        <v>2798</v>
      </c>
      <c r="I967" s="23" t="str">
        <f t="shared" si="61"/>
        <v>Pune</v>
      </c>
      <c r="J967" s="23">
        <f>COUNTIFS(pg_transaction_cleaned!$O:$O,A967,pg_transaction_cleaned!$F:$F,"CAPTURE")</f>
        <v>1</v>
      </c>
      <c r="K967" s="39">
        <f>SUMIFS(pg_transaction_cleaned!$H:$H,pg_transaction_cleaned!$O:$O,A967,pg_transaction_cleaned!$F:$F,"CAPTURE")</f>
        <v>2798</v>
      </c>
      <c r="L967" s="23">
        <f>COUNTIFS(pg_transaction_cleaned!$O:$O,A967,pg_transaction_cleaned!$F:$F,"REFUND")</f>
        <v>0</v>
      </c>
      <c r="M967" s="39">
        <f>SUMIFS(pg_transaction_cleaned!$H:$H,pg_transaction_cleaned!$O:$O,A967,pg_transaction_cleaned!$F:$F,"REFUND")</f>
        <v>0</v>
      </c>
      <c r="N967" s="23" t="str">
        <f t="shared" si="62"/>
        <v>OK</v>
      </c>
      <c r="O967" s="24">
        <f t="shared" si="63"/>
        <v>0</v>
      </c>
    </row>
    <row r="968" spans="1:15" ht="15" customHeight="1" x14ac:dyDescent="0.3">
      <c r="A968" s="23" t="s">
        <v>2394</v>
      </c>
      <c r="B968" s="38">
        <v>46277</v>
      </c>
      <c r="C968" s="23" t="s">
        <v>2395</v>
      </c>
      <c r="D968" s="23" t="s">
        <v>95</v>
      </c>
      <c r="E968" s="23" t="s">
        <v>75</v>
      </c>
      <c r="F968" s="23" t="s">
        <v>622</v>
      </c>
      <c r="G968" s="23" t="s">
        <v>250</v>
      </c>
      <c r="H968" s="39">
        <f t="shared" si="60"/>
        <v>8998</v>
      </c>
      <c r="I968" s="23" t="str">
        <f t="shared" si="61"/>
        <v>Bengaluru</v>
      </c>
      <c r="J968" s="23">
        <f>COUNTIFS(pg_transaction_cleaned!$O:$O,A968,pg_transaction_cleaned!$F:$F,"CAPTURE")</f>
        <v>1</v>
      </c>
      <c r="K968" s="39">
        <f>SUMIFS(pg_transaction_cleaned!$H:$H,pg_transaction_cleaned!$O:$O,A968,pg_transaction_cleaned!$F:$F,"CAPTURE")</f>
        <v>8998</v>
      </c>
      <c r="L968" s="23">
        <f>COUNTIFS(pg_transaction_cleaned!$O:$O,A968,pg_transaction_cleaned!$F:$F,"REFUND")</f>
        <v>0</v>
      </c>
      <c r="M968" s="39">
        <f>SUMIFS(pg_transaction_cleaned!$H:$H,pg_transaction_cleaned!$O:$O,A968,pg_transaction_cleaned!$F:$F,"REFUND")</f>
        <v>0</v>
      </c>
      <c r="N968" s="23" t="str">
        <f t="shared" si="62"/>
        <v>OK</v>
      </c>
      <c r="O968" s="24">
        <f t="shared" si="63"/>
        <v>0</v>
      </c>
    </row>
    <row r="969" spans="1:15" ht="15" customHeight="1" x14ac:dyDescent="0.3">
      <c r="A969" s="23" t="s">
        <v>2396</v>
      </c>
      <c r="B969" s="38">
        <v>46271</v>
      </c>
      <c r="C969" s="23" t="s">
        <v>2397</v>
      </c>
      <c r="D969" s="23" t="s">
        <v>91</v>
      </c>
      <c r="E969" s="23" t="s">
        <v>75</v>
      </c>
      <c r="F969" s="23" t="s">
        <v>357</v>
      </c>
      <c r="G969" s="23" t="s">
        <v>250</v>
      </c>
      <c r="H969" s="39">
        <f t="shared" si="60"/>
        <v>1598</v>
      </c>
      <c r="I969" s="23" t="str">
        <f t="shared" si="61"/>
        <v>Pune</v>
      </c>
      <c r="J969" s="23">
        <f>COUNTIFS(pg_transaction_cleaned!$O:$O,A969,pg_transaction_cleaned!$F:$F,"CAPTURE")</f>
        <v>1</v>
      </c>
      <c r="K969" s="39">
        <f>SUMIFS(pg_transaction_cleaned!$H:$H,pg_transaction_cleaned!$O:$O,A969,pg_transaction_cleaned!$F:$F,"CAPTURE")</f>
        <v>1598</v>
      </c>
      <c r="L969" s="23">
        <f>COUNTIFS(pg_transaction_cleaned!$O:$O,A969,pg_transaction_cleaned!$F:$F,"REFUND")</f>
        <v>0</v>
      </c>
      <c r="M969" s="39">
        <f>SUMIFS(pg_transaction_cleaned!$H:$H,pg_transaction_cleaned!$O:$O,A969,pg_transaction_cleaned!$F:$F,"REFUND")</f>
        <v>0</v>
      </c>
      <c r="N969" s="23" t="str">
        <f t="shared" si="62"/>
        <v>OK</v>
      </c>
      <c r="O969" s="24">
        <f t="shared" si="63"/>
        <v>0</v>
      </c>
    </row>
    <row r="970" spans="1:15" ht="15" customHeight="1" x14ac:dyDescent="0.3">
      <c r="A970" s="23" t="s">
        <v>2398</v>
      </c>
      <c r="B970" s="38">
        <v>46286</v>
      </c>
      <c r="C970" s="23" t="s">
        <v>2399</v>
      </c>
      <c r="D970" s="23" t="s">
        <v>86</v>
      </c>
      <c r="E970" s="23" t="s">
        <v>75</v>
      </c>
      <c r="F970" s="23" t="s">
        <v>1220</v>
      </c>
      <c r="G970" s="23" t="s">
        <v>365</v>
      </c>
      <c r="H970" s="39">
        <f t="shared" si="60"/>
        <v>2847</v>
      </c>
      <c r="I970" s="23" t="str">
        <f t="shared" si="61"/>
        <v>Delhi</v>
      </c>
      <c r="J970" s="23">
        <f>COUNTIFS(pg_transaction_cleaned!$O:$O,A970,pg_transaction_cleaned!$F:$F,"CAPTURE")</f>
        <v>0</v>
      </c>
      <c r="K970" s="39">
        <f>SUMIFS(pg_transaction_cleaned!$H:$H,pg_transaction_cleaned!$O:$O,A970,pg_transaction_cleaned!$F:$F,"CAPTURE")</f>
        <v>0</v>
      </c>
      <c r="L970" s="23">
        <f>COUNTIFS(pg_transaction_cleaned!$O:$O,A970,pg_transaction_cleaned!$F:$F,"REFUND")</f>
        <v>0</v>
      </c>
      <c r="M970" s="39">
        <f>SUMIFS(pg_transaction_cleaned!$H:$H,pg_transaction_cleaned!$O:$O,A970,pg_transaction_cleaned!$F:$F,"REFUND")</f>
        <v>0</v>
      </c>
      <c r="N970" s="23" t="str">
        <f t="shared" si="62"/>
        <v>OK</v>
      </c>
      <c r="O970" s="24">
        <f t="shared" si="63"/>
        <v>0</v>
      </c>
    </row>
    <row r="971" spans="1:15" ht="15" customHeight="1" x14ac:dyDescent="0.3">
      <c r="A971" s="23" t="s">
        <v>2400</v>
      </c>
      <c r="B971" s="38">
        <v>46267</v>
      </c>
      <c r="C971" s="23" t="s">
        <v>2401</v>
      </c>
      <c r="D971" s="23" t="s">
        <v>93</v>
      </c>
      <c r="E971" s="23" t="s">
        <v>79</v>
      </c>
      <c r="F971" s="23" t="s">
        <v>249</v>
      </c>
      <c r="G971" s="23" t="s">
        <v>250</v>
      </c>
      <c r="H971" s="39">
        <f t="shared" si="60"/>
        <v>299</v>
      </c>
      <c r="I971" s="23" t="str">
        <f t="shared" si="61"/>
        <v>Kolkata</v>
      </c>
      <c r="J971" s="23">
        <f>COUNTIFS(pg_transaction_cleaned!$O:$O,A971,pg_transaction_cleaned!$F:$F,"CAPTURE")</f>
        <v>1</v>
      </c>
      <c r="K971" s="39">
        <f>SUMIFS(pg_transaction_cleaned!$H:$H,pg_transaction_cleaned!$O:$O,A971,pg_transaction_cleaned!$F:$F,"CAPTURE")</f>
        <v>299</v>
      </c>
      <c r="L971" s="23">
        <f>COUNTIFS(pg_transaction_cleaned!$O:$O,A971,pg_transaction_cleaned!$F:$F,"REFUND")</f>
        <v>0</v>
      </c>
      <c r="M971" s="39">
        <f>SUMIFS(pg_transaction_cleaned!$H:$H,pg_transaction_cleaned!$O:$O,A971,pg_transaction_cleaned!$F:$F,"REFUND")</f>
        <v>0</v>
      </c>
      <c r="N971" s="23" t="str">
        <f t="shared" si="62"/>
        <v>OK</v>
      </c>
      <c r="O971" s="24">
        <f t="shared" si="63"/>
        <v>0</v>
      </c>
    </row>
    <row r="972" spans="1:15" ht="15" customHeight="1" x14ac:dyDescent="0.3">
      <c r="A972" s="23" t="s">
        <v>2402</v>
      </c>
      <c r="B972" s="38">
        <v>46268</v>
      </c>
      <c r="C972" s="23" t="s">
        <v>2403</v>
      </c>
      <c r="D972" s="23" t="s">
        <v>87</v>
      </c>
      <c r="E972" s="23" t="s">
        <v>77</v>
      </c>
      <c r="F972" s="23" t="s">
        <v>307</v>
      </c>
      <c r="G972" s="23" t="s">
        <v>250</v>
      </c>
      <c r="H972" s="39">
        <f t="shared" si="60"/>
        <v>3798</v>
      </c>
      <c r="I972" s="23" t="str">
        <f t="shared" si="61"/>
        <v>Mumbai</v>
      </c>
      <c r="J972" s="23">
        <f>COUNTIFS(pg_transaction_cleaned!$O:$O,A972,pg_transaction_cleaned!$F:$F,"CAPTURE")</f>
        <v>1</v>
      </c>
      <c r="K972" s="39">
        <f>SUMIFS(pg_transaction_cleaned!$H:$H,pg_transaction_cleaned!$O:$O,A972,pg_transaction_cleaned!$F:$F,"CAPTURE")</f>
        <v>3798</v>
      </c>
      <c r="L972" s="23">
        <f>COUNTIFS(pg_transaction_cleaned!$O:$O,A972,pg_transaction_cleaned!$F:$F,"REFUND")</f>
        <v>0</v>
      </c>
      <c r="M972" s="39">
        <f>SUMIFS(pg_transaction_cleaned!$H:$H,pg_transaction_cleaned!$O:$O,A972,pg_transaction_cleaned!$F:$F,"REFUND")</f>
        <v>0</v>
      </c>
      <c r="N972" s="23" t="str">
        <f t="shared" si="62"/>
        <v>OK</v>
      </c>
      <c r="O972" s="24">
        <f t="shared" si="63"/>
        <v>0</v>
      </c>
    </row>
    <row r="973" spans="1:15" ht="15" customHeight="1" x14ac:dyDescent="0.3">
      <c r="A973" s="23" t="s">
        <v>2404</v>
      </c>
      <c r="B973" s="38">
        <v>46267</v>
      </c>
      <c r="C973" s="23" t="s">
        <v>2405</v>
      </c>
      <c r="D973" s="23" t="s">
        <v>91</v>
      </c>
      <c r="E973" s="23" t="s">
        <v>79</v>
      </c>
      <c r="F973" s="23" t="s">
        <v>249</v>
      </c>
      <c r="G973" s="23" t="s">
        <v>250</v>
      </c>
      <c r="H973" s="39">
        <f t="shared" si="60"/>
        <v>299</v>
      </c>
      <c r="I973" s="23" t="str">
        <f t="shared" si="61"/>
        <v>Pune</v>
      </c>
      <c r="J973" s="23">
        <f>COUNTIFS(pg_transaction_cleaned!$O:$O,A973,pg_transaction_cleaned!$F:$F,"CAPTURE")</f>
        <v>1</v>
      </c>
      <c r="K973" s="39">
        <f>SUMIFS(pg_transaction_cleaned!$H:$H,pg_transaction_cleaned!$O:$O,A973,pg_transaction_cleaned!$F:$F,"CAPTURE")</f>
        <v>299</v>
      </c>
      <c r="L973" s="23">
        <f>COUNTIFS(pg_transaction_cleaned!$O:$O,A973,pg_transaction_cleaned!$F:$F,"REFUND")</f>
        <v>0</v>
      </c>
      <c r="M973" s="39">
        <f>SUMIFS(pg_transaction_cleaned!$H:$H,pg_transaction_cleaned!$O:$O,A973,pg_transaction_cleaned!$F:$F,"REFUND")</f>
        <v>0</v>
      </c>
      <c r="N973" s="23" t="str">
        <f t="shared" si="62"/>
        <v>OK</v>
      </c>
      <c r="O973" s="24">
        <f t="shared" si="63"/>
        <v>0</v>
      </c>
    </row>
    <row r="974" spans="1:15" ht="15" customHeight="1" x14ac:dyDescent="0.3">
      <c r="A974" s="23" t="s">
        <v>2406</v>
      </c>
      <c r="B974" s="38">
        <v>46272</v>
      </c>
      <c r="C974" s="23" t="s">
        <v>2407</v>
      </c>
      <c r="D974" s="23" t="s">
        <v>86</v>
      </c>
      <c r="E974" s="23" t="s">
        <v>81</v>
      </c>
      <c r="F974" s="23" t="s">
        <v>1448</v>
      </c>
      <c r="G974" s="23" t="s">
        <v>318</v>
      </c>
      <c r="H974" s="39">
        <f t="shared" si="60"/>
        <v>6297</v>
      </c>
      <c r="I974" s="23" t="str">
        <f t="shared" si="61"/>
        <v>Delhi</v>
      </c>
      <c r="J974" s="23">
        <f>COUNTIFS(pg_transaction_cleaned!$O:$O,A974,pg_transaction_cleaned!$F:$F,"CAPTURE")</f>
        <v>0</v>
      </c>
      <c r="K974" s="39">
        <f>SUMIFS(pg_transaction_cleaned!$H:$H,pg_transaction_cleaned!$O:$O,A974,pg_transaction_cleaned!$F:$F,"CAPTURE")</f>
        <v>0</v>
      </c>
      <c r="L974" s="23">
        <f>COUNTIFS(pg_transaction_cleaned!$O:$O,A974,pg_transaction_cleaned!$F:$F,"REFUND")</f>
        <v>0</v>
      </c>
      <c r="M974" s="39">
        <f>SUMIFS(pg_transaction_cleaned!$H:$H,pg_transaction_cleaned!$O:$O,A974,pg_transaction_cleaned!$F:$F,"REFUND")</f>
        <v>0</v>
      </c>
      <c r="N974" s="23" t="str">
        <f t="shared" si="62"/>
        <v>OK</v>
      </c>
      <c r="O974" s="24">
        <f t="shared" si="63"/>
        <v>0</v>
      </c>
    </row>
    <row r="975" spans="1:15" ht="15" customHeight="1" x14ac:dyDescent="0.3">
      <c r="A975" s="23" t="s">
        <v>2408</v>
      </c>
      <c r="B975" s="38">
        <v>46289</v>
      </c>
      <c r="C975" s="23" t="s">
        <v>2409</v>
      </c>
      <c r="D975" s="23" t="s">
        <v>87</v>
      </c>
      <c r="E975" s="23" t="s">
        <v>75</v>
      </c>
      <c r="F975" s="23" t="s">
        <v>632</v>
      </c>
      <c r="G975" s="23" t="s">
        <v>250</v>
      </c>
      <c r="H975" s="39">
        <f t="shared" si="60"/>
        <v>948</v>
      </c>
      <c r="I975" s="23" t="str">
        <f t="shared" si="61"/>
        <v>Mumbai</v>
      </c>
      <c r="J975" s="23">
        <f>COUNTIFS(pg_transaction_cleaned!$O:$O,A975,pg_transaction_cleaned!$F:$F,"CAPTURE")</f>
        <v>1</v>
      </c>
      <c r="K975" s="39">
        <f>SUMIFS(pg_transaction_cleaned!$H:$H,pg_transaction_cleaned!$O:$O,A975,pg_transaction_cleaned!$F:$F,"CAPTURE")</f>
        <v>948</v>
      </c>
      <c r="L975" s="23">
        <f>COUNTIFS(pg_transaction_cleaned!$O:$O,A975,pg_transaction_cleaned!$F:$F,"REFUND")</f>
        <v>0</v>
      </c>
      <c r="M975" s="39">
        <f>SUMIFS(pg_transaction_cleaned!$H:$H,pg_transaction_cleaned!$O:$O,A975,pg_transaction_cleaned!$F:$F,"REFUND")</f>
        <v>0</v>
      </c>
      <c r="N975" s="23" t="str">
        <f t="shared" si="62"/>
        <v>OK</v>
      </c>
      <c r="O975" s="24">
        <f t="shared" si="63"/>
        <v>0</v>
      </c>
    </row>
    <row r="976" spans="1:15" ht="15" customHeight="1" x14ac:dyDescent="0.3">
      <c r="A976" s="23" t="s">
        <v>2410</v>
      </c>
      <c r="B976" s="38">
        <v>46281</v>
      </c>
      <c r="C976" s="23" t="s">
        <v>2411</v>
      </c>
      <c r="D976" s="23" t="s">
        <v>87</v>
      </c>
      <c r="E976" s="23" t="s">
        <v>75</v>
      </c>
      <c r="F976" s="23" t="s">
        <v>1367</v>
      </c>
      <c r="G976" s="23" t="s">
        <v>250</v>
      </c>
      <c r="H976" s="39">
        <f t="shared" si="60"/>
        <v>898</v>
      </c>
      <c r="I976" s="23" t="str">
        <f t="shared" si="61"/>
        <v>Mumbai</v>
      </c>
      <c r="J976" s="23">
        <f>COUNTIFS(pg_transaction_cleaned!$O:$O,A976,pg_transaction_cleaned!$F:$F,"CAPTURE")</f>
        <v>1</v>
      </c>
      <c r="K976" s="39">
        <f>SUMIFS(pg_transaction_cleaned!$H:$H,pg_transaction_cleaned!$O:$O,A976,pg_transaction_cleaned!$F:$F,"CAPTURE")</f>
        <v>898</v>
      </c>
      <c r="L976" s="23">
        <f>COUNTIFS(pg_transaction_cleaned!$O:$O,A976,pg_transaction_cleaned!$F:$F,"REFUND")</f>
        <v>0</v>
      </c>
      <c r="M976" s="39">
        <f>SUMIFS(pg_transaction_cleaned!$H:$H,pg_transaction_cleaned!$O:$O,A976,pg_transaction_cleaned!$F:$F,"REFUND")</f>
        <v>0</v>
      </c>
      <c r="N976" s="23" t="str">
        <f t="shared" si="62"/>
        <v>OK</v>
      </c>
      <c r="O976" s="24">
        <f t="shared" si="63"/>
        <v>0</v>
      </c>
    </row>
    <row r="977" spans="1:15" ht="15" customHeight="1" x14ac:dyDescent="0.3">
      <c r="A977" s="23" t="s">
        <v>2412</v>
      </c>
      <c r="B977" s="38">
        <v>46294</v>
      </c>
      <c r="C977" s="23" t="s">
        <v>2413</v>
      </c>
      <c r="D977" s="23" t="s">
        <v>88</v>
      </c>
      <c r="E977" s="23" t="s">
        <v>75</v>
      </c>
      <c r="F977" s="23" t="s">
        <v>310</v>
      </c>
      <c r="G977" s="23" t="s">
        <v>250</v>
      </c>
      <c r="H977" s="39">
        <f t="shared" si="60"/>
        <v>7999</v>
      </c>
      <c r="I977" s="23" t="str">
        <f t="shared" si="61"/>
        <v>Lucknow</v>
      </c>
      <c r="J977" s="23">
        <f>COUNTIFS(pg_transaction_cleaned!$O:$O,A977,pg_transaction_cleaned!$F:$F,"CAPTURE")</f>
        <v>1</v>
      </c>
      <c r="K977" s="39">
        <f>SUMIFS(pg_transaction_cleaned!$H:$H,pg_transaction_cleaned!$O:$O,A977,pg_transaction_cleaned!$F:$F,"CAPTURE")</f>
        <v>7999</v>
      </c>
      <c r="L977" s="23">
        <f>COUNTIFS(pg_transaction_cleaned!$O:$O,A977,pg_transaction_cleaned!$F:$F,"REFUND")</f>
        <v>0</v>
      </c>
      <c r="M977" s="39">
        <f>SUMIFS(pg_transaction_cleaned!$H:$H,pg_transaction_cleaned!$O:$O,A977,pg_transaction_cleaned!$F:$F,"REFUND")</f>
        <v>0</v>
      </c>
      <c r="N977" s="23" t="str">
        <f t="shared" si="62"/>
        <v>OK</v>
      </c>
      <c r="O977" s="24">
        <f t="shared" si="63"/>
        <v>0</v>
      </c>
    </row>
    <row r="978" spans="1:15" ht="15" customHeight="1" x14ac:dyDescent="0.3">
      <c r="A978" s="23" t="s">
        <v>2414</v>
      </c>
      <c r="B978" s="38">
        <v>46268</v>
      </c>
      <c r="C978" s="23" t="s">
        <v>2415</v>
      </c>
      <c r="D978" s="23" t="s">
        <v>91</v>
      </c>
      <c r="E978" s="23" t="s">
        <v>79</v>
      </c>
      <c r="F978" s="23" t="s">
        <v>274</v>
      </c>
      <c r="G978" s="23" t="s">
        <v>250</v>
      </c>
      <c r="H978" s="39">
        <f t="shared" si="60"/>
        <v>349</v>
      </c>
      <c r="I978" s="23" t="str">
        <f t="shared" si="61"/>
        <v>Pune</v>
      </c>
      <c r="J978" s="23">
        <f>COUNTIFS(pg_transaction_cleaned!$O:$O,A978,pg_transaction_cleaned!$F:$F,"CAPTURE")</f>
        <v>1</v>
      </c>
      <c r="K978" s="39">
        <f>SUMIFS(pg_transaction_cleaned!$H:$H,pg_transaction_cleaned!$O:$O,A978,pg_transaction_cleaned!$F:$F,"CAPTURE")</f>
        <v>349</v>
      </c>
      <c r="L978" s="23">
        <f>COUNTIFS(pg_transaction_cleaned!$O:$O,A978,pg_transaction_cleaned!$F:$F,"REFUND")</f>
        <v>0</v>
      </c>
      <c r="M978" s="39">
        <f>SUMIFS(pg_transaction_cleaned!$H:$H,pg_transaction_cleaned!$O:$O,A978,pg_transaction_cleaned!$F:$F,"REFUND")</f>
        <v>0</v>
      </c>
      <c r="N978" s="23" t="str">
        <f t="shared" si="62"/>
        <v>OK</v>
      </c>
      <c r="O978" s="24">
        <f t="shared" si="63"/>
        <v>0</v>
      </c>
    </row>
    <row r="979" spans="1:15" ht="15" customHeight="1" x14ac:dyDescent="0.3">
      <c r="A979" s="23" t="s">
        <v>2416</v>
      </c>
      <c r="B979" s="38">
        <v>46291</v>
      </c>
      <c r="C979" s="23" t="s">
        <v>2417</v>
      </c>
      <c r="D979" s="23" t="s">
        <v>93</v>
      </c>
      <c r="E979" s="23" t="s">
        <v>81</v>
      </c>
      <c r="F979" s="23" t="s">
        <v>268</v>
      </c>
      <c r="G979" s="23" t="s">
        <v>250</v>
      </c>
      <c r="H979" s="39">
        <f t="shared" si="60"/>
        <v>1299</v>
      </c>
      <c r="I979" s="23" t="str">
        <f t="shared" si="61"/>
        <v>Kolkata</v>
      </c>
      <c r="J979" s="23">
        <f>COUNTIFS(pg_transaction_cleaned!$O:$O,A979,pg_transaction_cleaned!$F:$F,"CAPTURE")</f>
        <v>1</v>
      </c>
      <c r="K979" s="39">
        <f>SUMIFS(pg_transaction_cleaned!$H:$H,pg_transaction_cleaned!$O:$O,A979,pg_transaction_cleaned!$F:$F,"CAPTURE")</f>
        <v>1299</v>
      </c>
      <c r="L979" s="23">
        <f>COUNTIFS(pg_transaction_cleaned!$O:$O,A979,pg_transaction_cleaned!$F:$F,"REFUND")</f>
        <v>0</v>
      </c>
      <c r="M979" s="39">
        <f>SUMIFS(pg_transaction_cleaned!$H:$H,pg_transaction_cleaned!$O:$O,A979,pg_transaction_cleaned!$F:$F,"REFUND")</f>
        <v>0</v>
      </c>
      <c r="N979" s="23" t="str">
        <f t="shared" si="62"/>
        <v>OK</v>
      </c>
      <c r="O979" s="24">
        <f t="shared" si="63"/>
        <v>0</v>
      </c>
    </row>
    <row r="980" spans="1:15" ht="15" customHeight="1" x14ac:dyDescent="0.3">
      <c r="A980" s="23" t="s">
        <v>2418</v>
      </c>
      <c r="B980" s="38">
        <v>46276</v>
      </c>
      <c r="C980" s="23" t="s">
        <v>2419</v>
      </c>
      <c r="D980" s="23" t="s">
        <v>87</v>
      </c>
      <c r="E980" s="23" t="s">
        <v>75</v>
      </c>
      <c r="F980" s="23" t="s">
        <v>396</v>
      </c>
      <c r="G980" s="23" t="s">
        <v>250</v>
      </c>
      <c r="H980" s="39">
        <f t="shared" si="60"/>
        <v>2999</v>
      </c>
      <c r="I980" s="23" t="str">
        <f t="shared" si="61"/>
        <v>Mumbai</v>
      </c>
      <c r="J980" s="23">
        <f>COUNTIFS(pg_transaction_cleaned!$O:$O,A980,pg_transaction_cleaned!$F:$F,"CAPTURE")</f>
        <v>1</v>
      </c>
      <c r="K980" s="39">
        <f>SUMIFS(pg_transaction_cleaned!$H:$H,pg_transaction_cleaned!$O:$O,A980,pg_transaction_cleaned!$F:$F,"CAPTURE")</f>
        <v>2999</v>
      </c>
      <c r="L980" s="23">
        <f>COUNTIFS(pg_transaction_cleaned!$O:$O,A980,pg_transaction_cleaned!$F:$F,"REFUND")</f>
        <v>0</v>
      </c>
      <c r="M980" s="39">
        <f>SUMIFS(pg_transaction_cleaned!$H:$H,pg_transaction_cleaned!$O:$O,A980,pg_transaction_cleaned!$F:$F,"REFUND")</f>
        <v>0</v>
      </c>
      <c r="N980" s="23" t="str">
        <f t="shared" si="62"/>
        <v>OK</v>
      </c>
      <c r="O980" s="24">
        <f t="shared" si="63"/>
        <v>0</v>
      </c>
    </row>
    <row r="981" spans="1:15" ht="15" customHeight="1" x14ac:dyDescent="0.3">
      <c r="A981" s="23" t="s">
        <v>2420</v>
      </c>
      <c r="B981" s="38">
        <v>46284</v>
      </c>
      <c r="C981" s="23" t="s">
        <v>2421</v>
      </c>
      <c r="D981" s="23" t="s">
        <v>86</v>
      </c>
      <c r="E981" s="23" t="s">
        <v>75</v>
      </c>
      <c r="F981" s="23" t="s">
        <v>265</v>
      </c>
      <c r="G981" s="23" t="s">
        <v>250</v>
      </c>
      <c r="H981" s="39">
        <f t="shared" si="60"/>
        <v>999</v>
      </c>
      <c r="I981" s="23" t="str">
        <f t="shared" si="61"/>
        <v>Delhi</v>
      </c>
      <c r="J981" s="23">
        <f>COUNTIFS(pg_transaction_cleaned!$O:$O,A981,pg_transaction_cleaned!$F:$F,"CAPTURE")</f>
        <v>1</v>
      </c>
      <c r="K981" s="39">
        <f>SUMIFS(pg_transaction_cleaned!$H:$H,pg_transaction_cleaned!$O:$O,A981,pg_transaction_cleaned!$F:$F,"CAPTURE")</f>
        <v>999</v>
      </c>
      <c r="L981" s="23">
        <f>COUNTIFS(pg_transaction_cleaned!$O:$O,A981,pg_transaction_cleaned!$F:$F,"REFUND")</f>
        <v>0</v>
      </c>
      <c r="M981" s="39">
        <f>SUMIFS(pg_transaction_cleaned!$H:$H,pg_transaction_cleaned!$O:$O,A981,pg_transaction_cleaned!$F:$F,"REFUND")</f>
        <v>0</v>
      </c>
      <c r="N981" s="23" t="str">
        <f t="shared" si="62"/>
        <v>OK</v>
      </c>
      <c r="O981" s="24">
        <f t="shared" si="63"/>
        <v>0</v>
      </c>
    </row>
    <row r="982" spans="1:15" ht="15" customHeight="1" x14ac:dyDescent="0.3">
      <c r="A982" s="23" t="s">
        <v>2422</v>
      </c>
      <c r="B982" s="38">
        <v>46288</v>
      </c>
      <c r="C982" s="23" t="s">
        <v>2423</v>
      </c>
      <c r="D982" s="23" t="s">
        <v>87</v>
      </c>
      <c r="E982" s="23" t="s">
        <v>75</v>
      </c>
      <c r="F982" s="23" t="s">
        <v>294</v>
      </c>
      <c r="G982" s="23" t="s">
        <v>250</v>
      </c>
      <c r="H982" s="39">
        <f t="shared" si="60"/>
        <v>1799</v>
      </c>
      <c r="I982" s="23" t="str">
        <f t="shared" si="61"/>
        <v>Mumbai</v>
      </c>
      <c r="J982" s="23">
        <f>COUNTIFS(pg_transaction_cleaned!$O:$O,A982,pg_transaction_cleaned!$F:$F,"CAPTURE")</f>
        <v>1</v>
      </c>
      <c r="K982" s="39">
        <f>SUMIFS(pg_transaction_cleaned!$H:$H,pg_transaction_cleaned!$O:$O,A982,pg_transaction_cleaned!$F:$F,"CAPTURE")</f>
        <v>1799</v>
      </c>
      <c r="L982" s="23">
        <f>COUNTIFS(pg_transaction_cleaned!$O:$O,A982,pg_transaction_cleaned!$F:$F,"REFUND")</f>
        <v>0</v>
      </c>
      <c r="M982" s="39">
        <f>SUMIFS(pg_transaction_cleaned!$H:$H,pg_transaction_cleaned!$O:$O,A982,pg_transaction_cleaned!$F:$F,"REFUND")</f>
        <v>0</v>
      </c>
      <c r="N982" s="23" t="str">
        <f t="shared" si="62"/>
        <v>OK</v>
      </c>
      <c r="O982" s="24">
        <f t="shared" si="63"/>
        <v>0</v>
      </c>
    </row>
    <row r="983" spans="1:15" ht="15" customHeight="1" x14ac:dyDescent="0.3">
      <c r="A983" s="23" t="s">
        <v>2424</v>
      </c>
      <c r="B983" s="38">
        <v>46270</v>
      </c>
      <c r="C983" s="23" t="s">
        <v>2425</v>
      </c>
      <c r="D983" s="23" t="s">
        <v>87</v>
      </c>
      <c r="E983" s="23" t="s">
        <v>79</v>
      </c>
      <c r="F983" s="23" t="s">
        <v>297</v>
      </c>
      <c r="G983" s="23" t="s">
        <v>250</v>
      </c>
      <c r="H983" s="39">
        <f t="shared" si="60"/>
        <v>4999</v>
      </c>
      <c r="I983" s="23" t="str">
        <f t="shared" si="61"/>
        <v>Mumbai</v>
      </c>
      <c r="J983" s="23">
        <f>COUNTIFS(pg_transaction_cleaned!$O:$O,A983,pg_transaction_cleaned!$F:$F,"CAPTURE")</f>
        <v>1</v>
      </c>
      <c r="K983" s="39">
        <f>SUMIFS(pg_transaction_cleaned!$H:$H,pg_transaction_cleaned!$O:$O,A983,pg_transaction_cleaned!$F:$F,"CAPTURE")</f>
        <v>4999</v>
      </c>
      <c r="L983" s="23">
        <f>COUNTIFS(pg_transaction_cleaned!$O:$O,A983,pg_transaction_cleaned!$F:$F,"REFUND")</f>
        <v>0</v>
      </c>
      <c r="M983" s="39">
        <f>SUMIFS(pg_transaction_cleaned!$H:$H,pg_transaction_cleaned!$O:$O,A983,pg_transaction_cleaned!$F:$F,"REFUND")</f>
        <v>0</v>
      </c>
      <c r="N983" s="23" t="str">
        <f t="shared" si="62"/>
        <v>OK</v>
      </c>
      <c r="O983" s="24">
        <f t="shared" si="63"/>
        <v>0</v>
      </c>
    </row>
    <row r="984" spans="1:15" ht="15" customHeight="1" x14ac:dyDescent="0.3">
      <c r="A984" s="23" t="s">
        <v>2426</v>
      </c>
      <c r="B984" s="38">
        <v>46294</v>
      </c>
      <c r="C984" s="23" t="s">
        <v>2427</v>
      </c>
      <c r="D984" s="23" t="s">
        <v>88</v>
      </c>
      <c r="E984" s="23" t="s">
        <v>77</v>
      </c>
      <c r="F984" s="23" t="s">
        <v>352</v>
      </c>
      <c r="G984" s="23" t="s">
        <v>250</v>
      </c>
      <c r="H984" s="39">
        <f t="shared" si="60"/>
        <v>648</v>
      </c>
      <c r="I984" s="23" t="str">
        <f t="shared" si="61"/>
        <v>Lucknow</v>
      </c>
      <c r="J984" s="23">
        <f>COUNTIFS(pg_transaction_cleaned!$O:$O,A984,pg_transaction_cleaned!$F:$F,"CAPTURE")</f>
        <v>1</v>
      </c>
      <c r="K984" s="39">
        <f>SUMIFS(pg_transaction_cleaned!$H:$H,pg_transaction_cleaned!$O:$O,A984,pg_transaction_cleaned!$F:$F,"CAPTURE")</f>
        <v>648</v>
      </c>
      <c r="L984" s="23">
        <f>COUNTIFS(pg_transaction_cleaned!$O:$O,A984,pg_transaction_cleaned!$F:$F,"REFUND")</f>
        <v>0</v>
      </c>
      <c r="M984" s="39">
        <f>SUMIFS(pg_transaction_cleaned!$H:$H,pg_transaction_cleaned!$O:$O,A984,pg_transaction_cleaned!$F:$F,"REFUND")</f>
        <v>0</v>
      </c>
      <c r="N984" s="23" t="str">
        <f t="shared" si="62"/>
        <v>OK</v>
      </c>
      <c r="O984" s="24">
        <f t="shared" si="63"/>
        <v>0</v>
      </c>
    </row>
    <row r="985" spans="1:15" ht="15" customHeight="1" x14ac:dyDescent="0.3">
      <c r="A985" s="23" t="s">
        <v>2428</v>
      </c>
      <c r="B985" s="38">
        <v>46294</v>
      </c>
      <c r="C985" s="23" t="s">
        <v>2429</v>
      </c>
      <c r="D985" s="23" t="s">
        <v>86</v>
      </c>
      <c r="E985" s="23" t="s">
        <v>79</v>
      </c>
      <c r="F985" s="23" t="s">
        <v>268</v>
      </c>
      <c r="G985" s="23" t="s">
        <v>250</v>
      </c>
      <c r="H985" s="39">
        <f t="shared" si="60"/>
        <v>1299</v>
      </c>
      <c r="I985" s="23" t="str">
        <f t="shared" si="61"/>
        <v>Delhi</v>
      </c>
      <c r="J985" s="23">
        <f>COUNTIFS(pg_transaction_cleaned!$O:$O,A985,pg_transaction_cleaned!$F:$F,"CAPTURE")</f>
        <v>1</v>
      </c>
      <c r="K985" s="39">
        <f>SUMIFS(pg_transaction_cleaned!$H:$H,pg_transaction_cleaned!$O:$O,A985,pg_transaction_cleaned!$F:$F,"CAPTURE")</f>
        <v>1299</v>
      </c>
      <c r="L985" s="23">
        <f>COUNTIFS(pg_transaction_cleaned!$O:$O,A985,pg_transaction_cleaned!$F:$F,"REFUND")</f>
        <v>0</v>
      </c>
      <c r="M985" s="39">
        <f>SUMIFS(pg_transaction_cleaned!$H:$H,pg_transaction_cleaned!$O:$O,A985,pg_transaction_cleaned!$F:$F,"REFUND")</f>
        <v>0</v>
      </c>
      <c r="N985" s="23" t="str">
        <f t="shared" si="62"/>
        <v>OK</v>
      </c>
      <c r="O985" s="24">
        <f t="shared" si="63"/>
        <v>0</v>
      </c>
    </row>
    <row r="986" spans="1:15" ht="15" customHeight="1" x14ac:dyDescent="0.3">
      <c r="A986" s="23" t="s">
        <v>2430</v>
      </c>
      <c r="B986" s="38">
        <v>46272</v>
      </c>
      <c r="C986" s="23" t="s">
        <v>2431</v>
      </c>
      <c r="D986" s="23"/>
      <c r="E986" s="23" t="s">
        <v>75</v>
      </c>
      <c r="F986" s="23" t="s">
        <v>396</v>
      </c>
      <c r="G986" s="23" t="s">
        <v>250</v>
      </c>
      <c r="H986" s="39">
        <f t="shared" si="60"/>
        <v>2999</v>
      </c>
      <c r="I986" s="23" t="str">
        <f t="shared" si="61"/>
        <v>Unknown</v>
      </c>
      <c r="J986" s="23">
        <f>COUNTIFS(pg_transaction_cleaned!$O:$O,A986,pg_transaction_cleaned!$F:$F,"CAPTURE")</f>
        <v>1</v>
      </c>
      <c r="K986" s="39">
        <f>SUMIFS(pg_transaction_cleaned!$H:$H,pg_transaction_cleaned!$O:$O,A986,pg_transaction_cleaned!$F:$F,"CAPTURE")</f>
        <v>2999</v>
      </c>
      <c r="L986" s="23">
        <f>COUNTIFS(pg_transaction_cleaned!$O:$O,A986,pg_transaction_cleaned!$F:$F,"REFUND")</f>
        <v>0</v>
      </c>
      <c r="M986" s="39">
        <f>SUMIFS(pg_transaction_cleaned!$H:$H,pg_transaction_cleaned!$O:$O,A986,pg_transaction_cleaned!$F:$F,"REFUND")</f>
        <v>0</v>
      </c>
      <c r="N986" s="23" t="str">
        <f t="shared" si="62"/>
        <v>OK</v>
      </c>
      <c r="O986" s="24">
        <f t="shared" si="63"/>
        <v>0</v>
      </c>
    </row>
    <row r="987" spans="1:15" ht="15" customHeight="1" x14ac:dyDescent="0.3">
      <c r="A987" s="23" t="s">
        <v>2432</v>
      </c>
      <c r="B987" s="38">
        <v>46285</v>
      </c>
      <c r="C987" s="23" t="s">
        <v>2433</v>
      </c>
      <c r="D987" s="23" t="s">
        <v>92</v>
      </c>
      <c r="E987" s="23" t="s">
        <v>79</v>
      </c>
      <c r="F987" s="23" t="s">
        <v>2364</v>
      </c>
      <c r="G987" s="23" t="s">
        <v>250</v>
      </c>
      <c r="H987" s="39">
        <f t="shared" si="60"/>
        <v>3297</v>
      </c>
      <c r="I987" s="23" t="str">
        <f t="shared" si="61"/>
        <v>Hyderabad</v>
      </c>
      <c r="J987" s="23">
        <f>COUNTIFS(pg_transaction_cleaned!$O:$O,A987,pg_transaction_cleaned!$F:$F,"CAPTURE")</f>
        <v>1</v>
      </c>
      <c r="K987" s="39">
        <f>SUMIFS(pg_transaction_cleaned!$H:$H,pg_transaction_cleaned!$O:$O,A987,pg_transaction_cleaned!$F:$F,"CAPTURE")</f>
        <v>3297</v>
      </c>
      <c r="L987" s="23">
        <f>COUNTIFS(pg_transaction_cleaned!$O:$O,A987,pg_transaction_cleaned!$F:$F,"REFUND")</f>
        <v>0</v>
      </c>
      <c r="M987" s="39">
        <f>SUMIFS(pg_transaction_cleaned!$H:$H,pg_transaction_cleaned!$O:$O,A987,pg_transaction_cleaned!$F:$F,"REFUND")</f>
        <v>0</v>
      </c>
      <c r="N987" s="23" t="str">
        <f t="shared" si="62"/>
        <v>OK</v>
      </c>
      <c r="O987" s="24">
        <f t="shared" si="63"/>
        <v>0</v>
      </c>
    </row>
    <row r="988" spans="1:15" ht="15" customHeight="1" x14ac:dyDescent="0.3">
      <c r="A988" s="23" t="s">
        <v>2434</v>
      </c>
      <c r="B988" s="38">
        <v>46277</v>
      </c>
      <c r="C988" s="23" t="s">
        <v>2435</v>
      </c>
      <c r="D988" s="23" t="s">
        <v>91</v>
      </c>
      <c r="E988" s="23" t="s">
        <v>75</v>
      </c>
      <c r="F988" s="23" t="s">
        <v>256</v>
      </c>
      <c r="G988" s="23" t="s">
        <v>250</v>
      </c>
      <c r="H988" s="39">
        <f t="shared" si="60"/>
        <v>2098</v>
      </c>
      <c r="I988" s="23" t="str">
        <f t="shared" si="61"/>
        <v>Pune</v>
      </c>
      <c r="J988" s="23">
        <f>COUNTIFS(pg_transaction_cleaned!$O:$O,A988,pg_transaction_cleaned!$F:$F,"CAPTURE")</f>
        <v>1</v>
      </c>
      <c r="K988" s="39">
        <f>SUMIFS(pg_transaction_cleaned!$H:$H,pg_transaction_cleaned!$O:$O,A988,pg_transaction_cleaned!$F:$F,"CAPTURE")</f>
        <v>2098</v>
      </c>
      <c r="L988" s="23">
        <f>COUNTIFS(pg_transaction_cleaned!$O:$O,A988,pg_transaction_cleaned!$F:$F,"REFUND")</f>
        <v>0</v>
      </c>
      <c r="M988" s="39">
        <f>SUMIFS(pg_transaction_cleaned!$H:$H,pg_transaction_cleaned!$O:$O,A988,pg_transaction_cleaned!$F:$F,"REFUND")</f>
        <v>0</v>
      </c>
      <c r="N988" s="23" t="str">
        <f t="shared" si="62"/>
        <v>OK</v>
      </c>
      <c r="O988" s="24">
        <f t="shared" si="63"/>
        <v>0</v>
      </c>
    </row>
    <row r="989" spans="1:15" ht="15" customHeight="1" x14ac:dyDescent="0.3">
      <c r="A989" s="23" t="s">
        <v>2436</v>
      </c>
      <c r="B989" s="38">
        <v>46285</v>
      </c>
      <c r="C989" s="23" t="s">
        <v>2437</v>
      </c>
      <c r="D989" s="23" t="s">
        <v>90</v>
      </c>
      <c r="E989" s="23" t="s">
        <v>75</v>
      </c>
      <c r="F989" s="23" t="s">
        <v>310</v>
      </c>
      <c r="G989" s="23" t="s">
        <v>250</v>
      </c>
      <c r="H989" s="39">
        <f t="shared" si="60"/>
        <v>7999</v>
      </c>
      <c r="I989" s="23" t="str">
        <f t="shared" si="61"/>
        <v>Ahmedabad</v>
      </c>
      <c r="J989" s="23">
        <f>COUNTIFS(pg_transaction_cleaned!$O:$O,A989,pg_transaction_cleaned!$F:$F,"CAPTURE")</f>
        <v>1</v>
      </c>
      <c r="K989" s="39">
        <f>SUMIFS(pg_transaction_cleaned!$H:$H,pg_transaction_cleaned!$O:$O,A989,pg_transaction_cleaned!$F:$F,"CAPTURE")</f>
        <v>7999</v>
      </c>
      <c r="L989" s="23">
        <f>COUNTIFS(pg_transaction_cleaned!$O:$O,A989,pg_transaction_cleaned!$F:$F,"REFUND")</f>
        <v>0</v>
      </c>
      <c r="M989" s="39">
        <f>SUMIFS(pg_transaction_cleaned!$H:$H,pg_transaction_cleaned!$O:$O,A989,pg_transaction_cleaned!$F:$F,"REFUND")</f>
        <v>0</v>
      </c>
      <c r="N989" s="23" t="str">
        <f t="shared" si="62"/>
        <v>OK</v>
      </c>
      <c r="O989" s="24">
        <f t="shared" si="63"/>
        <v>0</v>
      </c>
    </row>
    <row r="990" spans="1:15" ht="15" customHeight="1" x14ac:dyDescent="0.3">
      <c r="A990" s="23" t="s">
        <v>2438</v>
      </c>
      <c r="B990" s="38">
        <v>46290</v>
      </c>
      <c r="C990" s="23" t="s">
        <v>2439</v>
      </c>
      <c r="D990" s="23" t="s">
        <v>90</v>
      </c>
      <c r="E990" s="23" t="s">
        <v>75</v>
      </c>
      <c r="F990" s="23" t="s">
        <v>1662</v>
      </c>
      <c r="G990" s="23" t="s">
        <v>250</v>
      </c>
      <c r="H990" s="39">
        <f t="shared" si="60"/>
        <v>4397</v>
      </c>
      <c r="I990" s="23" t="str">
        <f t="shared" si="61"/>
        <v>Ahmedabad</v>
      </c>
      <c r="J990" s="23">
        <f>COUNTIFS(pg_transaction_cleaned!$O:$O,A990,pg_transaction_cleaned!$F:$F,"CAPTURE")</f>
        <v>1</v>
      </c>
      <c r="K990" s="39">
        <f>SUMIFS(pg_transaction_cleaned!$H:$H,pg_transaction_cleaned!$O:$O,A990,pg_transaction_cleaned!$F:$F,"CAPTURE")</f>
        <v>4397</v>
      </c>
      <c r="L990" s="23">
        <f>COUNTIFS(pg_transaction_cleaned!$O:$O,A990,pg_transaction_cleaned!$F:$F,"REFUND")</f>
        <v>0</v>
      </c>
      <c r="M990" s="39">
        <f>SUMIFS(pg_transaction_cleaned!$H:$H,pg_transaction_cleaned!$O:$O,A990,pg_transaction_cleaned!$F:$F,"REFUND")</f>
        <v>0</v>
      </c>
      <c r="N990" s="23" t="str">
        <f t="shared" si="62"/>
        <v>OK</v>
      </c>
      <c r="O990" s="24">
        <f t="shared" si="63"/>
        <v>0</v>
      </c>
    </row>
    <row r="991" spans="1:15" ht="15" customHeight="1" x14ac:dyDescent="0.3">
      <c r="A991" s="23" t="s">
        <v>2440</v>
      </c>
      <c r="B991" s="38">
        <v>46281</v>
      </c>
      <c r="C991" s="23" t="s">
        <v>2441</v>
      </c>
      <c r="D991" s="23" t="s">
        <v>94</v>
      </c>
      <c r="E991" s="23" t="s">
        <v>75</v>
      </c>
      <c r="F991" s="23" t="s">
        <v>262</v>
      </c>
      <c r="G991" s="23" t="s">
        <v>250</v>
      </c>
      <c r="H991" s="39">
        <f t="shared" si="60"/>
        <v>499</v>
      </c>
      <c r="I991" s="23" t="str">
        <f t="shared" si="61"/>
        <v>Chennai</v>
      </c>
      <c r="J991" s="23">
        <f>COUNTIFS(pg_transaction_cleaned!$O:$O,A991,pg_transaction_cleaned!$F:$F,"CAPTURE")</f>
        <v>1</v>
      </c>
      <c r="K991" s="39">
        <f>SUMIFS(pg_transaction_cleaned!$H:$H,pg_transaction_cleaned!$O:$O,A991,pg_transaction_cleaned!$F:$F,"CAPTURE")</f>
        <v>499</v>
      </c>
      <c r="L991" s="23">
        <f>COUNTIFS(pg_transaction_cleaned!$O:$O,A991,pg_transaction_cleaned!$F:$F,"REFUND")</f>
        <v>0</v>
      </c>
      <c r="M991" s="39">
        <f>SUMIFS(pg_transaction_cleaned!$H:$H,pg_transaction_cleaned!$O:$O,A991,pg_transaction_cleaned!$F:$F,"REFUND")</f>
        <v>0</v>
      </c>
      <c r="N991" s="23" t="str">
        <f t="shared" si="62"/>
        <v>OK</v>
      </c>
      <c r="O991" s="24">
        <f t="shared" si="63"/>
        <v>0</v>
      </c>
    </row>
    <row r="992" spans="1:15" ht="15" customHeight="1" x14ac:dyDescent="0.3">
      <c r="A992" s="23" t="s">
        <v>2442</v>
      </c>
      <c r="B992" s="38">
        <v>46275</v>
      </c>
      <c r="C992" s="23" t="s">
        <v>2443</v>
      </c>
      <c r="D992" s="23" t="s">
        <v>87</v>
      </c>
      <c r="E992" s="23" t="s">
        <v>79</v>
      </c>
      <c r="F992" s="23" t="s">
        <v>268</v>
      </c>
      <c r="G992" s="23" t="s">
        <v>250</v>
      </c>
      <c r="H992" s="39">
        <f t="shared" si="60"/>
        <v>1299</v>
      </c>
      <c r="I992" s="23" t="str">
        <f t="shared" si="61"/>
        <v>Mumbai</v>
      </c>
      <c r="J992" s="23">
        <f>COUNTIFS(pg_transaction_cleaned!$O:$O,A992,pg_transaction_cleaned!$F:$F,"CAPTURE")</f>
        <v>1</v>
      </c>
      <c r="K992" s="39">
        <f>SUMIFS(pg_transaction_cleaned!$H:$H,pg_transaction_cleaned!$O:$O,A992,pg_transaction_cleaned!$F:$F,"CAPTURE")</f>
        <v>1299</v>
      </c>
      <c r="L992" s="23">
        <f>COUNTIFS(pg_transaction_cleaned!$O:$O,A992,pg_transaction_cleaned!$F:$F,"REFUND")</f>
        <v>0</v>
      </c>
      <c r="M992" s="39">
        <f>SUMIFS(pg_transaction_cleaned!$H:$H,pg_transaction_cleaned!$O:$O,A992,pg_transaction_cleaned!$F:$F,"REFUND")</f>
        <v>0</v>
      </c>
      <c r="N992" s="23" t="str">
        <f t="shared" si="62"/>
        <v>OK</v>
      </c>
      <c r="O992" s="24">
        <f t="shared" si="63"/>
        <v>0</v>
      </c>
    </row>
    <row r="993" spans="1:15" ht="15" customHeight="1" x14ac:dyDescent="0.3">
      <c r="A993" s="23" t="s">
        <v>2444</v>
      </c>
      <c r="B993" s="38">
        <v>46269</v>
      </c>
      <c r="C993" s="23" t="s">
        <v>2445</v>
      </c>
      <c r="D993" s="23" t="s">
        <v>91</v>
      </c>
      <c r="E993" s="23" t="s">
        <v>75</v>
      </c>
      <c r="F993" s="23" t="s">
        <v>1614</v>
      </c>
      <c r="G993" s="23" t="s">
        <v>250</v>
      </c>
      <c r="H993" s="39">
        <f t="shared" si="60"/>
        <v>2597</v>
      </c>
      <c r="I993" s="23" t="str">
        <f t="shared" si="61"/>
        <v>Pune</v>
      </c>
      <c r="J993" s="23">
        <f>COUNTIFS(pg_transaction_cleaned!$O:$O,A993,pg_transaction_cleaned!$F:$F,"CAPTURE")</f>
        <v>1</v>
      </c>
      <c r="K993" s="39">
        <f>SUMIFS(pg_transaction_cleaned!$H:$H,pg_transaction_cleaned!$O:$O,A993,pg_transaction_cleaned!$F:$F,"CAPTURE")</f>
        <v>2597</v>
      </c>
      <c r="L993" s="23">
        <f>COUNTIFS(pg_transaction_cleaned!$O:$O,A993,pg_transaction_cleaned!$F:$F,"REFUND")</f>
        <v>0</v>
      </c>
      <c r="M993" s="39">
        <f>SUMIFS(pg_transaction_cleaned!$H:$H,pg_transaction_cleaned!$O:$O,A993,pg_transaction_cleaned!$F:$F,"REFUND")</f>
        <v>0</v>
      </c>
      <c r="N993" s="23" t="str">
        <f t="shared" si="62"/>
        <v>OK</v>
      </c>
      <c r="O993" s="24">
        <f t="shared" si="63"/>
        <v>0</v>
      </c>
    </row>
    <row r="994" spans="1:15" ht="15" customHeight="1" x14ac:dyDescent="0.3">
      <c r="A994" s="23" t="s">
        <v>2446</v>
      </c>
      <c r="B994" s="38">
        <v>46268</v>
      </c>
      <c r="C994" s="23" t="s">
        <v>2447</v>
      </c>
      <c r="D994" s="23" t="s">
        <v>95</v>
      </c>
      <c r="E994" s="23" t="s">
        <v>79</v>
      </c>
      <c r="F994" s="23" t="s">
        <v>291</v>
      </c>
      <c r="G994" s="23" t="s">
        <v>250</v>
      </c>
      <c r="H994" s="39">
        <f t="shared" si="60"/>
        <v>3499</v>
      </c>
      <c r="I994" s="23" t="str">
        <f t="shared" si="61"/>
        <v>Bengaluru</v>
      </c>
      <c r="J994" s="23">
        <f>COUNTIFS(pg_transaction_cleaned!$O:$O,A994,pg_transaction_cleaned!$F:$F,"CAPTURE")</f>
        <v>1</v>
      </c>
      <c r="K994" s="39">
        <f>SUMIFS(pg_transaction_cleaned!$H:$H,pg_transaction_cleaned!$O:$O,A994,pg_transaction_cleaned!$F:$F,"CAPTURE")</f>
        <v>3499</v>
      </c>
      <c r="L994" s="23">
        <f>COUNTIFS(pg_transaction_cleaned!$O:$O,A994,pg_transaction_cleaned!$F:$F,"REFUND")</f>
        <v>0</v>
      </c>
      <c r="M994" s="39">
        <f>SUMIFS(pg_transaction_cleaned!$H:$H,pg_transaction_cleaned!$O:$O,A994,pg_transaction_cleaned!$F:$F,"REFUND")</f>
        <v>0</v>
      </c>
      <c r="N994" s="23" t="str">
        <f t="shared" si="62"/>
        <v>OK</v>
      </c>
      <c r="O994" s="24">
        <f t="shared" si="63"/>
        <v>0</v>
      </c>
    </row>
    <row r="995" spans="1:15" ht="15" customHeight="1" x14ac:dyDescent="0.3">
      <c r="A995" s="23" t="s">
        <v>2448</v>
      </c>
      <c r="B995" s="38">
        <v>46289</v>
      </c>
      <c r="C995" s="23" t="s">
        <v>2449</v>
      </c>
      <c r="D995" s="23" t="s">
        <v>93</v>
      </c>
      <c r="E995" s="23" t="s">
        <v>75</v>
      </c>
      <c r="F995" s="23" t="s">
        <v>1054</v>
      </c>
      <c r="G995" s="23" t="s">
        <v>250</v>
      </c>
      <c r="H995" s="39">
        <f t="shared" si="60"/>
        <v>6597</v>
      </c>
      <c r="I995" s="23" t="str">
        <f t="shared" si="61"/>
        <v>Kolkata</v>
      </c>
      <c r="J995" s="23">
        <f>COUNTIFS(pg_transaction_cleaned!$O:$O,A995,pg_transaction_cleaned!$F:$F,"CAPTURE")</f>
        <v>1</v>
      </c>
      <c r="K995" s="39">
        <f>SUMIFS(pg_transaction_cleaned!$H:$H,pg_transaction_cleaned!$O:$O,A995,pg_transaction_cleaned!$F:$F,"CAPTURE")</f>
        <v>6597</v>
      </c>
      <c r="L995" s="23">
        <f>COUNTIFS(pg_transaction_cleaned!$O:$O,A995,pg_transaction_cleaned!$F:$F,"REFUND")</f>
        <v>0</v>
      </c>
      <c r="M995" s="39">
        <f>SUMIFS(pg_transaction_cleaned!$H:$H,pg_transaction_cleaned!$O:$O,A995,pg_transaction_cleaned!$F:$F,"REFUND")</f>
        <v>0</v>
      </c>
      <c r="N995" s="23" t="str">
        <f t="shared" si="62"/>
        <v>OK</v>
      </c>
      <c r="O995" s="24">
        <f t="shared" si="63"/>
        <v>0</v>
      </c>
    </row>
    <row r="996" spans="1:15" ht="15" customHeight="1" x14ac:dyDescent="0.3">
      <c r="A996" s="23" t="s">
        <v>2450</v>
      </c>
      <c r="B996" s="38">
        <v>46293</v>
      </c>
      <c r="C996" s="23" t="s">
        <v>2451</v>
      </c>
      <c r="D996" s="23" t="s">
        <v>90</v>
      </c>
      <c r="E996" s="23" t="s">
        <v>75</v>
      </c>
      <c r="F996" s="23" t="s">
        <v>268</v>
      </c>
      <c r="G996" s="23" t="s">
        <v>365</v>
      </c>
      <c r="H996" s="39">
        <f t="shared" si="60"/>
        <v>1299</v>
      </c>
      <c r="I996" s="23" t="str">
        <f t="shared" si="61"/>
        <v>Ahmedabad</v>
      </c>
      <c r="J996" s="23">
        <f>COUNTIFS(pg_transaction_cleaned!$O:$O,A996,pg_transaction_cleaned!$F:$F,"CAPTURE")</f>
        <v>0</v>
      </c>
      <c r="K996" s="39">
        <f>SUMIFS(pg_transaction_cleaned!$H:$H,pg_transaction_cleaned!$O:$O,A996,pg_transaction_cleaned!$F:$F,"CAPTURE")</f>
        <v>0</v>
      </c>
      <c r="L996" s="23">
        <f>COUNTIFS(pg_transaction_cleaned!$O:$O,A996,pg_transaction_cleaned!$F:$F,"REFUND")</f>
        <v>0</v>
      </c>
      <c r="M996" s="39">
        <f>SUMIFS(pg_transaction_cleaned!$H:$H,pg_transaction_cleaned!$O:$O,A996,pg_transaction_cleaned!$F:$F,"REFUND")</f>
        <v>0</v>
      </c>
      <c r="N996" s="23" t="str">
        <f t="shared" si="62"/>
        <v>OK</v>
      </c>
      <c r="O996" s="24">
        <f t="shared" si="63"/>
        <v>0</v>
      </c>
    </row>
    <row r="997" spans="1:15" ht="15" customHeight="1" x14ac:dyDescent="0.3">
      <c r="A997" s="23" t="s">
        <v>2452</v>
      </c>
      <c r="B997" s="38">
        <v>46267</v>
      </c>
      <c r="C997" s="23" t="s">
        <v>2453</v>
      </c>
      <c r="D997" s="23" t="s">
        <v>94</v>
      </c>
      <c r="E997" s="23" t="s">
        <v>75</v>
      </c>
      <c r="F997" s="23" t="s">
        <v>451</v>
      </c>
      <c r="G997" s="23" t="s">
        <v>365</v>
      </c>
      <c r="H997" s="39">
        <f t="shared" si="60"/>
        <v>1098</v>
      </c>
      <c r="I997" s="23" t="str">
        <f t="shared" si="61"/>
        <v>Chennai</v>
      </c>
      <c r="J997" s="23">
        <f>COUNTIFS(pg_transaction_cleaned!$O:$O,A997,pg_transaction_cleaned!$F:$F,"CAPTURE")</f>
        <v>0</v>
      </c>
      <c r="K997" s="39">
        <f>SUMIFS(pg_transaction_cleaned!$H:$H,pg_transaction_cleaned!$O:$O,A997,pg_transaction_cleaned!$F:$F,"CAPTURE")</f>
        <v>0</v>
      </c>
      <c r="L997" s="23">
        <f>COUNTIFS(pg_transaction_cleaned!$O:$O,A997,pg_transaction_cleaned!$F:$F,"REFUND")</f>
        <v>0</v>
      </c>
      <c r="M997" s="39">
        <f>SUMIFS(pg_transaction_cleaned!$H:$H,pg_transaction_cleaned!$O:$O,A997,pg_transaction_cleaned!$F:$F,"REFUND")</f>
        <v>0</v>
      </c>
      <c r="N997" s="23" t="str">
        <f t="shared" si="62"/>
        <v>OK</v>
      </c>
      <c r="O997" s="24">
        <f t="shared" si="63"/>
        <v>0</v>
      </c>
    </row>
    <row r="998" spans="1:15" ht="15" customHeight="1" x14ac:dyDescent="0.3">
      <c r="A998" s="23" t="s">
        <v>2454</v>
      </c>
      <c r="B998" s="38">
        <v>46270</v>
      </c>
      <c r="C998" s="23" t="s">
        <v>2455</v>
      </c>
      <c r="D998" s="23" t="s">
        <v>94</v>
      </c>
      <c r="E998" s="23" t="s">
        <v>77</v>
      </c>
      <c r="F998" s="23" t="s">
        <v>1108</v>
      </c>
      <c r="G998" s="23" t="s">
        <v>250</v>
      </c>
      <c r="H998" s="39">
        <f t="shared" si="60"/>
        <v>4098</v>
      </c>
      <c r="I998" s="23" t="str">
        <f t="shared" si="61"/>
        <v>Chennai</v>
      </c>
      <c r="J998" s="23">
        <f>COUNTIFS(pg_transaction_cleaned!$O:$O,A998,pg_transaction_cleaned!$F:$F,"CAPTURE")</f>
        <v>1</v>
      </c>
      <c r="K998" s="39">
        <f>SUMIFS(pg_transaction_cleaned!$H:$H,pg_transaction_cleaned!$O:$O,A998,pg_transaction_cleaned!$F:$F,"CAPTURE")</f>
        <v>4098</v>
      </c>
      <c r="L998" s="23">
        <f>COUNTIFS(pg_transaction_cleaned!$O:$O,A998,pg_transaction_cleaned!$F:$F,"REFUND")</f>
        <v>0</v>
      </c>
      <c r="M998" s="39">
        <f>SUMIFS(pg_transaction_cleaned!$H:$H,pg_transaction_cleaned!$O:$O,A998,pg_transaction_cleaned!$F:$F,"REFUND")</f>
        <v>0</v>
      </c>
      <c r="N998" s="23" t="str">
        <f t="shared" si="62"/>
        <v>OK</v>
      </c>
      <c r="O998" s="24">
        <f t="shared" si="63"/>
        <v>0</v>
      </c>
    </row>
    <row r="999" spans="1:15" ht="15" customHeight="1" x14ac:dyDescent="0.3">
      <c r="A999" s="23" t="s">
        <v>2456</v>
      </c>
      <c r="B999" s="38">
        <v>46270</v>
      </c>
      <c r="C999" s="23" t="s">
        <v>2457</v>
      </c>
      <c r="D999" s="23" t="s">
        <v>90</v>
      </c>
      <c r="E999" s="23" t="s">
        <v>75</v>
      </c>
      <c r="F999" s="23" t="s">
        <v>291</v>
      </c>
      <c r="G999" s="23" t="s">
        <v>250</v>
      </c>
      <c r="H999" s="39">
        <f t="shared" si="60"/>
        <v>3499</v>
      </c>
      <c r="I999" s="23" t="str">
        <f t="shared" si="61"/>
        <v>Ahmedabad</v>
      </c>
      <c r="J999" s="23">
        <f>COUNTIFS(pg_transaction_cleaned!$O:$O,A999,pg_transaction_cleaned!$F:$F,"CAPTURE")</f>
        <v>1</v>
      </c>
      <c r="K999" s="39">
        <f>SUMIFS(pg_transaction_cleaned!$H:$H,pg_transaction_cleaned!$O:$O,A999,pg_transaction_cleaned!$F:$F,"CAPTURE")</f>
        <v>3499</v>
      </c>
      <c r="L999" s="23">
        <f>COUNTIFS(pg_transaction_cleaned!$O:$O,A999,pg_transaction_cleaned!$F:$F,"REFUND")</f>
        <v>0</v>
      </c>
      <c r="M999" s="39">
        <f>SUMIFS(pg_transaction_cleaned!$H:$H,pg_transaction_cleaned!$O:$O,A999,pg_transaction_cleaned!$F:$F,"REFUND")</f>
        <v>0</v>
      </c>
      <c r="N999" s="23" t="str">
        <f t="shared" si="62"/>
        <v>OK</v>
      </c>
      <c r="O999" s="24">
        <f t="shared" si="63"/>
        <v>0</v>
      </c>
    </row>
    <row r="1000" spans="1:15" ht="15" customHeight="1" x14ac:dyDescent="0.3">
      <c r="A1000" s="23" t="s">
        <v>2458</v>
      </c>
      <c r="B1000" s="38">
        <v>46280</v>
      </c>
      <c r="C1000" s="23" t="s">
        <v>2459</v>
      </c>
      <c r="D1000" s="23" t="s">
        <v>86</v>
      </c>
      <c r="E1000" s="23" t="s">
        <v>77</v>
      </c>
      <c r="F1000" s="23" t="s">
        <v>438</v>
      </c>
      <c r="G1000" s="23" t="s">
        <v>250</v>
      </c>
      <c r="H1000" s="39">
        <f t="shared" si="60"/>
        <v>5498</v>
      </c>
      <c r="I1000" s="23" t="str">
        <f t="shared" si="61"/>
        <v>Delhi</v>
      </c>
      <c r="J1000" s="23">
        <f>COUNTIFS(pg_transaction_cleaned!$O:$O,A1000,pg_transaction_cleaned!$F:$F,"CAPTURE")</f>
        <v>1</v>
      </c>
      <c r="K1000" s="39">
        <f>SUMIFS(pg_transaction_cleaned!$H:$H,pg_transaction_cleaned!$O:$O,A1000,pg_transaction_cleaned!$F:$F,"CAPTURE")</f>
        <v>5498</v>
      </c>
      <c r="L1000" s="23">
        <f>COUNTIFS(pg_transaction_cleaned!$O:$O,A1000,pg_transaction_cleaned!$F:$F,"REFUND")</f>
        <v>0</v>
      </c>
      <c r="M1000" s="39">
        <f>SUMIFS(pg_transaction_cleaned!$H:$H,pg_transaction_cleaned!$O:$O,A1000,pg_transaction_cleaned!$F:$F,"REFUND")</f>
        <v>0</v>
      </c>
      <c r="N1000" s="23" t="str">
        <f t="shared" si="62"/>
        <v>OK</v>
      </c>
      <c r="O1000" s="24">
        <f t="shared" si="63"/>
        <v>0</v>
      </c>
    </row>
    <row r="1001" spans="1:15" ht="15" customHeight="1" x14ac:dyDescent="0.3">
      <c r="A1001" s="23" t="s">
        <v>2460</v>
      </c>
      <c r="B1001" s="38">
        <v>46291</v>
      </c>
      <c r="C1001" s="23" t="s">
        <v>2461</v>
      </c>
      <c r="D1001" s="23" t="s">
        <v>93</v>
      </c>
      <c r="E1001" s="23" t="s">
        <v>81</v>
      </c>
      <c r="F1001" s="23" t="s">
        <v>837</v>
      </c>
      <c r="G1001" s="23" t="s">
        <v>301</v>
      </c>
      <c r="H1001" s="39">
        <f t="shared" si="60"/>
        <v>5497</v>
      </c>
      <c r="I1001" s="23" t="str">
        <f t="shared" si="61"/>
        <v>Kolkata</v>
      </c>
      <c r="J1001" s="23">
        <f>COUNTIFS(pg_transaction_cleaned!$O:$O,A1001,pg_transaction_cleaned!$F:$F,"CAPTURE")</f>
        <v>1</v>
      </c>
      <c r="K1001" s="39">
        <f>SUMIFS(pg_transaction_cleaned!$H:$H,pg_transaction_cleaned!$O:$O,A1001,pg_transaction_cleaned!$F:$F,"CAPTURE")</f>
        <v>5497</v>
      </c>
      <c r="L1001" s="23">
        <f>COUNTIFS(pg_transaction_cleaned!$O:$O,A1001,pg_transaction_cleaned!$F:$F,"REFUND")</f>
        <v>1</v>
      </c>
      <c r="M1001" s="39">
        <f>SUMIFS(pg_transaction_cleaned!$H:$H,pg_transaction_cleaned!$O:$O,A1001,pg_transaction_cleaned!$F:$F,"REFUND")</f>
        <v>5497</v>
      </c>
      <c r="N1001" s="23" t="str">
        <f t="shared" si="62"/>
        <v>OK</v>
      </c>
      <c r="O1001" s="24">
        <f t="shared" si="63"/>
        <v>0</v>
      </c>
    </row>
    <row r="1002" spans="1:15" ht="15" customHeight="1" x14ac:dyDescent="0.3">
      <c r="A1002" s="23" t="s">
        <v>2462</v>
      </c>
      <c r="B1002" s="38">
        <v>46293</v>
      </c>
      <c r="C1002" s="23" t="s">
        <v>2463</v>
      </c>
      <c r="D1002" s="23" t="s">
        <v>92</v>
      </c>
      <c r="E1002" s="23" t="s">
        <v>79</v>
      </c>
      <c r="F1002" s="23" t="s">
        <v>343</v>
      </c>
      <c r="G1002" s="23" t="s">
        <v>301</v>
      </c>
      <c r="H1002" s="39">
        <f t="shared" si="60"/>
        <v>9498</v>
      </c>
      <c r="I1002" s="23" t="str">
        <f t="shared" si="61"/>
        <v>Hyderabad</v>
      </c>
      <c r="J1002" s="23">
        <f>COUNTIFS(pg_transaction_cleaned!$O:$O,A1002,pg_transaction_cleaned!$F:$F,"CAPTURE")</f>
        <v>1</v>
      </c>
      <c r="K1002" s="39">
        <f>SUMIFS(pg_transaction_cleaned!$H:$H,pg_transaction_cleaned!$O:$O,A1002,pg_transaction_cleaned!$F:$F,"CAPTURE")</f>
        <v>9498</v>
      </c>
      <c r="L1002" s="23">
        <f>COUNTIFS(pg_transaction_cleaned!$O:$O,A1002,pg_transaction_cleaned!$F:$F,"REFUND")</f>
        <v>1</v>
      </c>
      <c r="M1002" s="39">
        <f>SUMIFS(pg_transaction_cleaned!$H:$H,pg_transaction_cleaned!$O:$O,A1002,pg_transaction_cleaned!$F:$F,"REFUND")</f>
        <v>9498</v>
      </c>
      <c r="N1002" s="23" t="str">
        <f t="shared" si="62"/>
        <v>OK</v>
      </c>
      <c r="O1002" s="24">
        <f t="shared" si="63"/>
        <v>0</v>
      </c>
    </row>
    <row r="1003" spans="1:15" ht="15" customHeight="1" x14ac:dyDescent="0.3">
      <c r="A1003" s="23" t="s">
        <v>2464</v>
      </c>
      <c r="B1003" s="38">
        <v>46266</v>
      </c>
      <c r="C1003" s="23" t="s">
        <v>2465</v>
      </c>
      <c r="D1003" s="23" t="s">
        <v>95</v>
      </c>
      <c r="E1003" s="23" t="s">
        <v>75</v>
      </c>
      <c r="F1003" s="23" t="s">
        <v>1334</v>
      </c>
      <c r="G1003" s="23" t="s">
        <v>250</v>
      </c>
      <c r="H1003" s="39">
        <f t="shared" si="60"/>
        <v>12797</v>
      </c>
      <c r="I1003" s="23" t="str">
        <f t="shared" si="61"/>
        <v>Bengaluru</v>
      </c>
      <c r="J1003" s="23">
        <f>COUNTIFS(pg_transaction_cleaned!$O:$O,A1003,pg_transaction_cleaned!$F:$F,"CAPTURE")</f>
        <v>1</v>
      </c>
      <c r="K1003" s="39">
        <f>SUMIFS(pg_transaction_cleaned!$H:$H,pg_transaction_cleaned!$O:$O,A1003,pg_transaction_cleaned!$F:$F,"CAPTURE")</f>
        <v>12797</v>
      </c>
      <c r="L1003" s="23">
        <f>COUNTIFS(pg_transaction_cleaned!$O:$O,A1003,pg_transaction_cleaned!$F:$F,"REFUND")</f>
        <v>0</v>
      </c>
      <c r="M1003" s="39">
        <f>SUMIFS(pg_transaction_cleaned!$H:$H,pg_transaction_cleaned!$O:$O,A1003,pg_transaction_cleaned!$F:$F,"REFUND")</f>
        <v>0</v>
      </c>
      <c r="N1003" s="23" t="str">
        <f t="shared" si="62"/>
        <v>OK</v>
      </c>
      <c r="O1003" s="24">
        <f t="shared" si="63"/>
        <v>0</v>
      </c>
    </row>
    <row r="1004" spans="1:15" ht="15" customHeight="1" x14ac:dyDescent="0.3">
      <c r="A1004" s="23" t="s">
        <v>2466</v>
      </c>
      <c r="B1004" s="38">
        <v>46294</v>
      </c>
      <c r="C1004" s="23" t="s">
        <v>2467</v>
      </c>
      <c r="D1004" s="23" t="s">
        <v>87</v>
      </c>
      <c r="E1004" s="23" t="s">
        <v>75</v>
      </c>
      <c r="F1004" s="23" t="s">
        <v>483</v>
      </c>
      <c r="G1004" s="23" t="s">
        <v>365</v>
      </c>
      <c r="H1004" s="39">
        <f t="shared" si="60"/>
        <v>2998</v>
      </c>
      <c r="I1004" s="23" t="str">
        <f t="shared" si="61"/>
        <v>Mumbai</v>
      </c>
      <c r="J1004" s="23">
        <f>COUNTIFS(pg_transaction_cleaned!$O:$O,A1004,pg_transaction_cleaned!$F:$F,"CAPTURE")</f>
        <v>1</v>
      </c>
      <c r="K1004" s="39">
        <f>SUMIFS(pg_transaction_cleaned!$H:$H,pg_transaction_cleaned!$O:$O,A1004,pg_transaction_cleaned!$F:$F,"CAPTURE")</f>
        <v>2998</v>
      </c>
      <c r="L1004" s="23">
        <f>COUNTIFS(pg_transaction_cleaned!$O:$O,A1004,pg_transaction_cleaned!$F:$F,"REFUND")</f>
        <v>0</v>
      </c>
      <c r="M1004" s="39">
        <f>SUMIFS(pg_transaction_cleaned!$H:$H,pg_transaction_cleaned!$O:$O,A1004,pg_transaction_cleaned!$F:$F,"REFUND")</f>
        <v>0</v>
      </c>
      <c r="N1004" s="23" t="str">
        <f t="shared" si="62"/>
        <v>Payment on failed/cancelled</v>
      </c>
      <c r="O1004" s="24">
        <f t="shared" si="63"/>
        <v>2998</v>
      </c>
    </row>
    <row r="1005" spans="1:15" ht="15" customHeight="1" x14ac:dyDescent="0.3">
      <c r="A1005" s="23" t="s">
        <v>2468</v>
      </c>
      <c r="B1005" s="38">
        <v>46281</v>
      </c>
      <c r="C1005" s="23" t="s">
        <v>2469</v>
      </c>
      <c r="D1005" s="23" t="s">
        <v>90</v>
      </c>
      <c r="E1005" s="23" t="s">
        <v>75</v>
      </c>
      <c r="F1005" s="23" t="s">
        <v>834</v>
      </c>
      <c r="G1005" s="23" t="s">
        <v>250</v>
      </c>
      <c r="H1005" s="39">
        <f t="shared" si="60"/>
        <v>7097</v>
      </c>
      <c r="I1005" s="23" t="str">
        <f t="shared" si="61"/>
        <v>Ahmedabad</v>
      </c>
      <c r="J1005" s="23">
        <f>COUNTIFS(pg_transaction_cleaned!$O:$O,A1005,pg_transaction_cleaned!$F:$F,"CAPTURE")</f>
        <v>1</v>
      </c>
      <c r="K1005" s="39">
        <f>SUMIFS(pg_transaction_cleaned!$H:$H,pg_transaction_cleaned!$O:$O,A1005,pg_transaction_cleaned!$F:$F,"CAPTURE")</f>
        <v>7097</v>
      </c>
      <c r="L1005" s="23">
        <f>COUNTIFS(pg_transaction_cleaned!$O:$O,A1005,pg_transaction_cleaned!$F:$F,"REFUND")</f>
        <v>0</v>
      </c>
      <c r="M1005" s="39">
        <f>SUMIFS(pg_transaction_cleaned!$H:$H,pg_transaction_cleaned!$O:$O,A1005,pg_transaction_cleaned!$F:$F,"REFUND")</f>
        <v>0</v>
      </c>
      <c r="N1005" s="23" t="str">
        <f t="shared" si="62"/>
        <v>OK</v>
      </c>
      <c r="O1005" s="24">
        <f t="shared" si="63"/>
        <v>0</v>
      </c>
    </row>
    <row r="1006" spans="1:15" ht="15" customHeight="1" x14ac:dyDescent="0.3">
      <c r="A1006" s="23" t="s">
        <v>2470</v>
      </c>
      <c r="B1006" s="38">
        <v>46281</v>
      </c>
      <c r="C1006" s="23" t="s">
        <v>2471</v>
      </c>
      <c r="D1006" s="23" t="s">
        <v>95</v>
      </c>
      <c r="E1006" s="23" t="s">
        <v>75</v>
      </c>
      <c r="F1006" s="23" t="s">
        <v>274</v>
      </c>
      <c r="G1006" s="23" t="s">
        <v>250</v>
      </c>
      <c r="H1006" s="39">
        <f t="shared" si="60"/>
        <v>349</v>
      </c>
      <c r="I1006" s="23" t="str">
        <f t="shared" si="61"/>
        <v>Bengaluru</v>
      </c>
      <c r="J1006" s="23">
        <f>COUNTIFS(pg_transaction_cleaned!$O:$O,A1006,pg_transaction_cleaned!$F:$F,"CAPTURE")</f>
        <v>1</v>
      </c>
      <c r="K1006" s="39">
        <f>SUMIFS(pg_transaction_cleaned!$H:$H,pg_transaction_cleaned!$O:$O,A1006,pg_transaction_cleaned!$F:$F,"CAPTURE")</f>
        <v>349</v>
      </c>
      <c r="L1006" s="23">
        <f>COUNTIFS(pg_transaction_cleaned!$O:$O,A1006,pg_transaction_cleaned!$F:$F,"REFUND")</f>
        <v>0</v>
      </c>
      <c r="M1006" s="39">
        <f>SUMIFS(pg_transaction_cleaned!$H:$H,pg_transaction_cleaned!$O:$O,A1006,pg_transaction_cleaned!$F:$F,"REFUND")</f>
        <v>0</v>
      </c>
      <c r="N1006" s="23" t="str">
        <f t="shared" si="62"/>
        <v>OK</v>
      </c>
      <c r="O1006" s="24">
        <f t="shared" si="63"/>
        <v>0</v>
      </c>
    </row>
    <row r="1007" spans="1:15" ht="15" customHeight="1" x14ac:dyDescent="0.3">
      <c r="A1007" s="23" t="s">
        <v>2472</v>
      </c>
      <c r="B1007" s="38">
        <v>46270</v>
      </c>
      <c r="C1007" s="23" t="s">
        <v>2473</v>
      </c>
      <c r="D1007" s="23" t="s">
        <v>90</v>
      </c>
      <c r="E1007" s="23" t="s">
        <v>77</v>
      </c>
      <c r="F1007" s="23" t="s">
        <v>475</v>
      </c>
      <c r="G1007" s="23" t="s">
        <v>250</v>
      </c>
      <c r="H1007" s="39">
        <f t="shared" si="60"/>
        <v>799</v>
      </c>
      <c r="I1007" s="23" t="str">
        <f t="shared" si="61"/>
        <v>Ahmedabad</v>
      </c>
      <c r="J1007" s="23">
        <f>COUNTIFS(pg_transaction_cleaned!$O:$O,A1007,pg_transaction_cleaned!$F:$F,"CAPTURE")</f>
        <v>1</v>
      </c>
      <c r="K1007" s="39">
        <f>SUMIFS(pg_transaction_cleaned!$H:$H,pg_transaction_cleaned!$O:$O,A1007,pg_transaction_cleaned!$F:$F,"CAPTURE")</f>
        <v>799</v>
      </c>
      <c r="L1007" s="23">
        <f>COUNTIFS(pg_transaction_cleaned!$O:$O,A1007,pg_transaction_cleaned!$F:$F,"REFUND")</f>
        <v>0</v>
      </c>
      <c r="M1007" s="39">
        <f>SUMIFS(pg_transaction_cleaned!$H:$H,pg_transaction_cleaned!$O:$O,A1007,pg_transaction_cleaned!$F:$F,"REFUND")</f>
        <v>0</v>
      </c>
      <c r="N1007" s="23" t="str">
        <f t="shared" si="62"/>
        <v>OK</v>
      </c>
      <c r="O1007" s="24">
        <f t="shared" si="63"/>
        <v>0</v>
      </c>
    </row>
    <row r="1008" spans="1:15" ht="15" customHeight="1" x14ac:dyDescent="0.3">
      <c r="A1008" s="23" t="s">
        <v>2474</v>
      </c>
      <c r="B1008" s="38">
        <v>46287</v>
      </c>
      <c r="C1008" s="23" t="s">
        <v>2475</v>
      </c>
      <c r="D1008" s="23" t="s">
        <v>87</v>
      </c>
      <c r="E1008" s="23" t="s">
        <v>81</v>
      </c>
      <c r="F1008" s="23" t="s">
        <v>262</v>
      </c>
      <c r="G1008" s="23" t="s">
        <v>250</v>
      </c>
      <c r="H1008" s="39">
        <f t="shared" si="60"/>
        <v>499</v>
      </c>
      <c r="I1008" s="23" t="str">
        <f t="shared" si="61"/>
        <v>Mumbai</v>
      </c>
      <c r="J1008" s="23">
        <f>COUNTIFS(pg_transaction_cleaned!$O:$O,A1008,pg_transaction_cleaned!$F:$F,"CAPTURE")</f>
        <v>1</v>
      </c>
      <c r="K1008" s="39">
        <f>SUMIFS(pg_transaction_cleaned!$H:$H,pg_transaction_cleaned!$O:$O,A1008,pg_transaction_cleaned!$F:$F,"CAPTURE")</f>
        <v>499</v>
      </c>
      <c r="L1008" s="23">
        <f>COUNTIFS(pg_transaction_cleaned!$O:$O,A1008,pg_transaction_cleaned!$F:$F,"REFUND")</f>
        <v>0</v>
      </c>
      <c r="M1008" s="39">
        <f>SUMIFS(pg_transaction_cleaned!$H:$H,pg_transaction_cleaned!$O:$O,A1008,pg_transaction_cleaned!$F:$F,"REFUND")</f>
        <v>0</v>
      </c>
      <c r="N1008" s="23" t="str">
        <f t="shared" si="62"/>
        <v>OK</v>
      </c>
      <c r="O1008" s="24">
        <f t="shared" si="63"/>
        <v>0</v>
      </c>
    </row>
    <row r="1009" spans="1:15" ht="15" customHeight="1" x14ac:dyDescent="0.3">
      <c r="A1009" s="23" t="s">
        <v>2476</v>
      </c>
      <c r="B1009" s="38">
        <v>46280</v>
      </c>
      <c r="C1009" s="23" t="s">
        <v>2477</v>
      </c>
      <c r="D1009" s="23" t="s">
        <v>90</v>
      </c>
      <c r="E1009" s="23" t="s">
        <v>75</v>
      </c>
      <c r="F1009" s="23" t="s">
        <v>438</v>
      </c>
      <c r="G1009" s="23" t="s">
        <v>250</v>
      </c>
      <c r="H1009" s="39">
        <f t="shared" si="60"/>
        <v>5498</v>
      </c>
      <c r="I1009" s="23" t="str">
        <f t="shared" si="61"/>
        <v>Ahmedabad</v>
      </c>
      <c r="J1009" s="23">
        <f>COUNTIFS(pg_transaction_cleaned!$O:$O,A1009,pg_transaction_cleaned!$F:$F,"CAPTURE")</f>
        <v>1</v>
      </c>
      <c r="K1009" s="39">
        <f>SUMIFS(pg_transaction_cleaned!$H:$H,pg_transaction_cleaned!$O:$O,A1009,pg_transaction_cleaned!$F:$F,"CAPTURE")</f>
        <v>5498</v>
      </c>
      <c r="L1009" s="23">
        <f>COUNTIFS(pg_transaction_cleaned!$O:$O,A1009,pg_transaction_cleaned!$F:$F,"REFUND")</f>
        <v>0</v>
      </c>
      <c r="M1009" s="39">
        <f>SUMIFS(pg_transaction_cleaned!$H:$H,pg_transaction_cleaned!$O:$O,A1009,pg_transaction_cleaned!$F:$F,"REFUND")</f>
        <v>0</v>
      </c>
      <c r="N1009" s="23" t="str">
        <f t="shared" si="62"/>
        <v>OK</v>
      </c>
      <c r="O1009" s="24">
        <f t="shared" si="63"/>
        <v>0</v>
      </c>
    </row>
    <row r="1010" spans="1:15" ht="15" customHeight="1" x14ac:dyDescent="0.3">
      <c r="A1010" s="23" t="s">
        <v>2478</v>
      </c>
      <c r="B1010" s="38">
        <v>46288</v>
      </c>
      <c r="C1010" s="23" t="s">
        <v>2479</v>
      </c>
      <c r="D1010" s="23" t="s">
        <v>89</v>
      </c>
      <c r="E1010" s="23" t="s">
        <v>77</v>
      </c>
      <c r="F1010" s="23" t="s">
        <v>579</v>
      </c>
      <c r="G1010" s="23" t="s">
        <v>250</v>
      </c>
      <c r="H1010" s="39">
        <f t="shared" si="60"/>
        <v>11297</v>
      </c>
      <c r="I1010" s="23" t="str">
        <f t="shared" si="61"/>
        <v>Jaipur</v>
      </c>
      <c r="J1010" s="23">
        <f>COUNTIFS(pg_transaction_cleaned!$O:$O,A1010,pg_transaction_cleaned!$F:$F,"CAPTURE")</f>
        <v>1</v>
      </c>
      <c r="K1010" s="39">
        <f>SUMIFS(pg_transaction_cleaned!$H:$H,pg_transaction_cleaned!$O:$O,A1010,pg_transaction_cleaned!$F:$F,"CAPTURE")</f>
        <v>11297</v>
      </c>
      <c r="L1010" s="23">
        <f>COUNTIFS(pg_transaction_cleaned!$O:$O,A1010,pg_transaction_cleaned!$F:$F,"REFUND")</f>
        <v>0</v>
      </c>
      <c r="M1010" s="39">
        <f>SUMIFS(pg_transaction_cleaned!$H:$H,pg_transaction_cleaned!$O:$O,A1010,pg_transaction_cleaned!$F:$F,"REFUND")</f>
        <v>0</v>
      </c>
      <c r="N1010" s="23" t="str">
        <f t="shared" si="62"/>
        <v>OK</v>
      </c>
      <c r="O1010" s="24">
        <f t="shared" si="63"/>
        <v>0</v>
      </c>
    </row>
    <row r="1011" spans="1:15" ht="15" customHeight="1" x14ac:dyDescent="0.3">
      <c r="A1011" s="23" t="s">
        <v>2480</v>
      </c>
      <c r="B1011" s="38">
        <v>46267</v>
      </c>
      <c r="C1011" s="23" t="s">
        <v>2481</v>
      </c>
      <c r="D1011" s="23" t="s">
        <v>89</v>
      </c>
      <c r="E1011" s="23" t="s">
        <v>79</v>
      </c>
      <c r="F1011" s="23" t="s">
        <v>268</v>
      </c>
      <c r="G1011" s="23" t="s">
        <v>250</v>
      </c>
      <c r="H1011" s="39">
        <f t="shared" si="60"/>
        <v>1299</v>
      </c>
      <c r="I1011" s="23" t="str">
        <f t="shared" si="61"/>
        <v>Jaipur</v>
      </c>
      <c r="J1011" s="23">
        <f>COUNTIFS(pg_transaction_cleaned!$O:$O,A1011,pg_transaction_cleaned!$F:$F,"CAPTURE")</f>
        <v>1</v>
      </c>
      <c r="K1011" s="39">
        <f>SUMIFS(pg_transaction_cleaned!$H:$H,pg_transaction_cleaned!$O:$O,A1011,pg_transaction_cleaned!$F:$F,"CAPTURE")</f>
        <v>1299</v>
      </c>
      <c r="L1011" s="23">
        <f>COUNTIFS(pg_transaction_cleaned!$O:$O,A1011,pg_transaction_cleaned!$F:$F,"REFUND")</f>
        <v>0</v>
      </c>
      <c r="M1011" s="39">
        <f>SUMIFS(pg_transaction_cleaned!$H:$H,pg_transaction_cleaned!$O:$O,A1011,pg_transaction_cleaned!$F:$F,"REFUND")</f>
        <v>0</v>
      </c>
      <c r="N1011" s="23" t="str">
        <f t="shared" si="62"/>
        <v>OK</v>
      </c>
      <c r="O1011" s="24">
        <f t="shared" si="63"/>
        <v>0</v>
      </c>
    </row>
    <row r="1012" spans="1:15" ht="15" customHeight="1" x14ac:dyDescent="0.3">
      <c r="A1012" s="23" t="s">
        <v>2482</v>
      </c>
      <c r="B1012" s="38">
        <v>46284</v>
      </c>
      <c r="C1012" s="23" t="s">
        <v>2483</v>
      </c>
      <c r="D1012" s="23" t="s">
        <v>87</v>
      </c>
      <c r="E1012" s="23" t="s">
        <v>79</v>
      </c>
      <c r="F1012" s="23" t="s">
        <v>297</v>
      </c>
      <c r="G1012" s="23" t="s">
        <v>250</v>
      </c>
      <c r="H1012" s="39">
        <f t="shared" si="60"/>
        <v>4999</v>
      </c>
      <c r="I1012" s="23" t="str">
        <f t="shared" si="61"/>
        <v>Mumbai</v>
      </c>
      <c r="J1012" s="23">
        <f>COUNTIFS(pg_transaction_cleaned!$O:$O,A1012,pg_transaction_cleaned!$F:$F,"CAPTURE")</f>
        <v>1</v>
      </c>
      <c r="K1012" s="39">
        <f>SUMIFS(pg_transaction_cleaned!$H:$H,pg_transaction_cleaned!$O:$O,A1012,pg_transaction_cleaned!$F:$F,"CAPTURE")</f>
        <v>4999</v>
      </c>
      <c r="L1012" s="23">
        <f>COUNTIFS(pg_transaction_cleaned!$O:$O,A1012,pg_transaction_cleaned!$F:$F,"REFUND")</f>
        <v>0</v>
      </c>
      <c r="M1012" s="39">
        <f>SUMIFS(pg_transaction_cleaned!$H:$H,pg_transaction_cleaned!$O:$O,A1012,pg_transaction_cleaned!$F:$F,"REFUND")</f>
        <v>0</v>
      </c>
      <c r="N1012" s="23" t="str">
        <f t="shared" si="62"/>
        <v>OK</v>
      </c>
      <c r="O1012" s="24">
        <f t="shared" si="63"/>
        <v>0</v>
      </c>
    </row>
    <row r="1013" spans="1:15" ht="15" customHeight="1" x14ac:dyDescent="0.3">
      <c r="A1013" s="23" t="s">
        <v>2484</v>
      </c>
      <c r="B1013" s="38">
        <v>46282</v>
      </c>
      <c r="C1013" s="23" t="s">
        <v>2485</v>
      </c>
      <c r="D1013" s="23" t="s">
        <v>94</v>
      </c>
      <c r="E1013" s="23" t="s">
        <v>75</v>
      </c>
      <c r="F1013" s="23" t="s">
        <v>2486</v>
      </c>
      <c r="G1013" s="23" t="s">
        <v>250</v>
      </c>
      <c r="H1013" s="39">
        <f t="shared" si="60"/>
        <v>1647</v>
      </c>
      <c r="I1013" s="23" t="str">
        <f t="shared" si="61"/>
        <v>Chennai</v>
      </c>
      <c r="J1013" s="23">
        <f>COUNTIFS(pg_transaction_cleaned!$O:$O,A1013,pg_transaction_cleaned!$F:$F,"CAPTURE")</f>
        <v>1</v>
      </c>
      <c r="K1013" s="39">
        <f>SUMIFS(pg_transaction_cleaned!$H:$H,pg_transaction_cleaned!$O:$O,A1013,pg_transaction_cleaned!$F:$F,"CAPTURE")</f>
        <v>1647</v>
      </c>
      <c r="L1013" s="23">
        <f>COUNTIFS(pg_transaction_cleaned!$O:$O,A1013,pg_transaction_cleaned!$F:$F,"REFUND")</f>
        <v>0</v>
      </c>
      <c r="M1013" s="39">
        <f>SUMIFS(pg_transaction_cleaned!$H:$H,pg_transaction_cleaned!$O:$O,A1013,pg_transaction_cleaned!$F:$F,"REFUND")</f>
        <v>0</v>
      </c>
      <c r="N1013" s="23" t="str">
        <f t="shared" si="62"/>
        <v>OK</v>
      </c>
      <c r="O1013" s="24">
        <f t="shared" si="63"/>
        <v>0</v>
      </c>
    </row>
    <row r="1014" spans="1:15" ht="15" customHeight="1" x14ac:dyDescent="0.3">
      <c r="A1014" s="23" t="s">
        <v>2487</v>
      </c>
      <c r="B1014" s="38">
        <v>46277</v>
      </c>
      <c r="C1014" s="23" t="s">
        <v>2488</v>
      </c>
      <c r="D1014" s="23" t="s">
        <v>86</v>
      </c>
      <c r="E1014" s="23" t="s">
        <v>75</v>
      </c>
      <c r="F1014" s="23" t="s">
        <v>396</v>
      </c>
      <c r="G1014" s="23" t="s">
        <v>250</v>
      </c>
      <c r="H1014" s="39">
        <f t="shared" si="60"/>
        <v>2999</v>
      </c>
      <c r="I1014" s="23" t="str">
        <f t="shared" si="61"/>
        <v>Delhi</v>
      </c>
      <c r="J1014" s="23">
        <f>COUNTIFS(pg_transaction_cleaned!$O:$O,A1014,pg_transaction_cleaned!$F:$F,"CAPTURE")</f>
        <v>1</v>
      </c>
      <c r="K1014" s="39">
        <f>SUMIFS(pg_transaction_cleaned!$H:$H,pg_transaction_cleaned!$O:$O,A1014,pg_transaction_cleaned!$F:$F,"CAPTURE")</f>
        <v>2850</v>
      </c>
      <c r="L1014" s="23">
        <f>COUNTIFS(pg_transaction_cleaned!$O:$O,A1014,pg_transaction_cleaned!$F:$F,"REFUND")</f>
        <v>0</v>
      </c>
      <c r="M1014" s="39">
        <f>SUMIFS(pg_transaction_cleaned!$H:$H,pg_transaction_cleaned!$O:$O,A1014,pg_transaction_cleaned!$F:$F,"REFUND")</f>
        <v>0</v>
      </c>
      <c r="N1014" s="23" t="str">
        <f t="shared" si="62"/>
        <v>Amount difference</v>
      </c>
      <c r="O1014" s="24">
        <f t="shared" si="63"/>
        <v>-149</v>
      </c>
    </row>
    <row r="1015" spans="1:15" ht="15" customHeight="1" x14ac:dyDescent="0.3">
      <c r="A1015" s="23" t="s">
        <v>2489</v>
      </c>
      <c r="B1015" s="38">
        <v>46276</v>
      </c>
      <c r="C1015" s="23" t="s">
        <v>2490</v>
      </c>
      <c r="D1015" s="23" t="s">
        <v>95</v>
      </c>
      <c r="E1015" s="23" t="s">
        <v>75</v>
      </c>
      <c r="F1015" s="23" t="s">
        <v>294</v>
      </c>
      <c r="G1015" s="23" t="s">
        <v>250</v>
      </c>
      <c r="H1015" s="39">
        <f t="shared" si="60"/>
        <v>1799</v>
      </c>
      <c r="I1015" s="23" t="str">
        <f t="shared" si="61"/>
        <v>Bengaluru</v>
      </c>
      <c r="J1015" s="23">
        <f>COUNTIFS(pg_transaction_cleaned!$O:$O,A1015,pg_transaction_cleaned!$F:$F,"CAPTURE")</f>
        <v>1</v>
      </c>
      <c r="K1015" s="39">
        <f>SUMIFS(pg_transaction_cleaned!$H:$H,pg_transaction_cleaned!$O:$O,A1015,pg_transaction_cleaned!$F:$F,"CAPTURE")</f>
        <v>1799</v>
      </c>
      <c r="L1015" s="23">
        <f>COUNTIFS(pg_transaction_cleaned!$O:$O,A1015,pg_transaction_cleaned!$F:$F,"REFUND")</f>
        <v>0</v>
      </c>
      <c r="M1015" s="39">
        <f>SUMIFS(pg_transaction_cleaned!$H:$H,pg_transaction_cleaned!$O:$O,A1015,pg_transaction_cleaned!$F:$F,"REFUND")</f>
        <v>0</v>
      </c>
      <c r="N1015" s="23" t="str">
        <f t="shared" si="62"/>
        <v>OK</v>
      </c>
      <c r="O1015" s="24">
        <f t="shared" si="63"/>
        <v>0</v>
      </c>
    </row>
    <row r="1016" spans="1:15" ht="15" customHeight="1" x14ac:dyDescent="0.3">
      <c r="A1016" s="23" t="s">
        <v>2491</v>
      </c>
      <c r="B1016" s="38">
        <v>46290</v>
      </c>
      <c r="C1016" s="23" t="s">
        <v>2492</v>
      </c>
      <c r="D1016" s="23" t="s">
        <v>93</v>
      </c>
      <c r="E1016" s="23" t="s">
        <v>75</v>
      </c>
      <c r="F1016" s="23" t="s">
        <v>1054</v>
      </c>
      <c r="G1016" s="23" t="s">
        <v>250</v>
      </c>
      <c r="H1016" s="39">
        <f t="shared" si="60"/>
        <v>6597</v>
      </c>
      <c r="I1016" s="23" t="str">
        <f t="shared" si="61"/>
        <v>Kolkata</v>
      </c>
      <c r="J1016" s="23">
        <f>COUNTIFS(pg_transaction_cleaned!$O:$O,A1016,pg_transaction_cleaned!$F:$F,"CAPTURE")</f>
        <v>1</v>
      </c>
      <c r="K1016" s="39">
        <f>SUMIFS(pg_transaction_cleaned!$H:$H,pg_transaction_cleaned!$O:$O,A1016,pg_transaction_cleaned!$F:$F,"CAPTURE")</f>
        <v>6597</v>
      </c>
      <c r="L1016" s="23">
        <f>COUNTIFS(pg_transaction_cleaned!$O:$O,A1016,pg_transaction_cleaned!$F:$F,"REFUND")</f>
        <v>0</v>
      </c>
      <c r="M1016" s="39">
        <f>SUMIFS(pg_transaction_cleaned!$H:$H,pg_transaction_cleaned!$O:$O,A1016,pg_transaction_cleaned!$F:$F,"REFUND")</f>
        <v>0</v>
      </c>
      <c r="N1016" s="23" t="str">
        <f t="shared" si="62"/>
        <v>OK</v>
      </c>
      <c r="O1016" s="24">
        <f t="shared" si="63"/>
        <v>0</v>
      </c>
    </row>
    <row r="1017" spans="1:15" ht="15" customHeight="1" x14ac:dyDescent="0.3">
      <c r="A1017" s="23" t="s">
        <v>2493</v>
      </c>
      <c r="B1017" s="38">
        <v>46274</v>
      </c>
      <c r="C1017" s="23" t="s">
        <v>2494</v>
      </c>
      <c r="D1017" s="23" t="s">
        <v>89</v>
      </c>
      <c r="E1017" s="23" t="s">
        <v>75</v>
      </c>
      <c r="F1017" s="23" t="s">
        <v>274</v>
      </c>
      <c r="G1017" s="23" t="s">
        <v>250</v>
      </c>
      <c r="H1017" s="39">
        <f t="shared" si="60"/>
        <v>349</v>
      </c>
      <c r="I1017" s="23" t="str">
        <f t="shared" si="61"/>
        <v>Jaipur</v>
      </c>
      <c r="J1017" s="23">
        <f>COUNTIFS(pg_transaction_cleaned!$O:$O,A1017,pg_transaction_cleaned!$F:$F,"CAPTURE")</f>
        <v>1</v>
      </c>
      <c r="K1017" s="39">
        <f>SUMIFS(pg_transaction_cleaned!$H:$H,pg_transaction_cleaned!$O:$O,A1017,pg_transaction_cleaned!$F:$F,"CAPTURE")</f>
        <v>349</v>
      </c>
      <c r="L1017" s="23">
        <f>COUNTIFS(pg_transaction_cleaned!$O:$O,A1017,pg_transaction_cleaned!$F:$F,"REFUND")</f>
        <v>0</v>
      </c>
      <c r="M1017" s="39">
        <f>SUMIFS(pg_transaction_cleaned!$H:$H,pg_transaction_cleaned!$O:$O,A1017,pg_transaction_cleaned!$F:$F,"REFUND")</f>
        <v>0</v>
      </c>
      <c r="N1017" s="23" t="str">
        <f t="shared" si="62"/>
        <v>OK</v>
      </c>
      <c r="O1017" s="24">
        <f t="shared" si="63"/>
        <v>0</v>
      </c>
    </row>
    <row r="1018" spans="1:15" ht="15" customHeight="1" x14ac:dyDescent="0.3">
      <c r="A1018" s="23" t="s">
        <v>2495</v>
      </c>
      <c r="B1018" s="38">
        <v>46292</v>
      </c>
      <c r="C1018" s="23" t="s">
        <v>2496</v>
      </c>
      <c r="D1018" s="23" t="s">
        <v>92</v>
      </c>
      <c r="E1018" s="23" t="s">
        <v>79</v>
      </c>
      <c r="F1018" s="23" t="s">
        <v>315</v>
      </c>
      <c r="G1018" s="23" t="s">
        <v>250</v>
      </c>
      <c r="H1018" s="39">
        <f t="shared" si="60"/>
        <v>1499</v>
      </c>
      <c r="I1018" s="23" t="str">
        <f t="shared" si="61"/>
        <v>Hyderabad</v>
      </c>
      <c r="J1018" s="23">
        <f>COUNTIFS(pg_transaction_cleaned!$O:$O,A1018,pg_transaction_cleaned!$F:$F,"CAPTURE")</f>
        <v>1</v>
      </c>
      <c r="K1018" s="39">
        <f>SUMIFS(pg_transaction_cleaned!$H:$H,pg_transaction_cleaned!$O:$O,A1018,pg_transaction_cleaned!$F:$F,"CAPTURE")</f>
        <v>1499</v>
      </c>
      <c r="L1018" s="23">
        <f>COUNTIFS(pg_transaction_cleaned!$O:$O,A1018,pg_transaction_cleaned!$F:$F,"REFUND")</f>
        <v>0</v>
      </c>
      <c r="M1018" s="39">
        <f>SUMIFS(pg_transaction_cleaned!$H:$H,pg_transaction_cleaned!$O:$O,A1018,pg_transaction_cleaned!$F:$F,"REFUND")</f>
        <v>0</v>
      </c>
      <c r="N1018" s="23" t="str">
        <f t="shared" si="62"/>
        <v>OK</v>
      </c>
      <c r="O1018" s="24">
        <f t="shared" si="63"/>
        <v>0</v>
      </c>
    </row>
    <row r="1019" spans="1:15" ht="15" customHeight="1" x14ac:dyDescent="0.3">
      <c r="A1019" s="23" t="s">
        <v>2497</v>
      </c>
      <c r="B1019" s="38">
        <v>46280</v>
      </c>
      <c r="C1019" s="23" t="s">
        <v>2498</v>
      </c>
      <c r="D1019" s="23" t="s">
        <v>95</v>
      </c>
      <c r="E1019" s="23" t="s">
        <v>79</v>
      </c>
      <c r="F1019" s="23" t="s">
        <v>2499</v>
      </c>
      <c r="G1019" s="23" t="s">
        <v>250</v>
      </c>
      <c r="H1019" s="39">
        <f t="shared" si="60"/>
        <v>5998</v>
      </c>
      <c r="I1019" s="23" t="str">
        <f t="shared" si="61"/>
        <v>Bengaluru</v>
      </c>
      <c r="J1019" s="23">
        <f>COUNTIFS(pg_transaction_cleaned!$O:$O,A1019,pg_transaction_cleaned!$F:$F,"CAPTURE")</f>
        <v>1</v>
      </c>
      <c r="K1019" s="39">
        <f>SUMIFS(pg_transaction_cleaned!$H:$H,pg_transaction_cleaned!$O:$O,A1019,pg_transaction_cleaned!$F:$F,"CAPTURE")</f>
        <v>5998</v>
      </c>
      <c r="L1019" s="23">
        <f>COUNTIFS(pg_transaction_cleaned!$O:$O,A1019,pg_transaction_cleaned!$F:$F,"REFUND")</f>
        <v>0</v>
      </c>
      <c r="M1019" s="39">
        <f>SUMIFS(pg_transaction_cleaned!$H:$H,pg_transaction_cleaned!$O:$O,A1019,pg_transaction_cleaned!$F:$F,"REFUND")</f>
        <v>0</v>
      </c>
      <c r="N1019" s="23" t="str">
        <f t="shared" si="62"/>
        <v>OK</v>
      </c>
      <c r="O1019" s="24">
        <f t="shared" si="63"/>
        <v>0</v>
      </c>
    </row>
    <row r="1020" spans="1:15" ht="15" customHeight="1" x14ac:dyDescent="0.3">
      <c r="A1020" s="23" t="s">
        <v>2500</v>
      </c>
      <c r="B1020" s="38">
        <v>46294</v>
      </c>
      <c r="C1020" s="23" t="s">
        <v>2501</v>
      </c>
      <c r="D1020" s="23" t="s">
        <v>91</v>
      </c>
      <c r="E1020" s="23" t="s">
        <v>75</v>
      </c>
      <c r="F1020" s="23" t="s">
        <v>2045</v>
      </c>
      <c r="G1020" s="23" t="s">
        <v>250</v>
      </c>
      <c r="H1020" s="39">
        <f t="shared" si="60"/>
        <v>698</v>
      </c>
      <c r="I1020" s="23" t="str">
        <f t="shared" si="61"/>
        <v>Pune</v>
      </c>
      <c r="J1020" s="23">
        <f>COUNTIFS(pg_transaction_cleaned!$O:$O,A1020,pg_transaction_cleaned!$F:$F,"CAPTURE")</f>
        <v>1</v>
      </c>
      <c r="K1020" s="39">
        <f>SUMIFS(pg_transaction_cleaned!$H:$H,pg_transaction_cleaned!$O:$O,A1020,pg_transaction_cleaned!$F:$F,"CAPTURE")</f>
        <v>698</v>
      </c>
      <c r="L1020" s="23">
        <f>COUNTIFS(pg_transaction_cleaned!$O:$O,A1020,pg_transaction_cleaned!$F:$F,"REFUND")</f>
        <v>0</v>
      </c>
      <c r="M1020" s="39">
        <f>SUMIFS(pg_transaction_cleaned!$H:$H,pg_transaction_cleaned!$O:$O,A1020,pg_transaction_cleaned!$F:$F,"REFUND")</f>
        <v>0</v>
      </c>
      <c r="N1020" s="23" t="str">
        <f t="shared" si="62"/>
        <v>OK</v>
      </c>
      <c r="O1020" s="24">
        <f t="shared" si="63"/>
        <v>0</v>
      </c>
    </row>
    <row r="1021" spans="1:15" ht="15" customHeight="1" x14ac:dyDescent="0.3">
      <c r="A1021" s="23" t="s">
        <v>2502</v>
      </c>
      <c r="B1021" s="38">
        <v>46271</v>
      </c>
      <c r="C1021" s="23" t="s">
        <v>2503</v>
      </c>
      <c r="D1021" s="23" t="s">
        <v>89</v>
      </c>
      <c r="E1021" s="23" t="s">
        <v>75</v>
      </c>
      <c r="F1021" s="23" t="s">
        <v>274</v>
      </c>
      <c r="G1021" s="23" t="s">
        <v>250</v>
      </c>
      <c r="H1021" s="39">
        <f t="shared" si="60"/>
        <v>349</v>
      </c>
      <c r="I1021" s="23" t="str">
        <f t="shared" si="61"/>
        <v>Jaipur</v>
      </c>
      <c r="J1021" s="23">
        <f>COUNTIFS(pg_transaction_cleaned!$O:$O,A1021,pg_transaction_cleaned!$F:$F,"CAPTURE")</f>
        <v>1</v>
      </c>
      <c r="K1021" s="39">
        <f>SUMIFS(pg_transaction_cleaned!$H:$H,pg_transaction_cleaned!$O:$O,A1021,pg_transaction_cleaned!$F:$F,"CAPTURE")</f>
        <v>349</v>
      </c>
      <c r="L1021" s="23">
        <f>COUNTIFS(pg_transaction_cleaned!$O:$O,A1021,pg_transaction_cleaned!$F:$F,"REFUND")</f>
        <v>0</v>
      </c>
      <c r="M1021" s="39">
        <f>SUMIFS(pg_transaction_cleaned!$H:$H,pg_transaction_cleaned!$O:$O,A1021,pg_transaction_cleaned!$F:$F,"REFUND")</f>
        <v>0</v>
      </c>
      <c r="N1021" s="23" t="str">
        <f t="shared" si="62"/>
        <v>OK</v>
      </c>
      <c r="O1021" s="24">
        <f t="shared" si="63"/>
        <v>0</v>
      </c>
    </row>
    <row r="1022" spans="1:15" ht="15" customHeight="1" x14ac:dyDescent="0.3">
      <c r="A1022" s="23" t="s">
        <v>2504</v>
      </c>
      <c r="B1022" s="38">
        <v>46286</v>
      </c>
      <c r="C1022" s="23" t="s">
        <v>2505</v>
      </c>
      <c r="D1022" s="23" t="s">
        <v>90</v>
      </c>
      <c r="E1022" s="23" t="s">
        <v>79</v>
      </c>
      <c r="F1022" s="23" t="s">
        <v>475</v>
      </c>
      <c r="G1022" s="23" t="s">
        <v>250</v>
      </c>
      <c r="H1022" s="39">
        <f t="shared" si="60"/>
        <v>799</v>
      </c>
      <c r="I1022" s="23" t="str">
        <f t="shared" si="61"/>
        <v>Ahmedabad</v>
      </c>
      <c r="J1022" s="23">
        <f>COUNTIFS(pg_transaction_cleaned!$O:$O,A1022,pg_transaction_cleaned!$F:$F,"CAPTURE")</f>
        <v>1</v>
      </c>
      <c r="K1022" s="39">
        <f>SUMIFS(pg_transaction_cleaned!$H:$H,pg_transaction_cleaned!$O:$O,A1022,pg_transaction_cleaned!$F:$F,"CAPTURE")</f>
        <v>799</v>
      </c>
      <c r="L1022" s="23">
        <f>COUNTIFS(pg_transaction_cleaned!$O:$O,A1022,pg_transaction_cleaned!$F:$F,"REFUND")</f>
        <v>0</v>
      </c>
      <c r="M1022" s="39">
        <f>SUMIFS(pg_transaction_cleaned!$H:$H,pg_transaction_cleaned!$O:$O,A1022,pg_transaction_cleaned!$F:$F,"REFUND")</f>
        <v>0</v>
      </c>
      <c r="N1022" s="23" t="str">
        <f t="shared" si="62"/>
        <v>OK</v>
      </c>
      <c r="O1022" s="24">
        <f t="shared" si="63"/>
        <v>0</v>
      </c>
    </row>
    <row r="1023" spans="1:15" ht="15" customHeight="1" x14ac:dyDescent="0.3">
      <c r="A1023" s="23" t="s">
        <v>2506</v>
      </c>
      <c r="B1023" s="38">
        <v>46277</v>
      </c>
      <c r="C1023" s="23" t="s">
        <v>2507</v>
      </c>
      <c r="D1023" s="23" t="s">
        <v>87</v>
      </c>
      <c r="E1023" s="23" t="s">
        <v>75</v>
      </c>
      <c r="F1023" s="23" t="s">
        <v>520</v>
      </c>
      <c r="G1023" s="23" t="s">
        <v>250</v>
      </c>
      <c r="H1023" s="39">
        <f t="shared" si="60"/>
        <v>4998</v>
      </c>
      <c r="I1023" s="23" t="str">
        <f t="shared" si="61"/>
        <v>Mumbai</v>
      </c>
      <c r="J1023" s="23">
        <f>COUNTIFS(pg_transaction_cleaned!$O:$O,A1023,pg_transaction_cleaned!$F:$F,"CAPTURE")</f>
        <v>1</v>
      </c>
      <c r="K1023" s="39">
        <f>SUMIFS(pg_transaction_cleaned!$H:$H,pg_transaction_cleaned!$O:$O,A1023,pg_transaction_cleaned!$F:$F,"CAPTURE")</f>
        <v>4998</v>
      </c>
      <c r="L1023" s="23">
        <f>COUNTIFS(pg_transaction_cleaned!$O:$O,A1023,pg_transaction_cleaned!$F:$F,"REFUND")</f>
        <v>0</v>
      </c>
      <c r="M1023" s="39">
        <f>SUMIFS(pg_transaction_cleaned!$H:$H,pg_transaction_cleaned!$O:$O,A1023,pg_transaction_cleaned!$F:$F,"REFUND")</f>
        <v>0</v>
      </c>
      <c r="N1023" s="23" t="str">
        <f t="shared" si="62"/>
        <v>OK</v>
      </c>
      <c r="O1023" s="24">
        <f t="shared" si="63"/>
        <v>0</v>
      </c>
    </row>
    <row r="1024" spans="1:15" ht="15" customHeight="1" x14ac:dyDescent="0.3">
      <c r="A1024" s="23" t="s">
        <v>2508</v>
      </c>
      <c r="B1024" s="38">
        <v>46293</v>
      </c>
      <c r="C1024" s="23" t="s">
        <v>2509</v>
      </c>
      <c r="D1024" s="23" t="s">
        <v>88</v>
      </c>
      <c r="E1024" s="23" t="s">
        <v>79</v>
      </c>
      <c r="F1024" s="23" t="s">
        <v>310</v>
      </c>
      <c r="G1024" s="23" t="s">
        <v>318</v>
      </c>
      <c r="H1024" s="39">
        <f t="shared" si="60"/>
        <v>7999</v>
      </c>
      <c r="I1024" s="23" t="str">
        <f t="shared" si="61"/>
        <v>Lucknow</v>
      </c>
      <c r="J1024" s="23">
        <f>COUNTIFS(pg_transaction_cleaned!$O:$O,A1024,pg_transaction_cleaned!$F:$F,"CAPTURE")</f>
        <v>0</v>
      </c>
      <c r="K1024" s="39">
        <f>SUMIFS(pg_transaction_cleaned!$H:$H,pg_transaction_cleaned!$O:$O,A1024,pg_transaction_cleaned!$F:$F,"CAPTURE")</f>
        <v>0</v>
      </c>
      <c r="L1024" s="23">
        <f>COUNTIFS(pg_transaction_cleaned!$O:$O,A1024,pg_transaction_cleaned!$F:$F,"REFUND")</f>
        <v>0</v>
      </c>
      <c r="M1024" s="39">
        <f>SUMIFS(pg_transaction_cleaned!$H:$H,pg_transaction_cleaned!$O:$O,A1024,pg_transaction_cleaned!$F:$F,"REFUND")</f>
        <v>0</v>
      </c>
      <c r="N1024" s="23" t="str">
        <f t="shared" si="62"/>
        <v>OK</v>
      </c>
      <c r="O1024" s="24">
        <f t="shared" si="63"/>
        <v>0</v>
      </c>
    </row>
    <row r="1025" spans="1:15" ht="15" customHeight="1" x14ac:dyDescent="0.3">
      <c r="A1025" s="23" t="s">
        <v>2510</v>
      </c>
      <c r="B1025" s="38">
        <v>46276</v>
      </c>
      <c r="C1025" s="23" t="s">
        <v>2511</v>
      </c>
      <c r="D1025" s="23" t="s">
        <v>89</v>
      </c>
      <c r="E1025" s="23" t="s">
        <v>79</v>
      </c>
      <c r="F1025" s="23" t="s">
        <v>2178</v>
      </c>
      <c r="G1025" s="23" t="s">
        <v>250</v>
      </c>
      <c r="H1025" s="39">
        <f t="shared" si="60"/>
        <v>8997</v>
      </c>
      <c r="I1025" s="23" t="str">
        <f t="shared" si="61"/>
        <v>Jaipur</v>
      </c>
      <c r="J1025" s="23">
        <f>COUNTIFS(pg_transaction_cleaned!$O:$O,A1025,pg_transaction_cleaned!$F:$F,"CAPTURE")</f>
        <v>1</v>
      </c>
      <c r="K1025" s="39">
        <f>SUMIFS(pg_transaction_cleaned!$H:$H,pg_transaction_cleaned!$O:$O,A1025,pg_transaction_cleaned!$F:$F,"CAPTURE")</f>
        <v>8997</v>
      </c>
      <c r="L1025" s="23">
        <f>COUNTIFS(pg_transaction_cleaned!$O:$O,A1025,pg_transaction_cleaned!$F:$F,"REFUND")</f>
        <v>0</v>
      </c>
      <c r="M1025" s="39">
        <f>SUMIFS(pg_transaction_cleaned!$H:$H,pg_transaction_cleaned!$O:$O,A1025,pg_transaction_cleaned!$F:$F,"REFUND")</f>
        <v>0</v>
      </c>
      <c r="N1025" s="23" t="str">
        <f t="shared" si="62"/>
        <v>OK</v>
      </c>
      <c r="O1025" s="24">
        <f t="shared" si="63"/>
        <v>0</v>
      </c>
    </row>
    <row r="1026" spans="1:15" ht="15" customHeight="1" x14ac:dyDescent="0.3">
      <c r="A1026" s="23" t="s">
        <v>2512</v>
      </c>
      <c r="B1026" s="38">
        <v>46280</v>
      </c>
      <c r="C1026" s="23" t="s">
        <v>2513</v>
      </c>
      <c r="D1026" s="23" t="s">
        <v>92</v>
      </c>
      <c r="E1026" s="23" t="s">
        <v>79</v>
      </c>
      <c r="F1026" s="23" t="s">
        <v>259</v>
      </c>
      <c r="G1026" s="23" t="s">
        <v>250</v>
      </c>
      <c r="H1026" s="39">
        <f t="shared" ref="H1026:H1089" si="64">VALUE(SUBSTITUTE(F1026,",",""))</f>
        <v>3298</v>
      </c>
      <c r="I1026" s="23" t="str">
        <f t="shared" ref="I1026:I1089" si="65">IF(TRIM(D1026)="","Unknown",TRIM(D1026))</f>
        <v>Hyderabad</v>
      </c>
      <c r="J1026" s="23">
        <f>COUNTIFS(pg_transaction_cleaned!$O:$O,A1026,pg_transaction_cleaned!$F:$F,"CAPTURE")</f>
        <v>1</v>
      </c>
      <c r="K1026" s="39">
        <f>SUMIFS(pg_transaction_cleaned!$H:$H,pg_transaction_cleaned!$O:$O,A1026,pg_transaction_cleaned!$F:$F,"CAPTURE")</f>
        <v>3298</v>
      </c>
      <c r="L1026" s="23">
        <f>COUNTIFS(pg_transaction_cleaned!$O:$O,A1026,pg_transaction_cleaned!$F:$F,"REFUND")</f>
        <v>0</v>
      </c>
      <c r="M1026" s="39">
        <f>SUMIFS(pg_transaction_cleaned!$H:$H,pg_transaction_cleaned!$O:$O,A1026,pg_transaction_cleaned!$F:$F,"REFUND")</f>
        <v>0</v>
      </c>
      <c r="N1026" s="23" t="str">
        <f t="shared" ref="N1026:N1089" si="66">IF(AND(G1026="Paid",J1026=0),"Paid, no payment",IF(AND(OR(G1026="Failed",G1026="Cancelled"),J1026&gt;0),"Payment on failed/cancelled",IF(J1026&gt;1,"Duplicate charge",IF(AND(J1026=1,ROUND(K1026-H1026,2)&lt;&gt;0),"Amount difference",IF(AND(G1026="Refunded",L1026=0),"Refunded, no refund",IF(AND(G1026&lt;&gt;"Refunded",L1026&gt;0),"Refund, order not Refunded",IF(AND(L1026&gt;0,ROUND(M1026-H1026,2)&lt;&gt;0),"Refund amount differs","OK")))))))</f>
        <v>OK</v>
      </c>
      <c r="O1026" s="24">
        <f t="shared" ref="O1026:O1089" si="67">IF(N1026="OK",0,IF(N1026="Paid, no payment",H1026,IF(N1026="Payment on failed/cancelled",K1026,IF(OR(N1026="Duplicate charge",N1026="Amount difference"),K1026-H1026,IF(N1026="Refunded, no refund",H1026,M1026)))))</f>
        <v>0</v>
      </c>
    </row>
    <row r="1027" spans="1:15" ht="15" customHeight="1" x14ac:dyDescent="0.3">
      <c r="A1027" s="23" t="s">
        <v>2514</v>
      </c>
      <c r="B1027" s="38">
        <v>46273</v>
      </c>
      <c r="C1027" s="23" t="s">
        <v>2515</v>
      </c>
      <c r="D1027" s="23" t="s">
        <v>92</v>
      </c>
      <c r="E1027" s="23" t="s">
        <v>75</v>
      </c>
      <c r="F1027" s="23" t="s">
        <v>349</v>
      </c>
      <c r="G1027" s="23" t="s">
        <v>250</v>
      </c>
      <c r="H1027" s="39">
        <f t="shared" si="64"/>
        <v>1798</v>
      </c>
      <c r="I1027" s="23" t="str">
        <f t="shared" si="65"/>
        <v>Hyderabad</v>
      </c>
      <c r="J1027" s="23">
        <f>COUNTIFS(pg_transaction_cleaned!$O:$O,A1027,pg_transaction_cleaned!$F:$F,"CAPTURE")</f>
        <v>1</v>
      </c>
      <c r="K1027" s="39">
        <f>SUMIFS(pg_transaction_cleaned!$H:$H,pg_transaction_cleaned!$O:$O,A1027,pg_transaction_cleaned!$F:$F,"CAPTURE")</f>
        <v>1798</v>
      </c>
      <c r="L1027" s="23">
        <f>COUNTIFS(pg_transaction_cleaned!$O:$O,A1027,pg_transaction_cleaned!$F:$F,"REFUND")</f>
        <v>0</v>
      </c>
      <c r="M1027" s="39">
        <f>SUMIFS(pg_transaction_cleaned!$H:$H,pg_transaction_cleaned!$O:$O,A1027,pg_transaction_cleaned!$F:$F,"REFUND")</f>
        <v>0</v>
      </c>
      <c r="N1027" s="23" t="str">
        <f t="shared" si="66"/>
        <v>OK</v>
      </c>
      <c r="O1027" s="24">
        <f t="shared" si="67"/>
        <v>0</v>
      </c>
    </row>
    <row r="1028" spans="1:15" ht="15" customHeight="1" x14ac:dyDescent="0.3">
      <c r="A1028" s="23" t="s">
        <v>2516</v>
      </c>
      <c r="B1028" s="38">
        <v>46280</v>
      </c>
      <c r="C1028" s="23" t="s">
        <v>2517</v>
      </c>
      <c r="D1028" s="23" t="s">
        <v>86</v>
      </c>
      <c r="E1028" s="23" t="s">
        <v>79</v>
      </c>
      <c r="F1028" s="23" t="s">
        <v>271</v>
      </c>
      <c r="G1028" s="23" t="s">
        <v>365</v>
      </c>
      <c r="H1028" s="39">
        <f t="shared" si="64"/>
        <v>2499</v>
      </c>
      <c r="I1028" s="23" t="str">
        <f t="shared" si="65"/>
        <v>Delhi</v>
      </c>
      <c r="J1028" s="23">
        <f>COUNTIFS(pg_transaction_cleaned!$O:$O,A1028,pg_transaction_cleaned!$F:$F,"CAPTURE")</f>
        <v>0</v>
      </c>
      <c r="K1028" s="39">
        <f>SUMIFS(pg_transaction_cleaned!$H:$H,pg_transaction_cleaned!$O:$O,A1028,pg_transaction_cleaned!$F:$F,"CAPTURE")</f>
        <v>0</v>
      </c>
      <c r="L1028" s="23">
        <f>COUNTIFS(pg_transaction_cleaned!$O:$O,A1028,pg_transaction_cleaned!$F:$F,"REFUND")</f>
        <v>0</v>
      </c>
      <c r="M1028" s="39">
        <f>SUMIFS(pg_transaction_cleaned!$H:$H,pg_transaction_cleaned!$O:$O,A1028,pg_transaction_cleaned!$F:$F,"REFUND")</f>
        <v>0</v>
      </c>
      <c r="N1028" s="23" t="str">
        <f t="shared" si="66"/>
        <v>OK</v>
      </c>
      <c r="O1028" s="24">
        <f t="shared" si="67"/>
        <v>0</v>
      </c>
    </row>
    <row r="1029" spans="1:15" ht="15" customHeight="1" x14ac:dyDescent="0.3">
      <c r="A1029" s="23" t="s">
        <v>2518</v>
      </c>
      <c r="B1029" s="38">
        <v>46271</v>
      </c>
      <c r="C1029" s="23" t="s">
        <v>2519</v>
      </c>
      <c r="D1029" s="23" t="s">
        <v>94</v>
      </c>
      <c r="E1029" s="23" t="s">
        <v>75</v>
      </c>
      <c r="F1029" s="23" t="s">
        <v>790</v>
      </c>
      <c r="G1029" s="23" t="s">
        <v>250</v>
      </c>
      <c r="H1029" s="39">
        <f t="shared" si="64"/>
        <v>11497</v>
      </c>
      <c r="I1029" s="23" t="str">
        <f t="shared" si="65"/>
        <v>Chennai</v>
      </c>
      <c r="J1029" s="23">
        <f>COUNTIFS(pg_transaction_cleaned!$O:$O,A1029,pg_transaction_cleaned!$F:$F,"CAPTURE")</f>
        <v>1</v>
      </c>
      <c r="K1029" s="39">
        <f>SUMIFS(pg_transaction_cleaned!$H:$H,pg_transaction_cleaned!$O:$O,A1029,pg_transaction_cleaned!$F:$F,"CAPTURE")</f>
        <v>11497</v>
      </c>
      <c r="L1029" s="23">
        <f>COUNTIFS(pg_transaction_cleaned!$O:$O,A1029,pg_transaction_cleaned!$F:$F,"REFUND")</f>
        <v>0</v>
      </c>
      <c r="M1029" s="39">
        <f>SUMIFS(pg_transaction_cleaned!$H:$H,pg_transaction_cleaned!$O:$O,A1029,pg_transaction_cleaned!$F:$F,"REFUND")</f>
        <v>0</v>
      </c>
      <c r="N1029" s="23" t="str">
        <f t="shared" si="66"/>
        <v>OK</v>
      </c>
      <c r="O1029" s="24">
        <f t="shared" si="67"/>
        <v>0</v>
      </c>
    </row>
    <row r="1030" spans="1:15" ht="15" customHeight="1" x14ac:dyDescent="0.3">
      <c r="A1030" s="23" t="s">
        <v>2520</v>
      </c>
      <c r="B1030" s="38">
        <v>46284</v>
      </c>
      <c r="C1030" s="23" t="s">
        <v>2521</v>
      </c>
      <c r="D1030" s="23" t="s">
        <v>87</v>
      </c>
      <c r="E1030" s="23" t="s">
        <v>75</v>
      </c>
      <c r="F1030" s="23" t="s">
        <v>315</v>
      </c>
      <c r="G1030" s="23" t="s">
        <v>250</v>
      </c>
      <c r="H1030" s="39">
        <f t="shared" si="64"/>
        <v>1499</v>
      </c>
      <c r="I1030" s="23" t="str">
        <f t="shared" si="65"/>
        <v>Mumbai</v>
      </c>
      <c r="J1030" s="23">
        <f>COUNTIFS(pg_transaction_cleaned!$O:$O,A1030,pg_transaction_cleaned!$F:$F,"CAPTURE")</f>
        <v>1</v>
      </c>
      <c r="K1030" s="39">
        <f>SUMIFS(pg_transaction_cleaned!$H:$H,pg_transaction_cleaned!$O:$O,A1030,pg_transaction_cleaned!$F:$F,"CAPTURE")</f>
        <v>1499</v>
      </c>
      <c r="L1030" s="23">
        <f>COUNTIFS(pg_transaction_cleaned!$O:$O,A1030,pg_transaction_cleaned!$F:$F,"REFUND")</f>
        <v>0</v>
      </c>
      <c r="M1030" s="39">
        <f>SUMIFS(pg_transaction_cleaned!$H:$H,pg_transaction_cleaned!$O:$O,A1030,pg_transaction_cleaned!$F:$F,"REFUND")</f>
        <v>0</v>
      </c>
      <c r="N1030" s="23" t="str">
        <f t="shared" si="66"/>
        <v>OK</v>
      </c>
      <c r="O1030" s="24">
        <f t="shared" si="67"/>
        <v>0</v>
      </c>
    </row>
    <row r="1031" spans="1:15" ht="15" customHeight="1" x14ac:dyDescent="0.3">
      <c r="A1031" s="23" t="s">
        <v>2522</v>
      </c>
      <c r="B1031" s="38">
        <v>46287</v>
      </c>
      <c r="C1031" s="23" t="s">
        <v>2523</v>
      </c>
      <c r="D1031" s="23" t="s">
        <v>89</v>
      </c>
      <c r="E1031" s="23" t="s">
        <v>75</v>
      </c>
      <c r="F1031" s="23" t="s">
        <v>265</v>
      </c>
      <c r="G1031" s="23" t="s">
        <v>250</v>
      </c>
      <c r="H1031" s="39">
        <f t="shared" si="64"/>
        <v>999</v>
      </c>
      <c r="I1031" s="23" t="str">
        <f t="shared" si="65"/>
        <v>Jaipur</v>
      </c>
      <c r="J1031" s="23">
        <f>COUNTIFS(pg_transaction_cleaned!$O:$O,A1031,pg_transaction_cleaned!$F:$F,"CAPTURE")</f>
        <v>1</v>
      </c>
      <c r="K1031" s="39">
        <f>SUMIFS(pg_transaction_cleaned!$H:$H,pg_transaction_cleaned!$O:$O,A1031,pg_transaction_cleaned!$F:$F,"CAPTURE")</f>
        <v>999</v>
      </c>
      <c r="L1031" s="23">
        <f>COUNTIFS(pg_transaction_cleaned!$O:$O,A1031,pg_transaction_cleaned!$F:$F,"REFUND")</f>
        <v>0</v>
      </c>
      <c r="M1031" s="39">
        <f>SUMIFS(pg_transaction_cleaned!$H:$H,pg_transaction_cleaned!$O:$O,A1031,pg_transaction_cleaned!$F:$F,"REFUND")</f>
        <v>0</v>
      </c>
      <c r="N1031" s="23" t="str">
        <f t="shared" si="66"/>
        <v>OK</v>
      </c>
      <c r="O1031" s="24">
        <f t="shared" si="67"/>
        <v>0</v>
      </c>
    </row>
    <row r="1032" spans="1:15" ht="15" customHeight="1" x14ac:dyDescent="0.3">
      <c r="A1032" s="23" t="s">
        <v>2524</v>
      </c>
      <c r="B1032" s="38">
        <v>46275</v>
      </c>
      <c r="C1032" s="23" t="s">
        <v>2525</v>
      </c>
      <c r="D1032" s="23" t="s">
        <v>90</v>
      </c>
      <c r="E1032" s="23" t="s">
        <v>75</v>
      </c>
      <c r="F1032" s="23" t="s">
        <v>249</v>
      </c>
      <c r="G1032" s="23" t="s">
        <v>250</v>
      </c>
      <c r="H1032" s="39">
        <f t="shared" si="64"/>
        <v>299</v>
      </c>
      <c r="I1032" s="23" t="str">
        <f t="shared" si="65"/>
        <v>Ahmedabad</v>
      </c>
      <c r="J1032" s="23">
        <f>COUNTIFS(pg_transaction_cleaned!$O:$O,A1032,pg_transaction_cleaned!$F:$F,"CAPTURE")</f>
        <v>1</v>
      </c>
      <c r="K1032" s="39">
        <f>SUMIFS(pg_transaction_cleaned!$H:$H,pg_transaction_cleaned!$O:$O,A1032,pg_transaction_cleaned!$F:$F,"CAPTURE")</f>
        <v>299</v>
      </c>
      <c r="L1032" s="23">
        <f>COUNTIFS(pg_transaction_cleaned!$O:$O,A1032,pg_transaction_cleaned!$F:$F,"REFUND")</f>
        <v>0</v>
      </c>
      <c r="M1032" s="39">
        <f>SUMIFS(pg_transaction_cleaned!$H:$H,pg_transaction_cleaned!$O:$O,A1032,pg_transaction_cleaned!$F:$F,"REFUND")</f>
        <v>0</v>
      </c>
      <c r="N1032" s="23" t="str">
        <f t="shared" si="66"/>
        <v>OK</v>
      </c>
      <c r="O1032" s="24">
        <f t="shared" si="67"/>
        <v>0</v>
      </c>
    </row>
    <row r="1033" spans="1:15" ht="15" customHeight="1" x14ac:dyDescent="0.3">
      <c r="A1033" s="23" t="s">
        <v>2526</v>
      </c>
      <c r="B1033" s="38">
        <v>46295</v>
      </c>
      <c r="C1033" s="23" t="s">
        <v>2527</v>
      </c>
      <c r="D1033" s="23" t="s">
        <v>94</v>
      </c>
      <c r="E1033" s="23" t="s">
        <v>79</v>
      </c>
      <c r="F1033" s="23" t="s">
        <v>262</v>
      </c>
      <c r="G1033" s="23" t="s">
        <v>250</v>
      </c>
      <c r="H1033" s="39">
        <f t="shared" si="64"/>
        <v>499</v>
      </c>
      <c r="I1033" s="23" t="str">
        <f t="shared" si="65"/>
        <v>Chennai</v>
      </c>
      <c r="J1033" s="23">
        <f>COUNTIFS(pg_transaction_cleaned!$O:$O,A1033,pg_transaction_cleaned!$F:$F,"CAPTURE")</f>
        <v>1</v>
      </c>
      <c r="K1033" s="39">
        <f>SUMIFS(pg_transaction_cleaned!$H:$H,pg_transaction_cleaned!$O:$O,A1033,pg_transaction_cleaned!$F:$F,"CAPTURE")</f>
        <v>499</v>
      </c>
      <c r="L1033" s="23">
        <f>COUNTIFS(pg_transaction_cleaned!$O:$O,A1033,pg_transaction_cleaned!$F:$F,"REFUND")</f>
        <v>0</v>
      </c>
      <c r="M1033" s="39">
        <f>SUMIFS(pg_transaction_cleaned!$H:$H,pg_transaction_cleaned!$O:$O,A1033,pg_transaction_cleaned!$F:$F,"REFUND")</f>
        <v>0</v>
      </c>
      <c r="N1033" s="23" t="str">
        <f t="shared" si="66"/>
        <v>OK</v>
      </c>
      <c r="O1033" s="24">
        <f t="shared" si="67"/>
        <v>0</v>
      </c>
    </row>
    <row r="1034" spans="1:15" ht="15" customHeight="1" x14ac:dyDescent="0.3">
      <c r="A1034" s="23" t="s">
        <v>2528</v>
      </c>
      <c r="B1034" s="38">
        <v>46286</v>
      </c>
      <c r="C1034" s="23" t="s">
        <v>2529</v>
      </c>
      <c r="D1034" s="23" t="s">
        <v>86</v>
      </c>
      <c r="E1034" s="23" t="s">
        <v>79</v>
      </c>
      <c r="F1034" s="23" t="s">
        <v>534</v>
      </c>
      <c r="G1034" s="23" t="s">
        <v>301</v>
      </c>
      <c r="H1034" s="39">
        <f t="shared" si="64"/>
        <v>3097</v>
      </c>
      <c r="I1034" s="23" t="str">
        <f t="shared" si="65"/>
        <v>Delhi</v>
      </c>
      <c r="J1034" s="23">
        <f>COUNTIFS(pg_transaction_cleaned!$O:$O,A1034,pg_transaction_cleaned!$F:$F,"CAPTURE")</f>
        <v>1</v>
      </c>
      <c r="K1034" s="39">
        <f>SUMIFS(pg_transaction_cleaned!$H:$H,pg_transaction_cleaned!$O:$O,A1034,pg_transaction_cleaned!$F:$F,"CAPTURE")</f>
        <v>3097</v>
      </c>
      <c r="L1034" s="23">
        <f>COUNTIFS(pg_transaction_cleaned!$O:$O,A1034,pg_transaction_cleaned!$F:$F,"REFUND")</f>
        <v>1</v>
      </c>
      <c r="M1034" s="39">
        <f>SUMIFS(pg_transaction_cleaned!$H:$H,pg_transaction_cleaned!$O:$O,A1034,pg_transaction_cleaned!$F:$F,"REFUND")</f>
        <v>3097</v>
      </c>
      <c r="N1034" s="23" t="str">
        <f t="shared" si="66"/>
        <v>OK</v>
      </c>
      <c r="O1034" s="24">
        <f t="shared" si="67"/>
        <v>0</v>
      </c>
    </row>
    <row r="1035" spans="1:15" ht="15" customHeight="1" x14ac:dyDescent="0.3">
      <c r="A1035" s="23" t="s">
        <v>2530</v>
      </c>
      <c r="B1035" s="38">
        <v>46291</v>
      </c>
      <c r="C1035" s="23" t="s">
        <v>2531</v>
      </c>
      <c r="D1035" s="23" t="s">
        <v>87</v>
      </c>
      <c r="E1035" s="23" t="s">
        <v>75</v>
      </c>
      <c r="F1035" s="23" t="s">
        <v>520</v>
      </c>
      <c r="G1035" s="23" t="s">
        <v>250</v>
      </c>
      <c r="H1035" s="39">
        <f t="shared" si="64"/>
        <v>4998</v>
      </c>
      <c r="I1035" s="23" t="str">
        <f t="shared" si="65"/>
        <v>Mumbai</v>
      </c>
      <c r="J1035" s="23">
        <f>COUNTIFS(pg_transaction_cleaned!$O:$O,A1035,pg_transaction_cleaned!$F:$F,"CAPTURE")</f>
        <v>1</v>
      </c>
      <c r="K1035" s="39">
        <f>SUMIFS(pg_transaction_cleaned!$H:$H,pg_transaction_cleaned!$O:$O,A1035,pg_transaction_cleaned!$F:$F,"CAPTURE")</f>
        <v>4998</v>
      </c>
      <c r="L1035" s="23">
        <f>COUNTIFS(pg_transaction_cleaned!$O:$O,A1035,pg_transaction_cleaned!$F:$F,"REFUND")</f>
        <v>0</v>
      </c>
      <c r="M1035" s="39">
        <f>SUMIFS(pg_transaction_cleaned!$H:$H,pg_transaction_cleaned!$O:$O,A1035,pg_transaction_cleaned!$F:$F,"REFUND")</f>
        <v>0</v>
      </c>
      <c r="N1035" s="23" t="str">
        <f t="shared" si="66"/>
        <v>OK</v>
      </c>
      <c r="O1035" s="24">
        <f t="shared" si="67"/>
        <v>0</v>
      </c>
    </row>
    <row r="1036" spans="1:15" ht="15" customHeight="1" x14ac:dyDescent="0.3">
      <c r="A1036" s="23" t="s">
        <v>2532</v>
      </c>
      <c r="B1036" s="38">
        <v>46270</v>
      </c>
      <c r="C1036" s="23" t="s">
        <v>2533</v>
      </c>
      <c r="D1036" s="23" t="s">
        <v>90</v>
      </c>
      <c r="E1036" s="23" t="s">
        <v>79</v>
      </c>
      <c r="F1036" s="23" t="s">
        <v>2534</v>
      </c>
      <c r="G1036" s="23" t="s">
        <v>250</v>
      </c>
      <c r="H1036" s="39">
        <f t="shared" si="64"/>
        <v>2947</v>
      </c>
      <c r="I1036" s="23" t="str">
        <f t="shared" si="65"/>
        <v>Ahmedabad</v>
      </c>
      <c r="J1036" s="23">
        <f>COUNTIFS(pg_transaction_cleaned!$O:$O,A1036,pg_transaction_cleaned!$F:$F,"CAPTURE")</f>
        <v>1</v>
      </c>
      <c r="K1036" s="39">
        <f>SUMIFS(pg_transaction_cleaned!$H:$H,pg_transaction_cleaned!$O:$O,A1036,pg_transaction_cleaned!$F:$F,"CAPTURE")</f>
        <v>2947</v>
      </c>
      <c r="L1036" s="23">
        <f>COUNTIFS(pg_transaction_cleaned!$O:$O,A1036,pg_transaction_cleaned!$F:$F,"REFUND")</f>
        <v>0</v>
      </c>
      <c r="M1036" s="39">
        <f>SUMIFS(pg_transaction_cleaned!$H:$H,pg_transaction_cleaned!$O:$O,A1036,pg_transaction_cleaned!$F:$F,"REFUND")</f>
        <v>0</v>
      </c>
      <c r="N1036" s="23" t="str">
        <f t="shared" si="66"/>
        <v>OK</v>
      </c>
      <c r="O1036" s="24">
        <f t="shared" si="67"/>
        <v>0</v>
      </c>
    </row>
    <row r="1037" spans="1:15" ht="15" customHeight="1" x14ac:dyDescent="0.3">
      <c r="A1037" s="23" t="s">
        <v>2535</v>
      </c>
      <c r="B1037" s="38">
        <v>46277</v>
      </c>
      <c r="C1037" s="23" t="s">
        <v>2536</v>
      </c>
      <c r="D1037" s="23" t="s">
        <v>89</v>
      </c>
      <c r="E1037" s="23" t="s">
        <v>79</v>
      </c>
      <c r="F1037" s="23" t="s">
        <v>265</v>
      </c>
      <c r="G1037" s="23" t="s">
        <v>250</v>
      </c>
      <c r="H1037" s="39">
        <f t="shared" si="64"/>
        <v>999</v>
      </c>
      <c r="I1037" s="23" t="str">
        <f t="shared" si="65"/>
        <v>Jaipur</v>
      </c>
      <c r="J1037" s="23">
        <f>COUNTIFS(pg_transaction_cleaned!$O:$O,A1037,pg_transaction_cleaned!$F:$F,"CAPTURE")</f>
        <v>1</v>
      </c>
      <c r="K1037" s="39">
        <f>SUMIFS(pg_transaction_cleaned!$H:$H,pg_transaction_cleaned!$O:$O,A1037,pg_transaction_cleaned!$F:$F,"CAPTURE")</f>
        <v>999</v>
      </c>
      <c r="L1037" s="23">
        <f>COUNTIFS(pg_transaction_cleaned!$O:$O,A1037,pg_transaction_cleaned!$F:$F,"REFUND")</f>
        <v>0</v>
      </c>
      <c r="M1037" s="39">
        <f>SUMIFS(pg_transaction_cleaned!$H:$H,pg_transaction_cleaned!$O:$O,A1037,pg_transaction_cleaned!$F:$F,"REFUND")</f>
        <v>0</v>
      </c>
      <c r="N1037" s="23" t="str">
        <f t="shared" si="66"/>
        <v>OK</v>
      </c>
      <c r="O1037" s="24">
        <f t="shared" si="67"/>
        <v>0</v>
      </c>
    </row>
    <row r="1038" spans="1:15" ht="15" customHeight="1" x14ac:dyDescent="0.3">
      <c r="A1038" s="23" t="s">
        <v>2537</v>
      </c>
      <c r="B1038" s="38">
        <v>46273</v>
      </c>
      <c r="C1038" s="23" t="s">
        <v>2538</v>
      </c>
      <c r="D1038" s="23" t="s">
        <v>91</v>
      </c>
      <c r="E1038" s="23" t="s">
        <v>75</v>
      </c>
      <c r="F1038" s="23" t="s">
        <v>329</v>
      </c>
      <c r="G1038" s="23" t="s">
        <v>250</v>
      </c>
      <c r="H1038" s="39">
        <f t="shared" si="64"/>
        <v>599</v>
      </c>
      <c r="I1038" s="23" t="str">
        <f t="shared" si="65"/>
        <v>Pune</v>
      </c>
      <c r="J1038" s="23">
        <f>COUNTIFS(pg_transaction_cleaned!$O:$O,A1038,pg_transaction_cleaned!$F:$F,"CAPTURE")</f>
        <v>1</v>
      </c>
      <c r="K1038" s="39">
        <f>SUMIFS(pg_transaction_cleaned!$H:$H,pg_transaction_cleaned!$O:$O,A1038,pg_transaction_cleaned!$F:$F,"CAPTURE")</f>
        <v>599</v>
      </c>
      <c r="L1038" s="23">
        <f>COUNTIFS(pg_transaction_cleaned!$O:$O,A1038,pg_transaction_cleaned!$F:$F,"REFUND")</f>
        <v>0</v>
      </c>
      <c r="M1038" s="39">
        <f>SUMIFS(pg_transaction_cleaned!$H:$H,pg_transaction_cleaned!$O:$O,A1038,pg_transaction_cleaned!$F:$F,"REFUND")</f>
        <v>0</v>
      </c>
      <c r="N1038" s="23" t="str">
        <f t="shared" si="66"/>
        <v>OK</v>
      </c>
      <c r="O1038" s="24">
        <f t="shared" si="67"/>
        <v>0</v>
      </c>
    </row>
    <row r="1039" spans="1:15" ht="15" customHeight="1" x14ac:dyDescent="0.3">
      <c r="A1039" s="23" t="s">
        <v>2539</v>
      </c>
      <c r="B1039" s="38">
        <v>46282</v>
      </c>
      <c r="C1039" s="23" t="s">
        <v>2540</v>
      </c>
      <c r="D1039" s="23" t="s">
        <v>94</v>
      </c>
      <c r="E1039" s="23" t="s">
        <v>79</v>
      </c>
      <c r="F1039" s="23" t="s">
        <v>256</v>
      </c>
      <c r="G1039" s="23" t="s">
        <v>250</v>
      </c>
      <c r="H1039" s="39">
        <f t="shared" si="64"/>
        <v>2098</v>
      </c>
      <c r="I1039" s="23" t="str">
        <f t="shared" si="65"/>
        <v>Chennai</v>
      </c>
      <c r="J1039" s="23">
        <f>COUNTIFS(pg_transaction_cleaned!$O:$O,A1039,pg_transaction_cleaned!$F:$F,"CAPTURE")</f>
        <v>1</v>
      </c>
      <c r="K1039" s="39">
        <f>SUMIFS(pg_transaction_cleaned!$H:$H,pg_transaction_cleaned!$O:$O,A1039,pg_transaction_cleaned!$F:$F,"CAPTURE")</f>
        <v>2098</v>
      </c>
      <c r="L1039" s="23">
        <f>COUNTIFS(pg_transaction_cleaned!$O:$O,A1039,pg_transaction_cleaned!$F:$F,"REFUND")</f>
        <v>0</v>
      </c>
      <c r="M1039" s="39">
        <f>SUMIFS(pg_transaction_cleaned!$H:$H,pg_transaction_cleaned!$O:$O,A1039,pg_transaction_cleaned!$F:$F,"REFUND")</f>
        <v>0</v>
      </c>
      <c r="N1039" s="23" t="str">
        <f t="shared" si="66"/>
        <v>OK</v>
      </c>
      <c r="O1039" s="24">
        <f t="shared" si="67"/>
        <v>0</v>
      </c>
    </row>
    <row r="1040" spans="1:15" ht="15" customHeight="1" x14ac:dyDescent="0.3">
      <c r="A1040" s="23" t="s">
        <v>2541</v>
      </c>
      <c r="B1040" s="38">
        <v>46278</v>
      </c>
      <c r="C1040" s="23" t="s">
        <v>2542</v>
      </c>
      <c r="D1040" s="23" t="s">
        <v>87</v>
      </c>
      <c r="E1040" s="23" t="s">
        <v>75</v>
      </c>
      <c r="F1040" s="23" t="s">
        <v>291</v>
      </c>
      <c r="G1040" s="23" t="s">
        <v>250</v>
      </c>
      <c r="H1040" s="39">
        <f t="shared" si="64"/>
        <v>3499</v>
      </c>
      <c r="I1040" s="23" t="str">
        <f t="shared" si="65"/>
        <v>Mumbai</v>
      </c>
      <c r="J1040" s="23">
        <f>COUNTIFS(pg_transaction_cleaned!$O:$O,A1040,pg_transaction_cleaned!$F:$F,"CAPTURE")</f>
        <v>1</v>
      </c>
      <c r="K1040" s="39">
        <f>SUMIFS(pg_transaction_cleaned!$H:$H,pg_transaction_cleaned!$O:$O,A1040,pg_transaction_cleaned!$F:$F,"CAPTURE")</f>
        <v>3499</v>
      </c>
      <c r="L1040" s="23">
        <f>COUNTIFS(pg_transaction_cleaned!$O:$O,A1040,pg_transaction_cleaned!$F:$F,"REFUND")</f>
        <v>0</v>
      </c>
      <c r="M1040" s="39">
        <f>SUMIFS(pg_transaction_cleaned!$H:$H,pg_transaction_cleaned!$O:$O,A1040,pg_transaction_cleaned!$F:$F,"REFUND")</f>
        <v>0</v>
      </c>
      <c r="N1040" s="23" t="str">
        <f t="shared" si="66"/>
        <v>OK</v>
      </c>
      <c r="O1040" s="24">
        <f t="shared" si="67"/>
        <v>0</v>
      </c>
    </row>
    <row r="1041" spans="1:15" ht="15" customHeight="1" x14ac:dyDescent="0.3">
      <c r="A1041" s="23" t="s">
        <v>2543</v>
      </c>
      <c r="B1041" s="38">
        <v>46275</v>
      </c>
      <c r="C1041" s="23" t="s">
        <v>2544</v>
      </c>
      <c r="D1041" s="23" t="s">
        <v>91</v>
      </c>
      <c r="E1041" s="23" t="s">
        <v>75</v>
      </c>
      <c r="F1041" s="23" t="s">
        <v>265</v>
      </c>
      <c r="G1041" s="23" t="s">
        <v>250</v>
      </c>
      <c r="H1041" s="39">
        <f t="shared" si="64"/>
        <v>999</v>
      </c>
      <c r="I1041" s="23" t="str">
        <f t="shared" si="65"/>
        <v>Pune</v>
      </c>
      <c r="J1041" s="23">
        <f>COUNTIFS(pg_transaction_cleaned!$O:$O,A1041,pg_transaction_cleaned!$F:$F,"CAPTURE")</f>
        <v>1</v>
      </c>
      <c r="K1041" s="39">
        <f>SUMIFS(pg_transaction_cleaned!$H:$H,pg_transaction_cleaned!$O:$O,A1041,pg_transaction_cleaned!$F:$F,"CAPTURE")</f>
        <v>999</v>
      </c>
      <c r="L1041" s="23">
        <f>COUNTIFS(pg_transaction_cleaned!$O:$O,A1041,pg_transaction_cleaned!$F:$F,"REFUND")</f>
        <v>0</v>
      </c>
      <c r="M1041" s="39">
        <f>SUMIFS(pg_transaction_cleaned!$H:$H,pg_transaction_cleaned!$O:$O,A1041,pg_transaction_cleaned!$F:$F,"REFUND")</f>
        <v>0</v>
      </c>
      <c r="N1041" s="23" t="str">
        <f t="shared" si="66"/>
        <v>OK</v>
      </c>
      <c r="O1041" s="24">
        <f t="shared" si="67"/>
        <v>0</v>
      </c>
    </row>
    <row r="1042" spans="1:15" ht="15" customHeight="1" x14ac:dyDescent="0.3">
      <c r="A1042" s="23" t="s">
        <v>2545</v>
      </c>
      <c r="B1042" s="38">
        <v>46272</v>
      </c>
      <c r="C1042" s="23" t="s">
        <v>2546</v>
      </c>
      <c r="D1042" s="23" t="s">
        <v>93</v>
      </c>
      <c r="E1042" s="23" t="s">
        <v>75</v>
      </c>
      <c r="F1042" s="23" t="s">
        <v>1448</v>
      </c>
      <c r="G1042" s="23" t="s">
        <v>250</v>
      </c>
      <c r="H1042" s="39">
        <f t="shared" si="64"/>
        <v>6297</v>
      </c>
      <c r="I1042" s="23" t="str">
        <f t="shared" si="65"/>
        <v>Kolkata</v>
      </c>
      <c r="J1042" s="23">
        <f>COUNTIFS(pg_transaction_cleaned!$O:$O,A1042,pg_transaction_cleaned!$F:$F,"CAPTURE")</f>
        <v>1</v>
      </c>
      <c r="K1042" s="39">
        <f>SUMIFS(pg_transaction_cleaned!$H:$H,pg_transaction_cleaned!$O:$O,A1042,pg_transaction_cleaned!$F:$F,"CAPTURE")</f>
        <v>6297</v>
      </c>
      <c r="L1042" s="23">
        <f>COUNTIFS(pg_transaction_cleaned!$O:$O,A1042,pg_transaction_cleaned!$F:$F,"REFUND")</f>
        <v>0</v>
      </c>
      <c r="M1042" s="39">
        <f>SUMIFS(pg_transaction_cleaned!$H:$H,pg_transaction_cleaned!$O:$O,A1042,pg_transaction_cleaned!$F:$F,"REFUND")</f>
        <v>0</v>
      </c>
      <c r="N1042" s="23" t="str">
        <f t="shared" si="66"/>
        <v>OK</v>
      </c>
      <c r="O1042" s="24">
        <f t="shared" si="67"/>
        <v>0</v>
      </c>
    </row>
    <row r="1043" spans="1:15" ht="15" customHeight="1" x14ac:dyDescent="0.3">
      <c r="A1043" s="23" t="s">
        <v>2547</v>
      </c>
      <c r="B1043" s="38">
        <v>46270</v>
      </c>
      <c r="C1043" s="23" t="s">
        <v>2548</v>
      </c>
      <c r="D1043" s="23" t="s">
        <v>94</v>
      </c>
      <c r="E1043" s="23" t="s">
        <v>75</v>
      </c>
      <c r="F1043" s="23" t="s">
        <v>378</v>
      </c>
      <c r="G1043" s="23" t="s">
        <v>250</v>
      </c>
      <c r="H1043" s="39">
        <f t="shared" si="64"/>
        <v>2848</v>
      </c>
      <c r="I1043" s="23" t="str">
        <f t="shared" si="65"/>
        <v>Chennai</v>
      </c>
      <c r="J1043" s="23">
        <f>COUNTIFS(pg_transaction_cleaned!$O:$O,A1043,pg_transaction_cleaned!$F:$F,"CAPTURE")</f>
        <v>1</v>
      </c>
      <c r="K1043" s="39">
        <f>SUMIFS(pg_transaction_cleaned!$H:$H,pg_transaction_cleaned!$O:$O,A1043,pg_transaction_cleaned!$F:$F,"CAPTURE")</f>
        <v>2848</v>
      </c>
      <c r="L1043" s="23">
        <f>COUNTIFS(pg_transaction_cleaned!$O:$O,A1043,pg_transaction_cleaned!$F:$F,"REFUND")</f>
        <v>0</v>
      </c>
      <c r="M1043" s="39">
        <f>SUMIFS(pg_transaction_cleaned!$H:$H,pg_transaction_cleaned!$O:$O,A1043,pg_transaction_cleaned!$F:$F,"REFUND")</f>
        <v>0</v>
      </c>
      <c r="N1043" s="23" t="str">
        <f t="shared" si="66"/>
        <v>OK</v>
      </c>
      <c r="O1043" s="24">
        <f t="shared" si="67"/>
        <v>0</v>
      </c>
    </row>
    <row r="1044" spans="1:15" ht="15" customHeight="1" x14ac:dyDescent="0.3">
      <c r="A1044" s="23" t="s">
        <v>2549</v>
      </c>
      <c r="B1044" s="38">
        <v>46268</v>
      </c>
      <c r="C1044" s="23" t="s">
        <v>2550</v>
      </c>
      <c r="D1044" s="23" t="s">
        <v>93</v>
      </c>
      <c r="E1044" s="23" t="s">
        <v>75</v>
      </c>
      <c r="F1044" s="23" t="s">
        <v>340</v>
      </c>
      <c r="G1044" s="23" t="s">
        <v>250</v>
      </c>
      <c r="H1044" s="39">
        <f t="shared" si="64"/>
        <v>6298</v>
      </c>
      <c r="I1044" s="23" t="str">
        <f t="shared" si="65"/>
        <v>Kolkata</v>
      </c>
      <c r="J1044" s="23">
        <f>COUNTIFS(pg_transaction_cleaned!$O:$O,A1044,pg_transaction_cleaned!$F:$F,"CAPTURE")</f>
        <v>1</v>
      </c>
      <c r="K1044" s="39">
        <f>SUMIFS(pg_transaction_cleaned!$H:$H,pg_transaction_cleaned!$O:$O,A1044,pg_transaction_cleaned!$F:$F,"CAPTURE")</f>
        <v>6298</v>
      </c>
      <c r="L1044" s="23">
        <f>COUNTIFS(pg_transaction_cleaned!$O:$O,A1044,pg_transaction_cleaned!$F:$F,"REFUND")</f>
        <v>0</v>
      </c>
      <c r="M1044" s="39">
        <f>SUMIFS(pg_transaction_cleaned!$H:$H,pg_transaction_cleaned!$O:$O,A1044,pg_transaction_cleaned!$F:$F,"REFUND")</f>
        <v>0</v>
      </c>
      <c r="N1044" s="23" t="str">
        <f t="shared" si="66"/>
        <v>OK</v>
      </c>
      <c r="O1044" s="24">
        <f t="shared" si="67"/>
        <v>0</v>
      </c>
    </row>
    <row r="1045" spans="1:15" ht="15" customHeight="1" x14ac:dyDescent="0.3">
      <c r="A1045" s="23" t="s">
        <v>2551</v>
      </c>
      <c r="B1045" s="38">
        <v>46271</v>
      </c>
      <c r="C1045" s="23" t="s">
        <v>2552</v>
      </c>
      <c r="D1045" s="23" t="s">
        <v>86</v>
      </c>
      <c r="E1045" s="23" t="s">
        <v>77</v>
      </c>
      <c r="F1045" s="23" t="s">
        <v>520</v>
      </c>
      <c r="G1045" s="23" t="s">
        <v>250</v>
      </c>
      <c r="H1045" s="39">
        <f t="shared" si="64"/>
        <v>4998</v>
      </c>
      <c r="I1045" s="23" t="str">
        <f t="shared" si="65"/>
        <v>Delhi</v>
      </c>
      <c r="J1045" s="23">
        <f>COUNTIFS(pg_transaction_cleaned!$O:$O,A1045,pg_transaction_cleaned!$F:$F,"CAPTURE")</f>
        <v>1</v>
      </c>
      <c r="K1045" s="39">
        <f>SUMIFS(pg_transaction_cleaned!$H:$H,pg_transaction_cleaned!$O:$O,A1045,pg_transaction_cleaned!$F:$F,"CAPTURE")</f>
        <v>4998</v>
      </c>
      <c r="L1045" s="23">
        <f>COUNTIFS(pg_transaction_cleaned!$O:$O,A1045,pg_transaction_cleaned!$F:$F,"REFUND")</f>
        <v>0</v>
      </c>
      <c r="M1045" s="39">
        <f>SUMIFS(pg_transaction_cleaned!$H:$H,pg_transaction_cleaned!$O:$O,A1045,pg_transaction_cleaned!$F:$F,"REFUND")</f>
        <v>0</v>
      </c>
      <c r="N1045" s="23" t="str">
        <f t="shared" si="66"/>
        <v>OK</v>
      </c>
      <c r="O1045" s="24">
        <f t="shared" si="67"/>
        <v>0</v>
      </c>
    </row>
    <row r="1046" spans="1:15" ht="15" customHeight="1" x14ac:dyDescent="0.3">
      <c r="A1046" s="23" t="s">
        <v>2553</v>
      </c>
      <c r="B1046" s="38">
        <v>46292</v>
      </c>
      <c r="C1046" s="23" t="s">
        <v>2554</v>
      </c>
      <c r="D1046" s="23" t="s">
        <v>88</v>
      </c>
      <c r="E1046" s="23" t="s">
        <v>81</v>
      </c>
      <c r="F1046" s="23" t="s">
        <v>300</v>
      </c>
      <c r="G1046" s="23" t="s">
        <v>250</v>
      </c>
      <c r="H1046" s="39">
        <f t="shared" si="64"/>
        <v>2598</v>
      </c>
      <c r="I1046" s="23" t="str">
        <f t="shared" si="65"/>
        <v>Lucknow</v>
      </c>
      <c r="J1046" s="23">
        <f>COUNTIFS(pg_transaction_cleaned!$O:$O,A1046,pg_transaction_cleaned!$F:$F,"CAPTURE")</f>
        <v>1</v>
      </c>
      <c r="K1046" s="39">
        <f>SUMIFS(pg_transaction_cleaned!$H:$H,pg_transaction_cleaned!$O:$O,A1046,pg_transaction_cleaned!$F:$F,"CAPTURE")</f>
        <v>2598</v>
      </c>
      <c r="L1046" s="23">
        <f>COUNTIFS(pg_transaction_cleaned!$O:$O,A1046,pg_transaction_cleaned!$F:$F,"REFUND")</f>
        <v>0</v>
      </c>
      <c r="M1046" s="39">
        <f>SUMIFS(pg_transaction_cleaned!$H:$H,pg_transaction_cleaned!$O:$O,A1046,pg_transaction_cleaned!$F:$F,"REFUND")</f>
        <v>0</v>
      </c>
      <c r="N1046" s="23" t="str">
        <f t="shared" si="66"/>
        <v>OK</v>
      </c>
      <c r="O1046" s="24">
        <f t="shared" si="67"/>
        <v>0</v>
      </c>
    </row>
    <row r="1047" spans="1:15" ht="15" customHeight="1" x14ac:dyDescent="0.3">
      <c r="A1047" s="23" t="s">
        <v>2555</v>
      </c>
      <c r="B1047" s="38">
        <v>46275</v>
      </c>
      <c r="C1047" s="23" t="s">
        <v>2556</v>
      </c>
      <c r="D1047" s="23" t="s">
        <v>86</v>
      </c>
      <c r="E1047" s="23" t="s">
        <v>75</v>
      </c>
      <c r="F1047" s="23" t="s">
        <v>717</v>
      </c>
      <c r="G1047" s="23" t="s">
        <v>250</v>
      </c>
      <c r="H1047" s="39">
        <f t="shared" si="64"/>
        <v>5298</v>
      </c>
      <c r="I1047" s="23" t="str">
        <f t="shared" si="65"/>
        <v>Delhi</v>
      </c>
      <c r="J1047" s="23">
        <f>COUNTIFS(pg_transaction_cleaned!$O:$O,A1047,pg_transaction_cleaned!$F:$F,"CAPTURE")</f>
        <v>1</v>
      </c>
      <c r="K1047" s="39">
        <f>SUMIFS(pg_transaction_cleaned!$H:$H,pg_transaction_cleaned!$O:$O,A1047,pg_transaction_cleaned!$F:$F,"CAPTURE")</f>
        <v>5298</v>
      </c>
      <c r="L1047" s="23">
        <f>COUNTIFS(pg_transaction_cleaned!$O:$O,A1047,pg_transaction_cleaned!$F:$F,"REFUND")</f>
        <v>0</v>
      </c>
      <c r="M1047" s="39">
        <f>SUMIFS(pg_transaction_cleaned!$H:$H,pg_transaction_cleaned!$O:$O,A1047,pg_transaction_cleaned!$F:$F,"REFUND")</f>
        <v>0</v>
      </c>
      <c r="N1047" s="23" t="str">
        <f t="shared" si="66"/>
        <v>OK</v>
      </c>
      <c r="O1047" s="24">
        <f t="shared" si="67"/>
        <v>0</v>
      </c>
    </row>
    <row r="1048" spans="1:15" ht="15" customHeight="1" x14ac:dyDescent="0.3">
      <c r="A1048" s="23" t="s">
        <v>2557</v>
      </c>
      <c r="B1048" s="38">
        <v>46274</v>
      </c>
      <c r="C1048" s="23" t="s">
        <v>2558</v>
      </c>
      <c r="D1048" s="23" t="s">
        <v>92</v>
      </c>
      <c r="E1048" s="23" t="s">
        <v>75</v>
      </c>
      <c r="F1048" s="23" t="s">
        <v>396</v>
      </c>
      <c r="G1048" s="23" t="s">
        <v>250</v>
      </c>
      <c r="H1048" s="39">
        <f t="shared" si="64"/>
        <v>2999</v>
      </c>
      <c r="I1048" s="23" t="str">
        <f t="shared" si="65"/>
        <v>Hyderabad</v>
      </c>
      <c r="J1048" s="23">
        <f>COUNTIFS(pg_transaction_cleaned!$O:$O,A1048,pg_transaction_cleaned!$F:$F,"CAPTURE")</f>
        <v>1</v>
      </c>
      <c r="K1048" s="39">
        <f>SUMIFS(pg_transaction_cleaned!$H:$H,pg_transaction_cleaned!$O:$O,A1048,pg_transaction_cleaned!$F:$F,"CAPTURE")</f>
        <v>2999</v>
      </c>
      <c r="L1048" s="23">
        <f>COUNTIFS(pg_transaction_cleaned!$O:$O,A1048,pg_transaction_cleaned!$F:$F,"REFUND")</f>
        <v>0</v>
      </c>
      <c r="M1048" s="39">
        <f>SUMIFS(pg_transaction_cleaned!$H:$H,pg_transaction_cleaned!$O:$O,A1048,pg_transaction_cleaned!$F:$F,"REFUND")</f>
        <v>0</v>
      </c>
      <c r="N1048" s="23" t="str">
        <f t="shared" si="66"/>
        <v>OK</v>
      </c>
      <c r="O1048" s="24">
        <f t="shared" si="67"/>
        <v>0</v>
      </c>
    </row>
    <row r="1049" spans="1:15" ht="15" customHeight="1" x14ac:dyDescent="0.3">
      <c r="A1049" s="23" t="s">
        <v>2559</v>
      </c>
      <c r="B1049" s="38">
        <v>46279</v>
      </c>
      <c r="C1049" s="23" t="s">
        <v>2560</v>
      </c>
      <c r="D1049" s="23" t="s">
        <v>91</v>
      </c>
      <c r="E1049" s="23" t="s">
        <v>79</v>
      </c>
      <c r="F1049" s="23" t="s">
        <v>315</v>
      </c>
      <c r="G1049" s="23" t="s">
        <v>365</v>
      </c>
      <c r="H1049" s="39">
        <f t="shared" si="64"/>
        <v>1499</v>
      </c>
      <c r="I1049" s="23" t="str">
        <f t="shared" si="65"/>
        <v>Pune</v>
      </c>
      <c r="J1049" s="23">
        <f>COUNTIFS(pg_transaction_cleaned!$O:$O,A1049,pg_transaction_cleaned!$F:$F,"CAPTURE")</f>
        <v>0</v>
      </c>
      <c r="K1049" s="39">
        <f>SUMIFS(pg_transaction_cleaned!$H:$H,pg_transaction_cleaned!$O:$O,A1049,pg_transaction_cleaned!$F:$F,"CAPTURE")</f>
        <v>0</v>
      </c>
      <c r="L1049" s="23">
        <f>COUNTIFS(pg_transaction_cleaned!$O:$O,A1049,pg_transaction_cleaned!$F:$F,"REFUND")</f>
        <v>0</v>
      </c>
      <c r="M1049" s="39">
        <f>SUMIFS(pg_transaction_cleaned!$H:$H,pg_transaction_cleaned!$O:$O,A1049,pg_transaction_cleaned!$F:$F,"REFUND")</f>
        <v>0</v>
      </c>
      <c r="N1049" s="23" t="str">
        <f t="shared" si="66"/>
        <v>OK</v>
      </c>
      <c r="O1049" s="24">
        <f t="shared" si="67"/>
        <v>0</v>
      </c>
    </row>
    <row r="1050" spans="1:15" ht="15" customHeight="1" x14ac:dyDescent="0.3">
      <c r="A1050" s="23" t="s">
        <v>2561</v>
      </c>
      <c r="B1050" s="38">
        <v>46290</v>
      </c>
      <c r="C1050" s="23" t="s">
        <v>2562</v>
      </c>
      <c r="D1050" s="23" t="s">
        <v>88</v>
      </c>
      <c r="E1050" s="23" t="s">
        <v>75</v>
      </c>
      <c r="F1050" s="23" t="s">
        <v>315</v>
      </c>
      <c r="G1050" s="23" t="s">
        <v>301</v>
      </c>
      <c r="H1050" s="39">
        <f t="shared" si="64"/>
        <v>1499</v>
      </c>
      <c r="I1050" s="23" t="str">
        <f t="shared" si="65"/>
        <v>Lucknow</v>
      </c>
      <c r="J1050" s="23">
        <f>COUNTIFS(pg_transaction_cleaned!$O:$O,A1050,pg_transaction_cleaned!$F:$F,"CAPTURE")</f>
        <v>1</v>
      </c>
      <c r="K1050" s="39">
        <f>SUMIFS(pg_transaction_cleaned!$H:$H,pg_transaction_cleaned!$O:$O,A1050,pg_transaction_cleaned!$F:$F,"CAPTURE")</f>
        <v>1499</v>
      </c>
      <c r="L1050" s="23">
        <f>COUNTIFS(pg_transaction_cleaned!$O:$O,A1050,pg_transaction_cleaned!$F:$F,"REFUND")</f>
        <v>1</v>
      </c>
      <c r="M1050" s="39">
        <f>SUMIFS(pg_transaction_cleaned!$H:$H,pg_transaction_cleaned!$O:$O,A1050,pg_transaction_cleaned!$F:$F,"REFUND")</f>
        <v>1499</v>
      </c>
      <c r="N1050" s="23" t="str">
        <f t="shared" si="66"/>
        <v>OK</v>
      </c>
      <c r="O1050" s="24">
        <f t="shared" si="67"/>
        <v>0</v>
      </c>
    </row>
    <row r="1051" spans="1:15" ht="15" customHeight="1" x14ac:dyDescent="0.3">
      <c r="A1051" s="23" t="s">
        <v>2563</v>
      </c>
      <c r="B1051" s="38">
        <v>46281</v>
      </c>
      <c r="C1051" s="23" t="s">
        <v>2564</v>
      </c>
      <c r="D1051" s="23" t="s">
        <v>94</v>
      </c>
      <c r="E1051" s="23" t="s">
        <v>79</v>
      </c>
      <c r="F1051" s="23" t="s">
        <v>405</v>
      </c>
      <c r="G1051" s="23" t="s">
        <v>250</v>
      </c>
      <c r="H1051" s="39">
        <f t="shared" si="64"/>
        <v>9298</v>
      </c>
      <c r="I1051" s="23" t="str">
        <f t="shared" si="65"/>
        <v>Chennai</v>
      </c>
      <c r="J1051" s="23">
        <f>COUNTIFS(pg_transaction_cleaned!$O:$O,A1051,pg_transaction_cleaned!$F:$F,"CAPTURE")</f>
        <v>1</v>
      </c>
      <c r="K1051" s="39">
        <f>SUMIFS(pg_transaction_cleaned!$H:$H,pg_transaction_cleaned!$O:$O,A1051,pg_transaction_cleaned!$F:$F,"CAPTURE")</f>
        <v>9298</v>
      </c>
      <c r="L1051" s="23">
        <f>COUNTIFS(pg_transaction_cleaned!$O:$O,A1051,pg_transaction_cleaned!$F:$F,"REFUND")</f>
        <v>0</v>
      </c>
      <c r="M1051" s="39">
        <f>SUMIFS(pg_transaction_cleaned!$H:$H,pg_transaction_cleaned!$O:$O,A1051,pg_transaction_cleaned!$F:$F,"REFUND")</f>
        <v>0</v>
      </c>
      <c r="N1051" s="23" t="str">
        <f t="shared" si="66"/>
        <v>OK</v>
      </c>
      <c r="O1051" s="24">
        <f t="shared" si="67"/>
        <v>0</v>
      </c>
    </row>
    <row r="1052" spans="1:15" ht="15" customHeight="1" x14ac:dyDescent="0.3">
      <c r="A1052" s="23" t="s">
        <v>2565</v>
      </c>
      <c r="B1052" s="38">
        <v>46282</v>
      </c>
      <c r="C1052" s="23" t="s">
        <v>2566</v>
      </c>
      <c r="D1052" s="23" t="s">
        <v>94</v>
      </c>
      <c r="E1052" s="23" t="s">
        <v>79</v>
      </c>
      <c r="F1052" s="23" t="s">
        <v>463</v>
      </c>
      <c r="G1052" s="23" t="s">
        <v>250</v>
      </c>
      <c r="H1052" s="39">
        <f t="shared" si="64"/>
        <v>10797</v>
      </c>
      <c r="I1052" s="23" t="str">
        <f t="shared" si="65"/>
        <v>Chennai</v>
      </c>
      <c r="J1052" s="23">
        <f>COUNTIFS(pg_transaction_cleaned!$O:$O,A1052,pg_transaction_cleaned!$F:$F,"CAPTURE")</f>
        <v>1</v>
      </c>
      <c r="K1052" s="39">
        <f>SUMIFS(pg_transaction_cleaned!$H:$H,pg_transaction_cleaned!$O:$O,A1052,pg_transaction_cleaned!$F:$F,"CAPTURE")</f>
        <v>10797</v>
      </c>
      <c r="L1052" s="23">
        <f>COUNTIFS(pg_transaction_cleaned!$O:$O,A1052,pg_transaction_cleaned!$F:$F,"REFUND")</f>
        <v>0</v>
      </c>
      <c r="M1052" s="39">
        <f>SUMIFS(pg_transaction_cleaned!$H:$H,pg_transaction_cleaned!$O:$O,A1052,pg_transaction_cleaned!$F:$F,"REFUND")</f>
        <v>0</v>
      </c>
      <c r="N1052" s="23" t="str">
        <f t="shared" si="66"/>
        <v>OK</v>
      </c>
      <c r="O1052" s="24">
        <f t="shared" si="67"/>
        <v>0</v>
      </c>
    </row>
    <row r="1053" spans="1:15" ht="15" customHeight="1" x14ac:dyDescent="0.3">
      <c r="A1053" s="23" t="s">
        <v>2567</v>
      </c>
      <c r="B1053" s="38">
        <v>46280</v>
      </c>
      <c r="C1053" s="23" t="s">
        <v>2568</v>
      </c>
      <c r="D1053" s="23" t="s">
        <v>94</v>
      </c>
      <c r="E1053" s="23" t="s">
        <v>75</v>
      </c>
      <c r="F1053" s="23" t="s">
        <v>2569</v>
      </c>
      <c r="G1053" s="23" t="s">
        <v>250</v>
      </c>
      <c r="H1053" s="39">
        <f t="shared" si="64"/>
        <v>1997</v>
      </c>
      <c r="I1053" s="23" t="str">
        <f t="shared" si="65"/>
        <v>Chennai</v>
      </c>
      <c r="J1053" s="23">
        <f>COUNTIFS(pg_transaction_cleaned!$O:$O,A1053,pg_transaction_cleaned!$F:$F,"CAPTURE")</f>
        <v>1</v>
      </c>
      <c r="K1053" s="39">
        <f>SUMIFS(pg_transaction_cleaned!$H:$H,pg_transaction_cleaned!$O:$O,A1053,pg_transaction_cleaned!$F:$F,"CAPTURE")</f>
        <v>1997</v>
      </c>
      <c r="L1053" s="23">
        <f>COUNTIFS(pg_transaction_cleaned!$O:$O,A1053,pg_transaction_cleaned!$F:$F,"REFUND")</f>
        <v>0</v>
      </c>
      <c r="M1053" s="39">
        <f>SUMIFS(pg_transaction_cleaned!$H:$H,pg_transaction_cleaned!$O:$O,A1053,pg_transaction_cleaned!$F:$F,"REFUND")</f>
        <v>0</v>
      </c>
      <c r="N1053" s="23" t="str">
        <f t="shared" si="66"/>
        <v>OK</v>
      </c>
      <c r="O1053" s="24">
        <f t="shared" si="67"/>
        <v>0</v>
      </c>
    </row>
    <row r="1054" spans="1:15" ht="15" customHeight="1" x14ac:dyDescent="0.3">
      <c r="A1054" s="23" t="s">
        <v>2570</v>
      </c>
      <c r="B1054" s="38">
        <v>46267</v>
      </c>
      <c r="C1054" s="23" t="s">
        <v>2571</v>
      </c>
      <c r="D1054" s="23" t="s">
        <v>95</v>
      </c>
      <c r="E1054" s="23" t="s">
        <v>77</v>
      </c>
      <c r="F1054" s="23" t="s">
        <v>475</v>
      </c>
      <c r="G1054" s="23" t="s">
        <v>250</v>
      </c>
      <c r="H1054" s="39">
        <f t="shared" si="64"/>
        <v>799</v>
      </c>
      <c r="I1054" s="23" t="str">
        <f t="shared" si="65"/>
        <v>Bengaluru</v>
      </c>
      <c r="J1054" s="23">
        <f>COUNTIFS(pg_transaction_cleaned!$O:$O,A1054,pg_transaction_cleaned!$F:$F,"CAPTURE")</f>
        <v>1</v>
      </c>
      <c r="K1054" s="39">
        <f>SUMIFS(pg_transaction_cleaned!$H:$H,pg_transaction_cleaned!$O:$O,A1054,pg_transaction_cleaned!$F:$F,"CAPTURE")</f>
        <v>799</v>
      </c>
      <c r="L1054" s="23">
        <f>COUNTIFS(pg_transaction_cleaned!$O:$O,A1054,pg_transaction_cleaned!$F:$F,"REFUND")</f>
        <v>0</v>
      </c>
      <c r="M1054" s="39">
        <f>SUMIFS(pg_transaction_cleaned!$H:$H,pg_transaction_cleaned!$O:$O,A1054,pg_transaction_cleaned!$F:$F,"REFUND")</f>
        <v>0</v>
      </c>
      <c r="N1054" s="23" t="str">
        <f t="shared" si="66"/>
        <v>OK</v>
      </c>
      <c r="O1054" s="24">
        <f t="shared" si="67"/>
        <v>0</v>
      </c>
    </row>
    <row r="1055" spans="1:15" ht="15" customHeight="1" x14ac:dyDescent="0.3">
      <c r="A1055" s="23" t="s">
        <v>2572</v>
      </c>
      <c r="B1055" s="38">
        <v>46290</v>
      </c>
      <c r="C1055" s="23" t="s">
        <v>2573</v>
      </c>
      <c r="D1055" s="23" t="s">
        <v>94</v>
      </c>
      <c r="E1055" s="23" t="s">
        <v>75</v>
      </c>
      <c r="F1055" s="23" t="s">
        <v>1437</v>
      </c>
      <c r="G1055" s="23" t="s">
        <v>250</v>
      </c>
      <c r="H1055" s="39">
        <f t="shared" si="64"/>
        <v>5847</v>
      </c>
      <c r="I1055" s="23" t="str">
        <f t="shared" si="65"/>
        <v>Chennai</v>
      </c>
      <c r="J1055" s="23">
        <f>COUNTIFS(pg_transaction_cleaned!$O:$O,A1055,pg_transaction_cleaned!$F:$F,"CAPTURE")</f>
        <v>1</v>
      </c>
      <c r="K1055" s="39">
        <f>SUMIFS(pg_transaction_cleaned!$H:$H,pg_transaction_cleaned!$O:$O,A1055,pg_transaction_cleaned!$F:$F,"CAPTURE")</f>
        <v>5847</v>
      </c>
      <c r="L1055" s="23">
        <f>COUNTIFS(pg_transaction_cleaned!$O:$O,A1055,pg_transaction_cleaned!$F:$F,"REFUND")</f>
        <v>0</v>
      </c>
      <c r="M1055" s="39">
        <f>SUMIFS(pg_transaction_cleaned!$H:$H,pg_transaction_cleaned!$O:$O,A1055,pg_transaction_cleaned!$F:$F,"REFUND")</f>
        <v>0</v>
      </c>
      <c r="N1055" s="23" t="str">
        <f t="shared" si="66"/>
        <v>OK</v>
      </c>
      <c r="O1055" s="24">
        <f t="shared" si="67"/>
        <v>0</v>
      </c>
    </row>
    <row r="1056" spans="1:15" ht="15" customHeight="1" x14ac:dyDescent="0.3">
      <c r="A1056" s="23" t="s">
        <v>2574</v>
      </c>
      <c r="B1056" s="38">
        <v>46292</v>
      </c>
      <c r="C1056" s="23" t="s">
        <v>2575</v>
      </c>
      <c r="D1056" s="23" t="s">
        <v>89</v>
      </c>
      <c r="E1056" s="23" t="s">
        <v>79</v>
      </c>
      <c r="F1056" s="23" t="s">
        <v>1054</v>
      </c>
      <c r="G1056" s="23" t="s">
        <v>250</v>
      </c>
      <c r="H1056" s="39">
        <f t="shared" si="64"/>
        <v>6597</v>
      </c>
      <c r="I1056" s="23" t="str">
        <f t="shared" si="65"/>
        <v>Jaipur</v>
      </c>
      <c r="J1056" s="23">
        <f>COUNTIFS(pg_transaction_cleaned!$O:$O,A1056,pg_transaction_cleaned!$F:$F,"CAPTURE")</f>
        <v>1</v>
      </c>
      <c r="K1056" s="39">
        <f>SUMIFS(pg_transaction_cleaned!$H:$H,pg_transaction_cleaned!$O:$O,A1056,pg_transaction_cleaned!$F:$F,"CAPTURE")</f>
        <v>6597</v>
      </c>
      <c r="L1056" s="23">
        <f>COUNTIFS(pg_transaction_cleaned!$O:$O,A1056,pg_transaction_cleaned!$F:$F,"REFUND")</f>
        <v>0</v>
      </c>
      <c r="M1056" s="39">
        <f>SUMIFS(pg_transaction_cleaned!$H:$H,pg_transaction_cleaned!$O:$O,A1056,pg_transaction_cleaned!$F:$F,"REFUND")</f>
        <v>0</v>
      </c>
      <c r="N1056" s="23" t="str">
        <f t="shared" si="66"/>
        <v>OK</v>
      </c>
      <c r="O1056" s="24">
        <f t="shared" si="67"/>
        <v>0</v>
      </c>
    </row>
    <row r="1057" spans="1:15" ht="15" customHeight="1" x14ac:dyDescent="0.3">
      <c r="A1057" s="23" t="s">
        <v>2576</v>
      </c>
      <c r="B1057" s="38">
        <v>46284</v>
      </c>
      <c r="C1057" s="23" t="s">
        <v>2577</v>
      </c>
      <c r="D1057" s="23" t="s">
        <v>94</v>
      </c>
      <c r="E1057" s="23" t="s">
        <v>75</v>
      </c>
      <c r="F1057" s="23" t="s">
        <v>310</v>
      </c>
      <c r="G1057" s="23" t="s">
        <v>250</v>
      </c>
      <c r="H1057" s="39">
        <f t="shared" si="64"/>
        <v>7999</v>
      </c>
      <c r="I1057" s="23" t="str">
        <f t="shared" si="65"/>
        <v>Chennai</v>
      </c>
      <c r="J1057" s="23">
        <f>COUNTIFS(pg_transaction_cleaned!$O:$O,A1057,pg_transaction_cleaned!$F:$F,"CAPTURE")</f>
        <v>1</v>
      </c>
      <c r="K1057" s="39">
        <f>SUMIFS(pg_transaction_cleaned!$H:$H,pg_transaction_cleaned!$O:$O,A1057,pg_transaction_cleaned!$F:$F,"CAPTURE")</f>
        <v>7999</v>
      </c>
      <c r="L1057" s="23">
        <f>COUNTIFS(pg_transaction_cleaned!$O:$O,A1057,pg_transaction_cleaned!$F:$F,"REFUND")</f>
        <v>0</v>
      </c>
      <c r="M1057" s="39">
        <f>SUMIFS(pg_transaction_cleaned!$H:$H,pg_transaction_cleaned!$O:$O,A1057,pg_transaction_cleaned!$F:$F,"REFUND")</f>
        <v>0</v>
      </c>
      <c r="N1057" s="23" t="str">
        <f t="shared" si="66"/>
        <v>OK</v>
      </c>
      <c r="O1057" s="24">
        <f t="shared" si="67"/>
        <v>0</v>
      </c>
    </row>
    <row r="1058" spans="1:15" ht="15" customHeight="1" x14ac:dyDescent="0.3">
      <c r="A1058" s="23" t="s">
        <v>2578</v>
      </c>
      <c r="B1058" s="38">
        <v>46290</v>
      </c>
      <c r="C1058" s="23" t="s">
        <v>2579</v>
      </c>
      <c r="D1058" s="23"/>
      <c r="E1058" s="23" t="s">
        <v>75</v>
      </c>
      <c r="F1058" s="23" t="s">
        <v>880</v>
      </c>
      <c r="G1058" s="23" t="s">
        <v>365</v>
      </c>
      <c r="H1058" s="39">
        <f t="shared" si="64"/>
        <v>2298</v>
      </c>
      <c r="I1058" s="23" t="str">
        <f t="shared" si="65"/>
        <v>Unknown</v>
      </c>
      <c r="J1058" s="23">
        <f>COUNTIFS(pg_transaction_cleaned!$O:$O,A1058,pg_transaction_cleaned!$F:$F,"CAPTURE")</f>
        <v>0</v>
      </c>
      <c r="K1058" s="39">
        <f>SUMIFS(pg_transaction_cleaned!$H:$H,pg_transaction_cleaned!$O:$O,A1058,pg_transaction_cleaned!$F:$F,"CAPTURE")</f>
        <v>0</v>
      </c>
      <c r="L1058" s="23">
        <f>COUNTIFS(pg_transaction_cleaned!$O:$O,A1058,pg_transaction_cleaned!$F:$F,"REFUND")</f>
        <v>0</v>
      </c>
      <c r="M1058" s="39">
        <f>SUMIFS(pg_transaction_cleaned!$H:$H,pg_transaction_cleaned!$O:$O,A1058,pg_transaction_cleaned!$F:$F,"REFUND")</f>
        <v>0</v>
      </c>
      <c r="N1058" s="23" t="str">
        <f t="shared" si="66"/>
        <v>OK</v>
      </c>
      <c r="O1058" s="24">
        <f t="shared" si="67"/>
        <v>0</v>
      </c>
    </row>
    <row r="1059" spans="1:15" ht="15" customHeight="1" x14ac:dyDescent="0.3">
      <c r="A1059" s="23" t="s">
        <v>2580</v>
      </c>
      <c r="B1059" s="38">
        <v>46282</v>
      </c>
      <c r="C1059" s="23" t="s">
        <v>2581</v>
      </c>
      <c r="D1059" s="23" t="s">
        <v>89</v>
      </c>
      <c r="E1059" s="23" t="s">
        <v>77</v>
      </c>
      <c r="F1059" s="23" t="s">
        <v>310</v>
      </c>
      <c r="G1059" s="23" t="s">
        <v>250</v>
      </c>
      <c r="H1059" s="39">
        <f t="shared" si="64"/>
        <v>7999</v>
      </c>
      <c r="I1059" s="23" t="str">
        <f t="shared" si="65"/>
        <v>Jaipur</v>
      </c>
      <c r="J1059" s="23">
        <f>COUNTIFS(pg_transaction_cleaned!$O:$O,A1059,pg_transaction_cleaned!$F:$F,"CAPTURE")</f>
        <v>1</v>
      </c>
      <c r="K1059" s="39">
        <f>SUMIFS(pg_transaction_cleaned!$H:$H,pg_transaction_cleaned!$O:$O,A1059,pg_transaction_cleaned!$F:$F,"CAPTURE")</f>
        <v>7999</v>
      </c>
      <c r="L1059" s="23">
        <f>COUNTIFS(pg_transaction_cleaned!$O:$O,A1059,pg_transaction_cleaned!$F:$F,"REFUND")</f>
        <v>0</v>
      </c>
      <c r="M1059" s="39">
        <f>SUMIFS(pg_transaction_cleaned!$H:$H,pg_transaction_cleaned!$O:$O,A1059,pg_transaction_cleaned!$F:$F,"REFUND")</f>
        <v>0</v>
      </c>
      <c r="N1059" s="23" t="str">
        <f t="shared" si="66"/>
        <v>OK</v>
      </c>
      <c r="O1059" s="24">
        <f t="shared" si="67"/>
        <v>0</v>
      </c>
    </row>
    <row r="1060" spans="1:15" ht="15" customHeight="1" x14ac:dyDescent="0.3">
      <c r="A1060" s="23" t="s">
        <v>2582</v>
      </c>
      <c r="B1060" s="38">
        <v>46293</v>
      </c>
      <c r="C1060" s="23" t="s">
        <v>2583</v>
      </c>
      <c r="D1060" s="23" t="s">
        <v>90</v>
      </c>
      <c r="E1060" s="23" t="s">
        <v>81</v>
      </c>
      <c r="F1060" s="23" t="s">
        <v>717</v>
      </c>
      <c r="G1060" s="23" t="s">
        <v>250</v>
      </c>
      <c r="H1060" s="39">
        <f t="shared" si="64"/>
        <v>5298</v>
      </c>
      <c r="I1060" s="23" t="str">
        <f t="shared" si="65"/>
        <v>Ahmedabad</v>
      </c>
      <c r="J1060" s="23">
        <f>COUNTIFS(pg_transaction_cleaned!$O:$O,A1060,pg_transaction_cleaned!$F:$F,"CAPTURE")</f>
        <v>1</v>
      </c>
      <c r="K1060" s="39">
        <f>SUMIFS(pg_transaction_cleaned!$H:$H,pg_transaction_cleaned!$O:$O,A1060,pg_transaction_cleaned!$F:$F,"CAPTURE")</f>
        <v>5298</v>
      </c>
      <c r="L1060" s="23">
        <f>COUNTIFS(pg_transaction_cleaned!$O:$O,A1060,pg_transaction_cleaned!$F:$F,"REFUND")</f>
        <v>0</v>
      </c>
      <c r="M1060" s="39">
        <f>SUMIFS(pg_transaction_cleaned!$H:$H,pg_transaction_cleaned!$O:$O,A1060,pg_transaction_cleaned!$F:$F,"REFUND")</f>
        <v>0</v>
      </c>
      <c r="N1060" s="23" t="str">
        <f t="shared" si="66"/>
        <v>OK</v>
      </c>
      <c r="O1060" s="24">
        <f t="shared" si="67"/>
        <v>0</v>
      </c>
    </row>
    <row r="1061" spans="1:15" ht="15" customHeight="1" x14ac:dyDescent="0.3">
      <c r="A1061" s="23" t="s">
        <v>2584</v>
      </c>
      <c r="B1061" s="38">
        <v>46295</v>
      </c>
      <c r="C1061" s="23" t="s">
        <v>2585</v>
      </c>
      <c r="D1061" s="23" t="s">
        <v>94</v>
      </c>
      <c r="E1061" s="23" t="s">
        <v>77</v>
      </c>
      <c r="F1061" s="23" t="s">
        <v>274</v>
      </c>
      <c r="G1061" s="23" t="s">
        <v>250</v>
      </c>
      <c r="H1061" s="39">
        <f t="shared" si="64"/>
        <v>349</v>
      </c>
      <c r="I1061" s="23" t="str">
        <f t="shared" si="65"/>
        <v>Chennai</v>
      </c>
      <c r="J1061" s="23">
        <f>COUNTIFS(pg_transaction_cleaned!$O:$O,A1061,pg_transaction_cleaned!$F:$F,"CAPTURE")</f>
        <v>1</v>
      </c>
      <c r="K1061" s="39">
        <f>SUMIFS(pg_transaction_cleaned!$H:$H,pg_transaction_cleaned!$O:$O,A1061,pg_transaction_cleaned!$F:$F,"CAPTURE")</f>
        <v>349</v>
      </c>
      <c r="L1061" s="23">
        <f>COUNTIFS(pg_transaction_cleaned!$O:$O,A1061,pg_transaction_cleaned!$F:$F,"REFUND")</f>
        <v>0</v>
      </c>
      <c r="M1061" s="39">
        <f>SUMIFS(pg_transaction_cleaned!$H:$H,pg_transaction_cleaned!$O:$O,A1061,pg_transaction_cleaned!$F:$F,"REFUND")</f>
        <v>0</v>
      </c>
      <c r="N1061" s="23" t="str">
        <f t="shared" si="66"/>
        <v>OK</v>
      </c>
      <c r="O1061" s="24">
        <f t="shared" si="67"/>
        <v>0</v>
      </c>
    </row>
    <row r="1062" spans="1:15" ht="15" customHeight="1" x14ac:dyDescent="0.3">
      <c r="A1062" s="23" t="s">
        <v>2586</v>
      </c>
      <c r="B1062" s="38">
        <v>46275</v>
      </c>
      <c r="C1062" s="23" t="s">
        <v>2587</v>
      </c>
      <c r="D1062" s="23" t="s">
        <v>94</v>
      </c>
      <c r="E1062" s="23" t="s">
        <v>77</v>
      </c>
      <c r="F1062" s="23" t="s">
        <v>277</v>
      </c>
      <c r="G1062" s="23" t="s">
        <v>250</v>
      </c>
      <c r="H1062" s="39">
        <f t="shared" si="64"/>
        <v>9497</v>
      </c>
      <c r="I1062" s="23" t="str">
        <f t="shared" si="65"/>
        <v>Chennai</v>
      </c>
      <c r="J1062" s="23">
        <f>COUNTIFS(pg_transaction_cleaned!$O:$O,A1062,pg_transaction_cleaned!$F:$F,"CAPTURE")</f>
        <v>1</v>
      </c>
      <c r="K1062" s="39">
        <f>SUMIFS(pg_transaction_cleaned!$H:$H,pg_transaction_cleaned!$O:$O,A1062,pg_transaction_cleaned!$F:$F,"CAPTURE")</f>
        <v>9497</v>
      </c>
      <c r="L1062" s="23">
        <f>COUNTIFS(pg_transaction_cleaned!$O:$O,A1062,pg_transaction_cleaned!$F:$F,"REFUND")</f>
        <v>0</v>
      </c>
      <c r="M1062" s="39">
        <f>SUMIFS(pg_transaction_cleaned!$H:$H,pg_transaction_cleaned!$O:$O,A1062,pg_transaction_cleaned!$F:$F,"REFUND")</f>
        <v>0</v>
      </c>
      <c r="N1062" s="23" t="str">
        <f t="shared" si="66"/>
        <v>OK</v>
      </c>
      <c r="O1062" s="24">
        <f t="shared" si="67"/>
        <v>0</v>
      </c>
    </row>
    <row r="1063" spans="1:15" ht="15" customHeight="1" x14ac:dyDescent="0.3">
      <c r="A1063" s="23" t="s">
        <v>2588</v>
      </c>
      <c r="B1063" s="38">
        <v>46271</v>
      </c>
      <c r="C1063" s="23" t="s">
        <v>2589</v>
      </c>
      <c r="D1063" s="23" t="s">
        <v>95</v>
      </c>
      <c r="E1063" s="23" t="s">
        <v>75</v>
      </c>
      <c r="F1063" s="23" t="s">
        <v>1978</v>
      </c>
      <c r="G1063" s="23" t="s">
        <v>250</v>
      </c>
      <c r="H1063" s="39">
        <f t="shared" si="64"/>
        <v>4597</v>
      </c>
      <c r="I1063" s="23" t="str">
        <f t="shared" si="65"/>
        <v>Bengaluru</v>
      </c>
      <c r="J1063" s="23">
        <f>COUNTIFS(pg_transaction_cleaned!$O:$O,A1063,pg_transaction_cleaned!$F:$F,"CAPTURE")</f>
        <v>1</v>
      </c>
      <c r="K1063" s="39">
        <f>SUMIFS(pg_transaction_cleaned!$H:$H,pg_transaction_cleaned!$O:$O,A1063,pg_transaction_cleaned!$F:$F,"CAPTURE")</f>
        <v>4597</v>
      </c>
      <c r="L1063" s="23">
        <f>COUNTIFS(pg_transaction_cleaned!$O:$O,A1063,pg_transaction_cleaned!$F:$F,"REFUND")</f>
        <v>0</v>
      </c>
      <c r="M1063" s="39">
        <f>SUMIFS(pg_transaction_cleaned!$H:$H,pg_transaction_cleaned!$O:$O,A1063,pg_transaction_cleaned!$F:$F,"REFUND")</f>
        <v>0</v>
      </c>
      <c r="N1063" s="23" t="str">
        <f t="shared" si="66"/>
        <v>OK</v>
      </c>
      <c r="O1063" s="24">
        <f t="shared" si="67"/>
        <v>0</v>
      </c>
    </row>
    <row r="1064" spans="1:15" ht="15" customHeight="1" x14ac:dyDescent="0.3">
      <c r="A1064" s="23" t="s">
        <v>2590</v>
      </c>
      <c r="B1064" s="38">
        <v>46275</v>
      </c>
      <c r="C1064" s="23" t="s">
        <v>2591</v>
      </c>
      <c r="D1064" s="23" t="s">
        <v>91</v>
      </c>
      <c r="E1064" s="23" t="s">
        <v>75</v>
      </c>
      <c r="F1064" s="23" t="s">
        <v>329</v>
      </c>
      <c r="G1064" s="23" t="s">
        <v>250</v>
      </c>
      <c r="H1064" s="39">
        <f t="shared" si="64"/>
        <v>599</v>
      </c>
      <c r="I1064" s="23" t="str">
        <f t="shared" si="65"/>
        <v>Pune</v>
      </c>
      <c r="J1064" s="23">
        <f>COUNTIFS(pg_transaction_cleaned!$O:$O,A1064,pg_transaction_cleaned!$F:$F,"CAPTURE")</f>
        <v>1</v>
      </c>
      <c r="K1064" s="39">
        <f>SUMIFS(pg_transaction_cleaned!$H:$H,pg_transaction_cleaned!$O:$O,A1064,pg_transaction_cleaned!$F:$F,"CAPTURE")</f>
        <v>599</v>
      </c>
      <c r="L1064" s="23">
        <f>COUNTIFS(pg_transaction_cleaned!$O:$O,A1064,pg_transaction_cleaned!$F:$F,"REFUND")</f>
        <v>0</v>
      </c>
      <c r="M1064" s="39">
        <f>SUMIFS(pg_transaction_cleaned!$H:$H,pg_transaction_cleaned!$O:$O,A1064,pg_transaction_cleaned!$F:$F,"REFUND")</f>
        <v>0</v>
      </c>
      <c r="N1064" s="23" t="str">
        <f t="shared" si="66"/>
        <v>OK</v>
      </c>
      <c r="O1064" s="24">
        <f t="shared" si="67"/>
        <v>0</v>
      </c>
    </row>
    <row r="1065" spans="1:15" ht="15" customHeight="1" x14ac:dyDescent="0.3">
      <c r="A1065" s="23" t="s">
        <v>2592</v>
      </c>
      <c r="B1065" s="38">
        <v>46266</v>
      </c>
      <c r="C1065" s="23" t="s">
        <v>2593</v>
      </c>
      <c r="D1065" s="23" t="s">
        <v>89</v>
      </c>
      <c r="E1065" s="23" t="s">
        <v>75</v>
      </c>
      <c r="F1065" s="23" t="s">
        <v>340</v>
      </c>
      <c r="G1065" s="23" t="s">
        <v>250</v>
      </c>
      <c r="H1065" s="39">
        <f t="shared" si="64"/>
        <v>6298</v>
      </c>
      <c r="I1065" s="23" t="str">
        <f t="shared" si="65"/>
        <v>Jaipur</v>
      </c>
      <c r="J1065" s="23">
        <f>COUNTIFS(pg_transaction_cleaned!$O:$O,A1065,pg_transaction_cleaned!$F:$F,"CAPTURE")</f>
        <v>1</v>
      </c>
      <c r="K1065" s="39">
        <f>SUMIFS(pg_transaction_cleaned!$H:$H,pg_transaction_cleaned!$O:$O,A1065,pg_transaction_cleaned!$F:$F,"CAPTURE")</f>
        <v>6298</v>
      </c>
      <c r="L1065" s="23">
        <f>COUNTIFS(pg_transaction_cleaned!$O:$O,A1065,pg_transaction_cleaned!$F:$F,"REFUND")</f>
        <v>0</v>
      </c>
      <c r="M1065" s="39">
        <f>SUMIFS(pg_transaction_cleaned!$H:$H,pg_transaction_cleaned!$O:$O,A1065,pg_transaction_cleaned!$F:$F,"REFUND")</f>
        <v>0</v>
      </c>
      <c r="N1065" s="23" t="str">
        <f t="shared" si="66"/>
        <v>OK</v>
      </c>
      <c r="O1065" s="24">
        <f t="shared" si="67"/>
        <v>0</v>
      </c>
    </row>
    <row r="1066" spans="1:15" ht="15" customHeight="1" x14ac:dyDescent="0.3">
      <c r="A1066" s="23" t="s">
        <v>2594</v>
      </c>
      <c r="B1066" s="38">
        <v>46284</v>
      </c>
      <c r="C1066" s="23" t="s">
        <v>2595</v>
      </c>
      <c r="D1066" s="23" t="s">
        <v>92</v>
      </c>
      <c r="E1066" s="23" t="s">
        <v>75</v>
      </c>
      <c r="F1066" s="23" t="s">
        <v>315</v>
      </c>
      <c r="G1066" s="23" t="s">
        <v>250</v>
      </c>
      <c r="H1066" s="39">
        <f t="shared" si="64"/>
        <v>1499</v>
      </c>
      <c r="I1066" s="23" t="str">
        <f t="shared" si="65"/>
        <v>Hyderabad</v>
      </c>
      <c r="J1066" s="23">
        <f>COUNTIFS(pg_transaction_cleaned!$O:$O,A1066,pg_transaction_cleaned!$F:$F,"CAPTURE")</f>
        <v>1</v>
      </c>
      <c r="K1066" s="39">
        <f>SUMIFS(pg_transaction_cleaned!$H:$H,pg_transaction_cleaned!$O:$O,A1066,pg_transaction_cleaned!$F:$F,"CAPTURE")</f>
        <v>1499</v>
      </c>
      <c r="L1066" s="23">
        <f>COUNTIFS(pg_transaction_cleaned!$O:$O,A1066,pg_transaction_cleaned!$F:$F,"REFUND")</f>
        <v>0</v>
      </c>
      <c r="M1066" s="39">
        <f>SUMIFS(pg_transaction_cleaned!$H:$H,pg_transaction_cleaned!$O:$O,A1066,pg_transaction_cleaned!$F:$F,"REFUND")</f>
        <v>0</v>
      </c>
      <c r="N1066" s="23" t="str">
        <f t="shared" si="66"/>
        <v>OK</v>
      </c>
      <c r="O1066" s="24">
        <f t="shared" si="67"/>
        <v>0</v>
      </c>
    </row>
    <row r="1067" spans="1:15" ht="15" customHeight="1" x14ac:dyDescent="0.3">
      <c r="A1067" s="23" t="s">
        <v>2596</v>
      </c>
      <c r="B1067" s="38">
        <v>46287</v>
      </c>
      <c r="C1067" s="23" t="s">
        <v>2597</v>
      </c>
      <c r="D1067" s="23" t="s">
        <v>95</v>
      </c>
      <c r="E1067" s="23" t="s">
        <v>75</v>
      </c>
      <c r="F1067" s="23" t="s">
        <v>297</v>
      </c>
      <c r="G1067" s="23" t="s">
        <v>250</v>
      </c>
      <c r="H1067" s="39">
        <f t="shared" si="64"/>
        <v>4999</v>
      </c>
      <c r="I1067" s="23" t="str">
        <f t="shared" si="65"/>
        <v>Bengaluru</v>
      </c>
      <c r="J1067" s="23">
        <f>COUNTIFS(pg_transaction_cleaned!$O:$O,A1067,pg_transaction_cleaned!$F:$F,"CAPTURE")</f>
        <v>1</v>
      </c>
      <c r="K1067" s="39">
        <f>SUMIFS(pg_transaction_cleaned!$H:$H,pg_transaction_cleaned!$O:$O,A1067,pg_transaction_cleaned!$F:$F,"CAPTURE")</f>
        <v>4999</v>
      </c>
      <c r="L1067" s="23">
        <f>COUNTIFS(pg_transaction_cleaned!$O:$O,A1067,pg_transaction_cleaned!$F:$F,"REFUND")</f>
        <v>0</v>
      </c>
      <c r="M1067" s="39">
        <f>SUMIFS(pg_transaction_cleaned!$H:$H,pg_transaction_cleaned!$O:$O,A1067,pg_transaction_cleaned!$F:$F,"REFUND")</f>
        <v>0</v>
      </c>
      <c r="N1067" s="23" t="str">
        <f t="shared" si="66"/>
        <v>OK</v>
      </c>
      <c r="O1067" s="24">
        <f t="shared" si="67"/>
        <v>0</v>
      </c>
    </row>
    <row r="1068" spans="1:15" ht="15" customHeight="1" x14ac:dyDescent="0.3">
      <c r="A1068" s="23" t="s">
        <v>2598</v>
      </c>
      <c r="B1068" s="38">
        <v>46284</v>
      </c>
      <c r="C1068" s="23" t="s">
        <v>2599</v>
      </c>
      <c r="D1068" s="23" t="s">
        <v>92</v>
      </c>
      <c r="E1068" s="23" t="s">
        <v>75</v>
      </c>
      <c r="F1068" s="23" t="s">
        <v>262</v>
      </c>
      <c r="G1068" s="23" t="s">
        <v>250</v>
      </c>
      <c r="H1068" s="39">
        <f t="shared" si="64"/>
        <v>499</v>
      </c>
      <c r="I1068" s="23" t="str">
        <f t="shared" si="65"/>
        <v>Hyderabad</v>
      </c>
      <c r="J1068" s="23">
        <f>COUNTIFS(pg_transaction_cleaned!$O:$O,A1068,pg_transaction_cleaned!$F:$F,"CAPTURE")</f>
        <v>1</v>
      </c>
      <c r="K1068" s="39">
        <f>SUMIFS(pg_transaction_cleaned!$H:$H,pg_transaction_cleaned!$O:$O,A1068,pg_transaction_cleaned!$F:$F,"CAPTURE")</f>
        <v>499</v>
      </c>
      <c r="L1068" s="23">
        <f>COUNTIFS(pg_transaction_cleaned!$O:$O,A1068,pg_transaction_cleaned!$F:$F,"REFUND")</f>
        <v>0</v>
      </c>
      <c r="M1068" s="39">
        <f>SUMIFS(pg_transaction_cleaned!$H:$H,pg_transaction_cleaned!$O:$O,A1068,pg_transaction_cleaned!$F:$F,"REFUND")</f>
        <v>0</v>
      </c>
      <c r="N1068" s="23" t="str">
        <f t="shared" si="66"/>
        <v>OK</v>
      </c>
      <c r="O1068" s="24">
        <f t="shared" si="67"/>
        <v>0</v>
      </c>
    </row>
    <row r="1069" spans="1:15" ht="15" customHeight="1" x14ac:dyDescent="0.3">
      <c r="A1069" s="23" t="s">
        <v>2600</v>
      </c>
      <c r="B1069" s="38">
        <v>46284</v>
      </c>
      <c r="C1069" s="23" t="s">
        <v>2601</v>
      </c>
      <c r="D1069" s="23" t="s">
        <v>95</v>
      </c>
      <c r="E1069" s="23" t="s">
        <v>75</v>
      </c>
      <c r="F1069" s="23" t="s">
        <v>265</v>
      </c>
      <c r="G1069" s="23" t="s">
        <v>250</v>
      </c>
      <c r="H1069" s="39">
        <f t="shared" si="64"/>
        <v>999</v>
      </c>
      <c r="I1069" s="23" t="str">
        <f t="shared" si="65"/>
        <v>Bengaluru</v>
      </c>
      <c r="J1069" s="23">
        <f>COUNTIFS(pg_transaction_cleaned!$O:$O,A1069,pg_transaction_cleaned!$F:$F,"CAPTURE")</f>
        <v>1</v>
      </c>
      <c r="K1069" s="39">
        <f>SUMIFS(pg_transaction_cleaned!$H:$H,pg_transaction_cleaned!$O:$O,A1069,pg_transaction_cleaned!$F:$F,"CAPTURE")</f>
        <v>999</v>
      </c>
      <c r="L1069" s="23">
        <f>COUNTIFS(pg_transaction_cleaned!$O:$O,A1069,pg_transaction_cleaned!$F:$F,"REFUND")</f>
        <v>0</v>
      </c>
      <c r="M1069" s="39">
        <f>SUMIFS(pg_transaction_cleaned!$H:$H,pg_transaction_cleaned!$O:$O,A1069,pg_transaction_cleaned!$F:$F,"REFUND")</f>
        <v>0</v>
      </c>
      <c r="N1069" s="23" t="str">
        <f t="shared" si="66"/>
        <v>OK</v>
      </c>
      <c r="O1069" s="24">
        <f t="shared" si="67"/>
        <v>0</v>
      </c>
    </row>
    <row r="1070" spans="1:15" ht="15" customHeight="1" x14ac:dyDescent="0.3">
      <c r="A1070" s="23" t="s">
        <v>2602</v>
      </c>
      <c r="B1070" s="38">
        <v>46282</v>
      </c>
      <c r="C1070" s="23" t="s">
        <v>2603</v>
      </c>
      <c r="D1070" s="23" t="s">
        <v>95</v>
      </c>
      <c r="E1070" s="23" t="s">
        <v>79</v>
      </c>
      <c r="F1070" s="23" t="s">
        <v>2045</v>
      </c>
      <c r="G1070" s="23" t="s">
        <v>250</v>
      </c>
      <c r="H1070" s="39">
        <f t="shared" si="64"/>
        <v>698</v>
      </c>
      <c r="I1070" s="23" t="str">
        <f t="shared" si="65"/>
        <v>Bengaluru</v>
      </c>
      <c r="J1070" s="23">
        <f>COUNTIFS(pg_transaction_cleaned!$O:$O,A1070,pg_transaction_cleaned!$F:$F,"CAPTURE")</f>
        <v>1</v>
      </c>
      <c r="K1070" s="39">
        <f>SUMIFS(pg_transaction_cleaned!$H:$H,pg_transaction_cleaned!$O:$O,A1070,pg_transaction_cleaned!$F:$F,"CAPTURE")</f>
        <v>698</v>
      </c>
      <c r="L1070" s="23">
        <f>COUNTIFS(pg_transaction_cleaned!$O:$O,A1070,pg_transaction_cleaned!$F:$F,"REFUND")</f>
        <v>0</v>
      </c>
      <c r="M1070" s="39">
        <f>SUMIFS(pg_transaction_cleaned!$H:$H,pg_transaction_cleaned!$O:$O,A1070,pg_transaction_cleaned!$F:$F,"REFUND")</f>
        <v>0</v>
      </c>
      <c r="N1070" s="23" t="str">
        <f t="shared" si="66"/>
        <v>OK</v>
      </c>
      <c r="O1070" s="24">
        <f t="shared" si="67"/>
        <v>0</v>
      </c>
    </row>
    <row r="1071" spans="1:15" ht="15" customHeight="1" x14ac:dyDescent="0.3">
      <c r="A1071" s="23" t="s">
        <v>2604</v>
      </c>
      <c r="B1071" s="38">
        <v>46288</v>
      </c>
      <c r="C1071" s="23" t="s">
        <v>2605</v>
      </c>
      <c r="D1071" s="23" t="s">
        <v>91</v>
      </c>
      <c r="E1071" s="23" t="s">
        <v>79</v>
      </c>
      <c r="F1071" s="23" t="s">
        <v>475</v>
      </c>
      <c r="G1071" s="23" t="s">
        <v>250</v>
      </c>
      <c r="H1071" s="39">
        <f t="shared" si="64"/>
        <v>799</v>
      </c>
      <c r="I1071" s="23" t="str">
        <f t="shared" si="65"/>
        <v>Pune</v>
      </c>
      <c r="J1071" s="23">
        <f>COUNTIFS(pg_transaction_cleaned!$O:$O,A1071,pg_transaction_cleaned!$F:$F,"CAPTURE")</f>
        <v>1</v>
      </c>
      <c r="K1071" s="39">
        <f>SUMIFS(pg_transaction_cleaned!$H:$H,pg_transaction_cleaned!$O:$O,A1071,pg_transaction_cleaned!$F:$F,"CAPTURE")</f>
        <v>799</v>
      </c>
      <c r="L1071" s="23">
        <f>COUNTIFS(pg_transaction_cleaned!$O:$O,A1071,pg_transaction_cleaned!$F:$F,"REFUND")</f>
        <v>0</v>
      </c>
      <c r="M1071" s="39">
        <f>SUMIFS(pg_transaction_cleaned!$H:$H,pg_transaction_cleaned!$O:$O,A1071,pg_transaction_cleaned!$F:$F,"REFUND")</f>
        <v>0</v>
      </c>
      <c r="N1071" s="23" t="str">
        <f t="shared" si="66"/>
        <v>OK</v>
      </c>
      <c r="O1071" s="24">
        <f t="shared" si="67"/>
        <v>0</v>
      </c>
    </row>
    <row r="1072" spans="1:15" ht="15" customHeight="1" x14ac:dyDescent="0.3">
      <c r="A1072" s="23" t="s">
        <v>2606</v>
      </c>
      <c r="B1072" s="38">
        <v>46295</v>
      </c>
      <c r="C1072" s="23" t="s">
        <v>2607</v>
      </c>
      <c r="D1072" s="23" t="s">
        <v>86</v>
      </c>
      <c r="E1072" s="23" t="s">
        <v>75</v>
      </c>
      <c r="F1072" s="23" t="s">
        <v>294</v>
      </c>
      <c r="G1072" s="23" t="s">
        <v>250</v>
      </c>
      <c r="H1072" s="39">
        <f t="shared" si="64"/>
        <v>1799</v>
      </c>
      <c r="I1072" s="23" t="str">
        <f t="shared" si="65"/>
        <v>Delhi</v>
      </c>
      <c r="J1072" s="23">
        <f>COUNTIFS(pg_transaction_cleaned!$O:$O,A1072,pg_transaction_cleaned!$F:$F,"CAPTURE")</f>
        <v>1</v>
      </c>
      <c r="K1072" s="39">
        <f>SUMIFS(pg_transaction_cleaned!$H:$H,pg_transaction_cleaned!$O:$O,A1072,pg_transaction_cleaned!$F:$F,"CAPTURE")</f>
        <v>1799</v>
      </c>
      <c r="L1072" s="23">
        <f>COUNTIFS(pg_transaction_cleaned!$O:$O,A1072,pg_transaction_cleaned!$F:$F,"REFUND")</f>
        <v>0</v>
      </c>
      <c r="M1072" s="39">
        <f>SUMIFS(pg_transaction_cleaned!$H:$H,pg_transaction_cleaned!$O:$O,A1072,pg_transaction_cleaned!$F:$F,"REFUND")</f>
        <v>0</v>
      </c>
      <c r="N1072" s="23" t="str">
        <f t="shared" si="66"/>
        <v>OK</v>
      </c>
      <c r="O1072" s="24">
        <f t="shared" si="67"/>
        <v>0</v>
      </c>
    </row>
    <row r="1073" spans="1:15" ht="15" customHeight="1" x14ac:dyDescent="0.3">
      <c r="A1073" s="23" t="s">
        <v>2608</v>
      </c>
      <c r="B1073" s="38">
        <v>46280</v>
      </c>
      <c r="C1073" s="23" t="s">
        <v>2609</v>
      </c>
      <c r="D1073" s="23" t="s">
        <v>89</v>
      </c>
      <c r="E1073" s="23" t="s">
        <v>75</v>
      </c>
      <c r="F1073" s="23" t="s">
        <v>607</v>
      </c>
      <c r="G1073" s="23" t="s">
        <v>250</v>
      </c>
      <c r="H1073" s="39">
        <f t="shared" si="64"/>
        <v>8847</v>
      </c>
      <c r="I1073" s="23" t="str">
        <f t="shared" si="65"/>
        <v>Jaipur</v>
      </c>
      <c r="J1073" s="23">
        <f>COUNTIFS(pg_transaction_cleaned!$O:$O,A1073,pg_transaction_cleaned!$F:$F,"CAPTURE")</f>
        <v>1</v>
      </c>
      <c r="K1073" s="39">
        <f>SUMIFS(pg_transaction_cleaned!$H:$H,pg_transaction_cleaned!$O:$O,A1073,pg_transaction_cleaned!$F:$F,"CAPTURE")</f>
        <v>8847</v>
      </c>
      <c r="L1073" s="23">
        <f>COUNTIFS(pg_transaction_cleaned!$O:$O,A1073,pg_transaction_cleaned!$F:$F,"REFUND")</f>
        <v>0</v>
      </c>
      <c r="M1073" s="39">
        <f>SUMIFS(pg_transaction_cleaned!$H:$H,pg_transaction_cleaned!$O:$O,A1073,pg_transaction_cleaned!$F:$F,"REFUND")</f>
        <v>0</v>
      </c>
      <c r="N1073" s="23" t="str">
        <f t="shared" si="66"/>
        <v>OK</v>
      </c>
      <c r="O1073" s="24">
        <f t="shared" si="67"/>
        <v>0</v>
      </c>
    </row>
    <row r="1074" spans="1:15" ht="15" customHeight="1" x14ac:dyDescent="0.3">
      <c r="A1074" s="23" t="s">
        <v>2610</v>
      </c>
      <c r="B1074" s="38">
        <v>46273</v>
      </c>
      <c r="C1074" s="23" t="s">
        <v>2611</v>
      </c>
      <c r="D1074" s="23" t="s">
        <v>89</v>
      </c>
      <c r="E1074" s="23" t="s">
        <v>75</v>
      </c>
      <c r="F1074" s="23" t="s">
        <v>2612</v>
      </c>
      <c r="G1074" s="23" t="s">
        <v>301</v>
      </c>
      <c r="H1074" s="39">
        <f t="shared" si="64"/>
        <v>5348</v>
      </c>
      <c r="I1074" s="23" t="str">
        <f t="shared" si="65"/>
        <v>Jaipur</v>
      </c>
      <c r="J1074" s="23">
        <f>COUNTIFS(pg_transaction_cleaned!$O:$O,A1074,pg_transaction_cleaned!$F:$F,"CAPTURE")</f>
        <v>1</v>
      </c>
      <c r="K1074" s="39">
        <f>SUMIFS(pg_transaction_cleaned!$H:$H,pg_transaction_cleaned!$O:$O,A1074,pg_transaction_cleaned!$F:$F,"CAPTURE")</f>
        <v>5348</v>
      </c>
      <c r="L1074" s="23">
        <f>COUNTIFS(pg_transaction_cleaned!$O:$O,A1074,pg_transaction_cleaned!$F:$F,"REFUND")</f>
        <v>1</v>
      </c>
      <c r="M1074" s="39">
        <f>SUMIFS(pg_transaction_cleaned!$H:$H,pg_transaction_cleaned!$O:$O,A1074,pg_transaction_cleaned!$F:$F,"REFUND")</f>
        <v>5348</v>
      </c>
      <c r="N1074" s="23" t="str">
        <f t="shared" si="66"/>
        <v>OK</v>
      </c>
      <c r="O1074" s="24">
        <f t="shared" si="67"/>
        <v>0</v>
      </c>
    </row>
    <row r="1075" spans="1:15" ht="15" customHeight="1" x14ac:dyDescent="0.3">
      <c r="A1075" s="23" t="s">
        <v>2613</v>
      </c>
      <c r="B1075" s="38">
        <v>46270</v>
      </c>
      <c r="C1075" s="23" t="s">
        <v>2614</v>
      </c>
      <c r="D1075" s="23"/>
      <c r="E1075" s="23" t="s">
        <v>79</v>
      </c>
      <c r="F1075" s="23" t="s">
        <v>499</v>
      </c>
      <c r="G1075" s="23" t="s">
        <v>250</v>
      </c>
      <c r="H1075" s="39">
        <f t="shared" si="64"/>
        <v>5998</v>
      </c>
      <c r="I1075" s="23" t="str">
        <f t="shared" si="65"/>
        <v>Unknown</v>
      </c>
      <c r="J1075" s="23">
        <f>COUNTIFS(pg_transaction_cleaned!$O:$O,A1075,pg_transaction_cleaned!$F:$F,"CAPTURE")</f>
        <v>1</v>
      </c>
      <c r="K1075" s="39">
        <f>SUMIFS(pg_transaction_cleaned!$H:$H,pg_transaction_cleaned!$O:$O,A1075,pg_transaction_cleaned!$F:$F,"CAPTURE")</f>
        <v>5998</v>
      </c>
      <c r="L1075" s="23">
        <f>COUNTIFS(pg_transaction_cleaned!$O:$O,A1075,pg_transaction_cleaned!$F:$F,"REFUND")</f>
        <v>0</v>
      </c>
      <c r="M1075" s="39">
        <f>SUMIFS(pg_transaction_cleaned!$H:$H,pg_transaction_cleaned!$O:$O,A1075,pg_transaction_cleaned!$F:$F,"REFUND")</f>
        <v>0</v>
      </c>
      <c r="N1075" s="23" t="str">
        <f t="shared" si="66"/>
        <v>OK</v>
      </c>
      <c r="O1075" s="24">
        <f t="shared" si="67"/>
        <v>0</v>
      </c>
    </row>
    <row r="1076" spans="1:15" ht="15" customHeight="1" x14ac:dyDescent="0.3">
      <c r="A1076" s="23" t="s">
        <v>2615</v>
      </c>
      <c r="B1076" s="38">
        <v>46276</v>
      </c>
      <c r="C1076" s="23" t="s">
        <v>2616</v>
      </c>
      <c r="D1076" s="23" t="s">
        <v>90</v>
      </c>
      <c r="E1076" s="23" t="s">
        <v>79</v>
      </c>
      <c r="F1076" s="23" t="s">
        <v>423</v>
      </c>
      <c r="G1076" s="23" t="s">
        <v>250</v>
      </c>
      <c r="H1076" s="39">
        <f t="shared" si="64"/>
        <v>1648</v>
      </c>
      <c r="I1076" s="23" t="str">
        <f t="shared" si="65"/>
        <v>Ahmedabad</v>
      </c>
      <c r="J1076" s="23">
        <f>COUNTIFS(pg_transaction_cleaned!$O:$O,A1076,pg_transaction_cleaned!$F:$F,"CAPTURE")</f>
        <v>1</v>
      </c>
      <c r="K1076" s="39">
        <f>SUMIFS(pg_transaction_cleaned!$H:$H,pg_transaction_cleaned!$O:$O,A1076,pg_transaction_cleaned!$F:$F,"CAPTURE")</f>
        <v>1648</v>
      </c>
      <c r="L1076" s="23">
        <f>COUNTIFS(pg_transaction_cleaned!$O:$O,A1076,pg_transaction_cleaned!$F:$F,"REFUND")</f>
        <v>0</v>
      </c>
      <c r="M1076" s="39">
        <f>SUMIFS(pg_transaction_cleaned!$H:$H,pg_transaction_cleaned!$O:$O,A1076,pg_transaction_cleaned!$F:$F,"REFUND")</f>
        <v>0</v>
      </c>
      <c r="N1076" s="23" t="str">
        <f t="shared" si="66"/>
        <v>OK</v>
      </c>
      <c r="O1076" s="24">
        <f t="shared" si="67"/>
        <v>0</v>
      </c>
    </row>
    <row r="1077" spans="1:15" ht="15" customHeight="1" x14ac:dyDescent="0.3">
      <c r="A1077" s="23" t="s">
        <v>2617</v>
      </c>
      <c r="B1077" s="38">
        <v>46273</v>
      </c>
      <c r="C1077" s="23" t="s">
        <v>2618</v>
      </c>
      <c r="D1077" s="23" t="s">
        <v>90</v>
      </c>
      <c r="E1077" s="23" t="s">
        <v>75</v>
      </c>
      <c r="F1077" s="23" t="s">
        <v>256</v>
      </c>
      <c r="G1077" s="23" t="s">
        <v>301</v>
      </c>
      <c r="H1077" s="39">
        <f t="shared" si="64"/>
        <v>2098</v>
      </c>
      <c r="I1077" s="23" t="str">
        <f t="shared" si="65"/>
        <v>Ahmedabad</v>
      </c>
      <c r="J1077" s="23">
        <f>COUNTIFS(pg_transaction_cleaned!$O:$O,A1077,pg_transaction_cleaned!$F:$F,"CAPTURE")</f>
        <v>1</v>
      </c>
      <c r="K1077" s="39">
        <f>SUMIFS(pg_transaction_cleaned!$H:$H,pg_transaction_cleaned!$O:$O,A1077,pg_transaction_cleaned!$F:$F,"CAPTURE")</f>
        <v>2098</v>
      </c>
      <c r="L1077" s="23">
        <f>COUNTIFS(pg_transaction_cleaned!$O:$O,A1077,pg_transaction_cleaned!$F:$F,"REFUND")</f>
        <v>1</v>
      </c>
      <c r="M1077" s="39">
        <f>SUMIFS(pg_transaction_cleaned!$H:$H,pg_transaction_cleaned!$O:$O,A1077,pg_transaction_cleaned!$F:$F,"REFUND")</f>
        <v>2098</v>
      </c>
      <c r="N1077" s="23" t="str">
        <f t="shared" si="66"/>
        <v>OK</v>
      </c>
      <c r="O1077" s="24">
        <f t="shared" si="67"/>
        <v>0</v>
      </c>
    </row>
    <row r="1078" spans="1:15" ht="15" customHeight="1" x14ac:dyDescent="0.3">
      <c r="A1078" s="23" t="s">
        <v>2619</v>
      </c>
      <c r="B1078" s="38">
        <v>46287</v>
      </c>
      <c r="C1078" s="23" t="s">
        <v>2620</v>
      </c>
      <c r="D1078" s="23" t="s">
        <v>91</v>
      </c>
      <c r="E1078" s="23" t="s">
        <v>79</v>
      </c>
      <c r="F1078" s="23" t="s">
        <v>1520</v>
      </c>
      <c r="G1078" s="23" t="s">
        <v>250</v>
      </c>
      <c r="H1078" s="39">
        <f t="shared" si="64"/>
        <v>499</v>
      </c>
      <c r="I1078" s="23" t="str">
        <f t="shared" si="65"/>
        <v>Pune</v>
      </c>
      <c r="J1078" s="23">
        <f>COUNTIFS(pg_transaction_cleaned!$O:$O,A1078,pg_transaction_cleaned!$F:$F,"CAPTURE")</f>
        <v>1</v>
      </c>
      <c r="K1078" s="39">
        <f>SUMIFS(pg_transaction_cleaned!$H:$H,pg_transaction_cleaned!$O:$O,A1078,pg_transaction_cleaned!$F:$F,"CAPTURE")</f>
        <v>499</v>
      </c>
      <c r="L1078" s="23">
        <f>COUNTIFS(pg_transaction_cleaned!$O:$O,A1078,pg_transaction_cleaned!$F:$F,"REFUND")</f>
        <v>0</v>
      </c>
      <c r="M1078" s="39">
        <f>SUMIFS(pg_transaction_cleaned!$H:$H,pg_transaction_cleaned!$O:$O,A1078,pg_transaction_cleaned!$F:$F,"REFUND")</f>
        <v>0</v>
      </c>
      <c r="N1078" s="23" t="str">
        <f t="shared" si="66"/>
        <v>OK</v>
      </c>
      <c r="O1078" s="24">
        <f t="shared" si="67"/>
        <v>0</v>
      </c>
    </row>
    <row r="1079" spans="1:15" ht="15" customHeight="1" x14ac:dyDescent="0.3">
      <c r="A1079" s="23" t="s">
        <v>2621</v>
      </c>
      <c r="B1079" s="38">
        <v>46278</v>
      </c>
      <c r="C1079" s="23" t="s">
        <v>2622</v>
      </c>
      <c r="D1079" s="23" t="s">
        <v>93</v>
      </c>
      <c r="E1079" s="23" t="s">
        <v>75</v>
      </c>
      <c r="F1079" s="23" t="s">
        <v>772</v>
      </c>
      <c r="G1079" s="23" t="s">
        <v>250</v>
      </c>
      <c r="H1079" s="39">
        <f t="shared" si="64"/>
        <v>4798</v>
      </c>
      <c r="I1079" s="23" t="str">
        <f t="shared" si="65"/>
        <v>Kolkata</v>
      </c>
      <c r="J1079" s="23">
        <f>COUNTIFS(pg_transaction_cleaned!$O:$O,A1079,pg_transaction_cleaned!$F:$F,"CAPTURE")</f>
        <v>1</v>
      </c>
      <c r="K1079" s="39">
        <f>SUMIFS(pg_transaction_cleaned!$H:$H,pg_transaction_cleaned!$O:$O,A1079,pg_transaction_cleaned!$F:$F,"CAPTURE")</f>
        <v>4798</v>
      </c>
      <c r="L1079" s="23">
        <f>COUNTIFS(pg_transaction_cleaned!$O:$O,A1079,pg_transaction_cleaned!$F:$F,"REFUND")</f>
        <v>0</v>
      </c>
      <c r="M1079" s="39">
        <f>SUMIFS(pg_transaction_cleaned!$H:$H,pg_transaction_cleaned!$O:$O,A1079,pg_transaction_cleaned!$F:$F,"REFUND")</f>
        <v>0</v>
      </c>
      <c r="N1079" s="23" t="str">
        <f t="shared" si="66"/>
        <v>OK</v>
      </c>
      <c r="O1079" s="24">
        <f t="shared" si="67"/>
        <v>0</v>
      </c>
    </row>
    <row r="1080" spans="1:15" ht="15" customHeight="1" x14ac:dyDescent="0.3">
      <c r="A1080" s="23" t="s">
        <v>2623</v>
      </c>
      <c r="B1080" s="38">
        <v>46288</v>
      </c>
      <c r="C1080" s="23" t="s">
        <v>2624</v>
      </c>
      <c r="D1080" s="23" t="s">
        <v>94</v>
      </c>
      <c r="E1080" s="23" t="s">
        <v>77</v>
      </c>
      <c r="F1080" s="23" t="s">
        <v>724</v>
      </c>
      <c r="G1080" s="23" t="s">
        <v>365</v>
      </c>
      <c r="H1080" s="39">
        <f t="shared" si="64"/>
        <v>3848</v>
      </c>
      <c r="I1080" s="23" t="str">
        <f t="shared" si="65"/>
        <v>Chennai</v>
      </c>
      <c r="J1080" s="23">
        <f>COUNTIFS(pg_transaction_cleaned!$O:$O,A1080,pg_transaction_cleaned!$F:$F,"CAPTURE")</f>
        <v>0</v>
      </c>
      <c r="K1080" s="39">
        <f>SUMIFS(pg_transaction_cleaned!$H:$H,pg_transaction_cleaned!$O:$O,A1080,pg_transaction_cleaned!$F:$F,"CAPTURE")</f>
        <v>0</v>
      </c>
      <c r="L1080" s="23">
        <f>COUNTIFS(pg_transaction_cleaned!$O:$O,A1080,pg_transaction_cleaned!$F:$F,"REFUND")</f>
        <v>0</v>
      </c>
      <c r="M1080" s="39">
        <f>SUMIFS(pg_transaction_cleaned!$H:$H,pg_transaction_cleaned!$O:$O,A1080,pg_transaction_cleaned!$F:$F,"REFUND")</f>
        <v>0</v>
      </c>
      <c r="N1080" s="23" t="str">
        <f t="shared" si="66"/>
        <v>OK</v>
      </c>
      <c r="O1080" s="24">
        <f t="shared" si="67"/>
        <v>0</v>
      </c>
    </row>
    <row r="1081" spans="1:15" ht="15" customHeight="1" x14ac:dyDescent="0.3">
      <c r="A1081" s="23" t="s">
        <v>2625</v>
      </c>
      <c r="B1081" s="38">
        <v>46272</v>
      </c>
      <c r="C1081" s="23" t="s">
        <v>2626</v>
      </c>
      <c r="D1081" s="23" t="s">
        <v>95</v>
      </c>
      <c r="E1081" s="23" t="s">
        <v>77</v>
      </c>
      <c r="F1081" s="23" t="s">
        <v>390</v>
      </c>
      <c r="G1081" s="23" t="s">
        <v>250</v>
      </c>
      <c r="H1081" s="39">
        <f t="shared" si="64"/>
        <v>599</v>
      </c>
      <c r="I1081" s="23" t="str">
        <f t="shared" si="65"/>
        <v>Bengaluru</v>
      </c>
      <c r="J1081" s="23">
        <f>COUNTIFS(pg_transaction_cleaned!$O:$O,A1081,pg_transaction_cleaned!$F:$F,"CAPTURE")</f>
        <v>1</v>
      </c>
      <c r="K1081" s="39">
        <f>SUMIFS(pg_transaction_cleaned!$H:$H,pg_transaction_cleaned!$O:$O,A1081,pg_transaction_cleaned!$F:$F,"CAPTURE")</f>
        <v>599</v>
      </c>
      <c r="L1081" s="23">
        <f>COUNTIFS(pg_transaction_cleaned!$O:$O,A1081,pg_transaction_cleaned!$F:$F,"REFUND")</f>
        <v>0</v>
      </c>
      <c r="M1081" s="39">
        <f>SUMIFS(pg_transaction_cleaned!$H:$H,pg_transaction_cleaned!$O:$O,A1081,pg_transaction_cleaned!$F:$F,"REFUND")</f>
        <v>0</v>
      </c>
      <c r="N1081" s="23" t="str">
        <f t="shared" si="66"/>
        <v>OK</v>
      </c>
      <c r="O1081" s="24">
        <f t="shared" si="67"/>
        <v>0</v>
      </c>
    </row>
    <row r="1082" spans="1:15" ht="15" customHeight="1" x14ac:dyDescent="0.3">
      <c r="A1082" s="23" t="s">
        <v>2627</v>
      </c>
      <c r="B1082" s="38">
        <v>46292</v>
      </c>
      <c r="C1082" s="23" t="s">
        <v>2628</v>
      </c>
      <c r="D1082" s="23" t="s">
        <v>88</v>
      </c>
      <c r="E1082" s="23" t="s">
        <v>79</v>
      </c>
      <c r="F1082" s="23" t="s">
        <v>520</v>
      </c>
      <c r="G1082" s="23" t="s">
        <v>250</v>
      </c>
      <c r="H1082" s="39">
        <f t="shared" si="64"/>
        <v>4998</v>
      </c>
      <c r="I1082" s="23" t="str">
        <f t="shared" si="65"/>
        <v>Lucknow</v>
      </c>
      <c r="J1082" s="23">
        <f>COUNTIFS(pg_transaction_cleaned!$O:$O,A1082,pg_transaction_cleaned!$F:$F,"CAPTURE")</f>
        <v>1</v>
      </c>
      <c r="K1082" s="39">
        <f>SUMIFS(pg_transaction_cleaned!$H:$H,pg_transaction_cleaned!$O:$O,A1082,pg_transaction_cleaned!$F:$F,"CAPTURE")</f>
        <v>4998</v>
      </c>
      <c r="L1082" s="23">
        <f>COUNTIFS(pg_transaction_cleaned!$O:$O,A1082,pg_transaction_cleaned!$F:$F,"REFUND")</f>
        <v>0</v>
      </c>
      <c r="M1082" s="39">
        <f>SUMIFS(pg_transaction_cleaned!$H:$H,pg_transaction_cleaned!$O:$O,A1082,pg_transaction_cleaned!$F:$F,"REFUND")</f>
        <v>0</v>
      </c>
      <c r="N1082" s="23" t="str">
        <f t="shared" si="66"/>
        <v>OK</v>
      </c>
      <c r="O1082" s="24">
        <f t="shared" si="67"/>
        <v>0</v>
      </c>
    </row>
    <row r="1083" spans="1:15" ht="15" customHeight="1" x14ac:dyDescent="0.3">
      <c r="A1083" s="23" t="s">
        <v>2629</v>
      </c>
      <c r="B1083" s="38">
        <v>46274</v>
      </c>
      <c r="C1083" s="23" t="s">
        <v>2630</v>
      </c>
      <c r="D1083" s="23" t="s">
        <v>89</v>
      </c>
      <c r="E1083" s="23" t="s">
        <v>77</v>
      </c>
      <c r="F1083" s="23" t="s">
        <v>1123</v>
      </c>
      <c r="G1083" s="23" t="s">
        <v>250</v>
      </c>
      <c r="H1083" s="39">
        <f t="shared" si="64"/>
        <v>3797</v>
      </c>
      <c r="I1083" s="23" t="str">
        <f t="shared" si="65"/>
        <v>Jaipur</v>
      </c>
      <c r="J1083" s="23">
        <f>COUNTIFS(pg_transaction_cleaned!$O:$O,A1083,pg_transaction_cleaned!$F:$F,"CAPTURE")</f>
        <v>1</v>
      </c>
      <c r="K1083" s="39">
        <f>SUMIFS(pg_transaction_cleaned!$H:$H,pg_transaction_cleaned!$O:$O,A1083,pg_transaction_cleaned!$F:$F,"CAPTURE")</f>
        <v>3797</v>
      </c>
      <c r="L1083" s="23">
        <f>COUNTIFS(pg_transaction_cleaned!$O:$O,A1083,pg_transaction_cleaned!$F:$F,"REFUND")</f>
        <v>0</v>
      </c>
      <c r="M1083" s="39">
        <f>SUMIFS(pg_transaction_cleaned!$H:$H,pg_transaction_cleaned!$O:$O,A1083,pg_transaction_cleaned!$F:$F,"REFUND")</f>
        <v>0</v>
      </c>
      <c r="N1083" s="23" t="str">
        <f t="shared" si="66"/>
        <v>OK</v>
      </c>
      <c r="O1083" s="24">
        <f t="shared" si="67"/>
        <v>0</v>
      </c>
    </row>
    <row r="1084" spans="1:15" ht="15" customHeight="1" x14ac:dyDescent="0.3">
      <c r="A1084" s="23" t="s">
        <v>2631</v>
      </c>
      <c r="B1084" s="38">
        <v>46274</v>
      </c>
      <c r="C1084" s="23" t="s">
        <v>2632</v>
      </c>
      <c r="D1084" s="23" t="s">
        <v>90</v>
      </c>
      <c r="E1084" s="23" t="s">
        <v>75</v>
      </c>
      <c r="F1084" s="23" t="s">
        <v>297</v>
      </c>
      <c r="G1084" s="23" t="s">
        <v>250</v>
      </c>
      <c r="H1084" s="39">
        <f t="shared" si="64"/>
        <v>4999</v>
      </c>
      <c r="I1084" s="23" t="str">
        <f t="shared" si="65"/>
        <v>Ahmedabad</v>
      </c>
      <c r="J1084" s="23">
        <f>COUNTIFS(pg_transaction_cleaned!$O:$O,A1084,pg_transaction_cleaned!$F:$F,"CAPTURE")</f>
        <v>1</v>
      </c>
      <c r="K1084" s="39">
        <f>SUMIFS(pg_transaction_cleaned!$H:$H,pg_transaction_cleaned!$O:$O,A1084,pg_transaction_cleaned!$F:$F,"CAPTURE")</f>
        <v>4999</v>
      </c>
      <c r="L1084" s="23">
        <f>COUNTIFS(pg_transaction_cleaned!$O:$O,A1084,pg_transaction_cleaned!$F:$F,"REFUND")</f>
        <v>0</v>
      </c>
      <c r="M1084" s="39">
        <f>SUMIFS(pg_transaction_cleaned!$H:$H,pg_transaction_cleaned!$O:$O,A1084,pg_transaction_cleaned!$F:$F,"REFUND")</f>
        <v>0</v>
      </c>
      <c r="N1084" s="23" t="str">
        <f t="shared" si="66"/>
        <v>OK</v>
      </c>
      <c r="O1084" s="24">
        <f t="shared" si="67"/>
        <v>0</v>
      </c>
    </row>
    <row r="1085" spans="1:15" ht="15" customHeight="1" x14ac:dyDescent="0.3">
      <c r="A1085" s="23" t="s">
        <v>2633</v>
      </c>
      <c r="B1085" s="38">
        <v>46273</v>
      </c>
      <c r="C1085" s="23" t="s">
        <v>2634</v>
      </c>
      <c r="D1085" s="23" t="s">
        <v>87</v>
      </c>
      <c r="E1085" s="23" t="s">
        <v>81</v>
      </c>
      <c r="F1085" s="23" t="s">
        <v>2635</v>
      </c>
      <c r="G1085" s="23" t="s">
        <v>250</v>
      </c>
      <c r="H1085" s="39">
        <f t="shared" si="64"/>
        <v>1147</v>
      </c>
      <c r="I1085" s="23" t="str">
        <f t="shared" si="65"/>
        <v>Mumbai</v>
      </c>
      <c r="J1085" s="23">
        <f>COUNTIFS(pg_transaction_cleaned!$O:$O,A1085,pg_transaction_cleaned!$F:$F,"CAPTURE")</f>
        <v>1</v>
      </c>
      <c r="K1085" s="39">
        <f>SUMIFS(pg_transaction_cleaned!$H:$H,pg_transaction_cleaned!$O:$O,A1085,pg_transaction_cleaned!$F:$F,"CAPTURE")</f>
        <v>1147</v>
      </c>
      <c r="L1085" s="23">
        <f>COUNTIFS(pg_transaction_cleaned!$O:$O,A1085,pg_transaction_cleaned!$F:$F,"REFUND")</f>
        <v>0</v>
      </c>
      <c r="M1085" s="39">
        <f>SUMIFS(pg_transaction_cleaned!$H:$H,pg_transaction_cleaned!$O:$O,A1085,pg_transaction_cleaned!$F:$F,"REFUND")</f>
        <v>0</v>
      </c>
      <c r="N1085" s="23" t="str">
        <f t="shared" si="66"/>
        <v>OK</v>
      </c>
      <c r="O1085" s="24">
        <f t="shared" si="67"/>
        <v>0</v>
      </c>
    </row>
    <row r="1086" spans="1:15" ht="15" customHeight="1" x14ac:dyDescent="0.3">
      <c r="A1086" s="23" t="s">
        <v>2636</v>
      </c>
      <c r="B1086" s="38">
        <v>46271</v>
      </c>
      <c r="C1086" s="23" t="s">
        <v>2637</v>
      </c>
      <c r="D1086" s="23" t="s">
        <v>91</v>
      </c>
      <c r="E1086" s="23" t="s">
        <v>75</v>
      </c>
      <c r="F1086" s="23" t="s">
        <v>438</v>
      </c>
      <c r="G1086" s="23" t="s">
        <v>250</v>
      </c>
      <c r="H1086" s="39">
        <f t="shared" si="64"/>
        <v>5498</v>
      </c>
      <c r="I1086" s="23" t="str">
        <f t="shared" si="65"/>
        <v>Pune</v>
      </c>
      <c r="J1086" s="23">
        <f>COUNTIFS(pg_transaction_cleaned!$O:$O,A1086,pg_transaction_cleaned!$F:$F,"CAPTURE")</f>
        <v>1</v>
      </c>
      <c r="K1086" s="39">
        <f>SUMIFS(pg_transaction_cleaned!$H:$H,pg_transaction_cleaned!$O:$O,A1086,pg_transaction_cleaned!$F:$F,"CAPTURE")</f>
        <v>5498</v>
      </c>
      <c r="L1086" s="23">
        <f>COUNTIFS(pg_transaction_cleaned!$O:$O,A1086,pg_transaction_cleaned!$F:$F,"REFUND")</f>
        <v>0</v>
      </c>
      <c r="M1086" s="39">
        <f>SUMIFS(pg_transaction_cleaned!$H:$H,pg_transaction_cleaned!$O:$O,A1086,pg_transaction_cleaned!$F:$F,"REFUND")</f>
        <v>0</v>
      </c>
      <c r="N1086" s="23" t="str">
        <f t="shared" si="66"/>
        <v>OK</v>
      </c>
      <c r="O1086" s="24">
        <f t="shared" si="67"/>
        <v>0</v>
      </c>
    </row>
    <row r="1087" spans="1:15" ht="15" customHeight="1" x14ac:dyDescent="0.3">
      <c r="A1087" s="23" t="s">
        <v>2638</v>
      </c>
      <c r="B1087" s="38">
        <v>46290</v>
      </c>
      <c r="C1087" s="23" t="s">
        <v>2639</v>
      </c>
      <c r="D1087" s="23" t="s">
        <v>95</v>
      </c>
      <c r="E1087" s="23" t="s">
        <v>79</v>
      </c>
      <c r="F1087" s="23" t="s">
        <v>396</v>
      </c>
      <c r="G1087" s="23" t="s">
        <v>250</v>
      </c>
      <c r="H1087" s="39">
        <f t="shared" si="64"/>
        <v>2999</v>
      </c>
      <c r="I1087" s="23" t="str">
        <f t="shared" si="65"/>
        <v>Bengaluru</v>
      </c>
      <c r="J1087" s="23">
        <f>COUNTIFS(pg_transaction_cleaned!$O:$O,A1087,pg_transaction_cleaned!$F:$F,"CAPTURE")</f>
        <v>1</v>
      </c>
      <c r="K1087" s="39">
        <f>SUMIFS(pg_transaction_cleaned!$H:$H,pg_transaction_cleaned!$O:$O,A1087,pg_transaction_cleaned!$F:$F,"CAPTURE")</f>
        <v>2999</v>
      </c>
      <c r="L1087" s="23">
        <f>COUNTIFS(pg_transaction_cleaned!$O:$O,A1087,pg_transaction_cleaned!$F:$F,"REFUND")</f>
        <v>0</v>
      </c>
      <c r="M1087" s="39">
        <f>SUMIFS(pg_transaction_cleaned!$H:$H,pg_transaction_cleaned!$O:$O,A1087,pg_transaction_cleaned!$F:$F,"REFUND")</f>
        <v>0</v>
      </c>
      <c r="N1087" s="23" t="str">
        <f t="shared" si="66"/>
        <v>OK</v>
      </c>
      <c r="O1087" s="24">
        <f t="shared" si="67"/>
        <v>0</v>
      </c>
    </row>
    <row r="1088" spans="1:15" ht="15" customHeight="1" x14ac:dyDescent="0.3">
      <c r="A1088" s="23" t="s">
        <v>2640</v>
      </c>
      <c r="B1088" s="38">
        <v>46275</v>
      </c>
      <c r="C1088" s="23" t="s">
        <v>2641</v>
      </c>
      <c r="D1088" s="23" t="s">
        <v>89</v>
      </c>
      <c r="E1088" s="23" t="s">
        <v>75</v>
      </c>
      <c r="F1088" s="23" t="s">
        <v>561</v>
      </c>
      <c r="G1088" s="23" t="s">
        <v>250</v>
      </c>
      <c r="H1088" s="39">
        <f t="shared" si="64"/>
        <v>4797</v>
      </c>
      <c r="I1088" s="23" t="str">
        <f t="shared" si="65"/>
        <v>Jaipur</v>
      </c>
      <c r="J1088" s="23">
        <f>COUNTIFS(pg_transaction_cleaned!$O:$O,A1088,pg_transaction_cleaned!$F:$F,"CAPTURE")</f>
        <v>1</v>
      </c>
      <c r="K1088" s="39">
        <f>SUMIFS(pg_transaction_cleaned!$H:$H,pg_transaction_cleaned!$O:$O,A1088,pg_transaction_cleaned!$F:$F,"CAPTURE")</f>
        <v>4797</v>
      </c>
      <c r="L1088" s="23">
        <f>COUNTIFS(pg_transaction_cleaned!$O:$O,A1088,pg_transaction_cleaned!$F:$F,"REFUND")</f>
        <v>0</v>
      </c>
      <c r="M1088" s="39">
        <f>SUMIFS(pg_transaction_cleaned!$H:$H,pg_transaction_cleaned!$O:$O,A1088,pg_transaction_cleaned!$F:$F,"REFUND")</f>
        <v>0</v>
      </c>
      <c r="N1088" s="23" t="str">
        <f t="shared" si="66"/>
        <v>OK</v>
      </c>
      <c r="O1088" s="24">
        <f t="shared" si="67"/>
        <v>0</v>
      </c>
    </row>
    <row r="1089" spans="1:15" ht="15" customHeight="1" x14ac:dyDescent="0.3">
      <c r="A1089" s="23" t="s">
        <v>2642</v>
      </c>
      <c r="B1089" s="38">
        <v>46266</v>
      </c>
      <c r="C1089" s="23" t="s">
        <v>2643</v>
      </c>
      <c r="D1089" s="23" t="s">
        <v>94</v>
      </c>
      <c r="E1089" s="23" t="s">
        <v>75</v>
      </c>
      <c r="F1089" s="23" t="s">
        <v>1035</v>
      </c>
      <c r="G1089" s="23" t="s">
        <v>365</v>
      </c>
      <c r="H1089" s="39">
        <f t="shared" si="64"/>
        <v>1299</v>
      </c>
      <c r="I1089" s="23" t="str">
        <f t="shared" si="65"/>
        <v>Chennai</v>
      </c>
      <c r="J1089" s="23">
        <f>COUNTIFS(pg_transaction_cleaned!$O:$O,A1089,pg_transaction_cleaned!$F:$F,"CAPTURE")</f>
        <v>0</v>
      </c>
      <c r="K1089" s="39">
        <f>SUMIFS(pg_transaction_cleaned!$H:$H,pg_transaction_cleaned!$O:$O,A1089,pg_transaction_cleaned!$F:$F,"CAPTURE")</f>
        <v>0</v>
      </c>
      <c r="L1089" s="23">
        <f>COUNTIFS(pg_transaction_cleaned!$O:$O,A1089,pg_transaction_cleaned!$F:$F,"REFUND")</f>
        <v>0</v>
      </c>
      <c r="M1089" s="39">
        <f>SUMIFS(pg_transaction_cleaned!$H:$H,pg_transaction_cleaned!$O:$O,A1089,pg_transaction_cleaned!$F:$F,"REFUND")</f>
        <v>0</v>
      </c>
      <c r="N1089" s="23" t="str">
        <f t="shared" si="66"/>
        <v>OK</v>
      </c>
      <c r="O1089" s="24">
        <f t="shared" si="67"/>
        <v>0</v>
      </c>
    </row>
    <row r="1090" spans="1:15" ht="15" customHeight="1" x14ac:dyDescent="0.3">
      <c r="A1090" s="23" t="s">
        <v>2644</v>
      </c>
      <c r="B1090" s="38">
        <v>46293</v>
      </c>
      <c r="C1090" s="23" t="s">
        <v>2645</v>
      </c>
      <c r="D1090" s="23" t="s">
        <v>92</v>
      </c>
      <c r="E1090" s="23" t="s">
        <v>75</v>
      </c>
      <c r="F1090" s="23" t="s">
        <v>483</v>
      </c>
      <c r="G1090" s="23" t="s">
        <v>250</v>
      </c>
      <c r="H1090" s="39">
        <f t="shared" ref="H1090:H1153" si="68">VALUE(SUBSTITUTE(F1090,",",""))</f>
        <v>2998</v>
      </c>
      <c r="I1090" s="23" t="str">
        <f t="shared" ref="I1090:I1153" si="69">IF(TRIM(D1090)="","Unknown",TRIM(D1090))</f>
        <v>Hyderabad</v>
      </c>
      <c r="J1090" s="23">
        <f>COUNTIFS(pg_transaction_cleaned!$O:$O,A1090,pg_transaction_cleaned!$F:$F,"CAPTURE")</f>
        <v>1</v>
      </c>
      <c r="K1090" s="39">
        <f>SUMIFS(pg_transaction_cleaned!$H:$H,pg_transaction_cleaned!$O:$O,A1090,pg_transaction_cleaned!$F:$F,"CAPTURE")</f>
        <v>2998</v>
      </c>
      <c r="L1090" s="23">
        <f>COUNTIFS(pg_transaction_cleaned!$O:$O,A1090,pg_transaction_cleaned!$F:$F,"REFUND")</f>
        <v>0</v>
      </c>
      <c r="M1090" s="39">
        <f>SUMIFS(pg_transaction_cleaned!$H:$H,pg_transaction_cleaned!$O:$O,A1090,pg_transaction_cleaned!$F:$F,"REFUND")</f>
        <v>0</v>
      </c>
      <c r="N1090" s="23" t="str">
        <f t="shared" ref="N1090:N1153" si="70">IF(AND(G1090="Paid",J1090=0),"Paid, no payment",IF(AND(OR(G1090="Failed",G1090="Cancelled"),J1090&gt;0),"Payment on failed/cancelled",IF(J1090&gt;1,"Duplicate charge",IF(AND(J1090=1,ROUND(K1090-H1090,2)&lt;&gt;0),"Amount difference",IF(AND(G1090="Refunded",L1090=0),"Refunded, no refund",IF(AND(G1090&lt;&gt;"Refunded",L1090&gt;0),"Refund, order not Refunded",IF(AND(L1090&gt;0,ROUND(M1090-H1090,2)&lt;&gt;0),"Refund amount differs","OK")))))))</f>
        <v>OK</v>
      </c>
      <c r="O1090" s="24">
        <f t="shared" ref="O1090:O1153" si="71">IF(N1090="OK",0,IF(N1090="Paid, no payment",H1090,IF(N1090="Payment on failed/cancelled",K1090,IF(OR(N1090="Duplicate charge",N1090="Amount difference"),K1090-H1090,IF(N1090="Refunded, no refund",H1090,M1090)))))</f>
        <v>0</v>
      </c>
    </row>
    <row r="1091" spans="1:15" ht="15" customHeight="1" x14ac:dyDescent="0.3">
      <c r="A1091" s="23" t="s">
        <v>2646</v>
      </c>
      <c r="B1091" s="38">
        <v>46294</v>
      </c>
      <c r="C1091" s="23" t="s">
        <v>2647</v>
      </c>
      <c r="D1091" s="23" t="s">
        <v>91</v>
      </c>
      <c r="E1091" s="23" t="s">
        <v>79</v>
      </c>
      <c r="F1091" s="23" t="s">
        <v>2364</v>
      </c>
      <c r="G1091" s="23" t="s">
        <v>250</v>
      </c>
      <c r="H1091" s="39">
        <f t="shared" si="68"/>
        <v>3297</v>
      </c>
      <c r="I1091" s="23" t="str">
        <f t="shared" si="69"/>
        <v>Pune</v>
      </c>
      <c r="J1091" s="23">
        <f>COUNTIFS(pg_transaction_cleaned!$O:$O,A1091,pg_transaction_cleaned!$F:$F,"CAPTURE")</f>
        <v>1</v>
      </c>
      <c r="K1091" s="39">
        <f>SUMIFS(pg_transaction_cleaned!$H:$H,pg_transaction_cleaned!$O:$O,A1091,pg_transaction_cleaned!$F:$F,"CAPTURE")</f>
        <v>3297</v>
      </c>
      <c r="L1091" s="23">
        <f>COUNTIFS(pg_transaction_cleaned!$O:$O,A1091,pg_transaction_cleaned!$F:$F,"REFUND")</f>
        <v>0</v>
      </c>
      <c r="M1091" s="39">
        <f>SUMIFS(pg_transaction_cleaned!$H:$H,pg_transaction_cleaned!$O:$O,A1091,pg_transaction_cleaned!$F:$F,"REFUND")</f>
        <v>0</v>
      </c>
      <c r="N1091" s="23" t="str">
        <f t="shared" si="70"/>
        <v>OK</v>
      </c>
      <c r="O1091" s="24">
        <f t="shared" si="71"/>
        <v>0</v>
      </c>
    </row>
    <row r="1092" spans="1:15" ht="15" customHeight="1" x14ac:dyDescent="0.3">
      <c r="A1092" s="23" t="s">
        <v>2648</v>
      </c>
      <c r="B1092" s="38">
        <v>46284</v>
      </c>
      <c r="C1092" s="23" t="s">
        <v>2649</v>
      </c>
      <c r="D1092" s="23" t="s">
        <v>89</v>
      </c>
      <c r="E1092" s="23" t="s">
        <v>79</v>
      </c>
      <c r="F1092" s="23" t="s">
        <v>1448</v>
      </c>
      <c r="G1092" s="23" t="s">
        <v>250</v>
      </c>
      <c r="H1092" s="39">
        <f t="shared" si="68"/>
        <v>6297</v>
      </c>
      <c r="I1092" s="23" t="str">
        <f t="shared" si="69"/>
        <v>Jaipur</v>
      </c>
      <c r="J1092" s="23">
        <f>COUNTIFS(pg_transaction_cleaned!$O:$O,A1092,pg_transaction_cleaned!$F:$F,"CAPTURE")</f>
        <v>1</v>
      </c>
      <c r="K1092" s="39">
        <f>SUMIFS(pg_transaction_cleaned!$H:$H,pg_transaction_cleaned!$O:$O,A1092,pg_transaction_cleaned!$F:$F,"CAPTURE")</f>
        <v>6297</v>
      </c>
      <c r="L1092" s="23">
        <f>COUNTIFS(pg_transaction_cleaned!$O:$O,A1092,pg_transaction_cleaned!$F:$F,"REFUND")</f>
        <v>0</v>
      </c>
      <c r="M1092" s="39">
        <f>SUMIFS(pg_transaction_cleaned!$H:$H,pg_transaction_cleaned!$O:$O,A1092,pg_transaction_cleaned!$F:$F,"REFUND")</f>
        <v>0</v>
      </c>
      <c r="N1092" s="23" t="str">
        <f t="shared" si="70"/>
        <v>OK</v>
      </c>
      <c r="O1092" s="24">
        <f t="shared" si="71"/>
        <v>0</v>
      </c>
    </row>
    <row r="1093" spans="1:15" ht="15" customHeight="1" x14ac:dyDescent="0.3">
      <c r="A1093" s="23" t="s">
        <v>2650</v>
      </c>
      <c r="B1093" s="38">
        <v>46293</v>
      </c>
      <c r="C1093" s="23" t="s">
        <v>2651</v>
      </c>
      <c r="D1093" s="23" t="s">
        <v>93</v>
      </c>
      <c r="E1093" s="23" t="s">
        <v>75</v>
      </c>
      <c r="F1093" s="23" t="s">
        <v>294</v>
      </c>
      <c r="G1093" s="23" t="s">
        <v>250</v>
      </c>
      <c r="H1093" s="39">
        <f t="shared" si="68"/>
        <v>1799</v>
      </c>
      <c r="I1093" s="23" t="str">
        <f t="shared" si="69"/>
        <v>Kolkata</v>
      </c>
      <c r="J1093" s="23">
        <f>COUNTIFS(pg_transaction_cleaned!$O:$O,A1093,pg_transaction_cleaned!$F:$F,"CAPTURE")</f>
        <v>1</v>
      </c>
      <c r="K1093" s="39">
        <f>SUMIFS(pg_transaction_cleaned!$H:$H,pg_transaction_cleaned!$O:$O,A1093,pg_transaction_cleaned!$F:$F,"CAPTURE")</f>
        <v>1799</v>
      </c>
      <c r="L1093" s="23">
        <f>COUNTIFS(pg_transaction_cleaned!$O:$O,A1093,pg_transaction_cleaned!$F:$F,"REFUND")</f>
        <v>0</v>
      </c>
      <c r="M1093" s="39">
        <f>SUMIFS(pg_transaction_cleaned!$H:$H,pg_transaction_cleaned!$O:$O,A1093,pg_transaction_cleaned!$F:$F,"REFUND")</f>
        <v>0</v>
      </c>
      <c r="N1093" s="23" t="str">
        <f t="shared" si="70"/>
        <v>OK</v>
      </c>
      <c r="O1093" s="24">
        <f t="shared" si="71"/>
        <v>0</v>
      </c>
    </row>
    <row r="1094" spans="1:15" ht="15" customHeight="1" x14ac:dyDescent="0.3">
      <c r="A1094" s="23" t="s">
        <v>2652</v>
      </c>
      <c r="B1094" s="38">
        <v>46285</v>
      </c>
      <c r="C1094" s="23" t="s">
        <v>2653</v>
      </c>
      <c r="D1094" s="23" t="s">
        <v>86</v>
      </c>
      <c r="E1094" s="23" t="s">
        <v>75</v>
      </c>
      <c r="F1094" s="23" t="s">
        <v>2304</v>
      </c>
      <c r="G1094" s="23" t="s">
        <v>250</v>
      </c>
      <c r="H1094" s="39">
        <f t="shared" si="68"/>
        <v>6797</v>
      </c>
      <c r="I1094" s="23" t="str">
        <f t="shared" si="69"/>
        <v>Delhi</v>
      </c>
      <c r="J1094" s="23">
        <f>COUNTIFS(pg_transaction_cleaned!$O:$O,A1094,pg_transaction_cleaned!$F:$F,"CAPTURE")</f>
        <v>1</v>
      </c>
      <c r="K1094" s="39">
        <f>SUMIFS(pg_transaction_cleaned!$H:$H,pg_transaction_cleaned!$O:$O,A1094,pg_transaction_cleaned!$F:$F,"CAPTURE")</f>
        <v>6797</v>
      </c>
      <c r="L1094" s="23">
        <f>COUNTIFS(pg_transaction_cleaned!$O:$O,A1094,pg_transaction_cleaned!$F:$F,"REFUND")</f>
        <v>0</v>
      </c>
      <c r="M1094" s="39">
        <f>SUMIFS(pg_transaction_cleaned!$H:$H,pg_transaction_cleaned!$O:$O,A1094,pg_transaction_cleaned!$F:$F,"REFUND")</f>
        <v>0</v>
      </c>
      <c r="N1094" s="23" t="str">
        <f t="shared" si="70"/>
        <v>OK</v>
      </c>
      <c r="O1094" s="24">
        <f t="shared" si="71"/>
        <v>0</v>
      </c>
    </row>
    <row r="1095" spans="1:15" ht="15" customHeight="1" x14ac:dyDescent="0.3">
      <c r="A1095" s="23" t="s">
        <v>2654</v>
      </c>
      <c r="B1095" s="38">
        <v>46292</v>
      </c>
      <c r="C1095" s="23" t="s">
        <v>2655</v>
      </c>
      <c r="D1095" s="23" t="s">
        <v>94</v>
      </c>
      <c r="E1095" s="23" t="s">
        <v>79</v>
      </c>
      <c r="F1095" s="23" t="s">
        <v>265</v>
      </c>
      <c r="G1095" s="23" t="s">
        <v>250</v>
      </c>
      <c r="H1095" s="39">
        <f t="shared" si="68"/>
        <v>999</v>
      </c>
      <c r="I1095" s="23" t="str">
        <f t="shared" si="69"/>
        <v>Chennai</v>
      </c>
      <c r="J1095" s="23">
        <f>COUNTIFS(pg_transaction_cleaned!$O:$O,A1095,pg_transaction_cleaned!$F:$F,"CAPTURE")</f>
        <v>1</v>
      </c>
      <c r="K1095" s="39">
        <f>SUMIFS(pg_transaction_cleaned!$H:$H,pg_transaction_cleaned!$O:$O,A1095,pg_transaction_cleaned!$F:$F,"CAPTURE")</f>
        <v>999</v>
      </c>
      <c r="L1095" s="23">
        <f>COUNTIFS(pg_transaction_cleaned!$O:$O,A1095,pg_transaction_cleaned!$F:$F,"REFUND")</f>
        <v>0</v>
      </c>
      <c r="M1095" s="39">
        <f>SUMIFS(pg_transaction_cleaned!$H:$H,pg_transaction_cleaned!$O:$O,A1095,pg_transaction_cleaned!$F:$F,"REFUND")</f>
        <v>0</v>
      </c>
      <c r="N1095" s="23" t="str">
        <f t="shared" si="70"/>
        <v>OK</v>
      </c>
      <c r="O1095" s="24">
        <f t="shared" si="71"/>
        <v>0</v>
      </c>
    </row>
    <row r="1096" spans="1:15" ht="15" customHeight="1" x14ac:dyDescent="0.3">
      <c r="A1096" s="23" t="s">
        <v>2656</v>
      </c>
      <c r="B1096" s="38">
        <v>46278</v>
      </c>
      <c r="C1096" s="23" t="s">
        <v>2657</v>
      </c>
      <c r="D1096" s="23" t="s">
        <v>87</v>
      </c>
      <c r="E1096" s="23" t="s">
        <v>75</v>
      </c>
      <c r="F1096" s="23" t="s">
        <v>268</v>
      </c>
      <c r="G1096" s="23" t="s">
        <v>250</v>
      </c>
      <c r="H1096" s="39">
        <f t="shared" si="68"/>
        <v>1299</v>
      </c>
      <c r="I1096" s="23" t="str">
        <f t="shared" si="69"/>
        <v>Mumbai</v>
      </c>
      <c r="J1096" s="23">
        <f>COUNTIFS(pg_transaction_cleaned!$O:$O,A1096,pg_transaction_cleaned!$F:$F,"CAPTURE")</f>
        <v>1</v>
      </c>
      <c r="K1096" s="39">
        <f>SUMIFS(pg_transaction_cleaned!$H:$H,pg_transaction_cleaned!$O:$O,A1096,pg_transaction_cleaned!$F:$F,"CAPTURE")</f>
        <v>1299</v>
      </c>
      <c r="L1096" s="23">
        <f>COUNTIFS(pg_transaction_cleaned!$O:$O,A1096,pg_transaction_cleaned!$F:$F,"REFUND")</f>
        <v>0</v>
      </c>
      <c r="M1096" s="39">
        <f>SUMIFS(pg_transaction_cleaned!$H:$H,pg_transaction_cleaned!$O:$O,A1096,pg_transaction_cleaned!$F:$F,"REFUND")</f>
        <v>0</v>
      </c>
      <c r="N1096" s="23" t="str">
        <f t="shared" si="70"/>
        <v>OK</v>
      </c>
      <c r="O1096" s="24">
        <f t="shared" si="71"/>
        <v>0</v>
      </c>
    </row>
    <row r="1097" spans="1:15" ht="15" customHeight="1" x14ac:dyDescent="0.3">
      <c r="A1097" s="23" t="s">
        <v>2658</v>
      </c>
      <c r="B1097" s="38">
        <v>46287</v>
      </c>
      <c r="C1097" s="23" t="s">
        <v>2659</v>
      </c>
      <c r="D1097" s="23" t="s">
        <v>91</v>
      </c>
      <c r="E1097" s="23" t="s">
        <v>75</v>
      </c>
      <c r="F1097" s="23" t="s">
        <v>329</v>
      </c>
      <c r="G1097" s="23" t="s">
        <v>250</v>
      </c>
      <c r="H1097" s="39">
        <f t="shared" si="68"/>
        <v>599</v>
      </c>
      <c r="I1097" s="23" t="str">
        <f t="shared" si="69"/>
        <v>Pune</v>
      </c>
      <c r="J1097" s="23">
        <f>COUNTIFS(pg_transaction_cleaned!$O:$O,A1097,pg_transaction_cleaned!$F:$F,"CAPTURE")</f>
        <v>1</v>
      </c>
      <c r="K1097" s="39">
        <f>SUMIFS(pg_transaction_cleaned!$H:$H,pg_transaction_cleaned!$O:$O,A1097,pg_transaction_cleaned!$F:$F,"CAPTURE")</f>
        <v>599</v>
      </c>
      <c r="L1097" s="23">
        <f>COUNTIFS(pg_transaction_cleaned!$O:$O,A1097,pg_transaction_cleaned!$F:$F,"REFUND")</f>
        <v>0</v>
      </c>
      <c r="M1097" s="39">
        <f>SUMIFS(pg_transaction_cleaned!$H:$H,pg_transaction_cleaned!$O:$O,A1097,pg_transaction_cleaned!$F:$F,"REFUND")</f>
        <v>0</v>
      </c>
      <c r="N1097" s="23" t="str">
        <f t="shared" si="70"/>
        <v>OK</v>
      </c>
      <c r="O1097" s="24">
        <f t="shared" si="71"/>
        <v>0</v>
      </c>
    </row>
    <row r="1098" spans="1:15" ht="15" customHeight="1" x14ac:dyDescent="0.3">
      <c r="A1098" s="23" t="s">
        <v>2660</v>
      </c>
      <c r="B1098" s="38">
        <v>46293</v>
      </c>
      <c r="C1098" s="23" t="s">
        <v>2661</v>
      </c>
      <c r="D1098" s="23" t="s">
        <v>87</v>
      </c>
      <c r="E1098" s="23" t="s">
        <v>75</v>
      </c>
      <c r="F1098" s="23" t="s">
        <v>274</v>
      </c>
      <c r="G1098" s="23" t="s">
        <v>250</v>
      </c>
      <c r="H1098" s="39">
        <f t="shared" si="68"/>
        <v>349</v>
      </c>
      <c r="I1098" s="23" t="str">
        <f t="shared" si="69"/>
        <v>Mumbai</v>
      </c>
      <c r="J1098" s="23">
        <f>COUNTIFS(pg_transaction_cleaned!$O:$O,A1098,pg_transaction_cleaned!$F:$F,"CAPTURE")</f>
        <v>1</v>
      </c>
      <c r="K1098" s="39">
        <f>SUMIFS(pg_transaction_cleaned!$H:$H,pg_transaction_cleaned!$O:$O,A1098,pg_transaction_cleaned!$F:$F,"CAPTURE")</f>
        <v>349</v>
      </c>
      <c r="L1098" s="23">
        <f>COUNTIFS(pg_transaction_cleaned!$O:$O,A1098,pg_transaction_cleaned!$F:$F,"REFUND")</f>
        <v>0</v>
      </c>
      <c r="M1098" s="39">
        <f>SUMIFS(pg_transaction_cleaned!$H:$H,pg_transaction_cleaned!$O:$O,A1098,pg_transaction_cleaned!$F:$F,"REFUND")</f>
        <v>0</v>
      </c>
      <c r="N1098" s="23" t="str">
        <f t="shared" si="70"/>
        <v>OK</v>
      </c>
      <c r="O1098" s="24">
        <f t="shared" si="71"/>
        <v>0</v>
      </c>
    </row>
    <row r="1099" spans="1:15" ht="15" customHeight="1" x14ac:dyDescent="0.3">
      <c r="A1099" s="23" t="s">
        <v>2662</v>
      </c>
      <c r="B1099" s="38">
        <v>46280</v>
      </c>
      <c r="C1099" s="23" t="s">
        <v>2663</v>
      </c>
      <c r="D1099" s="23" t="s">
        <v>90</v>
      </c>
      <c r="E1099" s="23" t="s">
        <v>75</v>
      </c>
      <c r="F1099" s="23" t="s">
        <v>1635</v>
      </c>
      <c r="G1099" s="23" t="s">
        <v>250</v>
      </c>
      <c r="H1099" s="39">
        <f t="shared" si="68"/>
        <v>11797</v>
      </c>
      <c r="I1099" s="23" t="str">
        <f t="shared" si="69"/>
        <v>Ahmedabad</v>
      </c>
      <c r="J1099" s="23">
        <f>COUNTIFS(pg_transaction_cleaned!$O:$O,A1099,pg_transaction_cleaned!$F:$F,"CAPTURE")</f>
        <v>1</v>
      </c>
      <c r="K1099" s="39">
        <f>SUMIFS(pg_transaction_cleaned!$H:$H,pg_transaction_cleaned!$O:$O,A1099,pg_transaction_cleaned!$F:$F,"CAPTURE")</f>
        <v>11797</v>
      </c>
      <c r="L1099" s="23">
        <f>COUNTIFS(pg_transaction_cleaned!$O:$O,A1099,pg_transaction_cleaned!$F:$F,"REFUND")</f>
        <v>0</v>
      </c>
      <c r="M1099" s="39">
        <f>SUMIFS(pg_transaction_cleaned!$H:$H,pg_transaction_cleaned!$O:$O,A1099,pg_transaction_cleaned!$F:$F,"REFUND")</f>
        <v>0</v>
      </c>
      <c r="N1099" s="23" t="str">
        <f t="shared" si="70"/>
        <v>OK</v>
      </c>
      <c r="O1099" s="24">
        <f t="shared" si="71"/>
        <v>0</v>
      </c>
    </row>
    <row r="1100" spans="1:15" ht="15" customHeight="1" x14ac:dyDescent="0.3">
      <c r="A1100" s="23" t="s">
        <v>2664</v>
      </c>
      <c r="B1100" s="38">
        <v>46284</v>
      </c>
      <c r="C1100" s="23" t="s">
        <v>2665</v>
      </c>
      <c r="D1100" s="23" t="s">
        <v>91</v>
      </c>
      <c r="E1100" s="23" t="s">
        <v>75</v>
      </c>
      <c r="F1100" s="23" t="s">
        <v>265</v>
      </c>
      <c r="G1100" s="23" t="s">
        <v>250</v>
      </c>
      <c r="H1100" s="39">
        <f t="shared" si="68"/>
        <v>999</v>
      </c>
      <c r="I1100" s="23" t="str">
        <f t="shared" si="69"/>
        <v>Pune</v>
      </c>
      <c r="J1100" s="23">
        <f>COUNTIFS(pg_transaction_cleaned!$O:$O,A1100,pg_transaction_cleaned!$F:$F,"CAPTURE")</f>
        <v>1</v>
      </c>
      <c r="K1100" s="39">
        <f>SUMIFS(pg_transaction_cleaned!$H:$H,pg_transaction_cleaned!$O:$O,A1100,pg_transaction_cleaned!$F:$F,"CAPTURE")</f>
        <v>999</v>
      </c>
      <c r="L1100" s="23">
        <f>COUNTIFS(pg_transaction_cleaned!$O:$O,A1100,pg_transaction_cleaned!$F:$F,"REFUND")</f>
        <v>0</v>
      </c>
      <c r="M1100" s="39">
        <f>SUMIFS(pg_transaction_cleaned!$H:$H,pg_transaction_cleaned!$O:$O,A1100,pg_transaction_cleaned!$F:$F,"REFUND")</f>
        <v>0</v>
      </c>
      <c r="N1100" s="23" t="str">
        <f t="shared" si="70"/>
        <v>OK</v>
      </c>
      <c r="O1100" s="24">
        <f t="shared" si="71"/>
        <v>0</v>
      </c>
    </row>
    <row r="1101" spans="1:15" ht="15" customHeight="1" x14ac:dyDescent="0.3">
      <c r="A1101" s="23" t="s">
        <v>2666</v>
      </c>
      <c r="B1101" s="38">
        <v>46291</v>
      </c>
      <c r="C1101" s="23" t="s">
        <v>2667</v>
      </c>
      <c r="D1101" s="23" t="s">
        <v>94</v>
      </c>
      <c r="E1101" s="23" t="s">
        <v>75</v>
      </c>
      <c r="F1101" s="23" t="s">
        <v>724</v>
      </c>
      <c r="G1101" s="23" t="s">
        <v>250</v>
      </c>
      <c r="H1101" s="39">
        <f t="shared" si="68"/>
        <v>3848</v>
      </c>
      <c r="I1101" s="23" t="str">
        <f t="shared" si="69"/>
        <v>Chennai</v>
      </c>
      <c r="J1101" s="23">
        <f>COUNTIFS(pg_transaction_cleaned!$O:$O,A1101,pg_transaction_cleaned!$F:$F,"CAPTURE")</f>
        <v>1</v>
      </c>
      <c r="K1101" s="39">
        <f>SUMIFS(pg_transaction_cleaned!$H:$H,pg_transaction_cleaned!$O:$O,A1101,pg_transaction_cleaned!$F:$F,"CAPTURE")</f>
        <v>3848</v>
      </c>
      <c r="L1101" s="23">
        <f>COUNTIFS(pg_transaction_cleaned!$O:$O,A1101,pg_transaction_cleaned!$F:$F,"REFUND")</f>
        <v>0</v>
      </c>
      <c r="M1101" s="39">
        <f>SUMIFS(pg_transaction_cleaned!$H:$H,pg_transaction_cleaned!$O:$O,A1101,pg_transaction_cleaned!$F:$F,"REFUND")</f>
        <v>0</v>
      </c>
      <c r="N1101" s="23" t="str">
        <f t="shared" si="70"/>
        <v>OK</v>
      </c>
      <c r="O1101" s="24">
        <f t="shared" si="71"/>
        <v>0</v>
      </c>
    </row>
    <row r="1102" spans="1:15" ht="15" customHeight="1" x14ac:dyDescent="0.3">
      <c r="A1102" s="23" t="s">
        <v>2668</v>
      </c>
      <c r="B1102" s="38">
        <v>46271</v>
      </c>
      <c r="C1102" s="23" t="s">
        <v>2669</v>
      </c>
      <c r="D1102" s="23" t="s">
        <v>91</v>
      </c>
      <c r="E1102" s="23" t="s">
        <v>75</v>
      </c>
      <c r="F1102" s="23" t="s">
        <v>349</v>
      </c>
      <c r="G1102" s="23" t="s">
        <v>301</v>
      </c>
      <c r="H1102" s="39">
        <f t="shared" si="68"/>
        <v>1798</v>
      </c>
      <c r="I1102" s="23" t="str">
        <f t="shared" si="69"/>
        <v>Pune</v>
      </c>
      <c r="J1102" s="23">
        <f>COUNTIFS(pg_transaction_cleaned!$O:$O,A1102,pg_transaction_cleaned!$F:$F,"CAPTURE")</f>
        <v>1</v>
      </c>
      <c r="K1102" s="39">
        <f>SUMIFS(pg_transaction_cleaned!$H:$H,pg_transaction_cleaned!$O:$O,A1102,pg_transaction_cleaned!$F:$F,"CAPTURE")</f>
        <v>1798</v>
      </c>
      <c r="L1102" s="23">
        <f>COUNTIFS(pg_transaction_cleaned!$O:$O,A1102,pg_transaction_cleaned!$F:$F,"REFUND")</f>
        <v>1</v>
      </c>
      <c r="M1102" s="39">
        <f>SUMIFS(pg_transaction_cleaned!$H:$H,pg_transaction_cleaned!$O:$O,A1102,pg_transaction_cleaned!$F:$F,"REFUND")</f>
        <v>1798</v>
      </c>
      <c r="N1102" s="23" t="str">
        <f t="shared" si="70"/>
        <v>OK</v>
      </c>
      <c r="O1102" s="24">
        <f t="shared" si="71"/>
        <v>0</v>
      </c>
    </row>
    <row r="1103" spans="1:15" ht="15" customHeight="1" x14ac:dyDescent="0.3">
      <c r="A1103" s="23" t="s">
        <v>2670</v>
      </c>
      <c r="B1103" s="38">
        <v>46292</v>
      </c>
      <c r="C1103" s="23" t="s">
        <v>2671</v>
      </c>
      <c r="D1103" s="23" t="s">
        <v>93</v>
      </c>
      <c r="E1103" s="23" t="s">
        <v>75</v>
      </c>
      <c r="F1103" s="23" t="s">
        <v>1975</v>
      </c>
      <c r="G1103" s="23" t="s">
        <v>250</v>
      </c>
      <c r="H1103" s="39">
        <f t="shared" si="68"/>
        <v>1398</v>
      </c>
      <c r="I1103" s="23" t="str">
        <f t="shared" si="69"/>
        <v>Kolkata</v>
      </c>
      <c r="J1103" s="23">
        <f>COUNTIFS(pg_transaction_cleaned!$O:$O,A1103,pg_transaction_cleaned!$F:$F,"CAPTURE")</f>
        <v>1</v>
      </c>
      <c r="K1103" s="39">
        <f>SUMIFS(pg_transaction_cleaned!$H:$H,pg_transaction_cleaned!$O:$O,A1103,pg_transaction_cleaned!$F:$F,"CAPTURE")</f>
        <v>1398</v>
      </c>
      <c r="L1103" s="23">
        <f>COUNTIFS(pg_transaction_cleaned!$O:$O,A1103,pg_transaction_cleaned!$F:$F,"REFUND")</f>
        <v>0</v>
      </c>
      <c r="M1103" s="39">
        <f>SUMIFS(pg_transaction_cleaned!$H:$H,pg_transaction_cleaned!$O:$O,A1103,pg_transaction_cleaned!$F:$F,"REFUND")</f>
        <v>0</v>
      </c>
      <c r="N1103" s="23" t="str">
        <f t="shared" si="70"/>
        <v>OK</v>
      </c>
      <c r="O1103" s="24">
        <f t="shared" si="71"/>
        <v>0</v>
      </c>
    </row>
    <row r="1104" spans="1:15" ht="15" customHeight="1" x14ac:dyDescent="0.3">
      <c r="A1104" s="23" t="s">
        <v>2672</v>
      </c>
      <c r="B1104" s="38">
        <v>46291</v>
      </c>
      <c r="C1104" s="23" t="s">
        <v>2673</v>
      </c>
      <c r="D1104" s="23" t="s">
        <v>91</v>
      </c>
      <c r="E1104" s="23" t="s">
        <v>75</v>
      </c>
      <c r="F1104" s="23" t="s">
        <v>271</v>
      </c>
      <c r="G1104" s="23" t="s">
        <v>250</v>
      </c>
      <c r="H1104" s="39">
        <f t="shared" si="68"/>
        <v>2499</v>
      </c>
      <c r="I1104" s="23" t="str">
        <f t="shared" si="69"/>
        <v>Pune</v>
      </c>
      <c r="J1104" s="23">
        <f>COUNTIFS(pg_transaction_cleaned!$O:$O,A1104,pg_transaction_cleaned!$F:$F,"CAPTURE")</f>
        <v>1</v>
      </c>
      <c r="K1104" s="39">
        <f>SUMIFS(pg_transaction_cleaned!$H:$H,pg_transaction_cleaned!$O:$O,A1104,pg_transaction_cleaned!$F:$F,"CAPTURE")</f>
        <v>2499</v>
      </c>
      <c r="L1104" s="23">
        <f>COUNTIFS(pg_transaction_cleaned!$O:$O,A1104,pg_transaction_cleaned!$F:$F,"REFUND")</f>
        <v>0</v>
      </c>
      <c r="M1104" s="39">
        <f>SUMIFS(pg_transaction_cleaned!$H:$H,pg_transaction_cleaned!$O:$O,A1104,pg_transaction_cleaned!$F:$F,"REFUND")</f>
        <v>0</v>
      </c>
      <c r="N1104" s="23" t="str">
        <f t="shared" si="70"/>
        <v>OK</v>
      </c>
      <c r="O1104" s="24">
        <f t="shared" si="71"/>
        <v>0</v>
      </c>
    </row>
    <row r="1105" spans="1:15" ht="15" customHeight="1" x14ac:dyDescent="0.3">
      <c r="A1105" s="23" t="s">
        <v>2674</v>
      </c>
      <c r="B1105" s="38">
        <v>46284</v>
      </c>
      <c r="C1105" s="23" t="s">
        <v>2006</v>
      </c>
      <c r="D1105" s="23" t="s">
        <v>93</v>
      </c>
      <c r="E1105" s="23" t="s">
        <v>81</v>
      </c>
      <c r="F1105" s="23" t="s">
        <v>475</v>
      </c>
      <c r="G1105" s="23" t="s">
        <v>250</v>
      </c>
      <c r="H1105" s="39">
        <f t="shared" si="68"/>
        <v>799</v>
      </c>
      <c r="I1105" s="23" t="str">
        <f t="shared" si="69"/>
        <v>Kolkata</v>
      </c>
      <c r="J1105" s="23">
        <f>COUNTIFS(pg_transaction_cleaned!$O:$O,A1105,pg_transaction_cleaned!$F:$F,"CAPTURE")</f>
        <v>1</v>
      </c>
      <c r="K1105" s="39">
        <f>SUMIFS(pg_transaction_cleaned!$H:$H,pg_transaction_cleaned!$O:$O,A1105,pg_transaction_cleaned!$F:$F,"CAPTURE")</f>
        <v>799</v>
      </c>
      <c r="L1105" s="23">
        <f>COUNTIFS(pg_transaction_cleaned!$O:$O,A1105,pg_transaction_cleaned!$F:$F,"REFUND")</f>
        <v>0</v>
      </c>
      <c r="M1105" s="39">
        <f>SUMIFS(pg_transaction_cleaned!$H:$H,pg_transaction_cleaned!$O:$O,A1105,pg_transaction_cleaned!$F:$F,"REFUND")</f>
        <v>0</v>
      </c>
      <c r="N1105" s="23" t="str">
        <f t="shared" si="70"/>
        <v>OK</v>
      </c>
      <c r="O1105" s="24">
        <f t="shared" si="71"/>
        <v>0</v>
      </c>
    </row>
    <row r="1106" spans="1:15" ht="15" customHeight="1" x14ac:dyDescent="0.3">
      <c r="A1106" s="23" t="s">
        <v>2675</v>
      </c>
      <c r="B1106" s="38">
        <v>46272</v>
      </c>
      <c r="C1106" s="23" t="s">
        <v>2676</v>
      </c>
      <c r="D1106" s="23" t="s">
        <v>92</v>
      </c>
      <c r="E1106" s="23" t="s">
        <v>81</v>
      </c>
      <c r="F1106" s="23" t="s">
        <v>775</v>
      </c>
      <c r="G1106" s="23" t="s">
        <v>250</v>
      </c>
      <c r="H1106" s="39">
        <f t="shared" si="68"/>
        <v>4999</v>
      </c>
      <c r="I1106" s="23" t="str">
        <f t="shared" si="69"/>
        <v>Hyderabad</v>
      </c>
      <c r="J1106" s="23">
        <f>COUNTIFS(pg_transaction_cleaned!$O:$O,A1106,pg_transaction_cleaned!$F:$F,"CAPTURE")</f>
        <v>1</v>
      </c>
      <c r="K1106" s="39">
        <f>SUMIFS(pg_transaction_cleaned!$H:$H,pg_transaction_cleaned!$O:$O,A1106,pg_transaction_cleaned!$F:$F,"CAPTURE")</f>
        <v>4999</v>
      </c>
      <c r="L1106" s="23">
        <f>COUNTIFS(pg_transaction_cleaned!$O:$O,A1106,pg_transaction_cleaned!$F:$F,"REFUND")</f>
        <v>0</v>
      </c>
      <c r="M1106" s="39">
        <f>SUMIFS(pg_transaction_cleaned!$H:$H,pg_transaction_cleaned!$O:$O,A1106,pg_transaction_cleaned!$F:$F,"REFUND")</f>
        <v>0</v>
      </c>
      <c r="N1106" s="23" t="str">
        <f t="shared" si="70"/>
        <v>OK</v>
      </c>
      <c r="O1106" s="24">
        <f t="shared" si="71"/>
        <v>0</v>
      </c>
    </row>
    <row r="1107" spans="1:15" ht="15" customHeight="1" x14ac:dyDescent="0.3">
      <c r="A1107" s="23" t="s">
        <v>2677</v>
      </c>
      <c r="B1107" s="38">
        <v>46279</v>
      </c>
      <c r="C1107" s="23" t="s">
        <v>2678</v>
      </c>
      <c r="D1107" s="23" t="s">
        <v>90</v>
      </c>
      <c r="E1107" s="23" t="s">
        <v>75</v>
      </c>
      <c r="F1107" s="23" t="s">
        <v>2086</v>
      </c>
      <c r="G1107" s="23" t="s">
        <v>250</v>
      </c>
      <c r="H1107" s="39">
        <f t="shared" si="68"/>
        <v>3397</v>
      </c>
      <c r="I1107" s="23" t="str">
        <f t="shared" si="69"/>
        <v>Ahmedabad</v>
      </c>
      <c r="J1107" s="23">
        <f>COUNTIFS(pg_transaction_cleaned!$O:$O,A1107,pg_transaction_cleaned!$F:$F,"CAPTURE")</f>
        <v>1</v>
      </c>
      <c r="K1107" s="39">
        <f>SUMIFS(pg_transaction_cleaned!$H:$H,pg_transaction_cleaned!$O:$O,A1107,pg_transaction_cleaned!$F:$F,"CAPTURE")</f>
        <v>3397</v>
      </c>
      <c r="L1107" s="23">
        <f>COUNTIFS(pg_transaction_cleaned!$O:$O,A1107,pg_transaction_cleaned!$F:$F,"REFUND")</f>
        <v>0</v>
      </c>
      <c r="M1107" s="39">
        <f>SUMIFS(pg_transaction_cleaned!$H:$H,pg_transaction_cleaned!$O:$O,A1107,pg_transaction_cleaned!$F:$F,"REFUND")</f>
        <v>0</v>
      </c>
      <c r="N1107" s="23" t="str">
        <f t="shared" si="70"/>
        <v>OK</v>
      </c>
      <c r="O1107" s="24">
        <f t="shared" si="71"/>
        <v>0</v>
      </c>
    </row>
    <row r="1108" spans="1:15" ht="15" customHeight="1" x14ac:dyDescent="0.3">
      <c r="A1108" s="23" t="s">
        <v>2679</v>
      </c>
      <c r="B1108" s="38">
        <v>46287</v>
      </c>
      <c r="C1108" s="23" t="s">
        <v>2680</v>
      </c>
      <c r="D1108" s="23" t="s">
        <v>88</v>
      </c>
      <c r="E1108" s="23" t="s">
        <v>75</v>
      </c>
      <c r="F1108" s="23" t="s">
        <v>1372</v>
      </c>
      <c r="G1108" s="23" t="s">
        <v>250</v>
      </c>
      <c r="H1108" s="39">
        <f t="shared" si="68"/>
        <v>798</v>
      </c>
      <c r="I1108" s="23" t="str">
        <f t="shared" si="69"/>
        <v>Lucknow</v>
      </c>
      <c r="J1108" s="23">
        <f>COUNTIFS(pg_transaction_cleaned!$O:$O,A1108,pg_transaction_cleaned!$F:$F,"CAPTURE")</f>
        <v>1</v>
      </c>
      <c r="K1108" s="39">
        <f>SUMIFS(pg_transaction_cleaned!$H:$H,pg_transaction_cleaned!$O:$O,A1108,pg_transaction_cleaned!$F:$F,"CAPTURE")</f>
        <v>798</v>
      </c>
      <c r="L1108" s="23">
        <f>COUNTIFS(pg_transaction_cleaned!$O:$O,A1108,pg_transaction_cleaned!$F:$F,"REFUND")</f>
        <v>0</v>
      </c>
      <c r="M1108" s="39">
        <f>SUMIFS(pg_transaction_cleaned!$H:$H,pg_transaction_cleaned!$O:$O,A1108,pg_transaction_cleaned!$F:$F,"REFUND")</f>
        <v>0</v>
      </c>
      <c r="N1108" s="23" t="str">
        <f t="shared" si="70"/>
        <v>OK</v>
      </c>
      <c r="O1108" s="24">
        <f t="shared" si="71"/>
        <v>0</v>
      </c>
    </row>
    <row r="1109" spans="1:15" ht="15" customHeight="1" x14ac:dyDescent="0.3">
      <c r="A1109" s="23" t="s">
        <v>2681</v>
      </c>
      <c r="B1109" s="38">
        <v>46281</v>
      </c>
      <c r="C1109" s="23" t="s">
        <v>2682</v>
      </c>
      <c r="D1109" s="23" t="s">
        <v>92</v>
      </c>
      <c r="E1109" s="23" t="s">
        <v>79</v>
      </c>
      <c r="F1109" s="23" t="s">
        <v>396</v>
      </c>
      <c r="G1109" s="23" t="s">
        <v>301</v>
      </c>
      <c r="H1109" s="39">
        <f t="shared" si="68"/>
        <v>2999</v>
      </c>
      <c r="I1109" s="23" t="str">
        <f t="shared" si="69"/>
        <v>Hyderabad</v>
      </c>
      <c r="J1109" s="23">
        <f>COUNTIFS(pg_transaction_cleaned!$O:$O,A1109,pg_transaction_cleaned!$F:$F,"CAPTURE")</f>
        <v>1</v>
      </c>
      <c r="K1109" s="39">
        <f>SUMIFS(pg_transaction_cleaned!$H:$H,pg_transaction_cleaned!$O:$O,A1109,pg_transaction_cleaned!$F:$F,"CAPTURE")</f>
        <v>2999</v>
      </c>
      <c r="L1109" s="23">
        <f>COUNTIFS(pg_transaction_cleaned!$O:$O,A1109,pg_transaction_cleaned!$F:$F,"REFUND")</f>
        <v>1</v>
      </c>
      <c r="M1109" s="39">
        <f>SUMIFS(pg_transaction_cleaned!$H:$H,pg_transaction_cleaned!$O:$O,A1109,pg_transaction_cleaned!$F:$F,"REFUND")</f>
        <v>2999</v>
      </c>
      <c r="N1109" s="23" t="str">
        <f t="shared" si="70"/>
        <v>OK</v>
      </c>
      <c r="O1109" s="24">
        <f t="shared" si="71"/>
        <v>0</v>
      </c>
    </row>
    <row r="1110" spans="1:15" ht="15" customHeight="1" x14ac:dyDescent="0.3">
      <c r="A1110" s="23" t="s">
        <v>2683</v>
      </c>
      <c r="B1110" s="38">
        <v>46295</v>
      </c>
      <c r="C1110" s="23" t="s">
        <v>2684</v>
      </c>
      <c r="D1110" s="23" t="s">
        <v>87</v>
      </c>
      <c r="E1110" s="23" t="s">
        <v>77</v>
      </c>
      <c r="F1110" s="23" t="s">
        <v>478</v>
      </c>
      <c r="G1110" s="23" t="s">
        <v>250</v>
      </c>
      <c r="H1110" s="39">
        <f t="shared" si="68"/>
        <v>9297</v>
      </c>
      <c r="I1110" s="23" t="str">
        <f t="shared" si="69"/>
        <v>Mumbai</v>
      </c>
      <c r="J1110" s="23">
        <f>COUNTIFS(pg_transaction_cleaned!$O:$O,A1110,pg_transaction_cleaned!$F:$F,"CAPTURE")</f>
        <v>1</v>
      </c>
      <c r="K1110" s="39">
        <f>SUMIFS(pg_transaction_cleaned!$H:$H,pg_transaction_cleaned!$O:$O,A1110,pg_transaction_cleaned!$F:$F,"CAPTURE")</f>
        <v>9297</v>
      </c>
      <c r="L1110" s="23">
        <f>COUNTIFS(pg_transaction_cleaned!$O:$O,A1110,pg_transaction_cleaned!$F:$F,"REFUND")</f>
        <v>0</v>
      </c>
      <c r="M1110" s="39">
        <f>SUMIFS(pg_transaction_cleaned!$H:$H,pg_transaction_cleaned!$O:$O,A1110,pg_transaction_cleaned!$F:$F,"REFUND")</f>
        <v>0</v>
      </c>
      <c r="N1110" s="23" t="str">
        <f t="shared" si="70"/>
        <v>OK</v>
      </c>
      <c r="O1110" s="24">
        <f t="shared" si="71"/>
        <v>0</v>
      </c>
    </row>
    <row r="1111" spans="1:15" ht="15" customHeight="1" x14ac:dyDescent="0.3">
      <c r="A1111" s="23" t="s">
        <v>2685</v>
      </c>
      <c r="B1111" s="38">
        <v>46282</v>
      </c>
      <c r="C1111" s="23" t="s">
        <v>2686</v>
      </c>
      <c r="D1111" s="23" t="s">
        <v>92</v>
      </c>
      <c r="E1111" s="23" t="s">
        <v>75</v>
      </c>
      <c r="F1111" s="23" t="s">
        <v>265</v>
      </c>
      <c r="G1111" s="23" t="s">
        <v>250</v>
      </c>
      <c r="H1111" s="39">
        <f t="shared" si="68"/>
        <v>999</v>
      </c>
      <c r="I1111" s="23" t="str">
        <f t="shared" si="69"/>
        <v>Hyderabad</v>
      </c>
      <c r="J1111" s="23">
        <f>COUNTIFS(pg_transaction_cleaned!$O:$O,A1111,pg_transaction_cleaned!$F:$F,"CAPTURE")</f>
        <v>1</v>
      </c>
      <c r="K1111" s="39">
        <f>SUMIFS(pg_transaction_cleaned!$H:$H,pg_transaction_cleaned!$O:$O,A1111,pg_transaction_cleaned!$F:$F,"CAPTURE")</f>
        <v>999</v>
      </c>
      <c r="L1111" s="23">
        <f>COUNTIFS(pg_transaction_cleaned!$O:$O,A1111,pg_transaction_cleaned!$F:$F,"REFUND")</f>
        <v>0</v>
      </c>
      <c r="M1111" s="39">
        <f>SUMIFS(pg_transaction_cleaned!$H:$H,pg_transaction_cleaned!$O:$O,A1111,pg_transaction_cleaned!$F:$F,"REFUND")</f>
        <v>0</v>
      </c>
      <c r="N1111" s="23" t="str">
        <f t="shared" si="70"/>
        <v>OK</v>
      </c>
      <c r="O1111" s="24">
        <f t="shared" si="71"/>
        <v>0</v>
      </c>
    </row>
    <row r="1112" spans="1:15" ht="15" customHeight="1" x14ac:dyDescent="0.3">
      <c r="A1112" s="23" t="s">
        <v>2687</v>
      </c>
      <c r="B1112" s="38">
        <v>46293</v>
      </c>
      <c r="C1112" s="23" t="s">
        <v>2688</v>
      </c>
      <c r="D1112" s="23" t="s">
        <v>95</v>
      </c>
      <c r="E1112" s="23" t="s">
        <v>77</v>
      </c>
      <c r="F1112" s="23" t="s">
        <v>880</v>
      </c>
      <c r="G1112" s="23" t="s">
        <v>250</v>
      </c>
      <c r="H1112" s="39">
        <f t="shared" si="68"/>
        <v>2298</v>
      </c>
      <c r="I1112" s="23" t="str">
        <f t="shared" si="69"/>
        <v>Bengaluru</v>
      </c>
      <c r="J1112" s="23">
        <f>COUNTIFS(pg_transaction_cleaned!$O:$O,A1112,pg_transaction_cleaned!$F:$F,"CAPTURE")</f>
        <v>1</v>
      </c>
      <c r="K1112" s="39">
        <f>SUMIFS(pg_transaction_cleaned!$H:$H,pg_transaction_cleaned!$O:$O,A1112,pg_transaction_cleaned!$F:$F,"CAPTURE")</f>
        <v>2298</v>
      </c>
      <c r="L1112" s="23">
        <f>COUNTIFS(pg_transaction_cleaned!$O:$O,A1112,pg_transaction_cleaned!$F:$F,"REFUND")</f>
        <v>0</v>
      </c>
      <c r="M1112" s="39">
        <f>SUMIFS(pg_transaction_cleaned!$H:$H,pg_transaction_cleaned!$O:$O,A1112,pg_transaction_cleaned!$F:$F,"REFUND")</f>
        <v>0</v>
      </c>
      <c r="N1112" s="23" t="str">
        <f t="shared" si="70"/>
        <v>OK</v>
      </c>
      <c r="O1112" s="24">
        <f t="shared" si="71"/>
        <v>0</v>
      </c>
    </row>
    <row r="1113" spans="1:15" ht="15" customHeight="1" x14ac:dyDescent="0.3">
      <c r="A1113" s="23" t="s">
        <v>2689</v>
      </c>
      <c r="B1113" s="38">
        <v>46293</v>
      </c>
      <c r="C1113" s="23" t="s">
        <v>2690</v>
      </c>
      <c r="D1113" s="23" t="s">
        <v>95</v>
      </c>
      <c r="E1113" s="23" t="s">
        <v>75</v>
      </c>
      <c r="F1113" s="23" t="s">
        <v>490</v>
      </c>
      <c r="G1113" s="23" t="s">
        <v>250</v>
      </c>
      <c r="H1113" s="39">
        <f t="shared" si="68"/>
        <v>8798</v>
      </c>
      <c r="I1113" s="23" t="str">
        <f t="shared" si="69"/>
        <v>Bengaluru</v>
      </c>
      <c r="J1113" s="23">
        <f>COUNTIFS(pg_transaction_cleaned!$O:$O,A1113,pg_transaction_cleaned!$F:$F,"CAPTURE")</f>
        <v>1</v>
      </c>
      <c r="K1113" s="39">
        <f>SUMIFS(pg_transaction_cleaned!$H:$H,pg_transaction_cleaned!$O:$O,A1113,pg_transaction_cleaned!$F:$F,"CAPTURE")</f>
        <v>8798</v>
      </c>
      <c r="L1113" s="23">
        <f>COUNTIFS(pg_transaction_cleaned!$O:$O,A1113,pg_transaction_cleaned!$F:$F,"REFUND")</f>
        <v>0</v>
      </c>
      <c r="M1113" s="39">
        <f>SUMIFS(pg_transaction_cleaned!$H:$H,pg_transaction_cleaned!$O:$O,A1113,pg_transaction_cleaned!$F:$F,"REFUND")</f>
        <v>0</v>
      </c>
      <c r="N1113" s="23" t="str">
        <f t="shared" si="70"/>
        <v>OK</v>
      </c>
      <c r="O1113" s="24">
        <f t="shared" si="71"/>
        <v>0</v>
      </c>
    </row>
    <row r="1114" spans="1:15" ht="15" customHeight="1" x14ac:dyDescent="0.3">
      <c r="A1114" s="23" t="s">
        <v>2691</v>
      </c>
      <c r="B1114" s="38">
        <v>46278</v>
      </c>
      <c r="C1114" s="23" t="s">
        <v>2692</v>
      </c>
      <c r="D1114" s="23" t="s">
        <v>90</v>
      </c>
      <c r="E1114" s="23" t="s">
        <v>75</v>
      </c>
      <c r="F1114" s="23" t="s">
        <v>274</v>
      </c>
      <c r="G1114" s="23" t="s">
        <v>250</v>
      </c>
      <c r="H1114" s="39">
        <f t="shared" si="68"/>
        <v>349</v>
      </c>
      <c r="I1114" s="23" t="str">
        <f t="shared" si="69"/>
        <v>Ahmedabad</v>
      </c>
      <c r="J1114" s="23">
        <f>COUNTIFS(pg_transaction_cleaned!$O:$O,A1114,pg_transaction_cleaned!$F:$F,"CAPTURE")</f>
        <v>1</v>
      </c>
      <c r="K1114" s="39">
        <f>SUMIFS(pg_transaction_cleaned!$H:$H,pg_transaction_cleaned!$O:$O,A1114,pg_transaction_cleaned!$F:$F,"CAPTURE")</f>
        <v>349</v>
      </c>
      <c r="L1114" s="23">
        <f>COUNTIFS(pg_transaction_cleaned!$O:$O,A1114,pg_transaction_cleaned!$F:$F,"REFUND")</f>
        <v>0</v>
      </c>
      <c r="M1114" s="39">
        <f>SUMIFS(pg_transaction_cleaned!$H:$H,pg_transaction_cleaned!$O:$O,A1114,pg_transaction_cleaned!$F:$F,"REFUND")</f>
        <v>0</v>
      </c>
      <c r="N1114" s="23" t="str">
        <f t="shared" si="70"/>
        <v>OK</v>
      </c>
      <c r="O1114" s="24">
        <f t="shared" si="71"/>
        <v>0</v>
      </c>
    </row>
    <row r="1115" spans="1:15" ht="15" customHeight="1" x14ac:dyDescent="0.3">
      <c r="A1115" s="23" t="s">
        <v>2693</v>
      </c>
      <c r="B1115" s="38">
        <v>46281</v>
      </c>
      <c r="C1115" s="23" t="s">
        <v>2694</v>
      </c>
      <c r="D1115" s="23" t="s">
        <v>92</v>
      </c>
      <c r="E1115" s="23" t="s">
        <v>75</v>
      </c>
      <c r="F1115" s="23" t="s">
        <v>300</v>
      </c>
      <c r="G1115" s="23" t="s">
        <v>250</v>
      </c>
      <c r="H1115" s="39">
        <f t="shared" si="68"/>
        <v>2598</v>
      </c>
      <c r="I1115" s="23" t="str">
        <f t="shared" si="69"/>
        <v>Hyderabad</v>
      </c>
      <c r="J1115" s="23">
        <f>COUNTIFS(pg_transaction_cleaned!$O:$O,A1115,pg_transaction_cleaned!$F:$F,"CAPTURE")</f>
        <v>1</v>
      </c>
      <c r="K1115" s="39">
        <f>SUMIFS(pg_transaction_cleaned!$H:$H,pg_transaction_cleaned!$O:$O,A1115,pg_transaction_cleaned!$F:$F,"CAPTURE")</f>
        <v>2598</v>
      </c>
      <c r="L1115" s="23">
        <f>COUNTIFS(pg_transaction_cleaned!$O:$O,A1115,pg_transaction_cleaned!$F:$F,"REFUND")</f>
        <v>0</v>
      </c>
      <c r="M1115" s="39">
        <f>SUMIFS(pg_transaction_cleaned!$H:$H,pg_transaction_cleaned!$O:$O,A1115,pg_transaction_cleaned!$F:$F,"REFUND")</f>
        <v>0</v>
      </c>
      <c r="N1115" s="23" t="str">
        <f t="shared" si="70"/>
        <v>OK</v>
      </c>
      <c r="O1115" s="24">
        <f t="shared" si="71"/>
        <v>0</v>
      </c>
    </row>
    <row r="1116" spans="1:15" ht="15" customHeight="1" x14ac:dyDescent="0.3">
      <c r="A1116" s="23" t="s">
        <v>2695</v>
      </c>
      <c r="B1116" s="38">
        <v>46270</v>
      </c>
      <c r="C1116" s="23" t="s">
        <v>2696</v>
      </c>
      <c r="D1116" s="23" t="s">
        <v>86</v>
      </c>
      <c r="E1116" s="23" t="s">
        <v>75</v>
      </c>
      <c r="F1116" s="23" t="s">
        <v>475</v>
      </c>
      <c r="G1116" s="23" t="s">
        <v>250</v>
      </c>
      <c r="H1116" s="39">
        <f t="shared" si="68"/>
        <v>799</v>
      </c>
      <c r="I1116" s="23" t="str">
        <f t="shared" si="69"/>
        <v>Delhi</v>
      </c>
      <c r="J1116" s="23">
        <f>COUNTIFS(pg_transaction_cleaned!$O:$O,A1116,pg_transaction_cleaned!$F:$F,"CAPTURE")</f>
        <v>1</v>
      </c>
      <c r="K1116" s="39">
        <f>SUMIFS(pg_transaction_cleaned!$H:$H,pg_transaction_cleaned!$O:$O,A1116,pg_transaction_cleaned!$F:$F,"CAPTURE")</f>
        <v>799</v>
      </c>
      <c r="L1116" s="23">
        <f>COUNTIFS(pg_transaction_cleaned!$O:$O,A1116,pg_transaction_cleaned!$F:$F,"REFUND")</f>
        <v>0</v>
      </c>
      <c r="M1116" s="39">
        <f>SUMIFS(pg_transaction_cleaned!$H:$H,pg_transaction_cleaned!$O:$O,A1116,pg_transaction_cleaned!$F:$F,"REFUND")</f>
        <v>0</v>
      </c>
      <c r="N1116" s="23" t="str">
        <f t="shared" si="70"/>
        <v>OK</v>
      </c>
      <c r="O1116" s="24">
        <f t="shared" si="71"/>
        <v>0</v>
      </c>
    </row>
    <row r="1117" spans="1:15" ht="15" customHeight="1" x14ac:dyDescent="0.3">
      <c r="A1117" s="23" t="s">
        <v>2697</v>
      </c>
      <c r="B1117" s="38">
        <v>46286</v>
      </c>
      <c r="C1117" s="23" t="s">
        <v>2698</v>
      </c>
      <c r="D1117" s="23" t="s">
        <v>94</v>
      </c>
      <c r="E1117" s="23" t="s">
        <v>75</v>
      </c>
      <c r="F1117" s="23" t="s">
        <v>291</v>
      </c>
      <c r="G1117" s="23" t="s">
        <v>250</v>
      </c>
      <c r="H1117" s="39">
        <f t="shared" si="68"/>
        <v>3499</v>
      </c>
      <c r="I1117" s="23" t="str">
        <f t="shared" si="69"/>
        <v>Chennai</v>
      </c>
      <c r="J1117" s="23">
        <f>COUNTIFS(pg_transaction_cleaned!$O:$O,A1117,pg_transaction_cleaned!$F:$F,"CAPTURE")</f>
        <v>1</v>
      </c>
      <c r="K1117" s="39">
        <f>SUMIFS(pg_transaction_cleaned!$H:$H,pg_transaction_cleaned!$O:$O,A1117,pg_transaction_cleaned!$F:$F,"CAPTURE")</f>
        <v>3499</v>
      </c>
      <c r="L1117" s="23">
        <f>COUNTIFS(pg_transaction_cleaned!$O:$O,A1117,pg_transaction_cleaned!$F:$F,"REFUND")</f>
        <v>0</v>
      </c>
      <c r="M1117" s="39">
        <f>SUMIFS(pg_transaction_cleaned!$H:$H,pg_transaction_cleaned!$O:$O,A1117,pg_transaction_cleaned!$F:$F,"REFUND")</f>
        <v>0</v>
      </c>
      <c r="N1117" s="23" t="str">
        <f t="shared" si="70"/>
        <v>OK</v>
      </c>
      <c r="O1117" s="24">
        <f t="shared" si="71"/>
        <v>0</v>
      </c>
    </row>
    <row r="1118" spans="1:15" ht="15" customHeight="1" x14ac:dyDescent="0.3">
      <c r="A1118" s="23" t="s">
        <v>2699</v>
      </c>
      <c r="B1118" s="38">
        <v>46285</v>
      </c>
      <c r="C1118" s="23" t="s">
        <v>2700</v>
      </c>
      <c r="D1118" s="23" t="s">
        <v>91</v>
      </c>
      <c r="E1118" s="23" t="s">
        <v>77</v>
      </c>
      <c r="F1118" s="23" t="s">
        <v>310</v>
      </c>
      <c r="G1118" s="23" t="s">
        <v>250</v>
      </c>
      <c r="H1118" s="39">
        <f t="shared" si="68"/>
        <v>7999</v>
      </c>
      <c r="I1118" s="23" t="str">
        <f t="shared" si="69"/>
        <v>Pune</v>
      </c>
      <c r="J1118" s="23">
        <f>COUNTIFS(pg_transaction_cleaned!$O:$O,A1118,pg_transaction_cleaned!$F:$F,"CAPTURE")</f>
        <v>1</v>
      </c>
      <c r="K1118" s="39">
        <f>SUMIFS(pg_transaction_cleaned!$H:$H,pg_transaction_cleaned!$O:$O,A1118,pg_transaction_cleaned!$F:$F,"CAPTURE")</f>
        <v>7999</v>
      </c>
      <c r="L1118" s="23">
        <f>COUNTIFS(pg_transaction_cleaned!$O:$O,A1118,pg_transaction_cleaned!$F:$F,"REFUND")</f>
        <v>0</v>
      </c>
      <c r="M1118" s="39">
        <f>SUMIFS(pg_transaction_cleaned!$H:$H,pg_transaction_cleaned!$O:$O,A1118,pg_transaction_cleaned!$F:$F,"REFUND")</f>
        <v>0</v>
      </c>
      <c r="N1118" s="23" t="str">
        <f t="shared" si="70"/>
        <v>OK</v>
      </c>
      <c r="O1118" s="24">
        <f t="shared" si="71"/>
        <v>0</v>
      </c>
    </row>
    <row r="1119" spans="1:15" ht="15" customHeight="1" x14ac:dyDescent="0.3">
      <c r="A1119" s="23" t="s">
        <v>2701</v>
      </c>
      <c r="B1119" s="38">
        <v>46278</v>
      </c>
      <c r="C1119" s="23" t="s">
        <v>2702</v>
      </c>
      <c r="D1119" s="23" t="s">
        <v>89</v>
      </c>
      <c r="E1119" s="23" t="s">
        <v>79</v>
      </c>
      <c r="F1119" s="23" t="s">
        <v>1021</v>
      </c>
      <c r="G1119" s="23" t="s">
        <v>250</v>
      </c>
      <c r="H1119" s="39">
        <f t="shared" si="68"/>
        <v>9097</v>
      </c>
      <c r="I1119" s="23" t="str">
        <f t="shared" si="69"/>
        <v>Jaipur</v>
      </c>
      <c r="J1119" s="23">
        <f>COUNTIFS(pg_transaction_cleaned!$O:$O,A1119,pg_transaction_cleaned!$F:$F,"CAPTURE")</f>
        <v>1</v>
      </c>
      <c r="K1119" s="39">
        <f>SUMIFS(pg_transaction_cleaned!$H:$H,pg_transaction_cleaned!$O:$O,A1119,pg_transaction_cleaned!$F:$F,"CAPTURE")</f>
        <v>9097</v>
      </c>
      <c r="L1119" s="23">
        <f>COUNTIFS(pg_transaction_cleaned!$O:$O,A1119,pg_transaction_cleaned!$F:$F,"REFUND")</f>
        <v>0</v>
      </c>
      <c r="M1119" s="39">
        <f>SUMIFS(pg_transaction_cleaned!$H:$H,pg_transaction_cleaned!$O:$O,A1119,pg_transaction_cleaned!$F:$F,"REFUND")</f>
        <v>0</v>
      </c>
      <c r="N1119" s="23" t="str">
        <f t="shared" si="70"/>
        <v>OK</v>
      </c>
      <c r="O1119" s="24">
        <f t="shared" si="71"/>
        <v>0</v>
      </c>
    </row>
    <row r="1120" spans="1:15" ht="15" customHeight="1" x14ac:dyDescent="0.3">
      <c r="A1120" s="23" t="s">
        <v>2703</v>
      </c>
      <c r="B1120" s="38">
        <v>46287</v>
      </c>
      <c r="C1120" s="23" t="s">
        <v>2704</v>
      </c>
      <c r="D1120" s="23" t="s">
        <v>88</v>
      </c>
      <c r="E1120" s="23" t="s">
        <v>77</v>
      </c>
      <c r="F1120" s="23" t="s">
        <v>426</v>
      </c>
      <c r="G1120" s="23" t="s">
        <v>250</v>
      </c>
      <c r="H1120" s="39">
        <f t="shared" si="68"/>
        <v>6798</v>
      </c>
      <c r="I1120" s="23" t="str">
        <f t="shared" si="69"/>
        <v>Lucknow</v>
      </c>
      <c r="J1120" s="23">
        <f>COUNTIFS(pg_transaction_cleaned!$O:$O,A1120,pg_transaction_cleaned!$F:$F,"CAPTURE")</f>
        <v>1</v>
      </c>
      <c r="K1120" s="39">
        <f>SUMIFS(pg_transaction_cleaned!$H:$H,pg_transaction_cleaned!$O:$O,A1120,pg_transaction_cleaned!$F:$F,"CAPTURE")</f>
        <v>6798</v>
      </c>
      <c r="L1120" s="23">
        <f>COUNTIFS(pg_transaction_cleaned!$O:$O,A1120,pg_transaction_cleaned!$F:$F,"REFUND")</f>
        <v>0</v>
      </c>
      <c r="M1120" s="39">
        <f>SUMIFS(pg_transaction_cleaned!$H:$H,pg_transaction_cleaned!$O:$O,A1120,pg_transaction_cleaned!$F:$F,"REFUND")</f>
        <v>0</v>
      </c>
      <c r="N1120" s="23" t="str">
        <f t="shared" si="70"/>
        <v>OK</v>
      </c>
      <c r="O1120" s="24">
        <f t="shared" si="71"/>
        <v>0</v>
      </c>
    </row>
    <row r="1121" spans="1:15" ht="15" customHeight="1" x14ac:dyDescent="0.3">
      <c r="A1121" s="23" t="s">
        <v>2705</v>
      </c>
      <c r="B1121" s="38">
        <v>46269</v>
      </c>
      <c r="C1121" s="23" t="s">
        <v>2706</v>
      </c>
      <c r="D1121" s="23" t="s">
        <v>93</v>
      </c>
      <c r="E1121" s="23" t="s">
        <v>79</v>
      </c>
      <c r="F1121" s="23" t="s">
        <v>265</v>
      </c>
      <c r="G1121" s="23" t="s">
        <v>250</v>
      </c>
      <c r="H1121" s="39">
        <f t="shared" si="68"/>
        <v>999</v>
      </c>
      <c r="I1121" s="23" t="str">
        <f t="shared" si="69"/>
        <v>Kolkata</v>
      </c>
      <c r="J1121" s="23">
        <f>COUNTIFS(pg_transaction_cleaned!$O:$O,A1121,pg_transaction_cleaned!$F:$F,"CAPTURE")</f>
        <v>1</v>
      </c>
      <c r="K1121" s="39">
        <f>SUMIFS(pg_transaction_cleaned!$H:$H,pg_transaction_cleaned!$O:$O,A1121,pg_transaction_cleaned!$F:$F,"CAPTURE")</f>
        <v>999</v>
      </c>
      <c r="L1121" s="23">
        <f>COUNTIFS(pg_transaction_cleaned!$O:$O,A1121,pg_transaction_cleaned!$F:$F,"REFUND")</f>
        <v>0</v>
      </c>
      <c r="M1121" s="39">
        <f>SUMIFS(pg_transaction_cleaned!$H:$H,pg_transaction_cleaned!$O:$O,A1121,pg_transaction_cleaned!$F:$F,"REFUND")</f>
        <v>0</v>
      </c>
      <c r="N1121" s="23" t="str">
        <f t="shared" si="70"/>
        <v>OK</v>
      </c>
      <c r="O1121" s="24">
        <f t="shared" si="71"/>
        <v>0</v>
      </c>
    </row>
    <row r="1122" spans="1:15" ht="15" customHeight="1" x14ac:dyDescent="0.3">
      <c r="A1122" s="23" t="s">
        <v>2707</v>
      </c>
      <c r="B1122" s="38">
        <v>46272</v>
      </c>
      <c r="C1122" s="23" t="s">
        <v>2708</v>
      </c>
      <c r="D1122" s="23" t="s">
        <v>93</v>
      </c>
      <c r="E1122" s="23" t="s">
        <v>77</v>
      </c>
      <c r="F1122" s="23" t="s">
        <v>274</v>
      </c>
      <c r="G1122" s="23" t="s">
        <v>250</v>
      </c>
      <c r="H1122" s="39">
        <f t="shared" si="68"/>
        <v>349</v>
      </c>
      <c r="I1122" s="23" t="str">
        <f t="shared" si="69"/>
        <v>Kolkata</v>
      </c>
      <c r="J1122" s="23">
        <f>COUNTIFS(pg_transaction_cleaned!$O:$O,A1122,pg_transaction_cleaned!$F:$F,"CAPTURE")</f>
        <v>1</v>
      </c>
      <c r="K1122" s="39">
        <f>SUMIFS(pg_transaction_cleaned!$H:$H,pg_transaction_cleaned!$O:$O,A1122,pg_transaction_cleaned!$F:$F,"CAPTURE")</f>
        <v>349</v>
      </c>
      <c r="L1122" s="23">
        <f>COUNTIFS(pg_transaction_cleaned!$O:$O,A1122,pg_transaction_cleaned!$F:$F,"REFUND")</f>
        <v>0</v>
      </c>
      <c r="M1122" s="39">
        <f>SUMIFS(pg_transaction_cleaned!$H:$H,pg_transaction_cleaned!$O:$O,A1122,pg_transaction_cleaned!$F:$F,"REFUND")</f>
        <v>0</v>
      </c>
      <c r="N1122" s="23" t="str">
        <f t="shared" si="70"/>
        <v>OK</v>
      </c>
      <c r="O1122" s="24">
        <f t="shared" si="71"/>
        <v>0</v>
      </c>
    </row>
    <row r="1123" spans="1:15" ht="15" customHeight="1" x14ac:dyDescent="0.3">
      <c r="A1123" s="23" t="s">
        <v>2709</v>
      </c>
      <c r="B1123" s="38">
        <v>46274</v>
      </c>
      <c r="C1123" s="23" t="s">
        <v>2710</v>
      </c>
      <c r="D1123" s="23" t="s">
        <v>94</v>
      </c>
      <c r="E1123" s="23" t="s">
        <v>79</v>
      </c>
      <c r="F1123" s="23" t="s">
        <v>349</v>
      </c>
      <c r="G1123" s="23" t="s">
        <v>250</v>
      </c>
      <c r="H1123" s="39">
        <f t="shared" si="68"/>
        <v>1798</v>
      </c>
      <c r="I1123" s="23" t="str">
        <f t="shared" si="69"/>
        <v>Chennai</v>
      </c>
      <c r="J1123" s="23">
        <f>COUNTIFS(pg_transaction_cleaned!$O:$O,A1123,pg_transaction_cleaned!$F:$F,"CAPTURE")</f>
        <v>1</v>
      </c>
      <c r="K1123" s="39">
        <f>SUMIFS(pg_transaction_cleaned!$H:$H,pg_transaction_cleaned!$O:$O,A1123,pg_transaction_cleaned!$F:$F,"CAPTURE")</f>
        <v>1798</v>
      </c>
      <c r="L1123" s="23">
        <f>COUNTIFS(pg_transaction_cleaned!$O:$O,A1123,pg_transaction_cleaned!$F:$F,"REFUND")</f>
        <v>0</v>
      </c>
      <c r="M1123" s="39">
        <f>SUMIFS(pg_transaction_cleaned!$H:$H,pg_transaction_cleaned!$O:$O,A1123,pg_transaction_cleaned!$F:$F,"REFUND")</f>
        <v>0</v>
      </c>
      <c r="N1123" s="23" t="str">
        <f t="shared" si="70"/>
        <v>OK</v>
      </c>
      <c r="O1123" s="24">
        <f t="shared" si="71"/>
        <v>0</v>
      </c>
    </row>
    <row r="1124" spans="1:15" ht="15" customHeight="1" x14ac:dyDescent="0.3">
      <c r="A1124" s="23" t="s">
        <v>2711</v>
      </c>
      <c r="B1124" s="38">
        <v>46283</v>
      </c>
      <c r="C1124" s="23" t="s">
        <v>2712</v>
      </c>
      <c r="D1124" s="23"/>
      <c r="E1124" s="23" t="s">
        <v>75</v>
      </c>
      <c r="F1124" s="23" t="s">
        <v>346</v>
      </c>
      <c r="G1124" s="23" t="s">
        <v>250</v>
      </c>
      <c r="H1124" s="39">
        <f t="shared" si="68"/>
        <v>4498</v>
      </c>
      <c r="I1124" s="23" t="str">
        <f t="shared" si="69"/>
        <v>Unknown</v>
      </c>
      <c r="J1124" s="23">
        <f>COUNTIFS(pg_transaction_cleaned!$O:$O,A1124,pg_transaction_cleaned!$F:$F,"CAPTURE")</f>
        <v>1</v>
      </c>
      <c r="K1124" s="39">
        <f>SUMIFS(pg_transaction_cleaned!$H:$H,pg_transaction_cleaned!$O:$O,A1124,pg_transaction_cleaned!$F:$F,"CAPTURE")</f>
        <v>4498</v>
      </c>
      <c r="L1124" s="23">
        <f>COUNTIFS(pg_transaction_cleaned!$O:$O,A1124,pg_transaction_cleaned!$F:$F,"REFUND")</f>
        <v>0</v>
      </c>
      <c r="M1124" s="39">
        <f>SUMIFS(pg_transaction_cleaned!$H:$H,pg_transaction_cleaned!$O:$O,A1124,pg_transaction_cleaned!$F:$F,"REFUND")</f>
        <v>0</v>
      </c>
      <c r="N1124" s="23" t="str">
        <f t="shared" si="70"/>
        <v>OK</v>
      </c>
      <c r="O1124" s="24">
        <f t="shared" si="71"/>
        <v>0</v>
      </c>
    </row>
    <row r="1125" spans="1:15" ht="15" customHeight="1" x14ac:dyDescent="0.3">
      <c r="A1125" s="23" t="s">
        <v>2713</v>
      </c>
      <c r="B1125" s="38">
        <v>46281</v>
      </c>
      <c r="C1125" s="23" t="s">
        <v>2714</v>
      </c>
      <c r="D1125" s="23" t="s">
        <v>87</v>
      </c>
      <c r="E1125" s="23" t="s">
        <v>77</v>
      </c>
      <c r="F1125" s="23" t="s">
        <v>2715</v>
      </c>
      <c r="G1125" s="23" t="s">
        <v>250</v>
      </c>
      <c r="H1125" s="39">
        <f t="shared" si="68"/>
        <v>9797</v>
      </c>
      <c r="I1125" s="23" t="str">
        <f t="shared" si="69"/>
        <v>Mumbai</v>
      </c>
      <c r="J1125" s="23">
        <f>COUNTIFS(pg_transaction_cleaned!$O:$O,A1125,pg_transaction_cleaned!$F:$F,"CAPTURE")</f>
        <v>1</v>
      </c>
      <c r="K1125" s="39">
        <f>SUMIFS(pg_transaction_cleaned!$H:$H,pg_transaction_cleaned!$O:$O,A1125,pg_transaction_cleaned!$F:$F,"CAPTURE")</f>
        <v>9797</v>
      </c>
      <c r="L1125" s="23">
        <f>COUNTIFS(pg_transaction_cleaned!$O:$O,A1125,pg_transaction_cleaned!$F:$F,"REFUND")</f>
        <v>0</v>
      </c>
      <c r="M1125" s="39">
        <f>SUMIFS(pg_transaction_cleaned!$H:$H,pg_transaction_cleaned!$O:$O,A1125,pg_transaction_cleaned!$F:$F,"REFUND")</f>
        <v>0</v>
      </c>
      <c r="N1125" s="23" t="str">
        <f t="shared" si="70"/>
        <v>OK</v>
      </c>
      <c r="O1125" s="24">
        <f t="shared" si="71"/>
        <v>0</v>
      </c>
    </row>
    <row r="1126" spans="1:15" ht="15" customHeight="1" x14ac:dyDescent="0.3">
      <c r="A1126" s="23" t="s">
        <v>2716</v>
      </c>
      <c r="B1126" s="38">
        <v>46292</v>
      </c>
      <c r="C1126" s="23" t="s">
        <v>2717</v>
      </c>
      <c r="D1126" s="23" t="s">
        <v>92</v>
      </c>
      <c r="E1126" s="23" t="s">
        <v>79</v>
      </c>
      <c r="F1126" s="23" t="s">
        <v>1315</v>
      </c>
      <c r="G1126" s="23" t="s">
        <v>250</v>
      </c>
      <c r="H1126" s="39">
        <f t="shared" si="68"/>
        <v>8297</v>
      </c>
      <c r="I1126" s="23" t="str">
        <f t="shared" si="69"/>
        <v>Hyderabad</v>
      </c>
      <c r="J1126" s="23">
        <f>COUNTIFS(pg_transaction_cleaned!$O:$O,A1126,pg_transaction_cleaned!$F:$F,"CAPTURE")</f>
        <v>1</v>
      </c>
      <c r="K1126" s="39">
        <f>SUMIFS(pg_transaction_cleaned!$H:$H,pg_transaction_cleaned!$O:$O,A1126,pg_transaction_cleaned!$F:$F,"CAPTURE")</f>
        <v>8297</v>
      </c>
      <c r="L1126" s="23">
        <f>COUNTIFS(pg_transaction_cleaned!$O:$O,A1126,pg_transaction_cleaned!$F:$F,"REFUND")</f>
        <v>0</v>
      </c>
      <c r="M1126" s="39">
        <f>SUMIFS(pg_transaction_cleaned!$H:$H,pg_transaction_cleaned!$O:$O,A1126,pg_transaction_cleaned!$F:$F,"REFUND")</f>
        <v>0</v>
      </c>
      <c r="N1126" s="23" t="str">
        <f t="shared" si="70"/>
        <v>OK</v>
      </c>
      <c r="O1126" s="24">
        <f t="shared" si="71"/>
        <v>0</v>
      </c>
    </row>
    <row r="1127" spans="1:15" ht="15" customHeight="1" x14ac:dyDescent="0.3">
      <c r="A1127" s="23" t="s">
        <v>2718</v>
      </c>
      <c r="B1127" s="38">
        <v>46283</v>
      </c>
      <c r="C1127" s="23" t="s">
        <v>2719</v>
      </c>
      <c r="D1127" s="23" t="s">
        <v>91</v>
      </c>
      <c r="E1127" s="23" t="s">
        <v>75</v>
      </c>
      <c r="F1127" s="23" t="s">
        <v>307</v>
      </c>
      <c r="G1127" s="23" t="s">
        <v>318</v>
      </c>
      <c r="H1127" s="39">
        <f t="shared" si="68"/>
        <v>3798</v>
      </c>
      <c r="I1127" s="23" t="str">
        <f t="shared" si="69"/>
        <v>Pune</v>
      </c>
      <c r="J1127" s="23">
        <f>COUNTIFS(pg_transaction_cleaned!$O:$O,A1127,pg_transaction_cleaned!$F:$F,"CAPTURE")</f>
        <v>0</v>
      </c>
      <c r="K1127" s="39">
        <f>SUMIFS(pg_transaction_cleaned!$H:$H,pg_transaction_cleaned!$O:$O,A1127,pg_transaction_cleaned!$F:$F,"CAPTURE")</f>
        <v>0</v>
      </c>
      <c r="L1127" s="23">
        <f>COUNTIFS(pg_transaction_cleaned!$O:$O,A1127,pg_transaction_cleaned!$F:$F,"REFUND")</f>
        <v>0</v>
      </c>
      <c r="M1127" s="39">
        <f>SUMIFS(pg_transaction_cleaned!$H:$H,pg_transaction_cleaned!$O:$O,A1127,pg_transaction_cleaned!$F:$F,"REFUND")</f>
        <v>0</v>
      </c>
      <c r="N1127" s="23" t="str">
        <f t="shared" si="70"/>
        <v>OK</v>
      </c>
      <c r="O1127" s="24">
        <f t="shared" si="71"/>
        <v>0</v>
      </c>
    </row>
    <row r="1128" spans="1:15" ht="15" customHeight="1" x14ac:dyDescent="0.3">
      <c r="A1128" s="23" t="s">
        <v>2720</v>
      </c>
      <c r="B1128" s="38">
        <v>46283</v>
      </c>
      <c r="C1128" s="23" t="s">
        <v>2721</v>
      </c>
      <c r="D1128" s="23" t="s">
        <v>92</v>
      </c>
      <c r="E1128" s="23" t="s">
        <v>75</v>
      </c>
      <c r="F1128" s="23" t="s">
        <v>517</v>
      </c>
      <c r="G1128" s="23" t="s">
        <v>250</v>
      </c>
      <c r="H1128" s="39">
        <f t="shared" si="68"/>
        <v>7999</v>
      </c>
      <c r="I1128" s="23" t="str">
        <f t="shared" si="69"/>
        <v>Hyderabad</v>
      </c>
      <c r="J1128" s="23">
        <f>COUNTIFS(pg_transaction_cleaned!$O:$O,A1128,pg_transaction_cleaned!$F:$F,"CAPTURE")</f>
        <v>1</v>
      </c>
      <c r="K1128" s="39">
        <f>SUMIFS(pg_transaction_cleaned!$H:$H,pg_transaction_cleaned!$O:$O,A1128,pg_transaction_cleaned!$F:$F,"CAPTURE")</f>
        <v>7999</v>
      </c>
      <c r="L1128" s="23">
        <f>COUNTIFS(pg_transaction_cleaned!$O:$O,A1128,pg_transaction_cleaned!$F:$F,"REFUND")</f>
        <v>0</v>
      </c>
      <c r="M1128" s="39">
        <f>SUMIFS(pg_transaction_cleaned!$H:$H,pg_transaction_cleaned!$O:$O,A1128,pg_transaction_cleaned!$F:$F,"REFUND")</f>
        <v>0</v>
      </c>
      <c r="N1128" s="23" t="str">
        <f t="shared" si="70"/>
        <v>OK</v>
      </c>
      <c r="O1128" s="24">
        <f t="shared" si="71"/>
        <v>0</v>
      </c>
    </row>
    <row r="1129" spans="1:15" ht="15" customHeight="1" x14ac:dyDescent="0.3">
      <c r="A1129" s="23" t="s">
        <v>2722</v>
      </c>
      <c r="B1129" s="38">
        <v>46275</v>
      </c>
      <c r="C1129" s="23" t="s">
        <v>2723</v>
      </c>
      <c r="D1129" s="23" t="s">
        <v>90</v>
      </c>
      <c r="E1129" s="23" t="s">
        <v>75</v>
      </c>
      <c r="F1129" s="23" t="s">
        <v>517</v>
      </c>
      <c r="G1129" s="23" t="s">
        <v>250</v>
      </c>
      <c r="H1129" s="39">
        <f t="shared" si="68"/>
        <v>7999</v>
      </c>
      <c r="I1129" s="23" t="str">
        <f t="shared" si="69"/>
        <v>Ahmedabad</v>
      </c>
      <c r="J1129" s="23">
        <f>COUNTIFS(pg_transaction_cleaned!$O:$O,A1129,pg_transaction_cleaned!$F:$F,"CAPTURE")</f>
        <v>1</v>
      </c>
      <c r="K1129" s="39">
        <f>SUMIFS(pg_transaction_cleaned!$H:$H,pg_transaction_cleaned!$O:$O,A1129,pg_transaction_cleaned!$F:$F,"CAPTURE")</f>
        <v>7999</v>
      </c>
      <c r="L1129" s="23">
        <f>COUNTIFS(pg_transaction_cleaned!$O:$O,A1129,pg_transaction_cleaned!$F:$F,"REFUND")</f>
        <v>0</v>
      </c>
      <c r="M1129" s="39">
        <f>SUMIFS(pg_transaction_cleaned!$H:$H,pg_transaction_cleaned!$O:$O,A1129,pg_transaction_cleaned!$F:$F,"REFUND")</f>
        <v>0</v>
      </c>
      <c r="N1129" s="23" t="str">
        <f t="shared" si="70"/>
        <v>OK</v>
      </c>
      <c r="O1129" s="24">
        <f t="shared" si="71"/>
        <v>0</v>
      </c>
    </row>
    <row r="1130" spans="1:15" ht="15" customHeight="1" x14ac:dyDescent="0.3">
      <c r="A1130" s="23" t="s">
        <v>2724</v>
      </c>
      <c r="B1130" s="38">
        <v>46286</v>
      </c>
      <c r="C1130" s="23" t="s">
        <v>2725</v>
      </c>
      <c r="D1130" s="23" t="s">
        <v>92</v>
      </c>
      <c r="E1130" s="23" t="s">
        <v>75</v>
      </c>
      <c r="F1130" s="23" t="s">
        <v>297</v>
      </c>
      <c r="G1130" s="23" t="s">
        <v>250</v>
      </c>
      <c r="H1130" s="39">
        <f t="shared" si="68"/>
        <v>4999</v>
      </c>
      <c r="I1130" s="23" t="str">
        <f t="shared" si="69"/>
        <v>Hyderabad</v>
      </c>
      <c r="J1130" s="23">
        <f>COUNTIFS(pg_transaction_cleaned!$O:$O,A1130,pg_transaction_cleaned!$F:$F,"CAPTURE")</f>
        <v>1</v>
      </c>
      <c r="K1130" s="39">
        <f>SUMIFS(pg_transaction_cleaned!$H:$H,pg_transaction_cleaned!$O:$O,A1130,pg_transaction_cleaned!$F:$F,"CAPTURE")</f>
        <v>4999</v>
      </c>
      <c r="L1130" s="23">
        <f>COUNTIFS(pg_transaction_cleaned!$O:$O,A1130,pg_transaction_cleaned!$F:$F,"REFUND")</f>
        <v>0</v>
      </c>
      <c r="M1130" s="39">
        <f>SUMIFS(pg_transaction_cleaned!$H:$H,pg_transaction_cleaned!$O:$O,A1130,pg_transaction_cleaned!$F:$F,"REFUND")</f>
        <v>0</v>
      </c>
      <c r="N1130" s="23" t="str">
        <f t="shared" si="70"/>
        <v>OK</v>
      </c>
      <c r="O1130" s="24">
        <f t="shared" si="71"/>
        <v>0</v>
      </c>
    </row>
    <row r="1131" spans="1:15" ht="15" customHeight="1" x14ac:dyDescent="0.3">
      <c r="A1131" s="23" t="s">
        <v>2726</v>
      </c>
      <c r="B1131" s="38">
        <v>46293</v>
      </c>
      <c r="C1131" s="23" t="s">
        <v>2727</v>
      </c>
      <c r="D1131" s="23" t="s">
        <v>94</v>
      </c>
      <c r="E1131" s="23" t="s">
        <v>75</v>
      </c>
      <c r="F1131" s="23" t="s">
        <v>310</v>
      </c>
      <c r="G1131" s="23" t="s">
        <v>250</v>
      </c>
      <c r="H1131" s="39">
        <f t="shared" si="68"/>
        <v>7999</v>
      </c>
      <c r="I1131" s="23" t="str">
        <f t="shared" si="69"/>
        <v>Chennai</v>
      </c>
      <c r="J1131" s="23">
        <f>COUNTIFS(pg_transaction_cleaned!$O:$O,A1131,pg_transaction_cleaned!$F:$F,"CAPTURE")</f>
        <v>1</v>
      </c>
      <c r="K1131" s="39">
        <f>SUMIFS(pg_transaction_cleaned!$H:$H,pg_transaction_cleaned!$O:$O,A1131,pg_transaction_cleaned!$F:$F,"CAPTURE")</f>
        <v>7999</v>
      </c>
      <c r="L1131" s="23">
        <f>COUNTIFS(pg_transaction_cleaned!$O:$O,A1131,pg_transaction_cleaned!$F:$F,"REFUND")</f>
        <v>0</v>
      </c>
      <c r="M1131" s="39">
        <f>SUMIFS(pg_transaction_cleaned!$H:$H,pg_transaction_cleaned!$O:$O,A1131,pg_transaction_cleaned!$F:$F,"REFUND")</f>
        <v>0</v>
      </c>
      <c r="N1131" s="23" t="str">
        <f t="shared" si="70"/>
        <v>OK</v>
      </c>
      <c r="O1131" s="24">
        <f t="shared" si="71"/>
        <v>0</v>
      </c>
    </row>
    <row r="1132" spans="1:15" ht="15" customHeight="1" x14ac:dyDescent="0.3">
      <c r="A1132" s="23" t="s">
        <v>2728</v>
      </c>
      <c r="B1132" s="38">
        <v>46288</v>
      </c>
      <c r="C1132" s="23" t="s">
        <v>2729</v>
      </c>
      <c r="D1132" s="23" t="s">
        <v>91</v>
      </c>
      <c r="E1132" s="23" t="s">
        <v>79</v>
      </c>
      <c r="F1132" s="23" t="s">
        <v>2730</v>
      </c>
      <c r="G1132" s="23" t="s">
        <v>250</v>
      </c>
      <c r="H1132" s="39">
        <f t="shared" si="68"/>
        <v>8348</v>
      </c>
      <c r="I1132" s="23" t="str">
        <f t="shared" si="69"/>
        <v>Pune</v>
      </c>
      <c r="J1132" s="23">
        <f>COUNTIFS(pg_transaction_cleaned!$O:$O,A1132,pg_transaction_cleaned!$F:$F,"CAPTURE")</f>
        <v>1</v>
      </c>
      <c r="K1132" s="39">
        <f>SUMIFS(pg_transaction_cleaned!$H:$H,pg_transaction_cleaned!$O:$O,A1132,pg_transaction_cleaned!$F:$F,"CAPTURE")</f>
        <v>8248</v>
      </c>
      <c r="L1132" s="23">
        <f>COUNTIFS(pg_transaction_cleaned!$O:$O,A1132,pg_transaction_cleaned!$F:$F,"REFUND")</f>
        <v>0</v>
      </c>
      <c r="M1132" s="39">
        <f>SUMIFS(pg_transaction_cleaned!$H:$H,pg_transaction_cleaned!$O:$O,A1132,pg_transaction_cleaned!$F:$F,"REFUND")</f>
        <v>0</v>
      </c>
      <c r="N1132" s="23" t="str">
        <f t="shared" si="70"/>
        <v>Amount difference</v>
      </c>
      <c r="O1132" s="24">
        <f t="shared" si="71"/>
        <v>-100</v>
      </c>
    </row>
    <row r="1133" spans="1:15" ht="15" customHeight="1" x14ac:dyDescent="0.3">
      <c r="A1133" s="23" t="s">
        <v>2731</v>
      </c>
      <c r="B1133" s="38">
        <v>46277</v>
      </c>
      <c r="C1133" s="23" t="s">
        <v>2732</v>
      </c>
      <c r="D1133" s="23" t="s">
        <v>87</v>
      </c>
      <c r="E1133" s="23" t="s">
        <v>79</v>
      </c>
      <c r="F1133" s="23" t="s">
        <v>499</v>
      </c>
      <c r="G1133" s="23" t="s">
        <v>250</v>
      </c>
      <c r="H1133" s="39">
        <f t="shared" si="68"/>
        <v>5998</v>
      </c>
      <c r="I1133" s="23" t="str">
        <f t="shared" si="69"/>
        <v>Mumbai</v>
      </c>
      <c r="J1133" s="23">
        <f>COUNTIFS(pg_transaction_cleaned!$O:$O,A1133,pg_transaction_cleaned!$F:$F,"CAPTURE")</f>
        <v>1</v>
      </c>
      <c r="K1133" s="39">
        <f>SUMIFS(pg_transaction_cleaned!$H:$H,pg_transaction_cleaned!$O:$O,A1133,pg_transaction_cleaned!$F:$F,"CAPTURE")</f>
        <v>5998</v>
      </c>
      <c r="L1133" s="23">
        <f>COUNTIFS(pg_transaction_cleaned!$O:$O,A1133,pg_transaction_cleaned!$F:$F,"REFUND")</f>
        <v>0</v>
      </c>
      <c r="M1133" s="39">
        <f>SUMIFS(pg_transaction_cleaned!$H:$H,pg_transaction_cleaned!$O:$O,A1133,pg_transaction_cleaned!$F:$F,"REFUND")</f>
        <v>0</v>
      </c>
      <c r="N1133" s="23" t="str">
        <f t="shared" si="70"/>
        <v>OK</v>
      </c>
      <c r="O1133" s="24">
        <f t="shared" si="71"/>
        <v>0</v>
      </c>
    </row>
    <row r="1134" spans="1:15" ht="15" customHeight="1" x14ac:dyDescent="0.3">
      <c r="A1134" s="23" t="s">
        <v>2733</v>
      </c>
      <c r="B1134" s="38">
        <v>46290</v>
      </c>
      <c r="C1134" s="23" t="s">
        <v>2734</v>
      </c>
      <c r="D1134" s="23"/>
      <c r="E1134" s="23" t="s">
        <v>79</v>
      </c>
      <c r="F1134" s="23" t="s">
        <v>396</v>
      </c>
      <c r="G1134" s="23" t="s">
        <v>250</v>
      </c>
      <c r="H1134" s="39">
        <f t="shared" si="68"/>
        <v>2999</v>
      </c>
      <c r="I1134" s="23" t="str">
        <f t="shared" si="69"/>
        <v>Unknown</v>
      </c>
      <c r="J1134" s="23">
        <f>COUNTIFS(pg_transaction_cleaned!$O:$O,A1134,pg_transaction_cleaned!$F:$F,"CAPTURE")</f>
        <v>1</v>
      </c>
      <c r="K1134" s="39">
        <f>SUMIFS(pg_transaction_cleaned!$H:$H,pg_transaction_cleaned!$O:$O,A1134,pg_transaction_cleaned!$F:$F,"CAPTURE")</f>
        <v>2999</v>
      </c>
      <c r="L1134" s="23">
        <f>COUNTIFS(pg_transaction_cleaned!$O:$O,A1134,pg_transaction_cleaned!$F:$F,"REFUND")</f>
        <v>0</v>
      </c>
      <c r="M1134" s="39">
        <f>SUMIFS(pg_transaction_cleaned!$H:$H,pg_transaction_cleaned!$O:$O,A1134,pg_transaction_cleaned!$F:$F,"REFUND")</f>
        <v>0</v>
      </c>
      <c r="N1134" s="23" t="str">
        <f t="shared" si="70"/>
        <v>OK</v>
      </c>
      <c r="O1134" s="24">
        <f t="shared" si="71"/>
        <v>0</v>
      </c>
    </row>
    <row r="1135" spans="1:15" ht="15" customHeight="1" x14ac:dyDescent="0.3">
      <c r="A1135" s="23" t="s">
        <v>2735</v>
      </c>
      <c r="B1135" s="38">
        <v>46266</v>
      </c>
      <c r="C1135" s="23" t="s">
        <v>2736</v>
      </c>
      <c r="D1135" s="23" t="s">
        <v>86</v>
      </c>
      <c r="E1135" s="23" t="s">
        <v>79</v>
      </c>
      <c r="F1135" s="23" t="s">
        <v>567</v>
      </c>
      <c r="G1135" s="23" t="s">
        <v>250</v>
      </c>
      <c r="H1135" s="39">
        <f t="shared" si="68"/>
        <v>3598</v>
      </c>
      <c r="I1135" s="23" t="str">
        <f t="shared" si="69"/>
        <v>Delhi</v>
      </c>
      <c r="J1135" s="23">
        <f>COUNTIFS(pg_transaction_cleaned!$O:$O,A1135,pg_transaction_cleaned!$F:$F,"CAPTURE")</f>
        <v>1</v>
      </c>
      <c r="K1135" s="39">
        <f>SUMIFS(pg_transaction_cleaned!$H:$H,pg_transaction_cleaned!$O:$O,A1135,pg_transaction_cleaned!$F:$F,"CAPTURE")</f>
        <v>3598</v>
      </c>
      <c r="L1135" s="23">
        <f>COUNTIFS(pg_transaction_cleaned!$O:$O,A1135,pg_transaction_cleaned!$F:$F,"REFUND")</f>
        <v>0</v>
      </c>
      <c r="M1135" s="39">
        <f>SUMIFS(pg_transaction_cleaned!$H:$H,pg_transaction_cleaned!$O:$O,A1135,pg_transaction_cleaned!$F:$F,"REFUND")</f>
        <v>0</v>
      </c>
      <c r="N1135" s="23" t="str">
        <f t="shared" si="70"/>
        <v>OK</v>
      </c>
      <c r="O1135" s="24">
        <f t="shared" si="71"/>
        <v>0</v>
      </c>
    </row>
    <row r="1136" spans="1:15" ht="15" customHeight="1" x14ac:dyDescent="0.3">
      <c r="A1136" s="23" t="s">
        <v>2737</v>
      </c>
      <c r="B1136" s="38">
        <v>46273</v>
      </c>
      <c r="C1136" s="23" t="s">
        <v>2738</v>
      </c>
      <c r="D1136" s="23" t="s">
        <v>93</v>
      </c>
      <c r="E1136" s="23" t="s">
        <v>79</v>
      </c>
      <c r="F1136" s="23" t="s">
        <v>612</v>
      </c>
      <c r="G1136" s="23" t="s">
        <v>250</v>
      </c>
      <c r="H1136" s="39">
        <f t="shared" si="68"/>
        <v>8498</v>
      </c>
      <c r="I1136" s="23" t="str">
        <f t="shared" si="69"/>
        <v>Kolkata</v>
      </c>
      <c r="J1136" s="23">
        <f>COUNTIFS(pg_transaction_cleaned!$O:$O,A1136,pg_transaction_cleaned!$F:$F,"CAPTURE")</f>
        <v>1</v>
      </c>
      <c r="K1136" s="39">
        <f>SUMIFS(pg_transaction_cleaned!$H:$H,pg_transaction_cleaned!$O:$O,A1136,pg_transaction_cleaned!$F:$F,"CAPTURE")</f>
        <v>8498</v>
      </c>
      <c r="L1136" s="23">
        <f>COUNTIFS(pg_transaction_cleaned!$O:$O,A1136,pg_transaction_cleaned!$F:$F,"REFUND")</f>
        <v>0</v>
      </c>
      <c r="M1136" s="39">
        <f>SUMIFS(pg_transaction_cleaned!$H:$H,pg_transaction_cleaned!$O:$O,A1136,pg_transaction_cleaned!$F:$F,"REFUND")</f>
        <v>0</v>
      </c>
      <c r="N1136" s="23" t="str">
        <f t="shared" si="70"/>
        <v>OK</v>
      </c>
      <c r="O1136" s="24">
        <f t="shared" si="71"/>
        <v>0</v>
      </c>
    </row>
    <row r="1137" spans="1:15" ht="15" customHeight="1" x14ac:dyDescent="0.3">
      <c r="A1137" s="23" t="s">
        <v>2739</v>
      </c>
      <c r="B1137" s="38">
        <v>46291</v>
      </c>
      <c r="C1137" s="23" t="s">
        <v>2740</v>
      </c>
      <c r="D1137" s="23" t="s">
        <v>86</v>
      </c>
      <c r="E1137" s="23" t="s">
        <v>79</v>
      </c>
      <c r="F1137" s="23" t="s">
        <v>315</v>
      </c>
      <c r="G1137" s="23" t="s">
        <v>250</v>
      </c>
      <c r="H1137" s="39">
        <f t="shared" si="68"/>
        <v>1499</v>
      </c>
      <c r="I1137" s="23" t="str">
        <f t="shared" si="69"/>
        <v>Delhi</v>
      </c>
      <c r="J1137" s="23">
        <f>COUNTIFS(pg_transaction_cleaned!$O:$O,A1137,pg_transaction_cleaned!$F:$F,"CAPTURE")</f>
        <v>1</v>
      </c>
      <c r="K1137" s="39">
        <f>SUMIFS(pg_transaction_cleaned!$H:$H,pg_transaction_cleaned!$O:$O,A1137,pg_transaction_cleaned!$F:$F,"CAPTURE")</f>
        <v>1499</v>
      </c>
      <c r="L1137" s="23">
        <f>COUNTIFS(pg_transaction_cleaned!$O:$O,A1137,pg_transaction_cleaned!$F:$F,"REFUND")</f>
        <v>0</v>
      </c>
      <c r="M1137" s="39">
        <f>SUMIFS(pg_transaction_cleaned!$H:$H,pg_transaction_cleaned!$O:$O,A1137,pg_transaction_cleaned!$F:$F,"REFUND")</f>
        <v>0</v>
      </c>
      <c r="N1137" s="23" t="str">
        <f t="shared" si="70"/>
        <v>OK</v>
      </c>
      <c r="O1137" s="24">
        <f t="shared" si="71"/>
        <v>0</v>
      </c>
    </row>
    <row r="1138" spans="1:15" ht="15" customHeight="1" x14ac:dyDescent="0.3">
      <c r="A1138" s="23" t="s">
        <v>2741</v>
      </c>
      <c r="B1138" s="38">
        <v>46287</v>
      </c>
      <c r="C1138" s="23" t="s">
        <v>2742</v>
      </c>
      <c r="D1138" s="23" t="s">
        <v>94</v>
      </c>
      <c r="E1138" s="23" t="s">
        <v>75</v>
      </c>
      <c r="F1138" s="23" t="s">
        <v>622</v>
      </c>
      <c r="G1138" s="23" t="s">
        <v>250</v>
      </c>
      <c r="H1138" s="39">
        <f t="shared" si="68"/>
        <v>8998</v>
      </c>
      <c r="I1138" s="23" t="str">
        <f t="shared" si="69"/>
        <v>Chennai</v>
      </c>
      <c r="J1138" s="23">
        <f>COUNTIFS(pg_transaction_cleaned!$O:$O,A1138,pg_transaction_cleaned!$F:$F,"CAPTURE")</f>
        <v>1</v>
      </c>
      <c r="K1138" s="39">
        <f>SUMIFS(pg_transaction_cleaned!$H:$H,pg_transaction_cleaned!$O:$O,A1138,pg_transaction_cleaned!$F:$F,"CAPTURE")</f>
        <v>8998</v>
      </c>
      <c r="L1138" s="23">
        <f>COUNTIFS(pg_transaction_cleaned!$O:$O,A1138,pg_transaction_cleaned!$F:$F,"REFUND")</f>
        <v>0</v>
      </c>
      <c r="M1138" s="39">
        <f>SUMIFS(pg_transaction_cleaned!$H:$H,pg_transaction_cleaned!$O:$O,A1138,pg_transaction_cleaned!$F:$F,"REFUND")</f>
        <v>0</v>
      </c>
      <c r="N1138" s="23" t="str">
        <f t="shared" si="70"/>
        <v>OK</v>
      </c>
      <c r="O1138" s="24">
        <f t="shared" si="71"/>
        <v>0</v>
      </c>
    </row>
    <row r="1139" spans="1:15" ht="15" customHeight="1" x14ac:dyDescent="0.3">
      <c r="A1139" s="23" t="s">
        <v>2743</v>
      </c>
      <c r="B1139" s="38">
        <v>46271</v>
      </c>
      <c r="C1139" s="23" t="s">
        <v>2744</v>
      </c>
      <c r="D1139" s="23" t="s">
        <v>89</v>
      </c>
      <c r="E1139" s="23" t="s">
        <v>75</v>
      </c>
      <c r="F1139" s="23" t="s">
        <v>405</v>
      </c>
      <c r="G1139" s="23" t="s">
        <v>365</v>
      </c>
      <c r="H1139" s="39">
        <f t="shared" si="68"/>
        <v>9298</v>
      </c>
      <c r="I1139" s="23" t="str">
        <f t="shared" si="69"/>
        <v>Jaipur</v>
      </c>
      <c r="J1139" s="23">
        <f>COUNTIFS(pg_transaction_cleaned!$O:$O,A1139,pg_transaction_cleaned!$F:$F,"CAPTURE")</f>
        <v>0</v>
      </c>
      <c r="K1139" s="39">
        <f>SUMIFS(pg_transaction_cleaned!$H:$H,pg_transaction_cleaned!$O:$O,A1139,pg_transaction_cleaned!$F:$F,"CAPTURE")</f>
        <v>0</v>
      </c>
      <c r="L1139" s="23">
        <f>COUNTIFS(pg_transaction_cleaned!$O:$O,A1139,pg_transaction_cleaned!$F:$F,"REFUND")</f>
        <v>0</v>
      </c>
      <c r="M1139" s="39">
        <f>SUMIFS(pg_transaction_cleaned!$H:$H,pg_transaction_cleaned!$O:$O,A1139,pg_transaction_cleaned!$F:$F,"REFUND")</f>
        <v>0</v>
      </c>
      <c r="N1139" s="23" t="str">
        <f t="shared" si="70"/>
        <v>OK</v>
      </c>
      <c r="O1139" s="24">
        <f t="shared" si="71"/>
        <v>0</v>
      </c>
    </row>
    <row r="1140" spans="1:15" ht="15" customHeight="1" x14ac:dyDescent="0.3">
      <c r="A1140" s="23" t="s">
        <v>2745</v>
      </c>
      <c r="B1140" s="38">
        <v>46286</v>
      </c>
      <c r="C1140" s="23" t="s">
        <v>2746</v>
      </c>
      <c r="D1140" s="23" t="s">
        <v>92</v>
      </c>
      <c r="E1140" s="23" t="s">
        <v>77</v>
      </c>
      <c r="F1140" s="23" t="s">
        <v>567</v>
      </c>
      <c r="G1140" s="23" t="s">
        <v>365</v>
      </c>
      <c r="H1140" s="39">
        <f t="shared" si="68"/>
        <v>3598</v>
      </c>
      <c r="I1140" s="23" t="str">
        <f t="shared" si="69"/>
        <v>Hyderabad</v>
      </c>
      <c r="J1140" s="23">
        <f>COUNTIFS(pg_transaction_cleaned!$O:$O,A1140,pg_transaction_cleaned!$F:$F,"CAPTURE")</f>
        <v>0</v>
      </c>
      <c r="K1140" s="39">
        <f>SUMIFS(pg_transaction_cleaned!$H:$H,pg_transaction_cleaned!$O:$O,A1140,pg_transaction_cleaned!$F:$F,"CAPTURE")</f>
        <v>0</v>
      </c>
      <c r="L1140" s="23">
        <f>COUNTIFS(pg_transaction_cleaned!$O:$O,A1140,pg_transaction_cleaned!$F:$F,"REFUND")</f>
        <v>0</v>
      </c>
      <c r="M1140" s="39">
        <f>SUMIFS(pg_transaction_cleaned!$H:$H,pg_transaction_cleaned!$O:$O,A1140,pg_transaction_cleaned!$F:$F,"REFUND")</f>
        <v>0</v>
      </c>
      <c r="N1140" s="23" t="str">
        <f t="shared" si="70"/>
        <v>OK</v>
      </c>
      <c r="O1140" s="24">
        <f t="shared" si="71"/>
        <v>0</v>
      </c>
    </row>
    <row r="1141" spans="1:15" ht="15" customHeight="1" x14ac:dyDescent="0.3">
      <c r="A1141" s="23" t="s">
        <v>2747</v>
      </c>
      <c r="B1141" s="38">
        <v>46288</v>
      </c>
      <c r="C1141" s="23" t="s">
        <v>2748</v>
      </c>
      <c r="D1141" s="23" t="s">
        <v>86</v>
      </c>
      <c r="E1141" s="23" t="s">
        <v>75</v>
      </c>
      <c r="F1141" s="23" t="s">
        <v>249</v>
      </c>
      <c r="G1141" s="23" t="s">
        <v>250</v>
      </c>
      <c r="H1141" s="39">
        <f t="shared" si="68"/>
        <v>299</v>
      </c>
      <c r="I1141" s="23" t="str">
        <f t="shared" si="69"/>
        <v>Delhi</v>
      </c>
      <c r="J1141" s="23">
        <f>COUNTIFS(pg_transaction_cleaned!$O:$O,A1141,pg_transaction_cleaned!$F:$F,"CAPTURE")</f>
        <v>1</v>
      </c>
      <c r="K1141" s="39">
        <f>SUMIFS(pg_transaction_cleaned!$H:$H,pg_transaction_cleaned!$O:$O,A1141,pg_transaction_cleaned!$F:$F,"CAPTURE")</f>
        <v>299</v>
      </c>
      <c r="L1141" s="23">
        <f>COUNTIFS(pg_transaction_cleaned!$O:$O,A1141,pg_transaction_cleaned!$F:$F,"REFUND")</f>
        <v>0</v>
      </c>
      <c r="M1141" s="39">
        <f>SUMIFS(pg_transaction_cleaned!$H:$H,pg_transaction_cleaned!$O:$O,A1141,pg_transaction_cleaned!$F:$F,"REFUND")</f>
        <v>0</v>
      </c>
      <c r="N1141" s="23" t="str">
        <f t="shared" si="70"/>
        <v>OK</v>
      </c>
      <c r="O1141" s="24">
        <f t="shared" si="71"/>
        <v>0</v>
      </c>
    </row>
    <row r="1142" spans="1:15" ht="15" customHeight="1" x14ac:dyDescent="0.3">
      <c r="A1142" s="23" t="s">
        <v>2749</v>
      </c>
      <c r="B1142" s="38">
        <v>46268</v>
      </c>
      <c r="C1142" s="23" t="s">
        <v>2750</v>
      </c>
      <c r="D1142" s="23" t="s">
        <v>93</v>
      </c>
      <c r="E1142" s="23" t="s">
        <v>75</v>
      </c>
      <c r="F1142" s="23" t="s">
        <v>262</v>
      </c>
      <c r="G1142" s="23" t="s">
        <v>318</v>
      </c>
      <c r="H1142" s="39">
        <f t="shared" si="68"/>
        <v>499</v>
      </c>
      <c r="I1142" s="23" t="str">
        <f t="shared" si="69"/>
        <v>Kolkata</v>
      </c>
      <c r="J1142" s="23">
        <f>COUNTIFS(pg_transaction_cleaned!$O:$O,A1142,pg_transaction_cleaned!$F:$F,"CAPTURE")</f>
        <v>0</v>
      </c>
      <c r="K1142" s="39">
        <f>SUMIFS(pg_transaction_cleaned!$H:$H,pg_transaction_cleaned!$O:$O,A1142,pg_transaction_cleaned!$F:$F,"CAPTURE")</f>
        <v>0</v>
      </c>
      <c r="L1142" s="23">
        <f>COUNTIFS(pg_transaction_cleaned!$O:$O,A1142,pg_transaction_cleaned!$F:$F,"REFUND")</f>
        <v>0</v>
      </c>
      <c r="M1142" s="39">
        <f>SUMIFS(pg_transaction_cleaned!$H:$H,pg_transaction_cleaned!$O:$O,A1142,pg_transaction_cleaned!$F:$F,"REFUND")</f>
        <v>0</v>
      </c>
      <c r="N1142" s="23" t="str">
        <f t="shared" si="70"/>
        <v>OK</v>
      </c>
      <c r="O1142" s="24">
        <f t="shared" si="71"/>
        <v>0</v>
      </c>
    </row>
    <row r="1143" spans="1:15" ht="15" customHeight="1" x14ac:dyDescent="0.3">
      <c r="A1143" s="23" t="s">
        <v>2751</v>
      </c>
      <c r="B1143" s="38">
        <v>46290</v>
      </c>
      <c r="C1143" s="23" t="s">
        <v>2752</v>
      </c>
      <c r="D1143" s="23" t="s">
        <v>95</v>
      </c>
      <c r="E1143" s="23" t="s">
        <v>75</v>
      </c>
      <c r="F1143" s="23" t="s">
        <v>675</v>
      </c>
      <c r="G1143" s="23" t="s">
        <v>250</v>
      </c>
      <c r="H1143" s="39">
        <f t="shared" si="68"/>
        <v>10998</v>
      </c>
      <c r="I1143" s="23" t="str">
        <f t="shared" si="69"/>
        <v>Bengaluru</v>
      </c>
      <c r="J1143" s="23">
        <f>COUNTIFS(pg_transaction_cleaned!$O:$O,A1143,pg_transaction_cleaned!$F:$F,"CAPTURE")</f>
        <v>1</v>
      </c>
      <c r="K1143" s="39">
        <f>SUMIFS(pg_transaction_cleaned!$H:$H,pg_transaction_cleaned!$O:$O,A1143,pg_transaction_cleaned!$F:$F,"CAPTURE")</f>
        <v>10998</v>
      </c>
      <c r="L1143" s="23">
        <f>COUNTIFS(pg_transaction_cleaned!$O:$O,A1143,pg_transaction_cleaned!$F:$F,"REFUND")</f>
        <v>0</v>
      </c>
      <c r="M1143" s="39">
        <f>SUMIFS(pg_transaction_cleaned!$H:$H,pg_transaction_cleaned!$O:$O,A1143,pg_transaction_cleaned!$F:$F,"REFUND")</f>
        <v>0</v>
      </c>
      <c r="N1143" s="23" t="str">
        <f t="shared" si="70"/>
        <v>OK</v>
      </c>
      <c r="O1143" s="24">
        <f t="shared" si="71"/>
        <v>0</v>
      </c>
    </row>
    <row r="1144" spans="1:15" ht="15" customHeight="1" x14ac:dyDescent="0.3">
      <c r="A1144" s="23" t="s">
        <v>2753</v>
      </c>
      <c r="B1144" s="38">
        <v>46293</v>
      </c>
      <c r="C1144" s="23" t="s">
        <v>2754</v>
      </c>
      <c r="D1144" s="23" t="s">
        <v>95</v>
      </c>
      <c r="E1144" s="23" t="s">
        <v>75</v>
      </c>
      <c r="F1144" s="23" t="s">
        <v>475</v>
      </c>
      <c r="G1144" s="23" t="s">
        <v>250</v>
      </c>
      <c r="H1144" s="39">
        <f t="shared" si="68"/>
        <v>799</v>
      </c>
      <c r="I1144" s="23" t="str">
        <f t="shared" si="69"/>
        <v>Bengaluru</v>
      </c>
      <c r="J1144" s="23">
        <f>COUNTIFS(pg_transaction_cleaned!$O:$O,A1144,pg_transaction_cleaned!$F:$F,"CAPTURE")</f>
        <v>1</v>
      </c>
      <c r="K1144" s="39">
        <f>SUMIFS(pg_transaction_cleaned!$H:$H,pg_transaction_cleaned!$O:$O,A1144,pg_transaction_cleaned!$F:$F,"CAPTURE")</f>
        <v>799</v>
      </c>
      <c r="L1144" s="23">
        <f>COUNTIFS(pg_transaction_cleaned!$O:$O,A1144,pg_transaction_cleaned!$F:$F,"REFUND")</f>
        <v>0</v>
      </c>
      <c r="M1144" s="39">
        <f>SUMIFS(pg_transaction_cleaned!$H:$H,pg_transaction_cleaned!$O:$O,A1144,pg_transaction_cleaned!$F:$F,"REFUND")</f>
        <v>0</v>
      </c>
      <c r="N1144" s="23" t="str">
        <f t="shared" si="70"/>
        <v>OK</v>
      </c>
      <c r="O1144" s="24">
        <f t="shared" si="71"/>
        <v>0</v>
      </c>
    </row>
    <row r="1145" spans="1:15" ht="15" customHeight="1" x14ac:dyDescent="0.3">
      <c r="A1145" s="23" t="s">
        <v>2755</v>
      </c>
      <c r="B1145" s="38">
        <v>46285</v>
      </c>
      <c r="C1145" s="23" t="s">
        <v>2756</v>
      </c>
      <c r="D1145" s="23" t="s">
        <v>86</v>
      </c>
      <c r="E1145" s="23" t="s">
        <v>79</v>
      </c>
      <c r="F1145" s="23" t="s">
        <v>310</v>
      </c>
      <c r="G1145" s="23" t="s">
        <v>250</v>
      </c>
      <c r="H1145" s="39">
        <f t="shared" si="68"/>
        <v>7999</v>
      </c>
      <c r="I1145" s="23" t="str">
        <f t="shared" si="69"/>
        <v>Delhi</v>
      </c>
      <c r="J1145" s="23">
        <f>COUNTIFS(pg_transaction_cleaned!$O:$O,A1145,pg_transaction_cleaned!$F:$F,"CAPTURE")</f>
        <v>1</v>
      </c>
      <c r="K1145" s="39">
        <f>SUMIFS(pg_transaction_cleaned!$H:$H,pg_transaction_cleaned!$O:$O,A1145,pg_transaction_cleaned!$F:$F,"CAPTURE")</f>
        <v>7999</v>
      </c>
      <c r="L1145" s="23">
        <f>COUNTIFS(pg_transaction_cleaned!$O:$O,A1145,pg_transaction_cleaned!$F:$F,"REFUND")</f>
        <v>0</v>
      </c>
      <c r="M1145" s="39">
        <f>SUMIFS(pg_transaction_cleaned!$H:$H,pg_transaction_cleaned!$O:$O,A1145,pg_transaction_cleaned!$F:$F,"REFUND")</f>
        <v>0</v>
      </c>
      <c r="N1145" s="23" t="str">
        <f t="shared" si="70"/>
        <v>OK</v>
      </c>
      <c r="O1145" s="24">
        <f t="shared" si="71"/>
        <v>0</v>
      </c>
    </row>
    <row r="1146" spans="1:15" ht="15" customHeight="1" x14ac:dyDescent="0.3">
      <c r="A1146" s="23" t="s">
        <v>2757</v>
      </c>
      <c r="B1146" s="38">
        <v>46279</v>
      </c>
      <c r="C1146" s="23" t="s">
        <v>2758</v>
      </c>
      <c r="D1146" s="23" t="s">
        <v>90</v>
      </c>
      <c r="E1146" s="23" t="s">
        <v>75</v>
      </c>
      <c r="F1146" s="23" t="s">
        <v>249</v>
      </c>
      <c r="G1146" s="23" t="s">
        <v>250</v>
      </c>
      <c r="H1146" s="39">
        <f t="shared" si="68"/>
        <v>299</v>
      </c>
      <c r="I1146" s="23" t="str">
        <f t="shared" si="69"/>
        <v>Ahmedabad</v>
      </c>
      <c r="J1146" s="23">
        <f>COUNTIFS(pg_transaction_cleaned!$O:$O,A1146,pg_transaction_cleaned!$F:$F,"CAPTURE")</f>
        <v>1</v>
      </c>
      <c r="K1146" s="39">
        <f>SUMIFS(pg_transaction_cleaned!$H:$H,pg_transaction_cleaned!$O:$O,A1146,pg_transaction_cleaned!$F:$F,"CAPTURE")</f>
        <v>299</v>
      </c>
      <c r="L1146" s="23">
        <f>COUNTIFS(pg_transaction_cleaned!$O:$O,A1146,pg_transaction_cleaned!$F:$F,"REFUND")</f>
        <v>0</v>
      </c>
      <c r="M1146" s="39">
        <f>SUMIFS(pg_transaction_cleaned!$H:$H,pg_transaction_cleaned!$O:$O,A1146,pg_transaction_cleaned!$F:$F,"REFUND")</f>
        <v>0</v>
      </c>
      <c r="N1146" s="23" t="str">
        <f t="shared" si="70"/>
        <v>OK</v>
      </c>
      <c r="O1146" s="24">
        <f t="shared" si="71"/>
        <v>0</v>
      </c>
    </row>
    <row r="1147" spans="1:15" ht="15" customHeight="1" x14ac:dyDescent="0.3">
      <c r="A1147" s="23" t="s">
        <v>2759</v>
      </c>
      <c r="B1147" s="38">
        <v>46295</v>
      </c>
      <c r="C1147" s="23" t="s">
        <v>2760</v>
      </c>
      <c r="D1147" s="23" t="s">
        <v>87</v>
      </c>
      <c r="E1147" s="23" t="s">
        <v>79</v>
      </c>
      <c r="F1147" s="23" t="s">
        <v>265</v>
      </c>
      <c r="G1147" s="23" t="s">
        <v>250</v>
      </c>
      <c r="H1147" s="39">
        <f t="shared" si="68"/>
        <v>999</v>
      </c>
      <c r="I1147" s="23" t="str">
        <f t="shared" si="69"/>
        <v>Mumbai</v>
      </c>
      <c r="J1147" s="23">
        <f>COUNTIFS(pg_transaction_cleaned!$O:$O,A1147,pg_transaction_cleaned!$F:$F,"CAPTURE")</f>
        <v>1</v>
      </c>
      <c r="K1147" s="39">
        <f>SUMIFS(pg_transaction_cleaned!$H:$H,pg_transaction_cleaned!$O:$O,A1147,pg_transaction_cleaned!$F:$F,"CAPTURE")</f>
        <v>999</v>
      </c>
      <c r="L1147" s="23">
        <f>COUNTIFS(pg_transaction_cleaned!$O:$O,A1147,pg_transaction_cleaned!$F:$F,"REFUND")</f>
        <v>0</v>
      </c>
      <c r="M1147" s="39">
        <f>SUMIFS(pg_transaction_cleaned!$H:$H,pg_transaction_cleaned!$O:$O,A1147,pg_transaction_cleaned!$F:$F,"REFUND")</f>
        <v>0</v>
      </c>
      <c r="N1147" s="23" t="str">
        <f t="shared" si="70"/>
        <v>OK</v>
      </c>
      <c r="O1147" s="24">
        <f t="shared" si="71"/>
        <v>0</v>
      </c>
    </row>
    <row r="1148" spans="1:15" ht="15" customHeight="1" x14ac:dyDescent="0.3">
      <c r="A1148" s="23" t="s">
        <v>2761</v>
      </c>
      <c r="B1148" s="38">
        <v>46281</v>
      </c>
      <c r="C1148" s="23" t="s">
        <v>2762</v>
      </c>
      <c r="D1148" s="23" t="s">
        <v>93</v>
      </c>
      <c r="E1148" s="23" t="s">
        <v>79</v>
      </c>
      <c r="F1148" s="23" t="s">
        <v>310</v>
      </c>
      <c r="G1148" s="23" t="s">
        <v>250</v>
      </c>
      <c r="H1148" s="39">
        <f t="shared" si="68"/>
        <v>7999</v>
      </c>
      <c r="I1148" s="23" t="str">
        <f t="shared" si="69"/>
        <v>Kolkata</v>
      </c>
      <c r="J1148" s="23">
        <f>COUNTIFS(pg_transaction_cleaned!$O:$O,A1148,pg_transaction_cleaned!$F:$F,"CAPTURE")</f>
        <v>1</v>
      </c>
      <c r="K1148" s="39">
        <f>SUMIFS(pg_transaction_cleaned!$H:$H,pg_transaction_cleaned!$O:$O,A1148,pg_transaction_cleaned!$F:$F,"CAPTURE")</f>
        <v>7999</v>
      </c>
      <c r="L1148" s="23">
        <f>COUNTIFS(pg_transaction_cleaned!$O:$O,A1148,pg_transaction_cleaned!$F:$F,"REFUND")</f>
        <v>0</v>
      </c>
      <c r="M1148" s="39">
        <f>SUMIFS(pg_transaction_cleaned!$H:$H,pg_transaction_cleaned!$O:$O,A1148,pg_transaction_cleaned!$F:$F,"REFUND")</f>
        <v>0</v>
      </c>
      <c r="N1148" s="23" t="str">
        <f t="shared" si="70"/>
        <v>OK</v>
      </c>
      <c r="O1148" s="24">
        <f t="shared" si="71"/>
        <v>0</v>
      </c>
    </row>
    <row r="1149" spans="1:15" ht="15" customHeight="1" x14ac:dyDescent="0.3">
      <c r="A1149" s="23" t="s">
        <v>2763</v>
      </c>
      <c r="B1149" s="38">
        <v>46288</v>
      </c>
      <c r="C1149" s="23" t="s">
        <v>2764</v>
      </c>
      <c r="D1149" s="23" t="s">
        <v>87</v>
      </c>
      <c r="E1149" s="23" t="s">
        <v>75</v>
      </c>
      <c r="F1149" s="23" t="s">
        <v>499</v>
      </c>
      <c r="G1149" s="23" t="s">
        <v>250</v>
      </c>
      <c r="H1149" s="39">
        <f t="shared" si="68"/>
        <v>5998</v>
      </c>
      <c r="I1149" s="23" t="str">
        <f t="shared" si="69"/>
        <v>Mumbai</v>
      </c>
      <c r="J1149" s="23">
        <f>COUNTIFS(pg_transaction_cleaned!$O:$O,A1149,pg_transaction_cleaned!$F:$F,"CAPTURE")</f>
        <v>1</v>
      </c>
      <c r="K1149" s="39">
        <f>SUMIFS(pg_transaction_cleaned!$H:$H,pg_transaction_cleaned!$O:$O,A1149,pg_transaction_cleaned!$F:$F,"CAPTURE")</f>
        <v>5998</v>
      </c>
      <c r="L1149" s="23">
        <f>COUNTIFS(pg_transaction_cleaned!$O:$O,A1149,pg_transaction_cleaned!$F:$F,"REFUND")</f>
        <v>0</v>
      </c>
      <c r="M1149" s="39">
        <f>SUMIFS(pg_transaction_cleaned!$H:$H,pg_transaction_cleaned!$O:$O,A1149,pg_transaction_cleaned!$F:$F,"REFUND")</f>
        <v>0</v>
      </c>
      <c r="N1149" s="23" t="str">
        <f t="shared" si="70"/>
        <v>OK</v>
      </c>
      <c r="O1149" s="24">
        <f t="shared" si="71"/>
        <v>0</v>
      </c>
    </row>
    <row r="1150" spans="1:15" ht="15" customHeight="1" x14ac:dyDescent="0.3">
      <c r="A1150" s="23" t="s">
        <v>2765</v>
      </c>
      <c r="B1150" s="38">
        <v>46276</v>
      </c>
      <c r="C1150" s="23" t="s">
        <v>2766</v>
      </c>
      <c r="D1150" s="23" t="s">
        <v>88</v>
      </c>
      <c r="E1150" s="23" t="s">
        <v>77</v>
      </c>
      <c r="F1150" s="23" t="s">
        <v>315</v>
      </c>
      <c r="G1150" s="23" t="s">
        <v>365</v>
      </c>
      <c r="H1150" s="39">
        <f t="shared" si="68"/>
        <v>1499</v>
      </c>
      <c r="I1150" s="23" t="str">
        <f t="shared" si="69"/>
        <v>Lucknow</v>
      </c>
      <c r="J1150" s="23">
        <f>COUNTIFS(pg_transaction_cleaned!$O:$O,A1150,pg_transaction_cleaned!$F:$F,"CAPTURE")</f>
        <v>0</v>
      </c>
      <c r="K1150" s="39">
        <f>SUMIFS(pg_transaction_cleaned!$H:$H,pg_transaction_cleaned!$O:$O,A1150,pg_transaction_cleaned!$F:$F,"CAPTURE")</f>
        <v>0</v>
      </c>
      <c r="L1150" s="23">
        <f>COUNTIFS(pg_transaction_cleaned!$O:$O,A1150,pg_transaction_cleaned!$F:$F,"REFUND")</f>
        <v>0</v>
      </c>
      <c r="M1150" s="39">
        <f>SUMIFS(pg_transaction_cleaned!$H:$H,pg_transaction_cleaned!$O:$O,A1150,pg_transaction_cleaned!$F:$F,"REFUND")</f>
        <v>0</v>
      </c>
      <c r="N1150" s="23" t="str">
        <f t="shared" si="70"/>
        <v>OK</v>
      </c>
      <c r="O1150" s="24">
        <f t="shared" si="71"/>
        <v>0</v>
      </c>
    </row>
    <row r="1151" spans="1:15" ht="15" customHeight="1" x14ac:dyDescent="0.3">
      <c r="A1151" s="23" t="s">
        <v>2767</v>
      </c>
      <c r="B1151" s="38">
        <v>46288</v>
      </c>
      <c r="C1151" s="23" t="s">
        <v>2768</v>
      </c>
      <c r="D1151" s="23" t="s">
        <v>93</v>
      </c>
      <c r="E1151" s="23" t="s">
        <v>79</v>
      </c>
      <c r="F1151" s="23" t="s">
        <v>647</v>
      </c>
      <c r="G1151" s="23" t="s">
        <v>250</v>
      </c>
      <c r="H1151" s="39">
        <f t="shared" si="68"/>
        <v>5597</v>
      </c>
      <c r="I1151" s="23" t="str">
        <f t="shared" si="69"/>
        <v>Kolkata</v>
      </c>
      <c r="J1151" s="23">
        <f>COUNTIFS(pg_transaction_cleaned!$O:$O,A1151,pg_transaction_cleaned!$F:$F,"CAPTURE")</f>
        <v>1</v>
      </c>
      <c r="K1151" s="39">
        <f>SUMIFS(pg_transaction_cleaned!$H:$H,pg_transaction_cleaned!$O:$O,A1151,pg_transaction_cleaned!$F:$F,"CAPTURE")</f>
        <v>5597</v>
      </c>
      <c r="L1151" s="23">
        <f>COUNTIFS(pg_transaction_cleaned!$O:$O,A1151,pg_transaction_cleaned!$F:$F,"REFUND")</f>
        <v>0</v>
      </c>
      <c r="M1151" s="39">
        <f>SUMIFS(pg_transaction_cleaned!$H:$H,pg_transaction_cleaned!$O:$O,A1151,pg_transaction_cleaned!$F:$F,"REFUND")</f>
        <v>0</v>
      </c>
      <c r="N1151" s="23" t="str">
        <f t="shared" si="70"/>
        <v>OK</v>
      </c>
      <c r="O1151" s="24">
        <f t="shared" si="71"/>
        <v>0</v>
      </c>
    </row>
    <row r="1152" spans="1:15" ht="15" customHeight="1" x14ac:dyDescent="0.3">
      <c r="A1152" s="23" t="s">
        <v>2769</v>
      </c>
      <c r="B1152" s="38">
        <v>46287</v>
      </c>
      <c r="C1152" s="23" t="s">
        <v>2770</v>
      </c>
      <c r="D1152" s="23" t="s">
        <v>86</v>
      </c>
      <c r="E1152" s="23" t="s">
        <v>79</v>
      </c>
      <c r="F1152" s="23" t="s">
        <v>262</v>
      </c>
      <c r="G1152" s="23" t="s">
        <v>301</v>
      </c>
      <c r="H1152" s="39">
        <f t="shared" si="68"/>
        <v>499</v>
      </c>
      <c r="I1152" s="23" t="str">
        <f t="shared" si="69"/>
        <v>Delhi</v>
      </c>
      <c r="J1152" s="23">
        <f>COUNTIFS(pg_transaction_cleaned!$O:$O,A1152,pg_transaction_cleaned!$F:$F,"CAPTURE")</f>
        <v>1</v>
      </c>
      <c r="K1152" s="39">
        <f>SUMIFS(pg_transaction_cleaned!$H:$H,pg_transaction_cleaned!$O:$O,A1152,pg_transaction_cleaned!$F:$F,"CAPTURE")</f>
        <v>499</v>
      </c>
      <c r="L1152" s="23">
        <f>COUNTIFS(pg_transaction_cleaned!$O:$O,A1152,pg_transaction_cleaned!$F:$F,"REFUND")</f>
        <v>0</v>
      </c>
      <c r="M1152" s="39">
        <f>SUMIFS(pg_transaction_cleaned!$H:$H,pg_transaction_cleaned!$O:$O,A1152,pg_transaction_cleaned!$F:$F,"REFUND")</f>
        <v>0</v>
      </c>
      <c r="N1152" s="23" t="str">
        <f t="shared" si="70"/>
        <v>Refunded, no refund</v>
      </c>
      <c r="O1152" s="24">
        <f t="shared" si="71"/>
        <v>499</v>
      </c>
    </row>
    <row r="1153" spans="1:15" ht="15" customHeight="1" x14ac:dyDescent="0.3">
      <c r="A1153" s="23" t="s">
        <v>2771</v>
      </c>
      <c r="B1153" s="38">
        <v>46274</v>
      </c>
      <c r="C1153" s="23" t="s">
        <v>2772</v>
      </c>
      <c r="D1153" s="23" t="s">
        <v>86</v>
      </c>
      <c r="E1153" s="23" t="s">
        <v>75</v>
      </c>
      <c r="F1153" s="23" t="s">
        <v>294</v>
      </c>
      <c r="G1153" s="23" t="s">
        <v>250</v>
      </c>
      <c r="H1153" s="39">
        <f t="shared" si="68"/>
        <v>1799</v>
      </c>
      <c r="I1153" s="23" t="str">
        <f t="shared" si="69"/>
        <v>Delhi</v>
      </c>
      <c r="J1153" s="23">
        <f>COUNTIFS(pg_transaction_cleaned!$O:$O,A1153,pg_transaction_cleaned!$F:$F,"CAPTURE")</f>
        <v>1</v>
      </c>
      <c r="K1153" s="39">
        <f>SUMIFS(pg_transaction_cleaned!$H:$H,pg_transaction_cleaned!$O:$O,A1153,pg_transaction_cleaned!$F:$F,"CAPTURE")</f>
        <v>1799</v>
      </c>
      <c r="L1153" s="23">
        <f>COUNTIFS(pg_transaction_cleaned!$O:$O,A1153,pg_transaction_cleaned!$F:$F,"REFUND")</f>
        <v>0</v>
      </c>
      <c r="M1153" s="39">
        <f>SUMIFS(pg_transaction_cleaned!$H:$H,pg_transaction_cleaned!$O:$O,A1153,pg_transaction_cleaned!$F:$F,"REFUND")</f>
        <v>0</v>
      </c>
      <c r="N1153" s="23" t="str">
        <f t="shared" si="70"/>
        <v>OK</v>
      </c>
      <c r="O1153" s="24">
        <f t="shared" si="71"/>
        <v>0</v>
      </c>
    </row>
    <row r="1154" spans="1:15" ht="15" customHeight="1" x14ac:dyDescent="0.3">
      <c r="A1154" s="23" t="s">
        <v>2773</v>
      </c>
      <c r="B1154" s="38">
        <v>46268</v>
      </c>
      <c r="C1154" s="23" t="s">
        <v>2774</v>
      </c>
      <c r="D1154" s="23" t="s">
        <v>94</v>
      </c>
      <c r="E1154" s="23" t="s">
        <v>75</v>
      </c>
      <c r="F1154" s="23" t="s">
        <v>291</v>
      </c>
      <c r="G1154" s="23" t="s">
        <v>250</v>
      </c>
      <c r="H1154" s="39">
        <f t="shared" ref="H1154:H1217" si="72">VALUE(SUBSTITUTE(F1154,",",""))</f>
        <v>3499</v>
      </c>
      <c r="I1154" s="23" t="str">
        <f t="shared" ref="I1154:I1217" si="73">IF(TRIM(D1154)="","Unknown",TRIM(D1154))</f>
        <v>Chennai</v>
      </c>
      <c r="J1154" s="23">
        <f>COUNTIFS(pg_transaction_cleaned!$O:$O,A1154,pg_transaction_cleaned!$F:$F,"CAPTURE")</f>
        <v>1</v>
      </c>
      <c r="K1154" s="39">
        <f>SUMIFS(pg_transaction_cleaned!$H:$H,pg_transaction_cleaned!$O:$O,A1154,pg_transaction_cleaned!$F:$F,"CAPTURE")</f>
        <v>3499</v>
      </c>
      <c r="L1154" s="23">
        <f>COUNTIFS(pg_transaction_cleaned!$O:$O,A1154,pg_transaction_cleaned!$F:$F,"REFUND")</f>
        <v>0</v>
      </c>
      <c r="M1154" s="39">
        <f>SUMIFS(pg_transaction_cleaned!$H:$H,pg_transaction_cleaned!$O:$O,A1154,pg_transaction_cleaned!$F:$F,"REFUND")</f>
        <v>0</v>
      </c>
      <c r="N1154" s="23" t="str">
        <f t="shared" ref="N1154:N1217" si="74">IF(AND(G1154="Paid",J1154=0),"Paid, no payment",IF(AND(OR(G1154="Failed",G1154="Cancelled"),J1154&gt;0),"Payment on failed/cancelled",IF(J1154&gt;1,"Duplicate charge",IF(AND(J1154=1,ROUND(K1154-H1154,2)&lt;&gt;0),"Amount difference",IF(AND(G1154="Refunded",L1154=0),"Refunded, no refund",IF(AND(G1154&lt;&gt;"Refunded",L1154&gt;0),"Refund, order not Refunded",IF(AND(L1154&gt;0,ROUND(M1154-H1154,2)&lt;&gt;0),"Refund amount differs","OK")))))))</f>
        <v>OK</v>
      </c>
      <c r="O1154" s="24">
        <f t="shared" ref="O1154:O1217" si="75">IF(N1154="OK",0,IF(N1154="Paid, no payment",H1154,IF(N1154="Payment on failed/cancelled",K1154,IF(OR(N1154="Duplicate charge",N1154="Amount difference"),K1154-H1154,IF(N1154="Refunded, no refund",H1154,M1154)))))</f>
        <v>0</v>
      </c>
    </row>
    <row r="1155" spans="1:15" ht="15" customHeight="1" x14ac:dyDescent="0.3">
      <c r="A1155" s="23" t="s">
        <v>2775</v>
      </c>
      <c r="B1155" s="38">
        <v>46267</v>
      </c>
      <c r="C1155" s="23" t="s">
        <v>2776</v>
      </c>
      <c r="D1155" s="23" t="s">
        <v>93</v>
      </c>
      <c r="E1155" s="23" t="s">
        <v>81</v>
      </c>
      <c r="F1155" s="23" t="s">
        <v>315</v>
      </c>
      <c r="G1155" s="23" t="s">
        <v>250</v>
      </c>
      <c r="H1155" s="39">
        <f t="shared" si="72"/>
        <v>1499</v>
      </c>
      <c r="I1155" s="23" t="str">
        <f t="shared" si="73"/>
        <v>Kolkata</v>
      </c>
      <c r="J1155" s="23">
        <f>COUNTIFS(pg_transaction_cleaned!$O:$O,A1155,pg_transaction_cleaned!$F:$F,"CAPTURE")</f>
        <v>1</v>
      </c>
      <c r="K1155" s="39">
        <f>SUMIFS(pg_transaction_cleaned!$H:$H,pg_transaction_cleaned!$O:$O,A1155,pg_transaction_cleaned!$F:$F,"CAPTURE")</f>
        <v>1499</v>
      </c>
      <c r="L1155" s="23">
        <f>COUNTIFS(pg_transaction_cleaned!$O:$O,A1155,pg_transaction_cleaned!$F:$F,"REFUND")</f>
        <v>0</v>
      </c>
      <c r="M1155" s="39">
        <f>SUMIFS(pg_transaction_cleaned!$H:$H,pg_transaction_cleaned!$O:$O,A1155,pg_transaction_cleaned!$F:$F,"REFUND")</f>
        <v>0</v>
      </c>
      <c r="N1155" s="23" t="str">
        <f t="shared" si="74"/>
        <v>OK</v>
      </c>
      <c r="O1155" s="24">
        <f t="shared" si="75"/>
        <v>0</v>
      </c>
    </row>
    <row r="1156" spans="1:15" ht="15" customHeight="1" x14ac:dyDescent="0.3">
      <c r="A1156" s="23" t="s">
        <v>2777</v>
      </c>
      <c r="B1156" s="38">
        <v>46275</v>
      </c>
      <c r="C1156" s="23" t="s">
        <v>2778</v>
      </c>
      <c r="D1156" s="23" t="s">
        <v>94</v>
      </c>
      <c r="E1156" s="23" t="s">
        <v>77</v>
      </c>
      <c r="F1156" s="23" t="s">
        <v>271</v>
      </c>
      <c r="G1156" s="23" t="s">
        <v>250</v>
      </c>
      <c r="H1156" s="39">
        <f t="shared" si="72"/>
        <v>2499</v>
      </c>
      <c r="I1156" s="23" t="str">
        <f t="shared" si="73"/>
        <v>Chennai</v>
      </c>
      <c r="J1156" s="23">
        <f>COUNTIFS(pg_transaction_cleaned!$O:$O,A1156,pg_transaction_cleaned!$F:$F,"CAPTURE")</f>
        <v>1</v>
      </c>
      <c r="K1156" s="39">
        <f>SUMIFS(pg_transaction_cleaned!$H:$H,pg_transaction_cleaned!$O:$O,A1156,pg_transaction_cleaned!$F:$F,"CAPTURE")</f>
        <v>2499</v>
      </c>
      <c r="L1156" s="23">
        <f>COUNTIFS(pg_transaction_cleaned!$O:$O,A1156,pg_transaction_cleaned!$F:$F,"REFUND")</f>
        <v>0</v>
      </c>
      <c r="M1156" s="39">
        <f>SUMIFS(pg_transaction_cleaned!$H:$H,pg_transaction_cleaned!$O:$O,A1156,pg_transaction_cleaned!$F:$F,"REFUND")</f>
        <v>0</v>
      </c>
      <c r="N1156" s="23" t="str">
        <f t="shared" si="74"/>
        <v>OK</v>
      </c>
      <c r="O1156" s="24">
        <f t="shared" si="75"/>
        <v>0</v>
      </c>
    </row>
    <row r="1157" spans="1:15" ht="15" customHeight="1" x14ac:dyDescent="0.3">
      <c r="A1157" s="23" t="s">
        <v>2779</v>
      </c>
      <c r="B1157" s="38">
        <v>46279</v>
      </c>
      <c r="C1157" s="23" t="s">
        <v>2780</v>
      </c>
      <c r="D1157" s="23" t="s">
        <v>89</v>
      </c>
      <c r="E1157" s="23" t="s">
        <v>75</v>
      </c>
      <c r="F1157" s="23" t="s">
        <v>742</v>
      </c>
      <c r="G1157" s="23" t="s">
        <v>250</v>
      </c>
      <c r="H1157" s="39">
        <f t="shared" si="72"/>
        <v>999</v>
      </c>
      <c r="I1157" s="23" t="str">
        <f t="shared" si="73"/>
        <v>Jaipur</v>
      </c>
      <c r="J1157" s="23">
        <f>COUNTIFS(pg_transaction_cleaned!$O:$O,A1157,pg_transaction_cleaned!$F:$F,"CAPTURE")</f>
        <v>1</v>
      </c>
      <c r="K1157" s="39">
        <f>SUMIFS(pg_transaction_cleaned!$H:$H,pg_transaction_cleaned!$O:$O,A1157,pg_transaction_cleaned!$F:$F,"CAPTURE")</f>
        <v>999</v>
      </c>
      <c r="L1157" s="23">
        <f>COUNTIFS(pg_transaction_cleaned!$O:$O,A1157,pg_transaction_cleaned!$F:$F,"REFUND")</f>
        <v>0</v>
      </c>
      <c r="M1157" s="39">
        <f>SUMIFS(pg_transaction_cleaned!$H:$H,pg_transaction_cleaned!$O:$O,A1157,pg_transaction_cleaned!$F:$F,"REFUND")</f>
        <v>0</v>
      </c>
      <c r="N1157" s="23" t="str">
        <f t="shared" si="74"/>
        <v>OK</v>
      </c>
      <c r="O1157" s="24">
        <f t="shared" si="75"/>
        <v>0</v>
      </c>
    </row>
    <row r="1158" spans="1:15" ht="15" customHeight="1" x14ac:dyDescent="0.3">
      <c r="A1158" s="23" t="s">
        <v>2781</v>
      </c>
      <c r="B1158" s="38">
        <v>46293</v>
      </c>
      <c r="C1158" s="23" t="s">
        <v>2782</v>
      </c>
      <c r="D1158" s="23" t="s">
        <v>86</v>
      </c>
      <c r="E1158" s="23" t="s">
        <v>75</v>
      </c>
      <c r="F1158" s="23" t="s">
        <v>277</v>
      </c>
      <c r="G1158" s="23" t="s">
        <v>250</v>
      </c>
      <c r="H1158" s="39">
        <f t="shared" si="72"/>
        <v>9497</v>
      </c>
      <c r="I1158" s="23" t="str">
        <f t="shared" si="73"/>
        <v>Delhi</v>
      </c>
      <c r="J1158" s="23">
        <f>COUNTIFS(pg_transaction_cleaned!$O:$O,A1158,pg_transaction_cleaned!$F:$F,"CAPTURE")</f>
        <v>1</v>
      </c>
      <c r="K1158" s="39">
        <f>SUMIFS(pg_transaction_cleaned!$H:$H,pg_transaction_cleaned!$O:$O,A1158,pg_transaction_cleaned!$F:$F,"CAPTURE")</f>
        <v>9497</v>
      </c>
      <c r="L1158" s="23">
        <f>COUNTIFS(pg_transaction_cleaned!$O:$O,A1158,pg_transaction_cleaned!$F:$F,"REFUND")</f>
        <v>0</v>
      </c>
      <c r="M1158" s="39">
        <f>SUMIFS(pg_transaction_cleaned!$H:$H,pg_transaction_cleaned!$O:$O,A1158,pg_transaction_cleaned!$F:$F,"REFUND")</f>
        <v>0</v>
      </c>
      <c r="N1158" s="23" t="str">
        <f t="shared" si="74"/>
        <v>OK</v>
      </c>
      <c r="O1158" s="24">
        <f t="shared" si="75"/>
        <v>0</v>
      </c>
    </row>
    <row r="1159" spans="1:15" ht="15" customHeight="1" x14ac:dyDescent="0.3">
      <c r="A1159" s="23" t="s">
        <v>2783</v>
      </c>
      <c r="B1159" s="38">
        <v>46267</v>
      </c>
      <c r="C1159" s="23" t="s">
        <v>2784</v>
      </c>
      <c r="D1159" s="23" t="s">
        <v>87</v>
      </c>
      <c r="E1159" s="23" t="s">
        <v>75</v>
      </c>
      <c r="F1159" s="23" t="s">
        <v>582</v>
      </c>
      <c r="G1159" s="23" t="s">
        <v>250</v>
      </c>
      <c r="H1159" s="39">
        <f t="shared" si="72"/>
        <v>1298</v>
      </c>
      <c r="I1159" s="23" t="str">
        <f t="shared" si="73"/>
        <v>Mumbai</v>
      </c>
      <c r="J1159" s="23">
        <f>COUNTIFS(pg_transaction_cleaned!$O:$O,A1159,pg_transaction_cleaned!$F:$F,"CAPTURE")</f>
        <v>1</v>
      </c>
      <c r="K1159" s="39">
        <f>SUMIFS(pg_transaction_cleaned!$H:$H,pg_transaction_cleaned!$O:$O,A1159,pg_transaction_cleaned!$F:$F,"CAPTURE")</f>
        <v>1298</v>
      </c>
      <c r="L1159" s="23">
        <f>COUNTIFS(pg_transaction_cleaned!$O:$O,A1159,pg_transaction_cleaned!$F:$F,"REFUND")</f>
        <v>0</v>
      </c>
      <c r="M1159" s="39">
        <f>SUMIFS(pg_transaction_cleaned!$H:$H,pg_transaction_cleaned!$O:$O,A1159,pg_transaction_cleaned!$F:$F,"REFUND")</f>
        <v>0</v>
      </c>
      <c r="N1159" s="23" t="str">
        <f t="shared" si="74"/>
        <v>OK</v>
      </c>
      <c r="O1159" s="24">
        <f t="shared" si="75"/>
        <v>0</v>
      </c>
    </row>
    <row r="1160" spans="1:15" ht="15" customHeight="1" x14ac:dyDescent="0.3">
      <c r="A1160" s="23" t="s">
        <v>2785</v>
      </c>
      <c r="B1160" s="38">
        <v>46280</v>
      </c>
      <c r="C1160" s="23" t="s">
        <v>2786</v>
      </c>
      <c r="D1160" s="23" t="s">
        <v>86</v>
      </c>
      <c r="E1160" s="23" t="s">
        <v>75</v>
      </c>
      <c r="F1160" s="23" t="s">
        <v>291</v>
      </c>
      <c r="G1160" s="23" t="s">
        <v>250</v>
      </c>
      <c r="H1160" s="39">
        <f t="shared" si="72"/>
        <v>3499</v>
      </c>
      <c r="I1160" s="23" t="str">
        <f t="shared" si="73"/>
        <v>Delhi</v>
      </c>
      <c r="J1160" s="23">
        <f>COUNTIFS(pg_transaction_cleaned!$O:$O,A1160,pg_transaction_cleaned!$F:$F,"CAPTURE")</f>
        <v>1</v>
      </c>
      <c r="K1160" s="39">
        <f>SUMIFS(pg_transaction_cleaned!$H:$H,pg_transaction_cleaned!$O:$O,A1160,pg_transaction_cleaned!$F:$F,"CAPTURE")</f>
        <v>3499</v>
      </c>
      <c r="L1160" s="23">
        <f>COUNTIFS(pg_transaction_cleaned!$O:$O,A1160,pg_transaction_cleaned!$F:$F,"REFUND")</f>
        <v>0</v>
      </c>
      <c r="M1160" s="39">
        <f>SUMIFS(pg_transaction_cleaned!$H:$H,pg_transaction_cleaned!$O:$O,A1160,pg_transaction_cleaned!$F:$F,"REFUND")</f>
        <v>0</v>
      </c>
      <c r="N1160" s="23" t="str">
        <f t="shared" si="74"/>
        <v>OK</v>
      </c>
      <c r="O1160" s="24">
        <f t="shared" si="75"/>
        <v>0</v>
      </c>
    </row>
    <row r="1161" spans="1:15" ht="15" customHeight="1" x14ac:dyDescent="0.3">
      <c r="A1161" s="23" t="s">
        <v>2787</v>
      </c>
      <c r="B1161" s="38">
        <v>46269</v>
      </c>
      <c r="C1161" s="23" t="s">
        <v>2788</v>
      </c>
      <c r="D1161" s="23" t="s">
        <v>89</v>
      </c>
      <c r="E1161" s="23" t="s">
        <v>75</v>
      </c>
      <c r="F1161" s="23" t="s">
        <v>274</v>
      </c>
      <c r="G1161" s="23" t="s">
        <v>250</v>
      </c>
      <c r="H1161" s="39">
        <f t="shared" si="72"/>
        <v>349</v>
      </c>
      <c r="I1161" s="23" t="str">
        <f t="shared" si="73"/>
        <v>Jaipur</v>
      </c>
      <c r="J1161" s="23">
        <f>COUNTIFS(pg_transaction_cleaned!$O:$O,A1161,pg_transaction_cleaned!$F:$F,"CAPTURE")</f>
        <v>1</v>
      </c>
      <c r="K1161" s="39">
        <f>SUMIFS(pg_transaction_cleaned!$H:$H,pg_transaction_cleaned!$O:$O,A1161,pg_transaction_cleaned!$F:$F,"CAPTURE")</f>
        <v>349</v>
      </c>
      <c r="L1161" s="23">
        <f>COUNTIFS(pg_transaction_cleaned!$O:$O,A1161,pg_transaction_cleaned!$F:$F,"REFUND")</f>
        <v>0</v>
      </c>
      <c r="M1161" s="39">
        <f>SUMIFS(pg_transaction_cleaned!$H:$H,pg_transaction_cleaned!$O:$O,A1161,pg_transaction_cleaned!$F:$F,"REFUND")</f>
        <v>0</v>
      </c>
      <c r="N1161" s="23" t="str">
        <f t="shared" si="74"/>
        <v>OK</v>
      </c>
      <c r="O1161" s="24">
        <f t="shared" si="75"/>
        <v>0</v>
      </c>
    </row>
    <row r="1162" spans="1:15" ht="15" customHeight="1" x14ac:dyDescent="0.3">
      <c r="A1162" s="23" t="s">
        <v>2789</v>
      </c>
      <c r="B1162" s="38">
        <v>46292</v>
      </c>
      <c r="C1162" s="23" t="s">
        <v>2790</v>
      </c>
      <c r="D1162" s="23" t="s">
        <v>87</v>
      </c>
      <c r="E1162" s="23" t="s">
        <v>79</v>
      </c>
      <c r="F1162" s="23" t="s">
        <v>271</v>
      </c>
      <c r="G1162" s="23" t="s">
        <v>365</v>
      </c>
      <c r="H1162" s="39">
        <f t="shared" si="72"/>
        <v>2499</v>
      </c>
      <c r="I1162" s="23" t="str">
        <f t="shared" si="73"/>
        <v>Mumbai</v>
      </c>
      <c r="J1162" s="23">
        <f>COUNTIFS(pg_transaction_cleaned!$O:$O,A1162,pg_transaction_cleaned!$F:$F,"CAPTURE")</f>
        <v>0</v>
      </c>
      <c r="K1162" s="39">
        <f>SUMIFS(pg_transaction_cleaned!$H:$H,pg_transaction_cleaned!$O:$O,A1162,pg_transaction_cleaned!$F:$F,"CAPTURE")</f>
        <v>0</v>
      </c>
      <c r="L1162" s="23">
        <f>COUNTIFS(pg_transaction_cleaned!$O:$O,A1162,pg_transaction_cleaned!$F:$F,"REFUND")</f>
        <v>0</v>
      </c>
      <c r="M1162" s="39">
        <f>SUMIFS(pg_transaction_cleaned!$H:$H,pg_transaction_cleaned!$O:$O,A1162,pg_transaction_cleaned!$F:$F,"REFUND")</f>
        <v>0</v>
      </c>
      <c r="N1162" s="23" t="str">
        <f t="shared" si="74"/>
        <v>OK</v>
      </c>
      <c r="O1162" s="24">
        <f t="shared" si="75"/>
        <v>0</v>
      </c>
    </row>
    <row r="1163" spans="1:15" ht="15" customHeight="1" x14ac:dyDescent="0.3">
      <c r="A1163" s="23" t="s">
        <v>2791</v>
      </c>
      <c r="B1163" s="38">
        <v>46282</v>
      </c>
      <c r="C1163" s="23" t="s">
        <v>2792</v>
      </c>
      <c r="D1163" s="23" t="s">
        <v>91</v>
      </c>
      <c r="E1163" s="23" t="s">
        <v>75</v>
      </c>
      <c r="F1163" s="23" t="s">
        <v>349</v>
      </c>
      <c r="G1163" s="23" t="s">
        <v>365</v>
      </c>
      <c r="H1163" s="39">
        <f t="shared" si="72"/>
        <v>1798</v>
      </c>
      <c r="I1163" s="23" t="str">
        <f t="shared" si="73"/>
        <v>Pune</v>
      </c>
      <c r="J1163" s="23">
        <f>COUNTIFS(pg_transaction_cleaned!$O:$O,A1163,pg_transaction_cleaned!$F:$F,"CAPTURE")</f>
        <v>0</v>
      </c>
      <c r="K1163" s="39">
        <f>SUMIFS(pg_transaction_cleaned!$H:$H,pg_transaction_cleaned!$O:$O,A1163,pg_transaction_cleaned!$F:$F,"CAPTURE")</f>
        <v>0</v>
      </c>
      <c r="L1163" s="23">
        <f>COUNTIFS(pg_transaction_cleaned!$O:$O,A1163,pg_transaction_cleaned!$F:$F,"REFUND")</f>
        <v>0</v>
      </c>
      <c r="M1163" s="39">
        <f>SUMIFS(pg_transaction_cleaned!$H:$H,pg_transaction_cleaned!$O:$O,A1163,pg_transaction_cleaned!$F:$F,"REFUND")</f>
        <v>0</v>
      </c>
      <c r="N1163" s="23" t="str">
        <f t="shared" si="74"/>
        <v>OK</v>
      </c>
      <c r="O1163" s="24">
        <f t="shared" si="75"/>
        <v>0</v>
      </c>
    </row>
    <row r="1164" spans="1:15" ht="15" customHeight="1" x14ac:dyDescent="0.3">
      <c r="A1164" s="23" t="s">
        <v>2793</v>
      </c>
      <c r="B1164" s="38">
        <v>46294</v>
      </c>
      <c r="C1164" s="23" t="s">
        <v>2794</v>
      </c>
      <c r="D1164" s="23" t="s">
        <v>93</v>
      </c>
      <c r="E1164" s="23" t="s">
        <v>77</v>
      </c>
      <c r="F1164" s="23" t="s">
        <v>249</v>
      </c>
      <c r="G1164" s="23" t="s">
        <v>250</v>
      </c>
      <c r="H1164" s="39">
        <f t="shared" si="72"/>
        <v>299</v>
      </c>
      <c r="I1164" s="23" t="str">
        <f t="shared" si="73"/>
        <v>Kolkata</v>
      </c>
      <c r="J1164" s="23">
        <f>COUNTIFS(pg_transaction_cleaned!$O:$O,A1164,pg_transaction_cleaned!$F:$F,"CAPTURE")</f>
        <v>1</v>
      </c>
      <c r="K1164" s="39">
        <f>SUMIFS(pg_transaction_cleaned!$H:$H,pg_transaction_cleaned!$O:$O,A1164,pg_transaction_cleaned!$F:$F,"CAPTURE")</f>
        <v>299</v>
      </c>
      <c r="L1164" s="23">
        <f>COUNTIFS(pg_transaction_cleaned!$O:$O,A1164,pg_transaction_cleaned!$F:$F,"REFUND")</f>
        <v>0</v>
      </c>
      <c r="M1164" s="39">
        <f>SUMIFS(pg_transaction_cleaned!$H:$H,pg_transaction_cleaned!$O:$O,A1164,pg_transaction_cleaned!$F:$F,"REFUND")</f>
        <v>0</v>
      </c>
      <c r="N1164" s="23" t="str">
        <f t="shared" si="74"/>
        <v>OK</v>
      </c>
      <c r="O1164" s="24">
        <f t="shared" si="75"/>
        <v>0</v>
      </c>
    </row>
    <row r="1165" spans="1:15" ht="15" customHeight="1" x14ac:dyDescent="0.3">
      <c r="A1165" s="23" t="s">
        <v>2795</v>
      </c>
      <c r="B1165" s="38">
        <v>46277</v>
      </c>
      <c r="C1165" s="23" t="s">
        <v>2796</v>
      </c>
      <c r="D1165" s="23" t="s">
        <v>90</v>
      </c>
      <c r="E1165" s="23" t="s">
        <v>75</v>
      </c>
      <c r="F1165" s="23" t="s">
        <v>2337</v>
      </c>
      <c r="G1165" s="23" t="s">
        <v>250</v>
      </c>
      <c r="H1165" s="39">
        <f t="shared" si="72"/>
        <v>8348</v>
      </c>
      <c r="I1165" s="23" t="str">
        <f t="shared" si="73"/>
        <v>Ahmedabad</v>
      </c>
      <c r="J1165" s="23">
        <f>COUNTIFS(pg_transaction_cleaned!$O:$O,A1165,pg_transaction_cleaned!$F:$F,"CAPTURE")</f>
        <v>1</v>
      </c>
      <c r="K1165" s="39">
        <f>SUMIFS(pg_transaction_cleaned!$H:$H,pg_transaction_cleaned!$O:$O,A1165,pg_transaction_cleaned!$F:$F,"CAPTURE")</f>
        <v>8348</v>
      </c>
      <c r="L1165" s="23">
        <f>COUNTIFS(pg_transaction_cleaned!$O:$O,A1165,pg_transaction_cleaned!$F:$F,"REFUND")</f>
        <v>0</v>
      </c>
      <c r="M1165" s="39">
        <f>SUMIFS(pg_transaction_cleaned!$H:$H,pg_transaction_cleaned!$O:$O,A1165,pg_transaction_cleaned!$F:$F,"REFUND")</f>
        <v>0</v>
      </c>
      <c r="N1165" s="23" t="str">
        <f t="shared" si="74"/>
        <v>OK</v>
      </c>
      <c r="O1165" s="24">
        <f t="shared" si="75"/>
        <v>0</v>
      </c>
    </row>
    <row r="1166" spans="1:15" ht="15" customHeight="1" x14ac:dyDescent="0.3">
      <c r="A1166" s="23" t="s">
        <v>2797</v>
      </c>
      <c r="B1166" s="38">
        <v>46280</v>
      </c>
      <c r="C1166" s="23" t="s">
        <v>2798</v>
      </c>
      <c r="D1166" s="23" t="s">
        <v>88</v>
      </c>
      <c r="E1166" s="23" t="s">
        <v>77</v>
      </c>
      <c r="F1166" s="23" t="s">
        <v>1448</v>
      </c>
      <c r="G1166" s="23" t="s">
        <v>250</v>
      </c>
      <c r="H1166" s="39">
        <f t="shared" si="72"/>
        <v>6297</v>
      </c>
      <c r="I1166" s="23" t="str">
        <f t="shared" si="73"/>
        <v>Lucknow</v>
      </c>
      <c r="J1166" s="23">
        <f>COUNTIFS(pg_transaction_cleaned!$O:$O,A1166,pg_transaction_cleaned!$F:$F,"CAPTURE")</f>
        <v>1</v>
      </c>
      <c r="K1166" s="39">
        <f>SUMIFS(pg_transaction_cleaned!$H:$H,pg_transaction_cleaned!$O:$O,A1166,pg_transaction_cleaned!$F:$F,"CAPTURE")</f>
        <v>6297</v>
      </c>
      <c r="L1166" s="23">
        <f>COUNTIFS(pg_transaction_cleaned!$O:$O,A1166,pg_transaction_cleaned!$F:$F,"REFUND")</f>
        <v>0</v>
      </c>
      <c r="M1166" s="39">
        <f>SUMIFS(pg_transaction_cleaned!$H:$H,pg_transaction_cleaned!$O:$O,A1166,pg_transaction_cleaned!$F:$F,"REFUND")</f>
        <v>0</v>
      </c>
      <c r="N1166" s="23" t="str">
        <f t="shared" si="74"/>
        <v>OK</v>
      </c>
      <c r="O1166" s="24">
        <f t="shared" si="75"/>
        <v>0</v>
      </c>
    </row>
    <row r="1167" spans="1:15" ht="15" customHeight="1" x14ac:dyDescent="0.3">
      <c r="A1167" s="23" t="s">
        <v>2799</v>
      </c>
      <c r="B1167" s="38">
        <v>46280</v>
      </c>
      <c r="C1167" s="23" t="s">
        <v>2800</v>
      </c>
      <c r="D1167" s="23" t="s">
        <v>86</v>
      </c>
      <c r="E1167" s="23" t="s">
        <v>77</v>
      </c>
      <c r="F1167" s="23" t="s">
        <v>291</v>
      </c>
      <c r="G1167" s="23" t="s">
        <v>301</v>
      </c>
      <c r="H1167" s="39">
        <f t="shared" si="72"/>
        <v>3499</v>
      </c>
      <c r="I1167" s="23" t="str">
        <f t="shared" si="73"/>
        <v>Delhi</v>
      </c>
      <c r="J1167" s="23">
        <f>COUNTIFS(pg_transaction_cleaned!$O:$O,A1167,pg_transaction_cleaned!$F:$F,"CAPTURE")</f>
        <v>1</v>
      </c>
      <c r="K1167" s="39">
        <f>SUMIFS(pg_transaction_cleaned!$H:$H,pg_transaction_cleaned!$O:$O,A1167,pg_transaction_cleaned!$F:$F,"CAPTURE")</f>
        <v>3499</v>
      </c>
      <c r="L1167" s="23">
        <f>COUNTIFS(pg_transaction_cleaned!$O:$O,A1167,pg_transaction_cleaned!$F:$F,"REFUND")</f>
        <v>1</v>
      </c>
      <c r="M1167" s="39">
        <f>SUMIFS(pg_transaction_cleaned!$H:$H,pg_transaction_cleaned!$O:$O,A1167,pg_transaction_cleaned!$F:$F,"REFUND")</f>
        <v>3499</v>
      </c>
      <c r="N1167" s="23" t="str">
        <f t="shared" si="74"/>
        <v>OK</v>
      </c>
      <c r="O1167" s="24">
        <f t="shared" si="75"/>
        <v>0</v>
      </c>
    </row>
    <row r="1168" spans="1:15" ht="15" customHeight="1" x14ac:dyDescent="0.3">
      <c r="A1168" s="23" t="s">
        <v>2801</v>
      </c>
      <c r="B1168" s="38">
        <v>46272</v>
      </c>
      <c r="C1168" s="23" t="s">
        <v>2802</v>
      </c>
      <c r="D1168" s="23" t="s">
        <v>91</v>
      </c>
      <c r="E1168" s="23" t="s">
        <v>75</v>
      </c>
      <c r="F1168" s="23" t="s">
        <v>297</v>
      </c>
      <c r="G1168" s="23" t="s">
        <v>250</v>
      </c>
      <c r="H1168" s="39">
        <f t="shared" si="72"/>
        <v>4999</v>
      </c>
      <c r="I1168" s="23" t="str">
        <f t="shared" si="73"/>
        <v>Pune</v>
      </c>
      <c r="J1168" s="23">
        <f>COUNTIFS(pg_transaction_cleaned!$O:$O,A1168,pg_transaction_cleaned!$F:$F,"CAPTURE")</f>
        <v>1</v>
      </c>
      <c r="K1168" s="39">
        <f>SUMIFS(pg_transaction_cleaned!$H:$H,pg_transaction_cleaned!$O:$O,A1168,pg_transaction_cleaned!$F:$F,"CAPTURE")</f>
        <v>4999</v>
      </c>
      <c r="L1168" s="23">
        <f>COUNTIFS(pg_transaction_cleaned!$O:$O,A1168,pg_transaction_cleaned!$F:$F,"REFUND")</f>
        <v>0</v>
      </c>
      <c r="M1168" s="39">
        <f>SUMIFS(pg_transaction_cleaned!$H:$H,pg_transaction_cleaned!$O:$O,A1168,pg_transaction_cleaned!$F:$F,"REFUND")</f>
        <v>0</v>
      </c>
      <c r="N1168" s="23" t="str">
        <f t="shared" si="74"/>
        <v>OK</v>
      </c>
      <c r="O1168" s="24">
        <f t="shared" si="75"/>
        <v>0</v>
      </c>
    </row>
    <row r="1169" spans="1:15" ht="15" customHeight="1" x14ac:dyDescent="0.3">
      <c r="A1169" s="23" t="s">
        <v>2803</v>
      </c>
      <c r="B1169" s="38">
        <v>46283</v>
      </c>
      <c r="C1169" s="23" t="s">
        <v>2804</v>
      </c>
      <c r="D1169" s="23" t="s">
        <v>91</v>
      </c>
      <c r="E1169" s="23" t="s">
        <v>75</v>
      </c>
      <c r="F1169" s="23" t="s">
        <v>423</v>
      </c>
      <c r="G1169" s="23" t="s">
        <v>250</v>
      </c>
      <c r="H1169" s="39">
        <f t="shared" si="72"/>
        <v>1648</v>
      </c>
      <c r="I1169" s="23" t="str">
        <f t="shared" si="73"/>
        <v>Pune</v>
      </c>
      <c r="J1169" s="23">
        <f>COUNTIFS(pg_transaction_cleaned!$O:$O,A1169,pg_transaction_cleaned!$F:$F,"CAPTURE")</f>
        <v>1</v>
      </c>
      <c r="K1169" s="39">
        <f>SUMIFS(pg_transaction_cleaned!$H:$H,pg_transaction_cleaned!$O:$O,A1169,pg_transaction_cleaned!$F:$F,"CAPTURE")</f>
        <v>1648</v>
      </c>
      <c r="L1169" s="23">
        <f>COUNTIFS(pg_transaction_cleaned!$O:$O,A1169,pg_transaction_cleaned!$F:$F,"REFUND")</f>
        <v>0</v>
      </c>
      <c r="M1169" s="39">
        <f>SUMIFS(pg_transaction_cleaned!$H:$H,pg_transaction_cleaned!$O:$O,A1169,pg_transaction_cleaned!$F:$F,"REFUND")</f>
        <v>0</v>
      </c>
      <c r="N1169" s="23" t="str">
        <f t="shared" si="74"/>
        <v>OK</v>
      </c>
      <c r="O1169" s="24">
        <f t="shared" si="75"/>
        <v>0</v>
      </c>
    </row>
    <row r="1170" spans="1:15" ht="15" customHeight="1" x14ac:dyDescent="0.3">
      <c r="A1170" s="23" t="s">
        <v>2805</v>
      </c>
      <c r="B1170" s="38">
        <v>46266</v>
      </c>
      <c r="C1170" s="23" t="s">
        <v>2806</v>
      </c>
      <c r="D1170" s="23" t="s">
        <v>86</v>
      </c>
      <c r="E1170" s="23" t="s">
        <v>75</v>
      </c>
      <c r="F1170" s="23" t="s">
        <v>262</v>
      </c>
      <c r="G1170" s="23" t="s">
        <v>250</v>
      </c>
      <c r="H1170" s="39">
        <f t="shared" si="72"/>
        <v>499</v>
      </c>
      <c r="I1170" s="23" t="str">
        <f t="shared" si="73"/>
        <v>Delhi</v>
      </c>
      <c r="J1170" s="23">
        <f>COUNTIFS(pg_transaction_cleaned!$O:$O,A1170,pg_transaction_cleaned!$F:$F,"CAPTURE")</f>
        <v>1</v>
      </c>
      <c r="K1170" s="39">
        <f>SUMIFS(pg_transaction_cleaned!$H:$H,pg_transaction_cleaned!$O:$O,A1170,pg_transaction_cleaned!$F:$F,"CAPTURE")</f>
        <v>499</v>
      </c>
      <c r="L1170" s="23">
        <f>COUNTIFS(pg_transaction_cleaned!$O:$O,A1170,pg_transaction_cleaned!$F:$F,"REFUND")</f>
        <v>0</v>
      </c>
      <c r="M1170" s="39">
        <f>SUMIFS(pg_transaction_cleaned!$H:$H,pg_transaction_cleaned!$O:$O,A1170,pg_transaction_cleaned!$F:$F,"REFUND")</f>
        <v>0</v>
      </c>
      <c r="N1170" s="23" t="str">
        <f t="shared" si="74"/>
        <v>OK</v>
      </c>
      <c r="O1170" s="24">
        <f t="shared" si="75"/>
        <v>0</v>
      </c>
    </row>
    <row r="1171" spans="1:15" ht="15" customHeight="1" x14ac:dyDescent="0.3">
      <c r="A1171" s="23" t="s">
        <v>2807</v>
      </c>
      <c r="B1171" s="38">
        <v>46269</v>
      </c>
      <c r="C1171" s="23" t="s">
        <v>2808</v>
      </c>
      <c r="D1171" s="23" t="s">
        <v>88</v>
      </c>
      <c r="E1171" s="23" t="s">
        <v>79</v>
      </c>
      <c r="F1171" s="23" t="s">
        <v>315</v>
      </c>
      <c r="G1171" s="23" t="s">
        <v>250</v>
      </c>
      <c r="H1171" s="39">
        <f t="shared" si="72"/>
        <v>1499</v>
      </c>
      <c r="I1171" s="23" t="str">
        <f t="shared" si="73"/>
        <v>Lucknow</v>
      </c>
      <c r="J1171" s="23">
        <f>COUNTIFS(pg_transaction_cleaned!$O:$O,A1171,pg_transaction_cleaned!$F:$F,"CAPTURE")</f>
        <v>1</v>
      </c>
      <c r="K1171" s="39">
        <f>SUMIFS(pg_transaction_cleaned!$H:$H,pg_transaction_cleaned!$O:$O,A1171,pg_transaction_cleaned!$F:$F,"CAPTURE")</f>
        <v>1499</v>
      </c>
      <c r="L1171" s="23">
        <f>COUNTIFS(pg_transaction_cleaned!$O:$O,A1171,pg_transaction_cleaned!$F:$F,"REFUND")</f>
        <v>0</v>
      </c>
      <c r="M1171" s="39">
        <f>SUMIFS(pg_transaction_cleaned!$H:$H,pg_transaction_cleaned!$O:$O,A1171,pg_transaction_cleaned!$F:$F,"REFUND")</f>
        <v>0</v>
      </c>
      <c r="N1171" s="23" t="str">
        <f t="shared" si="74"/>
        <v>OK</v>
      </c>
      <c r="O1171" s="24">
        <f t="shared" si="75"/>
        <v>0</v>
      </c>
    </row>
    <row r="1172" spans="1:15" ht="15" customHeight="1" x14ac:dyDescent="0.3">
      <c r="A1172" s="23" t="s">
        <v>2809</v>
      </c>
      <c r="B1172" s="38">
        <v>46270</v>
      </c>
      <c r="C1172" s="23" t="s">
        <v>2810</v>
      </c>
      <c r="D1172" s="23" t="s">
        <v>90</v>
      </c>
      <c r="E1172" s="23" t="s">
        <v>75</v>
      </c>
      <c r="F1172" s="23" t="s">
        <v>396</v>
      </c>
      <c r="G1172" s="23" t="s">
        <v>250</v>
      </c>
      <c r="H1172" s="39">
        <f t="shared" si="72"/>
        <v>2999</v>
      </c>
      <c r="I1172" s="23" t="str">
        <f t="shared" si="73"/>
        <v>Ahmedabad</v>
      </c>
      <c r="J1172" s="23">
        <f>COUNTIFS(pg_transaction_cleaned!$O:$O,A1172,pg_transaction_cleaned!$F:$F,"CAPTURE")</f>
        <v>1</v>
      </c>
      <c r="K1172" s="39">
        <f>SUMIFS(pg_transaction_cleaned!$H:$H,pg_transaction_cleaned!$O:$O,A1172,pg_transaction_cleaned!$F:$F,"CAPTURE")</f>
        <v>2999</v>
      </c>
      <c r="L1172" s="23">
        <f>COUNTIFS(pg_transaction_cleaned!$O:$O,A1172,pg_transaction_cleaned!$F:$F,"REFUND")</f>
        <v>0</v>
      </c>
      <c r="M1172" s="39">
        <f>SUMIFS(pg_transaction_cleaned!$H:$H,pg_transaction_cleaned!$O:$O,A1172,pg_transaction_cleaned!$F:$F,"REFUND")</f>
        <v>0</v>
      </c>
      <c r="N1172" s="23" t="str">
        <f t="shared" si="74"/>
        <v>OK</v>
      </c>
      <c r="O1172" s="24">
        <f t="shared" si="75"/>
        <v>0</v>
      </c>
    </row>
    <row r="1173" spans="1:15" ht="15" customHeight="1" x14ac:dyDescent="0.3">
      <c r="A1173" s="23" t="s">
        <v>2811</v>
      </c>
      <c r="B1173" s="38">
        <v>46280</v>
      </c>
      <c r="C1173" s="23" t="s">
        <v>2812</v>
      </c>
      <c r="D1173" s="23" t="s">
        <v>94</v>
      </c>
      <c r="E1173" s="23" t="s">
        <v>75</v>
      </c>
      <c r="F1173" s="23" t="s">
        <v>880</v>
      </c>
      <c r="G1173" s="23" t="s">
        <v>250</v>
      </c>
      <c r="H1173" s="39">
        <f t="shared" si="72"/>
        <v>2298</v>
      </c>
      <c r="I1173" s="23" t="str">
        <f t="shared" si="73"/>
        <v>Chennai</v>
      </c>
      <c r="J1173" s="23">
        <f>COUNTIFS(pg_transaction_cleaned!$O:$O,A1173,pg_transaction_cleaned!$F:$F,"CAPTURE")</f>
        <v>1</v>
      </c>
      <c r="K1173" s="39">
        <f>SUMIFS(pg_transaction_cleaned!$H:$H,pg_transaction_cleaned!$O:$O,A1173,pg_transaction_cleaned!$F:$F,"CAPTURE")</f>
        <v>2298</v>
      </c>
      <c r="L1173" s="23">
        <f>COUNTIFS(pg_transaction_cleaned!$O:$O,A1173,pg_transaction_cleaned!$F:$F,"REFUND")</f>
        <v>0</v>
      </c>
      <c r="M1173" s="39">
        <f>SUMIFS(pg_transaction_cleaned!$H:$H,pg_transaction_cleaned!$O:$O,A1173,pg_transaction_cleaned!$F:$F,"REFUND")</f>
        <v>0</v>
      </c>
      <c r="N1173" s="23" t="str">
        <f t="shared" si="74"/>
        <v>OK</v>
      </c>
      <c r="O1173" s="24">
        <f t="shared" si="75"/>
        <v>0</v>
      </c>
    </row>
    <row r="1174" spans="1:15" ht="15" customHeight="1" x14ac:dyDescent="0.3">
      <c r="A1174" s="23" t="s">
        <v>2813</v>
      </c>
      <c r="B1174" s="38">
        <v>46285</v>
      </c>
      <c r="C1174" s="23" t="s">
        <v>2814</v>
      </c>
      <c r="D1174" s="23" t="s">
        <v>94</v>
      </c>
      <c r="E1174" s="23" t="s">
        <v>75</v>
      </c>
      <c r="F1174" s="23" t="s">
        <v>268</v>
      </c>
      <c r="G1174" s="23" t="s">
        <v>250</v>
      </c>
      <c r="H1174" s="39">
        <f t="shared" si="72"/>
        <v>1299</v>
      </c>
      <c r="I1174" s="23" t="str">
        <f t="shared" si="73"/>
        <v>Chennai</v>
      </c>
      <c r="J1174" s="23">
        <f>COUNTIFS(pg_transaction_cleaned!$O:$O,A1174,pg_transaction_cleaned!$F:$F,"CAPTURE")</f>
        <v>1</v>
      </c>
      <c r="K1174" s="39">
        <f>SUMIFS(pg_transaction_cleaned!$H:$H,pg_transaction_cleaned!$O:$O,A1174,pg_transaction_cleaned!$F:$F,"CAPTURE")</f>
        <v>1299</v>
      </c>
      <c r="L1174" s="23">
        <f>COUNTIFS(pg_transaction_cleaned!$O:$O,A1174,pg_transaction_cleaned!$F:$F,"REFUND")</f>
        <v>0</v>
      </c>
      <c r="M1174" s="39">
        <f>SUMIFS(pg_transaction_cleaned!$H:$H,pg_transaction_cleaned!$O:$O,A1174,pg_transaction_cleaned!$F:$F,"REFUND")</f>
        <v>0</v>
      </c>
      <c r="N1174" s="23" t="str">
        <f t="shared" si="74"/>
        <v>OK</v>
      </c>
      <c r="O1174" s="24">
        <f t="shared" si="75"/>
        <v>0</v>
      </c>
    </row>
    <row r="1175" spans="1:15" ht="15" customHeight="1" x14ac:dyDescent="0.3">
      <c r="A1175" s="23" t="s">
        <v>2815</v>
      </c>
      <c r="B1175" s="38">
        <v>46280</v>
      </c>
      <c r="C1175" s="23" t="s">
        <v>2816</v>
      </c>
      <c r="D1175" s="23" t="s">
        <v>89</v>
      </c>
      <c r="E1175" s="23" t="s">
        <v>77</v>
      </c>
      <c r="F1175" s="23" t="s">
        <v>1054</v>
      </c>
      <c r="G1175" s="23" t="s">
        <v>250</v>
      </c>
      <c r="H1175" s="39">
        <f t="shared" si="72"/>
        <v>6597</v>
      </c>
      <c r="I1175" s="23" t="str">
        <f t="shared" si="73"/>
        <v>Jaipur</v>
      </c>
      <c r="J1175" s="23">
        <f>COUNTIFS(pg_transaction_cleaned!$O:$O,A1175,pg_transaction_cleaned!$F:$F,"CAPTURE")</f>
        <v>1</v>
      </c>
      <c r="K1175" s="39">
        <f>SUMIFS(pg_transaction_cleaned!$H:$H,pg_transaction_cleaned!$O:$O,A1175,pg_transaction_cleaned!$F:$F,"CAPTURE")</f>
        <v>6597</v>
      </c>
      <c r="L1175" s="23">
        <f>COUNTIFS(pg_transaction_cleaned!$O:$O,A1175,pg_transaction_cleaned!$F:$F,"REFUND")</f>
        <v>0</v>
      </c>
      <c r="M1175" s="39">
        <f>SUMIFS(pg_transaction_cleaned!$H:$H,pg_transaction_cleaned!$O:$O,A1175,pg_transaction_cleaned!$F:$F,"REFUND")</f>
        <v>0</v>
      </c>
      <c r="N1175" s="23" t="str">
        <f t="shared" si="74"/>
        <v>OK</v>
      </c>
      <c r="O1175" s="24">
        <f t="shared" si="75"/>
        <v>0</v>
      </c>
    </row>
    <row r="1176" spans="1:15" ht="15" customHeight="1" x14ac:dyDescent="0.3">
      <c r="A1176" s="23" t="s">
        <v>2817</v>
      </c>
      <c r="B1176" s="38">
        <v>46268</v>
      </c>
      <c r="C1176" s="23" t="s">
        <v>2818</v>
      </c>
      <c r="D1176" s="23" t="s">
        <v>92</v>
      </c>
      <c r="E1176" s="23" t="s">
        <v>77</v>
      </c>
      <c r="F1176" s="23" t="s">
        <v>315</v>
      </c>
      <c r="G1176" s="23" t="s">
        <v>250</v>
      </c>
      <c r="H1176" s="39">
        <f t="shared" si="72"/>
        <v>1499</v>
      </c>
      <c r="I1176" s="23" t="str">
        <f t="shared" si="73"/>
        <v>Hyderabad</v>
      </c>
      <c r="J1176" s="23">
        <f>COUNTIFS(pg_transaction_cleaned!$O:$O,A1176,pg_transaction_cleaned!$F:$F,"CAPTURE")</f>
        <v>1</v>
      </c>
      <c r="K1176" s="39">
        <f>SUMIFS(pg_transaction_cleaned!$H:$H,pg_transaction_cleaned!$O:$O,A1176,pg_transaction_cleaned!$F:$F,"CAPTURE")</f>
        <v>1499</v>
      </c>
      <c r="L1176" s="23">
        <f>COUNTIFS(pg_transaction_cleaned!$O:$O,A1176,pg_transaction_cleaned!$F:$F,"REFUND")</f>
        <v>0</v>
      </c>
      <c r="M1176" s="39">
        <f>SUMIFS(pg_transaction_cleaned!$H:$H,pg_transaction_cleaned!$O:$O,A1176,pg_transaction_cleaned!$F:$F,"REFUND")</f>
        <v>0</v>
      </c>
      <c r="N1176" s="23" t="str">
        <f t="shared" si="74"/>
        <v>OK</v>
      </c>
      <c r="O1176" s="24">
        <f t="shared" si="75"/>
        <v>0</v>
      </c>
    </row>
    <row r="1177" spans="1:15" ht="15" customHeight="1" x14ac:dyDescent="0.3">
      <c r="A1177" s="23" t="s">
        <v>2819</v>
      </c>
      <c r="B1177" s="38">
        <v>46270</v>
      </c>
      <c r="C1177" s="23" t="s">
        <v>2820</v>
      </c>
      <c r="D1177" s="23" t="s">
        <v>93</v>
      </c>
      <c r="E1177" s="23" t="s">
        <v>81</v>
      </c>
      <c r="F1177" s="23" t="s">
        <v>396</v>
      </c>
      <c r="G1177" s="23" t="s">
        <v>365</v>
      </c>
      <c r="H1177" s="39">
        <f t="shared" si="72"/>
        <v>2999</v>
      </c>
      <c r="I1177" s="23" t="str">
        <f t="shared" si="73"/>
        <v>Kolkata</v>
      </c>
      <c r="J1177" s="23">
        <f>COUNTIFS(pg_transaction_cleaned!$O:$O,A1177,pg_transaction_cleaned!$F:$F,"CAPTURE")</f>
        <v>0</v>
      </c>
      <c r="K1177" s="39">
        <f>SUMIFS(pg_transaction_cleaned!$H:$H,pg_transaction_cleaned!$O:$O,A1177,pg_transaction_cleaned!$F:$F,"CAPTURE")</f>
        <v>0</v>
      </c>
      <c r="L1177" s="23">
        <f>COUNTIFS(pg_transaction_cleaned!$O:$O,A1177,pg_transaction_cleaned!$F:$F,"REFUND")</f>
        <v>0</v>
      </c>
      <c r="M1177" s="39">
        <f>SUMIFS(pg_transaction_cleaned!$H:$H,pg_transaction_cleaned!$O:$O,A1177,pg_transaction_cleaned!$F:$F,"REFUND")</f>
        <v>0</v>
      </c>
      <c r="N1177" s="23" t="str">
        <f t="shared" si="74"/>
        <v>OK</v>
      </c>
      <c r="O1177" s="24">
        <f t="shared" si="75"/>
        <v>0</v>
      </c>
    </row>
    <row r="1178" spans="1:15" ht="15" customHeight="1" x14ac:dyDescent="0.3">
      <c r="A1178" s="23" t="s">
        <v>2821</v>
      </c>
      <c r="B1178" s="38">
        <v>46275</v>
      </c>
      <c r="C1178" s="23" t="s">
        <v>2822</v>
      </c>
      <c r="D1178" s="23" t="s">
        <v>89</v>
      </c>
      <c r="E1178" s="23" t="s">
        <v>75</v>
      </c>
      <c r="F1178" s="23" t="s">
        <v>1211</v>
      </c>
      <c r="G1178" s="23" t="s">
        <v>250</v>
      </c>
      <c r="H1178" s="39">
        <f t="shared" si="72"/>
        <v>2098</v>
      </c>
      <c r="I1178" s="23" t="str">
        <f t="shared" si="73"/>
        <v>Jaipur</v>
      </c>
      <c r="J1178" s="23">
        <f>COUNTIFS(pg_transaction_cleaned!$O:$O,A1178,pg_transaction_cleaned!$F:$F,"CAPTURE")</f>
        <v>1</v>
      </c>
      <c r="K1178" s="39">
        <f>SUMIFS(pg_transaction_cleaned!$H:$H,pg_transaction_cleaned!$O:$O,A1178,pg_transaction_cleaned!$F:$F,"CAPTURE")</f>
        <v>2098</v>
      </c>
      <c r="L1178" s="23">
        <f>COUNTIFS(pg_transaction_cleaned!$O:$O,A1178,pg_transaction_cleaned!$F:$F,"REFUND")</f>
        <v>0</v>
      </c>
      <c r="M1178" s="39">
        <f>SUMIFS(pg_transaction_cleaned!$H:$H,pg_transaction_cleaned!$O:$O,A1178,pg_transaction_cleaned!$F:$F,"REFUND")</f>
        <v>0</v>
      </c>
      <c r="N1178" s="23" t="str">
        <f t="shared" si="74"/>
        <v>OK</v>
      </c>
      <c r="O1178" s="24">
        <f t="shared" si="75"/>
        <v>0</v>
      </c>
    </row>
    <row r="1179" spans="1:15" ht="15" customHeight="1" x14ac:dyDescent="0.3">
      <c r="A1179" s="23" t="s">
        <v>2823</v>
      </c>
      <c r="B1179" s="38">
        <v>46279</v>
      </c>
      <c r="C1179" s="23" t="s">
        <v>2824</v>
      </c>
      <c r="D1179" s="23" t="s">
        <v>94</v>
      </c>
      <c r="E1179" s="23" t="s">
        <v>79</v>
      </c>
      <c r="F1179" s="23" t="s">
        <v>574</v>
      </c>
      <c r="G1179" s="23" t="s">
        <v>250</v>
      </c>
      <c r="H1179" s="39">
        <f t="shared" si="72"/>
        <v>1848</v>
      </c>
      <c r="I1179" s="23" t="str">
        <f t="shared" si="73"/>
        <v>Chennai</v>
      </c>
      <c r="J1179" s="23">
        <f>COUNTIFS(pg_transaction_cleaned!$O:$O,A1179,pg_transaction_cleaned!$F:$F,"CAPTURE")</f>
        <v>1</v>
      </c>
      <c r="K1179" s="39">
        <f>SUMIFS(pg_transaction_cleaned!$H:$H,pg_transaction_cleaned!$O:$O,A1179,pg_transaction_cleaned!$F:$F,"CAPTURE")</f>
        <v>1848</v>
      </c>
      <c r="L1179" s="23">
        <f>COUNTIFS(pg_transaction_cleaned!$O:$O,A1179,pg_transaction_cleaned!$F:$F,"REFUND")</f>
        <v>0</v>
      </c>
      <c r="M1179" s="39">
        <f>SUMIFS(pg_transaction_cleaned!$H:$H,pg_transaction_cleaned!$O:$O,A1179,pg_transaction_cleaned!$F:$F,"REFUND")</f>
        <v>0</v>
      </c>
      <c r="N1179" s="23" t="str">
        <f t="shared" si="74"/>
        <v>OK</v>
      </c>
      <c r="O1179" s="24">
        <f t="shared" si="75"/>
        <v>0</v>
      </c>
    </row>
    <row r="1180" spans="1:15" ht="15" customHeight="1" x14ac:dyDescent="0.3">
      <c r="A1180" s="23" t="s">
        <v>2825</v>
      </c>
      <c r="B1180" s="38">
        <v>46274</v>
      </c>
      <c r="C1180" s="23" t="s">
        <v>2826</v>
      </c>
      <c r="D1180" s="23" t="s">
        <v>90</v>
      </c>
      <c r="E1180" s="23" t="s">
        <v>75</v>
      </c>
      <c r="F1180" s="23" t="s">
        <v>1463</v>
      </c>
      <c r="G1180" s="23" t="s">
        <v>250</v>
      </c>
      <c r="H1180" s="39">
        <f t="shared" si="72"/>
        <v>5348</v>
      </c>
      <c r="I1180" s="23" t="str">
        <f t="shared" si="73"/>
        <v>Ahmedabad</v>
      </c>
      <c r="J1180" s="23">
        <f>COUNTIFS(pg_transaction_cleaned!$O:$O,A1180,pg_transaction_cleaned!$F:$F,"CAPTURE")</f>
        <v>1</v>
      </c>
      <c r="K1180" s="39">
        <f>SUMIFS(pg_transaction_cleaned!$H:$H,pg_transaction_cleaned!$O:$O,A1180,pg_transaction_cleaned!$F:$F,"CAPTURE")</f>
        <v>5348</v>
      </c>
      <c r="L1180" s="23">
        <f>COUNTIFS(pg_transaction_cleaned!$O:$O,A1180,pg_transaction_cleaned!$F:$F,"REFUND")</f>
        <v>0</v>
      </c>
      <c r="M1180" s="39">
        <f>SUMIFS(pg_transaction_cleaned!$H:$H,pg_transaction_cleaned!$O:$O,A1180,pg_transaction_cleaned!$F:$F,"REFUND")</f>
        <v>0</v>
      </c>
      <c r="N1180" s="23" t="str">
        <f t="shared" si="74"/>
        <v>OK</v>
      </c>
      <c r="O1180" s="24">
        <f t="shared" si="75"/>
        <v>0</v>
      </c>
    </row>
    <row r="1181" spans="1:15" ht="15" customHeight="1" x14ac:dyDescent="0.3">
      <c r="A1181" s="23" t="s">
        <v>2827</v>
      </c>
      <c r="B1181" s="38">
        <v>46271</v>
      </c>
      <c r="C1181" s="23" t="s">
        <v>2828</v>
      </c>
      <c r="D1181" s="23" t="s">
        <v>94</v>
      </c>
      <c r="E1181" s="23" t="s">
        <v>75</v>
      </c>
      <c r="F1181" s="23" t="s">
        <v>310</v>
      </c>
      <c r="G1181" s="23" t="s">
        <v>250</v>
      </c>
      <c r="H1181" s="39">
        <f t="shared" si="72"/>
        <v>7999</v>
      </c>
      <c r="I1181" s="23" t="str">
        <f t="shared" si="73"/>
        <v>Chennai</v>
      </c>
      <c r="J1181" s="23">
        <f>COUNTIFS(pg_transaction_cleaned!$O:$O,A1181,pg_transaction_cleaned!$F:$F,"CAPTURE")</f>
        <v>1</v>
      </c>
      <c r="K1181" s="39">
        <f>SUMIFS(pg_transaction_cleaned!$H:$H,pg_transaction_cleaned!$O:$O,A1181,pg_transaction_cleaned!$F:$F,"CAPTURE")</f>
        <v>7999</v>
      </c>
      <c r="L1181" s="23">
        <f>COUNTIFS(pg_transaction_cleaned!$O:$O,A1181,pg_transaction_cleaned!$F:$F,"REFUND")</f>
        <v>0</v>
      </c>
      <c r="M1181" s="39">
        <f>SUMIFS(pg_transaction_cleaned!$H:$H,pg_transaction_cleaned!$O:$O,A1181,pg_transaction_cleaned!$F:$F,"REFUND")</f>
        <v>0</v>
      </c>
      <c r="N1181" s="23" t="str">
        <f t="shared" si="74"/>
        <v>OK</v>
      </c>
      <c r="O1181" s="24">
        <f t="shared" si="75"/>
        <v>0</v>
      </c>
    </row>
    <row r="1182" spans="1:15" ht="15" customHeight="1" x14ac:dyDescent="0.3">
      <c r="A1182" s="23" t="s">
        <v>2829</v>
      </c>
      <c r="B1182" s="38">
        <v>46284</v>
      </c>
      <c r="C1182" s="23" t="s">
        <v>2830</v>
      </c>
      <c r="D1182" s="23" t="s">
        <v>86</v>
      </c>
      <c r="E1182" s="23" t="s">
        <v>81</v>
      </c>
      <c r="F1182" s="23" t="s">
        <v>277</v>
      </c>
      <c r="G1182" s="23" t="s">
        <v>250</v>
      </c>
      <c r="H1182" s="39">
        <f t="shared" si="72"/>
        <v>9497</v>
      </c>
      <c r="I1182" s="23" t="str">
        <f t="shared" si="73"/>
        <v>Delhi</v>
      </c>
      <c r="J1182" s="23">
        <f>COUNTIFS(pg_transaction_cleaned!$O:$O,A1182,pg_transaction_cleaned!$F:$F,"CAPTURE")</f>
        <v>1</v>
      </c>
      <c r="K1182" s="39">
        <f>SUMIFS(pg_transaction_cleaned!$H:$H,pg_transaction_cleaned!$O:$O,A1182,pg_transaction_cleaned!$F:$F,"CAPTURE")</f>
        <v>9497</v>
      </c>
      <c r="L1182" s="23">
        <f>COUNTIFS(pg_transaction_cleaned!$O:$O,A1182,pg_transaction_cleaned!$F:$F,"REFUND")</f>
        <v>0</v>
      </c>
      <c r="M1182" s="39">
        <f>SUMIFS(pg_transaction_cleaned!$H:$H,pg_transaction_cleaned!$O:$O,A1182,pg_transaction_cleaned!$F:$F,"REFUND")</f>
        <v>0</v>
      </c>
      <c r="N1182" s="23" t="str">
        <f t="shared" si="74"/>
        <v>OK</v>
      </c>
      <c r="O1182" s="24">
        <f t="shared" si="75"/>
        <v>0</v>
      </c>
    </row>
    <row r="1183" spans="1:15" ht="15" customHeight="1" x14ac:dyDescent="0.3">
      <c r="A1183" s="23" t="s">
        <v>2831</v>
      </c>
      <c r="B1183" s="38">
        <v>46272</v>
      </c>
      <c r="C1183" s="23" t="s">
        <v>2832</v>
      </c>
      <c r="D1183" s="23" t="s">
        <v>91</v>
      </c>
      <c r="E1183" s="23" t="s">
        <v>79</v>
      </c>
      <c r="F1183" s="23" t="s">
        <v>274</v>
      </c>
      <c r="G1183" s="23" t="s">
        <v>250</v>
      </c>
      <c r="H1183" s="39">
        <f t="shared" si="72"/>
        <v>349</v>
      </c>
      <c r="I1183" s="23" t="str">
        <f t="shared" si="73"/>
        <v>Pune</v>
      </c>
      <c r="J1183" s="23">
        <f>COUNTIFS(pg_transaction_cleaned!$O:$O,A1183,pg_transaction_cleaned!$F:$F,"CAPTURE")</f>
        <v>1</v>
      </c>
      <c r="K1183" s="39">
        <f>SUMIFS(pg_transaction_cleaned!$H:$H,pg_transaction_cleaned!$O:$O,A1183,pg_transaction_cleaned!$F:$F,"CAPTURE")</f>
        <v>349</v>
      </c>
      <c r="L1183" s="23">
        <f>COUNTIFS(pg_transaction_cleaned!$O:$O,A1183,pg_transaction_cleaned!$F:$F,"REFUND")</f>
        <v>0</v>
      </c>
      <c r="M1183" s="39">
        <f>SUMIFS(pg_transaction_cleaned!$H:$H,pg_transaction_cleaned!$O:$O,A1183,pg_transaction_cleaned!$F:$F,"REFUND")</f>
        <v>0</v>
      </c>
      <c r="N1183" s="23" t="str">
        <f t="shared" si="74"/>
        <v>OK</v>
      </c>
      <c r="O1183" s="24">
        <f t="shared" si="75"/>
        <v>0</v>
      </c>
    </row>
    <row r="1184" spans="1:15" ht="15" customHeight="1" x14ac:dyDescent="0.3">
      <c r="A1184" s="23" t="s">
        <v>2833</v>
      </c>
      <c r="B1184" s="38">
        <v>46279</v>
      </c>
      <c r="C1184" s="23" t="s">
        <v>2834</v>
      </c>
      <c r="D1184" s="23" t="s">
        <v>90</v>
      </c>
      <c r="E1184" s="23" t="s">
        <v>75</v>
      </c>
      <c r="F1184" s="23" t="s">
        <v>1804</v>
      </c>
      <c r="G1184" s="23" t="s">
        <v>250</v>
      </c>
      <c r="H1184" s="39">
        <f t="shared" si="72"/>
        <v>598</v>
      </c>
      <c r="I1184" s="23" t="str">
        <f t="shared" si="73"/>
        <v>Ahmedabad</v>
      </c>
      <c r="J1184" s="23">
        <f>COUNTIFS(pg_transaction_cleaned!$O:$O,A1184,pg_transaction_cleaned!$F:$F,"CAPTURE")</f>
        <v>1</v>
      </c>
      <c r="K1184" s="39">
        <f>SUMIFS(pg_transaction_cleaned!$H:$H,pg_transaction_cleaned!$O:$O,A1184,pg_transaction_cleaned!$F:$F,"CAPTURE")</f>
        <v>598</v>
      </c>
      <c r="L1184" s="23">
        <f>COUNTIFS(pg_transaction_cleaned!$O:$O,A1184,pg_transaction_cleaned!$F:$F,"REFUND")</f>
        <v>0</v>
      </c>
      <c r="M1184" s="39">
        <f>SUMIFS(pg_transaction_cleaned!$H:$H,pg_transaction_cleaned!$O:$O,A1184,pg_transaction_cleaned!$F:$F,"REFUND")</f>
        <v>0</v>
      </c>
      <c r="N1184" s="23" t="str">
        <f t="shared" si="74"/>
        <v>OK</v>
      </c>
      <c r="O1184" s="24">
        <f t="shared" si="75"/>
        <v>0</v>
      </c>
    </row>
    <row r="1185" spans="1:15" ht="15" customHeight="1" x14ac:dyDescent="0.3">
      <c r="A1185" s="23" t="s">
        <v>2835</v>
      </c>
      <c r="B1185" s="38">
        <v>46280</v>
      </c>
      <c r="C1185" s="23" t="s">
        <v>2836</v>
      </c>
      <c r="D1185" s="23" t="s">
        <v>92</v>
      </c>
      <c r="E1185" s="23" t="s">
        <v>79</v>
      </c>
      <c r="F1185" s="23" t="s">
        <v>2837</v>
      </c>
      <c r="G1185" s="23" t="s">
        <v>301</v>
      </c>
      <c r="H1185" s="39">
        <f t="shared" si="72"/>
        <v>12297</v>
      </c>
      <c r="I1185" s="23" t="str">
        <f t="shared" si="73"/>
        <v>Hyderabad</v>
      </c>
      <c r="J1185" s="23">
        <f>COUNTIFS(pg_transaction_cleaned!$O:$O,A1185,pg_transaction_cleaned!$F:$F,"CAPTURE")</f>
        <v>1</v>
      </c>
      <c r="K1185" s="39">
        <f>SUMIFS(pg_transaction_cleaned!$H:$H,pg_transaction_cleaned!$O:$O,A1185,pg_transaction_cleaned!$F:$F,"CAPTURE")</f>
        <v>12297</v>
      </c>
      <c r="L1185" s="23">
        <f>COUNTIFS(pg_transaction_cleaned!$O:$O,A1185,pg_transaction_cleaned!$F:$F,"REFUND")</f>
        <v>1</v>
      </c>
      <c r="M1185" s="39">
        <f>SUMIFS(pg_transaction_cleaned!$H:$H,pg_transaction_cleaned!$O:$O,A1185,pg_transaction_cleaned!$F:$F,"REFUND")</f>
        <v>12297</v>
      </c>
      <c r="N1185" s="23" t="str">
        <f t="shared" si="74"/>
        <v>OK</v>
      </c>
      <c r="O1185" s="24">
        <f t="shared" si="75"/>
        <v>0</v>
      </c>
    </row>
    <row r="1186" spans="1:15" ht="15" customHeight="1" x14ac:dyDescent="0.3">
      <c r="A1186" s="23" t="s">
        <v>2838</v>
      </c>
      <c r="B1186" s="38">
        <v>46285</v>
      </c>
      <c r="C1186" s="23" t="s">
        <v>1403</v>
      </c>
      <c r="D1186" s="23" t="s">
        <v>92</v>
      </c>
      <c r="E1186" s="23" t="s">
        <v>79</v>
      </c>
      <c r="F1186" s="23" t="s">
        <v>346</v>
      </c>
      <c r="G1186" s="23" t="s">
        <v>250</v>
      </c>
      <c r="H1186" s="39">
        <f t="shared" si="72"/>
        <v>4498</v>
      </c>
      <c r="I1186" s="23" t="str">
        <f t="shared" si="73"/>
        <v>Hyderabad</v>
      </c>
      <c r="J1186" s="23">
        <f>COUNTIFS(pg_transaction_cleaned!$O:$O,A1186,pg_transaction_cleaned!$F:$F,"CAPTURE")</f>
        <v>1</v>
      </c>
      <c r="K1186" s="39">
        <f>SUMIFS(pg_transaction_cleaned!$H:$H,pg_transaction_cleaned!$O:$O,A1186,pg_transaction_cleaned!$F:$F,"CAPTURE")</f>
        <v>4498</v>
      </c>
      <c r="L1186" s="23">
        <f>COUNTIFS(pg_transaction_cleaned!$O:$O,A1186,pg_transaction_cleaned!$F:$F,"REFUND")</f>
        <v>0</v>
      </c>
      <c r="M1186" s="39">
        <f>SUMIFS(pg_transaction_cleaned!$H:$H,pg_transaction_cleaned!$O:$O,A1186,pg_transaction_cleaned!$F:$F,"REFUND")</f>
        <v>0</v>
      </c>
      <c r="N1186" s="23" t="str">
        <f t="shared" si="74"/>
        <v>OK</v>
      </c>
      <c r="O1186" s="24">
        <f t="shared" si="75"/>
        <v>0</v>
      </c>
    </row>
    <row r="1187" spans="1:15" ht="15" customHeight="1" x14ac:dyDescent="0.3">
      <c r="A1187" s="23" t="s">
        <v>2839</v>
      </c>
      <c r="B1187" s="38">
        <v>46268</v>
      </c>
      <c r="C1187" s="23" t="s">
        <v>2840</v>
      </c>
      <c r="D1187" s="23" t="s">
        <v>95</v>
      </c>
      <c r="E1187" s="23" t="s">
        <v>75</v>
      </c>
      <c r="F1187" s="23" t="s">
        <v>262</v>
      </c>
      <c r="G1187" s="23" t="s">
        <v>250</v>
      </c>
      <c r="H1187" s="39">
        <f t="shared" si="72"/>
        <v>499</v>
      </c>
      <c r="I1187" s="23" t="str">
        <f t="shared" si="73"/>
        <v>Bengaluru</v>
      </c>
      <c r="J1187" s="23">
        <f>COUNTIFS(pg_transaction_cleaned!$O:$O,A1187,pg_transaction_cleaned!$F:$F,"CAPTURE")</f>
        <v>1</v>
      </c>
      <c r="K1187" s="39">
        <f>SUMIFS(pg_transaction_cleaned!$H:$H,pg_transaction_cleaned!$O:$O,A1187,pg_transaction_cleaned!$F:$F,"CAPTURE")</f>
        <v>499</v>
      </c>
      <c r="L1187" s="23">
        <f>COUNTIFS(pg_transaction_cleaned!$O:$O,A1187,pg_transaction_cleaned!$F:$F,"REFUND")</f>
        <v>0</v>
      </c>
      <c r="M1187" s="39">
        <f>SUMIFS(pg_transaction_cleaned!$H:$H,pg_transaction_cleaned!$O:$O,A1187,pg_transaction_cleaned!$F:$F,"REFUND")</f>
        <v>0</v>
      </c>
      <c r="N1187" s="23" t="str">
        <f t="shared" si="74"/>
        <v>OK</v>
      </c>
      <c r="O1187" s="24">
        <f t="shared" si="75"/>
        <v>0</v>
      </c>
    </row>
    <row r="1188" spans="1:15" ht="15" customHeight="1" x14ac:dyDescent="0.3">
      <c r="A1188" s="23" t="s">
        <v>2841</v>
      </c>
      <c r="B1188" s="38">
        <v>46293</v>
      </c>
      <c r="C1188" s="23" t="s">
        <v>2842</v>
      </c>
      <c r="D1188" s="23" t="s">
        <v>93</v>
      </c>
      <c r="E1188" s="23" t="s">
        <v>75</v>
      </c>
      <c r="F1188" s="23" t="s">
        <v>329</v>
      </c>
      <c r="G1188" s="23" t="s">
        <v>250</v>
      </c>
      <c r="H1188" s="39">
        <f t="shared" si="72"/>
        <v>599</v>
      </c>
      <c r="I1188" s="23" t="str">
        <f t="shared" si="73"/>
        <v>Kolkata</v>
      </c>
      <c r="J1188" s="23">
        <f>COUNTIFS(pg_transaction_cleaned!$O:$O,A1188,pg_transaction_cleaned!$F:$F,"CAPTURE")</f>
        <v>1</v>
      </c>
      <c r="K1188" s="39">
        <f>SUMIFS(pg_transaction_cleaned!$H:$H,pg_transaction_cleaned!$O:$O,A1188,pg_transaction_cleaned!$F:$F,"CAPTURE")</f>
        <v>599</v>
      </c>
      <c r="L1188" s="23">
        <f>COUNTIFS(pg_transaction_cleaned!$O:$O,A1188,pg_transaction_cleaned!$F:$F,"REFUND")</f>
        <v>0</v>
      </c>
      <c r="M1188" s="39">
        <f>SUMIFS(pg_transaction_cleaned!$H:$H,pg_transaction_cleaned!$O:$O,A1188,pg_transaction_cleaned!$F:$F,"REFUND")</f>
        <v>0</v>
      </c>
      <c r="N1188" s="23" t="str">
        <f t="shared" si="74"/>
        <v>OK</v>
      </c>
      <c r="O1188" s="24">
        <f t="shared" si="75"/>
        <v>0</v>
      </c>
    </row>
    <row r="1189" spans="1:15" ht="15" customHeight="1" x14ac:dyDescent="0.3">
      <c r="A1189" s="23" t="s">
        <v>2843</v>
      </c>
      <c r="B1189" s="38">
        <v>46292</v>
      </c>
      <c r="C1189" s="23" t="s">
        <v>2844</v>
      </c>
      <c r="D1189" s="23" t="s">
        <v>86</v>
      </c>
      <c r="E1189" s="23" t="s">
        <v>75</v>
      </c>
      <c r="F1189" s="23" t="s">
        <v>2322</v>
      </c>
      <c r="G1189" s="23" t="s">
        <v>250</v>
      </c>
      <c r="H1189" s="39">
        <f t="shared" si="72"/>
        <v>14797</v>
      </c>
      <c r="I1189" s="23" t="str">
        <f t="shared" si="73"/>
        <v>Delhi</v>
      </c>
      <c r="J1189" s="23">
        <f>COUNTIFS(pg_transaction_cleaned!$O:$O,A1189,pg_transaction_cleaned!$F:$F,"CAPTURE")</f>
        <v>1</v>
      </c>
      <c r="K1189" s="39">
        <f>SUMIFS(pg_transaction_cleaned!$H:$H,pg_transaction_cleaned!$O:$O,A1189,pg_transaction_cleaned!$F:$F,"CAPTURE")</f>
        <v>14797</v>
      </c>
      <c r="L1189" s="23">
        <f>COUNTIFS(pg_transaction_cleaned!$O:$O,A1189,pg_transaction_cleaned!$F:$F,"REFUND")</f>
        <v>0</v>
      </c>
      <c r="M1189" s="39">
        <f>SUMIFS(pg_transaction_cleaned!$H:$H,pg_transaction_cleaned!$O:$O,A1189,pg_transaction_cleaned!$F:$F,"REFUND")</f>
        <v>0</v>
      </c>
      <c r="N1189" s="23" t="str">
        <f t="shared" si="74"/>
        <v>OK</v>
      </c>
      <c r="O1189" s="24">
        <f t="shared" si="75"/>
        <v>0</v>
      </c>
    </row>
    <row r="1190" spans="1:15" ht="15" customHeight="1" x14ac:dyDescent="0.3">
      <c r="A1190" s="23" t="s">
        <v>2845</v>
      </c>
      <c r="B1190" s="38">
        <v>46281</v>
      </c>
      <c r="C1190" s="23" t="s">
        <v>2846</v>
      </c>
      <c r="D1190" s="23" t="s">
        <v>90</v>
      </c>
      <c r="E1190" s="23" t="s">
        <v>75</v>
      </c>
      <c r="F1190" s="23" t="s">
        <v>352</v>
      </c>
      <c r="G1190" s="23" t="s">
        <v>250</v>
      </c>
      <c r="H1190" s="39">
        <f t="shared" si="72"/>
        <v>648</v>
      </c>
      <c r="I1190" s="23" t="str">
        <f t="shared" si="73"/>
        <v>Ahmedabad</v>
      </c>
      <c r="J1190" s="23">
        <f>COUNTIFS(pg_transaction_cleaned!$O:$O,A1190,pg_transaction_cleaned!$F:$F,"CAPTURE")</f>
        <v>1</v>
      </c>
      <c r="K1190" s="39">
        <f>SUMIFS(pg_transaction_cleaned!$H:$H,pg_transaction_cleaned!$O:$O,A1190,pg_transaction_cleaned!$F:$F,"CAPTURE")</f>
        <v>648</v>
      </c>
      <c r="L1190" s="23">
        <f>COUNTIFS(pg_transaction_cleaned!$O:$O,A1190,pg_transaction_cleaned!$F:$F,"REFUND")</f>
        <v>0</v>
      </c>
      <c r="M1190" s="39">
        <f>SUMIFS(pg_transaction_cleaned!$H:$H,pg_transaction_cleaned!$O:$O,A1190,pg_transaction_cleaned!$F:$F,"REFUND")</f>
        <v>0</v>
      </c>
      <c r="N1190" s="23" t="str">
        <f t="shared" si="74"/>
        <v>OK</v>
      </c>
      <c r="O1190" s="24">
        <f t="shared" si="75"/>
        <v>0</v>
      </c>
    </row>
    <row r="1191" spans="1:15" ht="15" customHeight="1" x14ac:dyDescent="0.3">
      <c r="A1191" s="23" t="s">
        <v>2847</v>
      </c>
      <c r="B1191" s="38">
        <v>46281</v>
      </c>
      <c r="C1191" s="23" t="s">
        <v>2848</v>
      </c>
      <c r="D1191" s="23" t="s">
        <v>88</v>
      </c>
      <c r="E1191" s="23" t="s">
        <v>75</v>
      </c>
      <c r="F1191" s="23" t="s">
        <v>310</v>
      </c>
      <c r="G1191" s="23" t="s">
        <v>250</v>
      </c>
      <c r="H1191" s="39">
        <f t="shared" si="72"/>
        <v>7999</v>
      </c>
      <c r="I1191" s="23" t="str">
        <f t="shared" si="73"/>
        <v>Lucknow</v>
      </c>
      <c r="J1191" s="23">
        <f>COUNTIFS(pg_transaction_cleaned!$O:$O,A1191,pg_transaction_cleaned!$F:$F,"CAPTURE")</f>
        <v>1</v>
      </c>
      <c r="K1191" s="39">
        <f>SUMIFS(pg_transaction_cleaned!$H:$H,pg_transaction_cleaned!$O:$O,A1191,pg_transaction_cleaned!$F:$F,"CAPTURE")</f>
        <v>7999</v>
      </c>
      <c r="L1191" s="23">
        <f>COUNTIFS(pg_transaction_cleaned!$O:$O,A1191,pg_transaction_cleaned!$F:$F,"REFUND")</f>
        <v>0</v>
      </c>
      <c r="M1191" s="39">
        <f>SUMIFS(pg_transaction_cleaned!$H:$H,pg_transaction_cleaned!$O:$O,A1191,pg_transaction_cleaned!$F:$F,"REFUND")</f>
        <v>0</v>
      </c>
      <c r="N1191" s="23" t="str">
        <f t="shared" si="74"/>
        <v>OK</v>
      </c>
      <c r="O1191" s="24">
        <f t="shared" si="75"/>
        <v>0</v>
      </c>
    </row>
    <row r="1192" spans="1:15" ht="15" customHeight="1" x14ac:dyDescent="0.3">
      <c r="A1192" s="23" t="s">
        <v>2849</v>
      </c>
      <c r="B1192" s="38">
        <v>46292</v>
      </c>
      <c r="C1192" s="23" t="s">
        <v>2850</v>
      </c>
      <c r="D1192" s="23" t="s">
        <v>93</v>
      </c>
      <c r="E1192" s="23" t="s">
        <v>79</v>
      </c>
      <c r="F1192" s="23" t="s">
        <v>582</v>
      </c>
      <c r="G1192" s="23" t="s">
        <v>250</v>
      </c>
      <c r="H1192" s="39">
        <f t="shared" si="72"/>
        <v>1298</v>
      </c>
      <c r="I1192" s="23" t="str">
        <f t="shared" si="73"/>
        <v>Kolkata</v>
      </c>
      <c r="J1192" s="23">
        <f>COUNTIFS(pg_transaction_cleaned!$O:$O,A1192,pg_transaction_cleaned!$F:$F,"CAPTURE")</f>
        <v>1</v>
      </c>
      <c r="K1192" s="39">
        <f>SUMIFS(pg_transaction_cleaned!$H:$H,pg_transaction_cleaned!$O:$O,A1192,pg_transaction_cleaned!$F:$F,"CAPTURE")</f>
        <v>1298</v>
      </c>
      <c r="L1192" s="23">
        <f>COUNTIFS(pg_transaction_cleaned!$O:$O,A1192,pg_transaction_cleaned!$F:$F,"REFUND")</f>
        <v>0</v>
      </c>
      <c r="M1192" s="39">
        <f>SUMIFS(pg_transaction_cleaned!$H:$H,pg_transaction_cleaned!$O:$O,A1192,pg_transaction_cleaned!$F:$F,"REFUND")</f>
        <v>0</v>
      </c>
      <c r="N1192" s="23" t="str">
        <f t="shared" si="74"/>
        <v>OK</v>
      </c>
      <c r="O1192" s="24">
        <f t="shared" si="75"/>
        <v>0</v>
      </c>
    </row>
    <row r="1193" spans="1:15" ht="15" customHeight="1" x14ac:dyDescent="0.3">
      <c r="A1193" s="23" t="s">
        <v>2851</v>
      </c>
      <c r="B1193" s="38">
        <v>46293</v>
      </c>
      <c r="C1193" s="23" t="s">
        <v>2852</v>
      </c>
      <c r="D1193" s="23" t="s">
        <v>87</v>
      </c>
      <c r="E1193" s="23" t="s">
        <v>79</v>
      </c>
      <c r="F1193" s="23" t="s">
        <v>499</v>
      </c>
      <c r="G1193" s="23" t="s">
        <v>250</v>
      </c>
      <c r="H1193" s="39">
        <f t="shared" si="72"/>
        <v>5998</v>
      </c>
      <c r="I1193" s="23" t="str">
        <f t="shared" si="73"/>
        <v>Mumbai</v>
      </c>
      <c r="J1193" s="23">
        <f>COUNTIFS(pg_transaction_cleaned!$O:$O,A1193,pg_transaction_cleaned!$F:$F,"CAPTURE")</f>
        <v>1</v>
      </c>
      <c r="K1193" s="39">
        <f>SUMIFS(pg_transaction_cleaned!$H:$H,pg_transaction_cleaned!$O:$O,A1193,pg_transaction_cleaned!$F:$F,"CAPTURE")</f>
        <v>5998</v>
      </c>
      <c r="L1193" s="23">
        <f>COUNTIFS(pg_transaction_cleaned!$O:$O,A1193,pg_transaction_cleaned!$F:$F,"REFUND")</f>
        <v>0</v>
      </c>
      <c r="M1193" s="39">
        <f>SUMIFS(pg_transaction_cleaned!$H:$H,pg_transaction_cleaned!$O:$O,A1193,pg_transaction_cleaned!$F:$F,"REFUND")</f>
        <v>0</v>
      </c>
      <c r="N1193" s="23" t="str">
        <f t="shared" si="74"/>
        <v>OK</v>
      </c>
      <c r="O1193" s="24">
        <f t="shared" si="75"/>
        <v>0</v>
      </c>
    </row>
    <row r="1194" spans="1:15" ht="15" customHeight="1" x14ac:dyDescent="0.3">
      <c r="A1194" s="23" t="s">
        <v>2853</v>
      </c>
      <c r="B1194" s="38">
        <v>46281</v>
      </c>
      <c r="C1194" s="23" t="s">
        <v>2854</v>
      </c>
      <c r="D1194" s="23" t="s">
        <v>90</v>
      </c>
      <c r="E1194" s="23" t="s">
        <v>79</v>
      </c>
      <c r="F1194" s="23" t="s">
        <v>259</v>
      </c>
      <c r="G1194" s="23" t="s">
        <v>250</v>
      </c>
      <c r="H1194" s="39">
        <f t="shared" si="72"/>
        <v>3298</v>
      </c>
      <c r="I1194" s="23" t="str">
        <f t="shared" si="73"/>
        <v>Ahmedabad</v>
      </c>
      <c r="J1194" s="23">
        <f>COUNTIFS(pg_transaction_cleaned!$O:$O,A1194,pg_transaction_cleaned!$F:$F,"CAPTURE")</f>
        <v>1</v>
      </c>
      <c r="K1194" s="39">
        <f>SUMIFS(pg_transaction_cleaned!$H:$H,pg_transaction_cleaned!$O:$O,A1194,pg_transaction_cleaned!$F:$F,"CAPTURE")</f>
        <v>3298</v>
      </c>
      <c r="L1194" s="23">
        <f>COUNTIFS(pg_transaction_cleaned!$O:$O,A1194,pg_transaction_cleaned!$F:$F,"REFUND")</f>
        <v>0</v>
      </c>
      <c r="M1194" s="39">
        <f>SUMIFS(pg_transaction_cleaned!$H:$H,pg_transaction_cleaned!$O:$O,A1194,pg_transaction_cleaned!$F:$F,"REFUND")</f>
        <v>0</v>
      </c>
      <c r="N1194" s="23" t="str">
        <f t="shared" si="74"/>
        <v>OK</v>
      </c>
      <c r="O1194" s="24">
        <f t="shared" si="75"/>
        <v>0</v>
      </c>
    </row>
    <row r="1195" spans="1:15" ht="15" customHeight="1" x14ac:dyDescent="0.3">
      <c r="A1195" s="23" t="s">
        <v>2855</v>
      </c>
      <c r="B1195" s="38">
        <v>46273</v>
      </c>
      <c r="C1195" s="23" t="s">
        <v>2856</v>
      </c>
      <c r="D1195" s="23" t="s">
        <v>92</v>
      </c>
      <c r="E1195" s="23" t="s">
        <v>75</v>
      </c>
      <c r="F1195" s="23" t="s">
        <v>652</v>
      </c>
      <c r="G1195" s="23" t="s">
        <v>250</v>
      </c>
      <c r="H1195" s="39">
        <f t="shared" si="72"/>
        <v>2397</v>
      </c>
      <c r="I1195" s="23" t="str">
        <f t="shared" si="73"/>
        <v>Hyderabad</v>
      </c>
      <c r="J1195" s="23">
        <f>COUNTIFS(pg_transaction_cleaned!$O:$O,A1195,pg_transaction_cleaned!$F:$F,"CAPTURE")</f>
        <v>1</v>
      </c>
      <c r="K1195" s="39">
        <f>SUMIFS(pg_transaction_cleaned!$H:$H,pg_transaction_cleaned!$O:$O,A1195,pg_transaction_cleaned!$F:$F,"CAPTURE")</f>
        <v>2397</v>
      </c>
      <c r="L1195" s="23">
        <f>COUNTIFS(pg_transaction_cleaned!$O:$O,A1195,pg_transaction_cleaned!$F:$F,"REFUND")</f>
        <v>0</v>
      </c>
      <c r="M1195" s="39">
        <f>SUMIFS(pg_transaction_cleaned!$H:$H,pg_transaction_cleaned!$O:$O,A1195,pg_transaction_cleaned!$F:$F,"REFUND")</f>
        <v>0</v>
      </c>
      <c r="N1195" s="23" t="str">
        <f t="shared" si="74"/>
        <v>OK</v>
      </c>
      <c r="O1195" s="24">
        <f t="shared" si="75"/>
        <v>0</v>
      </c>
    </row>
    <row r="1196" spans="1:15" ht="15" customHeight="1" x14ac:dyDescent="0.3">
      <c r="A1196" s="23" t="s">
        <v>2857</v>
      </c>
      <c r="B1196" s="38">
        <v>46294</v>
      </c>
      <c r="C1196" s="23" t="s">
        <v>2858</v>
      </c>
      <c r="D1196" s="23" t="s">
        <v>90</v>
      </c>
      <c r="E1196" s="23" t="s">
        <v>77</v>
      </c>
      <c r="F1196" s="23" t="s">
        <v>2859</v>
      </c>
      <c r="G1196" s="23" t="s">
        <v>250</v>
      </c>
      <c r="H1196" s="39">
        <f t="shared" si="72"/>
        <v>3147</v>
      </c>
      <c r="I1196" s="23" t="str">
        <f t="shared" si="73"/>
        <v>Ahmedabad</v>
      </c>
      <c r="J1196" s="23">
        <f>COUNTIFS(pg_transaction_cleaned!$O:$O,A1196,pg_transaction_cleaned!$F:$F,"CAPTURE")</f>
        <v>1</v>
      </c>
      <c r="K1196" s="39">
        <f>SUMIFS(pg_transaction_cleaned!$H:$H,pg_transaction_cleaned!$O:$O,A1196,pg_transaction_cleaned!$F:$F,"CAPTURE")</f>
        <v>3147</v>
      </c>
      <c r="L1196" s="23">
        <f>COUNTIFS(pg_transaction_cleaned!$O:$O,A1196,pg_transaction_cleaned!$F:$F,"REFUND")</f>
        <v>0</v>
      </c>
      <c r="M1196" s="39">
        <f>SUMIFS(pg_transaction_cleaned!$H:$H,pg_transaction_cleaned!$O:$O,A1196,pg_transaction_cleaned!$F:$F,"REFUND")</f>
        <v>0</v>
      </c>
      <c r="N1196" s="23" t="str">
        <f t="shared" si="74"/>
        <v>OK</v>
      </c>
      <c r="O1196" s="24">
        <f t="shared" si="75"/>
        <v>0</v>
      </c>
    </row>
    <row r="1197" spans="1:15" ht="15" customHeight="1" x14ac:dyDescent="0.3">
      <c r="A1197" s="23" t="s">
        <v>2860</v>
      </c>
      <c r="B1197" s="38">
        <v>46288</v>
      </c>
      <c r="C1197" s="23" t="s">
        <v>2861</v>
      </c>
      <c r="D1197" s="23" t="s">
        <v>90</v>
      </c>
      <c r="E1197" s="23" t="s">
        <v>75</v>
      </c>
      <c r="F1197" s="23" t="s">
        <v>1372</v>
      </c>
      <c r="G1197" s="23" t="s">
        <v>250</v>
      </c>
      <c r="H1197" s="39">
        <f t="shared" si="72"/>
        <v>798</v>
      </c>
      <c r="I1197" s="23" t="str">
        <f t="shared" si="73"/>
        <v>Ahmedabad</v>
      </c>
      <c r="J1197" s="23">
        <f>COUNTIFS(pg_transaction_cleaned!$O:$O,A1197,pg_transaction_cleaned!$F:$F,"CAPTURE")</f>
        <v>1</v>
      </c>
      <c r="K1197" s="39">
        <f>SUMIFS(pg_transaction_cleaned!$H:$H,pg_transaction_cleaned!$O:$O,A1197,pg_transaction_cleaned!$F:$F,"CAPTURE")</f>
        <v>798</v>
      </c>
      <c r="L1197" s="23">
        <f>COUNTIFS(pg_transaction_cleaned!$O:$O,A1197,pg_transaction_cleaned!$F:$F,"REFUND")</f>
        <v>0</v>
      </c>
      <c r="M1197" s="39">
        <f>SUMIFS(pg_transaction_cleaned!$H:$H,pg_transaction_cleaned!$O:$O,A1197,pg_transaction_cleaned!$F:$F,"REFUND")</f>
        <v>0</v>
      </c>
      <c r="N1197" s="23" t="str">
        <f t="shared" si="74"/>
        <v>OK</v>
      </c>
      <c r="O1197" s="24">
        <f t="shared" si="75"/>
        <v>0</v>
      </c>
    </row>
    <row r="1198" spans="1:15" ht="15" customHeight="1" x14ac:dyDescent="0.3">
      <c r="A1198" s="23" t="s">
        <v>2862</v>
      </c>
      <c r="B1198" s="38">
        <v>46273</v>
      </c>
      <c r="C1198" s="23" t="s">
        <v>2863</v>
      </c>
      <c r="D1198" s="23" t="s">
        <v>90</v>
      </c>
      <c r="E1198" s="23" t="s">
        <v>75</v>
      </c>
      <c r="F1198" s="23" t="s">
        <v>370</v>
      </c>
      <c r="G1198" s="23" t="s">
        <v>365</v>
      </c>
      <c r="H1198" s="39">
        <f t="shared" si="72"/>
        <v>3098</v>
      </c>
      <c r="I1198" s="23" t="str">
        <f t="shared" si="73"/>
        <v>Ahmedabad</v>
      </c>
      <c r="J1198" s="23">
        <f>COUNTIFS(pg_transaction_cleaned!$O:$O,A1198,pg_transaction_cleaned!$F:$F,"CAPTURE")</f>
        <v>0</v>
      </c>
      <c r="K1198" s="39">
        <f>SUMIFS(pg_transaction_cleaned!$H:$H,pg_transaction_cleaned!$O:$O,A1198,pg_transaction_cleaned!$F:$F,"CAPTURE")</f>
        <v>0</v>
      </c>
      <c r="L1198" s="23">
        <f>COUNTIFS(pg_transaction_cleaned!$O:$O,A1198,pg_transaction_cleaned!$F:$F,"REFUND")</f>
        <v>0</v>
      </c>
      <c r="M1198" s="39">
        <f>SUMIFS(pg_transaction_cleaned!$H:$H,pg_transaction_cleaned!$O:$O,A1198,pg_transaction_cleaned!$F:$F,"REFUND")</f>
        <v>0</v>
      </c>
      <c r="N1198" s="23" t="str">
        <f t="shared" si="74"/>
        <v>OK</v>
      </c>
      <c r="O1198" s="24">
        <f t="shared" si="75"/>
        <v>0</v>
      </c>
    </row>
    <row r="1199" spans="1:15" ht="15" customHeight="1" x14ac:dyDescent="0.3">
      <c r="A1199" s="23" t="s">
        <v>2864</v>
      </c>
      <c r="B1199" s="38">
        <v>46270</v>
      </c>
      <c r="C1199" s="23" t="s">
        <v>2865</v>
      </c>
      <c r="D1199" s="23"/>
      <c r="E1199" s="23" t="s">
        <v>77</v>
      </c>
      <c r="F1199" s="23" t="s">
        <v>291</v>
      </c>
      <c r="G1199" s="23" t="s">
        <v>250</v>
      </c>
      <c r="H1199" s="39">
        <f t="shared" si="72"/>
        <v>3499</v>
      </c>
      <c r="I1199" s="23" t="str">
        <f t="shared" si="73"/>
        <v>Unknown</v>
      </c>
      <c r="J1199" s="23">
        <f>COUNTIFS(pg_transaction_cleaned!$O:$O,A1199,pg_transaction_cleaned!$F:$F,"CAPTURE")</f>
        <v>1</v>
      </c>
      <c r="K1199" s="39">
        <f>SUMIFS(pg_transaction_cleaned!$H:$H,pg_transaction_cleaned!$O:$O,A1199,pg_transaction_cleaned!$F:$F,"CAPTURE")</f>
        <v>3499</v>
      </c>
      <c r="L1199" s="23">
        <f>COUNTIFS(pg_transaction_cleaned!$O:$O,A1199,pg_transaction_cleaned!$F:$F,"REFUND")</f>
        <v>0</v>
      </c>
      <c r="M1199" s="39">
        <f>SUMIFS(pg_transaction_cleaned!$H:$H,pg_transaction_cleaned!$O:$O,A1199,pg_transaction_cleaned!$F:$F,"REFUND")</f>
        <v>0</v>
      </c>
      <c r="N1199" s="23" t="str">
        <f t="shared" si="74"/>
        <v>OK</v>
      </c>
      <c r="O1199" s="24">
        <f t="shared" si="75"/>
        <v>0</v>
      </c>
    </row>
    <row r="1200" spans="1:15" ht="15" customHeight="1" x14ac:dyDescent="0.3">
      <c r="A1200" s="23" t="s">
        <v>2866</v>
      </c>
      <c r="B1200" s="38">
        <v>46291</v>
      </c>
      <c r="C1200" s="23" t="s">
        <v>2867</v>
      </c>
      <c r="D1200" s="23" t="s">
        <v>90</v>
      </c>
      <c r="E1200" s="23" t="s">
        <v>75</v>
      </c>
      <c r="F1200" s="23" t="s">
        <v>1735</v>
      </c>
      <c r="G1200" s="23" t="s">
        <v>250</v>
      </c>
      <c r="H1200" s="39">
        <f t="shared" si="72"/>
        <v>12998</v>
      </c>
      <c r="I1200" s="23" t="str">
        <f t="shared" si="73"/>
        <v>Ahmedabad</v>
      </c>
      <c r="J1200" s="23">
        <f>COUNTIFS(pg_transaction_cleaned!$O:$O,A1200,pg_transaction_cleaned!$F:$F,"CAPTURE")</f>
        <v>1</v>
      </c>
      <c r="K1200" s="39">
        <f>SUMIFS(pg_transaction_cleaned!$H:$H,pg_transaction_cleaned!$O:$O,A1200,pg_transaction_cleaned!$F:$F,"CAPTURE")</f>
        <v>12998</v>
      </c>
      <c r="L1200" s="23">
        <f>COUNTIFS(pg_transaction_cleaned!$O:$O,A1200,pg_transaction_cleaned!$F:$F,"REFUND")</f>
        <v>0</v>
      </c>
      <c r="M1200" s="39">
        <f>SUMIFS(pg_transaction_cleaned!$H:$H,pg_transaction_cleaned!$O:$O,A1200,pg_transaction_cleaned!$F:$F,"REFUND")</f>
        <v>0</v>
      </c>
      <c r="N1200" s="23" t="str">
        <f t="shared" si="74"/>
        <v>OK</v>
      </c>
      <c r="O1200" s="24">
        <f t="shared" si="75"/>
        <v>0</v>
      </c>
    </row>
    <row r="1201" spans="1:15" ht="15" customHeight="1" x14ac:dyDescent="0.3">
      <c r="A1201" s="23" t="s">
        <v>2868</v>
      </c>
      <c r="B1201" s="38">
        <v>46270</v>
      </c>
      <c r="C1201" s="23" t="s">
        <v>2869</v>
      </c>
      <c r="D1201" s="23" t="s">
        <v>90</v>
      </c>
      <c r="E1201" s="23" t="s">
        <v>75</v>
      </c>
      <c r="F1201" s="23" t="s">
        <v>329</v>
      </c>
      <c r="G1201" s="23" t="s">
        <v>250</v>
      </c>
      <c r="H1201" s="39">
        <f t="shared" si="72"/>
        <v>599</v>
      </c>
      <c r="I1201" s="23" t="str">
        <f t="shared" si="73"/>
        <v>Ahmedabad</v>
      </c>
      <c r="J1201" s="23">
        <f>COUNTIFS(pg_transaction_cleaned!$O:$O,A1201,pg_transaction_cleaned!$F:$F,"CAPTURE")</f>
        <v>1</v>
      </c>
      <c r="K1201" s="39">
        <f>SUMIFS(pg_transaction_cleaned!$H:$H,pg_transaction_cleaned!$O:$O,A1201,pg_transaction_cleaned!$F:$F,"CAPTURE")</f>
        <v>599</v>
      </c>
      <c r="L1201" s="23">
        <f>COUNTIFS(pg_transaction_cleaned!$O:$O,A1201,pg_transaction_cleaned!$F:$F,"REFUND")</f>
        <v>0</v>
      </c>
      <c r="M1201" s="39">
        <f>SUMIFS(pg_transaction_cleaned!$H:$H,pg_transaction_cleaned!$O:$O,A1201,pg_transaction_cleaned!$F:$F,"REFUND")</f>
        <v>0</v>
      </c>
      <c r="N1201" s="23" t="str">
        <f t="shared" si="74"/>
        <v>OK</v>
      </c>
      <c r="O1201" s="24">
        <f t="shared" si="75"/>
        <v>0</v>
      </c>
    </row>
    <row r="1202" spans="1:15" ht="15" customHeight="1" x14ac:dyDescent="0.3">
      <c r="A1202" s="23" t="s">
        <v>2870</v>
      </c>
      <c r="B1202" s="38">
        <v>46275</v>
      </c>
      <c r="C1202" s="23" t="s">
        <v>2871</v>
      </c>
      <c r="D1202" s="23" t="s">
        <v>92</v>
      </c>
      <c r="E1202" s="23" t="s">
        <v>77</v>
      </c>
      <c r="F1202" s="23" t="s">
        <v>329</v>
      </c>
      <c r="G1202" s="23" t="s">
        <v>250</v>
      </c>
      <c r="H1202" s="39">
        <f t="shared" si="72"/>
        <v>599</v>
      </c>
      <c r="I1202" s="23" t="str">
        <f t="shared" si="73"/>
        <v>Hyderabad</v>
      </c>
      <c r="J1202" s="23">
        <f>COUNTIFS(pg_transaction_cleaned!$O:$O,A1202,pg_transaction_cleaned!$F:$F,"CAPTURE")</f>
        <v>1</v>
      </c>
      <c r="K1202" s="39">
        <f>SUMIFS(pg_transaction_cleaned!$H:$H,pg_transaction_cleaned!$O:$O,A1202,pg_transaction_cleaned!$F:$F,"CAPTURE")</f>
        <v>599</v>
      </c>
      <c r="L1202" s="23">
        <f>COUNTIFS(pg_transaction_cleaned!$O:$O,A1202,pg_transaction_cleaned!$F:$F,"REFUND")</f>
        <v>0</v>
      </c>
      <c r="M1202" s="39">
        <f>SUMIFS(pg_transaction_cleaned!$H:$H,pg_transaction_cleaned!$O:$O,A1202,pg_transaction_cleaned!$F:$F,"REFUND")</f>
        <v>0</v>
      </c>
      <c r="N1202" s="23" t="str">
        <f t="shared" si="74"/>
        <v>OK</v>
      </c>
      <c r="O1202" s="24">
        <f t="shared" si="75"/>
        <v>0</v>
      </c>
    </row>
    <row r="1203" spans="1:15" ht="15" customHeight="1" x14ac:dyDescent="0.3">
      <c r="A1203" s="23" t="s">
        <v>2872</v>
      </c>
      <c r="B1203" s="38">
        <v>46277</v>
      </c>
      <c r="C1203" s="23" t="s">
        <v>2873</v>
      </c>
      <c r="D1203" s="23" t="s">
        <v>94</v>
      </c>
      <c r="E1203" s="23" t="s">
        <v>75</v>
      </c>
      <c r="F1203" s="23" t="s">
        <v>2178</v>
      </c>
      <c r="G1203" s="23" t="s">
        <v>250</v>
      </c>
      <c r="H1203" s="39">
        <f t="shared" si="72"/>
        <v>8997</v>
      </c>
      <c r="I1203" s="23" t="str">
        <f t="shared" si="73"/>
        <v>Chennai</v>
      </c>
      <c r="J1203" s="23">
        <f>COUNTIFS(pg_transaction_cleaned!$O:$O,A1203,pg_transaction_cleaned!$F:$F,"CAPTURE")</f>
        <v>1</v>
      </c>
      <c r="K1203" s="39">
        <f>SUMIFS(pg_transaction_cleaned!$H:$H,pg_transaction_cleaned!$O:$O,A1203,pg_transaction_cleaned!$F:$F,"CAPTURE")</f>
        <v>8997</v>
      </c>
      <c r="L1203" s="23">
        <f>COUNTIFS(pg_transaction_cleaned!$O:$O,A1203,pg_transaction_cleaned!$F:$F,"REFUND")</f>
        <v>0</v>
      </c>
      <c r="M1203" s="39">
        <f>SUMIFS(pg_transaction_cleaned!$H:$H,pg_transaction_cleaned!$O:$O,A1203,pg_transaction_cleaned!$F:$F,"REFUND")</f>
        <v>0</v>
      </c>
      <c r="N1203" s="23" t="str">
        <f t="shared" si="74"/>
        <v>OK</v>
      </c>
      <c r="O1203" s="24">
        <f t="shared" si="75"/>
        <v>0</v>
      </c>
    </row>
    <row r="1204" spans="1:15" ht="15" customHeight="1" x14ac:dyDescent="0.3">
      <c r="A1204" s="23" t="s">
        <v>2874</v>
      </c>
      <c r="B1204" s="38">
        <v>46279</v>
      </c>
      <c r="C1204" s="23" t="s">
        <v>2875</v>
      </c>
      <c r="D1204" s="23" t="s">
        <v>92</v>
      </c>
      <c r="E1204" s="23" t="s">
        <v>79</v>
      </c>
      <c r="F1204" s="23" t="s">
        <v>271</v>
      </c>
      <c r="G1204" s="23" t="s">
        <v>250</v>
      </c>
      <c r="H1204" s="39">
        <f t="shared" si="72"/>
        <v>2499</v>
      </c>
      <c r="I1204" s="23" t="str">
        <f t="shared" si="73"/>
        <v>Hyderabad</v>
      </c>
      <c r="J1204" s="23">
        <f>COUNTIFS(pg_transaction_cleaned!$O:$O,A1204,pg_transaction_cleaned!$F:$F,"CAPTURE")</f>
        <v>1</v>
      </c>
      <c r="K1204" s="39">
        <f>SUMIFS(pg_transaction_cleaned!$H:$H,pg_transaction_cleaned!$O:$O,A1204,pg_transaction_cleaned!$F:$F,"CAPTURE")</f>
        <v>2499</v>
      </c>
      <c r="L1204" s="23">
        <f>COUNTIFS(pg_transaction_cleaned!$O:$O,A1204,pg_transaction_cleaned!$F:$F,"REFUND")</f>
        <v>0</v>
      </c>
      <c r="M1204" s="39">
        <f>SUMIFS(pg_transaction_cleaned!$H:$H,pg_transaction_cleaned!$O:$O,A1204,pg_transaction_cleaned!$F:$F,"REFUND")</f>
        <v>0</v>
      </c>
      <c r="N1204" s="23" t="str">
        <f t="shared" si="74"/>
        <v>OK</v>
      </c>
      <c r="O1204" s="24">
        <f t="shared" si="75"/>
        <v>0</v>
      </c>
    </row>
    <row r="1205" spans="1:15" ht="15" customHeight="1" x14ac:dyDescent="0.3">
      <c r="A1205" s="23" t="s">
        <v>2876</v>
      </c>
      <c r="B1205" s="38">
        <v>46276</v>
      </c>
      <c r="C1205" s="23" t="s">
        <v>2877</v>
      </c>
      <c r="D1205" s="23" t="s">
        <v>86</v>
      </c>
      <c r="E1205" s="23" t="s">
        <v>81</v>
      </c>
      <c r="F1205" s="23" t="s">
        <v>297</v>
      </c>
      <c r="G1205" s="23" t="s">
        <v>250</v>
      </c>
      <c r="H1205" s="39">
        <f t="shared" si="72"/>
        <v>4999</v>
      </c>
      <c r="I1205" s="23" t="str">
        <f t="shared" si="73"/>
        <v>Delhi</v>
      </c>
      <c r="J1205" s="23">
        <f>COUNTIFS(pg_transaction_cleaned!$O:$O,A1205,pg_transaction_cleaned!$F:$F,"CAPTURE")</f>
        <v>1</v>
      </c>
      <c r="K1205" s="39">
        <f>SUMIFS(pg_transaction_cleaned!$H:$H,pg_transaction_cleaned!$O:$O,A1205,pg_transaction_cleaned!$F:$F,"CAPTURE")</f>
        <v>4999</v>
      </c>
      <c r="L1205" s="23">
        <f>COUNTIFS(pg_transaction_cleaned!$O:$O,A1205,pg_transaction_cleaned!$F:$F,"REFUND")</f>
        <v>0</v>
      </c>
      <c r="M1205" s="39">
        <f>SUMIFS(pg_transaction_cleaned!$H:$H,pg_transaction_cleaned!$O:$O,A1205,pg_transaction_cleaned!$F:$F,"REFUND")</f>
        <v>0</v>
      </c>
      <c r="N1205" s="23" t="str">
        <f t="shared" si="74"/>
        <v>OK</v>
      </c>
      <c r="O1205" s="24">
        <f t="shared" si="75"/>
        <v>0</v>
      </c>
    </row>
    <row r="1206" spans="1:15" ht="15" customHeight="1" x14ac:dyDescent="0.3">
      <c r="A1206" s="23" t="s">
        <v>2878</v>
      </c>
      <c r="B1206" s="38">
        <v>46293</v>
      </c>
      <c r="C1206" s="23" t="s">
        <v>2879</v>
      </c>
      <c r="D1206" s="23" t="s">
        <v>90</v>
      </c>
      <c r="E1206" s="23" t="s">
        <v>79</v>
      </c>
      <c r="F1206" s="23" t="s">
        <v>2837</v>
      </c>
      <c r="G1206" s="23" t="s">
        <v>250</v>
      </c>
      <c r="H1206" s="39">
        <f t="shared" si="72"/>
        <v>12297</v>
      </c>
      <c r="I1206" s="23" t="str">
        <f t="shared" si="73"/>
        <v>Ahmedabad</v>
      </c>
      <c r="J1206" s="23">
        <f>COUNTIFS(pg_transaction_cleaned!$O:$O,A1206,pg_transaction_cleaned!$F:$F,"CAPTURE")</f>
        <v>1</v>
      </c>
      <c r="K1206" s="39">
        <f>SUMIFS(pg_transaction_cleaned!$H:$H,pg_transaction_cleaned!$O:$O,A1206,pg_transaction_cleaned!$F:$F,"CAPTURE")</f>
        <v>12297</v>
      </c>
      <c r="L1206" s="23">
        <f>COUNTIFS(pg_transaction_cleaned!$O:$O,A1206,pg_transaction_cleaned!$F:$F,"REFUND")</f>
        <v>0</v>
      </c>
      <c r="M1206" s="39">
        <f>SUMIFS(pg_transaction_cleaned!$H:$H,pg_transaction_cleaned!$O:$O,A1206,pg_transaction_cleaned!$F:$F,"REFUND")</f>
        <v>0</v>
      </c>
      <c r="N1206" s="23" t="str">
        <f t="shared" si="74"/>
        <v>OK</v>
      </c>
      <c r="O1206" s="24">
        <f t="shared" si="75"/>
        <v>0</v>
      </c>
    </row>
    <row r="1207" spans="1:15" ht="15" customHeight="1" x14ac:dyDescent="0.3">
      <c r="A1207" s="23" t="s">
        <v>2880</v>
      </c>
      <c r="B1207" s="38">
        <v>46292</v>
      </c>
      <c r="C1207" s="23" t="s">
        <v>2881</v>
      </c>
      <c r="D1207" s="23" t="s">
        <v>89</v>
      </c>
      <c r="E1207" s="23" t="s">
        <v>79</v>
      </c>
      <c r="F1207" s="23" t="s">
        <v>274</v>
      </c>
      <c r="G1207" s="23" t="s">
        <v>250</v>
      </c>
      <c r="H1207" s="39">
        <f t="shared" si="72"/>
        <v>349</v>
      </c>
      <c r="I1207" s="23" t="str">
        <f t="shared" si="73"/>
        <v>Jaipur</v>
      </c>
      <c r="J1207" s="23">
        <f>COUNTIFS(pg_transaction_cleaned!$O:$O,A1207,pg_transaction_cleaned!$F:$F,"CAPTURE")</f>
        <v>1</v>
      </c>
      <c r="K1207" s="39">
        <f>SUMIFS(pg_transaction_cleaned!$H:$H,pg_transaction_cleaned!$O:$O,A1207,pg_transaction_cleaned!$F:$F,"CAPTURE")</f>
        <v>349</v>
      </c>
      <c r="L1207" s="23">
        <f>COUNTIFS(pg_transaction_cleaned!$O:$O,A1207,pg_transaction_cleaned!$F:$F,"REFUND")</f>
        <v>0</v>
      </c>
      <c r="M1207" s="39">
        <f>SUMIFS(pg_transaction_cleaned!$H:$H,pg_transaction_cleaned!$O:$O,A1207,pg_transaction_cleaned!$F:$F,"REFUND")</f>
        <v>0</v>
      </c>
      <c r="N1207" s="23" t="str">
        <f t="shared" si="74"/>
        <v>OK</v>
      </c>
      <c r="O1207" s="24">
        <f t="shared" si="75"/>
        <v>0</v>
      </c>
    </row>
    <row r="1208" spans="1:15" ht="15" customHeight="1" x14ac:dyDescent="0.3">
      <c r="A1208" s="23" t="s">
        <v>2882</v>
      </c>
      <c r="B1208" s="38">
        <v>46267</v>
      </c>
      <c r="C1208" s="23" t="s">
        <v>2883</v>
      </c>
      <c r="D1208" s="23" t="s">
        <v>86</v>
      </c>
      <c r="E1208" s="23" t="s">
        <v>81</v>
      </c>
      <c r="F1208" s="23" t="s">
        <v>1954</v>
      </c>
      <c r="G1208" s="23" t="s">
        <v>250</v>
      </c>
      <c r="H1208" s="39">
        <f t="shared" si="72"/>
        <v>848</v>
      </c>
      <c r="I1208" s="23" t="str">
        <f t="shared" si="73"/>
        <v>Delhi</v>
      </c>
      <c r="J1208" s="23">
        <f>COUNTIFS(pg_transaction_cleaned!$O:$O,A1208,pg_transaction_cleaned!$F:$F,"CAPTURE")</f>
        <v>1</v>
      </c>
      <c r="K1208" s="39">
        <f>SUMIFS(pg_transaction_cleaned!$H:$H,pg_transaction_cleaned!$O:$O,A1208,pg_transaction_cleaned!$F:$F,"CAPTURE")</f>
        <v>848</v>
      </c>
      <c r="L1208" s="23">
        <f>COUNTIFS(pg_transaction_cleaned!$O:$O,A1208,pg_transaction_cleaned!$F:$F,"REFUND")</f>
        <v>0</v>
      </c>
      <c r="M1208" s="39">
        <f>SUMIFS(pg_transaction_cleaned!$H:$H,pg_transaction_cleaned!$O:$O,A1208,pg_transaction_cleaned!$F:$F,"REFUND")</f>
        <v>0</v>
      </c>
      <c r="N1208" s="23" t="str">
        <f t="shared" si="74"/>
        <v>OK</v>
      </c>
      <c r="O1208" s="24">
        <f t="shared" si="75"/>
        <v>0</v>
      </c>
    </row>
    <row r="1209" spans="1:15" ht="15" customHeight="1" x14ac:dyDescent="0.3">
      <c r="A1209" s="23" t="s">
        <v>2884</v>
      </c>
      <c r="B1209" s="38">
        <v>46289</v>
      </c>
      <c r="C1209" s="23" t="s">
        <v>2885</v>
      </c>
      <c r="D1209" s="23" t="s">
        <v>86</v>
      </c>
      <c r="E1209" s="23" t="s">
        <v>75</v>
      </c>
      <c r="F1209" s="23" t="s">
        <v>291</v>
      </c>
      <c r="G1209" s="23" t="s">
        <v>250</v>
      </c>
      <c r="H1209" s="39">
        <f t="shared" si="72"/>
        <v>3499</v>
      </c>
      <c r="I1209" s="23" t="str">
        <f t="shared" si="73"/>
        <v>Delhi</v>
      </c>
      <c r="J1209" s="23">
        <f>COUNTIFS(pg_transaction_cleaned!$O:$O,A1209,pg_transaction_cleaned!$F:$F,"CAPTURE")</f>
        <v>1</v>
      </c>
      <c r="K1209" s="39">
        <f>SUMIFS(pg_transaction_cleaned!$H:$H,pg_transaction_cleaned!$O:$O,A1209,pg_transaction_cleaned!$F:$F,"CAPTURE")</f>
        <v>3499</v>
      </c>
      <c r="L1209" s="23">
        <f>COUNTIFS(pg_transaction_cleaned!$O:$O,A1209,pg_transaction_cleaned!$F:$F,"REFUND")</f>
        <v>0</v>
      </c>
      <c r="M1209" s="39">
        <f>SUMIFS(pg_transaction_cleaned!$H:$H,pg_transaction_cleaned!$O:$O,A1209,pg_transaction_cleaned!$F:$F,"REFUND")</f>
        <v>0</v>
      </c>
      <c r="N1209" s="23" t="str">
        <f t="shared" si="74"/>
        <v>OK</v>
      </c>
      <c r="O1209" s="24">
        <f t="shared" si="75"/>
        <v>0</v>
      </c>
    </row>
    <row r="1210" spans="1:15" ht="15" customHeight="1" x14ac:dyDescent="0.3">
      <c r="A1210" s="23" t="s">
        <v>2886</v>
      </c>
      <c r="B1210" s="38">
        <v>46286</v>
      </c>
      <c r="C1210" s="23" t="s">
        <v>2887</v>
      </c>
      <c r="D1210" s="23" t="s">
        <v>90</v>
      </c>
      <c r="E1210" s="23" t="s">
        <v>75</v>
      </c>
      <c r="F1210" s="23" t="s">
        <v>265</v>
      </c>
      <c r="G1210" s="23" t="s">
        <v>250</v>
      </c>
      <c r="H1210" s="39">
        <f t="shared" si="72"/>
        <v>999</v>
      </c>
      <c r="I1210" s="23" t="str">
        <f t="shared" si="73"/>
        <v>Ahmedabad</v>
      </c>
      <c r="J1210" s="23">
        <f>COUNTIFS(pg_transaction_cleaned!$O:$O,A1210,pg_transaction_cleaned!$F:$F,"CAPTURE")</f>
        <v>1</v>
      </c>
      <c r="K1210" s="39">
        <f>SUMIFS(pg_transaction_cleaned!$H:$H,pg_transaction_cleaned!$O:$O,A1210,pg_transaction_cleaned!$F:$F,"CAPTURE")</f>
        <v>999</v>
      </c>
      <c r="L1210" s="23">
        <f>COUNTIFS(pg_transaction_cleaned!$O:$O,A1210,pg_transaction_cleaned!$F:$F,"REFUND")</f>
        <v>0</v>
      </c>
      <c r="M1210" s="39">
        <f>SUMIFS(pg_transaction_cleaned!$H:$H,pg_transaction_cleaned!$O:$O,A1210,pg_transaction_cleaned!$F:$F,"REFUND")</f>
        <v>0</v>
      </c>
      <c r="N1210" s="23" t="str">
        <f t="shared" si="74"/>
        <v>OK</v>
      </c>
      <c r="O1210" s="24">
        <f t="shared" si="75"/>
        <v>0</v>
      </c>
    </row>
    <row r="1211" spans="1:15" ht="15" customHeight="1" x14ac:dyDescent="0.3">
      <c r="A1211" s="23" t="s">
        <v>2888</v>
      </c>
      <c r="B1211" s="38">
        <v>46279</v>
      </c>
      <c r="C1211" s="23" t="s">
        <v>2889</v>
      </c>
      <c r="D1211" s="23" t="s">
        <v>89</v>
      </c>
      <c r="E1211" s="23" t="s">
        <v>75</v>
      </c>
      <c r="F1211" s="23" t="s">
        <v>329</v>
      </c>
      <c r="G1211" s="23" t="s">
        <v>250</v>
      </c>
      <c r="H1211" s="39">
        <f t="shared" si="72"/>
        <v>599</v>
      </c>
      <c r="I1211" s="23" t="str">
        <f t="shared" si="73"/>
        <v>Jaipur</v>
      </c>
      <c r="J1211" s="23">
        <f>COUNTIFS(pg_transaction_cleaned!$O:$O,A1211,pg_transaction_cleaned!$F:$F,"CAPTURE")</f>
        <v>1</v>
      </c>
      <c r="K1211" s="39">
        <f>SUMIFS(pg_transaction_cleaned!$H:$H,pg_transaction_cleaned!$O:$O,A1211,pg_transaction_cleaned!$F:$F,"CAPTURE")</f>
        <v>599</v>
      </c>
      <c r="L1211" s="23">
        <f>COUNTIFS(pg_transaction_cleaned!$O:$O,A1211,pg_transaction_cleaned!$F:$F,"REFUND")</f>
        <v>0</v>
      </c>
      <c r="M1211" s="39">
        <f>SUMIFS(pg_transaction_cleaned!$H:$H,pg_transaction_cleaned!$O:$O,A1211,pg_transaction_cleaned!$F:$F,"REFUND")</f>
        <v>0</v>
      </c>
      <c r="N1211" s="23" t="str">
        <f t="shared" si="74"/>
        <v>OK</v>
      </c>
      <c r="O1211" s="24">
        <f t="shared" si="75"/>
        <v>0</v>
      </c>
    </row>
    <row r="1212" spans="1:15" ht="15" customHeight="1" x14ac:dyDescent="0.3">
      <c r="A1212" s="23" t="s">
        <v>2890</v>
      </c>
      <c r="B1212" s="38">
        <v>46271</v>
      </c>
      <c r="C1212" s="23" t="s">
        <v>2891</v>
      </c>
      <c r="D1212" s="23" t="s">
        <v>95</v>
      </c>
      <c r="E1212" s="23" t="s">
        <v>79</v>
      </c>
      <c r="F1212" s="23" t="s">
        <v>760</v>
      </c>
      <c r="G1212" s="23" t="s">
        <v>250</v>
      </c>
      <c r="H1212" s="39">
        <f t="shared" si="72"/>
        <v>799</v>
      </c>
      <c r="I1212" s="23" t="str">
        <f t="shared" si="73"/>
        <v>Bengaluru</v>
      </c>
      <c r="J1212" s="23">
        <f>COUNTIFS(pg_transaction_cleaned!$O:$O,A1212,pg_transaction_cleaned!$F:$F,"CAPTURE")</f>
        <v>1</v>
      </c>
      <c r="K1212" s="39">
        <f>SUMIFS(pg_transaction_cleaned!$H:$H,pg_transaction_cleaned!$O:$O,A1212,pg_transaction_cleaned!$F:$F,"CAPTURE")</f>
        <v>799</v>
      </c>
      <c r="L1212" s="23">
        <f>COUNTIFS(pg_transaction_cleaned!$O:$O,A1212,pg_transaction_cleaned!$F:$F,"REFUND")</f>
        <v>0</v>
      </c>
      <c r="M1212" s="39">
        <f>SUMIFS(pg_transaction_cleaned!$H:$H,pg_transaction_cleaned!$O:$O,A1212,pg_transaction_cleaned!$F:$F,"REFUND")</f>
        <v>0</v>
      </c>
      <c r="N1212" s="23" t="str">
        <f t="shared" si="74"/>
        <v>OK</v>
      </c>
      <c r="O1212" s="24">
        <f t="shared" si="75"/>
        <v>0</v>
      </c>
    </row>
    <row r="1213" spans="1:15" ht="15" customHeight="1" x14ac:dyDescent="0.3">
      <c r="A1213" s="23" t="s">
        <v>2892</v>
      </c>
      <c r="B1213" s="38">
        <v>46270</v>
      </c>
      <c r="C1213" s="23" t="s">
        <v>2893</v>
      </c>
      <c r="D1213" s="23" t="s">
        <v>93</v>
      </c>
      <c r="E1213" s="23" t="s">
        <v>81</v>
      </c>
      <c r="F1213" s="23" t="s">
        <v>340</v>
      </c>
      <c r="G1213" s="23" t="s">
        <v>250</v>
      </c>
      <c r="H1213" s="39">
        <f t="shared" si="72"/>
        <v>6298</v>
      </c>
      <c r="I1213" s="23" t="str">
        <f t="shared" si="73"/>
        <v>Kolkata</v>
      </c>
      <c r="J1213" s="23">
        <f>COUNTIFS(pg_transaction_cleaned!$O:$O,A1213,pg_transaction_cleaned!$F:$F,"CAPTURE")</f>
        <v>1</v>
      </c>
      <c r="K1213" s="39">
        <f>SUMIFS(pg_transaction_cleaned!$H:$H,pg_transaction_cleaned!$O:$O,A1213,pg_transaction_cleaned!$F:$F,"CAPTURE")</f>
        <v>6298</v>
      </c>
      <c r="L1213" s="23">
        <f>COUNTIFS(pg_transaction_cleaned!$O:$O,A1213,pg_transaction_cleaned!$F:$F,"REFUND")</f>
        <v>0</v>
      </c>
      <c r="M1213" s="39">
        <f>SUMIFS(pg_transaction_cleaned!$H:$H,pg_transaction_cleaned!$O:$O,A1213,pg_transaction_cleaned!$F:$F,"REFUND")</f>
        <v>0</v>
      </c>
      <c r="N1213" s="23" t="str">
        <f t="shared" si="74"/>
        <v>OK</v>
      </c>
      <c r="O1213" s="24">
        <f t="shared" si="75"/>
        <v>0</v>
      </c>
    </row>
    <row r="1214" spans="1:15" ht="15" customHeight="1" x14ac:dyDescent="0.3">
      <c r="A1214" s="23" t="s">
        <v>2894</v>
      </c>
      <c r="B1214" s="38">
        <v>46294</v>
      </c>
      <c r="C1214" s="23" t="s">
        <v>2895</v>
      </c>
      <c r="D1214" s="23" t="s">
        <v>90</v>
      </c>
      <c r="E1214" s="23" t="s">
        <v>75</v>
      </c>
      <c r="F1214" s="23" t="s">
        <v>737</v>
      </c>
      <c r="G1214" s="23" t="s">
        <v>250</v>
      </c>
      <c r="H1214" s="39">
        <f t="shared" si="72"/>
        <v>9798</v>
      </c>
      <c r="I1214" s="23" t="str">
        <f t="shared" si="73"/>
        <v>Ahmedabad</v>
      </c>
      <c r="J1214" s="23">
        <f>COUNTIFS(pg_transaction_cleaned!$O:$O,A1214,pg_transaction_cleaned!$F:$F,"CAPTURE")</f>
        <v>1</v>
      </c>
      <c r="K1214" s="39">
        <f>SUMIFS(pg_transaction_cleaned!$H:$H,pg_transaction_cleaned!$O:$O,A1214,pg_transaction_cleaned!$F:$F,"CAPTURE")</f>
        <v>9798</v>
      </c>
      <c r="L1214" s="23">
        <f>COUNTIFS(pg_transaction_cleaned!$O:$O,A1214,pg_transaction_cleaned!$F:$F,"REFUND")</f>
        <v>0</v>
      </c>
      <c r="M1214" s="39">
        <f>SUMIFS(pg_transaction_cleaned!$H:$H,pg_transaction_cleaned!$O:$O,A1214,pg_transaction_cleaned!$F:$F,"REFUND")</f>
        <v>0</v>
      </c>
      <c r="N1214" s="23" t="str">
        <f t="shared" si="74"/>
        <v>OK</v>
      </c>
      <c r="O1214" s="24">
        <f t="shared" si="75"/>
        <v>0</v>
      </c>
    </row>
    <row r="1215" spans="1:15" ht="15" customHeight="1" x14ac:dyDescent="0.3">
      <c r="A1215" s="23" t="s">
        <v>2896</v>
      </c>
      <c r="B1215" s="38">
        <v>46270</v>
      </c>
      <c r="C1215" s="23" t="s">
        <v>2897</v>
      </c>
      <c r="D1215" s="23" t="s">
        <v>94</v>
      </c>
      <c r="E1215" s="23" t="s">
        <v>77</v>
      </c>
      <c r="F1215" s="23" t="s">
        <v>291</v>
      </c>
      <c r="G1215" s="23" t="s">
        <v>250</v>
      </c>
      <c r="H1215" s="39">
        <f t="shared" si="72"/>
        <v>3499</v>
      </c>
      <c r="I1215" s="23" t="str">
        <f t="shared" si="73"/>
        <v>Chennai</v>
      </c>
      <c r="J1215" s="23">
        <f>COUNTIFS(pg_transaction_cleaned!$O:$O,A1215,pg_transaction_cleaned!$F:$F,"CAPTURE")</f>
        <v>1</v>
      </c>
      <c r="K1215" s="39">
        <f>SUMIFS(pg_transaction_cleaned!$H:$H,pg_transaction_cleaned!$O:$O,A1215,pg_transaction_cleaned!$F:$F,"CAPTURE")</f>
        <v>3499</v>
      </c>
      <c r="L1215" s="23">
        <f>COUNTIFS(pg_transaction_cleaned!$O:$O,A1215,pg_transaction_cleaned!$F:$F,"REFUND")</f>
        <v>0</v>
      </c>
      <c r="M1215" s="39">
        <f>SUMIFS(pg_transaction_cleaned!$H:$H,pg_transaction_cleaned!$O:$O,A1215,pg_transaction_cleaned!$F:$F,"REFUND")</f>
        <v>0</v>
      </c>
      <c r="N1215" s="23" t="str">
        <f t="shared" si="74"/>
        <v>OK</v>
      </c>
      <c r="O1215" s="24">
        <f t="shared" si="75"/>
        <v>0</v>
      </c>
    </row>
    <row r="1216" spans="1:15" ht="15" customHeight="1" x14ac:dyDescent="0.3">
      <c r="A1216" s="23" t="s">
        <v>2898</v>
      </c>
      <c r="B1216" s="38">
        <v>46276</v>
      </c>
      <c r="C1216" s="23" t="s">
        <v>2899</v>
      </c>
      <c r="D1216" s="23" t="s">
        <v>86</v>
      </c>
      <c r="E1216" s="23" t="s">
        <v>75</v>
      </c>
      <c r="F1216" s="23" t="s">
        <v>438</v>
      </c>
      <c r="G1216" s="23" t="s">
        <v>250</v>
      </c>
      <c r="H1216" s="39">
        <f t="shared" si="72"/>
        <v>5498</v>
      </c>
      <c r="I1216" s="23" t="str">
        <f t="shared" si="73"/>
        <v>Delhi</v>
      </c>
      <c r="J1216" s="23">
        <f>COUNTIFS(pg_transaction_cleaned!$O:$O,A1216,pg_transaction_cleaned!$F:$F,"CAPTURE")</f>
        <v>1</v>
      </c>
      <c r="K1216" s="39">
        <f>SUMIFS(pg_transaction_cleaned!$H:$H,pg_transaction_cleaned!$O:$O,A1216,pg_transaction_cleaned!$F:$F,"CAPTURE")</f>
        <v>5498</v>
      </c>
      <c r="L1216" s="23">
        <f>COUNTIFS(pg_transaction_cleaned!$O:$O,A1216,pg_transaction_cleaned!$F:$F,"REFUND")</f>
        <v>0</v>
      </c>
      <c r="M1216" s="39">
        <f>SUMIFS(pg_transaction_cleaned!$H:$H,pg_transaction_cleaned!$O:$O,A1216,pg_transaction_cleaned!$F:$F,"REFUND")</f>
        <v>0</v>
      </c>
      <c r="N1216" s="23" t="str">
        <f t="shared" si="74"/>
        <v>OK</v>
      </c>
      <c r="O1216" s="24">
        <f t="shared" si="75"/>
        <v>0</v>
      </c>
    </row>
    <row r="1217" spans="1:15" ht="15" customHeight="1" x14ac:dyDescent="0.3">
      <c r="A1217" s="23" t="s">
        <v>2900</v>
      </c>
      <c r="B1217" s="38">
        <v>46294</v>
      </c>
      <c r="C1217" s="23" t="s">
        <v>2901</v>
      </c>
      <c r="D1217" s="23" t="s">
        <v>92</v>
      </c>
      <c r="E1217" s="23" t="s">
        <v>79</v>
      </c>
      <c r="F1217" s="23" t="s">
        <v>259</v>
      </c>
      <c r="G1217" s="23" t="s">
        <v>301</v>
      </c>
      <c r="H1217" s="39">
        <f t="shared" si="72"/>
        <v>3298</v>
      </c>
      <c r="I1217" s="23" t="str">
        <f t="shared" si="73"/>
        <v>Hyderabad</v>
      </c>
      <c r="J1217" s="23">
        <f>COUNTIFS(pg_transaction_cleaned!$O:$O,A1217,pg_transaction_cleaned!$F:$F,"CAPTURE")</f>
        <v>1</v>
      </c>
      <c r="K1217" s="39">
        <f>SUMIFS(pg_transaction_cleaned!$H:$H,pg_transaction_cleaned!$O:$O,A1217,pg_transaction_cleaned!$F:$F,"CAPTURE")</f>
        <v>3298</v>
      </c>
      <c r="L1217" s="23">
        <f>COUNTIFS(pg_transaction_cleaned!$O:$O,A1217,pg_transaction_cleaned!$F:$F,"REFUND")</f>
        <v>1</v>
      </c>
      <c r="M1217" s="39">
        <f>SUMIFS(pg_transaction_cleaned!$H:$H,pg_transaction_cleaned!$O:$O,A1217,pg_transaction_cleaned!$F:$F,"REFUND")</f>
        <v>3298</v>
      </c>
      <c r="N1217" s="23" t="str">
        <f t="shared" si="74"/>
        <v>OK</v>
      </c>
      <c r="O1217" s="24">
        <f t="shared" si="75"/>
        <v>0</v>
      </c>
    </row>
    <row r="1218" spans="1:15" ht="15" customHeight="1" x14ac:dyDescent="0.3">
      <c r="A1218" s="23" t="s">
        <v>2902</v>
      </c>
      <c r="B1218" s="38">
        <v>46279</v>
      </c>
      <c r="C1218" s="23" t="s">
        <v>2903</v>
      </c>
      <c r="D1218" s="23" t="s">
        <v>94</v>
      </c>
      <c r="E1218" s="23" t="s">
        <v>75</v>
      </c>
      <c r="F1218" s="23" t="s">
        <v>2904</v>
      </c>
      <c r="G1218" s="23" t="s">
        <v>250</v>
      </c>
      <c r="H1218" s="39">
        <f t="shared" ref="H1218:H1281" si="76">VALUE(SUBSTITUTE(F1218,",",""))</f>
        <v>6498</v>
      </c>
      <c r="I1218" s="23" t="str">
        <f t="shared" ref="I1218:I1281" si="77">IF(TRIM(D1218)="","Unknown",TRIM(D1218))</f>
        <v>Chennai</v>
      </c>
      <c r="J1218" s="23">
        <f>COUNTIFS(pg_transaction_cleaned!$O:$O,A1218,pg_transaction_cleaned!$F:$F,"CAPTURE")</f>
        <v>1</v>
      </c>
      <c r="K1218" s="39">
        <f>SUMIFS(pg_transaction_cleaned!$H:$H,pg_transaction_cleaned!$O:$O,A1218,pg_transaction_cleaned!$F:$F,"CAPTURE")</f>
        <v>6498</v>
      </c>
      <c r="L1218" s="23">
        <f>COUNTIFS(pg_transaction_cleaned!$O:$O,A1218,pg_transaction_cleaned!$F:$F,"REFUND")</f>
        <v>0</v>
      </c>
      <c r="M1218" s="39">
        <f>SUMIFS(pg_transaction_cleaned!$H:$H,pg_transaction_cleaned!$O:$O,A1218,pg_transaction_cleaned!$F:$F,"REFUND")</f>
        <v>0</v>
      </c>
      <c r="N1218" s="23" t="str">
        <f t="shared" ref="N1218:N1281" si="78">IF(AND(G1218="Paid",J1218=0),"Paid, no payment",IF(AND(OR(G1218="Failed",G1218="Cancelled"),J1218&gt;0),"Payment on failed/cancelled",IF(J1218&gt;1,"Duplicate charge",IF(AND(J1218=1,ROUND(K1218-H1218,2)&lt;&gt;0),"Amount difference",IF(AND(G1218="Refunded",L1218=0),"Refunded, no refund",IF(AND(G1218&lt;&gt;"Refunded",L1218&gt;0),"Refund, order not Refunded",IF(AND(L1218&gt;0,ROUND(M1218-H1218,2)&lt;&gt;0),"Refund amount differs","OK")))))))</f>
        <v>OK</v>
      </c>
      <c r="O1218" s="24">
        <f t="shared" ref="O1218:O1281" si="79">IF(N1218="OK",0,IF(N1218="Paid, no payment",H1218,IF(N1218="Payment on failed/cancelled",K1218,IF(OR(N1218="Duplicate charge",N1218="Amount difference"),K1218-H1218,IF(N1218="Refunded, no refund",H1218,M1218)))))</f>
        <v>0</v>
      </c>
    </row>
    <row r="1219" spans="1:15" ht="15" customHeight="1" x14ac:dyDescent="0.3">
      <c r="A1219" s="23" t="s">
        <v>2905</v>
      </c>
      <c r="B1219" s="38">
        <v>46266</v>
      </c>
      <c r="C1219" s="23" t="s">
        <v>2906</v>
      </c>
      <c r="D1219" s="23" t="s">
        <v>90</v>
      </c>
      <c r="E1219" s="23" t="s">
        <v>75</v>
      </c>
      <c r="F1219" s="23" t="s">
        <v>294</v>
      </c>
      <c r="G1219" s="23" t="s">
        <v>250</v>
      </c>
      <c r="H1219" s="39">
        <f t="shared" si="76"/>
        <v>1799</v>
      </c>
      <c r="I1219" s="23" t="str">
        <f t="shared" si="77"/>
        <v>Ahmedabad</v>
      </c>
      <c r="J1219" s="23">
        <f>COUNTIFS(pg_transaction_cleaned!$O:$O,A1219,pg_transaction_cleaned!$F:$F,"CAPTURE")</f>
        <v>1</v>
      </c>
      <c r="K1219" s="39">
        <f>SUMIFS(pg_transaction_cleaned!$H:$H,pg_transaction_cleaned!$O:$O,A1219,pg_transaction_cleaned!$F:$F,"CAPTURE")</f>
        <v>1799</v>
      </c>
      <c r="L1219" s="23">
        <f>COUNTIFS(pg_transaction_cleaned!$O:$O,A1219,pg_transaction_cleaned!$F:$F,"REFUND")</f>
        <v>0</v>
      </c>
      <c r="M1219" s="39">
        <f>SUMIFS(pg_transaction_cleaned!$H:$H,pg_transaction_cleaned!$O:$O,A1219,pg_transaction_cleaned!$F:$F,"REFUND")</f>
        <v>0</v>
      </c>
      <c r="N1219" s="23" t="str">
        <f t="shared" si="78"/>
        <v>OK</v>
      </c>
      <c r="O1219" s="24">
        <f t="shared" si="79"/>
        <v>0</v>
      </c>
    </row>
    <row r="1220" spans="1:15" ht="15" customHeight="1" x14ac:dyDescent="0.3">
      <c r="A1220" s="23" t="s">
        <v>2907</v>
      </c>
      <c r="B1220" s="38">
        <v>46286</v>
      </c>
      <c r="C1220" s="23" t="s">
        <v>2908</v>
      </c>
      <c r="D1220" s="23" t="s">
        <v>94</v>
      </c>
      <c r="E1220" s="23" t="s">
        <v>79</v>
      </c>
      <c r="F1220" s="23" t="s">
        <v>294</v>
      </c>
      <c r="G1220" s="23" t="s">
        <v>250</v>
      </c>
      <c r="H1220" s="39">
        <f t="shared" si="76"/>
        <v>1799</v>
      </c>
      <c r="I1220" s="23" t="str">
        <f t="shared" si="77"/>
        <v>Chennai</v>
      </c>
      <c r="J1220" s="23">
        <f>COUNTIFS(pg_transaction_cleaned!$O:$O,A1220,pg_transaction_cleaned!$F:$F,"CAPTURE")</f>
        <v>1</v>
      </c>
      <c r="K1220" s="39">
        <f>SUMIFS(pg_transaction_cleaned!$H:$H,pg_transaction_cleaned!$O:$O,A1220,pg_transaction_cleaned!$F:$F,"CAPTURE")</f>
        <v>1799</v>
      </c>
      <c r="L1220" s="23">
        <f>COUNTIFS(pg_transaction_cleaned!$O:$O,A1220,pg_transaction_cleaned!$F:$F,"REFUND")</f>
        <v>0</v>
      </c>
      <c r="M1220" s="39">
        <f>SUMIFS(pg_transaction_cleaned!$H:$H,pg_transaction_cleaned!$O:$O,A1220,pg_transaction_cleaned!$F:$F,"REFUND")</f>
        <v>0</v>
      </c>
      <c r="N1220" s="23" t="str">
        <f t="shared" si="78"/>
        <v>OK</v>
      </c>
      <c r="O1220" s="24">
        <f t="shared" si="79"/>
        <v>0</v>
      </c>
    </row>
    <row r="1221" spans="1:15" ht="15" customHeight="1" x14ac:dyDescent="0.3">
      <c r="A1221" s="23" t="s">
        <v>2909</v>
      </c>
      <c r="B1221" s="38">
        <v>46294</v>
      </c>
      <c r="C1221" s="23" t="s">
        <v>2910</v>
      </c>
      <c r="D1221" s="23" t="s">
        <v>94</v>
      </c>
      <c r="E1221" s="23" t="s">
        <v>75</v>
      </c>
      <c r="F1221" s="23" t="s">
        <v>1995</v>
      </c>
      <c r="G1221" s="23" t="s">
        <v>365</v>
      </c>
      <c r="H1221" s="39">
        <f t="shared" si="76"/>
        <v>6897</v>
      </c>
      <c r="I1221" s="23" t="str">
        <f t="shared" si="77"/>
        <v>Chennai</v>
      </c>
      <c r="J1221" s="23">
        <f>COUNTIFS(pg_transaction_cleaned!$O:$O,A1221,pg_transaction_cleaned!$F:$F,"CAPTURE")</f>
        <v>0</v>
      </c>
      <c r="K1221" s="39">
        <f>SUMIFS(pg_transaction_cleaned!$H:$H,pg_transaction_cleaned!$O:$O,A1221,pg_transaction_cleaned!$F:$F,"CAPTURE")</f>
        <v>0</v>
      </c>
      <c r="L1221" s="23">
        <f>COUNTIFS(pg_transaction_cleaned!$O:$O,A1221,pg_transaction_cleaned!$F:$F,"REFUND")</f>
        <v>0</v>
      </c>
      <c r="M1221" s="39">
        <f>SUMIFS(pg_transaction_cleaned!$H:$H,pg_transaction_cleaned!$O:$O,A1221,pg_transaction_cleaned!$F:$F,"REFUND")</f>
        <v>0</v>
      </c>
      <c r="N1221" s="23" t="str">
        <f t="shared" si="78"/>
        <v>OK</v>
      </c>
      <c r="O1221" s="24">
        <f t="shared" si="79"/>
        <v>0</v>
      </c>
    </row>
    <row r="1222" spans="1:15" ht="15" customHeight="1" x14ac:dyDescent="0.3">
      <c r="A1222" s="23" t="s">
        <v>2911</v>
      </c>
      <c r="B1222" s="38">
        <v>46278</v>
      </c>
      <c r="C1222" s="23" t="s">
        <v>2912</v>
      </c>
      <c r="D1222" s="23" t="s">
        <v>91</v>
      </c>
      <c r="E1222" s="23" t="s">
        <v>75</v>
      </c>
      <c r="F1222" s="23" t="s">
        <v>1571</v>
      </c>
      <c r="G1222" s="23" t="s">
        <v>250</v>
      </c>
      <c r="H1222" s="39">
        <f t="shared" si="76"/>
        <v>7497</v>
      </c>
      <c r="I1222" s="23" t="str">
        <f t="shared" si="77"/>
        <v>Pune</v>
      </c>
      <c r="J1222" s="23">
        <f>COUNTIFS(pg_transaction_cleaned!$O:$O,A1222,pg_transaction_cleaned!$F:$F,"CAPTURE")</f>
        <v>1</v>
      </c>
      <c r="K1222" s="39">
        <f>SUMIFS(pg_transaction_cleaned!$H:$H,pg_transaction_cleaned!$O:$O,A1222,pg_transaction_cleaned!$F:$F,"CAPTURE")</f>
        <v>7497</v>
      </c>
      <c r="L1222" s="23">
        <f>COUNTIFS(pg_transaction_cleaned!$O:$O,A1222,pg_transaction_cleaned!$F:$F,"REFUND")</f>
        <v>0</v>
      </c>
      <c r="M1222" s="39">
        <f>SUMIFS(pg_transaction_cleaned!$H:$H,pg_transaction_cleaned!$O:$O,A1222,pg_transaction_cleaned!$F:$F,"REFUND")</f>
        <v>0</v>
      </c>
      <c r="N1222" s="23" t="str">
        <f t="shared" si="78"/>
        <v>OK</v>
      </c>
      <c r="O1222" s="24">
        <f t="shared" si="79"/>
        <v>0</v>
      </c>
    </row>
    <row r="1223" spans="1:15" ht="15" customHeight="1" x14ac:dyDescent="0.3">
      <c r="A1223" s="23" t="s">
        <v>2913</v>
      </c>
      <c r="B1223" s="38">
        <v>46282</v>
      </c>
      <c r="C1223" s="23" t="s">
        <v>2914</v>
      </c>
      <c r="D1223" s="23" t="s">
        <v>87</v>
      </c>
      <c r="E1223" s="23" t="s">
        <v>79</v>
      </c>
      <c r="F1223" s="23" t="s">
        <v>300</v>
      </c>
      <c r="G1223" s="23" t="s">
        <v>250</v>
      </c>
      <c r="H1223" s="39">
        <f t="shared" si="76"/>
        <v>2598</v>
      </c>
      <c r="I1223" s="23" t="str">
        <f t="shared" si="77"/>
        <v>Mumbai</v>
      </c>
      <c r="J1223" s="23">
        <f>COUNTIFS(pg_transaction_cleaned!$O:$O,A1223,pg_transaction_cleaned!$F:$F,"CAPTURE")</f>
        <v>0</v>
      </c>
      <c r="K1223" s="39">
        <f>SUMIFS(pg_transaction_cleaned!$H:$H,pg_transaction_cleaned!$O:$O,A1223,pg_transaction_cleaned!$F:$F,"CAPTURE")</f>
        <v>0</v>
      </c>
      <c r="L1223" s="23">
        <f>COUNTIFS(pg_transaction_cleaned!$O:$O,A1223,pg_transaction_cleaned!$F:$F,"REFUND")</f>
        <v>0</v>
      </c>
      <c r="M1223" s="39">
        <f>SUMIFS(pg_transaction_cleaned!$H:$H,pg_transaction_cleaned!$O:$O,A1223,pg_transaction_cleaned!$F:$F,"REFUND")</f>
        <v>0</v>
      </c>
      <c r="N1223" s="23" t="str">
        <f t="shared" si="78"/>
        <v>Paid, no payment</v>
      </c>
      <c r="O1223" s="24">
        <f t="shared" si="79"/>
        <v>2598</v>
      </c>
    </row>
    <row r="1224" spans="1:15" ht="15" customHeight="1" x14ac:dyDescent="0.3">
      <c r="A1224" s="23" t="s">
        <v>2915</v>
      </c>
      <c r="B1224" s="38">
        <v>46294</v>
      </c>
      <c r="C1224" s="23" t="s">
        <v>2916</v>
      </c>
      <c r="D1224" s="23" t="s">
        <v>89</v>
      </c>
      <c r="E1224" s="23" t="s">
        <v>79</v>
      </c>
      <c r="F1224" s="23" t="s">
        <v>259</v>
      </c>
      <c r="G1224" s="23" t="s">
        <v>250</v>
      </c>
      <c r="H1224" s="39">
        <f t="shared" si="76"/>
        <v>3298</v>
      </c>
      <c r="I1224" s="23" t="str">
        <f t="shared" si="77"/>
        <v>Jaipur</v>
      </c>
      <c r="J1224" s="23">
        <f>COUNTIFS(pg_transaction_cleaned!$O:$O,A1224,pg_transaction_cleaned!$F:$F,"CAPTURE")</f>
        <v>1</v>
      </c>
      <c r="K1224" s="39">
        <f>SUMIFS(pg_transaction_cleaned!$H:$H,pg_transaction_cleaned!$O:$O,A1224,pg_transaction_cleaned!$F:$F,"CAPTURE")</f>
        <v>3298</v>
      </c>
      <c r="L1224" s="23">
        <f>COUNTIFS(pg_transaction_cleaned!$O:$O,A1224,pg_transaction_cleaned!$F:$F,"REFUND")</f>
        <v>0</v>
      </c>
      <c r="M1224" s="39">
        <f>SUMIFS(pg_transaction_cleaned!$H:$H,pg_transaction_cleaned!$O:$O,A1224,pg_transaction_cleaned!$F:$F,"REFUND")</f>
        <v>0</v>
      </c>
      <c r="N1224" s="23" t="str">
        <f t="shared" si="78"/>
        <v>OK</v>
      </c>
      <c r="O1224" s="24">
        <f t="shared" si="79"/>
        <v>0</v>
      </c>
    </row>
    <row r="1225" spans="1:15" ht="15" customHeight="1" x14ac:dyDescent="0.3">
      <c r="A1225" s="23" t="s">
        <v>2917</v>
      </c>
      <c r="B1225" s="38">
        <v>46269</v>
      </c>
      <c r="C1225" s="23" t="s">
        <v>2918</v>
      </c>
      <c r="D1225" s="23" t="s">
        <v>87</v>
      </c>
      <c r="E1225" s="23" t="s">
        <v>75</v>
      </c>
      <c r="F1225" s="23" t="s">
        <v>478</v>
      </c>
      <c r="G1225" s="23" t="s">
        <v>250</v>
      </c>
      <c r="H1225" s="39">
        <f t="shared" si="76"/>
        <v>9297</v>
      </c>
      <c r="I1225" s="23" t="str">
        <f t="shared" si="77"/>
        <v>Mumbai</v>
      </c>
      <c r="J1225" s="23">
        <f>COUNTIFS(pg_transaction_cleaned!$O:$O,A1225,pg_transaction_cleaned!$F:$F,"CAPTURE")</f>
        <v>1</v>
      </c>
      <c r="K1225" s="39">
        <f>SUMIFS(pg_transaction_cleaned!$H:$H,pg_transaction_cleaned!$O:$O,A1225,pg_transaction_cleaned!$F:$F,"CAPTURE")</f>
        <v>9297</v>
      </c>
      <c r="L1225" s="23">
        <f>COUNTIFS(pg_transaction_cleaned!$O:$O,A1225,pg_transaction_cleaned!$F:$F,"REFUND")</f>
        <v>0</v>
      </c>
      <c r="M1225" s="39">
        <f>SUMIFS(pg_transaction_cleaned!$H:$H,pg_transaction_cleaned!$O:$O,A1225,pg_transaction_cleaned!$F:$F,"REFUND")</f>
        <v>0</v>
      </c>
      <c r="N1225" s="23" t="str">
        <f t="shared" si="78"/>
        <v>OK</v>
      </c>
      <c r="O1225" s="24">
        <f t="shared" si="79"/>
        <v>0</v>
      </c>
    </row>
    <row r="1226" spans="1:15" ht="15" customHeight="1" x14ac:dyDescent="0.3">
      <c r="A1226" s="23" t="s">
        <v>2919</v>
      </c>
      <c r="B1226" s="38">
        <v>46290</v>
      </c>
      <c r="C1226" s="23" t="s">
        <v>2920</v>
      </c>
      <c r="D1226" s="23" t="s">
        <v>95</v>
      </c>
      <c r="E1226" s="23" t="s">
        <v>75</v>
      </c>
      <c r="F1226" s="23" t="s">
        <v>2921</v>
      </c>
      <c r="G1226" s="23" t="s">
        <v>250</v>
      </c>
      <c r="H1226" s="39">
        <f t="shared" si="76"/>
        <v>2647</v>
      </c>
      <c r="I1226" s="23" t="str">
        <f t="shared" si="77"/>
        <v>Bengaluru</v>
      </c>
      <c r="J1226" s="23">
        <f>COUNTIFS(pg_transaction_cleaned!$O:$O,A1226,pg_transaction_cleaned!$F:$F,"CAPTURE")</f>
        <v>1</v>
      </c>
      <c r="K1226" s="39">
        <f>SUMIFS(pg_transaction_cleaned!$H:$H,pg_transaction_cleaned!$O:$O,A1226,pg_transaction_cleaned!$F:$F,"CAPTURE")</f>
        <v>2647</v>
      </c>
      <c r="L1226" s="23">
        <f>COUNTIFS(pg_transaction_cleaned!$O:$O,A1226,pg_transaction_cleaned!$F:$F,"REFUND")</f>
        <v>0</v>
      </c>
      <c r="M1226" s="39">
        <f>SUMIFS(pg_transaction_cleaned!$H:$H,pg_transaction_cleaned!$O:$O,A1226,pg_transaction_cleaned!$F:$F,"REFUND")</f>
        <v>0</v>
      </c>
      <c r="N1226" s="23" t="str">
        <f t="shared" si="78"/>
        <v>OK</v>
      </c>
      <c r="O1226" s="24">
        <f t="shared" si="79"/>
        <v>0</v>
      </c>
    </row>
    <row r="1227" spans="1:15" ht="15" customHeight="1" x14ac:dyDescent="0.3">
      <c r="A1227" s="23" t="s">
        <v>2922</v>
      </c>
      <c r="B1227" s="38">
        <v>46291</v>
      </c>
      <c r="C1227" s="23" t="s">
        <v>2923</v>
      </c>
      <c r="D1227" s="23" t="s">
        <v>88</v>
      </c>
      <c r="E1227" s="23" t="s">
        <v>79</v>
      </c>
      <c r="F1227" s="23" t="s">
        <v>1644</v>
      </c>
      <c r="G1227" s="23" t="s">
        <v>365</v>
      </c>
      <c r="H1227" s="39">
        <f t="shared" si="76"/>
        <v>8497</v>
      </c>
      <c r="I1227" s="23" t="str">
        <f t="shared" si="77"/>
        <v>Lucknow</v>
      </c>
      <c r="J1227" s="23">
        <f>COUNTIFS(pg_transaction_cleaned!$O:$O,A1227,pg_transaction_cleaned!$F:$F,"CAPTURE")</f>
        <v>0</v>
      </c>
      <c r="K1227" s="39">
        <f>SUMIFS(pg_transaction_cleaned!$H:$H,pg_transaction_cleaned!$O:$O,A1227,pg_transaction_cleaned!$F:$F,"CAPTURE")</f>
        <v>0</v>
      </c>
      <c r="L1227" s="23">
        <f>COUNTIFS(pg_transaction_cleaned!$O:$O,A1227,pg_transaction_cleaned!$F:$F,"REFUND")</f>
        <v>0</v>
      </c>
      <c r="M1227" s="39">
        <f>SUMIFS(pg_transaction_cleaned!$H:$H,pg_transaction_cleaned!$O:$O,A1227,pg_transaction_cleaned!$F:$F,"REFUND")</f>
        <v>0</v>
      </c>
      <c r="N1227" s="23" t="str">
        <f t="shared" si="78"/>
        <v>OK</v>
      </c>
      <c r="O1227" s="24">
        <f t="shared" si="79"/>
        <v>0</v>
      </c>
    </row>
    <row r="1228" spans="1:15" ht="15" customHeight="1" x14ac:dyDescent="0.3">
      <c r="A1228" s="23" t="s">
        <v>2924</v>
      </c>
      <c r="B1228" s="38">
        <v>46273</v>
      </c>
      <c r="C1228" s="23" t="s">
        <v>2925</v>
      </c>
      <c r="D1228" s="23" t="s">
        <v>86</v>
      </c>
      <c r="E1228" s="23" t="s">
        <v>79</v>
      </c>
      <c r="F1228" s="23" t="s">
        <v>475</v>
      </c>
      <c r="G1228" s="23" t="s">
        <v>250</v>
      </c>
      <c r="H1228" s="39">
        <f t="shared" si="76"/>
        <v>799</v>
      </c>
      <c r="I1228" s="23" t="str">
        <f t="shared" si="77"/>
        <v>Delhi</v>
      </c>
      <c r="J1228" s="23">
        <f>COUNTIFS(pg_transaction_cleaned!$O:$O,A1228,pg_transaction_cleaned!$F:$F,"CAPTURE")</f>
        <v>1</v>
      </c>
      <c r="K1228" s="39">
        <f>SUMIFS(pg_transaction_cleaned!$H:$H,pg_transaction_cleaned!$O:$O,A1228,pg_transaction_cleaned!$F:$F,"CAPTURE")</f>
        <v>799</v>
      </c>
      <c r="L1228" s="23">
        <f>COUNTIFS(pg_transaction_cleaned!$O:$O,A1228,pg_transaction_cleaned!$F:$F,"REFUND")</f>
        <v>0</v>
      </c>
      <c r="M1228" s="39">
        <f>SUMIFS(pg_transaction_cleaned!$H:$H,pg_transaction_cleaned!$O:$O,A1228,pg_transaction_cleaned!$F:$F,"REFUND")</f>
        <v>0</v>
      </c>
      <c r="N1228" s="23" t="str">
        <f t="shared" si="78"/>
        <v>OK</v>
      </c>
      <c r="O1228" s="24">
        <f t="shared" si="79"/>
        <v>0</v>
      </c>
    </row>
    <row r="1229" spans="1:15" ht="15" customHeight="1" x14ac:dyDescent="0.3">
      <c r="A1229" s="23" t="s">
        <v>2926</v>
      </c>
      <c r="B1229" s="38">
        <v>46288</v>
      </c>
      <c r="C1229" s="23" t="s">
        <v>2927</v>
      </c>
      <c r="D1229" s="23" t="s">
        <v>95</v>
      </c>
      <c r="E1229" s="23" t="s">
        <v>75</v>
      </c>
      <c r="F1229" s="23" t="s">
        <v>717</v>
      </c>
      <c r="G1229" s="23" t="s">
        <v>250</v>
      </c>
      <c r="H1229" s="39">
        <f t="shared" si="76"/>
        <v>5298</v>
      </c>
      <c r="I1229" s="23" t="str">
        <f t="shared" si="77"/>
        <v>Bengaluru</v>
      </c>
      <c r="J1229" s="23">
        <f>COUNTIFS(pg_transaction_cleaned!$O:$O,A1229,pg_transaction_cleaned!$F:$F,"CAPTURE")</f>
        <v>1</v>
      </c>
      <c r="K1229" s="39">
        <f>SUMIFS(pg_transaction_cleaned!$H:$H,pg_transaction_cleaned!$O:$O,A1229,pg_transaction_cleaned!$F:$F,"CAPTURE")</f>
        <v>5298</v>
      </c>
      <c r="L1229" s="23">
        <f>COUNTIFS(pg_transaction_cleaned!$O:$O,A1229,pg_transaction_cleaned!$F:$F,"REFUND")</f>
        <v>0</v>
      </c>
      <c r="M1229" s="39">
        <f>SUMIFS(pg_transaction_cleaned!$H:$H,pg_transaction_cleaned!$O:$O,A1229,pg_transaction_cleaned!$F:$F,"REFUND")</f>
        <v>0</v>
      </c>
      <c r="N1229" s="23" t="str">
        <f t="shared" si="78"/>
        <v>OK</v>
      </c>
      <c r="O1229" s="24">
        <f t="shared" si="79"/>
        <v>0</v>
      </c>
    </row>
    <row r="1230" spans="1:15" ht="15" customHeight="1" x14ac:dyDescent="0.3">
      <c r="A1230" s="23" t="s">
        <v>2928</v>
      </c>
      <c r="B1230" s="38">
        <v>46292</v>
      </c>
      <c r="C1230" s="23" t="s">
        <v>2929</v>
      </c>
      <c r="D1230" s="23" t="s">
        <v>91</v>
      </c>
      <c r="E1230" s="23" t="s">
        <v>79</v>
      </c>
      <c r="F1230" s="23" t="s">
        <v>315</v>
      </c>
      <c r="G1230" s="23" t="s">
        <v>250</v>
      </c>
      <c r="H1230" s="39">
        <f t="shared" si="76"/>
        <v>1499</v>
      </c>
      <c r="I1230" s="23" t="str">
        <f t="shared" si="77"/>
        <v>Pune</v>
      </c>
      <c r="J1230" s="23">
        <f>COUNTIFS(pg_transaction_cleaned!$O:$O,A1230,pg_transaction_cleaned!$F:$F,"CAPTURE")</f>
        <v>1</v>
      </c>
      <c r="K1230" s="39">
        <f>SUMIFS(pg_transaction_cleaned!$H:$H,pg_transaction_cleaned!$O:$O,A1230,pg_transaction_cleaned!$F:$F,"CAPTURE")</f>
        <v>1499</v>
      </c>
      <c r="L1230" s="23">
        <f>COUNTIFS(pg_transaction_cleaned!$O:$O,A1230,pg_transaction_cleaned!$F:$F,"REFUND")</f>
        <v>0</v>
      </c>
      <c r="M1230" s="39">
        <f>SUMIFS(pg_transaction_cleaned!$H:$H,pg_transaction_cleaned!$O:$O,A1230,pg_transaction_cleaned!$F:$F,"REFUND")</f>
        <v>0</v>
      </c>
      <c r="N1230" s="23" t="str">
        <f t="shared" si="78"/>
        <v>OK</v>
      </c>
      <c r="O1230" s="24">
        <f t="shared" si="79"/>
        <v>0</v>
      </c>
    </row>
    <row r="1231" spans="1:15" ht="15" customHeight="1" x14ac:dyDescent="0.3">
      <c r="A1231" s="23" t="s">
        <v>2930</v>
      </c>
      <c r="B1231" s="38">
        <v>46268</v>
      </c>
      <c r="C1231" s="23" t="s">
        <v>2931</v>
      </c>
      <c r="D1231" s="23" t="s">
        <v>91</v>
      </c>
      <c r="E1231" s="23" t="s">
        <v>75</v>
      </c>
      <c r="F1231" s="23" t="s">
        <v>268</v>
      </c>
      <c r="G1231" s="23" t="s">
        <v>365</v>
      </c>
      <c r="H1231" s="39">
        <f t="shared" si="76"/>
        <v>1299</v>
      </c>
      <c r="I1231" s="23" t="str">
        <f t="shared" si="77"/>
        <v>Pune</v>
      </c>
      <c r="J1231" s="23">
        <f>COUNTIFS(pg_transaction_cleaned!$O:$O,A1231,pg_transaction_cleaned!$F:$F,"CAPTURE")</f>
        <v>0</v>
      </c>
      <c r="K1231" s="39">
        <f>SUMIFS(pg_transaction_cleaned!$H:$H,pg_transaction_cleaned!$O:$O,A1231,pg_transaction_cleaned!$F:$F,"CAPTURE")</f>
        <v>0</v>
      </c>
      <c r="L1231" s="23">
        <f>COUNTIFS(pg_transaction_cleaned!$O:$O,A1231,pg_transaction_cleaned!$F:$F,"REFUND")</f>
        <v>0</v>
      </c>
      <c r="M1231" s="39">
        <f>SUMIFS(pg_transaction_cleaned!$H:$H,pg_transaction_cleaned!$O:$O,A1231,pg_transaction_cleaned!$F:$F,"REFUND")</f>
        <v>0</v>
      </c>
      <c r="N1231" s="23" t="str">
        <f t="shared" si="78"/>
        <v>OK</v>
      </c>
      <c r="O1231" s="24">
        <f t="shared" si="79"/>
        <v>0</v>
      </c>
    </row>
    <row r="1232" spans="1:15" ht="15" customHeight="1" x14ac:dyDescent="0.3">
      <c r="A1232" s="23" t="s">
        <v>2932</v>
      </c>
      <c r="B1232" s="38">
        <v>46277</v>
      </c>
      <c r="C1232" s="23" t="s">
        <v>2933</v>
      </c>
      <c r="D1232" s="23"/>
      <c r="E1232" s="23" t="s">
        <v>79</v>
      </c>
      <c r="F1232" s="23" t="s">
        <v>647</v>
      </c>
      <c r="G1232" s="23" t="s">
        <v>250</v>
      </c>
      <c r="H1232" s="39">
        <f t="shared" si="76"/>
        <v>5597</v>
      </c>
      <c r="I1232" s="23" t="str">
        <f t="shared" si="77"/>
        <v>Unknown</v>
      </c>
      <c r="J1232" s="23">
        <f>COUNTIFS(pg_transaction_cleaned!$O:$O,A1232,pg_transaction_cleaned!$F:$F,"CAPTURE")</f>
        <v>1</v>
      </c>
      <c r="K1232" s="39">
        <f>SUMIFS(pg_transaction_cleaned!$H:$H,pg_transaction_cleaned!$O:$O,A1232,pg_transaction_cleaned!$F:$F,"CAPTURE")</f>
        <v>5597</v>
      </c>
      <c r="L1232" s="23">
        <f>COUNTIFS(pg_transaction_cleaned!$O:$O,A1232,pg_transaction_cleaned!$F:$F,"REFUND")</f>
        <v>0</v>
      </c>
      <c r="M1232" s="39">
        <f>SUMIFS(pg_transaction_cleaned!$H:$H,pg_transaction_cleaned!$O:$O,A1232,pg_transaction_cleaned!$F:$F,"REFUND")</f>
        <v>0</v>
      </c>
      <c r="N1232" s="23" t="str">
        <f t="shared" si="78"/>
        <v>OK</v>
      </c>
      <c r="O1232" s="24">
        <f t="shared" si="79"/>
        <v>0</v>
      </c>
    </row>
    <row r="1233" spans="1:15" ht="15" customHeight="1" x14ac:dyDescent="0.3">
      <c r="A1233" s="23" t="s">
        <v>2934</v>
      </c>
      <c r="B1233" s="38">
        <v>46281</v>
      </c>
      <c r="C1233" s="23" t="s">
        <v>2935</v>
      </c>
      <c r="D1233" s="23" t="s">
        <v>86</v>
      </c>
      <c r="E1233" s="23" t="s">
        <v>75</v>
      </c>
      <c r="F1233" s="23" t="s">
        <v>1448</v>
      </c>
      <c r="G1233" s="23" t="s">
        <v>318</v>
      </c>
      <c r="H1233" s="39">
        <f t="shared" si="76"/>
        <v>6297</v>
      </c>
      <c r="I1233" s="23" t="str">
        <f t="shared" si="77"/>
        <v>Delhi</v>
      </c>
      <c r="J1233" s="23">
        <f>COUNTIFS(pg_transaction_cleaned!$O:$O,A1233,pg_transaction_cleaned!$F:$F,"CAPTURE")</f>
        <v>0</v>
      </c>
      <c r="K1233" s="39">
        <f>SUMIFS(pg_transaction_cleaned!$H:$H,pg_transaction_cleaned!$O:$O,A1233,pg_transaction_cleaned!$F:$F,"CAPTURE")</f>
        <v>0</v>
      </c>
      <c r="L1233" s="23">
        <f>COUNTIFS(pg_transaction_cleaned!$O:$O,A1233,pg_transaction_cleaned!$F:$F,"REFUND")</f>
        <v>0</v>
      </c>
      <c r="M1233" s="39">
        <f>SUMIFS(pg_transaction_cleaned!$H:$H,pg_transaction_cleaned!$O:$O,A1233,pg_transaction_cleaned!$F:$F,"REFUND")</f>
        <v>0</v>
      </c>
      <c r="N1233" s="23" t="str">
        <f t="shared" si="78"/>
        <v>OK</v>
      </c>
      <c r="O1233" s="24">
        <f t="shared" si="79"/>
        <v>0</v>
      </c>
    </row>
    <row r="1234" spans="1:15" ht="15" customHeight="1" x14ac:dyDescent="0.3">
      <c r="A1234" s="23" t="s">
        <v>2936</v>
      </c>
      <c r="B1234" s="38">
        <v>46270</v>
      </c>
      <c r="C1234" s="23" t="s">
        <v>2937</v>
      </c>
      <c r="D1234" s="23" t="s">
        <v>89</v>
      </c>
      <c r="E1234" s="23" t="s">
        <v>75</v>
      </c>
      <c r="F1234" s="23" t="s">
        <v>460</v>
      </c>
      <c r="G1234" s="23" t="s">
        <v>250</v>
      </c>
      <c r="H1234" s="39">
        <f t="shared" si="76"/>
        <v>1998</v>
      </c>
      <c r="I1234" s="23" t="str">
        <f t="shared" si="77"/>
        <v>Jaipur</v>
      </c>
      <c r="J1234" s="23">
        <f>COUNTIFS(pg_transaction_cleaned!$O:$O,A1234,pg_transaction_cleaned!$F:$F,"CAPTURE")</f>
        <v>1</v>
      </c>
      <c r="K1234" s="39">
        <f>SUMIFS(pg_transaction_cleaned!$H:$H,pg_transaction_cleaned!$O:$O,A1234,pg_transaction_cleaned!$F:$F,"CAPTURE")</f>
        <v>1998</v>
      </c>
      <c r="L1234" s="23">
        <f>COUNTIFS(pg_transaction_cleaned!$O:$O,A1234,pg_transaction_cleaned!$F:$F,"REFUND")</f>
        <v>0</v>
      </c>
      <c r="M1234" s="39">
        <f>SUMIFS(pg_transaction_cleaned!$H:$H,pg_transaction_cleaned!$O:$O,A1234,pg_transaction_cleaned!$F:$F,"REFUND")</f>
        <v>0</v>
      </c>
      <c r="N1234" s="23" t="str">
        <f t="shared" si="78"/>
        <v>OK</v>
      </c>
      <c r="O1234" s="24">
        <f t="shared" si="79"/>
        <v>0</v>
      </c>
    </row>
    <row r="1235" spans="1:15" ht="15" customHeight="1" x14ac:dyDescent="0.3">
      <c r="A1235" s="23" t="s">
        <v>2938</v>
      </c>
      <c r="B1235" s="38">
        <v>46269</v>
      </c>
      <c r="C1235" s="23" t="s">
        <v>2939</v>
      </c>
      <c r="D1235" s="23" t="s">
        <v>94</v>
      </c>
      <c r="E1235" s="23" t="s">
        <v>75</v>
      </c>
      <c r="F1235" s="23" t="s">
        <v>1038</v>
      </c>
      <c r="G1235" s="23" t="s">
        <v>250</v>
      </c>
      <c r="H1235" s="39">
        <f t="shared" si="76"/>
        <v>3597</v>
      </c>
      <c r="I1235" s="23" t="str">
        <f t="shared" si="77"/>
        <v>Chennai</v>
      </c>
      <c r="J1235" s="23">
        <f>COUNTIFS(pg_transaction_cleaned!$O:$O,A1235,pg_transaction_cleaned!$F:$F,"CAPTURE")</f>
        <v>1</v>
      </c>
      <c r="K1235" s="39">
        <f>SUMIFS(pg_transaction_cleaned!$H:$H,pg_transaction_cleaned!$O:$O,A1235,pg_transaction_cleaned!$F:$F,"CAPTURE")</f>
        <v>3597</v>
      </c>
      <c r="L1235" s="23">
        <f>COUNTIFS(pg_transaction_cleaned!$O:$O,A1235,pg_transaction_cleaned!$F:$F,"REFUND")</f>
        <v>0</v>
      </c>
      <c r="M1235" s="39">
        <f>SUMIFS(pg_transaction_cleaned!$H:$H,pg_transaction_cleaned!$O:$O,A1235,pg_transaction_cleaned!$F:$F,"REFUND")</f>
        <v>0</v>
      </c>
      <c r="N1235" s="23" t="str">
        <f t="shared" si="78"/>
        <v>OK</v>
      </c>
      <c r="O1235" s="24">
        <f t="shared" si="79"/>
        <v>0</v>
      </c>
    </row>
    <row r="1236" spans="1:15" ht="15" customHeight="1" x14ac:dyDescent="0.3">
      <c r="A1236" s="23" t="s">
        <v>2940</v>
      </c>
      <c r="B1236" s="38">
        <v>46295</v>
      </c>
      <c r="C1236" s="23" t="s">
        <v>2941</v>
      </c>
      <c r="D1236" s="23" t="s">
        <v>88</v>
      </c>
      <c r="E1236" s="23" t="s">
        <v>75</v>
      </c>
      <c r="F1236" s="23" t="s">
        <v>271</v>
      </c>
      <c r="G1236" s="23" t="s">
        <v>250</v>
      </c>
      <c r="H1236" s="39">
        <f t="shared" si="76"/>
        <v>2499</v>
      </c>
      <c r="I1236" s="23" t="str">
        <f t="shared" si="77"/>
        <v>Lucknow</v>
      </c>
      <c r="J1236" s="23">
        <f>COUNTIFS(pg_transaction_cleaned!$O:$O,A1236,pg_transaction_cleaned!$F:$F,"CAPTURE")</f>
        <v>1</v>
      </c>
      <c r="K1236" s="39">
        <f>SUMIFS(pg_transaction_cleaned!$H:$H,pg_transaction_cleaned!$O:$O,A1236,pg_transaction_cleaned!$F:$F,"CAPTURE")</f>
        <v>2499</v>
      </c>
      <c r="L1236" s="23">
        <f>COUNTIFS(pg_transaction_cleaned!$O:$O,A1236,pg_transaction_cleaned!$F:$F,"REFUND")</f>
        <v>0</v>
      </c>
      <c r="M1236" s="39">
        <f>SUMIFS(pg_transaction_cleaned!$H:$H,pg_transaction_cleaned!$O:$O,A1236,pg_transaction_cleaned!$F:$F,"REFUND")</f>
        <v>0</v>
      </c>
      <c r="N1236" s="23" t="str">
        <f t="shared" si="78"/>
        <v>OK</v>
      </c>
      <c r="O1236" s="24">
        <f t="shared" si="79"/>
        <v>0</v>
      </c>
    </row>
    <row r="1237" spans="1:15" ht="15" customHeight="1" x14ac:dyDescent="0.3">
      <c r="A1237" s="23" t="s">
        <v>2942</v>
      </c>
      <c r="B1237" s="38">
        <v>46275</v>
      </c>
      <c r="C1237" s="23" t="s">
        <v>2943</v>
      </c>
      <c r="D1237" s="23" t="s">
        <v>92</v>
      </c>
      <c r="E1237" s="23" t="s">
        <v>75</v>
      </c>
      <c r="F1237" s="23" t="s">
        <v>294</v>
      </c>
      <c r="G1237" s="23" t="s">
        <v>250</v>
      </c>
      <c r="H1237" s="39">
        <f t="shared" si="76"/>
        <v>1799</v>
      </c>
      <c r="I1237" s="23" t="str">
        <f t="shared" si="77"/>
        <v>Hyderabad</v>
      </c>
      <c r="J1237" s="23">
        <f>COUNTIFS(pg_transaction_cleaned!$O:$O,A1237,pg_transaction_cleaned!$F:$F,"CAPTURE")</f>
        <v>1</v>
      </c>
      <c r="K1237" s="39">
        <f>SUMIFS(pg_transaction_cleaned!$H:$H,pg_transaction_cleaned!$O:$O,A1237,pg_transaction_cleaned!$F:$F,"CAPTURE")</f>
        <v>1799</v>
      </c>
      <c r="L1237" s="23">
        <f>COUNTIFS(pg_transaction_cleaned!$O:$O,A1237,pg_transaction_cleaned!$F:$F,"REFUND")</f>
        <v>0</v>
      </c>
      <c r="M1237" s="39">
        <f>SUMIFS(pg_transaction_cleaned!$H:$H,pg_transaction_cleaned!$O:$O,A1237,pg_transaction_cleaned!$F:$F,"REFUND")</f>
        <v>0</v>
      </c>
      <c r="N1237" s="23" t="str">
        <f t="shared" si="78"/>
        <v>OK</v>
      </c>
      <c r="O1237" s="24">
        <f t="shared" si="79"/>
        <v>0</v>
      </c>
    </row>
    <row r="1238" spans="1:15" ht="15" customHeight="1" x14ac:dyDescent="0.3">
      <c r="A1238" s="23" t="s">
        <v>2944</v>
      </c>
      <c r="B1238" s="38">
        <v>46275</v>
      </c>
      <c r="C1238" s="23" t="s">
        <v>2945</v>
      </c>
      <c r="D1238" s="23" t="s">
        <v>87</v>
      </c>
      <c r="E1238" s="23" t="s">
        <v>79</v>
      </c>
      <c r="F1238" s="23" t="s">
        <v>717</v>
      </c>
      <c r="G1238" s="23" t="s">
        <v>250</v>
      </c>
      <c r="H1238" s="39">
        <f t="shared" si="76"/>
        <v>5298</v>
      </c>
      <c r="I1238" s="23" t="str">
        <f t="shared" si="77"/>
        <v>Mumbai</v>
      </c>
      <c r="J1238" s="23">
        <f>COUNTIFS(pg_transaction_cleaned!$O:$O,A1238,pg_transaction_cleaned!$F:$F,"CAPTURE")</f>
        <v>1</v>
      </c>
      <c r="K1238" s="39">
        <f>SUMIFS(pg_transaction_cleaned!$H:$H,pg_transaction_cleaned!$O:$O,A1238,pg_transaction_cleaned!$F:$F,"CAPTURE")</f>
        <v>5298</v>
      </c>
      <c r="L1238" s="23">
        <f>COUNTIFS(pg_transaction_cleaned!$O:$O,A1238,pg_transaction_cleaned!$F:$F,"REFUND")</f>
        <v>0</v>
      </c>
      <c r="M1238" s="39">
        <f>SUMIFS(pg_transaction_cleaned!$H:$H,pg_transaction_cleaned!$O:$O,A1238,pg_transaction_cleaned!$F:$F,"REFUND")</f>
        <v>0</v>
      </c>
      <c r="N1238" s="23" t="str">
        <f t="shared" si="78"/>
        <v>OK</v>
      </c>
      <c r="O1238" s="24">
        <f t="shared" si="79"/>
        <v>0</v>
      </c>
    </row>
    <row r="1239" spans="1:15" ht="15" customHeight="1" x14ac:dyDescent="0.3">
      <c r="A1239" s="23" t="s">
        <v>2946</v>
      </c>
      <c r="B1239" s="38">
        <v>46295</v>
      </c>
      <c r="C1239" s="23" t="s">
        <v>2947</v>
      </c>
      <c r="D1239" s="23" t="s">
        <v>87</v>
      </c>
      <c r="E1239" s="23" t="s">
        <v>81</v>
      </c>
      <c r="F1239" s="23" t="s">
        <v>475</v>
      </c>
      <c r="G1239" s="23" t="s">
        <v>250</v>
      </c>
      <c r="H1239" s="39">
        <f t="shared" si="76"/>
        <v>799</v>
      </c>
      <c r="I1239" s="23" t="str">
        <f t="shared" si="77"/>
        <v>Mumbai</v>
      </c>
      <c r="J1239" s="23">
        <f>COUNTIFS(pg_transaction_cleaned!$O:$O,A1239,pg_transaction_cleaned!$F:$F,"CAPTURE")</f>
        <v>1</v>
      </c>
      <c r="K1239" s="39">
        <f>SUMIFS(pg_transaction_cleaned!$H:$H,pg_transaction_cleaned!$O:$O,A1239,pg_transaction_cleaned!$F:$F,"CAPTURE")</f>
        <v>799</v>
      </c>
      <c r="L1239" s="23">
        <f>COUNTIFS(pg_transaction_cleaned!$O:$O,A1239,pg_transaction_cleaned!$F:$F,"REFUND")</f>
        <v>0</v>
      </c>
      <c r="M1239" s="39">
        <f>SUMIFS(pg_transaction_cleaned!$H:$H,pg_transaction_cleaned!$O:$O,A1239,pg_transaction_cleaned!$F:$F,"REFUND")</f>
        <v>0</v>
      </c>
      <c r="N1239" s="23" t="str">
        <f t="shared" si="78"/>
        <v>OK</v>
      </c>
      <c r="O1239" s="24">
        <f t="shared" si="79"/>
        <v>0</v>
      </c>
    </row>
    <row r="1240" spans="1:15" ht="15" customHeight="1" x14ac:dyDescent="0.3">
      <c r="A1240" s="23" t="s">
        <v>2948</v>
      </c>
      <c r="B1240" s="38">
        <v>46269</v>
      </c>
      <c r="C1240" s="23" t="s">
        <v>2949</v>
      </c>
      <c r="D1240" s="23" t="s">
        <v>92</v>
      </c>
      <c r="E1240" s="23" t="s">
        <v>75</v>
      </c>
      <c r="F1240" s="23" t="s">
        <v>754</v>
      </c>
      <c r="G1240" s="23" t="s">
        <v>250</v>
      </c>
      <c r="H1240" s="39">
        <f t="shared" si="76"/>
        <v>1348</v>
      </c>
      <c r="I1240" s="23" t="str">
        <f t="shared" si="77"/>
        <v>Hyderabad</v>
      </c>
      <c r="J1240" s="23">
        <f>COUNTIFS(pg_transaction_cleaned!$O:$O,A1240,pg_transaction_cleaned!$F:$F,"CAPTURE")</f>
        <v>1</v>
      </c>
      <c r="K1240" s="39">
        <f>SUMIFS(pg_transaction_cleaned!$H:$H,pg_transaction_cleaned!$O:$O,A1240,pg_transaction_cleaned!$F:$F,"CAPTURE")</f>
        <v>1348</v>
      </c>
      <c r="L1240" s="23">
        <f>COUNTIFS(pg_transaction_cleaned!$O:$O,A1240,pg_transaction_cleaned!$F:$F,"REFUND")</f>
        <v>0</v>
      </c>
      <c r="M1240" s="39">
        <f>SUMIFS(pg_transaction_cleaned!$H:$H,pg_transaction_cleaned!$O:$O,A1240,pg_transaction_cleaned!$F:$F,"REFUND")</f>
        <v>0</v>
      </c>
      <c r="N1240" s="23" t="str">
        <f t="shared" si="78"/>
        <v>OK</v>
      </c>
      <c r="O1240" s="24">
        <f t="shared" si="79"/>
        <v>0</v>
      </c>
    </row>
    <row r="1241" spans="1:15" ht="15" customHeight="1" x14ac:dyDescent="0.3">
      <c r="A1241" s="23" t="s">
        <v>2950</v>
      </c>
      <c r="B1241" s="38">
        <v>46284</v>
      </c>
      <c r="C1241" s="23" t="s">
        <v>2951</v>
      </c>
      <c r="D1241" s="23" t="s">
        <v>86</v>
      </c>
      <c r="E1241" s="23" t="s">
        <v>81</v>
      </c>
      <c r="F1241" s="23" t="s">
        <v>499</v>
      </c>
      <c r="G1241" s="23" t="s">
        <v>250</v>
      </c>
      <c r="H1241" s="39">
        <f t="shared" si="76"/>
        <v>5998</v>
      </c>
      <c r="I1241" s="23" t="str">
        <f t="shared" si="77"/>
        <v>Delhi</v>
      </c>
      <c r="J1241" s="23">
        <f>COUNTIFS(pg_transaction_cleaned!$O:$O,A1241,pg_transaction_cleaned!$F:$F,"CAPTURE")</f>
        <v>1</v>
      </c>
      <c r="K1241" s="39">
        <f>SUMIFS(pg_transaction_cleaned!$H:$H,pg_transaction_cleaned!$O:$O,A1241,pg_transaction_cleaned!$F:$F,"CAPTURE")</f>
        <v>5998</v>
      </c>
      <c r="L1241" s="23">
        <f>COUNTIFS(pg_transaction_cleaned!$O:$O,A1241,pg_transaction_cleaned!$F:$F,"REFUND")</f>
        <v>0</v>
      </c>
      <c r="M1241" s="39">
        <f>SUMIFS(pg_transaction_cleaned!$H:$H,pg_transaction_cleaned!$O:$O,A1241,pg_transaction_cleaned!$F:$F,"REFUND")</f>
        <v>0</v>
      </c>
      <c r="N1241" s="23" t="str">
        <f t="shared" si="78"/>
        <v>OK</v>
      </c>
      <c r="O1241" s="24">
        <f t="shared" si="79"/>
        <v>0</v>
      </c>
    </row>
    <row r="1242" spans="1:15" ht="15" customHeight="1" x14ac:dyDescent="0.3">
      <c r="A1242" s="23" t="s">
        <v>2952</v>
      </c>
      <c r="B1242" s="38">
        <v>46290</v>
      </c>
      <c r="C1242" s="23" t="s">
        <v>2953</v>
      </c>
      <c r="D1242" s="23"/>
      <c r="E1242" s="23" t="s">
        <v>79</v>
      </c>
      <c r="F1242" s="23" t="s">
        <v>2954</v>
      </c>
      <c r="G1242" s="23" t="s">
        <v>250</v>
      </c>
      <c r="H1242" s="39">
        <f t="shared" si="76"/>
        <v>1799</v>
      </c>
      <c r="I1242" s="23" t="str">
        <f t="shared" si="77"/>
        <v>Unknown</v>
      </c>
      <c r="J1242" s="23">
        <f>COUNTIFS(pg_transaction_cleaned!$O:$O,A1242,pg_transaction_cleaned!$F:$F,"CAPTURE")</f>
        <v>1</v>
      </c>
      <c r="K1242" s="39">
        <f>SUMIFS(pg_transaction_cleaned!$H:$H,pg_transaction_cleaned!$O:$O,A1242,pg_transaction_cleaned!$F:$F,"CAPTURE")</f>
        <v>1799</v>
      </c>
      <c r="L1242" s="23">
        <f>COUNTIFS(pg_transaction_cleaned!$O:$O,A1242,pg_transaction_cleaned!$F:$F,"REFUND")</f>
        <v>0</v>
      </c>
      <c r="M1242" s="39">
        <f>SUMIFS(pg_transaction_cleaned!$H:$H,pg_transaction_cleaned!$O:$O,A1242,pg_transaction_cleaned!$F:$F,"REFUND")</f>
        <v>0</v>
      </c>
      <c r="N1242" s="23" t="str">
        <f t="shared" si="78"/>
        <v>OK</v>
      </c>
      <c r="O1242" s="24">
        <f t="shared" si="79"/>
        <v>0</v>
      </c>
    </row>
    <row r="1243" spans="1:15" ht="15" customHeight="1" x14ac:dyDescent="0.3">
      <c r="A1243" s="23" t="s">
        <v>2955</v>
      </c>
      <c r="B1243" s="38">
        <v>46270</v>
      </c>
      <c r="C1243" s="23" t="s">
        <v>2956</v>
      </c>
      <c r="D1243" s="23" t="s">
        <v>95</v>
      </c>
      <c r="E1243" s="23" t="s">
        <v>79</v>
      </c>
      <c r="F1243" s="23" t="s">
        <v>1647</v>
      </c>
      <c r="G1243" s="23" t="s">
        <v>250</v>
      </c>
      <c r="H1243" s="39">
        <f t="shared" si="76"/>
        <v>6347</v>
      </c>
      <c r="I1243" s="23" t="str">
        <f t="shared" si="77"/>
        <v>Bengaluru</v>
      </c>
      <c r="J1243" s="23">
        <f>COUNTIFS(pg_transaction_cleaned!$O:$O,A1243,pg_transaction_cleaned!$F:$F,"CAPTURE")</f>
        <v>1</v>
      </c>
      <c r="K1243" s="39">
        <f>SUMIFS(pg_transaction_cleaned!$H:$H,pg_transaction_cleaned!$O:$O,A1243,pg_transaction_cleaned!$F:$F,"CAPTURE")</f>
        <v>6347</v>
      </c>
      <c r="L1243" s="23">
        <f>COUNTIFS(pg_transaction_cleaned!$O:$O,A1243,pg_transaction_cleaned!$F:$F,"REFUND")</f>
        <v>0</v>
      </c>
      <c r="M1243" s="39">
        <f>SUMIFS(pg_transaction_cleaned!$H:$H,pg_transaction_cleaned!$O:$O,A1243,pg_transaction_cleaned!$F:$F,"REFUND")</f>
        <v>0</v>
      </c>
      <c r="N1243" s="23" t="str">
        <f t="shared" si="78"/>
        <v>OK</v>
      </c>
      <c r="O1243" s="24">
        <f t="shared" si="79"/>
        <v>0</v>
      </c>
    </row>
    <row r="1244" spans="1:15" ht="15" customHeight="1" x14ac:dyDescent="0.3">
      <c r="A1244" s="23" t="s">
        <v>2957</v>
      </c>
      <c r="B1244" s="38">
        <v>46294</v>
      </c>
      <c r="C1244" s="23" t="s">
        <v>2958</v>
      </c>
      <c r="D1244" s="23" t="s">
        <v>92</v>
      </c>
      <c r="E1244" s="23" t="s">
        <v>79</v>
      </c>
      <c r="F1244" s="23" t="s">
        <v>553</v>
      </c>
      <c r="G1244" s="23" t="s">
        <v>250</v>
      </c>
      <c r="H1244" s="39">
        <f t="shared" si="76"/>
        <v>2798</v>
      </c>
      <c r="I1244" s="23" t="str">
        <f t="shared" si="77"/>
        <v>Hyderabad</v>
      </c>
      <c r="J1244" s="23">
        <f>COUNTIFS(pg_transaction_cleaned!$O:$O,A1244,pg_transaction_cleaned!$F:$F,"CAPTURE")</f>
        <v>1</v>
      </c>
      <c r="K1244" s="39">
        <f>SUMIFS(pg_transaction_cleaned!$H:$H,pg_transaction_cleaned!$O:$O,A1244,pg_transaction_cleaned!$F:$F,"CAPTURE")</f>
        <v>2798</v>
      </c>
      <c r="L1244" s="23">
        <f>COUNTIFS(pg_transaction_cleaned!$O:$O,A1244,pg_transaction_cleaned!$F:$F,"REFUND")</f>
        <v>0</v>
      </c>
      <c r="M1244" s="39">
        <f>SUMIFS(pg_transaction_cleaned!$H:$H,pg_transaction_cleaned!$O:$O,A1244,pg_transaction_cleaned!$F:$F,"REFUND")</f>
        <v>0</v>
      </c>
      <c r="N1244" s="23" t="str">
        <f t="shared" si="78"/>
        <v>OK</v>
      </c>
      <c r="O1244" s="24">
        <f t="shared" si="79"/>
        <v>0</v>
      </c>
    </row>
    <row r="1245" spans="1:15" ht="15" customHeight="1" x14ac:dyDescent="0.3">
      <c r="A1245" s="23" t="s">
        <v>2959</v>
      </c>
      <c r="B1245" s="38">
        <v>46286</v>
      </c>
      <c r="C1245" s="23" t="s">
        <v>2960</v>
      </c>
      <c r="D1245" s="23" t="s">
        <v>92</v>
      </c>
      <c r="E1245" s="23" t="s">
        <v>75</v>
      </c>
      <c r="F1245" s="23" t="s">
        <v>310</v>
      </c>
      <c r="G1245" s="23" t="s">
        <v>250</v>
      </c>
      <c r="H1245" s="39">
        <f t="shared" si="76"/>
        <v>7999</v>
      </c>
      <c r="I1245" s="23" t="str">
        <f t="shared" si="77"/>
        <v>Hyderabad</v>
      </c>
      <c r="J1245" s="23">
        <f>COUNTIFS(pg_transaction_cleaned!$O:$O,A1245,pg_transaction_cleaned!$F:$F,"CAPTURE")</f>
        <v>1</v>
      </c>
      <c r="K1245" s="39">
        <f>SUMIFS(pg_transaction_cleaned!$H:$H,pg_transaction_cleaned!$O:$O,A1245,pg_transaction_cleaned!$F:$F,"CAPTURE")</f>
        <v>7999</v>
      </c>
      <c r="L1245" s="23">
        <f>COUNTIFS(pg_transaction_cleaned!$O:$O,A1245,pg_transaction_cleaned!$F:$F,"REFUND")</f>
        <v>0</v>
      </c>
      <c r="M1245" s="39">
        <f>SUMIFS(pg_transaction_cleaned!$H:$H,pg_transaction_cleaned!$O:$O,A1245,pg_transaction_cleaned!$F:$F,"REFUND")</f>
        <v>0</v>
      </c>
      <c r="N1245" s="23" t="str">
        <f t="shared" si="78"/>
        <v>OK</v>
      </c>
      <c r="O1245" s="24">
        <f t="shared" si="79"/>
        <v>0</v>
      </c>
    </row>
    <row r="1246" spans="1:15" ht="15" customHeight="1" x14ac:dyDescent="0.3">
      <c r="A1246" s="23" t="s">
        <v>2961</v>
      </c>
      <c r="B1246" s="38">
        <v>46283</v>
      </c>
      <c r="C1246" s="23" t="s">
        <v>2962</v>
      </c>
      <c r="D1246" s="23" t="s">
        <v>88</v>
      </c>
      <c r="E1246" s="23" t="s">
        <v>77</v>
      </c>
      <c r="F1246" s="23" t="s">
        <v>2963</v>
      </c>
      <c r="G1246" s="23" t="s">
        <v>250</v>
      </c>
      <c r="H1246" s="39">
        <f t="shared" si="76"/>
        <v>5147</v>
      </c>
      <c r="I1246" s="23" t="str">
        <f t="shared" si="77"/>
        <v>Lucknow</v>
      </c>
      <c r="J1246" s="23">
        <f>COUNTIFS(pg_transaction_cleaned!$O:$O,A1246,pg_transaction_cleaned!$F:$F,"CAPTURE")</f>
        <v>1</v>
      </c>
      <c r="K1246" s="39">
        <f>SUMIFS(pg_transaction_cleaned!$H:$H,pg_transaction_cleaned!$O:$O,A1246,pg_transaction_cleaned!$F:$F,"CAPTURE")</f>
        <v>5147</v>
      </c>
      <c r="L1246" s="23">
        <f>COUNTIFS(pg_transaction_cleaned!$O:$O,A1246,pg_transaction_cleaned!$F:$F,"REFUND")</f>
        <v>0</v>
      </c>
      <c r="M1246" s="39">
        <f>SUMIFS(pg_transaction_cleaned!$H:$H,pg_transaction_cleaned!$O:$O,A1246,pg_transaction_cleaned!$F:$F,"REFUND")</f>
        <v>0</v>
      </c>
      <c r="N1246" s="23" t="str">
        <f t="shared" si="78"/>
        <v>OK</v>
      </c>
      <c r="O1246" s="24">
        <f t="shared" si="79"/>
        <v>0</v>
      </c>
    </row>
    <row r="1247" spans="1:15" ht="15" customHeight="1" x14ac:dyDescent="0.3">
      <c r="A1247" s="23" t="s">
        <v>2964</v>
      </c>
      <c r="B1247" s="38">
        <v>46290</v>
      </c>
      <c r="C1247" s="23" t="s">
        <v>2965</v>
      </c>
      <c r="D1247" s="23" t="s">
        <v>87</v>
      </c>
      <c r="E1247" s="23" t="s">
        <v>79</v>
      </c>
      <c r="F1247" s="23" t="s">
        <v>271</v>
      </c>
      <c r="G1247" s="23" t="s">
        <v>250</v>
      </c>
      <c r="H1247" s="39">
        <f t="shared" si="76"/>
        <v>2499</v>
      </c>
      <c r="I1247" s="23" t="str">
        <f t="shared" si="77"/>
        <v>Mumbai</v>
      </c>
      <c r="J1247" s="23">
        <f>COUNTIFS(pg_transaction_cleaned!$O:$O,A1247,pg_transaction_cleaned!$F:$F,"CAPTURE")</f>
        <v>1</v>
      </c>
      <c r="K1247" s="39">
        <f>SUMIFS(pg_transaction_cleaned!$H:$H,pg_transaction_cleaned!$O:$O,A1247,pg_transaction_cleaned!$F:$F,"CAPTURE")</f>
        <v>2499</v>
      </c>
      <c r="L1247" s="23">
        <f>COUNTIFS(pg_transaction_cleaned!$O:$O,A1247,pg_transaction_cleaned!$F:$F,"REFUND")</f>
        <v>0</v>
      </c>
      <c r="M1247" s="39">
        <f>SUMIFS(pg_transaction_cleaned!$H:$H,pg_transaction_cleaned!$O:$O,A1247,pg_transaction_cleaned!$F:$F,"REFUND")</f>
        <v>0</v>
      </c>
      <c r="N1247" s="23" t="str">
        <f t="shared" si="78"/>
        <v>OK</v>
      </c>
      <c r="O1247" s="24">
        <f t="shared" si="79"/>
        <v>0</v>
      </c>
    </row>
    <row r="1248" spans="1:15" ht="15" customHeight="1" x14ac:dyDescent="0.3">
      <c r="A1248" s="23" t="s">
        <v>2966</v>
      </c>
      <c r="B1248" s="38">
        <v>46269</v>
      </c>
      <c r="C1248" s="23" t="s">
        <v>2967</v>
      </c>
      <c r="D1248" s="23" t="s">
        <v>90</v>
      </c>
      <c r="E1248" s="23" t="s">
        <v>75</v>
      </c>
      <c r="F1248" s="23" t="s">
        <v>1614</v>
      </c>
      <c r="G1248" s="23" t="s">
        <v>250</v>
      </c>
      <c r="H1248" s="39">
        <f t="shared" si="76"/>
        <v>2597</v>
      </c>
      <c r="I1248" s="23" t="str">
        <f t="shared" si="77"/>
        <v>Ahmedabad</v>
      </c>
      <c r="J1248" s="23">
        <f>COUNTIFS(pg_transaction_cleaned!$O:$O,A1248,pg_transaction_cleaned!$F:$F,"CAPTURE")</f>
        <v>1</v>
      </c>
      <c r="K1248" s="39">
        <f>SUMIFS(pg_transaction_cleaned!$H:$H,pg_transaction_cleaned!$O:$O,A1248,pg_transaction_cleaned!$F:$F,"CAPTURE")</f>
        <v>2597</v>
      </c>
      <c r="L1248" s="23">
        <f>COUNTIFS(pg_transaction_cleaned!$O:$O,A1248,pg_transaction_cleaned!$F:$F,"REFUND")</f>
        <v>0</v>
      </c>
      <c r="M1248" s="39">
        <f>SUMIFS(pg_transaction_cleaned!$H:$H,pg_transaction_cleaned!$O:$O,A1248,pg_transaction_cleaned!$F:$F,"REFUND")</f>
        <v>0</v>
      </c>
      <c r="N1248" s="23" t="str">
        <f t="shared" si="78"/>
        <v>OK</v>
      </c>
      <c r="O1248" s="24">
        <f t="shared" si="79"/>
        <v>0</v>
      </c>
    </row>
    <row r="1249" spans="1:15" ht="15" customHeight="1" x14ac:dyDescent="0.3">
      <c r="A1249" s="23" t="s">
        <v>2968</v>
      </c>
      <c r="B1249" s="38">
        <v>46268</v>
      </c>
      <c r="C1249" s="23" t="s">
        <v>2969</v>
      </c>
      <c r="D1249" s="23" t="s">
        <v>94</v>
      </c>
      <c r="E1249" s="23" t="s">
        <v>75</v>
      </c>
      <c r="F1249" s="23" t="s">
        <v>1193</v>
      </c>
      <c r="G1249" s="23" t="s">
        <v>250</v>
      </c>
      <c r="H1249" s="39">
        <f t="shared" si="76"/>
        <v>3498</v>
      </c>
      <c r="I1249" s="23" t="str">
        <f t="shared" si="77"/>
        <v>Chennai</v>
      </c>
      <c r="J1249" s="23">
        <f>COUNTIFS(pg_transaction_cleaned!$O:$O,A1249,pg_transaction_cleaned!$F:$F,"CAPTURE")</f>
        <v>1</v>
      </c>
      <c r="K1249" s="39">
        <f>SUMIFS(pg_transaction_cleaned!$H:$H,pg_transaction_cleaned!$O:$O,A1249,pg_transaction_cleaned!$F:$F,"CAPTURE")</f>
        <v>3498</v>
      </c>
      <c r="L1249" s="23">
        <f>COUNTIFS(pg_transaction_cleaned!$O:$O,A1249,pg_transaction_cleaned!$F:$F,"REFUND")</f>
        <v>0</v>
      </c>
      <c r="M1249" s="39">
        <f>SUMIFS(pg_transaction_cleaned!$H:$H,pg_transaction_cleaned!$O:$O,A1249,pg_transaction_cleaned!$F:$F,"REFUND")</f>
        <v>0</v>
      </c>
      <c r="N1249" s="23" t="str">
        <f t="shared" si="78"/>
        <v>OK</v>
      </c>
      <c r="O1249" s="24">
        <f t="shared" si="79"/>
        <v>0</v>
      </c>
    </row>
    <row r="1250" spans="1:15" ht="15" customHeight="1" x14ac:dyDescent="0.3">
      <c r="A1250" s="23" t="s">
        <v>2970</v>
      </c>
      <c r="B1250" s="38">
        <v>46279</v>
      </c>
      <c r="C1250" s="23" t="s">
        <v>2971</v>
      </c>
      <c r="D1250" s="23" t="s">
        <v>92</v>
      </c>
      <c r="E1250" s="23" t="s">
        <v>75</v>
      </c>
      <c r="F1250" s="23" t="s">
        <v>268</v>
      </c>
      <c r="G1250" s="23" t="s">
        <v>250</v>
      </c>
      <c r="H1250" s="39">
        <f t="shared" si="76"/>
        <v>1299</v>
      </c>
      <c r="I1250" s="23" t="str">
        <f t="shared" si="77"/>
        <v>Hyderabad</v>
      </c>
      <c r="J1250" s="23">
        <f>COUNTIFS(pg_transaction_cleaned!$O:$O,A1250,pg_transaction_cleaned!$F:$F,"CAPTURE")</f>
        <v>1</v>
      </c>
      <c r="K1250" s="39">
        <f>SUMIFS(pg_transaction_cleaned!$H:$H,pg_transaction_cleaned!$O:$O,A1250,pg_transaction_cleaned!$F:$F,"CAPTURE")</f>
        <v>1299</v>
      </c>
      <c r="L1250" s="23">
        <f>COUNTIFS(pg_transaction_cleaned!$O:$O,A1250,pg_transaction_cleaned!$F:$F,"REFUND")</f>
        <v>0</v>
      </c>
      <c r="M1250" s="39">
        <f>SUMIFS(pg_transaction_cleaned!$H:$H,pg_transaction_cleaned!$O:$O,A1250,pg_transaction_cleaned!$F:$F,"REFUND")</f>
        <v>0</v>
      </c>
      <c r="N1250" s="23" t="str">
        <f t="shared" si="78"/>
        <v>OK</v>
      </c>
      <c r="O1250" s="24">
        <f t="shared" si="79"/>
        <v>0</v>
      </c>
    </row>
    <row r="1251" spans="1:15" ht="15" customHeight="1" x14ac:dyDescent="0.3">
      <c r="A1251" s="23" t="s">
        <v>2972</v>
      </c>
      <c r="B1251" s="38">
        <v>46268</v>
      </c>
      <c r="C1251" s="23" t="s">
        <v>2973</v>
      </c>
      <c r="D1251" s="23" t="s">
        <v>92</v>
      </c>
      <c r="E1251" s="23" t="s">
        <v>75</v>
      </c>
      <c r="F1251" s="23" t="s">
        <v>274</v>
      </c>
      <c r="G1251" s="23" t="s">
        <v>250</v>
      </c>
      <c r="H1251" s="39">
        <f t="shared" si="76"/>
        <v>349</v>
      </c>
      <c r="I1251" s="23" t="str">
        <f t="shared" si="77"/>
        <v>Hyderabad</v>
      </c>
      <c r="J1251" s="23">
        <f>COUNTIFS(pg_transaction_cleaned!$O:$O,A1251,pg_transaction_cleaned!$F:$F,"CAPTURE")</f>
        <v>1</v>
      </c>
      <c r="K1251" s="39">
        <f>SUMIFS(pg_transaction_cleaned!$H:$H,pg_transaction_cleaned!$O:$O,A1251,pg_transaction_cleaned!$F:$F,"CAPTURE")</f>
        <v>349</v>
      </c>
      <c r="L1251" s="23">
        <f>COUNTIFS(pg_transaction_cleaned!$O:$O,A1251,pg_transaction_cleaned!$F:$F,"REFUND")</f>
        <v>0</v>
      </c>
      <c r="M1251" s="39">
        <f>SUMIFS(pg_transaction_cleaned!$H:$H,pg_transaction_cleaned!$O:$O,A1251,pg_transaction_cleaned!$F:$F,"REFUND")</f>
        <v>0</v>
      </c>
      <c r="N1251" s="23" t="str">
        <f t="shared" si="78"/>
        <v>OK</v>
      </c>
      <c r="O1251" s="24">
        <f t="shared" si="79"/>
        <v>0</v>
      </c>
    </row>
    <row r="1252" spans="1:15" ht="15" customHeight="1" x14ac:dyDescent="0.3">
      <c r="A1252" s="23" t="s">
        <v>2974</v>
      </c>
      <c r="B1252" s="38">
        <v>46290</v>
      </c>
      <c r="C1252" s="23" t="s">
        <v>2975</v>
      </c>
      <c r="D1252" s="23" t="s">
        <v>87</v>
      </c>
      <c r="E1252" s="23" t="s">
        <v>75</v>
      </c>
      <c r="F1252" s="23" t="s">
        <v>262</v>
      </c>
      <c r="G1252" s="23" t="s">
        <v>250</v>
      </c>
      <c r="H1252" s="39">
        <f t="shared" si="76"/>
        <v>499</v>
      </c>
      <c r="I1252" s="23" t="str">
        <f t="shared" si="77"/>
        <v>Mumbai</v>
      </c>
      <c r="J1252" s="23">
        <f>COUNTIFS(pg_transaction_cleaned!$O:$O,A1252,pg_transaction_cleaned!$F:$F,"CAPTURE")</f>
        <v>1</v>
      </c>
      <c r="K1252" s="39">
        <f>SUMIFS(pg_transaction_cleaned!$H:$H,pg_transaction_cleaned!$O:$O,A1252,pg_transaction_cleaned!$F:$F,"CAPTURE")</f>
        <v>499</v>
      </c>
      <c r="L1252" s="23">
        <f>COUNTIFS(pg_transaction_cleaned!$O:$O,A1252,pg_transaction_cleaned!$F:$F,"REFUND")</f>
        <v>0</v>
      </c>
      <c r="M1252" s="39">
        <f>SUMIFS(pg_transaction_cleaned!$H:$H,pg_transaction_cleaned!$O:$O,A1252,pg_transaction_cleaned!$F:$F,"REFUND")</f>
        <v>0</v>
      </c>
      <c r="N1252" s="23" t="str">
        <f t="shared" si="78"/>
        <v>OK</v>
      </c>
      <c r="O1252" s="24">
        <f t="shared" si="79"/>
        <v>0</v>
      </c>
    </row>
    <row r="1253" spans="1:15" ht="15" customHeight="1" x14ac:dyDescent="0.3">
      <c r="A1253" s="23" t="s">
        <v>2976</v>
      </c>
      <c r="B1253" s="38">
        <v>46285</v>
      </c>
      <c r="C1253" s="23" t="s">
        <v>2977</v>
      </c>
      <c r="D1253" s="23" t="s">
        <v>91</v>
      </c>
      <c r="E1253" s="23" t="s">
        <v>75</v>
      </c>
      <c r="F1253" s="23" t="s">
        <v>262</v>
      </c>
      <c r="G1253" s="23" t="s">
        <v>250</v>
      </c>
      <c r="H1253" s="39">
        <f t="shared" si="76"/>
        <v>499</v>
      </c>
      <c r="I1253" s="23" t="str">
        <f t="shared" si="77"/>
        <v>Pune</v>
      </c>
      <c r="J1253" s="23">
        <f>COUNTIFS(pg_transaction_cleaned!$O:$O,A1253,pg_transaction_cleaned!$F:$F,"CAPTURE")</f>
        <v>1</v>
      </c>
      <c r="K1253" s="39">
        <f>SUMIFS(pg_transaction_cleaned!$H:$H,pg_transaction_cleaned!$O:$O,A1253,pg_transaction_cleaned!$F:$F,"CAPTURE")</f>
        <v>499</v>
      </c>
      <c r="L1253" s="23">
        <f>COUNTIFS(pg_transaction_cleaned!$O:$O,A1253,pg_transaction_cleaned!$F:$F,"REFUND")</f>
        <v>0</v>
      </c>
      <c r="M1253" s="39">
        <f>SUMIFS(pg_transaction_cleaned!$H:$H,pg_transaction_cleaned!$O:$O,A1253,pg_transaction_cleaned!$F:$F,"REFUND")</f>
        <v>0</v>
      </c>
      <c r="N1253" s="23" t="str">
        <f t="shared" si="78"/>
        <v>OK</v>
      </c>
      <c r="O1253" s="24">
        <f t="shared" si="79"/>
        <v>0</v>
      </c>
    </row>
    <row r="1254" spans="1:15" ht="15" customHeight="1" x14ac:dyDescent="0.3">
      <c r="A1254" s="23" t="s">
        <v>2978</v>
      </c>
      <c r="B1254" s="38">
        <v>46276</v>
      </c>
      <c r="C1254" s="23" t="s">
        <v>2979</v>
      </c>
      <c r="D1254" s="23" t="s">
        <v>87</v>
      </c>
      <c r="E1254" s="23" t="s">
        <v>75</v>
      </c>
      <c r="F1254" s="23" t="s">
        <v>268</v>
      </c>
      <c r="G1254" s="23" t="s">
        <v>365</v>
      </c>
      <c r="H1254" s="39">
        <f t="shared" si="76"/>
        <v>1299</v>
      </c>
      <c r="I1254" s="23" t="str">
        <f t="shared" si="77"/>
        <v>Mumbai</v>
      </c>
      <c r="J1254" s="23">
        <f>COUNTIFS(pg_transaction_cleaned!$O:$O,A1254,pg_transaction_cleaned!$F:$F,"CAPTURE")</f>
        <v>0</v>
      </c>
      <c r="K1254" s="39">
        <f>SUMIFS(pg_transaction_cleaned!$H:$H,pg_transaction_cleaned!$O:$O,A1254,pg_transaction_cleaned!$F:$F,"CAPTURE")</f>
        <v>0</v>
      </c>
      <c r="L1254" s="23">
        <f>COUNTIFS(pg_transaction_cleaned!$O:$O,A1254,pg_transaction_cleaned!$F:$F,"REFUND")</f>
        <v>0</v>
      </c>
      <c r="M1254" s="39">
        <f>SUMIFS(pg_transaction_cleaned!$H:$H,pg_transaction_cleaned!$O:$O,A1254,pg_transaction_cleaned!$F:$F,"REFUND")</f>
        <v>0</v>
      </c>
      <c r="N1254" s="23" t="str">
        <f t="shared" si="78"/>
        <v>OK</v>
      </c>
      <c r="O1254" s="24">
        <f t="shared" si="79"/>
        <v>0</v>
      </c>
    </row>
    <row r="1255" spans="1:15" ht="15" customHeight="1" x14ac:dyDescent="0.3">
      <c r="A1255" s="23" t="s">
        <v>2980</v>
      </c>
      <c r="B1255" s="38">
        <v>46272</v>
      </c>
      <c r="C1255" s="23" t="s">
        <v>2981</v>
      </c>
      <c r="D1255" s="23" t="s">
        <v>89</v>
      </c>
      <c r="E1255" s="23" t="s">
        <v>75</v>
      </c>
      <c r="F1255" s="23" t="s">
        <v>297</v>
      </c>
      <c r="G1255" s="23" t="s">
        <v>250</v>
      </c>
      <c r="H1255" s="39">
        <f t="shared" si="76"/>
        <v>4999</v>
      </c>
      <c r="I1255" s="23" t="str">
        <f t="shared" si="77"/>
        <v>Jaipur</v>
      </c>
      <c r="J1255" s="23">
        <f>COUNTIFS(pg_transaction_cleaned!$O:$O,A1255,pg_transaction_cleaned!$F:$F,"CAPTURE")</f>
        <v>1</v>
      </c>
      <c r="K1255" s="39">
        <f>SUMIFS(pg_transaction_cleaned!$H:$H,pg_transaction_cleaned!$O:$O,A1255,pg_transaction_cleaned!$F:$F,"CAPTURE")</f>
        <v>4999</v>
      </c>
      <c r="L1255" s="23">
        <f>COUNTIFS(pg_transaction_cleaned!$O:$O,A1255,pg_transaction_cleaned!$F:$F,"REFUND")</f>
        <v>0</v>
      </c>
      <c r="M1255" s="39">
        <f>SUMIFS(pg_transaction_cleaned!$H:$H,pg_transaction_cleaned!$O:$O,A1255,pg_transaction_cleaned!$F:$F,"REFUND")</f>
        <v>0</v>
      </c>
      <c r="N1255" s="23" t="str">
        <f t="shared" si="78"/>
        <v>OK</v>
      </c>
      <c r="O1255" s="24">
        <f t="shared" si="79"/>
        <v>0</v>
      </c>
    </row>
    <row r="1256" spans="1:15" ht="15" customHeight="1" x14ac:dyDescent="0.3">
      <c r="A1256" s="23" t="s">
        <v>2982</v>
      </c>
      <c r="B1256" s="38">
        <v>46278</v>
      </c>
      <c r="C1256" s="23" t="s">
        <v>2983</v>
      </c>
      <c r="D1256" s="23" t="s">
        <v>91</v>
      </c>
      <c r="E1256" s="23" t="s">
        <v>75</v>
      </c>
      <c r="F1256" s="23" t="s">
        <v>475</v>
      </c>
      <c r="G1256" s="23" t="s">
        <v>250</v>
      </c>
      <c r="H1256" s="39">
        <f t="shared" si="76"/>
        <v>799</v>
      </c>
      <c r="I1256" s="23" t="str">
        <f t="shared" si="77"/>
        <v>Pune</v>
      </c>
      <c r="J1256" s="23">
        <f>COUNTIFS(pg_transaction_cleaned!$O:$O,A1256,pg_transaction_cleaned!$F:$F,"CAPTURE")</f>
        <v>1</v>
      </c>
      <c r="K1256" s="39">
        <f>SUMIFS(pg_transaction_cleaned!$H:$H,pg_transaction_cleaned!$O:$O,A1256,pg_transaction_cleaned!$F:$F,"CAPTURE")</f>
        <v>799</v>
      </c>
      <c r="L1256" s="23">
        <f>COUNTIFS(pg_transaction_cleaned!$O:$O,A1256,pg_transaction_cleaned!$F:$F,"REFUND")</f>
        <v>0</v>
      </c>
      <c r="M1256" s="39">
        <f>SUMIFS(pg_transaction_cleaned!$H:$H,pg_transaction_cleaned!$O:$O,A1256,pg_transaction_cleaned!$F:$F,"REFUND")</f>
        <v>0</v>
      </c>
      <c r="N1256" s="23" t="str">
        <f t="shared" si="78"/>
        <v>OK</v>
      </c>
      <c r="O1256" s="24">
        <f t="shared" si="79"/>
        <v>0</v>
      </c>
    </row>
    <row r="1257" spans="1:15" ht="15" customHeight="1" x14ac:dyDescent="0.3">
      <c r="A1257" s="23" t="s">
        <v>2984</v>
      </c>
      <c r="B1257" s="38">
        <v>46281</v>
      </c>
      <c r="C1257" s="23" t="s">
        <v>2985</v>
      </c>
      <c r="D1257" s="23" t="s">
        <v>92</v>
      </c>
      <c r="E1257" s="23" t="s">
        <v>77</v>
      </c>
      <c r="F1257" s="23" t="s">
        <v>268</v>
      </c>
      <c r="G1257" s="23" t="s">
        <v>250</v>
      </c>
      <c r="H1257" s="39">
        <f t="shared" si="76"/>
        <v>1299</v>
      </c>
      <c r="I1257" s="23" t="str">
        <f t="shared" si="77"/>
        <v>Hyderabad</v>
      </c>
      <c r="J1257" s="23">
        <f>COUNTIFS(pg_transaction_cleaned!$O:$O,A1257,pg_transaction_cleaned!$F:$F,"CAPTURE")</f>
        <v>1</v>
      </c>
      <c r="K1257" s="39">
        <f>SUMIFS(pg_transaction_cleaned!$H:$H,pg_transaction_cleaned!$O:$O,A1257,pg_transaction_cleaned!$F:$F,"CAPTURE")</f>
        <v>1299</v>
      </c>
      <c r="L1257" s="23">
        <f>COUNTIFS(pg_transaction_cleaned!$O:$O,A1257,pg_transaction_cleaned!$F:$F,"REFUND")</f>
        <v>0</v>
      </c>
      <c r="M1257" s="39">
        <f>SUMIFS(pg_transaction_cleaned!$H:$H,pg_transaction_cleaned!$O:$O,A1257,pg_transaction_cleaned!$F:$F,"REFUND")</f>
        <v>0</v>
      </c>
      <c r="N1257" s="23" t="str">
        <f t="shared" si="78"/>
        <v>OK</v>
      </c>
      <c r="O1257" s="24">
        <f t="shared" si="79"/>
        <v>0</v>
      </c>
    </row>
    <row r="1258" spans="1:15" ht="15" customHeight="1" x14ac:dyDescent="0.3">
      <c r="A1258" s="23" t="s">
        <v>2986</v>
      </c>
      <c r="B1258" s="38">
        <v>46283</v>
      </c>
      <c r="C1258" s="23" t="s">
        <v>2987</v>
      </c>
      <c r="D1258" s="23" t="s">
        <v>92</v>
      </c>
      <c r="E1258" s="23" t="s">
        <v>79</v>
      </c>
      <c r="F1258" s="23" t="s">
        <v>429</v>
      </c>
      <c r="G1258" s="23" t="s">
        <v>250</v>
      </c>
      <c r="H1258" s="39">
        <f t="shared" si="76"/>
        <v>3348</v>
      </c>
      <c r="I1258" s="23" t="str">
        <f t="shared" si="77"/>
        <v>Hyderabad</v>
      </c>
      <c r="J1258" s="23">
        <f>COUNTIFS(pg_transaction_cleaned!$O:$O,A1258,pg_transaction_cleaned!$F:$F,"CAPTURE")</f>
        <v>1</v>
      </c>
      <c r="K1258" s="39">
        <f>SUMIFS(pg_transaction_cleaned!$H:$H,pg_transaction_cleaned!$O:$O,A1258,pg_transaction_cleaned!$F:$F,"CAPTURE")</f>
        <v>3348</v>
      </c>
      <c r="L1258" s="23">
        <f>COUNTIFS(pg_transaction_cleaned!$O:$O,A1258,pg_transaction_cleaned!$F:$F,"REFUND")</f>
        <v>0</v>
      </c>
      <c r="M1258" s="39">
        <f>SUMIFS(pg_transaction_cleaned!$H:$H,pg_transaction_cleaned!$O:$O,A1258,pg_transaction_cleaned!$F:$F,"REFUND")</f>
        <v>0</v>
      </c>
      <c r="N1258" s="23" t="str">
        <f t="shared" si="78"/>
        <v>OK</v>
      </c>
      <c r="O1258" s="24">
        <f t="shared" si="79"/>
        <v>0</v>
      </c>
    </row>
    <row r="1259" spans="1:15" ht="15" customHeight="1" x14ac:dyDescent="0.3">
      <c r="A1259" s="23" t="s">
        <v>2988</v>
      </c>
      <c r="B1259" s="38">
        <v>46284</v>
      </c>
      <c r="C1259" s="23" t="s">
        <v>2989</v>
      </c>
      <c r="D1259" s="23" t="s">
        <v>94</v>
      </c>
      <c r="E1259" s="23" t="s">
        <v>75</v>
      </c>
      <c r="F1259" s="23" t="s">
        <v>574</v>
      </c>
      <c r="G1259" s="23" t="s">
        <v>250</v>
      </c>
      <c r="H1259" s="39">
        <f t="shared" si="76"/>
        <v>1848</v>
      </c>
      <c r="I1259" s="23" t="str">
        <f t="shared" si="77"/>
        <v>Chennai</v>
      </c>
      <c r="J1259" s="23">
        <f>COUNTIFS(pg_transaction_cleaned!$O:$O,A1259,pg_transaction_cleaned!$F:$F,"CAPTURE")</f>
        <v>1</v>
      </c>
      <c r="K1259" s="39">
        <f>SUMIFS(pg_transaction_cleaned!$H:$H,pg_transaction_cleaned!$O:$O,A1259,pg_transaction_cleaned!$F:$F,"CAPTURE")</f>
        <v>1848</v>
      </c>
      <c r="L1259" s="23">
        <f>COUNTIFS(pg_transaction_cleaned!$O:$O,A1259,pg_transaction_cleaned!$F:$F,"REFUND")</f>
        <v>0</v>
      </c>
      <c r="M1259" s="39">
        <f>SUMIFS(pg_transaction_cleaned!$H:$H,pg_transaction_cleaned!$O:$O,A1259,pg_transaction_cleaned!$F:$F,"REFUND")</f>
        <v>0</v>
      </c>
      <c r="N1259" s="23" t="str">
        <f t="shared" si="78"/>
        <v>OK</v>
      </c>
      <c r="O1259" s="24">
        <f t="shared" si="79"/>
        <v>0</v>
      </c>
    </row>
    <row r="1260" spans="1:15" ht="15" customHeight="1" x14ac:dyDescent="0.3">
      <c r="A1260" s="23" t="s">
        <v>2990</v>
      </c>
      <c r="B1260" s="38">
        <v>46283</v>
      </c>
      <c r="C1260" s="23" t="s">
        <v>2991</v>
      </c>
      <c r="D1260" s="23" t="s">
        <v>90</v>
      </c>
      <c r="E1260" s="23" t="s">
        <v>77</v>
      </c>
      <c r="F1260" s="23" t="s">
        <v>297</v>
      </c>
      <c r="G1260" s="23" t="s">
        <v>250</v>
      </c>
      <c r="H1260" s="39">
        <f t="shared" si="76"/>
        <v>4999</v>
      </c>
      <c r="I1260" s="23" t="str">
        <f t="shared" si="77"/>
        <v>Ahmedabad</v>
      </c>
      <c r="J1260" s="23">
        <f>COUNTIFS(pg_transaction_cleaned!$O:$O,A1260,pg_transaction_cleaned!$F:$F,"CAPTURE")</f>
        <v>1</v>
      </c>
      <c r="K1260" s="39">
        <f>SUMIFS(pg_transaction_cleaned!$H:$H,pg_transaction_cleaned!$O:$O,A1260,pg_transaction_cleaned!$F:$F,"CAPTURE")</f>
        <v>4999</v>
      </c>
      <c r="L1260" s="23">
        <f>COUNTIFS(pg_transaction_cleaned!$O:$O,A1260,pg_transaction_cleaned!$F:$F,"REFUND")</f>
        <v>0</v>
      </c>
      <c r="M1260" s="39">
        <f>SUMIFS(pg_transaction_cleaned!$H:$H,pg_transaction_cleaned!$O:$O,A1260,pg_transaction_cleaned!$F:$F,"REFUND")</f>
        <v>0</v>
      </c>
      <c r="N1260" s="23" t="str">
        <f t="shared" si="78"/>
        <v>OK</v>
      </c>
      <c r="O1260" s="24">
        <f t="shared" si="79"/>
        <v>0</v>
      </c>
    </row>
    <row r="1261" spans="1:15" ht="15" customHeight="1" x14ac:dyDescent="0.3">
      <c r="A1261" s="23" t="s">
        <v>2992</v>
      </c>
      <c r="B1261" s="38">
        <v>46267</v>
      </c>
      <c r="C1261" s="23" t="s">
        <v>2993</v>
      </c>
      <c r="D1261" s="23" t="s">
        <v>86</v>
      </c>
      <c r="E1261" s="23" t="s">
        <v>81</v>
      </c>
      <c r="F1261" s="23" t="s">
        <v>310</v>
      </c>
      <c r="G1261" s="23" t="s">
        <v>250</v>
      </c>
      <c r="H1261" s="39">
        <f t="shared" si="76"/>
        <v>7999</v>
      </c>
      <c r="I1261" s="23" t="str">
        <f t="shared" si="77"/>
        <v>Delhi</v>
      </c>
      <c r="J1261" s="23">
        <f>COUNTIFS(pg_transaction_cleaned!$O:$O,A1261,pg_transaction_cleaned!$F:$F,"CAPTURE")</f>
        <v>1</v>
      </c>
      <c r="K1261" s="39">
        <f>SUMIFS(pg_transaction_cleaned!$H:$H,pg_transaction_cleaned!$O:$O,A1261,pg_transaction_cleaned!$F:$F,"CAPTURE")</f>
        <v>7999</v>
      </c>
      <c r="L1261" s="23">
        <f>COUNTIFS(pg_transaction_cleaned!$O:$O,A1261,pg_transaction_cleaned!$F:$F,"REFUND")</f>
        <v>0</v>
      </c>
      <c r="M1261" s="39">
        <f>SUMIFS(pg_transaction_cleaned!$H:$H,pg_transaction_cleaned!$O:$O,A1261,pg_transaction_cleaned!$F:$F,"REFUND")</f>
        <v>0</v>
      </c>
      <c r="N1261" s="23" t="str">
        <f t="shared" si="78"/>
        <v>OK</v>
      </c>
      <c r="O1261" s="24">
        <f t="shared" si="79"/>
        <v>0</v>
      </c>
    </row>
    <row r="1262" spans="1:15" ht="15" customHeight="1" x14ac:dyDescent="0.3">
      <c r="A1262" s="23" t="s">
        <v>2994</v>
      </c>
      <c r="B1262" s="38">
        <v>46266</v>
      </c>
      <c r="C1262" s="23" t="s">
        <v>2995</v>
      </c>
      <c r="D1262" s="23" t="s">
        <v>93</v>
      </c>
      <c r="E1262" s="23" t="s">
        <v>75</v>
      </c>
      <c r="F1262" s="23" t="s">
        <v>315</v>
      </c>
      <c r="G1262" s="23" t="s">
        <v>250</v>
      </c>
      <c r="H1262" s="39">
        <f t="shared" si="76"/>
        <v>1499</v>
      </c>
      <c r="I1262" s="23" t="str">
        <f t="shared" si="77"/>
        <v>Kolkata</v>
      </c>
      <c r="J1262" s="23">
        <f>COUNTIFS(pg_transaction_cleaned!$O:$O,A1262,pg_transaction_cleaned!$F:$F,"CAPTURE")</f>
        <v>1</v>
      </c>
      <c r="K1262" s="39">
        <f>SUMIFS(pg_transaction_cleaned!$H:$H,pg_transaction_cleaned!$O:$O,A1262,pg_transaction_cleaned!$F:$F,"CAPTURE")</f>
        <v>1499</v>
      </c>
      <c r="L1262" s="23">
        <f>COUNTIFS(pg_transaction_cleaned!$O:$O,A1262,pg_transaction_cleaned!$F:$F,"REFUND")</f>
        <v>0</v>
      </c>
      <c r="M1262" s="39">
        <f>SUMIFS(pg_transaction_cleaned!$H:$H,pg_transaction_cleaned!$O:$O,A1262,pg_transaction_cleaned!$F:$F,"REFUND")</f>
        <v>0</v>
      </c>
      <c r="N1262" s="23" t="str">
        <f t="shared" si="78"/>
        <v>OK</v>
      </c>
      <c r="O1262" s="24">
        <f t="shared" si="79"/>
        <v>0</v>
      </c>
    </row>
    <row r="1263" spans="1:15" ht="15" customHeight="1" x14ac:dyDescent="0.3">
      <c r="A1263" s="23" t="s">
        <v>2996</v>
      </c>
      <c r="B1263" s="38">
        <v>46277</v>
      </c>
      <c r="C1263" s="23" t="s">
        <v>2997</v>
      </c>
      <c r="D1263" s="23" t="s">
        <v>88</v>
      </c>
      <c r="E1263" s="23" t="s">
        <v>75</v>
      </c>
      <c r="F1263" s="23" t="s">
        <v>2998</v>
      </c>
      <c r="G1263" s="23" t="s">
        <v>250</v>
      </c>
      <c r="H1263" s="39">
        <f t="shared" si="76"/>
        <v>11097</v>
      </c>
      <c r="I1263" s="23" t="str">
        <f t="shared" si="77"/>
        <v>Lucknow</v>
      </c>
      <c r="J1263" s="23">
        <f>COUNTIFS(pg_transaction_cleaned!$O:$O,A1263,pg_transaction_cleaned!$F:$F,"CAPTURE")</f>
        <v>1</v>
      </c>
      <c r="K1263" s="39">
        <f>SUMIFS(pg_transaction_cleaned!$H:$H,pg_transaction_cleaned!$O:$O,A1263,pg_transaction_cleaned!$F:$F,"CAPTURE")</f>
        <v>11097</v>
      </c>
      <c r="L1263" s="23">
        <f>COUNTIFS(pg_transaction_cleaned!$O:$O,A1263,pg_transaction_cleaned!$F:$F,"REFUND")</f>
        <v>0</v>
      </c>
      <c r="M1263" s="39">
        <f>SUMIFS(pg_transaction_cleaned!$H:$H,pg_transaction_cleaned!$O:$O,A1263,pg_transaction_cleaned!$F:$F,"REFUND")</f>
        <v>0</v>
      </c>
      <c r="N1263" s="23" t="str">
        <f t="shared" si="78"/>
        <v>OK</v>
      </c>
      <c r="O1263" s="24">
        <f t="shared" si="79"/>
        <v>0</v>
      </c>
    </row>
    <row r="1264" spans="1:15" ht="15" customHeight="1" x14ac:dyDescent="0.3">
      <c r="A1264" s="23" t="s">
        <v>2999</v>
      </c>
      <c r="B1264" s="38">
        <v>46268</v>
      </c>
      <c r="C1264" s="23" t="s">
        <v>3000</v>
      </c>
      <c r="D1264" s="23" t="s">
        <v>89</v>
      </c>
      <c r="E1264" s="23" t="s">
        <v>75</v>
      </c>
      <c r="F1264" s="23" t="s">
        <v>274</v>
      </c>
      <c r="G1264" s="23" t="s">
        <v>250</v>
      </c>
      <c r="H1264" s="39">
        <f t="shared" si="76"/>
        <v>349</v>
      </c>
      <c r="I1264" s="23" t="str">
        <f t="shared" si="77"/>
        <v>Jaipur</v>
      </c>
      <c r="J1264" s="23">
        <f>COUNTIFS(pg_transaction_cleaned!$O:$O,A1264,pg_transaction_cleaned!$F:$F,"CAPTURE")</f>
        <v>1</v>
      </c>
      <c r="K1264" s="39">
        <f>SUMIFS(pg_transaction_cleaned!$H:$H,pg_transaction_cleaned!$O:$O,A1264,pg_transaction_cleaned!$F:$F,"CAPTURE")</f>
        <v>349</v>
      </c>
      <c r="L1264" s="23">
        <f>COUNTIFS(pg_transaction_cleaned!$O:$O,A1264,pg_transaction_cleaned!$F:$F,"REFUND")</f>
        <v>0</v>
      </c>
      <c r="M1264" s="39">
        <f>SUMIFS(pg_transaction_cleaned!$H:$H,pg_transaction_cleaned!$O:$O,A1264,pg_transaction_cleaned!$F:$F,"REFUND")</f>
        <v>0</v>
      </c>
      <c r="N1264" s="23" t="str">
        <f t="shared" si="78"/>
        <v>OK</v>
      </c>
      <c r="O1264" s="24">
        <f t="shared" si="79"/>
        <v>0</v>
      </c>
    </row>
    <row r="1265" spans="1:15" ht="15" customHeight="1" x14ac:dyDescent="0.3">
      <c r="A1265" s="23" t="s">
        <v>3001</v>
      </c>
      <c r="B1265" s="38">
        <v>46274</v>
      </c>
      <c r="C1265" s="23" t="s">
        <v>3002</v>
      </c>
      <c r="D1265" s="23" t="s">
        <v>94</v>
      </c>
      <c r="E1265" s="23" t="s">
        <v>81</v>
      </c>
      <c r="F1265" s="23" t="s">
        <v>370</v>
      </c>
      <c r="G1265" s="23" t="s">
        <v>250</v>
      </c>
      <c r="H1265" s="39">
        <f t="shared" si="76"/>
        <v>3098</v>
      </c>
      <c r="I1265" s="23" t="str">
        <f t="shared" si="77"/>
        <v>Chennai</v>
      </c>
      <c r="J1265" s="23">
        <f>COUNTIFS(pg_transaction_cleaned!$O:$O,A1265,pg_transaction_cleaned!$F:$F,"CAPTURE")</f>
        <v>1</v>
      </c>
      <c r="K1265" s="39">
        <f>SUMIFS(pg_transaction_cleaned!$H:$H,pg_transaction_cleaned!$O:$O,A1265,pg_transaction_cleaned!$F:$F,"CAPTURE")</f>
        <v>3098</v>
      </c>
      <c r="L1265" s="23">
        <f>COUNTIFS(pg_transaction_cleaned!$O:$O,A1265,pg_transaction_cleaned!$F:$F,"REFUND")</f>
        <v>0</v>
      </c>
      <c r="M1265" s="39">
        <f>SUMIFS(pg_transaction_cleaned!$H:$H,pg_transaction_cleaned!$O:$O,A1265,pg_transaction_cleaned!$F:$F,"REFUND")</f>
        <v>0</v>
      </c>
      <c r="N1265" s="23" t="str">
        <f t="shared" si="78"/>
        <v>OK</v>
      </c>
      <c r="O1265" s="24">
        <f t="shared" si="79"/>
        <v>0</v>
      </c>
    </row>
    <row r="1266" spans="1:15" ht="15" customHeight="1" x14ac:dyDescent="0.3">
      <c r="A1266" s="23" t="s">
        <v>3003</v>
      </c>
      <c r="B1266" s="38">
        <v>46286</v>
      </c>
      <c r="C1266" s="23" t="s">
        <v>3004</v>
      </c>
      <c r="D1266" s="23" t="s">
        <v>94</v>
      </c>
      <c r="E1266" s="23" t="s">
        <v>75</v>
      </c>
      <c r="F1266" s="23" t="s">
        <v>297</v>
      </c>
      <c r="G1266" s="23" t="s">
        <v>250</v>
      </c>
      <c r="H1266" s="39">
        <f t="shared" si="76"/>
        <v>4999</v>
      </c>
      <c r="I1266" s="23" t="str">
        <f t="shared" si="77"/>
        <v>Chennai</v>
      </c>
      <c r="J1266" s="23">
        <f>COUNTIFS(pg_transaction_cleaned!$O:$O,A1266,pg_transaction_cleaned!$F:$F,"CAPTURE")</f>
        <v>1</v>
      </c>
      <c r="K1266" s="39">
        <f>SUMIFS(pg_transaction_cleaned!$H:$H,pg_transaction_cleaned!$O:$O,A1266,pg_transaction_cleaned!$F:$F,"CAPTURE")</f>
        <v>4999</v>
      </c>
      <c r="L1266" s="23">
        <f>COUNTIFS(pg_transaction_cleaned!$O:$O,A1266,pg_transaction_cleaned!$F:$F,"REFUND")</f>
        <v>0</v>
      </c>
      <c r="M1266" s="39">
        <f>SUMIFS(pg_transaction_cleaned!$H:$H,pg_transaction_cleaned!$O:$O,A1266,pg_transaction_cleaned!$F:$F,"REFUND")</f>
        <v>0</v>
      </c>
      <c r="N1266" s="23" t="str">
        <f t="shared" si="78"/>
        <v>OK</v>
      </c>
      <c r="O1266" s="24">
        <f t="shared" si="79"/>
        <v>0</v>
      </c>
    </row>
    <row r="1267" spans="1:15" ht="15" customHeight="1" x14ac:dyDescent="0.3">
      <c r="A1267" s="23" t="s">
        <v>3005</v>
      </c>
      <c r="B1267" s="38">
        <v>46276</v>
      </c>
      <c r="C1267" s="23" t="s">
        <v>3006</v>
      </c>
      <c r="D1267" s="23" t="s">
        <v>87</v>
      </c>
      <c r="E1267" s="23" t="s">
        <v>75</v>
      </c>
      <c r="F1267" s="23" t="s">
        <v>315</v>
      </c>
      <c r="G1267" s="23" t="s">
        <v>318</v>
      </c>
      <c r="H1267" s="39">
        <f t="shared" si="76"/>
        <v>1499</v>
      </c>
      <c r="I1267" s="23" t="str">
        <f t="shared" si="77"/>
        <v>Mumbai</v>
      </c>
      <c r="J1267" s="23">
        <f>COUNTIFS(pg_transaction_cleaned!$O:$O,A1267,pg_transaction_cleaned!$F:$F,"CAPTURE")</f>
        <v>0</v>
      </c>
      <c r="K1267" s="39">
        <f>SUMIFS(pg_transaction_cleaned!$H:$H,pg_transaction_cleaned!$O:$O,A1267,pg_transaction_cleaned!$F:$F,"CAPTURE")</f>
        <v>0</v>
      </c>
      <c r="L1267" s="23">
        <f>COUNTIFS(pg_transaction_cleaned!$O:$O,A1267,pg_transaction_cleaned!$F:$F,"REFUND")</f>
        <v>0</v>
      </c>
      <c r="M1267" s="39">
        <f>SUMIFS(pg_transaction_cleaned!$H:$H,pg_transaction_cleaned!$O:$O,A1267,pg_transaction_cleaned!$F:$F,"REFUND")</f>
        <v>0</v>
      </c>
      <c r="N1267" s="23" t="str">
        <f t="shared" si="78"/>
        <v>OK</v>
      </c>
      <c r="O1267" s="24">
        <f t="shared" si="79"/>
        <v>0</v>
      </c>
    </row>
    <row r="1268" spans="1:15" ht="15" customHeight="1" x14ac:dyDescent="0.3">
      <c r="A1268" s="23" t="s">
        <v>3007</v>
      </c>
      <c r="B1268" s="38">
        <v>46285</v>
      </c>
      <c r="C1268" s="23" t="s">
        <v>3008</v>
      </c>
      <c r="D1268" s="23" t="s">
        <v>93</v>
      </c>
      <c r="E1268" s="23" t="s">
        <v>75</v>
      </c>
      <c r="F1268" s="23" t="s">
        <v>1804</v>
      </c>
      <c r="G1268" s="23" t="s">
        <v>250</v>
      </c>
      <c r="H1268" s="39">
        <f t="shared" si="76"/>
        <v>598</v>
      </c>
      <c r="I1268" s="23" t="str">
        <f t="shared" si="77"/>
        <v>Kolkata</v>
      </c>
      <c r="J1268" s="23">
        <f>COUNTIFS(pg_transaction_cleaned!$O:$O,A1268,pg_transaction_cleaned!$F:$F,"CAPTURE")</f>
        <v>1</v>
      </c>
      <c r="K1268" s="39">
        <f>SUMIFS(pg_transaction_cleaned!$H:$H,pg_transaction_cleaned!$O:$O,A1268,pg_transaction_cleaned!$F:$F,"CAPTURE")</f>
        <v>598</v>
      </c>
      <c r="L1268" s="23">
        <f>COUNTIFS(pg_transaction_cleaned!$O:$O,A1268,pg_transaction_cleaned!$F:$F,"REFUND")</f>
        <v>0</v>
      </c>
      <c r="M1268" s="39">
        <f>SUMIFS(pg_transaction_cleaned!$H:$H,pg_transaction_cleaned!$O:$O,A1268,pg_transaction_cleaned!$F:$F,"REFUND")</f>
        <v>0</v>
      </c>
      <c r="N1268" s="23" t="str">
        <f t="shared" si="78"/>
        <v>OK</v>
      </c>
      <c r="O1268" s="24">
        <f t="shared" si="79"/>
        <v>0</v>
      </c>
    </row>
    <row r="1269" spans="1:15" ht="15" customHeight="1" x14ac:dyDescent="0.3">
      <c r="A1269" s="23" t="s">
        <v>3009</v>
      </c>
      <c r="B1269" s="38">
        <v>46283</v>
      </c>
      <c r="C1269" s="23" t="s">
        <v>3010</v>
      </c>
      <c r="D1269" s="23" t="s">
        <v>87</v>
      </c>
      <c r="E1269" s="23" t="s">
        <v>79</v>
      </c>
      <c r="F1269" s="23" t="s">
        <v>297</v>
      </c>
      <c r="G1269" s="23" t="s">
        <v>250</v>
      </c>
      <c r="H1269" s="39">
        <f t="shared" si="76"/>
        <v>4999</v>
      </c>
      <c r="I1269" s="23" t="str">
        <f t="shared" si="77"/>
        <v>Mumbai</v>
      </c>
      <c r="J1269" s="23">
        <f>COUNTIFS(pg_transaction_cleaned!$O:$O,A1269,pg_transaction_cleaned!$F:$F,"CAPTURE")</f>
        <v>1</v>
      </c>
      <c r="K1269" s="39">
        <f>SUMIFS(pg_transaction_cleaned!$H:$H,pg_transaction_cleaned!$O:$O,A1269,pg_transaction_cleaned!$F:$F,"CAPTURE")</f>
        <v>4999</v>
      </c>
      <c r="L1269" s="23">
        <f>COUNTIFS(pg_transaction_cleaned!$O:$O,A1269,pg_transaction_cleaned!$F:$F,"REFUND")</f>
        <v>0</v>
      </c>
      <c r="M1269" s="39">
        <f>SUMIFS(pg_transaction_cleaned!$H:$H,pg_transaction_cleaned!$O:$O,A1269,pg_transaction_cleaned!$F:$F,"REFUND")</f>
        <v>0</v>
      </c>
      <c r="N1269" s="23" t="str">
        <f t="shared" si="78"/>
        <v>OK</v>
      </c>
      <c r="O1269" s="24">
        <f t="shared" si="79"/>
        <v>0</v>
      </c>
    </row>
    <row r="1270" spans="1:15" ht="15" customHeight="1" x14ac:dyDescent="0.3">
      <c r="A1270" s="23" t="s">
        <v>3011</v>
      </c>
      <c r="B1270" s="38">
        <v>46294</v>
      </c>
      <c r="C1270" s="23" t="s">
        <v>3012</v>
      </c>
      <c r="D1270" s="23" t="s">
        <v>94</v>
      </c>
      <c r="E1270" s="23" t="s">
        <v>81</v>
      </c>
      <c r="F1270" s="23" t="s">
        <v>3013</v>
      </c>
      <c r="G1270" s="23" t="s">
        <v>250</v>
      </c>
      <c r="H1270" s="39">
        <f t="shared" si="76"/>
        <v>4847</v>
      </c>
      <c r="I1270" s="23" t="str">
        <f t="shared" si="77"/>
        <v>Chennai</v>
      </c>
      <c r="J1270" s="23">
        <f>COUNTIFS(pg_transaction_cleaned!$O:$O,A1270,pg_transaction_cleaned!$F:$F,"CAPTURE")</f>
        <v>1</v>
      </c>
      <c r="K1270" s="39">
        <f>SUMIFS(pg_transaction_cleaned!$H:$H,pg_transaction_cleaned!$O:$O,A1270,pg_transaction_cleaned!$F:$F,"CAPTURE")</f>
        <v>4847</v>
      </c>
      <c r="L1270" s="23">
        <f>COUNTIFS(pg_transaction_cleaned!$O:$O,A1270,pg_transaction_cleaned!$F:$F,"REFUND")</f>
        <v>0</v>
      </c>
      <c r="M1270" s="39">
        <f>SUMIFS(pg_transaction_cleaned!$H:$H,pg_transaction_cleaned!$O:$O,A1270,pg_transaction_cleaned!$F:$F,"REFUND")</f>
        <v>0</v>
      </c>
      <c r="N1270" s="23" t="str">
        <f t="shared" si="78"/>
        <v>OK</v>
      </c>
      <c r="O1270" s="24">
        <f t="shared" si="79"/>
        <v>0</v>
      </c>
    </row>
    <row r="1271" spans="1:15" ht="15" customHeight="1" x14ac:dyDescent="0.3">
      <c r="A1271" s="23" t="s">
        <v>3014</v>
      </c>
      <c r="B1271" s="38">
        <v>46278</v>
      </c>
      <c r="C1271" s="23" t="s">
        <v>3015</v>
      </c>
      <c r="D1271" s="23" t="s">
        <v>91</v>
      </c>
      <c r="E1271" s="23" t="s">
        <v>79</v>
      </c>
      <c r="F1271" s="23" t="s">
        <v>310</v>
      </c>
      <c r="G1271" s="23" t="s">
        <v>250</v>
      </c>
      <c r="H1271" s="39">
        <f t="shared" si="76"/>
        <v>7999</v>
      </c>
      <c r="I1271" s="23" t="str">
        <f t="shared" si="77"/>
        <v>Pune</v>
      </c>
      <c r="J1271" s="23">
        <f>COUNTIFS(pg_transaction_cleaned!$O:$O,A1271,pg_transaction_cleaned!$F:$F,"CAPTURE")</f>
        <v>1</v>
      </c>
      <c r="K1271" s="39">
        <f>SUMIFS(pg_transaction_cleaned!$H:$H,pg_transaction_cleaned!$O:$O,A1271,pg_transaction_cleaned!$F:$F,"CAPTURE")</f>
        <v>7999</v>
      </c>
      <c r="L1271" s="23">
        <f>COUNTIFS(pg_transaction_cleaned!$O:$O,A1271,pg_transaction_cleaned!$F:$F,"REFUND")</f>
        <v>0</v>
      </c>
      <c r="M1271" s="39">
        <f>SUMIFS(pg_transaction_cleaned!$H:$H,pg_transaction_cleaned!$O:$O,A1271,pg_transaction_cleaned!$F:$F,"REFUND")</f>
        <v>0</v>
      </c>
      <c r="N1271" s="23" t="str">
        <f t="shared" si="78"/>
        <v>OK</v>
      </c>
      <c r="O1271" s="24">
        <f t="shared" si="79"/>
        <v>0</v>
      </c>
    </row>
    <row r="1272" spans="1:15" ht="15" customHeight="1" x14ac:dyDescent="0.3">
      <c r="A1272" s="23" t="s">
        <v>3016</v>
      </c>
      <c r="B1272" s="38">
        <v>46280</v>
      </c>
      <c r="C1272" s="23" t="s">
        <v>3017</v>
      </c>
      <c r="D1272" s="23" t="s">
        <v>92</v>
      </c>
      <c r="E1272" s="23" t="s">
        <v>75</v>
      </c>
      <c r="F1272" s="23" t="s">
        <v>329</v>
      </c>
      <c r="G1272" s="23" t="s">
        <v>250</v>
      </c>
      <c r="H1272" s="39">
        <f t="shared" si="76"/>
        <v>599</v>
      </c>
      <c r="I1272" s="23" t="str">
        <f t="shared" si="77"/>
        <v>Hyderabad</v>
      </c>
      <c r="J1272" s="23">
        <f>COUNTIFS(pg_transaction_cleaned!$O:$O,A1272,pg_transaction_cleaned!$F:$F,"CAPTURE")</f>
        <v>1</v>
      </c>
      <c r="K1272" s="39">
        <f>SUMIFS(pg_transaction_cleaned!$H:$H,pg_transaction_cleaned!$O:$O,A1272,pg_transaction_cleaned!$F:$F,"CAPTURE")</f>
        <v>599</v>
      </c>
      <c r="L1272" s="23">
        <f>COUNTIFS(pg_transaction_cleaned!$O:$O,A1272,pg_transaction_cleaned!$F:$F,"REFUND")</f>
        <v>0</v>
      </c>
      <c r="M1272" s="39">
        <f>SUMIFS(pg_transaction_cleaned!$H:$H,pg_transaction_cleaned!$O:$O,A1272,pg_transaction_cleaned!$F:$F,"REFUND")</f>
        <v>0</v>
      </c>
      <c r="N1272" s="23" t="str">
        <f t="shared" si="78"/>
        <v>OK</v>
      </c>
      <c r="O1272" s="24">
        <f t="shared" si="79"/>
        <v>0</v>
      </c>
    </row>
    <row r="1273" spans="1:15" ht="15" customHeight="1" x14ac:dyDescent="0.3">
      <c r="A1273" s="23" t="s">
        <v>3018</v>
      </c>
      <c r="B1273" s="38">
        <v>46287</v>
      </c>
      <c r="C1273" s="23" t="s">
        <v>3019</v>
      </c>
      <c r="D1273" s="23" t="s">
        <v>95</v>
      </c>
      <c r="E1273" s="23" t="s">
        <v>79</v>
      </c>
      <c r="F1273" s="23" t="s">
        <v>999</v>
      </c>
      <c r="G1273" s="23" t="s">
        <v>250</v>
      </c>
      <c r="H1273" s="39">
        <f t="shared" si="76"/>
        <v>1947</v>
      </c>
      <c r="I1273" s="23" t="str">
        <f t="shared" si="77"/>
        <v>Bengaluru</v>
      </c>
      <c r="J1273" s="23">
        <f>COUNTIFS(pg_transaction_cleaned!$O:$O,A1273,pg_transaction_cleaned!$F:$F,"CAPTURE")</f>
        <v>1</v>
      </c>
      <c r="K1273" s="39">
        <f>SUMIFS(pg_transaction_cleaned!$H:$H,pg_transaction_cleaned!$O:$O,A1273,pg_transaction_cleaned!$F:$F,"CAPTURE")</f>
        <v>1947</v>
      </c>
      <c r="L1273" s="23">
        <f>COUNTIFS(pg_transaction_cleaned!$O:$O,A1273,pg_transaction_cleaned!$F:$F,"REFUND")</f>
        <v>0</v>
      </c>
      <c r="M1273" s="39">
        <f>SUMIFS(pg_transaction_cleaned!$H:$H,pg_transaction_cleaned!$O:$O,A1273,pg_transaction_cleaned!$F:$F,"REFUND")</f>
        <v>0</v>
      </c>
      <c r="N1273" s="23" t="str">
        <f t="shared" si="78"/>
        <v>OK</v>
      </c>
      <c r="O1273" s="24">
        <f t="shared" si="79"/>
        <v>0</v>
      </c>
    </row>
    <row r="1274" spans="1:15" ht="15" customHeight="1" x14ac:dyDescent="0.3">
      <c r="A1274" s="23" t="s">
        <v>3020</v>
      </c>
      <c r="B1274" s="38">
        <v>46281</v>
      </c>
      <c r="C1274" s="23" t="s">
        <v>3021</v>
      </c>
      <c r="D1274" s="23" t="s">
        <v>95</v>
      </c>
      <c r="E1274" s="23" t="s">
        <v>77</v>
      </c>
      <c r="F1274" s="23" t="s">
        <v>763</v>
      </c>
      <c r="G1274" s="23" t="s">
        <v>250</v>
      </c>
      <c r="H1274" s="39">
        <f t="shared" si="76"/>
        <v>299</v>
      </c>
      <c r="I1274" s="23" t="str">
        <f t="shared" si="77"/>
        <v>Bengaluru</v>
      </c>
      <c r="J1274" s="23">
        <f>COUNTIFS(pg_transaction_cleaned!$O:$O,A1274,pg_transaction_cleaned!$F:$F,"CAPTURE")</f>
        <v>1</v>
      </c>
      <c r="K1274" s="39">
        <f>SUMIFS(pg_transaction_cleaned!$H:$H,pg_transaction_cleaned!$O:$O,A1274,pg_transaction_cleaned!$F:$F,"CAPTURE")</f>
        <v>299</v>
      </c>
      <c r="L1274" s="23">
        <f>COUNTIFS(pg_transaction_cleaned!$O:$O,A1274,pg_transaction_cleaned!$F:$F,"REFUND")</f>
        <v>0</v>
      </c>
      <c r="M1274" s="39">
        <f>SUMIFS(pg_transaction_cleaned!$H:$H,pg_transaction_cleaned!$O:$O,A1274,pg_transaction_cleaned!$F:$F,"REFUND")</f>
        <v>0</v>
      </c>
      <c r="N1274" s="23" t="str">
        <f t="shared" si="78"/>
        <v>OK</v>
      </c>
      <c r="O1274" s="24">
        <f t="shared" si="79"/>
        <v>0</v>
      </c>
    </row>
    <row r="1275" spans="1:15" ht="15" customHeight="1" x14ac:dyDescent="0.3">
      <c r="A1275" s="23" t="s">
        <v>3022</v>
      </c>
      <c r="B1275" s="38">
        <v>46266</v>
      </c>
      <c r="C1275" s="23" t="s">
        <v>3023</v>
      </c>
      <c r="D1275" s="23" t="s">
        <v>88</v>
      </c>
      <c r="E1275" s="23" t="s">
        <v>75</v>
      </c>
      <c r="F1275" s="23" t="s">
        <v>310</v>
      </c>
      <c r="G1275" s="23" t="s">
        <v>250</v>
      </c>
      <c r="H1275" s="39">
        <f t="shared" si="76"/>
        <v>7999</v>
      </c>
      <c r="I1275" s="23" t="str">
        <f t="shared" si="77"/>
        <v>Lucknow</v>
      </c>
      <c r="J1275" s="23">
        <f>COUNTIFS(pg_transaction_cleaned!$O:$O,A1275,pg_transaction_cleaned!$F:$F,"CAPTURE")</f>
        <v>1</v>
      </c>
      <c r="K1275" s="39">
        <f>SUMIFS(pg_transaction_cleaned!$H:$H,pg_transaction_cleaned!$O:$O,A1275,pg_transaction_cleaned!$F:$F,"CAPTURE")</f>
        <v>7999</v>
      </c>
      <c r="L1275" s="23">
        <f>COUNTIFS(pg_transaction_cleaned!$O:$O,A1275,pg_transaction_cleaned!$F:$F,"REFUND")</f>
        <v>0</v>
      </c>
      <c r="M1275" s="39">
        <f>SUMIFS(pg_transaction_cleaned!$H:$H,pg_transaction_cleaned!$O:$O,A1275,pg_transaction_cleaned!$F:$F,"REFUND")</f>
        <v>0</v>
      </c>
      <c r="N1275" s="23" t="str">
        <f t="shared" si="78"/>
        <v>OK</v>
      </c>
      <c r="O1275" s="24">
        <f t="shared" si="79"/>
        <v>0</v>
      </c>
    </row>
    <row r="1276" spans="1:15" ht="15" customHeight="1" x14ac:dyDescent="0.3">
      <c r="A1276" s="23" t="s">
        <v>3024</v>
      </c>
      <c r="B1276" s="38">
        <v>46282</v>
      </c>
      <c r="C1276" s="23" t="s">
        <v>3025</v>
      </c>
      <c r="D1276" s="23" t="s">
        <v>88</v>
      </c>
      <c r="E1276" s="23" t="s">
        <v>79</v>
      </c>
      <c r="F1276" s="23" t="s">
        <v>880</v>
      </c>
      <c r="G1276" s="23" t="s">
        <v>250</v>
      </c>
      <c r="H1276" s="39">
        <f t="shared" si="76"/>
        <v>2298</v>
      </c>
      <c r="I1276" s="23" t="str">
        <f t="shared" si="77"/>
        <v>Lucknow</v>
      </c>
      <c r="J1276" s="23">
        <f>COUNTIFS(pg_transaction_cleaned!$O:$O,A1276,pg_transaction_cleaned!$F:$F,"CAPTURE")</f>
        <v>1</v>
      </c>
      <c r="K1276" s="39">
        <f>SUMIFS(pg_transaction_cleaned!$H:$H,pg_transaction_cleaned!$O:$O,A1276,pg_transaction_cleaned!$F:$F,"CAPTURE")</f>
        <v>2298</v>
      </c>
      <c r="L1276" s="23">
        <f>COUNTIFS(pg_transaction_cleaned!$O:$O,A1276,pg_transaction_cleaned!$F:$F,"REFUND")</f>
        <v>0</v>
      </c>
      <c r="M1276" s="39">
        <f>SUMIFS(pg_transaction_cleaned!$H:$H,pg_transaction_cleaned!$O:$O,A1276,pg_transaction_cleaned!$F:$F,"REFUND")</f>
        <v>0</v>
      </c>
      <c r="N1276" s="23" t="str">
        <f t="shared" si="78"/>
        <v>OK</v>
      </c>
      <c r="O1276" s="24">
        <f t="shared" si="79"/>
        <v>0</v>
      </c>
    </row>
    <row r="1277" spans="1:15" ht="15" customHeight="1" x14ac:dyDescent="0.3">
      <c r="A1277" s="23" t="s">
        <v>3026</v>
      </c>
      <c r="B1277" s="38">
        <v>46284</v>
      </c>
      <c r="C1277" s="23" t="s">
        <v>3027</v>
      </c>
      <c r="D1277" s="23" t="s">
        <v>92</v>
      </c>
      <c r="E1277" s="23" t="s">
        <v>79</v>
      </c>
      <c r="F1277" s="23" t="s">
        <v>274</v>
      </c>
      <c r="G1277" s="23" t="s">
        <v>250</v>
      </c>
      <c r="H1277" s="39">
        <f t="shared" si="76"/>
        <v>349</v>
      </c>
      <c r="I1277" s="23" t="str">
        <f t="shared" si="77"/>
        <v>Hyderabad</v>
      </c>
      <c r="J1277" s="23">
        <f>COUNTIFS(pg_transaction_cleaned!$O:$O,A1277,pg_transaction_cleaned!$F:$F,"CAPTURE")</f>
        <v>1</v>
      </c>
      <c r="K1277" s="39">
        <f>SUMIFS(pg_transaction_cleaned!$H:$H,pg_transaction_cleaned!$O:$O,A1277,pg_transaction_cleaned!$F:$F,"CAPTURE")</f>
        <v>349</v>
      </c>
      <c r="L1277" s="23">
        <f>COUNTIFS(pg_transaction_cleaned!$O:$O,A1277,pg_transaction_cleaned!$F:$F,"REFUND")</f>
        <v>0</v>
      </c>
      <c r="M1277" s="39">
        <f>SUMIFS(pg_transaction_cleaned!$H:$H,pg_transaction_cleaned!$O:$O,A1277,pg_transaction_cleaned!$F:$F,"REFUND")</f>
        <v>0</v>
      </c>
      <c r="N1277" s="23" t="str">
        <f t="shared" si="78"/>
        <v>OK</v>
      </c>
      <c r="O1277" s="24">
        <f t="shared" si="79"/>
        <v>0</v>
      </c>
    </row>
    <row r="1278" spans="1:15" ht="15" customHeight="1" x14ac:dyDescent="0.3">
      <c r="A1278" s="23" t="s">
        <v>3028</v>
      </c>
      <c r="B1278" s="38">
        <v>46295</v>
      </c>
      <c r="C1278" s="23" t="s">
        <v>3029</v>
      </c>
      <c r="D1278" s="23" t="s">
        <v>95</v>
      </c>
      <c r="E1278" s="23" t="s">
        <v>79</v>
      </c>
      <c r="F1278" s="23" t="s">
        <v>1428</v>
      </c>
      <c r="G1278" s="23" t="s">
        <v>365</v>
      </c>
      <c r="H1278" s="39">
        <f t="shared" si="76"/>
        <v>8598</v>
      </c>
      <c r="I1278" s="23" t="str">
        <f t="shared" si="77"/>
        <v>Bengaluru</v>
      </c>
      <c r="J1278" s="23">
        <f>COUNTIFS(pg_transaction_cleaned!$O:$O,A1278,pg_transaction_cleaned!$F:$F,"CAPTURE")</f>
        <v>0</v>
      </c>
      <c r="K1278" s="39">
        <f>SUMIFS(pg_transaction_cleaned!$H:$H,pg_transaction_cleaned!$O:$O,A1278,pg_transaction_cleaned!$F:$F,"CAPTURE")</f>
        <v>0</v>
      </c>
      <c r="L1278" s="23">
        <f>COUNTIFS(pg_transaction_cleaned!$O:$O,A1278,pg_transaction_cleaned!$F:$F,"REFUND")</f>
        <v>0</v>
      </c>
      <c r="M1278" s="39">
        <f>SUMIFS(pg_transaction_cleaned!$H:$H,pg_transaction_cleaned!$O:$O,A1278,pg_transaction_cleaned!$F:$F,"REFUND")</f>
        <v>0</v>
      </c>
      <c r="N1278" s="23" t="str">
        <f t="shared" si="78"/>
        <v>OK</v>
      </c>
      <c r="O1278" s="24">
        <f t="shared" si="79"/>
        <v>0</v>
      </c>
    </row>
    <row r="1279" spans="1:15" ht="15" customHeight="1" x14ac:dyDescent="0.3">
      <c r="A1279" s="23" t="s">
        <v>3030</v>
      </c>
      <c r="B1279" s="38">
        <v>46293</v>
      </c>
      <c r="C1279" s="23" t="s">
        <v>3031</v>
      </c>
      <c r="D1279" s="23" t="s">
        <v>90</v>
      </c>
      <c r="E1279" s="23" t="s">
        <v>75</v>
      </c>
      <c r="F1279" s="23" t="s">
        <v>2304</v>
      </c>
      <c r="G1279" s="23" t="s">
        <v>250</v>
      </c>
      <c r="H1279" s="39">
        <f t="shared" si="76"/>
        <v>6797</v>
      </c>
      <c r="I1279" s="23" t="str">
        <f t="shared" si="77"/>
        <v>Ahmedabad</v>
      </c>
      <c r="J1279" s="23">
        <f>COUNTIFS(pg_transaction_cleaned!$O:$O,A1279,pg_transaction_cleaned!$F:$F,"CAPTURE")</f>
        <v>1</v>
      </c>
      <c r="K1279" s="39">
        <f>SUMIFS(pg_transaction_cleaned!$H:$H,pg_transaction_cleaned!$O:$O,A1279,pg_transaction_cleaned!$F:$F,"CAPTURE")</f>
        <v>6797</v>
      </c>
      <c r="L1279" s="23">
        <f>COUNTIFS(pg_transaction_cleaned!$O:$O,A1279,pg_transaction_cleaned!$F:$F,"REFUND")</f>
        <v>0</v>
      </c>
      <c r="M1279" s="39">
        <f>SUMIFS(pg_transaction_cleaned!$H:$H,pg_transaction_cleaned!$O:$O,A1279,pg_transaction_cleaned!$F:$F,"REFUND")</f>
        <v>0</v>
      </c>
      <c r="N1279" s="23" t="str">
        <f t="shared" si="78"/>
        <v>OK</v>
      </c>
      <c r="O1279" s="24">
        <f t="shared" si="79"/>
        <v>0</v>
      </c>
    </row>
    <row r="1280" spans="1:15" ht="15" customHeight="1" x14ac:dyDescent="0.3">
      <c r="A1280" s="23" t="s">
        <v>3032</v>
      </c>
      <c r="B1280" s="38">
        <v>46266</v>
      </c>
      <c r="C1280" s="23" t="s">
        <v>3033</v>
      </c>
      <c r="D1280" s="23" t="s">
        <v>93</v>
      </c>
      <c r="E1280" s="23" t="s">
        <v>75</v>
      </c>
      <c r="F1280" s="23" t="s">
        <v>499</v>
      </c>
      <c r="G1280" s="23" t="s">
        <v>318</v>
      </c>
      <c r="H1280" s="39">
        <f t="shared" si="76"/>
        <v>5998</v>
      </c>
      <c r="I1280" s="23" t="str">
        <f t="shared" si="77"/>
        <v>Kolkata</v>
      </c>
      <c r="J1280" s="23">
        <f>COUNTIFS(pg_transaction_cleaned!$O:$O,A1280,pg_transaction_cleaned!$F:$F,"CAPTURE")</f>
        <v>0</v>
      </c>
      <c r="K1280" s="39">
        <f>SUMIFS(pg_transaction_cleaned!$H:$H,pg_transaction_cleaned!$O:$O,A1280,pg_transaction_cleaned!$F:$F,"CAPTURE")</f>
        <v>0</v>
      </c>
      <c r="L1280" s="23">
        <f>COUNTIFS(pg_transaction_cleaned!$O:$O,A1280,pg_transaction_cleaned!$F:$F,"REFUND")</f>
        <v>0</v>
      </c>
      <c r="M1280" s="39">
        <f>SUMIFS(pg_transaction_cleaned!$H:$H,pg_transaction_cleaned!$O:$O,A1280,pg_transaction_cleaned!$F:$F,"REFUND")</f>
        <v>0</v>
      </c>
      <c r="N1280" s="23" t="str">
        <f t="shared" si="78"/>
        <v>OK</v>
      </c>
      <c r="O1280" s="24">
        <f t="shared" si="79"/>
        <v>0</v>
      </c>
    </row>
    <row r="1281" spans="1:15" ht="15" customHeight="1" x14ac:dyDescent="0.3">
      <c r="A1281" s="23" t="s">
        <v>3034</v>
      </c>
      <c r="B1281" s="38">
        <v>46293</v>
      </c>
      <c r="C1281" s="23" t="s">
        <v>3035</v>
      </c>
      <c r="D1281" s="23" t="s">
        <v>89</v>
      </c>
      <c r="E1281" s="23" t="s">
        <v>75</v>
      </c>
      <c r="F1281" s="23" t="s">
        <v>1769</v>
      </c>
      <c r="G1281" s="23" t="s">
        <v>250</v>
      </c>
      <c r="H1281" s="39">
        <f t="shared" si="76"/>
        <v>1148</v>
      </c>
      <c r="I1281" s="23" t="str">
        <f t="shared" si="77"/>
        <v>Jaipur</v>
      </c>
      <c r="J1281" s="23">
        <f>COUNTIFS(pg_transaction_cleaned!$O:$O,A1281,pg_transaction_cleaned!$F:$F,"CAPTURE")</f>
        <v>1</v>
      </c>
      <c r="K1281" s="39">
        <f>SUMIFS(pg_transaction_cleaned!$H:$H,pg_transaction_cleaned!$O:$O,A1281,pg_transaction_cleaned!$F:$F,"CAPTURE")</f>
        <v>1148</v>
      </c>
      <c r="L1281" s="23">
        <f>COUNTIFS(pg_transaction_cleaned!$O:$O,A1281,pg_transaction_cleaned!$F:$F,"REFUND")</f>
        <v>0</v>
      </c>
      <c r="M1281" s="39">
        <f>SUMIFS(pg_transaction_cleaned!$H:$H,pg_transaction_cleaned!$O:$O,A1281,pg_transaction_cleaned!$F:$F,"REFUND")</f>
        <v>0</v>
      </c>
      <c r="N1281" s="23" t="str">
        <f t="shared" si="78"/>
        <v>OK</v>
      </c>
      <c r="O1281" s="24">
        <f t="shared" si="79"/>
        <v>0</v>
      </c>
    </row>
    <row r="1282" spans="1:15" ht="15" customHeight="1" x14ac:dyDescent="0.3">
      <c r="A1282" s="23" t="s">
        <v>3036</v>
      </c>
      <c r="B1282" s="38">
        <v>46290</v>
      </c>
      <c r="C1282" s="23" t="s">
        <v>3037</v>
      </c>
      <c r="D1282" s="23" t="s">
        <v>89</v>
      </c>
      <c r="E1282" s="23" t="s">
        <v>75</v>
      </c>
      <c r="F1282" s="23" t="s">
        <v>291</v>
      </c>
      <c r="G1282" s="23" t="s">
        <v>250</v>
      </c>
      <c r="H1282" s="39">
        <f t="shared" ref="H1282:H1345" si="80">VALUE(SUBSTITUTE(F1282,",",""))</f>
        <v>3499</v>
      </c>
      <c r="I1282" s="23" t="str">
        <f t="shared" ref="I1282:I1345" si="81">IF(TRIM(D1282)="","Unknown",TRIM(D1282))</f>
        <v>Jaipur</v>
      </c>
      <c r="J1282" s="23">
        <f>COUNTIFS(pg_transaction_cleaned!$O:$O,A1282,pg_transaction_cleaned!$F:$F,"CAPTURE")</f>
        <v>1</v>
      </c>
      <c r="K1282" s="39">
        <f>SUMIFS(pg_transaction_cleaned!$H:$H,pg_transaction_cleaned!$O:$O,A1282,pg_transaction_cleaned!$F:$F,"CAPTURE")</f>
        <v>3499</v>
      </c>
      <c r="L1282" s="23">
        <f>COUNTIFS(pg_transaction_cleaned!$O:$O,A1282,pg_transaction_cleaned!$F:$F,"REFUND")</f>
        <v>0</v>
      </c>
      <c r="M1282" s="39">
        <f>SUMIFS(pg_transaction_cleaned!$H:$H,pg_transaction_cleaned!$O:$O,A1282,pg_transaction_cleaned!$F:$F,"REFUND")</f>
        <v>0</v>
      </c>
      <c r="N1282" s="23" t="str">
        <f t="shared" ref="N1282:N1345" si="82">IF(AND(G1282="Paid",J1282=0),"Paid, no payment",IF(AND(OR(G1282="Failed",G1282="Cancelled"),J1282&gt;0),"Payment on failed/cancelled",IF(J1282&gt;1,"Duplicate charge",IF(AND(J1282=1,ROUND(K1282-H1282,2)&lt;&gt;0),"Amount difference",IF(AND(G1282="Refunded",L1282=0),"Refunded, no refund",IF(AND(G1282&lt;&gt;"Refunded",L1282&gt;0),"Refund, order not Refunded",IF(AND(L1282&gt;0,ROUND(M1282-H1282,2)&lt;&gt;0),"Refund amount differs","OK")))))))</f>
        <v>OK</v>
      </c>
      <c r="O1282" s="24">
        <f t="shared" ref="O1282:O1345" si="83">IF(N1282="OK",0,IF(N1282="Paid, no payment",H1282,IF(N1282="Payment on failed/cancelled",K1282,IF(OR(N1282="Duplicate charge",N1282="Amount difference"),K1282-H1282,IF(N1282="Refunded, no refund",H1282,M1282)))))</f>
        <v>0</v>
      </c>
    </row>
    <row r="1283" spans="1:15" ht="15" customHeight="1" x14ac:dyDescent="0.3">
      <c r="A1283" s="23" t="s">
        <v>3038</v>
      </c>
      <c r="B1283" s="38">
        <v>46280</v>
      </c>
      <c r="C1283" s="23" t="s">
        <v>3039</v>
      </c>
      <c r="D1283" s="23" t="s">
        <v>87</v>
      </c>
      <c r="E1283" s="23" t="s">
        <v>75</v>
      </c>
      <c r="F1283" s="23" t="s">
        <v>249</v>
      </c>
      <c r="G1283" s="23" t="s">
        <v>250</v>
      </c>
      <c r="H1283" s="39">
        <f t="shared" si="80"/>
        <v>299</v>
      </c>
      <c r="I1283" s="23" t="str">
        <f t="shared" si="81"/>
        <v>Mumbai</v>
      </c>
      <c r="J1283" s="23">
        <f>COUNTIFS(pg_transaction_cleaned!$O:$O,A1283,pg_transaction_cleaned!$F:$F,"CAPTURE")</f>
        <v>1</v>
      </c>
      <c r="K1283" s="39">
        <f>SUMIFS(pg_transaction_cleaned!$H:$H,pg_transaction_cleaned!$O:$O,A1283,pg_transaction_cleaned!$F:$F,"CAPTURE")</f>
        <v>299</v>
      </c>
      <c r="L1283" s="23">
        <f>COUNTIFS(pg_transaction_cleaned!$O:$O,A1283,pg_transaction_cleaned!$F:$F,"REFUND")</f>
        <v>0</v>
      </c>
      <c r="M1283" s="39">
        <f>SUMIFS(pg_transaction_cleaned!$H:$H,pg_transaction_cleaned!$O:$O,A1283,pg_transaction_cleaned!$F:$F,"REFUND")</f>
        <v>0</v>
      </c>
      <c r="N1283" s="23" t="str">
        <f t="shared" si="82"/>
        <v>OK</v>
      </c>
      <c r="O1283" s="24">
        <f t="shared" si="83"/>
        <v>0</v>
      </c>
    </row>
    <row r="1284" spans="1:15" ht="15" customHeight="1" x14ac:dyDescent="0.3">
      <c r="A1284" s="23" t="s">
        <v>3040</v>
      </c>
      <c r="B1284" s="38">
        <v>46289</v>
      </c>
      <c r="C1284" s="23" t="s">
        <v>3041</v>
      </c>
      <c r="D1284" s="23" t="s">
        <v>95</v>
      </c>
      <c r="E1284" s="23" t="s">
        <v>75</v>
      </c>
      <c r="F1284" s="23" t="s">
        <v>291</v>
      </c>
      <c r="G1284" s="23" t="s">
        <v>250</v>
      </c>
      <c r="H1284" s="39">
        <f t="shared" si="80"/>
        <v>3499</v>
      </c>
      <c r="I1284" s="23" t="str">
        <f t="shared" si="81"/>
        <v>Bengaluru</v>
      </c>
      <c r="J1284" s="23">
        <f>COUNTIFS(pg_transaction_cleaned!$O:$O,A1284,pg_transaction_cleaned!$F:$F,"CAPTURE")</f>
        <v>1</v>
      </c>
      <c r="K1284" s="39">
        <f>SUMIFS(pg_transaction_cleaned!$H:$H,pg_transaction_cleaned!$O:$O,A1284,pg_transaction_cleaned!$F:$F,"CAPTURE")</f>
        <v>3499</v>
      </c>
      <c r="L1284" s="23">
        <f>COUNTIFS(pg_transaction_cleaned!$O:$O,A1284,pg_transaction_cleaned!$F:$F,"REFUND")</f>
        <v>0</v>
      </c>
      <c r="M1284" s="39">
        <f>SUMIFS(pg_transaction_cleaned!$H:$H,pg_transaction_cleaned!$O:$O,A1284,pg_transaction_cleaned!$F:$F,"REFUND")</f>
        <v>0</v>
      </c>
      <c r="N1284" s="23" t="str">
        <f t="shared" si="82"/>
        <v>OK</v>
      </c>
      <c r="O1284" s="24">
        <f t="shared" si="83"/>
        <v>0</v>
      </c>
    </row>
    <row r="1285" spans="1:15" ht="15" customHeight="1" x14ac:dyDescent="0.3">
      <c r="A1285" s="23" t="s">
        <v>3042</v>
      </c>
      <c r="B1285" s="38">
        <v>46271</v>
      </c>
      <c r="C1285" s="23" t="s">
        <v>3043</v>
      </c>
      <c r="D1285" s="23" t="s">
        <v>90</v>
      </c>
      <c r="E1285" s="23" t="s">
        <v>79</v>
      </c>
      <c r="F1285" s="23" t="s">
        <v>475</v>
      </c>
      <c r="G1285" s="23" t="s">
        <v>250</v>
      </c>
      <c r="H1285" s="39">
        <f t="shared" si="80"/>
        <v>799</v>
      </c>
      <c r="I1285" s="23" t="str">
        <f t="shared" si="81"/>
        <v>Ahmedabad</v>
      </c>
      <c r="J1285" s="23">
        <f>COUNTIFS(pg_transaction_cleaned!$O:$O,A1285,pg_transaction_cleaned!$F:$F,"CAPTURE")</f>
        <v>1</v>
      </c>
      <c r="K1285" s="39">
        <f>SUMIFS(pg_transaction_cleaned!$H:$H,pg_transaction_cleaned!$O:$O,A1285,pg_transaction_cleaned!$F:$F,"CAPTURE")</f>
        <v>799</v>
      </c>
      <c r="L1285" s="23">
        <f>COUNTIFS(pg_transaction_cleaned!$O:$O,A1285,pg_transaction_cleaned!$F:$F,"REFUND")</f>
        <v>0</v>
      </c>
      <c r="M1285" s="39">
        <f>SUMIFS(pg_transaction_cleaned!$H:$H,pg_transaction_cleaned!$O:$O,A1285,pg_transaction_cleaned!$F:$F,"REFUND")</f>
        <v>0</v>
      </c>
      <c r="N1285" s="23" t="str">
        <f t="shared" si="82"/>
        <v>OK</v>
      </c>
      <c r="O1285" s="24">
        <f t="shared" si="83"/>
        <v>0</v>
      </c>
    </row>
    <row r="1286" spans="1:15" ht="15" customHeight="1" x14ac:dyDescent="0.3">
      <c r="A1286" s="23" t="s">
        <v>3044</v>
      </c>
      <c r="B1286" s="38">
        <v>46279</v>
      </c>
      <c r="C1286" s="23" t="s">
        <v>3045</v>
      </c>
      <c r="D1286" s="23" t="s">
        <v>95</v>
      </c>
      <c r="E1286" s="23" t="s">
        <v>77</v>
      </c>
      <c r="F1286" s="23" t="s">
        <v>271</v>
      </c>
      <c r="G1286" s="23" t="s">
        <v>250</v>
      </c>
      <c r="H1286" s="39">
        <f t="shared" si="80"/>
        <v>2499</v>
      </c>
      <c r="I1286" s="23" t="str">
        <f t="shared" si="81"/>
        <v>Bengaluru</v>
      </c>
      <c r="J1286" s="23">
        <f>COUNTIFS(pg_transaction_cleaned!$O:$O,A1286,pg_transaction_cleaned!$F:$F,"CAPTURE")</f>
        <v>1</v>
      </c>
      <c r="K1286" s="39">
        <f>SUMIFS(pg_transaction_cleaned!$H:$H,pg_transaction_cleaned!$O:$O,A1286,pg_transaction_cleaned!$F:$F,"CAPTURE")</f>
        <v>2499</v>
      </c>
      <c r="L1286" s="23">
        <f>COUNTIFS(pg_transaction_cleaned!$O:$O,A1286,pg_transaction_cleaned!$F:$F,"REFUND")</f>
        <v>0</v>
      </c>
      <c r="M1286" s="39">
        <f>SUMIFS(pg_transaction_cleaned!$H:$H,pg_transaction_cleaned!$O:$O,A1286,pg_transaction_cleaned!$F:$F,"REFUND")</f>
        <v>0</v>
      </c>
      <c r="N1286" s="23" t="str">
        <f t="shared" si="82"/>
        <v>OK</v>
      </c>
      <c r="O1286" s="24">
        <f t="shared" si="83"/>
        <v>0</v>
      </c>
    </row>
    <row r="1287" spans="1:15" ht="15" customHeight="1" x14ac:dyDescent="0.3">
      <c r="A1287" s="23" t="s">
        <v>3046</v>
      </c>
      <c r="B1287" s="38">
        <v>46269</v>
      </c>
      <c r="C1287" s="23" t="s">
        <v>3047</v>
      </c>
      <c r="D1287" s="23" t="s">
        <v>95</v>
      </c>
      <c r="E1287" s="23" t="s">
        <v>81</v>
      </c>
      <c r="F1287" s="23" t="s">
        <v>357</v>
      </c>
      <c r="G1287" s="23" t="s">
        <v>250</v>
      </c>
      <c r="H1287" s="39">
        <f t="shared" si="80"/>
        <v>1598</v>
      </c>
      <c r="I1287" s="23" t="str">
        <f t="shared" si="81"/>
        <v>Bengaluru</v>
      </c>
      <c r="J1287" s="23">
        <f>COUNTIFS(pg_transaction_cleaned!$O:$O,A1287,pg_transaction_cleaned!$F:$F,"CAPTURE")</f>
        <v>1</v>
      </c>
      <c r="K1287" s="39">
        <f>SUMIFS(pg_transaction_cleaned!$H:$H,pg_transaction_cleaned!$O:$O,A1287,pg_transaction_cleaned!$F:$F,"CAPTURE")</f>
        <v>1598</v>
      </c>
      <c r="L1287" s="23">
        <f>COUNTIFS(pg_transaction_cleaned!$O:$O,A1287,pg_transaction_cleaned!$F:$F,"REFUND")</f>
        <v>0</v>
      </c>
      <c r="M1287" s="39">
        <f>SUMIFS(pg_transaction_cleaned!$H:$H,pg_transaction_cleaned!$O:$O,A1287,pg_transaction_cleaned!$F:$F,"REFUND")</f>
        <v>0</v>
      </c>
      <c r="N1287" s="23" t="str">
        <f t="shared" si="82"/>
        <v>OK</v>
      </c>
      <c r="O1287" s="24">
        <f t="shared" si="83"/>
        <v>0</v>
      </c>
    </row>
    <row r="1288" spans="1:15" ht="15" customHeight="1" x14ac:dyDescent="0.3">
      <c r="A1288" s="23" t="s">
        <v>3048</v>
      </c>
      <c r="B1288" s="38">
        <v>46268</v>
      </c>
      <c r="C1288" s="23" t="s">
        <v>3049</v>
      </c>
      <c r="D1288" s="23" t="s">
        <v>91</v>
      </c>
      <c r="E1288" s="23" t="s">
        <v>79</v>
      </c>
      <c r="F1288" s="23" t="s">
        <v>337</v>
      </c>
      <c r="G1288" s="23" t="s">
        <v>250</v>
      </c>
      <c r="H1288" s="39">
        <f t="shared" si="80"/>
        <v>3998</v>
      </c>
      <c r="I1288" s="23" t="str">
        <f t="shared" si="81"/>
        <v>Pune</v>
      </c>
      <c r="J1288" s="23">
        <f>COUNTIFS(pg_transaction_cleaned!$O:$O,A1288,pg_transaction_cleaned!$F:$F,"CAPTURE")</f>
        <v>1</v>
      </c>
      <c r="K1288" s="39">
        <f>SUMIFS(pg_transaction_cleaned!$H:$H,pg_transaction_cleaned!$O:$O,A1288,pg_transaction_cleaned!$F:$F,"CAPTURE")</f>
        <v>3998</v>
      </c>
      <c r="L1288" s="23">
        <f>COUNTIFS(pg_transaction_cleaned!$O:$O,A1288,pg_transaction_cleaned!$F:$F,"REFUND")</f>
        <v>0</v>
      </c>
      <c r="M1288" s="39">
        <f>SUMIFS(pg_transaction_cleaned!$H:$H,pg_transaction_cleaned!$O:$O,A1288,pg_transaction_cleaned!$F:$F,"REFUND")</f>
        <v>0</v>
      </c>
      <c r="N1288" s="23" t="str">
        <f t="shared" si="82"/>
        <v>OK</v>
      </c>
      <c r="O1288" s="24">
        <f t="shared" si="83"/>
        <v>0</v>
      </c>
    </row>
    <row r="1289" spans="1:15" ht="15" customHeight="1" x14ac:dyDescent="0.3">
      <c r="A1289" s="23" t="s">
        <v>3050</v>
      </c>
      <c r="B1289" s="38">
        <v>46268</v>
      </c>
      <c r="C1289" s="23" t="s">
        <v>3051</v>
      </c>
      <c r="D1289" s="23" t="s">
        <v>86</v>
      </c>
      <c r="E1289" s="23" t="s">
        <v>77</v>
      </c>
      <c r="F1289" s="23" t="s">
        <v>249</v>
      </c>
      <c r="G1289" s="23" t="s">
        <v>250</v>
      </c>
      <c r="H1289" s="39">
        <f t="shared" si="80"/>
        <v>299</v>
      </c>
      <c r="I1289" s="23" t="str">
        <f t="shared" si="81"/>
        <v>Delhi</v>
      </c>
      <c r="J1289" s="23">
        <f>COUNTIFS(pg_transaction_cleaned!$O:$O,A1289,pg_transaction_cleaned!$F:$F,"CAPTURE")</f>
        <v>1</v>
      </c>
      <c r="K1289" s="39">
        <f>SUMIFS(pg_transaction_cleaned!$H:$H,pg_transaction_cleaned!$O:$O,A1289,pg_transaction_cleaned!$F:$F,"CAPTURE")</f>
        <v>299</v>
      </c>
      <c r="L1289" s="23">
        <f>COUNTIFS(pg_transaction_cleaned!$O:$O,A1289,pg_transaction_cleaned!$F:$F,"REFUND")</f>
        <v>0</v>
      </c>
      <c r="M1289" s="39">
        <f>SUMIFS(pg_transaction_cleaned!$H:$H,pg_transaction_cleaned!$O:$O,A1289,pg_transaction_cleaned!$F:$F,"REFUND")</f>
        <v>0</v>
      </c>
      <c r="N1289" s="23" t="str">
        <f t="shared" si="82"/>
        <v>OK</v>
      </c>
      <c r="O1289" s="24">
        <f t="shared" si="83"/>
        <v>0</v>
      </c>
    </row>
    <row r="1290" spans="1:15" ht="15" customHeight="1" x14ac:dyDescent="0.3">
      <c r="A1290" s="23" t="s">
        <v>3052</v>
      </c>
      <c r="B1290" s="38">
        <v>46267</v>
      </c>
      <c r="C1290" s="23" t="s">
        <v>3053</v>
      </c>
      <c r="D1290" s="23" t="s">
        <v>87</v>
      </c>
      <c r="E1290" s="23" t="s">
        <v>75</v>
      </c>
      <c r="F1290" s="23" t="s">
        <v>451</v>
      </c>
      <c r="G1290" s="23" t="s">
        <v>250</v>
      </c>
      <c r="H1290" s="39">
        <f t="shared" si="80"/>
        <v>1098</v>
      </c>
      <c r="I1290" s="23" t="str">
        <f t="shared" si="81"/>
        <v>Mumbai</v>
      </c>
      <c r="J1290" s="23">
        <f>COUNTIFS(pg_transaction_cleaned!$O:$O,A1290,pg_transaction_cleaned!$F:$F,"CAPTURE")</f>
        <v>1</v>
      </c>
      <c r="K1290" s="39">
        <f>SUMIFS(pg_transaction_cleaned!$H:$H,pg_transaction_cleaned!$O:$O,A1290,pg_transaction_cleaned!$F:$F,"CAPTURE")</f>
        <v>1098</v>
      </c>
      <c r="L1290" s="23">
        <f>COUNTIFS(pg_transaction_cleaned!$O:$O,A1290,pg_transaction_cleaned!$F:$F,"REFUND")</f>
        <v>0</v>
      </c>
      <c r="M1290" s="39">
        <f>SUMIFS(pg_transaction_cleaned!$H:$H,pg_transaction_cleaned!$O:$O,A1290,pg_transaction_cleaned!$F:$F,"REFUND")</f>
        <v>0</v>
      </c>
      <c r="N1290" s="23" t="str">
        <f t="shared" si="82"/>
        <v>OK</v>
      </c>
      <c r="O1290" s="24">
        <f t="shared" si="83"/>
        <v>0</v>
      </c>
    </row>
    <row r="1291" spans="1:15" ht="15" customHeight="1" x14ac:dyDescent="0.3">
      <c r="A1291" s="23" t="s">
        <v>3054</v>
      </c>
      <c r="B1291" s="38">
        <v>46283</v>
      </c>
      <c r="C1291" s="23" t="s">
        <v>3055</v>
      </c>
      <c r="D1291" s="23" t="s">
        <v>93</v>
      </c>
      <c r="E1291" s="23" t="s">
        <v>75</v>
      </c>
      <c r="F1291" s="23" t="s">
        <v>475</v>
      </c>
      <c r="G1291" s="23" t="s">
        <v>250</v>
      </c>
      <c r="H1291" s="39">
        <f t="shared" si="80"/>
        <v>799</v>
      </c>
      <c r="I1291" s="23" t="str">
        <f t="shared" si="81"/>
        <v>Kolkata</v>
      </c>
      <c r="J1291" s="23">
        <f>COUNTIFS(pg_transaction_cleaned!$O:$O,A1291,pg_transaction_cleaned!$F:$F,"CAPTURE")</f>
        <v>1</v>
      </c>
      <c r="K1291" s="39">
        <f>SUMIFS(pg_transaction_cleaned!$H:$H,pg_transaction_cleaned!$O:$O,A1291,pg_transaction_cleaned!$F:$F,"CAPTURE")</f>
        <v>799</v>
      </c>
      <c r="L1291" s="23">
        <f>COUNTIFS(pg_transaction_cleaned!$O:$O,A1291,pg_transaction_cleaned!$F:$F,"REFUND")</f>
        <v>0</v>
      </c>
      <c r="M1291" s="39">
        <f>SUMIFS(pg_transaction_cleaned!$H:$H,pg_transaction_cleaned!$O:$O,A1291,pg_transaction_cleaned!$F:$F,"REFUND")</f>
        <v>0</v>
      </c>
      <c r="N1291" s="23" t="str">
        <f t="shared" si="82"/>
        <v>OK</v>
      </c>
      <c r="O1291" s="24">
        <f t="shared" si="83"/>
        <v>0</v>
      </c>
    </row>
    <row r="1292" spans="1:15" ht="15" customHeight="1" x14ac:dyDescent="0.3">
      <c r="A1292" s="23" t="s">
        <v>3056</v>
      </c>
      <c r="B1292" s="38">
        <v>46273</v>
      </c>
      <c r="C1292" s="23" t="s">
        <v>3057</v>
      </c>
      <c r="D1292" s="23" t="s">
        <v>93</v>
      </c>
      <c r="E1292" s="23" t="s">
        <v>75</v>
      </c>
      <c r="F1292" s="23" t="s">
        <v>2160</v>
      </c>
      <c r="G1292" s="23" t="s">
        <v>250</v>
      </c>
      <c r="H1292" s="39">
        <f t="shared" si="80"/>
        <v>7998</v>
      </c>
      <c r="I1292" s="23" t="str">
        <f t="shared" si="81"/>
        <v>Kolkata</v>
      </c>
      <c r="J1292" s="23">
        <f>COUNTIFS(pg_transaction_cleaned!$O:$O,A1292,pg_transaction_cleaned!$F:$F,"CAPTURE")</f>
        <v>1</v>
      </c>
      <c r="K1292" s="39">
        <f>SUMIFS(pg_transaction_cleaned!$H:$H,pg_transaction_cleaned!$O:$O,A1292,pg_transaction_cleaned!$F:$F,"CAPTURE")</f>
        <v>7998</v>
      </c>
      <c r="L1292" s="23">
        <f>COUNTIFS(pg_transaction_cleaned!$O:$O,A1292,pg_transaction_cleaned!$F:$F,"REFUND")</f>
        <v>0</v>
      </c>
      <c r="M1292" s="39">
        <f>SUMIFS(pg_transaction_cleaned!$H:$H,pg_transaction_cleaned!$O:$O,A1292,pg_transaction_cleaned!$F:$F,"REFUND")</f>
        <v>0</v>
      </c>
      <c r="N1292" s="23" t="str">
        <f t="shared" si="82"/>
        <v>OK</v>
      </c>
      <c r="O1292" s="24">
        <f t="shared" si="83"/>
        <v>0</v>
      </c>
    </row>
    <row r="1293" spans="1:15" ht="15" customHeight="1" x14ac:dyDescent="0.3">
      <c r="A1293" s="23" t="s">
        <v>3058</v>
      </c>
      <c r="B1293" s="38">
        <v>46294</v>
      </c>
      <c r="C1293" s="23" t="s">
        <v>3059</v>
      </c>
      <c r="D1293" s="23" t="s">
        <v>90</v>
      </c>
      <c r="E1293" s="23" t="s">
        <v>77</v>
      </c>
      <c r="F1293" s="23" t="s">
        <v>378</v>
      </c>
      <c r="G1293" s="23" t="s">
        <v>250</v>
      </c>
      <c r="H1293" s="39">
        <f t="shared" si="80"/>
        <v>2848</v>
      </c>
      <c r="I1293" s="23" t="str">
        <f t="shared" si="81"/>
        <v>Ahmedabad</v>
      </c>
      <c r="J1293" s="23">
        <f>COUNTIFS(pg_transaction_cleaned!$O:$O,A1293,pg_transaction_cleaned!$F:$F,"CAPTURE")</f>
        <v>1</v>
      </c>
      <c r="K1293" s="39">
        <f>SUMIFS(pg_transaction_cleaned!$H:$H,pg_transaction_cleaned!$O:$O,A1293,pg_transaction_cleaned!$F:$F,"CAPTURE")</f>
        <v>2848</v>
      </c>
      <c r="L1293" s="23">
        <f>COUNTIFS(pg_transaction_cleaned!$O:$O,A1293,pg_transaction_cleaned!$F:$F,"REFUND")</f>
        <v>0</v>
      </c>
      <c r="M1293" s="39">
        <f>SUMIFS(pg_transaction_cleaned!$H:$H,pg_transaction_cleaned!$O:$O,A1293,pg_transaction_cleaned!$F:$F,"REFUND")</f>
        <v>0</v>
      </c>
      <c r="N1293" s="23" t="str">
        <f t="shared" si="82"/>
        <v>OK</v>
      </c>
      <c r="O1293" s="24">
        <f t="shared" si="83"/>
        <v>0</v>
      </c>
    </row>
    <row r="1294" spans="1:15" ht="15" customHeight="1" x14ac:dyDescent="0.3">
      <c r="A1294" s="23" t="s">
        <v>3060</v>
      </c>
      <c r="B1294" s="38">
        <v>46282</v>
      </c>
      <c r="C1294" s="23" t="s">
        <v>3061</v>
      </c>
      <c r="D1294" s="23" t="s">
        <v>91</v>
      </c>
      <c r="E1294" s="23" t="s">
        <v>75</v>
      </c>
      <c r="F1294" s="23" t="s">
        <v>271</v>
      </c>
      <c r="G1294" s="23" t="s">
        <v>250</v>
      </c>
      <c r="H1294" s="39">
        <f t="shared" si="80"/>
        <v>2499</v>
      </c>
      <c r="I1294" s="23" t="str">
        <f t="shared" si="81"/>
        <v>Pune</v>
      </c>
      <c r="J1294" s="23">
        <f>COUNTIFS(pg_transaction_cleaned!$O:$O,A1294,pg_transaction_cleaned!$F:$F,"CAPTURE")</f>
        <v>1</v>
      </c>
      <c r="K1294" s="39">
        <f>SUMIFS(pg_transaction_cleaned!$H:$H,pg_transaction_cleaned!$O:$O,A1294,pg_transaction_cleaned!$F:$F,"CAPTURE")</f>
        <v>2499</v>
      </c>
      <c r="L1294" s="23">
        <f>COUNTIFS(pg_transaction_cleaned!$O:$O,A1294,pg_transaction_cleaned!$F:$F,"REFUND")</f>
        <v>0</v>
      </c>
      <c r="M1294" s="39">
        <f>SUMIFS(pg_transaction_cleaned!$H:$H,pg_transaction_cleaned!$O:$O,A1294,pg_transaction_cleaned!$F:$F,"REFUND")</f>
        <v>0</v>
      </c>
      <c r="N1294" s="23" t="str">
        <f t="shared" si="82"/>
        <v>OK</v>
      </c>
      <c r="O1294" s="24">
        <f t="shared" si="83"/>
        <v>0</v>
      </c>
    </row>
    <row r="1295" spans="1:15" ht="15" customHeight="1" x14ac:dyDescent="0.3">
      <c r="A1295" s="23" t="s">
        <v>3062</v>
      </c>
      <c r="B1295" s="38">
        <v>46284</v>
      </c>
      <c r="C1295" s="23" t="s">
        <v>3063</v>
      </c>
      <c r="D1295" s="23" t="s">
        <v>93</v>
      </c>
      <c r="E1295" s="23" t="s">
        <v>75</v>
      </c>
      <c r="F1295" s="23" t="s">
        <v>271</v>
      </c>
      <c r="G1295" s="23" t="s">
        <v>250</v>
      </c>
      <c r="H1295" s="39">
        <f t="shared" si="80"/>
        <v>2499</v>
      </c>
      <c r="I1295" s="23" t="str">
        <f t="shared" si="81"/>
        <v>Kolkata</v>
      </c>
      <c r="J1295" s="23">
        <f>COUNTIFS(pg_transaction_cleaned!$O:$O,A1295,pg_transaction_cleaned!$F:$F,"CAPTURE")</f>
        <v>1</v>
      </c>
      <c r="K1295" s="39">
        <f>SUMIFS(pg_transaction_cleaned!$H:$H,pg_transaction_cleaned!$O:$O,A1295,pg_transaction_cleaned!$F:$F,"CAPTURE")</f>
        <v>2499</v>
      </c>
      <c r="L1295" s="23">
        <f>COUNTIFS(pg_transaction_cleaned!$O:$O,A1295,pg_transaction_cleaned!$F:$F,"REFUND")</f>
        <v>0</v>
      </c>
      <c r="M1295" s="39">
        <f>SUMIFS(pg_transaction_cleaned!$H:$H,pg_transaction_cleaned!$O:$O,A1295,pg_transaction_cleaned!$F:$F,"REFUND")</f>
        <v>0</v>
      </c>
      <c r="N1295" s="23" t="str">
        <f t="shared" si="82"/>
        <v>OK</v>
      </c>
      <c r="O1295" s="24">
        <f t="shared" si="83"/>
        <v>0</v>
      </c>
    </row>
    <row r="1296" spans="1:15" ht="15" customHeight="1" x14ac:dyDescent="0.3">
      <c r="A1296" s="23" t="s">
        <v>3064</v>
      </c>
      <c r="B1296" s="38">
        <v>46281</v>
      </c>
      <c r="C1296" s="23" t="s">
        <v>3065</v>
      </c>
      <c r="D1296" s="23" t="s">
        <v>86</v>
      </c>
      <c r="E1296" s="23" t="s">
        <v>79</v>
      </c>
      <c r="F1296" s="23" t="s">
        <v>3066</v>
      </c>
      <c r="G1296" s="23" t="s">
        <v>250</v>
      </c>
      <c r="H1296" s="39">
        <f t="shared" si="80"/>
        <v>4497</v>
      </c>
      <c r="I1296" s="23" t="str">
        <f t="shared" si="81"/>
        <v>Delhi</v>
      </c>
      <c r="J1296" s="23">
        <f>COUNTIFS(pg_transaction_cleaned!$O:$O,A1296,pg_transaction_cleaned!$F:$F,"CAPTURE")</f>
        <v>1</v>
      </c>
      <c r="K1296" s="39">
        <f>SUMIFS(pg_transaction_cleaned!$H:$H,pg_transaction_cleaned!$O:$O,A1296,pg_transaction_cleaned!$F:$F,"CAPTURE")</f>
        <v>4497</v>
      </c>
      <c r="L1296" s="23">
        <f>COUNTIFS(pg_transaction_cleaned!$O:$O,A1296,pg_transaction_cleaned!$F:$F,"REFUND")</f>
        <v>0</v>
      </c>
      <c r="M1296" s="39">
        <f>SUMIFS(pg_transaction_cleaned!$H:$H,pg_transaction_cleaned!$O:$O,A1296,pg_transaction_cleaned!$F:$F,"REFUND")</f>
        <v>0</v>
      </c>
      <c r="N1296" s="23" t="str">
        <f t="shared" si="82"/>
        <v>OK</v>
      </c>
      <c r="O1296" s="24">
        <f t="shared" si="83"/>
        <v>0</v>
      </c>
    </row>
    <row r="1297" spans="1:15" ht="15" customHeight="1" x14ac:dyDescent="0.3">
      <c r="A1297" s="23" t="s">
        <v>3067</v>
      </c>
      <c r="B1297" s="38">
        <v>46275</v>
      </c>
      <c r="C1297" s="23" t="s">
        <v>3068</v>
      </c>
      <c r="D1297" s="23" t="s">
        <v>88</v>
      </c>
      <c r="E1297" s="23" t="s">
        <v>79</v>
      </c>
      <c r="F1297" s="23" t="s">
        <v>370</v>
      </c>
      <c r="G1297" s="23" t="s">
        <v>318</v>
      </c>
      <c r="H1297" s="39">
        <f t="shared" si="80"/>
        <v>3098</v>
      </c>
      <c r="I1297" s="23" t="str">
        <f t="shared" si="81"/>
        <v>Lucknow</v>
      </c>
      <c r="J1297" s="23">
        <f>COUNTIFS(pg_transaction_cleaned!$O:$O,A1297,pg_transaction_cleaned!$F:$F,"CAPTURE")</f>
        <v>1</v>
      </c>
      <c r="K1297" s="39">
        <f>SUMIFS(pg_transaction_cleaned!$H:$H,pg_transaction_cleaned!$O:$O,A1297,pg_transaction_cleaned!$F:$F,"CAPTURE")</f>
        <v>3098</v>
      </c>
      <c r="L1297" s="23">
        <f>COUNTIFS(pg_transaction_cleaned!$O:$O,A1297,pg_transaction_cleaned!$F:$F,"REFUND")</f>
        <v>0</v>
      </c>
      <c r="M1297" s="39">
        <f>SUMIFS(pg_transaction_cleaned!$H:$H,pg_transaction_cleaned!$O:$O,A1297,pg_transaction_cleaned!$F:$F,"REFUND")</f>
        <v>0</v>
      </c>
      <c r="N1297" s="23" t="str">
        <f t="shared" si="82"/>
        <v>Payment on failed/cancelled</v>
      </c>
      <c r="O1297" s="24">
        <f t="shared" si="83"/>
        <v>3098</v>
      </c>
    </row>
    <row r="1298" spans="1:15" ht="15" customHeight="1" x14ac:dyDescent="0.3">
      <c r="A1298" s="23" t="s">
        <v>3069</v>
      </c>
      <c r="B1298" s="38">
        <v>46294</v>
      </c>
      <c r="C1298" s="23" t="s">
        <v>3070</v>
      </c>
      <c r="D1298" s="23" t="s">
        <v>92</v>
      </c>
      <c r="E1298" s="23" t="s">
        <v>75</v>
      </c>
      <c r="F1298" s="23" t="s">
        <v>438</v>
      </c>
      <c r="G1298" s="23" t="s">
        <v>250</v>
      </c>
      <c r="H1298" s="39">
        <f t="shared" si="80"/>
        <v>5498</v>
      </c>
      <c r="I1298" s="23" t="str">
        <f t="shared" si="81"/>
        <v>Hyderabad</v>
      </c>
      <c r="J1298" s="23">
        <f>COUNTIFS(pg_transaction_cleaned!$O:$O,A1298,pg_transaction_cleaned!$F:$F,"CAPTURE")</f>
        <v>1</v>
      </c>
      <c r="K1298" s="39">
        <f>SUMIFS(pg_transaction_cleaned!$H:$H,pg_transaction_cleaned!$O:$O,A1298,pg_transaction_cleaned!$F:$F,"CAPTURE")</f>
        <v>5498</v>
      </c>
      <c r="L1298" s="23">
        <f>COUNTIFS(pg_transaction_cleaned!$O:$O,A1298,pg_transaction_cleaned!$F:$F,"REFUND")</f>
        <v>0</v>
      </c>
      <c r="M1298" s="39">
        <f>SUMIFS(pg_transaction_cleaned!$H:$H,pg_transaction_cleaned!$O:$O,A1298,pg_transaction_cleaned!$F:$F,"REFUND")</f>
        <v>0</v>
      </c>
      <c r="N1298" s="23" t="str">
        <f t="shared" si="82"/>
        <v>OK</v>
      </c>
      <c r="O1298" s="24">
        <f t="shared" si="83"/>
        <v>0</v>
      </c>
    </row>
    <row r="1299" spans="1:15" ht="15" customHeight="1" x14ac:dyDescent="0.3">
      <c r="A1299" s="23" t="s">
        <v>3071</v>
      </c>
      <c r="B1299" s="38">
        <v>46277</v>
      </c>
      <c r="C1299" s="23" t="s">
        <v>3072</v>
      </c>
      <c r="D1299" s="23" t="s">
        <v>95</v>
      </c>
      <c r="E1299" s="23" t="s">
        <v>79</v>
      </c>
      <c r="F1299" s="23" t="s">
        <v>294</v>
      </c>
      <c r="G1299" s="23" t="s">
        <v>250</v>
      </c>
      <c r="H1299" s="39">
        <f t="shared" si="80"/>
        <v>1799</v>
      </c>
      <c r="I1299" s="23" t="str">
        <f t="shared" si="81"/>
        <v>Bengaluru</v>
      </c>
      <c r="J1299" s="23">
        <f>COUNTIFS(pg_transaction_cleaned!$O:$O,A1299,pg_transaction_cleaned!$F:$F,"CAPTURE")</f>
        <v>1</v>
      </c>
      <c r="K1299" s="39">
        <f>SUMIFS(pg_transaction_cleaned!$H:$H,pg_transaction_cleaned!$O:$O,A1299,pg_transaction_cleaned!$F:$F,"CAPTURE")</f>
        <v>1799</v>
      </c>
      <c r="L1299" s="23">
        <f>COUNTIFS(pg_transaction_cleaned!$O:$O,A1299,pg_transaction_cleaned!$F:$F,"REFUND")</f>
        <v>0</v>
      </c>
      <c r="M1299" s="39">
        <f>SUMIFS(pg_transaction_cleaned!$H:$H,pg_transaction_cleaned!$O:$O,A1299,pg_transaction_cleaned!$F:$F,"REFUND")</f>
        <v>0</v>
      </c>
      <c r="N1299" s="23" t="str">
        <f t="shared" si="82"/>
        <v>OK</v>
      </c>
      <c r="O1299" s="24">
        <f t="shared" si="83"/>
        <v>0</v>
      </c>
    </row>
    <row r="1300" spans="1:15" ht="15" customHeight="1" x14ac:dyDescent="0.3">
      <c r="A1300" s="23" t="s">
        <v>3073</v>
      </c>
      <c r="B1300" s="38">
        <v>46282</v>
      </c>
      <c r="C1300" s="23" t="s">
        <v>3074</v>
      </c>
      <c r="D1300" s="23" t="s">
        <v>95</v>
      </c>
      <c r="E1300" s="23" t="s">
        <v>75</v>
      </c>
      <c r="F1300" s="23" t="s">
        <v>1505</v>
      </c>
      <c r="G1300" s="23" t="s">
        <v>250</v>
      </c>
      <c r="H1300" s="39">
        <f t="shared" si="80"/>
        <v>8298</v>
      </c>
      <c r="I1300" s="23" t="str">
        <f t="shared" si="81"/>
        <v>Bengaluru</v>
      </c>
      <c r="J1300" s="23">
        <f>COUNTIFS(pg_transaction_cleaned!$O:$O,A1300,pg_transaction_cleaned!$F:$F,"CAPTURE")</f>
        <v>1</v>
      </c>
      <c r="K1300" s="39">
        <f>SUMIFS(pg_transaction_cleaned!$H:$H,pg_transaction_cleaned!$O:$O,A1300,pg_transaction_cleaned!$F:$F,"CAPTURE")</f>
        <v>8298</v>
      </c>
      <c r="L1300" s="23">
        <f>COUNTIFS(pg_transaction_cleaned!$O:$O,A1300,pg_transaction_cleaned!$F:$F,"REFUND")</f>
        <v>0</v>
      </c>
      <c r="M1300" s="39">
        <f>SUMIFS(pg_transaction_cleaned!$H:$H,pg_transaction_cleaned!$O:$O,A1300,pg_transaction_cleaned!$F:$F,"REFUND")</f>
        <v>0</v>
      </c>
      <c r="N1300" s="23" t="str">
        <f t="shared" si="82"/>
        <v>OK</v>
      </c>
      <c r="O1300" s="24">
        <f t="shared" si="83"/>
        <v>0</v>
      </c>
    </row>
    <row r="1301" spans="1:15" ht="15" customHeight="1" x14ac:dyDescent="0.3">
      <c r="A1301" s="23" t="s">
        <v>3075</v>
      </c>
      <c r="B1301" s="38">
        <v>46291</v>
      </c>
      <c r="C1301" s="23" t="s">
        <v>3076</v>
      </c>
      <c r="D1301" s="23" t="s">
        <v>88</v>
      </c>
      <c r="E1301" s="23" t="s">
        <v>75</v>
      </c>
      <c r="F1301" s="23" t="s">
        <v>265</v>
      </c>
      <c r="G1301" s="23" t="s">
        <v>250</v>
      </c>
      <c r="H1301" s="39">
        <f t="shared" si="80"/>
        <v>999</v>
      </c>
      <c r="I1301" s="23" t="str">
        <f t="shared" si="81"/>
        <v>Lucknow</v>
      </c>
      <c r="J1301" s="23">
        <f>COUNTIFS(pg_transaction_cleaned!$O:$O,A1301,pg_transaction_cleaned!$F:$F,"CAPTURE")</f>
        <v>1</v>
      </c>
      <c r="K1301" s="39">
        <f>SUMIFS(pg_transaction_cleaned!$H:$H,pg_transaction_cleaned!$O:$O,A1301,pg_transaction_cleaned!$F:$F,"CAPTURE")</f>
        <v>999</v>
      </c>
      <c r="L1301" s="23">
        <f>COUNTIFS(pg_transaction_cleaned!$O:$O,A1301,pg_transaction_cleaned!$F:$F,"REFUND")</f>
        <v>0</v>
      </c>
      <c r="M1301" s="39">
        <f>SUMIFS(pg_transaction_cleaned!$H:$H,pg_transaction_cleaned!$O:$O,A1301,pg_transaction_cleaned!$F:$F,"REFUND")</f>
        <v>0</v>
      </c>
      <c r="N1301" s="23" t="str">
        <f t="shared" si="82"/>
        <v>OK</v>
      </c>
      <c r="O1301" s="24">
        <f t="shared" si="83"/>
        <v>0</v>
      </c>
    </row>
    <row r="1302" spans="1:15" ht="15" customHeight="1" x14ac:dyDescent="0.3">
      <c r="A1302" s="23" t="s">
        <v>3077</v>
      </c>
      <c r="B1302" s="38">
        <v>46288</v>
      </c>
      <c r="C1302" s="23" t="s">
        <v>3078</v>
      </c>
      <c r="D1302" s="23" t="s">
        <v>92</v>
      </c>
      <c r="E1302" s="23" t="s">
        <v>77</v>
      </c>
      <c r="F1302" s="23" t="s">
        <v>310</v>
      </c>
      <c r="G1302" s="23" t="s">
        <v>250</v>
      </c>
      <c r="H1302" s="39">
        <f t="shared" si="80"/>
        <v>7999</v>
      </c>
      <c r="I1302" s="23" t="str">
        <f t="shared" si="81"/>
        <v>Hyderabad</v>
      </c>
      <c r="J1302" s="23">
        <f>COUNTIFS(pg_transaction_cleaned!$O:$O,A1302,pg_transaction_cleaned!$F:$F,"CAPTURE")</f>
        <v>1</v>
      </c>
      <c r="K1302" s="39">
        <f>SUMIFS(pg_transaction_cleaned!$H:$H,pg_transaction_cleaned!$O:$O,A1302,pg_transaction_cleaned!$F:$F,"CAPTURE")</f>
        <v>7999</v>
      </c>
      <c r="L1302" s="23">
        <f>COUNTIFS(pg_transaction_cleaned!$O:$O,A1302,pg_transaction_cleaned!$F:$F,"REFUND")</f>
        <v>0</v>
      </c>
      <c r="M1302" s="39">
        <f>SUMIFS(pg_transaction_cleaned!$H:$H,pg_transaction_cleaned!$O:$O,A1302,pg_transaction_cleaned!$F:$F,"REFUND")</f>
        <v>0</v>
      </c>
      <c r="N1302" s="23" t="str">
        <f t="shared" si="82"/>
        <v>OK</v>
      </c>
      <c r="O1302" s="24">
        <f t="shared" si="83"/>
        <v>0</v>
      </c>
    </row>
    <row r="1303" spans="1:15" ht="15" customHeight="1" x14ac:dyDescent="0.3">
      <c r="A1303" s="23" t="s">
        <v>3079</v>
      </c>
      <c r="B1303" s="38">
        <v>46279</v>
      </c>
      <c r="C1303" s="23" t="s">
        <v>3080</v>
      </c>
      <c r="D1303" s="23" t="s">
        <v>90</v>
      </c>
      <c r="E1303" s="23" t="s">
        <v>81</v>
      </c>
      <c r="F1303" s="23" t="s">
        <v>1520</v>
      </c>
      <c r="G1303" s="23" t="s">
        <v>250</v>
      </c>
      <c r="H1303" s="39">
        <f t="shared" si="80"/>
        <v>499</v>
      </c>
      <c r="I1303" s="23" t="str">
        <f t="shared" si="81"/>
        <v>Ahmedabad</v>
      </c>
      <c r="J1303" s="23">
        <f>COUNTIFS(pg_transaction_cleaned!$O:$O,A1303,pg_transaction_cleaned!$F:$F,"CAPTURE")</f>
        <v>1</v>
      </c>
      <c r="K1303" s="39">
        <f>SUMIFS(pg_transaction_cleaned!$H:$H,pg_transaction_cleaned!$O:$O,A1303,pg_transaction_cleaned!$F:$F,"CAPTURE")</f>
        <v>499</v>
      </c>
      <c r="L1303" s="23">
        <f>COUNTIFS(pg_transaction_cleaned!$O:$O,A1303,pg_transaction_cleaned!$F:$F,"REFUND")</f>
        <v>0</v>
      </c>
      <c r="M1303" s="39">
        <f>SUMIFS(pg_transaction_cleaned!$H:$H,pg_transaction_cleaned!$O:$O,A1303,pg_transaction_cleaned!$F:$F,"REFUND")</f>
        <v>0</v>
      </c>
      <c r="N1303" s="23" t="str">
        <f t="shared" si="82"/>
        <v>OK</v>
      </c>
      <c r="O1303" s="24">
        <f t="shared" si="83"/>
        <v>0</v>
      </c>
    </row>
    <row r="1304" spans="1:15" ht="15" customHeight="1" x14ac:dyDescent="0.3">
      <c r="A1304" s="23" t="s">
        <v>3081</v>
      </c>
      <c r="B1304" s="38">
        <v>46273</v>
      </c>
      <c r="C1304" s="23" t="s">
        <v>3082</v>
      </c>
      <c r="D1304" s="23" t="s">
        <v>95</v>
      </c>
      <c r="E1304" s="23" t="s">
        <v>75</v>
      </c>
      <c r="F1304" s="23" t="s">
        <v>396</v>
      </c>
      <c r="G1304" s="23" t="s">
        <v>250</v>
      </c>
      <c r="H1304" s="39">
        <f t="shared" si="80"/>
        <v>2999</v>
      </c>
      <c r="I1304" s="23" t="str">
        <f t="shared" si="81"/>
        <v>Bengaluru</v>
      </c>
      <c r="J1304" s="23">
        <f>COUNTIFS(pg_transaction_cleaned!$O:$O,A1304,pg_transaction_cleaned!$F:$F,"CAPTURE")</f>
        <v>1</v>
      </c>
      <c r="K1304" s="39">
        <f>SUMIFS(pg_transaction_cleaned!$H:$H,pg_transaction_cleaned!$O:$O,A1304,pg_transaction_cleaned!$F:$F,"CAPTURE")</f>
        <v>2999</v>
      </c>
      <c r="L1304" s="23">
        <f>COUNTIFS(pg_transaction_cleaned!$O:$O,A1304,pg_transaction_cleaned!$F:$F,"REFUND")</f>
        <v>0</v>
      </c>
      <c r="M1304" s="39">
        <f>SUMIFS(pg_transaction_cleaned!$H:$H,pg_transaction_cleaned!$O:$O,A1304,pg_transaction_cleaned!$F:$F,"REFUND")</f>
        <v>0</v>
      </c>
      <c r="N1304" s="23" t="str">
        <f t="shared" si="82"/>
        <v>OK</v>
      </c>
      <c r="O1304" s="24">
        <f t="shared" si="83"/>
        <v>0</v>
      </c>
    </row>
    <row r="1305" spans="1:15" ht="15" customHeight="1" x14ac:dyDescent="0.3">
      <c r="A1305" s="23" t="s">
        <v>3083</v>
      </c>
      <c r="B1305" s="38">
        <v>46273</v>
      </c>
      <c r="C1305" s="23" t="s">
        <v>3084</v>
      </c>
      <c r="D1305" s="23" t="s">
        <v>95</v>
      </c>
      <c r="E1305" s="23" t="s">
        <v>75</v>
      </c>
      <c r="F1305" s="23" t="s">
        <v>612</v>
      </c>
      <c r="G1305" s="23" t="s">
        <v>318</v>
      </c>
      <c r="H1305" s="39">
        <f t="shared" si="80"/>
        <v>8498</v>
      </c>
      <c r="I1305" s="23" t="str">
        <f t="shared" si="81"/>
        <v>Bengaluru</v>
      </c>
      <c r="J1305" s="23">
        <f>COUNTIFS(pg_transaction_cleaned!$O:$O,A1305,pg_transaction_cleaned!$F:$F,"CAPTURE")</f>
        <v>0</v>
      </c>
      <c r="K1305" s="39">
        <f>SUMIFS(pg_transaction_cleaned!$H:$H,pg_transaction_cleaned!$O:$O,A1305,pg_transaction_cleaned!$F:$F,"CAPTURE")</f>
        <v>0</v>
      </c>
      <c r="L1305" s="23">
        <f>COUNTIFS(pg_transaction_cleaned!$O:$O,A1305,pg_transaction_cleaned!$F:$F,"REFUND")</f>
        <v>0</v>
      </c>
      <c r="M1305" s="39">
        <f>SUMIFS(pg_transaction_cleaned!$H:$H,pg_transaction_cleaned!$O:$O,A1305,pg_transaction_cleaned!$F:$F,"REFUND")</f>
        <v>0</v>
      </c>
      <c r="N1305" s="23" t="str">
        <f t="shared" si="82"/>
        <v>OK</v>
      </c>
      <c r="O1305" s="24">
        <f t="shared" si="83"/>
        <v>0</v>
      </c>
    </row>
    <row r="1306" spans="1:15" ht="15" customHeight="1" x14ac:dyDescent="0.3">
      <c r="A1306" s="23" t="s">
        <v>3085</v>
      </c>
      <c r="B1306" s="38">
        <v>46278</v>
      </c>
      <c r="C1306" s="23" t="s">
        <v>3086</v>
      </c>
      <c r="D1306" s="23" t="s">
        <v>94</v>
      </c>
      <c r="E1306" s="23" t="s">
        <v>75</v>
      </c>
      <c r="F1306" s="23" t="s">
        <v>310</v>
      </c>
      <c r="G1306" s="23" t="s">
        <v>301</v>
      </c>
      <c r="H1306" s="39">
        <f t="shared" si="80"/>
        <v>7999</v>
      </c>
      <c r="I1306" s="23" t="str">
        <f t="shared" si="81"/>
        <v>Chennai</v>
      </c>
      <c r="J1306" s="23">
        <f>COUNTIFS(pg_transaction_cleaned!$O:$O,A1306,pg_transaction_cleaned!$F:$F,"CAPTURE")</f>
        <v>1</v>
      </c>
      <c r="K1306" s="39">
        <f>SUMIFS(pg_transaction_cleaned!$H:$H,pg_transaction_cleaned!$O:$O,A1306,pg_transaction_cleaned!$F:$F,"CAPTURE")</f>
        <v>7999</v>
      </c>
      <c r="L1306" s="23">
        <f>COUNTIFS(pg_transaction_cleaned!$O:$O,A1306,pg_transaction_cleaned!$F:$F,"REFUND")</f>
        <v>1</v>
      </c>
      <c r="M1306" s="39">
        <f>SUMIFS(pg_transaction_cleaned!$H:$H,pg_transaction_cleaned!$O:$O,A1306,pg_transaction_cleaned!$F:$F,"REFUND")</f>
        <v>7999</v>
      </c>
      <c r="N1306" s="23" t="str">
        <f t="shared" si="82"/>
        <v>OK</v>
      </c>
      <c r="O1306" s="24">
        <f t="shared" si="83"/>
        <v>0</v>
      </c>
    </row>
    <row r="1307" spans="1:15" ht="15" customHeight="1" x14ac:dyDescent="0.3">
      <c r="A1307" s="23" t="s">
        <v>3087</v>
      </c>
      <c r="B1307" s="38">
        <v>46266</v>
      </c>
      <c r="C1307" s="23" t="s">
        <v>3088</v>
      </c>
      <c r="D1307" s="23" t="s">
        <v>94</v>
      </c>
      <c r="E1307" s="23" t="s">
        <v>75</v>
      </c>
      <c r="F1307" s="23" t="s">
        <v>1954</v>
      </c>
      <c r="G1307" s="23" t="s">
        <v>250</v>
      </c>
      <c r="H1307" s="39">
        <f t="shared" si="80"/>
        <v>848</v>
      </c>
      <c r="I1307" s="23" t="str">
        <f t="shared" si="81"/>
        <v>Chennai</v>
      </c>
      <c r="J1307" s="23">
        <f>COUNTIFS(pg_transaction_cleaned!$O:$O,A1307,pg_transaction_cleaned!$F:$F,"CAPTURE")</f>
        <v>1</v>
      </c>
      <c r="K1307" s="39">
        <f>SUMIFS(pg_transaction_cleaned!$H:$H,pg_transaction_cleaned!$O:$O,A1307,pg_transaction_cleaned!$F:$F,"CAPTURE")</f>
        <v>848</v>
      </c>
      <c r="L1307" s="23">
        <f>COUNTIFS(pg_transaction_cleaned!$O:$O,A1307,pg_transaction_cleaned!$F:$F,"REFUND")</f>
        <v>0</v>
      </c>
      <c r="M1307" s="39">
        <f>SUMIFS(pg_transaction_cleaned!$H:$H,pg_transaction_cleaned!$O:$O,A1307,pg_transaction_cleaned!$F:$F,"REFUND")</f>
        <v>0</v>
      </c>
      <c r="N1307" s="23" t="str">
        <f t="shared" si="82"/>
        <v>OK</v>
      </c>
      <c r="O1307" s="24">
        <f t="shared" si="83"/>
        <v>0</v>
      </c>
    </row>
    <row r="1308" spans="1:15" ht="15" customHeight="1" x14ac:dyDescent="0.3">
      <c r="A1308" s="23" t="s">
        <v>3089</v>
      </c>
      <c r="B1308" s="38">
        <v>46267</v>
      </c>
      <c r="C1308" s="23" t="s">
        <v>3090</v>
      </c>
      <c r="D1308" s="23" t="s">
        <v>86</v>
      </c>
      <c r="E1308" s="23" t="s">
        <v>75</v>
      </c>
      <c r="F1308" s="23" t="s">
        <v>329</v>
      </c>
      <c r="G1308" s="23" t="s">
        <v>250</v>
      </c>
      <c r="H1308" s="39">
        <f t="shared" si="80"/>
        <v>599</v>
      </c>
      <c r="I1308" s="23" t="str">
        <f t="shared" si="81"/>
        <v>Delhi</v>
      </c>
      <c r="J1308" s="23">
        <f>COUNTIFS(pg_transaction_cleaned!$O:$O,A1308,pg_transaction_cleaned!$F:$F,"CAPTURE")</f>
        <v>1</v>
      </c>
      <c r="K1308" s="39">
        <f>SUMIFS(pg_transaction_cleaned!$H:$H,pg_transaction_cleaned!$O:$O,A1308,pg_transaction_cleaned!$F:$F,"CAPTURE")</f>
        <v>599</v>
      </c>
      <c r="L1308" s="23">
        <f>COUNTIFS(pg_transaction_cleaned!$O:$O,A1308,pg_transaction_cleaned!$F:$F,"REFUND")</f>
        <v>0</v>
      </c>
      <c r="M1308" s="39">
        <f>SUMIFS(pg_transaction_cleaned!$H:$H,pg_transaction_cleaned!$O:$O,A1308,pg_transaction_cleaned!$F:$F,"REFUND")</f>
        <v>0</v>
      </c>
      <c r="N1308" s="23" t="str">
        <f t="shared" si="82"/>
        <v>OK</v>
      </c>
      <c r="O1308" s="24">
        <f t="shared" si="83"/>
        <v>0</v>
      </c>
    </row>
    <row r="1309" spans="1:15" ht="15" customHeight="1" x14ac:dyDescent="0.3">
      <c r="A1309" s="23" t="s">
        <v>3091</v>
      </c>
      <c r="B1309" s="38">
        <v>46276</v>
      </c>
      <c r="C1309" s="23" t="s">
        <v>3092</v>
      </c>
      <c r="D1309" s="23" t="s">
        <v>91</v>
      </c>
      <c r="E1309" s="23" t="s">
        <v>75</v>
      </c>
      <c r="F1309" s="23" t="s">
        <v>451</v>
      </c>
      <c r="G1309" s="23" t="s">
        <v>250</v>
      </c>
      <c r="H1309" s="39">
        <f t="shared" si="80"/>
        <v>1098</v>
      </c>
      <c r="I1309" s="23" t="str">
        <f t="shared" si="81"/>
        <v>Pune</v>
      </c>
      <c r="J1309" s="23">
        <f>COUNTIFS(pg_transaction_cleaned!$O:$O,A1309,pg_transaction_cleaned!$F:$F,"CAPTURE")</f>
        <v>1</v>
      </c>
      <c r="K1309" s="39">
        <f>SUMIFS(pg_transaction_cleaned!$H:$H,pg_transaction_cleaned!$O:$O,A1309,pg_transaction_cleaned!$F:$F,"CAPTURE")</f>
        <v>1098</v>
      </c>
      <c r="L1309" s="23">
        <f>COUNTIFS(pg_transaction_cleaned!$O:$O,A1309,pg_transaction_cleaned!$F:$F,"REFUND")</f>
        <v>0</v>
      </c>
      <c r="M1309" s="39">
        <f>SUMIFS(pg_transaction_cleaned!$H:$H,pg_transaction_cleaned!$O:$O,A1309,pg_transaction_cleaned!$F:$F,"REFUND")</f>
        <v>0</v>
      </c>
      <c r="N1309" s="23" t="str">
        <f t="shared" si="82"/>
        <v>OK</v>
      </c>
      <c r="O1309" s="24">
        <f t="shared" si="83"/>
        <v>0</v>
      </c>
    </row>
    <row r="1310" spans="1:15" ht="15" customHeight="1" x14ac:dyDescent="0.3">
      <c r="A1310" s="23" t="s">
        <v>3093</v>
      </c>
      <c r="B1310" s="38">
        <v>46266</v>
      </c>
      <c r="C1310" s="23" t="s">
        <v>3094</v>
      </c>
      <c r="D1310" s="23" t="s">
        <v>92</v>
      </c>
      <c r="E1310" s="23" t="s">
        <v>75</v>
      </c>
      <c r="F1310" s="23" t="s">
        <v>3095</v>
      </c>
      <c r="G1310" s="23" t="s">
        <v>250</v>
      </c>
      <c r="H1310" s="39">
        <f t="shared" si="80"/>
        <v>4797</v>
      </c>
      <c r="I1310" s="23" t="str">
        <f t="shared" si="81"/>
        <v>Hyderabad</v>
      </c>
      <c r="J1310" s="23">
        <f>COUNTIFS(pg_transaction_cleaned!$O:$O,A1310,pg_transaction_cleaned!$F:$F,"CAPTURE")</f>
        <v>1</v>
      </c>
      <c r="K1310" s="39">
        <f>SUMIFS(pg_transaction_cleaned!$H:$H,pg_transaction_cleaned!$O:$O,A1310,pg_transaction_cleaned!$F:$F,"CAPTURE")</f>
        <v>4797</v>
      </c>
      <c r="L1310" s="23">
        <f>COUNTIFS(pg_transaction_cleaned!$O:$O,A1310,pg_transaction_cleaned!$F:$F,"REFUND")</f>
        <v>0</v>
      </c>
      <c r="M1310" s="39">
        <f>SUMIFS(pg_transaction_cleaned!$H:$H,pg_transaction_cleaned!$O:$O,A1310,pg_transaction_cleaned!$F:$F,"REFUND")</f>
        <v>0</v>
      </c>
      <c r="N1310" s="23" t="str">
        <f t="shared" si="82"/>
        <v>OK</v>
      </c>
      <c r="O1310" s="24">
        <f t="shared" si="83"/>
        <v>0</v>
      </c>
    </row>
    <row r="1311" spans="1:15" ht="15" customHeight="1" x14ac:dyDescent="0.3">
      <c r="A1311" s="23" t="s">
        <v>3096</v>
      </c>
      <c r="B1311" s="38">
        <v>46280</v>
      </c>
      <c r="C1311" s="23" t="s">
        <v>3097</v>
      </c>
      <c r="D1311" s="23" t="s">
        <v>88</v>
      </c>
      <c r="E1311" s="23" t="s">
        <v>79</v>
      </c>
      <c r="F1311" s="23" t="s">
        <v>265</v>
      </c>
      <c r="G1311" s="23" t="s">
        <v>250</v>
      </c>
      <c r="H1311" s="39">
        <f t="shared" si="80"/>
        <v>999</v>
      </c>
      <c r="I1311" s="23" t="str">
        <f t="shared" si="81"/>
        <v>Lucknow</v>
      </c>
      <c r="J1311" s="23">
        <f>COUNTIFS(pg_transaction_cleaned!$O:$O,A1311,pg_transaction_cleaned!$F:$F,"CAPTURE")</f>
        <v>1</v>
      </c>
      <c r="K1311" s="39">
        <f>SUMIFS(pg_transaction_cleaned!$H:$H,pg_transaction_cleaned!$O:$O,A1311,pg_transaction_cleaned!$F:$F,"CAPTURE")</f>
        <v>999</v>
      </c>
      <c r="L1311" s="23">
        <f>COUNTIFS(pg_transaction_cleaned!$O:$O,A1311,pg_transaction_cleaned!$F:$F,"REFUND")</f>
        <v>0</v>
      </c>
      <c r="M1311" s="39">
        <f>SUMIFS(pg_transaction_cleaned!$H:$H,pg_transaction_cleaned!$O:$O,A1311,pg_transaction_cleaned!$F:$F,"REFUND")</f>
        <v>0</v>
      </c>
      <c r="N1311" s="23" t="str">
        <f t="shared" si="82"/>
        <v>OK</v>
      </c>
      <c r="O1311" s="24">
        <f t="shared" si="83"/>
        <v>0</v>
      </c>
    </row>
    <row r="1312" spans="1:15" ht="15" customHeight="1" x14ac:dyDescent="0.3">
      <c r="A1312" s="23" t="s">
        <v>3098</v>
      </c>
      <c r="B1312" s="38">
        <v>46294</v>
      </c>
      <c r="C1312" s="23" t="s">
        <v>3099</v>
      </c>
      <c r="D1312" s="23" t="s">
        <v>95</v>
      </c>
      <c r="E1312" s="23" t="s">
        <v>77</v>
      </c>
      <c r="F1312" s="23" t="s">
        <v>724</v>
      </c>
      <c r="G1312" s="23" t="s">
        <v>250</v>
      </c>
      <c r="H1312" s="39">
        <f t="shared" si="80"/>
        <v>3848</v>
      </c>
      <c r="I1312" s="23" t="str">
        <f t="shared" si="81"/>
        <v>Bengaluru</v>
      </c>
      <c r="J1312" s="23">
        <f>COUNTIFS(pg_transaction_cleaned!$O:$O,A1312,pg_transaction_cleaned!$F:$F,"CAPTURE")</f>
        <v>1</v>
      </c>
      <c r="K1312" s="39">
        <f>SUMIFS(pg_transaction_cleaned!$H:$H,pg_transaction_cleaned!$O:$O,A1312,pg_transaction_cleaned!$F:$F,"CAPTURE")</f>
        <v>3848</v>
      </c>
      <c r="L1312" s="23">
        <f>COUNTIFS(pg_transaction_cleaned!$O:$O,A1312,pg_transaction_cleaned!$F:$F,"REFUND")</f>
        <v>0</v>
      </c>
      <c r="M1312" s="39">
        <f>SUMIFS(pg_transaction_cleaned!$H:$H,pg_transaction_cleaned!$O:$O,A1312,pg_transaction_cleaned!$F:$F,"REFUND")</f>
        <v>0</v>
      </c>
      <c r="N1312" s="23" t="str">
        <f t="shared" si="82"/>
        <v>OK</v>
      </c>
      <c r="O1312" s="24">
        <f t="shared" si="83"/>
        <v>0</v>
      </c>
    </row>
    <row r="1313" spans="1:15" ht="15" customHeight="1" x14ac:dyDescent="0.3">
      <c r="A1313" s="23" t="s">
        <v>3100</v>
      </c>
      <c r="B1313" s="38">
        <v>46272</v>
      </c>
      <c r="C1313" s="23" t="s">
        <v>3101</v>
      </c>
      <c r="D1313" s="23" t="s">
        <v>95</v>
      </c>
      <c r="E1313" s="23" t="s">
        <v>79</v>
      </c>
      <c r="F1313" s="23" t="s">
        <v>3102</v>
      </c>
      <c r="G1313" s="23" t="s">
        <v>250</v>
      </c>
      <c r="H1313" s="39">
        <f t="shared" si="80"/>
        <v>4798</v>
      </c>
      <c r="I1313" s="23" t="str">
        <f t="shared" si="81"/>
        <v>Bengaluru</v>
      </c>
      <c r="J1313" s="23">
        <f>COUNTIFS(pg_transaction_cleaned!$O:$O,A1313,pg_transaction_cleaned!$F:$F,"CAPTURE")</f>
        <v>1</v>
      </c>
      <c r="K1313" s="39">
        <f>SUMIFS(pg_transaction_cleaned!$H:$H,pg_transaction_cleaned!$O:$O,A1313,pg_transaction_cleaned!$F:$F,"CAPTURE")</f>
        <v>4798</v>
      </c>
      <c r="L1313" s="23">
        <f>COUNTIFS(pg_transaction_cleaned!$O:$O,A1313,pg_transaction_cleaned!$F:$F,"REFUND")</f>
        <v>0</v>
      </c>
      <c r="M1313" s="39">
        <f>SUMIFS(pg_transaction_cleaned!$H:$H,pg_transaction_cleaned!$O:$O,A1313,pg_transaction_cleaned!$F:$F,"REFUND")</f>
        <v>0</v>
      </c>
      <c r="N1313" s="23" t="str">
        <f t="shared" si="82"/>
        <v>OK</v>
      </c>
      <c r="O1313" s="24">
        <f t="shared" si="83"/>
        <v>0</v>
      </c>
    </row>
    <row r="1314" spans="1:15" ht="15" customHeight="1" x14ac:dyDescent="0.3">
      <c r="A1314" s="23" t="s">
        <v>3103</v>
      </c>
      <c r="B1314" s="38">
        <v>46295</v>
      </c>
      <c r="C1314" s="23" t="s">
        <v>3104</v>
      </c>
      <c r="D1314" s="23" t="s">
        <v>92</v>
      </c>
      <c r="E1314" s="23" t="s">
        <v>75</v>
      </c>
      <c r="F1314" s="23" t="s">
        <v>775</v>
      </c>
      <c r="G1314" s="23" t="s">
        <v>250</v>
      </c>
      <c r="H1314" s="39">
        <f t="shared" si="80"/>
        <v>4999</v>
      </c>
      <c r="I1314" s="23" t="str">
        <f t="shared" si="81"/>
        <v>Hyderabad</v>
      </c>
      <c r="J1314" s="23">
        <f>COUNTIFS(pg_transaction_cleaned!$O:$O,A1314,pg_transaction_cleaned!$F:$F,"CAPTURE")</f>
        <v>1</v>
      </c>
      <c r="K1314" s="39">
        <f>SUMIFS(pg_transaction_cleaned!$H:$H,pg_transaction_cleaned!$O:$O,A1314,pg_transaction_cleaned!$F:$F,"CAPTURE")</f>
        <v>4999</v>
      </c>
      <c r="L1314" s="23">
        <f>COUNTIFS(pg_transaction_cleaned!$O:$O,A1314,pg_transaction_cleaned!$F:$F,"REFUND")</f>
        <v>0</v>
      </c>
      <c r="M1314" s="39">
        <f>SUMIFS(pg_transaction_cleaned!$H:$H,pg_transaction_cleaned!$O:$O,A1314,pg_transaction_cleaned!$F:$F,"REFUND")</f>
        <v>0</v>
      </c>
      <c r="N1314" s="23" t="str">
        <f t="shared" si="82"/>
        <v>OK</v>
      </c>
      <c r="O1314" s="24">
        <f t="shared" si="83"/>
        <v>0</v>
      </c>
    </row>
    <row r="1315" spans="1:15" ht="15" customHeight="1" x14ac:dyDescent="0.3">
      <c r="A1315" s="23" t="s">
        <v>3105</v>
      </c>
      <c r="B1315" s="38">
        <v>46291</v>
      </c>
      <c r="C1315" s="23" t="s">
        <v>3106</v>
      </c>
      <c r="D1315" s="23" t="s">
        <v>86</v>
      </c>
      <c r="E1315" s="23" t="s">
        <v>79</v>
      </c>
      <c r="F1315" s="23" t="s">
        <v>265</v>
      </c>
      <c r="G1315" s="23" t="s">
        <v>250</v>
      </c>
      <c r="H1315" s="39">
        <f t="shared" si="80"/>
        <v>999</v>
      </c>
      <c r="I1315" s="23" t="str">
        <f t="shared" si="81"/>
        <v>Delhi</v>
      </c>
      <c r="J1315" s="23">
        <f>COUNTIFS(pg_transaction_cleaned!$O:$O,A1315,pg_transaction_cleaned!$F:$F,"CAPTURE")</f>
        <v>1</v>
      </c>
      <c r="K1315" s="39">
        <f>SUMIFS(pg_transaction_cleaned!$H:$H,pg_transaction_cleaned!$O:$O,A1315,pg_transaction_cleaned!$F:$F,"CAPTURE")</f>
        <v>999</v>
      </c>
      <c r="L1315" s="23">
        <f>COUNTIFS(pg_transaction_cleaned!$O:$O,A1315,pg_transaction_cleaned!$F:$F,"REFUND")</f>
        <v>0</v>
      </c>
      <c r="M1315" s="39">
        <f>SUMIFS(pg_transaction_cleaned!$H:$H,pg_transaction_cleaned!$O:$O,A1315,pg_transaction_cleaned!$F:$F,"REFUND")</f>
        <v>0</v>
      </c>
      <c r="N1315" s="23" t="str">
        <f t="shared" si="82"/>
        <v>OK</v>
      </c>
      <c r="O1315" s="24">
        <f t="shared" si="83"/>
        <v>0</v>
      </c>
    </row>
    <row r="1316" spans="1:15" ht="15" customHeight="1" x14ac:dyDescent="0.3">
      <c r="A1316" s="23" t="s">
        <v>3107</v>
      </c>
      <c r="B1316" s="38">
        <v>46293</v>
      </c>
      <c r="C1316" s="23" t="s">
        <v>3108</v>
      </c>
      <c r="D1316" s="23" t="s">
        <v>88</v>
      </c>
      <c r="E1316" s="23" t="s">
        <v>75</v>
      </c>
      <c r="F1316" s="23" t="s">
        <v>3109</v>
      </c>
      <c r="G1316" s="23" t="s">
        <v>250</v>
      </c>
      <c r="H1316" s="39">
        <f t="shared" si="80"/>
        <v>3998</v>
      </c>
      <c r="I1316" s="23" t="str">
        <f t="shared" si="81"/>
        <v>Lucknow</v>
      </c>
      <c r="J1316" s="23">
        <f>COUNTIFS(pg_transaction_cleaned!$O:$O,A1316,pg_transaction_cleaned!$F:$F,"CAPTURE")</f>
        <v>1</v>
      </c>
      <c r="K1316" s="39">
        <f>SUMIFS(pg_transaction_cleaned!$H:$H,pg_transaction_cleaned!$O:$O,A1316,pg_transaction_cleaned!$F:$F,"CAPTURE")</f>
        <v>3998</v>
      </c>
      <c r="L1316" s="23">
        <f>COUNTIFS(pg_transaction_cleaned!$O:$O,A1316,pg_transaction_cleaned!$F:$F,"REFUND")</f>
        <v>0</v>
      </c>
      <c r="M1316" s="39">
        <f>SUMIFS(pg_transaction_cleaned!$H:$H,pg_transaction_cleaned!$O:$O,A1316,pg_transaction_cleaned!$F:$F,"REFUND")</f>
        <v>0</v>
      </c>
      <c r="N1316" s="23" t="str">
        <f t="shared" si="82"/>
        <v>OK</v>
      </c>
      <c r="O1316" s="24">
        <f t="shared" si="83"/>
        <v>0</v>
      </c>
    </row>
    <row r="1317" spans="1:15" ht="15" customHeight="1" x14ac:dyDescent="0.3">
      <c r="A1317" s="23" t="s">
        <v>3110</v>
      </c>
      <c r="B1317" s="38">
        <v>46268</v>
      </c>
      <c r="C1317" s="23" t="s">
        <v>3111</v>
      </c>
      <c r="D1317" s="23" t="s">
        <v>94</v>
      </c>
      <c r="E1317" s="23" t="s">
        <v>77</v>
      </c>
      <c r="F1317" s="23" t="s">
        <v>2954</v>
      </c>
      <c r="G1317" s="23" t="s">
        <v>250</v>
      </c>
      <c r="H1317" s="39">
        <f t="shared" si="80"/>
        <v>1799</v>
      </c>
      <c r="I1317" s="23" t="str">
        <f t="shared" si="81"/>
        <v>Chennai</v>
      </c>
      <c r="J1317" s="23">
        <f>COUNTIFS(pg_transaction_cleaned!$O:$O,A1317,pg_transaction_cleaned!$F:$F,"CAPTURE")</f>
        <v>1</v>
      </c>
      <c r="K1317" s="39">
        <f>SUMIFS(pg_transaction_cleaned!$H:$H,pg_transaction_cleaned!$O:$O,A1317,pg_transaction_cleaned!$F:$F,"CAPTURE")</f>
        <v>1799</v>
      </c>
      <c r="L1317" s="23">
        <f>COUNTIFS(pg_transaction_cleaned!$O:$O,A1317,pg_transaction_cleaned!$F:$F,"REFUND")</f>
        <v>0</v>
      </c>
      <c r="M1317" s="39">
        <f>SUMIFS(pg_transaction_cleaned!$H:$H,pg_transaction_cleaned!$O:$O,A1317,pg_transaction_cleaned!$F:$F,"REFUND")</f>
        <v>0</v>
      </c>
      <c r="N1317" s="23" t="str">
        <f t="shared" si="82"/>
        <v>OK</v>
      </c>
      <c r="O1317" s="24">
        <f t="shared" si="83"/>
        <v>0</v>
      </c>
    </row>
    <row r="1318" spans="1:15" ht="15" customHeight="1" x14ac:dyDescent="0.3">
      <c r="A1318" s="23" t="s">
        <v>3112</v>
      </c>
      <c r="B1318" s="38">
        <v>46281</v>
      </c>
      <c r="C1318" s="23" t="s">
        <v>3113</v>
      </c>
      <c r="D1318" s="23" t="s">
        <v>90</v>
      </c>
      <c r="E1318" s="23" t="s">
        <v>75</v>
      </c>
      <c r="F1318" s="23" t="s">
        <v>460</v>
      </c>
      <c r="G1318" s="23" t="s">
        <v>250</v>
      </c>
      <c r="H1318" s="39">
        <f t="shared" si="80"/>
        <v>1998</v>
      </c>
      <c r="I1318" s="23" t="str">
        <f t="shared" si="81"/>
        <v>Ahmedabad</v>
      </c>
      <c r="J1318" s="23">
        <f>COUNTIFS(pg_transaction_cleaned!$O:$O,A1318,pg_transaction_cleaned!$F:$F,"CAPTURE")</f>
        <v>1</v>
      </c>
      <c r="K1318" s="39">
        <f>SUMIFS(pg_transaction_cleaned!$H:$H,pg_transaction_cleaned!$O:$O,A1318,pg_transaction_cleaned!$F:$F,"CAPTURE")</f>
        <v>1998</v>
      </c>
      <c r="L1318" s="23">
        <f>COUNTIFS(pg_transaction_cleaned!$O:$O,A1318,pg_transaction_cleaned!$F:$F,"REFUND")</f>
        <v>0</v>
      </c>
      <c r="M1318" s="39">
        <f>SUMIFS(pg_transaction_cleaned!$H:$H,pg_transaction_cleaned!$O:$O,A1318,pg_transaction_cleaned!$F:$F,"REFUND")</f>
        <v>0</v>
      </c>
      <c r="N1318" s="23" t="str">
        <f t="shared" si="82"/>
        <v>OK</v>
      </c>
      <c r="O1318" s="24">
        <f t="shared" si="83"/>
        <v>0</v>
      </c>
    </row>
    <row r="1319" spans="1:15" ht="15" customHeight="1" x14ac:dyDescent="0.3">
      <c r="A1319" s="23" t="s">
        <v>3114</v>
      </c>
      <c r="B1319" s="38">
        <v>46281</v>
      </c>
      <c r="C1319" s="23" t="s">
        <v>3115</v>
      </c>
      <c r="D1319" s="23" t="s">
        <v>87</v>
      </c>
      <c r="E1319" s="23" t="s">
        <v>77</v>
      </c>
      <c r="F1319" s="23" t="s">
        <v>271</v>
      </c>
      <c r="G1319" s="23" t="s">
        <v>250</v>
      </c>
      <c r="H1319" s="39">
        <f t="shared" si="80"/>
        <v>2499</v>
      </c>
      <c r="I1319" s="23" t="str">
        <f t="shared" si="81"/>
        <v>Mumbai</v>
      </c>
      <c r="J1319" s="23">
        <f>COUNTIFS(pg_transaction_cleaned!$O:$O,A1319,pg_transaction_cleaned!$F:$F,"CAPTURE")</f>
        <v>1</v>
      </c>
      <c r="K1319" s="39">
        <f>SUMIFS(pg_transaction_cleaned!$H:$H,pg_transaction_cleaned!$O:$O,A1319,pg_transaction_cleaned!$F:$F,"CAPTURE")</f>
        <v>2499</v>
      </c>
      <c r="L1319" s="23">
        <f>COUNTIFS(pg_transaction_cleaned!$O:$O,A1319,pg_transaction_cleaned!$F:$F,"REFUND")</f>
        <v>0</v>
      </c>
      <c r="M1319" s="39">
        <f>SUMIFS(pg_transaction_cleaned!$H:$H,pg_transaction_cleaned!$O:$O,A1319,pg_transaction_cleaned!$F:$F,"REFUND")</f>
        <v>0</v>
      </c>
      <c r="N1319" s="23" t="str">
        <f t="shared" si="82"/>
        <v>OK</v>
      </c>
      <c r="O1319" s="24">
        <f t="shared" si="83"/>
        <v>0</v>
      </c>
    </row>
    <row r="1320" spans="1:15" ht="15" customHeight="1" x14ac:dyDescent="0.3">
      <c r="A1320" s="23" t="s">
        <v>3116</v>
      </c>
      <c r="B1320" s="38">
        <v>46272</v>
      </c>
      <c r="C1320" s="23" t="s">
        <v>3117</v>
      </c>
      <c r="D1320" s="23" t="s">
        <v>92</v>
      </c>
      <c r="E1320" s="23" t="s">
        <v>75</v>
      </c>
      <c r="F1320" s="23" t="s">
        <v>329</v>
      </c>
      <c r="G1320" s="23" t="s">
        <v>250</v>
      </c>
      <c r="H1320" s="39">
        <f t="shared" si="80"/>
        <v>599</v>
      </c>
      <c r="I1320" s="23" t="str">
        <f t="shared" si="81"/>
        <v>Hyderabad</v>
      </c>
      <c r="J1320" s="23">
        <f>COUNTIFS(pg_transaction_cleaned!$O:$O,A1320,pg_transaction_cleaned!$F:$F,"CAPTURE")</f>
        <v>1</v>
      </c>
      <c r="K1320" s="39">
        <f>SUMIFS(pg_transaction_cleaned!$H:$H,pg_transaction_cleaned!$O:$O,A1320,pg_transaction_cleaned!$F:$F,"CAPTURE")</f>
        <v>599</v>
      </c>
      <c r="L1320" s="23">
        <f>COUNTIFS(pg_transaction_cleaned!$O:$O,A1320,pg_transaction_cleaned!$F:$F,"REFUND")</f>
        <v>0</v>
      </c>
      <c r="M1320" s="39">
        <f>SUMIFS(pg_transaction_cleaned!$H:$H,pg_transaction_cleaned!$O:$O,A1320,pg_transaction_cleaned!$F:$F,"REFUND")</f>
        <v>0</v>
      </c>
      <c r="N1320" s="23" t="str">
        <f t="shared" si="82"/>
        <v>OK</v>
      </c>
      <c r="O1320" s="24">
        <f t="shared" si="83"/>
        <v>0</v>
      </c>
    </row>
    <row r="1321" spans="1:15" ht="15" customHeight="1" x14ac:dyDescent="0.3">
      <c r="A1321" s="23" t="s">
        <v>3118</v>
      </c>
      <c r="B1321" s="38">
        <v>46279</v>
      </c>
      <c r="C1321" s="23" t="s">
        <v>3119</v>
      </c>
      <c r="D1321" s="23" t="s">
        <v>91</v>
      </c>
      <c r="E1321" s="23" t="s">
        <v>75</v>
      </c>
      <c r="F1321" s="23" t="s">
        <v>483</v>
      </c>
      <c r="G1321" s="23" t="s">
        <v>318</v>
      </c>
      <c r="H1321" s="39">
        <f t="shared" si="80"/>
        <v>2998</v>
      </c>
      <c r="I1321" s="23" t="str">
        <f t="shared" si="81"/>
        <v>Pune</v>
      </c>
      <c r="J1321" s="23">
        <f>COUNTIFS(pg_transaction_cleaned!$O:$O,A1321,pg_transaction_cleaned!$F:$F,"CAPTURE")</f>
        <v>0</v>
      </c>
      <c r="K1321" s="39">
        <f>SUMIFS(pg_transaction_cleaned!$H:$H,pg_transaction_cleaned!$O:$O,A1321,pg_transaction_cleaned!$F:$F,"CAPTURE")</f>
        <v>0</v>
      </c>
      <c r="L1321" s="23">
        <f>COUNTIFS(pg_transaction_cleaned!$O:$O,A1321,pg_transaction_cleaned!$F:$F,"REFUND")</f>
        <v>0</v>
      </c>
      <c r="M1321" s="39">
        <f>SUMIFS(pg_transaction_cleaned!$H:$H,pg_transaction_cleaned!$O:$O,A1321,pg_transaction_cleaned!$F:$F,"REFUND")</f>
        <v>0</v>
      </c>
      <c r="N1321" s="23" t="str">
        <f t="shared" si="82"/>
        <v>OK</v>
      </c>
      <c r="O1321" s="24">
        <f t="shared" si="83"/>
        <v>0</v>
      </c>
    </row>
    <row r="1322" spans="1:15" ht="15" customHeight="1" x14ac:dyDescent="0.3">
      <c r="A1322" s="23" t="s">
        <v>3120</v>
      </c>
      <c r="B1322" s="38">
        <v>46270</v>
      </c>
      <c r="C1322" s="23" t="s">
        <v>3121</v>
      </c>
      <c r="D1322" s="23" t="s">
        <v>87</v>
      </c>
      <c r="E1322" s="23" t="s">
        <v>75</v>
      </c>
      <c r="F1322" s="23" t="s">
        <v>475</v>
      </c>
      <c r="G1322" s="23" t="s">
        <v>250</v>
      </c>
      <c r="H1322" s="39">
        <f t="shared" si="80"/>
        <v>799</v>
      </c>
      <c r="I1322" s="23" t="str">
        <f t="shared" si="81"/>
        <v>Mumbai</v>
      </c>
      <c r="J1322" s="23">
        <f>COUNTIFS(pg_transaction_cleaned!$O:$O,A1322,pg_transaction_cleaned!$F:$F,"CAPTURE")</f>
        <v>1</v>
      </c>
      <c r="K1322" s="39">
        <f>SUMIFS(pg_transaction_cleaned!$H:$H,pg_transaction_cleaned!$O:$O,A1322,pg_transaction_cleaned!$F:$F,"CAPTURE")</f>
        <v>799</v>
      </c>
      <c r="L1322" s="23">
        <f>COUNTIFS(pg_transaction_cleaned!$O:$O,A1322,pg_transaction_cleaned!$F:$F,"REFUND")</f>
        <v>0</v>
      </c>
      <c r="M1322" s="39">
        <f>SUMIFS(pg_transaction_cleaned!$H:$H,pg_transaction_cleaned!$O:$O,A1322,pg_transaction_cleaned!$F:$F,"REFUND")</f>
        <v>0</v>
      </c>
      <c r="N1322" s="23" t="str">
        <f t="shared" si="82"/>
        <v>OK</v>
      </c>
      <c r="O1322" s="24">
        <f t="shared" si="83"/>
        <v>0</v>
      </c>
    </row>
    <row r="1323" spans="1:15" ht="15" customHeight="1" x14ac:dyDescent="0.3">
      <c r="A1323" s="23" t="s">
        <v>3122</v>
      </c>
      <c r="B1323" s="38">
        <v>46280</v>
      </c>
      <c r="C1323" s="23" t="s">
        <v>3123</v>
      </c>
      <c r="D1323" s="23" t="s">
        <v>94</v>
      </c>
      <c r="E1323" s="23" t="s">
        <v>75</v>
      </c>
      <c r="F1323" s="23" t="s">
        <v>1193</v>
      </c>
      <c r="G1323" s="23" t="s">
        <v>250</v>
      </c>
      <c r="H1323" s="39">
        <f t="shared" si="80"/>
        <v>3498</v>
      </c>
      <c r="I1323" s="23" t="str">
        <f t="shared" si="81"/>
        <v>Chennai</v>
      </c>
      <c r="J1323" s="23">
        <f>COUNTIFS(pg_transaction_cleaned!$O:$O,A1323,pg_transaction_cleaned!$F:$F,"CAPTURE")</f>
        <v>1</v>
      </c>
      <c r="K1323" s="39">
        <f>SUMIFS(pg_transaction_cleaned!$H:$H,pg_transaction_cleaned!$O:$O,A1323,pg_transaction_cleaned!$F:$F,"CAPTURE")</f>
        <v>3498</v>
      </c>
      <c r="L1323" s="23">
        <f>COUNTIFS(pg_transaction_cleaned!$O:$O,A1323,pg_transaction_cleaned!$F:$F,"REFUND")</f>
        <v>0</v>
      </c>
      <c r="M1323" s="39">
        <f>SUMIFS(pg_transaction_cleaned!$H:$H,pg_transaction_cleaned!$O:$O,A1323,pg_transaction_cleaned!$F:$F,"REFUND")</f>
        <v>0</v>
      </c>
      <c r="N1323" s="23" t="str">
        <f t="shared" si="82"/>
        <v>OK</v>
      </c>
      <c r="O1323" s="24">
        <f t="shared" si="83"/>
        <v>0</v>
      </c>
    </row>
    <row r="1324" spans="1:15" ht="15" customHeight="1" x14ac:dyDescent="0.3">
      <c r="A1324" s="23" t="s">
        <v>3124</v>
      </c>
      <c r="B1324" s="38">
        <v>46291</v>
      </c>
      <c r="C1324" s="23" t="s">
        <v>3125</v>
      </c>
      <c r="D1324" s="23" t="s">
        <v>92</v>
      </c>
      <c r="E1324" s="23" t="s">
        <v>75</v>
      </c>
      <c r="F1324" s="23" t="s">
        <v>349</v>
      </c>
      <c r="G1324" s="23" t="s">
        <v>250</v>
      </c>
      <c r="H1324" s="39">
        <f t="shared" si="80"/>
        <v>1798</v>
      </c>
      <c r="I1324" s="23" t="str">
        <f t="shared" si="81"/>
        <v>Hyderabad</v>
      </c>
      <c r="J1324" s="23">
        <f>COUNTIFS(pg_transaction_cleaned!$O:$O,A1324,pg_transaction_cleaned!$F:$F,"CAPTURE")</f>
        <v>1</v>
      </c>
      <c r="K1324" s="39">
        <f>SUMIFS(pg_transaction_cleaned!$H:$H,pg_transaction_cleaned!$O:$O,A1324,pg_transaction_cleaned!$F:$F,"CAPTURE")</f>
        <v>1798</v>
      </c>
      <c r="L1324" s="23">
        <f>COUNTIFS(pg_transaction_cleaned!$O:$O,A1324,pg_transaction_cleaned!$F:$F,"REFUND")</f>
        <v>0</v>
      </c>
      <c r="M1324" s="39">
        <f>SUMIFS(pg_transaction_cleaned!$H:$H,pg_transaction_cleaned!$O:$O,A1324,pg_transaction_cleaned!$F:$F,"REFUND")</f>
        <v>0</v>
      </c>
      <c r="N1324" s="23" t="str">
        <f t="shared" si="82"/>
        <v>OK</v>
      </c>
      <c r="O1324" s="24">
        <f t="shared" si="83"/>
        <v>0</v>
      </c>
    </row>
    <row r="1325" spans="1:15" ht="15" customHeight="1" x14ac:dyDescent="0.3">
      <c r="A1325" s="23" t="s">
        <v>3126</v>
      </c>
      <c r="B1325" s="38">
        <v>46286</v>
      </c>
      <c r="C1325" s="23" t="s">
        <v>3127</v>
      </c>
      <c r="D1325" s="23" t="s">
        <v>89</v>
      </c>
      <c r="E1325" s="23" t="s">
        <v>75</v>
      </c>
      <c r="F1325" s="23" t="s">
        <v>265</v>
      </c>
      <c r="G1325" s="23" t="s">
        <v>365</v>
      </c>
      <c r="H1325" s="39">
        <f t="shared" si="80"/>
        <v>999</v>
      </c>
      <c r="I1325" s="23" t="str">
        <f t="shared" si="81"/>
        <v>Jaipur</v>
      </c>
      <c r="J1325" s="23">
        <f>COUNTIFS(pg_transaction_cleaned!$O:$O,A1325,pg_transaction_cleaned!$F:$F,"CAPTURE")</f>
        <v>0</v>
      </c>
      <c r="K1325" s="39">
        <f>SUMIFS(pg_transaction_cleaned!$H:$H,pg_transaction_cleaned!$O:$O,A1325,pg_transaction_cleaned!$F:$F,"CAPTURE")</f>
        <v>0</v>
      </c>
      <c r="L1325" s="23">
        <f>COUNTIFS(pg_transaction_cleaned!$O:$O,A1325,pg_transaction_cleaned!$F:$F,"REFUND")</f>
        <v>0</v>
      </c>
      <c r="M1325" s="39">
        <f>SUMIFS(pg_transaction_cleaned!$H:$H,pg_transaction_cleaned!$O:$O,A1325,pg_transaction_cleaned!$F:$F,"REFUND")</f>
        <v>0</v>
      </c>
      <c r="N1325" s="23" t="str">
        <f t="shared" si="82"/>
        <v>OK</v>
      </c>
      <c r="O1325" s="24">
        <f t="shared" si="83"/>
        <v>0</v>
      </c>
    </row>
    <row r="1326" spans="1:15" ht="15" customHeight="1" x14ac:dyDescent="0.3">
      <c r="A1326" s="23" t="s">
        <v>3128</v>
      </c>
      <c r="B1326" s="38">
        <v>46283</v>
      </c>
      <c r="C1326" s="23" t="s">
        <v>3129</v>
      </c>
      <c r="D1326" s="23" t="s">
        <v>94</v>
      </c>
      <c r="E1326" s="23" t="s">
        <v>75</v>
      </c>
      <c r="F1326" s="23" t="s">
        <v>2279</v>
      </c>
      <c r="G1326" s="23" t="s">
        <v>365</v>
      </c>
      <c r="H1326" s="39">
        <f t="shared" si="80"/>
        <v>6147</v>
      </c>
      <c r="I1326" s="23" t="str">
        <f t="shared" si="81"/>
        <v>Chennai</v>
      </c>
      <c r="J1326" s="23">
        <f>COUNTIFS(pg_transaction_cleaned!$O:$O,A1326,pg_transaction_cleaned!$F:$F,"CAPTURE")</f>
        <v>0</v>
      </c>
      <c r="K1326" s="39">
        <f>SUMIFS(pg_transaction_cleaned!$H:$H,pg_transaction_cleaned!$O:$O,A1326,pg_transaction_cleaned!$F:$F,"CAPTURE")</f>
        <v>0</v>
      </c>
      <c r="L1326" s="23">
        <f>COUNTIFS(pg_transaction_cleaned!$O:$O,A1326,pg_transaction_cleaned!$F:$F,"REFUND")</f>
        <v>0</v>
      </c>
      <c r="M1326" s="39">
        <f>SUMIFS(pg_transaction_cleaned!$H:$H,pg_transaction_cleaned!$O:$O,A1326,pg_transaction_cleaned!$F:$F,"REFUND")</f>
        <v>0</v>
      </c>
      <c r="N1326" s="23" t="str">
        <f t="shared" si="82"/>
        <v>OK</v>
      </c>
      <c r="O1326" s="24">
        <f t="shared" si="83"/>
        <v>0</v>
      </c>
    </row>
    <row r="1327" spans="1:15" ht="15" customHeight="1" x14ac:dyDescent="0.3">
      <c r="A1327" s="23" t="s">
        <v>3130</v>
      </c>
      <c r="B1327" s="38">
        <v>46267</v>
      </c>
      <c r="C1327" s="23" t="s">
        <v>3131</v>
      </c>
      <c r="D1327" s="23" t="s">
        <v>92</v>
      </c>
      <c r="E1327" s="23" t="s">
        <v>75</v>
      </c>
      <c r="F1327" s="23" t="s">
        <v>357</v>
      </c>
      <c r="G1327" s="23" t="s">
        <v>250</v>
      </c>
      <c r="H1327" s="39">
        <f t="shared" si="80"/>
        <v>1598</v>
      </c>
      <c r="I1327" s="23" t="str">
        <f t="shared" si="81"/>
        <v>Hyderabad</v>
      </c>
      <c r="J1327" s="23">
        <f>COUNTIFS(pg_transaction_cleaned!$O:$O,A1327,pg_transaction_cleaned!$F:$F,"CAPTURE")</f>
        <v>1</v>
      </c>
      <c r="K1327" s="39">
        <f>SUMIFS(pg_transaction_cleaned!$H:$H,pg_transaction_cleaned!$O:$O,A1327,pg_transaction_cleaned!$F:$F,"CAPTURE")</f>
        <v>1598</v>
      </c>
      <c r="L1327" s="23">
        <f>COUNTIFS(pg_transaction_cleaned!$O:$O,A1327,pg_transaction_cleaned!$F:$F,"REFUND")</f>
        <v>0</v>
      </c>
      <c r="M1327" s="39">
        <f>SUMIFS(pg_transaction_cleaned!$H:$H,pg_transaction_cleaned!$O:$O,A1327,pg_transaction_cleaned!$F:$F,"REFUND")</f>
        <v>0</v>
      </c>
      <c r="N1327" s="23" t="str">
        <f t="shared" si="82"/>
        <v>OK</v>
      </c>
      <c r="O1327" s="24">
        <f t="shared" si="83"/>
        <v>0</v>
      </c>
    </row>
    <row r="1328" spans="1:15" ht="15" customHeight="1" x14ac:dyDescent="0.3">
      <c r="A1328" s="23" t="s">
        <v>3132</v>
      </c>
      <c r="B1328" s="38">
        <v>46272</v>
      </c>
      <c r="C1328" s="23" t="s">
        <v>3133</v>
      </c>
      <c r="D1328" s="23" t="s">
        <v>87</v>
      </c>
      <c r="E1328" s="23" t="s">
        <v>79</v>
      </c>
      <c r="F1328" s="23" t="s">
        <v>1445</v>
      </c>
      <c r="G1328" s="23" t="s">
        <v>250</v>
      </c>
      <c r="H1328" s="39">
        <f t="shared" si="80"/>
        <v>10997</v>
      </c>
      <c r="I1328" s="23" t="str">
        <f t="shared" si="81"/>
        <v>Mumbai</v>
      </c>
      <c r="J1328" s="23">
        <f>COUNTIFS(pg_transaction_cleaned!$O:$O,A1328,pg_transaction_cleaned!$F:$F,"CAPTURE")</f>
        <v>1</v>
      </c>
      <c r="K1328" s="39">
        <f>SUMIFS(pg_transaction_cleaned!$H:$H,pg_transaction_cleaned!$O:$O,A1328,pg_transaction_cleaned!$F:$F,"CAPTURE")</f>
        <v>10997</v>
      </c>
      <c r="L1328" s="23">
        <f>COUNTIFS(pg_transaction_cleaned!$O:$O,A1328,pg_transaction_cleaned!$F:$F,"REFUND")</f>
        <v>0</v>
      </c>
      <c r="M1328" s="39">
        <f>SUMIFS(pg_transaction_cleaned!$H:$H,pg_transaction_cleaned!$O:$O,A1328,pg_transaction_cleaned!$F:$F,"REFUND")</f>
        <v>0</v>
      </c>
      <c r="N1328" s="23" t="str">
        <f t="shared" si="82"/>
        <v>OK</v>
      </c>
      <c r="O1328" s="24">
        <f t="shared" si="83"/>
        <v>0</v>
      </c>
    </row>
    <row r="1329" spans="1:15" ht="15" customHeight="1" x14ac:dyDescent="0.3">
      <c r="A1329" s="23" t="s">
        <v>3134</v>
      </c>
      <c r="B1329" s="38">
        <v>46290</v>
      </c>
      <c r="C1329" s="23" t="s">
        <v>3135</v>
      </c>
      <c r="D1329" s="23" t="s">
        <v>93</v>
      </c>
      <c r="E1329" s="23" t="s">
        <v>79</v>
      </c>
      <c r="F1329" s="23" t="s">
        <v>475</v>
      </c>
      <c r="G1329" s="23" t="s">
        <v>250</v>
      </c>
      <c r="H1329" s="39">
        <f t="shared" si="80"/>
        <v>799</v>
      </c>
      <c r="I1329" s="23" t="str">
        <f t="shared" si="81"/>
        <v>Kolkata</v>
      </c>
      <c r="J1329" s="23">
        <f>COUNTIFS(pg_transaction_cleaned!$O:$O,A1329,pg_transaction_cleaned!$F:$F,"CAPTURE")</f>
        <v>1</v>
      </c>
      <c r="K1329" s="39">
        <f>SUMIFS(pg_transaction_cleaned!$H:$H,pg_transaction_cleaned!$O:$O,A1329,pg_transaction_cleaned!$F:$F,"CAPTURE")</f>
        <v>799</v>
      </c>
      <c r="L1329" s="23">
        <f>COUNTIFS(pg_transaction_cleaned!$O:$O,A1329,pg_transaction_cleaned!$F:$F,"REFUND")</f>
        <v>0</v>
      </c>
      <c r="M1329" s="39">
        <f>SUMIFS(pg_transaction_cleaned!$H:$H,pg_transaction_cleaned!$O:$O,A1329,pg_transaction_cleaned!$F:$F,"REFUND")</f>
        <v>0</v>
      </c>
      <c r="N1329" s="23" t="str">
        <f t="shared" si="82"/>
        <v>OK</v>
      </c>
      <c r="O1329" s="24">
        <f t="shared" si="83"/>
        <v>0</v>
      </c>
    </row>
    <row r="1330" spans="1:15" ht="15" customHeight="1" x14ac:dyDescent="0.3">
      <c r="A1330" s="23" t="s">
        <v>3136</v>
      </c>
      <c r="B1330" s="38">
        <v>46292</v>
      </c>
      <c r="C1330" s="23" t="s">
        <v>3137</v>
      </c>
      <c r="D1330" s="23" t="s">
        <v>93</v>
      </c>
      <c r="E1330" s="23" t="s">
        <v>79</v>
      </c>
      <c r="F1330" s="23" t="s">
        <v>2160</v>
      </c>
      <c r="G1330" s="23" t="s">
        <v>250</v>
      </c>
      <c r="H1330" s="39">
        <f t="shared" si="80"/>
        <v>7998</v>
      </c>
      <c r="I1330" s="23" t="str">
        <f t="shared" si="81"/>
        <v>Kolkata</v>
      </c>
      <c r="J1330" s="23">
        <f>COUNTIFS(pg_transaction_cleaned!$O:$O,A1330,pg_transaction_cleaned!$F:$F,"CAPTURE")</f>
        <v>1</v>
      </c>
      <c r="K1330" s="39">
        <f>SUMIFS(pg_transaction_cleaned!$H:$H,pg_transaction_cleaned!$O:$O,A1330,pg_transaction_cleaned!$F:$F,"CAPTURE")</f>
        <v>7998</v>
      </c>
      <c r="L1330" s="23">
        <f>COUNTIFS(pg_transaction_cleaned!$O:$O,A1330,pg_transaction_cleaned!$F:$F,"REFUND")</f>
        <v>0</v>
      </c>
      <c r="M1330" s="39">
        <f>SUMIFS(pg_transaction_cleaned!$H:$H,pg_transaction_cleaned!$O:$O,A1330,pg_transaction_cleaned!$F:$F,"REFUND")</f>
        <v>0</v>
      </c>
      <c r="N1330" s="23" t="str">
        <f t="shared" si="82"/>
        <v>OK</v>
      </c>
      <c r="O1330" s="24">
        <f t="shared" si="83"/>
        <v>0</v>
      </c>
    </row>
    <row r="1331" spans="1:15" ht="15" customHeight="1" x14ac:dyDescent="0.3">
      <c r="A1331" s="23" t="s">
        <v>3138</v>
      </c>
      <c r="B1331" s="38">
        <v>46273</v>
      </c>
      <c r="C1331" s="23" t="s">
        <v>3139</v>
      </c>
      <c r="D1331" s="23" t="s">
        <v>88</v>
      </c>
      <c r="E1331" s="23" t="s">
        <v>75</v>
      </c>
      <c r="F1331" s="23" t="s">
        <v>291</v>
      </c>
      <c r="G1331" s="23" t="s">
        <v>250</v>
      </c>
      <c r="H1331" s="39">
        <f t="shared" si="80"/>
        <v>3499</v>
      </c>
      <c r="I1331" s="23" t="str">
        <f t="shared" si="81"/>
        <v>Lucknow</v>
      </c>
      <c r="J1331" s="23">
        <f>COUNTIFS(pg_transaction_cleaned!$O:$O,A1331,pg_transaction_cleaned!$F:$F,"CAPTURE")</f>
        <v>1</v>
      </c>
      <c r="K1331" s="39">
        <f>SUMIFS(pg_transaction_cleaned!$H:$H,pg_transaction_cleaned!$O:$O,A1331,pg_transaction_cleaned!$F:$F,"CAPTURE")</f>
        <v>3499</v>
      </c>
      <c r="L1331" s="23">
        <f>COUNTIFS(pg_transaction_cleaned!$O:$O,A1331,pg_transaction_cleaned!$F:$F,"REFUND")</f>
        <v>0</v>
      </c>
      <c r="M1331" s="39">
        <f>SUMIFS(pg_transaction_cleaned!$H:$H,pg_transaction_cleaned!$O:$O,A1331,pg_transaction_cleaned!$F:$F,"REFUND")</f>
        <v>0</v>
      </c>
      <c r="N1331" s="23" t="str">
        <f t="shared" si="82"/>
        <v>OK</v>
      </c>
      <c r="O1331" s="24">
        <f t="shared" si="83"/>
        <v>0</v>
      </c>
    </row>
    <row r="1332" spans="1:15" ht="15" customHeight="1" x14ac:dyDescent="0.3">
      <c r="A1332" s="23" t="s">
        <v>3140</v>
      </c>
      <c r="B1332" s="38">
        <v>46291</v>
      </c>
      <c r="C1332" s="23" t="s">
        <v>3141</v>
      </c>
      <c r="D1332" s="23" t="s">
        <v>94</v>
      </c>
      <c r="E1332" s="23" t="s">
        <v>75</v>
      </c>
      <c r="F1332" s="23" t="s">
        <v>514</v>
      </c>
      <c r="G1332" s="23" t="s">
        <v>250</v>
      </c>
      <c r="H1332" s="39">
        <f t="shared" si="80"/>
        <v>6498</v>
      </c>
      <c r="I1332" s="23" t="str">
        <f t="shared" si="81"/>
        <v>Chennai</v>
      </c>
      <c r="J1332" s="23">
        <f>COUNTIFS(pg_transaction_cleaned!$O:$O,A1332,pg_transaction_cleaned!$F:$F,"CAPTURE")</f>
        <v>1</v>
      </c>
      <c r="K1332" s="39">
        <f>SUMIFS(pg_transaction_cleaned!$H:$H,pg_transaction_cleaned!$O:$O,A1332,pg_transaction_cleaned!$F:$F,"CAPTURE")</f>
        <v>6498</v>
      </c>
      <c r="L1332" s="23">
        <f>COUNTIFS(pg_transaction_cleaned!$O:$O,A1332,pg_transaction_cleaned!$F:$F,"REFUND")</f>
        <v>0</v>
      </c>
      <c r="M1332" s="39">
        <f>SUMIFS(pg_transaction_cleaned!$H:$H,pg_transaction_cleaned!$O:$O,A1332,pg_transaction_cleaned!$F:$F,"REFUND")</f>
        <v>0</v>
      </c>
      <c r="N1332" s="23" t="str">
        <f t="shared" si="82"/>
        <v>OK</v>
      </c>
      <c r="O1332" s="24">
        <f t="shared" si="83"/>
        <v>0</v>
      </c>
    </row>
    <row r="1333" spans="1:15" ht="15" customHeight="1" x14ac:dyDescent="0.3">
      <c r="A1333" s="23" t="s">
        <v>3142</v>
      </c>
      <c r="B1333" s="38">
        <v>46293</v>
      </c>
      <c r="C1333" s="23" t="s">
        <v>3143</v>
      </c>
      <c r="D1333" s="23" t="s">
        <v>90</v>
      </c>
      <c r="E1333" s="23" t="s">
        <v>79</v>
      </c>
      <c r="F1333" s="23" t="s">
        <v>268</v>
      </c>
      <c r="G1333" s="23" t="s">
        <v>250</v>
      </c>
      <c r="H1333" s="39">
        <f t="shared" si="80"/>
        <v>1299</v>
      </c>
      <c r="I1333" s="23" t="str">
        <f t="shared" si="81"/>
        <v>Ahmedabad</v>
      </c>
      <c r="J1333" s="23">
        <f>COUNTIFS(pg_transaction_cleaned!$O:$O,A1333,pg_transaction_cleaned!$F:$F,"CAPTURE")</f>
        <v>1</v>
      </c>
      <c r="K1333" s="39">
        <f>SUMIFS(pg_transaction_cleaned!$H:$H,pg_transaction_cleaned!$O:$O,A1333,pg_transaction_cleaned!$F:$F,"CAPTURE")</f>
        <v>1299</v>
      </c>
      <c r="L1333" s="23">
        <f>COUNTIFS(pg_transaction_cleaned!$O:$O,A1333,pg_transaction_cleaned!$F:$F,"REFUND")</f>
        <v>0</v>
      </c>
      <c r="M1333" s="39">
        <f>SUMIFS(pg_transaction_cleaned!$H:$H,pg_transaction_cleaned!$O:$O,A1333,pg_transaction_cleaned!$F:$F,"REFUND")</f>
        <v>0</v>
      </c>
      <c r="N1333" s="23" t="str">
        <f t="shared" si="82"/>
        <v>OK</v>
      </c>
      <c r="O1333" s="24">
        <f t="shared" si="83"/>
        <v>0</v>
      </c>
    </row>
    <row r="1334" spans="1:15" ht="15" customHeight="1" x14ac:dyDescent="0.3">
      <c r="A1334" s="23" t="s">
        <v>3144</v>
      </c>
      <c r="B1334" s="38">
        <v>46280</v>
      </c>
      <c r="C1334" s="23" t="s">
        <v>3145</v>
      </c>
      <c r="D1334" s="23" t="s">
        <v>87</v>
      </c>
      <c r="E1334" s="23" t="s">
        <v>81</v>
      </c>
      <c r="F1334" s="23" t="s">
        <v>582</v>
      </c>
      <c r="G1334" s="23" t="s">
        <v>250</v>
      </c>
      <c r="H1334" s="39">
        <f t="shared" si="80"/>
        <v>1298</v>
      </c>
      <c r="I1334" s="23" t="str">
        <f t="shared" si="81"/>
        <v>Mumbai</v>
      </c>
      <c r="J1334" s="23">
        <f>COUNTIFS(pg_transaction_cleaned!$O:$O,A1334,pg_transaction_cleaned!$F:$F,"CAPTURE")</f>
        <v>1</v>
      </c>
      <c r="K1334" s="39">
        <f>SUMIFS(pg_transaction_cleaned!$H:$H,pg_transaction_cleaned!$O:$O,A1334,pg_transaction_cleaned!$F:$F,"CAPTURE")</f>
        <v>1298</v>
      </c>
      <c r="L1334" s="23">
        <f>COUNTIFS(pg_transaction_cleaned!$O:$O,A1334,pg_transaction_cleaned!$F:$F,"REFUND")</f>
        <v>0</v>
      </c>
      <c r="M1334" s="39">
        <f>SUMIFS(pg_transaction_cleaned!$H:$H,pg_transaction_cleaned!$O:$O,A1334,pg_transaction_cleaned!$F:$F,"REFUND")</f>
        <v>0</v>
      </c>
      <c r="N1334" s="23" t="str">
        <f t="shared" si="82"/>
        <v>OK</v>
      </c>
      <c r="O1334" s="24">
        <f t="shared" si="83"/>
        <v>0</v>
      </c>
    </row>
    <row r="1335" spans="1:15" ht="15" customHeight="1" x14ac:dyDescent="0.3">
      <c r="A1335" s="23" t="s">
        <v>3146</v>
      </c>
      <c r="B1335" s="38">
        <v>46281</v>
      </c>
      <c r="C1335" s="23" t="s">
        <v>3147</v>
      </c>
      <c r="D1335" s="23" t="s">
        <v>89</v>
      </c>
      <c r="E1335" s="23" t="s">
        <v>75</v>
      </c>
      <c r="F1335" s="23" t="s">
        <v>3148</v>
      </c>
      <c r="G1335" s="23" t="s">
        <v>250</v>
      </c>
      <c r="H1335" s="39">
        <f t="shared" si="80"/>
        <v>9997</v>
      </c>
      <c r="I1335" s="23" t="str">
        <f t="shared" si="81"/>
        <v>Jaipur</v>
      </c>
      <c r="J1335" s="23">
        <f>COUNTIFS(pg_transaction_cleaned!$O:$O,A1335,pg_transaction_cleaned!$F:$F,"CAPTURE")</f>
        <v>1</v>
      </c>
      <c r="K1335" s="39">
        <f>SUMIFS(pg_transaction_cleaned!$H:$H,pg_transaction_cleaned!$O:$O,A1335,pg_transaction_cleaned!$F:$F,"CAPTURE")</f>
        <v>9997</v>
      </c>
      <c r="L1335" s="23">
        <f>COUNTIFS(pg_transaction_cleaned!$O:$O,A1335,pg_transaction_cleaned!$F:$F,"REFUND")</f>
        <v>0</v>
      </c>
      <c r="M1335" s="39">
        <f>SUMIFS(pg_transaction_cleaned!$H:$H,pg_transaction_cleaned!$O:$O,A1335,pg_transaction_cleaned!$F:$F,"REFUND")</f>
        <v>0</v>
      </c>
      <c r="N1335" s="23" t="str">
        <f t="shared" si="82"/>
        <v>OK</v>
      </c>
      <c r="O1335" s="24">
        <f t="shared" si="83"/>
        <v>0</v>
      </c>
    </row>
    <row r="1336" spans="1:15" ht="15" customHeight="1" x14ac:dyDescent="0.3">
      <c r="A1336" s="23" t="s">
        <v>3149</v>
      </c>
      <c r="B1336" s="38">
        <v>46275</v>
      </c>
      <c r="C1336" s="23" t="s">
        <v>3150</v>
      </c>
      <c r="D1336" s="23" t="s">
        <v>86</v>
      </c>
      <c r="E1336" s="23" t="s">
        <v>79</v>
      </c>
      <c r="F1336" s="23" t="s">
        <v>271</v>
      </c>
      <c r="G1336" s="23" t="s">
        <v>250</v>
      </c>
      <c r="H1336" s="39">
        <f t="shared" si="80"/>
        <v>2499</v>
      </c>
      <c r="I1336" s="23" t="str">
        <f t="shared" si="81"/>
        <v>Delhi</v>
      </c>
      <c r="J1336" s="23">
        <f>COUNTIFS(pg_transaction_cleaned!$O:$O,A1336,pg_transaction_cleaned!$F:$F,"CAPTURE")</f>
        <v>1</v>
      </c>
      <c r="K1336" s="39">
        <f>SUMIFS(pg_transaction_cleaned!$H:$H,pg_transaction_cleaned!$O:$O,A1336,pg_transaction_cleaned!$F:$F,"CAPTURE")</f>
        <v>2499</v>
      </c>
      <c r="L1336" s="23">
        <f>COUNTIFS(pg_transaction_cleaned!$O:$O,A1336,pg_transaction_cleaned!$F:$F,"REFUND")</f>
        <v>0</v>
      </c>
      <c r="M1336" s="39">
        <f>SUMIFS(pg_transaction_cleaned!$H:$H,pg_transaction_cleaned!$O:$O,A1336,pg_transaction_cleaned!$F:$F,"REFUND")</f>
        <v>0</v>
      </c>
      <c r="N1336" s="23" t="str">
        <f t="shared" si="82"/>
        <v>OK</v>
      </c>
      <c r="O1336" s="24">
        <f t="shared" si="83"/>
        <v>0</v>
      </c>
    </row>
    <row r="1337" spans="1:15" ht="15" customHeight="1" x14ac:dyDescent="0.3">
      <c r="A1337" s="23" t="s">
        <v>3151</v>
      </c>
      <c r="B1337" s="38">
        <v>46276</v>
      </c>
      <c r="C1337" s="23" t="s">
        <v>3152</v>
      </c>
      <c r="D1337" s="23" t="s">
        <v>93</v>
      </c>
      <c r="E1337" s="23" t="s">
        <v>79</v>
      </c>
      <c r="F1337" s="23" t="s">
        <v>2160</v>
      </c>
      <c r="G1337" s="23" t="s">
        <v>250</v>
      </c>
      <c r="H1337" s="39">
        <f t="shared" si="80"/>
        <v>7998</v>
      </c>
      <c r="I1337" s="23" t="str">
        <f t="shared" si="81"/>
        <v>Kolkata</v>
      </c>
      <c r="J1337" s="23">
        <f>COUNTIFS(pg_transaction_cleaned!$O:$O,A1337,pg_transaction_cleaned!$F:$F,"CAPTURE")</f>
        <v>1</v>
      </c>
      <c r="K1337" s="39">
        <f>SUMIFS(pg_transaction_cleaned!$H:$H,pg_transaction_cleaned!$O:$O,A1337,pg_transaction_cleaned!$F:$F,"CAPTURE")</f>
        <v>7998</v>
      </c>
      <c r="L1337" s="23">
        <f>COUNTIFS(pg_transaction_cleaned!$O:$O,A1337,pg_transaction_cleaned!$F:$F,"REFUND")</f>
        <v>0</v>
      </c>
      <c r="M1337" s="39">
        <f>SUMIFS(pg_transaction_cleaned!$H:$H,pg_transaction_cleaned!$O:$O,A1337,pg_transaction_cleaned!$F:$F,"REFUND")</f>
        <v>0</v>
      </c>
      <c r="N1337" s="23" t="str">
        <f t="shared" si="82"/>
        <v>OK</v>
      </c>
      <c r="O1337" s="24">
        <f t="shared" si="83"/>
        <v>0</v>
      </c>
    </row>
    <row r="1338" spans="1:15" ht="15" customHeight="1" x14ac:dyDescent="0.3">
      <c r="A1338" s="23" t="s">
        <v>3153</v>
      </c>
      <c r="B1338" s="38">
        <v>46272</v>
      </c>
      <c r="C1338" s="23" t="s">
        <v>3154</v>
      </c>
      <c r="D1338" s="23" t="s">
        <v>88</v>
      </c>
      <c r="E1338" s="23" t="s">
        <v>75</v>
      </c>
      <c r="F1338" s="23" t="s">
        <v>1762</v>
      </c>
      <c r="G1338" s="23" t="s">
        <v>250</v>
      </c>
      <c r="H1338" s="39">
        <f t="shared" si="80"/>
        <v>2148</v>
      </c>
      <c r="I1338" s="23" t="str">
        <f t="shared" si="81"/>
        <v>Lucknow</v>
      </c>
      <c r="J1338" s="23">
        <f>COUNTIFS(pg_transaction_cleaned!$O:$O,A1338,pg_transaction_cleaned!$F:$F,"CAPTURE")</f>
        <v>1</v>
      </c>
      <c r="K1338" s="39">
        <f>SUMIFS(pg_transaction_cleaned!$H:$H,pg_transaction_cleaned!$O:$O,A1338,pg_transaction_cleaned!$F:$F,"CAPTURE")</f>
        <v>2148</v>
      </c>
      <c r="L1338" s="23">
        <f>COUNTIFS(pg_transaction_cleaned!$O:$O,A1338,pg_transaction_cleaned!$F:$F,"REFUND")</f>
        <v>0</v>
      </c>
      <c r="M1338" s="39">
        <f>SUMIFS(pg_transaction_cleaned!$H:$H,pg_transaction_cleaned!$O:$O,A1338,pg_transaction_cleaned!$F:$F,"REFUND")</f>
        <v>0</v>
      </c>
      <c r="N1338" s="23" t="str">
        <f t="shared" si="82"/>
        <v>OK</v>
      </c>
      <c r="O1338" s="24">
        <f t="shared" si="83"/>
        <v>0</v>
      </c>
    </row>
    <row r="1339" spans="1:15" ht="15" customHeight="1" x14ac:dyDescent="0.3">
      <c r="A1339" s="23" t="s">
        <v>3155</v>
      </c>
      <c r="B1339" s="38">
        <v>46280</v>
      </c>
      <c r="C1339" s="23" t="s">
        <v>3156</v>
      </c>
      <c r="D1339" s="23" t="s">
        <v>88</v>
      </c>
      <c r="E1339" s="23" t="s">
        <v>79</v>
      </c>
      <c r="F1339" s="23" t="s">
        <v>2486</v>
      </c>
      <c r="G1339" s="23" t="s">
        <v>250</v>
      </c>
      <c r="H1339" s="39">
        <f t="shared" si="80"/>
        <v>1647</v>
      </c>
      <c r="I1339" s="23" t="str">
        <f t="shared" si="81"/>
        <v>Lucknow</v>
      </c>
      <c r="J1339" s="23">
        <f>COUNTIFS(pg_transaction_cleaned!$O:$O,A1339,pg_transaction_cleaned!$F:$F,"CAPTURE")</f>
        <v>1</v>
      </c>
      <c r="K1339" s="39">
        <f>SUMIFS(pg_transaction_cleaned!$H:$H,pg_transaction_cleaned!$O:$O,A1339,pg_transaction_cleaned!$F:$F,"CAPTURE")</f>
        <v>1647</v>
      </c>
      <c r="L1339" s="23">
        <f>COUNTIFS(pg_transaction_cleaned!$O:$O,A1339,pg_transaction_cleaned!$F:$F,"REFUND")</f>
        <v>0</v>
      </c>
      <c r="M1339" s="39">
        <f>SUMIFS(pg_transaction_cleaned!$H:$H,pg_transaction_cleaned!$O:$O,A1339,pg_transaction_cleaned!$F:$F,"REFUND")</f>
        <v>0</v>
      </c>
      <c r="N1339" s="23" t="str">
        <f t="shared" si="82"/>
        <v>OK</v>
      </c>
      <c r="O1339" s="24">
        <f t="shared" si="83"/>
        <v>0</v>
      </c>
    </row>
    <row r="1340" spans="1:15" ht="15" customHeight="1" x14ac:dyDescent="0.3">
      <c r="A1340" s="23" t="s">
        <v>3157</v>
      </c>
      <c r="B1340" s="38">
        <v>46281</v>
      </c>
      <c r="C1340" s="23" t="s">
        <v>3158</v>
      </c>
      <c r="D1340" s="23" t="s">
        <v>92</v>
      </c>
      <c r="E1340" s="23" t="s">
        <v>77</v>
      </c>
      <c r="F1340" s="23" t="s">
        <v>262</v>
      </c>
      <c r="G1340" s="23" t="s">
        <v>250</v>
      </c>
      <c r="H1340" s="39">
        <f t="shared" si="80"/>
        <v>499</v>
      </c>
      <c r="I1340" s="23" t="str">
        <f t="shared" si="81"/>
        <v>Hyderabad</v>
      </c>
      <c r="J1340" s="23">
        <f>COUNTIFS(pg_transaction_cleaned!$O:$O,A1340,pg_transaction_cleaned!$F:$F,"CAPTURE")</f>
        <v>1</v>
      </c>
      <c r="K1340" s="39">
        <f>SUMIFS(pg_transaction_cleaned!$H:$H,pg_transaction_cleaned!$O:$O,A1340,pg_transaction_cleaned!$F:$F,"CAPTURE")</f>
        <v>499</v>
      </c>
      <c r="L1340" s="23">
        <f>COUNTIFS(pg_transaction_cleaned!$O:$O,A1340,pg_transaction_cleaned!$F:$F,"REFUND")</f>
        <v>0</v>
      </c>
      <c r="M1340" s="39">
        <f>SUMIFS(pg_transaction_cleaned!$H:$H,pg_transaction_cleaned!$O:$O,A1340,pg_transaction_cleaned!$F:$F,"REFUND")</f>
        <v>0</v>
      </c>
      <c r="N1340" s="23" t="str">
        <f t="shared" si="82"/>
        <v>OK</v>
      </c>
      <c r="O1340" s="24">
        <f t="shared" si="83"/>
        <v>0</v>
      </c>
    </row>
    <row r="1341" spans="1:15" ht="15" customHeight="1" x14ac:dyDescent="0.3">
      <c r="A1341" s="23" t="s">
        <v>3159</v>
      </c>
      <c r="B1341" s="38">
        <v>46272</v>
      </c>
      <c r="C1341" s="23" t="s">
        <v>3160</v>
      </c>
      <c r="D1341" s="23" t="s">
        <v>94</v>
      </c>
      <c r="E1341" s="23" t="s">
        <v>75</v>
      </c>
      <c r="F1341" s="23" t="s">
        <v>475</v>
      </c>
      <c r="G1341" s="23" t="s">
        <v>250</v>
      </c>
      <c r="H1341" s="39">
        <f t="shared" si="80"/>
        <v>799</v>
      </c>
      <c r="I1341" s="23" t="str">
        <f t="shared" si="81"/>
        <v>Chennai</v>
      </c>
      <c r="J1341" s="23">
        <f>COUNTIFS(pg_transaction_cleaned!$O:$O,A1341,pg_transaction_cleaned!$F:$F,"CAPTURE")</f>
        <v>1</v>
      </c>
      <c r="K1341" s="39">
        <f>SUMIFS(pg_transaction_cleaned!$H:$H,pg_transaction_cleaned!$O:$O,A1341,pg_transaction_cleaned!$F:$F,"CAPTURE")</f>
        <v>799</v>
      </c>
      <c r="L1341" s="23">
        <f>COUNTIFS(pg_transaction_cleaned!$O:$O,A1341,pg_transaction_cleaned!$F:$F,"REFUND")</f>
        <v>0</v>
      </c>
      <c r="M1341" s="39">
        <f>SUMIFS(pg_transaction_cleaned!$H:$H,pg_transaction_cleaned!$O:$O,A1341,pg_transaction_cleaned!$F:$F,"REFUND")</f>
        <v>0</v>
      </c>
      <c r="N1341" s="23" t="str">
        <f t="shared" si="82"/>
        <v>OK</v>
      </c>
      <c r="O1341" s="24">
        <f t="shared" si="83"/>
        <v>0</v>
      </c>
    </row>
    <row r="1342" spans="1:15" ht="15" customHeight="1" x14ac:dyDescent="0.3">
      <c r="A1342" s="23" t="s">
        <v>3161</v>
      </c>
      <c r="B1342" s="38">
        <v>46282</v>
      </c>
      <c r="C1342" s="23" t="s">
        <v>3162</v>
      </c>
      <c r="D1342" s="23" t="s">
        <v>86</v>
      </c>
      <c r="E1342" s="23" t="s">
        <v>77</v>
      </c>
      <c r="F1342" s="23" t="s">
        <v>1520</v>
      </c>
      <c r="G1342" s="23" t="s">
        <v>250</v>
      </c>
      <c r="H1342" s="39">
        <f t="shared" si="80"/>
        <v>499</v>
      </c>
      <c r="I1342" s="23" t="str">
        <f t="shared" si="81"/>
        <v>Delhi</v>
      </c>
      <c r="J1342" s="23">
        <f>COUNTIFS(pg_transaction_cleaned!$O:$O,A1342,pg_transaction_cleaned!$F:$F,"CAPTURE")</f>
        <v>1</v>
      </c>
      <c r="K1342" s="39">
        <f>SUMIFS(pg_transaction_cleaned!$H:$H,pg_transaction_cleaned!$O:$O,A1342,pg_transaction_cleaned!$F:$F,"CAPTURE")</f>
        <v>499</v>
      </c>
      <c r="L1342" s="23">
        <f>COUNTIFS(pg_transaction_cleaned!$O:$O,A1342,pg_transaction_cleaned!$F:$F,"REFUND")</f>
        <v>0</v>
      </c>
      <c r="M1342" s="39">
        <f>SUMIFS(pg_transaction_cleaned!$H:$H,pg_transaction_cleaned!$O:$O,A1342,pg_transaction_cleaned!$F:$F,"REFUND")</f>
        <v>0</v>
      </c>
      <c r="N1342" s="23" t="str">
        <f t="shared" si="82"/>
        <v>OK</v>
      </c>
      <c r="O1342" s="24">
        <f t="shared" si="83"/>
        <v>0</v>
      </c>
    </row>
    <row r="1343" spans="1:15" ht="15" customHeight="1" x14ac:dyDescent="0.3">
      <c r="A1343" s="23" t="s">
        <v>3163</v>
      </c>
      <c r="B1343" s="38">
        <v>46269</v>
      </c>
      <c r="C1343" s="23" t="s">
        <v>3164</v>
      </c>
      <c r="D1343" s="23" t="s">
        <v>95</v>
      </c>
      <c r="E1343" s="23" t="s">
        <v>79</v>
      </c>
      <c r="F1343" s="23" t="s">
        <v>294</v>
      </c>
      <c r="G1343" s="23" t="s">
        <v>250</v>
      </c>
      <c r="H1343" s="39">
        <f t="shared" si="80"/>
        <v>1799</v>
      </c>
      <c r="I1343" s="23" t="str">
        <f t="shared" si="81"/>
        <v>Bengaluru</v>
      </c>
      <c r="J1343" s="23">
        <f>COUNTIFS(pg_transaction_cleaned!$O:$O,A1343,pg_transaction_cleaned!$F:$F,"CAPTURE")</f>
        <v>1</v>
      </c>
      <c r="K1343" s="39">
        <f>SUMIFS(pg_transaction_cleaned!$H:$H,pg_transaction_cleaned!$O:$O,A1343,pg_transaction_cleaned!$F:$F,"CAPTURE")</f>
        <v>1799</v>
      </c>
      <c r="L1343" s="23">
        <f>COUNTIFS(pg_transaction_cleaned!$O:$O,A1343,pg_transaction_cleaned!$F:$F,"REFUND")</f>
        <v>0</v>
      </c>
      <c r="M1343" s="39">
        <f>SUMIFS(pg_transaction_cleaned!$H:$H,pg_transaction_cleaned!$O:$O,A1343,pg_transaction_cleaned!$F:$F,"REFUND")</f>
        <v>0</v>
      </c>
      <c r="N1343" s="23" t="str">
        <f t="shared" si="82"/>
        <v>OK</v>
      </c>
      <c r="O1343" s="24">
        <f t="shared" si="83"/>
        <v>0</v>
      </c>
    </row>
    <row r="1344" spans="1:15" ht="15" customHeight="1" x14ac:dyDescent="0.3">
      <c r="A1344" s="23" t="s">
        <v>3165</v>
      </c>
      <c r="B1344" s="38">
        <v>46270</v>
      </c>
      <c r="C1344" s="23" t="s">
        <v>3166</v>
      </c>
      <c r="D1344" s="23" t="s">
        <v>86</v>
      </c>
      <c r="E1344" s="23" t="s">
        <v>79</v>
      </c>
      <c r="F1344" s="23" t="s">
        <v>475</v>
      </c>
      <c r="G1344" s="23" t="s">
        <v>250</v>
      </c>
      <c r="H1344" s="39">
        <f t="shared" si="80"/>
        <v>799</v>
      </c>
      <c r="I1344" s="23" t="str">
        <f t="shared" si="81"/>
        <v>Delhi</v>
      </c>
      <c r="J1344" s="23">
        <f>COUNTIFS(pg_transaction_cleaned!$O:$O,A1344,pg_transaction_cleaned!$F:$F,"CAPTURE")</f>
        <v>1</v>
      </c>
      <c r="K1344" s="39">
        <f>SUMIFS(pg_transaction_cleaned!$H:$H,pg_transaction_cleaned!$O:$O,A1344,pg_transaction_cleaned!$F:$F,"CAPTURE")</f>
        <v>799</v>
      </c>
      <c r="L1344" s="23">
        <f>COUNTIFS(pg_transaction_cleaned!$O:$O,A1344,pg_transaction_cleaned!$F:$F,"REFUND")</f>
        <v>0</v>
      </c>
      <c r="M1344" s="39">
        <f>SUMIFS(pg_transaction_cleaned!$H:$H,pg_transaction_cleaned!$O:$O,A1344,pg_transaction_cleaned!$F:$F,"REFUND")</f>
        <v>0</v>
      </c>
      <c r="N1344" s="23" t="str">
        <f t="shared" si="82"/>
        <v>OK</v>
      </c>
      <c r="O1344" s="24">
        <f t="shared" si="83"/>
        <v>0</v>
      </c>
    </row>
    <row r="1345" spans="1:15" ht="15" customHeight="1" x14ac:dyDescent="0.3">
      <c r="A1345" s="23" t="s">
        <v>3167</v>
      </c>
      <c r="B1345" s="38">
        <v>46285</v>
      </c>
      <c r="C1345" s="23" t="s">
        <v>3168</v>
      </c>
      <c r="D1345" s="23" t="s">
        <v>92</v>
      </c>
      <c r="E1345" s="23" t="s">
        <v>79</v>
      </c>
      <c r="F1345" s="23" t="s">
        <v>259</v>
      </c>
      <c r="G1345" s="23" t="s">
        <v>250</v>
      </c>
      <c r="H1345" s="39">
        <f t="shared" si="80"/>
        <v>3298</v>
      </c>
      <c r="I1345" s="23" t="str">
        <f t="shared" si="81"/>
        <v>Hyderabad</v>
      </c>
      <c r="J1345" s="23">
        <f>COUNTIFS(pg_transaction_cleaned!$O:$O,A1345,pg_transaction_cleaned!$F:$F,"CAPTURE")</f>
        <v>1</v>
      </c>
      <c r="K1345" s="39">
        <f>SUMIFS(pg_transaction_cleaned!$H:$H,pg_transaction_cleaned!$O:$O,A1345,pg_transaction_cleaned!$F:$F,"CAPTURE")</f>
        <v>3298</v>
      </c>
      <c r="L1345" s="23">
        <f>COUNTIFS(pg_transaction_cleaned!$O:$O,A1345,pg_transaction_cleaned!$F:$F,"REFUND")</f>
        <v>0</v>
      </c>
      <c r="M1345" s="39">
        <f>SUMIFS(pg_transaction_cleaned!$H:$H,pg_transaction_cleaned!$O:$O,A1345,pg_transaction_cleaned!$F:$F,"REFUND")</f>
        <v>0</v>
      </c>
      <c r="N1345" s="23" t="str">
        <f t="shared" si="82"/>
        <v>OK</v>
      </c>
      <c r="O1345" s="24">
        <f t="shared" si="83"/>
        <v>0</v>
      </c>
    </row>
    <row r="1346" spans="1:15" ht="15" customHeight="1" x14ac:dyDescent="0.3">
      <c r="A1346" s="23" t="s">
        <v>3169</v>
      </c>
      <c r="B1346" s="38">
        <v>46272</v>
      </c>
      <c r="C1346" s="23" t="s">
        <v>3170</v>
      </c>
      <c r="D1346" s="23" t="s">
        <v>95</v>
      </c>
      <c r="E1346" s="23" t="s">
        <v>81</v>
      </c>
      <c r="F1346" s="23" t="s">
        <v>262</v>
      </c>
      <c r="G1346" s="23" t="s">
        <v>250</v>
      </c>
      <c r="H1346" s="39">
        <f t="shared" ref="H1346:H1409" si="84">VALUE(SUBSTITUTE(F1346,",",""))</f>
        <v>499</v>
      </c>
      <c r="I1346" s="23" t="str">
        <f t="shared" ref="I1346:I1409" si="85">IF(TRIM(D1346)="","Unknown",TRIM(D1346))</f>
        <v>Bengaluru</v>
      </c>
      <c r="J1346" s="23">
        <f>COUNTIFS(pg_transaction_cleaned!$O:$O,A1346,pg_transaction_cleaned!$F:$F,"CAPTURE")</f>
        <v>1</v>
      </c>
      <c r="K1346" s="39">
        <f>SUMIFS(pg_transaction_cleaned!$H:$H,pg_transaction_cleaned!$O:$O,A1346,pg_transaction_cleaned!$F:$F,"CAPTURE")</f>
        <v>499</v>
      </c>
      <c r="L1346" s="23">
        <f>COUNTIFS(pg_transaction_cleaned!$O:$O,A1346,pg_transaction_cleaned!$F:$F,"REFUND")</f>
        <v>0</v>
      </c>
      <c r="M1346" s="39">
        <f>SUMIFS(pg_transaction_cleaned!$H:$H,pg_transaction_cleaned!$O:$O,A1346,pg_transaction_cleaned!$F:$F,"REFUND")</f>
        <v>0</v>
      </c>
      <c r="N1346" s="23" t="str">
        <f t="shared" ref="N1346:N1409" si="86">IF(AND(G1346="Paid",J1346=0),"Paid, no payment",IF(AND(OR(G1346="Failed",G1346="Cancelled"),J1346&gt;0),"Payment on failed/cancelled",IF(J1346&gt;1,"Duplicate charge",IF(AND(J1346=1,ROUND(K1346-H1346,2)&lt;&gt;0),"Amount difference",IF(AND(G1346="Refunded",L1346=0),"Refunded, no refund",IF(AND(G1346&lt;&gt;"Refunded",L1346&gt;0),"Refund, order not Refunded",IF(AND(L1346&gt;0,ROUND(M1346-H1346,2)&lt;&gt;0),"Refund amount differs","OK")))))))</f>
        <v>OK</v>
      </c>
      <c r="O1346" s="24">
        <f t="shared" ref="O1346:O1409" si="87">IF(N1346="OK",0,IF(N1346="Paid, no payment",H1346,IF(N1346="Payment on failed/cancelled",K1346,IF(OR(N1346="Duplicate charge",N1346="Amount difference"),K1346-H1346,IF(N1346="Refunded, no refund",H1346,M1346)))))</f>
        <v>0</v>
      </c>
    </row>
    <row r="1347" spans="1:15" ht="15" customHeight="1" x14ac:dyDescent="0.3">
      <c r="A1347" s="23" t="s">
        <v>3171</v>
      </c>
      <c r="B1347" s="38">
        <v>46282</v>
      </c>
      <c r="C1347" s="23" t="s">
        <v>3172</v>
      </c>
      <c r="D1347" s="23" t="s">
        <v>87</v>
      </c>
      <c r="E1347" s="23" t="s">
        <v>75</v>
      </c>
      <c r="F1347" s="23" t="s">
        <v>271</v>
      </c>
      <c r="G1347" s="23" t="s">
        <v>250</v>
      </c>
      <c r="H1347" s="39">
        <f t="shared" si="84"/>
        <v>2499</v>
      </c>
      <c r="I1347" s="23" t="str">
        <f t="shared" si="85"/>
        <v>Mumbai</v>
      </c>
      <c r="J1347" s="23">
        <f>COUNTIFS(pg_transaction_cleaned!$O:$O,A1347,pg_transaction_cleaned!$F:$F,"CAPTURE")</f>
        <v>1</v>
      </c>
      <c r="K1347" s="39">
        <f>SUMIFS(pg_transaction_cleaned!$H:$H,pg_transaction_cleaned!$O:$O,A1347,pg_transaction_cleaned!$F:$F,"CAPTURE")</f>
        <v>2499</v>
      </c>
      <c r="L1347" s="23">
        <f>COUNTIFS(pg_transaction_cleaned!$O:$O,A1347,pg_transaction_cleaned!$F:$F,"REFUND")</f>
        <v>0</v>
      </c>
      <c r="M1347" s="39">
        <f>SUMIFS(pg_transaction_cleaned!$H:$H,pg_transaction_cleaned!$O:$O,A1347,pg_transaction_cleaned!$F:$F,"REFUND")</f>
        <v>0</v>
      </c>
      <c r="N1347" s="23" t="str">
        <f t="shared" si="86"/>
        <v>OK</v>
      </c>
      <c r="O1347" s="24">
        <f t="shared" si="87"/>
        <v>0</v>
      </c>
    </row>
    <row r="1348" spans="1:15" ht="15" customHeight="1" x14ac:dyDescent="0.3">
      <c r="A1348" s="23" t="s">
        <v>3173</v>
      </c>
      <c r="B1348" s="38">
        <v>46289</v>
      </c>
      <c r="C1348" s="23" t="s">
        <v>3174</v>
      </c>
      <c r="D1348" s="23" t="s">
        <v>92</v>
      </c>
      <c r="E1348" s="23" t="s">
        <v>77</v>
      </c>
      <c r="F1348" s="23" t="s">
        <v>475</v>
      </c>
      <c r="G1348" s="23" t="s">
        <v>250</v>
      </c>
      <c r="H1348" s="39">
        <f t="shared" si="84"/>
        <v>799</v>
      </c>
      <c r="I1348" s="23" t="str">
        <f t="shared" si="85"/>
        <v>Hyderabad</v>
      </c>
      <c r="J1348" s="23">
        <f>COUNTIFS(pg_transaction_cleaned!$O:$O,A1348,pg_transaction_cleaned!$F:$F,"CAPTURE")</f>
        <v>1</v>
      </c>
      <c r="K1348" s="39">
        <f>SUMIFS(pg_transaction_cleaned!$H:$H,pg_transaction_cleaned!$O:$O,A1348,pg_transaction_cleaned!$F:$F,"CAPTURE")</f>
        <v>799</v>
      </c>
      <c r="L1348" s="23">
        <f>COUNTIFS(pg_transaction_cleaned!$O:$O,A1348,pg_transaction_cleaned!$F:$F,"REFUND")</f>
        <v>0</v>
      </c>
      <c r="M1348" s="39">
        <f>SUMIFS(pg_transaction_cleaned!$H:$H,pg_transaction_cleaned!$O:$O,A1348,pg_transaction_cleaned!$F:$F,"REFUND")</f>
        <v>0</v>
      </c>
      <c r="N1348" s="23" t="str">
        <f t="shared" si="86"/>
        <v>OK</v>
      </c>
      <c r="O1348" s="24">
        <f t="shared" si="87"/>
        <v>0</v>
      </c>
    </row>
    <row r="1349" spans="1:15" ht="15" customHeight="1" x14ac:dyDescent="0.3">
      <c r="A1349" s="23" t="s">
        <v>3175</v>
      </c>
      <c r="B1349" s="38">
        <v>46278</v>
      </c>
      <c r="C1349" s="23" t="s">
        <v>3176</v>
      </c>
      <c r="D1349" s="23" t="s">
        <v>88</v>
      </c>
      <c r="E1349" s="23" t="s">
        <v>75</v>
      </c>
      <c r="F1349" s="23" t="s">
        <v>1735</v>
      </c>
      <c r="G1349" s="23" t="s">
        <v>250</v>
      </c>
      <c r="H1349" s="39">
        <f t="shared" si="84"/>
        <v>12998</v>
      </c>
      <c r="I1349" s="23" t="str">
        <f t="shared" si="85"/>
        <v>Lucknow</v>
      </c>
      <c r="J1349" s="23">
        <f>COUNTIFS(pg_transaction_cleaned!$O:$O,A1349,pg_transaction_cleaned!$F:$F,"CAPTURE")</f>
        <v>1</v>
      </c>
      <c r="K1349" s="39">
        <f>SUMIFS(pg_transaction_cleaned!$H:$H,pg_transaction_cleaned!$O:$O,A1349,pg_transaction_cleaned!$F:$F,"CAPTURE")</f>
        <v>12998</v>
      </c>
      <c r="L1349" s="23">
        <f>COUNTIFS(pg_transaction_cleaned!$O:$O,A1349,pg_transaction_cleaned!$F:$F,"REFUND")</f>
        <v>0</v>
      </c>
      <c r="M1349" s="39">
        <f>SUMIFS(pg_transaction_cleaned!$H:$H,pg_transaction_cleaned!$O:$O,A1349,pg_transaction_cleaned!$F:$F,"REFUND")</f>
        <v>0</v>
      </c>
      <c r="N1349" s="23" t="str">
        <f t="shared" si="86"/>
        <v>OK</v>
      </c>
      <c r="O1349" s="24">
        <f t="shared" si="87"/>
        <v>0</v>
      </c>
    </row>
    <row r="1350" spans="1:15" ht="15" customHeight="1" x14ac:dyDescent="0.3">
      <c r="A1350" s="23" t="s">
        <v>3177</v>
      </c>
      <c r="B1350" s="38">
        <v>46289</v>
      </c>
      <c r="C1350" s="23" t="s">
        <v>3178</v>
      </c>
      <c r="D1350" s="23" t="s">
        <v>91</v>
      </c>
      <c r="E1350" s="23" t="s">
        <v>75</v>
      </c>
      <c r="F1350" s="23" t="s">
        <v>553</v>
      </c>
      <c r="G1350" s="23" t="s">
        <v>365</v>
      </c>
      <c r="H1350" s="39">
        <f t="shared" si="84"/>
        <v>2798</v>
      </c>
      <c r="I1350" s="23" t="str">
        <f t="shared" si="85"/>
        <v>Pune</v>
      </c>
      <c r="J1350" s="23">
        <f>COUNTIFS(pg_transaction_cleaned!$O:$O,A1350,pg_transaction_cleaned!$F:$F,"CAPTURE")</f>
        <v>0</v>
      </c>
      <c r="K1350" s="39">
        <f>SUMIFS(pg_transaction_cleaned!$H:$H,pg_transaction_cleaned!$O:$O,A1350,pg_transaction_cleaned!$F:$F,"CAPTURE")</f>
        <v>0</v>
      </c>
      <c r="L1350" s="23">
        <f>COUNTIFS(pg_transaction_cleaned!$O:$O,A1350,pg_transaction_cleaned!$F:$F,"REFUND")</f>
        <v>0</v>
      </c>
      <c r="M1350" s="39">
        <f>SUMIFS(pg_transaction_cleaned!$H:$H,pg_transaction_cleaned!$O:$O,A1350,pg_transaction_cleaned!$F:$F,"REFUND")</f>
        <v>0</v>
      </c>
      <c r="N1350" s="23" t="str">
        <f t="shared" si="86"/>
        <v>OK</v>
      </c>
      <c r="O1350" s="24">
        <f t="shared" si="87"/>
        <v>0</v>
      </c>
    </row>
    <row r="1351" spans="1:15" ht="15" customHeight="1" x14ac:dyDescent="0.3">
      <c r="A1351" s="23" t="s">
        <v>3179</v>
      </c>
      <c r="B1351" s="38">
        <v>46278</v>
      </c>
      <c r="C1351" s="23" t="s">
        <v>3180</v>
      </c>
      <c r="D1351" s="23" t="s">
        <v>92</v>
      </c>
      <c r="E1351" s="23" t="s">
        <v>77</v>
      </c>
      <c r="F1351" s="23" t="s">
        <v>3181</v>
      </c>
      <c r="G1351" s="23" t="s">
        <v>250</v>
      </c>
      <c r="H1351" s="39">
        <f t="shared" si="84"/>
        <v>8897</v>
      </c>
      <c r="I1351" s="23" t="str">
        <f t="shared" si="85"/>
        <v>Hyderabad</v>
      </c>
      <c r="J1351" s="23">
        <f>COUNTIFS(pg_transaction_cleaned!$O:$O,A1351,pg_transaction_cleaned!$F:$F,"CAPTURE")</f>
        <v>1</v>
      </c>
      <c r="K1351" s="39">
        <f>SUMIFS(pg_transaction_cleaned!$H:$H,pg_transaction_cleaned!$O:$O,A1351,pg_transaction_cleaned!$F:$F,"CAPTURE")</f>
        <v>8897</v>
      </c>
      <c r="L1351" s="23">
        <f>COUNTIFS(pg_transaction_cleaned!$O:$O,A1351,pg_transaction_cleaned!$F:$F,"REFUND")</f>
        <v>0</v>
      </c>
      <c r="M1351" s="39">
        <f>SUMIFS(pg_transaction_cleaned!$H:$H,pg_transaction_cleaned!$O:$O,A1351,pg_transaction_cleaned!$F:$F,"REFUND")</f>
        <v>0</v>
      </c>
      <c r="N1351" s="23" t="str">
        <f t="shared" si="86"/>
        <v>OK</v>
      </c>
      <c r="O1351" s="24">
        <f t="shared" si="87"/>
        <v>0</v>
      </c>
    </row>
    <row r="1352" spans="1:15" ht="15" customHeight="1" x14ac:dyDescent="0.3">
      <c r="A1352" s="23" t="s">
        <v>3182</v>
      </c>
      <c r="B1352" s="38">
        <v>46287</v>
      </c>
      <c r="C1352" s="23" t="s">
        <v>3183</v>
      </c>
      <c r="D1352" s="23" t="s">
        <v>93</v>
      </c>
      <c r="E1352" s="23" t="s">
        <v>77</v>
      </c>
      <c r="F1352" s="23" t="s">
        <v>291</v>
      </c>
      <c r="G1352" s="23" t="s">
        <v>250</v>
      </c>
      <c r="H1352" s="39">
        <f t="shared" si="84"/>
        <v>3499</v>
      </c>
      <c r="I1352" s="23" t="str">
        <f t="shared" si="85"/>
        <v>Kolkata</v>
      </c>
      <c r="J1352" s="23">
        <f>COUNTIFS(pg_transaction_cleaned!$O:$O,A1352,pg_transaction_cleaned!$F:$F,"CAPTURE")</f>
        <v>1</v>
      </c>
      <c r="K1352" s="39">
        <f>SUMIFS(pg_transaction_cleaned!$H:$H,pg_transaction_cleaned!$O:$O,A1352,pg_transaction_cleaned!$F:$F,"CAPTURE")</f>
        <v>3499</v>
      </c>
      <c r="L1352" s="23">
        <f>COUNTIFS(pg_transaction_cleaned!$O:$O,A1352,pg_transaction_cleaned!$F:$F,"REFUND")</f>
        <v>0</v>
      </c>
      <c r="M1352" s="39">
        <f>SUMIFS(pg_transaction_cleaned!$H:$H,pg_transaction_cleaned!$O:$O,A1352,pg_transaction_cleaned!$F:$F,"REFUND")</f>
        <v>0</v>
      </c>
      <c r="N1352" s="23" t="str">
        <f t="shared" si="86"/>
        <v>OK</v>
      </c>
      <c r="O1352" s="24">
        <f t="shared" si="87"/>
        <v>0</v>
      </c>
    </row>
    <row r="1353" spans="1:15" ht="15" customHeight="1" x14ac:dyDescent="0.3">
      <c r="A1353" s="23" t="s">
        <v>3184</v>
      </c>
      <c r="B1353" s="38">
        <v>46290</v>
      </c>
      <c r="C1353" s="23" t="s">
        <v>3185</v>
      </c>
      <c r="D1353" s="23" t="s">
        <v>93</v>
      </c>
      <c r="E1353" s="23" t="s">
        <v>75</v>
      </c>
      <c r="F1353" s="23" t="s">
        <v>754</v>
      </c>
      <c r="G1353" s="23" t="s">
        <v>250</v>
      </c>
      <c r="H1353" s="39">
        <f t="shared" si="84"/>
        <v>1348</v>
      </c>
      <c r="I1353" s="23" t="str">
        <f t="shared" si="85"/>
        <v>Kolkata</v>
      </c>
      <c r="J1353" s="23">
        <f>COUNTIFS(pg_transaction_cleaned!$O:$O,A1353,pg_transaction_cleaned!$F:$F,"CAPTURE")</f>
        <v>1</v>
      </c>
      <c r="K1353" s="39">
        <f>SUMIFS(pg_transaction_cleaned!$H:$H,pg_transaction_cleaned!$O:$O,A1353,pg_transaction_cleaned!$F:$F,"CAPTURE")</f>
        <v>1348</v>
      </c>
      <c r="L1353" s="23">
        <f>COUNTIFS(pg_transaction_cleaned!$O:$O,A1353,pg_transaction_cleaned!$F:$F,"REFUND")</f>
        <v>0</v>
      </c>
      <c r="M1353" s="39">
        <f>SUMIFS(pg_transaction_cleaned!$H:$H,pg_transaction_cleaned!$O:$O,A1353,pg_transaction_cleaned!$F:$F,"REFUND")</f>
        <v>0</v>
      </c>
      <c r="N1353" s="23" t="str">
        <f t="shared" si="86"/>
        <v>OK</v>
      </c>
      <c r="O1353" s="24">
        <f t="shared" si="87"/>
        <v>0</v>
      </c>
    </row>
    <row r="1354" spans="1:15" ht="15" customHeight="1" x14ac:dyDescent="0.3">
      <c r="A1354" s="23" t="s">
        <v>3186</v>
      </c>
      <c r="B1354" s="38">
        <v>46280</v>
      </c>
      <c r="C1354" s="23" t="s">
        <v>3187</v>
      </c>
      <c r="D1354" s="23" t="s">
        <v>91</v>
      </c>
      <c r="E1354" s="23" t="s">
        <v>75</v>
      </c>
      <c r="F1354" s="23" t="s">
        <v>760</v>
      </c>
      <c r="G1354" s="23" t="s">
        <v>250</v>
      </c>
      <c r="H1354" s="39">
        <f t="shared" si="84"/>
        <v>799</v>
      </c>
      <c r="I1354" s="23" t="str">
        <f t="shared" si="85"/>
        <v>Pune</v>
      </c>
      <c r="J1354" s="23">
        <f>COUNTIFS(pg_transaction_cleaned!$O:$O,A1354,pg_transaction_cleaned!$F:$F,"CAPTURE")</f>
        <v>1</v>
      </c>
      <c r="K1354" s="39">
        <f>SUMIFS(pg_transaction_cleaned!$H:$H,pg_transaction_cleaned!$O:$O,A1354,pg_transaction_cleaned!$F:$F,"CAPTURE")</f>
        <v>799</v>
      </c>
      <c r="L1354" s="23">
        <f>COUNTIFS(pg_transaction_cleaned!$O:$O,A1354,pg_transaction_cleaned!$F:$F,"REFUND")</f>
        <v>0</v>
      </c>
      <c r="M1354" s="39">
        <f>SUMIFS(pg_transaction_cleaned!$H:$H,pg_transaction_cleaned!$O:$O,A1354,pg_transaction_cleaned!$F:$F,"REFUND")</f>
        <v>0</v>
      </c>
      <c r="N1354" s="23" t="str">
        <f t="shared" si="86"/>
        <v>OK</v>
      </c>
      <c r="O1354" s="24">
        <f t="shared" si="87"/>
        <v>0</v>
      </c>
    </row>
    <row r="1355" spans="1:15" ht="15" customHeight="1" x14ac:dyDescent="0.3">
      <c r="A1355" s="23" t="s">
        <v>3188</v>
      </c>
      <c r="B1355" s="38">
        <v>46286</v>
      </c>
      <c r="C1355" s="23" t="s">
        <v>3189</v>
      </c>
      <c r="D1355" s="23" t="s">
        <v>93</v>
      </c>
      <c r="E1355" s="23" t="s">
        <v>79</v>
      </c>
      <c r="F1355" s="23" t="s">
        <v>787</v>
      </c>
      <c r="G1355" s="23" t="s">
        <v>250</v>
      </c>
      <c r="H1355" s="39">
        <f t="shared" si="84"/>
        <v>7997</v>
      </c>
      <c r="I1355" s="23" t="str">
        <f t="shared" si="85"/>
        <v>Kolkata</v>
      </c>
      <c r="J1355" s="23">
        <f>COUNTIFS(pg_transaction_cleaned!$O:$O,A1355,pg_transaction_cleaned!$F:$F,"CAPTURE")</f>
        <v>1</v>
      </c>
      <c r="K1355" s="39">
        <f>SUMIFS(pg_transaction_cleaned!$H:$H,pg_transaction_cleaned!$O:$O,A1355,pg_transaction_cleaned!$F:$F,"CAPTURE")</f>
        <v>7997</v>
      </c>
      <c r="L1355" s="23">
        <f>COUNTIFS(pg_transaction_cleaned!$O:$O,A1355,pg_transaction_cleaned!$F:$F,"REFUND")</f>
        <v>0</v>
      </c>
      <c r="M1355" s="39">
        <f>SUMIFS(pg_transaction_cleaned!$H:$H,pg_transaction_cleaned!$O:$O,A1355,pg_transaction_cleaned!$F:$F,"REFUND")</f>
        <v>0</v>
      </c>
      <c r="N1355" s="23" t="str">
        <f t="shared" si="86"/>
        <v>OK</v>
      </c>
      <c r="O1355" s="24">
        <f t="shared" si="87"/>
        <v>0</v>
      </c>
    </row>
    <row r="1356" spans="1:15" ht="15" customHeight="1" x14ac:dyDescent="0.3">
      <c r="A1356" s="23" t="s">
        <v>3190</v>
      </c>
      <c r="B1356" s="38">
        <v>46267</v>
      </c>
      <c r="C1356" s="23" t="s">
        <v>3191</v>
      </c>
      <c r="D1356" s="23" t="s">
        <v>90</v>
      </c>
      <c r="E1356" s="23" t="s">
        <v>77</v>
      </c>
      <c r="F1356" s="23" t="s">
        <v>475</v>
      </c>
      <c r="G1356" s="23" t="s">
        <v>250</v>
      </c>
      <c r="H1356" s="39">
        <f t="shared" si="84"/>
        <v>799</v>
      </c>
      <c r="I1356" s="23" t="str">
        <f t="shared" si="85"/>
        <v>Ahmedabad</v>
      </c>
      <c r="J1356" s="23">
        <f>COUNTIFS(pg_transaction_cleaned!$O:$O,A1356,pg_transaction_cleaned!$F:$F,"CAPTURE")</f>
        <v>1</v>
      </c>
      <c r="K1356" s="39">
        <f>SUMIFS(pg_transaction_cleaned!$H:$H,pg_transaction_cleaned!$O:$O,A1356,pg_transaction_cleaned!$F:$F,"CAPTURE")</f>
        <v>799</v>
      </c>
      <c r="L1356" s="23">
        <f>COUNTIFS(pg_transaction_cleaned!$O:$O,A1356,pg_transaction_cleaned!$F:$F,"REFUND")</f>
        <v>0</v>
      </c>
      <c r="M1356" s="39">
        <f>SUMIFS(pg_transaction_cleaned!$H:$H,pg_transaction_cleaned!$O:$O,A1356,pg_transaction_cleaned!$F:$F,"REFUND")</f>
        <v>0</v>
      </c>
      <c r="N1356" s="23" t="str">
        <f t="shared" si="86"/>
        <v>OK</v>
      </c>
      <c r="O1356" s="24">
        <f t="shared" si="87"/>
        <v>0</v>
      </c>
    </row>
    <row r="1357" spans="1:15" ht="15" customHeight="1" x14ac:dyDescent="0.3">
      <c r="A1357" s="23" t="s">
        <v>3192</v>
      </c>
      <c r="B1357" s="38">
        <v>46281</v>
      </c>
      <c r="C1357" s="23" t="s">
        <v>3193</v>
      </c>
      <c r="D1357" s="23" t="s">
        <v>86</v>
      </c>
      <c r="E1357" s="23" t="s">
        <v>75</v>
      </c>
      <c r="F1357" s="23" t="s">
        <v>2045</v>
      </c>
      <c r="G1357" s="23" t="s">
        <v>250</v>
      </c>
      <c r="H1357" s="39">
        <f t="shared" si="84"/>
        <v>698</v>
      </c>
      <c r="I1357" s="23" t="str">
        <f t="shared" si="85"/>
        <v>Delhi</v>
      </c>
      <c r="J1357" s="23">
        <f>COUNTIFS(pg_transaction_cleaned!$O:$O,A1357,pg_transaction_cleaned!$F:$F,"CAPTURE")</f>
        <v>1</v>
      </c>
      <c r="K1357" s="39">
        <f>SUMIFS(pg_transaction_cleaned!$H:$H,pg_transaction_cleaned!$O:$O,A1357,pg_transaction_cleaned!$F:$F,"CAPTURE")</f>
        <v>698</v>
      </c>
      <c r="L1357" s="23">
        <f>COUNTIFS(pg_transaction_cleaned!$O:$O,A1357,pg_transaction_cleaned!$F:$F,"REFUND")</f>
        <v>0</v>
      </c>
      <c r="M1357" s="39">
        <f>SUMIFS(pg_transaction_cleaned!$H:$H,pg_transaction_cleaned!$O:$O,A1357,pg_transaction_cleaned!$F:$F,"REFUND")</f>
        <v>0</v>
      </c>
      <c r="N1357" s="23" t="str">
        <f t="shared" si="86"/>
        <v>OK</v>
      </c>
      <c r="O1357" s="24">
        <f t="shared" si="87"/>
        <v>0</v>
      </c>
    </row>
    <row r="1358" spans="1:15" ht="15" customHeight="1" x14ac:dyDescent="0.3">
      <c r="A1358" s="23" t="s">
        <v>3194</v>
      </c>
      <c r="B1358" s="38">
        <v>46281</v>
      </c>
      <c r="C1358" s="23" t="s">
        <v>3195</v>
      </c>
      <c r="D1358" s="23" t="s">
        <v>91</v>
      </c>
      <c r="E1358" s="23" t="s">
        <v>81</v>
      </c>
      <c r="F1358" s="23" t="s">
        <v>310</v>
      </c>
      <c r="G1358" s="23" t="s">
        <v>250</v>
      </c>
      <c r="H1358" s="39">
        <f t="shared" si="84"/>
        <v>7999</v>
      </c>
      <c r="I1358" s="23" t="str">
        <f t="shared" si="85"/>
        <v>Pune</v>
      </c>
      <c r="J1358" s="23">
        <f>COUNTIFS(pg_transaction_cleaned!$O:$O,A1358,pg_transaction_cleaned!$F:$F,"CAPTURE")</f>
        <v>1</v>
      </c>
      <c r="K1358" s="39">
        <f>SUMIFS(pg_transaction_cleaned!$H:$H,pg_transaction_cleaned!$O:$O,A1358,pg_transaction_cleaned!$F:$F,"CAPTURE")</f>
        <v>7999</v>
      </c>
      <c r="L1358" s="23">
        <f>COUNTIFS(pg_transaction_cleaned!$O:$O,A1358,pg_transaction_cleaned!$F:$F,"REFUND")</f>
        <v>0</v>
      </c>
      <c r="M1358" s="39">
        <f>SUMIFS(pg_transaction_cleaned!$H:$H,pg_transaction_cleaned!$O:$O,A1358,pg_transaction_cleaned!$F:$F,"REFUND")</f>
        <v>0</v>
      </c>
      <c r="N1358" s="23" t="str">
        <f t="shared" si="86"/>
        <v>OK</v>
      </c>
      <c r="O1358" s="24">
        <f t="shared" si="87"/>
        <v>0</v>
      </c>
    </row>
    <row r="1359" spans="1:15" ht="15" customHeight="1" x14ac:dyDescent="0.3">
      <c r="A1359" s="23" t="s">
        <v>3196</v>
      </c>
      <c r="B1359" s="38">
        <v>46271</v>
      </c>
      <c r="C1359" s="23" t="s">
        <v>3197</v>
      </c>
      <c r="D1359" s="23" t="s">
        <v>87</v>
      </c>
      <c r="E1359" s="23" t="s">
        <v>75</v>
      </c>
      <c r="F1359" s="23" t="s">
        <v>274</v>
      </c>
      <c r="G1359" s="23" t="s">
        <v>250</v>
      </c>
      <c r="H1359" s="39">
        <f t="shared" si="84"/>
        <v>349</v>
      </c>
      <c r="I1359" s="23" t="str">
        <f t="shared" si="85"/>
        <v>Mumbai</v>
      </c>
      <c r="J1359" s="23">
        <f>COUNTIFS(pg_transaction_cleaned!$O:$O,A1359,pg_transaction_cleaned!$F:$F,"CAPTURE")</f>
        <v>1</v>
      </c>
      <c r="K1359" s="39">
        <f>SUMIFS(pg_transaction_cleaned!$H:$H,pg_transaction_cleaned!$O:$O,A1359,pg_transaction_cleaned!$F:$F,"CAPTURE")</f>
        <v>349</v>
      </c>
      <c r="L1359" s="23">
        <f>COUNTIFS(pg_transaction_cleaned!$O:$O,A1359,pg_transaction_cleaned!$F:$F,"REFUND")</f>
        <v>0</v>
      </c>
      <c r="M1359" s="39">
        <f>SUMIFS(pg_transaction_cleaned!$H:$H,pg_transaction_cleaned!$O:$O,A1359,pg_transaction_cleaned!$F:$F,"REFUND")</f>
        <v>0</v>
      </c>
      <c r="N1359" s="23" t="str">
        <f t="shared" si="86"/>
        <v>OK</v>
      </c>
      <c r="O1359" s="24">
        <f t="shared" si="87"/>
        <v>0</v>
      </c>
    </row>
    <row r="1360" spans="1:15" ht="15" customHeight="1" x14ac:dyDescent="0.3">
      <c r="A1360" s="23" t="s">
        <v>3198</v>
      </c>
      <c r="B1360" s="38">
        <v>46287</v>
      </c>
      <c r="C1360" s="23" t="s">
        <v>3199</v>
      </c>
      <c r="D1360" s="23" t="s">
        <v>89</v>
      </c>
      <c r="E1360" s="23" t="s">
        <v>75</v>
      </c>
      <c r="F1360" s="23" t="s">
        <v>262</v>
      </c>
      <c r="G1360" s="23" t="s">
        <v>250</v>
      </c>
      <c r="H1360" s="39">
        <f t="shared" si="84"/>
        <v>499</v>
      </c>
      <c r="I1360" s="23" t="str">
        <f t="shared" si="85"/>
        <v>Jaipur</v>
      </c>
      <c r="J1360" s="23">
        <f>COUNTIFS(pg_transaction_cleaned!$O:$O,A1360,pg_transaction_cleaned!$F:$F,"CAPTURE")</f>
        <v>1</v>
      </c>
      <c r="K1360" s="39">
        <f>SUMIFS(pg_transaction_cleaned!$H:$H,pg_transaction_cleaned!$O:$O,A1360,pg_transaction_cleaned!$F:$F,"CAPTURE")</f>
        <v>499</v>
      </c>
      <c r="L1360" s="23">
        <f>COUNTIFS(pg_transaction_cleaned!$O:$O,A1360,pg_transaction_cleaned!$F:$F,"REFUND")</f>
        <v>0</v>
      </c>
      <c r="M1360" s="39">
        <f>SUMIFS(pg_transaction_cleaned!$H:$H,pg_transaction_cleaned!$O:$O,A1360,pg_transaction_cleaned!$F:$F,"REFUND")</f>
        <v>0</v>
      </c>
      <c r="N1360" s="23" t="str">
        <f t="shared" si="86"/>
        <v>OK</v>
      </c>
      <c r="O1360" s="24">
        <f t="shared" si="87"/>
        <v>0</v>
      </c>
    </row>
    <row r="1361" spans="1:15" ht="15" customHeight="1" x14ac:dyDescent="0.3">
      <c r="A1361" s="23" t="s">
        <v>3200</v>
      </c>
      <c r="B1361" s="38">
        <v>46272</v>
      </c>
      <c r="C1361" s="23" t="s">
        <v>3201</v>
      </c>
      <c r="D1361" s="23" t="s">
        <v>91</v>
      </c>
      <c r="E1361" s="23" t="s">
        <v>81</v>
      </c>
      <c r="F1361" s="23" t="s">
        <v>307</v>
      </c>
      <c r="G1361" s="23" t="s">
        <v>250</v>
      </c>
      <c r="H1361" s="39">
        <f t="shared" si="84"/>
        <v>3798</v>
      </c>
      <c r="I1361" s="23" t="str">
        <f t="shared" si="85"/>
        <v>Pune</v>
      </c>
      <c r="J1361" s="23">
        <f>COUNTIFS(pg_transaction_cleaned!$O:$O,A1361,pg_transaction_cleaned!$F:$F,"CAPTURE")</f>
        <v>1</v>
      </c>
      <c r="K1361" s="39">
        <f>SUMIFS(pg_transaction_cleaned!$H:$H,pg_transaction_cleaned!$O:$O,A1361,pg_transaction_cleaned!$F:$F,"CAPTURE")</f>
        <v>3798</v>
      </c>
      <c r="L1361" s="23">
        <f>COUNTIFS(pg_transaction_cleaned!$O:$O,A1361,pg_transaction_cleaned!$F:$F,"REFUND")</f>
        <v>0</v>
      </c>
      <c r="M1361" s="39">
        <f>SUMIFS(pg_transaction_cleaned!$H:$H,pg_transaction_cleaned!$O:$O,A1361,pg_transaction_cleaned!$F:$F,"REFUND")</f>
        <v>0</v>
      </c>
      <c r="N1361" s="23" t="str">
        <f t="shared" si="86"/>
        <v>OK</v>
      </c>
      <c r="O1361" s="24">
        <f t="shared" si="87"/>
        <v>0</v>
      </c>
    </row>
    <row r="1362" spans="1:15" ht="15" customHeight="1" x14ac:dyDescent="0.3">
      <c r="A1362" s="23" t="s">
        <v>3202</v>
      </c>
      <c r="B1362" s="38">
        <v>46278</v>
      </c>
      <c r="C1362" s="23" t="s">
        <v>3203</v>
      </c>
      <c r="D1362" s="23" t="s">
        <v>95</v>
      </c>
      <c r="E1362" s="23" t="s">
        <v>75</v>
      </c>
      <c r="F1362" s="23" t="s">
        <v>1614</v>
      </c>
      <c r="G1362" s="23" t="s">
        <v>250</v>
      </c>
      <c r="H1362" s="39">
        <f t="shared" si="84"/>
        <v>2597</v>
      </c>
      <c r="I1362" s="23" t="str">
        <f t="shared" si="85"/>
        <v>Bengaluru</v>
      </c>
      <c r="J1362" s="23">
        <f>COUNTIFS(pg_transaction_cleaned!$O:$O,A1362,pg_transaction_cleaned!$F:$F,"CAPTURE")</f>
        <v>1</v>
      </c>
      <c r="K1362" s="39">
        <f>SUMIFS(pg_transaction_cleaned!$H:$H,pg_transaction_cleaned!$O:$O,A1362,pg_transaction_cleaned!$F:$F,"CAPTURE")</f>
        <v>2597</v>
      </c>
      <c r="L1362" s="23">
        <f>COUNTIFS(pg_transaction_cleaned!$O:$O,A1362,pg_transaction_cleaned!$F:$F,"REFUND")</f>
        <v>0</v>
      </c>
      <c r="M1362" s="39">
        <f>SUMIFS(pg_transaction_cleaned!$H:$H,pg_transaction_cleaned!$O:$O,A1362,pg_transaction_cleaned!$F:$F,"REFUND")</f>
        <v>0</v>
      </c>
      <c r="N1362" s="23" t="str">
        <f t="shared" si="86"/>
        <v>OK</v>
      </c>
      <c r="O1362" s="24">
        <f t="shared" si="87"/>
        <v>0</v>
      </c>
    </row>
    <row r="1363" spans="1:15" ht="15" customHeight="1" x14ac:dyDescent="0.3">
      <c r="A1363" s="23" t="s">
        <v>3204</v>
      </c>
      <c r="B1363" s="38">
        <v>46295</v>
      </c>
      <c r="C1363" s="23" t="s">
        <v>3205</v>
      </c>
      <c r="D1363" s="23" t="s">
        <v>93</v>
      </c>
      <c r="E1363" s="23" t="s">
        <v>75</v>
      </c>
      <c r="F1363" s="23" t="s">
        <v>265</v>
      </c>
      <c r="G1363" s="23" t="s">
        <v>365</v>
      </c>
      <c r="H1363" s="39">
        <f t="shared" si="84"/>
        <v>999</v>
      </c>
      <c r="I1363" s="23" t="str">
        <f t="shared" si="85"/>
        <v>Kolkata</v>
      </c>
      <c r="J1363" s="23">
        <f>COUNTIFS(pg_transaction_cleaned!$O:$O,A1363,pg_transaction_cleaned!$F:$F,"CAPTURE")</f>
        <v>0</v>
      </c>
      <c r="K1363" s="39">
        <f>SUMIFS(pg_transaction_cleaned!$H:$H,pg_transaction_cleaned!$O:$O,A1363,pg_transaction_cleaned!$F:$F,"CAPTURE")</f>
        <v>0</v>
      </c>
      <c r="L1363" s="23">
        <f>COUNTIFS(pg_transaction_cleaned!$O:$O,A1363,pg_transaction_cleaned!$F:$F,"REFUND")</f>
        <v>0</v>
      </c>
      <c r="M1363" s="39">
        <f>SUMIFS(pg_transaction_cleaned!$H:$H,pg_transaction_cleaned!$O:$O,A1363,pg_transaction_cleaned!$F:$F,"REFUND")</f>
        <v>0</v>
      </c>
      <c r="N1363" s="23" t="str">
        <f t="shared" si="86"/>
        <v>OK</v>
      </c>
      <c r="O1363" s="24">
        <f t="shared" si="87"/>
        <v>0</v>
      </c>
    </row>
    <row r="1364" spans="1:15" ht="15" customHeight="1" x14ac:dyDescent="0.3">
      <c r="A1364" s="23" t="s">
        <v>3206</v>
      </c>
      <c r="B1364" s="38">
        <v>46266</v>
      </c>
      <c r="C1364" s="23" t="s">
        <v>3207</v>
      </c>
      <c r="D1364" s="23" t="s">
        <v>95</v>
      </c>
      <c r="E1364" s="23" t="s">
        <v>79</v>
      </c>
      <c r="F1364" s="23" t="s">
        <v>265</v>
      </c>
      <c r="G1364" s="23" t="s">
        <v>250</v>
      </c>
      <c r="H1364" s="39">
        <f t="shared" si="84"/>
        <v>999</v>
      </c>
      <c r="I1364" s="23" t="str">
        <f t="shared" si="85"/>
        <v>Bengaluru</v>
      </c>
      <c r="J1364" s="23">
        <f>COUNTIFS(pg_transaction_cleaned!$O:$O,A1364,pg_transaction_cleaned!$F:$F,"CAPTURE")</f>
        <v>1</v>
      </c>
      <c r="K1364" s="39">
        <f>SUMIFS(pg_transaction_cleaned!$H:$H,pg_transaction_cleaned!$O:$O,A1364,pg_transaction_cleaned!$F:$F,"CAPTURE")</f>
        <v>999</v>
      </c>
      <c r="L1364" s="23">
        <f>COUNTIFS(pg_transaction_cleaned!$O:$O,A1364,pg_transaction_cleaned!$F:$F,"REFUND")</f>
        <v>0</v>
      </c>
      <c r="M1364" s="39">
        <f>SUMIFS(pg_transaction_cleaned!$H:$H,pg_transaction_cleaned!$O:$O,A1364,pg_transaction_cleaned!$F:$F,"REFUND")</f>
        <v>0</v>
      </c>
      <c r="N1364" s="23" t="str">
        <f t="shared" si="86"/>
        <v>OK</v>
      </c>
      <c r="O1364" s="24">
        <f t="shared" si="87"/>
        <v>0</v>
      </c>
    </row>
    <row r="1365" spans="1:15" ht="15" customHeight="1" x14ac:dyDescent="0.3">
      <c r="A1365" s="23" t="s">
        <v>3208</v>
      </c>
      <c r="B1365" s="38">
        <v>46294</v>
      </c>
      <c r="C1365" s="23" t="s">
        <v>3209</v>
      </c>
      <c r="D1365" s="23" t="s">
        <v>87</v>
      </c>
      <c r="E1365" s="23" t="s">
        <v>79</v>
      </c>
      <c r="F1365" s="23" t="s">
        <v>297</v>
      </c>
      <c r="G1365" s="23" t="s">
        <v>250</v>
      </c>
      <c r="H1365" s="39">
        <f t="shared" si="84"/>
        <v>4999</v>
      </c>
      <c r="I1365" s="23" t="str">
        <f t="shared" si="85"/>
        <v>Mumbai</v>
      </c>
      <c r="J1365" s="23">
        <f>COUNTIFS(pg_transaction_cleaned!$O:$O,A1365,pg_transaction_cleaned!$F:$F,"CAPTURE")</f>
        <v>1</v>
      </c>
      <c r="K1365" s="39">
        <f>SUMIFS(pg_transaction_cleaned!$H:$H,pg_transaction_cleaned!$O:$O,A1365,pg_transaction_cleaned!$F:$F,"CAPTURE")</f>
        <v>4999</v>
      </c>
      <c r="L1365" s="23">
        <f>COUNTIFS(pg_transaction_cleaned!$O:$O,A1365,pg_transaction_cleaned!$F:$F,"REFUND")</f>
        <v>0</v>
      </c>
      <c r="M1365" s="39">
        <f>SUMIFS(pg_transaction_cleaned!$H:$H,pg_transaction_cleaned!$O:$O,A1365,pg_transaction_cleaned!$F:$F,"REFUND")</f>
        <v>0</v>
      </c>
      <c r="N1365" s="23" t="str">
        <f t="shared" si="86"/>
        <v>OK</v>
      </c>
      <c r="O1365" s="24">
        <f t="shared" si="87"/>
        <v>0</v>
      </c>
    </row>
    <row r="1366" spans="1:15" ht="15" customHeight="1" x14ac:dyDescent="0.3">
      <c r="A1366" s="23" t="s">
        <v>3210</v>
      </c>
      <c r="B1366" s="38">
        <v>46279</v>
      </c>
      <c r="C1366" s="23" t="s">
        <v>3211</v>
      </c>
      <c r="D1366" s="23" t="s">
        <v>88</v>
      </c>
      <c r="E1366" s="23" t="s">
        <v>79</v>
      </c>
      <c r="F1366" s="23" t="s">
        <v>2337</v>
      </c>
      <c r="G1366" s="23" t="s">
        <v>250</v>
      </c>
      <c r="H1366" s="39">
        <f t="shared" si="84"/>
        <v>8348</v>
      </c>
      <c r="I1366" s="23" t="str">
        <f t="shared" si="85"/>
        <v>Lucknow</v>
      </c>
      <c r="J1366" s="23">
        <f>COUNTIFS(pg_transaction_cleaned!$O:$O,A1366,pg_transaction_cleaned!$F:$F,"CAPTURE")</f>
        <v>1</v>
      </c>
      <c r="K1366" s="39">
        <f>SUMIFS(pg_transaction_cleaned!$H:$H,pg_transaction_cleaned!$O:$O,A1366,pg_transaction_cleaned!$F:$F,"CAPTURE")</f>
        <v>8348</v>
      </c>
      <c r="L1366" s="23">
        <f>COUNTIFS(pg_transaction_cleaned!$O:$O,A1366,pg_transaction_cleaned!$F:$F,"REFUND")</f>
        <v>0</v>
      </c>
      <c r="M1366" s="39">
        <f>SUMIFS(pg_transaction_cleaned!$H:$H,pg_transaction_cleaned!$O:$O,A1366,pg_transaction_cleaned!$F:$F,"REFUND")</f>
        <v>0</v>
      </c>
      <c r="N1366" s="23" t="str">
        <f t="shared" si="86"/>
        <v>OK</v>
      </c>
      <c r="O1366" s="24">
        <f t="shared" si="87"/>
        <v>0</v>
      </c>
    </row>
    <row r="1367" spans="1:15" ht="15" customHeight="1" x14ac:dyDescent="0.3">
      <c r="A1367" s="23" t="s">
        <v>3212</v>
      </c>
      <c r="B1367" s="38">
        <v>46272</v>
      </c>
      <c r="C1367" s="23" t="s">
        <v>3213</v>
      </c>
      <c r="D1367" s="23" t="s">
        <v>94</v>
      </c>
      <c r="E1367" s="23" t="s">
        <v>75</v>
      </c>
      <c r="F1367" s="23" t="s">
        <v>300</v>
      </c>
      <c r="G1367" s="23" t="s">
        <v>250</v>
      </c>
      <c r="H1367" s="39">
        <f t="shared" si="84"/>
        <v>2598</v>
      </c>
      <c r="I1367" s="23" t="str">
        <f t="shared" si="85"/>
        <v>Chennai</v>
      </c>
      <c r="J1367" s="23">
        <f>COUNTIFS(pg_transaction_cleaned!$O:$O,A1367,pg_transaction_cleaned!$F:$F,"CAPTURE")</f>
        <v>1</v>
      </c>
      <c r="K1367" s="39">
        <f>SUMIFS(pg_transaction_cleaned!$H:$H,pg_transaction_cleaned!$O:$O,A1367,pg_transaction_cleaned!$F:$F,"CAPTURE")</f>
        <v>2598</v>
      </c>
      <c r="L1367" s="23">
        <f>COUNTIFS(pg_transaction_cleaned!$O:$O,A1367,pg_transaction_cleaned!$F:$F,"REFUND")</f>
        <v>0</v>
      </c>
      <c r="M1367" s="39">
        <f>SUMIFS(pg_transaction_cleaned!$H:$H,pg_transaction_cleaned!$O:$O,A1367,pg_transaction_cleaned!$F:$F,"REFUND")</f>
        <v>0</v>
      </c>
      <c r="N1367" s="23" t="str">
        <f t="shared" si="86"/>
        <v>OK</v>
      </c>
      <c r="O1367" s="24">
        <f t="shared" si="87"/>
        <v>0</v>
      </c>
    </row>
    <row r="1368" spans="1:15" ht="15" customHeight="1" x14ac:dyDescent="0.3">
      <c r="A1368" s="23" t="s">
        <v>3214</v>
      </c>
      <c r="B1368" s="38">
        <v>46271</v>
      </c>
      <c r="C1368" s="23" t="s">
        <v>3215</v>
      </c>
      <c r="D1368" s="23" t="s">
        <v>90</v>
      </c>
      <c r="E1368" s="23" t="s">
        <v>75</v>
      </c>
      <c r="F1368" s="23" t="s">
        <v>268</v>
      </c>
      <c r="G1368" s="23" t="s">
        <v>250</v>
      </c>
      <c r="H1368" s="39">
        <f t="shared" si="84"/>
        <v>1299</v>
      </c>
      <c r="I1368" s="23" t="str">
        <f t="shared" si="85"/>
        <v>Ahmedabad</v>
      </c>
      <c r="J1368" s="23">
        <f>COUNTIFS(pg_transaction_cleaned!$O:$O,A1368,pg_transaction_cleaned!$F:$F,"CAPTURE")</f>
        <v>1</v>
      </c>
      <c r="K1368" s="39">
        <f>SUMIFS(pg_transaction_cleaned!$H:$H,pg_transaction_cleaned!$O:$O,A1368,pg_transaction_cleaned!$F:$F,"CAPTURE")</f>
        <v>1299</v>
      </c>
      <c r="L1368" s="23">
        <f>COUNTIFS(pg_transaction_cleaned!$O:$O,A1368,pg_transaction_cleaned!$F:$F,"REFUND")</f>
        <v>0</v>
      </c>
      <c r="M1368" s="39">
        <f>SUMIFS(pg_transaction_cleaned!$H:$H,pg_transaction_cleaned!$O:$O,A1368,pg_transaction_cleaned!$F:$F,"REFUND")</f>
        <v>0</v>
      </c>
      <c r="N1368" s="23" t="str">
        <f t="shared" si="86"/>
        <v>OK</v>
      </c>
      <c r="O1368" s="24">
        <f t="shared" si="87"/>
        <v>0</v>
      </c>
    </row>
    <row r="1369" spans="1:15" ht="15" customHeight="1" x14ac:dyDescent="0.3">
      <c r="A1369" s="23" t="s">
        <v>3216</v>
      </c>
      <c r="B1369" s="38">
        <v>46273</v>
      </c>
      <c r="C1369" s="23" t="s">
        <v>3217</v>
      </c>
      <c r="D1369" s="23" t="s">
        <v>87</v>
      </c>
      <c r="E1369" s="23" t="s">
        <v>79</v>
      </c>
      <c r="F1369" s="23" t="s">
        <v>396</v>
      </c>
      <c r="G1369" s="23" t="s">
        <v>250</v>
      </c>
      <c r="H1369" s="39">
        <f t="shared" si="84"/>
        <v>2999</v>
      </c>
      <c r="I1369" s="23" t="str">
        <f t="shared" si="85"/>
        <v>Mumbai</v>
      </c>
      <c r="J1369" s="23">
        <f>COUNTIFS(pg_transaction_cleaned!$O:$O,A1369,pg_transaction_cleaned!$F:$F,"CAPTURE")</f>
        <v>1</v>
      </c>
      <c r="K1369" s="39">
        <f>SUMIFS(pg_transaction_cleaned!$H:$H,pg_transaction_cleaned!$O:$O,A1369,pg_transaction_cleaned!$F:$F,"CAPTURE")</f>
        <v>2999</v>
      </c>
      <c r="L1369" s="23">
        <f>COUNTIFS(pg_transaction_cleaned!$O:$O,A1369,pg_transaction_cleaned!$F:$F,"REFUND")</f>
        <v>0</v>
      </c>
      <c r="M1369" s="39">
        <f>SUMIFS(pg_transaction_cleaned!$H:$H,pg_transaction_cleaned!$O:$O,A1369,pg_transaction_cleaned!$F:$F,"REFUND")</f>
        <v>0</v>
      </c>
      <c r="N1369" s="23" t="str">
        <f t="shared" si="86"/>
        <v>OK</v>
      </c>
      <c r="O1369" s="24">
        <f t="shared" si="87"/>
        <v>0</v>
      </c>
    </row>
    <row r="1370" spans="1:15" ht="15" customHeight="1" x14ac:dyDescent="0.3">
      <c r="A1370" s="23" t="s">
        <v>3218</v>
      </c>
      <c r="B1370" s="38">
        <v>46268</v>
      </c>
      <c r="C1370" s="23" t="s">
        <v>3219</v>
      </c>
      <c r="D1370" s="23" t="s">
        <v>89</v>
      </c>
      <c r="E1370" s="23" t="s">
        <v>79</v>
      </c>
      <c r="F1370" s="23" t="s">
        <v>268</v>
      </c>
      <c r="G1370" s="23" t="s">
        <v>250</v>
      </c>
      <c r="H1370" s="39">
        <f t="shared" si="84"/>
        <v>1299</v>
      </c>
      <c r="I1370" s="23" t="str">
        <f t="shared" si="85"/>
        <v>Jaipur</v>
      </c>
      <c r="J1370" s="23">
        <f>COUNTIFS(pg_transaction_cleaned!$O:$O,A1370,pg_transaction_cleaned!$F:$F,"CAPTURE")</f>
        <v>1</v>
      </c>
      <c r="K1370" s="39">
        <f>SUMIFS(pg_transaction_cleaned!$H:$H,pg_transaction_cleaned!$O:$O,A1370,pg_transaction_cleaned!$F:$F,"CAPTURE")</f>
        <v>1299</v>
      </c>
      <c r="L1370" s="23">
        <f>COUNTIFS(pg_transaction_cleaned!$O:$O,A1370,pg_transaction_cleaned!$F:$F,"REFUND")</f>
        <v>0</v>
      </c>
      <c r="M1370" s="39">
        <f>SUMIFS(pg_transaction_cleaned!$H:$H,pg_transaction_cleaned!$O:$O,A1370,pg_transaction_cleaned!$F:$F,"REFUND")</f>
        <v>0</v>
      </c>
      <c r="N1370" s="23" t="str">
        <f t="shared" si="86"/>
        <v>OK</v>
      </c>
      <c r="O1370" s="24">
        <f t="shared" si="87"/>
        <v>0</v>
      </c>
    </row>
    <row r="1371" spans="1:15" ht="15" customHeight="1" x14ac:dyDescent="0.3">
      <c r="A1371" s="23" t="s">
        <v>3220</v>
      </c>
      <c r="B1371" s="38">
        <v>46291</v>
      </c>
      <c r="C1371" s="23" t="s">
        <v>3221</v>
      </c>
      <c r="D1371" s="23" t="s">
        <v>93</v>
      </c>
      <c r="E1371" s="23" t="s">
        <v>79</v>
      </c>
      <c r="F1371" s="23" t="s">
        <v>582</v>
      </c>
      <c r="G1371" s="23" t="s">
        <v>318</v>
      </c>
      <c r="H1371" s="39">
        <f t="shared" si="84"/>
        <v>1298</v>
      </c>
      <c r="I1371" s="23" t="str">
        <f t="shared" si="85"/>
        <v>Kolkata</v>
      </c>
      <c r="J1371" s="23">
        <f>COUNTIFS(pg_transaction_cleaned!$O:$O,A1371,pg_transaction_cleaned!$F:$F,"CAPTURE")</f>
        <v>0</v>
      </c>
      <c r="K1371" s="39">
        <f>SUMIFS(pg_transaction_cleaned!$H:$H,pg_transaction_cleaned!$O:$O,A1371,pg_transaction_cleaned!$F:$F,"CAPTURE")</f>
        <v>0</v>
      </c>
      <c r="L1371" s="23">
        <f>COUNTIFS(pg_transaction_cleaned!$O:$O,A1371,pg_transaction_cleaned!$F:$F,"REFUND")</f>
        <v>0</v>
      </c>
      <c r="M1371" s="39">
        <f>SUMIFS(pg_transaction_cleaned!$H:$H,pg_transaction_cleaned!$O:$O,A1371,pg_transaction_cleaned!$F:$F,"REFUND")</f>
        <v>0</v>
      </c>
      <c r="N1371" s="23" t="str">
        <f t="shared" si="86"/>
        <v>OK</v>
      </c>
      <c r="O1371" s="24">
        <f t="shared" si="87"/>
        <v>0</v>
      </c>
    </row>
    <row r="1372" spans="1:15" ht="15" customHeight="1" x14ac:dyDescent="0.3">
      <c r="A1372" s="23" t="s">
        <v>3222</v>
      </c>
      <c r="B1372" s="38">
        <v>46287</v>
      </c>
      <c r="C1372" s="23" t="s">
        <v>3223</v>
      </c>
      <c r="D1372" s="23" t="s">
        <v>90</v>
      </c>
      <c r="E1372" s="23" t="s">
        <v>77</v>
      </c>
      <c r="F1372" s="23" t="s">
        <v>3224</v>
      </c>
      <c r="G1372" s="23" t="s">
        <v>250</v>
      </c>
      <c r="H1372" s="39">
        <f t="shared" si="84"/>
        <v>1997</v>
      </c>
      <c r="I1372" s="23" t="str">
        <f t="shared" si="85"/>
        <v>Ahmedabad</v>
      </c>
      <c r="J1372" s="23">
        <f>COUNTIFS(pg_transaction_cleaned!$O:$O,A1372,pg_transaction_cleaned!$F:$F,"CAPTURE")</f>
        <v>1</v>
      </c>
      <c r="K1372" s="39">
        <f>SUMIFS(pg_transaction_cleaned!$H:$H,pg_transaction_cleaned!$O:$O,A1372,pg_transaction_cleaned!$F:$F,"CAPTURE")</f>
        <v>1997</v>
      </c>
      <c r="L1372" s="23">
        <f>COUNTIFS(pg_transaction_cleaned!$O:$O,A1372,pg_transaction_cleaned!$F:$F,"REFUND")</f>
        <v>0</v>
      </c>
      <c r="M1372" s="39">
        <f>SUMIFS(pg_transaction_cleaned!$H:$H,pg_transaction_cleaned!$O:$O,A1372,pg_transaction_cleaned!$F:$F,"REFUND")</f>
        <v>0</v>
      </c>
      <c r="N1372" s="23" t="str">
        <f t="shared" si="86"/>
        <v>OK</v>
      </c>
      <c r="O1372" s="24">
        <f t="shared" si="87"/>
        <v>0</v>
      </c>
    </row>
    <row r="1373" spans="1:15" ht="15" customHeight="1" x14ac:dyDescent="0.3">
      <c r="A1373" s="23" t="s">
        <v>3225</v>
      </c>
      <c r="B1373" s="38">
        <v>46268</v>
      </c>
      <c r="C1373" s="23" t="s">
        <v>3226</v>
      </c>
      <c r="D1373" s="23" t="s">
        <v>89</v>
      </c>
      <c r="E1373" s="23" t="s">
        <v>79</v>
      </c>
      <c r="F1373" s="23" t="s">
        <v>249</v>
      </c>
      <c r="G1373" s="23" t="s">
        <v>250</v>
      </c>
      <c r="H1373" s="39">
        <f t="shared" si="84"/>
        <v>299</v>
      </c>
      <c r="I1373" s="23" t="str">
        <f t="shared" si="85"/>
        <v>Jaipur</v>
      </c>
      <c r="J1373" s="23">
        <f>COUNTIFS(pg_transaction_cleaned!$O:$O,A1373,pg_transaction_cleaned!$F:$F,"CAPTURE")</f>
        <v>1</v>
      </c>
      <c r="K1373" s="39">
        <f>SUMIFS(pg_transaction_cleaned!$H:$H,pg_transaction_cleaned!$O:$O,A1373,pg_transaction_cleaned!$F:$F,"CAPTURE")</f>
        <v>299</v>
      </c>
      <c r="L1373" s="23">
        <f>COUNTIFS(pg_transaction_cleaned!$O:$O,A1373,pg_transaction_cleaned!$F:$F,"REFUND")</f>
        <v>0</v>
      </c>
      <c r="M1373" s="39">
        <f>SUMIFS(pg_transaction_cleaned!$H:$H,pg_transaction_cleaned!$O:$O,A1373,pg_transaction_cleaned!$F:$F,"REFUND")</f>
        <v>0</v>
      </c>
      <c r="N1373" s="23" t="str">
        <f t="shared" si="86"/>
        <v>OK</v>
      </c>
      <c r="O1373" s="24">
        <f t="shared" si="87"/>
        <v>0</v>
      </c>
    </row>
    <row r="1374" spans="1:15" ht="15" customHeight="1" x14ac:dyDescent="0.3">
      <c r="A1374" s="23" t="s">
        <v>3227</v>
      </c>
      <c r="B1374" s="38">
        <v>46286</v>
      </c>
      <c r="C1374" s="23" t="s">
        <v>3228</v>
      </c>
      <c r="D1374" s="23" t="s">
        <v>88</v>
      </c>
      <c r="E1374" s="23" t="s">
        <v>75</v>
      </c>
      <c r="F1374" s="23" t="s">
        <v>1072</v>
      </c>
      <c r="G1374" s="23" t="s">
        <v>250</v>
      </c>
      <c r="H1374" s="39">
        <f t="shared" si="84"/>
        <v>4897</v>
      </c>
      <c r="I1374" s="23" t="str">
        <f t="shared" si="85"/>
        <v>Lucknow</v>
      </c>
      <c r="J1374" s="23">
        <f>COUNTIFS(pg_transaction_cleaned!$O:$O,A1374,pg_transaction_cleaned!$F:$F,"CAPTURE")</f>
        <v>1</v>
      </c>
      <c r="K1374" s="39">
        <f>SUMIFS(pg_transaction_cleaned!$H:$H,pg_transaction_cleaned!$O:$O,A1374,pg_transaction_cleaned!$F:$F,"CAPTURE")</f>
        <v>4897</v>
      </c>
      <c r="L1374" s="23">
        <f>COUNTIFS(pg_transaction_cleaned!$O:$O,A1374,pg_transaction_cleaned!$F:$F,"REFUND")</f>
        <v>0</v>
      </c>
      <c r="M1374" s="39">
        <f>SUMIFS(pg_transaction_cleaned!$H:$H,pg_transaction_cleaned!$O:$O,A1374,pg_transaction_cleaned!$F:$F,"REFUND")</f>
        <v>0</v>
      </c>
      <c r="N1374" s="23" t="str">
        <f t="shared" si="86"/>
        <v>OK</v>
      </c>
      <c r="O1374" s="24">
        <f t="shared" si="87"/>
        <v>0</v>
      </c>
    </row>
    <row r="1375" spans="1:15" ht="15" customHeight="1" x14ac:dyDescent="0.3">
      <c r="A1375" s="23" t="s">
        <v>3229</v>
      </c>
      <c r="B1375" s="38">
        <v>46290</v>
      </c>
      <c r="C1375" s="23" t="s">
        <v>3230</v>
      </c>
      <c r="D1375" s="23"/>
      <c r="E1375" s="23" t="s">
        <v>75</v>
      </c>
      <c r="F1375" s="23" t="s">
        <v>475</v>
      </c>
      <c r="G1375" s="23" t="s">
        <v>250</v>
      </c>
      <c r="H1375" s="39">
        <f t="shared" si="84"/>
        <v>799</v>
      </c>
      <c r="I1375" s="23" t="str">
        <f t="shared" si="85"/>
        <v>Unknown</v>
      </c>
      <c r="J1375" s="23">
        <f>COUNTIFS(pg_transaction_cleaned!$O:$O,A1375,pg_transaction_cleaned!$F:$F,"CAPTURE")</f>
        <v>1</v>
      </c>
      <c r="K1375" s="39">
        <f>SUMIFS(pg_transaction_cleaned!$H:$H,pg_transaction_cleaned!$O:$O,A1375,pg_transaction_cleaned!$F:$F,"CAPTURE")</f>
        <v>799</v>
      </c>
      <c r="L1375" s="23">
        <f>COUNTIFS(pg_transaction_cleaned!$O:$O,A1375,pg_transaction_cleaned!$F:$F,"REFUND")</f>
        <v>0</v>
      </c>
      <c r="M1375" s="39">
        <f>SUMIFS(pg_transaction_cleaned!$H:$H,pg_transaction_cleaned!$O:$O,A1375,pg_transaction_cleaned!$F:$F,"REFUND")</f>
        <v>0</v>
      </c>
      <c r="N1375" s="23" t="str">
        <f t="shared" si="86"/>
        <v>OK</v>
      </c>
      <c r="O1375" s="24">
        <f t="shared" si="87"/>
        <v>0</v>
      </c>
    </row>
    <row r="1376" spans="1:15" ht="15" customHeight="1" x14ac:dyDescent="0.3">
      <c r="A1376" s="23" t="s">
        <v>3231</v>
      </c>
      <c r="B1376" s="38">
        <v>46268</v>
      </c>
      <c r="C1376" s="23" t="s">
        <v>3232</v>
      </c>
      <c r="D1376" s="23" t="s">
        <v>93</v>
      </c>
      <c r="E1376" s="23" t="s">
        <v>75</v>
      </c>
      <c r="F1376" s="23" t="s">
        <v>262</v>
      </c>
      <c r="G1376" s="23" t="s">
        <v>250</v>
      </c>
      <c r="H1376" s="39">
        <f t="shared" si="84"/>
        <v>499</v>
      </c>
      <c r="I1376" s="23" t="str">
        <f t="shared" si="85"/>
        <v>Kolkata</v>
      </c>
      <c r="J1376" s="23">
        <f>COUNTIFS(pg_transaction_cleaned!$O:$O,A1376,pg_transaction_cleaned!$F:$F,"CAPTURE")</f>
        <v>1</v>
      </c>
      <c r="K1376" s="39">
        <f>SUMIFS(pg_transaction_cleaned!$H:$H,pg_transaction_cleaned!$O:$O,A1376,pg_transaction_cleaned!$F:$F,"CAPTURE")</f>
        <v>499</v>
      </c>
      <c r="L1376" s="23">
        <f>COUNTIFS(pg_transaction_cleaned!$O:$O,A1376,pg_transaction_cleaned!$F:$F,"REFUND")</f>
        <v>0</v>
      </c>
      <c r="M1376" s="39">
        <f>SUMIFS(pg_transaction_cleaned!$H:$H,pg_transaction_cleaned!$O:$O,A1376,pg_transaction_cleaned!$F:$F,"REFUND")</f>
        <v>0</v>
      </c>
      <c r="N1376" s="23" t="str">
        <f t="shared" si="86"/>
        <v>OK</v>
      </c>
      <c r="O1376" s="24">
        <f t="shared" si="87"/>
        <v>0</v>
      </c>
    </row>
    <row r="1377" spans="1:15" ht="15" customHeight="1" x14ac:dyDescent="0.3">
      <c r="A1377" s="23" t="s">
        <v>3233</v>
      </c>
      <c r="B1377" s="38">
        <v>46272</v>
      </c>
      <c r="C1377" s="23" t="s">
        <v>3234</v>
      </c>
      <c r="D1377" s="23" t="s">
        <v>86</v>
      </c>
      <c r="E1377" s="23" t="s">
        <v>77</v>
      </c>
      <c r="F1377" s="23" t="s">
        <v>1662</v>
      </c>
      <c r="G1377" s="23" t="s">
        <v>250</v>
      </c>
      <c r="H1377" s="39">
        <f t="shared" si="84"/>
        <v>4397</v>
      </c>
      <c r="I1377" s="23" t="str">
        <f t="shared" si="85"/>
        <v>Delhi</v>
      </c>
      <c r="J1377" s="23">
        <f>COUNTIFS(pg_transaction_cleaned!$O:$O,A1377,pg_transaction_cleaned!$F:$F,"CAPTURE")</f>
        <v>1</v>
      </c>
      <c r="K1377" s="39">
        <f>SUMIFS(pg_transaction_cleaned!$H:$H,pg_transaction_cleaned!$O:$O,A1377,pg_transaction_cleaned!$F:$F,"CAPTURE")</f>
        <v>4397</v>
      </c>
      <c r="L1377" s="23">
        <f>COUNTIFS(pg_transaction_cleaned!$O:$O,A1377,pg_transaction_cleaned!$F:$F,"REFUND")</f>
        <v>0</v>
      </c>
      <c r="M1377" s="39">
        <f>SUMIFS(pg_transaction_cleaned!$H:$H,pg_transaction_cleaned!$O:$O,A1377,pg_transaction_cleaned!$F:$F,"REFUND")</f>
        <v>0</v>
      </c>
      <c r="N1377" s="23" t="str">
        <f t="shared" si="86"/>
        <v>OK</v>
      </c>
      <c r="O1377" s="24">
        <f t="shared" si="87"/>
        <v>0</v>
      </c>
    </row>
    <row r="1378" spans="1:15" ht="15" customHeight="1" x14ac:dyDescent="0.3">
      <c r="A1378" s="23" t="s">
        <v>3235</v>
      </c>
      <c r="B1378" s="38">
        <v>46274</v>
      </c>
      <c r="C1378" s="23" t="s">
        <v>3236</v>
      </c>
      <c r="D1378" s="23" t="s">
        <v>92</v>
      </c>
      <c r="E1378" s="23" t="s">
        <v>75</v>
      </c>
      <c r="F1378" s="23" t="s">
        <v>396</v>
      </c>
      <c r="G1378" s="23" t="s">
        <v>250</v>
      </c>
      <c r="H1378" s="39">
        <f t="shared" si="84"/>
        <v>2999</v>
      </c>
      <c r="I1378" s="23" t="str">
        <f t="shared" si="85"/>
        <v>Hyderabad</v>
      </c>
      <c r="J1378" s="23">
        <f>COUNTIFS(pg_transaction_cleaned!$O:$O,A1378,pg_transaction_cleaned!$F:$F,"CAPTURE")</f>
        <v>1</v>
      </c>
      <c r="K1378" s="39">
        <f>SUMIFS(pg_transaction_cleaned!$H:$H,pg_transaction_cleaned!$O:$O,A1378,pg_transaction_cleaned!$F:$F,"CAPTURE")</f>
        <v>2999</v>
      </c>
      <c r="L1378" s="23">
        <f>COUNTIFS(pg_transaction_cleaned!$O:$O,A1378,pg_transaction_cleaned!$F:$F,"REFUND")</f>
        <v>0</v>
      </c>
      <c r="M1378" s="39">
        <f>SUMIFS(pg_transaction_cleaned!$H:$H,pg_transaction_cleaned!$O:$O,A1378,pg_transaction_cleaned!$F:$F,"REFUND")</f>
        <v>0</v>
      </c>
      <c r="N1378" s="23" t="str">
        <f t="shared" si="86"/>
        <v>OK</v>
      </c>
      <c r="O1378" s="24">
        <f t="shared" si="87"/>
        <v>0</v>
      </c>
    </row>
    <row r="1379" spans="1:15" ht="15" customHeight="1" x14ac:dyDescent="0.3">
      <c r="A1379" s="23" t="s">
        <v>3237</v>
      </c>
      <c r="B1379" s="38">
        <v>46290</v>
      </c>
      <c r="C1379" s="23" t="s">
        <v>3238</v>
      </c>
      <c r="D1379" s="23"/>
      <c r="E1379" s="23" t="s">
        <v>75</v>
      </c>
      <c r="F1379" s="23" t="s">
        <v>390</v>
      </c>
      <c r="G1379" s="23" t="s">
        <v>250</v>
      </c>
      <c r="H1379" s="39">
        <f t="shared" si="84"/>
        <v>599</v>
      </c>
      <c r="I1379" s="23" t="str">
        <f t="shared" si="85"/>
        <v>Unknown</v>
      </c>
      <c r="J1379" s="23">
        <f>COUNTIFS(pg_transaction_cleaned!$O:$O,A1379,pg_transaction_cleaned!$F:$F,"CAPTURE")</f>
        <v>1</v>
      </c>
      <c r="K1379" s="39">
        <f>SUMIFS(pg_transaction_cleaned!$H:$H,pg_transaction_cleaned!$O:$O,A1379,pg_transaction_cleaned!$F:$F,"CAPTURE")</f>
        <v>599</v>
      </c>
      <c r="L1379" s="23">
        <f>COUNTIFS(pg_transaction_cleaned!$O:$O,A1379,pg_transaction_cleaned!$F:$F,"REFUND")</f>
        <v>0</v>
      </c>
      <c r="M1379" s="39">
        <f>SUMIFS(pg_transaction_cleaned!$H:$H,pg_transaction_cleaned!$O:$O,A1379,pg_transaction_cleaned!$F:$F,"REFUND")</f>
        <v>0</v>
      </c>
      <c r="N1379" s="23" t="str">
        <f t="shared" si="86"/>
        <v>OK</v>
      </c>
      <c r="O1379" s="24">
        <f t="shared" si="87"/>
        <v>0</v>
      </c>
    </row>
    <row r="1380" spans="1:15" ht="15" customHeight="1" x14ac:dyDescent="0.3">
      <c r="A1380" s="23" t="s">
        <v>3239</v>
      </c>
      <c r="B1380" s="38">
        <v>46283</v>
      </c>
      <c r="C1380" s="23" t="s">
        <v>3240</v>
      </c>
      <c r="D1380" s="23" t="s">
        <v>88</v>
      </c>
      <c r="E1380" s="23" t="s">
        <v>81</v>
      </c>
      <c r="F1380" s="23" t="s">
        <v>396</v>
      </c>
      <c r="G1380" s="23" t="s">
        <v>301</v>
      </c>
      <c r="H1380" s="39">
        <f t="shared" si="84"/>
        <v>2999</v>
      </c>
      <c r="I1380" s="23" t="str">
        <f t="shared" si="85"/>
        <v>Lucknow</v>
      </c>
      <c r="J1380" s="23">
        <f>COUNTIFS(pg_transaction_cleaned!$O:$O,A1380,pg_transaction_cleaned!$F:$F,"CAPTURE")</f>
        <v>1</v>
      </c>
      <c r="K1380" s="39">
        <f>SUMIFS(pg_transaction_cleaned!$H:$H,pg_transaction_cleaned!$O:$O,A1380,pg_transaction_cleaned!$F:$F,"CAPTURE")</f>
        <v>2999</v>
      </c>
      <c r="L1380" s="23">
        <f>COUNTIFS(pg_transaction_cleaned!$O:$O,A1380,pg_transaction_cleaned!$F:$F,"REFUND")</f>
        <v>1</v>
      </c>
      <c r="M1380" s="39">
        <f>SUMIFS(pg_transaction_cleaned!$H:$H,pg_transaction_cleaned!$O:$O,A1380,pg_transaction_cleaned!$F:$F,"REFUND")</f>
        <v>2999</v>
      </c>
      <c r="N1380" s="23" t="str">
        <f t="shared" si="86"/>
        <v>OK</v>
      </c>
      <c r="O1380" s="24">
        <f t="shared" si="87"/>
        <v>0</v>
      </c>
    </row>
    <row r="1381" spans="1:15" ht="15" customHeight="1" x14ac:dyDescent="0.3">
      <c r="A1381" s="23" t="s">
        <v>3241</v>
      </c>
      <c r="B1381" s="38">
        <v>46293</v>
      </c>
      <c r="C1381" s="23" t="s">
        <v>3242</v>
      </c>
      <c r="D1381" s="23" t="s">
        <v>90</v>
      </c>
      <c r="E1381" s="23" t="s">
        <v>79</v>
      </c>
      <c r="F1381" s="23" t="s">
        <v>553</v>
      </c>
      <c r="G1381" s="23" t="s">
        <v>250</v>
      </c>
      <c r="H1381" s="39">
        <f t="shared" si="84"/>
        <v>2798</v>
      </c>
      <c r="I1381" s="23" t="str">
        <f t="shared" si="85"/>
        <v>Ahmedabad</v>
      </c>
      <c r="J1381" s="23">
        <f>COUNTIFS(pg_transaction_cleaned!$O:$O,A1381,pg_transaction_cleaned!$F:$F,"CAPTURE")</f>
        <v>1</v>
      </c>
      <c r="K1381" s="39">
        <f>SUMIFS(pg_transaction_cleaned!$H:$H,pg_transaction_cleaned!$O:$O,A1381,pg_transaction_cleaned!$F:$F,"CAPTURE")</f>
        <v>2798</v>
      </c>
      <c r="L1381" s="23">
        <f>COUNTIFS(pg_transaction_cleaned!$O:$O,A1381,pg_transaction_cleaned!$F:$F,"REFUND")</f>
        <v>0</v>
      </c>
      <c r="M1381" s="39">
        <f>SUMIFS(pg_transaction_cleaned!$H:$H,pg_transaction_cleaned!$O:$O,A1381,pg_transaction_cleaned!$F:$F,"REFUND")</f>
        <v>0</v>
      </c>
      <c r="N1381" s="23" t="str">
        <f t="shared" si="86"/>
        <v>OK</v>
      </c>
      <c r="O1381" s="24">
        <f t="shared" si="87"/>
        <v>0</v>
      </c>
    </row>
    <row r="1382" spans="1:15" ht="15" customHeight="1" x14ac:dyDescent="0.3">
      <c r="A1382" s="23" t="s">
        <v>3243</v>
      </c>
      <c r="B1382" s="38">
        <v>46268</v>
      </c>
      <c r="C1382" s="23" t="s">
        <v>3244</v>
      </c>
      <c r="D1382" s="23" t="s">
        <v>86</v>
      </c>
      <c r="E1382" s="23" t="s">
        <v>75</v>
      </c>
      <c r="F1382" s="23" t="s">
        <v>249</v>
      </c>
      <c r="G1382" s="23" t="s">
        <v>250</v>
      </c>
      <c r="H1382" s="39">
        <f t="shared" si="84"/>
        <v>299</v>
      </c>
      <c r="I1382" s="23" t="str">
        <f t="shared" si="85"/>
        <v>Delhi</v>
      </c>
      <c r="J1382" s="23">
        <f>COUNTIFS(pg_transaction_cleaned!$O:$O,A1382,pg_transaction_cleaned!$F:$F,"CAPTURE")</f>
        <v>1</v>
      </c>
      <c r="K1382" s="39">
        <f>SUMIFS(pg_transaction_cleaned!$H:$H,pg_transaction_cleaned!$O:$O,A1382,pg_transaction_cleaned!$F:$F,"CAPTURE")</f>
        <v>299</v>
      </c>
      <c r="L1382" s="23">
        <f>COUNTIFS(pg_transaction_cleaned!$O:$O,A1382,pg_transaction_cleaned!$F:$F,"REFUND")</f>
        <v>0</v>
      </c>
      <c r="M1382" s="39">
        <f>SUMIFS(pg_transaction_cleaned!$H:$H,pg_transaction_cleaned!$O:$O,A1382,pg_transaction_cleaned!$F:$F,"REFUND")</f>
        <v>0</v>
      </c>
      <c r="N1382" s="23" t="str">
        <f t="shared" si="86"/>
        <v>OK</v>
      </c>
      <c r="O1382" s="24">
        <f t="shared" si="87"/>
        <v>0</v>
      </c>
    </row>
    <row r="1383" spans="1:15" ht="15" customHeight="1" x14ac:dyDescent="0.3">
      <c r="A1383" s="23" t="s">
        <v>3245</v>
      </c>
      <c r="B1383" s="38">
        <v>46268</v>
      </c>
      <c r="C1383" s="23" t="s">
        <v>3246</v>
      </c>
      <c r="D1383" s="23" t="s">
        <v>95</v>
      </c>
      <c r="E1383" s="23" t="s">
        <v>79</v>
      </c>
      <c r="F1383" s="23" t="s">
        <v>271</v>
      </c>
      <c r="G1383" s="23" t="s">
        <v>250</v>
      </c>
      <c r="H1383" s="39">
        <f t="shared" si="84"/>
        <v>2499</v>
      </c>
      <c r="I1383" s="23" t="str">
        <f t="shared" si="85"/>
        <v>Bengaluru</v>
      </c>
      <c r="J1383" s="23">
        <f>COUNTIFS(pg_transaction_cleaned!$O:$O,A1383,pg_transaction_cleaned!$F:$F,"CAPTURE")</f>
        <v>1</v>
      </c>
      <c r="K1383" s="39">
        <f>SUMIFS(pg_transaction_cleaned!$H:$H,pg_transaction_cleaned!$O:$O,A1383,pg_transaction_cleaned!$F:$F,"CAPTURE")</f>
        <v>2499</v>
      </c>
      <c r="L1383" s="23">
        <f>COUNTIFS(pg_transaction_cleaned!$O:$O,A1383,pg_transaction_cleaned!$F:$F,"REFUND")</f>
        <v>0</v>
      </c>
      <c r="M1383" s="39">
        <f>SUMIFS(pg_transaction_cleaned!$H:$H,pg_transaction_cleaned!$O:$O,A1383,pg_transaction_cleaned!$F:$F,"REFUND")</f>
        <v>0</v>
      </c>
      <c r="N1383" s="23" t="str">
        <f t="shared" si="86"/>
        <v>OK</v>
      </c>
      <c r="O1383" s="24">
        <f t="shared" si="87"/>
        <v>0</v>
      </c>
    </row>
    <row r="1384" spans="1:15" ht="15" customHeight="1" x14ac:dyDescent="0.3">
      <c r="A1384" s="23" t="s">
        <v>3247</v>
      </c>
      <c r="B1384" s="38">
        <v>46282</v>
      </c>
      <c r="C1384" s="23" t="s">
        <v>3248</v>
      </c>
      <c r="D1384" s="23" t="s">
        <v>95</v>
      </c>
      <c r="E1384" s="23" t="s">
        <v>75</v>
      </c>
      <c r="F1384" s="23" t="s">
        <v>268</v>
      </c>
      <c r="G1384" s="23" t="s">
        <v>250</v>
      </c>
      <c r="H1384" s="39">
        <f t="shared" si="84"/>
        <v>1299</v>
      </c>
      <c r="I1384" s="23" t="str">
        <f t="shared" si="85"/>
        <v>Bengaluru</v>
      </c>
      <c r="J1384" s="23">
        <f>COUNTIFS(pg_transaction_cleaned!$O:$O,A1384,pg_transaction_cleaned!$F:$F,"CAPTURE")</f>
        <v>1</v>
      </c>
      <c r="K1384" s="39">
        <f>SUMIFS(pg_transaction_cleaned!$H:$H,pg_transaction_cleaned!$O:$O,A1384,pg_transaction_cleaned!$F:$F,"CAPTURE")</f>
        <v>1299</v>
      </c>
      <c r="L1384" s="23">
        <f>COUNTIFS(pg_transaction_cleaned!$O:$O,A1384,pg_transaction_cleaned!$F:$F,"REFUND")</f>
        <v>0</v>
      </c>
      <c r="M1384" s="39">
        <f>SUMIFS(pg_transaction_cleaned!$H:$H,pg_transaction_cleaned!$O:$O,A1384,pg_transaction_cleaned!$F:$F,"REFUND")</f>
        <v>0</v>
      </c>
      <c r="N1384" s="23" t="str">
        <f t="shared" si="86"/>
        <v>OK</v>
      </c>
      <c r="O1384" s="24">
        <f t="shared" si="87"/>
        <v>0</v>
      </c>
    </row>
    <row r="1385" spans="1:15" ht="15" customHeight="1" x14ac:dyDescent="0.3">
      <c r="A1385" s="23" t="s">
        <v>3249</v>
      </c>
      <c r="B1385" s="38">
        <v>46279</v>
      </c>
      <c r="C1385" s="23" t="s">
        <v>3250</v>
      </c>
      <c r="D1385" s="23" t="s">
        <v>95</v>
      </c>
      <c r="E1385" s="23" t="s">
        <v>75</v>
      </c>
      <c r="F1385" s="23" t="s">
        <v>271</v>
      </c>
      <c r="G1385" s="23" t="s">
        <v>250</v>
      </c>
      <c r="H1385" s="39">
        <f t="shared" si="84"/>
        <v>2499</v>
      </c>
      <c r="I1385" s="23" t="str">
        <f t="shared" si="85"/>
        <v>Bengaluru</v>
      </c>
      <c r="J1385" s="23">
        <f>COUNTIFS(pg_transaction_cleaned!$O:$O,A1385,pg_transaction_cleaned!$F:$F,"CAPTURE")</f>
        <v>1</v>
      </c>
      <c r="K1385" s="39">
        <f>SUMIFS(pg_transaction_cleaned!$H:$H,pg_transaction_cleaned!$O:$O,A1385,pg_transaction_cleaned!$F:$F,"CAPTURE")</f>
        <v>2499</v>
      </c>
      <c r="L1385" s="23">
        <f>COUNTIFS(pg_transaction_cleaned!$O:$O,A1385,pg_transaction_cleaned!$F:$F,"REFUND")</f>
        <v>0</v>
      </c>
      <c r="M1385" s="39">
        <f>SUMIFS(pg_transaction_cleaned!$H:$H,pg_transaction_cleaned!$O:$O,A1385,pg_transaction_cleaned!$F:$F,"REFUND")</f>
        <v>0</v>
      </c>
      <c r="N1385" s="23" t="str">
        <f t="shared" si="86"/>
        <v>OK</v>
      </c>
      <c r="O1385" s="24">
        <f t="shared" si="87"/>
        <v>0</v>
      </c>
    </row>
    <row r="1386" spans="1:15" ht="15" customHeight="1" x14ac:dyDescent="0.3">
      <c r="A1386" s="23" t="s">
        <v>3251</v>
      </c>
      <c r="B1386" s="38">
        <v>46274</v>
      </c>
      <c r="C1386" s="23" t="s">
        <v>3252</v>
      </c>
      <c r="D1386" s="23" t="s">
        <v>93</v>
      </c>
      <c r="E1386" s="23" t="s">
        <v>75</v>
      </c>
      <c r="F1386" s="23" t="s">
        <v>754</v>
      </c>
      <c r="G1386" s="23" t="s">
        <v>250</v>
      </c>
      <c r="H1386" s="39">
        <f t="shared" si="84"/>
        <v>1348</v>
      </c>
      <c r="I1386" s="23" t="str">
        <f t="shared" si="85"/>
        <v>Kolkata</v>
      </c>
      <c r="J1386" s="23">
        <f>COUNTIFS(pg_transaction_cleaned!$O:$O,A1386,pg_transaction_cleaned!$F:$F,"CAPTURE")</f>
        <v>1</v>
      </c>
      <c r="K1386" s="39">
        <f>SUMIFS(pg_transaction_cleaned!$H:$H,pg_transaction_cleaned!$O:$O,A1386,pg_transaction_cleaned!$F:$F,"CAPTURE")</f>
        <v>1348</v>
      </c>
      <c r="L1386" s="23">
        <f>COUNTIFS(pg_transaction_cleaned!$O:$O,A1386,pg_transaction_cleaned!$F:$F,"REFUND")</f>
        <v>0</v>
      </c>
      <c r="M1386" s="39">
        <f>SUMIFS(pg_transaction_cleaned!$H:$H,pg_transaction_cleaned!$O:$O,A1386,pg_transaction_cleaned!$F:$F,"REFUND")</f>
        <v>0</v>
      </c>
      <c r="N1386" s="23" t="str">
        <f t="shared" si="86"/>
        <v>OK</v>
      </c>
      <c r="O1386" s="24">
        <f t="shared" si="87"/>
        <v>0</v>
      </c>
    </row>
    <row r="1387" spans="1:15" ht="15" customHeight="1" x14ac:dyDescent="0.3">
      <c r="A1387" s="23" t="s">
        <v>3253</v>
      </c>
      <c r="B1387" s="38">
        <v>46282</v>
      </c>
      <c r="C1387" s="23" t="s">
        <v>3254</v>
      </c>
      <c r="D1387" s="23" t="s">
        <v>87</v>
      </c>
      <c r="E1387" s="23" t="s">
        <v>81</v>
      </c>
      <c r="F1387" s="23" t="s">
        <v>772</v>
      </c>
      <c r="G1387" s="23" t="s">
        <v>250</v>
      </c>
      <c r="H1387" s="39">
        <f t="shared" si="84"/>
        <v>4798</v>
      </c>
      <c r="I1387" s="23" t="str">
        <f t="shared" si="85"/>
        <v>Mumbai</v>
      </c>
      <c r="J1387" s="23">
        <f>COUNTIFS(pg_transaction_cleaned!$O:$O,A1387,pg_transaction_cleaned!$F:$F,"CAPTURE")</f>
        <v>1</v>
      </c>
      <c r="K1387" s="39">
        <f>SUMIFS(pg_transaction_cleaned!$H:$H,pg_transaction_cleaned!$O:$O,A1387,pg_transaction_cleaned!$F:$F,"CAPTURE")</f>
        <v>4798</v>
      </c>
      <c r="L1387" s="23">
        <f>COUNTIFS(pg_transaction_cleaned!$O:$O,A1387,pg_transaction_cleaned!$F:$F,"REFUND")</f>
        <v>0</v>
      </c>
      <c r="M1387" s="39">
        <f>SUMIFS(pg_transaction_cleaned!$H:$H,pg_transaction_cleaned!$O:$O,A1387,pg_transaction_cleaned!$F:$F,"REFUND")</f>
        <v>0</v>
      </c>
      <c r="N1387" s="23" t="str">
        <f t="shared" si="86"/>
        <v>OK</v>
      </c>
      <c r="O1387" s="24">
        <f t="shared" si="87"/>
        <v>0</v>
      </c>
    </row>
    <row r="1388" spans="1:15" ht="15" customHeight="1" x14ac:dyDescent="0.3">
      <c r="A1388" s="23" t="s">
        <v>3255</v>
      </c>
      <c r="B1388" s="38">
        <v>46290</v>
      </c>
      <c r="C1388" s="23" t="s">
        <v>3256</v>
      </c>
      <c r="D1388" s="23" t="s">
        <v>88</v>
      </c>
      <c r="E1388" s="23" t="s">
        <v>77</v>
      </c>
      <c r="F1388" s="23" t="s">
        <v>405</v>
      </c>
      <c r="G1388" s="23" t="s">
        <v>250</v>
      </c>
      <c r="H1388" s="39">
        <f t="shared" si="84"/>
        <v>9298</v>
      </c>
      <c r="I1388" s="23" t="str">
        <f t="shared" si="85"/>
        <v>Lucknow</v>
      </c>
      <c r="J1388" s="23">
        <f>COUNTIFS(pg_transaction_cleaned!$O:$O,A1388,pg_transaction_cleaned!$F:$F,"CAPTURE")</f>
        <v>1</v>
      </c>
      <c r="K1388" s="39">
        <f>SUMIFS(pg_transaction_cleaned!$H:$H,pg_transaction_cleaned!$O:$O,A1388,pg_transaction_cleaned!$F:$F,"CAPTURE")</f>
        <v>9298</v>
      </c>
      <c r="L1388" s="23">
        <f>COUNTIFS(pg_transaction_cleaned!$O:$O,A1388,pg_transaction_cleaned!$F:$F,"REFUND")</f>
        <v>0</v>
      </c>
      <c r="M1388" s="39">
        <f>SUMIFS(pg_transaction_cleaned!$H:$H,pg_transaction_cleaned!$O:$O,A1388,pg_transaction_cleaned!$F:$F,"REFUND")</f>
        <v>0</v>
      </c>
      <c r="N1388" s="23" t="str">
        <f t="shared" si="86"/>
        <v>OK</v>
      </c>
      <c r="O1388" s="24">
        <f t="shared" si="87"/>
        <v>0</v>
      </c>
    </row>
    <row r="1389" spans="1:15" ht="15" customHeight="1" x14ac:dyDescent="0.3">
      <c r="A1389" s="23" t="s">
        <v>3257</v>
      </c>
      <c r="B1389" s="38">
        <v>46283</v>
      </c>
      <c r="C1389" s="23" t="s">
        <v>3258</v>
      </c>
      <c r="D1389" s="23" t="s">
        <v>92</v>
      </c>
      <c r="E1389" s="23" t="s">
        <v>75</v>
      </c>
      <c r="F1389" s="23" t="s">
        <v>294</v>
      </c>
      <c r="G1389" s="23" t="s">
        <v>250</v>
      </c>
      <c r="H1389" s="39">
        <f t="shared" si="84"/>
        <v>1799</v>
      </c>
      <c r="I1389" s="23" t="str">
        <f t="shared" si="85"/>
        <v>Hyderabad</v>
      </c>
      <c r="J1389" s="23">
        <f>COUNTIFS(pg_transaction_cleaned!$O:$O,A1389,pg_transaction_cleaned!$F:$F,"CAPTURE")</f>
        <v>1</v>
      </c>
      <c r="K1389" s="39">
        <f>SUMIFS(pg_transaction_cleaned!$H:$H,pg_transaction_cleaned!$O:$O,A1389,pg_transaction_cleaned!$F:$F,"CAPTURE")</f>
        <v>1799</v>
      </c>
      <c r="L1389" s="23">
        <f>COUNTIFS(pg_transaction_cleaned!$O:$O,A1389,pg_transaction_cleaned!$F:$F,"REFUND")</f>
        <v>0</v>
      </c>
      <c r="M1389" s="39">
        <f>SUMIFS(pg_transaction_cleaned!$H:$H,pg_transaction_cleaned!$O:$O,A1389,pg_transaction_cleaned!$F:$F,"REFUND")</f>
        <v>0</v>
      </c>
      <c r="N1389" s="23" t="str">
        <f t="shared" si="86"/>
        <v>OK</v>
      </c>
      <c r="O1389" s="24">
        <f t="shared" si="87"/>
        <v>0</v>
      </c>
    </row>
    <row r="1390" spans="1:15" ht="15" customHeight="1" x14ac:dyDescent="0.3">
      <c r="A1390" s="23" t="s">
        <v>3259</v>
      </c>
      <c r="B1390" s="38">
        <v>46280</v>
      </c>
      <c r="C1390" s="23" t="s">
        <v>3260</v>
      </c>
      <c r="D1390" s="23" t="s">
        <v>86</v>
      </c>
      <c r="E1390" s="23" t="s">
        <v>75</v>
      </c>
      <c r="F1390" s="23" t="s">
        <v>268</v>
      </c>
      <c r="G1390" s="23" t="s">
        <v>250</v>
      </c>
      <c r="H1390" s="39">
        <f t="shared" si="84"/>
        <v>1299</v>
      </c>
      <c r="I1390" s="23" t="str">
        <f t="shared" si="85"/>
        <v>Delhi</v>
      </c>
      <c r="J1390" s="23">
        <f>COUNTIFS(pg_transaction_cleaned!$O:$O,A1390,pg_transaction_cleaned!$F:$F,"CAPTURE")</f>
        <v>1</v>
      </c>
      <c r="K1390" s="39">
        <f>SUMIFS(pg_transaction_cleaned!$H:$H,pg_transaction_cleaned!$O:$O,A1390,pg_transaction_cleaned!$F:$F,"CAPTURE")</f>
        <v>1299</v>
      </c>
      <c r="L1390" s="23">
        <f>COUNTIFS(pg_transaction_cleaned!$O:$O,A1390,pg_transaction_cleaned!$F:$F,"REFUND")</f>
        <v>0</v>
      </c>
      <c r="M1390" s="39">
        <f>SUMIFS(pg_transaction_cleaned!$H:$H,pg_transaction_cleaned!$O:$O,A1390,pg_transaction_cleaned!$F:$F,"REFUND")</f>
        <v>0</v>
      </c>
      <c r="N1390" s="23" t="str">
        <f t="shared" si="86"/>
        <v>OK</v>
      </c>
      <c r="O1390" s="24">
        <f t="shared" si="87"/>
        <v>0</v>
      </c>
    </row>
    <row r="1391" spans="1:15" ht="15" customHeight="1" x14ac:dyDescent="0.3">
      <c r="A1391" s="23" t="s">
        <v>3261</v>
      </c>
      <c r="B1391" s="38">
        <v>46288</v>
      </c>
      <c r="C1391" s="23" t="s">
        <v>3262</v>
      </c>
      <c r="D1391" s="23" t="s">
        <v>94</v>
      </c>
      <c r="E1391" s="23" t="s">
        <v>75</v>
      </c>
      <c r="F1391" s="23" t="s">
        <v>451</v>
      </c>
      <c r="G1391" s="23" t="s">
        <v>365</v>
      </c>
      <c r="H1391" s="39">
        <f t="shared" si="84"/>
        <v>1098</v>
      </c>
      <c r="I1391" s="23" t="str">
        <f t="shared" si="85"/>
        <v>Chennai</v>
      </c>
      <c r="J1391" s="23">
        <f>COUNTIFS(pg_transaction_cleaned!$O:$O,A1391,pg_transaction_cleaned!$F:$F,"CAPTURE")</f>
        <v>0</v>
      </c>
      <c r="K1391" s="39">
        <f>SUMIFS(pg_transaction_cleaned!$H:$H,pg_transaction_cleaned!$O:$O,A1391,pg_transaction_cleaned!$F:$F,"CAPTURE")</f>
        <v>0</v>
      </c>
      <c r="L1391" s="23">
        <f>COUNTIFS(pg_transaction_cleaned!$O:$O,A1391,pg_transaction_cleaned!$F:$F,"REFUND")</f>
        <v>0</v>
      </c>
      <c r="M1391" s="39">
        <f>SUMIFS(pg_transaction_cleaned!$H:$H,pg_transaction_cleaned!$O:$O,A1391,pg_transaction_cleaned!$F:$F,"REFUND")</f>
        <v>0</v>
      </c>
      <c r="N1391" s="23" t="str">
        <f t="shared" si="86"/>
        <v>OK</v>
      </c>
      <c r="O1391" s="24">
        <f t="shared" si="87"/>
        <v>0</v>
      </c>
    </row>
    <row r="1392" spans="1:15" ht="15" customHeight="1" x14ac:dyDescent="0.3">
      <c r="A1392" s="23" t="s">
        <v>3263</v>
      </c>
      <c r="B1392" s="38">
        <v>46281</v>
      </c>
      <c r="C1392" s="23" t="s">
        <v>3264</v>
      </c>
      <c r="D1392" s="23" t="s">
        <v>92</v>
      </c>
      <c r="E1392" s="23" t="s">
        <v>75</v>
      </c>
      <c r="F1392" s="23" t="s">
        <v>300</v>
      </c>
      <c r="G1392" s="23" t="s">
        <v>301</v>
      </c>
      <c r="H1392" s="39">
        <f t="shared" si="84"/>
        <v>2598</v>
      </c>
      <c r="I1392" s="23" t="str">
        <f t="shared" si="85"/>
        <v>Hyderabad</v>
      </c>
      <c r="J1392" s="23">
        <f>COUNTIFS(pg_transaction_cleaned!$O:$O,A1392,pg_transaction_cleaned!$F:$F,"CAPTURE")</f>
        <v>1</v>
      </c>
      <c r="K1392" s="39">
        <f>SUMIFS(pg_transaction_cleaned!$H:$H,pg_transaction_cleaned!$O:$O,A1392,pg_transaction_cleaned!$F:$F,"CAPTURE")</f>
        <v>2598</v>
      </c>
      <c r="L1392" s="23">
        <f>COUNTIFS(pg_transaction_cleaned!$O:$O,A1392,pg_transaction_cleaned!$F:$F,"REFUND")</f>
        <v>1</v>
      </c>
      <c r="M1392" s="39">
        <f>SUMIFS(pg_transaction_cleaned!$H:$H,pg_transaction_cleaned!$O:$O,A1392,pg_transaction_cleaned!$F:$F,"REFUND")</f>
        <v>2598</v>
      </c>
      <c r="N1392" s="23" t="str">
        <f t="shared" si="86"/>
        <v>OK</v>
      </c>
      <c r="O1392" s="24">
        <f t="shared" si="87"/>
        <v>0</v>
      </c>
    </row>
    <row r="1393" spans="1:15" ht="15" customHeight="1" x14ac:dyDescent="0.3">
      <c r="A1393" s="23" t="s">
        <v>3265</v>
      </c>
      <c r="B1393" s="38">
        <v>46286</v>
      </c>
      <c r="C1393" s="23" t="s">
        <v>3266</v>
      </c>
      <c r="D1393" s="23" t="s">
        <v>93</v>
      </c>
      <c r="E1393" s="23" t="s">
        <v>77</v>
      </c>
      <c r="F1393" s="23" t="s">
        <v>423</v>
      </c>
      <c r="G1393" s="23" t="s">
        <v>365</v>
      </c>
      <c r="H1393" s="39">
        <f t="shared" si="84"/>
        <v>1648</v>
      </c>
      <c r="I1393" s="23" t="str">
        <f t="shared" si="85"/>
        <v>Kolkata</v>
      </c>
      <c r="J1393" s="23">
        <f>COUNTIFS(pg_transaction_cleaned!$O:$O,A1393,pg_transaction_cleaned!$F:$F,"CAPTURE")</f>
        <v>0</v>
      </c>
      <c r="K1393" s="39">
        <f>SUMIFS(pg_transaction_cleaned!$H:$H,pg_transaction_cleaned!$O:$O,A1393,pg_transaction_cleaned!$F:$F,"CAPTURE")</f>
        <v>0</v>
      </c>
      <c r="L1393" s="23">
        <f>COUNTIFS(pg_transaction_cleaned!$O:$O,A1393,pg_transaction_cleaned!$F:$F,"REFUND")</f>
        <v>0</v>
      </c>
      <c r="M1393" s="39">
        <f>SUMIFS(pg_transaction_cleaned!$H:$H,pg_transaction_cleaned!$O:$O,A1393,pg_transaction_cleaned!$F:$F,"REFUND")</f>
        <v>0</v>
      </c>
      <c r="N1393" s="23" t="str">
        <f t="shared" si="86"/>
        <v>OK</v>
      </c>
      <c r="O1393" s="24">
        <f t="shared" si="87"/>
        <v>0</v>
      </c>
    </row>
    <row r="1394" spans="1:15" ht="15" customHeight="1" x14ac:dyDescent="0.3">
      <c r="A1394" s="23" t="s">
        <v>3267</v>
      </c>
      <c r="B1394" s="38">
        <v>46295</v>
      </c>
      <c r="C1394" s="23" t="s">
        <v>3268</v>
      </c>
      <c r="D1394" s="23" t="s">
        <v>89</v>
      </c>
      <c r="E1394" s="23" t="s">
        <v>77</v>
      </c>
      <c r="F1394" s="23" t="s">
        <v>451</v>
      </c>
      <c r="G1394" s="23" t="s">
        <v>250</v>
      </c>
      <c r="H1394" s="39">
        <f t="shared" si="84"/>
        <v>1098</v>
      </c>
      <c r="I1394" s="23" t="str">
        <f t="shared" si="85"/>
        <v>Jaipur</v>
      </c>
      <c r="J1394" s="23">
        <f>COUNTIFS(pg_transaction_cleaned!$O:$O,A1394,pg_transaction_cleaned!$F:$F,"CAPTURE")</f>
        <v>1</v>
      </c>
      <c r="K1394" s="39">
        <f>SUMIFS(pg_transaction_cleaned!$H:$H,pg_transaction_cleaned!$O:$O,A1394,pg_transaction_cleaned!$F:$F,"CAPTURE")</f>
        <v>1098</v>
      </c>
      <c r="L1394" s="23">
        <f>COUNTIFS(pg_transaction_cleaned!$O:$O,A1394,pg_transaction_cleaned!$F:$F,"REFUND")</f>
        <v>0</v>
      </c>
      <c r="M1394" s="39">
        <f>SUMIFS(pg_transaction_cleaned!$H:$H,pg_transaction_cleaned!$O:$O,A1394,pg_transaction_cleaned!$F:$F,"REFUND")</f>
        <v>0</v>
      </c>
      <c r="N1394" s="23" t="str">
        <f t="shared" si="86"/>
        <v>OK</v>
      </c>
      <c r="O1394" s="24">
        <f t="shared" si="87"/>
        <v>0</v>
      </c>
    </row>
    <row r="1395" spans="1:15" ht="15" customHeight="1" x14ac:dyDescent="0.3">
      <c r="A1395" s="23" t="s">
        <v>3269</v>
      </c>
      <c r="B1395" s="38">
        <v>46288</v>
      </c>
      <c r="C1395" s="23" t="s">
        <v>3270</v>
      </c>
      <c r="D1395" s="23" t="s">
        <v>93</v>
      </c>
      <c r="E1395" s="23" t="s">
        <v>75</v>
      </c>
      <c r="F1395" s="23" t="s">
        <v>514</v>
      </c>
      <c r="G1395" s="23" t="s">
        <v>250</v>
      </c>
      <c r="H1395" s="39">
        <f t="shared" si="84"/>
        <v>6498</v>
      </c>
      <c r="I1395" s="23" t="str">
        <f t="shared" si="85"/>
        <v>Kolkata</v>
      </c>
      <c r="J1395" s="23">
        <f>COUNTIFS(pg_transaction_cleaned!$O:$O,A1395,pg_transaction_cleaned!$F:$F,"CAPTURE")</f>
        <v>1</v>
      </c>
      <c r="K1395" s="39">
        <f>SUMIFS(pg_transaction_cleaned!$H:$H,pg_transaction_cleaned!$O:$O,A1395,pg_transaction_cleaned!$F:$F,"CAPTURE")</f>
        <v>6498</v>
      </c>
      <c r="L1395" s="23">
        <f>COUNTIFS(pg_transaction_cleaned!$O:$O,A1395,pg_transaction_cleaned!$F:$F,"REFUND")</f>
        <v>0</v>
      </c>
      <c r="M1395" s="39">
        <f>SUMIFS(pg_transaction_cleaned!$H:$H,pg_transaction_cleaned!$O:$O,A1395,pg_transaction_cleaned!$F:$F,"REFUND")</f>
        <v>0</v>
      </c>
      <c r="N1395" s="23" t="str">
        <f t="shared" si="86"/>
        <v>OK</v>
      </c>
      <c r="O1395" s="24">
        <f t="shared" si="87"/>
        <v>0</v>
      </c>
    </row>
    <row r="1396" spans="1:15" ht="15" customHeight="1" x14ac:dyDescent="0.3">
      <c r="A1396" s="23" t="s">
        <v>3271</v>
      </c>
      <c r="B1396" s="38">
        <v>46289</v>
      </c>
      <c r="C1396" s="23" t="s">
        <v>3272</v>
      </c>
      <c r="D1396" s="23" t="s">
        <v>87</v>
      </c>
      <c r="E1396" s="23" t="s">
        <v>77</v>
      </c>
      <c r="F1396" s="23" t="s">
        <v>329</v>
      </c>
      <c r="G1396" s="23" t="s">
        <v>250</v>
      </c>
      <c r="H1396" s="39">
        <f t="shared" si="84"/>
        <v>599</v>
      </c>
      <c r="I1396" s="23" t="str">
        <f t="shared" si="85"/>
        <v>Mumbai</v>
      </c>
      <c r="J1396" s="23">
        <f>COUNTIFS(pg_transaction_cleaned!$O:$O,A1396,pg_transaction_cleaned!$F:$F,"CAPTURE")</f>
        <v>1</v>
      </c>
      <c r="K1396" s="39">
        <f>SUMIFS(pg_transaction_cleaned!$H:$H,pg_transaction_cleaned!$O:$O,A1396,pg_transaction_cleaned!$F:$F,"CAPTURE")</f>
        <v>599</v>
      </c>
      <c r="L1396" s="23">
        <f>COUNTIFS(pg_transaction_cleaned!$O:$O,A1396,pg_transaction_cleaned!$F:$F,"REFUND")</f>
        <v>0</v>
      </c>
      <c r="M1396" s="39">
        <f>SUMIFS(pg_transaction_cleaned!$H:$H,pg_transaction_cleaned!$O:$O,A1396,pg_transaction_cleaned!$F:$F,"REFUND")</f>
        <v>0</v>
      </c>
      <c r="N1396" s="23" t="str">
        <f t="shared" si="86"/>
        <v>OK</v>
      </c>
      <c r="O1396" s="24">
        <f t="shared" si="87"/>
        <v>0</v>
      </c>
    </row>
    <row r="1397" spans="1:15" ht="15" customHeight="1" x14ac:dyDescent="0.3">
      <c r="A1397" s="23" t="s">
        <v>3273</v>
      </c>
      <c r="B1397" s="38">
        <v>46288</v>
      </c>
      <c r="C1397" s="23" t="s">
        <v>3274</v>
      </c>
      <c r="D1397" s="23" t="s">
        <v>92</v>
      </c>
      <c r="E1397" s="23" t="s">
        <v>77</v>
      </c>
      <c r="F1397" s="23" t="s">
        <v>1308</v>
      </c>
      <c r="G1397" s="23" t="s">
        <v>250</v>
      </c>
      <c r="H1397" s="39">
        <f t="shared" si="84"/>
        <v>4297</v>
      </c>
      <c r="I1397" s="23" t="str">
        <f t="shared" si="85"/>
        <v>Hyderabad</v>
      </c>
      <c r="J1397" s="23">
        <f>COUNTIFS(pg_transaction_cleaned!$O:$O,A1397,pg_transaction_cleaned!$F:$F,"CAPTURE")</f>
        <v>1</v>
      </c>
      <c r="K1397" s="39">
        <f>SUMIFS(pg_transaction_cleaned!$H:$H,pg_transaction_cleaned!$O:$O,A1397,pg_transaction_cleaned!$F:$F,"CAPTURE")</f>
        <v>4297</v>
      </c>
      <c r="L1397" s="23">
        <f>COUNTIFS(pg_transaction_cleaned!$O:$O,A1397,pg_transaction_cleaned!$F:$F,"REFUND")</f>
        <v>0</v>
      </c>
      <c r="M1397" s="39">
        <f>SUMIFS(pg_transaction_cleaned!$H:$H,pg_transaction_cleaned!$O:$O,A1397,pg_transaction_cleaned!$F:$F,"REFUND")</f>
        <v>0</v>
      </c>
      <c r="N1397" s="23" t="str">
        <f t="shared" si="86"/>
        <v>OK</v>
      </c>
      <c r="O1397" s="24">
        <f t="shared" si="87"/>
        <v>0</v>
      </c>
    </row>
    <row r="1398" spans="1:15" ht="15" customHeight="1" x14ac:dyDescent="0.3">
      <c r="A1398" s="23" t="s">
        <v>3275</v>
      </c>
      <c r="B1398" s="38">
        <v>46273</v>
      </c>
      <c r="C1398" s="23" t="s">
        <v>3276</v>
      </c>
      <c r="D1398" s="23" t="s">
        <v>93</v>
      </c>
      <c r="E1398" s="23" t="s">
        <v>75</v>
      </c>
      <c r="F1398" s="23" t="s">
        <v>438</v>
      </c>
      <c r="G1398" s="23" t="s">
        <v>250</v>
      </c>
      <c r="H1398" s="39">
        <f t="shared" si="84"/>
        <v>5498</v>
      </c>
      <c r="I1398" s="23" t="str">
        <f t="shared" si="85"/>
        <v>Kolkata</v>
      </c>
      <c r="J1398" s="23">
        <f>COUNTIFS(pg_transaction_cleaned!$O:$O,A1398,pg_transaction_cleaned!$F:$F,"CAPTURE")</f>
        <v>1</v>
      </c>
      <c r="K1398" s="39">
        <f>SUMIFS(pg_transaction_cleaned!$H:$H,pg_transaction_cleaned!$O:$O,A1398,pg_transaction_cleaned!$F:$F,"CAPTURE")</f>
        <v>5498</v>
      </c>
      <c r="L1398" s="23">
        <f>COUNTIFS(pg_transaction_cleaned!$O:$O,A1398,pg_transaction_cleaned!$F:$F,"REFUND")</f>
        <v>0</v>
      </c>
      <c r="M1398" s="39">
        <f>SUMIFS(pg_transaction_cleaned!$H:$H,pg_transaction_cleaned!$O:$O,A1398,pg_transaction_cleaned!$F:$F,"REFUND")</f>
        <v>0</v>
      </c>
      <c r="N1398" s="23" t="str">
        <f t="shared" si="86"/>
        <v>OK</v>
      </c>
      <c r="O1398" s="24">
        <f t="shared" si="87"/>
        <v>0</v>
      </c>
    </row>
    <row r="1399" spans="1:15" ht="15" customHeight="1" x14ac:dyDescent="0.3">
      <c r="A1399" s="23" t="s">
        <v>3277</v>
      </c>
      <c r="B1399" s="38">
        <v>46278</v>
      </c>
      <c r="C1399" s="23" t="s">
        <v>3278</v>
      </c>
      <c r="D1399" s="23" t="s">
        <v>93</v>
      </c>
      <c r="E1399" s="23" t="s">
        <v>81</v>
      </c>
      <c r="F1399" s="23" t="s">
        <v>253</v>
      </c>
      <c r="G1399" s="23" t="s">
        <v>365</v>
      </c>
      <c r="H1399" s="39">
        <f t="shared" si="84"/>
        <v>4647</v>
      </c>
      <c r="I1399" s="23" t="str">
        <f t="shared" si="85"/>
        <v>Kolkata</v>
      </c>
      <c r="J1399" s="23">
        <f>COUNTIFS(pg_transaction_cleaned!$O:$O,A1399,pg_transaction_cleaned!$F:$F,"CAPTURE")</f>
        <v>0</v>
      </c>
      <c r="K1399" s="39">
        <f>SUMIFS(pg_transaction_cleaned!$H:$H,pg_transaction_cleaned!$O:$O,A1399,pg_transaction_cleaned!$F:$F,"CAPTURE")</f>
        <v>0</v>
      </c>
      <c r="L1399" s="23">
        <f>COUNTIFS(pg_transaction_cleaned!$O:$O,A1399,pg_transaction_cleaned!$F:$F,"REFUND")</f>
        <v>0</v>
      </c>
      <c r="M1399" s="39">
        <f>SUMIFS(pg_transaction_cleaned!$H:$H,pg_transaction_cleaned!$O:$O,A1399,pg_transaction_cleaned!$F:$F,"REFUND")</f>
        <v>0</v>
      </c>
      <c r="N1399" s="23" t="str">
        <f t="shared" si="86"/>
        <v>OK</v>
      </c>
      <c r="O1399" s="24">
        <f t="shared" si="87"/>
        <v>0</v>
      </c>
    </row>
    <row r="1400" spans="1:15" ht="15" customHeight="1" x14ac:dyDescent="0.3">
      <c r="A1400" s="23" t="s">
        <v>3279</v>
      </c>
      <c r="B1400" s="38">
        <v>46274</v>
      </c>
      <c r="C1400" s="23" t="s">
        <v>3280</v>
      </c>
      <c r="D1400" s="23" t="s">
        <v>93</v>
      </c>
      <c r="E1400" s="23" t="s">
        <v>75</v>
      </c>
      <c r="F1400" s="23" t="s">
        <v>1662</v>
      </c>
      <c r="G1400" s="23" t="s">
        <v>250</v>
      </c>
      <c r="H1400" s="39">
        <f t="shared" si="84"/>
        <v>4397</v>
      </c>
      <c r="I1400" s="23" t="str">
        <f t="shared" si="85"/>
        <v>Kolkata</v>
      </c>
      <c r="J1400" s="23">
        <f>COUNTIFS(pg_transaction_cleaned!$O:$O,A1400,pg_transaction_cleaned!$F:$F,"CAPTURE")</f>
        <v>1</v>
      </c>
      <c r="K1400" s="39">
        <f>SUMIFS(pg_transaction_cleaned!$H:$H,pg_transaction_cleaned!$O:$O,A1400,pg_transaction_cleaned!$F:$F,"CAPTURE")</f>
        <v>4397</v>
      </c>
      <c r="L1400" s="23">
        <f>COUNTIFS(pg_transaction_cleaned!$O:$O,A1400,pg_transaction_cleaned!$F:$F,"REFUND")</f>
        <v>0</v>
      </c>
      <c r="M1400" s="39">
        <f>SUMIFS(pg_transaction_cleaned!$H:$H,pg_transaction_cleaned!$O:$O,A1400,pg_transaction_cleaned!$F:$F,"REFUND")</f>
        <v>0</v>
      </c>
      <c r="N1400" s="23" t="str">
        <f t="shared" si="86"/>
        <v>OK</v>
      </c>
      <c r="O1400" s="24">
        <f t="shared" si="87"/>
        <v>0</v>
      </c>
    </row>
    <row r="1401" spans="1:15" ht="15" customHeight="1" x14ac:dyDescent="0.3">
      <c r="A1401" s="23" t="s">
        <v>3281</v>
      </c>
      <c r="B1401" s="38">
        <v>46290</v>
      </c>
      <c r="C1401" s="23" t="s">
        <v>3282</v>
      </c>
      <c r="D1401" s="23" t="s">
        <v>86</v>
      </c>
      <c r="E1401" s="23" t="s">
        <v>79</v>
      </c>
      <c r="F1401" s="23" t="s">
        <v>1626</v>
      </c>
      <c r="G1401" s="23" t="s">
        <v>250</v>
      </c>
      <c r="H1401" s="39">
        <f t="shared" si="84"/>
        <v>8697</v>
      </c>
      <c r="I1401" s="23" t="str">
        <f t="shared" si="85"/>
        <v>Delhi</v>
      </c>
      <c r="J1401" s="23">
        <f>COUNTIFS(pg_transaction_cleaned!$O:$O,A1401,pg_transaction_cleaned!$F:$F,"CAPTURE")</f>
        <v>1</v>
      </c>
      <c r="K1401" s="39">
        <f>SUMIFS(pg_transaction_cleaned!$H:$H,pg_transaction_cleaned!$O:$O,A1401,pg_transaction_cleaned!$F:$F,"CAPTURE")</f>
        <v>8697</v>
      </c>
      <c r="L1401" s="23">
        <f>COUNTIFS(pg_transaction_cleaned!$O:$O,A1401,pg_transaction_cleaned!$F:$F,"REFUND")</f>
        <v>0</v>
      </c>
      <c r="M1401" s="39">
        <f>SUMIFS(pg_transaction_cleaned!$H:$H,pg_transaction_cleaned!$O:$O,A1401,pg_transaction_cleaned!$F:$F,"REFUND")</f>
        <v>0</v>
      </c>
      <c r="N1401" s="23" t="str">
        <f t="shared" si="86"/>
        <v>OK</v>
      </c>
      <c r="O1401" s="24">
        <f t="shared" si="87"/>
        <v>0</v>
      </c>
    </row>
    <row r="1402" spans="1:15" ht="15" customHeight="1" x14ac:dyDescent="0.3">
      <c r="A1402" s="23" t="s">
        <v>3283</v>
      </c>
      <c r="B1402" s="38">
        <v>46274</v>
      </c>
      <c r="C1402" s="23" t="s">
        <v>3284</v>
      </c>
      <c r="D1402" s="23" t="s">
        <v>90</v>
      </c>
      <c r="E1402" s="23" t="s">
        <v>75</v>
      </c>
      <c r="F1402" s="23" t="s">
        <v>3285</v>
      </c>
      <c r="G1402" s="23" t="s">
        <v>250</v>
      </c>
      <c r="H1402" s="39">
        <f t="shared" si="84"/>
        <v>5397</v>
      </c>
      <c r="I1402" s="23" t="str">
        <f t="shared" si="85"/>
        <v>Ahmedabad</v>
      </c>
      <c r="J1402" s="23">
        <f>COUNTIFS(pg_transaction_cleaned!$O:$O,A1402,pg_transaction_cleaned!$F:$F,"CAPTURE")</f>
        <v>1</v>
      </c>
      <c r="K1402" s="39">
        <f>SUMIFS(pg_transaction_cleaned!$H:$H,pg_transaction_cleaned!$O:$O,A1402,pg_transaction_cleaned!$F:$F,"CAPTURE")</f>
        <v>5397</v>
      </c>
      <c r="L1402" s="23">
        <f>COUNTIFS(pg_transaction_cleaned!$O:$O,A1402,pg_transaction_cleaned!$F:$F,"REFUND")</f>
        <v>0</v>
      </c>
      <c r="M1402" s="39">
        <f>SUMIFS(pg_transaction_cleaned!$H:$H,pg_transaction_cleaned!$O:$O,A1402,pg_transaction_cleaned!$F:$F,"REFUND")</f>
        <v>0</v>
      </c>
      <c r="N1402" s="23" t="str">
        <f t="shared" si="86"/>
        <v>OK</v>
      </c>
      <c r="O1402" s="24">
        <f t="shared" si="87"/>
        <v>0</v>
      </c>
    </row>
    <row r="1403" spans="1:15" ht="15" customHeight="1" x14ac:dyDescent="0.3">
      <c r="A1403" s="23" t="s">
        <v>3286</v>
      </c>
      <c r="B1403" s="38">
        <v>46266</v>
      </c>
      <c r="C1403" s="23" t="s">
        <v>3287</v>
      </c>
      <c r="D1403" s="23" t="s">
        <v>92</v>
      </c>
      <c r="E1403" s="23" t="s">
        <v>75</v>
      </c>
      <c r="F1403" s="23" t="s">
        <v>274</v>
      </c>
      <c r="G1403" s="23" t="s">
        <v>250</v>
      </c>
      <c r="H1403" s="39">
        <f t="shared" si="84"/>
        <v>349</v>
      </c>
      <c r="I1403" s="23" t="str">
        <f t="shared" si="85"/>
        <v>Hyderabad</v>
      </c>
      <c r="J1403" s="23">
        <f>COUNTIFS(pg_transaction_cleaned!$O:$O,A1403,pg_transaction_cleaned!$F:$F,"CAPTURE")</f>
        <v>1</v>
      </c>
      <c r="K1403" s="39">
        <f>SUMIFS(pg_transaction_cleaned!$H:$H,pg_transaction_cleaned!$O:$O,A1403,pg_transaction_cleaned!$F:$F,"CAPTURE")</f>
        <v>349</v>
      </c>
      <c r="L1403" s="23">
        <f>COUNTIFS(pg_transaction_cleaned!$O:$O,A1403,pg_transaction_cleaned!$F:$F,"REFUND")</f>
        <v>0</v>
      </c>
      <c r="M1403" s="39">
        <f>SUMIFS(pg_transaction_cleaned!$H:$H,pg_transaction_cleaned!$O:$O,A1403,pg_transaction_cleaned!$F:$F,"REFUND")</f>
        <v>0</v>
      </c>
      <c r="N1403" s="23" t="str">
        <f t="shared" si="86"/>
        <v>OK</v>
      </c>
      <c r="O1403" s="24">
        <f t="shared" si="87"/>
        <v>0</v>
      </c>
    </row>
    <row r="1404" spans="1:15" ht="15" customHeight="1" x14ac:dyDescent="0.3">
      <c r="A1404" s="23" t="s">
        <v>3288</v>
      </c>
      <c r="B1404" s="38">
        <v>46289</v>
      </c>
      <c r="C1404" s="23" t="s">
        <v>3289</v>
      </c>
      <c r="D1404" s="23" t="s">
        <v>90</v>
      </c>
      <c r="E1404" s="23" t="s">
        <v>79</v>
      </c>
      <c r="F1404" s="23" t="s">
        <v>1352</v>
      </c>
      <c r="G1404" s="23" t="s">
        <v>250</v>
      </c>
      <c r="H1404" s="39">
        <f t="shared" si="84"/>
        <v>998</v>
      </c>
      <c r="I1404" s="23" t="str">
        <f t="shared" si="85"/>
        <v>Ahmedabad</v>
      </c>
      <c r="J1404" s="23">
        <f>COUNTIFS(pg_transaction_cleaned!$O:$O,A1404,pg_transaction_cleaned!$F:$F,"CAPTURE")</f>
        <v>1</v>
      </c>
      <c r="K1404" s="39">
        <f>SUMIFS(pg_transaction_cleaned!$H:$H,pg_transaction_cleaned!$O:$O,A1404,pg_transaction_cleaned!$F:$F,"CAPTURE")</f>
        <v>998</v>
      </c>
      <c r="L1404" s="23">
        <f>COUNTIFS(pg_transaction_cleaned!$O:$O,A1404,pg_transaction_cleaned!$F:$F,"REFUND")</f>
        <v>0</v>
      </c>
      <c r="M1404" s="39">
        <f>SUMIFS(pg_transaction_cleaned!$H:$H,pg_transaction_cleaned!$O:$O,A1404,pg_transaction_cleaned!$F:$F,"REFUND")</f>
        <v>0</v>
      </c>
      <c r="N1404" s="23" t="str">
        <f t="shared" si="86"/>
        <v>OK</v>
      </c>
      <c r="O1404" s="24">
        <f t="shared" si="87"/>
        <v>0</v>
      </c>
    </row>
    <row r="1405" spans="1:15" ht="15" customHeight="1" x14ac:dyDescent="0.3">
      <c r="A1405" s="23" t="s">
        <v>3290</v>
      </c>
      <c r="B1405" s="38">
        <v>46271</v>
      </c>
      <c r="C1405" s="23" t="s">
        <v>3291</v>
      </c>
      <c r="D1405" s="23" t="s">
        <v>87</v>
      </c>
      <c r="E1405" s="23" t="s">
        <v>75</v>
      </c>
      <c r="F1405" s="23" t="s">
        <v>574</v>
      </c>
      <c r="G1405" s="23" t="s">
        <v>250</v>
      </c>
      <c r="H1405" s="39">
        <f t="shared" si="84"/>
        <v>1848</v>
      </c>
      <c r="I1405" s="23" t="str">
        <f t="shared" si="85"/>
        <v>Mumbai</v>
      </c>
      <c r="J1405" s="23">
        <f>COUNTIFS(pg_transaction_cleaned!$O:$O,A1405,pg_transaction_cleaned!$F:$F,"CAPTURE")</f>
        <v>1</v>
      </c>
      <c r="K1405" s="39">
        <f>SUMIFS(pg_transaction_cleaned!$H:$H,pg_transaction_cleaned!$O:$O,A1405,pg_transaction_cleaned!$F:$F,"CAPTURE")</f>
        <v>1848</v>
      </c>
      <c r="L1405" s="23">
        <f>COUNTIFS(pg_transaction_cleaned!$O:$O,A1405,pg_transaction_cleaned!$F:$F,"REFUND")</f>
        <v>0</v>
      </c>
      <c r="M1405" s="39">
        <f>SUMIFS(pg_transaction_cleaned!$H:$H,pg_transaction_cleaned!$O:$O,A1405,pg_transaction_cleaned!$F:$F,"REFUND")</f>
        <v>0</v>
      </c>
      <c r="N1405" s="23" t="str">
        <f t="shared" si="86"/>
        <v>OK</v>
      </c>
      <c r="O1405" s="24">
        <f t="shared" si="87"/>
        <v>0</v>
      </c>
    </row>
    <row r="1406" spans="1:15" ht="15" customHeight="1" x14ac:dyDescent="0.3">
      <c r="A1406" s="23" t="s">
        <v>3292</v>
      </c>
      <c r="B1406" s="38">
        <v>46289</v>
      </c>
      <c r="C1406" s="23" t="s">
        <v>3293</v>
      </c>
      <c r="D1406" s="23"/>
      <c r="E1406" s="23" t="s">
        <v>75</v>
      </c>
      <c r="F1406" s="23" t="s">
        <v>297</v>
      </c>
      <c r="G1406" s="23" t="s">
        <v>250</v>
      </c>
      <c r="H1406" s="39">
        <f t="shared" si="84"/>
        <v>4999</v>
      </c>
      <c r="I1406" s="23" t="str">
        <f t="shared" si="85"/>
        <v>Unknown</v>
      </c>
      <c r="J1406" s="23">
        <f>COUNTIFS(pg_transaction_cleaned!$O:$O,A1406,pg_transaction_cleaned!$F:$F,"CAPTURE")</f>
        <v>1</v>
      </c>
      <c r="K1406" s="39">
        <f>SUMIFS(pg_transaction_cleaned!$H:$H,pg_transaction_cleaned!$O:$O,A1406,pg_transaction_cleaned!$F:$F,"CAPTURE")</f>
        <v>4999</v>
      </c>
      <c r="L1406" s="23">
        <f>COUNTIFS(pg_transaction_cleaned!$O:$O,A1406,pg_transaction_cleaned!$F:$F,"REFUND")</f>
        <v>0</v>
      </c>
      <c r="M1406" s="39">
        <f>SUMIFS(pg_transaction_cleaned!$H:$H,pg_transaction_cleaned!$O:$O,A1406,pg_transaction_cleaned!$F:$F,"REFUND")</f>
        <v>0</v>
      </c>
      <c r="N1406" s="23" t="str">
        <f t="shared" si="86"/>
        <v>OK</v>
      </c>
      <c r="O1406" s="24">
        <f t="shared" si="87"/>
        <v>0</v>
      </c>
    </row>
    <row r="1407" spans="1:15" ht="15" customHeight="1" x14ac:dyDescent="0.3">
      <c r="A1407" s="23" t="s">
        <v>3294</v>
      </c>
      <c r="B1407" s="38">
        <v>46286</v>
      </c>
      <c r="C1407" s="23" t="s">
        <v>3295</v>
      </c>
      <c r="D1407" s="23" t="s">
        <v>93</v>
      </c>
      <c r="E1407" s="23" t="s">
        <v>75</v>
      </c>
      <c r="F1407" s="23" t="s">
        <v>2337</v>
      </c>
      <c r="G1407" s="23" t="s">
        <v>250</v>
      </c>
      <c r="H1407" s="39">
        <f t="shared" si="84"/>
        <v>8348</v>
      </c>
      <c r="I1407" s="23" t="str">
        <f t="shared" si="85"/>
        <v>Kolkata</v>
      </c>
      <c r="J1407" s="23">
        <f>COUNTIFS(pg_transaction_cleaned!$O:$O,A1407,pg_transaction_cleaned!$F:$F,"CAPTURE")</f>
        <v>1</v>
      </c>
      <c r="K1407" s="39">
        <f>SUMIFS(pg_transaction_cleaned!$H:$H,pg_transaction_cleaned!$O:$O,A1407,pg_transaction_cleaned!$F:$F,"CAPTURE")</f>
        <v>8348</v>
      </c>
      <c r="L1407" s="23">
        <f>COUNTIFS(pg_transaction_cleaned!$O:$O,A1407,pg_transaction_cleaned!$F:$F,"REFUND")</f>
        <v>0</v>
      </c>
      <c r="M1407" s="39">
        <f>SUMIFS(pg_transaction_cleaned!$H:$H,pg_transaction_cleaned!$O:$O,A1407,pg_transaction_cleaned!$F:$F,"REFUND")</f>
        <v>0</v>
      </c>
      <c r="N1407" s="23" t="str">
        <f t="shared" si="86"/>
        <v>OK</v>
      </c>
      <c r="O1407" s="24">
        <f t="shared" si="87"/>
        <v>0</v>
      </c>
    </row>
    <row r="1408" spans="1:15" ht="15" customHeight="1" x14ac:dyDescent="0.3">
      <c r="A1408" s="23" t="s">
        <v>3296</v>
      </c>
      <c r="B1408" s="38">
        <v>46269</v>
      </c>
      <c r="C1408" s="23" t="s">
        <v>3297</v>
      </c>
      <c r="D1408" s="23" t="s">
        <v>90</v>
      </c>
      <c r="E1408" s="23" t="s">
        <v>79</v>
      </c>
      <c r="F1408" s="23" t="s">
        <v>274</v>
      </c>
      <c r="G1408" s="23" t="s">
        <v>250</v>
      </c>
      <c r="H1408" s="39">
        <f t="shared" si="84"/>
        <v>349</v>
      </c>
      <c r="I1408" s="23" t="str">
        <f t="shared" si="85"/>
        <v>Ahmedabad</v>
      </c>
      <c r="J1408" s="23">
        <f>COUNTIFS(pg_transaction_cleaned!$O:$O,A1408,pg_transaction_cleaned!$F:$F,"CAPTURE")</f>
        <v>1</v>
      </c>
      <c r="K1408" s="39">
        <f>SUMIFS(pg_transaction_cleaned!$H:$H,pg_transaction_cleaned!$O:$O,A1408,pg_transaction_cleaned!$F:$F,"CAPTURE")</f>
        <v>349</v>
      </c>
      <c r="L1408" s="23">
        <f>COUNTIFS(pg_transaction_cleaned!$O:$O,A1408,pg_transaction_cleaned!$F:$F,"REFUND")</f>
        <v>0</v>
      </c>
      <c r="M1408" s="39">
        <f>SUMIFS(pg_transaction_cleaned!$H:$H,pg_transaction_cleaned!$O:$O,A1408,pg_transaction_cleaned!$F:$F,"REFUND")</f>
        <v>0</v>
      </c>
      <c r="N1408" s="23" t="str">
        <f t="shared" si="86"/>
        <v>OK</v>
      </c>
      <c r="O1408" s="24">
        <f t="shared" si="87"/>
        <v>0</v>
      </c>
    </row>
    <row r="1409" spans="1:15" ht="15" customHeight="1" x14ac:dyDescent="0.3">
      <c r="A1409" s="23" t="s">
        <v>3298</v>
      </c>
      <c r="B1409" s="38">
        <v>46287</v>
      </c>
      <c r="C1409" s="23" t="s">
        <v>3299</v>
      </c>
      <c r="D1409" s="23" t="s">
        <v>88</v>
      </c>
      <c r="E1409" s="23" t="s">
        <v>79</v>
      </c>
      <c r="F1409" s="23" t="s">
        <v>249</v>
      </c>
      <c r="G1409" s="23" t="s">
        <v>250</v>
      </c>
      <c r="H1409" s="39">
        <f t="shared" si="84"/>
        <v>299</v>
      </c>
      <c r="I1409" s="23" t="str">
        <f t="shared" si="85"/>
        <v>Lucknow</v>
      </c>
      <c r="J1409" s="23">
        <f>COUNTIFS(pg_transaction_cleaned!$O:$O,A1409,pg_transaction_cleaned!$F:$F,"CAPTURE")</f>
        <v>1</v>
      </c>
      <c r="K1409" s="39">
        <f>SUMIFS(pg_transaction_cleaned!$H:$H,pg_transaction_cleaned!$O:$O,A1409,pg_transaction_cleaned!$F:$F,"CAPTURE")</f>
        <v>299</v>
      </c>
      <c r="L1409" s="23">
        <f>COUNTIFS(pg_transaction_cleaned!$O:$O,A1409,pg_transaction_cleaned!$F:$F,"REFUND")</f>
        <v>0</v>
      </c>
      <c r="M1409" s="39">
        <f>SUMIFS(pg_transaction_cleaned!$H:$H,pg_transaction_cleaned!$O:$O,A1409,pg_transaction_cleaned!$F:$F,"REFUND")</f>
        <v>0</v>
      </c>
      <c r="N1409" s="23" t="str">
        <f t="shared" si="86"/>
        <v>OK</v>
      </c>
      <c r="O1409" s="24">
        <f t="shared" si="87"/>
        <v>0</v>
      </c>
    </row>
    <row r="1410" spans="1:15" ht="15" customHeight="1" x14ac:dyDescent="0.3">
      <c r="A1410" s="23" t="s">
        <v>3300</v>
      </c>
      <c r="B1410" s="38">
        <v>46291</v>
      </c>
      <c r="C1410" s="23" t="s">
        <v>3301</v>
      </c>
      <c r="D1410" s="23" t="s">
        <v>88</v>
      </c>
      <c r="E1410" s="23" t="s">
        <v>79</v>
      </c>
      <c r="F1410" s="23" t="s">
        <v>274</v>
      </c>
      <c r="G1410" s="23" t="s">
        <v>250</v>
      </c>
      <c r="H1410" s="39">
        <f t="shared" ref="H1410:H1473" si="88">VALUE(SUBSTITUTE(F1410,",",""))</f>
        <v>349</v>
      </c>
      <c r="I1410" s="23" t="str">
        <f t="shared" ref="I1410:I1473" si="89">IF(TRIM(D1410)="","Unknown",TRIM(D1410))</f>
        <v>Lucknow</v>
      </c>
      <c r="J1410" s="23">
        <f>COUNTIFS(pg_transaction_cleaned!$O:$O,A1410,pg_transaction_cleaned!$F:$F,"CAPTURE")</f>
        <v>1</v>
      </c>
      <c r="K1410" s="39">
        <f>SUMIFS(pg_transaction_cleaned!$H:$H,pg_transaction_cleaned!$O:$O,A1410,pg_transaction_cleaned!$F:$F,"CAPTURE")</f>
        <v>349</v>
      </c>
      <c r="L1410" s="23">
        <f>COUNTIFS(pg_transaction_cleaned!$O:$O,A1410,pg_transaction_cleaned!$F:$F,"REFUND")</f>
        <v>0</v>
      </c>
      <c r="M1410" s="39">
        <f>SUMIFS(pg_transaction_cleaned!$H:$H,pg_transaction_cleaned!$O:$O,A1410,pg_transaction_cleaned!$F:$F,"REFUND")</f>
        <v>0</v>
      </c>
      <c r="N1410" s="23" t="str">
        <f t="shared" ref="N1410:N1473" si="90">IF(AND(G1410="Paid",J1410=0),"Paid, no payment",IF(AND(OR(G1410="Failed",G1410="Cancelled"),J1410&gt;0),"Payment on failed/cancelled",IF(J1410&gt;1,"Duplicate charge",IF(AND(J1410=1,ROUND(K1410-H1410,2)&lt;&gt;0),"Amount difference",IF(AND(G1410="Refunded",L1410=0),"Refunded, no refund",IF(AND(G1410&lt;&gt;"Refunded",L1410&gt;0),"Refund, order not Refunded",IF(AND(L1410&gt;0,ROUND(M1410-H1410,2)&lt;&gt;0),"Refund amount differs","OK")))))))</f>
        <v>OK</v>
      </c>
      <c r="O1410" s="24">
        <f t="shared" ref="O1410:O1473" si="91">IF(N1410="OK",0,IF(N1410="Paid, no payment",H1410,IF(N1410="Payment on failed/cancelled",K1410,IF(OR(N1410="Duplicate charge",N1410="Amount difference"),K1410-H1410,IF(N1410="Refunded, no refund",H1410,M1410)))))</f>
        <v>0</v>
      </c>
    </row>
    <row r="1411" spans="1:15" ht="15" customHeight="1" x14ac:dyDescent="0.3">
      <c r="A1411" s="23" t="s">
        <v>3302</v>
      </c>
      <c r="B1411" s="38">
        <v>46282</v>
      </c>
      <c r="C1411" s="23" t="s">
        <v>3303</v>
      </c>
      <c r="D1411" s="23" t="s">
        <v>94</v>
      </c>
      <c r="E1411" s="23" t="s">
        <v>75</v>
      </c>
      <c r="F1411" s="23" t="s">
        <v>795</v>
      </c>
      <c r="G1411" s="23" t="s">
        <v>250</v>
      </c>
      <c r="H1411" s="39">
        <f t="shared" si="88"/>
        <v>1499</v>
      </c>
      <c r="I1411" s="23" t="str">
        <f t="shared" si="89"/>
        <v>Chennai</v>
      </c>
      <c r="J1411" s="23">
        <f>COUNTIFS(pg_transaction_cleaned!$O:$O,A1411,pg_transaction_cleaned!$F:$F,"CAPTURE")</f>
        <v>1</v>
      </c>
      <c r="K1411" s="39">
        <f>SUMIFS(pg_transaction_cleaned!$H:$H,pg_transaction_cleaned!$O:$O,A1411,pg_transaction_cleaned!$F:$F,"CAPTURE")</f>
        <v>1499</v>
      </c>
      <c r="L1411" s="23">
        <f>COUNTIFS(pg_transaction_cleaned!$O:$O,A1411,pg_transaction_cleaned!$F:$F,"REFUND")</f>
        <v>0</v>
      </c>
      <c r="M1411" s="39">
        <f>SUMIFS(pg_transaction_cleaned!$H:$H,pg_transaction_cleaned!$O:$O,A1411,pg_transaction_cleaned!$F:$F,"REFUND")</f>
        <v>0</v>
      </c>
      <c r="N1411" s="23" t="str">
        <f t="shared" si="90"/>
        <v>OK</v>
      </c>
      <c r="O1411" s="24">
        <f t="shared" si="91"/>
        <v>0</v>
      </c>
    </row>
    <row r="1412" spans="1:15" ht="15" customHeight="1" x14ac:dyDescent="0.3">
      <c r="A1412" s="23" t="s">
        <v>3304</v>
      </c>
      <c r="B1412" s="38">
        <v>46277</v>
      </c>
      <c r="C1412" s="23" t="s">
        <v>3305</v>
      </c>
      <c r="D1412" s="23" t="s">
        <v>93</v>
      </c>
      <c r="E1412" s="23" t="s">
        <v>75</v>
      </c>
      <c r="F1412" s="23" t="s">
        <v>1712</v>
      </c>
      <c r="G1412" s="23" t="s">
        <v>250</v>
      </c>
      <c r="H1412" s="39">
        <f t="shared" si="88"/>
        <v>9997</v>
      </c>
      <c r="I1412" s="23" t="str">
        <f t="shared" si="89"/>
        <v>Kolkata</v>
      </c>
      <c r="J1412" s="23">
        <f>COUNTIFS(pg_transaction_cleaned!$O:$O,A1412,pg_transaction_cleaned!$F:$F,"CAPTURE")</f>
        <v>1</v>
      </c>
      <c r="K1412" s="39">
        <f>SUMIFS(pg_transaction_cleaned!$H:$H,pg_transaction_cleaned!$O:$O,A1412,pg_transaction_cleaned!$F:$F,"CAPTURE")</f>
        <v>9997</v>
      </c>
      <c r="L1412" s="23">
        <f>COUNTIFS(pg_transaction_cleaned!$O:$O,A1412,pg_transaction_cleaned!$F:$F,"REFUND")</f>
        <v>0</v>
      </c>
      <c r="M1412" s="39">
        <f>SUMIFS(pg_transaction_cleaned!$H:$H,pg_transaction_cleaned!$O:$O,A1412,pg_transaction_cleaned!$F:$F,"REFUND")</f>
        <v>0</v>
      </c>
      <c r="N1412" s="23" t="str">
        <f t="shared" si="90"/>
        <v>OK</v>
      </c>
      <c r="O1412" s="24">
        <f t="shared" si="91"/>
        <v>0</v>
      </c>
    </row>
    <row r="1413" spans="1:15" ht="15" customHeight="1" x14ac:dyDescent="0.3">
      <c r="A1413" s="23" t="s">
        <v>3306</v>
      </c>
      <c r="B1413" s="38">
        <v>46285</v>
      </c>
      <c r="C1413" s="23" t="s">
        <v>3307</v>
      </c>
      <c r="D1413" s="23" t="s">
        <v>90</v>
      </c>
      <c r="E1413" s="23" t="s">
        <v>81</v>
      </c>
      <c r="F1413" s="23" t="s">
        <v>265</v>
      </c>
      <c r="G1413" s="23" t="s">
        <v>250</v>
      </c>
      <c r="H1413" s="39">
        <f t="shared" si="88"/>
        <v>999</v>
      </c>
      <c r="I1413" s="23" t="str">
        <f t="shared" si="89"/>
        <v>Ahmedabad</v>
      </c>
      <c r="J1413" s="23">
        <f>COUNTIFS(pg_transaction_cleaned!$O:$O,A1413,pg_transaction_cleaned!$F:$F,"CAPTURE")</f>
        <v>1</v>
      </c>
      <c r="K1413" s="39">
        <f>SUMIFS(pg_transaction_cleaned!$H:$H,pg_transaction_cleaned!$O:$O,A1413,pg_transaction_cleaned!$F:$F,"CAPTURE")</f>
        <v>949</v>
      </c>
      <c r="L1413" s="23">
        <f>COUNTIFS(pg_transaction_cleaned!$O:$O,A1413,pg_transaction_cleaned!$F:$F,"REFUND")</f>
        <v>0</v>
      </c>
      <c r="M1413" s="39">
        <f>SUMIFS(pg_transaction_cleaned!$H:$H,pg_transaction_cleaned!$O:$O,A1413,pg_transaction_cleaned!$F:$F,"REFUND")</f>
        <v>0</v>
      </c>
      <c r="N1413" s="23" t="str">
        <f t="shared" si="90"/>
        <v>Amount difference</v>
      </c>
      <c r="O1413" s="24">
        <f t="shared" si="91"/>
        <v>-50</v>
      </c>
    </row>
    <row r="1414" spans="1:15" ht="15" customHeight="1" x14ac:dyDescent="0.3">
      <c r="A1414" s="23" t="s">
        <v>3308</v>
      </c>
      <c r="B1414" s="38">
        <v>46293</v>
      </c>
      <c r="C1414" s="23" t="s">
        <v>3309</v>
      </c>
      <c r="D1414" s="23" t="s">
        <v>91</v>
      </c>
      <c r="E1414" s="23" t="s">
        <v>75</v>
      </c>
      <c r="F1414" s="23" t="s">
        <v>1334</v>
      </c>
      <c r="G1414" s="23" t="s">
        <v>365</v>
      </c>
      <c r="H1414" s="39">
        <f t="shared" si="88"/>
        <v>12797</v>
      </c>
      <c r="I1414" s="23" t="str">
        <f t="shared" si="89"/>
        <v>Pune</v>
      </c>
      <c r="J1414" s="23">
        <f>COUNTIFS(pg_transaction_cleaned!$O:$O,A1414,pg_transaction_cleaned!$F:$F,"CAPTURE")</f>
        <v>0</v>
      </c>
      <c r="K1414" s="39">
        <f>SUMIFS(pg_transaction_cleaned!$H:$H,pg_transaction_cleaned!$O:$O,A1414,pg_transaction_cleaned!$F:$F,"CAPTURE")</f>
        <v>0</v>
      </c>
      <c r="L1414" s="23">
        <f>COUNTIFS(pg_transaction_cleaned!$O:$O,A1414,pg_transaction_cleaned!$F:$F,"REFUND")</f>
        <v>0</v>
      </c>
      <c r="M1414" s="39">
        <f>SUMIFS(pg_transaction_cleaned!$H:$H,pg_transaction_cleaned!$O:$O,A1414,pg_transaction_cleaned!$F:$F,"REFUND")</f>
        <v>0</v>
      </c>
      <c r="N1414" s="23" t="str">
        <f t="shared" si="90"/>
        <v>OK</v>
      </c>
      <c r="O1414" s="24">
        <f t="shared" si="91"/>
        <v>0</v>
      </c>
    </row>
    <row r="1415" spans="1:15" ht="15" customHeight="1" x14ac:dyDescent="0.3">
      <c r="A1415" s="23" t="s">
        <v>3310</v>
      </c>
      <c r="B1415" s="38">
        <v>46293</v>
      </c>
      <c r="C1415" s="23" t="s">
        <v>3311</v>
      </c>
      <c r="D1415" s="23" t="s">
        <v>88</v>
      </c>
      <c r="E1415" s="23" t="s">
        <v>75</v>
      </c>
      <c r="F1415" s="23" t="s">
        <v>288</v>
      </c>
      <c r="G1415" s="23" t="s">
        <v>250</v>
      </c>
      <c r="H1415" s="39">
        <f t="shared" si="88"/>
        <v>4298</v>
      </c>
      <c r="I1415" s="23" t="str">
        <f t="shared" si="89"/>
        <v>Lucknow</v>
      </c>
      <c r="J1415" s="23">
        <f>COUNTIFS(pg_transaction_cleaned!$O:$O,A1415,pg_transaction_cleaned!$F:$F,"CAPTURE")</f>
        <v>1</v>
      </c>
      <c r="K1415" s="39">
        <f>SUMIFS(pg_transaction_cleaned!$H:$H,pg_transaction_cleaned!$O:$O,A1415,pg_transaction_cleaned!$F:$F,"CAPTURE")</f>
        <v>4298</v>
      </c>
      <c r="L1415" s="23">
        <f>COUNTIFS(pg_transaction_cleaned!$O:$O,A1415,pg_transaction_cleaned!$F:$F,"REFUND")</f>
        <v>0</v>
      </c>
      <c r="M1415" s="39">
        <f>SUMIFS(pg_transaction_cleaned!$H:$H,pg_transaction_cleaned!$O:$O,A1415,pg_transaction_cleaned!$F:$F,"REFUND")</f>
        <v>0</v>
      </c>
      <c r="N1415" s="23" t="str">
        <f t="shared" si="90"/>
        <v>OK</v>
      </c>
      <c r="O1415" s="24">
        <f t="shared" si="91"/>
        <v>0</v>
      </c>
    </row>
    <row r="1416" spans="1:15" ht="15" customHeight="1" x14ac:dyDescent="0.3">
      <c r="A1416" s="23" t="s">
        <v>3312</v>
      </c>
      <c r="B1416" s="38">
        <v>46287</v>
      </c>
      <c r="C1416" s="23" t="s">
        <v>3313</v>
      </c>
      <c r="D1416" s="23" t="s">
        <v>94</v>
      </c>
      <c r="E1416" s="23" t="s">
        <v>75</v>
      </c>
      <c r="F1416" s="23" t="s">
        <v>579</v>
      </c>
      <c r="G1416" s="23" t="s">
        <v>250</v>
      </c>
      <c r="H1416" s="39">
        <f t="shared" si="88"/>
        <v>11297</v>
      </c>
      <c r="I1416" s="23" t="str">
        <f t="shared" si="89"/>
        <v>Chennai</v>
      </c>
      <c r="J1416" s="23">
        <f>COUNTIFS(pg_transaction_cleaned!$O:$O,A1416,pg_transaction_cleaned!$F:$F,"CAPTURE")</f>
        <v>1</v>
      </c>
      <c r="K1416" s="39">
        <f>SUMIFS(pg_transaction_cleaned!$H:$H,pg_transaction_cleaned!$O:$O,A1416,pg_transaction_cleaned!$F:$F,"CAPTURE")</f>
        <v>11297</v>
      </c>
      <c r="L1416" s="23">
        <f>COUNTIFS(pg_transaction_cleaned!$O:$O,A1416,pg_transaction_cleaned!$F:$F,"REFUND")</f>
        <v>0</v>
      </c>
      <c r="M1416" s="39">
        <f>SUMIFS(pg_transaction_cleaned!$H:$H,pg_transaction_cleaned!$O:$O,A1416,pg_transaction_cleaned!$F:$F,"REFUND")</f>
        <v>0</v>
      </c>
      <c r="N1416" s="23" t="str">
        <f t="shared" si="90"/>
        <v>OK</v>
      </c>
      <c r="O1416" s="24">
        <f t="shared" si="91"/>
        <v>0</v>
      </c>
    </row>
    <row r="1417" spans="1:15" ht="15" customHeight="1" x14ac:dyDescent="0.3">
      <c r="A1417" s="23" t="s">
        <v>3314</v>
      </c>
      <c r="B1417" s="38">
        <v>46266</v>
      </c>
      <c r="C1417" s="23" t="s">
        <v>1641</v>
      </c>
      <c r="D1417" s="23" t="s">
        <v>90</v>
      </c>
      <c r="E1417" s="23" t="s">
        <v>79</v>
      </c>
      <c r="F1417" s="23" t="s">
        <v>478</v>
      </c>
      <c r="G1417" s="23" t="s">
        <v>301</v>
      </c>
      <c r="H1417" s="39">
        <f t="shared" si="88"/>
        <v>9297</v>
      </c>
      <c r="I1417" s="23" t="str">
        <f t="shared" si="89"/>
        <v>Ahmedabad</v>
      </c>
      <c r="J1417" s="23">
        <f>COUNTIFS(pg_transaction_cleaned!$O:$O,A1417,pg_transaction_cleaned!$F:$F,"CAPTURE")</f>
        <v>1</v>
      </c>
      <c r="K1417" s="39">
        <f>SUMIFS(pg_transaction_cleaned!$H:$H,pg_transaction_cleaned!$O:$O,A1417,pg_transaction_cleaned!$F:$F,"CAPTURE")</f>
        <v>9297</v>
      </c>
      <c r="L1417" s="23">
        <f>COUNTIFS(pg_transaction_cleaned!$O:$O,A1417,pg_transaction_cleaned!$F:$F,"REFUND")</f>
        <v>1</v>
      </c>
      <c r="M1417" s="39">
        <f>SUMIFS(pg_transaction_cleaned!$H:$H,pg_transaction_cleaned!$O:$O,A1417,pg_transaction_cleaned!$F:$F,"REFUND")</f>
        <v>9297</v>
      </c>
      <c r="N1417" s="23" t="str">
        <f t="shared" si="90"/>
        <v>OK</v>
      </c>
      <c r="O1417" s="24">
        <f t="shared" si="91"/>
        <v>0</v>
      </c>
    </row>
    <row r="1418" spans="1:15" ht="15" customHeight="1" x14ac:dyDescent="0.3">
      <c r="A1418" s="23" t="s">
        <v>3315</v>
      </c>
      <c r="B1418" s="38">
        <v>46273</v>
      </c>
      <c r="C1418" s="23" t="s">
        <v>1215</v>
      </c>
      <c r="D1418" s="23" t="s">
        <v>93</v>
      </c>
      <c r="E1418" s="23" t="s">
        <v>79</v>
      </c>
      <c r="F1418" s="23" t="s">
        <v>553</v>
      </c>
      <c r="G1418" s="23" t="s">
        <v>250</v>
      </c>
      <c r="H1418" s="39">
        <f t="shared" si="88"/>
        <v>2798</v>
      </c>
      <c r="I1418" s="23" t="str">
        <f t="shared" si="89"/>
        <v>Kolkata</v>
      </c>
      <c r="J1418" s="23">
        <f>COUNTIFS(pg_transaction_cleaned!$O:$O,A1418,pg_transaction_cleaned!$F:$F,"CAPTURE")</f>
        <v>1</v>
      </c>
      <c r="K1418" s="39">
        <f>SUMIFS(pg_transaction_cleaned!$H:$H,pg_transaction_cleaned!$O:$O,A1418,pg_transaction_cleaned!$F:$F,"CAPTURE")</f>
        <v>2798</v>
      </c>
      <c r="L1418" s="23">
        <f>COUNTIFS(pg_transaction_cleaned!$O:$O,A1418,pg_transaction_cleaned!$F:$F,"REFUND")</f>
        <v>0</v>
      </c>
      <c r="M1418" s="39">
        <f>SUMIFS(pg_transaction_cleaned!$H:$H,pg_transaction_cleaned!$O:$O,A1418,pg_transaction_cleaned!$F:$F,"REFUND")</f>
        <v>0</v>
      </c>
      <c r="N1418" s="23" t="str">
        <f t="shared" si="90"/>
        <v>OK</v>
      </c>
      <c r="O1418" s="24">
        <f t="shared" si="91"/>
        <v>0</v>
      </c>
    </row>
    <row r="1419" spans="1:15" ht="15" customHeight="1" x14ac:dyDescent="0.3">
      <c r="A1419" s="23" t="s">
        <v>3316</v>
      </c>
      <c r="B1419" s="38">
        <v>46295</v>
      </c>
      <c r="C1419" s="23" t="s">
        <v>3317</v>
      </c>
      <c r="D1419" s="23" t="s">
        <v>92</v>
      </c>
      <c r="E1419" s="23" t="s">
        <v>75</v>
      </c>
      <c r="F1419" s="23" t="s">
        <v>1490</v>
      </c>
      <c r="G1419" s="23" t="s">
        <v>250</v>
      </c>
      <c r="H1419" s="39">
        <f t="shared" si="88"/>
        <v>10998</v>
      </c>
      <c r="I1419" s="23" t="str">
        <f t="shared" si="89"/>
        <v>Hyderabad</v>
      </c>
      <c r="J1419" s="23">
        <f>COUNTIFS(pg_transaction_cleaned!$O:$O,A1419,pg_transaction_cleaned!$F:$F,"CAPTURE")</f>
        <v>1</v>
      </c>
      <c r="K1419" s="39">
        <f>SUMIFS(pg_transaction_cleaned!$H:$H,pg_transaction_cleaned!$O:$O,A1419,pg_transaction_cleaned!$F:$F,"CAPTURE")</f>
        <v>10998</v>
      </c>
      <c r="L1419" s="23">
        <f>COUNTIFS(pg_transaction_cleaned!$O:$O,A1419,pg_transaction_cleaned!$F:$F,"REFUND")</f>
        <v>0</v>
      </c>
      <c r="M1419" s="39">
        <f>SUMIFS(pg_transaction_cleaned!$H:$H,pg_transaction_cleaned!$O:$O,A1419,pg_transaction_cleaned!$F:$F,"REFUND")</f>
        <v>0</v>
      </c>
      <c r="N1419" s="23" t="str">
        <f t="shared" si="90"/>
        <v>OK</v>
      </c>
      <c r="O1419" s="24">
        <f t="shared" si="91"/>
        <v>0</v>
      </c>
    </row>
    <row r="1420" spans="1:15" ht="15" customHeight="1" x14ac:dyDescent="0.3">
      <c r="A1420" s="23" t="s">
        <v>3318</v>
      </c>
      <c r="B1420" s="38">
        <v>46285</v>
      </c>
      <c r="C1420" s="23" t="s">
        <v>3319</v>
      </c>
      <c r="D1420" s="23" t="s">
        <v>89</v>
      </c>
      <c r="E1420" s="23" t="s">
        <v>75</v>
      </c>
      <c r="F1420" s="23" t="s">
        <v>291</v>
      </c>
      <c r="G1420" s="23" t="s">
        <v>250</v>
      </c>
      <c r="H1420" s="39">
        <f t="shared" si="88"/>
        <v>3499</v>
      </c>
      <c r="I1420" s="23" t="str">
        <f t="shared" si="89"/>
        <v>Jaipur</v>
      </c>
      <c r="J1420" s="23">
        <f>COUNTIFS(pg_transaction_cleaned!$O:$O,A1420,pg_transaction_cleaned!$F:$F,"CAPTURE")</f>
        <v>1</v>
      </c>
      <c r="K1420" s="39">
        <f>SUMIFS(pg_transaction_cleaned!$H:$H,pg_transaction_cleaned!$O:$O,A1420,pg_transaction_cleaned!$F:$F,"CAPTURE")</f>
        <v>3499</v>
      </c>
      <c r="L1420" s="23">
        <f>COUNTIFS(pg_transaction_cleaned!$O:$O,A1420,pg_transaction_cleaned!$F:$F,"REFUND")</f>
        <v>0</v>
      </c>
      <c r="M1420" s="39">
        <f>SUMIFS(pg_transaction_cleaned!$H:$H,pg_transaction_cleaned!$O:$O,A1420,pg_transaction_cleaned!$F:$F,"REFUND")</f>
        <v>0</v>
      </c>
      <c r="N1420" s="23" t="str">
        <f t="shared" si="90"/>
        <v>OK</v>
      </c>
      <c r="O1420" s="24">
        <f t="shared" si="91"/>
        <v>0</v>
      </c>
    </row>
    <row r="1421" spans="1:15" ht="15" customHeight="1" x14ac:dyDescent="0.3">
      <c r="A1421" s="23" t="s">
        <v>3320</v>
      </c>
      <c r="B1421" s="38">
        <v>46267</v>
      </c>
      <c r="C1421" s="23" t="s">
        <v>3321</v>
      </c>
      <c r="D1421" s="23" t="s">
        <v>89</v>
      </c>
      <c r="E1421" s="23" t="s">
        <v>75</v>
      </c>
      <c r="F1421" s="23" t="s">
        <v>315</v>
      </c>
      <c r="G1421" s="23" t="s">
        <v>250</v>
      </c>
      <c r="H1421" s="39">
        <f t="shared" si="88"/>
        <v>1499</v>
      </c>
      <c r="I1421" s="23" t="str">
        <f t="shared" si="89"/>
        <v>Jaipur</v>
      </c>
      <c r="J1421" s="23">
        <f>COUNTIFS(pg_transaction_cleaned!$O:$O,A1421,pg_transaction_cleaned!$F:$F,"CAPTURE")</f>
        <v>1</v>
      </c>
      <c r="K1421" s="39">
        <f>SUMIFS(pg_transaction_cleaned!$H:$H,pg_transaction_cleaned!$O:$O,A1421,pg_transaction_cleaned!$F:$F,"CAPTURE")</f>
        <v>1499</v>
      </c>
      <c r="L1421" s="23">
        <f>COUNTIFS(pg_transaction_cleaned!$O:$O,A1421,pg_transaction_cleaned!$F:$F,"REFUND")</f>
        <v>0</v>
      </c>
      <c r="M1421" s="39">
        <f>SUMIFS(pg_transaction_cleaned!$H:$H,pg_transaction_cleaned!$O:$O,A1421,pg_transaction_cleaned!$F:$F,"REFUND")</f>
        <v>0</v>
      </c>
      <c r="N1421" s="23" t="str">
        <f t="shared" si="90"/>
        <v>OK</v>
      </c>
      <c r="O1421" s="24">
        <f t="shared" si="91"/>
        <v>0</v>
      </c>
    </row>
    <row r="1422" spans="1:15" ht="15" customHeight="1" x14ac:dyDescent="0.3">
      <c r="A1422" s="23" t="s">
        <v>3322</v>
      </c>
      <c r="B1422" s="38">
        <v>46293</v>
      </c>
      <c r="C1422" s="23" t="s">
        <v>3323</v>
      </c>
      <c r="D1422" s="23" t="s">
        <v>95</v>
      </c>
      <c r="E1422" s="23" t="s">
        <v>75</v>
      </c>
      <c r="F1422" s="23" t="s">
        <v>460</v>
      </c>
      <c r="G1422" s="23" t="s">
        <v>318</v>
      </c>
      <c r="H1422" s="39">
        <f t="shared" si="88"/>
        <v>1998</v>
      </c>
      <c r="I1422" s="23" t="str">
        <f t="shared" si="89"/>
        <v>Bengaluru</v>
      </c>
      <c r="J1422" s="23">
        <f>COUNTIFS(pg_transaction_cleaned!$O:$O,A1422,pg_transaction_cleaned!$F:$F,"CAPTURE")</f>
        <v>0</v>
      </c>
      <c r="K1422" s="39">
        <f>SUMIFS(pg_transaction_cleaned!$H:$H,pg_transaction_cleaned!$O:$O,A1422,pg_transaction_cleaned!$F:$F,"CAPTURE")</f>
        <v>0</v>
      </c>
      <c r="L1422" s="23">
        <f>COUNTIFS(pg_transaction_cleaned!$O:$O,A1422,pg_transaction_cleaned!$F:$F,"REFUND")</f>
        <v>0</v>
      </c>
      <c r="M1422" s="39">
        <f>SUMIFS(pg_transaction_cleaned!$H:$H,pg_transaction_cleaned!$O:$O,A1422,pg_transaction_cleaned!$F:$F,"REFUND")</f>
        <v>0</v>
      </c>
      <c r="N1422" s="23" t="str">
        <f t="shared" si="90"/>
        <v>OK</v>
      </c>
      <c r="O1422" s="24">
        <f t="shared" si="91"/>
        <v>0</v>
      </c>
    </row>
    <row r="1423" spans="1:15" ht="15" customHeight="1" x14ac:dyDescent="0.3">
      <c r="A1423" s="23" t="s">
        <v>3324</v>
      </c>
      <c r="B1423" s="38">
        <v>46273</v>
      </c>
      <c r="C1423" s="23" t="s">
        <v>3325</v>
      </c>
      <c r="D1423" s="23" t="s">
        <v>91</v>
      </c>
      <c r="E1423" s="23" t="s">
        <v>79</v>
      </c>
      <c r="F1423" s="23" t="s">
        <v>262</v>
      </c>
      <c r="G1423" s="23" t="s">
        <v>250</v>
      </c>
      <c r="H1423" s="39">
        <f t="shared" si="88"/>
        <v>499</v>
      </c>
      <c r="I1423" s="23" t="str">
        <f t="shared" si="89"/>
        <v>Pune</v>
      </c>
      <c r="J1423" s="23">
        <f>COUNTIFS(pg_transaction_cleaned!$O:$O,A1423,pg_transaction_cleaned!$F:$F,"CAPTURE")</f>
        <v>1</v>
      </c>
      <c r="K1423" s="39">
        <f>SUMIFS(pg_transaction_cleaned!$H:$H,pg_transaction_cleaned!$O:$O,A1423,pg_transaction_cleaned!$F:$F,"CAPTURE")</f>
        <v>499</v>
      </c>
      <c r="L1423" s="23">
        <f>COUNTIFS(pg_transaction_cleaned!$O:$O,A1423,pg_transaction_cleaned!$F:$F,"REFUND")</f>
        <v>0</v>
      </c>
      <c r="M1423" s="39">
        <f>SUMIFS(pg_transaction_cleaned!$H:$H,pg_transaction_cleaned!$O:$O,A1423,pg_transaction_cleaned!$F:$F,"REFUND")</f>
        <v>0</v>
      </c>
      <c r="N1423" s="23" t="str">
        <f t="shared" si="90"/>
        <v>OK</v>
      </c>
      <c r="O1423" s="24">
        <f t="shared" si="91"/>
        <v>0</v>
      </c>
    </row>
    <row r="1424" spans="1:15" ht="15" customHeight="1" x14ac:dyDescent="0.3">
      <c r="A1424" s="23" t="s">
        <v>3326</v>
      </c>
      <c r="B1424" s="38">
        <v>46279</v>
      </c>
      <c r="C1424" s="23" t="s">
        <v>3327</v>
      </c>
      <c r="D1424" s="23" t="s">
        <v>92</v>
      </c>
      <c r="E1424" s="23" t="s">
        <v>79</v>
      </c>
      <c r="F1424" s="23" t="s">
        <v>3328</v>
      </c>
      <c r="G1424" s="23" t="s">
        <v>365</v>
      </c>
      <c r="H1424" s="39">
        <f t="shared" si="88"/>
        <v>1797</v>
      </c>
      <c r="I1424" s="23" t="str">
        <f t="shared" si="89"/>
        <v>Hyderabad</v>
      </c>
      <c r="J1424" s="23">
        <f>COUNTIFS(pg_transaction_cleaned!$O:$O,A1424,pg_transaction_cleaned!$F:$F,"CAPTURE")</f>
        <v>0</v>
      </c>
      <c r="K1424" s="39">
        <f>SUMIFS(pg_transaction_cleaned!$H:$H,pg_transaction_cleaned!$O:$O,A1424,pg_transaction_cleaned!$F:$F,"CAPTURE")</f>
        <v>0</v>
      </c>
      <c r="L1424" s="23">
        <f>COUNTIFS(pg_transaction_cleaned!$O:$O,A1424,pg_transaction_cleaned!$F:$F,"REFUND")</f>
        <v>0</v>
      </c>
      <c r="M1424" s="39">
        <f>SUMIFS(pg_transaction_cleaned!$H:$H,pg_transaction_cleaned!$O:$O,A1424,pg_transaction_cleaned!$F:$F,"REFUND")</f>
        <v>0</v>
      </c>
      <c r="N1424" s="23" t="str">
        <f t="shared" si="90"/>
        <v>OK</v>
      </c>
      <c r="O1424" s="24">
        <f t="shared" si="91"/>
        <v>0</v>
      </c>
    </row>
    <row r="1425" spans="1:15" ht="15" customHeight="1" x14ac:dyDescent="0.3">
      <c r="A1425" s="23" t="s">
        <v>3329</v>
      </c>
      <c r="B1425" s="38">
        <v>46287</v>
      </c>
      <c r="C1425" s="23" t="s">
        <v>3330</v>
      </c>
      <c r="D1425" s="23" t="s">
        <v>90</v>
      </c>
      <c r="E1425" s="23" t="s">
        <v>77</v>
      </c>
      <c r="F1425" s="23" t="s">
        <v>429</v>
      </c>
      <c r="G1425" s="23" t="s">
        <v>250</v>
      </c>
      <c r="H1425" s="39">
        <f t="shared" si="88"/>
        <v>3348</v>
      </c>
      <c r="I1425" s="23" t="str">
        <f t="shared" si="89"/>
        <v>Ahmedabad</v>
      </c>
      <c r="J1425" s="23">
        <f>COUNTIFS(pg_transaction_cleaned!$O:$O,A1425,pg_transaction_cleaned!$F:$F,"CAPTURE")</f>
        <v>1</v>
      </c>
      <c r="K1425" s="39">
        <f>SUMIFS(pg_transaction_cleaned!$H:$H,pg_transaction_cleaned!$O:$O,A1425,pg_transaction_cleaned!$F:$F,"CAPTURE")</f>
        <v>3348</v>
      </c>
      <c r="L1425" s="23">
        <f>COUNTIFS(pg_transaction_cleaned!$O:$O,A1425,pg_transaction_cleaned!$F:$F,"REFUND")</f>
        <v>0</v>
      </c>
      <c r="M1425" s="39">
        <f>SUMIFS(pg_transaction_cleaned!$H:$H,pg_transaction_cleaned!$O:$O,A1425,pg_transaction_cleaned!$F:$F,"REFUND")</f>
        <v>0</v>
      </c>
      <c r="N1425" s="23" t="str">
        <f t="shared" si="90"/>
        <v>OK</v>
      </c>
      <c r="O1425" s="24">
        <f t="shared" si="91"/>
        <v>0</v>
      </c>
    </row>
    <row r="1426" spans="1:15" ht="15" customHeight="1" x14ac:dyDescent="0.3">
      <c r="A1426" s="23" t="s">
        <v>3331</v>
      </c>
      <c r="B1426" s="38">
        <v>46268</v>
      </c>
      <c r="C1426" s="23" t="s">
        <v>3332</v>
      </c>
      <c r="D1426" s="23" t="s">
        <v>91</v>
      </c>
      <c r="E1426" s="23" t="s">
        <v>79</v>
      </c>
      <c r="F1426" s="23" t="s">
        <v>1085</v>
      </c>
      <c r="G1426" s="23" t="s">
        <v>318</v>
      </c>
      <c r="H1426" s="39">
        <f t="shared" si="88"/>
        <v>9597</v>
      </c>
      <c r="I1426" s="23" t="str">
        <f t="shared" si="89"/>
        <v>Pune</v>
      </c>
      <c r="J1426" s="23">
        <f>COUNTIFS(pg_transaction_cleaned!$O:$O,A1426,pg_transaction_cleaned!$F:$F,"CAPTURE")</f>
        <v>0</v>
      </c>
      <c r="K1426" s="39">
        <f>SUMIFS(pg_transaction_cleaned!$H:$H,pg_transaction_cleaned!$O:$O,A1426,pg_transaction_cleaned!$F:$F,"CAPTURE")</f>
        <v>0</v>
      </c>
      <c r="L1426" s="23">
        <f>COUNTIFS(pg_transaction_cleaned!$O:$O,A1426,pg_transaction_cleaned!$F:$F,"REFUND")</f>
        <v>0</v>
      </c>
      <c r="M1426" s="39">
        <f>SUMIFS(pg_transaction_cleaned!$H:$H,pg_transaction_cleaned!$O:$O,A1426,pg_transaction_cleaned!$F:$F,"REFUND")</f>
        <v>0</v>
      </c>
      <c r="N1426" s="23" t="str">
        <f t="shared" si="90"/>
        <v>OK</v>
      </c>
      <c r="O1426" s="24">
        <f t="shared" si="91"/>
        <v>0</v>
      </c>
    </row>
    <row r="1427" spans="1:15" ht="15" customHeight="1" x14ac:dyDescent="0.3">
      <c r="A1427" s="23" t="s">
        <v>3333</v>
      </c>
      <c r="B1427" s="38">
        <v>46286</v>
      </c>
      <c r="C1427" s="23" t="s">
        <v>3334</v>
      </c>
      <c r="D1427" s="23" t="s">
        <v>89</v>
      </c>
      <c r="E1427" s="23" t="s">
        <v>79</v>
      </c>
      <c r="F1427" s="23" t="s">
        <v>268</v>
      </c>
      <c r="G1427" s="23" t="s">
        <v>365</v>
      </c>
      <c r="H1427" s="39">
        <f t="shared" si="88"/>
        <v>1299</v>
      </c>
      <c r="I1427" s="23" t="str">
        <f t="shared" si="89"/>
        <v>Jaipur</v>
      </c>
      <c r="J1427" s="23">
        <f>COUNTIFS(pg_transaction_cleaned!$O:$O,A1427,pg_transaction_cleaned!$F:$F,"CAPTURE")</f>
        <v>0</v>
      </c>
      <c r="K1427" s="39">
        <f>SUMIFS(pg_transaction_cleaned!$H:$H,pg_transaction_cleaned!$O:$O,A1427,pg_transaction_cleaned!$F:$F,"CAPTURE")</f>
        <v>0</v>
      </c>
      <c r="L1427" s="23">
        <f>COUNTIFS(pg_transaction_cleaned!$O:$O,A1427,pg_transaction_cleaned!$F:$F,"REFUND")</f>
        <v>0</v>
      </c>
      <c r="M1427" s="39">
        <f>SUMIFS(pg_transaction_cleaned!$H:$H,pg_transaction_cleaned!$O:$O,A1427,pg_transaction_cleaned!$F:$F,"REFUND")</f>
        <v>0</v>
      </c>
      <c r="N1427" s="23" t="str">
        <f t="shared" si="90"/>
        <v>OK</v>
      </c>
      <c r="O1427" s="24">
        <f t="shared" si="91"/>
        <v>0</v>
      </c>
    </row>
    <row r="1428" spans="1:15" ht="15" customHeight="1" x14ac:dyDescent="0.3">
      <c r="A1428" s="23" t="s">
        <v>3335</v>
      </c>
      <c r="B1428" s="38">
        <v>46293</v>
      </c>
      <c r="C1428" s="23" t="s">
        <v>3336</v>
      </c>
      <c r="D1428" s="23" t="s">
        <v>91</v>
      </c>
      <c r="E1428" s="23" t="s">
        <v>75</v>
      </c>
      <c r="F1428" s="23" t="s">
        <v>598</v>
      </c>
      <c r="G1428" s="23" t="s">
        <v>250</v>
      </c>
      <c r="H1428" s="39">
        <f t="shared" si="88"/>
        <v>5598</v>
      </c>
      <c r="I1428" s="23" t="str">
        <f t="shared" si="89"/>
        <v>Pune</v>
      </c>
      <c r="J1428" s="23">
        <f>COUNTIFS(pg_transaction_cleaned!$O:$O,A1428,pg_transaction_cleaned!$F:$F,"CAPTURE")</f>
        <v>1</v>
      </c>
      <c r="K1428" s="39">
        <f>SUMIFS(pg_transaction_cleaned!$H:$H,pg_transaction_cleaned!$O:$O,A1428,pg_transaction_cleaned!$F:$F,"CAPTURE")</f>
        <v>5598</v>
      </c>
      <c r="L1428" s="23">
        <f>COUNTIFS(pg_transaction_cleaned!$O:$O,A1428,pg_transaction_cleaned!$F:$F,"REFUND")</f>
        <v>0</v>
      </c>
      <c r="M1428" s="39">
        <f>SUMIFS(pg_transaction_cleaned!$H:$H,pg_transaction_cleaned!$O:$O,A1428,pg_transaction_cleaned!$F:$F,"REFUND")</f>
        <v>0</v>
      </c>
      <c r="N1428" s="23" t="str">
        <f t="shared" si="90"/>
        <v>OK</v>
      </c>
      <c r="O1428" s="24">
        <f t="shared" si="91"/>
        <v>0</v>
      </c>
    </row>
    <row r="1429" spans="1:15" ht="15" customHeight="1" x14ac:dyDescent="0.3">
      <c r="A1429" s="23" t="s">
        <v>3337</v>
      </c>
      <c r="B1429" s="38">
        <v>46268</v>
      </c>
      <c r="C1429" s="23" t="s">
        <v>3338</v>
      </c>
      <c r="D1429" s="23" t="s">
        <v>88</v>
      </c>
      <c r="E1429" s="23" t="s">
        <v>75</v>
      </c>
      <c r="F1429" s="23" t="s">
        <v>291</v>
      </c>
      <c r="G1429" s="23" t="s">
        <v>250</v>
      </c>
      <c r="H1429" s="39">
        <f t="shared" si="88"/>
        <v>3499</v>
      </c>
      <c r="I1429" s="23" t="str">
        <f t="shared" si="89"/>
        <v>Lucknow</v>
      </c>
      <c r="J1429" s="23">
        <f>COUNTIFS(pg_transaction_cleaned!$O:$O,A1429,pg_transaction_cleaned!$F:$F,"CAPTURE")</f>
        <v>1</v>
      </c>
      <c r="K1429" s="39">
        <f>SUMIFS(pg_transaction_cleaned!$H:$H,pg_transaction_cleaned!$O:$O,A1429,pg_transaction_cleaned!$F:$F,"CAPTURE")</f>
        <v>3499</v>
      </c>
      <c r="L1429" s="23">
        <f>COUNTIFS(pg_transaction_cleaned!$O:$O,A1429,pg_transaction_cleaned!$F:$F,"REFUND")</f>
        <v>0</v>
      </c>
      <c r="M1429" s="39">
        <f>SUMIFS(pg_transaction_cleaned!$H:$H,pg_transaction_cleaned!$O:$O,A1429,pg_transaction_cleaned!$F:$F,"REFUND")</f>
        <v>0</v>
      </c>
      <c r="N1429" s="23" t="str">
        <f t="shared" si="90"/>
        <v>OK</v>
      </c>
      <c r="O1429" s="24">
        <f t="shared" si="91"/>
        <v>0</v>
      </c>
    </row>
    <row r="1430" spans="1:15" ht="15" customHeight="1" x14ac:dyDescent="0.3">
      <c r="A1430" s="23" t="s">
        <v>3339</v>
      </c>
      <c r="B1430" s="38">
        <v>46277</v>
      </c>
      <c r="C1430" s="23" t="s">
        <v>3340</v>
      </c>
      <c r="D1430" s="23" t="s">
        <v>92</v>
      </c>
      <c r="E1430" s="23" t="s">
        <v>75</v>
      </c>
      <c r="F1430" s="23" t="s">
        <v>310</v>
      </c>
      <c r="G1430" s="23" t="s">
        <v>250</v>
      </c>
      <c r="H1430" s="39">
        <f t="shared" si="88"/>
        <v>7999</v>
      </c>
      <c r="I1430" s="23" t="str">
        <f t="shared" si="89"/>
        <v>Hyderabad</v>
      </c>
      <c r="J1430" s="23">
        <f>COUNTIFS(pg_transaction_cleaned!$O:$O,A1430,pg_transaction_cleaned!$F:$F,"CAPTURE")</f>
        <v>1</v>
      </c>
      <c r="K1430" s="39">
        <f>SUMIFS(pg_transaction_cleaned!$H:$H,pg_transaction_cleaned!$O:$O,A1430,pg_transaction_cleaned!$F:$F,"CAPTURE")</f>
        <v>7999</v>
      </c>
      <c r="L1430" s="23">
        <f>COUNTIFS(pg_transaction_cleaned!$O:$O,A1430,pg_transaction_cleaned!$F:$F,"REFUND")</f>
        <v>0</v>
      </c>
      <c r="M1430" s="39">
        <f>SUMIFS(pg_transaction_cleaned!$H:$H,pg_transaction_cleaned!$O:$O,A1430,pg_transaction_cleaned!$F:$F,"REFUND")</f>
        <v>0</v>
      </c>
      <c r="N1430" s="23" t="str">
        <f t="shared" si="90"/>
        <v>OK</v>
      </c>
      <c r="O1430" s="24">
        <f t="shared" si="91"/>
        <v>0</v>
      </c>
    </row>
    <row r="1431" spans="1:15" ht="15" customHeight="1" x14ac:dyDescent="0.3">
      <c r="A1431" s="23" t="s">
        <v>3341</v>
      </c>
      <c r="B1431" s="38">
        <v>46267</v>
      </c>
      <c r="C1431" s="23" t="s">
        <v>3342</v>
      </c>
      <c r="D1431" s="23" t="s">
        <v>94</v>
      </c>
      <c r="E1431" s="23" t="s">
        <v>77</v>
      </c>
      <c r="F1431" s="23" t="s">
        <v>963</v>
      </c>
      <c r="G1431" s="23" t="s">
        <v>250</v>
      </c>
      <c r="H1431" s="39">
        <f t="shared" si="88"/>
        <v>2398</v>
      </c>
      <c r="I1431" s="23" t="str">
        <f t="shared" si="89"/>
        <v>Chennai</v>
      </c>
      <c r="J1431" s="23">
        <f>COUNTIFS(pg_transaction_cleaned!$O:$O,A1431,pg_transaction_cleaned!$F:$F,"CAPTURE")</f>
        <v>1</v>
      </c>
      <c r="K1431" s="39">
        <f>SUMIFS(pg_transaction_cleaned!$H:$H,pg_transaction_cleaned!$O:$O,A1431,pg_transaction_cleaned!$F:$F,"CAPTURE")</f>
        <v>2398</v>
      </c>
      <c r="L1431" s="23">
        <f>COUNTIFS(pg_transaction_cleaned!$O:$O,A1431,pg_transaction_cleaned!$F:$F,"REFUND")</f>
        <v>0</v>
      </c>
      <c r="M1431" s="39">
        <f>SUMIFS(pg_transaction_cleaned!$H:$H,pg_transaction_cleaned!$O:$O,A1431,pg_transaction_cleaned!$F:$F,"REFUND")</f>
        <v>0</v>
      </c>
      <c r="N1431" s="23" t="str">
        <f t="shared" si="90"/>
        <v>OK</v>
      </c>
      <c r="O1431" s="24">
        <f t="shared" si="91"/>
        <v>0</v>
      </c>
    </row>
    <row r="1432" spans="1:15" ht="15" customHeight="1" x14ac:dyDescent="0.3">
      <c r="A1432" s="23" t="s">
        <v>3343</v>
      </c>
      <c r="B1432" s="38">
        <v>46291</v>
      </c>
      <c r="C1432" s="23" t="s">
        <v>450</v>
      </c>
      <c r="D1432" s="23" t="s">
        <v>93</v>
      </c>
      <c r="E1432" s="23" t="s">
        <v>79</v>
      </c>
      <c r="F1432" s="23" t="s">
        <v>1206</v>
      </c>
      <c r="G1432" s="23" t="s">
        <v>250</v>
      </c>
      <c r="H1432" s="39">
        <f t="shared" si="88"/>
        <v>7297</v>
      </c>
      <c r="I1432" s="23" t="str">
        <f t="shared" si="89"/>
        <v>Kolkata</v>
      </c>
      <c r="J1432" s="23">
        <f>COUNTIFS(pg_transaction_cleaned!$O:$O,A1432,pg_transaction_cleaned!$F:$F,"CAPTURE")</f>
        <v>1</v>
      </c>
      <c r="K1432" s="39">
        <f>SUMIFS(pg_transaction_cleaned!$H:$H,pg_transaction_cleaned!$O:$O,A1432,pg_transaction_cleaned!$F:$F,"CAPTURE")</f>
        <v>7297</v>
      </c>
      <c r="L1432" s="23">
        <f>COUNTIFS(pg_transaction_cleaned!$O:$O,A1432,pg_transaction_cleaned!$F:$F,"REFUND")</f>
        <v>0</v>
      </c>
      <c r="M1432" s="39">
        <f>SUMIFS(pg_transaction_cleaned!$H:$H,pg_transaction_cleaned!$O:$O,A1432,pg_transaction_cleaned!$F:$F,"REFUND")</f>
        <v>0</v>
      </c>
      <c r="N1432" s="23" t="str">
        <f t="shared" si="90"/>
        <v>OK</v>
      </c>
      <c r="O1432" s="24">
        <f t="shared" si="91"/>
        <v>0</v>
      </c>
    </row>
    <row r="1433" spans="1:15" ht="15" customHeight="1" x14ac:dyDescent="0.3">
      <c r="A1433" s="23" t="s">
        <v>3344</v>
      </c>
      <c r="B1433" s="38">
        <v>46266</v>
      </c>
      <c r="C1433" s="23" t="s">
        <v>3345</v>
      </c>
      <c r="D1433" s="23" t="s">
        <v>95</v>
      </c>
      <c r="E1433" s="23" t="s">
        <v>81</v>
      </c>
      <c r="F1433" s="23" t="s">
        <v>343</v>
      </c>
      <c r="G1433" s="23" t="s">
        <v>250</v>
      </c>
      <c r="H1433" s="39">
        <f t="shared" si="88"/>
        <v>9498</v>
      </c>
      <c r="I1433" s="23" t="str">
        <f t="shared" si="89"/>
        <v>Bengaluru</v>
      </c>
      <c r="J1433" s="23">
        <f>COUNTIFS(pg_transaction_cleaned!$O:$O,A1433,pg_transaction_cleaned!$F:$F,"CAPTURE")</f>
        <v>1</v>
      </c>
      <c r="K1433" s="39">
        <f>SUMIFS(pg_transaction_cleaned!$H:$H,pg_transaction_cleaned!$O:$O,A1433,pg_transaction_cleaned!$F:$F,"CAPTURE")</f>
        <v>9498</v>
      </c>
      <c r="L1433" s="23">
        <f>COUNTIFS(pg_transaction_cleaned!$O:$O,A1433,pg_transaction_cleaned!$F:$F,"REFUND")</f>
        <v>0</v>
      </c>
      <c r="M1433" s="39">
        <f>SUMIFS(pg_transaction_cleaned!$H:$H,pg_transaction_cleaned!$O:$O,A1433,pg_transaction_cleaned!$F:$F,"REFUND")</f>
        <v>0</v>
      </c>
      <c r="N1433" s="23" t="str">
        <f t="shared" si="90"/>
        <v>OK</v>
      </c>
      <c r="O1433" s="24">
        <f t="shared" si="91"/>
        <v>0</v>
      </c>
    </row>
    <row r="1434" spans="1:15" ht="15" customHeight="1" x14ac:dyDescent="0.3">
      <c r="A1434" s="23" t="s">
        <v>3346</v>
      </c>
      <c r="B1434" s="38">
        <v>46281</v>
      </c>
      <c r="C1434" s="23" t="s">
        <v>3347</v>
      </c>
      <c r="D1434" s="23" t="s">
        <v>88</v>
      </c>
      <c r="E1434" s="23" t="s">
        <v>79</v>
      </c>
      <c r="F1434" s="23" t="s">
        <v>3066</v>
      </c>
      <c r="G1434" s="23" t="s">
        <v>250</v>
      </c>
      <c r="H1434" s="39">
        <f t="shared" si="88"/>
        <v>4497</v>
      </c>
      <c r="I1434" s="23" t="str">
        <f t="shared" si="89"/>
        <v>Lucknow</v>
      </c>
      <c r="J1434" s="23">
        <f>COUNTIFS(pg_transaction_cleaned!$O:$O,A1434,pg_transaction_cleaned!$F:$F,"CAPTURE")</f>
        <v>1</v>
      </c>
      <c r="K1434" s="39">
        <f>SUMIFS(pg_transaction_cleaned!$H:$H,pg_transaction_cleaned!$O:$O,A1434,pg_transaction_cleaned!$F:$F,"CAPTURE")</f>
        <v>4497</v>
      </c>
      <c r="L1434" s="23">
        <f>COUNTIFS(pg_transaction_cleaned!$O:$O,A1434,pg_transaction_cleaned!$F:$F,"REFUND")</f>
        <v>0</v>
      </c>
      <c r="M1434" s="39">
        <f>SUMIFS(pg_transaction_cleaned!$H:$H,pg_transaction_cleaned!$O:$O,A1434,pg_transaction_cleaned!$F:$F,"REFUND")</f>
        <v>0</v>
      </c>
      <c r="N1434" s="23" t="str">
        <f t="shared" si="90"/>
        <v>OK</v>
      </c>
      <c r="O1434" s="24">
        <f t="shared" si="91"/>
        <v>0</v>
      </c>
    </row>
    <row r="1435" spans="1:15" ht="15" customHeight="1" x14ac:dyDescent="0.3">
      <c r="A1435" s="23" t="s">
        <v>3348</v>
      </c>
      <c r="B1435" s="38">
        <v>46276</v>
      </c>
      <c r="C1435" s="23" t="s">
        <v>3349</v>
      </c>
      <c r="D1435" s="23" t="s">
        <v>90</v>
      </c>
      <c r="E1435" s="23" t="s">
        <v>75</v>
      </c>
      <c r="F1435" s="23" t="s">
        <v>294</v>
      </c>
      <c r="G1435" s="23" t="s">
        <v>301</v>
      </c>
      <c r="H1435" s="39">
        <f t="shared" si="88"/>
        <v>1799</v>
      </c>
      <c r="I1435" s="23" t="str">
        <f t="shared" si="89"/>
        <v>Ahmedabad</v>
      </c>
      <c r="J1435" s="23">
        <f>COUNTIFS(pg_transaction_cleaned!$O:$O,A1435,pg_transaction_cleaned!$F:$F,"CAPTURE")</f>
        <v>1</v>
      </c>
      <c r="K1435" s="39">
        <f>SUMIFS(pg_transaction_cleaned!$H:$H,pg_transaction_cleaned!$O:$O,A1435,pg_transaction_cleaned!$F:$F,"CAPTURE")</f>
        <v>1799</v>
      </c>
      <c r="L1435" s="23">
        <f>COUNTIFS(pg_transaction_cleaned!$O:$O,A1435,pg_transaction_cleaned!$F:$F,"REFUND")</f>
        <v>1</v>
      </c>
      <c r="M1435" s="39">
        <f>SUMIFS(pg_transaction_cleaned!$H:$H,pg_transaction_cleaned!$O:$O,A1435,pg_transaction_cleaned!$F:$F,"REFUND")</f>
        <v>1799</v>
      </c>
      <c r="N1435" s="23" t="str">
        <f t="shared" si="90"/>
        <v>OK</v>
      </c>
      <c r="O1435" s="24">
        <f t="shared" si="91"/>
        <v>0</v>
      </c>
    </row>
    <row r="1436" spans="1:15" ht="15" customHeight="1" x14ac:dyDescent="0.3">
      <c r="A1436" s="23" t="s">
        <v>3350</v>
      </c>
      <c r="B1436" s="38">
        <v>46286</v>
      </c>
      <c r="C1436" s="23" t="s">
        <v>3351</v>
      </c>
      <c r="D1436" s="23" t="s">
        <v>94</v>
      </c>
      <c r="E1436" s="23" t="s">
        <v>77</v>
      </c>
      <c r="F1436" s="23" t="s">
        <v>315</v>
      </c>
      <c r="G1436" s="23" t="s">
        <v>250</v>
      </c>
      <c r="H1436" s="39">
        <f t="shared" si="88"/>
        <v>1499</v>
      </c>
      <c r="I1436" s="23" t="str">
        <f t="shared" si="89"/>
        <v>Chennai</v>
      </c>
      <c r="J1436" s="23">
        <f>COUNTIFS(pg_transaction_cleaned!$O:$O,A1436,pg_transaction_cleaned!$F:$F,"CAPTURE")</f>
        <v>1</v>
      </c>
      <c r="K1436" s="39">
        <f>SUMIFS(pg_transaction_cleaned!$H:$H,pg_transaction_cleaned!$O:$O,A1436,pg_transaction_cleaned!$F:$F,"CAPTURE")</f>
        <v>1499</v>
      </c>
      <c r="L1436" s="23">
        <f>COUNTIFS(pg_transaction_cleaned!$O:$O,A1436,pg_transaction_cleaned!$F:$F,"REFUND")</f>
        <v>0</v>
      </c>
      <c r="M1436" s="39">
        <f>SUMIFS(pg_transaction_cleaned!$H:$H,pg_transaction_cleaned!$O:$O,A1436,pg_transaction_cleaned!$F:$F,"REFUND")</f>
        <v>0</v>
      </c>
      <c r="N1436" s="23" t="str">
        <f t="shared" si="90"/>
        <v>OK</v>
      </c>
      <c r="O1436" s="24">
        <f t="shared" si="91"/>
        <v>0</v>
      </c>
    </row>
    <row r="1437" spans="1:15" ht="15" customHeight="1" x14ac:dyDescent="0.3">
      <c r="A1437" s="23" t="s">
        <v>3352</v>
      </c>
      <c r="B1437" s="38">
        <v>46270</v>
      </c>
      <c r="C1437" s="23" t="s">
        <v>3353</v>
      </c>
      <c r="D1437" s="23" t="s">
        <v>86</v>
      </c>
      <c r="E1437" s="23" t="s">
        <v>75</v>
      </c>
      <c r="F1437" s="23" t="s">
        <v>3354</v>
      </c>
      <c r="G1437" s="23" t="s">
        <v>318</v>
      </c>
      <c r="H1437" s="39">
        <f t="shared" si="88"/>
        <v>12097</v>
      </c>
      <c r="I1437" s="23" t="str">
        <f t="shared" si="89"/>
        <v>Delhi</v>
      </c>
      <c r="J1437" s="23">
        <f>COUNTIFS(pg_transaction_cleaned!$O:$O,A1437,pg_transaction_cleaned!$F:$F,"CAPTURE")</f>
        <v>0</v>
      </c>
      <c r="K1437" s="39">
        <f>SUMIFS(pg_transaction_cleaned!$H:$H,pg_transaction_cleaned!$O:$O,A1437,pg_transaction_cleaned!$F:$F,"CAPTURE")</f>
        <v>0</v>
      </c>
      <c r="L1437" s="23">
        <f>COUNTIFS(pg_transaction_cleaned!$O:$O,A1437,pg_transaction_cleaned!$F:$F,"REFUND")</f>
        <v>0</v>
      </c>
      <c r="M1437" s="39">
        <f>SUMIFS(pg_transaction_cleaned!$H:$H,pg_transaction_cleaned!$O:$O,A1437,pg_transaction_cleaned!$F:$F,"REFUND")</f>
        <v>0</v>
      </c>
      <c r="N1437" s="23" t="str">
        <f t="shared" si="90"/>
        <v>OK</v>
      </c>
      <c r="O1437" s="24">
        <f t="shared" si="91"/>
        <v>0</v>
      </c>
    </row>
    <row r="1438" spans="1:15" ht="15" customHeight="1" x14ac:dyDescent="0.3">
      <c r="A1438" s="23" t="s">
        <v>3355</v>
      </c>
      <c r="B1438" s="38">
        <v>46293</v>
      </c>
      <c r="C1438" s="23" t="s">
        <v>3356</v>
      </c>
      <c r="D1438" s="23" t="s">
        <v>87</v>
      </c>
      <c r="E1438" s="23" t="s">
        <v>81</v>
      </c>
      <c r="F1438" s="23" t="s">
        <v>772</v>
      </c>
      <c r="G1438" s="23" t="s">
        <v>250</v>
      </c>
      <c r="H1438" s="39">
        <f t="shared" si="88"/>
        <v>4798</v>
      </c>
      <c r="I1438" s="23" t="str">
        <f t="shared" si="89"/>
        <v>Mumbai</v>
      </c>
      <c r="J1438" s="23">
        <f>COUNTIFS(pg_transaction_cleaned!$O:$O,A1438,pg_transaction_cleaned!$F:$F,"CAPTURE")</f>
        <v>1</v>
      </c>
      <c r="K1438" s="39">
        <f>SUMIFS(pg_transaction_cleaned!$H:$H,pg_transaction_cleaned!$O:$O,A1438,pg_transaction_cleaned!$F:$F,"CAPTURE")</f>
        <v>4798</v>
      </c>
      <c r="L1438" s="23">
        <f>COUNTIFS(pg_transaction_cleaned!$O:$O,A1438,pg_transaction_cleaned!$F:$F,"REFUND")</f>
        <v>0</v>
      </c>
      <c r="M1438" s="39">
        <f>SUMIFS(pg_transaction_cleaned!$H:$H,pg_transaction_cleaned!$O:$O,A1438,pg_transaction_cleaned!$F:$F,"REFUND")</f>
        <v>0</v>
      </c>
      <c r="N1438" s="23" t="str">
        <f t="shared" si="90"/>
        <v>OK</v>
      </c>
      <c r="O1438" s="24">
        <f t="shared" si="91"/>
        <v>0</v>
      </c>
    </row>
    <row r="1439" spans="1:15" ht="15" customHeight="1" x14ac:dyDescent="0.3">
      <c r="A1439" s="23" t="s">
        <v>3357</v>
      </c>
      <c r="B1439" s="38">
        <v>46283</v>
      </c>
      <c r="C1439" s="23" t="s">
        <v>3358</v>
      </c>
      <c r="D1439" s="23" t="s">
        <v>93</v>
      </c>
      <c r="E1439" s="23" t="s">
        <v>77</v>
      </c>
      <c r="F1439" s="23" t="s">
        <v>880</v>
      </c>
      <c r="G1439" s="23" t="s">
        <v>250</v>
      </c>
      <c r="H1439" s="39">
        <f t="shared" si="88"/>
        <v>2298</v>
      </c>
      <c r="I1439" s="23" t="str">
        <f t="shared" si="89"/>
        <v>Kolkata</v>
      </c>
      <c r="J1439" s="23">
        <f>COUNTIFS(pg_transaction_cleaned!$O:$O,A1439,pg_transaction_cleaned!$F:$F,"CAPTURE")</f>
        <v>1</v>
      </c>
      <c r="K1439" s="39">
        <f>SUMIFS(pg_transaction_cleaned!$H:$H,pg_transaction_cleaned!$O:$O,A1439,pg_transaction_cleaned!$F:$F,"CAPTURE")</f>
        <v>2298</v>
      </c>
      <c r="L1439" s="23">
        <f>COUNTIFS(pg_transaction_cleaned!$O:$O,A1439,pg_transaction_cleaned!$F:$F,"REFUND")</f>
        <v>0</v>
      </c>
      <c r="M1439" s="39">
        <f>SUMIFS(pg_transaction_cleaned!$H:$H,pg_transaction_cleaned!$O:$O,A1439,pg_transaction_cleaned!$F:$F,"REFUND")</f>
        <v>0</v>
      </c>
      <c r="N1439" s="23" t="str">
        <f t="shared" si="90"/>
        <v>OK</v>
      </c>
      <c r="O1439" s="24">
        <f t="shared" si="91"/>
        <v>0</v>
      </c>
    </row>
    <row r="1440" spans="1:15" ht="15" customHeight="1" x14ac:dyDescent="0.3">
      <c r="A1440" s="23" t="s">
        <v>3359</v>
      </c>
      <c r="B1440" s="38">
        <v>46268</v>
      </c>
      <c r="C1440" s="23" t="s">
        <v>3360</v>
      </c>
      <c r="D1440" s="23" t="s">
        <v>93</v>
      </c>
      <c r="E1440" s="23" t="s">
        <v>77</v>
      </c>
      <c r="F1440" s="23" t="s">
        <v>712</v>
      </c>
      <c r="G1440" s="23" t="s">
        <v>250</v>
      </c>
      <c r="H1440" s="39">
        <f t="shared" si="88"/>
        <v>4298</v>
      </c>
      <c r="I1440" s="23" t="str">
        <f t="shared" si="89"/>
        <v>Kolkata</v>
      </c>
      <c r="J1440" s="23">
        <f>COUNTIFS(pg_transaction_cleaned!$O:$O,A1440,pg_transaction_cleaned!$F:$F,"CAPTURE")</f>
        <v>1</v>
      </c>
      <c r="K1440" s="39">
        <f>SUMIFS(pg_transaction_cleaned!$H:$H,pg_transaction_cleaned!$O:$O,A1440,pg_transaction_cleaned!$F:$F,"CAPTURE")</f>
        <v>4298</v>
      </c>
      <c r="L1440" s="23">
        <f>COUNTIFS(pg_transaction_cleaned!$O:$O,A1440,pg_transaction_cleaned!$F:$F,"REFUND")</f>
        <v>0</v>
      </c>
      <c r="M1440" s="39">
        <f>SUMIFS(pg_transaction_cleaned!$H:$H,pg_transaction_cleaned!$O:$O,A1440,pg_transaction_cleaned!$F:$F,"REFUND")</f>
        <v>0</v>
      </c>
      <c r="N1440" s="23" t="str">
        <f t="shared" si="90"/>
        <v>OK</v>
      </c>
      <c r="O1440" s="24">
        <f t="shared" si="91"/>
        <v>0</v>
      </c>
    </row>
    <row r="1441" spans="1:15" ht="15" customHeight="1" x14ac:dyDescent="0.3">
      <c r="A1441" s="23" t="s">
        <v>3361</v>
      </c>
      <c r="B1441" s="38">
        <v>46269</v>
      </c>
      <c r="C1441" s="23" t="s">
        <v>3362</v>
      </c>
      <c r="D1441" s="23" t="s">
        <v>92</v>
      </c>
      <c r="E1441" s="23" t="s">
        <v>79</v>
      </c>
      <c r="F1441" s="23" t="s">
        <v>265</v>
      </c>
      <c r="G1441" s="23" t="s">
        <v>250</v>
      </c>
      <c r="H1441" s="39">
        <f t="shared" si="88"/>
        <v>999</v>
      </c>
      <c r="I1441" s="23" t="str">
        <f t="shared" si="89"/>
        <v>Hyderabad</v>
      </c>
      <c r="J1441" s="23">
        <f>COUNTIFS(pg_transaction_cleaned!$O:$O,A1441,pg_transaction_cleaned!$F:$F,"CAPTURE")</f>
        <v>1</v>
      </c>
      <c r="K1441" s="39">
        <f>SUMIFS(pg_transaction_cleaned!$H:$H,pg_transaction_cleaned!$O:$O,A1441,pg_transaction_cleaned!$F:$F,"CAPTURE")</f>
        <v>999</v>
      </c>
      <c r="L1441" s="23">
        <f>COUNTIFS(pg_transaction_cleaned!$O:$O,A1441,pg_transaction_cleaned!$F:$F,"REFUND")</f>
        <v>0</v>
      </c>
      <c r="M1441" s="39">
        <f>SUMIFS(pg_transaction_cleaned!$H:$H,pg_transaction_cleaned!$O:$O,A1441,pg_transaction_cleaned!$F:$F,"REFUND")</f>
        <v>0</v>
      </c>
      <c r="N1441" s="23" t="str">
        <f t="shared" si="90"/>
        <v>OK</v>
      </c>
      <c r="O1441" s="24">
        <f t="shared" si="91"/>
        <v>0</v>
      </c>
    </row>
    <row r="1442" spans="1:15" ht="15" customHeight="1" x14ac:dyDescent="0.3">
      <c r="A1442" s="23" t="s">
        <v>3363</v>
      </c>
      <c r="B1442" s="38">
        <v>46280</v>
      </c>
      <c r="C1442" s="23" t="s">
        <v>3364</v>
      </c>
      <c r="D1442" s="23" t="s">
        <v>95</v>
      </c>
      <c r="E1442" s="23" t="s">
        <v>75</v>
      </c>
      <c r="F1442" s="23" t="s">
        <v>3365</v>
      </c>
      <c r="G1442" s="23" t="s">
        <v>250</v>
      </c>
      <c r="H1442" s="39">
        <f t="shared" si="88"/>
        <v>3497</v>
      </c>
      <c r="I1442" s="23" t="str">
        <f t="shared" si="89"/>
        <v>Bengaluru</v>
      </c>
      <c r="J1442" s="23">
        <f>COUNTIFS(pg_transaction_cleaned!$O:$O,A1442,pg_transaction_cleaned!$F:$F,"CAPTURE")</f>
        <v>1</v>
      </c>
      <c r="K1442" s="39">
        <f>SUMIFS(pg_transaction_cleaned!$H:$H,pg_transaction_cleaned!$O:$O,A1442,pg_transaction_cleaned!$F:$F,"CAPTURE")</f>
        <v>3497</v>
      </c>
      <c r="L1442" s="23">
        <f>COUNTIFS(pg_transaction_cleaned!$O:$O,A1442,pg_transaction_cleaned!$F:$F,"REFUND")</f>
        <v>0</v>
      </c>
      <c r="M1442" s="39">
        <f>SUMIFS(pg_transaction_cleaned!$H:$H,pg_transaction_cleaned!$O:$O,A1442,pg_transaction_cleaned!$F:$F,"REFUND")</f>
        <v>0</v>
      </c>
      <c r="N1442" s="23" t="str">
        <f t="shared" si="90"/>
        <v>OK</v>
      </c>
      <c r="O1442" s="24">
        <f t="shared" si="91"/>
        <v>0</v>
      </c>
    </row>
    <row r="1443" spans="1:15" ht="15" customHeight="1" x14ac:dyDescent="0.3">
      <c r="A1443" s="23" t="s">
        <v>3366</v>
      </c>
      <c r="B1443" s="38">
        <v>46272</v>
      </c>
      <c r="C1443" s="23" t="s">
        <v>3367</v>
      </c>
      <c r="D1443" s="23" t="s">
        <v>91</v>
      </c>
      <c r="E1443" s="23" t="s">
        <v>79</v>
      </c>
      <c r="F1443" s="23" t="s">
        <v>834</v>
      </c>
      <c r="G1443" s="23" t="s">
        <v>250</v>
      </c>
      <c r="H1443" s="39">
        <f t="shared" si="88"/>
        <v>7097</v>
      </c>
      <c r="I1443" s="23" t="str">
        <f t="shared" si="89"/>
        <v>Pune</v>
      </c>
      <c r="J1443" s="23">
        <f>COUNTIFS(pg_transaction_cleaned!$O:$O,A1443,pg_transaction_cleaned!$F:$F,"CAPTURE")</f>
        <v>1</v>
      </c>
      <c r="K1443" s="39">
        <f>SUMIFS(pg_transaction_cleaned!$H:$H,pg_transaction_cleaned!$O:$O,A1443,pg_transaction_cleaned!$F:$F,"CAPTURE")</f>
        <v>7097</v>
      </c>
      <c r="L1443" s="23">
        <f>COUNTIFS(pg_transaction_cleaned!$O:$O,A1443,pg_transaction_cleaned!$F:$F,"REFUND")</f>
        <v>0</v>
      </c>
      <c r="M1443" s="39">
        <f>SUMIFS(pg_transaction_cleaned!$H:$H,pg_transaction_cleaned!$O:$O,A1443,pg_transaction_cleaned!$F:$F,"REFUND")</f>
        <v>0</v>
      </c>
      <c r="N1443" s="23" t="str">
        <f t="shared" si="90"/>
        <v>OK</v>
      </c>
      <c r="O1443" s="24">
        <f t="shared" si="91"/>
        <v>0</v>
      </c>
    </row>
    <row r="1444" spans="1:15" ht="15" customHeight="1" x14ac:dyDescent="0.3">
      <c r="A1444" s="23" t="s">
        <v>3368</v>
      </c>
      <c r="B1444" s="38">
        <v>46287</v>
      </c>
      <c r="C1444" s="23" t="s">
        <v>3369</v>
      </c>
      <c r="D1444" s="23" t="s">
        <v>87</v>
      </c>
      <c r="E1444" s="23" t="s">
        <v>75</v>
      </c>
      <c r="F1444" s="23" t="s">
        <v>268</v>
      </c>
      <c r="G1444" s="23" t="s">
        <v>318</v>
      </c>
      <c r="H1444" s="39">
        <f t="shared" si="88"/>
        <v>1299</v>
      </c>
      <c r="I1444" s="23" t="str">
        <f t="shared" si="89"/>
        <v>Mumbai</v>
      </c>
      <c r="J1444" s="23">
        <f>COUNTIFS(pg_transaction_cleaned!$O:$O,A1444,pg_transaction_cleaned!$F:$F,"CAPTURE")</f>
        <v>0</v>
      </c>
      <c r="K1444" s="39">
        <f>SUMIFS(pg_transaction_cleaned!$H:$H,pg_transaction_cleaned!$O:$O,A1444,pg_transaction_cleaned!$F:$F,"CAPTURE")</f>
        <v>0</v>
      </c>
      <c r="L1444" s="23">
        <f>COUNTIFS(pg_transaction_cleaned!$O:$O,A1444,pg_transaction_cleaned!$F:$F,"REFUND")</f>
        <v>0</v>
      </c>
      <c r="M1444" s="39">
        <f>SUMIFS(pg_transaction_cleaned!$H:$H,pg_transaction_cleaned!$O:$O,A1444,pg_transaction_cleaned!$F:$F,"REFUND")</f>
        <v>0</v>
      </c>
      <c r="N1444" s="23" t="str">
        <f t="shared" si="90"/>
        <v>OK</v>
      </c>
      <c r="O1444" s="24">
        <f t="shared" si="91"/>
        <v>0</v>
      </c>
    </row>
    <row r="1445" spans="1:15" ht="15" customHeight="1" x14ac:dyDescent="0.3">
      <c r="A1445" s="23" t="s">
        <v>3370</v>
      </c>
      <c r="B1445" s="38">
        <v>46269</v>
      </c>
      <c r="C1445" s="23" t="s">
        <v>3371</v>
      </c>
      <c r="D1445" s="23" t="s">
        <v>94</v>
      </c>
      <c r="E1445" s="23" t="s">
        <v>75</v>
      </c>
      <c r="F1445" s="23" t="s">
        <v>315</v>
      </c>
      <c r="G1445" s="23" t="s">
        <v>250</v>
      </c>
      <c r="H1445" s="39">
        <f t="shared" si="88"/>
        <v>1499</v>
      </c>
      <c r="I1445" s="23" t="str">
        <f t="shared" si="89"/>
        <v>Chennai</v>
      </c>
      <c r="J1445" s="23">
        <f>COUNTIFS(pg_transaction_cleaned!$O:$O,A1445,pg_transaction_cleaned!$F:$F,"CAPTURE")</f>
        <v>1</v>
      </c>
      <c r="K1445" s="39">
        <f>SUMIFS(pg_transaction_cleaned!$H:$H,pg_transaction_cleaned!$O:$O,A1445,pg_transaction_cleaned!$F:$F,"CAPTURE")</f>
        <v>1499</v>
      </c>
      <c r="L1445" s="23">
        <f>COUNTIFS(pg_transaction_cleaned!$O:$O,A1445,pg_transaction_cleaned!$F:$F,"REFUND")</f>
        <v>0</v>
      </c>
      <c r="M1445" s="39">
        <f>SUMIFS(pg_transaction_cleaned!$H:$H,pg_transaction_cleaned!$O:$O,A1445,pg_transaction_cleaned!$F:$F,"REFUND")</f>
        <v>0</v>
      </c>
      <c r="N1445" s="23" t="str">
        <f t="shared" si="90"/>
        <v>OK</v>
      </c>
      <c r="O1445" s="24">
        <f t="shared" si="91"/>
        <v>0</v>
      </c>
    </row>
    <row r="1446" spans="1:15" ht="15" customHeight="1" x14ac:dyDescent="0.3">
      <c r="A1446" s="23" t="s">
        <v>3372</v>
      </c>
      <c r="B1446" s="38">
        <v>46284</v>
      </c>
      <c r="C1446" s="23" t="s">
        <v>3373</v>
      </c>
      <c r="D1446" s="23" t="s">
        <v>95</v>
      </c>
      <c r="E1446" s="23" t="s">
        <v>75</v>
      </c>
      <c r="F1446" s="23" t="s">
        <v>1193</v>
      </c>
      <c r="G1446" s="23" t="s">
        <v>250</v>
      </c>
      <c r="H1446" s="39">
        <f t="shared" si="88"/>
        <v>3498</v>
      </c>
      <c r="I1446" s="23" t="str">
        <f t="shared" si="89"/>
        <v>Bengaluru</v>
      </c>
      <c r="J1446" s="23">
        <f>COUNTIFS(pg_transaction_cleaned!$O:$O,A1446,pg_transaction_cleaned!$F:$F,"CAPTURE")</f>
        <v>1</v>
      </c>
      <c r="K1446" s="39">
        <f>SUMIFS(pg_transaction_cleaned!$H:$H,pg_transaction_cleaned!$O:$O,A1446,pg_transaction_cleaned!$F:$F,"CAPTURE")</f>
        <v>3498</v>
      </c>
      <c r="L1446" s="23">
        <f>COUNTIFS(pg_transaction_cleaned!$O:$O,A1446,pg_transaction_cleaned!$F:$F,"REFUND")</f>
        <v>0</v>
      </c>
      <c r="M1446" s="39">
        <f>SUMIFS(pg_transaction_cleaned!$H:$H,pg_transaction_cleaned!$O:$O,A1446,pg_transaction_cleaned!$F:$F,"REFUND")</f>
        <v>0</v>
      </c>
      <c r="N1446" s="23" t="str">
        <f t="shared" si="90"/>
        <v>OK</v>
      </c>
      <c r="O1446" s="24">
        <f t="shared" si="91"/>
        <v>0</v>
      </c>
    </row>
    <row r="1447" spans="1:15" ht="15" customHeight="1" x14ac:dyDescent="0.3">
      <c r="A1447" s="23" t="s">
        <v>3374</v>
      </c>
      <c r="B1447" s="38">
        <v>46278</v>
      </c>
      <c r="C1447" s="23" t="s">
        <v>3375</v>
      </c>
      <c r="D1447" s="23" t="s">
        <v>91</v>
      </c>
      <c r="E1447" s="23" t="s">
        <v>75</v>
      </c>
      <c r="F1447" s="23" t="s">
        <v>712</v>
      </c>
      <c r="G1447" s="23" t="s">
        <v>250</v>
      </c>
      <c r="H1447" s="39">
        <f t="shared" si="88"/>
        <v>4298</v>
      </c>
      <c r="I1447" s="23" t="str">
        <f t="shared" si="89"/>
        <v>Pune</v>
      </c>
      <c r="J1447" s="23">
        <f>COUNTIFS(pg_transaction_cleaned!$O:$O,A1447,pg_transaction_cleaned!$F:$F,"CAPTURE")</f>
        <v>1</v>
      </c>
      <c r="K1447" s="39">
        <f>SUMIFS(pg_transaction_cleaned!$H:$H,pg_transaction_cleaned!$O:$O,A1447,pg_transaction_cleaned!$F:$F,"CAPTURE")</f>
        <v>4298</v>
      </c>
      <c r="L1447" s="23">
        <f>COUNTIFS(pg_transaction_cleaned!$O:$O,A1447,pg_transaction_cleaned!$F:$F,"REFUND")</f>
        <v>0</v>
      </c>
      <c r="M1447" s="39">
        <f>SUMIFS(pg_transaction_cleaned!$H:$H,pg_transaction_cleaned!$O:$O,A1447,pg_transaction_cleaned!$F:$F,"REFUND")</f>
        <v>0</v>
      </c>
      <c r="N1447" s="23" t="str">
        <f t="shared" si="90"/>
        <v>OK</v>
      </c>
      <c r="O1447" s="24">
        <f t="shared" si="91"/>
        <v>0</v>
      </c>
    </row>
    <row r="1448" spans="1:15" ht="15" customHeight="1" x14ac:dyDescent="0.3">
      <c r="A1448" s="23" t="s">
        <v>3376</v>
      </c>
      <c r="B1448" s="38">
        <v>46290</v>
      </c>
      <c r="C1448" s="23" t="s">
        <v>3377</v>
      </c>
      <c r="D1448" s="23" t="s">
        <v>90</v>
      </c>
      <c r="E1448" s="23" t="s">
        <v>75</v>
      </c>
      <c r="F1448" s="23" t="s">
        <v>3378</v>
      </c>
      <c r="G1448" s="23" t="s">
        <v>250</v>
      </c>
      <c r="H1448" s="39">
        <f t="shared" si="88"/>
        <v>15998</v>
      </c>
      <c r="I1448" s="23" t="str">
        <f t="shared" si="89"/>
        <v>Ahmedabad</v>
      </c>
      <c r="J1448" s="23">
        <f>COUNTIFS(pg_transaction_cleaned!$O:$O,A1448,pg_transaction_cleaned!$F:$F,"CAPTURE")</f>
        <v>1</v>
      </c>
      <c r="K1448" s="39">
        <f>SUMIFS(pg_transaction_cleaned!$H:$H,pg_transaction_cleaned!$O:$O,A1448,pg_transaction_cleaned!$F:$F,"CAPTURE")</f>
        <v>15998</v>
      </c>
      <c r="L1448" s="23">
        <f>COUNTIFS(pg_transaction_cleaned!$O:$O,A1448,pg_transaction_cleaned!$F:$F,"REFUND")</f>
        <v>0</v>
      </c>
      <c r="M1448" s="39">
        <f>SUMIFS(pg_transaction_cleaned!$H:$H,pg_transaction_cleaned!$O:$O,A1448,pg_transaction_cleaned!$F:$F,"REFUND")</f>
        <v>0</v>
      </c>
      <c r="N1448" s="23" t="str">
        <f t="shared" si="90"/>
        <v>OK</v>
      </c>
      <c r="O1448" s="24">
        <f t="shared" si="91"/>
        <v>0</v>
      </c>
    </row>
    <row r="1449" spans="1:15" ht="15" customHeight="1" x14ac:dyDescent="0.3">
      <c r="A1449" s="23" t="s">
        <v>3379</v>
      </c>
      <c r="B1449" s="38">
        <v>46277</v>
      </c>
      <c r="C1449" s="23" t="s">
        <v>3380</v>
      </c>
      <c r="D1449" s="23" t="s">
        <v>89</v>
      </c>
      <c r="E1449" s="23" t="s">
        <v>75</v>
      </c>
      <c r="F1449" s="23" t="s">
        <v>274</v>
      </c>
      <c r="G1449" s="23" t="s">
        <v>250</v>
      </c>
      <c r="H1449" s="39">
        <f t="shared" si="88"/>
        <v>349</v>
      </c>
      <c r="I1449" s="23" t="str">
        <f t="shared" si="89"/>
        <v>Jaipur</v>
      </c>
      <c r="J1449" s="23">
        <f>COUNTIFS(pg_transaction_cleaned!$O:$O,A1449,pg_transaction_cleaned!$F:$F,"CAPTURE")</f>
        <v>1</v>
      </c>
      <c r="K1449" s="39">
        <f>SUMIFS(pg_transaction_cleaned!$H:$H,pg_transaction_cleaned!$O:$O,A1449,pg_transaction_cleaned!$F:$F,"CAPTURE")</f>
        <v>349</v>
      </c>
      <c r="L1449" s="23">
        <f>COUNTIFS(pg_transaction_cleaned!$O:$O,A1449,pg_transaction_cleaned!$F:$F,"REFUND")</f>
        <v>0</v>
      </c>
      <c r="M1449" s="39">
        <f>SUMIFS(pg_transaction_cleaned!$H:$H,pg_transaction_cleaned!$O:$O,A1449,pg_transaction_cleaned!$F:$F,"REFUND")</f>
        <v>0</v>
      </c>
      <c r="N1449" s="23" t="str">
        <f t="shared" si="90"/>
        <v>OK</v>
      </c>
      <c r="O1449" s="24">
        <f t="shared" si="91"/>
        <v>0</v>
      </c>
    </row>
    <row r="1450" spans="1:15" ht="15" customHeight="1" x14ac:dyDescent="0.3">
      <c r="A1450" s="23" t="s">
        <v>3381</v>
      </c>
      <c r="B1450" s="38">
        <v>46273</v>
      </c>
      <c r="C1450" s="23" t="s">
        <v>3382</v>
      </c>
      <c r="D1450" s="23" t="s">
        <v>91</v>
      </c>
      <c r="E1450" s="23" t="s">
        <v>79</v>
      </c>
      <c r="F1450" s="23" t="s">
        <v>271</v>
      </c>
      <c r="G1450" s="23" t="s">
        <v>250</v>
      </c>
      <c r="H1450" s="39">
        <f t="shared" si="88"/>
        <v>2499</v>
      </c>
      <c r="I1450" s="23" t="str">
        <f t="shared" si="89"/>
        <v>Pune</v>
      </c>
      <c r="J1450" s="23">
        <f>COUNTIFS(pg_transaction_cleaned!$O:$O,A1450,pg_transaction_cleaned!$F:$F,"CAPTURE")</f>
        <v>1</v>
      </c>
      <c r="K1450" s="39">
        <f>SUMIFS(pg_transaction_cleaned!$H:$H,pg_transaction_cleaned!$O:$O,A1450,pg_transaction_cleaned!$F:$F,"CAPTURE")</f>
        <v>2499</v>
      </c>
      <c r="L1450" s="23">
        <f>COUNTIFS(pg_transaction_cleaned!$O:$O,A1450,pg_transaction_cleaned!$F:$F,"REFUND")</f>
        <v>0</v>
      </c>
      <c r="M1450" s="39">
        <f>SUMIFS(pg_transaction_cleaned!$H:$H,pg_transaction_cleaned!$O:$O,A1450,pg_transaction_cleaned!$F:$F,"REFUND")</f>
        <v>0</v>
      </c>
      <c r="N1450" s="23" t="str">
        <f t="shared" si="90"/>
        <v>OK</v>
      </c>
      <c r="O1450" s="24">
        <f t="shared" si="91"/>
        <v>0</v>
      </c>
    </row>
    <row r="1451" spans="1:15" ht="15" customHeight="1" x14ac:dyDescent="0.3">
      <c r="A1451" s="23" t="s">
        <v>3383</v>
      </c>
      <c r="B1451" s="38">
        <v>46291</v>
      </c>
      <c r="C1451" s="23" t="s">
        <v>3384</v>
      </c>
      <c r="D1451" s="23" t="s">
        <v>92</v>
      </c>
      <c r="E1451" s="23" t="s">
        <v>79</v>
      </c>
      <c r="F1451" s="23" t="s">
        <v>349</v>
      </c>
      <c r="G1451" s="23" t="s">
        <v>250</v>
      </c>
      <c r="H1451" s="39">
        <f t="shared" si="88"/>
        <v>1798</v>
      </c>
      <c r="I1451" s="23" t="str">
        <f t="shared" si="89"/>
        <v>Hyderabad</v>
      </c>
      <c r="J1451" s="23">
        <f>COUNTIFS(pg_transaction_cleaned!$O:$O,A1451,pg_transaction_cleaned!$F:$F,"CAPTURE")</f>
        <v>1</v>
      </c>
      <c r="K1451" s="39">
        <f>SUMIFS(pg_transaction_cleaned!$H:$H,pg_transaction_cleaned!$O:$O,A1451,pg_transaction_cleaned!$F:$F,"CAPTURE")</f>
        <v>1798</v>
      </c>
      <c r="L1451" s="23">
        <f>COUNTIFS(pg_transaction_cleaned!$O:$O,A1451,pg_transaction_cleaned!$F:$F,"REFUND")</f>
        <v>0</v>
      </c>
      <c r="M1451" s="39">
        <f>SUMIFS(pg_transaction_cleaned!$H:$H,pg_transaction_cleaned!$O:$O,A1451,pg_transaction_cleaned!$F:$F,"REFUND")</f>
        <v>0</v>
      </c>
      <c r="N1451" s="23" t="str">
        <f t="shared" si="90"/>
        <v>OK</v>
      </c>
      <c r="O1451" s="24">
        <f t="shared" si="91"/>
        <v>0</v>
      </c>
    </row>
    <row r="1452" spans="1:15" ht="15" customHeight="1" x14ac:dyDescent="0.3">
      <c r="A1452" s="23" t="s">
        <v>3385</v>
      </c>
      <c r="B1452" s="38">
        <v>46284</v>
      </c>
      <c r="C1452" s="23" t="s">
        <v>3386</v>
      </c>
      <c r="D1452" s="23" t="s">
        <v>86</v>
      </c>
      <c r="E1452" s="23" t="s">
        <v>79</v>
      </c>
      <c r="F1452" s="23" t="s">
        <v>274</v>
      </c>
      <c r="G1452" s="23" t="s">
        <v>250</v>
      </c>
      <c r="H1452" s="39">
        <f t="shared" si="88"/>
        <v>349</v>
      </c>
      <c r="I1452" s="23" t="str">
        <f t="shared" si="89"/>
        <v>Delhi</v>
      </c>
      <c r="J1452" s="23">
        <f>COUNTIFS(pg_transaction_cleaned!$O:$O,A1452,pg_transaction_cleaned!$F:$F,"CAPTURE")</f>
        <v>1</v>
      </c>
      <c r="K1452" s="39">
        <f>SUMIFS(pg_transaction_cleaned!$H:$H,pg_transaction_cleaned!$O:$O,A1452,pg_transaction_cleaned!$F:$F,"CAPTURE")</f>
        <v>349</v>
      </c>
      <c r="L1452" s="23">
        <f>COUNTIFS(pg_transaction_cleaned!$O:$O,A1452,pg_transaction_cleaned!$F:$F,"REFUND")</f>
        <v>0</v>
      </c>
      <c r="M1452" s="39">
        <f>SUMIFS(pg_transaction_cleaned!$H:$H,pg_transaction_cleaned!$O:$O,A1452,pg_transaction_cleaned!$F:$F,"REFUND")</f>
        <v>0</v>
      </c>
      <c r="N1452" s="23" t="str">
        <f t="shared" si="90"/>
        <v>OK</v>
      </c>
      <c r="O1452" s="24">
        <f t="shared" si="91"/>
        <v>0</v>
      </c>
    </row>
    <row r="1453" spans="1:15" ht="15" customHeight="1" x14ac:dyDescent="0.3">
      <c r="A1453" s="23" t="s">
        <v>3387</v>
      </c>
      <c r="B1453" s="38">
        <v>46278</v>
      </c>
      <c r="C1453" s="23" t="s">
        <v>3388</v>
      </c>
      <c r="D1453" s="23" t="s">
        <v>90</v>
      </c>
      <c r="E1453" s="23" t="s">
        <v>79</v>
      </c>
      <c r="F1453" s="23" t="s">
        <v>2086</v>
      </c>
      <c r="G1453" s="23" t="s">
        <v>250</v>
      </c>
      <c r="H1453" s="39">
        <f t="shared" si="88"/>
        <v>3397</v>
      </c>
      <c r="I1453" s="23" t="str">
        <f t="shared" si="89"/>
        <v>Ahmedabad</v>
      </c>
      <c r="J1453" s="23">
        <f>COUNTIFS(pg_transaction_cleaned!$O:$O,A1453,pg_transaction_cleaned!$F:$F,"CAPTURE")</f>
        <v>1</v>
      </c>
      <c r="K1453" s="39">
        <f>SUMIFS(pg_transaction_cleaned!$H:$H,pg_transaction_cleaned!$O:$O,A1453,pg_transaction_cleaned!$F:$F,"CAPTURE")</f>
        <v>3397</v>
      </c>
      <c r="L1453" s="23">
        <f>COUNTIFS(pg_transaction_cleaned!$O:$O,A1453,pg_transaction_cleaned!$F:$F,"REFUND")</f>
        <v>0</v>
      </c>
      <c r="M1453" s="39">
        <f>SUMIFS(pg_transaction_cleaned!$H:$H,pg_transaction_cleaned!$O:$O,A1453,pg_transaction_cleaned!$F:$F,"REFUND")</f>
        <v>0</v>
      </c>
      <c r="N1453" s="23" t="str">
        <f t="shared" si="90"/>
        <v>OK</v>
      </c>
      <c r="O1453" s="24">
        <f t="shared" si="91"/>
        <v>0</v>
      </c>
    </row>
    <row r="1454" spans="1:15" ht="15" customHeight="1" x14ac:dyDescent="0.3">
      <c r="A1454" s="23" t="s">
        <v>3389</v>
      </c>
      <c r="B1454" s="38">
        <v>46268</v>
      </c>
      <c r="C1454" s="23" t="s">
        <v>3390</v>
      </c>
      <c r="D1454" s="23" t="s">
        <v>91</v>
      </c>
      <c r="E1454" s="23" t="s">
        <v>81</v>
      </c>
      <c r="F1454" s="23" t="s">
        <v>324</v>
      </c>
      <c r="G1454" s="23" t="s">
        <v>250</v>
      </c>
      <c r="H1454" s="39">
        <f t="shared" si="88"/>
        <v>10498</v>
      </c>
      <c r="I1454" s="23" t="str">
        <f t="shared" si="89"/>
        <v>Pune</v>
      </c>
      <c r="J1454" s="23">
        <f>COUNTIFS(pg_transaction_cleaned!$O:$O,A1454,pg_transaction_cleaned!$F:$F,"CAPTURE")</f>
        <v>1</v>
      </c>
      <c r="K1454" s="39">
        <f>SUMIFS(pg_transaction_cleaned!$H:$H,pg_transaction_cleaned!$O:$O,A1454,pg_transaction_cleaned!$F:$F,"CAPTURE")</f>
        <v>10498</v>
      </c>
      <c r="L1454" s="23">
        <f>COUNTIFS(pg_transaction_cleaned!$O:$O,A1454,pg_transaction_cleaned!$F:$F,"REFUND")</f>
        <v>0</v>
      </c>
      <c r="M1454" s="39">
        <f>SUMIFS(pg_transaction_cleaned!$H:$H,pg_transaction_cleaned!$O:$O,A1454,pg_transaction_cleaned!$F:$F,"REFUND")</f>
        <v>0</v>
      </c>
      <c r="N1454" s="23" t="str">
        <f t="shared" si="90"/>
        <v>OK</v>
      </c>
      <c r="O1454" s="24">
        <f t="shared" si="91"/>
        <v>0</v>
      </c>
    </row>
    <row r="1455" spans="1:15" ht="15" customHeight="1" x14ac:dyDescent="0.3">
      <c r="A1455" s="23" t="s">
        <v>3391</v>
      </c>
      <c r="B1455" s="38">
        <v>46290</v>
      </c>
      <c r="C1455" s="23" t="s">
        <v>3392</v>
      </c>
      <c r="D1455" s="23" t="s">
        <v>86</v>
      </c>
      <c r="E1455" s="23" t="s">
        <v>75</v>
      </c>
      <c r="F1455" s="23" t="s">
        <v>396</v>
      </c>
      <c r="G1455" s="23" t="s">
        <v>365</v>
      </c>
      <c r="H1455" s="39">
        <f t="shared" si="88"/>
        <v>2999</v>
      </c>
      <c r="I1455" s="23" t="str">
        <f t="shared" si="89"/>
        <v>Delhi</v>
      </c>
      <c r="J1455" s="23">
        <f>COUNTIFS(pg_transaction_cleaned!$O:$O,A1455,pg_transaction_cleaned!$F:$F,"CAPTURE")</f>
        <v>0</v>
      </c>
      <c r="K1455" s="39">
        <f>SUMIFS(pg_transaction_cleaned!$H:$H,pg_transaction_cleaned!$O:$O,A1455,pg_transaction_cleaned!$F:$F,"CAPTURE")</f>
        <v>0</v>
      </c>
      <c r="L1455" s="23">
        <f>COUNTIFS(pg_transaction_cleaned!$O:$O,A1455,pg_transaction_cleaned!$F:$F,"REFUND")</f>
        <v>0</v>
      </c>
      <c r="M1455" s="39">
        <f>SUMIFS(pg_transaction_cleaned!$H:$H,pg_transaction_cleaned!$O:$O,A1455,pg_transaction_cleaned!$F:$F,"REFUND")</f>
        <v>0</v>
      </c>
      <c r="N1455" s="23" t="str">
        <f t="shared" si="90"/>
        <v>OK</v>
      </c>
      <c r="O1455" s="24">
        <f t="shared" si="91"/>
        <v>0</v>
      </c>
    </row>
    <row r="1456" spans="1:15" ht="15" customHeight="1" x14ac:dyDescent="0.3">
      <c r="A1456" s="23" t="s">
        <v>3393</v>
      </c>
      <c r="B1456" s="38">
        <v>46266</v>
      </c>
      <c r="C1456" s="23" t="s">
        <v>3394</v>
      </c>
      <c r="D1456" s="23" t="s">
        <v>95</v>
      </c>
      <c r="E1456" s="23" t="s">
        <v>75</v>
      </c>
      <c r="F1456" s="23" t="s">
        <v>514</v>
      </c>
      <c r="G1456" s="23" t="s">
        <v>250</v>
      </c>
      <c r="H1456" s="39">
        <f t="shared" si="88"/>
        <v>6498</v>
      </c>
      <c r="I1456" s="23" t="str">
        <f t="shared" si="89"/>
        <v>Bengaluru</v>
      </c>
      <c r="J1456" s="23">
        <f>COUNTIFS(pg_transaction_cleaned!$O:$O,A1456,pg_transaction_cleaned!$F:$F,"CAPTURE")</f>
        <v>1</v>
      </c>
      <c r="K1456" s="39">
        <f>SUMIFS(pg_transaction_cleaned!$H:$H,pg_transaction_cleaned!$O:$O,A1456,pg_transaction_cleaned!$F:$F,"CAPTURE")</f>
        <v>6498</v>
      </c>
      <c r="L1456" s="23">
        <f>COUNTIFS(pg_transaction_cleaned!$O:$O,A1456,pg_transaction_cleaned!$F:$F,"REFUND")</f>
        <v>0</v>
      </c>
      <c r="M1456" s="39">
        <f>SUMIFS(pg_transaction_cleaned!$H:$H,pg_transaction_cleaned!$O:$O,A1456,pg_transaction_cleaned!$F:$F,"REFUND")</f>
        <v>0</v>
      </c>
      <c r="N1456" s="23" t="str">
        <f t="shared" si="90"/>
        <v>OK</v>
      </c>
      <c r="O1456" s="24">
        <f t="shared" si="91"/>
        <v>0</v>
      </c>
    </row>
    <row r="1457" spans="1:15" ht="15" customHeight="1" x14ac:dyDescent="0.3">
      <c r="A1457" s="23" t="s">
        <v>3395</v>
      </c>
      <c r="B1457" s="38">
        <v>46286</v>
      </c>
      <c r="C1457" s="23" t="s">
        <v>3396</v>
      </c>
      <c r="D1457" s="23" t="s">
        <v>91</v>
      </c>
      <c r="E1457" s="23" t="s">
        <v>81</v>
      </c>
      <c r="F1457" s="23" t="s">
        <v>274</v>
      </c>
      <c r="G1457" s="23" t="s">
        <v>250</v>
      </c>
      <c r="H1457" s="39">
        <f t="shared" si="88"/>
        <v>349</v>
      </c>
      <c r="I1457" s="23" t="str">
        <f t="shared" si="89"/>
        <v>Pune</v>
      </c>
      <c r="J1457" s="23">
        <f>COUNTIFS(pg_transaction_cleaned!$O:$O,A1457,pg_transaction_cleaned!$F:$F,"CAPTURE")</f>
        <v>1</v>
      </c>
      <c r="K1457" s="39">
        <f>SUMIFS(pg_transaction_cleaned!$H:$H,pg_transaction_cleaned!$O:$O,A1457,pg_transaction_cleaned!$F:$F,"CAPTURE")</f>
        <v>349</v>
      </c>
      <c r="L1457" s="23">
        <f>COUNTIFS(pg_transaction_cleaned!$O:$O,A1457,pg_transaction_cleaned!$F:$F,"REFUND")</f>
        <v>0</v>
      </c>
      <c r="M1457" s="39">
        <f>SUMIFS(pg_transaction_cleaned!$H:$H,pg_transaction_cleaned!$O:$O,A1457,pg_transaction_cleaned!$F:$F,"REFUND")</f>
        <v>0</v>
      </c>
      <c r="N1457" s="23" t="str">
        <f t="shared" si="90"/>
        <v>OK</v>
      </c>
      <c r="O1457" s="24">
        <f t="shared" si="91"/>
        <v>0</v>
      </c>
    </row>
    <row r="1458" spans="1:15" ht="15" customHeight="1" x14ac:dyDescent="0.3">
      <c r="A1458" s="23" t="s">
        <v>3397</v>
      </c>
      <c r="B1458" s="38">
        <v>46269</v>
      </c>
      <c r="C1458" s="23" t="s">
        <v>3398</v>
      </c>
      <c r="D1458" s="23" t="s">
        <v>87</v>
      </c>
      <c r="E1458" s="23" t="s">
        <v>75</v>
      </c>
      <c r="F1458" s="23" t="s">
        <v>349</v>
      </c>
      <c r="G1458" s="23" t="s">
        <v>301</v>
      </c>
      <c r="H1458" s="39">
        <f t="shared" si="88"/>
        <v>1798</v>
      </c>
      <c r="I1458" s="23" t="str">
        <f t="shared" si="89"/>
        <v>Mumbai</v>
      </c>
      <c r="J1458" s="23">
        <f>COUNTIFS(pg_transaction_cleaned!$O:$O,A1458,pg_transaction_cleaned!$F:$F,"CAPTURE")</f>
        <v>1</v>
      </c>
      <c r="K1458" s="39">
        <f>SUMIFS(pg_transaction_cleaned!$H:$H,pg_transaction_cleaned!$O:$O,A1458,pg_transaction_cleaned!$F:$F,"CAPTURE")</f>
        <v>1798</v>
      </c>
      <c r="L1458" s="23">
        <f>COUNTIFS(pg_transaction_cleaned!$O:$O,A1458,pg_transaction_cleaned!$F:$F,"REFUND")</f>
        <v>1</v>
      </c>
      <c r="M1458" s="39">
        <f>SUMIFS(pg_transaction_cleaned!$H:$H,pg_transaction_cleaned!$O:$O,A1458,pg_transaction_cleaned!$F:$F,"REFUND")</f>
        <v>1798</v>
      </c>
      <c r="N1458" s="23" t="str">
        <f t="shared" si="90"/>
        <v>OK</v>
      </c>
      <c r="O1458" s="24">
        <f t="shared" si="91"/>
        <v>0</v>
      </c>
    </row>
    <row r="1459" spans="1:15" ht="15" customHeight="1" x14ac:dyDescent="0.3">
      <c r="A1459" s="23" t="s">
        <v>3399</v>
      </c>
      <c r="B1459" s="38">
        <v>46273</v>
      </c>
      <c r="C1459" s="23" t="s">
        <v>3400</v>
      </c>
      <c r="D1459" s="23" t="s">
        <v>89</v>
      </c>
      <c r="E1459" s="23" t="s">
        <v>75</v>
      </c>
      <c r="F1459" s="23" t="s">
        <v>249</v>
      </c>
      <c r="G1459" s="23" t="s">
        <v>318</v>
      </c>
      <c r="H1459" s="39">
        <f t="shared" si="88"/>
        <v>299</v>
      </c>
      <c r="I1459" s="23" t="str">
        <f t="shared" si="89"/>
        <v>Jaipur</v>
      </c>
      <c r="J1459" s="23">
        <f>COUNTIFS(pg_transaction_cleaned!$O:$O,A1459,pg_transaction_cleaned!$F:$F,"CAPTURE")</f>
        <v>0</v>
      </c>
      <c r="K1459" s="39">
        <f>SUMIFS(pg_transaction_cleaned!$H:$H,pg_transaction_cleaned!$O:$O,A1459,pg_transaction_cleaned!$F:$F,"CAPTURE")</f>
        <v>0</v>
      </c>
      <c r="L1459" s="23">
        <f>COUNTIFS(pg_transaction_cleaned!$O:$O,A1459,pg_transaction_cleaned!$F:$F,"REFUND")</f>
        <v>0</v>
      </c>
      <c r="M1459" s="39">
        <f>SUMIFS(pg_transaction_cleaned!$H:$H,pg_transaction_cleaned!$O:$O,A1459,pg_transaction_cleaned!$F:$F,"REFUND")</f>
        <v>0</v>
      </c>
      <c r="N1459" s="23" t="str">
        <f t="shared" si="90"/>
        <v>OK</v>
      </c>
      <c r="O1459" s="24">
        <f t="shared" si="91"/>
        <v>0</v>
      </c>
    </row>
    <row r="1460" spans="1:15" ht="15" customHeight="1" x14ac:dyDescent="0.3">
      <c r="A1460" s="23" t="s">
        <v>3401</v>
      </c>
      <c r="B1460" s="38">
        <v>46280</v>
      </c>
      <c r="C1460" s="23" t="s">
        <v>3402</v>
      </c>
      <c r="D1460" s="23" t="s">
        <v>88</v>
      </c>
      <c r="E1460" s="23" t="s">
        <v>75</v>
      </c>
      <c r="F1460" s="23" t="s">
        <v>271</v>
      </c>
      <c r="G1460" s="23" t="s">
        <v>250</v>
      </c>
      <c r="H1460" s="39">
        <f t="shared" si="88"/>
        <v>2499</v>
      </c>
      <c r="I1460" s="23" t="str">
        <f t="shared" si="89"/>
        <v>Lucknow</v>
      </c>
      <c r="J1460" s="23">
        <f>COUNTIFS(pg_transaction_cleaned!$O:$O,A1460,pg_transaction_cleaned!$F:$F,"CAPTURE")</f>
        <v>1</v>
      </c>
      <c r="K1460" s="39">
        <f>SUMIFS(pg_transaction_cleaned!$H:$H,pg_transaction_cleaned!$O:$O,A1460,pg_transaction_cleaned!$F:$F,"CAPTURE")</f>
        <v>2499</v>
      </c>
      <c r="L1460" s="23">
        <f>COUNTIFS(pg_transaction_cleaned!$O:$O,A1460,pg_transaction_cleaned!$F:$F,"REFUND")</f>
        <v>0</v>
      </c>
      <c r="M1460" s="39">
        <f>SUMIFS(pg_transaction_cleaned!$H:$H,pg_transaction_cleaned!$O:$O,A1460,pg_transaction_cleaned!$F:$F,"REFUND")</f>
        <v>0</v>
      </c>
      <c r="N1460" s="23" t="str">
        <f t="shared" si="90"/>
        <v>OK</v>
      </c>
      <c r="O1460" s="24">
        <f t="shared" si="91"/>
        <v>0</v>
      </c>
    </row>
    <row r="1461" spans="1:15" ht="15" customHeight="1" x14ac:dyDescent="0.3">
      <c r="A1461" s="23" t="s">
        <v>3403</v>
      </c>
      <c r="B1461" s="38">
        <v>46283</v>
      </c>
      <c r="C1461" s="23" t="s">
        <v>3404</v>
      </c>
      <c r="D1461" s="23" t="s">
        <v>87</v>
      </c>
      <c r="E1461" s="23" t="s">
        <v>81</v>
      </c>
      <c r="F1461" s="23" t="s">
        <v>1108</v>
      </c>
      <c r="G1461" s="23" t="s">
        <v>250</v>
      </c>
      <c r="H1461" s="39">
        <f t="shared" si="88"/>
        <v>4098</v>
      </c>
      <c r="I1461" s="23" t="str">
        <f t="shared" si="89"/>
        <v>Mumbai</v>
      </c>
      <c r="J1461" s="23">
        <f>COUNTIFS(pg_transaction_cleaned!$O:$O,A1461,pg_transaction_cleaned!$F:$F,"CAPTURE")</f>
        <v>1</v>
      </c>
      <c r="K1461" s="39">
        <f>SUMIFS(pg_transaction_cleaned!$H:$H,pg_transaction_cleaned!$O:$O,A1461,pg_transaction_cleaned!$F:$F,"CAPTURE")</f>
        <v>4098</v>
      </c>
      <c r="L1461" s="23">
        <f>COUNTIFS(pg_transaction_cleaned!$O:$O,A1461,pg_transaction_cleaned!$F:$F,"REFUND")</f>
        <v>0</v>
      </c>
      <c r="M1461" s="39">
        <f>SUMIFS(pg_transaction_cleaned!$H:$H,pg_transaction_cleaned!$O:$O,A1461,pg_transaction_cleaned!$F:$F,"REFUND")</f>
        <v>0</v>
      </c>
      <c r="N1461" s="23" t="str">
        <f t="shared" si="90"/>
        <v>OK</v>
      </c>
      <c r="O1461" s="24">
        <f t="shared" si="91"/>
        <v>0</v>
      </c>
    </row>
    <row r="1462" spans="1:15" ht="15" customHeight="1" x14ac:dyDescent="0.3">
      <c r="A1462" s="23" t="s">
        <v>3405</v>
      </c>
      <c r="B1462" s="38">
        <v>46272</v>
      </c>
      <c r="C1462" s="23" t="s">
        <v>3406</v>
      </c>
      <c r="D1462" s="23" t="s">
        <v>88</v>
      </c>
      <c r="E1462" s="23" t="s">
        <v>75</v>
      </c>
      <c r="F1462" s="23" t="s">
        <v>475</v>
      </c>
      <c r="G1462" s="23" t="s">
        <v>250</v>
      </c>
      <c r="H1462" s="39">
        <f t="shared" si="88"/>
        <v>799</v>
      </c>
      <c r="I1462" s="23" t="str">
        <f t="shared" si="89"/>
        <v>Lucknow</v>
      </c>
      <c r="J1462" s="23">
        <f>COUNTIFS(pg_transaction_cleaned!$O:$O,A1462,pg_transaction_cleaned!$F:$F,"CAPTURE")</f>
        <v>1</v>
      </c>
      <c r="K1462" s="39">
        <f>SUMIFS(pg_transaction_cleaned!$H:$H,pg_transaction_cleaned!$O:$O,A1462,pg_transaction_cleaned!$F:$F,"CAPTURE")</f>
        <v>799</v>
      </c>
      <c r="L1462" s="23">
        <f>COUNTIFS(pg_transaction_cleaned!$O:$O,A1462,pg_transaction_cleaned!$F:$F,"REFUND")</f>
        <v>0</v>
      </c>
      <c r="M1462" s="39">
        <f>SUMIFS(pg_transaction_cleaned!$H:$H,pg_transaction_cleaned!$O:$O,A1462,pg_transaction_cleaned!$F:$F,"REFUND")</f>
        <v>0</v>
      </c>
      <c r="N1462" s="23" t="str">
        <f t="shared" si="90"/>
        <v>OK</v>
      </c>
      <c r="O1462" s="24">
        <f t="shared" si="91"/>
        <v>0</v>
      </c>
    </row>
    <row r="1463" spans="1:15" ht="15" customHeight="1" x14ac:dyDescent="0.3">
      <c r="A1463" s="23" t="s">
        <v>3407</v>
      </c>
      <c r="B1463" s="38">
        <v>46283</v>
      </c>
      <c r="C1463" s="23" t="s">
        <v>3408</v>
      </c>
      <c r="D1463" s="23" t="s">
        <v>93</v>
      </c>
      <c r="E1463" s="23" t="s">
        <v>75</v>
      </c>
      <c r="F1463" s="23" t="s">
        <v>271</v>
      </c>
      <c r="G1463" s="23" t="s">
        <v>250</v>
      </c>
      <c r="H1463" s="39">
        <f t="shared" si="88"/>
        <v>2499</v>
      </c>
      <c r="I1463" s="23" t="str">
        <f t="shared" si="89"/>
        <v>Kolkata</v>
      </c>
      <c r="J1463" s="23">
        <f>COUNTIFS(pg_transaction_cleaned!$O:$O,A1463,pg_transaction_cleaned!$F:$F,"CAPTURE")</f>
        <v>1</v>
      </c>
      <c r="K1463" s="39">
        <f>SUMIFS(pg_transaction_cleaned!$H:$H,pg_transaction_cleaned!$O:$O,A1463,pg_transaction_cleaned!$F:$F,"CAPTURE")</f>
        <v>2499</v>
      </c>
      <c r="L1463" s="23">
        <f>COUNTIFS(pg_transaction_cleaned!$O:$O,A1463,pg_transaction_cleaned!$F:$F,"REFUND")</f>
        <v>0</v>
      </c>
      <c r="M1463" s="39">
        <f>SUMIFS(pg_transaction_cleaned!$H:$H,pg_transaction_cleaned!$O:$O,A1463,pg_transaction_cleaned!$F:$F,"REFUND")</f>
        <v>0</v>
      </c>
      <c r="N1463" s="23" t="str">
        <f t="shared" si="90"/>
        <v>OK</v>
      </c>
      <c r="O1463" s="24">
        <f t="shared" si="91"/>
        <v>0</v>
      </c>
    </row>
    <row r="1464" spans="1:15" ht="15" customHeight="1" x14ac:dyDescent="0.3">
      <c r="A1464" s="23" t="s">
        <v>3409</v>
      </c>
      <c r="B1464" s="38">
        <v>46268</v>
      </c>
      <c r="C1464" s="23" t="s">
        <v>3410</v>
      </c>
      <c r="D1464" s="23" t="s">
        <v>90</v>
      </c>
      <c r="E1464" s="23" t="s">
        <v>77</v>
      </c>
      <c r="F1464" s="23" t="s">
        <v>357</v>
      </c>
      <c r="G1464" s="23" t="s">
        <v>250</v>
      </c>
      <c r="H1464" s="39">
        <f t="shared" si="88"/>
        <v>1598</v>
      </c>
      <c r="I1464" s="23" t="str">
        <f t="shared" si="89"/>
        <v>Ahmedabad</v>
      </c>
      <c r="J1464" s="23">
        <f>COUNTIFS(pg_transaction_cleaned!$O:$O,A1464,pg_transaction_cleaned!$F:$F,"CAPTURE")</f>
        <v>1</v>
      </c>
      <c r="K1464" s="39">
        <f>SUMIFS(pg_transaction_cleaned!$H:$H,pg_transaction_cleaned!$O:$O,A1464,pg_transaction_cleaned!$F:$F,"CAPTURE")</f>
        <v>1598</v>
      </c>
      <c r="L1464" s="23">
        <f>COUNTIFS(pg_transaction_cleaned!$O:$O,A1464,pg_transaction_cleaned!$F:$F,"REFUND")</f>
        <v>0</v>
      </c>
      <c r="M1464" s="39">
        <f>SUMIFS(pg_transaction_cleaned!$H:$H,pg_transaction_cleaned!$O:$O,A1464,pg_transaction_cleaned!$F:$F,"REFUND")</f>
        <v>0</v>
      </c>
      <c r="N1464" s="23" t="str">
        <f t="shared" si="90"/>
        <v>OK</v>
      </c>
      <c r="O1464" s="24">
        <f t="shared" si="91"/>
        <v>0</v>
      </c>
    </row>
    <row r="1465" spans="1:15" ht="15" customHeight="1" x14ac:dyDescent="0.3">
      <c r="A1465" s="23" t="s">
        <v>3411</v>
      </c>
      <c r="B1465" s="38">
        <v>46268</v>
      </c>
      <c r="C1465" s="23" t="s">
        <v>3412</v>
      </c>
      <c r="D1465" s="23" t="s">
        <v>95</v>
      </c>
      <c r="E1465" s="23" t="s">
        <v>79</v>
      </c>
      <c r="F1465" s="23" t="s">
        <v>396</v>
      </c>
      <c r="G1465" s="23" t="s">
        <v>250</v>
      </c>
      <c r="H1465" s="39">
        <f t="shared" si="88"/>
        <v>2999</v>
      </c>
      <c r="I1465" s="23" t="str">
        <f t="shared" si="89"/>
        <v>Bengaluru</v>
      </c>
      <c r="J1465" s="23">
        <f>COUNTIFS(pg_transaction_cleaned!$O:$O,A1465,pg_transaction_cleaned!$F:$F,"CAPTURE")</f>
        <v>1</v>
      </c>
      <c r="K1465" s="39">
        <f>SUMIFS(pg_transaction_cleaned!$H:$H,pg_transaction_cleaned!$O:$O,A1465,pg_transaction_cleaned!$F:$F,"CAPTURE")</f>
        <v>2999</v>
      </c>
      <c r="L1465" s="23">
        <f>COUNTIFS(pg_transaction_cleaned!$O:$O,A1465,pg_transaction_cleaned!$F:$F,"REFUND")</f>
        <v>0</v>
      </c>
      <c r="M1465" s="39">
        <f>SUMIFS(pg_transaction_cleaned!$H:$H,pg_transaction_cleaned!$O:$O,A1465,pg_transaction_cleaned!$F:$F,"REFUND")</f>
        <v>0</v>
      </c>
      <c r="N1465" s="23" t="str">
        <f t="shared" si="90"/>
        <v>OK</v>
      </c>
      <c r="O1465" s="24">
        <f t="shared" si="91"/>
        <v>0</v>
      </c>
    </row>
    <row r="1466" spans="1:15" ht="15" customHeight="1" x14ac:dyDescent="0.3">
      <c r="A1466" s="23" t="s">
        <v>3413</v>
      </c>
      <c r="B1466" s="38">
        <v>46268</v>
      </c>
      <c r="C1466" s="23" t="s">
        <v>3414</v>
      </c>
      <c r="D1466" s="23" t="s">
        <v>88</v>
      </c>
      <c r="E1466" s="23" t="s">
        <v>75</v>
      </c>
      <c r="F1466" s="23" t="s">
        <v>1206</v>
      </c>
      <c r="G1466" s="23" t="s">
        <v>250</v>
      </c>
      <c r="H1466" s="39">
        <f t="shared" si="88"/>
        <v>7297</v>
      </c>
      <c r="I1466" s="23" t="str">
        <f t="shared" si="89"/>
        <v>Lucknow</v>
      </c>
      <c r="J1466" s="23">
        <f>COUNTIFS(pg_transaction_cleaned!$O:$O,A1466,pg_transaction_cleaned!$F:$F,"CAPTURE")</f>
        <v>1</v>
      </c>
      <c r="K1466" s="39">
        <f>SUMIFS(pg_transaction_cleaned!$H:$H,pg_transaction_cleaned!$O:$O,A1466,pg_transaction_cleaned!$F:$F,"CAPTURE")</f>
        <v>7297</v>
      </c>
      <c r="L1466" s="23">
        <f>COUNTIFS(pg_transaction_cleaned!$O:$O,A1466,pg_transaction_cleaned!$F:$F,"REFUND")</f>
        <v>0</v>
      </c>
      <c r="M1466" s="39">
        <f>SUMIFS(pg_transaction_cleaned!$H:$H,pg_transaction_cleaned!$O:$O,A1466,pg_transaction_cleaned!$F:$F,"REFUND")</f>
        <v>0</v>
      </c>
      <c r="N1466" s="23" t="str">
        <f t="shared" si="90"/>
        <v>OK</v>
      </c>
      <c r="O1466" s="24">
        <f t="shared" si="91"/>
        <v>0</v>
      </c>
    </row>
    <row r="1467" spans="1:15" ht="15" customHeight="1" x14ac:dyDescent="0.3">
      <c r="A1467" s="23" t="s">
        <v>3415</v>
      </c>
      <c r="B1467" s="38">
        <v>46287</v>
      </c>
      <c r="C1467" s="23" t="s">
        <v>3416</v>
      </c>
      <c r="D1467" s="23" t="s">
        <v>93</v>
      </c>
      <c r="E1467" s="23" t="s">
        <v>81</v>
      </c>
      <c r="F1467" s="23" t="s">
        <v>2837</v>
      </c>
      <c r="G1467" s="23" t="s">
        <v>250</v>
      </c>
      <c r="H1467" s="39">
        <f t="shared" si="88"/>
        <v>12297</v>
      </c>
      <c r="I1467" s="23" t="str">
        <f t="shared" si="89"/>
        <v>Kolkata</v>
      </c>
      <c r="J1467" s="23">
        <f>COUNTIFS(pg_transaction_cleaned!$O:$O,A1467,pg_transaction_cleaned!$F:$F,"CAPTURE")</f>
        <v>1</v>
      </c>
      <c r="K1467" s="39">
        <f>SUMIFS(pg_transaction_cleaned!$H:$H,pg_transaction_cleaned!$O:$O,A1467,pg_transaction_cleaned!$F:$F,"CAPTURE")</f>
        <v>12297</v>
      </c>
      <c r="L1467" s="23">
        <f>COUNTIFS(pg_transaction_cleaned!$O:$O,A1467,pg_transaction_cleaned!$F:$F,"REFUND")</f>
        <v>0</v>
      </c>
      <c r="M1467" s="39">
        <f>SUMIFS(pg_transaction_cleaned!$H:$H,pg_transaction_cleaned!$O:$O,A1467,pg_transaction_cleaned!$F:$F,"REFUND")</f>
        <v>0</v>
      </c>
      <c r="N1467" s="23" t="str">
        <f t="shared" si="90"/>
        <v>OK</v>
      </c>
      <c r="O1467" s="24">
        <f t="shared" si="91"/>
        <v>0</v>
      </c>
    </row>
    <row r="1468" spans="1:15" ht="15" customHeight="1" x14ac:dyDescent="0.3">
      <c r="A1468" s="23" t="s">
        <v>3417</v>
      </c>
      <c r="B1468" s="38">
        <v>46278</v>
      </c>
      <c r="C1468" s="23" t="s">
        <v>3418</v>
      </c>
      <c r="D1468" s="23" t="s">
        <v>91</v>
      </c>
      <c r="E1468" s="23" t="s">
        <v>75</v>
      </c>
      <c r="F1468" s="23" t="s">
        <v>271</v>
      </c>
      <c r="G1468" s="23" t="s">
        <v>250</v>
      </c>
      <c r="H1468" s="39">
        <f t="shared" si="88"/>
        <v>2499</v>
      </c>
      <c r="I1468" s="23" t="str">
        <f t="shared" si="89"/>
        <v>Pune</v>
      </c>
      <c r="J1468" s="23">
        <f>COUNTIFS(pg_transaction_cleaned!$O:$O,A1468,pg_transaction_cleaned!$F:$F,"CAPTURE")</f>
        <v>1</v>
      </c>
      <c r="K1468" s="39">
        <f>SUMIFS(pg_transaction_cleaned!$H:$H,pg_transaction_cleaned!$O:$O,A1468,pg_transaction_cleaned!$F:$F,"CAPTURE")</f>
        <v>2499</v>
      </c>
      <c r="L1468" s="23">
        <f>COUNTIFS(pg_transaction_cleaned!$O:$O,A1468,pg_transaction_cleaned!$F:$F,"REFUND")</f>
        <v>0</v>
      </c>
      <c r="M1468" s="39">
        <f>SUMIFS(pg_transaction_cleaned!$H:$H,pg_transaction_cleaned!$O:$O,A1468,pg_transaction_cleaned!$F:$F,"REFUND")</f>
        <v>0</v>
      </c>
      <c r="N1468" s="23" t="str">
        <f t="shared" si="90"/>
        <v>OK</v>
      </c>
      <c r="O1468" s="24">
        <f t="shared" si="91"/>
        <v>0</v>
      </c>
    </row>
    <row r="1469" spans="1:15" ht="15" customHeight="1" x14ac:dyDescent="0.3">
      <c r="A1469" s="23" t="s">
        <v>3419</v>
      </c>
      <c r="B1469" s="38">
        <v>46287</v>
      </c>
      <c r="C1469" s="23" t="s">
        <v>3420</v>
      </c>
      <c r="D1469" s="23" t="s">
        <v>92</v>
      </c>
      <c r="E1469" s="23" t="s">
        <v>75</v>
      </c>
      <c r="F1469" s="23" t="s">
        <v>423</v>
      </c>
      <c r="G1469" s="23" t="s">
        <v>250</v>
      </c>
      <c r="H1469" s="39">
        <f t="shared" si="88"/>
        <v>1648</v>
      </c>
      <c r="I1469" s="23" t="str">
        <f t="shared" si="89"/>
        <v>Hyderabad</v>
      </c>
      <c r="J1469" s="23">
        <f>COUNTIFS(pg_transaction_cleaned!$O:$O,A1469,pg_transaction_cleaned!$F:$F,"CAPTURE")</f>
        <v>1</v>
      </c>
      <c r="K1469" s="39">
        <f>SUMIFS(pg_transaction_cleaned!$H:$H,pg_transaction_cleaned!$O:$O,A1469,pg_transaction_cleaned!$F:$F,"CAPTURE")</f>
        <v>1648</v>
      </c>
      <c r="L1469" s="23">
        <f>COUNTIFS(pg_transaction_cleaned!$O:$O,A1469,pg_transaction_cleaned!$F:$F,"REFUND")</f>
        <v>0</v>
      </c>
      <c r="M1469" s="39">
        <f>SUMIFS(pg_transaction_cleaned!$H:$H,pg_transaction_cleaned!$O:$O,A1469,pg_transaction_cleaned!$F:$F,"REFUND")</f>
        <v>0</v>
      </c>
      <c r="N1469" s="23" t="str">
        <f t="shared" si="90"/>
        <v>OK</v>
      </c>
      <c r="O1469" s="24">
        <f t="shared" si="91"/>
        <v>0</v>
      </c>
    </row>
    <row r="1470" spans="1:15" ht="15" customHeight="1" x14ac:dyDescent="0.3">
      <c r="A1470" s="23" t="s">
        <v>3421</v>
      </c>
      <c r="B1470" s="38">
        <v>46270</v>
      </c>
      <c r="C1470" s="23" t="s">
        <v>3422</v>
      </c>
      <c r="D1470" s="23" t="s">
        <v>93</v>
      </c>
      <c r="E1470" s="23" t="s">
        <v>75</v>
      </c>
      <c r="F1470" s="23" t="s">
        <v>475</v>
      </c>
      <c r="G1470" s="23" t="s">
        <v>250</v>
      </c>
      <c r="H1470" s="39">
        <f t="shared" si="88"/>
        <v>799</v>
      </c>
      <c r="I1470" s="23" t="str">
        <f t="shared" si="89"/>
        <v>Kolkata</v>
      </c>
      <c r="J1470" s="23">
        <f>COUNTIFS(pg_transaction_cleaned!$O:$O,A1470,pg_transaction_cleaned!$F:$F,"CAPTURE")</f>
        <v>1</v>
      </c>
      <c r="K1470" s="39">
        <f>SUMIFS(pg_transaction_cleaned!$H:$H,pg_transaction_cleaned!$O:$O,A1470,pg_transaction_cleaned!$F:$F,"CAPTURE")</f>
        <v>799</v>
      </c>
      <c r="L1470" s="23">
        <f>COUNTIFS(pg_transaction_cleaned!$O:$O,A1470,pg_transaction_cleaned!$F:$F,"REFUND")</f>
        <v>0</v>
      </c>
      <c r="M1470" s="39">
        <f>SUMIFS(pg_transaction_cleaned!$H:$H,pg_transaction_cleaned!$O:$O,A1470,pg_transaction_cleaned!$F:$F,"REFUND")</f>
        <v>0</v>
      </c>
      <c r="N1470" s="23" t="str">
        <f t="shared" si="90"/>
        <v>OK</v>
      </c>
      <c r="O1470" s="24">
        <f t="shared" si="91"/>
        <v>0</v>
      </c>
    </row>
    <row r="1471" spans="1:15" ht="15" customHeight="1" x14ac:dyDescent="0.3">
      <c r="A1471" s="23" t="s">
        <v>3423</v>
      </c>
      <c r="B1471" s="38">
        <v>46269</v>
      </c>
      <c r="C1471" s="23" t="s">
        <v>3424</v>
      </c>
      <c r="D1471" s="23" t="s">
        <v>90</v>
      </c>
      <c r="E1471" s="23" t="s">
        <v>81</v>
      </c>
      <c r="F1471" s="23" t="s">
        <v>262</v>
      </c>
      <c r="G1471" s="23" t="s">
        <v>250</v>
      </c>
      <c r="H1471" s="39">
        <f t="shared" si="88"/>
        <v>499</v>
      </c>
      <c r="I1471" s="23" t="str">
        <f t="shared" si="89"/>
        <v>Ahmedabad</v>
      </c>
      <c r="J1471" s="23">
        <f>COUNTIFS(pg_transaction_cleaned!$O:$O,A1471,pg_transaction_cleaned!$F:$F,"CAPTURE")</f>
        <v>1</v>
      </c>
      <c r="K1471" s="39">
        <f>SUMIFS(pg_transaction_cleaned!$H:$H,pg_transaction_cleaned!$O:$O,A1471,pg_transaction_cleaned!$F:$F,"CAPTURE")</f>
        <v>499</v>
      </c>
      <c r="L1471" s="23">
        <f>COUNTIFS(pg_transaction_cleaned!$O:$O,A1471,pg_transaction_cleaned!$F:$F,"REFUND")</f>
        <v>0</v>
      </c>
      <c r="M1471" s="39">
        <f>SUMIFS(pg_transaction_cleaned!$H:$H,pg_transaction_cleaned!$O:$O,A1471,pg_transaction_cleaned!$F:$F,"REFUND")</f>
        <v>0</v>
      </c>
      <c r="N1471" s="23" t="str">
        <f t="shared" si="90"/>
        <v>OK</v>
      </c>
      <c r="O1471" s="24">
        <f t="shared" si="91"/>
        <v>0</v>
      </c>
    </row>
    <row r="1472" spans="1:15" ht="15" customHeight="1" x14ac:dyDescent="0.3">
      <c r="A1472" s="23" t="s">
        <v>3425</v>
      </c>
      <c r="B1472" s="38">
        <v>46269</v>
      </c>
      <c r="C1472" s="23" t="s">
        <v>3426</v>
      </c>
      <c r="D1472" s="23" t="s">
        <v>88</v>
      </c>
      <c r="E1472" s="23" t="s">
        <v>75</v>
      </c>
      <c r="F1472" s="23" t="s">
        <v>346</v>
      </c>
      <c r="G1472" s="23" t="s">
        <v>250</v>
      </c>
      <c r="H1472" s="39">
        <f t="shared" si="88"/>
        <v>4498</v>
      </c>
      <c r="I1472" s="23" t="str">
        <f t="shared" si="89"/>
        <v>Lucknow</v>
      </c>
      <c r="J1472" s="23">
        <f>COUNTIFS(pg_transaction_cleaned!$O:$O,A1472,pg_transaction_cleaned!$F:$F,"CAPTURE")</f>
        <v>1</v>
      </c>
      <c r="K1472" s="39">
        <f>SUMIFS(pg_transaction_cleaned!$H:$H,pg_transaction_cleaned!$O:$O,A1472,pg_transaction_cleaned!$F:$F,"CAPTURE")</f>
        <v>4498</v>
      </c>
      <c r="L1472" s="23">
        <f>COUNTIFS(pg_transaction_cleaned!$O:$O,A1472,pg_transaction_cleaned!$F:$F,"REFUND")</f>
        <v>0</v>
      </c>
      <c r="M1472" s="39">
        <f>SUMIFS(pg_transaction_cleaned!$H:$H,pg_transaction_cleaned!$O:$O,A1472,pg_transaction_cleaned!$F:$F,"REFUND")</f>
        <v>0</v>
      </c>
      <c r="N1472" s="23" t="str">
        <f t="shared" si="90"/>
        <v>OK</v>
      </c>
      <c r="O1472" s="24">
        <f t="shared" si="91"/>
        <v>0</v>
      </c>
    </row>
    <row r="1473" spans="1:15" ht="15" customHeight="1" x14ac:dyDescent="0.3">
      <c r="A1473" s="23" t="s">
        <v>3427</v>
      </c>
      <c r="B1473" s="38">
        <v>46269</v>
      </c>
      <c r="C1473" s="23" t="s">
        <v>3428</v>
      </c>
      <c r="D1473" s="23" t="s">
        <v>94</v>
      </c>
      <c r="E1473" s="23" t="s">
        <v>79</v>
      </c>
      <c r="F1473" s="23" t="s">
        <v>262</v>
      </c>
      <c r="G1473" s="23" t="s">
        <v>250</v>
      </c>
      <c r="H1473" s="39">
        <f t="shared" si="88"/>
        <v>499</v>
      </c>
      <c r="I1473" s="23" t="str">
        <f t="shared" si="89"/>
        <v>Chennai</v>
      </c>
      <c r="J1473" s="23">
        <f>COUNTIFS(pg_transaction_cleaned!$O:$O,A1473,pg_transaction_cleaned!$F:$F,"CAPTURE")</f>
        <v>1</v>
      </c>
      <c r="K1473" s="39">
        <f>SUMIFS(pg_transaction_cleaned!$H:$H,pg_transaction_cleaned!$O:$O,A1473,pg_transaction_cleaned!$F:$F,"CAPTURE")</f>
        <v>499</v>
      </c>
      <c r="L1473" s="23">
        <f>COUNTIFS(pg_transaction_cleaned!$O:$O,A1473,pg_transaction_cleaned!$F:$F,"REFUND")</f>
        <v>0</v>
      </c>
      <c r="M1473" s="39">
        <f>SUMIFS(pg_transaction_cleaned!$H:$H,pg_transaction_cleaned!$O:$O,A1473,pg_transaction_cleaned!$F:$F,"REFUND")</f>
        <v>0</v>
      </c>
      <c r="N1473" s="23" t="str">
        <f t="shared" si="90"/>
        <v>OK</v>
      </c>
      <c r="O1473" s="24">
        <f t="shared" si="91"/>
        <v>0</v>
      </c>
    </row>
    <row r="1474" spans="1:15" ht="15" customHeight="1" x14ac:dyDescent="0.3">
      <c r="A1474" s="23" t="s">
        <v>3429</v>
      </c>
      <c r="B1474" s="38">
        <v>46291</v>
      </c>
      <c r="C1474" s="23" t="s">
        <v>3430</v>
      </c>
      <c r="D1474" s="23" t="s">
        <v>90</v>
      </c>
      <c r="E1474" s="23" t="s">
        <v>77</v>
      </c>
      <c r="F1474" s="23" t="s">
        <v>1552</v>
      </c>
      <c r="G1474" s="23" t="s">
        <v>250</v>
      </c>
      <c r="H1474" s="39">
        <f t="shared" ref="H1474:H1537" si="92">VALUE(SUBSTITUTE(F1474,",",""))</f>
        <v>9797</v>
      </c>
      <c r="I1474" s="23" t="str">
        <f t="shared" ref="I1474:I1537" si="93">IF(TRIM(D1474)="","Unknown",TRIM(D1474))</f>
        <v>Ahmedabad</v>
      </c>
      <c r="J1474" s="23">
        <f>COUNTIFS(pg_transaction_cleaned!$O:$O,A1474,pg_transaction_cleaned!$F:$F,"CAPTURE")</f>
        <v>1</v>
      </c>
      <c r="K1474" s="39">
        <f>SUMIFS(pg_transaction_cleaned!$H:$H,pg_transaction_cleaned!$O:$O,A1474,pg_transaction_cleaned!$F:$F,"CAPTURE")</f>
        <v>9797</v>
      </c>
      <c r="L1474" s="23">
        <f>COUNTIFS(pg_transaction_cleaned!$O:$O,A1474,pg_transaction_cleaned!$F:$F,"REFUND")</f>
        <v>0</v>
      </c>
      <c r="M1474" s="39">
        <f>SUMIFS(pg_transaction_cleaned!$H:$H,pg_transaction_cleaned!$O:$O,A1474,pg_transaction_cleaned!$F:$F,"REFUND")</f>
        <v>0</v>
      </c>
      <c r="N1474" s="23" t="str">
        <f t="shared" ref="N1474:N1537" si="94">IF(AND(G1474="Paid",J1474=0),"Paid, no payment",IF(AND(OR(G1474="Failed",G1474="Cancelled"),J1474&gt;0),"Payment on failed/cancelled",IF(J1474&gt;1,"Duplicate charge",IF(AND(J1474=1,ROUND(K1474-H1474,2)&lt;&gt;0),"Amount difference",IF(AND(G1474="Refunded",L1474=0),"Refunded, no refund",IF(AND(G1474&lt;&gt;"Refunded",L1474&gt;0),"Refund, order not Refunded",IF(AND(L1474&gt;0,ROUND(M1474-H1474,2)&lt;&gt;0),"Refund amount differs","OK")))))))</f>
        <v>OK</v>
      </c>
      <c r="O1474" s="24">
        <f t="shared" ref="O1474:O1537" si="95">IF(N1474="OK",0,IF(N1474="Paid, no payment",H1474,IF(N1474="Payment on failed/cancelled",K1474,IF(OR(N1474="Duplicate charge",N1474="Amount difference"),K1474-H1474,IF(N1474="Refunded, no refund",H1474,M1474)))))</f>
        <v>0</v>
      </c>
    </row>
    <row r="1475" spans="1:15" ht="15" customHeight="1" x14ac:dyDescent="0.3">
      <c r="A1475" s="23" t="s">
        <v>3431</v>
      </c>
      <c r="B1475" s="38">
        <v>46284</v>
      </c>
      <c r="C1475" s="23" t="s">
        <v>3432</v>
      </c>
      <c r="D1475" s="23" t="s">
        <v>86</v>
      </c>
      <c r="E1475" s="23" t="s">
        <v>75</v>
      </c>
      <c r="F1475" s="23" t="s">
        <v>475</v>
      </c>
      <c r="G1475" s="23" t="s">
        <v>250</v>
      </c>
      <c r="H1475" s="39">
        <f t="shared" si="92"/>
        <v>799</v>
      </c>
      <c r="I1475" s="23" t="str">
        <f t="shared" si="93"/>
        <v>Delhi</v>
      </c>
      <c r="J1475" s="23">
        <f>COUNTIFS(pg_transaction_cleaned!$O:$O,A1475,pg_transaction_cleaned!$F:$F,"CAPTURE")</f>
        <v>1</v>
      </c>
      <c r="K1475" s="39">
        <f>SUMIFS(pg_transaction_cleaned!$H:$H,pg_transaction_cleaned!$O:$O,A1475,pg_transaction_cleaned!$F:$F,"CAPTURE")</f>
        <v>799</v>
      </c>
      <c r="L1475" s="23">
        <f>COUNTIFS(pg_transaction_cleaned!$O:$O,A1475,pg_transaction_cleaned!$F:$F,"REFUND")</f>
        <v>0</v>
      </c>
      <c r="M1475" s="39">
        <f>SUMIFS(pg_transaction_cleaned!$H:$H,pg_transaction_cleaned!$O:$O,A1475,pg_transaction_cleaned!$F:$F,"REFUND")</f>
        <v>0</v>
      </c>
      <c r="N1475" s="23" t="str">
        <f t="shared" si="94"/>
        <v>OK</v>
      </c>
      <c r="O1475" s="24">
        <f t="shared" si="95"/>
        <v>0</v>
      </c>
    </row>
    <row r="1476" spans="1:15" ht="15" customHeight="1" x14ac:dyDescent="0.3">
      <c r="A1476" s="23" t="s">
        <v>3433</v>
      </c>
      <c r="B1476" s="38">
        <v>46270</v>
      </c>
      <c r="C1476" s="23" t="s">
        <v>3434</v>
      </c>
      <c r="D1476" s="23" t="s">
        <v>94</v>
      </c>
      <c r="E1476" s="23" t="s">
        <v>77</v>
      </c>
      <c r="F1476" s="23" t="s">
        <v>499</v>
      </c>
      <c r="G1476" s="23" t="s">
        <v>250</v>
      </c>
      <c r="H1476" s="39">
        <f t="shared" si="92"/>
        <v>5998</v>
      </c>
      <c r="I1476" s="23" t="str">
        <f t="shared" si="93"/>
        <v>Chennai</v>
      </c>
      <c r="J1476" s="23">
        <f>COUNTIFS(pg_transaction_cleaned!$O:$O,A1476,pg_transaction_cleaned!$F:$F,"CAPTURE")</f>
        <v>1</v>
      </c>
      <c r="K1476" s="39">
        <f>SUMIFS(pg_transaction_cleaned!$H:$H,pg_transaction_cleaned!$O:$O,A1476,pg_transaction_cleaned!$F:$F,"CAPTURE")</f>
        <v>5998</v>
      </c>
      <c r="L1476" s="23">
        <f>COUNTIFS(pg_transaction_cleaned!$O:$O,A1476,pg_transaction_cleaned!$F:$F,"REFUND")</f>
        <v>0</v>
      </c>
      <c r="M1476" s="39">
        <f>SUMIFS(pg_transaction_cleaned!$H:$H,pg_transaction_cleaned!$O:$O,A1476,pg_transaction_cleaned!$F:$F,"REFUND")</f>
        <v>0</v>
      </c>
      <c r="N1476" s="23" t="str">
        <f t="shared" si="94"/>
        <v>OK</v>
      </c>
      <c r="O1476" s="24">
        <f t="shared" si="95"/>
        <v>0</v>
      </c>
    </row>
    <row r="1477" spans="1:15" ht="15" customHeight="1" x14ac:dyDescent="0.3">
      <c r="A1477" s="23" t="s">
        <v>3435</v>
      </c>
      <c r="B1477" s="38">
        <v>46288</v>
      </c>
      <c r="C1477" s="23" t="s">
        <v>3436</v>
      </c>
      <c r="D1477" s="23" t="s">
        <v>90</v>
      </c>
      <c r="E1477" s="23" t="s">
        <v>79</v>
      </c>
      <c r="F1477" s="23" t="s">
        <v>396</v>
      </c>
      <c r="G1477" s="23" t="s">
        <v>250</v>
      </c>
      <c r="H1477" s="39">
        <f t="shared" si="92"/>
        <v>2999</v>
      </c>
      <c r="I1477" s="23" t="str">
        <f t="shared" si="93"/>
        <v>Ahmedabad</v>
      </c>
      <c r="J1477" s="23">
        <f>COUNTIFS(pg_transaction_cleaned!$O:$O,A1477,pg_transaction_cleaned!$F:$F,"CAPTURE")</f>
        <v>1</v>
      </c>
      <c r="K1477" s="39">
        <f>SUMIFS(pg_transaction_cleaned!$H:$H,pg_transaction_cleaned!$O:$O,A1477,pg_transaction_cleaned!$F:$F,"CAPTURE")</f>
        <v>2999</v>
      </c>
      <c r="L1477" s="23">
        <f>COUNTIFS(pg_transaction_cleaned!$O:$O,A1477,pg_transaction_cleaned!$F:$F,"REFUND")</f>
        <v>0</v>
      </c>
      <c r="M1477" s="39">
        <f>SUMIFS(pg_transaction_cleaned!$H:$H,pg_transaction_cleaned!$O:$O,A1477,pg_transaction_cleaned!$F:$F,"REFUND")</f>
        <v>0</v>
      </c>
      <c r="N1477" s="23" t="str">
        <f t="shared" si="94"/>
        <v>OK</v>
      </c>
      <c r="O1477" s="24">
        <f t="shared" si="95"/>
        <v>0</v>
      </c>
    </row>
    <row r="1478" spans="1:15" ht="15" customHeight="1" x14ac:dyDescent="0.3">
      <c r="A1478" s="23" t="s">
        <v>3437</v>
      </c>
      <c r="B1478" s="38">
        <v>46277</v>
      </c>
      <c r="C1478" s="23" t="s">
        <v>3438</v>
      </c>
      <c r="D1478" s="23" t="s">
        <v>92</v>
      </c>
      <c r="E1478" s="23" t="s">
        <v>75</v>
      </c>
      <c r="F1478" s="23" t="s">
        <v>300</v>
      </c>
      <c r="G1478" s="23" t="s">
        <v>250</v>
      </c>
      <c r="H1478" s="39">
        <f t="shared" si="92"/>
        <v>2598</v>
      </c>
      <c r="I1478" s="23" t="str">
        <f t="shared" si="93"/>
        <v>Hyderabad</v>
      </c>
      <c r="J1478" s="23">
        <f>COUNTIFS(pg_transaction_cleaned!$O:$O,A1478,pg_transaction_cleaned!$F:$F,"CAPTURE")</f>
        <v>1</v>
      </c>
      <c r="K1478" s="39">
        <f>SUMIFS(pg_transaction_cleaned!$H:$H,pg_transaction_cleaned!$O:$O,A1478,pg_transaction_cleaned!$F:$F,"CAPTURE")</f>
        <v>2598</v>
      </c>
      <c r="L1478" s="23">
        <f>COUNTIFS(pg_transaction_cleaned!$O:$O,A1478,pg_transaction_cleaned!$F:$F,"REFUND")</f>
        <v>0</v>
      </c>
      <c r="M1478" s="39">
        <f>SUMIFS(pg_transaction_cleaned!$H:$H,pg_transaction_cleaned!$O:$O,A1478,pg_transaction_cleaned!$F:$F,"REFUND")</f>
        <v>0</v>
      </c>
      <c r="N1478" s="23" t="str">
        <f t="shared" si="94"/>
        <v>OK</v>
      </c>
      <c r="O1478" s="24">
        <f t="shared" si="95"/>
        <v>0</v>
      </c>
    </row>
    <row r="1479" spans="1:15" ht="15" customHeight="1" x14ac:dyDescent="0.3">
      <c r="A1479" s="23" t="s">
        <v>3439</v>
      </c>
      <c r="B1479" s="38">
        <v>46286</v>
      </c>
      <c r="C1479" s="23" t="s">
        <v>3440</v>
      </c>
      <c r="D1479" s="23" t="s">
        <v>91</v>
      </c>
      <c r="E1479" s="23" t="s">
        <v>75</v>
      </c>
      <c r="F1479" s="23" t="s">
        <v>475</v>
      </c>
      <c r="G1479" s="23" t="s">
        <v>250</v>
      </c>
      <c r="H1479" s="39">
        <f t="shared" si="92"/>
        <v>799</v>
      </c>
      <c r="I1479" s="23" t="str">
        <f t="shared" si="93"/>
        <v>Pune</v>
      </c>
      <c r="J1479" s="23">
        <f>COUNTIFS(pg_transaction_cleaned!$O:$O,A1479,pg_transaction_cleaned!$F:$F,"CAPTURE")</f>
        <v>1</v>
      </c>
      <c r="K1479" s="39">
        <f>SUMIFS(pg_transaction_cleaned!$H:$H,pg_transaction_cleaned!$O:$O,A1479,pg_transaction_cleaned!$F:$F,"CAPTURE")</f>
        <v>799</v>
      </c>
      <c r="L1479" s="23">
        <f>COUNTIFS(pg_transaction_cleaned!$O:$O,A1479,pg_transaction_cleaned!$F:$F,"REFUND")</f>
        <v>0</v>
      </c>
      <c r="M1479" s="39">
        <f>SUMIFS(pg_transaction_cleaned!$H:$H,pg_transaction_cleaned!$O:$O,A1479,pg_transaction_cleaned!$F:$F,"REFUND")</f>
        <v>0</v>
      </c>
      <c r="N1479" s="23" t="str">
        <f t="shared" si="94"/>
        <v>OK</v>
      </c>
      <c r="O1479" s="24">
        <f t="shared" si="95"/>
        <v>0</v>
      </c>
    </row>
    <row r="1480" spans="1:15" ht="15" customHeight="1" x14ac:dyDescent="0.3">
      <c r="A1480" s="23" t="s">
        <v>3441</v>
      </c>
      <c r="B1480" s="38">
        <v>46268</v>
      </c>
      <c r="C1480" s="23" t="s">
        <v>3442</v>
      </c>
      <c r="D1480" s="23" t="s">
        <v>89</v>
      </c>
      <c r="E1480" s="23" t="s">
        <v>75</v>
      </c>
      <c r="F1480" s="23" t="s">
        <v>558</v>
      </c>
      <c r="G1480" s="23" t="s">
        <v>250</v>
      </c>
      <c r="H1480" s="39">
        <f t="shared" si="92"/>
        <v>1447</v>
      </c>
      <c r="I1480" s="23" t="str">
        <f t="shared" si="93"/>
        <v>Jaipur</v>
      </c>
      <c r="J1480" s="23">
        <f>COUNTIFS(pg_transaction_cleaned!$O:$O,A1480,pg_transaction_cleaned!$F:$F,"CAPTURE")</f>
        <v>1</v>
      </c>
      <c r="K1480" s="39">
        <f>SUMIFS(pg_transaction_cleaned!$H:$H,pg_transaction_cleaned!$O:$O,A1480,pg_transaction_cleaned!$F:$F,"CAPTURE")</f>
        <v>1447</v>
      </c>
      <c r="L1480" s="23">
        <f>COUNTIFS(pg_transaction_cleaned!$O:$O,A1480,pg_transaction_cleaned!$F:$F,"REFUND")</f>
        <v>0</v>
      </c>
      <c r="M1480" s="39">
        <f>SUMIFS(pg_transaction_cleaned!$H:$H,pg_transaction_cleaned!$O:$O,A1480,pg_transaction_cleaned!$F:$F,"REFUND")</f>
        <v>0</v>
      </c>
      <c r="N1480" s="23" t="str">
        <f t="shared" si="94"/>
        <v>OK</v>
      </c>
      <c r="O1480" s="24">
        <f t="shared" si="95"/>
        <v>0</v>
      </c>
    </row>
    <row r="1481" spans="1:15" ht="15" customHeight="1" x14ac:dyDescent="0.3">
      <c r="A1481" s="23" t="s">
        <v>3443</v>
      </c>
      <c r="B1481" s="38">
        <v>46295</v>
      </c>
      <c r="C1481" s="23" t="s">
        <v>3444</v>
      </c>
      <c r="D1481" s="23" t="s">
        <v>89</v>
      </c>
      <c r="E1481" s="23" t="s">
        <v>77</v>
      </c>
      <c r="F1481" s="23" t="s">
        <v>3445</v>
      </c>
      <c r="G1481" s="23" t="s">
        <v>250</v>
      </c>
      <c r="H1481" s="39">
        <f t="shared" si="92"/>
        <v>12998</v>
      </c>
      <c r="I1481" s="23" t="str">
        <f t="shared" si="93"/>
        <v>Jaipur</v>
      </c>
      <c r="J1481" s="23">
        <f>COUNTIFS(pg_transaction_cleaned!$O:$O,A1481,pg_transaction_cleaned!$F:$F,"CAPTURE")</f>
        <v>2</v>
      </c>
      <c r="K1481" s="39">
        <f>SUMIFS(pg_transaction_cleaned!$H:$H,pg_transaction_cleaned!$O:$O,A1481,pg_transaction_cleaned!$F:$F,"CAPTURE")</f>
        <v>25996</v>
      </c>
      <c r="L1481" s="23">
        <f>COUNTIFS(pg_transaction_cleaned!$O:$O,A1481,pg_transaction_cleaned!$F:$F,"REFUND")</f>
        <v>0</v>
      </c>
      <c r="M1481" s="39">
        <f>SUMIFS(pg_transaction_cleaned!$H:$H,pg_transaction_cleaned!$O:$O,A1481,pg_transaction_cleaned!$F:$F,"REFUND")</f>
        <v>0</v>
      </c>
      <c r="N1481" s="23" t="str">
        <f t="shared" si="94"/>
        <v>Duplicate charge</v>
      </c>
      <c r="O1481" s="24">
        <f t="shared" si="95"/>
        <v>12998</v>
      </c>
    </row>
    <row r="1482" spans="1:15" ht="15" customHeight="1" x14ac:dyDescent="0.3">
      <c r="A1482" s="23" t="s">
        <v>3446</v>
      </c>
      <c r="B1482" s="38">
        <v>46295</v>
      </c>
      <c r="C1482" s="23" t="s">
        <v>3447</v>
      </c>
      <c r="D1482" s="23" t="s">
        <v>91</v>
      </c>
      <c r="E1482" s="23" t="s">
        <v>77</v>
      </c>
      <c r="F1482" s="23" t="s">
        <v>3365</v>
      </c>
      <c r="G1482" s="23" t="s">
        <v>250</v>
      </c>
      <c r="H1482" s="39">
        <f t="shared" si="92"/>
        <v>3497</v>
      </c>
      <c r="I1482" s="23" t="str">
        <f t="shared" si="93"/>
        <v>Pune</v>
      </c>
      <c r="J1482" s="23">
        <f>COUNTIFS(pg_transaction_cleaned!$O:$O,A1482,pg_transaction_cleaned!$F:$F,"CAPTURE")</f>
        <v>1</v>
      </c>
      <c r="K1482" s="39">
        <f>SUMIFS(pg_transaction_cleaned!$H:$H,pg_transaction_cleaned!$O:$O,A1482,pg_transaction_cleaned!$F:$F,"CAPTURE")</f>
        <v>3497</v>
      </c>
      <c r="L1482" s="23">
        <f>COUNTIFS(pg_transaction_cleaned!$O:$O,A1482,pg_transaction_cleaned!$F:$F,"REFUND")</f>
        <v>0</v>
      </c>
      <c r="M1482" s="39">
        <f>SUMIFS(pg_transaction_cleaned!$H:$H,pg_transaction_cleaned!$O:$O,A1482,pg_transaction_cleaned!$F:$F,"REFUND")</f>
        <v>0</v>
      </c>
      <c r="N1482" s="23" t="str">
        <f t="shared" si="94"/>
        <v>OK</v>
      </c>
      <c r="O1482" s="24">
        <f t="shared" si="95"/>
        <v>0</v>
      </c>
    </row>
    <row r="1483" spans="1:15" ht="15" customHeight="1" x14ac:dyDescent="0.3">
      <c r="A1483" s="23" t="s">
        <v>3448</v>
      </c>
      <c r="B1483" s="38">
        <v>46278</v>
      </c>
      <c r="C1483" s="23" t="s">
        <v>3449</v>
      </c>
      <c r="D1483" s="23" t="s">
        <v>93</v>
      </c>
      <c r="E1483" s="23" t="s">
        <v>81</v>
      </c>
      <c r="F1483" s="23" t="s">
        <v>271</v>
      </c>
      <c r="G1483" s="23" t="s">
        <v>250</v>
      </c>
      <c r="H1483" s="39">
        <f t="shared" si="92"/>
        <v>2499</v>
      </c>
      <c r="I1483" s="23" t="str">
        <f t="shared" si="93"/>
        <v>Kolkata</v>
      </c>
      <c r="J1483" s="23">
        <f>COUNTIFS(pg_transaction_cleaned!$O:$O,A1483,pg_transaction_cleaned!$F:$F,"CAPTURE")</f>
        <v>1</v>
      </c>
      <c r="K1483" s="39">
        <f>SUMIFS(pg_transaction_cleaned!$H:$H,pg_transaction_cleaned!$O:$O,A1483,pg_transaction_cleaned!$F:$F,"CAPTURE")</f>
        <v>2499</v>
      </c>
      <c r="L1483" s="23">
        <f>COUNTIFS(pg_transaction_cleaned!$O:$O,A1483,pg_transaction_cleaned!$F:$F,"REFUND")</f>
        <v>0</v>
      </c>
      <c r="M1483" s="39">
        <f>SUMIFS(pg_transaction_cleaned!$H:$H,pg_transaction_cleaned!$O:$O,A1483,pg_transaction_cleaned!$F:$F,"REFUND")</f>
        <v>0</v>
      </c>
      <c r="N1483" s="23" t="str">
        <f t="shared" si="94"/>
        <v>OK</v>
      </c>
      <c r="O1483" s="24">
        <f t="shared" si="95"/>
        <v>0</v>
      </c>
    </row>
    <row r="1484" spans="1:15" ht="15" customHeight="1" x14ac:dyDescent="0.3">
      <c r="A1484" s="23" t="s">
        <v>3450</v>
      </c>
      <c r="B1484" s="38">
        <v>46288</v>
      </c>
      <c r="C1484" s="23" t="s">
        <v>3451</v>
      </c>
      <c r="D1484" s="23" t="s">
        <v>88</v>
      </c>
      <c r="E1484" s="23" t="s">
        <v>79</v>
      </c>
      <c r="F1484" s="23" t="s">
        <v>346</v>
      </c>
      <c r="G1484" s="23" t="s">
        <v>250</v>
      </c>
      <c r="H1484" s="39">
        <f t="shared" si="92"/>
        <v>4498</v>
      </c>
      <c r="I1484" s="23" t="str">
        <f t="shared" si="93"/>
        <v>Lucknow</v>
      </c>
      <c r="J1484" s="23">
        <f>COUNTIFS(pg_transaction_cleaned!$O:$O,A1484,pg_transaction_cleaned!$F:$F,"CAPTURE")</f>
        <v>1</v>
      </c>
      <c r="K1484" s="39">
        <f>SUMIFS(pg_transaction_cleaned!$H:$H,pg_transaction_cleaned!$O:$O,A1484,pg_transaction_cleaned!$F:$F,"CAPTURE")</f>
        <v>4498</v>
      </c>
      <c r="L1484" s="23">
        <f>COUNTIFS(pg_transaction_cleaned!$O:$O,A1484,pg_transaction_cleaned!$F:$F,"REFUND")</f>
        <v>0</v>
      </c>
      <c r="M1484" s="39">
        <f>SUMIFS(pg_transaction_cleaned!$H:$H,pg_transaction_cleaned!$O:$O,A1484,pg_transaction_cleaned!$F:$F,"REFUND")</f>
        <v>0</v>
      </c>
      <c r="N1484" s="23" t="str">
        <f t="shared" si="94"/>
        <v>OK</v>
      </c>
      <c r="O1484" s="24">
        <f t="shared" si="95"/>
        <v>0</v>
      </c>
    </row>
    <row r="1485" spans="1:15" ht="15" customHeight="1" x14ac:dyDescent="0.3">
      <c r="A1485" s="23" t="s">
        <v>3452</v>
      </c>
      <c r="B1485" s="38">
        <v>46267</v>
      </c>
      <c r="C1485" s="23" t="s">
        <v>3453</v>
      </c>
      <c r="D1485" s="23"/>
      <c r="E1485" s="23" t="s">
        <v>77</v>
      </c>
      <c r="F1485" s="23" t="s">
        <v>460</v>
      </c>
      <c r="G1485" s="23" t="s">
        <v>250</v>
      </c>
      <c r="H1485" s="39">
        <f t="shared" si="92"/>
        <v>1998</v>
      </c>
      <c r="I1485" s="23" t="str">
        <f t="shared" si="93"/>
        <v>Unknown</v>
      </c>
      <c r="J1485" s="23">
        <f>COUNTIFS(pg_transaction_cleaned!$O:$O,A1485,pg_transaction_cleaned!$F:$F,"CAPTURE")</f>
        <v>1</v>
      </c>
      <c r="K1485" s="39">
        <f>SUMIFS(pg_transaction_cleaned!$H:$H,pg_transaction_cleaned!$O:$O,A1485,pg_transaction_cleaned!$F:$F,"CAPTURE")</f>
        <v>1998</v>
      </c>
      <c r="L1485" s="23">
        <f>COUNTIFS(pg_transaction_cleaned!$O:$O,A1485,pg_transaction_cleaned!$F:$F,"REFUND")</f>
        <v>0</v>
      </c>
      <c r="M1485" s="39">
        <f>SUMIFS(pg_transaction_cleaned!$H:$H,pg_transaction_cleaned!$O:$O,A1485,pg_transaction_cleaned!$F:$F,"REFUND")</f>
        <v>0</v>
      </c>
      <c r="N1485" s="23" t="str">
        <f t="shared" si="94"/>
        <v>OK</v>
      </c>
      <c r="O1485" s="24">
        <f t="shared" si="95"/>
        <v>0</v>
      </c>
    </row>
    <row r="1486" spans="1:15" ht="15" customHeight="1" x14ac:dyDescent="0.3">
      <c r="A1486" s="23" t="s">
        <v>3454</v>
      </c>
      <c r="B1486" s="38">
        <v>46271</v>
      </c>
      <c r="C1486" s="23" t="s">
        <v>3455</v>
      </c>
      <c r="D1486" s="23" t="s">
        <v>93</v>
      </c>
      <c r="E1486" s="23" t="s">
        <v>75</v>
      </c>
      <c r="F1486" s="23" t="s">
        <v>265</v>
      </c>
      <c r="G1486" s="23" t="s">
        <v>250</v>
      </c>
      <c r="H1486" s="39">
        <f t="shared" si="92"/>
        <v>999</v>
      </c>
      <c r="I1486" s="23" t="str">
        <f t="shared" si="93"/>
        <v>Kolkata</v>
      </c>
      <c r="J1486" s="23">
        <f>COUNTIFS(pg_transaction_cleaned!$O:$O,A1486,pg_transaction_cleaned!$F:$F,"CAPTURE")</f>
        <v>1</v>
      </c>
      <c r="K1486" s="39">
        <f>SUMIFS(pg_transaction_cleaned!$H:$H,pg_transaction_cleaned!$O:$O,A1486,pg_transaction_cleaned!$F:$F,"CAPTURE")</f>
        <v>999</v>
      </c>
      <c r="L1486" s="23">
        <f>COUNTIFS(pg_transaction_cleaned!$O:$O,A1486,pg_transaction_cleaned!$F:$F,"REFUND")</f>
        <v>0</v>
      </c>
      <c r="M1486" s="39">
        <f>SUMIFS(pg_transaction_cleaned!$H:$H,pg_transaction_cleaned!$O:$O,A1486,pg_transaction_cleaned!$F:$F,"REFUND")</f>
        <v>0</v>
      </c>
      <c r="N1486" s="23" t="str">
        <f t="shared" si="94"/>
        <v>OK</v>
      </c>
      <c r="O1486" s="24">
        <f t="shared" si="95"/>
        <v>0</v>
      </c>
    </row>
    <row r="1487" spans="1:15" ht="15" customHeight="1" x14ac:dyDescent="0.3">
      <c r="A1487" s="23" t="s">
        <v>3456</v>
      </c>
      <c r="B1487" s="38">
        <v>46281</v>
      </c>
      <c r="C1487" s="23" t="s">
        <v>3457</v>
      </c>
      <c r="D1487" s="23" t="s">
        <v>95</v>
      </c>
      <c r="E1487" s="23" t="s">
        <v>75</v>
      </c>
      <c r="F1487" s="23" t="s">
        <v>974</v>
      </c>
      <c r="G1487" s="23" t="s">
        <v>301</v>
      </c>
      <c r="H1487" s="39">
        <f t="shared" si="92"/>
        <v>1498</v>
      </c>
      <c r="I1487" s="23" t="str">
        <f t="shared" si="93"/>
        <v>Bengaluru</v>
      </c>
      <c r="J1487" s="23">
        <f>COUNTIFS(pg_transaction_cleaned!$O:$O,A1487,pg_transaction_cleaned!$F:$F,"CAPTURE")</f>
        <v>1</v>
      </c>
      <c r="K1487" s="39">
        <f>SUMIFS(pg_transaction_cleaned!$H:$H,pg_transaction_cleaned!$O:$O,A1487,pg_transaction_cleaned!$F:$F,"CAPTURE")</f>
        <v>1498</v>
      </c>
      <c r="L1487" s="23">
        <f>COUNTIFS(pg_transaction_cleaned!$O:$O,A1487,pg_transaction_cleaned!$F:$F,"REFUND")</f>
        <v>1</v>
      </c>
      <c r="M1487" s="39">
        <f>SUMIFS(pg_transaction_cleaned!$H:$H,pg_transaction_cleaned!$O:$O,A1487,pg_transaction_cleaned!$F:$F,"REFUND")</f>
        <v>1498</v>
      </c>
      <c r="N1487" s="23" t="str">
        <f t="shared" si="94"/>
        <v>OK</v>
      </c>
      <c r="O1487" s="24">
        <f t="shared" si="95"/>
        <v>0</v>
      </c>
    </row>
    <row r="1488" spans="1:15" ht="15" customHeight="1" x14ac:dyDescent="0.3">
      <c r="A1488" s="23" t="s">
        <v>3458</v>
      </c>
      <c r="B1488" s="38">
        <v>46292</v>
      </c>
      <c r="C1488" s="23" t="s">
        <v>3459</v>
      </c>
      <c r="D1488" s="23" t="s">
        <v>92</v>
      </c>
      <c r="E1488" s="23" t="s">
        <v>75</v>
      </c>
      <c r="F1488" s="23" t="s">
        <v>3445</v>
      </c>
      <c r="G1488" s="23" t="s">
        <v>250</v>
      </c>
      <c r="H1488" s="39">
        <f t="shared" si="92"/>
        <v>12998</v>
      </c>
      <c r="I1488" s="23" t="str">
        <f t="shared" si="93"/>
        <v>Hyderabad</v>
      </c>
      <c r="J1488" s="23">
        <f>COUNTIFS(pg_transaction_cleaned!$O:$O,A1488,pg_transaction_cleaned!$F:$F,"CAPTURE")</f>
        <v>1</v>
      </c>
      <c r="K1488" s="39">
        <f>SUMIFS(pg_transaction_cleaned!$H:$H,pg_transaction_cleaned!$O:$O,A1488,pg_transaction_cleaned!$F:$F,"CAPTURE")</f>
        <v>12998</v>
      </c>
      <c r="L1488" s="23">
        <f>COUNTIFS(pg_transaction_cleaned!$O:$O,A1488,pg_transaction_cleaned!$F:$F,"REFUND")</f>
        <v>0</v>
      </c>
      <c r="M1488" s="39">
        <f>SUMIFS(pg_transaction_cleaned!$H:$H,pg_transaction_cleaned!$O:$O,A1488,pg_transaction_cleaned!$F:$F,"REFUND")</f>
        <v>0</v>
      </c>
      <c r="N1488" s="23" t="str">
        <f t="shared" si="94"/>
        <v>OK</v>
      </c>
      <c r="O1488" s="24">
        <f t="shared" si="95"/>
        <v>0</v>
      </c>
    </row>
    <row r="1489" spans="1:15" ht="15" customHeight="1" x14ac:dyDescent="0.3">
      <c r="A1489" s="23" t="s">
        <v>3460</v>
      </c>
      <c r="B1489" s="38">
        <v>46274</v>
      </c>
      <c r="C1489" s="23" t="s">
        <v>3461</v>
      </c>
      <c r="D1489" s="23" t="s">
        <v>92</v>
      </c>
      <c r="E1489" s="23" t="s">
        <v>79</v>
      </c>
      <c r="F1489" s="23" t="s">
        <v>249</v>
      </c>
      <c r="G1489" s="23" t="s">
        <v>250</v>
      </c>
      <c r="H1489" s="39">
        <f t="shared" si="92"/>
        <v>299</v>
      </c>
      <c r="I1489" s="23" t="str">
        <f t="shared" si="93"/>
        <v>Hyderabad</v>
      </c>
      <c r="J1489" s="23">
        <f>COUNTIFS(pg_transaction_cleaned!$O:$O,A1489,pg_transaction_cleaned!$F:$F,"CAPTURE")</f>
        <v>1</v>
      </c>
      <c r="K1489" s="39">
        <f>SUMIFS(pg_transaction_cleaned!$H:$H,pg_transaction_cleaned!$O:$O,A1489,pg_transaction_cleaned!$F:$F,"CAPTURE")</f>
        <v>299</v>
      </c>
      <c r="L1489" s="23">
        <f>COUNTIFS(pg_transaction_cleaned!$O:$O,A1489,pg_transaction_cleaned!$F:$F,"REFUND")</f>
        <v>0</v>
      </c>
      <c r="M1489" s="39">
        <f>SUMIFS(pg_transaction_cleaned!$H:$H,pg_transaction_cleaned!$O:$O,A1489,pg_transaction_cleaned!$F:$F,"REFUND")</f>
        <v>0</v>
      </c>
      <c r="N1489" s="23" t="str">
        <f t="shared" si="94"/>
        <v>OK</v>
      </c>
      <c r="O1489" s="24">
        <f t="shared" si="95"/>
        <v>0</v>
      </c>
    </row>
    <row r="1490" spans="1:15" ht="15" customHeight="1" x14ac:dyDescent="0.3">
      <c r="A1490" s="23" t="s">
        <v>3462</v>
      </c>
      <c r="B1490" s="38">
        <v>46295</v>
      </c>
      <c r="C1490" s="23" t="s">
        <v>3463</v>
      </c>
      <c r="D1490" s="23" t="s">
        <v>87</v>
      </c>
      <c r="E1490" s="23" t="s">
        <v>77</v>
      </c>
      <c r="F1490" s="23" t="s">
        <v>3464</v>
      </c>
      <c r="G1490" s="23" t="s">
        <v>318</v>
      </c>
      <c r="H1490" s="39">
        <f t="shared" si="92"/>
        <v>10097</v>
      </c>
      <c r="I1490" s="23" t="str">
        <f t="shared" si="93"/>
        <v>Mumbai</v>
      </c>
      <c r="J1490" s="23">
        <f>COUNTIFS(pg_transaction_cleaned!$O:$O,A1490,pg_transaction_cleaned!$F:$F,"CAPTURE")</f>
        <v>0</v>
      </c>
      <c r="K1490" s="39">
        <f>SUMIFS(pg_transaction_cleaned!$H:$H,pg_transaction_cleaned!$O:$O,A1490,pg_transaction_cleaned!$F:$F,"CAPTURE")</f>
        <v>0</v>
      </c>
      <c r="L1490" s="23">
        <f>COUNTIFS(pg_transaction_cleaned!$O:$O,A1490,pg_transaction_cleaned!$F:$F,"REFUND")</f>
        <v>0</v>
      </c>
      <c r="M1490" s="39">
        <f>SUMIFS(pg_transaction_cleaned!$H:$H,pg_transaction_cleaned!$O:$O,A1490,pg_transaction_cleaned!$F:$F,"REFUND")</f>
        <v>0</v>
      </c>
      <c r="N1490" s="23" t="str">
        <f t="shared" si="94"/>
        <v>OK</v>
      </c>
      <c r="O1490" s="24">
        <f t="shared" si="95"/>
        <v>0</v>
      </c>
    </row>
    <row r="1491" spans="1:15" ht="15" customHeight="1" x14ac:dyDescent="0.3">
      <c r="A1491" s="23" t="s">
        <v>3465</v>
      </c>
      <c r="B1491" s="38">
        <v>46277</v>
      </c>
      <c r="C1491" s="23" t="s">
        <v>3466</v>
      </c>
      <c r="D1491" s="23" t="s">
        <v>87</v>
      </c>
      <c r="E1491" s="23" t="s">
        <v>75</v>
      </c>
      <c r="F1491" s="23" t="s">
        <v>271</v>
      </c>
      <c r="G1491" s="23" t="s">
        <v>250</v>
      </c>
      <c r="H1491" s="39">
        <f t="shared" si="92"/>
        <v>2499</v>
      </c>
      <c r="I1491" s="23" t="str">
        <f t="shared" si="93"/>
        <v>Mumbai</v>
      </c>
      <c r="J1491" s="23">
        <f>COUNTIFS(pg_transaction_cleaned!$O:$O,A1491,pg_transaction_cleaned!$F:$F,"CAPTURE")</f>
        <v>1</v>
      </c>
      <c r="K1491" s="39">
        <f>SUMIFS(pg_transaction_cleaned!$H:$H,pg_transaction_cleaned!$O:$O,A1491,pg_transaction_cleaned!$F:$F,"CAPTURE")</f>
        <v>2499</v>
      </c>
      <c r="L1491" s="23">
        <f>COUNTIFS(pg_transaction_cleaned!$O:$O,A1491,pg_transaction_cleaned!$F:$F,"REFUND")</f>
        <v>0</v>
      </c>
      <c r="M1491" s="39">
        <f>SUMIFS(pg_transaction_cleaned!$H:$H,pg_transaction_cleaned!$O:$O,A1491,pg_transaction_cleaned!$F:$F,"REFUND")</f>
        <v>0</v>
      </c>
      <c r="N1491" s="23" t="str">
        <f t="shared" si="94"/>
        <v>OK</v>
      </c>
      <c r="O1491" s="24">
        <f t="shared" si="95"/>
        <v>0</v>
      </c>
    </row>
    <row r="1492" spans="1:15" ht="15" customHeight="1" x14ac:dyDescent="0.3">
      <c r="A1492" s="23" t="s">
        <v>3467</v>
      </c>
      <c r="B1492" s="38">
        <v>46277</v>
      </c>
      <c r="C1492" s="23" t="s">
        <v>3468</v>
      </c>
      <c r="D1492" s="23" t="s">
        <v>91</v>
      </c>
      <c r="E1492" s="23" t="s">
        <v>75</v>
      </c>
      <c r="F1492" s="23" t="s">
        <v>1799</v>
      </c>
      <c r="G1492" s="23" t="s">
        <v>250</v>
      </c>
      <c r="H1492" s="39">
        <f t="shared" si="92"/>
        <v>2797</v>
      </c>
      <c r="I1492" s="23" t="str">
        <f t="shared" si="93"/>
        <v>Pune</v>
      </c>
      <c r="J1492" s="23">
        <f>COUNTIFS(pg_transaction_cleaned!$O:$O,A1492,pg_transaction_cleaned!$F:$F,"CAPTURE")</f>
        <v>1</v>
      </c>
      <c r="K1492" s="39">
        <f>SUMIFS(pg_transaction_cleaned!$H:$H,pg_transaction_cleaned!$O:$O,A1492,pg_transaction_cleaned!$F:$F,"CAPTURE")</f>
        <v>2797</v>
      </c>
      <c r="L1492" s="23">
        <f>COUNTIFS(pg_transaction_cleaned!$O:$O,A1492,pg_transaction_cleaned!$F:$F,"REFUND")</f>
        <v>0</v>
      </c>
      <c r="M1492" s="39">
        <f>SUMIFS(pg_transaction_cleaned!$H:$H,pg_transaction_cleaned!$O:$O,A1492,pg_transaction_cleaned!$F:$F,"REFUND")</f>
        <v>0</v>
      </c>
      <c r="N1492" s="23" t="str">
        <f t="shared" si="94"/>
        <v>OK</v>
      </c>
      <c r="O1492" s="24">
        <f t="shared" si="95"/>
        <v>0</v>
      </c>
    </row>
    <row r="1493" spans="1:15" ht="15" customHeight="1" x14ac:dyDescent="0.3">
      <c r="A1493" s="23" t="s">
        <v>3469</v>
      </c>
      <c r="B1493" s="38">
        <v>46282</v>
      </c>
      <c r="C1493" s="23" t="s">
        <v>3470</v>
      </c>
      <c r="D1493" s="23" t="s">
        <v>92</v>
      </c>
      <c r="E1493" s="23" t="s">
        <v>75</v>
      </c>
      <c r="F1493" s="23" t="s">
        <v>349</v>
      </c>
      <c r="G1493" s="23" t="s">
        <v>250</v>
      </c>
      <c r="H1493" s="39">
        <f t="shared" si="92"/>
        <v>1798</v>
      </c>
      <c r="I1493" s="23" t="str">
        <f t="shared" si="93"/>
        <v>Hyderabad</v>
      </c>
      <c r="J1493" s="23">
        <f>COUNTIFS(pg_transaction_cleaned!$O:$O,A1493,pg_transaction_cleaned!$F:$F,"CAPTURE")</f>
        <v>1</v>
      </c>
      <c r="K1493" s="39">
        <f>SUMIFS(pg_transaction_cleaned!$H:$H,pg_transaction_cleaned!$O:$O,A1493,pg_transaction_cleaned!$F:$F,"CAPTURE")</f>
        <v>1798</v>
      </c>
      <c r="L1493" s="23">
        <f>COUNTIFS(pg_transaction_cleaned!$O:$O,A1493,pg_transaction_cleaned!$F:$F,"REFUND")</f>
        <v>0</v>
      </c>
      <c r="M1493" s="39">
        <f>SUMIFS(pg_transaction_cleaned!$H:$H,pg_transaction_cleaned!$O:$O,A1493,pg_transaction_cleaned!$F:$F,"REFUND")</f>
        <v>0</v>
      </c>
      <c r="N1493" s="23" t="str">
        <f t="shared" si="94"/>
        <v>OK</v>
      </c>
      <c r="O1493" s="24">
        <f t="shared" si="95"/>
        <v>0</v>
      </c>
    </row>
    <row r="1494" spans="1:15" ht="15" customHeight="1" x14ac:dyDescent="0.3">
      <c r="A1494" s="23" t="s">
        <v>3471</v>
      </c>
      <c r="B1494" s="38">
        <v>46273</v>
      </c>
      <c r="C1494" s="23" t="s">
        <v>3472</v>
      </c>
      <c r="D1494" s="23" t="s">
        <v>89</v>
      </c>
      <c r="E1494" s="23" t="s">
        <v>75</v>
      </c>
      <c r="F1494" s="23" t="s">
        <v>880</v>
      </c>
      <c r="G1494" s="23" t="s">
        <v>250</v>
      </c>
      <c r="H1494" s="39">
        <f t="shared" si="92"/>
        <v>2298</v>
      </c>
      <c r="I1494" s="23" t="str">
        <f t="shared" si="93"/>
        <v>Jaipur</v>
      </c>
      <c r="J1494" s="23">
        <f>COUNTIFS(pg_transaction_cleaned!$O:$O,A1494,pg_transaction_cleaned!$F:$F,"CAPTURE")</f>
        <v>1</v>
      </c>
      <c r="K1494" s="39">
        <f>SUMIFS(pg_transaction_cleaned!$H:$H,pg_transaction_cleaned!$O:$O,A1494,pg_transaction_cleaned!$F:$F,"CAPTURE")</f>
        <v>2298</v>
      </c>
      <c r="L1494" s="23">
        <f>COUNTIFS(pg_transaction_cleaned!$O:$O,A1494,pg_transaction_cleaned!$F:$F,"REFUND")</f>
        <v>0</v>
      </c>
      <c r="M1494" s="39">
        <f>SUMIFS(pg_transaction_cleaned!$H:$H,pg_transaction_cleaned!$O:$O,A1494,pg_transaction_cleaned!$F:$F,"REFUND")</f>
        <v>0</v>
      </c>
      <c r="N1494" s="23" t="str">
        <f t="shared" si="94"/>
        <v>OK</v>
      </c>
      <c r="O1494" s="24">
        <f t="shared" si="95"/>
        <v>0</v>
      </c>
    </row>
    <row r="1495" spans="1:15" ht="15" customHeight="1" x14ac:dyDescent="0.3">
      <c r="A1495" s="23" t="s">
        <v>3473</v>
      </c>
      <c r="B1495" s="38">
        <v>46291</v>
      </c>
      <c r="C1495" s="23" t="s">
        <v>3474</v>
      </c>
      <c r="D1495" s="23" t="s">
        <v>86</v>
      </c>
      <c r="E1495" s="23" t="s">
        <v>79</v>
      </c>
      <c r="F1495" s="23" t="s">
        <v>274</v>
      </c>
      <c r="G1495" s="23" t="s">
        <v>301</v>
      </c>
      <c r="H1495" s="39">
        <f t="shared" si="92"/>
        <v>349</v>
      </c>
      <c r="I1495" s="23" t="str">
        <f t="shared" si="93"/>
        <v>Delhi</v>
      </c>
      <c r="J1495" s="23">
        <f>COUNTIFS(pg_transaction_cleaned!$O:$O,A1495,pg_transaction_cleaned!$F:$F,"CAPTURE")</f>
        <v>1</v>
      </c>
      <c r="K1495" s="39">
        <f>SUMIFS(pg_transaction_cleaned!$H:$H,pg_transaction_cleaned!$O:$O,A1495,pg_transaction_cleaned!$F:$F,"CAPTURE")</f>
        <v>349</v>
      </c>
      <c r="L1495" s="23">
        <f>COUNTIFS(pg_transaction_cleaned!$O:$O,A1495,pg_transaction_cleaned!$F:$F,"REFUND")</f>
        <v>1</v>
      </c>
      <c r="M1495" s="39">
        <f>SUMIFS(pg_transaction_cleaned!$H:$H,pg_transaction_cleaned!$O:$O,A1495,pg_transaction_cleaned!$F:$F,"REFUND")</f>
        <v>349</v>
      </c>
      <c r="N1495" s="23" t="str">
        <f t="shared" si="94"/>
        <v>OK</v>
      </c>
      <c r="O1495" s="24">
        <f t="shared" si="95"/>
        <v>0</v>
      </c>
    </row>
    <row r="1496" spans="1:15" ht="15" customHeight="1" x14ac:dyDescent="0.3">
      <c r="A1496" s="23" t="s">
        <v>3475</v>
      </c>
      <c r="B1496" s="38">
        <v>46270</v>
      </c>
      <c r="C1496" s="23" t="s">
        <v>3476</v>
      </c>
      <c r="D1496" s="23" t="s">
        <v>91</v>
      </c>
      <c r="E1496" s="23" t="s">
        <v>75</v>
      </c>
      <c r="F1496" s="23" t="s">
        <v>1596</v>
      </c>
      <c r="G1496" s="23" t="s">
        <v>250</v>
      </c>
      <c r="H1496" s="39">
        <f t="shared" si="92"/>
        <v>3499</v>
      </c>
      <c r="I1496" s="23" t="str">
        <f t="shared" si="93"/>
        <v>Pune</v>
      </c>
      <c r="J1496" s="23">
        <f>COUNTIFS(pg_transaction_cleaned!$O:$O,A1496,pg_transaction_cleaned!$F:$F,"CAPTURE")</f>
        <v>1</v>
      </c>
      <c r="K1496" s="39">
        <f>SUMIFS(pg_transaction_cleaned!$H:$H,pg_transaction_cleaned!$O:$O,A1496,pg_transaction_cleaned!$F:$F,"CAPTURE")</f>
        <v>3499</v>
      </c>
      <c r="L1496" s="23">
        <f>COUNTIFS(pg_transaction_cleaned!$O:$O,A1496,pg_transaction_cleaned!$F:$F,"REFUND")</f>
        <v>0</v>
      </c>
      <c r="M1496" s="39">
        <f>SUMIFS(pg_transaction_cleaned!$H:$H,pg_transaction_cleaned!$O:$O,A1496,pg_transaction_cleaned!$F:$F,"REFUND")</f>
        <v>0</v>
      </c>
      <c r="N1496" s="23" t="str">
        <f t="shared" si="94"/>
        <v>OK</v>
      </c>
      <c r="O1496" s="24">
        <f t="shared" si="95"/>
        <v>0</v>
      </c>
    </row>
    <row r="1497" spans="1:15" ht="15" customHeight="1" x14ac:dyDescent="0.3">
      <c r="A1497" s="23" t="s">
        <v>3477</v>
      </c>
      <c r="B1497" s="38">
        <v>46272</v>
      </c>
      <c r="C1497" s="23" t="s">
        <v>3478</v>
      </c>
      <c r="D1497" s="23"/>
      <c r="E1497" s="23" t="s">
        <v>75</v>
      </c>
      <c r="F1497" s="23" t="s">
        <v>249</v>
      </c>
      <c r="G1497" s="23" t="s">
        <v>250</v>
      </c>
      <c r="H1497" s="39">
        <f t="shared" si="92"/>
        <v>299</v>
      </c>
      <c r="I1497" s="23" t="str">
        <f t="shared" si="93"/>
        <v>Unknown</v>
      </c>
      <c r="J1497" s="23">
        <f>COUNTIFS(pg_transaction_cleaned!$O:$O,A1497,pg_transaction_cleaned!$F:$F,"CAPTURE")</f>
        <v>1</v>
      </c>
      <c r="K1497" s="39">
        <f>SUMIFS(pg_transaction_cleaned!$H:$H,pg_transaction_cleaned!$O:$O,A1497,pg_transaction_cleaned!$F:$F,"CAPTURE")</f>
        <v>299</v>
      </c>
      <c r="L1497" s="23">
        <f>COUNTIFS(pg_transaction_cleaned!$O:$O,A1497,pg_transaction_cleaned!$F:$F,"REFUND")</f>
        <v>0</v>
      </c>
      <c r="M1497" s="39">
        <f>SUMIFS(pg_transaction_cleaned!$H:$H,pg_transaction_cleaned!$O:$O,A1497,pg_transaction_cleaned!$F:$F,"REFUND")</f>
        <v>0</v>
      </c>
      <c r="N1497" s="23" t="str">
        <f t="shared" si="94"/>
        <v>OK</v>
      </c>
      <c r="O1497" s="24">
        <f t="shared" si="95"/>
        <v>0</v>
      </c>
    </row>
    <row r="1498" spans="1:15" ht="15" customHeight="1" x14ac:dyDescent="0.3">
      <c r="A1498" s="23" t="s">
        <v>3479</v>
      </c>
      <c r="B1498" s="38">
        <v>46271</v>
      </c>
      <c r="C1498" s="23" t="s">
        <v>3480</v>
      </c>
      <c r="D1498" s="23" t="s">
        <v>89</v>
      </c>
      <c r="E1498" s="23" t="s">
        <v>75</v>
      </c>
      <c r="F1498" s="23" t="s">
        <v>680</v>
      </c>
      <c r="G1498" s="23" t="s">
        <v>301</v>
      </c>
      <c r="H1498" s="39">
        <f t="shared" si="92"/>
        <v>5097</v>
      </c>
      <c r="I1498" s="23" t="str">
        <f t="shared" si="93"/>
        <v>Jaipur</v>
      </c>
      <c r="J1498" s="23">
        <f>COUNTIFS(pg_transaction_cleaned!$O:$O,A1498,pg_transaction_cleaned!$F:$F,"CAPTURE")</f>
        <v>1</v>
      </c>
      <c r="K1498" s="39">
        <f>SUMIFS(pg_transaction_cleaned!$H:$H,pg_transaction_cleaned!$O:$O,A1498,pg_transaction_cleaned!$F:$F,"CAPTURE")</f>
        <v>5097</v>
      </c>
      <c r="L1498" s="23">
        <f>COUNTIFS(pg_transaction_cleaned!$O:$O,A1498,pg_transaction_cleaned!$F:$F,"REFUND")</f>
        <v>1</v>
      </c>
      <c r="M1498" s="39">
        <f>SUMIFS(pg_transaction_cleaned!$H:$H,pg_transaction_cleaned!$O:$O,A1498,pg_transaction_cleaned!$F:$F,"REFUND")</f>
        <v>5097</v>
      </c>
      <c r="N1498" s="23" t="str">
        <f t="shared" si="94"/>
        <v>OK</v>
      </c>
      <c r="O1498" s="24">
        <f t="shared" si="95"/>
        <v>0</v>
      </c>
    </row>
    <row r="1499" spans="1:15" ht="15" customHeight="1" x14ac:dyDescent="0.3">
      <c r="A1499" s="23" t="s">
        <v>3481</v>
      </c>
      <c r="B1499" s="38">
        <v>46281</v>
      </c>
      <c r="C1499" s="23" t="s">
        <v>3482</v>
      </c>
      <c r="D1499" s="23" t="s">
        <v>89</v>
      </c>
      <c r="E1499" s="23" t="s">
        <v>79</v>
      </c>
      <c r="F1499" s="23" t="s">
        <v>1832</v>
      </c>
      <c r="G1499" s="23" t="s">
        <v>250</v>
      </c>
      <c r="H1499" s="39">
        <f t="shared" si="92"/>
        <v>4997</v>
      </c>
      <c r="I1499" s="23" t="str">
        <f t="shared" si="93"/>
        <v>Jaipur</v>
      </c>
      <c r="J1499" s="23">
        <f>COUNTIFS(pg_transaction_cleaned!$O:$O,A1499,pg_transaction_cleaned!$F:$F,"CAPTURE")</f>
        <v>1</v>
      </c>
      <c r="K1499" s="39">
        <f>SUMIFS(pg_transaction_cleaned!$H:$H,pg_transaction_cleaned!$O:$O,A1499,pg_transaction_cleaned!$F:$F,"CAPTURE")</f>
        <v>4997</v>
      </c>
      <c r="L1499" s="23">
        <f>COUNTIFS(pg_transaction_cleaned!$O:$O,A1499,pg_transaction_cleaned!$F:$F,"REFUND")</f>
        <v>0</v>
      </c>
      <c r="M1499" s="39">
        <f>SUMIFS(pg_transaction_cleaned!$H:$H,pg_transaction_cleaned!$O:$O,A1499,pg_transaction_cleaned!$F:$F,"REFUND")</f>
        <v>0</v>
      </c>
      <c r="N1499" s="23" t="str">
        <f t="shared" si="94"/>
        <v>OK</v>
      </c>
      <c r="O1499" s="24">
        <f t="shared" si="95"/>
        <v>0</v>
      </c>
    </row>
    <row r="1500" spans="1:15" ht="15" customHeight="1" x14ac:dyDescent="0.3">
      <c r="A1500" s="23" t="s">
        <v>3483</v>
      </c>
      <c r="B1500" s="38">
        <v>46289</v>
      </c>
      <c r="C1500" s="23" t="s">
        <v>3484</v>
      </c>
      <c r="D1500" s="23" t="s">
        <v>86</v>
      </c>
      <c r="E1500" s="23" t="s">
        <v>77</v>
      </c>
      <c r="F1500" s="23" t="s">
        <v>3485</v>
      </c>
      <c r="G1500" s="23" t="s">
        <v>250</v>
      </c>
      <c r="H1500" s="39">
        <f t="shared" si="92"/>
        <v>17297</v>
      </c>
      <c r="I1500" s="23" t="str">
        <f t="shared" si="93"/>
        <v>Delhi</v>
      </c>
      <c r="J1500" s="23">
        <f>COUNTIFS(pg_transaction_cleaned!$O:$O,A1500,pg_transaction_cleaned!$F:$F,"CAPTURE")</f>
        <v>1</v>
      </c>
      <c r="K1500" s="39">
        <f>SUMIFS(pg_transaction_cleaned!$H:$H,pg_transaction_cleaned!$O:$O,A1500,pg_transaction_cleaned!$F:$F,"CAPTURE")</f>
        <v>17297</v>
      </c>
      <c r="L1500" s="23">
        <f>COUNTIFS(pg_transaction_cleaned!$O:$O,A1500,pg_transaction_cleaned!$F:$F,"REFUND")</f>
        <v>0</v>
      </c>
      <c r="M1500" s="39">
        <f>SUMIFS(pg_transaction_cleaned!$H:$H,pg_transaction_cleaned!$O:$O,A1500,pg_transaction_cleaned!$F:$F,"REFUND")</f>
        <v>0</v>
      </c>
      <c r="N1500" s="23" t="str">
        <f t="shared" si="94"/>
        <v>OK</v>
      </c>
      <c r="O1500" s="24">
        <f t="shared" si="95"/>
        <v>0</v>
      </c>
    </row>
    <row r="1501" spans="1:15" ht="15" customHeight="1" x14ac:dyDescent="0.3">
      <c r="A1501" s="23" t="s">
        <v>3486</v>
      </c>
      <c r="B1501" s="38">
        <v>46270</v>
      </c>
      <c r="C1501" s="23" t="s">
        <v>3487</v>
      </c>
      <c r="D1501" s="23" t="s">
        <v>94</v>
      </c>
      <c r="E1501" s="23" t="s">
        <v>79</v>
      </c>
      <c r="F1501" s="23" t="s">
        <v>294</v>
      </c>
      <c r="G1501" s="23" t="s">
        <v>250</v>
      </c>
      <c r="H1501" s="39">
        <f t="shared" si="92"/>
        <v>1799</v>
      </c>
      <c r="I1501" s="23" t="str">
        <f t="shared" si="93"/>
        <v>Chennai</v>
      </c>
      <c r="J1501" s="23">
        <f>COUNTIFS(pg_transaction_cleaned!$O:$O,A1501,pg_transaction_cleaned!$F:$F,"CAPTURE")</f>
        <v>1</v>
      </c>
      <c r="K1501" s="39">
        <f>SUMIFS(pg_transaction_cleaned!$H:$H,pg_transaction_cleaned!$O:$O,A1501,pg_transaction_cleaned!$F:$F,"CAPTURE")</f>
        <v>1799</v>
      </c>
      <c r="L1501" s="23">
        <f>COUNTIFS(pg_transaction_cleaned!$O:$O,A1501,pg_transaction_cleaned!$F:$F,"REFUND")</f>
        <v>0</v>
      </c>
      <c r="M1501" s="39">
        <f>SUMIFS(pg_transaction_cleaned!$H:$H,pg_transaction_cleaned!$O:$O,A1501,pg_transaction_cleaned!$F:$F,"REFUND")</f>
        <v>0</v>
      </c>
      <c r="N1501" s="23" t="str">
        <f t="shared" si="94"/>
        <v>OK</v>
      </c>
      <c r="O1501" s="24">
        <f t="shared" si="95"/>
        <v>0</v>
      </c>
    </row>
    <row r="1502" spans="1:15" ht="15" customHeight="1" x14ac:dyDescent="0.3">
      <c r="A1502" s="23" t="s">
        <v>3488</v>
      </c>
      <c r="B1502" s="38">
        <v>46279</v>
      </c>
      <c r="C1502" s="23" t="s">
        <v>3489</v>
      </c>
      <c r="D1502" s="23" t="s">
        <v>91</v>
      </c>
      <c r="E1502" s="23" t="s">
        <v>75</v>
      </c>
      <c r="F1502" s="23" t="s">
        <v>307</v>
      </c>
      <c r="G1502" s="23" t="s">
        <v>250</v>
      </c>
      <c r="H1502" s="39">
        <f t="shared" si="92"/>
        <v>3798</v>
      </c>
      <c r="I1502" s="23" t="str">
        <f t="shared" si="93"/>
        <v>Pune</v>
      </c>
      <c r="J1502" s="23">
        <f>COUNTIFS(pg_transaction_cleaned!$O:$O,A1502,pg_transaction_cleaned!$F:$F,"CAPTURE")</f>
        <v>1</v>
      </c>
      <c r="K1502" s="39">
        <f>SUMIFS(pg_transaction_cleaned!$H:$H,pg_transaction_cleaned!$O:$O,A1502,pg_transaction_cleaned!$F:$F,"CAPTURE")</f>
        <v>3798</v>
      </c>
      <c r="L1502" s="23">
        <f>COUNTIFS(pg_transaction_cleaned!$O:$O,A1502,pg_transaction_cleaned!$F:$F,"REFUND")</f>
        <v>0</v>
      </c>
      <c r="M1502" s="39">
        <f>SUMIFS(pg_transaction_cleaned!$H:$H,pg_transaction_cleaned!$O:$O,A1502,pg_transaction_cleaned!$F:$F,"REFUND")</f>
        <v>0</v>
      </c>
      <c r="N1502" s="23" t="str">
        <f t="shared" si="94"/>
        <v>OK</v>
      </c>
      <c r="O1502" s="24">
        <f t="shared" si="95"/>
        <v>0</v>
      </c>
    </row>
    <row r="1503" spans="1:15" ht="15" customHeight="1" x14ac:dyDescent="0.3">
      <c r="A1503" s="23" t="s">
        <v>3490</v>
      </c>
      <c r="B1503" s="38">
        <v>46290</v>
      </c>
      <c r="C1503" s="23" t="s">
        <v>3491</v>
      </c>
      <c r="D1503" s="23" t="s">
        <v>92</v>
      </c>
      <c r="E1503" s="23" t="s">
        <v>75</v>
      </c>
      <c r="F1503" s="23" t="s">
        <v>370</v>
      </c>
      <c r="G1503" s="23" t="s">
        <v>250</v>
      </c>
      <c r="H1503" s="39">
        <f t="shared" si="92"/>
        <v>3098</v>
      </c>
      <c r="I1503" s="23" t="str">
        <f t="shared" si="93"/>
        <v>Hyderabad</v>
      </c>
      <c r="J1503" s="23">
        <f>COUNTIFS(pg_transaction_cleaned!$O:$O,A1503,pg_transaction_cleaned!$F:$F,"CAPTURE")</f>
        <v>1</v>
      </c>
      <c r="K1503" s="39">
        <f>SUMIFS(pg_transaction_cleaned!$H:$H,pg_transaction_cleaned!$O:$O,A1503,pg_transaction_cleaned!$F:$F,"CAPTURE")</f>
        <v>3098</v>
      </c>
      <c r="L1503" s="23">
        <f>COUNTIFS(pg_transaction_cleaned!$O:$O,A1503,pg_transaction_cleaned!$F:$F,"REFUND")</f>
        <v>0</v>
      </c>
      <c r="M1503" s="39">
        <f>SUMIFS(pg_transaction_cleaned!$H:$H,pg_transaction_cleaned!$O:$O,A1503,pg_transaction_cleaned!$F:$F,"REFUND")</f>
        <v>0</v>
      </c>
      <c r="N1503" s="23" t="str">
        <f t="shared" si="94"/>
        <v>OK</v>
      </c>
      <c r="O1503" s="24">
        <f t="shared" si="95"/>
        <v>0</v>
      </c>
    </row>
    <row r="1504" spans="1:15" ht="15" customHeight="1" x14ac:dyDescent="0.3">
      <c r="A1504" s="23" t="s">
        <v>3492</v>
      </c>
      <c r="B1504" s="38">
        <v>46290</v>
      </c>
      <c r="C1504" s="23" t="s">
        <v>3493</v>
      </c>
      <c r="D1504" s="23" t="s">
        <v>93</v>
      </c>
      <c r="E1504" s="23" t="s">
        <v>79</v>
      </c>
      <c r="F1504" s="23" t="s">
        <v>310</v>
      </c>
      <c r="G1504" s="23" t="s">
        <v>250</v>
      </c>
      <c r="H1504" s="39">
        <f t="shared" si="92"/>
        <v>7999</v>
      </c>
      <c r="I1504" s="23" t="str">
        <f t="shared" si="93"/>
        <v>Kolkata</v>
      </c>
      <c r="J1504" s="23">
        <f>COUNTIFS(pg_transaction_cleaned!$O:$O,A1504,pg_transaction_cleaned!$F:$F,"CAPTURE")</f>
        <v>1</v>
      </c>
      <c r="K1504" s="39">
        <f>SUMIFS(pg_transaction_cleaned!$H:$H,pg_transaction_cleaned!$O:$O,A1504,pg_transaction_cleaned!$F:$F,"CAPTURE")</f>
        <v>7999</v>
      </c>
      <c r="L1504" s="23">
        <f>COUNTIFS(pg_transaction_cleaned!$O:$O,A1504,pg_transaction_cleaned!$F:$F,"REFUND")</f>
        <v>0</v>
      </c>
      <c r="M1504" s="39">
        <f>SUMIFS(pg_transaction_cleaned!$H:$H,pg_transaction_cleaned!$O:$O,A1504,pg_transaction_cleaned!$F:$F,"REFUND")</f>
        <v>0</v>
      </c>
      <c r="N1504" s="23" t="str">
        <f t="shared" si="94"/>
        <v>OK</v>
      </c>
      <c r="O1504" s="24">
        <f t="shared" si="95"/>
        <v>0</v>
      </c>
    </row>
    <row r="1505" spans="1:15" ht="15" customHeight="1" x14ac:dyDescent="0.3">
      <c r="A1505" s="23" t="s">
        <v>3494</v>
      </c>
      <c r="B1505" s="38">
        <v>46272</v>
      </c>
      <c r="C1505" s="23" t="s">
        <v>3495</v>
      </c>
      <c r="D1505" s="23" t="s">
        <v>88</v>
      </c>
      <c r="E1505" s="23" t="s">
        <v>79</v>
      </c>
      <c r="F1505" s="23" t="s">
        <v>612</v>
      </c>
      <c r="G1505" s="23" t="s">
        <v>250</v>
      </c>
      <c r="H1505" s="39">
        <f t="shared" si="92"/>
        <v>8498</v>
      </c>
      <c r="I1505" s="23" t="str">
        <f t="shared" si="93"/>
        <v>Lucknow</v>
      </c>
      <c r="J1505" s="23">
        <f>COUNTIFS(pg_transaction_cleaned!$O:$O,A1505,pg_transaction_cleaned!$F:$F,"CAPTURE")</f>
        <v>1</v>
      </c>
      <c r="K1505" s="39">
        <f>SUMIFS(pg_transaction_cleaned!$H:$H,pg_transaction_cleaned!$O:$O,A1505,pg_transaction_cleaned!$F:$F,"CAPTURE")</f>
        <v>8498</v>
      </c>
      <c r="L1505" s="23">
        <f>COUNTIFS(pg_transaction_cleaned!$O:$O,A1505,pg_transaction_cleaned!$F:$F,"REFUND")</f>
        <v>0</v>
      </c>
      <c r="M1505" s="39">
        <f>SUMIFS(pg_transaction_cleaned!$H:$H,pg_transaction_cleaned!$O:$O,A1505,pg_transaction_cleaned!$F:$F,"REFUND")</f>
        <v>0</v>
      </c>
      <c r="N1505" s="23" t="str">
        <f t="shared" si="94"/>
        <v>OK</v>
      </c>
      <c r="O1505" s="24">
        <f t="shared" si="95"/>
        <v>0</v>
      </c>
    </row>
    <row r="1506" spans="1:15" ht="15" customHeight="1" x14ac:dyDescent="0.3">
      <c r="A1506" s="23" t="s">
        <v>3496</v>
      </c>
      <c r="B1506" s="38">
        <v>46271</v>
      </c>
      <c r="C1506" s="23" t="s">
        <v>3497</v>
      </c>
      <c r="D1506" s="23" t="s">
        <v>91</v>
      </c>
      <c r="E1506" s="23" t="s">
        <v>79</v>
      </c>
      <c r="F1506" s="23" t="s">
        <v>310</v>
      </c>
      <c r="G1506" s="23" t="s">
        <v>250</v>
      </c>
      <c r="H1506" s="39">
        <f t="shared" si="92"/>
        <v>7999</v>
      </c>
      <c r="I1506" s="23" t="str">
        <f t="shared" si="93"/>
        <v>Pune</v>
      </c>
      <c r="J1506" s="23">
        <f>COUNTIFS(pg_transaction_cleaned!$O:$O,A1506,pg_transaction_cleaned!$F:$F,"CAPTURE")</f>
        <v>1</v>
      </c>
      <c r="K1506" s="39">
        <f>SUMIFS(pg_transaction_cleaned!$H:$H,pg_transaction_cleaned!$O:$O,A1506,pg_transaction_cleaned!$F:$F,"CAPTURE")</f>
        <v>7999</v>
      </c>
      <c r="L1506" s="23">
        <f>COUNTIFS(pg_transaction_cleaned!$O:$O,A1506,pg_transaction_cleaned!$F:$F,"REFUND")</f>
        <v>0</v>
      </c>
      <c r="M1506" s="39">
        <f>SUMIFS(pg_transaction_cleaned!$H:$H,pg_transaction_cleaned!$O:$O,A1506,pg_transaction_cleaned!$F:$F,"REFUND")</f>
        <v>0</v>
      </c>
      <c r="N1506" s="23" t="str">
        <f t="shared" si="94"/>
        <v>OK</v>
      </c>
      <c r="O1506" s="24">
        <f t="shared" si="95"/>
        <v>0</v>
      </c>
    </row>
    <row r="1507" spans="1:15" ht="15" customHeight="1" x14ac:dyDescent="0.3">
      <c r="A1507" s="23" t="s">
        <v>3498</v>
      </c>
      <c r="B1507" s="38">
        <v>46270</v>
      </c>
      <c r="C1507" s="23" t="s">
        <v>3499</v>
      </c>
      <c r="D1507" s="23" t="s">
        <v>87</v>
      </c>
      <c r="E1507" s="23" t="s">
        <v>77</v>
      </c>
      <c r="F1507" s="23" t="s">
        <v>451</v>
      </c>
      <c r="G1507" s="23" t="s">
        <v>301</v>
      </c>
      <c r="H1507" s="39">
        <f t="shared" si="92"/>
        <v>1098</v>
      </c>
      <c r="I1507" s="23" t="str">
        <f t="shared" si="93"/>
        <v>Mumbai</v>
      </c>
      <c r="J1507" s="23">
        <f>COUNTIFS(pg_transaction_cleaned!$O:$O,A1507,pg_transaction_cleaned!$F:$F,"CAPTURE")</f>
        <v>1</v>
      </c>
      <c r="K1507" s="39">
        <f>SUMIFS(pg_transaction_cleaned!$H:$H,pg_transaction_cleaned!$O:$O,A1507,pg_transaction_cleaned!$F:$F,"CAPTURE")</f>
        <v>1098</v>
      </c>
      <c r="L1507" s="23">
        <f>COUNTIFS(pg_transaction_cleaned!$O:$O,A1507,pg_transaction_cleaned!$F:$F,"REFUND")</f>
        <v>1</v>
      </c>
      <c r="M1507" s="39">
        <f>SUMIFS(pg_transaction_cleaned!$H:$H,pg_transaction_cleaned!$O:$O,A1507,pg_transaction_cleaned!$F:$F,"REFUND")</f>
        <v>1098</v>
      </c>
      <c r="N1507" s="23" t="str">
        <f t="shared" si="94"/>
        <v>OK</v>
      </c>
      <c r="O1507" s="24">
        <f t="shared" si="95"/>
        <v>0</v>
      </c>
    </row>
    <row r="1508" spans="1:15" ht="15" customHeight="1" x14ac:dyDescent="0.3">
      <c r="A1508" s="23" t="s">
        <v>3500</v>
      </c>
      <c r="B1508" s="38">
        <v>46285</v>
      </c>
      <c r="C1508" s="23" t="s">
        <v>3501</v>
      </c>
      <c r="D1508" s="23" t="s">
        <v>92</v>
      </c>
      <c r="E1508" s="23" t="s">
        <v>75</v>
      </c>
      <c r="F1508" s="23" t="s">
        <v>393</v>
      </c>
      <c r="G1508" s="23" t="s">
        <v>250</v>
      </c>
      <c r="H1508" s="39">
        <f t="shared" si="92"/>
        <v>349</v>
      </c>
      <c r="I1508" s="23" t="str">
        <f t="shared" si="93"/>
        <v>Hyderabad</v>
      </c>
      <c r="J1508" s="23">
        <f>COUNTIFS(pg_transaction_cleaned!$O:$O,A1508,pg_transaction_cleaned!$F:$F,"CAPTURE")</f>
        <v>1</v>
      </c>
      <c r="K1508" s="39">
        <f>SUMIFS(pg_transaction_cleaned!$H:$H,pg_transaction_cleaned!$O:$O,A1508,pg_transaction_cleaned!$F:$F,"CAPTURE")</f>
        <v>349</v>
      </c>
      <c r="L1508" s="23">
        <f>COUNTIFS(pg_transaction_cleaned!$O:$O,A1508,pg_transaction_cleaned!$F:$F,"REFUND")</f>
        <v>0</v>
      </c>
      <c r="M1508" s="39">
        <f>SUMIFS(pg_transaction_cleaned!$H:$H,pg_transaction_cleaned!$O:$O,A1508,pg_transaction_cleaned!$F:$F,"REFUND")</f>
        <v>0</v>
      </c>
      <c r="N1508" s="23" t="str">
        <f t="shared" si="94"/>
        <v>OK</v>
      </c>
      <c r="O1508" s="24">
        <f t="shared" si="95"/>
        <v>0</v>
      </c>
    </row>
    <row r="1509" spans="1:15" ht="15" customHeight="1" x14ac:dyDescent="0.3">
      <c r="A1509" s="23" t="s">
        <v>3502</v>
      </c>
      <c r="B1509" s="38">
        <v>46288</v>
      </c>
      <c r="C1509" s="23" t="s">
        <v>3503</v>
      </c>
      <c r="D1509" s="23" t="s">
        <v>87</v>
      </c>
      <c r="E1509" s="23" t="s">
        <v>75</v>
      </c>
      <c r="F1509" s="23" t="s">
        <v>466</v>
      </c>
      <c r="G1509" s="23" t="s">
        <v>250</v>
      </c>
      <c r="H1509" s="39">
        <f t="shared" si="92"/>
        <v>2197</v>
      </c>
      <c r="I1509" s="23" t="str">
        <f t="shared" si="93"/>
        <v>Mumbai</v>
      </c>
      <c r="J1509" s="23">
        <f>COUNTIFS(pg_transaction_cleaned!$O:$O,A1509,pg_transaction_cleaned!$F:$F,"CAPTURE")</f>
        <v>1</v>
      </c>
      <c r="K1509" s="39">
        <f>SUMIFS(pg_transaction_cleaned!$H:$H,pg_transaction_cleaned!$O:$O,A1509,pg_transaction_cleaned!$F:$F,"CAPTURE")</f>
        <v>2197</v>
      </c>
      <c r="L1509" s="23">
        <f>COUNTIFS(pg_transaction_cleaned!$O:$O,A1509,pg_transaction_cleaned!$F:$F,"REFUND")</f>
        <v>0</v>
      </c>
      <c r="M1509" s="39">
        <f>SUMIFS(pg_transaction_cleaned!$H:$H,pg_transaction_cleaned!$O:$O,A1509,pg_transaction_cleaned!$F:$F,"REFUND")</f>
        <v>0</v>
      </c>
      <c r="N1509" s="23" t="str">
        <f t="shared" si="94"/>
        <v>OK</v>
      </c>
      <c r="O1509" s="24">
        <f t="shared" si="95"/>
        <v>0</v>
      </c>
    </row>
    <row r="1510" spans="1:15" ht="15" customHeight="1" x14ac:dyDescent="0.3">
      <c r="A1510" s="23" t="s">
        <v>3504</v>
      </c>
      <c r="B1510" s="38">
        <v>46275</v>
      </c>
      <c r="C1510" s="23" t="s">
        <v>3505</v>
      </c>
      <c r="D1510" s="23" t="s">
        <v>95</v>
      </c>
      <c r="E1510" s="23" t="s">
        <v>77</v>
      </c>
      <c r="F1510" s="23" t="s">
        <v>475</v>
      </c>
      <c r="G1510" s="23" t="s">
        <v>250</v>
      </c>
      <c r="H1510" s="39">
        <f t="shared" si="92"/>
        <v>799</v>
      </c>
      <c r="I1510" s="23" t="str">
        <f t="shared" si="93"/>
        <v>Bengaluru</v>
      </c>
      <c r="J1510" s="23">
        <f>COUNTIFS(pg_transaction_cleaned!$O:$O,A1510,pg_transaction_cleaned!$F:$F,"CAPTURE")</f>
        <v>1</v>
      </c>
      <c r="K1510" s="39">
        <f>SUMIFS(pg_transaction_cleaned!$H:$H,pg_transaction_cleaned!$O:$O,A1510,pg_transaction_cleaned!$F:$F,"CAPTURE")</f>
        <v>799</v>
      </c>
      <c r="L1510" s="23">
        <f>COUNTIFS(pg_transaction_cleaned!$O:$O,A1510,pg_transaction_cleaned!$F:$F,"REFUND")</f>
        <v>0</v>
      </c>
      <c r="M1510" s="39">
        <f>SUMIFS(pg_transaction_cleaned!$H:$H,pg_transaction_cleaned!$O:$O,A1510,pg_transaction_cleaned!$F:$F,"REFUND")</f>
        <v>0</v>
      </c>
      <c r="N1510" s="23" t="str">
        <f t="shared" si="94"/>
        <v>OK</v>
      </c>
      <c r="O1510" s="24">
        <f t="shared" si="95"/>
        <v>0</v>
      </c>
    </row>
    <row r="1511" spans="1:15" ht="15" customHeight="1" x14ac:dyDescent="0.3">
      <c r="A1511" s="23" t="s">
        <v>3506</v>
      </c>
      <c r="B1511" s="38">
        <v>46276</v>
      </c>
      <c r="C1511" s="23" t="s">
        <v>3507</v>
      </c>
      <c r="D1511" s="23" t="s">
        <v>95</v>
      </c>
      <c r="E1511" s="23" t="s">
        <v>75</v>
      </c>
      <c r="F1511" s="23" t="s">
        <v>262</v>
      </c>
      <c r="G1511" s="23" t="s">
        <v>250</v>
      </c>
      <c r="H1511" s="39">
        <f t="shared" si="92"/>
        <v>499</v>
      </c>
      <c r="I1511" s="23" t="str">
        <f t="shared" si="93"/>
        <v>Bengaluru</v>
      </c>
      <c r="J1511" s="23">
        <f>COUNTIFS(pg_transaction_cleaned!$O:$O,A1511,pg_transaction_cleaned!$F:$F,"CAPTURE")</f>
        <v>1</v>
      </c>
      <c r="K1511" s="39">
        <f>SUMIFS(pg_transaction_cleaned!$H:$H,pg_transaction_cleaned!$O:$O,A1511,pg_transaction_cleaned!$F:$F,"CAPTURE")</f>
        <v>499</v>
      </c>
      <c r="L1511" s="23">
        <f>COUNTIFS(pg_transaction_cleaned!$O:$O,A1511,pg_transaction_cleaned!$F:$F,"REFUND")</f>
        <v>0</v>
      </c>
      <c r="M1511" s="39">
        <f>SUMIFS(pg_transaction_cleaned!$H:$H,pg_transaction_cleaned!$O:$O,A1511,pg_transaction_cleaned!$F:$F,"REFUND")</f>
        <v>0</v>
      </c>
      <c r="N1511" s="23" t="str">
        <f t="shared" si="94"/>
        <v>OK</v>
      </c>
      <c r="O1511" s="24">
        <f t="shared" si="95"/>
        <v>0</v>
      </c>
    </row>
    <row r="1512" spans="1:15" ht="15" customHeight="1" x14ac:dyDescent="0.3">
      <c r="A1512" s="23" t="s">
        <v>3508</v>
      </c>
      <c r="B1512" s="38">
        <v>46275</v>
      </c>
      <c r="C1512" s="23" t="s">
        <v>3509</v>
      </c>
      <c r="D1512" s="23" t="s">
        <v>94</v>
      </c>
      <c r="E1512" s="23" t="s">
        <v>75</v>
      </c>
      <c r="F1512" s="23" t="s">
        <v>259</v>
      </c>
      <c r="G1512" s="23" t="s">
        <v>250</v>
      </c>
      <c r="H1512" s="39">
        <f t="shared" si="92"/>
        <v>3298</v>
      </c>
      <c r="I1512" s="23" t="str">
        <f t="shared" si="93"/>
        <v>Chennai</v>
      </c>
      <c r="J1512" s="23">
        <f>COUNTIFS(pg_transaction_cleaned!$O:$O,A1512,pg_transaction_cleaned!$F:$F,"CAPTURE")</f>
        <v>1</v>
      </c>
      <c r="K1512" s="39">
        <f>SUMIFS(pg_transaction_cleaned!$H:$H,pg_transaction_cleaned!$O:$O,A1512,pg_transaction_cleaned!$F:$F,"CAPTURE")</f>
        <v>3298</v>
      </c>
      <c r="L1512" s="23">
        <f>COUNTIFS(pg_transaction_cleaned!$O:$O,A1512,pg_transaction_cleaned!$F:$F,"REFUND")</f>
        <v>0</v>
      </c>
      <c r="M1512" s="39">
        <f>SUMIFS(pg_transaction_cleaned!$H:$H,pg_transaction_cleaned!$O:$O,A1512,pg_transaction_cleaned!$F:$F,"REFUND")</f>
        <v>0</v>
      </c>
      <c r="N1512" s="23" t="str">
        <f t="shared" si="94"/>
        <v>OK</v>
      </c>
      <c r="O1512" s="24">
        <f t="shared" si="95"/>
        <v>0</v>
      </c>
    </row>
    <row r="1513" spans="1:15" ht="15" customHeight="1" x14ac:dyDescent="0.3">
      <c r="A1513" s="23" t="s">
        <v>3510</v>
      </c>
      <c r="B1513" s="38">
        <v>46276</v>
      </c>
      <c r="C1513" s="23" t="s">
        <v>3511</v>
      </c>
      <c r="D1513" s="23" t="s">
        <v>86</v>
      </c>
      <c r="E1513" s="23" t="s">
        <v>75</v>
      </c>
      <c r="F1513" s="23" t="s">
        <v>274</v>
      </c>
      <c r="G1513" s="23" t="s">
        <v>250</v>
      </c>
      <c r="H1513" s="39">
        <f t="shared" si="92"/>
        <v>349</v>
      </c>
      <c r="I1513" s="23" t="str">
        <f t="shared" si="93"/>
        <v>Delhi</v>
      </c>
      <c r="J1513" s="23">
        <f>COUNTIFS(pg_transaction_cleaned!$O:$O,A1513,pg_transaction_cleaned!$F:$F,"CAPTURE")</f>
        <v>1</v>
      </c>
      <c r="K1513" s="39">
        <f>SUMIFS(pg_transaction_cleaned!$H:$H,pg_transaction_cleaned!$O:$O,A1513,pg_transaction_cleaned!$F:$F,"CAPTURE")</f>
        <v>349</v>
      </c>
      <c r="L1513" s="23">
        <f>COUNTIFS(pg_transaction_cleaned!$O:$O,A1513,pg_transaction_cleaned!$F:$F,"REFUND")</f>
        <v>0</v>
      </c>
      <c r="M1513" s="39">
        <f>SUMIFS(pg_transaction_cleaned!$H:$H,pg_transaction_cleaned!$O:$O,A1513,pg_transaction_cleaned!$F:$F,"REFUND")</f>
        <v>0</v>
      </c>
      <c r="N1513" s="23" t="str">
        <f t="shared" si="94"/>
        <v>OK</v>
      </c>
      <c r="O1513" s="24">
        <f t="shared" si="95"/>
        <v>0</v>
      </c>
    </row>
    <row r="1514" spans="1:15" ht="15" customHeight="1" x14ac:dyDescent="0.3">
      <c r="A1514" s="23" t="s">
        <v>3512</v>
      </c>
      <c r="B1514" s="38">
        <v>46276</v>
      </c>
      <c r="C1514" s="23" t="s">
        <v>3513</v>
      </c>
      <c r="D1514" s="23" t="s">
        <v>89</v>
      </c>
      <c r="E1514" s="23" t="s">
        <v>79</v>
      </c>
      <c r="F1514" s="23" t="s">
        <v>291</v>
      </c>
      <c r="G1514" s="23" t="s">
        <v>250</v>
      </c>
      <c r="H1514" s="39">
        <f t="shared" si="92"/>
        <v>3499</v>
      </c>
      <c r="I1514" s="23" t="str">
        <f t="shared" si="93"/>
        <v>Jaipur</v>
      </c>
      <c r="J1514" s="23">
        <f>COUNTIFS(pg_transaction_cleaned!$O:$O,A1514,pg_transaction_cleaned!$F:$F,"CAPTURE")</f>
        <v>1</v>
      </c>
      <c r="K1514" s="39">
        <f>SUMIFS(pg_transaction_cleaned!$H:$H,pg_transaction_cleaned!$O:$O,A1514,pg_transaction_cleaned!$F:$F,"CAPTURE")</f>
        <v>3499</v>
      </c>
      <c r="L1514" s="23">
        <f>COUNTIFS(pg_transaction_cleaned!$O:$O,A1514,pg_transaction_cleaned!$F:$F,"REFUND")</f>
        <v>0</v>
      </c>
      <c r="M1514" s="39">
        <f>SUMIFS(pg_transaction_cleaned!$H:$H,pg_transaction_cleaned!$O:$O,A1514,pg_transaction_cleaned!$F:$F,"REFUND")</f>
        <v>0</v>
      </c>
      <c r="N1514" s="23" t="str">
        <f t="shared" si="94"/>
        <v>OK</v>
      </c>
      <c r="O1514" s="24">
        <f t="shared" si="95"/>
        <v>0</v>
      </c>
    </row>
    <row r="1515" spans="1:15" ht="15" customHeight="1" x14ac:dyDescent="0.3">
      <c r="A1515" s="23" t="s">
        <v>3514</v>
      </c>
      <c r="B1515" s="38">
        <v>46285</v>
      </c>
      <c r="C1515" s="23" t="s">
        <v>3515</v>
      </c>
      <c r="D1515" s="23" t="s">
        <v>91</v>
      </c>
      <c r="E1515" s="23" t="s">
        <v>75</v>
      </c>
      <c r="F1515" s="23" t="s">
        <v>329</v>
      </c>
      <c r="G1515" s="23" t="s">
        <v>250</v>
      </c>
      <c r="H1515" s="39">
        <f t="shared" si="92"/>
        <v>599</v>
      </c>
      <c r="I1515" s="23" t="str">
        <f t="shared" si="93"/>
        <v>Pune</v>
      </c>
      <c r="J1515" s="23">
        <f>COUNTIFS(pg_transaction_cleaned!$O:$O,A1515,pg_transaction_cleaned!$F:$F,"CAPTURE")</f>
        <v>1</v>
      </c>
      <c r="K1515" s="39">
        <f>SUMIFS(pg_transaction_cleaned!$H:$H,pg_transaction_cleaned!$O:$O,A1515,pg_transaction_cleaned!$F:$F,"CAPTURE")</f>
        <v>599</v>
      </c>
      <c r="L1515" s="23">
        <f>COUNTIFS(pg_transaction_cleaned!$O:$O,A1515,pg_transaction_cleaned!$F:$F,"REFUND")</f>
        <v>0</v>
      </c>
      <c r="M1515" s="39">
        <f>SUMIFS(pg_transaction_cleaned!$H:$H,pg_transaction_cleaned!$O:$O,A1515,pg_transaction_cleaned!$F:$F,"REFUND")</f>
        <v>0</v>
      </c>
      <c r="N1515" s="23" t="str">
        <f t="shared" si="94"/>
        <v>OK</v>
      </c>
      <c r="O1515" s="24">
        <f t="shared" si="95"/>
        <v>0</v>
      </c>
    </row>
    <row r="1516" spans="1:15" ht="15" customHeight="1" x14ac:dyDescent="0.3">
      <c r="A1516" s="23" t="s">
        <v>3516</v>
      </c>
      <c r="B1516" s="38">
        <v>46294</v>
      </c>
      <c r="C1516" s="23" t="s">
        <v>3517</v>
      </c>
      <c r="D1516" s="23" t="s">
        <v>88</v>
      </c>
      <c r="E1516" s="23" t="s">
        <v>79</v>
      </c>
      <c r="F1516" s="23" t="s">
        <v>262</v>
      </c>
      <c r="G1516" s="23" t="s">
        <v>250</v>
      </c>
      <c r="H1516" s="39">
        <f t="shared" si="92"/>
        <v>499</v>
      </c>
      <c r="I1516" s="23" t="str">
        <f t="shared" si="93"/>
        <v>Lucknow</v>
      </c>
      <c r="J1516" s="23">
        <f>COUNTIFS(pg_transaction_cleaned!$O:$O,A1516,pg_transaction_cleaned!$F:$F,"CAPTURE")</f>
        <v>1</v>
      </c>
      <c r="K1516" s="39">
        <f>SUMIFS(pg_transaction_cleaned!$H:$H,pg_transaction_cleaned!$O:$O,A1516,pg_transaction_cleaned!$F:$F,"CAPTURE")</f>
        <v>499</v>
      </c>
      <c r="L1516" s="23">
        <f>COUNTIFS(pg_transaction_cleaned!$O:$O,A1516,pg_transaction_cleaned!$F:$F,"REFUND")</f>
        <v>0</v>
      </c>
      <c r="M1516" s="39">
        <f>SUMIFS(pg_transaction_cleaned!$H:$H,pg_transaction_cleaned!$O:$O,A1516,pg_transaction_cleaned!$F:$F,"REFUND")</f>
        <v>0</v>
      </c>
      <c r="N1516" s="23" t="str">
        <f t="shared" si="94"/>
        <v>OK</v>
      </c>
      <c r="O1516" s="24">
        <f t="shared" si="95"/>
        <v>0</v>
      </c>
    </row>
    <row r="1517" spans="1:15" ht="15" customHeight="1" x14ac:dyDescent="0.3">
      <c r="A1517" s="23" t="s">
        <v>3518</v>
      </c>
      <c r="B1517" s="38">
        <v>46295</v>
      </c>
      <c r="C1517" s="23" t="s">
        <v>3519</v>
      </c>
      <c r="D1517" s="23" t="s">
        <v>89</v>
      </c>
      <c r="E1517" s="23" t="s">
        <v>77</v>
      </c>
      <c r="F1517" s="23" t="s">
        <v>3520</v>
      </c>
      <c r="G1517" s="23" t="s">
        <v>250</v>
      </c>
      <c r="H1517" s="39">
        <f t="shared" si="92"/>
        <v>9197</v>
      </c>
      <c r="I1517" s="23" t="str">
        <f t="shared" si="93"/>
        <v>Jaipur</v>
      </c>
      <c r="J1517" s="23">
        <f>COUNTIFS(pg_transaction_cleaned!$O:$O,A1517,pg_transaction_cleaned!$F:$F,"CAPTURE")</f>
        <v>1</v>
      </c>
      <c r="K1517" s="39">
        <f>SUMIFS(pg_transaction_cleaned!$H:$H,pg_transaction_cleaned!$O:$O,A1517,pg_transaction_cleaned!$F:$F,"CAPTURE")</f>
        <v>9197</v>
      </c>
      <c r="L1517" s="23">
        <f>COUNTIFS(pg_transaction_cleaned!$O:$O,A1517,pg_transaction_cleaned!$F:$F,"REFUND")</f>
        <v>0</v>
      </c>
      <c r="M1517" s="39">
        <f>SUMIFS(pg_transaction_cleaned!$H:$H,pg_transaction_cleaned!$O:$O,A1517,pg_transaction_cleaned!$F:$F,"REFUND")</f>
        <v>0</v>
      </c>
      <c r="N1517" s="23" t="str">
        <f t="shared" si="94"/>
        <v>OK</v>
      </c>
      <c r="O1517" s="24">
        <f t="shared" si="95"/>
        <v>0</v>
      </c>
    </row>
    <row r="1518" spans="1:15" ht="15" customHeight="1" x14ac:dyDescent="0.3">
      <c r="A1518" s="23" t="s">
        <v>3521</v>
      </c>
      <c r="B1518" s="38">
        <v>46285</v>
      </c>
      <c r="C1518" s="23" t="s">
        <v>3522</v>
      </c>
      <c r="D1518" s="23" t="s">
        <v>89</v>
      </c>
      <c r="E1518" s="23" t="s">
        <v>77</v>
      </c>
      <c r="F1518" s="23" t="s">
        <v>475</v>
      </c>
      <c r="G1518" s="23" t="s">
        <v>250</v>
      </c>
      <c r="H1518" s="39">
        <f t="shared" si="92"/>
        <v>799</v>
      </c>
      <c r="I1518" s="23" t="str">
        <f t="shared" si="93"/>
        <v>Jaipur</v>
      </c>
      <c r="J1518" s="23">
        <f>COUNTIFS(pg_transaction_cleaned!$O:$O,A1518,pg_transaction_cleaned!$F:$F,"CAPTURE")</f>
        <v>1</v>
      </c>
      <c r="K1518" s="39">
        <f>SUMIFS(pg_transaction_cleaned!$H:$H,pg_transaction_cleaned!$O:$O,A1518,pg_transaction_cleaned!$F:$F,"CAPTURE")</f>
        <v>799</v>
      </c>
      <c r="L1518" s="23">
        <f>COUNTIFS(pg_transaction_cleaned!$O:$O,A1518,pg_transaction_cleaned!$F:$F,"REFUND")</f>
        <v>0</v>
      </c>
      <c r="M1518" s="39">
        <f>SUMIFS(pg_transaction_cleaned!$H:$H,pg_transaction_cleaned!$O:$O,A1518,pg_transaction_cleaned!$F:$F,"REFUND")</f>
        <v>0</v>
      </c>
      <c r="N1518" s="23" t="str">
        <f t="shared" si="94"/>
        <v>OK</v>
      </c>
      <c r="O1518" s="24">
        <f t="shared" si="95"/>
        <v>0</v>
      </c>
    </row>
    <row r="1519" spans="1:15" ht="15" customHeight="1" x14ac:dyDescent="0.3">
      <c r="A1519" s="23" t="s">
        <v>3523</v>
      </c>
      <c r="B1519" s="38">
        <v>46289</v>
      </c>
      <c r="C1519" s="23" t="s">
        <v>3524</v>
      </c>
      <c r="D1519" s="23" t="s">
        <v>89</v>
      </c>
      <c r="E1519" s="23" t="s">
        <v>75</v>
      </c>
      <c r="F1519" s="23" t="s">
        <v>249</v>
      </c>
      <c r="G1519" s="23" t="s">
        <v>250</v>
      </c>
      <c r="H1519" s="39">
        <f t="shared" si="92"/>
        <v>299</v>
      </c>
      <c r="I1519" s="23" t="str">
        <f t="shared" si="93"/>
        <v>Jaipur</v>
      </c>
      <c r="J1519" s="23">
        <f>COUNTIFS(pg_transaction_cleaned!$O:$O,A1519,pg_transaction_cleaned!$F:$F,"CAPTURE")</f>
        <v>1</v>
      </c>
      <c r="K1519" s="39">
        <f>SUMIFS(pg_transaction_cleaned!$H:$H,pg_transaction_cleaned!$O:$O,A1519,pg_transaction_cleaned!$F:$F,"CAPTURE")</f>
        <v>299</v>
      </c>
      <c r="L1519" s="23">
        <f>COUNTIFS(pg_transaction_cleaned!$O:$O,A1519,pg_transaction_cleaned!$F:$F,"REFUND")</f>
        <v>0</v>
      </c>
      <c r="M1519" s="39">
        <f>SUMIFS(pg_transaction_cleaned!$H:$H,pg_transaction_cleaned!$O:$O,A1519,pg_transaction_cleaned!$F:$F,"REFUND")</f>
        <v>0</v>
      </c>
      <c r="N1519" s="23" t="str">
        <f t="shared" si="94"/>
        <v>OK</v>
      </c>
      <c r="O1519" s="24">
        <f t="shared" si="95"/>
        <v>0</v>
      </c>
    </row>
    <row r="1520" spans="1:15" ht="15" customHeight="1" x14ac:dyDescent="0.3">
      <c r="A1520" s="23" t="s">
        <v>3525</v>
      </c>
      <c r="B1520" s="38">
        <v>46277</v>
      </c>
      <c r="C1520" s="23" t="s">
        <v>3526</v>
      </c>
      <c r="D1520" s="23" t="s">
        <v>91</v>
      </c>
      <c r="E1520" s="23" t="s">
        <v>75</v>
      </c>
      <c r="F1520" s="23" t="s">
        <v>315</v>
      </c>
      <c r="G1520" s="23" t="s">
        <v>250</v>
      </c>
      <c r="H1520" s="39">
        <f t="shared" si="92"/>
        <v>1499</v>
      </c>
      <c r="I1520" s="23" t="str">
        <f t="shared" si="93"/>
        <v>Pune</v>
      </c>
      <c r="J1520" s="23">
        <f>COUNTIFS(pg_transaction_cleaned!$O:$O,A1520,pg_transaction_cleaned!$F:$F,"CAPTURE")</f>
        <v>1</v>
      </c>
      <c r="K1520" s="39">
        <f>SUMIFS(pg_transaction_cleaned!$H:$H,pg_transaction_cleaned!$O:$O,A1520,pg_transaction_cleaned!$F:$F,"CAPTURE")</f>
        <v>1499</v>
      </c>
      <c r="L1520" s="23">
        <f>COUNTIFS(pg_transaction_cleaned!$O:$O,A1520,pg_transaction_cleaned!$F:$F,"REFUND")</f>
        <v>0</v>
      </c>
      <c r="M1520" s="39">
        <f>SUMIFS(pg_transaction_cleaned!$H:$H,pg_transaction_cleaned!$O:$O,A1520,pg_transaction_cleaned!$F:$F,"REFUND")</f>
        <v>0</v>
      </c>
      <c r="N1520" s="23" t="str">
        <f t="shared" si="94"/>
        <v>OK</v>
      </c>
      <c r="O1520" s="24">
        <f t="shared" si="95"/>
        <v>0</v>
      </c>
    </row>
    <row r="1521" spans="1:15" ht="15" customHeight="1" x14ac:dyDescent="0.3">
      <c r="A1521" s="23" t="s">
        <v>3527</v>
      </c>
      <c r="B1521" s="38">
        <v>46281</v>
      </c>
      <c r="C1521" s="23" t="s">
        <v>3528</v>
      </c>
      <c r="D1521" s="23" t="s">
        <v>86</v>
      </c>
      <c r="E1521" s="23" t="s">
        <v>75</v>
      </c>
      <c r="F1521" s="23" t="s">
        <v>567</v>
      </c>
      <c r="G1521" s="23" t="s">
        <v>250</v>
      </c>
      <c r="H1521" s="39">
        <f t="shared" si="92"/>
        <v>3598</v>
      </c>
      <c r="I1521" s="23" t="str">
        <f t="shared" si="93"/>
        <v>Delhi</v>
      </c>
      <c r="J1521" s="23">
        <f>COUNTIFS(pg_transaction_cleaned!$O:$O,A1521,pg_transaction_cleaned!$F:$F,"CAPTURE")</f>
        <v>1</v>
      </c>
      <c r="K1521" s="39">
        <f>SUMIFS(pg_transaction_cleaned!$H:$H,pg_transaction_cleaned!$O:$O,A1521,pg_transaction_cleaned!$F:$F,"CAPTURE")</f>
        <v>3598</v>
      </c>
      <c r="L1521" s="23">
        <f>COUNTIFS(pg_transaction_cleaned!$O:$O,A1521,pg_transaction_cleaned!$F:$F,"REFUND")</f>
        <v>0</v>
      </c>
      <c r="M1521" s="39">
        <f>SUMIFS(pg_transaction_cleaned!$H:$H,pg_transaction_cleaned!$O:$O,A1521,pg_transaction_cleaned!$F:$F,"REFUND")</f>
        <v>0</v>
      </c>
      <c r="N1521" s="23" t="str">
        <f t="shared" si="94"/>
        <v>OK</v>
      </c>
      <c r="O1521" s="24">
        <f t="shared" si="95"/>
        <v>0</v>
      </c>
    </row>
    <row r="1522" spans="1:15" ht="15" customHeight="1" x14ac:dyDescent="0.3">
      <c r="A1522" s="23" t="s">
        <v>3529</v>
      </c>
      <c r="B1522" s="38">
        <v>46275</v>
      </c>
      <c r="C1522" s="23" t="s">
        <v>3530</v>
      </c>
      <c r="D1522" s="23" t="s">
        <v>93</v>
      </c>
      <c r="E1522" s="23" t="s">
        <v>77</v>
      </c>
      <c r="F1522" s="23" t="s">
        <v>271</v>
      </c>
      <c r="G1522" s="23" t="s">
        <v>250</v>
      </c>
      <c r="H1522" s="39">
        <f t="shared" si="92"/>
        <v>2499</v>
      </c>
      <c r="I1522" s="23" t="str">
        <f t="shared" si="93"/>
        <v>Kolkata</v>
      </c>
      <c r="J1522" s="23">
        <f>COUNTIFS(pg_transaction_cleaned!$O:$O,A1522,pg_transaction_cleaned!$F:$F,"CAPTURE")</f>
        <v>1</v>
      </c>
      <c r="K1522" s="39">
        <f>SUMIFS(pg_transaction_cleaned!$H:$H,pg_transaction_cleaned!$O:$O,A1522,pg_transaction_cleaned!$F:$F,"CAPTURE")</f>
        <v>2499</v>
      </c>
      <c r="L1522" s="23">
        <f>COUNTIFS(pg_transaction_cleaned!$O:$O,A1522,pg_transaction_cleaned!$F:$F,"REFUND")</f>
        <v>0</v>
      </c>
      <c r="M1522" s="39">
        <f>SUMIFS(pg_transaction_cleaned!$H:$H,pg_transaction_cleaned!$O:$O,A1522,pg_transaction_cleaned!$F:$F,"REFUND")</f>
        <v>0</v>
      </c>
      <c r="N1522" s="23" t="str">
        <f t="shared" si="94"/>
        <v>OK</v>
      </c>
      <c r="O1522" s="24">
        <f t="shared" si="95"/>
        <v>0</v>
      </c>
    </row>
    <row r="1523" spans="1:15" ht="15" customHeight="1" x14ac:dyDescent="0.3">
      <c r="A1523" s="23" t="s">
        <v>3531</v>
      </c>
      <c r="B1523" s="38">
        <v>46281</v>
      </c>
      <c r="C1523" s="23" t="s">
        <v>3532</v>
      </c>
      <c r="D1523" s="23" t="s">
        <v>93</v>
      </c>
      <c r="E1523" s="23" t="s">
        <v>75</v>
      </c>
      <c r="F1523" s="23" t="s">
        <v>3533</v>
      </c>
      <c r="G1523" s="23" t="s">
        <v>301</v>
      </c>
      <c r="H1523" s="39">
        <f t="shared" si="92"/>
        <v>11597</v>
      </c>
      <c r="I1523" s="23" t="str">
        <f t="shared" si="93"/>
        <v>Kolkata</v>
      </c>
      <c r="J1523" s="23">
        <f>COUNTIFS(pg_transaction_cleaned!$O:$O,A1523,pg_transaction_cleaned!$F:$F,"CAPTURE")</f>
        <v>1</v>
      </c>
      <c r="K1523" s="39">
        <f>SUMIFS(pg_transaction_cleaned!$H:$H,pg_transaction_cleaned!$O:$O,A1523,pg_transaction_cleaned!$F:$F,"CAPTURE")</f>
        <v>11597</v>
      </c>
      <c r="L1523" s="23">
        <f>COUNTIFS(pg_transaction_cleaned!$O:$O,A1523,pg_transaction_cleaned!$F:$F,"REFUND")</f>
        <v>1</v>
      </c>
      <c r="M1523" s="39">
        <f>SUMIFS(pg_transaction_cleaned!$H:$H,pg_transaction_cleaned!$O:$O,A1523,pg_transaction_cleaned!$F:$F,"REFUND")</f>
        <v>11597</v>
      </c>
      <c r="N1523" s="23" t="str">
        <f t="shared" si="94"/>
        <v>OK</v>
      </c>
      <c r="O1523" s="24">
        <f t="shared" si="95"/>
        <v>0</v>
      </c>
    </row>
    <row r="1524" spans="1:15" ht="15" customHeight="1" x14ac:dyDescent="0.3">
      <c r="A1524" s="23" t="s">
        <v>3534</v>
      </c>
      <c r="B1524" s="38">
        <v>46283</v>
      </c>
      <c r="C1524" s="23" t="s">
        <v>3535</v>
      </c>
      <c r="D1524" s="23" t="s">
        <v>88</v>
      </c>
      <c r="E1524" s="23" t="s">
        <v>75</v>
      </c>
      <c r="F1524" s="23" t="s">
        <v>307</v>
      </c>
      <c r="G1524" s="23" t="s">
        <v>250</v>
      </c>
      <c r="H1524" s="39">
        <f t="shared" si="92"/>
        <v>3798</v>
      </c>
      <c r="I1524" s="23" t="str">
        <f t="shared" si="93"/>
        <v>Lucknow</v>
      </c>
      <c r="J1524" s="23">
        <f>COUNTIFS(pg_transaction_cleaned!$O:$O,A1524,pg_transaction_cleaned!$F:$F,"CAPTURE")</f>
        <v>1</v>
      </c>
      <c r="K1524" s="39">
        <f>SUMIFS(pg_transaction_cleaned!$H:$H,pg_transaction_cleaned!$O:$O,A1524,pg_transaction_cleaned!$F:$F,"CAPTURE")</f>
        <v>3798</v>
      </c>
      <c r="L1524" s="23">
        <f>COUNTIFS(pg_transaction_cleaned!$O:$O,A1524,pg_transaction_cleaned!$F:$F,"REFUND")</f>
        <v>0</v>
      </c>
      <c r="M1524" s="39">
        <f>SUMIFS(pg_transaction_cleaned!$H:$H,pg_transaction_cleaned!$O:$O,A1524,pg_transaction_cleaned!$F:$F,"REFUND")</f>
        <v>0</v>
      </c>
      <c r="N1524" s="23" t="str">
        <f t="shared" si="94"/>
        <v>OK</v>
      </c>
      <c r="O1524" s="24">
        <f t="shared" si="95"/>
        <v>0</v>
      </c>
    </row>
    <row r="1525" spans="1:15" ht="15" customHeight="1" x14ac:dyDescent="0.3">
      <c r="A1525" s="23" t="s">
        <v>3536</v>
      </c>
      <c r="B1525" s="38">
        <v>46272</v>
      </c>
      <c r="C1525" s="23" t="s">
        <v>3537</v>
      </c>
      <c r="D1525" s="23" t="s">
        <v>89</v>
      </c>
      <c r="E1525" s="23" t="s">
        <v>79</v>
      </c>
      <c r="F1525" s="23" t="s">
        <v>757</v>
      </c>
      <c r="G1525" s="23" t="s">
        <v>250</v>
      </c>
      <c r="H1525" s="39">
        <f t="shared" si="92"/>
        <v>3798</v>
      </c>
      <c r="I1525" s="23" t="str">
        <f t="shared" si="93"/>
        <v>Jaipur</v>
      </c>
      <c r="J1525" s="23">
        <f>COUNTIFS(pg_transaction_cleaned!$O:$O,A1525,pg_transaction_cleaned!$F:$F,"CAPTURE")</f>
        <v>1</v>
      </c>
      <c r="K1525" s="39">
        <f>SUMIFS(pg_transaction_cleaned!$H:$H,pg_transaction_cleaned!$O:$O,A1525,pg_transaction_cleaned!$F:$F,"CAPTURE")</f>
        <v>3798</v>
      </c>
      <c r="L1525" s="23">
        <f>COUNTIFS(pg_transaction_cleaned!$O:$O,A1525,pg_transaction_cleaned!$F:$F,"REFUND")</f>
        <v>0</v>
      </c>
      <c r="M1525" s="39">
        <f>SUMIFS(pg_transaction_cleaned!$H:$H,pg_transaction_cleaned!$O:$O,A1525,pg_transaction_cleaned!$F:$F,"REFUND")</f>
        <v>0</v>
      </c>
      <c r="N1525" s="23" t="str">
        <f t="shared" si="94"/>
        <v>OK</v>
      </c>
      <c r="O1525" s="24">
        <f t="shared" si="95"/>
        <v>0</v>
      </c>
    </row>
    <row r="1526" spans="1:15" ht="15" customHeight="1" x14ac:dyDescent="0.3">
      <c r="A1526" s="23" t="s">
        <v>3538</v>
      </c>
      <c r="B1526" s="38">
        <v>46288</v>
      </c>
      <c r="C1526" s="23" t="s">
        <v>3539</v>
      </c>
      <c r="D1526" s="23" t="s">
        <v>89</v>
      </c>
      <c r="E1526" s="23" t="s">
        <v>75</v>
      </c>
      <c r="F1526" s="23" t="s">
        <v>2086</v>
      </c>
      <c r="G1526" s="23" t="s">
        <v>250</v>
      </c>
      <c r="H1526" s="39">
        <f t="shared" si="92"/>
        <v>3397</v>
      </c>
      <c r="I1526" s="23" t="str">
        <f t="shared" si="93"/>
        <v>Jaipur</v>
      </c>
      <c r="J1526" s="23">
        <f>COUNTIFS(pg_transaction_cleaned!$O:$O,A1526,pg_transaction_cleaned!$F:$F,"CAPTURE")</f>
        <v>1</v>
      </c>
      <c r="K1526" s="39">
        <f>SUMIFS(pg_transaction_cleaned!$H:$H,pg_transaction_cleaned!$O:$O,A1526,pg_transaction_cleaned!$F:$F,"CAPTURE")</f>
        <v>3397</v>
      </c>
      <c r="L1526" s="23">
        <f>COUNTIFS(pg_transaction_cleaned!$O:$O,A1526,pg_transaction_cleaned!$F:$F,"REFUND")</f>
        <v>0</v>
      </c>
      <c r="M1526" s="39">
        <f>SUMIFS(pg_transaction_cleaned!$H:$H,pg_transaction_cleaned!$O:$O,A1526,pg_transaction_cleaned!$F:$F,"REFUND")</f>
        <v>0</v>
      </c>
      <c r="N1526" s="23" t="str">
        <f t="shared" si="94"/>
        <v>OK</v>
      </c>
      <c r="O1526" s="24">
        <f t="shared" si="95"/>
        <v>0</v>
      </c>
    </row>
    <row r="1527" spans="1:15" ht="15" customHeight="1" x14ac:dyDescent="0.3">
      <c r="A1527" s="23" t="s">
        <v>3540</v>
      </c>
      <c r="B1527" s="38">
        <v>46269</v>
      </c>
      <c r="C1527" s="23" t="s">
        <v>3541</v>
      </c>
      <c r="D1527" s="23" t="s">
        <v>86</v>
      </c>
      <c r="E1527" s="23" t="s">
        <v>75</v>
      </c>
      <c r="F1527" s="23" t="s">
        <v>329</v>
      </c>
      <c r="G1527" s="23" t="s">
        <v>250</v>
      </c>
      <c r="H1527" s="39">
        <f t="shared" si="92"/>
        <v>599</v>
      </c>
      <c r="I1527" s="23" t="str">
        <f t="shared" si="93"/>
        <v>Delhi</v>
      </c>
      <c r="J1527" s="23">
        <f>COUNTIFS(pg_transaction_cleaned!$O:$O,A1527,pg_transaction_cleaned!$F:$F,"CAPTURE")</f>
        <v>1</v>
      </c>
      <c r="K1527" s="39">
        <f>SUMIFS(pg_transaction_cleaned!$H:$H,pg_transaction_cleaned!$O:$O,A1527,pg_transaction_cleaned!$F:$F,"CAPTURE")</f>
        <v>599</v>
      </c>
      <c r="L1527" s="23">
        <f>COUNTIFS(pg_transaction_cleaned!$O:$O,A1527,pg_transaction_cleaned!$F:$F,"REFUND")</f>
        <v>0</v>
      </c>
      <c r="M1527" s="39">
        <f>SUMIFS(pg_transaction_cleaned!$H:$H,pg_transaction_cleaned!$O:$O,A1527,pg_transaction_cleaned!$F:$F,"REFUND")</f>
        <v>0</v>
      </c>
      <c r="N1527" s="23" t="str">
        <f t="shared" si="94"/>
        <v>OK</v>
      </c>
      <c r="O1527" s="24">
        <f t="shared" si="95"/>
        <v>0</v>
      </c>
    </row>
    <row r="1528" spans="1:15" ht="15" customHeight="1" x14ac:dyDescent="0.3">
      <c r="A1528" s="23" t="s">
        <v>3542</v>
      </c>
      <c r="B1528" s="38">
        <v>46294</v>
      </c>
      <c r="C1528" s="23" t="s">
        <v>3543</v>
      </c>
      <c r="D1528" s="23" t="s">
        <v>95</v>
      </c>
      <c r="E1528" s="23" t="s">
        <v>79</v>
      </c>
      <c r="F1528" s="23" t="s">
        <v>262</v>
      </c>
      <c r="G1528" s="23" t="s">
        <v>250</v>
      </c>
      <c r="H1528" s="39">
        <f t="shared" si="92"/>
        <v>499</v>
      </c>
      <c r="I1528" s="23" t="str">
        <f t="shared" si="93"/>
        <v>Bengaluru</v>
      </c>
      <c r="J1528" s="23">
        <f>COUNTIFS(pg_transaction_cleaned!$O:$O,A1528,pg_transaction_cleaned!$F:$F,"CAPTURE")</f>
        <v>1</v>
      </c>
      <c r="K1528" s="39">
        <f>SUMIFS(pg_transaction_cleaned!$H:$H,pg_transaction_cleaned!$O:$O,A1528,pg_transaction_cleaned!$F:$F,"CAPTURE")</f>
        <v>499</v>
      </c>
      <c r="L1528" s="23">
        <f>COUNTIFS(pg_transaction_cleaned!$O:$O,A1528,pg_transaction_cleaned!$F:$F,"REFUND")</f>
        <v>0</v>
      </c>
      <c r="M1528" s="39">
        <f>SUMIFS(pg_transaction_cleaned!$H:$H,pg_transaction_cleaned!$O:$O,A1528,pg_transaction_cleaned!$F:$F,"REFUND")</f>
        <v>0</v>
      </c>
      <c r="N1528" s="23" t="str">
        <f t="shared" si="94"/>
        <v>OK</v>
      </c>
      <c r="O1528" s="24">
        <f t="shared" si="95"/>
        <v>0</v>
      </c>
    </row>
    <row r="1529" spans="1:15" ht="15" customHeight="1" x14ac:dyDescent="0.3">
      <c r="A1529" s="23" t="s">
        <v>3544</v>
      </c>
      <c r="B1529" s="38">
        <v>46292</v>
      </c>
      <c r="C1529" s="23" t="s">
        <v>3545</v>
      </c>
      <c r="D1529" s="23" t="s">
        <v>88</v>
      </c>
      <c r="E1529" s="23" t="s">
        <v>79</v>
      </c>
      <c r="F1529" s="23" t="s">
        <v>294</v>
      </c>
      <c r="G1529" s="23" t="s">
        <v>250</v>
      </c>
      <c r="H1529" s="39">
        <f t="shared" si="92"/>
        <v>1799</v>
      </c>
      <c r="I1529" s="23" t="str">
        <f t="shared" si="93"/>
        <v>Lucknow</v>
      </c>
      <c r="J1529" s="23">
        <f>COUNTIFS(pg_transaction_cleaned!$O:$O,A1529,pg_transaction_cleaned!$F:$F,"CAPTURE")</f>
        <v>1</v>
      </c>
      <c r="K1529" s="39">
        <f>SUMIFS(pg_transaction_cleaned!$H:$H,pg_transaction_cleaned!$O:$O,A1529,pg_transaction_cleaned!$F:$F,"CAPTURE")</f>
        <v>1799</v>
      </c>
      <c r="L1529" s="23">
        <f>COUNTIFS(pg_transaction_cleaned!$O:$O,A1529,pg_transaction_cleaned!$F:$F,"REFUND")</f>
        <v>0</v>
      </c>
      <c r="M1529" s="39">
        <f>SUMIFS(pg_transaction_cleaned!$H:$H,pg_transaction_cleaned!$O:$O,A1529,pg_transaction_cleaned!$F:$F,"REFUND")</f>
        <v>0</v>
      </c>
      <c r="N1529" s="23" t="str">
        <f t="shared" si="94"/>
        <v>OK</v>
      </c>
      <c r="O1529" s="24">
        <f t="shared" si="95"/>
        <v>0</v>
      </c>
    </row>
    <row r="1530" spans="1:15" ht="15" customHeight="1" x14ac:dyDescent="0.3">
      <c r="A1530" s="23" t="s">
        <v>3546</v>
      </c>
      <c r="B1530" s="38">
        <v>46277</v>
      </c>
      <c r="C1530" s="23" t="s">
        <v>3547</v>
      </c>
      <c r="D1530" s="23" t="s">
        <v>86</v>
      </c>
      <c r="E1530" s="23" t="s">
        <v>77</v>
      </c>
      <c r="F1530" s="23" t="s">
        <v>274</v>
      </c>
      <c r="G1530" s="23" t="s">
        <v>318</v>
      </c>
      <c r="H1530" s="39">
        <f t="shared" si="92"/>
        <v>349</v>
      </c>
      <c r="I1530" s="23" t="str">
        <f t="shared" si="93"/>
        <v>Delhi</v>
      </c>
      <c r="J1530" s="23">
        <f>COUNTIFS(pg_transaction_cleaned!$O:$O,A1530,pg_transaction_cleaned!$F:$F,"CAPTURE")</f>
        <v>0</v>
      </c>
      <c r="K1530" s="39">
        <f>SUMIFS(pg_transaction_cleaned!$H:$H,pg_transaction_cleaned!$O:$O,A1530,pg_transaction_cleaned!$F:$F,"CAPTURE")</f>
        <v>0</v>
      </c>
      <c r="L1530" s="23">
        <f>COUNTIFS(pg_transaction_cleaned!$O:$O,A1530,pg_transaction_cleaned!$F:$F,"REFUND")</f>
        <v>0</v>
      </c>
      <c r="M1530" s="39">
        <f>SUMIFS(pg_transaction_cleaned!$H:$H,pg_transaction_cleaned!$O:$O,A1530,pg_transaction_cleaned!$F:$F,"REFUND")</f>
        <v>0</v>
      </c>
      <c r="N1530" s="23" t="str">
        <f t="shared" si="94"/>
        <v>OK</v>
      </c>
      <c r="O1530" s="24">
        <f t="shared" si="95"/>
        <v>0</v>
      </c>
    </row>
    <row r="1531" spans="1:15" ht="15" customHeight="1" x14ac:dyDescent="0.3">
      <c r="A1531" s="23" t="s">
        <v>3548</v>
      </c>
      <c r="B1531" s="38">
        <v>46279</v>
      </c>
      <c r="C1531" s="23" t="s">
        <v>3549</v>
      </c>
      <c r="D1531" s="23" t="s">
        <v>94</v>
      </c>
      <c r="E1531" s="23" t="s">
        <v>79</v>
      </c>
      <c r="F1531" s="23" t="s">
        <v>349</v>
      </c>
      <c r="G1531" s="23" t="s">
        <v>301</v>
      </c>
      <c r="H1531" s="39">
        <f t="shared" si="92"/>
        <v>1798</v>
      </c>
      <c r="I1531" s="23" t="str">
        <f t="shared" si="93"/>
        <v>Chennai</v>
      </c>
      <c r="J1531" s="23">
        <f>COUNTIFS(pg_transaction_cleaned!$O:$O,A1531,pg_transaction_cleaned!$F:$F,"CAPTURE")</f>
        <v>1</v>
      </c>
      <c r="K1531" s="39">
        <f>SUMIFS(pg_transaction_cleaned!$H:$H,pg_transaction_cleaned!$O:$O,A1531,pg_transaction_cleaned!$F:$F,"CAPTURE")</f>
        <v>1798</v>
      </c>
      <c r="L1531" s="23">
        <f>COUNTIFS(pg_transaction_cleaned!$O:$O,A1531,pg_transaction_cleaned!$F:$F,"REFUND")</f>
        <v>1</v>
      </c>
      <c r="M1531" s="39">
        <f>SUMIFS(pg_transaction_cleaned!$H:$H,pg_transaction_cleaned!$O:$O,A1531,pg_transaction_cleaned!$F:$F,"REFUND")</f>
        <v>1798</v>
      </c>
      <c r="N1531" s="23" t="str">
        <f t="shared" si="94"/>
        <v>OK</v>
      </c>
      <c r="O1531" s="24">
        <f t="shared" si="95"/>
        <v>0</v>
      </c>
    </row>
    <row r="1532" spans="1:15" ht="15" customHeight="1" x14ac:dyDescent="0.3">
      <c r="A1532" s="23" t="s">
        <v>3550</v>
      </c>
      <c r="B1532" s="38">
        <v>46273</v>
      </c>
      <c r="C1532" s="23" t="s">
        <v>3551</v>
      </c>
      <c r="D1532" s="23" t="s">
        <v>91</v>
      </c>
      <c r="E1532" s="23" t="s">
        <v>75</v>
      </c>
      <c r="F1532" s="23" t="s">
        <v>1299</v>
      </c>
      <c r="G1532" s="23" t="s">
        <v>301</v>
      </c>
      <c r="H1532" s="39">
        <f t="shared" si="92"/>
        <v>2097</v>
      </c>
      <c r="I1532" s="23" t="str">
        <f t="shared" si="93"/>
        <v>Pune</v>
      </c>
      <c r="J1532" s="23">
        <f>COUNTIFS(pg_transaction_cleaned!$O:$O,A1532,pg_transaction_cleaned!$F:$F,"CAPTURE")</f>
        <v>1</v>
      </c>
      <c r="K1532" s="39">
        <f>SUMIFS(pg_transaction_cleaned!$H:$H,pg_transaction_cleaned!$O:$O,A1532,pg_transaction_cleaned!$F:$F,"CAPTURE")</f>
        <v>2097</v>
      </c>
      <c r="L1532" s="23">
        <f>COUNTIFS(pg_transaction_cleaned!$O:$O,A1532,pg_transaction_cleaned!$F:$F,"REFUND")</f>
        <v>1</v>
      </c>
      <c r="M1532" s="39">
        <f>SUMIFS(pg_transaction_cleaned!$H:$H,pg_transaction_cleaned!$O:$O,A1532,pg_transaction_cleaned!$F:$F,"REFUND")</f>
        <v>2097</v>
      </c>
      <c r="N1532" s="23" t="str">
        <f t="shared" si="94"/>
        <v>OK</v>
      </c>
      <c r="O1532" s="24">
        <f t="shared" si="95"/>
        <v>0</v>
      </c>
    </row>
    <row r="1533" spans="1:15" ht="15" customHeight="1" x14ac:dyDescent="0.3">
      <c r="A1533" s="23" t="s">
        <v>3552</v>
      </c>
      <c r="B1533" s="38">
        <v>46289</v>
      </c>
      <c r="C1533" s="23" t="s">
        <v>3553</v>
      </c>
      <c r="D1533" s="23" t="s">
        <v>89</v>
      </c>
      <c r="E1533" s="23" t="s">
        <v>79</v>
      </c>
      <c r="F1533" s="23" t="s">
        <v>670</v>
      </c>
      <c r="G1533" s="23" t="s">
        <v>250</v>
      </c>
      <c r="H1533" s="39">
        <f t="shared" si="92"/>
        <v>7797</v>
      </c>
      <c r="I1533" s="23" t="str">
        <f t="shared" si="93"/>
        <v>Jaipur</v>
      </c>
      <c r="J1533" s="23">
        <f>COUNTIFS(pg_transaction_cleaned!$O:$O,A1533,pg_transaction_cleaned!$F:$F,"CAPTURE")</f>
        <v>1</v>
      </c>
      <c r="K1533" s="39">
        <f>SUMIFS(pg_transaction_cleaned!$H:$H,pg_transaction_cleaned!$O:$O,A1533,pg_transaction_cleaned!$F:$F,"CAPTURE")</f>
        <v>7797</v>
      </c>
      <c r="L1533" s="23">
        <f>COUNTIFS(pg_transaction_cleaned!$O:$O,A1533,pg_transaction_cleaned!$F:$F,"REFUND")</f>
        <v>0</v>
      </c>
      <c r="M1533" s="39">
        <f>SUMIFS(pg_transaction_cleaned!$H:$H,pg_transaction_cleaned!$O:$O,A1533,pg_transaction_cleaned!$F:$F,"REFUND")</f>
        <v>0</v>
      </c>
      <c r="N1533" s="23" t="str">
        <f t="shared" si="94"/>
        <v>OK</v>
      </c>
      <c r="O1533" s="24">
        <f t="shared" si="95"/>
        <v>0</v>
      </c>
    </row>
    <row r="1534" spans="1:15" ht="15" customHeight="1" x14ac:dyDescent="0.3">
      <c r="A1534" s="23" t="s">
        <v>3554</v>
      </c>
      <c r="B1534" s="38">
        <v>46272</v>
      </c>
      <c r="C1534" s="23" t="s">
        <v>3555</v>
      </c>
      <c r="D1534" s="23" t="s">
        <v>86</v>
      </c>
      <c r="E1534" s="23" t="s">
        <v>79</v>
      </c>
      <c r="F1534" s="23" t="s">
        <v>3556</v>
      </c>
      <c r="G1534" s="23" t="s">
        <v>250</v>
      </c>
      <c r="H1534" s="39">
        <f t="shared" si="92"/>
        <v>1598</v>
      </c>
      <c r="I1534" s="23" t="str">
        <f t="shared" si="93"/>
        <v>Delhi</v>
      </c>
      <c r="J1534" s="23">
        <f>COUNTIFS(pg_transaction_cleaned!$O:$O,A1534,pg_transaction_cleaned!$F:$F,"CAPTURE")</f>
        <v>1</v>
      </c>
      <c r="K1534" s="39">
        <f>SUMIFS(pg_transaction_cleaned!$H:$H,pg_transaction_cleaned!$O:$O,A1534,pg_transaction_cleaned!$F:$F,"CAPTURE")</f>
        <v>1449</v>
      </c>
      <c r="L1534" s="23">
        <f>COUNTIFS(pg_transaction_cleaned!$O:$O,A1534,pg_transaction_cleaned!$F:$F,"REFUND")</f>
        <v>0</v>
      </c>
      <c r="M1534" s="39">
        <f>SUMIFS(pg_transaction_cleaned!$H:$H,pg_transaction_cleaned!$O:$O,A1534,pg_transaction_cleaned!$F:$F,"REFUND")</f>
        <v>0</v>
      </c>
      <c r="N1534" s="23" t="str">
        <f t="shared" si="94"/>
        <v>Amount difference</v>
      </c>
      <c r="O1534" s="24">
        <f t="shared" si="95"/>
        <v>-149</v>
      </c>
    </row>
    <row r="1535" spans="1:15" ht="15" customHeight="1" x14ac:dyDescent="0.3">
      <c r="A1535" s="23" t="s">
        <v>3557</v>
      </c>
      <c r="B1535" s="38">
        <v>46280</v>
      </c>
      <c r="C1535" s="23" t="s">
        <v>1185</v>
      </c>
      <c r="D1535" s="23" t="s">
        <v>91</v>
      </c>
      <c r="E1535" s="23" t="s">
        <v>75</v>
      </c>
      <c r="F1535" s="23" t="s">
        <v>291</v>
      </c>
      <c r="G1535" s="23" t="s">
        <v>250</v>
      </c>
      <c r="H1535" s="39">
        <f t="shared" si="92"/>
        <v>3499</v>
      </c>
      <c r="I1535" s="23" t="str">
        <f t="shared" si="93"/>
        <v>Pune</v>
      </c>
      <c r="J1535" s="23">
        <f>COUNTIFS(pg_transaction_cleaned!$O:$O,A1535,pg_transaction_cleaned!$F:$F,"CAPTURE")</f>
        <v>1</v>
      </c>
      <c r="K1535" s="39">
        <f>SUMIFS(pg_transaction_cleaned!$H:$H,pg_transaction_cleaned!$O:$O,A1535,pg_transaction_cleaned!$F:$F,"CAPTURE")</f>
        <v>3499</v>
      </c>
      <c r="L1535" s="23">
        <f>COUNTIFS(pg_transaction_cleaned!$O:$O,A1535,pg_transaction_cleaned!$F:$F,"REFUND")</f>
        <v>0</v>
      </c>
      <c r="M1535" s="39">
        <f>SUMIFS(pg_transaction_cleaned!$H:$H,pg_transaction_cleaned!$O:$O,A1535,pg_transaction_cleaned!$F:$F,"REFUND")</f>
        <v>0</v>
      </c>
      <c r="N1535" s="23" t="str">
        <f t="shared" si="94"/>
        <v>OK</v>
      </c>
      <c r="O1535" s="24">
        <f t="shared" si="95"/>
        <v>0</v>
      </c>
    </row>
    <row r="1536" spans="1:15" ht="15" customHeight="1" x14ac:dyDescent="0.3">
      <c r="A1536" s="23" t="s">
        <v>3558</v>
      </c>
      <c r="B1536" s="38">
        <v>46281</v>
      </c>
      <c r="C1536" s="23" t="s">
        <v>3559</v>
      </c>
      <c r="D1536" s="23" t="s">
        <v>88</v>
      </c>
      <c r="E1536" s="23" t="s">
        <v>81</v>
      </c>
      <c r="F1536" s="23" t="s">
        <v>315</v>
      </c>
      <c r="G1536" s="23" t="s">
        <v>250</v>
      </c>
      <c r="H1536" s="39">
        <f t="shared" si="92"/>
        <v>1499</v>
      </c>
      <c r="I1536" s="23" t="str">
        <f t="shared" si="93"/>
        <v>Lucknow</v>
      </c>
      <c r="J1536" s="23">
        <f>COUNTIFS(pg_transaction_cleaned!$O:$O,A1536,pg_transaction_cleaned!$F:$F,"CAPTURE")</f>
        <v>1</v>
      </c>
      <c r="K1536" s="39">
        <f>SUMIFS(pg_transaction_cleaned!$H:$H,pg_transaction_cleaned!$O:$O,A1536,pg_transaction_cleaned!$F:$F,"CAPTURE")</f>
        <v>1499</v>
      </c>
      <c r="L1536" s="23">
        <f>COUNTIFS(pg_transaction_cleaned!$O:$O,A1536,pg_transaction_cleaned!$F:$F,"REFUND")</f>
        <v>0</v>
      </c>
      <c r="M1536" s="39">
        <f>SUMIFS(pg_transaction_cleaned!$H:$H,pg_transaction_cleaned!$O:$O,A1536,pg_transaction_cleaned!$F:$F,"REFUND")</f>
        <v>0</v>
      </c>
      <c r="N1536" s="23" t="str">
        <f t="shared" si="94"/>
        <v>OK</v>
      </c>
      <c r="O1536" s="24">
        <f t="shared" si="95"/>
        <v>0</v>
      </c>
    </row>
    <row r="1537" spans="1:15" ht="15" customHeight="1" x14ac:dyDescent="0.3">
      <c r="A1537" s="23" t="s">
        <v>3560</v>
      </c>
      <c r="B1537" s="38">
        <v>46281</v>
      </c>
      <c r="C1537" s="23" t="s">
        <v>3561</v>
      </c>
      <c r="D1537" s="23" t="s">
        <v>93</v>
      </c>
      <c r="E1537" s="23" t="s">
        <v>75</v>
      </c>
      <c r="F1537" s="23" t="s">
        <v>1308</v>
      </c>
      <c r="G1537" s="23" t="s">
        <v>250</v>
      </c>
      <c r="H1537" s="39">
        <f t="shared" si="92"/>
        <v>4297</v>
      </c>
      <c r="I1537" s="23" t="str">
        <f t="shared" si="93"/>
        <v>Kolkata</v>
      </c>
      <c r="J1537" s="23">
        <f>COUNTIFS(pg_transaction_cleaned!$O:$O,A1537,pg_transaction_cleaned!$F:$F,"CAPTURE")</f>
        <v>1</v>
      </c>
      <c r="K1537" s="39">
        <f>SUMIFS(pg_transaction_cleaned!$H:$H,pg_transaction_cleaned!$O:$O,A1537,pg_transaction_cleaned!$F:$F,"CAPTURE")</f>
        <v>4297</v>
      </c>
      <c r="L1537" s="23">
        <f>COUNTIFS(pg_transaction_cleaned!$O:$O,A1537,pg_transaction_cleaned!$F:$F,"REFUND")</f>
        <v>0</v>
      </c>
      <c r="M1537" s="39">
        <f>SUMIFS(pg_transaction_cleaned!$H:$H,pg_transaction_cleaned!$O:$O,A1537,pg_transaction_cleaned!$F:$F,"REFUND")</f>
        <v>0</v>
      </c>
      <c r="N1537" s="23" t="str">
        <f t="shared" si="94"/>
        <v>OK</v>
      </c>
      <c r="O1537" s="24">
        <f t="shared" si="95"/>
        <v>0</v>
      </c>
    </row>
    <row r="1538" spans="1:15" ht="15" customHeight="1" x14ac:dyDescent="0.3">
      <c r="A1538" s="23" t="s">
        <v>3562</v>
      </c>
      <c r="B1538" s="38">
        <v>46287</v>
      </c>
      <c r="C1538" s="23" t="s">
        <v>3563</v>
      </c>
      <c r="D1538" s="23" t="s">
        <v>93</v>
      </c>
      <c r="E1538" s="23" t="s">
        <v>75</v>
      </c>
      <c r="F1538" s="23" t="s">
        <v>3564</v>
      </c>
      <c r="G1538" s="23" t="s">
        <v>250</v>
      </c>
      <c r="H1538" s="39">
        <f t="shared" ref="H1538:H1601" si="96">VALUE(SUBSTITUTE(F1538,",",""))</f>
        <v>948</v>
      </c>
      <c r="I1538" s="23" t="str">
        <f t="shared" ref="I1538:I1601" si="97">IF(TRIM(D1538)="","Unknown",TRIM(D1538))</f>
        <v>Kolkata</v>
      </c>
      <c r="J1538" s="23">
        <f>COUNTIFS(pg_transaction_cleaned!$O:$O,A1538,pg_transaction_cleaned!$F:$F,"CAPTURE")</f>
        <v>1</v>
      </c>
      <c r="K1538" s="39">
        <f>SUMIFS(pg_transaction_cleaned!$H:$H,pg_transaction_cleaned!$O:$O,A1538,pg_transaction_cleaned!$F:$F,"CAPTURE")</f>
        <v>948</v>
      </c>
      <c r="L1538" s="23">
        <f>COUNTIFS(pg_transaction_cleaned!$O:$O,A1538,pg_transaction_cleaned!$F:$F,"REFUND")</f>
        <v>0</v>
      </c>
      <c r="M1538" s="39">
        <f>SUMIFS(pg_transaction_cleaned!$H:$H,pg_transaction_cleaned!$O:$O,A1538,pg_transaction_cleaned!$F:$F,"REFUND")</f>
        <v>0</v>
      </c>
      <c r="N1538" s="23" t="str">
        <f t="shared" ref="N1538:N1601" si="98">IF(AND(G1538="Paid",J1538=0),"Paid, no payment",IF(AND(OR(G1538="Failed",G1538="Cancelled"),J1538&gt;0),"Payment on failed/cancelled",IF(J1538&gt;1,"Duplicate charge",IF(AND(J1538=1,ROUND(K1538-H1538,2)&lt;&gt;0),"Amount difference",IF(AND(G1538="Refunded",L1538=0),"Refunded, no refund",IF(AND(G1538&lt;&gt;"Refunded",L1538&gt;0),"Refund, order not Refunded",IF(AND(L1538&gt;0,ROUND(M1538-H1538,2)&lt;&gt;0),"Refund amount differs","OK")))))))</f>
        <v>OK</v>
      </c>
      <c r="O1538" s="24">
        <f t="shared" ref="O1538:O1601" si="99">IF(N1538="OK",0,IF(N1538="Paid, no payment",H1538,IF(N1538="Payment on failed/cancelled",K1538,IF(OR(N1538="Duplicate charge",N1538="Amount difference"),K1538-H1538,IF(N1538="Refunded, no refund",H1538,M1538)))))</f>
        <v>0</v>
      </c>
    </row>
    <row r="1539" spans="1:15" ht="15" customHeight="1" x14ac:dyDescent="0.3">
      <c r="A1539" s="23" t="s">
        <v>3565</v>
      </c>
      <c r="B1539" s="38">
        <v>46269</v>
      </c>
      <c r="C1539" s="23" t="s">
        <v>3566</v>
      </c>
      <c r="D1539" s="23" t="s">
        <v>93</v>
      </c>
      <c r="E1539" s="23" t="s">
        <v>75</v>
      </c>
      <c r="F1539" s="23" t="s">
        <v>280</v>
      </c>
      <c r="G1539" s="23" t="s">
        <v>250</v>
      </c>
      <c r="H1539" s="39">
        <f t="shared" si="96"/>
        <v>5797</v>
      </c>
      <c r="I1539" s="23" t="str">
        <f t="shared" si="97"/>
        <v>Kolkata</v>
      </c>
      <c r="J1539" s="23">
        <f>COUNTIFS(pg_transaction_cleaned!$O:$O,A1539,pg_transaction_cleaned!$F:$F,"CAPTURE")</f>
        <v>1</v>
      </c>
      <c r="K1539" s="39">
        <f>SUMIFS(pg_transaction_cleaned!$H:$H,pg_transaction_cleaned!$O:$O,A1539,pg_transaction_cleaned!$F:$F,"CAPTURE")</f>
        <v>5797</v>
      </c>
      <c r="L1539" s="23">
        <f>COUNTIFS(pg_transaction_cleaned!$O:$O,A1539,pg_transaction_cleaned!$F:$F,"REFUND")</f>
        <v>0</v>
      </c>
      <c r="M1539" s="39">
        <f>SUMIFS(pg_transaction_cleaned!$H:$H,pg_transaction_cleaned!$O:$O,A1539,pg_transaction_cleaned!$F:$F,"REFUND")</f>
        <v>0</v>
      </c>
      <c r="N1539" s="23" t="str">
        <f t="shared" si="98"/>
        <v>OK</v>
      </c>
      <c r="O1539" s="24">
        <f t="shared" si="99"/>
        <v>0</v>
      </c>
    </row>
    <row r="1540" spans="1:15" ht="15" customHeight="1" x14ac:dyDescent="0.3">
      <c r="A1540" s="23" t="s">
        <v>3567</v>
      </c>
      <c r="B1540" s="38">
        <v>46278</v>
      </c>
      <c r="C1540" s="23" t="s">
        <v>3568</v>
      </c>
      <c r="D1540" s="23" t="s">
        <v>87</v>
      </c>
      <c r="E1540" s="23" t="s">
        <v>79</v>
      </c>
      <c r="F1540" s="23" t="s">
        <v>274</v>
      </c>
      <c r="G1540" s="23" t="s">
        <v>250</v>
      </c>
      <c r="H1540" s="39">
        <f t="shared" si="96"/>
        <v>349</v>
      </c>
      <c r="I1540" s="23" t="str">
        <f t="shared" si="97"/>
        <v>Mumbai</v>
      </c>
      <c r="J1540" s="23">
        <f>COUNTIFS(pg_transaction_cleaned!$O:$O,A1540,pg_transaction_cleaned!$F:$F,"CAPTURE")</f>
        <v>1</v>
      </c>
      <c r="K1540" s="39">
        <f>SUMIFS(pg_transaction_cleaned!$H:$H,pg_transaction_cleaned!$O:$O,A1540,pg_transaction_cleaned!$F:$F,"CAPTURE")</f>
        <v>349</v>
      </c>
      <c r="L1540" s="23">
        <f>COUNTIFS(pg_transaction_cleaned!$O:$O,A1540,pg_transaction_cleaned!$F:$F,"REFUND")</f>
        <v>0</v>
      </c>
      <c r="M1540" s="39">
        <f>SUMIFS(pg_transaction_cleaned!$H:$H,pg_transaction_cleaned!$O:$O,A1540,pg_transaction_cleaned!$F:$F,"REFUND")</f>
        <v>0</v>
      </c>
      <c r="N1540" s="23" t="str">
        <f t="shared" si="98"/>
        <v>OK</v>
      </c>
      <c r="O1540" s="24">
        <f t="shared" si="99"/>
        <v>0</v>
      </c>
    </row>
    <row r="1541" spans="1:15" ht="15" customHeight="1" x14ac:dyDescent="0.3">
      <c r="A1541" s="23" t="s">
        <v>3569</v>
      </c>
      <c r="B1541" s="38">
        <v>46270</v>
      </c>
      <c r="C1541" s="23" t="s">
        <v>3570</v>
      </c>
      <c r="D1541" s="23" t="s">
        <v>88</v>
      </c>
      <c r="E1541" s="23" t="s">
        <v>75</v>
      </c>
      <c r="F1541" s="23" t="s">
        <v>297</v>
      </c>
      <c r="G1541" s="23" t="s">
        <v>250</v>
      </c>
      <c r="H1541" s="39">
        <f t="shared" si="96"/>
        <v>4999</v>
      </c>
      <c r="I1541" s="23" t="str">
        <f t="shared" si="97"/>
        <v>Lucknow</v>
      </c>
      <c r="J1541" s="23">
        <f>COUNTIFS(pg_transaction_cleaned!$O:$O,A1541,pg_transaction_cleaned!$F:$F,"CAPTURE")</f>
        <v>1</v>
      </c>
      <c r="K1541" s="39">
        <f>SUMIFS(pg_transaction_cleaned!$H:$H,pg_transaction_cleaned!$O:$O,A1541,pg_transaction_cleaned!$F:$F,"CAPTURE")</f>
        <v>4999</v>
      </c>
      <c r="L1541" s="23">
        <f>COUNTIFS(pg_transaction_cleaned!$O:$O,A1541,pg_transaction_cleaned!$F:$F,"REFUND")</f>
        <v>0</v>
      </c>
      <c r="M1541" s="39">
        <f>SUMIFS(pg_transaction_cleaned!$H:$H,pg_transaction_cleaned!$O:$O,A1541,pg_transaction_cleaned!$F:$F,"REFUND")</f>
        <v>0</v>
      </c>
      <c r="N1541" s="23" t="str">
        <f t="shared" si="98"/>
        <v>OK</v>
      </c>
      <c r="O1541" s="24">
        <f t="shared" si="99"/>
        <v>0</v>
      </c>
    </row>
    <row r="1542" spans="1:15" ht="15" customHeight="1" x14ac:dyDescent="0.3">
      <c r="A1542" s="23" t="s">
        <v>3571</v>
      </c>
      <c r="B1542" s="38">
        <v>46266</v>
      </c>
      <c r="C1542" s="23" t="s">
        <v>3572</v>
      </c>
      <c r="D1542" s="23" t="s">
        <v>91</v>
      </c>
      <c r="E1542" s="23" t="s">
        <v>79</v>
      </c>
      <c r="F1542" s="23" t="s">
        <v>297</v>
      </c>
      <c r="G1542" s="23" t="s">
        <v>250</v>
      </c>
      <c r="H1542" s="39">
        <f t="shared" si="96"/>
        <v>4999</v>
      </c>
      <c r="I1542" s="23" t="str">
        <f t="shared" si="97"/>
        <v>Pune</v>
      </c>
      <c r="J1542" s="23">
        <f>COUNTIFS(pg_transaction_cleaned!$O:$O,A1542,pg_transaction_cleaned!$F:$F,"CAPTURE")</f>
        <v>1</v>
      </c>
      <c r="K1542" s="39">
        <f>SUMIFS(pg_transaction_cleaned!$H:$H,pg_transaction_cleaned!$O:$O,A1542,pg_transaction_cleaned!$F:$F,"CAPTURE")</f>
        <v>4999</v>
      </c>
      <c r="L1542" s="23">
        <f>COUNTIFS(pg_transaction_cleaned!$O:$O,A1542,pg_transaction_cleaned!$F:$F,"REFUND")</f>
        <v>0</v>
      </c>
      <c r="M1542" s="39">
        <f>SUMIFS(pg_transaction_cleaned!$H:$H,pg_transaction_cleaned!$O:$O,A1542,pg_transaction_cleaned!$F:$F,"REFUND")</f>
        <v>0</v>
      </c>
      <c r="N1542" s="23" t="str">
        <f t="shared" si="98"/>
        <v>OK</v>
      </c>
      <c r="O1542" s="24">
        <f t="shared" si="99"/>
        <v>0</v>
      </c>
    </row>
    <row r="1543" spans="1:15" ht="15" customHeight="1" x14ac:dyDescent="0.3">
      <c r="A1543" s="23" t="s">
        <v>3573</v>
      </c>
      <c r="B1543" s="38">
        <v>46272</v>
      </c>
      <c r="C1543" s="23" t="s">
        <v>3574</v>
      </c>
      <c r="D1543" s="23" t="s">
        <v>92</v>
      </c>
      <c r="E1543" s="23" t="s">
        <v>77</v>
      </c>
      <c r="F1543" s="23" t="s">
        <v>795</v>
      </c>
      <c r="G1543" s="23" t="s">
        <v>250</v>
      </c>
      <c r="H1543" s="39">
        <f t="shared" si="96"/>
        <v>1499</v>
      </c>
      <c r="I1543" s="23" t="str">
        <f t="shared" si="97"/>
        <v>Hyderabad</v>
      </c>
      <c r="J1543" s="23">
        <f>COUNTIFS(pg_transaction_cleaned!$O:$O,A1543,pg_transaction_cleaned!$F:$F,"CAPTURE")</f>
        <v>1</v>
      </c>
      <c r="K1543" s="39">
        <f>SUMIFS(pg_transaction_cleaned!$H:$H,pg_transaction_cleaned!$O:$O,A1543,pg_transaction_cleaned!$F:$F,"CAPTURE")</f>
        <v>1499</v>
      </c>
      <c r="L1543" s="23">
        <f>COUNTIFS(pg_transaction_cleaned!$O:$O,A1543,pg_transaction_cleaned!$F:$F,"REFUND")</f>
        <v>0</v>
      </c>
      <c r="M1543" s="39">
        <f>SUMIFS(pg_transaction_cleaned!$H:$H,pg_transaction_cleaned!$O:$O,A1543,pg_transaction_cleaned!$F:$F,"REFUND")</f>
        <v>0</v>
      </c>
      <c r="N1543" s="23" t="str">
        <f t="shared" si="98"/>
        <v>OK</v>
      </c>
      <c r="O1543" s="24">
        <f t="shared" si="99"/>
        <v>0</v>
      </c>
    </row>
    <row r="1544" spans="1:15" ht="15" customHeight="1" x14ac:dyDescent="0.3">
      <c r="A1544" s="23" t="s">
        <v>3575</v>
      </c>
      <c r="B1544" s="38">
        <v>46276</v>
      </c>
      <c r="C1544" s="23" t="s">
        <v>3576</v>
      </c>
      <c r="D1544" s="23" t="s">
        <v>89</v>
      </c>
      <c r="E1544" s="23" t="s">
        <v>79</v>
      </c>
      <c r="F1544" s="23" t="s">
        <v>451</v>
      </c>
      <c r="G1544" s="23" t="s">
        <v>250</v>
      </c>
      <c r="H1544" s="39">
        <f t="shared" si="96"/>
        <v>1098</v>
      </c>
      <c r="I1544" s="23" t="str">
        <f t="shared" si="97"/>
        <v>Jaipur</v>
      </c>
      <c r="J1544" s="23">
        <f>COUNTIFS(pg_transaction_cleaned!$O:$O,A1544,pg_transaction_cleaned!$F:$F,"CAPTURE")</f>
        <v>1</v>
      </c>
      <c r="K1544" s="39">
        <f>SUMIFS(pg_transaction_cleaned!$H:$H,pg_transaction_cleaned!$O:$O,A1544,pg_transaction_cleaned!$F:$F,"CAPTURE")</f>
        <v>1098</v>
      </c>
      <c r="L1544" s="23">
        <f>COUNTIFS(pg_transaction_cleaned!$O:$O,A1544,pg_transaction_cleaned!$F:$F,"REFUND")</f>
        <v>0</v>
      </c>
      <c r="M1544" s="39">
        <f>SUMIFS(pg_transaction_cleaned!$H:$H,pg_transaction_cleaned!$O:$O,A1544,pg_transaction_cleaned!$F:$F,"REFUND")</f>
        <v>0</v>
      </c>
      <c r="N1544" s="23" t="str">
        <f t="shared" si="98"/>
        <v>OK</v>
      </c>
      <c r="O1544" s="24">
        <f t="shared" si="99"/>
        <v>0</v>
      </c>
    </row>
    <row r="1545" spans="1:15" ht="15" customHeight="1" x14ac:dyDescent="0.3">
      <c r="A1545" s="23" t="s">
        <v>3577</v>
      </c>
      <c r="B1545" s="38">
        <v>46269</v>
      </c>
      <c r="C1545" s="23" t="s">
        <v>3578</v>
      </c>
      <c r="D1545" s="23" t="s">
        <v>89</v>
      </c>
      <c r="E1545" s="23" t="s">
        <v>75</v>
      </c>
      <c r="F1545" s="23" t="s">
        <v>310</v>
      </c>
      <c r="G1545" s="23" t="s">
        <v>250</v>
      </c>
      <c r="H1545" s="39">
        <f t="shared" si="96"/>
        <v>7999</v>
      </c>
      <c r="I1545" s="23" t="str">
        <f t="shared" si="97"/>
        <v>Jaipur</v>
      </c>
      <c r="J1545" s="23">
        <f>COUNTIFS(pg_transaction_cleaned!$O:$O,A1545,pg_transaction_cleaned!$F:$F,"CAPTURE")</f>
        <v>1</v>
      </c>
      <c r="K1545" s="39">
        <f>SUMIFS(pg_transaction_cleaned!$H:$H,pg_transaction_cleaned!$O:$O,A1545,pg_transaction_cleaned!$F:$F,"CAPTURE")</f>
        <v>7999</v>
      </c>
      <c r="L1545" s="23">
        <f>COUNTIFS(pg_transaction_cleaned!$O:$O,A1545,pg_transaction_cleaned!$F:$F,"REFUND")</f>
        <v>0</v>
      </c>
      <c r="M1545" s="39">
        <f>SUMIFS(pg_transaction_cleaned!$H:$H,pg_transaction_cleaned!$O:$O,A1545,pg_transaction_cleaned!$F:$F,"REFUND")</f>
        <v>0</v>
      </c>
      <c r="N1545" s="23" t="str">
        <f t="shared" si="98"/>
        <v>OK</v>
      </c>
      <c r="O1545" s="24">
        <f t="shared" si="99"/>
        <v>0</v>
      </c>
    </row>
    <row r="1546" spans="1:15" ht="15" customHeight="1" x14ac:dyDescent="0.3">
      <c r="A1546" s="23" t="s">
        <v>3579</v>
      </c>
      <c r="B1546" s="38">
        <v>46294</v>
      </c>
      <c r="C1546" s="23" t="s">
        <v>3580</v>
      </c>
      <c r="D1546" s="23" t="s">
        <v>93</v>
      </c>
      <c r="E1546" s="23" t="s">
        <v>75</v>
      </c>
      <c r="F1546" s="23" t="s">
        <v>1372</v>
      </c>
      <c r="G1546" s="23" t="s">
        <v>365</v>
      </c>
      <c r="H1546" s="39">
        <f t="shared" si="96"/>
        <v>798</v>
      </c>
      <c r="I1546" s="23" t="str">
        <f t="shared" si="97"/>
        <v>Kolkata</v>
      </c>
      <c r="J1546" s="23">
        <f>COUNTIFS(pg_transaction_cleaned!$O:$O,A1546,pg_transaction_cleaned!$F:$F,"CAPTURE")</f>
        <v>0</v>
      </c>
      <c r="K1546" s="39">
        <f>SUMIFS(pg_transaction_cleaned!$H:$H,pg_transaction_cleaned!$O:$O,A1546,pg_transaction_cleaned!$F:$F,"CAPTURE")</f>
        <v>0</v>
      </c>
      <c r="L1546" s="23">
        <f>COUNTIFS(pg_transaction_cleaned!$O:$O,A1546,pg_transaction_cleaned!$F:$F,"REFUND")</f>
        <v>0</v>
      </c>
      <c r="M1546" s="39">
        <f>SUMIFS(pg_transaction_cleaned!$H:$H,pg_transaction_cleaned!$O:$O,A1546,pg_transaction_cleaned!$F:$F,"REFUND")</f>
        <v>0</v>
      </c>
      <c r="N1546" s="23" t="str">
        <f t="shared" si="98"/>
        <v>OK</v>
      </c>
      <c r="O1546" s="24">
        <f t="shared" si="99"/>
        <v>0</v>
      </c>
    </row>
    <row r="1547" spans="1:15" ht="15" customHeight="1" x14ac:dyDescent="0.3">
      <c r="A1547" s="23" t="s">
        <v>3581</v>
      </c>
      <c r="B1547" s="38">
        <v>46270</v>
      </c>
      <c r="C1547" s="23" t="s">
        <v>3582</v>
      </c>
      <c r="D1547" s="23" t="s">
        <v>93</v>
      </c>
      <c r="E1547" s="23" t="s">
        <v>77</v>
      </c>
      <c r="F1547" s="23" t="s">
        <v>396</v>
      </c>
      <c r="G1547" s="23" t="s">
        <v>250</v>
      </c>
      <c r="H1547" s="39">
        <f t="shared" si="96"/>
        <v>2999</v>
      </c>
      <c r="I1547" s="23" t="str">
        <f t="shared" si="97"/>
        <v>Kolkata</v>
      </c>
      <c r="J1547" s="23">
        <f>COUNTIFS(pg_transaction_cleaned!$O:$O,A1547,pg_transaction_cleaned!$F:$F,"CAPTURE")</f>
        <v>1</v>
      </c>
      <c r="K1547" s="39">
        <f>SUMIFS(pg_transaction_cleaned!$H:$H,pg_transaction_cleaned!$O:$O,A1547,pg_transaction_cleaned!$F:$F,"CAPTURE")</f>
        <v>2999</v>
      </c>
      <c r="L1547" s="23">
        <f>COUNTIFS(pg_transaction_cleaned!$O:$O,A1547,pg_transaction_cleaned!$F:$F,"REFUND")</f>
        <v>0</v>
      </c>
      <c r="M1547" s="39">
        <f>SUMIFS(pg_transaction_cleaned!$H:$H,pg_transaction_cleaned!$O:$O,A1547,pg_transaction_cleaned!$F:$F,"REFUND")</f>
        <v>0</v>
      </c>
      <c r="N1547" s="23" t="str">
        <f t="shared" si="98"/>
        <v>OK</v>
      </c>
      <c r="O1547" s="24">
        <f t="shared" si="99"/>
        <v>0</v>
      </c>
    </row>
    <row r="1548" spans="1:15" ht="15" customHeight="1" x14ac:dyDescent="0.3">
      <c r="A1548" s="23" t="s">
        <v>3583</v>
      </c>
      <c r="B1548" s="38">
        <v>46287</v>
      </c>
      <c r="C1548" s="23" t="s">
        <v>3584</v>
      </c>
      <c r="D1548" s="23" t="s">
        <v>92</v>
      </c>
      <c r="E1548" s="23" t="s">
        <v>75</v>
      </c>
      <c r="F1548" s="23" t="s">
        <v>1098</v>
      </c>
      <c r="G1548" s="23" t="s">
        <v>250</v>
      </c>
      <c r="H1548" s="39">
        <f t="shared" si="96"/>
        <v>9847</v>
      </c>
      <c r="I1548" s="23" t="str">
        <f t="shared" si="97"/>
        <v>Hyderabad</v>
      </c>
      <c r="J1548" s="23">
        <f>COUNTIFS(pg_transaction_cleaned!$O:$O,A1548,pg_transaction_cleaned!$F:$F,"CAPTURE")</f>
        <v>1</v>
      </c>
      <c r="K1548" s="39">
        <f>SUMIFS(pg_transaction_cleaned!$H:$H,pg_transaction_cleaned!$O:$O,A1548,pg_transaction_cleaned!$F:$F,"CAPTURE")</f>
        <v>9847</v>
      </c>
      <c r="L1548" s="23">
        <f>COUNTIFS(pg_transaction_cleaned!$O:$O,A1548,pg_transaction_cleaned!$F:$F,"REFUND")</f>
        <v>0</v>
      </c>
      <c r="M1548" s="39">
        <f>SUMIFS(pg_transaction_cleaned!$H:$H,pg_transaction_cleaned!$O:$O,A1548,pg_transaction_cleaned!$F:$F,"REFUND")</f>
        <v>0</v>
      </c>
      <c r="N1548" s="23" t="str">
        <f t="shared" si="98"/>
        <v>OK</v>
      </c>
      <c r="O1548" s="24">
        <f t="shared" si="99"/>
        <v>0</v>
      </c>
    </row>
    <row r="1549" spans="1:15" ht="15" customHeight="1" x14ac:dyDescent="0.3">
      <c r="A1549" s="23" t="s">
        <v>3585</v>
      </c>
      <c r="B1549" s="38">
        <v>46277</v>
      </c>
      <c r="C1549" s="23" t="s">
        <v>3586</v>
      </c>
      <c r="D1549" s="23" t="s">
        <v>87</v>
      </c>
      <c r="E1549" s="23" t="s">
        <v>75</v>
      </c>
      <c r="F1549" s="23" t="s">
        <v>271</v>
      </c>
      <c r="G1549" s="23" t="s">
        <v>250</v>
      </c>
      <c r="H1549" s="39">
        <f t="shared" si="96"/>
        <v>2499</v>
      </c>
      <c r="I1549" s="23" t="str">
        <f t="shared" si="97"/>
        <v>Mumbai</v>
      </c>
      <c r="J1549" s="23">
        <f>COUNTIFS(pg_transaction_cleaned!$O:$O,A1549,pg_transaction_cleaned!$F:$F,"CAPTURE")</f>
        <v>1</v>
      </c>
      <c r="K1549" s="39">
        <f>SUMIFS(pg_transaction_cleaned!$H:$H,pg_transaction_cleaned!$O:$O,A1549,pg_transaction_cleaned!$F:$F,"CAPTURE")</f>
        <v>2499</v>
      </c>
      <c r="L1549" s="23">
        <f>COUNTIFS(pg_transaction_cleaned!$O:$O,A1549,pg_transaction_cleaned!$F:$F,"REFUND")</f>
        <v>0</v>
      </c>
      <c r="M1549" s="39">
        <f>SUMIFS(pg_transaction_cleaned!$H:$H,pg_transaction_cleaned!$O:$O,A1549,pg_transaction_cleaned!$F:$F,"REFUND")</f>
        <v>0</v>
      </c>
      <c r="N1549" s="23" t="str">
        <f t="shared" si="98"/>
        <v>OK</v>
      </c>
      <c r="O1549" s="24">
        <f t="shared" si="99"/>
        <v>0</v>
      </c>
    </row>
    <row r="1550" spans="1:15" ht="15" customHeight="1" x14ac:dyDescent="0.3">
      <c r="A1550" s="23" t="s">
        <v>3587</v>
      </c>
      <c r="B1550" s="38">
        <v>46285</v>
      </c>
      <c r="C1550" s="23" t="s">
        <v>3588</v>
      </c>
      <c r="D1550" s="23" t="s">
        <v>93</v>
      </c>
      <c r="E1550" s="23" t="s">
        <v>75</v>
      </c>
      <c r="F1550" s="23" t="s">
        <v>262</v>
      </c>
      <c r="G1550" s="23" t="s">
        <v>250</v>
      </c>
      <c r="H1550" s="39">
        <f t="shared" si="96"/>
        <v>499</v>
      </c>
      <c r="I1550" s="23" t="str">
        <f t="shared" si="97"/>
        <v>Kolkata</v>
      </c>
      <c r="J1550" s="23">
        <f>COUNTIFS(pg_transaction_cleaned!$O:$O,A1550,pg_transaction_cleaned!$F:$F,"CAPTURE")</f>
        <v>1</v>
      </c>
      <c r="K1550" s="39">
        <f>SUMIFS(pg_transaction_cleaned!$H:$H,pg_transaction_cleaned!$O:$O,A1550,pg_transaction_cleaned!$F:$F,"CAPTURE")</f>
        <v>499</v>
      </c>
      <c r="L1550" s="23">
        <f>COUNTIFS(pg_transaction_cleaned!$O:$O,A1550,pg_transaction_cleaned!$F:$F,"REFUND")</f>
        <v>0</v>
      </c>
      <c r="M1550" s="39">
        <f>SUMIFS(pg_transaction_cleaned!$H:$H,pg_transaction_cleaned!$O:$O,A1550,pg_transaction_cleaned!$F:$F,"REFUND")</f>
        <v>0</v>
      </c>
      <c r="N1550" s="23" t="str">
        <f t="shared" si="98"/>
        <v>OK</v>
      </c>
      <c r="O1550" s="24">
        <f t="shared" si="99"/>
        <v>0</v>
      </c>
    </row>
    <row r="1551" spans="1:15" ht="15" customHeight="1" x14ac:dyDescent="0.3">
      <c r="A1551" s="23" t="s">
        <v>3589</v>
      </c>
      <c r="B1551" s="38">
        <v>46270</v>
      </c>
      <c r="C1551" s="23" t="s">
        <v>3590</v>
      </c>
      <c r="D1551" s="23" t="s">
        <v>92</v>
      </c>
      <c r="E1551" s="23" t="s">
        <v>75</v>
      </c>
      <c r="F1551" s="23" t="s">
        <v>1448</v>
      </c>
      <c r="G1551" s="23" t="s">
        <v>250</v>
      </c>
      <c r="H1551" s="39">
        <f t="shared" si="96"/>
        <v>6297</v>
      </c>
      <c r="I1551" s="23" t="str">
        <f t="shared" si="97"/>
        <v>Hyderabad</v>
      </c>
      <c r="J1551" s="23">
        <f>COUNTIFS(pg_transaction_cleaned!$O:$O,A1551,pg_transaction_cleaned!$F:$F,"CAPTURE")</f>
        <v>1</v>
      </c>
      <c r="K1551" s="39">
        <f>SUMIFS(pg_transaction_cleaned!$H:$H,pg_transaction_cleaned!$O:$O,A1551,pg_transaction_cleaned!$F:$F,"CAPTURE")</f>
        <v>6297</v>
      </c>
      <c r="L1551" s="23">
        <f>COUNTIFS(pg_transaction_cleaned!$O:$O,A1551,pg_transaction_cleaned!$F:$F,"REFUND")</f>
        <v>0</v>
      </c>
      <c r="M1551" s="39">
        <f>SUMIFS(pg_transaction_cleaned!$H:$H,pg_transaction_cleaned!$O:$O,A1551,pg_transaction_cleaned!$F:$F,"REFUND")</f>
        <v>0</v>
      </c>
      <c r="N1551" s="23" t="str">
        <f t="shared" si="98"/>
        <v>OK</v>
      </c>
      <c r="O1551" s="24">
        <f t="shared" si="99"/>
        <v>0</v>
      </c>
    </row>
    <row r="1552" spans="1:15" ht="15" customHeight="1" x14ac:dyDescent="0.3">
      <c r="A1552" s="23" t="s">
        <v>3591</v>
      </c>
      <c r="B1552" s="38">
        <v>46295</v>
      </c>
      <c r="C1552" s="23" t="s">
        <v>3592</v>
      </c>
      <c r="D1552" s="23" t="s">
        <v>87</v>
      </c>
      <c r="E1552" s="23" t="s">
        <v>81</v>
      </c>
      <c r="F1552" s="23" t="s">
        <v>337</v>
      </c>
      <c r="G1552" s="23" t="s">
        <v>318</v>
      </c>
      <c r="H1552" s="39">
        <f t="shared" si="96"/>
        <v>3998</v>
      </c>
      <c r="I1552" s="23" t="str">
        <f t="shared" si="97"/>
        <v>Mumbai</v>
      </c>
      <c r="J1552" s="23">
        <f>COUNTIFS(pg_transaction_cleaned!$O:$O,A1552,pg_transaction_cleaned!$F:$F,"CAPTURE")</f>
        <v>0</v>
      </c>
      <c r="K1552" s="39">
        <f>SUMIFS(pg_transaction_cleaned!$H:$H,pg_transaction_cleaned!$O:$O,A1552,pg_transaction_cleaned!$F:$F,"CAPTURE")</f>
        <v>0</v>
      </c>
      <c r="L1552" s="23">
        <f>COUNTIFS(pg_transaction_cleaned!$O:$O,A1552,pg_transaction_cleaned!$F:$F,"REFUND")</f>
        <v>0</v>
      </c>
      <c r="M1552" s="39">
        <f>SUMIFS(pg_transaction_cleaned!$H:$H,pg_transaction_cleaned!$O:$O,A1552,pg_transaction_cleaned!$F:$F,"REFUND")</f>
        <v>0</v>
      </c>
      <c r="N1552" s="23" t="str">
        <f t="shared" si="98"/>
        <v>OK</v>
      </c>
      <c r="O1552" s="24">
        <f t="shared" si="99"/>
        <v>0</v>
      </c>
    </row>
    <row r="1553" spans="1:15" ht="15" customHeight="1" x14ac:dyDescent="0.3">
      <c r="A1553" s="23" t="s">
        <v>3593</v>
      </c>
      <c r="B1553" s="38">
        <v>46293</v>
      </c>
      <c r="C1553" s="23" t="s">
        <v>3594</v>
      </c>
      <c r="D1553" s="23" t="s">
        <v>90</v>
      </c>
      <c r="E1553" s="23" t="s">
        <v>75</v>
      </c>
      <c r="F1553" s="23" t="s">
        <v>297</v>
      </c>
      <c r="G1553" s="23" t="s">
        <v>250</v>
      </c>
      <c r="H1553" s="39">
        <f t="shared" si="96"/>
        <v>4999</v>
      </c>
      <c r="I1553" s="23" t="str">
        <f t="shared" si="97"/>
        <v>Ahmedabad</v>
      </c>
      <c r="J1553" s="23">
        <f>COUNTIFS(pg_transaction_cleaned!$O:$O,A1553,pg_transaction_cleaned!$F:$F,"CAPTURE")</f>
        <v>1</v>
      </c>
      <c r="K1553" s="39">
        <f>SUMIFS(pg_transaction_cleaned!$H:$H,pg_transaction_cleaned!$O:$O,A1553,pg_transaction_cleaned!$F:$F,"CAPTURE")</f>
        <v>4999</v>
      </c>
      <c r="L1553" s="23">
        <f>COUNTIFS(pg_transaction_cleaned!$O:$O,A1553,pg_transaction_cleaned!$F:$F,"REFUND")</f>
        <v>0</v>
      </c>
      <c r="M1553" s="39">
        <f>SUMIFS(pg_transaction_cleaned!$H:$H,pg_transaction_cleaned!$O:$O,A1553,pg_transaction_cleaned!$F:$F,"REFUND")</f>
        <v>0</v>
      </c>
      <c r="N1553" s="23" t="str">
        <f t="shared" si="98"/>
        <v>OK</v>
      </c>
      <c r="O1553" s="24">
        <f t="shared" si="99"/>
        <v>0</v>
      </c>
    </row>
    <row r="1554" spans="1:15" ht="15" customHeight="1" x14ac:dyDescent="0.3">
      <c r="A1554" s="23" t="s">
        <v>3595</v>
      </c>
      <c r="B1554" s="38">
        <v>46289</v>
      </c>
      <c r="C1554" s="23" t="s">
        <v>334</v>
      </c>
      <c r="D1554" s="23" t="s">
        <v>86</v>
      </c>
      <c r="E1554" s="23" t="s">
        <v>75</v>
      </c>
      <c r="F1554" s="23" t="s">
        <v>2337</v>
      </c>
      <c r="G1554" s="23" t="s">
        <v>250</v>
      </c>
      <c r="H1554" s="39">
        <f t="shared" si="96"/>
        <v>8348</v>
      </c>
      <c r="I1554" s="23" t="str">
        <f t="shared" si="97"/>
        <v>Delhi</v>
      </c>
      <c r="J1554" s="23">
        <f>COUNTIFS(pg_transaction_cleaned!$O:$O,A1554,pg_transaction_cleaned!$F:$F,"CAPTURE")</f>
        <v>1</v>
      </c>
      <c r="K1554" s="39">
        <f>SUMIFS(pg_transaction_cleaned!$H:$H,pg_transaction_cleaned!$O:$O,A1554,pg_transaction_cleaned!$F:$F,"CAPTURE")</f>
        <v>8348</v>
      </c>
      <c r="L1554" s="23">
        <f>COUNTIFS(pg_transaction_cleaned!$O:$O,A1554,pg_transaction_cleaned!$F:$F,"REFUND")</f>
        <v>0</v>
      </c>
      <c r="M1554" s="39">
        <f>SUMIFS(pg_transaction_cleaned!$H:$H,pg_transaction_cleaned!$O:$O,A1554,pg_transaction_cleaned!$F:$F,"REFUND")</f>
        <v>0</v>
      </c>
      <c r="N1554" s="23" t="str">
        <f t="shared" si="98"/>
        <v>OK</v>
      </c>
      <c r="O1554" s="24">
        <f t="shared" si="99"/>
        <v>0</v>
      </c>
    </row>
    <row r="1555" spans="1:15" ht="15" customHeight="1" x14ac:dyDescent="0.3">
      <c r="A1555" s="23" t="s">
        <v>3596</v>
      </c>
      <c r="B1555" s="38">
        <v>46268</v>
      </c>
      <c r="C1555" s="23" t="s">
        <v>943</v>
      </c>
      <c r="D1555" s="23" t="s">
        <v>90</v>
      </c>
      <c r="E1555" s="23" t="s">
        <v>75</v>
      </c>
      <c r="F1555" s="23" t="s">
        <v>262</v>
      </c>
      <c r="G1555" s="23" t="s">
        <v>250</v>
      </c>
      <c r="H1555" s="39">
        <f t="shared" si="96"/>
        <v>499</v>
      </c>
      <c r="I1555" s="23" t="str">
        <f t="shared" si="97"/>
        <v>Ahmedabad</v>
      </c>
      <c r="J1555" s="23">
        <f>COUNTIFS(pg_transaction_cleaned!$O:$O,A1555,pg_transaction_cleaned!$F:$F,"CAPTURE")</f>
        <v>1</v>
      </c>
      <c r="K1555" s="39">
        <f>SUMIFS(pg_transaction_cleaned!$H:$H,pg_transaction_cleaned!$O:$O,A1555,pg_transaction_cleaned!$F:$F,"CAPTURE")</f>
        <v>499</v>
      </c>
      <c r="L1555" s="23">
        <f>COUNTIFS(pg_transaction_cleaned!$O:$O,A1555,pg_transaction_cleaned!$F:$F,"REFUND")</f>
        <v>0</v>
      </c>
      <c r="M1555" s="39">
        <f>SUMIFS(pg_transaction_cleaned!$H:$H,pg_transaction_cleaned!$O:$O,A1555,pg_transaction_cleaned!$F:$F,"REFUND")</f>
        <v>0</v>
      </c>
      <c r="N1555" s="23" t="str">
        <f t="shared" si="98"/>
        <v>OK</v>
      </c>
      <c r="O1555" s="24">
        <f t="shared" si="99"/>
        <v>0</v>
      </c>
    </row>
    <row r="1556" spans="1:15" ht="15" customHeight="1" x14ac:dyDescent="0.3">
      <c r="A1556" s="23" t="s">
        <v>3597</v>
      </c>
      <c r="B1556" s="38">
        <v>46279</v>
      </c>
      <c r="C1556" s="23" t="s">
        <v>3598</v>
      </c>
      <c r="D1556" s="23" t="s">
        <v>95</v>
      </c>
      <c r="E1556" s="23" t="s">
        <v>79</v>
      </c>
      <c r="F1556" s="23" t="s">
        <v>772</v>
      </c>
      <c r="G1556" s="23" t="s">
        <v>250</v>
      </c>
      <c r="H1556" s="39">
        <f t="shared" si="96"/>
        <v>4798</v>
      </c>
      <c r="I1556" s="23" t="str">
        <f t="shared" si="97"/>
        <v>Bengaluru</v>
      </c>
      <c r="J1556" s="23">
        <f>COUNTIFS(pg_transaction_cleaned!$O:$O,A1556,pg_transaction_cleaned!$F:$F,"CAPTURE")</f>
        <v>1</v>
      </c>
      <c r="K1556" s="39">
        <f>SUMIFS(pg_transaction_cleaned!$H:$H,pg_transaction_cleaned!$O:$O,A1556,pg_transaction_cleaned!$F:$F,"CAPTURE")</f>
        <v>4798</v>
      </c>
      <c r="L1556" s="23">
        <f>COUNTIFS(pg_transaction_cleaned!$O:$O,A1556,pg_transaction_cleaned!$F:$F,"REFUND")</f>
        <v>0</v>
      </c>
      <c r="M1556" s="39">
        <f>SUMIFS(pg_transaction_cleaned!$H:$H,pg_transaction_cleaned!$O:$O,A1556,pg_transaction_cleaned!$F:$F,"REFUND")</f>
        <v>0</v>
      </c>
      <c r="N1556" s="23" t="str">
        <f t="shared" si="98"/>
        <v>OK</v>
      </c>
      <c r="O1556" s="24">
        <f t="shared" si="99"/>
        <v>0</v>
      </c>
    </row>
    <row r="1557" spans="1:15" ht="15" customHeight="1" x14ac:dyDescent="0.3">
      <c r="A1557" s="23" t="s">
        <v>3599</v>
      </c>
      <c r="B1557" s="38">
        <v>46278</v>
      </c>
      <c r="C1557" s="23" t="s">
        <v>3600</v>
      </c>
      <c r="D1557" s="23" t="s">
        <v>95</v>
      </c>
      <c r="E1557" s="23" t="s">
        <v>75</v>
      </c>
      <c r="F1557" s="23" t="s">
        <v>259</v>
      </c>
      <c r="G1557" s="23" t="s">
        <v>250</v>
      </c>
      <c r="H1557" s="39">
        <f t="shared" si="96"/>
        <v>3298</v>
      </c>
      <c r="I1557" s="23" t="str">
        <f t="shared" si="97"/>
        <v>Bengaluru</v>
      </c>
      <c r="J1557" s="23">
        <f>COUNTIFS(pg_transaction_cleaned!$O:$O,A1557,pg_transaction_cleaned!$F:$F,"CAPTURE")</f>
        <v>1</v>
      </c>
      <c r="K1557" s="39">
        <f>SUMIFS(pg_transaction_cleaned!$H:$H,pg_transaction_cleaned!$O:$O,A1557,pg_transaction_cleaned!$F:$F,"CAPTURE")</f>
        <v>3298</v>
      </c>
      <c r="L1557" s="23">
        <f>COUNTIFS(pg_transaction_cleaned!$O:$O,A1557,pg_transaction_cleaned!$F:$F,"REFUND")</f>
        <v>0</v>
      </c>
      <c r="M1557" s="39">
        <f>SUMIFS(pg_transaction_cleaned!$H:$H,pg_transaction_cleaned!$O:$O,A1557,pg_transaction_cleaned!$F:$F,"REFUND")</f>
        <v>0</v>
      </c>
      <c r="N1557" s="23" t="str">
        <f t="shared" si="98"/>
        <v>OK</v>
      </c>
      <c r="O1557" s="24">
        <f t="shared" si="99"/>
        <v>0</v>
      </c>
    </row>
    <row r="1558" spans="1:15" ht="15" customHeight="1" x14ac:dyDescent="0.3">
      <c r="A1558" s="23" t="s">
        <v>3601</v>
      </c>
      <c r="B1558" s="38">
        <v>46278</v>
      </c>
      <c r="C1558" s="23" t="s">
        <v>3602</v>
      </c>
      <c r="D1558" s="23" t="s">
        <v>91</v>
      </c>
      <c r="E1558" s="23" t="s">
        <v>75</v>
      </c>
      <c r="F1558" s="23" t="s">
        <v>271</v>
      </c>
      <c r="G1558" s="23" t="s">
        <v>250</v>
      </c>
      <c r="H1558" s="39">
        <f t="shared" si="96"/>
        <v>2499</v>
      </c>
      <c r="I1558" s="23" t="str">
        <f t="shared" si="97"/>
        <v>Pune</v>
      </c>
      <c r="J1558" s="23">
        <f>COUNTIFS(pg_transaction_cleaned!$O:$O,A1558,pg_transaction_cleaned!$F:$F,"CAPTURE")</f>
        <v>1</v>
      </c>
      <c r="K1558" s="39">
        <f>SUMIFS(pg_transaction_cleaned!$H:$H,pg_transaction_cleaned!$O:$O,A1558,pg_transaction_cleaned!$F:$F,"CAPTURE")</f>
        <v>2499</v>
      </c>
      <c r="L1558" s="23">
        <f>COUNTIFS(pg_transaction_cleaned!$O:$O,A1558,pg_transaction_cleaned!$F:$F,"REFUND")</f>
        <v>0</v>
      </c>
      <c r="M1558" s="39">
        <f>SUMIFS(pg_transaction_cleaned!$H:$H,pg_transaction_cleaned!$O:$O,A1558,pg_transaction_cleaned!$F:$F,"REFUND")</f>
        <v>0</v>
      </c>
      <c r="N1558" s="23" t="str">
        <f t="shared" si="98"/>
        <v>OK</v>
      </c>
      <c r="O1558" s="24">
        <f t="shared" si="99"/>
        <v>0</v>
      </c>
    </row>
    <row r="1559" spans="1:15" ht="15" customHeight="1" x14ac:dyDescent="0.3">
      <c r="A1559" s="23" t="s">
        <v>3603</v>
      </c>
      <c r="B1559" s="38">
        <v>46273</v>
      </c>
      <c r="C1559" s="23" t="s">
        <v>3604</v>
      </c>
      <c r="D1559" s="23" t="s">
        <v>89</v>
      </c>
      <c r="E1559" s="23" t="s">
        <v>81</v>
      </c>
      <c r="F1559" s="23" t="s">
        <v>249</v>
      </c>
      <c r="G1559" s="23" t="s">
        <v>250</v>
      </c>
      <c r="H1559" s="39">
        <f t="shared" si="96"/>
        <v>299</v>
      </c>
      <c r="I1559" s="23" t="str">
        <f t="shared" si="97"/>
        <v>Jaipur</v>
      </c>
      <c r="J1559" s="23">
        <f>COUNTIFS(pg_transaction_cleaned!$O:$O,A1559,pg_transaction_cleaned!$F:$F,"CAPTURE")</f>
        <v>1</v>
      </c>
      <c r="K1559" s="39">
        <f>SUMIFS(pg_transaction_cleaned!$H:$H,pg_transaction_cleaned!$O:$O,A1559,pg_transaction_cleaned!$F:$F,"CAPTURE")</f>
        <v>299</v>
      </c>
      <c r="L1559" s="23">
        <f>COUNTIFS(pg_transaction_cleaned!$O:$O,A1559,pg_transaction_cleaned!$F:$F,"REFUND")</f>
        <v>0</v>
      </c>
      <c r="M1559" s="39">
        <f>SUMIFS(pg_transaction_cleaned!$H:$H,pg_transaction_cleaned!$O:$O,A1559,pg_transaction_cleaned!$F:$F,"REFUND")</f>
        <v>0</v>
      </c>
      <c r="N1559" s="23" t="str">
        <f t="shared" si="98"/>
        <v>OK</v>
      </c>
      <c r="O1559" s="24">
        <f t="shared" si="99"/>
        <v>0</v>
      </c>
    </row>
    <row r="1560" spans="1:15" ht="15" customHeight="1" x14ac:dyDescent="0.3">
      <c r="A1560" s="23" t="s">
        <v>3605</v>
      </c>
      <c r="B1560" s="38">
        <v>46281</v>
      </c>
      <c r="C1560" s="23" t="s">
        <v>3606</v>
      </c>
      <c r="D1560" s="23" t="s">
        <v>92</v>
      </c>
      <c r="E1560" s="23" t="s">
        <v>75</v>
      </c>
      <c r="F1560" s="23" t="s">
        <v>274</v>
      </c>
      <c r="G1560" s="23" t="s">
        <v>250</v>
      </c>
      <c r="H1560" s="39">
        <f t="shared" si="96"/>
        <v>349</v>
      </c>
      <c r="I1560" s="23" t="str">
        <f t="shared" si="97"/>
        <v>Hyderabad</v>
      </c>
      <c r="J1560" s="23">
        <f>COUNTIFS(pg_transaction_cleaned!$O:$O,A1560,pg_transaction_cleaned!$F:$F,"CAPTURE")</f>
        <v>1</v>
      </c>
      <c r="K1560" s="39">
        <f>SUMIFS(pg_transaction_cleaned!$H:$H,pg_transaction_cleaned!$O:$O,A1560,pg_transaction_cleaned!$F:$F,"CAPTURE")</f>
        <v>349</v>
      </c>
      <c r="L1560" s="23">
        <f>COUNTIFS(pg_transaction_cleaned!$O:$O,A1560,pg_transaction_cleaned!$F:$F,"REFUND")</f>
        <v>0</v>
      </c>
      <c r="M1560" s="39">
        <f>SUMIFS(pg_transaction_cleaned!$H:$H,pg_transaction_cleaned!$O:$O,A1560,pg_transaction_cleaned!$F:$F,"REFUND")</f>
        <v>0</v>
      </c>
      <c r="N1560" s="23" t="str">
        <f t="shared" si="98"/>
        <v>OK</v>
      </c>
      <c r="O1560" s="24">
        <f t="shared" si="99"/>
        <v>0</v>
      </c>
    </row>
    <row r="1561" spans="1:15" ht="15" customHeight="1" x14ac:dyDescent="0.3">
      <c r="A1561" s="23" t="s">
        <v>3607</v>
      </c>
      <c r="B1561" s="38">
        <v>46280</v>
      </c>
      <c r="C1561" s="23" t="s">
        <v>3608</v>
      </c>
      <c r="D1561" s="23" t="s">
        <v>95</v>
      </c>
      <c r="E1561" s="23" t="s">
        <v>77</v>
      </c>
      <c r="F1561" s="23" t="s">
        <v>310</v>
      </c>
      <c r="G1561" s="23" t="s">
        <v>250</v>
      </c>
      <c r="H1561" s="39">
        <f t="shared" si="96"/>
        <v>7999</v>
      </c>
      <c r="I1561" s="23" t="str">
        <f t="shared" si="97"/>
        <v>Bengaluru</v>
      </c>
      <c r="J1561" s="23">
        <f>COUNTIFS(pg_transaction_cleaned!$O:$O,A1561,pg_transaction_cleaned!$F:$F,"CAPTURE")</f>
        <v>1</v>
      </c>
      <c r="K1561" s="39">
        <f>SUMIFS(pg_transaction_cleaned!$H:$H,pg_transaction_cleaned!$O:$O,A1561,pg_transaction_cleaned!$F:$F,"CAPTURE")</f>
        <v>7999</v>
      </c>
      <c r="L1561" s="23">
        <f>COUNTIFS(pg_transaction_cleaned!$O:$O,A1561,pg_transaction_cleaned!$F:$F,"REFUND")</f>
        <v>0</v>
      </c>
      <c r="M1561" s="39">
        <f>SUMIFS(pg_transaction_cleaned!$H:$H,pg_transaction_cleaned!$O:$O,A1561,pg_transaction_cleaned!$F:$F,"REFUND")</f>
        <v>0</v>
      </c>
      <c r="N1561" s="23" t="str">
        <f t="shared" si="98"/>
        <v>OK</v>
      </c>
      <c r="O1561" s="24">
        <f t="shared" si="99"/>
        <v>0</v>
      </c>
    </row>
    <row r="1562" spans="1:15" ht="15" customHeight="1" x14ac:dyDescent="0.3">
      <c r="A1562" s="23" t="s">
        <v>3609</v>
      </c>
      <c r="B1562" s="38">
        <v>46272</v>
      </c>
      <c r="C1562" s="23" t="s">
        <v>3610</v>
      </c>
      <c r="D1562" s="23" t="s">
        <v>93</v>
      </c>
      <c r="E1562" s="23" t="s">
        <v>75</v>
      </c>
      <c r="F1562" s="23" t="s">
        <v>249</v>
      </c>
      <c r="G1562" s="23" t="s">
        <v>250</v>
      </c>
      <c r="H1562" s="39">
        <f t="shared" si="96"/>
        <v>299</v>
      </c>
      <c r="I1562" s="23" t="str">
        <f t="shared" si="97"/>
        <v>Kolkata</v>
      </c>
      <c r="J1562" s="23">
        <f>COUNTIFS(pg_transaction_cleaned!$O:$O,A1562,pg_transaction_cleaned!$F:$F,"CAPTURE")</f>
        <v>1</v>
      </c>
      <c r="K1562" s="39">
        <f>SUMIFS(pg_transaction_cleaned!$H:$H,pg_transaction_cleaned!$O:$O,A1562,pg_transaction_cleaned!$F:$F,"CAPTURE")</f>
        <v>299</v>
      </c>
      <c r="L1562" s="23">
        <f>COUNTIFS(pg_transaction_cleaned!$O:$O,A1562,pg_transaction_cleaned!$F:$F,"REFUND")</f>
        <v>0</v>
      </c>
      <c r="M1562" s="39">
        <f>SUMIFS(pg_transaction_cleaned!$H:$H,pg_transaction_cleaned!$O:$O,A1562,pg_transaction_cleaned!$F:$F,"REFUND")</f>
        <v>0</v>
      </c>
      <c r="N1562" s="23" t="str">
        <f t="shared" si="98"/>
        <v>OK</v>
      </c>
      <c r="O1562" s="24">
        <f t="shared" si="99"/>
        <v>0</v>
      </c>
    </row>
    <row r="1563" spans="1:15" ht="15" customHeight="1" x14ac:dyDescent="0.3">
      <c r="A1563" s="23" t="s">
        <v>3611</v>
      </c>
      <c r="B1563" s="38">
        <v>46289</v>
      </c>
      <c r="C1563" s="23" t="s">
        <v>3612</v>
      </c>
      <c r="D1563" s="23" t="s">
        <v>88</v>
      </c>
      <c r="E1563" s="23" t="s">
        <v>75</v>
      </c>
      <c r="F1563" s="23" t="s">
        <v>291</v>
      </c>
      <c r="G1563" s="23" t="s">
        <v>301</v>
      </c>
      <c r="H1563" s="39">
        <f t="shared" si="96"/>
        <v>3499</v>
      </c>
      <c r="I1563" s="23" t="str">
        <f t="shared" si="97"/>
        <v>Lucknow</v>
      </c>
      <c r="J1563" s="23">
        <f>COUNTIFS(pg_transaction_cleaned!$O:$O,A1563,pg_transaction_cleaned!$F:$F,"CAPTURE")</f>
        <v>1</v>
      </c>
      <c r="K1563" s="39">
        <f>SUMIFS(pg_transaction_cleaned!$H:$H,pg_transaction_cleaned!$O:$O,A1563,pg_transaction_cleaned!$F:$F,"CAPTURE")</f>
        <v>3499</v>
      </c>
      <c r="L1563" s="23">
        <f>COUNTIFS(pg_transaction_cleaned!$O:$O,A1563,pg_transaction_cleaned!$F:$F,"REFUND")</f>
        <v>1</v>
      </c>
      <c r="M1563" s="39">
        <f>SUMIFS(pg_transaction_cleaned!$H:$H,pg_transaction_cleaned!$O:$O,A1563,pg_transaction_cleaned!$F:$F,"REFUND")</f>
        <v>3499</v>
      </c>
      <c r="N1563" s="23" t="str">
        <f t="shared" si="98"/>
        <v>OK</v>
      </c>
      <c r="O1563" s="24">
        <f t="shared" si="99"/>
        <v>0</v>
      </c>
    </row>
    <row r="1564" spans="1:15" ht="15" customHeight="1" x14ac:dyDescent="0.3">
      <c r="A1564" s="23" t="s">
        <v>3613</v>
      </c>
      <c r="B1564" s="38">
        <v>46268</v>
      </c>
      <c r="C1564" s="23" t="s">
        <v>3614</v>
      </c>
      <c r="D1564" s="23" t="s">
        <v>86</v>
      </c>
      <c r="E1564" s="23" t="s">
        <v>75</v>
      </c>
      <c r="F1564" s="23" t="s">
        <v>324</v>
      </c>
      <c r="G1564" s="23" t="s">
        <v>250</v>
      </c>
      <c r="H1564" s="39">
        <f t="shared" si="96"/>
        <v>10498</v>
      </c>
      <c r="I1564" s="23" t="str">
        <f t="shared" si="97"/>
        <v>Delhi</v>
      </c>
      <c r="J1564" s="23">
        <f>COUNTIFS(pg_transaction_cleaned!$O:$O,A1564,pg_transaction_cleaned!$F:$F,"CAPTURE")</f>
        <v>1</v>
      </c>
      <c r="K1564" s="39">
        <f>SUMIFS(pg_transaction_cleaned!$H:$H,pg_transaction_cleaned!$O:$O,A1564,pg_transaction_cleaned!$F:$F,"CAPTURE")</f>
        <v>10498</v>
      </c>
      <c r="L1564" s="23">
        <f>COUNTIFS(pg_transaction_cleaned!$O:$O,A1564,pg_transaction_cleaned!$F:$F,"REFUND")</f>
        <v>0</v>
      </c>
      <c r="M1564" s="39">
        <f>SUMIFS(pg_transaction_cleaned!$H:$H,pg_transaction_cleaned!$O:$O,A1564,pg_transaction_cleaned!$F:$F,"REFUND")</f>
        <v>0</v>
      </c>
      <c r="N1564" s="23" t="str">
        <f t="shared" si="98"/>
        <v>OK</v>
      </c>
      <c r="O1564" s="24">
        <f t="shared" si="99"/>
        <v>0</v>
      </c>
    </row>
    <row r="1565" spans="1:15" ht="15" customHeight="1" x14ac:dyDescent="0.3">
      <c r="A1565" s="23" t="s">
        <v>3615</v>
      </c>
      <c r="B1565" s="38">
        <v>46268</v>
      </c>
      <c r="C1565" s="23" t="s">
        <v>3616</v>
      </c>
      <c r="D1565" s="23" t="s">
        <v>86</v>
      </c>
      <c r="E1565" s="23" t="s">
        <v>81</v>
      </c>
      <c r="F1565" s="23" t="s">
        <v>274</v>
      </c>
      <c r="G1565" s="23" t="s">
        <v>250</v>
      </c>
      <c r="H1565" s="39">
        <f t="shared" si="96"/>
        <v>349</v>
      </c>
      <c r="I1565" s="23" t="str">
        <f t="shared" si="97"/>
        <v>Delhi</v>
      </c>
      <c r="J1565" s="23">
        <f>COUNTIFS(pg_transaction_cleaned!$O:$O,A1565,pg_transaction_cleaned!$F:$F,"CAPTURE")</f>
        <v>1</v>
      </c>
      <c r="K1565" s="39">
        <f>SUMIFS(pg_transaction_cleaned!$H:$H,pg_transaction_cleaned!$O:$O,A1565,pg_transaction_cleaned!$F:$F,"CAPTURE")</f>
        <v>349</v>
      </c>
      <c r="L1565" s="23">
        <f>COUNTIFS(pg_transaction_cleaned!$O:$O,A1565,pg_transaction_cleaned!$F:$F,"REFUND")</f>
        <v>0</v>
      </c>
      <c r="M1565" s="39">
        <f>SUMIFS(pg_transaction_cleaned!$H:$H,pg_transaction_cleaned!$O:$O,A1565,pg_transaction_cleaned!$F:$F,"REFUND")</f>
        <v>0</v>
      </c>
      <c r="N1565" s="23" t="str">
        <f t="shared" si="98"/>
        <v>OK</v>
      </c>
      <c r="O1565" s="24">
        <f t="shared" si="99"/>
        <v>0</v>
      </c>
    </row>
    <row r="1566" spans="1:15" ht="15" customHeight="1" x14ac:dyDescent="0.3">
      <c r="A1566" s="23" t="s">
        <v>3617</v>
      </c>
      <c r="B1566" s="38">
        <v>46290</v>
      </c>
      <c r="C1566" s="23" t="s">
        <v>3618</v>
      </c>
      <c r="D1566" s="23" t="s">
        <v>90</v>
      </c>
      <c r="E1566" s="23" t="s">
        <v>79</v>
      </c>
      <c r="F1566" s="23" t="s">
        <v>315</v>
      </c>
      <c r="G1566" s="23" t="s">
        <v>250</v>
      </c>
      <c r="H1566" s="39">
        <f t="shared" si="96"/>
        <v>1499</v>
      </c>
      <c r="I1566" s="23" t="str">
        <f t="shared" si="97"/>
        <v>Ahmedabad</v>
      </c>
      <c r="J1566" s="23">
        <f>COUNTIFS(pg_transaction_cleaned!$O:$O,A1566,pg_transaction_cleaned!$F:$F,"CAPTURE")</f>
        <v>1</v>
      </c>
      <c r="K1566" s="39">
        <f>SUMIFS(pg_transaction_cleaned!$H:$H,pg_transaction_cleaned!$O:$O,A1566,pg_transaction_cleaned!$F:$F,"CAPTURE")</f>
        <v>1499</v>
      </c>
      <c r="L1566" s="23">
        <f>COUNTIFS(pg_transaction_cleaned!$O:$O,A1566,pg_transaction_cleaned!$F:$F,"REFUND")</f>
        <v>0</v>
      </c>
      <c r="M1566" s="39">
        <f>SUMIFS(pg_transaction_cleaned!$H:$H,pg_transaction_cleaned!$O:$O,A1566,pg_transaction_cleaned!$F:$F,"REFUND")</f>
        <v>0</v>
      </c>
      <c r="N1566" s="23" t="str">
        <f t="shared" si="98"/>
        <v>OK</v>
      </c>
      <c r="O1566" s="24">
        <f t="shared" si="99"/>
        <v>0</v>
      </c>
    </row>
    <row r="1567" spans="1:15" ht="15" customHeight="1" x14ac:dyDescent="0.3">
      <c r="A1567" s="23" t="s">
        <v>3619</v>
      </c>
      <c r="B1567" s="38">
        <v>46279</v>
      </c>
      <c r="C1567" s="23" t="s">
        <v>3620</v>
      </c>
      <c r="D1567" s="23" t="s">
        <v>86</v>
      </c>
      <c r="E1567" s="23" t="s">
        <v>75</v>
      </c>
      <c r="F1567" s="23" t="s">
        <v>1571</v>
      </c>
      <c r="G1567" s="23" t="s">
        <v>250</v>
      </c>
      <c r="H1567" s="39">
        <f t="shared" si="96"/>
        <v>7497</v>
      </c>
      <c r="I1567" s="23" t="str">
        <f t="shared" si="97"/>
        <v>Delhi</v>
      </c>
      <c r="J1567" s="23">
        <f>COUNTIFS(pg_transaction_cleaned!$O:$O,A1567,pg_transaction_cleaned!$F:$F,"CAPTURE")</f>
        <v>1</v>
      </c>
      <c r="K1567" s="39">
        <f>SUMIFS(pg_transaction_cleaned!$H:$H,pg_transaction_cleaned!$O:$O,A1567,pg_transaction_cleaned!$F:$F,"CAPTURE")</f>
        <v>7497</v>
      </c>
      <c r="L1567" s="23">
        <f>COUNTIFS(pg_transaction_cleaned!$O:$O,A1567,pg_transaction_cleaned!$F:$F,"REFUND")</f>
        <v>0</v>
      </c>
      <c r="M1567" s="39">
        <f>SUMIFS(pg_transaction_cleaned!$H:$H,pg_transaction_cleaned!$O:$O,A1567,pg_transaction_cleaned!$F:$F,"REFUND")</f>
        <v>0</v>
      </c>
      <c r="N1567" s="23" t="str">
        <f t="shared" si="98"/>
        <v>OK</v>
      </c>
      <c r="O1567" s="24">
        <f t="shared" si="99"/>
        <v>0</v>
      </c>
    </row>
    <row r="1568" spans="1:15" ht="15" customHeight="1" x14ac:dyDescent="0.3">
      <c r="A1568" s="23" t="s">
        <v>3621</v>
      </c>
      <c r="B1568" s="38">
        <v>46267</v>
      </c>
      <c r="C1568" s="23" t="s">
        <v>3622</v>
      </c>
      <c r="D1568" s="23" t="s">
        <v>93</v>
      </c>
      <c r="E1568" s="23" t="s">
        <v>75</v>
      </c>
      <c r="F1568" s="23" t="s">
        <v>670</v>
      </c>
      <c r="G1568" s="23" t="s">
        <v>250</v>
      </c>
      <c r="H1568" s="39">
        <f t="shared" si="96"/>
        <v>7797</v>
      </c>
      <c r="I1568" s="23" t="str">
        <f t="shared" si="97"/>
        <v>Kolkata</v>
      </c>
      <c r="J1568" s="23">
        <f>COUNTIFS(pg_transaction_cleaned!$O:$O,A1568,pg_transaction_cleaned!$F:$F,"CAPTURE")</f>
        <v>1</v>
      </c>
      <c r="K1568" s="39">
        <f>SUMIFS(pg_transaction_cleaned!$H:$H,pg_transaction_cleaned!$O:$O,A1568,pg_transaction_cleaned!$F:$F,"CAPTURE")</f>
        <v>7797</v>
      </c>
      <c r="L1568" s="23">
        <f>COUNTIFS(pg_transaction_cleaned!$O:$O,A1568,pg_transaction_cleaned!$F:$F,"REFUND")</f>
        <v>0</v>
      </c>
      <c r="M1568" s="39">
        <f>SUMIFS(pg_transaction_cleaned!$H:$H,pg_transaction_cleaned!$O:$O,A1568,pg_transaction_cleaned!$F:$F,"REFUND")</f>
        <v>0</v>
      </c>
      <c r="N1568" s="23" t="str">
        <f t="shared" si="98"/>
        <v>OK</v>
      </c>
      <c r="O1568" s="24">
        <f t="shared" si="99"/>
        <v>0</v>
      </c>
    </row>
    <row r="1569" spans="1:15" ht="15" customHeight="1" x14ac:dyDescent="0.3">
      <c r="A1569" s="23" t="s">
        <v>3623</v>
      </c>
      <c r="B1569" s="38">
        <v>46287</v>
      </c>
      <c r="C1569" s="23" t="s">
        <v>3624</v>
      </c>
      <c r="D1569" s="23" t="s">
        <v>92</v>
      </c>
      <c r="E1569" s="23" t="s">
        <v>77</v>
      </c>
      <c r="F1569" s="23" t="s">
        <v>717</v>
      </c>
      <c r="G1569" s="23" t="s">
        <v>250</v>
      </c>
      <c r="H1569" s="39">
        <f t="shared" si="96"/>
        <v>5298</v>
      </c>
      <c r="I1569" s="23" t="str">
        <f t="shared" si="97"/>
        <v>Hyderabad</v>
      </c>
      <c r="J1569" s="23">
        <f>COUNTIFS(pg_transaction_cleaned!$O:$O,A1569,pg_transaction_cleaned!$F:$F,"CAPTURE")</f>
        <v>1</v>
      </c>
      <c r="K1569" s="39">
        <f>SUMIFS(pg_transaction_cleaned!$H:$H,pg_transaction_cleaned!$O:$O,A1569,pg_transaction_cleaned!$F:$F,"CAPTURE")</f>
        <v>5298</v>
      </c>
      <c r="L1569" s="23">
        <f>COUNTIFS(pg_transaction_cleaned!$O:$O,A1569,pg_transaction_cleaned!$F:$F,"REFUND")</f>
        <v>0</v>
      </c>
      <c r="M1569" s="39">
        <f>SUMIFS(pg_transaction_cleaned!$H:$H,pg_transaction_cleaned!$O:$O,A1569,pg_transaction_cleaned!$F:$F,"REFUND")</f>
        <v>0</v>
      </c>
      <c r="N1569" s="23" t="str">
        <f t="shared" si="98"/>
        <v>OK</v>
      </c>
      <c r="O1569" s="24">
        <f t="shared" si="99"/>
        <v>0</v>
      </c>
    </row>
    <row r="1570" spans="1:15" ht="15" customHeight="1" x14ac:dyDescent="0.3">
      <c r="A1570" s="23" t="s">
        <v>3625</v>
      </c>
      <c r="B1570" s="38">
        <v>46288</v>
      </c>
      <c r="C1570" s="23" t="s">
        <v>3626</v>
      </c>
      <c r="D1570" s="23" t="s">
        <v>89</v>
      </c>
      <c r="E1570" s="23" t="s">
        <v>75</v>
      </c>
      <c r="F1570" s="23" t="s">
        <v>268</v>
      </c>
      <c r="G1570" s="23" t="s">
        <v>318</v>
      </c>
      <c r="H1570" s="39">
        <f t="shared" si="96"/>
        <v>1299</v>
      </c>
      <c r="I1570" s="23" t="str">
        <f t="shared" si="97"/>
        <v>Jaipur</v>
      </c>
      <c r="J1570" s="23">
        <f>COUNTIFS(pg_transaction_cleaned!$O:$O,A1570,pg_transaction_cleaned!$F:$F,"CAPTURE")</f>
        <v>0</v>
      </c>
      <c r="K1570" s="39">
        <f>SUMIFS(pg_transaction_cleaned!$H:$H,pg_transaction_cleaned!$O:$O,A1570,pg_transaction_cleaned!$F:$F,"CAPTURE")</f>
        <v>0</v>
      </c>
      <c r="L1570" s="23">
        <f>COUNTIFS(pg_transaction_cleaned!$O:$O,A1570,pg_transaction_cleaned!$F:$F,"REFUND")</f>
        <v>0</v>
      </c>
      <c r="M1570" s="39">
        <f>SUMIFS(pg_transaction_cleaned!$H:$H,pg_transaction_cleaned!$O:$O,A1570,pg_transaction_cleaned!$F:$F,"REFUND")</f>
        <v>0</v>
      </c>
      <c r="N1570" s="23" t="str">
        <f t="shared" si="98"/>
        <v>OK</v>
      </c>
      <c r="O1570" s="24">
        <f t="shared" si="99"/>
        <v>0</v>
      </c>
    </row>
    <row r="1571" spans="1:15" ht="15" customHeight="1" x14ac:dyDescent="0.3">
      <c r="A1571" s="23" t="s">
        <v>3627</v>
      </c>
      <c r="B1571" s="38">
        <v>46278</v>
      </c>
      <c r="C1571" s="23" t="s">
        <v>3628</v>
      </c>
      <c r="D1571" s="23" t="s">
        <v>93</v>
      </c>
      <c r="E1571" s="23" t="s">
        <v>79</v>
      </c>
      <c r="F1571" s="23" t="s">
        <v>291</v>
      </c>
      <c r="G1571" s="23" t="s">
        <v>250</v>
      </c>
      <c r="H1571" s="39">
        <f t="shared" si="96"/>
        <v>3499</v>
      </c>
      <c r="I1571" s="23" t="str">
        <f t="shared" si="97"/>
        <v>Kolkata</v>
      </c>
      <c r="J1571" s="23">
        <f>COUNTIFS(pg_transaction_cleaned!$O:$O,A1571,pg_transaction_cleaned!$F:$F,"CAPTURE")</f>
        <v>1</v>
      </c>
      <c r="K1571" s="39">
        <f>SUMIFS(pg_transaction_cleaned!$H:$H,pg_transaction_cleaned!$O:$O,A1571,pg_transaction_cleaned!$F:$F,"CAPTURE")</f>
        <v>3499</v>
      </c>
      <c r="L1571" s="23">
        <f>COUNTIFS(pg_transaction_cleaned!$O:$O,A1571,pg_transaction_cleaned!$F:$F,"REFUND")</f>
        <v>0</v>
      </c>
      <c r="M1571" s="39">
        <f>SUMIFS(pg_transaction_cleaned!$H:$H,pg_transaction_cleaned!$O:$O,A1571,pg_transaction_cleaned!$F:$F,"REFUND")</f>
        <v>0</v>
      </c>
      <c r="N1571" s="23" t="str">
        <f t="shared" si="98"/>
        <v>OK</v>
      </c>
      <c r="O1571" s="24">
        <f t="shared" si="99"/>
        <v>0</v>
      </c>
    </row>
    <row r="1572" spans="1:15" ht="15" customHeight="1" x14ac:dyDescent="0.3">
      <c r="A1572" s="23" t="s">
        <v>3629</v>
      </c>
      <c r="B1572" s="38">
        <v>46271</v>
      </c>
      <c r="C1572" s="23" t="s">
        <v>3630</v>
      </c>
      <c r="D1572" s="23" t="s">
        <v>94</v>
      </c>
      <c r="E1572" s="23" t="s">
        <v>79</v>
      </c>
      <c r="F1572" s="23" t="s">
        <v>2837</v>
      </c>
      <c r="G1572" s="23" t="s">
        <v>250</v>
      </c>
      <c r="H1572" s="39">
        <f t="shared" si="96"/>
        <v>12297</v>
      </c>
      <c r="I1572" s="23" t="str">
        <f t="shared" si="97"/>
        <v>Chennai</v>
      </c>
      <c r="J1572" s="23">
        <f>COUNTIFS(pg_transaction_cleaned!$O:$O,A1572,pg_transaction_cleaned!$F:$F,"CAPTURE")</f>
        <v>1</v>
      </c>
      <c r="K1572" s="39">
        <f>SUMIFS(pg_transaction_cleaned!$H:$H,pg_transaction_cleaned!$O:$O,A1572,pg_transaction_cleaned!$F:$F,"CAPTURE")</f>
        <v>12297</v>
      </c>
      <c r="L1572" s="23">
        <f>COUNTIFS(pg_transaction_cleaned!$O:$O,A1572,pg_transaction_cleaned!$F:$F,"REFUND")</f>
        <v>0</v>
      </c>
      <c r="M1572" s="39">
        <f>SUMIFS(pg_transaction_cleaned!$H:$H,pg_transaction_cleaned!$O:$O,A1572,pg_transaction_cleaned!$F:$F,"REFUND")</f>
        <v>0</v>
      </c>
      <c r="N1572" s="23" t="str">
        <f t="shared" si="98"/>
        <v>OK</v>
      </c>
      <c r="O1572" s="24">
        <f t="shared" si="99"/>
        <v>0</v>
      </c>
    </row>
    <row r="1573" spans="1:15" ht="15" customHeight="1" x14ac:dyDescent="0.3">
      <c r="A1573" s="23" t="s">
        <v>3631</v>
      </c>
      <c r="B1573" s="38">
        <v>46286</v>
      </c>
      <c r="C1573" s="23" t="s">
        <v>3632</v>
      </c>
      <c r="D1573" s="23" t="s">
        <v>93</v>
      </c>
      <c r="E1573" s="23" t="s">
        <v>81</v>
      </c>
      <c r="F1573" s="23" t="s">
        <v>385</v>
      </c>
      <c r="G1573" s="23" t="s">
        <v>250</v>
      </c>
      <c r="H1573" s="39">
        <f t="shared" si="96"/>
        <v>10597</v>
      </c>
      <c r="I1573" s="23" t="str">
        <f t="shared" si="97"/>
        <v>Kolkata</v>
      </c>
      <c r="J1573" s="23">
        <f>COUNTIFS(pg_transaction_cleaned!$O:$O,A1573,pg_transaction_cleaned!$F:$F,"CAPTURE")</f>
        <v>1</v>
      </c>
      <c r="K1573" s="39">
        <f>SUMIFS(pg_transaction_cleaned!$H:$H,pg_transaction_cleaned!$O:$O,A1573,pg_transaction_cleaned!$F:$F,"CAPTURE")</f>
        <v>10597</v>
      </c>
      <c r="L1573" s="23">
        <f>COUNTIFS(pg_transaction_cleaned!$O:$O,A1573,pg_transaction_cleaned!$F:$F,"REFUND")</f>
        <v>0</v>
      </c>
      <c r="M1573" s="39">
        <f>SUMIFS(pg_transaction_cleaned!$H:$H,pg_transaction_cleaned!$O:$O,A1573,pg_transaction_cleaned!$F:$F,"REFUND")</f>
        <v>0</v>
      </c>
      <c r="N1573" s="23" t="str">
        <f t="shared" si="98"/>
        <v>OK</v>
      </c>
      <c r="O1573" s="24">
        <f t="shared" si="99"/>
        <v>0</v>
      </c>
    </row>
    <row r="1574" spans="1:15" ht="15" customHeight="1" x14ac:dyDescent="0.3">
      <c r="A1574" s="23" t="s">
        <v>3633</v>
      </c>
      <c r="B1574" s="38">
        <v>46272</v>
      </c>
      <c r="C1574" s="23" t="s">
        <v>3634</v>
      </c>
      <c r="D1574" s="23" t="s">
        <v>87</v>
      </c>
      <c r="E1574" s="23" t="s">
        <v>75</v>
      </c>
      <c r="F1574" s="23" t="s">
        <v>274</v>
      </c>
      <c r="G1574" s="23" t="s">
        <v>250</v>
      </c>
      <c r="H1574" s="39">
        <f t="shared" si="96"/>
        <v>349</v>
      </c>
      <c r="I1574" s="23" t="str">
        <f t="shared" si="97"/>
        <v>Mumbai</v>
      </c>
      <c r="J1574" s="23">
        <f>COUNTIFS(pg_transaction_cleaned!$O:$O,A1574,pg_transaction_cleaned!$F:$F,"CAPTURE")</f>
        <v>1</v>
      </c>
      <c r="K1574" s="39">
        <f>SUMIFS(pg_transaction_cleaned!$H:$H,pg_transaction_cleaned!$O:$O,A1574,pg_transaction_cleaned!$F:$F,"CAPTURE")</f>
        <v>349</v>
      </c>
      <c r="L1574" s="23">
        <f>COUNTIFS(pg_transaction_cleaned!$O:$O,A1574,pg_transaction_cleaned!$F:$F,"REFUND")</f>
        <v>0</v>
      </c>
      <c r="M1574" s="39">
        <f>SUMIFS(pg_transaction_cleaned!$H:$H,pg_transaction_cleaned!$O:$O,A1574,pg_transaction_cleaned!$F:$F,"REFUND")</f>
        <v>0</v>
      </c>
      <c r="N1574" s="23" t="str">
        <f t="shared" si="98"/>
        <v>OK</v>
      </c>
      <c r="O1574" s="24">
        <f t="shared" si="99"/>
        <v>0</v>
      </c>
    </row>
    <row r="1575" spans="1:15" ht="15" customHeight="1" x14ac:dyDescent="0.3">
      <c r="A1575" s="23" t="s">
        <v>3635</v>
      </c>
      <c r="B1575" s="38">
        <v>46273</v>
      </c>
      <c r="C1575" s="23" t="s">
        <v>3636</v>
      </c>
      <c r="D1575" s="23" t="s">
        <v>87</v>
      </c>
      <c r="E1575" s="23" t="s">
        <v>75</v>
      </c>
      <c r="F1575" s="23" t="s">
        <v>262</v>
      </c>
      <c r="G1575" s="23" t="s">
        <v>250</v>
      </c>
      <c r="H1575" s="39">
        <f t="shared" si="96"/>
        <v>499</v>
      </c>
      <c r="I1575" s="23" t="str">
        <f t="shared" si="97"/>
        <v>Mumbai</v>
      </c>
      <c r="J1575" s="23">
        <f>COUNTIFS(pg_transaction_cleaned!$O:$O,A1575,pg_transaction_cleaned!$F:$F,"CAPTURE")</f>
        <v>1</v>
      </c>
      <c r="K1575" s="39">
        <f>SUMIFS(pg_transaction_cleaned!$H:$H,pg_transaction_cleaned!$O:$O,A1575,pg_transaction_cleaned!$F:$F,"CAPTURE")</f>
        <v>499</v>
      </c>
      <c r="L1575" s="23">
        <f>COUNTIFS(pg_transaction_cleaned!$O:$O,A1575,pg_transaction_cleaned!$F:$F,"REFUND")</f>
        <v>0</v>
      </c>
      <c r="M1575" s="39">
        <f>SUMIFS(pg_transaction_cleaned!$H:$H,pg_transaction_cleaned!$O:$O,A1575,pg_transaction_cleaned!$F:$F,"REFUND")</f>
        <v>0</v>
      </c>
      <c r="N1575" s="23" t="str">
        <f t="shared" si="98"/>
        <v>OK</v>
      </c>
      <c r="O1575" s="24">
        <f t="shared" si="99"/>
        <v>0</v>
      </c>
    </row>
    <row r="1576" spans="1:15" ht="15" customHeight="1" x14ac:dyDescent="0.3">
      <c r="A1576" s="23" t="s">
        <v>3637</v>
      </c>
      <c r="B1576" s="38">
        <v>46290</v>
      </c>
      <c r="C1576" s="23" t="s">
        <v>3638</v>
      </c>
      <c r="D1576" s="23" t="s">
        <v>95</v>
      </c>
      <c r="E1576" s="23" t="s">
        <v>79</v>
      </c>
      <c r="F1576" s="23" t="s">
        <v>329</v>
      </c>
      <c r="G1576" s="23" t="s">
        <v>250</v>
      </c>
      <c r="H1576" s="39">
        <f t="shared" si="96"/>
        <v>599</v>
      </c>
      <c r="I1576" s="23" t="str">
        <f t="shared" si="97"/>
        <v>Bengaluru</v>
      </c>
      <c r="J1576" s="23">
        <f>COUNTIFS(pg_transaction_cleaned!$O:$O,A1576,pg_transaction_cleaned!$F:$F,"CAPTURE")</f>
        <v>1</v>
      </c>
      <c r="K1576" s="39">
        <f>SUMIFS(pg_transaction_cleaned!$H:$H,pg_transaction_cleaned!$O:$O,A1576,pg_transaction_cleaned!$F:$F,"CAPTURE")</f>
        <v>599</v>
      </c>
      <c r="L1576" s="23">
        <f>COUNTIFS(pg_transaction_cleaned!$O:$O,A1576,pg_transaction_cleaned!$F:$F,"REFUND")</f>
        <v>0</v>
      </c>
      <c r="M1576" s="39">
        <f>SUMIFS(pg_transaction_cleaned!$H:$H,pg_transaction_cleaned!$O:$O,A1576,pg_transaction_cleaned!$F:$F,"REFUND")</f>
        <v>0</v>
      </c>
      <c r="N1576" s="23" t="str">
        <f t="shared" si="98"/>
        <v>OK</v>
      </c>
      <c r="O1576" s="24">
        <f t="shared" si="99"/>
        <v>0</v>
      </c>
    </row>
    <row r="1577" spans="1:15" ht="15" customHeight="1" x14ac:dyDescent="0.3">
      <c r="A1577" s="23" t="s">
        <v>3639</v>
      </c>
      <c r="B1577" s="38">
        <v>46274</v>
      </c>
      <c r="C1577" s="23" t="s">
        <v>3640</v>
      </c>
      <c r="D1577" s="23" t="s">
        <v>87</v>
      </c>
      <c r="E1577" s="23" t="s">
        <v>79</v>
      </c>
      <c r="F1577" s="23" t="s">
        <v>271</v>
      </c>
      <c r="G1577" s="23" t="s">
        <v>250</v>
      </c>
      <c r="H1577" s="39">
        <f t="shared" si="96"/>
        <v>2499</v>
      </c>
      <c r="I1577" s="23" t="str">
        <f t="shared" si="97"/>
        <v>Mumbai</v>
      </c>
      <c r="J1577" s="23">
        <f>COUNTIFS(pg_transaction_cleaned!$O:$O,A1577,pg_transaction_cleaned!$F:$F,"CAPTURE")</f>
        <v>1</v>
      </c>
      <c r="K1577" s="39">
        <f>SUMIFS(pg_transaction_cleaned!$H:$H,pg_transaction_cleaned!$O:$O,A1577,pg_transaction_cleaned!$F:$F,"CAPTURE")</f>
        <v>2499</v>
      </c>
      <c r="L1577" s="23">
        <f>COUNTIFS(pg_transaction_cleaned!$O:$O,A1577,pg_transaction_cleaned!$F:$F,"REFUND")</f>
        <v>0</v>
      </c>
      <c r="M1577" s="39">
        <f>SUMIFS(pg_transaction_cleaned!$H:$H,pg_transaction_cleaned!$O:$O,A1577,pg_transaction_cleaned!$F:$F,"REFUND")</f>
        <v>0</v>
      </c>
      <c r="N1577" s="23" t="str">
        <f t="shared" si="98"/>
        <v>OK</v>
      </c>
      <c r="O1577" s="24">
        <f t="shared" si="99"/>
        <v>0</v>
      </c>
    </row>
    <row r="1578" spans="1:15" ht="15" customHeight="1" x14ac:dyDescent="0.3">
      <c r="A1578" s="23" t="s">
        <v>3641</v>
      </c>
      <c r="B1578" s="38">
        <v>46267</v>
      </c>
      <c r="C1578" s="23" t="s">
        <v>3642</v>
      </c>
      <c r="D1578" s="23" t="s">
        <v>92</v>
      </c>
      <c r="E1578" s="23" t="s">
        <v>75</v>
      </c>
      <c r="F1578" s="23" t="s">
        <v>274</v>
      </c>
      <c r="G1578" s="23" t="s">
        <v>318</v>
      </c>
      <c r="H1578" s="39">
        <f t="shared" si="96"/>
        <v>349</v>
      </c>
      <c r="I1578" s="23" t="str">
        <f t="shared" si="97"/>
        <v>Hyderabad</v>
      </c>
      <c r="J1578" s="23">
        <f>COUNTIFS(pg_transaction_cleaned!$O:$O,A1578,pg_transaction_cleaned!$F:$F,"CAPTURE")</f>
        <v>0</v>
      </c>
      <c r="K1578" s="39">
        <f>SUMIFS(pg_transaction_cleaned!$H:$H,pg_transaction_cleaned!$O:$O,A1578,pg_transaction_cleaned!$F:$F,"CAPTURE")</f>
        <v>0</v>
      </c>
      <c r="L1578" s="23">
        <f>COUNTIFS(pg_transaction_cleaned!$O:$O,A1578,pg_transaction_cleaned!$F:$F,"REFUND")</f>
        <v>0</v>
      </c>
      <c r="M1578" s="39">
        <f>SUMIFS(pg_transaction_cleaned!$H:$H,pg_transaction_cleaned!$O:$O,A1578,pg_transaction_cleaned!$F:$F,"REFUND")</f>
        <v>0</v>
      </c>
      <c r="N1578" s="23" t="str">
        <f t="shared" si="98"/>
        <v>OK</v>
      </c>
      <c r="O1578" s="24">
        <f t="shared" si="99"/>
        <v>0</v>
      </c>
    </row>
    <row r="1579" spans="1:15" ht="15" customHeight="1" x14ac:dyDescent="0.3">
      <c r="A1579" s="23" t="s">
        <v>3643</v>
      </c>
      <c r="B1579" s="38">
        <v>46278</v>
      </c>
      <c r="C1579" s="23" t="s">
        <v>3644</v>
      </c>
      <c r="D1579" s="23" t="s">
        <v>91</v>
      </c>
      <c r="E1579" s="23" t="s">
        <v>79</v>
      </c>
      <c r="F1579" s="23" t="s">
        <v>357</v>
      </c>
      <c r="G1579" s="23" t="s">
        <v>250</v>
      </c>
      <c r="H1579" s="39">
        <f t="shared" si="96"/>
        <v>1598</v>
      </c>
      <c r="I1579" s="23" t="str">
        <f t="shared" si="97"/>
        <v>Pune</v>
      </c>
      <c r="J1579" s="23">
        <f>COUNTIFS(pg_transaction_cleaned!$O:$O,A1579,pg_transaction_cleaned!$F:$F,"CAPTURE")</f>
        <v>1</v>
      </c>
      <c r="K1579" s="39">
        <f>SUMIFS(pg_transaction_cleaned!$H:$H,pg_transaction_cleaned!$O:$O,A1579,pg_transaction_cleaned!$F:$F,"CAPTURE")</f>
        <v>1598</v>
      </c>
      <c r="L1579" s="23">
        <f>COUNTIFS(pg_transaction_cleaned!$O:$O,A1579,pg_transaction_cleaned!$F:$F,"REFUND")</f>
        <v>0</v>
      </c>
      <c r="M1579" s="39">
        <f>SUMIFS(pg_transaction_cleaned!$H:$H,pg_transaction_cleaned!$O:$O,A1579,pg_transaction_cleaned!$F:$F,"REFUND")</f>
        <v>0</v>
      </c>
      <c r="N1579" s="23" t="str">
        <f t="shared" si="98"/>
        <v>OK</v>
      </c>
      <c r="O1579" s="24">
        <f t="shared" si="99"/>
        <v>0</v>
      </c>
    </row>
    <row r="1580" spans="1:15" ht="15" customHeight="1" x14ac:dyDescent="0.3">
      <c r="A1580" s="23" t="s">
        <v>3645</v>
      </c>
      <c r="B1580" s="38">
        <v>46276</v>
      </c>
      <c r="C1580" s="23" t="s">
        <v>3646</v>
      </c>
      <c r="D1580" s="23" t="s">
        <v>87</v>
      </c>
      <c r="E1580" s="23" t="s">
        <v>81</v>
      </c>
      <c r="F1580" s="23" t="s">
        <v>717</v>
      </c>
      <c r="G1580" s="23" t="s">
        <v>250</v>
      </c>
      <c r="H1580" s="39">
        <f t="shared" si="96"/>
        <v>5298</v>
      </c>
      <c r="I1580" s="23" t="str">
        <f t="shared" si="97"/>
        <v>Mumbai</v>
      </c>
      <c r="J1580" s="23">
        <f>COUNTIFS(pg_transaction_cleaned!$O:$O,A1580,pg_transaction_cleaned!$F:$F,"CAPTURE")</f>
        <v>0</v>
      </c>
      <c r="K1580" s="39">
        <f>SUMIFS(pg_transaction_cleaned!$H:$H,pg_transaction_cleaned!$O:$O,A1580,pg_transaction_cleaned!$F:$F,"CAPTURE")</f>
        <v>0</v>
      </c>
      <c r="L1580" s="23">
        <f>COUNTIFS(pg_transaction_cleaned!$O:$O,A1580,pg_transaction_cleaned!$F:$F,"REFUND")</f>
        <v>0</v>
      </c>
      <c r="M1580" s="39">
        <f>SUMIFS(pg_transaction_cleaned!$H:$H,pg_transaction_cleaned!$O:$O,A1580,pg_transaction_cleaned!$F:$F,"REFUND")</f>
        <v>0</v>
      </c>
      <c r="N1580" s="23" t="str">
        <f t="shared" si="98"/>
        <v>Paid, no payment</v>
      </c>
      <c r="O1580" s="24">
        <f t="shared" si="99"/>
        <v>5298</v>
      </c>
    </row>
    <row r="1581" spans="1:15" ht="15" customHeight="1" x14ac:dyDescent="0.3">
      <c r="A1581" s="23" t="s">
        <v>3647</v>
      </c>
      <c r="B1581" s="38">
        <v>46284</v>
      </c>
      <c r="C1581" s="23" t="s">
        <v>3648</v>
      </c>
      <c r="D1581" s="23" t="s">
        <v>86</v>
      </c>
      <c r="E1581" s="23" t="s">
        <v>75</v>
      </c>
      <c r="F1581" s="23" t="s">
        <v>337</v>
      </c>
      <c r="G1581" s="23" t="s">
        <v>250</v>
      </c>
      <c r="H1581" s="39">
        <f t="shared" si="96"/>
        <v>3998</v>
      </c>
      <c r="I1581" s="23" t="str">
        <f t="shared" si="97"/>
        <v>Delhi</v>
      </c>
      <c r="J1581" s="23">
        <f>COUNTIFS(pg_transaction_cleaned!$O:$O,A1581,pg_transaction_cleaned!$F:$F,"CAPTURE")</f>
        <v>1</v>
      </c>
      <c r="K1581" s="39">
        <f>SUMIFS(pg_transaction_cleaned!$H:$H,pg_transaction_cleaned!$O:$O,A1581,pg_transaction_cleaned!$F:$F,"CAPTURE")</f>
        <v>3998</v>
      </c>
      <c r="L1581" s="23">
        <f>COUNTIFS(pg_transaction_cleaned!$O:$O,A1581,pg_transaction_cleaned!$F:$F,"REFUND")</f>
        <v>0</v>
      </c>
      <c r="M1581" s="39">
        <f>SUMIFS(pg_transaction_cleaned!$H:$H,pg_transaction_cleaned!$O:$O,A1581,pg_transaction_cleaned!$F:$F,"REFUND")</f>
        <v>0</v>
      </c>
      <c r="N1581" s="23" t="str">
        <f t="shared" si="98"/>
        <v>OK</v>
      </c>
      <c r="O1581" s="24">
        <f t="shared" si="99"/>
        <v>0</v>
      </c>
    </row>
    <row r="1582" spans="1:15" ht="15" customHeight="1" x14ac:dyDescent="0.3">
      <c r="A1582" s="23" t="s">
        <v>3649</v>
      </c>
      <c r="B1582" s="38">
        <v>46287</v>
      </c>
      <c r="C1582" s="23" t="s">
        <v>3650</v>
      </c>
      <c r="D1582" s="23" t="s">
        <v>86</v>
      </c>
      <c r="E1582" s="23" t="s">
        <v>79</v>
      </c>
      <c r="F1582" s="23" t="s">
        <v>429</v>
      </c>
      <c r="G1582" s="23" t="s">
        <v>250</v>
      </c>
      <c r="H1582" s="39">
        <f t="shared" si="96"/>
        <v>3348</v>
      </c>
      <c r="I1582" s="23" t="str">
        <f t="shared" si="97"/>
        <v>Delhi</v>
      </c>
      <c r="J1582" s="23">
        <f>COUNTIFS(pg_transaction_cleaned!$O:$O,A1582,pg_transaction_cleaned!$F:$F,"CAPTURE")</f>
        <v>1</v>
      </c>
      <c r="K1582" s="39">
        <f>SUMIFS(pg_transaction_cleaned!$H:$H,pg_transaction_cleaned!$O:$O,A1582,pg_transaction_cleaned!$F:$F,"CAPTURE")</f>
        <v>3348</v>
      </c>
      <c r="L1582" s="23">
        <f>COUNTIFS(pg_transaction_cleaned!$O:$O,A1582,pg_transaction_cleaned!$F:$F,"REFUND")</f>
        <v>0</v>
      </c>
      <c r="M1582" s="39">
        <f>SUMIFS(pg_transaction_cleaned!$H:$H,pg_transaction_cleaned!$O:$O,A1582,pg_transaction_cleaned!$F:$F,"REFUND")</f>
        <v>0</v>
      </c>
      <c r="N1582" s="23" t="str">
        <f t="shared" si="98"/>
        <v>OK</v>
      </c>
      <c r="O1582" s="24">
        <f t="shared" si="99"/>
        <v>0</v>
      </c>
    </row>
    <row r="1583" spans="1:15" ht="15" customHeight="1" x14ac:dyDescent="0.3">
      <c r="A1583" s="23" t="s">
        <v>3651</v>
      </c>
      <c r="B1583" s="38">
        <v>46290</v>
      </c>
      <c r="C1583" s="23" t="s">
        <v>3652</v>
      </c>
      <c r="D1583" s="23" t="s">
        <v>94</v>
      </c>
      <c r="E1583" s="23" t="s">
        <v>79</v>
      </c>
      <c r="F1583" s="23" t="s">
        <v>1693</v>
      </c>
      <c r="G1583" s="23" t="s">
        <v>301</v>
      </c>
      <c r="H1583" s="39">
        <f t="shared" si="96"/>
        <v>4097</v>
      </c>
      <c r="I1583" s="23" t="str">
        <f t="shared" si="97"/>
        <v>Chennai</v>
      </c>
      <c r="J1583" s="23">
        <f>COUNTIFS(pg_transaction_cleaned!$O:$O,A1583,pg_transaction_cleaned!$F:$F,"CAPTURE")</f>
        <v>1</v>
      </c>
      <c r="K1583" s="39">
        <f>SUMIFS(pg_transaction_cleaned!$H:$H,pg_transaction_cleaned!$O:$O,A1583,pg_transaction_cleaned!$F:$F,"CAPTURE")</f>
        <v>4097</v>
      </c>
      <c r="L1583" s="23">
        <f>COUNTIFS(pg_transaction_cleaned!$O:$O,A1583,pg_transaction_cleaned!$F:$F,"REFUND")</f>
        <v>1</v>
      </c>
      <c r="M1583" s="39">
        <f>SUMIFS(pg_transaction_cleaned!$H:$H,pg_transaction_cleaned!$O:$O,A1583,pg_transaction_cleaned!$F:$F,"REFUND")</f>
        <v>4097</v>
      </c>
      <c r="N1583" s="23" t="str">
        <f t="shared" si="98"/>
        <v>OK</v>
      </c>
      <c r="O1583" s="24">
        <f t="shared" si="99"/>
        <v>0</v>
      </c>
    </row>
    <row r="1584" spans="1:15" ht="15" customHeight="1" x14ac:dyDescent="0.3">
      <c r="A1584" s="23" t="s">
        <v>3653</v>
      </c>
      <c r="B1584" s="38">
        <v>46280</v>
      </c>
      <c r="C1584" s="23" t="s">
        <v>3654</v>
      </c>
      <c r="D1584" s="23" t="s">
        <v>87</v>
      </c>
      <c r="E1584" s="23" t="s">
        <v>79</v>
      </c>
      <c r="F1584" s="23" t="s">
        <v>265</v>
      </c>
      <c r="G1584" s="23" t="s">
        <v>250</v>
      </c>
      <c r="H1584" s="39">
        <f t="shared" si="96"/>
        <v>999</v>
      </c>
      <c r="I1584" s="23" t="str">
        <f t="shared" si="97"/>
        <v>Mumbai</v>
      </c>
      <c r="J1584" s="23">
        <f>COUNTIFS(pg_transaction_cleaned!$O:$O,A1584,pg_transaction_cleaned!$F:$F,"CAPTURE")</f>
        <v>1</v>
      </c>
      <c r="K1584" s="39">
        <f>SUMIFS(pg_transaction_cleaned!$H:$H,pg_transaction_cleaned!$O:$O,A1584,pg_transaction_cleaned!$F:$F,"CAPTURE")</f>
        <v>999</v>
      </c>
      <c r="L1584" s="23">
        <f>COUNTIFS(pg_transaction_cleaned!$O:$O,A1584,pg_transaction_cleaned!$F:$F,"REFUND")</f>
        <v>0</v>
      </c>
      <c r="M1584" s="39">
        <f>SUMIFS(pg_transaction_cleaned!$H:$H,pg_transaction_cleaned!$O:$O,A1584,pg_transaction_cleaned!$F:$F,"REFUND")</f>
        <v>0</v>
      </c>
      <c r="N1584" s="23" t="str">
        <f t="shared" si="98"/>
        <v>OK</v>
      </c>
      <c r="O1584" s="24">
        <f t="shared" si="99"/>
        <v>0</v>
      </c>
    </row>
    <row r="1585" spans="1:15" ht="15" customHeight="1" x14ac:dyDescent="0.3">
      <c r="A1585" s="23" t="s">
        <v>3655</v>
      </c>
      <c r="B1585" s="38">
        <v>46294</v>
      </c>
      <c r="C1585" s="23" t="s">
        <v>3656</v>
      </c>
      <c r="D1585" s="23" t="s">
        <v>91</v>
      </c>
      <c r="E1585" s="23" t="s">
        <v>77</v>
      </c>
      <c r="F1585" s="23" t="s">
        <v>478</v>
      </c>
      <c r="G1585" s="23" t="s">
        <v>250</v>
      </c>
      <c r="H1585" s="39">
        <f t="shared" si="96"/>
        <v>9297</v>
      </c>
      <c r="I1585" s="23" t="str">
        <f t="shared" si="97"/>
        <v>Pune</v>
      </c>
      <c r="J1585" s="23">
        <f>COUNTIFS(pg_transaction_cleaned!$O:$O,A1585,pg_transaction_cleaned!$F:$F,"CAPTURE")</f>
        <v>1</v>
      </c>
      <c r="K1585" s="39">
        <f>SUMIFS(pg_transaction_cleaned!$H:$H,pg_transaction_cleaned!$O:$O,A1585,pg_transaction_cleaned!$F:$F,"CAPTURE")</f>
        <v>9297</v>
      </c>
      <c r="L1585" s="23">
        <f>COUNTIFS(pg_transaction_cleaned!$O:$O,A1585,pg_transaction_cleaned!$F:$F,"REFUND")</f>
        <v>0</v>
      </c>
      <c r="M1585" s="39">
        <f>SUMIFS(pg_transaction_cleaned!$H:$H,pg_transaction_cleaned!$O:$O,A1585,pg_transaction_cleaned!$F:$F,"REFUND")</f>
        <v>0</v>
      </c>
      <c r="N1585" s="23" t="str">
        <f t="shared" si="98"/>
        <v>OK</v>
      </c>
      <c r="O1585" s="24">
        <f t="shared" si="99"/>
        <v>0</v>
      </c>
    </row>
    <row r="1586" spans="1:15" ht="15" customHeight="1" x14ac:dyDescent="0.3">
      <c r="A1586" s="23" t="s">
        <v>3657</v>
      </c>
      <c r="B1586" s="38">
        <v>46270</v>
      </c>
      <c r="C1586" s="23" t="s">
        <v>3658</v>
      </c>
      <c r="D1586" s="23"/>
      <c r="E1586" s="23" t="s">
        <v>75</v>
      </c>
      <c r="F1586" s="23" t="s">
        <v>1010</v>
      </c>
      <c r="G1586" s="23" t="s">
        <v>250</v>
      </c>
      <c r="H1586" s="39">
        <f t="shared" si="96"/>
        <v>4498</v>
      </c>
      <c r="I1586" s="23" t="str">
        <f t="shared" si="97"/>
        <v>Unknown</v>
      </c>
      <c r="J1586" s="23">
        <f>COUNTIFS(pg_transaction_cleaned!$O:$O,A1586,pg_transaction_cleaned!$F:$F,"CAPTURE")</f>
        <v>1</v>
      </c>
      <c r="K1586" s="39">
        <f>SUMIFS(pg_transaction_cleaned!$H:$H,pg_transaction_cleaned!$O:$O,A1586,pg_transaction_cleaned!$F:$F,"CAPTURE")</f>
        <v>4498</v>
      </c>
      <c r="L1586" s="23">
        <f>COUNTIFS(pg_transaction_cleaned!$O:$O,A1586,pg_transaction_cleaned!$F:$F,"REFUND")</f>
        <v>0</v>
      </c>
      <c r="M1586" s="39">
        <f>SUMIFS(pg_transaction_cleaned!$H:$H,pg_transaction_cleaned!$O:$O,A1586,pg_transaction_cleaned!$F:$F,"REFUND")</f>
        <v>0</v>
      </c>
      <c r="N1586" s="23" t="str">
        <f t="shared" si="98"/>
        <v>OK</v>
      </c>
      <c r="O1586" s="24">
        <f t="shared" si="99"/>
        <v>0</v>
      </c>
    </row>
    <row r="1587" spans="1:15" ht="15" customHeight="1" x14ac:dyDescent="0.3">
      <c r="A1587" s="23" t="s">
        <v>3659</v>
      </c>
      <c r="B1587" s="38">
        <v>46293</v>
      </c>
      <c r="C1587" s="23" t="s">
        <v>3660</v>
      </c>
      <c r="D1587" s="23" t="s">
        <v>86</v>
      </c>
      <c r="E1587" s="23" t="s">
        <v>75</v>
      </c>
      <c r="F1587" s="23" t="s">
        <v>795</v>
      </c>
      <c r="G1587" s="23" t="s">
        <v>250</v>
      </c>
      <c r="H1587" s="39">
        <f t="shared" si="96"/>
        <v>1499</v>
      </c>
      <c r="I1587" s="23" t="str">
        <f t="shared" si="97"/>
        <v>Delhi</v>
      </c>
      <c r="J1587" s="23">
        <f>COUNTIFS(pg_transaction_cleaned!$O:$O,A1587,pg_transaction_cleaned!$F:$F,"CAPTURE")</f>
        <v>1</v>
      </c>
      <c r="K1587" s="39">
        <f>SUMIFS(pg_transaction_cleaned!$H:$H,pg_transaction_cleaned!$O:$O,A1587,pg_transaction_cleaned!$F:$F,"CAPTURE")</f>
        <v>1499</v>
      </c>
      <c r="L1587" s="23">
        <f>COUNTIFS(pg_transaction_cleaned!$O:$O,A1587,pg_transaction_cleaned!$F:$F,"REFUND")</f>
        <v>0</v>
      </c>
      <c r="M1587" s="39">
        <f>SUMIFS(pg_transaction_cleaned!$H:$H,pg_transaction_cleaned!$O:$O,A1587,pg_transaction_cleaned!$F:$F,"REFUND")</f>
        <v>0</v>
      </c>
      <c r="N1587" s="23" t="str">
        <f t="shared" si="98"/>
        <v>OK</v>
      </c>
      <c r="O1587" s="24">
        <f t="shared" si="99"/>
        <v>0</v>
      </c>
    </row>
    <row r="1588" spans="1:15" ht="15" customHeight="1" x14ac:dyDescent="0.3">
      <c r="A1588" s="23" t="s">
        <v>3661</v>
      </c>
      <c r="B1588" s="38">
        <v>46268</v>
      </c>
      <c r="C1588" s="23" t="s">
        <v>3662</v>
      </c>
      <c r="D1588" s="23" t="s">
        <v>90</v>
      </c>
      <c r="E1588" s="23" t="s">
        <v>75</v>
      </c>
      <c r="F1588" s="23" t="s">
        <v>271</v>
      </c>
      <c r="G1588" s="23" t="s">
        <v>250</v>
      </c>
      <c r="H1588" s="39">
        <f t="shared" si="96"/>
        <v>2499</v>
      </c>
      <c r="I1588" s="23" t="str">
        <f t="shared" si="97"/>
        <v>Ahmedabad</v>
      </c>
      <c r="J1588" s="23">
        <f>COUNTIFS(pg_transaction_cleaned!$O:$O,A1588,pg_transaction_cleaned!$F:$F,"CAPTURE")</f>
        <v>1</v>
      </c>
      <c r="K1588" s="39">
        <f>SUMIFS(pg_transaction_cleaned!$H:$H,pg_transaction_cleaned!$O:$O,A1588,pg_transaction_cleaned!$F:$F,"CAPTURE")</f>
        <v>2499</v>
      </c>
      <c r="L1588" s="23">
        <f>COUNTIFS(pg_transaction_cleaned!$O:$O,A1588,pg_transaction_cleaned!$F:$F,"REFUND")</f>
        <v>0</v>
      </c>
      <c r="M1588" s="39">
        <f>SUMIFS(pg_transaction_cleaned!$H:$H,pg_transaction_cleaned!$O:$O,A1588,pg_transaction_cleaned!$F:$F,"REFUND")</f>
        <v>0</v>
      </c>
      <c r="N1588" s="23" t="str">
        <f t="shared" si="98"/>
        <v>OK</v>
      </c>
      <c r="O1588" s="24">
        <f t="shared" si="99"/>
        <v>0</v>
      </c>
    </row>
    <row r="1589" spans="1:15" ht="15" customHeight="1" x14ac:dyDescent="0.3">
      <c r="A1589" s="23" t="s">
        <v>3663</v>
      </c>
      <c r="B1589" s="38">
        <v>46274</v>
      </c>
      <c r="C1589" s="23" t="s">
        <v>3664</v>
      </c>
      <c r="D1589" s="23" t="s">
        <v>91</v>
      </c>
      <c r="E1589" s="23" t="s">
        <v>79</v>
      </c>
      <c r="F1589" s="23" t="s">
        <v>304</v>
      </c>
      <c r="G1589" s="23" t="s">
        <v>250</v>
      </c>
      <c r="H1589" s="39">
        <f t="shared" si="96"/>
        <v>5798</v>
      </c>
      <c r="I1589" s="23" t="str">
        <f t="shared" si="97"/>
        <v>Pune</v>
      </c>
      <c r="J1589" s="23">
        <f>COUNTIFS(pg_transaction_cleaned!$O:$O,A1589,pg_transaction_cleaned!$F:$F,"CAPTURE")</f>
        <v>1</v>
      </c>
      <c r="K1589" s="39">
        <f>SUMIFS(pg_transaction_cleaned!$H:$H,pg_transaction_cleaned!$O:$O,A1589,pg_transaction_cleaned!$F:$F,"CAPTURE")</f>
        <v>5798</v>
      </c>
      <c r="L1589" s="23">
        <f>COUNTIFS(pg_transaction_cleaned!$O:$O,A1589,pg_transaction_cleaned!$F:$F,"REFUND")</f>
        <v>0</v>
      </c>
      <c r="M1589" s="39">
        <f>SUMIFS(pg_transaction_cleaned!$H:$H,pg_transaction_cleaned!$O:$O,A1589,pg_transaction_cleaned!$F:$F,"REFUND")</f>
        <v>0</v>
      </c>
      <c r="N1589" s="23" t="str">
        <f t="shared" si="98"/>
        <v>OK</v>
      </c>
      <c r="O1589" s="24">
        <f t="shared" si="99"/>
        <v>0</v>
      </c>
    </row>
    <row r="1590" spans="1:15" ht="15" customHeight="1" x14ac:dyDescent="0.3">
      <c r="A1590" s="23" t="s">
        <v>3665</v>
      </c>
      <c r="B1590" s="38">
        <v>46284</v>
      </c>
      <c r="C1590" s="23" t="s">
        <v>3666</v>
      </c>
      <c r="D1590" s="23" t="s">
        <v>86</v>
      </c>
      <c r="E1590" s="23" t="s">
        <v>75</v>
      </c>
      <c r="F1590" s="23" t="s">
        <v>582</v>
      </c>
      <c r="G1590" s="23" t="s">
        <v>250</v>
      </c>
      <c r="H1590" s="39">
        <f t="shared" si="96"/>
        <v>1298</v>
      </c>
      <c r="I1590" s="23" t="str">
        <f t="shared" si="97"/>
        <v>Delhi</v>
      </c>
      <c r="J1590" s="23">
        <f>COUNTIFS(pg_transaction_cleaned!$O:$O,A1590,pg_transaction_cleaned!$F:$F,"CAPTURE")</f>
        <v>1</v>
      </c>
      <c r="K1590" s="39">
        <f>SUMIFS(pg_transaction_cleaned!$H:$H,pg_transaction_cleaned!$O:$O,A1590,pg_transaction_cleaned!$F:$F,"CAPTURE")</f>
        <v>1298</v>
      </c>
      <c r="L1590" s="23">
        <f>COUNTIFS(pg_transaction_cleaned!$O:$O,A1590,pg_transaction_cleaned!$F:$F,"REFUND")</f>
        <v>0</v>
      </c>
      <c r="M1590" s="39">
        <f>SUMIFS(pg_transaction_cleaned!$H:$H,pg_transaction_cleaned!$O:$O,A1590,pg_transaction_cleaned!$F:$F,"REFUND")</f>
        <v>0</v>
      </c>
      <c r="N1590" s="23" t="str">
        <f t="shared" si="98"/>
        <v>OK</v>
      </c>
      <c r="O1590" s="24">
        <f t="shared" si="99"/>
        <v>0</v>
      </c>
    </row>
    <row r="1591" spans="1:15" ht="15" customHeight="1" x14ac:dyDescent="0.3">
      <c r="A1591" s="23" t="s">
        <v>3667</v>
      </c>
      <c r="B1591" s="38">
        <v>46280</v>
      </c>
      <c r="C1591" s="23" t="s">
        <v>3668</v>
      </c>
      <c r="D1591" s="23" t="s">
        <v>91</v>
      </c>
      <c r="E1591" s="23" t="s">
        <v>77</v>
      </c>
      <c r="F1591" s="23" t="s">
        <v>294</v>
      </c>
      <c r="G1591" s="23" t="s">
        <v>250</v>
      </c>
      <c r="H1591" s="39">
        <f t="shared" si="96"/>
        <v>1799</v>
      </c>
      <c r="I1591" s="23" t="str">
        <f t="shared" si="97"/>
        <v>Pune</v>
      </c>
      <c r="J1591" s="23">
        <f>COUNTIFS(pg_transaction_cleaned!$O:$O,A1591,pg_transaction_cleaned!$F:$F,"CAPTURE")</f>
        <v>1</v>
      </c>
      <c r="K1591" s="39">
        <f>SUMIFS(pg_transaction_cleaned!$H:$H,pg_transaction_cleaned!$O:$O,A1591,pg_transaction_cleaned!$F:$F,"CAPTURE")</f>
        <v>1799</v>
      </c>
      <c r="L1591" s="23">
        <f>COUNTIFS(pg_transaction_cleaned!$O:$O,A1591,pg_transaction_cleaned!$F:$F,"REFUND")</f>
        <v>0</v>
      </c>
      <c r="M1591" s="39">
        <f>SUMIFS(pg_transaction_cleaned!$H:$H,pg_transaction_cleaned!$O:$O,A1591,pg_transaction_cleaned!$F:$F,"REFUND")</f>
        <v>0</v>
      </c>
      <c r="N1591" s="23" t="str">
        <f t="shared" si="98"/>
        <v>OK</v>
      </c>
      <c r="O1591" s="24">
        <f t="shared" si="99"/>
        <v>0</v>
      </c>
    </row>
    <row r="1592" spans="1:15" ht="15" customHeight="1" x14ac:dyDescent="0.3">
      <c r="A1592" s="23" t="s">
        <v>3669</v>
      </c>
      <c r="B1592" s="38">
        <v>46287</v>
      </c>
      <c r="C1592" s="23" t="s">
        <v>3670</v>
      </c>
      <c r="D1592" s="23" t="s">
        <v>87</v>
      </c>
      <c r="E1592" s="23" t="s">
        <v>81</v>
      </c>
      <c r="F1592" s="23" t="s">
        <v>259</v>
      </c>
      <c r="G1592" s="23" t="s">
        <v>250</v>
      </c>
      <c r="H1592" s="39">
        <f t="shared" si="96"/>
        <v>3298</v>
      </c>
      <c r="I1592" s="23" t="str">
        <f t="shared" si="97"/>
        <v>Mumbai</v>
      </c>
      <c r="J1592" s="23">
        <f>COUNTIFS(pg_transaction_cleaned!$O:$O,A1592,pg_transaction_cleaned!$F:$F,"CAPTURE")</f>
        <v>1</v>
      </c>
      <c r="K1592" s="39">
        <f>SUMIFS(pg_transaction_cleaned!$H:$H,pg_transaction_cleaned!$O:$O,A1592,pg_transaction_cleaned!$F:$F,"CAPTURE")</f>
        <v>3298</v>
      </c>
      <c r="L1592" s="23">
        <f>COUNTIFS(pg_transaction_cleaned!$O:$O,A1592,pg_transaction_cleaned!$F:$F,"REFUND")</f>
        <v>0</v>
      </c>
      <c r="M1592" s="39">
        <f>SUMIFS(pg_transaction_cleaned!$H:$H,pg_transaction_cleaned!$O:$O,A1592,pg_transaction_cleaned!$F:$F,"REFUND")</f>
        <v>0</v>
      </c>
      <c r="N1592" s="23" t="str">
        <f t="shared" si="98"/>
        <v>OK</v>
      </c>
      <c r="O1592" s="24">
        <f t="shared" si="99"/>
        <v>0</v>
      </c>
    </row>
    <row r="1593" spans="1:15" ht="15" customHeight="1" x14ac:dyDescent="0.3">
      <c r="A1593" s="23" t="s">
        <v>3671</v>
      </c>
      <c r="B1593" s="38">
        <v>46285</v>
      </c>
      <c r="C1593" s="23" t="s">
        <v>3672</v>
      </c>
      <c r="D1593" s="23" t="s">
        <v>86</v>
      </c>
      <c r="E1593" s="23" t="s">
        <v>81</v>
      </c>
      <c r="F1593" s="23" t="s">
        <v>685</v>
      </c>
      <c r="G1593" s="23" t="s">
        <v>250</v>
      </c>
      <c r="H1593" s="39">
        <f t="shared" si="96"/>
        <v>8797</v>
      </c>
      <c r="I1593" s="23" t="str">
        <f t="shared" si="97"/>
        <v>Delhi</v>
      </c>
      <c r="J1593" s="23">
        <f>COUNTIFS(pg_transaction_cleaned!$O:$O,A1593,pg_transaction_cleaned!$F:$F,"CAPTURE")</f>
        <v>1</v>
      </c>
      <c r="K1593" s="39">
        <f>SUMIFS(pg_transaction_cleaned!$H:$H,pg_transaction_cleaned!$O:$O,A1593,pg_transaction_cleaned!$F:$F,"CAPTURE")</f>
        <v>8797</v>
      </c>
      <c r="L1593" s="23">
        <f>COUNTIFS(pg_transaction_cleaned!$O:$O,A1593,pg_transaction_cleaned!$F:$F,"REFUND")</f>
        <v>0</v>
      </c>
      <c r="M1593" s="39">
        <f>SUMIFS(pg_transaction_cleaned!$H:$H,pg_transaction_cleaned!$O:$O,A1593,pg_transaction_cleaned!$F:$F,"REFUND")</f>
        <v>0</v>
      </c>
      <c r="N1593" s="23" t="str">
        <f t="shared" si="98"/>
        <v>OK</v>
      </c>
      <c r="O1593" s="24">
        <f t="shared" si="99"/>
        <v>0</v>
      </c>
    </row>
    <row r="1594" spans="1:15" ht="15" customHeight="1" x14ac:dyDescent="0.3">
      <c r="A1594" s="23" t="s">
        <v>3673</v>
      </c>
      <c r="B1594" s="38">
        <v>46293</v>
      </c>
      <c r="C1594" s="23" t="s">
        <v>3674</v>
      </c>
      <c r="D1594" s="23" t="s">
        <v>95</v>
      </c>
      <c r="E1594" s="23" t="s">
        <v>79</v>
      </c>
      <c r="F1594" s="23" t="s">
        <v>475</v>
      </c>
      <c r="G1594" s="23" t="s">
        <v>250</v>
      </c>
      <c r="H1594" s="39">
        <f t="shared" si="96"/>
        <v>799</v>
      </c>
      <c r="I1594" s="23" t="str">
        <f t="shared" si="97"/>
        <v>Bengaluru</v>
      </c>
      <c r="J1594" s="23">
        <f>COUNTIFS(pg_transaction_cleaned!$O:$O,A1594,pg_transaction_cleaned!$F:$F,"CAPTURE")</f>
        <v>1</v>
      </c>
      <c r="K1594" s="39">
        <f>SUMIFS(pg_transaction_cleaned!$H:$H,pg_transaction_cleaned!$O:$O,A1594,pg_transaction_cleaned!$F:$F,"CAPTURE")</f>
        <v>799</v>
      </c>
      <c r="L1594" s="23">
        <f>COUNTIFS(pg_transaction_cleaned!$O:$O,A1594,pg_transaction_cleaned!$F:$F,"REFUND")</f>
        <v>0</v>
      </c>
      <c r="M1594" s="39">
        <f>SUMIFS(pg_transaction_cleaned!$H:$H,pg_transaction_cleaned!$O:$O,A1594,pg_transaction_cleaned!$F:$F,"REFUND")</f>
        <v>0</v>
      </c>
      <c r="N1594" s="23" t="str">
        <f t="shared" si="98"/>
        <v>OK</v>
      </c>
      <c r="O1594" s="24">
        <f t="shared" si="99"/>
        <v>0</v>
      </c>
    </row>
    <row r="1595" spans="1:15" ht="15" customHeight="1" x14ac:dyDescent="0.3">
      <c r="A1595" s="23" t="s">
        <v>3675</v>
      </c>
      <c r="B1595" s="38">
        <v>46278</v>
      </c>
      <c r="C1595" s="23" t="s">
        <v>3676</v>
      </c>
      <c r="D1595" s="23" t="s">
        <v>90</v>
      </c>
      <c r="E1595" s="23" t="s">
        <v>75</v>
      </c>
      <c r="F1595" s="23" t="s">
        <v>429</v>
      </c>
      <c r="G1595" s="23" t="s">
        <v>250</v>
      </c>
      <c r="H1595" s="39">
        <f t="shared" si="96"/>
        <v>3348</v>
      </c>
      <c r="I1595" s="23" t="str">
        <f t="shared" si="97"/>
        <v>Ahmedabad</v>
      </c>
      <c r="J1595" s="23">
        <f>COUNTIFS(pg_transaction_cleaned!$O:$O,A1595,pg_transaction_cleaned!$F:$F,"CAPTURE")</f>
        <v>1</v>
      </c>
      <c r="K1595" s="39">
        <f>SUMIFS(pg_transaction_cleaned!$H:$H,pg_transaction_cleaned!$O:$O,A1595,pg_transaction_cleaned!$F:$F,"CAPTURE")</f>
        <v>3348</v>
      </c>
      <c r="L1595" s="23">
        <f>COUNTIFS(pg_transaction_cleaned!$O:$O,A1595,pg_transaction_cleaned!$F:$F,"REFUND")</f>
        <v>0</v>
      </c>
      <c r="M1595" s="39">
        <f>SUMIFS(pg_transaction_cleaned!$H:$H,pg_transaction_cleaned!$O:$O,A1595,pg_transaction_cleaned!$F:$F,"REFUND")</f>
        <v>0</v>
      </c>
      <c r="N1595" s="23" t="str">
        <f t="shared" si="98"/>
        <v>OK</v>
      </c>
      <c r="O1595" s="24">
        <f t="shared" si="99"/>
        <v>0</v>
      </c>
    </row>
    <row r="1596" spans="1:15" ht="15" customHeight="1" x14ac:dyDescent="0.3">
      <c r="A1596" s="23" t="s">
        <v>3677</v>
      </c>
      <c r="B1596" s="38">
        <v>46269</v>
      </c>
      <c r="C1596" s="23" t="s">
        <v>3678</v>
      </c>
      <c r="D1596" s="23" t="s">
        <v>93</v>
      </c>
      <c r="E1596" s="23" t="s">
        <v>77</v>
      </c>
      <c r="F1596" s="23" t="s">
        <v>262</v>
      </c>
      <c r="G1596" s="23" t="s">
        <v>250</v>
      </c>
      <c r="H1596" s="39">
        <f t="shared" si="96"/>
        <v>499</v>
      </c>
      <c r="I1596" s="23" t="str">
        <f t="shared" si="97"/>
        <v>Kolkata</v>
      </c>
      <c r="J1596" s="23">
        <f>COUNTIFS(pg_transaction_cleaned!$O:$O,A1596,pg_transaction_cleaned!$F:$F,"CAPTURE")</f>
        <v>1</v>
      </c>
      <c r="K1596" s="39">
        <f>SUMIFS(pg_transaction_cleaned!$H:$H,pg_transaction_cleaned!$O:$O,A1596,pg_transaction_cleaned!$F:$F,"CAPTURE")</f>
        <v>499</v>
      </c>
      <c r="L1596" s="23">
        <f>COUNTIFS(pg_transaction_cleaned!$O:$O,A1596,pg_transaction_cleaned!$F:$F,"REFUND")</f>
        <v>0</v>
      </c>
      <c r="M1596" s="39">
        <f>SUMIFS(pg_transaction_cleaned!$H:$H,pg_transaction_cleaned!$O:$O,A1596,pg_transaction_cleaned!$F:$F,"REFUND")</f>
        <v>0</v>
      </c>
      <c r="N1596" s="23" t="str">
        <f t="shared" si="98"/>
        <v>OK</v>
      </c>
      <c r="O1596" s="24">
        <f t="shared" si="99"/>
        <v>0</v>
      </c>
    </row>
    <row r="1597" spans="1:15" ht="15" customHeight="1" x14ac:dyDescent="0.3">
      <c r="A1597" s="23" t="s">
        <v>3679</v>
      </c>
      <c r="B1597" s="38">
        <v>46272</v>
      </c>
      <c r="C1597" s="23" t="s">
        <v>3680</v>
      </c>
      <c r="D1597" s="23" t="s">
        <v>95</v>
      </c>
      <c r="E1597" s="23" t="s">
        <v>77</v>
      </c>
      <c r="F1597" s="23" t="s">
        <v>754</v>
      </c>
      <c r="G1597" s="23" t="s">
        <v>250</v>
      </c>
      <c r="H1597" s="39">
        <f t="shared" si="96"/>
        <v>1348</v>
      </c>
      <c r="I1597" s="23" t="str">
        <f t="shared" si="97"/>
        <v>Bengaluru</v>
      </c>
      <c r="J1597" s="23">
        <f>COUNTIFS(pg_transaction_cleaned!$O:$O,A1597,pg_transaction_cleaned!$F:$F,"CAPTURE")</f>
        <v>1</v>
      </c>
      <c r="K1597" s="39">
        <f>SUMIFS(pg_transaction_cleaned!$H:$H,pg_transaction_cleaned!$O:$O,A1597,pg_transaction_cleaned!$F:$F,"CAPTURE")</f>
        <v>1348</v>
      </c>
      <c r="L1597" s="23">
        <f>COUNTIFS(pg_transaction_cleaned!$O:$O,A1597,pg_transaction_cleaned!$F:$F,"REFUND")</f>
        <v>0</v>
      </c>
      <c r="M1597" s="39">
        <f>SUMIFS(pg_transaction_cleaned!$H:$H,pg_transaction_cleaned!$O:$O,A1597,pg_transaction_cleaned!$F:$F,"REFUND")</f>
        <v>0</v>
      </c>
      <c r="N1597" s="23" t="str">
        <f t="shared" si="98"/>
        <v>OK</v>
      </c>
      <c r="O1597" s="24">
        <f t="shared" si="99"/>
        <v>0</v>
      </c>
    </row>
    <row r="1598" spans="1:15" ht="15" customHeight="1" x14ac:dyDescent="0.3">
      <c r="A1598" s="23" t="s">
        <v>3681</v>
      </c>
      <c r="B1598" s="38">
        <v>46288</v>
      </c>
      <c r="C1598" s="23" t="s">
        <v>3682</v>
      </c>
      <c r="D1598" s="23" t="s">
        <v>86</v>
      </c>
      <c r="E1598" s="23" t="s">
        <v>75</v>
      </c>
      <c r="F1598" s="23" t="s">
        <v>2921</v>
      </c>
      <c r="G1598" s="23" t="s">
        <v>250</v>
      </c>
      <c r="H1598" s="39">
        <f t="shared" si="96"/>
        <v>2647</v>
      </c>
      <c r="I1598" s="23" t="str">
        <f t="shared" si="97"/>
        <v>Delhi</v>
      </c>
      <c r="J1598" s="23">
        <f>COUNTIFS(pg_transaction_cleaned!$O:$O,A1598,pg_transaction_cleaned!$F:$F,"CAPTURE")</f>
        <v>1</v>
      </c>
      <c r="K1598" s="39">
        <f>SUMIFS(pg_transaction_cleaned!$H:$H,pg_transaction_cleaned!$O:$O,A1598,pg_transaction_cleaned!$F:$F,"CAPTURE")</f>
        <v>2647</v>
      </c>
      <c r="L1598" s="23">
        <f>COUNTIFS(pg_transaction_cleaned!$O:$O,A1598,pg_transaction_cleaned!$F:$F,"REFUND")</f>
        <v>0</v>
      </c>
      <c r="M1598" s="39">
        <f>SUMIFS(pg_transaction_cleaned!$H:$H,pg_transaction_cleaned!$O:$O,A1598,pg_transaction_cleaned!$F:$F,"REFUND")</f>
        <v>0</v>
      </c>
      <c r="N1598" s="23" t="str">
        <f t="shared" si="98"/>
        <v>OK</v>
      </c>
      <c r="O1598" s="24">
        <f t="shared" si="99"/>
        <v>0</v>
      </c>
    </row>
    <row r="1599" spans="1:15" ht="15" customHeight="1" x14ac:dyDescent="0.3">
      <c r="A1599" s="23" t="s">
        <v>3683</v>
      </c>
      <c r="B1599" s="38">
        <v>46286</v>
      </c>
      <c r="C1599" s="23" t="s">
        <v>3684</v>
      </c>
      <c r="D1599" s="23" t="s">
        <v>87</v>
      </c>
      <c r="E1599" s="23" t="s">
        <v>77</v>
      </c>
      <c r="F1599" s="23" t="s">
        <v>265</v>
      </c>
      <c r="G1599" s="23" t="s">
        <v>250</v>
      </c>
      <c r="H1599" s="39">
        <f t="shared" si="96"/>
        <v>999</v>
      </c>
      <c r="I1599" s="23" t="str">
        <f t="shared" si="97"/>
        <v>Mumbai</v>
      </c>
      <c r="J1599" s="23">
        <f>COUNTIFS(pg_transaction_cleaned!$O:$O,A1599,pg_transaction_cleaned!$F:$F,"CAPTURE")</f>
        <v>1</v>
      </c>
      <c r="K1599" s="39">
        <f>SUMIFS(pg_transaction_cleaned!$H:$H,pg_transaction_cleaned!$O:$O,A1599,pg_transaction_cleaned!$F:$F,"CAPTURE")</f>
        <v>999</v>
      </c>
      <c r="L1599" s="23">
        <f>COUNTIFS(pg_transaction_cleaned!$O:$O,A1599,pg_transaction_cleaned!$F:$F,"REFUND")</f>
        <v>0</v>
      </c>
      <c r="M1599" s="39">
        <f>SUMIFS(pg_transaction_cleaned!$H:$H,pg_transaction_cleaned!$O:$O,A1599,pg_transaction_cleaned!$F:$F,"REFUND")</f>
        <v>0</v>
      </c>
      <c r="N1599" s="23" t="str">
        <f t="shared" si="98"/>
        <v>OK</v>
      </c>
      <c r="O1599" s="24">
        <f t="shared" si="99"/>
        <v>0</v>
      </c>
    </row>
    <row r="1600" spans="1:15" ht="15" customHeight="1" x14ac:dyDescent="0.3">
      <c r="A1600" s="23" t="s">
        <v>3685</v>
      </c>
      <c r="B1600" s="38">
        <v>46295</v>
      </c>
      <c r="C1600" s="23" t="s">
        <v>3686</v>
      </c>
      <c r="D1600" s="23" t="s">
        <v>95</v>
      </c>
      <c r="E1600" s="23" t="s">
        <v>75</v>
      </c>
      <c r="F1600" s="23" t="s">
        <v>297</v>
      </c>
      <c r="G1600" s="23" t="s">
        <v>250</v>
      </c>
      <c r="H1600" s="39">
        <f t="shared" si="96"/>
        <v>4999</v>
      </c>
      <c r="I1600" s="23" t="str">
        <f t="shared" si="97"/>
        <v>Bengaluru</v>
      </c>
      <c r="J1600" s="23">
        <f>COUNTIFS(pg_transaction_cleaned!$O:$O,A1600,pg_transaction_cleaned!$F:$F,"CAPTURE")</f>
        <v>1</v>
      </c>
      <c r="K1600" s="39">
        <f>SUMIFS(pg_transaction_cleaned!$H:$H,pg_transaction_cleaned!$O:$O,A1600,pg_transaction_cleaned!$F:$F,"CAPTURE")</f>
        <v>4999</v>
      </c>
      <c r="L1600" s="23">
        <f>COUNTIFS(pg_transaction_cleaned!$O:$O,A1600,pg_transaction_cleaned!$F:$F,"REFUND")</f>
        <v>0</v>
      </c>
      <c r="M1600" s="39">
        <f>SUMIFS(pg_transaction_cleaned!$H:$H,pg_transaction_cleaned!$O:$O,A1600,pg_transaction_cleaned!$F:$F,"REFUND")</f>
        <v>0</v>
      </c>
      <c r="N1600" s="23" t="str">
        <f t="shared" si="98"/>
        <v>OK</v>
      </c>
      <c r="O1600" s="24">
        <f t="shared" si="99"/>
        <v>0</v>
      </c>
    </row>
    <row r="1601" spans="1:15" ht="15" customHeight="1" x14ac:dyDescent="0.3">
      <c r="A1601" s="23" t="s">
        <v>3687</v>
      </c>
      <c r="B1601" s="38">
        <v>46293</v>
      </c>
      <c r="C1601" s="23" t="s">
        <v>3688</v>
      </c>
      <c r="D1601" s="23" t="s">
        <v>86</v>
      </c>
      <c r="E1601" s="23" t="s">
        <v>75</v>
      </c>
      <c r="F1601" s="23" t="s">
        <v>297</v>
      </c>
      <c r="G1601" s="23" t="s">
        <v>250</v>
      </c>
      <c r="H1601" s="39">
        <f t="shared" si="96"/>
        <v>4999</v>
      </c>
      <c r="I1601" s="23" t="str">
        <f t="shared" si="97"/>
        <v>Delhi</v>
      </c>
      <c r="J1601" s="23">
        <f>COUNTIFS(pg_transaction_cleaned!$O:$O,A1601,pg_transaction_cleaned!$F:$F,"CAPTURE")</f>
        <v>1</v>
      </c>
      <c r="K1601" s="39">
        <f>SUMIFS(pg_transaction_cleaned!$H:$H,pg_transaction_cleaned!$O:$O,A1601,pg_transaction_cleaned!$F:$F,"CAPTURE")</f>
        <v>4999</v>
      </c>
      <c r="L1601" s="23">
        <f>COUNTIFS(pg_transaction_cleaned!$O:$O,A1601,pg_transaction_cleaned!$F:$F,"REFUND")</f>
        <v>0</v>
      </c>
      <c r="M1601" s="39">
        <f>SUMIFS(pg_transaction_cleaned!$H:$H,pg_transaction_cleaned!$O:$O,A1601,pg_transaction_cleaned!$F:$F,"REFUND")</f>
        <v>0</v>
      </c>
      <c r="N1601" s="23" t="str">
        <f t="shared" si="98"/>
        <v>OK</v>
      </c>
      <c r="O1601" s="24">
        <f t="shared" si="99"/>
        <v>0</v>
      </c>
    </row>
    <row r="1602" spans="1:15" ht="15" customHeight="1" x14ac:dyDescent="0.3">
      <c r="A1602" s="23" t="s">
        <v>3689</v>
      </c>
      <c r="B1602" s="38">
        <v>46268</v>
      </c>
      <c r="C1602" s="23" t="s">
        <v>3690</v>
      </c>
      <c r="D1602" s="23" t="s">
        <v>93</v>
      </c>
      <c r="E1602" s="23" t="s">
        <v>75</v>
      </c>
      <c r="F1602" s="23" t="s">
        <v>274</v>
      </c>
      <c r="G1602" s="23" t="s">
        <v>250</v>
      </c>
      <c r="H1602" s="39">
        <f t="shared" ref="H1602:H1665" si="100">VALUE(SUBSTITUTE(F1602,",",""))</f>
        <v>349</v>
      </c>
      <c r="I1602" s="23" t="str">
        <f t="shared" ref="I1602:I1665" si="101">IF(TRIM(D1602)="","Unknown",TRIM(D1602))</f>
        <v>Kolkata</v>
      </c>
      <c r="J1602" s="23">
        <f>COUNTIFS(pg_transaction_cleaned!$O:$O,A1602,pg_transaction_cleaned!$F:$F,"CAPTURE")</f>
        <v>1</v>
      </c>
      <c r="K1602" s="39">
        <f>SUMIFS(pg_transaction_cleaned!$H:$H,pg_transaction_cleaned!$O:$O,A1602,pg_transaction_cleaned!$F:$F,"CAPTURE")</f>
        <v>349</v>
      </c>
      <c r="L1602" s="23">
        <f>COUNTIFS(pg_transaction_cleaned!$O:$O,A1602,pg_transaction_cleaned!$F:$F,"REFUND")</f>
        <v>0</v>
      </c>
      <c r="M1602" s="39">
        <f>SUMIFS(pg_transaction_cleaned!$H:$H,pg_transaction_cleaned!$O:$O,A1602,pg_transaction_cleaned!$F:$F,"REFUND")</f>
        <v>0</v>
      </c>
      <c r="N1602" s="23" t="str">
        <f t="shared" ref="N1602:N1665" si="102">IF(AND(G1602="Paid",J1602=0),"Paid, no payment",IF(AND(OR(G1602="Failed",G1602="Cancelled"),J1602&gt;0),"Payment on failed/cancelled",IF(J1602&gt;1,"Duplicate charge",IF(AND(J1602=1,ROUND(K1602-H1602,2)&lt;&gt;0),"Amount difference",IF(AND(G1602="Refunded",L1602=0),"Refunded, no refund",IF(AND(G1602&lt;&gt;"Refunded",L1602&gt;0),"Refund, order not Refunded",IF(AND(L1602&gt;0,ROUND(M1602-H1602,2)&lt;&gt;0),"Refund amount differs","OK")))))))</f>
        <v>OK</v>
      </c>
      <c r="O1602" s="24">
        <f t="shared" ref="O1602:O1665" si="103">IF(N1602="OK",0,IF(N1602="Paid, no payment",H1602,IF(N1602="Payment on failed/cancelled",K1602,IF(OR(N1602="Duplicate charge",N1602="Amount difference"),K1602-H1602,IF(N1602="Refunded, no refund",H1602,M1602)))))</f>
        <v>0</v>
      </c>
    </row>
    <row r="1603" spans="1:15" ht="15" customHeight="1" x14ac:dyDescent="0.3">
      <c r="A1603" s="23" t="s">
        <v>3691</v>
      </c>
      <c r="B1603" s="38">
        <v>46282</v>
      </c>
      <c r="C1603" s="23" t="s">
        <v>3692</v>
      </c>
      <c r="D1603" s="23" t="s">
        <v>91</v>
      </c>
      <c r="E1603" s="23" t="s">
        <v>75</v>
      </c>
      <c r="F1603" s="23" t="s">
        <v>396</v>
      </c>
      <c r="G1603" s="23" t="s">
        <v>365</v>
      </c>
      <c r="H1603" s="39">
        <f t="shared" si="100"/>
        <v>2999</v>
      </c>
      <c r="I1603" s="23" t="str">
        <f t="shared" si="101"/>
        <v>Pune</v>
      </c>
      <c r="J1603" s="23">
        <f>COUNTIFS(pg_transaction_cleaned!$O:$O,A1603,pg_transaction_cleaned!$F:$F,"CAPTURE")</f>
        <v>0</v>
      </c>
      <c r="K1603" s="39">
        <f>SUMIFS(pg_transaction_cleaned!$H:$H,pg_transaction_cleaned!$O:$O,A1603,pg_transaction_cleaned!$F:$F,"CAPTURE")</f>
        <v>0</v>
      </c>
      <c r="L1603" s="23">
        <f>COUNTIFS(pg_transaction_cleaned!$O:$O,A1603,pg_transaction_cleaned!$F:$F,"REFUND")</f>
        <v>0</v>
      </c>
      <c r="M1603" s="39">
        <f>SUMIFS(pg_transaction_cleaned!$H:$H,pg_transaction_cleaned!$O:$O,A1603,pg_transaction_cleaned!$F:$F,"REFUND")</f>
        <v>0</v>
      </c>
      <c r="N1603" s="23" t="str">
        <f t="shared" si="102"/>
        <v>OK</v>
      </c>
      <c r="O1603" s="24">
        <f t="shared" si="103"/>
        <v>0</v>
      </c>
    </row>
    <row r="1604" spans="1:15" ht="15" customHeight="1" x14ac:dyDescent="0.3">
      <c r="A1604" s="23" t="s">
        <v>3693</v>
      </c>
      <c r="B1604" s="38">
        <v>46294</v>
      </c>
      <c r="C1604" s="23" t="s">
        <v>3694</v>
      </c>
      <c r="D1604" s="23" t="s">
        <v>90</v>
      </c>
      <c r="E1604" s="23" t="s">
        <v>75</v>
      </c>
      <c r="F1604" s="23" t="s">
        <v>499</v>
      </c>
      <c r="G1604" s="23" t="s">
        <v>250</v>
      </c>
      <c r="H1604" s="39">
        <f t="shared" si="100"/>
        <v>5998</v>
      </c>
      <c r="I1604" s="23" t="str">
        <f t="shared" si="101"/>
        <v>Ahmedabad</v>
      </c>
      <c r="J1604" s="23">
        <f>COUNTIFS(pg_transaction_cleaned!$O:$O,A1604,pg_transaction_cleaned!$F:$F,"CAPTURE")</f>
        <v>1</v>
      </c>
      <c r="K1604" s="39">
        <f>SUMIFS(pg_transaction_cleaned!$H:$H,pg_transaction_cleaned!$O:$O,A1604,pg_transaction_cleaned!$F:$F,"CAPTURE")</f>
        <v>5998</v>
      </c>
      <c r="L1604" s="23">
        <f>COUNTIFS(pg_transaction_cleaned!$O:$O,A1604,pg_transaction_cleaned!$F:$F,"REFUND")</f>
        <v>0</v>
      </c>
      <c r="M1604" s="39">
        <f>SUMIFS(pg_transaction_cleaned!$H:$H,pg_transaction_cleaned!$O:$O,A1604,pg_transaction_cleaned!$F:$F,"REFUND")</f>
        <v>0</v>
      </c>
      <c r="N1604" s="23" t="str">
        <f t="shared" si="102"/>
        <v>OK</v>
      </c>
      <c r="O1604" s="24">
        <f t="shared" si="103"/>
        <v>0</v>
      </c>
    </row>
    <row r="1605" spans="1:15" ht="15" customHeight="1" x14ac:dyDescent="0.3">
      <c r="A1605" s="23" t="s">
        <v>3695</v>
      </c>
      <c r="B1605" s="38">
        <v>46281</v>
      </c>
      <c r="C1605" s="23" t="s">
        <v>3696</v>
      </c>
      <c r="D1605" s="23" t="s">
        <v>88</v>
      </c>
      <c r="E1605" s="23" t="s">
        <v>79</v>
      </c>
      <c r="F1605" s="23" t="s">
        <v>612</v>
      </c>
      <c r="G1605" s="23" t="s">
        <v>250</v>
      </c>
      <c r="H1605" s="39">
        <f t="shared" si="100"/>
        <v>8498</v>
      </c>
      <c r="I1605" s="23" t="str">
        <f t="shared" si="101"/>
        <v>Lucknow</v>
      </c>
      <c r="J1605" s="23">
        <f>COUNTIFS(pg_transaction_cleaned!$O:$O,A1605,pg_transaction_cleaned!$F:$F,"CAPTURE")</f>
        <v>1</v>
      </c>
      <c r="K1605" s="39">
        <f>SUMIFS(pg_transaction_cleaned!$H:$H,pg_transaction_cleaned!$O:$O,A1605,pg_transaction_cleaned!$F:$F,"CAPTURE")</f>
        <v>8498</v>
      </c>
      <c r="L1605" s="23">
        <f>COUNTIFS(pg_transaction_cleaned!$O:$O,A1605,pg_transaction_cleaned!$F:$F,"REFUND")</f>
        <v>0</v>
      </c>
      <c r="M1605" s="39">
        <f>SUMIFS(pg_transaction_cleaned!$H:$H,pg_transaction_cleaned!$O:$O,A1605,pg_transaction_cleaned!$F:$F,"REFUND")</f>
        <v>0</v>
      </c>
      <c r="N1605" s="23" t="str">
        <f t="shared" si="102"/>
        <v>OK</v>
      </c>
      <c r="O1605" s="24">
        <f t="shared" si="103"/>
        <v>0</v>
      </c>
    </row>
    <row r="1606" spans="1:15" ht="15" customHeight="1" x14ac:dyDescent="0.3">
      <c r="A1606" s="23" t="s">
        <v>3697</v>
      </c>
      <c r="B1606" s="38">
        <v>46278</v>
      </c>
      <c r="C1606" s="23" t="s">
        <v>3698</v>
      </c>
      <c r="D1606" s="23" t="s">
        <v>88</v>
      </c>
      <c r="E1606" s="23" t="s">
        <v>79</v>
      </c>
      <c r="F1606" s="23" t="s">
        <v>294</v>
      </c>
      <c r="G1606" s="23" t="s">
        <v>250</v>
      </c>
      <c r="H1606" s="39">
        <f t="shared" si="100"/>
        <v>1799</v>
      </c>
      <c r="I1606" s="23" t="str">
        <f t="shared" si="101"/>
        <v>Lucknow</v>
      </c>
      <c r="J1606" s="23">
        <f>COUNTIFS(pg_transaction_cleaned!$O:$O,A1606,pg_transaction_cleaned!$F:$F,"CAPTURE")</f>
        <v>1</v>
      </c>
      <c r="K1606" s="39">
        <f>SUMIFS(pg_transaction_cleaned!$H:$H,pg_transaction_cleaned!$O:$O,A1606,pg_transaction_cleaned!$F:$F,"CAPTURE")</f>
        <v>1799</v>
      </c>
      <c r="L1606" s="23">
        <f>COUNTIFS(pg_transaction_cleaned!$O:$O,A1606,pg_transaction_cleaned!$F:$F,"REFUND")</f>
        <v>0</v>
      </c>
      <c r="M1606" s="39">
        <f>SUMIFS(pg_transaction_cleaned!$H:$H,pg_transaction_cleaned!$O:$O,A1606,pg_transaction_cleaned!$F:$F,"REFUND")</f>
        <v>0</v>
      </c>
      <c r="N1606" s="23" t="str">
        <f t="shared" si="102"/>
        <v>OK</v>
      </c>
      <c r="O1606" s="24">
        <f t="shared" si="103"/>
        <v>0</v>
      </c>
    </row>
    <row r="1607" spans="1:15" ht="15" customHeight="1" x14ac:dyDescent="0.3">
      <c r="A1607" s="23" t="s">
        <v>3699</v>
      </c>
      <c r="B1607" s="38">
        <v>46285</v>
      </c>
      <c r="C1607" s="23" t="s">
        <v>3700</v>
      </c>
      <c r="D1607" s="23" t="s">
        <v>87</v>
      </c>
      <c r="E1607" s="23" t="s">
        <v>81</v>
      </c>
      <c r="F1607" s="23" t="s">
        <v>265</v>
      </c>
      <c r="G1607" s="23" t="s">
        <v>250</v>
      </c>
      <c r="H1607" s="39">
        <f t="shared" si="100"/>
        <v>999</v>
      </c>
      <c r="I1607" s="23" t="str">
        <f t="shared" si="101"/>
        <v>Mumbai</v>
      </c>
      <c r="J1607" s="23">
        <f>COUNTIFS(pg_transaction_cleaned!$O:$O,A1607,pg_transaction_cleaned!$F:$F,"CAPTURE")</f>
        <v>1</v>
      </c>
      <c r="K1607" s="39">
        <f>SUMIFS(pg_transaction_cleaned!$H:$H,pg_transaction_cleaned!$O:$O,A1607,pg_transaction_cleaned!$F:$F,"CAPTURE")</f>
        <v>999</v>
      </c>
      <c r="L1607" s="23">
        <f>COUNTIFS(pg_transaction_cleaned!$O:$O,A1607,pg_transaction_cleaned!$F:$F,"REFUND")</f>
        <v>0</v>
      </c>
      <c r="M1607" s="39">
        <f>SUMIFS(pg_transaction_cleaned!$H:$H,pg_transaction_cleaned!$O:$O,A1607,pg_transaction_cleaned!$F:$F,"REFUND")</f>
        <v>0</v>
      </c>
      <c r="N1607" s="23" t="str">
        <f t="shared" si="102"/>
        <v>OK</v>
      </c>
      <c r="O1607" s="24">
        <f t="shared" si="103"/>
        <v>0</v>
      </c>
    </row>
    <row r="1608" spans="1:15" ht="15" customHeight="1" x14ac:dyDescent="0.3">
      <c r="A1608" s="23" t="s">
        <v>3701</v>
      </c>
      <c r="B1608" s="38">
        <v>46270</v>
      </c>
      <c r="C1608" s="23" t="s">
        <v>3702</v>
      </c>
      <c r="D1608" s="23" t="s">
        <v>93</v>
      </c>
      <c r="E1608" s="23" t="s">
        <v>75</v>
      </c>
      <c r="F1608" s="23" t="s">
        <v>460</v>
      </c>
      <c r="G1608" s="23" t="s">
        <v>250</v>
      </c>
      <c r="H1608" s="39">
        <f t="shared" si="100"/>
        <v>1998</v>
      </c>
      <c r="I1608" s="23" t="str">
        <f t="shared" si="101"/>
        <v>Kolkata</v>
      </c>
      <c r="J1608" s="23">
        <f>COUNTIFS(pg_transaction_cleaned!$O:$O,A1608,pg_transaction_cleaned!$F:$F,"CAPTURE")</f>
        <v>1</v>
      </c>
      <c r="K1608" s="39">
        <f>SUMIFS(pg_transaction_cleaned!$H:$H,pg_transaction_cleaned!$O:$O,A1608,pg_transaction_cleaned!$F:$F,"CAPTURE")</f>
        <v>1998</v>
      </c>
      <c r="L1608" s="23">
        <f>COUNTIFS(pg_transaction_cleaned!$O:$O,A1608,pg_transaction_cleaned!$F:$F,"REFUND")</f>
        <v>0</v>
      </c>
      <c r="M1608" s="39">
        <f>SUMIFS(pg_transaction_cleaned!$H:$H,pg_transaction_cleaned!$O:$O,A1608,pg_transaction_cleaned!$F:$F,"REFUND")</f>
        <v>0</v>
      </c>
      <c r="N1608" s="23" t="str">
        <f t="shared" si="102"/>
        <v>OK</v>
      </c>
      <c r="O1608" s="24">
        <f t="shared" si="103"/>
        <v>0</v>
      </c>
    </row>
    <row r="1609" spans="1:15" ht="15" customHeight="1" x14ac:dyDescent="0.3">
      <c r="A1609" s="23" t="s">
        <v>3703</v>
      </c>
      <c r="B1609" s="38">
        <v>46274</v>
      </c>
      <c r="C1609" s="23" t="s">
        <v>3704</v>
      </c>
      <c r="D1609" s="23" t="s">
        <v>90</v>
      </c>
      <c r="E1609" s="23" t="s">
        <v>77</v>
      </c>
      <c r="F1609" s="23" t="s">
        <v>307</v>
      </c>
      <c r="G1609" s="23" t="s">
        <v>301</v>
      </c>
      <c r="H1609" s="39">
        <f t="shared" si="100"/>
        <v>3798</v>
      </c>
      <c r="I1609" s="23" t="str">
        <f t="shared" si="101"/>
        <v>Ahmedabad</v>
      </c>
      <c r="J1609" s="23">
        <f>COUNTIFS(pg_transaction_cleaned!$O:$O,A1609,pg_transaction_cleaned!$F:$F,"CAPTURE")</f>
        <v>1</v>
      </c>
      <c r="K1609" s="39">
        <f>SUMIFS(pg_transaction_cleaned!$H:$H,pg_transaction_cleaned!$O:$O,A1609,pg_transaction_cleaned!$F:$F,"CAPTURE")</f>
        <v>3798</v>
      </c>
      <c r="L1609" s="23">
        <f>COUNTIFS(pg_transaction_cleaned!$O:$O,A1609,pg_transaction_cleaned!$F:$F,"REFUND")</f>
        <v>1</v>
      </c>
      <c r="M1609" s="39">
        <f>SUMIFS(pg_transaction_cleaned!$H:$H,pg_transaction_cleaned!$O:$O,A1609,pg_transaction_cleaned!$F:$F,"REFUND")</f>
        <v>3798</v>
      </c>
      <c r="N1609" s="23" t="str">
        <f t="shared" si="102"/>
        <v>OK</v>
      </c>
      <c r="O1609" s="24">
        <f t="shared" si="103"/>
        <v>0</v>
      </c>
    </row>
    <row r="1610" spans="1:15" ht="15" customHeight="1" x14ac:dyDescent="0.3">
      <c r="A1610" s="23" t="s">
        <v>3705</v>
      </c>
      <c r="B1610" s="38">
        <v>46286</v>
      </c>
      <c r="C1610" s="23" t="s">
        <v>3706</v>
      </c>
      <c r="D1610" s="23" t="s">
        <v>89</v>
      </c>
      <c r="E1610" s="23" t="s">
        <v>77</v>
      </c>
      <c r="F1610" s="23" t="s">
        <v>352</v>
      </c>
      <c r="G1610" s="23" t="s">
        <v>250</v>
      </c>
      <c r="H1610" s="39">
        <f t="shared" si="100"/>
        <v>648</v>
      </c>
      <c r="I1610" s="23" t="str">
        <f t="shared" si="101"/>
        <v>Jaipur</v>
      </c>
      <c r="J1610" s="23">
        <f>COUNTIFS(pg_transaction_cleaned!$O:$O,A1610,pg_transaction_cleaned!$F:$F,"CAPTURE")</f>
        <v>0</v>
      </c>
      <c r="K1610" s="39">
        <f>SUMIFS(pg_transaction_cleaned!$H:$H,pg_transaction_cleaned!$O:$O,A1610,pg_transaction_cleaned!$F:$F,"CAPTURE")</f>
        <v>0</v>
      </c>
      <c r="L1610" s="23">
        <f>COUNTIFS(pg_transaction_cleaned!$O:$O,A1610,pg_transaction_cleaned!$F:$F,"REFUND")</f>
        <v>0</v>
      </c>
      <c r="M1610" s="39">
        <f>SUMIFS(pg_transaction_cleaned!$H:$H,pg_transaction_cleaned!$O:$O,A1610,pg_transaction_cleaned!$F:$F,"REFUND")</f>
        <v>0</v>
      </c>
      <c r="N1610" s="23" t="str">
        <f t="shared" si="102"/>
        <v>Paid, no payment</v>
      </c>
      <c r="O1610" s="24">
        <f t="shared" si="103"/>
        <v>648</v>
      </c>
    </row>
    <row r="1611" spans="1:15" ht="15" customHeight="1" x14ac:dyDescent="0.3">
      <c r="A1611" s="23" t="s">
        <v>3707</v>
      </c>
      <c r="B1611" s="38">
        <v>46290</v>
      </c>
      <c r="C1611" s="23" t="s">
        <v>3708</v>
      </c>
      <c r="D1611" s="23" t="s">
        <v>88</v>
      </c>
      <c r="E1611" s="23" t="s">
        <v>75</v>
      </c>
      <c r="F1611" s="23" t="s">
        <v>271</v>
      </c>
      <c r="G1611" s="23" t="s">
        <v>250</v>
      </c>
      <c r="H1611" s="39">
        <f t="shared" si="100"/>
        <v>2499</v>
      </c>
      <c r="I1611" s="23" t="str">
        <f t="shared" si="101"/>
        <v>Lucknow</v>
      </c>
      <c r="J1611" s="23">
        <f>COUNTIFS(pg_transaction_cleaned!$O:$O,A1611,pg_transaction_cleaned!$F:$F,"CAPTURE")</f>
        <v>1</v>
      </c>
      <c r="K1611" s="39">
        <f>SUMIFS(pg_transaction_cleaned!$H:$H,pg_transaction_cleaned!$O:$O,A1611,pg_transaction_cleaned!$F:$F,"CAPTURE")</f>
        <v>2499</v>
      </c>
      <c r="L1611" s="23">
        <f>COUNTIFS(pg_transaction_cleaned!$O:$O,A1611,pg_transaction_cleaned!$F:$F,"REFUND")</f>
        <v>0</v>
      </c>
      <c r="M1611" s="39">
        <f>SUMIFS(pg_transaction_cleaned!$H:$H,pg_transaction_cleaned!$O:$O,A1611,pg_transaction_cleaned!$F:$F,"REFUND")</f>
        <v>0</v>
      </c>
      <c r="N1611" s="23" t="str">
        <f t="shared" si="102"/>
        <v>OK</v>
      </c>
      <c r="O1611" s="24">
        <f t="shared" si="103"/>
        <v>0</v>
      </c>
    </row>
    <row r="1612" spans="1:15" ht="15" customHeight="1" x14ac:dyDescent="0.3">
      <c r="A1612" s="23" t="s">
        <v>3709</v>
      </c>
      <c r="B1612" s="38">
        <v>46266</v>
      </c>
      <c r="C1612" s="23" t="s">
        <v>3710</v>
      </c>
      <c r="D1612" s="23" t="s">
        <v>89</v>
      </c>
      <c r="E1612" s="23" t="s">
        <v>75</v>
      </c>
      <c r="F1612" s="23" t="s">
        <v>310</v>
      </c>
      <c r="G1612" s="23" t="s">
        <v>250</v>
      </c>
      <c r="H1612" s="39">
        <f t="shared" si="100"/>
        <v>7999</v>
      </c>
      <c r="I1612" s="23" t="str">
        <f t="shared" si="101"/>
        <v>Jaipur</v>
      </c>
      <c r="J1612" s="23">
        <f>COUNTIFS(pg_transaction_cleaned!$O:$O,A1612,pg_transaction_cleaned!$F:$F,"CAPTURE")</f>
        <v>1</v>
      </c>
      <c r="K1612" s="39">
        <f>SUMIFS(pg_transaction_cleaned!$H:$H,pg_transaction_cleaned!$O:$O,A1612,pg_transaction_cleaned!$F:$F,"CAPTURE")</f>
        <v>7999</v>
      </c>
      <c r="L1612" s="23">
        <f>COUNTIFS(pg_transaction_cleaned!$O:$O,A1612,pg_transaction_cleaned!$F:$F,"REFUND")</f>
        <v>0</v>
      </c>
      <c r="M1612" s="39">
        <f>SUMIFS(pg_transaction_cleaned!$H:$H,pg_transaction_cleaned!$O:$O,A1612,pg_transaction_cleaned!$F:$F,"REFUND")</f>
        <v>0</v>
      </c>
      <c r="N1612" s="23" t="str">
        <f t="shared" si="102"/>
        <v>OK</v>
      </c>
      <c r="O1612" s="24">
        <f t="shared" si="103"/>
        <v>0</v>
      </c>
    </row>
    <row r="1613" spans="1:15" ht="15" customHeight="1" x14ac:dyDescent="0.3">
      <c r="A1613" s="23" t="s">
        <v>3711</v>
      </c>
      <c r="B1613" s="38">
        <v>46292</v>
      </c>
      <c r="C1613" s="23" t="s">
        <v>3712</v>
      </c>
      <c r="D1613" s="23" t="s">
        <v>93</v>
      </c>
      <c r="E1613" s="23" t="s">
        <v>77</v>
      </c>
      <c r="F1613" s="23" t="s">
        <v>291</v>
      </c>
      <c r="G1613" s="23" t="s">
        <v>250</v>
      </c>
      <c r="H1613" s="39">
        <f t="shared" si="100"/>
        <v>3499</v>
      </c>
      <c r="I1613" s="23" t="str">
        <f t="shared" si="101"/>
        <v>Kolkata</v>
      </c>
      <c r="J1613" s="23">
        <f>COUNTIFS(pg_transaction_cleaned!$O:$O,A1613,pg_transaction_cleaned!$F:$F,"CAPTURE")</f>
        <v>1</v>
      </c>
      <c r="K1613" s="39">
        <f>SUMIFS(pg_transaction_cleaned!$H:$H,pg_transaction_cleaned!$O:$O,A1613,pg_transaction_cleaned!$F:$F,"CAPTURE")</f>
        <v>3499</v>
      </c>
      <c r="L1613" s="23">
        <f>COUNTIFS(pg_transaction_cleaned!$O:$O,A1613,pg_transaction_cleaned!$F:$F,"REFUND")</f>
        <v>0</v>
      </c>
      <c r="M1613" s="39">
        <f>SUMIFS(pg_transaction_cleaned!$H:$H,pg_transaction_cleaned!$O:$O,A1613,pg_transaction_cleaned!$F:$F,"REFUND")</f>
        <v>0</v>
      </c>
      <c r="N1613" s="23" t="str">
        <f t="shared" si="102"/>
        <v>OK</v>
      </c>
      <c r="O1613" s="24">
        <f t="shared" si="103"/>
        <v>0</v>
      </c>
    </row>
    <row r="1614" spans="1:15" ht="15" customHeight="1" x14ac:dyDescent="0.3">
      <c r="A1614" s="23" t="s">
        <v>3713</v>
      </c>
      <c r="B1614" s="38">
        <v>46277</v>
      </c>
      <c r="C1614" s="23" t="s">
        <v>3714</v>
      </c>
      <c r="D1614" s="23" t="s">
        <v>91</v>
      </c>
      <c r="E1614" s="23" t="s">
        <v>75</v>
      </c>
      <c r="F1614" s="23" t="s">
        <v>310</v>
      </c>
      <c r="G1614" s="23" t="s">
        <v>250</v>
      </c>
      <c r="H1614" s="39">
        <f t="shared" si="100"/>
        <v>7999</v>
      </c>
      <c r="I1614" s="23" t="str">
        <f t="shared" si="101"/>
        <v>Pune</v>
      </c>
      <c r="J1614" s="23">
        <f>COUNTIFS(pg_transaction_cleaned!$O:$O,A1614,pg_transaction_cleaned!$F:$F,"CAPTURE")</f>
        <v>1</v>
      </c>
      <c r="K1614" s="39">
        <f>SUMIFS(pg_transaction_cleaned!$H:$H,pg_transaction_cleaned!$O:$O,A1614,pg_transaction_cleaned!$F:$F,"CAPTURE")</f>
        <v>7999</v>
      </c>
      <c r="L1614" s="23">
        <f>COUNTIFS(pg_transaction_cleaned!$O:$O,A1614,pg_transaction_cleaned!$F:$F,"REFUND")</f>
        <v>0</v>
      </c>
      <c r="M1614" s="39">
        <f>SUMIFS(pg_transaction_cleaned!$H:$H,pg_transaction_cleaned!$O:$O,A1614,pg_transaction_cleaned!$F:$F,"REFUND")</f>
        <v>0</v>
      </c>
      <c r="N1614" s="23" t="str">
        <f t="shared" si="102"/>
        <v>OK</v>
      </c>
      <c r="O1614" s="24">
        <f t="shared" si="103"/>
        <v>0</v>
      </c>
    </row>
    <row r="1615" spans="1:15" ht="15" customHeight="1" x14ac:dyDescent="0.3">
      <c r="A1615" s="23" t="s">
        <v>3715</v>
      </c>
      <c r="B1615" s="38">
        <v>46295</v>
      </c>
      <c r="C1615" s="23" t="s">
        <v>3716</v>
      </c>
      <c r="D1615" s="23" t="s">
        <v>86</v>
      </c>
      <c r="E1615" s="23" t="s">
        <v>75</v>
      </c>
      <c r="F1615" s="23" t="s">
        <v>315</v>
      </c>
      <c r="G1615" s="23" t="s">
        <v>250</v>
      </c>
      <c r="H1615" s="39">
        <f t="shared" si="100"/>
        <v>1499</v>
      </c>
      <c r="I1615" s="23" t="str">
        <f t="shared" si="101"/>
        <v>Delhi</v>
      </c>
      <c r="J1615" s="23">
        <f>COUNTIFS(pg_transaction_cleaned!$O:$O,A1615,pg_transaction_cleaned!$F:$F,"CAPTURE")</f>
        <v>1</v>
      </c>
      <c r="K1615" s="39">
        <f>SUMIFS(pg_transaction_cleaned!$H:$H,pg_transaction_cleaned!$O:$O,A1615,pg_transaction_cleaned!$F:$F,"CAPTURE")</f>
        <v>1499</v>
      </c>
      <c r="L1615" s="23">
        <f>COUNTIFS(pg_transaction_cleaned!$O:$O,A1615,pg_transaction_cleaned!$F:$F,"REFUND")</f>
        <v>0</v>
      </c>
      <c r="M1615" s="39">
        <f>SUMIFS(pg_transaction_cleaned!$H:$H,pg_transaction_cleaned!$O:$O,A1615,pg_transaction_cleaned!$F:$F,"REFUND")</f>
        <v>0</v>
      </c>
      <c r="N1615" s="23" t="str">
        <f t="shared" si="102"/>
        <v>OK</v>
      </c>
      <c r="O1615" s="24">
        <f t="shared" si="103"/>
        <v>0</v>
      </c>
    </row>
    <row r="1616" spans="1:15" ht="15" customHeight="1" x14ac:dyDescent="0.3">
      <c r="A1616" s="23" t="s">
        <v>3717</v>
      </c>
      <c r="B1616" s="38">
        <v>46283</v>
      </c>
      <c r="C1616" s="23" t="s">
        <v>3718</v>
      </c>
      <c r="D1616" s="23" t="s">
        <v>92</v>
      </c>
      <c r="E1616" s="23" t="s">
        <v>79</v>
      </c>
      <c r="F1616" s="23" t="s">
        <v>256</v>
      </c>
      <c r="G1616" s="23" t="s">
        <v>250</v>
      </c>
      <c r="H1616" s="39">
        <f t="shared" si="100"/>
        <v>2098</v>
      </c>
      <c r="I1616" s="23" t="str">
        <f t="shared" si="101"/>
        <v>Hyderabad</v>
      </c>
      <c r="J1616" s="23">
        <f>COUNTIFS(pg_transaction_cleaned!$O:$O,A1616,pg_transaction_cleaned!$F:$F,"CAPTURE")</f>
        <v>1</v>
      </c>
      <c r="K1616" s="39">
        <f>SUMIFS(pg_transaction_cleaned!$H:$H,pg_transaction_cleaned!$O:$O,A1616,pg_transaction_cleaned!$F:$F,"CAPTURE")</f>
        <v>2098</v>
      </c>
      <c r="L1616" s="23">
        <f>COUNTIFS(pg_transaction_cleaned!$O:$O,A1616,pg_transaction_cleaned!$F:$F,"REFUND")</f>
        <v>0</v>
      </c>
      <c r="M1616" s="39">
        <f>SUMIFS(pg_transaction_cleaned!$H:$H,pg_transaction_cleaned!$O:$O,A1616,pg_transaction_cleaned!$F:$F,"REFUND")</f>
        <v>0</v>
      </c>
      <c r="N1616" s="23" t="str">
        <f t="shared" si="102"/>
        <v>OK</v>
      </c>
      <c r="O1616" s="24">
        <f t="shared" si="103"/>
        <v>0</v>
      </c>
    </row>
    <row r="1617" spans="1:15" ht="15" customHeight="1" x14ac:dyDescent="0.3">
      <c r="A1617" s="23" t="s">
        <v>3719</v>
      </c>
      <c r="B1617" s="38">
        <v>46288</v>
      </c>
      <c r="C1617" s="23" t="s">
        <v>3720</v>
      </c>
      <c r="D1617" s="23" t="s">
        <v>91</v>
      </c>
      <c r="E1617" s="23" t="s">
        <v>81</v>
      </c>
      <c r="F1617" s="23" t="s">
        <v>2337</v>
      </c>
      <c r="G1617" s="23" t="s">
        <v>301</v>
      </c>
      <c r="H1617" s="39">
        <f t="shared" si="100"/>
        <v>8348</v>
      </c>
      <c r="I1617" s="23" t="str">
        <f t="shared" si="101"/>
        <v>Pune</v>
      </c>
      <c r="J1617" s="23">
        <f>COUNTIFS(pg_transaction_cleaned!$O:$O,A1617,pg_transaction_cleaned!$F:$F,"CAPTURE")</f>
        <v>1</v>
      </c>
      <c r="K1617" s="39">
        <f>SUMIFS(pg_transaction_cleaned!$H:$H,pg_transaction_cleaned!$O:$O,A1617,pg_transaction_cleaned!$F:$F,"CAPTURE")</f>
        <v>8348</v>
      </c>
      <c r="L1617" s="23">
        <f>COUNTIFS(pg_transaction_cleaned!$O:$O,A1617,pg_transaction_cleaned!$F:$F,"REFUND")</f>
        <v>1</v>
      </c>
      <c r="M1617" s="39">
        <f>SUMIFS(pg_transaction_cleaned!$H:$H,pg_transaction_cleaned!$O:$O,A1617,pg_transaction_cleaned!$F:$F,"REFUND")</f>
        <v>8348</v>
      </c>
      <c r="N1617" s="23" t="str">
        <f t="shared" si="102"/>
        <v>OK</v>
      </c>
      <c r="O1617" s="24">
        <f t="shared" si="103"/>
        <v>0</v>
      </c>
    </row>
    <row r="1618" spans="1:15" ht="15" customHeight="1" x14ac:dyDescent="0.3">
      <c r="A1618" s="23" t="s">
        <v>3721</v>
      </c>
      <c r="B1618" s="38">
        <v>46286</v>
      </c>
      <c r="C1618" s="23" t="s">
        <v>3722</v>
      </c>
      <c r="D1618" s="23" t="s">
        <v>89</v>
      </c>
      <c r="E1618" s="23" t="s">
        <v>75</v>
      </c>
      <c r="F1618" s="23" t="s">
        <v>271</v>
      </c>
      <c r="G1618" s="23" t="s">
        <v>318</v>
      </c>
      <c r="H1618" s="39">
        <f t="shared" si="100"/>
        <v>2499</v>
      </c>
      <c r="I1618" s="23" t="str">
        <f t="shared" si="101"/>
        <v>Jaipur</v>
      </c>
      <c r="J1618" s="23">
        <f>COUNTIFS(pg_transaction_cleaned!$O:$O,A1618,pg_transaction_cleaned!$F:$F,"CAPTURE")</f>
        <v>0</v>
      </c>
      <c r="K1618" s="39">
        <f>SUMIFS(pg_transaction_cleaned!$H:$H,pg_transaction_cleaned!$O:$O,A1618,pg_transaction_cleaned!$F:$F,"CAPTURE")</f>
        <v>0</v>
      </c>
      <c r="L1618" s="23">
        <f>COUNTIFS(pg_transaction_cleaned!$O:$O,A1618,pg_transaction_cleaned!$F:$F,"REFUND")</f>
        <v>0</v>
      </c>
      <c r="M1618" s="39">
        <f>SUMIFS(pg_transaction_cleaned!$H:$H,pg_transaction_cleaned!$O:$O,A1618,pg_transaction_cleaned!$F:$F,"REFUND")</f>
        <v>0</v>
      </c>
      <c r="N1618" s="23" t="str">
        <f t="shared" si="102"/>
        <v>OK</v>
      </c>
      <c r="O1618" s="24">
        <f t="shared" si="103"/>
        <v>0</v>
      </c>
    </row>
    <row r="1619" spans="1:15" ht="15" customHeight="1" x14ac:dyDescent="0.3">
      <c r="A1619" s="23" t="s">
        <v>3723</v>
      </c>
      <c r="B1619" s="38">
        <v>46269</v>
      </c>
      <c r="C1619" s="23" t="s">
        <v>3724</v>
      </c>
      <c r="D1619" s="23" t="s">
        <v>95</v>
      </c>
      <c r="E1619" s="23" t="s">
        <v>79</v>
      </c>
      <c r="F1619" s="23" t="s">
        <v>280</v>
      </c>
      <c r="G1619" s="23" t="s">
        <v>250</v>
      </c>
      <c r="H1619" s="39">
        <f t="shared" si="100"/>
        <v>5797</v>
      </c>
      <c r="I1619" s="23" t="str">
        <f t="shared" si="101"/>
        <v>Bengaluru</v>
      </c>
      <c r="J1619" s="23">
        <f>COUNTIFS(pg_transaction_cleaned!$O:$O,A1619,pg_transaction_cleaned!$F:$F,"CAPTURE")</f>
        <v>1</v>
      </c>
      <c r="K1619" s="39">
        <f>SUMIFS(pg_transaction_cleaned!$H:$H,pg_transaction_cleaned!$O:$O,A1619,pg_transaction_cleaned!$F:$F,"CAPTURE")</f>
        <v>5797</v>
      </c>
      <c r="L1619" s="23">
        <f>COUNTIFS(pg_transaction_cleaned!$O:$O,A1619,pg_transaction_cleaned!$F:$F,"REFUND")</f>
        <v>0</v>
      </c>
      <c r="M1619" s="39">
        <f>SUMIFS(pg_transaction_cleaned!$H:$H,pg_transaction_cleaned!$O:$O,A1619,pg_transaction_cleaned!$F:$F,"REFUND")</f>
        <v>0</v>
      </c>
      <c r="N1619" s="23" t="str">
        <f t="shared" si="102"/>
        <v>OK</v>
      </c>
      <c r="O1619" s="24">
        <f t="shared" si="103"/>
        <v>0</v>
      </c>
    </row>
    <row r="1620" spans="1:15" ht="15" customHeight="1" x14ac:dyDescent="0.3">
      <c r="A1620" s="23" t="s">
        <v>3725</v>
      </c>
      <c r="B1620" s="38">
        <v>46273</v>
      </c>
      <c r="C1620" s="23" t="s">
        <v>3726</v>
      </c>
      <c r="D1620" s="23" t="s">
        <v>94</v>
      </c>
      <c r="E1620" s="23" t="s">
        <v>81</v>
      </c>
      <c r="F1620" s="23" t="s">
        <v>370</v>
      </c>
      <c r="G1620" s="23" t="s">
        <v>250</v>
      </c>
      <c r="H1620" s="39">
        <f t="shared" si="100"/>
        <v>3098</v>
      </c>
      <c r="I1620" s="23" t="str">
        <f t="shared" si="101"/>
        <v>Chennai</v>
      </c>
      <c r="J1620" s="23">
        <f>COUNTIFS(pg_transaction_cleaned!$O:$O,A1620,pg_transaction_cleaned!$F:$F,"CAPTURE")</f>
        <v>1</v>
      </c>
      <c r="K1620" s="39">
        <f>SUMIFS(pg_transaction_cleaned!$H:$H,pg_transaction_cleaned!$O:$O,A1620,pg_transaction_cleaned!$F:$F,"CAPTURE")</f>
        <v>3098</v>
      </c>
      <c r="L1620" s="23">
        <f>COUNTIFS(pg_transaction_cleaned!$O:$O,A1620,pg_transaction_cleaned!$F:$F,"REFUND")</f>
        <v>0</v>
      </c>
      <c r="M1620" s="39">
        <f>SUMIFS(pg_transaction_cleaned!$H:$H,pg_transaction_cleaned!$O:$O,A1620,pg_transaction_cleaned!$F:$F,"REFUND")</f>
        <v>0</v>
      </c>
      <c r="N1620" s="23" t="str">
        <f t="shared" si="102"/>
        <v>OK</v>
      </c>
      <c r="O1620" s="24">
        <f t="shared" si="103"/>
        <v>0</v>
      </c>
    </row>
    <row r="1621" spans="1:15" ht="15" customHeight="1" x14ac:dyDescent="0.3">
      <c r="A1621" s="23" t="s">
        <v>3727</v>
      </c>
      <c r="B1621" s="38">
        <v>46291</v>
      </c>
      <c r="C1621" s="23" t="s">
        <v>3728</v>
      </c>
      <c r="D1621" s="23" t="s">
        <v>87</v>
      </c>
      <c r="E1621" s="23" t="s">
        <v>79</v>
      </c>
      <c r="F1621" s="23" t="s">
        <v>405</v>
      </c>
      <c r="G1621" s="23" t="s">
        <v>250</v>
      </c>
      <c r="H1621" s="39">
        <f t="shared" si="100"/>
        <v>9298</v>
      </c>
      <c r="I1621" s="23" t="str">
        <f t="shared" si="101"/>
        <v>Mumbai</v>
      </c>
      <c r="J1621" s="23">
        <f>COUNTIFS(pg_transaction_cleaned!$O:$O,A1621,pg_transaction_cleaned!$F:$F,"CAPTURE")</f>
        <v>1</v>
      </c>
      <c r="K1621" s="39">
        <f>SUMIFS(pg_transaction_cleaned!$H:$H,pg_transaction_cleaned!$O:$O,A1621,pg_transaction_cleaned!$F:$F,"CAPTURE")</f>
        <v>9298</v>
      </c>
      <c r="L1621" s="23">
        <f>COUNTIFS(pg_transaction_cleaned!$O:$O,A1621,pg_transaction_cleaned!$F:$F,"REFUND")</f>
        <v>0</v>
      </c>
      <c r="M1621" s="39">
        <f>SUMIFS(pg_transaction_cleaned!$H:$H,pg_transaction_cleaned!$O:$O,A1621,pg_transaction_cleaned!$F:$F,"REFUND")</f>
        <v>0</v>
      </c>
      <c r="N1621" s="23" t="str">
        <f t="shared" si="102"/>
        <v>OK</v>
      </c>
      <c r="O1621" s="24">
        <f t="shared" si="103"/>
        <v>0</v>
      </c>
    </row>
    <row r="1622" spans="1:15" ht="15" customHeight="1" x14ac:dyDescent="0.3">
      <c r="A1622" s="23" t="s">
        <v>3729</v>
      </c>
      <c r="B1622" s="38">
        <v>46277</v>
      </c>
      <c r="C1622" s="23" t="s">
        <v>3730</v>
      </c>
      <c r="D1622" s="23" t="s">
        <v>92</v>
      </c>
      <c r="E1622" s="23" t="s">
        <v>81</v>
      </c>
      <c r="F1622" s="23" t="s">
        <v>294</v>
      </c>
      <c r="G1622" s="23" t="s">
        <v>250</v>
      </c>
      <c r="H1622" s="39">
        <f t="shared" si="100"/>
        <v>1799</v>
      </c>
      <c r="I1622" s="23" t="str">
        <f t="shared" si="101"/>
        <v>Hyderabad</v>
      </c>
      <c r="J1622" s="23">
        <f>COUNTIFS(pg_transaction_cleaned!$O:$O,A1622,pg_transaction_cleaned!$F:$F,"CAPTURE")</f>
        <v>1</v>
      </c>
      <c r="K1622" s="39">
        <f>SUMIFS(pg_transaction_cleaned!$H:$H,pg_transaction_cleaned!$O:$O,A1622,pg_transaction_cleaned!$F:$F,"CAPTURE")</f>
        <v>1799</v>
      </c>
      <c r="L1622" s="23">
        <f>COUNTIFS(pg_transaction_cleaned!$O:$O,A1622,pg_transaction_cleaned!$F:$F,"REFUND")</f>
        <v>0</v>
      </c>
      <c r="M1622" s="39">
        <f>SUMIFS(pg_transaction_cleaned!$H:$H,pg_transaction_cleaned!$O:$O,A1622,pg_transaction_cleaned!$F:$F,"REFUND")</f>
        <v>0</v>
      </c>
      <c r="N1622" s="23" t="str">
        <f t="shared" si="102"/>
        <v>OK</v>
      </c>
      <c r="O1622" s="24">
        <f t="shared" si="103"/>
        <v>0</v>
      </c>
    </row>
    <row r="1623" spans="1:15" ht="15" customHeight="1" x14ac:dyDescent="0.3">
      <c r="A1623" s="23" t="s">
        <v>3731</v>
      </c>
      <c r="B1623" s="38">
        <v>46292</v>
      </c>
      <c r="C1623" s="23" t="s">
        <v>3732</v>
      </c>
      <c r="D1623" s="23"/>
      <c r="E1623" s="23" t="s">
        <v>77</v>
      </c>
      <c r="F1623" s="23" t="s">
        <v>567</v>
      </c>
      <c r="G1623" s="23" t="s">
        <v>250</v>
      </c>
      <c r="H1623" s="39">
        <f t="shared" si="100"/>
        <v>3598</v>
      </c>
      <c r="I1623" s="23" t="str">
        <f t="shared" si="101"/>
        <v>Unknown</v>
      </c>
      <c r="J1623" s="23">
        <f>COUNTIFS(pg_transaction_cleaned!$O:$O,A1623,pg_transaction_cleaned!$F:$F,"CAPTURE")</f>
        <v>1</v>
      </c>
      <c r="K1623" s="39">
        <f>SUMIFS(pg_transaction_cleaned!$H:$H,pg_transaction_cleaned!$O:$O,A1623,pg_transaction_cleaned!$F:$F,"CAPTURE")</f>
        <v>3598</v>
      </c>
      <c r="L1623" s="23">
        <f>COUNTIFS(pg_transaction_cleaned!$O:$O,A1623,pg_transaction_cleaned!$F:$F,"REFUND")</f>
        <v>0</v>
      </c>
      <c r="M1623" s="39">
        <f>SUMIFS(pg_transaction_cleaned!$H:$H,pg_transaction_cleaned!$O:$O,A1623,pg_transaction_cleaned!$F:$F,"REFUND")</f>
        <v>0</v>
      </c>
      <c r="N1623" s="23" t="str">
        <f t="shared" si="102"/>
        <v>OK</v>
      </c>
      <c r="O1623" s="24">
        <f t="shared" si="103"/>
        <v>0</v>
      </c>
    </row>
    <row r="1624" spans="1:15" ht="15" customHeight="1" x14ac:dyDescent="0.3">
      <c r="A1624" s="23" t="s">
        <v>3733</v>
      </c>
      <c r="B1624" s="38">
        <v>46266</v>
      </c>
      <c r="C1624" s="23" t="s">
        <v>3734</v>
      </c>
      <c r="D1624" s="23" t="s">
        <v>94</v>
      </c>
      <c r="E1624" s="23" t="s">
        <v>81</v>
      </c>
      <c r="F1624" s="23" t="s">
        <v>297</v>
      </c>
      <c r="G1624" s="23" t="s">
        <v>250</v>
      </c>
      <c r="H1624" s="39">
        <f t="shared" si="100"/>
        <v>4999</v>
      </c>
      <c r="I1624" s="23" t="str">
        <f t="shared" si="101"/>
        <v>Chennai</v>
      </c>
      <c r="J1624" s="23">
        <f>COUNTIFS(pg_transaction_cleaned!$O:$O,A1624,pg_transaction_cleaned!$F:$F,"CAPTURE")</f>
        <v>1</v>
      </c>
      <c r="K1624" s="39">
        <f>SUMIFS(pg_transaction_cleaned!$H:$H,pg_transaction_cleaned!$O:$O,A1624,pg_transaction_cleaned!$F:$F,"CAPTURE")</f>
        <v>4999</v>
      </c>
      <c r="L1624" s="23">
        <f>COUNTIFS(pg_transaction_cleaned!$O:$O,A1624,pg_transaction_cleaned!$F:$F,"REFUND")</f>
        <v>0</v>
      </c>
      <c r="M1624" s="39">
        <f>SUMIFS(pg_transaction_cleaned!$H:$H,pg_transaction_cleaned!$O:$O,A1624,pg_transaction_cleaned!$F:$F,"REFUND")</f>
        <v>0</v>
      </c>
      <c r="N1624" s="23" t="str">
        <f t="shared" si="102"/>
        <v>OK</v>
      </c>
      <c r="O1624" s="24">
        <f t="shared" si="103"/>
        <v>0</v>
      </c>
    </row>
    <row r="1625" spans="1:15" ht="15" customHeight="1" x14ac:dyDescent="0.3">
      <c r="A1625" s="23" t="s">
        <v>3735</v>
      </c>
      <c r="B1625" s="38">
        <v>46276</v>
      </c>
      <c r="C1625" s="23" t="s">
        <v>3358</v>
      </c>
      <c r="D1625" s="23" t="s">
        <v>95</v>
      </c>
      <c r="E1625" s="23" t="s">
        <v>75</v>
      </c>
      <c r="F1625" s="23" t="s">
        <v>271</v>
      </c>
      <c r="G1625" s="23" t="s">
        <v>301</v>
      </c>
      <c r="H1625" s="39">
        <f t="shared" si="100"/>
        <v>2499</v>
      </c>
      <c r="I1625" s="23" t="str">
        <f t="shared" si="101"/>
        <v>Bengaluru</v>
      </c>
      <c r="J1625" s="23">
        <f>COUNTIFS(pg_transaction_cleaned!$O:$O,A1625,pg_transaction_cleaned!$F:$F,"CAPTURE")</f>
        <v>1</v>
      </c>
      <c r="K1625" s="39">
        <f>SUMIFS(pg_transaction_cleaned!$H:$H,pg_transaction_cleaned!$O:$O,A1625,pg_transaction_cleaned!$F:$F,"CAPTURE")</f>
        <v>2499</v>
      </c>
      <c r="L1625" s="23">
        <f>COUNTIFS(pg_transaction_cleaned!$O:$O,A1625,pg_transaction_cleaned!$F:$F,"REFUND")</f>
        <v>1</v>
      </c>
      <c r="M1625" s="39">
        <f>SUMIFS(pg_transaction_cleaned!$H:$H,pg_transaction_cleaned!$O:$O,A1625,pg_transaction_cleaned!$F:$F,"REFUND")</f>
        <v>2499</v>
      </c>
      <c r="N1625" s="23" t="str">
        <f t="shared" si="102"/>
        <v>OK</v>
      </c>
      <c r="O1625" s="24">
        <f t="shared" si="103"/>
        <v>0</v>
      </c>
    </row>
    <row r="1626" spans="1:15" ht="15" customHeight="1" x14ac:dyDescent="0.3">
      <c r="A1626" s="23" t="s">
        <v>3736</v>
      </c>
      <c r="B1626" s="38">
        <v>46285</v>
      </c>
      <c r="C1626" s="23" t="s">
        <v>3737</v>
      </c>
      <c r="D1626" s="23" t="s">
        <v>93</v>
      </c>
      <c r="E1626" s="23" t="s">
        <v>79</v>
      </c>
      <c r="F1626" s="23" t="s">
        <v>1085</v>
      </c>
      <c r="G1626" s="23" t="s">
        <v>250</v>
      </c>
      <c r="H1626" s="39">
        <f t="shared" si="100"/>
        <v>9597</v>
      </c>
      <c r="I1626" s="23" t="str">
        <f t="shared" si="101"/>
        <v>Kolkata</v>
      </c>
      <c r="J1626" s="23">
        <f>COUNTIFS(pg_transaction_cleaned!$O:$O,A1626,pg_transaction_cleaned!$F:$F,"CAPTURE")</f>
        <v>1</v>
      </c>
      <c r="K1626" s="39">
        <f>SUMIFS(pg_transaction_cleaned!$H:$H,pg_transaction_cleaned!$O:$O,A1626,pg_transaction_cleaned!$F:$F,"CAPTURE")</f>
        <v>9597</v>
      </c>
      <c r="L1626" s="23">
        <f>COUNTIFS(pg_transaction_cleaned!$O:$O,A1626,pg_transaction_cleaned!$F:$F,"REFUND")</f>
        <v>0</v>
      </c>
      <c r="M1626" s="39">
        <f>SUMIFS(pg_transaction_cleaned!$H:$H,pg_transaction_cleaned!$O:$O,A1626,pg_transaction_cleaned!$F:$F,"REFUND")</f>
        <v>0</v>
      </c>
      <c r="N1626" s="23" t="str">
        <f t="shared" si="102"/>
        <v>OK</v>
      </c>
      <c r="O1626" s="24">
        <f t="shared" si="103"/>
        <v>0</v>
      </c>
    </row>
    <row r="1627" spans="1:15" ht="15" customHeight="1" x14ac:dyDescent="0.3">
      <c r="A1627" s="23" t="s">
        <v>3738</v>
      </c>
      <c r="B1627" s="38">
        <v>46289</v>
      </c>
      <c r="C1627" s="23" t="s">
        <v>3739</v>
      </c>
      <c r="D1627" s="23" t="s">
        <v>95</v>
      </c>
      <c r="E1627" s="23" t="s">
        <v>75</v>
      </c>
      <c r="F1627" s="23" t="s">
        <v>1035</v>
      </c>
      <c r="G1627" s="23" t="s">
        <v>365</v>
      </c>
      <c r="H1627" s="39">
        <f t="shared" si="100"/>
        <v>1299</v>
      </c>
      <c r="I1627" s="23" t="str">
        <f t="shared" si="101"/>
        <v>Bengaluru</v>
      </c>
      <c r="J1627" s="23">
        <f>COUNTIFS(pg_transaction_cleaned!$O:$O,A1627,pg_transaction_cleaned!$F:$F,"CAPTURE")</f>
        <v>0</v>
      </c>
      <c r="K1627" s="39">
        <f>SUMIFS(pg_transaction_cleaned!$H:$H,pg_transaction_cleaned!$O:$O,A1627,pg_transaction_cleaned!$F:$F,"CAPTURE")</f>
        <v>0</v>
      </c>
      <c r="L1627" s="23">
        <f>COUNTIFS(pg_transaction_cleaned!$O:$O,A1627,pg_transaction_cleaned!$F:$F,"REFUND")</f>
        <v>0</v>
      </c>
      <c r="M1627" s="39">
        <f>SUMIFS(pg_transaction_cleaned!$H:$H,pg_transaction_cleaned!$O:$O,A1627,pg_transaction_cleaned!$F:$F,"REFUND")</f>
        <v>0</v>
      </c>
      <c r="N1627" s="23" t="str">
        <f t="shared" si="102"/>
        <v>OK</v>
      </c>
      <c r="O1627" s="24">
        <f t="shared" si="103"/>
        <v>0</v>
      </c>
    </row>
    <row r="1628" spans="1:15" ht="15" customHeight="1" x14ac:dyDescent="0.3">
      <c r="A1628" s="23" t="s">
        <v>3740</v>
      </c>
      <c r="B1628" s="38">
        <v>46269</v>
      </c>
      <c r="C1628" s="23" t="s">
        <v>3741</v>
      </c>
      <c r="D1628" s="23" t="s">
        <v>92</v>
      </c>
      <c r="E1628" s="23" t="s">
        <v>79</v>
      </c>
      <c r="F1628" s="23" t="s">
        <v>1206</v>
      </c>
      <c r="G1628" s="23" t="s">
        <v>250</v>
      </c>
      <c r="H1628" s="39">
        <f t="shared" si="100"/>
        <v>7297</v>
      </c>
      <c r="I1628" s="23" t="str">
        <f t="shared" si="101"/>
        <v>Hyderabad</v>
      </c>
      <c r="J1628" s="23">
        <f>COUNTIFS(pg_transaction_cleaned!$O:$O,A1628,pg_transaction_cleaned!$F:$F,"CAPTURE")</f>
        <v>1</v>
      </c>
      <c r="K1628" s="39">
        <f>SUMIFS(pg_transaction_cleaned!$H:$H,pg_transaction_cleaned!$O:$O,A1628,pg_transaction_cleaned!$F:$F,"CAPTURE")</f>
        <v>7297</v>
      </c>
      <c r="L1628" s="23">
        <f>COUNTIFS(pg_transaction_cleaned!$O:$O,A1628,pg_transaction_cleaned!$F:$F,"REFUND")</f>
        <v>0</v>
      </c>
      <c r="M1628" s="39">
        <f>SUMIFS(pg_transaction_cleaned!$H:$H,pg_transaction_cleaned!$O:$O,A1628,pg_transaction_cleaned!$F:$F,"REFUND")</f>
        <v>0</v>
      </c>
      <c r="N1628" s="23" t="str">
        <f t="shared" si="102"/>
        <v>OK</v>
      </c>
      <c r="O1628" s="24">
        <f t="shared" si="103"/>
        <v>0</v>
      </c>
    </row>
    <row r="1629" spans="1:15" ht="15" customHeight="1" x14ac:dyDescent="0.3">
      <c r="A1629" s="23" t="s">
        <v>3742</v>
      </c>
      <c r="B1629" s="38">
        <v>46292</v>
      </c>
      <c r="C1629" s="23" t="s">
        <v>3743</v>
      </c>
      <c r="D1629" s="23" t="s">
        <v>87</v>
      </c>
      <c r="E1629" s="23" t="s">
        <v>75</v>
      </c>
      <c r="F1629" s="23" t="s">
        <v>974</v>
      </c>
      <c r="G1629" s="23" t="s">
        <v>250</v>
      </c>
      <c r="H1629" s="39">
        <f t="shared" si="100"/>
        <v>1498</v>
      </c>
      <c r="I1629" s="23" t="str">
        <f t="shared" si="101"/>
        <v>Mumbai</v>
      </c>
      <c r="J1629" s="23">
        <f>COUNTIFS(pg_transaction_cleaned!$O:$O,A1629,pg_transaction_cleaned!$F:$F,"CAPTURE")</f>
        <v>1</v>
      </c>
      <c r="K1629" s="39">
        <f>SUMIFS(pg_transaction_cleaned!$H:$H,pg_transaction_cleaned!$O:$O,A1629,pg_transaction_cleaned!$F:$F,"CAPTURE")</f>
        <v>1498</v>
      </c>
      <c r="L1629" s="23">
        <f>COUNTIFS(pg_transaction_cleaned!$O:$O,A1629,pg_transaction_cleaned!$F:$F,"REFUND")</f>
        <v>0</v>
      </c>
      <c r="M1629" s="39">
        <f>SUMIFS(pg_transaction_cleaned!$H:$H,pg_transaction_cleaned!$O:$O,A1629,pg_transaction_cleaned!$F:$F,"REFUND")</f>
        <v>0</v>
      </c>
      <c r="N1629" s="23" t="str">
        <f t="shared" si="102"/>
        <v>OK</v>
      </c>
      <c r="O1629" s="24">
        <f t="shared" si="103"/>
        <v>0</v>
      </c>
    </row>
    <row r="1630" spans="1:15" ht="15" customHeight="1" x14ac:dyDescent="0.3">
      <c r="A1630" s="23" t="s">
        <v>3744</v>
      </c>
      <c r="B1630" s="38">
        <v>46286</v>
      </c>
      <c r="C1630" s="23" t="s">
        <v>3745</v>
      </c>
      <c r="D1630" s="23" t="s">
        <v>88</v>
      </c>
      <c r="E1630" s="23" t="s">
        <v>75</v>
      </c>
      <c r="F1630" s="23" t="s">
        <v>1372</v>
      </c>
      <c r="G1630" s="23" t="s">
        <v>250</v>
      </c>
      <c r="H1630" s="39">
        <f t="shared" si="100"/>
        <v>798</v>
      </c>
      <c r="I1630" s="23" t="str">
        <f t="shared" si="101"/>
        <v>Lucknow</v>
      </c>
      <c r="J1630" s="23">
        <f>COUNTIFS(pg_transaction_cleaned!$O:$O,A1630,pg_transaction_cleaned!$F:$F,"CAPTURE")</f>
        <v>1</v>
      </c>
      <c r="K1630" s="39">
        <f>SUMIFS(pg_transaction_cleaned!$H:$H,pg_transaction_cleaned!$O:$O,A1630,pg_transaction_cleaned!$F:$F,"CAPTURE")</f>
        <v>798</v>
      </c>
      <c r="L1630" s="23">
        <f>COUNTIFS(pg_transaction_cleaned!$O:$O,A1630,pg_transaction_cleaned!$F:$F,"REFUND")</f>
        <v>0</v>
      </c>
      <c r="M1630" s="39">
        <f>SUMIFS(pg_transaction_cleaned!$H:$H,pg_transaction_cleaned!$O:$O,A1630,pg_transaction_cleaned!$F:$F,"REFUND")</f>
        <v>0</v>
      </c>
      <c r="N1630" s="23" t="str">
        <f t="shared" si="102"/>
        <v>OK</v>
      </c>
      <c r="O1630" s="24">
        <f t="shared" si="103"/>
        <v>0</v>
      </c>
    </row>
    <row r="1631" spans="1:15" ht="15" customHeight="1" x14ac:dyDescent="0.3">
      <c r="A1631" s="23" t="s">
        <v>3746</v>
      </c>
      <c r="B1631" s="38">
        <v>46278</v>
      </c>
      <c r="C1631" s="23" t="s">
        <v>3747</v>
      </c>
      <c r="D1631" s="23" t="s">
        <v>94</v>
      </c>
      <c r="E1631" s="23" t="s">
        <v>77</v>
      </c>
      <c r="F1631" s="23" t="s">
        <v>291</v>
      </c>
      <c r="G1631" s="23" t="s">
        <v>250</v>
      </c>
      <c r="H1631" s="39">
        <f t="shared" si="100"/>
        <v>3499</v>
      </c>
      <c r="I1631" s="23" t="str">
        <f t="shared" si="101"/>
        <v>Chennai</v>
      </c>
      <c r="J1631" s="23">
        <f>COUNTIFS(pg_transaction_cleaned!$O:$O,A1631,pg_transaction_cleaned!$F:$F,"CAPTURE")</f>
        <v>1</v>
      </c>
      <c r="K1631" s="39">
        <f>SUMIFS(pg_transaction_cleaned!$H:$H,pg_transaction_cleaned!$O:$O,A1631,pg_transaction_cleaned!$F:$F,"CAPTURE")</f>
        <v>3499</v>
      </c>
      <c r="L1631" s="23">
        <f>COUNTIFS(pg_transaction_cleaned!$O:$O,A1631,pg_transaction_cleaned!$F:$F,"REFUND")</f>
        <v>0</v>
      </c>
      <c r="M1631" s="39">
        <f>SUMIFS(pg_transaction_cleaned!$H:$H,pg_transaction_cleaned!$O:$O,A1631,pg_transaction_cleaned!$F:$F,"REFUND")</f>
        <v>0</v>
      </c>
      <c r="N1631" s="23" t="str">
        <f t="shared" si="102"/>
        <v>OK</v>
      </c>
      <c r="O1631" s="24">
        <f t="shared" si="103"/>
        <v>0</v>
      </c>
    </row>
    <row r="1632" spans="1:15" ht="15" customHeight="1" x14ac:dyDescent="0.3">
      <c r="A1632" s="23" t="s">
        <v>3748</v>
      </c>
      <c r="B1632" s="38">
        <v>46271</v>
      </c>
      <c r="C1632" s="23" t="s">
        <v>3749</v>
      </c>
      <c r="D1632" s="23" t="s">
        <v>95</v>
      </c>
      <c r="E1632" s="23" t="s">
        <v>75</v>
      </c>
      <c r="F1632" s="23" t="s">
        <v>396</v>
      </c>
      <c r="G1632" s="23" t="s">
        <v>365</v>
      </c>
      <c r="H1632" s="39">
        <f t="shared" si="100"/>
        <v>2999</v>
      </c>
      <c r="I1632" s="23" t="str">
        <f t="shared" si="101"/>
        <v>Bengaluru</v>
      </c>
      <c r="J1632" s="23">
        <f>COUNTIFS(pg_transaction_cleaned!$O:$O,A1632,pg_transaction_cleaned!$F:$F,"CAPTURE")</f>
        <v>0</v>
      </c>
      <c r="K1632" s="39">
        <f>SUMIFS(pg_transaction_cleaned!$H:$H,pg_transaction_cleaned!$O:$O,A1632,pg_transaction_cleaned!$F:$F,"CAPTURE")</f>
        <v>0</v>
      </c>
      <c r="L1632" s="23">
        <f>COUNTIFS(pg_transaction_cleaned!$O:$O,A1632,pg_transaction_cleaned!$F:$F,"REFUND")</f>
        <v>0</v>
      </c>
      <c r="M1632" s="39">
        <f>SUMIFS(pg_transaction_cleaned!$H:$H,pg_transaction_cleaned!$O:$O,A1632,pg_transaction_cleaned!$F:$F,"REFUND")</f>
        <v>0</v>
      </c>
      <c r="N1632" s="23" t="str">
        <f t="shared" si="102"/>
        <v>OK</v>
      </c>
      <c r="O1632" s="24">
        <f t="shared" si="103"/>
        <v>0</v>
      </c>
    </row>
    <row r="1633" spans="1:15" ht="15" customHeight="1" x14ac:dyDescent="0.3">
      <c r="A1633" s="23" t="s">
        <v>3750</v>
      </c>
      <c r="B1633" s="38">
        <v>46289</v>
      </c>
      <c r="C1633" s="23" t="s">
        <v>3751</v>
      </c>
      <c r="D1633" s="23" t="s">
        <v>87</v>
      </c>
      <c r="E1633" s="23" t="s">
        <v>75</v>
      </c>
      <c r="F1633" s="23" t="s">
        <v>304</v>
      </c>
      <c r="G1633" s="23" t="s">
        <v>250</v>
      </c>
      <c r="H1633" s="39">
        <f t="shared" si="100"/>
        <v>5798</v>
      </c>
      <c r="I1633" s="23" t="str">
        <f t="shared" si="101"/>
        <v>Mumbai</v>
      </c>
      <c r="J1633" s="23">
        <f>COUNTIFS(pg_transaction_cleaned!$O:$O,A1633,pg_transaction_cleaned!$F:$F,"CAPTURE")</f>
        <v>1</v>
      </c>
      <c r="K1633" s="39">
        <f>SUMIFS(pg_transaction_cleaned!$H:$H,pg_transaction_cleaned!$O:$O,A1633,pg_transaction_cleaned!$F:$F,"CAPTURE")</f>
        <v>5798</v>
      </c>
      <c r="L1633" s="23">
        <f>COUNTIFS(pg_transaction_cleaned!$O:$O,A1633,pg_transaction_cleaned!$F:$F,"REFUND")</f>
        <v>0</v>
      </c>
      <c r="M1633" s="39">
        <f>SUMIFS(pg_transaction_cleaned!$H:$H,pg_transaction_cleaned!$O:$O,A1633,pg_transaction_cleaned!$F:$F,"REFUND")</f>
        <v>0</v>
      </c>
      <c r="N1633" s="23" t="str">
        <f t="shared" si="102"/>
        <v>OK</v>
      </c>
      <c r="O1633" s="24">
        <f t="shared" si="103"/>
        <v>0</v>
      </c>
    </row>
    <row r="1634" spans="1:15" ht="15" customHeight="1" x14ac:dyDescent="0.3">
      <c r="A1634" s="23" t="s">
        <v>3752</v>
      </c>
      <c r="B1634" s="38">
        <v>46286</v>
      </c>
      <c r="C1634" s="23" t="s">
        <v>3753</v>
      </c>
      <c r="D1634" s="23" t="s">
        <v>91</v>
      </c>
      <c r="E1634" s="23" t="s">
        <v>77</v>
      </c>
      <c r="F1634" s="23" t="s">
        <v>2337</v>
      </c>
      <c r="G1634" s="23" t="s">
        <v>250</v>
      </c>
      <c r="H1634" s="39">
        <f t="shared" si="100"/>
        <v>8348</v>
      </c>
      <c r="I1634" s="23" t="str">
        <f t="shared" si="101"/>
        <v>Pune</v>
      </c>
      <c r="J1634" s="23">
        <f>COUNTIFS(pg_transaction_cleaned!$O:$O,A1634,pg_transaction_cleaned!$F:$F,"CAPTURE")</f>
        <v>1</v>
      </c>
      <c r="K1634" s="39">
        <f>SUMIFS(pg_transaction_cleaned!$H:$H,pg_transaction_cleaned!$O:$O,A1634,pg_transaction_cleaned!$F:$F,"CAPTURE")</f>
        <v>8348</v>
      </c>
      <c r="L1634" s="23">
        <f>COUNTIFS(pg_transaction_cleaned!$O:$O,A1634,pg_transaction_cleaned!$F:$F,"REFUND")</f>
        <v>0</v>
      </c>
      <c r="M1634" s="39">
        <f>SUMIFS(pg_transaction_cleaned!$H:$H,pg_transaction_cleaned!$O:$O,A1634,pg_transaction_cleaned!$F:$F,"REFUND")</f>
        <v>0</v>
      </c>
      <c r="N1634" s="23" t="str">
        <f t="shared" si="102"/>
        <v>OK</v>
      </c>
      <c r="O1634" s="24">
        <f t="shared" si="103"/>
        <v>0</v>
      </c>
    </row>
    <row r="1635" spans="1:15" ht="15" customHeight="1" x14ac:dyDescent="0.3">
      <c r="A1635" s="23" t="s">
        <v>3754</v>
      </c>
      <c r="B1635" s="38">
        <v>46270</v>
      </c>
      <c r="C1635" s="23" t="s">
        <v>3755</v>
      </c>
      <c r="D1635" s="23" t="s">
        <v>94</v>
      </c>
      <c r="E1635" s="23" t="s">
        <v>75</v>
      </c>
      <c r="F1635" s="23" t="s">
        <v>475</v>
      </c>
      <c r="G1635" s="23" t="s">
        <v>365</v>
      </c>
      <c r="H1635" s="39">
        <f t="shared" si="100"/>
        <v>799</v>
      </c>
      <c r="I1635" s="23" t="str">
        <f t="shared" si="101"/>
        <v>Chennai</v>
      </c>
      <c r="J1635" s="23">
        <f>COUNTIFS(pg_transaction_cleaned!$O:$O,A1635,pg_transaction_cleaned!$F:$F,"CAPTURE")</f>
        <v>0</v>
      </c>
      <c r="K1635" s="39">
        <f>SUMIFS(pg_transaction_cleaned!$H:$H,pg_transaction_cleaned!$O:$O,A1635,pg_transaction_cleaned!$F:$F,"CAPTURE")</f>
        <v>0</v>
      </c>
      <c r="L1635" s="23">
        <f>COUNTIFS(pg_transaction_cleaned!$O:$O,A1635,pg_transaction_cleaned!$F:$F,"REFUND")</f>
        <v>0</v>
      </c>
      <c r="M1635" s="39">
        <f>SUMIFS(pg_transaction_cleaned!$H:$H,pg_transaction_cleaned!$O:$O,A1635,pg_transaction_cleaned!$F:$F,"REFUND")</f>
        <v>0</v>
      </c>
      <c r="N1635" s="23" t="str">
        <f t="shared" si="102"/>
        <v>OK</v>
      </c>
      <c r="O1635" s="24">
        <f t="shared" si="103"/>
        <v>0</v>
      </c>
    </row>
    <row r="1636" spans="1:15" ht="15" customHeight="1" x14ac:dyDescent="0.3">
      <c r="A1636" s="23" t="s">
        <v>3756</v>
      </c>
      <c r="B1636" s="38">
        <v>46295</v>
      </c>
      <c r="C1636" s="23" t="s">
        <v>3757</v>
      </c>
      <c r="D1636" s="23" t="s">
        <v>91</v>
      </c>
      <c r="E1636" s="23" t="s">
        <v>79</v>
      </c>
      <c r="F1636" s="23" t="s">
        <v>268</v>
      </c>
      <c r="G1636" s="23" t="s">
        <v>250</v>
      </c>
      <c r="H1636" s="39">
        <f t="shared" si="100"/>
        <v>1299</v>
      </c>
      <c r="I1636" s="23" t="str">
        <f t="shared" si="101"/>
        <v>Pune</v>
      </c>
      <c r="J1636" s="23">
        <f>COUNTIFS(pg_transaction_cleaned!$O:$O,A1636,pg_transaction_cleaned!$F:$F,"CAPTURE")</f>
        <v>1</v>
      </c>
      <c r="K1636" s="39">
        <f>SUMIFS(pg_transaction_cleaned!$H:$H,pg_transaction_cleaned!$O:$O,A1636,pg_transaction_cleaned!$F:$F,"CAPTURE")</f>
        <v>1299</v>
      </c>
      <c r="L1636" s="23">
        <f>COUNTIFS(pg_transaction_cleaned!$O:$O,A1636,pg_transaction_cleaned!$F:$F,"REFUND")</f>
        <v>0</v>
      </c>
      <c r="M1636" s="39">
        <f>SUMIFS(pg_transaction_cleaned!$H:$H,pg_transaction_cleaned!$O:$O,A1636,pg_transaction_cleaned!$F:$F,"REFUND")</f>
        <v>0</v>
      </c>
      <c r="N1636" s="23" t="str">
        <f t="shared" si="102"/>
        <v>OK</v>
      </c>
      <c r="O1636" s="24">
        <f t="shared" si="103"/>
        <v>0</v>
      </c>
    </row>
    <row r="1637" spans="1:15" ht="15" customHeight="1" x14ac:dyDescent="0.3">
      <c r="A1637" s="23" t="s">
        <v>3758</v>
      </c>
      <c r="B1637" s="38">
        <v>46281</v>
      </c>
      <c r="C1637" s="23" t="s">
        <v>3330</v>
      </c>
      <c r="D1637" s="23" t="s">
        <v>90</v>
      </c>
      <c r="E1637" s="23" t="s">
        <v>77</v>
      </c>
      <c r="F1637" s="23" t="s">
        <v>3759</v>
      </c>
      <c r="G1637" s="23" t="s">
        <v>250</v>
      </c>
      <c r="H1637" s="39">
        <f t="shared" si="100"/>
        <v>3947</v>
      </c>
      <c r="I1637" s="23" t="str">
        <f t="shared" si="101"/>
        <v>Ahmedabad</v>
      </c>
      <c r="J1637" s="23">
        <f>COUNTIFS(pg_transaction_cleaned!$O:$O,A1637,pg_transaction_cleaned!$F:$F,"CAPTURE")</f>
        <v>1</v>
      </c>
      <c r="K1637" s="39">
        <f>SUMIFS(pg_transaction_cleaned!$H:$H,pg_transaction_cleaned!$O:$O,A1637,pg_transaction_cleaned!$F:$F,"CAPTURE")</f>
        <v>3947</v>
      </c>
      <c r="L1637" s="23">
        <f>COUNTIFS(pg_transaction_cleaned!$O:$O,A1637,pg_transaction_cleaned!$F:$F,"REFUND")</f>
        <v>0</v>
      </c>
      <c r="M1637" s="39">
        <f>SUMIFS(pg_transaction_cleaned!$H:$H,pg_transaction_cleaned!$O:$O,A1637,pg_transaction_cleaned!$F:$F,"REFUND")</f>
        <v>0</v>
      </c>
      <c r="N1637" s="23" t="str">
        <f t="shared" si="102"/>
        <v>OK</v>
      </c>
      <c r="O1637" s="24">
        <f t="shared" si="103"/>
        <v>0</v>
      </c>
    </row>
    <row r="1638" spans="1:15" ht="15" customHeight="1" x14ac:dyDescent="0.3">
      <c r="A1638" s="23" t="s">
        <v>3760</v>
      </c>
      <c r="B1638" s="38">
        <v>46291</v>
      </c>
      <c r="C1638" s="23" t="s">
        <v>3761</v>
      </c>
      <c r="D1638" s="23" t="s">
        <v>88</v>
      </c>
      <c r="E1638" s="23" t="s">
        <v>77</v>
      </c>
      <c r="F1638" s="23" t="s">
        <v>262</v>
      </c>
      <c r="G1638" s="23" t="s">
        <v>250</v>
      </c>
      <c r="H1638" s="39">
        <f t="shared" si="100"/>
        <v>499</v>
      </c>
      <c r="I1638" s="23" t="str">
        <f t="shared" si="101"/>
        <v>Lucknow</v>
      </c>
      <c r="J1638" s="23">
        <f>COUNTIFS(pg_transaction_cleaned!$O:$O,A1638,pg_transaction_cleaned!$F:$F,"CAPTURE")</f>
        <v>1</v>
      </c>
      <c r="K1638" s="39">
        <f>SUMIFS(pg_transaction_cleaned!$H:$H,pg_transaction_cleaned!$O:$O,A1638,pg_transaction_cleaned!$F:$F,"CAPTURE")</f>
        <v>499</v>
      </c>
      <c r="L1638" s="23">
        <f>COUNTIFS(pg_transaction_cleaned!$O:$O,A1638,pg_transaction_cleaned!$F:$F,"REFUND")</f>
        <v>0</v>
      </c>
      <c r="M1638" s="39">
        <f>SUMIFS(pg_transaction_cleaned!$H:$H,pg_transaction_cleaned!$O:$O,A1638,pg_transaction_cleaned!$F:$F,"REFUND")</f>
        <v>0</v>
      </c>
      <c r="N1638" s="23" t="str">
        <f t="shared" si="102"/>
        <v>OK</v>
      </c>
      <c r="O1638" s="24">
        <f t="shared" si="103"/>
        <v>0</v>
      </c>
    </row>
    <row r="1639" spans="1:15" ht="15" customHeight="1" x14ac:dyDescent="0.3">
      <c r="A1639" s="23" t="s">
        <v>3762</v>
      </c>
      <c r="B1639" s="38">
        <v>46286</v>
      </c>
      <c r="C1639" s="23" t="s">
        <v>3174</v>
      </c>
      <c r="D1639" s="23" t="s">
        <v>90</v>
      </c>
      <c r="E1639" s="23" t="s">
        <v>75</v>
      </c>
      <c r="F1639" s="23" t="s">
        <v>1505</v>
      </c>
      <c r="G1639" s="23" t="s">
        <v>250</v>
      </c>
      <c r="H1639" s="39">
        <f t="shared" si="100"/>
        <v>8298</v>
      </c>
      <c r="I1639" s="23" t="str">
        <f t="shared" si="101"/>
        <v>Ahmedabad</v>
      </c>
      <c r="J1639" s="23">
        <f>COUNTIFS(pg_transaction_cleaned!$O:$O,A1639,pg_transaction_cleaned!$F:$F,"CAPTURE")</f>
        <v>1</v>
      </c>
      <c r="K1639" s="39">
        <f>SUMIFS(pg_transaction_cleaned!$H:$H,pg_transaction_cleaned!$O:$O,A1639,pg_transaction_cleaned!$F:$F,"CAPTURE")</f>
        <v>8298</v>
      </c>
      <c r="L1639" s="23">
        <f>COUNTIFS(pg_transaction_cleaned!$O:$O,A1639,pg_transaction_cleaned!$F:$F,"REFUND")</f>
        <v>0</v>
      </c>
      <c r="M1639" s="39">
        <f>SUMIFS(pg_transaction_cleaned!$H:$H,pg_transaction_cleaned!$O:$O,A1639,pg_transaction_cleaned!$F:$F,"REFUND")</f>
        <v>0</v>
      </c>
      <c r="N1639" s="23" t="str">
        <f t="shared" si="102"/>
        <v>OK</v>
      </c>
      <c r="O1639" s="24">
        <f t="shared" si="103"/>
        <v>0</v>
      </c>
    </row>
    <row r="1640" spans="1:15" ht="15" customHeight="1" x14ac:dyDescent="0.3">
      <c r="A1640" s="23" t="s">
        <v>3763</v>
      </c>
      <c r="B1640" s="38">
        <v>46285</v>
      </c>
      <c r="C1640" s="23" t="s">
        <v>3764</v>
      </c>
      <c r="D1640" s="23" t="s">
        <v>95</v>
      </c>
      <c r="E1640" s="23" t="s">
        <v>79</v>
      </c>
      <c r="F1640" s="23" t="s">
        <v>256</v>
      </c>
      <c r="G1640" s="23" t="s">
        <v>250</v>
      </c>
      <c r="H1640" s="39">
        <f t="shared" si="100"/>
        <v>2098</v>
      </c>
      <c r="I1640" s="23" t="str">
        <f t="shared" si="101"/>
        <v>Bengaluru</v>
      </c>
      <c r="J1640" s="23">
        <f>COUNTIFS(pg_transaction_cleaned!$O:$O,A1640,pg_transaction_cleaned!$F:$F,"CAPTURE")</f>
        <v>1</v>
      </c>
      <c r="K1640" s="39">
        <f>SUMIFS(pg_transaction_cleaned!$H:$H,pg_transaction_cleaned!$O:$O,A1640,pg_transaction_cleaned!$F:$F,"CAPTURE")</f>
        <v>2098</v>
      </c>
      <c r="L1640" s="23">
        <f>COUNTIFS(pg_transaction_cleaned!$O:$O,A1640,pg_transaction_cleaned!$F:$F,"REFUND")</f>
        <v>0</v>
      </c>
      <c r="M1640" s="39">
        <f>SUMIFS(pg_transaction_cleaned!$H:$H,pg_transaction_cleaned!$O:$O,A1640,pg_transaction_cleaned!$F:$F,"REFUND")</f>
        <v>0</v>
      </c>
      <c r="N1640" s="23" t="str">
        <f t="shared" si="102"/>
        <v>OK</v>
      </c>
      <c r="O1640" s="24">
        <f t="shared" si="103"/>
        <v>0</v>
      </c>
    </row>
    <row r="1641" spans="1:15" ht="15" customHeight="1" x14ac:dyDescent="0.3">
      <c r="A1641" s="23" t="s">
        <v>3765</v>
      </c>
      <c r="B1641" s="38">
        <v>46285</v>
      </c>
      <c r="C1641" s="23" t="s">
        <v>3766</v>
      </c>
      <c r="D1641" s="23" t="s">
        <v>95</v>
      </c>
      <c r="E1641" s="23" t="s">
        <v>75</v>
      </c>
      <c r="F1641" s="23" t="s">
        <v>2954</v>
      </c>
      <c r="G1641" s="23" t="s">
        <v>250</v>
      </c>
      <c r="H1641" s="39">
        <f t="shared" si="100"/>
        <v>1799</v>
      </c>
      <c r="I1641" s="23" t="str">
        <f t="shared" si="101"/>
        <v>Bengaluru</v>
      </c>
      <c r="J1641" s="23">
        <f>COUNTIFS(pg_transaction_cleaned!$O:$O,A1641,pg_transaction_cleaned!$F:$F,"CAPTURE")</f>
        <v>1</v>
      </c>
      <c r="K1641" s="39">
        <f>SUMIFS(pg_transaction_cleaned!$H:$H,pg_transaction_cleaned!$O:$O,A1641,pg_transaction_cleaned!$F:$F,"CAPTURE")</f>
        <v>1799</v>
      </c>
      <c r="L1641" s="23">
        <f>COUNTIFS(pg_transaction_cleaned!$O:$O,A1641,pg_transaction_cleaned!$F:$F,"REFUND")</f>
        <v>0</v>
      </c>
      <c r="M1641" s="39">
        <f>SUMIFS(pg_transaction_cleaned!$H:$H,pg_transaction_cleaned!$O:$O,A1641,pg_transaction_cleaned!$F:$F,"REFUND")</f>
        <v>0</v>
      </c>
      <c r="N1641" s="23" t="str">
        <f t="shared" si="102"/>
        <v>OK</v>
      </c>
      <c r="O1641" s="24">
        <f t="shared" si="103"/>
        <v>0</v>
      </c>
    </row>
    <row r="1642" spans="1:15" ht="15" customHeight="1" x14ac:dyDescent="0.3">
      <c r="A1642" s="23" t="s">
        <v>3767</v>
      </c>
      <c r="B1642" s="38">
        <v>46293</v>
      </c>
      <c r="C1642" s="23" t="s">
        <v>3768</v>
      </c>
      <c r="D1642" s="23" t="s">
        <v>95</v>
      </c>
      <c r="E1642" s="23" t="s">
        <v>75</v>
      </c>
      <c r="F1642" s="23" t="s">
        <v>274</v>
      </c>
      <c r="G1642" s="23" t="s">
        <v>365</v>
      </c>
      <c r="H1642" s="39">
        <f t="shared" si="100"/>
        <v>349</v>
      </c>
      <c r="I1642" s="23" t="str">
        <f t="shared" si="101"/>
        <v>Bengaluru</v>
      </c>
      <c r="J1642" s="23">
        <f>COUNTIFS(pg_transaction_cleaned!$O:$O,A1642,pg_transaction_cleaned!$F:$F,"CAPTURE")</f>
        <v>0</v>
      </c>
      <c r="K1642" s="39">
        <f>SUMIFS(pg_transaction_cleaned!$H:$H,pg_transaction_cleaned!$O:$O,A1642,pg_transaction_cleaned!$F:$F,"CAPTURE")</f>
        <v>0</v>
      </c>
      <c r="L1642" s="23">
        <f>COUNTIFS(pg_transaction_cleaned!$O:$O,A1642,pg_transaction_cleaned!$F:$F,"REFUND")</f>
        <v>0</v>
      </c>
      <c r="M1642" s="39">
        <f>SUMIFS(pg_transaction_cleaned!$H:$H,pg_transaction_cleaned!$O:$O,A1642,pg_transaction_cleaned!$F:$F,"REFUND")</f>
        <v>0</v>
      </c>
      <c r="N1642" s="23" t="str">
        <f t="shared" si="102"/>
        <v>OK</v>
      </c>
      <c r="O1642" s="24">
        <f t="shared" si="103"/>
        <v>0</v>
      </c>
    </row>
    <row r="1643" spans="1:15" ht="15" customHeight="1" x14ac:dyDescent="0.3">
      <c r="A1643" s="23" t="s">
        <v>3769</v>
      </c>
      <c r="B1643" s="38">
        <v>46268</v>
      </c>
      <c r="C1643" s="23" t="s">
        <v>3770</v>
      </c>
      <c r="D1643" s="23" t="s">
        <v>94</v>
      </c>
      <c r="E1643" s="23" t="s">
        <v>75</v>
      </c>
      <c r="F1643" s="23" t="s">
        <v>561</v>
      </c>
      <c r="G1643" s="23" t="s">
        <v>250</v>
      </c>
      <c r="H1643" s="39">
        <f t="shared" si="100"/>
        <v>4797</v>
      </c>
      <c r="I1643" s="23" t="str">
        <f t="shared" si="101"/>
        <v>Chennai</v>
      </c>
      <c r="J1643" s="23">
        <f>COUNTIFS(pg_transaction_cleaned!$O:$O,A1643,pg_transaction_cleaned!$F:$F,"CAPTURE")</f>
        <v>1</v>
      </c>
      <c r="K1643" s="39">
        <f>SUMIFS(pg_transaction_cleaned!$H:$H,pg_transaction_cleaned!$O:$O,A1643,pg_transaction_cleaned!$F:$F,"CAPTURE")</f>
        <v>4797</v>
      </c>
      <c r="L1643" s="23">
        <f>COUNTIFS(pg_transaction_cleaned!$O:$O,A1643,pg_transaction_cleaned!$F:$F,"REFUND")</f>
        <v>0</v>
      </c>
      <c r="M1643" s="39">
        <f>SUMIFS(pg_transaction_cleaned!$H:$H,pg_transaction_cleaned!$O:$O,A1643,pg_transaction_cleaned!$F:$F,"REFUND")</f>
        <v>0</v>
      </c>
      <c r="N1643" s="23" t="str">
        <f t="shared" si="102"/>
        <v>OK</v>
      </c>
      <c r="O1643" s="24">
        <f t="shared" si="103"/>
        <v>0</v>
      </c>
    </row>
    <row r="1644" spans="1:15" ht="15" customHeight="1" x14ac:dyDescent="0.3">
      <c r="A1644" s="23" t="s">
        <v>3771</v>
      </c>
      <c r="B1644" s="38">
        <v>46288</v>
      </c>
      <c r="C1644" s="23" t="s">
        <v>3772</v>
      </c>
      <c r="D1644" s="23" t="s">
        <v>89</v>
      </c>
      <c r="E1644" s="23" t="s">
        <v>81</v>
      </c>
      <c r="F1644" s="23" t="s">
        <v>307</v>
      </c>
      <c r="G1644" s="23" t="s">
        <v>250</v>
      </c>
      <c r="H1644" s="39">
        <f t="shared" si="100"/>
        <v>3798</v>
      </c>
      <c r="I1644" s="23" t="str">
        <f t="shared" si="101"/>
        <v>Jaipur</v>
      </c>
      <c r="J1644" s="23">
        <f>COUNTIFS(pg_transaction_cleaned!$O:$O,A1644,pg_transaction_cleaned!$F:$F,"CAPTURE")</f>
        <v>1</v>
      </c>
      <c r="K1644" s="39">
        <f>SUMIFS(pg_transaction_cleaned!$H:$H,pg_transaction_cleaned!$O:$O,A1644,pg_transaction_cleaned!$F:$F,"CAPTURE")</f>
        <v>3798</v>
      </c>
      <c r="L1644" s="23">
        <f>COUNTIFS(pg_transaction_cleaned!$O:$O,A1644,pg_transaction_cleaned!$F:$F,"REFUND")</f>
        <v>0</v>
      </c>
      <c r="M1644" s="39">
        <f>SUMIFS(pg_transaction_cleaned!$H:$H,pg_transaction_cleaned!$O:$O,A1644,pg_transaction_cleaned!$F:$F,"REFUND")</f>
        <v>0</v>
      </c>
      <c r="N1644" s="23" t="str">
        <f t="shared" si="102"/>
        <v>OK</v>
      </c>
      <c r="O1644" s="24">
        <f t="shared" si="103"/>
        <v>0</v>
      </c>
    </row>
    <row r="1645" spans="1:15" ht="15" customHeight="1" x14ac:dyDescent="0.3">
      <c r="A1645" s="23" t="s">
        <v>3773</v>
      </c>
      <c r="B1645" s="38">
        <v>46278</v>
      </c>
      <c r="C1645" s="23" t="s">
        <v>3774</v>
      </c>
      <c r="D1645" s="23" t="s">
        <v>93</v>
      </c>
      <c r="E1645" s="23" t="s">
        <v>79</v>
      </c>
      <c r="F1645" s="23" t="s">
        <v>475</v>
      </c>
      <c r="G1645" s="23" t="s">
        <v>250</v>
      </c>
      <c r="H1645" s="39">
        <f t="shared" si="100"/>
        <v>799</v>
      </c>
      <c r="I1645" s="23" t="str">
        <f t="shared" si="101"/>
        <v>Kolkata</v>
      </c>
      <c r="J1645" s="23">
        <f>COUNTIFS(pg_transaction_cleaned!$O:$O,A1645,pg_transaction_cleaned!$F:$F,"CAPTURE")</f>
        <v>1</v>
      </c>
      <c r="K1645" s="39">
        <f>SUMIFS(pg_transaction_cleaned!$H:$H,pg_transaction_cleaned!$O:$O,A1645,pg_transaction_cleaned!$F:$F,"CAPTURE")</f>
        <v>799</v>
      </c>
      <c r="L1645" s="23">
        <f>COUNTIFS(pg_transaction_cleaned!$O:$O,A1645,pg_transaction_cleaned!$F:$F,"REFUND")</f>
        <v>0</v>
      </c>
      <c r="M1645" s="39">
        <f>SUMIFS(pg_transaction_cleaned!$H:$H,pg_transaction_cleaned!$O:$O,A1645,pg_transaction_cleaned!$F:$F,"REFUND")</f>
        <v>0</v>
      </c>
      <c r="N1645" s="23" t="str">
        <f t="shared" si="102"/>
        <v>OK</v>
      </c>
      <c r="O1645" s="24">
        <f t="shared" si="103"/>
        <v>0</v>
      </c>
    </row>
    <row r="1646" spans="1:15" ht="15" customHeight="1" x14ac:dyDescent="0.3">
      <c r="A1646" s="23" t="s">
        <v>3775</v>
      </c>
      <c r="B1646" s="38">
        <v>46269</v>
      </c>
      <c r="C1646" s="23" t="s">
        <v>3776</v>
      </c>
      <c r="D1646" s="23" t="s">
        <v>90</v>
      </c>
      <c r="E1646" s="23" t="s">
        <v>75</v>
      </c>
      <c r="F1646" s="23" t="s">
        <v>441</v>
      </c>
      <c r="G1646" s="23" t="s">
        <v>250</v>
      </c>
      <c r="H1646" s="39">
        <f t="shared" si="100"/>
        <v>9998</v>
      </c>
      <c r="I1646" s="23" t="str">
        <f t="shared" si="101"/>
        <v>Ahmedabad</v>
      </c>
      <c r="J1646" s="23">
        <f>COUNTIFS(pg_transaction_cleaned!$O:$O,A1646,pg_transaction_cleaned!$F:$F,"CAPTURE")</f>
        <v>1</v>
      </c>
      <c r="K1646" s="39">
        <f>SUMIFS(pg_transaction_cleaned!$H:$H,pg_transaction_cleaned!$O:$O,A1646,pg_transaction_cleaned!$F:$F,"CAPTURE")</f>
        <v>9998</v>
      </c>
      <c r="L1646" s="23">
        <f>COUNTIFS(pg_transaction_cleaned!$O:$O,A1646,pg_transaction_cleaned!$F:$F,"REFUND")</f>
        <v>0</v>
      </c>
      <c r="M1646" s="39">
        <f>SUMIFS(pg_transaction_cleaned!$H:$H,pg_transaction_cleaned!$O:$O,A1646,pg_transaction_cleaned!$F:$F,"REFUND")</f>
        <v>0</v>
      </c>
      <c r="N1646" s="23" t="str">
        <f t="shared" si="102"/>
        <v>OK</v>
      </c>
      <c r="O1646" s="24">
        <f t="shared" si="103"/>
        <v>0</v>
      </c>
    </row>
    <row r="1647" spans="1:15" ht="15" customHeight="1" x14ac:dyDescent="0.3">
      <c r="A1647" s="23" t="s">
        <v>3777</v>
      </c>
      <c r="B1647" s="38">
        <v>46279</v>
      </c>
      <c r="C1647" s="23" t="s">
        <v>3778</v>
      </c>
      <c r="D1647" s="23" t="s">
        <v>91</v>
      </c>
      <c r="E1647" s="23" t="s">
        <v>81</v>
      </c>
      <c r="F1647" s="23" t="s">
        <v>307</v>
      </c>
      <c r="G1647" s="23" t="s">
        <v>250</v>
      </c>
      <c r="H1647" s="39">
        <f t="shared" si="100"/>
        <v>3798</v>
      </c>
      <c r="I1647" s="23" t="str">
        <f t="shared" si="101"/>
        <v>Pune</v>
      </c>
      <c r="J1647" s="23">
        <f>COUNTIFS(pg_transaction_cleaned!$O:$O,A1647,pg_transaction_cleaned!$F:$F,"CAPTURE")</f>
        <v>1</v>
      </c>
      <c r="K1647" s="39">
        <f>SUMIFS(pg_transaction_cleaned!$H:$H,pg_transaction_cleaned!$O:$O,A1647,pg_transaction_cleaned!$F:$F,"CAPTURE")</f>
        <v>3798</v>
      </c>
      <c r="L1647" s="23">
        <f>COUNTIFS(pg_transaction_cleaned!$O:$O,A1647,pg_transaction_cleaned!$F:$F,"REFUND")</f>
        <v>0</v>
      </c>
      <c r="M1647" s="39">
        <f>SUMIFS(pg_transaction_cleaned!$H:$H,pg_transaction_cleaned!$O:$O,A1647,pg_transaction_cleaned!$F:$F,"REFUND")</f>
        <v>0</v>
      </c>
      <c r="N1647" s="23" t="str">
        <f t="shared" si="102"/>
        <v>OK</v>
      </c>
      <c r="O1647" s="24">
        <f t="shared" si="103"/>
        <v>0</v>
      </c>
    </row>
    <row r="1648" spans="1:15" ht="15" customHeight="1" x14ac:dyDescent="0.3">
      <c r="A1648" s="23" t="s">
        <v>3779</v>
      </c>
      <c r="B1648" s="38">
        <v>46285</v>
      </c>
      <c r="C1648" s="23" t="s">
        <v>3780</v>
      </c>
      <c r="D1648" s="23" t="s">
        <v>91</v>
      </c>
      <c r="E1648" s="23" t="s">
        <v>75</v>
      </c>
      <c r="F1648" s="23" t="s">
        <v>950</v>
      </c>
      <c r="G1648" s="23" t="s">
        <v>250</v>
      </c>
      <c r="H1648" s="39">
        <f t="shared" si="100"/>
        <v>1898</v>
      </c>
      <c r="I1648" s="23" t="str">
        <f t="shared" si="101"/>
        <v>Pune</v>
      </c>
      <c r="J1648" s="23">
        <f>COUNTIFS(pg_transaction_cleaned!$O:$O,A1648,pg_transaction_cleaned!$F:$F,"CAPTURE")</f>
        <v>1</v>
      </c>
      <c r="K1648" s="39">
        <f>SUMIFS(pg_transaction_cleaned!$H:$H,pg_transaction_cleaned!$O:$O,A1648,pg_transaction_cleaned!$F:$F,"CAPTURE")</f>
        <v>1898</v>
      </c>
      <c r="L1648" s="23">
        <f>COUNTIFS(pg_transaction_cleaned!$O:$O,A1648,pg_transaction_cleaned!$F:$F,"REFUND")</f>
        <v>0</v>
      </c>
      <c r="M1648" s="39">
        <f>SUMIFS(pg_transaction_cleaned!$H:$H,pg_transaction_cleaned!$O:$O,A1648,pg_transaction_cleaned!$F:$F,"REFUND")</f>
        <v>0</v>
      </c>
      <c r="N1648" s="23" t="str">
        <f t="shared" si="102"/>
        <v>OK</v>
      </c>
      <c r="O1648" s="24">
        <f t="shared" si="103"/>
        <v>0</v>
      </c>
    </row>
    <row r="1649" spans="1:15" ht="15" customHeight="1" x14ac:dyDescent="0.3">
      <c r="A1649" s="23" t="s">
        <v>3781</v>
      </c>
      <c r="B1649" s="38">
        <v>46280</v>
      </c>
      <c r="C1649" s="23" t="s">
        <v>3782</v>
      </c>
      <c r="D1649" s="23" t="s">
        <v>92</v>
      </c>
      <c r="E1649" s="23" t="s">
        <v>75</v>
      </c>
      <c r="F1649" s="23" t="s">
        <v>249</v>
      </c>
      <c r="G1649" s="23" t="s">
        <v>318</v>
      </c>
      <c r="H1649" s="39">
        <f t="shared" si="100"/>
        <v>299</v>
      </c>
      <c r="I1649" s="23" t="str">
        <f t="shared" si="101"/>
        <v>Hyderabad</v>
      </c>
      <c r="J1649" s="23">
        <f>COUNTIFS(pg_transaction_cleaned!$O:$O,A1649,pg_transaction_cleaned!$F:$F,"CAPTURE")</f>
        <v>0</v>
      </c>
      <c r="K1649" s="39">
        <f>SUMIFS(pg_transaction_cleaned!$H:$H,pg_transaction_cleaned!$O:$O,A1649,pg_transaction_cleaned!$F:$F,"CAPTURE")</f>
        <v>0</v>
      </c>
      <c r="L1649" s="23">
        <f>COUNTIFS(pg_transaction_cleaned!$O:$O,A1649,pg_transaction_cleaned!$F:$F,"REFUND")</f>
        <v>0</v>
      </c>
      <c r="M1649" s="39">
        <f>SUMIFS(pg_transaction_cleaned!$H:$H,pg_transaction_cleaned!$O:$O,A1649,pg_transaction_cleaned!$F:$F,"REFUND")</f>
        <v>0</v>
      </c>
      <c r="N1649" s="23" t="str">
        <f t="shared" si="102"/>
        <v>OK</v>
      </c>
      <c r="O1649" s="24">
        <f t="shared" si="103"/>
        <v>0</v>
      </c>
    </row>
    <row r="1650" spans="1:15" ht="15" customHeight="1" x14ac:dyDescent="0.3">
      <c r="A1650" s="23" t="s">
        <v>3783</v>
      </c>
      <c r="B1650" s="38">
        <v>46285</v>
      </c>
      <c r="C1650" s="23" t="s">
        <v>3784</v>
      </c>
      <c r="D1650" s="23" t="s">
        <v>93</v>
      </c>
      <c r="E1650" s="23" t="s">
        <v>75</v>
      </c>
      <c r="F1650" s="23" t="s">
        <v>1693</v>
      </c>
      <c r="G1650" s="23" t="s">
        <v>250</v>
      </c>
      <c r="H1650" s="39">
        <f t="shared" si="100"/>
        <v>4097</v>
      </c>
      <c r="I1650" s="23" t="str">
        <f t="shared" si="101"/>
        <v>Kolkata</v>
      </c>
      <c r="J1650" s="23">
        <f>COUNTIFS(pg_transaction_cleaned!$O:$O,A1650,pg_transaction_cleaned!$F:$F,"CAPTURE")</f>
        <v>1</v>
      </c>
      <c r="K1650" s="39">
        <f>SUMIFS(pg_transaction_cleaned!$H:$H,pg_transaction_cleaned!$O:$O,A1650,pg_transaction_cleaned!$F:$F,"CAPTURE")</f>
        <v>4097</v>
      </c>
      <c r="L1650" s="23">
        <f>COUNTIFS(pg_transaction_cleaned!$O:$O,A1650,pg_transaction_cleaned!$F:$F,"REFUND")</f>
        <v>0</v>
      </c>
      <c r="M1650" s="39">
        <f>SUMIFS(pg_transaction_cleaned!$H:$H,pg_transaction_cleaned!$O:$O,A1650,pg_transaction_cleaned!$F:$F,"REFUND")</f>
        <v>0</v>
      </c>
      <c r="N1650" s="23" t="str">
        <f t="shared" si="102"/>
        <v>OK</v>
      </c>
      <c r="O1650" s="24">
        <f t="shared" si="103"/>
        <v>0</v>
      </c>
    </row>
    <row r="1651" spans="1:15" ht="15" customHeight="1" x14ac:dyDescent="0.3">
      <c r="A1651" s="23" t="s">
        <v>3785</v>
      </c>
      <c r="B1651" s="38">
        <v>46291</v>
      </c>
      <c r="C1651" s="23" t="s">
        <v>3786</v>
      </c>
      <c r="D1651" s="23" t="s">
        <v>94</v>
      </c>
      <c r="E1651" s="23" t="s">
        <v>75</v>
      </c>
      <c r="F1651" s="23" t="s">
        <v>265</v>
      </c>
      <c r="G1651" s="23" t="s">
        <v>250</v>
      </c>
      <c r="H1651" s="39">
        <f t="shared" si="100"/>
        <v>999</v>
      </c>
      <c r="I1651" s="23" t="str">
        <f t="shared" si="101"/>
        <v>Chennai</v>
      </c>
      <c r="J1651" s="23">
        <f>COUNTIFS(pg_transaction_cleaned!$O:$O,A1651,pg_transaction_cleaned!$F:$F,"CAPTURE")</f>
        <v>1</v>
      </c>
      <c r="K1651" s="39">
        <f>SUMIFS(pg_transaction_cleaned!$H:$H,pg_transaction_cleaned!$O:$O,A1651,pg_transaction_cleaned!$F:$F,"CAPTURE")</f>
        <v>999</v>
      </c>
      <c r="L1651" s="23">
        <f>COUNTIFS(pg_transaction_cleaned!$O:$O,A1651,pg_transaction_cleaned!$F:$F,"REFUND")</f>
        <v>0</v>
      </c>
      <c r="M1651" s="39">
        <f>SUMIFS(pg_transaction_cleaned!$H:$H,pg_transaction_cleaned!$O:$O,A1651,pg_transaction_cleaned!$F:$F,"REFUND")</f>
        <v>0</v>
      </c>
      <c r="N1651" s="23" t="str">
        <f t="shared" si="102"/>
        <v>OK</v>
      </c>
      <c r="O1651" s="24">
        <f t="shared" si="103"/>
        <v>0</v>
      </c>
    </row>
    <row r="1652" spans="1:15" ht="15" customHeight="1" x14ac:dyDescent="0.3">
      <c r="A1652" s="23" t="s">
        <v>3787</v>
      </c>
      <c r="B1652" s="38">
        <v>46270</v>
      </c>
      <c r="C1652" s="23" t="s">
        <v>3788</v>
      </c>
      <c r="D1652" s="23" t="s">
        <v>95</v>
      </c>
      <c r="E1652" s="23" t="s">
        <v>79</v>
      </c>
      <c r="F1652" s="23" t="s">
        <v>274</v>
      </c>
      <c r="G1652" s="23" t="s">
        <v>250</v>
      </c>
      <c r="H1652" s="39">
        <f t="shared" si="100"/>
        <v>349</v>
      </c>
      <c r="I1652" s="23" t="str">
        <f t="shared" si="101"/>
        <v>Bengaluru</v>
      </c>
      <c r="J1652" s="23">
        <f>COUNTIFS(pg_transaction_cleaned!$O:$O,A1652,pg_transaction_cleaned!$F:$F,"CAPTURE")</f>
        <v>1</v>
      </c>
      <c r="K1652" s="39">
        <f>SUMIFS(pg_transaction_cleaned!$H:$H,pg_transaction_cleaned!$O:$O,A1652,pg_transaction_cleaned!$F:$F,"CAPTURE")</f>
        <v>349</v>
      </c>
      <c r="L1652" s="23">
        <f>COUNTIFS(pg_transaction_cleaned!$O:$O,A1652,pg_transaction_cleaned!$F:$F,"REFUND")</f>
        <v>0</v>
      </c>
      <c r="M1652" s="39">
        <f>SUMIFS(pg_transaction_cleaned!$H:$H,pg_transaction_cleaned!$O:$O,A1652,pg_transaction_cleaned!$F:$F,"REFUND")</f>
        <v>0</v>
      </c>
      <c r="N1652" s="23" t="str">
        <f t="shared" si="102"/>
        <v>OK</v>
      </c>
      <c r="O1652" s="24">
        <f t="shared" si="103"/>
        <v>0</v>
      </c>
    </row>
    <row r="1653" spans="1:15" ht="15" customHeight="1" x14ac:dyDescent="0.3">
      <c r="A1653" s="23" t="s">
        <v>3789</v>
      </c>
      <c r="B1653" s="38">
        <v>46280</v>
      </c>
      <c r="C1653" s="23" t="s">
        <v>3790</v>
      </c>
      <c r="D1653" s="23" t="s">
        <v>92</v>
      </c>
      <c r="E1653" s="23" t="s">
        <v>79</v>
      </c>
      <c r="F1653" s="23" t="s">
        <v>499</v>
      </c>
      <c r="G1653" s="23" t="s">
        <v>365</v>
      </c>
      <c r="H1653" s="39">
        <f t="shared" si="100"/>
        <v>5998</v>
      </c>
      <c r="I1653" s="23" t="str">
        <f t="shared" si="101"/>
        <v>Hyderabad</v>
      </c>
      <c r="J1653" s="23">
        <f>COUNTIFS(pg_transaction_cleaned!$O:$O,A1653,pg_transaction_cleaned!$F:$F,"CAPTURE")</f>
        <v>0</v>
      </c>
      <c r="K1653" s="39">
        <f>SUMIFS(pg_transaction_cleaned!$H:$H,pg_transaction_cleaned!$O:$O,A1653,pg_transaction_cleaned!$F:$F,"CAPTURE")</f>
        <v>0</v>
      </c>
      <c r="L1653" s="23">
        <f>COUNTIFS(pg_transaction_cleaned!$O:$O,A1653,pg_transaction_cleaned!$F:$F,"REFUND")</f>
        <v>0</v>
      </c>
      <c r="M1653" s="39">
        <f>SUMIFS(pg_transaction_cleaned!$H:$H,pg_transaction_cleaned!$O:$O,A1653,pg_transaction_cleaned!$F:$F,"REFUND")</f>
        <v>0</v>
      </c>
      <c r="N1653" s="23" t="str">
        <f t="shared" si="102"/>
        <v>OK</v>
      </c>
      <c r="O1653" s="24">
        <f t="shared" si="103"/>
        <v>0</v>
      </c>
    </row>
    <row r="1654" spans="1:15" ht="15" customHeight="1" x14ac:dyDescent="0.3">
      <c r="A1654" s="23" t="s">
        <v>3791</v>
      </c>
      <c r="B1654" s="38">
        <v>46285</v>
      </c>
      <c r="C1654" s="23" t="s">
        <v>3792</v>
      </c>
      <c r="D1654" s="23" t="s">
        <v>91</v>
      </c>
      <c r="E1654" s="23" t="s">
        <v>79</v>
      </c>
      <c r="F1654" s="23" t="s">
        <v>294</v>
      </c>
      <c r="G1654" s="23" t="s">
        <v>250</v>
      </c>
      <c r="H1654" s="39">
        <f t="shared" si="100"/>
        <v>1799</v>
      </c>
      <c r="I1654" s="23" t="str">
        <f t="shared" si="101"/>
        <v>Pune</v>
      </c>
      <c r="J1654" s="23">
        <f>COUNTIFS(pg_transaction_cleaned!$O:$O,A1654,pg_transaction_cleaned!$F:$F,"CAPTURE")</f>
        <v>1</v>
      </c>
      <c r="K1654" s="39">
        <f>SUMIFS(pg_transaction_cleaned!$H:$H,pg_transaction_cleaned!$O:$O,A1654,pg_transaction_cleaned!$F:$F,"CAPTURE")</f>
        <v>1799</v>
      </c>
      <c r="L1654" s="23">
        <f>COUNTIFS(pg_transaction_cleaned!$O:$O,A1654,pg_transaction_cleaned!$F:$F,"REFUND")</f>
        <v>0</v>
      </c>
      <c r="M1654" s="39">
        <f>SUMIFS(pg_transaction_cleaned!$H:$H,pg_transaction_cleaned!$O:$O,A1654,pg_transaction_cleaned!$F:$F,"REFUND")</f>
        <v>0</v>
      </c>
      <c r="N1654" s="23" t="str">
        <f t="shared" si="102"/>
        <v>OK</v>
      </c>
      <c r="O1654" s="24">
        <f t="shared" si="103"/>
        <v>0</v>
      </c>
    </row>
    <row r="1655" spans="1:15" ht="15" customHeight="1" x14ac:dyDescent="0.3">
      <c r="A1655" s="23" t="s">
        <v>3793</v>
      </c>
      <c r="B1655" s="38">
        <v>46284</v>
      </c>
      <c r="C1655" s="23" t="s">
        <v>3794</v>
      </c>
      <c r="D1655" s="23" t="s">
        <v>95</v>
      </c>
      <c r="E1655" s="23" t="s">
        <v>81</v>
      </c>
      <c r="F1655" s="23" t="s">
        <v>478</v>
      </c>
      <c r="G1655" s="23" t="s">
        <v>250</v>
      </c>
      <c r="H1655" s="39">
        <f t="shared" si="100"/>
        <v>9297</v>
      </c>
      <c r="I1655" s="23" t="str">
        <f t="shared" si="101"/>
        <v>Bengaluru</v>
      </c>
      <c r="J1655" s="23">
        <f>COUNTIFS(pg_transaction_cleaned!$O:$O,A1655,pg_transaction_cleaned!$F:$F,"CAPTURE")</f>
        <v>1</v>
      </c>
      <c r="K1655" s="39">
        <f>SUMIFS(pg_transaction_cleaned!$H:$H,pg_transaction_cleaned!$O:$O,A1655,pg_transaction_cleaned!$F:$F,"CAPTURE")</f>
        <v>9297</v>
      </c>
      <c r="L1655" s="23">
        <f>COUNTIFS(pg_transaction_cleaned!$O:$O,A1655,pg_transaction_cleaned!$F:$F,"REFUND")</f>
        <v>0</v>
      </c>
      <c r="M1655" s="39">
        <f>SUMIFS(pg_transaction_cleaned!$H:$H,pg_transaction_cleaned!$O:$O,A1655,pg_transaction_cleaned!$F:$F,"REFUND")</f>
        <v>0</v>
      </c>
      <c r="N1655" s="23" t="str">
        <f t="shared" si="102"/>
        <v>OK</v>
      </c>
      <c r="O1655" s="24">
        <f t="shared" si="103"/>
        <v>0</v>
      </c>
    </row>
    <row r="1656" spans="1:15" ht="15" customHeight="1" x14ac:dyDescent="0.3">
      <c r="A1656" s="23" t="s">
        <v>3795</v>
      </c>
      <c r="B1656" s="38">
        <v>46267</v>
      </c>
      <c r="C1656" s="23" t="s">
        <v>3796</v>
      </c>
      <c r="D1656" s="23" t="s">
        <v>90</v>
      </c>
      <c r="E1656" s="23" t="s">
        <v>75</v>
      </c>
      <c r="F1656" s="23" t="s">
        <v>349</v>
      </c>
      <c r="G1656" s="23" t="s">
        <v>301</v>
      </c>
      <c r="H1656" s="39">
        <f t="shared" si="100"/>
        <v>1798</v>
      </c>
      <c r="I1656" s="23" t="str">
        <f t="shared" si="101"/>
        <v>Ahmedabad</v>
      </c>
      <c r="J1656" s="23">
        <f>COUNTIFS(pg_transaction_cleaned!$O:$O,A1656,pg_transaction_cleaned!$F:$F,"CAPTURE")</f>
        <v>1</v>
      </c>
      <c r="K1656" s="39">
        <f>SUMIFS(pg_transaction_cleaned!$H:$H,pg_transaction_cleaned!$O:$O,A1656,pg_transaction_cleaned!$F:$F,"CAPTURE")</f>
        <v>1798</v>
      </c>
      <c r="L1656" s="23">
        <f>COUNTIFS(pg_transaction_cleaned!$O:$O,A1656,pg_transaction_cleaned!$F:$F,"REFUND")</f>
        <v>1</v>
      </c>
      <c r="M1656" s="39">
        <f>SUMIFS(pg_transaction_cleaned!$H:$H,pg_transaction_cleaned!$O:$O,A1656,pg_transaction_cleaned!$F:$F,"REFUND")</f>
        <v>1798</v>
      </c>
      <c r="N1656" s="23" t="str">
        <f t="shared" si="102"/>
        <v>OK</v>
      </c>
      <c r="O1656" s="24">
        <f t="shared" si="103"/>
        <v>0</v>
      </c>
    </row>
    <row r="1657" spans="1:15" ht="15" customHeight="1" x14ac:dyDescent="0.3">
      <c r="A1657" s="23" t="s">
        <v>3797</v>
      </c>
      <c r="B1657" s="38">
        <v>46271</v>
      </c>
      <c r="C1657" s="23" t="s">
        <v>3798</v>
      </c>
      <c r="D1657" s="23" t="s">
        <v>87</v>
      </c>
      <c r="E1657" s="23" t="s">
        <v>79</v>
      </c>
      <c r="F1657" s="23" t="s">
        <v>1193</v>
      </c>
      <c r="G1657" s="23" t="s">
        <v>250</v>
      </c>
      <c r="H1657" s="39">
        <f t="shared" si="100"/>
        <v>3498</v>
      </c>
      <c r="I1657" s="23" t="str">
        <f t="shared" si="101"/>
        <v>Mumbai</v>
      </c>
      <c r="J1657" s="23">
        <f>COUNTIFS(pg_transaction_cleaned!$O:$O,A1657,pg_transaction_cleaned!$F:$F,"CAPTURE")</f>
        <v>1</v>
      </c>
      <c r="K1657" s="39">
        <f>SUMIFS(pg_transaction_cleaned!$H:$H,pg_transaction_cleaned!$O:$O,A1657,pg_transaction_cleaned!$F:$F,"CAPTURE")</f>
        <v>3498</v>
      </c>
      <c r="L1657" s="23">
        <f>COUNTIFS(pg_transaction_cleaned!$O:$O,A1657,pg_transaction_cleaned!$F:$F,"REFUND")</f>
        <v>0</v>
      </c>
      <c r="M1657" s="39">
        <f>SUMIFS(pg_transaction_cleaned!$H:$H,pg_transaction_cleaned!$O:$O,A1657,pg_transaction_cleaned!$F:$F,"REFUND")</f>
        <v>0</v>
      </c>
      <c r="N1657" s="23" t="str">
        <f t="shared" si="102"/>
        <v>OK</v>
      </c>
      <c r="O1657" s="24">
        <f t="shared" si="103"/>
        <v>0</v>
      </c>
    </row>
    <row r="1658" spans="1:15" ht="15" customHeight="1" x14ac:dyDescent="0.3">
      <c r="A1658" s="23" t="s">
        <v>3799</v>
      </c>
      <c r="B1658" s="38">
        <v>46286</v>
      </c>
      <c r="C1658" s="23" t="s">
        <v>3800</v>
      </c>
      <c r="D1658" s="23" t="s">
        <v>87</v>
      </c>
      <c r="E1658" s="23" t="s">
        <v>81</v>
      </c>
      <c r="F1658" s="23" t="s">
        <v>349</v>
      </c>
      <c r="G1658" s="23" t="s">
        <v>250</v>
      </c>
      <c r="H1658" s="39">
        <f t="shared" si="100"/>
        <v>1798</v>
      </c>
      <c r="I1658" s="23" t="str">
        <f t="shared" si="101"/>
        <v>Mumbai</v>
      </c>
      <c r="J1658" s="23">
        <f>COUNTIFS(pg_transaction_cleaned!$O:$O,A1658,pg_transaction_cleaned!$F:$F,"CAPTURE")</f>
        <v>1</v>
      </c>
      <c r="K1658" s="39">
        <f>SUMIFS(pg_transaction_cleaned!$H:$H,pg_transaction_cleaned!$O:$O,A1658,pg_transaction_cleaned!$F:$F,"CAPTURE")</f>
        <v>1798</v>
      </c>
      <c r="L1658" s="23">
        <f>COUNTIFS(pg_transaction_cleaned!$O:$O,A1658,pg_transaction_cleaned!$F:$F,"REFUND")</f>
        <v>0</v>
      </c>
      <c r="M1658" s="39">
        <f>SUMIFS(pg_transaction_cleaned!$H:$H,pg_transaction_cleaned!$O:$O,A1658,pg_transaction_cleaned!$F:$F,"REFUND")</f>
        <v>0</v>
      </c>
      <c r="N1658" s="23" t="str">
        <f t="shared" si="102"/>
        <v>OK</v>
      </c>
      <c r="O1658" s="24">
        <f t="shared" si="103"/>
        <v>0</v>
      </c>
    </row>
    <row r="1659" spans="1:15" ht="15" customHeight="1" x14ac:dyDescent="0.3">
      <c r="A1659" s="23" t="s">
        <v>3801</v>
      </c>
      <c r="B1659" s="38">
        <v>46294</v>
      </c>
      <c r="C1659" s="23" t="s">
        <v>3802</v>
      </c>
      <c r="D1659" s="23" t="s">
        <v>91</v>
      </c>
      <c r="E1659" s="23" t="s">
        <v>75</v>
      </c>
      <c r="F1659" s="23" t="s">
        <v>256</v>
      </c>
      <c r="G1659" s="23" t="s">
        <v>250</v>
      </c>
      <c r="H1659" s="39">
        <f t="shared" si="100"/>
        <v>2098</v>
      </c>
      <c r="I1659" s="23" t="str">
        <f t="shared" si="101"/>
        <v>Pune</v>
      </c>
      <c r="J1659" s="23">
        <f>COUNTIFS(pg_transaction_cleaned!$O:$O,A1659,pg_transaction_cleaned!$F:$F,"CAPTURE")</f>
        <v>1</v>
      </c>
      <c r="K1659" s="39">
        <f>SUMIFS(pg_transaction_cleaned!$H:$H,pg_transaction_cleaned!$O:$O,A1659,pg_transaction_cleaned!$F:$F,"CAPTURE")</f>
        <v>2098</v>
      </c>
      <c r="L1659" s="23">
        <f>COUNTIFS(pg_transaction_cleaned!$O:$O,A1659,pg_transaction_cleaned!$F:$F,"REFUND")</f>
        <v>0</v>
      </c>
      <c r="M1659" s="39">
        <f>SUMIFS(pg_transaction_cleaned!$H:$H,pg_transaction_cleaned!$O:$O,A1659,pg_transaction_cleaned!$F:$F,"REFUND")</f>
        <v>0</v>
      </c>
      <c r="N1659" s="23" t="str">
        <f t="shared" si="102"/>
        <v>OK</v>
      </c>
      <c r="O1659" s="24">
        <f t="shared" si="103"/>
        <v>0</v>
      </c>
    </row>
    <row r="1660" spans="1:15" ht="15" customHeight="1" x14ac:dyDescent="0.3">
      <c r="A1660" s="23" t="s">
        <v>3803</v>
      </c>
      <c r="B1660" s="38">
        <v>46292</v>
      </c>
      <c r="C1660" s="23" t="s">
        <v>3804</v>
      </c>
      <c r="D1660" s="23" t="s">
        <v>91</v>
      </c>
      <c r="E1660" s="23" t="s">
        <v>79</v>
      </c>
      <c r="F1660" s="23" t="s">
        <v>288</v>
      </c>
      <c r="G1660" s="23" t="s">
        <v>250</v>
      </c>
      <c r="H1660" s="39">
        <f t="shared" si="100"/>
        <v>4298</v>
      </c>
      <c r="I1660" s="23" t="str">
        <f t="shared" si="101"/>
        <v>Pune</v>
      </c>
      <c r="J1660" s="23">
        <f>COUNTIFS(pg_transaction_cleaned!$O:$O,A1660,pg_transaction_cleaned!$F:$F,"CAPTURE")</f>
        <v>1</v>
      </c>
      <c r="K1660" s="39">
        <f>SUMIFS(pg_transaction_cleaned!$H:$H,pg_transaction_cleaned!$O:$O,A1660,pg_transaction_cleaned!$F:$F,"CAPTURE")</f>
        <v>4298</v>
      </c>
      <c r="L1660" s="23">
        <f>COUNTIFS(pg_transaction_cleaned!$O:$O,A1660,pg_transaction_cleaned!$F:$F,"REFUND")</f>
        <v>0</v>
      </c>
      <c r="M1660" s="39">
        <f>SUMIFS(pg_transaction_cleaned!$H:$H,pg_transaction_cleaned!$O:$O,A1660,pg_transaction_cleaned!$F:$F,"REFUND")</f>
        <v>0</v>
      </c>
      <c r="N1660" s="23" t="str">
        <f t="shared" si="102"/>
        <v>OK</v>
      </c>
      <c r="O1660" s="24">
        <f t="shared" si="103"/>
        <v>0</v>
      </c>
    </row>
    <row r="1661" spans="1:15" ht="15" customHeight="1" x14ac:dyDescent="0.3">
      <c r="A1661" s="23" t="s">
        <v>3805</v>
      </c>
      <c r="B1661" s="38">
        <v>46283</v>
      </c>
      <c r="C1661" s="23" t="s">
        <v>3806</v>
      </c>
      <c r="D1661" s="23" t="s">
        <v>90</v>
      </c>
      <c r="E1661" s="23" t="s">
        <v>75</v>
      </c>
      <c r="F1661" s="23" t="s">
        <v>315</v>
      </c>
      <c r="G1661" s="23" t="s">
        <v>250</v>
      </c>
      <c r="H1661" s="39">
        <f t="shared" si="100"/>
        <v>1499</v>
      </c>
      <c r="I1661" s="23" t="str">
        <f t="shared" si="101"/>
        <v>Ahmedabad</v>
      </c>
      <c r="J1661" s="23">
        <f>COUNTIFS(pg_transaction_cleaned!$O:$O,A1661,pg_transaction_cleaned!$F:$F,"CAPTURE")</f>
        <v>1</v>
      </c>
      <c r="K1661" s="39">
        <f>SUMIFS(pg_transaction_cleaned!$H:$H,pg_transaction_cleaned!$O:$O,A1661,pg_transaction_cleaned!$F:$F,"CAPTURE")</f>
        <v>1499</v>
      </c>
      <c r="L1661" s="23">
        <f>COUNTIFS(pg_transaction_cleaned!$O:$O,A1661,pg_transaction_cleaned!$F:$F,"REFUND")</f>
        <v>0</v>
      </c>
      <c r="M1661" s="39">
        <f>SUMIFS(pg_transaction_cleaned!$H:$H,pg_transaction_cleaned!$O:$O,A1661,pg_transaction_cleaned!$F:$F,"REFUND")</f>
        <v>0</v>
      </c>
      <c r="N1661" s="23" t="str">
        <f t="shared" si="102"/>
        <v>OK</v>
      </c>
      <c r="O1661" s="24">
        <f t="shared" si="103"/>
        <v>0</v>
      </c>
    </row>
    <row r="1662" spans="1:15" ht="15" customHeight="1" x14ac:dyDescent="0.3">
      <c r="A1662" s="23" t="s">
        <v>3807</v>
      </c>
      <c r="B1662" s="38">
        <v>46293</v>
      </c>
      <c r="C1662" s="23" t="s">
        <v>3808</v>
      </c>
      <c r="D1662" s="23" t="s">
        <v>87</v>
      </c>
      <c r="E1662" s="23" t="s">
        <v>75</v>
      </c>
      <c r="F1662" s="23" t="s">
        <v>1067</v>
      </c>
      <c r="G1662" s="23" t="s">
        <v>318</v>
      </c>
      <c r="H1662" s="39">
        <f t="shared" si="100"/>
        <v>9347</v>
      </c>
      <c r="I1662" s="23" t="str">
        <f t="shared" si="101"/>
        <v>Mumbai</v>
      </c>
      <c r="J1662" s="23">
        <f>COUNTIFS(pg_transaction_cleaned!$O:$O,A1662,pg_transaction_cleaned!$F:$F,"CAPTURE")</f>
        <v>0</v>
      </c>
      <c r="K1662" s="39">
        <f>SUMIFS(pg_transaction_cleaned!$H:$H,pg_transaction_cleaned!$O:$O,A1662,pg_transaction_cleaned!$F:$F,"CAPTURE")</f>
        <v>0</v>
      </c>
      <c r="L1662" s="23">
        <f>COUNTIFS(pg_transaction_cleaned!$O:$O,A1662,pg_transaction_cleaned!$F:$F,"REFUND")</f>
        <v>0</v>
      </c>
      <c r="M1662" s="39">
        <f>SUMIFS(pg_transaction_cleaned!$H:$H,pg_transaction_cleaned!$O:$O,A1662,pg_transaction_cleaned!$F:$F,"REFUND")</f>
        <v>0</v>
      </c>
      <c r="N1662" s="23" t="str">
        <f t="shared" si="102"/>
        <v>OK</v>
      </c>
      <c r="O1662" s="24">
        <f t="shared" si="103"/>
        <v>0</v>
      </c>
    </row>
    <row r="1663" spans="1:15" ht="15" customHeight="1" x14ac:dyDescent="0.3">
      <c r="A1663" s="23" t="s">
        <v>3809</v>
      </c>
      <c r="B1663" s="38">
        <v>46292</v>
      </c>
      <c r="C1663" s="23" t="s">
        <v>3810</v>
      </c>
      <c r="D1663" s="23" t="s">
        <v>95</v>
      </c>
      <c r="E1663" s="23" t="s">
        <v>75</v>
      </c>
      <c r="F1663" s="23" t="s">
        <v>262</v>
      </c>
      <c r="G1663" s="23" t="s">
        <v>250</v>
      </c>
      <c r="H1663" s="39">
        <f t="shared" si="100"/>
        <v>499</v>
      </c>
      <c r="I1663" s="23" t="str">
        <f t="shared" si="101"/>
        <v>Bengaluru</v>
      </c>
      <c r="J1663" s="23">
        <f>COUNTIFS(pg_transaction_cleaned!$O:$O,A1663,pg_transaction_cleaned!$F:$F,"CAPTURE")</f>
        <v>1</v>
      </c>
      <c r="K1663" s="39">
        <f>SUMIFS(pg_transaction_cleaned!$H:$H,pg_transaction_cleaned!$O:$O,A1663,pg_transaction_cleaned!$F:$F,"CAPTURE")</f>
        <v>499</v>
      </c>
      <c r="L1663" s="23">
        <f>COUNTIFS(pg_transaction_cleaned!$O:$O,A1663,pg_transaction_cleaned!$F:$F,"REFUND")</f>
        <v>0</v>
      </c>
      <c r="M1663" s="39">
        <f>SUMIFS(pg_transaction_cleaned!$H:$H,pg_transaction_cleaned!$O:$O,A1663,pg_transaction_cleaned!$F:$F,"REFUND")</f>
        <v>0</v>
      </c>
      <c r="N1663" s="23" t="str">
        <f t="shared" si="102"/>
        <v>OK</v>
      </c>
      <c r="O1663" s="24">
        <f t="shared" si="103"/>
        <v>0</v>
      </c>
    </row>
    <row r="1664" spans="1:15" ht="15" customHeight="1" x14ac:dyDescent="0.3">
      <c r="A1664" s="23" t="s">
        <v>3811</v>
      </c>
      <c r="B1664" s="38">
        <v>46271</v>
      </c>
      <c r="C1664" s="23" t="s">
        <v>3812</v>
      </c>
      <c r="D1664" s="23" t="s">
        <v>87</v>
      </c>
      <c r="E1664" s="23" t="s">
        <v>81</v>
      </c>
      <c r="F1664" s="23" t="s">
        <v>329</v>
      </c>
      <c r="G1664" s="23" t="s">
        <v>250</v>
      </c>
      <c r="H1664" s="39">
        <f t="shared" si="100"/>
        <v>599</v>
      </c>
      <c r="I1664" s="23" t="str">
        <f t="shared" si="101"/>
        <v>Mumbai</v>
      </c>
      <c r="J1664" s="23">
        <f>COUNTIFS(pg_transaction_cleaned!$O:$O,A1664,pg_transaction_cleaned!$F:$F,"CAPTURE")</f>
        <v>1</v>
      </c>
      <c r="K1664" s="39">
        <f>SUMIFS(pg_transaction_cleaned!$H:$H,pg_transaction_cleaned!$O:$O,A1664,pg_transaction_cleaned!$F:$F,"CAPTURE")</f>
        <v>599</v>
      </c>
      <c r="L1664" s="23">
        <f>COUNTIFS(pg_transaction_cleaned!$O:$O,A1664,pg_transaction_cleaned!$F:$F,"REFUND")</f>
        <v>0</v>
      </c>
      <c r="M1664" s="39">
        <f>SUMIFS(pg_transaction_cleaned!$H:$H,pg_transaction_cleaned!$O:$O,A1664,pg_transaction_cleaned!$F:$F,"REFUND")</f>
        <v>0</v>
      </c>
      <c r="N1664" s="23" t="str">
        <f t="shared" si="102"/>
        <v>OK</v>
      </c>
      <c r="O1664" s="24">
        <f t="shared" si="103"/>
        <v>0</v>
      </c>
    </row>
    <row r="1665" spans="1:15" ht="15" customHeight="1" x14ac:dyDescent="0.3">
      <c r="A1665" s="23" t="s">
        <v>3813</v>
      </c>
      <c r="B1665" s="38">
        <v>46295</v>
      </c>
      <c r="C1665" s="23" t="s">
        <v>3814</v>
      </c>
      <c r="D1665" s="23" t="s">
        <v>92</v>
      </c>
      <c r="E1665" s="23" t="s">
        <v>75</v>
      </c>
      <c r="F1665" s="23" t="s">
        <v>1021</v>
      </c>
      <c r="G1665" s="23" t="s">
        <v>365</v>
      </c>
      <c r="H1665" s="39">
        <f t="shared" si="100"/>
        <v>9097</v>
      </c>
      <c r="I1665" s="23" t="str">
        <f t="shared" si="101"/>
        <v>Hyderabad</v>
      </c>
      <c r="J1665" s="23">
        <f>COUNTIFS(pg_transaction_cleaned!$O:$O,A1665,pg_transaction_cleaned!$F:$F,"CAPTURE")</f>
        <v>0</v>
      </c>
      <c r="K1665" s="39">
        <f>SUMIFS(pg_transaction_cleaned!$H:$H,pg_transaction_cleaned!$O:$O,A1665,pg_transaction_cleaned!$F:$F,"CAPTURE")</f>
        <v>0</v>
      </c>
      <c r="L1665" s="23">
        <f>COUNTIFS(pg_transaction_cleaned!$O:$O,A1665,pg_transaction_cleaned!$F:$F,"REFUND")</f>
        <v>0</v>
      </c>
      <c r="M1665" s="39">
        <f>SUMIFS(pg_transaction_cleaned!$H:$H,pg_transaction_cleaned!$O:$O,A1665,pg_transaction_cleaned!$F:$F,"REFUND")</f>
        <v>0</v>
      </c>
      <c r="N1665" s="23" t="str">
        <f t="shared" si="102"/>
        <v>OK</v>
      </c>
      <c r="O1665" s="24">
        <f t="shared" si="103"/>
        <v>0</v>
      </c>
    </row>
    <row r="1666" spans="1:15" ht="15" customHeight="1" x14ac:dyDescent="0.3">
      <c r="A1666" s="23" t="s">
        <v>3815</v>
      </c>
      <c r="B1666" s="38">
        <v>46268</v>
      </c>
      <c r="C1666" s="23" t="s">
        <v>3816</v>
      </c>
      <c r="D1666" s="23" t="s">
        <v>92</v>
      </c>
      <c r="E1666" s="23" t="s">
        <v>79</v>
      </c>
      <c r="F1666" s="23" t="s">
        <v>265</v>
      </c>
      <c r="G1666" s="23" t="s">
        <v>250</v>
      </c>
      <c r="H1666" s="39">
        <f t="shared" ref="H1666:H1729" si="104">VALUE(SUBSTITUTE(F1666,",",""))</f>
        <v>999</v>
      </c>
      <c r="I1666" s="23" t="str">
        <f t="shared" ref="I1666:I1729" si="105">IF(TRIM(D1666)="","Unknown",TRIM(D1666))</f>
        <v>Hyderabad</v>
      </c>
      <c r="J1666" s="23">
        <f>COUNTIFS(pg_transaction_cleaned!$O:$O,A1666,pg_transaction_cleaned!$F:$F,"CAPTURE")</f>
        <v>1</v>
      </c>
      <c r="K1666" s="39">
        <f>SUMIFS(pg_transaction_cleaned!$H:$H,pg_transaction_cleaned!$O:$O,A1666,pg_transaction_cleaned!$F:$F,"CAPTURE")</f>
        <v>999</v>
      </c>
      <c r="L1666" s="23">
        <f>COUNTIFS(pg_transaction_cleaned!$O:$O,A1666,pg_transaction_cleaned!$F:$F,"REFUND")</f>
        <v>0</v>
      </c>
      <c r="M1666" s="39">
        <f>SUMIFS(pg_transaction_cleaned!$H:$H,pg_transaction_cleaned!$O:$O,A1666,pg_transaction_cleaned!$F:$F,"REFUND")</f>
        <v>0</v>
      </c>
      <c r="N1666" s="23" t="str">
        <f t="shared" ref="N1666:N1729" si="106">IF(AND(G1666="Paid",J1666=0),"Paid, no payment",IF(AND(OR(G1666="Failed",G1666="Cancelled"),J1666&gt;0),"Payment on failed/cancelled",IF(J1666&gt;1,"Duplicate charge",IF(AND(J1666=1,ROUND(K1666-H1666,2)&lt;&gt;0),"Amount difference",IF(AND(G1666="Refunded",L1666=0),"Refunded, no refund",IF(AND(G1666&lt;&gt;"Refunded",L1666&gt;0),"Refund, order not Refunded",IF(AND(L1666&gt;0,ROUND(M1666-H1666,2)&lt;&gt;0),"Refund amount differs","OK")))))))</f>
        <v>OK</v>
      </c>
      <c r="O1666" s="24">
        <f t="shared" ref="O1666:O1729" si="107">IF(N1666="OK",0,IF(N1666="Paid, no payment",H1666,IF(N1666="Payment on failed/cancelled",K1666,IF(OR(N1666="Duplicate charge",N1666="Amount difference"),K1666-H1666,IF(N1666="Refunded, no refund",H1666,M1666)))))</f>
        <v>0</v>
      </c>
    </row>
    <row r="1667" spans="1:15" ht="15" customHeight="1" x14ac:dyDescent="0.3">
      <c r="A1667" s="23" t="s">
        <v>3817</v>
      </c>
      <c r="B1667" s="38">
        <v>46288</v>
      </c>
      <c r="C1667" s="23" t="s">
        <v>3818</v>
      </c>
      <c r="D1667" s="23" t="s">
        <v>86</v>
      </c>
      <c r="E1667" s="23" t="s">
        <v>75</v>
      </c>
      <c r="F1667" s="23" t="s">
        <v>1520</v>
      </c>
      <c r="G1667" s="23" t="s">
        <v>250</v>
      </c>
      <c r="H1667" s="39">
        <f t="shared" si="104"/>
        <v>499</v>
      </c>
      <c r="I1667" s="23" t="str">
        <f t="shared" si="105"/>
        <v>Delhi</v>
      </c>
      <c r="J1667" s="23">
        <f>COUNTIFS(pg_transaction_cleaned!$O:$O,A1667,pg_transaction_cleaned!$F:$F,"CAPTURE")</f>
        <v>1</v>
      </c>
      <c r="K1667" s="39">
        <f>SUMIFS(pg_transaction_cleaned!$H:$H,pg_transaction_cleaned!$O:$O,A1667,pg_transaction_cleaned!$F:$F,"CAPTURE")</f>
        <v>499</v>
      </c>
      <c r="L1667" s="23">
        <f>COUNTIFS(pg_transaction_cleaned!$O:$O,A1667,pg_transaction_cleaned!$F:$F,"REFUND")</f>
        <v>0</v>
      </c>
      <c r="M1667" s="39">
        <f>SUMIFS(pg_transaction_cleaned!$H:$H,pg_transaction_cleaned!$O:$O,A1667,pg_transaction_cleaned!$F:$F,"REFUND")</f>
        <v>0</v>
      </c>
      <c r="N1667" s="23" t="str">
        <f t="shared" si="106"/>
        <v>OK</v>
      </c>
      <c r="O1667" s="24">
        <f t="shared" si="107"/>
        <v>0</v>
      </c>
    </row>
    <row r="1668" spans="1:15" ht="15" customHeight="1" x14ac:dyDescent="0.3">
      <c r="A1668" s="23" t="s">
        <v>3819</v>
      </c>
      <c r="B1668" s="38">
        <v>46290</v>
      </c>
      <c r="C1668" s="23" t="s">
        <v>3820</v>
      </c>
      <c r="D1668" s="23" t="s">
        <v>89</v>
      </c>
      <c r="E1668" s="23" t="s">
        <v>79</v>
      </c>
      <c r="F1668" s="23" t="s">
        <v>405</v>
      </c>
      <c r="G1668" s="23" t="s">
        <v>250</v>
      </c>
      <c r="H1668" s="39">
        <f t="shared" si="104"/>
        <v>9298</v>
      </c>
      <c r="I1668" s="23" t="str">
        <f t="shared" si="105"/>
        <v>Jaipur</v>
      </c>
      <c r="J1668" s="23">
        <f>COUNTIFS(pg_transaction_cleaned!$O:$O,A1668,pg_transaction_cleaned!$F:$F,"CAPTURE")</f>
        <v>1</v>
      </c>
      <c r="K1668" s="39">
        <f>SUMIFS(pg_transaction_cleaned!$H:$H,pg_transaction_cleaned!$O:$O,A1668,pg_transaction_cleaned!$F:$F,"CAPTURE")</f>
        <v>9298</v>
      </c>
      <c r="L1668" s="23">
        <f>COUNTIFS(pg_transaction_cleaned!$O:$O,A1668,pg_transaction_cleaned!$F:$F,"REFUND")</f>
        <v>0</v>
      </c>
      <c r="M1668" s="39">
        <f>SUMIFS(pg_transaction_cleaned!$H:$H,pg_transaction_cleaned!$O:$O,A1668,pg_transaction_cleaned!$F:$F,"REFUND")</f>
        <v>0</v>
      </c>
      <c r="N1668" s="23" t="str">
        <f t="shared" si="106"/>
        <v>OK</v>
      </c>
      <c r="O1668" s="24">
        <f t="shared" si="107"/>
        <v>0</v>
      </c>
    </row>
    <row r="1669" spans="1:15" ht="15" customHeight="1" x14ac:dyDescent="0.3">
      <c r="A1669" s="23" t="s">
        <v>3821</v>
      </c>
      <c r="B1669" s="38">
        <v>46273</v>
      </c>
      <c r="C1669" s="23" t="s">
        <v>3822</v>
      </c>
      <c r="D1669" s="23" t="s">
        <v>95</v>
      </c>
      <c r="E1669" s="23" t="s">
        <v>75</v>
      </c>
      <c r="F1669" s="23" t="s">
        <v>346</v>
      </c>
      <c r="G1669" s="23" t="s">
        <v>250</v>
      </c>
      <c r="H1669" s="39">
        <f t="shared" si="104"/>
        <v>4498</v>
      </c>
      <c r="I1669" s="23" t="str">
        <f t="shared" si="105"/>
        <v>Bengaluru</v>
      </c>
      <c r="J1669" s="23">
        <f>COUNTIFS(pg_transaction_cleaned!$O:$O,A1669,pg_transaction_cleaned!$F:$F,"CAPTURE")</f>
        <v>1</v>
      </c>
      <c r="K1669" s="39">
        <f>SUMIFS(pg_transaction_cleaned!$H:$H,pg_transaction_cleaned!$O:$O,A1669,pg_transaction_cleaned!$F:$F,"CAPTURE")</f>
        <v>4498</v>
      </c>
      <c r="L1669" s="23">
        <f>COUNTIFS(pg_transaction_cleaned!$O:$O,A1669,pg_transaction_cleaned!$F:$F,"REFUND")</f>
        <v>0</v>
      </c>
      <c r="M1669" s="39">
        <f>SUMIFS(pg_transaction_cleaned!$H:$H,pg_transaction_cleaned!$O:$O,A1669,pg_transaction_cleaned!$F:$F,"REFUND")</f>
        <v>0</v>
      </c>
      <c r="N1669" s="23" t="str">
        <f t="shared" si="106"/>
        <v>OK</v>
      </c>
      <c r="O1669" s="24">
        <f t="shared" si="107"/>
        <v>0</v>
      </c>
    </row>
    <row r="1670" spans="1:15" ht="15" customHeight="1" x14ac:dyDescent="0.3">
      <c r="A1670" s="23" t="s">
        <v>3823</v>
      </c>
      <c r="B1670" s="38">
        <v>46268</v>
      </c>
      <c r="C1670" s="23" t="s">
        <v>3824</v>
      </c>
      <c r="D1670" s="23" t="s">
        <v>95</v>
      </c>
      <c r="E1670" s="23" t="s">
        <v>75</v>
      </c>
      <c r="F1670" s="23" t="s">
        <v>297</v>
      </c>
      <c r="G1670" s="23" t="s">
        <v>250</v>
      </c>
      <c r="H1670" s="39">
        <f t="shared" si="104"/>
        <v>4999</v>
      </c>
      <c r="I1670" s="23" t="str">
        <f t="shared" si="105"/>
        <v>Bengaluru</v>
      </c>
      <c r="J1670" s="23">
        <f>COUNTIFS(pg_transaction_cleaned!$O:$O,A1670,pg_transaction_cleaned!$F:$F,"CAPTURE")</f>
        <v>1</v>
      </c>
      <c r="K1670" s="39">
        <f>SUMIFS(pg_transaction_cleaned!$H:$H,pg_transaction_cleaned!$O:$O,A1670,pg_transaction_cleaned!$F:$F,"CAPTURE")</f>
        <v>4999</v>
      </c>
      <c r="L1670" s="23">
        <f>COUNTIFS(pg_transaction_cleaned!$O:$O,A1670,pg_transaction_cleaned!$F:$F,"REFUND")</f>
        <v>0</v>
      </c>
      <c r="M1670" s="39">
        <f>SUMIFS(pg_transaction_cleaned!$H:$H,pg_transaction_cleaned!$O:$O,A1670,pg_transaction_cleaned!$F:$F,"REFUND")</f>
        <v>0</v>
      </c>
      <c r="N1670" s="23" t="str">
        <f t="shared" si="106"/>
        <v>OK</v>
      </c>
      <c r="O1670" s="24">
        <f t="shared" si="107"/>
        <v>0</v>
      </c>
    </row>
    <row r="1671" spans="1:15" ht="15" customHeight="1" x14ac:dyDescent="0.3">
      <c r="A1671" s="23" t="s">
        <v>3825</v>
      </c>
      <c r="B1671" s="38">
        <v>46287</v>
      </c>
      <c r="C1671" s="23" t="s">
        <v>3826</v>
      </c>
      <c r="D1671" s="23" t="s">
        <v>87</v>
      </c>
      <c r="E1671" s="23" t="s">
        <v>75</v>
      </c>
      <c r="F1671" s="23" t="s">
        <v>3354</v>
      </c>
      <c r="G1671" s="23" t="s">
        <v>250</v>
      </c>
      <c r="H1671" s="39">
        <f t="shared" si="104"/>
        <v>12097</v>
      </c>
      <c r="I1671" s="23" t="str">
        <f t="shared" si="105"/>
        <v>Mumbai</v>
      </c>
      <c r="J1671" s="23">
        <f>COUNTIFS(pg_transaction_cleaned!$O:$O,A1671,pg_transaction_cleaned!$F:$F,"CAPTURE")</f>
        <v>1</v>
      </c>
      <c r="K1671" s="39">
        <f>SUMIFS(pg_transaction_cleaned!$H:$H,pg_transaction_cleaned!$O:$O,A1671,pg_transaction_cleaned!$F:$F,"CAPTURE")</f>
        <v>12097</v>
      </c>
      <c r="L1671" s="23">
        <f>COUNTIFS(pg_transaction_cleaned!$O:$O,A1671,pg_transaction_cleaned!$F:$F,"REFUND")</f>
        <v>0</v>
      </c>
      <c r="M1671" s="39">
        <f>SUMIFS(pg_transaction_cleaned!$H:$H,pg_transaction_cleaned!$O:$O,A1671,pg_transaction_cleaned!$F:$F,"REFUND")</f>
        <v>0</v>
      </c>
      <c r="N1671" s="23" t="str">
        <f t="shared" si="106"/>
        <v>OK</v>
      </c>
      <c r="O1671" s="24">
        <f t="shared" si="107"/>
        <v>0</v>
      </c>
    </row>
    <row r="1672" spans="1:15" ht="15" customHeight="1" x14ac:dyDescent="0.3">
      <c r="A1672" s="23" t="s">
        <v>3827</v>
      </c>
      <c r="B1672" s="38">
        <v>46272</v>
      </c>
      <c r="C1672" s="23" t="s">
        <v>3828</v>
      </c>
      <c r="D1672" s="23" t="s">
        <v>90</v>
      </c>
      <c r="E1672" s="23" t="s">
        <v>81</v>
      </c>
      <c r="F1672" s="23" t="s">
        <v>375</v>
      </c>
      <c r="G1672" s="23" t="s">
        <v>250</v>
      </c>
      <c r="H1672" s="39">
        <f t="shared" si="104"/>
        <v>2999</v>
      </c>
      <c r="I1672" s="23" t="str">
        <f t="shared" si="105"/>
        <v>Ahmedabad</v>
      </c>
      <c r="J1672" s="23">
        <f>COUNTIFS(pg_transaction_cleaned!$O:$O,A1672,pg_transaction_cleaned!$F:$F,"CAPTURE")</f>
        <v>1</v>
      </c>
      <c r="K1672" s="39">
        <f>SUMIFS(pg_transaction_cleaned!$H:$H,pg_transaction_cleaned!$O:$O,A1672,pg_transaction_cleaned!$F:$F,"CAPTURE")</f>
        <v>2999</v>
      </c>
      <c r="L1672" s="23">
        <f>COUNTIFS(pg_transaction_cleaned!$O:$O,A1672,pg_transaction_cleaned!$F:$F,"REFUND")</f>
        <v>0</v>
      </c>
      <c r="M1672" s="39">
        <f>SUMIFS(pg_transaction_cleaned!$H:$H,pg_transaction_cleaned!$O:$O,A1672,pg_transaction_cleaned!$F:$F,"REFUND")</f>
        <v>0</v>
      </c>
      <c r="N1672" s="23" t="str">
        <f t="shared" si="106"/>
        <v>OK</v>
      </c>
      <c r="O1672" s="24">
        <f t="shared" si="107"/>
        <v>0</v>
      </c>
    </row>
    <row r="1673" spans="1:15" ht="15" customHeight="1" x14ac:dyDescent="0.3">
      <c r="A1673" s="23" t="s">
        <v>3829</v>
      </c>
      <c r="B1673" s="38">
        <v>46269</v>
      </c>
      <c r="C1673" s="23" t="s">
        <v>3830</v>
      </c>
      <c r="D1673" s="23" t="s">
        <v>94</v>
      </c>
      <c r="E1673" s="23" t="s">
        <v>79</v>
      </c>
      <c r="F1673" s="23" t="s">
        <v>329</v>
      </c>
      <c r="G1673" s="23" t="s">
        <v>250</v>
      </c>
      <c r="H1673" s="39">
        <f t="shared" si="104"/>
        <v>599</v>
      </c>
      <c r="I1673" s="23" t="str">
        <f t="shared" si="105"/>
        <v>Chennai</v>
      </c>
      <c r="J1673" s="23">
        <f>COUNTIFS(pg_transaction_cleaned!$O:$O,A1673,pg_transaction_cleaned!$F:$F,"CAPTURE")</f>
        <v>1</v>
      </c>
      <c r="K1673" s="39">
        <f>SUMIFS(pg_transaction_cleaned!$H:$H,pg_transaction_cleaned!$O:$O,A1673,pg_transaction_cleaned!$F:$F,"CAPTURE")</f>
        <v>599</v>
      </c>
      <c r="L1673" s="23">
        <f>COUNTIFS(pg_transaction_cleaned!$O:$O,A1673,pg_transaction_cleaned!$F:$F,"REFUND")</f>
        <v>0</v>
      </c>
      <c r="M1673" s="39">
        <f>SUMIFS(pg_transaction_cleaned!$H:$H,pg_transaction_cleaned!$O:$O,A1673,pg_transaction_cleaned!$F:$F,"REFUND")</f>
        <v>0</v>
      </c>
      <c r="N1673" s="23" t="str">
        <f t="shared" si="106"/>
        <v>OK</v>
      </c>
      <c r="O1673" s="24">
        <f t="shared" si="107"/>
        <v>0</v>
      </c>
    </row>
    <row r="1674" spans="1:15" ht="15" customHeight="1" x14ac:dyDescent="0.3">
      <c r="A1674" s="23" t="s">
        <v>3831</v>
      </c>
      <c r="B1674" s="38">
        <v>46290</v>
      </c>
      <c r="C1674" s="23" t="s">
        <v>3832</v>
      </c>
      <c r="D1674" s="23" t="s">
        <v>91</v>
      </c>
      <c r="E1674" s="23" t="s">
        <v>75</v>
      </c>
      <c r="F1674" s="23" t="s">
        <v>291</v>
      </c>
      <c r="G1674" s="23" t="s">
        <v>250</v>
      </c>
      <c r="H1674" s="39">
        <f t="shared" si="104"/>
        <v>3499</v>
      </c>
      <c r="I1674" s="23" t="str">
        <f t="shared" si="105"/>
        <v>Pune</v>
      </c>
      <c r="J1674" s="23">
        <f>COUNTIFS(pg_transaction_cleaned!$O:$O,A1674,pg_transaction_cleaned!$F:$F,"CAPTURE")</f>
        <v>1</v>
      </c>
      <c r="K1674" s="39">
        <f>SUMIFS(pg_transaction_cleaned!$H:$H,pg_transaction_cleaned!$O:$O,A1674,pg_transaction_cleaned!$F:$F,"CAPTURE")</f>
        <v>3499</v>
      </c>
      <c r="L1674" s="23">
        <f>COUNTIFS(pg_transaction_cleaned!$O:$O,A1674,pg_transaction_cleaned!$F:$F,"REFUND")</f>
        <v>0</v>
      </c>
      <c r="M1674" s="39">
        <f>SUMIFS(pg_transaction_cleaned!$H:$H,pg_transaction_cleaned!$O:$O,A1674,pg_transaction_cleaned!$F:$F,"REFUND")</f>
        <v>0</v>
      </c>
      <c r="N1674" s="23" t="str">
        <f t="shared" si="106"/>
        <v>OK</v>
      </c>
      <c r="O1674" s="24">
        <f t="shared" si="107"/>
        <v>0</v>
      </c>
    </row>
    <row r="1675" spans="1:15" ht="15" customHeight="1" x14ac:dyDescent="0.3">
      <c r="A1675" s="23" t="s">
        <v>3833</v>
      </c>
      <c r="B1675" s="38">
        <v>46295</v>
      </c>
      <c r="C1675" s="23" t="s">
        <v>3834</v>
      </c>
      <c r="D1675" s="23" t="s">
        <v>88</v>
      </c>
      <c r="E1675" s="23" t="s">
        <v>75</v>
      </c>
      <c r="F1675" s="23" t="s">
        <v>329</v>
      </c>
      <c r="G1675" s="23" t="s">
        <v>365</v>
      </c>
      <c r="H1675" s="39">
        <f t="shared" si="104"/>
        <v>599</v>
      </c>
      <c r="I1675" s="23" t="str">
        <f t="shared" si="105"/>
        <v>Lucknow</v>
      </c>
      <c r="J1675" s="23">
        <f>COUNTIFS(pg_transaction_cleaned!$O:$O,A1675,pg_transaction_cleaned!$F:$F,"CAPTURE")</f>
        <v>0</v>
      </c>
      <c r="K1675" s="39">
        <f>SUMIFS(pg_transaction_cleaned!$H:$H,pg_transaction_cleaned!$O:$O,A1675,pg_transaction_cleaned!$F:$F,"CAPTURE")</f>
        <v>0</v>
      </c>
      <c r="L1675" s="23">
        <f>COUNTIFS(pg_transaction_cleaned!$O:$O,A1675,pg_transaction_cleaned!$F:$F,"REFUND")</f>
        <v>0</v>
      </c>
      <c r="M1675" s="39">
        <f>SUMIFS(pg_transaction_cleaned!$H:$H,pg_transaction_cleaned!$O:$O,A1675,pg_transaction_cleaned!$F:$F,"REFUND")</f>
        <v>0</v>
      </c>
      <c r="N1675" s="23" t="str">
        <f t="shared" si="106"/>
        <v>OK</v>
      </c>
      <c r="O1675" s="24">
        <f t="shared" si="107"/>
        <v>0</v>
      </c>
    </row>
    <row r="1676" spans="1:15" ht="15" customHeight="1" x14ac:dyDescent="0.3">
      <c r="A1676" s="23" t="s">
        <v>3835</v>
      </c>
      <c r="B1676" s="38">
        <v>46282</v>
      </c>
      <c r="C1676" s="23" t="s">
        <v>3836</v>
      </c>
      <c r="D1676" s="23" t="s">
        <v>86</v>
      </c>
      <c r="E1676" s="23" t="s">
        <v>75</v>
      </c>
      <c r="F1676" s="23" t="s">
        <v>775</v>
      </c>
      <c r="G1676" s="23" t="s">
        <v>250</v>
      </c>
      <c r="H1676" s="39">
        <f t="shared" si="104"/>
        <v>4999</v>
      </c>
      <c r="I1676" s="23" t="str">
        <f t="shared" si="105"/>
        <v>Delhi</v>
      </c>
      <c r="J1676" s="23">
        <f>COUNTIFS(pg_transaction_cleaned!$O:$O,A1676,pg_transaction_cleaned!$F:$F,"CAPTURE")</f>
        <v>1</v>
      </c>
      <c r="K1676" s="39">
        <f>SUMIFS(pg_transaction_cleaned!$H:$H,pg_transaction_cleaned!$O:$O,A1676,pg_transaction_cleaned!$F:$F,"CAPTURE")</f>
        <v>4999</v>
      </c>
      <c r="L1676" s="23">
        <f>COUNTIFS(pg_transaction_cleaned!$O:$O,A1676,pg_transaction_cleaned!$F:$F,"REFUND")</f>
        <v>0</v>
      </c>
      <c r="M1676" s="39">
        <f>SUMIFS(pg_transaction_cleaned!$H:$H,pg_transaction_cleaned!$O:$O,A1676,pg_transaction_cleaned!$F:$F,"REFUND")</f>
        <v>0</v>
      </c>
      <c r="N1676" s="23" t="str">
        <f t="shared" si="106"/>
        <v>OK</v>
      </c>
      <c r="O1676" s="24">
        <f t="shared" si="107"/>
        <v>0</v>
      </c>
    </row>
    <row r="1677" spans="1:15" ht="15" customHeight="1" x14ac:dyDescent="0.3">
      <c r="A1677" s="23" t="s">
        <v>3837</v>
      </c>
      <c r="B1677" s="38">
        <v>46287</v>
      </c>
      <c r="C1677" s="23" t="s">
        <v>3838</v>
      </c>
      <c r="D1677" s="23" t="s">
        <v>91</v>
      </c>
      <c r="E1677" s="23" t="s">
        <v>75</v>
      </c>
      <c r="F1677" s="23" t="s">
        <v>310</v>
      </c>
      <c r="G1677" s="23" t="s">
        <v>250</v>
      </c>
      <c r="H1677" s="39">
        <f t="shared" si="104"/>
        <v>7999</v>
      </c>
      <c r="I1677" s="23" t="str">
        <f t="shared" si="105"/>
        <v>Pune</v>
      </c>
      <c r="J1677" s="23">
        <f>COUNTIFS(pg_transaction_cleaned!$O:$O,A1677,pg_transaction_cleaned!$F:$F,"CAPTURE")</f>
        <v>1</v>
      </c>
      <c r="K1677" s="39">
        <f>SUMIFS(pg_transaction_cleaned!$H:$H,pg_transaction_cleaned!$O:$O,A1677,pg_transaction_cleaned!$F:$F,"CAPTURE")</f>
        <v>7999</v>
      </c>
      <c r="L1677" s="23">
        <f>COUNTIFS(pg_transaction_cleaned!$O:$O,A1677,pg_transaction_cleaned!$F:$F,"REFUND")</f>
        <v>0</v>
      </c>
      <c r="M1677" s="39">
        <f>SUMIFS(pg_transaction_cleaned!$H:$H,pg_transaction_cleaned!$O:$O,A1677,pg_transaction_cleaned!$F:$F,"REFUND")</f>
        <v>0</v>
      </c>
      <c r="N1677" s="23" t="str">
        <f t="shared" si="106"/>
        <v>OK</v>
      </c>
      <c r="O1677" s="24">
        <f t="shared" si="107"/>
        <v>0</v>
      </c>
    </row>
    <row r="1678" spans="1:15" ht="15" customHeight="1" x14ac:dyDescent="0.3">
      <c r="A1678" s="23" t="s">
        <v>3839</v>
      </c>
      <c r="B1678" s="38">
        <v>46289</v>
      </c>
      <c r="C1678" s="23" t="s">
        <v>3840</v>
      </c>
      <c r="D1678" s="23" t="s">
        <v>87</v>
      </c>
      <c r="E1678" s="23" t="s">
        <v>75</v>
      </c>
      <c r="F1678" s="23" t="s">
        <v>329</v>
      </c>
      <c r="G1678" s="23" t="s">
        <v>250</v>
      </c>
      <c r="H1678" s="39">
        <f t="shared" si="104"/>
        <v>599</v>
      </c>
      <c r="I1678" s="23" t="str">
        <f t="shared" si="105"/>
        <v>Mumbai</v>
      </c>
      <c r="J1678" s="23">
        <f>COUNTIFS(pg_transaction_cleaned!$O:$O,A1678,pg_transaction_cleaned!$F:$F,"CAPTURE")</f>
        <v>1</v>
      </c>
      <c r="K1678" s="39">
        <f>SUMIFS(pg_transaction_cleaned!$H:$H,pg_transaction_cleaned!$O:$O,A1678,pg_transaction_cleaned!$F:$F,"CAPTURE")</f>
        <v>599</v>
      </c>
      <c r="L1678" s="23">
        <f>COUNTIFS(pg_transaction_cleaned!$O:$O,A1678,pg_transaction_cleaned!$F:$F,"REFUND")</f>
        <v>0</v>
      </c>
      <c r="M1678" s="39">
        <f>SUMIFS(pg_transaction_cleaned!$H:$H,pg_transaction_cleaned!$O:$O,A1678,pg_transaction_cleaned!$F:$F,"REFUND")</f>
        <v>0</v>
      </c>
      <c r="N1678" s="23" t="str">
        <f t="shared" si="106"/>
        <v>OK</v>
      </c>
      <c r="O1678" s="24">
        <f t="shared" si="107"/>
        <v>0</v>
      </c>
    </row>
    <row r="1679" spans="1:15" ht="15" customHeight="1" x14ac:dyDescent="0.3">
      <c r="A1679" s="23" t="s">
        <v>3841</v>
      </c>
      <c r="B1679" s="38">
        <v>46281</v>
      </c>
      <c r="C1679" s="23" t="s">
        <v>3842</v>
      </c>
      <c r="D1679" s="23" t="s">
        <v>94</v>
      </c>
      <c r="E1679" s="23" t="s">
        <v>77</v>
      </c>
      <c r="F1679" s="23" t="s">
        <v>1308</v>
      </c>
      <c r="G1679" s="23" t="s">
        <v>250</v>
      </c>
      <c r="H1679" s="39">
        <f t="shared" si="104"/>
        <v>4297</v>
      </c>
      <c r="I1679" s="23" t="str">
        <f t="shared" si="105"/>
        <v>Chennai</v>
      </c>
      <c r="J1679" s="23">
        <f>COUNTIFS(pg_transaction_cleaned!$O:$O,A1679,pg_transaction_cleaned!$F:$F,"CAPTURE")</f>
        <v>1</v>
      </c>
      <c r="K1679" s="39">
        <f>SUMIFS(pg_transaction_cleaned!$H:$H,pg_transaction_cleaned!$O:$O,A1679,pg_transaction_cleaned!$F:$F,"CAPTURE")</f>
        <v>4297</v>
      </c>
      <c r="L1679" s="23">
        <f>COUNTIFS(pg_transaction_cleaned!$O:$O,A1679,pg_transaction_cleaned!$F:$F,"REFUND")</f>
        <v>0</v>
      </c>
      <c r="M1679" s="39">
        <f>SUMIFS(pg_transaction_cleaned!$H:$H,pg_transaction_cleaned!$O:$O,A1679,pg_transaction_cleaned!$F:$F,"REFUND")</f>
        <v>0</v>
      </c>
      <c r="N1679" s="23" t="str">
        <f t="shared" si="106"/>
        <v>OK</v>
      </c>
      <c r="O1679" s="24">
        <f t="shared" si="107"/>
        <v>0</v>
      </c>
    </row>
    <row r="1680" spans="1:15" ht="15" customHeight="1" x14ac:dyDescent="0.3">
      <c r="A1680" s="23" t="s">
        <v>3843</v>
      </c>
      <c r="B1680" s="38">
        <v>46279</v>
      </c>
      <c r="C1680" s="23" t="s">
        <v>3844</v>
      </c>
      <c r="D1680" s="23" t="s">
        <v>87</v>
      </c>
      <c r="E1680" s="23" t="s">
        <v>75</v>
      </c>
      <c r="F1680" s="23" t="s">
        <v>262</v>
      </c>
      <c r="G1680" s="23" t="s">
        <v>250</v>
      </c>
      <c r="H1680" s="39">
        <f t="shared" si="104"/>
        <v>499</v>
      </c>
      <c r="I1680" s="23" t="str">
        <f t="shared" si="105"/>
        <v>Mumbai</v>
      </c>
      <c r="J1680" s="23">
        <f>COUNTIFS(pg_transaction_cleaned!$O:$O,A1680,pg_transaction_cleaned!$F:$F,"CAPTURE")</f>
        <v>1</v>
      </c>
      <c r="K1680" s="39">
        <f>SUMIFS(pg_transaction_cleaned!$H:$H,pg_transaction_cleaned!$O:$O,A1680,pg_transaction_cleaned!$F:$F,"CAPTURE")</f>
        <v>499</v>
      </c>
      <c r="L1680" s="23">
        <f>COUNTIFS(pg_transaction_cleaned!$O:$O,A1680,pg_transaction_cleaned!$F:$F,"REFUND")</f>
        <v>0</v>
      </c>
      <c r="M1680" s="39">
        <f>SUMIFS(pg_transaction_cleaned!$H:$H,pg_transaction_cleaned!$O:$O,A1680,pg_transaction_cleaned!$F:$F,"REFUND")</f>
        <v>0</v>
      </c>
      <c r="N1680" s="23" t="str">
        <f t="shared" si="106"/>
        <v>OK</v>
      </c>
      <c r="O1680" s="24">
        <f t="shared" si="107"/>
        <v>0</v>
      </c>
    </row>
    <row r="1681" spans="1:15" ht="15" customHeight="1" x14ac:dyDescent="0.3">
      <c r="A1681" s="23" t="s">
        <v>3845</v>
      </c>
      <c r="B1681" s="38">
        <v>46280</v>
      </c>
      <c r="C1681" s="23" t="s">
        <v>3846</v>
      </c>
      <c r="D1681" s="23" t="s">
        <v>95</v>
      </c>
      <c r="E1681" s="23" t="s">
        <v>79</v>
      </c>
      <c r="F1681" s="23" t="s">
        <v>265</v>
      </c>
      <c r="G1681" s="23" t="s">
        <v>250</v>
      </c>
      <c r="H1681" s="39">
        <f t="shared" si="104"/>
        <v>999</v>
      </c>
      <c r="I1681" s="23" t="str">
        <f t="shared" si="105"/>
        <v>Bengaluru</v>
      </c>
      <c r="J1681" s="23">
        <f>COUNTIFS(pg_transaction_cleaned!$O:$O,A1681,pg_transaction_cleaned!$F:$F,"CAPTURE")</f>
        <v>1</v>
      </c>
      <c r="K1681" s="39">
        <f>SUMIFS(pg_transaction_cleaned!$H:$H,pg_transaction_cleaned!$O:$O,A1681,pg_transaction_cleaned!$F:$F,"CAPTURE")</f>
        <v>999</v>
      </c>
      <c r="L1681" s="23">
        <f>COUNTIFS(pg_transaction_cleaned!$O:$O,A1681,pg_transaction_cleaned!$F:$F,"REFUND")</f>
        <v>0</v>
      </c>
      <c r="M1681" s="39">
        <f>SUMIFS(pg_transaction_cleaned!$H:$H,pg_transaction_cleaned!$O:$O,A1681,pg_transaction_cleaned!$F:$F,"REFUND")</f>
        <v>0</v>
      </c>
      <c r="N1681" s="23" t="str">
        <f t="shared" si="106"/>
        <v>OK</v>
      </c>
      <c r="O1681" s="24">
        <f t="shared" si="107"/>
        <v>0</v>
      </c>
    </row>
    <row r="1682" spans="1:15" ht="15" customHeight="1" x14ac:dyDescent="0.3">
      <c r="A1682" s="23" t="s">
        <v>3847</v>
      </c>
      <c r="B1682" s="38">
        <v>46275</v>
      </c>
      <c r="C1682" s="23" t="s">
        <v>3848</v>
      </c>
      <c r="D1682" s="23" t="s">
        <v>90</v>
      </c>
      <c r="E1682" s="23" t="s">
        <v>75</v>
      </c>
      <c r="F1682" s="23" t="s">
        <v>268</v>
      </c>
      <c r="G1682" s="23" t="s">
        <v>250</v>
      </c>
      <c r="H1682" s="39">
        <f t="shared" si="104"/>
        <v>1299</v>
      </c>
      <c r="I1682" s="23" t="str">
        <f t="shared" si="105"/>
        <v>Ahmedabad</v>
      </c>
      <c r="J1682" s="23">
        <f>COUNTIFS(pg_transaction_cleaned!$O:$O,A1682,pg_transaction_cleaned!$F:$F,"CAPTURE")</f>
        <v>1</v>
      </c>
      <c r="K1682" s="39">
        <f>SUMIFS(pg_transaction_cleaned!$H:$H,pg_transaction_cleaned!$O:$O,A1682,pg_transaction_cleaned!$F:$F,"CAPTURE")</f>
        <v>1299</v>
      </c>
      <c r="L1682" s="23">
        <f>COUNTIFS(pg_transaction_cleaned!$O:$O,A1682,pg_transaction_cleaned!$F:$F,"REFUND")</f>
        <v>0</v>
      </c>
      <c r="M1682" s="39">
        <f>SUMIFS(pg_transaction_cleaned!$H:$H,pg_transaction_cleaned!$O:$O,A1682,pg_transaction_cleaned!$F:$F,"REFUND")</f>
        <v>0</v>
      </c>
      <c r="N1682" s="23" t="str">
        <f t="shared" si="106"/>
        <v>OK</v>
      </c>
      <c r="O1682" s="24">
        <f t="shared" si="107"/>
        <v>0</v>
      </c>
    </row>
    <row r="1683" spans="1:15" ht="15" customHeight="1" x14ac:dyDescent="0.3">
      <c r="A1683" s="23" t="s">
        <v>3849</v>
      </c>
      <c r="B1683" s="38">
        <v>46282</v>
      </c>
      <c r="C1683" s="23" t="s">
        <v>3850</v>
      </c>
      <c r="D1683" s="23" t="s">
        <v>95</v>
      </c>
      <c r="E1683" s="23" t="s">
        <v>75</v>
      </c>
      <c r="F1683" s="23" t="s">
        <v>429</v>
      </c>
      <c r="G1683" s="23" t="s">
        <v>250</v>
      </c>
      <c r="H1683" s="39">
        <f t="shared" si="104"/>
        <v>3348</v>
      </c>
      <c r="I1683" s="23" t="str">
        <f t="shared" si="105"/>
        <v>Bengaluru</v>
      </c>
      <c r="J1683" s="23">
        <f>COUNTIFS(pg_transaction_cleaned!$O:$O,A1683,pg_transaction_cleaned!$F:$F,"CAPTURE")</f>
        <v>1</v>
      </c>
      <c r="K1683" s="39">
        <f>SUMIFS(pg_transaction_cleaned!$H:$H,pg_transaction_cleaned!$O:$O,A1683,pg_transaction_cleaned!$F:$F,"CAPTURE")</f>
        <v>3348</v>
      </c>
      <c r="L1683" s="23">
        <f>COUNTIFS(pg_transaction_cleaned!$O:$O,A1683,pg_transaction_cleaned!$F:$F,"REFUND")</f>
        <v>0</v>
      </c>
      <c r="M1683" s="39">
        <f>SUMIFS(pg_transaction_cleaned!$H:$H,pg_transaction_cleaned!$O:$O,A1683,pg_transaction_cleaned!$F:$F,"REFUND")</f>
        <v>0</v>
      </c>
      <c r="N1683" s="23" t="str">
        <f t="shared" si="106"/>
        <v>OK</v>
      </c>
      <c r="O1683" s="24">
        <f t="shared" si="107"/>
        <v>0</v>
      </c>
    </row>
    <row r="1684" spans="1:15" ht="15" customHeight="1" x14ac:dyDescent="0.3">
      <c r="A1684" s="23" t="s">
        <v>3851</v>
      </c>
      <c r="B1684" s="38">
        <v>46269</v>
      </c>
      <c r="C1684" s="23" t="s">
        <v>3852</v>
      </c>
      <c r="D1684" s="23" t="s">
        <v>91</v>
      </c>
      <c r="E1684" s="23" t="s">
        <v>75</v>
      </c>
      <c r="F1684" s="23" t="s">
        <v>249</v>
      </c>
      <c r="G1684" s="23" t="s">
        <v>250</v>
      </c>
      <c r="H1684" s="39">
        <f t="shared" si="104"/>
        <v>299</v>
      </c>
      <c r="I1684" s="23" t="str">
        <f t="shared" si="105"/>
        <v>Pune</v>
      </c>
      <c r="J1684" s="23">
        <f>COUNTIFS(pg_transaction_cleaned!$O:$O,A1684,pg_transaction_cleaned!$F:$F,"CAPTURE")</f>
        <v>1</v>
      </c>
      <c r="K1684" s="39">
        <f>SUMIFS(pg_transaction_cleaned!$H:$H,pg_transaction_cleaned!$O:$O,A1684,pg_transaction_cleaned!$F:$F,"CAPTURE")</f>
        <v>299</v>
      </c>
      <c r="L1684" s="23">
        <f>COUNTIFS(pg_transaction_cleaned!$O:$O,A1684,pg_transaction_cleaned!$F:$F,"REFUND")</f>
        <v>0</v>
      </c>
      <c r="M1684" s="39">
        <f>SUMIFS(pg_transaction_cleaned!$H:$H,pg_transaction_cleaned!$O:$O,A1684,pg_transaction_cleaned!$F:$F,"REFUND")</f>
        <v>0</v>
      </c>
      <c r="N1684" s="23" t="str">
        <f t="shared" si="106"/>
        <v>OK</v>
      </c>
      <c r="O1684" s="24">
        <f t="shared" si="107"/>
        <v>0</v>
      </c>
    </row>
    <row r="1685" spans="1:15" ht="15" customHeight="1" x14ac:dyDescent="0.3">
      <c r="A1685" s="23" t="s">
        <v>3853</v>
      </c>
      <c r="B1685" s="38">
        <v>46274</v>
      </c>
      <c r="C1685" s="23" t="s">
        <v>3854</v>
      </c>
      <c r="D1685" s="23" t="s">
        <v>91</v>
      </c>
      <c r="E1685" s="23" t="s">
        <v>75</v>
      </c>
      <c r="F1685" s="23" t="s">
        <v>271</v>
      </c>
      <c r="G1685" s="23" t="s">
        <v>250</v>
      </c>
      <c r="H1685" s="39">
        <f t="shared" si="104"/>
        <v>2499</v>
      </c>
      <c r="I1685" s="23" t="str">
        <f t="shared" si="105"/>
        <v>Pune</v>
      </c>
      <c r="J1685" s="23">
        <f>COUNTIFS(pg_transaction_cleaned!$O:$O,A1685,pg_transaction_cleaned!$F:$F,"CAPTURE")</f>
        <v>1</v>
      </c>
      <c r="K1685" s="39">
        <f>SUMIFS(pg_transaction_cleaned!$H:$H,pg_transaction_cleaned!$O:$O,A1685,pg_transaction_cleaned!$F:$F,"CAPTURE")</f>
        <v>2299</v>
      </c>
      <c r="L1685" s="23">
        <f>COUNTIFS(pg_transaction_cleaned!$O:$O,A1685,pg_transaction_cleaned!$F:$F,"REFUND")</f>
        <v>0</v>
      </c>
      <c r="M1685" s="39">
        <f>SUMIFS(pg_transaction_cleaned!$H:$H,pg_transaction_cleaned!$O:$O,A1685,pg_transaction_cleaned!$F:$F,"REFUND")</f>
        <v>0</v>
      </c>
      <c r="N1685" s="23" t="str">
        <f t="shared" si="106"/>
        <v>Amount difference</v>
      </c>
      <c r="O1685" s="24">
        <f t="shared" si="107"/>
        <v>-200</v>
      </c>
    </row>
    <row r="1686" spans="1:15" ht="15" customHeight="1" x14ac:dyDescent="0.3">
      <c r="A1686" s="23" t="s">
        <v>3855</v>
      </c>
      <c r="B1686" s="38">
        <v>46273</v>
      </c>
      <c r="C1686" s="23" t="s">
        <v>3856</v>
      </c>
      <c r="D1686" s="23" t="s">
        <v>94</v>
      </c>
      <c r="E1686" s="23" t="s">
        <v>75</v>
      </c>
      <c r="F1686" s="23" t="s">
        <v>2837</v>
      </c>
      <c r="G1686" s="23" t="s">
        <v>250</v>
      </c>
      <c r="H1686" s="39">
        <f t="shared" si="104"/>
        <v>12297</v>
      </c>
      <c r="I1686" s="23" t="str">
        <f t="shared" si="105"/>
        <v>Chennai</v>
      </c>
      <c r="J1686" s="23">
        <f>COUNTIFS(pg_transaction_cleaned!$O:$O,A1686,pg_transaction_cleaned!$F:$F,"CAPTURE")</f>
        <v>1</v>
      </c>
      <c r="K1686" s="39">
        <f>SUMIFS(pg_transaction_cleaned!$H:$H,pg_transaction_cleaned!$O:$O,A1686,pg_transaction_cleaned!$F:$F,"CAPTURE")</f>
        <v>12297</v>
      </c>
      <c r="L1686" s="23">
        <f>COUNTIFS(pg_transaction_cleaned!$O:$O,A1686,pg_transaction_cleaned!$F:$F,"REFUND")</f>
        <v>0</v>
      </c>
      <c r="M1686" s="39">
        <f>SUMIFS(pg_transaction_cleaned!$H:$H,pg_transaction_cleaned!$O:$O,A1686,pg_transaction_cleaned!$F:$F,"REFUND")</f>
        <v>0</v>
      </c>
      <c r="N1686" s="23" t="str">
        <f t="shared" si="106"/>
        <v>OK</v>
      </c>
      <c r="O1686" s="24">
        <f t="shared" si="107"/>
        <v>0</v>
      </c>
    </row>
    <row r="1687" spans="1:15" ht="15" customHeight="1" x14ac:dyDescent="0.3">
      <c r="A1687" s="23" t="s">
        <v>3857</v>
      </c>
      <c r="B1687" s="38">
        <v>46286</v>
      </c>
      <c r="C1687" s="23" t="s">
        <v>3858</v>
      </c>
      <c r="D1687" s="23" t="s">
        <v>86</v>
      </c>
      <c r="E1687" s="23" t="s">
        <v>79</v>
      </c>
      <c r="F1687" s="23" t="s">
        <v>291</v>
      </c>
      <c r="G1687" s="23" t="s">
        <v>250</v>
      </c>
      <c r="H1687" s="39">
        <f t="shared" si="104"/>
        <v>3499</v>
      </c>
      <c r="I1687" s="23" t="str">
        <f t="shared" si="105"/>
        <v>Delhi</v>
      </c>
      <c r="J1687" s="23">
        <f>COUNTIFS(pg_transaction_cleaned!$O:$O,A1687,pg_transaction_cleaned!$F:$F,"CAPTURE")</f>
        <v>1</v>
      </c>
      <c r="K1687" s="39">
        <f>SUMIFS(pg_transaction_cleaned!$H:$H,pg_transaction_cleaned!$O:$O,A1687,pg_transaction_cleaned!$F:$F,"CAPTURE")</f>
        <v>3499</v>
      </c>
      <c r="L1687" s="23">
        <f>COUNTIFS(pg_transaction_cleaned!$O:$O,A1687,pg_transaction_cleaned!$F:$F,"REFUND")</f>
        <v>0</v>
      </c>
      <c r="M1687" s="39">
        <f>SUMIFS(pg_transaction_cleaned!$H:$H,pg_transaction_cleaned!$O:$O,A1687,pg_transaction_cleaned!$F:$F,"REFUND")</f>
        <v>0</v>
      </c>
      <c r="N1687" s="23" t="str">
        <f t="shared" si="106"/>
        <v>OK</v>
      </c>
      <c r="O1687" s="24">
        <f t="shared" si="107"/>
        <v>0</v>
      </c>
    </row>
    <row r="1688" spans="1:15" ht="15" customHeight="1" x14ac:dyDescent="0.3">
      <c r="A1688" s="23" t="s">
        <v>3859</v>
      </c>
      <c r="B1688" s="38">
        <v>46282</v>
      </c>
      <c r="C1688" s="23" t="s">
        <v>3860</v>
      </c>
      <c r="D1688" s="23" t="s">
        <v>86</v>
      </c>
      <c r="E1688" s="23" t="s">
        <v>77</v>
      </c>
      <c r="F1688" s="23" t="s">
        <v>1571</v>
      </c>
      <c r="G1688" s="23" t="s">
        <v>250</v>
      </c>
      <c r="H1688" s="39">
        <f t="shared" si="104"/>
        <v>7497</v>
      </c>
      <c r="I1688" s="23" t="str">
        <f t="shared" si="105"/>
        <v>Delhi</v>
      </c>
      <c r="J1688" s="23">
        <f>COUNTIFS(pg_transaction_cleaned!$O:$O,A1688,pg_transaction_cleaned!$F:$F,"CAPTURE")</f>
        <v>1</v>
      </c>
      <c r="K1688" s="39">
        <f>SUMIFS(pg_transaction_cleaned!$H:$H,pg_transaction_cleaned!$O:$O,A1688,pg_transaction_cleaned!$F:$F,"CAPTURE")</f>
        <v>7497</v>
      </c>
      <c r="L1688" s="23">
        <f>COUNTIFS(pg_transaction_cleaned!$O:$O,A1688,pg_transaction_cleaned!$F:$F,"REFUND")</f>
        <v>0</v>
      </c>
      <c r="M1688" s="39">
        <f>SUMIFS(pg_transaction_cleaned!$H:$H,pg_transaction_cleaned!$O:$O,A1688,pg_transaction_cleaned!$F:$F,"REFUND")</f>
        <v>0</v>
      </c>
      <c r="N1688" s="23" t="str">
        <f t="shared" si="106"/>
        <v>OK</v>
      </c>
      <c r="O1688" s="24">
        <f t="shared" si="107"/>
        <v>0</v>
      </c>
    </row>
    <row r="1689" spans="1:15" ht="15" customHeight="1" x14ac:dyDescent="0.3">
      <c r="A1689" s="23" t="s">
        <v>3861</v>
      </c>
      <c r="B1689" s="38">
        <v>46276</v>
      </c>
      <c r="C1689" s="23" t="s">
        <v>3862</v>
      </c>
      <c r="D1689" s="23"/>
      <c r="E1689" s="23" t="s">
        <v>75</v>
      </c>
      <c r="F1689" s="23" t="s">
        <v>3863</v>
      </c>
      <c r="G1689" s="23" t="s">
        <v>250</v>
      </c>
      <c r="H1689" s="39">
        <f t="shared" si="104"/>
        <v>1347</v>
      </c>
      <c r="I1689" s="23" t="str">
        <f t="shared" si="105"/>
        <v>Unknown</v>
      </c>
      <c r="J1689" s="23">
        <f>COUNTIFS(pg_transaction_cleaned!$O:$O,A1689,pg_transaction_cleaned!$F:$F,"CAPTURE")</f>
        <v>1</v>
      </c>
      <c r="K1689" s="39">
        <f>SUMIFS(pg_transaction_cleaned!$H:$H,pg_transaction_cleaned!$O:$O,A1689,pg_transaction_cleaned!$F:$F,"CAPTURE")</f>
        <v>1347</v>
      </c>
      <c r="L1689" s="23">
        <f>COUNTIFS(pg_transaction_cleaned!$O:$O,A1689,pg_transaction_cleaned!$F:$F,"REFUND")</f>
        <v>0</v>
      </c>
      <c r="M1689" s="39">
        <f>SUMIFS(pg_transaction_cleaned!$H:$H,pg_transaction_cleaned!$O:$O,A1689,pg_transaction_cleaned!$F:$F,"REFUND")</f>
        <v>0</v>
      </c>
      <c r="N1689" s="23" t="str">
        <f t="shared" si="106"/>
        <v>OK</v>
      </c>
      <c r="O1689" s="24">
        <f t="shared" si="107"/>
        <v>0</v>
      </c>
    </row>
    <row r="1690" spans="1:15" ht="15" customHeight="1" x14ac:dyDescent="0.3">
      <c r="A1690" s="23" t="s">
        <v>3864</v>
      </c>
      <c r="B1690" s="38">
        <v>46279</v>
      </c>
      <c r="C1690" s="23" t="s">
        <v>3865</v>
      </c>
      <c r="D1690" s="23" t="s">
        <v>86</v>
      </c>
      <c r="E1690" s="23" t="s">
        <v>75</v>
      </c>
      <c r="F1690" s="23" t="s">
        <v>249</v>
      </c>
      <c r="G1690" s="23" t="s">
        <v>250</v>
      </c>
      <c r="H1690" s="39">
        <f t="shared" si="104"/>
        <v>299</v>
      </c>
      <c r="I1690" s="23" t="str">
        <f t="shared" si="105"/>
        <v>Delhi</v>
      </c>
      <c r="J1690" s="23">
        <f>COUNTIFS(pg_transaction_cleaned!$O:$O,A1690,pg_transaction_cleaned!$F:$F,"CAPTURE")</f>
        <v>1</v>
      </c>
      <c r="K1690" s="39">
        <f>SUMIFS(pg_transaction_cleaned!$H:$H,pg_transaction_cleaned!$O:$O,A1690,pg_transaction_cleaned!$F:$F,"CAPTURE")</f>
        <v>299</v>
      </c>
      <c r="L1690" s="23">
        <f>COUNTIFS(pg_transaction_cleaned!$O:$O,A1690,pg_transaction_cleaned!$F:$F,"REFUND")</f>
        <v>0</v>
      </c>
      <c r="M1690" s="39">
        <f>SUMIFS(pg_transaction_cleaned!$H:$H,pg_transaction_cleaned!$O:$O,A1690,pg_transaction_cleaned!$F:$F,"REFUND")</f>
        <v>0</v>
      </c>
      <c r="N1690" s="23" t="str">
        <f t="shared" si="106"/>
        <v>OK</v>
      </c>
      <c r="O1690" s="24">
        <f t="shared" si="107"/>
        <v>0</v>
      </c>
    </row>
    <row r="1691" spans="1:15" ht="15" customHeight="1" x14ac:dyDescent="0.3">
      <c r="A1691" s="23" t="s">
        <v>3866</v>
      </c>
      <c r="B1691" s="38">
        <v>46287</v>
      </c>
      <c r="C1691" s="23" t="s">
        <v>3867</v>
      </c>
      <c r="D1691" s="23" t="s">
        <v>90</v>
      </c>
      <c r="E1691" s="23" t="s">
        <v>75</v>
      </c>
      <c r="F1691" s="23" t="s">
        <v>271</v>
      </c>
      <c r="G1691" s="23" t="s">
        <v>250</v>
      </c>
      <c r="H1691" s="39">
        <f t="shared" si="104"/>
        <v>2499</v>
      </c>
      <c r="I1691" s="23" t="str">
        <f t="shared" si="105"/>
        <v>Ahmedabad</v>
      </c>
      <c r="J1691" s="23">
        <f>COUNTIFS(pg_transaction_cleaned!$O:$O,A1691,pg_transaction_cleaned!$F:$F,"CAPTURE")</f>
        <v>1</v>
      </c>
      <c r="K1691" s="39">
        <f>SUMIFS(pg_transaction_cleaned!$H:$H,pg_transaction_cleaned!$O:$O,A1691,pg_transaction_cleaned!$F:$F,"CAPTURE")</f>
        <v>2499</v>
      </c>
      <c r="L1691" s="23">
        <f>COUNTIFS(pg_transaction_cleaned!$O:$O,A1691,pg_transaction_cleaned!$F:$F,"REFUND")</f>
        <v>0</v>
      </c>
      <c r="M1691" s="39">
        <f>SUMIFS(pg_transaction_cleaned!$H:$H,pg_transaction_cleaned!$O:$O,A1691,pg_transaction_cleaned!$F:$F,"REFUND")</f>
        <v>0</v>
      </c>
      <c r="N1691" s="23" t="str">
        <f t="shared" si="106"/>
        <v>OK</v>
      </c>
      <c r="O1691" s="24">
        <f t="shared" si="107"/>
        <v>0</v>
      </c>
    </row>
    <row r="1692" spans="1:15" ht="15" customHeight="1" x14ac:dyDescent="0.3">
      <c r="A1692" s="23" t="s">
        <v>3868</v>
      </c>
      <c r="B1692" s="38">
        <v>46293</v>
      </c>
      <c r="C1692" s="23" t="s">
        <v>3869</v>
      </c>
      <c r="D1692" s="23" t="s">
        <v>92</v>
      </c>
      <c r="E1692" s="23" t="s">
        <v>81</v>
      </c>
      <c r="F1692" s="23" t="s">
        <v>795</v>
      </c>
      <c r="G1692" s="23" t="s">
        <v>250</v>
      </c>
      <c r="H1692" s="39">
        <f t="shared" si="104"/>
        <v>1499</v>
      </c>
      <c r="I1692" s="23" t="str">
        <f t="shared" si="105"/>
        <v>Hyderabad</v>
      </c>
      <c r="J1692" s="23">
        <f>COUNTIFS(pg_transaction_cleaned!$O:$O,A1692,pg_transaction_cleaned!$F:$F,"CAPTURE")</f>
        <v>1</v>
      </c>
      <c r="K1692" s="39">
        <f>SUMIFS(pg_transaction_cleaned!$H:$H,pg_transaction_cleaned!$O:$O,A1692,pg_transaction_cleaned!$F:$F,"CAPTURE")</f>
        <v>1499</v>
      </c>
      <c r="L1692" s="23">
        <f>COUNTIFS(pg_transaction_cleaned!$O:$O,A1692,pg_transaction_cleaned!$F:$F,"REFUND")</f>
        <v>0</v>
      </c>
      <c r="M1692" s="39">
        <f>SUMIFS(pg_transaction_cleaned!$H:$H,pg_transaction_cleaned!$O:$O,A1692,pg_transaction_cleaned!$F:$F,"REFUND")</f>
        <v>0</v>
      </c>
      <c r="N1692" s="23" t="str">
        <f t="shared" si="106"/>
        <v>OK</v>
      </c>
      <c r="O1692" s="24">
        <f t="shared" si="107"/>
        <v>0</v>
      </c>
    </row>
    <row r="1693" spans="1:15" ht="15" customHeight="1" x14ac:dyDescent="0.3">
      <c r="A1693" s="23" t="s">
        <v>3870</v>
      </c>
      <c r="B1693" s="38">
        <v>46292</v>
      </c>
      <c r="C1693" s="23" t="s">
        <v>3871</v>
      </c>
      <c r="D1693" s="23" t="s">
        <v>91</v>
      </c>
      <c r="E1693" s="23" t="s">
        <v>79</v>
      </c>
      <c r="F1693" s="23" t="s">
        <v>294</v>
      </c>
      <c r="G1693" s="23" t="s">
        <v>250</v>
      </c>
      <c r="H1693" s="39">
        <f t="shared" si="104"/>
        <v>1799</v>
      </c>
      <c r="I1693" s="23" t="str">
        <f t="shared" si="105"/>
        <v>Pune</v>
      </c>
      <c r="J1693" s="23">
        <f>COUNTIFS(pg_transaction_cleaned!$O:$O,A1693,pg_transaction_cleaned!$F:$F,"CAPTURE")</f>
        <v>1</v>
      </c>
      <c r="K1693" s="39">
        <f>SUMIFS(pg_transaction_cleaned!$H:$H,pg_transaction_cleaned!$O:$O,A1693,pg_transaction_cleaned!$F:$F,"CAPTURE")</f>
        <v>1799</v>
      </c>
      <c r="L1693" s="23">
        <f>COUNTIFS(pg_transaction_cleaned!$O:$O,A1693,pg_transaction_cleaned!$F:$F,"REFUND")</f>
        <v>0</v>
      </c>
      <c r="M1693" s="39">
        <f>SUMIFS(pg_transaction_cleaned!$H:$H,pg_transaction_cleaned!$O:$O,A1693,pg_transaction_cleaned!$F:$F,"REFUND")</f>
        <v>0</v>
      </c>
      <c r="N1693" s="23" t="str">
        <f t="shared" si="106"/>
        <v>OK</v>
      </c>
      <c r="O1693" s="24">
        <f t="shared" si="107"/>
        <v>0</v>
      </c>
    </row>
    <row r="1694" spans="1:15" ht="15" customHeight="1" x14ac:dyDescent="0.3">
      <c r="A1694" s="23" t="s">
        <v>3872</v>
      </c>
      <c r="B1694" s="38">
        <v>46275</v>
      </c>
      <c r="C1694" s="23" t="s">
        <v>3873</v>
      </c>
      <c r="D1694" s="23" t="s">
        <v>90</v>
      </c>
      <c r="E1694" s="23" t="s">
        <v>77</v>
      </c>
      <c r="F1694" s="23" t="s">
        <v>3874</v>
      </c>
      <c r="G1694" s="23" t="s">
        <v>250</v>
      </c>
      <c r="H1694" s="39">
        <f t="shared" si="104"/>
        <v>3997</v>
      </c>
      <c r="I1694" s="23" t="str">
        <f t="shared" si="105"/>
        <v>Ahmedabad</v>
      </c>
      <c r="J1694" s="23">
        <f>COUNTIFS(pg_transaction_cleaned!$O:$O,A1694,pg_transaction_cleaned!$F:$F,"CAPTURE")</f>
        <v>1</v>
      </c>
      <c r="K1694" s="39">
        <f>SUMIFS(pg_transaction_cleaned!$H:$H,pg_transaction_cleaned!$O:$O,A1694,pg_transaction_cleaned!$F:$F,"CAPTURE")</f>
        <v>3997</v>
      </c>
      <c r="L1694" s="23">
        <f>COUNTIFS(pg_transaction_cleaned!$O:$O,A1694,pg_transaction_cleaned!$F:$F,"REFUND")</f>
        <v>0</v>
      </c>
      <c r="M1694" s="39">
        <f>SUMIFS(pg_transaction_cleaned!$H:$H,pg_transaction_cleaned!$O:$O,A1694,pg_transaction_cleaned!$F:$F,"REFUND")</f>
        <v>0</v>
      </c>
      <c r="N1694" s="23" t="str">
        <f t="shared" si="106"/>
        <v>OK</v>
      </c>
      <c r="O1694" s="24">
        <f t="shared" si="107"/>
        <v>0</v>
      </c>
    </row>
    <row r="1695" spans="1:15" ht="15" customHeight="1" x14ac:dyDescent="0.3">
      <c r="A1695" s="23" t="s">
        <v>3875</v>
      </c>
      <c r="B1695" s="38">
        <v>46274</v>
      </c>
      <c r="C1695" s="23" t="s">
        <v>3844</v>
      </c>
      <c r="D1695" s="23" t="s">
        <v>89</v>
      </c>
      <c r="E1695" s="23" t="s">
        <v>75</v>
      </c>
      <c r="F1695" s="23" t="s">
        <v>795</v>
      </c>
      <c r="G1695" s="23" t="s">
        <v>250</v>
      </c>
      <c r="H1695" s="39">
        <f t="shared" si="104"/>
        <v>1499</v>
      </c>
      <c r="I1695" s="23" t="str">
        <f t="shared" si="105"/>
        <v>Jaipur</v>
      </c>
      <c r="J1695" s="23">
        <f>COUNTIFS(pg_transaction_cleaned!$O:$O,A1695,pg_transaction_cleaned!$F:$F,"CAPTURE")</f>
        <v>1</v>
      </c>
      <c r="K1695" s="39">
        <f>SUMIFS(pg_transaction_cleaned!$H:$H,pg_transaction_cleaned!$O:$O,A1695,pg_transaction_cleaned!$F:$F,"CAPTURE")</f>
        <v>1499</v>
      </c>
      <c r="L1695" s="23">
        <f>COUNTIFS(pg_transaction_cleaned!$O:$O,A1695,pg_transaction_cleaned!$F:$F,"REFUND")</f>
        <v>0</v>
      </c>
      <c r="M1695" s="39">
        <f>SUMIFS(pg_transaction_cleaned!$H:$H,pg_transaction_cleaned!$O:$O,A1695,pg_transaction_cleaned!$F:$F,"REFUND")</f>
        <v>0</v>
      </c>
      <c r="N1695" s="23" t="str">
        <f t="shared" si="106"/>
        <v>OK</v>
      </c>
      <c r="O1695" s="24">
        <f t="shared" si="107"/>
        <v>0</v>
      </c>
    </row>
    <row r="1696" spans="1:15" ht="15" customHeight="1" x14ac:dyDescent="0.3">
      <c r="A1696" s="23" t="s">
        <v>3876</v>
      </c>
      <c r="B1696" s="38">
        <v>46290</v>
      </c>
      <c r="C1696" s="23" t="s">
        <v>3877</v>
      </c>
      <c r="D1696" s="23" t="s">
        <v>89</v>
      </c>
      <c r="E1696" s="23" t="s">
        <v>75</v>
      </c>
      <c r="F1696" s="23" t="s">
        <v>3878</v>
      </c>
      <c r="G1696" s="23" t="s">
        <v>250</v>
      </c>
      <c r="H1696" s="39">
        <f t="shared" si="104"/>
        <v>23997</v>
      </c>
      <c r="I1696" s="23" t="str">
        <f t="shared" si="105"/>
        <v>Jaipur</v>
      </c>
      <c r="J1696" s="23">
        <f>COUNTIFS(pg_transaction_cleaned!$O:$O,A1696,pg_transaction_cleaned!$F:$F,"CAPTURE")</f>
        <v>1</v>
      </c>
      <c r="K1696" s="39">
        <f>SUMIFS(pg_transaction_cleaned!$H:$H,pg_transaction_cleaned!$O:$O,A1696,pg_transaction_cleaned!$F:$F,"CAPTURE")</f>
        <v>23997</v>
      </c>
      <c r="L1696" s="23">
        <f>COUNTIFS(pg_transaction_cleaned!$O:$O,A1696,pg_transaction_cleaned!$F:$F,"REFUND")</f>
        <v>0</v>
      </c>
      <c r="M1696" s="39">
        <f>SUMIFS(pg_transaction_cleaned!$H:$H,pg_transaction_cleaned!$O:$O,A1696,pg_transaction_cleaned!$F:$F,"REFUND")</f>
        <v>0</v>
      </c>
      <c r="N1696" s="23" t="str">
        <f t="shared" si="106"/>
        <v>OK</v>
      </c>
      <c r="O1696" s="24">
        <f t="shared" si="107"/>
        <v>0</v>
      </c>
    </row>
    <row r="1697" spans="1:15" ht="15" customHeight="1" x14ac:dyDescent="0.3">
      <c r="A1697" s="23" t="s">
        <v>3879</v>
      </c>
      <c r="B1697" s="38">
        <v>46289</v>
      </c>
      <c r="C1697" s="23" t="s">
        <v>3880</v>
      </c>
      <c r="D1697" s="23" t="s">
        <v>94</v>
      </c>
      <c r="E1697" s="23" t="s">
        <v>79</v>
      </c>
      <c r="F1697" s="23" t="s">
        <v>1299</v>
      </c>
      <c r="G1697" s="23" t="s">
        <v>250</v>
      </c>
      <c r="H1697" s="39">
        <f t="shared" si="104"/>
        <v>2097</v>
      </c>
      <c r="I1697" s="23" t="str">
        <f t="shared" si="105"/>
        <v>Chennai</v>
      </c>
      <c r="J1697" s="23">
        <f>COUNTIFS(pg_transaction_cleaned!$O:$O,A1697,pg_transaction_cleaned!$F:$F,"CAPTURE")</f>
        <v>1</v>
      </c>
      <c r="K1697" s="39">
        <f>SUMIFS(pg_transaction_cleaned!$H:$H,pg_transaction_cleaned!$O:$O,A1697,pg_transaction_cleaned!$F:$F,"CAPTURE")</f>
        <v>2097</v>
      </c>
      <c r="L1697" s="23">
        <f>COUNTIFS(pg_transaction_cleaned!$O:$O,A1697,pg_transaction_cleaned!$F:$F,"REFUND")</f>
        <v>0</v>
      </c>
      <c r="M1697" s="39">
        <f>SUMIFS(pg_transaction_cleaned!$H:$H,pg_transaction_cleaned!$O:$O,A1697,pg_transaction_cleaned!$F:$F,"REFUND")</f>
        <v>0</v>
      </c>
      <c r="N1697" s="23" t="str">
        <f t="shared" si="106"/>
        <v>OK</v>
      </c>
      <c r="O1697" s="24">
        <f t="shared" si="107"/>
        <v>0</v>
      </c>
    </row>
    <row r="1698" spans="1:15" ht="15" customHeight="1" x14ac:dyDescent="0.3">
      <c r="A1698" s="23" t="s">
        <v>3881</v>
      </c>
      <c r="B1698" s="38">
        <v>46281</v>
      </c>
      <c r="C1698" s="23" t="s">
        <v>3882</v>
      </c>
      <c r="D1698" s="23" t="s">
        <v>94</v>
      </c>
      <c r="E1698" s="23" t="s">
        <v>79</v>
      </c>
      <c r="F1698" s="23" t="s">
        <v>329</v>
      </c>
      <c r="G1698" s="23" t="s">
        <v>250</v>
      </c>
      <c r="H1698" s="39">
        <f t="shared" si="104"/>
        <v>599</v>
      </c>
      <c r="I1698" s="23" t="str">
        <f t="shared" si="105"/>
        <v>Chennai</v>
      </c>
      <c r="J1698" s="23">
        <f>COUNTIFS(pg_transaction_cleaned!$O:$O,A1698,pg_transaction_cleaned!$F:$F,"CAPTURE")</f>
        <v>1</v>
      </c>
      <c r="K1698" s="39">
        <f>SUMIFS(pg_transaction_cleaned!$H:$H,pg_transaction_cleaned!$O:$O,A1698,pg_transaction_cleaned!$F:$F,"CAPTURE")</f>
        <v>599</v>
      </c>
      <c r="L1698" s="23">
        <f>COUNTIFS(pg_transaction_cleaned!$O:$O,A1698,pg_transaction_cleaned!$F:$F,"REFUND")</f>
        <v>0</v>
      </c>
      <c r="M1698" s="39">
        <f>SUMIFS(pg_transaction_cleaned!$H:$H,pg_transaction_cleaned!$O:$O,A1698,pg_transaction_cleaned!$F:$F,"REFUND")</f>
        <v>0</v>
      </c>
      <c r="N1698" s="23" t="str">
        <f t="shared" si="106"/>
        <v>OK</v>
      </c>
      <c r="O1698" s="24">
        <f t="shared" si="107"/>
        <v>0</v>
      </c>
    </row>
    <row r="1699" spans="1:15" ht="15" customHeight="1" x14ac:dyDescent="0.3">
      <c r="A1699" s="23" t="s">
        <v>3883</v>
      </c>
      <c r="B1699" s="38">
        <v>46272</v>
      </c>
      <c r="C1699" s="23" t="s">
        <v>3884</v>
      </c>
      <c r="D1699" s="23" t="s">
        <v>89</v>
      </c>
      <c r="E1699" s="23" t="s">
        <v>77</v>
      </c>
      <c r="F1699" s="23" t="s">
        <v>3885</v>
      </c>
      <c r="G1699" s="23" t="s">
        <v>250</v>
      </c>
      <c r="H1699" s="39">
        <f t="shared" si="104"/>
        <v>2247</v>
      </c>
      <c r="I1699" s="23" t="str">
        <f t="shared" si="105"/>
        <v>Jaipur</v>
      </c>
      <c r="J1699" s="23">
        <f>COUNTIFS(pg_transaction_cleaned!$O:$O,A1699,pg_transaction_cleaned!$F:$F,"CAPTURE")</f>
        <v>1</v>
      </c>
      <c r="K1699" s="39">
        <f>SUMIFS(pg_transaction_cleaned!$H:$H,pg_transaction_cleaned!$O:$O,A1699,pg_transaction_cleaned!$F:$F,"CAPTURE")</f>
        <v>2247</v>
      </c>
      <c r="L1699" s="23">
        <f>COUNTIFS(pg_transaction_cleaned!$O:$O,A1699,pg_transaction_cleaned!$F:$F,"REFUND")</f>
        <v>0</v>
      </c>
      <c r="M1699" s="39">
        <f>SUMIFS(pg_transaction_cleaned!$H:$H,pg_transaction_cleaned!$O:$O,A1699,pg_transaction_cleaned!$F:$F,"REFUND")</f>
        <v>0</v>
      </c>
      <c r="N1699" s="23" t="str">
        <f t="shared" si="106"/>
        <v>OK</v>
      </c>
      <c r="O1699" s="24">
        <f t="shared" si="107"/>
        <v>0</v>
      </c>
    </row>
    <row r="1700" spans="1:15" ht="15" customHeight="1" x14ac:dyDescent="0.3">
      <c r="A1700" s="23" t="s">
        <v>3886</v>
      </c>
      <c r="B1700" s="38">
        <v>46294</v>
      </c>
      <c r="C1700" s="23" t="s">
        <v>3887</v>
      </c>
      <c r="D1700" s="23" t="s">
        <v>93</v>
      </c>
      <c r="E1700" s="23" t="s">
        <v>79</v>
      </c>
      <c r="F1700" s="23" t="s">
        <v>880</v>
      </c>
      <c r="G1700" s="23" t="s">
        <v>250</v>
      </c>
      <c r="H1700" s="39">
        <f t="shared" si="104"/>
        <v>2298</v>
      </c>
      <c r="I1700" s="23" t="str">
        <f t="shared" si="105"/>
        <v>Kolkata</v>
      </c>
      <c r="J1700" s="23">
        <f>COUNTIFS(pg_transaction_cleaned!$O:$O,A1700,pg_transaction_cleaned!$F:$F,"CAPTURE")</f>
        <v>1</v>
      </c>
      <c r="K1700" s="39">
        <f>SUMIFS(pg_transaction_cleaned!$H:$H,pg_transaction_cleaned!$O:$O,A1700,pg_transaction_cleaned!$F:$F,"CAPTURE")</f>
        <v>2298</v>
      </c>
      <c r="L1700" s="23">
        <f>COUNTIFS(pg_transaction_cleaned!$O:$O,A1700,pg_transaction_cleaned!$F:$F,"REFUND")</f>
        <v>0</v>
      </c>
      <c r="M1700" s="39">
        <f>SUMIFS(pg_transaction_cleaned!$H:$H,pg_transaction_cleaned!$O:$O,A1700,pg_transaction_cleaned!$F:$F,"REFUND")</f>
        <v>0</v>
      </c>
      <c r="N1700" s="23" t="str">
        <f t="shared" si="106"/>
        <v>OK</v>
      </c>
      <c r="O1700" s="24">
        <f t="shared" si="107"/>
        <v>0</v>
      </c>
    </row>
    <row r="1701" spans="1:15" ht="15" customHeight="1" x14ac:dyDescent="0.3">
      <c r="A1701" s="23" t="s">
        <v>3888</v>
      </c>
      <c r="B1701" s="38">
        <v>46284</v>
      </c>
      <c r="C1701" s="23" t="s">
        <v>2100</v>
      </c>
      <c r="D1701" s="23" t="s">
        <v>88</v>
      </c>
      <c r="E1701" s="23" t="s">
        <v>79</v>
      </c>
      <c r="F1701" s="23" t="s">
        <v>357</v>
      </c>
      <c r="G1701" s="23" t="s">
        <v>250</v>
      </c>
      <c r="H1701" s="39">
        <f t="shared" si="104"/>
        <v>1598</v>
      </c>
      <c r="I1701" s="23" t="str">
        <f t="shared" si="105"/>
        <v>Lucknow</v>
      </c>
      <c r="J1701" s="23">
        <f>COUNTIFS(pg_transaction_cleaned!$O:$O,A1701,pg_transaction_cleaned!$F:$F,"CAPTURE")</f>
        <v>1</v>
      </c>
      <c r="K1701" s="39">
        <f>SUMIFS(pg_transaction_cleaned!$H:$H,pg_transaction_cleaned!$O:$O,A1701,pg_transaction_cleaned!$F:$F,"CAPTURE")</f>
        <v>1598</v>
      </c>
      <c r="L1701" s="23">
        <f>COUNTIFS(pg_transaction_cleaned!$O:$O,A1701,pg_transaction_cleaned!$F:$F,"REFUND")</f>
        <v>0</v>
      </c>
      <c r="M1701" s="39">
        <f>SUMIFS(pg_transaction_cleaned!$H:$H,pg_transaction_cleaned!$O:$O,A1701,pg_transaction_cleaned!$F:$F,"REFUND")</f>
        <v>0</v>
      </c>
      <c r="N1701" s="23" t="str">
        <f t="shared" si="106"/>
        <v>OK</v>
      </c>
      <c r="O1701" s="24">
        <f t="shared" si="107"/>
        <v>0</v>
      </c>
    </row>
    <row r="1702" spans="1:15" ht="15" customHeight="1" x14ac:dyDescent="0.3">
      <c r="A1702" s="23" t="s">
        <v>3889</v>
      </c>
      <c r="B1702" s="38">
        <v>46269</v>
      </c>
      <c r="C1702" s="23" t="s">
        <v>3890</v>
      </c>
      <c r="D1702" s="23" t="s">
        <v>92</v>
      </c>
      <c r="E1702" s="23" t="s">
        <v>79</v>
      </c>
      <c r="F1702" s="23" t="s">
        <v>2904</v>
      </c>
      <c r="G1702" s="23" t="s">
        <v>250</v>
      </c>
      <c r="H1702" s="39">
        <f t="shared" si="104"/>
        <v>6498</v>
      </c>
      <c r="I1702" s="23" t="str">
        <f t="shared" si="105"/>
        <v>Hyderabad</v>
      </c>
      <c r="J1702" s="23">
        <f>COUNTIFS(pg_transaction_cleaned!$O:$O,A1702,pg_transaction_cleaned!$F:$F,"CAPTURE")</f>
        <v>1</v>
      </c>
      <c r="K1702" s="39">
        <f>SUMIFS(pg_transaction_cleaned!$H:$H,pg_transaction_cleaned!$O:$O,A1702,pg_transaction_cleaned!$F:$F,"CAPTURE")</f>
        <v>6498</v>
      </c>
      <c r="L1702" s="23">
        <f>COUNTIFS(pg_transaction_cleaned!$O:$O,A1702,pg_transaction_cleaned!$F:$F,"REFUND")</f>
        <v>0</v>
      </c>
      <c r="M1702" s="39">
        <f>SUMIFS(pg_transaction_cleaned!$H:$H,pg_transaction_cleaned!$O:$O,A1702,pg_transaction_cleaned!$F:$F,"REFUND")</f>
        <v>0</v>
      </c>
      <c r="N1702" s="23" t="str">
        <f t="shared" si="106"/>
        <v>OK</v>
      </c>
      <c r="O1702" s="24">
        <f t="shared" si="107"/>
        <v>0</v>
      </c>
    </row>
    <row r="1703" spans="1:15" ht="15" customHeight="1" x14ac:dyDescent="0.3">
      <c r="A1703" s="23" t="s">
        <v>3891</v>
      </c>
      <c r="B1703" s="38">
        <v>46269</v>
      </c>
      <c r="C1703" s="23" t="s">
        <v>3892</v>
      </c>
      <c r="D1703" s="23" t="s">
        <v>86</v>
      </c>
      <c r="E1703" s="23" t="s">
        <v>75</v>
      </c>
      <c r="F1703" s="23" t="s">
        <v>315</v>
      </c>
      <c r="G1703" s="23" t="s">
        <v>365</v>
      </c>
      <c r="H1703" s="39">
        <f t="shared" si="104"/>
        <v>1499</v>
      </c>
      <c r="I1703" s="23" t="str">
        <f t="shared" si="105"/>
        <v>Delhi</v>
      </c>
      <c r="J1703" s="23">
        <f>COUNTIFS(pg_transaction_cleaned!$O:$O,A1703,pg_transaction_cleaned!$F:$F,"CAPTURE")</f>
        <v>0</v>
      </c>
      <c r="K1703" s="39">
        <f>SUMIFS(pg_transaction_cleaned!$H:$H,pg_transaction_cleaned!$O:$O,A1703,pg_transaction_cleaned!$F:$F,"CAPTURE")</f>
        <v>0</v>
      </c>
      <c r="L1703" s="23">
        <f>COUNTIFS(pg_transaction_cleaned!$O:$O,A1703,pg_transaction_cleaned!$F:$F,"REFUND")</f>
        <v>0</v>
      </c>
      <c r="M1703" s="39">
        <f>SUMIFS(pg_transaction_cleaned!$H:$H,pg_transaction_cleaned!$O:$O,A1703,pg_transaction_cleaned!$F:$F,"REFUND")</f>
        <v>0</v>
      </c>
      <c r="N1703" s="23" t="str">
        <f t="shared" si="106"/>
        <v>OK</v>
      </c>
      <c r="O1703" s="24">
        <f t="shared" si="107"/>
        <v>0</v>
      </c>
    </row>
    <row r="1704" spans="1:15" ht="15" customHeight="1" x14ac:dyDescent="0.3">
      <c r="A1704" s="23" t="s">
        <v>3893</v>
      </c>
      <c r="B1704" s="38">
        <v>46282</v>
      </c>
      <c r="C1704" s="23" t="s">
        <v>3894</v>
      </c>
      <c r="D1704" s="23" t="s">
        <v>92</v>
      </c>
      <c r="E1704" s="23" t="s">
        <v>75</v>
      </c>
      <c r="F1704" s="23" t="s">
        <v>271</v>
      </c>
      <c r="G1704" s="23" t="s">
        <v>250</v>
      </c>
      <c r="H1704" s="39">
        <f t="shared" si="104"/>
        <v>2499</v>
      </c>
      <c r="I1704" s="23" t="str">
        <f t="shared" si="105"/>
        <v>Hyderabad</v>
      </c>
      <c r="J1704" s="23">
        <f>COUNTIFS(pg_transaction_cleaned!$O:$O,A1704,pg_transaction_cleaned!$F:$F,"CAPTURE")</f>
        <v>1</v>
      </c>
      <c r="K1704" s="39">
        <f>SUMIFS(pg_transaction_cleaned!$H:$H,pg_transaction_cleaned!$O:$O,A1704,pg_transaction_cleaned!$F:$F,"CAPTURE")</f>
        <v>2499</v>
      </c>
      <c r="L1704" s="23">
        <f>COUNTIFS(pg_transaction_cleaned!$O:$O,A1704,pg_transaction_cleaned!$F:$F,"REFUND")</f>
        <v>0</v>
      </c>
      <c r="M1704" s="39">
        <f>SUMIFS(pg_transaction_cleaned!$H:$H,pg_transaction_cleaned!$O:$O,A1704,pg_transaction_cleaned!$F:$F,"REFUND")</f>
        <v>0</v>
      </c>
      <c r="N1704" s="23" t="str">
        <f t="shared" si="106"/>
        <v>OK</v>
      </c>
      <c r="O1704" s="24">
        <f t="shared" si="107"/>
        <v>0</v>
      </c>
    </row>
    <row r="1705" spans="1:15" ht="15" customHeight="1" x14ac:dyDescent="0.3">
      <c r="A1705" s="23" t="s">
        <v>3895</v>
      </c>
      <c r="B1705" s="38">
        <v>46268</v>
      </c>
      <c r="C1705" s="23" t="s">
        <v>3896</v>
      </c>
      <c r="D1705" s="23" t="s">
        <v>91</v>
      </c>
      <c r="E1705" s="23" t="s">
        <v>75</v>
      </c>
      <c r="F1705" s="23" t="s">
        <v>249</v>
      </c>
      <c r="G1705" s="23" t="s">
        <v>250</v>
      </c>
      <c r="H1705" s="39">
        <f t="shared" si="104"/>
        <v>299</v>
      </c>
      <c r="I1705" s="23" t="str">
        <f t="shared" si="105"/>
        <v>Pune</v>
      </c>
      <c r="J1705" s="23">
        <f>COUNTIFS(pg_transaction_cleaned!$O:$O,A1705,pg_transaction_cleaned!$F:$F,"CAPTURE")</f>
        <v>1</v>
      </c>
      <c r="K1705" s="39">
        <f>SUMIFS(pg_transaction_cleaned!$H:$H,pg_transaction_cleaned!$O:$O,A1705,pg_transaction_cleaned!$F:$F,"CAPTURE")</f>
        <v>299</v>
      </c>
      <c r="L1705" s="23">
        <f>COUNTIFS(pg_transaction_cleaned!$O:$O,A1705,pg_transaction_cleaned!$F:$F,"REFUND")</f>
        <v>0</v>
      </c>
      <c r="M1705" s="39">
        <f>SUMIFS(pg_transaction_cleaned!$H:$H,pg_transaction_cleaned!$O:$O,A1705,pg_transaction_cleaned!$F:$F,"REFUND")</f>
        <v>0</v>
      </c>
      <c r="N1705" s="23" t="str">
        <f t="shared" si="106"/>
        <v>OK</v>
      </c>
      <c r="O1705" s="24">
        <f t="shared" si="107"/>
        <v>0</v>
      </c>
    </row>
    <row r="1706" spans="1:15" ht="15" customHeight="1" x14ac:dyDescent="0.3">
      <c r="A1706" s="23" t="s">
        <v>3897</v>
      </c>
      <c r="B1706" s="38">
        <v>46267</v>
      </c>
      <c r="C1706" s="23" t="s">
        <v>3898</v>
      </c>
      <c r="D1706" s="23" t="s">
        <v>87</v>
      </c>
      <c r="E1706" s="23" t="s">
        <v>79</v>
      </c>
      <c r="F1706" s="23" t="s">
        <v>451</v>
      </c>
      <c r="G1706" s="23" t="s">
        <v>250</v>
      </c>
      <c r="H1706" s="39">
        <f t="shared" si="104"/>
        <v>1098</v>
      </c>
      <c r="I1706" s="23" t="str">
        <f t="shared" si="105"/>
        <v>Mumbai</v>
      </c>
      <c r="J1706" s="23">
        <f>COUNTIFS(pg_transaction_cleaned!$O:$O,A1706,pg_transaction_cleaned!$F:$F,"CAPTURE")</f>
        <v>1</v>
      </c>
      <c r="K1706" s="39">
        <f>SUMIFS(pg_transaction_cleaned!$H:$H,pg_transaction_cleaned!$O:$O,A1706,pg_transaction_cleaned!$F:$F,"CAPTURE")</f>
        <v>1098</v>
      </c>
      <c r="L1706" s="23">
        <f>COUNTIFS(pg_transaction_cleaned!$O:$O,A1706,pg_transaction_cleaned!$F:$F,"REFUND")</f>
        <v>0</v>
      </c>
      <c r="M1706" s="39">
        <f>SUMIFS(pg_transaction_cleaned!$H:$H,pg_transaction_cleaned!$O:$O,A1706,pg_transaction_cleaned!$F:$F,"REFUND")</f>
        <v>0</v>
      </c>
      <c r="N1706" s="23" t="str">
        <f t="shared" si="106"/>
        <v>OK</v>
      </c>
      <c r="O1706" s="24">
        <f t="shared" si="107"/>
        <v>0</v>
      </c>
    </row>
    <row r="1707" spans="1:15" ht="15" customHeight="1" x14ac:dyDescent="0.3">
      <c r="A1707" s="23" t="s">
        <v>3899</v>
      </c>
      <c r="B1707" s="38">
        <v>46274</v>
      </c>
      <c r="C1707" s="23" t="s">
        <v>3900</v>
      </c>
      <c r="D1707" s="23" t="s">
        <v>89</v>
      </c>
      <c r="E1707" s="23" t="s">
        <v>79</v>
      </c>
      <c r="F1707" s="23" t="s">
        <v>265</v>
      </c>
      <c r="G1707" s="23" t="s">
        <v>250</v>
      </c>
      <c r="H1707" s="39">
        <f t="shared" si="104"/>
        <v>999</v>
      </c>
      <c r="I1707" s="23" t="str">
        <f t="shared" si="105"/>
        <v>Jaipur</v>
      </c>
      <c r="J1707" s="23">
        <f>COUNTIFS(pg_transaction_cleaned!$O:$O,A1707,pg_transaction_cleaned!$F:$F,"CAPTURE")</f>
        <v>1</v>
      </c>
      <c r="K1707" s="39">
        <f>SUMIFS(pg_transaction_cleaned!$H:$H,pg_transaction_cleaned!$O:$O,A1707,pg_transaction_cleaned!$F:$F,"CAPTURE")</f>
        <v>999</v>
      </c>
      <c r="L1707" s="23">
        <f>COUNTIFS(pg_transaction_cleaned!$O:$O,A1707,pg_transaction_cleaned!$F:$F,"REFUND")</f>
        <v>0</v>
      </c>
      <c r="M1707" s="39">
        <f>SUMIFS(pg_transaction_cleaned!$H:$H,pg_transaction_cleaned!$O:$O,A1707,pg_transaction_cleaned!$F:$F,"REFUND")</f>
        <v>0</v>
      </c>
      <c r="N1707" s="23" t="str">
        <f t="shared" si="106"/>
        <v>OK</v>
      </c>
      <c r="O1707" s="24">
        <f t="shared" si="107"/>
        <v>0</v>
      </c>
    </row>
    <row r="1708" spans="1:15" ht="15" customHeight="1" x14ac:dyDescent="0.3">
      <c r="A1708" s="23" t="s">
        <v>3901</v>
      </c>
      <c r="B1708" s="38">
        <v>46270</v>
      </c>
      <c r="C1708" s="23" t="s">
        <v>3902</v>
      </c>
      <c r="D1708" s="23" t="s">
        <v>93</v>
      </c>
      <c r="E1708" s="23" t="s">
        <v>77</v>
      </c>
      <c r="F1708" s="23" t="s">
        <v>291</v>
      </c>
      <c r="G1708" s="23" t="s">
        <v>250</v>
      </c>
      <c r="H1708" s="39">
        <f t="shared" si="104"/>
        <v>3499</v>
      </c>
      <c r="I1708" s="23" t="str">
        <f t="shared" si="105"/>
        <v>Kolkata</v>
      </c>
      <c r="J1708" s="23">
        <f>COUNTIFS(pg_transaction_cleaned!$O:$O,A1708,pg_transaction_cleaned!$F:$F,"CAPTURE")</f>
        <v>1</v>
      </c>
      <c r="K1708" s="39">
        <f>SUMIFS(pg_transaction_cleaned!$H:$H,pg_transaction_cleaned!$O:$O,A1708,pg_transaction_cleaned!$F:$F,"CAPTURE")</f>
        <v>3499</v>
      </c>
      <c r="L1708" s="23">
        <f>COUNTIFS(pg_transaction_cleaned!$O:$O,A1708,pg_transaction_cleaned!$F:$F,"REFUND")</f>
        <v>0</v>
      </c>
      <c r="M1708" s="39">
        <f>SUMIFS(pg_transaction_cleaned!$H:$H,pg_transaction_cleaned!$O:$O,A1708,pg_transaction_cleaned!$F:$F,"REFUND")</f>
        <v>0</v>
      </c>
      <c r="N1708" s="23" t="str">
        <f t="shared" si="106"/>
        <v>OK</v>
      </c>
      <c r="O1708" s="24">
        <f t="shared" si="107"/>
        <v>0</v>
      </c>
    </row>
    <row r="1709" spans="1:15" ht="15" customHeight="1" x14ac:dyDescent="0.3">
      <c r="A1709" s="23" t="s">
        <v>3903</v>
      </c>
      <c r="B1709" s="38">
        <v>46284</v>
      </c>
      <c r="C1709" s="23" t="s">
        <v>3904</v>
      </c>
      <c r="D1709" s="23" t="s">
        <v>95</v>
      </c>
      <c r="E1709" s="23" t="s">
        <v>75</v>
      </c>
      <c r="F1709" s="23" t="s">
        <v>475</v>
      </c>
      <c r="G1709" s="23" t="s">
        <v>250</v>
      </c>
      <c r="H1709" s="39">
        <f t="shared" si="104"/>
        <v>799</v>
      </c>
      <c r="I1709" s="23" t="str">
        <f t="shared" si="105"/>
        <v>Bengaluru</v>
      </c>
      <c r="J1709" s="23">
        <f>COUNTIFS(pg_transaction_cleaned!$O:$O,A1709,pg_transaction_cleaned!$F:$F,"CAPTURE")</f>
        <v>1</v>
      </c>
      <c r="K1709" s="39">
        <f>SUMIFS(pg_transaction_cleaned!$H:$H,pg_transaction_cleaned!$O:$O,A1709,pg_transaction_cleaned!$F:$F,"CAPTURE")</f>
        <v>799</v>
      </c>
      <c r="L1709" s="23">
        <f>COUNTIFS(pg_transaction_cleaned!$O:$O,A1709,pg_transaction_cleaned!$F:$F,"REFUND")</f>
        <v>0</v>
      </c>
      <c r="M1709" s="39">
        <f>SUMIFS(pg_transaction_cleaned!$H:$H,pg_transaction_cleaned!$O:$O,A1709,pg_transaction_cleaned!$F:$F,"REFUND")</f>
        <v>0</v>
      </c>
      <c r="N1709" s="23" t="str">
        <f t="shared" si="106"/>
        <v>OK</v>
      </c>
      <c r="O1709" s="24">
        <f t="shared" si="107"/>
        <v>0</v>
      </c>
    </row>
    <row r="1710" spans="1:15" ht="15" customHeight="1" x14ac:dyDescent="0.3">
      <c r="A1710" s="23" t="s">
        <v>3905</v>
      </c>
      <c r="B1710" s="38">
        <v>46291</v>
      </c>
      <c r="C1710" s="23" t="s">
        <v>3906</v>
      </c>
      <c r="D1710" s="23" t="s">
        <v>92</v>
      </c>
      <c r="E1710" s="23" t="s">
        <v>77</v>
      </c>
      <c r="F1710" s="23" t="s">
        <v>647</v>
      </c>
      <c r="G1710" s="23" t="s">
        <v>250</v>
      </c>
      <c r="H1710" s="39">
        <f t="shared" si="104"/>
        <v>5597</v>
      </c>
      <c r="I1710" s="23" t="str">
        <f t="shared" si="105"/>
        <v>Hyderabad</v>
      </c>
      <c r="J1710" s="23">
        <f>COUNTIFS(pg_transaction_cleaned!$O:$O,A1710,pg_transaction_cleaned!$F:$F,"CAPTURE")</f>
        <v>1</v>
      </c>
      <c r="K1710" s="39">
        <f>SUMIFS(pg_transaction_cleaned!$H:$H,pg_transaction_cleaned!$O:$O,A1710,pg_transaction_cleaned!$F:$F,"CAPTURE")</f>
        <v>5597</v>
      </c>
      <c r="L1710" s="23">
        <f>COUNTIFS(pg_transaction_cleaned!$O:$O,A1710,pg_transaction_cleaned!$F:$F,"REFUND")</f>
        <v>0</v>
      </c>
      <c r="M1710" s="39">
        <f>SUMIFS(pg_transaction_cleaned!$H:$H,pg_transaction_cleaned!$O:$O,A1710,pg_transaction_cleaned!$F:$F,"REFUND")</f>
        <v>0</v>
      </c>
      <c r="N1710" s="23" t="str">
        <f t="shared" si="106"/>
        <v>OK</v>
      </c>
      <c r="O1710" s="24">
        <f t="shared" si="107"/>
        <v>0</v>
      </c>
    </row>
    <row r="1711" spans="1:15" ht="15" customHeight="1" x14ac:dyDescent="0.3">
      <c r="A1711" s="23" t="s">
        <v>3907</v>
      </c>
      <c r="B1711" s="38">
        <v>46285</v>
      </c>
      <c r="C1711" s="23" t="s">
        <v>3908</v>
      </c>
      <c r="D1711" s="23" t="s">
        <v>88</v>
      </c>
      <c r="E1711" s="23" t="s">
        <v>79</v>
      </c>
      <c r="F1711" s="23" t="s">
        <v>262</v>
      </c>
      <c r="G1711" s="23" t="s">
        <v>250</v>
      </c>
      <c r="H1711" s="39">
        <f t="shared" si="104"/>
        <v>499</v>
      </c>
      <c r="I1711" s="23" t="str">
        <f t="shared" si="105"/>
        <v>Lucknow</v>
      </c>
      <c r="J1711" s="23">
        <f>COUNTIFS(pg_transaction_cleaned!$O:$O,A1711,pg_transaction_cleaned!$F:$F,"CAPTURE")</f>
        <v>1</v>
      </c>
      <c r="K1711" s="39">
        <f>SUMIFS(pg_transaction_cleaned!$H:$H,pg_transaction_cleaned!$O:$O,A1711,pg_transaction_cleaned!$F:$F,"CAPTURE")</f>
        <v>499</v>
      </c>
      <c r="L1711" s="23">
        <f>COUNTIFS(pg_transaction_cleaned!$O:$O,A1711,pg_transaction_cleaned!$F:$F,"REFUND")</f>
        <v>0</v>
      </c>
      <c r="M1711" s="39">
        <f>SUMIFS(pg_transaction_cleaned!$H:$H,pg_transaction_cleaned!$O:$O,A1711,pg_transaction_cleaned!$F:$F,"REFUND")</f>
        <v>0</v>
      </c>
      <c r="N1711" s="23" t="str">
        <f t="shared" si="106"/>
        <v>OK</v>
      </c>
      <c r="O1711" s="24">
        <f t="shared" si="107"/>
        <v>0</v>
      </c>
    </row>
    <row r="1712" spans="1:15" ht="15" customHeight="1" x14ac:dyDescent="0.3">
      <c r="A1712" s="23" t="s">
        <v>3909</v>
      </c>
      <c r="B1712" s="38">
        <v>46270</v>
      </c>
      <c r="C1712" s="23" t="s">
        <v>3910</v>
      </c>
      <c r="D1712" s="23" t="s">
        <v>92</v>
      </c>
      <c r="E1712" s="23" t="s">
        <v>79</v>
      </c>
      <c r="F1712" s="23" t="s">
        <v>564</v>
      </c>
      <c r="G1712" s="23" t="s">
        <v>250</v>
      </c>
      <c r="H1712" s="39">
        <f t="shared" si="104"/>
        <v>6397</v>
      </c>
      <c r="I1712" s="23" t="str">
        <f t="shared" si="105"/>
        <v>Hyderabad</v>
      </c>
      <c r="J1712" s="23">
        <f>COUNTIFS(pg_transaction_cleaned!$O:$O,A1712,pg_transaction_cleaned!$F:$F,"CAPTURE")</f>
        <v>1</v>
      </c>
      <c r="K1712" s="39">
        <f>SUMIFS(pg_transaction_cleaned!$H:$H,pg_transaction_cleaned!$O:$O,A1712,pg_transaction_cleaned!$F:$F,"CAPTURE")</f>
        <v>6397</v>
      </c>
      <c r="L1712" s="23">
        <f>COUNTIFS(pg_transaction_cleaned!$O:$O,A1712,pg_transaction_cleaned!$F:$F,"REFUND")</f>
        <v>0</v>
      </c>
      <c r="M1712" s="39">
        <f>SUMIFS(pg_transaction_cleaned!$H:$H,pg_transaction_cleaned!$O:$O,A1712,pg_transaction_cleaned!$F:$F,"REFUND")</f>
        <v>0</v>
      </c>
      <c r="N1712" s="23" t="str">
        <f t="shared" si="106"/>
        <v>OK</v>
      </c>
      <c r="O1712" s="24">
        <f t="shared" si="107"/>
        <v>0</v>
      </c>
    </row>
    <row r="1713" spans="1:15" ht="15" customHeight="1" x14ac:dyDescent="0.3">
      <c r="A1713" s="23" t="s">
        <v>3911</v>
      </c>
      <c r="B1713" s="38">
        <v>46268</v>
      </c>
      <c r="C1713" s="23" t="s">
        <v>3912</v>
      </c>
      <c r="D1713" s="23" t="s">
        <v>93</v>
      </c>
      <c r="E1713" s="23" t="s">
        <v>75</v>
      </c>
      <c r="F1713" s="23" t="s">
        <v>271</v>
      </c>
      <c r="G1713" s="23" t="s">
        <v>365</v>
      </c>
      <c r="H1713" s="39">
        <f t="shared" si="104"/>
        <v>2499</v>
      </c>
      <c r="I1713" s="23" t="str">
        <f t="shared" si="105"/>
        <v>Kolkata</v>
      </c>
      <c r="J1713" s="23">
        <f>COUNTIFS(pg_transaction_cleaned!$O:$O,A1713,pg_transaction_cleaned!$F:$F,"CAPTURE")</f>
        <v>0</v>
      </c>
      <c r="K1713" s="39">
        <f>SUMIFS(pg_transaction_cleaned!$H:$H,pg_transaction_cleaned!$O:$O,A1713,pg_transaction_cleaned!$F:$F,"CAPTURE")</f>
        <v>0</v>
      </c>
      <c r="L1713" s="23">
        <f>COUNTIFS(pg_transaction_cleaned!$O:$O,A1713,pg_transaction_cleaned!$F:$F,"REFUND")</f>
        <v>0</v>
      </c>
      <c r="M1713" s="39">
        <f>SUMIFS(pg_transaction_cleaned!$H:$H,pg_transaction_cleaned!$O:$O,A1713,pg_transaction_cleaned!$F:$F,"REFUND")</f>
        <v>0</v>
      </c>
      <c r="N1713" s="23" t="str">
        <f t="shared" si="106"/>
        <v>OK</v>
      </c>
      <c r="O1713" s="24">
        <f t="shared" si="107"/>
        <v>0</v>
      </c>
    </row>
    <row r="1714" spans="1:15" ht="15" customHeight="1" x14ac:dyDescent="0.3">
      <c r="A1714" s="23" t="s">
        <v>3913</v>
      </c>
      <c r="B1714" s="38">
        <v>46291</v>
      </c>
      <c r="C1714" s="23" t="s">
        <v>3914</v>
      </c>
      <c r="D1714" s="23" t="s">
        <v>94</v>
      </c>
      <c r="E1714" s="23" t="s">
        <v>79</v>
      </c>
      <c r="F1714" s="23" t="s">
        <v>1619</v>
      </c>
      <c r="G1714" s="23" t="s">
        <v>250</v>
      </c>
      <c r="H1714" s="39">
        <f t="shared" si="104"/>
        <v>848</v>
      </c>
      <c r="I1714" s="23" t="str">
        <f t="shared" si="105"/>
        <v>Chennai</v>
      </c>
      <c r="J1714" s="23">
        <f>COUNTIFS(pg_transaction_cleaned!$O:$O,A1714,pg_transaction_cleaned!$F:$F,"CAPTURE")</f>
        <v>1</v>
      </c>
      <c r="K1714" s="39">
        <f>SUMIFS(pg_transaction_cleaned!$H:$H,pg_transaction_cleaned!$O:$O,A1714,pg_transaction_cleaned!$F:$F,"CAPTURE")</f>
        <v>848</v>
      </c>
      <c r="L1714" s="23">
        <f>COUNTIFS(pg_transaction_cleaned!$O:$O,A1714,pg_transaction_cleaned!$F:$F,"REFUND")</f>
        <v>0</v>
      </c>
      <c r="M1714" s="39">
        <f>SUMIFS(pg_transaction_cleaned!$H:$H,pg_transaction_cleaned!$O:$O,A1714,pg_transaction_cleaned!$F:$F,"REFUND")</f>
        <v>0</v>
      </c>
      <c r="N1714" s="23" t="str">
        <f t="shared" si="106"/>
        <v>OK</v>
      </c>
      <c r="O1714" s="24">
        <f t="shared" si="107"/>
        <v>0</v>
      </c>
    </row>
    <row r="1715" spans="1:15" ht="15" customHeight="1" x14ac:dyDescent="0.3">
      <c r="A1715" s="23" t="s">
        <v>3915</v>
      </c>
      <c r="B1715" s="38">
        <v>46280</v>
      </c>
      <c r="C1715" s="23" t="s">
        <v>3916</v>
      </c>
      <c r="D1715" s="23" t="s">
        <v>87</v>
      </c>
      <c r="E1715" s="23" t="s">
        <v>77</v>
      </c>
      <c r="F1715" s="23" t="s">
        <v>268</v>
      </c>
      <c r="G1715" s="23" t="s">
        <v>250</v>
      </c>
      <c r="H1715" s="39">
        <f t="shared" si="104"/>
        <v>1299</v>
      </c>
      <c r="I1715" s="23" t="str">
        <f t="shared" si="105"/>
        <v>Mumbai</v>
      </c>
      <c r="J1715" s="23">
        <f>COUNTIFS(pg_transaction_cleaned!$O:$O,A1715,pg_transaction_cleaned!$F:$F,"CAPTURE")</f>
        <v>1</v>
      </c>
      <c r="K1715" s="39">
        <f>SUMIFS(pg_transaction_cleaned!$H:$H,pg_transaction_cleaned!$O:$O,A1715,pg_transaction_cleaned!$F:$F,"CAPTURE")</f>
        <v>1299</v>
      </c>
      <c r="L1715" s="23">
        <f>COUNTIFS(pg_transaction_cleaned!$O:$O,A1715,pg_transaction_cleaned!$F:$F,"REFUND")</f>
        <v>0</v>
      </c>
      <c r="M1715" s="39">
        <f>SUMIFS(pg_transaction_cleaned!$H:$H,pg_transaction_cleaned!$O:$O,A1715,pg_transaction_cleaned!$F:$F,"REFUND")</f>
        <v>0</v>
      </c>
      <c r="N1715" s="23" t="str">
        <f t="shared" si="106"/>
        <v>OK</v>
      </c>
      <c r="O1715" s="24">
        <f t="shared" si="107"/>
        <v>0</v>
      </c>
    </row>
    <row r="1716" spans="1:15" ht="15" customHeight="1" x14ac:dyDescent="0.3">
      <c r="A1716" s="23" t="s">
        <v>3917</v>
      </c>
      <c r="B1716" s="38">
        <v>46295</v>
      </c>
      <c r="C1716" s="23" t="s">
        <v>3918</v>
      </c>
      <c r="D1716" s="23" t="s">
        <v>92</v>
      </c>
      <c r="E1716" s="23" t="s">
        <v>79</v>
      </c>
      <c r="F1716" s="23" t="s">
        <v>717</v>
      </c>
      <c r="G1716" s="23" t="s">
        <v>250</v>
      </c>
      <c r="H1716" s="39">
        <f t="shared" si="104"/>
        <v>5298</v>
      </c>
      <c r="I1716" s="23" t="str">
        <f t="shared" si="105"/>
        <v>Hyderabad</v>
      </c>
      <c r="J1716" s="23">
        <f>COUNTIFS(pg_transaction_cleaned!$O:$O,A1716,pg_transaction_cleaned!$F:$F,"CAPTURE")</f>
        <v>1</v>
      </c>
      <c r="K1716" s="39">
        <f>SUMIFS(pg_transaction_cleaned!$H:$H,pg_transaction_cleaned!$O:$O,A1716,pg_transaction_cleaned!$F:$F,"CAPTURE")</f>
        <v>5298</v>
      </c>
      <c r="L1716" s="23">
        <f>COUNTIFS(pg_transaction_cleaned!$O:$O,A1716,pg_transaction_cleaned!$F:$F,"REFUND")</f>
        <v>0</v>
      </c>
      <c r="M1716" s="39">
        <f>SUMIFS(pg_transaction_cleaned!$H:$H,pg_transaction_cleaned!$O:$O,A1716,pg_transaction_cleaned!$F:$F,"REFUND")</f>
        <v>0</v>
      </c>
      <c r="N1716" s="23" t="str">
        <f t="shared" si="106"/>
        <v>OK</v>
      </c>
      <c r="O1716" s="24">
        <f t="shared" si="107"/>
        <v>0</v>
      </c>
    </row>
    <row r="1717" spans="1:15" ht="15" customHeight="1" x14ac:dyDescent="0.3">
      <c r="A1717" s="23" t="s">
        <v>3919</v>
      </c>
      <c r="B1717" s="38">
        <v>46291</v>
      </c>
      <c r="C1717" s="23" t="s">
        <v>3920</v>
      </c>
      <c r="D1717" s="23" t="s">
        <v>88</v>
      </c>
      <c r="E1717" s="23" t="s">
        <v>75</v>
      </c>
      <c r="F1717" s="23" t="s">
        <v>271</v>
      </c>
      <c r="G1717" s="23" t="s">
        <v>250</v>
      </c>
      <c r="H1717" s="39">
        <f t="shared" si="104"/>
        <v>2499</v>
      </c>
      <c r="I1717" s="23" t="str">
        <f t="shared" si="105"/>
        <v>Lucknow</v>
      </c>
      <c r="J1717" s="23">
        <f>COUNTIFS(pg_transaction_cleaned!$O:$O,A1717,pg_transaction_cleaned!$F:$F,"CAPTURE")</f>
        <v>1</v>
      </c>
      <c r="K1717" s="39">
        <f>SUMIFS(pg_transaction_cleaned!$H:$H,pg_transaction_cleaned!$O:$O,A1717,pg_transaction_cleaned!$F:$F,"CAPTURE")</f>
        <v>2499</v>
      </c>
      <c r="L1717" s="23">
        <f>COUNTIFS(pg_transaction_cleaned!$O:$O,A1717,pg_transaction_cleaned!$F:$F,"REFUND")</f>
        <v>0</v>
      </c>
      <c r="M1717" s="39">
        <f>SUMIFS(pg_transaction_cleaned!$H:$H,pg_transaction_cleaned!$O:$O,A1717,pg_transaction_cleaned!$F:$F,"REFUND")</f>
        <v>0</v>
      </c>
      <c r="N1717" s="23" t="str">
        <f t="shared" si="106"/>
        <v>OK</v>
      </c>
      <c r="O1717" s="24">
        <f t="shared" si="107"/>
        <v>0</v>
      </c>
    </row>
    <row r="1718" spans="1:15" ht="15" customHeight="1" x14ac:dyDescent="0.3">
      <c r="A1718" s="23" t="s">
        <v>3921</v>
      </c>
      <c r="B1718" s="38">
        <v>46294</v>
      </c>
      <c r="C1718" s="23" t="s">
        <v>3922</v>
      </c>
      <c r="D1718" s="23" t="s">
        <v>87</v>
      </c>
      <c r="E1718" s="23" t="s">
        <v>75</v>
      </c>
      <c r="F1718" s="23" t="s">
        <v>249</v>
      </c>
      <c r="G1718" s="23" t="s">
        <v>250</v>
      </c>
      <c r="H1718" s="39">
        <f t="shared" si="104"/>
        <v>299</v>
      </c>
      <c r="I1718" s="23" t="str">
        <f t="shared" si="105"/>
        <v>Mumbai</v>
      </c>
      <c r="J1718" s="23">
        <f>COUNTIFS(pg_transaction_cleaned!$O:$O,A1718,pg_transaction_cleaned!$F:$F,"CAPTURE")</f>
        <v>1</v>
      </c>
      <c r="K1718" s="39">
        <f>SUMIFS(pg_transaction_cleaned!$H:$H,pg_transaction_cleaned!$O:$O,A1718,pg_transaction_cleaned!$F:$F,"CAPTURE")</f>
        <v>299</v>
      </c>
      <c r="L1718" s="23">
        <f>COUNTIFS(pg_transaction_cleaned!$O:$O,A1718,pg_transaction_cleaned!$F:$F,"REFUND")</f>
        <v>0</v>
      </c>
      <c r="M1718" s="39">
        <f>SUMIFS(pg_transaction_cleaned!$H:$H,pg_transaction_cleaned!$O:$O,A1718,pg_transaction_cleaned!$F:$F,"REFUND")</f>
        <v>0</v>
      </c>
      <c r="N1718" s="23" t="str">
        <f t="shared" si="106"/>
        <v>OK</v>
      </c>
      <c r="O1718" s="24">
        <f t="shared" si="107"/>
        <v>0</v>
      </c>
    </row>
    <row r="1719" spans="1:15" ht="15" customHeight="1" x14ac:dyDescent="0.3">
      <c r="A1719" s="23" t="s">
        <v>3923</v>
      </c>
      <c r="B1719" s="38">
        <v>46280</v>
      </c>
      <c r="C1719" s="23" t="s">
        <v>3924</v>
      </c>
      <c r="D1719" s="23" t="s">
        <v>91</v>
      </c>
      <c r="E1719" s="23" t="s">
        <v>75</v>
      </c>
      <c r="F1719" s="23" t="s">
        <v>343</v>
      </c>
      <c r="G1719" s="23" t="s">
        <v>250</v>
      </c>
      <c r="H1719" s="39">
        <f t="shared" si="104"/>
        <v>9498</v>
      </c>
      <c r="I1719" s="23" t="str">
        <f t="shared" si="105"/>
        <v>Pune</v>
      </c>
      <c r="J1719" s="23">
        <f>COUNTIFS(pg_transaction_cleaned!$O:$O,A1719,pg_transaction_cleaned!$F:$F,"CAPTURE")</f>
        <v>1</v>
      </c>
      <c r="K1719" s="39">
        <f>SUMIFS(pg_transaction_cleaned!$H:$H,pg_transaction_cleaned!$O:$O,A1719,pg_transaction_cleaned!$F:$F,"CAPTURE")</f>
        <v>9498</v>
      </c>
      <c r="L1719" s="23">
        <f>COUNTIFS(pg_transaction_cleaned!$O:$O,A1719,pg_transaction_cleaned!$F:$F,"REFUND")</f>
        <v>0</v>
      </c>
      <c r="M1719" s="39">
        <f>SUMIFS(pg_transaction_cleaned!$H:$H,pg_transaction_cleaned!$O:$O,A1719,pg_transaction_cleaned!$F:$F,"REFUND")</f>
        <v>0</v>
      </c>
      <c r="N1719" s="23" t="str">
        <f t="shared" si="106"/>
        <v>OK</v>
      </c>
      <c r="O1719" s="24">
        <f t="shared" si="107"/>
        <v>0</v>
      </c>
    </row>
    <row r="1720" spans="1:15" ht="15" customHeight="1" x14ac:dyDescent="0.3">
      <c r="A1720" s="23" t="s">
        <v>3925</v>
      </c>
      <c r="B1720" s="38">
        <v>46276</v>
      </c>
      <c r="C1720" s="23" t="s">
        <v>3926</v>
      </c>
      <c r="D1720" s="23" t="s">
        <v>87</v>
      </c>
      <c r="E1720" s="23" t="s">
        <v>75</v>
      </c>
      <c r="F1720" s="23" t="s">
        <v>2337</v>
      </c>
      <c r="G1720" s="23" t="s">
        <v>250</v>
      </c>
      <c r="H1720" s="39">
        <f t="shared" si="104"/>
        <v>8348</v>
      </c>
      <c r="I1720" s="23" t="str">
        <f t="shared" si="105"/>
        <v>Mumbai</v>
      </c>
      <c r="J1720" s="23">
        <f>COUNTIFS(pg_transaction_cleaned!$O:$O,A1720,pg_transaction_cleaned!$F:$F,"CAPTURE")</f>
        <v>1</v>
      </c>
      <c r="K1720" s="39">
        <f>SUMIFS(pg_transaction_cleaned!$H:$H,pg_transaction_cleaned!$O:$O,A1720,pg_transaction_cleaned!$F:$F,"CAPTURE")</f>
        <v>8348</v>
      </c>
      <c r="L1720" s="23">
        <f>COUNTIFS(pg_transaction_cleaned!$O:$O,A1720,pg_transaction_cleaned!$F:$F,"REFUND")</f>
        <v>0</v>
      </c>
      <c r="M1720" s="39">
        <f>SUMIFS(pg_transaction_cleaned!$H:$H,pg_transaction_cleaned!$O:$O,A1720,pg_transaction_cleaned!$F:$F,"REFUND")</f>
        <v>0</v>
      </c>
      <c r="N1720" s="23" t="str">
        <f t="shared" si="106"/>
        <v>OK</v>
      </c>
      <c r="O1720" s="24">
        <f t="shared" si="107"/>
        <v>0</v>
      </c>
    </row>
    <row r="1721" spans="1:15" ht="15" customHeight="1" x14ac:dyDescent="0.3">
      <c r="A1721" s="23" t="s">
        <v>3927</v>
      </c>
      <c r="B1721" s="38">
        <v>46269</v>
      </c>
      <c r="C1721" s="23" t="s">
        <v>3928</v>
      </c>
      <c r="D1721" s="23" t="s">
        <v>89</v>
      </c>
      <c r="E1721" s="23" t="s">
        <v>75</v>
      </c>
      <c r="F1721" s="23" t="s">
        <v>1206</v>
      </c>
      <c r="G1721" s="23" t="s">
        <v>250</v>
      </c>
      <c r="H1721" s="39">
        <f t="shared" si="104"/>
        <v>7297</v>
      </c>
      <c r="I1721" s="23" t="str">
        <f t="shared" si="105"/>
        <v>Jaipur</v>
      </c>
      <c r="J1721" s="23">
        <f>COUNTIFS(pg_transaction_cleaned!$O:$O,A1721,pg_transaction_cleaned!$F:$F,"CAPTURE")</f>
        <v>1</v>
      </c>
      <c r="K1721" s="39">
        <f>SUMIFS(pg_transaction_cleaned!$H:$H,pg_transaction_cleaned!$O:$O,A1721,pg_transaction_cleaned!$F:$F,"CAPTURE")</f>
        <v>7297</v>
      </c>
      <c r="L1721" s="23">
        <f>COUNTIFS(pg_transaction_cleaned!$O:$O,A1721,pg_transaction_cleaned!$F:$F,"REFUND")</f>
        <v>0</v>
      </c>
      <c r="M1721" s="39">
        <f>SUMIFS(pg_transaction_cleaned!$H:$H,pg_transaction_cleaned!$O:$O,A1721,pg_transaction_cleaned!$F:$F,"REFUND")</f>
        <v>0</v>
      </c>
      <c r="N1721" s="23" t="str">
        <f t="shared" si="106"/>
        <v>OK</v>
      </c>
      <c r="O1721" s="24">
        <f t="shared" si="107"/>
        <v>0</v>
      </c>
    </row>
    <row r="1722" spans="1:15" ht="15" customHeight="1" x14ac:dyDescent="0.3">
      <c r="A1722" s="23" t="s">
        <v>3929</v>
      </c>
      <c r="B1722" s="38">
        <v>46270</v>
      </c>
      <c r="C1722" s="23" t="s">
        <v>3930</v>
      </c>
      <c r="D1722" s="23" t="s">
        <v>86</v>
      </c>
      <c r="E1722" s="23" t="s">
        <v>77</v>
      </c>
      <c r="F1722" s="23" t="s">
        <v>520</v>
      </c>
      <c r="G1722" s="23" t="s">
        <v>250</v>
      </c>
      <c r="H1722" s="39">
        <f t="shared" si="104"/>
        <v>4998</v>
      </c>
      <c r="I1722" s="23" t="str">
        <f t="shared" si="105"/>
        <v>Delhi</v>
      </c>
      <c r="J1722" s="23">
        <f>COUNTIFS(pg_transaction_cleaned!$O:$O,A1722,pg_transaction_cleaned!$F:$F,"CAPTURE")</f>
        <v>1</v>
      </c>
      <c r="K1722" s="39">
        <f>SUMIFS(pg_transaction_cleaned!$H:$H,pg_transaction_cleaned!$O:$O,A1722,pg_transaction_cleaned!$F:$F,"CAPTURE")</f>
        <v>4998</v>
      </c>
      <c r="L1722" s="23">
        <f>COUNTIFS(pg_transaction_cleaned!$O:$O,A1722,pg_transaction_cleaned!$F:$F,"REFUND")</f>
        <v>0</v>
      </c>
      <c r="M1722" s="39">
        <f>SUMIFS(pg_transaction_cleaned!$H:$H,pg_transaction_cleaned!$O:$O,A1722,pg_transaction_cleaned!$F:$F,"REFUND")</f>
        <v>0</v>
      </c>
      <c r="N1722" s="23" t="str">
        <f t="shared" si="106"/>
        <v>OK</v>
      </c>
      <c r="O1722" s="24">
        <f t="shared" si="107"/>
        <v>0</v>
      </c>
    </row>
    <row r="1723" spans="1:15" ht="15" customHeight="1" x14ac:dyDescent="0.3">
      <c r="A1723" s="23" t="s">
        <v>3931</v>
      </c>
      <c r="B1723" s="38">
        <v>46275</v>
      </c>
      <c r="C1723" s="23" t="s">
        <v>3932</v>
      </c>
      <c r="D1723" s="23" t="s">
        <v>91</v>
      </c>
      <c r="E1723" s="23" t="s">
        <v>79</v>
      </c>
      <c r="F1723" s="23" t="s">
        <v>1978</v>
      </c>
      <c r="G1723" s="23" t="s">
        <v>250</v>
      </c>
      <c r="H1723" s="39">
        <f t="shared" si="104"/>
        <v>4597</v>
      </c>
      <c r="I1723" s="23" t="str">
        <f t="shared" si="105"/>
        <v>Pune</v>
      </c>
      <c r="J1723" s="23">
        <f>COUNTIFS(pg_transaction_cleaned!$O:$O,A1723,pg_transaction_cleaned!$F:$F,"CAPTURE")</f>
        <v>1</v>
      </c>
      <c r="K1723" s="39">
        <f>SUMIFS(pg_transaction_cleaned!$H:$H,pg_transaction_cleaned!$O:$O,A1723,pg_transaction_cleaned!$F:$F,"CAPTURE")</f>
        <v>4597</v>
      </c>
      <c r="L1723" s="23">
        <f>COUNTIFS(pg_transaction_cleaned!$O:$O,A1723,pg_transaction_cleaned!$F:$F,"REFUND")</f>
        <v>0</v>
      </c>
      <c r="M1723" s="39">
        <f>SUMIFS(pg_transaction_cleaned!$H:$H,pg_transaction_cleaned!$O:$O,A1723,pg_transaction_cleaned!$F:$F,"REFUND")</f>
        <v>0</v>
      </c>
      <c r="N1723" s="23" t="str">
        <f t="shared" si="106"/>
        <v>OK</v>
      </c>
      <c r="O1723" s="24">
        <f t="shared" si="107"/>
        <v>0</v>
      </c>
    </row>
    <row r="1724" spans="1:15" ht="15" customHeight="1" x14ac:dyDescent="0.3">
      <c r="A1724" s="23" t="s">
        <v>3933</v>
      </c>
      <c r="B1724" s="38">
        <v>46268</v>
      </c>
      <c r="C1724" s="23" t="s">
        <v>3934</v>
      </c>
      <c r="D1724" s="23" t="s">
        <v>95</v>
      </c>
      <c r="E1724" s="23" t="s">
        <v>75</v>
      </c>
      <c r="F1724" s="23" t="s">
        <v>262</v>
      </c>
      <c r="G1724" s="23" t="s">
        <v>250</v>
      </c>
      <c r="H1724" s="39">
        <f t="shared" si="104"/>
        <v>499</v>
      </c>
      <c r="I1724" s="23" t="str">
        <f t="shared" si="105"/>
        <v>Bengaluru</v>
      </c>
      <c r="J1724" s="23">
        <f>COUNTIFS(pg_transaction_cleaned!$O:$O,A1724,pg_transaction_cleaned!$F:$F,"CAPTURE")</f>
        <v>1</v>
      </c>
      <c r="K1724" s="39">
        <f>SUMIFS(pg_transaction_cleaned!$H:$H,pg_transaction_cleaned!$O:$O,A1724,pg_transaction_cleaned!$F:$F,"CAPTURE")</f>
        <v>499</v>
      </c>
      <c r="L1724" s="23">
        <f>COUNTIFS(pg_transaction_cleaned!$O:$O,A1724,pg_transaction_cleaned!$F:$F,"REFUND")</f>
        <v>0</v>
      </c>
      <c r="M1724" s="39">
        <f>SUMIFS(pg_transaction_cleaned!$H:$H,pg_transaction_cleaned!$O:$O,A1724,pg_transaction_cleaned!$F:$F,"REFUND")</f>
        <v>0</v>
      </c>
      <c r="N1724" s="23" t="str">
        <f t="shared" si="106"/>
        <v>OK</v>
      </c>
      <c r="O1724" s="24">
        <f t="shared" si="107"/>
        <v>0</v>
      </c>
    </row>
    <row r="1725" spans="1:15" ht="15" customHeight="1" x14ac:dyDescent="0.3">
      <c r="A1725" s="23" t="s">
        <v>3935</v>
      </c>
      <c r="B1725" s="38">
        <v>46272</v>
      </c>
      <c r="C1725" s="23" t="s">
        <v>3936</v>
      </c>
      <c r="D1725" s="23" t="s">
        <v>87</v>
      </c>
      <c r="E1725" s="23" t="s">
        <v>75</v>
      </c>
      <c r="F1725" s="23" t="s">
        <v>315</v>
      </c>
      <c r="G1725" s="23" t="s">
        <v>250</v>
      </c>
      <c r="H1725" s="39">
        <f t="shared" si="104"/>
        <v>1499</v>
      </c>
      <c r="I1725" s="23" t="str">
        <f t="shared" si="105"/>
        <v>Mumbai</v>
      </c>
      <c r="J1725" s="23">
        <f>COUNTIFS(pg_transaction_cleaned!$O:$O,A1725,pg_transaction_cleaned!$F:$F,"CAPTURE")</f>
        <v>1</v>
      </c>
      <c r="K1725" s="39">
        <f>SUMIFS(pg_transaction_cleaned!$H:$H,pg_transaction_cleaned!$O:$O,A1725,pg_transaction_cleaned!$F:$F,"CAPTURE")</f>
        <v>1499</v>
      </c>
      <c r="L1725" s="23">
        <f>COUNTIFS(pg_transaction_cleaned!$O:$O,A1725,pg_transaction_cleaned!$F:$F,"REFUND")</f>
        <v>0</v>
      </c>
      <c r="M1725" s="39">
        <f>SUMIFS(pg_transaction_cleaned!$H:$H,pg_transaction_cleaned!$O:$O,A1725,pg_transaction_cleaned!$F:$F,"REFUND")</f>
        <v>0</v>
      </c>
      <c r="N1725" s="23" t="str">
        <f t="shared" si="106"/>
        <v>OK</v>
      </c>
      <c r="O1725" s="24">
        <f t="shared" si="107"/>
        <v>0</v>
      </c>
    </row>
    <row r="1726" spans="1:15" ht="15" customHeight="1" x14ac:dyDescent="0.3">
      <c r="A1726" s="23" t="s">
        <v>3937</v>
      </c>
      <c r="B1726" s="38">
        <v>46295</v>
      </c>
      <c r="C1726" s="23" t="s">
        <v>3938</v>
      </c>
      <c r="D1726" s="23" t="s">
        <v>89</v>
      </c>
      <c r="E1726" s="23" t="s">
        <v>77</v>
      </c>
      <c r="F1726" s="23" t="s">
        <v>475</v>
      </c>
      <c r="G1726" s="23" t="s">
        <v>250</v>
      </c>
      <c r="H1726" s="39">
        <f t="shared" si="104"/>
        <v>799</v>
      </c>
      <c r="I1726" s="23" t="str">
        <f t="shared" si="105"/>
        <v>Jaipur</v>
      </c>
      <c r="J1726" s="23">
        <f>COUNTIFS(pg_transaction_cleaned!$O:$O,A1726,pg_transaction_cleaned!$F:$F,"CAPTURE")</f>
        <v>1</v>
      </c>
      <c r="K1726" s="39">
        <f>SUMIFS(pg_transaction_cleaned!$H:$H,pg_transaction_cleaned!$O:$O,A1726,pg_transaction_cleaned!$F:$F,"CAPTURE")</f>
        <v>799</v>
      </c>
      <c r="L1726" s="23">
        <f>COUNTIFS(pg_transaction_cleaned!$O:$O,A1726,pg_transaction_cleaned!$F:$F,"REFUND")</f>
        <v>0</v>
      </c>
      <c r="M1726" s="39">
        <f>SUMIFS(pg_transaction_cleaned!$H:$H,pg_transaction_cleaned!$O:$O,A1726,pg_transaction_cleaned!$F:$F,"REFUND")</f>
        <v>0</v>
      </c>
      <c r="N1726" s="23" t="str">
        <f t="shared" si="106"/>
        <v>OK</v>
      </c>
      <c r="O1726" s="24">
        <f t="shared" si="107"/>
        <v>0</v>
      </c>
    </row>
    <row r="1727" spans="1:15" ht="15" customHeight="1" x14ac:dyDescent="0.3">
      <c r="A1727" s="23" t="s">
        <v>3939</v>
      </c>
      <c r="B1727" s="38">
        <v>46274</v>
      </c>
      <c r="C1727" s="23" t="s">
        <v>3940</v>
      </c>
      <c r="D1727" s="23" t="s">
        <v>86</v>
      </c>
      <c r="E1727" s="23" t="s">
        <v>79</v>
      </c>
      <c r="F1727" s="23" t="s">
        <v>346</v>
      </c>
      <c r="G1727" s="23" t="s">
        <v>250</v>
      </c>
      <c r="H1727" s="39">
        <f t="shared" si="104"/>
        <v>4498</v>
      </c>
      <c r="I1727" s="23" t="str">
        <f t="shared" si="105"/>
        <v>Delhi</v>
      </c>
      <c r="J1727" s="23">
        <f>COUNTIFS(pg_transaction_cleaned!$O:$O,A1727,pg_transaction_cleaned!$F:$F,"CAPTURE")</f>
        <v>1</v>
      </c>
      <c r="K1727" s="39">
        <f>SUMIFS(pg_transaction_cleaned!$H:$H,pg_transaction_cleaned!$O:$O,A1727,pg_transaction_cleaned!$F:$F,"CAPTURE")</f>
        <v>4498</v>
      </c>
      <c r="L1727" s="23">
        <f>COUNTIFS(pg_transaction_cleaned!$O:$O,A1727,pg_transaction_cleaned!$F:$F,"REFUND")</f>
        <v>0</v>
      </c>
      <c r="M1727" s="39">
        <f>SUMIFS(pg_transaction_cleaned!$H:$H,pg_transaction_cleaned!$O:$O,A1727,pg_transaction_cleaned!$F:$F,"REFUND")</f>
        <v>0</v>
      </c>
      <c r="N1727" s="23" t="str">
        <f t="shared" si="106"/>
        <v>OK</v>
      </c>
      <c r="O1727" s="24">
        <f t="shared" si="107"/>
        <v>0</v>
      </c>
    </row>
    <row r="1728" spans="1:15" ht="15" customHeight="1" x14ac:dyDescent="0.3">
      <c r="A1728" s="23" t="s">
        <v>3941</v>
      </c>
      <c r="B1728" s="38">
        <v>46286</v>
      </c>
      <c r="C1728" s="23" t="s">
        <v>3942</v>
      </c>
      <c r="D1728" s="23" t="s">
        <v>86</v>
      </c>
      <c r="E1728" s="23" t="s">
        <v>79</v>
      </c>
      <c r="F1728" s="23" t="s">
        <v>262</v>
      </c>
      <c r="G1728" s="23" t="s">
        <v>250</v>
      </c>
      <c r="H1728" s="39">
        <f t="shared" si="104"/>
        <v>499</v>
      </c>
      <c r="I1728" s="23" t="str">
        <f t="shared" si="105"/>
        <v>Delhi</v>
      </c>
      <c r="J1728" s="23">
        <f>COUNTIFS(pg_transaction_cleaned!$O:$O,A1728,pg_transaction_cleaned!$F:$F,"CAPTURE")</f>
        <v>1</v>
      </c>
      <c r="K1728" s="39">
        <f>SUMIFS(pg_transaction_cleaned!$H:$H,pg_transaction_cleaned!$O:$O,A1728,pg_transaction_cleaned!$F:$F,"CAPTURE")</f>
        <v>499</v>
      </c>
      <c r="L1728" s="23">
        <f>COUNTIFS(pg_transaction_cleaned!$O:$O,A1728,pg_transaction_cleaned!$F:$F,"REFUND")</f>
        <v>0</v>
      </c>
      <c r="M1728" s="39">
        <f>SUMIFS(pg_transaction_cleaned!$H:$H,pg_transaction_cleaned!$O:$O,A1728,pg_transaction_cleaned!$F:$F,"REFUND")</f>
        <v>0</v>
      </c>
      <c r="N1728" s="23" t="str">
        <f t="shared" si="106"/>
        <v>OK</v>
      </c>
      <c r="O1728" s="24">
        <f t="shared" si="107"/>
        <v>0</v>
      </c>
    </row>
    <row r="1729" spans="1:15" ht="15" customHeight="1" x14ac:dyDescent="0.3">
      <c r="A1729" s="23" t="s">
        <v>3943</v>
      </c>
      <c r="B1729" s="38">
        <v>46282</v>
      </c>
      <c r="C1729" s="23" t="s">
        <v>3944</v>
      </c>
      <c r="D1729" s="23" t="s">
        <v>91</v>
      </c>
      <c r="E1729" s="23" t="s">
        <v>75</v>
      </c>
      <c r="F1729" s="23" t="s">
        <v>3945</v>
      </c>
      <c r="G1729" s="23" t="s">
        <v>250</v>
      </c>
      <c r="H1729" s="39">
        <f t="shared" si="104"/>
        <v>5897</v>
      </c>
      <c r="I1729" s="23" t="str">
        <f t="shared" si="105"/>
        <v>Pune</v>
      </c>
      <c r="J1729" s="23">
        <f>COUNTIFS(pg_transaction_cleaned!$O:$O,A1729,pg_transaction_cleaned!$F:$F,"CAPTURE")</f>
        <v>1</v>
      </c>
      <c r="K1729" s="39">
        <f>SUMIFS(pg_transaction_cleaned!$H:$H,pg_transaction_cleaned!$O:$O,A1729,pg_transaction_cleaned!$F:$F,"CAPTURE")</f>
        <v>5897</v>
      </c>
      <c r="L1729" s="23">
        <f>COUNTIFS(pg_transaction_cleaned!$O:$O,A1729,pg_transaction_cleaned!$F:$F,"REFUND")</f>
        <v>0</v>
      </c>
      <c r="M1729" s="39">
        <f>SUMIFS(pg_transaction_cleaned!$H:$H,pg_transaction_cleaned!$O:$O,A1729,pg_transaction_cleaned!$F:$F,"REFUND")</f>
        <v>0</v>
      </c>
      <c r="N1729" s="23" t="str">
        <f t="shared" si="106"/>
        <v>OK</v>
      </c>
      <c r="O1729" s="24">
        <f t="shared" si="107"/>
        <v>0</v>
      </c>
    </row>
    <row r="1730" spans="1:15" ht="15" customHeight="1" x14ac:dyDescent="0.3">
      <c r="A1730" s="23" t="s">
        <v>3946</v>
      </c>
      <c r="B1730" s="38">
        <v>46284</v>
      </c>
      <c r="C1730" s="23" t="s">
        <v>3947</v>
      </c>
      <c r="D1730" s="23" t="s">
        <v>90</v>
      </c>
      <c r="E1730" s="23" t="s">
        <v>75</v>
      </c>
      <c r="F1730" s="23" t="s">
        <v>337</v>
      </c>
      <c r="G1730" s="23" t="s">
        <v>250</v>
      </c>
      <c r="H1730" s="39">
        <f t="shared" ref="H1730:H1793" si="108">VALUE(SUBSTITUTE(F1730,",",""))</f>
        <v>3998</v>
      </c>
      <c r="I1730" s="23" t="str">
        <f t="shared" ref="I1730:I1793" si="109">IF(TRIM(D1730)="","Unknown",TRIM(D1730))</f>
        <v>Ahmedabad</v>
      </c>
      <c r="J1730" s="23">
        <f>COUNTIFS(pg_transaction_cleaned!$O:$O,A1730,pg_transaction_cleaned!$F:$F,"CAPTURE")</f>
        <v>1</v>
      </c>
      <c r="K1730" s="39">
        <f>SUMIFS(pg_transaction_cleaned!$H:$H,pg_transaction_cleaned!$O:$O,A1730,pg_transaction_cleaned!$F:$F,"CAPTURE")</f>
        <v>3998</v>
      </c>
      <c r="L1730" s="23">
        <f>COUNTIFS(pg_transaction_cleaned!$O:$O,A1730,pg_transaction_cleaned!$F:$F,"REFUND")</f>
        <v>0</v>
      </c>
      <c r="M1730" s="39">
        <f>SUMIFS(pg_transaction_cleaned!$H:$H,pg_transaction_cleaned!$O:$O,A1730,pg_transaction_cleaned!$F:$F,"REFUND")</f>
        <v>0</v>
      </c>
      <c r="N1730" s="23" t="str">
        <f t="shared" ref="N1730:N1793" si="110">IF(AND(G1730="Paid",J1730=0),"Paid, no payment",IF(AND(OR(G1730="Failed",G1730="Cancelled"),J1730&gt;0),"Payment on failed/cancelled",IF(J1730&gt;1,"Duplicate charge",IF(AND(J1730=1,ROUND(K1730-H1730,2)&lt;&gt;0),"Amount difference",IF(AND(G1730="Refunded",L1730=0),"Refunded, no refund",IF(AND(G1730&lt;&gt;"Refunded",L1730&gt;0),"Refund, order not Refunded",IF(AND(L1730&gt;0,ROUND(M1730-H1730,2)&lt;&gt;0),"Refund amount differs","OK")))))))</f>
        <v>OK</v>
      </c>
      <c r="O1730" s="24">
        <f t="shared" ref="O1730:O1793" si="111">IF(N1730="OK",0,IF(N1730="Paid, no payment",H1730,IF(N1730="Payment on failed/cancelled",K1730,IF(OR(N1730="Duplicate charge",N1730="Amount difference"),K1730-H1730,IF(N1730="Refunded, no refund",H1730,M1730)))))</f>
        <v>0</v>
      </c>
    </row>
    <row r="1731" spans="1:15" ht="15" customHeight="1" x14ac:dyDescent="0.3">
      <c r="A1731" s="23" t="s">
        <v>3948</v>
      </c>
      <c r="B1731" s="38">
        <v>46279</v>
      </c>
      <c r="C1731" s="23" t="s">
        <v>3949</v>
      </c>
      <c r="D1731" s="23"/>
      <c r="E1731" s="23" t="s">
        <v>75</v>
      </c>
      <c r="F1731" s="23" t="s">
        <v>1372</v>
      </c>
      <c r="G1731" s="23" t="s">
        <v>250</v>
      </c>
      <c r="H1731" s="39">
        <f t="shared" si="108"/>
        <v>798</v>
      </c>
      <c r="I1731" s="23" t="str">
        <f t="shared" si="109"/>
        <v>Unknown</v>
      </c>
      <c r="J1731" s="23">
        <f>COUNTIFS(pg_transaction_cleaned!$O:$O,A1731,pg_transaction_cleaned!$F:$F,"CAPTURE")</f>
        <v>1</v>
      </c>
      <c r="K1731" s="39">
        <f>SUMIFS(pg_transaction_cleaned!$H:$H,pg_transaction_cleaned!$O:$O,A1731,pg_transaction_cleaned!$F:$F,"CAPTURE")</f>
        <v>798</v>
      </c>
      <c r="L1731" s="23">
        <f>COUNTIFS(pg_transaction_cleaned!$O:$O,A1731,pg_transaction_cleaned!$F:$F,"REFUND")</f>
        <v>0</v>
      </c>
      <c r="M1731" s="39">
        <f>SUMIFS(pg_transaction_cleaned!$H:$H,pg_transaction_cleaned!$O:$O,A1731,pg_transaction_cleaned!$F:$F,"REFUND")</f>
        <v>0</v>
      </c>
      <c r="N1731" s="23" t="str">
        <f t="shared" si="110"/>
        <v>OK</v>
      </c>
      <c r="O1731" s="24">
        <f t="shared" si="111"/>
        <v>0</v>
      </c>
    </row>
    <row r="1732" spans="1:15" ht="15" customHeight="1" x14ac:dyDescent="0.3">
      <c r="A1732" s="23" t="s">
        <v>3950</v>
      </c>
      <c r="B1732" s="38">
        <v>46284</v>
      </c>
      <c r="C1732" s="23" t="s">
        <v>3951</v>
      </c>
      <c r="D1732" s="23" t="s">
        <v>90</v>
      </c>
      <c r="E1732" s="23" t="s">
        <v>77</v>
      </c>
      <c r="F1732" s="23" t="s">
        <v>249</v>
      </c>
      <c r="G1732" s="23" t="s">
        <v>250</v>
      </c>
      <c r="H1732" s="39">
        <f t="shared" si="108"/>
        <v>299</v>
      </c>
      <c r="I1732" s="23" t="str">
        <f t="shared" si="109"/>
        <v>Ahmedabad</v>
      </c>
      <c r="J1732" s="23">
        <f>COUNTIFS(pg_transaction_cleaned!$O:$O,A1732,pg_transaction_cleaned!$F:$F,"CAPTURE")</f>
        <v>1</v>
      </c>
      <c r="K1732" s="39">
        <f>SUMIFS(pg_transaction_cleaned!$H:$H,pg_transaction_cleaned!$O:$O,A1732,pg_transaction_cleaned!$F:$F,"CAPTURE")</f>
        <v>299</v>
      </c>
      <c r="L1732" s="23">
        <f>COUNTIFS(pg_transaction_cleaned!$O:$O,A1732,pg_transaction_cleaned!$F:$F,"REFUND")</f>
        <v>0</v>
      </c>
      <c r="M1732" s="39">
        <f>SUMIFS(pg_transaction_cleaned!$H:$H,pg_transaction_cleaned!$O:$O,A1732,pg_transaction_cleaned!$F:$F,"REFUND")</f>
        <v>0</v>
      </c>
      <c r="N1732" s="23" t="str">
        <f t="shared" si="110"/>
        <v>OK</v>
      </c>
      <c r="O1732" s="24">
        <f t="shared" si="111"/>
        <v>0</v>
      </c>
    </row>
    <row r="1733" spans="1:15" ht="15" customHeight="1" x14ac:dyDescent="0.3">
      <c r="A1733" s="23" t="s">
        <v>3952</v>
      </c>
      <c r="B1733" s="38">
        <v>46267</v>
      </c>
      <c r="C1733" s="23" t="s">
        <v>3953</v>
      </c>
      <c r="D1733" s="23" t="s">
        <v>87</v>
      </c>
      <c r="E1733" s="23" t="s">
        <v>79</v>
      </c>
      <c r="F1733" s="23" t="s">
        <v>262</v>
      </c>
      <c r="G1733" s="23" t="s">
        <v>250</v>
      </c>
      <c r="H1733" s="39">
        <f t="shared" si="108"/>
        <v>499</v>
      </c>
      <c r="I1733" s="23" t="str">
        <f t="shared" si="109"/>
        <v>Mumbai</v>
      </c>
      <c r="J1733" s="23">
        <f>COUNTIFS(pg_transaction_cleaned!$O:$O,A1733,pg_transaction_cleaned!$F:$F,"CAPTURE")</f>
        <v>1</v>
      </c>
      <c r="K1733" s="39">
        <f>SUMIFS(pg_transaction_cleaned!$H:$H,pg_transaction_cleaned!$O:$O,A1733,pg_transaction_cleaned!$F:$F,"CAPTURE")</f>
        <v>499</v>
      </c>
      <c r="L1733" s="23">
        <f>COUNTIFS(pg_transaction_cleaned!$O:$O,A1733,pg_transaction_cleaned!$F:$F,"REFUND")</f>
        <v>0</v>
      </c>
      <c r="M1733" s="39">
        <f>SUMIFS(pg_transaction_cleaned!$H:$H,pg_transaction_cleaned!$O:$O,A1733,pg_transaction_cleaned!$F:$F,"REFUND")</f>
        <v>0</v>
      </c>
      <c r="N1733" s="23" t="str">
        <f t="shared" si="110"/>
        <v>OK</v>
      </c>
      <c r="O1733" s="24">
        <f t="shared" si="111"/>
        <v>0</v>
      </c>
    </row>
    <row r="1734" spans="1:15" ht="15" customHeight="1" x14ac:dyDescent="0.3">
      <c r="A1734" s="23" t="s">
        <v>3954</v>
      </c>
      <c r="B1734" s="38">
        <v>46271</v>
      </c>
      <c r="C1734" s="23" t="s">
        <v>3955</v>
      </c>
      <c r="D1734" s="23" t="s">
        <v>89</v>
      </c>
      <c r="E1734" s="23" t="s">
        <v>75</v>
      </c>
      <c r="F1734" s="23" t="s">
        <v>294</v>
      </c>
      <c r="G1734" s="23" t="s">
        <v>250</v>
      </c>
      <c r="H1734" s="39">
        <f t="shared" si="108"/>
        <v>1799</v>
      </c>
      <c r="I1734" s="23" t="str">
        <f t="shared" si="109"/>
        <v>Jaipur</v>
      </c>
      <c r="J1734" s="23">
        <f>COUNTIFS(pg_transaction_cleaned!$O:$O,A1734,pg_transaction_cleaned!$F:$F,"CAPTURE")</f>
        <v>1</v>
      </c>
      <c r="K1734" s="39">
        <f>SUMIFS(pg_transaction_cleaned!$H:$H,pg_transaction_cleaned!$O:$O,A1734,pg_transaction_cleaned!$F:$F,"CAPTURE")</f>
        <v>1799</v>
      </c>
      <c r="L1734" s="23">
        <f>COUNTIFS(pg_transaction_cleaned!$O:$O,A1734,pg_transaction_cleaned!$F:$F,"REFUND")</f>
        <v>0</v>
      </c>
      <c r="M1734" s="39">
        <f>SUMIFS(pg_transaction_cleaned!$H:$H,pg_transaction_cleaned!$O:$O,A1734,pg_transaction_cleaned!$F:$F,"REFUND")</f>
        <v>0</v>
      </c>
      <c r="N1734" s="23" t="str">
        <f t="shared" si="110"/>
        <v>OK</v>
      </c>
      <c r="O1734" s="24">
        <f t="shared" si="111"/>
        <v>0</v>
      </c>
    </row>
    <row r="1735" spans="1:15" ht="15" customHeight="1" x14ac:dyDescent="0.3">
      <c r="A1735" s="23" t="s">
        <v>3956</v>
      </c>
      <c r="B1735" s="38">
        <v>46278</v>
      </c>
      <c r="C1735" s="23" t="s">
        <v>3957</v>
      </c>
      <c r="D1735" s="23" t="s">
        <v>94</v>
      </c>
      <c r="E1735" s="23" t="s">
        <v>75</v>
      </c>
      <c r="F1735" s="23" t="s">
        <v>1954</v>
      </c>
      <c r="G1735" s="23" t="s">
        <v>250</v>
      </c>
      <c r="H1735" s="39">
        <f t="shared" si="108"/>
        <v>848</v>
      </c>
      <c r="I1735" s="23" t="str">
        <f t="shared" si="109"/>
        <v>Chennai</v>
      </c>
      <c r="J1735" s="23">
        <f>COUNTIFS(pg_transaction_cleaned!$O:$O,A1735,pg_transaction_cleaned!$F:$F,"CAPTURE")</f>
        <v>1</v>
      </c>
      <c r="K1735" s="39">
        <f>SUMIFS(pg_transaction_cleaned!$H:$H,pg_transaction_cleaned!$O:$O,A1735,pg_transaction_cleaned!$F:$F,"CAPTURE")</f>
        <v>848</v>
      </c>
      <c r="L1735" s="23">
        <f>COUNTIFS(pg_transaction_cleaned!$O:$O,A1735,pg_transaction_cleaned!$F:$F,"REFUND")</f>
        <v>0</v>
      </c>
      <c r="M1735" s="39">
        <f>SUMIFS(pg_transaction_cleaned!$H:$H,pg_transaction_cleaned!$O:$O,A1735,pg_transaction_cleaned!$F:$F,"REFUND")</f>
        <v>0</v>
      </c>
      <c r="N1735" s="23" t="str">
        <f t="shared" si="110"/>
        <v>OK</v>
      </c>
      <c r="O1735" s="24">
        <f t="shared" si="111"/>
        <v>0</v>
      </c>
    </row>
    <row r="1736" spans="1:15" ht="15" customHeight="1" x14ac:dyDescent="0.3">
      <c r="A1736" s="23" t="s">
        <v>3958</v>
      </c>
      <c r="B1736" s="38">
        <v>46280</v>
      </c>
      <c r="C1736" s="23" t="s">
        <v>3959</v>
      </c>
      <c r="D1736" s="23" t="s">
        <v>93</v>
      </c>
      <c r="E1736" s="23" t="s">
        <v>79</v>
      </c>
      <c r="F1736" s="23" t="s">
        <v>873</v>
      </c>
      <c r="G1736" s="23" t="s">
        <v>250</v>
      </c>
      <c r="H1736" s="39">
        <f t="shared" si="108"/>
        <v>13497</v>
      </c>
      <c r="I1736" s="23" t="str">
        <f t="shared" si="109"/>
        <v>Kolkata</v>
      </c>
      <c r="J1736" s="23">
        <f>COUNTIFS(pg_transaction_cleaned!$O:$O,A1736,pg_transaction_cleaned!$F:$F,"CAPTURE")</f>
        <v>1</v>
      </c>
      <c r="K1736" s="39">
        <f>SUMIFS(pg_transaction_cleaned!$H:$H,pg_transaction_cleaned!$O:$O,A1736,pg_transaction_cleaned!$F:$F,"CAPTURE")</f>
        <v>13497</v>
      </c>
      <c r="L1736" s="23">
        <f>COUNTIFS(pg_transaction_cleaned!$O:$O,A1736,pg_transaction_cleaned!$F:$F,"REFUND")</f>
        <v>0</v>
      </c>
      <c r="M1736" s="39">
        <f>SUMIFS(pg_transaction_cleaned!$H:$H,pg_transaction_cleaned!$O:$O,A1736,pg_transaction_cleaned!$F:$F,"REFUND")</f>
        <v>0</v>
      </c>
      <c r="N1736" s="23" t="str">
        <f t="shared" si="110"/>
        <v>OK</v>
      </c>
      <c r="O1736" s="24">
        <f t="shared" si="111"/>
        <v>0</v>
      </c>
    </row>
    <row r="1737" spans="1:15" ht="15" customHeight="1" x14ac:dyDescent="0.3">
      <c r="A1737" s="23" t="s">
        <v>3960</v>
      </c>
      <c r="B1737" s="38">
        <v>46268</v>
      </c>
      <c r="C1737" s="23" t="s">
        <v>3961</v>
      </c>
      <c r="D1737" s="23" t="s">
        <v>89</v>
      </c>
      <c r="E1737" s="23" t="s">
        <v>75</v>
      </c>
      <c r="F1737" s="23" t="s">
        <v>1308</v>
      </c>
      <c r="G1737" s="23" t="s">
        <v>250</v>
      </c>
      <c r="H1737" s="39">
        <f t="shared" si="108"/>
        <v>4297</v>
      </c>
      <c r="I1737" s="23" t="str">
        <f t="shared" si="109"/>
        <v>Jaipur</v>
      </c>
      <c r="J1737" s="23">
        <f>COUNTIFS(pg_transaction_cleaned!$O:$O,A1737,pg_transaction_cleaned!$F:$F,"CAPTURE")</f>
        <v>1</v>
      </c>
      <c r="K1737" s="39">
        <f>SUMIFS(pg_transaction_cleaned!$H:$H,pg_transaction_cleaned!$O:$O,A1737,pg_transaction_cleaned!$F:$F,"CAPTURE")</f>
        <v>4297</v>
      </c>
      <c r="L1737" s="23">
        <f>COUNTIFS(pg_transaction_cleaned!$O:$O,A1737,pg_transaction_cleaned!$F:$F,"REFUND")</f>
        <v>0</v>
      </c>
      <c r="M1737" s="39">
        <f>SUMIFS(pg_transaction_cleaned!$H:$H,pg_transaction_cleaned!$O:$O,A1737,pg_transaction_cleaned!$F:$F,"REFUND")</f>
        <v>0</v>
      </c>
      <c r="N1737" s="23" t="str">
        <f t="shared" si="110"/>
        <v>OK</v>
      </c>
      <c r="O1737" s="24">
        <f t="shared" si="111"/>
        <v>0</v>
      </c>
    </row>
    <row r="1738" spans="1:15" ht="15" customHeight="1" x14ac:dyDescent="0.3">
      <c r="A1738" s="23" t="s">
        <v>3962</v>
      </c>
      <c r="B1738" s="38">
        <v>46274</v>
      </c>
      <c r="C1738" s="23" t="s">
        <v>3963</v>
      </c>
      <c r="D1738" s="23" t="s">
        <v>88</v>
      </c>
      <c r="E1738" s="23" t="s">
        <v>77</v>
      </c>
      <c r="F1738" s="23" t="s">
        <v>291</v>
      </c>
      <c r="G1738" s="23" t="s">
        <v>250</v>
      </c>
      <c r="H1738" s="39">
        <f t="shared" si="108"/>
        <v>3499</v>
      </c>
      <c r="I1738" s="23" t="str">
        <f t="shared" si="109"/>
        <v>Lucknow</v>
      </c>
      <c r="J1738" s="23">
        <f>COUNTIFS(pg_transaction_cleaned!$O:$O,A1738,pg_transaction_cleaned!$F:$F,"CAPTURE")</f>
        <v>1</v>
      </c>
      <c r="K1738" s="39">
        <f>SUMIFS(pg_transaction_cleaned!$H:$H,pg_transaction_cleaned!$O:$O,A1738,pg_transaction_cleaned!$F:$F,"CAPTURE")</f>
        <v>3499</v>
      </c>
      <c r="L1738" s="23">
        <f>COUNTIFS(pg_transaction_cleaned!$O:$O,A1738,pg_transaction_cleaned!$F:$F,"REFUND")</f>
        <v>0</v>
      </c>
      <c r="M1738" s="39">
        <f>SUMIFS(pg_transaction_cleaned!$H:$H,pg_transaction_cleaned!$O:$O,A1738,pg_transaction_cleaned!$F:$F,"REFUND")</f>
        <v>0</v>
      </c>
      <c r="N1738" s="23" t="str">
        <f t="shared" si="110"/>
        <v>OK</v>
      </c>
      <c r="O1738" s="24">
        <f t="shared" si="111"/>
        <v>0</v>
      </c>
    </row>
    <row r="1739" spans="1:15" ht="15" customHeight="1" x14ac:dyDescent="0.3">
      <c r="A1739" s="23" t="s">
        <v>3964</v>
      </c>
      <c r="B1739" s="38">
        <v>46285</v>
      </c>
      <c r="C1739" s="23" t="s">
        <v>3965</v>
      </c>
      <c r="D1739" s="23" t="s">
        <v>91</v>
      </c>
      <c r="E1739" s="23" t="s">
        <v>79</v>
      </c>
      <c r="F1739" s="23" t="s">
        <v>352</v>
      </c>
      <c r="G1739" s="23" t="s">
        <v>250</v>
      </c>
      <c r="H1739" s="39">
        <f t="shared" si="108"/>
        <v>648</v>
      </c>
      <c r="I1739" s="23" t="str">
        <f t="shared" si="109"/>
        <v>Pune</v>
      </c>
      <c r="J1739" s="23">
        <f>COUNTIFS(pg_transaction_cleaned!$O:$O,A1739,pg_transaction_cleaned!$F:$F,"CAPTURE")</f>
        <v>1</v>
      </c>
      <c r="K1739" s="39">
        <f>SUMIFS(pg_transaction_cleaned!$H:$H,pg_transaction_cleaned!$O:$O,A1739,pg_transaction_cleaned!$F:$F,"CAPTURE")</f>
        <v>448</v>
      </c>
      <c r="L1739" s="23">
        <f>COUNTIFS(pg_transaction_cleaned!$O:$O,A1739,pg_transaction_cleaned!$F:$F,"REFUND")</f>
        <v>0</v>
      </c>
      <c r="M1739" s="39">
        <f>SUMIFS(pg_transaction_cleaned!$H:$H,pg_transaction_cleaned!$O:$O,A1739,pg_transaction_cleaned!$F:$F,"REFUND")</f>
        <v>0</v>
      </c>
      <c r="N1739" s="23" t="str">
        <f t="shared" si="110"/>
        <v>Amount difference</v>
      </c>
      <c r="O1739" s="24">
        <f t="shared" si="111"/>
        <v>-200</v>
      </c>
    </row>
    <row r="1740" spans="1:15" ht="15" customHeight="1" x14ac:dyDescent="0.3">
      <c r="A1740" s="23" t="s">
        <v>3966</v>
      </c>
      <c r="B1740" s="38">
        <v>46287</v>
      </c>
      <c r="C1740" s="23" t="s">
        <v>3967</v>
      </c>
      <c r="D1740" s="23" t="s">
        <v>95</v>
      </c>
      <c r="E1740" s="23" t="s">
        <v>75</v>
      </c>
      <c r="F1740" s="23" t="s">
        <v>315</v>
      </c>
      <c r="G1740" s="23" t="s">
        <v>318</v>
      </c>
      <c r="H1740" s="39">
        <f t="shared" si="108"/>
        <v>1499</v>
      </c>
      <c r="I1740" s="23" t="str">
        <f t="shared" si="109"/>
        <v>Bengaluru</v>
      </c>
      <c r="J1740" s="23">
        <f>COUNTIFS(pg_transaction_cleaned!$O:$O,A1740,pg_transaction_cleaned!$F:$F,"CAPTURE")</f>
        <v>0</v>
      </c>
      <c r="K1740" s="39">
        <f>SUMIFS(pg_transaction_cleaned!$H:$H,pg_transaction_cleaned!$O:$O,A1740,pg_transaction_cleaned!$F:$F,"CAPTURE")</f>
        <v>0</v>
      </c>
      <c r="L1740" s="23">
        <f>COUNTIFS(pg_transaction_cleaned!$O:$O,A1740,pg_transaction_cleaned!$F:$F,"REFUND")</f>
        <v>0</v>
      </c>
      <c r="M1740" s="39">
        <f>SUMIFS(pg_transaction_cleaned!$H:$H,pg_transaction_cleaned!$O:$O,A1740,pg_transaction_cleaned!$F:$F,"REFUND")</f>
        <v>0</v>
      </c>
      <c r="N1740" s="23" t="str">
        <f t="shared" si="110"/>
        <v>OK</v>
      </c>
      <c r="O1740" s="24">
        <f t="shared" si="111"/>
        <v>0</v>
      </c>
    </row>
    <row r="1741" spans="1:15" ht="15" customHeight="1" x14ac:dyDescent="0.3">
      <c r="A1741" s="23" t="s">
        <v>3968</v>
      </c>
      <c r="B1741" s="38">
        <v>46269</v>
      </c>
      <c r="C1741" s="23" t="s">
        <v>3969</v>
      </c>
      <c r="D1741" s="23" t="s">
        <v>91</v>
      </c>
      <c r="E1741" s="23" t="s">
        <v>79</v>
      </c>
      <c r="F1741" s="23" t="s">
        <v>291</v>
      </c>
      <c r="G1741" s="23" t="s">
        <v>365</v>
      </c>
      <c r="H1741" s="39">
        <f t="shared" si="108"/>
        <v>3499</v>
      </c>
      <c r="I1741" s="23" t="str">
        <f t="shared" si="109"/>
        <v>Pune</v>
      </c>
      <c r="J1741" s="23">
        <f>COUNTIFS(pg_transaction_cleaned!$O:$O,A1741,pg_transaction_cleaned!$F:$F,"CAPTURE")</f>
        <v>0</v>
      </c>
      <c r="K1741" s="39">
        <f>SUMIFS(pg_transaction_cleaned!$H:$H,pg_transaction_cleaned!$O:$O,A1741,pg_transaction_cleaned!$F:$F,"CAPTURE")</f>
        <v>0</v>
      </c>
      <c r="L1741" s="23">
        <f>COUNTIFS(pg_transaction_cleaned!$O:$O,A1741,pg_transaction_cleaned!$F:$F,"REFUND")</f>
        <v>0</v>
      </c>
      <c r="M1741" s="39">
        <f>SUMIFS(pg_transaction_cleaned!$H:$H,pg_transaction_cleaned!$O:$O,A1741,pg_transaction_cleaned!$F:$F,"REFUND")</f>
        <v>0</v>
      </c>
      <c r="N1741" s="23" t="str">
        <f t="shared" si="110"/>
        <v>OK</v>
      </c>
      <c r="O1741" s="24">
        <f t="shared" si="111"/>
        <v>0</v>
      </c>
    </row>
    <row r="1742" spans="1:15" ht="15" customHeight="1" x14ac:dyDescent="0.3">
      <c r="A1742" s="23" t="s">
        <v>3970</v>
      </c>
      <c r="B1742" s="38">
        <v>46267</v>
      </c>
      <c r="C1742" s="23" t="s">
        <v>3971</v>
      </c>
      <c r="D1742" s="23" t="s">
        <v>94</v>
      </c>
      <c r="E1742" s="23" t="s">
        <v>79</v>
      </c>
      <c r="F1742" s="23" t="s">
        <v>1769</v>
      </c>
      <c r="G1742" s="23" t="s">
        <v>250</v>
      </c>
      <c r="H1742" s="39">
        <f t="shared" si="108"/>
        <v>1148</v>
      </c>
      <c r="I1742" s="23" t="str">
        <f t="shared" si="109"/>
        <v>Chennai</v>
      </c>
      <c r="J1742" s="23">
        <f>COUNTIFS(pg_transaction_cleaned!$O:$O,A1742,pg_transaction_cleaned!$F:$F,"CAPTURE")</f>
        <v>1</v>
      </c>
      <c r="K1742" s="39">
        <f>SUMIFS(pg_transaction_cleaned!$H:$H,pg_transaction_cleaned!$O:$O,A1742,pg_transaction_cleaned!$F:$F,"CAPTURE")</f>
        <v>1148</v>
      </c>
      <c r="L1742" s="23">
        <f>COUNTIFS(pg_transaction_cleaned!$O:$O,A1742,pg_transaction_cleaned!$F:$F,"REFUND")</f>
        <v>0</v>
      </c>
      <c r="M1742" s="39">
        <f>SUMIFS(pg_transaction_cleaned!$H:$H,pg_transaction_cleaned!$O:$O,A1742,pg_transaction_cleaned!$F:$F,"REFUND")</f>
        <v>0</v>
      </c>
      <c r="N1742" s="23" t="str">
        <f t="shared" si="110"/>
        <v>OK</v>
      </c>
      <c r="O1742" s="24">
        <f t="shared" si="111"/>
        <v>0</v>
      </c>
    </row>
    <row r="1743" spans="1:15" ht="15" customHeight="1" x14ac:dyDescent="0.3">
      <c r="A1743" s="23" t="s">
        <v>3972</v>
      </c>
      <c r="B1743" s="38">
        <v>46285</v>
      </c>
      <c r="C1743" s="23" t="s">
        <v>3973</v>
      </c>
      <c r="D1743" s="23" t="s">
        <v>86</v>
      </c>
      <c r="E1743" s="23" t="s">
        <v>79</v>
      </c>
      <c r="F1743" s="23" t="s">
        <v>685</v>
      </c>
      <c r="G1743" s="23" t="s">
        <v>250</v>
      </c>
      <c r="H1743" s="39">
        <f t="shared" si="108"/>
        <v>8797</v>
      </c>
      <c r="I1743" s="23" t="str">
        <f t="shared" si="109"/>
        <v>Delhi</v>
      </c>
      <c r="J1743" s="23">
        <f>COUNTIFS(pg_transaction_cleaned!$O:$O,A1743,pg_transaction_cleaned!$F:$F,"CAPTURE")</f>
        <v>1</v>
      </c>
      <c r="K1743" s="39">
        <f>SUMIFS(pg_transaction_cleaned!$H:$H,pg_transaction_cleaned!$O:$O,A1743,pg_transaction_cleaned!$F:$F,"CAPTURE")</f>
        <v>8797</v>
      </c>
      <c r="L1743" s="23">
        <f>COUNTIFS(pg_transaction_cleaned!$O:$O,A1743,pg_transaction_cleaned!$F:$F,"REFUND")</f>
        <v>0</v>
      </c>
      <c r="M1743" s="39">
        <f>SUMIFS(pg_transaction_cleaned!$H:$H,pg_transaction_cleaned!$O:$O,A1743,pg_transaction_cleaned!$F:$F,"REFUND")</f>
        <v>0</v>
      </c>
      <c r="N1743" s="23" t="str">
        <f t="shared" si="110"/>
        <v>OK</v>
      </c>
      <c r="O1743" s="24">
        <f t="shared" si="111"/>
        <v>0</v>
      </c>
    </row>
    <row r="1744" spans="1:15" ht="15" customHeight="1" x14ac:dyDescent="0.3">
      <c r="A1744" s="23" t="s">
        <v>3974</v>
      </c>
      <c r="B1744" s="38">
        <v>46286</v>
      </c>
      <c r="C1744" s="23" t="s">
        <v>3975</v>
      </c>
      <c r="D1744" s="23" t="s">
        <v>92</v>
      </c>
      <c r="E1744" s="23" t="s">
        <v>75</v>
      </c>
      <c r="F1744" s="23" t="s">
        <v>963</v>
      </c>
      <c r="G1744" s="23" t="s">
        <v>250</v>
      </c>
      <c r="H1744" s="39">
        <f t="shared" si="108"/>
        <v>2398</v>
      </c>
      <c r="I1744" s="23" t="str">
        <f t="shared" si="109"/>
        <v>Hyderabad</v>
      </c>
      <c r="J1744" s="23">
        <f>COUNTIFS(pg_transaction_cleaned!$O:$O,A1744,pg_transaction_cleaned!$F:$F,"CAPTURE")</f>
        <v>1</v>
      </c>
      <c r="K1744" s="39">
        <f>SUMIFS(pg_transaction_cleaned!$H:$H,pg_transaction_cleaned!$O:$O,A1744,pg_transaction_cleaned!$F:$F,"CAPTURE")</f>
        <v>2398</v>
      </c>
      <c r="L1744" s="23">
        <f>COUNTIFS(pg_transaction_cleaned!$O:$O,A1744,pg_transaction_cleaned!$F:$F,"REFUND")</f>
        <v>0</v>
      </c>
      <c r="M1744" s="39">
        <f>SUMIFS(pg_transaction_cleaned!$H:$H,pg_transaction_cleaned!$O:$O,A1744,pg_transaction_cleaned!$F:$F,"REFUND")</f>
        <v>0</v>
      </c>
      <c r="N1744" s="23" t="str">
        <f t="shared" si="110"/>
        <v>OK</v>
      </c>
      <c r="O1744" s="24">
        <f t="shared" si="111"/>
        <v>0</v>
      </c>
    </row>
    <row r="1745" spans="1:15" ht="15" customHeight="1" x14ac:dyDescent="0.3">
      <c r="A1745" s="23" t="s">
        <v>3976</v>
      </c>
      <c r="B1745" s="38">
        <v>46273</v>
      </c>
      <c r="C1745" s="23" t="s">
        <v>3977</v>
      </c>
      <c r="D1745" s="23" t="s">
        <v>91</v>
      </c>
      <c r="E1745" s="23" t="s">
        <v>81</v>
      </c>
      <c r="F1745" s="23" t="s">
        <v>291</v>
      </c>
      <c r="G1745" s="23" t="s">
        <v>250</v>
      </c>
      <c r="H1745" s="39">
        <f t="shared" si="108"/>
        <v>3499</v>
      </c>
      <c r="I1745" s="23" t="str">
        <f t="shared" si="109"/>
        <v>Pune</v>
      </c>
      <c r="J1745" s="23">
        <f>COUNTIFS(pg_transaction_cleaned!$O:$O,A1745,pg_transaction_cleaned!$F:$F,"CAPTURE")</f>
        <v>1</v>
      </c>
      <c r="K1745" s="39">
        <f>SUMIFS(pg_transaction_cleaned!$H:$H,pg_transaction_cleaned!$O:$O,A1745,pg_transaction_cleaned!$F:$F,"CAPTURE")</f>
        <v>3499</v>
      </c>
      <c r="L1745" s="23">
        <f>COUNTIFS(pg_transaction_cleaned!$O:$O,A1745,pg_transaction_cleaned!$F:$F,"REFUND")</f>
        <v>0</v>
      </c>
      <c r="M1745" s="39">
        <f>SUMIFS(pg_transaction_cleaned!$H:$H,pg_transaction_cleaned!$O:$O,A1745,pg_transaction_cleaned!$F:$F,"REFUND")</f>
        <v>0</v>
      </c>
      <c r="N1745" s="23" t="str">
        <f t="shared" si="110"/>
        <v>OK</v>
      </c>
      <c r="O1745" s="24">
        <f t="shared" si="111"/>
        <v>0</v>
      </c>
    </row>
    <row r="1746" spans="1:15" ht="15" customHeight="1" x14ac:dyDescent="0.3">
      <c r="A1746" s="23" t="s">
        <v>3978</v>
      </c>
      <c r="B1746" s="38">
        <v>46284</v>
      </c>
      <c r="C1746" s="23" t="s">
        <v>3979</v>
      </c>
      <c r="D1746" s="23" t="s">
        <v>86</v>
      </c>
      <c r="E1746" s="23" t="s">
        <v>75</v>
      </c>
      <c r="F1746" s="23" t="s">
        <v>396</v>
      </c>
      <c r="G1746" s="23" t="s">
        <v>318</v>
      </c>
      <c r="H1746" s="39">
        <f t="shared" si="108"/>
        <v>2999</v>
      </c>
      <c r="I1746" s="23" t="str">
        <f t="shared" si="109"/>
        <v>Delhi</v>
      </c>
      <c r="J1746" s="23">
        <f>COUNTIFS(pg_transaction_cleaned!$O:$O,A1746,pg_transaction_cleaned!$F:$F,"CAPTURE")</f>
        <v>1</v>
      </c>
      <c r="K1746" s="39">
        <f>SUMIFS(pg_transaction_cleaned!$H:$H,pg_transaction_cleaned!$O:$O,A1746,pg_transaction_cleaned!$F:$F,"CAPTURE")</f>
        <v>2999</v>
      </c>
      <c r="L1746" s="23">
        <f>COUNTIFS(pg_transaction_cleaned!$O:$O,A1746,pg_transaction_cleaned!$F:$F,"REFUND")</f>
        <v>0</v>
      </c>
      <c r="M1746" s="39">
        <f>SUMIFS(pg_transaction_cleaned!$H:$H,pg_transaction_cleaned!$O:$O,A1746,pg_transaction_cleaned!$F:$F,"REFUND")</f>
        <v>0</v>
      </c>
      <c r="N1746" s="23" t="str">
        <f t="shared" si="110"/>
        <v>Payment on failed/cancelled</v>
      </c>
      <c r="O1746" s="24">
        <f t="shared" si="111"/>
        <v>2999</v>
      </c>
    </row>
    <row r="1747" spans="1:15" ht="15" customHeight="1" x14ac:dyDescent="0.3">
      <c r="A1747" s="23" t="s">
        <v>3980</v>
      </c>
      <c r="B1747" s="38">
        <v>46294</v>
      </c>
      <c r="C1747" s="23" t="s">
        <v>3981</v>
      </c>
      <c r="D1747" s="23"/>
      <c r="E1747" s="23" t="s">
        <v>79</v>
      </c>
      <c r="F1747" s="23" t="s">
        <v>742</v>
      </c>
      <c r="G1747" s="23" t="s">
        <v>250</v>
      </c>
      <c r="H1747" s="39">
        <f t="shared" si="108"/>
        <v>999</v>
      </c>
      <c r="I1747" s="23" t="str">
        <f t="shared" si="109"/>
        <v>Unknown</v>
      </c>
      <c r="J1747" s="23">
        <f>COUNTIFS(pg_transaction_cleaned!$O:$O,A1747,pg_transaction_cleaned!$F:$F,"CAPTURE")</f>
        <v>1</v>
      </c>
      <c r="K1747" s="39">
        <f>SUMIFS(pg_transaction_cleaned!$H:$H,pg_transaction_cleaned!$O:$O,A1747,pg_transaction_cleaned!$F:$F,"CAPTURE")</f>
        <v>999</v>
      </c>
      <c r="L1747" s="23">
        <f>COUNTIFS(pg_transaction_cleaned!$O:$O,A1747,pg_transaction_cleaned!$F:$F,"REFUND")</f>
        <v>0</v>
      </c>
      <c r="M1747" s="39">
        <f>SUMIFS(pg_transaction_cleaned!$H:$H,pg_transaction_cleaned!$O:$O,A1747,pg_transaction_cleaned!$F:$F,"REFUND")</f>
        <v>0</v>
      </c>
      <c r="N1747" s="23" t="str">
        <f t="shared" si="110"/>
        <v>OK</v>
      </c>
      <c r="O1747" s="24">
        <f t="shared" si="111"/>
        <v>0</v>
      </c>
    </row>
    <row r="1748" spans="1:15" ht="15" customHeight="1" x14ac:dyDescent="0.3">
      <c r="A1748" s="23" t="s">
        <v>3982</v>
      </c>
      <c r="B1748" s="38">
        <v>46271</v>
      </c>
      <c r="C1748" s="23" t="s">
        <v>3983</v>
      </c>
      <c r="D1748" s="23" t="s">
        <v>88</v>
      </c>
      <c r="E1748" s="23" t="s">
        <v>75</v>
      </c>
      <c r="F1748" s="23" t="s">
        <v>1712</v>
      </c>
      <c r="G1748" s="23" t="s">
        <v>250</v>
      </c>
      <c r="H1748" s="39">
        <f t="shared" si="108"/>
        <v>9997</v>
      </c>
      <c r="I1748" s="23" t="str">
        <f t="shared" si="109"/>
        <v>Lucknow</v>
      </c>
      <c r="J1748" s="23">
        <f>COUNTIFS(pg_transaction_cleaned!$O:$O,A1748,pg_transaction_cleaned!$F:$F,"CAPTURE")</f>
        <v>1</v>
      </c>
      <c r="K1748" s="39">
        <f>SUMIFS(pg_transaction_cleaned!$H:$H,pg_transaction_cleaned!$O:$O,A1748,pg_transaction_cleaned!$F:$F,"CAPTURE")</f>
        <v>9997</v>
      </c>
      <c r="L1748" s="23">
        <f>COUNTIFS(pg_transaction_cleaned!$O:$O,A1748,pg_transaction_cleaned!$F:$F,"REFUND")</f>
        <v>0</v>
      </c>
      <c r="M1748" s="39">
        <f>SUMIFS(pg_transaction_cleaned!$H:$H,pg_transaction_cleaned!$O:$O,A1748,pg_transaction_cleaned!$F:$F,"REFUND")</f>
        <v>0</v>
      </c>
      <c r="N1748" s="23" t="str">
        <f t="shared" si="110"/>
        <v>OK</v>
      </c>
      <c r="O1748" s="24">
        <f t="shared" si="111"/>
        <v>0</v>
      </c>
    </row>
    <row r="1749" spans="1:15" ht="15" customHeight="1" x14ac:dyDescent="0.3">
      <c r="A1749" s="23" t="s">
        <v>3984</v>
      </c>
      <c r="B1749" s="38">
        <v>46292</v>
      </c>
      <c r="C1749" s="23" t="s">
        <v>3985</v>
      </c>
      <c r="D1749" s="23" t="s">
        <v>91</v>
      </c>
      <c r="E1749" s="23" t="s">
        <v>77</v>
      </c>
      <c r="F1749" s="23" t="s">
        <v>553</v>
      </c>
      <c r="G1749" s="23" t="s">
        <v>250</v>
      </c>
      <c r="H1749" s="39">
        <f t="shared" si="108"/>
        <v>2798</v>
      </c>
      <c r="I1749" s="23" t="str">
        <f t="shared" si="109"/>
        <v>Pune</v>
      </c>
      <c r="J1749" s="23">
        <f>COUNTIFS(pg_transaction_cleaned!$O:$O,A1749,pg_transaction_cleaned!$F:$F,"CAPTURE")</f>
        <v>1</v>
      </c>
      <c r="K1749" s="39">
        <f>SUMIFS(pg_transaction_cleaned!$H:$H,pg_transaction_cleaned!$O:$O,A1749,pg_transaction_cleaned!$F:$F,"CAPTURE")</f>
        <v>2798</v>
      </c>
      <c r="L1749" s="23">
        <f>COUNTIFS(pg_transaction_cleaned!$O:$O,A1749,pg_transaction_cleaned!$F:$F,"REFUND")</f>
        <v>0</v>
      </c>
      <c r="M1749" s="39">
        <f>SUMIFS(pg_transaction_cleaned!$H:$H,pg_transaction_cleaned!$O:$O,A1749,pg_transaction_cleaned!$F:$F,"REFUND")</f>
        <v>0</v>
      </c>
      <c r="N1749" s="23" t="str">
        <f t="shared" si="110"/>
        <v>OK</v>
      </c>
      <c r="O1749" s="24">
        <f t="shared" si="111"/>
        <v>0</v>
      </c>
    </row>
    <row r="1750" spans="1:15" ht="15" customHeight="1" x14ac:dyDescent="0.3">
      <c r="A1750" s="23" t="s">
        <v>3986</v>
      </c>
      <c r="B1750" s="38">
        <v>46280</v>
      </c>
      <c r="C1750" s="23" t="s">
        <v>3987</v>
      </c>
      <c r="D1750" s="23" t="s">
        <v>89</v>
      </c>
      <c r="E1750" s="23" t="s">
        <v>79</v>
      </c>
      <c r="F1750" s="23" t="s">
        <v>288</v>
      </c>
      <c r="G1750" s="23" t="s">
        <v>250</v>
      </c>
      <c r="H1750" s="39">
        <f t="shared" si="108"/>
        <v>4298</v>
      </c>
      <c r="I1750" s="23" t="str">
        <f t="shared" si="109"/>
        <v>Jaipur</v>
      </c>
      <c r="J1750" s="23">
        <f>COUNTIFS(pg_transaction_cleaned!$O:$O,A1750,pg_transaction_cleaned!$F:$F,"CAPTURE")</f>
        <v>1</v>
      </c>
      <c r="K1750" s="39">
        <f>SUMIFS(pg_transaction_cleaned!$H:$H,pg_transaction_cleaned!$O:$O,A1750,pg_transaction_cleaned!$F:$F,"CAPTURE")</f>
        <v>4298</v>
      </c>
      <c r="L1750" s="23">
        <f>COUNTIFS(pg_transaction_cleaned!$O:$O,A1750,pg_transaction_cleaned!$F:$F,"REFUND")</f>
        <v>0</v>
      </c>
      <c r="M1750" s="39">
        <f>SUMIFS(pg_transaction_cleaned!$H:$H,pg_transaction_cleaned!$O:$O,A1750,pg_transaction_cleaned!$F:$F,"REFUND")</f>
        <v>0</v>
      </c>
      <c r="N1750" s="23" t="str">
        <f t="shared" si="110"/>
        <v>OK</v>
      </c>
      <c r="O1750" s="24">
        <f t="shared" si="111"/>
        <v>0</v>
      </c>
    </row>
    <row r="1751" spans="1:15" ht="15" customHeight="1" x14ac:dyDescent="0.3">
      <c r="A1751" s="23" t="s">
        <v>3988</v>
      </c>
      <c r="B1751" s="38">
        <v>46275</v>
      </c>
      <c r="C1751" s="23" t="s">
        <v>3989</v>
      </c>
      <c r="D1751" s="23" t="s">
        <v>94</v>
      </c>
      <c r="E1751" s="23" t="s">
        <v>75</v>
      </c>
      <c r="F1751" s="23" t="s">
        <v>274</v>
      </c>
      <c r="G1751" s="23" t="s">
        <v>250</v>
      </c>
      <c r="H1751" s="39">
        <f t="shared" si="108"/>
        <v>349</v>
      </c>
      <c r="I1751" s="23" t="str">
        <f t="shared" si="109"/>
        <v>Chennai</v>
      </c>
      <c r="J1751" s="23">
        <f>COUNTIFS(pg_transaction_cleaned!$O:$O,A1751,pg_transaction_cleaned!$F:$F,"CAPTURE")</f>
        <v>1</v>
      </c>
      <c r="K1751" s="39">
        <f>SUMIFS(pg_transaction_cleaned!$H:$H,pg_transaction_cleaned!$O:$O,A1751,pg_transaction_cleaned!$F:$F,"CAPTURE")</f>
        <v>349</v>
      </c>
      <c r="L1751" s="23">
        <f>COUNTIFS(pg_transaction_cleaned!$O:$O,A1751,pg_transaction_cleaned!$F:$F,"REFUND")</f>
        <v>0</v>
      </c>
      <c r="M1751" s="39">
        <f>SUMIFS(pg_transaction_cleaned!$H:$H,pg_transaction_cleaned!$O:$O,A1751,pg_transaction_cleaned!$F:$F,"REFUND")</f>
        <v>0</v>
      </c>
      <c r="N1751" s="23" t="str">
        <f t="shared" si="110"/>
        <v>OK</v>
      </c>
      <c r="O1751" s="24">
        <f t="shared" si="111"/>
        <v>0</v>
      </c>
    </row>
    <row r="1752" spans="1:15" ht="15" customHeight="1" x14ac:dyDescent="0.3">
      <c r="A1752" s="23" t="s">
        <v>3990</v>
      </c>
      <c r="B1752" s="38">
        <v>46266</v>
      </c>
      <c r="C1752" s="23" t="s">
        <v>3991</v>
      </c>
      <c r="D1752" s="23" t="s">
        <v>93</v>
      </c>
      <c r="E1752" s="23" t="s">
        <v>77</v>
      </c>
      <c r="F1752" s="23" t="s">
        <v>310</v>
      </c>
      <c r="G1752" s="23" t="s">
        <v>318</v>
      </c>
      <c r="H1752" s="39">
        <f t="shared" si="108"/>
        <v>7999</v>
      </c>
      <c r="I1752" s="23" t="str">
        <f t="shared" si="109"/>
        <v>Kolkata</v>
      </c>
      <c r="J1752" s="23">
        <f>COUNTIFS(pg_transaction_cleaned!$O:$O,A1752,pg_transaction_cleaned!$F:$F,"CAPTURE")</f>
        <v>0</v>
      </c>
      <c r="K1752" s="39">
        <f>SUMIFS(pg_transaction_cleaned!$H:$H,pg_transaction_cleaned!$O:$O,A1752,pg_transaction_cleaned!$F:$F,"CAPTURE")</f>
        <v>0</v>
      </c>
      <c r="L1752" s="23">
        <f>COUNTIFS(pg_transaction_cleaned!$O:$O,A1752,pg_transaction_cleaned!$F:$F,"REFUND")</f>
        <v>0</v>
      </c>
      <c r="M1752" s="39">
        <f>SUMIFS(pg_transaction_cleaned!$H:$H,pg_transaction_cleaned!$O:$O,A1752,pg_transaction_cleaned!$F:$F,"REFUND")</f>
        <v>0</v>
      </c>
      <c r="N1752" s="23" t="str">
        <f t="shared" si="110"/>
        <v>OK</v>
      </c>
      <c r="O1752" s="24">
        <f t="shared" si="111"/>
        <v>0</v>
      </c>
    </row>
    <row r="1753" spans="1:15" ht="15" customHeight="1" x14ac:dyDescent="0.3">
      <c r="A1753" s="23" t="s">
        <v>3992</v>
      </c>
      <c r="B1753" s="38">
        <v>46288</v>
      </c>
      <c r="C1753" s="23" t="s">
        <v>3993</v>
      </c>
      <c r="D1753" s="23" t="s">
        <v>91</v>
      </c>
      <c r="E1753" s="23" t="s">
        <v>75</v>
      </c>
      <c r="F1753" s="23" t="s">
        <v>274</v>
      </c>
      <c r="G1753" s="23" t="s">
        <v>250</v>
      </c>
      <c r="H1753" s="39">
        <f t="shared" si="108"/>
        <v>349</v>
      </c>
      <c r="I1753" s="23" t="str">
        <f t="shared" si="109"/>
        <v>Pune</v>
      </c>
      <c r="J1753" s="23">
        <f>COUNTIFS(pg_transaction_cleaned!$O:$O,A1753,pg_transaction_cleaned!$F:$F,"CAPTURE")</f>
        <v>1</v>
      </c>
      <c r="K1753" s="39">
        <f>SUMIFS(pg_transaction_cleaned!$H:$H,pg_transaction_cleaned!$O:$O,A1753,pg_transaction_cleaned!$F:$F,"CAPTURE")</f>
        <v>349</v>
      </c>
      <c r="L1753" s="23">
        <f>COUNTIFS(pg_transaction_cleaned!$O:$O,A1753,pg_transaction_cleaned!$F:$F,"REFUND")</f>
        <v>0</v>
      </c>
      <c r="M1753" s="39">
        <f>SUMIFS(pg_transaction_cleaned!$H:$H,pg_transaction_cleaned!$O:$O,A1753,pg_transaction_cleaned!$F:$F,"REFUND")</f>
        <v>0</v>
      </c>
      <c r="N1753" s="23" t="str">
        <f t="shared" si="110"/>
        <v>OK</v>
      </c>
      <c r="O1753" s="24">
        <f t="shared" si="111"/>
        <v>0</v>
      </c>
    </row>
    <row r="1754" spans="1:15" ht="15" customHeight="1" x14ac:dyDescent="0.3">
      <c r="A1754" s="23" t="s">
        <v>3994</v>
      </c>
      <c r="B1754" s="38">
        <v>46283</v>
      </c>
      <c r="C1754" s="23" t="s">
        <v>3995</v>
      </c>
      <c r="D1754" s="23" t="s">
        <v>93</v>
      </c>
      <c r="E1754" s="23" t="s">
        <v>79</v>
      </c>
      <c r="F1754" s="23" t="s">
        <v>1428</v>
      </c>
      <c r="G1754" s="23" t="s">
        <v>250</v>
      </c>
      <c r="H1754" s="39">
        <f t="shared" si="108"/>
        <v>8598</v>
      </c>
      <c r="I1754" s="23" t="str">
        <f t="shared" si="109"/>
        <v>Kolkata</v>
      </c>
      <c r="J1754" s="23">
        <f>COUNTIFS(pg_transaction_cleaned!$O:$O,A1754,pg_transaction_cleaned!$F:$F,"CAPTURE")</f>
        <v>1</v>
      </c>
      <c r="K1754" s="39">
        <f>SUMIFS(pg_transaction_cleaned!$H:$H,pg_transaction_cleaned!$O:$O,A1754,pg_transaction_cleaned!$F:$F,"CAPTURE")</f>
        <v>8598</v>
      </c>
      <c r="L1754" s="23">
        <f>COUNTIFS(pg_transaction_cleaned!$O:$O,A1754,pg_transaction_cleaned!$F:$F,"REFUND")</f>
        <v>0</v>
      </c>
      <c r="M1754" s="39">
        <f>SUMIFS(pg_transaction_cleaned!$H:$H,pg_transaction_cleaned!$O:$O,A1754,pg_transaction_cleaned!$F:$F,"REFUND")</f>
        <v>0</v>
      </c>
      <c r="N1754" s="23" t="str">
        <f t="shared" si="110"/>
        <v>OK</v>
      </c>
      <c r="O1754" s="24">
        <f t="shared" si="111"/>
        <v>0</v>
      </c>
    </row>
    <row r="1755" spans="1:15" ht="15" customHeight="1" x14ac:dyDescent="0.3">
      <c r="A1755" s="23" t="s">
        <v>3996</v>
      </c>
      <c r="B1755" s="38">
        <v>46285</v>
      </c>
      <c r="C1755" s="23" t="s">
        <v>3997</v>
      </c>
      <c r="D1755" s="23" t="s">
        <v>92</v>
      </c>
      <c r="E1755" s="23" t="s">
        <v>75</v>
      </c>
      <c r="F1755" s="23" t="s">
        <v>294</v>
      </c>
      <c r="G1755" s="23" t="s">
        <v>250</v>
      </c>
      <c r="H1755" s="39">
        <f t="shared" si="108"/>
        <v>1799</v>
      </c>
      <c r="I1755" s="23" t="str">
        <f t="shared" si="109"/>
        <v>Hyderabad</v>
      </c>
      <c r="J1755" s="23">
        <f>COUNTIFS(pg_transaction_cleaned!$O:$O,A1755,pg_transaction_cleaned!$F:$F,"CAPTURE")</f>
        <v>1</v>
      </c>
      <c r="K1755" s="39">
        <f>SUMIFS(pg_transaction_cleaned!$H:$H,pg_transaction_cleaned!$O:$O,A1755,pg_transaction_cleaned!$F:$F,"CAPTURE")</f>
        <v>1799</v>
      </c>
      <c r="L1755" s="23">
        <f>COUNTIFS(pg_transaction_cleaned!$O:$O,A1755,pg_transaction_cleaned!$F:$F,"REFUND")</f>
        <v>0</v>
      </c>
      <c r="M1755" s="39">
        <f>SUMIFS(pg_transaction_cleaned!$H:$H,pg_transaction_cleaned!$O:$O,A1755,pg_transaction_cleaned!$F:$F,"REFUND")</f>
        <v>0</v>
      </c>
      <c r="N1755" s="23" t="str">
        <f t="shared" si="110"/>
        <v>OK</v>
      </c>
      <c r="O1755" s="24">
        <f t="shared" si="111"/>
        <v>0</v>
      </c>
    </row>
    <row r="1756" spans="1:15" ht="15" customHeight="1" x14ac:dyDescent="0.3">
      <c r="A1756" s="23" t="s">
        <v>3998</v>
      </c>
      <c r="B1756" s="38">
        <v>46286</v>
      </c>
      <c r="C1756" s="23" t="s">
        <v>3999</v>
      </c>
      <c r="D1756" s="23" t="s">
        <v>87</v>
      </c>
      <c r="E1756" s="23" t="s">
        <v>75</v>
      </c>
      <c r="F1756" s="23" t="s">
        <v>249</v>
      </c>
      <c r="G1756" s="23" t="s">
        <v>250</v>
      </c>
      <c r="H1756" s="39">
        <f t="shared" si="108"/>
        <v>299</v>
      </c>
      <c r="I1756" s="23" t="str">
        <f t="shared" si="109"/>
        <v>Mumbai</v>
      </c>
      <c r="J1756" s="23">
        <f>COUNTIFS(pg_transaction_cleaned!$O:$O,A1756,pg_transaction_cleaned!$F:$F,"CAPTURE")</f>
        <v>1</v>
      </c>
      <c r="K1756" s="39">
        <f>SUMIFS(pg_transaction_cleaned!$H:$H,pg_transaction_cleaned!$O:$O,A1756,pg_transaction_cleaned!$F:$F,"CAPTURE")</f>
        <v>299</v>
      </c>
      <c r="L1756" s="23">
        <f>COUNTIFS(pg_transaction_cleaned!$O:$O,A1756,pg_transaction_cleaned!$F:$F,"REFUND")</f>
        <v>0</v>
      </c>
      <c r="M1756" s="39">
        <f>SUMIFS(pg_transaction_cleaned!$H:$H,pg_transaction_cleaned!$O:$O,A1756,pg_transaction_cleaned!$F:$F,"REFUND")</f>
        <v>0</v>
      </c>
      <c r="N1756" s="23" t="str">
        <f t="shared" si="110"/>
        <v>OK</v>
      </c>
      <c r="O1756" s="24">
        <f t="shared" si="111"/>
        <v>0</v>
      </c>
    </row>
    <row r="1757" spans="1:15" ht="15" customHeight="1" x14ac:dyDescent="0.3">
      <c r="A1757" s="23" t="s">
        <v>4000</v>
      </c>
      <c r="B1757" s="38">
        <v>46270</v>
      </c>
      <c r="C1757" s="23" t="s">
        <v>4001</v>
      </c>
      <c r="D1757" s="23" t="s">
        <v>87</v>
      </c>
      <c r="E1757" s="23" t="s">
        <v>75</v>
      </c>
      <c r="F1757" s="23" t="s">
        <v>294</v>
      </c>
      <c r="G1757" s="23" t="s">
        <v>250</v>
      </c>
      <c r="H1757" s="39">
        <f t="shared" si="108"/>
        <v>1799</v>
      </c>
      <c r="I1757" s="23" t="str">
        <f t="shared" si="109"/>
        <v>Mumbai</v>
      </c>
      <c r="J1757" s="23">
        <f>COUNTIFS(pg_transaction_cleaned!$O:$O,A1757,pg_transaction_cleaned!$F:$F,"CAPTURE")</f>
        <v>1</v>
      </c>
      <c r="K1757" s="39">
        <f>SUMIFS(pg_transaction_cleaned!$H:$H,pg_transaction_cleaned!$O:$O,A1757,pg_transaction_cleaned!$F:$F,"CAPTURE")</f>
        <v>1799</v>
      </c>
      <c r="L1757" s="23">
        <f>COUNTIFS(pg_transaction_cleaned!$O:$O,A1757,pg_transaction_cleaned!$F:$F,"REFUND")</f>
        <v>0</v>
      </c>
      <c r="M1757" s="39">
        <f>SUMIFS(pg_transaction_cleaned!$H:$H,pg_transaction_cleaned!$O:$O,A1757,pg_transaction_cleaned!$F:$F,"REFUND")</f>
        <v>0</v>
      </c>
      <c r="N1757" s="23" t="str">
        <f t="shared" si="110"/>
        <v>OK</v>
      </c>
      <c r="O1757" s="24">
        <f t="shared" si="111"/>
        <v>0</v>
      </c>
    </row>
    <row r="1758" spans="1:15" ht="15" customHeight="1" x14ac:dyDescent="0.3">
      <c r="A1758" s="23" t="s">
        <v>4002</v>
      </c>
      <c r="B1758" s="38">
        <v>46273</v>
      </c>
      <c r="C1758" s="23" t="s">
        <v>4003</v>
      </c>
      <c r="D1758" s="23" t="s">
        <v>94</v>
      </c>
      <c r="E1758" s="23" t="s">
        <v>77</v>
      </c>
      <c r="F1758" s="23" t="s">
        <v>1463</v>
      </c>
      <c r="G1758" s="23" t="s">
        <v>318</v>
      </c>
      <c r="H1758" s="39">
        <f t="shared" si="108"/>
        <v>5348</v>
      </c>
      <c r="I1758" s="23" t="str">
        <f t="shared" si="109"/>
        <v>Chennai</v>
      </c>
      <c r="J1758" s="23">
        <f>COUNTIFS(pg_transaction_cleaned!$O:$O,A1758,pg_transaction_cleaned!$F:$F,"CAPTURE")</f>
        <v>0</v>
      </c>
      <c r="K1758" s="39">
        <f>SUMIFS(pg_transaction_cleaned!$H:$H,pg_transaction_cleaned!$O:$O,A1758,pg_transaction_cleaned!$F:$F,"CAPTURE")</f>
        <v>0</v>
      </c>
      <c r="L1758" s="23">
        <f>COUNTIFS(pg_transaction_cleaned!$O:$O,A1758,pg_transaction_cleaned!$F:$F,"REFUND")</f>
        <v>0</v>
      </c>
      <c r="M1758" s="39">
        <f>SUMIFS(pg_transaction_cleaned!$H:$H,pg_transaction_cleaned!$O:$O,A1758,pg_transaction_cleaned!$F:$F,"REFUND")</f>
        <v>0</v>
      </c>
      <c r="N1758" s="23" t="str">
        <f t="shared" si="110"/>
        <v>OK</v>
      </c>
      <c r="O1758" s="24">
        <f t="shared" si="111"/>
        <v>0</v>
      </c>
    </row>
    <row r="1759" spans="1:15" ht="15" customHeight="1" x14ac:dyDescent="0.3">
      <c r="A1759" s="23" t="s">
        <v>4004</v>
      </c>
      <c r="B1759" s="38">
        <v>46268</v>
      </c>
      <c r="C1759" s="23" t="s">
        <v>4005</v>
      </c>
      <c r="D1759" s="23" t="s">
        <v>90</v>
      </c>
      <c r="E1759" s="23" t="s">
        <v>75</v>
      </c>
      <c r="F1759" s="23" t="s">
        <v>499</v>
      </c>
      <c r="G1759" s="23" t="s">
        <v>250</v>
      </c>
      <c r="H1759" s="39">
        <f t="shared" si="108"/>
        <v>5998</v>
      </c>
      <c r="I1759" s="23" t="str">
        <f t="shared" si="109"/>
        <v>Ahmedabad</v>
      </c>
      <c r="J1759" s="23">
        <f>COUNTIFS(pg_transaction_cleaned!$O:$O,A1759,pg_transaction_cleaned!$F:$F,"CAPTURE")</f>
        <v>1</v>
      </c>
      <c r="K1759" s="39">
        <f>SUMIFS(pg_transaction_cleaned!$H:$H,pg_transaction_cleaned!$O:$O,A1759,pg_transaction_cleaned!$F:$F,"CAPTURE")</f>
        <v>5998</v>
      </c>
      <c r="L1759" s="23">
        <f>COUNTIFS(pg_transaction_cleaned!$O:$O,A1759,pg_transaction_cleaned!$F:$F,"REFUND")</f>
        <v>0</v>
      </c>
      <c r="M1759" s="39">
        <f>SUMIFS(pg_transaction_cleaned!$H:$H,pg_transaction_cleaned!$O:$O,A1759,pg_transaction_cleaned!$F:$F,"REFUND")</f>
        <v>0</v>
      </c>
      <c r="N1759" s="23" t="str">
        <f t="shared" si="110"/>
        <v>OK</v>
      </c>
      <c r="O1759" s="24">
        <f t="shared" si="111"/>
        <v>0</v>
      </c>
    </row>
    <row r="1760" spans="1:15" ht="15" customHeight="1" x14ac:dyDescent="0.3">
      <c r="A1760" s="23" t="s">
        <v>4006</v>
      </c>
      <c r="B1760" s="38">
        <v>46270</v>
      </c>
      <c r="C1760" s="23" t="s">
        <v>4007</v>
      </c>
      <c r="D1760" s="23" t="s">
        <v>95</v>
      </c>
      <c r="E1760" s="23" t="s">
        <v>75</v>
      </c>
      <c r="F1760" s="23" t="s">
        <v>291</v>
      </c>
      <c r="G1760" s="23" t="s">
        <v>250</v>
      </c>
      <c r="H1760" s="39">
        <f t="shared" si="108"/>
        <v>3499</v>
      </c>
      <c r="I1760" s="23" t="str">
        <f t="shared" si="109"/>
        <v>Bengaluru</v>
      </c>
      <c r="J1760" s="23">
        <f>COUNTIFS(pg_transaction_cleaned!$O:$O,A1760,pg_transaction_cleaned!$F:$F,"CAPTURE")</f>
        <v>1</v>
      </c>
      <c r="K1760" s="39">
        <f>SUMIFS(pg_transaction_cleaned!$H:$H,pg_transaction_cleaned!$O:$O,A1760,pg_transaction_cleaned!$F:$F,"CAPTURE")</f>
        <v>3499</v>
      </c>
      <c r="L1760" s="23">
        <f>COUNTIFS(pg_transaction_cleaned!$O:$O,A1760,pg_transaction_cleaned!$F:$F,"REFUND")</f>
        <v>0</v>
      </c>
      <c r="M1760" s="39">
        <f>SUMIFS(pg_transaction_cleaned!$H:$H,pg_transaction_cleaned!$O:$O,A1760,pg_transaction_cleaned!$F:$F,"REFUND")</f>
        <v>0</v>
      </c>
      <c r="N1760" s="23" t="str">
        <f t="shared" si="110"/>
        <v>OK</v>
      </c>
      <c r="O1760" s="24">
        <f t="shared" si="111"/>
        <v>0</v>
      </c>
    </row>
    <row r="1761" spans="1:15" ht="15" customHeight="1" x14ac:dyDescent="0.3">
      <c r="A1761" s="23" t="s">
        <v>4008</v>
      </c>
      <c r="B1761" s="38">
        <v>46286</v>
      </c>
      <c r="C1761" s="23" t="s">
        <v>4009</v>
      </c>
      <c r="D1761" s="23" t="s">
        <v>87</v>
      </c>
      <c r="E1761" s="23" t="s">
        <v>79</v>
      </c>
      <c r="F1761" s="23" t="s">
        <v>268</v>
      </c>
      <c r="G1761" s="23" t="s">
        <v>250</v>
      </c>
      <c r="H1761" s="39">
        <f t="shared" si="108"/>
        <v>1299</v>
      </c>
      <c r="I1761" s="23" t="str">
        <f t="shared" si="109"/>
        <v>Mumbai</v>
      </c>
      <c r="J1761" s="23">
        <f>COUNTIFS(pg_transaction_cleaned!$O:$O,A1761,pg_transaction_cleaned!$F:$F,"CAPTURE")</f>
        <v>1</v>
      </c>
      <c r="K1761" s="39">
        <f>SUMIFS(pg_transaction_cleaned!$H:$H,pg_transaction_cleaned!$O:$O,A1761,pg_transaction_cleaned!$F:$F,"CAPTURE")</f>
        <v>1299</v>
      </c>
      <c r="L1761" s="23">
        <f>COUNTIFS(pg_transaction_cleaned!$O:$O,A1761,pg_transaction_cleaned!$F:$F,"REFUND")</f>
        <v>0</v>
      </c>
      <c r="M1761" s="39">
        <f>SUMIFS(pg_transaction_cleaned!$H:$H,pg_transaction_cleaned!$O:$O,A1761,pg_transaction_cleaned!$F:$F,"REFUND")</f>
        <v>0</v>
      </c>
      <c r="N1761" s="23" t="str">
        <f t="shared" si="110"/>
        <v>OK</v>
      </c>
      <c r="O1761" s="24">
        <f t="shared" si="111"/>
        <v>0</v>
      </c>
    </row>
    <row r="1762" spans="1:15" ht="15" customHeight="1" x14ac:dyDescent="0.3">
      <c r="A1762" s="23" t="s">
        <v>4010</v>
      </c>
      <c r="B1762" s="38">
        <v>46295</v>
      </c>
      <c r="C1762" s="23" t="s">
        <v>4011</v>
      </c>
      <c r="D1762" s="23" t="s">
        <v>88</v>
      </c>
      <c r="E1762" s="23" t="s">
        <v>81</v>
      </c>
      <c r="F1762" s="23" t="s">
        <v>249</v>
      </c>
      <c r="G1762" s="23" t="s">
        <v>250</v>
      </c>
      <c r="H1762" s="39">
        <f t="shared" si="108"/>
        <v>299</v>
      </c>
      <c r="I1762" s="23" t="str">
        <f t="shared" si="109"/>
        <v>Lucknow</v>
      </c>
      <c r="J1762" s="23">
        <f>COUNTIFS(pg_transaction_cleaned!$O:$O,A1762,pg_transaction_cleaned!$F:$F,"CAPTURE")</f>
        <v>1</v>
      </c>
      <c r="K1762" s="39">
        <f>SUMIFS(pg_transaction_cleaned!$H:$H,pg_transaction_cleaned!$O:$O,A1762,pg_transaction_cleaned!$F:$F,"CAPTURE")</f>
        <v>299</v>
      </c>
      <c r="L1762" s="23">
        <f>COUNTIFS(pg_transaction_cleaned!$O:$O,A1762,pg_transaction_cleaned!$F:$F,"REFUND")</f>
        <v>0</v>
      </c>
      <c r="M1762" s="39">
        <f>SUMIFS(pg_transaction_cleaned!$H:$H,pg_transaction_cleaned!$O:$O,A1762,pg_transaction_cleaned!$F:$F,"REFUND")</f>
        <v>0</v>
      </c>
      <c r="N1762" s="23" t="str">
        <f t="shared" si="110"/>
        <v>OK</v>
      </c>
      <c r="O1762" s="24">
        <f t="shared" si="111"/>
        <v>0</v>
      </c>
    </row>
    <row r="1763" spans="1:15" ht="15" customHeight="1" x14ac:dyDescent="0.3">
      <c r="A1763" s="23" t="s">
        <v>4012</v>
      </c>
      <c r="B1763" s="38">
        <v>46293</v>
      </c>
      <c r="C1763" s="23" t="s">
        <v>4013</v>
      </c>
      <c r="D1763" s="23" t="s">
        <v>93</v>
      </c>
      <c r="E1763" s="23" t="s">
        <v>79</v>
      </c>
      <c r="F1763" s="23" t="s">
        <v>499</v>
      </c>
      <c r="G1763" s="23" t="s">
        <v>250</v>
      </c>
      <c r="H1763" s="39">
        <f t="shared" si="108"/>
        <v>5998</v>
      </c>
      <c r="I1763" s="23" t="str">
        <f t="shared" si="109"/>
        <v>Kolkata</v>
      </c>
      <c r="J1763" s="23">
        <f>COUNTIFS(pg_transaction_cleaned!$O:$O,A1763,pg_transaction_cleaned!$F:$F,"CAPTURE")</f>
        <v>1</v>
      </c>
      <c r="K1763" s="39">
        <f>SUMIFS(pg_transaction_cleaned!$H:$H,pg_transaction_cleaned!$O:$O,A1763,pg_transaction_cleaned!$F:$F,"CAPTURE")</f>
        <v>5998</v>
      </c>
      <c r="L1763" s="23">
        <f>COUNTIFS(pg_transaction_cleaned!$O:$O,A1763,pg_transaction_cleaned!$F:$F,"REFUND")</f>
        <v>0</v>
      </c>
      <c r="M1763" s="39">
        <f>SUMIFS(pg_transaction_cleaned!$H:$H,pg_transaction_cleaned!$O:$O,A1763,pg_transaction_cleaned!$F:$F,"REFUND")</f>
        <v>0</v>
      </c>
      <c r="N1763" s="23" t="str">
        <f t="shared" si="110"/>
        <v>OK</v>
      </c>
      <c r="O1763" s="24">
        <f t="shared" si="111"/>
        <v>0</v>
      </c>
    </row>
    <row r="1764" spans="1:15" ht="15" customHeight="1" x14ac:dyDescent="0.3">
      <c r="A1764" s="23" t="s">
        <v>4014</v>
      </c>
      <c r="B1764" s="38">
        <v>46290</v>
      </c>
      <c r="C1764" s="23" t="s">
        <v>4015</v>
      </c>
      <c r="D1764" s="23" t="s">
        <v>91</v>
      </c>
      <c r="E1764" s="23" t="s">
        <v>75</v>
      </c>
      <c r="F1764" s="23" t="s">
        <v>337</v>
      </c>
      <c r="G1764" s="23" t="s">
        <v>250</v>
      </c>
      <c r="H1764" s="39">
        <f t="shared" si="108"/>
        <v>3998</v>
      </c>
      <c r="I1764" s="23" t="str">
        <f t="shared" si="109"/>
        <v>Pune</v>
      </c>
      <c r="J1764" s="23">
        <f>COUNTIFS(pg_transaction_cleaned!$O:$O,A1764,pg_transaction_cleaned!$F:$F,"CAPTURE")</f>
        <v>1</v>
      </c>
      <c r="K1764" s="39">
        <f>SUMIFS(pg_transaction_cleaned!$H:$H,pg_transaction_cleaned!$O:$O,A1764,pg_transaction_cleaned!$F:$F,"CAPTURE")</f>
        <v>3998</v>
      </c>
      <c r="L1764" s="23">
        <f>COUNTIFS(pg_transaction_cleaned!$O:$O,A1764,pg_transaction_cleaned!$F:$F,"REFUND")</f>
        <v>0</v>
      </c>
      <c r="M1764" s="39">
        <f>SUMIFS(pg_transaction_cleaned!$H:$H,pg_transaction_cleaned!$O:$O,A1764,pg_transaction_cleaned!$F:$F,"REFUND")</f>
        <v>0</v>
      </c>
      <c r="N1764" s="23" t="str">
        <f t="shared" si="110"/>
        <v>OK</v>
      </c>
      <c r="O1764" s="24">
        <f t="shared" si="111"/>
        <v>0</v>
      </c>
    </row>
    <row r="1765" spans="1:15" ht="15" customHeight="1" x14ac:dyDescent="0.3">
      <c r="A1765" s="23" t="s">
        <v>4016</v>
      </c>
      <c r="B1765" s="38">
        <v>46280</v>
      </c>
      <c r="C1765" s="23" t="s">
        <v>4017</v>
      </c>
      <c r="D1765" s="23" t="s">
        <v>94</v>
      </c>
      <c r="E1765" s="23" t="s">
        <v>75</v>
      </c>
      <c r="F1765" s="23" t="s">
        <v>271</v>
      </c>
      <c r="G1765" s="23" t="s">
        <v>301</v>
      </c>
      <c r="H1765" s="39">
        <f t="shared" si="108"/>
        <v>2499</v>
      </c>
      <c r="I1765" s="23" t="str">
        <f t="shared" si="109"/>
        <v>Chennai</v>
      </c>
      <c r="J1765" s="23">
        <f>COUNTIFS(pg_transaction_cleaned!$O:$O,A1765,pg_transaction_cleaned!$F:$F,"CAPTURE")</f>
        <v>1</v>
      </c>
      <c r="K1765" s="39">
        <f>SUMIFS(pg_transaction_cleaned!$H:$H,pg_transaction_cleaned!$O:$O,A1765,pg_transaction_cleaned!$F:$F,"CAPTURE")</f>
        <v>2499</v>
      </c>
      <c r="L1765" s="23">
        <f>COUNTIFS(pg_transaction_cleaned!$O:$O,A1765,pg_transaction_cleaned!$F:$F,"REFUND")</f>
        <v>1</v>
      </c>
      <c r="M1765" s="39">
        <f>SUMIFS(pg_transaction_cleaned!$H:$H,pg_transaction_cleaned!$O:$O,A1765,pg_transaction_cleaned!$F:$F,"REFUND")</f>
        <v>2499</v>
      </c>
      <c r="N1765" s="23" t="str">
        <f t="shared" si="110"/>
        <v>OK</v>
      </c>
      <c r="O1765" s="24">
        <f t="shared" si="111"/>
        <v>0</v>
      </c>
    </row>
    <row r="1766" spans="1:15" ht="15" customHeight="1" x14ac:dyDescent="0.3">
      <c r="A1766" s="23" t="s">
        <v>4018</v>
      </c>
      <c r="B1766" s="38">
        <v>46279</v>
      </c>
      <c r="C1766" s="23" t="s">
        <v>4019</v>
      </c>
      <c r="D1766" s="23" t="s">
        <v>93</v>
      </c>
      <c r="E1766" s="23" t="s">
        <v>79</v>
      </c>
      <c r="F1766" s="23" t="s">
        <v>329</v>
      </c>
      <c r="G1766" s="23" t="s">
        <v>250</v>
      </c>
      <c r="H1766" s="39">
        <f t="shared" si="108"/>
        <v>599</v>
      </c>
      <c r="I1766" s="23" t="str">
        <f t="shared" si="109"/>
        <v>Kolkata</v>
      </c>
      <c r="J1766" s="23">
        <f>COUNTIFS(pg_transaction_cleaned!$O:$O,A1766,pg_transaction_cleaned!$F:$F,"CAPTURE")</f>
        <v>1</v>
      </c>
      <c r="K1766" s="39">
        <f>SUMIFS(pg_transaction_cleaned!$H:$H,pg_transaction_cleaned!$O:$O,A1766,pg_transaction_cleaned!$F:$F,"CAPTURE")</f>
        <v>599</v>
      </c>
      <c r="L1766" s="23">
        <f>COUNTIFS(pg_transaction_cleaned!$O:$O,A1766,pg_transaction_cleaned!$F:$F,"REFUND")</f>
        <v>0</v>
      </c>
      <c r="M1766" s="39">
        <f>SUMIFS(pg_transaction_cleaned!$H:$H,pg_transaction_cleaned!$O:$O,A1766,pg_transaction_cleaned!$F:$F,"REFUND")</f>
        <v>0</v>
      </c>
      <c r="N1766" s="23" t="str">
        <f t="shared" si="110"/>
        <v>OK</v>
      </c>
      <c r="O1766" s="24">
        <f t="shared" si="111"/>
        <v>0</v>
      </c>
    </row>
    <row r="1767" spans="1:15" ht="15" customHeight="1" x14ac:dyDescent="0.3">
      <c r="A1767" s="23" t="s">
        <v>4020</v>
      </c>
      <c r="B1767" s="38">
        <v>46289</v>
      </c>
      <c r="C1767" s="23" t="s">
        <v>4021</v>
      </c>
      <c r="D1767" s="23" t="s">
        <v>87</v>
      </c>
      <c r="E1767" s="23" t="s">
        <v>75</v>
      </c>
      <c r="F1767" s="23" t="s">
        <v>553</v>
      </c>
      <c r="G1767" s="23" t="s">
        <v>301</v>
      </c>
      <c r="H1767" s="39">
        <f t="shared" si="108"/>
        <v>2798</v>
      </c>
      <c r="I1767" s="23" t="str">
        <f t="shared" si="109"/>
        <v>Mumbai</v>
      </c>
      <c r="J1767" s="23">
        <f>COUNTIFS(pg_transaction_cleaned!$O:$O,A1767,pg_transaction_cleaned!$F:$F,"CAPTURE")</f>
        <v>1</v>
      </c>
      <c r="K1767" s="39">
        <f>SUMIFS(pg_transaction_cleaned!$H:$H,pg_transaction_cleaned!$O:$O,A1767,pg_transaction_cleaned!$F:$F,"CAPTURE")</f>
        <v>2798</v>
      </c>
      <c r="L1767" s="23">
        <f>COUNTIFS(pg_transaction_cleaned!$O:$O,A1767,pg_transaction_cleaned!$F:$F,"REFUND")</f>
        <v>1</v>
      </c>
      <c r="M1767" s="39">
        <f>SUMIFS(pg_transaction_cleaned!$H:$H,pg_transaction_cleaned!$O:$O,A1767,pg_transaction_cleaned!$F:$F,"REFUND")</f>
        <v>2798</v>
      </c>
      <c r="N1767" s="23" t="str">
        <f t="shared" si="110"/>
        <v>OK</v>
      </c>
      <c r="O1767" s="24">
        <f t="shared" si="111"/>
        <v>0</v>
      </c>
    </row>
    <row r="1768" spans="1:15" ht="15" customHeight="1" x14ac:dyDescent="0.3">
      <c r="A1768" s="23" t="s">
        <v>4022</v>
      </c>
      <c r="B1768" s="38">
        <v>46268</v>
      </c>
      <c r="C1768" s="23" t="s">
        <v>4023</v>
      </c>
      <c r="D1768" s="23"/>
      <c r="E1768" s="23" t="s">
        <v>75</v>
      </c>
      <c r="F1768" s="23" t="s">
        <v>262</v>
      </c>
      <c r="G1768" s="23" t="s">
        <v>250</v>
      </c>
      <c r="H1768" s="39">
        <f t="shared" si="108"/>
        <v>499</v>
      </c>
      <c r="I1768" s="23" t="str">
        <f t="shared" si="109"/>
        <v>Unknown</v>
      </c>
      <c r="J1768" s="23">
        <f>COUNTIFS(pg_transaction_cleaned!$O:$O,A1768,pg_transaction_cleaned!$F:$F,"CAPTURE")</f>
        <v>1</v>
      </c>
      <c r="K1768" s="39">
        <f>SUMIFS(pg_transaction_cleaned!$H:$H,pg_transaction_cleaned!$O:$O,A1768,pg_transaction_cleaned!$F:$F,"CAPTURE")</f>
        <v>499</v>
      </c>
      <c r="L1768" s="23">
        <f>COUNTIFS(pg_transaction_cleaned!$O:$O,A1768,pg_transaction_cleaned!$F:$F,"REFUND")</f>
        <v>0</v>
      </c>
      <c r="M1768" s="39">
        <f>SUMIFS(pg_transaction_cleaned!$H:$H,pg_transaction_cleaned!$O:$O,A1768,pg_transaction_cleaned!$F:$F,"REFUND")</f>
        <v>0</v>
      </c>
      <c r="N1768" s="23" t="str">
        <f t="shared" si="110"/>
        <v>OK</v>
      </c>
      <c r="O1768" s="24">
        <f t="shared" si="111"/>
        <v>0</v>
      </c>
    </row>
    <row r="1769" spans="1:15" ht="15" customHeight="1" x14ac:dyDescent="0.3">
      <c r="A1769" s="23" t="s">
        <v>4024</v>
      </c>
      <c r="B1769" s="38">
        <v>46285</v>
      </c>
      <c r="C1769" s="23" t="s">
        <v>4025</v>
      </c>
      <c r="D1769" s="23" t="s">
        <v>91</v>
      </c>
      <c r="E1769" s="23" t="s">
        <v>75</v>
      </c>
      <c r="F1769" s="23" t="s">
        <v>769</v>
      </c>
      <c r="G1769" s="23" t="s">
        <v>250</v>
      </c>
      <c r="H1769" s="39">
        <f t="shared" si="108"/>
        <v>1897</v>
      </c>
      <c r="I1769" s="23" t="str">
        <f t="shared" si="109"/>
        <v>Pune</v>
      </c>
      <c r="J1769" s="23">
        <f>COUNTIFS(pg_transaction_cleaned!$O:$O,A1769,pg_transaction_cleaned!$F:$F,"CAPTURE")</f>
        <v>1</v>
      </c>
      <c r="K1769" s="39">
        <f>SUMIFS(pg_transaction_cleaned!$H:$H,pg_transaction_cleaned!$O:$O,A1769,pg_transaction_cleaned!$F:$F,"CAPTURE")</f>
        <v>1897</v>
      </c>
      <c r="L1769" s="23">
        <f>COUNTIFS(pg_transaction_cleaned!$O:$O,A1769,pg_transaction_cleaned!$F:$F,"REFUND")</f>
        <v>0</v>
      </c>
      <c r="M1769" s="39">
        <f>SUMIFS(pg_transaction_cleaned!$H:$H,pg_transaction_cleaned!$O:$O,A1769,pg_transaction_cleaned!$F:$F,"REFUND")</f>
        <v>0</v>
      </c>
      <c r="N1769" s="23" t="str">
        <f t="shared" si="110"/>
        <v>OK</v>
      </c>
      <c r="O1769" s="24">
        <f t="shared" si="111"/>
        <v>0</v>
      </c>
    </row>
    <row r="1770" spans="1:15" ht="15" customHeight="1" x14ac:dyDescent="0.3">
      <c r="A1770" s="23" t="s">
        <v>4026</v>
      </c>
      <c r="B1770" s="38">
        <v>46268</v>
      </c>
      <c r="C1770" s="23" t="s">
        <v>4027</v>
      </c>
      <c r="D1770" s="23" t="s">
        <v>95</v>
      </c>
      <c r="E1770" s="23" t="s">
        <v>79</v>
      </c>
      <c r="F1770" s="23" t="s">
        <v>294</v>
      </c>
      <c r="G1770" s="23" t="s">
        <v>250</v>
      </c>
      <c r="H1770" s="39">
        <f t="shared" si="108"/>
        <v>1799</v>
      </c>
      <c r="I1770" s="23" t="str">
        <f t="shared" si="109"/>
        <v>Bengaluru</v>
      </c>
      <c r="J1770" s="23">
        <f>COUNTIFS(pg_transaction_cleaned!$O:$O,A1770,pg_transaction_cleaned!$F:$F,"CAPTURE")</f>
        <v>1</v>
      </c>
      <c r="K1770" s="39">
        <f>SUMIFS(pg_transaction_cleaned!$H:$H,pg_transaction_cleaned!$O:$O,A1770,pg_transaction_cleaned!$F:$F,"CAPTURE")</f>
        <v>1799</v>
      </c>
      <c r="L1770" s="23">
        <f>COUNTIFS(pg_transaction_cleaned!$O:$O,A1770,pg_transaction_cleaned!$F:$F,"REFUND")</f>
        <v>0</v>
      </c>
      <c r="M1770" s="39">
        <f>SUMIFS(pg_transaction_cleaned!$H:$H,pg_transaction_cleaned!$O:$O,A1770,pg_transaction_cleaned!$F:$F,"REFUND")</f>
        <v>0</v>
      </c>
      <c r="N1770" s="23" t="str">
        <f t="shared" si="110"/>
        <v>OK</v>
      </c>
      <c r="O1770" s="24">
        <f t="shared" si="111"/>
        <v>0</v>
      </c>
    </row>
    <row r="1771" spans="1:15" ht="15" customHeight="1" x14ac:dyDescent="0.3">
      <c r="A1771" s="23" t="s">
        <v>4028</v>
      </c>
      <c r="B1771" s="38">
        <v>46280</v>
      </c>
      <c r="C1771" s="23" t="s">
        <v>4029</v>
      </c>
      <c r="D1771" s="23" t="s">
        <v>89</v>
      </c>
      <c r="E1771" s="23" t="s">
        <v>81</v>
      </c>
      <c r="F1771" s="23" t="s">
        <v>2304</v>
      </c>
      <c r="G1771" s="23" t="s">
        <v>250</v>
      </c>
      <c r="H1771" s="39">
        <f t="shared" si="108"/>
        <v>6797</v>
      </c>
      <c r="I1771" s="23" t="str">
        <f t="shared" si="109"/>
        <v>Jaipur</v>
      </c>
      <c r="J1771" s="23">
        <f>COUNTIFS(pg_transaction_cleaned!$O:$O,A1771,pg_transaction_cleaned!$F:$F,"CAPTURE")</f>
        <v>1</v>
      </c>
      <c r="K1771" s="39">
        <f>SUMIFS(pg_transaction_cleaned!$H:$H,pg_transaction_cleaned!$O:$O,A1771,pg_transaction_cleaned!$F:$F,"CAPTURE")</f>
        <v>6797</v>
      </c>
      <c r="L1771" s="23">
        <f>COUNTIFS(pg_transaction_cleaned!$O:$O,A1771,pg_transaction_cleaned!$F:$F,"REFUND")</f>
        <v>0</v>
      </c>
      <c r="M1771" s="39">
        <f>SUMIFS(pg_transaction_cleaned!$H:$H,pg_transaction_cleaned!$O:$O,A1771,pg_transaction_cleaned!$F:$F,"REFUND")</f>
        <v>0</v>
      </c>
      <c r="N1771" s="23" t="str">
        <f t="shared" si="110"/>
        <v>OK</v>
      </c>
      <c r="O1771" s="24">
        <f t="shared" si="111"/>
        <v>0</v>
      </c>
    </row>
    <row r="1772" spans="1:15" ht="15" customHeight="1" x14ac:dyDescent="0.3">
      <c r="A1772" s="23" t="s">
        <v>4030</v>
      </c>
      <c r="B1772" s="38">
        <v>46294</v>
      </c>
      <c r="C1772" s="23" t="s">
        <v>4031</v>
      </c>
      <c r="D1772" s="23" t="s">
        <v>94</v>
      </c>
      <c r="E1772" s="23" t="s">
        <v>75</v>
      </c>
      <c r="F1772" s="23" t="s">
        <v>265</v>
      </c>
      <c r="G1772" s="23" t="s">
        <v>250</v>
      </c>
      <c r="H1772" s="39">
        <f t="shared" si="108"/>
        <v>999</v>
      </c>
      <c r="I1772" s="23" t="str">
        <f t="shared" si="109"/>
        <v>Chennai</v>
      </c>
      <c r="J1772" s="23">
        <f>COUNTIFS(pg_transaction_cleaned!$O:$O,A1772,pg_transaction_cleaned!$F:$F,"CAPTURE")</f>
        <v>1</v>
      </c>
      <c r="K1772" s="39">
        <f>SUMIFS(pg_transaction_cleaned!$H:$H,pg_transaction_cleaned!$O:$O,A1772,pg_transaction_cleaned!$F:$F,"CAPTURE")</f>
        <v>999</v>
      </c>
      <c r="L1772" s="23">
        <f>COUNTIFS(pg_transaction_cleaned!$O:$O,A1772,pg_transaction_cleaned!$F:$F,"REFUND")</f>
        <v>0</v>
      </c>
      <c r="M1772" s="39">
        <f>SUMIFS(pg_transaction_cleaned!$H:$H,pg_transaction_cleaned!$O:$O,A1772,pg_transaction_cleaned!$F:$F,"REFUND")</f>
        <v>0</v>
      </c>
      <c r="N1772" s="23" t="str">
        <f t="shared" si="110"/>
        <v>OK</v>
      </c>
      <c r="O1772" s="24">
        <f t="shared" si="111"/>
        <v>0</v>
      </c>
    </row>
    <row r="1773" spans="1:15" ht="15" customHeight="1" x14ac:dyDescent="0.3">
      <c r="A1773" s="23" t="s">
        <v>4032</v>
      </c>
      <c r="B1773" s="38">
        <v>46294</v>
      </c>
      <c r="C1773" s="23" t="s">
        <v>4033</v>
      </c>
      <c r="D1773" s="23" t="s">
        <v>89</v>
      </c>
      <c r="E1773" s="23" t="s">
        <v>75</v>
      </c>
      <c r="F1773" s="23" t="s">
        <v>499</v>
      </c>
      <c r="G1773" s="23" t="s">
        <v>250</v>
      </c>
      <c r="H1773" s="39">
        <f t="shared" si="108"/>
        <v>5998</v>
      </c>
      <c r="I1773" s="23" t="str">
        <f t="shared" si="109"/>
        <v>Jaipur</v>
      </c>
      <c r="J1773" s="23">
        <f>COUNTIFS(pg_transaction_cleaned!$O:$O,A1773,pg_transaction_cleaned!$F:$F,"CAPTURE")</f>
        <v>1</v>
      </c>
      <c r="K1773" s="39">
        <f>SUMIFS(pg_transaction_cleaned!$H:$H,pg_transaction_cleaned!$O:$O,A1773,pg_transaction_cleaned!$F:$F,"CAPTURE")</f>
        <v>5998</v>
      </c>
      <c r="L1773" s="23">
        <f>COUNTIFS(pg_transaction_cleaned!$O:$O,A1773,pg_transaction_cleaned!$F:$F,"REFUND")</f>
        <v>0</v>
      </c>
      <c r="M1773" s="39">
        <f>SUMIFS(pg_transaction_cleaned!$H:$H,pg_transaction_cleaned!$O:$O,A1773,pg_transaction_cleaned!$F:$F,"REFUND")</f>
        <v>0</v>
      </c>
      <c r="N1773" s="23" t="str">
        <f t="shared" si="110"/>
        <v>OK</v>
      </c>
      <c r="O1773" s="24">
        <f t="shared" si="111"/>
        <v>0</v>
      </c>
    </row>
    <row r="1774" spans="1:15" ht="15" customHeight="1" x14ac:dyDescent="0.3">
      <c r="A1774" s="23" t="s">
        <v>4034</v>
      </c>
      <c r="B1774" s="38">
        <v>46273</v>
      </c>
      <c r="C1774" s="23" t="s">
        <v>4035</v>
      </c>
      <c r="D1774" s="23" t="s">
        <v>87</v>
      </c>
      <c r="E1774" s="23" t="s">
        <v>75</v>
      </c>
      <c r="F1774" s="23" t="s">
        <v>291</v>
      </c>
      <c r="G1774" s="23" t="s">
        <v>250</v>
      </c>
      <c r="H1774" s="39">
        <f t="shared" si="108"/>
        <v>3499</v>
      </c>
      <c r="I1774" s="23" t="str">
        <f t="shared" si="109"/>
        <v>Mumbai</v>
      </c>
      <c r="J1774" s="23">
        <f>COUNTIFS(pg_transaction_cleaned!$O:$O,A1774,pg_transaction_cleaned!$F:$F,"CAPTURE")</f>
        <v>1</v>
      </c>
      <c r="K1774" s="39">
        <f>SUMIFS(pg_transaction_cleaned!$H:$H,pg_transaction_cleaned!$O:$O,A1774,pg_transaction_cleaned!$F:$F,"CAPTURE")</f>
        <v>3499</v>
      </c>
      <c r="L1774" s="23">
        <f>COUNTIFS(pg_transaction_cleaned!$O:$O,A1774,pg_transaction_cleaned!$F:$F,"REFUND")</f>
        <v>0</v>
      </c>
      <c r="M1774" s="39">
        <f>SUMIFS(pg_transaction_cleaned!$H:$H,pg_transaction_cleaned!$O:$O,A1774,pg_transaction_cleaned!$F:$F,"REFUND")</f>
        <v>0</v>
      </c>
      <c r="N1774" s="23" t="str">
        <f t="shared" si="110"/>
        <v>OK</v>
      </c>
      <c r="O1774" s="24">
        <f t="shared" si="111"/>
        <v>0</v>
      </c>
    </row>
    <row r="1775" spans="1:15" ht="15" customHeight="1" x14ac:dyDescent="0.3">
      <c r="A1775" s="23" t="s">
        <v>4036</v>
      </c>
      <c r="B1775" s="38">
        <v>46273</v>
      </c>
      <c r="C1775" s="23" t="s">
        <v>4037</v>
      </c>
      <c r="D1775" s="23" t="s">
        <v>87</v>
      </c>
      <c r="E1775" s="23" t="s">
        <v>75</v>
      </c>
      <c r="F1775" s="23" t="s">
        <v>277</v>
      </c>
      <c r="G1775" s="23" t="s">
        <v>250</v>
      </c>
      <c r="H1775" s="39">
        <f t="shared" si="108"/>
        <v>9497</v>
      </c>
      <c r="I1775" s="23" t="str">
        <f t="shared" si="109"/>
        <v>Mumbai</v>
      </c>
      <c r="J1775" s="23">
        <f>COUNTIFS(pg_transaction_cleaned!$O:$O,A1775,pg_transaction_cleaned!$F:$F,"CAPTURE")</f>
        <v>1</v>
      </c>
      <c r="K1775" s="39">
        <f>SUMIFS(pg_transaction_cleaned!$H:$H,pg_transaction_cleaned!$O:$O,A1775,pg_transaction_cleaned!$F:$F,"CAPTURE")</f>
        <v>9497</v>
      </c>
      <c r="L1775" s="23">
        <f>COUNTIFS(pg_transaction_cleaned!$O:$O,A1775,pg_transaction_cleaned!$F:$F,"REFUND")</f>
        <v>0</v>
      </c>
      <c r="M1775" s="39">
        <f>SUMIFS(pg_transaction_cleaned!$H:$H,pg_transaction_cleaned!$O:$O,A1775,pg_transaction_cleaned!$F:$F,"REFUND")</f>
        <v>0</v>
      </c>
      <c r="N1775" s="23" t="str">
        <f t="shared" si="110"/>
        <v>OK</v>
      </c>
      <c r="O1775" s="24">
        <f t="shared" si="111"/>
        <v>0</v>
      </c>
    </row>
    <row r="1776" spans="1:15" ht="15" customHeight="1" x14ac:dyDescent="0.3">
      <c r="A1776" s="23" t="s">
        <v>4038</v>
      </c>
      <c r="B1776" s="38">
        <v>46274</v>
      </c>
      <c r="C1776" s="23" t="s">
        <v>4039</v>
      </c>
      <c r="D1776" s="23" t="s">
        <v>87</v>
      </c>
      <c r="E1776" s="23" t="s">
        <v>81</v>
      </c>
      <c r="F1776" s="23" t="s">
        <v>271</v>
      </c>
      <c r="G1776" s="23" t="s">
        <v>250</v>
      </c>
      <c r="H1776" s="39">
        <f t="shared" si="108"/>
        <v>2499</v>
      </c>
      <c r="I1776" s="23" t="str">
        <f t="shared" si="109"/>
        <v>Mumbai</v>
      </c>
      <c r="J1776" s="23">
        <f>COUNTIFS(pg_transaction_cleaned!$O:$O,A1776,pg_transaction_cleaned!$F:$F,"CAPTURE")</f>
        <v>1</v>
      </c>
      <c r="K1776" s="39">
        <f>SUMIFS(pg_transaction_cleaned!$H:$H,pg_transaction_cleaned!$O:$O,A1776,pg_transaction_cleaned!$F:$F,"CAPTURE")</f>
        <v>2499</v>
      </c>
      <c r="L1776" s="23">
        <f>COUNTIFS(pg_transaction_cleaned!$O:$O,A1776,pg_transaction_cleaned!$F:$F,"REFUND")</f>
        <v>0</v>
      </c>
      <c r="M1776" s="39">
        <f>SUMIFS(pg_transaction_cleaned!$H:$H,pg_transaction_cleaned!$O:$O,A1776,pg_transaction_cleaned!$F:$F,"REFUND")</f>
        <v>0</v>
      </c>
      <c r="N1776" s="23" t="str">
        <f t="shared" si="110"/>
        <v>OK</v>
      </c>
      <c r="O1776" s="24">
        <f t="shared" si="111"/>
        <v>0</v>
      </c>
    </row>
    <row r="1777" spans="1:15" ht="15" customHeight="1" x14ac:dyDescent="0.3">
      <c r="A1777" s="23" t="s">
        <v>4040</v>
      </c>
      <c r="B1777" s="38">
        <v>46274</v>
      </c>
      <c r="C1777" s="23" t="s">
        <v>4041</v>
      </c>
      <c r="D1777" s="23" t="s">
        <v>87</v>
      </c>
      <c r="E1777" s="23" t="s">
        <v>75</v>
      </c>
      <c r="F1777" s="23" t="s">
        <v>553</v>
      </c>
      <c r="G1777" s="23" t="s">
        <v>250</v>
      </c>
      <c r="H1777" s="39">
        <f t="shared" si="108"/>
        <v>2798</v>
      </c>
      <c r="I1777" s="23" t="str">
        <f t="shared" si="109"/>
        <v>Mumbai</v>
      </c>
      <c r="J1777" s="23">
        <f>COUNTIFS(pg_transaction_cleaned!$O:$O,A1777,pg_transaction_cleaned!$F:$F,"CAPTURE")</f>
        <v>1</v>
      </c>
      <c r="K1777" s="39">
        <f>SUMIFS(pg_transaction_cleaned!$H:$H,pg_transaction_cleaned!$O:$O,A1777,pg_transaction_cleaned!$F:$F,"CAPTURE")</f>
        <v>2798</v>
      </c>
      <c r="L1777" s="23">
        <f>COUNTIFS(pg_transaction_cleaned!$O:$O,A1777,pg_transaction_cleaned!$F:$F,"REFUND")</f>
        <v>0</v>
      </c>
      <c r="M1777" s="39">
        <f>SUMIFS(pg_transaction_cleaned!$H:$H,pg_transaction_cleaned!$O:$O,A1777,pg_transaction_cleaned!$F:$F,"REFUND")</f>
        <v>0</v>
      </c>
      <c r="N1777" s="23" t="str">
        <f t="shared" si="110"/>
        <v>OK</v>
      </c>
      <c r="O1777" s="24">
        <f t="shared" si="111"/>
        <v>0</v>
      </c>
    </row>
    <row r="1778" spans="1:15" ht="15" customHeight="1" x14ac:dyDescent="0.3">
      <c r="A1778" s="23" t="s">
        <v>4042</v>
      </c>
      <c r="B1778" s="38">
        <v>46273</v>
      </c>
      <c r="C1778" s="23" t="s">
        <v>4043</v>
      </c>
      <c r="D1778" s="23" t="s">
        <v>92</v>
      </c>
      <c r="E1778" s="23" t="s">
        <v>75</v>
      </c>
      <c r="F1778" s="23" t="s">
        <v>268</v>
      </c>
      <c r="G1778" s="23" t="s">
        <v>250</v>
      </c>
      <c r="H1778" s="39">
        <f t="shared" si="108"/>
        <v>1299</v>
      </c>
      <c r="I1778" s="23" t="str">
        <f t="shared" si="109"/>
        <v>Hyderabad</v>
      </c>
      <c r="J1778" s="23">
        <f>COUNTIFS(pg_transaction_cleaned!$O:$O,A1778,pg_transaction_cleaned!$F:$F,"CAPTURE")</f>
        <v>1</v>
      </c>
      <c r="K1778" s="39">
        <f>SUMIFS(pg_transaction_cleaned!$H:$H,pg_transaction_cleaned!$O:$O,A1778,pg_transaction_cleaned!$F:$F,"CAPTURE")</f>
        <v>1299</v>
      </c>
      <c r="L1778" s="23">
        <f>COUNTIFS(pg_transaction_cleaned!$O:$O,A1778,pg_transaction_cleaned!$F:$F,"REFUND")</f>
        <v>0</v>
      </c>
      <c r="M1778" s="39">
        <f>SUMIFS(pg_transaction_cleaned!$H:$H,pg_transaction_cleaned!$O:$O,A1778,pg_transaction_cleaned!$F:$F,"REFUND")</f>
        <v>0</v>
      </c>
      <c r="N1778" s="23" t="str">
        <f t="shared" si="110"/>
        <v>OK</v>
      </c>
      <c r="O1778" s="24">
        <f t="shared" si="111"/>
        <v>0</v>
      </c>
    </row>
    <row r="1779" spans="1:15" ht="15" customHeight="1" x14ac:dyDescent="0.3">
      <c r="A1779" s="23" t="s">
        <v>4044</v>
      </c>
      <c r="B1779" s="38">
        <v>46267</v>
      </c>
      <c r="C1779" s="23" t="s">
        <v>4045</v>
      </c>
      <c r="D1779" s="23" t="s">
        <v>92</v>
      </c>
      <c r="E1779" s="23" t="s">
        <v>77</v>
      </c>
      <c r="F1779" s="23" t="s">
        <v>499</v>
      </c>
      <c r="G1779" s="23" t="s">
        <v>318</v>
      </c>
      <c r="H1779" s="39">
        <f t="shared" si="108"/>
        <v>5998</v>
      </c>
      <c r="I1779" s="23" t="str">
        <f t="shared" si="109"/>
        <v>Hyderabad</v>
      </c>
      <c r="J1779" s="23">
        <f>COUNTIFS(pg_transaction_cleaned!$O:$O,A1779,pg_transaction_cleaned!$F:$F,"CAPTURE")</f>
        <v>0</v>
      </c>
      <c r="K1779" s="39">
        <f>SUMIFS(pg_transaction_cleaned!$H:$H,pg_transaction_cleaned!$O:$O,A1779,pg_transaction_cleaned!$F:$F,"CAPTURE")</f>
        <v>0</v>
      </c>
      <c r="L1779" s="23">
        <f>COUNTIFS(pg_transaction_cleaned!$O:$O,A1779,pg_transaction_cleaned!$F:$F,"REFUND")</f>
        <v>0</v>
      </c>
      <c r="M1779" s="39">
        <f>SUMIFS(pg_transaction_cleaned!$H:$H,pg_transaction_cleaned!$O:$O,A1779,pg_transaction_cleaned!$F:$F,"REFUND")</f>
        <v>0</v>
      </c>
      <c r="N1779" s="23" t="str">
        <f t="shared" si="110"/>
        <v>OK</v>
      </c>
      <c r="O1779" s="24">
        <f t="shared" si="111"/>
        <v>0</v>
      </c>
    </row>
    <row r="1780" spans="1:15" ht="15" customHeight="1" x14ac:dyDescent="0.3">
      <c r="A1780" s="23" t="s">
        <v>4046</v>
      </c>
      <c r="B1780" s="38">
        <v>46291</v>
      </c>
      <c r="C1780" s="23" t="s">
        <v>4047</v>
      </c>
      <c r="D1780" s="23" t="s">
        <v>93</v>
      </c>
      <c r="E1780" s="23" t="s">
        <v>79</v>
      </c>
      <c r="F1780" s="23" t="s">
        <v>598</v>
      </c>
      <c r="G1780" s="23" t="s">
        <v>250</v>
      </c>
      <c r="H1780" s="39">
        <f t="shared" si="108"/>
        <v>5598</v>
      </c>
      <c r="I1780" s="23" t="str">
        <f t="shared" si="109"/>
        <v>Kolkata</v>
      </c>
      <c r="J1780" s="23">
        <f>COUNTIFS(pg_transaction_cleaned!$O:$O,A1780,pg_transaction_cleaned!$F:$F,"CAPTURE")</f>
        <v>1</v>
      </c>
      <c r="K1780" s="39">
        <f>SUMIFS(pg_transaction_cleaned!$H:$H,pg_transaction_cleaned!$O:$O,A1780,pg_transaction_cleaned!$F:$F,"CAPTURE")</f>
        <v>5598</v>
      </c>
      <c r="L1780" s="23">
        <f>COUNTIFS(pg_transaction_cleaned!$O:$O,A1780,pg_transaction_cleaned!$F:$F,"REFUND")</f>
        <v>0</v>
      </c>
      <c r="M1780" s="39">
        <f>SUMIFS(pg_transaction_cleaned!$H:$H,pg_transaction_cleaned!$O:$O,A1780,pg_transaction_cleaned!$F:$F,"REFUND")</f>
        <v>0</v>
      </c>
      <c r="N1780" s="23" t="str">
        <f t="shared" si="110"/>
        <v>OK</v>
      </c>
      <c r="O1780" s="24">
        <f t="shared" si="111"/>
        <v>0</v>
      </c>
    </row>
    <row r="1781" spans="1:15" ht="15" customHeight="1" x14ac:dyDescent="0.3">
      <c r="A1781" s="23" t="s">
        <v>4048</v>
      </c>
      <c r="B1781" s="38">
        <v>46293</v>
      </c>
      <c r="C1781" s="23" t="s">
        <v>4049</v>
      </c>
      <c r="D1781" s="23" t="s">
        <v>89</v>
      </c>
      <c r="E1781" s="23" t="s">
        <v>79</v>
      </c>
      <c r="F1781" s="23" t="s">
        <v>612</v>
      </c>
      <c r="G1781" s="23" t="s">
        <v>365</v>
      </c>
      <c r="H1781" s="39">
        <f t="shared" si="108"/>
        <v>8498</v>
      </c>
      <c r="I1781" s="23" t="str">
        <f t="shared" si="109"/>
        <v>Jaipur</v>
      </c>
      <c r="J1781" s="23">
        <f>COUNTIFS(pg_transaction_cleaned!$O:$O,A1781,pg_transaction_cleaned!$F:$F,"CAPTURE")</f>
        <v>0</v>
      </c>
      <c r="K1781" s="39">
        <f>SUMIFS(pg_transaction_cleaned!$H:$H,pg_transaction_cleaned!$O:$O,A1781,pg_transaction_cleaned!$F:$F,"CAPTURE")</f>
        <v>0</v>
      </c>
      <c r="L1781" s="23">
        <f>COUNTIFS(pg_transaction_cleaned!$O:$O,A1781,pg_transaction_cleaned!$F:$F,"REFUND")</f>
        <v>0</v>
      </c>
      <c r="M1781" s="39">
        <f>SUMIFS(pg_transaction_cleaned!$H:$H,pg_transaction_cleaned!$O:$O,A1781,pg_transaction_cleaned!$F:$F,"REFUND")</f>
        <v>0</v>
      </c>
      <c r="N1781" s="23" t="str">
        <f t="shared" si="110"/>
        <v>OK</v>
      </c>
      <c r="O1781" s="24">
        <f t="shared" si="111"/>
        <v>0</v>
      </c>
    </row>
    <row r="1782" spans="1:15" ht="15" customHeight="1" x14ac:dyDescent="0.3">
      <c r="A1782" s="23" t="s">
        <v>4050</v>
      </c>
      <c r="B1782" s="38">
        <v>46278</v>
      </c>
      <c r="C1782" s="23" t="s">
        <v>2546</v>
      </c>
      <c r="D1782" s="23" t="s">
        <v>88</v>
      </c>
      <c r="E1782" s="23" t="s">
        <v>75</v>
      </c>
      <c r="F1782" s="23" t="s">
        <v>1635</v>
      </c>
      <c r="G1782" s="23" t="s">
        <v>301</v>
      </c>
      <c r="H1782" s="39">
        <f t="shared" si="108"/>
        <v>11797</v>
      </c>
      <c r="I1782" s="23" t="str">
        <f t="shared" si="109"/>
        <v>Lucknow</v>
      </c>
      <c r="J1782" s="23">
        <f>COUNTIFS(pg_transaction_cleaned!$O:$O,A1782,pg_transaction_cleaned!$F:$F,"CAPTURE")</f>
        <v>1</v>
      </c>
      <c r="K1782" s="39">
        <f>SUMIFS(pg_transaction_cleaned!$H:$H,pg_transaction_cleaned!$O:$O,A1782,pg_transaction_cleaned!$F:$F,"CAPTURE")</f>
        <v>11797</v>
      </c>
      <c r="L1782" s="23">
        <f>COUNTIFS(pg_transaction_cleaned!$O:$O,A1782,pg_transaction_cleaned!$F:$F,"REFUND")</f>
        <v>1</v>
      </c>
      <c r="M1782" s="39">
        <f>SUMIFS(pg_transaction_cleaned!$H:$H,pg_transaction_cleaned!$O:$O,A1782,pg_transaction_cleaned!$F:$F,"REFUND")</f>
        <v>11797</v>
      </c>
      <c r="N1782" s="23" t="str">
        <f t="shared" si="110"/>
        <v>OK</v>
      </c>
      <c r="O1782" s="24">
        <f t="shared" si="111"/>
        <v>0</v>
      </c>
    </row>
    <row r="1783" spans="1:15" ht="15" customHeight="1" x14ac:dyDescent="0.3">
      <c r="A1783" s="23" t="s">
        <v>4051</v>
      </c>
      <c r="B1783" s="38">
        <v>46289</v>
      </c>
      <c r="C1783" s="23" t="s">
        <v>4052</v>
      </c>
      <c r="D1783" s="23" t="s">
        <v>95</v>
      </c>
      <c r="E1783" s="23" t="s">
        <v>77</v>
      </c>
      <c r="F1783" s="23" t="s">
        <v>426</v>
      </c>
      <c r="G1783" s="23" t="s">
        <v>250</v>
      </c>
      <c r="H1783" s="39">
        <f t="shared" si="108"/>
        <v>6798</v>
      </c>
      <c r="I1783" s="23" t="str">
        <f t="shared" si="109"/>
        <v>Bengaluru</v>
      </c>
      <c r="J1783" s="23">
        <f>COUNTIFS(pg_transaction_cleaned!$O:$O,A1783,pg_transaction_cleaned!$F:$F,"CAPTURE")</f>
        <v>1</v>
      </c>
      <c r="K1783" s="39">
        <f>SUMIFS(pg_transaction_cleaned!$H:$H,pg_transaction_cleaned!$O:$O,A1783,pg_transaction_cleaned!$F:$F,"CAPTURE")</f>
        <v>6798</v>
      </c>
      <c r="L1783" s="23">
        <f>COUNTIFS(pg_transaction_cleaned!$O:$O,A1783,pg_transaction_cleaned!$F:$F,"REFUND")</f>
        <v>0</v>
      </c>
      <c r="M1783" s="39">
        <f>SUMIFS(pg_transaction_cleaned!$H:$H,pg_transaction_cleaned!$O:$O,A1783,pg_transaction_cleaned!$F:$F,"REFUND")</f>
        <v>0</v>
      </c>
      <c r="N1783" s="23" t="str">
        <f t="shared" si="110"/>
        <v>OK</v>
      </c>
      <c r="O1783" s="24">
        <f t="shared" si="111"/>
        <v>0</v>
      </c>
    </row>
    <row r="1784" spans="1:15" ht="15" customHeight="1" x14ac:dyDescent="0.3">
      <c r="A1784" s="23" t="s">
        <v>4053</v>
      </c>
      <c r="B1784" s="38">
        <v>46270</v>
      </c>
      <c r="C1784" s="23" t="s">
        <v>4054</v>
      </c>
      <c r="D1784" s="23" t="s">
        <v>95</v>
      </c>
      <c r="E1784" s="23" t="s">
        <v>77</v>
      </c>
      <c r="F1784" s="23" t="s">
        <v>475</v>
      </c>
      <c r="G1784" s="23" t="s">
        <v>250</v>
      </c>
      <c r="H1784" s="39">
        <f t="shared" si="108"/>
        <v>799</v>
      </c>
      <c r="I1784" s="23" t="str">
        <f t="shared" si="109"/>
        <v>Bengaluru</v>
      </c>
      <c r="J1784" s="23">
        <f>COUNTIFS(pg_transaction_cleaned!$O:$O,A1784,pg_transaction_cleaned!$F:$F,"CAPTURE")</f>
        <v>1</v>
      </c>
      <c r="K1784" s="39">
        <f>SUMIFS(pg_transaction_cleaned!$H:$H,pg_transaction_cleaned!$O:$O,A1784,pg_transaction_cleaned!$F:$F,"CAPTURE")</f>
        <v>799</v>
      </c>
      <c r="L1784" s="23">
        <f>COUNTIFS(pg_transaction_cleaned!$O:$O,A1784,pg_transaction_cleaned!$F:$F,"REFUND")</f>
        <v>0</v>
      </c>
      <c r="M1784" s="39">
        <f>SUMIFS(pg_transaction_cleaned!$H:$H,pg_transaction_cleaned!$O:$O,A1784,pg_transaction_cleaned!$F:$F,"REFUND")</f>
        <v>0</v>
      </c>
      <c r="N1784" s="23" t="str">
        <f t="shared" si="110"/>
        <v>OK</v>
      </c>
      <c r="O1784" s="24">
        <f t="shared" si="111"/>
        <v>0</v>
      </c>
    </row>
    <row r="1785" spans="1:15" ht="15" customHeight="1" x14ac:dyDescent="0.3">
      <c r="A1785" s="23" t="s">
        <v>4055</v>
      </c>
      <c r="B1785" s="38">
        <v>46290</v>
      </c>
      <c r="C1785" s="23" t="s">
        <v>4056</v>
      </c>
      <c r="D1785" s="23" t="s">
        <v>94</v>
      </c>
      <c r="E1785" s="23" t="s">
        <v>75</v>
      </c>
      <c r="F1785" s="23" t="s">
        <v>349</v>
      </c>
      <c r="G1785" s="23" t="s">
        <v>250</v>
      </c>
      <c r="H1785" s="39">
        <f t="shared" si="108"/>
        <v>1798</v>
      </c>
      <c r="I1785" s="23" t="str">
        <f t="shared" si="109"/>
        <v>Chennai</v>
      </c>
      <c r="J1785" s="23">
        <f>COUNTIFS(pg_transaction_cleaned!$O:$O,A1785,pg_transaction_cleaned!$F:$F,"CAPTURE")</f>
        <v>1</v>
      </c>
      <c r="K1785" s="39">
        <f>SUMIFS(pg_transaction_cleaned!$H:$H,pg_transaction_cleaned!$O:$O,A1785,pg_transaction_cleaned!$F:$F,"CAPTURE")</f>
        <v>1798</v>
      </c>
      <c r="L1785" s="23">
        <f>COUNTIFS(pg_transaction_cleaned!$O:$O,A1785,pg_transaction_cleaned!$F:$F,"REFUND")</f>
        <v>0</v>
      </c>
      <c r="M1785" s="39">
        <f>SUMIFS(pg_transaction_cleaned!$H:$H,pg_transaction_cleaned!$O:$O,A1785,pg_transaction_cleaned!$F:$F,"REFUND")</f>
        <v>0</v>
      </c>
      <c r="N1785" s="23" t="str">
        <f t="shared" si="110"/>
        <v>OK</v>
      </c>
      <c r="O1785" s="24">
        <f t="shared" si="111"/>
        <v>0</v>
      </c>
    </row>
    <row r="1786" spans="1:15" ht="15" customHeight="1" x14ac:dyDescent="0.3">
      <c r="A1786" s="23" t="s">
        <v>4057</v>
      </c>
      <c r="B1786" s="38">
        <v>46274</v>
      </c>
      <c r="C1786" s="23" t="s">
        <v>4058</v>
      </c>
      <c r="D1786" s="23" t="s">
        <v>92</v>
      </c>
      <c r="E1786" s="23" t="s">
        <v>79</v>
      </c>
      <c r="F1786" s="23" t="s">
        <v>685</v>
      </c>
      <c r="G1786" s="23" t="s">
        <v>250</v>
      </c>
      <c r="H1786" s="39">
        <f t="shared" si="108"/>
        <v>8797</v>
      </c>
      <c r="I1786" s="23" t="str">
        <f t="shared" si="109"/>
        <v>Hyderabad</v>
      </c>
      <c r="J1786" s="23">
        <f>COUNTIFS(pg_transaction_cleaned!$O:$O,A1786,pg_transaction_cleaned!$F:$F,"CAPTURE")</f>
        <v>1</v>
      </c>
      <c r="K1786" s="39">
        <f>SUMIFS(pg_transaction_cleaned!$H:$H,pg_transaction_cleaned!$O:$O,A1786,pg_transaction_cleaned!$F:$F,"CAPTURE")</f>
        <v>8797</v>
      </c>
      <c r="L1786" s="23">
        <f>COUNTIFS(pg_transaction_cleaned!$O:$O,A1786,pg_transaction_cleaned!$F:$F,"REFUND")</f>
        <v>0</v>
      </c>
      <c r="M1786" s="39">
        <f>SUMIFS(pg_transaction_cleaned!$H:$H,pg_transaction_cleaned!$O:$O,A1786,pg_transaction_cleaned!$F:$F,"REFUND")</f>
        <v>0</v>
      </c>
      <c r="N1786" s="23" t="str">
        <f t="shared" si="110"/>
        <v>OK</v>
      </c>
      <c r="O1786" s="24">
        <f t="shared" si="111"/>
        <v>0</v>
      </c>
    </row>
    <row r="1787" spans="1:15" ht="15" customHeight="1" x14ac:dyDescent="0.3">
      <c r="A1787" s="23" t="s">
        <v>4059</v>
      </c>
      <c r="B1787" s="38">
        <v>46284</v>
      </c>
      <c r="C1787" s="23" t="s">
        <v>4060</v>
      </c>
      <c r="D1787" s="23" t="s">
        <v>90</v>
      </c>
      <c r="E1787" s="23" t="s">
        <v>75</v>
      </c>
      <c r="F1787" s="23" t="s">
        <v>1552</v>
      </c>
      <c r="G1787" s="23" t="s">
        <v>250</v>
      </c>
      <c r="H1787" s="39">
        <f t="shared" si="108"/>
        <v>9797</v>
      </c>
      <c r="I1787" s="23" t="str">
        <f t="shared" si="109"/>
        <v>Ahmedabad</v>
      </c>
      <c r="J1787" s="23">
        <f>COUNTIFS(pg_transaction_cleaned!$O:$O,A1787,pg_transaction_cleaned!$F:$F,"CAPTURE")</f>
        <v>1</v>
      </c>
      <c r="K1787" s="39">
        <f>SUMIFS(pg_transaction_cleaned!$H:$H,pg_transaction_cleaned!$O:$O,A1787,pg_transaction_cleaned!$F:$F,"CAPTURE")</f>
        <v>9797</v>
      </c>
      <c r="L1787" s="23">
        <f>COUNTIFS(pg_transaction_cleaned!$O:$O,A1787,pg_transaction_cleaned!$F:$F,"REFUND")</f>
        <v>0</v>
      </c>
      <c r="M1787" s="39">
        <f>SUMIFS(pg_transaction_cleaned!$H:$H,pg_transaction_cleaned!$O:$O,A1787,pg_transaction_cleaned!$F:$F,"REFUND")</f>
        <v>0</v>
      </c>
      <c r="N1787" s="23" t="str">
        <f t="shared" si="110"/>
        <v>OK</v>
      </c>
      <c r="O1787" s="24">
        <f t="shared" si="111"/>
        <v>0</v>
      </c>
    </row>
    <row r="1788" spans="1:15" ht="15" customHeight="1" x14ac:dyDescent="0.3">
      <c r="A1788" s="23" t="s">
        <v>4061</v>
      </c>
      <c r="B1788" s="38">
        <v>46266</v>
      </c>
      <c r="C1788" s="23" t="s">
        <v>4062</v>
      </c>
      <c r="D1788" s="23" t="s">
        <v>93</v>
      </c>
      <c r="E1788" s="23" t="s">
        <v>81</v>
      </c>
      <c r="F1788" s="23" t="s">
        <v>582</v>
      </c>
      <c r="G1788" s="23" t="s">
        <v>250</v>
      </c>
      <c r="H1788" s="39">
        <f t="shared" si="108"/>
        <v>1298</v>
      </c>
      <c r="I1788" s="23" t="str">
        <f t="shared" si="109"/>
        <v>Kolkata</v>
      </c>
      <c r="J1788" s="23">
        <f>COUNTIFS(pg_transaction_cleaned!$O:$O,A1788,pg_transaction_cleaned!$F:$F,"CAPTURE")</f>
        <v>1</v>
      </c>
      <c r="K1788" s="39">
        <f>SUMIFS(pg_transaction_cleaned!$H:$H,pg_transaction_cleaned!$O:$O,A1788,pg_transaction_cleaned!$F:$F,"CAPTURE")</f>
        <v>1298</v>
      </c>
      <c r="L1788" s="23">
        <f>COUNTIFS(pg_transaction_cleaned!$O:$O,A1788,pg_transaction_cleaned!$F:$F,"REFUND")</f>
        <v>0</v>
      </c>
      <c r="M1788" s="39">
        <f>SUMIFS(pg_transaction_cleaned!$H:$H,pg_transaction_cleaned!$O:$O,A1788,pg_transaction_cleaned!$F:$F,"REFUND")</f>
        <v>0</v>
      </c>
      <c r="N1788" s="23" t="str">
        <f t="shared" si="110"/>
        <v>OK</v>
      </c>
      <c r="O1788" s="24">
        <f t="shared" si="111"/>
        <v>0</v>
      </c>
    </row>
    <row r="1789" spans="1:15" ht="15" customHeight="1" x14ac:dyDescent="0.3">
      <c r="A1789" s="23" t="s">
        <v>4063</v>
      </c>
      <c r="B1789" s="38">
        <v>46267</v>
      </c>
      <c r="C1789" s="23" t="s">
        <v>4064</v>
      </c>
      <c r="D1789" s="23" t="s">
        <v>90</v>
      </c>
      <c r="E1789" s="23" t="s">
        <v>79</v>
      </c>
      <c r="F1789" s="23" t="s">
        <v>1769</v>
      </c>
      <c r="G1789" s="23" t="s">
        <v>365</v>
      </c>
      <c r="H1789" s="39">
        <f t="shared" si="108"/>
        <v>1148</v>
      </c>
      <c r="I1789" s="23" t="str">
        <f t="shared" si="109"/>
        <v>Ahmedabad</v>
      </c>
      <c r="J1789" s="23">
        <f>COUNTIFS(pg_transaction_cleaned!$O:$O,A1789,pg_transaction_cleaned!$F:$F,"CAPTURE")</f>
        <v>0</v>
      </c>
      <c r="K1789" s="39">
        <f>SUMIFS(pg_transaction_cleaned!$H:$H,pg_transaction_cleaned!$O:$O,A1789,pg_transaction_cleaned!$F:$F,"CAPTURE")</f>
        <v>0</v>
      </c>
      <c r="L1789" s="23">
        <f>COUNTIFS(pg_transaction_cleaned!$O:$O,A1789,pg_transaction_cleaned!$F:$F,"REFUND")</f>
        <v>0</v>
      </c>
      <c r="M1789" s="39">
        <f>SUMIFS(pg_transaction_cleaned!$H:$H,pg_transaction_cleaned!$O:$O,A1789,pg_transaction_cleaned!$F:$F,"REFUND")</f>
        <v>0</v>
      </c>
      <c r="N1789" s="23" t="str">
        <f t="shared" si="110"/>
        <v>OK</v>
      </c>
      <c r="O1789" s="24">
        <f t="shared" si="111"/>
        <v>0</v>
      </c>
    </row>
    <row r="1790" spans="1:15" ht="15" customHeight="1" x14ac:dyDescent="0.3">
      <c r="A1790" s="23" t="s">
        <v>4065</v>
      </c>
      <c r="B1790" s="38">
        <v>46271</v>
      </c>
      <c r="C1790" s="23" t="s">
        <v>4066</v>
      </c>
      <c r="D1790" s="23" t="s">
        <v>86</v>
      </c>
      <c r="E1790" s="23" t="s">
        <v>75</v>
      </c>
      <c r="F1790" s="23" t="s">
        <v>297</v>
      </c>
      <c r="G1790" s="23" t="s">
        <v>250</v>
      </c>
      <c r="H1790" s="39">
        <f t="shared" si="108"/>
        <v>4999</v>
      </c>
      <c r="I1790" s="23" t="str">
        <f t="shared" si="109"/>
        <v>Delhi</v>
      </c>
      <c r="J1790" s="23">
        <f>COUNTIFS(pg_transaction_cleaned!$O:$O,A1790,pg_transaction_cleaned!$F:$F,"CAPTURE")</f>
        <v>1</v>
      </c>
      <c r="K1790" s="39">
        <f>SUMIFS(pg_transaction_cleaned!$H:$H,pg_transaction_cleaned!$O:$O,A1790,pg_transaction_cleaned!$F:$F,"CAPTURE")</f>
        <v>4999</v>
      </c>
      <c r="L1790" s="23">
        <f>COUNTIFS(pg_transaction_cleaned!$O:$O,A1790,pg_transaction_cleaned!$F:$F,"REFUND")</f>
        <v>0</v>
      </c>
      <c r="M1790" s="39">
        <f>SUMIFS(pg_transaction_cleaned!$H:$H,pg_transaction_cleaned!$O:$O,A1790,pg_transaction_cleaned!$F:$F,"REFUND")</f>
        <v>0</v>
      </c>
      <c r="N1790" s="23" t="str">
        <f t="shared" si="110"/>
        <v>OK</v>
      </c>
      <c r="O1790" s="24">
        <f t="shared" si="111"/>
        <v>0</v>
      </c>
    </row>
    <row r="1791" spans="1:15" ht="15" customHeight="1" x14ac:dyDescent="0.3">
      <c r="A1791" s="23" t="s">
        <v>4067</v>
      </c>
      <c r="B1791" s="38">
        <v>46273</v>
      </c>
      <c r="C1791" s="23" t="s">
        <v>4068</v>
      </c>
      <c r="D1791" s="23" t="s">
        <v>87</v>
      </c>
      <c r="E1791" s="23" t="s">
        <v>75</v>
      </c>
      <c r="F1791" s="23" t="s">
        <v>2178</v>
      </c>
      <c r="G1791" s="23" t="s">
        <v>250</v>
      </c>
      <c r="H1791" s="39">
        <f t="shared" si="108"/>
        <v>8997</v>
      </c>
      <c r="I1791" s="23" t="str">
        <f t="shared" si="109"/>
        <v>Mumbai</v>
      </c>
      <c r="J1791" s="23">
        <f>COUNTIFS(pg_transaction_cleaned!$O:$O,A1791,pg_transaction_cleaned!$F:$F,"CAPTURE")</f>
        <v>1</v>
      </c>
      <c r="K1791" s="39">
        <f>SUMIFS(pg_transaction_cleaned!$H:$H,pg_transaction_cleaned!$O:$O,A1791,pg_transaction_cleaned!$F:$F,"CAPTURE")</f>
        <v>8997</v>
      </c>
      <c r="L1791" s="23">
        <f>COUNTIFS(pg_transaction_cleaned!$O:$O,A1791,pg_transaction_cleaned!$F:$F,"REFUND")</f>
        <v>0</v>
      </c>
      <c r="M1791" s="39">
        <f>SUMIFS(pg_transaction_cleaned!$H:$H,pg_transaction_cleaned!$O:$O,A1791,pg_transaction_cleaned!$F:$F,"REFUND")</f>
        <v>0</v>
      </c>
      <c r="N1791" s="23" t="str">
        <f t="shared" si="110"/>
        <v>OK</v>
      </c>
      <c r="O1791" s="24">
        <f t="shared" si="111"/>
        <v>0</v>
      </c>
    </row>
    <row r="1792" spans="1:15" ht="15" customHeight="1" x14ac:dyDescent="0.3">
      <c r="A1792" s="23" t="s">
        <v>4069</v>
      </c>
      <c r="B1792" s="38">
        <v>46271</v>
      </c>
      <c r="C1792" s="23" t="s">
        <v>4070</v>
      </c>
      <c r="D1792" s="23" t="s">
        <v>87</v>
      </c>
      <c r="E1792" s="23" t="s">
        <v>75</v>
      </c>
      <c r="F1792" s="23" t="s">
        <v>579</v>
      </c>
      <c r="G1792" s="23" t="s">
        <v>250</v>
      </c>
      <c r="H1792" s="39">
        <f t="shared" si="108"/>
        <v>11297</v>
      </c>
      <c r="I1792" s="23" t="str">
        <f t="shared" si="109"/>
        <v>Mumbai</v>
      </c>
      <c r="J1792" s="23">
        <f>COUNTIFS(pg_transaction_cleaned!$O:$O,A1792,pg_transaction_cleaned!$F:$F,"CAPTURE")</f>
        <v>1</v>
      </c>
      <c r="K1792" s="39">
        <f>SUMIFS(pg_transaction_cleaned!$H:$H,pg_transaction_cleaned!$O:$O,A1792,pg_transaction_cleaned!$F:$F,"CAPTURE")</f>
        <v>11297</v>
      </c>
      <c r="L1792" s="23">
        <f>COUNTIFS(pg_transaction_cleaned!$O:$O,A1792,pg_transaction_cleaned!$F:$F,"REFUND")</f>
        <v>0</v>
      </c>
      <c r="M1792" s="39">
        <f>SUMIFS(pg_transaction_cleaned!$H:$H,pg_transaction_cleaned!$O:$O,A1792,pg_transaction_cleaned!$F:$F,"REFUND")</f>
        <v>0</v>
      </c>
      <c r="N1792" s="23" t="str">
        <f t="shared" si="110"/>
        <v>OK</v>
      </c>
      <c r="O1792" s="24">
        <f t="shared" si="111"/>
        <v>0</v>
      </c>
    </row>
    <row r="1793" spans="1:15" ht="15" customHeight="1" x14ac:dyDescent="0.3">
      <c r="A1793" s="23" t="s">
        <v>4071</v>
      </c>
      <c r="B1793" s="38">
        <v>46288</v>
      </c>
      <c r="C1793" s="23" t="s">
        <v>4072</v>
      </c>
      <c r="D1793" s="23" t="s">
        <v>89</v>
      </c>
      <c r="E1793" s="23" t="s">
        <v>81</v>
      </c>
      <c r="F1793" s="23" t="s">
        <v>475</v>
      </c>
      <c r="G1793" s="23" t="s">
        <v>250</v>
      </c>
      <c r="H1793" s="39">
        <f t="shared" si="108"/>
        <v>799</v>
      </c>
      <c r="I1793" s="23" t="str">
        <f t="shared" si="109"/>
        <v>Jaipur</v>
      </c>
      <c r="J1793" s="23">
        <f>COUNTIFS(pg_transaction_cleaned!$O:$O,A1793,pg_transaction_cleaned!$F:$F,"CAPTURE")</f>
        <v>1</v>
      </c>
      <c r="K1793" s="39">
        <f>SUMIFS(pg_transaction_cleaned!$H:$H,pg_transaction_cleaned!$O:$O,A1793,pg_transaction_cleaned!$F:$F,"CAPTURE")</f>
        <v>799</v>
      </c>
      <c r="L1793" s="23">
        <f>COUNTIFS(pg_transaction_cleaned!$O:$O,A1793,pg_transaction_cleaned!$F:$F,"REFUND")</f>
        <v>0</v>
      </c>
      <c r="M1793" s="39">
        <f>SUMIFS(pg_transaction_cleaned!$H:$H,pg_transaction_cleaned!$O:$O,A1793,pg_transaction_cleaned!$F:$F,"REFUND")</f>
        <v>0</v>
      </c>
      <c r="N1793" s="23" t="str">
        <f t="shared" si="110"/>
        <v>OK</v>
      </c>
      <c r="O1793" s="24">
        <f t="shared" si="111"/>
        <v>0</v>
      </c>
    </row>
    <row r="1794" spans="1:15" ht="15" customHeight="1" x14ac:dyDescent="0.3">
      <c r="A1794" s="23" t="s">
        <v>4073</v>
      </c>
      <c r="B1794" s="38">
        <v>46288</v>
      </c>
      <c r="C1794" s="23" t="s">
        <v>4074</v>
      </c>
      <c r="D1794" s="23" t="s">
        <v>90</v>
      </c>
      <c r="E1794" s="23" t="s">
        <v>75</v>
      </c>
      <c r="F1794" s="23" t="s">
        <v>271</v>
      </c>
      <c r="G1794" s="23" t="s">
        <v>250</v>
      </c>
      <c r="H1794" s="39">
        <f t="shared" ref="H1794:H1857" si="112">VALUE(SUBSTITUTE(F1794,",",""))</f>
        <v>2499</v>
      </c>
      <c r="I1794" s="23" t="str">
        <f t="shared" ref="I1794:I1857" si="113">IF(TRIM(D1794)="","Unknown",TRIM(D1794))</f>
        <v>Ahmedabad</v>
      </c>
      <c r="J1794" s="23">
        <f>COUNTIFS(pg_transaction_cleaned!$O:$O,A1794,pg_transaction_cleaned!$F:$F,"CAPTURE")</f>
        <v>1</v>
      </c>
      <c r="K1794" s="39">
        <f>SUMIFS(pg_transaction_cleaned!$H:$H,pg_transaction_cleaned!$O:$O,A1794,pg_transaction_cleaned!$F:$F,"CAPTURE")</f>
        <v>2499</v>
      </c>
      <c r="L1794" s="23">
        <f>COUNTIFS(pg_transaction_cleaned!$O:$O,A1794,pg_transaction_cleaned!$F:$F,"REFUND")</f>
        <v>0</v>
      </c>
      <c r="M1794" s="39">
        <f>SUMIFS(pg_transaction_cleaned!$H:$H,pg_transaction_cleaned!$O:$O,A1794,pg_transaction_cleaned!$F:$F,"REFUND")</f>
        <v>0</v>
      </c>
      <c r="N1794" s="23" t="str">
        <f t="shared" ref="N1794:N1857" si="114">IF(AND(G1794="Paid",J1794=0),"Paid, no payment",IF(AND(OR(G1794="Failed",G1794="Cancelled"),J1794&gt;0),"Payment on failed/cancelled",IF(J1794&gt;1,"Duplicate charge",IF(AND(J1794=1,ROUND(K1794-H1794,2)&lt;&gt;0),"Amount difference",IF(AND(G1794="Refunded",L1794=0),"Refunded, no refund",IF(AND(G1794&lt;&gt;"Refunded",L1794&gt;0),"Refund, order not Refunded",IF(AND(L1794&gt;0,ROUND(M1794-H1794,2)&lt;&gt;0),"Refund amount differs","OK")))))))</f>
        <v>OK</v>
      </c>
      <c r="O1794" s="24">
        <f t="shared" ref="O1794:O1857" si="115">IF(N1794="OK",0,IF(N1794="Paid, no payment",H1794,IF(N1794="Payment on failed/cancelled",K1794,IF(OR(N1794="Duplicate charge",N1794="Amount difference"),K1794-H1794,IF(N1794="Refunded, no refund",H1794,M1794)))))</f>
        <v>0</v>
      </c>
    </row>
    <row r="1795" spans="1:15" ht="15" customHeight="1" x14ac:dyDescent="0.3">
      <c r="A1795" s="23" t="s">
        <v>4075</v>
      </c>
      <c r="B1795" s="38">
        <v>46269</v>
      </c>
      <c r="C1795" s="23" t="s">
        <v>4076</v>
      </c>
      <c r="D1795" s="23" t="s">
        <v>93</v>
      </c>
      <c r="E1795" s="23" t="s">
        <v>79</v>
      </c>
      <c r="F1795" s="23" t="s">
        <v>632</v>
      </c>
      <c r="G1795" s="23" t="s">
        <v>250</v>
      </c>
      <c r="H1795" s="39">
        <f t="shared" si="112"/>
        <v>948</v>
      </c>
      <c r="I1795" s="23" t="str">
        <f t="shared" si="113"/>
        <v>Kolkata</v>
      </c>
      <c r="J1795" s="23">
        <f>COUNTIFS(pg_transaction_cleaned!$O:$O,A1795,pg_transaction_cleaned!$F:$F,"CAPTURE")</f>
        <v>1</v>
      </c>
      <c r="K1795" s="39">
        <f>SUMIFS(pg_transaction_cleaned!$H:$H,pg_transaction_cleaned!$O:$O,A1795,pg_transaction_cleaned!$F:$F,"CAPTURE")</f>
        <v>948</v>
      </c>
      <c r="L1795" s="23">
        <f>COUNTIFS(pg_transaction_cleaned!$O:$O,A1795,pg_transaction_cleaned!$F:$F,"REFUND")</f>
        <v>0</v>
      </c>
      <c r="M1795" s="39">
        <f>SUMIFS(pg_transaction_cleaned!$H:$H,pg_transaction_cleaned!$O:$O,A1795,pg_transaction_cleaned!$F:$F,"REFUND")</f>
        <v>0</v>
      </c>
      <c r="N1795" s="23" t="str">
        <f t="shared" si="114"/>
        <v>OK</v>
      </c>
      <c r="O1795" s="24">
        <f t="shared" si="115"/>
        <v>0</v>
      </c>
    </row>
    <row r="1796" spans="1:15" ht="15" customHeight="1" x14ac:dyDescent="0.3">
      <c r="A1796" s="23" t="s">
        <v>4077</v>
      </c>
      <c r="B1796" s="38">
        <v>46268</v>
      </c>
      <c r="C1796" s="23" t="s">
        <v>4078</v>
      </c>
      <c r="D1796" s="23" t="s">
        <v>94</v>
      </c>
      <c r="E1796" s="23" t="s">
        <v>79</v>
      </c>
      <c r="F1796" s="23" t="s">
        <v>1614</v>
      </c>
      <c r="G1796" s="23" t="s">
        <v>250</v>
      </c>
      <c r="H1796" s="39">
        <f t="shared" si="112"/>
        <v>2597</v>
      </c>
      <c r="I1796" s="23" t="str">
        <f t="shared" si="113"/>
        <v>Chennai</v>
      </c>
      <c r="J1796" s="23">
        <f>COUNTIFS(pg_transaction_cleaned!$O:$O,A1796,pg_transaction_cleaned!$F:$F,"CAPTURE")</f>
        <v>1</v>
      </c>
      <c r="K1796" s="39">
        <f>SUMIFS(pg_transaction_cleaned!$H:$H,pg_transaction_cleaned!$O:$O,A1796,pg_transaction_cleaned!$F:$F,"CAPTURE")</f>
        <v>2597</v>
      </c>
      <c r="L1796" s="23">
        <f>COUNTIFS(pg_transaction_cleaned!$O:$O,A1796,pg_transaction_cleaned!$F:$F,"REFUND")</f>
        <v>0</v>
      </c>
      <c r="M1796" s="39">
        <f>SUMIFS(pg_transaction_cleaned!$H:$H,pg_transaction_cleaned!$O:$O,A1796,pg_transaction_cleaned!$F:$F,"REFUND")</f>
        <v>0</v>
      </c>
      <c r="N1796" s="23" t="str">
        <f t="shared" si="114"/>
        <v>OK</v>
      </c>
      <c r="O1796" s="24">
        <f t="shared" si="115"/>
        <v>0</v>
      </c>
    </row>
    <row r="1797" spans="1:15" ht="15" customHeight="1" x14ac:dyDescent="0.3">
      <c r="A1797" s="23" t="s">
        <v>4079</v>
      </c>
      <c r="B1797" s="38">
        <v>46279</v>
      </c>
      <c r="C1797" s="23" t="s">
        <v>4080</v>
      </c>
      <c r="D1797" s="23" t="s">
        <v>92</v>
      </c>
      <c r="E1797" s="23" t="s">
        <v>75</v>
      </c>
      <c r="F1797" s="23" t="s">
        <v>2364</v>
      </c>
      <c r="G1797" s="23" t="s">
        <v>250</v>
      </c>
      <c r="H1797" s="39">
        <f t="shared" si="112"/>
        <v>3297</v>
      </c>
      <c r="I1797" s="23" t="str">
        <f t="shared" si="113"/>
        <v>Hyderabad</v>
      </c>
      <c r="J1797" s="23">
        <f>COUNTIFS(pg_transaction_cleaned!$O:$O,A1797,pg_transaction_cleaned!$F:$F,"CAPTURE")</f>
        <v>1</v>
      </c>
      <c r="K1797" s="39">
        <f>SUMIFS(pg_transaction_cleaned!$H:$H,pg_transaction_cleaned!$O:$O,A1797,pg_transaction_cleaned!$F:$F,"CAPTURE")</f>
        <v>3297</v>
      </c>
      <c r="L1797" s="23">
        <f>COUNTIFS(pg_transaction_cleaned!$O:$O,A1797,pg_transaction_cleaned!$F:$F,"REFUND")</f>
        <v>0</v>
      </c>
      <c r="M1797" s="39">
        <f>SUMIFS(pg_transaction_cleaned!$H:$H,pg_transaction_cleaned!$O:$O,A1797,pg_transaction_cleaned!$F:$F,"REFUND")</f>
        <v>0</v>
      </c>
      <c r="N1797" s="23" t="str">
        <f t="shared" si="114"/>
        <v>OK</v>
      </c>
      <c r="O1797" s="24">
        <f t="shared" si="115"/>
        <v>0</v>
      </c>
    </row>
    <row r="1798" spans="1:15" ht="15" customHeight="1" x14ac:dyDescent="0.3">
      <c r="A1798" s="23" t="s">
        <v>4081</v>
      </c>
      <c r="B1798" s="38">
        <v>46295</v>
      </c>
      <c r="C1798" s="23" t="s">
        <v>4082</v>
      </c>
      <c r="D1798" s="23"/>
      <c r="E1798" s="23" t="s">
        <v>79</v>
      </c>
      <c r="F1798" s="23" t="s">
        <v>271</v>
      </c>
      <c r="G1798" s="23" t="s">
        <v>250</v>
      </c>
      <c r="H1798" s="39">
        <f t="shared" si="112"/>
        <v>2499</v>
      </c>
      <c r="I1798" s="23" t="str">
        <f t="shared" si="113"/>
        <v>Unknown</v>
      </c>
      <c r="J1798" s="23">
        <f>COUNTIFS(pg_transaction_cleaned!$O:$O,A1798,pg_transaction_cleaned!$F:$F,"CAPTURE")</f>
        <v>1</v>
      </c>
      <c r="K1798" s="39">
        <f>SUMIFS(pg_transaction_cleaned!$H:$H,pg_transaction_cleaned!$O:$O,A1798,pg_transaction_cleaned!$F:$F,"CAPTURE")</f>
        <v>2499</v>
      </c>
      <c r="L1798" s="23">
        <f>COUNTIFS(pg_transaction_cleaned!$O:$O,A1798,pg_transaction_cleaned!$F:$F,"REFUND")</f>
        <v>0</v>
      </c>
      <c r="M1798" s="39">
        <f>SUMIFS(pg_transaction_cleaned!$H:$H,pg_transaction_cleaned!$O:$O,A1798,pg_transaction_cleaned!$F:$F,"REFUND")</f>
        <v>0</v>
      </c>
      <c r="N1798" s="23" t="str">
        <f t="shared" si="114"/>
        <v>OK</v>
      </c>
      <c r="O1798" s="24">
        <f t="shared" si="115"/>
        <v>0</v>
      </c>
    </row>
    <row r="1799" spans="1:15" ht="15" customHeight="1" x14ac:dyDescent="0.3">
      <c r="A1799" s="23" t="s">
        <v>4083</v>
      </c>
      <c r="B1799" s="38">
        <v>46288</v>
      </c>
      <c r="C1799" s="23" t="s">
        <v>4084</v>
      </c>
      <c r="D1799" s="23" t="s">
        <v>88</v>
      </c>
      <c r="E1799" s="23" t="s">
        <v>77</v>
      </c>
      <c r="F1799" s="23" t="s">
        <v>478</v>
      </c>
      <c r="G1799" s="23" t="s">
        <v>250</v>
      </c>
      <c r="H1799" s="39">
        <f t="shared" si="112"/>
        <v>9297</v>
      </c>
      <c r="I1799" s="23" t="str">
        <f t="shared" si="113"/>
        <v>Lucknow</v>
      </c>
      <c r="J1799" s="23">
        <f>COUNTIFS(pg_transaction_cleaned!$O:$O,A1799,pg_transaction_cleaned!$F:$F,"CAPTURE")</f>
        <v>1</v>
      </c>
      <c r="K1799" s="39">
        <f>SUMIFS(pg_transaction_cleaned!$H:$H,pg_transaction_cleaned!$O:$O,A1799,pg_transaction_cleaned!$F:$F,"CAPTURE")</f>
        <v>9297</v>
      </c>
      <c r="L1799" s="23">
        <f>COUNTIFS(pg_transaction_cleaned!$O:$O,A1799,pg_transaction_cleaned!$F:$F,"REFUND")</f>
        <v>0</v>
      </c>
      <c r="M1799" s="39">
        <f>SUMIFS(pg_transaction_cleaned!$H:$H,pg_transaction_cleaned!$O:$O,A1799,pg_transaction_cleaned!$F:$F,"REFUND")</f>
        <v>0</v>
      </c>
      <c r="N1799" s="23" t="str">
        <f t="shared" si="114"/>
        <v>OK</v>
      </c>
      <c r="O1799" s="24">
        <f t="shared" si="115"/>
        <v>0</v>
      </c>
    </row>
    <row r="1800" spans="1:15" ht="15" customHeight="1" x14ac:dyDescent="0.3">
      <c r="A1800" s="23" t="s">
        <v>4085</v>
      </c>
      <c r="B1800" s="38">
        <v>46267</v>
      </c>
      <c r="C1800" s="23" t="s">
        <v>4086</v>
      </c>
      <c r="D1800" s="23" t="s">
        <v>95</v>
      </c>
      <c r="E1800" s="23" t="s">
        <v>79</v>
      </c>
      <c r="F1800" s="23" t="s">
        <v>587</v>
      </c>
      <c r="G1800" s="23" t="s">
        <v>250</v>
      </c>
      <c r="H1800" s="39">
        <f t="shared" si="112"/>
        <v>5297</v>
      </c>
      <c r="I1800" s="23" t="str">
        <f t="shared" si="113"/>
        <v>Bengaluru</v>
      </c>
      <c r="J1800" s="23">
        <f>COUNTIFS(pg_transaction_cleaned!$O:$O,A1800,pg_transaction_cleaned!$F:$F,"CAPTURE")</f>
        <v>1</v>
      </c>
      <c r="K1800" s="39">
        <f>SUMIFS(pg_transaction_cleaned!$H:$H,pg_transaction_cleaned!$O:$O,A1800,pg_transaction_cleaned!$F:$F,"CAPTURE")</f>
        <v>5297</v>
      </c>
      <c r="L1800" s="23">
        <f>COUNTIFS(pg_transaction_cleaned!$O:$O,A1800,pg_transaction_cleaned!$F:$F,"REFUND")</f>
        <v>0</v>
      </c>
      <c r="M1800" s="39">
        <f>SUMIFS(pg_transaction_cleaned!$H:$H,pg_transaction_cleaned!$O:$O,A1800,pg_transaction_cleaned!$F:$F,"REFUND")</f>
        <v>0</v>
      </c>
      <c r="N1800" s="23" t="str">
        <f t="shared" si="114"/>
        <v>OK</v>
      </c>
      <c r="O1800" s="24">
        <f t="shared" si="115"/>
        <v>0</v>
      </c>
    </row>
    <row r="1801" spans="1:15" ht="15" customHeight="1" x14ac:dyDescent="0.3">
      <c r="A1801" s="23" t="s">
        <v>4087</v>
      </c>
      <c r="B1801" s="38">
        <v>46284</v>
      </c>
      <c r="C1801" s="23" t="s">
        <v>4088</v>
      </c>
      <c r="D1801" s="23" t="s">
        <v>89</v>
      </c>
      <c r="E1801" s="23" t="s">
        <v>75</v>
      </c>
      <c r="F1801" s="23" t="s">
        <v>438</v>
      </c>
      <c r="G1801" s="23" t="s">
        <v>250</v>
      </c>
      <c r="H1801" s="39">
        <f t="shared" si="112"/>
        <v>5498</v>
      </c>
      <c r="I1801" s="23" t="str">
        <f t="shared" si="113"/>
        <v>Jaipur</v>
      </c>
      <c r="J1801" s="23">
        <f>COUNTIFS(pg_transaction_cleaned!$O:$O,A1801,pg_transaction_cleaned!$F:$F,"CAPTURE")</f>
        <v>1</v>
      </c>
      <c r="K1801" s="39">
        <f>SUMIFS(pg_transaction_cleaned!$H:$H,pg_transaction_cleaned!$O:$O,A1801,pg_transaction_cleaned!$F:$F,"CAPTURE")</f>
        <v>5498</v>
      </c>
      <c r="L1801" s="23">
        <f>COUNTIFS(pg_transaction_cleaned!$O:$O,A1801,pg_transaction_cleaned!$F:$F,"REFUND")</f>
        <v>0</v>
      </c>
      <c r="M1801" s="39">
        <f>SUMIFS(pg_transaction_cleaned!$H:$H,pg_transaction_cleaned!$O:$O,A1801,pg_transaction_cleaned!$F:$F,"REFUND")</f>
        <v>0</v>
      </c>
      <c r="N1801" s="23" t="str">
        <f t="shared" si="114"/>
        <v>OK</v>
      </c>
      <c r="O1801" s="24">
        <f t="shared" si="115"/>
        <v>0</v>
      </c>
    </row>
    <row r="1802" spans="1:15" ht="15" customHeight="1" x14ac:dyDescent="0.3">
      <c r="A1802" s="23" t="s">
        <v>4089</v>
      </c>
      <c r="B1802" s="38">
        <v>46291</v>
      </c>
      <c r="C1802" s="23" t="s">
        <v>4090</v>
      </c>
      <c r="D1802" s="23" t="s">
        <v>94</v>
      </c>
      <c r="E1802" s="23" t="s">
        <v>75</v>
      </c>
      <c r="F1802" s="23" t="s">
        <v>271</v>
      </c>
      <c r="G1802" s="23" t="s">
        <v>250</v>
      </c>
      <c r="H1802" s="39">
        <f t="shared" si="112"/>
        <v>2499</v>
      </c>
      <c r="I1802" s="23" t="str">
        <f t="shared" si="113"/>
        <v>Chennai</v>
      </c>
      <c r="J1802" s="23">
        <f>COUNTIFS(pg_transaction_cleaned!$O:$O,A1802,pg_transaction_cleaned!$F:$F,"CAPTURE")</f>
        <v>1</v>
      </c>
      <c r="K1802" s="39">
        <f>SUMIFS(pg_transaction_cleaned!$H:$H,pg_transaction_cleaned!$O:$O,A1802,pg_transaction_cleaned!$F:$F,"CAPTURE")</f>
        <v>2499</v>
      </c>
      <c r="L1802" s="23">
        <f>COUNTIFS(pg_transaction_cleaned!$O:$O,A1802,pg_transaction_cleaned!$F:$F,"REFUND")</f>
        <v>0</v>
      </c>
      <c r="M1802" s="39">
        <f>SUMIFS(pg_transaction_cleaned!$H:$H,pg_transaction_cleaned!$O:$O,A1802,pg_transaction_cleaned!$F:$F,"REFUND")</f>
        <v>0</v>
      </c>
      <c r="N1802" s="23" t="str">
        <f t="shared" si="114"/>
        <v>OK</v>
      </c>
      <c r="O1802" s="24">
        <f t="shared" si="115"/>
        <v>0</v>
      </c>
    </row>
    <row r="1803" spans="1:15" ht="15" customHeight="1" x14ac:dyDescent="0.3">
      <c r="A1803" s="23" t="s">
        <v>4091</v>
      </c>
      <c r="B1803" s="38">
        <v>46274</v>
      </c>
      <c r="C1803" s="23" t="s">
        <v>4092</v>
      </c>
      <c r="D1803" s="23" t="s">
        <v>95</v>
      </c>
      <c r="E1803" s="23" t="s">
        <v>77</v>
      </c>
      <c r="F1803" s="23" t="s">
        <v>310</v>
      </c>
      <c r="G1803" s="23" t="s">
        <v>250</v>
      </c>
      <c r="H1803" s="39">
        <f t="shared" si="112"/>
        <v>7999</v>
      </c>
      <c r="I1803" s="23" t="str">
        <f t="shared" si="113"/>
        <v>Bengaluru</v>
      </c>
      <c r="J1803" s="23">
        <f>COUNTIFS(pg_transaction_cleaned!$O:$O,A1803,pg_transaction_cleaned!$F:$F,"CAPTURE")</f>
        <v>1</v>
      </c>
      <c r="K1803" s="39">
        <f>SUMIFS(pg_transaction_cleaned!$H:$H,pg_transaction_cleaned!$O:$O,A1803,pg_transaction_cleaned!$F:$F,"CAPTURE")</f>
        <v>7999</v>
      </c>
      <c r="L1803" s="23">
        <f>COUNTIFS(pg_transaction_cleaned!$O:$O,A1803,pg_transaction_cleaned!$F:$F,"REFUND")</f>
        <v>0</v>
      </c>
      <c r="M1803" s="39">
        <f>SUMIFS(pg_transaction_cleaned!$H:$H,pg_transaction_cleaned!$O:$O,A1803,pg_transaction_cleaned!$F:$F,"REFUND")</f>
        <v>0</v>
      </c>
      <c r="N1803" s="23" t="str">
        <f t="shared" si="114"/>
        <v>OK</v>
      </c>
      <c r="O1803" s="24">
        <f t="shared" si="115"/>
        <v>0</v>
      </c>
    </row>
    <row r="1804" spans="1:15" ht="15" customHeight="1" x14ac:dyDescent="0.3">
      <c r="A1804" s="23" t="s">
        <v>4093</v>
      </c>
      <c r="B1804" s="38">
        <v>46291</v>
      </c>
      <c r="C1804" s="23" t="s">
        <v>4094</v>
      </c>
      <c r="D1804" s="23" t="s">
        <v>95</v>
      </c>
      <c r="E1804" s="23" t="s">
        <v>79</v>
      </c>
      <c r="F1804" s="23" t="s">
        <v>329</v>
      </c>
      <c r="G1804" s="23" t="s">
        <v>250</v>
      </c>
      <c r="H1804" s="39">
        <f t="shared" si="112"/>
        <v>599</v>
      </c>
      <c r="I1804" s="23" t="str">
        <f t="shared" si="113"/>
        <v>Bengaluru</v>
      </c>
      <c r="J1804" s="23">
        <f>COUNTIFS(pg_transaction_cleaned!$O:$O,A1804,pg_transaction_cleaned!$F:$F,"CAPTURE")</f>
        <v>1</v>
      </c>
      <c r="K1804" s="39">
        <f>SUMIFS(pg_transaction_cleaned!$H:$H,pg_transaction_cleaned!$O:$O,A1804,pg_transaction_cleaned!$F:$F,"CAPTURE")</f>
        <v>599</v>
      </c>
      <c r="L1804" s="23">
        <f>COUNTIFS(pg_transaction_cleaned!$O:$O,A1804,pg_transaction_cleaned!$F:$F,"REFUND")</f>
        <v>0</v>
      </c>
      <c r="M1804" s="39">
        <f>SUMIFS(pg_transaction_cleaned!$H:$H,pg_transaction_cleaned!$O:$O,A1804,pg_transaction_cleaned!$F:$F,"REFUND")</f>
        <v>0</v>
      </c>
      <c r="N1804" s="23" t="str">
        <f t="shared" si="114"/>
        <v>OK</v>
      </c>
      <c r="O1804" s="24">
        <f t="shared" si="115"/>
        <v>0</v>
      </c>
    </row>
    <row r="1805" spans="1:15" ht="15" customHeight="1" x14ac:dyDescent="0.3">
      <c r="A1805" s="23" t="s">
        <v>4095</v>
      </c>
      <c r="B1805" s="38">
        <v>46280</v>
      </c>
      <c r="C1805" s="23" t="s">
        <v>4096</v>
      </c>
      <c r="D1805" s="23" t="s">
        <v>90</v>
      </c>
      <c r="E1805" s="23" t="s">
        <v>75</v>
      </c>
      <c r="F1805" s="23" t="s">
        <v>2921</v>
      </c>
      <c r="G1805" s="23" t="s">
        <v>250</v>
      </c>
      <c r="H1805" s="39">
        <f t="shared" si="112"/>
        <v>2647</v>
      </c>
      <c r="I1805" s="23" t="str">
        <f t="shared" si="113"/>
        <v>Ahmedabad</v>
      </c>
      <c r="J1805" s="23">
        <f>COUNTIFS(pg_transaction_cleaned!$O:$O,A1805,pg_transaction_cleaned!$F:$F,"CAPTURE")</f>
        <v>1</v>
      </c>
      <c r="K1805" s="39">
        <f>SUMIFS(pg_transaction_cleaned!$H:$H,pg_transaction_cleaned!$O:$O,A1805,pg_transaction_cleaned!$F:$F,"CAPTURE")</f>
        <v>2647</v>
      </c>
      <c r="L1805" s="23">
        <f>COUNTIFS(pg_transaction_cleaned!$O:$O,A1805,pg_transaction_cleaned!$F:$F,"REFUND")</f>
        <v>0</v>
      </c>
      <c r="M1805" s="39">
        <f>SUMIFS(pg_transaction_cleaned!$H:$H,pg_transaction_cleaned!$O:$O,A1805,pg_transaction_cleaned!$F:$F,"REFUND")</f>
        <v>0</v>
      </c>
      <c r="N1805" s="23" t="str">
        <f t="shared" si="114"/>
        <v>OK</v>
      </c>
      <c r="O1805" s="24">
        <f t="shared" si="115"/>
        <v>0</v>
      </c>
    </row>
    <row r="1806" spans="1:15" ht="15" customHeight="1" x14ac:dyDescent="0.3">
      <c r="A1806" s="23" t="s">
        <v>4097</v>
      </c>
      <c r="B1806" s="38">
        <v>46285</v>
      </c>
      <c r="C1806" s="23" t="s">
        <v>4098</v>
      </c>
      <c r="D1806" s="23" t="s">
        <v>89</v>
      </c>
      <c r="E1806" s="23" t="s">
        <v>75</v>
      </c>
      <c r="F1806" s="23" t="s">
        <v>315</v>
      </c>
      <c r="G1806" s="23" t="s">
        <v>250</v>
      </c>
      <c r="H1806" s="39">
        <f t="shared" si="112"/>
        <v>1499</v>
      </c>
      <c r="I1806" s="23" t="str">
        <f t="shared" si="113"/>
        <v>Jaipur</v>
      </c>
      <c r="J1806" s="23">
        <f>COUNTIFS(pg_transaction_cleaned!$O:$O,A1806,pg_transaction_cleaned!$F:$F,"CAPTURE")</f>
        <v>1</v>
      </c>
      <c r="K1806" s="39">
        <f>SUMIFS(pg_transaction_cleaned!$H:$H,pg_transaction_cleaned!$O:$O,A1806,pg_transaction_cleaned!$F:$F,"CAPTURE")</f>
        <v>1499</v>
      </c>
      <c r="L1806" s="23">
        <f>COUNTIFS(pg_transaction_cleaned!$O:$O,A1806,pg_transaction_cleaned!$F:$F,"REFUND")</f>
        <v>0</v>
      </c>
      <c r="M1806" s="39">
        <f>SUMIFS(pg_transaction_cleaned!$H:$H,pg_transaction_cleaned!$O:$O,A1806,pg_transaction_cleaned!$F:$F,"REFUND")</f>
        <v>0</v>
      </c>
      <c r="N1806" s="23" t="str">
        <f t="shared" si="114"/>
        <v>OK</v>
      </c>
      <c r="O1806" s="24">
        <f t="shared" si="115"/>
        <v>0</v>
      </c>
    </row>
    <row r="1807" spans="1:15" ht="15" customHeight="1" x14ac:dyDescent="0.3">
      <c r="A1807" s="23" t="s">
        <v>4099</v>
      </c>
      <c r="B1807" s="38">
        <v>46273</v>
      </c>
      <c r="C1807" s="23" t="s">
        <v>4100</v>
      </c>
      <c r="D1807" s="23" t="s">
        <v>94</v>
      </c>
      <c r="E1807" s="23" t="s">
        <v>79</v>
      </c>
      <c r="F1807" s="23" t="s">
        <v>438</v>
      </c>
      <c r="G1807" s="23" t="s">
        <v>250</v>
      </c>
      <c r="H1807" s="39">
        <f t="shared" si="112"/>
        <v>5498</v>
      </c>
      <c r="I1807" s="23" t="str">
        <f t="shared" si="113"/>
        <v>Chennai</v>
      </c>
      <c r="J1807" s="23">
        <f>COUNTIFS(pg_transaction_cleaned!$O:$O,A1807,pg_transaction_cleaned!$F:$F,"CAPTURE")</f>
        <v>1</v>
      </c>
      <c r="K1807" s="39">
        <f>SUMIFS(pg_transaction_cleaned!$H:$H,pg_transaction_cleaned!$O:$O,A1807,pg_transaction_cleaned!$F:$F,"CAPTURE")</f>
        <v>5498</v>
      </c>
      <c r="L1807" s="23">
        <f>COUNTIFS(pg_transaction_cleaned!$O:$O,A1807,pg_transaction_cleaned!$F:$F,"REFUND")</f>
        <v>0</v>
      </c>
      <c r="M1807" s="39">
        <f>SUMIFS(pg_transaction_cleaned!$H:$H,pg_transaction_cleaned!$O:$O,A1807,pg_transaction_cleaned!$F:$F,"REFUND")</f>
        <v>0</v>
      </c>
      <c r="N1807" s="23" t="str">
        <f t="shared" si="114"/>
        <v>OK</v>
      </c>
      <c r="O1807" s="24">
        <f t="shared" si="115"/>
        <v>0</v>
      </c>
    </row>
    <row r="1808" spans="1:15" ht="15" customHeight="1" x14ac:dyDescent="0.3">
      <c r="A1808" s="23" t="s">
        <v>4101</v>
      </c>
      <c r="B1808" s="38">
        <v>46276</v>
      </c>
      <c r="C1808" s="23" t="s">
        <v>4102</v>
      </c>
      <c r="D1808" s="23" t="s">
        <v>88</v>
      </c>
      <c r="E1808" s="23" t="s">
        <v>75</v>
      </c>
      <c r="F1808" s="23" t="s">
        <v>274</v>
      </c>
      <c r="G1808" s="23" t="s">
        <v>250</v>
      </c>
      <c r="H1808" s="39">
        <f t="shared" si="112"/>
        <v>349</v>
      </c>
      <c r="I1808" s="23" t="str">
        <f t="shared" si="113"/>
        <v>Lucknow</v>
      </c>
      <c r="J1808" s="23">
        <f>COUNTIFS(pg_transaction_cleaned!$O:$O,A1808,pg_transaction_cleaned!$F:$F,"CAPTURE")</f>
        <v>1</v>
      </c>
      <c r="K1808" s="39">
        <f>SUMIFS(pg_transaction_cleaned!$H:$H,pg_transaction_cleaned!$O:$O,A1808,pg_transaction_cleaned!$F:$F,"CAPTURE")</f>
        <v>349</v>
      </c>
      <c r="L1808" s="23">
        <f>COUNTIFS(pg_transaction_cleaned!$O:$O,A1808,pg_transaction_cleaned!$F:$F,"REFUND")</f>
        <v>0</v>
      </c>
      <c r="M1808" s="39">
        <f>SUMIFS(pg_transaction_cleaned!$H:$H,pg_transaction_cleaned!$O:$O,A1808,pg_transaction_cleaned!$F:$F,"REFUND")</f>
        <v>0</v>
      </c>
      <c r="N1808" s="23" t="str">
        <f t="shared" si="114"/>
        <v>OK</v>
      </c>
      <c r="O1808" s="24">
        <f t="shared" si="115"/>
        <v>0</v>
      </c>
    </row>
    <row r="1809" spans="1:15" ht="15" customHeight="1" x14ac:dyDescent="0.3">
      <c r="A1809" s="23" t="s">
        <v>4103</v>
      </c>
      <c r="B1809" s="38">
        <v>46281</v>
      </c>
      <c r="C1809" s="23" t="s">
        <v>4104</v>
      </c>
      <c r="D1809" s="23" t="s">
        <v>93</v>
      </c>
      <c r="E1809" s="23" t="s">
        <v>75</v>
      </c>
      <c r="F1809" s="23" t="s">
        <v>1329</v>
      </c>
      <c r="G1809" s="23" t="s">
        <v>250</v>
      </c>
      <c r="H1809" s="39">
        <f t="shared" si="112"/>
        <v>6097</v>
      </c>
      <c r="I1809" s="23" t="str">
        <f t="shared" si="113"/>
        <v>Kolkata</v>
      </c>
      <c r="J1809" s="23">
        <f>COUNTIFS(pg_transaction_cleaned!$O:$O,A1809,pg_transaction_cleaned!$F:$F,"CAPTURE")</f>
        <v>1</v>
      </c>
      <c r="K1809" s="39">
        <f>SUMIFS(pg_transaction_cleaned!$H:$H,pg_transaction_cleaned!$O:$O,A1809,pg_transaction_cleaned!$F:$F,"CAPTURE")</f>
        <v>6097</v>
      </c>
      <c r="L1809" s="23">
        <f>COUNTIFS(pg_transaction_cleaned!$O:$O,A1809,pg_transaction_cleaned!$F:$F,"REFUND")</f>
        <v>0</v>
      </c>
      <c r="M1809" s="39">
        <f>SUMIFS(pg_transaction_cleaned!$H:$H,pg_transaction_cleaned!$O:$O,A1809,pg_transaction_cleaned!$F:$F,"REFUND")</f>
        <v>0</v>
      </c>
      <c r="N1809" s="23" t="str">
        <f t="shared" si="114"/>
        <v>OK</v>
      </c>
      <c r="O1809" s="24">
        <f t="shared" si="115"/>
        <v>0</v>
      </c>
    </row>
    <row r="1810" spans="1:15" ht="15" customHeight="1" x14ac:dyDescent="0.3">
      <c r="A1810" s="23" t="s">
        <v>4105</v>
      </c>
      <c r="B1810" s="38">
        <v>46274</v>
      </c>
      <c r="C1810" s="23" t="s">
        <v>4106</v>
      </c>
      <c r="D1810" s="23" t="s">
        <v>93</v>
      </c>
      <c r="E1810" s="23" t="s">
        <v>75</v>
      </c>
      <c r="F1810" s="23" t="s">
        <v>520</v>
      </c>
      <c r="G1810" s="23" t="s">
        <v>250</v>
      </c>
      <c r="H1810" s="39">
        <f t="shared" si="112"/>
        <v>4998</v>
      </c>
      <c r="I1810" s="23" t="str">
        <f t="shared" si="113"/>
        <v>Kolkata</v>
      </c>
      <c r="J1810" s="23">
        <f>COUNTIFS(pg_transaction_cleaned!$O:$O,A1810,pg_transaction_cleaned!$F:$F,"CAPTURE")</f>
        <v>1</v>
      </c>
      <c r="K1810" s="39">
        <f>SUMIFS(pg_transaction_cleaned!$H:$H,pg_transaction_cleaned!$O:$O,A1810,pg_transaction_cleaned!$F:$F,"CAPTURE")</f>
        <v>4998</v>
      </c>
      <c r="L1810" s="23">
        <f>COUNTIFS(pg_transaction_cleaned!$O:$O,A1810,pg_transaction_cleaned!$F:$F,"REFUND")</f>
        <v>0</v>
      </c>
      <c r="M1810" s="39">
        <f>SUMIFS(pg_transaction_cleaned!$H:$H,pg_transaction_cleaned!$O:$O,A1810,pg_transaction_cleaned!$F:$F,"REFUND")</f>
        <v>0</v>
      </c>
      <c r="N1810" s="23" t="str">
        <f t="shared" si="114"/>
        <v>OK</v>
      </c>
      <c r="O1810" s="24">
        <f t="shared" si="115"/>
        <v>0</v>
      </c>
    </row>
    <row r="1811" spans="1:15" ht="15" customHeight="1" x14ac:dyDescent="0.3">
      <c r="A1811" s="23" t="s">
        <v>4107</v>
      </c>
      <c r="B1811" s="38">
        <v>46266</v>
      </c>
      <c r="C1811" s="23" t="s">
        <v>4108</v>
      </c>
      <c r="D1811" s="23" t="s">
        <v>93</v>
      </c>
      <c r="E1811" s="23" t="s">
        <v>75</v>
      </c>
      <c r="F1811" s="23" t="s">
        <v>3863</v>
      </c>
      <c r="G1811" s="23" t="s">
        <v>250</v>
      </c>
      <c r="H1811" s="39">
        <f t="shared" si="112"/>
        <v>1347</v>
      </c>
      <c r="I1811" s="23" t="str">
        <f t="shared" si="113"/>
        <v>Kolkata</v>
      </c>
      <c r="J1811" s="23">
        <f>COUNTIFS(pg_transaction_cleaned!$O:$O,A1811,pg_transaction_cleaned!$F:$F,"CAPTURE")</f>
        <v>1</v>
      </c>
      <c r="K1811" s="39">
        <f>SUMIFS(pg_transaction_cleaned!$H:$H,pg_transaction_cleaned!$O:$O,A1811,pg_transaction_cleaned!$F:$F,"CAPTURE")</f>
        <v>1347</v>
      </c>
      <c r="L1811" s="23">
        <f>COUNTIFS(pg_transaction_cleaned!$O:$O,A1811,pg_transaction_cleaned!$F:$F,"REFUND")</f>
        <v>0</v>
      </c>
      <c r="M1811" s="39">
        <f>SUMIFS(pg_transaction_cleaned!$H:$H,pg_transaction_cleaned!$O:$O,A1811,pg_transaction_cleaned!$F:$F,"REFUND")</f>
        <v>0</v>
      </c>
      <c r="N1811" s="23" t="str">
        <f t="shared" si="114"/>
        <v>OK</v>
      </c>
      <c r="O1811" s="24">
        <f t="shared" si="115"/>
        <v>0</v>
      </c>
    </row>
    <row r="1812" spans="1:15" ht="15" customHeight="1" x14ac:dyDescent="0.3">
      <c r="A1812" s="23" t="s">
        <v>4109</v>
      </c>
      <c r="B1812" s="38">
        <v>46277</v>
      </c>
      <c r="C1812" s="23" t="s">
        <v>4110</v>
      </c>
      <c r="D1812" s="23" t="s">
        <v>91</v>
      </c>
      <c r="E1812" s="23" t="s">
        <v>75</v>
      </c>
      <c r="F1812" s="23" t="s">
        <v>1035</v>
      </c>
      <c r="G1812" s="23" t="s">
        <v>250</v>
      </c>
      <c r="H1812" s="39">
        <f t="shared" si="112"/>
        <v>1299</v>
      </c>
      <c r="I1812" s="23" t="str">
        <f t="shared" si="113"/>
        <v>Pune</v>
      </c>
      <c r="J1812" s="23">
        <f>COUNTIFS(pg_transaction_cleaned!$O:$O,A1812,pg_transaction_cleaned!$F:$F,"CAPTURE")</f>
        <v>1</v>
      </c>
      <c r="K1812" s="39">
        <f>SUMIFS(pg_transaction_cleaned!$H:$H,pg_transaction_cleaned!$O:$O,A1812,pg_transaction_cleaned!$F:$F,"CAPTURE")</f>
        <v>1299</v>
      </c>
      <c r="L1812" s="23">
        <f>COUNTIFS(pg_transaction_cleaned!$O:$O,A1812,pg_transaction_cleaned!$F:$F,"REFUND")</f>
        <v>0</v>
      </c>
      <c r="M1812" s="39">
        <f>SUMIFS(pg_transaction_cleaned!$H:$H,pg_transaction_cleaned!$O:$O,A1812,pg_transaction_cleaned!$F:$F,"REFUND")</f>
        <v>0</v>
      </c>
      <c r="N1812" s="23" t="str">
        <f t="shared" si="114"/>
        <v>OK</v>
      </c>
      <c r="O1812" s="24">
        <f t="shared" si="115"/>
        <v>0</v>
      </c>
    </row>
    <row r="1813" spans="1:15" ht="15" customHeight="1" x14ac:dyDescent="0.3">
      <c r="A1813" s="23" t="s">
        <v>4111</v>
      </c>
      <c r="B1813" s="38">
        <v>46276</v>
      </c>
      <c r="C1813" s="23" t="s">
        <v>4112</v>
      </c>
      <c r="D1813" s="23" t="s">
        <v>91</v>
      </c>
      <c r="E1813" s="23" t="s">
        <v>75</v>
      </c>
      <c r="F1813" s="23" t="s">
        <v>271</v>
      </c>
      <c r="G1813" s="23" t="s">
        <v>250</v>
      </c>
      <c r="H1813" s="39">
        <f t="shared" si="112"/>
        <v>2499</v>
      </c>
      <c r="I1813" s="23" t="str">
        <f t="shared" si="113"/>
        <v>Pune</v>
      </c>
      <c r="J1813" s="23">
        <f>COUNTIFS(pg_transaction_cleaned!$O:$O,A1813,pg_transaction_cleaned!$F:$F,"CAPTURE")</f>
        <v>1</v>
      </c>
      <c r="K1813" s="39">
        <f>SUMIFS(pg_transaction_cleaned!$H:$H,pg_transaction_cleaned!$O:$O,A1813,pg_transaction_cleaned!$F:$F,"CAPTURE")</f>
        <v>2499</v>
      </c>
      <c r="L1813" s="23">
        <f>COUNTIFS(pg_transaction_cleaned!$O:$O,A1813,pg_transaction_cleaned!$F:$F,"REFUND")</f>
        <v>0</v>
      </c>
      <c r="M1813" s="39">
        <f>SUMIFS(pg_transaction_cleaned!$H:$H,pg_transaction_cleaned!$O:$O,A1813,pg_transaction_cleaned!$F:$F,"REFUND")</f>
        <v>0</v>
      </c>
      <c r="N1813" s="23" t="str">
        <f t="shared" si="114"/>
        <v>OK</v>
      </c>
      <c r="O1813" s="24">
        <f t="shared" si="115"/>
        <v>0</v>
      </c>
    </row>
    <row r="1814" spans="1:15" ht="15" customHeight="1" x14ac:dyDescent="0.3">
      <c r="A1814" s="23" t="s">
        <v>4113</v>
      </c>
      <c r="B1814" s="38">
        <v>46289</v>
      </c>
      <c r="C1814" s="23" t="s">
        <v>4114</v>
      </c>
      <c r="D1814" s="23" t="s">
        <v>92</v>
      </c>
      <c r="E1814" s="23" t="s">
        <v>79</v>
      </c>
      <c r="F1814" s="23" t="s">
        <v>315</v>
      </c>
      <c r="G1814" s="23" t="s">
        <v>365</v>
      </c>
      <c r="H1814" s="39">
        <f t="shared" si="112"/>
        <v>1499</v>
      </c>
      <c r="I1814" s="23" t="str">
        <f t="shared" si="113"/>
        <v>Hyderabad</v>
      </c>
      <c r="J1814" s="23">
        <f>COUNTIFS(pg_transaction_cleaned!$O:$O,A1814,pg_transaction_cleaned!$F:$F,"CAPTURE")</f>
        <v>1</v>
      </c>
      <c r="K1814" s="39">
        <f>SUMIFS(pg_transaction_cleaned!$H:$H,pg_transaction_cleaned!$O:$O,A1814,pg_transaction_cleaned!$F:$F,"CAPTURE")</f>
        <v>1499</v>
      </c>
      <c r="L1814" s="23">
        <f>COUNTIFS(pg_transaction_cleaned!$O:$O,A1814,pg_transaction_cleaned!$F:$F,"REFUND")</f>
        <v>0</v>
      </c>
      <c r="M1814" s="39">
        <f>SUMIFS(pg_transaction_cleaned!$H:$H,pg_transaction_cleaned!$O:$O,A1814,pg_transaction_cleaned!$F:$F,"REFUND")</f>
        <v>0</v>
      </c>
      <c r="N1814" s="23" t="str">
        <f t="shared" si="114"/>
        <v>Payment on failed/cancelled</v>
      </c>
      <c r="O1814" s="24">
        <f t="shared" si="115"/>
        <v>1499</v>
      </c>
    </row>
    <row r="1815" spans="1:15" ht="15" customHeight="1" x14ac:dyDescent="0.3">
      <c r="A1815" s="23" t="s">
        <v>4115</v>
      </c>
      <c r="B1815" s="38">
        <v>46290</v>
      </c>
      <c r="C1815" s="23" t="s">
        <v>4116</v>
      </c>
      <c r="D1815" s="23" t="s">
        <v>89</v>
      </c>
      <c r="E1815" s="23" t="s">
        <v>79</v>
      </c>
      <c r="F1815" s="23" t="s">
        <v>337</v>
      </c>
      <c r="G1815" s="23" t="s">
        <v>250</v>
      </c>
      <c r="H1815" s="39">
        <f t="shared" si="112"/>
        <v>3998</v>
      </c>
      <c r="I1815" s="23" t="str">
        <f t="shared" si="113"/>
        <v>Jaipur</v>
      </c>
      <c r="J1815" s="23">
        <f>COUNTIFS(pg_transaction_cleaned!$O:$O,A1815,pg_transaction_cleaned!$F:$F,"CAPTURE")</f>
        <v>1</v>
      </c>
      <c r="K1815" s="39">
        <f>SUMIFS(pg_transaction_cleaned!$H:$H,pg_transaction_cleaned!$O:$O,A1815,pg_transaction_cleaned!$F:$F,"CAPTURE")</f>
        <v>3998</v>
      </c>
      <c r="L1815" s="23">
        <f>COUNTIFS(pg_transaction_cleaned!$O:$O,A1815,pg_transaction_cleaned!$F:$F,"REFUND")</f>
        <v>0</v>
      </c>
      <c r="M1815" s="39">
        <f>SUMIFS(pg_transaction_cleaned!$H:$H,pg_transaction_cleaned!$O:$O,A1815,pg_transaction_cleaned!$F:$F,"REFUND")</f>
        <v>0</v>
      </c>
      <c r="N1815" s="23" t="str">
        <f t="shared" si="114"/>
        <v>OK</v>
      </c>
      <c r="O1815" s="24">
        <f t="shared" si="115"/>
        <v>0</v>
      </c>
    </row>
    <row r="1816" spans="1:15" ht="15" customHeight="1" x14ac:dyDescent="0.3">
      <c r="A1816" s="23" t="s">
        <v>4117</v>
      </c>
      <c r="B1816" s="38">
        <v>46268</v>
      </c>
      <c r="C1816" s="23" t="s">
        <v>4118</v>
      </c>
      <c r="D1816" s="23" t="s">
        <v>90</v>
      </c>
      <c r="E1816" s="23" t="s">
        <v>75</v>
      </c>
      <c r="F1816" s="23" t="s">
        <v>249</v>
      </c>
      <c r="G1816" s="23" t="s">
        <v>250</v>
      </c>
      <c r="H1816" s="39">
        <f t="shared" si="112"/>
        <v>299</v>
      </c>
      <c r="I1816" s="23" t="str">
        <f t="shared" si="113"/>
        <v>Ahmedabad</v>
      </c>
      <c r="J1816" s="23">
        <f>COUNTIFS(pg_transaction_cleaned!$O:$O,A1816,pg_transaction_cleaned!$F:$F,"CAPTURE")</f>
        <v>1</v>
      </c>
      <c r="K1816" s="39">
        <f>SUMIFS(pg_transaction_cleaned!$H:$H,pg_transaction_cleaned!$O:$O,A1816,pg_transaction_cleaned!$F:$F,"CAPTURE")</f>
        <v>299</v>
      </c>
      <c r="L1816" s="23">
        <f>COUNTIFS(pg_transaction_cleaned!$O:$O,A1816,pg_transaction_cleaned!$F:$F,"REFUND")</f>
        <v>0</v>
      </c>
      <c r="M1816" s="39">
        <f>SUMIFS(pg_transaction_cleaned!$H:$H,pg_transaction_cleaned!$O:$O,A1816,pg_transaction_cleaned!$F:$F,"REFUND")</f>
        <v>0</v>
      </c>
      <c r="N1816" s="23" t="str">
        <f t="shared" si="114"/>
        <v>OK</v>
      </c>
      <c r="O1816" s="24">
        <f t="shared" si="115"/>
        <v>0</v>
      </c>
    </row>
    <row r="1817" spans="1:15" ht="15" customHeight="1" x14ac:dyDescent="0.3">
      <c r="A1817" s="23" t="s">
        <v>4119</v>
      </c>
      <c r="B1817" s="38">
        <v>46278</v>
      </c>
      <c r="C1817" s="23" t="s">
        <v>4120</v>
      </c>
      <c r="D1817" s="23" t="s">
        <v>91</v>
      </c>
      <c r="E1817" s="23" t="s">
        <v>79</v>
      </c>
      <c r="F1817" s="23" t="s">
        <v>315</v>
      </c>
      <c r="G1817" s="23" t="s">
        <v>250</v>
      </c>
      <c r="H1817" s="39">
        <f t="shared" si="112"/>
        <v>1499</v>
      </c>
      <c r="I1817" s="23" t="str">
        <f t="shared" si="113"/>
        <v>Pune</v>
      </c>
      <c r="J1817" s="23">
        <f>COUNTIFS(pg_transaction_cleaned!$O:$O,A1817,pg_transaction_cleaned!$F:$F,"CAPTURE")</f>
        <v>1</v>
      </c>
      <c r="K1817" s="39">
        <f>SUMIFS(pg_transaction_cleaned!$H:$H,pg_transaction_cleaned!$O:$O,A1817,pg_transaction_cleaned!$F:$F,"CAPTURE")</f>
        <v>1499</v>
      </c>
      <c r="L1817" s="23">
        <f>COUNTIFS(pg_transaction_cleaned!$O:$O,A1817,pg_transaction_cleaned!$F:$F,"REFUND")</f>
        <v>0</v>
      </c>
      <c r="M1817" s="39">
        <f>SUMIFS(pg_transaction_cleaned!$H:$H,pg_transaction_cleaned!$O:$O,A1817,pg_transaction_cleaned!$F:$F,"REFUND")</f>
        <v>0</v>
      </c>
      <c r="N1817" s="23" t="str">
        <f t="shared" si="114"/>
        <v>OK</v>
      </c>
      <c r="O1817" s="24">
        <f t="shared" si="115"/>
        <v>0</v>
      </c>
    </row>
    <row r="1818" spans="1:15" ht="15" customHeight="1" x14ac:dyDescent="0.3">
      <c r="A1818" s="23" t="s">
        <v>4121</v>
      </c>
      <c r="B1818" s="38">
        <v>46273</v>
      </c>
      <c r="C1818" s="23" t="s">
        <v>4122</v>
      </c>
      <c r="D1818" s="23" t="s">
        <v>88</v>
      </c>
      <c r="E1818" s="23" t="s">
        <v>79</v>
      </c>
      <c r="F1818" s="23" t="s">
        <v>795</v>
      </c>
      <c r="G1818" s="23" t="s">
        <v>250</v>
      </c>
      <c r="H1818" s="39">
        <f t="shared" si="112"/>
        <v>1499</v>
      </c>
      <c r="I1818" s="23" t="str">
        <f t="shared" si="113"/>
        <v>Lucknow</v>
      </c>
      <c r="J1818" s="23">
        <f>COUNTIFS(pg_transaction_cleaned!$O:$O,A1818,pg_transaction_cleaned!$F:$F,"CAPTURE")</f>
        <v>1</v>
      </c>
      <c r="K1818" s="39">
        <f>SUMIFS(pg_transaction_cleaned!$H:$H,pg_transaction_cleaned!$O:$O,A1818,pg_transaction_cleaned!$F:$F,"CAPTURE")</f>
        <v>1499</v>
      </c>
      <c r="L1818" s="23">
        <f>COUNTIFS(pg_transaction_cleaned!$O:$O,A1818,pg_transaction_cleaned!$F:$F,"REFUND")</f>
        <v>0</v>
      </c>
      <c r="M1818" s="39">
        <f>SUMIFS(pg_transaction_cleaned!$H:$H,pg_transaction_cleaned!$O:$O,A1818,pg_transaction_cleaned!$F:$F,"REFUND")</f>
        <v>0</v>
      </c>
      <c r="N1818" s="23" t="str">
        <f t="shared" si="114"/>
        <v>OK</v>
      </c>
      <c r="O1818" s="24">
        <f t="shared" si="115"/>
        <v>0</v>
      </c>
    </row>
    <row r="1819" spans="1:15" ht="15" customHeight="1" x14ac:dyDescent="0.3">
      <c r="A1819" s="23" t="s">
        <v>4123</v>
      </c>
      <c r="B1819" s="38">
        <v>46282</v>
      </c>
      <c r="C1819" s="23" t="s">
        <v>4124</v>
      </c>
      <c r="D1819" s="23" t="s">
        <v>87</v>
      </c>
      <c r="E1819" s="23" t="s">
        <v>79</v>
      </c>
      <c r="F1819" s="23" t="s">
        <v>349</v>
      </c>
      <c r="G1819" s="23" t="s">
        <v>250</v>
      </c>
      <c r="H1819" s="39">
        <f t="shared" si="112"/>
        <v>1798</v>
      </c>
      <c r="I1819" s="23" t="str">
        <f t="shared" si="113"/>
        <v>Mumbai</v>
      </c>
      <c r="J1819" s="23">
        <f>COUNTIFS(pg_transaction_cleaned!$O:$O,A1819,pg_transaction_cleaned!$F:$F,"CAPTURE")</f>
        <v>1</v>
      </c>
      <c r="K1819" s="39">
        <f>SUMIFS(pg_transaction_cleaned!$H:$H,pg_transaction_cleaned!$O:$O,A1819,pg_transaction_cleaned!$F:$F,"CAPTURE")</f>
        <v>1798</v>
      </c>
      <c r="L1819" s="23">
        <f>COUNTIFS(pg_transaction_cleaned!$O:$O,A1819,pg_transaction_cleaned!$F:$F,"REFUND")</f>
        <v>0</v>
      </c>
      <c r="M1819" s="39">
        <f>SUMIFS(pg_transaction_cleaned!$H:$H,pg_transaction_cleaned!$O:$O,A1819,pg_transaction_cleaned!$F:$F,"REFUND")</f>
        <v>0</v>
      </c>
      <c r="N1819" s="23" t="str">
        <f t="shared" si="114"/>
        <v>OK</v>
      </c>
      <c r="O1819" s="24">
        <f t="shared" si="115"/>
        <v>0</v>
      </c>
    </row>
    <row r="1820" spans="1:15" ht="15" customHeight="1" x14ac:dyDescent="0.3">
      <c r="A1820" s="23" t="s">
        <v>4125</v>
      </c>
      <c r="B1820" s="38">
        <v>46292</v>
      </c>
      <c r="C1820" s="23" t="s">
        <v>4126</v>
      </c>
      <c r="D1820" s="23" t="s">
        <v>94</v>
      </c>
      <c r="E1820" s="23" t="s">
        <v>79</v>
      </c>
      <c r="F1820" s="23" t="s">
        <v>3285</v>
      </c>
      <c r="G1820" s="23" t="s">
        <v>250</v>
      </c>
      <c r="H1820" s="39">
        <f t="shared" si="112"/>
        <v>5397</v>
      </c>
      <c r="I1820" s="23" t="str">
        <f t="shared" si="113"/>
        <v>Chennai</v>
      </c>
      <c r="J1820" s="23">
        <f>COUNTIFS(pg_transaction_cleaned!$O:$O,A1820,pg_transaction_cleaned!$F:$F,"CAPTURE")</f>
        <v>1</v>
      </c>
      <c r="K1820" s="39">
        <f>SUMIFS(pg_transaction_cleaned!$H:$H,pg_transaction_cleaned!$O:$O,A1820,pg_transaction_cleaned!$F:$F,"CAPTURE")</f>
        <v>5397</v>
      </c>
      <c r="L1820" s="23">
        <f>COUNTIFS(pg_transaction_cleaned!$O:$O,A1820,pg_transaction_cleaned!$F:$F,"REFUND")</f>
        <v>0</v>
      </c>
      <c r="M1820" s="39">
        <f>SUMIFS(pg_transaction_cleaned!$H:$H,pg_transaction_cleaned!$O:$O,A1820,pg_transaction_cleaned!$F:$F,"REFUND")</f>
        <v>0</v>
      </c>
      <c r="N1820" s="23" t="str">
        <f t="shared" si="114"/>
        <v>OK</v>
      </c>
      <c r="O1820" s="24">
        <f t="shared" si="115"/>
        <v>0</v>
      </c>
    </row>
    <row r="1821" spans="1:15" ht="15" customHeight="1" x14ac:dyDescent="0.3">
      <c r="A1821" s="23" t="s">
        <v>4127</v>
      </c>
      <c r="B1821" s="38">
        <v>46269</v>
      </c>
      <c r="C1821" s="23" t="s">
        <v>4128</v>
      </c>
      <c r="D1821" s="23" t="s">
        <v>90</v>
      </c>
      <c r="E1821" s="23" t="s">
        <v>75</v>
      </c>
      <c r="F1821" s="23" t="s">
        <v>475</v>
      </c>
      <c r="G1821" s="23" t="s">
        <v>250</v>
      </c>
      <c r="H1821" s="39">
        <f t="shared" si="112"/>
        <v>799</v>
      </c>
      <c r="I1821" s="23" t="str">
        <f t="shared" si="113"/>
        <v>Ahmedabad</v>
      </c>
      <c r="J1821" s="23">
        <f>COUNTIFS(pg_transaction_cleaned!$O:$O,A1821,pg_transaction_cleaned!$F:$F,"CAPTURE")</f>
        <v>1</v>
      </c>
      <c r="K1821" s="39">
        <f>SUMIFS(pg_transaction_cleaned!$H:$H,pg_transaction_cleaned!$O:$O,A1821,pg_transaction_cleaned!$F:$F,"CAPTURE")</f>
        <v>799</v>
      </c>
      <c r="L1821" s="23">
        <f>COUNTIFS(pg_transaction_cleaned!$O:$O,A1821,pg_transaction_cleaned!$F:$F,"REFUND")</f>
        <v>0</v>
      </c>
      <c r="M1821" s="39">
        <f>SUMIFS(pg_transaction_cleaned!$H:$H,pg_transaction_cleaned!$O:$O,A1821,pg_transaction_cleaned!$F:$F,"REFUND")</f>
        <v>0</v>
      </c>
      <c r="N1821" s="23" t="str">
        <f t="shared" si="114"/>
        <v>OK</v>
      </c>
      <c r="O1821" s="24">
        <f t="shared" si="115"/>
        <v>0</v>
      </c>
    </row>
    <row r="1822" spans="1:15" ht="15" customHeight="1" x14ac:dyDescent="0.3">
      <c r="A1822" s="23" t="s">
        <v>4129</v>
      </c>
      <c r="B1822" s="38">
        <v>46273</v>
      </c>
      <c r="C1822" s="23" t="s">
        <v>4130</v>
      </c>
      <c r="D1822" s="23" t="s">
        <v>91</v>
      </c>
      <c r="E1822" s="23" t="s">
        <v>75</v>
      </c>
      <c r="F1822" s="23" t="s">
        <v>475</v>
      </c>
      <c r="G1822" s="23" t="s">
        <v>318</v>
      </c>
      <c r="H1822" s="39">
        <f t="shared" si="112"/>
        <v>799</v>
      </c>
      <c r="I1822" s="23" t="str">
        <f t="shared" si="113"/>
        <v>Pune</v>
      </c>
      <c r="J1822" s="23">
        <f>COUNTIFS(pg_transaction_cleaned!$O:$O,A1822,pg_transaction_cleaned!$F:$F,"CAPTURE")</f>
        <v>0</v>
      </c>
      <c r="K1822" s="39">
        <f>SUMIFS(pg_transaction_cleaned!$H:$H,pg_transaction_cleaned!$O:$O,A1822,pg_transaction_cleaned!$F:$F,"CAPTURE")</f>
        <v>0</v>
      </c>
      <c r="L1822" s="23">
        <f>COUNTIFS(pg_transaction_cleaned!$O:$O,A1822,pg_transaction_cleaned!$F:$F,"REFUND")</f>
        <v>0</v>
      </c>
      <c r="M1822" s="39">
        <f>SUMIFS(pg_transaction_cleaned!$H:$H,pg_transaction_cleaned!$O:$O,A1822,pg_transaction_cleaned!$F:$F,"REFUND")</f>
        <v>0</v>
      </c>
      <c r="N1822" s="23" t="str">
        <f t="shared" si="114"/>
        <v>OK</v>
      </c>
      <c r="O1822" s="24">
        <f t="shared" si="115"/>
        <v>0</v>
      </c>
    </row>
    <row r="1823" spans="1:15" ht="15" customHeight="1" x14ac:dyDescent="0.3">
      <c r="A1823" s="23" t="s">
        <v>4131</v>
      </c>
      <c r="B1823" s="38">
        <v>46295</v>
      </c>
      <c r="C1823" s="23" t="s">
        <v>4132</v>
      </c>
      <c r="D1823" s="23" t="s">
        <v>89</v>
      </c>
      <c r="E1823" s="23" t="s">
        <v>75</v>
      </c>
      <c r="F1823" s="23" t="s">
        <v>396</v>
      </c>
      <c r="G1823" s="23" t="s">
        <v>250</v>
      </c>
      <c r="H1823" s="39">
        <f t="shared" si="112"/>
        <v>2999</v>
      </c>
      <c r="I1823" s="23" t="str">
        <f t="shared" si="113"/>
        <v>Jaipur</v>
      </c>
      <c r="J1823" s="23">
        <f>COUNTIFS(pg_transaction_cleaned!$O:$O,A1823,pg_transaction_cleaned!$F:$F,"CAPTURE")</f>
        <v>1</v>
      </c>
      <c r="K1823" s="39">
        <f>SUMIFS(pg_transaction_cleaned!$H:$H,pg_transaction_cleaned!$O:$O,A1823,pg_transaction_cleaned!$F:$F,"CAPTURE")</f>
        <v>2999</v>
      </c>
      <c r="L1823" s="23">
        <f>COUNTIFS(pg_transaction_cleaned!$O:$O,A1823,pg_transaction_cleaned!$F:$F,"REFUND")</f>
        <v>0</v>
      </c>
      <c r="M1823" s="39">
        <f>SUMIFS(pg_transaction_cleaned!$H:$H,pg_transaction_cleaned!$O:$O,A1823,pg_transaction_cleaned!$F:$F,"REFUND")</f>
        <v>0</v>
      </c>
      <c r="N1823" s="23" t="str">
        <f t="shared" si="114"/>
        <v>OK</v>
      </c>
      <c r="O1823" s="24">
        <f t="shared" si="115"/>
        <v>0</v>
      </c>
    </row>
    <row r="1824" spans="1:15" ht="15" customHeight="1" x14ac:dyDescent="0.3">
      <c r="A1824" s="23" t="s">
        <v>4133</v>
      </c>
      <c r="B1824" s="38">
        <v>46290</v>
      </c>
      <c r="C1824" s="23" t="s">
        <v>4134</v>
      </c>
      <c r="D1824" s="23" t="s">
        <v>89</v>
      </c>
      <c r="E1824" s="23" t="s">
        <v>75</v>
      </c>
      <c r="F1824" s="23" t="s">
        <v>249</v>
      </c>
      <c r="G1824" s="23" t="s">
        <v>250</v>
      </c>
      <c r="H1824" s="39">
        <f t="shared" si="112"/>
        <v>299</v>
      </c>
      <c r="I1824" s="23" t="str">
        <f t="shared" si="113"/>
        <v>Jaipur</v>
      </c>
      <c r="J1824" s="23">
        <f>COUNTIFS(pg_transaction_cleaned!$O:$O,A1824,pg_transaction_cleaned!$F:$F,"CAPTURE")</f>
        <v>1</v>
      </c>
      <c r="K1824" s="39">
        <f>SUMIFS(pg_transaction_cleaned!$H:$H,pg_transaction_cleaned!$O:$O,A1824,pg_transaction_cleaned!$F:$F,"CAPTURE")</f>
        <v>299</v>
      </c>
      <c r="L1824" s="23">
        <f>COUNTIFS(pg_transaction_cleaned!$O:$O,A1824,pg_transaction_cleaned!$F:$F,"REFUND")</f>
        <v>0</v>
      </c>
      <c r="M1824" s="39">
        <f>SUMIFS(pg_transaction_cleaned!$H:$H,pg_transaction_cleaned!$O:$O,A1824,pg_transaction_cleaned!$F:$F,"REFUND")</f>
        <v>0</v>
      </c>
      <c r="N1824" s="23" t="str">
        <f t="shared" si="114"/>
        <v>OK</v>
      </c>
      <c r="O1824" s="24">
        <f t="shared" si="115"/>
        <v>0</v>
      </c>
    </row>
    <row r="1825" spans="1:15" ht="15" customHeight="1" x14ac:dyDescent="0.3">
      <c r="A1825" s="23" t="s">
        <v>4135</v>
      </c>
      <c r="B1825" s="38">
        <v>46291</v>
      </c>
      <c r="C1825" s="23" t="s">
        <v>4136</v>
      </c>
      <c r="D1825" s="23" t="s">
        <v>95</v>
      </c>
      <c r="E1825" s="23" t="s">
        <v>81</v>
      </c>
      <c r="F1825" s="23" t="s">
        <v>249</v>
      </c>
      <c r="G1825" s="23" t="s">
        <v>250</v>
      </c>
      <c r="H1825" s="39">
        <f t="shared" si="112"/>
        <v>299</v>
      </c>
      <c r="I1825" s="23" t="str">
        <f t="shared" si="113"/>
        <v>Bengaluru</v>
      </c>
      <c r="J1825" s="23">
        <f>COUNTIFS(pg_transaction_cleaned!$O:$O,A1825,pg_transaction_cleaned!$F:$F,"CAPTURE")</f>
        <v>1</v>
      </c>
      <c r="K1825" s="39">
        <f>SUMIFS(pg_transaction_cleaned!$H:$H,pg_transaction_cleaned!$O:$O,A1825,pg_transaction_cleaned!$F:$F,"CAPTURE")</f>
        <v>299</v>
      </c>
      <c r="L1825" s="23">
        <f>COUNTIFS(pg_transaction_cleaned!$O:$O,A1825,pg_transaction_cleaned!$F:$F,"REFUND")</f>
        <v>0</v>
      </c>
      <c r="M1825" s="39">
        <f>SUMIFS(pg_transaction_cleaned!$H:$H,pg_transaction_cleaned!$O:$O,A1825,pg_transaction_cleaned!$F:$F,"REFUND")</f>
        <v>0</v>
      </c>
      <c r="N1825" s="23" t="str">
        <f t="shared" si="114"/>
        <v>OK</v>
      </c>
      <c r="O1825" s="24">
        <f t="shared" si="115"/>
        <v>0</v>
      </c>
    </row>
    <row r="1826" spans="1:15" ht="15" customHeight="1" x14ac:dyDescent="0.3">
      <c r="A1826" s="23" t="s">
        <v>4137</v>
      </c>
      <c r="B1826" s="38">
        <v>46275</v>
      </c>
      <c r="C1826" s="23" t="s">
        <v>4138</v>
      </c>
      <c r="D1826" s="23" t="s">
        <v>92</v>
      </c>
      <c r="E1826" s="23" t="s">
        <v>75</v>
      </c>
      <c r="F1826" s="23" t="s">
        <v>772</v>
      </c>
      <c r="G1826" s="23" t="s">
        <v>250</v>
      </c>
      <c r="H1826" s="39">
        <f t="shared" si="112"/>
        <v>4798</v>
      </c>
      <c r="I1826" s="23" t="str">
        <f t="shared" si="113"/>
        <v>Hyderabad</v>
      </c>
      <c r="J1826" s="23">
        <f>COUNTIFS(pg_transaction_cleaned!$O:$O,A1826,pg_transaction_cleaned!$F:$F,"CAPTURE")</f>
        <v>1</v>
      </c>
      <c r="K1826" s="39">
        <f>SUMIFS(pg_transaction_cleaned!$H:$H,pg_transaction_cleaned!$O:$O,A1826,pg_transaction_cleaned!$F:$F,"CAPTURE")</f>
        <v>4798</v>
      </c>
      <c r="L1826" s="23">
        <f>COUNTIFS(pg_transaction_cleaned!$O:$O,A1826,pg_transaction_cleaned!$F:$F,"REFUND")</f>
        <v>0</v>
      </c>
      <c r="M1826" s="39">
        <f>SUMIFS(pg_transaction_cleaned!$H:$H,pg_transaction_cleaned!$O:$O,A1826,pg_transaction_cleaned!$F:$F,"REFUND")</f>
        <v>0</v>
      </c>
      <c r="N1826" s="23" t="str">
        <f t="shared" si="114"/>
        <v>OK</v>
      </c>
      <c r="O1826" s="24">
        <f t="shared" si="115"/>
        <v>0</v>
      </c>
    </row>
    <row r="1827" spans="1:15" ht="15" customHeight="1" x14ac:dyDescent="0.3">
      <c r="A1827" s="23" t="s">
        <v>4139</v>
      </c>
      <c r="B1827" s="38">
        <v>46295</v>
      </c>
      <c r="C1827" s="23" t="s">
        <v>4140</v>
      </c>
      <c r="D1827" s="23" t="s">
        <v>93</v>
      </c>
      <c r="E1827" s="23" t="s">
        <v>81</v>
      </c>
      <c r="F1827" s="23" t="s">
        <v>291</v>
      </c>
      <c r="G1827" s="23" t="s">
        <v>250</v>
      </c>
      <c r="H1827" s="39">
        <f t="shared" si="112"/>
        <v>3499</v>
      </c>
      <c r="I1827" s="23" t="str">
        <f t="shared" si="113"/>
        <v>Kolkata</v>
      </c>
      <c r="J1827" s="23">
        <f>COUNTIFS(pg_transaction_cleaned!$O:$O,A1827,pg_transaction_cleaned!$F:$F,"CAPTURE")</f>
        <v>1</v>
      </c>
      <c r="K1827" s="39">
        <f>SUMIFS(pg_transaction_cleaned!$H:$H,pg_transaction_cleaned!$O:$O,A1827,pg_transaction_cleaned!$F:$F,"CAPTURE")</f>
        <v>3499</v>
      </c>
      <c r="L1827" s="23">
        <f>COUNTIFS(pg_transaction_cleaned!$O:$O,A1827,pg_transaction_cleaned!$F:$F,"REFUND")</f>
        <v>0</v>
      </c>
      <c r="M1827" s="39">
        <f>SUMIFS(pg_transaction_cleaned!$H:$H,pg_transaction_cleaned!$O:$O,A1827,pg_transaction_cleaned!$F:$F,"REFUND")</f>
        <v>0</v>
      </c>
      <c r="N1827" s="23" t="str">
        <f t="shared" si="114"/>
        <v>OK</v>
      </c>
      <c r="O1827" s="24">
        <f t="shared" si="115"/>
        <v>0</v>
      </c>
    </row>
    <row r="1828" spans="1:15" ht="15" customHeight="1" x14ac:dyDescent="0.3">
      <c r="A1828" s="23" t="s">
        <v>4141</v>
      </c>
      <c r="B1828" s="38">
        <v>46281</v>
      </c>
      <c r="C1828" s="23" t="s">
        <v>4142</v>
      </c>
      <c r="D1828" s="23" t="s">
        <v>91</v>
      </c>
      <c r="E1828" s="23" t="s">
        <v>77</v>
      </c>
      <c r="F1828" s="23" t="s">
        <v>274</v>
      </c>
      <c r="G1828" s="23" t="s">
        <v>250</v>
      </c>
      <c r="H1828" s="39">
        <f t="shared" si="112"/>
        <v>349</v>
      </c>
      <c r="I1828" s="23" t="str">
        <f t="shared" si="113"/>
        <v>Pune</v>
      </c>
      <c r="J1828" s="23">
        <f>COUNTIFS(pg_transaction_cleaned!$O:$O,A1828,pg_transaction_cleaned!$F:$F,"CAPTURE")</f>
        <v>1</v>
      </c>
      <c r="K1828" s="39">
        <f>SUMIFS(pg_transaction_cleaned!$H:$H,pg_transaction_cleaned!$O:$O,A1828,pg_transaction_cleaned!$F:$F,"CAPTURE")</f>
        <v>349</v>
      </c>
      <c r="L1828" s="23">
        <f>COUNTIFS(pg_transaction_cleaned!$O:$O,A1828,pg_transaction_cleaned!$F:$F,"REFUND")</f>
        <v>0</v>
      </c>
      <c r="M1828" s="39">
        <f>SUMIFS(pg_transaction_cleaned!$H:$H,pg_transaction_cleaned!$O:$O,A1828,pg_transaction_cleaned!$F:$F,"REFUND")</f>
        <v>0</v>
      </c>
      <c r="N1828" s="23" t="str">
        <f t="shared" si="114"/>
        <v>OK</v>
      </c>
      <c r="O1828" s="24">
        <f t="shared" si="115"/>
        <v>0</v>
      </c>
    </row>
    <row r="1829" spans="1:15" ht="15" customHeight="1" x14ac:dyDescent="0.3">
      <c r="A1829" s="23" t="s">
        <v>4143</v>
      </c>
      <c r="B1829" s="38">
        <v>46277</v>
      </c>
      <c r="C1829" s="23" t="s">
        <v>3191</v>
      </c>
      <c r="D1829" s="23" t="s">
        <v>86</v>
      </c>
      <c r="E1829" s="23" t="s">
        <v>79</v>
      </c>
      <c r="F1829" s="23" t="s">
        <v>291</v>
      </c>
      <c r="G1829" s="23" t="s">
        <v>250</v>
      </c>
      <c r="H1829" s="39">
        <f t="shared" si="112"/>
        <v>3499</v>
      </c>
      <c r="I1829" s="23" t="str">
        <f t="shared" si="113"/>
        <v>Delhi</v>
      </c>
      <c r="J1829" s="23">
        <f>COUNTIFS(pg_transaction_cleaned!$O:$O,A1829,pg_transaction_cleaned!$F:$F,"CAPTURE")</f>
        <v>1</v>
      </c>
      <c r="K1829" s="39">
        <f>SUMIFS(pg_transaction_cleaned!$H:$H,pg_transaction_cleaned!$O:$O,A1829,pg_transaction_cleaned!$F:$F,"CAPTURE")</f>
        <v>3499</v>
      </c>
      <c r="L1829" s="23">
        <f>COUNTIFS(pg_transaction_cleaned!$O:$O,A1829,pg_transaction_cleaned!$F:$F,"REFUND")</f>
        <v>0</v>
      </c>
      <c r="M1829" s="39">
        <f>SUMIFS(pg_transaction_cleaned!$H:$H,pg_transaction_cleaned!$O:$O,A1829,pg_transaction_cleaned!$F:$F,"REFUND")</f>
        <v>0</v>
      </c>
      <c r="N1829" s="23" t="str">
        <f t="shared" si="114"/>
        <v>OK</v>
      </c>
      <c r="O1829" s="24">
        <f t="shared" si="115"/>
        <v>0</v>
      </c>
    </row>
    <row r="1830" spans="1:15" ht="15" customHeight="1" x14ac:dyDescent="0.3">
      <c r="A1830" s="23" t="s">
        <v>4144</v>
      </c>
      <c r="B1830" s="38">
        <v>46282</v>
      </c>
      <c r="C1830" s="23" t="s">
        <v>4145</v>
      </c>
      <c r="D1830" s="23"/>
      <c r="E1830" s="23" t="s">
        <v>79</v>
      </c>
      <c r="F1830" s="23" t="s">
        <v>475</v>
      </c>
      <c r="G1830" s="23" t="s">
        <v>250</v>
      </c>
      <c r="H1830" s="39">
        <f t="shared" si="112"/>
        <v>799</v>
      </c>
      <c r="I1830" s="23" t="str">
        <f t="shared" si="113"/>
        <v>Unknown</v>
      </c>
      <c r="J1830" s="23">
        <f>COUNTIFS(pg_transaction_cleaned!$O:$O,A1830,pg_transaction_cleaned!$F:$F,"CAPTURE")</f>
        <v>1</v>
      </c>
      <c r="K1830" s="39">
        <f>SUMIFS(pg_transaction_cleaned!$H:$H,pg_transaction_cleaned!$O:$O,A1830,pg_transaction_cleaned!$F:$F,"CAPTURE")</f>
        <v>799</v>
      </c>
      <c r="L1830" s="23">
        <f>COUNTIFS(pg_transaction_cleaned!$O:$O,A1830,pg_transaction_cleaned!$F:$F,"REFUND")</f>
        <v>0</v>
      </c>
      <c r="M1830" s="39">
        <f>SUMIFS(pg_transaction_cleaned!$H:$H,pg_transaction_cleaned!$O:$O,A1830,pg_transaction_cleaned!$F:$F,"REFUND")</f>
        <v>0</v>
      </c>
      <c r="N1830" s="23" t="str">
        <f t="shared" si="114"/>
        <v>OK</v>
      </c>
      <c r="O1830" s="24">
        <f t="shared" si="115"/>
        <v>0</v>
      </c>
    </row>
    <row r="1831" spans="1:15" ht="15" customHeight="1" x14ac:dyDescent="0.3">
      <c r="A1831" s="23" t="s">
        <v>4146</v>
      </c>
      <c r="B1831" s="38">
        <v>46288</v>
      </c>
      <c r="C1831" s="23" t="s">
        <v>4147</v>
      </c>
      <c r="D1831" s="23" t="s">
        <v>94</v>
      </c>
      <c r="E1831" s="23" t="s">
        <v>79</v>
      </c>
      <c r="F1831" s="23" t="s">
        <v>1614</v>
      </c>
      <c r="G1831" s="23" t="s">
        <v>250</v>
      </c>
      <c r="H1831" s="39">
        <f t="shared" si="112"/>
        <v>2597</v>
      </c>
      <c r="I1831" s="23" t="str">
        <f t="shared" si="113"/>
        <v>Chennai</v>
      </c>
      <c r="J1831" s="23">
        <f>COUNTIFS(pg_transaction_cleaned!$O:$O,A1831,pg_transaction_cleaned!$F:$F,"CAPTURE")</f>
        <v>1</v>
      </c>
      <c r="K1831" s="39">
        <f>SUMIFS(pg_transaction_cleaned!$H:$H,pg_transaction_cleaned!$O:$O,A1831,pg_transaction_cleaned!$F:$F,"CAPTURE")</f>
        <v>2597</v>
      </c>
      <c r="L1831" s="23">
        <f>COUNTIFS(pg_transaction_cleaned!$O:$O,A1831,pg_transaction_cleaned!$F:$F,"REFUND")</f>
        <v>0</v>
      </c>
      <c r="M1831" s="39">
        <f>SUMIFS(pg_transaction_cleaned!$H:$H,pg_transaction_cleaned!$O:$O,A1831,pg_transaction_cleaned!$F:$F,"REFUND")</f>
        <v>0</v>
      </c>
      <c r="N1831" s="23" t="str">
        <f t="shared" si="114"/>
        <v>OK</v>
      </c>
      <c r="O1831" s="24">
        <f t="shared" si="115"/>
        <v>0</v>
      </c>
    </row>
    <row r="1832" spans="1:15" ht="15" customHeight="1" x14ac:dyDescent="0.3">
      <c r="A1832" s="23" t="s">
        <v>4148</v>
      </c>
      <c r="B1832" s="38">
        <v>46272</v>
      </c>
      <c r="C1832" s="23" t="s">
        <v>4149</v>
      </c>
      <c r="D1832" s="23" t="s">
        <v>87</v>
      </c>
      <c r="E1832" s="23" t="s">
        <v>75</v>
      </c>
      <c r="F1832" s="23" t="s">
        <v>675</v>
      </c>
      <c r="G1832" s="23" t="s">
        <v>250</v>
      </c>
      <c r="H1832" s="39">
        <f t="shared" si="112"/>
        <v>10998</v>
      </c>
      <c r="I1832" s="23" t="str">
        <f t="shared" si="113"/>
        <v>Mumbai</v>
      </c>
      <c r="J1832" s="23">
        <f>COUNTIFS(pg_transaction_cleaned!$O:$O,A1832,pg_transaction_cleaned!$F:$F,"CAPTURE")</f>
        <v>1</v>
      </c>
      <c r="K1832" s="39">
        <f>SUMIFS(pg_transaction_cleaned!$H:$H,pg_transaction_cleaned!$O:$O,A1832,pg_transaction_cleaned!$F:$F,"CAPTURE")</f>
        <v>10998</v>
      </c>
      <c r="L1832" s="23">
        <f>COUNTIFS(pg_transaction_cleaned!$O:$O,A1832,pg_transaction_cleaned!$F:$F,"REFUND")</f>
        <v>0</v>
      </c>
      <c r="M1832" s="39">
        <f>SUMIFS(pg_transaction_cleaned!$H:$H,pg_transaction_cleaned!$O:$O,A1832,pg_transaction_cleaned!$F:$F,"REFUND")</f>
        <v>0</v>
      </c>
      <c r="N1832" s="23" t="str">
        <f t="shared" si="114"/>
        <v>OK</v>
      </c>
      <c r="O1832" s="24">
        <f t="shared" si="115"/>
        <v>0</v>
      </c>
    </row>
    <row r="1833" spans="1:15" ht="15" customHeight="1" x14ac:dyDescent="0.3">
      <c r="A1833" s="23" t="s">
        <v>4150</v>
      </c>
      <c r="B1833" s="38">
        <v>46273</v>
      </c>
      <c r="C1833" s="23" t="s">
        <v>4151</v>
      </c>
      <c r="D1833" s="23" t="s">
        <v>95</v>
      </c>
      <c r="E1833" s="23" t="s">
        <v>77</v>
      </c>
      <c r="F1833" s="23" t="s">
        <v>271</v>
      </c>
      <c r="G1833" s="23" t="s">
        <v>250</v>
      </c>
      <c r="H1833" s="39">
        <f t="shared" si="112"/>
        <v>2499</v>
      </c>
      <c r="I1833" s="23" t="str">
        <f t="shared" si="113"/>
        <v>Bengaluru</v>
      </c>
      <c r="J1833" s="23">
        <f>COUNTIFS(pg_transaction_cleaned!$O:$O,A1833,pg_transaction_cleaned!$F:$F,"CAPTURE")</f>
        <v>1</v>
      </c>
      <c r="K1833" s="39">
        <f>SUMIFS(pg_transaction_cleaned!$H:$H,pg_transaction_cleaned!$O:$O,A1833,pg_transaction_cleaned!$F:$F,"CAPTURE")</f>
        <v>2499</v>
      </c>
      <c r="L1833" s="23">
        <f>COUNTIFS(pg_transaction_cleaned!$O:$O,A1833,pg_transaction_cleaned!$F:$F,"REFUND")</f>
        <v>0</v>
      </c>
      <c r="M1833" s="39">
        <f>SUMIFS(pg_transaction_cleaned!$H:$H,pg_transaction_cleaned!$O:$O,A1833,pg_transaction_cleaned!$F:$F,"REFUND")</f>
        <v>0</v>
      </c>
      <c r="N1833" s="23" t="str">
        <f t="shared" si="114"/>
        <v>OK</v>
      </c>
      <c r="O1833" s="24">
        <f t="shared" si="115"/>
        <v>0</v>
      </c>
    </row>
    <row r="1834" spans="1:15" ht="15" customHeight="1" x14ac:dyDescent="0.3">
      <c r="A1834" s="23" t="s">
        <v>4152</v>
      </c>
      <c r="B1834" s="38">
        <v>46274</v>
      </c>
      <c r="C1834" s="23" t="s">
        <v>4153</v>
      </c>
      <c r="D1834" s="23" t="s">
        <v>86</v>
      </c>
      <c r="E1834" s="23" t="s">
        <v>79</v>
      </c>
      <c r="F1834" s="23" t="s">
        <v>460</v>
      </c>
      <c r="G1834" s="23" t="s">
        <v>250</v>
      </c>
      <c r="H1834" s="39">
        <f t="shared" si="112"/>
        <v>1998</v>
      </c>
      <c r="I1834" s="23" t="str">
        <f t="shared" si="113"/>
        <v>Delhi</v>
      </c>
      <c r="J1834" s="23">
        <f>COUNTIFS(pg_transaction_cleaned!$O:$O,A1834,pg_transaction_cleaned!$F:$F,"CAPTURE")</f>
        <v>1</v>
      </c>
      <c r="K1834" s="39">
        <f>SUMIFS(pg_transaction_cleaned!$H:$H,pg_transaction_cleaned!$O:$O,A1834,pg_transaction_cleaned!$F:$F,"CAPTURE")</f>
        <v>1998</v>
      </c>
      <c r="L1834" s="23">
        <f>COUNTIFS(pg_transaction_cleaned!$O:$O,A1834,pg_transaction_cleaned!$F:$F,"REFUND")</f>
        <v>0</v>
      </c>
      <c r="M1834" s="39">
        <f>SUMIFS(pg_transaction_cleaned!$H:$H,pg_transaction_cleaned!$O:$O,A1834,pg_transaction_cleaned!$F:$F,"REFUND")</f>
        <v>0</v>
      </c>
      <c r="N1834" s="23" t="str">
        <f t="shared" si="114"/>
        <v>OK</v>
      </c>
      <c r="O1834" s="24">
        <f t="shared" si="115"/>
        <v>0</v>
      </c>
    </row>
    <row r="1835" spans="1:15" ht="15" customHeight="1" x14ac:dyDescent="0.3">
      <c r="A1835" s="23" t="s">
        <v>4154</v>
      </c>
      <c r="B1835" s="38">
        <v>46272</v>
      </c>
      <c r="C1835" s="23" t="s">
        <v>4155</v>
      </c>
      <c r="D1835" s="23" t="s">
        <v>91</v>
      </c>
      <c r="E1835" s="23" t="s">
        <v>75</v>
      </c>
      <c r="F1835" s="23" t="s">
        <v>1809</v>
      </c>
      <c r="G1835" s="23" t="s">
        <v>250</v>
      </c>
      <c r="H1835" s="39">
        <f t="shared" si="112"/>
        <v>10147</v>
      </c>
      <c r="I1835" s="23" t="str">
        <f t="shared" si="113"/>
        <v>Pune</v>
      </c>
      <c r="J1835" s="23">
        <f>COUNTIFS(pg_transaction_cleaned!$O:$O,A1835,pg_transaction_cleaned!$F:$F,"CAPTURE")</f>
        <v>1</v>
      </c>
      <c r="K1835" s="39">
        <f>SUMIFS(pg_transaction_cleaned!$H:$H,pg_transaction_cleaned!$O:$O,A1835,pg_transaction_cleaned!$F:$F,"CAPTURE")</f>
        <v>10147</v>
      </c>
      <c r="L1835" s="23">
        <f>COUNTIFS(pg_transaction_cleaned!$O:$O,A1835,pg_transaction_cleaned!$F:$F,"REFUND")</f>
        <v>0</v>
      </c>
      <c r="M1835" s="39">
        <f>SUMIFS(pg_transaction_cleaned!$H:$H,pg_transaction_cleaned!$O:$O,A1835,pg_transaction_cleaned!$F:$F,"REFUND")</f>
        <v>0</v>
      </c>
      <c r="N1835" s="23" t="str">
        <f t="shared" si="114"/>
        <v>OK</v>
      </c>
      <c r="O1835" s="24">
        <f t="shared" si="115"/>
        <v>0</v>
      </c>
    </row>
    <row r="1836" spans="1:15" ht="15" customHeight="1" x14ac:dyDescent="0.3">
      <c r="A1836" s="23" t="s">
        <v>4156</v>
      </c>
      <c r="B1836" s="38">
        <v>46281</v>
      </c>
      <c r="C1836" s="23" t="s">
        <v>4157</v>
      </c>
      <c r="D1836" s="23" t="s">
        <v>88</v>
      </c>
      <c r="E1836" s="23" t="s">
        <v>75</v>
      </c>
      <c r="F1836" s="23" t="s">
        <v>370</v>
      </c>
      <c r="G1836" s="23" t="s">
        <v>250</v>
      </c>
      <c r="H1836" s="39">
        <f t="shared" si="112"/>
        <v>3098</v>
      </c>
      <c r="I1836" s="23" t="str">
        <f t="shared" si="113"/>
        <v>Lucknow</v>
      </c>
      <c r="J1836" s="23">
        <f>COUNTIFS(pg_transaction_cleaned!$O:$O,A1836,pg_transaction_cleaned!$F:$F,"CAPTURE")</f>
        <v>1</v>
      </c>
      <c r="K1836" s="39">
        <f>SUMIFS(pg_transaction_cleaned!$H:$H,pg_transaction_cleaned!$O:$O,A1836,pg_transaction_cleaned!$F:$F,"CAPTURE")</f>
        <v>3098</v>
      </c>
      <c r="L1836" s="23">
        <f>COUNTIFS(pg_transaction_cleaned!$O:$O,A1836,pg_transaction_cleaned!$F:$F,"REFUND")</f>
        <v>0</v>
      </c>
      <c r="M1836" s="39">
        <f>SUMIFS(pg_transaction_cleaned!$H:$H,pg_transaction_cleaned!$O:$O,A1836,pg_transaction_cleaned!$F:$F,"REFUND")</f>
        <v>0</v>
      </c>
      <c r="N1836" s="23" t="str">
        <f t="shared" si="114"/>
        <v>OK</v>
      </c>
      <c r="O1836" s="24">
        <f t="shared" si="115"/>
        <v>0</v>
      </c>
    </row>
    <row r="1837" spans="1:15" ht="15" customHeight="1" x14ac:dyDescent="0.3">
      <c r="A1837" s="23" t="s">
        <v>4158</v>
      </c>
      <c r="B1837" s="38">
        <v>46278</v>
      </c>
      <c r="C1837" s="23" t="s">
        <v>4159</v>
      </c>
      <c r="D1837" s="23" t="s">
        <v>92</v>
      </c>
      <c r="E1837" s="23" t="s">
        <v>75</v>
      </c>
      <c r="F1837" s="23" t="s">
        <v>1329</v>
      </c>
      <c r="G1837" s="23" t="s">
        <v>250</v>
      </c>
      <c r="H1837" s="39">
        <f t="shared" si="112"/>
        <v>6097</v>
      </c>
      <c r="I1837" s="23" t="str">
        <f t="shared" si="113"/>
        <v>Hyderabad</v>
      </c>
      <c r="J1837" s="23">
        <f>COUNTIFS(pg_transaction_cleaned!$O:$O,A1837,pg_transaction_cleaned!$F:$F,"CAPTURE")</f>
        <v>1</v>
      </c>
      <c r="K1837" s="39">
        <f>SUMIFS(pg_transaction_cleaned!$H:$H,pg_transaction_cleaned!$O:$O,A1837,pg_transaction_cleaned!$F:$F,"CAPTURE")</f>
        <v>6097</v>
      </c>
      <c r="L1837" s="23">
        <f>COUNTIFS(pg_transaction_cleaned!$O:$O,A1837,pg_transaction_cleaned!$F:$F,"REFUND")</f>
        <v>0</v>
      </c>
      <c r="M1837" s="39">
        <f>SUMIFS(pg_transaction_cleaned!$H:$H,pg_transaction_cleaned!$O:$O,A1837,pg_transaction_cleaned!$F:$F,"REFUND")</f>
        <v>0</v>
      </c>
      <c r="N1837" s="23" t="str">
        <f t="shared" si="114"/>
        <v>OK</v>
      </c>
      <c r="O1837" s="24">
        <f t="shared" si="115"/>
        <v>0</v>
      </c>
    </row>
    <row r="1838" spans="1:15" ht="15" customHeight="1" x14ac:dyDescent="0.3">
      <c r="A1838" s="23" t="s">
        <v>4160</v>
      </c>
      <c r="B1838" s="38">
        <v>46292</v>
      </c>
      <c r="C1838" s="23" t="s">
        <v>4161</v>
      </c>
      <c r="D1838" s="23" t="s">
        <v>93</v>
      </c>
      <c r="E1838" s="23" t="s">
        <v>75</v>
      </c>
      <c r="F1838" s="23" t="s">
        <v>475</v>
      </c>
      <c r="G1838" s="23" t="s">
        <v>250</v>
      </c>
      <c r="H1838" s="39">
        <f t="shared" si="112"/>
        <v>799</v>
      </c>
      <c r="I1838" s="23" t="str">
        <f t="shared" si="113"/>
        <v>Kolkata</v>
      </c>
      <c r="J1838" s="23">
        <f>COUNTIFS(pg_transaction_cleaned!$O:$O,A1838,pg_transaction_cleaned!$F:$F,"CAPTURE")</f>
        <v>1</v>
      </c>
      <c r="K1838" s="39">
        <f>SUMIFS(pg_transaction_cleaned!$H:$H,pg_transaction_cleaned!$O:$O,A1838,pg_transaction_cleaned!$F:$F,"CAPTURE")</f>
        <v>799</v>
      </c>
      <c r="L1838" s="23">
        <f>COUNTIFS(pg_transaction_cleaned!$O:$O,A1838,pg_transaction_cleaned!$F:$F,"REFUND")</f>
        <v>0</v>
      </c>
      <c r="M1838" s="39">
        <f>SUMIFS(pg_transaction_cleaned!$H:$H,pg_transaction_cleaned!$O:$O,A1838,pg_transaction_cleaned!$F:$F,"REFUND")</f>
        <v>0</v>
      </c>
      <c r="N1838" s="23" t="str">
        <f t="shared" si="114"/>
        <v>OK</v>
      </c>
      <c r="O1838" s="24">
        <f t="shared" si="115"/>
        <v>0</v>
      </c>
    </row>
    <row r="1839" spans="1:15" ht="15" customHeight="1" x14ac:dyDescent="0.3">
      <c r="A1839" s="23" t="s">
        <v>4162</v>
      </c>
      <c r="B1839" s="38">
        <v>46285</v>
      </c>
      <c r="C1839" s="23" t="s">
        <v>2098</v>
      </c>
      <c r="D1839" s="23" t="s">
        <v>92</v>
      </c>
      <c r="E1839" s="23" t="s">
        <v>75</v>
      </c>
      <c r="F1839" s="23" t="s">
        <v>294</v>
      </c>
      <c r="G1839" s="23" t="s">
        <v>250</v>
      </c>
      <c r="H1839" s="39">
        <f t="shared" si="112"/>
        <v>1799</v>
      </c>
      <c r="I1839" s="23" t="str">
        <f t="shared" si="113"/>
        <v>Hyderabad</v>
      </c>
      <c r="J1839" s="23">
        <f>COUNTIFS(pg_transaction_cleaned!$O:$O,A1839,pg_transaction_cleaned!$F:$F,"CAPTURE")</f>
        <v>1</v>
      </c>
      <c r="K1839" s="39">
        <f>SUMIFS(pg_transaction_cleaned!$H:$H,pg_transaction_cleaned!$O:$O,A1839,pg_transaction_cleaned!$F:$F,"CAPTURE")</f>
        <v>1799</v>
      </c>
      <c r="L1839" s="23">
        <f>COUNTIFS(pg_transaction_cleaned!$O:$O,A1839,pg_transaction_cleaned!$F:$F,"REFUND")</f>
        <v>0</v>
      </c>
      <c r="M1839" s="39">
        <f>SUMIFS(pg_transaction_cleaned!$H:$H,pg_transaction_cleaned!$O:$O,A1839,pg_transaction_cleaned!$F:$F,"REFUND")</f>
        <v>0</v>
      </c>
      <c r="N1839" s="23" t="str">
        <f t="shared" si="114"/>
        <v>OK</v>
      </c>
      <c r="O1839" s="24">
        <f t="shared" si="115"/>
        <v>0</v>
      </c>
    </row>
    <row r="1840" spans="1:15" ht="15" customHeight="1" x14ac:dyDescent="0.3">
      <c r="A1840" s="23" t="s">
        <v>4163</v>
      </c>
      <c r="B1840" s="38">
        <v>46279</v>
      </c>
      <c r="C1840" s="23" t="s">
        <v>4164</v>
      </c>
      <c r="D1840" s="23" t="s">
        <v>94</v>
      </c>
      <c r="E1840" s="23" t="s">
        <v>75</v>
      </c>
      <c r="F1840" s="23" t="s">
        <v>357</v>
      </c>
      <c r="G1840" s="23" t="s">
        <v>250</v>
      </c>
      <c r="H1840" s="39">
        <f t="shared" si="112"/>
        <v>1598</v>
      </c>
      <c r="I1840" s="23" t="str">
        <f t="shared" si="113"/>
        <v>Chennai</v>
      </c>
      <c r="J1840" s="23">
        <f>COUNTIFS(pg_transaction_cleaned!$O:$O,A1840,pg_transaction_cleaned!$F:$F,"CAPTURE")</f>
        <v>1</v>
      </c>
      <c r="K1840" s="39">
        <f>SUMIFS(pg_transaction_cleaned!$H:$H,pg_transaction_cleaned!$O:$O,A1840,pg_transaction_cleaned!$F:$F,"CAPTURE")</f>
        <v>1598</v>
      </c>
      <c r="L1840" s="23">
        <f>COUNTIFS(pg_transaction_cleaned!$O:$O,A1840,pg_transaction_cleaned!$F:$F,"REFUND")</f>
        <v>0</v>
      </c>
      <c r="M1840" s="39">
        <f>SUMIFS(pg_transaction_cleaned!$H:$H,pg_transaction_cleaned!$O:$O,A1840,pg_transaction_cleaned!$F:$F,"REFUND")</f>
        <v>0</v>
      </c>
      <c r="N1840" s="23" t="str">
        <f t="shared" si="114"/>
        <v>OK</v>
      </c>
      <c r="O1840" s="24">
        <f t="shared" si="115"/>
        <v>0</v>
      </c>
    </row>
    <row r="1841" spans="1:15" ht="15" customHeight="1" x14ac:dyDescent="0.3">
      <c r="A1841" s="23" t="s">
        <v>4165</v>
      </c>
      <c r="B1841" s="38">
        <v>46287</v>
      </c>
      <c r="C1841" s="23" t="s">
        <v>4166</v>
      </c>
      <c r="D1841" s="23" t="s">
        <v>90</v>
      </c>
      <c r="E1841" s="23" t="s">
        <v>79</v>
      </c>
      <c r="F1841" s="23" t="s">
        <v>265</v>
      </c>
      <c r="G1841" s="23" t="s">
        <v>250</v>
      </c>
      <c r="H1841" s="39">
        <f t="shared" si="112"/>
        <v>999</v>
      </c>
      <c r="I1841" s="23" t="str">
        <f t="shared" si="113"/>
        <v>Ahmedabad</v>
      </c>
      <c r="J1841" s="23">
        <f>COUNTIFS(pg_transaction_cleaned!$O:$O,A1841,pg_transaction_cleaned!$F:$F,"CAPTURE")</f>
        <v>1</v>
      </c>
      <c r="K1841" s="39">
        <f>SUMIFS(pg_transaction_cleaned!$H:$H,pg_transaction_cleaned!$O:$O,A1841,pg_transaction_cleaned!$F:$F,"CAPTURE")</f>
        <v>999</v>
      </c>
      <c r="L1841" s="23">
        <f>COUNTIFS(pg_transaction_cleaned!$O:$O,A1841,pg_transaction_cleaned!$F:$F,"REFUND")</f>
        <v>0</v>
      </c>
      <c r="M1841" s="39">
        <f>SUMIFS(pg_transaction_cleaned!$H:$H,pg_transaction_cleaned!$O:$O,A1841,pg_transaction_cleaned!$F:$F,"REFUND")</f>
        <v>0</v>
      </c>
      <c r="N1841" s="23" t="str">
        <f t="shared" si="114"/>
        <v>OK</v>
      </c>
      <c r="O1841" s="24">
        <f t="shared" si="115"/>
        <v>0</v>
      </c>
    </row>
    <row r="1842" spans="1:15" ht="15" customHeight="1" x14ac:dyDescent="0.3">
      <c r="A1842" s="23" t="s">
        <v>4167</v>
      </c>
      <c r="B1842" s="38">
        <v>46285</v>
      </c>
      <c r="C1842" s="23" t="s">
        <v>4168</v>
      </c>
      <c r="D1842" s="23"/>
      <c r="E1842" s="23" t="s">
        <v>75</v>
      </c>
      <c r="F1842" s="23" t="s">
        <v>531</v>
      </c>
      <c r="G1842" s="23" t="s">
        <v>250</v>
      </c>
      <c r="H1842" s="39">
        <f t="shared" si="112"/>
        <v>3598</v>
      </c>
      <c r="I1842" s="23" t="str">
        <f t="shared" si="113"/>
        <v>Unknown</v>
      </c>
      <c r="J1842" s="23">
        <f>COUNTIFS(pg_transaction_cleaned!$O:$O,A1842,pg_transaction_cleaned!$F:$F,"CAPTURE")</f>
        <v>1</v>
      </c>
      <c r="K1842" s="39">
        <f>SUMIFS(pg_transaction_cleaned!$H:$H,pg_transaction_cleaned!$O:$O,A1842,pg_transaction_cleaned!$F:$F,"CAPTURE")</f>
        <v>3598</v>
      </c>
      <c r="L1842" s="23">
        <f>COUNTIFS(pg_transaction_cleaned!$O:$O,A1842,pg_transaction_cleaned!$F:$F,"REFUND")</f>
        <v>0</v>
      </c>
      <c r="M1842" s="39">
        <f>SUMIFS(pg_transaction_cleaned!$H:$H,pg_transaction_cleaned!$O:$O,A1842,pg_transaction_cleaned!$F:$F,"REFUND")</f>
        <v>0</v>
      </c>
      <c r="N1842" s="23" t="str">
        <f t="shared" si="114"/>
        <v>OK</v>
      </c>
      <c r="O1842" s="24">
        <f t="shared" si="115"/>
        <v>0</v>
      </c>
    </row>
    <row r="1843" spans="1:15" ht="15" customHeight="1" x14ac:dyDescent="0.3">
      <c r="A1843" s="23" t="s">
        <v>4169</v>
      </c>
      <c r="B1843" s="38">
        <v>46267</v>
      </c>
      <c r="C1843" s="23" t="s">
        <v>4170</v>
      </c>
      <c r="D1843" s="23" t="s">
        <v>90</v>
      </c>
      <c r="E1843" s="23" t="s">
        <v>75</v>
      </c>
      <c r="F1843" s="23" t="s">
        <v>2499</v>
      </c>
      <c r="G1843" s="23" t="s">
        <v>250</v>
      </c>
      <c r="H1843" s="39">
        <f t="shared" si="112"/>
        <v>5998</v>
      </c>
      <c r="I1843" s="23" t="str">
        <f t="shared" si="113"/>
        <v>Ahmedabad</v>
      </c>
      <c r="J1843" s="23">
        <f>COUNTIFS(pg_transaction_cleaned!$O:$O,A1843,pg_transaction_cleaned!$F:$F,"CAPTURE")</f>
        <v>1</v>
      </c>
      <c r="K1843" s="39">
        <f>SUMIFS(pg_transaction_cleaned!$H:$H,pg_transaction_cleaned!$O:$O,A1843,pg_transaction_cleaned!$F:$F,"CAPTURE")</f>
        <v>5998</v>
      </c>
      <c r="L1843" s="23">
        <f>COUNTIFS(pg_transaction_cleaned!$O:$O,A1843,pg_transaction_cleaned!$F:$F,"REFUND")</f>
        <v>0</v>
      </c>
      <c r="M1843" s="39">
        <f>SUMIFS(pg_transaction_cleaned!$H:$H,pg_transaction_cleaned!$O:$O,A1843,pg_transaction_cleaned!$F:$F,"REFUND")</f>
        <v>0</v>
      </c>
      <c r="N1843" s="23" t="str">
        <f t="shared" si="114"/>
        <v>OK</v>
      </c>
      <c r="O1843" s="24">
        <f t="shared" si="115"/>
        <v>0</v>
      </c>
    </row>
    <row r="1844" spans="1:15" ht="15" customHeight="1" x14ac:dyDescent="0.3">
      <c r="A1844" s="23" t="s">
        <v>4171</v>
      </c>
      <c r="B1844" s="38">
        <v>46279</v>
      </c>
      <c r="C1844" s="23" t="s">
        <v>4172</v>
      </c>
      <c r="D1844" s="23" t="s">
        <v>87</v>
      </c>
      <c r="E1844" s="23" t="s">
        <v>79</v>
      </c>
      <c r="F1844" s="23" t="s">
        <v>451</v>
      </c>
      <c r="G1844" s="23" t="s">
        <v>250</v>
      </c>
      <c r="H1844" s="39">
        <f t="shared" si="112"/>
        <v>1098</v>
      </c>
      <c r="I1844" s="23" t="str">
        <f t="shared" si="113"/>
        <v>Mumbai</v>
      </c>
      <c r="J1844" s="23">
        <f>COUNTIFS(pg_transaction_cleaned!$O:$O,A1844,pg_transaction_cleaned!$F:$F,"CAPTURE")</f>
        <v>1</v>
      </c>
      <c r="K1844" s="39">
        <f>SUMIFS(pg_transaction_cleaned!$H:$H,pg_transaction_cleaned!$O:$O,A1844,pg_transaction_cleaned!$F:$F,"CAPTURE")</f>
        <v>1098</v>
      </c>
      <c r="L1844" s="23">
        <f>COUNTIFS(pg_transaction_cleaned!$O:$O,A1844,pg_transaction_cleaned!$F:$F,"REFUND")</f>
        <v>0</v>
      </c>
      <c r="M1844" s="39">
        <f>SUMIFS(pg_transaction_cleaned!$H:$H,pg_transaction_cleaned!$O:$O,A1844,pg_transaction_cleaned!$F:$F,"REFUND")</f>
        <v>0</v>
      </c>
      <c r="N1844" s="23" t="str">
        <f t="shared" si="114"/>
        <v>OK</v>
      </c>
      <c r="O1844" s="24">
        <f t="shared" si="115"/>
        <v>0</v>
      </c>
    </row>
    <row r="1845" spans="1:15" ht="15" customHeight="1" x14ac:dyDescent="0.3">
      <c r="A1845" s="23" t="s">
        <v>4173</v>
      </c>
      <c r="B1845" s="38">
        <v>46275</v>
      </c>
      <c r="C1845" s="23" t="s">
        <v>4174</v>
      </c>
      <c r="D1845" s="23" t="s">
        <v>91</v>
      </c>
      <c r="E1845" s="23" t="s">
        <v>75</v>
      </c>
      <c r="F1845" s="23" t="s">
        <v>950</v>
      </c>
      <c r="G1845" s="23" t="s">
        <v>250</v>
      </c>
      <c r="H1845" s="39">
        <f t="shared" si="112"/>
        <v>1898</v>
      </c>
      <c r="I1845" s="23" t="str">
        <f t="shared" si="113"/>
        <v>Pune</v>
      </c>
      <c r="J1845" s="23">
        <f>COUNTIFS(pg_transaction_cleaned!$O:$O,A1845,pg_transaction_cleaned!$F:$F,"CAPTURE")</f>
        <v>1</v>
      </c>
      <c r="K1845" s="39">
        <f>SUMIFS(pg_transaction_cleaned!$H:$H,pg_transaction_cleaned!$O:$O,A1845,pg_transaction_cleaned!$F:$F,"CAPTURE")</f>
        <v>1898</v>
      </c>
      <c r="L1845" s="23">
        <f>COUNTIFS(pg_transaction_cleaned!$O:$O,A1845,pg_transaction_cleaned!$F:$F,"REFUND")</f>
        <v>0</v>
      </c>
      <c r="M1845" s="39">
        <f>SUMIFS(pg_transaction_cleaned!$H:$H,pg_transaction_cleaned!$O:$O,A1845,pg_transaction_cleaned!$F:$F,"REFUND")</f>
        <v>0</v>
      </c>
      <c r="N1845" s="23" t="str">
        <f t="shared" si="114"/>
        <v>OK</v>
      </c>
      <c r="O1845" s="24">
        <f t="shared" si="115"/>
        <v>0</v>
      </c>
    </row>
    <row r="1846" spans="1:15" ht="15" customHeight="1" x14ac:dyDescent="0.3">
      <c r="A1846" s="23" t="s">
        <v>4175</v>
      </c>
      <c r="B1846" s="38">
        <v>46285</v>
      </c>
      <c r="C1846" s="23" t="s">
        <v>4176</v>
      </c>
      <c r="D1846" s="23" t="s">
        <v>93</v>
      </c>
      <c r="E1846" s="23" t="s">
        <v>75</v>
      </c>
      <c r="F1846" s="23" t="s">
        <v>974</v>
      </c>
      <c r="G1846" s="23" t="s">
        <v>250</v>
      </c>
      <c r="H1846" s="39">
        <f t="shared" si="112"/>
        <v>1498</v>
      </c>
      <c r="I1846" s="23" t="str">
        <f t="shared" si="113"/>
        <v>Kolkata</v>
      </c>
      <c r="J1846" s="23">
        <f>COUNTIFS(pg_transaction_cleaned!$O:$O,A1846,pg_transaction_cleaned!$F:$F,"CAPTURE")</f>
        <v>1</v>
      </c>
      <c r="K1846" s="39">
        <f>SUMIFS(pg_transaction_cleaned!$H:$H,pg_transaction_cleaned!$O:$O,A1846,pg_transaction_cleaned!$F:$F,"CAPTURE")</f>
        <v>1498</v>
      </c>
      <c r="L1846" s="23">
        <f>COUNTIFS(pg_transaction_cleaned!$O:$O,A1846,pg_transaction_cleaned!$F:$F,"REFUND")</f>
        <v>0</v>
      </c>
      <c r="M1846" s="39">
        <f>SUMIFS(pg_transaction_cleaned!$H:$H,pg_transaction_cleaned!$O:$O,A1846,pg_transaction_cleaned!$F:$F,"REFUND")</f>
        <v>0</v>
      </c>
      <c r="N1846" s="23" t="str">
        <f t="shared" si="114"/>
        <v>OK</v>
      </c>
      <c r="O1846" s="24">
        <f t="shared" si="115"/>
        <v>0</v>
      </c>
    </row>
    <row r="1847" spans="1:15" ht="15" customHeight="1" x14ac:dyDescent="0.3">
      <c r="A1847" s="23" t="s">
        <v>4177</v>
      </c>
      <c r="B1847" s="38">
        <v>46268</v>
      </c>
      <c r="C1847" s="23" t="s">
        <v>4178</v>
      </c>
      <c r="D1847" s="23" t="s">
        <v>89</v>
      </c>
      <c r="E1847" s="23" t="s">
        <v>75</v>
      </c>
      <c r="F1847" s="23" t="s">
        <v>1265</v>
      </c>
      <c r="G1847" s="23" t="s">
        <v>250</v>
      </c>
      <c r="H1847" s="39">
        <f t="shared" si="112"/>
        <v>6997</v>
      </c>
      <c r="I1847" s="23" t="str">
        <f t="shared" si="113"/>
        <v>Jaipur</v>
      </c>
      <c r="J1847" s="23">
        <f>COUNTIFS(pg_transaction_cleaned!$O:$O,A1847,pg_transaction_cleaned!$F:$F,"CAPTURE")</f>
        <v>1</v>
      </c>
      <c r="K1847" s="39">
        <f>SUMIFS(pg_transaction_cleaned!$H:$H,pg_transaction_cleaned!$O:$O,A1847,pg_transaction_cleaned!$F:$F,"CAPTURE")</f>
        <v>6997</v>
      </c>
      <c r="L1847" s="23">
        <f>COUNTIFS(pg_transaction_cleaned!$O:$O,A1847,pg_transaction_cleaned!$F:$F,"REFUND")</f>
        <v>0</v>
      </c>
      <c r="M1847" s="39">
        <f>SUMIFS(pg_transaction_cleaned!$H:$H,pg_transaction_cleaned!$O:$O,A1847,pg_transaction_cleaned!$F:$F,"REFUND")</f>
        <v>0</v>
      </c>
      <c r="N1847" s="23" t="str">
        <f t="shared" si="114"/>
        <v>OK</v>
      </c>
      <c r="O1847" s="24">
        <f t="shared" si="115"/>
        <v>0</v>
      </c>
    </row>
    <row r="1848" spans="1:15" ht="15" customHeight="1" x14ac:dyDescent="0.3">
      <c r="A1848" s="23" t="s">
        <v>4179</v>
      </c>
      <c r="B1848" s="38">
        <v>46272</v>
      </c>
      <c r="C1848" s="23" t="s">
        <v>4180</v>
      </c>
      <c r="D1848" s="23" t="s">
        <v>93</v>
      </c>
      <c r="E1848" s="23" t="s">
        <v>75</v>
      </c>
      <c r="F1848" s="23" t="s">
        <v>294</v>
      </c>
      <c r="G1848" s="23" t="s">
        <v>250</v>
      </c>
      <c r="H1848" s="39">
        <f t="shared" si="112"/>
        <v>1799</v>
      </c>
      <c r="I1848" s="23" t="str">
        <f t="shared" si="113"/>
        <v>Kolkata</v>
      </c>
      <c r="J1848" s="23">
        <f>COUNTIFS(pg_transaction_cleaned!$O:$O,A1848,pg_transaction_cleaned!$F:$F,"CAPTURE")</f>
        <v>1</v>
      </c>
      <c r="K1848" s="39">
        <f>SUMIFS(pg_transaction_cleaned!$H:$H,pg_transaction_cleaned!$O:$O,A1848,pg_transaction_cleaned!$F:$F,"CAPTURE")</f>
        <v>1799</v>
      </c>
      <c r="L1848" s="23">
        <f>COUNTIFS(pg_transaction_cleaned!$O:$O,A1848,pg_transaction_cleaned!$F:$F,"REFUND")</f>
        <v>0</v>
      </c>
      <c r="M1848" s="39">
        <f>SUMIFS(pg_transaction_cleaned!$H:$H,pg_transaction_cleaned!$O:$O,A1848,pg_transaction_cleaned!$F:$F,"REFUND")</f>
        <v>0</v>
      </c>
      <c r="N1848" s="23" t="str">
        <f t="shared" si="114"/>
        <v>OK</v>
      </c>
      <c r="O1848" s="24">
        <f t="shared" si="115"/>
        <v>0</v>
      </c>
    </row>
    <row r="1849" spans="1:15" ht="15" customHeight="1" x14ac:dyDescent="0.3">
      <c r="A1849" s="23" t="s">
        <v>4181</v>
      </c>
      <c r="B1849" s="38">
        <v>46293</v>
      </c>
      <c r="C1849" s="23" t="s">
        <v>4182</v>
      </c>
      <c r="D1849" s="23" t="s">
        <v>95</v>
      </c>
      <c r="E1849" s="23" t="s">
        <v>75</v>
      </c>
      <c r="F1849" s="23" t="s">
        <v>564</v>
      </c>
      <c r="G1849" s="23" t="s">
        <v>250</v>
      </c>
      <c r="H1849" s="39">
        <f t="shared" si="112"/>
        <v>6397</v>
      </c>
      <c r="I1849" s="23" t="str">
        <f t="shared" si="113"/>
        <v>Bengaluru</v>
      </c>
      <c r="J1849" s="23">
        <f>COUNTIFS(pg_transaction_cleaned!$O:$O,A1849,pg_transaction_cleaned!$F:$F,"CAPTURE")</f>
        <v>1</v>
      </c>
      <c r="K1849" s="39">
        <f>SUMIFS(pg_transaction_cleaned!$H:$H,pg_transaction_cleaned!$O:$O,A1849,pg_transaction_cleaned!$F:$F,"CAPTURE")</f>
        <v>6397</v>
      </c>
      <c r="L1849" s="23">
        <f>COUNTIFS(pg_transaction_cleaned!$O:$O,A1849,pg_transaction_cleaned!$F:$F,"REFUND")</f>
        <v>0</v>
      </c>
      <c r="M1849" s="39">
        <f>SUMIFS(pg_transaction_cleaned!$H:$H,pg_transaction_cleaned!$O:$O,A1849,pg_transaction_cleaned!$F:$F,"REFUND")</f>
        <v>0</v>
      </c>
      <c r="N1849" s="23" t="str">
        <f t="shared" si="114"/>
        <v>OK</v>
      </c>
      <c r="O1849" s="24">
        <f t="shared" si="115"/>
        <v>0</v>
      </c>
    </row>
    <row r="1850" spans="1:15" ht="15" customHeight="1" x14ac:dyDescent="0.3">
      <c r="A1850" s="23" t="s">
        <v>4183</v>
      </c>
      <c r="B1850" s="38">
        <v>46283</v>
      </c>
      <c r="C1850" s="23" t="s">
        <v>4184</v>
      </c>
      <c r="D1850" s="23" t="s">
        <v>91</v>
      </c>
      <c r="E1850" s="23" t="s">
        <v>79</v>
      </c>
      <c r="F1850" s="23" t="s">
        <v>2117</v>
      </c>
      <c r="G1850" s="23" t="s">
        <v>250</v>
      </c>
      <c r="H1850" s="39">
        <f t="shared" si="112"/>
        <v>1197</v>
      </c>
      <c r="I1850" s="23" t="str">
        <f t="shared" si="113"/>
        <v>Pune</v>
      </c>
      <c r="J1850" s="23">
        <f>COUNTIFS(pg_transaction_cleaned!$O:$O,A1850,pg_transaction_cleaned!$F:$F,"CAPTURE")</f>
        <v>1</v>
      </c>
      <c r="K1850" s="39">
        <f>SUMIFS(pg_transaction_cleaned!$H:$H,pg_transaction_cleaned!$O:$O,A1850,pg_transaction_cleaned!$F:$F,"CAPTURE")</f>
        <v>1197</v>
      </c>
      <c r="L1850" s="23">
        <f>COUNTIFS(pg_transaction_cleaned!$O:$O,A1850,pg_transaction_cleaned!$F:$F,"REFUND")</f>
        <v>0</v>
      </c>
      <c r="M1850" s="39">
        <f>SUMIFS(pg_transaction_cleaned!$H:$H,pg_transaction_cleaned!$O:$O,A1850,pg_transaction_cleaned!$F:$F,"REFUND")</f>
        <v>0</v>
      </c>
      <c r="N1850" s="23" t="str">
        <f t="shared" si="114"/>
        <v>OK</v>
      </c>
      <c r="O1850" s="24">
        <f t="shared" si="115"/>
        <v>0</v>
      </c>
    </row>
    <row r="1851" spans="1:15" ht="15" customHeight="1" x14ac:dyDescent="0.3">
      <c r="A1851" s="23" t="s">
        <v>4185</v>
      </c>
      <c r="B1851" s="38">
        <v>46282</v>
      </c>
      <c r="C1851" s="23" t="s">
        <v>4186</v>
      </c>
      <c r="D1851" s="23" t="s">
        <v>95</v>
      </c>
      <c r="E1851" s="23" t="s">
        <v>75</v>
      </c>
      <c r="F1851" s="23" t="s">
        <v>514</v>
      </c>
      <c r="G1851" s="23" t="s">
        <v>250</v>
      </c>
      <c r="H1851" s="39">
        <f t="shared" si="112"/>
        <v>6498</v>
      </c>
      <c r="I1851" s="23" t="str">
        <f t="shared" si="113"/>
        <v>Bengaluru</v>
      </c>
      <c r="J1851" s="23">
        <f>COUNTIFS(pg_transaction_cleaned!$O:$O,A1851,pg_transaction_cleaned!$F:$F,"CAPTURE")</f>
        <v>1</v>
      </c>
      <c r="K1851" s="39">
        <f>SUMIFS(pg_transaction_cleaned!$H:$H,pg_transaction_cleaned!$O:$O,A1851,pg_transaction_cleaned!$F:$F,"CAPTURE")</f>
        <v>6498</v>
      </c>
      <c r="L1851" s="23">
        <f>COUNTIFS(pg_transaction_cleaned!$O:$O,A1851,pg_transaction_cleaned!$F:$F,"REFUND")</f>
        <v>0</v>
      </c>
      <c r="M1851" s="39">
        <f>SUMIFS(pg_transaction_cleaned!$H:$H,pg_transaction_cleaned!$O:$O,A1851,pg_transaction_cleaned!$F:$F,"REFUND")</f>
        <v>0</v>
      </c>
      <c r="N1851" s="23" t="str">
        <f t="shared" si="114"/>
        <v>OK</v>
      </c>
      <c r="O1851" s="24">
        <f t="shared" si="115"/>
        <v>0</v>
      </c>
    </row>
    <row r="1852" spans="1:15" ht="15" customHeight="1" x14ac:dyDescent="0.3">
      <c r="A1852" s="23" t="s">
        <v>4187</v>
      </c>
      <c r="B1852" s="38">
        <v>46286</v>
      </c>
      <c r="C1852" s="23" t="s">
        <v>4188</v>
      </c>
      <c r="D1852" s="23" t="s">
        <v>93</v>
      </c>
      <c r="E1852" s="23" t="s">
        <v>81</v>
      </c>
      <c r="F1852" s="23" t="s">
        <v>2212</v>
      </c>
      <c r="G1852" s="23" t="s">
        <v>250</v>
      </c>
      <c r="H1852" s="39">
        <f t="shared" si="112"/>
        <v>1697</v>
      </c>
      <c r="I1852" s="23" t="str">
        <f t="shared" si="113"/>
        <v>Kolkata</v>
      </c>
      <c r="J1852" s="23">
        <f>COUNTIFS(pg_transaction_cleaned!$O:$O,A1852,pg_transaction_cleaned!$F:$F,"CAPTURE")</f>
        <v>1</v>
      </c>
      <c r="K1852" s="39">
        <f>SUMIFS(pg_transaction_cleaned!$H:$H,pg_transaction_cleaned!$O:$O,A1852,pg_transaction_cleaned!$F:$F,"CAPTURE")</f>
        <v>1697</v>
      </c>
      <c r="L1852" s="23">
        <f>COUNTIFS(pg_transaction_cleaned!$O:$O,A1852,pg_transaction_cleaned!$F:$F,"REFUND")</f>
        <v>0</v>
      </c>
      <c r="M1852" s="39">
        <f>SUMIFS(pg_transaction_cleaned!$H:$H,pg_transaction_cleaned!$O:$O,A1852,pg_transaction_cleaned!$F:$F,"REFUND")</f>
        <v>0</v>
      </c>
      <c r="N1852" s="23" t="str">
        <f t="shared" si="114"/>
        <v>OK</v>
      </c>
      <c r="O1852" s="24">
        <f t="shared" si="115"/>
        <v>0</v>
      </c>
    </row>
    <row r="1853" spans="1:15" ht="15" customHeight="1" x14ac:dyDescent="0.3">
      <c r="A1853" s="23" t="s">
        <v>4189</v>
      </c>
      <c r="B1853" s="38">
        <v>46270</v>
      </c>
      <c r="C1853" s="23" t="s">
        <v>4190</v>
      </c>
      <c r="D1853" s="23" t="s">
        <v>87</v>
      </c>
      <c r="E1853" s="23" t="s">
        <v>75</v>
      </c>
      <c r="F1853" s="23" t="s">
        <v>4191</v>
      </c>
      <c r="G1853" s="23" t="s">
        <v>250</v>
      </c>
      <c r="H1853" s="39">
        <f t="shared" si="112"/>
        <v>9147</v>
      </c>
      <c r="I1853" s="23" t="str">
        <f t="shared" si="113"/>
        <v>Mumbai</v>
      </c>
      <c r="J1853" s="23">
        <f>COUNTIFS(pg_transaction_cleaned!$O:$O,A1853,pg_transaction_cleaned!$F:$F,"CAPTURE")</f>
        <v>1</v>
      </c>
      <c r="K1853" s="39">
        <f>SUMIFS(pg_transaction_cleaned!$H:$H,pg_transaction_cleaned!$O:$O,A1853,pg_transaction_cleaned!$F:$F,"CAPTURE")</f>
        <v>9147</v>
      </c>
      <c r="L1853" s="23">
        <f>COUNTIFS(pg_transaction_cleaned!$O:$O,A1853,pg_transaction_cleaned!$F:$F,"REFUND")</f>
        <v>0</v>
      </c>
      <c r="M1853" s="39">
        <f>SUMIFS(pg_transaction_cleaned!$H:$H,pg_transaction_cleaned!$O:$O,A1853,pg_transaction_cleaned!$F:$F,"REFUND")</f>
        <v>0</v>
      </c>
      <c r="N1853" s="23" t="str">
        <f t="shared" si="114"/>
        <v>OK</v>
      </c>
      <c r="O1853" s="24">
        <f t="shared" si="115"/>
        <v>0</v>
      </c>
    </row>
    <row r="1854" spans="1:15" ht="15" customHeight="1" x14ac:dyDescent="0.3">
      <c r="A1854" s="23" t="s">
        <v>4192</v>
      </c>
      <c r="B1854" s="38">
        <v>46266</v>
      </c>
      <c r="C1854" s="23" t="s">
        <v>4193</v>
      </c>
      <c r="D1854" s="23" t="s">
        <v>93</v>
      </c>
      <c r="E1854" s="23" t="s">
        <v>75</v>
      </c>
      <c r="F1854" s="23" t="s">
        <v>2837</v>
      </c>
      <c r="G1854" s="23" t="s">
        <v>365</v>
      </c>
      <c r="H1854" s="39">
        <f t="shared" si="112"/>
        <v>12297</v>
      </c>
      <c r="I1854" s="23" t="str">
        <f t="shared" si="113"/>
        <v>Kolkata</v>
      </c>
      <c r="J1854" s="23">
        <f>COUNTIFS(pg_transaction_cleaned!$O:$O,A1854,pg_transaction_cleaned!$F:$F,"CAPTURE")</f>
        <v>0</v>
      </c>
      <c r="K1854" s="39">
        <f>SUMIFS(pg_transaction_cleaned!$H:$H,pg_transaction_cleaned!$O:$O,A1854,pg_transaction_cleaned!$F:$F,"CAPTURE")</f>
        <v>0</v>
      </c>
      <c r="L1854" s="23">
        <f>COUNTIFS(pg_transaction_cleaned!$O:$O,A1854,pg_transaction_cleaned!$F:$F,"REFUND")</f>
        <v>0</v>
      </c>
      <c r="M1854" s="39">
        <f>SUMIFS(pg_transaction_cleaned!$H:$H,pg_transaction_cleaned!$O:$O,A1854,pg_transaction_cleaned!$F:$F,"REFUND")</f>
        <v>0</v>
      </c>
      <c r="N1854" s="23" t="str">
        <f t="shared" si="114"/>
        <v>OK</v>
      </c>
      <c r="O1854" s="24">
        <f t="shared" si="115"/>
        <v>0</v>
      </c>
    </row>
    <row r="1855" spans="1:15" ht="15" customHeight="1" x14ac:dyDescent="0.3">
      <c r="A1855" s="23" t="s">
        <v>4194</v>
      </c>
      <c r="B1855" s="38">
        <v>46272</v>
      </c>
      <c r="C1855" s="23" t="s">
        <v>4195</v>
      </c>
      <c r="D1855" s="23" t="s">
        <v>92</v>
      </c>
      <c r="E1855" s="23" t="s">
        <v>75</v>
      </c>
      <c r="F1855" s="23" t="s">
        <v>490</v>
      </c>
      <c r="G1855" s="23" t="s">
        <v>250</v>
      </c>
      <c r="H1855" s="39">
        <f t="shared" si="112"/>
        <v>8798</v>
      </c>
      <c r="I1855" s="23" t="str">
        <f t="shared" si="113"/>
        <v>Hyderabad</v>
      </c>
      <c r="J1855" s="23">
        <f>COUNTIFS(pg_transaction_cleaned!$O:$O,A1855,pg_transaction_cleaned!$F:$F,"CAPTURE")</f>
        <v>1</v>
      </c>
      <c r="K1855" s="39">
        <f>SUMIFS(pg_transaction_cleaned!$H:$H,pg_transaction_cleaned!$O:$O,A1855,pg_transaction_cleaned!$F:$F,"CAPTURE")</f>
        <v>8798</v>
      </c>
      <c r="L1855" s="23">
        <f>COUNTIFS(pg_transaction_cleaned!$O:$O,A1855,pg_transaction_cleaned!$F:$F,"REFUND")</f>
        <v>0</v>
      </c>
      <c r="M1855" s="39">
        <f>SUMIFS(pg_transaction_cleaned!$H:$H,pg_transaction_cleaned!$O:$O,A1855,pg_transaction_cleaned!$F:$F,"REFUND")</f>
        <v>0</v>
      </c>
      <c r="N1855" s="23" t="str">
        <f t="shared" si="114"/>
        <v>OK</v>
      </c>
      <c r="O1855" s="24">
        <f t="shared" si="115"/>
        <v>0</v>
      </c>
    </row>
    <row r="1856" spans="1:15" ht="15" customHeight="1" x14ac:dyDescent="0.3">
      <c r="A1856" s="23" t="s">
        <v>4196</v>
      </c>
      <c r="B1856" s="38">
        <v>46274</v>
      </c>
      <c r="C1856" s="23" t="s">
        <v>4197</v>
      </c>
      <c r="D1856" s="23" t="s">
        <v>93</v>
      </c>
      <c r="E1856" s="23" t="s">
        <v>79</v>
      </c>
      <c r="F1856" s="23" t="s">
        <v>632</v>
      </c>
      <c r="G1856" s="23" t="s">
        <v>250</v>
      </c>
      <c r="H1856" s="39">
        <f t="shared" si="112"/>
        <v>948</v>
      </c>
      <c r="I1856" s="23" t="str">
        <f t="shared" si="113"/>
        <v>Kolkata</v>
      </c>
      <c r="J1856" s="23">
        <f>COUNTIFS(pg_transaction_cleaned!$O:$O,A1856,pg_transaction_cleaned!$F:$F,"CAPTURE")</f>
        <v>1</v>
      </c>
      <c r="K1856" s="39">
        <f>SUMIFS(pg_transaction_cleaned!$H:$H,pg_transaction_cleaned!$O:$O,A1856,pg_transaction_cleaned!$F:$F,"CAPTURE")</f>
        <v>948</v>
      </c>
      <c r="L1856" s="23">
        <f>COUNTIFS(pg_transaction_cleaned!$O:$O,A1856,pg_transaction_cleaned!$F:$F,"REFUND")</f>
        <v>0</v>
      </c>
      <c r="M1856" s="39">
        <f>SUMIFS(pg_transaction_cleaned!$H:$H,pg_transaction_cleaned!$O:$O,A1856,pg_transaction_cleaned!$F:$F,"REFUND")</f>
        <v>0</v>
      </c>
      <c r="N1856" s="23" t="str">
        <f t="shared" si="114"/>
        <v>OK</v>
      </c>
      <c r="O1856" s="24">
        <f t="shared" si="115"/>
        <v>0</v>
      </c>
    </row>
    <row r="1857" spans="1:15" ht="15" customHeight="1" x14ac:dyDescent="0.3">
      <c r="A1857" s="23" t="s">
        <v>4198</v>
      </c>
      <c r="B1857" s="38">
        <v>46275</v>
      </c>
      <c r="C1857" s="23" t="s">
        <v>4199</v>
      </c>
      <c r="D1857" s="23" t="s">
        <v>92</v>
      </c>
      <c r="E1857" s="23" t="s">
        <v>79</v>
      </c>
      <c r="F1857" s="23" t="s">
        <v>632</v>
      </c>
      <c r="G1857" s="23" t="s">
        <v>301</v>
      </c>
      <c r="H1857" s="39">
        <f t="shared" si="112"/>
        <v>948</v>
      </c>
      <c r="I1857" s="23" t="str">
        <f t="shared" si="113"/>
        <v>Hyderabad</v>
      </c>
      <c r="J1857" s="23">
        <f>COUNTIFS(pg_transaction_cleaned!$O:$O,A1857,pg_transaction_cleaned!$F:$F,"CAPTURE")</f>
        <v>1</v>
      </c>
      <c r="K1857" s="39">
        <f>SUMIFS(pg_transaction_cleaned!$H:$H,pg_transaction_cleaned!$O:$O,A1857,pg_transaction_cleaned!$F:$F,"CAPTURE")</f>
        <v>948</v>
      </c>
      <c r="L1857" s="23">
        <f>COUNTIFS(pg_transaction_cleaned!$O:$O,A1857,pg_transaction_cleaned!$F:$F,"REFUND")</f>
        <v>1</v>
      </c>
      <c r="M1857" s="39">
        <f>SUMIFS(pg_transaction_cleaned!$H:$H,pg_transaction_cleaned!$O:$O,A1857,pg_transaction_cleaned!$F:$F,"REFUND")</f>
        <v>948</v>
      </c>
      <c r="N1857" s="23" t="str">
        <f t="shared" si="114"/>
        <v>OK</v>
      </c>
      <c r="O1857" s="24">
        <f t="shared" si="115"/>
        <v>0</v>
      </c>
    </row>
    <row r="1858" spans="1:15" ht="15" customHeight="1" x14ac:dyDescent="0.3">
      <c r="A1858" s="23" t="s">
        <v>4200</v>
      </c>
      <c r="B1858" s="38">
        <v>46295</v>
      </c>
      <c r="C1858" s="23" t="s">
        <v>4201</v>
      </c>
      <c r="D1858" s="23" t="s">
        <v>94</v>
      </c>
      <c r="E1858" s="23" t="s">
        <v>77</v>
      </c>
      <c r="F1858" s="23" t="s">
        <v>766</v>
      </c>
      <c r="G1858" s="23" t="s">
        <v>250</v>
      </c>
      <c r="H1858" s="39">
        <f t="shared" ref="H1858:H1921" si="116">VALUE(SUBSTITUTE(F1858,",",""))</f>
        <v>4197</v>
      </c>
      <c r="I1858" s="23" t="str">
        <f t="shared" ref="I1858:I1921" si="117">IF(TRIM(D1858)="","Unknown",TRIM(D1858))</f>
        <v>Chennai</v>
      </c>
      <c r="J1858" s="23">
        <f>COUNTIFS(pg_transaction_cleaned!$O:$O,A1858,pg_transaction_cleaned!$F:$F,"CAPTURE")</f>
        <v>1</v>
      </c>
      <c r="K1858" s="39">
        <f>SUMIFS(pg_transaction_cleaned!$H:$H,pg_transaction_cleaned!$O:$O,A1858,pg_transaction_cleaned!$F:$F,"CAPTURE")</f>
        <v>4197</v>
      </c>
      <c r="L1858" s="23">
        <f>COUNTIFS(pg_transaction_cleaned!$O:$O,A1858,pg_transaction_cleaned!$F:$F,"REFUND")</f>
        <v>0</v>
      </c>
      <c r="M1858" s="39">
        <f>SUMIFS(pg_transaction_cleaned!$H:$H,pg_transaction_cleaned!$O:$O,A1858,pg_transaction_cleaned!$F:$F,"REFUND")</f>
        <v>0</v>
      </c>
      <c r="N1858" s="23" t="str">
        <f t="shared" ref="N1858:N1921" si="118">IF(AND(G1858="Paid",J1858=0),"Paid, no payment",IF(AND(OR(G1858="Failed",G1858="Cancelled"),J1858&gt;0),"Payment on failed/cancelled",IF(J1858&gt;1,"Duplicate charge",IF(AND(J1858=1,ROUND(K1858-H1858,2)&lt;&gt;0),"Amount difference",IF(AND(G1858="Refunded",L1858=0),"Refunded, no refund",IF(AND(G1858&lt;&gt;"Refunded",L1858&gt;0),"Refund, order not Refunded",IF(AND(L1858&gt;0,ROUND(M1858-H1858,2)&lt;&gt;0),"Refund amount differs","OK")))))))</f>
        <v>OK</v>
      </c>
      <c r="O1858" s="24">
        <f t="shared" ref="O1858:O1921" si="119">IF(N1858="OK",0,IF(N1858="Paid, no payment",H1858,IF(N1858="Payment on failed/cancelled",K1858,IF(OR(N1858="Duplicate charge",N1858="Amount difference"),K1858-H1858,IF(N1858="Refunded, no refund",H1858,M1858)))))</f>
        <v>0</v>
      </c>
    </row>
    <row r="1859" spans="1:15" ht="15" customHeight="1" x14ac:dyDescent="0.3">
      <c r="A1859" s="23" t="s">
        <v>4202</v>
      </c>
      <c r="B1859" s="38">
        <v>46290</v>
      </c>
      <c r="C1859" s="23" t="s">
        <v>4203</v>
      </c>
      <c r="D1859" s="23" t="s">
        <v>93</v>
      </c>
      <c r="E1859" s="23" t="s">
        <v>79</v>
      </c>
      <c r="F1859" s="23" t="s">
        <v>724</v>
      </c>
      <c r="G1859" s="23" t="s">
        <v>250</v>
      </c>
      <c r="H1859" s="39">
        <f t="shared" si="116"/>
        <v>3848</v>
      </c>
      <c r="I1859" s="23" t="str">
        <f t="shared" si="117"/>
        <v>Kolkata</v>
      </c>
      <c r="J1859" s="23">
        <f>COUNTIFS(pg_transaction_cleaned!$O:$O,A1859,pg_transaction_cleaned!$F:$F,"CAPTURE")</f>
        <v>1</v>
      </c>
      <c r="K1859" s="39">
        <f>SUMIFS(pg_transaction_cleaned!$H:$H,pg_transaction_cleaned!$O:$O,A1859,pg_transaction_cleaned!$F:$F,"CAPTURE")</f>
        <v>3848</v>
      </c>
      <c r="L1859" s="23">
        <f>COUNTIFS(pg_transaction_cleaned!$O:$O,A1859,pg_transaction_cleaned!$F:$F,"REFUND")</f>
        <v>0</v>
      </c>
      <c r="M1859" s="39">
        <f>SUMIFS(pg_transaction_cleaned!$H:$H,pg_transaction_cleaned!$O:$O,A1859,pg_transaction_cleaned!$F:$F,"REFUND")</f>
        <v>0</v>
      </c>
      <c r="N1859" s="23" t="str">
        <f t="shared" si="118"/>
        <v>OK</v>
      </c>
      <c r="O1859" s="24">
        <f t="shared" si="119"/>
        <v>0</v>
      </c>
    </row>
    <row r="1860" spans="1:15" ht="15" customHeight="1" x14ac:dyDescent="0.3">
      <c r="A1860" s="23" t="s">
        <v>4204</v>
      </c>
      <c r="B1860" s="38">
        <v>46290</v>
      </c>
      <c r="C1860" s="23" t="s">
        <v>4205</v>
      </c>
      <c r="D1860" s="23" t="s">
        <v>92</v>
      </c>
      <c r="E1860" s="23" t="s">
        <v>79</v>
      </c>
      <c r="F1860" s="23" t="s">
        <v>315</v>
      </c>
      <c r="G1860" s="23" t="s">
        <v>250</v>
      </c>
      <c r="H1860" s="39">
        <f t="shared" si="116"/>
        <v>1499</v>
      </c>
      <c r="I1860" s="23" t="str">
        <f t="shared" si="117"/>
        <v>Hyderabad</v>
      </c>
      <c r="J1860" s="23">
        <f>COUNTIFS(pg_transaction_cleaned!$O:$O,A1860,pg_transaction_cleaned!$F:$F,"CAPTURE")</f>
        <v>1</v>
      </c>
      <c r="K1860" s="39">
        <f>SUMIFS(pg_transaction_cleaned!$H:$H,pg_transaction_cleaned!$O:$O,A1860,pg_transaction_cleaned!$F:$F,"CAPTURE")</f>
        <v>1499</v>
      </c>
      <c r="L1860" s="23">
        <f>COUNTIFS(pg_transaction_cleaned!$O:$O,A1860,pg_transaction_cleaned!$F:$F,"REFUND")</f>
        <v>0</v>
      </c>
      <c r="M1860" s="39">
        <f>SUMIFS(pg_transaction_cleaned!$H:$H,pg_transaction_cleaned!$O:$O,A1860,pg_transaction_cleaned!$F:$F,"REFUND")</f>
        <v>0</v>
      </c>
      <c r="N1860" s="23" t="str">
        <f t="shared" si="118"/>
        <v>OK</v>
      </c>
      <c r="O1860" s="24">
        <f t="shared" si="119"/>
        <v>0</v>
      </c>
    </row>
    <row r="1861" spans="1:15" ht="15" customHeight="1" x14ac:dyDescent="0.3">
      <c r="A1861" s="23" t="s">
        <v>4206</v>
      </c>
      <c r="B1861" s="38">
        <v>46276</v>
      </c>
      <c r="C1861" s="23" t="s">
        <v>4207</v>
      </c>
      <c r="D1861" s="23" t="s">
        <v>86</v>
      </c>
      <c r="E1861" s="23" t="s">
        <v>75</v>
      </c>
      <c r="F1861" s="23" t="s">
        <v>297</v>
      </c>
      <c r="G1861" s="23" t="s">
        <v>250</v>
      </c>
      <c r="H1861" s="39">
        <f t="shared" si="116"/>
        <v>4999</v>
      </c>
      <c r="I1861" s="23" t="str">
        <f t="shared" si="117"/>
        <v>Delhi</v>
      </c>
      <c r="J1861" s="23">
        <f>COUNTIFS(pg_transaction_cleaned!$O:$O,A1861,pg_transaction_cleaned!$F:$F,"CAPTURE")</f>
        <v>1</v>
      </c>
      <c r="K1861" s="39">
        <f>SUMIFS(pg_transaction_cleaned!$H:$H,pg_transaction_cleaned!$O:$O,A1861,pg_transaction_cleaned!$F:$F,"CAPTURE")</f>
        <v>4999</v>
      </c>
      <c r="L1861" s="23">
        <f>COUNTIFS(pg_transaction_cleaned!$O:$O,A1861,pg_transaction_cleaned!$F:$F,"REFUND")</f>
        <v>0</v>
      </c>
      <c r="M1861" s="39">
        <f>SUMIFS(pg_transaction_cleaned!$H:$H,pg_transaction_cleaned!$O:$O,A1861,pg_transaction_cleaned!$F:$F,"REFUND")</f>
        <v>0</v>
      </c>
      <c r="N1861" s="23" t="str">
        <f t="shared" si="118"/>
        <v>OK</v>
      </c>
      <c r="O1861" s="24">
        <f t="shared" si="119"/>
        <v>0</v>
      </c>
    </row>
    <row r="1862" spans="1:15" ht="15" customHeight="1" x14ac:dyDescent="0.3">
      <c r="A1862" s="23" t="s">
        <v>4208</v>
      </c>
      <c r="B1862" s="38">
        <v>46272</v>
      </c>
      <c r="C1862" s="23" t="s">
        <v>4209</v>
      </c>
      <c r="D1862" s="23" t="s">
        <v>89</v>
      </c>
      <c r="E1862" s="23" t="s">
        <v>75</v>
      </c>
      <c r="F1862" s="23" t="s">
        <v>370</v>
      </c>
      <c r="G1862" s="23" t="s">
        <v>250</v>
      </c>
      <c r="H1862" s="39">
        <f t="shared" si="116"/>
        <v>3098</v>
      </c>
      <c r="I1862" s="23" t="str">
        <f t="shared" si="117"/>
        <v>Jaipur</v>
      </c>
      <c r="J1862" s="23">
        <f>COUNTIFS(pg_transaction_cleaned!$O:$O,A1862,pg_transaction_cleaned!$F:$F,"CAPTURE")</f>
        <v>1</v>
      </c>
      <c r="K1862" s="39">
        <f>SUMIFS(pg_transaction_cleaned!$H:$H,pg_transaction_cleaned!$O:$O,A1862,pg_transaction_cleaned!$F:$F,"CAPTURE")</f>
        <v>3098</v>
      </c>
      <c r="L1862" s="23">
        <f>COUNTIFS(pg_transaction_cleaned!$O:$O,A1862,pg_transaction_cleaned!$F:$F,"REFUND")</f>
        <v>0</v>
      </c>
      <c r="M1862" s="39">
        <f>SUMIFS(pg_transaction_cleaned!$H:$H,pg_transaction_cleaned!$O:$O,A1862,pg_transaction_cleaned!$F:$F,"REFUND")</f>
        <v>0</v>
      </c>
      <c r="N1862" s="23" t="str">
        <f t="shared" si="118"/>
        <v>OK</v>
      </c>
      <c r="O1862" s="24">
        <f t="shared" si="119"/>
        <v>0</v>
      </c>
    </row>
    <row r="1863" spans="1:15" ht="15" customHeight="1" x14ac:dyDescent="0.3">
      <c r="A1863" s="23" t="s">
        <v>4210</v>
      </c>
      <c r="B1863" s="38">
        <v>46289</v>
      </c>
      <c r="C1863" s="23" t="s">
        <v>4211</v>
      </c>
      <c r="D1863" s="23" t="s">
        <v>92</v>
      </c>
      <c r="E1863" s="23" t="s">
        <v>75</v>
      </c>
      <c r="F1863" s="23" t="s">
        <v>598</v>
      </c>
      <c r="G1863" s="23" t="s">
        <v>250</v>
      </c>
      <c r="H1863" s="39">
        <f t="shared" si="116"/>
        <v>5598</v>
      </c>
      <c r="I1863" s="23" t="str">
        <f t="shared" si="117"/>
        <v>Hyderabad</v>
      </c>
      <c r="J1863" s="23">
        <f>COUNTIFS(pg_transaction_cleaned!$O:$O,A1863,pg_transaction_cleaned!$F:$F,"CAPTURE")</f>
        <v>1</v>
      </c>
      <c r="K1863" s="39">
        <f>SUMIFS(pg_transaction_cleaned!$H:$H,pg_transaction_cleaned!$O:$O,A1863,pg_transaction_cleaned!$F:$F,"CAPTURE")</f>
        <v>5598</v>
      </c>
      <c r="L1863" s="23">
        <f>COUNTIFS(pg_transaction_cleaned!$O:$O,A1863,pg_transaction_cleaned!$F:$F,"REFUND")</f>
        <v>0</v>
      </c>
      <c r="M1863" s="39">
        <f>SUMIFS(pg_transaction_cleaned!$H:$H,pg_transaction_cleaned!$O:$O,A1863,pg_transaction_cleaned!$F:$F,"REFUND")</f>
        <v>0</v>
      </c>
      <c r="N1863" s="23" t="str">
        <f t="shared" si="118"/>
        <v>OK</v>
      </c>
      <c r="O1863" s="24">
        <f t="shared" si="119"/>
        <v>0</v>
      </c>
    </row>
    <row r="1864" spans="1:15" ht="15" customHeight="1" x14ac:dyDescent="0.3">
      <c r="A1864" s="23" t="s">
        <v>4212</v>
      </c>
      <c r="B1864" s="38">
        <v>46289</v>
      </c>
      <c r="C1864" s="23" t="s">
        <v>4213</v>
      </c>
      <c r="D1864" s="23" t="s">
        <v>88</v>
      </c>
      <c r="E1864" s="23" t="s">
        <v>75</v>
      </c>
      <c r="F1864" s="23" t="s">
        <v>310</v>
      </c>
      <c r="G1864" s="23" t="s">
        <v>250</v>
      </c>
      <c r="H1864" s="39">
        <f t="shared" si="116"/>
        <v>7999</v>
      </c>
      <c r="I1864" s="23" t="str">
        <f t="shared" si="117"/>
        <v>Lucknow</v>
      </c>
      <c r="J1864" s="23">
        <f>COUNTIFS(pg_transaction_cleaned!$O:$O,A1864,pg_transaction_cleaned!$F:$F,"CAPTURE")</f>
        <v>1</v>
      </c>
      <c r="K1864" s="39">
        <f>SUMIFS(pg_transaction_cleaned!$H:$H,pg_transaction_cleaned!$O:$O,A1864,pg_transaction_cleaned!$F:$F,"CAPTURE")</f>
        <v>7999</v>
      </c>
      <c r="L1864" s="23">
        <f>COUNTIFS(pg_transaction_cleaned!$O:$O,A1864,pg_transaction_cleaned!$F:$F,"REFUND")</f>
        <v>0</v>
      </c>
      <c r="M1864" s="39">
        <f>SUMIFS(pg_transaction_cleaned!$H:$H,pg_transaction_cleaned!$O:$O,A1864,pg_transaction_cleaned!$F:$F,"REFUND")</f>
        <v>0</v>
      </c>
      <c r="N1864" s="23" t="str">
        <f t="shared" si="118"/>
        <v>OK</v>
      </c>
      <c r="O1864" s="24">
        <f t="shared" si="119"/>
        <v>0</v>
      </c>
    </row>
    <row r="1865" spans="1:15" ht="15" customHeight="1" x14ac:dyDescent="0.3">
      <c r="A1865" s="23" t="s">
        <v>4214</v>
      </c>
      <c r="B1865" s="38">
        <v>46279</v>
      </c>
      <c r="C1865" s="23" t="s">
        <v>4215</v>
      </c>
      <c r="D1865" s="23" t="s">
        <v>89</v>
      </c>
      <c r="E1865" s="23" t="s">
        <v>79</v>
      </c>
      <c r="F1865" s="23" t="s">
        <v>475</v>
      </c>
      <c r="G1865" s="23" t="s">
        <v>250</v>
      </c>
      <c r="H1865" s="39">
        <f t="shared" si="116"/>
        <v>799</v>
      </c>
      <c r="I1865" s="23" t="str">
        <f t="shared" si="117"/>
        <v>Jaipur</v>
      </c>
      <c r="J1865" s="23">
        <f>COUNTIFS(pg_transaction_cleaned!$O:$O,A1865,pg_transaction_cleaned!$F:$F,"CAPTURE")</f>
        <v>1</v>
      </c>
      <c r="K1865" s="39">
        <f>SUMIFS(pg_transaction_cleaned!$H:$H,pg_transaction_cleaned!$O:$O,A1865,pg_transaction_cleaned!$F:$F,"CAPTURE")</f>
        <v>799</v>
      </c>
      <c r="L1865" s="23">
        <f>COUNTIFS(pg_transaction_cleaned!$O:$O,A1865,pg_transaction_cleaned!$F:$F,"REFUND")</f>
        <v>0</v>
      </c>
      <c r="M1865" s="39">
        <f>SUMIFS(pg_transaction_cleaned!$H:$H,pg_transaction_cleaned!$O:$O,A1865,pg_transaction_cleaned!$F:$F,"REFUND")</f>
        <v>0</v>
      </c>
      <c r="N1865" s="23" t="str">
        <f t="shared" si="118"/>
        <v>OK</v>
      </c>
      <c r="O1865" s="24">
        <f t="shared" si="119"/>
        <v>0</v>
      </c>
    </row>
    <row r="1866" spans="1:15" ht="15" customHeight="1" x14ac:dyDescent="0.3">
      <c r="A1866" s="23" t="s">
        <v>4216</v>
      </c>
      <c r="B1866" s="38">
        <v>46281</v>
      </c>
      <c r="C1866" s="23" t="s">
        <v>4217</v>
      </c>
      <c r="D1866" s="23" t="s">
        <v>89</v>
      </c>
      <c r="E1866" s="23" t="s">
        <v>75</v>
      </c>
      <c r="F1866" s="23" t="s">
        <v>396</v>
      </c>
      <c r="G1866" s="23" t="s">
        <v>250</v>
      </c>
      <c r="H1866" s="39">
        <f t="shared" si="116"/>
        <v>2999</v>
      </c>
      <c r="I1866" s="23" t="str">
        <f t="shared" si="117"/>
        <v>Jaipur</v>
      </c>
      <c r="J1866" s="23">
        <f>COUNTIFS(pg_transaction_cleaned!$O:$O,A1866,pg_transaction_cleaned!$F:$F,"CAPTURE")</f>
        <v>1</v>
      </c>
      <c r="K1866" s="39">
        <f>SUMIFS(pg_transaction_cleaned!$H:$H,pg_transaction_cleaned!$O:$O,A1866,pg_transaction_cleaned!$F:$F,"CAPTURE")</f>
        <v>2999</v>
      </c>
      <c r="L1866" s="23">
        <f>COUNTIFS(pg_transaction_cleaned!$O:$O,A1866,pg_transaction_cleaned!$F:$F,"REFUND")</f>
        <v>0</v>
      </c>
      <c r="M1866" s="39">
        <f>SUMIFS(pg_transaction_cleaned!$H:$H,pg_transaction_cleaned!$O:$O,A1866,pg_transaction_cleaned!$F:$F,"REFUND")</f>
        <v>0</v>
      </c>
      <c r="N1866" s="23" t="str">
        <f t="shared" si="118"/>
        <v>OK</v>
      </c>
      <c r="O1866" s="24">
        <f t="shared" si="119"/>
        <v>0</v>
      </c>
    </row>
    <row r="1867" spans="1:15" ht="15" customHeight="1" x14ac:dyDescent="0.3">
      <c r="A1867" s="23" t="s">
        <v>4218</v>
      </c>
      <c r="B1867" s="38">
        <v>46283</v>
      </c>
      <c r="C1867" s="23" t="s">
        <v>4219</v>
      </c>
      <c r="D1867" s="23" t="s">
        <v>87</v>
      </c>
      <c r="E1867" s="23" t="s">
        <v>75</v>
      </c>
      <c r="F1867" s="23" t="s">
        <v>766</v>
      </c>
      <c r="G1867" s="23" t="s">
        <v>250</v>
      </c>
      <c r="H1867" s="39">
        <f t="shared" si="116"/>
        <v>4197</v>
      </c>
      <c r="I1867" s="23" t="str">
        <f t="shared" si="117"/>
        <v>Mumbai</v>
      </c>
      <c r="J1867" s="23">
        <f>COUNTIFS(pg_transaction_cleaned!$O:$O,A1867,pg_transaction_cleaned!$F:$F,"CAPTURE")</f>
        <v>1</v>
      </c>
      <c r="K1867" s="39">
        <f>SUMIFS(pg_transaction_cleaned!$H:$H,pg_transaction_cleaned!$O:$O,A1867,pg_transaction_cleaned!$F:$F,"CAPTURE")</f>
        <v>4197</v>
      </c>
      <c r="L1867" s="23">
        <f>COUNTIFS(pg_transaction_cleaned!$O:$O,A1867,pg_transaction_cleaned!$F:$F,"REFUND")</f>
        <v>0</v>
      </c>
      <c r="M1867" s="39">
        <f>SUMIFS(pg_transaction_cleaned!$H:$H,pg_transaction_cleaned!$O:$O,A1867,pg_transaction_cleaned!$F:$F,"REFUND")</f>
        <v>0</v>
      </c>
      <c r="N1867" s="23" t="str">
        <f t="shared" si="118"/>
        <v>OK</v>
      </c>
      <c r="O1867" s="24">
        <f t="shared" si="119"/>
        <v>0</v>
      </c>
    </row>
    <row r="1868" spans="1:15" ht="15" customHeight="1" x14ac:dyDescent="0.3">
      <c r="A1868" s="23" t="s">
        <v>4220</v>
      </c>
      <c r="B1868" s="38">
        <v>46271</v>
      </c>
      <c r="C1868" s="23" t="s">
        <v>4221</v>
      </c>
      <c r="D1868" s="23" t="s">
        <v>87</v>
      </c>
      <c r="E1868" s="23" t="s">
        <v>75</v>
      </c>
      <c r="F1868" s="23" t="s">
        <v>724</v>
      </c>
      <c r="G1868" s="23" t="s">
        <v>250</v>
      </c>
      <c r="H1868" s="39">
        <f t="shared" si="116"/>
        <v>3848</v>
      </c>
      <c r="I1868" s="23" t="str">
        <f t="shared" si="117"/>
        <v>Mumbai</v>
      </c>
      <c r="J1868" s="23">
        <f>COUNTIFS(pg_transaction_cleaned!$O:$O,A1868,pg_transaction_cleaned!$F:$F,"CAPTURE")</f>
        <v>1</v>
      </c>
      <c r="K1868" s="39">
        <f>SUMIFS(pg_transaction_cleaned!$H:$H,pg_transaction_cleaned!$O:$O,A1868,pg_transaction_cleaned!$F:$F,"CAPTURE")</f>
        <v>3848</v>
      </c>
      <c r="L1868" s="23">
        <f>COUNTIFS(pg_transaction_cleaned!$O:$O,A1868,pg_transaction_cleaned!$F:$F,"REFUND")</f>
        <v>0</v>
      </c>
      <c r="M1868" s="39">
        <f>SUMIFS(pg_transaction_cleaned!$H:$H,pg_transaction_cleaned!$O:$O,A1868,pg_transaction_cleaned!$F:$F,"REFUND")</f>
        <v>0</v>
      </c>
      <c r="N1868" s="23" t="str">
        <f t="shared" si="118"/>
        <v>OK</v>
      </c>
      <c r="O1868" s="24">
        <f t="shared" si="119"/>
        <v>0</v>
      </c>
    </row>
    <row r="1869" spans="1:15" ht="15" customHeight="1" x14ac:dyDescent="0.3">
      <c r="A1869" s="23" t="s">
        <v>4222</v>
      </c>
      <c r="B1869" s="38">
        <v>46294</v>
      </c>
      <c r="C1869" s="23" t="s">
        <v>4223</v>
      </c>
      <c r="D1869" s="23" t="s">
        <v>89</v>
      </c>
      <c r="E1869" s="23" t="s">
        <v>75</v>
      </c>
      <c r="F1869" s="23" t="s">
        <v>460</v>
      </c>
      <c r="G1869" s="23" t="s">
        <v>250</v>
      </c>
      <c r="H1869" s="39">
        <f t="shared" si="116"/>
        <v>1998</v>
      </c>
      <c r="I1869" s="23" t="str">
        <f t="shared" si="117"/>
        <v>Jaipur</v>
      </c>
      <c r="J1869" s="23">
        <f>COUNTIFS(pg_transaction_cleaned!$O:$O,A1869,pg_transaction_cleaned!$F:$F,"CAPTURE")</f>
        <v>1</v>
      </c>
      <c r="K1869" s="39">
        <f>SUMIFS(pg_transaction_cleaned!$H:$H,pg_transaction_cleaned!$O:$O,A1869,pg_transaction_cleaned!$F:$F,"CAPTURE")</f>
        <v>1998</v>
      </c>
      <c r="L1869" s="23">
        <f>COUNTIFS(pg_transaction_cleaned!$O:$O,A1869,pg_transaction_cleaned!$F:$F,"REFUND")</f>
        <v>0</v>
      </c>
      <c r="M1869" s="39">
        <f>SUMIFS(pg_transaction_cleaned!$H:$H,pg_transaction_cleaned!$O:$O,A1869,pg_transaction_cleaned!$F:$F,"REFUND")</f>
        <v>0</v>
      </c>
      <c r="N1869" s="23" t="str">
        <f t="shared" si="118"/>
        <v>OK</v>
      </c>
      <c r="O1869" s="24">
        <f t="shared" si="119"/>
        <v>0</v>
      </c>
    </row>
    <row r="1870" spans="1:15" ht="15" customHeight="1" x14ac:dyDescent="0.3">
      <c r="A1870" s="23" t="s">
        <v>4224</v>
      </c>
      <c r="B1870" s="38">
        <v>46279</v>
      </c>
      <c r="C1870" s="23" t="s">
        <v>4225</v>
      </c>
      <c r="D1870" s="23" t="s">
        <v>92</v>
      </c>
      <c r="E1870" s="23" t="s">
        <v>77</v>
      </c>
      <c r="F1870" s="23" t="s">
        <v>451</v>
      </c>
      <c r="G1870" s="23" t="s">
        <v>250</v>
      </c>
      <c r="H1870" s="39">
        <f t="shared" si="116"/>
        <v>1098</v>
      </c>
      <c r="I1870" s="23" t="str">
        <f t="shared" si="117"/>
        <v>Hyderabad</v>
      </c>
      <c r="J1870" s="23">
        <f>COUNTIFS(pg_transaction_cleaned!$O:$O,A1870,pg_transaction_cleaned!$F:$F,"CAPTURE")</f>
        <v>1</v>
      </c>
      <c r="K1870" s="39">
        <f>SUMIFS(pg_transaction_cleaned!$H:$H,pg_transaction_cleaned!$O:$O,A1870,pg_transaction_cleaned!$F:$F,"CAPTURE")</f>
        <v>1098</v>
      </c>
      <c r="L1870" s="23">
        <f>COUNTIFS(pg_transaction_cleaned!$O:$O,A1870,pg_transaction_cleaned!$F:$F,"REFUND")</f>
        <v>0</v>
      </c>
      <c r="M1870" s="39">
        <f>SUMIFS(pg_transaction_cleaned!$H:$H,pg_transaction_cleaned!$O:$O,A1870,pg_transaction_cleaned!$F:$F,"REFUND")</f>
        <v>0</v>
      </c>
      <c r="N1870" s="23" t="str">
        <f t="shared" si="118"/>
        <v>OK</v>
      </c>
      <c r="O1870" s="24">
        <f t="shared" si="119"/>
        <v>0</v>
      </c>
    </row>
    <row r="1871" spans="1:15" ht="15" customHeight="1" x14ac:dyDescent="0.3">
      <c r="A1871" s="23" t="s">
        <v>4226</v>
      </c>
      <c r="B1871" s="38">
        <v>46282</v>
      </c>
      <c r="C1871" s="23" t="s">
        <v>4227</v>
      </c>
      <c r="D1871" s="23" t="s">
        <v>86</v>
      </c>
      <c r="E1871" s="23" t="s">
        <v>79</v>
      </c>
      <c r="F1871" s="23" t="s">
        <v>271</v>
      </c>
      <c r="G1871" s="23" t="s">
        <v>365</v>
      </c>
      <c r="H1871" s="39">
        <f t="shared" si="116"/>
        <v>2499</v>
      </c>
      <c r="I1871" s="23" t="str">
        <f t="shared" si="117"/>
        <v>Delhi</v>
      </c>
      <c r="J1871" s="23">
        <f>COUNTIFS(pg_transaction_cleaned!$O:$O,A1871,pg_transaction_cleaned!$F:$F,"CAPTURE")</f>
        <v>0</v>
      </c>
      <c r="K1871" s="39">
        <f>SUMIFS(pg_transaction_cleaned!$H:$H,pg_transaction_cleaned!$O:$O,A1871,pg_transaction_cleaned!$F:$F,"CAPTURE")</f>
        <v>0</v>
      </c>
      <c r="L1871" s="23">
        <f>COUNTIFS(pg_transaction_cleaned!$O:$O,A1871,pg_transaction_cleaned!$F:$F,"REFUND")</f>
        <v>0</v>
      </c>
      <c r="M1871" s="39">
        <f>SUMIFS(pg_transaction_cleaned!$H:$H,pg_transaction_cleaned!$O:$O,A1871,pg_transaction_cleaned!$F:$F,"REFUND")</f>
        <v>0</v>
      </c>
      <c r="N1871" s="23" t="str">
        <f t="shared" si="118"/>
        <v>OK</v>
      </c>
      <c r="O1871" s="24">
        <f t="shared" si="119"/>
        <v>0</v>
      </c>
    </row>
    <row r="1872" spans="1:15" ht="15" customHeight="1" x14ac:dyDescent="0.3">
      <c r="A1872" s="23" t="s">
        <v>4228</v>
      </c>
      <c r="B1872" s="38">
        <v>46275</v>
      </c>
      <c r="C1872" s="23" t="s">
        <v>4229</v>
      </c>
      <c r="D1872" s="23" t="s">
        <v>89</v>
      </c>
      <c r="E1872" s="23" t="s">
        <v>77</v>
      </c>
      <c r="F1872" s="23" t="s">
        <v>567</v>
      </c>
      <c r="G1872" s="23" t="s">
        <v>250</v>
      </c>
      <c r="H1872" s="39">
        <f t="shared" si="116"/>
        <v>3598</v>
      </c>
      <c r="I1872" s="23" t="str">
        <f t="shared" si="117"/>
        <v>Jaipur</v>
      </c>
      <c r="J1872" s="23">
        <f>COUNTIFS(pg_transaction_cleaned!$O:$O,A1872,pg_transaction_cleaned!$F:$F,"CAPTURE")</f>
        <v>1</v>
      </c>
      <c r="K1872" s="39">
        <f>SUMIFS(pg_transaction_cleaned!$H:$H,pg_transaction_cleaned!$O:$O,A1872,pg_transaction_cleaned!$F:$F,"CAPTURE")</f>
        <v>3598</v>
      </c>
      <c r="L1872" s="23">
        <f>COUNTIFS(pg_transaction_cleaned!$O:$O,A1872,pg_transaction_cleaned!$F:$F,"REFUND")</f>
        <v>0</v>
      </c>
      <c r="M1872" s="39">
        <f>SUMIFS(pg_transaction_cleaned!$H:$H,pg_transaction_cleaned!$O:$O,A1872,pg_transaction_cleaned!$F:$F,"REFUND")</f>
        <v>0</v>
      </c>
      <c r="N1872" s="23" t="str">
        <f t="shared" si="118"/>
        <v>OK</v>
      </c>
      <c r="O1872" s="24">
        <f t="shared" si="119"/>
        <v>0</v>
      </c>
    </row>
    <row r="1873" spans="1:15" ht="15" customHeight="1" x14ac:dyDescent="0.3">
      <c r="A1873" s="23" t="s">
        <v>4230</v>
      </c>
      <c r="B1873" s="38">
        <v>46285</v>
      </c>
      <c r="C1873" s="23" t="s">
        <v>4231</v>
      </c>
      <c r="D1873" s="23" t="s">
        <v>86</v>
      </c>
      <c r="E1873" s="23" t="s">
        <v>77</v>
      </c>
      <c r="F1873" s="23" t="s">
        <v>315</v>
      </c>
      <c r="G1873" s="23" t="s">
        <v>250</v>
      </c>
      <c r="H1873" s="39">
        <f t="shared" si="116"/>
        <v>1499</v>
      </c>
      <c r="I1873" s="23" t="str">
        <f t="shared" si="117"/>
        <v>Delhi</v>
      </c>
      <c r="J1873" s="23">
        <f>COUNTIFS(pg_transaction_cleaned!$O:$O,A1873,pg_transaction_cleaned!$F:$F,"CAPTURE")</f>
        <v>1</v>
      </c>
      <c r="K1873" s="39">
        <f>SUMIFS(pg_transaction_cleaned!$H:$H,pg_transaction_cleaned!$O:$O,A1873,pg_transaction_cleaned!$F:$F,"CAPTURE")</f>
        <v>1499</v>
      </c>
      <c r="L1873" s="23">
        <f>COUNTIFS(pg_transaction_cleaned!$O:$O,A1873,pg_transaction_cleaned!$F:$F,"REFUND")</f>
        <v>0</v>
      </c>
      <c r="M1873" s="39">
        <f>SUMIFS(pg_transaction_cleaned!$H:$H,pg_transaction_cleaned!$O:$O,A1873,pg_transaction_cleaned!$F:$F,"REFUND")</f>
        <v>0</v>
      </c>
      <c r="N1873" s="23" t="str">
        <f t="shared" si="118"/>
        <v>OK</v>
      </c>
      <c r="O1873" s="24">
        <f t="shared" si="119"/>
        <v>0</v>
      </c>
    </row>
    <row r="1874" spans="1:15" ht="15" customHeight="1" x14ac:dyDescent="0.3">
      <c r="A1874" s="23" t="s">
        <v>4232</v>
      </c>
      <c r="B1874" s="38">
        <v>46282</v>
      </c>
      <c r="C1874" s="23" t="s">
        <v>4233</v>
      </c>
      <c r="D1874" s="23" t="s">
        <v>91</v>
      </c>
      <c r="E1874" s="23" t="s">
        <v>75</v>
      </c>
      <c r="F1874" s="23" t="s">
        <v>1552</v>
      </c>
      <c r="G1874" s="23" t="s">
        <v>250</v>
      </c>
      <c r="H1874" s="39">
        <f t="shared" si="116"/>
        <v>9797</v>
      </c>
      <c r="I1874" s="23" t="str">
        <f t="shared" si="117"/>
        <v>Pune</v>
      </c>
      <c r="J1874" s="23">
        <f>COUNTIFS(pg_transaction_cleaned!$O:$O,A1874,pg_transaction_cleaned!$F:$F,"CAPTURE")</f>
        <v>1</v>
      </c>
      <c r="K1874" s="39">
        <f>SUMIFS(pg_transaction_cleaned!$H:$H,pg_transaction_cleaned!$O:$O,A1874,pg_transaction_cleaned!$F:$F,"CAPTURE")</f>
        <v>9797</v>
      </c>
      <c r="L1874" s="23">
        <f>COUNTIFS(pg_transaction_cleaned!$O:$O,A1874,pg_transaction_cleaned!$F:$F,"REFUND")</f>
        <v>0</v>
      </c>
      <c r="M1874" s="39">
        <f>SUMIFS(pg_transaction_cleaned!$H:$H,pg_transaction_cleaned!$O:$O,A1874,pg_transaction_cleaned!$F:$F,"REFUND")</f>
        <v>0</v>
      </c>
      <c r="N1874" s="23" t="str">
        <f t="shared" si="118"/>
        <v>OK</v>
      </c>
      <c r="O1874" s="24">
        <f t="shared" si="119"/>
        <v>0</v>
      </c>
    </row>
    <row r="1875" spans="1:15" ht="15" customHeight="1" x14ac:dyDescent="0.3">
      <c r="A1875" s="23" t="s">
        <v>4234</v>
      </c>
      <c r="B1875" s="38">
        <v>46266</v>
      </c>
      <c r="C1875" s="23" t="s">
        <v>4235</v>
      </c>
      <c r="D1875" s="23" t="s">
        <v>90</v>
      </c>
      <c r="E1875" s="23" t="s">
        <v>79</v>
      </c>
      <c r="F1875" s="23" t="s">
        <v>291</v>
      </c>
      <c r="G1875" s="23" t="s">
        <v>250</v>
      </c>
      <c r="H1875" s="39">
        <f t="shared" si="116"/>
        <v>3499</v>
      </c>
      <c r="I1875" s="23" t="str">
        <f t="shared" si="117"/>
        <v>Ahmedabad</v>
      </c>
      <c r="J1875" s="23">
        <f>COUNTIFS(pg_transaction_cleaned!$O:$O,A1875,pg_transaction_cleaned!$F:$F,"CAPTURE")</f>
        <v>1</v>
      </c>
      <c r="K1875" s="39">
        <f>SUMIFS(pg_transaction_cleaned!$H:$H,pg_transaction_cleaned!$O:$O,A1875,pg_transaction_cleaned!$F:$F,"CAPTURE")</f>
        <v>3499</v>
      </c>
      <c r="L1875" s="23">
        <f>COUNTIFS(pg_transaction_cleaned!$O:$O,A1875,pg_transaction_cleaned!$F:$F,"REFUND")</f>
        <v>0</v>
      </c>
      <c r="M1875" s="39">
        <f>SUMIFS(pg_transaction_cleaned!$H:$H,pg_transaction_cleaned!$O:$O,A1875,pg_transaction_cleaned!$F:$F,"REFUND")</f>
        <v>0</v>
      </c>
      <c r="N1875" s="23" t="str">
        <f t="shared" si="118"/>
        <v>OK</v>
      </c>
      <c r="O1875" s="24">
        <f t="shared" si="119"/>
        <v>0</v>
      </c>
    </row>
    <row r="1876" spans="1:15" ht="15" customHeight="1" x14ac:dyDescent="0.3">
      <c r="A1876" s="23" t="s">
        <v>4236</v>
      </c>
      <c r="B1876" s="38">
        <v>46276</v>
      </c>
      <c r="C1876" s="23" t="s">
        <v>4237</v>
      </c>
      <c r="D1876" s="23" t="s">
        <v>94</v>
      </c>
      <c r="E1876" s="23" t="s">
        <v>79</v>
      </c>
      <c r="F1876" s="23" t="s">
        <v>249</v>
      </c>
      <c r="G1876" s="23" t="s">
        <v>250</v>
      </c>
      <c r="H1876" s="39">
        <f t="shared" si="116"/>
        <v>299</v>
      </c>
      <c r="I1876" s="23" t="str">
        <f t="shared" si="117"/>
        <v>Chennai</v>
      </c>
      <c r="J1876" s="23">
        <f>COUNTIFS(pg_transaction_cleaned!$O:$O,A1876,pg_transaction_cleaned!$F:$F,"CAPTURE")</f>
        <v>1</v>
      </c>
      <c r="K1876" s="39">
        <f>SUMIFS(pg_transaction_cleaned!$H:$H,pg_transaction_cleaned!$O:$O,A1876,pg_transaction_cleaned!$F:$F,"CAPTURE")</f>
        <v>299</v>
      </c>
      <c r="L1876" s="23">
        <f>COUNTIFS(pg_transaction_cleaned!$O:$O,A1876,pg_transaction_cleaned!$F:$F,"REFUND")</f>
        <v>0</v>
      </c>
      <c r="M1876" s="39">
        <f>SUMIFS(pg_transaction_cleaned!$H:$H,pg_transaction_cleaned!$O:$O,A1876,pg_transaction_cleaned!$F:$F,"REFUND")</f>
        <v>0</v>
      </c>
      <c r="N1876" s="23" t="str">
        <f t="shared" si="118"/>
        <v>OK</v>
      </c>
      <c r="O1876" s="24">
        <f t="shared" si="119"/>
        <v>0</v>
      </c>
    </row>
    <row r="1877" spans="1:15" ht="15" customHeight="1" x14ac:dyDescent="0.3">
      <c r="A1877" s="23" t="s">
        <v>4238</v>
      </c>
      <c r="B1877" s="38">
        <v>46286</v>
      </c>
      <c r="C1877" s="23" t="s">
        <v>4239</v>
      </c>
      <c r="D1877" s="23" t="s">
        <v>92</v>
      </c>
      <c r="E1877" s="23" t="s">
        <v>77</v>
      </c>
      <c r="F1877" s="23" t="s">
        <v>357</v>
      </c>
      <c r="G1877" s="23" t="s">
        <v>250</v>
      </c>
      <c r="H1877" s="39">
        <f t="shared" si="116"/>
        <v>1598</v>
      </c>
      <c r="I1877" s="23" t="str">
        <f t="shared" si="117"/>
        <v>Hyderabad</v>
      </c>
      <c r="J1877" s="23">
        <f>COUNTIFS(pg_transaction_cleaned!$O:$O,A1877,pg_transaction_cleaned!$F:$F,"CAPTURE")</f>
        <v>1</v>
      </c>
      <c r="K1877" s="39">
        <f>SUMIFS(pg_transaction_cleaned!$H:$H,pg_transaction_cleaned!$O:$O,A1877,pg_transaction_cleaned!$F:$F,"CAPTURE")</f>
        <v>1598</v>
      </c>
      <c r="L1877" s="23">
        <f>COUNTIFS(pg_transaction_cleaned!$O:$O,A1877,pg_transaction_cleaned!$F:$F,"REFUND")</f>
        <v>0</v>
      </c>
      <c r="M1877" s="39">
        <f>SUMIFS(pg_transaction_cleaned!$H:$H,pg_transaction_cleaned!$O:$O,A1877,pg_transaction_cleaned!$F:$F,"REFUND")</f>
        <v>0</v>
      </c>
      <c r="N1877" s="23" t="str">
        <f t="shared" si="118"/>
        <v>OK</v>
      </c>
      <c r="O1877" s="24">
        <f t="shared" si="119"/>
        <v>0</v>
      </c>
    </row>
    <row r="1878" spans="1:15" ht="15" customHeight="1" x14ac:dyDescent="0.3">
      <c r="A1878" s="23" t="s">
        <v>4240</v>
      </c>
      <c r="B1878" s="38">
        <v>46292</v>
      </c>
      <c r="C1878" s="23" t="s">
        <v>4241</v>
      </c>
      <c r="D1878" s="23" t="s">
        <v>92</v>
      </c>
      <c r="E1878" s="23" t="s">
        <v>79</v>
      </c>
      <c r="F1878" s="23" t="s">
        <v>499</v>
      </c>
      <c r="G1878" s="23" t="s">
        <v>250</v>
      </c>
      <c r="H1878" s="39">
        <f t="shared" si="116"/>
        <v>5998</v>
      </c>
      <c r="I1878" s="23" t="str">
        <f t="shared" si="117"/>
        <v>Hyderabad</v>
      </c>
      <c r="J1878" s="23">
        <f>COUNTIFS(pg_transaction_cleaned!$O:$O,A1878,pg_transaction_cleaned!$F:$F,"CAPTURE")</f>
        <v>1</v>
      </c>
      <c r="K1878" s="39">
        <f>SUMIFS(pg_transaction_cleaned!$H:$H,pg_transaction_cleaned!$O:$O,A1878,pg_transaction_cleaned!$F:$F,"CAPTURE")</f>
        <v>5998</v>
      </c>
      <c r="L1878" s="23">
        <f>COUNTIFS(pg_transaction_cleaned!$O:$O,A1878,pg_transaction_cleaned!$F:$F,"REFUND")</f>
        <v>0</v>
      </c>
      <c r="M1878" s="39">
        <f>SUMIFS(pg_transaction_cleaned!$H:$H,pg_transaction_cleaned!$O:$O,A1878,pg_transaction_cleaned!$F:$F,"REFUND")</f>
        <v>0</v>
      </c>
      <c r="N1878" s="23" t="str">
        <f t="shared" si="118"/>
        <v>OK</v>
      </c>
      <c r="O1878" s="24">
        <f t="shared" si="119"/>
        <v>0</v>
      </c>
    </row>
    <row r="1879" spans="1:15" ht="15" customHeight="1" x14ac:dyDescent="0.3">
      <c r="A1879" s="23" t="s">
        <v>4242</v>
      </c>
      <c r="B1879" s="38">
        <v>46283</v>
      </c>
      <c r="C1879" s="23" t="s">
        <v>4243</v>
      </c>
      <c r="D1879" s="23" t="s">
        <v>95</v>
      </c>
      <c r="E1879" s="23" t="s">
        <v>79</v>
      </c>
      <c r="F1879" s="23" t="s">
        <v>499</v>
      </c>
      <c r="G1879" s="23" t="s">
        <v>250</v>
      </c>
      <c r="H1879" s="39">
        <f t="shared" si="116"/>
        <v>5998</v>
      </c>
      <c r="I1879" s="23" t="str">
        <f t="shared" si="117"/>
        <v>Bengaluru</v>
      </c>
      <c r="J1879" s="23">
        <f>COUNTIFS(pg_transaction_cleaned!$O:$O,A1879,pg_transaction_cleaned!$F:$F,"CAPTURE")</f>
        <v>1</v>
      </c>
      <c r="K1879" s="39">
        <f>SUMIFS(pg_transaction_cleaned!$H:$H,pg_transaction_cleaned!$O:$O,A1879,pg_transaction_cleaned!$F:$F,"CAPTURE")</f>
        <v>5998</v>
      </c>
      <c r="L1879" s="23">
        <f>COUNTIFS(pg_transaction_cleaned!$O:$O,A1879,pg_transaction_cleaned!$F:$F,"REFUND")</f>
        <v>0</v>
      </c>
      <c r="M1879" s="39">
        <f>SUMIFS(pg_transaction_cleaned!$H:$H,pg_transaction_cleaned!$O:$O,A1879,pg_transaction_cleaned!$F:$F,"REFUND")</f>
        <v>0</v>
      </c>
      <c r="N1879" s="23" t="str">
        <f t="shared" si="118"/>
        <v>OK</v>
      </c>
      <c r="O1879" s="24">
        <f t="shared" si="119"/>
        <v>0</v>
      </c>
    </row>
    <row r="1880" spans="1:15" ht="15" customHeight="1" x14ac:dyDescent="0.3">
      <c r="A1880" s="23" t="s">
        <v>4244</v>
      </c>
      <c r="B1880" s="38">
        <v>46274</v>
      </c>
      <c r="C1880" s="23" t="s">
        <v>4245</v>
      </c>
      <c r="D1880" s="23" t="s">
        <v>88</v>
      </c>
      <c r="E1880" s="23" t="s">
        <v>75</v>
      </c>
      <c r="F1880" s="23" t="s">
        <v>475</v>
      </c>
      <c r="G1880" s="23" t="s">
        <v>250</v>
      </c>
      <c r="H1880" s="39">
        <f t="shared" si="116"/>
        <v>799</v>
      </c>
      <c r="I1880" s="23" t="str">
        <f t="shared" si="117"/>
        <v>Lucknow</v>
      </c>
      <c r="J1880" s="23">
        <f>COUNTIFS(pg_transaction_cleaned!$O:$O,A1880,pg_transaction_cleaned!$F:$F,"CAPTURE")</f>
        <v>1</v>
      </c>
      <c r="K1880" s="39">
        <f>SUMIFS(pg_transaction_cleaned!$H:$H,pg_transaction_cleaned!$O:$O,A1880,pg_transaction_cleaned!$F:$F,"CAPTURE")</f>
        <v>799</v>
      </c>
      <c r="L1880" s="23">
        <f>COUNTIFS(pg_transaction_cleaned!$O:$O,A1880,pg_transaction_cleaned!$F:$F,"REFUND")</f>
        <v>0</v>
      </c>
      <c r="M1880" s="39">
        <f>SUMIFS(pg_transaction_cleaned!$H:$H,pg_transaction_cleaned!$O:$O,A1880,pg_transaction_cleaned!$F:$F,"REFUND")</f>
        <v>0</v>
      </c>
      <c r="N1880" s="23" t="str">
        <f t="shared" si="118"/>
        <v>OK</v>
      </c>
      <c r="O1880" s="24">
        <f t="shared" si="119"/>
        <v>0</v>
      </c>
    </row>
    <row r="1881" spans="1:15" ht="15" customHeight="1" x14ac:dyDescent="0.3">
      <c r="A1881" s="23" t="s">
        <v>4246</v>
      </c>
      <c r="B1881" s="38">
        <v>46286</v>
      </c>
      <c r="C1881" s="23" t="s">
        <v>4247</v>
      </c>
      <c r="D1881" s="23" t="s">
        <v>88</v>
      </c>
      <c r="E1881" s="23" t="s">
        <v>79</v>
      </c>
      <c r="F1881" s="23" t="s">
        <v>1193</v>
      </c>
      <c r="G1881" s="23" t="s">
        <v>250</v>
      </c>
      <c r="H1881" s="39">
        <f t="shared" si="116"/>
        <v>3498</v>
      </c>
      <c r="I1881" s="23" t="str">
        <f t="shared" si="117"/>
        <v>Lucknow</v>
      </c>
      <c r="J1881" s="23">
        <f>COUNTIFS(pg_transaction_cleaned!$O:$O,A1881,pg_transaction_cleaned!$F:$F,"CAPTURE")</f>
        <v>1</v>
      </c>
      <c r="K1881" s="39">
        <f>SUMIFS(pg_transaction_cleaned!$H:$H,pg_transaction_cleaned!$O:$O,A1881,pg_transaction_cleaned!$F:$F,"CAPTURE")</f>
        <v>3498</v>
      </c>
      <c r="L1881" s="23">
        <f>COUNTIFS(pg_transaction_cleaned!$O:$O,A1881,pg_transaction_cleaned!$F:$F,"REFUND")</f>
        <v>0</v>
      </c>
      <c r="M1881" s="39">
        <f>SUMIFS(pg_transaction_cleaned!$H:$H,pg_transaction_cleaned!$O:$O,A1881,pg_transaction_cleaned!$F:$F,"REFUND")</f>
        <v>0</v>
      </c>
      <c r="N1881" s="23" t="str">
        <f t="shared" si="118"/>
        <v>OK</v>
      </c>
      <c r="O1881" s="24">
        <f t="shared" si="119"/>
        <v>0</v>
      </c>
    </row>
    <row r="1882" spans="1:15" ht="15" customHeight="1" x14ac:dyDescent="0.3">
      <c r="A1882" s="23" t="s">
        <v>4248</v>
      </c>
      <c r="B1882" s="38">
        <v>46287</v>
      </c>
      <c r="C1882" s="23" t="s">
        <v>4249</v>
      </c>
      <c r="D1882" s="23" t="s">
        <v>91</v>
      </c>
      <c r="E1882" s="23" t="s">
        <v>75</v>
      </c>
      <c r="F1882" s="23" t="s">
        <v>4250</v>
      </c>
      <c r="G1882" s="23" t="s">
        <v>250</v>
      </c>
      <c r="H1882" s="39">
        <f t="shared" si="116"/>
        <v>1098</v>
      </c>
      <c r="I1882" s="23" t="str">
        <f t="shared" si="117"/>
        <v>Pune</v>
      </c>
      <c r="J1882" s="23">
        <f>COUNTIFS(pg_transaction_cleaned!$O:$O,A1882,pg_transaction_cleaned!$F:$F,"CAPTURE")</f>
        <v>1</v>
      </c>
      <c r="K1882" s="39">
        <f>SUMIFS(pg_transaction_cleaned!$H:$H,pg_transaction_cleaned!$O:$O,A1882,pg_transaction_cleaned!$F:$F,"CAPTURE")</f>
        <v>1098</v>
      </c>
      <c r="L1882" s="23">
        <f>COUNTIFS(pg_transaction_cleaned!$O:$O,A1882,pg_transaction_cleaned!$F:$F,"REFUND")</f>
        <v>0</v>
      </c>
      <c r="M1882" s="39">
        <f>SUMIFS(pg_transaction_cleaned!$H:$H,pg_transaction_cleaned!$O:$O,A1882,pg_transaction_cleaned!$F:$F,"REFUND")</f>
        <v>0</v>
      </c>
      <c r="N1882" s="23" t="str">
        <f t="shared" si="118"/>
        <v>OK</v>
      </c>
      <c r="O1882" s="24">
        <f t="shared" si="119"/>
        <v>0</v>
      </c>
    </row>
    <row r="1883" spans="1:15" ht="15" customHeight="1" x14ac:dyDescent="0.3">
      <c r="A1883" s="23" t="s">
        <v>4251</v>
      </c>
      <c r="B1883" s="38">
        <v>46295</v>
      </c>
      <c r="C1883" s="23" t="s">
        <v>4252</v>
      </c>
      <c r="D1883" s="23" t="s">
        <v>91</v>
      </c>
      <c r="E1883" s="23" t="s">
        <v>81</v>
      </c>
      <c r="F1883" s="23" t="s">
        <v>1352</v>
      </c>
      <c r="G1883" s="23" t="s">
        <v>250</v>
      </c>
      <c r="H1883" s="39">
        <f t="shared" si="116"/>
        <v>998</v>
      </c>
      <c r="I1883" s="23" t="str">
        <f t="shared" si="117"/>
        <v>Pune</v>
      </c>
      <c r="J1883" s="23">
        <f>COUNTIFS(pg_transaction_cleaned!$O:$O,A1883,pg_transaction_cleaned!$F:$F,"CAPTURE")</f>
        <v>1</v>
      </c>
      <c r="K1883" s="39">
        <f>SUMIFS(pg_transaction_cleaned!$H:$H,pg_transaction_cleaned!$O:$O,A1883,pg_transaction_cleaned!$F:$F,"CAPTURE")</f>
        <v>998</v>
      </c>
      <c r="L1883" s="23">
        <f>COUNTIFS(pg_transaction_cleaned!$O:$O,A1883,pg_transaction_cleaned!$F:$F,"REFUND")</f>
        <v>0</v>
      </c>
      <c r="M1883" s="39">
        <f>SUMIFS(pg_transaction_cleaned!$H:$H,pg_transaction_cleaned!$O:$O,A1883,pg_transaction_cleaned!$F:$F,"REFUND")</f>
        <v>0</v>
      </c>
      <c r="N1883" s="23" t="str">
        <f t="shared" si="118"/>
        <v>OK</v>
      </c>
      <c r="O1883" s="24">
        <f t="shared" si="119"/>
        <v>0</v>
      </c>
    </row>
    <row r="1884" spans="1:15" ht="15" customHeight="1" x14ac:dyDescent="0.3">
      <c r="A1884" s="23" t="s">
        <v>4253</v>
      </c>
      <c r="B1884" s="38">
        <v>46294</v>
      </c>
      <c r="C1884" s="23" t="s">
        <v>4254</v>
      </c>
      <c r="D1884" s="23"/>
      <c r="E1884" s="23" t="s">
        <v>75</v>
      </c>
      <c r="F1884" s="23" t="s">
        <v>262</v>
      </c>
      <c r="G1884" s="23" t="s">
        <v>250</v>
      </c>
      <c r="H1884" s="39">
        <f t="shared" si="116"/>
        <v>499</v>
      </c>
      <c r="I1884" s="23" t="str">
        <f t="shared" si="117"/>
        <v>Unknown</v>
      </c>
      <c r="J1884" s="23">
        <f>COUNTIFS(pg_transaction_cleaned!$O:$O,A1884,pg_transaction_cleaned!$F:$F,"CAPTURE")</f>
        <v>1</v>
      </c>
      <c r="K1884" s="39">
        <f>SUMIFS(pg_transaction_cleaned!$H:$H,pg_transaction_cleaned!$O:$O,A1884,pg_transaction_cleaned!$F:$F,"CAPTURE")</f>
        <v>499</v>
      </c>
      <c r="L1884" s="23">
        <f>COUNTIFS(pg_transaction_cleaned!$O:$O,A1884,pg_transaction_cleaned!$F:$F,"REFUND")</f>
        <v>0</v>
      </c>
      <c r="M1884" s="39">
        <f>SUMIFS(pg_transaction_cleaned!$H:$H,pg_transaction_cleaned!$O:$O,A1884,pg_transaction_cleaned!$F:$F,"REFUND")</f>
        <v>0</v>
      </c>
      <c r="N1884" s="23" t="str">
        <f t="shared" si="118"/>
        <v>OK</v>
      </c>
      <c r="O1884" s="24">
        <f t="shared" si="119"/>
        <v>0</v>
      </c>
    </row>
    <row r="1885" spans="1:15" ht="15" customHeight="1" x14ac:dyDescent="0.3">
      <c r="A1885" s="23" t="s">
        <v>4255</v>
      </c>
      <c r="B1885" s="38">
        <v>46276</v>
      </c>
      <c r="C1885" s="23" t="s">
        <v>4256</v>
      </c>
      <c r="D1885" s="23" t="s">
        <v>93</v>
      </c>
      <c r="E1885" s="23" t="s">
        <v>75</v>
      </c>
      <c r="F1885" s="23" t="s">
        <v>294</v>
      </c>
      <c r="G1885" s="23" t="s">
        <v>250</v>
      </c>
      <c r="H1885" s="39">
        <f t="shared" si="116"/>
        <v>1799</v>
      </c>
      <c r="I1885" s="23" t="str">
        <f t="shared" si="117"/>
        <v>Kolkata</v>
      </c>
      <c r="J1885" s="23">
        <f>COUNTIFS(pg_transaction_cleaned!$O:$O,A1885,pg_transaction_cleaned!$F:$F,"CAPTURE")</f>
        <v>1</v>
      </c>
      <c r="K1885" s="39">
        <f>SUMIFS(pg_transaction_cleaned!$H:$H,pg_transaction_cleaned!$O:$O,A1885,pg_transaction_cleaned!$F:$F,"CAPTURE")</f>
        <v>1799</v>
      </c>
      <c r="L1885" s="23">
        <f>COUNTIFS(pg_transaction_cleaned!$O:$O,A1885,pg_transaction_cleaned!$F:$F,"REFUND")</f>
        <v>0</v>
      </c>
      <c r="M1885" s="39">
        <f>SUMIFS(pg_transaction_cleaned!$H:$H,pg_transaction_cleaned!$O:$O,A1885,pg_transaction_cleaned!$F:$F,"REFUND")</f>
        <v>0</v>
      </c>
      <c r="N1885" s="23" t="str">
        <f t="shared" si="118"/>
        <v>OK</v>
      </c>
      <c r="O1885" s="24">
        <f t="shared" si="119"/>
        <v>0</v>
      </c>
    </row>
    <row r="1886" spans="1:15" ht="15" customHeight="1" x14ac:dyDescent="0.3">
      <c r="A1886" s="23" t="s">
        <v>4257</v>
      </c>
      <c r="B1886" s="38">
        <v>46290</v>
      </c>
      <c r="C1886" s="23" t="s">
        <v>4258</v>
      </c>
      <c r="D1886" s="23" t="s">
        <v>89</v>
      </c>
      <c r="E1886" s="23" t="s">
        <v>81</v>
      </c>
      <c r="F1886" s="23" t="s">
        <v>520</v>
      </c>
      <c r="G1886" s="23" t="s">
        <v>250</v>
      </c>
      <c r="H1886" s="39">
        <f t="shared" si="116"/>
        <v>4998</v>
      </c>
      <c r="I1886" s="23" t="str">
        <f t="shared" si="117"/>
        <v>Jaipur</v>
      </c>
      <c r="J1886" s="23">
        <f>COUNTIFS(pg_transaction_cleaned!$O:$O,A1886,pg_transaction_cleaned!$F:$F,"CAPTURE")</f>
        <v>1</v>
      </c>
      <c r="K1886" s="39">
        <f>SUMIFS(pg_transaction_cleaned!$H:$H,pg_transaction_cleaned!$O:$O,A1886,pg_transaction_cleaned!$F:$F,"CAPTURE")</f>
        <v>4998</v>
      </c>
      <c r="L1886" s="23">
        <f>COUNTIFS(pg_transaction_cleaned!$O:$O,A1886,pg_transaction_cleaned!$F:$F,"REFUND")</f>
        <v>0</v>
      </c>
      <c r="M1886" s="39">
        <f>SUMIFS(pg_transaction_cleaned!$H:$H,pg_transaction_cleaned!$O:$O,A1886,pg_transaction_cleaned!$F:$F,"REFUND")</f>
        <v>0</v>
      </c>
      <c r="N1886" s="23" t="str">
        <f t="shared" si="118"/>
        <v>OK</v>
      </c>
      <c r="O1886" s="24">
        <f t="shared" si="119"/>
        <v>0</v>
      </c>
    </row>
    <row r="1887" spans="1:15" ht="15" customHeight="1" x14ac:dyDescent="0.3">
      <c r="A1887" s="23" t="s">
        <v>4259</v>
      </c>
      <c r="B1887" s="38">
        <v>46268</v>
      </c>
      <c r="C1887" s="23" t="s">
        <v>4260</v>
      </c>
      <c r="D1887" s="23" t="s">
        <v>86</v>
      </c>
      <c r="E1887" s="23" t="s">
        <v>77</v>
      </c>
      <c r="F1887" s="23" t="s">
        <v>1428</v>
      </c>
      <c r="G1887" s="23" t="s">
        <v>318</v>
      </c>
      <c r="H1887" s="39">
        <f t="shared" si="116"/>
        <v>8598</v>
      </c>
      <c r="I1887" s="23" t="str">
        <f t="shared" si="117"/>
        <v>Delhi</v>
      </c>
      <c r="J1887" s="23">
        <f>COUNTIFS(pg_transaction_cleaned!$O:$O,A1887,pg_transaction_cleaned!$F:$F,"CAPTURE")</f>
        <v>0</v>
      </c>
      <c r="K1887" s="39">
        <f>SUMIFS(pg_transaction_cleaned!$H:$H,pg_transaction_cleaned!$O:$O,A1887,pg_transaction_cleaned!$F:$F,"CAPTURE")</f>
        <v>0</v>
      </c>
      <c r="L1887" s="23">
        <f>COUNTIFS(pg_transaction_cleaned!$O:$O,A1887,pg_transaction_cleaned!$F:$F,"REFUND")</f>
        <v>0</v>
      </c>
      <c r="M1887" s="39">
        <f>SUMIFS(pg_transaction_cleaned!$H:$H,pg_transaction_cleaned!$O:$O,A1887,pg_transaction_cleaned!$F:$F,"REFUND")</f>
        <v>0</v>
      </c>
      <c r="N1887" s="23" t="str">
        <f t="shared" si="118"/>
        <v>OK</v>
      </c>
      <c r="O1887" s="24">
        <f t="shared" si="119"/>
        <v>0</v>
      </c>
    </row>
    <row r="1888" spans="1:15" ht="15" customHeight="1" x14ac:dyDescent="0.3">
      <c r="A1888" s="23" t="s">
        <v>4261</v>
      </c>
      <c r="B1888" s="38">
        <v>46292</v>
      </c>
      <c r="C1888" s="23" t="s">
        <v>4262</v>
      </c>
      <c r="D1888" s="23" t="s">
        <v>91</v>
      </c>
      <c r="E1888" s="23" t="s">
        <v>79</v>
      </c>
      <c r="F1888" s="23" t="s">
        <v>259</v>
      </c>
      <c r="G1888" s="23" t="s">
        <v>250</v>
      </c>
      <c r="H1888" s="39">
        <f t="shared" si="116"/>
        <v>3298</v>
      </c>
      <c r="I1888" s="23" t="str">
        <f t="shared" si="117"/>
        <v>Pune</v>
      </c>
      <c r="J1888" s="23">
        <f>COUNTIFS(pg_transaction_cleaned!$O:$O,A1888,pg_transaction_cleaned!$F:$F,"CAPTURE")</f>
        <v>1</v>
      </c>
      <c r="K1888" s="39">
        <f>SUMIFS(pg_transaction_cleaned!$H:$H,pg_transaction_cleaned!$O:$O,A1888,pg_transaction_cleaned!$F:$F,"CAPTURE")</f>
        <v>3298</v>
      </c>
      <c r="L1888" s="23">
        <f>COUNTIFS(pg_transaction_cleaned!$O:$O,A1888,pg_transaction_cleaned!$F:$F,"REFUND")</f>
        <v>0</v>
      </c>
      <c r="M1888" s="39">
        <f>SUMIFS(pg_transaction_cleaned!$H:$H,pg_transaction_cleaned!$O:$O,A1888,pg_transaction_cleaned!$F:$F,"REFUND")</f>
        <v>0</v>
      </c>
      <c r="N1888" s="23" t="str">
        <f t="shared" si="118"/>
        <v>OK</v>
      </c>
      <c r="O1888" s="24">
        <f t="shared" si="119"/>
        <v>0</v>
      </c>
    </row>
    <row r="1889" spans="1:15" ht="15" customHeight="1" x14ac:dyDescent="0.3">
      <c r="A1889" s="23" t="s">
        <v>4263</v>
      </c>
      <c r="B1889" s="38">
        <v>46283</v>
      </c>
      <c r="C1889" s="23" t="s">
        <v>4264</v>
      </c>
      <c r="D1889" s="23" t="s">
        <v>94</v>
      </c>
      <c r="E1889" s="23" t="s">
        <v>81</v>
      </c>
      <c r="F1889" s="23" t="s">
        <v>337</v>
      </c>
      <c r="G1889" s="23" t="s">
        <v>250</v>
      </c>
      <c r="H1889" s="39">
        <f t="shared" si="116"/>
        <v>3998</v>
      </c>
      <c r="I1889" s="23" t="str">
        <f t="shared" si="117"/>
        <v>Chennai</v>
      </c>
      <c r="J1889" s="23">
        <f>COUNTIFS(pg_transaction_cleaned!$O:$O,A1889,pg_transaction_cleaned!$F:$F,"CAPTURE")</f>
        <v>1</v>
      </c>
      <c r="K1889" s="39">
        <f>SUMIFS(pg_transaction_cleaned!$H:$H,pg_transaction_cleaned!$O:$O,A1889,pg_transaction_cleaned!$F:$F,"CAPTURE")</f>
        <v>3998</v>
      </c>
      <c r="L1889" s="23">
        <f>COUNTIFS(pg_transaction_cleaned!$O:$O,A1889,pg_transaction_cleaned!$F:$F,"REFUND")</f>
        <v>0</v>
      </c>
      <c r="M1889" s="39">
        <f>SUMIFS(pg_transaction_cleaned!$H:$H,pg_transaction_cleaned!$O:$O,A1889,pg_transaction_cleaned!$F:$F,"REFUND")</f>
        <v>0</v>
      </c>
      <c r="N1889" s="23" t="str">
        <f t="shared" si="118"/>
        <v>OK</v>
      </c>
      <c r="O1889" s="24">
        <f t="shared" si="119"/>
        <v>0</v>
      </c>
    </row>
    <row r="1890" spans="1:15" ht="15" customHeight="1" x14ac:dyDescent="0.3">
      <c r="A1890" s="23" t="s">
        <v>4265</v>
      </c>
      <c r="B1890" s="38">
        <v>46289</v>
      </c>
      <c r="C1890" s="23" t="s">
        <v>4266</v>
      </c>
      <c r="D1890" s="23" t="s">
        <v>93</v>
      </c>
      <c r="E1890" s="23" t="s">
        <v>77</v>
      </c>
      <c r="F1890" s="23" t="s">
        <v>370</v>
      </c>
      <c r="G1890" s="23" t="s">
        <v>250</v>
      </c>
      <c r="H1890" s="39">
        <f t="shared" si="116"/>
        <v>3098</v>
      </c>
      <c r="I1890" s="23" t="str">
        <f t="shared" si="117"/>
        <v>Kolkata</v>
      </c>
      <c r="J1890" s="23">
        <f>COUNTIFS(pg_transaction_cleaned!$O:$O,A1890,pg_transaction_cleaned!$F:$F,"CAPTURE")</f>
        <v>1</v>
      </c>
      <c r="K1890" s="39">
        <f>SUMIFS(pg_transaction_cleaned!$H:$H,pg_transaction_cleaned!$O:$O,A1890,pg_transaction_cleaned!$F:$F,"CAPTURE")</f>
        <v>3098</v>
      </c>
      <c r="L1890" s="23">
        <f>COUNTIFS(pg_transaction_cleaned!$O:$O,A1890,pg_transaction_cleaned!$F:$F,"REFUND")</f>
        <v>0</v>
      </c>
      <c r="M1890" s="39">
        <f>SUMIFS(pg_transaction_cleaned!$H:$H,pg_transaction_cleaned!$O:$O,A1890,pg_transaction_cleaned!$F:$F,"REFUND")</f>
        <v>0</v>
      </c>
      <c r="N1890" s="23" t="str">
        <f t="shared" si="118"/>
        <v>OK</v>
      </c>
      <c r="O1890" s="24">
        <f t="shared" si="119"/>
        <v>0</v>
      </c>
    </row>
    <row r="1891" spans="1:15" ht="15" customHeight="1" x14ac:dyDescent="0.3">
      <c r="A1891" s="23" t="s">
        <v>4267</v>
      </c>
      <c r="B1891" s="38">
        <v>46277</v>
      </c>
      <c r="C1891" s="23" t="s">
        <v>4268</v>
      </c>
      <c r="D1891" s="23" t="s">
        <v>89</v>
      </c>
      <c r="E1891" s="23" t="s">
        <v>75</v>
      </c>
      <c r="F1891" s="23" t="s">
        <v>291</v>
      </c>
      <c r="G1891" s="23" t="s">
        <v>301</v>
      </c>
      <c r="H1891" s="39">
        <f t="shared" si="116"/>
        <v>3499</v>
      </c>
      <c r="I1891" s="23" t="str">
        <f t="shared" si="117"/>
        <v>Jaipur</v>
      </c>
      <c r="J1891" s="23">
        <f>COUNTIFS(pg_transaction_cleaned!$O:$O,A1891,pg_transaction_cleaned!$F:$F,"CAPTURE")</f>
        <v>1</v>
      </c>
      <c r="K1891" s="39">
        <f>SUMIFS(pg_transaction_cleaned!$H:$H,pg_transaction_cleaned!$O:$O,A1891,pg_transaction_cleaned!$F:$F,"CAPTURE")</f>
        <v>3499</v>
      </c>
      <c r="L1891" s="23">
        <f>COUNTIFS(pg_transaction_cleaned!$O:$O,A1891,pg_transaction_cleaned!$F:$F,"REFUND")</f>
        <v>1</v>
      </c>
      <c r="M1891" s="39">
        <f>SUMIFS(pg_transaction_cleaned!$H:$H,pg_transaction_cleaned!$O:$O,A1891,pg_transaction_cleaned!$F:$F,"REFUND")</f>
        <v>3499</v>
      </c>
      <c r="N1891" s="23" t="str">
        <f t="shared" si="118"/>
        <v>OK</v>
      </c>
      <c r="O1891" s="24">
        <f t="shared" si="119"/>
        <v>0</v>
      </c>
    </row>
    <row r="1892" spans="1:15" ht="15" customHeight="1" x14ac:dyDescent="0.3">
      <c r="A1892" s="23" t="s">
        <v>4269</v>
      </c>
      <c r="B1892" s="38">
        <v>46272</v>
      </c>
      <c r="C1892" s="23" t="s">
        <v>4270</v>
      </c>
      <c r="D1892" s="23" t="s">
        <v>92</v>
      </c>
      <c r="E1892" s="23" t="s">
        <v>75</v>
      </c>
      <c r="F1892" s="23" t="s">
        <v>271</v>
      </c>
      <c r="G1892" s="23" t="s">
        <v>250</v>
      </c>
      <c r="H1892" s="39">
        <f t="shared" si="116"/>
        <v>2499</v>
      </c>
      <c r="I1892" s="23" t="str">
        <f t="shared" si="117"/>
        <v>Hyderabad</v>
      </c>
      <c r="J1892" s="23">
        <f>COUNTIFS(pg_transaction_cleaned!$O:$O,A1892,pg_transaction_cleaned!$F:$F,"CAPTURE")</f>
        <v>1</v>
      </c>
      <c r="K1892" s="39">
        <f>SUMIFS(pg_transaction_cleaned!$H:$H,pg_transaction_cleaned!$O:$O,A1892,pg_transaction_cleaned!$F:$F,"CAPTURE")</f>
        <v>2499</v>
      </c>
      <c r="L1892" s="23">
        <f>COUNTIFS(pg_transaction_cleaned!$O:$O,A1892,pg_transaction_cleaned!$F:$F,"REFUND")</f>
        <v>0</v>
      </c>
      <c r="M1892" s="39">
        <f>SUMIFS(pg_transaction_cleaned!$H:$H,pg_transaction_cleaned!$O:$O,A1892,pg_transaction_cleaned!$F:$F,"REFUND")</f>
        <v>0</v>
      </c>
      <c r="N1892" s="23" t="str">
        <f t="shared" si="118"/>
        <v>OK</v>
      </c>
      <c r="O1892" s="24">
        <f t="shared" si="119"/>
        <v>0</v>
      </c>
    </row>
    <row r="1893" spans="1:15" ht="15" customHeight="1" x14ac:dyDescent="0.3">
      <c r="A1893" s="23" t="s">
        <v>4271</v>
      </c>
      <c r="B1893" s="38">
        <v>46282</v>
      </c>
      <c r="C1893" s="23" t="s">
        <v>4272</v>
      </c>
      <c r="D1893" s="23" t="s">
        <v>90</v>
      </c>
      <c r="E1893" s="23" t="s">
        <v>79</v>
      </c>
      <c r="F1893" s="23" t="s">
        <v>271</v>
      </c>
      <c r="G1893" s="23" t="s">
        <v>250</v>
      </c>
      <c r="H1893" s="39">
        <f t="shared" si="116"/>
        <v>2499</v>
      </c>
      <c r="I1893" s="23" t="str">
        <f t="shared" si="117"/>
        <v>Ahmedabad</v>
      </c>
      <c r="J1893" s="23">
        <f>COUNTIFS(pg_transaction_cleaned!$O:$O,A1893,pg_transaction_cleaned!$F:$F,"CAPTURE")</f>
        <v>1</v>
      </c>
      <c r="K1893" s="39">
        <f>SUMIFS(pg_transaction_cleaned!$H:$H,pg_transaction_cleaned!$O:$O,A1893,pg_transaction_cleaned!$F:$F,"CAPTURE")</f>
        <v>2499</v>
      </c>
      <c r="L1893" s="23">
        <f>COUNTIFS(pg_transaction_cleaned!$O:$O,A1893,pg_transaction_cleaned!$F:$F,"REFUND")</f>
        <v>0</v>
      </c>
      <c r="M1893" s="39">
        <f>SUMIFS(pg_transaction_cleaned!$H:$H,pg_transaction_cleaned!$O:$O,A1893,pg_transaction_cleaned!$F:$F,"REFUND")</f>
        <v>0</v>
      </c>
      <c r="N1893" s="23" t="str">
        <f t="shared" si="118"/>
        <v>OK</v>
      </c>
      <c r="O1893" s="24">
        <f t="shared" si="119"/>
        <v>0</v>
      </c>
    </row>
    <row r="1894" spans="1:15" ht="15" customHeight="1" x14ac:dyDescent="0.3">
      <c r="A1894" s="23" t="s">
        <v>4273</v>
      </c>
      <c r="B1894" s="38">
        <v>46278</v>
      </c>
      <c r="C1894" s="23" t="s">
        <v>4274</v>
      </c>
      <c r="D1894" s="23"/>
      <c r="E1894" s="23" t="s">
        <v>75</v>
      </c>
      <c r="F1894" s="23" t="s">
        <v>291</v>
      </c>
      <c r="G1894" s="23" t="s">
        <v>250</v>
      </c>
      <c r="H1894" s="39">
        <f t="shared" si="116"/>
        <v>3499</v>
      </c>
      <c r="I1894" s="23" t="str">
        <f t="shared" si="117"/>
        <v>Unknown</v>
      </c>
      <c r="J1894" s="23">
        <f>COUNTIFS(pg_transaction_cleaned!$O:$O,A1894,pg_transaction_cleaned!$F:$F,"CAPTURE")</f>
        <v>1</v>
      </c>
      <c r="K1894" s="39">
        <f>SUMIFS(pg_transaction_cleaned!$H:$H,pg_transaction_cleaned!$O:$O,A1894,pg_transaction_cleaned!$F:$F,"CAPTURE")</f>
        <v>3499</v>
      </c>
      <c r="L1894" s="23">
        <f>COUNTIFS(pg_transaction_cleaned!$O:$O,A1894,pg_transaction_cleaned!$F:$F,"REFUND")</f>
        <v>0</v>
      </c>
      <c r="M1894" s="39">
        <f>SUMIFS(pg_transaction_cleaned!$H:$H,pg_transaction_cleaned!$O:$O,A1894,pg_transaction_cleaned!$F:$F,"REFUND")</f>
        <v>0</v>
      </c>
      <c r="N1894" s="23" t="str">
        <f t="shared" si="118"/>
        <v>OK</v>
      </c>
      <c r="O1894" s="24">
        <f t="shared" si="119"/>
        <v>0</v>
      </c>
    </row>
    <row r="1895" spans="1:15" ht="15" customHeight="1" x14ac:dyDescent="0.3">
      <c r="A1895" s="23" t="s">
        <v>4275</v>
      </c>
      <c r="B1895" s="38">
        <v>46292</v>
      </c>
      <c r="C1895" s="23" t="s">
        <v>4276</v>
      </c>
      <c r="D1895" s="23" t="s">
        <v>90</v>
      </c>
      <c r="E1895" s="23" t="s">
        <v>75</v>
      </c>
      <c r="F1895" s="23" t="s">
        <v>310</v>
      </c>
      <c r="G1895" s="23" t="s">
        <v>250</v>
      </c>
      <c r="H1895" s="39">
        <f t="shared" si="116"/>
        <v>7999</v>
      </c>
      <c r="I1895" s="23" t="str">
        <f t="shared" si="117"/>
        <v>Ahmedabad</v>
      </c>
      <c r="J1895" s="23">
        <f>COUNTIFS(pg_transaction_cleaned!$O:$O,A1895,pg_transaction_cleaned!$F:$F,"CAPTURE")</f>
        <v>1</v>
      </c>
      <c r="K1895" s="39">
        <f>SUMIFS(pg_transaction_cleaned!$H:$H,pg_transaction_cleaned!$O:$O,A1895,pg_transaction_cleaned!$F:$F,"CAPTURE")</f>
        <v>7999</v>
      </c>
      <c r="L1895" s="23">
        <f>COUNTIFS(pg_transaction_cleaned!$O:$O,A1895,pg_transaction_cleaned!$F:$F,"REFUND")</f>
        <v>0</v>
      </c>
      <c r="M1895" s="39">
        <f>SUMIFS(pg_transaction_cleaned!$H:$H,pg_transaction_cleaned!$O:$O,A1895,pg_transaction_cleaned!$F:$F,"REFUND")</f>
        <v>0</v>
      </c>
      <c r="N1895" s="23" t="str">
        <f t="shared" si="118"/>
        <v>OK</v>
      </c>
      <c r="O1895" s="24">
        <f t="shared" si="119"/>
        <v>0</v>
      </c>
    </row>
    <row r="1896" spans="1:15" ht="15" customHeight="1" x14ac:dyDescent="0.3">
      <c r="A1896" s="23" t="s">
        <v>4277</v>
      </c>
      <c r="B1896" s="38">
        <v>46281</v>
      </c>
      <c r="C1896" s="23" t="s">
        <v>4278</v>
      </c>
      <c r="D1896" s="23" t="s">
        <v>91</v>
      </c>
      <c r="E1896" s="23" t="s">
        <v>79</v>
      </c>
      <c r="F1896" s="23" t="s">
        <v>315</v>
      </c>
      <c r="G1896" s="23" t="s">
        <v>250</v>
      </c>
      <c r="H1896" s="39">
        <f t="shared" si="116"/>
        <v>1499</v>
      </c>
      <c r="I1896" s="23" t="str">
        <f t="shared" si="117"/>
        <v>Pune</v>
      </c>
      <c r="J1896" s="23">
        <f>COUNTIFS(pg_transaction_cleaned!$O:$O,A1896,pg_transaction_cleaned!$F:$F,"CAPTURE")</f>
        <v>1</v>
      </c>
      <c r="K1896" s="39">
        <f>SUMIFS(pg_transaction_cleaned!$H:$H,pg_transaction_cleaned!$O:$O,A1896,pg_transaction_cleaned!$F:$F,"CAPTURE")</f>
        <v>1499</v>
      </c>
      <c r="L1896" s="23">
        <f>COUNTIFS(pg_transaction_cleaned!$O:$O,A1896,pg_transaction_cleaned!$F:$F,"REFUND")</f>
        <v>0</v>
      </c>
      <c r="M1896" s="39">
        <f>SUMIFS(pg_transaction_cleaned!$H:$H,pg_transaction_cleaned!$O:$O,A1896,pg_transaction_cleaned!$F:$F,"REFUND")</f>
        <v>0</v>
      </c>
      <c r="N1896" s="23" t="str">
        <f t="shared" si="118"/>
        <v>OK</v>
      </c>
      <c r="O1896" s="24">
        <f t="shared" si="119"/>
        <v>0</v>
      </c>
    </row>
    <row r="1897" spans="1:15" ht="15" customHeight="1" x14ac:dyDescent="0.3">
      <c r="A1897" s="23" t="s">
        <v>4279</v>
      </c>
      <c r="B1897" s="38">
        <v>46267</v>
      </c>
      <c r="C1897" s="23" t="s">
        <v>4280</v>
      </c>
      <c r="D1897" s="23" t="s">
        <v>86</v>
      </c>
      <c r="E1897" s="23" t="s">
        <v>79</v>
      </c>
      <c r="F1897" s="23" t="s">
        <v>249</v>
      </c>
      <c r="G1897" s="23" t="s">
        <v>250</v>
      </c>
      <c r="H1897" s="39">
        <f t="shared" si="116"/>
        <v>299</v>
      </c>
      <c r="I1897" s="23" t="str">
        <f t="shared" si="117"/>
        <v>Delhi</v>
      </c>
      <c r="J1897" s="23">
        <f>COUNTIFS(pg_transaction_cleaned!$O:$O,A1897,pg_transaction_cleaned!$F:$F,"CAPTURE")</f>
        <v>1</v>
      </c>
      <c r="K1897" s="39">
        <f>SUMIFS(pg_transaction_cleaned!$H:$H,pg_transaction_cleaned!$O:$O,A1897,pg_transaction_cleaned!$F:$F,"CAPTURE")</f>
        <v>299</v>
      </c>
      <c r="L1897" s="23">
        <f>COUNTIFS(pg_transaction_cleaned!$O:$O,A1897,pg_transaction_cleaned!$F:$F,"REFUND")</f>
        <v>0</v>
      </c>
      <c r="M1897" s="39">
        <f>SUMIFS(pg_transaction_cleaned!$H:$H,pg_transaction_cleaned!$O:$O,A1897,pg_transaction_cleaned!$F:$F,"REFUND")</f>
        <v>0</v>
      </c>
      <c r="N1897" s="23" t="str">
        <f t="shared" si="118"/>
        <v>OK</v>
      </c>
      <c r="O1897" s="24">
        <f t="shared" si="119"/>
        <v>0</v>
      </c>
    </row>
    <row r="1898" spans="1:15" ht="15" customHeight="1" x14ac:dyDescent="0.3">
      <c r="A1898" s="23" t="s">
        <v>4281</v>
      </c>
      <c r="B1898" s="38">
        <v>46268</v>
      </c>
      <c r="C1898" s="23" t="s">
        <v>4282</v>
      </c>
      <c r="D1898" s="23" t="s">
        <v>94</v>
      </c>
      <c r="E1898" s="23" t="s">
        <v>75</v>
      </c>
      <c r="F1898" s="23" t="s">
        <v>3378</v>
      </c>
      <c r="G1898" s="23" t="s">
        <v>250</v>
      </c>
      <c r="H1898" s="39">
        <f t="shared" si="116"/>
        <v>15998</v>
      </c>
      <c r="I1898" s="23" t="str">
        <f t="shared" si="117"/>
        <v>Chennai</v>
      </c>
      <c r="J1898" s="23">
        <f>COUNTIFS(pg_transaction_cleaned!$O:$O,A1898,pg_transaction_cleaned!$F:$F,"CAPTURE")</f>
        <v>1</v>
      </c>
      <c r="K1898" s="39">
        <f>SUMIFS(pg_transaction_cleaned!$H:$H,pg_transaction_cleaned!$O:$O,A1898,pg_transaction_cleaned!$F:$F,"CAPTURE")</f>
        <v>15998</v>
      </c>
      <c r="L1898" s="23">
        <f>COUNTIFS(pg_transaction_cleaned!$O:$O,A1898,pg_transaction_cleaned!$F:$F,"REFUND")</f>
        <v>0</v>
      </c>
      <c r="M1898" s="39">
        <f>SUMIFS(pg_transaction_cleaned!$H:$H,pg_transaction_cleaned!$O:$O,A1898,pg_transaction_cleaned!$F:$F,"REFUND")</f>
        <v>0</v>
      </c>
      <c r="N1898" s="23" t="str">
        <f t="shared" si="118"/>
        <v>OK</v>
      </c>
      <c r="O1898" s="24">
        <f t="shared" si="119"/>
        <v>0</v>
      </c>
    </row>
    <row r="1899" spans="1:15" ht="15" customHeight="1" x14ac:dyDescent="0.3">
      <c r="A1899" s="23" t="s">
        <v>4283</v>
      </c>
      <c r="B1899" s="38">
        <v>46269</v>
      </c>
      <c r="C1899" s="23" t="s">
        <v>4284</v>
      </c>
      <c r="D1899" s="23" t="s">
        <v>94</v>
      </c>
      <c r="E1899" s="23" t="s">
        <v>79</v>
      </c>
      <c r="F1899" s="23" t="s">
        <v>490</v>
      </c>
      <c r="G1899" s="23" t="s">
        <v>250</v>
      </c>
      <c r="H1899" s="39">
        <f t="shared" si="116"/>
        <v>8798</v>
      </c>
      <c r="I1899" s="23" t="str">
        <f t="shared" si="117"/>
        <v>Chennai</v>
      </c>
      <c r="J1899" s="23">
        <f>COUNTIFS(pg_transaction_cleaned!$O:$O,A1899,pg_transaction_cleaned!$F:$F,"CAPTURE")</f>
        <v>1</v>
      </c>
      <c r="K1899" s="39">
        <f>SUMIFS(pg_transaction_cleaned!$H:$H,pg_transaction_cleaned!$O:$O,A1899,pg_transaction_cleaned!$F:$F,"CAPTURE")</f>
        <v>8798</v>
      </c>
      <c r="L1899" s="23">
        <f>COUNTIFS(pg_transaction_cleaned!$O:$O,A1899,pg_transaction_cleaned!$F:$F,"REFUND")</f>
        <v>0</v>
      </c>
      <c r="M1899" s="39">
        <f>SUMIFS(pg_transaction_cleaned!$H:$H,pg_transaction_cleaned!$O:$O,A1899,pg_transaction_cleaned!$F:$F,"REFUND")</f>
        <v>0</v>
      </c>
      <c r="N1899" s="23" t="str">
        <f t="shared" si="118"/>
        <v>OK</v>
      </c>
      <c r="O1899" s="24">
        <f t="shared" si="119"/>
        <v>0</v>
      </c>
    </row>
    <row r="1900" spans="1:15" ht="15" customHeight="1" x14ac:dyDescent="0.3">
      <c r="A1900" s="23" t="s">
        <v>4285</v>
      </c>
      <c r="B1900" s="38">
        <v>46292</v>
      </c>
      <c r="C1900" s="23" t="s">
        <v>4286</v>
      </c>
      <c r="D1900" s="23" t="s">
        <v>89</v>
      </c>
      <c r="E1900" s="23" t="s">
        <v>77</v>
      </c>
      <c r="F1900" s="23" t="s">
        <v>4287</v>
      </c>
      <c r="G1900" s="23" t="s">
        <v>250</v>
      </c>
      <c r="H1900" s="39">
        <f t="shared" si="116"/>
        <v>12497</v>
      </c>
      <c r="I1900" s="23" t="str">
        <f t="shared" si="117"/>
        <v>Jaipur</v>
      </c>
      <c r="J1900" s="23">
        <f>COUNTIFS(pg_transaction_cleaned!$O:$O,A1900,pg_transaction_cleaned!$F:$F,"CAPTURE")</f>
        <v>1</v>
      </c>
      <c r="K1900" s="39">
        <f>SUMIFS(pg_transaction_cleaned!$H:$H,pg_transaction_cleaned!$O:$O,A1900,pg_transaction_cleaned!$F:$F,"CAPTURE")</f>
        <v>12497</v>
      </c>
      <c r="L1900" s="23">
        <f>COUNTIFS(pg_transaction_cleaned!$O:$O,A1900,pg_transaction_cleaned!$F:$F,"REFUND")</f>
        <v>0</v>
      </c>
      <c r="M1900" s="39">
        <f>SUMIFS(pg_transaction_cleaned!$H:$H,pg_transaction_cleaned!$O:$O,A1900,pg_transaction_cleaned!$F:$F,"REFUND")</f>
        <v>0</v>
      </c>
      <c r="N1900" s="23" t="str">
        <f t="shared" si="118"/>
        <v>OK</v>
      </c>
      <c r="O1900" s="24">
        <f t="shared" si="119"/>
        <v>0</v>
      </c>
    </row>
    <row r="1901" spans="1:15" ht="15" customHeight="1" x14ac:dyDescent="0.3">
      <c r="A1901" s="23" t="s">
        <v>4288</v>
      </c>
      <c r="B1901" s="38">
        <v>46266</v>
      </c>
      <c r="C1901" s="23" t="s">
        <v>4289</v>
      </c>
      <c r="D1901" s="23" t="s">
        <v>89</v>
      </c>
      <c r="E1901" s="23" t="s">
        <v>75</v>
      </c>
      <c r="F1901" s="23" t="s">
        <v>385</v>
      </c>
      <c r="G1901" s="23" t="s">
        <v>250</v>
      </c>
      <c r="H1901" s="39">
        <f t="shared" si="116"/>
        <v>10597</v>
      </c>
      <c r="I1901" s="23" t="str">
        <f t="shared" si="117"/>
        <v>Jaipur</v>
      </c>
      <c r="J1901" s="23">
        <f>COUNTIFS(pg_transaction_cleaned!$O:$O,A1901,pg_transaction_cleaned!$F:$F,"CAPTURE")</f>
        <v>1</v>
      </c>
      <c r="K1901" s="39">
        <f>SUMIFS(pg_transaction_cleaned!$H:$H,pg_transaction_cleaned!$O:$O,A1901,pg_transaction_cleaned!$F:$F,"CAPTURE")</f>
        <v>10597</v>
      </c>
      <c r="L1901" s="23">
        <f>COUNTIFS(pg_transaction_cleaned!$O:$O,A1901,pg_transaction_cleaned!$F:$F,"REFUND")</f>
        <v>0</v>
      </c>
      <c r="M1901" s="39">
        <f>SUMIFS(pg_transaction_cleaned!$H:$H,pg_transaction_cleaned!$O:$O,A1901,pg_transaction_cleaned!$F:$F,"REFUND")</f>
        <v>0</v>
      </c>
      <c r="N1901" s="23" t="str">
        <f t="shared" si="118"/>
        <v>OK</v>
      </c>
      <c r="O1901" s="24">
        <f t="shared" si="119"/>
        <v>0</v>
      </c>
    </row>
    <row r="1902" spans="1:15" ht="15" customHeight="1" x14ac:dyDescent="0.3">
      <c r="A1902" s="23" t="s">
        <v>4290</v>
      </c>
      <c r="B1902" s="38">
        <v>46270</v>
      </c>
      <c r="C1902" s="23" t="s">
        <v>4291</v>
      </c>
      <c r="D1902" s="23" t="s">
        <v>89</v>
      </c>
      <c r="E1902" s="23" t="s">
        <v>75</v>
      </c>
      <c r="F1902" s="23" t="s">
        <v>2486</v>
      </c>
      <c r="G1902" s="23" t="s">
        <v>250</v>
      </c>
      <c r="H1902" s="39">
        <f t="shared" si="116"/>
        <v>1647</v>
      </c>
      <c r="I1902" s="23" t="str">
        <f t="shared" si="117"/>
        <v>Jaipur</v>
      </c>
      <c r="J1902" s="23">
        <f>COUNTIFS(pg_transaction_cleaned!$O:$O,A1902,pg_transaction_cleaned!$F:$F,"CAPTURE")</f>
        <v>1</v>
      </c>
      <c r="K1902" s="39">
        <f>SUMIFS(pg_transaction_cleaned!$H:$H,pg_transaction_cleaned!$O:$O,A1902,pg_transaction_cleaned!$F:$F,"CAPTURE")</f>
        <v>1647</v>
      </c>
      <c r="L1902" s="23">
        <f>COUNTIFS(pg_transaction_cleaned!$O:$O,A1902,pg_transaction_cleaned!$F:$F,"REFUND")</f>
        <v>1</v>
      </c>
      <c r="M1902" s="39">
        <f>SUMIFS(pg_transaction_cleaned!$H:$H,pg_transaction_cleaned!$O:$O,A1902,pg_transaction_cleaned!$F:$F,"REFUND")</f>
        <v>1647</v>
      </c>
      <c r="N1902" s="23" t="str">
        <f t="shared" si="118"/>
        <v>Refund, order not Refunded</v>
      </c>
      <c r="O1902" s="24">
        <f t="shared" si="119"/>
        <v>1647</v>
      </c>
    </row>
    <row r="1903" spans="1:15" ht="15" customHeight="1" x14ac:dyDescent="0.3">
      <c r="A1903" s="23" t="s">
        <v>4292</v>
      </c>
      <c r="B1903" s="38">
        <v>46279</v>
      </c>
      <c r="C1903" s="23" t="s">
        <v>4293</v>
      </c>
      <c r="D1903" s="23" t="s">
        <v>92</v>
      </c>
      <c r="E1903" s="23" t="s">
        <v>81</v>
      </c>
      <c r="F1903" s="23" t="s">
        <v>396</v>
      </c>
      <c r="G1903" s="23" t="s">
        <v>250</v>
      </c>
      <c r="H1903" s="39">
        <f t="shared" si="116"/>
        <v>2999</v>
      </c>
      <c r="I1903" s="23" t="str">
        <f t="shared" si="117"/>
        <v>Hyderabad</v>
      </c>
      <c r="J1903" s="23">
        <f>COUNTIFS(pg_transaction_cleaned!$O:$O,A1903,pg_transaction_cleaned!$F:$F,"CAPTURE")</f>
        <v>1</v>
      </c>
      <c r="K1903" s="39">
        <f>SUMIFS(pg_transaction_cleaned!$H:$H,pg_transaction_cleaned!$O:$O,A1903,pg_transaction_cleaned!$F:$F,"CAPTURE")</f>
        <v>2999</v>
      </c>
      <c r="L1903" s="23">
        <f>COUNTIFS(pg_transaction_cleaned!$O:$O,A1903,pg_transaction_cleaned!$F:$F,"REFUND")</f>
        <v>0</v>
      </c>
      <c r="M1903" s="39">
        <f>SUMIFS(pg_transaction_cleaned!$H:$H,pg_transaction_cleaned!$O:$O,A1903,pg_transaction_cleaned!$F:$F,"REFUND")</f>
        <v>0</v>
      </c>
      <c r="N1903" s="23" t="str">
        <f t="shared" si="118"/>
        <v>OK</v>
      </c>
      <c r="O1903" s="24">
        <f t="shared" si="119"/>
        <v>0</v>
      </c>
    </row>
    <row r="1904" spans="1:15" ht="15" customHeight="1" x14ac:dyDescent="0.3">
      <c r="A1904" s="23" t="s">
        <v>4294</v>
      </c>
      <c r="B1904" s="38">
        <v>46274</v>
      </c>
      <c r="C1904" s="23" t="s">
        <v>4295</v>
      </c>
      <c r="D1904" s="23" t="s">
        <v>88</v>
      </c>
      <c r="E1904" s="23" t="s">
        <v>79</v>
      </c>
      <c r="F1904" s="23" t="s">
        <v>754</v>
      </c>
      <c r="G1904" s="23" t="s">
        <v>250</v>
      </c>
      <c r="H1904" s="39">
        <f t="shared" si="116"/>
        <v>1348</v>
      </c>
      <c r="I1904" s="23" t="str">
        <f t="shared" si="117"/>
        <v>Lucknow</v>
      </c>
      <c r="J1904" s="23">
        <f>COUNTIFS(pg_transaction_cleaned!$O:$O,A1904,pg_transaction_cleaned!$F:$F,"CAPTURE")</f>
        <v>1</v>
      </c>
      <c r="K1904" s="39">
        <f>SUMIFS(pg_transaction_cleaned!$H:$H,pg_transaction_cleaned!$O:$O,A1904,pg_transaction_cleaned!$F:$F,"CAPTURE")</f>
        <v>1348</v>
      </c>
      <c r="L1904" s="23">
        <f>COUNTIFS(pg_transaction_cleaned!$O:$O,A1904,pg_transaction_cleaned!$F:$F,"REFUND")</f>
        <v>0</v>
      </c>
      <c r="M1904" s="39">
        <f>SUMIFS(pg_transaction_cleaned!$H:$H,pg_transaction_cleaned!$O:$O,A1904,pg_transaction_cleaned!$F:$F,"REFUND")</f>
        <v>0</v>
      </c>
      <c r="N1904" s="23" t="str">
        <f t="shared" si="118"/>
        <v>OK</v>
      </c>
      <c r="O1904" s="24">
        <f t="shared" si="119"/>
        <v>0</v>
      </c>
    </row>
    <row r="1905" spans="1:15" ht="15" customHeight="1" x14ac:dyDescent="0.3">
      <c r="A1905" s="23" t="s">
        <v>4296</v>
      </c>
      <c r="B1905" s="38">
        <v>46295</v>
      </c>
      <c r="C1905" s="23" t="s">
        <v>4297</v>
      </c>
      <c r="D1905" s="23" t="s">
        <v>86</v>
      </c>
      <c r="E1905" s="23" t="s">
        <v>75</v>
      </c>
      <c r="F1905" s="23" t="s">
        <v>4298</v>
      </c>
      <c r="G1905" s="23" t="s">
        <v>365</v>
      </c>
      <c r="H1905" s="39">
        <f t="shared" si="116"/>
        <v>698</v>
      </c>
      <c r="I1905" s="23" t="str">
        <f t="shared" si="117"/>
        <v>Delhi</v>
      </c>
      <c r="J1905" s="23">
        <f>COUNTIFS(pg_transaction_cleaned!$O:$O,A1905,pg_transaction_cleaned!$F:$F,"CAPTURE")</f>
        <v>0</v>
      </c>
      <c r="K1905" s="39">
        <f>SUMIFS(pg_transaction_cleaned!$H:$H,pg_transaction_cleaned!$O:$O,A1905,pg_transaction_cleaned!$F:$F,"CAPTURE")</f>
        <v>0</v>
      </c>
      <c r="L1905" s="23">
        <f>COUNTIFS(pg_transaction_cleaned!$O:$O,A1905,pg_transaction_cleaned!$F:$F,"REFUND")</f>
        <v>0</v>
      </c>
      <c r="M1905" s="39">
        <f>SUMIFS(pg_transaction_cleaned!$H:$H,pg_transaction_cleaned!$O:$O,A1905,pg_transaction_cleaned!$F:$F,"REFUND")</f>
        <v>0</v>
      </c>
      <c r="N1905" s="23" t="str">
        <f t="shared" si="118"/>
        <v>OK</v>
      </c>
      <c r="O1905" s="24">
        <f t="shared" si="119"/>
        <v>0</v>
      </c>
    </row>
    <row r="1906" spans="1:15" ht="15" customHeight="1" x14ac:dyDescent="0.3">
      <c r="A1906" s="23" t="s">
        <v>4299</v>
      </c>
      <c r="B1906" s="38">
        <v>46276</v>
      </c>
      <c r="C1906" s="23" t="s">
        <v>4300</v>
      </c>
      <c r="D1906" s="23" t="s">
        <v>94</v>
      </c>
      <c r="E1906" s="23" t="s">
        <v>79</v>
      </c>
      <c r="F1906" s="23" t="s">
        <v>259</v>
      </c>
      <c r="G1906" s="23" t="s">
        <v>250</v>
      </c>
      <c r="H1906" s="39">
        <f t="shared" si="116"/>
        <v>3298</v>
      </c>
      <c r="I1906" s="23" t="str">
        <f t="shared" si="117"/>
        <v>Chennai</v>
      </c>
      <c r="J1906" s="23">
        <f>COUNTIFS(pg_transaction_cleaned!$O:$O,A1906,pg_transaction_cleaned!$F:$F,"CAPTURE")</f>
        <v>1</v>
      </c>
      <c r="K1906" s="39">
        <f>SUMIFS(pg_transaction_cleaned!$H:$H,pg_transaction_cleaned!$O:$O,A1906,pg_transaction_cleaned!$F:$F,"CAPTURE")</f>
        <v>3298</v>
      </c>
      <c r="L1906" s="23">
        <f>COUNTIFS(pg_transaction_cleaned!$O:$O,A1906,pg_transaction_cleaned!$F:$F,"REFUND")</f>
        <v>0</v>
      </c>
      <c r="M1906" s="39">
        <f>SUMIFS(pg_transaction_cleaned!$H:$H,pg_transaction_cleaned!$O:$O,A1906,pg_transaction_cleaned!$F:$F,"REFUND")</f>
        <v>0</v>
      </c>
      <c r="N1906" s="23" t="str">
        <f t="shared" si="118"/>
        <v>OK</v>
      </c>
      <c r="O1906" s="24">
        <f t="shared" si="119"/>
        <v>0</v>
      </c>
    </row>
    <row r="1907" spans="1:15" ht="15" customHeight="1" x14ac:dyDescent="0.3">
      <c r="A1907" s="23" t="s">
        <v>4301</v>
      </c>
      <c r="B1907" s="38">
        <v>46280</v>
      </c>
      <c r="C1907" s="23" t="s">
        <v>4302</v>
      </c>
      <c r="D1907" s="23" t="s">
        <v>95</v>
      </c>
      <c r="E1907" s="23" t="s">
        <v>75</v>
      </c>
      <c r="F1907" s="23" t="s">
        <v>291</v>
      </c>
      <c r="G1907" s="23" t="s">
        <v>318</v>
      </c>
      <c r="H1907" s="39">
        <f t="shared" si="116"/>
        <v>3499</v>
      </c>
      <c r="I1907" s="23" t="str">
        <f t="shared" si="117"/>
        <v>Bengaluru</v>
      </c>
      <c r="J1907" s="23">
        <f>COUNTIFS(pg_transaction_cleaned!$O:$O,A1907,pg_transaction_cleaned!$F:$F,"CAPTURE")</f>
        <v>0</v>
      </c>
      <c r="K1907" s="39">
        <f>SUMIFS(pg_transaction_cleaned!$H:$H,pg_transaction_cleaned!$O:$O,A1907,pg_transaction_cleaned!$F:$F,"CAPTURE")</f>
        <v>0</v>
      </c>
      <c r="L1907" s="23">
        <f>COUNTIFS(pg_transaction_cleaned!$O:$O,A1907,pg_transaction_cleaned!$F:$F,"REFUND")</f>
        <v>0</v>
      </c>
      <c r="M1907" s="39">
        <f>SUMIFS(pg_transaction_cleaned!$H:$H,pg_transaction_cleaned!$O:$O,A1907,pg_transaction_cleaned!$F:$F,"REFUND")</f>
        <v>0</v>
      </c>
      <c r="N1907" s="23" t="str">
        <f t="shared" si="118"/>
        <v>OK</v>
      </c>
      <c r="O1907" s="24">
        <f t="shared" si="119"/>
        <v>0</v>
      </c>
    </row>
    <row r="1908" spans="1:15" ht="15" customHeight="1" x14ac:dyDescent="0.3">
      <c r="A1908" s="23" t="s">
        <v>4303</v>
      </c>
      <c r="B1908" s="38">
        <v>46289</v>
      </c>
      <c r="C1908" s="23" t="s">
        <v>4304</v>
      </c>
      <c r="D1908" s="23" t="s">
        <v>86</v>
      </c>
      <c r="E1908" s="23" t="s">
        <v>75</v>
      </c>
      <c r="F1908" s="23" t="s">
        <v>2012</v>
      </c>
      <c r="G1908" s="23" t="s">
        <v>250</v>
      </c>
      <c r="H1908" s="39">
        <f t="shared" si="116"/>
        <v>1597</v>
      </c>
      <c r="I1908" s="23" t="str">
        <f t="shared" si="117"/>
        <v>Delhi</v>
      </c>
      <c r="J1908" s="23">
        <f>COUNTIFS(pg_transaction_cleaned!$O:$O,A1908,pg_transaction_cleaned!$F:$F,"CAPTURE")</f>
        <v>1</v>
      </c>
      <c r="K1908" s="39">
        <f>SUMIFS(pg_transaction_cleaned!$H:$H,pg_transaction_cleaned!$O:$O,A1908,pg_transaction_cleaned!$F:$F,"CAPTURE")</f>
        <v>1597</v>
      </c>
      <c r="L1908" s="23">
        <f>COUNTIFS(pg_transaction_cleaned!$O:$O,A1908,pg_transaction_cleaned!$F:$F,"REFUND")</f>
        <v>0</v>
      </c>
      <c r="M1908" s="39">
        <f>SUMIFS(pg_transaction_cleaned!$H:$H,pg_transaction_cleaned!$O:$O,A1908,pg_transaction_cleaned!$F:$F,"REFUND")</f>
        <v>0</v>
      </c>
      <c r="N1908" s="23" t="str">
        <f t="shared" si="118"/>
        <v>OK</v>
      </c>
      <c r="O1908" s="24">
        <f t="shared" si="119"/>
        <v>0</v>
      </c>
    </row>
    <row r="1909" spans="1:15" ht="15" customHeight="1" x14ac:dyDescent="0.3">
      <c r="A1909" s="23" t="s">
        <v>4305</v>
      </c>
      <c r="B1909" s="38">
        <v>46284</v>
      </c>
      <c r="C1909" s="23" t="s">
        <v>4306</v>
      </c>
      <c r="D1909" s="23" t="s">
        <v>86</v>
      </c>
      <c r="E1909" s="23" t="s">
        <v>75</v>
      </c>
      <c r="F1909" s="23" t="s">
        <v>268</v>
      </c>
      <c r="G1909" s="23" t="s">
        <v>250</v>
      </c>
      <c r="H1909" s="39">
        <f t="shared" si="116"/>
        <v>1299</v>
      </c>
      <c r="I1909" s="23" t="str">
        <f t="shared" si="117"/>
        <v>Delhi</v>
      </c>
      <c r="J1909" s="23">
        <f>COUNTIFS(pg_transaction_cleaned!$O:$O,A1909,pg_transaction_cleaned!$F:$F,"CAPTURE")</f>
        <v>1</v>
      </c>
      <c r="K1909" s="39">
        <f>SUMIFS(pg_transaction_cleaned!$H:$H,pg_transaction_cleaned!$O:$O,A1909,pg_transaction_cleaned!$F:$F,"CAPTURE")</f>
        <v>1299</v>
      </c>
      <c r="L1909" s="23">
        <f>COUNTIFS(pg_transaction_cleaned!$O:$O,A1909,pg_transaction_cleaned!$F:$F,"REFUND")</f>
        <v>0</v>
      </c>
      <c r="M1909" s="39">
        <f>SUMIFS(pg_transaction_cleaned!$H:$H,pg_transaction_cleaned!$O:$O,A1909,pg_transaction_cleaned!$F:$F,"REFUND")</f>
        <v>0</v>
      </c>
      <c r="N1909" s="23" t="str">
        <f t="shared" si="118"/>
        <v>OK</v>
      </c>
      <c r="O1909" s="24">
        <f t="shared" si="119"/>
        <v>0</v>
      </c>
    </row>
    <row r="1910" spans="1:15" ht="15" customHeight="1" x14ac:dyDescent="0.3">
      <c r="A1910" s="23" t="s">
        <v>4307</v>
      </c>
      <c r="B1910" s="38">
        <v>46275</v>
      </c>
      <c r="C1910" s="23" t="s">
        <v>4308</v>
      </c>
      <c r="D1910" s="23" t="s">
        <v>88</v>
      </c>
      <c r="E1910" s="23" t="s">
        <v>75</v>
      </c>
      <c r="F1910" s="23" t="s">
        <v>291</v>
      </c>
      <c r="G1910" s="23" t="s">
        <v>250</v>
      </c>
      <c r="H1910" s="39">
        <f t="shared" si="116"/>
        <v>3499</v>
      </c>
      <c r="I1910" s="23" t="str">
        <f t="shared" si="117"/>
        <v>Lucknow</v>
      </c>
      <c r="J1910" s="23">
        <f>COUNTIFS(pg_transaction_cleaned!$O:$O,A1910,pg_transaction_cleaned!$F:$F,"CAPTURE")</f>
        <v>1</v>
      </c>
      <c r="K1910" s="39">
        <f>SUMIFS(pg_transaction_cleaned!$H:$H,pg_transaction_cleaned!$O:$O,A1910,pg_transaction_cleaned!$F:$F,"CAPTURE")</f>
        <v>3499</v>
      </c>
      <c r="L1910" s="23">
        <f>COUNTIFS(pg_transaction_cleaned!$O:$O,A1910,pg_transaction_cleaned!$F:$F,"REFUND")</f>
        <v>0</v>
      </c>
      <c r="M1910" s="39">
        <f>SUMIFS(pg_transaction_cleaned!$H:$H,pg_transaction_cleaned!$O:$O,A1910,pg_transaction_cleaned!$F:$F,"REFUND")</f>
        <v>0</v>
      </c>
      <c r="N1910" s="23" t="str">
        <f t="shared" si="118"/>
        <v>OK</v>
      </c>
      <c r="O1910" s="24">
        <f t="shared" si="119"/>
        <v>0</v>
      </c>
    </row>
    <row r="1911" spans="1:15" ht="15" customHeight="1" x14ac:dyDescent="0.3">
      <c r="A1911" s="23" t="s">
        <v>4309</v>
      </c>
      <c r="B1911" s="38">
        <v>46277</v>
      </c>
      <c r="C1911" s="23" t="s">
        <v>4310</v>
      </c>
      <c r="D1911" s="23" t="s">
        <v>86</v>
      </c>
      <c r="E1911" s="23" t="s">
        <v>75</v>
      </c>
      <c r="F1911" s="23" t="s">
        <v>297</v>
      </c>
      <c r="G1911" s="23" t="s">
        <v>250</v>
      </c>
      <c r="H1911" s="39">
        <f t="shared" si="116"/>
        <v>4999</v>
      </c>
      <c r="I1911" s="23" t="str">
        <f t="shared" si="117"/>
        <v>Delhi</v>
      </c>
      <c r="J1911" s="23">
        <f>COUNTIFS(pg_transaction_cleaned!$O:$O,A1911,pg_transaction_cleaned!$F:$F,"CAPTURE")</f>
        <v>1</v>
      </c>
      <c r="K1911" s="39">
        <f>SUMIFS(pg_transaction_cleaned!$H:$H,pg_transaction_cleaned!$O:$O,A1911,pg_transaction_cleaned!$F:$F,"CAPTURE")</f>
        <v>4999</v>
      </c>
      <c r="L1911" s="23">
        <f>COUNTIFS(pg_transaction_cleaned!$O:$O,A1911,pg_transaction_cleaned!$F:$F,"REFUND")</f>
        <v>0</v>
      </c>
      <c r="M1911" s="39">
        <f>SUMIFS(pg_transaction_cleaned!$H:$H,pg_transaction_cleaned!$O:$O,A1911,pg_transaction_cleaned!$F:$F,"REFUND")</f>
        <v>0</v>
      </c>
      <c r="N1911" s="23" t="str">
        <f t="shared" si="118"/>
        <v>OK</v>
      </c>
      <c r="O1911" s="24">
        <f t="shared" si="119"/>
        <v>0</v>
      </c>
    </row>
    <row r="1912" spans="1:15" ht="15" customHeight="1" x14ac:dyDescent="0.3">
      <c r="A1912" s="23" t="s">
        <v>4311</v>
      </c>
      <c r="B1912" s="38">
        <v>46267</v>
      </c>
      <c r="C1912" s="23" t="s">
        <v>4312</v>
      </c>
      <c r="D1912" s="23" t="s">
        <v>94</v>
      </c>
      <c r="E1912" s="23" t="s">
        <v>75</v>
      </c>
      <c r="F1912" s="23" t="s">
        <v>349</v>
      </c>
      <c r="G1912" s="23" t="s">
        <v>250</v>
      </c>
      <c r="H1912" s="39">
        <f t="shared" si="116"/>
        <v>1798</v>
      </c>
      <c r="I1912" s="23" t="str">
        <f t="shared" si="117"/>
        <v>Chennai</v>
      </c>
      <c r="J1912" s="23">
        <f>COUNTIFS(pg_transaction_cleaned!$O:$O,A1912,pg_transaction_cleaned!$F:$F,"CAPTURE")</f>
        <v>1</v>
      </c>
      <c r="K1912" s="39">
        <f>SUMIFS(pg_transaction_cleaned!$H:$H,pg_transaction_cleaned!$O:$O,A1912,pg_transaction_cleaned!$F:$F,"CAPTURE")</f>
        <v>1798</v>
      </c>
      <c r="L1912" s="23">
        <f>COUNTIFS(pg_transaction_cleaned!$O:$O,A1912,pg_transaction_cleaned!$F:$F,"REFUND")</f>
        <v>0</v>
      </c>
      <c r="M1912" s="39">
        <f>SUMIFS(pg_transaction_cleaned!$H:$H,pg_transaction_cleaned!$O:$O,A1912,pg_transaction_cleaned!$F:$F,"REFUND")</f>
        <v>0</v>
      </c>
      <c r="N1912" s="23" t="str">
        <f t="shared" si="118"/>
        <v>OK</v>
      </c>
      <c r="O1912" s="24">
        <f t="shared" si="119"/>
        <v>0</v>
      </c>
    </row>
    <row r="1913" spans="1:15" ht="15" customHeight="1" x14ac:dyDescent="0.3">
      <c r="A1913" s="23" t="s">
        <v>4313</v>
      </c>
      <c r="B1913" s="38">
        <v>46286</v>
      </c>
      <c r="C1913" s="23" t="s">
        <v>4314</v>
      </c>
      <c r="D1913" s="23" t="s">
        <v>92</v>
      </c>
      <c r="E1913" s="23" t="s">
        <v>77</v>
      </c>
      <c r="F1913" s="23" t="s">
        <v>4315</v>
      </c>
      <c r="G1913" s="23" t="s">
        <v>250</v>
      </c>
      <c r="H1913" s="39">
        <f t="shared" si="116"/>
        <v>6397</v>
      </c>
      <c r="I1913" s="23" t="str">
        <f t="shared" si="117"/>
        <v>Hyderabad</v>
      </c>
      <c r="J1913" s="23">
        <f>COUNTIFS(pg_transaction_cleaned!$O:$O,A1913,pg_transaction_cleaned!$F:$F,"CAPTURE")</f>
        <v>1</v>
      </c>
      <c r="K1913" s="39">
        <f>SUMIFS(pg_transaction_cleaned!$H:$H,pg_transaction_cleaned!$O:$O,A1913,pg_transaction_cleaned!$F:$F,"CAPTURE")</f>
        <v>6397</v>
      </c>
      <c r="L1913" s="23">
        <f>COUNTIFS(pg_transaction_cleaned!$O:$O,A1913,pg_transaction_cleaned!$F:$F,"REFUND")</f>
        <v>0</v>
      </c>
      <c r="M1913" s="39">
        <f>SUMIFS(pg_transaction_cleaned!$H:$H,pg_transaction_cleaned!$O:$O,A1913,pg_transaction_cleaned!$F:$F,"REFUND")</f>
        <v>0</v>
      </c>
      <c r="N1913" s="23" t="str">
        <f t="shared" si="118"/>
        <v>OK</v>
      </c>
      <c r="O1913" s="24">
        <f t="shared" si="119"/>
        <v>0</v>
      </c>
    </row>
    <row r="1914" spans="1:15" ht="15" customHeight="1" x14ac:dyDescent="0.3">
      <c r="A1914" s="23" t="s">
        <v>4316</v>
      </c>
      <c r="B1914" s="38">
        <v>46268</v>
      </c>
      <c r="C1914" s="23" t="s">
        <v>4317</v>
      </c>
      <c r="D1914" s="23" t="s">
        <v>91</v>
      </c>
      <c r="E1914" s="23" t="s">
        <v>75</v>
      </c>
      <c r="F1914" s="23" t="s">
        <v>598</v>
      </c>
      <c r="G1914" s="23" t="s">
        <v>250</v>
      </c>
      <c r="H1914" s="39">
        <f t="shared" si="116"/>
        <v>5598</v>
      </c>
      <c r="I1914" s="23" t="str">
        <f t="shared" si="117"/>
        <v>Pune</v>
      </c>
      <c r="J1914" s="23">
        <f>COUNTIFS(pg_transaction_cleaned!$O:$O,A1914,pg_transaction_cleaned!$F:$F,"CAPTURE")</f>
        <v>1</v>
      </c>
      <c r="K1914" s="39">
        <f>SUMIFS(pg_transaction_cleaned!$H:$H,pg_transaction_cleaned!$O:$O,A1914,pg_transaction_cleaned!$F:$F,"CAPTURE")</f>
        <v>5598</v>
      </c>
      <c r="L1914" s="23">
        <f>COUNTIFS(pg_transaction_cleaned!$O:$O,A1914,pg_transaction_cleaned!$F:$F,"REFUND")</f>
        <v>0</v>
      </c>
      <c r="M1914" s="39">
        <f>SUMIFS(pg_transaction_cleaned!$H:$H,pg_transaction_cleaned!$O:$O,A1914,pg_transaction_cleaned!$F:$F,"REFUND")</f>
        <v>0</v>
      </c>
      <c r="N1914" s="23" t="str">
        <f t="shared" si="118"/>
        <v>OK</v>
      </c>
      <c r="O1914" s="24">
        <f t="shared" si="119"/>
        <v>0</v>
      </c>
    </row>
    <row r="1915" spans="1:15" ht="15" customHeight="1" x14ac:dyDescent="0.3">
      <c r="A1915" s="23" t="s">
        <v>4318</v>
      </c>
      <c r="B1915" s="38">
        <v>46282</v>
      </c>
      <c r="C1915" s="23" t="s">
        <v>4319</v>
      </c>
      <c r="D1915" s="23" t="s">
        <v>88</v>
      </c>
      <c r="E1915" s="23" t="s">
        <v>79</v>
      </c>
      <c r="F1915" s="23" t="s">
        <v>1832</v>
      </c>
      <c r="G1915" s="23" t="s">
        <v>250</v>
      </c>
      <c r="H1915" s="39">
        <f t="shared" si="116"/>
        <v>4997</v>
      </c>
      <c r="I1915" s="23" t="str">
        <f t="shared" si="117"/>
        <v>Lucknow</v>
      </c>
      <c r="J1915" s="23">
        <f>COUNTIFS(pg_transaction_cleaned!$O:$O,A1915,pg_transaction_cleaned!$F:$F,"CAPTURE")</f>
        <v>1</v>
      </c>
      <c r="K1915" s="39">
        <f>SUMIFS(pg_transaction_cleaned!$H:$H,pg_transaction_cleaned!$O:$O,A1915,pg_transaction_cleaned!$F:$F,"CAPTURE")</f>
        <v>4997</v>
      </c>
      <c r="L1915" s="23">
        <f>COUNTIFS(pg_transaction_cleaned!$O:$O,A1915,pg_transaction_cleaned!$F:$F,"REFUND")</f>
        <v>0</v>
      </c>
      <c r="M1915" s="39">
        <f>SUMIFS(pg_transaction_cleaned!$H:$H,pg_transaction_cleaned!$O:$O,A1915,pg_transaction_cleaned!$F:$F,"REFUND")</f>
        <v>0</v>
      </c>
      <c r="N1915" s="23" t="str">
        <f t="shared" si="118"/>
        <v>OK</v>
      </c>
      <c r="O1915" s="24">
        <f t="shared" si="119"/>
        <v>0</v>
      </c>
    </row>
    <row r="1916" spans="1:15" ht="15" customHeight="1" x14ac:dyDescent="0.3">
      <c r="A1916" s="23" t="s">
        <v>4320</v>
      </c>
      <c r="B1916" s="38">
        <v>46278</v>
      </c>
      <c r="C1916" s="23" t="s">
        <v>4321</v>
      </c>
      <c r="D1916" s="23" t="s">
        <v>86</v>
      </c>
      <c r="E1916" s="23" t="s">
        <v>79</v>
      </c>
      <c r="F1916" s="23" t="s">
        <v>1123</v>
      </c>
      <c r="G1916" s="23" t="s">
        <v>250</v>
      </c>
      <c r="H1916" s="39">
        <f t="shared" si="116"/>
        <v>3797</v>
      </c>
      <c r="I1916" s="23" t="str">
        <f t="shared" si="117"/>
        <v>Delhi</v>
      </c>
      <c r="J1916" s="23">
        <f>COUNTIFS(pg_transaction_cleaned!$O:$O,A1916,pg_transaction_cleaned!$F:$F,"CAPTURE")</f>
        <v>1</v>
      </c>
      <c r="K1916" s="39">
        <f>SUMIFS(pg_transaction_cleaned!$H:$H,pg_transaction_cleaned!$O:$O,A1916,pg_transaction_cleaned!$F:$F,"CAPTURE")</f>
        <v>3797</v>
      </c>
      <c r="L1916" s="23">
        <f>COUNTIFS(pg_transaction_cleaned!$O:$O,A1916,pg_transaction_cleaned!$F:$F,"REFUND")</f>
        <v>1</v>
      </c>
      <c r="M1916" s="39">
        <f>SUMIFS(pg_transaction_cleaned!$H:$H,pg_transaction_cleaned!$O:$O,A1916,pg_transaction_cleaned!$F:$F,"REFUND")</f>
        <v>3797</v>
      </c>
      <c r="N1916" s="23" t="str">
        <f t="shared" si="118"/>
        <v>Refund, order not Refunded</v>
      </c>
      <c r="O1916" s="24">
        <f t="shared" si="119"/>
        <v>3797</v>
      </c>
    </row>
    <row r="1917" spans="1:15" ht="15" customHeight="1" x14ac:dyDescent="0.3">
      <c r="A1917" s="23" t="s">
        <v>4322</v>
      </c>
      <c r="B1917" s="38">
        <v>46279</v>
      </c>
      <c r="C1917" s="23" t="s">
        <v>4323</v>
      </c>
      <c r="D1917" s="23" t="s">
        <v>92</v>
      </c>
      <c r="E1917" s="23" t="s">
        <v>75</v>
      </c>
      <c r="F1917" s="23" t="s">
        <v>460</v>
      </c>
      <c r="G1917" s="23" t="s">
        <v>250</v>
      </c>
      <c r="H1917" s="39">
        <f t="shared" si="116"/>
        <v>1998</v>
      </c>
      <c r="I1917" s="23" t="str">
        <f t="shared" si="117"/>
        <v>Hyderabad</v>
      </c>
      <c r="J1917" s="23">
        <f>COUNTIFS(pg_transaction_cleaned!$O:$O,A1917,pg_transaction_cleaned!$F:$F,"CAPTURE")</f>
        <v>1</v>
      </c>
      <c r="K1917" s="39">
        <f>SUMIFS(pg_transaction_cleaned!$H:$H,pg_transaction_cleaned!$O:$O,A1917,pg_transaction_cleaned!$F:$F,"CAPTURE")</f>
        <v>1998</v>
      </c>
      <c r="L1917" s="23">
        <f>COUNTIFS(pg_transaction_cleaned!$O:$O,A1917,pg_transaction_cleaned!$F:$F,"REFUND")</f>
        <v>0</v>
      </c>
      <c r="M1917" s="39">
        <f>SUMIFS(pg_transaction_cleaned!$H:$H,pg_transaction_cleaned!$O:$O,A1917,pg_transaction_cleaned!$F:$F,"REFUND")</f>
        <v>0</v>
      </c>
      <c r="N1917" s="23" t="str">
        <f t="shared" si="118"/>
        <v>OK</v>
      </c>
      <c r="O1917" s="24">
        <f t="shared" si="119"/>
        <v>0</v>
      </c>
    </row>
    <row r="1918" spans="1:15" ht="15" customHeight="1" x14ac:dyDescent="0.3">
      <c r="A1918" s="23" t="s">
        <v>4324</v>
      </c>
      <c r="B1918" s="38">
        <v>46271</v>
      </c>
      <c r="C1918" s="23" t="s">
        <v>4325</v>
      </c>
      <c r="D1918" s="23" t="s">
        <v>90</v>
      </c>
      <c r="E1918" s="23" t="s">
        <v>75</v>
      </c>
      <c r="F1918" s="23" t="s">
        <v>880</v>
      </c>
      <c r="G1918" s="23" t="s">
        <v>250</v>
      </c>
      <c r="H1918" s="39">
        <f t="shared" si="116"/>
        <v>2298</v>
      </c>
      <c r="I1918" s="23" t="str">
        <f t="shared" si="117"/>
        <v>Ahmedabad</v>
      </c>
      <c r="J1918" s="23">
        <f>COUNTIFS(pg_transaction_cleaned!$O:$O,A1918,pg_transaction_cleaned!$F:$F,"CAPTURE")</f>
        <v>1</v>
      </c>
      <c r="K1918" s="39">
        <f>SUMIFS(pg_transaction_cleaned!$H:$H,pg_transaction_cleaned!$O:$O,A1918,pg_transaction_cleaned!$F:$F,"CAPTURE")</f>
        <v>2298</v>
      </c>
      <c r="L1918" s="23">
        <f>COUNTIFS(pg_transaction_cleaned!$O:$O,A1918,pg_transaction_cleaned!$F:$F,"REFUND")</f>
        <v>0</v>
      </c>
      <c r="M1918" s="39">
        <f>SUMIFS(pg_transaction_cleaned!$H:$H,pg_transaction_cleaned!$O:$O,A1918,pg_transaction_cleaned!$F:$F,"REFUND")</f>
        <v>0</v>
      </c>
      <c r="N1918" s="23" t="str">
        <f t="shared" si="118"/>
        <v>OK</v>
      </c>
      <c r="O1918" s="24">
        <f t="shared" si="119"/>
        <v>0</v>
      </c>
    </row>
    <row r="1919" spans="1:15" ht="15" customHeight="1" x14ac:dyDescent="0.3">
      <c r="A1919" s="23" t="s">
        <v>4326</v>
      </c>
      <c r="B1919" s="38">
        <v>46284</v>
      </c>
      <c r="C1919" s="23" t="s">
        <v>4327</v>
      </c>
      <c r="D1919" s="23" t="s">
        <v>92</v>
      </c>
      <c r="E1919" s="23" t="s">
        <v>75</v>
      </c>
      <c r="F1919" s="23" t="s">
        <v>772</v>
      </c>
      <c r="G1919" s="23" t="s">
        <v>250</v>
      </c>
      <c r="H1919" s="39">
        <f t="shared" si="116"/>
        <v>4798</v>
      </c>
      <c r="I1919" s="23" t="str">
        <f t="shared" si="117"/>
        <v>Hyderabad</v>
      </c>
      <c r="J1919" s="23">
        <f>COUNTIFS(pg_transaction_cleaned!$O:$O,A1919,pg_transaction_cleaned!$F:$F,"CAPTURE")</f>
        <v>1</v>
      </c>
      <c r="K1919" s="39">
        <f>SUMIFS(pg_transaction_cleaned!$H:$H,pg_transaction_cleaned!$O:$O,A1919,pg_transaction_cleaned!$F:$F,"CAPTURE")</f>
        <v>4798</v>
      </c>
      <c r="L1919" s="23">
        <f>COUNTIFS(pg_transaction_cleaned!$O:$O,A1919,pg_transaction_cleaned!$F:$F,"REFUND")</f>
        <v>0</v>
      </c>
      <c r="M1919" s="39">
        <f>SUMIFS(pg_transaction_cleaned!$H:$H,pg_transaction_cleaned!$O:$O,A1919,pg_transaction_cleaned!$F:$F,"REFUND")</f>
        <v>0</v>
      </c>
      <c r="N1919" s="23" t="str">
        <f t="shared" si="118"/>
        <v>OK</v>
      </c>
      <c r="O1919" s="24">
        <f t="shared" si="119"/>
        <v>0</v>
      </c>
    </row>
    <row r="1920" spans="1:15" ht="15" customHeight="1" x14ac:dyDescent="0.3">
      <c r="A1920" s="23" t="s">
        <v>4328</v>
      </c>
      <c r="B1920" s="38">
        <v>46289</v>
      </c>
      <c r="C1920" s="23" t="s">
        <v>4329</v>
      </c>
      <c r="D1920" s="23" t="s">
        <v>87</v>
      </c>
      <c r="E1920" s="23" t="s">
        <v>79</v>
      </c>
      <c r="F1920" s="23" t="s">
        <v>271</v>
      </c>
      <c r="G1920" s="23" t="s">
        <v>250</v>
      </c>
      <c r="H1920" s="39">
        <f t="shared" si="116"/>
        <v>2499</v>
      </c>
      <c r="I1920" s="23" t="str">
        <f t="shared" si="117"/>
        <v>Mumbai</v>
      </c>
      <c r="J1920" s="23">
        <f>COUNTIFS(pg_transaction_cleaned!$O:$O,A1920,pg_transaction_cleaned!$F:$F,"CAPTURE")</f>
        <v>1</v>
      </c>
      <c r="K1920" s="39">
        <f>SUMIFS(pg_transaction_cleaned!$H:$H,pg_transaction_cleaned!$O:$O,A1920,pg_transaction_cleaned!$F:$F,"CAPTURE")</f>
        <v>2499</v>
      </c>
      <c r="L1920" s="23">
        <f>COUNTIFS(pg_transaction_cleaned!$O:$O,A1920,pg_transaction_cleaned!$F:$F,"REFUND")</f>
        <v>0</v>
      </c>
      <c r="M1920" s="39">
        <f>SUMIFS(pg_transaction_cleaned!$H:$H,pg_transaction_cleaned!$O:$O,A1920,pg_transaction_cleaned!$F:$F,"REFUND")</f>
        <v>0</v>
      </c>
      <c r="N1920" s="23" t="str">
        <f t="shared" si="118"/>
        <v>OK</v>
      </c>
      <c r="O1920" s="24">
        <f t="shared" si="119"/>
        <v>0</v>
      </c>
    </row>
    <row r="1921" spans="1:15" ht="15" customHeight="1" x14ac:dyDescent="0.3">
      <c r="A1921" s="23" t="s">
        <v>4330</v>
      </c>
      <c r="B1921" s="38">
        <v>46295</v>
      </c>
      <c r="C1921" s="23" t="s">
        <v>4331</v>
      </c>
      <c r="D1921" s="23" t="s">
        <v>93</v>
      </c>
      <c r="E1921" s="23" t="s">
        <v>77</v>
      </c>
      <c r="F1921" s="23" t="s">
        <v>297</v>
      </c>
      <c r="G1921" s="23" t="s">
        <v>318</v>
      </c>
      <c r="H1921" s="39">
        <f t="shared" si="116"/>
        <v>4999</v>
      </c>
      <c r="I1921" s="23" t="str">
        <f t="shared" si="117"/>
        <v>Kolkata</v>
      </c>
      <c r="J1921" s="23">
        <f>COUNTIFS(pg_transaction_cleaned!$O:$O,A1921,pg_transaction_cleaned!$F:$F,"CAPTURE")</f>
        <v>0</v>
      </c>
      <c r="K1921" s="39">
        <f>SUMIFS(pg_transaction_cleaned!$H:$H,pg_transaction_cleaned!$O:$O,A1921,pg_transaction_cleaned!$F:$F,"CAPTURE")</f>
        <v>0</v>
      </c>
      <c r="L1921" s="23">
        <f>COUNTIFS(pg_transaction_cleaned!$O:$O,A1921,pg_transaction_cleaned!$F:$F,"REFUND")</f>
        <v>0</v>
      </c>
      <c r="M1921" s="39">
        <f>SUMIFS(pg_transaction_cleaned!$H:$H,pg_transaction_cleaned!$O:$O,A1921,pg_transaction_cleaned!$F:$F,"REFUND")</f>
        <v>0</v>
      </c>
      <c r="N1921" s="23" t="str">
        <f t="shared" si="118"/>
        <v>OK</v>
      </c>
      <c r="O1921" s="24">
        <f t="shared" si="119"/>
        <v>0</v>
      </c>
    </row>
    <row r="1922" spans="1:15" ht="15" customHeight="1" x14ac:dyDescent="0.3">
      <c r="A1922" s="23" t="s">
        <v>4332</v>
      </c>
      <c r="B1922" s="38">
        <v>46279</v>
      </c>
      <c r="C1922" s="23" t="s">
        <v>4333</v>
      </c>
      <c r="D1922" s="23" t="s">
        <v>86</v>
      </c>
      <c r="E1922" s="23" t="s">
        <v>75</v>
      </c>
      <c r="F1922" s="23" t="s">
        <v>271</v>
      </c>
      <c r="G1922" s="23" t="s">
        <v>250</v>
      </c>
      <c r="H1922" s="39">
        <f t="shared" ref="H1922:H1985" si="120">VALUE(SUBSTITUTE(F1922,",",""))</f>
        <v>2499</v>
      </c>
      <c r="I1922" s="23" t="str">
        <f t="shared" ref="I1922:I1985" si="121">IF(TRIM(D1922)="","Unknown",TRIM(D1922))</f>
        <v>Delhi</v>
      </c>
      <c r="J1922" s="23">
        <f>COUNTIFS(pg_transaction_cleaned!$O:$O,A1922,pg_transaction_cleaned!$F:$F,"CAPTURE")</f>
        <v>1</v>
      </c>
      <c r="K1922" s="39">
        <f>SUMIFS(pg_transaction_cleaned!$H:$H,pg_transaction_cleaned!$O:$O,A1922,pg_transaction_cleaned!$F:$F,"CAPTURE")</f>
        <v>2499</v>
      </c>
      <c r="L1922" s="23">
        <f>COUNTIFS(pg_transaction_cleaned!$O:$O,A1922,pg_transaction_cleaned!$F:$F,"REFUND")</f>
        <v>0</v>
      </c>
      <c r="M1922" s="39">
        <f>SUMIFS(pg_transaction_cleaned!$H:$H,pg_transaction_cleaned!$O:$O,A1922,pg_transaction_cleaned!$F:$F,"REFUND")</f>
        <v>0</v>
      </c>
      <c r="N1922" s="23" t="str">
        <f t="shared" ref="N1922:N1985" si="122">IF(AND(G1922="Paid",J1922=0),"Paid, no payment",IF(AND(OR(G1922="Failed",G1922="Cancelled"),J1922&gt;0),"Payment on failed/cancelled",IF(J1922&gt;1,"Duplicate charge",IF(AND(J1922=1,ROUND(K1922-H1922,2)&lt;&gt;0),"Amount difference",IF(AND(G1922="Refunded",L1922=0),"Refunded, no refund",IF(AND(G1922&lt;&gt;"Refunded",L1922&gt;0),"Refund, order not Refunded",IF(AND(L1922&gt;0,ROUND(M1922-H1922,2)&lt;&gt;0),"Refund amount differs","OK")))))))</f>
        <v>OK</v>
      </c>
      <c r="O1922" s="24">
        <f t="shared" ref="O1922:O1985" si="123">IF(N1922="OK",0,IF(N1922="Paid, no payment",H1922,IF(N1922="Payment on failed/cancelled",K1922,IF(OR(N1922="Duplicate charge",N1922="Amount difference"),K1922-H1922,IF(N1922="Refunded, no refund",H1922,M1922)))))</f>
        <v>0</v>
      </c>
    </row>
    <row r="1923" spans="1:15" ht="15" customHeight="1" x14ac:dyDescent="0.3">
      <c r="A1923" s="23" t="s">
        <v>4334</v>
      </c>
      <c r="B1923" s="38">
        <v>46295</v>
      </c>
      <c r="C1923" s="23" t="s">
        <v>4335</v>
      </c>
      <c r="D1923" s="23" t="s">
        <v>88</v>
      </c>
      <c r="E1923" s="23" t="s">
        <v>77</v>
      </c>
      <c r="F1923" s="23" t="s">
        <v>271</v>
      </c>
      <c r="G1923" s="23" t="s">
        <v>301</v>
      </c>
      <c r="H1923" s="39">
        <f t="shared" si="120"/>
        <v>2499</v>
      </c>
      <c r="I1923" s="23" t="str">
        <f t="shared" si="121"/>
        <v>Lucknow</v>
      </c>
      <c r="J1923" s="23">
        <f>COUNTIFS(pg_transaction_cleaned!$O:$O,A1923,pg_transaction_cleaned!$F:$F,"CAPTURE")</f>
        <v>1</v>
      </c>
      <c r="K1923" s="39">
        <f>SUMIFS(pg_transaction_cleaned!$H:$H,pg_transaction_cleaned!$O:$O,A1923,pg_transaction_cleaned!$F:$F,"CAPTURE")</f>
        <v>2499</v>
      </c>
      <c r="L1923" s="23">
        <f>COUNTIFS(pg_transaction_cleaned!$O:$O,A1923,pg_transaction_cleaned!$F:$F,"REFUND")</f>
        <v>1</v>
      </c>
      <c r="M1923" s="39">
        <f>SUMIFS(pg_transaction_cleaned!$H:$H,pg_transaction_cleaned!$O:$O,A1923,pg_transaction_cleaned!$F:$F,"REFUND")</f>
        <v>2499</v>
      </c>
      <c r="N1923" s="23" t="str">
        <f t="shared" si="122"/>
        <v>OK</v>
      </c>
      <c r="O1923" s="24">
        <f t="shared" si="123"/>
        <v>0</v>
      </c>
    </row>
    <row r="1924" spans="1:15" ht="15" customHeight="1" x14ac:dyDescent="0.3">
      <c r="A1924" s="23" t="s">
        <v>4336</v>
      </c>
      <c r="B1924" s="38">
        <v>46290</v>
      </c>
      <c r="C1924" s="23" t="s">
        <v>4337</v>
      </c>
      <c r="D1924" s="23"/>
      <c r="E1924" s="23" t="s">
        <v>79</v>
      </c>
      <c r="F1924" s="23" t="s">
        <v>262</v>
      </c>
      <c r="G1924" s="23" t="s">
        <v>250</v>
      </c>
      <c r="H1924" s="39">
        <f t="shared" si="120"/>
        <v>499</v>
      </c>
      <c r="I1924" s="23" t="str">
        <f t="shared" si="121"/>
        <v>Unknown</v>
      </c>
      <c r="J1924" s="23">
        <f>COUNTIFS(pg_transaction_cleaned!$O:$O,A1924,pg_transaction_cleaned!$F:$F,"CAPTURE")</f>
        <v>1</v>
      </c>
      <c r="K1924" s="39">
        <f>SUMIFS(pg_transaction_cleaned!$H:$H,pg_transaction_cleaned!$O:$O,A1924,pg_transaction_cleaned!$F:$F,"CAPTURE")</f>
        <v>499</v>
      </c>
      <c r="L1924" s="23">
        <f>COUNTIFS(pg_transaction_cleaned!$O:$O,A1924,pg_transaction_cleaned!$F:$F,"REFUND")</f>
        <v>0</v>
      </c>
      <c r="M1924" s="39">
        <f>SUMIFS(pg_transaction_cleaned!$H:$H,pg_transaction_cleaned!$O:$O,A1924,pg_transaction_cleaned!$F:$F,"REFUND")</f>
        <v>0</v>
      </c>
      <c r="N1924" s="23" t="str">
        <f t="shared" si="122"/>
        <v>OK</v>
      </c>
      <c r="O1924" s="24">
        <f t="shared" si="123"/>
        <v>0</v>
      </c>
    </row>
    <row r="1925" spans="1:15" ht="15" customHeight="1" x14ac:dyDescent="0.3">
      <c r="A1925" s="23" t="s">
        <v>4338</v>
      </c>
      <c r="B1925" s="38">
        <v>46275</v>
      </c>
      <c r="C1925" s="23" t="s">
        <v>4339</v>
      </c>
      <c r="D1925" s="23" t="s">
        <v>87</v>
      </c>
      <c r="E1925" s="23" t="s">
        <v>75</v>
      </c>
      <c r="F1925" s="23" t="s">
        <v>297</v>
      </c>
      <c r="G1925" s="23" t="s">
        <v>250</v>
      </c>
      <c r="H1925" s="39">
        <f t="shared" si="120"/>
        <v>4999</v>
      </c>
      <c r="I1925" s="23" t="str">
        <f t="shared" si="121"/>
        <v>Mumbai</v>
      </c>
      <c r="J1925" s="23">
        <f>COUNTIFS(pg_transaction_cleaned!$O:$O,A1925,pg_transaction_cleaned!$F:$F,"CAPTURE")</f>
        <v>1</v>
      </c>
      <c r="K1925" s="39">
        <f>SUMIFS(pg_transaction_cleaned!$H:$H,pg_transaction_cleaned!$O:$O,A1925,pg_transaction_cleaned!$F:$F,"CAPTURE")</f>
        <v>4999</v>
      </c>
      <c r="L1925" s="23">
        <f>COUNTIFS(pg_transaction_cleaned!$O:$O,A1925,pg_transaction_cleaned!$F:$F,"REFUND")</f>
        <v>0</v>
      </c>
      <c r="M1925" s="39">
        <f>SUMIFS(pg_transaction_cleaned!$H:$H,pg_transaction_cleaned!$O:$O,A1925,pg_transaction_cleaned!$F:$F,"REFUND")</f>
        <v>0</v>
      </c>
      <c r="N1925" s="23" t="str">
        <f t="shared" si="122"/>
        <v>OK</v>
      </c>
      <c r="O1925" s="24">
        <f t="shared" si="123"/>
        <v>0</v>
      </c>
    </row>
    <row r="1926" spans="1:15" ht="15" customHeight="1" x14ac:dyDescent="0.3">
      <c r="A1926" s="23" t="s">
        <v>4340</v>
      </c>
      <c r="B1926" s="38">
        <v>46287</v>
      </c>
      <c r="C1926" s="23" t="s">
        <v>4341</v>
      </c>
      <c r="D1926" s="23" t="s">
        <v>86</v>
      </c>
      <c r="E1926" s="23" t="s">
        <v>75</v>
      </c>
      <c r="F1926" s="23" t="s">
        <v>329</v>
      </c>
      <c r="G1926" s="23" t="s">
        <v>365</v>
      </c>
      <c r="H1926" s="39">
        <f t="shared" si="120"/>
        <v>599</v>
      </c>
      <c r="I1926" s="23" t="str">
        <f t="shared" si="121"/>
        <v>Delhi</v>
      </c>
      <c r="J1926" s="23">
        <f>COUNTIFS(pg_transaction_cleaned!$O:$O,A1926,pg_transaction_cleaned!$F:$F,"CAPTURE")</f>
        <v>0</v>
      </c>
      <c r="K1926" s="39">
        <f>SUMIFS(pg_transaction_cleaned!$H:$H,pg_transaction_cleaned!$O:$O,A1926,pg_transaction_cleaned!$F:$F,"CAPTURE")</f>
        <v>0</v>
      </c>
      <c r="L1926" s="23">
        <f>COUNTIFS(pg_transaction_cleaned!$O:$O,A1926,pg_transaction_cleaned!$F:$F,"REFUND")</f>
        <v>0</v>
      </c>
      <c r="M1926" s="39">
        <f>SUMIFS(pg_transaction_cleaned!$H:$H,pg_transaction_cleaned!$O:$O,A1926,pg_transaction_cleaned!$F:$F,"REFUND")</f>
        <v>0</v>
      </c>
      <c r="N1926" s="23" t="str">
        <f t="shared" si="122"/>
        <v>OK</v>
      </c>
      <c r="O1926" s="24">
        <f t="shared" si="123"/>
        <v>0</v>
      </c>
    </row>
    <row r="1927" spans="1:15" ht="15" customHeight="1" x14ac:dyDescent="0.3">
      <c r="A1927" s="23" t="s">
        <v>4342</v>
      </c>
      <c r="B1927" s="38">
        <v>46273</v>
      </c>
      <c r="C1927" s="23" t="s">
        <v>4343</v>
      </c>
      <c r="D1927" s="23" t="s">
        <v>89</v>
      </c>
      <c r="E1927" s="23" t="s">
        <v>75</v>
      </c>
      <c r="F1927" s="23" t="s">
        <v>268</v>
      </c>
      <c r="G1927" s="23" t="s">
        <v>250</v>
      </c>
      <c r="H1927" s="39">
        <f t="shared" si="120"/>
        <v>1299</v>
      </c>
      <c r="I1927" s="23" t="str">
        <f t="shared" si="121"/>
        <v>Jaipur</v>
      </c>
      <c r="J1927" s="23">
        <f>COUNTIFS(pg_transaction_cleaned!$O:$O,A1927,pg_transaction_cleaned!$F:$F,"CAPTURE")</f>
        <v>1</v>
      </c>
      <c r="K1927" s="39">
        <f>SUMIFS(pg_transaction_cleaned!$H:$H,pg_transaction_cleaned!$O:$O,A1927,pg_transaction_cleaned!$F:$F,"CAPTURE")</f>
        <v>1299</v>
      </c>
      <c r="L1927" s="23">
        <f>COUNTIFS(pg_transaction_cleaned!$O:$O,A1927,pg_transaction_cleaned!$F:$F,"REFUND")</f>
        <v>0</v>
      </c>
      <c r="M1927" s="39">
        <f>SUMIFS(pg_transaction_cleaned!$H:$H,pg_transaction_cleaned!$O:$O,A1927,pg_transaction_cleaned!$F:$F,"REFUND")</f>
        <v>0</v>
      </c>
      <c r="N1927" s="23" t="str">
        <f t="shared" si="122"/>
        <v>OK</v>
      </c>
      <c r="O1927" s="24">
        <f t="shared" si="123"/>
        <v>0</v>
      </c>
    </row>
    <row r="1928" spans="1:15" ht="15" customHeight="1" x14ac:dyDescent="0.3">
      <c r="A1928" s="23" t="s">
        <v>4344</v>
      </c>
      <c r="B1928" s="38">
        <v>46293</v>
      </c>
      <c r="C1928" s="23" t="s">
        <v>4345</v>
      </c>
      <c r="D1928" s="23" t="s">
        <v>89</v>
      </c>
      <c r="E1928" s="23" t="s">
        <v>75</v>
      </c>
      <c r="F1928" s="23" t="s">
        <v>249</v>
      </c>
      <c r="G1928" s="23" t="s">
        <v>250</v>
      </c>
      <c r="H1928" s="39">
        <f t="shared" si="120"/>
        <v>299</v>
      </c>
      <c r="I1928" s="23" t="str">
        <f t="shared" si="121"/>
        <v>Jaipur</v>
      </c>
      <c r="J1928" s="23">
        <f>COUNTIFS(pg_transaction_cleaned!$O:$O,A1928,pg_transaction_cleaned!$F:$F,"CAPTURE")</f>
        <v>1</v>
      </c>
      <c r="K1928" s="39">
        <f>SUMIFS(pg_transaction_cleaned!$H:$H,pg_transaction_cleaned!$O:$O,A1928,pg_transaction_cleaned!$F:$F,"CAPTURE")</f>
        <v>299</v>
      </c>
      <c r="L1928" s="23">
        <f>COUNTIFS(pg_transaction_cleaned!$O:$O,A1928,pg_transaction_cleaned!$F:$F,"REFUND")</f>
        <v>0</v>
      </c>
      <c r="M1928" s="39">
        <f>SUMIFS(pg_transaction_cleaned!$H:$H,pg_transaction_cleaned!$O:$O,A1928,pg_transaction_cleaned!$F:$F,"REFUND")</f>
        <v>0</v>
      </c>
      <c r="N1928" s="23" t="str">
        <f t="shared" si="122"/>
        <v>OK</v>
      </c>
      <c r="O1928" s="24">
        <f t="shared" si="123"/>
        <v>0</v>
      </c>
    </row>
    <row r="1929" spans="1:15" ht="15" customHeight="1" x14ac:dyDescent="0.3">
      <c r="A1929" s="23" t="s">
        <v>4346</v>
      </c>
      <c r="B1929" s="38">
        <v>46287</v>
      </c>
      <c r="C1929" s="23" t="s">
        <v>4347</v>
      </c>
      <c r="D1929" s="23" t="s">
        <v>95</v>
      </c>
      <c r="E1929" s="23" t="s">
        <v>79</v>
      </c>
      <c r="F1929" s="23" t="s">
        <v>1108</v>
      </c>
      <c r="G1929" s="23" t="s">
        <v>365</v>
      </c>
      <c r="H1929" s="39">
        <f t="shared" si="120"/>
        <v>4098</v>
      </c>
      <c r="I1929" s="23" t="str">
        <f t="shared" si="121"/>
        <v>Bengaluru</v>
      </c>
      <c r="J1929" s="23">
        <f>COUNTIFS(pg_transaction_cleaned!$O:$O,A1929,pg_transaction_cleaned!$F:$F,"CAPTURE")</f>
        <v>0</v>
      </c>
      <c r="K1929" s="39">
        <f>SUMIFS(pg_transaction_cleaned!$H:$H,pg_transaction_cleaned!$O:$O,A1929,pg_transaction_cleaned!$F:$F,"CAPTURE")</f>
        <v>0</v>
      </c>
      <c r="L1929" s="23">
        <f>COUNTIFS(pg_transaction_cleaned!$O:$O,A1929,pg_transaction_cleaned!$F:$F,"REFUND")</f>
        <v>0</v>
      </c>
      <c r="M1929" s="39">
        <f>SUMIFS(pg_transaction_cleaned!$H:$H,pg_transaction_cleaned!$O:$O,A1929,pg_transaction_cleaned!$F:$F,"REFUND")</f>
        <v>0</v>
      </c>
      <c r="N1929" s="23" t="str">
        <f t="shared" si="122"/>
        <v>OK</v>
      </c>
      <c r="O1929" s="24">
        <f t="shared" si="123"/>
        <v>0</v>
      </c>
    </row>
    <row r="1930" spans="1:15" ht="15" customHeight="1" x14ac:dyDescent="0.3">
      <c r="A1930" s="23" t="s">
        <v>4348</v>
      </c>
      <c r="B1930" s="38">
        <v>46290</v>
      </c>
      <c r="C1930" s="23" t="s">
        <v>4349</v>
      </c>
      <c r="D1930" s="23" t="s">
        <v>93</v>
      </c>
      <c r="E1930" s="23" t="s">
        <v>79</v>
      </c>
      <c r="F1930" s="23" t="s">
        <v>268</v>
      </c>
      <c r="G1930" s="23" t="s">
        <v>250</v>
      </c>
      <c r="H1930" s="39">
        <f t="shared" si="120"/>
        <v>1299</v>
      </c>
      <c r="I1930" s="23" t="str">
        <f t="shared" si="121"/>
        <v>Kolkata</v>
      </c>
      <c r="J1930" s="23">
        <f>COUNTIFS(pg_transaction_cleaned!$O:$O,A1930,pg_transaction_cleaned!$F:$F,"CAPTURE")</f>
        <v>1</v>
      </c>
      <c r="K1930" s="39">
        <f>SUMIFS(pg_transaction_cleaned!$H:$H,pg_transaction_cleaned!$O:$O,A1930,pg_transaction_cleaned!$F:$F,"CAPTURE")</f>
        <v>1299</v>
      </c>
      <c r="L1930" s="23">
        <f>COUNTIFS(pg_transaction_cleaned!$O:$O,A1930,pg_transaction_cleaned!$F:$F,"REFUND")</f>
        <v>0</v>
      </c>
      <c r="M1930" s="39">
        <f>SUMIFS(pg_transaction_cleaned!$H:$H,pg_transaction_cleaned!$O:$O,A1930,pg_transaction_cleaned!$F:$F,"REFUND")</f>
        <v>0</v>
      </c>
      <c r="N1930" s="23" t="str">
        <f t="shared" si="122"/>
        <v>OK</v>
      </c>
      <c r="O1930" s="24">
        <f t="shared" si="123"/>
        <v>0</v>
      </c>
    </row>
    <row r="1931" spans="1:15" ht="15" customHeight="1" x14ac:dyDescent="0.3">
      <c r="A1931" s="23" t="s">
        <v>4350</v>
      </c>
      <c r="B1931" s="38">
        <v>46290</v>
      </c>
      <c r="C1931" s="23" t="s">
        <v>4351</v>
      </c>
      <c r="D1931" s="23" t="s">
        <v>88</v>
      </c>
      <c r="E1931" s="23" t="s">
        <v>79</v>
      </c>
      <c r="F1931" s="23" t="s">
        <v>475</v>
      </c>
      <c r="G1931" s="23" t="s">
        <v>250</v>
      </c>
      <c r="H1931" s="39">
        <f t="shared" si="120"/>
        <v>799</v>
      </c>
      <c r="I1931" s="23" t="str">
        <f t="shared" si="121"/>
        <v>Lucknow</v>
      </c>
      <c r="J1931" s="23">
        <f>COUNTIFS(pg_transaction_cleaned!$O:$O,A1931,pg_transaction_cleaned!$F:$F,"CAPTURE")</f>
        <v>1</v>
      </c>
      <c r="K1931" s="39">
        <f>SUMIFS(pg_transaction_cleaned!$H:$H,pg_transaction_cleaned!$O:$O,A1931,pg_transaction_cleaned!$F:$F,"CAPTURE")</f>
        <v>799</v>
      </c>
      <c r="L1931" s="23">
        <f>COUNTIFS(pg_transaction_cleaned!$O:$O,A1931,pg_transaction_cleaned!$F:$F,"REFUND")</f>
        <v>0</v>
      </c>
      <c r="M1931" s="39">
        <f>SUMIFS(pg_transaction_cleaned!$H:$H,pg_transaction_cleaned!$O:$O,A1931,pg_transaction_cleaned!$F:$F,"REFUND")</f>
        <v>0</v>
      </c>
      <c r="N1931" s="23" t="str">
        <f t="shared" si="122"/>
        <v>OK</v>
      </c>
      <c r="O1931" s="24">
        <f t="shared" si="123"/>
        <v>0</v>
      </c>
    </row>
    <row r="1932" spans="1:15" ht="15" customHeight="1" x14ac:dyDescent="0.3">
      <c r="A1932" s="23" t="s">
        <v>4352</v>
      </c>
      <c r="B1932" s="38">
        <v>46278</v>
      </c>
      <c r="C1932" s="23" t="s">
        <v>4353</v>
      </c>
      <c r="D1932" s="23" t="s">
        <v>87</v>
      </c>
      <c r="E1932" s="23" t="s">
        <v>79</v>
      </c>
      <c r="F1932" s="23" t="s">
        <v>754</v>
      </c>
      <c r="G1932" s="23" t="s">
        <v>250</v>
      </c>
      <c r="H1932" s="39">
        <f t="shared" si="120"/>
        <v>1348</v>
      </c>
      <c r="I1932" s="23" t="str">
        <f t="shared" si="121"/>
        <v>Mumbai</v>
      </c>
      <c r="J1932" s="23">
        <f>COUNTIFS(pg_transaction_cleaned!$O:$O,A1932,pg_transaction_cleaned!$F:$F,"CAPTURE")</f>
        <v>1</v>
      </c>
      <c r="K1932" s="39">
        <f>SUMIFS(pg_transaction_cleaned!$H:$H,pg_transaction_cleaned!$O:$O,A1932,pg_transaction_cleaned!$F:$F,"CAPTURE")</f>
        <v>1348</v>
      </c>
      <c r="L1932" s="23">
        <f>COUNTIFS(pg_transaction_cleaned!$O:$O,A1932,pg_transaction_cleaned!$F:$F,"REFUND")</f>
        <v>0</v>
      </c>
      <c r="M1932" s="39">
        <f>SUMIFS(pg_transaction_cleaned!$H:$H,pg_transaction_cleaned!$O:$O,A1932,pg_transaction_cleaned!$F:$F,"REFUND")</f>
        <v>0</v>
      </c>
      <c r="N1932" s="23" t="str">
        <f t="shared" si="122"/>
        <v>OK</v>
      </c>
      <c r="O1932" s="24">
        <f t="shared" si="123"/>
        <v>0</v>
      </c>
    </row>
    <row r="1933" spans="1:15" ht="15" customHeight="1" x14ac:dyDescent="0.3">
      <c r="A1933" s="23" t="s">
        <v>4354</v>
      </c>
      <c r="B1933" s="38">
        <v>46273</v>
      </c>
      <c r="C1933" s="23" t="s">
        <v>2494</v>
      </c>
      <c r="D1933" s="23" t="s">
        <v>87</v>
      </c>
      <c r="E1933" s="23" t="s">
        <v>75</v>
      </c>
      <c r="F1933" s="23" t="s">
        <v>438</v>
      </c>
      <c r="G1933" s="23" t="s">
        <v>250</v>
      </c>
      <c r="H1933" s="39">
        <f t="shared" si="120"/>
        <v>5498</v>
      </c>
      <c r="I1933" s="23" t="str">
        <f t="shared" si="121"/>
        <v>Mumbai</v>
      </c>
      <c r="J1933" s="23">
        <f>COUNTIFS(pg_transaction_cleaned!$O:$O,A1933,pg_transaction_cleaned!$F:$F,"CAPTURE")</f>
        <v>1</v>
      </c>
      <c r="K1933" s="39">
        <f>SUMIFS(pg_transaction_cleaned!$H:$H,pg_transaction_cleaned!$O:$O,A1933,pg_transaction_cleaned!$F:$F,"CAPTURE")</f>
        <v>5498</v>
      </c>
      <c r="L1933" s="23">
        <f>COUNTIFS(pg_transaction_cleaned!$O:$O,A1933,pg_transaction_cleaned!$F:$F,"REFUND")</f>
        <v>0</v>
      </c>
      <c r="M1933" s="39">
        <f>SUMIFS(pg_transaction_cleaned!$H:$H,pg_transaction_cleaned!$O:$O,A1933,pg_transaction_cleaned!$F:$F,"REFUND")</f>
        <v>0</v>
      </c>
      <c r="N1933" s="23" t="str">
        <f t="shared" si="122"/>
        <v>OK</v>
      </c>
      <c r="O1933" s="24">
        <f t="shared" si="123"/>
        <v>0</v>
      </c>
    </row>
    <row r="1934" spans="1:15" ht="15" customHeight="1" x14ac:dyDescent="0.3">
      <c r="A1934" s="23" t="s">
        <v>4355</v>
      </c>
      <c r="B1934" s="38">
        <v>46285</v>
      </c>
      <c r="C1934" s="23" t="s">
        <v>988</v>
      </c>
      <c r="D1934" s="23" t="s">
        <v>90</v>
      </c>
      <c r="E1934" s="23" t="s">
        <v>79</v>
      </c>
      <c r="F1934" s="23" t="s">
        <v>340</v>
      </c>
      <c r="G1934" s="23" t="s">
        <v>365</v>
      </c>
      <c r="H1934" s="39">
        <f t="shared" si="120"/>
        <v>6298</v>
      </c>
      <c r="I1934" s="23" t="str">
        <f t="shared" si="121"/>
        <v>Ahmedabad</v>
      </c>
      <c r="J1934" s="23">
        <f>COUNTIFS(pg_transaction_cleaned!$O:$O,A1934,pg_transaction_cleaned!$F:$F,"CAPTURE")</f>
        <v>1</v>
      </c>
      <c r="K1934" s="39">
        <f>SUMIFS(pg_transaction_cleaned!$H:$H,pg_transaction_cleaned!$O:$O,A1934,pg_transaction_cleaned!$F:$F,"CAPTURE")</f>
        <v>6298</v>
      </c>
      <c r="L1934" s="23">
        <f>COUNTIFS(pg_transaction_cleaned!$O:$O,A1934,pg_transaction_cleaned!$F:$F,"REFUND")</f>
        <v>0</v>
      </c>
      <c r="M1934" s="39">
        <f>SUMIFS(pg_transaction_cleaned!$H:$H,pg_transaction_cleaned!$O:$O,A1934,pg_transaction_cleaned!$F:$F,"REFUND")</f>
        <v>0</v>
      </c>
      <c r="N1934" s="23" t="str">
        <f t="shared" si="122"/>
        <v>Payment on failed/cancelled</v>
      </c>
      <c r="O1934" s="24">
        <f t="shared" si="123"/>
        <v>6298</v>
      </c>
    </row>
    <row r="1935" spans="1:15" ht="15" customHeight="1" x14ac:dyDescent="0.3">
      <c r="A1935" s="23" t="s">
        <v>4356</v>
      </c>
      <c r="B1935" s="38">
        <v>46272</v>
      </c>
      <c r="C1935" s="23" t="s">
        <v>4357</v>
      </c>
      <c r="D1935" s="23" t="s">
        <v>86</v>
      </c>
      <c r="E1935" s="23" t="s">
        <v>75</v>
      </c>
      <c r="F1935" s="23" t="s">
        <v>329</v>
      </c>
      <c r="G1935" s="23" t="s">
        <v>250</v>
      </c>
      <c r="H1935" s="39">
        <f t="shared" si="120"/>
        <v>599</v>
      </c>
      <c r="I1935" s="23" t="str">
        <f t="shared" si="121"/>
        <v>Delhi</v>
      </c>
      <c r="J1935" s="23">
        <f>COUNTIFS(pg_transaction_cleaned!$O:$O,A1935,pg_transaction_cleaned!$F:$F,"CAPTURE")</f>
        <v>1</v>
      </c>
      <c r="K1935" s="39">
        <f>SUMIFS(pg_transaction_cleaned!$H:$H,pg_transaction_cleaned!$O:$O,A1935,pg_transaction_cleaned!$F:$F,"CAPTURE")</f>
        <v>599</v>
      </c>
      <c r="L1935" s="23">
        <f>COUNTIFS(pg_transaction_cleaned!$O:$O,A1935,pg_transaction_cleaned!$F:$F,"REFUND")</f>
        <v>0</v>
      </c>
      <c r="M1935" s="39">
        <f>SUMIFS(pg_transaction_cleaned!$H:$H,pg_transaction_cleaned!$O:$O,A1935,pg_transaction_cleaned!$F:$F,"REFUND")</f>
        <v>0</v>
      </c>
      <c r="N1935" s="23" t="str">
        <f t="shared" si="122"/>
        <v>OK</v>
      </c>
      <c r="O1935" s="24">
        <f t="shared" si="123"/>
        <v>0</v>
      </c>
    </row>
    <row r="1936" spans="1:15" ht="15" customHeight="1" x14ac:dyDescent="0.3">
      <c r="A1936" s="23" t="s">
        <v>4358</v>
      </c>
      <c r="B1936" s="38">
        <v>46279</v>
      </c>
      <c r="C1936" s="23" t="s">
        <v>4359</v>
      </c>
      <c r="D1936" s="23" t="s">
        <v>87</v>
      </c>
      <c r="E1936" s="23" t="s">
        <v>79</v>
      </c>
      <c r="F1936" s="23" t="s">
        <v>475</v>
      </c>
      <c r="G1936" s="23" t="s">
        <v>250</v>
      </c>
      <c r="H1936" s="39">
        <f t="shared" si="120"/>
        <v>799</v>
      </c>
      <c r="I1936" s="23" t="str">
        <f t="shared" si="121"/>
        <v>Mumbai</v>
      </c>
      <c r="J1936" s="23">
        <f>COUNTIFS(pg_transaction_cleaned!$O:$O,A1936,pg_transaction_cleaned!$F:$F,"CAPTURE")</f>
        <v>1</v>
      </c>
      <c r="K1936" s="39">
        <f>SUMIFS(pg_transaction_cleaned!$H:$H,pg_transaction_cleaned!$O:$O,A1936,pg_transaction_cleaned!$F:$F,"CAPTURE")</f>
        <v>799</v>
      </c>
      <c r="L1936" s="23">
        <f>COUNTIFS(pg_transaction_cleaned!$O:$O,A1936,pg_transaction_cleaned!$F:$F,"REFUND")</f>
        <v>0</v>
      </c>
      <c r="M1936" s="39">
        <f>SUMIFS(pg_transaction_cleaned!$H:$H,pg_transaction_cleaned!$O:$O,A1936,pg_transaction_cleaned!$F:$F,"REFUND")</f>
        <v>0</v>
      </c>
      <c r="N1936" s="23" t="str">
        <f t="shared" si="122"/>
        <v>OK</v>
      </c>
      <c r="O1936" s="24">
        <f t="shared" si="123"/>
        <v>0</v>
      </c>
    </row>
    <row r="1937" spans="1:15" ht="15" customHeight="1" x14ac:dyDescent="0.3">
      <c r="A1937" s="23" t="s">
        <v>4360</v>
      </c>
      <c r="B1937" s="38">
        <v>46274</v>
      </c>
      <c r="C1937" s="23" t="s">
        <v>4361</v>
      </c>
      <c r="D1937" s="23" t="s">
        <v>90</v>
      </c>
      <c r="E1937" s="23" t="s">
        <v>75</v>
      </c>
      <c r="F1937" s="23" t="s">
        <v>1352</v>
      </c>
      <c r="G1937" s="23" t="s">
        <v>250</v>
      </c>
      <c r="H1937" s="39">
        <f t="shared" si="120"/>
        <v>998</v>
      </c>
      <c r="I1937" s="23" t="str">
        <f t="shared" si="121"/>
        <v>Ahmedabad</v>
      </c>
      <c r="J1937" s="23">
        <f>COUNTIFS(pg_transaction_cleaned!$O:$O,A1937,pg_transaction_cleaned!$F:$F,"CAPTURE")</f>
        <v>1</v>
      </c>
      <c r="K1937" s="39">
        <f>SUMIFS(pg_transaction_cleaned!$H:$H,pg_transaction_cleaned!$O:$O,A1937,pg_transaction_cleaned!$F:$F,"CAPTURE")</f>
        <v>998</v>
      </c>
      <c r="L1937" s="23">
        <f>COUNTIFS(pg_transaction_cleaned!$O:$O,A1937,pg_transaction_cleaned!$F:$F,"REFUND")</f>
        <v>0</v>
      </c>
      <c r="M1937" s="39">
        <f>SUMIFS(pg_transaction_cleaned!$H:$H,pg_transaction_cleaned!$O:$O,A1937,pg_transaction_cleaned!$F:$F,"REFUND")</f>
        <v>0</v>
      </c>
      <c r="N1937" s="23" t="str">
        <f t="shared" si="122"/>
        <v>OK</v>
      </c>
      <c r="O1937" s="24">
        <f t="shared" si="123"/>
        <v>0</v>
      </c>
    </row>
    <row r="1938" spans="1:15" ht="15" customHeight="1" x14ac:dyDescent="0.3">
      <c r="A1938" s="23" t="s">
        <v>4362</v>
      </c>
      <c r="B1938" s="38">
        <v>46291</v>
      </c>
      <c r="C1938" s="23" t="s">
        <v>4363</v>
      </c>
      <c r="D1938" s="23" t="s">
        <v>87</v>
      </c>
      <c r="E1938" s="23" t="s">
        <v>75</v>
      </c>
      <c r="F1938" s="23" t="s">
        <v>265</v>
      </c>
      <c r="G1938" s="23" t="s">
        <v>250</v>
      </c>
      <c r="H1938" s="39">
        <f t="shared" si="120"/>
        <v>999</v>
      </c>
      <c r="I1938" s="23" t="str">
        <f t="shared" si="121"/>
        <v>Mumbai</v>
      </c>
      <c r="J1938" s="23">
        <f>COUNTIFS(pg_transaction_cleaned!$O:$O,A1938,pg_transaction_cleaned!$F:$F,"CAPTURE")</f>
        <v>1</v>
      </c>
      <c r="K1938" s="39">
        <f>SUMIFS(pg_transaction_cleaned!$H:$H,pg_transaction_cleaned!$O:$O,A1938,pg_transaction_cleaned!$F:$F,"CAPTURE")</f>
        <v>999</v>
      </c>
      <c r="L1938" s="23">
        <f>COUNTIFS(pg_transaction_cleaned!$O:$O,A1938,pg_transaction_cleaned!$F:$F,"REFUND")</f>
        <v>0</v>
      </c>
      <c r="M1938" s="39">
        <f>SUMIFS(pg_transaction_cleaned!$H:$H,pg_transaction_cleaned!$O:$O,A1938,pg_transaction_cleaned!$F:$F,"REFUND")</f>
        <v>0</v>
      </c>
      <c r="N1938" s="23" t="str">
        <f t="shared" si="122"/>
        <v>OK</v>
      </c>
      <c r="O1938" s="24">
        <f t="shared" si="123"/>
        <v>0</v>
      </c>
    </row>
    <row r="1939" spans="1:15" ht="15" customHeight="1" x14ac:dyDescent="0.3">
      <c r="A1939" s="23" t="s">
        <v>4364</v>
      </c>
      <c r="B1939" s="38">
        <v>46271</v>
      </c>
      <c r="C1939" s="23" t="s">
        <v>4365</v>
      </c>
      <c r="D1939" s="23" t="s">
        <v>87</v>
      </c>
      <c r="E1939" s="23" t="s">
        <v>75</v>
      </c>
      <c r="F1939" s="23" t="s">
        <v>262</v>
      </c>
      <c r="G1939" s="23" t="s">
        <v>250</v>
      </c>
      <c r="H1939" s="39">
        <f t="shared" si="120"/>
        <v>499</v>
      </c>
      <c r="I1939" s="23" t="str">
        <f t="shared" si="121"/>
        <v>Mumbai</v>
      </c>
      <c r="J1939" s="23">
        <f>COUNTIFS(pg_transaction_cleaned!$O:$O,A1939,pg_transaction_cleaned!$F:$F,"CAPTURE")</f>
        <v>1</v>
      </c>
      <c r="K1939" s="39">
        <f>SUMIFS(pg_transaction_cleaned!$H:$H,pg_transaction_cleaned!$O:$O,A1939,pg_transaction_cleaned!$F:$F,"CAPTURE")</f>
        <v>499</v>
      </c>
      <c r="L1939" s="23">
        <f>COUNTIFS(pg_transaction_cleaned!$O:$O,A1939,pg_transaction_cleaned!$F:$F,"REFUND")</f>
        <v>0</v>
      </c>
      <c r="M1939" s="39">
        <f>SUMIFS(pg_transaction_cleaned!$H:$H,pg_transaction_cleaned!$O:$O,A1939,pg_transaction_cleaned!$F:$F,"REFUND")</f>
        <v>0</v>
      </c>
      <c r="N1939" s="23" t="str">
        <f t="shared" si="122"/>
        <v>OK</v>
      </c>
      <c r="O1939" s="24">
        <f t="shared" si="123"/>
        <v>0</v>
      </c>
    </row>
    <row r="1940" spans="1:15" ht="15" customHeight="1" x14ac:dyDescent="0.3">
      <c r="A1940" s="23" t="s">
        <v>4366</v>
      </c>
      <c r="B1940" s="38">
        <v>46281</v>
      </c>
      <c r="C1940" s="23" t="s">
        <v>1745</v>
      </c>
      <c r="D1940" s="23" t="s">
        <v>91</v>
      </c>
      <c r="E1940" s="23" t="s">
        <v>75</v>
      </c>
      <c r="F1940" s="23" t="s">
        <v>647</v>
      </c>
      <c r="G1940" s="23" t="s">
        <v>250</v>
      </c>
      <c r="H1940" s="39">
        <f t="shared" si="120"/>
        <v>5597</v>
      </c>
      <c r="I1940" s="23" t="str">
        <f t="shared" si="121"/>
        <v>Pune</v>
      </c>
      <c r="J1940" s="23">
        <f>COUNTIFS(pg_transaction_cleaned!$O:$O,A1940,pg_transaction_cleaned!$F:$F,"CAPTURE")</f>
        <v>1</v>
      </c>
      <c r="K1940" s="39">
        <f>SUMIFS(pg_transaction_cleaned!$H:$H,pg_transaction_cleaned!$O:$O,A1940,pg_transaction_cleaned!$F:$F,"CAPTURE")</f>
        <v>5597</v>
      </c>
      <c r="L1940" s="23">
        <f>COUNTIFS(pg_transaction_cleaned!$O:$O,A1940,pg_transaction_cleaned!$F:$F,"REFUND")</f>
        <v>0</v>
      </c>
      <c r="M1940" s="39">
        <f>SUMIFS(pg_transaction_cleaned!$H:$H,pg_transaction_cleaned!$O:$O,A1940,pg_transaction_cleaned!$F:$F,"REFUND")</f>
        <v>0</v>
      </c>
      <c r="N1940" s="23" t="str">
        <f t="shared" si="122"/>
        <v>OK</v>
      </c>
      <c r="O1940" s="24">
        <f t="shared" si="123"/>
        <v>0</v>
      </c>
    </row>
    <row r="1941" spans="1:15" ht="15" customHeight="1" x14ac:dyDescent="0.3">
      <c r="A1941" s="23" t="s">
        <v>4367</v>
      </c>
      <c r="B1941" s="38">
        <v>46285</v>
      </c>
      <c r="C1941" s="23" t="s">
        <v>4368</v>
      </c>
      <c r="D1941" s="23" t="s">
        <v>94</v>
      </c>
      <c r="E1941" s="23" t="s">
        <v>79</v>
      </c>
      <c r="F1941" s="23" t="s">
        <v>553</v>
      </c>
      <c r="G1941" s="23" t="s">
        <v>250</v>
      </c>
      <c r="H1941" s="39">
        <f t="shared" si="120"/>
        <v>2798</v>
      </c>
      <c r="I1941" s="23" t="str">
        <f t="shared" si="121"/>
        <v>Chennai</v>
      </c>
      <c r="J1941" s="23">
        <f>COUNTIFS(pg_transaction_cleaned!$O:$O,A1941,pg_transaction_cleaned!$F:$F,"CAPTURE")</f>
        <v>1</v>
      </c>
      <c r="K1941" s="39">
        <f>SUMIFS(pg_transaction_cleaned!$H:$H,pg_transaction_cleaned!$O:$O,A1941,pg_transaction_cleaned!$F:$F,"CAPTURE")</f>
        <v>2798</v>
      </c>
      <c r="L1941" s="23">
        <f>COUNTIFS(pg_transaction_cleaned!$O:$O,A1941,pg_transaction_cleaned!$F:$F,"REFUND")</f>
        <v>0</v>
      </c>
      <c r="M1941" s="39">
        <f>SUMIFS(pg_transaction_cleaned!$H:$H,pg_transaction_cleaned!$O:$O,A1941,pg_transaction_cleaned!$F:$F,"REFUND")</f>
        <v>0</v>
      </c>
      <c r="N1941" s="23" t="str">
        <f t="shared" si="122"/>
        <v>OK</v>
      </c>
      <c r="O1941" s="24">
        <f t="shared" si="123"/>
        <v>0</v>
      </c>
    </row>
    <row r="1942" spans="1:15" ht="15" customHeight="1" x14ac:dyDescent="0.3">
      <c r="A1942" s="23" t="s">
        <v>4369</v>
      </c>
      <c r="B1942" s="38">
        <v>46269</v>
      </c>
      <c r="C1942" s="23" t="s">
        <v>4370</v>
      </c>
      <c r="D1942" s="23" t="s">
        <v>91</v>
      </c>
      <c r="E1942" s="23" t="s">
        <v>75</v>
      </c>
      <c r="F1942" s="23" t="s">
        <v>268</v>
      </c>
      <c r="G1942" s="23" t="s">
        <v>250</v>
      </c>
      <c r="H1942" s="39">
        <f t="shared" si="120"/>
        <v>1299</v>
      </c>
      <c r="I1942" s="23" t="str">
        <f t="shared" si="121"/>
        <v>Pune</v>
      </c>
      <c r="J1942" s="23">
        <f>COUNTIFS(pg_transaction_cleaned!$O:$O,A1942,pg_transaction_cleaned!$F:$F,"CAPTURE")</f>
        <v>1</v>
      </c>
      <c r="K1942" s="39">
        <f>SUMIFS(pg_transaction_cleaned!$H:$H,pg_transaction_cleaned!$O:$O,A1942,pg_transaction_cleaned!$F:$F,"CAPTURE")</f>
        <v>1299</v>
      </c>
      <c r="L1942" s="23">
        <f>COUNTIFS(pg_transaction_cleaned!$O:$O,A1942,pg_transaction_cleaned!$F:$F,"REFUND")</f>
        <v>0</v>
      </c>
      <c r="M1942" s="39">
        <f>SUMIFS(pg_transaction_cleaned!$H:$H,pg_transaction_cleaned!$O:$O,A1942,pg_transaction_cleaned!$F:$F,"REFUND")</f>
        <v>0</v>
      </c>
      <c r="N1942" s="23" t="str">
        <f t="shared" si="122"/>
        <v>OK</v>
      </c>
      <c r="O1942" s="24">
        <f t="shared" si="123"/>
        <v>0</v>
      </c>
    </row>
    <row r="1943" spans="1:15" ht="15" customHeight="1" x14ac:dyDescent="0.3">
      <c r="A1943" s="23" t="s">
        <v>4371</v>
      </c>
      <c r="B1943" s="38">
        <v>46270</v>
      </c>
      <c r="C1943" s="23" t="s">
        <v>4372</v>
      </c>
      <c r="D1943" s="23" t="s">
        <v>95</v>
      </c>
      <c r="E1943" s="23" t="s">
        <v>79</v>
      </c>
      <c r="F1943" s="23" t="s">
        <v>265</v>
      </c>
      <c r="G1943" s="23" t="s">
        <v>318</v>
      </c>
      <c r="H1943" s="39">
        <f t="shared" si="120"/>
        <v>999</v>
      </c>
      <c r="I1943" s="23" t="str">
        <f t="shared" si="121"/>
        <v>Bengaluru</v>
      </c>
      <c r="J1943" s="23">
        <f>COUNTIFS(pg_transaction_cleaned!$O:$O,A1943,pg_transaction_cleaned!$F:$F,"CAPTURE")</f>
        <v>0</v>
      </c>
      <c r="K1943" s="39">
        <f>SUMIFS(pg_transaction_cleaned!$H:$H,pg_transaction_cleaned!$O:$O,A1943,pg_transaction_cleaned!$F:$F,"CAPTURE")</f>
        <v>0</v>
      </c>
      <c r="L1943" s="23">
        <f>COUNTIFS(pg_transaction_cleaned!$O:$O,A1943,pg_transaction_cleaned!$F:$F,"REFUND")</f>
        <v>0</v>
      </c>
      <c r="M1943" s="39">
        <f>SUMIFS(pg_transaction_cleaned!$H:$H,pg_transaction_cleaned!$O:$O,A1943,pg_transaction_cleaned!$F:$F,"REFUND")</f>
        <v>0</v>
      </c>
      <c r="N1943" s="23" t="str">
        <f t="shared" si="122"/>
        <v>OK</v>
      </c>
      <c r="O1943" s="24">
        <f t="shared" si="123"/>
        <v>0</v>
      </c>
    </row>
    <row r="1944" spans="1:15" ht="15" customHeight="1" x14ac:dyDescent="0.3">
      <c r="A1944" s="23" t="s">
        <v>4373</v>
      </c>
      <c r="B1944" s="38">
        <v>46282</v>
      </c>
      <c r="C1944" s="23" t="s">
        <v>4374</v>
      </c>
      <c r="D1944" s="23" t="s">
        <v>87</v>
      </c>
      <c r="E1944" s="23" t="s">
        <v>75</v>
      </c>
      <c r="F1944" s="23" t="s">
        <v>827</v>
      </c>
      <c r="G1944" s="23" t="s">
        <v>250</v>
      </c>
      <c r="H1944" s="39">
        <f t="shared" si="120"/>
        <v>11498</v>
      </c>
      <c r="I1944" s="23" t="str">
        <f t="shared" si="121"/>
        <v>Mumbai</v>
      </c>
      <c r="J1944" s="23">
        <f>COUNTIFS(pg_transaction_cleaned!$O:$O,A1944,pg_transaction_cleaned!$F:$F,"CAPTURE")</f>
        <v>1</v>
      </c>
      <c r="K1944" s="39">
        <f>SUMIFS(pg_transaction_cleaned!$H:$H,pg_transaction_cleaned!$O:$O,A1944,pg_transaction_cleaned!$F:$F,"CAPTURE")</f>
        <v>11498</v>
      </c>
      <c r="L1944" s="23">
        <f>COUNTIFS(pg_transaction_cleaned!$O:$O,A1944,pg_transaction_cleaned!$F:$F,"REFUND")</f>
        <v>0</v>
      </c>
      <c r="M1944" s="39">
        <f>SUMIFS(pg_transaction_cleaned!$H:$H,pg_transaction_cleaned!$O:$O,A1944,pg_transaction_cleaned!$F:$F,"REFUND")</f>
        <v>0</v>
      </c>
      <c r="N1944" s="23" t="str">
        <f t="shared" si="122"/>
        <v>OK</v>
      </c>
      <c r="O1944" s="24">
        <f t="shared" si="123"/>
        <v>0</v>
      </c>
    </row>
    <row r="1945" spans="1:15" ht="15" customHeight="1" x14ac:dyDescent="0.3">
      <c r="A1945" s="23" t="s">
        <v>4375</v>
      </c>
      <c r="B1945" s="38">
        <v>46269</v>
      </c>
      <c r="C1945" s="23" t="s">
        <v>4376</v>
      </c>
      <c r="D1945" s="23" t="s">
        <v>92</v>
      </c>
      <c r="E1945" s="23" t="s">
        <v>79</v>
      </c>
      <c r="F1945" s="23" t="s">
        <v>747</v>
      </c>
      <c r="G1945" s="23" t="s">
        <v>250</v>
      </c>
      <c r="H1945" s="39">
        <f t="shared" si="120"/>
        <v>2498</v>
      </c>
      <c r="I1945" s="23" t="str">
        <f t="shared" si="121"/>
        <v>Hyderabad</v>
      </c>
      <c r="J1945" s="23">
        <f>COUNTIFS(pg_transaction_cleaned!$O:$O,A1945,pg_transaction_cleaned!$F:$F,"CAPTURE")</f>
        <v>1</v>
      </c>
      <c r="K1945" s="39">
        <f>SUMIFS(pg_transaction_cleaned!$H:$H,pg_transaction_cleaned!$O:$O,A1945,pg_transaction_cleaned!$F:$F,"CAPTURE")</f>
        <v>2498</v>
      </c>
      <c r="L1945" s="23">
        <f>COUNTIFS(pg_transaction_cleaned!$O:$O,A1945,pg_transaction_cleaned!$F:$F,"REFUND")</f>
        <v>0</v>
      </c>
      <c r="M1945" s="39">
        <f>SUMIFS(pg_transaction_cleaned!$H:$H,pg_transaction_cleaned!$O:$O,A1945,pg_transaction_cleaned!$F:$F,"REFUND")</f>
        <v>0</v>
      </c>
      <c r="N1945" s="23" t="str">
        <f t="shared" si="122"/>
        <v>OK</v>
      </c>
      <c r="O1945" s="24">
        <f t="shared" si="123"/>
        <v>0</v>
      </c>
    </row>
    <row r="1946" spans="1:15" ht="15" customHeight="1" x14ac:dyDescent="0.3">
      <c r="A1946" s="23" t="s">
        <v>4377</v>
      </c>
      <c r="B1946" s="38">
        <v>46279</v>
      </c>
      <c r="C1946" s="23" t="s">
        <v>4378</v>
      </c>
      <c r="D1946" s="23" t="s">
        <v>92</v>
      </c>
      <c r="E1946" s="23" t="s">
        <v>81</v>
      </c>
      <c r="F1946" s="23" t="s">
        <v>396</v>
      </c>
      <c r="G1946" s="23" t="s">
        <v>250</v>
      </c>
      <c r="H1946" s="39">
        <f t="shared" si="120"/>
        <v>2999</v>
      </c>
      <c r="I1946" s="23" t="str">
        <f t="shared" si="121"/>
        <v>Hyderabad</v>
      </c>
      <c r="J1946" s="23">
        <f>COUNTIFS(pg_transaction_cleaned!$O:$O,A1946,pg_transaction_cleaned!$F:$F,"CAPTURE")</f>
        <v>1</v>
      </c>
      <c r="K1946" s="39">
        <f>SUMIFS(pg_transaction_cleaned!$H:$H,pg_transaction_cleaned!$O:$O,A1946,pg_transaction_cleaned!$F:$F,"CAPTURE")</f>
        <v>2999</v>
      </c>
      <c r="L1946" s="23">
        <f>COUNTIFS(pg_transaction_cleaned!$O:$O,A1946,pg_transaction_cleaned!$F:$F,"REFUND")</f>
        <v>0</v>
      </c>
      <c r="M1946" s="39">
        <f>SUMIFS(pg_transaction_cleaned!$H:$H,pg_transaction_cleaned!$O:$O,A1946,pg_transaction_cleaned!$F:$F,"REFUND")</f>
        <v>0</v>
      </c>
      <c r="N1946" s="23" t="str">
        <f t="shared" si="122"/>
        <v>OK</v>
      </c>
      <c r="O1946" s="24">
        <f t="shared" si="123"/>
        <v>0</v>
      </c>
    </row>
    <row r="1947" spans="1:15" ht="15" customHeight="1" x14ac:dyDescent="0.3">
      <c r="A1947" s="23" t="s">
        <v>4379</v>
      </c>
      <c r="B1947" s="38">
        <v>46271</v>
      </c>
      <c r="C1947" s="23" t="s">
        <v>4380</v>
      </c>
      <c r="D1947" s="23" t="s">
        <v>87</v>
      </c>
      <c r="E1947" s="23" t="s">
        <v>75</v>
      </c>
      <c r="F1947" s="23" t="s">
        <v>265</v>
      </c>
      <c r="G1947" s="23" t="s">
        <v>250</v>
      </c>
      <c r="H1947" s="39">
        <f t="shared" si="120"/>
        <v>999</v>
      </c>
      <c r="I1947" s="23" t="str">
        <f t="shared" si="121"/>
        <v>Mumbai</v>
      </c>
      <c r="J1947" s="23">
        <f>COUNTIFS(pg_transaction_cleaned!$O:$O,A1947,pg_transaction_cleaned!$F:$F,"CAPTURE")</f>
        <v>1</v>
      </c>
      <c r="K1947" s="39">
        <f>SUMIFS(pg_transaction_cleaned!$H:$H,pg_transaction_cleaned!$O:$O,A1947,pg_transaction_cleaned!$F:$F,"CAPTURE")</f>
        <v>999</v>
      </c>
      <c r="L1947" s="23">
        <f>COUNTIFS(pg_transaction_cleaned!$O:$O,A1947,pg_transaction_cleaned!$F:$F,"REFUND")</f>
        <v>0</v>
      </c>
      <c r="M1947" s="39">
        <f>SUMIFS(pg_transaction_cleaned!$H:$H,pg_transaction_cleaned!$O:$O,A1947,pg_transaction_cleaned!$F:$F,"REFUND")</f>
        <v>0</v>
      </c>
      <c r="N1947" s="23" t="str">
        <f t="shared" si="122"/>
        <v>OK</v>
      </c>
      <c r="O1947" s="24">
        <f t="shared" si="123"/>
        <v>0</v>
      </c>
    </row>
    <row r="1948" spans="1:15" ht="15" customHeight="1" x14ac:dyDescent="0.3">
      <c r="A1948" s="23" t="s">
        <v>4381</v>
      </c>
      <c r="B1948" s="38">
        <v>46285</v>
      </c>
      <c r="C1948" s="23" t="s">
        <v>4382</v>
      </c>
      <c r="D1948" s="23" t="s">
        <v>95</v>
      </c>
      <c r="E1948" s="23" t="s">
        <v>75</v>
      </c>
      <c r="F1948" s="23" t="s">
        <v>265</v>
      </c>
      <c r="G1948" s="23" t="s">
        <v>250</v>
      </c>
      <c r="H1948" s="39">
        <f t="shared" si="120"/>
        <v>999</v>
      </c>
      <c r="I1948" s="23" t="str">
        <f t="shared" si="121"/>
        <v>Bengaluru</v>
      </c>
      <c r="J1948" s="23">
        <f>COUNTIFS(pg_transaction_cleaned!$O:$O,A1948,pg_transaction_cleaned!$F:$F,"CAPTURE")</f>
        <v>1</v>
      </c>
      <c r="K1948" s="39">
        <f>SUMIFS(pg_transaction_cleaned!$H:$H,pg_transaction_cleaned!$O:$O,A1948,pg_transaction_cleaned!$F:$F,"CAPTURE")</f>
        <v>999</v>
      </c>
      <c r="L1948" s="23">
        <f>COUNTIFS(pg_transaction_cleaned!$O:$O,A1948,pg_transaction_cleaned!$F:$F,"REFUND")</f>
        <v>0</v>
      </c>
      <c r="M1948" s="39">
        <f>SUMIFS(pg_transaction_cleaned!$H:$H,pg_transaction_cleaned!$O:$O,A1948,pg_transaction_cleaned!$F:$F,"REFUND")</f>
        <v>0</v>
      </c>
      <c r="N1948" s="23" t="str">
        <f t="shared" si="122"/>
        <v>OK</v>
      </c>
      <c r="O1948" s="24">
        <f t="shared" si="123"/>
        <v>0</v>
      </c>
    </row>
    <row r="1949" spans="1:15" ht="15" customHeight="1" x14ac:dyDescent="0.3">
      <c r="A1949" s="23" t="s">
        <v>4383</v>
      </c>
      <c r="B1949" s="38">
        <v>46271</v>
      </c>
      <c r="C1949" s="23" t="s">
        <v>4384</v>
      </c>
      <c r="D1949" s="23" t="s">
        <v>90</v>
      </c>
      <c r="E1949" s="23" t="s">
        <v>79</v>
      </c>
      <c r="F1949" s="23" t="s">
        <v>294</v>
      </c>
      <c r="G1949" s="23" t="s">
        <v>250</v>
      </c>
      <c r="H1949" s="39">
        <f t="shared" si="120"/>
        <v>1799</v>
      </c>
      <c r="I1949" s="23" t="str">
        <f t="shared" si="121"/>
        <v>Ahmedabad</v>
      </c>
      <c r="J1949" s="23">
        <f>COUNTIFS(pg_transaction_cleaned!$O:$O,A1949,pg_transaction_cleaned!$F:$F,"CAPTURE")</f>
        <v>1</v>
      </c>
      <c r="K1949" s="39">
        <f>SUMIFS(pg_transaction_cleaned!$H:$H,pg_transaction_cleaned!$O:$O,A1949,pg_transaction_cleaned!$F:$F,"CAPTURE")</f>
        <v>1799</v>
      </c>
      <c r="L1949" s="23">
        <f>COUNTIFS(pg_transaction_cleaned!$O:$O,A1949,pg_transaction_cleaned!$F:$F,"REFUND")</f>
        <v>0</v>
      </c>
      <c r="M1949" s="39">
        <f>SUMIFS(pg_transaction_cleaned!$H:$H,pg_transaction_cleaned!$O:$O,A1949,pg_transaction_cleaned!$F:$F,"REFUND")</f>
        <v>0</v>
      </c>
      <c r="N1949" s="23" t="str">
        <f t="shared" si="122"/>
        <v>OK</v>
      </c>
      <c r="O1949" s="24">
        <f t="shared" si="123"/>
        <v>0</v>
      </c>
    </row>
    <row r="1950" spans="1:15" ht="15" customHeight="1" x14ac:dyDescent="0.3">
      <c r="A1950" s="23" t="s">
        <v>4385</v>
      </c>
      <c r="B1950" s="38">
        <v>46279</v>
      </c>
      <c r="C1950" s="23" t="s">
        <v>4386</v>
      </c>
      <c r="D1950" s="23" t="s">
        <v>89</v>
      </c>
      <c r="E1950" s="23" t="s">
        <v>79</v>
      </c>
      <c r="F1950" s="23" t="s">
        <v>265</v>
      </c>
      <c r="G1950" s="23" t="s">
        <v>301</v>
      </c>
      <c r="H1950" s="39">
        <f t="shared" si="120"/>
        <v>999</v>
      </c>
      <c r="I1950" s="23" t="str">
        <f t="shared" si="121"/>
        <v>Jaipur</v>
      </c>
      <c r="J1950" s="23">
        <f>COUNTIFS(pg_transaction_cleaned!$O:$O,A1950,pg_transaction_cleaned!$F:$F,"CAPTURE")</f>
        <v>1</v>
      </c>
      <c r="K1950" s="39">
        <f>SUMIFS(pg_transaction_cleaned!$H:$H,pg_transaction_cleaned!$O:$O,A1950,pg_transaction_cleaned!$F:$F,"CAPTURE")</f>
        <v>999</v>
      </c>
      <c r="L1950" s="23">
        <f>COUNTIFS(pg_transaction_cleaned!$O:$O,A1950,pg_transaction_cleaned!$F:$F,"REFUND")</f>
        <v>1</v>
      </c>
      <c r="M1950" s="39">
        <f>SUMIFS(pg_transaction_cleaned!$H:$H,pg_transaction_cleaned!$O:$O,A1950,pg_transaction_cleaned!$F:$F,"REFUND")</f>
        <v>999</v>
      </c>
      <c r="N1950" s="23" t="str">
        <f t="shared" si="122"/>
        <v>OK</v>
      </c>
      <c r="O1950" s="24">
        <f t="shared" si="123"/>
        <v>0</v>
      </c>
    </row>
    <row r="1951" spans="1:15" ht="15" customHeight="1" x14ac:dyDescent="0.3">
      <c r="A1951" s="23" t="s">
        <v>4387</v>
      </c>
      <c r="B1951" s="38">
        <v>46284</v>
      </c>
      <c r="C1951" s="23" t="s">
        <v>4388</v>
      </c>
      <c r="D1951" s="23" t="s">
        <v>91</v>
      </c>
      <c r="E1951" s="23" t="s">
        <v>75</v>
      </c>
      <c r="F1951" s="23" t="s">
        <v>352</v>
      </c>
      <c r="G1951" s="23" t="s">
        <v>250</v>
      </c>
      <c r="H1951" s="39">
        <f t="shared" si="120"/>
        <v>648</v>
      </c>
      <c r="I1951" s="23" t="str">
        <f t="shared" si="121"/>
        <v>Pune</v>
      </c>
      <c r="J1951" s="23">
        <f>COUNTIFS(pg_transaction_cleaned!$O:$O,A1951,pg_transaction_cleaned!$F:$F,"CAPTURE")</f>
        <v>1</v>
      </c>
      <c r="K1951" s="39">
        <f>SUMIFS(pg_transaction_cleaned!$H:$H,pg_transaction_cleaned!$O:$O,A1951,pg_transaction_cleaned!$F:$F,"CAPTURE")</f>
        <v>648</v>
      </c>
      <c r="L1951" s="23">
        <f>COUNTIFS(pg_transaction_cleaned!$O:$O,A1951,pg_transaction_cleaned!$F:$F,"REFUND")</f>
        <v>0</v>
      </c>
      <c r="M1951" s="39">
        <f>SUMIFS(pg_transaction_cleaned!$H:$H,pg_transaction_cleaned!$O:$O,A1951,pg_transaction_cleaned!$F:$F,"REFUND")</f>
        <v>0</v>
      </c>
      <c r="N1951" s="23" t="str">
        <f t="shared" si="122"/>
        <v>OK</v>
      </c>
      <c r="O1951" s="24">
        <f t="shared" si="123"/>
        <v>0</v>
      </c>
    </row>
    <row r="1952" spans="1:15" ht="15" customHeight="1" x14ac:dyDescent="0.3">
      <c r="A1952" s="23" t="s">
        <v>4389</v>
      </c>
      <c r="B1952" s="38">
        <v>46278</v>
      </c>
      <c r="C1952" s="23" t="s">
        <v>4390</v>
      </c>
      <c r="D1952" s="23" t="s">
        <v>93</v>
      </c>
      <c r="E1952" s="23" t="s">
        <v>79</v>
      </c>
      <c r="F1952" s="23" t="s">
        <v>724</v>
      </c>
      <c r="G1952" s="23" t="s">
        <v>250</v>
      </c>
      <c r="H1952" s="39">
        <f t="shared" si="120"/>
        <v>3848</v>
      </c>
      <c r="I1952" s="23" t="str">
        <f t="shared" si="121"/>
        <v>Kolkata</v>
      </c>
      <c r="J1952" s="23">
        <f>COUNTIFS(pg_transaction_cleaned!$O:$O,A1952,pg_transaction_cleaned!$F:$F,"CAPTURE")</f>
        <v>1</v>
      </c>
      <c r="K1952" s="39">
        <f>SUMIFS(pg_transaction_cleaned!$H:$H,pg_transaction_cleaned!$O:$O,A1952,pg_transaction_cleaned!$F:$F,"CAPTURE")</f>
        <v>3848</v>
      </c>
      <c r="L1952" s="23">
        <f>COUNTIFS(pg_transaction_cleaned!$O:$O,A1952,pg_transaction_cleaned!$F:$F,"REFUND")</f>
        <v>0</v>
      </c>
      <c r="M1952" s="39">
        <f>SUMIFS(pg_transaction_cleaned!$H:$H,pg_transaction_cleaned!$O:$O,A1952,pg_transaction_cleaned!$F:$F,"REFUND")</f>
        <v>0</v>
      </c>
      <c r="N1952" s="23" t="str">
        <f t="shared" si="122"/>
        <v>OK</v>
      </c>
      <c r="O1952" s="24">
        <f t="shared" si="123"/>
        <v>0</v>
      </c>
    </row>
    <row r="1953" spans="1:15" ht="15" customHeight="1" x14ac:dyDescent="0.3">
      <c r="A1953" s="23" t="s">
        <v>4391</v>
      </c>
      <c r="B1953" s="38">
        <v>46278</v>
      </c>
      <c r="C1953" s="23" t="s">
        <v>4392</v>
      </c>
      <c r="D1953" s="23" t="s">
        <v>91</v>
      </c>
      <c r="E1953" s="23" t="s">
        <v>75</v>
      </c>
      <c r="F1953" s="23" t="s">
        <v>262</v>
      </c>
      <c r="G1953" s="23" t="s">
        <v>318</v>
      </c>
      <c r="H1953" s="39">
        <f t="shared" si="120"/>
        <v>499</v>
      </c>
      <c r="I1953" s="23" t="str">
        <f t="shared" si="121"/>
        <v>Pune</v>
      </c>
      <c r="J1953" s="23">
        <f>COUNTIFS(pg_transaction_cleaned!$O:$O,A1953,pg_transaction_cleaned!$F:$F,"CAPTURE")</f>
        <v>0</v>
      </c>
      <c r="K1953" s="39">
        <f>SUMIFS(pg_transaction_cleaned!$H:$H,pg_transaction_cleaned!$O:$O,A1953,pg_transaction_cleaned!$F:$F,"CAPTURE")</f>
        <v>0</v>
      </c>
      <c r="L1953" s="23">
        <f>COUNTIFS(pg_transaction_cleaned!$O:$O,A1953,pg_transaction_cleaned!$F:$F,"REFUND")</f>
        <v>0</v>
      </c>
      <c r="M1953" s="39">
        <f>SUMIFS(pg_transaction_cleaned!$H:$H,pg_transaction_cleaned!$O:$O,A1953,pg_transaction_cleaned!$F:$F,"REFUND")</f>
        <v>0</v>
      </c>
      <c r="N1953" s="23" t="str">
        <f t="shared" si="122"/>
        <v>OK</v>
      </c>
      <c r="O1953" s="24">
        <f t="shared" si="123"/>
        <v>0</v>
      </c>
    </row>
    <row r="1954" spans="1:15" ht="15" customHeight="1" x14ac:dyDescent="0.3">
      <c r="A1954" s="23" t="s">
        <v>4393</v>
      </c>
      <c r="B1954" s="38">
        <v>46292</v>
      </c>
      <c r="C1954" s="23" t="s">
        <v>4394</v>
      </c>
      <c r="D1954" s="23" t="s">
        <v>88</v>
      </c>
      <c r="E1954" s="23" t="s">
        <v>75</v>
      </c>
      <c r="F1954" s="23" t="s">
        <v>1463</v>
      </c>
      <c r="G1954" s="23" t="s">
        <v>250</v>
      </c>
      <c r="H1954" s="39">
        <f t="shared" si="120"/>
        <v>5348</v>
      </c>
      <c r="I1954" s="23" t="str">
        <f t="shared" si="121"/>
        <v>Lucknow</v>
      </c>
      <c r="J1954" s="23">
        <f>COUNTIFS(pg_transaction_cleaned!$O:$O,A1954,pg_transaction_cleaned!$F:$F,"CAPTURE")</f>
        <v>1</v>
      </c>
      <c r="K1954" s="39">
        <f>SUMIFS(pg_transaction_cleaned!$H:$H,pg_transaction_cleaned!$O:$O,A1954,pg_transaction_cleaned!$F:$F,"CAPTURE")</f>
        <v>5348</v>
      </c>
      <c r="L1954" s="23">
        <f>COUNTIFS(pg_transaction_cleaned!$O:$O,A1954,pg_transaction_cleaned!$F:$F,"REFUND")</f>
        <v>0</v>
      </c>
      <c r="M1954" s="39">
        <f>SUMIFS(pg_transaction_cleaned!$H:$H,pg_transaction_cleaned!$O:$O,A1954,pg_transaction_cleaned!$F:$F,"REFUND")</f>
        <v>0</v>
      </c>
      <c r="N1954" s="23" t="str">
        <f t="shared" si="122"/>
        <v>OK</v>
      </c>
      <c r="O1954" s="24">
        <f t="shared" si="123"/>
        <v>0</v>
      </c>
    </row>
    <row r="1955" spans="1:15" ht="15" customHeight="1" x14ac:dyDescent="0.3">
      <c r="A1955" s="23" t="s">
        <v>4395</v>
      </c>
      <c r="B1955" s="38">
        <v>46282</v>
      </c>
      <c r="C1955" s="23" t="s">
        <v>4396</v>
      </c>
      <c r="D1955" s="23"/>
      <c r="E1955" s="23" t="s">
        <v>79</v>
      </c>
      <c r="F1955" s="23" t="s">
        <v>1735</v>
      </c>
      <c r="G1955" s="23" t="s">
        <v>250</v>
      </c>
      <c r="H1955" s="39">
        <f t="shared" si="120"/>
        <v>12998</v>
      </c>
      <c r="I1955" s="23" t="str">
        <f t="shared" si="121"/>
        <v>Unknown</v>
      </c>
      <c r="J1955" s="23">
        <f>COUNTIFS(pg_transaction_cleaned!$O:$O,A1955,pg_transaction_cleaned!$F:$F,"CAPTURE")</f>
        <v>1</v>
      </c>
      <c r="K1955" s="39">
        <f>SUMIFS(pg_transaction_cleaned!$H:$H,pg_transaction_cleaned!$O:$O,A1955,pg_transaction_cleaned!$F:$F,"CAPTURE")</f>
        <v>12998</v>
      </c>
      <c r="L1955" s="23">
        <f>COUNTIFS(pg_transaction_cleaned!$O:$O,A1955,pg_transaction_cleaned!$F:$F,"REFUND")</f>
        <v>0</v>
      </c>
      <c r="M1955" s="39">
        <f>SUMIFS(pg_transaction_cleaned!$H:$H,pg_transaction_cleaned!$O:$O,A1955,pg_transaction_cleaned!$F:$F,"REFUND")</f>
        <v>0</v>
      </c>
      <c r="N1955" s="23" t="str">
        <f t="shared" si="122"/>
        <v>OK</v>
      </c>
      <c r="O1955" s="24">
        <f t="shared" si="123"/>
        <v>0</v>
      </c>
    </row>
    <row r="1956" spans="1:15" ht="15" customHeight="1" x14ac:dyDescent="0.3">
      <c r="A1956" s="23" t="s">
        <v>4397</v>
      </c>
      <c r="B1956" s="38">
        <v>46281</v>
      </c>
      <c r="C1956" s="23" t="s">
        <v>4398</v>
      </c>
      <c r="D1956" s="23" t="s">
        <v>92</v>
      </c>
      <c r="E1956" s="23" t="s">
        <v>75</v>
      </c>
      <c r="F1956" s="23" t="s">
        <v>297</v>
      </c>
      <c r="G1956" s="23" t="s">
        <v>318</v>
      </c>
      <c r="H1956" s="39">
        <f t="shared" si="120"/>
        <v>4999</v>
      </c>
      <c r="I1956" s="23" t="str">
        <f t="shared" si="121"/>
        <v>Hyderabad</v>
      </c>
      <c r="J1956" s="23">
        <f>COUNTIFS(pg_transaction_cleaned!$O:$O,A1956,pg_transaction_cleaned!$F:$F,"CAPTURE")</f>
        <v>0</v>
      </c>
      <c r="K1956" s="39">
        <f>SUMIFS(pg_transaction_cleaned!$H:$H,pg_transaction_cleaned!$O:$O,A1956,pg_transaction_cleaned!$F:$F,"CAPTURE")</f>
        <v>0</v>
      </c>
      <c r="L1956" s="23">
        <f>COUNTIFS(pg_transaction_cleaned!$O:$O,A1956,pg_transaction_cleaned!$F:$F,"REFUND")</f>
        <v>0</v>
      </c>
      <c r="M1956" s="39">
        <f>SUMIFS(pg_transaction_cleaned!$H:$H,pg_transaction_cleaned!$O:$O,A1956,pg_transaction_cleaned!$F:$F,"REFUND")</f>
        <v>0</v>
      </c>
      <c r="N1956" s="23" t="str">
        <f t="shared" si="122"/>
        <v>OK</v>
      </c>
      <c r="O1956" s="24">
        <f t="shared" si="123"/>
        <v>0</v>
      </c>
    </row>
    <row r="1957" spans="1:15" ht="15" customHeight="1" x14ac:dyDescent="0.3">
      <c r="A1957" s="23" t="s">
        <v>4399</v>
      </c>
      <c r="B1957" s="38">
        <v>46282</v>
      </c>
      <c r="C1957" s="23" t="s">
        <v>4400</v>
      </c>
      <c r="D1957" s="23" t="s">
        <v>87</v>
      </c>
      <c r="E1957" s="23" t="s">
        <v>79</v>
      </c>
      <c r="F1957" s="23" t="s">
        <v>1693</v>
      </c>
      <c r="G1957" s="23" t="s">
        <v>365</v>
      </c>
      <c r="H1957" s="39">
        <f t="shared" si="120"/>
        <v>4097</v>
      </c>
      <c r="I1957" s="23" t="str">
        <f t="shared" si="121"/>
        <v>Mumbai</v>
      </c>
      <c r="J1957" s="23">
        <f>COUNTIFS(pg_transaction_cleaned!$O:$O,A1957,pg_transaction_cleaned!$F:$F,"CAPTURE")</f>
        <v>0</v>
      </c>
      <c r="K1957" s="39">
        <f>SUMIFS(pg_transaction_cleaned!$H:$H,pg_transaction_cleaned!$O:$O,A1957,pg_transaction_cleaned!$F:$F,"CAPTURE")</f>
        <v>0</v>
      </c>
      <c r="L1957" s="23">
        <f>COUNTIFS(pg_transaction_cleaned!$O:$O,A1957,pg_transaction_cleaned!$F:$F,"REFUND")</f>
        <v>0</v>
      </c>
      <c r="M1957" s="39">
        <f>SUMIFS(pg_transaction_cleaned!$H:$H,pg_transaction_cleaned!$O:$O,A1957,pg_transaction_cleaned!$F:$F,"REFUND")</f>
        <v>0</v>
      </c>
      <c r="N1957" s="23" t="str">
        <f t="shared" si="122"/>
        <v>OK</v>
      </c>
      <c r="O1957" s="24">
        <f t="shared" si="123"/>
        <v>0</v>
      </c>
    </row>
    <row r="1958" spans="1:15" ht="15" customHeight="1" x14ac:dyDescent="0.3">
      <c r="A1958" s="23" t="s">
        <v>4401</v>
      </c>
      <c r="B1958" s="38">
        <v>46279</v>
      </c>
      <c r="C1958" s="23" t="s">
        <v>4402</v>
      </c>
      <c r="D1958" s="23" t="s">
        <v>92</v>
      </c>
      <c r="E1958" s="23" t="s">
        <v>79</v>
      </c>
      <c r="F1958" s="23" t="s">
        <v>249</v>
      </c>
      <c r="G1958" s="23" t="s">
        <v>250</v>
      </c>
      <c r="H1958" s="39">
        <f t="shared" si="120"/>
        <v>299</v>
      </c>
      <c r="I1958" s="23" t="str">
        <f t="shared" si="121"/>
        <v>Hyderabad</v>
      </c>
      <c r="J1958" s="23">
        <f>COUNTIFS(pg_transaction_cleaned!$O:$O,A1958,pg_transaction_cleaned!$F:$F,"CAPTURE")</f>
        <v>1</v>
      </c>
      <c r="K1958" s="39">
        <f>SUMIFS(pg_transaction_cleaned!$H:$H,pg_transaction_cleaned!$O:$O,A1958,pg_transaction_cleaned!$F:$F,"CAPTURE")</f>
        <v>299</v>
      </c>
      <c r="L1958" s="23">
        <f>COUNTIFS(pg_transaction_cleaned!$O:$O,A1958,pg_transaction_cleaned!$F:$F,"REFUND")</f>
        <v>0</v>
      </c>
      <c r="M1958" s="39">
        <f>SUMIFS(pg_transaction_cleaned!$H:$H,pg_transaction_cleaned!$O:$O,A1958,pg_transaction_cleaned!$F:$F,"REFUND")</f>
        <v>0</v>
      </c>
      <c r="N1958" s="23" t="str">
        <f t="shared" si="122"/>
        <v>OK</v>
      </c>
      <c r="O1958" s="24">
        <f t="shared" si="123"/>
        <v>0</v>
      </c>
    </row>
    <row r="1959" spans="1:15" ht="15" customHeight="1" x14ac:dyDescent="0.3">
      <c r="A1959" s="23" t="s">
        <v>4403</v>
      </c>
      <c r="B1959" s="38">
        <v>46280</v>
      </c>
      <c r="C1959" s="23" t="s">
        <v>4404</v>
      </c>
      <c r="D1959" s="23" t="s">
        <v>94</v>
      </c>
      <c r="E1959" s="23" t="s">
        <v>75</v>
      </c>
      <c r="F1959" s="23" t="s">
        <v>2160</v>
      </c>
      <c r="G1959" s="23" t="s">
        <v>250</v>
      </c>
      <c r="H1959" s="39">
        <f t="shared" si="120"/>
        <v>7998</v>
      </c>
      <c r="I1959" s="23" t="str">
        <f t="shared" si="121"/>
        <v>Chennai</v>
      </c>
      <c r="J1959" s="23">
        <f>COUNTIFS(pg_transaction_cleaned!$O:$O,A1959,pg_transaction_cleaned!$F:$F,"CAPTURE")</f>
        <v>1</v>
      </c>
      <c r="K1959" s="39">
        <f>SUMIFS(pg_transaction_cleaned!$H:$H,pg_transaction_cleaned!$O:$O,A1959,pg_transaction_cleaned!$F:$F,"CAPTURE")</f>
        <v>7998</v>
      </c>
      <c r="L1959" s="23">
        <f>COUNTIFS(pg_transaction_cleaned!$O:$O,A1959,pg_transaction_cleaned!$F:$F,"REFUND")</f>
        <v>0</v>
      </c>
      <c r="M1959" s="39">
        <f>SUMIFS(pg_transaction_cleaned!$H:$H,pg_transaction_cleaned!$O:$O,A1959,pg_transaction_cleaned!$F:$F,"REFUND")</f>
        <v>0</v>
      </c>
      <c r="N1959" s="23" t="str">
        <f t="shared" si="122"/>
        <v>OK</v>
      </c>
      <c r="O1959" s="24">
        <f t="shared" si="123"/>
        <v>0</v>
      </c>
    </row>
    <row r="1960" spans="1:15" ht="15" customHeight="1" x14ac:dyDescent="0.3">
      <c r="A1960" s="23" t="s">
        <v>4405</v>
      </c>
      <c r="B1960" s="38">
        <v>46273</v>
      </c>
      <c r="C1960" s="23" t="s">
        <v>4406</v>
      </c>
      <c r="D1960" s="23"/>
      <c r="E1960" s="23" t="s">
        <v>79</v>
      </c>
      <c r="F1960" s="23" t="s">
        <v>271</v>
      </c>
      <c r="G1960" s="23" t="s">
        <v>250</v>
      </c>
      <c r="H1960" s="39">
        <f t="shared" si="120"/>
        <v>2499</v>
      </c>
      <c r="I1960" s="23" t="str">
        <f t="shared" si="121"/>
        <v>Unknown</v>
      </c>
      <c r="J1960" s="23">
        <f>COUNTIFS(pg_transaction_cleaned!$O:$O,A1960,pg_transaction_cleaned!$F:$F,"CAPTURE")</f>
        <v>1</v>
      </c>
      <c r="K1960" s="39">
        <f>SUMIFS(pg_transaction_cleaned!$H:$H,pg_transaction_cleaned!$O:$O,A1960,pg_transaction_cleaned!$F:$F,"CAPTURE")</f>
        <v>2499</v>
      </c>
      <c r="L1960" s="23">
        <f>COUNTIFS(pg_transaction_cleaned!$O:$O,A1960,pg_transaction_cleaned!$F:$F,"REFUND")</f>
        <v>0</v>
      </c>
      <c r="M1960" s="39">
        <f>SUMIFS(pg_transaction_cleaned!$H:$H,pg_transaction_cleaned!$O:$O,A1960,pg_transaction_cleaned!$F:$F,"REFUND")</f>
        <v>0</v>
      </c>
      <c r="N1960" s="23" t="str">
        <f t="shared" si="122"/>
        <v>OK</v>
      </c>
      <c r="O1960" s="24">
        <f t="shared" si="123"/>
        <v>0</v>
      </c>
    </row>
    <row r="1961" spans="1:15" ht="15" customHeight="1" x14ac:dyDescent="0.3">
      <c r="A1961" s="23" t="s">
        <v>4407</v>
      </c>
      <c r="B1961" s="38">
        <v>46279</v>
      </c>
      <c r="C1961" s="23" t="s">
        <v>4408</v>
      </c>
      <c r="D1961" s="23" t="s">
        <v>94</v>
      </c>
      <c r="E1961" s="23" t="s">
        <v>77</v>
      </c>
      <c r="F1961" s="23" t="s">
        <v>587</v>
      </c>
      <c r="G1961" s="23" t="s">
        <v>250</v>
      </c>
      <c r="H1961" s="39">
        <f t="shared" si="120"/>
        <v>5297</v>
      </c>
      <c r="I1961" s="23" t="str">
        <f t="shared" si="121"/>
        <v>Chennai</v>
      </c>
      <c r="J1961" s="23">
        <f>COUNTIFS(pg_transaction_cleaned!$O:$O,A1961,pg_transaction_cleaned!$F:$F,"CAPTURE")</f>
        <v>1</v>
      </c>
      <c r="K1961" s="39">
        <f>SUMIFS(pg_transaction_cleaned!$H:$H,pg_transaction_cleaned!$O:$O,A1961,pg_transaction_cleaned!$F:$F,"CAPTURE")</f>
        <v>5297</v>
      </c>
      <c r="L1961" s="23">
        <f>COUNTIFS(pg_transaction_cleaned!$O:$O,A1961,pg_transaction_cleaned!$F:$F,"REFUND")</f>
        <v>0</v>
      </c>
      <c r="M1961" s="39">
        <f>SUMIFS(pg_transaction_cleaned!$H:$H,pg_transaction_cleaned!$O:$O,A1961,pg_transaction_cleaned!$F:$F,"REFUND")</f>
        <v>0</v>
      </c>
      <c r="N1961" s="23" t="str">
        <f t="shared" si="122"/>
        <v>OK</v>
      </c>
      <c r="O1961" s="24">
        <f t="shared" si="123"/>
        <v>0</v>
      </c>
    </row>
    <row r="1962" spans="1:15" ht="15" customHeight="1" x14ac:dyDescent="0.3">
      <c r="A1962" s="23" t="s">
        <v>4409</v>
      </c>
      <c r="B1962" s="38">
        <v>46276</v>
      </c>
      <c r="C1962" s="23" t="s">
        <v>4410</v>
      </c>
      <c r="D1962" s="23" t="s">
        <v>95</v>
      </c>
      <c r="E1962" s="23" t="s">
        <v>75</v>
      </c>
      <c r="F1962" s="23" t="s">
        <v>265</v>
      </c>
      <c r="G1962" s="23" t="s">
        <v>250</v>
      </c>
      <c r="H1962" s="39">
        <f t="shared" si="120"/>
        <v>999</v>
      </c>
      <c r="I1962" s="23" t="str">
        <f t="shared" si="121"/>
        <v>Bengaluru</v>
      </c>
      <c r="J1962" s="23">
        <f>COUNTIFS(pg_transaction_cleaned!$O:$O,A1962,pg_transaction_cleaned!$F:$F,"CAPTURE")</f>
        <v>1</v>
      </c>
      <c r="K1962" s="39">
        <f>SUMIFS(pg_transaction_cleaned!$H:$H,pg_transaction_cleaned!$O:$O,A1962,pg_transaction_cleaned!$F:$F,"CAPTURE")</f>
        <v>999</v>
      </c>
      <c r="L1962" s="23">
        <f>COUNTIFS(pg_transaction_cleaned!$O:$O,A1962,pg_transaction_cleaned!$F:$F,"REFUND")</f>
        <v>0</v>
      </c>
      <c r="M1962" s="39">
        <f>SUMIFS(pg_transaction_cleaned!$H:$H,pg_transaction_cleaned!$O:$O,A1962,pg_transaction_cleaned!$F:$F,"REFUND")</f>
        <v>0</v>
      </c>
      <c r="N1962" s="23" t="str">
        <f t="shared" si="122"/>
        <v>OK</v>
      </c>
      <c r="O1962" s="24">
        <f t="shared" si="123"/>
        <v>0</v>
      </c>
    </row>
    <row r="1963" spans="1:15" ht="15" customHeight="1" x14ac:dyDescent="0.3">
      <c r="A1963" s="23" t="s">
        <v>4411</v>
      </c>
      <c r="B1963" s="38">
        <v>46283</v>
      </c>
      <c r="C1963" s="23" t="s">
        <v>4412</v>
      </c>
      <c r="D1963" s="23" t="s">
        <v>91</v>
      </c>
      <c r="E1963" s="23" t="s">
        <v>75</v>
      </c>
      <c r="F1963" s="23" t="s">
        <v>561</v>
      </c>
      <c r="G1963" s="23" t="s">
        <v>250</v>
      </c>
      <c r="H1963" s="39">
        <f t="shared" si="120"/>
        <v>4797</v>
      </c>
      <c r="I1963" s="23" t="str">
        <f t="shared" si="121"/>
        <v>Pune</v>
      </c>
      <c r="J1963" s="23">
        <f>COUNTIFS(pg_transaction_cleaned!$O:$O,A1963,pg_transaction_cleaned!$F:$F,"CAPTURE")</f>
        <v>1</v>
      </c>
      <c r="K1963" s="39">
        <f>SUMIFS(pg_transaction_cleaned!$H:$H,pg_transaction_cleaned!$O:$O,A1963,pg_transaction_cleaned!$F:$F,"CAPTURE")</f>
        <v>4797</v>
      </c>
      <c r="L1963" s="23">
        <f>COUNTIFS(pg_transaction_cleaned!$O:$O,A1963,pg_transaction_cleaned!$F:$F,"REFUND")</f>
        <v>0</v>
      </c>
      <c r="M1963" s="39">
        <f>SUMIFS(pg_transaction_cleaned!$H:$H,pg_transaction_cleaned!$O:$O,A1963,pg_transaction_cleaned!$F:$F,"REFUND")</f>
        <v>0</v>
      </c>
      <c r="N1963" s="23" t="str">
        <f t="shared" si="122"/>
        <v>OK</v>
      </c>
      <c r="O1963" s="24">
        <f t="shared" si="123"/>
        <v>0</v>
      </c>
    </row>
    <row r="1964" spans="1:15" ht="15" customHeight="1" x14ac:dyDescent="0.3">
      <c r="A1964" s="23" t="s">
        <v>4413</v>
      </c>
      <c r="B1964" s="38">
        <v>46286</v>
      </c>
      <c r="C1964" s="23" t="s">
        <v>4414</v>
      </c>
      <c r="D1964" s="23" t="s">
        <v>94</v>
      </c>
      <c r="E1964" s="23" t="s">
        <v>79</v>
      </c>
      <c r="F1964" s="23" t="s">
        <v>553</v>
      </c>
      <c r="G1964" s="23" t="s">
        <v>250</v>
      </c>
      <c r="H1964" s="39">
        <f t="shared" si="120"/>
        <v>2798</v>
      </c>
      <c r="I1964" s="23" t="str">
        <f t="shared" si="121"/>
        <v>Chennai</v>
      </c>
      <c r="J1964" s="23">
        <f>COUNTIFS(pg_transaction_cleaned!$O:$O,A1964,pg_transaction_cleaned!$F:$F,"CAPTURE")</f>
        <v>1</v>
      </c>
      <c r="K1964" s="39">
        <f>SUMIFS(pg_transaction_cleaned!$H:$H,pg_transaction_cleaned!$O:$O,A1964,pg_transaction_cleaned!$F:$F,"CAPTURE")</f>
        <v>2798</v>
      </c>
      <c r="L1964" s="23">
        <f>COUNTIFS(pg_transaction_cleaned!$O:$O,A1964,pg_transaction_cleaned!$F:$F,"REFUND")</f>
        <v>0</v>
      </c>
      <c r="M1964" s="39">
        <f>SUMIFS(pg_transaction_cleaned!$H:$H,pg_transaction_cleaned!$O:$O,A1964,pg_transaction_cleaned!$F:$F,"REFUND")</f>
        <v>0</v>
      </c>
      <c r="N1964" s="23" t="str">
        <f t="shared" si="122"/>
        <v>OK</v>
      </c>
      <c r="O1964" s="24">
        <f t="shared" si="123"/>
        <v>0</v>
      </c>
    </row>
    <row r="1965" spans="1:15" ht="15" customHeight="1" x14ac:dyDescent="0.3">
      <c r="A1965" s="23" t="s">
        <v>4415</v>
      </c>
      <c r="B1965" s="38">
        <v>46275</v>
      </c>
      <c r="C1965" s="23" t="s">
        <v>4416</v>
      </c>
      <c r="D1965" s="23" t="s">
        <v>86</v>
      </c>
      <c r="E1965" s="23" t="s">
        <v>79</v>
      </c>
      <c r="F1965" s="23" t="s">
        <v>297</v>
      </c>
      <c r="G1965" s="23" t="s">
        <v>250</v>
      </c>
      <c r="H1965" s="39">
        <f t="shared" si="120"/>
        <v>4999</v>
      </c>
      <c r="I1965" s="23" t="str">
        <f t="shared" si="121"/>
        <v>Delhi</v>
      </c>
      <c r="J1965" s="23">
        <f>COUNTIFS(pg_transaction_cleaned!$O:$O,A1965,pg_transaction_cleaned!$F:$F,"CAPTURE")</f>
        <v>1</v>
      </c>
      <c r="K1965" s="39">
        <f>SUMIFS(pg_transaction_cleaned!$H:$H,pg_transaction_cleaned!$O:$O,A1965,pg_transaction_cleaned!$F:$F,"CAPTURE")</f>
        <v>4999</v>
      </c>
      <c r="L1965" s="23">
        <f>COUNTIFS(pg_transaction_cleaned!$O:$O,A1965,pg_transaction_cleaned!$F:$F,"REFUND")</f>
        <v>0</v>
      </c>
      <c r="M1965" s="39">
        <f>SUMIFS(pg_transaction_cleaned!$H:$H,pg_transaction_cleaned!$O:$O,A1965,pg_transaction_cleaned!$F:$F,"REFUND")</f>
        <v>0</v>
      </c>
      <c r="N1965" s="23" t="str">
        <f t="shared" si="122"/>
        <v>OK</v>
      </c>
      <c r="O1965" s="24">
        <f t="shared" si="123"/>
        <v>0</v>
      </c>
    </row>
    <row r="1966" spans="1:15" ht="15" customHeight="1" x14ac:dyDescent="0.3">
      <c r="A1966" s="23" t="s">
        <v>4417</v>
      </c>
      <c r="B1966" s="38">
        <v>46285</v>
      </c>
      <c r="C1966" s="23" t="s">
        <v>4418</v>
      </c>
      <c r="D1966" s="23" t="s">
        <v>92</v>
      </c>
      <c r="E1966" s="23" t="s">
        <v>75</v>
      </c>
      <c r="F1966" s="23" t="s">
        <v>483</v>
      </c>
      <c r="G1966" s="23" t="s">
        <v>250</v>
      </c>
      <c r="H1966" s="39">
        <f t="shared" si="120"/>
        <v>2998</v>
      </c>
      <c r="I1966" s="23" t="str">
        <f t="shared" si="121"/>
        <v>Hyderabad</v>
      </c>
      <c r="J1966" s="23">
        <f>COUNTIFS(pg_transaction_cleaned!$O:$O,A1966,pg_transaction_cleaned!$F:$F,"CAPTURE")</f>
        <v>1</v>
      </c>
      <c r="K1966" s="39">
        <f>SUMIFS(pg_transaction_cleaned!$H:$H,pg_transaction_cleaned!$O:$O,A1966,pg_transaction_cleaned!$F:$F,"CAPTURE")</f>
        <v>2998</v>
      </c>
      <c r="L1966" s="23">
        <f>COUNTIFS(pg_transaction_cleaned!$O:$O,A1966,pg_transaction_cleaned!$F:$F,"REFUND")</f>
        <v>0</v>
      </c>
      <c r="M1966" s="39">
        <f>SUMIFS(pg_transaction_cleaned!$H:$H,pg_transaction_cleaned!$O:$O,A1966,pg_transaction_cleaned!$F:$F,"REFUND")</f>
        <v>0</v>
      </c>
      <c r="N1966" s="23" t="str">
        <f t="shared" si="122"/>
        <v>OK</v>
      </c>
      <c r="O1966" s="24">
        <f t="shared" si="123"/>
        <v>0</v>
      </c>
    </row>
    <row r="1967" spans="1:15" ht="15" customHeight="1" x14ac:dyDescent="0.3">
      <c r="A1967" s="23" t="s">
        <v>4419</v>
      </c>
      <c r="B1967" s="38">
        <v>46283</v>
      </c>
      <c r="C1967" s="23" t="s">
        <v>4420</v>
      </c>
      <c r="D1967" s="23" t="s">
        <v>91</v>
      </c>
      <c r="E1967" s="23" t="s">
        <v>75</v>
      </c>
      <c r="F1967" s="23" t="s">
        <v>2086</v>
      </c>
      <c r="G1967" s="23" t="s">
        <v>365</v>
      </c>
      <c r="H1967" s="39">
        <f t="shared" si="120"/>
        <v>3397</v>
      </c>
      <c r="I1967" s="23" t="str">
        <f t="shared" si="121"/>
        <v>Pune</v>
      </c>
      <c r="J1967" s="23">
        <f>COUNTIFS(pg_transaction_cleaned!$O:$O,A1967,pg_transaction_cleaned!$F:$F,"CAPTURE")</f>
        <v>0</v>
      </c>
      <c r="K1967" s="39">
        <f>SUMIFS(pg_transaction_cleaned!$H:$H,pg_transaction_cleaned!$O:$O,A1967,pg_transaction_cleaned!$F:$F,"CAPTURE")</f>
        <v>0</v>
      </c>
      <c r="L1967" s="23">
        <f>COUNTIFS(pg_transaction_cleaned!$O:$O,A1967,pg_transaction_cleaned!$F:$F,"REFUND")</f>
        <v>0</v>
      </c>
      <c r="M1967" s="39">
        <f>SUMIFS(pg_transaction_cleaned!$H:$H,pg_transaction_cleaned!$O:$O,A1967,pg_transaction_cleaned!$F:$F,"REFUND")</f>
        <v>0</v>
      </c>
      <c r="N1967" s="23" t="str">
        <f t="shared" si="122"/>
        <v>OK</v>
      </c>
      <c r="O1967" s="24">
        <f t="shared" si="123"/>
        <v>0</v>
      </c>
    </row>
    <row r="1968" spans="1:15" ht="15" customHeight="1" x14ac:dyDescent="0.3">
      <c r="A1968" s="23" t="s">
        <v>4421</v>
      </c>
      <c r="B1968" s="38">
        <v>46269</v>
      </c>
      <c r="C1968" s="23" t="s">
        <v>4422</v>
      </c>
      <c r="D1968" s="23" t="s">
        <v>86</v>
      </c>
      <c r="E1968" s="23" t="s">
        <v>79</v>
      </c>
      <c r="F1968" s="23" t="s">
        <v>824</v>
      </c>
      <c r="G1968" s="23" t="s">
        <v>301</v>
      </c>
      <c r="H1968" s="39">
        <f t="shared" si="120"/>
        <v>1198</v>
      </c>
      <c r="I1968" s="23" t="str">
        <f t="shared" si="121"/>
        <v>Delhi</v>
      </c>
      <c r="J1968" s="23">
        <f>COUNTIFS(pg_transaction_cleaned!$O:$O,A1968,pg_transaction_cleaned!$F:$F,"CAPTURE")</f>
        <v>1</v>
      </c>
      <c r="K1968" s="39">
        <f>SUMIFS(pg_transaction_cleaned!$H:$H,pg_transaction_cleaned!$O:$O,A1968,pg_transaction_cleaned!$F:$F,"CAPTURE")</f>
        <v>1198</v>
      </c>
      <c r="L1968" s="23">
        <f>COUNTIFS(pg_transaction_cleaned!$O:$O,A1968,pg_transaction_cleaned!$F:$F,"REFUND")</f>
        <v>1</v>
      </c>
      <c r="M1968" s="39">
        <f>SUMIFS(pg_transaction_cleaned!$H:$H,pg_transaction_cleaned!$O:$O,A1968,pg_transaction_cleaned!$F:$F,"REFUND")</f>
        <v>1198</v>
      </c>
      <c r="N1968" s="23" t="str">
        <f t="shared" si="122"/>
        <v>OK</v>
      </c>
      <c r="O1968" s="24">
        <f t="shared" si="123"/>
        <v>0</v>
      </c>
    </row>
    <row r="1969" spans="1:15" ht="15" customHeight="1" x14ac:dyDescent="0.3">
      <c r="A1969" s="23" t="s">
        <v>4423</v>
      </c>
      <c r="B1969" s="38">
        <v>46290</v>
      </c>
      <c r="C1969" s="23" t="s">
        <v>4424</v>
      </c>
      <c r="D1969" s="23" t="s">
        <v>92</v>
      </c>
      <c r="E1969" s="23" t="s">
        <v>75</v>
      </c>
      <c r="F1969" s="23" t="s">
        <v>1662</v>
      </c>
      <c r="G1969" s="23" t="s">
        <v>250</v>
      </c>
      <c r="H1969" s="39">
        <f t="shared" si="120"/>
        <v>4397</v>
      </c>
      <c r="I1969" s="23" t="str">
        <f t="shared" si="121"/>
        <v>Hyderabad</v>
      </c>
      <c r="J1969" s="23">
        <f>COUNTIFS(pg_transaction_cleaned!$O:$O,A1969,pg_transaction_cleaned!$F:$F,"CAPTURE")</f>
        <v>1</v>
      </c>
      <c r="K1969" s="39">
        <f>SUMIFS(pg_transaction_cleaned!$H:$H,pg_transaction_cleaned!$O:$O,A1969,pg_transaction_cleaned!$F:$F,"CAPTURE")</f>
        <v>4397</v>
      </c>
      <c r="L1969" s="23">
        <f>COUNTIFS(pg_transaction_cleaned!$O:$O,A1969,pg_transaction_cleaned!$F:$F,"REFUND")</f>
        <v>0</v>
      </c>
      <c r="M1969" s="39">
        <f>SUMIFS(pg_transaction_cleaned!$H:$H,pg_transaction_cleaned!$O:$O,A1969,pg_transaction_cleaned!$F:$F,"REFUND")</f>
        <v>0</v>
      </c>
      <c r="N1969" s="23" t="str">
        <f t="shared" si="122"/>
        <v>OK</v>
      </c>
      <c r="O1969" s="24">
        <f t="shared" si="123"/>
        <v>0</v>
      </c>
    </row>
    <row r="1970" spans="1:15" ht="15" customHeight="1" x14ac:dyDescent="0.3">
      <c r="A1970" s="23" t="s">
        <v>4425</v>
      </c>
      <c r="B1970" s="38">
        <v>46276</v>
      </c>
      <c r="C1970" s="23" t="s">
        <v>4426</v>
      </c>
      <c r="D1970" s="23" t="s">
        <v>94</v>
      </c>
      <c r="E1970" s="23" t="s">
        <v>77</v>
      </c>
      <c r="F1970" s="23" t="s">
        <v>396</v>
      </c>
      <c r="G1970" s="23" t="s">
        <v>250</v>
      </c>
      <c r="H1970" s="39">
        <f t="shared" si="120"/>
        <v>2999</v>
      </c>
      <c r="I1970" s="23" t="str">
        <f t="shared" si="121"/>
        <v>Chennai</v>
      </c>
      <c r="J1970" s="23">
        <f>COUNTIFS(pg_transaction_cleaned!$O:$O,A1970,pg_transaction_cleaned!$F:$F,"CAPTURE")</f>
        <v>1</v>
      </c>
      <c r="K1970" s="39">
        <f>SUMIFS(pg_transaction_cleaned!$H:$H,pg_transaction_cleaned!$O:$O,A1970,pg_transaction_cleaned!$F:$F,"CAPTURE")</f>
        <v>2999</v>
      </c>
      <c r="L1970" s="23">
        <f>COUNTIFS(pg_transaction_cleaned!$O:$O,A1970,pg_transaction_cleaned!$F:$F,"REFUND")</f>
        <v>0</v>
      </c>
      <c r="M1970" s="39">
        <f>SUMIFS(pg_transaction_cleaned!$H:$H,pg_transaction_cleaned!$O:$O,A1970,pg_transaction_cleaned!$F:$F,"REFUND")</f>
        <v>0</v>
      </c>
      <c r="N1970" s="23" t="str">
        <f t="shared" si="122"/>
        <v>OK</v>
      </c>
      <c r="O1970" s="24">
        <f t="shared" si="123"/>
        <v>0</v>
      </c>
    </row>
    <row r="1971" spans="1:15" ht="15" customHeight="1" x14ac:dyDescent="0.3">
      <c r="A1971" s="23" t="s">
        <v>4427</v>
      </c>
      <c r="B1971" s="38">
        <v>46282</v>
      </c>
      <c r="C1971" s="23" t="s">
        <v>4428</v>
      </c>
      <c r="D1971" s="23" t="s">
        <v>92</v>
      </c>
      <c r="E1971" s="23" t="s">
        <v>75</v>
      </c>
      <c r="F1971" s="23" t="s">
        <v>370</v>
      </c>
      <c r="G1971" s="23" t="s">
        <v>250</v>
      </c>
      <c r="H1971" s="39">
        <f t="shared" si="120"/>
        <v>3098</v>
      </c>
      <c r="I1971" s="23" t="str">
        <f t="shared" si="121"/>
        <v>Hyderabad</v>
      </c>
      <c r="J1971" s="23">
        <f>COUNTIFS(pg_transaction_cleaned!$O:$O,A1971,pg_transaction_cleaned!$F:$F,"CAPTURE")</f>
        <v>1</v>
      </c>
      <c r="K1971" s="39">
        <f>SUMIFS(pg_transaction_cleaned!$H:$H,pg_transaction_cleaned!$O:$O,A1971,pg_transaction_cleaned!$F:$F,"CAPTURE")</f>
        <v>3098</v>
      </c>
      <c r="L1971" s="23">
        <f>COUNTIFS(pg_transaction_cleaned!$O:$O,A1971,pg_transaction_cleaned!$F:$F,"REFUND")</f>
        <v>0</v>
      </c>
      <c r="M1971" s="39">
        <f>SUMIFS(pg_transaction_cleaned!$H:$H,pg_transaction_cleaned!$O:$O,A1971,pg_transaction_cleaned!$F:$F,"REFUND")</f>
        <v>0</v>
      </c>
      <c r="N1971" s="23" t="str">
        <f t="shared" si="122"/>
        <v>OK</v>
      </c>
      <c r="O1971" s="24">
        <f t="shared" si="123"/>
        <v>0</v>
      </c>
    </row>
    <row r="1972" spans="1:15" ht="15" customHeight="1" x14ac:dyDescent="0.3">
      <c r="A1972" s="23" t="s">
        <v>4429</v>
      </c>
      <c r="B1972" s="38">
        <v>46292</v>
      </c>
      <c r="C1972" s="23" t="s">
        <v>4430</v>
      </c>
      <c r="D1972" s="23" t="s">
        <v>94</v>
      </c>
      <c r="E1972" s="23" t="s">
        <v>75</v>
      </c>
      <c r="F1972" s="23" t="s">
        <v>612</v>
      </c>
      <c r="G1972" s="23" t="s">
        <v>250</v>
      </c>
      <c r="H1972" s="39">
        <f t="shared" si="120"/>
        <v>8498</v>
      </c>
      <c r="I1972" s="23" t="str">
        <f t="shared" si="121"/>
        <v>Chennai</v>
      </c>
      <c r="J1972" s="23">
        <f>COUNTIFS(pg_transaction_cleaned!$O:$O,A1972,pg_transaction_cleaned!$F:$F,"CAPTURE")</f>
        <v>1</v>
      </c>
      <c r="K1972" s="39">
        <f>SUMIFS(pg_transaction_cleaned!$H:$H,pg_transaction_cleaned!$O:$O,A1972,pg_transaction_cleaned!$F:$F,"CAPTURE")</f>
        <v>8498</v>
      </c>
      <c r="L1972" s="23">
        <f>COUNTIFS(pg_transaction_cleaned!$O:$O,A1972,pg_transaction_cleaned!$F:$F,"REFUND")</f>
        <v>0</v>
      </c>
      <c r="M1972" s="39">
        <f>SUMIFS(pg_transaction_cleaned!$H:$H,pg_transaction_cleaned!$O:$O,A1972,pg_transaction_cleaned!$F:$F,"REFUND")</f>
        <v>0</v>
      </c>
      <c r="N1972" s="23" t="str">
        <f t="shared" si="122"/>
        <v>OK</v>
      </c>
      <c r="O1972" s="24">
        <f t="shared" si="123"/>
        <v>0</v>
      </c>
    </row>
    <row r="1973" spans="1:15" ht="15" customHeight="1" x14ac:dyDescent="0.3">
      <c r="A1973" s="23" t="s">
        <v>4431</v>
      </c>
      <c r="B1973" s="38">
        <v>46290</v>
      </c>
      <c r="C1973" s="23" t="s">
        <v>4432</v>
      </c>
      <c r="D1973" s="23" t="s">
        <v>93</v>
      </c>
      <c r="E1973" s="23" t="s">
        <v>75</v>
      </c>
      <c r="F1973" s="23" t="s">
        <v>1193</v>
      </c>
      <c r="G1973" s="23" t="s">
        <v>250</v>
      </c>
      <c r="H1973" s="39">
        <f t="shared" si="120"/>
        <v>3498</v>
      </c>
      <c r="I1973" s="23" t="str">
        <f t="shared" si="121"/>
        <v>Kolkata</v>
      </c>
      <c r="J1973" s="23">
        <f>COUNTIFS(pg_transaction_cleaned!$O:$O,A1973,pg_transaction_cleaned!$F:$F,"CAPTURE")</f>
        <v>1</v>
      </c>
      <c r="K1973" s="39">
        <f>SUMIFS(pg_transaction_cleaned!$H:$H,pg_transaction_cleaned!$O:$O,A1973,pg_transaction_cleaned!$F:$F,"CAPTURE")</f>
        <v>3498</v>
      </c>
      <c r="L1973" s="23">
        <f>COUNTIFS(pg_transaction_cleaned!$O:$O,A1973,pg_transaction_cleaned!$F:$F,"REFUND")</f>
        <v>0</v>
      </c>
      <c r="M1973" s="39">
        <f>SUMIFS(pg_transaction_cleaned!$H:$H,pg_transaction_cleaned!$O:$O,A1973,pg_transaction_cleaned!$F:$F,"REFUND")</f>
        <v>0</v>
      </c>
      <c r="N1973" s="23" t="str">
        <f t="shared" si="122"/>
        <v>OK</v>
      </c>
      <c r="O1973" s="24">
        <f t="shared" si="123"/>
        <v>0</v>
      </c>
    </row>
    <row r="1974" spans="1:15" ht="15" customHeight="1" x14ac:dyDescent="0.3">
      <c r="A1974" s="23" t="s">
        <v>4433</v>
      </c>
      <c r="B1974" s="38">
        <v>46279</v>
      </c>
      <c r="C1974" s="23" t="s">
        <v>4434</v>
      </c>
      <c r="D1974" s="23" t="s">
        <v>88</v>
      </c>
      <c r="E1974" s="23" t="s">
        <v>75</v>
      </c>
      <c r="F1974" s="23" t="s">
        <v>567</v>
      </c>
      <c r="G1974" s="23" t="s">
        <v>250</v>
      </c>
      <c r="H1974" s="39">
        <f t="shared" si="120"/>
        <v>3598</v>
      </c>
      <c r="I1974" s="23" t="str">
        <f t="shared" si="121"/>
        <v>Lucknow</v>
      </c>
      <c r="J1974" s="23">
        <f>COUNTIFS(pg_transaction_cleaned!$O:$O,A1974,pg_transaction_cleaned!$F:$F,"CAPTURE")</f>
        <v>1</v>
      </c>
      <c r="K1974" s="39">
        <f>SUMIFS(pg_transaction_cleaned!$H:$H,pg_transaction_cleaned!$O:$O,A1974,pg_transaction_cleaned!$F:$F,"CAPTURE")</f>
        <v>3598</v>
      </c>
      <c r="L1974" s="23">
        <f>COUNTIFS(pg_transaction_cleaned!$O:$O,A1974,pg_transaction_cleaned!$F:$F,"REFUND")</f>
        <v>0</v>
      </c>
      <c r="M1974" s="39">
        <f>SUMIFS(pg_transaction_cleaned!$H:$H,pg_transaction_cleaned!$O:$O,A1974,pg_transaction_cleaned!$F:$F,"REFUND")</f>
        <v>0</v>
      </c>
      <c r="N1974" s="23" t="str">
        <f t="shared" si="122"/>
        <v>OK</v>
      </c>
      <c r="O1974" s="24">
        <f t="shared" si="123"/>
        <v>0</v>
      </c>
    </row>
    <row r="1975" spans="1:15" ht="15" customHeight="1" x14ac:dyDescent="0.3">
      <c r="A1975" s="23" t="s">
        <v>4435</v>
      </c>
      <c r="B1975" s="38">
        <v>46282</v>
      </c>
      <c r="C1975" s="23" t="s">
        <v>4436</v>
      </c>
      <c r="D1975" s="23" t="s">
        <v>94</v>
      </c>
      <c r="E1975" s="23" t="s">
        <v>75</v>
      </c>
      <c r="F1975" s="23" t="s">
        <v>271</v>
      </c>
      <c r="G1975" s="23" t="s">
        <v>250</v>
      </c>
      <c r="H1975" s="39">
        <f t="shared" si="120"/>
        <v>2499</v>
      </c>
      <c r="I1975" s="23" t="str">
        <f t="shared" si="121"/>
        <v>Chennai</v>
      </c>
      <c r="J1975" s="23">
        <f>COUNTIFS(pg_transaction_cleaned!$O:$O,A1975,pg_transaction_cleaned!$F:$F,"CAPTURE")</f>
        <v>1</v>
      </c>
      <c r="K1975" s="39">
        <f>SUMIFS(pg_transaction_cleaned!$H:$H,pg_transaction_cleaned!$O:$O,A1975,pg_transaction_cleaned!$F:$F,"CAPTURE")</f>
        <v>2499</v>
      </c>
      <c r="L1975" s="23">
        <f>COUNTIFS(pg_transaction_cleaned!$O:$O,A1975,pg_transaction_cleaned!$F:$F,"REFUND")</f>
        <v>0</v>
      </c>
      <c r="M1975" s="39">
        <f>SUMIFS(pg_transaction_cleaned!$H:$H,pg_transaction_cleaned!$O:$O,A1975,pg_transaction_cleaned!$F:$F,"REFUND")</f>
        <v>0</v>
      </c>
      <c r="N1975" s="23" t="str">
        <f t="shared" si="122"/>
        <v>OK</v>
      </c>
      <c r="O1975" s="24">
        <f t="shared" si="123"/>
        <v>0</v>
      </c>
    </row>
    <row r="1976" spans="1:15" ht="15" customHeight="1" x14ac:dyDescent="0.3">
      <c r="A1976" s="23" t="s">
        <v>4437</v>
      </c>
      <c r="B1976" s="38">
        <v>46285</v>
      </c>
      <c r="C1976" s="23" t="s">
        <v>4438</v>
      </c>
      <c r="D1976" s="23" t="s">
        <v>94</v>
      </c>
      <c r="E1976" s="23" t="s">
        <v>75</v>
      </c>
      <c r="F1976" s="23" t="s">
        <v>262</v>
      </c>
      <c r="G1976" s="23" t="s">
        <v>250</v>
      </c>
      <c r="H1976" s="39">
        <f t="shared" si="120"/>
        <v>499</v>
      </c>
      <c r="I1976" s="23" t="str">
        <f t="shared" si="121"/>
        <v>Chennai</v>
      </c>
      <c r="J1976" s="23">
        <f>COUNTIFS(pg_transaction_cleaned!$O:$O,A1976,pg_transaction_cleaned!$F:$F,"CAPTURE")</f>
        <v>1</v>
      </c>
      <c r="K1976" s="39">
        <f>SUMIFS(pg_transaction_cleaned!$H:$H,pg_transaction_cleaned!$O:$O,A1976,pg_transaction_cleaned!$F:$F,"CAPTURE")</f>
        <v>499</v>
      </c>
      <c r="L1976" s="23">
        <f>COUNTIFS(pg_transaction_cleaned!$O:$O,A1976,pg_transaction_cleaned!$F:$F,"REFUND")</f>
        <v>0</v>
      </c>
      <c r="M1976" s="39">
        <f>SUMIFS(pg_transaction_cleaned!$H:$H,pg_transaction_cleaned!$O:$O,A1976,pg_transaction_cleaned!$F:$F,"REFUND")</f>
        <v>0</v>
      </c>
      <c r="N1976" s="23" t="str">
        <f t="shared" si="122"/>
        <v>OK</v>
      </c>
      <c r="O1976" s="24">
        <f t="shared" si="123"/>
        <v>0</v>
      </c>
    </row>
    <row r="1977" spans="1:15" ht="15" customHeight="1" x14ac:dyDescent="0.3">
      <c r="A1977" s="23" t="s">
        <v>4439</v>
      </c>
      <c r="B1977" s="38">
        <v>46266</v>
      </c>
      <c r="C1977" s="23" t="s">
        <v>4440</v>
      </c>
      <c r="D1977" s="23" t="s">
        <v>86</v>
      </c>
      <c r="E1977" s="23" t="s">
        <v>75</v>
      </c>
      <c r="F1977" s="23" t="s">
        <v>4441</v>
      </c>
      <c r="G1977" s="23" t="s">
        <v>250</v>
      </c>
      <c r="H1977" s="39">
        <f t="shared" si="120"/>
        <v>10497</v>
      </c>
      <c r="I1977" s="23" t="str">
        <f t="shared" si="121"/>
        <v>Delhi</v>
      </c>
      <c r="J1977" s="23">
        <f>COUNTIFS(pg_transaction_cleaned!$O:$O,A1977,pg_transaction_cleaned!$F:$F,"CAPTURE")</f>
        <v>1</v>
      </c>
      <c r="K1977" s="39">
        <f>SUMIFS(pg_transaction_cleaned!$H:$H,pg_transaction_cleaned!$O:$O,A1977,pg_transaction_cleaned!$F:$F,"CAPTURE")</f>
        <v>10497</v>
      </c>
      <c r="L1977" s="23">
        <f>COUNTIFS(pg_transaction_cleaned!$O:$O,A1977,pg_transaction_cleaned!$F:$F,"REFUND")</f>
        <v>0</v>
      </c>
      <c r="M1977" s="39">
        <f>SUMIFS(pg_transaction_cleaned!$H:$H,pg_transaction_cleaned!$O:$O,A1977,pg_transaction_cleaned!$F:$F,"REFUND")</f>
        <v>0</v>
      </c>
      <c r="N1977" s="23" t="str">
        <f t="shared" si="122"/>
        <v>OK</v>
      </c>
      <c r="O1977" s="24">
        <f t="shared" si="123"/>
        <v>0</v>
      </c>
    </row>
    <row r="1978" spans="1:15" ht="15" customHeight="1" x14ac:dyDescent="0.3">
      <c r="A1978" s="23" t="s">
        <v>4442</v>
      </c>
      <c r="B1978" s="38">
        <v>46280</v>
      </c>
      <c r="C1978" s="23" t="s">
        <v>4443</v>
      </c>
      <c r="D1978" s="23" t="s">
        <v>94</v>
      </c>
      <c r="E1978" s="23" t="s">
        <v>75</v>
      </c>
      <c r="F1978" s="23" t="s">
        <v>291</v>
      </c>
      <c r="G1978" s="23" t="s">
        <v>250</v>
      </c>
      <c r="H1978" s="39">
        <f t="shared" si="120"/>
        <v>3499</v>
      </c>
      <c r="I1978" s="23" t="str">
        <f t="shared" si="121"/>
        <v>Chennai</v>
      </c>
      <c r="J1978" s="23">
        <f>COUNTIFS(pg_transaction_cleaned!$O:$O,A1978,pg_transaction_cleaned!$F:$F,"CAPTURE")</f>
        <v>1</v>
      </c>
      <c r="K1978" s="39">
        <f>SUMIFS(pg_transaction_cleaned!$H:$H,pg_transaction_cleaned!$O:$O,A1978,pg_transaction_cleaned!$F:$F,"CAPTURE")</f>
        <v>3499</v>
      </c>
      <c r="L1978" s="23">
        <f>COUNTIFS(pg_transaction_cleaned!$O:$O,A1978,pg_transaction_cleaned!$F:$F,"REFUND")</f>
        <v>0</v>
      </c>
      <c r="M1978" s="39">
        <f>SUMIFS(pg_transaction_cleaned!$H:$H,pg_transaction_cleaned!$O:$O,A1978,pg_transaction_cleaned!$F:$F,"REFUND")</f>
        <v>0</v>
      </c>
      <c r="N1978" s="23" t="str">
        <f t="shared" si="122"/>
        <v>OK</v>
      </c>
      <c r="O1978" s="24">
        <f t="shared" si="123"/>
        <v>0</v>
      </c>
    </row>
    <row r="1979" spans="1:15" ht="15" customHeight="1" x14ac:dyDescent="0.3">
      <c r="A1979" s="23" t="s">
        <v>4444</v>
      </c>
      <c r="B1979" s="38">
        <v>46270</v>
      </c>
      <c r="C1979" s="23" t="s">
        <v>4445</v>
      </c>
      <c r="D1979" s="23" t="s">
        <v>90</v>
      </c>
      <c r="E1979" s="23" t="s">
        <v>75</v>
      </c>
      <c r="F1979" s="23" t="s">
        <v>274</v>
      </c>
      <c r="G1979" s="23" t="s">
        <v>365</v>
      </c>
      <c r="H1979" s="39">
        <f t="shared" si="120"/>
        <v>349</v>
      </c>
      <c r="I1979" s="23" t="str">
        <f t="shared" si="121"/>
        <v>Ahmedabad</v>
      </c>
      <c r="J1979" s="23">
        <f>COUNTIFS(pg_transaction_cleaned!$O:$O,A1979,pg_transaction_cleaned!$F:$F,"CAPTURE")</f>
        <v>0</v>
      </c>
      <c r="K1979" s="39">
        <f>SUMIFS(pg_transaction_cleaned!$H:$H,pg_transaction_cleaned!$O:$O,A1979,pg_transaction_cleaned!$F:$F,"CAPTURE")</f>
        <v>0</v>
      </c>
      <c r="L1979" s="23">
        <f>COUNTIFS(pg_transaction_cleaned!$O:$O,A1979,pg_transaction_cleaned!$F:$F,"REFUND")</f>
        <v>0</v>
      </c>
      <c r="M1979" s="39">
        <f>SUMIFS(pg_transaction_cleaned!$H:$H,pg_transaction_cleaned!$O:$O,A1979,pg_transaction_cleaned!$F:$F,"REFUND")</f>
        <v>0</v>
      </c>
      <c r="N1979" s="23" t="str">
        <f t="shared" si="122"/>
        <v>OK</v>
      </c>
      <c r="O1979" s="24">
        <f t="shared" si="123"/>
        <v>0</v>
      </c>
    </row>
    <row r="1980" spans="1:15" ht="15" customHeight="1" x14ac:dyDescent="0.3">
      <c r="A1980" s="23" t="s">
        <v>4446</v>
      </c>
      <c r="B1980" s="38">
        <v>46273</v>
      </c>
      <c r="C1980" s="23" t="s">
        <v>4447</v>
      </c>
      <c r="D1980" s="23" t="s">
        <v>91</v>
      </c>
      <c r="E1980" s="23" t="s">
        <v>77</v>
      </c>
      <c r="F1980" s="23" t="s">
        <v>1978</v>
      </c>
      <c r="G1980" s="23" t="s">
        <v>250</v>
      </c>
      <c r="H1980" s="39">
        <f t="shared" si="120"/>
        <v>4597</v>
      </c>
      <c r="I1980" s="23" t="str">
        <f t="shared" si="121"/>
        <v>Pune</v>
      </c>
      <c r="J1980" s="23">
        <f>COUNTIFS(pg_transaction_cleaned!$O:$O,A1980,pg_transaction_cleaned!$F:$F,"CAPTURE")</f>
        <v>1</v>
      </c>
      <c r="K1980" s="39">
        <f>SUMIFS(pg_transaction_cleaned!$H:$H,pg_transaction_cleaned!$O:$O,A1980,pg_transaction_cleaned!$F:$F,"CAPTURE")</f>
        <v>4597</v>
      </c>
      <c r="L1980" s="23">
        <f>COUNTIFS(pg_transaction_cleaned!$O:$O,A1980,pg_transaction_cleaned!$F:$F,"REFUND")</f>
        <v>0</v>
      </c>
      <c r="M1980" s="39">
        <f>SUMIFS(pg_transaction_cleaned!$H:$H,pg_transaction_cleaned!$O:$O,A1980,pg_transaction_cleaned!$F:$F,"REFUND")</f>
        <v>0</v>
      </c>
      <c r="N1980" s="23" t="str">
        <f t="shared" si="122"/>
        <v>OK</v>
      </c>
      <c r="O1980" s="24">
        <f t="shared" si="123"/>
        <v>0</v>
      </c>
    </row>
    <row r="1981" spans="1:15" ht="15" customHeight="1" x14ac:dyDescent="0.3">
      <c r="A1981" s="23" t="s">
        <v>4448</v>
      </c>
      <c r="B1981" s="38">
        <v>46291</v>
      </c>
      <c r="C1981" s="23" t="s">
        <v>4449</v>
      </c>
      <c r="D1981" s="23" t="s">
        <v>90</v>
      </c>
      <c r="E1981" s="23" t="s">
        <v>77</v>
      </c>
      <c r="F1981" s="23" t="s">
        <v>622</v>
      </c>
      <c r="G1981" s="23" t="s">
        <v>250</v>
      </c>
      <c r="H1981" s="39">
        <f t="shared" si="120"/>
        <v>8998</v>
      </c>
      <c r="I1981" s="23" t="str">
        <f t="shared" si="121"/>
        <v>Ahmedabad</v>
      </c>
      <c r="J1981" s="23">
        <f>COUNTIFS(pg_transaction_cleaned!$O:$O,A1981,pg_transaction_cleaned!$F:$F,"CAPTURE")</f>
        <v>1</v>
      </c>
      <c r="K1981" s="39">
        <f>SUMIFS(pg_transaction_cleaned!$H:$H,pg_transaction_cleaned!$O:$O,A1981,pg_transaction_cleaned!$F:$F,"CAPTURE")</f>
        <v>8998</v>
      </c>
      <c r="L1981" s="23">
        <f>COUNTIFS(pg_transaction_cleaned!$O:$O,A1981,pg_transaction_cleaned!$F:$F,"REFUND")</f>
        <v>0</v>
      </c>
      <c r="M1981" s="39">
        <f>SUMIFS(pg_transaction_cleaned!$H:$H,pg_transaction_cleaned!$O:$O,A1981,pg_transaction_cleaned!$F:$F,"REFUND")</f>
        <v>0</v>
      </c>
      <c r="N1981" s="23" t="str">
        <f t="shared" si="122"/>
        <v>OK</v>
      </c>
      <c r="O1981" s="24">
        <f t="shared" si="123"/>
        <v>0</v>
      </c>
    </row>
    <row r="1982" spans="1:15" ht="15" customHeight="1" x14ac:dyDescent="0.3">
      <c r="A1982" s="23" t="s">
        <v>4450</v>
      </c>
      <c r="B1982" s="38">
        <v>46289</v>
      </c>
      <c r="C1982" s="23" t="s">
        <v>4451</v>
      </c>
      <c r="D1982" s="23" t="s">
        <v>89</v>
      </c>
      <c r="E1982" s="23" t="s">
        <v>79</v>
      </c>
      <c r="F1982" s="23" t="s">
        <v>249</v>
      </c>
      <c r="G1982" s="23" t="s">
        <v>250</v>
      </c>
      <c r="H1982" s="39">
        <f t="shared" si="120"/>
        <v>299</v>
      </c>
      <c r="I1982" s="23" t="str">
        <f t="shared" si="121"/>
        <v>Jaipur</v>
      </c>
      <c r="J1982" s="23">
        <f>COUNTIFS(pg_transaction_cleaned!$O:$O,A1982,pg_transaction_cleaned!$F:$F,"CAPTURE")</f>
        <v>1</v>
      </c>
      <c r="K1982" s="39">
        <f>SUMIFS(pg_transaction_cleaned!$H:$H,pg_transaction_cleaned!$O:$O,A1982,pg_transaction_cleaned!$F:$F,"CAPTURE")</f>
        <v>299</v>
      </c>
      <c r="L1982" s="23">
        <f>COUNTIFS(pg_transaction_cleaned!$O:$O,A1982,pg_transaction_cleaned!$F:$F,"REFUND")</f>
        <v>0</v>
      </c>
      <c r="M1982" s="39">
        <f>SUMIFS(pg_transaction_cleaned!$H:$H,pg_transaction_cleaned!$O:$O,A1982,pg_transaction_cleaned!$F:$F,"REFUND")</f>
        <v>0</v>
      </c>
      <c r="N1982" s="23" t="str">
        <f t="shared" si="122"/>
        <v>OK</v>
      </c>
      <c r="O1982" s="24">
        <f t="shared" si="123"/>
        <v>0</v>
      </c>
    </row>
    <row r="1983" spans="1:15" ht="15" customHeight="1" x14ac:dyDescent="0.3">
      <c r="A1983" s="23" t="s">
        <v>4452</v>
      </c>
      <c r="B1983" s="38">
        <v>46281</v>
      </c>
      <c r="C1983" s="23" t="s">
        <v>4453</v>
      </c>
      <c r="D1983" s="23" t="s">
        <v>91</v>
      </c>
      <c r="E1983" s="23" t="s">
        <v>75</v>
      </c>
      <c r="F1983" s="23" t="s">
        <v>1463</v>
      </c>
      <c r="G1983" s="23" t="s">
        <v>250</v>
      </c>
      <c r="H1983" s="39">
        <f t="shared" si="120"/>
        <v>5348</v>
      </c>
      <c r="I1983" s="23" t="str">
        <f t="shared" si="121"/>
        <v>Pune</v>
      </c>
      <c r="J1983" s="23">
        <f>COUNTIFS(pg_transaction_cleaned!$O:$O,A1983,pg_transaction_cleaned!$F:$F,"CAPTURE")</f>
        <v>1</v>
      </c>
      <c r="K1983" s="39">
        <f>SUMIFS(pg_transaction_cleaned!$H:$H,pg_transaction_cleaned!$O:$O,A1983,pg_transaction_cleaned!$F:$F,"CAPTURE")</f>
        <v>5348</v>
      </c>
      <c r="L1983" s="23">
        <f>COUNTIFS(pg_transaction_cleaned!$O:$O,A1983,pg_transaction_cleaned!$F:$F,"REFUND")</f>
        <v>0</v>
      </c>
      <c r="M1983" s="39">
        <f>SUMIFS(pg_transaction_cleaned!$H:$H,pg_transaction_cleaned!$O:$O,A1983,pg_transaction_cleaned!$F:$F,"REFUND")</f>
        <v>0</v>
      </c>
      <c r="N1983" s="23" t="str">
        <f t="shared" si="122"/>
        <v>OK</v>
      </c>
      <c r="O1983" s="24">
        <f t="shared" si="123"/>
        <v>0</v>
      </c>
    </row>
    <row r="1984" spans="1:15" ht="15" customHeight="1" x14ac:dyDescent="0.3">
      <c r="A1984" s="23" t="s">
        <v>4454</v>
      </c>
      <c r="B1984" s="38">
        <v>46288</v>
      </c>
      <c r="C1984" s="23" t="s">
        <v>4455</v>
      </c>
      <c r="D1984" s="23" t="s">
        <v>92</v>
      </c>
      <c r="E1984" s="23" t="s">
        <v>75</v>
      </c>
      <c r="F1984" s="23" t="s">
        <v>3102</v>
      </c>
      <c r="G1984" s="23" t="s">
        <v>250</v>
      </c>
      <c r="H1984" s="39">
        <f t="shared" si="120"/>
        <v>4798</v>
      </c>
      <c r="I1984" s="23" t="str">
        <f t="shared" si="121"/>
        <v>Hyderabad</v>
      </c>
      <c r="J1984" s="23">
        <f>COUNTIFS(pg_transaction_cleaned!$O:$O,A1984,pg_transaction_cleaned!$F:$F,"CAPTURE")</f>
        <v>1</v>
      </c>
      <c r="K1984" s="39">
        <f>SUMIFS(pg_transaction_cleaned!$H:$H,pg_transaction_cleaned!$O:$O,A1984,pg_transaction_cleaned!$F:$F,"CAPTURE")</f>
        <v>4798</v>
      </c>
      <c r="L1984" s="23">
        <f>COUNTIFS(pg_transaction_cleaned!$O:$O,A1984,pg_transaction_cleaned!$F:$F,"REFUND")</f>
        <v>0</v>
      </c>
      <c r="M1984" s="39">
        <f>SUMIFS(pg_transaction_cleaned!$H:$H,pg_transaction_cleaned!$O:$O,A1984,pg_transaction_cleaned!$F:$F,"REFUND")</f>
        <v>0</v>
      </c>
      <c r="N1984" s="23" t="str">
        <f t="shared" si="122"/>
        <v>OK</v>
      </c>
      <c r="O1984" s="24">
        <f t="shared" si="123"/>
        <v>0</v>
      </c>
    </row>
    <row r="1985" spans="1:15" ht="15" customHeight="1" x14ac:dyDescent="0.3">
      <c r="A1985" s="23" t="s">
        <v>4456</v>
      </c>
      <c r="B1985" s="38">
        <v>46291</v>
      </c>
      <c r="C1985" s="23" t="s">
        <v>4457</v>
      </c>
      <c r="D1985" s="23" t="s">
        <v>89</v>
      </c>
      <c r="E1985" s="23" t="s">
        <v>75</v>
      </c>
      <c r="F1985" s="23" t="s">
        <v>3378</v>
      </c>
      <c r="G1985" s="23" t="s">
        <v>250</v>
      </c>
      <c r="H1985" s="39">
        <f t="shared" si="120"/>
        <v>15998</v>
      </c>
      <c r="I1985" s="23" t="str">
        <f t="shared" si="121"/>
        <v>Jaipur</v>
      </c>
      <c r="J1985" s="23">
        <f>COUNTIFS(pg_transaction_cleaned!$O:$O,A1985,pg_transaction_cleaned!$F:$F,"CAPTURE")</f>
        <v>1</v>
      </c>
      <c r="K1985" s="39">
        <f>SUMIFS(pg_transaction_cleaned!$H:$H,pg_transaction_cleaned!$O:$O,A1985,pg_transaction_cleaned!$F:$F,"CAPTURE")</f>
        <v>15998</v>
      </c>
      <c r="L1985" s="23">
        <f>COUNTIFS(pg_transaction_cleaned!$O:$O,A1985,pg_transaction_cleaned!$F:$F,"REFUND")</f>
        <v>0</v>
      </c>
      <c r="M1985" s="39">
        <f>SUMIFS(pg_transaction_cleaned!$H:$H,pg_transaction_cleaned!$O:$O,A1985,pg_transaction_cleaned!$F:$F,"REFUND")</f>
        <v>0</v>
      </c>
      <c r="N1985" s="23" t="str">
        <f t="shared" si="122"/>
        <v>OK</v>
      </c>
      <c r="O1985" s="24">
        <f t="shared" si="123"/>
        <v>0</v>
      </c>
    </row>
    <row r="1986" spans="1:15" ht="15" customHeight="1" x14ac:dyDescent="0.3">
      <c r="A1986" s="23" t="s">
        <v>4458</v>
      </c>
      <c r="B1986" s="38">
        <v>46286</v>
      </c>
      <c r="C1986" s="23" t="s">
        <v>4459</v>
      </c>
      <c r="D1986" s="23" t="s">
        <v>88</v>
      </c>
      <c r="E1986" s="23" t="s">
        <v>75</v>
      </c>
      <c r="F1986" s="23" t="s">
        <v>670</v>
      </c>
      <c r="G1986" s="23" t="s">
        <v>250</v>
      </c>
      <c r="H1986" s="39">
        <f t="shared" ref="H1986:H2049" si="124">VALUE(SUBSTITUTE(F1986,",",""))</f>
        <v>7797</v>
      </c>
      <c r="I1986" s="23" t="str">
        <f t="shared" ref="I1986:I2049" si="125">IF(TRIM(D1986)="","Unknown",TRIM(D1986))</f>
        <v>Lucknow</v>
      </c>
      <c r="J1986" s="23">
        <f>COUNTIFS(pg_transaction_cleaned!$O:$O,A1986,pg_transaction_cleaned!$F:$F,"CAPTURE")</f>
        <v>1</v>
      </c>
      <c r="K1986" s="39">
        <f>SUMIFS(pg_transaction_cleaned!$H:$H,pg_transaction_cleaned!$O:$O,A1986,pg_transaction_cleaned!$F:$F,"CAPTURE")</f>
        <v>7797</v>
      </c>
      <c r="L1986" s="23">
        <f>COUNTIFS(pg_transaction_cleaned!$O:$O,A1986,pg_transaction_cleaned!$F:$F,"REFUND")</f>
        <v>0</v>
      </c>
      <c r="M1986" s="39">
        <f>SUMIFS(pg_transaction_cleaned!$H:$H,pg_transaction_cleaned!$O:$O,A1986,pg_transaction_cleaned!$F:$F,"REFUND")</f>
        <v>0</v>
      </c>
      <c r="N1986" s="23" t="str">
        <f t="shared" ref="N1986:N2049" si="126">IF(AND(G1986="Paid",J1986=0),"Paid, no payment",IF(AND(OR(G1986="Failed",G1986="Cancelled"),J1986&gt;0),"Payment on failed/cancelled",IF(J1986&gt;1,"Duplicate charge",IF(AND(J1986=1,ROUND(K1986-H1986,2)&lt;&gt;0),"Amount difference",IF(AND(G1986="Refunded",L1986=0),"Refunded, no refund",IF(AND(G1986&lt;&gt;"Refunded",L1986&gt;0),"Refund, order not Refunded",IF(AND(L1986&gt;0,ROUND(M1986-H1986,2)&lt;&gt;0),"Refund amount differs","OK")))))))</f>
        <v>OK</v>
      </c>
      <c r="O1986" s="24">
        <f t="shared" ref="O1986:O2049" si="127">IF(N1986="OK",0,IF(N1986="Paid, no payment",H1986,IF(N1986="Payment on failed/cancelled",K1986,IF(OR(N1986="Duplicate charge",N1986="Amount difference"),K1986-H1986,IF(N1986="Refunded, no refund",H1986,M1986)))))</f>
        <v>0</v>
      </c>
    </row>
    <row r="1987" spans="1:15" ht="15" customHeight="1" x14ac:dyDescent="0.3">
      <c r="A1987" s="23" t="s">
        <v>4460</v>
      </c>
      <c r="B1987" s="38">
        <v>46290</v>
      </c>
      <c r="C1987" s="23" t="s">
        <v>4461</v>
      </c>
      <c r="D1987" s="23" t="s">
        <v>86</v>
      </c>
      <c r="E1987" s="23" t="s">
        <v>75</v>
      </c>
      <c r="F1987" s="23" t="s">
        <v>291</v>
      </c>
      <c r="G1987" s="23" t="s">
        <v>250</v>
      </c>
      <c r="H1987" s="39">
        <f t="shared" si="124"/>
        <v>3499</v>
      </c>
      <c r="I1987" s="23" t="str">
        <f t="shared" si="125"/>
        <v>Delhi</v>
      </c>
      <c r="J1987" s="23">
        <f>COUNTIFS(pg_transaction_cleaned!$O:$O,A1987,pg_transaction_cleaned!$F:$F,"CAPTURE")</f>
        <v>1</v>
      </c>
      <c r="K1987" s="39">
        <f>SUMIFS(pg_transaction_cleaned!$H:$H,pg_transaction_cleaned!$O:$O,A1987,pg_transaction_cleaned!$F:$F,"CAPTURE")</f>
        <v>3499</v>
      </c>
      <c r="L1987" s="23">
        <f>COUNTIFS(pg_transaction_cleaned!$O:$O,A1987,pg_transaction_cleaned!$F:$F,"REFUND")</f>
        <v>0</v>
      </c>
      <c r="M1987" s="39">
        <f>SUMIFS(pg_transaction_cleaned!$H:$H,pg_transaction_cleaned!$O:$O,A1987,pg_transaction_cleaned!$F:$F,"REFUND")</f>
        <v>0</v>
      </c>
      <c r="N1987" s="23" t="str">
        <f t="shared" si="126"/>
        <v>OK</v>
      </c>
      <c r="O1987" s="24">
        <f t="shared" si="127"/>
        <v>0</v>
      </c>
    </row>
    <row r="1988" spans="1:15" ht="15" customHeight="1" x14ac:dyDescent="0.3">
      <c r="A1988" s="23" t="s">
        <v>4462</v>
      </c>
      <c r="B1988" s="38">
        <v>46295</v>
      </c>
      <c r="C1988" s="23" t="s">
        <v>4463</v>
      </c>
      <c r="D1988" s="23" t="s">
        <v>91</v>
      </c>
      <c r="E1988" s="23" t="s">
        <v>75</v>
      </c>
      <c r="F1988" s="23" t="s">
        <v>775</v>
      </c>
      <c r="G1988" s="23" t="s">
        <v>250</v>
      </c>
      <c r="H1988" s="39">
        <f t="shared" si="124"/>
        <v>4999</v>
      </c>
      <c r="I1988" s="23" t="str">
        <f t="shared" si="125"/>
        <v>Pune</v>
      </c>
      <c r="J1988" s="23">
        <f>COUNTIFS(pg_transaction_cleaned!$O:$O,A1988,pg_transaction_cleaned!$F:$F,"CAPTURE")</f>
        <v>1</v>
      </c>
      <c r="K1988" s="39">
        <f>SUMIFS(pg_transaction_cleaned!$H:$H,pg_transaction_cleaned!$O:$O,A1988,pg_transaction_cleaned!$F:$F,"CAPTURE")</f>
        <v>4999</v>
      </c>
      <c r="L1988" s="23">
        <f>COUNTIFS(pg_transaction_cleaned!$O:$O,A1988,pg_transaction_cleaned!$F:$F,"REFUND")</f>
        <v>0</v>
      </c>
      <c r="M1988" s="39">
        <f>SUMIFS(pg_transaction_cleaned!$H:$H,pg_transaction_cleaned!$O:$O,A1988,pg_transaction_cleaned!$F:$F,"REFUND")</f>
        <v>0</v>
      </c>
      <c r="N1988" s="23" t="str">
        <f t="shared" si="126"/>
        <v>OK</v>
      </c>
      <c r="O1988" s="24">
        <f t="shared" si="127"/>
        <v>0</v>
      </c>
    </row>
    <row r="1989" spans="1:15" ht="15" customHeight="1" x14ac:dyDescent="0.3">
      <c r="A1989" s="23" t="s">
        <v>4464</v>
      </c>
      <c r="B1989" s="38">
        <v>46280</v>
      </c>
      <c r="C1989" s="23" t="s">
        <v>4465</v>
      </c>
      <c r="D1989" s="23" t="s">
        <v>94</v>
      </c>
      <c r="E1989" s="23" t="s">
        <v>75</v>
      </c>
      <c r="F1989" s="23" t="s">
        <v>834</v>
      </c>
      <c r="G1989" s="23" t="s">
        <v>250</v>
      </c>
      <c r="H1989" s="39">
        <f t="shared" si="124"/>
        <v>7097</v>
      </c>
      <c r="I1989" s="23" t="str">
        <f t="shared" si="125"/>
        <v>Chennai</v>
      </c>
      <c r="J1989" s="23">
        <f>COUNTIFS(pg_transaction_cleaned!$O:$O,A1989,pg_transaction_cleaned!$F:$F,"CAPTURE")</f>
        <v>1</v>
      </c>
      <c r="K1989" s="39">
        <f>SUMIFS(pg_transaction_cleaned!$H:$H,pg_transaction_cleaned!$O:$O,A1989,pg_transaction_cleaned!$F:$F,"CAPTURE")</f>
        <v>7097</v>
      </c>
      <c r="L1989" s="23">
        <f>COUNTIFS(pg_transaction_cleaned!$O:$O,A1989,pg_transaction_cleaned!$F:$F,"REFUND")</f>
        <v>0</v>
      </c>
      <c r="M1989" s="39">
        <f>SUMIFS(pg_transaction_cleaned!$H:$H,pg_transaction_cleaned!$O:$O,A1989,pg_transaction_cleaned!$F:$F,"REFUND")</f>
        <v>0</v>
      </c>
      <c r="N1989" s="23" t="str">
        <f t="shared" si="126"/>
        <v>OK</v>
      </c>
      <c r="O1989" s="24">
        <f t="shared" si="127"/>
        <v>0</v>
      </c>
    </row>
    <row r="1990" spans="1:15" ht="15" customHeight="1" x14ac:dyDescent="0.3">
      <c r="A1990" s="23" t="s">
        <v>4466</v>
      </c>
      <c r="B1990" s="38">
        <v>46291</v>
      </c>
      <c r="C1990" s="23" t="s">
        <v>4467</v>
      </c>
      <c r="D1990" s="23"/>
      <c r="E1990" s="23" t="s">
        <v>79</v>
      </c>
      <c r="F1990" s="23" t="s">
        <v>288</v>
      </c>
      <c r="G1990" s="23" t="s">
        <v>250</v>
      </c>
      <c r="H1990" s="39">
        <f t="shared" si="124"/>
        <v>4298</v>
      </c>
      <c r="I1990" s="23" t="str">
        <f t="shared" si="125"/>
        <v>Unknown</v>
      </c>
      <c r="J1990" s="23">
        <f>COUNTIFS(pg_transaction_cleaned!$O:$O,A1990,pg_transaction_cleaned!$F:$F,"CAPTURE")</f>
        <v>1</v>
      </c>
      <c r="K1990" s="39">
        <f>SUMIFS(pg_transaction_cleaned!$H:$H,pg_transaction_cleaned!$O:$O,A1990,pg_transaction_cleaned!$F:$F,"CAPTURE")</f>
        <v>4298</v>
      </c>
      <c r="L1990" s="23">
        <f>COUNTIFS(pg_transaction_cleaned!$O:$O,A1990,pg_transaction_cleaned!$F:$F,"REFUND")</f>
        <v>0</v>
      </c>
      <c r="M1990" s="39">
        <f>SUMIFS(pg_transaction_cleaned!$H:$H,pg_transaction_cleaned!$O:$O,A1990,pg_transaction_cleaned!$F:$F,"REFUND")</f>
        <v>0</v>
      </c>
      <c r="N1990" s="23" t="str">
        <f t="shared" si="126"/>
        <v>OK</v>
      </c>
      <c r="O1990" s="24">
        <f t="shared" si="127"/>
        <v>0</v>
      </c>
    </row>
    <row r="1991" spans="1:15" ht="15" customHeight="1" x14ac:dyDescent="0.3">
      <c r="A1991" s="23" t="s">
        <v>4468</v>
      </c>
      <c r="B1991" s="38">
        <v>46282</v>
      </c>
      <c r="C1991" s="23" t="s">
        <v>4469</v>
      </c>
      <c r="D1991" s="23" t="s">
        <v>92</v>
      </c>
      <c r="E1991" s="23" t="s">
        <v>75</v>
      </c>
      <c r="F1991" s="23" t="s">
        <v>249</v>
      </c>
      <c r="G1991" s="23" t="s">
        <v>250</v>
      </c>
      <c r="H1991" s="39">
        <f t="shared" si="124"/>
        <v>299</v>
      </c>
      <c r="I1991" s="23" t="str">
        <f t="shared" si="125"/>
        <v>Hyderabad</v>
      </c>
      <c r="J1991" s="23">
        <f>COUNTIFS(pg_transaction_cleaned!$O:$O,A1991,pg_transaction_cleaned!$F:$F,"CAPTURE")</f>
        <v>1</v>
      </c>
      <c r="K1991" s="39">
        <f>SUMIFS(pg_transaction_cleaned!$H:$H,pg_transaction_cleaned!$O:$O,A1991,pg_transaction_cleaned!$F:$F,"CAPTURE")</f>
        <v>299</v>
      </c>
      <c r="L1991" s="23">
        <f>COUNTIFS(pg_transaction_cleaned!$O:$O,A1991,pg_transaction_cleaned!$F:$F,"REFUND")</f>
        <v>0</v>
      </c>
      <c r="M1991" s="39">
        <f>SUMIFS(pg_transaction_cleaned!$H:$H,pg_transaction_cleaned!$O:$O,A1991,pg_transaction_cleaned!$F:$F,"REFUND")</f>
        <v>0</v>
      </c>
      <c r="N1991" s="23" t="str">
        <f t="shared" si="126"/>
        <v>OK</v>
      </c>
      <c r="O1991" s="24">
        <f t="shared" si="127"/>
        <v>0</v>
      </c>
    </row>
    <row r="1992" spans="1:15" ht="15" customHeight="1" x14ac:dyDescent="0.3">
      <c r="A1992" s="23" t="s">
        <v>4470</v>
      </c>
      <c r="B1992" s="38">
        <v>46275</v>
      </c>
      <c r="C1992" s="23" t="s">
        <v>4471</v>
      </c>
      <c r="D1992" s="23" t="s">
        <v>92</v>
      </c>
      <c r="E1992" s="23" t="s">
        <v>79</v>
      </c>
      <c r="F1992" s="23" t="s">
        <v>1375</v>
      </c>
      <c r="G1992" s="23" t="s">
        <v>250</v>
      </c>
      <c r="H1992" s="39">
        <f t="shared" si="124"/>
        <v>5997</v>
      </c>
      <c r="I1992" s="23" t="str">
        <f t="shared" si="125"/>
        <v>Hyderabad</v>
      </c>
      <c r="J1992" s="23">
        <f>COUNTIFS(pg_transaction_cleaned!$O:$O,A1992,pg_transaction_cleaned!$F:$F,"CAPTURE")</f>
        <v>1</v>
      </c>
      <c r="K1992" s="39">
        <f>SUMIFS(pg_transaction_cleaned!$H:$H,pg_transaction_cleaned!$O:$O,A1992,pg_transaction_cleaned!$F:$F,"CAPTURE")</f>
        <v>5997</v>
      </c>
      <c r="L1992" s="23">
        <f>COUNTIFS(pg_transaction_cleaned!$O:$O,A1992,pg_transaction_cleaned!$F:$F,"REFUND")</f>
        <v>0</v>
      </c>
      <c r="M1992" s="39">
        <f>SUMIFS(pg_transaction_cleaned!$H:$H,pg_transaction_cleaned!$O:$O,A1992,pg_transaction_cleaned!$F:$F,"REFUND")</f>
        <v>0</v>
      </c>
      <c r="N1992" s="23" t="str">
        <f t="shared" si="126"/>
        <v>OK</v>
      </c>
      <c r="O1992" s="24">
        <f t="shared" si="127"/>
        <v>0</v>
      </c>
    </row>
    <row r="1993" spans="1:15" ht="15" customHeight="1" x14ac:dyDescent="0.3">
      <c r="A1993" s="23" t="s">
        <v>4472</v>
      </c>
      <c r="B1993" s="38">
        <v>46270</v>
      </c>
      <c r="C1993" s="23" t="s">
        <v>4473</v>
      </c>
      <c r="D1993" s="23" t="s">
        <v>92</v>
      </c>
      <c r="E1993" s="23" t="s">
        <v>75</v>
      </c>
      <c r="F1993" s="23" t="s">
        <v>2178</v>
      </c>
      <c r="G1993" s="23" t="s">
        <v>250</v>
      </c>
      <c r="H1993" s="39">
        <f t="shared" si="124"/>
        <v>8997</v>
      </c>
      <c r="I1993" s="23" t="str">
        <f t="shared" si="125"/>
        <v>Hyderabad</v>
      </c>
      <c r="J1993" s="23">
        <f>COUNTIFS(pg_transaction_cleaned!$O:$O,A1993,pg_transaction_cleaned!$F:$F,"CAPTURE")</f>
        <v>1</v>
      </c>
      <c r="K1993" s="39">
        <f>SUMIFS(pg_transaction_cleaned!$H:$H,pg_transaction_cleaned!$O:$O,A1993,pg_transaction_cleaned!$F:$F,"CAPTURE")</f>
        <v>8997</v>
      </c>
      <c r="L1993" s="23">
        <f>COUNTIFS(pg_transaction_cleaned!$O:$O,A1993,pg_transaction_cleaned!$F:$F,"REFUND")</f>
        <v>0</v>
      </c>
      <c r="M1993" s="39">
        <f>SUMIFS(pg_transaction_cleaned!$H:$H,pg_transaction_cleaned!$O:$O,A1993,pg_transaction_cleaned!$F:$F,"REFUND")</f>
        <v>0</v>
      </c>
      <c r="N1993" s="23" t="str">
        <f t="shared" si="126"/>
        <v>OK</v>
      </c>
      <c r="O1993" s="24">
        <f t="shared" si="127"/>
        <v>0</v>
      </c>
    </row>
    <row r="1994" spans="1:15" ht="15" customHeight="1" x14ac:dyDescent="0.3">
      <c r="A1994" s="23" t="s">
        <v>4474</v>
      </c>
      <c r="B1994" s="38">
        <v>46286</v>
      </c>
      <c r="C1994" s="23" t="s">
        <v>4475</v>
      </c>
      <c r="D1994" s="23" t="s">
        <v>88</v>
      </c>
      <c r="E1994" s="23" t="s">
        <v>79</v>
      </c>
      <c r="F1994" s="23" t="s">
        <v>249</v>
      </c>
      <c r="G1994" s="23" t="s">
        <v>250</v>
      </c>
      <c r="H1994" s="39">
        <f t="shared" si="124"/>
        <v>299</v>
      </c>
      <c r="I1994" s="23" t="str">
        <f t="shared" si="125"/>
        <v>Lucknow</v>
      </c>
      <c r="J1994" s="23">
        <f>COUNTIFS(pg_transaction_cleaned!$O:$O,A1994,pg_transaction_cleaned!$F:$F,"CAPTURE")</f>
        <v>1</v>
      </c>
      <c r="K1994" s="39">
        <f>SUMIFS(pg_transaction_cleaned!$H:$H,pg_transaction_cleaned!$O:$O,A1994,pg_transaction_cleaned!$F:$F,"CAPTURE")</f>
        <v>299</v>
      </c>
      <c r="L1994" s="23">
        <f>COUNTIFS(pg_transaction_cleaned!$O:$O,A1994,pg_transaction_cleaned!$F:$F,"REFUND")</f>
        <v>0</v>
      </c>
      <c r="M1994" s="39">
        <f>SUMIFS(pg_transaction_cleaned!$H:$H,pg_transaction_cleaned!$O:$O,A1994,pg_transaction_cleaned!$F:$F,"REFUND")</f>
        <v>0</v>
      </c>
      <c r="N1994" s="23" t="str">
        <f t="shared" si="126"/>
        <v>OK</v>
      </c>
      <c r="O1994" s="24">
        <f t="shared" si="127"/>
        <v>0</v>
      </c>
    </row>
    <row r="1995" spans="1:15" ht="15" customHeight="1" x14ac:dyDescent="0.3">
      <c r="A1995" s="23" t="s">
        <v>4476</v>
      </c>
      <c r="B1995" s="38">
        <v>46266</v>
      </c>
      <c r="C1995" s="23" t="s">
        <v>4477</v>
      </c>
      <c r="D1995" s="23" t="s">
        <v>93</v>
      </c>
      <c r="E1995" s="23" t="s">
        <v>79</v>
      </c>
      <c r="F1995" s="23" t="s">
        <v>265</v>
      </c>
      <c r="G1995" s="23" t="s">
        <v>250</v>
      </c>
      <c r="H1995" s="39">
        <f t="shared" si="124"/>
        <v>999</v>
      </c>
      <c r="I1995" s="23" t="str">
        <f t="shared" si="125"/>
        <v>Kolkata</v>
      </c>
      <c r="J1995" s="23">
        <f>COUNTIFS(pg_transaction_cleaned!$O:$O,A1995,pg_transaction_cleaned!$F:$F,"CAPTURE")</f>
        <v>1</v>
      </c>
      <c r="K1995" s="39">
        <f>SUMIFS(pg_transaction_cleaned!$H:$H,pg_transaction_cleaned!$O:$O,A1995,pg_transaction_cleaned!$F:$F,"CAPTURE")</f>
        <v>999</v>
      </c>
      <c r="L1995" s="23">
        <f>COUNTIFS(pg_transaction_cleaned!$O:$O,A1995,pg_transaction_cleaned!$F:$F,"REFUND")</f>
        <v>0</v>
      </c>
      <c r="M1995" s="39">
        <f>SUMIFS(pg_transaction_cleaned!$H:$H,pg_transaction_cleaned!$O:$O,A1995,pg_transaction_cleaned!$F:$F,"REFUND")</f>
        <v>0</v>
      </c>
      <c r="N1995" s="23" t="str">
        <f t="shared" si="126"/>
        <v>OK</v>
      </c>
      <c r="O1995" s="24">
        <f t="shared" si="127"/>
        <v>0</v>
      </c>
    </row>
    <row r="1996" spans="1:15" ht="15" customHeight="1" x14ac:dyDescent="0.3">
      <c r="A1996" s="23" t="s">
        <v>4478</v>
      </c>
      <c r="B1996" s="38">
        <v>46281</v>
      </c>
      <c r="C1996" s="23" t="s">
        <v>4479</v>
      </c>
      <c r="D1996" s="23" t="s">
        <v>94</v>
      </c>
      <c r="E1996" s="23" t="s">
        <v>79</v>
      </c>
      <c r="F1996" s="23" t="s">
        <v>974</v>
      </c>
      <c r="G1996" s="23" t="s">
        <v>250</v>
      </c>
      <c r="H1996" s="39">
        <f t="shared" si="124"/>
        <v>1498</v>
      </c>
      <c r="I1996" s="23" t="str">
        <f t="shared" si="125"/>
        <v>Chennai</v>
      </c>
      <c r="J1996" s="23">
        <f>COUNTIFS(pg_transaction_cleaned!$O:$O,A1996,pg_transaction_cleaned!$F:$F,"CAPTURE")</f>
        <v>1</v>
      </c>
      <c r="K1996" s="39">
        <f>SUMIFS(pg_transaction_cleaned!$H:$H,pg_transaction_cleaned!$O:$O,A1996,pg_transaction_cleaned!$F:$F,"CAPTURE")</f>
        <v>1498</v>
      </c>
      <c r="L1996" s="23">
        <f>COUNTIFS(pg_transaction_cleaned!$O:$O,A1996,pg_transaction_cleaned!$F:$F,"REFUND")</f>
        <v>0</v>
      </c>
      <c r="M1996" s="39">
        <f>SUMIFS(pg_transaction_cleaned!$H:$H,pg_transaction_cleaned!$O:$O,A1996,pg_transaction_cleaned!$F:$F,"REFUND")</f>
        <v>0</v>
      </c>
      <c r="N1996" s="23" t="str">
        <f t="shared" si="126"/>
        <v>OK</v>
      </c>
      <c r="O1996" s="24">
        <f t="shared" si="127"/>
        <v>0</v>
      </c>
    </row>
    <row r="1997" spans="1:15" ht="15" customHeight="1" x14ac:dyDescent="0.3">
      <c r="A1997" s="23" t="s">
        <v>4480</v>
      </c>
      <c r="B1997" s="38">
        <v>46282</v>
      </c>
      <c r="C1997" s="23" t="s">
        <v>4481</v>
      </c>
      <c r="D1997" s="23" t="s">
        <v>89</v>
      </c>
      <c r="E1997" s="23" t="s">
        <v>75</v>
      </c>
      <c r="F1997" s="23" t="s">
        <v>268</v>
      </c>
      <c r="G1997" s="23" t="s">
        <v>250</v>
      </c>
      <c r="H1997" s="39">
        <f t="shared" si="124"/>
        <v>1299</v>
      </c>
      <c r="I1997" s="23" t="str">
        <f t="shared" si="125"/>
        <v>Jaipur</v>
      </c>
      <c r="J1997" s="23">
        <f>COUNTIFS(pg_transaction_cleaned!$O:$O,A1997,pg_transaction_cleaned!$F:$F,"CAPTURE")</f>
        <v>1</v>
      </c>
      <c r="K1997" s="39">
        <f>SUMIFS(pg_transaction_cleaned!$H:$H,pg_transaction_cleaned!$O:$O,A1997,pg_transaction_cleaned!$F:$F,"CAPTURE")</f>
        <v>1299</v>
      </c>
      <c r="L1997" s="23">
        <f>COUNTIFS(pg_transaction_cleaned!$O:$O,A1997,pg_transaction_cleaned!$F:$F,"REFUND")</f>
        <v>0</v>
      </c>
      <c r="M1997" s="39">
        <f>SUMIFS(pg_transaction_cleaned!$H:$H,pg_transaction_cleaned!$O:$O,A1997,pg_transaction_cleaned!$F:$F,"REFUND")</f>
        <v>0</v>
      </c>
      <c r="N1997" s="23" t="str">
        <f t="shared" si="126"/>
        <v>OK</v>
      </c>
      <c r="O1997" s="24">
        <f t="shared" si="127"/>
        <v>0</v>
      </c>
    </row>
    <row r="1998" spans="1:15" ht="15" customHeight="1" x14ac:dyDescent="0.3">
      <c r="A1998" s="23" t="s">
        <v>4482</v>
      </c>
      <c r="B1998" s="38">
        <v>46281</v>
      </c>
      <c r="C1998" s="23" t="s">
        <v>4483</v>
      </c>
      <c r="D1998" s="23" t="s">
        <v>94</v>
      </c>
      <c r="E1998" s="23" t="s">
        <v>75</v>
      </c>
      <c r="F1998" s="23" t="s">
        <v>315</v>
      </c>
      <c r="G1998" s="23" t="s">
        <v>365</v>
      </c>
      <c r="H1998" s="39">
        <f t="shared" si="124"/>
        <v>1499</v>
      </c>
      <c r="I1998" s="23" t="str">
        <f t="shared" si="125"/>
        <v>Chennai</v>
      </c>
      <c r="J1998" s="23">
        <f>COUNTIFS(pg_transaction_cleaned!$O:$O,A1998,pg_transaction_cleaned!$F:$F,"CAPTURE")</f>
        <v>0</v>
      </c>
      <c r="K1998" s="39">
        <f>SUMIFS(pg_transaction_cleaned!$H:$H,pg_transaction_cleaned!$O:$O,A1998,pg_transaction_cleaned!$F:$F,"CAPTURE")</f>
        <v>0</v>
      </c>
      <c r="L1998" s="23">
        <f>COUNTIFS(pg_transaction_cleaned!$O:$O,A1998,pg_transaction_cleaned!$F:$F,"REFUND")</f>
        <v>0</v>
      </c>
      <c r="M1998" s="39">
        <f>SUMIFS(pg_transaction_cleaned!$H:$H,pg_transaction_cleaned!$O:$O,A1998,pg_transaction_cleaned!$F:$F,"REFUND")</f>
        <v>0</v>
      </c>
      <c r="N1998" s="23" t="str">
        <f t="shared" si="126"/>
        <v>OK</v>
      </c>
      <c r="O1998" s="24">
        <f t="shared" si="127"/>
        <v>0</v>
      </c>
    </row>
    <row r="1999" spans="1:15" ht="15" customHeight="1" x14ac:dyDescent="0.3">
      <c r="A1999" s="23" t="s">
        <v>4484</v>
      </c>
      <c r="B1999" s="38">
        <v>46273</v>
      </c>
      <c r="C1999" s="23" t="s">
        <v>4485</v>
      </c>
      <c r="D1999" s="23" t="s">
        <v>95</v>
      </c>
      <c r="E1999" s="23" t="s">
        <v>75</v>
      </c>
      <c r="F1999" s="23" t="s">
        <v>329</v>
      </c>
      <c r="G1999" s="23" t="s">
        <v>250</v>
      </c>
      <c r="H1999" s="39">
        <f t="shared" si="124"/>
        <v>599</v>
      </c>
      <c r="I1999" s="23" t="str">
        <f t="shared" si="125"/>
        <v>Bengaluru</v>
      </c>
      <c r="J1999" s="23">
        <f>COUNTIFS(pg_transaction_cleaned!$O:$O,A1999,pg_transaction_cleaned!$F:$F,"CAPTURE")</f>
        <v>1</v>
      </c>
      <c r="K1999" s="39">
        <f>SUMIFS(pg_transaction_cleaned!$H:$H,pg_transaction_cleaned!$O:$O,A1999,pg_transaction_cleaned!$F:$F,"CAPTURE")</f>
        <v>599</v>
      </c>
      <c r="L1999" s="23">
        <f>COUNTIFS(pg_transaction_cleaned!$O:$O,A1999,pg_transaction_cleaned!$F:$F,"REFUND")</f>
        <v>0</v>
      </c>
      <c r="M1999" s="39">
        <f>SUMIFS(pg_transaction_cleaned!$H:$H,pg_transaction_cleaned!$O:$O,A1999,pg_transaction_cleaned!$F:$F,"REFUND")</f>
        <v>0</v>
      </c>
      <c r="N1999" s="23" t="str">
        <f t="shared" si="126"/>
        <v>OK</v>
      </c>
      <c r="O1999" s="24">
        <f t="shared" si="127"/>
        <v>0</v>
      </c>
    </row>
    <row r="2000" spans="1:15" ht="15" customHeight="1" x14ac:dyDescent="0.3">
      <c r="A2000" s="23" t="s">
        <v>4486</v>
      </c>
      <c r="B2000" s="38">
        <v>46277</v>
      </c>
      <c r="C2000" s="23" t="s">
        <v>4487</v>
      </c>
      <c r="D2000" s="23" t="s">
        <v>95</v>
      </c>
      <c r="E2000" s="23" t="s">
        <v>77</v>
      </c>
      <c r="F2000" s="23" t="s">
        <v>337</v>
      </c>
      <c r="G2000" s="23" t="s">
        <v>365</v>
      </c>
      <c r="H2000" s="39">
        <f t="shared" si="124"/>
        <v>3998</v>
      </c>
      <c r="I2000" s="23" t="str">
        <f t="shared" si="125"/>
        <v>Bengaluru</v>
      </c>
      <c r="J2000" s="23">
        <f>COUNTIFS(pg_transaction_cleaned!$O:$O,A2000,pg_transaction_cleaned!$F:$F,"CAPTURE")</f>
        <v>0</v>
      </c>
      <c r="K2000" s="39">
        <f>SUMIFS(pg_transaction_cleaned!$H:$H,pg_transaction_cleaned!$O:$O,A2000,pg_transaction_cleaned!$F:$F,"CAPTURE")</f>
        <v>0</v>
      </c>
      <c r="L2000" s="23">
        <f>COUNTIFS(pg_transaction_cleaned!$O:$O,A2000,pg_transaction_cleaned!$F:$F,"REFUND")</f>
        <v>0</v>
      </c>
      <c r="M2000" s="39">
        <f>SUMIFS(pg_transaction_cleaned!$H:$H,pg_transaction_cleaned!$O:$O,A2000,pg_transaction_cleaned!$F:$F,"REFUND")</f>
        <v>0</v>
      </c>
      <c r="N2000" s="23" t="str">
        <f t="shared" si="126"/>
        <v>OK</v>
      </c>
      <c r="O2000" s="24">
        <f t="shared" si="127"/>
        <v>0</v>
      </c>
    </row>
    <row r="2001" spans="1:15" ht="15" customHeight="1" x14ac:dyDescent="0.3">
      <c r="A2001" s="23" t="s">
        <v>4488</v>
      </c>
      <c r="B2001" s="38">
        <v>46289</v>
      </c>
      <c r="C2001" s="23" t="s">
        <v>4489</v>
      </c>
      <c r="D2001" s="23" t="s">
        <v>94</v>
      </c>
      <c r="E2001" s="23" t="s">
        <v>75</v>
      </c>
      <c r="F2001" s="23" t="s">
        <v>265</v>
      </c>
      <c r="G2001" s="23" t="s">
        <v>250</v>
      </c>
      <c r="H2001" s="39">
        <f t="shared" si="124"/>
        <v>999</v>
      </c>
      <c r="I2001" s="23" t="str">
        <f t="shared" si="125"/>
        <v>Chennai</v>
      </c>
      <c r="J2001" s="23">
        <f>COUNTIFS(pg_transaction_cleaned!$O:$O,A2001,pg_transaction_cleaned!$F:$F,"CAPTURE")</f>
        <v>1</v>
      </c>
      <c r="K2001" s="39">
        <f>SUMIFS(pg_transaction_cleaned!$H:$H,pg_transaction_cleaned!$O:$O,A2001,pg_transaction_cleaned!$F:$F,"CAPTURE")</f>
        <v>999</v>
      </c>
      <c r="L2001" s="23">
        <f>COUNTIFS(pg_transaction_cleaned!$O:$O,A2001,pg_transaction_cleaned!$F:$F,"REFUND")</f>
        <v>0</v>
      </c>
      <c r="M2001" s="39">
        <f>SUMIFS(pg_transaction_cleaned!$H:$H,pg_transaction_cleaned!$O:$O,A2001,pg_transaction_cleaned!$F:$F,"REFUND")</f>
        <v>0</v>
      </c>
      <c r="N2001" s="23" t="str">
        <f t="shared" si="126"/>
        <v>OK</v>
      </c>
      <c r="O2001" s="24">
        <f t="shared" si="127"/>
        <v>0</v>
      </c>
    </row>
    <row r="2002" spans="1:15" ht="15" customHeight="1" x14ac:dyDescent="0.3">
      <c r="A2002" s="23" t="s">
        <v>4490</v>
      </c>
      <c r="B2002" s="38">
        <v>46282</v>
      </c>
      <c r="C2002" s="23" t="s">
        <v>4235</v>
      </c>
      <c r="D2002" s="23" t="s">
        <v>91</v>
      </c>
      <c r="E2002" s="23" t="s">
        <v>75</v>
      </c>
      <c r="F2002" s="23" t="s">
        <v>475</v>
      </c>
      <c r="G2002" s="23" t="s">
        <v>250</v>
      </c>
      <c r="H2002" s="39">
        <f t="shared" si="124"/>
        <v>799</v>
      </c>
      <c r="I2002" s="23" t="str">
        <f t="shared" si="125"/>
        <v>Pune</v>
      </c>
      <c r="J2002" s="23">
        <f>COUNTIFS(pg_transaction_cleaned!$O:$O,A2002,pg_transaction_cleaned!$F:$F,"CAPTURE")</f>
        <v>1</v>
      </c>
      <c r="K2002" s="39">
        <f>SUMIFS(pg_transaction_cleaned!$H:$H,pg_transaction_cleaned!$O:$O,A2002,pg_transaction_cleaned!$F:$F,"CAPTURE")</f>
        <v>799</v>
      </c>
      <c r="L2002" s="23">
        <f>COUNTIFS(pg_transaction_cleaned!$O:$O,A2002,pg_transaction_cleaned!$F:$F,"REFUND")</f>
        <v>0</v>
      </c>
      <c r="M2002" s="39">
        <f>SUMIFS(pg_transaction_cleaned!$H:$H,pg_transaction_cleaned!$O:$O,A2002,pg_transaction_cleaned!$F:$F,"REFUND")</f>
        <v>0</v>
      </c>
      <c r="N2002" s="23" t="str">
        <f t="shared" si="126"/>
        <v>OK</v>
      </c>
      <c r="O2002" s="24">
        <f t="shared" si="127"/>
        <v>0</v>
      </c>
    </row>
    <row r="2003" spans="1:15" ht="15" customHeight="1" x14ac:dyDescent="0.3">
      <c r="A2003" s="23" t="s">
        <v>4491</v>
      </c>
      <c r="B2003" s="38">
        <v>46291</v>
      </c>
      <c r="C2003" s="23" t="s">
        <v>4492</v>
      </c>
      <c r="D2003" s="23" t="s">
        <v>86</v>
      </c>
      <c r="E2003" s="23" t="s">
        <v>75</v>
      </c>
      <c r="F2003" s="23" t="s">
        <v>315</v>
      </c>
      <c r="G2003" s="23" t="s">
        <v>250</v>
      </c>
      <c r="H2003" s="39">
        <f t="shared" si="124"/>
        <v>1499</v>
      </c>
      <c r="I2003" s="23" t="str">
        <f t="shared" si="125"/>
        <v>Delhi</v>
      </c>
      <c r="J2003" s="23">
        <f>COUNTIFS(pg_transaction_cleaned!$O:$O,A2003,pg_transaction_cleaned!$F:$F,"CAPTURE")</f>
        <v>1</v>
      </c>
      <c r="K2003" s="39">
        <f>SUMIFS(pg_transaction_cleaned!$H:$H,pg_transaction_cleaned!$O:$O,A2003,pg_transaction_cleaned!$F:$F,"CAPTURE")</f>
        <v>1499</v>
      </c>
      <c r="L2003" s="23">
        <f>COUNTIFS(pg_transaction_cleaned!$O:$O,A2003,pg_transaction_cleaned!$F:$F,"REFUND")</f>
        <v>0</v>
      </c>
      <c r="M2003" s="39">
        <f>SUMIFS(pg_transaction_cleaned!$H:$H,pg_transaction_cleaned!$O:$O,A2003,pg_transaction_cleaned!$F:$F,"REFUND")</f>
        <v>0</v>
      </c>
      <c r="N2003" s="23" t="str">
        <f t="shared" si="126"/>
        <v>OK</v>
      </c>
      <c r="O2003" s="24">
        <f t="shared" si="127"/>
        <v>0</v>
      </c>
    </row>
    <row r="2004" spans="1:15" ht="15" customHeight="1" x14ac:dyDescent="0.3">
      <c r="A2004" s="23" t="s">
        <v>4493</v>
      </c>
      <c r="B2004" s="38">
        <v>46288</v>
      </c>
      <c r="C2004" s="23" t="s">
        <v>4494</v>
      </c>
      <c r="D2004" s="23" t="s">
        <v>88</v>
      </c>
      <c r="E2004" s="23" t="s">
        <v>75</v>
      </c>
      <c r="F2004" s="23" t="s">
        <v>4495</v>
      </c>
      <c r="G2004" s="23" t="s">
        <v>250</v>
      </c>
      <c r="H2004" s="39">
        <f t="shared" si="124"/>
        <v>9197</v>
      </c>
      <c r="I2004" s="23" t="str">
        <f t="shared" si="125"/>
        <v>Lucknow</v>
      </c>
      <c r="J2004" s="23">
        <f>COUNTIFS(pg_transaction_cleaned!$O:$O,A2004,pg_transaction_cleaned!$F:$F,"CAPTURE")</f>
        <v>1</v>
      </c>
      <c r="K2004" s="39">
        <f>SUMIFS(pg_transaction_cleaned!$H:$H,pg_transaction_cleaned!$O:$O,A2004,pg_transaction_cleaned!$F:$F,"CAPTURE")</f>
        <v>9197</v>
      </c>
      <c r="L2004" s="23">
        <f>COUNTIFS(pg_transaction_cleaned!$O:$O,A2004,pg_transaction_cleaned!$F:$F,"REFUND")</f>
        <v>0</v>
      </c>
      <c r="M2004" s="39">
        <f>SUMIFS(pg_transaction_cleaned!$H:$H,pg_transaction_cleaned!$O:$O,A2004,pg_transaction_cleaned!$F:$F,"REFUND")</f>
        <v>0</v>
      </c>
      <c r="N2004" s="23" t="str">
        <f t="shared" si="126"/>
        <v>OK</v>
      </c>
      <c r="O2004" s="24">
        <f t="shared" si="127"/>
        <v>0</v>
      </c>
    </row>
    <row r="2005" spans="1:15" ht="15" customHeight="1" x14ac:dyDescent="0.3">
      <c r="A2005" s="23" t="s">
        <v>4496</v>
      </c>
      <c r="B2005" s="38">
        <v>46274</v>
      </c>
      <c r="C2005" s="23" t="s">
        <v>4497</v>
      </c>
      <c r="D2005" s="23" t="s">
        <v>86</v>
      </c>
      <c r="E2005" s="23" t="s">
        <v>79</v>
      </c>
      <c r="F2005" s="23" t="s">
        <v>4498</v>
      </c>
      <c r="G2005" s="23" t="s">
        <v>250</v>
      </c>
      <c r="H2005" s="39">
        <f t="shared" si="124"/>
        <v>1148</v>
      </c>
      <c r="I2005" s="23" t="str">
        <f t="shared" si="125"/>
        <v>Delhi</v>
      </c>
      <c r="J2005" s="23">
        <f>COUNTIFS(pg_transaction_cleaned!$O:$O,A2005,pg_transaction_cleaned!$F:$F,"CAPTURE")</f>
        <v>1</v>
      </c>
      <c r="K2005" s="39">
        <f>SUMIFS(pg_transaction_cleaned!$H:$H,pg_transaction_cleaned!$O:$O,A2005,pg_transaction_cleaned!$F:$F,"CAPTURE")</f>
        <v>1148</v>
      </c>
      <c r="L2005" s="23">
        <f>COUNTIFS(pg_transaction_cleaned!$O:$O,A2005,pg_transaction_cleaned!$F:$F,"REFUND")</f>
        <v>0</v>
      </c>
      <c r="M2005" s="39">
        <f>SUMIFS(pg_transaction_cleaned!$H:$H,pg_transaction_cleaned!$O:$O,A2005,pg_transaction_cleaned!$F:$F,"REFUND")</f>
        <v>0</v>
      </c>
      <c r="N2005" s="23" t="str">
        <f t="shared" si="126"/>
        <v>OK</v>
      </c>
      <c r="O2005" s="24">
        <f t="shared" si="127"/>
        <v>0</v>
      </c>
    </row>
    <row r="2006" spans="1:15" ht="15" customHeight="1" x14ac:dyDescent="0.3">
      <c r="A2006" s="23" t="s">
        <v>4499</v>
      </c>
      <c r="B2006" s="38">
        <v>46282</v>
      </c>
      <c r="C2006" s="23" t="s">
        <v>4500</v>
      </c>
      <c r="D2006" s="23" t="s">
        <v>90</v>
      </c>
      <c r="E2006" s="23" t="s">
        <v>75</v>
      </c>
      <c r="F2006" s="23" t="s">
        <v>249</v>
      </c>
      <c r="G2006" s="23" t="s">
        <v>250</v>
      </c>
      <c r="H2006" s="39">
        <f t="shared" si="124"/>
        <v>299</v>
      </c>
      <c r="I2006" s="23" t="str">
        <f t="shared" si="125"/>
        <v>Ahmedabad</v>
      </c>
      <c r="J2006" s="23">
        <f>COUNTIFS(pg_transaction_cleaned!$O:$O,A2006,pg_transaction_cleaned!$F:$F,"CAPTURE")</f>
        <v>1</v>
      </c>
      <c r="K2006" s="39">
        <f>SUMIFS(pg_transaction_cleaned!$H:$H,pg_transaction_cleaned!$O:$O,A2006,pg_transaction_cleaned!$F:$F,"CAPTURE")</f>
        <v>299</v>
      </c>
      <c r="L2006" s="23">
        <f>COUNTIFS(pg_transaction_cleaned!$O:$O,A2006,pg_transaction_cleaned!$F:$F,"REFUND")</f>
        <v>0</v>
      </c>
      <c r="M2006" s="39">
        <f>SUMIFS(pg_transaction_cleaned!$H:$H,pg_transaction_cleaned!$O:$O,A2006,pg_transaction_cleaned!$F:$F,"REFUND")</f>
        <v>0</v>
      </c>
      <c r="N2006" s="23" t="str">
        <f t="shared" si="126"/>
        <v>OK</v>
      </c>
      <c r="O2006" s="24">
        <f t="shared" si="127"/>
        <v>0</v>
      </c>
    </row>
    <row r="2007" spans="1:15" ht="15" customHeight="1" x14ac:dyDescent="0.3">
      <c r="A2007" s="23" t="s">
        <v>4501</v>
      </c>
      <c r="B2007" s="38">
        <v>46280</v>
      </c>
      <c r="C2007" s="23" t="s">
        <v>4502</v>
      </c>
      <c r="D2007" s="23" t="s">
        <v>91</v>
      </c>
      <c r="E2007" s="23" t="s">
        <v>75</v>
      </c>
      <c r="F2007" s="23" t="s">
        <v>294</v>
      </c>
      <c r="G2007" s="23" t="s">
        <v>365</v>
      </c>
      <c r="H2007" s="39">
        <f t="shared" si="124"/>
        <v>1799</v>
      </c>
      <c r="I2007" s="23" t="str">
        <f t="shared" si="125"/>
        <v>Pune</v>
      </c>
      <c r="J2007" s="23">
        <f>COUNTIFS(pg_transaction_cleaned!$O:$O,A2007,pg_transaction_cleaned!$F:$F,"CAPTURE")</f>
        <v>0</v>
      </c>
      <c r="K2007" s="39">
        <f>SUMIFS(pg_transaction_cleaned!$H:$H,pg_transaction_cleaned!$O:$O,A2007,pg_transaction_cleaned!$F:$F,"CAPTURE")</f>
        <v>0</v>
      </c>
      <c r="L2007" s="23">
        <f>COUNTIFS(pg_transaction_cleaned!$O:$O,A2007,pg_transaction_cleaned!$F:$F,"REFUND")</f>
        <v>0</v>
      </c>
      <c r="M2007" s="39">
        <f>SUMIFS(pg_transaction_cleaned!$H:$H,pg_transaction_cleaned!$O:$O,A2007,pg_transaction_cleaned!$F:$F,"REFUND")</f>
        <v>0</v>
      </c>
      <c r="N2007" s="23" t="str">
        <f t="shared" si="126"/>
        <v>OK</v>
      </c>
      <c r="O2007" s="24">
        <f t="shared" si="127"/>
        <v>0</v>
      </c>
    </row>
    <row r="2008" spans="1:15" ht="15" customHeight="1" x14ac:dyDescent="0.3">
      <c r="A2008" s="23" t="s">
        <v>4503</v>
      </c>
      <c r="B2008" s="38">
        <v>46272</v>
      </c>
      <c r="C2008" s="23" t="s">
        <v>4504</v>
      </c>
      <c r="D2008" s="23" t="s">
        <v>88</v>
      </c>
      <c r="E2008" s="23" t="s">
        <v>75</v>
      </c>
      <c r="F2008" s="23" t="s">
        <v>574</v>
      </c>
      <c r="G2008" s="23" t="s">
        <v>250</v>
      </c>
      <c r="H2008" s="39">
        <f t="shared" si="124"/>
        <v>1848</v>
      </c>
      <c r="I2008" s="23" t="str">
        <f t="shared" si="125"/>
        <v>Lucknow</v>
      </c>
      <c r="J2008" s="23">
        <f>COUNTIFS(pg_transaction_cleaned!$O:$O,A2008,pg_transaction_cleaned!$F:$F,"CAPTURE")</f>
        <v>1</v>
      </c>
      <c r="K2008" s="39">
        <f>SUMIFS(pg_transaction_cleaned!$H:$H,pg_transaction_cleaned!$O:$O,A2008,pg_transaction_cleaned!$F:$F,"CAPTURE")</f>
        <v>1348</v>
      </c>
      <c r="L2008" s="23">
        <f>COUNTIFS(pg_transaction_cleaned!$O:$O,A2008,pg_transaction_cleaned!$F:$F,"REFUND")</f>
        <v>0</v>
      </c>
      <c r="M2008" s="39">
        <f>SUMIFS(pg_transaction_cleaned!$H:$H,pg_transaction_cleaned!$O:$O,A2008,pg_transaction_cleaned!$F:$F,"REFUND")</f>
        <v>0</v>
      </c>
      <c r="N2008" s="23" t="str">
        <f t="shared" si="126"/>
        <v>Amount difference</v>
      </c>
      <c r="O2008" s="24">
        <f t="shared" si="127"/>
        <v>-500</v>
      </c>
    </row>
    <row r="2009" spans="1:15" ht="15" customHeight="1" x14ac:dyDescent="0.3">
      <c r="A2009" s="23" t="s">
        <v>4505</v>
      </c>
      <c r="B2009" s="38">
        <v>46272</v>
      </c>
      <c r="C2009" s="23" t="s">
        <v>4506</v>
      </c>
      <c r="D2009" s="23" t="s">
        <v>90</v>
      </c>
      <c r="E2009" s="23" t="s">
        <v>79</v>
      </c>
      <c r="F2009" s="23" t="s">
        <v>880</v>
      </c>
      <c r="G2009" s="23" t="s">
        <v>250</v>
      </c>
      <c r="H2009" s="39">
        <f t="shared" si="124"/>
        <v>2298</v>
      </c>
      <c r="I2009" s="23" t="str">
        <f t="shared" si="125"/>
        <v>Ahmedabad</v>
      </c>
      <c r="J2009" s="23">
        <f>COUNTIFS(pg_transaction_cleaned!$O:$O,A2009,pg_transaction_cleaned!$F:$F,"CAPTURE")</f>
        <v>1</v>
      </c>
      <c r="K2009" s="39">
        <f>SUMIFS(pg_transaction_cleaned!$H:$H,pg_transaction_cleaned!$O:$O,A2009,pg_transaction_cleaned!$F:$F,"CAPTURE")</f>
        <v>2298</v>
      </c>
      <c r="L2009" s="23">
        <f>COUNTIFS(pg_transaction_cleaned!$O:$O,A2009,pg_transaction_cleaned!$F:$F,"REFUND")</f>
        <v>0</v>
      </c>
      <c r="M2009" s="39">
        <f>SUMIFS(pg_transaction_cleaned!$H:$H,pg_transaction_cleaned!$O:$O,A2009,pg_transaction_cleaned!$F:$F,"REFUND")</f>
        <v>0</v>
      </c>
      <c r="N2009" s="23" t="str">
        <f t="shared" si="126"/>
        <v>OK</v>
      </c>
      <c r="O2009" s="24">
        <f t="shared" si="127"/>
        <v>0</v>
      </c>
    </row>
    <row r="2010" spans="1:15" ht="15" customHeight="1" x14ac:dyDescent="0.3">
      <c r="A2010" s="23" t="s">
        <v>4507</v>
      </c>
      <c r="B2010" s="38">
        <v>46290</v>
      </c>
      <c r="C2010" s="23" t="s">
        <v>4508</v>
      </c>
      <c r="D2010" s="23" t="s">
        <v>92</v>
      </c>
      <c r="E2010" s="23" t="s">
        <v>79</v>
      </c>
      <c r="F2010" s="23" t="s">
        <v>4509</v>
      </c>
      <c r="G2010" s="23" t="s">
        <v>250</v>
      </c>
      <c r="H2010" s="39">
        <f t="shared" si="124"/>
        <v>8097</v>
      </c>
      <c r="I2010" s="23" t="str">
        <f t="shared" si="125"/>
        <v>Hyderabad</v>
      </c>
      <c r="J2010" s="23">
        <f>COUNTIFS(pg_transaction_cleaned!$O:$O,A2010,pg_transaction_cleaned!$F:$F,"CAPTURE")</f>
        <v>1</v>
      </c>
      <c r="K2010" s="39">
        <f>SUMIFS(pg_transaction_cleaned!$H:$H,pg_transaction_cleaned!$O:$O,A2010,pg_transaction_cleaned!$F:$F,"CAPTURE")</f>
        <v>8097</v>
      </c>
      <c r="L2010" s="23">
        <f>COUNTIFS(pg_transaction_cleaned!$O:$O,A2010,pg_transaction_cleaned!$F:$F,"REFUND")</f>
        <v>0</v>
      </c>
      <c r="M2010" s="39">
        <f>SUMIFS(pg_transaction_cleaned!$H:$H,pg_transaction_cleaned!$O:$O,A2010,pg_transaction_cleaned!$F:$F,"REFUND")</f>
        <v>0</v>
      </c>
      <c r="N2010" s="23" t="str">
        <f t="shared" si="126"/>
        <v>OK</v>
      </c>
      <c r="O2010" s="24">
        <f t="shared" si="127"/>
        <v>0</v>
      </c>
    </row>
    <row r="2011" spans="1:15" ht="15" customHeight="1" x14ac:dyDescent="0.3">
      <c r="A2011" s="23" t="s">
        <v>4510</v>
      </c>
      <c r="B2011" s="38">
        <v>46290</v>
      </c>
      <c r="C2011" s="23" t="s">
        <v>4511</v>
      </c>
      <c r="D2011" s="23" t="s">
        <v>90</v>
      </c>
      <c r="E2011" s="23" t="s">
        <v>75</v>
      </c>
      <c r="F2011" s="23" t="s">
        <v>259</v>
      </c>
      <c r="G2011" s="23" t="s">
        <v>250</v>
      </c>
      <c r="H2011" s="39">
        <f t="shared" si="124"/>
        <v>3298</v>
      </c>
      <c r="I2011" s="23" t="str">
        <f t="shared" si="125"/>
        <v>Ahmedabad</v>
      </c>
      <c r="J2011" s="23">
        <f>COUNTIFS(pg_transaction_cleaned!$O:$O,A2011,pg_transaction_cleaned!$F:$F,"CAPTURE")</f>
        <v>1</v>
      </c>
      <c r="K2011" s="39">
        <f>SUMIFS(pg_transaction_cleaned!$H:$H,pg_transaction_cleaned!$O:$O,A2011,pg_transaction_cleaned!$F:$F,"CAPTURE")</f>
        <v>3298</v>
      </c>
      <c r="L2011" s="23">
        <f>COUNTIFS(pg_transaction_cleaned!$O:$O,A2011,pg_transaction_cleaned!$F:$F,"REFUND")</f>
        <v>0</v>
      </c>
      <c r="M2011" s="39">
        <f>SUMIFS(pg_transaction_cleaned!$H:$H,pg_transaction_cleaned!$O:$O,A2011,pg_transaction_cleaned!$F:$F,"REFUND")</f>
        <v>0</v>
      </c>
      <c r="N2011" s="23" t="str">
        <f t="shared" si="126"/>
        <v>OK</v>
      </c>
      <c r="O2011" s="24">
        <f t="shared" si="127"/>
        <v>0</v>
      </c>
    </row>
    <row r="2012" spans="1:15" ht="15" customHeight="1" x14ac:dyDescent="0.3">
      <c r="A2012" s="23" t="s">
        <v>4512</v>
      </c>
      <c r="B2012" s="38">
        <v>46282</v>
      </c>
      <c r="C2012" s="23" t="s">
        <v>4513</v>
      </c>
      <c r="D2012" s="23" t="s">
        <v>94</v>
      </c>
      <c r="E2012" s="23" t="s">
        <v>81</v>
      </c>
      <c r="F2012" s="23" t="s">
        <v>396</v>
      </c>
      <c r="G2012" s="23" t="s">
        <v>250</v>
      </c>
      <c r="H2012" s="39">
        <f t="shared" si="124"/>
        <v>2999</v>
      </c>
      <c r="I2012" s="23" t="str">
        <f t="shared" si="125"/>
        <v>Chennai</v>
      </c>
      <c r="J2012" s="23">
        <f>COUNTIFS(pg_transaction_cleaned!$O:$O,A2012,pg_transaction_cleaned!$F:$F,"CAPTURE")</f>
        <v>1</v>
      </c>
      <c r="K2012" s="39">
        <f>SUMIFS(pg_transaction_cleaned!$H:$H,pg_transaction_cleaned!$O:$O,A2012,pg_transaction_cleaned!$F:$F,"CAPTURE")</f>
        <v>2999</v>
      </c>
      <c r="L2012" s="23">
        <f>COUNTIFS(pg_transaction_cleaned!$O:$O,A2012,pg_transaction_cleaned!$F:$F,"REFUND")</f>
        <v>0</v>
      </c>
      <c r="M2012" s="39">
        <f>SUMIFS(pg_transaction_cleaned!$H:$H,pg_transaction_cleaned!$O:$O,A2012,pg_transaction_cleaned!$F:$F,"REFUND")</f>
        <v>0</v>
      </c>
      <c r="N2012" s="23" t="str">
        <f t="shared" si="126"/>
        <v>OK</v>
      </c>
      <c r="O2012" s="24">
        <f t="shared" si="127"/>
        <v>0</v>
      </c>
    </row>
    <row r="2013" spans="1:15" ht="15" customHeight="1" x14ac:dyDescent="0.3">
      <c r="A2013" s="23" t="s">
        <v>4514</v>
      </c>
      <c r="B2013" s="38">
        <v>46274</v>
      </c>
      <c r="C2013" s="23" t="s">
        <v>3472</v>
      </c>
      <c r="D2013" s="23" t="s">
        <v>90</v>
      </c>
      <c r="E2013" s="23" t="s">
        <v>75</v>
      </c>
      <c r="F2013" s="23" t="s">
        <v>1662</v>
      </c>
      <c r="G2013" s="23" t="s">
        <v>250</v>
      </c>
      <c r="H2013" s="39">
        <f t="shared" si="124"/>
        <v>4397</v>
      </c>
      <c r="I2013" s="23" t="str">
        <f t="shared" si="125"/>
        <v>Ahmedabad</v>
      </c>
      <c r="J2013" s="23">
        <f>COUNTIFS(pg_transaction_cleaned!$O:$O,A2013,pg_transaction_cleaned!$F:$F,"CAPTURE")</f>
        <v>1</v>
      </c>
      <c r="K2013" s="39">
        <f>SUMIFS(pg_transaction_cleaned!$H:$H,pg_transaction_cleaned!$O:$O,A2013,pg_transaction_cleaned!$F:$F,"CAPTURE")</f>
        <v>4397</v>
      </c>
      <c r="L2013" s="23">
        <f>COUNTIFS(pg_transaction_cleaned!$O:$O,A2013,pg_transaction_cleaned!$F:$F,"REFUND")</f>
        <v>0</v>
      </c>
      <c r="M2013" s="39">
        <f>SUMIFS(pg_transaction_cleaned!$H:$H,pg_transaction_cleaned!$O:$O,A2013,pg_transaction_cleaned!$F:$F,"REFUND")</f>
        <v>0</v>
      </c>
      <c r="N2013" s="23" t="str">
        <f t="shared" si="126"/>
        <v>OK</v>
      </c>
      <c r="O2013" s="24">
        <f t="shared" si="127"/>
        <v>0</v>
      </c>
    </row>
    <row r="2014" spans="1:15" ht="15" customHeight="1" x14ac:dyDescent="0.3">
      <c r="A2014" s="23" t="s">
        <v>4515</v>
      </c>
      <c r="B2014" s="38">
        <v>46266</v>
      </c>
      <c r="C2014" s="23" t="s">
        <v>4516</v>
      </c>
      <c r="D2014" s="23" t="s">
        <v>93</v>
      </c>
      <c r="E2014" s="23" t="s">
        <v>75</v>
      </c>
      <c r="F2014" s="23" t="s">
        <v>2954</v>
      </c>
      <c r="G2014" s="23" t="s">
        <v>250</v>
      </c>
      <c r="H2014" s="39">
        <f t="shared" si="124"/>
        <v>1799</v>
      </c>
      <c r="I2014" s="23" t="str">
        <f t="shared" si="125"/>
        <v>Kolkata</v>
      </c>
      <c r="J2014" s="23">
        <f>COUNTIFS(pg_transaction_cleaned!$O:$O,A2014,pg_transaction_cleaned!$F:$F,"CAPTURE")</f>
        <v>1</v>
      </c>
      <c r="K2014" s="39">
        <f>SUMIFS(pg_transaction_cleaned!$H:$H,pg_transaction_cleaned!$O:$O,A2014,pg_transaction_cleaned!$F:$F,"CAPTURE")</f>
        <v>1799</v>
      </c>
      <c r="L2014" s="23">
        <f>COUNTIFS(pg_transaction_cleaned!$O:$O,A2014,pg_transaction_cleaned!$F:$F,"REFUND")</f>
        <v>0</v>
      </c>
      <c r="M2014" s="39">
        <f>SUMIFS(pg_transaction_cleaned!$H:$H,pg_transaction_cleaned!$O:$O,A2014,pg_transaction_cleaned!$F:$F,"REFUND")</f>
        <v>0</v>
      </c>
      <c r="N2014" s="23" t="str">
        <f t="shared" si="126"/>
        <v>OK</v>
      </c>
      <c r="O2014" s="24">
        <f t="shared" si="127"/>
        <v>0</v>
      </c>
    </row>
    <row r="2015" spans="1:15" ht="15" customHeight="1" x14ac:dyDescent="0.3">
      <c r="A2015" s="23" t="s">
        <v>4517</v>
      </c>
      <c r="B2015" s="38">
        <v>46287</v>
      </c>
      <c r="C2015" s="23" t="s">
        <v>4518</v>
      </c>
      <c r="D2015" s="23" t="s">
        <v>89</v>
      </c>
      <c r="E2015" s="23" t="s">
        <v>75</v>
      </c>
      <c r="F2015" s="23" t="s">
        <v>274</v>
      </c>
      <c r="G2015" s="23" t="s">
        <v>365</v>
      </c>
      <c r="H2015" s="39">
        <f t="shared" si="124"/>
        <v>349</v>
      </c>
      <c r="I2015" s="23" t="str">
        <f t="shared" si="125"/>
        <v>Jaipur</v>
      </c>
      <c r="J2015" s="23">
        <f>COUNTIFS(pg_transaction_cleaned!$O:$O,A2015,pg_transaction_cleaned!$F:$F,"CAPTURE")</f>
        <v>0</v>
      </c>
      <c r="K2015" s="39">
        <f>SUMIFS(pg_transaction_cleaned!$H:$H,pg_transaction_cleaned!$O:$O,A2015,pg_transaction_cleaned!$F:$F,"CAPTURE")</f>
        <v>0</v>
      </c>
      <c r="L2015" s="23">
        <f>COUNTIFS(pg_transaction_cleaned!$O:$O,A2015,pg_transaction_cleaned!$F:$F,"REFUND")</f>
        <v>0</v>
      </c>
      <c r="M2015" s="39">
        <f>SUMIFS(pg_transaction_cleaned!$H:$H,pg_transaction_cleaned!$O:$O,A2015,pg_transaction_cleaned!$F:$F,"REFUND")</f>
        <v>0</v>
      </c>
      <c r="N2015" s="23" t="str">
        <f t="shared" si="126"/>
        <v>OK</v>
      </c>
      <c r="O2015" s="24">
        <f t="shared" si="127"/>
        <v>0</v>
      </c>
    </row>
    <row r="2016" spans="1:15" ht="15" customHeight="1" x14ac:dyDescent="0.3">
      <c r="A2016" s="23" t="s">
        <v>4519</v>
      </c>
      <c r="B2016" s="38">
        <v>46292</v>
      </c>
      <c r="C2016" s="23" t="s">
        <v>4520</v>
      </c>
      <c r="D2016" s="23" t="s">
        <v>92</v>
      </c>
      <c r="E2016" s="23" t="s">
        <v>79</v>
      </c>
      <c r="F2016" s="23" t="s">
        <v>329</v>
      </c>
      <c r="G2016" s="23" t="s">
        <v>250</v>
      </c>
      <c r="H2016" s="39">
        <f t="shared" si="124"/>
        <v>599</v>
      </c>
      <c r="I2016" s="23" t="str">
        <f t="shared" si="125"/>
        <v>Hyderabad</v>
      </c>
      <c r="J2016" s="23">
        <f>COUNTIFS(pg_transaction_cleaned!$O:$O,A2016,pg_transaction_cleaned!$F:$F,"CAPTURE")</f>
        <v>1</v>
      </c>
      <c r="K2016" s="39">
        <f>SUMIFS(pg_transaction_cleaned!$H:$H,pg_transaction_cleaned!$O:$O,A2016,pg_transaction_cleaned!$F:$F,"CAPTURE")</f>
        <v>599</v>
      </c>
      <c r="L2016" s="23">
        <f>COUNTIFS(pg_transaction_cleaned!$O:$O,A2016,pg_transaction_cleaned!$F:$F,"REFUND")</f>
        <v>0</v>
      </c>
      <c r="M2016" s="39">
        <f>SUMIFS(pg_transaction_cleaned!$H:$H,pg_transaction_cleaned!$O:$O,A2016,pg_transaction_cleaned!$F:$F,"REFUND")</f>
        <v>0</v>
      </c>
      <c r="N2016" s="23" t="str">
        <f t="shared" si="126"/>
        <v>OK</v>
      </c>
      <c r="O2016" s="24">
        <f t="shared" si="127"/>
        <v>0</v>
      </c>
    </row>
    <row r="2017" spans="1:15" ht="15" customHeight="1" x14ac:dyDescent="0.3">
      <c r="A2017" s="23" t="s">
        <v>4521</v>
      </c>
      <c r="B2017" s="38">
        <v>46282</v>
      </c>
      <c r="C2017" s="23" t="s">
        <v>4522</v>
      </c>
      <c r="D2017" s="23" t="s">
        <v>92</v>
      </c>
      <c r="E2017" s="23" t="s">
        <v>75</v>
      </c>
      <c r="F2017" s="23" t="s">
        <v>265</v>
      </c>
      <c r="G2017" s="23" t="s">
        <v>250</v>
      </c>
      <c r="H2017" s="39">
        <f t="shared" si="124"/>
        <v>999</v>
      </c>
      <c r="I2017" s="23" t="str">
        <f t="shared" si="125"/>
        <v>Hyderabad</v>
      </c>
      <c r="J2017" s="23">
        <f>COUNTIFS(pg_transaction_cleaned!$O:$O,A2017,pg_transaction_cleaned!$F:$F,"CAPTURE")</f>
        <v>1</v>
      </c>
      <c r="K2017" s="39">
        <f>SUMIFS(pg_transaction_cleaned!$H:$H,pg_transaction_cleaned!$O:$O,A2017,pg_transaction_cleaned!$F:$F,"CAPTURE")</f>
        <v>999</v>
      </c>
      <c r="L2017" s="23">
        <f>COUNTIFS(pg_transaction_cleaned!$O:$O,A2017,pg_transaction_cleaned!$F:$F,"REFUND")</f>
        <v>0</v>
      </c>
      <c r="M2017" s="39">
        <f>SUMIFS(pg_transaction_cleaned!$H:$H,pg_transaction_cleaned!$O:$O,A2017,pg_transaction_cleaned!$F:$F,"REFUND")</f>
        <v>0</v>
      </c>
      <c r="N2017" s="23" t="str">
        <f t="shared" si="126"/>
        <v>OK</v>
      </c>
      <c r="O2017" s="24">
        <f t="shared" si="127"/>
        <v>0</v>
      </c>
    </row>
    <row r="2018" spans="1:15" ht="15" customHeight="1" x14ac:dyDescent="0.3">
      <c r="A2018" s="23" t="s">
        <v>4523</v>
      </c>
      <c r="B2018" s="38">
        <v>46295</v>
      </c>
      <c r="C2018" s="23" t="s">
        <v>4524</v>
      </c>
      <c r="D2018" s="23" t="s">
        <v>93</v>
      </c>
      <c r="E2018" s="23" t="s">
        <v>75</v>
      </c>
      <c r="F2018" s="23" t="s">
        <v>370</v>
      </c>
      <c r="G2018" s="23" t="s">
        <v>250</v>
      </c>
      <c r="H2018" s="39">
        <f t="shared" si="124"/>
        <v>3098</v>
      </c>
      <c r="I2018" s="23" t="str">
        <f t="shared" si="125"/>
        <v>Kolkata</v>
      </c>
      <c r="J2018" s="23">
        <f>COUNTIFS(pg_transaction_cleaned!$O:$O,A2018,pg_transaction_cleaned!$F:$F,"CAPTURE")</f>
        <v>1</v>
      </c>
      <c r="K2018" s="39">
        <f>SUMIFS(pg_transaction_cleaned!$H:$H,pg_transaction_cleaned!$O:$O,A2018,pg_transaction_cleaned!$F:$F,"CAPTURE")</f>
        <v>3098</v>
      </c>
      <c r="L2018" s="23">
        <f>COUNTIFS(pg_transaction_cleaned!$O:$O,A2018,pg_transaction_cleaned!$F:$F,"REFUND")</f>
        <v>0</v>
      </c>
      <c r="M2018" s="39">
        <f>SUMIFS(pg_transaction_cleaned!$H:$H,pg_transaction_cleaned!$O:$O,A2018,pg_transaction_cleaned!$F:$F,"REFUND")</f>
        <v>0</v>
      </c>
      <c r="N2018" s="23" t="str">
        <f t="shared" si="126"/>
        <v>OK</v>
      </c>
      <c r="O2018" s="24">
        <f t="shared" si="127"/>
        <v>0</v>
      </c>
    </row>
    <row r="2019" spans="1:15" ht="15" customHeight="1" x14ac:dyDescent="0.3">
      <c r="A2019" s="23" t="s">
        <v>4525</v>
      </c>
      <c r="B2019" s="38">
        <v>46291</v>
      </c>
      <c r="C2019" s="23" t="s">
        <v>4526</v>
      </c>
      <c r="D2019" s="23" t="s">
        <v>89</v>
      </c>
      <c r="E2019" s="23" t="s">
        <v>79</v>
      </c>
      <c r="F2019" s="23" t="s">
        <v>310</v>
      </c>
      <c r="G2019" s="23" t="s">
        <v>250</v>
      </c>
      <c r="H2019" s="39">
        <f t="shared" si="124"/>
        <v>7999</v>
      </c>
      <c r="I2019" s="23" t="str">
        <f t="shared" si="125"/>
        <v>Jaipur</v>
      </c>
      <c r="J2019" s="23">
        <f>COUNTIFS(pg_transaction_cleaned!$O:$O,A2019,pg_transaction_cleaned!$F:$F,"CAPTURE")</f>
        <v>1</v>
      </c>
      <c r="K2019" s="39">
        <f>SUMIFS(pg_transaction_cleaned!$H:$H,pg_transaction_cleaned!$O:$O,A2019,pg_transaction_cleaned!$F:$F,"CAPTURE")</f>
        <v>7999</v>
      </c>
      <c r="L2019" s="23">
        <f>COUNTIFS(pg_transaction_cleaned!$O:$O,A2019,pg_transaction_cleaned!$F:$F,"REFUND")</f>
        <v>0</v>
      </c>
      <c r="M2019" s="39">
        <f>SUMIFS(pg_transaction_cleaned!$H:$H,pg_transaction_cleaned!$O:$O,A2019,pg_transaction_cleaned!$F:$F,"REFUND")</f>
        <v>0</v>
      </c>
      <c r="N2019" s="23" t="str">
        <f t="shared" si="126"/>
        <v>OK</v>
      </c>
      <c r="O2019" s="24">
        <f t="shared" si="127"/>
        <v>0</v>
      </c>
    </row>
    <row r="2020" spans="1:15" ht="15" customHeight="1" x14ac:dyDescent="0.3">
      <c r="A2020" s="23" t="s">
        <v>4527</v>
      </c>
      <c r="B2020" s="38">
        <v>46281</v>
      </c>
      <c r="C2020" s="23" t="s">
        <v>4528</v>
      </c>
      <c r="D2020" s="23" t="s">
        <v>90</v>
      </c>
      <c r="E2020" s="23" t="s">
        <v>75</v>
      </c>
      <c r="F2020" s="23" t="s">
        <v>685</v>
      </c>
      <c r="G2020" s="23" t="s">
        <v>250</v>
      </c>
      <c r="H2020" s="39">
        <f t="shared" si="124"/>
        <v>8797</v>
      </c>
      <c r="I2020" s="23" t="str">
        <f t="shared" si="125"/>
        <v>Ahmedabad</v>
      </c>
      <c r="J2020" s="23">
        <f>COUNTIFS(pg_transaction_cleaned!$O:$O,A2020,pg_transaction_cleaned!$F:$F,"CAPTURE")</f>
        <v>1</v>
      </c>
      <c r="K2020" s="39">
        <f>SUMIFS(pg_transaction_cleaned!$H:$H,pg_transaction_cleaned!$O:$O,A2020,pg_transaction_cleaned!$F:$F,"CAPTURE")</f>
        <v>8797</v>
      </c>
      <c r="L2020" s="23">
        <f>COUNTIFS(pg_transaction_cleaned!$O:$O,A2020,pg_transaction_cleaned!$F:$F,"REFUND")</f>
        <v>0</v>
      </c>
      <c r="M2020" s="39">
        <f>SUMIFS(pg_transaction_cleaned!$H:$H,pg_transaction_cleaned!$O:$O,A2020,pg_transaction_cleaned!$F:$F,"REFUND")</f>
        <v>0</v>
      </c>
      <c r="N2020" s="23" t="str">
        <f t="shared" si="126"/>
        <v>OK</v>
      </c>
      <c r="O2020" s="24">
        <f t="shared" si="127"/>
        <v>0</v>
      </c>
    </row>
    <row r="2021" spans="1:15" ht="15" customHeight="1" x14ac:dyDescent="0.3">
      <c r="A2021" s="23" t="s">
        <v>4529</v>
      </c>
      <c r="B2021" s="38">
        <v>46295</v>
      </c>
      <c r="C2021" s="23" t="s">
        <v>4530</v>
      </c>
      <c r="D2021" s="23" t="s">
        <v>94</v>
      </c>
      <c r="E2021" s="23" t="s">
        <v>75</v>
      </c>
      <c r="F2021" s="23" t="s">
        <v>265</v>
      </c>
      <c r="G2021" s="23" t="s">
        <v>250</v>
      </c>
      <c r="H2021" s="39">
        <f t="shared" si="124"/>
        <v>999</v>
      </c>
      <c r="I2021" s="23" t="str">
        <f t="shared" si="125"/>
        <v>Chennai</v>
      </c>
      <c r="J2021" s="23">
        <f>COUNTIFS(pg_transaction_cleaned!$O:$O,A2021,pg_transaction_cleaned!$F:$F,"CAPTURE")</f>
        <v>1</v>
      </c>
      <c r="K2021" s="39">
        <f>SUMIFS(pg_transaction_cleaned!$H:$H,pg_transaction_cleaned!$O:$O,A2021,pg_transaction_cleaned!$F:$F,"CAPTURE")</f>
        <v>999</v>
      </c>
      <c r="L2021" s="23">
        <f>COUNTIFS(pg_transaction_cleaned!$O:$O,A2021,pg_transaction_cleaned!$F:$F,"REFUND")</f>
        <v>0</v>
      </c>
      <c r="M2021" s="39">
        <f>SUMIFS(pg_transaction_cleaned!$H:$H,pg_transaction_cleaned!$O:$O,A2021,pg_transaction_cleaned!$F:$F,"REFUND")</f>
        <v>0</v>
      </c>
      <c r="N2021" s="23" t="str">
        <f t="shared" si="126"/>
        <v>OK</v>
      </c>
      <c r="O2021" s="24">
        <f t="shared" si="127"/>
        <v>0</v>
      </c>
    </row>
    <row r="2022" spans="1:15" ht="15" customHeight="1" x14ac:dyDescent="0.3">
      <c r="A2022" s="23" t="s">
        <v>4531</v>
      </c>
      <c r="B2022" s="38">
        <v>46280</v>
      </c>
      <c r="C2022" s="23" t="s">
        <v>4532</v>
      </c>
      <c r="D2022" s="23" t="s">
        <v>93</v>
      </c>
      <c r="E2022" s="23" t="s">
        <v>79</v>
      </c>
      <c r="F2022" s="23" t="s">
        <v>268</v>
      </c>
      <c r="G2022" s="23" t="s">
        <v>250</v>
      </c>
      <c r="H2022" s="39">
        <f t="shared" si="124"/>
        <v>1299</v>
      </c>
      <c r="I2022" s="23" t="str">
        <f t="shared" si="125"/>
        <v>Kolkata</v>
      </c>
      <c r="J2022" s="23">
        <f>COUNTIFS(pg_transaction_cleaned!$O:$O,A2022,pg_transaction_cleaned!$F:$F,"CAPTURE")</f>
        <v>1</v>
      </c>
      <c r="K2022" s="39">
        <f>SUMIFS(pg_transaction_cleaned!$H:$H,pg_transaction_cleaned!$O:$O,A2022,pg_transaction_cleaned!$F:$F,"CAPTURE")</f>
        <v>1299</v>
      </c>
      <c r="L2022" s="23">
        <f>COUNTIFS(pg_transaction_cleaned!$O:$O,A2022,pg_transaction_cleaned!$F:$F,"REFUND")</f>
        <v>0</v>
      </c>
      <c r="M2022" s="39">
        <f>SUMIFS(pg_transaction_cleaned!$H:$H,pg_transaction_cleaned!$O:$O,A2022,pg_transaction_cleaned!$F:$F,"REFUND")</f>
        <v>0</v>
      </c>
      <c r="N2022" s="23" t="str">
        <f t="shared" si="126"/>
        <v>OK</v>
      </c>
      <c r="O2022" s="24">
        <f t="shared" si="127"/>
        <v>0</v>
      </c>
    </row>
    <row r="2023" spans="1:15" ht="15" customHeight="1" x14ac:dyDescent="0.3">
      <c r="A2023" s="23" t="s">
        <v>4533</v>
      </c>
      <c r="B2023" s="38">
        <v>46267</v>
      </c>
      <c r="C2023" s="23" t="s">
        <v>4534</v>
      </c>
      <c r="D2023" s="23" t="s">
        <v>87</v>
      </c>
      <c r="E2023" s="23" t="s">
        <v>77</v>
      </c>
      <c r="F2023" s="23" t="s">
        <v>337</v>
      </c>
      <c r="G2023" s="23" t="s">
        <v>250</v>
      </c>
      <c r="H2023" s="39">
        <f t="shared" si="124"/>
        <v>3998</v>
      </c>
      <c r="I2023" s="23" t="str">
        <f t="shared" si="125"/>
        <v>Mumbai</v>
      </c>
      <c r="J2023" s="23">
        <f>COUNTIFS(pg_transaction_cleaned!$O:$O,A2023,pg_transaction_cleaned!$F:$F,"CAPTURE")</f>
        <v>1</v>
      </c>
      <c r="K2023" s="39">
        <f>SUMIFS(pg_transaction_cleaned!$H:$H,pg_transaction_cleaned!$O:$O,A2023,pg_transaction_cleaned!$F:$F,"CAPTURE")</f>
        <v>3998</v>
      </c>
      <c r="L2023" s="23">
        <f>COUNTIFS(pg_transaction_cleaned!$O:$O,A2023,pg_transaction_cleaned!$F:$F,"REFUND")</f>
        <v>0</v>
      </c>
      <c r="M2023" s="39">
        <f>SUMIFS(pg_transaction_cleaned!$H:$H,pg_transaction_cleaned!$O:$O,A2023,pg_transaction_cleaned!$F:$F,"REFUND")</f>
        <v>0</v>
      </c>
      <c r="N2023" s="23" t="str">
        <f t="shared" si="126"/>
        <v>OK</v>
      </c>
      <c r="O2023" s="24">
        <f t="shared" si="127"/>
        <v>0</v>
      </c>
    </row>
    <row r="2024" spans="1:15" ht="15" customHeight="1" x14ac:dyDescent="0.3">
      <c r="A2024" s="23" t="s">
        <v>4535</v>
      </c>
      <c r="B2024" s="38">
        <v>46292</v>
      </c>
      <c r="C2024" s="23" t="s">
        <v>4536</v>
      </c>
      <c r="D2024" s="23" t="s">
        <v>87</v>
      </c>
      <c r="E2024" s="23" t="s">
        <v>75</v>
      </c>
      <c r="F2024" s="23" t="s">
        <v>766</v>
      </c>
      <c r="G2024" s="23" t="s">
        <v>250</v>
      </c>
      <c r="H2024" s="39">
        <f t="shared" si="124"/>
        <v>4197</v>
      </c>
      <c r="I2024" s="23" t="str">
        <f t="shared" si="125"/>
        <v>Mumbai</v>
      </c>
      <c r="J2024" s="23">
        <f>COUNTIFS(pg_transaction_cleaned!$O:$O,A2024,pg_transaction_cleaned!$F:$F,"CAPTURE")</f>
        <v>1</v>
      </c>
      <c r="K2024" s="39">
        <f>SUMIFS(pg_transaction_cleaned!$H:$H,pg_transaction_cleaned!$O:$O,A2024,pg_transaction_cleaned!$F:$F,"CAPTURE")</f>
        <v>4197</v>
      </c>
      <c r="L2024" s="23">
        <f>COUNTIFS(pg_transaction_cleaned!$O:$O,A2024,pg_transaction_cleaned!$F:$F,"REFUND")</f>
        <v>0</v>
      </c>
      <c r="M2024" s="39">
        <f>SUMIFS(pg_transaction_cleaned!$H:$H,pg_transaction_cleaned!$O:$O,A2024,pg_transaction_cleaned!$F:$F,"REFUND")</f>
        <v>0</v>
      </c>
      <c r="N2024" s="23" t="str">
        <f t="shared" si="126"/>
        <v>OK</v>
      </c>
      <c r="O2024" s="24">
        <f t="shared" si="127"/>
        <v>0</v>
      </c>
    </row>
    <row r="2025" spans="1:15" ht="15" customHeight="1" x14ac:dyDescent="0.3">
      <c r="A2025" s="23" t="s">
        <v>4537</v>
      </c>
      <c r="B2025" s="38">
        <v>46276</v>
      </c>
      <c r="C2025" s="23" t="s">
        <v>4538</v>
      </c>
      <c r="D2025" s="23" t="s">
        <v>95</v>
      </c>
      <c r="E2025" s="23" t="s">
        <v>79</v>
      </c>
      <c r="F2025" s="23" t="s">
        <v>340</v>
      </c>
      <c r="G2025" s="23" t="s">
        <v>250</v>
      </c>
      <c r="H2025" s="39">
        <f t="shared" si="124"/>
        <v>6298</v>
      </c>
      <c r="I2025" s="23" t="str">
        <f t="shared" si="125"/>
        <v>Bengaluru</v>
      </c>
      <c r="J2025" s="23">
        <f>COUNTIFS(pg_transaction_cleaned!$O:$O,A2025,pg_transaction_cleaned!$F:$F,"CAPTURE")</f>
        <v>1</v>
      </c>
      <c r="K2025" s="39">
        <f>SUMIFS(pg_transaction_cleaned!$H:$H,pg_transaction_cleaned!$O:$O,A2025,pg_transaction_cleaned!$F:$F,"CAPTURE")</f>
        <v>6298</v>
      </c>
      <c r="L2025" s="23">
        <f>COUNTIFS(pg_transaction_cleaned!$O:$O,A2025,pg_transaction_cleaned!$F:$F,"REFUND")</f>
        <v>0</v>
      </c>
      <c r="M2025" s="39">
        <f>SUMIFS(pg_transaction_cleaned!$H:$H,pg_transaction_cleaned!$O:$O,A2025,pg_transaction_cleaned!$F:$F,"REFUND")</f>
        <v>0</v>
      </c>
      <c r="N2025" s="23" t="str">
        <f t="shared" si="126"/>
        <v>OK</v>
      </c>
      <c r="O2025" s="24">
        <f t="shared" si="127"/>
        <v>0</v>
      </c>
    </row>
    <row r="2026" spans="1:15" ht="15" customHeight="1" x14ac:dyDescent="0.3">
      <c r="A2026" s="23" t="s">
        <v>4539</v>
      </c>
      <c r="B2026" s="38">
        <v>46285</v>
      </c>
      <c r="C2026" s="23" t="s">
        <v>4540</v>
      </c>
      <c r="D2026" s="23" t="s">
        <v>94</v>
      </c>
      <c r="E2026" s="23" t="s">
        <v>75</v>
      </c>
      <c r="F2026" s="23" t="s">
        <v>343</v>
      </c>
      <c r="G2026" s="23" t="s">
        <v>250</v>
      </c>
      <c r="H2026" s="39">
        <f t="shared" si="124"/>
        <v>9498</v>
      </c>
      <c r="I2026" s="23" t="str">
        <f t="shared" si="125"/>
        <v>Chennai</v>
      </c>
      <c r="J2026" s="23">
        <f>COUNTIFS(pg_transaction_cleaned!$O:$O,A2026,pg_transaction_cleaned!$F:$F,"CAPTURE")</f>
        <v>1</v>
      </c>
      <c r="K2026" s="39">
        <f>SUMIFS(pg_transaction_cleaned!$H:$H,pg_transaction_cleaned!$O:$O,A2026,pg_transaction_cleaned!$F:$F,"CAPTURE")</f>
        <v>9498</v>
      </c>
      <c r="L2026" s="23">
        <f>COUNTIFS(pg_transaction_cleaned!$O:$O,A2026,pg_transaction_cleaned!$F:$F,"REFUND")</f>
        <v>0</v>
      </c>
      <c r="M2026" s="39">
        <f>SUMIFS(pg_transaction_cleaned!$H:$H,pg_transaction_cleaned!$O:$O,A2026,pg_transaction_cleaned!$F:$F,"REFUND")</f>
        <v>0</v>
      </c>
      <c r="N2026" s="23" t="str">
        <f t="shared" si="126"/>
        <v>OK</v>
      </c>
      <c r="O2026" s="24">
        <f t="shared" si="127"/>
        <v>0</v>
      </c>
    </row>
    <row r="2027" spans="1:15" ht="15" customHeight="1" x14ac:dyDescent="0.3">
      <c r="A2027" s="23" t="s">
        <v>4541</v>
      </c>
      <c r="B2027" s="38">
        <v>46289</v>
      </c>
      <c r="C2027" s="23" t="s">
        <v>4542</v>
      </c>
      <c r="D2027" s="23" t="s">
        <v>93</v>
      </c>
      <c r="E2027" s="23" t="s">
        <v>77</v>
      </c>
      <c r="F2027" s="23" t="s">
        <v>499</v>
      </c>
      <c r="G2027" s="23" t="s">
        <v>250</v>
      </c>
      <c r="H2027" s="39">
        <f t="shared" si="124"/>
        <v>5998</v>
      </c>
      <c r="I2027" s="23" t="str">
        <f t="shared" si="125"/>
        <v>Kolkata</v>
      </c>
      <c r="J2027" s="23">
        <f>COUNTIFS(pg_transaction_cleaned!$O:$O,A2027,pg_transaction_cleaned!$F:$F,"CAPTURE")</f>
        <v>0</v>
      </c>
      <c r="K2027" s="39">
        <f>SUMIFS(pg_transaction_cleaned!$H:$H,pg_transaction_cleaned!$O:$O,A2027,pg_transaction_cleaned!$F:$F,"CAPTURE")</f>
        <v>0</v>
      </c>
      <c r="L2027" s="23">
        <f>COUNTIFS(pg_transaction_cleaned!$O:$O,A2027,pg_transaction_cleaned!$F:$F,"REFUND")</f>
        <v>0</v>
      </c>
      <c r="M2027" s="39">
        <f>SUMIFS(pg_transaction_cleaned!$H:$H,pg_transaction_cleaned!$O:$O,A2027,pg_transaction_cleaned!$F:$F,"REFUND")</f>
        <v>0</v>
      </c>
      <c r="N2027" s="23" t="str">
        <f t="shared" si="126"/>
        <v>Paid, no payment</v>
      </c>
      <c r="O2027" s="24">
        <f t="shared" si="127"/>
        <v>5998</v>
      </c>
    </row>
    <row r="2028" spans="1:15" ht="15" customHeight="1" x14ac:dyDescent="0.3">
      <c r="A2028" s="23" t="s">
        <v>4543</v>
      </c>
      <c r="B2028" s="38">
        <v>46288</v>
      </c>
      <c r="C2028" s="23" t="s">
        <v>4544</v>
      </c>
      <c r="D2028" s="23" t="s">
        <v>91</v>
      </c>
      <c r="E2028" s="23" t="s">
        <v>79</v>
      </c>
      <c r="F2028" s="23" t="s">
        <v>1391</v>
      </c>
      <c r="G2028" s="23" t="s">
        <v>301</v>
      </c>
      <c r="H2028" s="39">
        <f t="shared" si="124"/>
        <v>2897</v>
      </c>
      <c r="I2028" s="23" t="str">
        <f t="shared" si="125"/>
        <v>Pune</v>
      </c>
      <c r="J2028" s="23">
        <f>COUNTIFS(pg_transaction_cleaned!$O:$O,A2028,pg_transaction_cleaned!$F:$F,"CAPTURE")</f>
        <v>1</v>
      </c>
      <c r="K2028" s="39">
        <f>SUMIFS(pg_transaction_cleaned!$H:$H,pg_transaction_cleaned!$O:$O,A2028,pg_transaction_cleaned!$F:$F,"CAPTURE")</f>
        <v>2897</v>
      </c>
      <c r="L2028" s="23">
        <f>COUNTIFS(pg_transaction_cleaned!$O:$O,A2028,pg_transaction_cleaned!$F:$F,"REFUND")</f>
        <v>1</v>
      </c>
      <c r="M2028" s="39">
        <f>SUMIFS(pg_transaction_cleaned!$H:$H,pg_transaction_cleaned!$O:$O,A2028,pg_transaction_cleaned!$F:$F,"REFUND")</f>
        <v>2897</v>
      </c>
      <c r="N2028" s="23" t="str">
        <f t="shared" si="126"/>
        <v>OK</v>
      </c>
      <c r="O2028" s="24">
        <f t="shared" si="127"/>
        <v>0</v>
      </c>
    </row>
    <row r="2029" spans="1:15" ht="15" customHeight="1" x14ac:dyDescent="0.3">
      <c r="A2029" s="23" t="s">
        <v>4545</v>
      </c>
      <c r="B2029" s="38">
        <v>46267</v>
      </c>
      <c r="C2029" s="23" t="s">
        <v>4546</v>
      </c>
      <c r="D2029" s="23" t="s">
        <v>90</v>
      </c>
      <c r="E2029" s="23" t="s">
        <v>77</v>
      </c>
      <c r="F2029" s="23" t="s">
        <v>1038</v>
      </c>
      <c r="G2029" s="23" t="s">
        <v>250</v>
      </c>
      <c r="H2029" s="39">
        <f t="shared" si="124"/>
        <v>3597</v>
      </c>
      <c r="I2029" s="23" t="str">
        <f t="shared" si="125"/>
        <v>Ahmedabad</v>
      </c>
      <c r="J2029" s="23">
        <f>COUNTIFS(pg_transaction_cleaned!$O:$O,A2029,pg_transaction_cleaned!$F:$F,"CAPTURE")</f>
        <v>1</v>
      </c>
      <c r="K2029" s="39">
        <f>SUMIFS(pg_transaction_cleaned!$H:$H,pg_transaction_cleaned!$O:$O,A2029,pg_transaction_cleaned!$F:$F,"CAPTURE")</f>
        <v>3597</v>
      </c>
      <c r="L2029" s="23">
        <f>COUNTIFS(pg_transaction_cleaned!$O:$O,A2029,pg_transaction_cleaned!$F:$F,"REFUND")</f>
        <v>0</v>
      </c>
      <c r="M2029" s="39">
        <f>SUMIFS(pg_transaction_cleaned!$H:$H,pg_transaction_cleaned!$O:$O,A2029,pg_transaction_cleaned!$F:$F,"REFUND")</f>
        <v>0</v>
      </c>
      <c r="N2029" s="23" t="str">
        <f t="shared" si="126"/>
        <v>OK</v>
      </c>
      <c r="O2029" s="24">
        <f t="shared" si="127"/>
        <v>0</v>
      </c>
    </row>
    <row r="2030" spans="1:15" ht="15" customHeight="1" x14ac:dyDescent="0.3">
      <c r="A2030" s="23" t="s">
        <v>4547</v>
      </c>
      <c r="B2030" s="38">
        <v>46270</v>
      </c>
      <c r="C2030" s="23" t="s">
        <v>4548</v>
      </c>
      <c r="D2030" s="23" t="s">
        <v>88</v>
      </c>
      <c r="E2030" s="23" t="s">
        <v>81</v>
      </c>
      <c r="F2030" s="23" t="s">
        <v>1647</v>
      </c>
      <c r="G2030" s="23" t="s">
        <v>250</v>
      </c>
      <c r="H2030" s="39">
        <f t="shared" si="124"/>
        <v>6347</v>
      </c>
      <c r="I2030" s="23" t="str">
        <f t="shared" si="125"/>
        <v>Lucknow</v>
      </c>
      <c r="J2030" s="23">
        <f>COUNTIFS(pg_transaction_cleaned!$O:$O,A2030,pg_transaction_cleaned!$F:$F,"CAPTURE")</f>
        <v>1</v>
      </c>
      <c r="K2030" s="39">
        <f>SUMIFS(pg_transaction_cleaned!$H:$H,pg_transaction_cleaned!$O:$O,A2030,pg_transaction_cleaned!$F:$F,"CAPTURE")</f>
        <v>6347</v>
      </c>
      <c r="L2030" s="23">
        <f>COUNTIFS(pg_transaction_cleaned!$O:$O,A2030,pg_transaction_cleaned!$F:$F,"REFUND")</f>
        <v>0</v>
      </c>
      <c r="M2030" s="39">
        <f>SUMIFS(pg_transaction_cleaned!$H:$H,pg_transaction_cleaned!$O:$O,A2030,pg_transaction_cleaned!$F:$F,"REFUND")</f>
        <v>0</v>
      </c>
      <c r="N2030" s="23" t="str">
        <f t="shared" si="126"/>
        <v>OK</v>
      </c>
      <c r="O2030" s="24">
        <f t="shared" si="127"/>
        <v>0</v>
      </c>
    </row>
    <row r="2031" spans="1:15" ht="15" customHeight="1" x14ac:dyDescent="0.3">
      <c r="A2031" s="23" t="s">
        <v>4549</v>
      </c>
      <c r="B2031" s="38">
        <v>46275</v>
      </c>
      <c r="C2031" s="23" t="s">
        <v>4550</v>
      </c>
      <c r="D2031" s="23" t="s">
        <v>89</v>
      </c>
      <c r="E2031" s="23" t="s">
        <v>75</v>
      </c>
      <c r="F2031" s="23" t="s">
        <v>4551</v>
      </c>
      <c r="G2031" s="23" t="s">
        <v>250</v>
      </c>
      <c r="H2031" s="39">
        <f t="shared" si="124"/>
        <v>2398</v>
      </c>
      <c r="I2031" s="23" t="str">
        <f t="shared" si="125"/>
        <v>Jaipur</v>
      </c>
      <c r="J2031" s="23">
        <f>COUNTIFS(pg_transaction_cleaned!$O:$O,A2031,pg_transaction_cleaned!$F:$F,"CAPTURE")</f>
        <v>1</v>
      </c>
      <c r="K2031" s="39">
        <f>SUMIFS(pg_transaction_cleaned!$H:$H,pg_transaction_cleaned!$O:$O,A2031,pg_transaction_cleaned!$F:$F,"CAPTURE")</f>
        <v>2398</v>
      </c>
      <c r="L2031" s="23">
        <f>COUNTIFS(pg_transaction_cleaned!$O:$O,A2031,pg_transaction_cleaned!$F:$F,"REFUND")</f>
        <v>0</v>
      </c>
      <c r="M2031" s="39">
        <f>SUMIFS(pg_transaction_cleaned!$H:$H,pg_transaction_cleaned!$O:$O,A2031,pg_transaction_cleaned!$F:$F,"REFUND")</f>
        <v>0</v>
      </c>
      <c r="N2031" s="23" t="str">
        <f t="shared" si="126"/>
        <v>OK</v>
      </c>
      <c r="O2031" s="24">
        <f t="shared" si="127"/>
        <v>0</v>
      </c>
    </row>
    <row r="2032" spans="1:15" ht="15" customHeight="1" x14ac:dyDescent="0.3">
      <c r="A2032" s="23" t="s">
        <v>4552</v>
      </c>
      <c r="B2032" s="38">
        <v>46290</v>
      </c>
      <c r="C2032" s="23" t="s">
        <v>4553</v>
      </c>
      <c r="D2032" s="23" t="s">
        <v>91</v>
      </c>
      <c r="E2032" s="23" t="s">
        <v>79</v>
      </c>
      <c r="F2032" s="23" t="s">
        <v>1662</v>
      </c>
      <c r="G2032" s="23" t="s">
        <v>250</v>
      </c>
      <c r="H2032" s="39">
        <f t="shared" si="124"/>
        <v>4397</v>
      </c>
      <c r="I2032" s="23" t="str">
        <f t="shared" si="125"/>
        <v>Pune</v>
      </c>
      <c r="J2032" s="23">
        <f>COUNTIFS(pg_transaction_cleaned!$O:$O,A2032,pg_transaction_cleaned!$F:$F,"CAPTURE")</f>
        <v>1</v>
      </c>
      <c r="K2032" s="39">
        <f>SUMIFS(pg_transaction_cleaned!$H:$H,pg_transaction_cleaned!$O:$O,A2032,pg_transaction_cleaned!$F:$F,"CAPTURE")</f>
        <v>4397</v>
      </c>
      <c r="L2032" s="23">
        <f>COUNTIFS(pg_transaction_cleaned!$O:$O,A2032,pg_transaction_cleaned!$F:$F,"REFUND")</f>
        <v>0</v>
      </c>
      <c r="M2032" s="39">
        <f>SUMIFS(pg_transaction_cleaned!$H:$H,pg_transaction_cleaned!$O:$O,A2032,pg_transaction_cleaned!$F:$F,"REFUND")</f>
        <v>0</v>
      </c>
      <c r="N2032" s="23" t="str">
        <f t="shared" si="126"/>
        <v>OK</v>
      </c>
      <c r="O2032" s="24">
        <f t="shared" si="127"/>
        <v>0</v>
      </c>
    </row>
    <row r="2033" spans="1:15" ht="15" customHeight="1" x14ac:dyDescent="0.3">
      <c r="A2033" s="23" t="s">
        <v>4554</v>
      </c>
      <c r="B2033" s="38">
        <v>46293</v>
      </c>
      <c r="C2033" s="23" t="s">
        <v>4555</v>
      </c>
      <c r="D2033" s="23"/>
      <c r="E2033" s="23" t="s">
        <v>75</v>
      </c>
      <c r="F2033" s="23" t="s">
        <v>787</v>
      </c>
      <c r="G2033" s="23" t="s">
        <v>318</v>
      </c>
      <c r="H2033" s="39">
        <f t="shared" si="124"/>
        <v>7997</v>
      </c>
      <c r="I2033" s="23" t="str">
        <f t="shared" si="125"/>
        <v>Unknown</v>
      </c>
      <c r="J2033" s="23">
        <f>COUNTIFS(pg_transaction_cleaned!$O:$O,A2033,pg_transaction_cleaned!$F:$F,"CAPTURE")</f>
        <v>0</v>
      </c>
      <c r="K2033" s="39">
        <f>SUMIFS(pg_transaction_cleaned!$H:$H,pg_transaction_cleaned!$O:$O,A2033,pg_transaction_cleaned!$F:$F,"CAPTURE")</f>
        <v>0</v>
      </c>
      <c r="L2033" s="23">
        <f>COUNTIFS(pg_transaction_cleaned!$O:$O,A2033,pg_transaction_cleaned!$F:$F,"REFUND")</f>
        <v>0</v>
      </c>
      <c r="M2033" s="39">
        <f>SUMIFS(pg_transaction_cleaned!$H:$H,pg_transaction_cleaned!$O:$O,A2033,pg_transaction_cleaned!$F:$F,"REFUND")</f>
        <v>0</v>
      </c>
      <c r="N2033" s="23" t="str">
        <f t="shared" si="126"/>
        <v>OK</v>
      </c>
      <c r="O2033" s="24">
        <f t="shared" si="127"/>
        <v>0</v>
      </c>
    </row>
    <row r="2034" spans="1:15" ht="15" customHeight="1" x14ac:dyDescent="0.3">
      <c r="A2034" s="23" t="s">
        <v>4556</v>
      </c>
      <c r="B2034" s="38">
        <v>46271</v>
      </c>
      <c r="C2034" s="23" t="s">
        <v>4557</v>
      </c>
      <c r="D2034" s="23" t="s">
        <v>92</v>
      </c>
      <c r="E2034" s="23" t="s">
        <v>75</v>
      </c>
      <c r="F2034" s="23" t="s">
        <v>315</v>
      </c>
      <c r="G2034" s="23" t="s">
        <v>250</v>
      </c>
      <c r="H2034" s="39">
        <f t="shared" si="124"/>
        <v>1499</v>
      </c>
      <c r="I2034" s="23" t="str">
        <f t="shared" si="125"/>
        <v>Hyderabad</v>
      </c>
      <c r="J2034" s="23">
        <f>COUNTIFS(pg_transaction_cleaned!$O:$O,A2034,pg_transaction_cleaned!$F:$F,"CAPTURE")</f>
        <v>1</v>
      </c>
      <c r="K2034" s="39">
        <f>SUMIFS(pg_transaction_cleaned!$H:$H,pg_transaction_cleaned!$O:$O,A2034,pg_transaction_cleaned!$F:$F,"CAPTURE")</f>
        <v>1499</v>
      </c>
      <c r="L2034" s="23">
        <f>COUNTIFS(pg_transaction_cleaned!$O:$O,A2034,pg_transaction_cleaned!$F:$F,"REFUND")</f>
        <v>0</v>
      </c>
      <c r="M2034" s="39">
        <f>SUMIFS(pg_transaction_cleaned!$H:$H,pg_transaction_cleaned!$O:$O,A2034,pg_transaction_cleaned!$F:$F,"REFUND")</f>
        <v>0</v>
      </c>
      <c r="N2034" s="23" t="str">
        <f t="shared" si="126"/>
        <v>OK</v>
      </c>
      <c r="O2034" s="24">
        <f t="shared" si="127"/>
        <v>0</v>
      </c>
    </row>
    <row r="2035" spans="1:15" ht="15" customHeight="1" x14ac:dyDescent="0.3">
      <c r="A2035" s="23" t="s">
        <v>4558</v>
      </c>
      <c r="B2035" s="38">
        <v>46274</v>
      </c>
      <c r="C2035" s="23" t="s">
        <v>4559</v>
      </c>
      <c r="D2035" s="23" t="s">
        <v>93</v>
      </c>
      <c r="E2035" s="23" t="s">
        <v>79</v>
      </c>
      <c r="F2035" s="23" t="s">
        <v>307</v>
      </c>
      <c r="G2035" s="23" t="s">
        <v>250</v>
      </c>
      <c r="H2035" s="39">
        <f t="shared" si="124"/>
        <v>3798</v>
      </c>
      <c r="I2035" s="23" t="str">
        <f t="shared" si="125"/>
        <v>Kolkata</v>
      </c>
      <c r="J2035" s="23">
        <f>COUNTIFS(pg_transaction_cleaned!$O:$O,A2035,pg_transaction_cleaned!$F:$F,"CAPTURE")</f>
        <v>1</v>
      </c>
      <c r="K2035" s="39">
        <f>SUMIFS(pg_transaction_cleaned!$H:$H,pg_transaction_cleaned!$O:$O,A2035,pg_transaction_cleaned!$F:$F,"CAPTURE")</f>
        <v>3798</v>
      </c>
      <c r="L2035" s="23">
        <f>COUNTIFS(pg_transaction_cleaned!$O:$O,A2035,pg_transaction_cleaned!$F:$F,"REFUND")</f>
        <v>0</v>
      </c>
      <c r="M2035" s="39">
        <f>SUMIFS(pg_transaction_cleaned!$H:$H,pg_transaction_cleaned!$O:$O,A2035,pg_transaction_cleaned!$F:$F,"REFUND")</f>
        <v>0</v>
      </c>
      <c r="N2035" s="23" t="str">
        <f t="shared" si="126"/>
        <v>OK</v>
      </c>
      <c r="O2035" s="24">
        <f t="shared" si="127"/>
        <v>0</v>
      </c>
    </row>
    <row r="2036" spans="1:15" ht="15" customHeight="1" x14ac:dyDescent="0.3">
      <c r="A2036" s="23" t="s">
        <v>4560</v>
      </c>
      <c r="B2036" s="38">
        <v>46291</v>
      </c>
      <c r="C2036" s="23" t="s">
        <v>4561</v>
      </c>
      <c r="D2036" s="23" t="s">
        <v>94</v>
      </c>
      <c r="E2036" s="23" t="s">
        <v>75</v>
      </c>
      <c r="F2036" s="23" t="s">
        <v>717</v>
      </c>
      <c r="G2036" s="23" t="s">
        <v>250</v>
      </c>
      <c r="H2036" s="39">
        <f t="shared" si="124"/>
        <v>5298</v>
      </c>
      <c r="I2036" s="23" t="str">
        <f t="shared" si="125"/>
        <v>Chennai</v>
      </c>
      <c r="J2036" s="23">
        <f>COUNTIFS(pg_transaction_cleaned!$O:$O,A2036,pg_transaction_cleaned!$F:$F,"CAPTURE")</f>
        <v>1</v>
      </c>
      <c r="K2036" s="39">
        <f>SUMIFS(pg_transaction_cleaned!$H:$H,pg_transaction_cleaned!$O:$O,A2036,pg_transaction_cleaned!$F:$F,"CAPTURE")</f>
        <v>5298</v>
      </c>
      <c r="L2036" s="23">
        <f>COUNTIFS(pg_transaction_cleaned!$O:$O,A2036,pg_transaction_cleaned!$F:$F,"REFUND")</f>
        <v>0</v>
      </c>
      <c r="M2036" s="39">
        <f>SUMIFS(pg_transaction_cleaned!$H:$H,pg_transaction_cleaned!$O:$O,A2036,pg_transaction_cleaned!$F:$F,"REFUND")</f>
        <v>0</v>
      </c>
      <c r="N2036" s="23" t="str">
        <f t="shared" si="126"/>
        <v>OK</v>
      </c>
      <c r="O2036" s="24">
        <f t="shared" si="127"/>
        <v>0</v>
      </c>
    </row>
    <row r="2037" spans="1:15" ht="15" customHeight="1" x14ac:dyDescent="0.3">
      <c r="A2037" s="23" t="s">
        <v>4562</v>
      </c>
      <c r="B2037" s="38">
        <v>46266</v>
      </c>
      <c r="C2037" s="23" t="s">
        <v>4563</v>
      </c>
      <c r="D2037" s="23" t="s">
        <v>89</v>
      </c>
      <c r="E2037" s="23" t="s">
        <v>81</v>
      </c>
      <c r="F2037" s="23" t="s">
        <v>357</v>
      </c>
      <c r="G2037" s="23" t="s">
        <v>318</v>
      </c>
      <c r="H2037" s="39">
        <f t="shared" si="124"/>
        <v>1598</v>
      </c>
      <c r="I2037" s="23" t="str">
        <f t="shared" si="125"/>
        <v>Jaipur</v>
      </c>
      <c r="J2037" s="23">
        <f>COUNTIFS(pg_transaction_cleaned!$O:$O,A2037,pg_transaction_cleaned!$F:$F,"CAPTURE")</f>
        <v>0</v>
      </c>
      <c r="K2037" s="39">
        <f>SUMIFS(pg_transaction_cleaned!$H:$H,pg_transaction_cleaned!$O:$O,A2037,pg_transaction_cleaned!$F:$F,"CAPTURE")</f>
        <v>0</v>
      </c>
      <c r="L2037" s="23">
        <f>COUNTIFS(pg_transaction_cleaned!$O:$O,A2037,pg_transaction_cleaned!$F:$F,"REFUND")</f>
        <v>0</v>
      </c>
      <c r="M2037" s="39">
        <f>SUMIFS(pg_transaction_cleaned!$H:$H,pg_transaction_cleaned!$O:$O,A2037,pg_transaction_cleaned!$F:$F,"REFUND")</f>
        <v>0</v>
      </c>
      <c r="N2037" s="23" t="str">
        <f t="shared" si="126"/>
        <v>OK</v>
      </c>
      <c r="O2037" s="24">
        <f t="shared" si="127"/>
        <v>0</v>
      </c>
    </row>
    <row r="2038" spans="1:15" ht="15" customHeight="1" x14ac:dyDescent="0.3">
      <c r="A2038" s="23" t="s">
        <v>4564</v>
      </c>
      <c r="B2038" s="38">
        <v>46281</v>
      </c>
      <c r="C2038" s="23" t="s">
        <v>4565</v>
      </c>
      <c r="D2038" s="23" t="s">
        <v>88</v>
      </c>
      <c r="E2038" s="23" t="s">
        <v>75</v>
      </c>
      <c r="F2038" s="23" t="s">
        <v>271</v>
      </c>
      <c r="G2038" s="23" t="s">
        <v>250</v>
      </c>
      <c r="H2038" s="39">
        <f t="shared" si="124"/>
        <v>2499</v>
      </c>
      <c r="I2038" s="23" t="str">
        <f t="shared" si="125"/>
        <v>Lucknow</v>
      </c>
      <c r="J2038" s="23">
        <f>COUNTIFS(pg_transaction_cleaned!$O:$O,A2038,pg_transaction_cleaned!$F:$F,"CAPTURE")</f>
        <v>1</v>
      </c>
      <c r="K2038" s="39">
        <f>SUMIFS(pg_transaction_cleaned!$H:$H,pg_transaction_cleaned!$O:$O,A2038,pg_transaction_cleaned!$F:$F,"CAPTURE")</f>
        <v>2499</v>
      </c>
      <c r="L2038" s="23">
        <f>COUNTIFS(pg_transaction_cleaned!$O:$O,A2038,pg_transaction_cleaned!$F:$F,"REFUND")</f>
        <v>0</v>
      </c>
      <c r="M2038" s="39">
        <f>SUMIFS(pg_transaction_cleaned!$H:$H,pg_transaction_cleaned!$O:$O,A2038,pg_transaction_cleaned!$F:$F,"REFUND")</f>
        <v>0</v>
      </c>
      <c r="N2038" s="23" t="str">
        <f t="shared" si="126"/>
        <v>OK</v>
      </c>
      <c r="O2038" s="24">
        <f t="shared" si="127"/>
        <v>0</v>
      </c>
    </row>
    <row r="2039" spans="1:15" ht="15" customHeight="1" x14ac:dyDescent="0.3">
      <c r="A2039" s="23" t="s">
        <v>4566</v>
      </c>
      <c r="B2039" s="38">
        <v>46268</v>
      </c>
      <c r="C2039" s="23" t="s">
        <v>4567</v>
      </c>
      <c r="D2039" s="23" t="s">
        <v>88</v>
      </c>
      <c r="E2039" s="23" t="s">
        <v>79</v>
      </c>
      <c r="F2039" s="23" t="s">
        <v>2612</v>
      </c>
      <c r="G2039" s="23" t="s">
        <v>250</v>
      </c>
      <c r="H2039" s="39">
        <f t="shared" si="124"/>
        <v>5348</v>
      </c>
      <c r="I2039" s="23" t="str">
        <f t="shared" si="125"/>
        <v>Lucknow</v>
      </c>
      <c r="J2039" s="23">
        <f>COUNTIFS(pg_transaction_cleaned!$O:$O,A2039,pg_transaction_cleaned!$F:$F,"CAPTURE")</f>
        <v>1</v>
      </c>
      <c r="K2039" s="39">
        <f>SUMIFS(pg_transaction_cleaned!$H:$H,pg_transaction_cleaned!$O:$O,A2039,pg_transaction_cleaned!$F:$F,"CAPTURE")</f>
        <v>5348</v>
      </c>
      <c r="L2039" s="23">
        <f>COUNTIFS(pg_transaction_cleaned!$O:$O,A2039,pg_transaction_cleaned!$F:$F,"REFUND")</f>
        <v>0</v>
      </c>
      <c r="M2039" s="39">
        <f>SUMIFS(pg_transaction_cleaned!$H:$H,pg_transaction_cleaned!$O:$O,A2039,pg_transaction_cleaned!$F:$F,"REFUND")</f>
        <v>0</v>
      </c>
      <c r="N2039" s="23" t="str">
        <f t="shared" si="126"/>
        <v>OK</v>
      </c>
      <c r="O2039" s="24">
        <f t="shared" si="127"/>
        <v>0</v>
      </c>
    </row>
    <row r="2040" spans="1:15" ht="15" customHeight="1" x14ac:dyDescent="0.3">
      <c r="A2040" s="23" t="s">
        <v>4568</v>
      </c>
      <c r="B2040" s="38">
        <v>46295</v>
      </c>
      <c r="C2040" s="23" t="s">
        <v>4569</v>
      </c>
      <c r="D2040" s="23" t="s">
        <v>93</v>
      </c>
      <c r="E2040" s="23" t="s">
        <v>79</v>
      </c>
      <c r="F2040" s="23" t="s">
        <v>438</v>
      </c>
      <c r="G2040" s="23" t="s">
        <v>301</v>
      </c>
      <c r="H2040" s="39">
        <f t="shared" si="124"/>
        <v>5498</v>
      </c>
      <c r="I2040" s="23" t="str">
        <f t="shared" si="125"/>
        <v>Kolkata</v>
      </c>
      <c r="J2040" s="23">
        <f>COUNTIFS(pg_transaction_cleaned!$O:$O,A2040,pg_transaction_cleaned!$F:$F,"CAPTURE")</f>
        <v>1</v>
      </c>
      <c r="K2040" s="39">
        <f>SUMIFS(pg_transaction_cleaned!$H:$H,pg_transaction_cleaned!$O:$O,A2040,pg_transaction_cleaned!$F:$F,"CAPTURE")</f>
        <v>5498</v>
      </c>
      <c r="L2040" s="23">
        <f>COUNTIFS(pg_transaction_cleaned!$O:$O,A2040,pg_transaction_cleaned!$F:$F,"REFUND")</f>
        <v>1</v>
      </c>
      <c r="M2040" s="39">
        <f>SUMIFS(pg_transaction_cleaned!$H:$H,pg_transaction_cleaned!$O:$O,A2040,pg_transaction_cleaned!$F:$F,"REFUND")</f>
        <v>5498</v>
      </c>
      <c r="N2040" s="23" t="str">
        <f t="shared" si="126"/>
        <v>OK</v>
      </c>
      <c r="O2040" s="24">
        <f t="shared" si="127"/>
        <v>0</v>
      </c>
    </row>
    <row r="2041" spans="1:15" ht="15" customHeight="1" x14ac:dyDescent="0.3">
      <c r="A2041" s="23" t="s">
        <v>4570</v>
      </c>
      <c r="B2041" s="38">
        <v>46292</v>
      </c>
      <c r="C2041" s="23" t="s">
        <v>4571</v>
      </c>
      <c r="D2041" s="23" t="s">
        <v>94</v>
      </c>
      <c r="E2041" s="23" t="s">
        <v>77</v>
      </c>
      <c r="F2041" s="23" t="s">
        <v>315</v>
      </c>
      <c r="G2041" s="23" t="s">
        <v>250</v>
      </c>
      <c r="H2041" s="39">
        <f t="shared" si="124"/>
        <v>1499</v>
      </c>
      <c r="I2041" s="23" t="str">
        <f t="shared" si="125"/>
        <v>Chennai</v>
      </c>
      <c r="J2041" s="23">
        <f>COUNTIFS(pg_transaction_cleaned!$O:$O,A2041,pg_transaction_cleaned!$F:$F,"CAPTURE")</f>
        <v>1</v>
      </c>
      <c r="K2041" s="39">
        <f>SUMIFS(pg_transaction_cleaned!$H:$H,pg_transaction_cleaned!$O:$O,A2041,pg_transaction_cleaned!$F:$F,"CAPTURE")</f>
        <v>1499</v>
      </c>
      <c r="L2041" s="23">
        <f>COUNTIFS(pg_transaction_cleaned!$O:$O,A2041,pg_transaction_cleaned!$F:$F,"REFUND")</f>
        <v>0</v>
      </c>
      <c r="M2041" s="39">
        <f>SUMIFS(pg_transaction_cleaned!$H:$H,pg_transaction_cleaned!$O:$O,A2041,pg_transaction_cleaned!$F:$F,"REFUND")</f>
        <v>0</v>
      </c>
      <c r="N2041" s="23" t="str">
        <f t="shared" si="126"/>
        <v>OK</v>
      </c>
      <c r="O2041" s="24">
        <f t="shared" si="127"/>
        <v>0</v>
      </c>
    </row>
    <row r="2042" spans="1:15" ht="15" customHeight="1" x14ac:dyDescent="0.3">
      <c r="A2042" s="23" t="s">
        <v>4572</v>
      </c>
      <c r="B2042" s="38">
        <v>46268</v>
      </c>
      <c r="C2042" s="23" t="s">
        <v>4573</v>
      </c>
      <c r="D2042" s="23" t="s">
        <v>87</v>
      </c>
      <c r="E2042" s="23" t="s">
        <v>75</v>
      </c>
      <c r="F2042" s="23" t="s">
        <v>396</v>
      </c>
      <c r="G2042" s="23" t="s">
        <v>250</v>
      </c>
      <c r="H2042" s="39">
        <f t="shared" si="124"/>
        <v>2999</v>
      </c>
      <c r="I2042" s="23" t="str">
        <f t="shared" si="125"/>
        <v>Mumbai</v>
      </c>
      <c r="J2042" s="23">
        <f>COUNTIFS(pg_transaction_cleaned!$O:$O,A2042,pg_transaction_cleaned!$F:$F,"CAPTURE")</f>
        <v>1</v>
      </c>
      <c r="K2042" s="39">
        <f>SUMIFS(pg_transaction_cleaned!$H:$H,pg_transaction_cleaned!$O:$O,A2042,pg_transaction_cleaned!$F:$F,"CAPTURE")</f>
        <v>2999</v>
      </c>
      <c r="L2042" s="23">
        <f>COUNTIFS(pg_transaction_cleaned!$O:$O,A2042,pg_transaction_cleaned!$F:$F,"REFUND")</f>
        <v>0</v>
      </c>
      <c r="M2042" s="39">
        <f>SUMIFS(pg_transaction_cleaned!$H:$H,pg_transaction_cleaned!$O:$O,A2042,pg_transaction_cleaned!$F:$F,"REFUND")</f>
        <v>0</v>
      </c>
      <c r="N2042" s="23" t="str">
        <f t="shared" si="126"/>
        <v>OK</v>
      </c>
      <c r="O2042" s="24">
        <f t="shared" si="127"/>
        <v>0</v>
      </c>
    </row>
    <row r="2043" spans="1:15" ht="15" customHeight="1" x14ac:dyDescent="0.3">
      <c r="A2043" s="23" t="s">
        <v>4574</v>
      </c>
      <c r="B2043" s="38">
        <v>46278</v>
      </c>
      <c r="C2043" s="23" t="s">
        <v>4575</v>
      </c>
      <c r="D2043" s="23" t="s">
        <v>95</v>
      </c>
      <c r="E2043" s="23" t="s">
        <v>75</v>
      </c>
      <c r="F2043" s="23" t="s">
        <v>451</v>
      </c>
      <c r="G2043" s="23" t="s">
        <v>250</v>
      </c>
      <c r="H2043" s="39">
        <f t="shared" si="124"/>
        <v>1098</v>
      </c>
      <c r="I2043" s="23" t="str">
        <f t="shared" si="125"/>
        <v>Bengaluru</v>
      </c>
      <c r="J2043" s="23">
        <f>COUNTIFS(pg_transaction_cleaned!$O:$O,A2043,pg_transaction_cleaned!$F:$F,"CAPTURE")</f>
        <v>1</v>
      </c>
      <c r="K2043" s="39">
        <f>SUMIFS(pg_transaction_cleaned!$H:$H,pg_transaction_cleaned!$O:$O,A2043,pg_transaction_cleaned!$F:$F,"CAPTURE")</f>
        <v>1098</v>
      </c>
      <c r="L2043" s="23">
        <f>COUNTIFS(pg_transaction_cleaned!$O:$O,A2043,pg_transaction_cleaned!$F:$F,"REFUND")</f>
        <v>0</v>
      </c>
      <c r="M2043" s="39">
        <f>SUMIFS(pg_transaction_cleaned!$H:$H,pg_transaction_cleaned!$O:$O,A2043,pg_transaction_cleaned!$F:$F,"REFUND")</f>
        <v>0</v>
      </c>
      <c r="N2043" s="23" t="str">
        <f t="shared" si="126"/>
        <v>OK</v>
      </c>
      <c r="O2043" s="24">
        <f t="shared" si="127"/>
        <v>0</v>
      </c>
    </row>
    <row r="2044" spans="1:15" ht="15" customHeight="1" x14ac:dyDescent="0.3">
      <c r="A2044" s="23" t="s">
        <v>4576</v>
      </c>
      <c r="B2044" s="38">
        <v>46276</v>
      </c>
      <c r="C2044" s="23" t="s">
        <v>4577</v>
      </c>
      <c r="D2044" s="23" t="s">
        <v>89</v>
      </c>
      <c r="E2044" s="23" t="s">
        <v>79</v>
      </c>
      <c r="F2044" s="23" t="s">
        <v>582</v>
      </c>
      <c r="G2044" s="23" t="s">
        <v>250</v>
      </c>
      <c r="H2044" s="39">
        <f t="shared" si="124"/>
        <v>1298</v>
      </c>
      <c r="I2044" s="23" t="str">
        <f t="shared" si="125"/>
        <v>Jaipur</v>
      </c>
      <c r="J2044" s="23">
        <f>COUNTIFS(pg_transaction_cleaned!$O:$O,A2044,pg_transaction_cleaned!$F:$F,"CAPTURE")</f>
        <v>1</v>
      </c>
      <c r="K2044" s="39">
        <f>SUMIFS(pg_transaction_cleaned!$H:$H,pg_transaction_cleaned!$O:$O,A2044,pg_transaction_cleaned!$F:$F,"CAPTURE")</f>
        <v>1298</v>
      </c>
      <c r="L2044" s="23">
        <f>COUNTIFS(pg_transaction_cleaned!$O:$O,A2044,pg_transaction_cleaned!$F:$F,"REFUND")</f>
        <v>0</v>
      </c>
      <c r="M2044" s="39">
        <f>SUMIFS(pg_transaction_cleaned!$H:$H,pg_transaction_cleaned!$O:$O,A2044,pg_transaction_cleaned!$F:$F,"REFUND")</f>
        <v>0</v>
      </c>
      <c r="N2044" s="23" t="str">
        <f t="shared" si="126"/>
        <v>OK</v>
      </c>
      <c r="O2044" s="24">
        <f t="shared" si="127"/>
        <v>0</v>
      </c>
    </row>
    <row r="2045" spans="1:15" ht="15" customHeight="1" x14ac:dyDescent="0.3">
      <c r="A2045" s="23" t="s">
        <v>4578</v>
      </c>
      <c r="B2045" s="38">
        <v>46280</v>
      </c>
      <c r="C2045" s="23" t="s">
        <v>4579</v>
      </c>
      <c r="D2045" s="23" t="s">
        <v>86</v>
      </c>
      <c r="E2045" s="23" t="s">
        <v>77</v>
      </c>
      <c r="F2045" s="23" t="s">
        <v>4580</v>
      </c>
      <c r="G2045" s="23" t="s">
        <v>250</v>
      </c>
      <c r="H2045" s="39">
        <f t="shared" si="124"/>
        <v>8597</v>
      </c>
      <c r="I2045" s="23" t="str">
        <f t="shared" si="125"/>
        <v>Delhi</v>
      </c>
      <c r="J2045" s="23">
        <f>COUNTIFS(pg_transaction_cleaned!$O:$O,A2045,pg_transaction_cleaned!$F:$F,"CAPTURE")</f>
        <v>1</v>
      </c>
      <c r="K2045" s="39">
        <f>SUMIFS(pg_transaction_cleaned!$H:$H,pg_transaction_cleaned!$O:$O,A2045,pg_transaction_cleaned!$F:$F,"CAPTURE")</f>
        <v>8597</v>
      </c>
      <c r="L2045" s="23">
        <f>COUNTIFS(pg_transaction_cleaned!$O:$O,A2045,pg_transaction_cleaned!$F:$F,"REFUND")</f>
        <v>0</v>
      </c>
      <c r="M2045" s="39">
        <f>SUMIFS(pg_transaction_cleaned!$H:$H,pg_transaction_cleaned!$O:$O,A2045,pg_transaction_cleaned!$F:$F,"REFUND")</f>
        <v>0</v>
      </c>
      <c r="N2045" s="23" t="str">
        <f t="shared" si="126"/>
        <v>OK</v>
      </c>
      <c r="O2045" s="24">
        <f t="shared" si="127"/>
        <v>0</v>
      </c>
    </row>
    <row r="2046" spans="1:15" ht="15" customHeight="1" x14ac:dyDescent="0.3">
      <c r="A2046" s="23" t="s">
        <v>4581</v>
      </c>
      <c r="B2046" s="38">
        <v>46272</v>
      </c>
      <c r="C2046" s="23" t="s">
        <v>4582</v>
      </c>
      <c r="D2046" s="23" t="s">
        <v>88</v>
      </c>
      <c r="E2046" s="23" t="s">
        <v>75</v>
      </c>
      <c r="F2046" s="23" t="s">
        <v>329</v>
      </c>
      <c r="G2046" s="23" t="s">
        <v>250</v>
      </c>
      <c r="H2046" s="39">
        <f t="shared" si="124"/>
        <v>599</v>
      </c>
      <c r="I2046" s="23" t="str">
        <f t="shared" si="125"/>
        <v>Lucknow</v>
      </c>
      <c r="J2046" s="23">
        <f>COUNTIFS(pg_transaction_cleaned!$O:$O,A2046,pg_transaction_cleaned!$F:$F,"CAPTURE")</f>
        <v>1</v>
      </c>
      <c r="K2046" s="39">
        <f>SUMIFS(pg_transaction_cleaned!$H:$H,pg_transaction_cleaned!$O:$O,A2046,pg_transaction_cleaned!$F:$F,"CAPTURE")</f>
        <v>599</v>
      </c>
      <c r="L2046" s="23">
        <f>COUNTIFS(pg_transaction_cleaned!$O:$O,A2046,pg_transaction_cleaned!$F:$F,"REFUND")</f>
        <v>0</v>
      </c>
      <c r="M2046" s="39">
        <f>SUMIFS(pg_transaction_cleaned!$H:$H,pg_transaction_cleaned!$O:$O,A2046,pg_transaction_cleaned!$F:$F,"REFUND")</f>
        <v>0</v>
      </c>
      <c r="N2046" s="23" t="str">
        <f t="shared" si="126"/>
        <v>OK</v>
      </c>
      <c r="O2046" s="24">
        <f t="shared" si="127"/>
        <v>0</v>
      </c>
    </row>
    <row r="2047" spans="1:15" ht="15" customHeight="1" x14ac:dyDescent="0.3">
      <c r="A2047" s="23" t="s">
        <v>4583</v>
      </c>
      <c r="B2047" s="38">
        <v>46293</v>
      </c>
      <c r="C2047" s="23" t="s">
        <v>4584</v>
      </c>
      <c r="D2047" s="23" t="s">
        <v>94</v>
      </c>
      <c r="E2047" s="23" t="s">
        <v>75</v>
      </c>
      <c r="F2047" s="23" t="s">
        <v>297</v>
      </c>
      <c r="G2047" s="23" t="s">
        <v>250</v>
      </c>
      <c r="H2047" s="39">
        <f t="shared" si="124"/>
        <v>4999</v>
      </c>
      <c r="I2047" s="23" t="str">
        <f t="shared" si="125"/>
        <v>Chennai</v>
      </c>
      <c r="J2047" s="23">
        <f>COUNTIFS(pg_transaction_cleaned!$O:$O,A2047,pg_transaction_cleaned!$F:$F,"CAPTURE")</f>
        <v>1</v>
      </c>
      <c r="K2047" s="39">
        <f>SUMIFS(pg_transaction_cleaned!$H:$H,pg_transaction_cleaned!$O:$O,A2047,pg_transaction_cleaned!$F:$F,"CAPTURE")</f>
        <v>4999</v>
      </c>
      <c r="L2047" s="23">
        <f>COUNTIFS(pg_transaction_cleaned!$O:$O,A2047,pg_transaction_cleaned!$F:$F,"REFUND")</f>
        <v>0</v>
      </c>
      <c r="M2047" s="39">
        <f>SUMIFS(pg_transaction_cleaned!$H:$H,pg_transaction_cleaned!$O:$O,A2047,pg_transaction_cleaned!$F:$F,"REFUND")</f>
        <v>0</v>
      </c>
      <c r="N2047" s="23" t="str">
        <f t="shared" si="126"/>
        <v>OK</v>
      </c>
      <c r="O2047" s="24">
        <f t="shared" si="127"/>
        <v>0</v>
      </c>
    </row>
    <row r="2048" spans="1:15" ht="15" customHeight="1" x14ac:dyDescent="0.3">
      <c r="A2048" s="23" t="s">
        <v>4585</v>
      </c>
      <c r="B2048" s="38">
        <v>46293</v>
      </c>
      <c r="C2048" s="23" t="s">
        <v>4586</v>
      </c>
      <c r="D2048" s="23" t="s">
        <v>93</v>
      </c>
      <c r="E2048" s="23" t="s">
        <v>75</v>
      </c>
      <c r="F2048" s="23" t="s">
        <v>329</v>
      </c>
      <c r="G2048" s="23" t="s">
        <v>250</v>
      </c>
      <c r="H2048" s="39">
        <f t="shared" si="124"/>
        <v>599</v>
      </c>
      <c r="I2048" s="23" t="str">
        <f t="shared" si="125"/>
        <v>Kolkata</v>
      </c>
      <c r="J2048" s="23">
        <f>COUNTIFS(pg_transaction_cleaned!$O:$O,A2048,pg_transaction_cleaned!$F:$F,"CAPTURE")</f>
        <v>1</v>
      </c>
      <c r="K2048" s="39">
        <f>SUMIFS(pg_transaction_cleaned!$H:$H,pg_transaction_cleaned!$O:$O,A2048,pg_transaction_cleaned!$F:$F,"CAPTURE")</f>
        <v>599</v>
      </c>
      <c r="L2048" s="23">
        <f>COUNTIFS(pg_transaction_cleaned!$O:$O,A2048,pg_transaction_cleaned!$F:$F,"REFUND")</f>
        <v>0</v>
      </c>
      <c r="M2048" s="39">
        <f>SUMIFS(pg_transaction_cleaned!$H:$H,pg_transaction_cleaned!$O:$O,A2048,pg_transaction_cleaned!$F:$F,"REFUND")</f>
        <v>0</v>
      </c>
      <c r="N2048" s="23" t="str">
        <f t="shared" si="126"/>
        <v>OK</v>
      </c>
      <c r="O2048" s="24">
        <f t="shared" si="127"/>
        <v>0</v>
      </c>
    </row>
    <row r="2049" spans="1:15" ht="15" customHeight="1" x14ac:dyDescent="0.3">
      <c r="A2049" s="23" t="s">
        <v>4587</v>
      </c>
      <c r="B2049" s="38">
        <v>46274</v>
      </c>
      <c r="C2049" s="23" t="s">
        <v>4588</v>
      </c>
      <c r="D2049" s="23" t="s">
        <v>91</v>
      </c>
      <c r="E2049" s="23" t="s">
        <v>75</v>
      </c>
      <c r="F2049" s="23" t="s">
        <v>329</v>
      </c>
      <c r="G2049" s="23" t="s">
        <v>250</v>
      </c>
      <c r="H2049" s="39">
        <f t="shared" si="124"/>
        <v>599</v>
      </c>
      <c r="I2049" s="23" t="str">
        <f t="shared" si="125"/>
        <v>Pune</v>
      </c>
      <c r="J2049" s="23">
        <f>COUNTIFS(pg_transaction_cleaned!$O:$O,A2049,pg_transaction_cleaned!$F:$F,"CAPTURE")</f>
        <v>1</v>
      </c>
      <c r="K2049" s="39">
        <f>SUMIFS(pg_transaction_cleaned!$H:$H,pg_transaction_cleaned!$O:$O,A2049,pg_transaction_cleaned!$F:$F,"CAPTURE")</f>
        <v>599</v>
      </c>
      <c r="L2049" s="23">
        <f>COUNTIFS(pg_transaction_cleaned!$O:$O,A2049,pg_transaction_cleaned!$F:$F,"REFUND")</f>
        <v>0</v>
      </c>
      <c r="M2049" s="39">
        <f>SUMIFS(pg_transaction_cleaned!$H:$H,pg_transaction_cleaned!$O:$O,A2049,pg_transaction_cleaned!$F:$F,"REFUND")</f>
        <v>0</v>
      </c>
      <c r="N2049" s="23" t="str">
        <f t="shared" si="126"/>
        <v>OK</v>
      </c>
      <c r="O2049" s="24">
        <f t="shared" si="127"/>
        <v>0</v>
      </c>
    </row>
    <row r="2050" spans="1:15" ht="15" customHeight="1" x14ac:dyDescent="0.3">
      <c r="A2050" s="23" t="s">
        <v>4589</v>
      </c>
      <c r="B2050" s="38">
        <v>46292</v>
      </c>
      <c r="C2050" s="23" t="s">
        <v>4590</v>
      </c>
      <c r="D2050" s="23" t="s">
        <v>93</v>
      </c>
      <c r="E2050" s="23" t="s">
        <v>81</v>
      </c>
      <c r="F2050" s="23" t="s">
        <v>349</v>
      </c>
      <c r="G2050" s="23" t="s">
        <v>250</v>
      </c>
      <c r="H2050" s="39">
        <f t="shared" ref="H2050:H2113" si="128">VALUE(SUBSTITUTE(F2050,",",""))</f>
        <v>1798</v>
      </c>
      <c r="I2050" s="23" t="str">
        <f t="shared" ref="I2050:I2113" si="129">IF(TRIM(D2050)="","Unknown",TRIM(D2050))</f>
        <v>Kolkata</v>
      </c>
      <c r="J2050" s="23">
        <f>COUNTIFS(pg_transaction_cleaned!$O:$O,A2050,pg_transaction_cleaned!$F:$F,"CAPTURE")</f>
        <v>1</v>
      </c>
      <c r="K2050" s="39">
        <f>SUMIFS(pg_transaction_cleaned!$H:$H,pg_transaction_cleaned!$O:$O,A2050,pg_transaction_cleaned!$F:$F,"CAPTURE")</f>
        <v>1798</v>
      </c>
      <c r="L2050" s="23">
        <f>COUNTIFS(pg_transaction_cleaned!$O:$O,A2050,pg_transaction_cleaned!$F:$F,"REFUND")</f>
        <v>0</v>
      </c>
      <c r="M2050" s="39">
        <f>SUMIFS(pg_transaction_cleaned!$H:$H,pg_transaction_cleaned!$O:$O,A2050,pg_transaction_cleaned!$F:$F,"REFUND")</f>
        <v>0</v>
      </c>
      <c r="N2050" s="23" t="str">
        <f t="shared" ref="N2050:N2113" si="130">IF(AND(G2050="Paid",J2050=0),"Paid, no payment",IF(AND(OR(G2050="Failed",G2050="Cancelled"),J2050&gt;0),"Payment on failed/cancelled",IF(J2050&gt;1,"Duplicate charge",IF(AND(J2050=1,ROUND(K2050-H2050,2)&lt;&gt;0),"Amount difference",IF(AND(G2050="Refunded",L2050=0),"Refunded, no refund",IF(AND(G2050&lt;&gt;"Refunded",L2050&gt;0),"Refund, order not Refunded",IF(AND(L2050&gt;0,ROUND(M2050-H2050,2)&lt;&gt;0),"Refund amount differs","OK")))))))</f>
        <v>OK</v>
      </c>
      <c r="O2050" s="24">
        <f t="shared" ref="O2050:O2113" si="131">IF(N2050="OK",0,IF(N2050="Paid, no payment",H2050,IF(N2050="Payment on failed/cancelled",K2050,IF(OR(N2050="Duplicate charge",N2050="Amount difference"),K2050-H2050,IF(N2050="Refunded, no refund",H2050,M2050)))))</f>
        <v>0</v>
      </c>
    </row>
    <row r="2051" spans="1:15" ht="15" customHeight="1" x14ac:dyDescent="0.3">
      <c r="A2051" s="23" t="s">
        <v>4591</v>
      </c>
      <c r="B2051" s="38">
        <v>46267</v>
      </c>
      <c r="C2051" s="23" t="s">
        <v>4592</v>
      </c>
      <c r="D2051" s="23" t="s">
        <v>91</v>
      </c>
      <c r="E2051" s="23" t="s">
        <v>79</v>
      </c>
      <c r="F2051" s="23" t="s">
        <v>553</v>
      </c>
      <c r="G2051" s="23" t="s">
        <v>250</v>
      </c>
      <c r="H2051" s="39">
        <f t="shared" si="128"/>
        <v>2798</v>
      </c>
      <c r="I2051" s="23" t="str">
        <f t="shared" si="129"/>
        <v>Pune</v>
      </c>
      <c r="J2051" s="23">
        <f>COUNTIFS(pg_transaction_cleaned!$O:$O,A2051,pg_transaction_cleaned!$F:$F,"CAPTURE")</f>
        <v>1</v>
      </c>
      <c r="K2051" s="39">
        <f>SUMIFS(pg_transaction_cleaned!$H:$H,pg_transaction_cleaned!$O:$O,A2051,pg_transaction_cleaned!$F:$F,"CAPTURE")</f>
        <v>2798</v>
      </c>
      <c r="L2051" s="23">
        <f>COUNTIFS(pg_transaction_cleaned!$O:$O,A2051,pg_transaction_cleaned!$F:$F,"REFUND")</f>
        <v>0</v>
      </c>
      <c r="M2051" s="39">
        <f>SUMIFS(pg_transaction_cleaned!$H:$H,pg_transaction_cleaned!$O:$O,A2051,pg_transaction_cleaned!$F:$F,"REFUND")</f>
        <v>0</v>
      </c>
      <c r="N2051" s="23" t="str">
        <f t="shared" si="130"/>
        <v>OK</v>
      </c>
      <c r="O2051" s="24">
        <f t="shared" si="131"/>
        <v>0</v>
      </c>
    </row>
    <row r="2052" spans="1:15" ht="15" customHeight="1" x14ac:dyDescent="0.3">
      <c r="A2052" s="23" t="s">
        <v>4593</v>
      </c>
      <c r="B2052" s="38">
        <v>46268</v>
      </c>
      <c r="C2052" s="23" t="s">
        <v>4594</v>
      </c>
      <c r="D2052" s="23" t="s">
        <v>86</v>
      </c>
      <c r="E2052" s="23" t="s">
        <v>79</v>
      </c>
      <c r="F2052" s="23" t="s">
        <v>294</v>
      </c>
      <c r="G2052" s="23" t="s">
        <v>365</v>
      </c>
      <c r="H2052" s="39">
        <f t="shared" si="128"/>
        <v>1799</v>
      </c>
      <c r="I2052" s="23" t="str">
        <f t="shared" si="129"/>
        <v>Delhi</v>
      </c>
      <c r="J2052" s="23">
        <f>COUNTIFS(pg_transaction_cleaned!$O:$O,A2052,pg_transaction_cleaned!$F:$F,"CAPTURE")</f>
        <v>0</v>
      </c>
      <c r="K2052" s="39">
        <f>SUMIFS(pg_transaction_cleaned!$H:$H,pg_transaction_cleaned!$O:$O,A2052,pg_transaction_cleaned!$F:$F,"CAPTURE")</f>
        <v>0</v>
      </c>
      <c r="L2052" s="23">
        <f>COUNTIFS(pg_transaction_cleaned!$O:$O,A2052,pg_transaction_cleaned!$F:$F,"REFUND")</f>
        <v>0</v>
      </c>
      <c r="M2052" s="39">
        <f>SUMIFS(pg_transaction_cleaned!$H:$H,pg_transaction_cleaned!$O:$O,A2052,pg_transaction_cleaned!$F:$F,"REFUND")</f>
        <v>0</v>
      </c>
      <c r="N2052" s="23" t="str">
        <f t="shared" si="130"/>
        <v>OK</v>
      </c>
      <c r="O2052" s="24">
        <f t="shared" si="131"/>
        <v>0</v>
      </c>
    </row>
    <row r="2053" spans="1:15" ht="15" customHeight="1" x14ac:dyDescent="0.3">
      <c r="A2053" s="23" t="s">
        <v>4595</v>
      </c>
      <c r="B2053" s="38">
        <v>46290</v>
      </c>
      <c r="C2053" s="23" t="s">
        <v>4596</v>
      </c>
      <c r="D2053" s="23" t="s">
        <v>94</v>
      </c>
      <c r="E2053" s="23" t="s">
        <v>79</v>
      </c>
      <c r="F2053" s="23" t="s">
        <v>393</v>
      </c>
      <c r="G2053" s="23" t="s">
        <v>318</v>
      </c>
      <c r="H2053" s="39">
        <f t="shared" si="128"/>
        <v>349</v>
      </c>
      <c r="I2053" s="23" t="str">
        <f t="shared" si="129"/>
        <v>Chennai</v>
      </c>
      <c r="J2053" s="23">
        <f>COUNTIFS(pg_transaction_cleaned!$O:$O,A2053,pg_transaction_cleaned!$F:$F,"CAPTURE")</f>
        <v>0</v>
      </c>
      <c r="K2053" s="39">
        <f>SUMIFS(pg_transaction_cleaned!$H:$H,pg_transaction_cleaned!$O:$O,A2053,pg_transaction_cleaned!$F:$F,"CAPTURE")</f>
        <v>0</v>
      </c>
      <c r="L2053" s="23">
        <f>COUNTIFS(pg_transaction_cleaned!$O:$O,A2053,pg_transaction_cleaned!$F:$F,"REFUND")</f>
        <v>0</v>
      </c>
      <c r="M2053" s="39">
        <f>SUMIFS(pg_transaction_cleaned!$H:$H,pg_transaction_cleaned!$O:$O,A2053,pg_transaction_cleaned!$F:$F,"REFUND")</f>
        <v>0</v>
      </c>
      <c r="N2053" s="23" t="str">
        <f t="shared" si="130"/>
        <v>OK</v>
      </c>
      <c r="O2053" s="24">
        <f t="shared" si="131"/>
        <v>0</v>
      </c>
    </row>
    <row r="2054" spans="1:15" ht="15" customHeight="1" x14ac:dyDescent="0.3">
      <c r="A2054" s="23" t="s">
        <v>4597</v>
      </c>
      <c r="B2054" s="38">
        <v>46279</v>
      </c>
      <c r="C2054" s="23" t="s">
        <v>4598</v>
      </c>
      <c r="D2054" s="23" t="s">
        <v>90</v>
      </c>
      <c r="E2054" s="23" t="s">
        <v>79</v>
      </c>
      <c r="F2054" s="23" t="s">
        <v>329</v>
      </c>
      <c r="G2054" s="23" t="s">
        <v>301</v>
      </c>
      <c r="H2054" s="39">
        <f t="shared" si="128"/>
        <v>599</v>
      </c>
      <c r="I2054" s="23" t="str">
        <f t="shared" si="129"/>
        <v>Ahmedabad</v>
      </c>
      <c r="J2054" s="23">
        <f>COUNTIFS(pg_transaction_cleaned!$O:$O,A2054,pg_transaction_cleaned!$F:$F,"CAPTURE")</f>
        <v>1</v>
      </c>
      <c r="K2054" s="39">
        <f>SUMIFS(pg_transaction_cleaned!$H:$H,pg_transaction_cleaned!$O:$O,A2054,pg_transaction_cleaned!$F:$F,"CAPTURE")</f>
        <v>599</v>
      </c>
      <c r="L2054" s="23">
        <f>COUNTIFS(pg_transaction_cleaned!$O:$O,A2054,pg_transaction_cleaned!$F:$F,"REFUND")</f>
        <v>1</v>
      </c>
      <c r="M2054" s="39">
        <f>SUMIFS(pg_transaction_cleaned!$H:$H,pg_transaction_cleaned!$O:$O,A2054,pg_transaction_cleaned!$F:$F,"REFUND")</f>
        <v>599</v>
      </c>
      <c r="N2054" s="23" t="str">
        <f t="shared" si="130"/>
        <v>OK</v>
      </c>
      <c r="O2054" s="24">
        <f t="shared" si="131"/>
        <v>0</v>
      </c>
    </row>
    <row r="2055" spans="1:15" ht="15" customHeight="1" x14ac:dyDescent="0.3">
      <c r="A2055" s="23" t="s">
        <v>4599</v>
      </c>
      <c r="B2055" s="38">
        <v>46274</v>
      </c>
      <c r="C2055" s="23" t="s">
        <v>4600</v>
      </c>
      <c r="D2055" s="23" t="s">
        <v>93</v>
      </c>
      <c r="E2055" s="23" t="s">
        <v>75</v>
      </c>
      <c r="F2055" s="23" t="s">
        <v>574</v>
      </c>
      <c r="G2055" s="23" t="s">
        <v>250</v>
      </c>
      <c r="H2055" s="39">
        <f t="shared" si="128"/>
        <v>1848</v>
      </c>
      <c r="I2055" s="23" t="str">
        <f t="shared" si="129"/>
        <v>Kolkata</v>
      </c>
      <c r="J2055" s="23">
        <f>COUNTIFS(pg_transaction_cleaned!$O:$O,A2055,pg_transaction_cleaned!$F:$F,"CAPTURE")</f>
        <v>1</v>
      </c>
      <c r="K2055" s="39">
        <f>SUMIFS(pg_transaction_cleaned!$H:$H,pg_transaction_cleaned!$O:$O,A2055,pg_transaction_cleaned!$F:$F,"CAPTURE")</f>
        <v>1848</v>
      </c>
      <c r="L2055" s="23">
        <f>COUNTIFS(pg_transaction_cleaned!$O:$O,A2055,pg_transaction_cleaned!$F:$F,"REFUND")</f>
        <v>0</v>
      </c>
      <c r="M2055" s="39">
        <f>SUMIFS(pg_transaction_cleaned!$H:$H,pg_transaction_cleaned!$O:$O,A2055,pg_transaction_cleaned!$F:$F,"REFUND")</f>
        <v>0</v>
      </c>
      <c r="N2055" s="23" t="str">
        <f t="shared" si="130"/>
        <v>OK</v>
      </c>
      <c r="O2055" s="24">
        <f t="shared" si="131"/>
        <v>0</v>
      </c>
    </row>
    <row r="2056" spans="1:15" ht="15" customHeight="1" x14ac:dyDescent="0.3">
      <c r="A2056" s="23" t="s">
        <v>4601</v>
      </c>
      <c r="B2056" s="38">
        <v>46293</v>
      </c>
      <c r="C2056" s="23" t="s">
        <v>4602</v>
      </c>
      <c r="D2056" s="23" t="s">
        <v>93</v>
      </c>
      <c r="E2056" s="23" t="s">
        <v>75</v>
      </c>
      <c r="F2056" s="23" t="s">
        <v>265</v>
      </c>
      <c r="G2056" s="23" t="s">
        <v>250</v>
      </c>
      <c r="H2056" s="39">
        <f t="shared" si="128"/>
        <v>999</v>
      </c>
      <c r="I2056" s="23" t="str">
        <f t="shared" si="129"/>
        <v>Kolkata</v>
      </c>
      <c r="J2056" s="23">
        <f>COUNTIFS(pg_transaction_cleaned!$O:$O,A2056,pg_transaction_cleaned!$F:$F,"CAPTURE")</f>
        <v>1</v>
      </c>
      <c r="K2056" s="39">
        <f>SUMIFS(pg_transaction_cleaned!$H:$H,pg_transaction_cleaned!$O:$O,A2056,pg_transaction_cleaned!$F:$F,"CAPTURE")</f>
        <v>999</v>
      </c>
      <c r="L2056" s="23">
        <f>COUNTIFS(pg_transaction_cleaned!$O:$O,A2056,pg_transaction_cleaned!$F:$F,"REFUND")</f>
        <v>0</v>
      </c>
      <c r="M2056" s="39">
        <f>SUMIFS(pg_transaction_cleaned!$H:$H,pg_transaction_cleaned!$O:$O,A2056,pg_transaction_cleaned!$F:$F,"REFUND")</f>
        <v>0</v>
      </c>
      <c r="N2056" s="23" t="str">
        <f t="shared" si="130"/>
        <v>OK</v>
      </c>
      <c r="O2056" s="24">
        <f t="shared" si="131"/>
        <v>0</v>
      </c>
    </row>
    <row r="2057" spans="1:15" ht="15" customHeight="1" x14ac:dyDescent="0.3">
      <c r="A2057" s="23" t="s">
        <v>4603</v>
      </c>
      <c r="B2057" s="38">
        <v>46293</v>
      </c>
      <c r="C2057" s="23" t="s">
        <v>4604</v>
      </c>
      <c r="D2057" s="23" t="s">
        <v>90</v>
      </c>
      <c r="E2057" s="23" t="s">
        <v>79</v>
      </c>
      <c r="F2057" s="23" t="s">
        <v>1072</v>
      </c>
      <c r="G2057" s="23" t="s">
        <v>250</v>
      </c>
      <c r="H2057" s="39">
        <f t="shared" si="128"/>
        <v>4897</v>
      </c>
      <c r="I2057" s="23" t="str">
        <f t="shared" si="129"/>
        <v>Ahmedabad</v>
      </c>
      <c r="J2057" s="23">
        <f>COUNTIFS(pg_transaction_cleaned!$O:$O,A2057,pg_transaction_cleaned!$F:$F,"CAPTURE")</f>
        <v>1</v>
      </c>
      <c r="K2057" s="39">
        <f>SUMIFS(pg_transaction_cleaned!$H:$H,pg_transaction_cleaned!$O:$O,A2057,pg_transaction_cleaned!$F:$F,"CAPTURE")</f>
        <v>4897</v>
      </c>
      <c r="L2057" s="23">
        <f>COUNTIFS(pg_transaction_cleaned!$O:$O,A2057,pg_transaction_cleaned!$F:$F,"REFUND")</f>
        <v>0</v>
      </c>
      <c r="M2057" s="39">
        <f>SUMIFS(pg_transaction_cleaned!$H:$H,pg_transaction_cleaned!$O:$O,A2057,pg_transaction_cleaned!$F:$F,"REFUND")</f>
        <v>0</v>
      </c>
      <c r="N2057" s="23" t="str">
        <f t="shared" si="130"/>
        <v>OK</v>
      </c>
      <c r="O2057" s="24">
        <f t="shared" si="131"/>
        <v>0</v>
      </c>
    </row>
    <row r="2058" spans="1:15" ht="15" customHeight="1" x14ac:dyDescent="0.3">
      <c r="A2058" s="23" t="s">
        <v>4605</v>
      </c>
      <c r="B2058" s="38">
        <v>46266</v>
      </c>
      <c r="C2058" s="23" t="s">
        <v>4606</v>
      </c>
      <c r="D2058" s="23" t="s">
        <v>95</v>
      </c>
      <c r="E2058" s="23" t="s">
        <v>75</v>
      </c>
      <c r="F2058" s="23" t="s">
        <v>291</v>
      </c>
      <c r="G2058" s="23" t="s">
        <v>250</v>
      </c>
      <c r="H2058" s="39">
        <f t="shared" si="128"/>
        <v>3499</v>
      </c>
      <c r="I2058" s="23" t="str">
        <f t="shared" si="129"/>
        <v>Bengaluru</v>
      </c>
      <c r="J2058" s="23">
        <f>COUNTIFS(pg_transaction_cleaned!$O:$O,A2058,pg_transaction_cleaned!$F:$F,"CAPTURE")</f>
        <v>1</v>
      </c>
      <c r="K2058" s="39">
        <f>SUMIFS(pg_transaction_cleaned!$H:$H,pg_transaction_cleaned!$O:$O,A2058,pg_transaction_cleaned!$F:$F,"CAPTURE")</f>
        <v>3499</v>
      </c>
      <c r="L2058" s="23">
        <f>COUNTIFS(pg_transaction_cleaned!$O:$O,A2058,pg_transaction_cleaned!$F:$F,"REFUND")</f>
        <v>0</v>
      </c>
      <c r="M2058" s="39">
        <f>SUMIFS(pg_transaction_cleaned!$H:$H,pg_transaction_cleaned!$O:$O,A2058,pg_transaction_cleaned!$F:$F,"REFUND")</f>
        <v>0</v>
      </c>
      <c r="N2058" s="23" t="str">
        <f t="shared" si="130"/>
        <v>OK</v>
      </c>
      <c r="O2058" s="24">
        <f t="shared" si="131"/>
        <v>0</v>
      </c>
    </row>
    <row r="2059" spans="1:15" ht="15" customHeight="1" x14ac:dyDescent="0.3">
      <c r="A2059" s="23" t="s">
        <v>4607</v>
      </c>
      <c r="B2059" s="38">
        <v>46271</v>
      </c>
      <c r="C2059" s="23" t="s">
        <v>4608</v>
      </c>
      <c r="D2059" s="23" t="s">
        <v>87</v>
      </c>
      <c r="E2059" s="23" t="s">
        <v>75</v>
      </c>
      <c r="F2059" s="23" t="s">
        <v>1372</v>
      </c>
      <c r="G2059" s="23" t="s">
        <v>250</v>
      </c>
      <c r="H2059" s="39">
        <f t="shared" si="128"/>
        <v>798</v>
      </c>
      <c r="I2059" s="23" t="str">
        <f t="shared" si="129"/>
        <v>Mumbai</v>
      </c>
      <c r="J2059" s="23">
        <f>COUNTIFS(pg_transaction_cleaned!$O:$O,A2059,pg_transaction_cleaned!$F:$F,"CAPTURE")</f>
        <v>1</v>
      </c>
      <c r="K2059" s="39">
        <f>SUMIFS(pg_transaction_cleaned!$H:$H,pg_transaction_cleaned!$O:$O,A2059,pg_transaction_cleaned!$F:$F,"CAPTURE")</f>
        <v>798</v>
      </c>
      <c r="L2059" s="23">
        <f>COUNTIFS(pg_transaction_cleaned!$O:$O,A2059,pg_transaction_cleaned!$F:$F,"REFUND")</f>
        <v>0</v>
      </c>
      <c r="M2059" s="39">
        <f>SUMIFS(pg_transaction_cleaned!$H:$H,pg_transaction_cleaned!$O:$O,A2059,pg_transaction_cleaned!$F:$F,"REFUND")</f>
        <v>0</v>
      </c>
      <c r="N2059" s="23" t="str">
        <f t="shared" si="130"/>
        <v>OK</v>
      </c>
      <c r="O2059" s="24">
        <f t="shared" si="131"/>
        <v>0</v>
      </c>
    </row>
    <row r="2060" spans="1:15" ht="15" customHeight="1" x14ac:dyDescent="0.3">
      <c r="A2060" s="23" t="s">
        <v>4609</v>
      </c>
      <c r="B2060" s="38">
        <v>46267</v>
      </c>
      <c r="C2060" s="23" t="s">
        <v>4610</v>
      </c>
      <c r="D2060" s="23" t="s">
        <v>88</v>
      </c>
      <c r="E2060" s="23" t="s">
        <v>79</v>
      </c>
      <c r="F2060" s="23" t="s">
        <v>598</v>
      </c>
      <c r="G2060" s="23" t="s">
        <v>250</v>
      </c>
      <c r="H2060" s="39">
        <f t="shared" si="128"/>
        <v>5598</v>
      </c>
      <c r="I2060" s="23" t="str">
        <f t="shared" si="129"/>
        <v>Lucknow</v>
      </c>
      <c r="J2060" s="23">
        <f>COUNTIFS(pg_transaction_cleaned!$O:$O,A2060,pg_transaction_cleaned!$F:$F,"CAPTURE")</f>
        <v>1</v>
      </c>
      <c r="K2060" s="39">
        <f>SUMIFS(pg_transaction_cleaned!$H:$H,pg_transaction_cleaned!$O:$O,A2060,pg_transaction_cleaned!$F:$F,"CAPTURE")</f>
        <v>5598</v>
      </c>
      <c r="L2060" s="23">
        <f>COUNTIFS(pg_transaction_cleaned!$O:$O,A2060,pg_transaction_cleaned!$F:$F,"REFUND")</f>
        <v>0</v>
      </c>
      <c r="M2060" s="39">
        <f>SUMIFS(pg_transaction_cleaned!$H:$H,pg_transaction_cleaned!$O:$O,A2060,pg_transaction_cleaned!$F:$F,"REFUND")</f>
        <v>0</v>
      </c>
      <c r="N2060" s="23" t="str">
        <f t="shared" si="130"/>
        <v>OK</v>
      </c>
      <c r="O2060" s="24">
        <f t="shared" si="131"/>
        <v>0</v>
      </c>
    </row>
    <row r="2061" spans="1:15" ht="15" customHeight="1" x14ac:dyDescent="0.3">
      <c r="A2061" s="23" t="s">
        <v>4611</v>
      </c>
      <c r="B2061" s="38">
        <v>46279</v>
      </c>
      <c r="C2061" s="23" t="s">
        <v>4612</v>
      </c>
      <c r="D2061" s="23" t="s">
        <v>86</v>
      </c>
      <c r="E2061" s="23" t="s">
        <v>77</v>
      </c>
      <c r="F2061" s="23" t="s">
        <v>268</v>
      </c>
      <c r="G2061" s="23" t="s">
        <v>250</v>
      </c>
      <c r="H2061" s="39">
        <f t="shared" si="128"/>
        <v>1299</v>
      </c>
      <c r="I2061" s="23" t="str">
        <f t="shared" si="129"/>
        <v>Delhi</v>
      </c>
      <c r="J2061" s="23">
        <f>COUNTIFS(pg_transaction_cleaned!$O:$O,A2061,pg_transaction_cleaned!$F:$F,"CAPTURE")</f>
        <v>1</v>
      </c>
      <c r="K2061" s="39">
        <f>SUMIFS(pg_transaction_cleaned!$H:$H,pg_transaction_cleaned!$O:$O,A2061,pg_transaction_cleaned!$F:$F,"CAPTURE")</f>
        <v>1299</v>
      </c>
      <c r="L2061" s="23">
        <f>COUNTIFS(pg_transaction_cleaned!$O:$O,A2061,pg_transaction_cleaned!$F:$F,"REFUND")</f>
        <v>0</v>
      </c>
      <c r="M2061" s="39">
        <f>SUMIFS(pg_transaction_cleaned!$H:$H,pg_transaction_cleaned!$O:$O,A2061,pg_transaction_cleaned!$F:$F,"REFUND")</f>
        <v>0</v>
      </c>
      <c r="N2061" s="23" t="str">
        <f t="shared" si="130"/>
        <v>OK</v>
      </c>
      <c r="O2061" s="24">
        <f t="shared" si="131"/>
        <v>0</v>
      </c>
    </row>
    <row r="2062" spans="1:15" ht="15" customHeight="1" x14ac:dyDescent="0.3">
      <c r="A2062" s="23" t="s">
        <v>4613</v>
      </c>
      <c r="B2062" s="38">
        <v>46277</v>
      </c>
      <c r="C2062" s="23" t="s">
        <v>4614</v>
      </c>
      <c r="D2062" s="23" t="s">
        <v>93</v>
      </c>
      <c r="E2062" s="23" t="s">
        <v>75</v>
      </c>
      <c r="F2062" s="23" t="s">
        <v>297</v>
      </c>
      <c r="G2062" s="23" t="s">
        <v>250</v>
      </c>
      <c r="H2062" s="39">
        <f t="shared" si="128"/>
        <v>4999</v>
      </c>
      <c r="I2062" s="23" t="str">
        <f t="shared" si="129"/>
        <v>Kolkata</v>
      </c>
      <c r="J2062" s="23">
        <f>COUNTIFS(pg_transaction_cleaned!$O:$O,A2062,pg_transaction_cleaned!$F:$F,"CAPTURE")</f>
        <v>1</v>
      </c>
      <c r="K2062" s="39">
        <f>SUMIFS(pg_transaction_cleaned!$H:$H,pg_transaction_cleaned!$O:$O,A2062,pg_transaction_cleaned!$F:$F,"CAPTURE")</f>
        <v>4999</v>
      </c>
      <c r="L2062" s="23">
        <f>COUNTIFS(pg_transaction_cleaned!$O:$O,A2062,pg_transaction_cleaned!$F:$F,"REFUND")</f>
        <v>0</v>
      </c>
      <c r="M2062" s="39">
        <f>SUMIFS(pg_transaction_cleaned!$H:$H,pg_transaction_cleaned!$O:$O,A2062,pg_transaction_cleaned!$F:$F,"REFUND")</f>
        <v>0</v>
      </c>
      <c r="N2062" s="23" t="str">
        <f t="shared" si="130"/>
        <v>OK</v>
      </c>
      <c r="O2062" s="24">
        <f t="shared" si="131"/>
        <v>0</v>
      </c>
    </row>
    <row r="2063" spans="1:15" ht="15" customHeight="1" x14ac:dyDescent="0.3">
      <c r="A2063" s="23" t="s">
        <v>4615</v>
      </c>
      <c r="B2063" s="38">
        <v>46286</v>
      </c>
      <c r="C2063" s="23" t="s">
        <v>4616</v>
      </c>
      <c r="D2063" s="23" t="s">
        <v>94</v>
      </c>
      <c r="E2063" s="23" t="s">
        <v>75</v>
      </c>
      <c r="F2063" s="23" t="s">
        <v>310</v>
      </c>
      <c r="G2063" s="23" t="s">
        <v>250</v>
      </c>
      <c r="H2063" s="39">
        <f t="shared" si="128"/>
        <v>7999</v>
      </c>
      <c r="I2063" s="23" t="str">
        <f t="shared" si="129"/>
        <v>Chennai</v>
      </c>
      <c r="J2063" s="23">
        <f>COUNTIFS(pg_transaction_cleaned!$O:$O,A2063,pg_transaction_cleaned!$F:$F,"CAPTURE")</f>
        <v>1</v>
      </c>
      <c r="K2063" s="39">
        <f>SUMIFS(pg_transaction_cleaned!$H:$H,pg_transaction_cleaned!$O:$O,A2063,pg_transaction_cleaned!$F:$F,"CAPTURE")</f>
        <v>7999</v>
      </c>
      <c r="L2063" s="23">
        <f>COUNTIFS(pg_transaction_cleaned!$O:$O,A2063,pg_transaction_cleaned!$F:$F,"REFUND")</f>
        <v>0</v>
      </c>
      <c r="M2063" s="39">
        <f>SUMIFS(pg_transaction_cleaned!$H:$H,pg_transaction_cleaned!$O:$O,A2063,pg_transaction_cleaned!$F:$F,"REFUND")</f>
        <v>0</v>
      </c>
      <c r="N2063" s="23" t="str">
        <f t="shared" si="130"/>
        <v>OK</v>
      </c>
      <c r="O2063" s="24">
        <f t="shared" si="131"/>
        <v>0</v>
      </c>
    </row>
    <row r="2064" spans="1:15" ht="15" customHeight="1" x14ac:dyDescent="0.3">
      <c r="A2064" s="23" t="s">
        <v>4617</v>
      </c>
      <c r="B2064" s="38">
        <v>46266</v>
      </c>
      <c r="C2064" s="23" t="s">
        <v>4618</v>
      </c>
      <c r="D2064" s="23" t="s">
        <v>89</v>
      </c>
      <c r="E2064" s="23" t="s">
        <v>77</v>
      </c>
      <c r="F2064" s="23" t="s">
        <v>307</v>
      </c>
      <c r="G2064" s="23" t="s">
        <v>250</v>
      </c>
      <c r="H2064" s="39">
        <f t="shared" si="128"/>
        <v>3798</v>
      </c>
      <c r="I2064" s="23" t="str">
        <f t="shared" si="129"/>
        <v>Jaipur</v>
      </c>
      <c r="J2064" s="23">
        <f>COUNTIFS(pg_transaction_cleaned!$O:$O,A2064,pg_transaction_cleaned!$F:$F,"CAPTURE")</f>
        <v>1</v>
      </c>
      <c r="K2064" s="39">
        <f>SUMIFS(pg_transaction_cleaned!$H:$H,pg_transaction_cleaned!$O:$O,A2064,pg_transaction_cleaned!$F:$F,"CAPTURE")</f>
        <v>3798</v>
      </c>
      <c r="L2064" s="23">
        <f>COUNTIFS(pg_transaction_cleaned!$O:$O,A2064,pg_transaction_cleaned!$F:$F,"REFUND")</f>
        <v>0</v>
      </c>
      <c r="M2064" s="39">
        <f>SUMIFS(pg_transaction_cleaned!$H:$H,pg_transaction_cleaned!$O:$O,A2064,pg_transaction_cleaned!$F:$F,"REFUND")</f>
        <v>0</v>
      </c>
      <c r="N2064" s="23" t="str">
        <f t="shared" si="130"/>
        <v>OK</v>
      </c>
      <c r="O2064" s="24">
        <f t="shared" si="131"/>
        <v>0</v>
      </c>
    </row>
    <row r="2065" spans="1:15" ht="15" customHeight="1" x14ac:dyDescent="0.3">
      <c r="A2065" s="23" t="s">
        <v>4619</v>
      </c>
      <c r="B2065" s="38">
        <v>46278</v>
      </c>
      <c r="C2065" s="23" t="s">
        <v>4620</v>
      </c>
      <c r="D2065" s="23" t="s">
        <v>95</v>
      </c>
      <c r="E2065" s="23" t="s">
        <v>75</v>
      </c>
      <c r="F2065" s="23" t="s">
        <v>4621</v>
      </c>
      <c r="G2065" s="23" t="s">
        <v>250</v>
      </c>
      <c r="H2065" s="39">
        <f t="shared" si="128"/>
        <v>5298</v>
      </c>
      <c r="I2065" s="23" t="str">
        <f t="shared" si="129"/>
        <v>Bengaluru</v>
      </c>
      <c r="J2065" s="23">
        <f>COUNTIFS(pg_transaction_cleaned!$O:$O,A2065,pg_transaction_cleaned!$F:$F,"CAPTURE")</f>
        <v>1</v>
      </c>
      <c r="K2065" s="39">
        <f>SUMIFS(pg_transaction_cleaned!$H:$H,pg_transaction_cleaned!$O:$O,A2065,pg_transaction_cleaned!$F:$F,"CAPTURE")</f>
        <v>5298</v>
      </c>
      <c r="L2065" s="23">
        <f>COUNTIFS(pg_transaction_cleaned!$O:$O,A2065,pg_transaction_cleaned!$F:$F,"REFUND")</f>
        <v>0</v>
      </c>
      <c r="M2065" s="39">
        <f>SUMIFS(pg_transaction_cleaned!$H:$H,pg_transaction_cleaned!$O:$O,A2065,pg_transaction_cleaned!$F:$F,"REFUND")</f>
        <v>0</v>
      </c>
      <c r="N2065" s="23" t="str">
        <f t="shared" si="130"/>
        <v>OK</v>
      </c>
      <c r="O2065" s="24">
        <f t="shared" si="131"/>
        <v>0</v>
      </c>
    </row>
    <row r="2066" spans="1:15" ht="15" customHeight="1" x14ac:dyDescent="0.3">
      <c r="A2066" s="23" t="s">
        <v>4622</v>
      </c>
      <c r="B2066" s="38">
        <v>46268</v>
      </c>
      <c r="C2066" s="23" t="s">
        <v>4623</v>
      </c>
      <c r="D2066" s="23" t="s">
        <v>89</v>
      </c>
      <c r="E2066" s="23" t="s">
        <v>75</v>
      </c>
      <c r="F2066" s="23" t="s">
        <v>2045</v>
      </c>
      <c r="G2066" s="23" t="s">
        <v>301</v>
      </c>
      <c r="H2066" s="39">
        <f t="shared" si="128"/>
        <v>698</v>
      </c>
      <c r="I2066" s="23" t="str">
        <f t="shared" si="129"/>
        <v>Jaipur</v>
      </c>
      <c r="J2066" s="23">
        <f>COUNTIFS(pg_transaction_cleaned!$O:$O,A2066,pg_transaction_cleaned!$F:$F,"CAPTURE")</f>
        <v>1</v>
      </c>
      <c r="K2066" s="39">
        <f>SUMIFS(pg_transaction_cleaned!$H:$H,pg_transaction_cleaned!$O:$O,A2066,pg_transaction_cleaned!$F:$F,"CAPTURE")</f>
        <v>698</v>
      </c>
      <c r="L2066" s="23">
        <f>COUNTIFS(pg_transaction_cleaned!$O:$O,A2066,pg_transaction_cleaned!$F:$F,"REFUND")</f>
        <v>1</v>
      </c>
      <c r="M2066" s="39">
        <f>SUMIFS(pg_transaction_cleaned!$H:$H,pg_transaction_cleaned!$O:$O,A2066,pg_transaction_cleaned!$F:$F,"REFUND")</f>
        <v>698</v>
      </c>
      <c r="N2066" s="23" t="str">
        <f t="shared" si="130"/>
        <v>OK</v>
      </c>
      <c r="O2066" s="24">
        <f t="shared" si="131"/>
        <v>0</v>
      </c>
    </row>
    <row r="2067" spans="1:15" ht="15" customHeight="1" x14ac:dyDescent="0.3">
      <c r="A2067" s="23" t="s">
        <v>4624</v>
      </c>
      <c r="B2067" s="38">
        <v>46280</v>
      </c>
      <c r="C2067" s="23" t="s">
        <v>4625</v>
      </c>
      <c r="D2067" s="23" t="s">
        <v>90</v>
      </c>
      <c r="E2067" s="23" t="s">
        <v>79</v>
      </c>
      <c r="F2067" s="23" t="s">
        <v>310</v>
      </c>
      <c r="G2067" s="23" t="s">
        <v>250</v>
      </c>
      <c r="H2067" s="39">
        <f t="shared" si="128"/>
        <v>7999</v>
      </c>
      <c r="I2067" s="23" t="str">
        <f t="shared" si="129"/>
        <v>Ahmedabad</v>
      </c>
      <c r="J2067" s="23">
        <f>COUNTIFS(pg_transaction_cleaned!$O:$O,A2067,pg_transaction_cleaned!$F:$F,"CAPTURE")</f>
        <v>1</v>
      </c>
      <c r="K2067" s="39">
        <f>SUMIFS(pg_transaction_cleaned!$H:$H,pg_transaction_cleaned!$O:$O,A2067,pg_transaction_cleaned!$F:$F,"CAPTURE")</f>
        <v>7999</v>
      </c>
      <c r="L2067" s="23">
        <f>COUNTIFS(pg_transaction_cleaned!$O:$O,A2067,pg_transaction_cleaned!$F:$F,"REFUND")</f>
        <v>0</v>
      </c>
      <c r="M2067" s="39">
        <f>SUMIFS(pg_transaction_cleaned!$H:$H,pg_transaction_cleaned!$O:$O,A2067,pg_transaction_cleaned!$F:$F,"REFUND")</f>
        <v>0</v>
      </c>
      <c r="N2067" s="23" t="str">
        <f t="shared" si="130"/>
        <v>OK</v>
      </c>
      <c r="O2067" s="24">
        <f t="shared" si="131"/>
        <v>0</v>
      </c>
    </row>
    <row r="2068" spans="1:15" ht="15" customHeight="1" x14ac:dyDescent="0.3">
      <c r="A2068" s="23" t="s">
        <v>4626</v>
      </c>
      <c r="B2068" s="38">
        <v>46281</v>
      </c>
      <c r="C2068" s="23" t="s">
        <v>4627</v>
      </c>
      <c r="D2068" s="23" t="s">
        <v>91</v>
      </c>
      <c r="E2068" s="23" t="s">
        <v>75</v>
      </c>
      <c r="F2068" s="23" t="s">
        <v>262</v>
      </c>
      <c r="G2068" s="23" t="s">
        <v>250</v>
      </c>
      <c r="H2068" s="39">
        <f t="shared" si="128"/>
        <v>499</v>
      </c>
      <c r="I2068" s="23" t="str">
        <f t="shared" si="129"/>
        <v>Pune</v>
      </c>
      <c r="J2068" s="23">
        <f>COUNTIFS(pg_transaction_cleaned!$O:$O,A2068,pg_transaction_cleaned!$F:$F,"CAPTURE")</f>
        <v>1</v>
      </c>
      <c r="K2068" s="39">
        <f>SUMIFS(pg_transaction_cleaned!$H:$H,pg_transaction_cleaned!$O:$O,A2068,pg_transaction_cleaned!$F:$F,"CAPTURE")</f>
        <v>499</v>
      </c>
      <c r="L2068" s="23">
        <f>COUNTIFS(pg_transaction_cleaned!$O:$O,A2068,pg_transaction_cleaned!$F:$F,"REFUND")</f>
        <v>0</v>
      </c>
      <c r="M2068" s="39">
        <f>SUMIFS(pg_transaction_cleaned!$H:$H,pg_transaction_cleaned!$O:$O,A2068,pg_transaction_cleaned!$F:$F,"REFUND")</f>
        <v>0</v>
      </c>
      <c r="N2068" s="23" t="str">
        <f t="shared" si="130"/>
        <v>OK</v>
      </c>
      <c r="O2068" s="24">
        <f t="shared" si="131"/>
        <v>0</v>
      </c>
    </row>
    <row r="2069" spans="1:15" ht="15" customHeight="1" x14ac:dyDescent="0.3">
      <c r="A2069" s="23" t="s">
        <v>4628</v>
      </c>
      <c r="B2069" s="38">
        <v>46281</v>
      </c>
      <c r="C2069" s="23" t="s">
        <v>4629</v>
      </c>
      <c r="D2069" s="23" t="s">
        <v>89</v>
      </c>
      <c r="E2069" s="23" t="s">
        <v>75</v>
      </c>
      <c r="F2069" s="23" t="s">
        <v>827</v>
      </c>
      <c r="G2069" s="23" t="s">
        <v>250</v>
      </c>
      <c r="H2069" s="39">
        <f t="shared" si="128"/>
        <v>11498</v>
      </c>
      <c r="I2069" s="23" t="str">
        <f t="shared" si="129"/>
        <v>Jaipur</v>
      </c>
      <c r="J2069" s="23">
        <f>COUNTIFS(pg_transaction_cleaned!$O:$O,A2069,pg_transaction_cleaned!$F:$F,"CAPTURE")</f>
        <v>1</v>
      </c>
      <c r="K2069" s="39">
        <f>SUMIFS(pg_transaction_cleaned!$H:$H,pg_transaction_cleaned!$O:$O,A2069,pg_transaction_cleaned!$F:$F,"CAPTURE")</f>
        <v>11498</v>
      </c>
      <c r="L2069" s="23">
        <f>COUNTIFS(pg_transaction_cleaned!$O:$O,A2069,pg_transaction_cleaned!$F:$F,"REFUND")</f>
        <v>0</v>
      </c>
      <c r="M2069" s="39">
        <f>SUMIFS(pg_transaction_cleaned!$H:$H,pg_transaction_cleaned!$O:$O,A2069,pg_transaction_cleaned!$F:$F,"REFUND")</f>
        <v>0</v>
      </c>
      <c r="N2069" s="23" t="str">
        <f t="shared" si="130"/>
        <v>OK</v>
      </c>
      <c r="O2069" s="24">
        <f t="shared" si="131"/>
        <v>0</v>
      </c>
    </row>
    <row r="2070" spans="1:15" ht="15" customHeight="1" x14ac:dyDescent="0.3">
      <c r="A2070" s="23" t="s">
        <v>4630</v>
      </c>
      <c r="B2070" s="38">
        <v>46270</v>
      </c>
      <c r="C2070" s="23" t="s">
        <v>4631</v>
      </c>
      <c r="D2070" s="23" t="s">
        <v>92</v>
      </c>
      <c r="E2070" s="23" t="s">
        <v>79</v>
      </c>
      <c r="F2070" s="23" t="s">
        <v>329</v>
      </c>
      <c r="G2070" s="23" t="s">
        <v>250</v>
      </c>
      <c r="H2070" s="39">
        <f t="shared" si="128"/>
        <v>599</v>
      </c>
      <c r="I2070" s="23" t="str">
        <f t="shared" si="129"/>
        <v>Hyderabad</v>
      </c>
      <c r="J2070" s="23">
        <f>COUNTIFS(pg_transaction_cleaned!$O:$O,A2070,pg_transaction_cleaned!$F:$F,"CAPTURE")</f>
        <v>1</v>
      </c>
      <c r="K2070" s="39">
        <f>SUMIFS(pg_transaction_cleaned!$H:$H,pg_transaction_cleaned!$O:$O,A2070,pg_transaction_cleaned!$F:$F,"CAPTURE")</f>
        <v>599</v>
      </c>
      <c r="L2070" s="23">
        <f>COUNTIFS(pg_transaction_cleaned!$O:$O,A2070,pg_transaction_cleaned!$F:$F,"REFUND")</f>
        <v>0</v>
      </c>
      <c r="M2070" s="39">
        <f>SUMIFS(pg_transaction_cleaned!$H:$H,pg_transaction_cleaned!$O:$O,A2070,pg_transaction_cleaned!$F:$F,"REFUND")</f>
        <v>0</v>
      </c>
      <c r="N2070" s="23" t="str">
        <f t="shared" si="130"/>
        <v>OK</v>
      </c>
      <c r="O2070" s="24">
        <f t="shared" si="131"/>
        <v>0</v>
      </c>
    </row>
    <row r="2071" spans="1:15" ht="15" customHeight="1" x14ac:dyDescent="0.3">
      <c r="A2071" s="23" t="s">
        <v>4632</v>
      </c>
      <c r="B2071" s="38">
        <v>46294</v>
      </c>
      <c r="C2071" s="23" t="s">
        <v>4633</v>
      </c>
      <c r="D2071" s="23" t="s">
        <v>92</v>
      </c>
      <c r="E2071" s="23" t="s">
        <v>75</v>
      </c>
      <c r="F2071" s="23" t="s">
        <v>632</v>
      </c>
      <c r="G2071" s="23" t="s">
        <v>250</v>
      </c>
      <c r="H2071" s="39">
        <f t="shared" si="128"/>
        <v>948</v>
      </c>
      <c r="I2071" s="23" t="str">
        <f t="shared" si="129"/>
        <v>Hyderabad</v>
      </c>
      <c r="J2071" s="23">
        <f>COUNTIFS(pg_transaction_cleaned!$O:$O,A2071,pg_transaction_cleaned!$F:$F,"CAPTURE")</f>
        <v>1</v>
      </c>
      <c r="K2071" s="39">
        <f>SUMIFS(pg_transaction_cleaned!$H:$H,pg_transaction_cleaned!$O:$O,A2071,pg_transaction_cleaned!$F:$F,"CAPTURE")</f>
        <v>948</v>
      </c>
      <c r="L2071" s="23">
        <f>COUNTIFS(pg_transaction_cleaned!$O:$O,A2071,pg_transaction_cleaned!$F:$F,"REFUND")</f>
        <v>0</v>
      </c>
      <c r="M2071" s="39">
        <f>SUMIFS(pg_transaction_cleaned!$H:$H,pg_transaction_cleaned!$O:$O,A2071,pg_transaction_cleaned!$F:$F,"REFUND")</f>
        <v>0</v>
      </c>
      <c r="N2071" s="23" t="str">
        <f t="shared" si="130"/>
        <v>OK</v>
      </c>
      <c r="O2071" s="24">
        <f t="shared" si="131"/>
        <v>0</v>
      </c>
    </row>
    <row r="2072" spans="1:15" ht="15" customHeight="1" x14ac:dyDescent="0.3">
      <c r="A2072" s="23" t="s">
        <v>4634</v>
      </c>
      <c r="B2072" s="38">
        <v>46276</v>
      </c>
      <c r="C2072" s="23" t="s">
        <v>4635</v>
      </c>
      <c r="D2072" s="23" t="s">
        <v>86</v>
      </c>
      <c r="E2072" s="23" t="s">
        <v>79</v>
      </c>
      <c r="F2072" s="23" t="s">
        <v>1265</v>
      </c>
      <c r="G2072" s="23" t="s">
        <v>250</v>
      </c>
      <c r="H2072" s="39">
        <f t="shared" si="128"/>
        <v>6997</v>
      </c>
      <c r="I2072" s="23" t="str">
        <f t="shared" si="129"/>
        <v>Delhi</v>
      </c>
      <c r="J2072" s="23">
        <f>COUNTIFS(pg_transaction_cleaned!$O:$O,A2072,pg_transaction_cleaned!$F:$F,"CAPTURE")</f>
        <v>1</v>
      </c>
      <c r="K2072" s="39">
        <f>SUMIFS(pg_transaction_cleaned!$H:$H,pg_transaction_cleaned!$O:$O,A2072,pg_transaction_cleaned!$F:$F,"CAPTURE")</f>
        <v>6997</v>
      </c>
      <c r="L2072" s="23">
        <f>COUNTIFS(pg_transaction_cleaned!$O:$O,A2072,pg_transaction_cleaned!$F:$F,"REFUND")</f>
        <v>0</v>
      </c>
      <c r="M2072" s="39">
        <f>SUMIFS(pg_transaction_cleaned!$H:$H,pg_transaction_cleaned!$O:$O,A2072,pg_transaction_cleaned!$F:$F,"REFUND")</f>
        <v>0</v>
      </c>
      <c r="N2072" s="23" t="str">
        <f t="shared" si="130"/>
        <v>OK</v>
      </c>
      <c r="O2072" s="24">
        <f t="shared" si="131"/>
        <v>0</v>
      </c>
    </row>
    <row r="2073" spans="1:15" ht="15" customHeight="1" x14ac:dyDescent="0.3">
      <c r="A2073" s="23" t="s">
        <v>4636</v>
      </c>
      <c r="B2073" s="38">
        <v>46276</v>
      </c>
      <c r="C2073" s="23" t="s">
        <v>4637</v>
      </c>
      <c r="D2073" s="23" t="s">
        <v>93</v>
      </c>
      <c r="E2073" s="23" t="s">
        <v>79</v>
      </c>
      <c r="F2073" s="23" t="s">
        <v>337</v>
      </c>
      <c r="G2073" s="23" t="s">
        <v>250</v>
      </c>
      <c r="H2073" s="39">
        <f t="shared" si="128"/>
        <v>3998</v>
      </c>
      <c r="I2073" s="23" t="str">
        <f t="shared" si="129"/>
        <v>Kolkata</v>
      </c>
      <c r="J2073" s="23">
        <f>COUNTIFS(pg_transaction_cleaned!$O:$O,A2073,pg_transaction_cleaned!$F:$F,"CAPTURE")</f>
        <v>1</v>
      </c>
      <c r="K2073" s="39">
        <f>SUMIFS(pg_transaction_cleaned!$H:$H,pg_transaction_cleaned!$O:$O,A2073,pg_transaction_cleaned!$F:$F,"CAPTURE")</f>
        <v>3998</v>
      </c>
      <c r="L2073" s="23">
        <f>COUNTIFS(pg_transaction_cleaned!$O:$O,A2073,pg_transaction_cleaned!$F:$F,"REFUND")</f>
        <v>0</v>
      </c>
      <c r="M2073" s="39">
        <f>SUMIFS(pg_transaction_cleaned!$H:$H,pg_transaction_cleaned!$O:$O,A2073,pg_transaction_cleaned!$F:$F,"REFUND")</f>
        <v>0</v>
      </c>
      <c r="N2073" s="23" t="str">
        <f t="shared" si="130"/>
        <v>OK</v>
      </c>
      <c r="O2073" s="24">
        <f t="shared" si="131"/>
        <v>0</v>
      </c>
    </row>
    <row r="2074" spans="1:15" ht="15" customHeight="1" x14ac:dyDescent="0.3">
      <c r="A2074" s="23" t="s">
        <v>4638</v>
      </c>
      <c r="B2074" s="38">
        <v>46286</v>
      </c>
      <c r="C2074" s="23" t="s">
        <v>4639</v>
      </c>
      <c r="D2074" s="23" t="s">
        <v>87</v>
      </c>
      <c r="E2074" s="23" t="s">
        <v>75</v>
      </c>
      <c r="F2074" s="23" t="s">
        <v>297</v>
      </c>
      <c r="G2074" s="23" t="s">
        <v>250</v>
      </c>
      <c r="H2074" s="39">
        <f t="shared" si="128"/>
        <v>4999</v>
      </c>
      <c r="I2074" s="23" t="str">
        <f t="shared" si="129"/>
        <v>Mumbai</v>
      </c>
      <c r="J2074" s="23">
        <f>COUNTIFS(pg_transaction_cleaned!$O:$O,A2074,pg_transaction_cleaned!$F:$F,"CAPTURE")</f>
        <v>1</v>
      </c>
      <c r="K2074" s="39">
        <f>SUMIFS(pg_transaction_cleaned!$H:$H,pg_transaction_cleaned!$O:$O,A2074,pg_transaction_cleaned!$F:$F,"CAPTURE")</f>
        <v>4999</v>
      </c>
      <c r="L2074" s="23">
        <f>COUNTIFS(pg_transaction_cleaned!$O:$O,A2074,pg_transaction_cleaned!$F:$F,"REFUND")</f>
        <v>0</v>
      </c>
      <c r="M2074" s="39">
        <f>SUMIFS(pg_transaction_cleaned!$H:$H,pg_transaction_cleaned!$O:$O,A2074,pg_transaction_cleaned!$F:$F,"REFUND")</f>
        <v>0</v>
      </c>
      <c r="N2074" s="23" t="str">
        <f t="shared" si="130"/>
        <v>OK</v>
      </c>
      <c r="O2074" s="24">
        <f t="shared" si="131"/>
        <v>0</v>
      </c>
    </row>
    <row r="2075" spans="1:15" ht="15" customHeight="1" x14ac:dyDescent="0.3">
      <c r="A2075" s="23" t="s">
        <v>4640</v>
      </c>
      <c r="B2075" s="38">
        <v>46292</v>
      </c>
      <c r="C2075" s="23" t="s">
        <v>4641</v>
      </c>
      <c r="D2075" s="23" t="s">
        <v>90</v>
      </c>
      <c r="E2075" s="23" t="s">
        <v>75</v>
      </c>
      <c r="F2075" s="23" t="s">
        <v>262</v>
      </c>
      <c r="G2075" s="23" t="s">
        <v>250</v>
      </c>
      <c r="H2075" s="39">
        <f t="shared" si="128"/>
        <v>499</v>
      </c>
      <c r="I2075" s="23" t="str">
        <f t="shared" si="129"/>
        <v>Ahmedabad</v>
      </c>
      <c r="J2075" s="23">
        <f>COUNTIFS(pg_transaction_cleaned!$O:$O,A2075,pg_transaction_cleaned!$F:$F,"CAPTURE")</f>
        <v>1</v>
      </c>
      <c r="K2075" s="39">
        <f>SUMIFS(pg_transaction_cleaned!$H:$H,pg_transaction_cleaned!$O:$O,A2075,pg_transaction_cleaned!$F:$F,"CAPTURE")</f>
        <v>499</v>
      </c>
      <c r="L2075" s="23">
        <f>COUNTIFS(pg_transaction_cleaned!$O:$O,A2075,pg_transaction_cleaned!$F:$F,"REFUND")</f>
        <v>0</v>
      </c>
      <c r="M2075" s="39">
        <f>SUMIFS(pg_transaction_cleaned!$H:$H,pg_transaction_cleaned!$O:$O,A2075,pg_transaction_cleaned!$F:$F,"REFUND")</f>
        <v>0</v>
      </c>
      <c r="N2075" s="23" t="str">
        <f t="shared" si="130"/>
        <v>OK</v>
      </c>
      <c r="O2075" s="24">
        <f t="shared" si="131"/>
        <v>0</v>
      </c>
    </row>
    <row r="2076" spans="1:15" ht="15" customHeight="1" x14ac:dyDescent="0.3">
      <c r="A2076" s="23" t="s">
        <v>4642</v>
      </c>
      <c r="B2076" s="38">
        <v>46293</v>
      </c>
      <c r="C2076" s="23" t="s">
        <v>4643</v>
      </c>
      <c r="D2076" s="23" t="s">
        <v>93</v>
      </c>
      <c r="E2076" s="23" t="s">
        <v>81</v>
      </c>
      <c r="F2076" s="23" t="s">
        <v>329</v>
      </c>
      <c r="G2076" s="23" t="s">
        <v>250</v>
      </c>
      <c r="H2076" s="39">
        <f t="shared" si="128"/>
        <v>599</v>
      </c>
      <c r="I2076" s="23" t="str">
        <f t="shared" si="129"/>
        <v>Kolkata</v>
      </c>
      <c r="J2076" s="23">
        <f>COUNTIFS(pg_transaction_cleaned!$O:$O,A2076,pg_transaction_cleaned!$F:$F,"CAPTURE")</f>
        <v>1</v>
      </c>
      <c r="K2076" s="39">
        <f>SUMIFS(pg_transaction_cleaned!$H:$H,pg_transaction_cleaned!$O:$O,A2076,pg_transaction_cleaned!$F:$F,"CAPTURE")</f>
        <v>599</v>
      </c>
      <c r="L2076" s="23">
        <f>COUNTIFS(pg_transaction_cleaned!$O:$O,A2076,pg_transaction_cleaned!$F:$F,"REFUND")</f>
        <v>0</v>
      </c>
      <c r="M2076" s="39">
        <f>SUMIFS(pg_transaction_cleaned!$H:$H,pg_transaction_cleaned!$O:$O,A2076,pg_transaction_cleaned!$F:$F,"REFUND")</f>
        <v>0</v>
      </c>
      <c r="N2076" s="23" t="str">
        <f t="shared" si="130"/>
        <v>OK</v>
      </c>
      <c r="O2076" s="24">
        <f t="shared" si="131"/>
        <v>0</v>
      </c>
    </row>
    <row r="2077" spans="1:15" ht="15" customHeight="1" x14ac:dyDescent="0.3">
      <c r="A2077" s="23" t="s">
        <v>4644</v>
      </c>
      <c r="B2077" s="38">
        <v>46280</v>
      </c>
      <c r="C2077" s="23" t="s">
        <v>4645</v>
      </c>
      <c r="D2077" s="23" t="s">
        <v>92</v>
      </c>
      <c r="E2077" s="23" t="s">
        <v>75</v>
      </c>
      <c r="F2077" s="23" t="s">
        <v>315</v>
      </c>
      <c r="G2077" s="23" t="s">
        <v>250</v>
      </c>
      <c r="H2077" s="39">
        <f t="shared" si="128"/>
        <v>1499</v>
      </c>
      <c r="I2077" s="23" t="str">
        <f t="shared" si="129"/>
        <v>Hyderabad</v>
      </c>
      <c r="J2077" s="23">
        <f>COUNTIFS(pg_transaction_cleaned!$O:$O,A2077,pg_transaction_cleaned!$F:$F,"CAPTURE")</f>
        <v>1</v>
      </c>
      <c r="K2077" s="39">
        <f>SUMIFS(pg_transaction_cleaned!$H:$H,pg_transaction_cleaned!$O:$O,A2077,pg_transaction_cleaned!$F:$F,"CAPTURE")</f>
        <v>1499</v>
      </c>
      <c r="L2077" s="23">
        <f>COUNTIFS(pg_transaction_cleaned!$O:$O,A2077,pg_transaction_cleaned!$F:$F,"REFUND")</f>
        <v>0</v>
      </c>
      <c r="M2077" s="39">
        <f>SUMIFS(pg_transaction_cleaned!$H:$H,pg_transaction_cleaned!$O:$O,A2077,pg_transaction_cleaned!$F:$F,"REFUND")</f>
        <v>0</v>
      </c>
      <c r="N2077" s="23" t="str">
        <f t="shared" si="130"/>
        <v>OK</v>
      </c>
      <c r="O2077" s="24">
        <f t="shared" si="131"/>
        <v>0</v>
      </c>
    </row>
    <row r="2078" spans="1:15" ht="15" customHeight="1" x14ac:dyDescent="0.3">
      <c r="A2078" s="23" t="s">
        <v>4646</v>
      </c>
      <c r="B2078" s="38">
        <v>46286</v>
      </c>
      <c r="C2078" s="23" t="s">
        <v>4647</v>
      </c>
      <c r="D2078" s="23" t="s">
        <v>90</v>
      </c>
      <c r="E2078" s="23" t="s">
        <v>75</v>
      </c>
      <c r="F2078" s="23" t="s">
        <v>460</v>
      </c>
      <c r="G2078" s="23" t="s">
        <v>301</v>
      </c>
      <c r="H2078" s="39">
        <f t="shared" si="128"/>
        <v>1998</v>
      </c>
      <c r="I2078" s="23" t="str">
        <f t="shared" si="129"/>
        <v>Ahmedabad</v>
      </c>
      <c r="J2078" s="23">
        <f>COUNTIFS(pg_transaction_cleaned!$O:$O,A2078,pg_transaction_cleaned!$F:$F,"CAPTURE")</f>
        <v>1</v>
      </c>
      <c r="K2078" s="39">
        <f>SUMIFS(pg_transaction_cleaned!$H:$H,pg_transaction_cleaned!$O:$O,A2078,pg_transaction_cleaned!$F:$F,"CAPTURE")</f>
        <v>1998</v>
      </c>
      <c r="L2078" s="23">
        <f>COUNTIFS(pg_transaction_cleaned!$O:$O,A2078,pg_transaction_cleaned!$F:$F,"REFUND")</f>
        <v>1</v>
      </c>
      <c r="M2078" s="39">
        <f>SUMIFS(pg_transaction_cleaned!$H:$H,pg_transaction_cleaned!$O:$O,A2078,pg_transaction_cleaned!$F:$F,"REFUND")</f>
        <v>1998</v>
      </c>
      <c r="N2078" s="23" t="str">
        <f t="shared" si="130"/>
        <v>OK</v>
      </c>
      <c r="O2078" s="24">
        <f t="shared" si="131"/>
        <v>0</v>
      </c>
    </row>
    <row r="2079" spans="1:15" ht="15" customHeight="1" x14ac:dyDescent="0.3">
      <c r="A2079" s="23" t="s">
        <v>4648</v>
      </c>
      <c r="B2079" s="38">
        <v>46290</v>
      </c>
      <c r="C2079" s="23" t="s">
        <v>4649</v>
      </c>
      <c r="D2079" s="23" t="s">
        <v>92</v>
      </c>
      <c r="E2079" s="23" t="s">
        <v>81</v>
      </c>
      <c r="F2079" s="23" t="s">
        <v>346</v>
      </c>
      <c r="G2079" s="23" t="s">
        <v>250</v>
      </c>
      <c r="H2079" s="39">
        <f t="shared" si="128"/>
        <v>4498</v>
      </c>
      <c r="I2079" s="23" t="str">
        <f t="shared" si="129"/>
        <v>Hyderabad</v>
      </c>
      <c r="J2079" s="23">
        <f>COUNTIFS(pg_transaction_cleaned!$O:$O,A2079,pg_transaction_cleaned!$F:$F,"CAPTURE")</f>
        <v>1</v>
      </c>
      <c r="K2079" s="39">
        <f>SUMIFS(pg_transaction_cleaned!$H:$H,pg_transaction_cleaned!$O:$O,A2079,pg_transaction_cleaned!$F:$F,"CAPTURE")</f>
        <v>4498</v>
      </c>
      <c r="L2079" s="23">
        <f>COUNTIFS(pg_transaction_cleaned!$O:$O,A2079,pg_transaction_cleaned!$F:$F,"REFUND")</f>
        <v>0</v>
      </c>
      <c r="M2079" s="39">
        <f>SUMIFS(pg_transaction_cleaned!$H:$H,pg_transaction_cleaned!$O:$O,A2079,pg_transaction_cleaned!$F:$F,"REFUND")</f>
        <v>0</v>
      </c>
      <c r="N2079" s="23" t="str">
        <f t="shared" si="130"/>
        <v>OK</v>
      </c>
      <c r="O2079" s="24">
        <f t="shared" si="131"/>
        <v>0</v>
      </c>
    </row>
    <row r="2080" spans="1:15" ht="15" customHeight="1" x14ac:dyDescent="0.3">
      <c r="A2080" s="23" t="s">
        <v>4650</v>
      </c>
      <c r="B2080" s="38">
        <v>46268</v>
      </c>
      <c r="C2080" s="23" t="s">
        <v>494</v>
      </c>
      <c r="D2080" s="23" t="s">
        <v>91</v>
      </c>
      <c r="E2080" s="23" t="s">
        <v>77</v>
      </c>
      <c r="F2080" s="23" t="s">
        <v>268</v>
      </c>
      <c r="G2080" s="23" t="s">
        <v>250</v>
      </c>
      <c r="H2080" s="39">
        <f t="shared" si="128"/>
        <v>1299</v>
      </c>
      <c r="I2080" s="23" t="str">
        <f t="shared" si="129"/>
        <v>Pune</v>
      </c>
      <c r="J2080" s="23">
        <f>COUNTIFS(pg_transaction_cleaned!$O:$O,A2080,pg_transaction_cleaned!$F:$F,"CAPTURE")</f>
        <v>1</v>
      </c>
      <c r="K2080" s="39">
        <f>SUMIFS(pg_transaction_cleaned!$H:$H,pg_transaction_cleaned!$O:$O,A2080,pg_transaction_cleaned!$F:$F,"CAPTURE")</f>
        <v>1299</v>
      </c>
      <c r="L2080" s="23">
        <f>COUNTIFS(pg_transaction_cleaned!$O:$O,A2080,pg_transaction_cleaned!$F:$F,"REFUND")</f>
        <v>0</v>
      </c>
      <c r="M2080" s="39">
        <f>SUMIFS(pg_transaction_cleaned!$H:$H,pg_transaction_cleaned!$O:$O,A2080,pg_transaction_cleaned!$F:$F,"REFUND")</f>
        <v>0</v>
      </c>
      <c r="N2080" s="23" t="str">
        <f t="shared" si="130"/>
        <v>OK</v>
      </c>
      <c r="O2080" s="24">
        <f t="shared" si="131"/>
        <v>0</v>
      </c>
    </row>
    <row r="2081" spans="1:15" ht="15" customHeight="1" x14ac:dyDescent="0.3">
      <c r="A2081" s="23" t="s">
        <v>4651</v>
      </c>
      <c r="B2081" s="38">
        <v>46273</v>
      </c>
      <c r="C2081" s="23" t="s">
        <v>4652</v>
      </c>
      <c r="D2081" s="23" t="s">
        <v>94</v>
      </c>
      <c r="E2081" s="23" t="s">
        <v>79</v>
      </c>
      <c r="F2081" s="23" t="s">
        <v>2337</v>
      </c>
      <c r="G2081" s="23" t="s">
        <v>250</v>
      </c>
      <c r="H2081" s="39">
        <f t="shared" si="128"/>
        <v>8348</v>
      </c>
      <c r="I2081" s="23" t="str">
        <f t="shared" si="129"/>
        <v>Chennai</v>
      </c>
      <c r="J2081" s="23">
        <f>COUNTIFS(pg_transaction_cleaned!$O:$O,A2081,pg_transaction_cleaned!$F:$F,"CAPTURE")</f>
        <v>1</v>
      </c>
      <c r="K2081" s="39">
        <f>SUMIFS(pg_transaction_cleaned!$H:$H,pg_transaction_cleaned!$O:$O,A2081,pg_transaction_cleaned!$F:$F,"CAPTURE")</f>
        <v>8348</v>
      </c>
      <c r="L2081" s="23">
        <f>COUNTIFS(pg_transaction_cleaned!$O:$O,A2081,pg_transaction_cleaned!$F:$F,"REFUND")</f>
        <v>0</v>
      </c>
      <c r="M2081" s="39">
        <f>SUMIFS(pg_transaction_cleaned!$H:$H,pg_transaction_cleaned!$O:$O,A2081,pg_transaction_cleaned!$F:$F,"REFUND")</f>
        <v>0</v>
      </c>
      <c r="N2081" s="23" t="str">
        <f t="shared" si="130"/>
        <v>OK</v>
      </c>
      <c r="O2081" s="24">
        <f t="shared" si="131"/>
        <v>0</v>
      </c>
    </row>
    <row r="2082" spans="1:15" ht="15" customHeight="1" x14ac:dyDescent="0.3">
      <c r="A2082" s="23" t="s">
        <v>4653</v>
      </c>
      <c r="B2082" s="38">
        <v>46275</v>
      </c>
      <c r="C2082" s="23" t="s">
        <v>4654</v>
      </c>
      <c r="D2082" s="23" t="s">
        <v>86</v>
      </c>
      <c r="E2082" s="23" t="s">
        <v>75</v>
      </c>
      <c r="F2082" s="23" t="s">
        <v>370</v>
      </c>
      <c r="G2082" s="23" t="s">
        <v>301</v>
      </c>
      <c r="H2082" s="39">
        <f t="shared" si="128"/>
        <v>3098</v>
      </c>
      <c r="I2082" s="23" t="str">
        <f t="shared" si="129"/>
        <v>Delhi</v>
      </c>
      <c r="J2082" s="23">
        <f>COUNTIFS(pg_transaction_cleaned!$O:$O,A2082,pg_transaction_cleaned!$F:$F,"CAPTURE")</f>
        <v>1</v>
      </c>
      <c r="K2082" s="39">
        <f>SUMIFS(pg_transaction_cleaned!$H:$H,pg_transaction_cleaned!$O:$O,A2082,pg_transaction_cleaned!$F:$F,"CAPTURE")</f>
        <v>3098</v>
      </c>
      <c r="L2082" s="23">
        <f>COUNTIFS(pg_transaction_cleaned!$O:$O,A2082,pg_transaction_cleaned!$F:$F,"REFUND")</f>
        <v>1</v>
      </c>
      <c r="M2082" s="39">
        <f>SUMIFS(pg_transaction_cleaned!$H:$H,pg_transaction_cleaned!$O:$O,A2082,pg_transaction_cleaned!$F:$F,"REFUND")</f>
        <v>3098</v>
      </c>
      <c r="N2082" s="23" t="str">
        <f t="shared" si="130"/>
        <v>OK</v>
      </c>
      <c r="O2082" s="24">
        <f t="shared" si="131"/>
        <v>0</v>
      </c>
    </row>
    <row r="2083" spans="1:15" ht="15" customHeight="1" x14ac:dyDescent="0.3">
      <c r="A2083" s="23" t="s">
        <v>4655</v>
      </c>
      <c r="B2083" s="38">
        <v>46278</v>
      </c>
      <c r="C2083" s="23" t="s">
        <v>4656</v>
      </c>
      <c r="D2083" s="23" t="s">
        <v>95</v>
      </c>
      <c r="E2083" s="23" t="s">
        <v>75</v>
      </c>
      <c r="F2083" s="23" t="s">
        <v>451</v>
      </c>
      <c r="G2083" s="23" t="s">
        <v>250</v>
      </c>
      <c r="H2083" s="39">
        <f t="shared" si="128"/>
        <v>1098</v>
      </c>
      <c r="I2083" s="23" t="str">
        <f t="shared" si="129"/>
        <v>Bengaluru</v>
      </c>
      <c r="J2083" s="23">
        <f>COUNTIFS(pg_transaction_cleaned!$O:$O,A2083,pg_transaction_cleaned!$F:$F,"CAPTURE")</f>
        <v>1</v>
      </c>
      <c r="K2083" s="39">
        <f>SUMIFS(pg_transaction_cleaned!$H:$H,pg_transaction_cleaned!$O:$O,A2083,pg_transaction_cleaned!$F:$F,"CAPTURE")</f>
        <v>1098</v>
      </c>
      <c r="L2083" s="23">
        <f>COUNTIFS(pg_transaction_cleaned!$O:$O,A2083,pg_transaction_cleaned!$F:$F,"REFUND")</f>
        <v>0</v>
      </c>
      <c r="M2083" s="39">
        <f>SUMIFS(pg_transaction_cleaned!$H:$H,pg_transaction_cleaned!$O:$O,A2083,pg_transaction_cleaned!$F:$F,"REFUND")</f>
        <v>0</v>
      </c>
      <c r="N2083" s="23" t="str">
        <f t="shared" si="130"/>
        <v>OK</v>
      </c>
      <c r="O2083" s="24">
        <f t="shared" si="131"/>
        <v>0</v>
      </c>
    </row>
    <row r="2084" spans="1:15" ht="15" customHeight="1" x14ac:dyDescent="0.3">
      <c r="A2084" s="23" t="s">
        <v>4657</v>
      </c>
      <c r="B2084" s="38">
        <v>46289</v>
      </c>
      <c r="C2084" s="23" t="s">
        <v>716</v>
      </c>
      <c r="D2084" s="23" t="s">
        <v>89</v>
      </c>
      <c r="E2084" s="23" t="s">
        <v>79</v>
      </c>
      <c r="F2084" s="23" t="s">
        <v>587</v>
      </c>
      <c r="G2084" s="23" t="s">
        <v>250</v>
      </c>
      <c r="H2084" s="39">
        <f t="shared" si="128"/>
        <v>5297</v>
      </c>
      <c r="I2084" s="23" t="str">
        <f t="shared" si="129"/>
        <v>Jaipur</v>
      </c>
      <c r="J2084" s="23">
        <f>COUNTIFS(pg_transaction_cleaned!$O:$O,A2084,pg_transaction_cleaned!$F:$F,"CAPTURE")</f>
        <v>1</v>
      </c>
      <c r="K2084" s="39">
        <f>SUMIFS(pg_transaction_cleaned!$H:$H,pg_transaction_cleaned!$O:$O,A2084,pg_transaction_cleaned!$F:$F,"CAPTURE")</f>
        <v>5297</v>
      </c>
      <c r="L2084" s="23">
        <f>COUNTIFS(pg_transaction_cleaned!$O:$O,A2084,pg_transaction_cleaned!$F:$F,"REFUND")</f>
        <v>0</v>
      </c>
      <c r="M2084" s="39">
        <f>SUMIFS(pg_transaction_cleaned!$H:$H,pg_transaction_cleaned!$O:$O,A2084,pg_transaction_cleaned!$F:$F,"REFUND")</f>
        <v>0</v>
      </c>
      <c r="N2084" s="23" t="str">
        <f t="shared" si="130"/>
        <v>OK</v>
      </c>
      <c r="O2084" s="24">
        <f t="shared" si="131"/>
        <v>0</v>
      </c>
    </row>
    <row r="2085" spans="1:15" ht="15" customHeight="1" x14ac:dyDescent="0.3">
      <c r="A2085" s="23" t="s">
        <v>4658</v>
      </c>
      <c r="B2085" s="38">
        <v>46267</v>
      </c>
      <c r="C2085" s="23" t="s">
        <v>4659</v>
      </c>
      <c r="D2085" s="23" t="s">
        <v>86</v>
      </c>
      <c r="E2085" s="23" t="s">
        <v>77</v>
      </c>
      <c r="F2085" s="23" t="s">
        <v>553</v>
      </c>
      <c r="G2085" s="23" t="s">
        <v>250</v>
      </c>
      <c r="H2085" s="39">
        <f t="shared" si="128"/>
        <v>2798</v>
      </c>
      <c r="I2085" s="23" t="str">
        <f t="shared" si="129"/>
        <v>Delhi</v>
      </c>
      <c r="J2085" s="23">
        <f>COUNTIFS(pg_transaction_cleaned!$O:$O,A2085,pg_transaction_cleaned!$F:$F,"CAPTURE")</f>
        <v>1</v>
      </c>
      <c r="K2085" s="39">
        <f>SUMIFS(pg_transaction_cleaned!$H:$H,pg_transaction_cleaned!$O:$O,A2085,pg_transaction_cleaned!$F:$F,"CAPTURE")</f>
        <v>2798</v>
      </c>
      <c r="L2085" s="23">
        <f>COUNTIFS(pg_transaction_cleaned!$O:$O,A2085,pg_transaction_cleaned!$F:$F,"REFUND")</f>
        <v>0</v>
      </c>
      <c r="M2085" s="39">
        <f>SUMIFS(pg_transaction_cleaned!$H:$H,pg_transaction_cleaned!$O:$O,A2085,pg_transaction_cleaned!$F:$F,"REFUND")</f>
        <v>0</v>
      </c>
      <c r="N2085" s="23" t="str">
        <f t="shared" si="130"/>
        <v>OK</v>
      </c>
      <c r="O2085" s="24">
        <f t="shared" si="131"/>
        <v>0</v>
      </c>
    </row>
    <row r="2086" spans="1:15" ht="15" customHeight="1" x14ac:dyDescent="0.3">
      <c r="A2086" s="23" t="s">
        <v>4660</v>
      </c>
      <c r="B2086" s="38">
        <v>46277</v>
      </c>
      <c r="C2086" s="23" t="s">
        <v>4661</v>
      </c>
      <c r="D2086" s="23" t="s">
        <v>95</v>
      </c>
      <c r="E2086" s="23" t="s">
        <v>79</v>
      </c>
      <c r="F2086" s="23" t="s">
        <v>274</v>
      </c>
      <c r="G2086" s="23" t="s">
        <v>250</v>
      </c>
      <c r="H2086" s="39">
        <f t="shared" si="128"/>
        <v>349</v>
      </c>
      <c r="I2086" s="23" t="str">
        <f t="shared" si="129"/>
        <v>Bengaluru</v>
      </c>
      <c r="J2086" s="23">
        <f>COUNTIFS(pg_transaction_cleaned!$O:$O,A2086,pg_transaction_cleaned!$F:$F,"CAPTURE")</f>
        <v>1</v>
      </c>
      <c r="K2086" s="39">
        <f>SUMIFS(pg_transaction_cleaned!$H:$H,pg_transaction_cleaned!$O:$O,A2086,pg_transaction_cleaned!$F:$F,"CAPTURE")</f>
        <v>349</v>
      </c>
      <c r="L2086" s="23">
        <f>COUNTIFS(pg_transaction_cleaned!$O:$O,A2086,pg_transaction_cleaned!$F:$F,"REFUND")</f>
        <v>0</v>
      </c>
      <c r="M2086" s="39">
        <f>SUMIFS(pg_transaction_cleaned!$H:$H,pg_transaction_cleaned!$O:$O,A2086,pg_transaction_cleaned!$F:$F,"REFUND")</f>
        <v>0</v>
      </c>
      <c r="N2086" s="23" t="str">
        <f t="shared" si="130"/>
        <v>OK</v>
      </c>
      <c r="O2086" s="24">
        <f t="shared" si="131"/>
        <v>0</v>
      </c>
    </row>
    <row r="2087" spans="1:15" ht="15" customHeight="1" x14ac:dyDescent="0.3">
      <c r="A2087" s="23" t="s">
        <v>4662</v>
      </c>
      <c r="B2087" s="38">
        <v>46292</v>
      </c>
      <c r="C2087" s="23" t="s">
        <v>4663</v>
      </c>
      <c r="D2087" s="23" t="s">
        <v>93</v>
      </c>
      <c r="E2087" s="23" t="s">
        <v>75</v>
      </c>
      <c r="F2087" s="23" t="s">
        <v>561</v>
      </c>
      <c r="G2087" s="23" t="s">
        <v>250</v>
      </c>
      <c r="H2087" s="39">
        <f t="shared" si="128"/>
        <v>4797</v>
      </c>
      <c r="I2087" s="23" t="str">
        <f t="shared" si="129"/>
        <v>Kolkata</v>
      </c>
      <c r="J2087" s="23">
        <f>COUNTIFS(pg_transaction_cleaned!$O:$O,A2087,pg_transaction_cleaned!$F:$F,"CAPTURE")</f>
        <v>1</v>
      </c>
      <c r="K2087" s="39">
        <f>SUMIFS(pg_transaction_cleaned!$H:$H,pg_transaction_cleaned!$O:$O,A2087,pg_transaction_cleaned!$F:$F,"CAPTURE")</f>
        <v>4797</v>
      </c>
      <c r="L2087" s="23">
        <f>COUNTIFS(pg_transaction_cleaned!$O:$O,A2087,pg_transaction_cleaned!$F:$F,"REFUND")</f>
        <v>0</v>
      </c>
      <c r="M2087" s="39">
        <f>SUMIFS(pg_transaction_cleaned!$H:$H,pg_transaction_cleaned!$O:$O,A2087,pg_transaction_cleaned!$F:$F,"REFUND")</f>
        <v>0</v>
      </c>
      <c r="N2087" s="23" t="str">
        <f t="shared" si="130"/>
        <v>OK</v>
      </c>
      <c r="O2087" s="24">
        <f t="shared" si="131"/>
        <v>0</v>
      </c>
    </row>
    <row r="2088" spans="1:15" ht="15" customHeight="1" x14ac:dyDescent="0.3">
      <c r="A2088" s="23" t="s">
        <v>4664</v>
      </c>
      <c r="B2088" s="38">
        <v>46275</v>
      </c>
      <c r="C2088" s="23" t="s">
        <v>4665</v>
      </c>
      <c r="D2088" s="23" t="s">
        <v>92</v>
      </c>
      <c r="E2088" s="23" t="s">
        <v>75</v>
      </c>
      <c r="F2088" s="23" t="s">
        <v>370</v>
      </c>
      <c r="G2088" s="23" t="s">
        <v>365</v>
      </c>
      <c r="H2088" s="39">
        <f t="shared" si="128"/>
        <v>3098</v>
      </c>
      <c r="I2088" s="23" t="str">
        <f t="shared" si="129"/>
        <v>Hyderabad</v>
      </c>
      <c r="J2088" s="23">
        <f>COUNTIFS(pg_transaction_cleaned!$O:$O,A2088,pg_transaction_cleaned!$F:$F,"CAPTURE")</f>
        <v>0</v>
      </c>
      <c r="K2088" s="39">
        <f>SUMIFS(pg_transaction_cleaned!$H:$H,pg_transaction_cleaned!$O:$O,A2088,pg_transaction_cleaned!$F:$F,"CAPTURE")</f>
        <v>0</v>
      </c>
      <c r="L2088" s="23">
        <f>COUNTIFS(pg_transaction_cleaned!$O:$O,A2088,pg_transaction_cleaned!$F:$F,"REFUND")</f>
        <v>0</v>
      </c>
      <c r="M2088" s="39">
        <f>SUMIFS(pg_transaction_cleaned!$H:$H,pg_transaction_cleaned!$O:$O,A2088,pg_transaction_cleaned!$F:$F,"REFUND")</f>
        <v>0</v>
      </c>
      <c r="N2088" s="23" t="str">
        <f t="shared" si="130"/>
        <v>OK</v>
      </c>
      <c r="O2088" s="24">
        <f t="shared" si="131"/>
        <v>0</v>
      </c>
    </row>
    <row r="2089" spans="1:15" ht="15" customHeight="1" x14ac:dyDescent="0.3">
      <c r="A2089" s="23" t="s">
        <v>4666</v>
      </c>
      <c r="B2089" s="38">
        <v>46266</v>
      </c>
      <c r="C2089" s="23" t="s">
        <v>4667</v>
      </c>
      <c r="D2089" s="23" t="s">
        <v>88</v>
      </c>
      <c r="E2089" s="23" t="s">
        <v>79</v>
      </c>
      <c r="F2089" s="23" t="s">
        <v>475</v>
      </c>
      <c r="G2089" s="23" t="s">
        <v>250</v>
      </c>
      <c r="H2089" s="39">
        <f t="shared" si="128"/>
        <v>799</v>
      </c>
      <c r="I2089" s="23" t="str">
        <f t="shared" si="129"/>
        <v>Lucknow</v>
      </c>
      <c r="J2089" s="23">
        <f>COUNTIFS(pg_transaction_cleaned!$O:$O,A2089,pg_transaction_cleaned!$F:$F,"CAPTURE")</f>
        <v>1</v>
      </c>
      <c r="K2089" s="39">
        <f>SUMIFS(pg_transaction_cleaned!$H:$H,pg_transaction_cleaned!$O:$O,A2089,pg_transaction_cleaned!$F:$F,"CAPTURE")</f>
        <v>799</v>
      </c>
      <c r="L2089" s="23">
        <f>COUNTIFS(pg_transaction_cleaned!$O:$O,A2089,pg_transaction_cleaned!$F:$F,"REFUND")</f>
        <v>0</v>
      </c>
      <c r="M2089" s="39">
        <f>SUMIFS(pg_transaction_cleaned!$H:$H,pg_transaction_cleaned!$O:$O,A2089,pg_transaction_cleaned!$F:$F,"REFUND")</f>
        <v>0</v>
      </c>
      <c r="N2089" s="23" t="str">
        <f t="shared" si="130"/>
        <v>OK</v>
      </c>
      <c r="O2089" s="24">
        <f t="shared" si="131"/>
        <v>0</v>
      </c>
    </row>
    <row r="2090" spans="1:15" ht="15" customHeight="1" x14ac:dyDescent="0.3">
      <c r="A2090" s="23" t="s">
        <v>4668</v>
      </c>
      <c r="B2090" s="38">
        <v>46285</v>
      </c>
      <c r="C2090" s="23" t="s">
        <v>4669</v>
      </c>
      <c r="D2090" s="23" t="s">
        <v>86</v>
      </c>
      <c r="E2090" s="23" t="s">
        <v>75</v>
      </c>
      <c r="F2090" s="23" t="s">
        <v>249</v>
      </c>
      <c r="G2090" s="23" t="s">
        <v>250</v>
      </c>
      <c r="H2090" s="39">
        <f t="shared" si="128"/>
        <v>299</v>
      </c>
      <c r="I2090" s="23" t="str">
        <f t="shared" si="129"/>
        <v>Delhi</v>
      </c>
      <c r="J2090" s="23">
        <f>COUNTIFS(pg_transaction_cleaned!$O:$O,A2090,pg_transaction_cleaned!$F:$F,"CAPTURE")</f>
        <v>1</v>
      </c>
      <c r="K2090" s="39">
        <f>SUMIFS(pg_transaction_cleaned!$H:$H,pg_transaction_cleaned!$O:$O,A2090,pg_transaction_cleaned!$F:$F,"CAPTURE")</f>
        <v>299</v>
      </c>
      <c r="L2090" s="23">
        <f>COUNTIFS(pg_transaction_cleaned!$O:$O,A2090,pg_transaction_cleaned!$F:$F,"REFUND")</f>
        <v>0</v>
      </c>
      <c r="M2090" s="39">
        <f>SUMIFS(pg_transaction_cleaned!$H:$H,pg_transaction_cleaned!$O:$O,A2090,pg_transaction_cleaned!$F:$F,"REFUND")</f>
        <v>0</v>
      </c>
      <c r="N2090" s="23" t="str">
        <f t="shared" si="130"/>
        <v>OK</v>
      </c>
      <c r="O2090" s="24">
        <f t="shared" si="131"/>
        <v>0</v>
      </c>
    </row>
    <row r="2091" spans="1:15" ht="15" customHeight="1" x14ac:dyDescent="0.3">
      <c r="A2091" s="23" t="s">
        <v>4670</v>
      </c>
      <c r="B2091" s="38">
        <v>46290</v>
      </c>
      <c r="C2091" s="23" t="s">
        <v>4671</v>
      </c>
      <c r="D2091" s="23"/>
      <c r="E2091" s="23" t="s">
        <v>79</v>
      </c>
      <c r="F2091" s="23" t="s">
        <v>1035</v>
      </c>
      <c r="G2091" s="23" t="s">
        <v>250</v>
      </c>
      <c r="H2091" s="39">
        <f t="shared" si="128"/>
        <v>1299</v>
      </c>
      <c r="I2091" s="23" t="str">
        <f t="shared" si="129"/>
        <v>Unknown</v>
      </c>
      <c r="J2091" s="23">
        <f>COUNTIFS(pg_transaction_cleaned!$O:$O,A2091,pg_transaction_cleaned!$F:$F,"CAPTURE")</f>
        <v>1</v>
      </c>
      <c r="K2091" s="39">
        <f>SUMIFS(pg_transaction_cleaned!$H:$H,pg_transaction_cleaned!$O:$O,A2091,pg_transaction_cleaned!$F:$F,"CAPTURE")</f>
        <v>1299</v>
      </c>
      <c r="L2091" s="23">
        <f>COUNTIFS(pg_transaction_cleaned!$O:$O,A2091,pg_transaction_cleaned!$F:$F,"REFUND")</f>
        <v>0</v>
      </c>
      <c r="M2091" s="39">
        <f>SUMIFS(pg_transaction_cleaned!$H:$H,pg_transaction_cleaned!$O:$O,A2091,pg_transaction_cleaned!$F:$F,"REFUND")</f>
        <v>0</v>
      </c>
      <c r="N2091" s="23" t="str">
        <f t="shared" si="130"/>
        <v>OK</v>
      </c>
      <c r="O2091" s="24">
        <f t="shared" si="131"/>
        <v>0</v>
      </c>
    </row>
    <row r="2092" spans="1:15" ht="15" customHeight="1" x14ac:dyDescent="0.3">
      <c r="A2092" s="23" t="s">
        <v>4672</v>
      </c>
      <c r="B2092" s="38">
        <v>46272</v>
      </c>
      <c r="C2092" s="23" t="s">
        <v>4673</v>
      </c>
      <c r="D2092" s="23" t="s">
        <v>86</v>
      </c>
      <c r="E2092" s="23" t="s">
        <v>75</v>
      </c>
      <c r="F2092" s="23" t="s">
        <v>310</v>
      </c>
      <c r="G2092" s="23" t="s">
        <v>250</v>
      </c>
      <c r="H2092" s="39">
        <f t="shared" si="128"/>
        <v>7999</v>
      </c>
      <c r="I2092" s="23" t="str">
        <f t="shared" si="129"/>
        <v>Delhi</v>
      </c>
      <c r="J2092" s="23">
        <f>COUNTIFS(pg_transaction_cleaned!$O:$O,A2092,pg_transaction_cleaned!$F:$F,"CAPTURE")</f>
        <v>1</v>
      </c>
      <c r="K2092" s="39">
        <f>SUMIFS(pg_transaction_cleaned!$H:$H,pg_transaction_cleaned!$O:$O,A2092,pg_transaction_cleaned!$F:$F,"CAPTURE")</f>
        <v>7999</v>
      </c>
      <c r="L2092" s="23">
        <f>COUNTIFS(pg_transaction_cleaned!$O:$O,A2092,pg_transaction_cleaned!$F:$F,"REFUND")</f>
        <v>0</v>
      </c>
      <c r="M2092" s="39">
        <f>SUMIFS(pg_transaction_cleaned!$H:$H,pg_transaction_cleaned!$O:$O,A2092,pg_transaction_cleaned!$F:$F,"REFUND")</f>
        <v>0</v>
      </c>
      <c r="N2092" s="23" t="str">
        <f t="shared" si="130"/>
        <v>OK</v>
      </c>
      <c r="O2092" s="24">
        <f t="shared" si="131"/>
        <v>0</v>
      </c>
    </row>
    <row r="2093" spans="1:15" ht="15" customHeight="1" x14ac:dyDescent="0.3">
      <c r="A2093" s="23" t="s">
        <v>4674</v>
      </c>
      <c r="B2093" s="38">
        <v>46294</v>
      </c>
      <c r="C2093" s="23" t="s">
        <v>4675</v>
      </c>
      <c r="D2093" s="23" t="s">
        <v>95</v>
      </c>
      <c r="E2093" s="23" t="s">
        <v>77</v>
      </c>
      <c r="F2093" s="23" t="s">
        <v>724</v>
      </c>
      <c r="G2093" s="23" t="s">
        <v>250</v>
      </c>
      <c r="H2093" s="39">
        <f t="shared" si="128"/>
        <v>3848</v>
      </c>
      <c r="I2093" s="23" t="str">
        <f t="shared" si="129"/>
        <v>Bengaluru</v>
      </c>
      <c r="J2093" s="23">
        <f>COUNTIFS(pg_transaction_cleaned!$O:$O,A2093,pg_transaction_cleaned!$F:$F,"CAPTURE")</f>
        <v>1</v>
      </c>
      <c r="K2093" s="39">
        <f>SUMIFS(pg_transaction_cleaned!$H:$H,pg_transaction_cleaned!$O:$O,A2093,pg_transaction_cleaned!$F:$F,"CAPTURE")</f>
        <v>3848</v>
      </c>
      <c r="L2093" s="23">
        <f>COUNTIFS(pg_transaction_cleaned!$O:$O,A2093,pg_transaction_cleaned!$F:$F,"REFUND")</f>
        <v>0</v>
      </c>
      <c r="M2093" s="39">
        <f>SUMIFS(pg_transaction_cleaned!$H:$H,pg_transaction_cleaned!$O:$O,A2093,pg_transaction_cleaned!$F:$F,"REFUND")</f>
        <v>0</v>
      </c>
      <c r="N2093" s="23" t="str">
        <f t="shared" si="130"/>
        <v>OK</v>
      </c>
      <c r="O2093" s="24">
        <f t="shared" si="131"/>
        <v>0</v>
      </c>
    </row>
    <row r="2094" spans="1:15" ht="15" customHeight="1" x14ac:dyDescent="0.3">
      <c r="A2094" s="23" t="s">
        <v>4676</v>
      </c>
      <c r="B2094" s="38">
        <v>46280</v>
      </c>
      <c r="C2094" s="23" t="s">
        <v>4677</v>
      </c>
      <c r="D2094" s="23" t="s">
        <v>91</v>
      </c>
      <c r="E2094" s="23" t="s">
        <v>75</v>
      </c>
      <c r="F2094" s="23" t="s">
        <v>396</v>
      </c>
      <c r="G2094" s="23" t="s">
        <v>250</v>
      </c>
      <c r="H2094" s="39">
        <f t="shared" si="128"/>
        <v>2999</v>
      </c>
      <c r="I2094" s="23" t="str">
        <f t="shared" si="129"/>
        <v>Pune</v>
      </c>
      <c r="J2094" s="23">
        <f>COUNTIFS(pg_transaction_cleaned!$O:$O,A2094,pg_transaction_cleaned!$F:$F,"CAPTURE")</f>
        <v>1</v>
      </c>
      <c r="K2094" s="39">
        <f>SUMIFS(pg_transaction_cleaned!$H:$H,pg_transaction_cleaned!$O:$O,A2094,pg_transaction_cleaned!$F:$F,"CAPTURE")</f>
        <v>2999</v>
      </c>
      <c r="L2094" s="23">
        <f>COUNTIFS(pg_transaction_cleaned!$O:$O,A2094,pg_transaction_cleaned!$F:$F,"REFUND")</f>
        <v>0</v>
      </c>
      <c r="M2094" s="39">
        <f>SUMIFS(pg_transaction_cleaned!$H:$H,pg_transaction_cleaned!$O:$O,A2094,pg_transaction_cleaned!$F:$F,"REFUND")</f>
        <v>0</v>
      </c>
      <c r="N2094" s="23" t="str">
        <f t="shared" si="130"/>
        <v>OK</v>
      </c>
      <c r="O2094" s="24">
        <f t="shared" si="131"/>
        <v>0</v>
      </c>
    </row>
    <row r="2095" spans="1:15" ht="15" customHeight="1" x14ac:dyDescent="0.3">
      <c r="A2095" s="23" t="s">
        <v>4678</v>
      </c>
      <c r="B2095" s="38">
        <v>46282</v>
      </c>
      <c r="C2095" s="23" t="s">
        <v>4679</v>
      </c>
      <c r="D2095" s="23" t="s">
        <v>95</v>
      </c>
      <c r="E2095" s="23" t="s">
        <v>79</v>
      </c>
      <c r="F2095" s="23" t="s">
        <v>294</v>
      </c>
      <c r="G2095" s="23" t="s">
        <v>250</v>
      </c>
      <c r="H2095" s="39">
        <f t="shared" si="128"/>
        <v>1799</v>
      </c>
      <c r="I2095" s="23" t="str">
        <f t="shared" si="129"/>
        <v>Bengaluru</v>
      </c>
      <c r="J2095" s="23">
        <f>COUNTIFS(pg_transaction_cleaned!$O:$O,A2095,pg_transaction_cleaned!$F:$F,"CAPTURE")</f>
        <v>1</v>
      </c>
      <c r="K2095" s="39">
        <f>SUMIFS(pg_transaction_cleaned!$H:$H,pg_transaction_cleaned!$O:$O,A2095,pg_transaction_cleaned!$F:$F,"CAPTURE")</f>
        <v>1799</v>
      </c>
      <c r="L2095" s="23">
        <f>COUNTIFS(pg_transaction_cleaned!$O:$O,A2095,pg_transaction_cleaned!$F:$F,"REFUND")</f>
        <v>0</v>
      </c>
      <c r="M2095" s="39">
        <f>SUMIFS(pg_transaction_cleaned!$H:$H,pg_transaction_cleaned!$O:$O,A2095,pg_transaction_cleaned!$F:$F,"REFUND")</f>
        <v>0</v>
      </c>
      <c r="N2095" s="23" t="str">
        <f t="shared" si="130"/>
        <v>OK</v>
      </c>
      <c r="O2095" s="24">
        <f t="shared" si="131"/>
        <v>0</v>
      </c>
    </row>
    <row r="2096" spans="1:15" ht="15" customHeight="1" x14ac:dyDescent="0.3">
      <c r="A2096" s="23" t="s">
        <v>4680</v>
      </c>
      <c r="B2096" s="38">
        <v>46287</v>
      </c>
      <c r="C2096" s="23" t="s">
        <v>4681</v>
      </c>
      <c r="D2096" s="23" t="s">
        <v>86</v>
      </c>
      <c r="E2096" s="23" t="s">
        <v>79</v>
      </c>
      <c r="F2096" s="23" t="s">
        <v>490</v>
      </c>
      <c r="G2096" s="23" t="s">
        <v>250</v>
      </c>
      <c r="H2096" s="39">
        <f t="shared" si="128"/>
        <v>8798</v>
      </c>
      <c r="I2096" s="23" t="str">
        <f t="shared" si="129"/>
        <v>Delhi</v>
      </c>
      <c r="J2096" s="23">
        <f>COUNTIFS(pg_transaction_cleaned!$O:$O,A2096,pg_transaction_cleaned!$F:$F,"CAPTURE")</f>
        <v>1</v>
      </c>
      <c r="K2096" s="39">
        <f>SUMIFS(pg_transaction_cleaned!$H:$H,pg_transaction_cleaned!$O:$O,A2096,pg_transaction_cleaned!$F:$F,"CAPTURE")</f>
        <v>8798</v>
      </c>
      <c r="L2096" s="23">
        <f>COUNTIFS(pg_transaction_cleaned!$O:$O,A2096,pg_transaction_cleaned!$F:$F,"REFUND")</f>
        <v>0</v>
      </c>
      <c r="M2096" s="39">
        <f>SUMIFS(pg_transaction_cleaned!$H:$H,pg_transaction_cleaned!$O:$O,A2096,pg_transaction_cleaned!$F:$F,"REFUND")</f>
        <v>0</v>
      </c>
      <c r="N2096" s="23" t="str">
        <f t="shared" si="130"/>
        <v>OK</v>
      </c>
      <c r="O2096" s="24">
        <f t="shared" si="131"/>
        <v>0</v>
      </c>
    </row>
    <row r="2097" spans="1:15" ht="15" customHeight="1" x14ac:dyDescent="0.3">
      <c r="A2097" s="23" t="s">
        <v>4682</v>
      </c>
      <c r="B2097" s="38">
        <v>46268</v>
      </c>
      <c r="C2097" s="23" t="s">
        <v>4683</v>
      </c>
      <c r="D2097" s="23" t="s">
        <v>90</v>
      </c>
      <c r="E2097" s="23" t="s">
        <v>77</v>
      </c>
      <c r="F2097" s="23" t="s">
        <v>1299</v>
      </c>
      <c r="G2097" s="23" t="s">
        <v>250</v>
      </c>
      <c r="H2097" s="39">
        <f t="shared" si="128"/>
        <v>2097</v>
      </c>
      <c r="I2097" s="23" t="str">
        <f t="shared" si="129"/>
        <v>Ahmedabad</v>
      </c>
      <c r="J2097" s="23">
        <f>COUNTIFS(pg_transaction_cleaned!$O:$O,A2097,pg_transaction_cleaned!$F:$F,"CAPTURE")</f>
        <v>1</v>
      </c>
      <c r="K2097" s="39">
        <f>SUMIFS(pg_transaction_cleaned!$H:$H,pg_transaction_cleaned!$O:$O,A2097,pg_transaction_cleaned!$F:$F,"CAPTURE")</f>
        <v>2097</v>
      </c>
      <c r="L2097" s="23">
        <f>COUNTIFS(pg_transaction_cleaned!$O:$O,A2097,pg_transaction_cleaned!$F:$F,"REFUND")</f>
        <v>0</v>
      </c>
      <c r="M2097" s="39">
        <f>SUMIFS(pg_transaction_cleaned!$H:$H,pg_transaction_cleaned!$O:$O,A2097,pg_transaction_cleaned!$F:$F,"REFUND")</f>
        <v>0</v>
      </c>
      <c r="N2097" s="23" t="str">
        <f t="shared" si="130"/>
        <v>OK</v>
      </c>
      <c r="O2097" s="24">
        <f t="shared" si="131"/>
        <v>0</v>
      </c>
    </row>
    <row r="2098" spans="1:15" ht="15" customHeight="1" x14ac:dyDescent="0.3">
      <c r="A2098" s="23" t="s">
        <v>4684</v>
      </c>
      <c r="B2098" s="38">
        <v>46279</v>
      </c>
      <c r="C2098" s="23" t="s">
        <v>4685</v>
      </c>
      <c r="D2098" s="23" t="s">
        <v>95</v>
      </c>
      <c r="E2098" s="23" t="s">
        <v>79</v>
      </c>
      <c r="F2098" s="23" t="s">
        <v>337</v>
      </c>
      <c r="G2098" s="23" t="s">
        <v>250</v>
      </c>
      <c r="H2098" s="39">
        <f t="shared" si="128"/>
        <v>3998</v>
      </c>
      <c r="I2098" s="23" t="str">
        <f t="shared" si="129"/>
        <v>Bengaluru</v>
      </c>
      <c r="J2098" s="23">
        <f>COUNTIFS(pg_transaction_cleaned!$O:$O,A2098,pg_transaction_cleaned!$F:$F,"CAPTURE")</f>
        <v>1</v>
      </c>
      <c r="K2098" s="39">
        <f>SUMIFS(pg_transaction_cleaned!$H:$H,pg_transaction_cleaned!$O:$O,A2098,pg_transaction_cleaned!$F:$F,"CAPTURE")</f>
        <v>3998</v>
      </c>
      <c r="L2098" s="23">
        <f>COUNTIFS(pg_transaction_cleaned!$O:$O,A2098,pg_transaction_cleaned!$F:$F,"REFUND")</f>
        <v>0</v>
      </c>
      <c r="M2098" s="39">
        <f>SUMIFS(pg_transaction_cleaned!$H:$H,pg_transaction_cleaned!$O:$O,A2098,pg_transaction_cleaned!$F:$F,"REFUND")</f>
        <v>0</v>
      </c>
      <c r="N2098" s="23" t="str">
        <f t="shared" si="130"/>
        <v>OK</v>
      </c>
      <c r="O2098" s="24">
        <f t="shared" si="131"/>
        <v>0</v>
      </c>
    </row>
    <row r="2099" spans="1:15" ht="15" customHeight="1" x14ac:dyDescent="0.3">
      <c r="A2099" s="23" t="s">
        <v>4686</v>
      </c>
      <c r="B2099" s="38">
        <v>46282</v>
      </c>
      <c r="C2099" s="23" t="s">
        <v>4687</v>
      </c>
      <c r="D2099" s="23" t="s">
        <v>94</v>
      </c>
      <c r="E2099" s="23" t="s">
        <v>79</v>
      </c>
      <c r="F2099" s="23" t="s">
        <v>274</v>
      </c>
      <c r="G2099" s="23" t="s">
        <v>301</v>
      </c>
      <c r="H2099" s="39">
        <f t="shared" si="128"/>
        <v>349</v>
      </c>
      <c r="I2099" s="23" t="str">
        <f t="shared" si="129"/>
        <v>Chennai</v>
      </c>
      <c r="J2099" s="23">
        <f>COUNTIFS(pg_transaction_cleaned!$O:$O,A2099,pg_transaction_cleaned!$F:$F,"CAPTURE")</f>
        <v>1</v>
      </c>
      <c r="K2099" s="39">
        <f>SUMIFS(pg_transaction_cleaned!$H:$H,pg_transaction_cleaned!$O:$O,A2099,pg_transaction_cleaned!$F:$F,"CAPTURE")</f>
        <v>349</v>
      </c>
      <c r="L2099" s="23">
        <f>COUNTIFS(pg_transaction_cleaned!$O:$O,A2099,pg_transaction_cleaned!$F:$F,"REFUND")</f>
        <v>1</v>
      </c>
      <c r="M2099" s="39">
        <f>SUMIFS(pg_transaction_cleaned!$H:$H,pg_transaction_cleaned!$O:$O,A2099,pg_transaction_cleaned!$F:$F,"REFUND")</f>
        <v>349</v>
      </c>
      <c r="N2099" s="23" t="str">
        <f t="shared" si="130"/>
        <v>OK</v>
      </c>
      <c r="O2099" s="24">
        <f t="shared" si="131"/>
        <v>0</v>
      </c>
    </row>
    <row r="2100" spans="1:15" ht="15" customHeight="1" x14ac:dyDescent="0.3">
      <c r="A2100" s="23" t="s">
        <v>4688</v>
      </c>
      <c r="B2100" s="38">
        <v>46273</v>
      </c>
      <c r="C2100" s="23" t="s">
        <v>4689</v>
      </c>
      <c r="D2100" s="23"/>
      <c r="E2100" s="23" t="s">
        <v>75</v>
      </c>
      <c r="F2100" s="23" t="s">
        <v>4690</v>
      </c>
      <c r="G2100" s="23" t="s">
        <v>301</v>
      </c>
      <c r="H2100" s="39">
        <f t="shared" si="128"/>
        <v>12997</v>
      </c>
      <c r="I2100" s="23" t="str">
        <f t="shared" si="129"/>
        <v>Unknown</v>
      </c>
      <c r="J2100" s="23">
        <f>COUNTIFS(pg_transaction_cleaned!$O:$O,A2100,pg_transaction_cleaned!$F:$F,"CAPTURE")</f>
        <v>1</v>
      </c>
      <c r="K2100" s="39">
        <f>SUMIFS(pg_transaction_cleaned!$H:$H,pg_transaction_cleaned!$O:$O,A2100,pg_transaction_cleaned!$F:$F,"CAPTURE")</f>
        <v>12997</v>
      </c>
      <c r="L2100" s="23">
        <f>COUNTIFS(pg_transaction_cleaned!$O:$O,A2100,pg_transaction_cleaned!$F:$F,"REFUND")</f>
        <v>1</v>
      </c>
      <c r="M2100" s="39">
        <f>SUMIFS(pg_transaction_cleaned!$H:$H,pg_transaction_cleaned!$O:$O,A2100,pg_transaction_cleaned!$F:$F,"REFUND")</f>
        <v>12997</v>
      </c>
      <c r="N2100" s="23" t="str">
        <f t="shared" si="130"/>
        <v>OK</v>
      </c>
      <c r="O2100" s="24">
        <f t="shared" si="131"/>
        <v>0</v>
      </c>
    </row>
    <row r="2101" spans="1:15" ht="15" customHeight="1" x14ac:dyDescent="0.3">
      <c r="A2101" s="23" t="s">
        <v>4691</v>
      </c>
      <c r="B2101" s="38">
        <v>46293</v>
      </c>
      <c r="C2101" s="23" t="s">
        <v>4692</v>
      </c>
      <c r="D2101" s="23" t="s">
        <v>89</v>
      </c>
      <c r="E2101" s="23" t="s">
        <v>75</v>
      </c>
      <c r="F2101" s="23" t="s">
        <v>310</v>
      </c>
      <c r="G2101" s="23" t="s">
        <v>250</v>
      </c>
      <c r="H2101" s="39">
        <f t="shared" si="128"/>
        <v>7999</v>
      </c>
      <c r="I2101" s="23" t="str">
        <f t="shared" si="129"/>
        <v>Jaipur</v>
      </c>
      <c r="J2101" s="23">
        <f>COUNTIFS(pg_transaction_cleaned!$O:$O,A2101,pg_transaction_cleaned!$F:$F,"CAPTURE")</f>
        <v>1</v>
      </c>
      <c r="K2101" s="39">
        <f>SUMIFS(pg_transaction_cleaned!$H:$H,pg_transaction_cleaned!$O:$O,A2101,pg_transaction_cleaned!$F:$F,"CAPTURE")</f>
        <v>7999</v>
      </c>
      <c r="L2101" s="23">
        <f>COUNTIFS(pg_transaction_cleaned!$O:$O,A2101,pg_transaction_cleaned!$F:$F,"REFUND")</f>
        <v>0</v>
      </c>
      <c r="M2101" s="39">
        <f>SUMIFS(pg_transaction_cleaned!$H:$H,pg_transaction_cleaned!$O:$O,A2101,pg_transaction_cleaned!$F:$F,"REFUND")</f>
        <v>0</v>
      </c>
      <c r="N2101" s="23" t="str">
        <f t="shared" si="130"/>
        <v>OK</v>
      </c>
      <c r="O2101" s="24">
        <f t="shared" si="131"/>
        <v>0</v>
      </c>
    </row>
    <row r="2102" spans="1:15" ht="15" customHeight="1" x14ac:dyDescent="0.3">
      <c r="A2102" s="23" t="s">
        <v>4693</v>
      </c>
      <c r="B2102" s="38">
        <v>46276</v>
      </c>
      <c r="C2102" s="23" t="s">
        <v>4694</v>
      </c>
      <c r="D2102" s="23" t="s">
        <v>91</v>
      </c>
      <c r="E2102" s="23" t="s">
        <v>75</v>
      </c>
      <c r="F2102" s="23" t="s">
        <v>675</v>
      </c>
      <c r="G2102" s="23" t="s">
        <v>250</v>
      </c>
      <c r="H2102" s="39">
        <f t="shared" si="128"/>
        <v>10998</v>
      </c>
      <c r="I2102" s="23" t="str">
        <f t="shared" si="129"/>
        <v>Pune</v>
      </c>
      <c r="J2102" s="23">
        <f>COUNTIFS(pg_transaction_cleaned!$O:$O,A2102,pg_transaction_cleaned!$F:$F,"CAPTURE")</f>
        <v>1</v>
      </c>
      <c r="K2102" s="39">
        <f>SUMIFS(pg_transaction_cleaned!$H:$H,pg_transaction_cleaned!$O:$O,A2102,pg_transaction_cleaned!$F:$F,"CAPTURE")</f>
        <v>10998</v>
      </c>
      <c r="L2102" s="23">
        <f>COUNTIFS(pg_transaction_cleaned!$O:$O,A2102,pg_transaction_cleaned!$F:$F,"REFUND")</f>
        <v>0</v>
      </c>
      <c r="M2102" s="39">
        <f>SUMIFS(pg_transaction_cleaned!$H:$H,pg_transaction_cleaned!$O:$O,A2102,pg_transaction_cleaned!$F:$F,"REFUND")</f>
        <v>0</v>
      </c>
      <c r="N2102" s="23" t="str">
        <f t="shared" si="130"/>
        <v>OK</v>
      </c>
      <c r="O2102" s="24">
        <f t="shared" si="131"/>
        <v>0</v>
      </c>
    </row>
    <row r="2103" spans="1:15" ht="15" customHeight="1" x14ac:dyDescent="0.3">
      <c r="A2103" s="23" t="s">
        <v>4695</v>
      </c>
      <c r="B2103" s="38">
        <v>46288</v>
      </c>
      <c r="C2103" s="23" t="s">
        <v>4696</v>
      </c>
      <c r="D2103" s="23" t="s">
        <v>92</v>
      </c>
      <c r="E2103" s="23" t="s">
        <v>79</v>
      </c>
      <c r="F2103" s="23" t="s">
        <v>370</v>
      </c>
      <c r="G2103" s="23" t="s">
        <v>250</v>
      </c>
      <c r="H2103" s="39">
        <f t="shared" si="128"/>
        <v>3098</v>
      </c>
      <c r="I2103" s="23" t="str">
        <f t="shared" si="129"/>
        <v>Hyderabad</v>
      </c>
      <c r="J2103" s="23">
        <f>COUNTIFS(pg_transaction_cleaned!$O:$O,A2103,pg_transaction_cleaned!$F:$F,"CAPTURE")</f>
        <v>1</v>
      </c>
      <c r="K2103" s="39">
        <f>SUMIFS(pg_transaction_cleaned!$H:$H,pg_transaction_cleaned!$O:$O,A2103,pg_transaction_cleaned!$F:$F,"CAPTURE")</f>
        <v>3098</v>
      </c>
      <c r="L2103" s="23">
        <f>COUNTIFS(pg_transaction_cleaned!$O:$O,A2103,pg_transaction_cleaned!$F:$F,"REFUND")</f>
        <v>0</v>
      </c>
      <c r="M2103" s="39">
        <f>SUMIFS(pg_transaction_cleaned!$H:$H,pg_transaction_cleaned!$O:$O,A2103,pg_transaction_cleaned!$F:$F,"REFUND")</f>
        <v>0</v>
      </c>
      <c r="N2103" s="23" t="str">
        <f t="shared" si="130"/>
        <v>OK</v>
      </c>
      <c r="O2103" s="24">
        <f t="shared" si="131"/>
        <v>0</v>
      </c>
    </row>
    <row r="2104" spans="1:15" ht="15" customHeight="1" x14ac:dyDescent="0.3">
      <c r="A2104" s="23" t="s">
        <v>4697</v>
      </c>
      <c r="B2104" s="38">
        <v>46269</v>
      </c>
      <c r="C2104" s="23" t="s">
        <v>4698</v>
      </c>
      <c r="D2104" s="23" t="s">
        <v>93</v>
      </c>
      <c r="E2104" s="23" t="s">
        <v>75</v>
      </c>
      <c r="F2104" s="23" t="s">
        <v>280</v>
      </c>
      <c r="G2104" s="23" t="s">
        <v>250</v>
      </c>
      <c r="H2104" s="39">
        <f t="shared" si="128"/>
        <v>5797</v>
      </c>
      <c r="I2104" s="23" t="str">
        <f t="shared" si="129"/>
        <v>Kolkata</v>
      </c>
      <c r="J2104" s="23">
        <f>COUNTIFS(pg_transaction_cleaned!$O:$O,A2104,pg_transaction_cleaned!$F:$F,"CAPTURE")</f>
        <v>1</v>
      </c>
      <c r="K2104" s="39">
        <f>SUMIFS(pg_transaction_cleaned!$H:$H,pg_transaction_cleaned!$O:$O,A2104,pg_transaction_cleaned!$F:$F,"CAPTURE")</f>
        <v>5797</v>
      </c>
      <c r="L2104" s="23">
        <f>COUNTIFS(pg_transaction_cleaned!$O:$O,A2104,pg_transaction_cleaned!$F:$F,"REFUND")</f>
        <v>0</v>
      </c>
      <c r="M2104" s="39">
        <f>SUMIFS(pg_transaction_cleaned!$H:$H,pg_transaction_cleaned!$O:$O,A2104,pg_transaction_cleaned!$F:$F,"REFUND")</f>
        <v>0</v>
      </c>
      <c r="N2104" s="23" t="str">
        <f t="shared" si="130"/>
        <v>OK</v>
      </c>
      <c r="O2104" s="24">
        <f t="shared" si="131"/>
        <v>0</v>
      </c>
    </row>
    <row r="2105" spans="1:15" ht="15" customHeight="1" x14ac:dyDescent="0.3">
      <c r="A2105" s="23" t="s">
        <v>4699</v>
      </c>
      <c r="B2105" s="38">
        <v>46267</v>
      </c>
      <c r="C2105" s="23" t="s">
        <v>4700</v>
      </c>
      <c r="D2105" s="23" t="s">
        <v>88</v>
      </c>
      <c r="E2105" s="23" t="s">
        <v>79</v>
      </c>
      <c r="F2105" s="23" t="s">
        <v>378</v>
      </c>
      <c r="G2105" s="23" t="s">
        <v>250</v>
      </c>
      <c r="H2105" s="39">
        <f t="shared" si="128"/>
        <v>2848</v>
      </c>
      <c r="I2105" s="23" t="str">
        <f t="shared" si="129"/>
        <v>Lucknow</v>
      </c>
      <c r="J2105" s="23">
        <f>COUNTIFS(pg_transaction_cleaned!$O:$O,A2105,pg_transaction_cleaned!$F:$F,"CAPTURE")</f>
        <v>1</v>
      </c>
      <c r="K2105" s="39">
        <f>SUMIFS(pg_transaction_cleaned!$H:$H,pg_transaction_cleaned!$O:$O,A2105,pg_transaction_cleaned!$F:$F,"CAPTURE")</f>
        <v>2848</v>
      </c>
      <c r="L2105" s="23">
        <f>COUNTIFS(pg_transaction_cleaned!$O:$O,A2105,pg_transaction_cleaned!$F:$F,"REFUND")</f>
        <v>0</v>
      </c>
      <c r="M2105" s="39">
        <f>SUMIFS(pg_transaction_cleaned!$H:$H,pg_transaction_cleaned!$O:$O,A2105,pg_transaction_cleaned!$F:$F,"REFUND")</f>
        <v>0</v>
      </c>
      <c r="N2105" s="23" t="str">
        <f t="shared" si="130"/>
        <v>OK</v>
      </c>
      <c r="O2105" s="24">
        <f t="shared" si="131"/>
        <v>0</v>
      </c>
    </row>
    <row r="2106" spans="1:15" ht="15" customHeight="1" x14ac:dyDescent="0.3">
      <c r="A2106" s="23" t="s">
        <v>4701</v>
      </c>
      <c r="B2106" s="38">
        <v>46269</v>
      </c>
      <c r="C2106" s="23" t="s">
        <v>4702</v>
      </c>
      <c r="D2106" s="23" t="s">
        <v>93</v>
      </c>
      <c r="E2106" s="23" t="s">
        <v>79</v>
      </c>
      <c r="F2106" s="23" t="s">
        <v>297</v>
      </c>
      <c r="G2106" s="23" t="s">
        <v>250</v>
      </c>
      <c r="H2106" s="39">
        <f t="shared" si="128"/>
        <v>4999</v>
      </c>
      <c r="I2106" s="23" t="str">
        <f t="shared" si="129"/>
        <v>Kolkata</v>
      </c>
      <c r="J2106" s="23">
        <f>COUNTIFS(pg_transaction_cleaned!$O:$O,A2106,pg_transaction_cleaned!$F:$F,"CAPTURE")</f>
        <v>1</v>
      </c>
      <c r="K2106" s="39">
        <f>SUMIFS(pg_transaction_cleaned!$H:$H,pg_transaction_cleaned!$O:$O,A2106,pg_transaction_cleaned!$F:$F,"CAPTURE")</f>
        <v>4999</v>
      </c>
      <c r="L2106" s="23">
        <f>COUNTIFS(pg_transaction_cleaned!$O:$O,A2106,pg_transaction_cleaned!$F:$F,"REFUND")</f>
        <v>0</v>
      </c>
      <c r="M2106" s="39">
        <f>SUMIFS(pg_transaction_cleaned!$H:$H,pg_transaction_cleaned!$O:$O,A2106,pg_transaction_cleaned!$F:$F,"REFUND")</f>
        <v>0</v>
      </c>
      <c r="N2106" s="23" t="str">
        <f t="shared" si="130"/>
        <v>OK</v>
      </c>
      <c r="O2106" s="24">
        <f t="shared" si="131"/>
        <v>0</v>
      </c>
    </row>
    <row r="2107" spans="1:15" ht="15" customHeight="1" x14ac:dyDescent="0.3">
      <c r="A2107" s="23" t="s">
        <v>4703</v>
      </c>
      <c r="B2107" s="38">
        <v>46292</v>
      </c>
      <c r="C2107" s="23" t="s">
        <v>4704</v>
      </c>
      <c r="D2107" s="23" t="s">
        <v>90</v>
      </c>
      <c r="E2107" s="23" t="s">
        <v>79</v>
      </c>
      <c r="F2107" s="23" t="s">
        <v>2205</v>
      </c>
      <c r="G2107" s="23" t="s">
        <v>250</v>
      </c>
      <c r="H2107" s="39">
        <f t="shared" si="128"/>
        <v>6998</v>
      </c>
      <c r="I2107" s="23" t="str">
        <f t="shared" si="129"/>
        <v>Ahmedabad</v>
      </c>
      <c r="J2107" s="23">
        <f>COUNTIFS(pg_transaction_cleaned!$O:$O,A2107,pg_transaction_cleaned!$F:$F,"CAPTURE")</f>
        <v>1</v>
      </c>
      <c r="K2107" s="39">
        <f>SUMIFS(pg_transaction_cleaned!$H:$H,pg_transaction_cleaned!$O:$O,A2107,pg_transaction_cleaned!$F:$F,"CAPTURE")</f>
        <v>6998</v>
      </c>
      <c r="L2107" s="23">
        <f>COUNTIFS(pg_transaction_cleaned!$O:$O,A2107,pg_transaction_cleaned!$F:$F,"REFUND")</f>
        <v>0</v>
      </c>
      <c r="M2107" s="39">
        <f>SUMIFS(pg_transaction_cleaned!$H:$H,pg_transaction_cleaned!$O:$O,A2107,pg_transaction_cleaned!$F:$F,"REFUND")</f>
        <v>0</v>
      </c>
      <c r="N2107" s="23" t="str">
        <f t="shared" si="130"/>
        <v>OK</v>
      </c>
      <c r="O2107" s="24">
        <f t="shared" si="131"/>
        <v>0</v>
      </c>
    </row>
    <row r="2108" spans="1:15" ht="15" customHeight="1" x14ac:dyDescent="0.3">
      <c r="A2108" s="23" t="s">
        <v>4705</v>
      </c>
      <c r="B2108" s="38">
        <v>46284</v>
      </c>
      <c r="C2108" s="23" t="s">
        <v>4706</v>
      </c>
      <c r="D2108" s="23" t="s">
        <v>87</v>
      </c>
      <c r="E2108" s="23" t="s">
        <v>79</v>
      </c>
      <c r="F2108" s="23" t="s">
        <v>357</v>
      </c>
      <c r="G2108" s="23" t="s">
        <v>250</v>
      </c>
      <c r="H2108" s="39">
        <f t="shared" si="128"/>
        <v>1598</v>
      </c>
      <c r="I2108" s="23" t="str">
        <f t="shared" si="129"/>
        <v>Mumbai</v>
      </c>
      <c r="J2108" s="23">
        <f>COUNTIFS(pg_transaction_cleaned!$O:$O,A2108,pg_transaction_cleaned!$F:$F,"CAPTURE")</f>
        <v>1</v>
      </c>
      <c r="K2108" s="39">
        <f>SUMIFS(pg_transaction_cleaned!$H:$H,pg_transaction_cleaned!$O:$O,A2108,pg_transaction_cleaned!$F:$F,"CAPTURE")</f>
        <v>1598</v>
      </c>
      <c r="L2108" s="23">
        <f>COUNTIFS(pg_transaction_cleaned!$O:$O,A2108,pg_transaction_cleaned!$F:$F,"REFUND")</f>
        <v>0</v>
      </c>
      <c r="M2108" s="39">
        <f>SUMIFS(pg_transaction_cleaned!$H:$H,pg_transaction_cleaned!$O:$O,A2108,pg_transaction_cleaned!$F:$F,"REFUND")</f>
        <v>0</v>
      </c>
      <c r="N2108" s="23" t="str">
        <f t="shared" si="130"/>
        <v>OK</v>
      </c>
      <c r="O2108" s="24">
        <f t="shared" si="131"/>
        <v>0</v>
      </c>
    </row>
    <row r="2109" spans="1:15" ht="15" customHeight="1" x14ac:dyDescent="0.3">
      <c r="A2109" s="23" t="s">
        <v>4707</v>
      </c>
      <c r="B2109" s="38">
        <v>46272</v>
      </c>
      <c r="C2109" s="23" t="s">
        <v>4708</v>
      </c>
      <c r="D2109" s="23" t="s">
        <v>93</v>
      </c>
      <c r="E2109" s="23" t="s">
        <v>75</v>
      </c>
      <c r="F2109" s="23" t="s">
        <v>1372</v>
      </c>
      <c r="G2109" s="23" t="s">
        <v>250</v>
      </c>
      <c r="H2109" s="39">
        <f t="shared" si="128"/>
        <v>798</v>
      </c>
      <c r="I2109" s="23" t="str">
        <f t="shared" si="129"/>
        <v>Kolkata</v>
      </c>
      <c r="J2109" s="23">
        <f>COUNTIFS(pg_transaction_cleaned!$O:$O,A2109,pg_transaction_cleaned!$F:$F,"CAPTURE")</f>
        <v>1</v>
      </c>
      <c r="K2109" s="39">
        <f>SUMIFS(pg_transaction_cleaned!$H:$H,pg_transaction_cleaned!$O:$O,A2109,pg_transaction_cleaned!$F:$F,"CAPTURE")</f>
        <v>798</v>
      </c>
      <c r="L2109" s="23">
        <f>COUNTIFS(pg_transaction_cleaned!$O:$O,A2109,pg_transaction_cleaned!$F:$F,"REFUND")</f>
        <v>0</v>
      </c>
      <c r="M2109" s="39">
        <f>SUMIFS(pg_transaction_cleaned!$H:$H,pg_transaction_cleaned!$O:$O,A2109,pg_transaction_cleaned!$F:$F,"REFUND")</f>
        <v>0</v>
      </c>
      <c r="N2109" s="23" t="str">
        <f t="shared" si="130"/>
        <v>OK</v>
      </c>
      <c r="O2109" s="24">
        <f t="shared" si="131"/>
        <v>0</v>
      </c>
    </row>
    <row r="2110" spans="1:15" ht="15" customHeight="1" x14ac:dyDescent="0.3">
      <c r="A2110" s="23" t="s">
        <v>4709</v>
      </c>
      <c r="B2110" s="38">
        <v>46291</v>
      </c>
      <c r="C2110" s="23" t="s">
        <v>4710</v>
      </c>
      <c r="D2110" s="23" t="s">
        <v>94</v>
      </c>
      <c r="E2110" s="23" t="s">
        <v>77</v>
      </c>
      <c r="F2110" s="23" t="s">
        <v>291</v>
      </c>
      <c r="G2110" s="23" t="s">
        <v>250</v>
      </c>
      <c r="H2110" s="39">
        <f t="shared" si="128"/>
        <v>3499</v>
      </c>
      <c r="I2110" s="23" t="str">
        <f t="shared" si="129"/>
        <v>Chennai</v>
      </c>
      <c r="J2110" s="23">
        <f>COUNTIFS(pg_transaction_cleaned!$O:$O,A2110,pg_transaction_cleaned!$F:$F,"CAPTURE")</f>
        <v>1</v>
      </c>
      <c r="K2110" s="39">
        <f>SUMIFS(pg_transaction_cleaned!$H:$H,pg_transaction_cleaned!$O:$O,A2110,pg_transaction_cleaned!$F:$F,"CAPTURE")</f>
        <v>3499</v>
      </c>
      <c r="L2110" s="23">
        <f>COUNTIFS(pg_transaction_cleaned!$O:$O,A2110,pg_transaction_cleaned!$F:$F,"REFUND")</f>
        <v>0</v>
      </c>
      <c r="M2110" s="39">
        <f>SUMIFS(pg_transaction_cleaned!$H:$H,pg_transaction_cleaned!$O:$O,A2110,pg_transaction_cleaned!$F:$F,"REFUND")</f>
        <v>0</v>
      </c>
      <c r="N2110" s="23" t="str">
        <f t="shared" si="130"/>
        <v>OK</v>
      </c>
      <c r="O2110" s="24">
        <f t="shared" si="131"/>
        <v>0</v>
      </c>
    </row>
    <row r="2111" spans="1:15" ht="15" customHeight="1" x14ac:dyDescent="0.3">
      <c r="A2111" s="23" t="s">
        <v>4711</v>
      </c>
      <c r="B2111" s="38">
        <v>46277</v>
      </c>
      <c r="C2111" s="23" t="s">
        <v>4712</v>
      </c>
      <c r="D2111" s="23" t="s">
        <v>92</v>
      </c>
      <c r="E2111" s="23" t="s">
        <v>75</v>
      </c>
      <c r="F2111" s="23" t="s">
        <v>475</v>
      </c>
      <c r="G2111" s="23" t="s">
        <v>250</v>
      </c>
      <c r="H2111" s="39">
        <f t="shared" si="128"/>
        <v>799</v>
      </c>
      <c r="I2111" s="23" t="str">
        <f t="shared" si="129"/>
        <v>Hyderabad</v>
      </c>
      <c r="J2111" s="23">
        <f>COUNTIFS(pg_transaction_cleaned!$O:$O,A2111,pg_transaction_cleaned!$F:$F,"CAPTURE")</f>
        <v>1</v>
      </c>
      <c r="K2111" s="39">
        <f>SUMIFS(pg_transaction_cleaned!$H:$H,pg_transaction_cleaned!$O:$O,A2111,pg_transaction_cleaned!$F:$F,"CAPTURE")</f>
        <v>799</v>
      </c>
      <c r="L2111" s="23">
        <f>COUNTIFS(pg_transaction_cleaned!$O:$O,A2111,pg_transaction_cleaned!$F:$F,"REFUND")</f>
        <v>0</v>
      </c>
      <c r="M2111" s="39">
        <f>SUMIFS(pg_transaction_cleaned!$H:$H,pg_transaction_cleaned!$O:$O,A2111,pg_transaction_cleaned!$F:$F,"REFUND")</f>
        <v>0</v>
      </c>
      <c r="N2111" s="23" t="str">
        <f t="shared" si="130"/>
        <v>OK</v>
      </c>
      <c r="O2111" s="24">
        <f t="shared" si="131"/>
        <v>0</v>
      </c>
    </row>
    <row r="2112" spans="1:15" ht="15" customHeight="1" x14ac:dyDescent="0.3">
      <c r="A2112" s="23" t="s">
        <v>4713</v>
      </c>
      <c r="B2112" s="38">
        <v>46290</v>
      </c>
      <c r="C2112" s="23" t="s">
        <v>4714</v>
      </c>
      <c r="D2112" s="23" t="s">
        <v>94</v>
      </c>
      <c r="E2112" s="23" t="s">
        <v>81</v>
      </c>
      <c r="F2112" s="23" t="s">
        <v>329</v>
      </c>
      <c r="G2112" s="23" t="s">
        <v>250</v>
      </c>
      <c r="H2112" s="39">
        <f t="shared" si="128"/>
        <v>599</v>
      </c>
      <c r="I2112" s="23" t="str">
        <f t="shared" si="129"/>
        <v>Chennai</v>
      </c>
      <c r="J2112" s="23">
        <f>COUNTIFS(pg_transaction_cleaned!$O:$O,A2112,pg_transaction_cleaned!$F:$F,"CAPTURE")</f>
        <v>1</v>
      </c>
      <c r="K2112" s="39">
        <f>SUMIFS(pg_transaction_cleaned!$H:$H,pg_transaction_cleaned!$O:$O,A2112,pg_transaction_cleaned!$F:$F,"CAPTURE")</f>
        <v>599</v>
      </c>
      <c r="L2112" s="23">
        <f>COUNTIFS(pg_transaction_cleaned!$O:$O,A2112,pg_transaction_cleaned!$F:$F,"REFUND")</f>
        <v>0</v>
      </c>
      <c r="M2112" s="39">
        <f>SUMIFS(pg_transaction_cleaned!$H:$H,pg_transaction_cleaned!$O:$O,A2112,pg_transaction_cleaned!$F:$F,"REFUND")</f>
        <v>0</v>
      </c>
      <c r="N2112" s="23" t="str">
        <f t="shared" si="130"/>
        <v>OK</v>
      </c>
      <c r="O2112" s="24">
        <f t="shared" si="131"/>
        <v>0</v>
      </c>
    </row>
    <row r="2113" spans="1:15" ht="15" customHeight="1" x14ac:dyDescent="0.3">
      <c r="A2113" s="23" t="s">
        <v>4715</v>
      </c>
      <c r="B2113" s="38">
        <v>46289</v>
      </c>
      <c r="C2113" s="23" t="s">
        <v>4716</v>
      </c>
      <c r="D2113" s="23" t="s">
        <v>91</v>
      </c>
      <c r="E2113" s="23" t="s">
        <v>75</v>
      </c>
      <c r="F2113" s="23" t="s">
        <v>499</v>
      </c>
      <c r="G2113" s="23" t="s">
        <v>250</v>
      </c>
      <c r="H2113" s="39">
        <f t="shared" si="128"/>
        <v>5998</v>
      </c>
      <c r="I2113" s="23" t="str">
        <f t="shared" si="129"/>
        <v>Pune</v>
      </c>
      <c r="J2113" s="23">
        <f>COUNTIFS(pg_transaction_cleaned!$O:$O,A2113,pg_transaction_cleaned!$F:$F,"CAPTURE")</f>
        <v>1</v>
      </c>
      <c r="K2113" s="39">
        <f>SUMIFS(pg_transaction_cleaned!$H:$H,pg_transaction_cleaned!$O:$O,A2113,pg_transaction_cleaned!$F:$F,"CAPTURE")</f>
        <v>5998</v>
      </c>
      <c r="L2113" s="23">
        <f>COUNTIFS(pg_transaction_cleaned!$O:$O,A2113,pg_transaction_cleaned!$F:$F,"REFUND")</f>
        <v>0</v>
      </c>
      <c r="M2113" s="39">
        <f>SUMIFS(pg_transaction_cleaned!$H:$H,pg_transaction_cleaned!$O:$O,A2113,pg_transaction_cleaned!$F:$F,"REFUND")</f>
        <v>0</v>
      </c>
      <c r="N2113" s="23" t="str">
        <f t="shared" si="130"/>
        <v>OK</v>
      </c>
      <c r="O2113" s="24">
        <f t="shared" si="131"/>
        <v>0</v>
      </c>
    </row>
    <row r="2114" spans="1:15" ht="15" customHeight="1" x14ac:dyDescent="0.3">
      <c r="A2114" s="23" t="s">
        <v>4717</v>
      </c>
      <c r="B2114" s="38">
        <v>46276</v>
      </c>
      <c r="C2114" s="23" t="s">
        <v>4718</v>
      </c>
      <c r="D2114" s="23" t="s">
        <v>94</v>
      </c>
      <c r="E2114" s="23" t="s">
        <v>81</v>
      </c>
      <c r="F2114" s="23" t="s">
        <v>271</v>
      </c>
      <c r="G2114" s="23" t="s">
        <v>250</v>
      </c>
      <c r="H2114" s="39">
        <f t="shared" ref="H2114:H2177" si="132">VALUE(SUBSTITUTE(F2114,",",""))</f>
        <v>2499</v>
      </c>
      <c r="I2114" s="23" t="str">
        <f t="shared" ref="I2114:I2177" si="133">IF(TRIM(D2114)="","Unknown",TRIM(D2114))</f>
        <v>Chennai</v>
      </c>
      <c r="J2114" s="23">
        <f>COUNTIFS(pg_transaction_cleaned!$O:$O,A2114,pg_transaction_cleaned!$F:$F,"CAPTURE")</f>
        <v>1</v>
      </c>
      <c r="K2114" s="39">
        <f>SUMIFS(pg_transaction_cleaned!$H:$H,pg_transaction_cleaned!$O:$O,A2114,pg_transaction_cleaned!$F:$F,"CAPTURE")</f>
        <v>2499</v>
      </c>
      <c r="L2114" s="23">
        <f>COUNTIFS(pg_transaction_cleaned!$O:$O,A2114,pg_transaction_cleaned!$F:$F,"REFUND")</f>
        <v>0</v>
      </c>
      <c r="M2114" s="39">
        <f>SUMIFS(pg_transaction_cleaned!$H:$H,pg_transaction_cleaned!$O:$O,A2114,pg_transaction_cleaned!$F:$F,"REFUND")</f>
        <v>0</v>
      </c>
      <c r="N2114" s="23" t="str">
        <f t="shared" ref="N2114:N2177" si="134">IF(AND(G2114="Paid",J2114=0),"Paid, no payment",IF(AND(OR(G2114="Failed",G2114="Cancelled"),J2114&gt;0),"Payment on failed/cancelled",IF(J2114&gt;1,"Duplicate charge",IF(AND(J2114=1,ROUND(K2114-H2114,2)&lt;&gt;0),"Amount difference",IF(AND(G2114="Refunded",L2114=0),"Refunded, no refund",IF(AND(G2114&lt;&gt;"Refunded",L2114&gt;0),"Refund, order not Refunded",IF(AND(L2114&gt;0,ROUND(M2114-H2114,2)&lt;&gt;0),"Refund amount differs","OK")))))))</f>
        <v>OK</v>
      </c>
      <c r="O2114" s="24">
        <f t="shared" ref="O2114:O2177" si="135">IF(N2114="OK",0,IF(N2114="Paid, no payment",H2114,IF(N2114="Payment on failed/cancelled",K2114,IF(OR(N2114="Duplicate charge",N2114="Amount difference"),K2114-H2114,IF(N2114="Refunded, no refund",H2114,M2114)))))</f>
        <v>0</v>
      </c>
    </row>
    <row r="2115" spans="1:15" ht="15" customHeight="1" x14ac:dyDescent="0.3">
      <c r="A2115" s="23" t="s">
        <v>4719</v>
      </c>
      <c r="B2115" s="38">
        <v>46292</v>
      </c>
      <c r="C2115" s="23" t="s">
        <v>4720</v>
      </c>
      <c r="D2115" s="23" t="s">
        <v>94</v>
      </c>
      <c r="E2115" s="23" t="s">
        <v>75</v>
      </c>
      <c r="F2115" s="23" t="s">
        <v>274</v>
      </c>
      <c r="G2115" s="23" t="s">
        <v>365</v>
      </c>
      <c r="H2115" s="39">
        <f t="shared" si="132"/>
        <v>349</v>
      </c>
      <c r="I2115" s="23" t="str">
        <f t="shared" si="133"/>
        <v>Chennai</v>
      </c>
      <c r="J2115" s="23">
        <f>COUNTIFS(pg_transaction_cleaned!$O:$O,A2115,pg_transaction_cleaned!$F:$F,"CAPTURE")</f>
        <v>0</v>
      </c>
      <c r="K2115" s="39">
        <f>SUMIFS(pg_transaction_cleaned!$H:$H,pg_transaction_cleaned!$O:$O,A2115,pg_transaction_cleaned!$F:$F,"CAPTURE")</f>
        <v>0</v>
      </c>
      <c r="L2115" s="23">
        <f>COUNTIFS(pg_transaction_cleaned!$O:$O,A2115,pg_transaction_cleaned!$F:$F,"REFUND")</f>
        <v>0</v>
      </c>
      <c r="M2115" s="39">
        <f>SUMIFS(pg_transaction_cleaned!$H:$H,pg_transaction_cleaned!$O:$O,A2115,pg_transaction_cleaned!$F:$F,"REFUND")</f>
        <v>0</v>
      </c>
      <c r="N2115" s="23" t="str">
        <f t="shared" si="134"/>
        <v>OK</v>
      </c>
      <c r="O2115" s="24">
        <f t="shared" si="135"/>
        <v>0</v>
      </c>
    </row>
    <row r="2116" spans="1:15" ht="15" customHeight="1" x14ac:dyDescent="0.3">
      <c r="A2116" s="23" t="s">
        <v>4721</v>
      </c>
      <c r="B2116" s="38">
        <v>46285</v>
      </c>
      <c r="C2116" s="23" t="s">
        <v>4722</v>
      </c>
      <c r="D2116" s="23" t="s">
        <v>94</v>
      </c>
      <c r="E2116" s="23" t="s">
        <v>75</v>
      </c>
      <c r="F2116" s="23" t="s">
        <v>1193</v>
      </c>
      <c r="G2116" s="23" t="s">
        <v>250</v>
      </c>
      <c r="H2116" s="39">
        <f t="shared" si="132"/>
        <v>3498</v>
      </c>
      <c r="I2116" s="23" t="str">
        <f t="shared" si="133"/>
        <v>Chennai</v>
      </c>
      <c r="J2116" s="23">
        <f>COUNTIFS(pg_transaction_cleaned!$O:$O,A2116,pg_transaction_cleaned!$F:$F,"CAPTURE")</f>
        <v>1</v>
      </c>
      <c r="K2116" s="39">
        <f>SUMIFS(pg_transaction_cleaned!$H:$H,pg_transaction_cleaned!$O:$O,A2116,pg_transaction_cleaned!$F:$F,"CAPTURE")</f>
        <v>3498</v>
      </c>
      <c r="L2116" s="23">
        <f>COUNTIFS(pg_transaction_cleaned!$O:$O,A2116,pg_transaction_cleaned!$F:$F,"REFUND")</f>
        <v>0</v>
      </c>
      <c r="M2116" s="39">
        <f>SUMIFS(pg_transaction_cleaned!$H:$H,pg_transaction_cleaned!$O:$O,A2116,pg_transaction_cleaned!$F:$F,"REFUND")</f>
        <v>0</v>
      </c>
      <c r="N2116" s="23" t="str">
        <f t="shared" si="134"/>
        <v>OK</v>
      </c>
      <c r="O2116" s="24">
        <f t="shared" si="135"/>
        <v>0</v>
      </c>
    </row>
    <row r="2117" spans="1:15" ht="15" customHeight="1" x14ac:dyDescent="0.3">
      <c r="A2117" s="23" t="s">
        <v>4723</v>
      </c>
      <c r="B2117" s="38">
        <v>46276</v>
      </c>
      <c r="C2117" s="23" t="s">
        <v>2473</v>
      </c>
      <c r="D2117" s="23" t="s">
        <v>91</v>
      </c>
      <c r="E2117" s="23" t="s">
        <v>75</v>
      </c>
      <c r="F2117" s="23" t="s">
        <v>499</v>
      </c>
      <c r="G2117" s="23" t="s">
        <v>250</v>
      </c>
      <c r="H2117" s="39">
        <f t="shared" si="132"/>
        <v>5998</v>
      </c>
      <c r="I2117" s="23" t="str">
        <f t="shared" si="133"/>
        <v>Pune</v>
      </c>
      <c r="J2117" s="23">
        <f>COUNTIFS(pg_transaction_cleaned!$O:$O,A2117,pg_transaction_cleaned!$F:$F,"CAPTURE")</f>
        <v>1</v>
      </c>
      <c r="K2117" s="39">
        <f>SUMIFS(pg_transaction_cleaned!$H:$H,pg_transaction_cleaned!$O:$O,A2117,pg_transaction_cleaned!$F:$F,"CAPTURE")</f>
        <v>5998</v>
      </c>
      <c r="L2117" s="23">
        <f>COUNTIFS(pg_transaction_cleaned!$O:$O,A2117,pg_transaction_cleaned!$F:$F,"REFUND")</f>
        <v>0</v>
      </c>
      <c r="M2117" s="39">
        <f>SUMIFS(pg_transaction_cleaned!$H:$H,pg_transaction_cleaned!$O:$O,A2117,pg_transaction_cleaned!$F:$F,"REFUND")</f>
        <v>0</v>
      </c>
      <c r="N2117" s="23" t="str">
        <f t="shared" si="134"/>
        <v>OK</v>
      </c>
      <c r="O2117" s="24">
        <f t="shared" si="135"/>
        <v>0</v>
      </c>
    </row>
    <row r="2118" spans="1:15" ht="15" customHeight="1" x14ac:dyDescent="0.3">
      <c r="A2118" s="23" t="s">
        <v>4724</v>
      </c>
      <c r="B2118" s="38">
        <v>46272</v>
      </c>
      <c r="C2118" s="23" t="s">
        <v>4725</v>
      </c>
      <c r="D2118" s="23" t="s">
        <v>89</v>
      </c>
      <c r="E2118" s="23" t="s">
        <v>79</v>
      </c>
      <c r="F2118" s="23" t="s">
        <v>300</v>
      </c>
      <c r="G2118" s="23" t="s">
        <v>250</v>
      </c>
      <c r="H2118" s="39">
        <f t="shared" si="132"/>
        <v>2598</v>
      </c>
      <c r="I2118" s="23" t="str">
        <f t="shared" si="133"/>
        <v>Jaipur</v>
      </c>
      <c r="J2118" s="23">
        <f>COUNTIFS(pg_transaction_cleaned!$O:$O,A2118,pg_transaction_cleaned!$F:$F,"CAPTURE")</f>
        <v>1</v>
      </c>
      <c r="K2118" s="39">
        <f>SUMIFS(pg_transaction_cleaned!$H:$H,pg_transaction_cleaned!$O:$O,A2118,pg_transaction_cleaned!$F:$F,"CAPTURE")</f>
        <v>2598</v>
      </c>
      <c r="L2118" s="23">
        <f>COUNTIFS(pg_transaction_cleaned!$O:$O,A2118,pg_transaction_cleaned!$F:$F,"REFUND")</f>
        <v>0</v>
      </c>
      <c r="M2118" s="39">
        <f>SUMIFS(pg_transaction_cleaned!$H:$H,pg_transaction_cleaned!$O:$O,A2118,pg_transaction_cleaned!$F:$F,"REFUND")</f>
        <v>0</v>
      </c>
      <c r="N2118" s="23" t="str">
        <f t="shared" si="134"/>
        <v>OK</v>
      </c>
      <c r="O2118" s="24">
        <f t="shared" si="135"/>
        <v>0</v>
      </c>
    </row>
    <row r="2119" spans="1:15" ht="15" customHeight="1" x14ac:dyDescent="0.3">
      <c r="A2119" s="23" t="s">
        <v>4726</v>
      </c>
      <c r="B2119" s="38">
        <v>46271</v>
      </c>
      <c r="C2119" s="23" t="s">
        <v>4727</v>
      </c>
      <c r="D2119" s="23" t="s">
        <v>93</v>
      </c>
      <c r="E2119" s="23" t="s">
        <v>75</v>
      </c>
      <c r="F2119" s="23" t="s">
        <v>499</v>
      </c>
      <c r="G2119" s="23" t="s">
        <v>250</v>
      </c>
      <c r="H2119" s="39">
        <f t="shared" si="132"/>
        <v>5998</v>
      </c>
      <c r="I2119" s="23" t="str">
        <f t="shared" si="133"/>
        <v>Kolkata</v>
      </c>
      <c r="J2119" s="23">
        <f>COUNTIFS(pg_transaction_cleaned!$O:$O,A2119,pg_transaction_cleaned!$F:$F,"CAPTURE")</f>
        <v>1</v>
      </c>
      <c r="K2119" s="39">
        <f>SUMIFS(pg_transaction_cleaned!$H:$H,pg_transaction_cleaned!$O:$O,A2119,pg_transaction_cleaned!$F:$F,"CAPTURE")</f>
        <v>5998</v>
      </c>
      <c r="L2119" s="23">
        <f>COUNTIFS(pg_transaction_cleaned!$O:$O,A2119,pg_transaction_cleaned!$F:$F,"REFUND")</f>
        <v>0</v>
      </c>
      <c r="M2119" s="39">
        <f>SUMIFS(pg_transaction_cleaned!$H:$H,pg_transaction_cleaned!$O:$O,A2119,pg_transaction_cleaned!$F:$F,"REFUND")</f>
        <v>0</v>
      </c>
      <c r="N2119" s="23" t="str">
        <f t="shared" si="134"/>
        <v>OK</v>
      </c>
      <c r="O2119" s="24">
        <f t="shared" si="135"/>
        <v>0</v>
      </c>
    </row>
    <row r="2120" spans="1:15" ht="15" customHeight="1" x14ac:dyDescent="0.3">
      <c r="A2120" s="23" t="s">
        <v>4728</v>
      </c>
      <c r="B2120" s="38">
        <v>46293</v>
      </c>
      <c r="C2120" s="23" t="s">
        <v>4729</v>
      </c>
      <c r="D2120" s="23" t="s">
        <v>86</v>
      </c>
      <c r="E2120" s="23" t="s">
        <v>75</v>
      </c>
      <c r="F2120" s="23" t="s">
        <v>262</v>
      </c>
      <c r="G2120" s="23" t="s">
        <v>250</v>
      </c>
      <c r="H2120" s="39">
        <f t="shared" si="132"/>
        <v>499</v>
      </c>
      <c r="I2120" s="23" t="str">
        <f t="shared" si="133"/>
        <v>Delhi</v>
      </c>
      <c r="J2120" s="23">
        <f>COUNTIFS(pg_transaction_cleaned!$O:$O,A2120,pg_transaction_cleaned!$F:$F,"CAPTURE")</f>
        <v>1</v>
      </c>
      <c r="K2120" s="39">
        <f>SUMIFS(pg_transaction_cleaned!$H:$H,pg_transaction_cleaned!$O:$O,A2120,pg_transaction_cleaned!$F:$F,"CAPTURE")</f>
        <v>499</v>
      </c>
      <c r="L2120" s="23">
        <f>COUNTIFS(pg_transaction_cleaned!$O:$O,A2120,pg_transaction_cleaned!$F:$F,"REFUND")</f>
        <v>0</v>
      </c>
      <c r="M2120" s="39">
        <f>SUMIFS(pg_transaction_cleaned!$H:$H,pg_transaction_cleaned!$O:$O,A2120,pg_transaction_cleaned!$F:$F,"REFUND")</f>
        <v>0</v>
      </c>
      <c r="N2120" s="23" t="str">
        <f t="shared" si="134"/>
        <v>OK</v>
      </c>
      <c r="O2120" s="24">
        <f t="shared" si="135"/>
        <v>0</v>
      </c>
    </row>
    <row r="2121" spans="1:15" ht="15" customHeight="1" x14ac:dyDescent="0.3">
      <c r="A2121" s="23" t="s">
        <v>4730</v>
      </c>
      <c r="B2121" s="38">
        <v>46295</v>
      </c>
      <c r="C2121" s="23" t="s">
        <v>4731</v>
      </c>
      <c r="D2121" s="23" t="s">
        <v>88</v>
      </c>
      <c r="E2121" s="23" t="s">
        <v>81</v>
      </c>
      <c r="F2121" s="23" t="s">
        <v>2337</v>
      </c>
      <c r="G2121" s="23" t="s">
        <v>318</v>
      </c>
      <c r="H2121" s="39">
        <f t="shared" si="132"/>
        <v>8348</v>
      </c>
      <c r="I2121" s="23" t="str">
        <f t="shared" si="133"/>
        <v>Lucknow</v>
      </c>
      <c r="J2121" s="23">
        <f>COUNTIFS(pg_transaction_cleaned!$O:$O,A2121,pg_transaction_cleaned!$F:$F,"CAPTURE")</f>
        <v>0</v>
      </c>
      <c r="K2121" s="39">
        <f>SUMIFS(pg_transaction_cleaned!$H:$H,pg_transaction_cleaned!$O:$O,A2121,pg_transaction_cleaned!$F:$F,"CAPTURE")</f>
        <v>0</v>
      </c>
      <c r="L2121" s="23">
        <f>COUNTIFS(pg_transaction_cleaned!$O:$O,A2121,pg_transaction_cleaned!$F:$F,"REFUND")</f>
        <v>0</v>
      </c>
      <c r="M2121" s="39">
        <f>SUMIFS(pg_transaction_cleaned!$H:$H,pg_transaction_cleaned!$O:$O,A2121,pg_transaction_cleaned!$F:$F,"REFUND")</f>
        <v>0</v>
      </c>
      <c r="N2121" s="23" t="str">
        <f t="shared" si="134"/>
        <v>OK</v>
      </c>
      <c r="O2121" s="24">
        <f t="shared" si="135"/>
        <v>0</v>
      </c>
    </row>
    <row r="2122" spans="1:15" ht="15" customHeight="1" x14ac:dyDescent="0.3">
      <c r="A2122" s="23" t="s">
        <v>4732</v>
      </c>
      <c r="B2122" s="38">
        <v>46284</v>
      </c>
      <c r="C2122" s="23" t="s">
        <v>4733</v>
      </c>
      <c r="D2122" s="23" t="s">
        <v>95</v>
      </c>
      <c r="E2122" s="23" t="s">
        <v>75</v>
      </c>
      <c r="F2122" s="23" t="s">
        <v>265</v>
      </c>
      <c r="G2122" s="23" t="s">
        <v>301</v>
      </c>
      <c r="H2122" s="39">
        <f t="shared" si="132"/>
        <v>999</v>
      </c>
      <c r="I2122" s="23" t="str">
        <f t="shared" si="133"/>
        <v>Bengaluru</v>
      </c>
      <c r="J2122" s="23">
        <f>COUNTIFS(pg_transaction_cleaned!$O:$O,A2122,pg_transaction_cleaned!$F:$F,"CAPTURE")</f>
        <v>1</v>
      </c>
      <c r="K2122" s="39">
        <f>SUMIFS(pg_transaction_cleaned!$H:$H,pg_transaction_cleaned!$O:$O,A2122,pg_transaction_cleaned!$F:$F,"CAPTURE")</f>
        <v>999</v>
      </c>
      <c r="L2122" s="23">
        <f>COUNTIFS(pg_transaction_cleaned!$O:$O,A2122,pg_transaction_cleaned!$F:$F,"REFUND")</f>
        <v>1</v>
      </c>
      <c r="M2122" s="39">
        <f>SUMIFS(pg_transaction_cleaned!$H:$H,pg_transaction_cleaned!$O:$O,A2122,pg_transaction_cleaned!$F:$F,"REFUND")</f>
        <v>999</v>
      </c>
      <c r="N2122" s="23" t="str">
        <f t="shared" si="134"/>
        <v>OK</v>
      </c>
      <c r="O2122" s="24">
        <f t="shared" si="135"/>
        <v>0</v>
      </c>
    </row>
    <row r="2123" spans="1:15" ht="15" customHeight="1" x14ac:dyDescent="0.3">
      <c r="A2123" s="23" t="s">
        <v>4734</v>
      </c>
      <c r="B2123" s="38">
        <v>46283</v>
      </c>
      <c r="C2123" s="23" t="s">
        <v>4735</v>
      </c>
      <c r="D2123" s="23" t="s">
        <v>95</v>
      </c>
      <c r="E2123" s="23" t="s">
        <v>75</v>
      </c>
      <c r="F2123" s="23" t="s">
        <v>396</v>
      </c>
      <c r="G2123" s="23" t="s">
        <v>301</v>
      </c>
      <c r="H2123" s="39">
        <f t="shared" si="132"/>
        <v>2999</v>
      </c>
      <c r="I2123" s="23" t="str">
        <f t="shared" si="133"/>
        <v>Bengaluru</v>
      </c>
      <c r="J2123" s="23">
        <f>COUNTIFS(pg_transaction_cleaned!$O:$O,A2123,pg_transaction_cleaned!$F:$F,"CAPTURE")</f>
        <v>1</v>
      </c>
      <c r="K2123" s="39">
        <f>SUMIFS(pg_transaction_cleaned!$H:$H,pg_transaction_cleaned!$O:$O,A2123,pg_transaction_cleaned!$F:$F,"CAPTURE")</f>
        <v>2999</v>
      </c>
      <c r="L2123" s="23">
        <f>COUNTIFS(pg_transaction_cleaned!$O:$O,A2123,pg_transaction_cleaned!$F:$F,"REFUND")</f>
        <v>1</v>
      </c>
      <c r="M2123" s="39">
        <f>SUMIFS(pg_transaction_cleaned!$H:$H,pg_transaction_cleaned!$O:$O,A2123,pg_transaction_cleaned!$F:$F,"REFUND")</f>
        <v>2999</v>
      </c>
      <c r="N2123" s="23" t="str">
        <f t="shared" si="134"/>
        <v>OK</v>
      </c>
      <c r="O2123" s="24">
        <f t="shared" si="135"/>
        <v>0</v>
      </c>
    </row>
    <row r="2124" spans="1:15" ht="15" customHeight="1" x14ac:dyDescent="0.3">
      <c r="A2124" s="23" t="s">
        <v>4736</v>
      </c>
      <c r="B2124" s="38">
        <v>46273</v>
      </c>
      <c r="C2124" s="23" t="s">
        <v>4737</v>
      </c>
      <c r="D2124" s="23" t="s">
        <v>92</v>
      </c>
      <c r="E2124" s="23" t="s">
        <v>75</v>
      </c>
      <c r="F2124" s="23" t="s">
        <v>315</v>
      </c>
      <c r="G2124" s="23" t="s">
        <v>250</v>
      </c>
      <c r="H2124" s="39">
        <f t="shared" si="132"/>
        <v>1499</v>
      </c>
      <c r="I2124" s="23" t="str">
        <f t="shared" si="133"/>
        <v>Hyderabad</v>
      </c>
      <c r="J2124" s="23">
        <f>COUNTIFS(pg_transaction_cleaned!$O:$O,A2124,pg_transaction_cleaned!$F:$F,"CAPTURE")</f>
        <v>1</v>
      </c>
      <c r="K2124" s="39">
        <f>SUMIFS(pg_transaction_cleaned!$H:$H,pg_transaction_cleaned!$O:$O,A2124,pg_transaction_cleaned!$F:$F,"CAPTURE")</f>
        <v>1499</v>
      </c>
      <c r="L2124" s="23">
        <f>COUNTIFS(pg_transaction_cleaned!$O:$O,A2124,pg_transaction_cleaned!$F:$F,"REFUND")</f>
        <v>0</v>
      </c>
      <c r="M2124" s="39">
        <f>SUMIFS(pg_transaction_cleaned!$H:$H,pg_transaction_cleaned!$O:$O,A2124,pg_transaction_cleaned!$F:$F,"REFUND")</f>
        <v>0</v>
      </c>
      <c r="N2124" s="23" t="str">
        <f t="shared" si="134"/>
        <v>OK</v>
      </c>
      <c r="O2124" s="24">
        <f t="shared" si="135"/>
        <v>0</v>
      </c>
    </row>
    <row r="2125" spans="1:15" ht="15" customHeight="1" x14ac:dyDescent="0.3">
      <c r="A2125" s="23" t="s">
        <v>4738</v>
      </c>
      <c r="B2125" s="38">
        <v>46273</v>
      </c>
      <c r="C2125" s="23" t="s">
        <v>4739</v>
      </c>
      <c r="D2125" s="23" t="s">
        <v>89</v>
      </c>
      <c r="E2125" s="23" t="s">
        <v>81</v>
      </c>
      <c r="F2125" s="23" t="s">
        <v>310</v>
      </c>
      <c r="G2125" s="23" t="s">
        <v>250</v>
      </c>
      <c r="H2125" s="39">
        <f t="shared" si="132"/>
        <v>7999</v>
      </c>
      <c r="I2125" s="23" t="str">
        <f t="shared" si="133"/>
        <v>Jaipur</v>
      </c>
      <c r="J2125" s="23">
        <f>COUNTIFS(pg_transaction_cleaned!$O:$O,A2125,pg_transaction_cleaned!$F:$F,"CAPTURE")</f>
        <v>1</v>
      </c>
      <c r="K2125" s="39">
        <f>SUMIFS(pg_transaction_cleaned!$H:$H,pg_transaction_cleaned!$O:$O,A2125,pg_transaction_cleaned!$F:$F,"CAPTURE")</f>
        <v>7999</v>
      </c>
      <c r="L2125" s="23">
        <f>COUNTIFS(pg_transaction_cleaned!$O:$O,A2125,pg_transaction_cleaned!$F:$F,"REFUND")</f>
        <v>0</v>
      </c>
      <c r="M2125" s="39">
        <f>SUMIFS(pg_transaction_cleaned!$H:$H,pg_transaction_cleaned!$O:$O,A2125,pg_transaction_cleaned!$F:$F,"REFUND")</f>
        <v>0</v>
      </c>
      <c r="N2125" s="23" t="str">
        <f t="shared" si="134"/>
        <v>OK</v>
      </c>
      <c r="O2125" s="24">
        <f t="shared" si="135"/>
        <v>0</v>
      </c>
    </row>
    <row r="2126" spans="1:15" ht="15" customHeight="1" x14ac:dyDescent="0.3">
      <c r="A2126" s="23" t="s">
        <v>4740</v>
      </c>
      <c r="B2126" s="38">
        <v>46283</v>
      </c>
      <c r="C2126" s="23" t="s">
        <v>4741</v>
      </c>
      <c r="D2126" s="23" t="s">
        <v>88</v>
      </c>
      <c r="E2126" s="23" t="s">
        <v>75</v>
      </c>
      <c r="F2126" s="23" t="s">
        <v>950</v>
      </c>
      <c r="G2126" s="23" t="s">
        <v>250</v>
      </c>
      <c r="H2126" s="39">
        <f t="shared" si="132"/>
        <v>1898</v>
      </c>
      <c r="I2126" s="23" t="str">
        <f t="shared" si="133"/>
        <v>Lucknow</v>
      </c>
      <c r="J2126" s="23">
        <f>COUNTIFS(pg_transaction_cleaned!$O:$O,A2126,pg_transaction_cleaned!$F:$F,"CAPTURE")</f>
        <v>1</v>
      </c>
      <c r="K2126" s="39">
        <f>SUMIFS(pg_transaction_cleaned!$H:$H,pg_transaction_cleaned!$O:$O,A2126,pg_transaction_cleaned!$F:$F,"CAPTURE")</f>
        <v>1898</v>
      </c>
      <c r="L2126" s="23">
        <f>COUNTIFS(pg_transaction_cleaned!$O:$O,A2126,pg_transaction_cleaned!$F:$F,"REFUND")</f>
        <v>0</v>
      </c>
      <c r="M2126" s="39">
        <f>SUMIFS(pg_transaction_cleaned!$H:$H,pg_transaction_cleaned!$O:$O,A2126,pg_transaction_cleaned!$F:$F,"REFUND")</f>
        <v>0</v>
      </c>
      <c r="N2126" s="23" t="str">
        <f t="shared" si="134"/>
        <v>OK</v>
      </c>
      <c r="O2126" s="24">
        <f t="shared" si="135"/>
        <v>0</v>
      </c>
    </row>
    <row r="2127" spans="1:15" ht="15" customHeight="1" x14ac:dyDescent="0.3">
      <c r="A2127" s="23" t="s">
        <v>4742</v>
      </c>
      <c r="B2127" s="38">
        <v>46294</v>
      </c>
      <c r="C2127" s="23" t="s">
        <v>4743</v>
      </c>
      <c r="D2127" s="23" t="s">
        <v>93</v>
      </c>
      <c r="E2127" s="23" t="s">
        <v>77</v>
      </c>
      <c r="F2127" s="23" t="s">
        <v>288</v>
      </c>
      <c r="G2127" s="23" t="s">
        <v>250</v>
      </c>
      <c r="H2127" s="39">
        <f t="shared" si="132"/>
        <v>4298</v>
      </c>
      <c r="I2127" s="23" t="str">
        <f t="shared" si="133"/>
        <v>Kolkata</v>
      </c>
      <c r="J2127" s="23">
        <f>COUNTIFS(pg_transaction_cleaned!$O:$O,A2127,pg_transaction_cleaned!$F:$F,"CAPTURE")</f>
        <v>1</v>
      </c>
      <c r="K2127" s="39">
        <f>SUMIFS(pg_transaction_cleaned!$H:$H,pg_transaction_cleaned!$O:$O,A2127,pg_transaction_cleaned!$F:$F,"CAPTURE")</f>
        <v>4298</v>
      </c>
      <c r="L2127" s="23">
        <f>COUNTIFS(pg_transaction_cleaned!$O:$O,A2127,pg_transaction_cleaned!$F:$F,"REFUND")</f>
        <v>0</v>
      </c>
      <c r="M2127" s="39">
        <f>SUMIFS(pg_transaction_cleaned!$H:$H,pg_transaction_cleaned!$O:$O,A2127,pg_transaction_cleaned!$F:$F,"REFUND")</f>
        <v>0</v>
      </c>
      <c r="N2127" s="23" t="str">
        <f t="shared" si="134"/>
        <v>OK</v>
      </c>
      <c r="O2127" s="24">
        <f t="shared" si="135"/>
        <v>0</v>
      </c>
    </row>
    <row r="2128" spans="1:15" ht="15" customHeight="1" x14ac:dyDescent="0.3">
      <c r="A2128" s="23" t="s">
        <v>4744</v>
      </c>
      <c r="B2128" s="38">
        <v>46277</v>
      </c>
      <c r="C2128" s="23" t="s">
        <v>4745</v>
      </c>
      <c r="D2128" s="23" t="s">
        <v>94</v>
      </c>
      <c r="E2128" s="23" t="s">
        <v>75</v>
      </c>
      <c r="F2128" s="23" t="s">
        <v>329</v>
      </c>
      <c r="G2128" s="23" t="s">
        <v>250</v>
      </c>
      <c r="H2128" s="39">
        <f t="shared" si="132"/>
        <v>599</v>
      </c>
      <c r="I2128" s="23" t="str">
        <f t="shared" si="133"/>
        <v>Chennai</v>
      </c>
      <c r="J2128" s="23">
        <f>COUNTIFS(pg_transaction_cleaned!$O:$O,A2128,pg_transaction_cleaned!$F:$F,"CAPTURE")</f>
        <v>1</v>
      </c>
      <c r="K2128" s="39">
        <f>SUMIFS(pg_transaction_cleaned!$H:$H,pg_transaction_cleaned!$O:$O,A2128,pg_transaction_cleaned!$F:$F,"CAPTURE")</f>
        <v>599</v>
      </c>
      <c r="L2128" s="23">
        <f>COUNTIFS(pg_transaction_cleaned!$O:$O,A2128,pg_transaction_cleaned!$F:$F,"REFUND")</f>
        <v>0</v>
      </c>
      <c r="M2128" s="39">
        <f>SUMIFS(pg_transaction_cleaned!$H:$H,pg_transaction_cleaned!$O:$O,A2128,pg_transaction_cleaned!$F:$F,"REFUND")</f>
        <v>0</v>
      </c>
      <c r="N2128" s="23" t="str">
        <f t="shared" si="134"/>
        <v>OK</v>
      </c>
      <c r="O2128" s="24">
        <f t="shared" si="135"/>
        <v>0</v>
      </c>
    </row>
    <row r="2129" spans="1:15" ht="15" customHeight="1" x14ac:dyDescent="0.3">
      <c r="A2129" s="23" t="s">
        <v>4746</v>
      </c>
      <c r="B2129" s="38">
        <v>46293</v>
      </c>
      <c r="C2129" s="23" t="s">
        <v>4747</v>
      </c>
      <c r="D2129" s="23" t="s">
        <v>90</v>
      </c>
      <c r="E2129" s="23" t="s">
        <v>75</v>
      </c>
      <c r="F2129" s="23" t="s">
        <v>1412</v>
      </c>
      <c r="G2129" s="23" t="s">
        <v>250</v>
      </c>
      <c r="H2129" s="39">
        <f t="shared" si="132"/>
        <v>7397</v>
      </c>
      <c r="I2129" s="23" t="str">
        <f t="shared" si="133"/>
        <v>Ahmedabad</v>
      </c>
      <c r="J2129" s="23">
        <f>COUNTIFS(pg_transaction_cleaned!$O:$O,A2129,pg_transaction_cleaned!$F:$F,"CAPTURE")</f>
        <v>1</v>
      </c>
      <c r="K2129" s="39">
        <f>SUMIFS(pg_transaction_cleaned!$H:$H,pg_transaction_cleaned!$O:$O,A2129,pg_transaction_cleaned!$F:$F,"CAPTURE")</f>
        <v>7397</v>
      </c>
      <c r="L2129" s="23">
        <f>COUNTIFS(pg_transaction_cleaned!$O:$O,A2129,pg_transaction_cleaned!$F:$F,"REFUND")</f>
        <v>0</v>
      </c>
      <c r="M2129" s="39">
        <f>SUMIFS(pg_transaction_cleaned!$H:$H,pg_transaction_cleaned!$O:$O,A2129,pg_transaction_cleaned!$F:$F,"REFUND")</f>
        <v>0</v>
      </c>
      <c r="N2129" s="23" t="str">
        <f t="shared" si="134"/>
        <v>OK</v>
      </c>
      <c r="O2129" s="24">
        <f t="shared" si="135"/>
        <v>0</v>
      </c>
    </row>
    <row r="2130" spans="1:15" ht="15" customHeight="1" x14ac:dyDescent="0.3">
      <c r="A2130" s="23" t="s">
        <v>4748</v>
      </c>
      <c r="B2130" s="38">
        <v>46283</v>
      </c>
      <c r="C2130" s="23" t="s">
        <v>4749</v>
      </c>
      <c r="D2130" s="23" t="s">
        <v>89</v>
      </c>
      <c r="E2130" s="23" t="s">
        <v>79</v>
      </c>
      <c r="F2130" s="23" t="s">
        <v>274</v>
      </c>
      <c r="G2130" s="23" t="s">
        <v>250</v>
      </c>
      <c r="H2130" s="39">
        <f t="shared" si="132"/>
        <v>349</v>
      </c>
      <c r="I2130" s="23" t="str">
        <f t="shared" si="133"/>
        <v>Jaipur</v>
      </c>
      <c r="J2130" s="23">
        <f>COUNTIFS(pg_transaction_cleaned!$O:$O,A2130,pg_transaction_cleaned!$F:$F,"CAPTURE")</f>
        <v>1</v>
      </c>
      <c r="K2130" s="39">
        <f>SUMIFS(pg_transaction_cleaned!$H:$H,pg_transaction_cleaned!$O:$O,A2130,pg_transaction_cleaned!$F:$F,"CAPTURE")</f>
        <v>349</v>
      </c>
      <c r="L2130" s="23">
        <f>COUNTIFS(pg_transaction_cleaned!$O:$O,A2130,pg_transaction_cleaned!$F:$F,"REFUND")</f>
        <v>0</v>
      </c>
      <c r="M2130" s="39">
        <f>SUMIFS(pg_transaction_cleaned!$H:$H,pg_transaction_cleaned!$O:$O,A2130,pg_transaction_cleaned!$F:$F,"REFUND")</f>
        <v>0</v>
      </c>
      <c r="N2130" s="23" t="str">
        <f t="shared" si="134"/>
        <v>OK</v>
      </c>
      <c r="O2130" s="24">
        <f t="shared" si="135"/>
        <v>0</v>
      </c>
    </row>
    <row r="2131" spans="1:15" ht="15" customHeight="1" x14ac:dyDescent="0.3">
      <c r="A2131" s="23" t="s">
        <v>4750</v>
      </c>
      <c r="B2131" s="38">
        <v>46292</v>
      </c>
      <c r="C2131" s="23" t="s">
        <v>4751</v>
      </c>
      <c r="D2131" s="23" t="s">
        <v>88</v>
      </c>
      <c r="E2131" s="23" t="s">
        <v>81</v>
      </c>
      <c r="F2131" s="23" t="s">
        <v>315</v>
      </c>
      <c r="G2131" s="23" t="s">
        <v>250</v>
      </c>
      <c r="H2131" s="39">
        <f t="shared" si="132"/>
        <v>1499</v>
      </c>
      <c r="I2131" s="23" t="str">
        <f t="shared" si="133"/>
        <v>Lucknow</v>
      </c>
      <c r="J2131" s="23">
        <f>COUNTIFS(pg_transaction_cleaned!$O:$O,A2131,pg_transaction_cleaned!$F:$F,"CAPTURE")</f>
        <v>1</v>
      </c>
      <c r="K2131" s="39">
        <f>SUMIFS(pg_transaction_cleaned!$H:$H,pg_transaction_cleaned!$O:$O,A2131,pg_transaction_cleaned!$F:$F,"CAPTURE")</f>
        <v>1499</v>
      </c>
      <c r="L2131" s="23">
        <f>COUNTIFS(pg_transaction_cleaned!$O:$O,A2131,pg_transaction_cleaned!$F:$F,"REFUND")</f>
        <v>0</v>
      </c>
      <c r="M2131" s="39">
        <f>SUMIFS(pg_transaction_cleaned!$H:$H,pg_transaction_cleaned!$O:$O,A2131,pg_transaction_cleaned!$F:$F,"REFUND")</f>
        <v>0</v>
      </c>
      <c r="N2131" s="23" t="str">
        <f t="shared" si="134"/>
        <v>OK</v>
      </c>
      <c r="O2131" s="24">
        <f t="shared" si="135"/>
        <v>0</v>
      </c>
    </row>
    <row r="2132" spans="1:15" ht="15" customHeight="1" x14ac:dyDescent="0.3">
      <c r="A2132" s="23" t="s">
        <v>4752</v>
      </c>
      <c r="B2132" s="38">
        <v>46280</v>
      </c>
      <c r="C2132" s="23" t="s">
        <v>4753</v>
      </c>
      <c r="D2132" s="23" t="s">
        <v>89</v>
      </c>
      <c r="E2132" s="23" t="s">
        <v>77</v>
      </c>
      <c r="F2132" s="23" t="s">
        <v>307</v>
      </c>
      <c r="G2132" s="23" t="s">
        <v>250</v>
      </c>
      <c r="H2132" s="39">
        <f t="shared" si="132"/>
        <v>3798</v>
      </c>
      <c r="I2132" s="23" t="str">
        <f t="shared" si="133"/>
        <v>Jaipur</v>
      </c>
      <c r="J2132" s="23">
        <f>COUNTIFS(pg_transaction_cleaned!$O:$O,A2132,pg_transaction_cleaned!$F:$F,"CAPTURE")</f>
        <v>1</v>
      </c>
      <c r="K2132" s="39">
        <f>SUMIFS(pg_transaction_cleaned!$H:$H,pg_transaction_cleaned!$O:$O,A2132,pg_transaction_cleaned!$F:$F,"CAPTURE")</f>
        <v>3798</v>
      </c>
      <c r="L2132" s="23">
        <f>COUNTIFS(pg_transaction_cleaned!$O:$O,A2132,pg_transaction_cleaned!$F:$F,"REFUND")</f>
        <v>0</v>
      </c>
      <c r="M2132" s="39">
        <f>SUMIFS(pg_transaction_cleaned!$H:$H,pg_transaction_cleaned!$O:$O,A2132,pg_transaction_cleaned!$F:$F,"REFUND")</f>
        <v>0</v>
      </c>
      <c r="N2132" s="23" t="str">
        <f t="shared" si="134"/>
        <v>OK</v>
      </c>
      <c r="O2132" s="24">
        <f t="shared" si="135"/>
        <v>0</v>
      </c>
    </row>
    <row r="2133" spans="1:15" ht="15" customHeight="1" x14ac:dyDescent="0.3">
      <c r="A2133" s="23" t="s">
        <v>4754</v>
      </c>
      <c r="B2133" s="38">
        <v>46280</v>
      </c>
      <c r="C2133" s="23" t="s">
        <v>4755</v>
      </c>
      <c r="D2133" s="23" t="s">
        <v>91</v>
      </c>
      <c r="E2133" s="23" t="s">
        <v>75</v>
      </c>
      <c r="F2133" s="23" t="s">
        <v>259</v>
      </c>
      <c r="G2133" s="23" t="s">
        <v>365</v>
      </c>
      <c r="H2133" s="39">
        <f t="shared" si="132"/>
        <v>3298</v>
      </c>
      <c r="I2133" s="23" t="str">
        <f t="shared" si="133"/>
        <v>Pune</v>
      </c>
      <c r="J2133" s="23">
        <f>COUNTIFS(pg_transaction_cleaned!$O:$O,A2133,pg_transaction_cleaned!$F:$F,"CAPTURE")</f>
        <v>0</v>
      </c>
      <c r="K2133" s="39">
        <f>SUMIFS(pg_transaction_cleaned!$H:$H,pg_transaction_cleaned!$O:$O,A2133,pg_transaction_cleaned!$F:$F,"CAPTURE")</f>
        <v>0</v>
      </c>
      <c r="L2133" s="23">
        <f>COUNTIFS(pg_transaction_cleaned!$O:$O,A2133,pg_transaction_cleaned!$F:$F,"REFUND")</f>
        <v>0</v>
      </c>
      <c r="M2133" s="39">
        <f>SUMIFS(pg_transaction_cleaned!$H:$H,pg_transaction_cleaned!$O:$O,A2133,pg_transaction_cleaned!$F:$F,"REFUND")</f>
        <v>0</v>
      </c>
      <c r="N2133" s="23" t="str">
        <f t="shared" si="134"/>
        <v>OK</v>
      </c>
      <c r="O2133" s="24">
        <f t="shared" si="135"/>
        <v>0</v>
      </c>
    </row>
    <row r="2134" spans="1:15" ht="15" customHeight="1" x14ac:dyDescent="0.3">
      <c r="A2134" s="23" t="s">
        <v>4756</v>
      </c>
      <c r="B2134" s="38">
        <v>46287</v>
      </c>
      <c r="C2134" s="23" t="s">
        <v>4757</v>
      </c>
      <c r="D2134" s="23" t="s">
        <v>87</v>
      </c>
      <c r="E2134" s="23" t="s">
        <v>75</v>
      </c>
      <c r="F2134" s="23" t="s">
        <v>274</v>
      </c>
      <c r="G2134" s="23" t="s">
        <v>318</v>
      </c>
      <c r="H2134" s="39">
        <f t="shared" si="132"/>
        <v>349</v>
      </c>
      <c r="I2134" s="23" t="str">
        <f t="shared" si="133"/>
        <v>Mumbai</v>
      </c>
      <c r="J2134" s="23">
        <f>COUNTIFS(pg_transaction_cleaned!$O:$O,A2134,pg_transaction_cleaned!$F:$F,"CAPTURE")</f>
        <v>0</v>
      </c>
      <c r="K2134" s="39">
        <f>SUMIFS(pg_transaction_cleaned!$H:$H,pg_transaction_cleaned!$O:$O,A2134,pg_transaction_cleaned!$F:$F,"CAPTURE")</f>
        <v>0</v>
      </c>
      <c r="L2134" s="23">
        <f>COUNTIFS(pg_transaction_cleaned!$O:$O,A2134,pg_transaction_cleaned!$F:$F,"REFUND")</f>
        <v>0</v>
      </c>
      <c r="M2134" s="39">
        <f>SUMIFS(pg_transaction_cleaned!$H:$H,pg_transaction_cleaned!$O:$O,A2134,pg_transaction_cleaned!$F:$F,"REFUND")</f>
        <v>0</v>
      </c>
      <c r="N2134" s="23" t="str">
        <f t="shared" si="134"/>
        <v>OK</v>
      </c>
      <c r="O2134" s="24">
        <f t="shared" si="135"/>
        <v>0</v>
      </c>
    </row>
    <row r="2135" spans="1:15" ht="15" customHeight="1" x14ac:dyDescent="0.3">
      <c r="A2135" s="23" t="s">
        <v>4758</v>
      </c>
      <c r="B2135" s="38">
        <v>46288</v>
      </c>
      <c r="C2135" s="23" t="s">
        <v>4759</v>
      </c>
      <c r="D2135" s="23" t="s">
        <v>95</v>
      </c>
      <c r="E2135" s="23" t="s">
        <v>77</v>
      </c>
      <c r="F2135" s="23" t="s">
        <v>553</v>
      </c>
      <c r="G2135" s="23" t="s">
        <v>250</v>
      </c>
      <c r="H2135" s="39">
        <f t="shared" si="132"/>
        <v>2798</v>
      </c>
      <c r="I2135" s="23" t="str">
        <f t="shared" si="133"/>
        <v>Bengaluru</v>
      </c>
      <c r="J2135" s="23">
        <f>COUNTIFS(pg_transaction_cleaned!$O:$O,A2135,pg_transaction_cleaned!$F:$F,"CAPTURE")</f>
        <v>1</v>
      </c>
      <c r="K2135" s="39">
        <f>SUMIFS(pg_transaction_cleaned!$H:$H,pg_transaction_cleaned!$O:$O,A2135,pg_transaction_cleaned!$F:$F,"CAPTURE")</f>
        <v>2798</v>
      </c>
      <c r="L2135" s="23">
        <f>COUNTIFS(pg_transaction_cleaned!$O:$O,A2135,pg_transaction_cleaned!$F:$F,"REFUND")</f>
        <v>0</v>
      </c>
      <c r="M2135" s="39">
        <f>SUMIFS(pg_transaction_cleaned!$H:$H,pg_transaction_cleaned!$O:$O,A2135,pg_transaction_cleaned!$F:$F,"REFUND")</f>
        <v>0</v>
      </c>
      <c r="N2135" s="23" t="str">
        <f t="shared" si="134"/>
        <v>OK</v>
      </c>
      <c r="O2135" s="24">
        <f t="shared" si="135"/>
        <v>0</v>
      </c>
    </row>
    <row r="2136" spans="1:15" ht="15" customHeight="1" x14ac:dyDescent="0.3">
      <c r="A2136" s="23" t="s">
        <v>4760</v>
      </c>
      <c r="B2136" s="38">
        <v>46287</v>
      </c>
      <c r="C2136" s="23" t="s">
        <v>4761</v>
      </c>
      <c r="D2136" s="23" t="s">
        <v>88</v>
      </c>
      <c r="E2136" s="23" t="s">
        <v>75</v>
      </c>
      <c r="F2136" s="23" t="s">
        <v>300</v>
      </c>
      <c r="G2136" s="23" t="s">
        <v>250</v>
      </c>
      <c r="H2136" s="39">
        <f t="shared" si="132"/>
        <v>2598</v>
      </c>
      <c r="I2136" s="23" t="str">
        <f t="shared" si="133"/>
        <v>Lucknow</v>
      </c>
      <c r="J2136" s="23">
        <f>COUNTIFS(pg_transaction_cleaned!$O:$O,A2136,pg_transaction_cleaned!$F:$F,"CAPTURE")</f>
        <v>1</v>
      </c>
      <c r="K2136" s="39">
        <f>SUMIFS(pg_transaction_cleaned!$H:$H,pg_transaction_cleaned!$O:$O,A2136,pg_transaction_cleaned!$F:$F,"CAPTURE")</f>
        <v>2598</v>
      </c>
      <c r="L2136" s="23">
        <f>COUNTIFS(pg_transaction_cleaned!$O:$O,A2136,pg_transaction_cleaned!$F:$F,"REFUND")</f>
        <v>0</v>
      </c>
      <c r="M2136" s="39">
        <f>SUMIFS(pg_transaction_cleaned!$H:$H,pg_transaction_cleaned!$O:$O,A2136,pg_transaction_cleaned!$F:$F,"REFUND")</f>
        <v>0</v>
      </c>
      <c r="N2136" s="23" t="str">
        <f t="shared" si="134"/>
        <v>OK</v>
      </c>
      <c r="O2136" s="24">
        <f t="shared" si="135"/>
        <v>0</v>
      </c>
    </row>
    <row r="2137" spans="1:15" ht="15" customHeight="1" x14ac:dyDescent="0.3">
      <c r="A2137" s="23" t="s">
        <v>4762</v>
      </c>
      <c r="B2137" s="38">
        <v>46291</v>
      </c>
      <c r="C2137" s="23" t="s">
        <v>4763</v>
      </c>
      <c r="D2137" s="23" t="s">
        <v>94</v>
      </c>
      <c r="E2137" s="23" t="s">
        <v>77</v>
      </c>
      <c r="F2137" s="23" t="s">
        <v>349</v>
      </c>
      <c r="G2137" s="23" t="s">
        <v>250</v>
      </c>
      <c r="H2137" s="39">
        <f t="shared" si="132"/>
        <v>1798</v>
      </c>
      <c r="I2137" s="23" t="str">
        <f t="shared" si="133"/>
        <v>Chennai</v>
      </c>
      <c r="J2137" s="23">
        <f>COUNTIFS(pg_transaction_cleaned!$O:$O,A2137,pg_transaction_cleaned!$F:$F,"CAPTURE")</f>
        <v>1</v>
      </c>
      <c r="K2137" s="39">
        <f>SUMIFS(pg_transaction_cleaned!$H:$H,pg_transaction_cleaned!$O:$O,A2137,pg_transaction_cleaned!$F:$F,"CAPTURE")</f>
        <v>1798</v>
      </c>
      <c r="L2137" s="23">
        <f>COUNTIFS(pg_transaction_cleaned!$O:$O,A2137,pg_transaction_cleaned!$F:$F,"REFUND")</f>
        <v>0</v>
      </c>
      <c r="M2137" s="39">
        <f>SUMIFS(pg_transaction_cleaned!$H:$H,pg_transaction_cleaned!$O:$O,A2137,pg_transaction_cleaned!$F:$F,"REFUND")</f>
        <v>0</v>
      </c>
      <c r="N2137" s="23" t="str">
        <f t="shared" si="134"/>
        <v>OK</v>
      </c>
      <c r="O2137" s="24">
        <f t="shared" si="135"/>
        <v>0</v>
      </c>
    </row>
    <row r="2138" spans="1:15" ht="15" customHeight="1" x14ac:dyDescent="0.3">
      <c r="A2138" s="23" t="s">
        <v>4764</v>
      </c>
      <c r="B2138" s="38">
        <v>46293</v>
      </c>
      <c r="C2138" s="23" t="s">
        <v>4765</v>
      </c>
      <c r="D2138" s="23" t="s">
        <v>91</v>
      </c>
      <c r="E2138" s="23" t="s">
        <v>79</v>
      </c>
      <c r="F2138" s="23" t="s">
        <v>271</v>
      </c>
      <c r="G2138" s="23" t="s">
        <v>250</v>
      </c>
      <c r="H2138" s="39">
        <f t="shared" si="132"/>
        <v>2499</v>
      </c>
      <c r="I2138" s="23" t="str">
        <f t="shared" si="133"/>
        <v>Pune</v>
      </c>
      <c r="J2138" s="23">
        <f>COUNTIFS(pg_transaction_cleaned!$O:$O,A2138,pg_transaction_cleaned!$F:$F,"CAPTURE")</f>
        <v>1</v>
      </c>
      <c r="K2138" s="39">
        <f>SUMIFS(pg_transaction_cleaned!$H:$H,pg_transaction_cleaned!$O:$O,A2138,pg_transaction_cleaned!$F:$F,"CAPTURE")</f>
        <v>2499</v>
      </c>
      <c r="L2138" s="23">
        <f>COUNTIFS(pg_transaction_cleaned!$O:$O,A2138,pg_transaction_cleaned!$F:$F,"REFUND")</f>
        <v>0</v>
      </c>
      <c r="M2138" s="39">
        <f>SUMIFS(pg_transaction_cleaned!$H:$H,pg_transaction_cleaned!$O:$O,A2138,pg_transaction_cleaned!$F:$F,"REFUND")</f>
        <v>0</v>
      </c>
      <c r="N2138" s="23" t="str">
        <f t="shared" si="134"/>
        <v>OK</v>
      </c>
      <c r="O2138" s="24">
        <f t="shared" si="135"/>
        <v>0</v>
      </c>
    </row>
    <row r="2139" spans="1:15" ht="15" customHeight="1" x14ac:dyDescent="0.3">
      <c r="A2139" s="23" t="s">
        <v>4766</v>
      </c>
      <c r="B2139" s="38">
        <v>46290</v>
      </c>
      <c r="C2139" s="23" t="s">
        <v>4767</v>
      </c>
      <c r="D2139" s="23" t="s">
        <v>95</v>
      </c>
      <c r="E2139" s="23" t="s">
        <v>75</v>
      </c>
      <c r="F2139" s="23" t="s">
        <v>271</v>
      </c>
      <c r="G2139" s="23" t="s">
        <v>250</v>
      </c>
      <c r="H2139" s="39">
        <f t="shared" si="132"/>
        <v>2499</v>
      </c>
      <c r="I2139" s="23" t="str">
        <f t="shared" si="133"/>
        <v>Bengaluru</v>
      </c>
      <c r="J2139" s="23">
        <f>COUNTIFS(pg_transaction_cleaned!$O:$O,A2139,pg_transaction_cleaned!$F:$F,"CAPTURE")</f>
        <v>1</v>
      </c>
      <c r="K2139" s="39">
        <f>SUMIFS(pg_transaction_cleaned!$H:$H,pg_transaction_cleaned!$O:$O,A2139,pg_transaction_cleaned!$F:$F,"CAPTURE")</f>
        <v>2499</v>
      </c>
      <c r="L2139" s="23">
        <f>COUNTIFS(pg_transaction_cleaned!$O:$O,A2139,pg_transaction_cleaned!$F:$F,"REFUND")</f>
        <v>0</v>
      </c>
      <c r="M2139" s="39">
        <f>SUMIFS(pg_transaction_cleaned!$H:$H,pg_transaction_cleaned!$O:$O,A2139,pg_transaction_cleaned!$F:$F,"REFUND")</f>
        <v>0</v>
      </c>
      <c r="N2139" s="23" t="str">
        <f t="shared" si="134"/>
        <v>OK</v>
      </c>
      <c r="O2139" s="24">
        <f t="shared" si="135"/>
        <v>0</v>
      </c>
    </row>
    <row r="2140" spans="1:15" ht="15" customHeight="1" x14ac:dyDescent="0.3">
      <c r="A2140" s="23" t="s">
        <v>4768</v>
      </c>
      <c r="B2140" s="38">
        <v>46273</v>
      </c>
      <c r="C2140" s="23" t="s">
        <v>4769</v>
      </c>
      <c r="D2140" s="23" t="s">
        <v>90</v>
      </c>
      <c r="E2140" s="23" t="s">
        <v>81</v>
      </c>
      <c r="F2140" s="23" t="s">
        <v>441</v>
      </c>
      <c r="G2140" s="23" t="s">
        <v>301</v>
      </c>
      <c r="H2140" s="39">
        <f t="shared" si="132"/>
        <v>9998</v>
      </c>
      <c r="I2140" s="23" t="str">
        <f t="shared" si="133"/>
        <v>Ahmedabad</v>
      </c>
      <c r="J2140" s="23">
        <f>COUNTIFS(pg_transaction_cleaned!$O:$O,A2140,pg_transaction_cleaned!$F:$F,"CAPTURE")</f>
        <v>1</v>
      </c>
      <c r="K2140" s="39">
        <f>SUMIFS(pg_transaction_cleaned!$H:$H,pg_transaction_cleaned!$O:$O,A2140,pg_transaction_cleaned!$F:$F,"CAPTURE")</f>
        <v>9998</v>
      </c>
      <c r="L2140" s="23">
        <f>COUNTIFS(pg_transaction_cleaned!$O:$O,A2140,pg_transaction_cleaned!$F:$F,"REFUND")</f>
        <v>1</v>
      </c>
      <c r="M2140" s="39">
        <f>SUMIFS(pg_transaction_cleaned!$H:$H,pg_transaction_cleaned!$O:$O,A2140,pg_transaction_cleaned!$F:$F,"REFUND")</f>
        <v>9998</v>
      </c>
      <c r="N2140" s="23" t="str">
        <f t="shared" si="134"/>
        <v>OK</v>
      </c>
      <c r="O2140" s="24">
        <f t="shared" si="135"/>
        <v>0</v>
      </c>
    </row>
    <row r="2141" spans="1:15" ht="15" customHeight="1" x14ac:dyDescent="0.3">
      <c r="A2141" s="23" t="s">
        <v>4770</v>
      </c>
      <c r="B2141" s="38">
        <v>46289</v>
      </c>
      <c r="C2141" s="23" t="s">
        <v>4771</v>
      </c>
      <c r="D2141" s="23" t="s">
        <v>93</v>
      </c>
      <c r="E2141" s="23" t="s">
        <v>77</v>
      </c>
      <c r="F2141" s="23" t="s">
        <v>265</v>
      </c>
      <c r="G2141" s="23" t="s">
        <v>250</v>
      </c>
      <c r="H2141" s="39">
        <f t="shared" si="132"/>
        <v>999</v>
      </c>
      <c r="I2141" s="23" t="str">
        <f t="shared" si="133"/>
        <v>Kolkata</v>
      </c>
      <c r="J2141" s="23">
        <f>COUNTIFS(pg_transaction_cleaned!$O:$O,A2141,pg_transaction_cleaned!$F:$F,"CAPTURE")</f>
        <v>1</v>
      </c>
      <c r="K2141" s="39">
        <f>SUMIFS(pg_transaction_cleaned!$H:$H,pg_transaction_cleaned!$O:$O,A2141,pg_transaction_cleaned!$F:$F,"CAPTURE")</f>
        <v>999</v>
      </c>
      <c r="L2141" s="23">
        <f>COUNTIFS(pg_transaction_cleaned!$O:$O,A2141,pg_transaction_cleaned!$F:$F,"REFUND")</f>
        <v>0</v>
      </c>
      <c r="M2141" s="39">
        <f>SUMIFS(pg_transaction_cleaned!$H:$H,pg_transaction_cleaned!$O:$O,A2141,pg_transaction_cleaned!$F:$F,"REFUND")</f>
        <v>0</v>
      </c>
      <c r="N2141" s="23" t="str">
        <f t="shared" si="134"/>
        <v>OK</v>
      </c>
      <c r="O2141" s="24">
        <f t="shared" si="135"/>
        <v>0</v>
      </c>
    </row>
    <row r="2142" spans="1:15" ht="15" customHeight="1" x14ac:dyDescent="0.3">
      <c r="A2142" s="23" t="s">
        <v>4772</v>
      </c>
      <c r="B2142" s="38">
        <v>46291</v>
      </c>
      <c r="C2142" s="23" t="s">
        <v>4773</v>
      </c>
      <c r="D2142" s="23" t="s">
        <v>91</v>
      </c>
      <c r="E2142" s="23" t="s">
        <v>81</v>
      </c>
      <c r="F2142" s="23" t="s">
        <v>772</v>
      </c>
      <c r="G2142" s="23" t="s">
        <v>250</v>
      </c>
      <c r="H2142" s="39">
        <f t="shared" si="132"/>
        <v>4798</v>
      </c>
      <c r="I2142" s="23" t="str">
        <f t="shared" si="133"/>
        <v>Pune</v>
      </c>
      <c r="J2142" s="23">
        <f>COUNTIFS(pg_transaction_cleaned!$O:$O,A2142,pg_transaction_cleaned!$F:$F,"CAPTURE")</f>
        <v>1</v>
      </c>
      <c r="K2142" s="39">
        <f>SUMIFS(pg_transaction_cleaned!$H:$H,pg_transaction_cleaned!$O:$O,A2142,pg_transaction_cleaned!$F:$F,"CAPTURE")</f>
        <v>4798</v>
      </c>
      <c r="L2142" s="23">
        <f>COUNTIFS(pg_transaction_cleaned!$O:$O,A2142,pg_transaction_cleaned!$F:$F,"REFUND")</f>
        <v>0</v>
      </c>
      <c r="M2142" s="39">
        <f>SUMIFS(pg_transaction_cleaned!$H:$H,pg_transaction_cleaned!$O:$O,A2142,pg_transaction_cleaned!$F:$F,"REFUND")</f>
        <v>0</v>
      </c>
      <c r="N2142" s="23" t="str">
        <f t="shared" si="134"/>
        <v>OK</v>
      </c>
      <c r="O2142" s="24">
        <f t="shared" si="135"/>
        <v>0</v>
      </c>
    </row>
    <row r="2143" spans="1:15" ht="15" customHeight="1" x14ac:dyDescent="0.3">
      <c r="A2143" s="23" t="s">
        <v>4774</v>
      </c>
      <c r="B2143" s="38">
        <v>46275</v>
      </c>
      <c r="C2143" s="23" t="s">
        <v>4775</v>
      </c>
      <c r="D2143" s="23" t="s">
        <v>91</v>
      </c>
      <c r="E2143" s="23" t="s">
        <v>81</v>
      </c>
      <c r="F2143" s="23" t="s">
        <v>1520</v>
      </c>
      <c r="G2143" s="23" t="s">
        <v>250</v>
      </c>
      <c r="H2143" s="39">
        <f t="shared" si="132"/>
        <v>499</v>
      </c>
      <c r="I2143" s="23" t="str">
        <f t="shared" si="133"/>
        <v>Pune</v>
      </c>
      <c r="J2143" s="23">
        <f>COUNTIFS(pg_transaction_cleaned!$O:$O,A2143,pg_transaction_cleaned!$F:$F,"CAPTURE")</f>
        <v>1</v>
      </c>
      <c r="K2143" s="39">
        <f>SUMIFS(pg_transaction_cleaned!$H:$H,pg_transaction_cleaned!$O:$O,A2143,pg_transaction_cleaned!$F:$F,"CAPTURE")</f>
        <v>499</v>
      </c>
      <c r="L2143" s="23">
        <f>COUNTIFS(pg_transaction_cleaned!$O:$O,A2143,pg_transaction_cleaned!$F:$F,"REFUND")</f>
        <v>0</v>
      </c>
      <c r="M2143" s="39">
        <f>SUMIFS(pg_transaction_cleaned!$H:$H,pg_transaction_cleaned!$O:$O,A2143,pg_transaction_cleaned!$F:$F,"REFUND")</f>
        <v>0</v>
      </c>
      <c r="N2143" s="23" t="str">
        <f t="shared" si="134"/>
        <v>OK</v>
      </c>
      <c r="O2143" s="24">
        <f t="shared" si="135"/>
        <v>0</v>
      </c>
    </row>
    <row r="2144" spans="1:15" ht="15" customHeight="1" x14ac:dyDescent="0.3">
      <c r="A2144" s="23" t="s">
        <v>4776</v>
      </c>
      <c r="B2144" s="38">
        <v>46271</v>
      </c>
      <c r="C2144" s="23" t="s">
        <v>4777</v>
      </c>
      <c r="D2144" s="23" t="s">
        <v>91</v>
      </c>
      <c r="E2144" s="23" t="s">
        <v>75</v>
      </c>
      <c r="F2144" s="23" t="s">
        <v>268</v>
      </c>
      <c r="G2144" s="23" t="s">
        <v>250</v>
      </c>
      <c r="H2144" s="39">
        <f t="shared" si="132"/>
        <v>1299</v>
      </c>
      <c r="I2144" s="23" t="str">
        <f t="shared" si="133"/>
        <v>Pune</v>
      </c>
      <c r="J2144" s="23">
        <f>COUNTIFS(pg_transaction_cleaned!$O:$O,A2144,pg_transaction_cleaned!$F:$F,"CAPTURE")</f>
        <v>1</v>
      </c>
      <c r="K2144" s="39">
        <f>SUMIFS(pg_transaction_cleaned!$H:$H,pg_transaction_cleaned!$O:$O,A2144,pg_transaction_cleaned!$F:$F,"CAPTURE")</f>
        <v>1299</v>
      </c>
      <c r="L2144" s="23">
        <f>COUNTIFS(pg_transaction_cleaned!$O:$O,A2144,pg_transaction_cleaned!$F:$F,"REFUND")</f>
        <v>0</v>
      </c>
      <c r="M2144" s="39">
        <f>SUMIFS(pg_transaction_cleaned!$H:$H,pg_transaction_cleaned!$O:$O,A2144,pg_transaction_cleaned!$F:$F,"REFUND")</f>
        <v>0</v>
      </c>
      <c r="N2144" s="23" t="str">
        <f t="shared" si="134"/>
        <v>OK</v>
      </c>
      <c r="O2144" s="24">
        <f t="shared" si="135"/>
        <v>0</v>
      </c>
    </row>
    <row r="2145" spans="1:15" ht="15" customHeight="1" x14ac:dyDescent="0.3">
      <c r="A2145" s="23" t="s">
        <v>4778</v>
      </c>
      <c r="B2145" s="38">
        <v>46276</v>
      </c>
      <c r="C2145" s="23" t="s">
        <v>4779</v>
      </c>
      <c r="D2145" s="23" t="s">
        <v>87</v>
      </c>
      <c r="E2145" s="23" t="s">
        <v>75</v>
      </c>
      <c r="F2145" s="23" t="s">
        <v>2612</v>
      </c>
      <c r="G2145" s="23" t="s">
        <v>250</v>
      </c>
      <c r="H2145" s="39">
        <f t="shared" si="132"/>
        <v>5348</v>
      </c>
      <c r="I2145" s="23" t="str">
        <f t="shared" si="133"/>
        <v>Mumbai</v>
      </c>
      <c r="J2145" s="23">
        <f>COUNTIFS(pg_transaction_cleaned!$O:$O,A2145,pg_transaction_cleaned!$F:$F,"CAPTURE")</f>
        <v>1</v>
      </c>
      <c r="K2145" s="39">
        <f>SUMIFS(pg_transaction_cleaned!$H:$H,pg_transaction_cleaned!$O:$O,A2145,pg_transaction_cleaned!$F:$F,"CAPTURE")</f>
        <v>5348</v>
      </c>
      <c r="L2145" s="23">
        <f>COUNTIFS(pg_transaction_cleaned!$O:$O,A2145,pg_transaction_cleaned!$F:$F,"REFUND")</f>
        <v>0</v>
      </c>
      <c r="M2145" s="39">
        <f>SUMIFS(pg_transaction_cleaned!$H:$H,pg_transaction_cleaned!$O:$O,A2145,pg_transaction_cleaned!$F:$F,"REFUND")</f>
        <v>0</v>
      </c>
      <c r="N2145" s="23" t="str">
        <f t="shared" si="134"/>
        <v>OK</v>
      </c>
      <c r="O2145" s="24">
        <f t="shared" si="135"/>
        <v>0</v>
      </c>
    </row>
    <row r="2146" spans="1:15" ht="15" customHeight="1" x14ac:dyDescent="0.3">
      <c r="A2146" s="23" t="s">
        <v>4780</v>
      </c>
      <c r="B2146" s="38">
        <v>46283</v>
      </c>
      <c r="C2146" s="23" t="s">
        <v>4781</v>
      </c>
      <c r="D2146" s="23" t="s">
        <v>87</v>
      </c>
      <c r="E2146" s="23" t="s">
        <v>75</v>
      </c>
      <c r="F2146" s="23" t="s">
        <v>396</v>
      </c>
      <c r="G2146" s="23" t="s">
        <v>250</v>
      </c>
      <c r="H2146" s="39">
        <f t="shared" si="132"/>
        <v>2999</v>
      </c>
      <c r="I2146" s="23" t="str">
        <f t="shared" si="133"/>
        <v>Mumbai</v>
      </c>
      <c r="J2146" s="23">
        <f>COUNTIFS(pg_transaction_cleaned!$O:$O,A2146,pg_transaction_cleaned!$F:$F,"CAPTURE")</f>
        <v>1</v>
      </c>
      <c r="K2146" s="39">
        <f>SUMIFS(pg_transaction_cleaned!$H:$H,pg_transaction_cleaned!$O:$O,A2146,pg_transaction_cleaned!$F:$F,"CAPTURE")</f>
        <v>2999</v>
      </c>
      <c r="L2146" s="23">
        <f>COUNTIFS(pg_transaction_cleaned!$O:$O,A2146,pg_transaction_cleaned!$F:$F,"REFUND")</f>
        <v>0</v>
      </c>
      <c r="M2146" s="39">
        <f>SUMIFS(pg_transaction_cleaned!$H:$H,pg_transaction_cleaned!$O:$O,A2146,pg_transaction_cleaned!$F:$F,"REFUND")</f>
        <v>0</v>
      </c>
      <c r="N2146" s="23" t="str">
        <f t="shared" si="134"/>
        <v>OK</v>
      </c>
      <c r="O2146" s="24">
        <f t="shared" si="135"/>
        <v>0</v>
      </c>
    </row>
    <row r="2147" spans="1:15" ht="15" customHeight="1" x14ac:dyDescent="0.3">
      <c r="A2147" s="23" t="s">
        <v>4782</v>
      </c>
      <c r="B2147" s="38">
        <v>46266</v>
      </c>
      <c r="C2147" s="23" t="s">
        <v>4783</v>
      </c>
      <c r="D2147" s="23" t="s">
        <v>88</v>
      </c>
      <c r="E2147" s="23" t="s">
        <v>81</v>
      </c>
      <c r="F2147" s="23" t="s">
        <v>268</v>
      </c>
      <c r="G2147" s="23" t="s">
        <v>250</v>
      </c>
      <c r="H2147" s="39">
        <f t="shared" si="132"/>
        <v>1299</v>
      </c>
      <c r="I2147" s="23" t="str">
        <f t="shared" si="133"/>
        <v>Lucknow</v>
      </c>
      <c r="J2147" s="23">
        <f>COUNTIFS(pg_transaction_cleaned!$O:$O,A2147,pg_transaction_cleaned!$F:$F,"CAPTURE")</f>
        <v>1</v>
      </c>
      <c r="K2147" s="39">
        <f>SUMIFS(pg_transaction_cleaned!$H:$H,pg_transaction_cleaned!$O:$O,A2147,pg_transaction_cleaned!$F:$F,"CAPTURE")</f>
        <v>1299</v>
      </c>
      <c r="L2147" s="23">
        <f>COUNTIFS(pg_transaction_cleaned!$O:$O,A2147,pg_transaction_cleaned!$F:$F,"REFUND")</f>
        <v>0</v>
      </c>
      <c r="M2147" s="39">
        <f>SUMIFS(pg_transaction_cleaned!$H:$H,pg_transaction_cleaned!$O:$O,A2147,pg_transaction_cleaned!$F:$F,"REFUND")</f>
        <v>0</v>
      </c>
      <c r="N2147" s="23" t="str">
        <f t="shared" si="134"/>
        <v>OK</v>
      </c>
      <c r="O2147" s="24">
        <f t="shared" si="135"/>
        <v>0</v>
      </c>
    </row>
    <row r="2148" spans="1:15" ht="15" customHeight="1" x14ac:dyDescent="0.3">
      <c r="A2148" s="23" t="s">
        <v>4784</v>
      </c>
      <c r="B2148" s="38">
        <v>46277</v>
      </c>
      <c r="C2148" s="23" t="s">
        <v>4785</v>
      </c>
      <c r="D2148" s="23" t="s">
        <v>89</v>
      </c>
      <c r="E2148" s="23" t="s">
        <v>79</v>
      </c>
      <c r="F2148" s="23" t="s">
        <v>262</v>
      </c>
      <c r="G2148" s="23" t="s">
        <v>250</v>
      </c>
      <c r="H2148" s="39">
        <f t="shared" si="132"/>
        <v>499</v>
      </c>
      <c r="I2148" s="23" t="str">
        <f t="shared" si="133"/>
        <v>Jaipur</v>
      </c>
      <c r="J2148" s="23">
        <f>COUNTIFS(pg_transaction_cleaned!$O:$O,A2148,pg_transaction_cleaned!$F:$F,"CAPTURE")</f>
        <v>1</v>
      </c>
      <c r="K2148" s="39">
        <f>SUMIFS(pg_transaction_cleaned!$H:$H,pg_transaction_cleaned!$O:$O,A2148,pg_transaction_cleaned!$F:$F,"CAPTURE")</f>
        <v>499</v>
      </c>
      <c r="L2148" s="23">
        <f>COUNTIFS(pg_transaction_cleaned!$O:$O,A2148,pg_transaction_cleaned!$F:$F,"REFUND")</f>
        <v>0</v>
      </c>
      <c r="M2148" s="39">
        <f>SUMIFS(pg_transaction_cleaned!$H:$H,pg_transaction_cleaned!$O:$O,A2148,pg_transaction_cleaned!$F:$F,"REFUND")</f>
        <v>0</v>
      </c>
      <c r="N2148" s="23" t="str">
        <f t="shared" si="134"/>
        <v>OK</v>
      </c>
      <c r="O2148" s="24">
        <f t="shared" si="135"/>
        <v>0</v>
      </c>
    </row>
    <row r="2149" spans="1:15" ht="15" customHeight="1" x14ac:dyDescent="0.3">
      <c r="A2149" s="23" t="s">
        <v>4786</v>
      </c>
      <c r="B2149" s="38">
        <v>46272</v>
      </c>
      <c r="C2149" s="23" t="s">
        <v>4787</v>
      </c>
      <c r="D2149" s="23" t="s">
        <v>94</v>
      </c>
      <c r="E2149" s="23" t="s">
        <v>77</v>
      </c>
      <c r="F2149" s="23" t="s">
        <v>274</v>
      </c>
      <c r="G2149" s="23" t="s">
        <v>250</v>
      </c>
      <c r="H2149" s="39">
        <f t="shared" si="132"/>
        <v>349</v>
      </c>
      <c r="I2149" s="23" t="str">
        <f t="shared" si="133"/>
        <v>Chennai</v>
      </c>
      <c r="J2149" s="23">
        <f>COUNTIFS(pg_transaction_cleaned!$O:$O,A2149,pg_transaction_cleaned!$F:$F,"CAPTURE")</f>
        <v>1</v>
      </c>
      <c r="K2149" s="39">
        <f>SUMIFS(pg_transaction_cleaned!$H:$H,pg_transaction_cleaned!$O:$O,A2149,pg_transaction_cleaned!$F:$F,"CAPTURE")</f>
        <v>349</v>
      </c>
      <c r="L2149" s="23">
        <f>COUNTIFS(pg_transaction_cleaned!$O:$O,A2149,pg_transaction_cleaned!$F:$F,"REFUND")</f>
        <v>0</v>
      </c>
      <c r="M2149" s="39">
        <f>SUMIFS(pg_transaction_cleaned!$H:$H,pg_transaction_cleaned!$O:$O,A2149,pg_transaction_cleaned!$F:$F,"REFUND")</f>
        <v>0</v>
      </c>
      <c r="N2149" s="23" t="str">
        <f t="shared" si="134"/>
        <v>OK</v>
      </c>
      <c r="O2149" s="24">
        <f t="shared" si="135"/>
        <v>0</v>
      </c>
    </row>
    <row r="2150" spans="1:15" ht="15" customHeight="1" x14ac:dyDescent="0.3">
      <c r="A2150" s="23" t="s">
        <v>4788</v>
      </c>
      <c r="B2150" s="38">
        <v>46284</v>
      </c>
      <c r="C2150" s="23" t="s">
        <v>4789</v>
      </c>
      <c r="D2150" s="23" t="s">
        <v>89</v>
      </c>
      <c r="E2150" s="23" t="s">
        <v>81</v>
      </c>
      <c r="F2150" s="23" t="s">
        <v>315</v>
      </c>
      <c r="G2150" s="23" t="s">
        <v>250</v>
      </c>
      <c r="H2150" s="39">
        <f t="shared" si="132"/>
        <v>1499</v>
      </c>
      <c r="I2150" s="23" t="str">
        <f t="shared" si="133"/>
        <v>Jaipur</v>
      </c>
      <c r="J2150" s="23">
        <f>COUNTIFS(pg_transaction_cleaned!$O:$O,A2150,pg_transaction_cleaned!$F:$F,"CAPTURE")</f>
        <v>1</v>
      </c>
      <c r="K2150" s="39">
        <f>SUMIFS(pg_transaction_cleaned!$H:$H,pg_transaction_cleaned!$O:$O,A2150,pg_transaction_cleaned!$F:$F,"CAPTURE")</f>
        <v>1499</v>
      </c>
      <c r="L2150" s="23">
        <f>COUNTIFS(pg_transaction_cleaned!$O:$O,A2150,pg_transaction_cleaned!$F:$F,"REFUND")</f>
        <v>0</v>
      </c>
      <c r="M2150" s="39">
        <f>SUMIFS(pg_transaction_cleaned!$H:$H,pg_transaction_cleaned!$O:$O,A2150,pg_transaction_cleaned!$F:$F,"REFUND")</f>
        <v>0</v>
      </c>
      <c r="N2150" s="23" t="str">
        <f t="shared" si="134"/>
        <v>OK</v>
      </c>
      <c r="O2150" s="24">
        <f t="shared" si="135"/>
        <v>0</v>
      </c>
    </row>
    <row r="2151" spans="1:15" ht="15" customHeight="1" x14ac:dyDescent="0.3">
      <c r="A2151" s="23" t="s">
        <v>4790</v>
      </c>
      <c r="B2151" s="38">
        <v>46270</v>
      </c>
      <c r="C2151" s="23" t="s">
        <v>1494</v>
      </c>
      <c r="D2151" s="23" t="s">
        <v>92</v>
      </c>
      <c r="E2151" s="23" t="s">
        <v>75</v>
      </c>
      <c r="F2151" s="23" t="s">
        <v>553</v>
      </c>
      <c r="G2151" s="23" t="s">
        <v>250</v>
      </c>
      <c r="H2151" s="39">
        <f t="shared" si="132"/>
        <v>2798</v>
      </c>
      <c r="I2151" s="23" t="str">
        <f t="shared" si="133"/>
        <v>Hyderabad</v>
      </c>
      <c r="J2151" s="23">
        <f>COUNTIFS(pg_transaction_cleaned!$O:$O,A2151,pg_transaction_cleaned!$F:$F,"CAPTURE")</f>
        <v>1</v>
      </c>
      <c r="K2151" s="39">
        <f>SUMIFS(pg_transaction_cleaned!$H:$H,pg_transaction_cleaned!$O:$O,A2151,pg_transaction_cleaned!$F:$F,"CAPTURE")</f>
        <v>2798</v>
      </c>
      <c r="L2151" s="23">
        <f>COUNTIFS(pg_transaction_cleaned!$O:$O,A2151,pg_transaction_cleaned!$F:$F,"REFUND")</f>
        <v>0</v>
      </c>
      <c r="M2151" s="39">
        <f>SUMIFS(pg_transaction_cleaned!$H:$H,pg_transaction_cleaned!$O:$O,A2151,pg_transaction_cleaned!$F:$F,"REFUND")</f>
        <v>0</v>
      </c>
      <c r="N2151" s="23" t="str">
        <f t="shared" si="134"/>
        <v>OK</v>
      </c>
      <c r="O2151" s="24">
        <f t="shared" si="135"/>
        <v>0</v>
      </c>
    </row>
    <row r="2152" spans="1:15" ht="15" customHeight="1" x14ac:dyDescent="0.3">
      <c r="A2152" s="23" t="s">
        <v>4791</v>
      </c>
      <c r="B2152" s="38">
        <v>46295</v>
      </c>
      <c r="C2152" s="23" t="s">
        <v>4792</v>
      </c>
      <c r="D2152" s="23" t="s">
        <v>86</v>
      </c>
      <c r="E2152" s="23" t="s">
        <v>75</v>
      </c>
      <c r="F2152" s="23" t="s">
        <v>274</v>
      </c>
      <c r="G2152" s="23" t="s">
        <v>250</v>
      </c>
      <c r="H2152" s="39">
        <f t="shared" si="132"/>
        <v>349</v>
      </c>
      <c r="I2152" s="23" t="str">
        <f t="shared" si="133"/>
        <v>Delhi</v>
      </c>
      <c r="J2152" s="23">
        <f>COUNTIFS(pg_transaction_cleaned!$O:$O,A2152,pg_transaction_cleaned!$F:$F,"CAPTURE")</f>
        <v>1</v>
      </c>
      <c r="K2152" s="39">
        <f>SUMIFS(pg_transaction_cleaned!$H:$H,pg_transaction_cleaned!$O:$O,A2152,pg_transaction_cleaned!$F:$F,"CAPTURE")</f>
        <v>349</v>
      </c>
      <c r="L2152" s="23">
        <f>COUNTIFS(pg_transaction_cleaned!$O:$O,A2152,pg_transaction_cleaned!$F:$F,"REFUND")</f>
        <v>0</v>
      </c>
      <c r="M2152" s="39">
        <f>SUMIFS(pg_transaction_cleaned!$H:$H,pg_transaction_cleaned!$O:$O,A2152,pg_transaction_cleaned!$F:$F,"REFUND")</f>
        <v>0</v>
      </c>
      <c r="N2152" s="23" t="str">
        <f t="shared" si="134"/>
        <v>OK</v>
      </c>
      <c r="O2152" s="24">
        <f t="shared" si="135"/>
        <v>0</v>
      </c>
    </row>
    <row r="2153" spans="1:15" ht="15" customHeight="1" x14ac:dyDescent="0.3">
      <c r="A2153" s="23" t="s">
        <v>4793</v>
      </c>
      <c r="B2153" s="38">
        <v>46294</v>
      </c>
      <c r="C2153" s="23" t="s">
        <v>4794</v>
      </c>
      <c r="D2153" s="23" t="s">
        <v>94</v>
      </c>
      <c r="E2153" s="23" t="s">
        <v>75</v>
      </c>
      <c r="F2153" s="23" t="s">
        <v>315</v>
      </c>
      <c r="G2153" s="23" t="s">
        <v>250</v>
      </c>
      <c r="H2153" s="39">
        <f t="shared" si="132"/>
        <v>1499</v>
      </c>
      <c r="I2153" s="23" t="str">
        <f t="shared" si="133"/>
        <v>Chennai</v>
      </c>
      <c r="J2153" s="23">
        <f>COUNTIFS(pg_transaction_cleaned!$O:$O,A2153,pg_transaction_cleaned!$F:$F,"CAPTURE")</f>
        <v>1</v>
      </c>
      <c r="K2153" s="39">
        <f>SUMIFS(pg_transaction_cleaned!$H:$H,pg_transaction_cleaned!$O:$O,A2153,pg_transaction_cleaned!$F:$F,"CAPTURE")</f>
        <v>1499</v>
      </c>
      <c r="L2153" s="23">
        <f>COUNTIFS(pg_transaction_cleaned!$O:$O,A2153,pg_transaction_cleaned!$F:$F,"REFUND")</f>
        <v>0</v>
      </c>
      <c r="M2153" s="39">
        <f>SUMIFS(pg_transaction_cleaned!$H:$H,pg_transaction_cleaned!$O:$O,A2153,pg_transaction_cleaned!$F:$F,"REFUND")</f>
        <v>0</v>
      </c>
      <c r="N2153" s="23" t="str">
        <f t="shared" si="134"/>
        <v>OK</v>
      </c>
      <c r="O2153" s="24">
        <f t="shared" si="135"/>
        <v>0</v>
      </c>
    </row>
    <row r="2154" spans="1:15" ht="15" customHeight="1" x14ac:dyDescent="0.3">
      <c r="A2154" s="23" t="s">
        <v>4795</v>
      </c>
      <c r="B2154" s="38">
        <v>46280</v>
      </c>
      <c r="C2154" s="23" t="s">
        <v>4796</v>
      </c>
      <c r="D2154" s="23" t="s">
        <v>89</v>
      </c>
      <c r="E2154" s="23" t="s">
        <v>77</v>
      </c>
      <c r="F2154" s="23" t="s">
        <v>2998</v>
      </c>
      <c r="G2154" s="23" t="s">
        <v>250</v>
      </c>
      <c r="H2154" s="39">
        <f t="shared" si="132"/>
        <v>11097</v>
      </c>
      <c r="I2154" s="23" t="str">
        <f t="shared" si="133"/>
        <v>Jaipur</v>
      </c>
      <c r="J2154" s="23">
        <f>COUNTIFS(pg_transaction_cleaned!$O:$O,A2154,pg_transaction_cleaned!$F:$F,"CAPTURE")</f>
        <v>1</v>
      </c>
      <c r="K2154" s="39">
        <f>SUMIFS(pg_transaction_cleaned!$H:$H,pg_transaction_cleaned!$O:$O,A2154,pg_transaction_cleaned!$F:$F,"CAPTURE")</f>
        <v>11097</v>
      </c>
      <c r="L2154" s="23">
        <f>COUNTIFS(pg_transaction_cleaned!$O:$O,A2154,pg_transaction_cleaned!$F:$F,"REFUND")</f>
        <v>0</v>
      </c>
      <c r="M2154" s="39">
        <f>SUMIFS(pg_transaction_cleaned!$H:$H,pg_transaction_cleaned!$O:$O,A2154,pg_transaction_cleaned!$F:$F,"REFUND")</f>
        <v>0</v>
      </c>
      <c r="N2154" s="23" t="str">
        <f t="shared" si="134"/>
        <v>OK</v>
      </c>
      <c r="O2154" s="24">
        <f t="shared" si="135"/>
        <v>0</v>
      </c>
    </row>
    <row r="2155" spans="1:15" ht="15" customHeight="1" x14ac:dyDescent="0.3">
      <c r="A2155" s="23" t="s">
        <v>4797</v>
      </c>
      <c r="B2155" s="38">
        <v>46268</v>
      </c>
      <c r="C2155" s="23" t="s">
        <v>4798</v>
      </c>
      <c r="D2155" s="23" t="s">
        <v>95</v>
      </c>
      <c r="E2155" s="23" t="s">
        <v>75</v>
      </c>
      <c r="F2155" s="23" t="s">
        <v>329</v>
      </c>
      <c r="G2155" s="23" t="s">
        <v>250</v>
      </c>
      <c r="H2155" s="39">
        <f t="shared" si="132"/>
        <v>599</v>
      </c>
      <c r="I2155" s="23" t="str">
        <f t="shared" si="133"/>
        <v>Bengaluru</v>
      </c>
      <c r="J2155" s="23">
        <f>COUNTIFS(pg_transaction_cleaned!$O:$O,A2155,pg_transaction_cleaned!$F:$F,"CAPTURE")</f>
        <v>1</v>
      </c>
      <c r="K2155" s="39">
        <f>SUMIFS(pg_transaction_cleaned!$H:$H,pg_transaction_cleaned!$O:$O,A2155,pg_transaction_cleaned!$F:$F,"CAPTURE")</f>
        <v>599</v>
      </c>
      <c r="L2155" s="23">
        <f>COUNTIFS(pg_transaction_cleaned!$O:$O,A2155,pg_transaction_cleaned!$F:$F,"REFUND")</f>
        <v>0</v>
      </c>
      <c r="M2155" s="39">
        <f>SUMIFS(pg_transaction_cleaned!$H:$H,pg_transaction_cleaned!$O:$O,A2155,pg_transaction_cleaned!$F:$F,"REFUND")</f>
        <v>0</v>
      </c>
      <c r="N2155" s="23" t="str">
        <f t="shared" si="134"/>
        <v>OK</v>
      </c>
      <c r="O2155" s="24">
        <f t="shared" si="135"/>
        <v>0</v>
      </c>
    </row>
    <row r="2156" spans="1:15" ht="15" customHeight="1" x14ac:dyDescent="0.3">
      <c r="A2156" s="23" t="s">
        <v>4799</v>
      </c>
      <c r="B2156" s="38">
        <v>46291</v>
      </c>
      <c r="C2156" s="23" t="s">
        <v>4800</v>
      </c>
      <c r="D2156" s="23" t="s">
        <v>88</v>
      </c>
      <c r="E2156" s="23" t="s">
        <v>77</v>
      </c>
      <c r="F2156" s="23" t="s">
        <v>582</v>
      </c>
      <c r="G2156" s="23" t="s">
        <v>250</v>
      </c>
      <c r="H2156" s="39">
        <f t="shared" si="132"/>
        <v>1298</v>
      </c>
      <c r="I2156" s="23" t="str">
        <f t="shared" si="133"/>
        <v>Lucknow</v>
      </c>
      <c r="J2156" s="23">
        <f>COUNTIFS(pg_transaction_cleaned!$O:$O,A2156,pg_transaction_cleaned!$F:$F,"CAPTURE")</f>
        <v>1</v>
      </c>
      <c r="K2156" s="39">
        <f>SUMIFS(pg_transaction_cleaned!$H:$H,pg_transaction_cleaned!$O:$O,A2156,pg_transaction_cleaned!$F:$F,"CAPTURE")</f>
        <v>1298</v>
      </c>
      <c r="L2156" s="23">
        <f>COUNTIFS(pg_transaction_cleaned!$O:$O,A2156,pg_transaction_cleaned!$F:$F,"REFUND")</f>
        <v>0</v>
      </c>
      <c r="M2156" s="39">
        <f>SUMIFS(pg_transaction_cleaned!$H:$H,pg_transaction_cleaned!$O:$O,A2156,pg_transaction_cleaned!$F:$F,"REFUND")</f>
        <v>0</v>
      </c>
      <c r="N2156" s="23" t="str">
        <f t="shared" si="134"/>
        <v>OK</v>
      </c>
      <c r="O2156" s="24">
        <f t="shared" si="135"/>
        <v>0</v>
      </c>
    </row>
    <row r="2157" spans="1:15" ht="15" customHeight="1" x14ac:dyDescent="0.3">
      <c r="A2157" s="23" t="s">
        <v>4801</v>
      </c>
      <c r="B2157" s="38">
        <v>46269</v>
      </c>
      <c r="C2157" s="23" t="s">
        <v>4802</v>
      </c>
      <c r="D2157" s="23" t="s">
        <v>88</v>
      </c>
      <c r="E2157" s="23" t="s">
        <v>77</v>
      </c>
      <c r="F2157" s="23" t="s">
        <v>1032</v>
      </c>
      <c r="G2157" s="23" t="s">
        <v>250</v>
      </c>
      <c r="H2157" s="39">
        <f t="shared" si="132"/>
        <v>3348</v>
      </c>
      <c r="I2157" s="23" t="str">
        <f t="shared" si="133"/>
        <v>Lucknow</v>
      </c>
      <c r="J2157" s="23">
        <f>COUNTIFS(pg_transaction_cleaned!$O:$O,A2157,pg_transaction_cleaned!$F:$F,"CAPTURE")</f>
        <v>1</v>
      </c>
      <c r="K2157" s="39">
        <f>SUMIFS(pg_transaction_cleaned!$H:$H,pg_transaction_cleaned!$O:$O,A2157,pg_transaction_cleaned!$F:$F,"CAPTURE")</f>
        <v>3348</v>
      </c>
      <c r="L2157" s="23">
        <f>COUNTIFS(pg_transaction_cleaned!$O:$O,A2157,pg_transaction_cleaned!$F:$F,"REFUND")</f>
        <v>0</v>
      </c>
      <c r="M2157" s="39">
        <f>SUMIFS(pg_transaction_cleaned!$H:$H,pg_transaction_cleaned!$O:$O,A2157,pg_transaction_cleaned!$F:$F,"REFUND")</f>
        <v>0</v>
      </c>
      <c r="N2157" s="23" t="str">
        <f t="shared" si="134"/>
        <v>OK</v>
      </c>
      <c r="O2157" s="24">
        <f t="shared" si="135"/>
        <v>0</v>
      </c>
    </row>
    <row r="2158" spans="1:15" ht="15" customHeight="1" x14ac:dyDescent="0.3">
      <c r="A2158" s="23" t="s">
        <v>4803</v>
      </c>
      <c r="B2158" s="38">
        <v>46288</v>
      </c>
      <c r="C2158" s="23" t="s">
        <v>4804</v>
      </c>
      <c r="D2158" s="23" t="s">
        <v>94</v>
      </c>
      <c r="E2158" s="23" t="s">
        <v>79</v>
      </c>
      <c r="F2158" s="23" t="s">
        <v>370</v>
      </c>
      <c r="G2158" s="23" t="s">
        <v>250</v>
      </c>
      <c r="H2158" s="39">
        <f t="shared" si="132"/>
        <v>3098</v>
      </c>
      <c r="I2158" s="23" t="str">
        <f t="shared" si="133"/>
        <v>Chennai</v>
      </c>
      <c r="J2158" s="23">
        <f>COUNTIFS(pg_transaction_cleaned!$O:$O,A2158,pg_transaction_cleaned!$F:$F,"CAPTURE")</f>
        <v>1</v>
      </c>
      <c r="K2158" s="39">
        <f>SUMIFS(pg_transaction_cleaned!$H:$H,pg_transaction_cleaned!$O:$O,A2158,pg_transaction_cleaned!$F:$F,"CAPTURE")</f>
        <v>3098</v>
      </c>
      <c r="L2158" s="23">
        <f>COUNTIFS(pg_transaction_cleaned!$O:$O,A2158,pg_transaction_cleaned!$F:$F,"REFUND")</f>
        <v>0</v>
      </c>
      <c r="M2158" s="39">
        <f>SUMIFS(pg_transaction_cleaned!$H:$H,pg_transaction_cleaned!$O:$O,A2158,pg_transaction_cleaned!$F:$F,"REFUND")</f>
        <v>0</v>
      </c>
      <c r="N2158" s="23" t="str">
        <f t="shared" si="134"/>
        <v>OK</v>
      </c>
      <c r="O2158" s="24">
        <f t="shared" si="135"/>
        <v>0</v>
      </c>
    </row>
    <row r="2159" spans="1:15" ht="15" customHeight="1" x14ac:dyDescent="0.3">
      <c r="A2159" s="23" t="s">
        <v>4805</v>
      </c>
      <c r="B2159" s="38">
        <v>46270</v>
      </c>
      <c r="C2159" s="23" t="s">
        <v>4806</v>
      </c>
      <c r="D2159" s="23"/>
      <c r="E2159" s="23" t="s">
        <v>79</v>
      </c>
      <c r="F2159" s="23" t="s">
        <v>598</v>
      </c>
      <c r="G2159" s="23" t="s">
        <v>250</v>
      </c>
      <c r="H2159" s="39">
        <f t="shared" si="132"/>
        <v>5598</v>
      </c>
      <c r="I2159" s="23" t="str">
        <f t="shared" si="133"/>
        <v>Unknown</v>
      </c>
      <c r="J2159" s="23">
        <f>COUNTIFS(pg_transaction_cleaned!$O:$O,A2159,pg_transaction_cleaned!$F:$F,"CAPTURE")</f>
        <v>1</v>
      </c>
      <c r="K2159" s="39">
        <f>SUMIFS(pg_transaction_cleaned!$H:$H,pg_transaction_cleaned!$O:$O,A2159,pg_transaction_cleaned!$F:$F,"CAPTURE")</f>
        <v>5598</v>
      </c>
      <c r="L2159" s="23">
        <f>COUNTIFS(pg_transaction_cleaned!$O:$O,A2159,pg_transaction_cleaned!$F:$F,"REFUND")</f>
        <v>0</v>
      </c>
      <c r="M2159" s="39">
        <f>SUMIFS(pg_transaction_cleaned!$H:$H,pg_transaction_cleaned!$O:$O,A2159,pg_transaction_cleaned!$F:$F,"REFUND")</f>
        <v>0</v>
      </c>
      <c r="N2159" s="23" t="str">
        <f t="shared" si="134"/>
        <v>OK</v>
      </c>
      <c r="O2159" s="24">
        <f t="shared" si="135"/>
        <v>0</v>
      </c>
    </row>
    <row r="2160" spans="1:15" ht="15" customHeight="1" x14ac:dyDescent="0.3">
      <c r="A2160" s="23" t="s">
        <v>4807</v>
      </c>
      <c r="B2160" s="38">
        <v>46278</v>
      </c>
      <c r="C2160" s="23" t="s">
        <v>4808</v>
      </c>
      <c r="D2160" s="23" t="s">
        <v>90</v>
      </c>
      <c r="E2160" s="23" t="s">
        <v>75</v>
      </c>
      <c r="F2160" s="23" t="s">
        <v>315</v>
      </c>
      <c r="G2160" s="23" t="s">
        <v>250</v>
      </c>
      <c r="H2160" s="39">
        <f t="shared" si="132"/>
        <v>1499</v>
      </c>
      <c r="I2160" s="23" t="str">
        <f t="shared" si="133"/>
        <v>Ahmedabad</v>
      </c>
      <c r="J2160" s="23">
        <f>COUNTIFS(pg_transaction_cleaned!$O:$O,A2160,pg_transaction_cleaned!$F:$F,"CAPTURE")</f>
        <v>1</v>
      </c>
      <c r="K2160" s="39">
        <f>SUMIFS(pg_transaction_cleaned!$H:$H,pg_transaction_cleaned!$O:$O,A2160,pg_transaction_cleaned!$F:$F,"CAPTURE")</f>
        <v>1499</v>
      </c>
      <c r="L2160" s="23">
        <f>COUNTIFS(pg_transaction_cleaned!$O:$O,A2160,pg_transaction_cleaned!$F:$F,"REFUND")</f>
        <v>0</v>
      </c>
      <c r="M2160" s="39">
        <f>SUMIFS(pg_transaction_cleaned!$H:$H,pg_transaction_cleaned!$O:$O,A2160,pg_transaction_cleaned!$F:$F,"REFUND")</f>
        <v>0</v>
      </c>
      <c r="N2160" s="23" t="str">
        <f t="shared" si="134"/>
        <v>OK</v>
      </c>
      <c r="O2160" s="24">
        <f t="shared" si="135"/>
        <v>0</v>
      </c>
    </row>
    <row r="2161" spans="1:15" ht="15" customHeight="1" x14ac:dyDescent="0.3">
      <c r="A2161" s="23" t="s">
        <v>4809</v>
      </c>
      <c r="B2161" s="38">
        <v>46285</v>
      </c>
      <c r="C2161" s="23" t="s">
        <v>4810</v>
      </c>
      <c r="D2161" s="23" t="s">
        <v>87</v>
      </c>
      <c r="E2161" s="23" t="s">
        <v>79</v>
      </c>
      <c r="F2161" s="23" t="s">
        <v>880</v>
      </c>
      <c r="G2161" s="23" t="s">
        <v>301</v>
      </c>
      <c r="H2161" s="39">
        <f t="shared" si="132"/>
        <v>2298</v>
      </c>
      <c r="I2161" s="23" t="str">
        <f t="shared" si="133"/>
        <v>Mumbai</v>
      </c>
      <c r="J2161" s="23">
        <f>COUNTIFS(pg_transaction_cleaned!$O:$O,A2161,pg_transaction_cleaned!$F:$F,"CAPTURE")</f>
        <v>1</v>
      </c>
      <c r="K2161" s="39">
        <f>SUMIFS(pg_transaction_cleaned!$H:$H,pg_transaction_cleaned!$O:$O,A2161,pg_transaction_cleaned!$F:$F,"CAPTURE")</f>
        <v>2298</v>
      </c>
      <c r="L2161" s="23">
        <f>COUNTIFS(pg_transaction_cleaned!$O:$O,A2161,pg_transaction_cleaned!$F:$F,"REFUND")</f>
        <v>1</v>
      </c>
      <c r="M2161" s="39">
        <f>SUMIFS(pg_transaction_cleaned!$H:$H,pg_transaction_cleaned!$O:$O,A2161,pg_transaction_cleaned!$F:$F,"REFUND")</f>
        <v>2298</v>
      </c>
      <c r="N2161" s="23" t="str">
        <f t="shared" si="134"/>
        <v>OK</v>
      </c>
      <c r="O2161" s="24">
        <f t="shared" si="135"/>
        <v>0</v>
      </c>
    </row>
    <row r="2162" spans="1:15" ht="15" customHeight="1" x14ac:dyDescent="0.3">
      <c r="A2162" s="23" t="s">
        <v>4811</v>
      </c>
      <c r="B2162" s="38">
        <v>46282</v>
      </c>
      <c r="C2162" s="23" t="s">
        <v>4812</v>
      </c>
      <c r="D2162" s="23" t="s">
        <v>88</v>
      </c>
      <c r="E2162" s="23" t="s">
        <v>75</v>
      </c>
      <c r="F2162" s="23" t="s">
        <v>329</v>
      </c>
      <c r="G2162" s="23" t="s">
        <v>318</v>
      </c>
      <c r="H2162" s="39">
        <f t="shared" si="132"/>
        <v>599</v>
      </c>
      <c r="I2162" s="23" t="str">
        <f t="shared" si="133"/>
        <v>Lucknow</v>
      </c>
      <c r="J2162" s="23">
        <f>COUNTIFS(pg_transaction_cleaned!$O:$O,A2162,pg_transaction_cleaned!$F:$F,"CAPTURE")</f>
        <v>0</v>
      </c>
      <c r="K2162" s="39">
        <f>SUMIFS(pg_transaction_cleaned!$H:$H,pg_transaction_cleaned!$O:$O,A2162,pg_transaction_cleaned!$F:$F,"CAPTURE")</f>
        <v>0</v>
      </c>
      <c r="L2162" s="23">
        <f>COUNTIFS(pg_transaction_cleaned!$O:$O,A2162,pg_transaction_cleaned!$F:$F,"REFUND")</f>
        <v>0</v>
      </c>
      <c r="M2162" s="39">
        <f>SUMIFS(pg_transaction_cleaned!$H:$H,pg_transaction_cleaned!$O:$O,A2162,pg_transaction_cleaned!$F:$F,"REFUND")</f>
        <v>0</v>
      </c>
      <c r="N2162" s="23" t="str">
        <f t="shared" si="134"/>
        <v>OK</v>
      </c>
      <c r="O2162" s="24">
        <f t="shared" si="135"/>
        <v>0</v>
      </c>
    </row>
    <row r="2163" spans="1:15" ht="15" customHeight="1" x14ac:dyDescent="0.3">
      <c r="A2163" s="23" t="s">
        <v>4813</v>
      </c>
      <c r="B2163" s="38">
        <v>46283</v>
      </c>
      <c r="C2163" s="23" t="s">
        <v>4814</v>
      </c>
      <c r="D2163" s="23" t="s">
        <v>87</v>
      </c>
      <c r="E2163" s="23" t="s">
        <v>75</v>
      </c>
      <c r="F2163" s="23" t="s">
        <v>396</v>
      </c>
      <c r="G2163" s="23" t="s">
        <v>250</v>
      </c>
      <c r="H2163" s="39">
        <f t="shared" si="132"/>
        <v>2999</v>
      </c>
      <c r="I2163" s="23" t="str">
        <f t="shared" si="133"/>
        <v>Mumbai</v>
      </c>
      <c r="J2163" s="23">
        <f>COUNTIFS(pg_transaction_cleaned!$O:$O,A2163,pg_transaction_cleaned!$F:$F,"CAPTURE")</f>
        <v>1</v>
      </c>
      <c r="K2163" s="39">
        <f>SUMIFS(pg_transaction_cleaned!$H:$H,pg_transaction_cleaned!$O:$O,A2163,pg_transaction_cleaned!$F:$F,"CAPTURE")</f>
        <v>2999</v>
      </c>
      <c r="L2163" s="23">
        <f>COUNTIFS(pg_transaction_cleaned!$O:$O,A2163,pg_transaction_cleaned!$F:$F,"REFUND")</f>
        <v>0</v>
      </c>
      <c r="M2163" s="39">
        <f>SUMIFS(pg_transaction_cleaned!$H:$H,pg_transaction_cleaned!$O:$O,A2163,pg_transaction_cleaned!$F:$F,"REFUND")</f>
        <v>0</v>
      </c>
      <c r="N2163" s="23" t="str">
        <f t="shared" si="134"/>
        <v>OK</v>
      </c>
      <c r="O2163" s="24">
        <f t="shared" si="135"/>
        <v>0</v>
      </c>
    </row>
    <row r="2164" spans="1:15" ht="15" customHeight="1" x14ac:dyDescent="0.3">
      <c r="A2164" s="23" t="s">
        <v>4815</v>
      </c>
      <c r="B2164" s="38">
        <v>46275</v>
      </c>
      <c r="C2164" s="23" t="s">
        <v>4816</v>
      </c>
      <c r="D2164" s="23" t="s">
        <v>93</v>
      </c>
      <c r="E2164" s="23" t="s">
        <v>75</v>
      </c>
      <c r="F2164" s="23" t="s">
        <v>357</v>
      </c>
      <c r="G2164" s="23" t="s">
        <v>301</v>
      </c>
      <c r="H2164" s="39">
        <f t="shared" si="132"/>
        <v>1598</v>
      </c>
      <c r="I2164" s="23" t="str">
        <f t="shared" si="133"/>
        <v>Kolkata</v>
      </c>
      <c r="J2164" s="23">
        <f>COUNTIFS(pg_transaction_cleaned!$O:$O,A2164,pg_transaction_cleaned!$F:$F,"CAPTURE")</f>
        <v>1</v>
      </c>
      <c r="K2164" s="39">
        <f>SUMIFS(pg_transaction_cleaned!$H:$H,pg_transaction_cleaned!$O:$O,A2164,pg_transaction_cleaned!$F:$F,"CAPTURE")</f>
        <v>1598</v>
      </c>
      <c r="L2164" s="23">
        <f>COUNTIFS(pg_transaction_cleaned!$O:$O,A2164,pg_transaction_cleaned!$F:$F,"REFUND")</f>
        <v>1</v>
      </c>
      <c r="M2164" s="39">
        <f>SUMIFS(pg_transaction_cleaned!$H:$H,pg_transaction_cleaned!$O:$O,A2164,pg_transaction_cleaned!$F:$F,"REFUND")</f>
        <v>1598</v>
      </c>
      <c r="N2164" s="23" t="str">
        <f t="shared" si="134"/>
        <v>OK</v>
      </c>
      <c r="O2164" s="24">
        <f t="shared" si="135"/>
        <v>0</v>
      </c>
    </row>
    <row r="2165" spans="1:15" ht="15" customHeight="1" x14ac:dyDescent="0.3">
      <c r="A2165" s="23" t="s">
        <v>4817</v>
      </c>
      <c r="B2165" s="38">
        <v>46289</v>
      </c>
      <c r="C2165" s="23" t="s">
        <v>4818</v>
      </c>
      <c r="D2165" s="23" t="s">
        <v>95</v>
      </c>
      <c r="E2165" s="23" t="s">
        <v>75</v>
      </c>
      <c r="F2165" s="23" t="s">
        <v>737</v>
      </c>
      <c r="G2165" s="23" t="s">
        <v>250</v>
      </c>
      <c r="H2165" s="39">
        <f t="shared" si="132"/>
        <v>9798</v>
      </c>
      <c r="I2165" s="23" t="str">
        <f t="shared" si="133"/>
        <v>Bengaluru</v>
      </c>
      <c r="J2165" s="23">
        <f>COUNTIFS(pg_transaction_cleaned!$O:$O,A2165,pg_transaction_cleaned!$F:$F,"CAPTURE")</f>
        <v>1</v>
      </c>
      <c r="K2165" s="39">
        <f>SUMIFS(pg_transaction_cleaned!$H:$H,pg_transaction_cleaned!$O:$O,A2165,pg_transaction_cleaned!$F:$F,"CAPTURE")</f>
        <v>9798</v>
      </c>
      <c r="L2165" s="23">
        <f>COUNTIFS(pg_transaction_cleaned!$O:$O,A2165,pg_transaction_cleaned!$F:$F,"REFUND")</f>
        <v>0</v>
      </c>
      <c r="M2165" s="39">
        <f>SUMIFS(pg_transaction_cleaned!$H:$H,pg_transaction_cleaned!$O:$O,A2165,pg_transaction_cleaned!$F:$F,"REFUND")</f>
        <v>0</v>
      </c>
      <c r="N2165" s="23" t="str">
        <f t="shared" si="134"/>
        <v>OK</v>
      </c>
      <c r="O2165" s="24">
        <f t="shared" si="135"/>
        <v>0</v>
      </c>
    </row>
    <row r="2166" spans="1:15" ht="15" customHeight="1" x14ac:dyDescent="0.3">
      <c r="A2166" s="23" t="s">
        <v>4819</v>
      </c>
      <c r="B2166" s="38">
        <v>46269</v>
      </c>
      <c r="C2166" s="23" t="s">
        <v>4820</v>
      </c>
      <c r="D2166" s="23" t="s">
        <v>90</v>
      </c>
      <c r="E2166" s="23" t="s">
        <v>75</v>
      </c>
      <c r="F2166" s="23" t="s">
        <v>451</v>
      </c>
      <c r="G2166" s="23" t="s">
        <v>250</v>
      </c>
      <c r="H2166" s="39">
        <f t="shared" si="132"/>
        <v>1098</v>
      </c>
      <c r="I2166" s="23" t="str">
        <f t="shared" si="133"/>
        <v>Ahmedabad</v>
      </c>
      <c r="J2166" s="23">
        <f>COUNTIFS(pg_transaction_cleaned!$O:$O,A2166,pg_transaction_cleaned!$F:$F,"CAPTURE")</f>
        <v>1</v>
      </c>
      <c r="K2166" s="39">
        <f>SUMIFS(pg_transaction_cleaned!$H:$H,pg_transaction_cleaned!$O:$O,A2166,pg_transaction_cleaned!$F:$F,"CAPTURE")</f>
        <v>1098</v>
      </c>
      <c r="L2166" s="23">
        <f>COUNTIFS(pg_transaction_cleaned!$O:$O,A2166,pg_transaction_cleaned!$F:$F,"REFUND")</f>
        <v>0</v>
      </c>
      <c r="M2166" s="39">
        <f>SUMIFS(pg_transaction_cleaned!$H:$H,pg_transaction_cleaned!$O:$O,A2166,pg_transaction_cleaned!$F:$F,"REFUND")</f>
        <v>0</v>
      </c>
      <c r="N2166" s="23" t="str">
        <f t="shared" si="134"/>
        <v>OK</v>
      </c>
      <c r="O2166" s="24">
        <f t="shared" si="135"/>
        <v>0</v>
      </c>
    </row>
    <row r="2167" spans="1:15" ht="15" customHeight="1" x14ac:dyDescent="0.3">
      <c r="A2167" s="23" t="s">
        <v>4821</v>
      </c>
      <c r="B2167" s="38">
        <v>46272</v>
      </c>
      <c r="C2167" s="23" t="s">
        <v>4822</v>
      </c>
      <c r="D2167" s="23" t="s">
        <v>91</v>
      </c>
      <c r="E2167" s="23" t="s">
        <v>77</v>
      </c>
      <c r="F2167" s="23" t="s">
        <v>438</v>
      </c>
      <c r="G2167" s="23" t="s">
        <v>250</v>
      </c>
      <c r="H2167" s="39">
        <f t="shared" si="132"/>
        <v>5498</v>
      </c>
      <c r="I2167" s="23" t="str">
        <f t="shared" si="133"/>
        <v>Pune</v>
      </c>
      <c r="J2167" s="23">
        <f>COUNTIFS(pg_transaction_cleaned!$O:$O,A2167,pg_transaction_cleaned!$F:$F,"CAPTURE")</f>
        <v>1</v>
      </c>
      <c r="K2167" s="39">
        <f>SUMIFS(pg_transaction_cleaned!$H:$H,pg_transaction_cleaned!$O:$O,A2167,pg_transaction_cleaned!$F:$F,"CAPTURE")</f>
        <v>5498</v>
      </c>
      <c r="L2167" s="23">
        <f>COUNTIFS(pg_transaction_cleaned!$O:$O,A2167,pg_transaction_cleaned!$F:$F,"REFUND")</f>
        <v>0</v>
      </c>
      <c r="M2167" s="39">
        <f>SUMIFS(pg_transaction_cleaned!$H:$H,pg_transaction_cleaned!$O:$O,A2167,pg_transaction_cleaned!$F:$F,"REFUND")</f>
        <v>0</v>
      </c>
      <c r="N2167" s="23" t="str">
        <f t="shared" si="134"/>
        <v>OK</v>
      </c>
      <c r="O2167" s="24">
        <f t="shared" si="135"/>
        <v>0</v>
      </c>
    </row>
    <row r="2168" spans="1:15" ht="15" customHeight="1" x14ac:dyDescent="0.3">
      <c r="A2168" s="23" t="s">
        <v>4823</v>
      </c>
      <c r="B2168" s="38">
        <v>46295</v>
      </c>
      <c r="C2168" s="23" t="s">
        <v>4824</v>
      </c>
      <c r="D2168" s="23" t="s">
        <v>86</v>
      </c>
      <c r="E2168" s="23" t="s">
        <v>79</v>
      </c>
      <c r="F2168" s="23" t="s">
        <v>249</v>
      </c>
      <c r="G2168" s="23" t="s">
        <v>365</v>
      </c>
      <c r="H2168" s="39">
        <f t="shared" si="132"/>
        <v>299</v>
      </c>
      <c r="I2168" s="23" t="str">
        <f t="shared" si="133"/>
        <v>Delhi</v>
      </c>
      <c r="J2168" s="23">
        <f>COUNTIFS(pg_transaction_cleaned!$O:$O,A2168,pg_transaction_cleaned!$F:$F,"CAPTURE")</f>
        <v>0</v>
      </c>
      <c r="K2168" s="39">
        <f>SUMIFS(pg_transaction_cleaned!$H:$H,pg_transaction_cleaned!$O:$O,A2168,pg_transaction_cleaned!$F:$F,"CAPTURE")</f>
        <v>0</v>
      </c>
      <c r="L2168" s="23">
        <f>COUNTIFS(pg_transaction_cleaned!$O:$O,A2168,pg_transaction_cleaned!$F:$F,"REFUND")</f>
        <v>0</v>
      </c>
      <c r="M2168" s="39">
        <f>SUMIFS(pg_transaction_cleaned!$H:$H,pg_transaction_cleaned!$O:$O,A2168,pg_transaction_cleaned!$F:$F,"REFUND")</f>
        <v>0</v>
      </c>
      <c r="N2168" s="23" t="str">
        <f t="shared" si="134"/>
        <v>OK</v>
      </c>
      <c r="O2168" s="24">
        <f t="shared" si="135"/>
        <v>0</v>
      </c>
    </row>
    <row r="2169" spans="1:15" ht="15" customHeight="1" x14ac:dyDescent="0.3">
      <c r="A2169" s="23" t="s">
        <v>4825</v>
      </c>
      <c r="B2169" s="38">
        <v>46278</v>
      </c>
      <c r="C2169" s="23" t="s">
        <v>4826</v>
      </c>
      <c r="D2169" s="23" t="s">
        <v>86</v>
      </c>
      <c r="E2169" s="23" t="s">
        <v>75</v>
      </c>
      <c r="F2169" s="23" t="s">
        <v>265</v>
      </c>
      <c r="G2169" s="23" t="s">
        <v>365</v>
      </c>
      <c r="H2169" s="39">
        <f t="shared" si="132"/>
        <v>999</v>
      </c>
      <c r="I2169" s="23" t="str">
        <f t="shared" si="133"/>
        <v>Delhi</v>
      </c>
      <c r="J2169" s="23">
        <f>COUNTIFS(pg_transaction_cleaned!$O:$O,A2169,pg_transaction_cleaned!$F:$F,"CAPTURE")</f>
        <v>0</v>
      </c>
      <c r="K2169" s="39">
        <f>SUMIFS(pg_transaction_cleaned!$H:$H,pg_transaction_cleaned!$O:$O,A2169,pg_transaction_cleaned!$F:$F,"CAPTURE")</f>
        <v>0</v>
      </c>
      <c r="L2169" s="23">
        <f>COUNTIFS(pg_transaction_cleaned!$O:$O,A2169,pg_transaction_cleaned!$F:$F,"REFUND")</f>
        <v>0</v>
      </c>
      <c r="M2169" s="39">
        <f>SUMIFS(pg_transaction_cleaned!$H:$H,pg_transaction_cleaned!$O:$O,A2169,pg_transaction_cleaned!$F:$F,"REFUND")</f>
        <v>0</v>
      </c>
      <c r="N2169" s="23" t="str">
        <f t="shared" si="134"/>
        <v>OK</v>
      </c>
      <c r="O2169" s="24">
        <f t="shared" si="135"/>
        <v>0</v>
      </c>
    </row>
    <row r="2170" spans="1:15" ht="15" customHeight="1" x14ac:dyDescent="0.3">
      <c r="A2170" s="23" t="s">
        <v>4827</v>
      </c>
      <c r="B2170" s="38">
        <v>46285</v>
      </c>
      <c r="C2170" s="23" t="s">
        <v>4828</v>
      </c>
      <c r="D2170" s="23" t="s">
        <v>88</v>
      </c>
      <c r="E2170" s="23" t="s">
        <v>77</v>
      </c>
      <c r="F2170" s="23" t="s">
        <v>271</v>
      </c>
      <c r="G2170" s="23" t="s">
        <v>250</v>
      </c>
      <c r="H2170" s="39">
        <f t="shared" si="132"/>
        <v>2499</v>
      </c>
      <c r="I2170" s="23" t="str">
        <f t="shared" si="133"/>
        <v>Lucknow</v>
      </c>
      <c r="J2170" s="23">
        <f>COUNTIFS(pg_transaction_cleaned!$O:$O,A2170,pg_transaction_cleaned!$F:$F,"CAPTURE")</f>
        <v>1</v>
      </c>
      <c r="K2170" s="39">
        <f>SUMIFS(pg_transaction_cleaned!$H:$H,pg_transaction_cleaned!$O:$O,A2170,pg_transaction_cleaned!$F:$F,"CAPTURE")</f>
        <v>2499</v>
      </c>
      <c r="L2170" s="23">
        <f>COUNTIFS(pg_transaction_cleaned!$O:$O,A2170,pg_transaction_cleaned!$F:$F,"REFUND")</f>
        <v>0</v>
      </c>
      <c r="M2170" s="39">
        <f>SUMIFS(pg_transaction_cleaned!$H:$H,pg_transaction_cleaned!$O:$O,A2170,pg_transaction_cleaned!$F:$F,"REFUND")</f>
        <v>0</v>
      </c>
      <c r="N2170" s="23" t="str">
        <f t="shared" si="134"/>
        <v>OK</v>
      </c>
      <c r="O2170" s="24">
        <f t="shared" si="135"/>
        <v>0</v>
      </c>
    </row>
    <row r="2171" spans="1:15" ht="15" customHeight="1" x14ac:dyDescent="0.3">
      <c r="A2171" s="23" t="s">
        <v>4829</v>
      </c>
      <c r="B2171" s="38">
        <v>46288</v>
      </c>
      <c r="C2171" s="23" t="s">
        <v>4830</v>
      </c>
      <c r="D2171" s="23" t="s">
        <v>93</v>
      </c>
      <c r="E2171" s="23" t="s">
        <v>75</v>
      </c>
      <c r="F2171" s="23" t="s">
        <v>1662</v>
      </c>
      <c r="G2171" s="23" t="s">
        <v>250</v>
      </c>
      <c r="H2171" s="39">
        <f t="shared" si="132"/>
        <v>4397</v>
      </c>
      <c r="I2171" s="23" t="str">
        <f t="shared" si="133"/>
        <v>Kolkata</v>
      </c>
      <c r="J2171" s="23">
        <f>COUNTIFS(pg_transaction_cleaned!$O:$O,A2171,pg_transaction_cleaned!$F:$F,"CAPTURE")</f>
        <v>1</v>
      </c>
      <c r="K2171" s="39">
        <f>SUMIFS(pg_transaction_cleaned!$H:$H,pg_transaction_cleaned!$O:$O,A2171,pg_transaction_cleaned!$F:$F,"CAPTURE")</f>
        <v>4397</v>
      </c>
      <c r="L2171" s="23">
        <f>COUNTIFS(pg_transaction_cleaned!$O:$O,A2171,pg_transaction_cleaned!$F:$F,"REFUND")</f>
        <v>0</v>
      </c>
      <c r="M2171" s="39">
        <f>SUMIFS(pg_transaction_cleaned!$H:$H,pg_transaction_cleaned!$O:$O,A2171,pg_transaction_cleaned!$F:$F,"REFUND")</f>
        <v>0</v>
      </c>
      <c r="N2171" s="23" t="str">
        <f t="shared" si="134"/>
        <v>OK</v>
      </c>
      <c r="O2171" s="24">
        <f t="shared" si="135"/>
        <v>0</v>
      </c>
    </row>
    <row r="2172" spans="1:15" ht="15" customHeight="1" x14ac:dyDescent="0.3">
      <c r="A2172" s="23" t="s">
        <v>4831</v>
      </c>
      <c r="B2172" s="38">
        <v>46292</v>
      </c>
      <c r="C2172" s="23" t="s">
        <v>4832</v>
      </c>
      <c r="D2172" s="23" t="s">
        <v>92</v>
      </c>
      <c r="E2172" s="23" t="s">
        <v>75</v>
      </c>
      <c r="F2172" s="23" t="s">
        <v>256</v>
      </c>
      <c r="G2172" s="23" t="s">
        <v>250</v>
      </c>
      <c r="H2172" s="39">
        <f t="shared" si="132"/>
        <v>2098</v>
      </c>
      <c r="I2172" s="23" t="str">
        <f t="shared" si="133"/>
        <v>Hyderabad</v>
      </c>
      <c r="J2172" s="23">
        <f>COUNTIFS(pg_transaction_cleaned!$O:$O,A2172,pg_transaction_cleaned!$F:$F,"CAPTURE")</f>
        <v>1</v>
      </c>
      <c r="K2172" s="39">
        <f>SUMIFS(pg_transaction_cleaned!$H:$H,pg_transaction_cleaned!$O:$O,A2172,pg_transaction_cleaned!$F:$F,"CAPTURE")</f>
        <v>2098</v>
      </c>
      <c r="L2172" s="23">
        <f>COUNTIFS(pg_transaction_cleaned!$O:$O,A2172,pg_transaction_cleaned!$F:$F,"REFUND")</f>
        <v>0</v>
      </c>
      <c r="M2172" s="39">
        <f>SUMIFS(pg_transaction_cleaned!$H:$H,pg_transaction_cleaned!$O:$O,A2172,pg_transaction_cleaned!$F:$F,"REFUND")</f>
        <v>0</v>
      </c>
      <c r="N2172" s="23" t="str">
        <f t="shared" si="134"/>
        <v>OK</v>
      </c>
      <c r="O2172" s="24">
        <f t="shared" si="135"/>
        <v>0</v>
      </c>
    </row>
    <row r="2173" spans="1:15" ht="15" customHeight="1" x14ac:dyDescent="0.3">
      <c r="A2173" s="23" t="s">
        <v>4833</v>
      </c>
      <c r="B2173" s="38">
        <v>46285</v>
      </c>
      <c r="C2173" s="23" t="s">
        <v>4834</v>
      </c>
      <c r="D2173" s="23" t="s">
        <v>86</v>
      </c>
      <c r="E2173" s="23" t="s">
        <v>75</v>
      </c>
      <c r="F2173" s="23" t="s">
        <v>396</v>
      </c>
      <c r="G2173" s="23" t="s">
        <v>250</v>
      </c>
      <c r="H2173" s="39">
        <f t="shared" si="132"/>
        <v>2999</v>
      </c>
      <c r="I2173" s="23" t="str">
        <f t="shared" si="133"/>
        <v>Delhi</v>
      </c>
      <c r="J2173" s="23">
        <f>COUNTIFS(pg_transaction_cleaned!$O:$O,A2173,pg_transaction_cleaned!$F:$F,"CAPTURE")</f>
        <v>1</v>
      </c>
      <c r="K2173" s="39">
        <f>SUMIFS(pg_transaction_cleaned!$H:$H,pg_transaction_cleaned!$O:$O,A2173,pg_transaction_cleaned!$F:$F,"CAPTURE")</f>
        <v>2999</v>
      </c>
      <c r="L2173" s="23">
        <f>COUNTIFS(pg_transaction_cleaned!$O:$O,A2173,pg_transaction_cleaned!$F:$F,"REFUND")</f>
        <v>0</v>
      </c>
      <c r="M2173" s="39">
        <f>SUMIFS(pg_transaction_cleaned!$H:$H,pg_transaction_cleaned!$O:$O,A2173,pg_transaction_cleaned!$F:$F,"REFUND")</f>
        <v>0</v>
      </c>
      <c r="N2173" s="23" t="str">
        <f t="shared" si="134"/>
        <v>OK</v>
      </c>
      <c r="O2173" s="24">
        <f t="shared" si="135"/>
        <v>0</v>
      </c>
    </row>
    <row r="2174" spans="1:15" ht="15" customHeight="1" x14ac:dyDescent="0.3">
      <c r="A2174" s="23" t="s">
        <v>4835</v>
      </c>
      <c r="B2174" s="38">
        <v>46287</v>
      </c>
      <c r="C2174" s="23" t="s">
        <v>4836</v>
      </c>
      <c r="D2174" s="23" t="s">
        <v>91</v>
      </c>
      <c r="E2174" s="23" t="s">
        <v>75</v>
      </c>
      <c r="F2174" s="23" t="s">
        <v>3759</v>
      </c>
      <c r="G2174" s="23" t="s">
        <v>250</v>
      </c>
      <c r="H2174" s="39">
        <f t="shared" si="132"/>
        <v>3947</v>
      </c>
      <c r="I2174" s="23" t="str">
        <f t="shared" si="133"/>
        <v>Pune</v>
      </c>
      <c r="J2174" s="23">
        <f>COUNTIFS(pg_transaction_cleaned!$O:$O,A2174,pg_transaction_cleaned!$F:$F,"CAPTURE")</f>
        <v>1</v>
      </c>
      <c r="K2174" s="39">
        <f>SUMIFS(pg_transaction_cleaned!$H:$H,pg_transaction_cleaned!$O:$O,A2174,pg_transaction_cleaned!$F:$F,"CAPTURE")</f>
        <v>3947</v>
      </c>
      <c r="L2174" s="23">
        <f>COUNTIFS(pg_transaction_cleaned!$O:$O,A2174,pg_transaction_cleaned!$F:$F,"REFUND")</f>
        <v>0</v>
      </c>
      <c r="M2174" s="39">
        <f>SUMIFS(pg_transaction_cleaned!$H:$H,pg_transaction_cleaned!$O:$O,A2174,pg_transaction_cleaned!$F:$F,"REFUND")</f>
        <v>0</v>
      </c>
      <c r="N2174" s="23" t="str">
        <f t="shared" si="134"/>
        <v>OK</v>
      </c>
      <c r="O2174" s="24">
        <f t="shared" si="135"/>
        <v>0</v>
      </c>
    </row>
    <row r="2175" spans="1:15" ht="15" customHeight="1" x14ac:dyDescent="0.3">
      <c r="A2175" s="23" t="s">
        <v>4837</v>
      </c>
      <c r="B2175" s="38">
        <v>46271</v>
      </c>
      <c r="C2175" s="23" t="s">
        <v>4838</v>
      </c>
      <c r="D2175" s="23" t="s">
        <v>93</v>
      </c>
      <c r="E2175" s="23" t="s">
        <v>75</v>
      </c>
      <c r="F2175" s="23" t="s">
        <v>974</v>
      </c>
      <c r="G2175" s="23" t="s">
        <v>318</v>
      </c>
      <c r="H2175" s="39">
        <f t="shared" si="132"/>
        <v>1498</v>
      </c>
      <c r="I2175" s="23" t="str">
        <f t="shared" si="133"/>
        <v>Kolkata</v>
      </c>
      <c r="J2175" s="23">
        <f>COUNTIFS(pg_transaction_cleaned!$O:$O,A2175,pg_transaction_cleaned!$F:$F,"CAPTURE")</f>
        <v>0</v>
      </c>
      <c r="K2175" s="39">
        <f>SUMIFS(pg_transaction_cleaned!$H:$H,pg_transaction_cleaned!$O:$O,A2175,pg_transaction_cleaned!$F:$F,"CAPTURE")</f>
        <v>0</v>
      </c>
      <c r="L2175" s="23">
        <f>COUNTIFS(pg_transaction_cleaned!$O:$O,A2175,pg_transaction_cleaned!$F:$F,"REFUND")</f>
        <v>0</v>
      </c>
      <c r="M2175" s="39">
        <f>SUMIFS(pg_transaction_cleaned!$H:$H,pg_transaction_cleaned!$O:$O,A2175,pg_transaction_cleaned!$F:$F,"REFUND")</f>
        <v>0</v>
      </c>
      <c r="N2175" s="23" t="str">
        <f t="shared" si="134"/>
        <v>OK</v>
      </c>
      <c r="O2175" s="24">
        <f t="shared" si="135"/>
        <v>0</v>
      </c>
    </row>
    <row r="2176" spans="1:15" ht="15" customHeight="1" x14ac:dyDescent="0.3">
      <c r="A2176" s="23" t="s">
        <v>4839</v>
      </c>
      <c r="B2176" s="38">
        <v>46275</v>
      </c>
      <c r="C2176" s="23" t="s">
        <v>4840</v>
      </c>
      <c r="D2176" s="23" t="s">
        <v>93</v>
      </c>
      <c r="E2176" s="23" t="s">
        <v>75</v>
      </c>
      <c r="F2176" s="23" t="s">
        <v>357</v>
      </c>
      <c r="G2176" s="23" t="s">
        <v>250</v>
      </c>
      <c r="H2176" s="39">
        <f t="shared" si="132"/>
        <v>1598</v>
      </c>
      <c r="I2176" s="23" t="str">
        <f t="shared" si="133"/>
        <v>Kolkata</v>
      </c>
      <c r="J2176" s="23">
        <f>COUNTIFS(pg_transaction_cleaned!$O:$O,A2176,pg_transaction_cleaned!$F:$F,"CAPTURE")</f>
        <v>1</v>
      </c>
      <c r="K2176" s="39">
        <f>SUMIFS(pg_transaction_cleaned!$H:$H,pg_transaction_cleaned!$O:$O,A2176,pg_transaction_cleaned!$F:$F,"CAPTURE")</f>
        <v>1598</v>
      </c>
      <c r="L2176" s="23">
        <f>COUNTIFS(pg_transaction_cleaned!$O:$O,A2176,pg_transaction_cleaned!$F:$F,"REFUND")</f>
        <v>0</v>
      </c>
      <c r="M2176" s="39">
        <f>SUMIFS(pg_transaction_cleaned!$H:$H,pg_transaction_cleaned!$O:$O,A2176,pg_transaction_cleaned!$F:$F,"REFUND")</f>
        <v>0</v>
      </c>
      <c r="N2176" s="23" t="str">
        <f t="shared" si="134"/>
        <v>OK</v>
      </c>
      <c r="O2176" s="24">
        <f t="shared" si="135"/>
        <v>0</v>
      </c>
    </row>
    <row r="2177" spans="1:15" ht="15" customHeight="1" x14ac:dyDescent="0.3">
      <c r="A2177" s="23" t="s">
        <v>4841</v>
      </c>
      <c r="B2177" s="38">
        <v>46292</v>
      </c>
      <c r="C2177" s="23" t="s">
        <v>4842</v>
      </c>
      <c r="D2177" s="23" t="s">
        <v>89</v>
      </c>
      <c r="E2177" s="23" t="s">
        <v>75</v>
      </c>
      <c r="F2177" s="23" t="s">
        <v>274</v>
      </c>
      <c r="G2177" s="23" t="s">
        <v>250</v>
      </c>
      <c r="H2177" s="39">
        <f t="shared" si="132"/>
        <v>349</v>
      </c>
      <c r="I2177" s="23" t="str">
        <f t="shared" si="133"/>
        <v>Jaipur</v>
      </c>
      <c r="J2177" s="23">
        <f>COUNTIFS(pg_transaction_cleaned!$O:$O,A2177,pg_transaction_cleaned!$F:$F,"CAPTURE")</f>
        <v>1</v>
      </c>
      <c r="K2177" s="39">
        <f>SUMIFS(pg_transaction_cleaned!$H:$H,pg_transaction_cleaned!$O:$O,A2177,pg_transaction_cleaned!$F:$F,"CAPTURE")</f>
        <v>349</v>
      </c>
      <c r="L2177" s="23">
        <f>COUNTIFS(pg_transaction_cleaned!$O:$O,A2177,pg_transaction_cleaned!$F:$F,"REFUND")</f>
        <v>0</v>
      </c>
      <c r="M2177" s="39">
        <f>SUMIFS(pg_transaction_cleaned!$H:$H,pg_transaction_cleaned!$O:$O,A2177,pg_transaction_cleaned!$F:$F,"REFUND")</f>
        <v>0</v>
      </c>
      <c r="N2177" s="23" t="str">
        <f t="shared" si="134"/>
        <v>OK</v>
      </c>
      <c r="O2177" s="24">
        <f t="shared" si="135"/>
        <v>0</v>
      </c>
    </row>
    <row r="2178" spans="1:15" ht="15" customHeight="1" x14ac:dyDescent="0.3">
      <c r="A2178" s="23" t="s">
        <v>4843</v>
      </c>
      <c r="B2178" s="38">
        <v>46267</v>
      </c>
      <c r="C2178" s="23" t="s">
        <v>4844</v>
      </c>
      <c r="D2178" s="23" t="s">
        <v>86</v>
      </c>
      <c r="E2178" s="23" t="s">
        <v>75</v>
      </c>
      <c r="F2178" s="23" t="s">
        <v>574</v>
      </c>
      <c r="G2178" s="23" t="s">
        <v>250</v>
      </c>
      <c r="H2178" s="39">
        <f t="shared" ref="H2178:H2241" si="136">VALUE(SUBSTITUTE(F2178,",",""))</f>
        <v>1848</v>
      </c>
      <c r="I2178" s="23" t="str">
        <f t="shared" ref="I2178:I2241" si="137">IF(TRIM(D2178)="","Unknown",TRIM(D2178))</f>
        <v>Delhi</v>
      </c>
      <c r="J2178" s="23">
        <f>COUNTIFS(pg_transaction_cleaned!$O:$O,A2178,pg_transaction_cleaned!$F:$F,"CAPTURE")</f>
        <v>1</v>
      </c>
      <c r="K2178" s="39">
        <f>SUMIFS(pg_transaction_cleaned!$H:$H,pg_transaction_cleaned!$O:$O,A2178,pg_transaction_cleaned!$F:$F,"CAPTURE")</f>
        <v>1848</v>
      </c>
      <c r="L2178" s="23">
        <f>COUNTIFS(pg_transaction_cleaned!$O:$O,A2178,pg_transaction_cleaned!$F:$F,"REFUND")</f>
        <v>0</v>
      </c>
      <c r="M2178" s="39">
        <f>SUMIFS(pg_transaction_cleaned!$H:$H,pg_transaction_cleaned!$O:$O,A2178,pg_transaction_cleaned!$F:$F,"REFUND")</f>
        <v>0</v>
      </c>
      <c r="N2178" s="23" t="str">
        <f t="shared" ref="N2178:N2241" si="138">IF(AND(G2178="Paid",J2178=0),"Paid, no payment",IF(AND(OR(G2178="Failed",G2178="Cancelled"),J2178&gt;0),"Payment on failed/cancelled",IF(J2178&gt;1,"Duplicate charge",IF(AND(J2178=1,ROUND(K2178-H2178,2)&lt;&gt;0),"Amount difference",IF(AND(G2178="Refunded",L2178=0),"Refunded, no refund",IF(AND(G2178&lt;&gt;"Refunded",L2178&gt;0),"Refund, order not Refunded",IF(AND(L2178&gt;0,ROUND(M2178-H2178,2)&lt;&gt;0),"Refund amount differs","OK")))))))</f>
        <v>OK</v>
      </c>
      <c r="O2178" s="24">
        <f t="shared" ref="O2178:O2241" si="139">IF(N2178="OK",0,IF(N2178="Paid, no payment",H2178,IF(N2178="Payment on failed/cancelled",K2178,IF(OR(N2178="Duplicate charge",N2178="Amount difference"),K2178-H2178,IF(N2178="Refunded, no refund",H2178,M2178)))))</f>
        <v>0</v>
      </c>
    </row>
    <row r="2179" spans="1:15" ht="15" customHeight="1" x14ac:dyDescent="0.3">
      <c r="A2179" s="23" t="s">
        <v>4845</v>
      </c>
      <c r="B2179" s="38">
        <v>46268</v>
      </c>
      <c r="C2179" s="23" t="s">
        <v>4846</v>
      </c>
      <c r="D2179" s="23" t="s">
        <v>90</v>
      </c>
      <c r="E2179" s="23" t="s">
        <v>75</v>
      </c>
      <c r="F2179" s="23" t="s">
        <v>4847</v>
      </c>
      <c r="G2179" s="23" t="s">
        <v>250</v>
      </c>
      <c r="H2179" s="39">
        <f t="shared" si="136"/>
        <v>5947</v>
      </c>
      <c r="I2179" s="23" t="str">
        <f t="shared" si="137"/>
        <v>Ahmedabad</v>
      </c>
      <c r="J2179" s="23">
        <f>COUNTIFS(pg_transaction_cleaned!$O:$O,A2179,pg_transaction_cleaned!$F:$F,"CAPTURE")</f>
        <v>1</v>
      </c>
      <c r="K2179" s="39">
        <f>SUMIFS(pg_transaction_cleaned!$H:$H,pg_transaction_cleaned!$O:$O,A2179,pg_transaction_cleaned!$F:$F,"CAPTURE")</f>
        <v>5947</v>
      </c>
      <c r="L2179" s="23">
        <f>COUNTIFS(pg_transaction_cleaned!$O:$O,A2179,pg_transaction_cleaned!$F:$F,"REFUND")</f>
        <v>0</v>
      </c>
      <c r="M2179" s="39">
        <f>SUMIFS(pg_transaction_cleaned!$H:$H,pg_transaction_cleaned!$O:$O,A2179,pg_transaction_cleaned!$F:$F,"REFUND")</f>
        <v>0</v>
      </c>
      <c r="N2179" s="23" t="str">
        <f t="shared" si="138"/>
        <v>OK</v>
      </c>
      <c r="O2179" s="24">
        <f t="shared" si="139"/>
        <v>0</v>
      </c>
    </row>
    <row r="2180" spans="1:15" ht="15" customHeight="1" x14ac:dyDescent="0.3">
      <c r="A2180" s="23" t="s">
        <v>4848</v>
      </c>
      <c r="B2180" s="38">
        <v>46285</v>
      </c>
      <c r="C2180" s="23" t="s">
        <v>4849</v>
      </c>
      <c r="D2180" s="23" t="s">
        <v>95</v>
      </c>
      <c r="E2180" s="23" t="s">
        <v>79</v>
      </c>
      <c r="F2180" s="23" t="s">
        <v>396</v>
      </c>
      <c r="G2180" s="23" t="s">
        <v>318</v>
      </c>
      <c r="H2180" s="39">
        <f t="shared" si="136"/>
        <v>2999</v>
      </c>
      <c r="I2180" s="23" t="str">
        <f t="shared" si="137"/>
        <v>Bengaluru</v>
      </c>
      <c r="J2180" s="23">
        <f>COUNTIFS(pg_transaction_cleaned!$O:$O,A2180,pg_transaction_cleaned!$F:$F,"CAPTURE")</f>
        <v>0</v>
      </c>
      <c r="K2180" s="39">
        <f>SUMIFS(pg_transaction_cleaned!$H:$H,pg_transaction_cleaned!$O:$O,A2180,pg_transaction_cleaned!$F:$F,"CAPTURE")</f>
        <v>0</v>
      </c>
      <c r="L2180" s="23">
        <f>COUNTIFS(pg_transaction_cleaned!$O:$O,A2180,pg_transaction_cleaned!$F:$F,"REFUND")</f>
        <v>0</v>
      </c>
      <c r="M2180" s="39">
        <f>SUMIFS(pg_transaction_cleaned!$H:$H,pg_transaction_cleaned!$O:$O,A2180,pg_transaction_cleaned!$F:$F,"REFUND")</f>
        <v>0</v>
      </c>
      <c r="N2180" s="23" t="str">
        <f t="shared" si="138"/>
        <v>OK</v>
      </c>
      <c r="O2180" s="24">
        <f t="shared" si="139"/>
        <v>0</v>
      </c>
    </row>
    <row r="2181" spans="1:15" ht="15" customHeight="1" x14ac:dyDescent="0.3">
      <c r="A2181" s="23" t="s">
        <v>4850</v>
      </c>
      <c r="B2181" s="38">
        <v>46289</v>
      </c>
      <c r="C2181" s="23" t="s">
        <v>4851</v>
      </c>
      <c r="D2181" s="23" t="s">
        <v>92</v>
      </c>
      <c r="E2181" s="23" t="s">
        <v>77</v>
      </c>
      <c r="F2181" s="23" t="s">
        <v>763</v>
      </c>
      <c r="G2181" s="23" t="s">
        <v>250</v>
      </c>
      <c r="H2181" s="39">
        <f t="shared" si="136"/>
        <v>299</v>
      </c>
      <c r="I2181" s="23" t="str">
        <f t="shared" si="137"/>
        <v>Hyderabad</v>
      </c>
      <c r="J2181" s="23">
        <f>COUNTIFS(pg_transaction_cleaned!$O:$O,A2181,pg_transaction_cleaned!$F:$F,"CAPTURE")</f>
        <v>1</v>
      </c>
      <c r="K2181" s="39">
        <f>SUMIFS(pg_transaction_cleaned!$H:$H,pg_transaction_cleaned!$O:$O,A2181,pg_transaction_cleaned!$F:$F,"CAPTURE")</f>
        <v>299</v>
      </c>
      <c r="L2181" s="23">
        <f>COUNTIFS(pg_transaction_cleaned!$O:$O,A2181,pg_transaction_cleaned!$F:$F,"REFUND")</f>
        <v>0</v>
      </c>
      <c r="M2181" s="39">
        <f>SUMIFS(pg_transaction_cleaned!$H:$H,pg_transaction_cleaned!$O:$O,A2181,pg_transaction_cleaned!$F:$F,"REFUND")</f>
        <v>0</v>
      </c>
      <c r="N2181" s="23" t="str">
        <f t="shared" si="138"/>
        <v>OK</v>
      </c>
      <c r="O2181" s="24">
        <f t="shared" si="139"/>
        <v>0</v>
      </c>
    </row>
    <row r="2182" spans="1:15" ht="15" customHeight="1" x14ac:dyDescent="0.3">
      <c r="A2182" s="23" t="s">
        <v>4852</v>
      </c>
      <c r="B2182" s="38">
        <v>46295</v>
      </c>
      <c r="C2182" s="23" t="s">
        <v>4853</v>
      </c>
      <c r="D2182" s="23" t="s">
        <v>93</v>
      </c>
      <c r="E2182" s="23" t="s">
        <v>77</v>
      </c>
      <c r="F2182" s="23" t="s">
        <v>265</v>
      </c>
      <c r="G2182" s="23" t="s">
        <v>250</v>
      </c>
      <c r="H2182" s="39">
        <f t="shared" si="136"/>
        <v>999</v>
      </c>
      <c r="I2182" s="23" t="str">
        <f t="shared" si="137"/>
        <v>Kolkata</v>
      </c>
      <c r="J2182" s="23">
        <f>COUNTIFS(pg_transaction_cleaned!$O:$O,A2182,pg_transaction_cleaned!$F:$F,"CAPTURE")</f>
        <v>1</v>
      </c>
      <c r="K2182" s="39">
        <f>SUMIFS(pg_transaction_cleaned!$H:$H,pg_transaction_cleaned!$O:$O,A2182,pg_transaction_cleaned!$F:$F,"CAPTURE")</f>
        <v>999</v>
      </c>
      <c r="L2182" s="23">
        <f>COUNTIFS(pg_transaction_cleaned!$O:$O,A2182,pg_transaction_cleaned!$F:$F,"REFUND")</f>
        <v>0</v>
      </c>
      <c r="M2182" s="39">
        <f>SUMIFS(pg_transaction_cleaned!$H:$H,pg_transaction_cleaned!$O:$O,A2182,pg_transaction_cleaned!$F:$F,"REFUND")</f>
        <v>0</v>
      </c>
      <c r="N2182" s="23" t="str">
        <f t="shared" si="138"/>
        <v>OK</v>
      </c>
      <c r="O2182" s="24">
        <f t="shared" si="139"/>
        <v>0</v>
      </c>
    </row>
    <row r="2183" spans="1:15" ht="15" customHeight="1" x14ac:dyDescent="0.3">
      <c r="A2183" s="23" t="s">
        <v>4854</v>
      </c>
      <c r="B2183" s="38">
        <v>46278</v>
      </c>
      <c r="C2183" s="23" t="s">
        <v>4855</v>
      </c>
      <c r="D2183" s="23" t="s">
        <v>95</v>
      </c>
      <c r="E2183" s="23" t="s">
        <v>75</v>
      </c>
      <c r="F2183" s="23" t="s">
        <v>475</v>
      </c>
      <c r="G2183" s="23" t="s">
        <v>250</v>
      </c>
      <c r="H2183" s="39">
        <f t="shared" si="136"/>
        <v>799</v>
      </c>
      <c r="I2183" s="23" t="str">
        <f t="shared" si="137"/>
        <v>Bengaluru</v>
      </c>
      <c r="J2183" s="23">
        <f>COUNTIFS(pg_transaction_cleaned!$O:$O,A2183,pg_transaction_cleaned!$F:$F,"CAPTURE")</f>
        <v>1</v>
      </c>
      <c r="K2183" s="39">
        <f>SUMIFS(pg_transaction_cleaned!$H:$H,pg_transaction_cleaned!$O:$O,A2183,pg_transaction_cleaned!$F:$F,"CAPTURE")</f>
        <v>799</v>
      </c>
      <c r="L2183" s="23">
        <f>COUNTIFS(pg_transaction_cleaned!$O:$O,A2183,pg_transaction_cleaned!$F:$F,"REFUND")</f>
        <v>0</v>
      </c>
      <c r="M2183" s="39">
        <f>SUMIFS(pg_transaction_cleaned!$H:$H,pg_transaction_cleaned!$O:$O,A2183,pg_transaction_cleaned!$F:$F,"REFUND")</f>
        <v>0</v>
      </c>
      <c r="N2183" s="23" t="str">
        <f t="shared" si="138"/>
        <v>OK</v>
      </c>
      <c r="O2183" s="24">
        <f t="shared" si="139"/>
        <v>0</v>
      </c>
    </row>
    <row r="2184" spans="1:15" ht="15" customHeight="1" x14ac:dyDescent="0.3">
      <c r="A2184" s="23" t="s">
        <v>4856</v>
      </c>
      <c r="B2184" s="38">
        <v>46276</v>
      </c>
      <c r="C2184" s="23" t="s">
        <v>4857</v>
      </c>
      <c r="D2184" s="23" t="s">
        <v>88</v>
      </c>
      <c r="E2184" s="23" t="s">
        <v>75</v>
      </c>
      <c r="F2184" s="23" t="s">
        <v>587</v>
      </c>
      <c r="G2184" s="23" t="s">
        <v>250</v>
      </c>
      <c r="H2184" s="39">
        <f t="shared" si="136"/>
        <v>5297</v>
      </c>
      <c r="I2184" s="23" t="str">
        <f t="shared" si="137"/>
        <v>Lucknow</v>
      </c>
      <c r="J2184" s="23">
        <f>COUNTIFS(pg_transaction_cleaned!$O:$O,A2184,pg_transaction_cleaned!$F:$F,"CAPTURE")</f>
        <v>1</v>
      </c>
      <c r="K2184" s="39">
        <f>SUMIFS(pg_transaction_cleaned!$H:$H,pg_transaction_cleaned!$O:$O,A2184,pg_transaction_cleaned!$F:$F,"CAPTURE")</f>
        <v>5297</v>
      </c>
      <c r="L2184" s="23">
        <f>COUNTIFS(pg_transaction_cleaned!$O:$O,A2184,pg_transaction_cleaned!$F:$F,"REFUND")</f>
        <v>0</v>
      </c>
      <c r="M2184" s="39">
        <f>SUMIFS(pg_transaction_cleaned!$H:$H,pg_transaction_cleaned!$O:$O,A2184,pg_transaction_cleaned!$F:$F,"REFUND")</f>
        <v>0</v>
      </c>
      <c r="N2184" s="23" t="str">
        <f t="shared" si="138"/>
        <v>OK</v>
      </c>
      <c r="O2184" s="24">
        <f t="shared" si="139"/>
        <v>0</v>
      </c>
    </row>
    <row r="2185" spans="1:15" ht="15" customHeight="1" x14ac:dyDescent="0.3">
      <c r="A2185" s="23" t="s">
        <v>4858</v>
      </c>
      <c r="B2185" s="38">
        <v>46282</v>
      </c>
      <c r="C2185" s="23" t="s">
        <v>4859</v>
      </c>
      <c r="D2185" s="23" t="s">
        <v>87</v>
      </c>
      <c r="E2185" s="23" t="s">
        <v>75</v>
      </c>
      <c r="F2185" s="23" t="s">
        <v>294</v>
      </c>
      <c r="G2185" s="23" t="s">
        <v>250</v>
      </c>
      <c r="H2185" s="39">
        <f t="shared" si="136"/>
        <v>1799</v>
      </c>
      <c r="I2185" s="23" t="str">
        <f t="shared" si="137"/>
        <v>Mumbai</v>
      </c>
      <c r="J2185" s="23">
        <f>COUNTIFS(pg_transaction_cleaned!$O:$O,A2185,pg_transaction_cleaned!$F:$F,"CAPTURE")</f>
        <v>1</v>
      </c>
      <c r="K2185" s="39">
        <f>SUMIFS(pg_transaction_cleaned!$H:$H,pg_transaction_cleaned!$O:$O,A2185,pg_transaction_cleaned!$F:$F,"CAPTURE")</f>
        <v>1799</v>
      </c>
      <c r="L2185" s="23">
        <f>COUNTIFS(pg_transaction_cleaned!$O:$O,A2185,pg_transaction_cleaned!$F:$F,"REFUND")</f>
        <v>0</v>
      </c>
      <c r="M2185" s="39">
        <f>SUMIFS(pg_transaction_cleaned!$H:$H,pg_transaction_cleaned!$O:$O,A2185,pg_transaction_cleaned!$F:$F,"REFUND")</f>
        <v>0</v>
      </c>
      <c r="N2185" s="23" t="str">
        <f t="shared" si="138"/>
        <v>OK</v>
      </c>
      <c r="O2185" s="24">
        <f t="shared" si="139"/>
        <v>0</v>
      </c>
    </row>
    <row r="2186" spans="1:15" ht="15" customHeight="1" x14ac:dyDescent="0.3">
      <c r="A2186" s="23" t="s">
        <v>4860</v>
      </c>
      <c r="B2186" s="38">
        <v>46269</v>
      </c>
      <c r="C2186" s="23" t="s">
        <v>4861</v>
      </c>
      <c r="D2186" s="23" t="s">
        <v>94</v>
      </c>
      <c r="E2186" s="23" t="s">
        <v>79</v>
      </c>
      <c r="F2186" s="23" t="s">
        <v>4862</v>
      </c>
      <c r="G2186" s="23" t="s">
        <v>250</v>
      </c>
      <c r="H2186" s="39">
        <f t="shared" si="136"/>
        <v>3447</v>
      </c>
      <c r="I2186" s="23" t="str">
        <f t="shared" si="137"/>
        <v>Chennai</v>
      </c>
      <c r="J2186" s="23">
        <f>COUNTIFS(pg_transaction_cleaned!$O:$O,A2186,pg_transaction_cleaned!$F:$F,"CAPTURE")</f>
        <v>1</v>
      </c>
      <c r="K2186" s="39">
        <f>SUMIFS(pg_transaction_cleaned!$H:$H,pg_transaction_cleaned!$O:$O,A2186,pg_transaction_cleaned!$F:$F,"CAPTURE")</f>
        <v>3447</v>
      </c>
      <c r="L2186" s="23">
        <f>COUNTIFS(pg_transaction_cleaned!$O:$O,A2186,pg_transaction_cleaned!$F:$F,"REFUND")</f>
        <v>0</v>
      </c>
      <c r="M2186" s="39">
        <f>SUMIFS(pg_transaction_cleaned!$H:$H,pg_transaction_cleaned!$O:$O,A2186,pg_transaction_cleaned!$F:$F,"REFUND")</f>
        <v>0</v>
      </c>
      <c r="N2186" s="23" t="str">
        <f t="shared" si="138"/>
        <v>OK</v>
      </c>
      <c r="O2186" s="24">
        <f t="shared" si="139"/>
        <v>0</v>
      </c>
    </row>
    <row r="2187" spans="1:15" ht="15" customHeight="1" x14ac:dyDescent="0.3">
      <c r="A2187" s="23" t="s">
        <v>4863</v>
      </c>
      <c r="B2187" s="38">
        <v>46277</v>
      </c>
      <c r="C2187" s="23" t="s">
        <v>4864</v>
      </c>
      <c r="D2187" s="23"/>
      <c r="E2187" s="23" t="s">
        <v>79</v>
      </c>
      <c r="F2187" s="23" t="s">
        <v>262</v>
      </c>
      <c r="G2187" s="23" t="s">
        <v>365</v>
      </c>
      <c r="H2187" s="39">
        <f t="shared" si="136"/>
        <v>499</v>
      </c>
      <c r="I2187" s="23" t="str">
        <f t="shared" si="137"/>
        <v>Unknown</v>
      </c>
      <c r="J2187" s="23">
        <f>COUNTIFS(pg_transaction_cleaned!$O:$O,A2187,pg_transaction_cleaned!$F:$F,"CAPTURE")</f>
        <v>0</v>
      </c>
      <c r="K2187" s="39">
        <f>SUMIFS(pg_transaction_cleaned!$H:$H,pg_transaction_cleaned!$O:$O,A2187,pg_transaction_cleaned!$F:$F,"CAPTURE")</f>
        <v>0</v>
      </c>
      <c r="L2187" s="23">
        <f>COUNTIFS(pg_transaction_cleaned!$O:$O,A2187,pg_transaction_cleaned!$F:$F,"REFUND")</f>
        <v>0</v>
      </c>
      <c r="M2187" s="39">
        <f>SUMIFS(pg_transaction_cleaned!$H:$H,pg_transaction_cleaned!$O:$O,A2187,pg_transaction_cleaned!$F:$F,"REFUND")</f>
        <v>0</v>
      </c>
      <c r="N2187" s="23" t="str">
        <f t="shared" si="138"/>
        <v>OK</v>
      </c>
      <c r="O2187" s="24">
        <f t="shared" si="139"/>
        <v>0</v>
      </c>
    </row>
    <row r="2188" spans="1:15" ht="15" customHeight="1" x14ac:dyDescent="0.3">
      <c r="A2188" s="23" t="s">
        <v>4865</v>
      </c>
      <c r="B2188" s="38">
        <v>46266</v>
      </c>
      <c r="C2188" s="23" t="s">
        <v>4866</v>
      </c>
      <c r="D2188" s="23" t="s">
        <v>87</v>
      </c>
      <c r="E2188" s="23" t="s">
        <v>79</v>
      </c>
      <c r="F2188" s="23" t="s">
        <v>1505</v>
      </c>
      <c r="G2188" s="23" t="s">
        <v>250</v>
      </c>
      <c r="H2188" s="39">
        <f t="shared" si="136"/>
        <v>8298</v>
      </c>
      <c r="I2188" s="23" t="str">
        <f t="shared" si="137"/>
        <v>Mumbai</v>
      </c>
      <c r="J2188" s="23">
        <f>COUNTIFS(pg_transaction_cleaned!$O:$O,A2188,pg_transaction_cleaned!$F:$F,"CAPTURE")</f>
        <v>1</v>
      </c>
      <c r="K2188" s="39">
        <f>SUMIFS(pg_transaction_cleaned!$H:$H,pg_transaction_cleaned!$O:$O,A2188,pg_transaction_cleaned!$F:$F,"CAPTURE")</f>
        <v>8298</v>
      </c>
      <c r="L2188" s="23">
        <f>COUNTIFS(pg_transaction_cleaned!$O:$O,A2188,pg_transaction_cleaned!$F:$F,"REFUND")</f>
        <v>0</v>
      </c>
      <c r="M2188" s="39">
        <f>SUMIFS(pg_transaction_cleaned!$H:$H,pg_transaction_cleaned!$O:$O,A2188,pg_transaction_cleaned!$F:$F,"REFUND")</f>
        <v>0</v>
      </c>
      <c r="N2188" s="23" t="str">
        <f t="shared" si="138"/>
        <v>OK</v>
      </c>
      <c r="O2188" s="24">
        <f t="shared" si="139"/>
        <v>0</v>
      </c>
    </row>
    <row r="2189" spans="1:15" ht="15" customHeight="1" x14ac:dyDescent="0.3">
      <c r="A2189" s="23" t="s">
        <v>4867</v>
      </c>
      <c r="B2189" s="38">
        <v>46284</v>
      </c>
      <c r="C2189" s="23" t="s">
        <v>4868</v>
      </c>
      <c r="D2189" s="23" t="s">
        <v>93</v>
      </c>
      <c r="E2189" s="23" t="s">
        <v>77</v>
      </c>
      <c r="F2189" s="23" t="s">
        <v>352</v>
      </c>
      <c r="G2189" s="23" t="s">
        <v>250</v>
      </c>
      <c r="H2189" s="39">
        <f t="shared" si="136"/>
        <v>648</v>
      </c>
      <c r="I2189" s="23" t="str">
        <f t="shared" si="137"/>
        <v>Kolkata</v>
      </c>
      <c r="J2189" s="23">
        <f>COUNTIFS(pg_transaction_cleaned!$O:$O,A2189,pg_transaction_cleaned!$F:$F,"CAPTURE")</f>
        <v>1</v>
      </c>
      <c r="K2189" s="39">
        <f>SUMIFS(pg_transaction_cleaned!$H:$H,pg_transaction_cleaned!$O:$O,A2189,pg_transaction_cleaned!$F:$F,"CAPTURE")</f>
        <v>648</v>
      </c>
      <c r="L2189" s="23">
        <f>COUNTIFS(pg_transaction_cleaned!$O:$O,A2189,pg_transaction_cleaned!$F:$F,"REFUND")</f>
        <v>0</v>
      </c>
      <c r="M2189" s="39">
        <f>SUMIFS(pg_transaction_cleaned!$H:$H,pg_transaction_cleaned!$O:$O,A2189,pg_transaction_cleaned!$F:$F,"REFUND")</f>
        <v>0</v>
      </c>
      <c r="N2189" s="23" t="str">
        <f t="shared" si="138"/>
        <v>OK</v>
      </c>
      <c r="O2189" s="24">
        <f t="shared" si="139"/>
        <v>0</v>
      </c>
    </row>
    <row r="2190" spans="1:15" ht="15" customHeight="1" x14ac:dyDescent="0.3">
      <c r="A2190" s="23" t="s">
        <v>4869</v>
      </c>
      <c r="B2190" s="38">
        <v>46275</v>
      </c>
      <c r="C2190" s="23" t="s">
        <v>4870</v>
      </c>
      <c r="D2190" s="23" t="s">
        <v>88</v>
      </c>
      <c r="E2190" s="23" t="s">
        <v>75</v>
      </c>
      <c r="F2190" s="23" t="s">
        <v>587</v>
      </c>
      <c r="G2190" s="23" t="s">
        <v>365</v>
      </c>
      <c r="H2190" s="39">
        <f t="shared" si="136"/>
        <v>5297</v>
      </c>
      <c r="I2190" s="23" t="str">
        <f t="shared" si="137"/>
        <v>Lucknow</v>
      </c>
      <c r="J2190" s="23">
        <f>COUNTIFS(pg_transaction_cleaned!$O:$O,A2190,pg_transaction_cleaned!$F:$F,"CAPTURE")</f>
        <v>0</v>
      </c>
      <c r="K2190" s="39">
        <f>SUMIFS(pg_transaction_cleaned!$H:$H,pg_transaction_cleaned!$O:$O,A2190,pg_transaction_cleaned!$F:$F,"CAPTURE")</f>
        <v>0</v>
      </c>
      <c r="L2190" s="23">
        <f>COUNTIFS(pg_transaction_cleaned!$O:$O,A2190,pg_transaction_cleaned!$F:$F,"REFUND")</f>
        <v>0</v>
      </c>
      <c r="M2190" s="39">
        <f>SUMIFS(pg_transaction_cleaned!$H:$H,pg_transaction_cleaned!$O:$O,A2190,pg_transaction_cleaned!$F:$F,"REFUND")</f>
        <v>0</v>
      </c>
      <c r="N2190" s="23" t="str">
        <f t="shared" si="138"/>
        <v>OK</v>
      </c>
      <c r="O2190" s="24">
        <f t="shared" si="139"/>
        <v>0</v>
      </c>
    </row>
    <row r="2191" spans="1:15" ht="15" customHeight="1" x14ac:dyDescent="0.3">
      <c r="A2191" s="23" t="s">
        <v>4871</v>
      </c>
      <c r="B2191" s="38">
        <v>46274</v>
      </c>
      <c r="C2191" s="23" t="s">
        <v>4872</v>
      </c>
      <c r="D2191" s="23" t="s">
        <v>90</v>
      </c>
      <c r="E2191" s="23" t="s">
        <v>77</v>
      </c>
      <c r="F2191" s="23" t="s">
        <v>396</v>
      </c>
      <c r="G2191" s="23" t="s">
        <v>250</v>
      </c>
      <c r="H2191" s="39">
        <f t="shared" si="136"/>
        <v>2999</v>
      </c>
      <c r="I2191" s="23" t="str">
        <f t="shared" si="137"/>
        <v>Ahmedabad</v>
      </c>
      <c r="J2191" s="23">
        <f>COUNTIFS(pg_transaction_cleaned!$O:$O,A2191,pg_transaction_cleaned!$F:$F,"CAPTURE")</f>
        <v>1</v>
      </c>
      <c r="K2191" s="39">
        <f>SUMIFS(pg_transaction_cleaned!$H:$H,pg_transaction_cleaned!$O:$O,A2191,pg_transaction_cleaned!$F:$F,"CAPTURE")</f>
        <v>2999</v>
      </c>
      <c r="L2191" s="23">
        <f>COUNTIFS(pg_transaction_cleaned!$O:$O,A2191,pg_transaction_cleaned!$F:$F,"REFUND")</f>
        <v>0</v>
      </c>
      <c r="M2191" s="39">
        <f>SUMIFS(pg_transaction_cleaned!$H:$H,pg_transaction_cleaned!$O:$O,A2191,pg_transaction_cleaned!$F:$F,"REFUND")</f>
        <v>0</v>
      </c>
      <c r="N2191" s="23" t="str">
        <f t="shared" si="138"/>
        <v>OK</v>
      </c>
      <c r="O2191" s="24">
        <f t="shared" si="139"/>
        <v>0</v>
      </c>
    </row>
    <row r="2192" spans="1:15" ht="15" customHeight="1" x14ac:dyDescent="0.3">
      <c r="A2192" s="23" t="s">
        <v>4873</v>
      </c>
      <c r="B2192" s="38">
        <v>46283</v>
      </c>
      <c r="C2192" s="23" t="s">
        <v>4874</v>
      </c>
      <c r="D2192" s="23" t="s">
        <v>93</v>
      </c>
      <c r="E2192" s="23" t="s">
        <v>79</v>
      </c>
      <c r="F2192" s="23" t="s">
        <v>329</v>
      </c>
      <c r="G2192" s="23" t="s">
        <v>250</v>
      </c>
      <c r="H2192" s="39">
        <f t="shared" si="136"/>
        <v>599</v>
      </c>
      <c r="I2192" s="23" t="str">
        <f t="shared" si="137"/>
        <v>Kolkata</v>
      </c>
      <c r="J2192" s="23">
        <f>COUNTIFS(pg_transaction_cleaned!$O:$O,A2192,pg_transaction_cleaned!$F:$F,"CAPTURE")</f>
        <v>1</v>
      </c>
      <c r="K2192" s="39">
        <f>SUMIFS(pg_transaction_cleaned!$H:$H,pg_transaction_cleaned!$O:$O,A2192,pg_transaction_cleaned!$F:$F,"CAPTURE")</f>
        <v>599</v>
      </c>
      <c r="L2192" s="23">
        <f>COUNTIFS(pg_transaction_cleaned!$O:$O,A2192,pg_transaction_cleaned!$F:$F,"REFUND")</f>
        <v>0</v>
      </c>
      <c r="M2192" s="39">
        <f>SUMIFS(pg_transaction_cleaned!$H:$H,pg_transaction_cleaned!$O:$O,A2192,pg_transaction_cleaned!$F:$F,"REFUND")</f>
        <v>0</v>
      </c>
      <c r="N2192" s="23" t="str">
        <f t="shared" si="138"/>
        <v>OK</v>
      </c>
      <c r="O2192" s="24">
        <f t="shared" si="139"/>
        <v>0</v>
      </c>
    </row>
    <row r="2193" spans="1:15" ht="15" customHeight="1" x14ac:dyDescent="0.3">
      <c r="A2193" s="23" t="s">
        <v>4875</v>
      </c>
      <c r="B2193" s="38">
        <v>46274</v>
      </c>
      <c r="C2193" s="23" t="s">
        <v>4876</v>
      </c>
      <c r="D2193" s="23" t="s">
        <v>86</v>
      </c>
      <c r="E2193" s="23" t="s">
        <v>75</v>
      </c>
      <c r="F2193" s="23" t="s">
        <v>265</v>
      </c>
      <c r="G2193" s="23" t="s">
        <v>250</v>
      </c>
      <c r="H2193" s="39">
        <f t="shared" si="136"/>
        <v>999</v>
      </c>
      <c r="I2193" s="23" t="str">
        <f t="shared" si="137"/>
        <v>Delhi</v>
      </c>
      <c r="J2193" s="23">
        <f>COUNTIFS(pg_transaction_cleaned!$O:$O,A2193,pg_transaction_cleaned!$F:$F,"CAPTURE")</f>
        <v>1</v>
      </c>
      <c r="K2193" s="39">
        <f>SUMIFS(pg_transaction_cleaned!$H:$H,pg_transaction_cleaned!$O:$O,A2193,pg_transaction_cleaned!$F:$F,"CAPTURE")</f>
        <v>999</v>
      </c>
      <c r="L2193" s="23">
        <f>COUNTIFS(pg_transaction_cleaned!$O:$O,A2193,pg_transaction_cleaned!$F:$F,"REFUND")</f>
        <v>0</v>
      </c>
      <c r="M2193" s="39">
        <f>SUMIFS(pg_transaction_cleaned!$H:$H,pg_transaction_cleaned!$O:$O,A2193,pg_transaction_cleaned!$F:$F,"REFUND")</f>
        <v>0</v>
      </c>
      <c r="N2193" s="23" t="str">
        <f t="shared" si="138"/>
        <v>OK</v>
      </c>
      <c r="O2193" s="24">
        <f t="shared" si="139"/>
        <v>0</v>
      </c>
    </row>
    <row r="2194" spans="1:15" ht="15" customHeight="1" x14ac:dyDescent="0.3">
      <c r="A2194" s="23" t="s">
        <v>4877</v>
      </c>
      <c r="B2194" s="38">
        <v>46267</v>
      </c>
      <c r="C2194" s="23" t="s">
        <v>4878</v>
      </c>
      <c r="D2194" s="23" t="s">
        <v>86</v>
      </c>
      <c r="E2194" s="23" t="s">
        <v>81</v>
      </c>
      <c r="F2194" s="23" t="s">
        <v>772</v>
      </c>
      <c r="G2194" s="23" t="s">
        <v>250</v>
      </c>
      <c r="H2194" s="39">
        <f t="shared" si="136"/>
        <v>4798</v>
      </c>
      <c r="I2194" s="23" t="str">
        <f t="shared" si="137"/>
        <v>Delhi</v>
      </c>
      <c r="J2194" s="23">
        <f>COUNTIFS(pg_transaction_cleaned!$O:$O,A2194,pg_transaction_cleaned!$F:$F,"CAPTURE")</f>
        <v>1</v>
      </c>
      <c r="K2194" s="39">
        <f>SUMIFS(pg_transaction_cleaned!$H:$H,pg_transaction_cleaned!$O:$O,A2194,pg_transaction_cleaned!$F:$F,"CAPTURE")</f>
        <v>4798</v>
      </c>
      <c r="L2194" s="23">
        <f>COUNTIFS(pg_transaction_cleaned!$O:$O,A2194,pg_transaction_cleaned!$F:$F,"REFUND")</f>
        <v>0</v>
      </c>
      <c r="M2194" s="39">
        <f>SUMIFS(pg_transaction_cleaned!$H:$H,pg_transaction_cleaned!$O:$O,A2194,pg_transaction_cleaned!$F:$F,"REFUND")</f>
        <v>0</v>
      </c>
      <c r="N2194" s="23" t="str">
        <f t="shared" si="138"/>
        <v>OK</v>
      </c>
      <c r="O2194" s="24">
        <f t="shared" si="139"/>
        <v>0</v>
      </c>
    </row>
    <row r="2195" spans="1:15" ht="15" customHeight="1" x14ac:dyDescent="0.3">
      <c r="A2195" s="23" t="s">
        <v>4879</v>
      </c>
      <c r="B2195" s="38">
        <v>46292</v>
      </c>
      <c r="C2195" s="23" t="s">
        <v>4880</v>
      </c>
      <c r="D2195" s="23" t="s">
        <v>90</v>
      </c>
      <c r="E2195" s="23" t="s">
        <v>75</v>
      </c>
      <c r="F2195" s="23" t="s">
        <v>1391</v>
      </c>
      <c r="G2195" s="23" t="s">
        <v>250</v>
      </c>
      <c r="H2195" s="39">
        <f t="shared" si="136"/>
        <v>2897</v>
      </c>
      <c r="I2195" s="23" t="str">
        <f t="shared" si="137"/>
        <v>Ahmedabad</v>
      </c>
      <c r="J2195" s="23">
        <f>COUNTIFS(pg_transaction_cleaned!$O:$O,A2195,pg_transaction_cleaned!$F:$F,"CAPTURE")</f>
        <v>1</v>
      </c>
      <c r="K2195" s="39">
        <f>SUMIFS(pg_transaction_cleaned!$H:$H,pg_transaction_cleaned!$O:$O,A2195,pg_transaction_cleaned!$F:$F,"CAPTURE")</f>
        <v>2897</v>
      </c>
      <c r="L2195" s="23">
        <f>COUNTIFS(pg_transaction_cleaned!$O:$O,A2195,pg_transaction_cleaned!$F:$F,"REFUND")</f>
        <v>0</v>
      </c>
      <c r="M2195" s="39">
        <f>SUMIFS(pg_transaction_cleaned!$H:$H,pg_transaction_cleaned!$O:$O,A2195,pg_transaction_cleaned!$F:$F,"REFUND")</f>
        <v>0</v>
      </c>
      <c r="N2195" s="23" t="str">
        <f t="shared" si="138"/>
        <v>OK</v>
      </c>
      <c r="O2195" s="24">
        <f t="shared" si="139"/>
        <v>0</v>
      </c>
    </row>
    <row r="2196" spans="1:15" ht="15" customHeight="1" x14ac:dyDescent="0.3">
      <c r="A2196" s="23" t="s">
        <v>4881</v>
      </c>
      <c r="B2196" s="38">
        <v>46278</v>
      </c>
      <c r="C2196" s="23" t="s">
        <v>4882</v>
      </c>
      <c r="D2196" s="23" t="s">
        <v>95</v>
      </c>
      <c r="E2196" s="23" t="s">
        <v>75</v>
      </c>
      <c r="F2196" s="23" t="s">
        <v>460</v>
      </c>
      <c r="G2196" s="23" t="s">
        <v>250</v>
      </c>
      <c r="H2196" s="39">
        <f t="shared" si="136"/>
        <v>1998</v>
      </c>
      <c r="I2196" s="23" t="str">
        <f t="shared" si="137"/>
        <v>Bengaluru</v>
      </c>
      <c r="J2196" s="23">
        <f>COUNTIFS(pg_transaction_cleaned!$O:$O,A2196,pg_transaction_cleaned!$F:$F,"CAPTURE")</f>
        <v>1</v>
      </c>
      <c r="K2196" s="39">
        <f>SUMIFS(pg_transaction_cleaned!$H:$H,pg_transaction_cleaned!$O:$O,A2196,pg_transaction_cleaned!$F:$F,"CAPTURE")</f>
        <v>1998</v>
      </c>
      <c r="L2196" s="23">
        <f>COUNTIFS(pg_transaction_cleaned!$O:$O,A2196,pg_transaction_cleaned!$F:$F,"REFUND")</f>
        <v>0</v>
      </c>
      <c r="M2196" s="39">
        <f>SUMIFS(pg_transaction_cleaned!$H:$H,pg_transaction_cleaned!$O:$O,A2196,pg_transaction_cleaned!$F:$F,"REFUND")</f>
        <v>0</v>
      </c>
      <c r="N2196" s="23" t="str">
        <f t="shared" si="138"/>
        <v>OK</v>
      </c>
      <c r="O2196" s="24">
        <f t="shared" si="139"/>
        <v>0</v>
      </c>
    </row>
    <row r="2197" spans="1:15" ht="15" customHeight="1" x14ac:dyDescent="0.3">
      <c r="A2197" s="23" t="s">
        <v>4883</v>
      </c>
      <c r="B2197" s="38">
        <v>46273</v>
      </c>
      <c r="C2197" s="23" t="s">
        <v>4884</v>
      </c>
      <c r="D2197" s="23" t="s">
        <v>88</v>
      </c>
      <c r="E2197" s="23" t="s">
        <v>75</v>
      </c>
      <c r="F2197" s="23" t="s">
        <v>291</v>
      </c>
      <c r="G2197" s="23" t="s">
        <v>250</v>
      </c>
      <c r="H2197" s="39">
        <f t="shared" si="136"/>
        <v>3499</v>
      </c>
      <c r="I2197" s="23" t="str">
        <f t="shared" si="137"/>
        <v>Lucknow</v>
      </c>
      <c r="J2197" s="23">
        <f>COUNTIFS(pg_transaction_cleaned!$O:$O,A2197,pg_transaction_cleaned!$F:$F,"CAPTURE")</f>
        <v>1</v>
      </c>
      <c r="K2197" s="39">
        <f>SUMIFS(pg_transaction_cleaned!$H:$H,pg_transaction_cleaned!$O:$O,A2197,pg_transaction_cleaned!$F:$F,"CAPTURE")</f>
        <v>3499</v>
      </c>
      <c r="L2197" s="23">
        <f>COUNTIFS(pg_transaction_cleaned!$O:$O,A2197,pg_transaction_cleaned!$F:$F,"REFUND")</f>
        <v>0</v>
      </c>
      <c r="M2197" s="39">
        <f>SUMIFS(pg_transaction_cleaned!$H:$H,pg_transaction_cleaned!$O:$O,A2197,pg_transaction_cleaned!$F:$F,"REFUND")</f>
        <v>0</v>
      </c>
      <c r="N2197" s="23" t="str">
        <f t="shared" si="138"/>
        <v>OK</v>
      </c>
      <c r="O2197" s="24">
        <f t="shared" si="139"/>
        <v>0</v>
      </c>
    </row>
    <row r="2198" spans="1:15" ht="15" customHeight="1" x14ac:dyDescent="0.3">
      <c r="A2198" s="23" t="s">
        <v>4885</v>
      </c>
      <c r="B2198" s="38">
        <v>46277</v>
      </c>
      <c r="C2198" s="23" t="s">
        <v>4886</v>
      </c>
      <c r="D2198" s="23" t="s">
        <v>92</v>
      </c>
      <c r="E2198" s="23" t="s">
        <v>75</v>
      </c>
      <c r="F2198" s="23" t="s">
        <v>737</v>
      </c>
      <c r="G2198" s="23" t="s">
        <v>250</v>
      </c>
      <c r="H2198" s="39">
        <f t="shared" si="136"/>
        <v>9798</v>
      </c>
      <c r="I2198" s="23" t="str">
        <f t="shared" si="137"/>
        <v>Hyderabad</v>
      </c>
      <c r="J2198" s="23">
        <f>COUNTIFS(pg_transaction_cleaned!$O:$O,A2198,pg_transaction_cleaned!$F:$F,"CAPTURE")</f>
        <v>1</v>
      </c>
      <c r="K2198" s="39">
        <f>SUMIFS(pg_transaction_cleaned!$H:$H,pg_transaction_cleaned!$O:$O,A2198,pg_transaction_cleaned!$F:$F,"CAPTURE")</f>
        <v>9798</v>
      </c>
      <c r="L2198" s="23">
        <f>COUNTIFS(pg_transaction_cleaned!$O:$O,A2198,pg_transaction_cleaned!$F:$F,"REFUND")</f>
        <v>0</v>
      </c>
      <c r="M2198" s="39">
        <f>SUMIFS(pg_transaction_cleaned!$H:$H,pg_transaction_cleaned!$O:$O,A2198,pg_transaction_cleaned!$F:$F,"REFUND")</f>
        <v>0</v>
      </c>
      <c r="N2198" s="23" t="str">
        <f t="shared" si="138"/>
        <v>OK</v>
      </c>
      <c r="O2198" s="24">
        <f t="shared" si="139"/>
        <v>0</v>
      </c>
    </row>
    <row r="2199" spans="1:15" ht="15" customHeight="1" x14ac:dyDescent="0.3">
      <c r="A2199" s="23" t="s">
        <v>4887</v>
      </c>
      <c r="B2199" s="38">
        <v>46272</v>
      </c>
      <c r="C2199" s="23" t="s">
        <v>4888</v>
      </c>
      <c r="D2199" s="23" t="s">
        <v>88</v>
      </c>
      <c r="E2199" s="23" t="s">
        <v>79</v>
      </c>
      <c r="F2199" s="23" t="s">
        <v>460</v>
      </c>
      <c r="G2199" s="23" t="s">
        <v>250</v>
      </c>
      <c r="H2199" s="39">
        <f t="shared" si="136"/>
        <v>1998</v>
      </c>
      <c r="I2199" s="23" t="str">
        <f t="shared" si="137"/>
        <v>Lucknow</v>
      </c>
      <c r="J2199" s="23">
        <f>COUNTIFS(pg_transaction_cleaned!$O:$O,A2199,pg_transaction_cleaned!$F:$F,"CAPTURE")</f>
        <v>1</v>
      </c>
      <c r="K2199" s="39">
        <f>SUMIFS(pg_transaction_cleaned!$H:$H,pg_transaction_cleaned!$O:$O,A2199,pg_transaction_cleaned!$F:$F,"CAPTURE")</f>
        <v>1998</v>
      </c>
      <c r="L2199" s="23">
        <f>COUNTIFS(pg_transaction_cleaned!$O:$O,A2199,pg_transaction_cleaned!$F:$F,"REFUND")</f>
        <v>0</v>
      </c>
      <c r="M2199" s="39">
        <f>SUMIFS(pg_transaction_cleaned!$H:$H,pg_transaction_cleaned!$O:$O,A2199,pg_transaction_cleaned!$F:$F,"REFUND")</f>
        <v>0</v>
      </c>
      <c r="N2199" s="23" t="str">
        <f t="shared" si="138"/>
        <v>OK</v>
      </c>
      <c r="O2199" s="24">
        <f t="shared" si="139"/>
        <v>0</v>
      </c>
    </row>
    <row r="2200" spans="1:15" ht="15" customHeight="1" x14ac:dyDescent="0.3">
      <c r="A2200" s="23" t="s">
        <v>4889</v>
      </c>
      <c r="B2200" s="38">
        <v>46279</v>
      </c>
      <c r="C2200" s="23" t="s">
        <v>4890</v>
      </c>
      <c r="D2200" s="23" t="s">
        <v>93</v>
      </c>
      <c r="E2200" s="23" t="s">
        <v>79</v>
      </c>
      <c r="F2200" s="23" t="s">
        <v>329</v>
      </c>
      <c r="G2200" s="23" t="s">
        <v>250</v>
      </c>
      <c r="H2200" s="39">
        <f t="shared" si="136"/>
        <v>599</v>
      </c>
      <c r="I2200" s="23" t="str">
        <f t="shared" si="137"/>
        <v>Kolkata</v>
      </c>
      <c r="J2200" s="23">
        <f>COUNTIFS(pg_transaction_cleaned!$O:$O,A2200,pg_transaction_cleaned!$F:$F,"CAPTURE")</f>
        <v>1</v>
      </c>
      <c r="K2200" s="39">
        <f>SUMIFS(pg_transaction_cleaned!$H:$H,pg_transaction_cleaned!$O:$O,A2200,pg_transaction_cleaned!$F:$F,"CAPTURE")</f>
        <v>599</v>
      </c>
      <c r="L2200" s="23">
        <f>COUNTIFS(pg_transaction_cleaned!$O:$O,A2200,pg_transaction_cleaned!$F:$F,"REFUND")</f>
        <v>0</v>
      </c>
      <c r="M2200" s="39">
        <f>SUMIFS(pg_transaction_cleaned!$H:$H,pg_transaction_cleaned!$O:$O,A2200,pg_transaction_cleaned!$F:$F,"REFUND")</f>
        <v>0</v>
      </c>
      <c r="N2200" s="23" t="str">
        <f t="shared" si="138"/>
        <v>OK</v>
      </c>
      <c r="O2200" s="24">
        <f t="shared" si="139"/>
        <v>0</v>
      </c>
    </row>
    <row r="2201" spans="1:15" ht="15" customHeight="1" x14ac:dyDescent="0.3">
      <c r="A2201" s="23" t="s">
        <v>4891</v>
      </c>
      <c r="B2201" s="38">
        <v>46295</v>
      </c>
      <c r="C2201" s="23" t="s">
        <v>4892</v>
      </c>
      <c r="D2201" s="23" t="s">
        <v>93</v>
      </c>
      <c r="E2201" s="23" t="s">
        <v>75</v>
      </c>
      <c r="F2201" s="23" t="s">
        <v>349</v>
      </c>
      <c r="G2201" s="23" t="s">
        <v>318</v>
      </c>
      <c r="H2201" s="39">
        <f t="shared" si="136"/>
        <v>1798</v>
      </c>
      <c r="I2201" s="23" t="str">
        <f t="shared" si="137"/>
        <v>Kolkata</v>
      </c>
      <c r="J2201" s="23">
        <f>COUNTIFS(pg_transaction_cleaned!$O:$O,A2201,pg_transaction_cleaned!$F:$F,"CAPTURE")</f>
        <v>0</v>
      </c>
      <c r="K2201" s="39">
        <f>SUMIFS(pg_transaction_cleaned!$H:$H,pg_transaction_cleaned!$O:$O,A2201,pg_transaction_cleaned!$F:$F,"CAPTURE")</f>
        <v>0</v>
      </c>
      <c r="L2201" s="23">
        <f>COUNTIFS(pg_transaction_cleaned!$O:$O,A2201,pg_transaction_cleaned!$F:$F,"REFUND")</f>
        <v>0</v>
      </c>
      <c r="M2201" s="39">
        <f>SUMIFS(pg_transaction_cleaned!$H:$H,pg_transaction_cleaned!$O:$O,A2201,pg_transaction_cleaned!$F:$F,"REFUND")</f>
        <v>0</v>
      </c>
      <c r="N2201" s="23" t="str">
        <f t="shared" si="138"/>
        <v>OK</v>
      </c>
      <c r="O2201" s="24">
        <f t="shared" si="139"/>
        <v>0</v>
      </c>
    </row>
    <row r="2202" spans="1:15" ht="15" customHeight="1" x14ac:dyDescent="0.3">
      <c r="A2202" s="23" t="s">
        <v>4893</v>
      </c>
      <c r="B2202" s="38">
        <v>46284</v>
      </c>
      <c r="C2202" s="23" t="s">
        <v>4894</v>
      </c>
      <c r="D2202" s="23" t="s">
        <v>93</v>
      </c>
      <c r="E2202" s="23" t="s">
        <v>79</v>
      </c>
      <c r="F2202" s="23" t="s">
        <v>561</v>
      </c>
      <c r="G2202" s="23" t="s">
        <v>250</v>
      </c>
      <c r="H2202" s="39">
        <f t="shared" si="136"/>
        <v>4797</v>
      </c>
      <c r="I2202" s="23" t="str">
        <f t="shared" si="137"/>
        <v>Kolkata</v>
      </c>
      <c r="J2202" s="23">
        <f>COUNTIFS(pg_transaction_cleaned!$O:$O,A2202,pg_transaction_cleaned!$F:$F,"CAPTURE")</f>
        <v>1</v>
      </c>
      <c r="K2202" s="39">
        <f>SUMIFS(pg_transaction_cleaned!$H:$H,pg_transaction_cleaned!$O:$O,A2202,pg_transaction_cleaned!$F:$F,"CAPTURE")</f>
        <v>4797</v>
      </c>
      <c r="L2202" s="23">
        <f>COUNTIFS(pg_transaction_cleaned!$O:$O,A2202,pg_transaction_cleaned!$F:$F,"REFUND")</f>
        <v>0</v>
      </c>
      <c r="M2202" s="39">
        <f>SUMIFS(pg_transaction_cleaned!$H:$H,pg_transaction_cleaned!$O:$O,A2202,pg_transaction_cleaned!$F:$F,"REFUND")</f>
        <v>0</v>
      </c>
      <c r="N2202" s="23" t="str">
        <f t="shared" si="138"/>
        <v>OK</v>
      </c>
      <c r="O2202" s="24">
        <f t="shared" si="139"/>
        <v>0</v>
      </c>
    </row>
    <row r="2203" spans="1:15" ht="15" customHeight="1" x14ac:dyDescent="0.3">
      <c r="A2203" s="23" t="s">
        <v>4895</v>
      </c>
      <c r="B2203" s="38">
        <v>46284</v>
      </c>
      <c r="C2203" s="23" t="s">
        <v>4896</v>
      </c>
      <c r="D2203" s="23" t="s">
        <v>90</v>
      </c>
      <c r="E2203" s="23" t="s">
        <v>75</v>
      </c>
      <c r="F2203" s="23" t="s">
        <v>262</v>
      </c>
      <c r="G2203" s="23" t="s">
        <v>250</v>
      </c>
      <c r="H2203" s="39">
        <f t="shared" si="136"/>
        <v>499</v>
      </c>
      <c r="I2203" s="23" t="str">
        <f t="shared" si="137"/>
        <v>Ahmedabad</v>
      </c>
      <c r="J2203" s="23">
        <f>COUNTIFS(pg_transaction_cleaned!$O:$O,A2203,pg_transaction_cleaned!$F:$F,"CAPTURE")</f>
        <v>1</v>
      </c>
      <c r="K2203" s="39">
        <f>SUMIFS(pg_transaction_cleaned!$H:$H,pg_transaction_cleaned!$O:$O,A2203,pg_transaction_cleaned!$F:$F,"CAPTURE")</f>
        <v>499</v>
      </c>
      <c r="L2203" s="23">
        <f>COUNTIFS(pg_transaction_cleaned!$O:$O,A2203,pg_transaction_cleaned!$F:$F,"REFUND")</f>
        <v>0</v>
      </c>
      <c r="M2203" s="39">
        <f>SUMIFS(pg_transaction_cleaned!$H:$H,pg_transaction_cleaned!$O:$O,A2203,pg_transaction_cleaned!$F:$F,"REFUND")</f>
        <v>0</v>
      </c>
      <c r="N2203" s="23" t="str">
        <f t="shared" si="138"/>
        <v>OK</v>
      </c>
      <c r="O2203" s="24">
        <f t="shared" si="139"/>
        <v>0</v>
      </c>
    </row>
    <row r="2204" spans="1:15" ht="15" customHeight="1" x14ac:dyDescent="0.3">
      <c r="A2204" s="23" t="s">
        <v>4897</v>
      </c>
      <c r="B2204" s="38">
        <v>46276</v>
      </c>
      <c r="C2204" s="23" t="s">
        <v>4898</v>
      </c>
      <c r="D2204" s="23" t="s">
        <v>91</v>
      </c>
      <c r="E2204" s="23" t="s">
        <v>79</v>
      </c>
      <c r="F2204" s="23" t="s">
        <v>1495</v>
      </c>
      <c r="G2204" s="23" t="s">
        <v>250</v>
      </c>
      <c r="H2204" s="39">
        <f t="shared" si="136"/>
        <v>7498</v>
      </c>
      <c r="I2204" s="23" t="str">
        <f t="shared" si="137"/>
        <v>Pune</v>
      </c>
      <c r="J2204" s="23">
        <f>COUNTIFS(pg_transaction_cleaned!$O:$O,A2204,pg_transaction_cleaned!$F:$F,"CAPTURE")</f>
        <v>1</v>
      </c>
      <c r="K2204" s="39">
        <f>SUMIFS(pg_transaction_cleaned!$H:$H,pg_transaction_cleaned!$O:$O,A2204,pg_transaction_cleaned!$F:$F,"CAPTURE")</f>
        <v>7498</v>
      </c>
      <c r="L2204" s="23">
        <f>COUNTIFS(pg_transaction_cleaned!$O:$O,A2204,pg_transaction_cleaned!$F:$F,"REFUND")</f>
        <v>0</v>
      </c>
      <c r="M2204" s="39">
        <f>SUMIFS(pg_transaction_cleaned!$H:$H,pg_transaction_cleaned!$O:$O,A2204,pg_transaction_cleaned!$F:$F,"REFUND")</f>
        <v>0</v>
      </c>
      <c r="N2204" s="23" t="str">
        <f t="shared" si="138"/>
        <v>OK</v>
      </c>
      <c r="O2204" s="24">
        <f t="shared" si="139"/>
        <v>0</v>
      </c>
    </row>
    <row r="2205" spans="1:15" ht="15" customHeight="1" x14ac:dyDescent="0.3">
      <c r="A2205" s="23" t="s">
        <v>4899</v>
      </c>
      <c r="B2205" s="38">
        <v>46291</v>
      </c>
      <c r="C2205" s="23" t="s">
        <v>4900</v>
      </c>
      <c r="D2205" s="23" t="s">
        <v>94</v>
      </c>
      <c r="E2205" s="23" t="s">
        <v>77</v>
      </c>
      <c r="F2205" s="23" t="s">
        <v>274</v>
      </c>
      <c r="G2205" s="23" t="s">
        <v>250</v>
      </c>
      <c r="H2205" s="39">
        <f t="shared" si="136"/>
        <v>349</v>
      </c>
      <c r="I2205" s="23" t="str">
        <f t="shared" si="137"/>
        <v>Chennai</v>
      </c>
      <c r="J2205" s="23">
        <f>COUNTIFS(pg_transaction_cleaned!$O:$O,A2205,pg_transaction_cleaned!$F:$F,"CAPTURE")</f>
        <v>1</v>
      </c>
      <c r="K2205" s="39">
        <f>SUMIFS(pg_transaction_cleaned!$H:$H,pg_transaction_cleaned!$O:$O,A2205,pg_transaction_cleaned!$F:$F,"CAPTURE")</f>
        <v>349</v>
      </c>
      <c r="L2205" s="23">
        <f>COUNTIFS(pg_transaction_cleaned!$O:$O,A2205,pg_transaction_cleaned!$F:$F,"REFUND")</f>
        <v>0</v>
      </c>
      <c r="M2205" s="39">
        <f>SUMIFS(pg_transaction_cleaned!$H:$H,pg_transaction_cleaned!$O:$O,A2205,pg_transaction_cleaned!$F:$F,"REFUND")</f>
        <v>0</v>
      </c>
      <c r="N2205" s="23" t="str">
        <f t="shared" si="138"/>
        <v>OK</v>
      </c>
      <c r="O2205" s="24">
        <f t="shared" si="139"/>
        <v>0</v>
      </c>
    </row>
    <row r="2206" spans="1:15" ht="15" customHeight="1" x14ac:dyDescent="0.3">
      <c r="A2206" s="23" t="s">
        <v>4901</v>
      </c>
      <c r="B2206" s="38">
        <v>46293</v>
      </c>
      <c r="C2206" s="23" t="s">
        <v>4902</v>
      </c>
      <c r="D2206" s="23" t="s">
        <v>95</v>
      </c>
      <c r="E2206" s="23" t="s">
        <v>75</v>
      </c>
      <c r="F2206" s="23" t="s">
        <v>265</v>
      </c>
      <c r="G2206" s="23" t="s">
        <v>318</v>
      </c>
      <c r="H2206" s="39">
        <f t="shared" si="136"/>
        <v>999</v>
      </c>
      <c r="I2206" s="23" t="str">
        <f t="shared" si="137"/>
        <v>Bengaluru</v>
      </c>
      <c r="J2206" s="23">
        <f>COUNTIFS(pg_transaction_cleaned!$O:$O,A2206,pg_transaction_cleaned!$F:$F,"CAPTURE")</f>
        <v>0</v>
      </c>
      <c r="K2206" s="39">
        <f>SUMIFS(pg_transaction_cleaned!$H:$H,pg_transaction_cleaned!$O:$O,A2206,pg_transaction_cleaned!$F:$F,"CAPTURE")</f>
        <v>0</v>
      </c>
      <c r="L2206" s="23">
        <f>COUNTIFS(pg_transaction_cleaned!$O:$O,A2206,pg_transaction_cleaned!$F:$F,"REFUND")</f>
        <v>0</v>
      </c>
      <c r="M2206" s="39">
        <f>SUMIFS(pg_transaction_cleaned!$H:$H,pg_transaction_cleaned!$O:$O,A2206,pg_transaction_cleaned!$F:$F,"REFUND")</f>
        <v>0</v>
      </c>
      <c r="N2206" s="23" t="str">
        <f t="shared" si="138"/>
        <v>OK</v>
      </c>
      <c r="O2206" s="24">
        <f t="shared" si="139"/>
        <v>0</v>
      </c>
    </row>
    <row r="2207" spans="1:15" ht="15" customHeight="1" x14ac:dyDescent="0.3">
      <c r="A2207" s="23" t="s">
        <v>4903</v>
      </c>
      <c r="B2207" s="38">
        <v>46275</v>
      </c>
      <c r="C2207" s="23" t="s">
        <v>4904</v>
      </c>
      <c r="D2207" s="23" t="s">
        <v>90</v>
      </c>
      <c r="E2207" s="23" t="s">
        <v>75</v>
      </c>
      <c r="F2207" s="23" t="s">
        <v>265</v>
      </c>
      <c r="G2207" s="23" t="s">
        <v>250</v>
      </c>
      <c r="H2207" s="39">
        <f t="shared" si="136"/>
        <v>999</v>
      </c>
      <c r="I2207" s="23" t="str">
        <f t="shared" si="137"/>
        <v>Ahmedabad</v>
      </c>
      <c r="J2207" s="23">
        <f>COUNTIFS(pg_transaction_cleaned!$O:$O,A2207,pg_transaction_cleaned!$F:$F,"CAPTURE")</f>
        <v>1</v>
      </c>
      <c r="K2207" s="39">
        <f>SUMIFS(pg_transaction_cleaned!$H:$H,pg_transaction_cleaned!$O:$O,A2207,pg_transaction_cleaned!$F:$F,"CAPTURE")</f>
        <v>999</v>
      </c>
      <c r="L2207" s="23">
        <f>COUNTIFS(pg_transaction_cleaned!$O:$O,A2207,pg_transaction_cleaned!$F:$F,"REFUND")</f>
        <v>0</v>
      </c>
      <c r="M2207" s="39">
        <f>SUMIFS(pg_transaction_cleaned!$H:$H,pg_transaction_cleaned!$O:$O,A2207,pg_transaction_cleaned!$F:$F,"REFUND")</f>
        <v>0</v>
      </c>
      <c r="N2207" s="23" t="str">
        <f t="shared" si="138"/>
        <v>OK</v>
      </c>
      <c r="O2207" s="24">
        <f t="shared" si="139"/>
        <v>0</v>
      </c>
    </row>
    <row r="2208" spans="1:15" ht="15" customHeight="1" x14ac:dyDescent="0.3">
      <c r="A2208" s="23" t="s">
        <v>4905</v>
      </c>
      <c r="B2208" s="38">
        <v>46276</v>
      </c>
      <c r="C2208" s="23" t="s">
        <v>4906</v>
      </c>
      <c r="D2208" s="23" t="s">
        <v>86</v>
      </c>
      <c r="E2208" s="23" t="s">
        <v>79</v>
      </c>
      <c r="F2208" s="23" t="s">
        <v>1299</v>
      </c>
      <c r="G2208" s="23" t="s">
        <v>250</v>
      </c>
      <c r="H2208" s="39">
        <f t="shared" si="136"/>
        <v>2097</v>
      </c>
      <c r="I2208" s="23" t="str">
        <f t="shared" si="137"/>
        <v>Delhi</v>
      </c>
      <c r="J2208" s="23">
        <f>COUNTIFS(pg_transaction_cleaned!$O:$O,A2208,pg_transaction_cleaned!$F:$F,"CAPTURE")</f>
        <v>1</v>
      </c>
      <c r="K2208" s="39">
        <f>SUMIFS(pg_transaction_cleaned!$H:$H,pg_transaction_cleaned!$O:$O,A2208,pg_transaction_cleaned!$F:$F,"CAPTURE")</f>
        <v>2097</v>
      </c>
      <c r="L2208" s="23">
        <f>COUNTIFS(pg_transaction_cleaned!$O:$O,A2208,pg_transaction_cleaned!$F:$F,"REFUND")</f>
        <v>0</v>
      </c>
      <c r="M2208" s="39">
        <f>SUMIFS(pg_transaction_cleaned!$H:$H,pg_transaction_cleaned!$O:$O,A2208,pg_transaction_cleaned!$F:$F,"REFUND")</f>
        <v>0</v>
      </c>
      <c r="N2208" s="23" t="str">
        <f t="shared" si="138"/>
        <v>OK</v>
      </c>
      <c r="O2208" s="24">
        <f t="shared" si="139"/>
        <v>0</v>
      </c>
    </row>
    <row r="2209" spans="1:15" ht="15" customHeight="1" x14ac:dyDescent="0.3">
      <c r="A2209" s="23" t="s">
        <v>4907</v>
      </c>
      <c r="B2209" s="38">
        <v>46279</v>
      </c>
      <c r="C2209" s="23" t="s">
        <v>4908</v>
      </c>
      <c r="D2209" s="23" t="s">
        <v>89</v>
      </c>
      <c r="E2209" s="23" t="s">
        <v>75</v>
      </c>
      <c r="F2209" s="23" t="s">
        <v>294</v>
      </c>
      <c r="G2209" s="23" t="s">
        <v>365</v>
      </c>
      <c r="H2209" s="39">
        <f t="shared" si="136"/>
        <v>1799</v>
      </c>
      <c r="I2209" s="23" t="str">
        <f t="shared" si="137"/>
        <v>Jaipur</v>
      </c>
      <c r="J2209" s="23">
        <f>COUNTIFS(pg_transaction_cleaned!$O:$O,A2209,pg_transaction_cleaned!$F:$F,"CAPTURE")</f>
        <v>0</v>
      </c>
      <c r="K2209" s="39">
        <f>SUMIFS(pg_transaction_cleaned!$H:$H,pg_transaction_cleaned!$O:$O,A2209,pg_transaction_cleaned!$F:$F,"CAPTURE")</f>
        <v>0</v>
      </c>
      <c r="L2209" s="23">
        <f>COUNTIFS(pg_transaction_cleaned!$O:$O,A2209,pg_transaction_cleaned!$F:$F,"REFUND")</f>
        <v>0</v>
      </c>
      <c r="M2209" s="39">
        <f>SUMIFS(pg_transaction_cleaned!$H:$H,pg_transaction_cleaned!$O:$O,A2209,pg_transaction_cleaned!$F:$F,"REFUND")</f>
        <v>0</v>
      </c>
      <c r="N2209" s="23" t="str">
        <f t="shared" si="138"/>
        <v>OK</v>
      </c>
      <c r="O2209" s="24">
        <f t="shared" si="139"/>
        <v>0</v>
      </c>
    </row>
    <row r="2210" spans="1:15" ht="15" customHeight="1" x14ac:dyDescent="0.3">
      <c r="A2210" s="23" t="s">
        <v>4909</v>
      </c>
      <c r="B2210" s="38">
        <v>46286</v>
      </c>
      <c r="C2210" s="23" t="s">
        <v>4910</v>
      </c>
      <c r="D2210" s="23" t="s">
        <v>86</v>
      </c>
      <c r="E2210" s="23" t="s">
        <v>77</v>
      </c>
      <c r="F2210" s="23" t="s">
        <v>288</v>
      </c>
      <c r="G2210" s="23" t="s">
        <v>250</v>
      </c>
      <c r="H2210" s="39">
        <f t="shared" si="136"/>
        <v>4298</v>
      </c>
      <c r="I2210" s="23" t="str">
        <f t="shared" si="137"/>
        <v>Delhi</v>
      </c>
      <c r="J2210" s="23">
        <f>COUNTIFS(pg_transaction_cleaned!$O:$O,A2210,pg_transaction_cleaned!$F:$F,"CAPTURE")</f>
        <v>1</v>
      </c>
      <c r="K2210" s="39">
        <f>SUMIFS(pg_transaction_cleaned!$H:$H,pg_transaction_cleaned!$O:$O,A2210,pg_transaction_cleaned!$F:$F,"CAPTURE")</f>
        <v>4298</v>
      </c>
      <c r="L2210" s="23">
        <f>COUNTIFS(pg_transaction_cleaned!$O:$O,A2210,pg_transaction_cleaned!$F:$F,"REFUND")</f>
        <v>0</v>
      </c>
      <c r="M2210" s="39">
        <f>SUMIFS(pg_transaction_cleaned!$H:$H,pg_transaction_cleaned!$O:$O,A2210,pg_transaction_cleaned!$F:$F,"REFUND")</f>
        <v>0</v>
      </c>
      <c r="N2210" s="23" t="str">
        <f t="shared" si="138"/>
        <v>OK</v>
      </c>
      <c r="O2210" s="24">
        <f t="shared" si="139"/>
        <v>0</v>
      </c>
    </row>
    <row r="2211" spans="1:15" ht="15" customHeight="1" x14ac:dyDescent="0.3">
      <c r="A2211" s="23" t="s">
        <v>4911</v>
      </c>
      <c r="B2211" s="38">
        <v>46295</v>
      </c>
      <c r="C2211" s="23" t="s">
        <v>4912</v>
      </c>
      <c r="D2211" s="23" t="s">
        <v>93</v>
      </c>
      <c r="E2211" s="23" t="s">
        <v>77</v>
      </c>
      <c r="F2211" s="23" t="s">
        <v>1463</v>
      </c>
      <c r="G2211" s="23" t="s">
        <v>250</v>
      </c>
      <c r="H2211" s="39">
        <f t="shared" si="136"/>
        <v>5348</v>
      </c>
      <c r="I2211" s="23" t="str">
        <f t="shared" si="137"/>
        <v>Kolkata</v>
      </c>
      <c r="J2211" s="23">
        <f>COUNTIFS(pg_transaction_cleaned!$O:$O,A2211,pg_transaction_cleaned!$F:$F,"CAPTURE")</f>
        <v>1</v>
      </c>
      <c r="K2211" s="39">
        <f>SUMIFS(pg_transaction_cleaned!$H:$H,pg_transaction_cleaned!$O:$O,A2211,pg_transaction_cleaned!$F:$F,"CAPTURE")</f>
        <v>5348</v>
      </c>
      <c r="L2211" s="23">
        <f>COUNTIFS(pg_transaction_cleaned!$O:$O,A2211,pg_transaction_cleaned!$F:$F,"REFUND")</f>
        <v>0</v>
      </c>
      <c r="M2211" s="39">
        <f>SUMIFS(pg_transaction_cleaned!$H:$H,pg_transaction_cleaned!$O:$O,A2211,pg_transaction_cleaned!$F:$F,"REFUND")</f>
        <v>0</v>
      </c>
      <c r="N2211" s="23" t="str">
        <f t="shared" si="138"/>
        <v>OK</v>
      </c>
      <c r="O2211" s="24">
        <f t="shared" si="139"/>
        <v>0</v>
      </c>
    </row>
    <row r="2212" spans="1:15" ht="15" customHeight="1" x14ac:dyDescent="0.3">
      <c r="A2212" s="23" t="s">
        <v>4913</v>
      </c>
      <c r="B2212" s="38">
        <v>46281</v>
      </c>
      <c r="C2212" s="23" t="s">
        <v>4914</v>
      </c>
      <c r="D2212" s="23" t="s">
        <v>90</v>
      </c>
      <c r="E2212" s="23" t="s">
        <v>79</v>
      </c>
      <c r="F2212" s="23" t="s">
        <v>297</v>
      </c>
      <c r="G2212" s="23" t="s">
        <v>250</v>
      </c>
      <c r="H2212" s="39">
        <f t="shared" si="136"/>
        <v>4999</v>
      </c>
      <c r="I2212" s="23" t="str">
        <f t="shared" si="137"/>
        <v>Ahmedabad</v>
      </c>
      <c r="J2212" s="23">
        <f>COUNTIFS(pg_transaction_cleaned!$O:$O,A2212,pg_transaction_cleaned!$F:$F,"CAPTURE")</f>
        <v>1</v>
      </c>
      <c r="K2212" s="39">
        <f>SUMIFS(pg_transaction_cleaned!$H:$H,pg_transaction_cleaned!$O:$O,A2212,pg_transaction_cleaned!$F:$F,"CAPTURE")</f>
        <v>4999</v>
      </c>
      <c r="L2212" s="23">
        <f>COUNTIFS(pg_transaction_cleaned!$O:$O,A2212,pg_transaction_cleaned!$F:$F,"REFUND")</f>
        <v>0</v>
      </c>
      <c r="M2212" s="39">
        <f>SUMIFS(pg_transaction_cleaned!$H:$H,pg_transaction_cleaned!$O:$O,A2212,pg_transaction_cleaned!$F:$F,"REFUND")</f>
        <v>0</v>
      </c>
      <c r="N2212" s="23" t="str">
        <f t="shared" si="138"/>
        <v>OK</v>
      </c>
      <c r="O2212" s="24">
        <f t="shared" si="139"/>
        <v>0</v>
      </c>
    </row>
    <row r="2213" spans="1:15" ht="15" customHeight="1" x14ac:dyDescent="0.3">
      <c r="A2213" s="23" t="s">
        <v>4915</v>
      </c>
      <c r="B2213" s="38">
        <v>46284</v>
      </c>
      <c r="C2213" s="23" t="s">
        <v>4916</v>
      </c>
      <c r="D2213" s="23" t="s">
        <v>88</v>
      </c>
      <c r="E2213" s="23" t="s">
        <v>77</v>
      </c>
      <c r="F2213" s="23" t="s">
        <v>460</v>
      </c>
      <c r="G2213" s="23" t="s">
        <v>365</v>
      </c>
      <c r="H2213" s="39">
        <f t="shared" si="136"/>
        <v>1998</v>
      </c>
      <c r="I2213" s="23" t="str">
        <f t="shared" si="137"/>
        <v>Lucknow</v>
      </c>
      <c r="J2213" s="23">
        <f>COUNTIFS(pg_transaction_cleaned!$O:$O,A2213,pg_transaction_cleaned!$F:$F,"CAPTURE")</f>
        <v>0</v>
      </c>
      <c r="K2213" s="39">
        <f>SUMIFS(pg_transaction_cleaned!$H:$H,pg_transaction_cleaned!$O:$O,A2213,pg_transaction_cleaned!$F:$F,"CAPTURE")</f>
        <v>0</v>
      </c>
      <c r="L2213" s="23">
        <f>COUNTIFS(pg_transaction_cleaned!$O:$O,A2213,pg_transaction_cleaned!$F:$F,"REFUND")</f>
        <v>0</v>
      </c>
      <c r="M2213" s="39">
        <f>SUMIFS(pg_transaction_cleaned!$H:$H,pg_transaction_cleaned!$O:$O,A2213,pg_transaction_cleaned!$F:$F,"REFUND")</f>
        <v>0</v>
      </c>
      <c r="N2213" s="23" t="str">
        <f t="shared" si="138"/>
        <v>OK</v>
      </c>
      <c r="O2213" s="24">
        <f t="shared" si="139"/>
        <v>0</v>
      </c>
    </row>
    <row r="2214" spans="1:15" ht="15" customHeight="1" x14ac:dyDescent="0.3">
      <c r="A2214" s="23" t="s">
        <v>4917</v>
      </c>
      <c r="B2214" s="38">
        <v>46277</v>
      </c>
      <c r="C2214" s="23" t="s">
        <v>4918</v>
      </c>
      <c r="D2214" s="23" t="s">
        <v>88</v>
      </c>
      <c r="E2214" s="23" t="s">
        <v>75</v>
      </c>
      <c r="F2214" s="23" t="s">
        <v>274</v>
      </c>
      <c r="G2214" s="23" t="s">
        <v>365</v>
      </c>
      <c r="H2214" s="39">
        <f t="shared" si="136"/>
        <v>349</v>
      </c>
      <c r="I2214" s="23" t="str">
        <f t="shared" si="137"/>
        <v>Lucknow</v>
      </c>
      <c r="J2214" s="23">
        <f>COUNTIFS(pg_transaction_cleaned!$O:$O,A2214,pg_transaction_cleaned!$F:$F,"CAPTURE")</f>
        <v>0</v>
      </c>
      <c r="K2214" s="39">
        <f>SUMIFS(pg_transaction_cleaned!$H:$H,pg_transaction_cleaned!$O:$O,A2214,pg_transaction_cleaned!$F:$F,"CAPTURE")</f>
        <v>0</v>
      </c>
      <c r="L2214" s="23">
        <f>COUNTIFS(pg_transaction_cleaned!$O:$O,A2214,pg_transaction_cleaned!$F:$F,"REFUND")</f>
        <v>0</v>
      </c>
      <c r="M2214" s="39">
        <f>SUMIFS(pg_transaction_cleaned!$H:$H,pg_transaction_cleaned!$O:$O,A2214,pg_transaction_cleaned!$F:$F,"REFUND")</f>
        <v>0</v>
      </c>
      <c r="N2214" s="23" t="str">
        <f t="shared" si="138"/>
        <v>OK</v>
      </c>
      <c r="O2214" s="24">
        <f t="shared" si="139"/>
        <v>0</v>
      </c>
    </row>
    <row r="2215" spans="1:15" ht="15" customHeight="1" x14ac:dyDescent="0.3">
      <c r="A2215" s="23" t="s">
        <v>4919</v>
      </c>
      <c r="B2215" s="38">
        <v>46275</v>
      </c>
      <c r="C2215" s="23" t="s">
        <v>4920</v>
      </c>
      <c r="D2215" s="23" t="s">
        <v>95</v>
      </c>
      <c r="E2215" s="23" t="s">
        <v>79</v>
      </c>
      <c r="F2215" s="23" t="s">
        <v>4921</v>
      </c>
      <c r="G2215" s="23" t="s">
        <v>301</v>
      </c>
      <c r="H2215" s="39">
        <f t="shared" si="136"/>
        <v>2147</v>
      </c>
      <c r="I2215" s="23" t="str">
        <f t="shared" si="137"/>
        <v>Bengaluru</v>
      </c>
      <c r="J2215" s="23">
        <f>COUNTIFS(pg_transaction_cleaned!$O:$O,A2215,pg_transaction_cleaned!$F:$F,"CAPTURE")</f>
        <v>1</v>
      </c>
      <c r="K2215" s="39">
        <f>SUMIFS(pg_transaction_cleaned!$H:$H,pg_transaction_cleaned!$O:$O,A2215,pg_transaction_cleaned!$F:$F,"CAPTURE")</f>
        <v>2147</v>
      </c>
      <c r="L2215" s="23">
        <f>COUNTIFS(pg_transaction_cleaned!$O:$O,A2215,pg_transaction_cleaned!$F:$F,"REFUND")</f>
        <v>1</v>
      </c>
      <c r="M2215" s="39">
        <f>SUMIFS(pg_transaction_cleaned!$H:$H,pg_transaction_cleaned!$O:$O,A2215,pg_transaction_cleaned!$F:$F,"REFUND")</f>
        <v>2147</v>
      </c>
      <c r="N2215" s="23" t="str">
        <f t="shared" si="138"/>
        <v>OK</v>
      </c>
      <c r="O2215" s="24">
        <f t="shared" si="139"/>
        <v>0</v>
      </c>
    </row>
    <row r="2216" spans="1:15" ht="15" customHeight="1" x14ac:dyDescent="0.3">
      <c r="A2216" s="23" t="s">
        <v>4922</v>
      </c>
      <c r="B2216" s="38">
        <v>46286</v>
      </c>
      <c r="C2216" s="23" t="s">
        <v>4923</v>
      </c>
      <c r="D2216" s="23" t="s">
        <v>94</v>
      </c>
      <c r="E2216" s="23" t="s">
        <v>77</v>
      </c>
      <c r="F2216" s="23" t="s">
        <v>475</v>
      </c>
      <c r="G2216" s="23" t="s">
        <v>250</v>
      </c>
      <c r="H2216" s="39">
        <f t="shared" si="136"/>
        <v>799</v>
      </c>
      <c r="I2216" s="23" t="str">
        <f t="shared" si="137"/>
        <v>Chennai</v>
      </c>
      <c r="J2216" s="23">
        <f>COUNTIFS(pg_transaction_cleaned!$O:$O,A2216,pg_transaction_cleaned!$F:$F,"CAPTURE")</f>
        <v>1</v>
      </c>
      <c r="K2216" s="39">
        <f>SUMIFS(pg_transaction_cleaned!$H:$H,pg_transaction_cleaned!$O:$O,A2216,pg_transaction_cleaned!$F:$F,"CAPTURE")</f>
        <v>799</v>
      </c>
      <c r="L2216" s="23">
        <f>COUNTIFS(pg_transaction_cleaned!$O:$O,A2216,pg_transaction_cleaned!$F:$F,"REFUND")</f>
        <v>0</v>
      </c>
      <c r="M2216" s="39">
        <f>SUMIFS(pg_transaction_cleaned!$H:$H,pg_transaction_cleaned!$O:$O,A2216,pg_transaction_cleaned!$F:$F,"REFUND")</f>
        <v>0</v>
      </c>
      <c r="N2216" s="23" t="str">
        <f t="shared" si="138"/>
        <v>OK</v>
      </c>
      <c r="O2216" s="24">
        <f t="shared" si="139"/>
        <v>0</v>
      </c>
    </row>
    <row r="2217" spans="1:15" ht="15" customHeight="1" x14ac:dyDescent="0.3">
      <c r="A2217" s="23" t="s">
        <v>4924</v>
      </c>
      <c r="B2217" s="38">
        <v>46285</v>
      </c>
      <c r="C2217" s="23" t="s">
        <v>4925</v>
      </c>
      <c r="D2217" s="23" t="s">
        <v>94</v>
      </c>
      <c r="E2217" s="23" t="s">
        <v>75</v>
      </c>
      <c r="F2217" s="23" t="s">
        <v>553</v>
      </c>
      <c r="G2217" s="23" t="s">
        <v>365</v>
      </c>
      <c r="H2217" s="39">
        <f t="shared" si="136"/>
        <v>2798</v>
      </c>
      <c r="I2217" s="23" t="str">
        <f t="shared" si="137"/>
        <v>Chennai</v>
      </c>
      <c r="J2217" s="23">
        <f>COUNTIFS(pg_transaction_cleaned!$O:$O,A2217,pg_transaction_cleaned!$F:$F,"CAPTURE")</f>
        <v>0</v>
      </c>
      <c r="K2217" s="39">
        <f>SUMIFS(pg_transaction_cleaned!$H:$H,pg_transaction_cleaned!$O:$O,A2217,pg_transaction_cleaned!$F:$F,"CAPTURE")</f>
        <v>0</v>
      </c>
      <c r="L2217" s="23">
        <f>COUNTIFS(pg_transaction_cleaned!$O:$O,A2217,pg_transaction_cleaned!$F:$F,"REFUND")</f>
        <v>0</v>
      </c>
      <c r="M2217" s="39">
        <f>SUMIFS(pg_transaction_cleaned!$H:$H,pg_transaction_cleaned!$O:$O,A2217,pg_transaction_cleaned!$F:$F,"REFUND")</f>
        <v>0</v>
      </c>
      <c r="N2217" s="23" t="str">
        <f t="shared" si="138"/>
        <v>OK</v>
      </c>
      <c r="O2217" s="24">
        <f t="shared" si="139"/>
        <v>0</v>
      </c>
    </row>
    <row r="2218" spans="1:15" ht="15" customHeight="1" x14ac:dyDescent="0.3">
      <c r="A2218" s="23" t="s">
        <v>4926</v>
      </c>
      <c r="B2218" s="38">
        <v>46293</v>
      </c>
      <c r="C2218" s="23" t="s">
        <v>4927</v>
      </c>
      <c r="D2218" s="23"/>
      <c r="E2218" s="23" t="s">
        <v>77</v>
      </c>
      <c r="F2218" s="23" t="s">
        <v>329</v>
      </c>
      <c r="G2218" s="23" t="s">
        <v>250</v>
      </c>
      <c r="H2218" s="39">
        <f t="shared" si="136"/>
        <v>599</v>
      </c>
      <c r="I2218" s="23" t="str">
        <f t="shared" si="137"/>
        <v>Unknown</v>
      </c>
      <c r="J2218" s="23">
        <f>COUNTIFS(pg_transaction_cleaned!$O:$O,A2218,pg_transaction_cleaned!$F:$F,"CAPTURE")</f>
        <v>1</v>
      </c>
      <c r="K2218" s="39">
        <f>SUMIFS(pg_transaction_cleaned!$H:$H,pg_transaction_cleaned!$O:$O,A2218,pg_transaction_cleaned!$F:$F,"CAPTURE")</f>
        <v>599</v>
      </c>
      <c r="L2218" s="23">
        <f>COUNTIFS(pg_transaction_cleaned!$O:$O,A2218,pg_transaction_cleaned!$F:$F,"REFUND")</f>
        <v>0</v>
      </c>
      <c r="M2218" s="39">
        <f>SUMIFS(pg_transaction_cleaned!$H:$H,pg_transaction_cleaned!$O:$O,A2218,pg_transaction_cleaned!$F:$F,"REFUND")</f>
        <v>0</v>
      </c>
      <c r="N2218" s="23" t="str">
        <f t="shared" si="138"/>
        <v>OK</v>
      </c>
      <c r="O2218" s="24">
        <f t="shared" si="139"/>
        <v>0</v>
      </c>
    </row>
    <row r="2219" spans="1:15" ht="15" customHeight="1" x14ac:dyDescent="0.3">
      <c r="A2219" s="23" t="s">
        <v>4928</v>
      </c>
      <c r="B2219" s="38">
        <v>46276</v>
      </c>
      <c r="C2219" s="23" t="s">
        <v>4929</v>
      </c>
      <c r="D2219" s="23" t="s">
        <v>90</v>
      </c>
      <c r="E2219" s="23" t="s">
        <v>79</v>
      </c>
      <c r="F2219" s="23" t="s">
        <v>249</v>
      </c>
      <c r="G2219" s="23" t="s">
        <v>250</v>
      </c>
      <c r="H2219" s="39">
        <f t="shared" si="136"/>
        <v>299</v>
      </c>
      <c r="I2219" s="23" t="str">
        <f t="shared" si="137"/>
        <v>Ahmedabad</v>
      </c>
      <c r="J2219" s="23">
        <f>COUNTIFS(pg_transaction_cleaned!$O:$O,A2219,pg_transaction_cleaned!$F:$F,"CAPTURE")</f>
        <v>1</v>
      </c>
      <c r="K2219" s="39">
        <f>SUMIFS(pg_transaction_cleaned!$H:$H,pg_transaction_cleaned!$O:$O,A2219,pg_transaction_cleaned!$F:$F,"CAPTURE")</f>
        <v>299</v>
      </c>
      <c r="L2219" s="23">
        <f>COUNTIFS(pg_transaction_cleaned!$O:$O,A2219,pg_transaction_cleaned!$F:$F,"REFUND")</f>
        <v>0</v>
      </c>
      <c r="M2219" s="39">
        <f>SUMIFS(pg_transaction_cleaned!$H:$H,pg_transaction_cleaned!$O:$O,A2219,pg_transaction_cleaned!$F:$F,"REFUND")</f>
        <v>0</v>
      </c>
      <c r="N2219" s="23" t="str">
        <f t="shared" si="138"/>
        <v>OK</v>
      </c>
      <c r="O2219" s="24">
        <f t="shared" si="139"/>
        <v>0</v>
      </c>
    </row>
    <row r="2220" spans="1:15" ht="15" customHeight="1" x14ac:dyDescent="0.3">
      <c r="A2220" s="23" t="s">
        <v>4930</v>
      </c>
      <c r="B2220" s="38">
        <v>46279</v>
      </c>
      <c r="C2220" s="23" t="s">
        <v>4931</v>
      </c>
      <c r="D2220" s="23" t="s">
        <v>90</v>
      </c>
      <c r="E2220" s="23" t="s">
        <v>77</v>
      </c>
      <c r="F2220" s="23" t="s">
        <v>249</v>
      </c>
      <c r="G2220" s="23" t="s">
        <v>250</v>
      </c>
      <c r="H2220" s="39">
        <f t="shared" si="136"/>
        <v>299</v>
      </c>
      <c r="I2220" s="23" t="str">
        <f t="shared" si="137"/>
        <v>Ahmedabad</v>
      </c>
      <c r="J2220" s="23">
        <f>COUNTIFS(pg_transaction_cleaned!$O:$O,A2220,pg_transaction_cleaned!$F:$F,"CAPTURE")</f>
        <v>1</v>
      </c>
      <c r="K2220" s="39">
        <f>SUMIFS(pg_transaction_cleaned!$H:$H,pg_transaction_cleaned!$O:$O,A2220,pg_transaction_cleaned!$F:$F,"CAPTURE")</f>
        <v>299</v>
      </c>
      <c r="L2220" s="23">
        <f>COUNTIFS(pg_transaction_cleaned!$O:$O,A2220,pg_transaction_cleaned!$F:$F,"REFUND")</f>
        <v>0</v>
      </c>
      <c r="M2220" s="39">
        <f>SUMIFS(pg_transaction_cleaned!$H:$H,pg_transaction_cleaned!$O:$O,A2220,pg_transaction_cleaned!$F:$F,"REFUND")</f>
        <v>0</v>
      </c>
      <c r="N2220" s="23" t="str">
        <f t="shared" si="138"/>
        <v>OK</v>
      </c>
      <c r="O2220" s="24">
        <f t="shared" si="139"/>
        <v>0</v>
      </c>
    </row>
    <row r="2221" spans="1:15" ht="15" customHeight="1" x14ac:dyDescent="0.3">
      <c r="A2221" s="23" t="s">
        <v>4932</v>
      </c>
      <c r="B2221" s="38">
        <v>46287</v>
      </c>
      <c r="C2221" s="23" t="s">
        <v>4933</v>
      </c>
      <c r="D2221" s="23" t="s">
        <v>87</v>
      </c>
      <c r="E2221" s="23" t="s">
        <v>75</v>
      </c>
      <c r="F2221" s="23" t="s">
        <v>265</v>
      </c>
      <c r="G2221" s="23" t="s">
        <v>250</v>
      </c>
      <c r="H2221" s="39">
        <f t="shared" si="136"/>
        <v>999</v>
      </c>
      <c r="I2221" s="23" t="str">
        <f t="shared" si="137"/>
        <v>Mumbai</v>
      </c>
      <c r="J2221" s="23">
        <f>COUNTIFS(pg_transaction_cleaned!$O:$O,A2221,pg_transaction_cleaned!$F:$F,"CAPTURE")</f>
        <v>1</v>
      </c>
      <c r="K2221" s="39">
        <f>SUMIFS(pg_transaction_cleaned!$H:$H,pg_transaction_cleaned!$O:$O,A2221,pg_transaction_cleaned!$F:$F,"CAPTURE")</f>
        <v>999</v>
      </c>
      <c r="L2221" s="23">
        <f>COUNTIFS(pg_transaction_cleaned!$O:$O,A2221,pg_transaction_cleaned!$F:$F,"REFUND")</f>
        <v>0</v>
      </c>
      <c r="M2221" s="39">
        <f>SUMIFS(pg_transaction_cleaned!$H:$H,pg_transaction_cleaned!$O:$O,A2221,pg_transaction_cleaned!$F:$F,"REFUND")</f>
        <v>0</v>
      </c>
      <c r="N2221" s="23" t="str">
        <f t="shared" si="138"/>
        <v>OK</v>
      </c>
      <c r="O2221" s="24">
        <f t="shared" si="139"/>
        <v>0</v>
      </c>
    </row>
    <row r="2222" spans="1:15" ht="15" customHeight="1" x14ac:dyDescent="0.3">
      <c r="A2222" s="23" t="s">
        <v>4934</v>
      </c>
      <c r="B2222" s="38">
        <v>46289</v>
      </c>
      <c r="C2222" s="23" t="s">
        <v>4935</v>
      </c>
      <c r="D2222" s="23" t="s">
        <v>93</v>
      </c>
      <c r="E2222" s="23" t="s">
        <v>77</v>
      </c>
      <c r="F2222" s="23" t="s">
        <v>451</v>
      </c>
      <c r="G2222" s="23" t="s">
        <v>250</v>
      </c>
      <c r="H2222" s="39">
        <f t="shared" si="136"/>
        <v>1098</v>
      </c>
      <c r="I2222" s="23" t="str">
        <f t="shared" si="137"/>
        <v>Kolkata</v>
      </c>
      <c r="J2222" s="23">
        <f>COUNTIFS(pg_transaction_cleaned!$O:$O,A2222,pg_transaction_cleaned!$F:$F,"CAPTURE")</f>
        <v>1</v>
      </c>
      <c r="K2222" s="39">
        <f>SUMIFS(pg_transaction_cleaned!$H:$H,pg_transaction_cleaned!$O:$O,A2222,pg_transaction_cleaned!$F:$F,"CAPTURE")</f>
        <v>1098</v>
      </c>
      <c r="L2222" s="23">
        <f>COUNTIFS(pg_transaction_cleaned!$O:$O,A2222,pg_transaction_cleaned!$F:$F,"REFUND")</f>
        <v>0</v>
      </c>
      <c r="M2222" s="39">
        <f>SUMIFS(pg_transaction_cleaned!$H:$H,pg_transaction_cleaned!$O:$O,A2222,pg_transaction_cleaned!$F:$F,"REFUND")</f>
        <v>0</v>
      </c>
      <c r="N2222" s="23" t="str">
        <f t="shared" si="138"/>
        <v>OK</v>
      </c>
      <c r="O2222" s="24">
        <f t="shared" si="139"/>
        <v>0</v>
      </c>
    </row>
    <row r="2223" spans="1:15" ht="15" customHeight="1" x14ac:dyDescent="0.3">
      <c r="A2223" s="23" t="s">
        <v>4936</v>
      </c>
      <c r="B2223" s="38">
        <v>46267</v>
      </c>
      <c r="C2223" s="23" t="s">
        <v>4937</v>
      </c>
      <c r="D2223" s="23" t="s">
        <v>93</v>
      </c>
      <c r="E2223" s="23" t="s">
        <v>75</v>
      </c>
      <c r="F2223" s="23" t="s">
        <v>1206</v>
      </c>
      <c r="G2223" s="23" t="s">
        <v>250</v>
      </c>
      <c r="H2223" s="39">
        <f t="shared" si="136"/>
        <v>7297</v>
      </c>
      <c r="I2223" s="23" t="str">
        <f t="shared" si="137"/>
        <v>Kolkata</v>
      </c>
      <c r="J2223" s="23">
        <f>COUNTIFS(pg_transaction_cleaned!$O:$O,A2223,pg_transaction_cleaned!$F:$F,"CAPTURE")</f>
        <v>1</v>
      </c>
      <c r="K2223" s="39">
        <f>SUMIFS(pg_transaction_cleaned!$H:$H,pg_transaction_cleaned!$O:$O,A2223,pg_transaction_cleaned!$F:$F,"CAPTURE")</f>
        <v>7297</v>
      </c>
      <c r="L2223" s="23">
        <f>COUNTIFS(pg_transaction_cleaned!$O:$O,A2223,pg_transaction_cleaned!$F:$F,"REFUND")</f>
        <v>0</v>
      </c>
      <c r="M2223" s="39">
        <f>SUMIFS(pg_transaction_cleaned!$H:$H,pg_transaction_cleaned!$O:$O,A2223,pg_transaction_cleaned!$F:$F,"REFUND")</f>
        <v>0</v>
      </c>
      <c r="N2223" s="23" t="str">
        <f t="shared" si="138"/>
        <v>OK</v>
      </c>
      <c r="O2223" s="24">
        <f t="shared" si="139"/>
        <v>0</v>
      </c>
    </row>
    <row r="2224" spans="1:15" ht="15" customHeight="1" x14ac:dyDescent="0.3">
      <c r="A2224" s="23" t="s">
        <v>4938</v>
      </c>
      <c r="B2224" s="38">
        <v>46279</v>
      </c>
      <c r="C2224" s="23" t="s">
        <v>4939</v>
      </c>
      <c r="D2224" s="23" t="s">
        <v>92</v>
      </c>
      <c r="E2224" s="23" t="s">
        <v>79</v>
      </c>
      <c r="F2224" s="23" t="s">
        <v>1879</v>
      </c>
      <c r="G2224" s="23" t="s">
        <v>250</v>
      </c>
      <c r="H2224" s="39">
        <f t="shared" si="136"/>
        <v>2497</v>
      </c>
      <c r="I2224" s="23" t="str">
        <f t="shared" si="137"/>
        <v>Hyderabad</v>
      </c>
      <c r="J2224" s="23">
        <f>COUNTIFS(pg_transaction_cleaned!$O:$O,A2224,pg_transaction_cleaned!$F:$F,"CAPTURE")</f>
        <v>1</v>
      </c>
      <c r="K2224" s="39">
        <f>SUMIFS(pg_transaction_cleaned!$H:$H,pg_transaction_cleaned!$O:$O,A2224,pg_transaction_cleaned!$F:$F,"CAPTURE")</f>
        <v>2497</v>
      </c>
      <c r="L2224" s="23">
        <f>COUNTIFS(pg_transaction_cleaned!$O:$O,A2224,pg_transaction_cleaned!$F:$F,"REFUND")</f>
        <v>0</v>
      </c>
      <c r="M2224" s="39">
        <f>SUMIFS(pg_transaction_cleaned!$H:$H,pg_transaction_cleaned!$O:$O,A2224,pg_transaction_cleaned!$F:$F,"REFUND")</f>
        <v>0</v>
      </c>
      <c r="N2224" s="23" t="str">
        <f t="shared" si="138"/>
        <v>OK</v>
      </c>
      <c r="O2224" s="24">
        <f t="shared" si="139"/>
        <v>0</v>
      </c>
    </row>
    <row r="2225" spans="1:15" ht="15" customHeight="1" x14ac:dyDescent="0.3">
      <c r="A2225" s="23" t="s">
        <v>4940</v>
      </c>
      <c r="B2225" s="38">
        <v>46274</v>
      </c>
      <c r="C2225" s="23" t="s">
        <v>4941</v>
      </c>
      <c r="D2225" s="23" t="s">
        <v>94</v>
      </c>
      <c r="E2225" s="23" t="s">
        <v>75</v>
      </c>
      <c r="F2225" s="23" t="s">
        <v>315</v>
      </c>
      <c r="G2225" s="23" t="s">
        <v>365</v>
      </c>
      <c r="H2225" s="39">
        <f t="shared" si="136"/>
        <v>1499</v>
      </c>
      <c r="I2225" s="23" t="str">
        <f t="shared" si="137"/>
        <v>Chennai</v>
      </c>
      <c r="J2225" s="23">
        <f>COUNTIFS(pg_transaction_cleaned!$O:$O,A2225,pg_transaction_cleaned!$F:$F,"CAPTURE")</f>
        <v>0</v>
      </c>
      <c r="K2225" s="39">
        <f>SUMIFS(pg_transaction_cleaned!$H:$H,pg_transaction_cleaned!$O:$O,A2225,pg_transaction_cleaned!$F:$F,"CAPTURE")</f>
        <v>0</v>
      </c>
      <c r="L2225" s="23">
        <f>COUNTIFS(pg_transaction_cleaned!$O:$O,A2225,pg_transaction_cleaned!$F:$F,"REFUND")</f>
        <v>0</v>
      </c>
      <c r="M2225" s="39">
        <f>SUMIFS(pg_transaction_cleaned!$H:$H,pg_transaction_cleaned!$O:$O,A2225,pg_transaction_cleaned!$F:$F,"REFUND")</f>
        <v>0</v>
      </c>
      <c r="N2225" s="23" t="str">
        <f t="shared" si="138"/>
        <v>OK</v>
      </c>
      <c r="O2225" s="24">
        <f t="shared" si="139"/>
        <v>0</v>
      </c>
    </row>
    <row r="2226" spans="1:15" ht="15" customHeight="1" x14ac:dyDescent="0.3">
      <c r="A2226" s="23" t="s">
        <v>4942</v>
      </c>
      <c r="B2226" s="38">
        <v>46293</v>
      </c>
      <c r="C2226" s="23" t="s">
        <v>4943</v>
      </c>
      <c r="D2226" s="23" t="s">
        <v>95</v>
      </c>
      <c r="E2226" s="23" t="s">
        <v>81</v>
      </c>
      <c r="F2226" s="23" t="s">
        <v>4944</v>
      </c>
      <c r="G2226" s="23" t="s">
        <v>250</v>
      </c>
      <c r="H2226" s="39">
        <f t="shared" si="136"/>
        <v>648</v>
      </c>
      <c r="I2226" s="23" t="str">
        <f t="shared" si="137"/>
        <v>Bengaluru</v>
      </c>
      <c r="J2226" s="23">
        <f>COUNTIFS(pg_transaction_cleaned!$O:$O,A2226,pg_transaction_cleaned!$F:$F,"CAPTURE")</f>
        <v>1</v>
      </c>
      <c r="K2226" s="39">
        <f>SUMIFS(pg_transaction_cleaned!$H:$H,pg_transaction_cleaned!$O:$O,A2226,pg_transaction_cleaned!$F:$F,"CAPTURE")</f>
        <v>648</v>
      </c>
      <c r="L2226" s="23">
        <f>COUNTIFS(pg_transaction_cleaned!$O:$O,A2226,pg_transaction_cleaned!$F:$F,"REFUND")</f>
        <v>0</v>
      </c>
      <c r="M2226" s="39">
        <f>SUMIFS(pg_transaction_cleaned!$H:$H,pg_transaction_cleaned!$O:$O,A2226,pg_transaction_cleaned!$F:$F,"REFUND")</f>
        <v>0</v>
      </c>
      <c r="N2226" s="23" t="str">
        <f t="shared" si="138"/>
        <v>OK</v>
      </c>
      <c r="O2226" s="24">
        <f t="shared" si="139"/>
        <v>0</v>
      </c>
    </row>
    <row r="2227" spans="1:15" ht="15" customHeight="1" x14ac:dyDescent="0.3">
      <c r="A2227" s="23" t="s">
        <v>4945</v>
      </c>
      <c r="B2227" s="38">
        <v>46268</v>
      </c>
      <c r="C2227" s="23" t="s">
        <v>1262</v>
      </c>
      <c r="D2227" s="23" t="s">
        <v>91</v>
      </c>
      <c r="E2227" s="23" t="s">
        <v>79</v>
      </c>
      <c r="F2227" s="23" t="s">
        <v>265</v>
      </c>
      <c r="G2227" s="23" t="s">
        <v>250</v>
      </c>
      <c r="H2227" s="39">
        <f t="shared" si="136"/>
        <v>999</v>
      </c>
      <c r="I2227" s="23" t="str">
        <f t="shared" si="137"/>
        <v>Pune</v>
      </c>
      <c r="J2227" s="23">
        <f>COUNTIFS(pg_transaction_cleaned!$O:$O,A2227,pg_transaction_cleaned!$F:$F,"CAPTURE")</f>
        <v>1</v>
      </c>
      <c r="K2227" s="39">
        <f>SUMIFS(pg_transaction_cleaned!$H:$H,pg_transaction_cleaned!$O:$O,A2227,pg_transaction_cleaned!$F:$F,"CAPTURE")</f>
        <v>999</v>
      </c>
      <c r="L2227" s="23">
        <f>COUNTIFS(pg_transaction_cleaned!$O:$O,A2227,pg_transaction_cleaned!$F:$F,"REFUND")</f>
        <v>0</v>
      </c>
      <c r="M2227" s="39">
        <f>SUMIFS(pg_transaction_cleaned!$H:$H,pg_transaction_cleaned!$O:$O,A2227,pg_transaction_cleaned!$F:$F,"REFUND")</f>
        <v>0</v>
      </c>
      <c r="N2227" s="23" t="str">
        <f t="shared" si="138"/>
        <v>OK</v>
      </c>
      <c r="O2227" s="24">
        <f t="shared" si="139"/>
        <v>0</v>
      </c>
    </row>
    <row r="2228" spans="1:15" ht="15" customHeight="1" x14ac:dyDescent="0.3">
      <c r="A2228" s="23" t="s">
        <v>4946</v>
      </c>
      <c r="B2228" s="38">
        <v>46293</v>
      </c>
      <c r="C2228" s="23" t="s">
        <v>4947</v>
      </c>
      <c r="D2228" s="23" t="s">
        <v>88</v>
      </c>
      <c r="E2228" s="23" t="s">
        <v>79</v>
      </c>
      <c r="F2228" s="23" t="s">
        <v>249</v>
      </c>
      <c r="G2228" s="23" t="s">
        <v>250</v>
      </c>
      <c r="H2228" s="39">
        <f t="shared" si="136"/>
        <v>299</v>
      </c>
      <c r="I2228" s="23" t="str">
        <f t="shared" si="137"/>
        <v>Lucknow</v>
      </c>
      <c r="J2228" s="23">
        <f>COUNTIFS(pg_transaction_cleaned!$O:$O,A2228,pg_transaction_cleaned!$F:$F,"CAPTURE")</f>
        <v>1</v>
      </c>
      <c r="K2228" s="39">
        <f>SUMIFS(pg_transaction_cleaned!$H:$H,pg_transaction_cleaned!$O:$O,A2228,pg_transaction_cleaned!$F:$F,"CAPTURE")</f>
        <v>299</v>
      </c>
      <c r="L2228" s="23">
        <f>COUNTIFS(pg_transaction_cleaned!$O:$O,A2228,pg_transaction_cleaned!$F:$F,"REFUND")</f>
        <v>0</v>
      </c>
      <c r="M2228" s="39">
        <f>SUMIFS(pg_transaction_cleaned!$H:$H,pg_transaction_cleaned!$O:$O,A2228,pg_transaction_cleaned!$F:$F,"REFUND")</f>
        <v>0</v>
      </c>
      <c r="N2228" s="23" t="str">
        <f t="shared" si="138"/>
        <v>OK</v>
      </c>
      <c r="O2228" s="24">
        <f t="shared" si="139"/>
        <v>0</v>
      </c>
    </row>
    <row r="2229" spans="1:15" ht="15" customHeight="1" x14ac:dyDescent="0.3">
      <c r="A2229" s="23" t="s">
        <v>4948</v>
      </c>
      <c r="B2229" s="38">
        <v>46268</v>
      </c>
      <c r="C2229" s="23" t="s">
        <v>4949</v>
      </c>
      <c r="D2229" s="23" t="s">
        <v>94</v>
      </c>
      <c r="E2229" s="23" t="s">
        <v>81</v>
      </c>
      <c r="F2229" s="23" t="s">
        <v>4950</v>
      </c>
      <c r="G2229" s="23" t="s">
        <v>250</v>
      </c>
      <c r="H2229" s="39">
        <f t="shared" si="136"/>
        <v>2499</v>
      </c>
      <c r="I2229" s="23" t="str">
        <f t="shared" si="137"/>
        <v>Chennai</v>
      </c>
      <c r="J2229" s="23">
        <f>COUNTIFS(pg_transaction_cleaned!$O:$O,A2229,pg_transaction_cleaned!$F:$F,"CAPTURE")</f>
        <v>1</v>
      </c>
      <c r="K2229" s="39">
        <f>SUMIFS(pg_transaction_cleaned!$H:$H,pg_transaction_cleaned!$O:$O,A2229,pg_transaction_cleaned!$F:$F,"CAPTURE")</f>
        <v>2499</v>
      </c>
      <c r="L2229" s="23">
        <f>COUNTIFS(pg_transaction_cleaned!$O:$O,A2229,pg_transaction_cleaned!$F:$F,"REFUND")</f>
        <v>0</v>
      </c>
      <c r="M2229" s="39">
        <f>SUMIFS(pg_transaction_cleaned!$H:$H,pg_transaction_cleaned!$O:$O,A2229,pg_transaction_cleaned!$F:$F,"REFUND")</f>
        <v>0</v>
      </c>
      <c r="N2229" s="23" t="str">
        <f t="shared" si="138"/>
        <v>OK</v>
      </c>
      <c r="O2229" s="24">
        <f t="shared" si="139"/>
        <v>0</v>
      </c>
    </row>
    <row r="2230" spans="1:15" ht="15" customHeight="1" x14ac:dyDescent="0.3">
      <c r="A2230" s="23" t="s">
        <v>4951</v>
      </c>
      <c r="B2230" s="38">
        <v>46291</v>
      </c>
      <c r="C2230" s="23" t="s">
        <v>4952</v>
      </c>
      <c r="D2230" s="23" t="s">
        <v>86</v>
      </c>
      <c r="E2230" s="23" t="s">
        <v>75</v>
      </c>
      <c r="F2230" s="23" t="s">
        <v>1421</v>
      </c>
      <c r="G2230" s="23" t="s">
        <v>250</v>
      </c>
      <c r="H2230" s="39">
        <f t="shared" si="136"/>
        <v>3197</v>
      </c>
      <c r="I2230" s="23" t="str">
        <f t="shared" si="137"/>
        <v>Delhi</v>
      </c>
      <c r="J2230" s="23">
        <f>COUNTIFS(pg_transaction_cleaned!$O:$O,A2230,pg_transaction_cleaned!$F:$F,"CAPTURE")</f>
        <v>1</v>
      </c>
      <c r="K2230" s="39">
        <f>SUMIFS(pg_transaction_cleaned!$H:$H,pg_transaction_cleaned!$O:$O,A2230,pg_transaction_cleaned!$F:$F,"CAPTURE")</f>
        <v>3197</v>
      </c>
      <c r="L2230" s="23">
        <f>COUNTIFS(pg_transaction_cleaned!$O:$O,A2230,pg_transaction_cleaned!$F:$F,"REFUND")</f>
        <v>0</v>
      </c>
      <c r="M2230" s="39">
        <f>SUMIFS(pg_transaction_cleaned!$H:$H,pg_transaction_cleaned!$O:$O,A2230,pg_transaction_cleaned!$F:$F,"REFUND")</f>
        <v>0</v>
      </c>
      <c r="N2230" s="23" t="str">
        <f t="shared" si="138"/>
        <v>OK</v>
      </c>
      <c r="O2230" s="24">
        <f t="shared" si="139"/>
        <v>0</v>
      </c>
    </row>
    <row r="2231" spans="1:15" ht="15" customHeight="1" x14ac:dyDescent="0.3">
      <c r="A2231" s="23" t="s">
        <v>4953</v>
      </c>
      <c r="B2231" s="38">
        <v>46268</v>
      </c>
      <c r="C2231" s="23" t="s">
        <v>4954</v>
      </c>
      <c r="D2231" s="23" t="s">
        <v>91</v>
      </c>
      <c r="E2231" s="23" t="s">
        <v>75</v>
      </c>
      <c r="F2231" s="23" t="s">
        <v>999</v>
      </c>
      <c r="G2231" s="23" t="s">
        <v>250</v>
      </c>
      <c r="H2231" s="39">
        <f t="shared" si="136"/>
        <v>1947</v>
      </c>
      <c r="I2231" s="23" t="str">
        <f t="shared" si="137"/>
        <v>Pune</v>
      </c>
      <c r="J2231" s="23">
        <f>COUNTIFS(pg_transaction_cleaned!$O:$O,A2231,pg_transaction_cleaned!$F:$F,"CAPTURE")</f>
        <v>1</v>
      </c>
      <c r="K2231" s="39">
        <f>SUMIFS(pg_transaction_cleaned!$H:$H,pg_transaction_cleaned!$O:$O,A2231,pg_transaction_cleaned!$F:$F,"CAPTURE")</f>
        <v>1947</v>
      </c>
      <c r="L2231" s="23">
        <f>COUNTIFS(pg_transaction_cleaned!$O:$O,A2231,pg_transaction_cleaned!$F:$F,"REFUND")</f>
        <v>0</v>
      </c>
      <c r="M2231" s="39">
        <f>SUMIFS(pg_transaction_cleaned!$H:$H,pg_transaction_cleaned!$O:$O,A2231,pg_transaction_cleaned!$F:$F,"REFUND")</f>
        <v>0</v>
      </c>
      <c r="N2231" s="23" t="str">
        <f t="shared" si="138"/>
        <v>OK</v>
      </c>
      <c r="O2231" s="24">
        <f t="shared" si="139"/>
        <v>0</v>
      </c>
    </row>
    <row r="2232" spans="1:15" ht="15" customHeight="1" x14ac:dyDescent="0.3">
      <c r="A2232" s="23" t="s">
        <v>4955</v>
      </c>
      <c r="B2232" s="38">
        <v>46278</v>
      </c>
      <c r="C2232" s="23" t="s">
        <v>4956</v>
      </c>
      <c r="D2232" s="23" t="s">
        <v>90</v>
      </c>
      <c r="E2232" s="23" t="s">
        <v>75</v>
      </c>
      <c r="F2232" s="23" t="s">
        <v>396</v>
      </c>
      <c r="G2232" s="23" t="s">
        <v>250</v>
      </c>
      <c r="H2232" s="39">
        <f t="shared" si="136"/>
        <v>2999</v>
      </c>
      <c r="I2232" s="23" t="str">
        <f t="shared" si="137"/>
        <v>Ahmedabad</v>
      </c>
      <c r="J2232" s="23">
        <f>COUNTIFS(pg_transaction_cleaned!$O:$O,A2232,pg_transaction_cleaned!$F:$F,"CAPTURE")</f>
        <v>1</v>
      </c>
      <c r="K2232" s="39">
        <f>SUMIFS(pg_transaction_cleaned!$H:$H,pg_transaction_cleaned!$O:$O,A2232,pg_transaction_cleaned!$F:$F,"CAPTURE")</f>
        <v>2999</v>
      </c>
      <c r="L2232" s="23">
        <f>COUNTIFS(pg_transaction_cleaned!$O:$O,A2232,pg_transaction_cleaned!$F:$F,"REFUND")</f>
        <v>0</v>
      </c>
      <c r="M2232" s="39">
        <f>SUMIFS(pg_transaction_cleaned!$H:$H,pg_transaction_cleaned!$O:$O,A2232,pg_transaction_cleaned!$F:$F,"REFUND")</f>
        <v>0</v>
      </c>
      <c r="N2232" s="23" t="str">
        <f t="shared" si="138"/>
        <v>OK</v>
      </c>
      <c r="O2232" s="24">
        <f t="shared" si="139"/>
        <v>0</v>
      </c>
    </row>
    <row r="2233" spans="1:15" ht="15" customHeight="1" x14ac:dyDescent="0.3">
      <c r="A2233" s="23" t="s">
        <v>4957</v>
      </c>
      <c r="B2233" s="38">
        <v>46285</v>
      </c>
      <c r="C2233" s="23" t="s">
        <v>4958</v>
      </c>
      <c r="D2233" s="23" t="s">
        <v>90</v>
      </c>
      <c r="E2233" s="23" t="s">
        <v>79</v>
      </c>
      <c r="F2233" s="23" t="s">
        <v>1799</v>
      </c>
      <c r="G2233" s="23" t="s">
        <v>250</v>
      </c>
      <c r="H2233" s="39">
        <f t="shared" si="136"/>
        <v>2797</v>
      </c>
      <c r="I2233" s="23" t="str">
        <f t="shared" si="137"/>
        <v>Ahmedabad</v>
      </c>
      <c r="J2233" s="23">
        <f>COUNTIFS(pg_transaction_cleaned!$O:$O,A2233,pg_transaction_cleaned!$F:$F,"CAPTURE")</f>
        <v>1</v>
      </c>
      <c r="K2233" s="39">
        <f>SUMIFS(pg_transaction_cleaned!$H:$H,pg_transaction_cleaned!$O:$O,A2233,pg_transaction_cleaned!$F:$F,"CAPTURE")</f>
        <v>2797</v>
      </c>
      <c r="L2233" s="23">
        <f>COUNTIFS(pg_transaction_cleaned!$O:$O,A2233,pg_transaction_cleaned!$F:$F,"REFUND")</f>
        <v>0</v>
      </c>
      <c r="M2233" s="39">
        <f>SUMIFS(pg_transaction_cleaned!$H:$H,pg_transaction_cleaned!$O:$O,A2233,pg_transaction_cleaned!$F:$F,"REFUND")</f>
        <v>0</v>
      </c>
      <c r="N2233" s="23" t="str">
        <f t="shared" si="138"/>
        <v>OK</v>
      </c>
      <c r="O2233" s="24">
        <f t="shared" si="139"/>
        <v>0</v>
      </c>
    </row>
    <row r="2234" spans="1:15" ht="15" customHeight="1" x14ac:dyDescent="0.3">
      <c r="A2234" s="23" t="s">
        <v>4959</v>
      </c>
      <c r="B2234" s="38">
        <v>46271</v>
      </c>
      <c r="C2234" s="23" t="s">
        <v>4960</v>
      </c>
      <c r="D2234" s="23" t="s">
        <v>89</v>
      </c>
      <c r="E2234" s="23" t="s">
        <v>75</v>
      </c>
      <c r="F2234" s="23" t="s">
        <v>352</v>
      </c>
      <c r="G2234" s="23" t="s">
        <v>250</v>
      </c>
      <c r="H2234" s="39">
        <f t="shared" si="136"/>
        <v>648</v>
      </c>
      <c r="I2234" s="23" t="str">
        <f t="shared" si="137"/>
        <v>Jaipur</v>
      </c>
      <c r="J2234" s="23">
        <f>COUNTIFS(pg_transaction_cleaned!$O:$O,A2234,pg_transaction_cleaned!$F:$F,"CAPTURE")</f>
        <v>1</v>
      </c>
      <c r="K2234" s="39">
        <f>SUMIFS(pg_transaction_cleaned!$H:$H,pg_transaction_cleaned!$O:$O,A2234,pg_transaction_cleaned!$F:$F,"CAPTURE")</f>
        <v>648</v>
      </c>
      <c r="L2234" s="23">
        <f>COUNTIFS(pg_transaction_cleaned!$O:$O,A2234,pg_transaction_cleaned!$F:$F,"REFUND")</f>
        <v>0</v>
      </c>
      <c r="M2234" s="39">
        <f>SUMIFS(pg_transaction_cleaned!$H:$H,pg_transaction_cleaned!$O:$O,A2234,pg_transaction_cleaned!$F:$F,"REFUND")</f>
        <v>0</v>
      </c>
      <c r="N2234" s="23" t="str">
        <f t="shared" si="138"/>
        <v>OK</v>
      </c>
      <c r="O2234" s="24">
        <f t="shared" si="139"/>
        <v>0</v>
      </c>
    </row>
    <row r="2235" spans="1:15" ht="15" customHeight="1" x14ac:dyDescent="0.3">
      <c r="A2235" s="23" t="s">
        <v>4961</v>
      </c>
      <c r="B2235" s="38">
        <v>46284</v>
      </c>
      <c r="C2235" s="23" t="s">
        <v>4962</v>
      </c>
      <c r="D2235" s="23" t="s">
        <v>86</v>
      </c>
      <c r="E2235" s="23" t="s">
        <v>79</v>
      </c>
      <c r="F2235" s="23" t="s">
        <v>291</v>
      </c>
      <c r="G2235" s="23" t="s">
        <v>250</v>
      </c>
      <c r="H2235" s="39">
        <f t="shared" si="136"/>
        <v>3499</v>
      </c>
      <c r="I2235" s="23" t="str">
        <f t="shared" si="137"/>
        <v>Delhi</v>
      </c>
      <c r="J2235" s="23">
        <f>COUNTIFS(pg_transaction_cleaned!$O:$O,A2235,pg_transaction_cleaned!$F:$F,"CAPTURE")</f>
        <v>1</v>
      </c>
      <c r="K2235" s="39">
        <f>SUMIFS(pg_transaction_cleaned!$H:$H,pg_transaction_cleaned!$O:$O,A2235,pg_transaction_cleaned!$F:$F,"CAPTURE")</f>
        <v>3499</v>
      </c>
      <c r="L2235" s="23">
        <f>COUNTIFS(pg_transaction_cleaned!$O:$O,A2235,pg_transaction_cleaned!$F:$F,"REFUND")</f>
        <v>0</v>
      </c>
      <c r="M2235" s="39">
        <f>SUMIFS(pg_transaction_cleaned!$H:$H,pg_transaction_cleaned!$O:$O,A2235,pg_transaction_cleaned!$F:$F,"REFUND")</f>
        <v>0</v>
      </c>
      <c r="N2235" s="23" t="str">
        <f t="shared" si="138"/>
        <v>OK</v>
      </c>
      <c r="O2235" s="24">
        <f t="shared" si="139"/>
        <v>0</v>
      </c>
    </row>
    <row r="2236" spans="1:15" ht="15" customHeight="1" x14ac:dyDescent="0.3">
      <c r="A2236" s="23" t="s">
        <v>4963</v>
      </c>
      <c r="B2236" s="38">
        <v>46293</v>
      </c>
      <c r="C2236" s="23" t="s">
        <v>4964</v>
      </c>
      <c r="D2236" s="23" t="s">
        <v>88</v>
      </c>
      <c r="E2236" s="23" t="s">
        <v>75</v>
      </c>
      <c r="F2236" s="23" t="s">
        <v>297</v>
      </c>
      <c r="G2236" s="23" t="s">
        <v>301</v>
      </c>
      <c r="H2236" s="39">
        <f t="shared" si="136"/>
        <v>4999</v>
      </c>
      <c r="I2236" s="23" t="str">
        <f t="shared" si="137"/>
        <v>Lucknow</v>
      </c>
      <c r="J2236" s="23">
        <f>COUNTIFS(pg_transaction_cleaned!$O:$O,A2236,pg_transaction_cleaned!$F:$F,"CAPTURE")</f>
        <v>1</v>
      </c>
      <c r="K2236" s="39">
        <f>SUMIFS(pg_transaction_cleaned!$H:$H,pg_transaction_cleaned!$O:$O,A2236,pg_transaction_cleaned!$F:$F,"CAPTURE")</f>
        <v>4999</v>
      </c>
      <c r="L2236" s="23">
        <f>COUNTIFS(pg_transaction_cleaned!$O:$O,A2236,pg_transaction_cleaned!$F:$F,"REFUND")</f>
        <v>1</v>
      </c>
      <c r="M2236" s="39">
        <f>SUMIFS(pg_transaction_cleaned!$H:$H,pg_transaction_cleaned!$O:$O,A2236,pg_transaction_cleaned!$F:$F,"REFUND")</f>
        <v>4999</v>
      </c>
      <c r="N2236" s="23" t="str">
        <f t="shared" si="138"/>
        <v>OK</v>
      </c>
      <c r="O2236" s="24">
        <f t="shared" si="139"/>
        <v>0</v>
      </c>
    </row>
    <row r="2237" spans="1:15" ht="15" customHeight="1" x14ac:dyDescent="0.3">
      <c r="A2237" s="23" t="s">
        <v>4965</v>
      </c>
      <c r="B2237" s="38">
        <v>46275</v>
      </c>
      <c r="C2237" s="23" t="s">
        <v>4966</v>
      </c>
      <c r="D2237" s="23" t="s">
        <v>94</v>
      </c>
      <c r="E2237" s="23" t="s">
        <v>75</v>
      </c>
      <c r="F2237" s="23" t="s">
        <v>370</v>
      </c>
      <c r="G2237" s="23" t="s">
        <v>250</v>
      </c>
      <c r="H2237" s="39">
        <f t="shared" si="136"/>
        <v>3098</v>
      </c>
      <c r="I2237" s="23" t="str">
        <f t="shared" si="137"/>
        <v>Chennai</v>
      </c>
      <c r="J2237" s="23">
        <f>COUNTIFS(pg_transaction_cleaned!$O:$O,A2237,pg_transaction_cleaned!$F:$F,"CAPTURE")</f>
        <v>1</v>
      </c>
      <c r="K2237" s="39">
        <f>SUMIFS(pg_transaction_cleaned!$H:$H,pg_transaction_cleaned!$O:$O,A2237,pg_transaction_cleaned!$F:$F,"CAPTURE")</f>
        <v>3098</v>
      </c>
      <c r="L2237" s="23">
        <f>COUNTIFS(pg_transaction_cleaned!$O:$O,A2237,pg_transaction_cleaned!$F:$F,"REFUND")</f>
        <v>0</v>
      </c>
      <c r="M2237" s="39">
        <f>SUMIFS(pg_transaction_cleaned!$H:$H,pg_transaction_cleaned!$O:$O,A2237,pg_transaction_cleaned!$F:$F,"REFUND")</f>
        <v>0</v>
      </c>
      <c r="N2237" s="23" t="str">
        <f t="shared" si="138"/>
        <v>OK</v>
      </c>
      <c r="O2237" s="24">
        <f t="shared" si="139"/>
        <v>0</v>
      </c>
    </row>
    <row r="2238" spans="1:15" ht="15" customHeight="1" x14ac:dyDescent="0.3">
      <c r="A2238" s="23" t="s">
        <v>4967</v>
      </c>
      <c r="B2238" s="38">
        <v>46289</v>
      </c>
      <c r="C2238" s="23" t="s">
        <v>4968</v>
      </c>
      <c r="D2238" s="23" t="s">
        <v>92</v>
      </c>
      <c r="E2238" s="23" t="s">
        <v>77</v>
      </c>
      <c r="F2238" s="23" t="s">
        <v>294</v>
      </c>
      <c r="G2238" s="23" t="s">
        <v>250</v>
      </c>
      <c r="H2238" s="39">
        <f t="shared" si="136"/>
        <v>1799</v>
      </c>
      <c r="I2238" s="23" t="str">
        <f t="shared" si="137"/>
        <v>Hyderabad</v>
      </c>
      <c r="J2238" s="23">
        <f>COUNTIFS(pg_transaction_cleaned!$O:$O,A2238,pg_transaction_cleaned!$F:$F,"CAPTURE")</f>
        <v>1</v>
      </c>
      <c r="K2238" s="39">
        <f>SUMIFS(pg_transaction_cleaned!$H:$H,pg_transaction_cleaned!$O:$O,A2238,pg_transaction_cleaned!$F:$F,"CAPTURE")</f>
        <v>1799</v>
      </c>
      <c r="L2238" s="23">
        <f>COUNTIFS(pg_transaction_cleaned!$O:$O,A2238,pg_transaction_cleaned!$F:$F,"REFUND")</f>
        <v>0</v>
      </c>
      <c r="M2238" s="39">
        <f>SUMIFS(pg_transaction_cleaned!$H:$H,pg_transaction_cleaned!$O:$O,A2238,pg_transaction_cleaned!$F:$F,"REFUND")</f>
        <v>0</v>
      </c>
      <c r="N2238" s="23" t="str">
        <f t="shared" si="138"/>
        <v>OK</v>
      </c>
      <c r="O2238" s="24">
        <f t="shared" si="139"/>
        <v>0</v>
      </c>
    </row>
    <row r="2239" spans="1:15" ht="15" customHeight="1" x14ac:dyDescent="0.3">
      <c r="A2239" s="23" t="s">
        <v>4969</v>
      </c>
      <c r="B2239" s="38">
        <v>46275</v>
      </c>
      <c r="C2239" s="23" t="s">
        <v>4970</v>
      </c>
      <c r="D2239" s="23" t="s">
        <v>88</v>
      </c>
      <c r="E2239" s="23" t="s">
        <v>75</v>
      </c>
      <c r="F2239" s="23" t="s">
        <v>274</v>
      </c>
      <c r="G2239" s="23" t="s">
        <v>250</v>
      </c>
      <c r="H2239" s="39">
        <f t="shared" si="136"/>
        <v>349</v>
      </c>
      <c r="I2239" s="23" t="str">
        <f t="shared" si="137"/>
        <v>Lucknow</v>
      </c>
      <c r="J2239" s="23">
        <f>COUNTIFS(pg_transaction_cleaned!$O:$O,A2239,pg_transaction_cleaned!$F:$F,"CAPTURE")</f>
        <v>1</v>
      </c>
      <c r="K2239" s="39">
        <f>SUMIFS(pg_transaction_cleaned!$H:$H,pg_transaction_cleaned!$O:$O,A2239,pg_transaction_cleaned!$F:$F,"CAPTURE")</f>
        <v>349</v>
      </c>
      <c r="L2239" s="23">
        <f>COUNTIFS(pg_transaction_cleaned!$O:$O,A2239,pg_transaction_cleaned!$F:$F,"REFUND")</f>
        <v>0</v>
      </c>
      <c r="M2239" s="39">
        <f>SUMIFS(pg_transaction_cleaned!$H:$H,pg_transaction_cleaned!$O:$O,A2239,pg_transaction_cleaned!$F:$F,"REFUND")</f>
        <v>0</v>
      </c>
      <c r="N2239" s="23" t="str">
        <f t="shared" si="138"/>
        <v>OK</v>
      </c>
      <c r="O2239" s="24">
        <f t="shared" si="139"/>
        <v>0</v>
      </c>
    </row>
    <row r="2240" spans="1:15" ht="15" customHeight="1" x14ac:dyDescent="0.3">
      <c r="A2240" s="23" t="s">
        <v>4971</v>
      </c>
      <c r="B2240" s="38">
        <v>46290</v>
      </c>
      <c r="C2240" s="23" t="s">
        <v>4972</v>
      </c>
      <c r="D2240" s="23" t="s">
        <v>91</v>
      </c>
      <c r="E2240" s="23" t="s">
        <v>79</v>
      </c>
      <c r="F2240" s="23" t="s">
        <v>429</v>
      </c>
      <c r="G2240" s="23" t="s">
        <v>250</v>
      </c>
      <c r="H2240" s="39">
        <f t="shared" si="136"/>
        <v>3348</v>
      </c>
      <c r="I2240" s="23" t="str">
        <f t="shared" si="137"/>
        <v>Pune</v>
      </c>
      <c r="J2240" s="23">
        <f>COUNTIFS(pg_transaction_cleaned!$O:$O,A2240,pg_transaction_cleaned!$F:$F,"CAPTURE")</f>
        <v>1</v>
      </c>
      <c r="K2240" s="39">
        <f>SUMIFS(pg_transaction_cleaned!$H:$H,pg_transaction_cleaned!$O:$O,A2240,pg_transaction_cleaned!$F:$F,"CAPTURE")</f>
        <v>3348</v>
      </c>
      <c r="L2240" s="23">
        <f>COUNTIFS(pg_transaction_cleaned!$O:$O,A2240,pg_transaction_cleaned!$F:$F,"REFUND")</f>
        <v>0</v>
      </c>
      <c r="M2240" s="39">
        <f>SUMIFS(pg_transaction_cleaned!$H:$H,pg_transaction_cleaned!$O:$O,A2240,pg_transaction_cleaned!$F:$F,"REFUND")</f>
        <v>0</v>
      </c>
      <c r="N2240" s="23" t="str">
        <f t="shared" si="138"/>
        <v>OK</v>
      </c>
      <c r="O2240" s="24">
        <f t="shared" si="139"/>
        <v>0</v>
      </c>
    </row>
    <row r="2241" spans="1:15" ht="15" customHeight="1" x14ac:dyDescent="0.3">
      <c r="A2241" s="23" t="s">
        <v>4973</v>
      </c>
      <c r="B2241" s="38">
        <v>46276</v>
      </c>
      <c r="C2241" s="23" t="s">
        <v>4974</v>
      </c>
      <c r="D2241" s="23" t="s">
        <v>88</v>
      </c>
      <c r="E2241" s="23" t="s">
        <v>79</v>
      </c>
      <c r="F2241" s="23" t="s">
        <v>499</v>
      </c>
      <c r="G2241" s="23" t="s">
        <v>250</v>
      </c>
      <c r="H2241" s="39">
        <f t="shared" si="136"/>
        <v>5998</v>
      </c>
      <c r="I2241" s="23" t="str">
        <f t="shared" si="137"/>
        <v>Lucknow</v>
      </c>
      <c r="J2241" s="23">
        <f>COUNTIFS(pg_transaction_cleaned!$O:$O,A2241,pg_transaction_cleaned!$F:$F,"CAPTURE")</f>
        <v>1</v>
      </c>
      <c r="K2241" s="39">
        <f>SUMIFS(pg_transaction_cleaned!$H:$H,pg_transaction_cleaned!$O:$O,A2241,pg_transaction_cleaned!$F:$F,"CAPTURE")</f>
        <v>5998</v>
      </c>
      <c r="L2241" s="23">
        <f>COUNTIFS(pg_transaction_cleaned!$O:$O,A2241,pg_transaction_cleaned!$F:$F,"REFUND")</f>
        <v>0</v>
      </c>
      <c r="M2241" s="39">
        <f>SUMIFS(pg_transaction_cleaned!$H:$H,pg_transaction_cleaned!$O:$O,A2241,pg_transaction_cleaned!$F:$F,"REFUND")</f>
        <v>0</v>
      </c>
      <c r="N2241" s="23" t="str">
        <f t="shared" si="138"/>
        <v>OK</v>
      </c>
      <c r="O2241" s="24">
        <f t="shared" si="139"/>
        <v>0</v>
      </c>
    </row>
    <row r="2242" spans="1:15" ht="15" customHeight="1" x14ac:dyDescent="0.3">
      <c r="A2242" s="23" t="s">
        <v>4975</v>
      </c>
      <c r="B2242" s="38">
        <v>46274</v>
      </c>
      <c r="C2242" s="23" t="s">
        <v>4976</v>
      </c>
      <c r="D2242" s="23" t="s">
        <v>90</v>
      </c>
      <c r="E2242" s="23" t="s">
        <v>81</v>
      </c>
      <c r="F2242" s="23" t="s">
        <v>4441</v>
      </c>
      <c r="G2242" s="23" t="s">
        <v>250</v>
      </c>
      <c r="H2242" s="39">
        <f t="shared" ref="H2242:H2305" si="140">VALUE(SUBSTITUTE(F2242,",",""))</f>
        <v>10497</v>
      </c>
      <c r="I2242" s="23" t="str">
        <f t="shared" ref="I2242:I2305" si="141">IF(TRIM(D2242)="","Unknown",TRIM(D2242))</f>
        <v>Ahmedabad</v>
      </c>
      <c r="J2242" s="23">
        <f>COUNTIFS(pg_transaction_cleaned!$O:$O,A2242,pg_transaction_cleaned!$F:$F,"CAPTURE")</f>
        <v>1</v>
      </c>
      <c r="K2242" s="39">
        <f>SUMIFS(pg_transaction_cleaned!$H:$H,pg_transaction_cleaned!$O:$O,A2242,pg_transaction_cleaned!$F:$F,"CAPTURE")</f>
        <v>10497</v>
      </c>
      <c r="L2242" s="23">
        <f>COUNTIFS(pg_transaction_cleaned!$O:$O,A2242,pg_transaction_cleaned!$F:$F,"REFUND")</f>
        <v>0</v>
      </c>
      <c r="M2242" s="39">
        <f>SUMIFS(pg_transaction_cleaned!$H:$H,pg_transaction_cleaned!$O:$O,A2242,pg_transaction_cleaned!$F:$F,"REFUND")</f>
        <v>0</v>
      </c>
      <c r="N2242" s="23" t="str">
        <f t="shared" ref="N2242:N2305" si="142">IF(AND(G2242="Paid",J2242=0),"Paid, no payment",IF(AND(OR(G2242="Failed",G2242="Cancelled"),J2242&gt;0),"Payment on failed/cancelled",IF(J2242&gt;1,"Duplicate charge",IF(AND(J2242=1,ROUND(K2242-H2242,2)&lt;&gt;0),"Amount difference",IF(AND(G2242="Refunded",L2242=0),"Refunded, no refund",IF(AND(G2242&lt;&gt;"Refunded",L2242&gt;0),"Refund, order not Refunded",IF(AND(L2242&gt;0,ROUND(M2242-H2242,2)&lt;&gt;0),"Refund amount differs","OK")))))))</f>
        <v>OK</v>
      </c>
      <c r="O2242" s="24">
        <f t="shared" ref="O2242:O2305" si="143">IF(N2242="OK",0,IF(N2242="Paid, no payment",H2242,IF(N2242="Payment on failed/cancelled",K2242,IF(OR(N2242="Duplicate charge",N2242="Amount difference"),K2242-H2242,IF(N2242="Refunded, no refund",H2242,M2242)))))</f>
        <v>0</v>
      </c>
    </row>
    <row r="2243" spans="1:15" ht="15" customHeight="1" x14ac:dyDescent="0.3">
      <c r="A2243" s="23" t="s">
        <v>4977</v>
      </c>
      <c r="B2243" s="38">
        <v>46275</v>
      </c>
      <c r="C2243" s="23" t="s">
        <v>4978</v>
      </c>
      <c r="D2243" s="23" t="s">
        <v>86</v>
      </c>
      <c r="E2243" s="23" t="s">
        <v>75</v>
      </c>
      <c r="F2243" s="23" t="s">
        <v>553</v>
      </c>
      <c r="G2243" s="23" t="s">
        <v>301</v>
      </c>
      <c r="H2243" s="39">
        <f t="shared" si="140"/>
        <v>2798</v>
      </c>
      <c r="I2243" s="23" t="str">
        <f t="shared" si="141"/>
        <v>Delhi</v>
      </c>
      <c r="J2243" s="23">
        <f>COUNTIFS(pg_transaction_cleaned!$O:$O,A2243,pg_transaction_cleaned!$F:$F,"CAPTURE")</f>
        <v>1</v>
      </c>
      <c r="K2243" s="39">
        <f>SUMIFS(pg_transaction_cleaned!$H:$H,pg_transaction_cleaned!$O:$O,A2243,pg_transaction_cleaned!$F:$F,"CAPTURE")</f>
        <v>2798</v>
      </c>
      <c r="L2243" s="23">
        <f>COUNTIFS(pg_transaction_cleaned!$O:$O,A2243,pg_transaction_cleaned!$F:$F,"REFUND")</f>
        <v>1</v>
      </c>
      <c r="M2243" s="39">
        <f>SUMIFS(pg_transaction_cleaned!$H:$H,pg_transaction_cleaned!$O:$O,A2243,pg_transaction_cleaned!$F:$F,"REFUND")</f>
        <v>2798</v>
      </c>
      <c r="N2243" s="23" t="str">
        <f t="shared" si="142"/>
        <v>OK</v>
      </c>
      <c r="O2243" s="24">
        <f t="shared" si="143"/>
        <v>0</v>
      </c>
    </row>
    <row r="2244" spans="1:15" ht="15" customHeight="1" x14ac:dyDescent="0.3">
      <c r="A2244" s="23" t="s">
        <v>4979</v>
      </c>
      <c r="B2244" s="38">
        <v>46267</v>
      </c>
      <c r="C2244" s="23" t="s">
        <v>4980</v>
      </c>
      <c r="D2244" s="23" t="s">
        <v>90</v>
      </c>
      <c r="E2244" s="23" t="s">
        <v>75</v>
      </c>
      <c r="F2244" s="23" t="s">
        <v>1123</v>
      </c>
      <c r="G2244" s="23" t="s">
        <v>250</v>
      </c>
      <c r="H2244" s="39">
        <f t="shared" si="140"/>
        <v>3797</v>
      </c>
      <c r="I2244" s="23" t="str">
        <f t="shared" si="141"/>
        <v>Ahmedabad</v>
      </c>
      <c r="J2244" s="23">
        <f>COUNTIFS(pg_transaction_cleaned!$O:$O,A2244,pg_transaction_cleaned!$F:$F,"CAPTURE")</f>
        <v>1</v>
      </c>
      <c r="K2244" s="39">
        <f>SUMIFS(pg_transaction_cleaned!$H:$H,pg_transaction_cleaned!$O:$O,A2244,pg_transaction_cleaned!$F:$F,"CAPTURE")</f>
        <v>3797</v>
      </c>
      <c r="L2244" s="23">
        <f>COUNTIFS(pg_transaction_cleaned!$O:$O,A2244,pg_transaction_cleaned!$F:$F,"REFUND")</f>
        <v>0</v>
      </c>
      <c r="M2244" s="39">
        <f>SUMIFS(pg_transaction_cleaned!$H:$H,pg_transaction_cleaned!$O:$O,A2244,pg_transaction_cleaned!$F:$F,"REFUND")</f>
        <v>0</v>
      </c>
      <c r="N2244" s="23" t="str">
        <f t="shared" si="142"/>
        <v>OK</v>
      </c>
      <c r="O2244" s="24">
        <f t="shared" si="143"/>
        <v>0</v>
      </c>
    </row>
    <row r="2245" spans="1:15" ht="15" customHeight="1" x14ac:dyDescent="0.3">
      <c r="A2245" s="23" t="s">
        <v>4981</v>
      </c>
      <c r="B2245" s="38">
        <v>46293</v>
      </c>
      <c r="C2245" s="23" t="s">
        <v>4982</v>
      </c>
      <c r="D2245" s="23" t="s">
        <v>87</v>
      </c>
      <c r="E2245" s="23" t="s">
        <v>79</v>
      </c>
      <c r="F2245" s="23" t="s">
        <v>460</v>
      </c>
      <c r="G2245" s="23" t="s">
        <v>250</v>
      </c>
      <c r="H2245" s="39">
        <f t="shared" si="140"/>
        <v>1998</v>
      </c>
      <c r="I2245" s="23" t="str">
        <f t="shared" si="141"/>
        <v>Mumbai</v>
      </c>
      <c r="J2245" s="23">
        <f>COUNTIFS(pg_transaction_cleaned!$O:$O,A2245,pg_transaction_cleaned!$F:$F,"CAPTURE")</f>
        <v>1</v>
      </c>
      <c r="K2245" s="39">
        <f>SUMIFS(pg_transaction_cleaned!$H:$H,pg_transaction_cleaned!$O:$O,A2245,pg_transaction_cleaned!$F:$F,"CAPTURE")</f>
        <v>1998</v>
      </c>
      <c r="L2245" s="23">
        <f>COUNTIFS(pg_transaction_cleaned!$O:$O,A2245,pg_transaction_cleaned!$F:$F,"REFUND")</f>
        <v>0</v>
      </c>
      <c r="M2245" s="39">
        <f>SUMIFS(pg_transaction_cleaned!$H:$H,pg_transaction_cleaned!$O:$O,A2245,pg_transaction_cleaned!$F:$F,"REFUND")</f>
        <v>0</v>
      </c>
      <c r="N2245" s="23" t="str">
        <f t="shared" si="142"/>
        <v>OK</v>
      </c>
      <c r="O2245" s="24">
        <f t="shared" si="143"/>
        <v>0</v>
      </c>
    </row>
    <row r="2246" spans="1:15" ht="15" customHeight="1" x14ac:dyDescent="0.3">
      <c r="A2246" s="23" t="s">
        <v>4983</v>
      </c>
      <c r="B2246" s="38">
        <v>46293</v>
      </c>
      <c r="C2246" s="23" t="s">
        <v>4984</v>
      </c>
      <c r="D2246" s="23" t="s">
        <v>86</v>
      </c>
      <c r="E2246" s="23" t="s">
        <v>77</v>
      </c>
      <c r="F2246" s="23" t="s">
        <v>297</v>
      </c>
      <c r="G2246" s="23" t="s">
        <v>250</v>
      </c>
      <c r="H2246" s="39">
        <f t="shared" si="140"/>
        <v>4999</v>
      </c>
      <c r="I2246" s="23" t="str">
        <f t="shared" si="141"/>
        <v>Delhi</v>
      </c>
      <c r="J2246" s="23">
        <f>COUNTIFS(pg_transaction_cleaned!$O:$O,A2246,pg_transaction_cleaned!$F:$F,"CAPTURE")</f>
        <v>1</v>
      </c>
      <c r="K2246" s="39">
        <f>SUMIFS(pg_transaction_cleaned!$H:$H,pg_transaction_cleaned!$O:$O,A2246,pg_transaction_cleaned!$F:$F,"CAPTURE")</f>
        <v>4999</v>
      </c>
      <c r="L2246" s="23">
        <f>COUNTIFS(pg_transaction_cleaned!$O:$O,A2246,pg_transaction_cleaned!$F:$F,"REFUND")</f>
        <v>0</v>
      </c>
      <c r="M2246" s="39">
        <f>SUMIFS(pg_transaction_cleaned!$H:$H,pg_transaction_cleaned!$O:$O,A2246,pg_transaction_cleaned!$F:$F,"REFUND")</f>
        <v>0</v>
      </c>
      <c r="N2246" s="23" t="str">
        <f t="shared" si="142"/>
        <v>OK</v>
      </c>
      <c r="O2246" s="24">
        <f t="shared" si="143"/>
        <v>0</v>
      </c>
    </row>
    <row r="2247" spans="1:15" ht="15" customHeight="1" x14ac:dyDescent="0.3">
      <c r="A2247" s="23" t="s">
        <v>4985</v>
      </c>
      <c r="B2247" s="38">
        <v>46278</v>
      </c>
      <c r="C2247" s="23" t="s">
        <v>4986</v>
      </c>
      <c r="D2247" s="23" t="s">
        <v>86</v>
      </c>
      <c r="E2247" s="23" t="s">
        <v>81</v>
      </c>
      <c r="F2247" s="23" t="s">
        <v>249</v>
      </c>
      <c r="G2247" s="23" t="s">
        <v>250</v>
      </c>
      <c r="H2247" s="39">
        <f t="shared" si="140"/>
        <v>299</v>
      </c>
      <c r="I2247" s="23" t="str">
        <f t="shared" si="141"/>
        <v>Delhi</v>
      </c>
      <c r="J2247" s="23">
        <f>COUNTIFS(pg_transaction_cleaned!$O:$O,A2247,pg_transaction_cleaned!$F:$F,"CAPTURE")</f>
        <v>1</v>
      </c>
      <c r="K2247" s="39">
        <f>SUMIFS(pg_transaction_cleaned!$H:$H,pg_transaction_cleaned!$O:$O,A2247,pg_transaction_cleaned!$F:$F,"CAPTURE")</f>
        <v>299</v>
      </c>
      <c r="L2247" s="23">
        <f>COUNTIFS(pg_transaction_cleaned!$O:$O,A2247,pg_transaction_cleaned!$F:$F,"REFUND")</f>
        <v>0</v>
      </c>
      <c r="M2247" s="39">
        <f>SUMIFS(pg_transaction_cleaned!$H:$H,pg_transaction_cleaned!$O:$O,A2247,pg_transaction_cleaned!$F:$F,"REFUND")</f>
        <v>0</v>
      </c>
      <c r="N2247" s="23" t="str">
        <f t="shared" si="142"/>
        <v>OK</v>
      </c>
      <c r="O2247" s="24">
        <f t="shared" si="143"/>
        <v>0</v>
      </c>
    </row>
    <row r="2248" spans="1:15" ht="15" customHeight="1" x14ac:dyDescent="0.3">
      <c r="A2248" s="23" t="s">
        <v>4987</v>
      </c>
      <c r="B2248" s="38">
        <v>46284</v>
      </c>
      <c r="C2248" s="23" t="s">
        <v>4988</v>
      </c>
      <c r="D2248" s="23" t="s">
        <v>92</v>
      </c>
      <c r="E2248" s="23" t="s">
        <v>75</v>
      </c>
      <c r="F2248" s="23" t="s">
        <v>329</v>
      </c>
      <c r="G2248" s="23" t="s">
        <v>250</v>
      </c>
      <c r="H2248" s="39">
        <f t="shared" si="140"/>
        <v>599</v>
      </c>
      <c r="I2248" s="23" t="str">
        <f t="shared" si="141"/>
        <v>Hyderabad</v>
      </c>
      <c r="J2248" s="23">
        <f>COUNTIFS(pg_transaction_cleaned!$O:$O,A2248,pg_transaction_cleaned!$F:$F,"CAPTURE")</f>
        <v>1</v>
      </c>
      <c r="K2248" s="39">
        <f>SUMIFS(pg_transaction_cleaned!$H:$H,pg_transaction_cleaned!$O:$O,A2248,pg_transaction_cleaned!$F:$F,"CAPTURE")</f>
        <v>599</v>
      </c>
      <c r="L2248" s="23">
        <f>COUNTIFS(pg_transaction_cleaned!$O:$O,A2248,pg_transaction_cleaned!$F:$F,"REFUND")</f>
        <v>0</v>
      </c>
      <c r="M2248" s="39">
        <f>SUMIFS(pg_transaction_cleaned!$H:$H,pg_transaction_cleaned!$O:$O,A2248,pg_transaction_cleaned!$F:$F,"REFUND")</f>
        <v>0</v>
      </c>
      <c r="N2248" s="23" t="str">
        <f t="shared" si="142"/>
        <v>OK</v>
      </c>
      <c r="O2248" s="24">
        <f t="shared" si="143"/>
        <v>0</v>
      </c>
    </row>
    <row r="2249" spans="1:15" ht="15" customHeight="1" x14ac:dyDescent="0.3">
      <c r="A2249" s="23" t="s">
        <v>4989</v>
      </c>
      <c r="B2249" s="38">
        <v>46276</v>
      </c>
      <c r="C2249" s="23" t="s">
        <v>4990</v>
      </c>
      <c r="D2249" s="23" t="s">
        <v>92</v>
      </c>
      <c r="E2249" s="23" t="s">
        <v>75</v>
      </c>
      <c r="F2249" s="23" t="s">
        <v>249</v>
      </c>
      <c r="G2249" s="23" t="s">
        <v>250</v>
      </c>
      <c r="H2249" s="39">
        <f t="shared" si="140"/>
        <v>299</v>
      </c>
      <c r="I2249" s="23" t="str">
        <f t="shared" si="141"/>
        <v>Hyderabad</v>
      </c>
      <c r="J2249" s="23">
        <f>COUNTIFS(pg_transaction_cleaned!$O:$O,A2249,pg_transaction_cleaned!$F:$F,"CAPTURE")</f>
        <v>1</v>
      </c>
      <c r="K2249" s="39">
        <f>SUMIFS(pg_transaction_cleaned!$H:$H,pg_transaction_cleaned!$O:$O,A2249,pg_transaction_cleaned!$F:$F,"CAPTURE")</f>
        <v>299</v>
      </c>
      <c r="L2249" s="23">
        <f>COUNTIFS(pg_transaction_cleaned!$O:$O,A2249,pg_transaction_cleaned!$F:$F,"REFUND")</f>
        <v>0</v>
      </c>
      <c r="M2249" s="39">
        <f>SUMIFS(pg_transaction_cleaned!$H:$H,pg_transaction_cleaned!$O:$O,A2249,pg_transaction_cleaned!$F:$F,"REFUND")</f>
        <v>0</v>
      </c>
      <c r="N2249" s="23" t="str">
        <f t="shared" si="142"/>
        <v>OK</v>
      </c>
      <c r="O2249" s="24">
        <f t="shared" si="143"/>
        <v>0</v>
      </c>
    </row>
    <row r="2250" spans="1:15" ht="15" customHeight="1" x14ac:dyDescent="0.3">
      <c r="A2250" s="23" t="s">
        <v>4991</v>
      </c>
      <c r="B2250" s="38">
        <v>46273</v>
      </c>
      <c r="C2250" s="23" t="s">
        <v>4992</v>
      </c>
      <c r="D2250" s="23" t="s">
        <v>86</v>
      </c>
      <c r="E2250" s="23" t="s">
        <v>75</v>
      </c>
      <c r="F2250" s="23" t="s">
        <v>315</v>
      </c>
      <c r="G2250" s="23" t="s">
        <v>250</v>
      </c>
      <c r="H2250" s="39">
        <f t="shared" si="140"/>
        <v>1499</v>
      </c>
      <c r="I2250" s="23" t="str">
        <f t="shared" si="141"/>
        <v>Delhi</v>
      </c>
      <c r="J2250" s="23">
        <f>COUNTIFS(pg_transaction_cleaned!$O:$O,A2250,pg_transaction_cleaned!$F:$F,"CAPTURE")</f>
        <v>1</v>
      </c>
      <c r="K2250" s="39">
        <f>SUMIFS(pg_transaction_cleaned!$H:$H,pg_transaction_cleaned!$O:$O,A2250,pg_transaction_cleaned!$F:$F,"CAPTURE")</f>
        <v>1499</v>
      </c>
      <c r="L2250" s="23">
        <f>COUNTIFS(pg_transaction_cleaned!$O:$O,A2250,pg_transaction_cleaned!$F:$F,"REFUND")</f>
        <v>0</v>
      </c>
      <c r="M2250" s="39">
        <f>SUMIFS(pg_transaction_cleaned!$H:$H,pg_transaction_cleaned!$O:$O,A2250,pg_transaction_cleaned!$F:$F,"REFUND")</f>
        <v>0</v>
      </c>
      <c r="N2250" s="23" t="str">
        <f t="shared" si="142"/>
        <v>OK</v>
      </c>
      <c r="O2250" s="24">
        <f t="shared" si="143"/>
        <v>0</v>
      </c>
    </row>
    <row r="2251" spans="1:15" ht="15" customHeight="1" x14ac:dyDescent="0.3">
      <c r="A2251" s="23" t="s">
        <v>4993</v>
      </c>
      <c r="B2251" s="38">
        <v>46281</v>
      </c>
      <c r="C2251" s="23" t="s">
        <v>4994</v>
      </c>
      <c r="D2251" s="23" t="s">
        <v>88</v>
      </c>
      <c r="E2251" s="23" t="s">
        <v>75</v>
      </c>
      <c r="F2251" s="23" t="s">
        <v>2486</v>
      </c>
      <c r="G2251" s="23" t="s">
        <v>250</v>
      </c>
      <c r="H2251" s="39">
        <f t="shared" si="140"/>
        <v>1647</v>
      </c>
      <c r="I2251" s="23" t="str">
        <f t="shared" si="141"/>
        <v>Lucknow</v>
      </c>
      <c r="J2251" s="23">
        <f>COUNTIFS(pg_transaction_cleaned!$O:$O,A2251,pg_transaction_cleaned!$F:$F,"CAPTURE")</f>
        <v>1</v>
      </c>
      <c r="K2251" s="39">
        <f>SUMIFS(pg_transaction_cleaned!$H:$H,pg_transaction_cleaned!$O:$O,A2251,pg_transaction_cleaned!$F:$F,"CAPTURE")</f>
        <v>1647</v>
      </c>
      <c r="L2251" s="23">
        <f>COUNTIFS(pg_transaction_cleaned!$O:$O,A2251,pg_transaction_cleaned!$F:$F,"REFUND")</f>
        <v>0</v>
      </c>
      <c r="M2251" s="39">
        <f>SUMIFS(pg_transaction_cleaned!$H:$H,pg_transaction_cleaned!$O:$O,A2251,pg_transaction_cleaned!$F:$F,"REFUND")</f>
        <v>0</v>
      </c>
      <c r="N2251" s="23" t="str">
        <f t="shared" si="142"/>
        <v>OK</v>
      </c>
      <c r="O2251" s="24">
        <f t="shared" si="143"/>
        <v>0</v>
      </c>
    </row>
    <row r="2252" spans="1:15" ht="15" customHeight="1" x14ac:dyDescent="0.3">
      <c r="A2252" s="23" t="s">
        <v>4995</v>
      </c>
      <c r="B2252" s="38">
        <v>46275</v>
      </c>
      <c r="C2252" s="23" t="s">
        <v>4996</v>
      </c>
      <c r="D2252" s="23" t="s">
        <v>93</v>
      </c>
      <c r="E2252" s="23" t="s">
        <v>75</v>
      </c>
      <c r="F2252" s="23" t="s">
        <v>329</v>
      </c>
      <c r="G2252" s="23" t="s">
        <v>250</v>
      </c>
      <c r="H2252" s="39">
        <f t="shared" si="140"/>
        <v>599</v>
      </c>
      <c r="I2252" s="23" t="str">
        <f t="shared" si="141"/>
        <v>Kolkata</v>
      </c>
      <c r="J2252" s="23">
        <f>COUNTIFS(pg_transaction_cleaned!$O:$O,A2252,pg_transaction_cleaned!$F:$F,"CAPTURE")</f>
        <v>1</v>
      </c>
      <c r="K2252" s="39">
        <f>SUMIFS(pg_transaction_cleaned!$H:$H,pg_transaction_cleaned!$O:$O,A2252,pg_transaction_cleaned!$F:$F,"CAPTURE")</f>
        <v>599</v>
      </c>
      <c r="L2252" s="23">
        <f>COUNTIFS(pg_transaction_cleaned!$O:$O,A2252,pg_transaction_cleaned!$F:$F,"REFUND")</f>
        <v>0</v>
      </c>
      <c r="M2252" s="39">
        <f>SUMIFS(pg_transaction_cleaned!$H:$H,pg_transaction_cleaned!$O:$O,A2252,pg_transaction_cleaned!$F:$F,"REFUND")</f>
        <v>0</v>
      </c>
      <c r="N2252" s="23" t="str">
        <f t="shared" si="142"/>
        <v>OK</v>
      </c>
      <c r="O2252" s="24">
        <f t="shared" si="143"/>
        <v>0</v>
      </c>
    </row>
    <row r="2253" spans="1:15" ht="15" customHeight="1" x14ac:dyDescent="0.3">
      <c r="A2253" s="23" t="s">
        <v>4997</v>
      </c>
      <c r="B2253" s="38">
        <v>46281</v>
      </c>
      <c r="C2253" s="23" t="s">
        <v>4998</v>
      </c>
      <c r="D2253" s="23" t="s">
        <v>88</v>
      </c>
      <c r="E2253" s="23" t="s">
        <v>75</v>
      </c>
      <c r="F2253" s="23" t="s">
        <v>475</v>
      </c>
      <c r="G2253" s="23" t="s">
        <v>250</v>
      </c>
      <c r="H2253" s="39">
        <f t="shared" si="140"/>
        <v>799</v>
      </c>
      <c r="I2253" s="23" t="str">
        <f t="shared" si="141"/>
        <v>Lucknow</v>
      </c>
      <c r="J2253" s="23">
        <f>COUNTIFS(pg_transaction_cleaned!$O:$O,A2253,pg_transaction_cleaned!$F:$F,"CAPTURE")</f>
        <v>1</v>
      </c>
      <c r="K2253" s="39">
        <f>SUMIFS(pg_transaction_cleaned!$H:$H,pg_transaction_cleaned!$O:$O,A2253,pg_transaction_cleaned!$F:$F,"CAPTURE")</f>
        <v>799</v>
      </c>
      <c r="L2253" s="23">
        <f>COUNTIFS(pg_transaction_cleaned!$O:$O,A2253,pg_transaction_cleaned!$F:$F,"REFUND")</f>
        <v>0</v>
      </c>
      <c r="M2253" s="39">
        <f>SUMIFS(pg_transaction_cleaned!$H:$H,pg_transaction_cleaned!$O:$O,A2253,pg_transaction_cleaned!$F:$F,"REFUND")</f>
        <v>0</v>
      </c>
      <c r="N2253" s="23" t="str">
        <f t="shared" si="142"/>
        <v>OK</v>
      </c>
      <c r="O2253" s="24">
        <f t="shared" si="143"/>
        <v>0</v>
      </c>
    </row>
    <row r="2254" spans="1:15" ht="15" customHeight="1" x14ac:dyDescent="0.3">
      <c r="A2254" s="23" t="s">
        <v>4999</v>
      </c>
      <c r="B2254" s="38">
        <v>46279</v>
      </c>
      <c r="C2254" s="23" t="s">
        <v>5000</v>
      </c>
      <c r="D2254" s="23" t="s">
        <v>86</v>
      </c>
      <c r="E2254" s="23" t="s">
        <v>75</v>
      </c>
      <c r="F2254" s="23" t="s">
        <v>5001</v>
      </c>
      <c r="G2254" s="23" t="s">
        <v>250</v>
      </c>
      <c r="H2254" s="39">
        <f t="shared" si="140"/>
        <v>2848</v>
      </c>
      <c r="I2254" s="23" t="str">
        <f t="shared" si="141"/>
        <v>Delhi</v>
      </c>
      <c r="J2254" s="23">
        <f>COUNTIFS(pg_transaction_cleaned!$O:$O,A2254,pg_transaction_cleaned!$F:$F,"CAPTURE")</f>
        <v>1</v>
      </c>
      <c r="K2254" s="39">
        <f>SUMIFS(pg_transaction_cleaned!$H:$H,pg_transaction_cleaned!$O:$O,A2254,pg_transaction_cleaned!$F:$F,"CAPTURE")</f>
        <v>2848</v>
      </c>
      <c r="L2254" s="23">
        <f>COUNTIFS(pg_transaction_cleaned!$O:$O,A2254,pg_transaction_cleaned!$F:$F,"REFUND")</f>
        <v>0</v>
      </c>
      <c r="M2254" s="39">
        <f>SUMIFS(pg_transaction_cleaned!$H:$H,pg_transaction_cleaned!$O:$O,A2254,pg_transaction_cleaned!$F:$F,"REFUND")</f>
        <v>0</v>
      </c>
      <c r="N2254" s="23" t="str">
        <f t="shared" si="142"/>
        <v>OK</v>
      </c>
      <c r="O2254" s="24">
        <f t="shared" si="143"/>
        <v>0</v>
      </c>
    </row>
    <row r="2255" spans="1:15" ht="15" customHeight="1" x14ac:dyDescent="0.3">
      <c r="A2255" s="23" t="s">
        <v>5002</v>
      </c>
      <c r="B2255" s="38">
        <v>46277</v>
      </c>
      <c r="C2255" s="23" t="s">
        <v>5003</v>
      </c>
      <c r="D2255" s="23" t="s">
        <v>95</v>
      </c>
      <c r="E2255" s="23" t="s">
        <v>75</v>
      </c>
      <c r="F2255" s="23" t="s">
        <v>574</v>
      </c>
      <c r="G2255" s="23" t="s">
        <v>250</v>
      </c>
      <c r="H2255" s="39">
        <f t="shared" si="140"/>
        <v>1848</v>
      </c>
      <c r="I2255" s="23" t="str">
        <f t="shared" si="141"/>
        <v>Bengaluru</v>
      </c>
      <c r="J2255" s="23">
        <f>COUNTIFS(pg_transaction_cleaned!$O:$O,A2255,pg_transaction_cleaned!$F:$F,"CAPTURE")</f>
        <v>1</v>
      </c>
      <c r="K2255" s="39">
        <f>SUMIFS(pg_transaction_cleaned!$H:$H,pg_transaction_cleaned!$O:$O,A2255,pg_transaction_cleaned!$F:$F,"CAPTURE")</f>
        <v>1848</v>
      </c>
      <c r="L2255" s="23">
        <f>COUNTIFS(pg_transaction_cleaned!$O:$O,A2255,pg_transaction_cleaned!$F:$F,"REFUND")</f>
        <v>0</v>
      </c>
      <c r="M2255" s="39">
        <f>SUMIFS(pg_transaction_cleaned!$H:$H,pg_transaction_cleaned!$O:$O,A2255,pg_transaction_cleaned!$F:$F,"REFUND")</f>
        <v>0</v>
      </c>
      <c r="N2255" s="23" t="str">
        <f t="shared" si="142"/>
        <v>OK</v>
      </c>
      <c r="O2255" s="24">
        <f t="shared" si="143"/>
        <v>0</v>
      </c>
    </row>
    <row r="2256" spans="1:15" ht="15" customHeight="1" x14ac:dyDescent="0.3">
      <c r="A2256" s="23" t="s">
        <v>5004</v>
      </c>
      <c r="B2256" s="38">
        <v>46276</v>
      </c>
      <c r="C2256" s="23" t="s">
        <v>5005</v>
      </c>
      <c r="D2256" s="23" t="s">
        <v>92</v>
      </c>
      <c r="E2256" s="23" t="s">
        <v>77</v>
      </c>
      <c r="F2256" s="23" t="s">
        <v>1085</v>
      </c>
      <c r="G2256" s="23" t="s">
        <v>250</v>
      </c>
      <c r="H2256" s="39">
        <f t="shared" si="140"/>
        <v>9597</v>
      </c>
      <c r="I2256" s="23" t="str">
        <f t="shared" si="141"/>
        <v>Hyderabad</v>
      </c>
      <c r="J2256" s="23">
        <f>COUNTIFS(pg_transaction_cleaned!$O:$O,A2256,pg_transaction_cleaned!$F:$F,"CAPTURE")</f>
        <v>1</v>
      </c>
      <c r="K2256" s="39">
        <f>SUMIFS(pg_transaction_cleaned!$H:$H,pg_transaction_cleaned!$O:$O,A2256,pg_transaction_cleaned!$F:$F,"CAPTURE")</f>
        <v>9597</v>
      </c>
      <c r="L2256" s="23">
        <f>COUNTIFS(pg_transaction_cleaned!$O:$O,A2256,pg_transaction_cleaned!$F:$F,"REFUND")</f>
        <v>0</v>
      </c>
      <c r="M2256" s="39">
        <f>SUMIFS(pg_transaction_cleaned!$H:$H,pg_transaction_cleaned!$O:$O,A2256,pg_transaction_cleaned!$F:$F,"REFUND")</f>
        <v>0</v>
      </c>
      <c r="N2256" s="23" t="str">
        <f t="shared" si="142"/>
        <v>OK</v>
      </c>
      <c r="O2256" s="24">
        <f t="shared" si="143"/>
        <v>0</v>
      </c>
    </row>
    <row r="2257" spans="1:15" ht="15" customHeight="1" x14ac:dyDescent="0.3">
      <c r="A2257" s="23" t="s">
        <v>5006</v>
      </c>
      <c r="B2257" s="38">
        <v>46283</v>
      </c>
      <c r="C2257" s="23" t="s">
        <v>5007</v>
      </c>
      <c r="D2257" s="23" t="s">
        <v>94</v>
      </c>
      <c r="E2257" s="23" t="s">
        <v>79</v>
      </c>
      <c r="F2257" s="23" t="s">
        <v>271</v>
      </c>
      <c r="G2257" s="23" t="s">
        <v>250</v>
      </c>
      <c r="H2257" s="39">
        <f t="shared" si="140"/>
        <v>2499</v>
      </c>
      <c r="I2257" s="23" t="str">
        <f t="shared" si="141"/>
        <v>Chennai</v>
      </c>
      <c r="J2257" s="23">
        <f>COUNTIFS(pg_transaction_cleaned!$O:$O,A2257,pg_transaction_cleaned!$F:$F,"CAPTURE")</f>
        <v>1</v>
      </c>
      <c r="K2257" s="39">
        <f>SUMIFS(pg_transaction_cleaned!$H:$H,pg_transaction_cleaned!$O:$O,A2257,pg_transaction_cleaned!$F:$F,"CAPTURE")</f>
        <v>2499</v>
      </c>
      <c r="L2257" s="23">
        <f>COUNTIFS(pg_transaction_cleaned!$O:$O,A2257,pg_transaction_cleaned!$F:$F,"REFUND")</f>
        <v>0</v>
      </c>
      <c r="M2257" s="39">
        <f>SUMIFS(pg_transaction_cleaned!$H:$H,pg_transaction_cleaned!$O:$O,A2257,pg_transaction_cleaned!$F:$F,"REFUND")</f>
        <v>0</v>
      </c>
      <c r="N2257" s="23" t="str">
        <f t="shared" si="142"/>
        <v>OK</v>
      </c>
      <c r="O2257" s="24">
        <f t="shared" si="143"/>
        <v>0</v>
      </c>
    </row>
    <row r="2258" spans="1:15" ht="15" customHeight="1" x14ac:dyDescent="0.3">
      <c r="A2258" s="23" t="s">
        <v>5008</v>
      </c>
      <c r="B2258" s="38">
        <v>46291</v>
      </c>
      <c r="C2258" s="23" t="s">
        <v>5009</v>
      </c>
      <c r="D2258" s="23" t="s">
        <v>90</v>
      </c>
      <c r="E2258" s="23" t="s">
        <v>75</v>
      </c>
      <c r="F2258" s="23" t="s">
        <v>1054</v>
      </c>
      <c r="G2258" s="23" t="s">
        <v>250</v>
      </c>
      <c r="H2258" s="39">
        <f t="shared" si="140"/>
        <v>6597</v>
      </c>
      <c r="I2258" s="23" t="str">
        <f t="shared" si="141"/>
        <v>Ahmedabad</v>
      </c>
      <c r="J2258" s="23">
        <f>COUNTIFS(pg_transaction_cleaned!$O:$O,A2258,pg_transaction_cleaned!$F:$F,"CAPTURE")</f>
        <v>1</v>
      </c>
      <c r="K2258" s="39">
        <f>SUMIFS(pg_transaction_cleaned!$H:$H,pg_transaction_cleaned!$O:$O,A2258,pg_transaction_cleaned!$F:$F,"CAPTURE")</f>
        <v>6597</v>
      </c>
      <c r="L2258" s="23">
        <f>COUNTIFS(pg_transaction_cleaned!$O:$O,A2258,pg_transaction_cleaned!$F:$F,"REFUND")</f>
        <v>0</v>
      </c>
      <c r="M2258" s="39">
        <f>SUMIFS(pg_transaction_cleaned!$H:$H,pg_transaction_cleaned!$O:$O,A2258,pg_transaction_cleaned!$F:$F,"REFUND")</f>
        <v>0</v>
      </c>
      <c r="N2258" s="23" t="str">
        <f t="shared" si="142"/>
        <v>OK</v>
      </c>
      <c r="O2258" s="24">
        <f t="shared" si="143"/>
        <v>0</v>
      </c>
    </row>
    <row r="2259" spans="1:15" ht="15" customHeight="1" x14ac:dyDescent="0.3">
      <c r="A2259" s="23" t="s">
        <v>5010</v>
      </c>
      <c r="B2259" s="38">
        <v>46284</v>
      </c>
      <c r="C2259" s="23" t="s">
        <v>5011</v>
      </c>
      <c r="D2259" s="23" t="s">
        <v>88</v>
      </c>
      <c r="E2259" s="23" t="s">
        <v>75</v>
      </c>
      <c r="F2259" s="23" t="s">
        <v>582</v>
      </c>
      <c r="G2259" s="23" t="s">
        <v>250</v>
      </c>
      <c r="H2259" s="39">
        <f t="shared" si="140"/>
        <v>1298</v>
      </c>
      <c r="I2259" s="23" t="str">
        <f t="shared" si="141"/>
        <v>Lucknow</v>
      </c>
      <c r="J2259" s="23">
        <f>COUNTIFS(pg_transaction_cleaned!$O:$O,A2259,pg_transaction_cleaned!$F:$F,"CAPTURE")</f>
        <v>1</v>
      </c>
      <c r="K2259" s="39">
        <f>SUMIFS(pg_transaction_cleaned!$H:$H,pg_transaction_cleaned!$O:$O,A2259,pg_transaction_cleaned!$F:$F,"CAPTURE")</f>
        <v>1298</v>
      </c>
      <c r="L2259" s="23">
        <f>COUNTIFS(pg_transaction_cleaned!$O:$O,A2259,pg_transaction_cleaned!$F:$F,"REFUND")</f>
        <v>0</v>
      </c>
      <c r="M2259" s="39">
        <f>SUMIFS(pg_transaction_cleaned!$H:$H,pg_transaction_cleaned!$O:$O,A2259,pg_transaction_cleaned!$F:$F,"REFUND")</f>
        <v>0</v>
      </c>
      <c r="N2259" s="23" t="str">
        <f t="shared" si="142"/>
        <v>OK</v>
      </c>
      <c r="O2259" s="24">
        <f t="shared" si="143"/>
        <v>0</v>
      </c>
    </row>
    <row r="2260" spans="1:15" ht="15" customHeight="1" x14ac:dyDescent="0.3">
      <c r="A2260" s="23" t="s">
        <v>5012</v>
      </c>
      <c r="B2260" s="38">
        <v>46276</v>
      </c>
      <c r="C2260" s="23" t="s">
        <v>5013</v>
      </c>
      <c r="D2260" s="23" t="s">
        <v>91</v>
      </c>
      <c r="E2260" s="23" t="s">
        <v>79</v>
      </c>
      <c r="F2260" s="23" t="s">
        <v>294</v>
      </c>
      <c r="G2260" s="23" t="s">
        <v>250</v>
      </c>
      <c r="H2260" s="39">
        <f t="shared" si="140"/>
        <v>1799</v>
      </c>
      <c r="I2260" s="23" t="str">
        <f t="shared" si="141"/>
        <v>Pune</v>
      </c>
      <c r="J2260" s="23">
        <f>COUNTIFS(pg_transaction_cleaned!$O:$O,A2260,pg_transaction_cleaned!$F:$F,"CAPTURE")</f>
        <v>1</v>
      </c>
      <c r="K2260" s="39">
        <f>SUMIFS(pg_transaction_cleaned!$H:$H,pg_transaction_cleaned!$O:$O,A2260,pg_transaction_cleaned!$F:$F,"CAPTURE")</f>
        <v>1799</v>
      </c>
      <c r="L2260" s="23">
        <f>COUNTIFS(pg_transaction_cleaned!$O:$O,A2260,pg_transaction_cleaned!$F:$F,"REFUND")</f>
        <v>0</v>
      </c>
      <c r="M2260" s="39">
        <f>SUMIFS(pg_transaction_cleaned!$H:$H,pg_transaction_cleaned!$O:$O,A2260,pg_transaction_cleaned!$F:$F,"REFUND")</f>
        <v>0</v>
      </c>
      <c r="N2260" s="23" t="str">
        <f t="shared" si="142"/>
        <v>OK</v>
      </c>
      <c r="O2260" s="24">
        <f t="shared" si="143"/>
        <v>0</v>
      </c>
    </row>
    <row r="2261" spans="1:15" ht="15" customHeight="1" x14ac:dyDescent="0.3">
      <c r="A2261" s="23" t="s">
        <v>5014</v>
      </c>
      <c r="B2261" s="38">
        <v>46280</v>
      </c>
      <c r="C2261" s="23" t="s">
        <v>5015</v>
      </c>
      <c r="D2261" s="23" t="s">
        <v>94</v>
      </c>
      <c r="E2261" s="23" t="s">
        <v>75</v>
      </c>
      <c r="F2261" s="23" t="s">
        <v>598</v>
      </c>
      <c r="G2261" s="23" t="s">
        <v>250</v>
      </c>
      <c r="H2261" s="39">
        <f t="shared" si="140"/>
        <v>5598</v>
      </c>
      <c r="I2261" s="23" t="str">
        <f t="shared" si="141"/>
        <v>Chennai</v>
      </c>
      <c r="J2261" s="23">
        <f>COUNTIFS(pg_transaction_cleaned!$O:$O,A2261,pg_transaction_cleaned!$F:$F,"CAPTURE")</f>
        <v>1</v>
      </c>
      <c r="K2261" s="39">
        <f>SUMIFS(pg_transaction_cleaned!$H:$H,pg_transaction_cleaned!$O:$O,A2261,pg_transaction_cleaned!$F:$F,"CAPTURE")</f>
        <v>5598</v>
      </c>
      <c r="L2261" s="23">
        <f>COUNTIFS(pg_transaction_cleaned!$O:$O,A2261,pg_transaction_cleaned!$F:$F,"REFUND")</f>
        <v>0</v>
      </c>
      <c r="M2261" s="39">
        <f>SUMIFS(pg_transaction_cleaned!$H:$H,pg_transaction_cleaned!$O:$O,A2261,pg_transaction_cleaned!$F:$F,"REFUND")</f>
        <v>0</v>
      </c>
      <c r="N2261" s="23" t="str">
        <f t="shared" si="142"/>
        <v>OK</v>
      </c>
      <c r="O2261" s="24">
        <f t="shared" si="143"/>
        <v>0</v>
      </c>
    </row>
    <row r="2262" spans="1:15" ht="15" customHeight="1" x14ac:dyDescent="0.3">
      <c r="A2262" s="23" t="s">
        <v>5016</v>
      </c>
      <c r="B2262" s="38">
        <v>46293</v>
      </c>
      <c r="C2262" s="23" t="s">
        <v>5017</v>
      </c>
      <c r="D2262" s="23" t="s">
        <v>94</v>
      </c>
      <c r="E2262" s="23" t="s">
        <v>79</v>
      </c>
      <c r="F2262" s="23" t="s">
        <v>795</v>
      </c>
      <c r="G2262" s="23" t="s">
        <v>250</v>
      </c>
      <c r="H2262" s="39">
        <f t="shared" si="140"/>
        <v>1499</v>
      </c>
      <c r="I2262" s="23" t="str">
        <f t="shared" si="141"/>
        <v>Chennai</v>
      </c>
      <c r="J2262" s="23">
        <f>COUNTIFS(pg_transaction_cleaned!$O:$O,A2262,pg_transaction_cleaned!$F:$F,"CAPTURE")</f>
        <v>1</v>
      </c>
      <c r="K2262" s="39">
        <f>SUMIFS(pg_transaction_cleaned!$H:$H,pg_transaction_cleaned!$O:$O,A2262,pg_transaction_cleaned!$F:$F,"CAPTURE")</f>
        <v>1499</v>
      </c>
      <c r="L2262" s="23">
        <f>COUNTIFS(pg_transaction_cleaned!$O:$O,A2262,pg_transaction_cleaned!$F:$F,"REFUND")</f>
        <v>0</v>
      </c>
      <c r="M2262" s="39">
        <f>SUMIFS(pg_transaction_cleaned!$H:$H,pg_transaction_cleaned!$O:$O,A2262,pg_transaction_cleaned!$F:$F,"REFUND")</f>
        <v>0</v>
      </c>
      <c r="N2262" s="23" t="str">
        <f t="shared" si="142"/>
        <v>OK</v>
      </c>
      <c r="O2262" s="24">
        <f t="shared" si="143"/>
        <v>0</v>
      </c>
    </row>
    <row r="2263" spans="1:15" ht="15" customHeight="1" x14ac:dyDescent="0.3">
      <c r="A2263" s="23" t="s">
        <v>5018</v>
      </c>
      <c r="B2263" s="38">
        <v>46292</v>
      </c>
      <c r="C2263" s="23" t="s">
        <v>5019</v>
      </c>
      <c r="D2263" s="23" t="s">
        <v>90</v>
      </c>
      <c r="E2263" s="23" t="s">
        <v>75</v>
      </c>
      <c r="F2263" s="23" t="s">
        <v>259</v>
      </c>
      <c r="G2263" s="23" t="s">
        <v>250</v>
      </c>
      <c r="H2263" s="39">
        <f t="shared" si="140"/>
        <v>3298</v>
      </c>
      <c r="I2263" s="23" t="str">
        <f t="shared" si="141"/>
        <v>Ahmedabad</v>
      </c>
      <c r="J2263" s="23">
        <f>COUNTIFS(pg_transaction_cleaned!$O:$O,A2263,pg_transaction_cleaned!$F:$F,"CAPTURE")</f>
        <v>1</v>
      </c>
      <c r="K2263" s="39">
        <f>SUMIFS(pg_transaction_cleaned!$H:$H,pg_transaction_cleaned!$O:$O,A2263,pg_transaction_cleaned!$F:$F,"CAPTURE")</f>
        <v>3298</v>
      </c>
      <c r="L2263" s="23">
        <f>COUNTIFS(pg_transaction_cleaned!$O:$O,A2263,pg_transaction_cleaned!$F:$F,"REFUND")</f>
        <v>0</v>
      </c>
      <c r="M2263" s="39">
        <f>SUMIFS(pg_transaction_cleaned!$H:$H,pg_transaction_cleaned!$O:$O,A2263,pg_transaction_cleaned!$F:$F,"REFUND")</f>
        <v>0</v>
      </c>
      <c r="N2263" s="23" t="str">
        <f t="shared" si="142"/>
        <v>OK</v>
      </c>
      <c r="O2263" s="24">
        <f t="shared" si="143"/>
        <v>0</v>
      </c>
    </row>
    <row r="2264" spans="1:15" ht="15" customHeight="1" x14ac:dyDescent="0.3">
      <c r="A2264" s="23" t="s">
        <v>5020</v>
      </c>
      <c r="B2264" s="38">
        <v>46276</v>
      </c>
      <c r="C2264" s="23" t="s">
        <v>5021</v>
      </c>
      <c r="D2264" s="23" t="s">
        <v>88</v>
      </c>
      <c r="E2264" s="23" t="s">
        <v>79</v>
      </c>
      <c r="F2264" s="23" t="s">
        <v>4551</v>
      </c>
      <c r="G2264" s="23" t="s">
        <v>250</v>
      </c>
      <c r="H2264" s="39">
        <f t="shared" si="140"/>
        <v>2398</v>
      </c>
      <c r="I2264" s="23" t="str">
        <f t="shared" si="141"/>
        <v>Lucknow</v>
      </c>
      <c r="J2264" s="23">
        <f>COUNTIFS(pg_transaction_cleaned!$O:$O,A2264,pg_transaction_cleaned!$F:$F,"CAPTURE")</f>
        <v>1</v>
      </c>
      <c r="K2264" s="39">
        <f>SUMIFS(pg_transaction_cleaned!$H:$H,pg_transaction_cleaned!$O:$O,A2264,pg_transaction_cleaned!$F:$F,"CAPTURE")</f>
        <v>2398</v>
      </c>
      <c r="L2264" s="23">
        <f>COUNTIFS(pg_transaction_cleaned!$O:$O,A2264,pg_transaction_cleaned!$F:$F,"REFUND")</f>
        <v>0</v>
      </c>
      <c r="M2264" s="39">
        <f>SUMIFS(pg_transaction_cleaned!$H:$H,pg_transaction_cleaned!$O:$O,A2264,pg_transaction_cleaned!$F:$F,"REFUND")</f>
        <v>0</v>
      </c>
      <c r="N2264" s="23" t="str">
        <f t="shared" si="142"/>
        <v>OK</v>
      </c>
      <c r="O2264" s="24">
        <f t="shared" si="143"/>
        <v>0</v>
      </c>
    </row>
    <row r="2265" spans="1:15" ht="15" customHeight="1" x14ac:dyDescent="0.3">
      <c r="A2265" s="23" t="s">
        <v>5022</v>
      </c>
      <c r="B2265" s="38">
        <v>46269</v>
      </c>
      <c r="C2265" s="23" t="s">
        <v>5023</v>
      </c>
      <c r="D2265" s="23" t="s">
        <v>89</v>
      </c>
      <c r="E2265" s="23" t="s">
        <v>77</v>
      </c>
      <c r="F2265" s="23" t="s">
        <v>291</v>
      </c>
      <c r="G2265" s="23" t="s">
        <v>250</v>
      </c>
      <c r="H2265" s="39">
        <f t="shared" si="140"/>
        <v>3499</v>
      </c>
      <c r="I2265" s="23" t="str">
        <f t="shared" si="141"/>
        <v>Jaipur</v>
      </c>
      <c r="J2265" s="23">
        <f>COUNTIFS(pg_transaction_cleaned!$O:$O,A2265,pg_transaction_cleaned!$F:$F,"CAPTURE")</f>
        <v>1</v>
      </c>
      <c r="K2265" s="39">
        <f>SUMIFS(pg_transaction_cleaned!$H:$H,pg_transaction_cleaned!$O:$O,A2265,pg_transaction_cleaned!$F:$F,"CAPTURE")</f>
        <v>3499</v>
      </c>
      <c r="L2265" s="23">
        <f>COUNTIFS(pg_transaction_cleaned!$O:$O,A2265,pg_transaction_cleaned!$F:$F,"REFUND")</f>
        <v>0</v>
      </c>
      <c r="M2265" s="39">
        <f>SUMIFS(pg_transaction_cleaned!$H:$H,pg_transaction_cleaned!$O:$O,A2265,pg_transaction_cleaned!$F:$F,"REFUND")</f>
        <v>0</v>
      </c>
      <c r="N2265" s="23" t="str">
        <f t="shared" si="142"/>
        <v>OK</v>
      </c>
      <c r="O2265" s="24">
        <f t="shared" si="143"/>
        <v>0</v>
      </c>
    </row>
    <row r="2266" spans="1:15" ht="15" customHeight="1" x14ac:dyDescent="0.3">
      <c r="A2266" s="23" t="s">
        <v>5024</v>
      </c>
      <c r="B2266" s="38">
        <v>46275</v>
      </c>
      <c r="C2266" s="23" t="s">
        <v>5025</v>
      </c>
      <c r="D2266" s="23" t="s">
        <v>92</v>
      </c>
      <c r="E2266" s="23" t="s">
        <v>79</v>
      </c>
      <c r="F2266" s="23" t="s">
        <v>297</v>
      </c>
      <c r="G2266" s="23" t="s">
        <v>250</v>
      </c>
      <c r="H2266" s="39">
        <f t="shared" si="140"/>
        <v>4999</v>
      </c>
      <c r="I2266" s="23" t="str">
        <f t="shared" si="141"/>
        <v>Hyderabad</v>
      </c>
      <c r="J2266" s="23">
        <f>COUNTIFS(pg_transaction_cleaned!$O:$O,A2266,pg_transaction_cleaned!$F:$F,"CAPTURE")</f>
        <v>1</v>
      </c>
      <c r="K2266" s="39">
        <f>SUMIFS(pg_transaction_cleaned!$H:$H,pg_transaction_cleaned!$O:$O,A2266,pg_transaction_cleaned!$F:$F,"CAPTURE")</f>
        <v>4999</v>
      </c>
      <c r="L2266" s="23">
        <f>COUNTIFS(pg_transaction_cleaned!$O:$O,A2266,pg_transaction_cleaned!$F:$F,"REFUND")</f>
        <v>0</v>
      </c>
      <c r="M2266" s="39">
        <f>SUMIFS(pg_transaction_cleaned!$H:$H,pg_transaction_cleaned!$O:$O,A2266,pg_transaction_cleaned!$F:$F,"REFUND")</f>
        <v>0</v>
      </c>
      <c r="N2266" s="23" t="str">
        <f t="shared" si="142"/>
        <v>OK</v>
      </c>
      <c r="O2266" s="24">
        <f t="shared" si="143"/>
        <v>0</v>
      </c>
    </row>
    <row r="2267" spans="1:15" ht="15" customHeight="1" x14ac:dyDescent="0.3">
      <c r="A2267" s="23" t="s">
        <v>5026</v>
      </c>
      <c r="B2267" s="38">
        <v>46274</v>
      </c>
      <c r="C2267" s="23" t="s">
        <v>5027</v>
      </c>
      <c r="D2267" s="23" t="s">
        <v>93</v>
      </c>
      <c r="E2267" s="23" t="s">
        <v>75</v>
      </c>
      <c r="F2267" s="23" t="s">
        <v>262</v>
      </c>
      <c r="G2267" s="23" t="s">
        <v>250</v>
      </c>
      <c r="H2267" s="39">
        <f t="shared" si="140"/>
        <v>499</v>
      </c>
      <c r="I2267" s="23" t="str">
        <f t="shared" si="141"/>
        <v>Kolkata</v>
      </c>
      <c r="J2267" s="23">
        <f>COUNTIFS(pg_transaction_cleaned!$O:$O,A2267,pg_transaction_cleaned!$F:$F,"CAPTURE")</f>
        <v>1</v>
      </c>
      <c r="K2267" s="39">
        <f>SUMIFS(pg_transaction_cleaned!$H:$H,pg_transaction_cleaned!$O:$O,A2267,pg_transaction_cleaned!$F:$F,"CAPTURE")</f>
        <v>499</v>
      </c>
      <c r="L2267" s="23">
        <f>COUNTIFS(pg_transaction_cleaned!$O:$O,A2267,pg_transaction_cleaned!$F:$F,"REFUND")</f>
        <v>0</v>
      </c>
      <c r="M2267" s="39">
        <f>SUMIFS(pg_transaction_cleaned!$H:$H,pg_transaction_cleaned!$O:$O,A2267,pg_transaction_cleaned!$F:$F,"REFUND")</f>
        <v>0</v>
      </c>
      <c r="N2267" s="23" t="str">
        <f t="shared" si="142"/>
        <v>OK</v>
      </c>
      <c r="O2267" s="24">
        <f t="shared" si="143"/>
        <v>0</v>
      </c>
    </row>
    <row r="2268" spans="1:15" ht="15" customHeight="1" x14ac:dyDescent="0.3">
      <c r="A2268" s="23" t="s">
        <v>5028</v>
      </c>
      <c r="B2268" s="38">
        <v>46268</v>
      </c>
      <c r="C2268" s="23" t="s">
        <v>5029</v>
      </c>
      <c r="D2268" s="23" t="s">
        <v>93</v>
      </c>
      <c r="E2268" s="23" t="s">
        <v>77</v>
      </c>
      <c r="F2268" s="23" t="s">
        <v>315</v>
      </c>
      <c r="G2268" s="23" t="s">
        <v>250</v>
      </c>
      <c r="H2268" s="39">
        <f t="shared" si="140"/>
        <v>1499</v>
      </c>
      <c r="I2268" s="23" t="str">
        <f t="shared" si="141"/>
        <v>Kolkata</v>
      </c>
      <c r="J2268" s="23">
        <f>COUNTIFS(pg_transaction_cleaned!$O:$O,A2268,pg_transaction_cleaned!$F:$F,"CAPTURE")</f>
        <v>1</v>
      </c>
      <c r="K2268" s="39">
        <f>SUMIFS(pg_transaction_cleaned!$H:$H,pg_transaction_cleaned!$O:$O,A2268,pg_transaction_cleaned!$F:$F,"CAPTURE")</f>
        <v>1499</v>
      </c>
      <c r="L2268" s="23">
        <f>COUNTIFS(pg_transaction_cleaned!$O:$O,A2268,pg_transaction_cleaned!$F:$F,"REFUND")</f>
        <v>0</v>
      </c>
      <c r="M2268" s="39">
        <f>SUMIFS(pg_transaction_cleaned!$H:$H,pg_transaction_cleaned!$O:$O,A2268,pg_transaction_cleaned!$F:$F,"REFUND")</f>
        <v>0</v>
      </c>
      <c r="N2268" s="23" t="str">
        <f t="shared" si="142"/>
        <v>OK</v>
      </c>
      <c r="O2268" s="24">
        <f t="shared" si="143"/>
        <v>0</v>
      </c>
    </row>
    <row r="2269" spans="1:15" ht="15" customHeight="1" x14ac:dyDescent="0.3">
      <c r="A2269" s="23" t="s">
        <v>5030</v>
      </c>
      <c r="B2269" s="38">
        <v>46283</v>
      </c>
      <c r="C2269" s="23" t="s">
        <v>5031</v>
      </c>
      <c r="D2269" s="23" t="s">
        <v>90</v>
      </c>
      <c r="E2269" s="23" t="s">
        <v>75</v>
      </c>
      <c r="F2269" s="23" t="s">
        <v>271</v>
      </c>
      <c r="G2269" s="23" t="s">
        <v>250</v>
      </c>
      <c r="H2269" s="39">
        <f t="shared" si="140"/>
        <v>2499</v>
      </c>
      <c r="I2269" s="23" t="str">
        <f t="shared" si="141"/>
        <v>Ahmedabad</v>
      </c>
      <c r="J2269" s="23">
        <f>COUNTIFS(pg_transaction_cleaned!$O:$O,A2269,pg_transaction_cleaned!$F:$F,"CAPTURE")</f>
        <v>1</v>
      </c>
      <c r="K2269" s="39">
        <f>SUMIFS(pg_transaction_cleaned!$H:$H,pg_transaction_cleaned!$O:$O,A2269,pg_transaction_cleaned!$F:$F,"CAPTURE")</f>
        <v>2499</v>
      </c>
      <c r="L2269" s="23">
        <f>COUNTIFS(pg_transaction_cleaned!$O:$O,A2269,pg_transaction_cleaned!$F:$F,"REFUND")</f>
        <v>0</v>
      </c>
      <c r="M2269" s="39">
        <f>SUMIFS(pg_transaction_cleaned!$H:$H,pg_transaction_cleaned!$O:$O,A2269,pg_transaction_cleaned!$F:$F,"REFUND")</f>
        <v>0</v>
      </c>
      <c r="N2269" s="23" t="str">
        <f t="shared" si="142"/>
        <v>OK</v>
      </c>
      <c r="O2269" s="24">
        <f t="shared" si="143"/>
        <v>0</v>
      </c>
    </row>
    <row r="2270" spans="1:15" ht="15" customHeight="1" x14ac:dyDescent="0.3">
      <c r="A2270" s="23" t="s">
        <v>5032</v>
      </c>
      <c r="B2270" s="38">
        <v>46274</v>
      </c>
      <c r="C2270" s="23" t="s">
        <v>5033</v>
      </c>
      <c r="D2270" s="23" t="s">
        <v>86</v>
      </c>
      <c r="E2270" s="23" t="s">
        <v>75</v>
      </c>
      <c r="F2270" s="23" t="s">
        <v>291</v>
      </c>
      <c r="G2270" s="23" t="s">
        <v>250</v>
      </c>
      <c r="H2270" s="39">
        <f t="shared" si="140"/>
        <v>3499</v>
      </c>
      <c r="I2270" s="23" t="str">
        <f t="shared" si="141"/>
        <v>Delhi</v>
      </c>
      <c r="J2270" s="23">
        <f>COUNTIFS(pg_transaction_cleaned!$O:$O,A2270,pg_transaction_cleaned!$F:$F,"CAPTURE")</f>
        <v>1</v>
      </c>
      <c r="K2270" s="39">
        <f>SUMIFS(pg_transaction_cleaned!$H:$H,pg_transaction_cleaned!$O:$O,A2270,pg_transaction_cleaned!$F:$F,"CAPTURE")</f>
        <v>3499</v>
      </c>
      <c r="L2270" s="23">
        <f>COUNTIFS(pg_transaction_cleaned!$O:$O,A2270,pg_transaction_cleaned!$F:$F,"REFUND")</f>
        <v>0</v>
      </c>
      <c r="M2270" s="39">
        <f>SUMIFS(pg_transaction_cleaned!$H:$H,pg_transaction_cleaned!$O:$O,A2270,pg_transaction_cleaned!$F:$F,"REFUND")</f>
        <v>0</v>
      </c>
      <c r="N2270" s="23" t="str">
        <f t="shared" si="142"/>
        <v>OK</v>
      </c>
      <c r="O2270" s="24">
        <f t="shared" si="143"/>
        <v>0</v>
      </c>
    </row>
    <row r="2271" spans="1:15" ht="15" customHeight="1" x14ac:dyDescent="0.3">
      <c r="A2271" s="23" t="s">
        <v>5034</v>
      </c>
      <c r="B2271" s="38">
        <v>46276</v>
      </c>
      <c r="C2271" s="23" t="s">
        <v>5035</v>
      </c>
      <c r="D2271" s="23" t="s">
        <v>94</v>
      </c>
      <c r="E2271" s="23" t="s">
        <v>75</v>
      </c>
      <c r="F2271" s="23" t="s">
        <v>393</v>
      </c>
      <c r="G2271" s="23" t="s">
        <v>250</v>
      </c>
      <c r="H2271" s="39">
        <f t="shared" si="140"/>
        <v>349</v>
      </c>
      <c r="I2271" s="23" t="str">
        <f t="shared" si="141"/>
        <v>Chennai</v>
      </c>
      <c r="J2271" s="23">
        <f>COUNTIFS(pg_transaction_cleaned!$O:$O,A2271,pg_transaction_cleaned!$F:$F,"CAPTURE")</f>
        <v>1</v>
      </c>
      <c r="K2271" s="39">
        <f>SUMIFS(pg_transaction_cleaned!$H:$H,pg_transaction_cleaned!$O:$O,A2271,pg_transaction_cleaned!$F:$F,"CAPTURE")</f>
        <v>349</v>
      </c>
      <c r="L2271" s="23">
        <f>COUNTIFS(pg_transaction_cleaned!$O:$O,A2271,pg_transaction_cleaned!$F:$F,"REFUND")</f>
        <v>0</v>
      </c>
      <c r="M2271" s="39">
        <f>SUMIFS(pg_transaction_cleaned!$H:$H,pg_transaction_cleaned!$O:$O,A2271,pg_transaction_cleaned!$F:$F,"REFUND")</f>
        <v>0</v>
      </c>
      <c r="N2271" s="23" t="str">
        <f t="shared" si="142"/>
        <v>OK</v>
      </c>
      <c r="O2271" s="24">
        <f t="shared" si="143"/>
        <v>0</v>
      </c>
    </row>
    <row r="2272" spans="1:15" ht="15" customHeight="1" x14ac:dyDescent="0.3">
      <c r="A2272" s="23" t="s">
        <v>5036</v>
      </c>
      <c r="B2272" s="38">
        <v>46270</v>
      </c>
      <c r="C2272" s="23" t="s">
        <v>5037</v>
      </c>
      <c r="D2272" s="23" t="s">
        <v>93</v>
      </c>
      <c r="E2272" s="23" t="s">
        <v>79</v>
      </c>
      <c r="F2272" s="23" t="s">
        <v>310</v>
      </c>
      <c r="G2272" s="23" t="s">
        <v>250</v>
      </c>
      <c r="H2272" s="39">
        <f t="shared" si="140"/>
        <v>7999</v>
      </c>
      <c r="I2272" s="23" t="str">
        <f t="shared" si="141"/>
        <v>Kolkata</v>
      </c>
      <c r="J2272" s="23">
        <f>COUNTIFS(pg_transaction_cleaned!$O:$O,A2272,pg_transaction_cleaned!$F:$F,"CAPTURE")</f>
        <v>1</v>
      </c>
      <c r="K2272" s="39">
        <f>SUMIFS(pg_transaction_cleaned!$H:$H,pg_transaction_cleaned!$O:$O,A2272,pg_transaction_cleaned!$F:$F,"CAPTURE")</f>
        <v>7999</v>
      </c>
      <c r="L2272" s="23">
        <f>COUNTIFS(pg_transaction_cleaned!$O:$O,A2272,pg_transaction_cleaned!$F:$F,"REFUND")</f>
        <v>0</v>
      </c>
      <c r="M2272" s="39">
        <f>SUMIFS(pg_transaction_cleaned!$H:$H,pg_transaction_cleaned!$O:$O,A2272,pg_transaction_cleaned!$F:$F,"REFUND")</f>
        <v>0</v>
      </c>
      <c r="N2272" s="23" t="str">
        <f t="shared" si="142"/>
        <v>OK</v>
      </c>
      <c r="O2272" s="24">
        <f t="shared" si="143"/>
        <v>0</v>
      </c>
    </row>
    <row r="2273" spans="1:15" ht="15" customHeight="1" x14ac:dyDescent="0.3">
      <c r="A2273" s="23" t="s">
        <v>5038</v>
      </c>
      <c r="B2273" s="38">
        <v>46286</v>
      </c>
      <c r="C2273" s="23" t="s">
        <v>5039</v>
      </c>
      <c r="D2273" s="23" t="s">
        <v>92</v>
      </c>
      <c r="E2273" s="23" t="s">
        <v>79</v>
      </c>
      <c r="F2273" s="23" t="s">
        <v>268</v>
      </c>
      <c r="G2273" s="23" t="s">
        <v>250</v>
      </c>
      <c r="H2273" s="39">
        <f t="shared" si="140"/>
        <v>1299</v>
      </c>
      <c r="I2273" s="23" t="str">
        <f t="shared" si="141"/>
        <v>Hyderabad</v>
      </c>
      <c r="J2273" s="23">
        <f>COUNTIFS(pg_transaction_cleaned!$O:$O,A2273,pg_transaction_cleaned!$F:$F,"CAPTURE")</f>
        <v>1</v>
      </c>
      <c r="K2273" s="39">
        <f>SUMIFS(pg_transaction_cleaned!$H:$H,pg_transaction_cleaned!$O:$O,A2273,pg_transaction_cleaned!$F:$F,"CAPTURE")</f>
        <v>1299</v>
      </c>
      <c r="L2273" s="23">
        <f>COUNTIFS(pg_transaction_cleaned!$O:$O,A2273,pg_transaction_cleaned!$F:$F,"REFUND")</f>
        <v>0</v>
      </c>
      <c r="M2273" s="39">
        <f>SUMIFS(pg_transaction_cleaned!$H:$H,pg_transaction_cleaned!$O:$O,A2273,pg_transaction_cleaned!$F:$F,"REFUND")</f>
        <v>0</v>
      </c>
      <c r="N2273" s="23" t="str">
        <f t="shared" si="142"/>
        <v>OK</v>
      </c>
      <c r="O2273" s="24">
        <f t="shared" si="143"/>
        <v>0</v>
      </c>
    </row>
    <row r="2274" spans="1:15" ht="15" customHeight="1" x14ac:dyDescent="0.3">
      <c r="A2274" s="23" t="s">
        <v>5040</v>
      </c>
      <c r="B2274" s="38">
        <v>46276</v>
      </c>
      <c r="C2274" s="23" t="s">
        <v>5041</v>
      </c>
      <c r="D2274" s="23" t="s">
        <v>90</v>
      </c>
      <c r="E2274" s="23" t="s">
        <v>75</v>
      </c>
      <c r="F2274" s="23" t="s">
        <v>1495</v>
      </c>
      <c r="G2274" s="23" t="s">
        <v>250</v>
      </c>
      <c r="H2274" s="39">
        <f t="shared" si="140"/>
        <v>7498</v>
      </c>
      <c r="I2274" s="23" t="str">
        <f t="shared" si="141"/>
        <v>Ahmedabad</v>
      </c>
      <c r="J2274" s="23">
        <f>COUNTIFS(pg_transaction_cleaned!$O:$O,A2274,pg_transaction_cleaned!$F:$F,"CAPTURE")</f>
        <v>1</v>
      </c>
      <c r="K2274" s="39">
        <f>SUMIFS(pg_transaction_cleaned!$H:$H,pg_transaction_cleaned!$O:$O,A2274,pg_transaction_cleaned!$F:$F,"CAPTURE")</f>
        <v>7498</v>
      </c>
      <c r="L2274" s="23">
        <f>COUNTIFS(pg_transaction_cleaned!$O:$O,A2274,pg_transaction_cleaned!$F:$F,"REFUND")</f>
        <v>0</v>
      </c>
      <c r="M2274" s="39">
        <f>SUMIFS(pg_transaction_cleaned!$H:$H,pg_transaction_cleaned!$O:$O,A2274,pg_transaction_cleaned!$F:$F,"REFUND")</f>
        <v>0</v>
      </c>
      <c r="N2274" s="23" t="str">
        <f t="shared" si="142"/>
        <v>OK</v>
      </c>
      <c r="O2274" s="24">
        <f t="shared" si="143"/>
        <v>0</v>
      </c>
    </row>
    <row r="2275" spans="1:15" ht="15" customHeight="1" x14ac:dyDescent="0.3">
      <c r="A2275" s="23" t="s">
        <v>5042</v>
      </c>
      <c r="B2275" s="38">
        <v>46268</v>
      </c>
      <c r="C2275" s="23" t="s">
        <v>5043</v>
      </c>
      <c r="D2275" s="23" t="s">
        <v>91</v>
      </c>
      <c r="E2275" s="23" t="s">
        <v>75</v>
      </c>
      <c r="F2275" s="23" t="s">
        <v>1520</v>
      </c>
      <c r="G2275" s="23" t="s">
        <v>250</v>
      </c>
      <c r="H2275" s="39">
        <f t="shared" si="140"/>
        <v>499</v>
      </c>
      <c r="I2275" s="23" t="str">
        <f t="shared" si="141"/>
        <v>Pune</v>
      </c>
      <c r="J2275" s="23">
        <f>COUNTIFS(pg_transaction_cleaned!$O:$O,A2275,pg_transaction_cleaned!$F:$F,"CAPTURE")</f>
        <v>1</v>
      </c>
      <c r="K2275" s="39">
        <f>SUMIFS(pg_transaction_cleaned!$H:$H,pg_transaction_cleaned!$O:$O,A2275,pg_transaction_cleaned!$F:$F,"CAPTURE")</f>
        <v>499</v>
      </c>
      <c r="L2275" s="23">
        <f>COUNTIFS(pg_transaction_cleaned!$O:$O,A2275,pg_transaction_cleaned!$F:$F,"REFUND")</f>
        <v>0</v>
      </c>
      <c r="M2275" s="39">
        <f>SUMIFS(pg_transaction_cleaned!$H:$H,pg_transaction_cleaned!$O:$O,A2275,pg_transaction_cleaned!$F:$F,"REFUND")</f>
        <v>0</v>
      </c>
      <c r="N2275" s="23" t="str">
        <f t="shared" si="142"/>
        <v>OK</v>
      </c>
      <c r="O2275" s="24">
        <f t="shared" si="143"/>
        <v>0</v>
      </c>
    </row>
    <row r="2276" spans="1:15" ht="15" customHeight="1" x14ac:dyDescent="0.3">
      <c r="A2276" s="23" t="s">
        <v>5044</v>
      </c>
      <c r="B2276" s="38">
        <v>46290</v>
      </c>
      <c r="C2276" s="23" t="s">
        <v>5045</v>
      </c>
      <c r="D2276" s="23" t="s">
        <v>90</v>
      </c>
      <c r="E2276" s="23" t="s">
        <v>75</v>
      </c>
      <c r="F2276" s="23" t="s">
        <v>265</v>
      </c>
      <c r="G2276" s="23" t="s">
        <v>250</v>
      </c>
      <c r="H2276" s="39">
        <f t="shared" si="140"/>
        <v>999</v>
      </c>
      <c r="I2276" s="23" t="str">
        <f t="shared" si="141"/>
        <v>Ahmedabad</v>
      </c>
      <c r="J2276" s="23">
        <f>COUNTIFS(pg_transaction_cleaned!$O:$O,A2276,pg_transaction_cleaned!$F:$F,"CAPTURE")</f>
        <v>1</v>
      </c>
      <c r="K2276" s="39">
        <f>SUMIFS(pg_transaction_cleaned!$H:$H,pg_transaction_cleaned!$O:$O,A2276,pg_transaction_cleaned!$F:$F,"CAPTURE")</f>
        <v>999</v>
      </c>
      <c r="L2276" s="23">
        <f>COUNTIFS(pg_transaction_cleaned!$O:$O,A2276,pg_transaction_cleaned!$F:$F,"REFUND")</f>
        <v>0</v>
      </c>
      <c r="M2276" s="39">
        <f>SUMIFS(pg_transaction_cleaned!$H:$H,pg_transaction_cleaned!$O:$O,A2276,pg_transaction_cleaned!$F:$F,"REFUND")</f>
        <v>0</v>
      </c>
      <c r="N2276" s="23" t="str">
        <f t="shared" si="142"/>
        <v>OK</v>
      </c>
      <c r="O2276" s="24">
        <f t="shared" si="143"/>
        <v>0</v>
      </c>
    </row>
    <row r="2277" spans="1:15" ht="15" customHeight="1" x14ac:dyDescent="0.3">
      <c r="A2277" s="23" t="s">
        <v>5046</v>
      </c>
      <c r="B2277" s="38">
        <v>46278</v>
      </c>
      <c r="C2277" s="23" t="s">
        <v>5047</v>
      </c>
      <c r="D2277" s="23" t="s">
        <v>89</v>
      </c>
      <c r="E2277" s="23" t="s">
        <v>79</v>
      </c>
      <c r="F2277" s="23" t="s">
        <v>256</v>
      </c>
      <c r="G2277" s="23" t="s">
        <v>250</v>
      </c>
      <c r="H2277" s="39">
        <f t="shared" si="140"/>
        <v>2098</v>
      </c>
      <c r="I2277" s="23" t="str">
        <f t="shared" si="141"/>
        <v>Jaipur</v>
      </c>
      <c r="J2277" s="23">
        <f>COUNTIFS(pg_transaction_cleaned!$O:$O,A2277,pg_transaction_cleaned!$F:$F,"CAPTURE")</f>
        <v>1</v>
      </c>
      <c r="K2277" s="39">
        <f>SUMIFS(pg_transaction_cleaned!$H:$H,pg_transaction_cleaned!$O:$O,A2277,pg_transaction_cleaned!$F:$F,"CAPTURE")</f>
        <v>2098</v>
      </c>
      <c r="L2277" s="23">
        <f>COUNTIFS(pg_transaction_cleaned!$O:$O,A2277,pg_transaction_cleaned!$F:$F,"REFUND")</f>
        <v>0</v>
      </c>
      <c r="M2277" s="39">
        <f>SUMIFS(pg_transaction_cleaned!$H:$H,pg_transaction_cleaned!$O:$O,A2277,pg_transaction_cleaned!$F:$F,"REFUND")</f>
        <v>0</v>
      </c>
      <c r="N2277" s="23" t="str">
        <f t="shared" si="142"/>
        <v>OK</v>
      </c>
      <c r="O2277" s="24">
        <f t="shared" si="143"/>
        <v>0</v>
      </c>
    </row>
    <row r="2278" spans="1:15" ht="15" customHeight="1" x14ac:dyDescent="0.3">
      <c r="A2278" s="23" t="s">
        <v>5048</v>
      </c>
      <c r="B2278" s="38">
        <v>46292</v>
      </c>
      <c r="C2278" s="23" t="s">
        <v>5049</v>
      </c>
      <c r="D2278" s="23" t="s">
        <v>95</v>
      </c>
      <c r="E2278" s="23" t="s">
        <v>75</v>
      </c>
      <c r="F2278" s="23" t="s">
        <v>310</v>
      </c>
      <c r="G2278" s="23" t="s">
        <v>250</v>
      </c>
      <c r="H2278" s="39">
        <f t="shared" si="140"/>
        <v>7999</v>
      </c>
      <c r="I2278" s="23" t="str">
        <f t="shared" si="141"/>
        <v>Bengaluru</v>
      </c>
      <c r="J2278" s="23">
        <f>COUNTIFS(pg_transaction_cleaned!$O:$O,A2278,pg_transaction_cleaned!$F:$F,"CAPTURE")</f>
        <v>1</v>
      </c>
      <c r="K2278" s="39">
        <f>SUMIFS(pg_transaction_cleaned!$H:$H,pg_transaction_cleaned!$O:$O,A2278,pg_transaction_cleaned!$F:$F,"CAPTURE")</f>
        <v>7999</v>
      </c>
      <c r="L2278" s="23">
        <f>COUNTIFS(pg_transaction_cleaned!$O:$O,A2278,pg_transaction_cleaned!$F:$F,"REFUND")</f>
        <v>0</v>
      </c>
      <c r="M2278" s="39">
        <f>SUMIFS(pg_transaction_cleaned!$H:$H,pg_transaction_cleaned!$O:$O,A2278,pg_transaction_cleaned!$F:$F,"REFUND")</f>
        <v>0</v>
      </c>
      <c r="N2278" s="23" t="str">
        <f t="shared" si="142"/>
        <v>OK</v>
      </c>
      <c r="O2278" s="24">
        <f t="shared" si="143"/>
        <v>0</v>
      </c>
    </row>
    <row r="2279" spans="1:15" ht="15" customHeight="1" x14ac:dyDescent="0.3">
      <c r="A2279" s="23" t="s">
        <v>5050</v>
      </c>
      <c r="B2279" s="38">
        <v>46273</v>
      </c>
      <c r="C2279" s="23" t="s">
        <v>5051</v>
      </c>
      <c r="D2279" s="23" t="s">
        <v>95</v>
      </c>
      <c r="E2279" s="23" t="s">
        <v>75</v>
      </c>
      <c r="F2279" s="23" t="s">
        <v>396</v>
      </c>
      <c r="G2279" s="23" t="s">
        <v>250</v>
      </c>
      <c r="H2279" s="39">
        <f t="shared" si="140"/>
        <v>2999</v>
      </c>
      <c r="I2279" s="23" t="str">
        <f t="shared" si="141"/>
        <v>Bengaluru</v>
      </c>
      <c r="J2279" s="23">
        <f>COUNTIFS(pg_transaction_cleaned!$O:$O,A2279,pg_transaction_cleaned!$F:$F,"CAPTURE")</f>
        <v>1</v>
      </c>
      <c r="K2279" s="39">
        <f>SUMIFS(pg_transaction_cleaned!$H:$H,pg_transaction_cleaned!$O:$O,A2279,pg_transaction_cleaned!$F:$F,"CAPTURE")</f>
        <v>2999</v>
      </c>
      <c r="L2279" s="23">
        <f>COUNTIFS(pg_transaction_cleaned!$O:$O,A2279,pg_transaction_cleaned!$F:$F,"REFUND")</f>
        <v>0</v>
      </c>
      <c r="M2279" s="39">
        <f>SUMIFS(pg_transaction_cleaned!$H:$H,pg_transaction_cleaned!$O:$O,A2279,pg_transaction_cleaned!$F:$F,"REFUND")</f>
        <v>0</v>
      </c>
      <c r="N2279" s="23" t="str">
        <f t="shared" si="142"/>
        <v>OK</v>
      </c>
      <c r="O2279" s="24">
        <f t="shared" si="143"/>
        <v>0</v>
      </c>
    </row>
    <row r="2280" spans="1:15" ht="15" customHeight="1" x14ac:dyDescent="0.3">
      <c r="A2280" s="23" t="s">
        <v>5052</v>
      </c>
      <c r="B2280" s="38">
        <v>46281</v>
      </c>
      <c r="C2280" s="23" t="s">
        <v>5053</v>
      </c>
      <c r="D2280" s="23" t="s">
        <v>86</v>
      </c>
      <c r="E2280" s="23" t="s">
        <v>75</v>
      </c>
      <c r="F2280" s="23" t="s">
        <v>249</v>
      </c>
      <c r="G2280" s="23" t="s">
        <v>250</v>
      </c>
      <c r="H2280" s="39">
        <f t="shared" si="140"/>
        <v>299</v>
      </c>
      <c r="I2280" s="23" t="str">
        <f t="shared" si="141"/>
        <v>Delhi</v>
      </c>
      <c r="J2280" s="23">
        <f>COUNTIFS(pg_transaction_cleaned!$O:$O,A2280,pg_transaction_cleaned!$F:$F,"CAPTURE")</f>
        <v>1</v>
      </c>
      <c r="K2280" s="39">
        <f>SUMIFS(pg_transaction_cleaned!$H:$H,pg_transaction_cleaned!$O:$O,A2280,pg_transaction_cleaned!$F:$F,"CAPTURE")</f>
        <v>299</v>
      </c>
      <c r="L2280" s="23">
        <f>COUNTIFS(pg_transaction_cleaned!$O:$O,A2280,pg_transaction_cleaned!$F:$F,"REFUND")</f>
        <v>0</v>
      </c>
      <c r="M2280" s="39">
        <f>SUMIFS(pg_transaction_cleaned!$H:$H,pg_transaction_cleaned!$O:$O,A2280,pg_transaction_cleaned!$F:$F,"REFUND")</f>
        <v>0</v>
      </c>
      <c r="N2280" s="23" t="str">
        <f t="shared" si="142"/>
        <v>OK</v>
      </c>
      <c r="O2280" s="24">
        <f t="shared" si="143"/>
        <v>0</v>
      </c>
    </row>
    <row r="2281" spans="1:15" ht="15" customHeight="1" x14ac:dyDescent="0.3">
      <c r="A2281" s="23" t="s">
        <v>5054</v>
      </c>
      <c r="B2281" s="38">
        <v>46282</v>
      </c>
      <c r="C2281" s="23" t="s">
        <v>3728</v>
      </c>
      <c r="D2281" s="23" t="s">
        <v>87</v>
      </c>
      <c r="E2281" s="23" t="s">
        <v>79</v>
      </c>
      <c r="F2281" s="23" t="s">
        <v>265</v>
      </c>
      <c r="G2281" s="23" t="s">
        <v>250</v>
      </c>
      <c r="H2281" s="39">
        <f t="shared" si="140"/>
        <v>999</v>
      </c>
      <c r="I2281" s="23" t="str">
        <f t="shared" si="141"/>
        <v>Mumbai</v>
      </c>
      <c r="J2281" s="23">
        <f>COUNTIFS(pg_transaction_cleaned!$O:$O,A2281,pg_transaction_cleaned!$F:$F,"CAPTURE")</f>
        <v>1</v>
      </c>
      <c r="K2281" s="39">
        <f>SUMIFS(pg_transaction_cleaned!$H:$H,pg_transaction_cleaned!$O:$O,A2281,pg_transaction_cleaned!$F:$F,"CAPTURE")</f>
        <v>999</v>
      </c>
      <c r="L2281" s="23">
        <f>COUNTIFS(pg_transaction_cleaned!$O:$O,A2281,pg_transaction_cleaned!$F:$F,"REFUND")</f>
        <v>0</v>
      </c>
      <c r="M2281" s="39">
        <f>SUMIFS(pg_transaction_cleaned!$H:$H,pg_transaction_cleaned!$O:$O,A2281,pg_transaction_cleaned!$F:$F,"REFUND")</f>
        <v>0</v>
      </c>
      <c r="N2281" s="23" t="str">
        <f t="shared" si="142"/>
        <v>OK</v>
      </c>
      <c r="O2281" s="24">
        <f t="shared" si="143"/>
        <v>0</v>
      </c>
    </row>
    <row r="2282" spans="1:15" ht="15" customHeight="1" x14ac:dyDescent="0.3">
      <c r="A2282" s="23" t="s">
        <v>5055</v>
      </c>
      <c r="B2282" s="38">
        <v>46282</v>
      </c>
      <c r="C2282" s="23" t="s">
        <v>5056</v>
      </c>
      <c r="D2282" s="23" t="s">
        <v>89</v>
      </c>
      <c r="E2282" s="23" t="s">
        <v>79</v>
      </c>
      <c r="F2282" s="23" t="s">
        <v>315</v>
      </c>
      <c r="G2282" s="23" t="s">
        <v>250</v>
      </c>
      <c r="H2282" s="39">
        <f t="shared" si="140"/>
        <v>1499</v>
      </c>
      <c r="I2282" s="23" t="str">
        <f t="shared" si="141"/>
        <v>Jaipur</v>
      </c>
      <c r="J2282" s="23">
        <f>COUNTIFS(pg_transaction_cleaned!$O:$O,A2282,pg_transaction_cleaned!$F:$F,"CAPTURE")</f>
        <v>1</v>
      </c>
      <c r="K2282" s="39">
        <f>SUMIFS(pg_transaction_cleaned!$H:$H,pg_transaction_cleaned!$O:$O,A2282,pg_transaction_cleaned!$F:$F,"CAPTURE")</f>
        <v>1499</v>
      </c>
      <c r="L2282" s="23">
        <f>COUNTIFS(pg_transaction_cleaned!$O:$O,A2282,pg_transaction_cleaned!$F:$F,"REFUND")</f>
        <v>0</v>
      </c>
      <c r="M2282" s="39">
        <f>SUMIFS(pg_transaction_cleaned!$H:$H,pg_transaction_cleaned!$O:$O,A2282,pg_transaction_cleaned!$F:$F,"REFUND")</f>
        <v>0</v>
      </c>
      <c r="N2282" s="23" t="str">
        <f t="shared" si="142"/>
        <v>OK</v>
      </c>
      <c r="O2282" s="24">
        <f t="shared" si="143"/>
        <v>0</v>
      </c>
    </row>
    <row r="2283" spans="1:15" ht="15" customHeight="1" x14ac:dyDescent="0.3">
      <c r="A2283" s="23" t="s">
        <v>5057</v>
      </c>
      <c r="B2283" s="38">
        <v>46268</v>
      </c>
      <c r="C2283" s="23" t="s">
        <v>5058</v>
      </c>
      <c r="D2283" s="23" t="s">
        <v>90</v>
      </c>
      <c r="E2283" s="23" t="s">
        <v>75</v>
      </c>
      <c r="F2283" s="23" t="s">
        <v>329</v>
      </c>
      <c r="G2283" s="23" t="s">
        <v>250</v>
      </c>
      <c r="H2283" s="39">
        <f t="shared" si="140"/>
        <v>599</v>
      </c>
      <c r="I2283" s="23" t="str">
        <f t="shared" si="141"/>
        <v>Ahmedabad</v>
      </c>
      <c r="J2283" s="23">
        <f>COUNTIFS(pg_transaction_cleaned!$O:$O,A2283,pg_transaction_cleaned!$F:$F,"CAPTURE")</f>
        <v>1</v>
      </c>
      <c r="K2283" s="39">
        <f>SUMIFS(pg_transaction_cleaned!$H:$H,pg_transaction_cleaned!$O:$O,A2283,pg_transaction_cleaned!$F:$F,"CAPTURE")</f>
        <v>599</v>
      </c>
      <c r="L2283" s="23">
        <f>COUNTIFS(pg_transaction_cleaned!$O:$O,A2283,pg_transaction_cleaned!$F:$F,"REFUND")</f>
        <v>0</v>
      </c>
      <c r="M2283" s="39">
        <f>SUMIFS(pg_transaction_cleaned!$H:$H,pg_transaction_cleaned!$O:$O,A2283,pg_transaction_cleaned!$F:$F,"REFUND")</f>
        <v>0</v>
      </c>
      <c r="N2283" s="23" t="str">
        <f t="shared" si="142"/>
        <v>OK</v>
      </c>
      <c r="O2283" s="24">
        <f t="shared" si="143"/>
        <v>0</v>
      </c>
    </row>
    <row r="2284" spans="1:15" ht="15" customHeight="1" x14ac:dyDescent="0.3">
      <c r="A2284" s="23" t="s">
        <v>5059</v>
      </c>
      <c r="B2284" s="38">
        <v>46266</v>
      </c>
      <c r="C2284" s="23" t="s">
        <v>5060</v>
      </c>
      <c r="D2284" s="23" t="s">
        <v>86</v>
      </c>
      <c r="E2284" s="23" t="s">
        <v>77</v>
      </c>
      <c r="F2284" s="23" t="s">
        <v>291</v>
      </c>
      <c r="G2284" s="23" t="s">
        <v>250</v>
      </c>
      <c r="H2284" s="39">
        <f t="shared" si="140"/>
        <v>3499</v>
      </c>
      <c r="I2284" s="23" t="str">
        <f t="shared" si="141"/>
        <v>Delhi</v>
      </c>
      <c r="J2284" s="23">
        <f>COUNTIFS(pg_transaction_cleaned!$O:$O,A2284,pg_transaction_cleaned!$F:$F,"CAPTURE")</f>
        <v>1</v>
      </c>
      <c r="K2284" s="39">
        <f>SUMIFS(pg_transaction_cleaned!$H:$H,pg_transaction_cleaned!$O:$O,A2284,pg_transaction_cleaned!$F:$F,"CAPTURE")</f>
        <v>3499</v>
      </c>
      <c r="L2284" s="23">
        <f>COUNTIFS(pg_transaction_cleaned!$O:$O,A2284,pg_transaction_cleaned!$F:$F,"REFUND")</f>
        <v>0</v>
      </c>
      <c r="M2284" s="39">
        <f>SUMIFS(pg_transaction_cleaned!$H:$H,pg_transaction_cleaned!$O:$O,A2284,pg_transaction_cleaned!$F:$F,"REFUND")</f>
        <v>0</v>
      </c>
      <c r="N2284" s="23" t="str">
        <f t="shared" si="142"/>
        <v>OK</v>
      </c>
      <c r="O2284" s="24">
        <f t="shared" si="143"/>
        <v>0</v>
      </c>
    </row>
    <row r="2285" spans="1:15" ht="15" customHeight="1" x14ac:dyDescent="0.3">
      <c r="A2285" s="23" t="s">
        <v>5061</v>
      </c>
      <c r="B2285" s="38">
        <v>46278</v>
      </c>
      <c r="C2285" s="23" t="s">
        <v>5062</v>
      </c>
      <c r="D2285" s="23" t="s">
        <v>92</v>
      </c>
      <c r="E2285" s="23" t="s">
        <v>77</v>
      </c>
      <c r="F2285" s="23" t="s">
        <v>262</v>
      </c>
      <c r="G2285" s="23" t="s">
        <v>250</v>
      </c>
      <c r="H2285" s="39">
        <f t="shared" si="140"/>
        <v>499</v>
      </c>
      <c r="I2285" s="23" t="str">
        <f t="shared" si="141"/>
        <v>Hyderabad</v>
      </c>
      <c r="J2285" s="23">
        <f>COUNTIFS(pg_transaction_cleaned!$O:$O,A2285,pg_transaction_cleaned!$F:$F,"CAPTURE")</f>
        <v>1</v>
      </c>
      <c r="K2285" s="39">
        <f>SUMIFS(pg_transaction_cleaned!$H:$H,pg_transaction_cleaned!$O:$O,A2285,pg_transaction_cleaned!$F:$F,"CAPTURE")</f>
        <v>499</v>
      </c>
      <c r="L2285" s="23">
        <f>COUNTIFS(pg_transaction_cleaned!$O:$O,A2285,pg_transaction_cleaned!$F:$F,"REFUND")</f>
        <v>0</v>
      </c>
      <c r="M2285" s="39">
        <f>SUMIFS(pg_transaction_cleaned!$H:$H,pg_transaction_cleaned!$O:$O,A2285,pg_transaction_cleaned!$F:$F,"REFUND")</f>
        <v>0</v>
      </c>
      <c r="N2285" s="23" t="str">
        <f t="shared" si="142"/>
        <v>OK</v>
      </c>
      <c r="O2285" s="24">
        <f t="shared" si="143"/>
        <v>0</v>
      </c>
    </row>
    <row r="2286" spans="1:15" ht="15" customHeight="1" x14ac:dyDescent="0.3">
      <c r="A2286" s="23" t="s">
        <v>5063</v>
      </c>
      <c r="B2286" s="38">
        <v>46274</v>
      </c>
      <c r="C2286" s="23" t="s">
        <v>5064</v>
      </c>
      <c r="D2286" s="23" t="s">
        <v>92</v>
      </c>
      <c r="E2286" s="23" t="s">
        <v>81</v>
      </c>
      <c r="F2286" s="23" t="s">
        <v>553</v>
      </c>
      <c r="G2286" s="23" t="s">
        <v>250</v>
      </c>
      <c r="H2286" s="39">
        <f t="shared" si="140"/>
        <v>2798</v>
      </c>
      <c r="I2286" s="23" t="str">
        <f t="shared" si="141"/>
        <v>Hyderabad</v>
      </c>
      <c r="J2286" s="23">
        <f>COUNTIFS(pg_transaction_cleaned!$O:$O,A2286,pg_transaction_cleaned!$F:$F,"CAPTURE")</f>
        <v>1</v>
      </c>
      <c r="K2286" s="39">
        <f>SUMIFS(pg_transaction_cleaned!$H:$H,pg_transaction_cleaned!$O:$O,A2286,pg_transaction_cleaned!$F:$F,"CAPTURE")</f>
        <v>2798</v>
      </c>
      <c r="L2286" s="23">
        <f>COUNTIFS(pg_transaction_cleaned!$O:$O,A2286,pg_transaction_cleaned!$F:$F,"REFUND")</f>
        <v>0</v>
      </c>
      <c r="M2286" s="39">
        <f>SUMIFS(pg_transaction_cleaned!$H:$H,pg_transaction_cleaned!$O:$O,A2286,pg_transaction_cleaned!$F:$F,"REFUND")</f>
        <v>0</v>
      </c>
      <c r="N2286" s="23" t="str">
        <f t="shared" si="142"/>
        <v>OK</v>
      </c>
      <c r="O2286" s="24">
        <f t="shared" si="143"/>
        <v>0</v>
      </c>
    </row>
    <row r="2287" spans="1:15" ht="15" customHeight="1" x14ac:dyDescent="0.3">
      <c r="A2287" s="23" t="s">
        <v>5065</v>
      </c>
      <c r="B2287" s="38">
        <v>46276</v>
      </c>
      <c r="C2287" s="23" t="s">
        <v>5066</v>
      </c>
      <c r="D2287" s="23" t="s">
        <v>92</v>
      </c>
      <c r="E2287" s="23" t="s">
        <v>75</v>
      </c>
      <c r="F2287" s="23" t="s">
        <v>265</v>
      </c>
      <c r="G2287" s="23" t="s">
        <v>365</v>
      </c>
      <c r="H2287" s="39">
        <f t="shared" si="140"/>
        <v>999</v>
      </c>
      <c r="I2287" s="23" t="str">
        <f t="shared" si="141"/>
        <v>Hyderabad</v>
      </c>
      <c r="J2287" s="23">
        <f>COUNTIFS(pg_transaction_cleaned!$O:$O,A2287,pg_transaction_cleaned!$F:$F,"CAPTURE")</f>
        <v>0</v>
      </c>
      <c r="K2287" s="39">
        <f>SUMIFS(pg_transaction_cleaned!$H:$H,pg_transaction_cleaned!$O:$O,A2287,pg_transaction_cleaned!$F:$F,"CAPTURE")</f>
        <v>0</v>
      </c>
      <c r="L2287" s="23">
        <f>COUNTIFS(pg_transaction_cleaned!$O:$O,A2287,pg_transaction_cleaned!$F:$F,"REFUND")</f>
        <v>0</v>
      </c>
      <c r="M2287" s="39">
        <f>SUMIFS(pg_transaction_cleaned!$H:$H,pg_transaction_cleaned!$O:$O,A2287,pg_transaction_cleaned!$F:$F,"REFUND")</f>
        <v>0</v>
      </c>
      <c r="N2287" s="23" t="str">
        <f t="shared" si="142"/>
        <v>OK</v>
      </c>
      <c r="O2287" s="24">
        <f t="shared" si="143"/>
        <v>0</v>
      </c>
    </row>
    <row r="2288" spans="1:15" ht="15" customHeight="1" x14ac:dyDescent="0.3">
      <c r="A2288" s="23" t="s">
        <v>5067</v>
      </c>
      <c r="B2288" s="38">
        <v>46280</v>
      </c>
      <c r="C2288" s="23" t="s">
        <v>5068</v>
      </c>
      <c r="D2288" s="23" t="s">
        <v>93</v>
      </c>
      <c r="E2288" s="23" t="s">
        <v>79</v>
      </c>
      <c r="F2288" s="23" t="s">
        <v>315</v>
      </c>
      <c r="G2288" s="23" t="s">
        <v>250</v>
      </c>
      <c r="H2288" s="39">
        <f t="shared" si="140"/>
        <v>1499</v>
      </c>
      <c r="I2288" s="23" t="str">
        <f t="shared" si="141"/>
        <v>Kolkata</v>
      </c>
      <c r="J2288" s="23">
        <f>COUNTIFS(pg_transaction_cleaned!$O:$O,A2288,pg_transaction_cleaned!$F:$F,"CAPTURE")</f>
        <v>1</v>
      </c>
      <c r="K2288" s="39">
        <f>SUMIFS(pg_transaction_cleaned!$H:$H,pg_transaction_cleaned!$O:$O,A2288,pg_transaction_cleaned!$F:$F,"CAPTURE")</f>
        <v>1499</v>
      </c>
      <c r="L2288" s="23">
        <f>COUNTIFS(pg_transaction_cleaned!$O:$O,A2288,pg_transaction_cleaned!$F:$F,"REFUND")</f>
        <v>0</v>
      </c>
      <c r="M2288" s="39">
        <f>SUMIFS(pg_transaction_cleaned!$H:$H,pg_transaction_cleaned!$O:$O,A2288,pg_transaction_cleaned!$F:$F,"REFUND")</f>
        <v>0</v>
      </c>
      <c r="N2288" s="23" t="str">
        <f t="shared" si="142"/>
        <v>OK</v>
      </c>
      <c r="O2288" s="24">
        <f t="shared" si="143"/>
        <v>0</v>
      </c>
    </row>
    <row r="2289" spans="1:15" ht="15" customHeight="1" x14ac:dyDescent="0.3">
      <c r="A2289" s="23" t="s">
        <v>5069</v>
      </c>
      <c r="B2289" s="38">
        <v>46272</v>
      </c>
      <c r="C2289" s="23" t="s">
        <v>5070</v>
      </c>
      <c r="D2289" s="23" t="s">
        <v>95</v>
      </c>
      <c r="E2289" s="23" t="s">
        <v>81</v>
      </c>
      <c r="F2289" s="23" t="s">
        <v>274</v>
      </c>
      <c r="G2289" s="23" t="s">
        <v>250</v>
      </c>
      <c r="H2289" s="39">
        <f t="shared" si="140"/>
        <v>349</v>
      </c>
      <c r="I2289" s="23" t="str">
        <f t="shared" si="141"/>
        <v>Bengaluru</v>
      </c>
      <c r="J2289" s="23">
        <f>COUNTIFS(pg_transaction_cleaned!$O:$O,A2289,pg_transaction_cleaned!$F:$F,"CAPTURE")</f>
        <v>1</v>
      </c>
      <c r="K2289" s="39">
        <f>SUMIFS(pg_transaction_cleaned!$H:$H,pg_transaction_cleaned!$O:$O,A2289,pg_transaction_cleaned!$F:$F,"CAPTURE")</f>
        <v>349</v>
      </c>
      <c r="L2289" s="23">
        <f>COUNTIFS(pg_transaction_cleaned!$O:$O,A2289,pg_transaction_cleaned!$F:$F,"REFUND")</f>
        <v>0</v>
      </c>
      <c r="M2289" s="39">
        <f>SUMIFS(pg_transaction_cleaned!$H:$H,pg_transaction_cleaned!$O:$O,A2289,pg_transaction_cleaned!$F:$F,"REFUND")</f>
        <v>0</v>
      </c>
      <c r="N2289" s="23" t="str">
        <f t="shared" si="142"/>
        <v>OK</v>
      </c>
      <c r="O2289" s="24">
        <f t="shared" si="143"/>
        <v>0</v>
      </c>
    </row>
    <row r="2290" spans="1:15" ht="15" customHeight="1" x14ac:dyDescent="0.3">
      <c r="A2290" s="23" t="s">
        <v>5071</v>
      </c>
      <c r="B2290" s="38">
        <v>46290</v>
      </c>
      <c r="C2290" s="23" t="s">
        <v>5072</v>
      </c>
      <c r="D2290" s="23" t="s">
        <v>88</v>
      </c>
      <c r="E2290" s="23" t="s">
        <v>79</v>
      </c>
      <c r="F2290" s="23" t="s">
        <v>2205</v>
      </c>
      <c r="G2290" s="23" t="s">
        <v>250</v>
      </c>
      <c r="H2290" s="39">
        <f t="shared" si="140"/>
        <v>6998</v>
      </c>
      <c r="I2290" s="23" t="str">
        <f t="shared" si="141"/>
        <v>Lucknow</v>
      </c>
      <c r="J2290" s="23">
        <f>COUNTIFS(pg_transaction_cleaned!$O:$O,A2290,pg_transaction_cleaned!$F:$F,"CAPTURE")</f>
        <v>1</v>
      </c>
      <c r="K2290" s="39">
        <f>SUMIFS(pg_transaction_cleaned!$H:$H,pg_transaction_cleaned!$O:$O,A2290,pg_transaction_cleaned!$F:$F,"CAPTURE")</f>
        <v>6998</v>
      </c>
      <c r="L2290" s="23">
        <f>COUNTIFS(pg_transaction_cleaned!$O:$O,A2290,pg_transaction_cleaned!$F:$F,"REFUND")</f>
        <v>0</v>
      </c>
      <c r="M2290" s="39">
        <f>SUMIFS(pg_transaction_cleaned!$H:$H,pg_transaction_cleaned!$O:$O,A2290,pg_transaction_cleaned!$F:$F,"REFUND")</f>
        <v>0</v>
      </c>
      <c r="N2290" s="23" t="str">
        <f t="shared" si="142"/>
        <v>OK</v>
      </c>
      <c r="O2290" s="24">
        <f t="shared" si="143"/>
        <v>0</v>
      </c>
    </row>
    <row r="2291" spans="1:15" ht="15" customHeight="1" x14ac:dyDescent="0.3">
      <c r="A2291" s="23" t="s">
        <v>5073</v>
      </c>
      <c r="B2291" s="38">
        <v>46292</v>
      </c>
      <c r="C2291" s="23" t="s">
        <v>5074</v>
      </c>
      <c r="D2291" s="23" t="s">
        <v>88</v>
      </c>
      <c r="E2291" s="23" t="s">
        <v>79</v>
      </c>
      <c r="F2291" s="23" t="s">
        <v>265</v>
      </c>
      <c r="G2291" s="23" t="s">
        <v>250</v>
      </c>
      <c r="H2291" s="39">
        <f t="shared" si="140"/>
        <v>999</v>
      </c>
      <c r="I2291" s="23" t="str">
        <f t="shared" si="141"/>
        <v>Lucknow</v>
      </c>
      <c r="J2291" s="23">
        <f>COUNTIFS(pg_transaction_cleaned!$O:$O,A2291,pg_transaction_cleaned!$F:$F,"CAPTURE")</f>
        <v>1</v>
      </c>
      <c r="K2291" s="39">
        <f>SUMIFS(pg_transaction_cleaned!$H:$H,pg_transaction_cleaned!$O:$O,A2291,pg_transaction_cleaned!$F:$F,"CAPTURE")</f>
        <v>999</v>
      </c>
      <c r="L2291" s="23">
        <f>COUNTIFS(pg_transaction_cleaned!$O:$O,A2291,pg_transaction_cleaned!$F:$F,"REFUND")</f>
        <v>0</v>
      </c>
      <c r="M2291" s="39">
        <f>SUMIFS(pg_transaction_cleaned!$H:$H,pg_transaction_cleaned!$O:$O,A2291,pg_transaction_cleaned!$F:$F,"REFUND")</f>
        <v>0</v>
      </c>
      <c r="N2291" s="23" t="str">
        <f t="shared" si="142"/>
        <v>OK</v>
      </c>
      <c r="O2291" s="24">
        <f t="shared" si="143"/>
        <v>0</v>
      </c>
    </row>
    <row r="2292" spans="1:15" ht="15" customHeight="1" x14ac:dyDescent="0.3">
      <c r="A2292" s="23" t="s">
        <v>5075</v>
      </c>
      <c r="B2292" s="38">
        <v>46294</v>
      </c>
      <c r="C2292" s="23" t="s">
        <v>5076</v>
      </c>
      <c r="D2292" s="23" t="s">
        <v>86</v>
      </c>
      <c r="E2292" s="23" t="s">
        <v>75</v>
      </c>
      <c r="F2292" s="23" t="s">
        <v>329</v>
      </c>
      <c r="G2292" s="23" t="s">
        <v>250</v>
      </c>
      <c r="H2292" s="39">
        <f t="shared" si="140"/>
        <v>599</v>
      </c>
      <c r="I2292" s="23" t="str">
        <f t="shared" si="141"/>
        <v>Delhi</v>
      </c>
      <c r="J2292" s="23">
        <f>COUNTIFS(pg_transaction_cleaned!$O:$O,A2292,pg_transaction_cleaned!$F:$F,"CAPTURE")</f>
        <v>1</v>
      </c>
      <c r="K2292" s="39">
        <f>SUMIFS(pg_transaction_cleaned!$H:$H,pg_transaction_cleaned!$O:$O,A2292,pg_transaction_cleaned!$F:$F,"CAPTURE")</f>
        <v>599</v>
      </c>
      <c r="L2292" s="23">
        <f>COUNTIFS(pg_transaction_cleaned!$O:$O,A2292,pg_transaction_cleaned!$F:$F,"REFUND")</f>
        <v>0</v>
      </c>
      <c r="M2292" s="39">
        <f>SUMIFS(pg_transaction_cleaned!$H:$H,pg_transaction_cleaned!$O:$O,A2292,pg_transaction_cleaned!$F:$F,"REFUND")</f>
        <v>0</v>
      </c>
      <c r="N2292" s="23" t="str">
        <f t="shared" si="142"/>
        <v>OK</v>
      </c>
      <c r="O2292" s="24">
        <f t="shared" si="143"/>
        <v>0</v>
      </c>
    </row>
    <row r="2293" spans="1:15" ht="15" customHeight="1" x14ac:dyDescent="0.3">
      <c r="A2293" s="23" t="s">
        <v>5077</v>
      </c>
      <c r="B2293" s="38">
        <v>46293</v>
      </c>
      <c r="C2293" s="23" t="s">
        <v>5078</v>
      </c>
      <c r="D2293" s="23" t="s">
        <v>90</v>
      </c>
      <c r="E2293" s="23" t="s">
        <v>79</v>
      </c>
      <c r="F2293" s="23" t="s">
        <v>329</v>
      </c>
      <c r="G2293" s="23" t="s">
        <v>250</v>
      </c>
      <c r="H2293" s="39">
        <f t="shared" si="140"/>
        <v>599</v>
      </c>
      <c r="I2293" s="23" t="str">
        <f t="shared" si="141"/>
        <v>Ahmedabad</v>
      </c>
      <c r="J2293" s="23">
        <f>COUNTIFS(pg_transaction_cleaned!$O:$O,A2293,pg_transaction_cleaned!$F:$F,"CAPTURE")</f>
        <v>1</v>
      </c>
      <c r="K2293" s="39">
        <f>SUMIFS(pg_transaction_cleaned!$H:$H,pg_transaction_cleaned!$O:$O,A2293,pg_transaction_cleaned!$F:$F,"CAPTURE")</f>
        <v>599</v>
      </c>
      <c r="L2293" s="23">
        <f>COUNTIFS(pg_transaction_cleaned!$O:$O,A2293,pg_transaction_cleaned!$F:$F,"REFUND")</f>
        <v>0</v>
      </c>
      <c r="M2293" s="39">
        <f>SUMIFS(pg_transaction_cleaned!$H:$H,pg_transaction_cleaned!$O:$O,A2293,pg_transaction_cleaned!$F:$F,"REFUND")</f>
        <v>0</v>
      </c>
      <c r="N2293" s="23" t="str">
        <f t="shared" si="142"/>
        <v>OK</v>
      </c>
      <c r="O2293" s="24">
        <f t="shared" si="143"/>
        <v>0</v>
      </c>
    </row>
    <row r="2294" spans="1:15" ht="15" customHeight="1" x14ac:dyDescent="0.3">
      <c r="A2294" s="23" t="s">
        <v>5079</v>
      </c>
      <c r="B2294" s="38">
        <v>46278</v>
      </c>
      <c r="C2294" s="23" t="s">
        <v>5080</v>
      </c>
      <c r="D2294" s="23" t="s">
        <v>92</v>
      </c>
      <c r="E2294" s="23" t="s">
        <v>75</v>
      </c>
      <c r="F2294" s="23" t="s">
        <v>438</v>
      </c>
      <c r="G2294" s="23" t="s">
        <v>365</v>
      </c>
      <c r="H2294" s="39">
        <f t="shared" si="140"/>
        <v>5498</v>
      </c>
      <c r="I2294" s="23" t="str">
        <f t="shared" si="141"/>
        <v>Hyderabad</v>
      </c>
      <c r="J2294" s="23">
        <f>COUNTIFS(pg_transaction_cleaned!$O:$O,A2294,pg_transaction_cleaned!$F:$F,"CAPTURE")</f>
        <v>0</v>
      </c>
      <c r="K2294" s="39">
        <f>SUMIFS(pg_transaction_cleaned!$H:$H,pg_transaction_cleaned!$O:$O,A2294,pg_transaction_cleaned!$F:$F,"CAPTURE")</f>
        <v>0</v>
      </c>
      <c r="L2294" s="23">
        <f>COUNTIFS(pg_transaction_cleaned!$O:$O,A2294,pg_transaction_cleaned!$F:$F,"REFUND")</f>
        <v>0</v>
      </c>
      <c r="M2294" s="39">
        <f>SUMIFS(pg_transaction_cleaned!$H:$H,pg_transaction_cleaned!$O:$O,A2294,pg_transaction_cleaned!$F:$F,"REFUND")</f>
        <v>0</v>
      </c>
      <c r="N2294" s="23" t="str">
        <f t="shared" si="142"/>
        <v>OK</v>
      </c>
      <c r="O2294" s="24">
        <f t="shared" si="143"/>
        <v>0</v>
      </c>
    </row>
    <row r="2295" spans="1:15" ht="15" customHeight="1" x14ac:dyDescent="0.3">
      <c r="A2295" s="23" t="s">
        <v>5081</v>
      </c>
      <c r="B2295" s="38">
        <v>46291</v>
      </c>
      <c r="C2295" s="23" t="s">
        <v>5082</v>
      </c>
      <c r="D2295" s="23" t="s">
        <v>88</v>
      </c>
      <c r="E2295" s="23" t="s">
        <v>77</v>
      </c>
      <c r="F2295" s="23" t="s">
        <v>5083</v>
      </c>
      <c r="G2295" s="23" t="s">
        <v>250</v>
      </c>
      <c r="H2295" s="39">
        <f t="shared" si="140"/>
        <v>8947</v>
      </c>
      <c r="I2295" s="23" t="str">
        <f t="shared" si="141"/>
        <v>Lucknow</v>
      </c>
      <c r="J2295" s="23">
        <f>COUNTIFS(pg_transaction_cleaned!$O:$O,A2295,pg_transaction_cleaned!$F:$F,"CAPTURE")</f>
        <v>1</v>
      </c>
      <c r="K2295" s="39">
        <f>SUMIFS(pg_transaction_cleaned!$H:$H,pg_transaction_cleaned!$O:$O,A2295,pg_transaction_cleaned!$F:$F,"CAPTURE")</f>
        <v>8947</v>
      </c>
      <c r="L2295" s="23">
        <f>COUNTIFS(pg_transaction_cleaned!$O:$O,A2295,pg_transaction_cleaned!$F:$F,"REFUND")</f>
        <v>0</v>
      </c>
      <c r="M2295" s="39">
        <f>SUMIFS(pg_transaction_cleaned!$H:$H,pg_transaction_cleaned!$O:$O,A2295,pg_transaction_cleaned!$F:$F,"REFUND")</f>
        <v>0</v>
      </c>
      <c r="N2295" s="23" t="str">
        <f t="shared" si="142"/>
        <v>OK</v>
      </c>
      <c r="O2295" s="24">
        <f t="shared" si="143"/>
        <v>0</v>
      </c>
    </row>
    <row r="2296" spans="1:15" ht="15" customHeight="1" x14ac:dyDescent="0.3">
      <c r="A2296" s="23" t="s">
        <v>5084</v>
      </c>
      <c r="B2296" s="38">
        <v>46267</v>
      </c>
      <c r="C2296" s="23" t="s">
        <v>5085</v>
      </c>
      <c r="D2296" s="23" t="s">
        <v>88</v>
      </c>
      <c r="E2296" s="23" t="s">
        <v>75</v>
      </c>
      <c r="F2296" s="23" t="s">
        <v>475</v>
      </c>
      <c r="G2296" s="23" t="s">
        <v>318</v>
      </c>
      <c r="H2296" s="39">
        <f t="shared" si="140"/>
        <v>799</v>
      </c>
      <c r="I2296" s="23" t="str">
        <f t="shared" si="141"/>
        <v>Lucknow</v>
      </c>
      <c r="J2296" s="23">
        <f>COUNTIFS(pg_transaction_cleaned!$O:$O,A2296,pg_transaction_cleaned!$F:$F,"CAPTURE")</f>
        <v>0</v>
      </c>
      <c r="K2296" s="39">
        <f>SUMIFS(pg_transaction_cleaned!$H:$H,pg_transaction_cleaned!$O:$O,A2296,pg_transaction_cleaned!$F:$F,"CAPTURE")</f>
        <v>0</v>
      </c>
      <c r="L2296" s="23">
        <f>COUNTIFS(pg_transaction_cleaned!$O:$O,A2296,pg_transaction_cleaned!$F:$F,"REFUND")</f>
        <v>0</v>
      </c>
      <c r="M2296" s="39">
        <f>SUMIFS(pg_transaction_cleaned!$H:$H,pg_transaction_cleaned!$O:$O,A2296,pg_transaction_cleaned!$F:$F,"REFUND")</f>
        <v>0</v>
      </c>
      <c r="N2296" s="23" t="str">
        <f t="shared" si="142"/>
        <v>OK</v>
      </c>
      <c r="O2296" s="24">
        <f t="shared" si="143"/>
        <v>0</v>
      </c>
    </row>
    <row r="2297" spans="1:15" ht="15" customHeight="1" x14ac:dyDescent="0.3">
      <c r="A2297" s="23" t="s">
        <v>5086</v>
      </c>
      <c r="B2297" s="38">
        <v>46271</v>
      </c>
      <c r="C2297" s="23" t="s">
        <v>5087</v>
      </c>
      <c r="D2297" s="23" t="s">
        <v>94</v>
      </c>
      <c r="E2297" s="23" t="s">
        <v>79</v>
      </c>
      <c r="F2297" s="23" t="s">
        <v>249</v>
      </c>
      <c r="G2297" s="23" t="s">
        <v>250</v>
      </c>
      <c r="H2297" s="39">
        <f t="shared" si="140"/>
        <v>299</v>
      </c>
      <c r="I2297" s="23" t="str">
        <f t="shared" si="141"/>
        <v>Chennai</v>
      </c>
      <c r="J2297" s="23">
        <f>COUNTIFS(pg_transaction_cleaned!$O:$O,A2297,pg_transaction_cleaned!$F:$F,"CAPTURE")</f>
        <v>1</v>
      </c>
      <c r="K2297" s="39">
        <f>SUMIFS(pg_transaction_cleaned!$H:$H,pg_transaction_cleaned!$O:$O,A2297,pg_transaction_cleaned!$F:$F,"CAPTURE")</f>
        <v>299</v>
      </c>
      <c r="L2297" s="23">
        <f>COUNTIFS(pg_transaction_cleaned!$O:$O,A2297,pg_transaction_cleaned!$F:$F,"REFUND")</f>
        <v>0</v>
      </c>
      <c r="M2297" s="39">
        <f>SUMIFS(pg_transaction_cleaned!$H:$H,pg_transaction_cleaned!$O:$O,A2297,pg_transaction_cleaned!$F:$F,"REFUND")</f>
        <v>0</v>
      </c>
      <c r="N2297" s="23" t="str">
        <f t="shared" si="142"/>
        <v>OK</v>
      </c>
      <c r="O2297" s="24">
        <f t="shared" si="143"/>
        <v>0</v>
      </c>
    </row>
    <row r="2298" spans="1:15" ht="15" customHeight="1" x14ac:dyDescent="0.3">
      <c r="A2298" s="23" t="s">
        <v>5088</v>
      </c>
      <c r="B2298" s="38">
        <v>46268</v>
      </c>
      <c r="C2298" s="23" t="s">
        <v>5089</v>
      </c>
      <c r="D2298" s="23" t="s">
        <v>91</v>
      </c>
      <c r="E2298" s="23" t="s">
        <v>75</v>
      </c>
      <c r="F2298" s="23" t="s">
        <v>268</v>
      </c>
      <c r="G2298" s="23" t="s">
        <v>250</v>
      </c>
      <c r="H2298" s="39">
        <f t="shared" si="140"/>
        <v>1299</v>
      </c>
      <c r="I2298" s="23" t="str">
        <f t="shared" si="141"/>
        <v>Pune</v>
      </c>
      <c r="J2298" s="23">
        <f>COUNTIFS(pg_transaction_cleaned!$O:$O,A2298,pg_transaction_cleaned!$F:$F,"CAPTURE")</f>
        <v>1</v>
      </c>
      <c r="K2298" s="39">
        <f>SUMIFS(pg_transaction_cleaned!$H:$H,pg_transaction_cleaned!$O:$O,A2298,pg_transaction_cleaned!$F:$F,"CAPTURE")</f>
        <v>1299</v>
      </c>
      <c r="L2298" s="23">
        <f>COUNTIFS(pg_transaction_cleaned!$O:$O,A2298,pg_transaction_cleaned!$F:$F,"REFUND")</f>
        <v>0</v>
      </c>
      <c r="M2298" s="39">
        <f>SUMIFS(pg_transaction_cleaned!$H:$H,pg_transaction_cleaned!$O:$O,A2298,pg_transaction_cleaned!$F:$F,"REFUND")</f>
        <v>0</v>
      </c>
      <c r="N2298" s="23" t="str">
        <f t="shared" si="142"/>
        <v>OK</v>
      </c>
      <c r="O2298" s="24">
        <f t="shared" si="143"/>
        <v>0</v>
      </c>
    </row>
    <row r="2299" spans="1:15" ht="15" customHeight="1" x14ac:dyDescent="0.3">
      <c r="A2299" s="23" t="s">
        <v>5090</v>
      </c>
      <c r="B2299" s="38">
        <v>46275</v>
      </c>
      <c r="C2299" s="23" t="s">
        <v>5091</v>
      </c>
      <c r="D2299" s="23" t="s">
        <v>91</v>
      </c>
      <c r="E2299" s="23" t="s">
        <v>77</v>
      </c>
      <c r="F2299" s="23" t="s">
        <v>475</v>
      </c>
      <c r="G2299" s="23" t="s">
        <v>250</v>
      </c>
      <c r="H2299" s="39">
        <f t="shared" si="140"/>
        <v>799</v>
      </c>
      <c r="I2299" s="23" t="str">
        <f t="shared" si="141"/>
        <v>Pune</v>
      </c>
      <c r="J2299" s="23">
        <f>COUNTIFS(pg_transaction_cleaned!$O:$O,A2299,pg_transaction_cleaned!$F:$F,"CAPTURE")</f>
        <v>1</v>
      </c>
      <c r="K2299" s="39">
        <f>SUMIFS(pg_transaction_cleaned!$H:$H,pg_transaction_cleaned!$O:$O,A2299,pg_transaction_cleaned!$F:$F,"CAPTURE")</f>
        <v>799</v>
      </c>
      <c r="L2299" s="23">
        <f>COUNTIFS(pg_transaction_cleaned!$O:$O,A2299,pg_transaction_cleaned!$F:$F,"REFUND")</f>
        <v>0</v>
      </c>
      <c r="M2299" s="39">
        <f>SUMIFS(pg_transaction_cleaned!$H:$H,pg_transaction_cleaned!$O:$O,A2299,pg_transaction_cleaned!$F:$F,"REFUND")</f>
        <v>0</v>
      </c>
      <c r="N2299" s="23" t="str">
        <f t="shared" si="142"/>
        <v>OK</v>
      </c>
      <c r="O2299" s="24">
        <f t="shared" si="143"/>
        <v>0</v>
      </c>
    </row>
    <row r="2300" spans="1:15" ht="15" customHeight="1" x14ac:dyDescent="0.3">
      <c r="A2300" s="23" t="s">
        <v>5092</v>
      </c>
      <c r="B2300" s="38">
        <v>46295</v>
      </c>
      <c r="C2300" s="23" t="s">
        <v>5093</v>
      </c>
      <c r="D2300" s="23" t="s">
        <v>86</v>
      </c>
      <c r="E2300" s="23" t="s">
        <v>77</v>
      </c>
      <c r="F2300" s="23" t="s">
        <v>790</v>
      </c>
      <c r="G2300" s="23" t="s">
        <v>250</v>
      </c>
      <c r="H2300" s="39">
        <f t="shared" si="140"/>
        <v>11497</v>
      </c>
      <c r="I2300" s="23" t="str">
        <f t="shared" si="141"/>
        <v>Delhi</v>
      </c>
      <c r="J2300" s="23">
        <f>COUNTIFS(pg_transaction_cleaned!$O:$O,A2300,pg_transaction_cleaned!$F:$F,"CAPTURE")</f>
        <v>1</v>
      </c>
      <c r="K2300" s="39">
        <f>SUMIFS(pg_transaction_cleaned!$H:$H,pg_transaction_cleaned!$O:$O,A2300,pg_transaction_cleaned!$F:$F,"CAPTURE")</f>
        <v>11497</v>
      </c>
      <c r="L2300" s="23">
        <f>COUNTIFS(pg_transaction_cleaned!$O:$O,A2300,pg_transaction_cleaned!$F:$F,"REFUND")</f>
        <v>0</v>
      </c>
      <c r="M2300" s="39">
        <f>SUMIFS(pg_transaction_cleaned!$H:$H,pg_transaction_cleaned!$O:$O,A2300,pg_transaction_cleaned!$F:$F,"REFUND")</f>
        <v>0</v>
      </c>
      <c r="N2300" s="23" t="str">
        <f t="shared" si="142"/>
        <v>OK</v>
      </c>
      <c r="O2300" s="24">
        <f t="shared" si="143"/>
        <v>0</v>
      </c>
    </row>
    <row r="2301" spans="1:15" ht="15" customHeight="1" x14ac:dyDescent="0.3">
      <c r="A2301" s="23" t="s">
        <v>5094</v>
      </c>
      <c r="B2301" s="38">
        <v>46266</v>
      </c>
      <c r="C2301" s="23" t="s">
        <v>5095</v>
      </c>
      <c r="D2301" s="23" t="s">
        <v>89</v>
      </c>
      <c r="E2301" s="23" t="s">
        <v>75</v>
      </c>
      <c r="F2301" s="23" t="s">
        <v>274</v>
      </c>
      <c r="G2301" s="23" t="s">
        <v>250</v>
      </c>
      <c r="H2301" s="39">
        <f t="shared" si="140"/>
        <v>349</v>
      </c>
      <c r="I2301" s="23" t="str">
        <f t="shared" si="141"/>
        <v>Jaipur</v>
      </c>
      <c r="J2301" s="23">
        <f>COUNTIFS(pg_transaction_cleaned!$O:$O,A2301,pg_transaction_cleaned!$F:$F,"CAPTURE")</f>
        <v>1</v>
      </c>
      <c r="K2301" s="39">
        <f>SUMIFS(pg_transaction_cleaned!$H:$H,pg_transaction_cleaned!$O:$O,A2301,pg_transaction_cleaned!$F:$F,"CAPTURE")</f>
        <v>349</v>
      </c>
      <c r="L2301" s="23">
        <f>COUNTIFS(pg_transaction_cleaned!$O:$O,A2301,pg_transaction_cleaned!$F:$F,"REFUND")</f>
        <v>0</v>
      </c>
      <c r="M2301" s="39">
        <f>SUMIFS(pg_transaction_cleaned!$H:$H,pg_transaction_cleaned!$O:$O,A2301,pg_transaction_cleaned!$F:$F,"REFUND")</f>
        <v>0</v>
      </c>
      <c r="N2301" s="23" t="str">
        <f t="shared" si="142"/>
        <v>OK</v>
      </c>
      <c r="O2301" s="24">
        <f t="shared" si="143"/>
        <v>0</v>
      </c>
    </row>
    <row r="2302" spans="1:15" ht="15" customHeight="1" x14ac:dyDescent="0.3">
      <c r="A2302" s="23" t="s">
        <v>5096</v>
      </c>
      <c r="B2302" s="38">
        <v>46274</v>
      </c>
      <c r="C2302" s="23" t="s">
        <v>5097</v>
      </c>
      <c r="D2302" s="23" t="s">
        <v>95</v>
      </c>
      <c r="E2302" s="23" t="s">
        <v>75</v>
      </c>
      <c r="F2302" s="23" t="s">
        <v>249</v>
      </c>
      <c r="G2302" s="23" t="s">
        <v>250</v>
      </c>
      <c r="H2302" s="39">
        <f t="shared" si="140"/>
        <v>299</v>
      </c>
      <c r="I2302" s="23" t="str">
        <f t="shared" si="141"/>
        <v>Bengaluru</v>
      </c>
      <c r="J2302" s="23">
        <f>COUNTIFS(pg_transaction_cleaned!$O:$O,A2302,pg_transaction_cleaned!$F:$F,"CAPTURE")</f>
        <v>1</v>
      </c>
      <c r="K2302" s="39">
        <f>SUMIFS(pg_transaction_cleaned!$H:$H,pg_transaction_cleaned!$O:$O,A2302,pg_transaction_cleaned!$F:$F,"CAPTURE")</f>
        <v>299</v>
      </c>
      <c r="L2302" s="23">
        <f>COUNTIFS(pg_transaction_cleaned!$O:$O,A2302,pg_transaction_cleaned!$F:$F,"REFUND")</f>
        <v>0</v>
      </c>
      <c r="M2302" s="39">
        <f>SUMIFS(pg_transaction_cleaned!$H:$H,pg_transaction_cleaned!$O:$O,A2302,pg_transaction_cleaned!$F:$F,"REFUND")</f>
        <v>0</v>
      </c>
      <c r="N2302" s="23" t="str">
        <f t="shared" si="142"/>
        <v>OK</v>
      </c>
      <c r="O2302" s="24">
        <f t="shared" si="143"/>
        <v>0</v>
      </c>
    </row>
    <row r="2303" spans="1:15" ht="15" customHeight="1" x14ac:dyDescent="0.3">
      <c r="A2303" s="23" t="s">
        <v>5098</v>
      </c>
      <c r="B2303" s="38">
        <v>46268</v>
      </c>
      <c r="C2303" s="23" t="s">
        <v>5099</v>
      </c>
      <c r="D2303" s="23" t="s">
        <v>93</v>
      </c>
      <c r="E2303" s="23" t="s">
        <v>75</v>
      </c>
      <c r="F2303" s="23" t="s">
        <v>288</v>
      </c>
      <c r="G2303" s="23" t="s">
        <v>250</v>
      </c>
      <c r="H2303" s="39">
        <f t="shared" si="140"/>
        <v>4298</v>
      </c>
      <c r="I2303" s="23" t="str">
        <f t="shared" si="141"/>
        <v>Kolkata</v>
      </c>
      <c r="J2303" s="23">
        <f>COUNTIFS(pg_transaction_cleaned!$O:$O,A2303,pg_transaction_cleaned!$F:$F,"CAPTURE")</f>
        <v>1</v>
      </c>
      <c r="K2303" s="39">
        <f>SUMIFS(pg_transaction_cleaned!$H:$H,pg_transaction_cleaned!$O:$O,A2303,pg_transaction_cleaned!$F:$F,"CAPTURE")</f>
        <v>4298</v>
      </c>
      <c r="L2303" s="23">
        <f>COUNTIFS(pg_transaction_cleaned!$O:$O,A2303,pg_transaction_cleaned!$F:$F,"REFUND")</f>
        <v>0</v>
      </c>
      <c r="M2303" s="39">
        <f>SUMIFS(pg_transaction_cleaned!$H:$H,pg_transaction_cleaned!$O:$O,A2303,pg_transaction_cleaned!$F:$F,"REFUND")</f>
        <v>0</v>
      </c>
      <c r="N2303" s="23" t="str">
        <f t="shared" si="142"/>
        <v>OK</v>
      </c>
      <c r="O2303" s="24">
        <f t="shared" si="143"/>
        <v>0</v>
      </c>
    </row>
    <row r="2304" spans="1:15" ht="15" customHeight="1" x14ac:dyDescent="0.3">
      <c r="A2304" s="23" t="s">
        <v>5100</v>
      </c>
      <c r="B2304" s="38">
        <v>46271</v>
      </c>
      <c r="C2304" s="23" t="s">
        <v>5101</v>
      </c>
      <c r="D2304" s="23" t="s">
        <v>92</v>
      </c>
      <c r="E2304" s="23" t="s">
        <v>79</v>
      </c>
      <c r="F2304" s="23" t="s">
        <v>271</v>
      </c>
      <c r="G2304" s="23" t="s">
        <v>365</v>
      </c>
      <c r="H2304" s="39">
        <f t="shared" si="140"/>
        <v>2499</v>
      </c>
      <c r="I2304" s="23" t="str">
        <f t="shared" si="141"/>
        <v>Hyderabad</v>
      </c>
      <c r="J2304" s="23">
        <f>COUNTIFS(pg_transaction_cleaned!$O:$O,A2304,pg_transaction_cleaned!$F:$F,"CAPTURE")</f>
        <v>0</v>
      </c>
      <c r="K2304" s="39">
        <f>SUMIFS(pg_transaction_cleaned!$H:$H,pg_transaction_cleaned!$O:$O,A2304,pg_transaction_cleaned!$F:$F,"CAPTURE")</f>
        <v>0</v>
      </c>
      <c r="L2304" s="23">
        <f>COUNTIFS(pg_transaction_cleaned!$O:$O,A2304,pg_transaction_cleaned!$F:$F,"REFUND")</f>
        <v>0</v>
      </c>
      <c r="M2304" s="39">
        <f>SUMIFS(pg_transaction_cleaned!$H:$H,pg_transaction_cleaned!$O:$O,A2304,pg_transaction_cleaned!$F:$F,"REFUND")</f>
        <v>0</v>
      </c>
      <c r="N2304" s="23" t="str">
        <f t="shared" si="142"/>
        <v>OK</v>
      </c>
      <c r="O2304" s="24">
        <f t="shared" si="143"/>
        <v>0</v>
      </c>
    </row>
    <row r="2305" spans="1:15" ht="15" customHeight="1" x14ac:dyDescent="0.3">
      <c r="A2305" s="23" t="s">
        <v>5102</v>
      </c>
      <c r="B2305" s="38">
        <v>46289</v>
      </c>
      <c r="C2305" s="23" t="s">
        <v>5103</v>
      </c>
      <c r="D2305" s="23" t="s">
        <v>95</v>
      </c>
      <c r="E2305" s="23" t="s">
        <v>79</v>
      </c>
      <c r="F2305" s="23" t="s">
        <v>2007</v>
      </c>
      <c r="G2305" s="23" t="s">
        <v>250</v>
      </c>
      <c r="H2305" s="39">
        <f t="shared" si="140"/>
        <v>5598</v>
      </c>
      <c r="I2305" s="23" t="str">
        <f t="shared" si="141"/>
        <v>Bengaluru</v>
      </c>
      <c r="J2305" s="23">
        <f>COUNTIFS(pg_transaction_cleaned!$O:$O,A2305,pg_transaction_cleaned!$F:$F,"CAPTURE")</f>
        <v>1</v>
      </c>
      <c r="K2305" s="39">
        <f>SUMIFS(pg_transaction_cleaned!$H:$H,pg_transaction_cleaned!$O:$O,A2305,pg_transaction_cleaned!$F:$F,"CAPTURE")</f>
        <v>5598</v>
      </c>
      <c r="L2305" s="23">
        <f>COUNTIFS(pg_transaction_cleaned!$O:$O,A2305,pg_transaction_cleaned!$F:$F,"REFUND")</f>
        <v>0</v>
      </c>
      <c r="M2305" s="39">
        <f>SUMIFS(pg_transaction_cleaned!$H:$H,pg_transaction_cleaned!$O:$O,A2305,pg_transaction_cleaned!$F:$F,"REFUND")</f>
        <v>0</v>
      </c>
      <c r="N2305" s="23" t="str">
        <f t="shared" si="142"/>
        <v>OK</v>
      </c>
      <c r="O2305" s="24">
        <f t="shared" si="143"/>
        <v>0</v>
      </c>
    </row>
    <row r="2306" spans="1:15" ht="15" customHeight="1" x14ac:dyDescent="0.3">
      <c r="A2306" s="23" t="s">
        <v>5104</v>
      </c>
      <c r="B2306" s="38">
        <v>46288</v>
      </c>
      <c r="C2306" s="23" t="s">
        <v>5105</v>
      </c>
      <c r="D2306" s="23" t="s">
        <v>93</v>
      </c>
      <c r="E2306" s="23" t="s">
        <v>75</v>
      </c>
      <c r="F2306" s="23" t="s">
        <v>717</v>
      </c>
      <c r="G2306" s="23" t="s">
        <v>301</v>
      </c>
      <c r="H2306" s="39">
        <f t="shared" ref="H2306:H2369" si="144">VALUE(SUBSTITUTE(F2306,",",""))</f>
        <v>5298</v>
      </c>
      <c r="I2306" s="23" t="str">
        <f t="shared" ref="I2306:I2369" si="145">IF(TRIM(D2306)="","Unknown",TRIM(D2306))</f>
        <v>Kolkata</v>
      </c>
      <c r="J2306" s="23">
        <f>COUNTIFS(pg_transaction_cleaned!$O:$O,A2306,pg_transaction_cleaned!$F:$F,"CAPTURE")</f>
        <v>1</v>
      </c>
      <c r="K2306" s="39">
        <f>SUMIFS(pg_transaction_cleaned!$H:$H,pg_transaction_cleaned!$O:$O,A2306,pg_transaction_cleaned!$F:$F,"CAPTURE")</f>
        <v>5298</v>
      </c>
      <c r="L2306" s="23">
        <f>COUNTIFS(pg_transaction_cleaned!$O:$O,A2306,pg_transaction_cleaned!$F:$F,"REFUND")</f>
        <v>1</v>
      </c>
      <c r="M2306" s="39">
        <f>SUMIFS(pg_transaction_cleaned!$H:$H,pg_transaction_cleaned!$O:$O,A2306,pg_transaction_cleaned!$F:$F,"REFUND")</f>
        <v>5298</v>
      </c>
      <c r="N2306" s="23" t="str">
        <f t="shared" ref="N2306:N2369" si="146">IF(AND(G2306="Paid",J2306=0),"Paid, no payment",IF(AND(OR(G2306="Failed",G2306="Cancelled"),J2306&gt;0),"Payment on failed/cancelled",IF(J2306&gt;1,"Duplicate charge",IF(AND(J2306=1,ROUND(K2306-H2306,2)&lt;&gt;0),"Amount difference",IF(AND(G2306="Refunded",L2306=0),"Refunded, no refund",IF(AND(G2306&lt;&gt;"Refunded",L2306&gt;0),"Refund, order not Refunded",IF(AND(L2306&gt;0,ROUND(M2306-H2306,2)&lt;&gt;0),"Refund amount differs","OK")))))))</f>
        <v>OK</v>
      </c>
      <c r="O2306" s="24">
        <f t="shared" ref="O2306:O2369" si="147">IF(N2306="OK",0,IF(N2306="Paid, no payment",H2306,IF(N2306="Payment on failed/cancelled",K2306,IF(OR(N2306="Duplicate charge",N2306="Amount difference"),K2306-H2306,IF(N2306="Refunded, no refund",H2306,M2306)))))</f>
        <v>0</v>
      </c>
    </row>
    <row r="2307" spans="1:15" ht="15" customHeight="1" x14ac:dyDescent="0.3">
      <c r="A2307" s="23" t="s">
        <v>5106</v>
      </c>
      <c r="B2307" s="38">
        <v>46283</v>
      </c>
      <c r="C2307" s="23" t="s">
        <v>5107</v>
      </c>
      <c r="D2307" s="23"/>
      <c r="E2307" s="23" t="s">
        <v>79</v>
      </c>
      <c r="F2307" s="23" t="s">
        <v>834</v>
      </c>
      <c r="G2307" s="23" t="s">
        <v>250</v>
      </c>
      <c r="H2307" s="39">
        <f t="shared" si="144"/>
        <v>7097</v>
      </c>
      <c r="I2307" s="23" t="str">
        <f t="shared" si="145"/>
        <v>Unknown</v>
      </c>
      <c r="J2307" s="23">
        <f>COUNTIFS(pg_transaction_cleaned!$O:$O,A2307,pg_transaction_cleaned!$F:$F,"CAPTURE")</f>
        <v>1</v>
      </c>
      <c r="K2307" s="39">
        <f>SUMIFS(pg_transaction_cleaned!$H:$H,pg_transaction_cleaned!$O:$O,A2307,pg_transaction_cleaned!$F:$F,"CAPTURE")</f>
        <v>7097</v>
      </c>
      <c r="L2307" s="23">
        <f>COUNTIFS(pg_transaction_cleaned!$O:$O,A2307,pg_transaction_cleaned!$F:$F,"REFUND")</f>
        <v>0</v>
      </c>
      <c r="M2307" s="39">
        <f>SUMIFS(pg_transaction_cleaned!$H:$H,pg_transaction_cleaned!$O:$O,A2307,pg_transaction_cleaned!$F:$F,"REFUND")</f>
        <v>0</v>
      </c>
      <c r="N2307" s="23" t="str">
        <f t="shared" si="146"/>
        <v>OK</v>
      </c>
      <c r="O2307" s="24">
        <f t="shared" si="147"/>
        <v>0</v>
      </c>
    </row>
    <row r="2308" spans="1:15" ht="15" customHeight="1" x14ac:dyDescent="0.3">
      <c r="A2308" s="23" t="s">
        <v>5108</v>
      </c>
      <c r="B2308" s="38">
        <v>46268</v>
      </c>
      <c r="C2308" s="23" t="s">
        <v>5109</v>
      </c>
      <c r="D2308" s="23" t="s">
        <v>94</v>
      </c>
      <c r="E2308" s="23" t="s">
        <v>75</v>
      </c>
      <c r="F2308" s="23" t="s">
        <v>747</v>
      </c>
      <c r="G2308" s="23" t="s">
        <v>250</v>
      </c>
      <c r="H2308" s="39">
        <f t="shared" si="144"/>
        <v>2498</v>
      </c>
      <c r="I2308" s="23" t="str">
        <f t="shared" si="145"/>
        <v>Chennai</v>
      </c>
      <c r="J2308" s="23">
        <f>COUNTIFS(pg_transaction_cleaned!$O:$O,A2308,pg_transaction_cleaned!$F:$F,"CAPTURE")</f>
        <v>1</v>
      </c>
      <c r="K2308" s="39">
        <f>SUMIFS(pg_transaction_cleaned!$H:$H,pg_transaction_cleaned!$O:$O,A2308,pg_transaction_cleaned!$F:$F,"CAPTURE")</f>
        <v>2498</v>
      </c>
      <c r="L2308" s="23">
        <f>COUNTIFS(pg_transaction_cleaned!$O:$O,A2308,pg_transaction_cleaned!$F:$F,"REFUND")</f>
        <v>0</v>
      </c>
      <c r="M2308" s="39">
        <f>SUMIFS(pg_transaction_cleaned!$H:$H,pg_transaction_cleaned!$O:$O,A2308,pg_transaction_cleaned!$F:$F,"REFUND")</f>
        <v>0</v>
      </c>
      <c r="N2308" s="23" t="str">
        <f t="shared" si="146"/>
        <v>OK</v>
      </c>
      <c r="O2308" s="24">
        <f t="shared" si="147"/>
        <v>0</v>
      </c>
    </row>
    <row r="2309" spans="1:15" ht="15" customHeight="1" x14ac:dyDescent="0.3">
      <c r="A2309" s="23" t="s">
        <v>5110</v>
      </c>
      <c r="B2309" s="38">
        <v>46289</v>
      </c>
      <c r="C2309" s="23" t="s">
        <v>5111</v>
      </c>
      <c r="D2309" s="23" t="s">
        <v>86</v>
      </c>
      <c r="E2309" s="23" t="s">
        <v>79</v>
      </c>
      <c r="F2309" s="23" t="s">
        <v>880</v>
      </c>
      <c r="G2309" s="23" t="s">
        <v>250</v>
      </c>
      <c r="H2309" s="39">
        <f t="shared" si="144"/>
        <v>2298</v>
      </c>
      <c r="I2309" s="23" t="str">
        <f t="shared" si="145"/>
        <v>Delhi</v>
      </c>
      <c r="J2309" s="23">
        <f>COUNTIFS(pg_transaction_cleaned!$O:$O,A2309,pg_transaction_cleaned!$F:$F,"CAPTURE")</f>
        <v>1</v>
      </c>
      <c r="K2309" s="39">
        <f>SUMIFS(pg_transaction_cleaned!$H:$H,pg_transaction_cleaned!$O:$O,A2309,pg_transaction_cleaned!$F:$F,"CAPTURE")</f>
        <v>2298</v>
      </c>
      <c r="L2309" s="23">
        <f>COUNTIFS(pg_transaction_cleaned!$O:$O,A2309,pg_transaction_cleaned!$F:$F,"REFUND")</f>
        <v>0</v>
      </c>
      <c r="M2309" s="39">
        <f>SUMIFS(pg_transaction_cleaned!$H:$H,pg_transaction_cleaned!$O:$O,A2309,pg_transaction_cleaned!$F:$F,"REFUND")</f>
        <v>0</v>
      </c>
      <c r="N2309" s="23" t="str">
        <f t="shared" si="146"/>
        <v>OK</v>
      </c>
      <c r="O2309" s="24">
        <f t="shared" si="147"/>
        <v>0</v>
      </c>
    </row>
    <row r="2310" spans="1:15" ht="15" customHeight="1" x14ac:dyDescent="0.3">
      <c r="A2310" s="23" t="s">
        <v>5112</v>
      </c>
      <c r="B2310" s="38">
        <v>46284</v>
      </c>
      <c r="C2310" s="23" t="s">
        <v>5113</v>
      </c>
      <c r="D2310" s="23" t="s">
        <v>90</v>
      </c>
      <c r="E2310" s="23" t="s">
        <v>79</v>
      </c>
      <c r="F2310" s="23" t="s">
        <v>747</v>
      </c>
      <c r="G2310" s="23" t="s">
        <v>301</v>
      </c>
      <c r="H2310" s="39">
        <f t="shared" si="144"/>
        <v>2498</v>
      </c>
      <c r="I2310" s="23" t="str">
        <f t="shared" si="145"/>
        <v>Ahmedabad</v>
      </c>
      <c r="J2310" s="23">
        <f>COUNTIFS(pg_transaction_cleaned!$O:$O,A2310,pg_transaction_cleaned!$F:$F,"CAPTURE")</f>
        <v>1</v>
      </c>
      <c r="K2310" s="39">
        <f>SUMIFS(pg_transaction_cleaned!$H:$H,pg_transaction_cleaned!$O:$O,A2310,pg_transaction_cleaned!$F:$F,"CAPTURE")</f>
        <v>2498</v>
      </c>
      <c r="L2310" s="23">
        <f>COUNTIFS(pg_transaction_cleaned!$O:$O,A2310,pg_transaction_cleaned!$F:$F,"REFUND")</f>
        <v>1</v>
      </c>
      <c r="M2310" s="39">
        <f>SUMIFS(pg_transaction_cleaned!$H:$H,pg_transaction_cleaned!$O:$O,A2310,pg_transaction_cleaned!$F:$F,"REFUND")</f>
        <v>2498</v>
      </c>
      <c r="N2310" s="23" t="str">
        <f t="shared" si="146"/>
        <v>OK</v>
      </c>
      <c r="O2310" s="24">
        <f t="shared" si="147"/>
        <v>0</v>
      </c>
    </row>
    <row r="2311" spans="1:15" ht="15" customHeight="1" x14ac:dyDescent="0.3">
      <c r="A2311" s="23" t="s">
        <v>5114</v>
      </c>
      <c r="B2311" s="38">
        <v>46287</v>
      </c>
      <c r="C2311" s="23" t="s">
        <v>5115</v>
      </c>
      <c r="D2311" s="23" t="s">
        <v>86</v>
      </c>
      <c r="E2311" s="23" t="s">
        <v>75</v>
      </c>
      <c r="F2311" s="23" t="s">
        <v>880</v>
      </c>
      <c r="G2311" s="23" t="s">
        <v>301</v>
      </c>
      <c r="H2311" s="39">
        <f t="shared" si="144"/>
        <v>2298</v>
      </c>
      <c r="I2311" s="23" t="str">
        <f t="shared" si="145"/>
        <v>Delhi</v>
      </c>
      <c r="J2311" s="23">
        <f>COUNTIFS(pg_transaction_cleaned!$O:$O,A2311,pg_transaction_cleaned!$F:$F,"CAPTURE")</f>
        <v>1</v>
      </c>
      <c r="K2311" s="39">
        <f>SUMIFS(pg_transaction_cleaned!$H:$H,pg_transaction_cleaned!$O:$O,A2311,pg_transaction_cleaned!$F:$F,"CAPTURE")</f>
        <v>2298</v>
      </c>
      <c r="L2311" s="23">
        <f>COUNTIFS(pg_transaction_cleaned!$O:$O,A2311,pg_transaction_cleaned!$F:$F,"REFUND")</f>
        <v>1</v>
      </c>
      <c r="M2311" s="39">
        <f>SUMIFS(pg_transaction_cleaned!$H:$H,pg_transaction_cleaned!$O:$O,A2311,pg_transaction_cleaned!$F:$F,"REFUND")</f>
        <v>2298</v>
      </c>
      <c r="N2311" s="23" t="str">
        <f t="shared" si="146"/>
        <v>OK</v>
      </c>
      <c r="O2311" s="24">
        <f t="shared" si="147"/>
        <v>0</v>
      </c>
    </row>
    <row r="2312" spans="1:15" ht="15" customHeight="1" x14ac:dyDescent="0.3">
      <c r="A2312" s="23" t="s">
        <v>5116</v>
      </c>
      <c r="B2312" s="38">
        <v>46276</v>
      </c>
      <c r="C2312" s="23" t="s">
        <v>5117</v>
      </c>
      <c r="D2312" s="23" t="s">
        <v>86</v>
      </c>
      <c r="E2312" s="23" t="s">
        <v>79</v>
      </c>
      <c r="F2312" s="23" t="s">
        <v>396</v>
      </c>
      <c r="G2312" s="23" t="s">
        <v>250</v>
      </c>
      <c r="H2312" s="39">
        <f t="shared" si="144"/>
        <v>2999</v>
      </c>
      <c r="I2312" s="23" t="str">
        <f t="shared" si="145"/>
        <v>Delhi</v>
      </c>
      <c r="J2312" s="23">
        <f>COUNTIFS(pg_transaction_cleaned!$O:$O,A2312,pg_transaction_cleaned!$F:$F,"CAPTURE")</f>
        <v>1</v>
      </c>
      <c r="K2312" s="39">
        <f>SUMIFS(pg_transaction_cleaned!$H:$H,pg_transaction_cleaned!$O:$O,A2312,pg_transaction_cleaned!$F:$F,"CAPTURE")</f>
        <v>2999</v>
      </c>
      <c r="L2312" s="23">
        <f>COUNTIFS(pg_transaction_cleaned!$O:$O,A2312,pg_transaction_cleaned!$F:$F,"REFUND")</f>
        <v>0</v>
      </c>
      <c r="M2312" s="39">
        <f>SUMIFS(pg_transaction_cleaned!$H:$H,pg_transaction_cleaned!$O:$O,A2312,pg_transaction_cleaned!$F:$F,"REFUND")</f>
        <v>0</v>
      </c>
      <c r="N2312" s="23" t="str">
        <f t="shared" si="146"/>
        <v>OK</v>
      </c>
      <c r="O2312" s="24">
        <f t="shared" si="147"/>
        <v>0</v>
      </c>
    </row>
    <row r="2313" spans="1:15" ht="15" customHeight="1" x14ac:dyDescent="0.3">
      <c r="A2313" s="23" t="s">
        <v>5118</v>
      </c>
      <c r="B2313" s="38">
        <v>46294</v>
      </c>
      <c r="C2313" s="23" t="s">
        <v>5119</v>
      </c>
      <c r="D2313" s="23" t="s">
        <v>86</v>
      </c>
      <c r="E2313" s="23" t="s">
        <v>81</v>
      </c>
      <c r="F2313" s="23" t="s">
        <v>265</v>
      </c>
      <c r="G2313" s="23" t="s">
        <v>250</v>
      </c>
      <c r="H2313" s="39">
        <f t="shared" si="144"/>
        <v>999</v>
      </c>
      <c r="I2313" s="23" t="str">
        <f t="shared" si="145"/>
        <v>Delhi</v>
      </c>
      <c r="J2313" s="23">
        <f>COUNTIFS(pg_transaction_cleaned!$O:$O,A2313,pg_transaction_cleaned!$F:$F,"CAPTURE")</f>
        <v>1</v>
      </c>
      <c r="K2313" s="39">
        <f>SUMIFS(pg_transaction_cleaned!$H:$H,pg_transaction_cleaned!$O:$O,A2313,pg_transaction_cleaned!$F:$F,"CAPTURE")</f>
        <v>999</v>
      </c>
      <c r="L2313" s="23">
        <f>COUNTIFS(pg_transaction_cleaned!$O:$O,A2313,pg_transaction_cleaned!$F:$F,"REFUND")</f>
        <v>0</v>
      </c>
      <c r="M2313" s="39">
        <f>SUMIFS(pg_transaction_cleaned!$H:$H,pg_transaction_cleaned!$O:$O,A2313,pg_transaction_cleaned!$F:$F,"REFUND")</f>
        <v>0</v>
      </c>
      <c r="N2313" s="23" t="str">
        <f t="shared" si="146"/>
        <v>OK</v>
      </c>
      <c r="O2313" s="24">
        <f t="shared" si="147"/>
        <v>0</v>
      </c>
    </row>
    <row r="2314" spans="1:15" ht="15" customHeight="1" x14ac:dyDescent="0.3">
      <c r="A2314" s="23" t="s">
        <v>5120</v>
      </c>
      <c r="B2314" s="38">
        <v>46285</v>
      </c>
      <c r="C2314" s="23" t="s">
        <v>5121</v>
      </c>
      <c r="D2314" s="23" t="s">
        <v>86</v>
      </c>
      <c r="E2314" s="23" t="s">
        <v>79</v>
      </c>
      <c r="F2314" s="23" t="s">
        <v>294</v>
      </c>
      <c r="G2314" s="23" t="s">
        <v>250</v>
      </c>
      <c r="H2314" s="39">
        <f t="shared" si="144"/>
        <v>1799</v>
      </c>
      <c r="I2314" s="23" t="str">
        <f t="shared" si="145"/>
        <v>Delhi</v>
      </c>
      <c r="J2314" s="23">
        <f>COUNTIFS(pg_transaction_cleaned!$O:$O,A2314,pg_transaction_cleaned!$F:$F,"CAPTURE")</f>
        <v>1</v>
      </c>
      <c r="K2314" s="39">
        <f>SUMIFS(pg_transaction_cleaned!$H:$H,pg_transaction_cleaned!$O:$O,A2314,pg_transaction_cleaned!$F:$F,"CAPTURE")</f>
        <v>1799</v>
      </c>
      <c r="L2314" s="23">
        <f>COUNTIFS(pg_transaction_cleaned!$O:$O,A2314,pg_transaction_cleaned!$F:$F,"REFUND")</f>
        <v>0</v>
      </c>
      <c r="M2314" s="39">
        <f>SUMIFS(pg_transaction_cleaned!$H:$H,pg_transaction_cleaned!$O:$O,A2314,pg_transaction_cleaned!$F:$F,"REFUND")</f>
        <v>0</v>
      </c>
      <c r="N2314" s="23" t="str">
        <f t="shared" si="146"/>
        <v>OK</v>
      </c>
      <c r="O2314" s="24">
        <f t="shared" si="147"/>
        <v>0</v>
      </c>
    </row>
    <row r="2315" spans="1:15" ht="15" customHeight="1" x14ac:dyDescent="0.3">
      <c r="A2315" s="23" t="s">
        <v>5122</v>
      </c>
      <c r="B2315" s="38">
        <v>46292</v>
      </c>
      <c r="C2315" s="23" t="s">
        <v>5123</v>
      </c>
      <c r="D2315" s="23" t="s">
        <v>91</v>
      </c>
      <c r="E2315" s="23" t="s">
        <v>75</v>
      </c>
      <c r="F2315" s="23" t="s">
        <v>310</v>
      </c>
      <c r="G2315" s="23" t="s">
        <v>250</v>
      </c>
      <c r="H2315" s="39">
        <f t="shared" si="144"/>
        <v>7999</v>
      </c>
      <c r="I2315" s="23" t="str">
        <f t="shared" si="145"/>
        <v>Pune</v>
      </c>
      <c r="J2315" s="23">
        <f>COUNTIFS(pg_transaction_cleaned!$O:$O,A2315,pg_transaction_cleaned!$F:$F,"CAPTURE")</f>
        <v>1</v>
      </c>
      <c r="K2315" s="39">
        <f>SUMIFS(pg_transaction_cleaned!$H:$H,pg_transaction_cleaned!$O:$O,A2315,pg_transaction_cleaned!$F:$F,"CAPTURE")</f>
        <v>7999</v>
      </c>
      <c r="L2315" s="23">
        <f>COUNTIFS(pg_transaction_cleaned!$O:$O,A2315,pg_transaction_cleaned!$F:$F,"REFUND")</f>
        <v>0</v>
      </c>
      <c r="M2315" s="39">
        <f>SUMIFS(pg_transaction_cleaned!$H:$H,pg_transaction_cleaned!$O:$O,A2315,pg_transaction_cleaned!$F:$F,"REFUND")</f>
        <v>0</v>
      </c>
      <c r="N2315" s="23" t="str">
        <f t="shared" si="146"/>
        <v>OK</v>
      </c>
      <c r="O2315" s="24">
        <f t="shared" si="147"/>
        <v>0</v>
      </c>
    </row>
    <row r="2316" spans="1:15" ht="15" customHeight="1" x14ac:dyDescent="0.3">
      <c r="A2316" s="23" t="s">
        <v>5124</v>
      </c>
      <c r="B2316" s="38">
        <v>46282</v>
      </c>
      <c r="C2316" s="23" t="s">
        <v>5125</v>
      </c>
      <c r="D2316" s="23" t="s">
        <v>86</v>
      </c>
      <c r="E2316" s="23" t="s">
        <v>75</v>
      </c>
      <c r="F2316" s="23" t="s">
        <v>256</v>
      </c>
      <c r="G2316" s="23" t="s">
        <v>250</v>
      </c>
      <c r="H2316" s="39">
        <f t="shared" si="144"/>
        <v>2098</v>
      </c>
      <c r="I2316" s="23" t="str">
        <f t="shared" si="145"/>
        <v>Delhi</v>
      </c>
      <c r="J2316" s="23">
        <f>COUNTIFS(pg_transaction_cleaned!$O:$O,A2316,pg_transaction_cleaned!$F:$F,"CAPTURE")</f>
        <v>1</v>
      </c>
      <c r="K2316" s="39">
        <f>SUMIFS(pg_transaction_cleaned!$H:$H,pg_transaction_cleaned!$O:$O,A2316,pg_transaction_cleaned!$F:$F,"CAPTURE")</f>
        <v>2098</v>
      </c>
      <c r="L2316" s="23">
        <f>COUNTIFS(pg_transaction_cleaned!$O:$O,A2316,pg_transaction_cleaned!$F:$F,"REFUND")</f>
        <v>0</v>
      </c>
      <c r="M2316" s="39">
        <f>SUMIFS(pg_transaction_cleaned!$H:$H,pg_transaction_cleaned!$O:$O,A2316,pg_transaction_cleaned!$F:$F,"REFUND")</f>
        <v>0</v>
      </c>
      <c r="N2316" s="23" t="str">
        <f t="shared" si="146"/>
        <v>OK</v>
      </c>
      <c r="O2316" s="24">
        <f t="shared" si="147"/>
        <v>0</v>
      </c>
    </row>
    <row r="2317" spans="1:15" ht="15" customHeight="1" x14ac:dyDescent="0.3">
      <c r="A2317" s="23" t="s">
        <v>5126</v>
      </c>
      <c r="B2317" s="38">
        <v>46289</v>
      </c>
      <c r="C2317" s="23" t="s">
        <v>5127</v>
      </c>
      <c r="D2317" s="23" t="s">
        <v>94</v>
      </c>
      <c r="E2317" s="23" t="s">
        <v>75</v>
      </c>
      <c r="F2317" s="23" t="s">
        <v>396</v>
      </c>
      <c r="G2317" s="23" t="s">
        <v>250</v>
      </c>
      <c r="H2317" s="39">
        <f t="shared" si="144"/>
        <v>2999</v>
      </c>
      <c r="I2317" s="23" t="str">
        <f t="shared" si="145"/>
        <v>Chennai</v>
      </c>
      <c r="J2317" s="23">
        <f>COUNTIFS(pg_transaction_cleaned!$O:$O,A2317,pg_transaction_cleaned!$F:$F,"CAPTURE")</f>
        <v>1</v>
      </c>
      <c r="K2317" s="39">
        <f>SUMIFS(pg_transaction_cleaned!$H:$H,pg_transaction_cleaned!$O:$O,A2317,pg_transaction_cleaned!$F:$F,"CAPTURE")</f>
        <v>2999</v>
      </c>
      <c r="L2317" s="23">
        <f>COUNTIFS(pg_transaction_cleaned!$O:$O,A2317,pg_transaction_cleaned!$F:$F,"REFUND")</f>
        <v>0</v>
      </c>
      <c r="M2317" s="39">
        <f>SUMIFS(pg_transaction_cleaned!$H:$H,pg_transaction_cleaned!$O:$O,A2317,pg_transaction_cleaned!$F:$F,"REFUND")</f>
        <v>0</v>
      </c>
      <c r="N2317" s="23" t="str">
        <f t="shared" si="146"/>
        <v>OK</v>
      </c>
      <c r="O2317" s="24">
        <f t="shared" si="147"/>
        <v>0</v>
      </c>
    </row>
    <row r="2318" spans="1:15" ht="15" customHeight="1" x14ac:dyDescent="0.3">
      <c r="A2318" s="23" t="s">
        <v>5128</v>
      </c>
      <c r="B2318" s="38">
        <v>46289</v>
      </c>
      <c r="C2318" s="23" t="s">
        <v>5129</v>
      </c>
      <c r="D2318" s="23" t="s">
        <v>95</v>
      </c>
      <c r="E2318" s="23" t="s">
        <v>75</v>
      </c>
      <c r="F2318" s="23" t="s">
        <v>294</v>
      </c>
      <c r="G2318" s="23" t="s">
        <v>318</v>
      </c>
      <c r="H2318" s="39">
        <f t="shared" si="144"/>
        <v>1799</v>
      </c>
      <c r="I2318" s="23" t="str">
        <f t="shared" si="145"/>
        <v>Bengaluru</v>
      </c>
      <c r="J2318" s="23">
        <f>COUNTIFS(pg_transaction_cleaned!$O:$O,A2318,pg_transaction_cleaned!$F:$F,"CAPTURE")</f>
        <v>0</v>
      </c>
      <c r="K2318" s="39">
        <f>SUMIFS(pg_transaction_cleaned!$H:$H,pg_transaction_cleaned!$O:$O,A2318,pg_transaction_cleaned!$F:$F,"CAPTURE")</f>
        <v>0</v>
      </c>
      <c r="L2318" s="23">
        <f>COUNTIFS(pg_transaction_cleaned!$O:$O,A2318,pg_transaction_cleaned!$F:$F,"REFUND")</f>
        <v>0</v>
      </c>
      <c r="M2318" s="39">
        <f>SUMIFS(pg_transaction_cleaned!$H:$H,pg_transaction_cleaned!$O:$O,A2318,pg_transaction_cleaned!$F:$F,"REFUND")</f>
        <v>0</v>
      </c>
      <c r="N2318" s="23" t="str">
        <f t="shared" si="146"/>
        <v>OK</v>
      </c>
      <c r="O2318" s="24">
        <f t="shared" si="147"/>
        <v>0</v>
      </c>
    </row>
    <row r="2319" spans="1:15" ht="15" customHeight="1" x14ac:dyDescent="0.3">
      <c r="A2319" s="23" t="s">
        <v>5130</v>
      </c>
      <c r="B2319" s="38">
        <v>46284</v>
      </c>
      <c r="C2319" s="23" t="s">
        <v>5131</v>
      </c>
      <c r="D2319" s="23" t="s">
        <v>95</v>
      </c>
      <c r="E2319" s="23" t="s">
        <v>79</v>
      </c>
      <c r="F2319" s="23" t="s">
        <v>291</v>
      </c>
      <c r="G2319" s="23" t="s">
        <v>250</v>
      </c>
      <c r="H2319" s="39">
        <f t="shared" si="144"/>
        <v>3499</v>
      </c>
      <c r="I2319" s="23" t="str">
        <f t="shared" si="145"/>
        <v>Bengaluru</v>
      </c>
      <c r="J2319" s="23">
        <f>COUNTIFS(pg_transaction_cleaned!$O:$O,A2319,pg_transaction_cleaned!$F:$F,"CAPTURE")</f>
        <v>1</v>
      </c>
      <c r="K2319" s="39">
        <f>SUMIFS(pg_transaction_cleaned!$H:$H,pg_transaction_cleaned!$O:$O,A2319,pg_transaction_cleaned!$F:$F,"CAPTURE")</f>
        <v>3499</v>
      </c>
      <c r="L2319" s="23">
        <f>COUNTIFS(pg_transaction_cleaned!$O:$O,A2319,pg_transaction_cleaned!$F:$F,"REFUND")</f>
        <v>0</v>
      </c>
      <c r="M2319" s="39">
        <f>SUMIFS(pg_transaction_cleaned!$H:$H,pg_transaction_cleaned!$O:$O,A2319,pg_transaction_cleaned!$F:$F,"REFUND")</f>
        <v>0</v>
      </c>
      <c r="N2319" s="23" t="str">
        <f t="shared" si="146"/>
        <v>OK</v>
      </c>
      <c r="O2319" s="24">
        <f t="shared" si="147"/>
        <v>0</v>
      </c>
    </row>
    <row r="2320" spans="1:15" ht="15" customHeight="1" x14ac:dyDescent="0.3">
      <c r="A2320" s="23" t="s">
        <v>5132</v>
      </c>
      <c r="B2320" s="38">
        <v>46286</v>
      </c>
      <c r="C2320" s="23" t="s">
        <v>5133</v>
      </c>
      <c r="D2320" s="23" t="s">
        <v>89</v>
      </c>
      <c r="E2320" s="23" t="s">
        <v>79</v>
      </c>
      <c r="F2320" s="23" t="s">
        <v>1712</v>
      </c>
      <c r="G2320" s="23" t="s">
        <v>250</v>
      </c>
      <c r="H2320" s="39">
        <f t="shared" si="144"/>
        <v>9997</v>
      </c>
      <c r="I2320" s="23" t="str">
        <f t="shared" si="145"/>
        <v>Jaipur</v>
      </c>
      <c r="J2320" s="23">
        <f>COUNTIFS(pg_transaction_cleaned!$O:$O,A2320,pg_transaction_cleaned!$F:$F,"CAPTURE")</f>
        <v>1</v>
      </c>
      <c r="K2320" s="39">
        <f>SUMIFS(pg_transaction_cleaned!$H:$H,pg_transaction_cleaned!$O:$O,A2320,pg_transaction_cleaned!$F:$F,"CAPTURE")</f>
        <v>9997</v>
      </c>
      <c r="L2320" s="23">
        <f>COUNTIFS(pg_transaction_cleaned!$O:$O,A2320,pg_transaction_cleaned!$F:$F,"REFUND")</f>
        <v>0</v>
      </c>
      <c r="M2320" s="39">
        <f>SUMIFS(pg_transaction_cleaned!$H:$H,pg_transaction_cleaned!$O:$O,A2320,pg_transaction_cleaned!$F:$F,"REFUND")</f>
        <v>0</v>
      </c>
      <c r="N2320" s="23" t="str">
        <f t="shared" si="146"/>
        <v>OK</v>
      </c>
      <c r="O2320" s="24">
        <f t="shared" si="147"/>
        <v>0</v>
      </c>
    </row>
    <row r="2321" spans="1:15" ht="15" customHeight="1" x14ac:dyDescent="0.3">
      <c r="A2321" s="23" t="s">
        <v>5134</v>
      </c>
      <c r="B2321" s="38">
        <v>46291</v>
      </c>
      <c r="C2321" s="23" t="s">
        <v>5135</v>
      </c>
      <c r="D2321" s="23" t="s">
        <v>95</v>
      </c>
      <c r="E2321" s="23" t="s">
        <v>75</v>
      </c>
      <c r="F2321" s="23" t="s">
        <v>315</v>
      </c>
      <c r="G2321" s="23" t="s">
        <v>250</v>
      </c>
      <c r="H2321" s="39">
        <f t="shared" si="144"/>
        <v>1499</v>
      </c>
      <c r="I2321" s="23" t="str">
        <f t="shared" si="145"/>
        <v>Bengaluru</v>
      </c>
      <c r="J2321" s="23">
        <f>COUNTIFS(pg_transaction_cleaned!$O:$O,A2321,pg_transaction_cleaned!$F:$F,"CAPTURE")</f>
        <v>1</v>
      </c>
      <c r="K2321" s="39">
        <f>SUMIFS(pg_transaction_cleaned!$H:$H,pg_transaction_cleaned!$O:$O,A2321,pg_transaction_cleaned!$F:$F,"CAPTURE")</f>
        <v>1499</v>
      </c>
      <c r="L2321" s="23">
        <f>COUNTIFS(pg_transaction_cleaned!$O:$O,A2321,pg_transaction_cleaned!$F:$F,"REFUND")</f>
        <v>0</v>
      </c>
      <c r="M2321" s="39">
        <f>SUMIFS(pg_transaction_cleaned!$H:$H,pg_transaction_cleaned!$O:$O,A2321,pg_transaction_cleaned!$F:$F,"REFUND")</f>
        <v>0</v>
      </c>
      <c r="N2321" s="23" t="str">
        <f t="shared" si="146"/>
        <v>OK</v>
      </c>
      <c r="O2321" s="24">
        <f t="shared" si="147"/>
        <v>0</v>
      </c>
    </row>
    <row r="2322" spans="1:15" ht="15" customHeight="1" x14ac:dyDescent="0.3">
      <c r="A2322" s="23" t="s">
        <v>5136</v>
      </c>
      <c r="B2322" s="38">
        <v>46290</v>
      </c>
      <c r="C2322" s="23" t="s">
        <v>5137</v>
      </c>
      <c r="D2322" s="23" t="s">
        <v>87</v>
      </c>
      <c r="E2322" s="23" t="s">
        <v>79</v>
      </c>
      <c r="F2322" s="23" t="s">
        <v>490</v>
      </c>
      <c r="G2322" s="23" t="s">
        <v>250</v>
      </c>
      <c r="H2322" s="39">
        <f t="shared" si="144"/>
        <v>8798</v>
      </c>
      <c r="I2322" s="23" t="str">
        <f t="shared" si="145"/>
        <v>Mumbai</v>
      </c>
      <c r="J2322" s="23">
        <f>COUNTIFS(pg_transaction_cleaned!$O:$O,A2322,pg_transaction_cleaned!$F:$F,"CAPTURE")</f>
        <v>1</v>
      </c>
      <c r="K2322" s="39">
        <f>SUMIFS(pg_transaction_cleaned!$H:$H,pg_transaction_cleaned!$O:$O,A2322,pg_transaction_cleaned!$F:$F,"CAPTURE")</f>
        <v>8798</v>
      </c>
      <c r="L2322" s="23">
        <f>COUNTIFS(pg_transaction_cleaned!$O:$O,A2322,pg_transaction_cleaned!$F:$F,"REFUND")</f>
        <v>0</v>
      </c>
      <c r="M2322" s="39">
        <f>SUMIFS(pg_transaction_cleaned!$H:$H,pg_transaction_cleaned!$O:$O,A2322,pg_transaction_cleaned!$F:$F,"REFUND")</f>
        <v>0</v>
      </c>
      <c r="N2322" s="23" t="str">
        <f t="shared" si="146"/>
        <v>OK</v>
      </c>
      <c r="O2322" s="24">
        <f t="shared" si="147"/>
        <v>0</v>
      </c>
    </row>
    <row r="2323" spans="1:15" ht="15" customHeight="1" x14ac:dyDescent="0.3">
      <c r="A2323" s="23" t="s">
        <v>5138</v>
      </c>
      <c r="B2323" s="38">
        <v>46266</v>
      </c>
      <c r="C2323" s="23" t="s">
        <v>5139</v>
      </c>
      <c r="D2323" s="23" t="s">
        <v>91</v>
      </c>
      <c r="E2323" s="23" t="s">
        <v>75</v>
      </c>
      <c r="F2323" s="23" t="s">
        <v>475</v>
      </c>
      <c r="G2323" s="23" t="s">
        <v>250</v>
      </c>
      <c r="H2323" s="39">
        <f t="shared" si="144"/>
        <v>799</v>
      </c>
      <c r="I2323" s="23" t="str">
        <f t="shared" si="145"/>
        <v>Pune</v>
      </c>
      <c r="J2323" s="23">
        <f>COUNTIFS(pg_transaction_cleaned!$O:$O,A2323,pg_transaction_cleaned!$F:$F,"CAPTURE")</f>
        <v>1</v>
      </c>
      <c r="K2323" s="39">
        <f>SUMIFS(pg_transaction_cleaned!$H:$H,pg_transaction_cleaned!$O:$O,A2323,pg_transaction_cleaned!$F:$F,"CAPTURE")</f>
        <v>799</v>
      </c>
      <c r="L2323" s="23">
        <f>COUNTIFS(pg_transaction_cleaned!$O:$O,A2323,pg_transaction_cleaned!$F:$F,"REFUND")</f>
        <v>0</v>
      </c>
      <c r="M2323" s="39">
        <f>SUMIFS(pg_transaction_cleaned!$H:$H,pg_transaction_cleaned!$O:$O,A2323,pg_transaction_cleaned!$F:$F,"REFUND")</f>
        <v>0</v>
      </c>
      <c r="N2323" s="23" t="str">
        <f t="shared" si="146"/>
        <v>OK</v>
      </c>
      <c r="O2323" s="24">
        <f t="shared" si="147"/>
        <v>0</v>
      </c>
    </row>
    <row r="2324" spans="1:15" ht="15" customHeight="1" x14ac:dyDescent="0.3">
      <c r="A2324" s="23" t="s">
        <v>5140</v>
      </c>
      <c r="B2324" s="38">
        <v>46268</v>
      </c>
      <c r="C2324" s="23" t="s">
        <v>5141</v>
      </c>
      <c r="D2324" s="23" t="s">
        <v>93</v>
      </c>
      <c r="E2324" s="23" t="s">
        <v>75</v>
      </c>
      <c r="F2324" s="23" t="s">
        <v>315</v>
      </c>
      <c r="G2324" s="23" t="s">
        <v>318</v>
      </c>
      <c r="H2324" s="39">
        <f t="shared" si="144"/>
        <v>1499</v>
      </c>
      <c r="I2324" s="23" t="str">
        <f t="shared" si="145"/>
        <v>Kolkata</v>
      </c>
      <c r="J2324" s="23">
        <f>COUNTIFS(pg_transaction_cleaned!$O:$O,A2324,pg_transaction_cleaned!$F:$F,"CAPTURE")</f>
        <v>0</v>
      </c>
      <c r="K2324" s="39">
        <f>SUMIFS(pg_transaction_cleaned!$H:$H,pg_transaction_cleaned!$O:$O,A2324,pg_transaction_cleaned!$F:$F,"CAPTURE")</f>
        <v>0</v>
      </c>
      <c r="L2324" s="23">
        <f>COUNTIFS(pg_transaction_cleaned!$O:$O,A2324,pg_transaction_cleaned!$F:$F,"REFUND")</f>
        <v>0</v>
      </c>
      <c r="M2324" s="39">
        <f>SUMIFS(pg_transaction_cleaned!$H:$H,pg_transaction_cleaned!$O:$O,A2324,pg_transaction_cleaned!$F:$F,"REFUND")</f>
        <v>0</v>
      </c>
      <c r="N2324" s="23" t="str">
        <f t="shared" si="146"/>
        <v>OK</v>
      </c>
      <c r="O2324" s="24">
        <f t="shared" si="147"/>
        <v>0</v>
      </c>
    </row>
    <row r="2325" spans="1:15" ht="15" customHeight="1" x14ac:dyDescent="0.3">
      <c r="A2325" s="23" t="s">
        <v>5142</v>
      </c>
      <c r="B2325" s="38">
        <v>46266</v>
      </c>
      <c r="C2325" s="23" t="s">
        <v>5143</v>
      </c>
      <c r="D2325" s="23" t="s">
        <v>88</v>
      </c>
      <c r="E2325" s="23" t="s">
        <v>75</v>
      </c>
      <c r="F2325" s="23" t="s">
        <v>1308</v>
      </c>
      <c r="G2325" s="23" t="s">
        <v>250</v>
      </c>
      <c r="H2325" s="39">
        <f t="shared" si="144"/>
        <v>4297</v>
      </c>
      <c r="I2325" s="23" t="str">
        <f t="shared" si="145"/>
        <v>Lucknow</v>
      </c>
      <c r="J2325" s="23">
        <f>COUNTIFS(pg_transaction_cleaned!$O:$O,A2325,pg_transaction_cleaned!$F:$F,"CAPTURE")</f>
        <v>1</v>
      </c>
      <c r="K2325" s="39">
        <f>SUMIFS(pg_transaction_cleaned!$H:$H,pg_transaction_cleaned!$O:$O,A2325,pg_transaction_cleaned!$F:$F,"CAPTURE")</f>
        <v>4297</v>
      </c>
      <c r="L2325" s="23">
        <f>COUNTIFS(pg_transaction_cleaned!$O:$O,A2325,pg_transaction_cleaned!$F:$F,"REFUND")</f>
        <v>0</v>
      </c>
      <c r="M2325" s="39">
        <f>SUMIFS(pg_transaction_cleaned!$H:$H,pg_transaction_cleaned!$O:$O,A2325,pg_transaction_cleaned!$F:$F,"REFUND")</f>
        <v>0</v>
      </c>
      <c r="N2325" s="23" t="str">
        <f t="shared" si="146"/>
        <v>OK</v>
      </c>
      <c r="O2325" s="24">
        <f t="shared" si="147"/>
        <v>0</v>
      </c>
    </row>
    <row r="2326" spans="1:15" ht="15" customHeight="1" x14ac:dyDescent="0.3">
      <c r="A2326" s="23" t="s">
        <v>5144</v>
      </c>
      <c r="B2326" s="38">
        <v>46284</v>
      </c>
      <c r="C2326" s="23" t="s">
        <v>5145</v>
      </c>
      <c r="D2326" s="23" t="s">
        <v>90</v>
      </c>
      <c r="E2326" s="23" t="s">
        <v>79</v>
      </c>
      <c r="F2326" s="23" t="s">
        <v>438</v>
      </c>
      <c r="G2326" s="23" t="s">
        <v>250</v>
      </c>
      <c r="H2326" s="39">
        <f t="shared" si="144"/>
        <v>5498</v>
      </c>
      <c r="I2326" s="23" t="str">
        <f t="shared" si="145"/>
        <v>Ahmedabad</v>
      </c>
      <c r="J2326" s="23">
        <f>COUNTIFS(pg_transaction_cleaned!$O:$O,A2326,pg_transaction_cleaned!$F:$F,"CAPTURE")</f>
        <v>1</v>
      </c>
      <c r="K2326" s="39">
        <f>SUMIFS(pg_transaction_cleaned!$H:$H,pg_transaction_cleaned!$O:$O,A2326,pg_transaction_cleaned!$F:$F,"CAPTURE")</f>
        <v>5498</v>
      </c>
      <c r="L2326" s="23">
        <f>COUNTIFS(pg_transaction_cleaned!$O:$O,A2326,pg_transaction_cleaned!$F:$F,"REFUND")</f>
        <v>0</v>
      </c>
      <c r="M2326" s="39">
        <f>SUMIFS(pg_transaction_cleaned!$H:$H,pg_transaction_cleaned!$O:$O,A2326,pg_transaction_cleaned!$F:$F,"REFUND")</f>
        <v>0</v>
      </c>
      <c r="N2326" s="23" t="str">
        <f t="shared" si="146"/>
        <v>OK</v>
      </c>
      <c r="O2326" s="24">
        <f t="shared" si="147"/>
        <v>0</v>
      </c>
    </row>
    <row r="2327" spans="1:15" ht="15" customHeight="1" x14ac:dyDescent="0.3">
      <c r="A2327" s="23" t="s">
        <v>5146</v>
      </c>
      <c r="B2327" s="38">
        <v>46276</v>
      </c>
      <c r="C2327" s="23" t="s">
        <v>5147</v>
      </c>
      <c r="D2327" s="23" t="s">
        <v>89</v>
      </c>
      <c r="E2327" s="23" t="s">
        <v>75</v>
      </c>
      <c r="F2327" s="23" t="s">
        <v>763</v>
      </c>
      <c r="G2327" s="23" t="s">
        <v>250</v>
      </c>
      <c r="H2327" s="39">
        <f t="shared" si="144"/>
        <v>299</v>
      </c>
      <c r="I2327" s="23" t="str">
        <f t="shared" si="145"/>
        <v>Jaipur</v>
      </c>
      <c r="J2327" s="23">
        <f>COUNTIFS(pg_transaction_cleaned!$O:$O,A2327,pg_transaction_cleaned!$F:$F,"CAPTURE")</f>
        <v>1</v>
      </c>
      <c r="K2327" s="39">
        <f>SUMIFS(pg_transaction_cleaned!$H:$H,pg_transaction_cleaned!$O:$O,A2327,pg_transaction_cleaned!$F:$F,"CAPTURE")</f>
        <v>299</v>
      </c>
      <c r="L2327" s="23">
        <f>COUNTIFS(pg_transaction_cleaned!$O:$O,A2327,pg_transaction_cleaned!$F:$F,"REFUND")</f>
        <v>0</v>
      </c>
      <c r="M2327" s="39">
        <f>SUMIFS(pg_transaction_cleaned!$H:$H,pg_transaction_cleaned!$O:$O,A2327,pg_transaction_cleaned!$F:$F,"REFUND")</f>
        <v>0</v>
      </c>
      <c r="N2327" s="23" t="str">
        <f t="shared" si="146"/>
        <v>OK</v>
      </c>
      <c r="O2327" s="24">
        <f t="shared" si="147"/>
        <v>0</v>
      </c>
    </row>
    <row r="2328" spans="1:15" ht="15" customHeight="1" x14ac:dyDescent="0.3">
      <c r="A2328" s="23" t="s">
        <v>5148</v>
      </c>
      <c r="B2328" s="38">
        <v>46290</v>
      </c>
      <c r="C2328" s="23" t="s">
        <v>5149</v>
      </c>
      <c r="D2328" s="23" t="s">
        <v>90</v>
      </c>
      <c r="E2328" s="23" t="s">
        <v>79</v>
      </c>
      <c r="F2328" s="23" t="s">
        <v>268</v>
      </c>
      <c r="G2328" s="23" t="s">
        <v>250</v>
      </c>
      <c r="H2328" s="39">
        <f t="shared" si="144"/>
        <v>1299</v>
      </c>
      <c r="I2328" s="23" t="str">
        <f t="shared" si="145"/>
        <v>Ahmedabad</v>
      </c>
      <c r="J2328" s="23">
        <f>COUNTIFS(pg_transaction_cleaned!$O:$O,A2328,pg_transaction_cleaned!$F:$F,"CAPTURE")</f>
        <v>1</v>
      </c>
      <c r="K2328" s="39">
        <f>SUMIFS(pg_transaction_cleaned!$H:$H,pg_transaction_cleaned!$O:$O,A2328,pg_transaction_cleaned!$F:$F,"CAPTURE")</f>
        <v>1299</v>
      </c>
      <c r="L2328" s="23">
        <f>COUNTIFS(pg_transaction_cleaned!$O:$O,A2328,pg_transaction_cleaned!$F:$F,"REFUND")</f>
        <v>0</v>
      </c>
      <c r="M2328" s="39">
        <f>SUMIFS(pg_transaction_cleaned!$H:$H,pg_transaction_cleaned!$O:$O,A2328,pg_transaction_cleaned!$F:$F,"REFUND")</f>
        <v>0</v>
      </c>
      <c r="N2328" s="23" t="str">
        <f t="shared" si="146"/>
        <v>OK</v>
      </c>
      <c r="O2328" s="24">
        <f t="shared" si="147"/>
        <v>0</v>
      </c>
    </row>
    <row r="2329" spans="1:15" ht="15" customHeight="1" x14ac:dyDescent="0.3">
      <c r="A2329" s="23" t="s">
        <v>5150</v>
      </c>
      <c r="B2329" s="38">
        <v>46266</v>
      </c>
      <c r="C2329" s="23" t="s">
        <v>5151</v>
      </c>
      <c r="D2329" s="23" t="s">
        <v>89</v>
      </c>
      <c r="E2329" s="23" t="s">
        <v>75</v>
      </c>
      <c r="F2329" s="23" t="s">
        <v>349</v>
      </c>
      <c r="G2329" s="23" t="s">
        <v>250</v>
      </c>
      <c r="H2329" s="39">
        <f t="shared" si="144"/>
        <v>1798</v>
      </c>
      <c r="I2329" s="23" t="str">
        <f t="shared" si="145"/>
        <v>Jaipur</v>
      </c>
      <c r="J2329" s="23">
        <f>COUNTIFS(pg_transaction_cleaned!$O:$O,A2329,pg_transaction_cleaned!$F:$F,"CAPTURE")</f>
        <v>1</v>
      </c>
      <c r="K2329" s="39">
        <f>SUMIFS(pg_transaction_cleaned!$H:$H,pg_transaction_cleaned!$O:$O,A2329,pg_transaction_cleaned!$F:$F,"CAPTURE")</f>
        <v>1798</v>
      </c>
      <c r="L2329" s="23">
        <f>COUNTIFS(pg_transaction_cleaned!$O:$O,A2329,pg_transaction_cleaned!$F:$F,"REFUND")</f>
        <v>0</v>
      </c>
      <c r="M2329" s="39">
        <f>SUMIFS(pg_transaction_cleaned!$H:$H,pg_transaction_cleaned!$O:$O,A2329,pg_transaction_cleaned!$F:$F,"REFUND")</f>
        <v>0</v>
      </c>
      <c r="N2329" s="23" t="str">
        <f t="shared" si="146"/>
        <v>OK</v>
      </c>
      <c r="O2329" s="24">
        <f t="shared" si="147"/>
        <v>0</v>
      </c>
    </row>
    <row r="2330" spans="1:15" ht="15" customHeight="1" x14ac:dyDescent="0.3">
      <c r="A2330" s="23" t="s">
        <v>5152</v>
      </c>
      <c r="B2330" s="38">
        <v>46268</v>
      </c>
      <c r="C2330" s="23" t="s">
        <v>5153</v>
      </c>
      <c r="D2330" s="23" t="s">
        <v>90</v>
      </c>
      <c r="E2330" s="23" t="s">
        <v>79</v>
      </c>
      <c r="F2330" s="23" t="s">
        <v>329</v>
      </c>
      <c r="G2330" s="23" t="s">
        <v>250</v>
      </c>
      <c r="H2330" s="39">
        <f t="shared" si="144"/>
        <v>599</v>
      </c>
      <c r="I2330" s="23" t="str">
        <f t="shared" si="145"/>
        <v>Ahmedabad</v>
      </c>
      <c r="J2330" s="23">
        <f>COUNTIFS(pg_transaction_cleaned!$O:$O,A2330,pg_transaction_cleaned!$F:$F,"CAPTURE")</f>
        <v>1</v>
      </c>
      <c r="K2330" s="39">
        <f>SUMIFS(pg_transaction_cleaned!$H:$H,pg_transaction_cleaned!$O:$O,A2330,pg_transaction_cleaned!$F:$F,"CAPTURE")</f>
        <v>599</v>
      </c>
      <c r="L2330" s="23">
        <f>COUNTIFS(pg_transaction_cleaned!$O:$O,A2330,pg_transaction_cleaned!$F:$F,"REFUND")</f>
        <v>0</v>
      </c>
      <c r="M2330" s="39">
        <f>SUMIFS(pg_transaction_cleaned!$H:$H,pg_transaction_cleaned!$O:$O,A2330,pg_transaction_cleaned!$F:$F,"REFUND")</f>
        <v>0</v>
      </c>
      <c r="N2330" s="23" t="str">
        <f t="shared" si="146"/>
        <v>OK</v>
      </c>
      <c r="O2330" s="24">
        <f t="shared" si="147"/>
        <v>0</v>
      </c>
    </row>
    <row r="2331" spans="1:15" ht="15" customHeight="1" x14ac:dyDescent="0.3">
      <c r="A2331" s="23" t="s">
        <v>5154</v>
      </c>
      <c r="B2331" s="38">
        <v>46278</v>
      </c>
      <c r="C2331" s="23" t="s">
        <v>5155</v>
      </c>
      <c r="D2331" s="23" t="s">
        <v>89</v>
      </c>
      <c r="E2331" s="23" t="s">
        <v>75</v>
      </c>
      <c r="F2331" s="23" t="s">
        <v>1693</v>
      </c>
      <c r="G2331" s="23" t="s">
        <v>301</v>
      </c>
      <c r="H2331" s="39">
        <f t="shared" si="144"/>
        <v>4097</v>
      </c>
      <c r="I2331" s="23" t="str">
        <f t="shared" si="145"/>
        <v>Jaipur</v>
      </c>
      <c r="J2331" s="23">
        <f>COUNTIFS(pg_transaction_cleaned!$O:$O,A2331,pg_transaction_cleaned!$F:$F,"CAPTURE")</f>
        <v>1</v>
      </c>
      <c r="K2331" s="39">
        <f>SUMIFS(pg_transaction_cleaned!$H:$H,pg_transaction_cleaned!$O:$O,A2331,pg_transaction_cleaned!$F:$F,"CAPTURE")</f>
        <v>4097</v>
      </c>
      <c r="L2331" s="23">
        <f>COUNTIFS(pg_transaction_cleaned!$O:$O,A2331,pg_transaction_cleaned!$F:$F,"REFUND")</f>
        <v>1</v>
      </c>
      <c r="M2331" s="39">
        <f>SUMIFS(pg_transaction_cleaned!$H:$H,pg_transaction_cleaned!$O:$O,A2331,pg_transaction_cleaned!$F:$F,"REFUND")</f>
        <v>4097</v>
      </c>
      <c r="N2331" s="23" t="str">
        <f t="shared" si="146"/>
        <v>OK</v>
      </c>
      <c r="O2331" s="24">
        <f t="shared" si="147"/>
        <v>0</v>
      </c>
    </row>
    <row r="2332" spans="1:15" ht="15" customHeight="1" x14ac:dyDescent="0.3">
      <c r="A2332" s="23" t="s">
        <v>5156</v>
      </c>
      <c r="B2332" s="38">
        <v>46290</v>
      </c>
      <c r="C2332" s="23" t="s">
        <v>5157</v>
      </c>
      <c r="D2332" s="23" t="s">
        <v>86</v>
      </c>
      <c r="E2332" s="23" t="s">
        <v>75</v>
      </c>
      <c r="F2332" s="23" t="s">
        <v>3464</v>
      </c>
      <c r="G2332" s="23" t="s">
        <v>250</v>
      </c>
      <c r="H2332" s="39">
        <f t="shared" si="144"/>
        <v>10097</v>
      </c>
      <c r="I2332" s="23" t="str">
        <f t="shared" si="145"/>
        <v>Delhi</v>
      </c>
      <c r="J2332" s="23">
        <f>COUNTIFS(pg_transaction_cleaned!$O:$O,A2332,pg_transaction_cleaned!$F:$F,"CAPTURE")</f>
        <v>1</v>
      </c>
      <c r="K2332" s="39">
        <f>SUMIFS(pg_transaction_cleaned!$H:$H,pg_transaction_cleaned!$O:$O,A2332,pg_transaction_cleaned!$F:$F,"CAPTURE")</f>
        <v>10097</v>
      </c>
      <c r="L2332" s="23">
        <f>COUNTIFS(pg_transaction_cleaned!$O:$O,A2332,pg_transaction_cleaned!$F:$F,"REFUND")</f>
        <v>0</v>
      </c>
      <c r="M2332" s="39">
        <f>SUMIFS(pg_transaction_cleaned!$H:$H,pg_transaction_cleaned!$O:$O,A2332,pg_transaction_cleaned!$F:$F,"REFUND")</f>
        <v>0</v>
      </c>
      <c r="N2332" s="23" t="str">
        <f t="shared" si="146"/>
        <v>OK</v>
      </c>
      <c r="O2332" s="24">
        <f t="shared" si="147"/>
        <v>0</v>
      </c>
    </row>
    <row r="2333" spans="1:15" ht="15" customHeight="1" x14ac:dyDescent="0.3">
      <c r="A2333" s="23" t="s">
        <v>5158</v>
      </c>
      <c r="B2333" s="38">
        <v>46284</v>
      </c>
      <c r="C2333" s="23" t="s">
        <v>5159</v>
      </c>
      <c r="D2333" s="23" t="s">
        <v>92</v>
      </c>
      <c r="E2333" s="23" t="s">
        <v>75</v>
      </c>
      <c r="F2333" s="23" t="s">
        <v>834</v>
      </c>
      <c r="G2333" s="23" t="s">
        <v>250</v>
      </c>
      <c r="H2333" s="39">
        <f t="shared" si="144"/>
        <v>7097</v>
      </c>
      <c r="I2333" s="23" t="str">
        <f t="shared" si="145"/>
        <v>Hyderabad</v>
      </c>
      <c r="J2333" s="23">
        <f>COUNTIFS(pg_transaction_cleaned!$O:$O,A2333,pg_transaction_cleaned!$F:$F,"CAPTURE")</f>
        <v>1</v>
      </c>
      <c r="K2333" s="39">
        <f>SUMIFS(pg_transaction_cleaned!$H:$H,pg_transaction_cleaned!$O:$O,A2333,pg_transaction_cleaned!$F:$F,"CAPTURE")</f>
        <v>7097</v>
      </c>
      <c r="L2333" s="23">
        <f>COUNTIFS(pg_transaction_cleaned!$O:$O,A2333,pg_transaction_cleaned!$F:$F,"REFUND")</f>
        <v>0</v>
      </c>
      <c r="M2333" s="39">
        <f>SUMIFS(pg_transaction_cleaned!$H:$H,pg_transaction_cleaned!$O:$O,A2333,pg_transaction_cleaned!$F:$F,"REFUND")</f>
        <v>0</v>
      </c>
      <c r="N2333" s="23" t="str">
        <f t="shared" si="146"/>
        <v>OK</v>
      </c>
      <c r="O2333" s="24">
        <f t="shared" si="147"/>
        <v>0</v>
      </c>
    </row>
    <row r="2334" spans="1:15" ht="15" customHeight="1" x14ac:dyDescent="0.3">
      <c r="A2334" s="23" t="s">
        <v>5160</v>
      </c>
      <c r="B2334" s="38">
        <v>46288</v>
      </c>
      <c r="C2334" s="23" t="s">
        <v>5161</v>
      </c>
      <c r="D2334" s="23" t="s">
        <v>92</v>
      </c>
      <c r="E2334" s="23" t="s">
        <v>79</v>
      </c>
      <c r="F2334" s="23" t="s">
        <v>340</v>
      </c>
      <c r="G2334" s="23" t="s">
        <v>365</v>
      </c>
      <c r="H2334" s="39">
        <f t="shared" si="144"/>
        <v>6298</v>
      </c>
      <c r="I2334" s="23" t="str">
        <f t="shared" si="145"/>
        <v>Hyderabad</v>
      </c>
      <c r="J2334" s="23">
        <f>COUNTIFS(pg_transaction_cleaned!$O:$O,A2334,pg_transaction_cleaned!$F:$F,"CAPTURE")</f>
        <v>0</v>
      </c>
      <c r="K2334" s="39">
        <f>SUMIFS(pg_transaction_cleaned!$H:$H,pg_transaction_cleaned!$O:$O,A2334,pg_transaction_cleaned!$F:$F,"CAPTURE")</f>
        <v>0</v>
      </c>
      <c r="L2334" s="23">
        <f>COUNTIFS(pg_transaction_cleaned!$O:$O,A2334,pg_transaction_cleaned!$F:$F,"REFUND")</f>
        <v>0</v>
      </c>
      <c r="M2334" s="39">
        <f>SUMIFS(pg_transaction_cleaned!$H:$H,pg_transaction_cleaned!$O:$O,A2334,pg_transaction_cleaned!$F:$F,"REFUND")</f>
        <v>0</v>
      </c>
      <c r="N2334" s="23" t="str">
        <f t="shared" si="146"/>
        <v>OK</v>
      </c>
      <c r="O2334" s="24">
        <f t="shared" si="147"/>
        <v>0</v>
      </c>
    </row>
    <row r="2335" spans="1:15" ht="15" customHeight="1" x14ac:dyDescent="0.3">
      <c r="A2335" s="23" t="s">
        <v>5162</v>
      </c>
      <c r="B2335" s="38">
        <v>46284</v>
      </c>
      <c r="C2335" s="23" t="s">
        <v>5163</v>
      </c>
      <c r="D2335" s="23" t="s">
        <v>92</v>
      </c>
      <c r="E2335" s="23" t="s">
        <v>75</v>
      </c>
      <c r="F2335" s="23" t="s">
        <v>291</v>
      </c>
      <c r="G2335" s="23" t="s">
        <v>250</v>
      </c>
      <c r="H2335" s="39">
        <f t="shared" si="144"/>
        <v>3499</v>
      </c>
      <c r="I2335" s="23" t="str">
        <f t="shared" si="145"/>
        <v>Hyderabad</v>
      </c>
      <c r="J2335" s="23">
        <f>COUNTIFS(pg_transaction_cleaned!$O:$O,A2335,pg_transaction_cleaned!$F:$F,"CAPTURE")</f>
        <v>1</v>
      </c>
      <c r="K2335" s="39">
        <f>SUMIFS(pg_transaction_cleaned!$H:$H,pg_transaction_cleaned!$O:$O,A2335,pg_transaction_cleaned!$F:$F,"CAPTURE")</f>
        <v>3499</v>
      </c>
      <c r="L2335" s="23">
        <f>COUNTIFS(pg_transaction_cleaned!$O:$O,A2335,pg_transaction_cleaned!$F:$F,"REFUND")</f>
        <v>0</v>
      </c>
      <c r="M2335" s="39">
        <f>SUMIFS(pg_transaction_cleaned!$H:$H,pg_transaction_cleaned!$O:$O,A2335,pg_transaction_cleaned!$F:$F,"REFUND")</f>
        <v>0</v>
      </c>
      <c r="N2335" s="23" t="str">
        <f t="shared" si="146"/>
        <v>OK</v>
      </c>
      <c r="O2335" s="24">
        <f t="shared" si="147"/>
        <v>0</v>
      </c>
    </row>
    <row r="2336" spans="1:15" ht="15" customHeight="1" x14ac:dyDescent="0.3">
      <c r="A2336" s="23" t="s">
        <v>5164</v>
      </c>
      <c r="B2336" s="38">
        <v>46293</v>
      </c>
      <c r="C2336" s="23" t="s">
        <v>5165</v>
      </c>
      <c r="D2336" s="23" t="s">
        <v>86</v>
      </c>
      <c r="E2336" s="23" t="s">
        <v>75</v>
      </c>
      <c r="F2336" s="23" t="s">
        <v>249</v>
      </c>
      <c r="G2336" s="23" t="s">
        <v>250</v>
      </c>
      <c r="H2336" s="39">
        <f t="shared" si="144"/>
        <v>299</v>
      </c>
      <c r="I2336" s="23" t="str">
        <f t="shared" si="145"/>
        <v>Delhi</v>
      </c>
      <c r="J2336" s="23">
        <f>COUNTIFS(pg_transaction_cleaned!$O:$O,A2336,pg_transaction_cleaned!$F:$F,"CAPTURE")</f>
        <v>1</v>
      </c>
      <c r="K2336" s="39">
        <f>SUMIFS(pg_transaction_cleaned!$H:$H,pg_transaction_cleaned!$O:$O,A2336,pg_transaction_cleaned!$F:$F,"CAPTURE")</f>
        <v>299</v>
      </c>
      <c r="L2336" s="23">
        <f>COUNTIFS(pg_transaction_cleaned!$O:$O,A2336,pg_transaction_cleaned!$F:$F,"REFUND")</f>
        <v>0</v>
      </c>
      <c r="M2336" s="39">
        <f>SUMIFS(pg_transaction_cleaned!$H:$H,pg_transaction_cleaned!$O:$O,A2336,pg_transaction_cleaned!$F:$F,"REFUND")</f>
        <v>0</v>
      </c>
      <c r="N2336" s="23" t="str">
        <f t="shared" si="146"/>
        <v>OK</v>
      </c>
      <c r="O2336" s="24">
        <f t="shared" si="147"/>
        <v>0</v>
      </c>
    </row>
    <row r="2337" spans="1:15" ht="15" customHeight="1" x14ac:dyDescent="0.3">
      <c r="A2337" s="23" t="s">
        <v>5166</v>
      </c>
      <c r="B2337" s="38">
        <v>46292</v>
      </c>
      <c r="C2337" s="23" t="s">
        <v>5167</v>
      </c>
      <c r="D2337" s="23" t="s">
        <v>86</v>
      </c>
      <c r="E2337" s="23" t="s">
        <v>75</v>
      </c>
      <c r="F2337" s="23" t="s">
        <v>329</v>
      </c>
      <c r="G2337" s="23" t="s">
        <v>250</v>
      </c>
      <c r="H2337" s="39">
        <f t="shared" si="144"/>
        <v>599</v>
      </c>
      <c r="I2337" s="23" t="str">
        <f t="shared" si="145"/>
        <v>Delhi</v>
      </c>
      <c r="J2337" s="23">
        <f>COUNTIFS(pg_transaction_cleaned!$O:$O,A2337,pg_transaction_cleaned!$F:$F,"CAPTURE")</f>
        <v>1</v>
      </c>
      <c r="K2337" s="39">
        <f>SUMIFS(pg_transaction_cleaned!$H:$H,pg_transaction_cleaned!$O:$O,A2337,pg_transaction_cleaned!$F:$F,"CAPTURE")</f>
        <v>599</v>
      </c>
      <c r="L2337" s="23">
        <f>COUNTIFS(pg_transaction_cleaned!$O:$O,A2337,pg_transaction_cleaned!$F:$F,"REFUND")</f>
        <v>0</v>
      </c>
      <c r="M2337" s="39">
        <f>SUMIFS(pg_transaction_cleaned!$H:$H,pg_transaction_cleaned!$O:$O,A2337,pg_transaction_cleaned!$F:$F,"REFUND")</f>
        <v>0</v>
      </c>
      <c r="N2337" s="23" t="str">
        <f t="shared" si="146"/>
        <v>OK</v>
      </c>
      <c r="O2337" s="24">
        <f t="shared" si="147"/>
        <v>0</v>
      </c>
    </row>
    <row r="2338" spans="1:15" ht="15" customHeight="1" x14ac:dyDescent="0.3">
      <c r="A2338" s="23" t="s">
        <v>5168</v>
      </c>
      <c r="B2338" s="38">
        <v>46290</v>
      </c>
      <c r="C2338" s="23" t="s">
        <v>5169</v>
      </c>
      <c r="D2338" s="23" t="s">
        <v>88</v>
      </c>
      <c r="E2338" s="23" t="s">
        <v>75</v>
      </c>
      <c r="F2338" s="23" t="s">
        <v>451</v>
      </c>
      <c r="G2338" s="23" t="s">
        <v>250</v>
      </c>
      <c r="H2338" s="39">
        <f t="shared" si="144"/>
        <v>1098</v>
      </c>
      <c r="I2338" s="23" t="str">
        <f t="shared" si="145"/>
        <v>Lucknow</v>
      </c>
      <c r="J2338" s="23">
        <f>COUNTIFS(pg_transaction_cleaned!$O:$O,A2338,pg_transaction_cleaned!$F:$F,"CAPTURE")</f>
        <v>1</v>
      </c>
      <c r="K2338" s="39">
        <f>SUMIFS(pg_transaction_cleaned!$H:$H,pg_transaction_cleaned!$O:$O,A2338,pg_transaction_cleaned!$F:$F,"CAPTURE")</f>
        <v>1098</v>
      </c>
      <c r="L2338" s="23">
        <f>COUNTIFS(pg_transaction_cleaned!$O:$O,A2338,pg_transaction_cleaned!$F:$F,"REFUND")</f>
        <v>0</v>
      </c>
      <c r="M2338" s="39">
        <f>SUMIFS(pg_transaction_cleaned!$H:$H,pg_transaction_cleaned!$O:$O,A2338,pg_transaction_cleaned!$F:$F,"REFUND")</f>
        <v>0</v>
      </c>
      <c r="N2338" s="23" t="str">
        <f t="shared" si="146"/>
        <v>OK</v>
      </c>
      <c r="O2338" s="24">
        <f t="shared" si="147"/>
        <v>0</v>
      </c>
    </row>
    <row r="2339" spans="1:15" ht="15" customHeight="1" x14ac:dyDescent="0.3">
      <c r="A2339" s="23" t="s">
        <v>5170</v>
      </c>
      <c r="B2339" s="38">
        <v>46293</v>
      </c>
      <c r="C2339" s="23" t="s">
        <v>5171</v>
      </c>
      <c r="D2339" s="23" t="s">
        <v>91</v>
      </c>
      <c r="E2339" s="23" t="s">
        <v>79</v>
      </c>
      <c r="F2339" s="23" t="s">
        <v>1108</v>
      </c>
      <c r="G2339" s="23" t="s">
        <v>250</v>
      </c>
      <c r="H2339" s="39">
        <f t="shared" si="144"/>
        <v>4098</v>
      </c>
      <c r="I2339" s="23" t="str">
        <f t="shared" si="145"/>
        <v>Pune</v>
      </c>
      <c r="J2339" s="23">
        <f>COUNTIFS(pg_transaction_cleaned!$O:$O,A2339,pg_transaction_cleaned!$F:$F,"CAPTURE")</f>
        <v>1</v>
      </c>
      <c r="K2339" s="39">
        <f>SUMIFS(pg_transaction_cleaned!$H:$H,pg_transaction_cleaned!$O:$O,A2339,pg_transaction_cleaned!$F:$F,"CAPTURE")</f>
        <v>4098</v>
      </c>
      <c r="L2339" s="23">
        <f>COUNTIFS(pg_transaction_cleaned!$O:$O,A2339,pg_transaction_cleaned!$F:$F,"REFUND")</f>
        <v>0</v>
      </c>
      <c r="M2339" s="39">
        <f>SUMIFS(pg_transaction_cleaned!$H:$H,pg_transaction_cleaned!$O:$O,A2339,pg_transaction_cleaned!$F:$F,"REFUND")</f>
        <v>0</v>
      </c>
      <c r="N2339" s="23" t="str">
        <f t="shared" si="146"/>
        <v>OK</v>
      </c>
      <c r="O2339" s="24">
        <f t="shared" si="147"/>
        <v>0</v>
      </c>
    </row>
    <row r="2340" spans="1:15" ht="15" customHeight="1" x14ac:dyDescent="0.3">
      <c r="A2340" s="23" t="s">
        <v>5172</v>
      </c>
      <c r="B2340" s="38">
        <v>46271</v>
      </c>
      <c r="C2340" s="23" t="s">
        <v>5173</v>
      </c>
      <c r="D2340" s="23" t="s">
        <v>87</v>
      </c>
      <c r="E2340" s="23" t="s">
        <v>77</v>
      </c>
      <c r="F2340" s="23" t="s">
        <v>262</v>
      </c>
      <c r="G2340" s="23" t="s">
        <v>250</v>
      </c>
      <c r="H2340" s="39">
        <f t="shared" si="144"/>
        <v>499</v>
      </c>
      <c r="I2340" s="23" t="str">
        <f t="shared" si="145"/>
        <v>Mumbai</v>
      </c>
      <c r="J2340" s="23">
        <f>COUNTIFS(pg_transaction_cleaned!$O:$O,A2340,pg_transaction_cleaned!$F:$F,"CAPTURE")</f>
        <v>1</v>
      </c>
      <c r="K2340" s="39">
        <f>SUMIFS(pg_transaction_cleaned!$H:$H,pg_transaction_cleaned!$O:$O,A2340,pg_transaction_cleaned!$F:$F,"CAPTURE")</f>
        <v>499</v>
      </c>
      <c r="L2340" s="23">
        <f>COUNTIFS(pg_transaction_cleaned!$O:$O,A2340,pg_transaction_cleaned!$F:$F,"REFUND")</f>
        <v>0</v>
      </c>
      <c r="M2340" s="39">
        <f>SUMIFS(pg_transaction_cleaned!$H:$H,pg_transaction_cleaned!$O:$O,A2340,pg_transaction_cleaned!$F:$F,"REFUND")</f>
        <v>0</v>
      </c>
      <c r="N2340" s="23" t="str">
        <f t="shared" si="146"/>
        <v>OK</v>
      </c>
      <c r="O2340" s="24">
        <f t="shared" si="147"/>
        <v>0</v>
      </c>
    </row>
    <row r="2341" spans="1:15" ht="15" customHeight="1" x14ac:dyDescent="0.3">
      <c r="A2341" s="23" t="s">
        <v>5174</v>
      </c>
      <c r="B2341" s="38">
        <v>46280</v>
      </c>
      <c r="C2341" s="23" t="s">
        <v>5175</v>
      </c>
      <c r="D2341" s="23" t="s">
        <v>94</v>
      </c>
      <c r="E2341" s="23" t="s">
        <v>75</v>
      </c>
      <c r="F2341" s="23" t="s">
        <v>499</v>
      </c>
      <c r="G2341" s="23" t="s">
        <v>250</v>
      </c>
      <c r="H2341" s="39">
        <f t="shared" si="144"/>
        <v>5998</v>
      </c>
      <c r="I2341" s="23" t="str">
        <f t="shared" si="145"/>
        <v>Chennai</v>
      </c>
      <c r="J2341" s="23">
        <f>COUNTIFS(pg_transaction_cleaned!$O:$O,A2341,pg_transaction_cleaned!$F:$F,"CAPTURE")</f>
        <v>1</v>
      </c>
      <c r="K2341" s="39">
        <f>SUMIFS(pg_transaction_cleaned!$H:$H,pg_transaction_cleaned!$O:$O,A2341,pg_transaction_cleaned!$F:$F,"CAPTURE")</f>
        <v>5998</v>
      </c>
      <c r="L2341" s="23">
        <f>COUNTIFS(pg_transaction_cleaned!$O:$O,A2341,pg_transaction_cleaned!$F:$F,"REFUND")</f>
        <v>0</v>
      </c>
      <c r="M2341" s="39">
        <f>SUMIFS(pg_transaction_cleaned!$H:$H,pg_transaction_cleaned!$O:$O,A2341,pg_transaction_cleaned!$F:$F,"REFUND")</f>
        <v>0</v>
      </c>
      <c r="N2341" s="23" t="str">
        <f t="shared" si="146"/>
        <v>OK</v>
      </c>
      <c r="O2341" s="24">
        <f t="shared" si="147"/>
        <v>0</v>
      </c>
    </row>
    <row r="2342" spans="1:15" ht="15" customHeight="1" x14ac:dyDescent="0.3">
      <c r="A2342" s="23" t="s">
        <v>5176</v>
      </c>
      <c r="B2342" s="38">
        <v>46286</v>
      </c>
      <c r="C2342" s="23" t="s">
        <v>5177</v>
      </c>
      <c r="D2342" s="23" t="s">
        <v>93</v>
      </c>
      <c r="E2342" s="23" t="s">
        <v>75</v>
      </c>
      <c r="F2342" s="23" t="s">
        <v>423</v>
      </c>
      <c r="G2342" s="23" t="s">
        <v>250</v>
      </c>
      <c r="H2342" s="39">
        <f t="shared" si="144"/>
        <v>1648</v>
      </c>
      <c r="I2342" s="23" t="str">
        <f t="shared" si="145"/>
        <v>Kolkata</v>
      </c>
      <c r="J2342" s="23">
        <f>COUNTIFS(pg_transaction_cleaned!$O:$O,A2342,pg_transaction_cleaned!$F:$F,"CAPTURE")</f>
        <v>1</v>
      </c>
      <c r="K2342" s="39">
        <f>SUMIFS(pg_transaction_cleaned!$H:$H,pg_transaction_cleaned!$O:$O,A2342,pg_transaction_cleaned!$F:$F,"CAPTURE")</f>
        <v>1648</v>
      </c>
      <c r="L2342" s="23">
        <f>COUNTIFS(pg_transaction_cleaned!$O:$O,A2342,pg_transaction_cleaned!$F:$F,"REFUND")</f>
        <v>0</v>
      </c>
      <c r="M2342" s="39">
        <f>SUMIFS(pg_transaction_cleaned!$H:$H,pg_transaction_cleaned!$O:$O,A2342,pg_transaction_cleaned!$F:$F,"REFUND")</f>
        <v>0</v>
      </c>
      <c r="N2342" s="23" t="str">
        <f t="shared" si="146"/>
        <v>OK</v>
      </c>
      <c r="O2342" s="24">
        <f t="shared" si="147"/>
        <v>0</v>
      </c>
    </row>
    <row r="2343" spans="1:15" ht="15" customHeight="1" x14ac:dyDescent="0.3">
      <c r="A2343" s="23" t="s">
        <v>5178</v>
      </c>
      <c r="B2343" s="38">
        <v>46268</v>
      </c>
      <c r="C2343" s="23" t="s">
        <v>5179</v>
      </c>
      <c r="D2343" s="23" t="s">
        <v>90</v>
      </c>
      <c r="E2343" s="23" t="s">
        <v>77</v>
      </c>
      <c r="F2343" s="23" t="s">
        <v>274</v>
      </c>
      <c r="G2343" s="23" t="s">
        <v>250</v>
      </c>
      <c r="H2343" s="39">
        <f t="shared" si="144"/>
        <v>349</v>
      </c>
      <c r="I2343" s="23" t="str">
        <f t="shared" si="145"/>
        <v>Ahmedabad</v>
      </c>
      <c r="J2343" s="23">
        <f>COUNTIFS(pg_transaction_cleaned!$O:$O,A2343,pg_transaction_cleaned!$F:$F,"CAPTURE")</f>
        <v>1</v>
      </c>
      <c r="K2343" s="39">
        <f>SUMIFS(pg_transaction_cleaned!$H:$H,pg_transaction_cleaned!$O:$O,A2343,pg_transaction_cleaned!$F:$F,"CAPTURE")</f>
        <v>349</v>
      </c>
      <c r="L2343" s="23">
        <f>COUNTIFS(pg_transaction_cleaned!$O:$O,A2343,pg_transaction_cleaned!$F:$F,"REFUND")</f>
        <v>0</v>
      </c>
      <c r="M2343" s="39">
        <f>SUMIFS(pg_transaction_cleaned!$H:$H,pg_transaction_cleaned!$O:$O,A2343,pg_transaction_cleaned!$F:$F,"REFUND")</f>
        <v>0</v>
      </c>
      <c r="N2343" s="23" t="str">
        <f t="shared" si="146"/>
        <v>OK</v>
      </c>
      <c r="O2343" s="24">
        <f t="shared" si="147"/>
        <v>0</v>
      </c>
    </row>
    <row r="2344" spans="1:15" ht="15" customHeight="1" x14ac:dyDescent="0.3">
      <c r="A2344" s="23" t="s">
        <v>5180</v>
      </c>
      <c r="B2344" s="38">
        <v>46278</v>
      </c>
      <c r="C2344" s="23" t="s">
        <v>5181</v>
      </c>
      <c r="D2344" s="23" t="s">
        <v>86</v>
      </c>
      <c r="E2344" s="23" t="s">
        <v>75</v>
      </c>
      <c r="F2344" s="23" t="s">
        <v>451</v>
      </c>
      <c r="G2344" s="23" t="s">
        <v>250</v>
      </c>
      <c r="H2344" s="39">
        <f t="shared" si="144"/>
        <v>1098</v>
      </c>
      <c r="I2344" s="23" t="str">
        <f t="shared" si="145"/>
        <v>Delhi</v>
      </c>
      <c r="J2344" s="23">
        <f>COUNTIFS(pg_transaction_cleaned!$O:$O,A2344,pg_transaction_cleaned!$F:$F,"CAPTURE")</f>
        <v>1</v>
      </c>
      <c r="K2344" s="39">
        <f>SUMIFS(pg_transaction_cleaned!$H:$H,pg_transaction_cleaned!$O:$O,A2344,pg_transaction_cleaned!$F:$F,"CAPTURE")</f>
        <v>1098</v>
      </c>
      <c r="L2344" s="23">
        <f>COUNTIFS(pg_transaction_cleaned!$O:$O,A2344,pg_transaction_cleaned!$F:$F,"REFUND")</f>
        <v>0</v>
      </c>
      <c r="M2344" s="39">
        <f>SUMIFS(pg_transaction_cleaned!$H:$H,pg_transaction_cleaned!$O:$O,A2344,pg_transaction_cleaned!$F:$F,"REFUND")</f>
        <v>0</v>
      </c>
      <c r="N2344" s="23" t="str">
        <f t="shared" si="146"/>
        <v>OK</v>
      </c>
      <c r="O2344" s="24">
        <f t="shared" si="147"/>
        <v>0</v>
      </c>
    </row>
    <row r="2345" spans="1:15" ht="15" customHeight="1" x14ac:dyDescent="0.3">
      <c r="A2345" s="23" t="s">
        <v>5182</v>
      </c>
      <c r="B2345" s="38">
        <v>46287</v>
      </c>
      <c r="C2345" s="23" t="s">
        <v>5183</v>
      </c>
      <c r="D2345" s="23" t="s">
        <v>92</v>
      </c>
      <c r="E2345" s="23" t="s">
        <v>75</v>
      </c>
      <c r="F2345" s="23" t="s">
        <v>315</v>
      </c>
      <c r="G2345" s="23" t="s">
        <v>250</v>
      </c>
      <c r="H2345" s="39">
        <f t="shared" si="144"/>
        <v>1499</v>
      </c>
      <c r="I2345" s="23" t="str">
        <f t="shared" si="145"/>
        <v>Hyderabad</v>
      </c>
      <c r="J2345" s="23">
        <f>COUNTIFS(pg_transaction_cleaned!$O:$O,A2345,pg_transaction_cleaned!$F:$F,"CAPTURE")</f>
        <v>1</v>
      </c>
      <c r="K2345" s="39">
        <f>SUMIFS(pg_transaction_cleaned!$H:$H,pg_transaction_cleaned!$O:$O,A2345,pg_transaction_cleaned!$F:$F,"CAPTURE")</f>
        <v>1499</v>
      </c>
      <c r="L2345" s="23">
        <f>COUNTIFS(pg_transaction_cleaned!$O:$O,A2345,pg_transaction_cleaned!$F:$F,"REFUND")</f>
        <v>0</v>
      </c>
      <c r="M2345" s="39">
        <f>SUMIFS(pg_transaction_cleaned!$H:$H,pg_transaction_cleaned!$O:$O,A2345,pg_transaction_cleaned!$F:$F,"REFUND")</f>
        <v>0</v>
      </c>
      <c r="N2345" s="23" t="str">
        <f t="shared" si="146"/>
        <v>OK</v>
      </c>
      <c r="O2345" s="24">
        <f t="shared" si="147"/>
        <v>0</v>
      </c>
    </row>
    <row r="2346" spans="1:15" ht="15" customHeight="1" x14ac:dyDescent="0.3">
      <c r="A2346" s="23" t="s">
        <v>5184</v>
      </c>
      <c r="B2346" s="38">
        <v>46281</v>
      </c>
      <c r="C2346" s="23" t="s">
        <v>5185</v>
      </c>
      <c r="D2346" s="23" t="s">
        <v>89</v>
      </c>
      <c r="E2346" s="23" t="s">
        <v>79</v>
      </c>
      <c r="F2346" s="23" t="s">
        <v>297</v>
      </c>
      <c r="G2346" s="23" t="s">
        <v>250</v>
      </c>
      <c r="H2346" s="39">
        <f t="shared" si="144"/>
        <v>4999</v>
      </c>
      <c r="I2346" s="23" t="str">
        <f t="shared" si="145"/>
        <v>Jaipur</v>
      </c>
      <c r="J2346" s="23">
        <f>COUNTIFS(pg_transaction_cleaned!$O:$O,A2346,pg_transaction_cleaned!$F:$F,"CAPTURE")</f>
        <v>1</v>
      </c>
      <c r="K2346" s="39">
        <f>SUMIFS(pg_transaction_cleaned!$H:$H,pg_transaction_cleaned!$O:$O,A2346,pg_transaction_cleaned!$F:$F,"CAPTURE")</f>
        <v>4999</v>
      </c>
      <c r="L2346" s="23">
        <f>COUNTIFS(pg_transaction_cleaned!$O:$O,A2346,pg_transaction_cleaned!$F:$F,"REFUND")</f>
        <v>0</v>
      </c>
      <c r="M2346" s="39">
        <f>SUMIFS(pg_transaction_cleaned!$H:$H,pg_transaction_cleaned!$O:$O,A2346,pg_transaction_cleaned!$F:$F,"REFUND")</f>
        <v>0</v>
      </c>
      <c r="N2346" s="23" t="str">
        <f t="shared" si="146"/>
        <v>OK</v>
      </c>
      <c r="O2346" s="24">
        <f t="shared" si="147"/>
        <v>0</v>
      </c>
    </row>
    <row r="2347" spans="1:15" ht="15" customHeight="1" x14ac:dyDescent="0.3">
      <c r="A2347" s="23" t="s">
        <v>5186</v>
      </c>
      <c r="B2347" s="38">
        <v>46267</v>
      </c>
      <c r="C2347" s="23" t="s">
        <v>3936</v>
      </c>
      <c r="D2347" s="23" t="s">
        <v>87</v>
      </c>
      <c r="E2347" s="23" t="s">
        <v>75</v>
      </c>
      <c r="F2347" s="23" t="s">
        <v>329</v>
      </c>
      <c r="G2347" s="23" t="s">
        <v>250</v>
      </c>
      <c r="H2347" s="39">
        <f t="shared" si="144"/>
        <v>599</v>
      </c>
      <c r="I2347" s="23" t="str">
        <f t="shared" si="145"/>
        <v>Mumbai</v>
      </c>
      <c r="J2347" s="23">
        <f>COUNTIFS(pg_transaction_cleaned!$O:$O,A2347,pg_transaction_cleaned!$F:$F,"CAPTURE")</f>
        <v>1</v>
      </c>
      <c r="K2347" s="39">
        <f>SUMIFS(pg_transaction_cleaned!$H:$H,pg_transaction_cleaned!$O:$O,A2347,pg_transaction_cleaned!$F:$F,"CAPTURE")</f>
        <v>599</v>
      </c>
      <c r="L2347" s="23">
        <f>COUNTIFS(pg_transaction_cleaned!$O:$O,A2347,pg_transaction_cleaned!$F:$F,"REFUND")</f>
        <v>0</v>
      </c>
      <c r="M2347" s="39">
        <f>SUMIFS(pg_transaction_cleaned!$H:$H,pg_transaction_cleaned!$O:$O,A2347,pg_transaction_cleaned!$F:$F,"REFUND")</f>
        <v>0</v>
      </c>
      <c r="N2347" s="23" t="str">
        <f t="shared" si="146"/>
        <v>OK</v>
      </c>
      <c r="O2347" s="24">
        <f t="shared" si="147"/>
        <v>0</v>
      </c>
    </row>
    <row r="2348" spans="1:15" ht="15" customHeight="1" x14ac:dyDescent="0.3">
      <c r="A2348" s="23" t="s">
        <v>5187</v>
      </c>
      <c r="B2348" s="38">
        <v>46277</v>
      </c>
      <c r="C2348" s="23" t="s">
        <v>5188</v>
      </c>
      <c r="D2348" s="23" t="s">
        <v>92</v>
      </c>
      <c r="E2348" s="23" t="s">
        <v>75</v>
      </c>
      <c r="F2348" s="23" t="s">
        <v>294</v>
      </c>
      <c r="G2348" s="23" t="s">
        <v>250</v>
      </c>
      <c r="H2348" s="39">
        <f t="shared" si="144"/>
        <v>1799</v>
      </c>
      <c r="I2348" s="23" t="str">
        <f t="shared" si="145"/>
        <v>Hyderabad</v>
      </c>
      <c r="J2348" s="23">
        <f>COUNTIFS(pg_transaction_cleaned!$O:$O,A2348,pg_transaction_cleaned!$F:$F,"CAPTURE")</f>
        <v>1</v>
      </c>
      <c r="K2348" s="39">
        <f>SUMIFS(pg_transaction_cleaned!$H:$H,pg_transaction_cleaned!$O:$O,A2348,pg_transaction_cleaned!$F:$F,"CAPTURE")</f>
        <v>1799</v>
      </c>
      <c r="L2348" s="23">
        <f>COUNTIFS(pg_transaction_cleaned!$O:$O,A2348,pg_transaction_cleaned!$F:$F,"REFUND")</f>
        <v>0</v>
      </c>
      <c r="M2348" s="39">
        <f>SUMIFS(pg_transaction_cleaned!$H:$H,pg_transaction_cleaned!$O:$O,A2348,pg_transaction_cleaned!$F:$F,"REFUND")</f>
        <v>0</v>
      </c>
      <c r="N2348" s="23" t="str">
        <f t="shared" si="146"/>
        <v>OK</v>
      </c>
      <c r="O2348" s="24">
        <f t="shared" si="147"/>
        <v>0</v>
      </c>
    </row>
    <row r="2349" spans="1:15" ht="15" customHeight="1" x14ac:dyDescent="0.3">
      <c r="A2349" s="23" t="s">
        <v>5189</v>
      </c>
      <c r="B2349" s="38">
        <v>46284</v>
      </c>
      <c r="C2349" s="23" t="s">
        <v>5190</v>
      </c>
      <c r="D2349" s="23" t="s">
        <v>90</v>
      </c>
      <c r="E2349" s="23" t="s">
        <v>75</v>
      </c>
      <c r="F2349" s="23" t="s">
        <v>451</v>
      </c>
      <c r="G2349" s="23" t="s">
        <v>365</v>
      </c>
      <c r="H2349" s="39">
        <f t="shared" si="144"/>
        <v>1098</v>
      </c>
      <c r="I2349" s="23" t="str">
        <f t="shared" si="145"/>
        <v>Ahmedabad</v>
      </c>
      <c r="J2349" s="23">
        <f>COUNTIFS(pg_transaction_cleaned!$O:$O,A2349,pg_transaction_cleaned!$F:$F,"CAPTURE")</f>
        <v>0</v>
      </c>
      <c r="K2349" s="39">
        <f>SUMIFS(pg_transaction_cleaned!$H:$H,pg_transaction_cleaned!$O:$O,A2349,pg_transaction_cleaned!$F:$F,"CAPTURE")</f>
        <v>0</v>
      </c>
      <c r="L2349" s="23">
        <f>COUNTIFS(pg_transaction_cleaned!$O:$O,A2349,pg_transaction_cleaned!$F:$F,"REFUND")</f>
        <v>0</v>
      </c>
      <c r="M2349" s="39">
        <f>SUMIFS(pg_transaction_cleaned!$H:$H,pg_transaction_cleaned!$O:$O,A2349,pg_transaction_cleaned!$F:$F,"REFUND")</f>
        <v>0</v>
      </c>
      <c r="N2349" s="23" t="str">
        <f t="shared" si="146"/>
        <v>OK</v>
      </c>
      <c r="O2349" s="24">
        <f t="shared" si="147"/>
        <v>0</v>
      </c>
    </row>
    <row r="2350" spans="1:15" ht="15" customHeight="1" x14ac:dyDescent="0.3">
      <c r="A2350" s="23" t="s">
        <v>5191</v>
      </c>
      <c r="B2350" s="38">
        <v>46291</v>
      </c>
      <c r="C2350" s="23" t="s">
        <v>5192</v>
      </c>
      <c r="D2350" s="23" t="s">
        <v>91</v>
      </c>
      <c r="E2350" s="23" t="s">
        <v>75</v>
      </c>
      <c r="F2350" s="23" t="s">
        <v>329</v>
      </c>
      <c r="G2350" s="23" t="s">
        <v>250</v>
      </c>
      <c r="H2350" s="39">
        <f t="shared" si="144"/>
        <v>599</v>
      </c>
      <c r="I2350" s="23" t="str">
        <f t="shared" si="145"/>
        <v>Pune</v>
      </c>
      <c r="J2350" s="23">
        <f>COUNTIFS(pg_transaction_cleaned!$O:$O,A2350,pg_transaction_cleaned!$F:$F,"CAPTURE")</f>
        <v>1</v>
      </c>
      <c r="K2350" s="39">
        <f>SUMIFS(pg_transaction_cleaned!$H:$H,pg_transaction_cleaned!$O:$O,A2350,pg_transaction_cleaned!$F:$F,"CAPTURE")</f>
        <v>599</v>
      </c>
      <c r="L2350" s="23">
        <f>COUNTIFS(pg_transaction_cleaned!$O:$O,A2350,pg_transaction_cleaned!$F:$F,"REFUND")</f>
        <v>0</v>
      </c>
      <c r="M2350" s="39">
        <f>SUMIFS(pg_transaction_cleaned!$H:$H,pg_transaction_cleaned!$O:$O,A2350,pg_transaction_cleaned!$F:$F,"REFUND")</f>
        <v>0</v>
      </c>
      <c r="N2350" s="23" t="str">
        <f t="shared" si="146"/>
        <v>OK</v>
      </c>
      <c r="O2350" s="24">
        <f t="shared" si="147"/>
        <v>0</v>
      </c>
    </row>
    <row r="2351" spans="1:15" ht="15" customHeight="1" x14ac:dyDescent="0.3">
      <c r="A2351" s="23" t="s">
        <v>5193</v>
      </c>
      <c r="B2351" s="38">
        <v>46271</v>
      </c>
      <c r="C2351" s="23" t="s">
        <v>5194</v>
      </c>
      <c r="D2351" s="23" t="s">
        <v>86</v>
      </c>
      <c r="E2351" s="23" t="s">
        <v>81</v>
      </c>
      <c r="F2351" s="23" t="s">
        <v>772</v>
      </c>
      <c r="G2351" s="23" t="s">
        <v>250</v>
      </c>
      <c r="H2351" s="39">
        <f t="shared" si="144"/>
        <v>4798</v>
      </c>
      <c r="I2351" s="23" t="str">
        <f t="shared" si="145"/>
        <v>Delhi</v>
      </c>
      <c r="J2351" s="23">
        <f>COUNTIFS(pg_transaction_cleaned!$O:$O,A2351,pg_transaction_cleaned!$F:$F,"CAPTURE")</f>
        <v>1</v>
      </c>
      <c r="K2351" s="39">
        <f>SUMIFS(pg_transaction_cleaned!$H:$H,pg_transaction_cleaned!$O:$O,A2351,pg_transaction_cleaned!$F:$F,"CAPTURE")</f>
        <v>4798</v>
      </c>
      <c r="L2351" s="23">
        <f>COUNTIFS(pg_transaction_cleaned!$O:$O,A2351,pg_transaction_cleaned!$F:$F,"REFUND")</f>
        <v>0</v>
      </c>
      <c r="M2351" s="39">
        <f>SUMIFS(pg_transaction_cleaned!$H:$H,pg_transaction_cleaned!$O:$O,A2351,pg_transaction_cleaned!$F:$F,"REFUND")</f>
        <v>0</v>
      </c>
      <c r="N2351" s="23" t="str">
        <f t="shared" si="146"/>
        <v>OK</v>
      </c>
      <c r="O2351" s="24">
        <f t="shared" si="147"/>
        <v>0</v>
      </c>
    </row>
    <row r="2352" spans="1:15" ht="15" customHeight="1" x14ac:dyDescent="0.3">
      <c r="A2352" s="23" t="s">
        <v>5195</v>
      </c>
      <c r="B2352" s="38">
        <v>46287</v>
      </c>
      <c r="C2352" s="23" t="s">
        <v>5196</v>
      </c>
      <c r="D2352" s="23" t="s">
        <v>90</v>
      </c>
      <c r="E2352" s="23" t="s">
        <v>81</v>
      </c>
      <c r="F2352" s="23" t="s">
        <v>310</v>
      </c>
      <c r="G2352" s="23" t="s">
        <v>250</v>
      </c>
      <c r="H2352" s="39">
        <f t="shared" si="144"/>
        <v>7999</v>
      </c>
      <c r="I2352" s="23" t="str">
        <f t="shared" si="145"/>
        <v>Ahmedabad</v>
      </c>
      <c r="J2352" s="23">
        <f>COUNTIFS(pg_transaction_cleaned!$O:$O,A2352,pg_transaction_cleaned!$F:$F,"CAPTURE")</f>
        <v>1</v>
      </c>
      <c r="K2352" s="39">
        <f>SUMIFS(pg_transaction_cleaned!$H:$H,pg_transaction_cleaned!$O:$O,A2352,pg_transaction_cleaned!$F:$F,"CAPTURE")</f>
        <v>7999</v>
      </c>
      <c r="L2352" s="23">
        <f>COUNTIFS(pg_transaction_cleaned!$O:$O,A2352,pg_transaction_cleaned!$F:$F,"REFUND")</f>
        <v>0</v>
      </c>
      <c r="M2352" s="39">
        <f>SUMIFS(pg_transaction_cleaned!$H:$H,pg_transaction_cleaned!$O:$O,A2352,pg_transaction_cleaned!$F:$F,"REFUND")</f>
        <v>0</v>
      </c>
      <c r="N2352" s="23" t="str">
        <f t="shared" si="146"/>
        <v>OK</v>
      </c>
      <c r="O2352" s="24">
        <f t="shared" si="147"/>
        <v>0</v>
      </c>
    </row>
    <row r="2353" spans="1:15" ht="15" customHeight="1" x14ac:dyDescent="0.3">
      <c r="A2353" s="23" t="s">
        <v>5197</v>
      </c>
      <c r="B2353" s="38">
        <v>46282</v>
      </c>
      <c r="C2353" s="23" t="s">
        <v>5198</v>
      </c>
      <c r="D2353" s="23" t="s">
        <v>94</v>
      </c>
      <c r="E2353" s="23" t="s">
        <v>79</v>
      </c>
      <c r="F2353" s="23" t="s">
        <v>271</v>
      </c>
      <c r="G2353" s="23" t="s">
        <v>250</v>
      </c>
      <c r="H2353" s="39">
        <f t="shared" si="144"/>
        <v>2499</v>
      </c>
      <c r="I2353" s="23" t="str">
        <f t="shared" si="145"/>
        <v>Chennai</v>
      </c>
      <c r="J2353" s="23">
        <f>COUNTIFS(pg_transaction_cleaned!$O:$O,A2353,pg_transaction_cleaned!$F:$F,"CAPTURE")</f>
        <v>1</v>
      </c>
      <c r="K2353" s="39">
        <f>SUMIFS(pg_transaction_cleaned!$H:$H,pg_transaction_cleaned!$O:$O,A2353,pg_transaction_cleaned!$F:$F,"CAPTURE")</f>
        <v>2499</v>
      </c>
      <c r="L2353" s="23">
        <f>COUNTIFS(pg_transaction_cleaned!$O:$O,A2353,pg_transaction_cleaned!$F:$F,"REFUND")</f>
        <v>0</v>
      </c>
      <c r="M2353" s="39">
        <f>SUMIFS(pg_transaction_cleaned!$H:$H,pg_transaction_cleaned!$O:$O,A2353,pg_transaction_cleaned!$F:$F,"REFUND")</f>
        <v>0</v>
      </c>
      <c r="N2353" s="23" t="str">
        <f t="shared" si="146"/>
        <v>OK</v>
      </c>
      <c r="O2353" s="24">
        <f t="shared" si="147"/>
        <v>0</v>
      </c>
    </row>
    <row r="2354" spans="1:15" ht="15" customHeight="1" x14ac:dyDescent="0.3">
      <c r="A2354" s="23" t="s">
        <v>5199</v>
      </c>
      <c r="B2354" s="38">
        <v>46273</v>
      </c>
      <c r="C2354" s="23" t="s">
        <v>5200</v>
      </c>
      <c r="D2354" s="23" t="s">
        <v>93</v>
      </c>
      <c r="E2354" s="23" t="s">
        <v>75</v>
      </c>
      <c r="F2354" s="23" t="s">
        <v>268</v>
      </c>
      <c r="G2354" s="23" t="s">
        <v>250</v>
      </c>
      <c r="H2354" s="39">
        <f t="shared" si="144"/>
        <v>1299</v>
      </c>
      <c r="I2354" s="23" t="str">
        <f t="shared" si="145"/>
        <v>Kolkata</v>
      </c>
      <c r="J2354" s="23">
        <f>COUNTIFS(pg_transaction_cleaned!$O:$O,A2354,pg_transaction_cleaned!$F:$F,"CAPTURE")</f>
        <v>1</v>
      </c>
      <c r="K2354" s="39">
        <f>SUMIFS(pg_transaction_cleaned!$H:$H,pg_transaction_cleaned!$O:$O,A2354,pg_transaction_cleaned!$F:$F,"CAPTURE")</f>
        <v>1299</v>
      </c>
      <c r="L2354" s="23">
        <f>COUNTIFS(pg_transaction_cleaned!$O:$O,A2354,pg_transaction_cleaned!$F:$F,"REFUND")</f>
        <v>0</v>
      </c>
      <c r="M2354" s="39">
        <f>SUMIFS(pg_transaction_cleaned!$H:$H,pg_transaction_cleaned!$O:$O,A2354,pg_transaction_cleaned!$F:$F,"REFUND")</f>
        <v>0</v>
      </c>
      <c r="N2354" s="23" t="str">
        <f t="shared" si="146"/>
        <v>OK</v>
      </c>
      <c r="O2354" s="24">
        <f t="shared" si="147"/>
        <v>0</v>
      </c>
    </row>
    <row r="2355" spans="1:15" ht="15" customHeight="1" x14ac:dyDescent="0.3">
      <c r="A2355" s="23" t="s">
        <v>5201</v>
      </c>
      <c r="B2355" s="38">
        <v>46266</v>
      </c>
      <c r="C2355" s="23" t="s">
        <v>5202</v>
      </c>
      <c r="D2355" s="23" t="s">
        <v>88</v>
      </c>
      <c r="E2355" s="23" t="s">
        <v>75</v>
      </c>
      <c r="F2355" s="23" t="s">
        <v>396</v>
      </c>
      <c r="G2355" s="23" t="s">
        <v>250</v>
      </c>
      <c r="H2355" s="39">
        <f t="shared" si="144"/>
        <v>2999</v>
      </c>
      <c r="I2355" s="23" t="str">
        <f t="shared" si="145"/>
        <v>Lucknow</v>
      </c>
      <c r="J2355" s="23">
        <f>COUNTIFS(pg_transaction_cleaned!$O:$O,A2355,pg_transaction_cleaned!$F:$F,"CAPTURE")</f>
        <v>1</v>
      </c>
      <c r="K2355" s="39">
        <f>SUMIFS(pg_transaction_cleaned!$H:$H,pg_transaction_cleaned!$O:$O,A2355,pg_transaction_cleaned!$F:$F,"CAPTURE")</f>
        <v>2999</v>
      </c>
      <c r="L2355" s="23">
        <f>COUNTIFS(pg_transaction_cleaned!$O:$O,A2355,pg_transaction_cleaned!$F:$F,"REFUND")</f>
        <v>0</v>
      </c>
      <c r="M2355" s="39">
        <f>SUMIFS(pg_transaction_cleaned!$H:$H,pg_transaction_cleaned!$O:$O,A2355,pg_transaction_cleaned!$F:$F,"REFUND")</f>
        <v>0</v>
      </c>
      <c r="N2355" s="23" t="str">
        <f t="shared" si="146"/>
        <v>OK</v>
      </c>
      <c r="O2355" s="24">
        <f t="shared" si="147"/>
        <v>0</v>
      </c>
    </row>
    <row r="2356" spans="1:15" ht="15" customHeight="1" x14ac:dyDescent="0.3">
      <c r="A2356" s="23" t="s">
        <v>5203</v>
      </c>
      <c r="B2356" s="38">
        <v>46292</v>
      </c>
      <c r="C2356" s="23" t="s">
        <v>5204</v>
      </c>
      <c r="D2356" s="23" t="s">
        <v>93</v>
      </c>
      <c r="E2356" s="23" t="s">
        <v>75</v>
      </c>
      <c r="F2356" s="23" t="s">
        <v>291</v>
      </c>
      <c r="G2356" s="23" t="s">
        <v>365</v>
      </c>
      <c r="H2356" s="39">
        <f t="shared" si="144"/>
        <v>3499</v>
      </c>
      <c r="I2356" s="23" t="str">
        <f t="shared" si="145"/>
        <v>Kolkata</v>
      </c>
      <c r="J2356" s="23">
        <f>COUNTIFS(pg_transaction_cleaned!$O:$O,A2356,pg_transaction_cleaned!$F:$F,"CAPTURE")</f>
        <v>0</v>
      </c>
      <c r="K2356" s="39">
        <f>SUMIFS(pg_transaction_cleaned!$H:$H,pg_transaction_cleaned!$O:$O,A2356,pg_transaction_cleaned!$F:$F,"CAPTURE")</f>
        <v>0</v>
      </c>
      <c r="L2356" s="23">
        <f>COUNTIFS(pg_transaction_cleaned!$O:$O,A2356,pg_transaction_cleaned!$F:$F,"REFUND")</f>
        <v>0</v>
      </c>
      <c r="M2356" s="39">
        <f>SUMIFS(pg_transaction_cleaned!$H:$H,pg_transaction_cleaned!$O:$O,A2356,pg_transaction_cleaned!$F:$F,"REFUND")</f>
        <v>0</v>
      </c>
      <c r="N2356" s="23" t="str">
        <f t="shared" si="146"/>
        <v>OK</v>
      </c>
      <c r="O2356" s="24">
        <f t="shared" si="147"/>
        <v>0</v>
      </c>
    </row>
    <row r="2357" spans="1:15" ht="15" customHeight="1" x14ac:dyDescent="0.3">
      <c r="A2357" s="23" t="s">
        <v>5205</v>
      </c>
      <c r="B2357" s="38">
        <v>46286</v>
      </c>
      <c r="C2357" s="23" t="s">
        <v>5206</v>
      </c>
      <c r="D2357" s="23" t="s">
        <v>93</v>
      </c>
      <c r="E2357" s="23" t="s">
        <v>75</v>
      </c>
      <c r="F2357" s="23" t="s">
        <v>1038</v>
      </c>
      <c r="G2357" s="23" t="s">
        <v>250</v>
      </c>
      <c r="H2357" s="39">
        <f t="shared" si="144"/>
        <v>3597</v>
      </c>
      <c r="I2357" s="23" t="str">
        <f t="shared" si="145"/>
        <v>Kolkata</v>
      </c>
      <c r="J2357" s="23">
        <f>COUNTIFS(pg_transaction_cleaned!$O:$O,A2357,pg_transaction_cleaned!$F:$F,"CAPTURE")</f>
        <v>1</v>
      </c>
      <c r="K2357" s="39">
        <f>SUMIFS(pg_transaction_cleaned!$H:$H,pg_transaction_cleaned!$O:$O,A2357,pg_transaction_cleaned!$F:$F,"CAPTURE")</f>
        <v>3597</v>
      </c>
      <c r="L2357" s="23">
        <f>COUNTIFS(pg_transaction_cleaned!$O:$O,A2357,pg_transaction_cleaned!$F:$F,"REFUND")</f>
        <v>0</v>
      </c>
      <c r="M2357" s="39">
        <f>SUMIFS(pg_transaction_cleaned!$H:$H,pg_transaction_cleaned!$O:$O,A2357,pg_transaction_cleaned!$F:$F,"REFUND")</f>
        <v>0</v>
      </c>
      <c r="N2357" s="23" t="str">
        <f t="shared" si="146"/>
        <v>OK</v>
      </c>
      <c r="O2357" s="24">
        <f t="shared" si="147"/>
        <v>0</v>
      </c>
    </row>
    <row r="2358" spans="1:15" ht="15" customHeight="1" x14ac:dyDescent="0.3">
      <c r="A2358" s="23" t="s">
        <v>5207</v>
      </c>
      <c r="B2358" s="38">
        <v>46285</v>
      </c>
      <c r="C2358" s="23" t="s">
        <v>5208</v>
      </c>
      <c r="D2358" s="23" t="s">
        <v>87</v>
      </c>
      <c r="E2358" s="23" t="s">
        <v>75</v>
      </c>
      <c r="F2358" s="23" t="s">
        <v>268</v>
      </c>
      <c r="G2358" s="23" t="s">
        <v>250</v>
      </c>
      <c r="H2358" s="39">
        <f t="shared" si="144"/>
        <v>1299</v>
      </c>
      <c r="I2358" s="23" t="str">
        <f t="shared" si="145"/>
        <v>Mumbai</v>
      </c>
      <c r="J2358" s="23">
        <f>COUNTIFS(pg_transaction_cleaned!$O:$O,A2358,pg_transaction_cleaned!$F:$F,"CAPTURE")</f>
        <v>1</v>
      </c>
      <c r="K2358" s="39">
        <f>SUMIFS(pg_transaction_cleaned!$H:$H,pg_transaction_cleaned!$O:$O,A2358,pg_transaction_cleaned!$F:$F,"CAPTURE")</f>
        <v>1299</v>
      </c>
      <c r="L2358" s="23">
        <f>COUNTIFS(pg_transaction_cleaned!$O:$O,A2358,pg_transaction_cleaned!$F:$F,"REFUND")</f>
        <v>0</v>
      </c>
      <c r="M2358" s="39">
        <f>SUMIFS(pg_transaction_cleaned!$H:$H,pg_transaction_cleaned!$O:$O,A2358,pg_transaction_cleaned!$F:$F,"REFUND")</f>
        <v>0</v>
      </c>
      <c r="N2358" s="23" t="str">
        <f t="shared" si="146"/>
        <v>OK</v>
      </c>
      <c r="O2358" s="24">
        <f t="shared" si="147"/>
        <v>0</v>
      </c>
    </row>
    <row r="2359" spans="1:15" ht="15" customHeight="1" x14ac:dyDescent="0.3">
      <c r="A2359" s="23" t="s">
        <v>5209</v>
      </c>
      <c r="B2359" s="38">
        <v>46277</v>
      </c>
      <c r="C2359" s="23" t="s">
        <v>5210</v>
      </c>
      <c r="D2359" s="23" t="s">
        <v>92</v>
      </c>
      <c r="E2359" s="23" t="s">
        <v>79</v>
      </c>
      <c r="F2359" s="23" t="s">
        <v>268</v>
      </c>
      <c r="G2359" s="23" t="s">
        <v>250</v>
      </c>
      <c r="H2359" s="39">
        <f t="shared" si="144"/>
        <v>1299</v>
      </c>
      <c r="I2359" s="23" t="str">
        <f t="shared" si="145"/>
        <v>Hyderabad</v>
      </c>
      <c r="J2359" s="23">
        <f>COUNTIFS(pg_transaction_cleaned!$O:$O,A2359,pg_transaction_cleaned!$F:$F,"CAPTURE")</f>
        <v>1</v>
      </c>
      <c r="K2359" s="39">
        <f>SUMIFS(pg_transaction_cleaned!$H:$H,pg_transaction_cleaned!$O:$O,A2359,pg_transaction_cleaned!$F:$F,"CAPTURE")</f>
        <v>1299</v>
      </c>
      <c r="L2359" s="23">
        <f>COUNTIFS(pg_transaction_cleaned!$O:$O,A2359,pg_transaction_cleaned!$F:$F,"REFUND")</f>
        <v>0</v>
      </c>
      <c r="M2359" s="39">
        <f>SUMIFS(pg_transaction_cleaned!$H:$H,pg_transaction_cleaned!$O:$O,A2359,pg_transaction_cleaned!$F:$F,"REFUND")</f>
        <v>0</v>
      </c>
      <c r="N2359" s="23" t="str">
        <f t="shared" si="146"/>
        <v>OK</v>
      </c>
      <c r="O2359" s="24">
        <f t="shared" si="147"/>
        <v>0</v>
      </c>
    </row>
    <row r="2360" spans="1:15" ht="15" customHeight="1" x14ac:dyDescent="0.3">
      <c r="A2360" s="23" t="s">
        <v>5211</v>
      </c>
      <c r="B2360" s="38">
        <v>46292</v>
      </c>
      <c r="C2360" s="23" t="s">
        <v>5212</v>
      </c>
      <c r="D2360" s="23" t="s">
        <v>89</v>
      </c>
      <c r="E2360" s="23" t="s">
        <v>81</v>
      </c>
      <c r="F2360" s="23" t="s">
        <v>1193</v>
      </c>
      <c r="G2360" s="23" t="s">
        <v>365</v>
      </c>
      <c r="H2360" s="39">
        <f t="shared" si="144"/>
        <v>3498</v>
      </c>
      <c r="I2360" s="23" t="str">
        <f t="shared" si="145"/>
        <v>Jaipur</v>
      </c>
      <c r="J2360" s="23">
        <f>COUNTIFS(pg_transaction_cleaned!$O:$O,A2360,pg_transaction_cleaned!$F:$F,"CAPTURE")</f>
        <v>0</v>
      </c>
      <c r="K2360" s="39">
        <f>SUMIFS(pg_transaction_cleaned!$H:$H,pg_transaction_cleaned!$O:$O,A2360,pg_transaction_cleaned!$F:$F,"CAPTURE")</f>
        <v>0</v>
      </c>
      <c r="L2360" s="23">
        <f>COUNTIFS(pg_transaction_cleaned!$O:$O,A2360,pg_transaction_cleaned!$F:$F,"REFUND")</f>
        <v>0</v>
      </c>
      <c r="M2360" s="39">
        <f>SUMIFS(pg_transaction_cleaned!$H:$H,pg_transaction_cleaned!$O:$O,A2360,pg_transaction_cleaned!$F:$F,"REFUND")</f>
        <v>0</v>
      </c>
      <c r="N2360" s="23" t="str">
        <f t="shared" si="146"/>
        <v>OK</v>
      </c>
      <c r="O2360" s="24">
        <f t="shared" si="147"/>
        <v>0</v>
      </c>
    </row>
    <row r="2361" spans="1:15" ht="15" customHeight="1" x14ac:dyDescent="0.3">
      <c r="A2361" s="23" t="s">
        <v>5213</v>
      </c>
      <c r="B2361" s="38">
        <v>46281</v>
      </c>
      <c r="C2361" s="23" t="s">
        <v>5214</v>
      </c>
      <c r="D2361" s="23" t="s">
        <v>88</v>
      </c>
      <c r="E2361" s="23" t="s">
        <v>79</v>
      </c>
      <c r="F2361" s="23" t="s">
        <v>3445</v>
      </c>
      <c r="G2361" s="23" t="s">
        <v>250</v>
      </c>
      <c r="H2361" s="39">
        <f t="shared" si="144"/>
        <v>12998</v>
      </c>
      <c r="I2361" s="23" t="str">
        <f t="shared" si="145"/>
        <v>Lucknow</v>
      </c>
      <c r="J2361" s="23">
        <f>COUNTIFS(pg_transaction_cleaned!$O:$O,A2361,pg_transaction_cleaned!$F:$F,"CAPTURE")</f>
        <v>1</v>
      </c>
      <c r="K2361" s="39">
        <f>SUMIFS(pg_transaction_cleaned!$H:$H,pg_transaction_cleaned!$O:$O,A2361,pg_transaction_cleaned!$F:$F,"CAPTURE")</f>
        <v>12998</v>
      </c>
      <c r="L2361" s="23">
        <f>COUNTIFS(pg_transaction_cleaned!$O:$O,A2361,pg_transaction_cleaned!$F:$F,"REFUND")</f>
        <v>0</v>
      </c>
      <c r="M2361" s="39">
        <f>SUMIFS(pg_transaction_cleaned!$H:$H,pg_transaction_cleaned!$O:$O,A2361,pg_transaction_cleaned!$F:$F,"REFUND")</f>
        <v>0</v>
      </c>
      <c r="N2361" s="23" t="str">
        <f t="shared" si="146"/>
        <v>OK</v>
      </c>
      <c r="O2361" s="24">
        <f t="shared" si="147"/>
        <v>0</v>
      </c>
    </row>
    <row r="2362" spans="1:15" ht="15" customHeight="1" x14ac:dyDescent="0.3">
      <c r="A2362" s="23" t="s">
        <v>5215</v>
      </c>
      <c r="B2362" s="38">
        <v>46285</v>
      </c>
      <c r="C2362" s="23" t="s">
        <v>5216</v>
      </c>
      <c r="D2362" s="23" t="s">
        <v>94</v>
      </c>
      <c r="E2362" s="23" t="s">
        <v>75</v>
      </c>
      <c r="F2362" s="23" t="s">
        <v>787</v>
      </c>
      <c r="G2362" s="23" t="s">
        <v>250</v>
      </c>
      <c r="H2362" s="39">
        <f t="shared" si="144"/>
        <v>7997</v>
      </c>
      <c r="I2362" s="23" t="str">
        <f t="shared" si="145"/>
        <v>Chennai</v>
      </c>
      <c r="J2362" s="23">
        <f>COUNTIFS(pg_transaction_cleaned!$O:$O,A2362,pg_transaction_cleaned!$F:$F,"CAPTURE")</f>
        <v>1</v>
      </c>
      <c r="K2362" s="39">
        <f>SUMIFS(pg_transaction_cleaned!$H:$H,pg_transaction_cleaned!$O:$O,A2362,pg_transaction_cleaned!$F:$F,"CAPTURE")</f>
        <v>7997</v>
      </c>
      <c r="L2362" s="23">
        <f>COUNTIFS(pg_transaction_cleaned!$O:$O,A2362,pg_transaction_cleaned!$F:$F,"REFUND")</f>
        <v>0</v>
      </c>
      <c r="M2362" s="39">
        <f>SUMIFS(pg_transaction_cleaned!$H:$H,pg_transaction_cleaned!$O:$O,A2362,pg_transaction_cleaned!$F:$F,"REFUND")</f>
        <v>0</v>
      </c>
      <c r="N2362" s="23" t="str">
        <f t="shared" si="146"/>
        <v>OK</v>
      </c>
      <c r="O2362" s="24">
        <f t="shared" si="147"/>
        <v>0</v>
      </c>
    </row>
    <row r="2363" spans="1:15" ht="15" customHeight="1" x14ac:dyDescent="0.3">
      <c r="A2363" s="23" t="s">
        <v>5217</v>
      </c>
      <c r="B2363" s="38">
        <v>46283</v>
      </c>
      <c r="C2363" s="23" t="s">
        <v>5218</v>
      </c>
      <c r="D2363" s="23" t="s">
        <v>92</v>
      </c>
      <c r="E2363" s="23" t="s">
        <v>79</v>
      </c>
      <c r="F2363" s="23" t="s">
        <v>438</v>
      </c>
      <c r="G2363" s="23" t="s">
        <v>250</v>
      </c>
      <c r="H2363" s="39">
        <f t="shared" si="144"/>
        <v>5498</v>
      </c>
      <c r="I2363" s="23" t="str">
        <f t="shared" si="145"/>
        <v>Hyderabad</v>
      </c>
      <c r="J2363" s="23">
        <f>COUNTIFS(pg_transaction_cleaned!$O:$O,A2363,pg_transaction_cleaned!$F:$F,"CAPTURE")</f>
        <v>1</v>
      </c>
      <c r="K2363" s="39">
        <f>SUMIFS(pg_transaction_cleaned!$H:$H,pg_transaction_cleaned!$O:$O,A2363,pg_transaction_cleaned!$F:$F,"CAPTURE")</f>
        <v>5498</v>
      </c>
      <c r="L2363" s="23">
        <f>COUNTIFS(pg_transaction_cleaned!$O:$O,A2363,pg_transaction_cleaned!$F:$F,"REFUND")</f>
        <v>0</v>
      </c>
      <c r="M2363" s="39">
        <f>SUMIFS(pg_transaction_cleaned!$H:$H,pg_transaction_cleaned!$O:$O,A2363,pg_transaction_cleaned!$F:$F,"REFUND")</f>
        <v>0</v>
      </c>
      <c r="N2363" s="23" t="str">
        <f t="shared" si="146"/>
        <v>OK</v>
      </c>
      <c r="O2363" s="24">
        <f t="shared" si="147"/>
        <v>0</v>
      </c>
    </row>
    <row r="2364" spans="1:15" ht="15" customHeight="1" x14ac:dyDescent="0.3">
      <c r="A2364" s="23" t="s">
        <v>5219</v>
      </c>
      <c r="B2364" s="38">
        <v>46285</v>
      </c>
      <c r="C2364" s="23" t="s">
        <v>5220</v>
      </c>
      <c r="D2364" s="23" t="s">
        <v>88</v>
      </c>
      <c r="E2364" s="23" t="s">
        <v>75</v>
      </c>
      <c r="F2364" s="23" t="s">
        <v>357</v>
      </c>
      <c r="G2364" s="23" t="s">
        <v>365</v>
      </c>
      <c r="H2364" s="39">
        <f t="shared" si="144"/>
        <v>1598</v>
      </c>
      <c r="I2364" s="23" t="str">
        <f t="shared" si="145"/>
        <v>Lucknow</v>
      </c>
      <c r="J2364" s="23">
        <f>COUNTIFS(pg_transaction_cleaned!$O:$O,A2364,pg_transaction_cleaned!$F:$F,"CAPTURE")</f>
        <v>0</v>
      </c>
      <c r="K2364" s="39">
        <f>SUMIFS(pg_transaction_cleaned!$H:$H,pg_transaction_cleaned!$O:$O,A2364,pg_transaction_cleaned!$F:$F,"CAPTURE")</f>
        <v>0</v>
      </c>
      <c r="L2364" s="23">
        <f>COUNTIFS(pg_transaction_cleaned!$O:$O,A2364,pg_transaction_cleaned!$F:$F,"REFUND")</f>
        <v>0</v>
      </c>
      <c r="M2364" s="39">
        <f>SUMIFS(pg_transaction_cleaned!$H:$H,pg_transaction_cleaned!$O:$O,A2364,pg_transaction_cleaned!$F:$F,"REFUND")</f>
        <v>0</v>
      </c>
      <c r="N2364" s="23" t="str">
        <f t="shared" si="146"/>
        <v>OK</v>
      </c>
      <c r="O2364" s="24">
        <f t="shared" si="147"/>
        <v>0</v>
      </c>
    </row>
    <row r="2365" spans="1:15" ht="15" customHeight="1" x14ac:dyDescent="0.3">
      <c r="A2365" s="23" t="s">
        <v>5221</v>
      </c>
      <c r="B2365" s="38">
        <v>46272</v>
      </c>
      <c r="C2365" s="23" t="s">
        <v>5222</v>
      </c>
      <c r="D2365" s="23" t="s">
        <v>93</v>
      </c>
      <c r="E2365" s="23" t="s">
        <v>75</v>
      </c>
      <c r="F2365" s="23" t="s">
        <v>475</v>
      </c>
      <c r="G2365" s="23" t="s">
        <v>250</v>
      </c>
      <c r="H2365" s="39">
        <f t="shared" si="144"/>
        <v>799</v>
      </c>
      <c r="I2365" s="23" t="str">
        <f t="shared" si="145"/>
        <v>Kolkata</v>
      </c>
      <c r="J2365" s="23">
        <f>COUNTIFS(pg_transaction_cleaned!$O:$O,A2365,pg_transaction_cleaned!$F:$F,"CAPTURE")</f>
        <v>1</v>
      </c>
      <c r="K2365" s="39">
        <f>SUMIFS(pg_transaction_cleaned!$H:$H,pg_transaction_cleaned!$O:$O,A2365,pg_transaction_cleaned!$F:$F,"CAPTURE")</f>
        <v>799</v>
      </c>
      <c r="L2365" s="23">
        <f>COUNTIFS(pg_transaction_cleaned!$O:$O,A2365,pg_transaction_cleaned!$F:$F,"REFUND")</f>
        <v>0</v>
      </c>
      <c r="M2365" s="39">
        <f>SUMIFS(pg_transaction_cleaned!$H:$H,pg_transaction_cleaned!$O:$O,A2365,pg_transaction_cleaned!$F:$F,"REFUND")</f>
        <v>0</v>
      </c>
      <c r="N2365" s="23" t="str">
        <f t="shared" si="146"/>
        <v>OK</v>
      </c>
      <c r="O2365" s="24">
        <f t="shared" si="147"/>
        <v>0</v>
      </c>
    </row>
    <row r="2366" spans="1:15" ht="15" customHeight="1" x14ac:dyDescent="0.3">
      <c r="A2366" s="23" t="s">
        <v>5223</v>
      </c>
      <c r="B2366" s="38">
        <v>46274</v>
      </c>
      <c r="C2366" s="23" t="s">
        <v>5224</v>
      </c>
      <c r="D2366" s="23" t="s">
        <v>86</v>
      </c>
      <c r="E2366" s="23" t="s">
        <v>79</v>
      </c>
      <c r="F2366" s="23" t="s">
        <v>271</v>
      </c>
      <c r="G2366" s="23" t="s">
        <v>250</v>
      </c>
      <c r="H2366" s="39">
        <f t="shared" si="144"/>
        <v>2499</v>
      </c>
      <c r="I2366" s="23" t="str">
        <f t="shared" si="145"/>
        <v>Delhi</v>
      </c>
      <c r="J2366" s="23">
        <f>COUNTIFS(pg_transaction_cleaned!$O:$O,A2366,pg_transaction_cleaned!$F:$F,"CAPTURE")</f>
        <v>1</v>
      </c>
      <c r="K2366" s="39">
        <f>SUMIFS(pg_transaction_cleaned!$H:$H,pg_transaction_cleaned!$O:$O,A2366,pg_transaction_cleaned!$F:$F,"CAPTURE")</f>
        <v>2499</v>
      </c>
      <c r="L2366" s="23">
        <f>COUNTIFS(pg_transaction_cleaned!$O:$O,A2366,pg_transaction_cleaned!$F:$F,"REFUND")</f>
        <v>0</v>
      </c>
      <c r="M2366" s="39">
        <f>SUMIFS(pg_transaction_cleaned!$H:$H,pg_transaction_cleaned!$O:$O,A2366,pg_transaction_cleaned!$F:$F,"REFUND")</f>
        <v>0</v>
      </c>
      <c r="N2366" s="23" t="str">
        <f t="shared" si="146"/>
        <v>OK</v>
      </c>
      <c r="O2366" s="24">
        <f t="shared" si="147"/>
        <v>0</v>
      </c>
    </row>
    <row r="2367" spans="1:15" ht="15" customHeight="1" x14ac:dyDescent="0.3">
      <c r="A2367" s="23" t="s">
        <v>5225</v>
      </c>
      <c r="B2367" s="38">
        <v>46291</v>
      </c>
      <c r="C2367" s="23" t="s">
        <v>5226</v>
      </c>
      <c r="D2367" s="23" t="s">
        <v>94</v>
      </c>
      <c r="E2367" s="23" t="s">
        <v>79</v>
      </c>
      <c r="F2367" s="23" t="s">
        <v>1662</v>
      </c>
      <c r="G2367" s="23" t="s">
        <v>250</v>
      </c>
      <c r="H2367" s="39">
        <f t="shared" si="144"/>
        <v>4397</v>
      </c>
      <c r="I2367" s="23" t="str">
        <f t="shared" si="145"/>
        <v>Chennai</v>
      </c>
      <c r="J2367" s="23">
        <f>COUNTIFS(pg_transaction_cleaned!$O:$O,A2367,pg_transaction_cleaned!$F:$F,"CAPTURE")</f>
        <v>1</v>
      </c>
      <c r="K2367" s="39">
        <f>SUMIFS(pg_transaction_cleaned!$H:$H,pg_transaction_cleaned!$O:$O,A2367,pg_transaction_cleaned!$F:$F,"CAPTURE")</f>
        <v>4397</v>
      </c>
      <c r="L2367" s="23">
        <f>COUNTIFS(pg_transaction_cleaned!$O:$O,A2367,pg_transaction_cleaned!$F:$F,"REFUND")</f>
        <v>0</v>
      </c>
      <c r="M2367" s="39">
        <f>SUMIFS(pg_transaction_cleaned!$H:$H,pg_transaction_cleaned!$O:$O,A2367,pg_transaction_cleaned!$F:$F,"REFUND")</f>
        <v>0</v>
      </c>
      <c r="N2367" s="23" t="str">
        <f t="shared" si="146"/>
        <v>OK</v>
      </c>
      <c r="O2367" s="24">
        <f t="shared" si="147"/>
        <v>0</v>
      </c>
    </row>
    <row r="2368" spans="1:15" ht="15" customHeight="1" x14ac:dyDescent="0.3">
      <c r="A2368" s="23" t="s">
        <v>5227</v>
      </c>
      <c r="B2368" s="38">
        <v>46272</v>
      </c>
      <c r="C2368" s="23" t="s">
        <v>5228</v>
      </c>
      <c r="D2368" s="23" t="s">
        <v>95</v>
      </c>
      <c r="E2368" s="23" t="s">
        <v>79</v>
      </c>
      <c r="F2368" s="23" t="s">
        <v>288</v>
      </c>
      <c r="G2368" s="23" t="s">
        <v>250</v>
      </c>
      <c r="H2368" s="39">
        <f t="shared" si="144"/>
        <v>4298</v>
      </c>
      <c r="I2368" s="23" t="str">
        <f t="shared" si="145"/>
        <v>Bengaluru</v>
      </c>
      <c r="J2368" s="23">
        <f>COUNTIFS(pg_transaction_cleaned!$O:$O,A2368,pg_transaction_cleaned!$F:$F,"CAPTURE")</f>
        <v>1</v>
      </c>
      <c r="K2368" s="39">
        <f>SUMIFS(pg_transaction_cleaned!$H:$H,pg_transaction_cleaned!$O:$O,A2368,pg_transaction_cleaned!$F:$F,"CAPTURE")</f>
        <v>4298</v>
      </c>
      <c r="L2368" s="23">
        <f>COUNTIFS(pg_transaction_cleaned!$O:$O,A2368,pg_transaction_cleaned!$F:$F,"REFUND")</f>
        <v>0</v>
      </c>
      <c r="M2368" s="39">
        <f>SUMIFS(pg_transaction_cleaned!$H:$H,pg_transaction_cleaned!$O:$O,A2368,pg_transaction_cleaned!$F:$F,"REFUND")</f>
        <v>0</v>
      </c>
      <c r="N2368" s="23" t="str">
        <f t="shared" si="146"/>
        <v>OK</v>
      </c>
      <c r="O2368" s="24">
        <f t="shared" si="147"/>
        <v>0</v>
      </c>
    </row>
    <row r="2369" spans="1:15" ht="15" customHeight="1" x14ac:dyDescent="0.3">
      <c r="A2369" s="23" t="s">
        <v>5229</v>
      </c>
      <c r="B2369" s="38">
        <v>46272</v>
      </c>
      <c r="C2369" s="23" t="s">
        <v>5230</v>
      </c>
      <c r="D2369" s="23" t="s">
        <v>90</v>
      </c>
      <c r="E2369" s="23" t="s">
        <v>75</v>
      </c>
      <c r="F2369" s="23" t="s">
        <v>2160</v>
      </c>
      <c r="G2369" s="23" t="s">
        <v>250</v>
      </c>
      <c r="H2369" s="39">
        <f t="shared" si="144"/>
        <v>7998</v>
      </c>
      <c r="I2369" s="23" t="str">
        <f t="shared" si="145"/>
        <v>Ahmedabad</v>
      </c>
      <c r="J2369" s="23">
        <f>COUNTIFS(pg_transaction_cleaned!$O:$O,A2369,pg_transaction_cleaned!$F:$F,"CAPTURE")</f>
        <v>1</v>
      </c>
      <c r="K2369" s="39">
        <f>SUMIFS(pg_transaction_cleaned!$H:$H,pg_transaction_cleaned!$O:$O,A2369,pg_transaction_cleaned!$F:$F,"CAPTURE")</f>
        <v>7998</v>
      </c>
      <c r="L2369" s="23">
        <f>COUNTIFS(pg_transaction_cleaned!$O:$O,A2369,pg_transaction_cleaned!$F:$F,"REFUND")</f>
        <v>0</v>
      </c>
      <c r="M2369" s="39">
        <f>SUMIFS(pg_transaction_cleaned!$H:$H,pg_transaction_cleaned!$O:$O,A2369,pg_transaction_cleaned!$F:$F,"REFUND")</f>
        <v>0</v>
      </c>
      <c r="N2369" s="23" t="str">
        <f t="shared" si="146"/>
        <v>OK</v>
      </c>
      <c r="O2369" s="24">
        <f t="shared" si="147"/>
        <v>0</v>
      </c>
    </row>
    <row r="2370" spans="1:15" ht="15" customHeight="1" x14ac:dyDescent="0.3">
      <c r="A2370" s="23" t="s">
        <v>5231</v>
      </c>
      <c r="B2370" s="38">
        <v>46277</v>
      </c>
      <c r="C2370" s="23" t="s">
        <v>5232</v>
      </c>
      <c r="D2370" s="23" t="s">
        <v>90</v>
      </c>
      <c r="E2370" s="23" t="s">
        <v>75</v>
      </c>
      <c r="F2370" s="23" t="s">
        <v>268</v>
      </c>
      <c r="G2370" s="23" t="s">
        <v>250</v>
      </c>
      <c r="H2370" s="39">
        <f t="shared" ref="H2370:H2433" si="148">VALUE(SUBSTITUTE(F2370,",",""))</f>
        <v>1299</v>
      </c>
      <c r="I2370" s="23" t="str">
        <f t="shared" ref="I2370:I2433" si="149">IF(TRIM(D2370)="","Unknown",TRIM(D2370))</f>
        <v>Ahmedabad</v>
      </c>
      <c r="J2370" s="23">
        <f>COUNTIFS(pg_transaction_cleaned!$O:$O,A2370,pg_transaction_cleaned!$F:$F,"CAPTURE")</f>
        <v>1</v>
      </c>
      <c r="K2370" s="39">
        <f>SUMIFS(pg_transaction_cleaned!$H:$H,pg_transaction_cleaned!$O:$O,A2370,pg_transaction_cleaned!$F:$F,"CAPTURE")</f>
        <v>1299</v>
      </c>
      <c r="L2370" s="23">
        <f>COUNTIFS(pg_transaction_cleaned!$O:$O,A2370,pg_transaction_cleaned!$F:$F,"REFUND")</f>
        <v>0</v>
      </c>
      <c r="M2370" s="39">
        <f>SUMIFS(pg_transaction_cleaned!$H:$H,pg_transaction_cleaned!$O:$O,A2370,pg_transaction_cleaned!$F:$F,"REFUND")</f>
        <v>0</v>
      </c>
      <c r="N2370" s="23" t="str">
        <f t="shared" ref="N2370:N2433" si="150">IF(AND(G2370="Paid",J2370=0),"Paid, no payment",IF(AND(OR(G2370="Failed",G2370="Cancelled"),J2370&gt;0),"Payment on failed/cancelled",IF(J2370&gt;1,"Duplicate charge",IF(AND(J2370=1,ROUND(K2370-H2370,2)&lt;&gt;0),"Amount difference",IF(AND(G2370="Refunded",L2370=0),"Refunded, no refund",IF(AND(G2370&lt;&gt;"Refunded",L2370&gt;0),"Refund, order not Refunded",IF(AND(L2370&gt;0,ROUND(M2370-H2370,2)&lt;&gt;0),"Refund amount differs","OK")))))))</f>
        <v>OK</v>
      </c>
      <c r="O2370" s="24">
        <f t="shared" ref="O2370:O2433" si="151">IF(N2370="OK",0,IF(N2370="Paid, no payment",H2370,IF(N2370="Payment on failed/cancelled",K2370,IF(OR(N2370="Duplicate charge",N2370="Amount difference"),K2370-H2370,IF(N2370="Refunded, no refund",H2370,M2370)))))</f>
        <v>0</v>
      </c>
    </row>
    <row r="2371" spans="1:15" ht="15" customHeight="1" x14ac:dyDescent="0.3">
      <c r="A2371" s="23" t="s">
        <v>5233</v>
      </c>
      <c r="B2371" s="38">
        <v>46283</v>
      </c>
      <c r="C2371" s="23" t="s">
        <v>5234</v>
      </c>
      <c r="D2371" s="23" t="s">
        <v>93</v>
      </c>
      <c r="E2371" s="23" t="s">
        <v>75</v>
      </c>
      <c r="F2371" s="23" t="s">
        <v>262</v>
      </c>
      <c r="G2371" s="23" t="s">
        <v>250</v>
      </c>
      <c r="H2371" s="39">
        <f t="shared" si="148"/>
        <v>499</v>
      </c>
      <c r="I2371" s="23" t="str">
        <f t="shared" si="149"/>
        <v>Kolkata</v>
      </c>
      <c r="J2371" s="23">
        <f>COUNTIFS(pg_transaction_cleaned!$O:$O,A2371,pg_transaction_cleaned!$F:$F,"CAPTURE")</f>
        <v>1</v>
      </c>
      <c r="K2371" s="39">
        <f>SUMIFS(pg_transaction_cleaned!$H:$H,pg_transaction_cleaned!$O:$O,A2371,pg_transaction_cleaned!$F:$F,"CAPTURE")</f>
        <v>499</v>
      </c>
      <c r="L2371" s="23">
        <f>COUNTIFS(pg_transaction_cleaned!$O:$O,A2371,pg_transaction_cleaned!$F:$F,"REFUND")</f>
        <v>0</v>
      </c>
      <c r="M2371" s="39">
        <f>SUMIFS(pg_transaction_cleaned!$H:$H,pg_transaction_cleaned!$O:$O,A2371,pg_transaction_cleaned!$F:$F,"REFUND")</f>
        <v>0</v>
      </c>
      <c r="N2371" s="23" t="str">
        <f t="shared" si="150"/>
        <v>OK</v>
      </c>
      <c r="O2371" s="24">
        <f t="shared" si="151"/>
        <v>0</v>
      </c>
    </row>
    <row r="2372" spans="1:15" ht="15" customHeight="1" x14ac:dyDescent="0.3">
      <c r="A2372" s="23" t="s">
        <v>5235</v>
      </c>
      <c r="B2372" s="38">
        <v>46292</v>
      </c>
      <c r="C2372" s="23" t="s">
        <v>5236</v>
      </c>
      <c r="D2372" s="23" t="s">
        <v>90</v>
      </c>
      <c r="E2372" s="23" t="s">
        <v>81</v>
      </c>
      <c r="F2372" s="23" t="s">
        <v>357</v>
      </c>
      <c r="G2372" s="23" t="s">
        <v>250</v>
      </c>
      <c r="H2372" s="39">
        <f t="shared" si="148"/>
        <v>1598</v>
      </c>
      <c r="I2372" s="23" t="str">
        <f t="shared" si="149"/>
        <v>Ahmedabad</v>
      </c>
      <c r="J2372" s="23">
        <f>COUNTIFS(pg_transaction_cleaned!$O:$O,A2372,pg_transaction_cleaned!$F:$F,"CAPTURE")</f>
        <v>1</v>
      </c>
      <c r="K2372" s="39">
        <f>SUMIFS(pg_transaction_cleaned!$H:$H,pg_transaction_cleaned!$O:$O,A2372,pg_transaction_cleaned!$F:$F,"CAPTURE")</f>
        <v>1598</v>
      </c>
      <c r="L2372" s="23">
        <f>COUNTIFS(pg_transaction_cleaned!$O:$O,A2372,pg_transaction_cleaned!$F:$F,"REFUND")</f>
        <v>0</v>
      </c>
      <c r="M2372" s="39">
        <f>SUMIFS(pg_transaction_cleaned!$H:$H,pg_transaction_cleaned!$O:$O,A2372,pg_transaction_cleaned!$F:$F,"REFUND")</f>
        <v>0</v>
      </c>
      <c r="N2372" s="23" t="str">
        <f t="shared" si="150"/>
        <v>OK</v>
      </c>
      <c r="O2372" s="24">
        <f t="shared" si="151"/>
        <v>0</v>
      </c>
    </row>
    <row r="2373" spans="1:15" ht="15" customHeight="1" x14ac:dyDescent="0.3">
      <c r="A2373" s="23" t="s">
        <v>5237</v>
      </c>
      <c r="B2373" s="38">
        <v>46280</v>
      </c>
      <c r="C2373" s="23" t="s">
        <v>5238</v>
      </c>
      <c r="D2373" s="23" t="s">
        <v>92</v>
      </c>
      <c r="E2373" s="23" t="s">
        <v>79</v>
      </c>
      <c r="F2373" s="23" t="s">
        <v>324</v>
      </c>
      <c r="G2373" s="23" t="s">
        <v>250</v>
      </c>
      <c r="H2373" s="39">
        <f t="shared" si="148"/>
        <v>10498</v>
      </c>
      <c r="I2373" s="23" t="str">
        <f t="shared" si="149"/>
        <v>Hyderabad</v>
      </c>
      <c r="J2373" s="23">
        <f>COUNTIFS(pg_transaction_cleaned!$O:$O,A2373,pg_transaction_cleaned!$F:$F,"CAPTURE")</f>
        <v>1</v>
      </c>
      <c r="K2373" s="39">
        <f>SUMIFS(pg_transaction_cleaned!$H:$H,pg_transaction_cleaned!$O:$O,A2373,pg_transaction_cleaned!$F:$F,"CAPTURE")</f>
        <v>10498</v>
      </c>
      <c r="L2373" s="23">
        <f>COUNTIFS(pg_transaction_cleaned!$O:$O,A2373,pg_transaction_cleaned!$F:$F,"REFUND")</f>
        <v>0</v>
      </c>
      <c r="M2373" s="39">
        <f>SUMIFS(pg_transaction_cleaned!$H:$H,pg_transaction_cleaned!$O:$O,A2373,pg_transaction_cleaned!$F:$F,"REFUND")</f>
        <v>0</v>
      </c>
      <c r="N2373" s="23" t="str">
        <f t="shared" si="150"/>
        <v>OK</v>
      </c>
      <c r="O2373" s="24">
        <f t="shared" si="151"/>
        <v>0</v>
      </c>
    </row>
    <row r="2374" spans="1:15" ht="15" customHeight="1" x14ac:dyDescent="0.3">
      <c r="A2374" s="23" t="s">
        <v>5239</v>
      </c>
      <c r="B2374" s="38">
        <v>46267</v>
      </c>
      <c r="C2374" s="23" t="s">
        <v>5240</v>
      </c>
      <c r="D2374" s="23" t="s">
        <v>94</v>
      </c>
      <c r="E2374" s="23" t="s">
        <v>75</v>
      </c>
      <c r="F2374" s="23" t="s">
        <v>346</v>
      </c>
      <c r="G2374" s="23" t="s">
        <v>250</v>
      </c>
      <c r="H2374" s="39">
        <f t="shared" si="148"/>
        <v>4498</v>
      </c>
      <c r="I2374" s="23" t="str">
        <f t="shared" si="149"/>
        <v>Chennai</v>
      </c>
      <c r="J2374" s="23">
        <f>COUNTIFS(pg_transaction_cleaned!$O:$O,A2374,pg_transaction_cleaned!$F:$F,"CAPTURE")</f>
        <v>1</v>
      </c>
      <c r="K2374" s="39">
        <f>SUMIFS(pg_transaction_cleaned!$H:$H,pg_transaction_cleaned!$O:$O,A2374,pg_transaction_cleaned!$F:$F,"CAPTURE")</f>
        <v>4498</v>
      </c>
      <c r="L2374" s="23">
        <f>COUNTIFS(pg_transaction_cleaned!$O:$O,A2374,pg_transaction_cleaned!$F:$F,"REFUND")</f>
        <v>0</v>
      </c>
      <c r="M2374" s="39">
        <f>SUMIFS(pg_transaction_cleaned!$H:$H,pg_transaction_cleaned!$O:$O,A2374,pg_transaction_cleaned!$F:$F,"REFUND")</f>
        <v>0</v>
      </c>
      <c r="N2374" s="23" t="str">
        <f t="shared" si="150"/>
        <v>OK</v>
      </c>
      <c r="O2374" s="24">
        <f t="shared" si="151"/>
        <v>0</v>
      </c>
    </row>
    <row r="2375" spans="1:15" ht="15" customHeight="1" x14ac:dyDescent="0.3">
      <c r="A2375" s="23" t="s">
        <v>5241</v>
      </c>
      <c r="B2375" s="38">
        <v>46269</v>
      </c>
      <c r="C2375" s="23" t="s">
        <v>5242</v>
      </c>
      <c r="D2375" s="23" t="s">
        <v>87</v>
      </c>
      <c r="E2375" s="23" t="s">
        <v>79</v>
      </c>
      <c r="F2375" s="23" t="s">
        <v>262</v>
      </c>
      <c r="G2375" s="23" t="s">
        <v>250</v>
      </c>
      <c r="H2375" s="39">
        <f t="shared" si="148"/>
        <v>499</v>
      </c>
      <c r="I2375" s="23" t="str">
        <f t="shared" si="149"/>
        <v>Mumbai</v>
      </c>
      <c r="J2375" s="23">
        <f>COUNTIFS(pg_transaction_cleaned!$O:$O,A2375,pg_transaction_cleaned!$F:$F,"CAPTURE")</f>
        <v>1</v>
      </c>
      <c r="K2375" s="39">
        <f>SUMIFS(pg_transaction_cleaned!$H:$H,pg_transaction_cleaned!$O:$O,A2375,pg_transaction_cleaned!$F:$F,"CAPTURE")</f>
        <v>499</v>
      </c>
      <c r="L2375" s="23">
        <f>COUNTIFS(pg_transaction_cleaned!$O:$O,A2375,pg_transaction_cleaned!$F:$F,"REFUND")</f>
        <v>0</v>
      </c>
      <c r="M2375" s="39">
        <f>SUMIFS(pg_transaction_cleaned!$H:$H,pg_transaction_cleaned!$O:$O,A2375,pg_transaction_cleaned!$F:$F,"REFUND")</f>
        <v>0</v>
      </c>
      <c r="N2375" s="23" t="str">
        <f t="shared" si="150"/>
        <v>OK</v>
      </c>
      <c r="O2375" s="24">
        <f t="shared" si="151"/>
        <v>0</v>
      </c>
    </row>
    <row r="2376" spans="1:15" ht="15" customHeight="1" x14ac:dyDescent="0.3">
      <c r="A2376" s="23" t="s">
        <v>5243</v>
      </c>
      <c r="B2376" s="38">
        <v>46293</v>
      </c>
      <c r="C2376" s="23" t="s">
        <v>5244</v>
      </c>
      <c r="D2376" s="23" t="s">
        <v>91</v>
      </c>
      <c r="E2376" s="23" t="s">
        <v>75</v>
      </c>
      <c r="F2376" s="23" t="s">
        <v>760</v>
      </c>
      <c r="G2376" s="23" t="s">
        <v>250</v>
      </c>
      <c r="H2376" s="39">
        <f t="shared" si="148"/>
        <v>799</v>
      </c>
      <c r="I2376" s="23" t="str">
        <f t="shared" si="149"/>
        <v>Pune</v>
      </c>
      <c r="J2376" s="23">
        <f>COUNTIFS(pg_transaction_cleaned!$O:$O,A2376,pg_transaction_cleaned!$F:$F,"CAPTURE")</f>
        <v>1</v>
      </c>
      <c r="K2376" s="39">
        <f>SUMIFS(pg_transaction_cleaned!$H:$H,pg_transaction_cleaned!$O:$O,A2376,pg_transaction_cleaned!$F:$F,"CAPTURE")</f>
        <v>799</v>
      </c>
      <c r="L2376" s="23">
        <f>COUNTIFS(pg_transaction_cleaned!$O:$O,A2376,pg_transaction_cleaned!$F:$F,"REFUND")</f>
        <v>0</v>
      </c>
      <c r="M2376" s="39">
        <f>SUMIFS(pg_transaction_cleaned!$H:$H,pg_transaction_cleaned!$O:$O,A2376,pg_transaction_cleaned!$F:$F,"REFUND")</f>
        <v>0</v>
      </c>
      <c r="N2376" s="23" t="str">
        <f t="shared" si="150"/>
        <v>OK</v>
      </c>
      <c r="O2376" s="24">
        <f t="shared" si="151"/>
        <v>0</v>
      </c>
    </row>
    <row r="2377" spans="1:15" ht="15" customHeight="1" x14ac:dyDescent="0.3">
      <c r="A2377" s="23" t="s">
        <v>5245</v>
      </c>
      <c r="B2377" s="38">
        <v>46295</v>
      </c>
      <c r="C2377" s="23" t="s">
        <v>5246</v>
      </c>
      <c r="D2377" s="23" t="s">
        <v>87</v>
      </c>
      <c r="E2377" s="23" t="s">
        <v>79</v>
      </c>
      <c r="F2377" s="23" t="s">
        <v>1072</v>
      </c>
      <c r="G2377" s="23" t="s">
        <v>250</v>
      </c>
      <c r="H2377" s="39">
        <f t="shared" si="148"/>
        <v>4897</v>
      </c>
      <c r="I2377" s="23" t="str">
        <f t="shared" si="149"/>
        <v>Mumbai</v>
      </c>
      <c r="J2377" s="23">
        <f>COUNTIFS(pg_transaction_cleaned!$O:$O,A2377,pg_transaction_cleaned!$F:$F,"CAPTURE")</f>
        <v>1</v>
      </c>
      <c r="K2377" s="39">
        <f>SUMIFS(pg_transaction_cleaned!$H:$H,pg_transaction_cleaned!$O:$O,A2377,pg_transaction_cleaned!$F:$F,"CAPTURE")</f>
        <v>4897</v>
      </c>
      <c r="L2377" s="23">
        <f>COUNTIFS(pg_transaction_cleaned!$O:$O,A2377,pg_transaction_cleaned!$F:$F,"REFUND")</f>
        <v>0</v>
      </c>
      <c r="M2377" s="39">
        <f>SUMIFS(pg_transaction_cleaned!$H:$H,pg_transaction_cleaned!$O:$O,A2377,pg_transaction_cleaned!$F:$F,"REFUND")</f>
        <v>0</v>
      </c>
      <c r="N2377" s="23" t="str">
        <f t="shared" si="150"/>
        <v>OK</v>
      </c>
      <c r="O2377" s="24">
        <f t="shared" si="151"/>
        <v>0</v>
      </c>
    </row>
    <row r="2378" spans="1:15" ht="15" customHeight="1" x14ac:dyDescent="0.3">
      <c r="A2378" s="23" t="s">
        <v>5247</v>
      </c>
      <c r="B2378" s="38">
        <v>46269</v>
      </c>
      <c r="C2378" s="23" t="s">
        <v>3942</v>
      </c>
      <c r="D2378" s="23" t="s">
        <v>95</v>
      </c>
      <c r="E2378" s="23" t="s">
        <v>75</v>
      </c>
      <c r="F2378" s="23" t="s">
        <v>271</v>
      </c>
      <c r="G2378" s="23" t="s">
        <v>250</v>
      </c>
      <c r="H2378" s="39">
        <f t="shared" si="148"/>
        <v>2499</v>
      </c>
      <c r="I2378" s="23" t="str">
        <f t="shared" si="149"/>
        <v>Bengaluru</v>
      </c>
      <c r="J2378" s="23">
        <f>COUNTIFS(pg_transaction_cleaned!$O:$O,A2378,pg_transaction_cleaned!$F:$F,"CAPTURE")</f>
        <v>1</v>
      </c>
      <c r="K2378" s="39">
        <f>SUMIFS(pg_transaction_cleaned!$H:$H,pg_transaction_cleaned!$O:$O,A2378,pg_transaction_cleaned!$F:$F,"CAPTURE")</f>
        <v>2499</v>
      </c>
      <c r="L2378" s="23">
        <f>COUNTIFS(pg_transaction_cleaned!$O:$O,A2378,pg_transaction_cleaned!$F:$F,"REFUND")</f>
        <v>0</v>
      </c>
      <c r="M2378" s="39">
        <f>SUMIFS(pg_transaction_cleaned!$H:$H,pg_transaction_cleaned!$O:$O,A2378,pg_transaction_cleaned!$F:$F,"REFUND")</f>
        <v>0</v>
      </c>
      <c r="N2378" s="23" t="str">
        <f t="shared" si="150"/>
        <v>OK</v>
      </c>
      <c r="O2378" s="24">
        <f t="shared" si="151"/>
        <v>0</v>
      </c>
    </row>
    <row r="2379" spans="1:15" ht="15" customHeight="1" x14ac:dyDescent="0.3">
      <c r="A2379" s="23" t="s">
        <v>5248</v>
      </c>
      <c r="B2379" s="38">
        <v>46273</v>
      </c>
      <c r="C2379" s="23" t="s">
        <v>5249</v>
      </c>
      <c r="D2379" s="23" t="s">
        <v>95</v>
      </c>
      <c r="E2379" s="23" t="s">
        <v>77</v>
      </c>
      <c r="F2379" s="23" t="s">
        <v>5250</v>
      </c>
      <c r="G2379" s="23" t="s">
        <v>250</v>
      </c>
      <c r="H2379" s="39">
        <f t="shared" si="148"/>
        <v>4998</v>
      </c>
      <c r="I2379" s="23" t="str">
        <f t="shared" si="149"/>
        <v>Bengaluru</v>
      </c>
      <c r="J2379" s="23">
        <f>COUNTIFS(pg_transaction_cleaned!$O:$O,A2379,pg_transaction_cleaned!$F:$F,"CAPTURE")</f>
        <v>1</v>
      </c>
      <c r="K2379" s="39">
        <f>SUMIFS(pg_transaction_cleaned!$H:$H,pg_transaction_cleaned!$O:$O,A2379,pg_transaction_cleaned!$F:$F,"CAPTURE")</f>
        <v>4998</v>
      </c>
      <c r="L2379" s="23">
        <f>COUNTIFS(pg_transaction_cleaned!$O:$O,A2379,pg_transaction_cleaned!$F:$F,"REFUND")</f>
        <v>0</v>
      </c>
      <c r="M2379" s="39">
        <f>SUMIFS(pg_transaction_cleaned!$H:$H,pg_transaction_cleaned!$O:$O,A2379,pg_transaction_cleaned!$F:$F,"REFUND")</f>
        <v>0</v>
      </c>
      <c r="N2379" s="23" t="str">
        <f t="shared" si="150"/>
        <v>OK</v>
      </c>
      <c r="O2379" s="24">
        <f t="shared" si="151"/>
        <v>0</v>
      </c>
    </row>
    <row r="2380" spans="1:15" ht="15" customHeight="1" x14ac:dyDescent="0.3">
      <c r="A2380" s="23" t="s">
        <v>5251</v>
      </c>
      <c r="B2380" s="38">
        <v>46270</v>
      </c>
      <c r="C2380" s="23" t="s">
        <v>5252</v>
      </c>
      <c r="D2380" s="23" t="s">
        <v>93</v>
      </c>
      <c r="E2380" s="23" t="s">
        <v>79</v>
      </c>
      <c r="F2380" s="23" t="s">
        <v>294</v>
      </c>
      <c r="G2380" s="23" t="s">
        <v>250</v>
      </c>
      <c r="H2380" s="39">
        <f t="shared" si="148"/>
        <v>1799</v>
      </c>
      <c r="I2380" s="23" t="str">
        <f t="shared" si="149"/>
        <v>Kolkata</v>
      </c>
      <c r="J2380" s="23">
        <f>COUNTIFS(pg_transaction_cleaned!$O:$O,A2380,pg_transaction_cleaned!$F:$F,"CAPTURE")</f>
        <v>1</v>
      </c>
      <c r="K2380" s="39">
        <f>SUMIFS(pg_transaction_cleaned!$H:$H,pg_transaction_cleaned!$O:$O,A2380,pg_transaction_cleaned!$F:$F,"CAPTURE")</f>
        <v>1799</v>
      </c>
      <c r="L2380" s="23">
        <f>COUNTIFS(pg_transaction_cleaned!$O:$O,A2380,pg_transaction_cleaned!$F:$F,"REFUND")</f>
        <v>0</v>
      </c>
      <c r="M2380" s="39">
        <f>SUMIFS(pg_transaction_cleaned!$H:$H,pg_transaction_cleaned!$O:$O,A2380,pg_transaction_cleaned!$F:$F,"REFUND")</f>
        <v>0</v>
      </c>
      <c r="N2380" s="23" t="str">
        <f t="shared" si="150"/>
        <v>OK</v>
      </c>
      <c r="O2380" s="24">
        <f t="shared" si="151"/>
        <v>0</v>
      </c>
    </row>
    <row r="2381" spans="1:15" ht="15" customHeight="1" x14ac:dyDescent="0.3">
      <c r="A2381" s="23" t="s">
        <v>5253</v>
      </c>
      <c r="B2381" s="38">
        <v>46272</v>
      </c>
      <c r="C2381" s="23" t="s">
        <v>5254</v>
      </c>
      <c r="D2381" s="23" t="s">
        <v>92</v>
      </c>
      <c r="E2381" s="23" t="s">
        <v>75</v>
      </c>
      <c r="F2381" s="23" t="s">
        <v>553</v>
      </c>
      <c r="G2381" s="23" t="s">
        <v>318</v>
      </c>
      <c r="H2381" s="39">
        <f t="shared" si="148"/>
        <v>2798</v>
      </c>
      <c r="I2381" s="23" t="str">
        <f t="shared" si="149"/>
        <v>Hyderabad</v>
      </c>
      <c r="J2381" s="23">
        <f>COUNTIFS(pg_transaction_cleaned!$O:$O,A2381,pg_transaction_cleaned!$F:$F,"CAPTURE")</f>
        <v>0</v>
      </c>
      <c r="K2381" s="39">
        <f>SUMIFS(pg_transaction_cleaned!$H:$H,pg_transaction_cleaned!$O:$O,A2381,pg_transaction_cleaned!$F:$F,"CAPTURE")</f>
        <v>0</v>
      </c>
      <c r="L2381" s="23">
        <f>COUNTIFS(pg_transaction_cleaned!$O:$O,A2381,pg_transaction_cleaned!$F:$F,"REFUND")</f>
        <v>0</v>
      </c>
      <c r="M2381" s="39">
        <f>SUMIFS(pg_transaction_cleaned!$H:$H,pg_transaction_cleaned!$O:$O,A2381,pg_transaction_cleaned!$F:$F,"REFUND")</f>
        <v>0</v>
      </c>
      <c r="N2381" s="23" t="str">
        <f t="shared" si="150"/>
        <v>OK</v>
      </c>
      <c r="O2381" s="24">
        <f t="shared" si="151"/>
        <v>0</v>
      </c>
    </row>
    <row r="2382" spans="1:15" ht="15" customHeight="1" x14ac:dyDescent="0.3">
      <c r="A2382" s="23" t="s">
        <v>5255</v>
      </c>
      <c r="B2382" s="38">
        <v>46291</v>
      </c>
      <c r="C2382" s="23" t="s">
        <v>5256</v>
      </c>
      <c r="D2382" s="23" t="s">
        <v>90</v>
      </c>
      <c r="E2382" s="23" t="s">
        <v>75</v>
      </c>
      <c r="F2382" s="23" t="s">
        <v>2045</v>
      </c>
      <c r="G2382" s="23" t="s">
        <v>250</v>
      </c>
      <c r="H2382" s="39">
        <f t="shared" si="148"/>
        <v>698</v>
      </c>
      <c r="I2382" s="23" t="str">
        <f t="shared" si="149"/>
        <v>Ahmedabad</v>
      </c>
      <c r="J2382" s="23">
        <f>COUNTIFS(pg_transaction_cleaned!$O:$O,A2382,pg_transaction_cleaned!$F:$F,"CAPTURE")</f>
        <v>1</v>
      </c>
      <c r="K2382" s="39">
        <f>SUMIFS(pg_transaction_cleaned!$H:$H,pg_transaction_cleaned!$O:$O,A2382,pg_transaction_cleaned!$F:$F,"CAPTURE")</f>
        <v>698</v>
      </c>
      <c r="L2382" s="23">
        <f>COUNTIFS(pg_transaction_cleaned!$O:$O,A2382,pg_transaction_cleaned!$F:$F,"REFUND")</f>
        <v>0</v>
      </c>
      <c r="M2382" s="39">
        <f>SUMIFS(pg_transaction_cleaned!$H:$H,pg_transaction_cleaned!$O:$O,A2382,pg_transaction_cleaned!$F:$F,"REFUND")</f>
        <v>0</v>
      </c>
      <c r="N2382" s="23" t="str">
        <f t="shared" si="150"/>
        <v>OK</v>
      </c>
      <c r="O2382" s="24">
        <f t="shared" si="151"/>
        <v>0</v>
      </c>
    </row>
    <row r="2383" spans="1:15" ht="15" customHeight="1" x14ac:dyDescent="0.3">
      <c r="A2383" s="23" t="s">
        <v>5257</v>
      </c>
      <c r="B2383" s="38">
        <v>46285</v>
      </c>
      <c r="C2383" s="23" t="s">
        <v>5258</v>
      </c>
      <c r="D2383" s="23" t="s">
        <v>95</v>
      </c>
      <c r="E2383" s="23" t="s">
        <v>75</v>
      </c>
      <c r="F2383" s="23" t="s">
        <v>262</v>
      </c>
      <c r="G2383" s="23" t="s">
        <v>365</v>
      </c>
      <c r="H2383" s="39">
        <f t="shared" si="148"/>
        <v>499</v>
      </c>
      <c r="I2383" s="23" t="str">
        <f t="shared" si="149"/>
        <v>Bengaluru</v>
      </c>
      <c r="J2383" s="23">
        <f>COUNTIFS(pg_transaction_cleaned!$O:$O,A2383,pg_transaction_cleaned!$F:$F,"CAPTURE")</f>
        <v>0</v>
      </c>
      <c r="K2383" s="39">
        <f>SUMIFS(pg_transaction_cleaned!$H:$H,pg_transaction_cleaned!$O:$O,A2383,pg_transaction_cleaned!$F:$F,"CAPTURE")</f>
        <v>0</v>
      </c>
      <c r="L2383" s="23">
        <f>COUNTIFS(pg_transaction_cleaned!$O:$O,A2383,pg_transaction_cleaned!$F:$F,"REFUND")</f>
        <v>0</v>
      </c>
      <c r="M2383" s="39">
        <f>SUMIFS(pg_transaction_cleaned!$H:$H,pg_transaction_cleaned!$O:$O,A2383,pg_transaction_cleaned!$F:$F,"REFUND")</f>
        <v>0</v>
      </c>
      <c r="N2383" s="23" t="str">
        <f t="shared" si="150"/>
        <v>OK</v>
      </c>
      <c r="O2383" s="24">
        <f t="shared" si="151"/>
        <v>0</v>
      </c>
    </row>
    <row r="2384" spans="1:15" ht="15" customHeight="1" x14ac:dyDescent="0.3">
      <c r="A2384" s="23" t="s">
        <v>5259</v>
      </c>
      <c r="B2384" s="38">
        <v>46287</v>
      </c>
      <c r="C2384" s="23" t="s">
        <v>5260</v>
      </c>
      <c r="D2384" s="23" t="s">
        <v>90</v>
      </c>
      <c r="E2384" s="23" t="s">
        <v>79</v>
      </c>
      <c r="F2384" s="23" t="s">
        <v>268</v>
      </c>
      <c r="G2384" s="23" t="s">
        <v>250</v>
      </c>
      <c r="H2384" s="39">
        <f t="shared" si="148"/>
        <v>1299</v>
      </c>
      <c r="I2384" s="23" t="str">
        <f t="shared" si="149"/>
        <v>Ahmedabad</v>
      </c>
      <c r="J2384" s="23">
        <f>COUNTIFS(pg_transaction_cleaned!$O:$O,A2384,pg_transaction_cleaned!$F:$F,"CAPTURE")</f>
        <v>1</v>
      </c>
      <c r="K2384" s="39">
        <f>SUMIFS(pg_transaction_cleaned!$H:$H,pg_transaction_cleaned!$O:$O,A2384,pg_transaction_cleaned!$F:$F,"CAPTURE")</f>
        <v>1299</v>
      </c>
      <c r="L2384" s="23">
        <f>COUNTIFS(pg_transaction_cleaned!$O:$O,A2384,pg_transaction_cleaned!$F:$F,"REFUND")</f>
        <v>0</v>
      </c>
      <c r="M2384" s="39">
        <f>SUMIFS(pg_transaction_cleaned!$H:$H,pg_transaction_cleaned!$O:$O,A2384,pg_transaction_cleaned!$F:$F,"REFUND")</f>
        <v>0</v>
      </c>
      <c r="N2384" s="23" t="str">
        <f t="shared" si="150"/>
        <v>OK</v>
      </c>
      <c r="O2384" s="24">
        <f t="shared" si="151"/>
        <v>0</v>
      </c>
    </row>
    <row r="2385" spans="1:15" ht="15" customHeight="1" x14ac:dyDescent="0.3">
      <c r="A2385" s="23" t="s">
        <v>5261</v>
      </c>
      <c r="B2385" s="38">
        <v>46272</v>
      </c>
      <c r="C2385" s="23" t="s">
        <v>5262</v>
      </c>
      <c r="D2385" s="23" t="s">
        <v>90</v>
      </c>
      <c r="E2385" s="23" t="s">
        <v>75</v>
      </c>
      <c r="F2385" s="23" t="s">
        <v>274</v>
      </c>
      <c r="G2385" s="23" t="s">
        <v>250</v>
      </c>
      <c r="H2385" s="39">
        <f t="shared" si="148"/>
        <v>349</v>
      </c>
      <c r="I2385" s="23" t="str">
        <f t="shared" si="149"/>
        <v>Ahmedabad</v>
      </c>
      <c r="J2385" s="23">
        <f>COUNTIFS(pg_transaction_cleaned!$O:$O,A2385,pg_transaction_cleaned!$F:$F,"CAPTURE")</f>
        <v>1</v>
      </c>
      <c r="K2385" s="39">
        <f>SUMIFS(pg_transaction_cleaned!$H:$H,pg_transaction_cleaned!$O:$O,A2385,pg_transaction_cleaned!$F:$F,"CAPTURE")</f>
        <v>349</v>
      </c>
      <c r="L2385" s="23">
        <f>COUNTIFS(pg_transaction_cleaned!$O:$O,A2385,pg_transaction_cleaned!$F:$F,"REFUND")</f>
        <v>0</v>
      </c>
      <c r="M2385" s="39">
        <f>SUMIFS(pg_transaction_cleaned!$H:$H,pg_transaction_cleaned!$O:$O,A2385,pg_transaction_cleaned!$F:$F,"REFUND")</f>
        <v>0</v>
      </c>
      <c r="N2385" s="23" t="str">
        <f t="shared" si="150"/>
        <v>OK</v>
      </c>
      <c r="O2385" s="24">
        <f t="shared" si="151"/>
        <v>0</v>
      </c>
    </row>
    <row r="2386" spans="1:15" ht="15" customHeight="1" x14ac:dyDescent="0.3">
      <c r="A2386" s="23" t="s">
        <v>5263</v>
      </c>
      <c r="B2386" s="38">
        <v>46270</v>
      </c>
      <c r="C2386" s="23" t="s">
        <v>5264</v>
      </c>
      <c r="D2386" s="23" t="s">
        <v>95</v>
      </c>
      <c r="E2386" s="23" t="s">
        <v>75</v>
      </c>
      <c r="F2386" s="23" t="s">
        <v>1635</v>
      </c>
      <c r="G2386" s="23" t="s">
        <v>250</v>
      </c>
      <c r="H2386" s="39">
        <f t="shared" si="148"/>
        <v>11797</v>
      </c>
      <c r="I2386" s="23" t="str">
        <f t="shared" si="149"/>
        <v>Bengaluru</v>
      </c>
      <c r="J2386" s="23">
        <f>COUNTIFS(pg_transaction_cleaned!$O:$O,A2386,pg_transaction_cleaned!$F:$F,"CAPTURE")</f>
        <v>1</v>
      </c>
      <c r="K2386" s="39">
        <f>SUMIFS(pg_transaction_cleaned!$H:$H,pg_transaction_cleaned!$O:$O,A2386,pg_transaction_cleaned!$F:$F,"CAPTURE")</f>
        <v>11797</v>
      </c>
      <c r="L2386" s="23">
        <f>COUNTIFS(pg_transaction_cleaned!$O:$O,A2386,pg_transaction_cleaned!$F:$F,"REFUND")</f>
        <v>0</v>
      </c>
      <c r="M2386" s="39">
        <f>SUMIFS(pg_transaction_cleaned!$H:$H,pg_transaction_cleaned!$O:$O,A2386,pg_transaction_cleaned!$F:$F,"REFUND")</f>
        <v>0</v>
      </c>
      <c r="N2386" s="23" t="str">
        <f t="shared" si="150"/>
        <v>OK</v>
      </c>
      <c r="O2386" s="24">
        <f t="shared" si="151"/>
        <v>0</v>
      </c>
    </row>
    <row r="2387" spans="1:15" ht="15" customHeight="1" x14ac:dyDescent="0.3">
      <c r="A2387" s="23" t="s">
        <v>5265</v>
      </c>
      <c r="B2387" s="38">
        <v>46294</v>
      </c>
      <c r="C2387" s="23" t="s">
        <v>5266</v>
      </c>
      <c r="D2387" s="23" t="s">
        <v>90</v>
      </c>
      <c r="E2387" s="23" t="s">
        <v>75</v>
      </c>
      <c r="F2387" s="23" t="s">
        <v>670</v>
      </c>
      <c r="G2387" s="23" t="s">
        <v>250</v>
      </c>
      <c r="H2387" s="39">
        <f t="shared" si="148"/>
        <v>7797</v>
      </c>
      <c r="I2387" s="23" t="str">
        <f t="shared" si="149"/>
        <v>Ahmedabad</v>
      </c>
      <c r="J2387" s="23">
        <f>COUNTIFS(pg_transaction_cleaned!$O:$O,A2387,pg_transaction_cleaned!$F:$F,"CAPTURE")</f>
        <v>1</v>
      </c>
      <c r="K2387" s="39">
        <f>SUMIFS(pg_transaction_cleaned!$H:$H,pg_transaction_cleaned!$O:$O,A2387,pg_transaction_cleaned!$F:$F,"CAPTURE")</f>
        <v>7797</v>
      </c>
      <c r="L2387" s="23">
        <f>COUNTIFS(pg_transaction_cleaned!$O:$O,A2387,pg_transaction_cleaned!$F:$F,"REFUND")</f>
        <v>0</v>
      </c>
      <c r="M2387" s="39">
        <f>SUMIFS(pg_transaction_cleaned!$H:$H,pg_transaction_cleaned!$O:$O,A2387,pg_transaction_cleaned!$F:$F,"REFUND")</f>
        <v>0</v>
      </c>
      <c r="N2387" s="23" t="str">
        <f t="shared" si="150"/>
        <v>OK</v>
      </c>
      <c r="O2387" s="24">
        <f t="shared" si="151"/>
        <v>0</v>
      </c>
    </row>
    <row r="2388" spans="1:15" ht="15" customHeight="1" x14ac:dyDescent="0.3">
      <c r="A2388" s="23" t="s">
        <v>5267</v>
      </c>
      <c r="B2388" s="38">
        <v>46282</v>
      </c>
      <c r="C2388" s="23" t="s">
        <v>5268</v>
      </c>
      <c r="D2388" s="23" t="s">
        <v>91</v>
      </c>
      <c r="E2388" s="23" t="s">
        <v>75</v>
      </c>
      <c r="F2388" s="23" t="s">
        <v>405</v>
      </c>
      <c r="G2388" s="23" t="s">
        <v>250</v>
      </c>
      <c r="H2388" s="39">
        <f t="shared" si="148"/>
        <v>9298</v>
      </c>
      <c r="I2388" s="23" t="str">
        <f t="shared" si="149"/>
        <v>Pune</v>
      </c>
      <c r="J2388" s="23">
        <f>COUNTIFS(pg_transaction_cleaned!$O:$O,A2388,pg_transaction_cleaned!$F:$F,"CAPTURE")</f>
        <v>1</v>
      </c>
      <c r="K2388" s="39">
        <f>SUMIFS(pg_transaction_cleaned!$H:$H,pg_transaction_cleaned!$O:$O,A2388,pg_transaction_cleaned!$F:$F,"CAPTURE")</f>
        <v>9298</v>
      </c>
      <c r="L2388" s="23">
        <f>COUNTIFS(pg_transaction_cleaned!$O:$O,A2388,pg_transaction_cleaned!$F:$F,"REFUND")</f>
        <v>0</v>
      </c>
      <c r="M2388" s="39">
        <f>SUMIFS(pg_transaction_cleaned!$H:$H,pg_transaction_cleaned!$O:$O,A2388,pg_transaction_cleaned!$F:$F,"REFUND")</f>
        <v>0</v>
      </c>
      <c r="N2388" s="23" t="str">
        <f t="shared" si="150"/>
        <v>OK</v>
      </c>
      <c r="O2388" s="24">
        <f t="shared" si="151"/>
        <v>0</v>
      </c>
    </row>
    <row r="2389" spans="1:15" ht="15" customHeight="1" x14ac:dyDescent="0.3">
      <c r="A2389" s="23" t="s">
        <v>5269</v>
      </c>
      <c r="B2389" s="38">
        <v>46285</v>
      </c>
      <c r="C2389" s="23" t="s">
        <v>5270</v>
      </c>
      <c r="D2389" s="23" t="s">
        <v>94</v>
      </c>
      <c r="E2389" s="23" t="s">
        <v>75</v>
      </c>
      <c r="F2389" s="23" t="s">
        <v>561</v>
      </c>
      <c r="G2389" s="23" t="s">
        <v>250</v>
      </c>
      <c r="H2389" s="39">
        <f t="shared" si="148"/>
        <v>4797</v>
      </c>
      <c r="I2389" s="23" t="str">
        <f t="shared" si="149"/>
        <v>Chennai</v>
      </c>
      <c r="J2389" s="23">
        <f>COUNTIFS(pg_transaction_cleaned!$O:$O,A2389,pg_transaction_cleaned!$F:$F,"CAPTURE")</f>
        <v>2</v>
      </c>
      <c r="K2389" s="39">
        <f>SUMIFS(pg_transaction_cleaned!$H:$H,pg_transaction_cleaned!$O:$O,A2389,pg_transaction_cleaned!$F:$F,"CAPTURE")</f>
        <v>9594</v>
      </c>
      <c r="L2389" s="23">
        <f>COUNTIFS(pg_transaction_cleaned!$O:$O,A2389,pg_transaction_cleaned!$F:$F,"REFUND")</f>
        <v>0</v>
      </c>
      <c r="M2389" s="39">
        <f>SUMIFS(pg_transaction_cleaned!$H:$H,pg_transaction_cleaned!$O:$O,A2389,pg_transaction_cleaned!$F:$F,"REFUND")</f>
        <v>0</v>
      </c>
      <c r="N2389" s="23" t="str">
        <f t="shared" si="150"/>
        <v>Duplicate charge</v>
      </c>
      <c r="O2389" s="24">
        <f t="shared" si="151"/>
        <v>4797</v>
      </c>
    </row>
    <row r="2390" spans="1:15" ht="15" customHeight="1" x14ac:dyDescent="0.3">
      <c r="A2390" s="23" t="s">
        <v>5271</v>
      </c>
      <c r="B2390" s="38">
        <v>46278</v>
      </c>
      <c r="C2390" s="23" t="s">
        <v>5272</v>
      </c>
      <c r="D2390" s="23" t="s">
        <v>88</v>
      </c>
      <c r="E2390" s="23" t="s">
        <v>77</v>
      </c>
      <c r="F2390" s="23" t="s">
        <v>329</v>
      </c>
      <c r="G2390" s="23" t="s">
        <v>250</v>
      </c>
      <c r="H2390" s="39">
        <f t="shared" si="148"/>
        <v>599</v>
      </c>
      <c r="I2390" s="23" t="str">
        <f t="shared" si="149"/>
        <v>Lucknow</v>
      </c>
      <c r="J2390" s="23">
        <f>COUNTIFS(pg_transaction_cleaned!$O:$O,A2390,pg_transaction_cleaned!$F:$F,"CAPTURE")</f>
        <v>1</v>
      </c>
      <c r="K2390" s="39">
        <f>SUMIFS(pg_transaction_cleaned!$H:$H,pg_transaction_cleaned!$O:$O,A2390,pg_transaction_cleaned!$F:$F,"CAPTURE")</f>
        <v>599</v>
      </c>
      <c r="L2390" s="23">
        <f>COUNTIFS(pg_transaction_cleaned!$O:$O,A2390,pg_transaction_cleaned!$F:$F,"REFUND")</f>
        <v>0</v>
      </c>
      <c r="M2390" s="39">
        <f>SUMIFS(pg_transaction_cleaned!$H:$H,pg_transaction_cleaned!$O:$O,A2390,pg_transaction_cleaned!$F:$F,"REFUND")</f>
        <v>0</v>
      </c>
      <c r="N2390" s="23" t="str">
        <f t="shared" si="150"/>
        <v>OK</v>
      </c>
      <c r="O2390" s="24">
        <f t="shared" si="151"/>
        <v>0</v>
      </c>
    </row>
    <row r="2391" spans="1:15" ht="15" customHeight="1" x14ac:dyDescent="0.3">
      <c r="A2391" s="23" t="s">
        <v>5273</v>
      </c>
      <c r="B2391" s="38">
        <v>46294</v>
      </c>
      <c r="C2391" s="23" t="s">
        <v>5274</v>
      </c>
      <c r="D2391" s="23"/>
      <c r="E2391" s="23" t="s">
        <v>75</v>
      </c>
      <c r="F2391" s="23" t="s">
        <v>259</v>
      </c>
      <c r="G2391" s="23" t="s">
        <v>318</v>
      </c>
      <c r="H2391" s="39">
        <f t="shared" si="148"/>
        <v>3298</v>
      </c>
      <c r="I2391" s="23" t="str">
        <f t="shared" si="149"/>
        <v>Unknown</v>
      </c>
      <c r="J2391" s="23">
        <f>COUNTIFS(pg_transaction_cleaned!$O:$O,A2391,pg_transaction_cleaned!$F:$F,"CAPTURE")</f>
        <v>0</v>
      </c>
      <c r="K2391" s="39">
        <f>SUMIFS(pg_transaction_cleaned!$H:$H,pg_transaction_cleaned!$O:$O,A2391,pg_transaction_cleaned!$F:$F,"CAPTURE")</f>
        <v>0</v>
      </c>
      <c r="L2391" s="23">
        <f>COUNTIFS(pg_transaction_cleaned!$O:$O,A2391,pg_transaction_cleaned!$F:$F,"REFUND")</f>
        <v>0</v>
      </c>
      <c r="M2391" s="39">
        <f>SUMIFS(pg_transaction_cleaned!$H:$H,pg_transaction_cleaned!$O:$O,A2391,pg_transaction_cleaned!$F:$F,"REFUND")</f>
        <v>0</v>
      </c>
      <c r="N2391" s="23" t="str">
        <f t="shared" si="150"/>
        <v>OK</v>
      </c>
      <c r="O2391" s="24">
        <f t="shared" si="151"/>
        <v>0</v>
      </c>
    </row>
    <row r="2392" spans="1:15" ht="15" customHeight="1" x14ac:dyDescent="0.3">
      <c r="A2392" s="23" t="s">
        <v>5275</v>
      </c>
      <c r="B2392" s="38">
        <v>46288</v>
      </c>
      <c r="C2392" s="23" t="s">
        <v>5276</v>
      </c>
      <c r="D2392" s="23" t="s">
        <v>90</v>
      </c>
      <c r="E2392" s="23" t="s">
        <v>75</v>
      </c>
      <c r="F2392" s="23" t="s">
        <v>268</v>
      </c>
      <c r="G2392" s="23" t="s">
        <v>250</v>
      </c>
      <c r="H2392" s="39">
        <f t="shared" si="148"/>
        <v>1299</v>
      </c>
      <c r="I2392" s="23" t="str">
        <f t="shared" si="149"/>
        <v>Ahmedabad</v>
      </c>
      <c r="J2392" s="23">
        <f>COUNTIFS(pg_transaction_cleaned!$O:$O,A2392,pg_transaction_cleaned!$F:$F,"CAPTURE")</f>
        <v>1</v>
      </c>
      <c r="K2392" s="39">
        <f>SUMIFS(pg_transaction_cleaned!$H:$H,pg_transaction_cleaned!$O:$O,A2392,pg_transaction_cleaned!$F:$F,"CAPTURE")</f>
        <v>1299</v>
      </c>
      <c r="L2392" s="23">
        <f>COUNTIFS(pg_transaction_cleaned!$O:$O,A2392,pg_transaction_cleaned!$F:$F,"REFUND")</f>
        <v>0</v>
      </c>
      <c r="M2392" s="39">
        <f>SUMIFS(pg_transaction_cleaned!$H:$H,pg_transaction_cleaned!$O:$O,A2392,pg_transaction_cleaned!$F:$F,"REFUND")</f>
        <v>0</v>
      </c>
      <c r="N2392" s="23" t="str">
        <f t="shared" si="150"/>
        <v>OK</v>
      </c>
      <c r="O2392" s="24">
        <f t="shared" si="151"/>
        <v>0</v>
      </c>
    </row>
    <row r="2393" spans="1:15" ht="15" customHeight="1" x14ac:dyDescent="0.3">
      <c r="A2393" s="23" t="s">
        <v>5277</v>
      </c>
      <c r="B2393" s="38">
        <v>46279</v>
      </c>
      <c r="C2393" s="23" t="s">
        <v>5278</v>
      </c>
      <c r="D2393" s="23" t="s">
        <v>94</v>
      </c>
      <c r="E2393" s="23" t="s">
        <v>75</v>
      </c>
      <c r="F2393" s="23" t="s">
        <v>2859</v>
      </c>
      <c r="G2393" s="23" t="s">
        <v>250</v>
      </c>
      <c r="H2393" s="39">
        <f t="shared" si="148"/>
        <v>3147</v>
      </c>
      <c r="I2393" s="23" t="str">
        <f t="shared" si="149"/>
        <v>Chennai</v>
      </c>
      <c r="J2393" s="23">
        <f>COUNTIFS(pg_transaction_cleaned!$O:$O,A2393,pg_transaction_cleaned!$F:$F,"CAPTURE")</f>
        <v>1</v>
      </c>
      <c r="K2393" s="39">
        <f>SUMIFS(pg_transaction_cleaned!$H:$H,pg_transaction_cleaned!$O:$O,A2393,pg_transaction_cleaned!$F:$F,"CAPTURE")</f>
        <v>3147</v>
      </c>
      <c r="L2393" s="23">
        <f>COUNTIFS(pg_transaction_cleaned!$O:$O,A2393,pg_transaction_cleaned!$F:$F,"REFUND")</f>
        <v>0</v>
      </c>
      <c r="M2393" s="39">
        <f>SUMIFS(pg_transaction_cleaned!$H:$H,pg_transaction_cleaned!$O:$O,A2393,pg_transaction_cleaned!$F:$F,"REFUND")</f>
        <v>0</v>
      </c>
      <c r="N2393" s="23" t="str">
        <f t="shared" si="150"/>
        <v>OK</v>
      </c>
      <c r="O2393" s="24">
        <f t="shared" si="151"/>
        <v>0</v>
      </c>
    </row>
    <row r="2394" spans="1:15" ht="15" customHeight="1" x14ac:dyDescent="0.3">
      <c r="A2394" s="23" t="s">
        <v>5279</v>
      </c>
      <c r="B2394" s="38">
        <v>46295</v>
      </c>
      <c r="C2394" s="23" t="s">
        <v>5280</v>
      </c>
      <c r="D2394" s="23" t="s">
        <v>89</v>
      </c>
      <c r="E2394" s="23" t="s">
        <v>75</v>
      </c>
      <c r="F2394" s="23" t="s">
        <v>315</v>
      </c>
      <c r="G2394" s="23" t="s">
        <v>250</v>
      </c>
      <c r="H2394" s="39">
        <f t="shared" si="148"/>
        <v>1499</v>
      </c>
      <c r="I2394" s="23" t="str">
        <f t="shared" si="149"/>
        <v>Jaipur</v>
      </c>
      <c r="J2394" s="23">
        <f>COUNTIFS(pg_transaction_cleaned!$O:$O,A2394,pg_transaction_cleaned!$F:$F,"CAPTURE")</f>
        <v>1</v>
      </c>
      <c r="K2394" s="39">
        <f>SUMIFS(pg_transaction_cleaned!$H:$H,pg_transaction_cleaned!$O:$O,A2394,pg_transaction_cleaned!$F:$F,"CAPTURE")</f>
        <v>1499</v>
      </c>
      <c r="L2394" s="23">
        <f>COUNTIFS(pg_transaction_cleaned!$O:$O,A2394,pg_transaction_cleaned!$F:$F,"REFUND")</f>
        <v>0</v>
      </c>
      <c r="M2394" s="39">
        <f>SUMIFS(pg_transaction_cleaned!$H:$H,pg_transaction_cleaned!$O:$O,A2394,pg_transaction_cleaned!$F:$F,"REFUND")</f>
        <v>0</v>
      </c>
      <c r="N2394" s="23" t="str">
        <f t="shared" si="150"/>
        <v>OK</v>
      </c>
      <c r="O2394" s="24">
        <f t="shared" si="151"/>
        <v>0</v>
      </c>
    </row>
    <row r="2395" spans="1:15" ht="15" customHeight="1" x14ac:dyDescent="0.3">
      <c r="A2395" s="23" t="s">
        <v>5281</v>
      </c>
      <c r="B2395" s="38">
        <v>46285</v>
      </c>
      <c r="C2395" s="23" t="s">
        <v>5282</v>
      </c>
      <c r="D2395" s="23" t="s">
        <v>87</v>
      </c>
      <c r="E2395" s="23" t="s">
        <v>77</v>
      </c>
      <c r="F2395" s="23" t="s">
        <v>598</v>
      </c>
      <c r="G2395" s="23" t="s">
        <v>250</v>
      </c>
      <c r="H2395" s="39">
        <f t="shared" si="148"/>
        <v>5598</v>
      </c>
      <c r="I2395" s="23" t="str">
        <f t="shared" si="149"/>
        <v>Mumbai</v>
      </c>
      <c r="J2395" s="23">
        <f>COUNTIFS(pg_transaction_cleaned!$O:$O,A2395,pg_transaction_cleaned!$F:$F,"CAPTURE")</f>
        <v>1</v>
      </c>
      <c r="K2395" s="39">
        <f>SUMIFS(pg_transaction_cleaned!$H:$H,pg_transaction_cleaned!$O:$O,A2395,pg_transaction_cleaned!$F:$F,"CAPTURE")</f>
        <v>5598</v>
      </c>
      <c r="L2395" s="23">
        <f>COUNTIFS(pg_transaction_cleaned!$O:$O,A2395,pg_transaction_cleaned!$F:$F,"REFUND")</f>
        <v>0</v>
      </c>
      <c r="M2395" s="39">
        <f>SUMIFS(pg_transaction_cleaned!$H:$H,pg_transaction_cleaned!$O:$O,A2395,pg_transaction_cleaned!$F:$F,"REFUND")</f>
        <v>0</v>
      </c>
      <c r="N2395" s="23" t="str">
        <f t="shared" si="150"/>
        <v>OK</v>
      </c>
      <c r="O2395" s="24">
        <f t="shared" si="151"/>
        <v>0</v>
      </c>
    </row>
    <row r="2396" spans="1:15" ht="15" customHeight="1" x14ac:dyDescent="0.3">
      <c r="A2396" s="23" t="s">
        <v>5283</v>
      </c>
      <c r="B2396" s="38">
        <v>46290</v>
      </c>
      <c r="C2396" s="23" t="s">
        <v>5284</v>
      </c>
      <c r="D2396" s="23" t="s">
        <v>89</v>
      </c>
      <c r="E2396" s="23" t="s">
        <v>75</v>
      </c>
      <c r="F2396" s="23" t="s">
        <v>274</v>
      </c>
      <c r="G2396" s="23" t="s">
        <v>250</v>
      </c>
      <c r="H2396" s="39">
        <f t="shared" si="148"/>
        <v>349</v>
      </c>
      <c r="I2396" s="23" t="str">
        <f t="shared" si="149"/>
        <v>Jaipur</v>
      </c>
      <c r="J2396" s="23">
        <f>COUNTIFS(pg_transaction_cleaned!$O:$O,A2396,pg_transaction_cleaned!$F:$F,"CAPTURE")</f>
        <v>1</v>
      </c>
      <c r="K2396" s="39">
        <f>SUMIFS(pg_transaction_cleaned!$H:$H,pg_transaction_cleaned!$O:$O,A2396,pg_transaction_cleaned!$F:$F,"CAPTURE")</f>
        <v>349</v>
      </c>
      <c r="L2396" s="23">
        <f>COUNTIFS(pg_transaction_cleaned!$O:$O,A2396,pg_transaction_cleaned!$F:$F,"REFUND")</f>
        <v>0</v>
      </c>
      <c r="M2396" s="39">
        <f>SUMIFS(pg_transaction_cleaned!$H:$H,pg_transaction_cleaned!$O:$O,A2396,pg_transaction_cleaned!$F:$F,"REFUND")</f>
        <v>0</v>
      </c>
      <c r="N2396" s="23" t="str">
        <f t="shared" si="150"/>
        <v>OK</v>
      </c>
      <c r="O2396" s="24">
        <f t="shared" si="151"/>
        <v>0</v>
      </c>
    </row>
    <row r="2397" spans="1:15" ht="15" customHeight="1" x14ac:dyDescent="0.3">
      <c r="A2397" s="23" t="s">
        <v>5285</v>
      </c>
      <c r="B2397" s="38">
        <v>46267</v>
      </c>
      <c r="C2397" s="23" t="s">
        <v>5286</v>
      </c>
      <c r="D2397" s="23" t="s">
        <v>92</v>
      </c>
      <c r="E2397" s="23" t="s">
        <v>75</v>
      </c>
      <c r="F2397" s="23" t="s">
        <v>274</v>
      </c>
      <c r="G2397" s="23" t="s">
        <v>250</v>
      </c>
      <c r="H2397" s="39">
        <f t="shared" si="148"/>
        <v>349</v>
      </c>
      <c r="I2397" s="23" t="str">
        <f t="shared" si="149"/>
        <v>Hyderabad</v>
      </c>
      <c r="J2397" s="23">
        <f>COUNTIFS(pg_transaction_cleaned!$O:$O,A2397,pg_transaction_cleaned!$F:$F,"CAPTURE")</f>
        <v>1</v>
      </c>
      <c r="K2397" s="39">
        <f>SUMIFS(pg_transaction_cleaned!$H:$H,pg_transaction_cleaned!$O:$O,A2397,pg_transaction_cleaned!$F:$F,"CAPTURE")</f>
        <v>349</v>
      </c>
      <c r="L2397" s="23">
        <f>COUNTIFS(pg_transaction_cleaned!$O:$O,A2397,pg_transaction_cleaned!$F:$F,"REFUND")</f>
        <v>0</v>
      </c>
      <c r="M2397" s="39">
        <f>SUMIFS(pg_transaction_cleaned!$H:$H,pg_transaction_cleaned!$O:$O,A2397,pg_transaction_cleaned!$F:$F,"REFUND")</f>
        <v>0</v>
      </c>
      <c r="N2397" s="23" t="str">
        <f t="shared" si="150"/>
        <v>OK</v>
      </c>
      <c r="O2397" s="24">
        <f t="shared" si="151"/>
        <v>0</v>
      </c>
    </row>
    <row r="2398" spans="1:15" ht="15" customHeight="1" x14ac:dyDescent="0.3">
      <c r="A2398" s="23" t="s">
        <v>5287</v>
      </c>
      <c r="B2398" s="38">
        <v>46270</v>
      </c>
      <c r="C2398" s="23" t="s">
        <v>5288</v>
      </c>
      <c r="D2398" s="23" t="s">
        <v>86</v>
      </c>
      <c r="E2398" s="23" t="s">
        <v>75</v>
      </c>
      <c r="F2398" s="23" t="s">
        <v>490</v>
      </c>
      <c r="G2398" s="23" t="s">
        <v>365</v>
      </c>
      <c r="H2398" s="39">
        <f t="shared" si="148"/>
        <v>8798</v>
      </c>
      <c r="I2398" s="23" t="str">
        <f t="shared" si="149"/>
        <v>Delhi</v>
      </c>
      <c r="J2398" s="23">
        <f>COUNTIFS(pg_transaction_cleaned!$O:$O,A2398,pg_transaction_cleaned!$F:$F,"CAPTURE")</f>
        <v>0</v>
      </c>
      <c r="K2398" s="39">
        <f>SUMIFS(pg_transaction_cleaned!$H:$H,pg_transaction_cleaned!$O:$O,A2398,pg_transaction_cleaned!$F:$F,"CAPTURE")</f>
        <v>0</v>
      </c>
      <c r="L2398" s="23">
        <f>COUNTIFS(pg_transaction_cleaned!$O:$O,A2398,pg_transaction_cleaned!$F:$F,"REFUND")</f>
        <v>0</v>
      </c>
      <c r="M2398" s="39">
        <f>SUMIFS(pg_transaction_cleaned!$H:$H,pg_transaction_cleaned!$O:$O,A2398,pg_transaction_cleaned!$F:$F,"REFUND")</f>
        <v>0</v>
      </c>
      <c r="N2398" s="23" t="str">
        <f t="shared" si="150"/>
        <v>OK</v>
      </c>
      <c r="O2398" s="24">
        <f t="shared" si="151"/>
        <v>0</v>
      </c>
    </row>
    <row r="2399" spans="1:15" ht="15" customHeight="1" x14ac:dyDescent="0.3">
      <c r="A2399" s="23" t="s">
        <v>5289</v>
      </c>
      <c r="B2399" s="38">
        <v>46282</v>
      </c>
      <c r="C2399" s="23" t="s">
        <v>5290</v>
      </c>
      <c r="D2399" s="23" t="s">
        <v>86</v>
      </c>
      <c r="E2399" s="23" t="s">
        <v>79</v>
      </c>
      <c r="F2399" s="23" t="s">
        <v>329</v>
      </c>
      <c r="G2399" s="23" t="s">
        <v>250</v>
      </c>
      <c r="H2399" s="39">
        <f t="shared" si="148"/>
        <v>599</v>
      </c>
      <c r="I2399" s="23" t="str">
        <f t="shared" si="149"/>
        <v>Delhi</v>
      </c>
      <c r="J2399" s="23">
        <f>COUNTIFS(pg_transaction_cleaned!$O:$O,A2399,pg_transaction_cleaned!$F:$F,"CAPTURE")</f>
        <v>1</v>
      </c>
      <c r="K2399" s="39">
        <f>SUMIFS(pg_transaction_cleaned!$H:$H,pg_transaction_cleaned!$O:$O,A2399,pg_transaction_cleaned!$F:$F,"CAPTURE")</f>
        <v>599</v>
      </c>
      <c r="L2399" s="23">
        <f>COUNTIFS(pg_transaction_cleaned!$O:$O,A2399,pg_transaction_cleaned!$F:$F,"REFUND")</f>
        <v>0</v>
      </c>
      <c r="M2399" s="39">
        <f>SUMIFS(pg_transaction_cleaned!$H:$H,pg_transaction_cleaned!$O:$O,A2399,pg_transaction_cleaned!$F:$F,"REFUND")</f>
        <v>0</v>
      </c>
      <c r="N2399" s="23" t="str">
        <f t="shared" si="150"/>
        <v>OK</v>
      </c>
      <c r="O2399" s="24">
        <f t="shared" si="151"/>
        <v>0</v>
      </c>
    </row>
    <row r="2400" spans="1:15" ht="15" customHeight="1" x14ac:dyDescent="0.3">
      <c r="A2400" s="23" t="s">
        <v>5291</v>
      </c>
      <c r="B2400" s="38">
        <v>46275</v>
      </c>
      <c r="C2400" s="23" t="s">
        <v>5292</v>
      </c>
      <c r="D2400" s="23" t="s">
        <v>88</v>
      </c>
      <c r="E2400" s="23" t="s">
        <v>75</v>
      </c>
      <c r="F2400" s="23" t="s">
        <v>553</v>
      </c>
      <c r="G2400" s="23" t="s">
        <v>365</v>
      </c>
      <c r="H2400" s="39">
        <f t="shared" si="148"/>
        <v>2798</v>
      </c>
      <c r="I2400" s="23" t="str">
        <f t="shared" si="149"/>
        <v>Lucknow</v>
      </c>
      <c r="J2400" s="23">
        <f>COUNTIFS(pg_transaction_cleaned!$O:$O,A2400,pg_transaction_cleaned!$F:$F,"CAPTURE")</f>
        <v>0</v>
      </c>
      <c r="K2400" s="39">
        <f>SUMIFS(pg_transaction_cleaned!$H:$H,pg_transaction_cleaned!$O:$O,A2400,pg_transaction_cleaned!$F:$F,"CAPTURE")</f>
        <v>0</v>
      </c>
      <c r="L2400" s="23">
        <f>COUNTIFS(pg_transaction_cleaned!$O:$O,A2400,pg_transaction_cleaned!$F:$F,"REFUND")</f>
        <v>0</v>
      </c>
      <c r="M2400" s="39">
        <f>SUMIFS(pg_transaction_cleaned!$H:$H,pg_transaction_cleaned!$O:$O,A2400,pg_transaction_cleaned!$F:$F,"REFUND")</f>
        <v>0</v>
      </c>
      <c r="N2400" s="23" t="str">
        <f t="shared" si="150"/>
        <v>OK</v>
      </c>
      <c r="O2400" s="24">
        <f t="shared" si="151"/>
        <v>0</v>
      </c>
    </row>
    <row r="2401" spans="1:15" ht="15" customHeight="1" x14ac:dyDescent="0.3">
      <c r="A2401" s="23" t="s">
        <v>5293</v>
      </c>
      <c r="B2401" s="38">
        <v>46288</v>
      </c>
      <c r="C2401" s="23" t="s">
        <v>5294</v>
      </c>
      <c r="D2401" s="23" t="s">
        <v>89</v>
      </c>
      <c r="E2401" s="23" t="s">
        <v>75</v>
      </c>
      <c r="F2401" s="23" t="s">
        <v>393</v>
      </c>
      <c r="G2401" s="23" t="s">
        <v>250</v>
      </c>
      <c r="H2401" s="39">
        <f t="shared" si="148"/>
        <v>349</v>
      </c>
      <c r="I2401" s="23" t="str">
        <f t="shared" si="149"/>
        <v>Jaipur</v>
      </c>
      <c r="J2401" s="23">
        <f>COUNTIFS(pg_transaction_cleaned!$O:$O,A2401,pg_transaction_cleaned!$F:$F,"CAPTURE")</f>
        <v>1</v>
      </c>
      <c r="K2401" s="39">
        <f>SUMIFS(pg_transaction_cleaned!$H:$H,pg_transaction_cleaned!$O:$O,A2401,pg_transaction_cleaned!$F:$F,"CAPTURE")</f>
        <v>349</v>
      </c>
      <c r="L2401" s="23">
        <f>COUNTIFS(pg_transaction_cleaned!$O:$O,A2401,pg_transaction_cleaned!$F:$F,"REFUND")</f>
        <v>0</v>
      </c>
      <c r="M2401" s="39">
        <f>SUMIFS(pg_transaction_cleaned!$H:$H,pg_transaction_cleaned!$O:$O,A2401,pg_transaction_cleaned!$F:$F,"REFUND")</f>
        <v>0</v>
      </c>
      <c r="N2401" s="23" t="str">
        <f t="shared" si="150"/>
        <v>OK</v>
      </c>
      <c r="O2401" s="24">
        <f t="shared" si="151"/>
        <v>0</v>
      </c>
    </row>
    <row r="2402" spans="1:15" ht="15" customHeight="1" x14ac:dyDescent="0.3">
      <c r="A2402" s="23" t="s">
        <v>5295</v>
      </c>
      <c r="B2402" s="38">
        <v>46269</v>
      </c>
      <c r="C2402" s="23" t="s">
        <v>5296</v>
      </c>
      <c r="D2402" s="23" t="s">
        <v>86</v>
      </c>
      <c r="E2402" s="23" t="s">
        <v>75</v>
      </c>
      <c r="F2402" s="23" t="s">
        <v>426</v>
      </c>
      <c r="G2402" s="23" t="s">
        <v>250</v>
      </c>
      <c r="H2402" s="39">
        <f t="shared" si="148"/>
        <v>6798</v>
      </c>
      <c r="I2402" s="23" t="str">
        <f t="shared" si="149"/>
        <v>Delhi</v>
      </c>
      <c r="J2402" s="23">
        <f>COUNTIFS(pg_transaction_cleaned!$O:$O,A2402,pg_transaction_cleaned!$F:$F,"CAPTURE")</f>
        <v>1</v>
      </c>
      <c r="K2402" s="39">
        <f>SUMIFS(pg_transaction_cleaned!$H:$H,pg_transaction_cleaned!$O:$O,A2402,pg_transaction_cleaned!$F:$F,"CAPTURE")</f>
        <v>6798</v>
      </c>
      <c r="L2402" s="23">
        <f>COUNTIFS(pg_transaction_cleaned!$O:$O,A2402,pg_transaction_cleaned!$F:$F,"REFUND")</f>
        <v>0</v>
      </c>
      <c r="M2402" s="39">
        <f>SUMIFS(pg_transaction_cleaned!$H:$H,pg_transaction_cleaned!$O:$O,A2402,pg_transaction_cleaned!$F:$F,"REFUND")</f>
        <v>0</v>
      </c>
      <c r="N2402" s="23" t="str">
        <f t="shared" si="150"/>
        <v>OK</v>
      </c>
      <c r="O2402" s="24">
        <f t="shared" si="151"/>
        <v>0</v>
      </c>
    </row>
    <row r="2403" spans="1:15" ht="15" customHeight="1" x14ac:dyDescent="0.3">
      <c r="A2403" s="23" t="s">
        <v>5297</v>
      </c>
      <c r="B2403" s="38">
        <v>46273</v>
      </c>
      <c r="C2403" s="23" t="s">
        <v>5298</v>
      </c>
      <c r="D2403" s="23" t="s">
        <v>87</v>
      </c>
      <c r="E2403" s="23" t="s">
        <v>79</v>
      </c>
      <c r="F2403" s="23" t="s">
        <v>265</v>
      </c>
      <c r="G2403" s="23" t="s">
        <v>250</v>
      </c>
      <c r="H2403" s="39">
        <f t="shared" si="148"/>
        <v>999</v>
      </c>
      <c r="I2403" s="23" t="str">
        <f t="shared" si="149"/>
        <v>Mumbai</v>
      </c>
      <c r="J2403" s="23">
        <f>COUNTIFS(pg_transaction_cleaned!$O:$O,A2403,pg_transaction_cleaned!$F:$F,"CAPTURE")</f>
        <v>1</v>
      </c>
      <c r="K2403" s="39">
        <f>SUMIFS(pg_transaction_cleaned!$H:$H,pg_transaction_cleaned!$O:$O,A2403,pg_transaction_cleaned!$F:$F,"CAPTURE")</f>
        <v>999</v>
      </c>
      <c r="L2403" s="23">
        <f>COUNTIFS(pg_transaction_cleaned!$O:$O,A2403,pg_transaction_cleaned!$F:$F,"REFUND")</f>
        <v>0</v>
      </c>
      <c r="M2403" s="39">
        <f>SUMIFS(pg_transaction_cleaned!$H:$H,pg_transaction_cleaned!$O:$O,A2403,pg_transaction_cleaned!$F:$F,"REFUND")</f>
        <v>0</v>
      </c>
      <c r="N2403" s="23" t="str">
        <f t="shared" si="150"/>
        <v>OK</v>
      </c>
      <c r="O2403" s="24">
        <f t="shared" si="151"/>
        <v>0</v>
      </c>
    </row>
    <row r="2404" spans="1:15" ht="15" customHeight="1" x14ac:dyDescent="0.3">
      <c r="A2404" s="23" t="s">
        <v>5299</v>
      </c>
      <c r="B2404" s="38">
        <v>46282</v>
      </c>
      <c r="C2404" s="23" t="s">
        <v>5300</v>
      </c>
      <c r="D2404" s="23" t="s">
        <v>86</v>
      </c>
      <c r="E2404" s="23" t="s">
        <v>75</v>
      </c>
      <c r="F2404" s="23" t="s">
        <v>357</v>
      </c>
      <c r="G2404" s="23" t="s">
        <v>250</v>
      </c>
      <c r="H2404" s="39">
        <f t="shared" si="148"/>
        <v>1598</v>
      </c>
      <c r="I2404" s="23" t="str">
        <f t="shared" si="149"/>
        <v>Delhi</v>
      </c>
      <c r="J2404" s="23">
        <f>COUNTIFS(pg_transaction_cleaned!$O:$O,A2404,pg_transaction_cleaned!$F:$F,"CAPTURE")</f>
        <v>1</v>
      </c>
      <c r="K2404" s="39">
        <f>SUMIFS(pg_transaction_cleaned!$H:$H,pg_transaction_cleaned!$O:$O,A2404,pg_transaction_cleaned!$F:$F,"CAPTURE")</f>
        <v>1598</v>
      </c>
      <c r="L2404" s="23">
        <f>COUNTIFS(pg_transaction_cleaned!$O:$O,A2404,pg_transaction_cleaned!$F:$F,"REFUND")</f>
        <v>0</v>
      </c>
      <c r="M2404" s="39">
        <f>SUMIFS(pg_transaction_cleaned!$H:$H,pg_transaction_cleaned!$O:$O,A2404,pg_transaction_cleaned!$F:$F,"REFUND")</f>
        <v>0</v>
      </c>
      <c r="N2404" s="23" t="str">
        <f t="shared" si="150"/>
        <v>OK</v>
      </c>
      <c r="O2404" s="24">
        <f t="shared" si="151"/>
        <v>0</v>
      </c>
    </row>
    <row r="2405" spans="1:15" ht="15" customHeight="1" x14ac:dyDescent="0.3">
      <c r="A2405" s="23" t="s">
        <v>5301</v>
      </c>
      <c r="B2405" s="38">
        <v>46273</v>
      </c>
      <c r="C2405" s="23" t="s">
        <v>5302</v>
      </c>
      <c r="D2405" s="23" t="s">
        <v>90</v>
      </c>
      <c r="E2405" s="23" t="s">
        <v>75</v>
      </c>
      <c r="F2405" s="23" t="s">
        <v>622</v>
      </c>
      <c r="G2405" s="23" t="s">
        <v>250</v>
      </c>
      <c r="H2405" s="39">
        <f t="shared" si="148"/>
        <v>8998</v>
      </c>
      <c r="I2405" s="23" t="str">
        <f t="shared" si="149"/>
        <v>Ahmedabad</v>
      </c>
      <c r="J2405" s="23">
        <f>COUNTIFS(pg_transaction_cleaned!$O:$O,A2405,pg_transaction_cleaned!$F:$F,"CAPTURE")</f>
        <v>1</v>
      </c>
      <c r="K2405" s="39">
        <f>SUMIFS(pg_transaction_cleaned!$H:$H,pg_transaction_cleaned!$O:$O,A2405,pg_transaction_cleaned!$F:$F,"CAPTURE")</f>
        <v>8998</v>
      </c>
      <c r="L2405" s="23">
        <f>COUNTIFS(pg_transaction_cleaned!$O:$O,A2405,pg_transaction_cleaned!$F:$F,"REFUND")</f>
        <v>0</v>
      </c>
      <c r="M2405" s="39">
        <f>SUMIFS(pg_transaction_cleaned!$H:$H,pg_transaction_cleaned!$O:$O,A2405,pg_transaction_cleaned!$F:$F,"REFUND")</f>
        <v>0</v>
      </c>
      <c r="N2405" s="23" t="str">
        <f t="shared" si="150"/>
        <v>OK</v>
      </c>
      <c r="O2405" s="24">
        <f t="shared" si="151"/>
        <v>0</v>
      </c>
    </row>
    <row r="2406" spans="1:15" ht="15" customHeight="1" x14ac:dyDescent="0.3">
      <c r="A2406" s="23" t="s">
        <v>5303</v>
      </c>
      <c r="B2406" s="38">
        <v>46271</v>
      </c>
      <c r="C2406" s="23" t="s">
        <v>5304</v>
      </c>
      <c r="D2406" s="23" t="s">
        <v>91</v>
      </c>
      <c r="E2406" s="23" t="s">
        <v>79</v>
      </c>
      <c r="F2406" s="23" t="s">
        <v>1949</v>
      </c>
      <c r="G2406" s="23" t="s">
        <v>250</v>
      </c>
      <c r="H2406" s="39">
        <f t="shared" si="148"/>
        <v>4447</v>
      </c>
      <c r="I2406" s="23" t="str">
        <f t="shared" si="149"/>
        <v>Pune</v>
      </c>
      <c r="J2406" s="23">
        <f>COUNTIFS(pg_transaction_cleaned!$O:$O,A2406,pg_transaction_cleaned!$F:$F,"CAPTURE")</f>
        <v>1</v>
      </c>
      <c r="K2406" s="39">
        <f>SUMIFS(pg_transaction_cleaned!$H:$H,pg_transaction_cleaned!$O:$O,A2406,pg_transaction_cleaned!$F:$F,"CAPTURE")</f>
        <v>3947</v>
      </c>
      <c r="L2406" s="23">
        <f>COUNTIFS(pg_transaction_cleaned!$O:$O,A2406,pg_transaction_cleaned!$F:$F,"REFUND")</f>
        <v>0</v>
      </c>
      <c r="M2406" s="39">
        <f>SUMIFS(pg_transaction_cleaned!$H:$H,pg_transaction_cleaned!$O:$O,A2406,pg_transaction_cleaned!$F:$F,"REFUND")</f>
        <v>0</v>
      </c>
      <c r="N2406" s="23" t="str">
        <f t="shared" si="150"/>
        <v>Amount difference</v>
      </c>
      <c r="O2406" s="24">
        <f t="shared" si="151"/>
        <v>-500</v>
      </c>
    </row>
    <row r="2407" spans="1:15" ht="15" customHeight="1" x14ac:dyDescent="0.3">
      <c r="A2407" s="23" t="s">
        <v>5305</v>
      </c>
      <c r="B2407" s="38">
        <v>46278</v>
      </c>
      <c r="C2407" s="23" t="s">
        <v>5306</v>
      </c>
      <c r="D2407" s="23" t="s">
        <v>93</v>
      </c>
      <c r="E2407" s="23" t="s">
        <v>75</v>
      </c>
      <c r="F2407" s="23" t="s">
        <v>249</v>
      </c>
      <c r="G2407" s="23" t="s">
        <v>250</v>
      </c>
      <c r="H2407" s="39">
        <f t="shared" si="148"/>
        <v>299</v>
      </c>
      <c r="I2407" s="23" t="str">
        <f t="shared" si="149"/>
        <v>Kolkata</v>
      </c>
      <c r="J2407" s="23">
        <f>COUNTIFS(pg_transaction_cleaned!$O:$O,A2407,pg_transaction_cleaned!$F:$F,"CAPTURE")</f>
        <v>1</v>
      </c>
      <c r="K2407" s="39">
        <f>SUMIFS(pg_transaction_cleaned!$H:$H,pg_transaction_cleaned!$O:$O,A2407,pg_transaction_cleaned!$F:$F,"CAPTURE")</f>
        <v>299</v>
      </c>
      <c r="L2407" s="23">
        <f>COUNTIFS(pg_transaction_cleaned!$O:$O,A2407,pg_transaction_cleaned!$F:$F,"REFUND")</f>
        <v>0</v>
      </c>
      <c r="M2407" s="39">
        <f>SUMIFS(pg_transaction_cleaned!$H:$H,pg_transaction_cleaned!$O:$O,A2407,pg_transaction_cleaned!$F:$F,"REFUND")</f>
        <v>0</v>
      </c>
      <c r="N2407" s="23" t="str">
        <f t="shared" si="150"/>
        <v>OK</v>
      </c>
      <c r="O2407" s="24">
        <f t="shared" si="151"/>
        <v>0</v>
      </c>
    </row>
    <row r="2408" spans="1:15" ht="15" customHeight="1" x14ac:dyDescent="0.3">
      <c r="A2408" s="23" t="s">
        <v>5307</v>
      </c>
      <c r="B2408" s="38">
        <v>46283</v>
      </c>
      <c r="C2408" s="23" t="s">
        <v>5308</v>
      </c>
      <c r="D2408" s="23" t="s">
        <v>89</v>
      </c>
      <c r="E2408" s="23" t="s">
        <v>75</v>
      </c>
      <c r="F2408" s="23" t="s">
        <v>3102</v>
      </c>
      <c r="G2408" s="23" t="s">
        <v>365</v>
      </c>
      <c r="H2408" s="39">
        <f t="shared" si="148"/>
        <v>4798</v>
      </c>
      <c r="I2408" s="23" t="str">
        <f t="shared" si="149"/>
        <v>Jaipur</v>
      </c>
      <c r="J2408" s="23">
        <f>COUNTIFS(pg_transaction_cleaned!$O:$O,A2408,pg_transaction_cleaned!$F:$F,"CAPTURE")</f>
        <v>0</v>
      </c>
      <c r="K2408" s="39">
        <f>SUMIFS(pg_transaction_cleaned!$H:$H,pg_transaction_cleaned!$O:$O,A2408,pg_transaction_cleaned!$F:$F,"CAPTURE")</f>
        <v>0</v>
      </c>
      <c r="L2408" s="23">
        <f>COUNTIFS(pg_transaction_cleaned!$O:$O,A2408,pg_transaction_cleaned!$F:$F,"REFUND")</f>
        <v>0</v>
      </c>
      <c r="M2408" s="39">
        <f>SUMIFS(pg_transaction_cleaned!$H:$H,pg_transaction_cleaned!$O:$O,A2408,pg_transaction_cleaned!$F:$F,"REFUND")</f>
        <v>0</v>
      </c>
      <c r="N2408" s="23" t="str">
        <f t="shared" si="150"/>
        <v>OK</v>
      </c>
      <c r="O2408" s="24">
        <f t="shared" si="151"/>
        <v>0</v>
      </c>
    </row>
    <row r="2409" spans="1:15" ht="15" customHeight="1" x14ac:dyDescent="0.3">
      <c r="A2409" s="23" t="s">
        <v>5309</v>
      </c>
      <c r="B2409" s="38">
        <v>46277</v>
      </c>
      <c r="C2409" s="23" t="s">
        <v>5310</v>
      </c>
      <c r="D2409" s="23" t="s">
        <v>89</v>
      </c>
      <c r="E2409" s="23" t="s">
        <v>75</v>
      </c>
      <c r="F2409" s="23" t="s">
        <v>499</v>
      </c>
      <c r="G2409" s="23" t="s">
        <v>250</v>
      </c>
      <c r="H2409" s="39">
        <f t="shared" si="148"/>
        <v>5998</v>
      </c>
      <c r="I2409" s="23" t="str">
        <f t="shared" si="149"/>
        <v>Jaipur</v>
      </c>
      <c r="J2409" s="23">
        <f>COUNTIFS(pg_transaction_cleaned!$O:$O,A2409,pg_transaction_cleaned!$F:$F,"CAPTURE")</f>
        <v>1</v>
      </c>
      <c r="K2409" s="39">
        <f>SUMIFS(pg_transaction_cleaned!$H:$H,pg_transaction_cleaned!$O:$O,A2409,pg_transaction_cleaned!$F:$F,"CAPTURE")</f>
        <v>5998</v>
      </c>
      <c r="L2409" s="23">
        <f>COUNTIFS(pg_transaction_cleaned!$O:$O,A2409,pg_transaction_cleaned!$F:$F,"REFUND")</f>
        <v>0</v>
      </c>
      <c r="M2409" s="39">
        <f>SUMIFS(pg_transaction_cleaned!$H:$H,pg_transaction_cleaned!$O:$O,A2409,pg_transaction_cleaned!$F:$F,"REFUND")</f>
        <v>0</v>
      </c>
      <c r="N2409" s="23" t="str">
        <f t="shared" si="150"/>
        <v>OK</v>
      </c>
      <c r="O2409" s="24">
        <f t="shared" si="151"/>
        <v>0</v>
      </c>
    </row>
    <row r="2410" spans="1:15" ht="15" customHeight="1" x14ac:dyDescent="0.3">
      <c r="A2410" s="23" t="s">
        <v>5311</v>
      </c>
      <c r="B2410" s="38">
        <v>46295</v>
      </c>
      <c r="C2410" s="23" t="s">
        <v>5312</v>
      </c>
      <c r="D2410" s="23" t="s">
        <v>95</v>
      </c>
      <c r="E2410" s="23" t="s">
        <v>75</v>
      </c>
      <c r="F2410" s="23" t="s">
        <v>880</v>
      </c>
      <c r="G2410" s="23" t="s">
        <v>250</v>
      </c>
      <c r="H2410" s="39">
        <f t="shared" si="148"/>
        <v>2298</v>
      </c>
      <c r="I2410" s="23" t="str">
        <f t="shared" si="149"/>
        <v>Bengaluru</v>
      </c>
      <c r="J2410" s="23">
        <f>COUNTIFS(pg_transaction_cleaned!$O:$O,A2410,pg_transaction_cleaned!$F:$F,"CAPTURE")</f>
        <v>1</v>
      </c>
      <c r="K2410" s="39">
        <f>SUMIFS(pg_transaction_cleaned!$H:$H,pg_transaction_cleaned!$O:$O,A2410,pg_transaction_cleaned!$F:$F,"CAPTURE")</f>
        <v>2298</v>
      </c>
      <c r="L2410" s="23">
        <f>COUNTIFS(pg_transaction_cleaned!$O:$O,A2410,pg_transaction_cleaned!$F:$F,"REFUND")</f>
        <v>0</v>
      </c>
      <c r="M2410" s="39">
        <f>SUMIFS(pg_transaction_cleaned!$H:$H,pg_transaction_cleaned!$O:$O,A2410,pg_transaction_cleaned!$F:$F,"REFUND")</f>
        <v>0</v>
      </c>
      <c r="N2410" s="23" t="str">
        <f t="shared" si="150"/>
        <v>OK</v>
      </c>
      <c r="O2410" s="24">
        <f t="shared" si="151"/>
        <v>0</v>
      </c>
    </row>
    <row r="2411" spans="1:15" ht="15" customHeight="1" x14ac:dyDescent="0.3">
      <c r="A2411" s="23" t="s">
        <v>5313</v>
      </c>
      <c r="B2411" s="38">
        <v>46268</v>
      </c>
      <c r="C2411" s="23" t="s">
        <v>5314</v>
      </c>
      <c r="D2411" s="23" t="s">
        <v>93</v>
      </c>
      <c r="E2411" s="23" t="s">
        <v>79</v>
      </c>
      <c r="F2411" s="23" t="s">
        <v>622</v>
      </c>
      <c r="G2411" s="23" t="s">
        <v>250</v>
      </c>
      <c r="H2411" s="39">
        <f t="shared" si="148"/>
        <v>8998</v>
      </c>
      <c r="I2411" s="23" t="str">
        <f t="shared" si="149"/>
        <v>Kolkata</v>
      </c>
      <c r="J2411" s="23">
        <f>COUNTIFS(pg_transaction_cleaned!$O:$O,A2411,pg_transaction_cleaned!$F:$F,"CAPTURE")</f>
        <v>1</v>
      </c>
      <c r="K2411" s="39">
        <f>SUMIFS(pg_transaction_cleaned!$H:$H,pg_transaction_cleaned!$O:$O,A2411,pg_transaction_cleaned!$F:$F,"CAPTURE")</f>
        <v>8998</v>
      </c>
      <c r="L2411" s="23">
        <f>COUNTIFS(pg_transaction_cleaned!$O:$O,A2411,pg_transaction_cleaned!$F:$F,"REFUND")</f>
        <v>0</v>
      </c>
      <c r="M2411" s="39">
        <f>SUMIFS(pg_transaction_cleaned!$H:$H,pg_transaction_cleaned!$O:$O,A2411,pg_transaction_cleaned!$F:$F,"REFUND")</f>
        <v>0</v>
      </c>
      <c r="N2411" s="23" t="str">
        <f t="shared" si="150"/>
        <v>OK</v>
      </c>
      <c r="O2411" s="24">
        <f t="shared" si="151"/>
        <v>0</v>
      </c>
    </row>
    <row r="2412" spans="1:15" ht="15" customHeight="1" x14ac:dyDescent="0.3">
      <c r="A2412" s="23" t="s">
        <v>5315</v>
      </c>
      <c r="B2412" s="38">
        <v>46278</v>
      </c>
      <c r="C2412" s="23" t="s">
        <v>3205</v>
      </c>
      <c r="D2412" s="23" t="s">
        <v>95</v>
      </c>
      <c r="E2412" s="23" t="s">
        <v>75</v>
      </c>
      <c r="F2412" s="23" t="s">
        <v>265</v>
      </c>
      <c r="G2412" s="23" t="s">
        <v>250</v>
      </c>
      <c r="H2412" s="39">
        <f t="shared" si="148"/>
        <v>999</v>
      </c>
      <c r="I2412" s="23" t="str">
        <f t="shared" si="149"/>
        <v>Bengaluru</v>
      </c>
      <c r="J2412" s="23">
        <f>COUNTIFS(pg_transaction_cleaned!$O:$O,A2412,pg_transaction_cleaned!$F:$F,"CAPTURE")</f>
        <v>1</v>
      </c>
      <c r="K2412" s="39">
        <f>SUMIFS(pg_transaction_cleaned!$H:$H,pg_transaction_cleaned!$O:$O,A2412,pg_transaction_cleaned!$F:$F,"CAPTURE")</f>
        <v>999</v>
      </c>
      <c r="L2412" s="23">
        <f>COUNTIFS(pg_transaction_cleaned!$O:$O,A2412,pg_transaction_cleaned!$F:$F,"REFUND")</f>
        <v>0</v>
      </c>
      <c r="M2412" s="39">
        <f>SUMIFS(pg_transaction_cleaned!$H:$H,pg_transaction_cleaned!$O:$O,A2412,pg_transaction_cleaned!$F:$F,"REFUND")</f>
        <v>0</v>
      </c>
      <c r="N2412" s="23" t="str">
        <f t="shared" si="150"/>
        <v>OK</v>
      </c>
      <c r="O2412" s="24">
        <f t="shared" si="151"/>
        <v>0</v>
      </c>
    </row>
    <row r="2413" spans="1:15" ht="15" customHeight="1" x14ac:dyDescent="0.3">
      <c r="A2413" s="23" t="s">
        <v>5316</v>
      </c>
      <c r="B2413" s="38">
        <v>46279</v>
      </c>
      <c r="C2413" s="23" t="s">
        <v>5317</v>
      </c>
      <c r="D2413" s="23" t="s">
        <v>92</v>
      </c>
      <c r="E2413" s="23" t="s">
        <v>79</v>
      </c>
      <c r="F2413" s="23" t="s">
        <v>1265</v>
      </c>
      <c r="G2413" s="23" t="s">
        <v>250</v>
      </c>
      <c r="H2413" s="39">
        <f t="shared" si="148"/>
        <v>6997</v>
      </c>
      <c r="I2413" s="23" t="str">
        <f t="shared" si="149"/>
        <v>Hyderabad</v>
      </c>
      <c r="J2413" s="23">
        <f>COUNTIFS(pg_transaction_cleaned!$O:$O,A2413,pg_transaction_cleaned!$F:$F,"CAPTURE")</f>
        <v>1</v>
      </c>
      <c r="K2413" s="39">
        <f>SUMIFS(pg_transaction_cleaned!$H:$H,pg_transaction_cleaned!$O:$O,A2413,pg_transaction_cleaned!$F:$F,"CAPTURE")</f>
        <v>6997</v>
      </c>
      <c r="L2413" s="23">
        <f>COUNTIFS(pg_transaction_cleaned!$O:$O,A2413,pg_transaction_cleaned!$F:$F,"REFUND")</f>
        <v>0</v>
      </c>
      <c r="M2413" s="39">
        <f>SUMIFS(pg_transaction_cleaned!$H:$H,pg_transaction_cleaned!$O:$O,A2413,pg_transaction_cleaned!$F:$F,"REFUND")</f>
        <v>0</v>
      </c>
      <c r="N2413" s="23" t="str">
        <f t="shared" si="150"/>
        <v>OK</v>
      </c>
      <c r="O2413" s="24">
        <f t="shared" si="151"/>
        <v>0</v>
      </c>
    </row>
    <row r="2414" spans="1:15" ht="15" customHeight="1" x14ac:dyDescent="0.3">
      <c r="A2414" s="23" t="s">
        <v>5318</v>
      </c>
      <c r="B2414" s="38">
        <v>46278</v>
      </c>
      <c r="C2414" s="23" t="s">
        <v>5319</v>
      </c>
      <c r="D2414" s="23" t="s">
        <v>92</v>
      </c>
      <c r="E2414" s="23" t="s">
        <v>75</v>
      </c>
      <c r="F2414" s="23" t="s">
        <v>262</v>
      </c>
      <c r="G2414" s="23" t="s">
        <v>250</v>
      </c>
      <c r="H2414" s="39">
        <f t="shared" si="148"/>
        <v>499</v>
      </c>
      <c r="I2414" s="23" t="str">
        <f t="shared" si="149"/>
        <v>Hyderabad</v>
      </c>
      <c r="J2414" s="23">
        <f>COUNTIFS(pg_transaction_cleaned!$O:$O,A2414,pg_transaction_cleaned!$F:$F,"CAPTURE")</f>
        <v>1</v>
      </c>
      <c r="K2414" s="39">
        <f>SUMIFS(pg_transaction_cleaned!$H:$H,pg_transaction_cleaned!$O:$O,A2414,pg_transaction_cleaned!$F:$F,"CAPTURE")</f>
        <v>499</v>
      </c>
      <c r="L2414" s="23">
        <f>COUNTIFS(pg_transaction_cleaned!$O:$O,A2414,pg_transaction_cleaned!$F:$F,"REFUND")</f>
        <v>0</v>
      </c>
      <c r="M2414" s="39">
        <f>SUMIFS(pg_transaction_cleaned!$H:$H,pg_transaction_cleaned!$O:$O,A2414,pg_transaction_cleaned!$F:$F,"REFUND")</f>
        <v>0</v>
      </c>
      <c r="N2414" s="23" t="str">
        <f t="shared" si="150"/>
        <v>OK</v>
      </c>
      <c r="O2414" s="24">
        <f t="shared" si="151"/>
        <v>0</v>
      </c>
    </row>
    <row r="2415" spans="1:15" ht="15" customHeight="1" x14ac:dyDescent="0.3">
      <c r="A2415" s="23" t="s">
        <v>5320</v>
      </c>
      <c r="B2415" s="38">
        <v>46281</v>
      </c>
      <c r="C2415" s="23" t="s">
        <v>5321</v>
      </c>
      <c r="D2415" s="23" t="s">
        <v>86</v>
      </c>
      <c r="E2415" s="23" t="s">
        <v>77</v>
      </c>
      <c r="F2415" s="23" t="s">
        <v>520</v>
      </c>
      <c r="G2415" s="23" t="s">
        <v>250</v>
      </c>
      <c r="H2415" s="39">
        <f t="shared" si="148"/>
        <v>4998</v>
      </c>
      <c r="I2415" s="23" t="str">
        <f t="shared" si="149"/>
        <v>Delhi</v>
      </c>
      <c r="J2415" s="23">
        <f>COUNTIFS(pg_transaction_cleaned!$O:$O,A2415,pg_transaction_cleaned!$F:$F,"CAPTURE")</f>
        <v>1</v>
      </c>
      <c r="K2415" s="39">
        <f>SUMIFS(pg_transaction_cleaned!$H:$H,pg_transaction_cleaned!$O:$O,A2415,pg_transaction_cleaned!$F:$F,"CAPTURE")</f>
        <v>4998</v>
      </c>
      <c r="L2415" s="23">
        <f>COUNTIFS(pg_transaction_cleaned!$O:$O,A2415,pg_transaction_cleaned!$F:$F,"REFUND")</f>
        <v>0</v>
      </c>
      <c r="M2415" s="39">
        <f>SUMIFS(pg_transaction_cleaned!$H:$H,pg_transaction_cleaned!$O:$O,A2415,pg_transaction_cleaned!$F:$F,"REFUND")</f>
        <v>0</v>
      </c>
      <c r="N2415" s="23" t="str">
        <f t="shared" si="150"/>
        <v>OK</v>
      </c>
      <c r="O2415" s="24">
        <f t="shared" si="151"/>
        <v>0</v>
      </c>
    </row>
    <row r="2416" spans="1:15" ht="15" customHeight="1" x14ac:dyDescent="0.3">
      <c r="A2416" s="23" t="s">
        <v>5322</v>
      </c>
      <c r="B2416" s="38">
        <v>46279</v>
      </c>
      <c r="C2416" s="23" t="s">
        <v>5323</v>
      </c>
      <c r="D2416" s="23" t="s">
        <v>92</v>
      </c>
      <c r="E2416" s="23" t="s">
        <v>77</v>
      </c>
      <c r="F2416" s="23" t="s">
        <v>329</v>
      </c>
      <c r="G2416" s="23" t="s">
        <v>318</v>
      </c>
      <c r="H2416" s="39">
        <f t="shared" si="148"/>
        <v>599</v>
      </c>
      <c r="I2416" s="23" t="str">
        <f t="shared" si="149"/>
        <v>Hyderabad</v>
      </c>
      <c r="J2416" s="23">
        <f>COUNTIFS(pg_transaction_cleaned!$O:$O,A2416,pg_transaction_cleaned!$F:$F,"CAPTURE")</f>
        <v>0</v>
      </c>
      <c r="K2416" s="39">
        <f>SUMIFS(pg_transaction_cleaned!$H:$H,pg_transaction_cleaned!$O:$O,A2416,pg_transaction_cleaned!$F:$F,"CAPTURE")</f>
        <v>0</v>
      </c>
      <c r="L2416" s="23">
        <f>COUNTIFS(pg_transaction_cleaned!$O:$O,A2416,pg_transaction_cleaned!$F:$F,"REFUND")</f>
        <v>0</v>
      </c>
      <c r="M2416" s="39">
        <f>SUMIFS(pg_transaction_cleaned!$H:$H,pg_transaction_cleaned!$O:$O,A2416,pg_transaction_cleaned!$F:$F,"REFUND")</f>
        <v>0</v>
      </c>
      <c r="N2416" s="23" t="str">
        <f t="shared" si="150"/>
        <v>OK</v>
      </c>
      <c r="O2416" s="24">
        <f t="shared" si="151"/>
        <v>0</v>
      </c>
    </row>
    <row r="2417" spans="1:15" ht="15" customHeight="1" x14ac:dyDescent="0.3">
      <c r="A2417" s="23" t="s">
        <v>5324</v>
      </c>
      <c r="B2417" s="38">
        <v>46277</v>
      </c>
      <c r="C2417" s="23" t="s">
        <v>5325</v>
      </c>
      <c r="D2417" s="23" t="s">
        <v>93</v>
      </c>
      <c r="E2417" s="23" t="s">
        <v>75</v>
      </c>
      <c r="F2417" s="23" t="s">
        <v>265</v>
      </c>
      <c r="G2417" s="23" t="s">
        <v>250</v>
      </c>
      <c r="H2417" s="39">
        <f t="shared" si="148"/>
        <v>999</v>
      </c>
      <c r="I2417" s="23" t="str">
        <f t="shared" si="149"/>
        <v>Kolkata</v>
      </c>
      <c r="J2417" s="23">
        <f>COUNTIFS(pg_transaction_cleaned!$O:$O,A2417,pg_transaction_cleaned!$F:$F,"CAPTURE")</f>
        <v>1</v>
      </c>
      <c r="K2417" s="39">
        <f>SUMIFS(pg_transaction_cleaned!$H:$H,pg_transaction_cleaned!$O:$O,A2417,pg_transaction_cleaned!$F:$F,"CAPTURE")</f>
        <v>999</v>
      </c>
      <c r="L2417" s="23">
        <f>COUNTIFS(pg_transaction_cleaned!$O:$O,A2417,pg_transaction_cleaned!$F:$F,"REFUND")</f>
        <v>0</v>
      </c>
      <c r="M2417" s="39">
        <f>SUMIFS(pg_transaction_cleaned!$H:$H,pg_transaction_cleaned!$O:$O,A2417,pg_transaction_cleaned!$F:$F,"REFUND")</f>
        <v>0</v>
      </c>
      <c r="N2417" s="23" t="str">
        <f t="shared" si="150"/>
        <v>OK</v>
      </c>
      <c r="O2417" s="24">
        <f t="shared" si="151"/>
        <v>0</v>
      </c>
    </row>
    <row r="2418" spans="1:15" ht="15" customHeight="1" x14ac:dyDescent="0.3">
      <c r="A2418" s="23" t="s">
        <v>5326</v>
      </c>
      <c r="B2418" s="38">
        <v>46268</v>
      </c>
      <c r="C2418" s="23" t="s">
        <v>5327</v>
      </c>
      <c r="D2418" s="23" t="s">
        <v>90</v>
      </c>
      <c r="E2418" s="23" t="s">
        <v>79</v>
      </c>
      <c r="F2418" s="23" t="s">
        <v>349</v>
      </c>
      <c r="G2418" s="23" t="s">
        <v>250</v>
      </c>
      <c r="H2418" s="39">
        <f t="shared" si="148"/>
        <v>1798</v>
      </c>
      <c r="I2418" s="23" t="str">
        <f t="shared" si="149"/>
        <v>Ahmedabad</v>
      </c>
      <c r="J2418" s="23">
        <f>COUNTIFS(pg_transaction_cleaned!$O:$O,A2418,pg_transaction_cleaned!$F:$F,"CAPTURE")</f>
        <v>1</v>
      </c>
      <c r="K2418" s="39">
        <f>SUMIFS(pg_transaction_cleaned!$H:$H,pg_transaction_cleaned!$O:$O,A2418,pg_transaction_cleaned!$F:$F,"CAPTURE")</f>
        <v>1798</v>
      </c>
      <c r="L2418" s="23">
        <f>COUNTIFS(pg_transaction_cleaned!$O:$O,A2418,pg_transaction_cleaned!$F:$F,"REFUND")</f>
        <v>0</v>
      </c>
      <c r="M2418" s="39">
        <f>SUMIFS(pg_transaction_cleaned!$H:$H,pg_transaction_cleaned!$O:$O,A2418,pg_transaction_cleaned!$F:$F,"REFUND")</f>
        <v>0</v>
      </c>
      <c r="N2418" s="23" t="str">
        <f t="shared" si="150"/>
        <v>OK</v>
      </c>
      <c r="O2418" s="24">
        <f t="shared" si="151"/>
        <v>0</v>
      </c>
    </row>
    <row r="2419" spans="1:15" ht="15" customHeight="1" x14ac:dyDescent="0.3">
      <c r="A2419" s="23" t="s">
        <v>5328</v>
      </c>
      <c r="B2419" s="38">
        <v>46268</v>
      </c>
      <c r="C2419" s="23" t="s">
        <v>4227</v>
      </c>
      <c r="D2419" s="23" t="s">
        <v>87</v>
      </c>
      <c r="E2419" s="23" t="s">
        <v>77</v>
      </c>
      <c r="F2419" s="23" t="s">
        <v>265</v>
      </c>
      <c r="G2419" s="23" t="s">
        <v>250</v>
      </c>
      <c r="H2419" s="39">
        <f t="shared" si="148"/>
        <v>999</v>
      </c>
      <c r="I2419" s="23" t="str">
        <f t="shared" si="149"/>
        <v>Mumbai</v>
      </c>
      <c r="J2419" s="23">
        <f>COUNTIFS(pg_transaction_cleaned!$O:$O,A2419,pg_transaction_cleaned!$F:$F,"CAPTURE")</f>
        <v>1</v>
      </c>
      <c r="K2419" s="39">
        <f>SUMIFS(pg_transaction_cleaned!$H:$H,pg_transaction_cleaned!$O:$O,A2419,pg_transaction_cleaned!$F:$F,"CAPTURE")</f>
        <v>999</v>
      </c>
      <c r="L2419" s="23">
        <f>COUNTIFS(pg_transaction_cleaned!$O:$O,A2419,pg_transaction_cleaned!$F:$F,"REFUND")</f>
        <v>0</v>
      </c>
      <c r="M2419" s="39">
        <f>SUMIFS(pg_transaction_cleaned!$H:$H,pg_transaction_cleaned!$O:$O,A2419,pg_transaction_cleaned!$F:$F,"REFUND")</f>
        <v>0</v>
      </c>
      <c r="N2419" s="23" t="str">
        <f t="shared" si="150"/>
        <v>OK</v>
      </c>
      <c r="O2419" s="24">
        <f t="shared" si="151"/>
        <v>0</v>
      </c>
    </row>
    <row r="2420" spans="1:15" ht="15" customHeight="1" x14ac:dyDescent="0.3">
      <c r="A2420" s="23" t="s">
        <v>5329</v>
      </c>
      <c r="B2420" s="38">
        <v>46269</v>
      </c>
      <c r="C2420" s="23" t="s">
        <v>5330</v>
      </c>
      <c r="D2420" s="23" t="s">
        <v>89</v>
      </c>
      <c r="E2420" s="23" t="s">
        <v>75</v>
      </c>
      <c r="F2420" s="23" t="s">
        <v>291</v>
      </c>
      <c r="G2420" s="23" t="s">
        <v>250</v>
      </c>
      <c r="H2420" s="39">
        <f t="shared" si="148"/>
        <v>3499</v>
      </c>
      <c r="I2420" s="23" t="str">
        <f t="shared" si="149"/>
        <v>Jaipur</v>
      </c>
      <c r="J2420" s="23">
        <f>COUNTIFS(pg_transaction_cleaned!$O:$O,A2420,pg_transaction_cleaned!$F:$F,"CAPTURE")</f>
        <v>1</v>
      </c>
      <c r="K2420" s="39">
        <f>SUMIFS(pg_transaction_cleaned!$H:$H,pg_transaction_cleaned!$O:$O,A2420,pg_transaction_cleaned!$F:$F,"CAPTURE")</f>
        <v>3499</v>
      </c>
      <c r="L2420" s="23">
        <f>COUNTIFS(pg_transaction_cleaned!$O:$O,A2420,pg_transaction_cleaned!$F:$F,"REFUND")</f>
        <v>0</v>
      </c>
      <c r="M2420" s="39">
        <f>SUMIFS(pg_transaction_cleaned!$H:$H,pg_transaction_cleaned!$O:$O,A2420,pg_transaction_cleaned!$F:$F,"REFUND")</f>
        <v>0</v>
      </c>
      <c r="N2420" s="23" t="str">
        <f t="shared" si="150"/>
        <v>OK</v>
      </c>
      <c r="O2420" s="24">
        <f t="shared" si="151"/>
        <v>0</v>
      </c>
    </row>
    <row r="2421" spans="1:15" ht="15" customHeight="1" x14ac:dyDescent="0.3">
      <c r="A2421" s="23" t="s">
        <v>5331</v>
      </c>
      <c r="B2421" s="38">
        <v>46272</v>
      </c>
      <c r="C2421" s="23" t="s">
        <v>5332</v>
      </c>
      <c r="D2421" s="23" t="s">
        <v>90</v>
      </c>
      <c r="E2421" s="23" t="s">
        <v>75</v>
      </c>
      <c r="F2421" s="23" t="s">
        <v>534</v>
      </c>
      <c r="G2421" s="23" t="s">
        <v>250</v>
      </c>
      <c r="H2421" s="39">
        <f t="shared" si="148"/>
        <v>3097</v>
      </c>
      <c r="I2421" s="23" t="str">
        <f t="shared" si="149"/>
        <v>Ahmedabad</v>
      </c>
      <c r="J2421" s="23">
        <f>COUNTIFS(pg_transaction_cleaned!$O:$O,A2421,pg_transaction_cleaned!$F:$F,"CAPTURE")</f>
        <v>1</v>
      </c>
      <c r="K2421" s="39">
        <f>SUMIFS(pg_transaction_cleaned!$H:$H,pg_transaction_cleaned!$O:$O,A2421,pg_transaction_cleaned!$F:$F,"CAPTURE")</f>
        <v>3097</v>
      </c>
      <c r="L2421" s="23">
        <f>COUNTIFS(pg_transaction_cleaned!$O:$O,A2421,pg_transaction_cleaned!$F:$F,"REFUND")</f>
        <v>0</v>
      </c>
      <c r="M2421" s="39">
        <f>SUMIFS(pg_transaction_cleaned!$H:$H,pg_transaction_cleaned!$O:$O,A2421,pg_transaction_cleaned!$F:$F,"REFUND")</f>
        <v>0</v>
      </c>
      <c r="N2421" s="23" t="str">
        <f t="shared" si="150"/>
        <v>OK</v>
      </c>
      <c r="O2421" s="24">
        <f t="shared" si="151"/>
        <v>0</v>
      </c>
    </row>
    <row r="2422" spans="1:15" ht="15" customHeight="1" x14ac:dyDescent="0.3">
      <c r="A2422" s="23" t="s">
        <v>5333</v>
      </c>
      <c r="B2422" s="38">
        <v>46277</v>
      </c>
      <c r="C2422" s="23" t="s">
        <v>5334</v>
      </c>
      <c r="D2422" s="23" t="s">
        <v>91</v>
      </c>
      <c r="E2422" s="23" t="s">
        <v>81</v>
      </c>
      <c r="F2422" s="23" t="s">
        <v>349</v>
      </c>
      <c r="G2422" s="23" t="s">
        <v>250</v>
      </c>
      <c r="H2422" s="39">
        <f t="shared" si="148"/>
        <v>1798</v>
      </c>
      <c r="I2422" s="23" t="str">
        <f t="shared" si="149"/>
        <v>Pune</v>
      </c>
      <c r="J2422" s="23">
        <f>COUNTIFS(pg_transaction_cleaned!$O:$O,A2422,pg_transaction_cleaned!$F:$F,"CAPTURE")</f>
        <v>1</v>
      </c>
      <c r="K2422" s="39">
        <f>SUMIFS(pg_transaction_cleaned!$H:$H,pg_transaction_cleaned!$O:$O,A2422,pg_transaction_cleaned!$F:$F,"CAPTURE")</f>
        <v>1798</v>
      </c>
      <c r="L2422" s="23">
        <f>COUNTIFS(pg_transaction_cleaned!$O:$O,A2422,pg_transaction_cleaned!$F:$F,"REFUND")</f>
        <v>0</v>
      </c>
      <c r="M2422" s="39">
        <f>SUMIFS(pg_transaction_cleaned!$H:$H,pg_transaction_cleaned!$O:$O,A2422,pg_transaction_cleaned!$F:$F,"REFUND")</f>
        <v>0</v>
      </c>
      <c r="N2422" s="23" t="str">
        <f t="shared" si="150"/>
        <v>OK</v>
      </c>
      <c r="O2422" s="24">
        <f t="shared" si="151"/>
        <v>0</v>
      </c>
    </row>
    <row r="2423" spans="1:15" ht="15" customHeight="1" x14ac:dyDescent="0.3">
      <c r="A2423" s="23" t="s">
        <v>5335</v>
      </c>
      <c r="B2423" s="38">
        <v>46294</v>
      </c>
      <c r="C2423" s="23" t="s">
        <v>5336</v>
      </c>
      <c r="D2423" s="23" t="s">
        <v>89</v>
      </c>
      <c r="E2423" s="23" t="s">
        <v>75</v>
      </c>
      <c r="F2423" s="23" t="s">
        <v>514</v>
      </c>
      <c r="G2423" s="23" t="s">
        <v>250</v>
      </c>
      <c r="H2423" s="39">
        <f t="shared" si="148"/>
        <v>6498</v>
      </c>
      <c r="I2423" s="23" t="str">
        <f t="shared" si="149"/>
        <v>Jaipur</v>
      </c>
      <c r="J2423" s="23">
        <f>COUNTIFS(pg_transaction_cleaned!$O:$O,A2423,pg_transaction_cleaned!$F:$F,"CAPTURE")</f>
        <v>1</v>
      </c>
      <c r="K2423" s="39">
        <f>SUMIFS(pg_transaction_cleaned!$H:$H,pg_transaction_cleaned!$O:$O,A2423,pg_transaction_cleaned!$F:$F,"CAPTURE")</f>
        <v>6498</v>
      </c>
      <c r="L2423" s="23">
        <f>COUNTIFS(pg_transaction_cleaned!$O:$O,A2423,pg_transaction_cleaned!$F:$F,"REFUND")</f>
        <v>0</v>
      </c>
      <c r="M2423" s="39">
        <f>SUMIFS(pg_transaction_cleaned!$H:$H,pg_transaction_cleaned!$O:$O,A2423,pg_transaction_cleaned!$F:$F,"REFUND")</f>
        <v>0</v>
      </c>
      <c r="N2423" s="23" t="str">
        <f t="shared" si="150"/>
        <v>OK</v>
      </c>
      <c r="O2423" s="24">
        <f t="shared" si="151"/>
        <v>0</v>
      </c>
    </row>
    <row r="2424" spans="1:15" ht="15" customHeight="1" x14ac:dyDescent="0.3">
      <c r="A2424" s="23" t="s">
        <v>5337</v>
      </c>
      <c r="B2424" s="38">
        <v>46289</v>
      </c>
      <c r="C2424" s="23" t="s">
        <v>5338</v>
      </c>
      <c r="D2424" s="23" t="s">
        <v>94</v>
      </c>
      <c r="E2424" s="23" t="s">
        <v>75</v>
      </c>
      <c r="F2424" s="23" t="s">
        <v>253</v>
      </c>
      <c r="G2424" s="23" t="s">
        <v>301</v>
      </c>
      <c r="H2424" s="39">
        <f t="shared" si="148"/>
        <v>4647</v>
      </c>
      <c r="I2424" s="23" t="str">
        <f t="shared" si="149"/>
        <v>Chennai</v>
      </c>
      <c r="J2424" s="23">
        <f>COUNTIFS(pg_transaction_cleaned!$O:$O,A2424,pg_transaction_cleaned!$F:$F,"CAPTURE")</f>
        <v>1</v>
      </c>
      <c r="K2424" s="39">
        <f>SUMIFS(pg_transaction_cleaned!$H:$H,pg_transaction_cleaned!$O:$O,A2424,pg_transaction_cleaned!$F:$F,"CAPTURE")</f>
        <v>4647</v>
      </c>
      <c r="L2424" s="23">
        <f>COUNTIFS(pg_transaction_cleaned!$O:$O,A2424,pg_transaction_cleaned!$F:$F,"REFUND")</f>
        <v>1</v>
      </c>
      <c r="M2424" s="39">
        <f>SUMIFS(pg_transaction_cleaned!$H:$H,pg_transaction_cleaned!$O:$O,A2424,pg_transaction_cleaned!$F:$F,"REFUND")</f>
        <v>4647</v>
      </c>
      <c r="N2424" s="23" t="str">
        <f t="shared" si="150"/>
        <v>OK</v>
      </c>
      <c r="O2424" s="24">
        <f t="shared" si="151"/>
        <v>0</v>
      </c>
    </row>
    <row r="2425" spans="1:15" ht="15" customHeight="1" x14ac:dyDescent="0.3">
      <c r="A2425" s="23" t="s">
        <v>5339</v>
      </c>
      <c r="B2425" s="38">
        <v>46287</v>
      </c>
      <c r="C2425" s="23" t="s">
        <v>5340</v>
      </c>
      <c r="D2425" s="23" t="s">
        <v>91</v>
      </c>
      <c r="E2425" s="23" t="s">
        <v>75</v>
      </c>
      <c r="F2425" s="23" t="s">
        <v>1644</v>
      </c>
      <c r="G2425" s="23" t="s">
        <v>250</v>
      </c>
      <c r="H2425" s="39">
        <f t="shared" si="148"/>
        <v>8497</v>
      </c>
      <c r="I2425" s="23" t="str">
        <f t="shared" si="149"/>
        <v>Pune</v>
      </c>
      <c r="J2425" s="23">
        <f>COUNTIFS(pg_transaction_cleaned!$O:$O,A2425,pg_transaction_cleaned!$F:$F,"CAPTURE")</f>
        <v>1</v>
      </c>
      <c r="K2425" s="39">
        <f>SUMIFS(pg_transaction_cleaned!$H:$H,pg_transaction_cleaned!$O:$O,A2425,pg_transaction_cleaned!$F:$F,"CAPTURE")</f>
        <v>8497</v>
      </c>
      <c r="L2425" s="23">
        <f>COUNTIFS(pg_transaction_cleaned!$O:$O,A2425,pg_transaction_cleaned!$F:$F,"REFUND")</f>
        <v>0</v>
      </c>
      <c r="M2425" s="39">
        <f>SUMIFS(pg_transaction_cleaned!$H:$H,pg_transaction_cleaned!$O:$O,A2425,pg_transaction_cleaned!$F:$F,"REFUND")</f>
        <v>0</v>
      </c>
      <c r="N2425" s="23" t="str">
        <f t="shared" si="150"/>
        <v>OK</v>
      </c>
      <c r="O2425" s="24">
        <f t="shared" si="151"/>
        <v>0</v>
      </c>
    </row>
    <row r="2426" spans="1:15" ht="15" customHeight="1" x14ac:dyDescent="0.3">
      <c r="A2426" s="23" t="s">
        <v>5341</v>
      </c>
      <c r="B2426" s="38">
        <v>46285</v>
      </c>
      <c r="C2426" s="23" t="s">
        <v>5342</v>
      </c>
      <c r="D2426" s="23" t="s">
        <v>86</v>
      </c>
      <c r="E2426" s="23" t="s">
        <v>75</v>
      </c>
      <c r="F2426" s="23" t="s">
        <v>256</v>
      </c>
      <c r="G2426" s="23" t="s">
        <v>250</v>
      </c>
      <c r="H2426" s="39">
        <f t="shared" si="148"/>
        <v>2098</v>
      </c>
      <c r="I2426" s="23" t="str">
        <f t="shared" si="149"/>
        <v>Delhi</v>
      </c>
      <c r="J2426" s="23">
        <f>COUNTIFS(pg_transaction_cleaned!$O:$O,A2426,pg_transaction_cleaned!$F:$F,"CAPTURE")</f>
        <v>1</v>
      </c>
      <c r="K2426" s="39">
        <f>SUMIFS(pg_transaction_cleaned!$H:$H,pg_transaction_cleaned!$O:$O,A2426,pg_transaction_cleaned!$F:$F,"CAPTURE")</f>
        <v>2098</v>
      </c>
      <c r="L2426" s="23">
        <f>COUNTIFS(pg_transaction_cleaned!$O:$O,A2426,pg_transaction_cleaned!$F:$F,"REFUND")</f>
        <v>0</v>
      </c>
      <c r="M2426" s="39">
        <f>SUMIFS(pg_transaction_cleaned!$H:$H,pg_transaction_cleaned!$O:$O,A2426,pg_transaction_cleaned!$F:$F,"REFUND")</f>
        <v>0</v>
      </c>
      <c r="N2426" s="23" t="str">
        <f t="shared" si="150"/>
        <v>OK</v>
      </c>
      <c r="O2426" s="24">
        <f t="shared" si="151"/>
        <v>0</v>
      </c>
    </row>
    <row r="2427" spans="1:15" ht="15" customHeight="1" x14ac:dyDescent="0.3">
      <c r="A2427" s="23" t="s">
        <v>5343</v>
      </c>
      <c r="B2427" s="38">
        <v>46272</v>
      </c>
      <c r="C2427" s="23" t="s">
        <v>5344</v>
      </c>
      <c r="D2427" s="23" t="s">
        <v>93</v>
      </c>
      <c r="E2427" s="23" t="s">
        <v>81</v>
      </c>
      <c r="F2427" s="23" t="s">
        <v>370</v>
      </c>
      <c r="G2427" s="23" t="s">
        <v>250</v>
      </c>
      <c r="H2427" s="39">
        <f t="shared" si="148"/>
        <v>3098</v>
      </c>
      <c r="I2427" s="23" t="str">
        <f t="shared" si="149"/>
        <v>Kolkata</v>
      </c>
      <c r="J2427" s="23">
        <f>COUNTIFS(pg_transaction_cleaned!$O:$O,A2427,pg_transaction_cleaned!$F:$F,"CAPTURE")</f>
        <v>1</v>
      </c>
      <c r="K2427" s="39">
        <f>SUMIFS(pg_transaction_cleaned!$H:$H,pg_transaction_cleaned!$O:$O,A2427,pg_transaction_cleaned!$F:$F,"CAPTURE")</f>
        <v>3098</v>
      </c>
      <c r="L2427" s="23">
        <f>COUNTIFS(pg_transaction_cleaned!$O:$O,A2427,pg_transaction_cleaned!$F:$F,"REFUND")</f>
        <v>0</v>
      </c>
      <c r="M2427" s="39">
        <f>SUMIFS(pg_transaction_cleaned!$H:$H,pg_transaction_cleaned!$O:$O,A2427,pg_transaction_cleaned!$F:$F,"REFUND")</f>
        <v>0</v>
      </c>
      <c r="N2427" s="23" t="str">
        <f t="shared" si="150"/>
        <v>OK</v>
      </c>
      <c r="O2427" s="24">
        <f t="shared" si="151"/>
        <v>0</v>
      </c>
    </row>
    <row r="2428" spans="1:15" ht="15" customHeight="1" x14ac:dyDescent="0.3">
      <c r="A2428" s="23" t="s">
        <v>5345</v>
      </c>
      <c r="B2428" s="38">
        <v>46283</v>
      </c>
      <c r="C2428" s="23" t="s">
        <v>5346</v>
      </c>
      <c r="D2428" s="23" t="s">
        <v>92</v>
      </c>
      <c r="E2428" s="23" t="s">
        <v>75</v>
      </c>
      <c r="F2428" s="23" t="s">
        <v>1975</v>
      </c>
      <c r="G2428" s="23" t="s">
        <v>250</v>
      </c>
      <c r="H2428" s="39">
        <f t="shared" si="148"/>
        <v>1398</v>
      </c>
      <c r="I2428" s="23" t="str">
        <f t="shared" si="149"/>
        <v>Hyderabad</v>
      </c>
      <c r="J2428" s="23">
        <f>COUNTIFS(pg_transaction_cleaned!$O:$O,A2428,pg_transaction_cleaned!$F:$F,"CAPTURE")</f>
        <v>1</v>
      </c>
      <c r="K2428" s="39">
        <f>SUMIFS(pg_transaction_cleaned!$H:$H,pg_transaction_cleaned!$O:$O,A2428,pg_transaction_cleaned!$F:$F,"CAPTURE")</f>
        <v>1398</v>
      </c>
      <c r="L2428" s="23">
        <f>COUNTIFS(pg_transaction_cleaned!$O:$O,A2428,pg_transaction_cleaned!$F:$F,"REFUND")</f>
        <v>0</v>
      </c>
      <c r="M2428" s="39">
        <f>SUMIFS(pg_transaction_cleaned!$H:$H,pg_transaction_cleaned!$O:$O,A2428,pg_transaction_cleaned!$F:$F,"REFUND")</f>
        <v>0</v>
      </c>
      <c r="N2428" s="23" t="str">
        <f t="shared" si="150"/>
        <v>OK</v>
      </c>
      <c r="O2428" s="24">
        <f t="shared" si="151"/>
        <v>0</v>
      </c>
    </row>
    <row r="2429" spans="1:15" ht="15" customHeight="1" x14ac:dyDescent="0.3">
      <c r="A2429" s="23" t="s">
        <v>5347</v>
      </c>
      <c r="B2429" s="38">
        <v>46289</v>
      </c>
      <c r="C2429" s="23" t="s">
        <v>5348</v>
      </c>
      <c r="D2429" s="23"/>
      <c r="E2429" s="23" t="s">
        <v>77</v>
      </c>
      <c r="F2429" s="23" t="s">
        <v>1463</v>
      </c>
      <c r="G2429" s="23" t="s">
        <v>250</v>
      </c>
      <c r="H2429" s="39">
        <f t="shared" si="148"/>
        <v>5348</v>
      </c>
      <c r="I2429" s="23" t="str">
        <f t="shared" si="149"/>
        <v>Unknown</v>
      </c>
      <c r="J2429" s="23">
        <f>COUNTIFS(pg_transaction_cleaned!$O:$O,A2429,pg_transaction_cleaned!$F:$F,"CAPTURE")</f>
        <v>1</v>
      </c>
      <c r="K2429" s="39">
        <f>SUMIFS(pg_transaction_cleaned!$H:$H,pg_transaction_cleaned!$O:$O,A2429,pg_transaction_cleaned!$F:$F,"CAPTURE")</f>
        <v>5348</v>
      </c>
      <c r="L2429" s="23">
        <f>COUNTIFS(pg_transaction_cleaned!$O:$O,A2429,pg_transaction_cleaned!$F:$F,"REFUND")</f>
        <v>0</v>
      </c>
      <c r="M2429" s="39">
        <f>SUMIFS(pg_transaction_cleaned!$H:$H,pg_transaction_cleaned!$O:$O,A2429,pg_transaction_cleaned!$F:$F,"REFUND")</f>
        <v>0</v>
      </c>
      <c r="N2429" s="23" t="str">
        <f t="shared" si="150"/>
        <v>OK</v>
      </c>
      <c r="O2429" s="24">
        <f t="shared" si="151"/>
        <v>0</v>
      </c>
    </row>
    <row r="2430" spans="1:15" ht="15" customHeight="1" x14ac:dyDescent="0.3">
      <c r="A2430" s="23" t="s">
        <v>5349</v>
      </c>
      <c r="B2430" s="38">
        <v>46269</v>
      </c>
      <c r="C2430" s="23" t="s">
        <v>5350</v>
      </c>
      <c r="D2430" s="23" t="s">
        <v>94</v>
      </c>
      <c r="E2430" s="23" t="s">
        <v>77</v>
      </c>
      <c r="F2430" s="23" t="s">
        <v>396</v>
      </c>
      <c r="G2430" s="23" t="s">
        <v>250</v>
      </c>
      <c r="H2430" s="39">
        <f t="shared" si="148"/>
        <v>2999</v>
      </c>
      <c r="I2430" s="23" t="str">
        <f t="shared" si="149"/>
        <v>Chennai</v>
      </c>
      <c r="J2430" s="23">
        <f>COUNTIFS(pg_transaction_cleaned!$O:$O,A2430,pg_transaction_cleaned!$F:$F,"CAPTURE")</f>
        <v>1</v>
      </c>
      <c r="K2430" s="39">
        <f>SUMIFS(pg_transaction_cleaned!$H:$H,pg_transaction_cleaned!$O:$O,A2430,pg_transaction_cleaned!$F:$F,"CAPTURE")</f>
        <v>2999</v>
      </c>
      <c r="L2430" s="23">
        <f>COUNTIFS(pg_transaction_cleaned!$O:$O,A2430,pg_transaction_cleaned!$F:$F,"REFUND")</f>
        <v>0</v>
      </c>
      <c r="M2430" s="39">
        <f>SUMIFS(pg_transaction_cleaned!$H:$H,pg_transaction_cleaned!$O:$O,A2430,pg_transaction_cleaned!$F:$F,"REFUND")</f>
        <v>0</v>
      </c>
      <c r="N2430" s="23" t="str">
        <f t="shared" si="150"/>
        <v>OK</v>
      </c>
      <c r="O2430" s="24">
        <f t="shared" si="151"/>
        <v>0</v>
      </c>
    </row>
    <row r="2431" spans="1:15" ht="15" customHeight="1" x14ac:dyDescent="0.3">
      <c r="A2431" s="23" t="s">
        <v>5351</v>
      </c>
      <c r="B2431" s="38">
        <v>46293</v>
      </c>
      <c r="C2431" s="23" t="s">
        <v>5352</v>
      </c>
      <c r="D2431" s="23" t="s">
        <v>94</v>
      </c>
      <c r="E2431" s="23" t="s">
        <v>77</v>
      </c>
      <c r="F2431" s="23" t="s">
        <v>259</v>
      </c>
      <c r="G2431" s="23" t="s">
        <v>250</v>
      </c>
      <c r="H2431" s="39">
        <f t="shared" si="148"/>
        <v>3298</v>
      </c>
      <c r="I2431" s="23" t="str">
        <f t="shared" si="149"/>
        <v>Chennai</v>
      </c>
      <c r="J2431" s="23">
        <f>COUNTIFS(pg_transaction_cleaned!$O:$O,A2431,pg_transaction_cleaned!$F:$F,"CAPTURE")</f>
        <v>1</v>
      </c>
      <c r="K2431" s="39">
        <f>SUMIFS(pg_transaction_cleaned!$H:$H,pg_transaction_cleaned!$O:$O,A2431,pg_transaction_cleaned!$F:$F,"CAPTURE")</f>
        <v>3298</v>
      </c>
      <c r="L2431" s="23">
        <f>COUNTIFS(pg_transaction_cleaned!$O:$O,A2431,pg_transaction_cleaned!$F:$F,"REFUND")</f>
        <v>0</v>
      </c>
      <c r="M2431" s="39">
        <f>SUMIFS(pg_transaction_cleaned!$H:$H,pg_transaction_cleaned!$O:$O,A2431,pg_transaction_cleaned!$F:$F,"REFUND")</f>
        <v>0</v>
      </c>
      <c r="N2431" s="23" t="str">
        <f t="shared" si="150"/>
        <v>OK</v>
      </c>
      <c r="O2431" s="24">
        <f t="shared" si="151"/>
        <v>0</v>
      </c>
    </row>
    <row r="2432" spans="1:15" ht="15" customHeight="1" x14ac:dyDescent="0.3">
      <c r="A2432" s="23" t="s">
        <v>5353</v>
      </c>
      <c r="B2432" s="38">
        <v>46282</v>
      </c>
      <c r="C2432" s="23" t="s">
        <v>5354</v>
      </c>
      <c r="D2432" s="23" t="s">
        <v>92</v>
      </c>
      <c r="E2432" s="23" t="s">
        <v>79</v>
      </c>
      <c r="F2432" s="23" t="s">
        <v>396</v>
      </c>
      <c r="G2432" s="23" t="s">
        <v>250</v>
      </c>
      <c r="H2432" s="39">
        <f t="shared" si="148"/>
        <v>2999</v>
      </c>
      <c r="I2432" s="23" t="str">
        <f t="shared" si="149"/>
        <v>Hyderabad</v>
      </c>
      <c r="J2432" s="23">
        <f>COUNTIFS(pg_transaction_cleaned!$O:$O,A2432,pg_transaction_cleaned!$F:$F,"CAPTURE")</f>
        <v>1</v>
      </c>
      <c r="K2432" s="39">
        <f>SUMIFS(pg_transaction_cleaned!$H:$H,pg_transaction_cleaned!$O:$O,A2432,pg_transaction_cleaned!$F:$F,"CAPTURE")</f>
        <v>2999</v>
      </c>
      <c r="L2432" s="23">
        <f>COUNTIFS(pg_transaction_cleaned!$O:$O,A2432,pg_transaction_cleaned!$F:$F,"REFUND")</f>
        <v>0</v>
      </c>
      <c r="M2432" s="39">
        <f>SUMIFS(pg_transaction_cleaned!$H:$H,pg_transaction_cleaned!$O:$O,A2432,pg_transaction_cleaned!$F:$F,"REFUND")</f>
        <v>0</v>
      </c>
      <c r="N2432" s="23" t="str">
        <f t="shared" si="150"/>
        <v>OK</v>
      </c>
      <c r="O2432" s="24">
        <f t="shared" si="151"/>
        <v>0</v>
      </c>
    </row>
    <row r="2433" spans="1:15" ht="15" customHeight="1" x14ac:dyDescent="0.3">
      <c r="A2433" s="23" t="s">
        <v>5355</v>
      </c>
      <c r="B2433" s="38">
        <v>46291</v>
      </c>
      <c r="C2433" s="23" t="s">
        <v>5356</v>
      </c>
      <c r="D2433" s="23" t="s">
        <v>92</v>
      </c>
      <c r="E2433" s="23" t="s">
        <v>75</v>
      </c>
      <c r="F2433" s="23" t="s">
        <v>598</v>
      </c>
      <c r="G2433" s="23" t="s">
        <v>250</v>
      </c>
      <c r="H2433" s="39">
        <f t="shared" si="148"/>
        <v>5598</v>
      </c>
      <c r="I2433" s="23" t="str">
        <f t="shared" si="149"/>
        <v>Hyderabad</v>
      </c>
      <c r="J2433" s="23">
        <f>COUNTIFS(pg_transaction_cleaned!$O:$O,A2433,pg_transaction_cleaned!$F:$F,"CAPTURE")</f>
        <v>1</v>
      </c>
      <c r="K2433" s="39">
        <f>SUMIFS(pg_transaction_cleaned!$H:$H,pg_transaction_cleaned!$O:$O,A2433,pg_transaction_cleaned!$F:$F,"CAPTURE")</f>
        <v>5598</v>
      </c>
      <c r="L2433" s="23">
        <f>COUNTIFS(pg_transaction_cleaned!$O:$O,A2433,pg_transaction_cleaned!$F:$F,"REFUND")</f>
        <v>0</v>
      </c>
      <c r="M2433" s="39">
        <f>SUMIFS(pg_transaction_cleaned!$H:$H,pg_transaction_cleaned!$O:$O,A2433,pg_transaction_cleaned!$F:$F,"REFUND")</f>
        <v>0</v>
      </c>
      <c r="N2433" s="23" t="str">
        <f t="shared" si="150"/>
        <v>OK</v>
      </c>
      <c r="O2433" s="24">
        <f t="shared" si="151"/>
        <v>0</v>
      </c>
    </row>
    <row r="2434" spans="1:15" ht="15" customHeight="1" x14ac:dyDescent="0.3">
      <c r="A2434" s="23" t="s">
        <v>5357</v>
      </c>
      <c r="B2434" s="38">
        <v>46276</v>
      </c>
      <c r="C2434" s="23" t="s">
        <v>5358</v>
      </c>
      <c r="D2434" s="23" t="s">
        <v>88</v>
      </c>
      <c r="E2434" s="23" t="s">
        <v>77</v>
      </c>
      <c r="F2434" s="23" t="s">
        <v>880</v>
      </c>
      <c r="G2434" s="23" t="s">
        <v>301</v>
      </c>
      <c r="H2434" s="39">
        <f t="shared" ref="H2434:H2497" si="152">VALUE(SUBSTITUTE(F2434,",",""))</f>
        <v>2298</v>
      </c>
      <c r="I2434" s="23" t="str">
        <f t="shared" ref="I2434:I2497" si="153">IF(TRIM(D2434)="","Unknown",TRIM(D2434))</f>
        <v>Lucknow</v>
      </c>
      <c r="J2434" s="23">
        <f>COUNTIFS(pg_transaction_cleaned!$O:$O,A2434,pg_transaction_cleaned!$F:$F,"CAPTURE")</f>
        <v>1</v>
      </c>
      <c r="K2434" s="39">
        <f>SUMIFS(pg_transaction_cleaned!$H:$H,pg_transaction_cleaned!$O:$O,A2434,pg_transaction_cleaned!$F:$F,"CAPTURE")</f>
        <v>2298</v>
      </c>
      <c r="L2434" s="23">
        <f>COUNTIFS(pg_transaction_cleaned!$O:$O,A2434,pg_transaction_cleaned!$F:$F,"REFUND")</f>
        <v>1</v>
      </c>
      <c r="M2434" s="39">
        <f>SUMIFS(pg_transaction_cleaned!$H:$H,pg_transaction_cleaned!$O:$O,A2434,pg_transaction_cleaned!$F:$F,"REFUND")</f>
        <v>2298</v>
      </c>
      <c r="N2434" s="23" t="str">
        <f t="shared" ref="N2434:N2497" si="154">IF(AND(G2434="Paid",J2434=0),"Paid, no payment",IF(AND(OR(G2434="Failed",G2434="Cancelled"),J2434&gt;0),"Payment on failed/cancelled",IF(J2434&gt;1,"Duplicate charge",IF(AND(J2434=1,ROUND(K2434-H2434,2)&lt;&gt;0),"Amount difference",IF(AND(G2434="Refunded",L2434=0),"Refunded, no refund",IF(AND(G2434&lt;&gt;"Refunded",L2434&gt;0),"Refund, order not Refunded",IF(AND(L2434&gt;0,ROUND(M2434-H2434,2)&lt;&gt;0),"Refund amount differs","OK")))))))</f>
        <v>OK</v>
      </c>
      <c r="O2434" s="24">
        <f t="shared" ref="O2434:O2497" si="155">IF(N2434="OK",0,IF(N2434="Paid, no payment",H2434,IF(N2434="Payment on failed/cancelled",K2434,IF(OR(N2434="Duplicate charge",N2434="Amount difference"),K2434-H2434,IF(N2434="Refunded, no refund",H2434,M2434)))))</f>
        <v>0</v>
      </c>
    </row>
    <row r="2435" spans="1:15" ht="15" customHeight="1" x14ac:dyDescent="0.3">
      <c r="A2435" s="23" t="s">
        <v>5359</v>
      </c>
      <c r="B2435" s="38">
        <v>46275</v>
      </c>
      <c r="C2435" s="23" t="s">
        <v>5360</v>
      </c>
      <c r="D2435" s="23" t="s">
        <v>95</v>
      </c>
      <c r="E2435" s="23" t="s">
        <v>79</v>
      </c>
      <c r="F2435" s="23" t="s">
        <v>274</v>
      </c>
      <c r="G2435" s="23" t="s">
        <v>250</v>
      </c>
      <c r="H2435" s="39">
        <f t="shared" si="152"/>
        <v>349</v>
      </c>
      <c r="I2435" s="23" t="str">
        <f t="shared" si="153"/>
        <v>Bengaluru</v>
      </c>
      <c r="J2435" s="23">
        <f>COUNTIFS(pg_transaction_cleaned!$O:$O,A2435,pg_transaction_cleaned!$F:$F,"CAPTURE")</f>
        <v>1</v>
      </c>
      <c r="K2435" s="39">
        <f>SUMIFS(pg_transaction_cleaned!$H:$H,pg_transaction_cleaned!$O:$O,A2435,pg_transaction_cleaned!$F:$F,"CAPTURE")</f>
        <v>349</v>
      </c>
      <c r="L2435" s="23">
        <f>COUNTIFS(pg_transaction_cleaned!$O:$O,A2435,pg_transaction_cleaned!$F:$F,"REFUND")</f>
        <v>0</v>
      </c>
      <c r="M2435" s="39">
        <f>SUMIFS(pg_transaction_cleaned!$H:$H,pg_transaction_cleaned!$O:$O,A2435,pg_transaction_cleaned!$F:$F,"REFUND")</f>
        <v>0</v>
      </c>
      <c r="N2435" s="23" t="str">
        <f t="shared" si="154"/>
        <v>OK</v>
      </c>
      <c r="O2435" s="24">
        <f t="shared" si="155"/>
        <v>0</v>
      </c>
    </row>
    <row r="2436" spans="1:15" ht="15" customHeight="1" x14ac:dyDescent="0.3">
      <c r="A2436" s="23" t="s">
        <v>5361</v>
      </c>
      <c r="B2436" s="38">
        <v>46280</v>
      </c>
      <c r="C2436" s="23" t="s">
        <v>5362</v>
      </c>
      <c r="D2436" s="23" t="s">
        <v>93</v>
      </c>
      <c r="E2436" s="23" t="s">
        <v>75</v>
      </c>
      <c r="F2436" s="23" t="s">
        <v>274</v>
      </c>
      <c r="G2436" s="23" t="s">
        <v>250</v>
      </c>
      <c r="H2436" s="39">
        <f t="shared" si="152"/>
        <v>349</v>
      </c>
      <c r="I2436" s="23" t="str">
        <f t="shared" si="153"/>
        <v>Kolkata</v>
      </c>
      <c r="J2436" s="23">
        <f>COUNTIFS(pg_transaction_cleaned!$O:$O,A2436,pg_transaction_cleaned!$F:$F,"CAPTURE")</f>
        <v>1</v>
      </c>
      <c r="K2436" s="39">
        <f>SUMIFS(pg_transaction_cleaned!$H:$H,pg_transaction_cleaned!$O:$O,A2436,pg_transaction_cleaned!$F:$F,"CAPTURE")</f>
        <v>349</v>
      </c>
      <c r="L2436" s="23">
        <f>COUNTIFS(pg_transaction_cleaned!$O:$O,A2436,pg_transaction_cleaned!$F:$F,"REFUND")</f>
        <v>0</v>
      </c>
      <c r="M2436" s="39">
        <f>SUMIFS(pg_transaction_cleaned!$H:$H,pg_transaction_cleaned!$O:$O,A2436,pg_transaction_cleaned!$F:$F,"REFUND")</f>
        <v>0</v>
      </c>
      <c r="N2436" s="23" t="str">
        <f t="shared" si="154"/>
        <v>OK</v>
      </c>
      <c r="O2436" s="24">
        <f t="shared" si="155"/>
        <v>0</v>
      </c>
    </row>
    <row r="2437" spans="1:15" ht="15" customHeight="1" x14ac:dyDescent="0.3">
      <c r="A2437" s="23" t="s">
        <v>5363</v>
      </c>
      <c r="B2437" s="38">
        <v>46279</v>
      </c>
      <c r="C2437" s="23" t="s">
        <v>5364</v>
      </c>
      <c r="D2437" s="23" t="s">
        <v>91</v>
      </c>
      <c r="E2437" s="23" t="s">
        <v>75</v>
      </c>
      <c r="F2437" s="23" t="s">
        <v>349</v>
      </c>
      <c r="G2437" s="23" t="s">
        <v>250</v>
      </c>
      <c r="H2437" s="39">
        <f t="shared" si="152"/>
        <v>1798</v>
      </c>
      <c r="I2437" s="23" t="str">
        <f t="shared" si="153"/>
        <v>Pune</v>
      </c>
      <c r="J2437" s="23">
        <f>COUNTIFS(pg_transaction_cleaned!$O:$O,A2437,pg_transaction_cleaned!$F:$F,"CAPTURE")</f>
        <v>1</v>
      </c>
      <c r="K2437" s="39">
        <f>SUMIFS(pg_transaction_cleaned!$H:$H,pg_transaction_cleaned!$O:$O,A2437,pg_transaction_cleaned!$F:$F,"CAPTURE")</f>
        <v>1798</v>
      </c>
      <c r="L2437" s="23">
        <f>COUNTIFS(pg_transaction_cleaned!$O:$O,A2437,pg_transaction_cleaned!$F:$F,"REFUND")</f>
        <v>0</v>
      </c>
      <c r="M2437" s="39">
        <f>SUMIFS(pg_transaction_cleaned!$H:$H,pg_transaction_cleaned!$O:$O,A2437,pg_transaction_cleaned!$F:$F,"REFUND")</f>
        <v>0</v>
      </c>
      <c r="N2437" s="23" t="str">
        <f t="shared" si="154"/>
        <v>OK</v>
      </c>
      <c r="O2437" s="24">
        <f t="shared" si="155"/>
        <v>0</v>
      </c>
    </row>
    <row r="2438" spans="1:15" ht="15" customHeight="1" x14ac:dyDescent="0.3">
      <c r="A2438" s="23" t="s">
        <v>5365</v>
      </c>
      <c r="B2438" s="38">
        <v>46290</v>
      </c>
      <c r="C2438" s="23" t="s">
        <v>5366</v>
      </c>
      <c r="D2438" s="23" t="s">
        <v>93</v>
      </c>
      <c r="E2438" s="23" t="s">
        <v>81</v>
      </c>
      <c r="F2438" s="23" t="s">
        <v>249</v>
      </c>
      <c r="G2438" s="23" t="s">
        <v>250</v>
      </c>
      <c r="H2438" s="39">
        <f t="shared" si="152"/>
        <v>299</v>
      </c>
      <c r="I2438" s="23" t="str">
        <f t="shared" si="153"/>
        <v>Kolkata</v>
      </c>
      <c r="J2438" s="23">
        <f>COUNTIFS(pg_transaction_cleaned!$O:$O,A2438,pg_transaction_cleaned!$F:$F,"CAPTURE")</f>
        <v>1</v>
      </c>
      <c r="K2438" s="39">
        <f>SUMIFS(pg_transaction_cleaned!$H:$H,pg_transaction_cleaned!$O:$O,A2438,pg_transaction_cleaned!$F:$F,"CAPTURE")</f>
        <v>299</v>
      </c>
      <c r="L2438" s="23">
        <f>COUNTIFS(pg_transaction_cleaned!$O:$O,A2438,pg_transaction_cleaned!$F:$F,"REFUND")</f>
        <v>0</v>
      </c>
      <c r="M2438" s="39">
        <f>SUMIFS(pg_transaction_cleaned!$H:$H,pg_transaction_cleaned!$O:$O,A2438,pg_transaction_cleaned!$F:$F,"REFUND")</f>
        <v>0</v>
      </c>
      <c r="N2438" s="23" t="str">
        <f t="shared" si="154"/>
        <v>OK</v>
      </c>
      <c r="O2438" s="24">
        <f t="shared" si="155"/>
        <v>0</v>
      </c>
    </row>
    <row r="2439" spans="1:15" ht="15" customHeight="1" x14ac:dyDescent="0.3">
      <c r="A2439" s="23" t="s">
        <v>5367</v>
      </c>
      <c r="B2439" s="38">
        <v>46281</v>
      </c>
      <c r="C2439" s="23" t="s">
        <v>5368</v>
      </c>
      <c r="D2439" s="23"/>
      <c r="E2439" s="23" t="s">
        <v>75</v>
      </c>
      <c r="F2439" s="23" t="s">
        <v>265</v>
      </c>
      <c r="G2439" s="23" t="s">
        <v>318</v>
      </c>
      <c r="H2439" s="39">
        <f t="shared" si="152"/>
        <v>999</v>
      </c>
      <c r="I2439" s="23" t="str">
        <f t="shared" si="153"/>
        <v>Unknown</v>
      </c>
      <c r="J2439" s="23">
        <f>COUNTIFS(pg_transaction_cleaned!$O:$O,A2439,pg_transaction_cleaned!$F:$F,"CAPTURE")</f>
        <v>0</v>
      </c>
      <c r="K2439" s="39">
        <f>SUMIFS(pg_transaction_cleaned!$H:$H,pg_transaction_cleaned!$O:$O,A2439,pg_transaction_cleaned!$F:$F,"CAPTURE")</f>
        <v>0</v>
      </c>
      <c r="L2439" s="23">
        <f>COUNTIFS(pg_transaction_cleaned!$O:$O,A2439,pg_transaction_cleaned!$F:$F,"REFUND")</f>
        <v>0</v>
      </c>
      <c r="M2439" s="39">
        <f>SUMIFS(pg_transaction_cleaned!$H:$H,pg_transaction_cleaned!$O:$O,A2439,pg_transaction_cleaned!$F:$F,"REFUND")</f>
        <v>0</v>
      </c>
      <c r="N2439" s="23" t="str">
        <f t="shared" si="154"/>
        <v>OK</v>
      </c>
      <c r="O2439" s="24">
        <f t="shared" si="155"/>
        <v>0</v>
      </c>
    </row>
    <row r="2440" spans="1:15" ht="15" customHeight="1" x14ac:dyDescent="0.3">
      <c r="A2440" s="23" t="s">
        <v>5369</v>
      </c>
      <c r="B2440" s="38">
        <v>46294</v>
      </c>
      <c r="C2440" s="23" t="s">
        <v>5370</v>
      </c>
      <c r="D2440" s="23" t="s">
        <v>92</v>
      </c>
      <c r="E2440" s="23" t="s">
        <v>75</v>
      </c>
      <c r="F2440" s="23" t="s">
        <v>307</v>
      </c>
      <c r="G2440" s="23" t="s">
        <v>250</v>
      </c>
      <c r="H2440" s="39">
        <f t="shared" si="152"/>
        <v>3798</v>
      </c>
      <c r="I2440" s="23" t="str">
        <f t="shared" si="153"/>
        <v>Hyderabad</v>
      </c>
      <c r="J2440" s="23">
        <f>COUNTIFS(pg_transaction_cleaned!$O:$O,A2440,pg_transaction_cleaned!$F:$F,"CAPTURE")</f>
        <v>1</v>
      </c>
      <c r="K2440" s="39">
        <f>SUMIFS(pg_transaction_cleaned!$H:$H,pg_transaction_cleaned!$O:$O,A2440,pg_transaction_cleaned!$F:$F,"CAPTURE")</f>
        <v>3798</v>
      </c>
      <c r="L2440" s="23">
        <f>COUNTIFS(pg_transaction_cleaned!$O:$O,A2440,pg_transaction_cleaned!$F:$F,"REFUND")</f>
        <v>0</v>
      </c>
      <c r="M2440" s="39">
        <f>SUMIFS(pg_transaction_cleaned!$H:$H,pg_transaction_cleaned!$O:$O,A2440,pg_transaction_cleaned!$F:$F,"REFUND")</f>
        <v>0</v>
      </c>
      <c r="N2440" s="23" t="str">
        <f t="shared" si="154"/>
        <v>OK</v>
      </c>
      <c r="O2440" s="24">
        <f t="shared" si="155"/>
        <v>0</v>
      </c>
    </row>
    <row r="2441" spans="1:15" ht="15" customHeight="1" x14ac:dyDescent="0.3">
      <c r="A2441" s="23" t="s">
        <v>5371</v>
      </c>
      <c r="B2441" s="38">
        <v>46273</v>
      </c>
      <c r="C2441" s="23" t="s">
        <v>5372</v>
      </c>
      <c r="D2441" s="23" t="s">
        <v>93</v>
      </c>
      <c r="E2441" s="23" t="s">
        <v>79</v>
      </c>
      <c r="F2441" s="23" t="s">
        <v>438</v>
      </c>
      <c r="G2441" s="23" t="s">
        <v>250</v>
      </c>
      <c r="H2441" s="39">
        <f t="shared" si="152"/>
        <v>5498</v>
      </c>
      <c r="I2441" s="23" t="str">
        <f t="shared" si="153"/>
        <v>Kolkata</v>
      </c>
      <c r="J2441" s="23">
        <f>COUNTIFS(pg_transaction_cleaned!$O:$O,A2441,pg_transaction_cleaned!$F:$F,"CAPTURE")</f>
        <v>1</v>
      </c>
      <c r="K2441" s="39">
        <f>SUMIFS(pg_transaction_cleaned!$H:$H,pg_transaction_cleaned!$O:$O,A2441,pg_transaction_cleaned!$F:$F,"CAPTURE")</f>
        <v>5498</v>
      </c>
      <c r="L2441" s="23">
        <f>COUNTIFS(pg_transaction_cleaned!$O:$O,A2441,pg_transaction_cleaned!$F:$F,"REFUND")</f>
        <v>0</v>
      </c>
      <c r="M2441" s="39">
        <f>SUMIFS(pg_transaction_cleaned!$H:$H,pg_transaction_cleaned!$O:$O,A2441,pg_transaction_cleaned!$F:$F,"REFUND")</f>
        <v>0</v>
      </c>
      <c r="N2441" s="23" t="str">
        <f t="shared" si="154"/>
        <v>OK</v>
      </c>
      <c r="O2441" s="24">
        <f t="shared" si="155"/>
        <v>0</v>
      </c>
    </row>
    <row r="2442" spans="1:15" ht="15" customHeight="1" x14ac:dyDescent="0.3">
      <c r="A2442" s="23" t="s">
        <v>5373</v>
      </c>
      <c r="B2442" s="38">
        <v>46293</v>
      </c>
      <c r="C2442" s="23" t="s">
        <v>5374</v>
      </c>
      <c r="D2442" s="23" t="s">
        <v>86</v>
      </c>
      <c r="E2442" s="23" t="s">
        <v>79</v>
      </c>
      <c r="F2442" s="23" t="s">
        <v>274</v>
      </c>
      <c r="G2442" s="23" t="s">
        <v>250</v>
      </c>
      <c r="H2442" s="39">
        <f t="shared" si="152"/>
        <v>349</v>
      </c>
      <c r="I2442" s="23" t="str">
        <f t="shared" si="153"/>
        <v>Delhi</v>
      </c>
      <c r="J2442" s="23">
        <f>COUNTIFS(pg_transaction_cleaned!$O:$O,A2442,pg_transaction_cleaned!$F:$F,"CAPTURE")</f>
        <v>1</v>
      </c>
      <c r="K2442" s="39">
        <f>SUMIFS(pg_transaction_cleaned!$H:$H,pg_transaction_cleaned!$O:$O,A2442,pg_transaction_cleaned!$F:$F,"CAPTURE")</f>
        <v>349</v>
      </c>
      <c r="L2442" s="23">
        <f>COUNTIFS(pg_transaction_cleaned!$O:$O,A2442,pg_transaction_cleaned!$F:$F,"REFUND")</f>
        <v>0</v>
      </c>
      <c r="M2442" s="39">
        <f>SUMIFS(pg_transaction_cleaned!$H:$H,pg_transaction_cleaned!$O:$O,A2442,pg_transaction_cleaned!$F:$F,"REFUND")</f>
        <v>0</v>
      </c>
      <c r="N2442" s="23" t="str">
        <f t="shared" si="154"/>
        <v>OK</v>
      </c>
      <c r="O2442" s="24">
        <f t="shared" si="155"/>
        <v>0</v>
      </c>
    </row>
    <row r="2443" spans="1:15" ht="15" customHeight="1" x14ac:dyDescent="0.3">
      <c r="A2443" s="23" t="s">
        <v>5375</v>
      </c>
      <c r="B2443" s="38">
        <v>46283</v>
      </c>
      <c r="C2443" s="23" t="s">
        <v>5376</v>
      </c>
      <c r="D2443" s="23" t="s">
        <v>86</v>
      </c>
      <c r="E2443" s="23" t="s">
        <v>79</v>
      </c>
      <c r="F2443" s="23" t="s">
        <v>574</v>
      </c>
      <c r="G2443" s="23" t="s">
        <v>318</v>
      </c>
      <c r="H2443" s="39">
        <f t="shared" si="152"/>
        <v>1848</v>
      </c>
      <c r="I2443" s="23" t="str">
        <f t="shared" si="153"/>
        <v>Delhi</v>
      </c>
      <c r="J2443" s="23">
        <f>COUNTIFS(pg_transaction_cleaned!$O:$O,A2443,pg_transaction_cleaned!$F:$F,"CAPTURE")</f>
        <v>0</v>
      </c>
      <c r="K2443" s="39">
        <f>SUMIFS(pg_transaction_cleaned!$H:$H,pg_transaction_cleaned!$O:$O,A2443,pg_transaction_cleaned!$F:$F,"CAPTURE")</f>
        <v>0</v>
      </c>
      <c r="L2443" s="23">
        <f>COUNTIFS(pg_transaction_cleaned!$O:$O,A2443,pg_transaction_cleaned!$F:$F,"REFUND")</f>
        <v>0</v>
      </c>
      <c r="M2443" s="39">
        <f>SUMIFS(pg_transaction_cleaned!$H:$H,pg_transaction_cleaned!$O:$O,A2443,pg_transaction_cleaned!$F:$F,"REFUND")</f>
        <v>0</v>
      </c>
      <c r="N2443" s="23" t="str">
        <f t="shared" si="154"/>
        <v>OK</v>
      </c>
      <c r="O2443" s="24">
        <f t="shared" si="155"/>
        <v>0</v>
      </c>
    </row>
    <row r="2444" spans="1:15" ht="15" customHeight="1" x14ac:dyDescent="0.3">
      <c r="A2444" s="23" t="s">
        <v>5377</v>
      </c>
      <c r="B2444" s="38">
        <v>46267</v>
      </c>
      <c r="C2444" s="23" t="s">
        <v>5378</v>
      </c>
      <c r="D2444" s="23"/>
      <c r="E2444" s="23" t="s">
        <v>75</v>
      </c>
      <c r="F2444" s="23" t="s">
        <v>315</v>
      </c>
      <c r="G2444" s="23" t="s">
        <v>250</v>
      </c>
      <c r="H2444" s="39">
        <f t="shared" si="152"/>
        <v>1499</v>
      </c>
      <c r="I2444" s="23" t="str">
        <f t="shared" si="153"/>
        <v>Unknown</v>
      </c>
      <c r="J2444" s="23">
        <f>COUNTIFS(pg_transaction_cleaned!$O:$O,A2444,pg_transaction_cleaned!$F:$F,"CAPTURE")</f>
        <v>1</v>
      </c>
      <c r="K2444" s="39">
        <f>SUMIFS(pg_transaction_cleaned!$H:$H,pg_transaction_cleaned!$O:$O,A2444,pg_transaction_cleaned!$F:$F,"CAPTURE")</f>
        <v>1499</v>
      </c>
      <c r="L2444" s="23">
        <f>COUNTIFS(pg_transaction_cleaned!$O:$O,A2444,pg_transaction_cleaned!$F:$F,"REFUND")</f>
        <v>0</v>
      </c>
      <c r="M2444" s="39">
        <f>SUMIFS(pg_transaction_cleaned!$H:$H,pg_transaction_cleaned!$O:$O,A2444,pg_transaction_cleaned!$F:$F,"REFUND")</f>
        <v>0</v>
      </c>
      <c r="N2444" s="23" t="str">
        <f t="shared" si="154"/>
        <v>OK</v>
      </c>
      <c r="O2444" s="24">
        <f t="shared" si="155"/>
        <v>0</v>
      </c>
    </row>
    <row r="2445" spans="1:15" ht="15" customHeight="1" x14ac:dyDescent="0.3">
      <c r="A2445" s="23" t="s">
        <v>5379</v>
      </c>
      <c r="B2445" s="38">
        <v>46287</v>
      </c>
      <c r="C2445" s="23" t="s">
        <v>5380</v>
      </c>
      <c r="D2445" s="23" t="s">
        <v>87</v>
      </c>
      <c r="E2445" s="23" t="s">
        <v>75</v>
      </c>
      <c r="F2445" s="23" t="s">
        <v>352</v>
      </c>
      <c r="G2445" s="23" t="s">
        <v>250</v>
      </c>
      <c r="H2445" s="39">
        <f t="shared" si="152"/>
        <v>648</v>
      </c>
      <c r="I2445" s="23" t="str">
        <f t="shared" si="153"/>
        <v>Mumbai</v>
      </c>
      <c r="J2445" s="23">
        <f>COUNTIFS(pg_transaction_cleaned!$O:$O,A2445,pg_transaction_cleaned!$F:$F,"CAPTURE")</f>
        <v>1</v>
      </c>
      <c r="K2445" s="39">
        <f>SUMIFS(pg_transaction_cleaned!$H:$H,pg_transaction_cleaned!$O:$O,A2445,pg_transaction_cleaned!$F:$F,"CAPTURE")</f>
        <v>648</v>
      </c>
      <c r="L2445" s="23">
        <f>COUNTIFS(pg_transaction_cleaned!$O:$O,A2445,pg_transaction_cleaned!$F:$F,"REFUND")</f>
        <v>0</v>
      </c>
      <c r="M2445" s="39">
        <f>SUMIFS(pg_transaction_cleaned!$H:$H,pg_transaction_cleaned!$O:$O,A2445,pg_transaction_cleaned!$F:$F,"REFUND")</f>
        <v>0</v>
      </c>
      <c r="N2445" s="23" t="str">
        <f t="shared" si="154"/>
        <v>OK</v>
      </c>
      <c r="O2445" s="24">
        <f t="shared" si="155"/>
        <v>0</v>
      </c>
    </row>
    <row r="2446" spans="1:15" ht="15" customHeight="1" x14ac:dyDescent="0.3">
      <c r="A2446" s="23" t="s">
        <v>5381</v>
      </c>
      <c r="B2446" s="38">
        <v>46284</v>
      </c>
      <c r="C2446" s="23" t="s">
        <v>5382</v>
      </c>
      <c r="D2446" s="23" t="s">
        <v>86</v>
      </c>
      <c r="E2446" s="23" t="s">
        <v>81</v>
      </c>
      <c r="F2446" s="23" t="s">
        <v>249</v>
      </c>
      <c r="G2446" s="23" t="s">
        <v>250</v>
      </c>
      <c r="H2446" s="39">
        <f t="shared" si="152"/>
        <v>299</v>
      </c>
      <c r="I2446" s="23" t="str">
        <f t="shared" si="153"/>
        <v>Delhi</v>
      </c>
      <c r="J2446" s="23">
        <f>COUNTIFS(pg_transaction_cleaned!$O:$O,A2446,pg_transaction_cleaned!$F:$F,"CAPTURE")</f>
        <v>1</v>
      </c>
      <c r="K2446" s="39">
        <f>SUMIFS(pg_transaction_cleaned!$H:$H,pg_transaction_cleaned!$O:$O,A2446,pg_transaction_cleaned!$F:$F,"CAPTURE")</f>
        <v>299</v>
      </c>
      <c r="L2446" s="23">
        <f>COUNTIFS(pg_transaction_cleaned!$O:$O,A2446,pg_transaction_cleaned!$F:$F,"REFUND")</f>
        <v>0</v>
      </c>
      <c r="M2446" s="39">
        <f>SUMIFS(pg_transaction_cleaned!$H:$H,pg_transaction_cleaned!$O:$O,A2446,pg_transaction_cleaned!$F:$F,"REFUND")</f>
        <v>0</v>
      </c>
      <c r="N2446" s="23" t="str">
        <f t="shared" si="154"/>
        <v>OK</v>
      </c>
      <c r="O2446" s="24">
        <f t="shared" si="155"/>
        <v>0</v>
      </c>
    </row>
    <row r="2447" spans="1:15" ht="15" customHeight="1" x14ac:dyDescent="0.3">
      <c r="A2447" s="23" t="s">
        <v>5383</v>
      </c>
      <c r="B2447" s="38">
        <v>46294</v>
      </c>
      <c r="C2447" s="23" t="s">
        <v>5384</v>
      </c>
      <c r="D2447" s="23" t="s">
        <v>89</v>
      </c>
      <c r="E2447" s="23" t="s">
        <v>79</v>
      </c>
      <c r="F2447" s="23" t="s">
        <v>343</v>
      </c>
      <c r="G2447" s="23" t="s">
        <v>250</v>
      </c>
      <c r="H2447" s="39">
        <f t="shared" si="152"/>
        <v>9498</v>
      </c>
      <c r="I2447" s="23" t="str">
        <f t="shared" si="153"/>
        <v>Jaipur</v>
      </c>
      <c r="J2447" s="23">
        <f>COUNTIFS(pg_transaction_cleaned!$O:$O,A2447,pg_transaction_cleaned!$F:$F,"CAPTURE")</f>
        <v>1</v>
      </c>
      <c r="K2447" s="39">
        <f>SUMIFS(pg_transaction_cleaned!$H:$H,pg_transaction_cleaned!$O:$O,A2447,pg_transaction_cleaned!$F:$F,"CAPTURE")</f>
        <v>9498</v>
      </c>
      <c r="L2447" s="23">
        <f>COUNTIFS(pg_transaction_cleaned!$O:$O,A2447,pg_transaction_cleaned!$F:$F,"REFUND")</f>
        <v>0</v>
      </c>
      <c r="M2447" s="39">
        <f>SUMIFS(pg_transaction_cleaned!$H:$H,pg_transaction_cleaned!$O:$O,A2447,pg_transaction_cleaned!$F:$F,"REFUND")</f>
        <v>0</v>
      </c>
      <c r="N2447" s="23" t="str">
        <f t="shared" si="154"/>
        <v>OK</v>
      </c>
      <c r="O2447" s="24">
        <f t="shared" si="155"/>
        <v>0</v>
      </c>
    </row>
    <row r="2448" spans="1:15" ht="15" customHeight="1" x14ac:dyDescent="0.3">
      <c r="A2448" s="23" t="s">
        <v>5385</v>
      </c>
      <c r="B2448" s="38">
        <v>46268</v>
      </c>
      <c r="C2448" s="23" t="s">
        <v>5386</v>
      </c>
      <c r="D2448" s="23" t="s">
        <v>86</v>
      </c>
      <c r="E2448" s="23" t="s">
        <v>79</v>
      </c>
      <c r="F2448" s="23" t="s">
        <v>582</v>
      </c>
      <c r="G2448" s="23" t="s">
        <v>250</v>
      </c>
      <c r="H2448" s="39">
        <f t="shared" si="152"/>
        <v>1298</v>
      </c>
      <c r="I2448" s="23" t="str">
        <f t="shared" si="153"/>
        <v>Delhi</v>
      </c>
      <c r="J2448" s="23">
        <f>COUNTIFS(pg_transaction_cleaned!$O:$O,A2448,pg_transaction_cleaned!$F:$F,"CAPTURE")</f>
        <v>1</v>
      </c>
      <c r="K2448" s="39">
        <f>SUMIFS(pg_transaction_cleaned!$H:$H,pg_transaction_cleaned!$O:$O,A2448,pg_transaction_cleaned!$F:$F,"CAPTURE")</f>
        <v>1298</v>
      </c>
      <c r="L2448" s="23">
        <f>COUNTIFS(pg_transaction_cleaned!$O:$O,A2448,pg_transaction_cleaned!$F:$F,"REFUND")</f>
        <v>0</v>
      </c>
      <c r="M2448" s="39">
        <f>SUMIFS(pg_transaction_cleaned!$H:$H,pg_transaction_cleaned!$O:$O,A2448,pg_transaction_cleaned!$F:$F,"REFUND")</f>
        <v>0</v>
      </c>
      <c r="N2448" s="23" t="str">
        <f t="shared" si="154"/>
        <v>OK</v>
      </c>
      <c r="O2448" s="24">
        <f t="shared" si="155"/>
        <v>0</v>
      </c>
    </row>
    <row r="2449" spans="1:15" ht="15" customHeight="1" x14ac:dyDescent="0.3">
      <c r="A2449" s="23" t="s">
        <v>5387</v>
      </c>
      <c r="B2449" s="38">
        <v>46286</v>
      </c>
      <c r="C2449" s="23" t="s">
        <v>5388</v>
      </c>
      <c r="D2449" s="23" t="s">
        <v>93</v>
      </c>
      <c r="E2449" s="23" t="s">
        <v>79</v>
      </c>
      <c r="F2449" s="23" t="s">
        <v>1533</v>
      </c>
      <c r="G2449" s="23" t="s">
        <v>250</v>
      </c>
      <c r="H2449" s="39">
        <f t="shared" si="152"/>
        <v>3647</v>
      </c>
      <c r="I2449" s="23" t="str">
        <f t="shared" si="153"/>
        <v>Kolkata</v>
      </c>
      <c r="J2449" s="23">
        <f>COUNTIFS(pg_transaction_cleaned!$O:$O,A2449,pg_transaction_cleaned!$F:$F,"CAPTURE")</f>
        <v>1</v>
      </c>
      <c r="K2449" s="39">
        <f>SUMIFS(pg_transaction_cleaned!$H:$H,pg_transaction_cleaned!$O:$O,A2449,pg_transaction_cleaned!$F:$F,"CAPTURE")</f>
        <v>3647</v>
      </c>
      <c r="L2449" s="23">
        <f>COUNTIFS(pg_transaction_cleaned!$O:$O,A2449,pg_transaction_cleaned!$F:$F,"REFUND")</f>
        <v>0</v>
      </c>
      <c r="M2449" s="39">
        <f>SUMIFS(pg_transaction_cleaned!$H:$H,pg_transaction_cleaned!$O:$O,A2449,pg_transaction_cleaned!$F:$F,"REFUND")</f>
        <v>0</v>
      </c>
      <c r="N2449" s="23" t="str">
        <f t="shared" si="154"/>
        <v>OK</v>
      </c>
      <c r="O2449" s="24">
        <f t="shared" si="155"/>
        <v>0</v>
      </c>
    </row>
    <row r="2450" spans="1:15" ht="15" customHeight="1" x14ac:dyDescent="0.3">
      <c r="A2450" s="23" t="s">
        <v>5389</v>
      </c>
      <c r="B2450" s="38">
        <v>46293</v>
      </c>
      <c r="C2450" s="23" t="s">
        <v>5390</v>
      </c>
      <c r="D2450" s="23" t="s">
        <v>94</v>
      </c>
      <c r="E2450" s="23" t="s">
        <v>75</v>
      </c>
      <c r="F2450" s="23" t="s">
        <v>396</v>
      </c>
      <c r="G2450" s="23" t="s">
        <v>250</v>
      </c>
      <c r="H2450" s="39">
        <f t="shared" si="152"/>
        <v>2999</v>
      </c>
      <c r="I2450" s="23" t="str">
        <f t="shared" si="153"/>
        <v>Chennai</v>
      </c>
      <c r="J2450" s="23">
        <f>COUNTIFS(pg_transaction_cleaned!$O:$O,A2450,pg_transaction_cleaned!$F:$F,"CAPTURE")</f>
        <v>1</v>
      </c>
      <c r="K2450" s="39">
        <f>SUMIFS(pg_transaction_cleaned!$H:$H,pg_transaction_cleaned!$O:$O,A2450,pg_transaction_cleaned!$F:$F,"CAPTURE")</f>
        <v>2999</v>
      </c>
      <c r="L2450" s="23">
        <f>COUNTIFS(pg_transaction_cleaned!$O:$O,A2450,pg_transaction_cleaned!$F:$F,"REFUND")</f>
        <v>0</v>
      </c>
      <c r="M2450" s="39">
        <f>SUMIFS(pg_transaction_cleaned!$H:$H,pg_transaction_cleaned!$O:$O,A2450,pg_transaction_cleaned!$F:$F,"REFUND")</f>
        <v>0</v>
      </c>
      <c r="N2450" s="23" t="str">
        <f t="shared" si="154"/>
        <v>OK</v>
      </c>
      <c r="O2450" s="24">
        <f t="shared" si="155"/>
        <v>0</v>
      </c>
    </row>
    <row r="2451" spans="1:15" ht="15" customHeight="1" x14ac:dyDescent="0.3">
      <c r="A2451" s="23" t="s">
        <v>5391</v>
      </c>
      <c r="B2451" s="38">
        <v>46282</v>
      </c>
      <c r="C2451" s="23" t="s">
        <v>5392</v>
      </c>
      <c r="D2451" s="23" t="s">
        <v>95</v>
      </c>
      <c r="E2451" s="23" t="s">
        <v>81</v>
      </c>
      <c r="F2451" s="23" t="s">
        <v>475</v>
      </c>
      <c r="G2451" s="23" t="s">
        <v>250</v>
      </c>
      <c r="H2451" s="39">
        <f t="shared" si="152"/>
        <v>799</v>
      </c>
      <c r="I2451" s="23" t="str">
        <f t="shared" si="153"/>
        <v>Bengaluru</v>
      </c>
      <c r="J2451" s="23">
        <f>COUNTIFS(pg_transaction_cleaned!$O:$O,A2451,pg_transaction_cleaned!$F:$F,"CAPTURE")</f>
        <v>1</v>
      </c>
      <c r="K2451" s="39">
        <f>SUMIFS(pg_transaction_cleaned!$H:$H,pg_transaction_cleaned!$O:$O,A2451,pg_transaction_cleaned!$F:$F,"CAPTURE")</f>
        <v>799</v>
      </c>
      <c r="L2451" s="23">
        <f>COUNTIFS(pg_transaction_cleaned!$O:$O,A2451,pg_transaction_cleaned!$F:$F,"REFUND")</f>
        <v>0</v>
      </c>
      <c r="M2451" s="39">
        <f>SUMIFS(pg_transaction_cleaned!$H:$H,pg_transaction_cleaned!$O:$O,A2451,pg_transaction_cleaned!$F:$F,"REFUND")</f>
        <v>0</v>
      </c>
      <c r="N2451" s="23" t="str">
        <f t="shared" si="154"/>
        <v>OK</v>
      </c>
      <c r="O2451" s="24">
        <f t="shared" si="155"/>
        <v>0</v>
      </c>
    </row>
    <row r="2452" spans="1:15" ht="15" customHeight="1" x14ac:dyDescent="0.3">
      <c r="A2452" s="23" t="s">
        <v>5393</v>
      </c>
      <c r="B2452" s="38">
        <v>46291</v>
      </c>
      <c r="C2452" s="23" t="s">
        <v>5394</v>
      </c>
      <c r="D2452" s="23" t="s">
        <v>86</v>
      </c>
      <c r="E2452" s="23" t="s">
        <v>75</v>
      </c>
      <c r="F2452" s="23" t="s">
        <v>396</v>
      </c>
      <c r="G2452" s="23" t="s">
        <v>250</v>
      </c>
      <c r="H2452" s="39">
        <f t="shared" si="152"/>
        <v>2999</v>
      </c>
      <c r="I2452" s="23" t="str">
        <f t="shared" si="153"/>
        <v>Delhi</v>
      </c>
      <c r="J2452" s="23">
        <f>COUNTIFS(pg_transaction_cleaned!$O:$O,A2452,pg_transaction_cleaned!$F:$F,"CAPTURE")</f>
        <v>1</v>
      </c>
      <c r="K2452" s="39">
        <f>SUMIFS(pg_transaction_cleaned!$H:$H,pg_transaction_cleaned!$O:$O,A2452,pg_transaction_cleaned!$F:$F,"CAPTURE")</f>
        <v>2999</v>
      </c>
      <c r="L2452" s="23">
        <f>COUNTIFS(pg_transaction_cleaned!$O:$O,A2452,pg_transaction_cleaned!$F:$F,"REFUND")</f>
        <v>0</v>
      </c>
      <c r="M2452" s="39">
        <f>SUMIFS(pg_transaction_cleaned!$H:$H,pg_transaction_cleaned!$O:$O,A2452,pg_transaction_cleaned!$F:$F,"REFUND")</f>
        <v>0</v>
      </c>
      <c r="N2452" s="23" t="str">
        <f t="shared" si="154"/>
        <v>OK</v>
      </c>
      <c r="O2452" s="24">
        <f t="shared" si="155"/>
        <v>0</v>
      </c>
    </row>
    <row r="2453" spans="1:15" ht="15" customHeight="1" x14ac:dyDescent="0.3">
      <c r="A2453" s="23" t="s">
        <v>5395</v>
      </c>
      <c r="B2453" s="38">
        <v>46267</v>
      </c>
      <c r="C2453" s="23" t="s">
        <v>5396</v>
      </c>
      <c r="D2453" s="23" t="s">
        <v>90</v>
      </c>
      <c r="E2453" s="23" t="s">
        <v>75</v>
      </c>
      <c r="F2453" s="23" t="s">
        <v>249</v>
      </c>
      <c r="G2453" s="23" t="s">
        <v>250</v>
      </c>
      <c r="H2453" s="39">
        <f t="shared" si="152"/>
        <v>299</v>
      </c>
      <c r="I2453" s="23" t="str">
        <f t="shared" si="153"/>
        <v>Ahmedabad</v>
      </c>
      <c r="J2453" s="23">
        <f>COUNTIFS(pg_transaction_cleaned!$O:$O,A2453,pg_transaction_cleaned!$F:$F,"CAPTURE")</f>
        <v>1</v>
      </c>
      <c r="K2453" s="39">
        <f>SUMIFS(pg_transaction_cleaned!$H:$H,pg_transaction_cleaned!$O:$O,A2453,pg_transaction_cleaned!$F:$F,"CAPTURE")</f>
        <v>299</v>
      </c>
      <c r="L2453" s="23">
        <f>COUNTIFS(pg_transaction_cleaned!$O:$O,A2453,pg_transaction_cleaned!$F:$F,"REFUND")</f>
        <v>0</v>
      </c>
      <c r="M2453" s="39">
        <f>SUMIFS(pg_transaction_cleaned!$H:$H,pg_transaction_cleaned!$O:$O,A2453,pg_transaction_cleaned!$F:$F,"REFUND")</f>
        <v>0</v>
      </c>
      <c r="N2453" s="23" t="str">
        <f t="shared" si="154"/>
        <v>OK</v>
      </c>
      <c r="O2453" s="24">
        <f t="shared" si="155"/>
        <v>0</v>
      </c>
    </row>
    <row r="2454" spans="1:15" ht="15" customHeight="1" x14ac:dyDescent="0.3">
      <c r="A2454" s="23" t="s">
        <v>5397</v>
      </c>
      <c r="B2454" s="38">
        <v>46270</v>
      </c>
      <c r="C2454" s="23" t="s">
        <v>5398</v>
      </c>
      <c r="D2454" s="23" t="s">
        <v>88</v>
      </c>
      <c r="E2454" s="23" t="s">
        <v>79</v>
      </c>
      <c r="F2454" s="23" t="s">
        <v>291</v>
      </c>
      <c r="G2454" s="23" t="s">
        <v>250</v>
      </c>
      <c r="H2454" s="39">
        <f t="shared" si="152"/>
        <v>3499</v>
      </c>
      <c r="I2454" s="23" t="str">
        <f t="shared" si="153"/>
        <v>Lucknow</v>
      </c>
      <c r="J2454" s="23">
        <f>COUNTIFS(pg_transaction_cleaned!$O:$O,A2454,pg_transaction_cleaned!$F:$F,"CAPTURE")</f>
        <v>1</v>
      </c>
      <c r="K2454" s="39">
        <f>SUMIFS(pg_transaction_cleaned!$H:$H,pg_transaction_cleaned!$O:$O,A2454,pg_transaction_cleaned!$F:$F,"CAPTURE")</f>
        <v>3499</v>
      </c>
      <c r="L2454" s="23">
        <f>COUNTIFS(pg_transaction_cleaned!$O:$O,A2454,pg_transaction_cleaned!$F:$F,"REFUND")</f>
        <v>0</v>
      </c>
      <c r="M2454" s="39">
        <f>SUMIFS(pg_transaction_cleaned!$H:$H,pg_transaction_cleaned!$O:$O,A2454,pg_transaction_cleaned!$F:$F,"REFUND")</f>
        <v>0</v>
      </c>
      <c r="N2454" s="23" t="str">
        <f t="shared" si="154"/>
        <v>OK</v>
      </c>
      <c r="O2454" s="24">
        <f t="shared" si="155"/>
        <v>0</v>
      </c>
    </row>
    <row r="2455" spans="1:15" ht="15" customHeight="1" x14ac:dyDescent="0.3">
      <c r="A2455" s="23" t="s">
        <v>5399</v>
      </c>
      <c r="B2455" s="38">
        <v>46273</v>
      </c>
      <c r="C2455" s="23" t="s">
        <v>5400</v>
      </c>
      <c r="D2455" s="23" t="s">
        <v>89</v>
      </c>
      <c r="E2455" s="23" t="s">
        <v>79</v>
      </c>
      <c r="F2455" s="23" t="s">
        <v>1693</v>
      </c>
      <c r="G2455" s="23" t="s">
        <v>250</v>
      </c>
      <c r="H2455" s="39">
        <f t="shared" si="152"/>
        <v>4097</v>
      </c>
      <c r="I2455" s="23" t="str">
        <f t="shared" si="153"/>
        <v>Jaipur</v>
      </c>
      <c r="J2455" s="23">
        <f>COUNTIFS(pg_transaction_cleaned!$O:$O,A2455,pg_transaction_cleaned!$F:$F,"CAPTURE")</f>
        <v>1</v>
      </c>
      <c r="K2455" s="39">
        <f>SUMIFS(pg_transaction_cleaned!$H:$H,pg_transaction_cleaned!$O:$O,A2455,pg_transaction_cleaned!$F:$F,"CAPTURE")</f>
        <v>4097</v>
      </c>
      <c r="L2455" s="23">
        <f>COUNTIFS(pg_transaction_cleaned!$O:$O,A2455,pg_transaction_cleaned!$F:$F,"REFUND")</f>
        <v>0</v>
      </c>
      <c r="M2455" s="39">
        <f>SUMIFS(pg_transaction_cleaned!$H:$H,pg_transaction_cleaned!$O:$O,A2455,pg_transaction_cleaned!$F:$F,"REFUND")</f>
        <v>0</v>
      </c>
      <c r="N2455" s="23" t="str">
        <f t="shared" si="154"/>
        <v>OK</v>
      </c>
      <c r="O2455" s="24">
        <f t="shared" si="155"/>
        <v>0</v>
      </c>
    </row>
    <row r="2456" spans="1:15" ht="15" customHeight="1" x14ac:dyDescent="0.3">
      <c r="A2456" s="23" t="s">
        <v>5401</v>
      </c>
      <c r="B2456" s="38">
        <v>46289</v>
      </c>
      <c r="C2456" s="23" t="s">
        <v>5402</v>
      </c>
      <c r="D2456" s="23" t="s">
        <v>94</v>
      </c>
      <c r="E2456" s="23" t="s">
        <v>75</v>
      </c>
      <c r="F2456" s="23" t="s">
        <v>288</v>
      </c>
      <c r="G2456" s="23" t="s">
        <v>250</v>
      </c>
      <c r="H2456" s="39">
        <f t="shared" si="152"/>
        <v>4298</v>
      </c>
      <c r="I2456" s="23" t="str">
        <f t="shared" si="153"/>
        <v>Chennai</v>
      </c>
      <c r="J2456" s="23">
        <f>COUNTIFS(pg_transaction_cleaned!$O:$O,A2456,pg_transaction_cleaned!$F:$F,"CAPTURE")</f>
        <v>1</v>
      </c>
      <c r="K2456" s="39">
        <f>SUMIFS(pg_transaction_cleaned!$H:$H,pg_transaction_cleaned!$O:$O,A2456,pg_transaction_cleaned!$F:$F,"CAPTURE")</f>
        <v>4298</v>
      </c>
      <c r="L2456" s="23">
        <f>COUNTIFS(pg_transaction_cleaned!$O:$O,A2456,pg_transaction_cleaned!$F:$F,"REFUND")</f>
        <v>0</v>
      </c>
      <c r="M2456" s="39">
        <f>SUMIFS(pg_transaction_cleaned!$H:$H,pg_transaction_cleaned!$O:$O,A2456,pg_transaction_cleaned!$F:$F,"REFUND")</f>
        <v>0</v>
      </c>
      <c r="N2456" s="23" t="str">
        <f t="shared" si="154"/>
        <v>OK</v>
      </c>
      <c r="O2456" s="24">
        <f t="shared" si="155"/>
        <v>0</v>
      </c>
    </row>
    <row r="2457" spans="1:15" ht="15" customHeight="1" x14ac:dyDescent="0.3">
      <c r="A2457" s="23" t="s">
        <v>5403</v>
      </c>
      <c r="B2457" s="38">
        <v>46271</v>
      </c>
      <c r="C2457" s="23" t="s">
        <v>5404</v>
      </c>
      <c r="D2457" s="23" t="s">
        <v>93</v>
      </c>
      <c r="E2457" s="23" t="s">
        <v>75</v>
      </c>
      <c r="F2457" s="23" t="s">
        <v>357</v>
      </c>
      <c r="G2457" s="23" t="s">
        <v>250</v>
      </c>
      <c r="H2457" s="39">
        <f t="shared" si="152"/>
        <v>1598</v>
      </c>
      <c r="I2457" s="23" t="str">
        <f t="shared" si="153"/>
        <v>Kolkata</v>
      </c>
      <c r="J2457" s="23">
        <f>COUNTIFS(pg_transaction_cleaned!$O:$O,A2457,pg_transaction_cleaned!$F:$F,"CAPTURE")</f>
        <v>1</v>
      </c>
      <c r="K2457" s="39">
        <f>SUMIFS(pg_transaction_cleaned!$H:$H,pg_transaction_cleaned!$O:$O,A2457,pg_transaction_cleaned!$F:$F,"CAPTURE")</f>
        <v>1598</v>
      </c>
      <c r="L2457" s="23">
        <f>COUNTIFS(pg_transaction_cleaned!$O:$O,A2457,pg_transaction_cleaned!$F:$F,"REFUND")</f>
        <v>0</v>
      </c>
      <c r="M2457" s="39">
        <f>SUMIFS(pg_transaction_cleaned!$H:$H,pg_transaction_cleaned!$O:$O,A2457,pg_transaction_cleaned!$F:$F,"REFUND")</f>
        <v>0</v>
      </c>
      <c r="N2457" s="23" t="str">
        <f t="shared" si="154"/>
        <v>OK</v>
      </c>
      <c r="O2457" s="24">
        <f t="shared" si="155"/>
        <v>0</v>
      </c>
    </row>
    <row r="2458" spans="1:15" ht="15" customHeight="1" x14ac:dyDescent="0.3">
      <c r="A2458" s="23" t="s">
        <v>5405</v>
      </c>
      <c r="B2458" s="38">
        <v>46271</v>
      </c>
      <c r="C2458" s="23" t="s">
        <v>5406</v>
      </c>
      <c r="D2458" s="23" t="s">
        <v>90</v>
      </c>
      <c r="E2458" s="23" t="s">
        <v>79</v>
      </c>
      <c r="F2458" s="23" t="s">
        <v>1010</v>
      </c>
      <c r="G2458" s="23" t="s">
        <v>301</v>
      </c>
      <c r="H2458" s="39">
        <f t="shared" si="152"/>
        <v>4498</v>
      </c>
      <c r="I2458" s="23" t="str">
        <f t="shared" si="153"/>
        <v>Ahmedabad</v>
      </c>
      <c r="J2458" s="23">
        <f>COUNTIFS(pg_transaction_cleaned!$O:$O,A2458,pg_transaction_cleaned!$F:$F,"CAPTURE")</f>
        <v>1</v>
      </c>
      <c r="K2458" s="39">
        <f>SUMIFS(pg_transaction_cleaned!$H:$H,pg_transaction_cleaned!$O:$O,A2458,pg_transaction_cleaned!$F:$F,"CAPTURE")</f>
        <v>4498</v>
      </c>
      <c r="L2458" s="23">
        <f>COUNTIFS(pg_transaction_cleaned!$O:$O,A2458,pg_transaction_cleaned!$F:$F,"REFUND")</f>
        <v>1</v>
      </c>
      <c r="M2458" s="39">
        <f>SUMIFS(pg_transaction_cleaned!$H:$H,pg_transaction_cleaned!$O:$O,A2458,pg_transaction_cleaned!$F:$F,"REFUND")</f>
        <v>4498</v>
      </c>
      <c r="N2458" s="23" t="str">
        <f t="shared" si="154"/>
        <v>OK</v>
      </c>
      <c r="O2458" s="24">
        <f t="shared" si="155"/>
        <v>0</v>
      </c>
    </row>
    <row r="2459" spans="1:15" ht="15" customHeight="1" x14ac:dyDescent="0.3">
      <c r="A2459" s="23" t="s">
        <v>5407</v>
      </c>
      <c r="B2459" s="38">
        <v>46270</v>
      </c>
      <c r="C2459" s="23" t="s">
        <v>5408</v>
      </c>
      <c r="D2459" s="23" t="s">
        <v>88</v>
      </c>
      <c r="E2459" s="23" t="s">
        <v>75</v>
      </c>
      <c r="F2459" s="23" t="s">
        <v>291</v>
      </c>
      <c r="G2459" s="23" t="s">
        <v>301</v>
      </c>
      <c r="H2459" s="39">
        <f t="shared" si="152"/>
        <v>3499</v>
      </c>
      <c r="I2459" s="23" t="str">
        <f t="shared" si="153"/>
        <v>Lucknow</v>
      </c>
      <c r="J2459" s="23">
        <f>COUNTIFS(pg_transaction_cleaned!$O:$O,A2459,pg_transaction_cleaned!$F:$F,"CAPTURE")</f>
        <v>1</v>
      </c>
      <c r="K2459" s="39">
        <f>SUMIFS(pg_transaction_cleaned!$H:$H,pg_transaction_cleaned!$O:$O,A2459,pg_transaction_cleaned!$F:$F,"CAPTURE")</f>
        <v>3499</v>
      </c>
      <c r="L2459" s="23">
        <f>COUNTIFS(pg_transaction_cleaned!$O:$O,A2459,pg_transaction_cleaned!$F:$F,"REFUND")</f>
        <v>1</v>
      </c>
      <c r="M2459" s="39">
        <f>SUMIFS(pg_transaction_cleaned!$H:$H,pg_transaction_cleaned!$O:$O,A2459,pg_transaction_cleaned!$F:$F,"REFUND")</f>
        <v>3499</v>
      </c>
      <c r="N2459" s="23" t="str">
        <f t="shared" si="154"/>
        <v>OK</v>
      </c>
      <c r="O2459" s="24">
        <f t="shared" si="155"/>
        <v>0</v>
      </c>
    </row>
    <row r="2460" spans="1:15" ht="15" customHeight="1" x14ac:dyDescent="0.3">
      <c r="A2460" s="23" t="s">
        <v>5409</v>
      </c>
      <c r="B2460" s="38">
        <v>46293</v>
      </c>
      <c r="C2460" s="23" t="s">
        <v>5410</v>
      </c>
      <c r="D2460" s="23" t="s">
        <v>91</v>
      </c>
      <c r="E2460" s="23" t="s">
        <v>77</v>
      </c>
      <c r="F2460" s="23" t="s">
        <v>685</v>
      </c>
      <c r="G2460" s="23" t="s">
        <v>250</v>
      </c>
      <c r="H2460" s="39">
        <f t="shared" si="152"/>
        <v>8797</v>
      </c>
      <c r="I2460" s="23" t="str">
        <f t="shared" si="153"/>
        <v>Pune</v>
      </c>
      <c r="J2460" s="23">
        <f>COUNTIFS(pg_transaction_cleaned!$O:$O,A2460,pg_transaction_cleaned!$F:$F,"CAPTURE")</f>
        <v>1</v>
      </c>
      <c r="K2460" s="39">
        <f>SUMIFS(pg_transaction_cleaned!$H:$H,pg_transaction_cleaned!$O:$O,A2460,pg_transaction_cleaned!$F:$F,"CAPTURE")</f>
        <v>8797</v>
      </c>
      <c r="L2460" s="23">
        <f>COUNTIFS(pg_transaction_cleaned!$O:$O,A2460,pg_transaction_cleaned!$F:$F,"REFUND")</f>
        <v>0</v>
      </c>
      <c r="M2460" s="39">
        <f>SUMIFS(pg_transaction_cleaned!$H:$H,pg_transaction_cleaned!$O:$O,A2460,pg_transaction_cleaned!$F:$F,"REFUND")</f>
        <v>0</v>
      </c>
      <c r="N2460" s="23" t="str">
        <f t="shared" si="154"/>
        <v>OK</v>
      </c>
      <c r="O2460" s="24">
        <f t="shared" si="155"/>
        <v>0</v>
      </c>
    </row>
    <row r="2461" spans="1:15" ht="15" customHeight="1" x14ac:dyDescent="0.3">
      <c r="A2461" s="23" t="s">
        <v>5411</v>
      </c>
      <c r="B2461" s="38">
        <v>46281</v>
      </c>
      <c r="C2461" s="23" t="s">
        <v>5412</v>
      </c>
      <c r="D2461" s="23" t="s">
        <v>88</v>
      </c>
      <c r="E2461" s="23" t="s">
        <v>75</v>
      </c>
      <c r="F2461" s="23" t="s">
        <v>262</v>
      </c>
      <c r="G2461" s="23" t="s">
        <v>250</v>
      </c>
      <c r="H2461" s="39">
        <f t="shared" si="152"/>
        <v>499</v>
      </c>
      <c r="I2461" s="23" t="str">
        <f t="shared" si="153"/>
        <v>Lucknow</v>
      </c>
      <c r="J2461" s="23">
        <f>COUNTIFS(pg_transaction_cleaned!$O:$O,A2461,pg_transaction_cleaned!$F:$F,"CAPTURE")</f>
        <v>1</v>
      </c>
      <c r="K2461" s="39">
        <f>SUMIFS(pg_transaction_cleaned!$H:$H,pg_transaction_cleaned!$O:$O,A2461,pg_transaction_cleaned!$F:$F,"CAPTURE")</f>
        <v>499</v>
      </c>
      <c r="L2461" s="23">
        <f>COUNTIFS(pg_transaction_cleaned!$O:$O,A2461,pg_transaction_cleaned!$F:$F,"REFUND")</f>
        <v>0</v>
      </c>
      <c r="M2461" s="39">
        <f>SUMIFS(pg_transaction_cleaned!$H:$H,pg_transaction_cleaned!$O:$O,A2461,pg_transaction_cleaned!$F:$F,"REFUND")</f>
        <v>0</v>
      </c>
      <c r="N2461" s="23" t="str">
        <f t="shared" si="154"/>
        <v>OK</v>
      </c>
      <c r="O2461" s="24">
        <f t="shared" si="155"/>
        <v>0</v>
      </c>
    </row>
    <row r="2462" spans="1:15" ht="15" customHeight="1" x14ac:dyDescent="0.3">
      <c r="A2462" s="23" t="s">
        <v>5413</v>
      </c>
      <c r="B2462" s="38">
        <v>46281</v>
      </c>
      <c r="C2462" s="23" t="s">
        <v>5414</v>
      </c>
      <c r="D2462" s="23" t="s">
        <v>94</v>
      </c>
      <c r="E2462" s="23" t="s">
        <v>75</v>
      </c>
      <c r="F2462" s="23" t="s">
        <v>329</v>
      </c>
      <c r="G2462" s="23" t="s">
        <v>250</v>
      </c>
      <c r="H2462" s="39">
        <f t="shared" si="152"/>
        <v>599</v>
      </c>
      <c r="I2462" s="23" t="str">
        <f t="shared" si="153"/>
        <v>Chennai</v>
      </c>
      <c r="J2462" s="23">
        <f>COUNTIFS(pg_transaction_cleaned!$O:$O,A2462,pg_transaction_cleaned!$F:$F,"CAPTURE")</f>
        <v>1</v>
      </c>
      <c r="K2462" s="39">
        <f>SUMIFS(pg_transaction_cleaned!$H:$H,pg_transaction_cleaned!$O:$O,A2462,pg_transaction_cleaned!$F:$F,"CAPTURE")</f>
        <v>599</v>
      </c>
      <c r="L2462" s="23">
        <f>COUNTIFS(pg_transaction_cleaned!$O:$O,A2462,pg_transaction_cleaned!$F:$F,"REFUND")</f>
        <v>0</v>
      </c>
      <c r="M2462" s="39">
        <f>SUMIFS(pg_transaction_cleaned!$H:$H,pg_transaction_cleaned!$O:$O,A2462,pg_transaction_cleaned!$F:$F,"REFUND")</f>
        <v>0</v>
      </c>
      <c r="N2462" s="23" t="str">
        <f t="shared" si="154"/>
        <v>OK</v>
      </c>
      <c r="O2462" s="24">
        <f t="shared" si="155"/>
        <v>0</v>
      </c>
    </row>
    <row r="2463" spans="1:15" ht="15" customHeight="1" x14ac:dyDescent="0.3">
      <c r="A2463" s="23" t="s">
        <v>5415</v>
      </c>
      <c r="B2463" s="38">
        <v>46288</v>
      </c>
      <c r="C2463" s="23" t="s">
        <v>5416</v>
      </c>
      <c r="D2463" s="23" t="s">
        <v>90</v>
      </c>
      <c r="E2463" s="23" t="s">
        <v>75</v>
      </c>
      <c r="F2463" s="23" t="s">
        <v>297</v>
      </c>
      <c r="G2463" s="23" t="s">
        <v>250</v>
      </c>
      <c r="H2463" s="39">
        <f t="shared" si="152"/>
        <v>4999</v>
      </c>
      <c r="I2463" s="23" t="str">
        <f t="shared" si="153"/>
        <v>Ahmedabad</v>
      </c>
      <c r="J2463" s="23">
        <f>COUNTIFS(pg_transaction_cleaned!$O:$O,A2463,pg_transaction_cleaned!$F:$F,"CAPTURE")</f>
        <v>1</v>
      </c>
      <c r="K2463" s="39">
        <f>SUMIFS(pg_transaction_cleaned!$H:$H,pg_transaction_cleaned!$O:$O,A2463,pg_transaction_cleaned!$F:$F,"CAPTURE")</f>
        <v>4999</v>
      </c>
      <c r="L2463" s="23">
        <f>COUNTIFS(pg_transaction_cleaned!$O:$O,A2463,pg_transaction_cleaned!$F:$F,"REFUND")</f>
        <v>0</v>
      </c>
      <c r="M2463" s="39">
        <f>SUMIFS(pg_transaction_cleaned!$H:$H,pg_transaction_cleaned!$O:$O,A2463,pg_transaction_cleaned!$F:$F,"REFUND")</f>
        <v>0</v>
      </c>
      <c r="N2463" s="23" t="str">
        <f t="shared" si="154"/>
        <v>OK</v>
      </c>
      <c r="O2463" s="24">
        <f t="shared" si="155"/>
        <v>0</v>
      </c>
    </row>
    <row r="2464" spans="1:15" ht="15" customHeight="1" x14ac:dyDescent="0.3">
      <c r="A2464" s="23" t="s">
        <v>5417</v>
      </c>
      <c r="B2464" s="38">
        <v>46290</v>
      </c>
      <c r="C2464" s="23" t="s">
        <v>5418</v>
      </c>
      <c r="D2464" s="23" t="s">
        <v>92</v>
      </c>
      <c r="E2464" s="23" t="s">
        <v>79</v>
      </c>
      <c r="F2464" s="23" t="s">
        <v>824</v>
      </c>
      <c r="G2464" s="23" t="s">
        <v>250</v>
      </c>
      <c r="H2464" s="39">
        <f t="shared" si="152"/>
        <v>1198</v>
      </c>
      <c r="I2464" s="23" t="str">
        <f t="shared" si="153"/>
        <v>Hyderabad</v>
      </c>
      <c r="J2464" s="23">
        <f>COUNTIFS(pg_transaction_cleaned!$O:$O,A2464,pg_transaction_cleaned!$F:$F,"CAPTURE")</f>
        <v>1</v>
      </c>
      <c r="K2464" s="39">
        <f>SUMIFS(pg_transaction_cleaned!$H:$H,pg_transaction_cleaned!$O:$O,A2464,pg_transaction_cleaned!$F:$F,"CAPTURE")</f>
        <v>1198</v>
      </c>
      <c r="L2464" s="23">
        <f>COUNTIFS(pg_transaction_cleaned!$O:$O,A2464,pg_transaction_cleaned!$F:$F,"REFUND")</f>
        <v>0</v>
      </c>
      <c r="M2464" s="39">
        <f>SUMIFS(pg_transaction_cleaned!$H:$H,pg_transaction_cleaned!$O:$O,A2464,pg_transaction_cleaned!$F:$F,"REFUND")</f>
        <v>0</v>
      </c>
      <c r="N2464" s="23" t="str">
        <f t="shared" si="154"/>
        <v>OK</v>
      </c>
      <c r="O2464" s="24">
        <f t="shared" si="155"/>
        <v>0</v>
      </c>
    </row>
    <row r="2465" spans="1:15" ht="15" customHeight="1" x14ac:dyDescent="0.3">
      <c r="A2465" s="23" t="s">
        <v>5419</v>
      </c>
      <c r="B2465" s="38">
        <v>46282</v>
      </c>
      <c r="C2465" s="23" t="s">
        <v>892</v>
      </c>
      <c r="D2465" s="23" t="s">
        <v>87</v>
      </c>
      <c r="E2465" s="23" t="s">
        <v>79</v>
      </c>
      <c r="F2465" s="23" t="s">
        <v>288</v>
      </c>
      <c r="G2465" s="23" t="s">
        <v>250</v>
      </c>
      <c r="H2465" s="39">
        <f t="shared" si="152"/>
        <v>4298</v>
      </c>
      <c r="I2465" s="23" t="str">
        <f t="shared" si="153"/>
        <v>Mumbai</v>
      </c>
      <c r="J2465" s="23">
        <f>COUNTIFS(pg_transaction_cleaned!$O:$O,A2465,pg_transaction_cleaned!$F:$F,"CAPTURE")</f>
        <v>1</v>
      </c>
      <c r="K2465" s="39">
        <f>SUMIFS(pg_transaction_cleaned!$H:$H,pg_transaction_cleaned!$O:$O,A2465,pg_transaction_cleaned!$F:$F,"CAPTURE")</f>
        <v>4298</v>
      </c>
      <c r="L2465" s="23">
        <f>COUNTIFS(pg_transaction_cleaned!$O:$O,A2465,pg_transaction_cleaned!$F:$F,"REFUND")</f>
        <v>0</v>
      </c>
      <c r="M2465" s="39">
        <f>SUMIFS(pg_transaction_cleaned!$H:$H,pg_transaction_cleaned!$O:$O,A2465,pg_transaction_cleaned!$F:$F,"REFUND")</f>
        <v>0</v>
      </c>
      <c r="N2465" s="23" t="str">
        <f t="shared" si="154"/>
        <v>OK</v>
      </c>
      <c r="O2465" s="24">
        <f t="shared" si="155"/>
        <v>0</v>
      </c>
    </row>
    <row r="2466" spans="1:15" ht="15" customHeight="1" x14ac:dyDescent="0.3">
      <c r="A2466" s="23" t="s">
        <v>5420</v>
      </c>
      <c r="B2466" s="38">
        <v>46280</v>
      </c>
      <c r="C2466" s="23" t="s">
        <v>5421</v>
      </c>
      <c r="D2466" s="23" t="s">
        <v>92</v>
      </c>
      <c r="E2466" s="23" t="s">
        <v>79</v>
      </c>
      <c r="F2466" s="23" t="s">
        <v>680</v>
      </c>
      <c r="G2466" s="23" t="s">
        <v>250</v>
      </c>
      <c r="H2466" s="39">
        <f t="shared" si="152"/>
        <v>5097</v>
      </c>
      <c r="I2466" s="23" t="str">
        <f t="shared" si="153"/>
        <v>Hyderabad</v>
      </c>
      <c r="J2466" s="23">
        <f>COUNTIFS(pg_transaction_cleaned!$O:$O,A2466,pg_transaction_cleaned!$F:$F,"CAPTURE")</f>
        <v>1</v>
      </c>
      <c r="K2466" s="39">
        <f>SUMIFS(pg_transaction_cleaned!$H:$H,pg_transaction_cleaned!$O:$O,A2466,pg_transaction_cleaned!$F:$F,"CAPTURE")</f>
        <v>5097</v>
      </c>
      <c r="L2466" s="23">
        <f>COUNTIFS(pg_transaction_cleaned!$O:$O,A2466,pg_transaction_cleaned!$F:$F,"REFUND")</f>
        <v>0</v>
      </c>
      <c r="M2466" s="39">
        <f>SUMIFS(pg_transaction_cleaned!$H:$H,pg_transaction_cleaned!$O:$O,A2466,pg_transaction_cleaned!$F:$F,"REFUND")</f>
        <v>0</v>
      </c>
      <c r="N2466" s="23" t="str">
        <f t="shared" si="154"/>
        <v>OK</v>
      </c>
      <c r="O2466" s="24">
        <f t="shared" si="155"/>
        <v>0</v>
      </c>
    </row>
    <row r="2467" spans="1:15" ht="15" customHeight="1" x14ac:dyDescent="0.3">
      <c r="A2467" s="23" t="s">
        <v>5422</v>
      </c>
      <c r="B2467" s="38">
        <v>46276</v>
      </c>
      <c r="C2467" s="23" t="s">
        <v>5423</v>
      </c>
      <c r="D2467" s="23" t="s">
        <v>90</v>
      </c>
      <c r="E2467" s="23" t="s">
        <v>77</v>
      </c>
      <c r="F2467" s="23" t="s">
        <v>268</v>
      </c>
      <c r="G2467" s="23" t="s">
        <v>250</v>
      </c>
      <c r="H2467" s="39">
        <f t="shared" si="152"/>
        <v>1299</v>
      </c>
      <c r="I2467" s="23" t="str">
        <f t="shared" si="153"/>
        <v>Ahmedabad</v>
      </c>
      <c r="J2467" s="23">
        <f>COUNTIFS(pg_transaction_cleaned!$O:$O,A2467,pg_transaction_cleaned!$F:$F,"CAPTURE")</f>
        <v>1</v>
      </c>
      <c r="K2467" s="39">
        <f>SUMIFS(pg_transaction_cleaned!$H:$H,pg_transaction_cleaned!$O:$O,A2467,pg_transaction_cleaned!$F:$F,"CAPTURE")</f>
        <v>1299</v>
      </c>
      <c r="L2467" s="23">
        <f>COUNTIFS(pg_transaction_cleaned!$O:$O,A2467,pg_transaction_cleaned!$F:$F,"REFUND")</f>
        <v>0</v>
      </c>
      <c r="M2467" s="39">
        <f>SUMIFS(pg_transaction_cleaned!$H:$H,pg_transaction_cleaned!$O:$O,A2467,pg_transaction_cleaned!$F:$F,"REFUND")</f>
        <v>0</v>
      </c>
      <c r="N2467" s="23" t="str">
        <f t="shared" si="154"/>
        <v>OK</v>
      </c>
      <c r="O2467" s="24">
        <f t="shared" si="155"/>
        <v>0</v>
      </c>
    </row>
    <row r="2468" spans="1:15" ht="15" customHeight="1" x14ac:dyDescent="0.3">
      <c r="A2468" s="23" t="s">
        <v>5424</v>
      </c>
      <c r="B2468" s="38">
        <v>46292</v>
      </c>
      <c r="C2468" s="23" t="s">
        <v>5425</v>
      </c>
      <c r="D2468" s="23" t="s">
        <v>95</v>
      </c>
      <c r="E2468" s="23" t="s">
        <v>77</v>
      </c>
      <c r="F2468" s="23" t="s">
        <v>337</v>
      </c>
      <c r="G2468" s="23" t="s">
        <v>250</v>
      </c>
      <c r="H2468" s="39">
        <f t="shared" si="152"/>
        <v>3998</v>
      </c>
      <c r="I2468" s="23" t="str">
        <f t="shared" si="153"/>
        <v>Bengaluru</v>
      </c>
      <c r="J2468" s="23">
        <f>COUNTIFS(pg_transaction_cleaned!$O:$O,A2468,pg_transaction_cleaned!$F:$F,"CAPTURE")</f>
        <v>1</v>
      </c>
      <c r="K2468" s="39">
        <f>SUMIFS(pg_transaction_cleaned!$H:$H,pg_transaction_cleaned!$O:$O,A2468,pg_transaction_cleaned!$F:$F,"CAPTURE")</f>
        <v>3998</v>
      </c>
      <c r="L2468" s="23">
        <f>COUNTIFS(pg_transaction_cleaned!$O:$O,A2468,pg_transaction_cleaned!$F:$F,"REFUND")</f>
        <v>0</v>
      </c>
      <c r="M2468" s="39">
        <f>SUMIFS(pg_transaction_cleaned!$H:$H,pg_transaction_cleaned!$O:$O,A2468,pg_transaction_cleaned!$F:$F,"REFUND")</f>
        <v>0</v>
      </c>
      <c r="N2468" s="23" t="str">
        <f t="shared" si="154"/>
        <v>OK</v>
      </c>
      <c r="O2468" s="24">
        <f t="shared" si="155"/>
        <v>0</v>
      </c>
    </row>
    <row r="2469" spans="1:15" ht="15" customHeight="1" x14ac:dyDescent="0.3">
      <c r="A2469" s="23" t="s">
        <v>5426</v>
      </c>
      <c r="B2469" s="38">
        <v>46280</v>
      </c>
      <c r="C2469" s="23" t="s">
        <v>5427</v>
      </c>
      <c r="D2469" s="23" t="s">
        <v>88</v>
      </c>
      <c r="E2469" s="23" t="s">
        <v>81</v>
      </c>
      <c r="F2469" s="23" t="s">
        <v>475</v>
      </c>
      <c r="G2469" s="23" t="s">
        <v>365</v>
      </c>
      <c r="H2469" s="39">
        <f t="shared" si="152"/>
        <v>799</v>
      </c>
      <c r="I2469" s="23" t="str">
        <f t="shared" si="153"/>
        <v>Lucknow</v>
      </c>
      <c r="J2469" s="23">
        <f>COUNTIFS(pg_transaction_cleaned!$O:$O,A2469,pg_transaction_cleaned!$F:$F,"CAPTURE")</f>
        <v>0</v>
      </c>
      <c r="K2469" s="39">
        <f>SUMIFS(pg_transaction_cleaned!$H:$H,pg_transaction_cleaned!$O:$O,A2469,pg_transaction_cleaned!$F:$F,"CAPTURE")</f>
        <v>0</v>
      </c>
      <c r="L2469" s="23">
        <f>COUNTIFS(pg_transaction_cleaned!$O:$O,A2469,pg_transaction_cleaned!$F:$F,"REFUND")</f>
        <v>0</v>
      </c>
      <c r="M2469" s="39">
        <f>SUMIFS(pg_transaction_cleaned!$H:$H,pg_transaction_cleaned!$O:$O,A2469,pg_transaction_cleaned!$F:$F,"REFUND")</f>
        <v>0</v>
      </c>
      <c r="N2469" s="23" t="str">
        <f t="shared" si="154"/>
        <v>OK</v>
      </c>
      <c r="O2469" s="24">
        <f t="shared" si="155"/>
        <v>0</v>
      </c>
    </row>
    <row r="2470" spans="1:15" ht="15" customHeight="1" x14ac:dyDescent="0.3">
      <c r="A2470" s="23" t="s">
        <v>5428</v>
      </c>
      <c r="B2470" s="38">
        <v>46274</v>
      </c>
      <c r="C2470" s="23" t="s">
        <v>5429</v>
      </c>
      <c r="D2470" s="23" t="s">
        <v>95</v>
      </c>
      <c r="E2470" s="23" t="s">
        <v>75</v>
      </c>
      <c r="F2470" s="23" t="s">
        <v>451</v>
      </c>
      <c r="G2470" s="23" t="s">
        <v>250</v>
      </c>
      <c r="H2470" s="39">
        <f t="shared" si="152"/>
        <v>1098</v>
      </c>
      <c r="I2470" s="23" t="str">
        <f t="shared" si="153"/>
        <v>Bengaluru</v>
      </c>
      <c r="J2470" s="23">
        <f>COUNTIFS(pg_transaction_cleaned!$O:$O,A2470,pg_transaction_cleaned!$F:$F,"CAPTURE")</f>
        <v>1</v>
      </c>
      <c r="K2470" s="39">
        <f>SUMIFS(pg_transaction_cleaned!$H:$H,pg_transaction_cleaned!$O:$O,A2470,pg_transaction_cleaned!$F:$F,"CAPTURE")</f>
        <v>1098</v>
      </c>
      <c r="L2470" s="23">
        <f>COUNTIFS(pg_transaction_cleaned!$O:$O,A2470,pg_transaction_cleaned!$F:$F,"REFUND")</f>
        <v>0</v>
      </c>
      <c r="M2470" s="39">
        <f>SUMIFS(pg_transaction_cleaned!$H:$H,pg_transaction_cleaned!$O:$O,A2470,pg_transaction_cleaned!$F:$F,"REFUND")</f>
        <v>0</v>
      </c>
      <c r="N2470" s="23" t="str">
        <f t="shared" si="154"/>
        <v>OK</v>
      </c>
      <c r="O2470" s="24">
        <f t="shared" si="155"/>
        <v>0</v>
      </c>
    </row>
    <row r="2471" spans="1:15" ht="15" customHeight="1" x14ac:dyDescent="0.3">
      <c r="A2471" s="23" t="s">
        <v>5430</v>
      </c>
      <c r="B2471" s="38">
        <v>46278</v>
      </c>
      <c r="C2471" s="23" t="s">
        <v>5431</v>
      </c>
      <c r="D2471" s="23" t="s">
        <v>89</v>
      </c>
      <c r="E2471" s="23" t="s">
        <v>75</v>
      </c>
      <c r="F2471" s="23" t="s">
        <v>268</v>
      </c>
      <c r="G2471" s="23" t="s">
        <v>250</v>
      </c>
      <c r="H2471" s="39">
        <f t="shared" si="152"/>
        <v>1299</v>
      </c>
      <c r="I2471" s="23" t="str">
        <f t="shared" si="153"/>
        <v>Jaipur</v>
      </c>
      <c r="J2471" s="23">
        <f>COUNTIFS(pg_transaction_cleaned!$O:$O,A2471,pg_transaction_cleaned!$F:$F,"CAPTURE")</f>
        <v>1</v>
      </c>
      <c r="K2471" s="39">
        <f>SUMIFS(pg_transaction_cleaned!$H:$H,pg_transaction_cleaned!$O:$O,A2471,pg_transaction_cleaned!$F:$F,"CAPTURE")</f>
        <v>1299</v>
      </c>
      <c r="L2471" s="23">
        <f>COUNTIFS(pg_transaction_cleaned!$O:$O,A2471,pg_transaction_cleaned!$F:$F,"REFUND")</f>
        <v>0</v>
      </c>
      <c r="M2471" s="39">
        <f>SUMIFS(pg_transaction_cleaned!$H:$H,pg_transaction_cleaned!$O:$O,A2471,pg_transaction_cleaned!$F:$F,"REFUND")</f>
        <v>0</v>
      </c>
      <c r="N2471" s="23" t="str">
        <f t="shared" si="154"/>
        <v>OK</v>
      </c>
      <c r="O2471" s="24">
        <f t="shared" si="155"/>
        <v>0</v>
      </c>
    </row>
    <row r="2472" spans="1:15" ht="15" customHeight="1" x14ac:dyDescent="0.3">
      <c r="A2472" s="23" t="s">
        <v>5432</v>
      </c>
      <c r="B2472" s="38">
        <v>46292</v>
      </c>
      <c r="C2472" s="23" t="s">
        <v>5433</v>
      </c>
      <c r="D2472" s="23" t="s">
        <v>92</v>
      </c>
      <c r="E2472" s="23" t="s">
        <v>77</v>
      </c>
      <c r="F2472" s="23" t="s">
        <v>357</v>
      </c>
      <c r="G2472" s="23" t="s">
        <v>250</v>
      </c>
      <c r="H2472" s="39">
        <f t="shared" si="152"/>
        <v>1598</v>
      </c>
      <c r="I2472" s="23" t="str">
        <f t="shared" si="153"/>
        <v>Hyderabad</v>
      </c>
      <c r="J2472" s="23">
        <f>COUNTIFS(pg_transaction_cleaned!$O:$O,A2472,pg_transaction_cleaned!$F:$F,"CAPTURE")</f>
        <v>1</v>
      </c>
      <c r="K2472" s="39">
        <f>SUMIFS(pg_transaction_cleaned!$H:$H,pg_transaction_cleaned!$O:$O,A2472,pg_transaction_cleaned!$F:$F,"CAPTURE")</f>
        <v>1598</v>
      </c>
      <c r="L2472" s="23">
        <f>COUNTIFS(pg_transaction_cleaned!$O:$O,A2472,pg_transaction_cleaned!$F:$F,"REFUND")</f>
        <v>0</v>
      </c>
      <c r="M2472" s="39">
        <f>SUMIFS(pg_transaction_cleaned!$H:$H,pg_transaction_cleaned!$O:$O,A2472,pg_transaction_cleaned!$F:$F,"REFUND")</f>
        <v>0</v>
      </c>
      <c r="N2472" s="23" t="str">
        <f t="shared" si="154"/>
        <v>OK</v>
      </c>
      <c r="O2472" s="24">
        <f t="shared" si="155"/>
        <v>0</v>
      </c>
    </row>
    <row r="2473" spans="1:15" ht="15" customHeight="1" x14ac:dyDescent="0.3">
      <c r="A2473" s="23" t="s">
        <v>5434</v>
      </c>
      <c r="B2473" s="38">
        <v>46290</v>
      </c>
      <c r="C2473" s="23" t="s">
        <v>2997</v>
      </c>
      <c r="D2473" s="23"/>
      <c r="E2473" s="23" t="s">
        <v>79</v>
      </c>
      <c r="F2473" s="23" t="s">
        <v>259</v>
      </c>
      <c r="G2473" s="23" t="s">
        <v>250</v>
      </c>
      <c r="H2473" s="39">
        <f t="shared" si="152"/>
        <v>3298</v>
      </c>
      <c r="I2473" s="23" t="str">
        <f t="shared" si="153"/>
        <v>Unknown</v>
      </c>
      <c r="J2473" s="23">
        <f>COUNTIFS(pg_transaction_cleaned!$O:$O,A2473,pg_transaction_cleaned!$F:$F,"CAPTURE")</f>
        <v>1</v>
      </c>
      <c r="K2473" s="39">
        <f>SUMIFS(pg_transaction_cleaned!$H:$H,pg_transaction_cleaned!$O:$O,A2473,pg_transaction_cleaned!$F:$F,"CAPTURE")</f>
        <v>3298</v>
      </c>
      <c r="L2473" s="23">
        <f>COUNTIFS(pg_transaction_cleaned!$O:$O,A2473,pg_transaction_cleaned!$F:$F,"REFUND")</f>
        <v>0</v>
      </c>
      <c r="M2473" s="39">
        <f>SUMIFS(pg_transaction_cleaned!$H:$H,pg_transaction_cleaned!$O:$O,A2473,pg_transaction_cleaned!$F:$F,"REFUND")</f>
        <v>0</v>
      </c>
      <c r="N2473" s="23" t="str">
        <f t="shared" si="154"/>
        <v>OK</v>
      </c>
      <c r="O2473" s="24">
        <f t="shared" si="155"/>
        <v>0</v>
      </c>
    </row>
    <row r="2474" spans="1:15" ht="15" customHeight="1" x14ac:dyDescent="0.3">
      <c r="A2474" s="23" t="s">
        <v>5435</v>
      </c>
      <c r="B2474" s="38">
        <v>46275</v>
      </c>
      <c r="C2474" s="23" t="s">
        <v>5436</v>
      </c>
      <c r="D2474" s="23" t="s">
        <v>94</v>
      </c>
      <c r="E2474" s="23" t="s">
        <v>77</v>
      </c>
      <c r="F2474" s="23" t="s">
        <v>310</v>
      </c>
      <c r="G2474" s="23" t="s">
        <v>250</v>
      </c>
      <c r="H2474" s="39">
        <f t="shared" si="152"/>
        <v>7999</v>
      </c>
      <c r="I2474" s="23" t="str">
        <f t="shared" si="153"/>
        <v>Chennai</v>
      </c>
      <c r="J2474" s="23">
        <f>COUNTIFS(pg_transaction_cleaned!$O:$O,A2474,pg_transaction_cleaned!$F:$F,"CAPTURE")</f>
        <v>1</v>
      </c>
      <c r="K2474" s="39">
        <f>SUMIFS(pg_transaction_cleaned!$H:$H,pg_transaction_cleaned!$O:$O,A2474,pg_transaction_cleaned!$F:$F,"CAPTURE")</f>
        <v>7999</v>
      </c>
      <c r="L2474" s="23">
        <f>COUNTIFS(pg_transaction_cleaned!$O:$O,A2474,pg_transaction_cleaned!$F:$F,"REFUND")</f>
        <v>0</v>
      </c>
      <c r="M2474" s="39">
        <f>SUMIFS(pg_transaction_cleaned!$H:$H,pg_transaction_cleaned!$O:$O,A2474,pg_transaction_cleaned!$F:$F,"REFUND")</f>
        <v>0</v>
      </c>
      <c r="N2474" s="23" t="str">
        <f t="shared" si="154"/>
        <v>OK</v>
      </c>
      <c r="O2474" s="24">
        <f t="shared" si="155"/>
        <v>0</v>
      </c>
    </row>
    <row r="2475" spans="1:15" ht="15" customHeight="1" x14ac:dyDescent="0.3">
      <c r="A2475" s="23" t="s">
        <v>5437</v>
      </c>
      <c r="B2475" s="38">
        <v>46271</v>
      </c>
      <c r="C2475" s="23" t="s">
        <v>5438</v>
      </c>
      <c r="D2475" s="23"/>
      <c r="E2475" s="23" t="s">
        <v>75</v>
      </c>
      <c r="F2475" s="23" t="s">
        <v>567</v>
      </c>
      <c r="G2475" s="23" t="s">
        <v>250</v>
      </c>
      <c r="H2475" s="39">
        <f t="shared" si="152"/>
        <v>3598</v>
      </c>
      <c r="I2475" s="23" t="str">
        <f t="shared" si="153"/>
        <v>Unknown</v>
      </c>
      <c r="J2475" s="23">
        <f>COUNTIFS(pg_transaction_cleaned!$O:$O,A2475,pg_transaction_cleaned!$F:$F,"CAPTURE")</f>
        <v>1</v>
      </c>
      <c r="K2475" s="39">
        <f>SUMIFS(pg_transaction_cleaned!$H:$H,pg_transaction_cleaned!$O:$O,A2475,pg_transaction_cleaned!$F:$F,"CAPTURE")</f>
        <v>3598</v>
      </c>
      <c r="L2475" s="23">
        <f>COUNTIFS(pg_transaction_cleaned!$O:$O,A2475,pg_transaction_cleaned!$F:$F,"REFUND")</f>
        <v>0</v>
      </c>
      <c r="M2475" s="39">
        <f>SUMIFS(pg_transaction_cleaned!$H:$H,pg_transaction_cleaned!$O:$O,A2475,pg_transaction_cleaned!$F:$F,"REFUND")</f>
        <v>0</v>
      </c>
      <c r="N2475" s="23" t="str">
        <f t="shared" si="154"/>
        <v>OK</v>
      </c>
      <c r="O2475" s="24">
        <f t="shared" si="155"/>
        <v>0</v>
      </c>
    </row>
    <row r="2476" spans="1:15" ht="15" customHeight="1" x14ac:dyDescent="0.3">
      <c r="A2476" s="23" t="s">
        <v>5439</v>
      </c>
      <c r="B2476" s="38">
        <v>46281</v>
      </c>
      <c r="C2476" s="23" t="s">
        <v>5440</v>
      </c>
      <c r="D2476" s="23" t="s">
        <v>86</v>
      </c>
      <c r="E2476" s="23" t="s">
        <v>79</v>
      </c>
      <c r="F2476" s="23" t="s">
        <v>393</v>
      </c>
      <c r="G2476" s="23" t="s">
        <v>250</v>
      </c>
      <c r="H2476" s="39">
        <f t="shared" si="152"/>
        <v>349</v>
      </c>
      <c r="I2476" s="23" t="str">
        <f t="shared" si="153"/>
        <v>Delhi</v>
      </c>
      <c r="J2476" s="23">
        <f>COUNTIFS(pg_transaction_cleaned!$O:$O,A2476,pg_transaction_cleaned!$F:$F,"CAPTURE")</f>
        <v>1</v>
      </c>
      <c r="K2476" s="39">
        <f>SUMIFS(pg_transaction_cleaned!$H:$H,pg_transaction_cleaned!$O:$O,A2476,pg_transaction_cleaned!$F:$F,"CAPTURE")</f>
        <v>349</v>
      </c>
      <c r="L2476" s="23">
        <f>COUNTIFS(pg_transaction_cleaned!$O:$O,A2476,pg_transaction_cleaned!$F:$F,"REFUND")</f>
        <v>0</v>
      </c>
      <c r="M2476" s="39">
        <f>SUMIFS(pg_transaction_cleaned!$H:$H,pg_transaction_cleaned!$O:$O,A2476,pg_transaction_cleaned!$F:$F,"REFUND")</f>
        <v>0</v>
      </c>
      <c r="N2476" s="23" t="str">
        <f t="shared" si="154"/>
        <v>OK</v>
      </c>
      <c r="O2476" s="24">
        <f t="shared" si="155"/>
        <v>0</v>
      </c>
    </row>
    <row r="2477" spans="1:15" ht="15" customHeight="1" x14ac:dyDescent="0.3">
      <c r="A2477" s="23" t="s">
        <v>5441</v>
      </c>
      <c r="B2477" s="38">
        <v>46287</v>
      </c>
      <c r="C2477" s="23" t="s">
        <v>5442</v>
      </c>
      <c r="D2477" s="23" t="s">
        <v>95</v>
      </c>
      <c r="E2477" s="23" t="s">
        <v>75</v>
      </c>
      <c r="F2477" s="23" t="s">
        <v>396</v>
      </c>
      <c r="G2477" s="23" t="s">
        <v>250</v>
      </c>
      <c r="H2477" s="39">
        <f t="shared" si="152"/>
        <v>2999</v>
      </c>
      <c r="I2477" s="23" t="str">
        <f t="shared" si="153"/>
        <v>Bengaluru</v>
      </c>
      <c r="J2477" s="23">
        <f>COUNTIFS(pg_transaction_cleaned!$O:$O,A2477,pg_transaction_cleaned!$F:$F,"CAPTURE")</f>
        <v>1</v>
      </c>
      <c r="K2477" s="39">
        <f>SUMIFS(pg_transaction_cleaned!$H:$H,pg_transaction_cleaned!$O:$O,A2477,pg_transaction_cleaned!$F:$F,"CAPTURE")</f>
        <v>2999</v>
      </c>
      <c r="L2477" s="23">
        <f>COUNTIFS(pg_transaction_cleaned!$O:$O,A2477,pg_transaction_cleaned!$F:$F,"REFUND")</f>
        <v>0</v>
      </c>
      <c r="M2477" s="39">
        <f>SUMIFS(pg_transaction_cleaned!$H:$H,pg_transaction_cleaned!$O:$O,A2477,pg_transaction_cleaned!$F:$F,"REFUND")</f>
        <v>0</v>
      </c>
      <c r="N2477" s="23" t="str">
        <f t="shared" si="154"/>
        <v>OK</v>
      </c>
      <c r="O2477" s="24">
        <f t="shared" si="155"/>
        <v>0</v>
      </c>
    </row>
    <row r="2478" spans="1:15" ht="15" customHeight="1" x14ac:dyDescent="0.3">
      <c r="A2478" s="23" t="s">
        <v>5443</v>
      </c>
      <c r="B2478" s="38">
        <v>46289</v>
      </c>
      <c r="C2478" s="23" t="s">
        <v>5444</v>
      </c>
      <c r="D2478" s="23" t="s">
        <v>89</v>
      </c>
      <c r="E2478" s="23" t="s">
        <v>77</v>
      </c>
      <c r="F2478" s="23" t="s">
        <v>265</v>
      </c>
      <c r="G2478" s="23" t="s">
        <v>250</v>
      </c>
      <c r="H2478" s="39">
        <f t="shared" si="152"/>
        <v>999</v>
      </c>
      <c r="I2478" s="23" t="str">
        <f t="shared" si="153"/>
        <v>Jaipur</v>
      </c>
      <c r="J2478" s="23">
        <f>COUNTIFS(pg_transaction_cleaned!$O:$O,A2478,pg_transaction_cleaned!$F:$F,"CAPTURE")</f>
        <v>1</v>
      </c>
      <c r="K2478" s="39">
        <f>SUMIFS(pg_transaction_cleaned!$H:$H,pg_transaction_cleaned!$O:$O,A2478,pg_transaction_cleaned!$F:$F,"CAPTURE")</f>
        <v>999</v>
      </c>
      <c r="L2478" s="23">
        <f>COUNTIFS(pg_transaction_cleaned!$O:$O,A2478,pg_transaction_cleaned!$F:$F,"REFUND")</f>
        <v>0</v>
      </c>
      <c r="M2478" s="39">
        <f>SUMIFS(pg_transaction_cleaned!$H:$H,pg_transaction_cleaned!$O:$O,A2478,pg_transaction_cleaned!$F:$F,"REFUND")</f>
        <v>0</v>
      </c>
      <c r="N2478" s="23" t="str">
        <f t="shared" si="154"/>
        <v>OK</v>
      </c>
      <c r="O2478" s="24">
        <f t="shared" si="155"/>
        <v>0</v>
      </c>
    </row>
    <row r="2479" spans="1:15" ht="15" customHeight="1" x14ac:dyDescent="0.3">
      <c r="A2479" s="23" t="s">
        <v>5445</v>
      </c>
      <c r="B2479" s="38">
        <v>46288</v>
      </c>
      <c r="C2479" s="23" t="s">
        <v>5446</v>
      </c>
      <c r="D2479" s="23" t="s">
        <v>87</v>
      </c>
      <c r="E2479" s="23" t="s">
        <v>75</v>
      </c>
      <c r="F2479" s="23" t="s">
        <v>429</v>
      </c>
      <c r="G2479" s="23" t="s">
        <v>250</v>
      </c>
      <c r="H2479" s="39">
        <f t="shared" si="152"/>
        <v>3348</v>
      </c>
      <c r="I2479" s="23" t="str">
        <f t="shared" si="153"/>
        <v>Mumbai</v>
      </c>
      <c r="J2479" s="23">
        <f>COUNTIFS(pg_transaction_cleaned!$O:$O,A2479,pg_transaction_cleaned!$F:$F,"CAPTURE")</f>
        <v>1</v>
      </c>
      <c r="K2479" s="39">
        <f>SUMIFS(pg_transaction_cleaned!$H:$H,pg_transaction_cleaned!$O:$O,A2479,pg_transaction_cleaned!$F:$F,"CAPTURE")</f>
        <v>3348</v>
      </c>
      <c r="L2479" s="23">
        <f>COUNTIFS(pg_transaction_cleaned!$O:$O,A2479,pg_transaction_cleaned!$F:$F,"REFUND")</f>
        <v>0</v>
      </c>
      <c r="M2479" s="39">
        <f>SUMIFS(pg_transaction_cleaned!$H:$H,pg_transaction_cleaned!$O:$O,A2479,pg_transaction_cleaned!$F:$F,"REFUND")</f>
        <v>0</v>
      </c>
      <c r="N2479" s="23" t="str">
        <f t="shared" si="154"/>
        <v>OK</v>
      </c>
      <c r="O2479" s="24">
        <f t="shared" si="155"/>
        <v>0</v>
      </c>
    </row>
    <row r="2480" spans="1:15" ht="15" customHeight="1" x14ac:dyDescent="0.3">
      <c r="A2480" s="23" t="s">
        <v>5447</v>
      </c>
      <c r="B2480" s="38">
        <v>46273</v>
      </c>
      <c r="C2480" s="23" t="s">
        <v>5448</v>
      </c>
      <c r="D2480" s="23" t="s">
        <v>86</v>
      </c>
      <c r="E2480" s="23" t="s">
        <v>79</v>
      </c>
      <c r="F2480" s="23" t="s">
        <v>297</v>
      </c>
      <c r="G2480" s="23" t="s">
        <v>250</v>
      </c>
      <c r="H2480" s="39">
        <f t="shared" si="152"/>
        <v>4999</v>
      </c>
      <c r="I2480" s="23" t="str">
        <f t="shared" si="153"/>
        <v>Delhi</v>
      </c>
      <c r="J2480" s="23">
        <f>COUNTIFS(pg_transaction_cleaned!$O:$O,A2480,pg_transaction_cleaned!$F:$F,"CAPTURE")</f>
        <v>1</v>
      </c>
      <c r="K2480" s="39">
        <f>SUMIFS(pg_transaction_cleaned!$H:$H,pg_transaction_cleaned!$O:$O,A2480,pg_transaction_cleaned!$F:$F,"CAPTURE")</f>
        <v>4999</v>
      </c>
      <c r="L2480" s="23">
        <f>COUNTIFS(pg_transaction_cleaned!$O:$O,A2480,pg_transaction_cleaned!$F:$F,"REFUND")</f>
        <v>0</v>
      </c>
      <c r="M2480" s="39">
        <f>SUMIFS(pg_transaction_cleaned!$H:$H,pg_transaction_cleaned!$O:$O,A2480,pg_transaction_cleaned!$F:$F,"REFUND")</f>
        <v>0</v>
      </c>
      <c r="N2480" s="23" t="str">
        <f t="shared" si="154"/>
        <v>OK</v>
      </c>
      <c r="O2480" s="24">
        <f t="shared" si="155"/>
        <v>0</v>
      </c>
    </row>
    <row r="2481" spans="1:15" ht="15" customHeight="1" x14ac:dyDescent="0.3">
      <c r="A2481" s="23" t="s">
        <v>5449</v>
      </c>
      <c r="B2481" s="38">
        <v>46269</v>
      </c>
      <c r="C2481" s="23" t="s">
        <v>5450</v>
      </c>
      <c r="D2481" s="23" t="s">
        <v>90</v>
      </c>
      <c r="E2481" s="23" t="s">
        <v>81</v>
      </c>
      <c r="F2481" s="23" t="s">
        <v>754</v>
      </c>
      <c r="G2481" s="23" t="s">
        <v>250</v>
      </c>
      <c r="H2481" s="39">
        <f t="shared" si="152"/>
        <v>1348</v>
      </c>
      <c r="I2481" s="23" t="str">
        <f t="shared" si="153"/>
        <v>Ahmedabad</v>
      </c>
      <c r="J2481" s="23">
        <f>COUNTIFS(pg_transaction_cleaned!$O:$O,A2481,pg_transaction_cleaned!$F:$F,"CAPTURE")</f>
        <v>1</v>
      </c>
      <c r="K2481" s="39">
        <f>SUMIFS(pg_transaction_cleaned!$H:$H,pg_transaction_cleaned!$O:$O,A2481,pg_transaction_cleaned!$F:$F,"CAPTURE")</f>
        <v>1348</v>
      </c>
      <c r="L2481" s="23">
        <f>COUNTIFS(pg_transaction_cleaned!$O:$O,A2481,pg_transaction_cleaned!$F:$F,"REFUND")</f>
        <v>0</v>
      </c>
      <c r="M2481" s="39">
        <f>SUMIFS(pg_transaction_cleaned!$H:$H,pg_transaction_cleaned!$O:$O,A2481,pg_transaction_cleaned!$F:$F,"REFUND")</f>
        <v>0</v>
      </c>
      <c r="N2481" s="23" t="str">
        <f t="shared" si="154"/>
        <v>OK</v>
      </c>
      <c r="O2481" s="24">
        <f t="shared" si="155"/>
        <v>0</v>
      </c>
    </row>
    <row r="2482" spans="1:15" ht="15" customHeight="1" x14ac:dyDescent="0.3">
      <c r="A2482" s="23" t="s">
        <v>5451</v>
      </c>
      <c r="B2482" s="38">
        <v>46282</v>
      </c>
      <c r="C2482" s="23" t="s">
        <v>5452</v>
      </c>
      <c r="D2482" s="23" t="s">
        <v>94</v>
      </c>
      <c r="E2482" s="23" t="s">
        <v>75</v>
      </c>
      <c r="F2482" s="23" t="s">
        <v>315</v>
      </c>
      <c r="G2482" s="23" t="s">
        <v>250</v>
      </c>
      <c r="H2482" s="39">
        <f t="shared" si="152"/>
        <v>1499</v>
      </c>
      <c r="I2482" s="23" t="str">
        <f t="shared" si="153"/>
        <v>Chennai</v>
      </c>
      <c r="J2482" s="23">
        <f>COUNTIFS(pg_transaction_cleaned!$O:$O,A2482,pg_transaction_cleaned!$F:$F,"CAPTURE")</f>
        <v>1</v>
      </c>
      <c r="K2482" s="39">
        <f>SUMIFS(pg_transaction_cleaned!$H:$H,pg_transaction_cleaned!$O:$O,A2482,pg_transaction_cleaned!$F:$F,"CAPTURE")</f>
        <v>1499</v>
      </c>
      <c r="L2482" s="23">
        <f>COUNTIFS(pg_transaction_cleaned!$O:$O,A2482,pg_transaction_cleaned!$F:$F,"REFUND")</f>
        <v>0</v>
      </c>
      <c r="M2482" s="39">
        <f>SUMIFS(pg_transaction_cleaned!$H:$H,pg_transaction_cleaned!$O:$O,A2482,pg_transaction_cleaned!$F:$F,"REFUND")</f>
        <v>0</v>
      </c>
      <c r="N2482" s="23" t="str">
        <f t="shared" si="154"/>
        <v>OK</v>
      </c>
      <c r="O2482" s="24">
        <f t="shared" si="155"/>
        <v>0</v>
      </c>
    </row>
    <row r="2483" spans="1:15" ht="15" customHeight="1" x14ac:dyDescent="0.3">
      <c r="A2483" s="23" t="s">
        <v>5453</v>
      </c>
      <c r="B2483" s="38">
        <v>46291</v>
      </c>
      <c r="C2483" s="23" t="s">
        <v>5454</v>
      </c>
      <c r="D2483" s="23" t="s">
        <v>92</v>
      </c>
      <c r="E2483" s="23" t="s">
        <v>81</v>
      </c>
      <c r="F2483" s="23" t="s">
        <v>265</v>
      </c>
      <c r="G2483" s="23" t="s">
        <v>250</v>
      </c>
      <c r="H2483" s="39">
        <f t="shared" si="152"/>
        <v>999</v>
      </c>
      <c r="I2483" s="23" t="str">
        <f t="shared" si="153"/>
        <v>Hyderabad</v>
      </c>
      <c r="J2483" s="23">
        <f>COUNTIFS(pg_transaction_cleaned!$O:$O,A2483,pg_transaction_cleaned!$F:$F,"CAPTURE")</f>
        <v>1</v>
      </c>
      <c r="K2483" s="39">
        <f>SUMIFS(pg_transaction_cleaned!$H:$H,pg_transaction_cleaned!$O:$O,A2483,pg_transaction_cleaned!$F:$F,"CAPTURE")</f>
        <v>999</v>
      </c>
      <c r="L2483" s="23">
        <f>COUNTIFS(pg_transaction_cleaned!$O:$O,A2483,pg_transaction_cleaned!$F:$F,"REFUND")</f>
        <v>0</v>
      </c>
      <c r="M2483" s="39">
        <f>SUMIFS(pg_transaction_cleaned!$H:$H,pg_transaction_cleaned!$O:$O,A2483,pg_transaction_cleaned!$F:$F,"REFUND")</f>
        <v>0</v>
      </c>
      <c r="N2483" s="23" t="str">
        <f t="shared" si="154"/>
        <v>OK</v>
      </c>
      <c r="O2483" s="24">
        <f t="shared" si="155"/>
        <v>0</v>
      </c>
    </row>
    <row r="2484" spans="1:15" ht="15" customHeight="1" x14ac:dyDescent="0.3">
      <c r="A2484" s="23" t="s">
        <v>5455</v>
      </c>
      <c r="B2484" s="38">
        <v>46289</v>
      </c>
      <c r="C2484" s="23" t="s">
        <v>5456</v>
      </c>
      <c r="D2484" s="23" t="s">
        <v>91</v>
      </c>
      <c r="E2484" s="23" t="s">
        <v>79</v>
      </c>
      <c r="F2484" s="23" t="s">
        <v>271</v>
      </c>
      <c r="G2484" s="23" t="s">
        <v>250</v>
      </c>
      <c r="H2484" s="39">
        <f t="shared" si="152"/>
        <v>2499</v>
      </c>
      <c r="I2484" s="23" t="str">
        <f t="shared" si="153"/>
        <v>Pune</v>
      </c>
      <c r="J2484" s="23">
        <f>COUNTIFS(pg_transaction_cleaned!$O:$O,A2484,pg_transaction_cleaned!$F:$F,"CAPTURE")</f>
        <v>1</v>
      </c>
      <c r="K2484" s="39">
        <f>SUMIFS(pg_transaction_cleaned!$H:$H,pg_transaction_cleaned!$O:$O,A2484,pg_transaction_cleaned!$F:$F,"CAPTURE")</f>
        <v>2499</v>
      </c>
      <c r="L2484" s="23">
        <f>COUNTIFS(pg_transaction_cleaned!$O:$O,A2484,pg_transaction_cleaned!$F:$F,"REFUND")</f>
        <v>0</v>
      </c>
      <c r="M2484" s="39">
        <f>SUMIFS(pg_transaction_cleaned!$H:$H,pg_transaction_cleaned!$O:$O,A2484,pg_transaction_cleaned!$F:$F,"REFUND")</f>
        <v>0</v>
      </c>
      <c r="N2484" s="23" t="str">
        <f t="shared" si="154"/>
        <v>OK</v>
      </c>
      <c r="O2484" s="24">
        <f t="shared" si="155"/>
        <v>0</v>
      </c>
    </row>
    <row r="2485" spans="1:15" ht="15" customHeight="1" x14ac:dyDescent="0.3">
      <c r="A2485" s="23" t="s">
        <v>5457</v>
      </c>
      <c r="B2485" s="38">
        <v>46271</v>
      </c>
      <c r="C2485" s="23" t="s">
        <v>5458</v>
      </c>
      <c r="D2485" s="23" t="s">
        <v>95</v>
      </c>
      <c r="E2485" s="23" t="s">
        <v>81</v>
      </c>
      <c r="F2485" s="23" t="s">
        <v>742</v>
      </c>
      <c r="G2485" s="23" t="s">
        <v>250</v>
      </c>
      <c r="H2485" s="39">
        <f t="shared" si="152"/>
        <v>999</v>
      </c>
      <c r="I2485" s="23" t="str">
        <f t="shared" si="153"/>
        <v>Bengaluru</v>
      </c>
      <c r="J2485" s="23">
        <f>COUNTIFS(pg_transaction_cleaned!$O:$O,A2485,pg_transaction_cleaned!$F:$F,"CAPTURE")</f>
        <v>1</v>
      </c>
      <c r="K2485" s="39">
        <f>SUMIFS(pg_transaction_cleaned!$H:$H,pg_transaction_cleaned!$O:$O,A2485,pg_transaction_cleaned!$F:$F,"CAPTURE")</f>
        <v>999</v>
      </c>
      <c r="L2485" s="23">
        <f>COUNTIFS(pg_transaction_cleaned!$O:$O,A2485,pg_transaction_cleaned!$F:$F,"REFUND")</f>
        <v>0</v>
      </c>
      <c r="M2485" s="39">
        <f>SUMIFS(pg_transaction_cleaned!$H:$H,pg_transaction_cleaned!$O:$O,A2485,pg_transaction_cleaned!$F:$F,"REFUND")</f>
        <v>0</v>
      </c>
      <c r="N2485" s="23" t="str">
        <f t="shared" si="154"/>
        <v>OK</v>
      </c>
      <c r="O2485" s="24">
        <f t="shared" si="155"/>
        <v>0</v>
      </c>
    </row>
    <row r="2486" spans="1:15" ht="15" customHeight="1" x14ac:dyDescent="0.3">
      <c r="A2486" s="23" t="s">
        <v>5459</v>
      </c>
      <c r="B2486" s="38">
        <v>46281</v>
      </c>
      <c r="C2486" s="23" t="s">
        <v>4573</v>
      </c>
      <c r="D2486" s="23" t="s">
        <v>91</v>
      </c>
      <c r="E2486" s="23" t="s">
        <v>79</v>
      </c>
      <c r="F2486" s="23" t="s">
        <v>1341</v>
      </c>
      <c r="G2486" s="23" t="s">
        <v>250</v>
      </c>
      <c r="H2486" s="39">
        <f t="shared" si="152"/>
        <v>2297</v>
      </c>
      <c r="I2486" s="23" t="str">
        <f t="shared" si="153"/>
        <v>Pune</v>
      </c>
      <c r="J2486" s="23">
        <f>COUNTIFS(pg_transaction_cleaned!$O:$O,A2486,pg_transaction_cleaned!$F:$F,"CAPTURE")</f>
        <v>1</v>
      </c>
      <c r="K2486" s="39">
        <f>SUMIFS(pg_transaction_cleaned!$H:$H,pg_transaction_cleaned!$O:$O,A2486,pg_transaction_cleaned!$F:$F,"CAPTURE")</f>
        <v>2297</v>
      </c>
      <c r="L2486" s="23">
        <f>COUNTIFS(pg_transaction_cleaned!$O:$O,A2486,pg_transaction_cleaned!$F:$F,"REFUND")</f>
        <v>0</v>
      </c>
      <c r="M2486" s="39">
        <f>SUMIFS(pg_transaction_cleaned!$H:$H,pg_transaction_cleaned!$O:$O,A2486,pg_transaction_cleaned!$F:$F,"REFUND")</f>
        <v>0</v>
      </c>
      <c r="N2486" s="23" t="str">
        <f t="shared" si="154"/>
        <v>OK</v>
      </c>
      <c r="O2486" s="24">
        <f t="shared" si="155"/>
        <v>0</v>
      </c>
    </row>
    <row r="2487" spans="1:15" ht="15" customHeight="1" x14ac:dyDescent="0.3">
      <c r="A2487" s="23" t="s">
        <v>5460</v>
      </c>
      <c r="B2487" s="38">
        <v>46291</v>
      </c>
      <c r="C2487" s="23" t="s">
        <v>5461</v>
      </c>
      <c r="D2487" s="23" t="s">
        <v>90</v>
      </c>
      <c r="E2487" s="23" t="s">
        <v>75</v>
      </c>
      <c r="F2487" s="23" t="s">
        <v>441</v>
      </c>
      <c r="G2487" s="23" t="s">
        <v>250</v>
      </c>
      <c r="H2487" s="39">
        <f t="shared" si="152"/>
        <v>9998</v>
      </c>
      <c r="I2487" s="23" t="str">
        <f t="shared" si="153"/>
        <v>Ahmedabad</v>
      </c>
      <c r="J2487" s="23">
        <f>COUNTIFS(pg_transaction_cleaned!$O:$O,A2487,pg_transaction_cleaned!$F:$F,"CAPTURE")</f>
        <v>1</v>
      </c>
      <c r="K2487" s="39">
        <f>SUMIFS(pg_transaction_cleaned!$H:$H,pg_transaction_cleaned!$O:$O,A2487,pg_transaction_cleaned!$F:$F,"CAPTURE")</f>
        <v>9998</v>
      </c>
      <c r="L2487" s="23">
        <f>COUNTIFS(pg_transaction_cleaned!$O:$O,A2487,pg_transaction_cleaned!$F:$F,"REFUND")</f>
        <v>0</v>
      </c>
      <c r="M2487" s="39">
        <f>SUMIFS(pg_transaction_cleaned!$H:$H,pg_transaction_cleaned!$O:$O,A2487,pg_transaction_cleaned!$F:$F,"REFUND")</f>
        <v>0</v>
      </c>
      <c r="N2487" s="23" t="str">
        <f t="shared" si="154"/>
        <v>OK</v>
      </c>
      <c r="O2487" s="24">
        <f t="shared" si="155"/>
        <v>0</v>
      </c>
    </row>
    <row r="2488" spans="1:15" ht="15" customHeight="1" x14ac:dyDescent="0.3">
      <c r="A2488" s="23" t="s">
        <v>5462</v>
      </c>
      <c r="B2488" s="38">
        <v>46290</v>
      </c>
      <c r="C2488" s="23" t="s">
        <v>5463</v>
      </c>
      <c r="D2488" s="23" t="s">
        <v>90</v>
      </c>
      <c r="E2488" s="23" t="s">
        <v>77</v>
      </c>
      <c r="F2488" s="23" t="s">
        <v>2205</v>
      </c>
      <c r="G2488" s="23" t="s">
        <v>250</v>
      </c>
      <c r="H2488" s="39">
        <f t="shared" si="152"/>
        <v>6998</v>
      </c>
      <c r="I2488" s="23" t="str">
        <f t="shared" si="153"/>
        <v>Ahmedabad</v>
      </c>
      <c r="J2488" s="23">
        <f>COUNTIFS(pg_transaction_cleaned!$O:$O,A2488,pg_transaction_cleaned!$F:$F,"CAPTURE")</f>
        <v>1</v>
      </c>
      <c r="K2488" s="39">
        <f>SUMIFS(pg_transaction_cleaned!$H:$H,pg_transaction_cleaned!$O:$O,A2488,pg_transaction_cleaned!$F:$F,"CAPTURE")</f>
        <v>6998</v>
      </c>
      <c r="L2488" s="23">
        <f>COUNTIFS(pg_transaction_cleaned!$O:$O,A2488,pg_transaction_cleaned!$F:$F,"REFUND")</f>
        <v>0</v>
      </c>
      <c r="M2488" s="39">
        <f>SUMIFS(pg_transaction_cleaned!$H:$H,pg_transaction_cleaned!$O:$O,A2488,pg_transaction_cleaned!$F:$F,"REFUND")</f>
        <v>0</v>
      </c>
      <c r="N2488" s="23" t="str">
        <f t="shared" si="154"/>
        <v>OK</v>
      </c>
      <c r="O2488" s="24">
        <f t="shared" si="155"/>
        <v>0</v>
      </c>
    </row>
    <row r="2489" spans="1:15" ht="15" customHeight="1" x14ac:dyDescent="0.3">
      <c r="A2489" s="23" t="s">
        <v>5464</v>
      </c>
      <c r="B2489" s="38">
        <v>46283</v>
      </c>
      <c r="C2489" s="23" t="s">
        <v>5465</v>
      </c>
      <c r="D2489" s="23" t="s">
        <v>87</v>
      </c>
      <c r="E2489" s="23" t="s">
        <v>75</v>
      </c>
      <c r="F2489" s="23" t="s">
        <v>880</v>
      </c>
      <c r="G2489" s="23" t="s">
        <v>250</v>
      </c>
      <c r="H2489" s="39">
        <f t="shared" si="152"/>
        <v>2298</v>
      </c>
      <c r="I2489" s="23" t="str">
        <f t="shared" si="153"/>
        <v>Mumbai</v>
      </c>
      <c r="J2489" s="23">
        <f>COUNTIFS(pg_transaction_cleaned!$O:$O,A2489,pg_transaction_cleaned!$F:$F,"CAPTURE")</f>
        <v>1</v>
      </c>
      <c r="K2489" s="39">
        <f>SUMIFS(pg_transaction_cleaned!$H:$H,pg_transaction_cleaned!$O:$O,A2489,pg_transaction_cleaned!$F:$F,"CAPTURE")</f>
        <v>2298</v>
      </c>
      <c r="L2489" s="23">
        <f>COUNTIFS(pg_transaction_cleaned!$O:$O,A2489,pg_transaction_cleaned!$F:$F,"REFUND")</f>
        <v>0</v>
      </c>
      <c r="M2489" s="39">
        <f>SUMIFS(pg_transaction_cleaned!$H:$H,pg_transaction_cleaned!$O:$O,A2489,pg_transaction_cleaned!$F:$F,"REFUND")</f>
        <v>0</v>
      </c>
      <c r="N2489" s="23" t="str">
        <f t="shared" si="154"/>
        <v>OK</v>
      </c>
      <c r="O2489" s="24">
        <f t="shared" si="155"/>
        <v>0</v>
      </c>
    </row>
    <row r="2490" spans="1:15" ht="15" customHeight="1" x14ac:dyDescent="0.3">
      <c r="A2490" s="23" t="s">
        <v>5466</v>
      </c>
      <c r="B2490" s="38">
        <v>46280</v>
      </c>
      <c r="C2490" s="23" t="s">
        <v>5467</v>
      </c>
      <c r="D2490" s="23" t="s">
        <v>94</v>
      </c>
      <c r="E2490" s="23" t="s">
        <v>75</v>
      </c>
      <c r="F2490" s="23" t="s">
        <v>249</v>
      </c>
      <c r="G2490" s="23" t="s">
        <v>250</v>
      </c>
      <c r="H2490" s="39">
        <f t="shared" si="152"/>
        <v>299</v>
      </c>
      <c r="I2490" s="23" t="str">
        <f t="shared" si="153"/>
        <v>Chennai</v>
      </c>
      <c r="J2490" s="23">
        <f>COUNTIFS(pg_transaction_cleaned!$O:$O,A2490,pg_transaction_cleaned!$F:$F,"CAPTURE")</f>
        <v>1</v>
      </c>
      <c r="K2490" s="39">
        <f>SUMIFS(pg_transaction_cleaned!$H:$H,pg_transaction_cleaned!$O:$O,A2490,pg_transaction_cleaned!$F:$F,"CAPTURE")</f>
        <v>299</v>
      </c>
      <c r="L2490" s="23">
        <f>COUNTIFS(pg_transaction_cleaned!$O:$O,A2490,pg_transaction_cleaned!$F:$F,"REFUND")</f>
        <v>0</v>
      </c>
      <c r="M2490" s="39">
        <f>SUMIFS(pg_transaction_cleaned!$H:$H,pg_transaction_cleaned!$O:$O,A2490,pg_transaction_cleaned!$F:$F,"REFUND")</f>
        <v>0</v>
      </c>
      <c r="N2490" s="23" t="str">
        <f t="shared" si="154"/>
        <v>OK</v>
      </c>
      <c r="O2490" s="24">
        <f t="shared" si="155"/>
        <v>0</v>
      </c>
    </row>
    <row r="2491" spans="1:15" ht="15" customHeight="1" x14ac:dyDescent="0.3">
      <c r="A2491" s="23" t="s">
        <v>5468</v>
      </c>
      <c r="B2491" s="38">
        <v>46286</v>
      </c>
      <c r="C2491" s="23" t="s">
        <v>5469</v>
      </c>
      <c r="D2491" s="23" t="s">
        <v>90</v>
      </c>
      <c r="E2491" s="23" t="s">
        <v>75</v>
      </c>
      <c r="F2491" s="23" t="s">
        <v>268</v>
      </c>
      <c r="G2491" s="23" t="s">
        <v>250</v>
      </c>
      <c r="H2491" s="39">
        <f t="shared" si="152"/>
        <v>1299</v>
      </c>
      <c r="I2491" s="23" t="str">
        <f t="shared" si="153"/>
        <v>Ahmedabad</v>
      </c>
      <c r="J2491" s="23">
        <f>COUNTIFS(pg_transaction_cleaned!$O:$O,A2491,pg_transaction_cleaned!$F:$F,"CAPTURE")</f>
        <v>1</v>
      </c>
      <c r="K2491" s="39">
        <f>SUMIFS(pg_transaction_cleaned!$H:$H,pg_transaction_cleaned!$O:$O,A2491,pg_transaction_cleaned!$F:$F,"CAPTURE")</f>
        <v>1299</v>
      </c>
      <c r="L2491" s="23">
        <f>COUNTIFS(pg_transaction_cleaned!$O:$O,A2491,pg_transaction_cleaned!$F:$F,"REFUND")</f>
        <v>0</v>
      </c>
      <c r="M2491" s="39">
        <f>SUMIFS(pg_transaction_cleaned!$H:$H,pg_transaction_cleaned!$O:$O,A2491,pg_transaction_cleaned!$F:$F,"REFUND")</f>
        <v>0</v>
      </c>
      <c r="N2491" s="23" t="str">
        <f t="shared" si="154"/>
        <v>OK</v>
      </c>
      <c r="O2491" s="24">
        <f t="shared" si="155"/>
        <v>0</v>
      </c>
    </row>
    <row r="2492" spans="1:15" ht="15" customHeight="1" x14ac:dyDescent="0.3">
      <c r="A2492" s="23" t="s">
        <v>5470</v>
      </c>
      <c r="B2492" s="38">
        <v>46268</v>
      </c>
      <c r="C2492" s="23" t="s">
        <v>5471</v>
      </c>
      <c r="D2492" s="23" t="s">
        <v>88</v>
      </c>
      <c r="E2492" s="23" t="s">
        <v>75</v>
      </c>
      <c r="F2492" s="23" t="s">
        <v>310</v>
      </c>
      <c r="G2492" s="23" t="s">
        <v>250</v>
      </c>
      <c r="H2492" s="39">
        <f t="shared" si="152"/>
        <v>7999</v>
      </c>
      <c r="I2492" s="23" t="str">
        <f t="shared" si="153"/>
        <v>Lucknow</v>
      </c>
      <c r="J2492" s="23">
        <f>COUNTIFS(pg_transaction_cleaned!$O:$O,A2492,pg_transaction_cleaned!$F:$F,"CAPTURE")</f>
        <v>1</v>
      </c>
      <c r="K2492" s="39">
        <f>SUMIFS(pg_transaction_cleaned!$H:$H,pg_transaction_cleaned!$O:$O,A2492,pg_transaction_cleaned!$F:$F,"CAPTURE")</f>
        <v>7999</v>
      </c>
      <c r="L2492" s="23">
        <f>COUNTIFS(pg_transaction_cleaned!$O:$O,A2492,pg_transaction_cleaned!$F:$F,"REFUND")</f>
        <v>0</v>
      </c>
      <c r="M2492" s="39">
        <f>SUMIFS(pg_transaction_cleaned!$H:$H,pg_transaction_cleaned!$O:$O,A2492,pg_transaction_cleaned!$F:$F,"REFUND")</f>
        <v>0</v>
      </c>
      <c r="N2492" s="23" t="str">
        <f t="shared" si="154"/>
        <v>OK</v>
      </c>
      <c r="O2492" s="24">
        <f t="shared" si="155"/>
        <v>0</v>
      </c>
    </row>
    <row r="2493" spans="1:15" ht="15" customHeight="1" x14ac:dyDescent="0.3">
      <c r="A2493" s="23" t="s">
        <v>5472</v>
      </c>
      <c r="B2493" s="38">
        <v>46270</v>
      </c>
      <c r="C2493" s="23" t="s">
        <v>5473</v>
      </c>
      <c r="D2493" s="23" t="s">
        <v>91</v>
      </c>
      <c r="E2493" s="23" t="s">
        <v>79</v>
      </c>
      <c r="F2493" s="23" t="s">
        <v>259</v>
      </c>
      <c r="G2493" s="23" t="s">
        <v>301</v>
      </c>
      <c r="H2493" s="39">
        <f t="shared" si="152"/>
        <v>3298</v>
      </c>
      <c r="I2493" s="23" t="str">
        <f t="shared" si="153"/>
        <v>Pune</v>
      </c>
      <c r="J2493" s="23">
        <f>COUNTIFS(pg_transaction_cleaned!$O:$O,A2493,pg_transaction_cleaned!$F:$F,"CAPTURE")</f>
        <v>1</v>
      </c>
      <c r="K2493" s="39">
        <f>SUMIFS(pg_transaction_cleaned!$H:$H,pg_transaction_cleaned!$O:$O,A2493,pg_transaction_cleaned!$F:$F,"CAPTURE")</f>
        <v>3298</v>
      </c>
      <c r="L2493" s="23">
        <f>COUNTIFS(pg_transaction_cleaned!$O:$O,A2493,pg_transaction_cleaned!$F:$F,"REFUND")</f>
        <v>1</v>
      </c>
      <c r="M2493" s="39">
        <f>SUMIFS(pg_transaction_cleaned!$H:$H,pg_transaction_cleaned!$O:$O,A2493,pg_transaction_cleaned!$F:$F,"REFUND")</f>
        <v>3298</v>
      </c>
      <c r="N2493" s="23" t="str">
        <f t="shared" si="154"/>
        <v>OK</v>
      </c>
      <c r="O2493" s="24">
        <f t="shared" si="155"/>
        <v>0</v>
      </c>
    </row>
    <row r="2494" spans="1:15" ht="15" customHeight="1" x14ac:dyDescent="0.3">
      <c r="A2494" s="23" t="s">
        <v>5474</v>
      </c>
      <c r="B2494" s="38">
        <v>46285</v>
      </c>
      <c r="C2494" s="23" t="s">
        <v>5475</v>
      </c>
      <c r="D2494" s="23" t="s">
        <v>89</v>
      </c>
      <c r="E2494" s="23" t="s">
        <v>75</v>
      </c>
      <c r="F2494" s="23" t="s">
        <v>297</v>
      </c>
      <c r="G2494" s="23" t="s">
        <v>250</v>
      </c>
      <c r="H2494" s="39">
        <f t="shared" si="152"/>
        <v>4999</v>
      </c>
      <c r="I2494" s="23" t="str">
        <f t="shared" si="153"/>
        <v>Jaipur</v>
      </c>
      <c r="J2494" s="23">
        <f>COUNTIFS(pg_transaction_cleaned!$O:$O,A2494,pg_transaction_cleaned!$F:$F,"CAPTURE")</f>
        <v>1</v>
      </c>
      <c r="K2494" s="39">
        <f>SUMIFS(pg_transaction_cleaned!$H:$H,pg_transaction_cleaned!$O:$O,A2494,pg_transaction_cleaned!$F:$F,"CAPTURE")</f>
        <v>4999</v>
      </c>
      <c r="L2494" s="23">
        <f>COUNTIFS(pg_transaction_cleaned!$O:$O,A2494,pg_transaction_cleaned!$F:$F,"REFUND")</f>
        <v>0</v>
      </c>
      <c r="M2494" s="39">
        <f>SUMIFS(pg_transaction_cleaned!$H:$H,pg_transaction_cleaned!$O:$O,A2494,pg_transaction_cleaned!$F:$F,"REFUND")</f>
        <v>0</v>
      </c>
      <c r="N2494" s="23" t="str">
        <f t="shared" si="154"/>
        <v>OK</v>
      </c>
      <c r="O2494" s="24">
        <f t="shared" si="155"/>
        <v>0</v>
      </c>
    </row>
    <row r="2495" spans="1:15" ht="15" customHeight="1" x14ac:dyDescent="0.3">
      <c r="A2495" s="23" t="s">
        <v>5476</v>
      </c>
      <c r="B2495" s="38">
        <v>46292</v>
      </c>
      <c r="C2495" s="23" t="s">
        <v>5477</v>
      </c>
      <c r="D2495" s="23" t="s">
        <v>86</v>
      </c>
      <c r="E2495" s="23" t="s">
        <v>75</v>
      </c>
      <c r="F2495" s="23" t="s">
        <v>451</v>
      </c>
      <c r="G2495" s="23" t="s">
        <v>250</v>
      </c>
      <c r="H2495" s="39">
        <f t="shared" si="152"/>
        <v>1098</v>
      </c>
      <c r="I2495" s="23" t="str">
        <f t="shared" si="153"/>
        <v>Delhi</v>
      </c>
      <c r="J2495" s="23">
        <f>COUNTIFS(pg_transaction_cleaned!$O:$O,A2495,pg_transaction_cleaned!$F:$F,"CAPTURE")</f>
        <v>1</v>
      </c>
      <c r="K2495" s="39">
        <f>SUMIFS(pg_transaction_cleaned!$H:$H,pg_transaction_cleaned!$O:$O,A2495,pg_transaction_cleaned!$F:$F,"CAPTURE")</f>
        <v>1098</v>
      </c>
      <c r="L2495" s="23">
        <f>COUNTIFS(pg_transaction_cleaned!$O:$O,A2495,pg_transaction_cleaned!$F:$F,"REFUND")</f>
        <v>0</v>
      </c>
      <c r="M2495" s="39">
        <f>SUMIFS(pg_transaction_cleaned!$H:$H,pg_transaction_cleaned!$O:$O,A2495,pg_transaction_cleaned!$F:$F,"REFUND")</f>
        <v>0</v>
      </c>
      <c r="N2495" s="23" t="str">
        <f t="shared" si="154"/>
        <v>OK</v>
      </c>
      <c r="O2495" s="24">
        <f t="shared" si="155"/>
        <v>0</v>
      </c>
    </row>
    <row r="2496" spans="1:15" ht="15" customHeight="1" x14ac:dyDescent="0.3">
      <c r="A2496" s="23" t="s">
        <v>5478</v>
      </c>
      <c r="B2496" s="38">
        <v>46288</v>
      </c>
      <c r="C2496" s="23" t="s">
        <v>5479</v>
      </c>
      <c r="D2496" s="23" t="s">
        <v>93</v>
      </c>
      <c r="E2496" s="23" t="s">
        <v>75</v>
      </c>
      <c r="F2496" s="23" t="s">
        <v>310</v>
      </c>
      <c r="G2496" s="23" t="s">
        <v>250</v>
      </c>
      <c r="H2496" s="39">
        <f t="shared" si="152"/>
        <v>7999</v>
      </c>
      <c r="I2496" s="23" t="str">
        <f t="shared" si="153"/>
        <v>Kolkata</v>
      </c>
      <c r="J2496" s="23">
        <f>COUNTIFS(pg_transaction_cleaned!$O:$O,A2496,pg_transaction_cleaned!$F:$F,"CAPTURE")</f>
        <v>1</v>
      </c>
      <c r="K2496" s="39">
        <f>SUMIFS(pg_transaction_cleaned!$H:$H,pg_transaction_cleaned!$O:$O,A2496,pg_transaction_cleaned!$F:$F,"CAPTURE")</f>
        <v>7999</v>
      </c>
      <c r="L2496" s="23">
        <f>COUNTIFS(pg_transaction_cleaned!$O:$O,A2496,pg_transaction_cleaned!$F:$F,"REFUND")</f>
        <v>0</v>
      </c>
      <c r="M2496" s="39">
        <f>SUMIFS(pg_transaction_cleaned!$H:$H,pg_transaction_cleaned!$O:$O,A2496,pg_transaction_cleaned!$F:$F,"REFUND")</f>
        <v>0</v>
      </c>
      <c r="N2496" s="23" t="str">
        <f t="shared" si="154"/>
        <v>OK</v>
      </c>
      <c r="O2496" s="24">
        <f t="shared" si="155"/>
        <v>0</v>
      </c>
    </row>
    <row r="2497" spans="1:15" ht="15" customHeight="1" x14ac:dyDescent="0.3">
      <c r="A2497" s="23" t="s">
        <v>5480</v>
      </c>
      <c r="B2497" s="38">
        <v>46268</v>
      </c>
      <c r="C2497" s="23" t="s">
        <v>5481</v>
      </c>
      <c r="D2497" s="23" t="s">
        <v>87</v>
      </c>
      <c r="E2497" s="23" t="s">
        <v>79</v>
      </c>
      <c r="F2497" s="23" t="s">
        <v>754</v>
      </c>
      <c r="G2497" s="23" t="s">
        <v>250</v>
      </c>
      <c r="H2497" s="39">
        <f t="shared" si="152"/>
        <v>1348</v>
      </c>
      <c r="I2497" s="23" t="str">
        <f t="shared" si="153"/>
        <v>Mumbai</v>
      </c>
      <c r="J2497" s="23">
        <f>COUNTIFS(pg_transaction_cleaned!$O:$O,A2497,pg_transaction_cleaned!$F:$F,"CAPTURE")</f>
        <v>1</v>
      </c>
      <c r="K2497" s="39">
        <f>SUMIFS(pg_transaction_cleaned!$H:$H,pg_transaction_cleaned!$O:$O,A2497,pg_transaction_cleaned!$F:$F,"CAPTURE")</f>
        <v>1348</v>
      </c>
      <c r="L2497" s="23">
        <f>COUNTIFS(pg_transaction_cleaned!$O:$O,A2497,pg_transaction_cleaned!$F:$F,"REFUND")</f>
        <v>0</v>
      </c>
      <c r="M2497" s="39">
        <f>SUMIFS(pg_transaction_cleaned!$H:$H,pg_transaction_cleaned!$O:$O,A2497,pg_transaction_cleaned!$F:$F,"REFUND")</f>
        <v>0</v>
      </c>
      <c r="N2497" s="23" t="str">
        <f t="shared" si="154"/>
        <v>OK</v>
      </c>
      <c r="O2497" s="24">
        <f t="shared" si="155"/>
        <v>0</v>
      </c>
    </row>
    <row r="2498" spans="1:15" ht="15" customHeight="1" x14ac:dyDescent="0.3">
      <c r="A2498" s="23" t="s">
        <v>5482</v>
      </c>
      <c r="B2498" s="38">
        <v>46266</v>
      </c>
      <c r="C2498" s="23" t="s">
        <v>5483</v>
      </c>
      <c r="D2498" s="23" t="s">
        <v>89</v>
      </c>
      <c r="E2498" s="23" t="s">
        <v>75</v>
      </c>
      <c r="F2498" s="23" t="s">
        <v>265</v>
      </c>
      <c r="G2498" s="23" t="s">
        <v>250</v>
      </c>
      <c r="H2498" s="39">
        <f t="shared" ref="H2498:H2561" si="156">VALUE(SUBSTITUTE(F2498,",",""))</f>
        <v>999</v>
      </c>
      <c r="I2498" s="23" t="str">
        <f t="shared" ref="I2498:I2561" si="157">IF(TRIM(D2498)="","Unknown",TRIM(D2498))</f>
        <v>Jaipur</v>
      </c>
      <c r="J2498" s="23">
        <f>COUNTIFS(pg_transaction_cleaned!$O:$O,A2498,pg_transaction_cleaned!$F:$F,"CAPTURE")</f>
        <v>1</v>
      </c>
      <c r="K2498" s="39">
        <f>SUMIFS(pg_transaction_cleaned!$H:$H,pg_transaction_cleaned!$O:$O,A2498,pg_transaction_cleaned!$F:$F,"CAPTURE")</f>
        <v>999</v>
      </c>
      <c r="L2498" s="23">
        <f>COUNTIFS(pg_transaction_cleaned!$O:$O,A2498,pg_transaction_cleaned!$F:$F,"REFUND")</f>
        <v>0</v>
      </c>
      <c r="M2498" s="39">
        <f>SUMIFS(pg_transaction_cleaned!$H:$H,pg_transaction_cleaned!$O:$O,A2498,pg_transaction_cleaned!$F:$F,"REFUND")</f>
        <v>0</v>
      </c>
      <c r="N2498" s="23" t="str">
        <f t="shared" ref="N2498:N2561" si="158">IF(AND(G2498="Paid",J2498=0),"Paid, no payment",IF(AND(OR(G2498="Failed",G2498="Cancelled"),J2498&gt;0),"Payment on failed/cancelled",IF(J2498&gt;1,"Duplicate charge",IF(AND(J2498=1,ROUND(K2498-H2498,2)&lt;&gt;0),"Amount difference",IF(AND(G2498="Refunded",L2498=0),"Refunded, no refund",IF(AND(G2498&lt;&gt;"Refunded",L2498&gt;0),"Refund, order not Refunded",IF(AND(L2498&gt;0,ROUND(M2498-H2498,2)&lt;&gt;0),"Refund amount differs","OK")))))))</f>
        <v>OK</v>
      </c>
      <c r="O2498" s="24">
        <f t="shared" ref="O2498:O2561" si="159">IF(N2498="OK",0,IF(N2498="Paid, no payment",H2498,IF(N2498="Payment on failed/cancelled",K2498,IF(OR(N2498="Duplicate charge",N2498="Amount difference"),K2498-H2498,IF(N2498="Refunded, no refund",H2498,M2498)))))</f>
        <v>0</v>
      </c>
    </row>
    <row r="2499" spans="1:15" ht="15" customHeight="1" x14ac:dyDescent="0.3">
      <c r="A2499" s="23" t="s">
        <v>5484</v>
      </c>
      <c r="B2499" s="38">
        <v>46285</v>
      </c>
      <c r="C2499" s="23" t="s">
        <v>5485</v>
      </c>
      <c r="D2499" s="23" t="s">
        <v>94</v>
      </c>
      <c r="E2499" s="23" t="s">
        <v>75</v>
      </c>
      <c r="F2499" s="23" t="s">
        <v>2337</v>
      </c>
      <c r="G2499" s="23" t="s">
        <v>250</v>
      </c>
      <c r="H2499" s="39">
        <f t="shared" si="156"/>
        <v>8348</v>
      </c>
      <c r="I2499" s="23" t="str">
        <f t="shared" si="157"/>
        <v>Chennai</v>
      </c>
      <c r="J2499" s="23">
        <f>COUNTIFS(pg_transaction_cleaned!$O:$O,A2499,pg_transaction_cleaned!$F:$F,"CAPTURE")</f>
        <v>1</v>
      </c>
      <c r="K2499" s="39">
        <f>SUMIFS(pg_transaction_cleaned!$H:$H,pg_transaction_cleaned!$O:$O,A2499,pg_transaction_cleaned!$F:$F,"CAPTURE")</f>
        <v>8348</v>
      </c>
      <c r="L2499" s="23">
        <f>COUNTIFS(pg_transaction_cleaned!$O:$O,A2499,pg_transaction_cleaned!$F:$F,"REFUND")</f>
        <v>0</v>
      </c>
      <c r="M2499" s="39">
        <f>SUMIFS(pg_transaction_cleaned!$H:$H,pg_transaction_cleaned!$O:$O,A2499,pg_transaction_cleaned!$F:$F,"REFUND")</f>
        <v>0</v>
      </c>
      <c r="N2499" s="23" t="str">
        <f t="shared" si="158"/>
        <v>OK</v>
      </c>
      <c r="O2499" s="24">
        <f t="shared" si="159"/>
        <v>0</v>
      </c>
    </row>
    <row r="2500" spans="1:15" ht="15" customHeight="1" x14ac:dyDescent="0.3">
      <c r="A2500" s="23" t="s">
        <v>5486</v>
      </c>
      <c r="B2500" s="38">
        <v>46276</v>
      </c>
      <c r="C2500" s="23" t="s">
        <v>5487</v>
      </c>
      <c r="D2500" s="23" t="s">
        <v>95</v>
      </c>
      <c r="E2500" s="23" t="s">
        <v>79</v>
      </c>
      <c r="F2500" s="23" t="s">
        <v>262</v>
      </c>
      <c r="G2500" s="23" t="s">
        <v>250</v>
      </c>
      <c r="H2500" s="39">
        <f t="shared" si="156"/>
        <v>499</v>
      </c>
      <c r="I2500" s="23" t="str">
        <f t="shared" si="157"/>
        <v>Bengaluru</v>
      </c>
      <c r="J2500" s="23">
        <f>COUNTIFS(pg_transaction_cleaned!$O:$O,A2500,pg_transaction_cleaned!$F:$F,"CAPTURE")</f>
        <v>1</v>
      </c>
      <c r="K2500" s="39">
        <f>SUMIFS(pg_transaction_cleaned!$H:$H,pg_transaction_cleaned!$O:$O,A2500,pg_transaction_cleaned!$F:$F,"CAPTURE")</f>
        <v>499</v>
      </c>
      <c r="L2500" s="23">
        <f>COUNTIFS(pg_transaction_cleaned!$O:$O,A2500,pg_transaction_cleaned!$F:$F,"REFUND")</f>
        <v>0</v>
      </c>
      <c r="M2500" s="39">
        <f>SUMIFS(pg_transaction_cleaned!$H:$H,pg_transaction_cleaned!$O:$O,A2500,pg_transaction_cleaned!$F:$F,"REFUND")</f>
        <v>0</v>
      </c>
      <c r="N2500" s="23" t="str">
        <f t="shared" si="158"/>
        <v>OK</v>
      </c>
      <c r="O2500" s="24">
        <f t="shared" si="159"/>
        <v>0</v>
      </c>
    </row>
    <row r="2501" spans="1:15" ht="15" customHeight="1" x14ac:dyDescent="0.3">
      <c r="A2501" s="23" t="s">
        <v>5488</v>
      </c>
      <c r="B2501" s="38">
        <v>46267</v>
      </c>
      <c r="C2501" s="23" t="s">
        <v>5489</v>
      </c>
      <c r="D2501" s="23" t="s">
        <v>91</v>
      </c>
      <c r="E2501" s="23" t="s">
        <v>79</v>
      </c>
      <c r="F2501" s="23" t="s">
        <v>475</v>
      </c>
      <c r="G2501" s="23" t="s">
        <v>250</v>
      </c>
      <c r="H2501" s="39">
        <f t="shared" si="156"/>
        <v>799</v>
      </c>
      <c r="I2501" s="23" t="str">
        <f t="shared" si="157"/>
        <v>Pune</v>
      </c>
      <c r="J2501" s="23">
        <f>COUNTIFS(pg_transaction_cleaned!$O:$O,A2501,pg_transaction_cleaned!$F:$F,"CAPTURE")</f>
        <v>1</v>
      </c>
      <c r="K2501" s="39">
        <f>SUMIFS(pg_transaction_cleaned!$H:$H,pg_transaction_cleaned!$O:$O,A2501,pg_transaction_cleaned!$F:$F,"CAPTURE")</f>
        <v>799</v>
      </c>
      <c r="L2501" s="23">
        <f>COUNTIFS(pg_transaction_cleaned!$O:$O,A2501,pg_transaction_cleaned!$F:$F,"REFUND")</f>
        <v>0</v>
      </c>
      <c r="M2501" s="39">
        <f>SUMIFS(pg_transaction_cleaned!$H:$H,pg_transaction_cleaned!$O:$O,A2501,pg_transaction_cleaned!$F:$F,"REFUND")</f>
        <v>0</v>
      </c>
      <c r="N2501" s="23" t="str">
        <f t="shared" si="158"/>
        <v>OK</v>
      </c>
      <c r="O2501" s="24">
        <f t="shared" si="159"/>
        <v>0</v>
      </c>
    </row>
    <row r="2502" spans="1:15" ht="15" customHeight="1" x14ac:dyDescent="0.3">
      <c r="A2502" s="23" t="s">
        <v>5490</v>
      </c>
      <c r="B2502" s="38">
        <v>46291</v>
      </c>
      <c r="C2502" s="23" t="s">
        <v>5491</v>
      </c>
      <c r="D2502" s="23" t="s">
        <v>92</v>
      </c>
      <c r="E2502" s="23" t="s">
        <v>75</v>
      </c>
      <c r="F2502" s="23" t="s">
        <v>2837</v>
      </c>
      <c r="G2502" s="23" t="s">
        <v>250</v>
      </c>
      <c r="H2502" s="39">
        <f t="shared" si="156"/>
        <v>12297</v>
      </c>
      <c r="I2502" s="23" t="str">
        <f t="shared" si="157"/>
        <v>Hyderabad</v>
      </c>
      <c r="J2502" s="23">
        <f>COUNTIFS(pg_transaction_cleaned!$O:$O,A2502,pg_transaction_cleaned!$F:$F,"CAPTURE")</f>
        <v>1</v>
      </c>
      <c r="K2502" s="39">
        <f>SUMIFS(pg_transaction_cleaned!$H:$H,pg_transaction_cleaned!$O:$O,A2502,pg_transaction_cleaned!$F:$F,"CAPTURE")</f>
        <v>12297</v>
      </c>
      <c r="L2502" s="23">
        <f>COUNTIFS(pg_transaction_cleaned!$O:$O,A2502,pg_transaction_cleaned!$F:$F,"REFUND")</f>
        <v>0</v>
      </c>
      <c r="M2502" s="39">
        <f>SUMIFS(pg_transaction_cleaned!$H:$H,pg_transaction_cleaned!$O:$O,A2502,pg_transaction_cleaned!$F:$F,"REFUND")</f>
        <v>0</v>
      </c>
      <c r="N2502" s="23" t="str">
        <f t="shared" si="158"/>
        <v>OK</v>
      </c>
      <c r="O2502" s="24">
        <f t="shared" si="159"/>
        <v>0</v>
      </c>
    </row>
    <row r="2503" spans="1:15" ht="15" customHeight="1" x14ac:dyDescent="0.3">
      <c r="A2503" s="23" t="s">
        <v>5492</v>
      </c>
      <c r="B2503" s="38">
        <v>46269</v>
      </c>
      <c r="C2503" s="23" t="s">
        <v>5493</v>
      </c>
      <c r="D2503" s="23" t="s">
        <v>94</v>
      </c>
      <c r="E2503" s="23" t="s">
        <v>81</v>
      </c>
      <c r="F2503" s="23" t="s">
        <v>4621</v>
      </c>
      <c r="G2503" s="23" t="s">
        <v>250</v>
      </c>
      <c r="H2503" s="39">
        <f t="shared" si="156"/>
        <v>5298</v>
      </c>
      <c r="I2503" s="23" t="str">
        <f t="shared" si="157"/>
        <v>Chennai</v>
      </c>
      <c r="J2503" s="23">
        <f>COUNTIFS(pg_transaction_cleaned!$O:$O,A2503,pg_transaction_cleaned!$F:$F,"CAPTURE")</f>
        <v>1</v>
      </c>
      <c r="K2503" s="39">
        <f>SUMIFS(pg_transaction_cleaned!$H:$H,pg_transaction_cleaned!$O:$O,A2503,pg_transaction_cleaned!$F:$F,"CAPTURE")</f>
        <v>5298</v>
      </c>
      <c r="L2503" s="23">
        <f>COUNTIFS(pg_transaction_cleaned!$O:$O,A2503,pg_transaction_cleaned!$F:$F,"REFUND")</f>
        <v>0</v>
      </c>
      <c r="M2503" s="39">
        <f>SUMIFS(pg_transaction_cleaned!$H:$H,pg_transaction_cleaned!$O:$O,A2503,pg_transaction_cleaned!$F:$F,"REFUND")</f>
        <v>0</v>
      </c>
      <c r="N2503" s="23" t="str">
        <f t="shared" si="158"/>
        <v>OK</v>
      </c>
      <c r="O2503" s="24">
        <f t="shared" si="159"/>
        <v>0</v>
      </c>
    </row>
    <row r="2504" spans="1:15" ht="15" customHeight="1" x14ac:dyDescent="0.3">
      <c r="A2504" s="23" t="s">
        <v>5494</v>
      </c>
      <c r="B2504" s="38">
        <v>46274</v>
      </c>
      <c r="C2504" s="23" t="s">
        <v>5495</v>
      </c>
      <c r="D2504" s="23" t="s">
        <v>91</v>
      </c>
      <c r="E2504" s="23" t="s">
        <v>77</v>
      </c>
      <c r="F2504" s="23" t="s">
        <v>5496</v>
      </c>
      <c r="G2504" s="23" t="s">
        <v>250</v>
      </c>
      <c r="H2504" s="39">
        <f t="shared" si="156"/>
        <v>1147</v>
      </c>
      <c r="I2504" s="23" t="str">
        <f t="shared" si="157"/>
        <v>Pune</v>
      </c>
      <c r="J2504" s="23">
        <f>COUNTIFS(pg_transaction_cleaned!$O:$O,A2504,pg_transaction_cleaned!$F:$F,"CAPTURE")</f>
        <v>1</v>
      </c>
      <c r="K2504" s="39">
        <f>SUMIFS(pg_transaction_cleaned!$H:$H,pg_transaction_cleaned!$O:$O,A2504,pg_transaction_cleaned!$F:$F,"CAPTURE")</f>
        <v>1147</v>
      </c>
      <c r="L2504" s="23">
        <f>COUNTIFS(pg_transaction_cleaned!$O:$O,A2504,pg_transaction_cleaned!$F:$F,"REFUND")</f>
        <v>0</v>
      </c>
      <c r="M2504" s="39">
        <f>SUMIFS(pg_transaction_cleaned!$H:$H,pg_transaction_cleaned!$O:$O,A2504,pg_transaction_cleaned!$F:$F,"REFUND")</f>
        <v>0</v>
      </c>
      <c r="N2504" s="23" t="str">
        <f t="shared" si="158"/>
        <v>OK</v>
      </c>
      <c r="O2504" s="24">
        <f t="shared" si="159"/>
        <v>0</v>
      </c>
    </row>
    <row r="2505" spans="1:15" ht="15" customHeight="1" x14ac:dyDescent="0.3">
      <c r="A2505" s="23" t="s">
        <v>5497</v>
      </c>
      <c r="B2505" s="38">
        <v>46294</v>
      </c>
      <c r="C2505" s="23" t="s">
        <v>5498</v>
      </c>
      <c r="D2505" s="23" t="s">
        <v>92</v>
      </c>
      <c r="E2505" s="23" t="s">
        <v>75</v>
      </c>
      <c r="F2505" s="23" t="s">
        <v>349</v>
      </c>
      <c r="G2505" s="23" t="s">
        <v>250</v>
      </c>
      <c r="H2505" s="39">
        <f t="shared" si="156"/>
        <v>1798</v>
      </c>
      <c r="I2505" s="23" t="str">
        <f t="shared" si="157"/>
        <v>Hyderabad</v>
      </c>
      <c r="J2505" s="23">
        <f>COUNTIFS(pg_transaction_cleaned!$O:$O,A2505,pg_transaction_cleaned!$F:$F,"CAPTURE")</f>
        <v>1</v>
      </c>
      <c r="K2505" s="39">
        <f>SUMIFS(pg_transaction_cleaned!$H:$H,pg_transaction_cleaned!$O:$O,A2505,pg_transaction_cleaned!$F:$F,"CAPTURE")</f>
        <v>1798</v>
      </c>
      <c r="L2505" s="23">
        <f>COUNTIFS(pg_transaction_cleaned!$O:$O,A2505,pg_transaction_cleaned!$F:$F,"REFUND")</f>
        <v>0</v>
      </c>
      <c r="M2505" s="39">
        <f>SUMIFS(pg_transaction_cleaned!$H:$H,pg_transaction_cleaned!$O:$O,A2505,pg_transaction_cleaned!$F:$F,"REFUND")</f>
        <v>0</v>
      </c>
      <c r="N2505" s="23" t="str">
        <f t="shared" si="158"/>
        <v>OK</v>
      </c>
      <c r="O2505" s="24">
        <f t="shared" si="159"/>
        <v>0</v>
      </c>
    </row>
    <row r="2506" spans="1:15" ht="15" customHeight="1" x14ac:dyDescent="0.3">
      <c r="A2506" s="23" t="s">
        <v>5499</v>
      </c>
      <c r="B2506" s="38">
        <v>46271</v>
      </c>
      <c r="C2506" s="23" t="s">
        <v>5500</v>
      </c>
      <c r="D2506" s="23" t="s">
        <v>88</v>
      </c>
      <c r="E2506" s="23" t="s">
        <v>75</v>
      </c>
      <c r="F2506" s="23" t="s">
        <v>426</v>
      </c>
      <c r="G2506" s="23" t="s">
        <v>250</v>
      </c>
      <c r="H2506" s="39">
        <f t="shared" si="156"/>
        <v>6798</v>
      </c>
      <c r="I2506" s="23" t="str">
        <f t="shared" si="157"/>
        <v>Lucknow</v>
      </c>
      <c r="J2506" s="23">
        <f>COUNTIFS(pg_transaction_cleaned!$O:$O,A2506,pg_transaction_cleaned!$F:$F,"CAPTURE")</f>
        <v>1</v>
      </c>
      <c r="K2506" s="39">
        <f>SUMIFS(pg_transaction_cleaned!$H:$H,pg_transaction_cleaned!$O:$O,A2506,pg_transaction_cleaned!$F:$F,"CAPTURE")</f>
        <v>6798</v>
      </c>
      <c r="L2506" s="23">
        <f>COUNTIFS(pg_transaction_cleaned!$O:$O,A2506,pg_transaction_cleaned!$F:$F,"REFUND")</f>
        <v>0</v>
      </c>
      <c r="M2506" s="39">
        <f>SUMIFS(pg_transaction_cleaned!$H:$H,pg_transaction_cleaned!$O:$O,A2506,pg_transaction_cleaned!$F:$F,"REFUND")</f>
        <v>0</v>
      </c>
      <c r="N2506" s="23" t="str">
        <f t="shared" si="158"/>
        <v>OK</v>
      </c>
      <c r="O2506" s="24">
        <f t="shared" si="159"/>
        <v>0</v>
      </c>
    </row>
    <row r="2507" spans="1:15" ht="15" customHeight="1" x14ac:dyDescent="0.3">
      <c r="A2507" s="23" t="s">
        <v>5501</v>
      </c>
      <c r="B2507" s="38">
        <v>46288</v>
      </c>
      <c r="C2507" s="23" t="s">
        <v>5502</v>
      </c>
      <c r="D2507" s="23"/>
      <c r="E2507" s="23" t="s">
        <v>75</v>
      </c>
      <c r="F2507" s="23" t="s">
        <v>396</v>
      </c>
      <c r="G2507" s="23" t="s">
        <v>250</v>
      </c>
      <c r="H2507" s="39">
        <f t="shared" si="156"/>
        <v>2999</v>
      </c>
      <c r="I2507" s="23" t="str">
        <f t="shared" si="157"/>
        <v>Unknown</v>
      </c>
      <c r="J2507" s="23">
        <f>COUNTIFS(pg_transaction_cleaned!$O:$O,A2507,pg_transaction_cleaned!$F:$F,"CAPTURE")</f>
        <v>1</v>
      </c>
      <c r="K2507" s="39">
        <f>SUMIFS(pg_transaction_cleaned!$H:$H,pg_transaction_cleaned!$O:$O,A2507,pg_transaction_cleaned!$F:$F,"CAPTURE")</f>
        <v>2999</v>
      </c>
      <c r="L2507" s="23">
        <f>COUNTIFS(pg_transaction_cleaned!$O:$O,A2507,pg_transaction_cleaned!$F:$F,"REFUND")</f>
        <v>0</v>
      </c>
      <c r="M2507" s="39">
        <f>SUMIFS(pg_transaction_cleaned!$H:$H,pg_transaction_cleaned!$O:$O,A2507,pg_transaction_cleaned!$F:$F,"REFUND")</f>
        <v>0</v>
      </c>
      <c r="N2507" s="23" t="str">
        <f t="shared" si="158"/>
        <v>OK</v>
      </c>
      <c r="O2507" s="24">
        <f t="shared" si="159"/>
        <v>0</v>
      </c>
    </row>
    <row r="2508" spans="1:15" ht="15" customHeight="1" x14ac:dyDescent="0.3">
      <c r="A2508" s="23" t="s">
        <v>5503</v>
      </c>
      <c r="B2508" s="38">
        <v>46289</v>
      </c>
      <c r="C2508" s="23" t="s">
        <v>5504</v>
      </c>
      <c r="D2508" s="23" t="s">
        <v>88</v>
      </c>
      <c r="E2508" s="23" t="s">
        <v>75</v>
      </c>
      <c r="F2508" s="23" t="s">
        <v>5505</v>
      </c>
      <c r="G2508" s="23" t="s">
        <v>250</v>
      </c>
      <c r="H2508" s="39">
        <f t="shared" si="156"/>
        <v>3697</v>
      </c>
      <c r="I2508" s="23" t="str">
        <f t="shared" si="157"/>
        <v>Lucknow</v>
      </c>
      <c r="J2508" s="23">
        <f>COUNTIFS(pg_transaction_cleaned!$O:$O,A2508,pg_transaction_cleaned!$F:$F,"CAPTURE")</f>
        <v>1</v>
      </c>
      <c r="K2508" s="39">
        <f>SUMIFS(pg_transaction_cleaned!$H:$H,pg_transaction_cleaned!$O:$O,A2508,pg_transaction_cleaned!$F:$F,"CAPTURE")</f>
        <v>3697</v>
      </c>
      <c r="L2508" s="23">
        <f>COUNTIFS(pg_transaction_cleaned!$O:$O,A2508,pg_transaction_cleaned!$F:$F,"REFUND")</f>
        <v>0</v>
      </c>
      <c r="M2508" s="39">
        <f>SUMIFS(pg_transaction_cleaned!$H:$H,pg_transaction_cleaned!$O:$O,A2508,pg_transaction_cleaned!$F:$F,"REFUND")</f>
        <v>0</v>
      </c>
      <c r="N2508" s="23" t="str">
        <f t="shared" si="158"/>
        <v>OK</v>
      </c>
      <c r="O2508" s="24">
        <f t="shared" si="159"/>
        <v>0</v>
      </c>
    </row>
    <row r="2509" spans="1:15" ht="15" customHeight="1" x14ac:dyDescent="0.3">
      <c r="A2509" s="23" t="s">
        <v>5506</v>
      </c>
      <c r="B2509" s="38">
        <v>46291</v>
      </c>
      <c r="C2509" s="23" t="s">
        <v>5507</v>
      </c>
      <c r="D2509" s="23" t="s">
        <v>95</v>
      </c>
      <c r="E2509" s="23" t="s">
        <v>75</v>
      </c>
      <c r="F2509" s="23" t="s">
        <v>1047</v>
      </c>
      <c r="G2509" s="23" t="s">
        <v>250</v>
      </c>
      <c r="H2509" s="39">
        <f t="shared" si="156"/>
        <v>13597</v>
      </c>
      <c r="I2509" s="23" t="str">
        <f t="shared" si="157"/>
        <v>Bengaluru</v>
      </c>
      <c r="J2509" s="23">
        <f>COUNTIFS(pg_transaction_cleaned!$O:$O,A2509,pg_transaction_cleaned!$F:$F,"CAPTURE")</f>
        <v>1</v>
      </c>
      <c r="K2509" s="39">
        <f>SUMIFS(pg_transaction_cleaned!$H:$H,pg_transaction_cleaned!$O:$O,A2509,pg_transaction_cleaned!$F:$F,"CAPTURE")</f>
        <v>13597</v>
      </c>
      <c r="L2509" s="23">
        <f>COUNTIFS(pg_transaction_cleaned!$O:$O,A2509,pg_transaction_cleaned!$F:$F,"REFUND")</f>
        <v>0</v>
      </c>
      <c r="M2509" s="39">
        <f>SUMIFS(pg_transaction_cleaned!$H:$H,pg_transaction_cleaned!$O:$O,A2509,pg_transaction_cleaned!$F:$F,"REFUND")</f>
        <v>0</v>
      </c>
      <c r="N2509" s="23" t="str">
        <f t="shared" si="158"/>
        <v>OK</v>
      </c>
      <c r="O2509" s="24">
        <f t="shared" si="159"/>
        <v>0</v>
      </c>
    </row>
    <row r="2510" spans="1:15" ht="15" customHeight="1" x14ac:dyDescent="0.3">
      <c r="A2510" s="23" t="s">
        <v>5508</v>
      </c>
      <c r="B2510" s="38">
        <v>46285</v>
      </c>
      <c r="C2510" s="23" t="s">
        <v>5509</v>
      </c>
      <c r="D2510" s="23" t="s">
        <v>88</v>
      </c>
      <c r="E2510" s="23" t="s">
        <v>75</v>
      </c>
      <c r="F2510" s="23" t="s">
        <v>5510</v>
      </c>
      <c r="G2510" s="23" t="s">
        <v>250</v>
      </c>
      <c r="H2510" s="39">
        <f t="shared" si="156"/>
        <v>9897</v>
      </c>
      <c r="I2510" s="23" t="str">
        <f t="shared" si="157"/>
        <v>Lucknow</v>
      </c>
      <c r="J2510" s="23">
        <f>COUNTIFS(pg_transaction_cleaned!$O:$O,A2510,pg_transaction_cleaned!$F:$F,"CAPTURE")</f>
        <v>1</v>
      </c>
      <c r="K2510" s="39">
        <f>SUMIFS(pg_transaction_cleaned!$H:$H,pg_transaction_cleaned!$O:$O,A2510,pg_transaction_cleaned!$F:$F,"CAPTURE")</f>
        <v>9897</v>
      </c>
      <c r="L2510" s="23">
        <f>COUNTIFS(pg_transaction_cleaned!$O:$O,A2510,pg_transaction_cleaned!$F:$F,"REFUND")</f>
        <v>0</v>
      </c>
      <c r="M2510" s="39">
        <f>SUMIFS(pg_transaction_cleaned!$H:$H,pg_transaction_cleaned!$O:$O,A2510,pg_transaction_cleaned!$F:$F,"REFUND")</f>
        <v>0</v>
      </c>
      <c r="N2510" s="23" t="str">
        <f t="shared" si="158"/>
        <v>OK</v>
      </c>
      <c r="O2510" s="24">
        <f t="shared" si="159"/>
        <v>0</v>
      </c>
    </row>
    <row r="2511" spans="1:15" ht="15" customHeight="1" x14ac:dyDescent="0.3">
      <c r="A2511" s="23" t="s">
        <v>5511</v>
      </c>
      <c r="B2511" s="38">
        <v>46279</v>
      </c>
      <c r="C2511" s="23" t="s">
        <v>5512</v>
      </c>
      <c r="D2511" s="23" t="s">
        <v>93</v>
      </c>
      <c r="E2511" s="23" t="s">
        <v>81</v>
      </c>
      <c r="F2511" s="23" t="s">
        <v>357</v>
      </c>
      <c r="G2511" s="23" t="s">
        <v>250</v>
      </c>
      <c r="H2511" s="39">
        <f t="shared" si="156"/>
        <v>1598</v>
      </c>
      <c r="I2511" s="23" t="str">
        <f t="shared" si="157"/>
        <v>Kolkata</v>
      </c>
      <c r="J2511" s="23">
        <f>COUNTIFS(pg_transaction_cleaned!$O:$O,A2511,pg_transaction_cleaned!$F:$F,"CAPTURE")</f>
        <v>1</v>
      </c>
      <c r="K2511" s="39">
        <f>SUMIFS(pg_transaction_cleaned!$H:$H,pg_transaction_cleaned!$O:$O,A2511,pg_transaction_cleaned!$F:$F,"CAPTURE")</f>
        <v>1598</v>
      </c>
      <c r="L2511" s="23">
        <f>COUNTIFS(pg_transaction_cleaned!$O:$O,A2511,pg_transaction_cleaned!$F:$F,"REFUND")</f>
        <v>0</v>
      </c>
      <c r="M2511" s="39">
        <f>SUMIFS(pg_transaction_cleaned!$H:$H,pg_transaction_cleaned!$O:$O,A2511,pg_transaction_cleaned!$F:$F,"REFUND")</f>
        <v>0</v>
      </c>
      <c r="N2511" s="23" t="str">
        <f t="shared" si="158"/>
        <v>OK</v>
      </c>
      <c r="O2511" s="24">
        <f t="shared" si="159"/>
        <v>0</v>
      </c>
    </row>
    <row r="2512" spans="1:15" ht="15" customHeight="1" x14ac:dyDescent="0.3">
      <c r="A2512" s="23" t="s">
        <v>5513</v>
      </c>
      <c r="B2512" s="38">
        <v>46274</v>
      </c>
      <c r="C2512" s="23" t="s">
        <v>5514</v>
      </c>
      <c r="D2512" s="23" t="s">
        <v>92</v>
      </c>
      <c r="E2512" s="23" t="s">
        <v>75</v>
      </c>
      <c r="F2512" s="23" t="s">
        <v>1308</v>
      </c>
      <c r="G2512" s="23" t="s">
        <v>301</v>
      </c>
      <c r="H2512" s="39">
        <f t="shared" si="156"/>
        <v>4297</v>
      </c>
      <c r="I2512" s="23" t="str">
        <f t="shared" si="157"/>
        <v>Hyderabad</v>
      </c>
      <c r="J2512" s="23">
        <f>COUNTIFS(pg_transaction_cleaned!$O:$O,A2512,pg_transaction_cleaned!$F:$F,"CAPTURE")</f>
        <v>1</v>
      </c>
      <c r="K2512" s="39">
        <f>SUMIFS(pg_transaction_cleaned!$H:$H,pg_transaction_cleaned!$O:$O,A2512,pg_transaction_cleaned!$F:$F,"CAPTURE")</f>
        <v>4297</v>
      </c>
      <c r="L2512" s="23">
        <f>COUNTIFS(pg_transaction_cleaned!$O:$O,A2512,pg_transaction_cleaned!$F:$F,"REFUND")</f>
        <v>1</v>
      </c>
      <c r="M2512" s="39">
        <f>SUMIFS(pg_transaction_cleaned!$H:$H,pg_transaction_cleaned!$O:$O,A2512,pg_transaction_cleaned!$F:$F,"REFUND")</f>
        <v>4297</v>
      </c>
      <c r="N2512" s="23" t="str">
        <f t="shared" si="158"/>
        <v>OK</v>
      </c>
      <c r="O2512" s="24">
        <f t="shared" si="159"/>
        <v>0</v>
      </c>
    </row>
    <row r="2513" spans="1:15" ht="15" customHeight="1" x14ac:dyDescent="0.3">
      <c r="A2513" s="23" t="s">
        <v>5515</v>
      </c>
      <c r="B2513" s="38">
        <v>46288</v>
      </c>
      <c r="C2513" s="23" t="s">
        <v>5516</v>
      </c>
      <c r="D2513" s="23" t="s">
        <v>95</v>
      </c>
      <c r="E2513" s="23" t="s">
        <v>79</v>
      </c>
      <c r="F2513" s="23" t="s">
        <v>271</v>
      </c>
      <c r="G2513" s="23" t="s">
        <v>250</v>
      </c>
      <c r="H2513" s="39">
        <f t="shared" si="156"/>
        <v>2499</v>
      </c>
      <c r="I2513" s="23" t="str">
        <f t="shared" si="157"/>
        <v>Bengaluru</v>
      </c>
      <c r="J2513" s="23">
        <f>COUNTIFS(pg_transaction_cleaned!$O:$O,A2513,pg_transaction_cleaned!$F:$F,"CAPTURE")</f>
        <v>1</v>
      </c>
      <c r="K2513" s="39">
        <f>SUMIFS(pg_transaction_cleaned!$H:$H,pg_transaction_cleaned!$O:$O,A2513,pg_transaction_cleaned!$F:$F,"CAPTURE")</f>
        <v>2499</v>
      </c>
      <c r="L2513" s="23">
        <f>COUNTIFS(pg_transaction_cleaned!$O:$O,A2513,pg_transaction_cleaned!$F:$F,"REFUND")</f>
        <v>0</v>
      </c>
      <c r="M2513" s="39">
        <f>SUMIFS(pg_transaction_cleaned!$H:$H,pg_transaction_cleaned!$O:$O,A2513,pg_transaction_cleaned!$F:$F,"REFUND")</f>
        <v>0</v>
      </c>
      <c r="N2513" s="23" t="str">
        <f t="shared" si="158"/>
        <v>OK</v>
      </c>
      <c r="O2513" s="24">
        <f t="shared" si="159"/>
        <v>0</v>
      </c>
    </row>
    <row r="2514" spans="1:15" ht="15" customHeight="1" x14ac:dyDescent="0.3">
      <c r="A2514" s="23" t="s">
        <v>5517</v>
      </c>
      <c r="B2514" s="38">
        <v>46270</v>
      </c>
      <c r="C2514" s="23" t="s">
        <v>5518</v>
      </c>
      <c r="D2514" s="23" t="s">
        <v>93</v>
      </c>
      <c r="E2514" s="23" t="s">
        <v>79</v>
      </c>
      <c r="F2514" s="23" t="s">
        <v>5519</v>
      </c>
      <c r="G2514" s="23" t="s">
        <v>250</v>
      </c>
      <c r="H2514" s="39">
        <f t="shared" si="156"/>
        <v>1497</v>
      </c>
      <c r="I2514" s="23" t="str">
        <f t="shared" si="157"/>
        <v>Kolkata</v>
      </c>
      <c r="J2514" s="23">
        <f>COUNTIFS(pg_transaction_cleaned!$O:$O,A2514,pg_transaction_cleaned!$F:$F,"CAPTURE")</f>
        <v>1</v>
      </c>
      <c r="K2514" s="39">
        <f>SUMIFS(pg_transaction_cleaned!$H:$H,pg_transaction_cleaned!$O:$O,A2514,pg_transaction_cleaned!$F:$F,"CAPTURE")</f>
        <v>1497</v>
      </c>
      <c r="L2514" s="23">
        <f>COUNTIFS(pg_transaction_cleaned!$O:$O,A2514,pg_transaction_cleaned!$F:$F,"REFUND")</f>
        <v>0</v>
      </c>
      <c r="M2514" s="39">
        <f>SUMIFS(pg_transaction_cleaned!$H:$H,pg_transaction_cleaned!$O:$O,A2514,pg_transaction_cleaned!$F:$F,"REFUND")</f>
        <v>0</v>
      </c>
      <c r="N2514" s="23" t="str">
        <f t="shared" si="158"/>
        <v>OK</v>
      </c>
      <c r="O2514" s="24">
        <f t="shared" si="159"/>
        <v>0</v>
      </c>
    </row>
    <row r="2515" spans="1:15" ht="15" customHeight="1" x14ac:dyDescent="0.3">
      <c r="A2515" s="23" t="s">
        <v>5520</v>
      </c>
      <c r="B2515" s="38">
        <v>46270</v>
      </c>
      <c r="C2515" s="23" t="s">
        <v>5521</v>
      </c>
      <c r="D2515" s="23" t="s">
        <v>95</v>
      </c>
      <c r="E2515" s="23" t="s">
        <v>79</v>
      </c>
      <c r="F2515" s="23" t="s">
        <v>475</v>
      </c>
      <c r="G2515" s="23" t="s">
        <v>318</v>
      </c>
      <c r="H2515" s="39">
        <f t="shared" si="156"/>
        <v>799</v>
      </c>
      <c r="I2515" s="23" t="str">
        <f t="shared" si="157"/>
        <v>Bengaluru</v>
      </c>
      <c r="J2515" s="23">
        <f>COUNTIFS(pg_transaction_cleaned!$O:$O,A2515,pg_transaction_cleaned!$F:$F,"CAPTURE")</f>
        <v>0</v>
      </c>
      <c r="K2515" s="39">
        <f>SUMIFS(pg_transaction_cleaned!$H:$H,pg_transaction_cleaned!$O:$O,A2515,pg_transaction_cleaned!$F:$F,"CAPTURE")</f>
        <v>0</v>
      </c>
      <c r="L2515" s="23">
        <f>COUNTIFS(pg_transaction_cleaned!$O:$O,A2515,pg_transaction_cleaned!$F:$F,"REFUND")</f>
        <v>0</v>
      </c>
      <c r="M2515" s="39">
        <f>SUMIFS(pg_transaction_cleaned!$H:$H,pg_transaction_cleaned!$O:$O,A2515,pg_transaction_cleaned!$F:$F,"REFUND")</f>
        <v>0</v>
      </c>
      <c r="N2515" s="23" t="str">
        <f t="shared" si="158"/>
        <v>OK</v>
      </c>
      <c r="O2515" s="24">
        <f t="shared" si="159"/>
        <v>0</v>
      </c>
    </row>
    <row r="2516" spans="1:15" ht="15" customHeight="1" x14ac:dyDescent="0.3">
      <c r="A2516" s="23" t="s">
        <v>5522</v>
      </c>
      <c r="B2516" s="38">
        <v>46288</v>
      </c>
      <c r="C2516" s="23" t="s">
        <v>2218</v>
      </c>
      <c r="D2516" s="23" t="s">
        <v>95</v>
      </c>
      <c r="E2516" s="23" t="s">
        <v>75</v>
      </c>
      <c r="F2516" s="23" t="s">
        <v>310</v>
      </c>
      <c r="G2516" s="23" t="s">
        <v>250</v>
      </c>
      <c r="H2516" s="39">
        <f t="shared" si="156"/>
        <v>7999</v>
      </c>
      <c r="I2516" s="23" t="str">
        <f t="shared" si="157"/>
        <v>Bengaluru</v>
      </c>
      <c r="J2516" s="23">
        <f>COUNTIFS(pg_transaction_cleaned!$O:$O,A2516,pg_transaction_cleaned!$F:$F,"CAPTURE")</f>
        <v>1</v>
      </c>
      <c r="K2516" s="39">
        <f>SUMIFS(pg_transaction_cleaned!$H:$H,pg_transaction_cleaned!$O:$O,A2516,pg_transaction_cleaned!$F:$F,"CAPTURE")</f>
        <v>7999</v>
      </c>
      <c r="L2516" s="23">
        <f>COUNTIFS(pg_transaction_cleaned!$O:$O,A2516,pg_transaction_cleaned!$F:$F,"REFUND")</f>
        <v>0</v>
      </c>
      <c r="M2516" s="39">
        <f>SUMIFS(pg_transaction_cleaned!$H:$H,pg_transaction_cleaned!$O:$O,A2516,pg_transaction_cleaned!$F:$F,"REFUND")</f>
        <v>0</v>
      </c>
      <c r="N2516" s="23" t="str">
        <f t="shared" si="158"/>
        <v>OK</v>
      </c>
      <c r="O2516" s="24">
        <f t="shared" si="159"/>
        <v>0</v>
      </c>
    </row>
    <row r="2517" spans="1:15" ht="15" customHeight="1" x14ac:dyDescent="0.3">
      <c r="A2517" s="23" t="s">
        <v>5523</v>
      </c>
      <c r="B2517" s="38">
        <v>46280</v>
      </c>
      <c r="C2517" s="23" t="s">
        <v>5524</v>
      </c>
      <c r="D2517" s="23" t="s">
        <v>94</v>
      </c>
      <c r="E2517" s="23" t="s">
        <v>79</v>
      </c>
      <c r="F2517" s="23" t="s">
        <v>262</v>
      </c>
      <c r="G2517" s="23" t="s">
        <v>250</v>
      </c>
      <c r="H2517" s="39">
        <f t="shared" si="156"/>
        <v>499</v>
      </c>
      <c r="I2517" s="23" t="str">
        <f t="shared" si="157"/>
        <v>Chennai</v>
      </c>
      <c r="J2517" s="23">
        <f>COUNTIFS(pg_transaction_cleaned!$O:$O,A2517,pg_transaction_cleaned!$F:$F,"CAPTURE")</f>
        <v>1</v>
      </c>
      <c r="K2517" s="39">
        <f>SUMIFS(pg_transaction_cleaned!$H:$H,pg_transaction_cleaned!$O:$O,A2517,pg_transaction_cleaned!$F:$F,"CAPTURE")</f>
        <v>499</v>
      </c>
      <c r="L2517" s="23">
        <f>COUNTIFS(pg_transaction_cleaned!$O:$O,A2517,pg_transaction_cleaned!$F:$F,"REFUND")</f>
        <v>0</v>
      </c>
      <c r="M2517" s="39">
        <f>SUMIFS(pg_transaction_cleaned!$H:$H,pg_transaction_cleaned!$O:$O,A2517,pg_transaction_cleaned!$F:$F,"REFUND")</f>
        <v>0</v>
      </c>
      <c r="N2517" s="23" t="str">
        <f t="shared" si="158"/>
        <v>OK</v>
      </c>
      <c r="O2517" s="24">
        <f t="shared" si="159"/>
        <v>0</v>
      </c>
    </row>
    <row r="2518" spans="1:15" ht="15" customHeight="1" x14ac:dyDescent="0.3">
      <c r="A2518" s="23" t="s">
        <v>5525</v>
      </c>
      <c r="B2518" s="38">
        <v>46279</v>
      </c>
      <c r="C2518" s="23" t="s">
        <v>5526</v>
      </c>
      <c r="D2518" s="23" t="s">
        <v>86</v>
      </c>
      <c r="E2518" s="23" t="s">
        <v>75</v>
      </c>
      <c r="F2518" s="23" t="s">
        <v>772</v>
      </c>
      <c r="G2518" s="23" t="s">
        <v>250</v>
      </c>
      <c r="H2518" s="39">
        <f t="shared" si="156"/>
        <v>4798</v>
      </c>
      <c r="I2518" s="23" t="str">
        <f t="shared" si="157"/>
        <v>Delhi</v>
      </c>
      <c r="J2518" s="23">
        <f>COUNTIFS(pg_transaction_cleaned!$O:$O,A2518,pg_transaction_cleaned!$F:$F,"CAPTURE")</f>
        <v>1</v>
      </c>
      <c r="K2518" s="39">
        <f>SUMIFS(pg_transaction_cleaned!$H:$H,pg_transaction_cleaned!$O:$O,A2518,pg_transaction_cleaned!$F:$F,"CAPTURE")</f>
        <v>4798</v>
      </c>
      <c r="L2518" s="23">
        <f>COUNTIFS(pg_transaction_cleaned!$O:$O,A2518,pg_transaction_cleaned!$F:$F,"REFUND")</f>
        <v>0</v>
      </c>
      <c r="M2518" s="39">
        <f>SUMIFS(pg_transaction_cleaned!$H:$H,pg_transaction_cleaned!$O:$O,A2518,pg_transaction_cleaned!$F:$F,"REFUND")</f>
        <v>0</v>
      </c>
      <c r="N2518" s="23" t="str">
        <f t="shared" si="158"/>
        <v>OK</v>
      </c>
      <c r="O2518" s="24">
        <f t="shared" si="159"/>
        <v>0</v>
      </c>
    </row>
    <row r="2519" spans="1:15" ht="15" customHeight="1" x14ac:dyDescent="0.3">
      <c r="A2519" s="23" t="s">
        <v>5527</v>
      </c>
      <c r="B2519" s="38">
        <v>46272</v>
      </c>
      <c r="C2519" s="23" t="s">
        <v>5528</v>
      </c>
      <c r="D2519" s="23" t="s">
        <v>95</v>
      </c>
      <c r="E2519" s="23" t="s">
        <v>81</v>
      </c>
      <c r="F2519" s="23" t="s">
        <v>357</v>
      </c>
      <c r="G2519" s="23" t="s">
        <v>250</v>
      </c>
      <c r="H2519" s="39">
        <f t="shared" si="156"/>
        <v>1598</v>
      </c>
      <c r="I2519" s="23" t="str">
        <f t="shared" si="157"/>
        <v>Bengaluru</v>
      </c>
      <c r="J2519" s="23">
        <f>COUNTIFS(pg_transaction_cleaned!$O:$O,A2519,pg_transaction_cleaned!$F:$F,"CAPTURE")</f>
        <v>1</v>
      </c>
      <c r="K2519" s="39">
        <f>SUMIFS(pg_transaction_cleaned!$H:$H,pg_transaction_cleaned!$O:$O,A2519,pg_transaction_cleaned!$F:$F,"CAPTURE")</f>
        <v>1598</v>
      </c>
      <c r="L2519" s="23">
        <f>COUNTIFS(pg_transaction_cleaned!$O:$O,A2519,pg_transaction_cleaned!$F:$F,"REFUND")</f>
        <v>0</v>
      </c>
      <c r="M2519" s="39">
        <f>SUMIFS(pg_transaction_cleaned!$H:$H,pg_transaction_cleaned!$O:$O,A2519,pg_transaction_cleaned!$F:$F,"REFUND")</f>
        <v>0</v>
      </c>
      <c r="N2519" s="23" t="str">
        <f t="shared" si="158"/>
        <v>OK</v>
      </c>
      <c r="O2519" s="24">
        <f t="shared" si="159"/>
        <v>0</v>
      </c>
    </row>
    <row r="2520" spans="1:15" ht="15" customHeight="1" x14ac:dyDescent="0.3">
      <c r="A2520" s="23" t="s">
        <v>5529</v>
      </c>
      <c r="B2520" s="38">
        <v>46281</v>
      </c>
      <c r="C2520" s="23" t="s">
        <v>5530</v>
      </c>
      <c r="D2520" s="23" t="s">
        <v>86</v>
      </c>
      <c r="E2520" s="23" t="s">
        <v>75</v>
      </c>
      <c r="F2520" s="23" t="s">
        <v>256</v>
      </c>
      <c r="G2520" s="23" t="s">
        <v>250</v>
      </c>
      <c r="H2520" s="39">
        <f t="shared" si="156"/>
        <v>2098</v>
      </c>
      <c r="I2520" s="23" t="str">
        <f t="shared" si="157"/>
        <v>Delhi</v>
      </c>
      <c r="J2520" s="23">
        <f>COUNTIFS(pg_transaction_cleaned!$O:$O,A2520,pg_transaction_cleaned!$F:$F,"CAPTURE")</f>
        <v>1</v>
      </c>
      <c r="K2520" s="39">
        <f>SUMIFS(pg_transaction_cleaned!$H:$H,pg_transaction_cleaned!$O:$O,A2520,pg_transaction_cleaned!$F:$F,"CAPTURE")</f>
        <v>2098</v>
      </c>
      <c r="L2520" s="23">
        <f>COUNTIFS(pg_transaction_cleaned!$O:$O,A2520,pg_transaction_cleaned!$F:$F,"REFUND")</f>
        <v>0</v>
      </c>
      <c r="M2520" s="39">
        <f>SUMIFS(pg_transaction_cleaned!$H:$H,pg_transaction_cleaned!$O:$O,A2520,pg_transaction_cleaned!$F:$F,"REFUND")</f>
        <v>0</v>
      </c>
      <c r="N2520" s="23" t="str">
        <f t="shared" si="158"/>
        <v>OK</v>
      </c>
      <c r="O2520" s="24">
        <f t="shared" si="159"/>
        <v>0</v>
      </c>
    </row>
    <row r="2521" spans="1:15" ht="15" customHeight="1" x14ac:dyDescent="0.3">
      <c r="A2521" s="23" t="s">
        <v>5531</v>
      </c>
      <c r="B2521" s="38">
        <v>46267</v>
      </c>
      <c r="C2521" s="23" t="s">
        <v>5532</v>
      </c>
      <c r="D2521" s="23" t="s">
        <v>91</v>
      </c>
      <c r="E2521" s="23" t="s">
        <v>75</v>
      </c>
      <c r="F2521" s="23" t="s">
        <v>1596</v>
      </c>
      <c r="G2521" s="23" t="s">
        <v>250</v>
      </c>
      <c r="H2521" s="39">
        <f t="shared" si="156"/>
        <v>3499</v>
      </c>
      <c r="I2521" s="23" t="str">
        <f t="shared" si="157"/>
        <v>Pune</v>
      </c>
      <c r="J2521" s="23">
        <f>COUNTIFS(pg_transaction_cleaned!$O:$O,A2521,pg_transaction_cleaned!$F:$F,"CAPTURE")</f>
        <v>1</v>
      </c>
      <c r="K2521" s="39">
        <f>SUMIFS(pg_transaction_cleaned!$H:$H,pg_transaction_cleaned!$O:$O,A2521,pg_transaction_cleaned!$F:$F,"CAPTURE")</f>
        <v>3499</v>
      </c>
      <c r="L2521" s="23">
        <f>COUNTIFS(pg_transaction_cleaned!$O:$O,A2521,pg_transaction_cleaned!$F:$F,"REFUND")</f>
        <v>0</v>
      </c>
      <c r="M2521" s="39">
        <f>SUMIFS(pg_transaction_cleaned!$H:$H,pg_transaction_cleaned!$O:$O,A2521,pg_transaction_cleaned!$F:$F,"REFUND")</f>
        <v>0</v>
      </c>
      <c r="N2521" s="23" t="str">
        <f t="shared" si="158"/>
        <v>OK</v>
      </c>
      <c r="O2521" s="24">
        <f t="shared" si="159"/>
        <v>0</v>
      </c>
    </row>
    <row r="2522" spans="1:15" ht="15" customHeight="1" x14ac:dyDescent="0.3">
      <c r="A2522" s="23" t="s">
        <v>5533</v>
      </c>
      <c r="B2522" s="38">
        <v>46294</v>
      </c>
      <c r="C2522" s="23" t="s">
        <v>5534</v>
      </c>
      <c r="D2522" s="23"/>
      <c r="E2522" s="23" t="s">
        <v>75</v>
      </c>
      <c r="F2522" s="23" t="s">
        <v>262</v>
      </c>
      <c r="G2522" s="23" t="s">
        <v>250</v>
      </c>
      <c r="H2522" s="39">
        <f t="shared" si="156"/>
        <v>499</v>
      </c>
      <c r="I2522" s="23" t="str">
        <f t="shared" si="157"/>
        <v>Unknown</v>
      </c>
      <c r="J2522" s="23">
        <f>COUNTIFS(pg_transaction_cleaned!$O:$O,A2522,pg_transaction_cleaned!$F:$F,"CAPTURE")</f>
        <v>1</v>
      </c>
      <c r="K2522" s="39">
        <f>SUMIFS(pg_transaction_cleaned!$H:$H,pg_transaction_cleaned!$O:$O,A2522,pg_transaction_cleaned!$F:$F,"CAPTURE")</f>
        <v>499</v>
      </c>
      <c r="L2522" s="23">
        <f>COUNTIFS(pg_transaction_cleaned!$O:$O,A2522,pg_transaction_cleaned!$F:$F,"REFUND")</f>
        <v>0</v>
      </c>
      <c r="M2522" s="39">
        <f>SUMIFS(pg_transaction_cleaned!$H:$H,pg_transaction_cleaned!$O:$O,A2522,pg_transaction_cleaned!$F:$F,"REFUND")</f>
        <v>0</v>
      </c>
      <c r="N2522" s="23" t="str">
        <f t="shared" si="158"/>
        <v>OK</v>
      </c>
      <c r="O2522" s="24">
        <f t="shared" si="159"/>
        <v>0</v>
      </c>
    </row>
    <row r="2523" spans="1:15" ht="15" customHeight="1" x14ac:dyDescent="0.3">
      <c r="A2523" s="23" t="s">
        <v>5535</v>
      </c>
      <c r="B2523" s="38">
        <v>46291</v>
      </c>
      <c r="C2523" s="23" t="s">
        <v>5536</v>
      </c>
      <c r="D2523" s="23" t="s">
        <v>90</v>
      </c>
      <c r="E2523" s="23" t="s">
        <v>75</v>
      </c>
      <c r="F2523" s="23" t="s">
        <v>378</v>
      </c>
      <c r="G2523" s="23" t="s">
        <v>250</v>
      </c>
      <c r="H2523" s="39">
        <f t="shared" si="156"/>
        <v>2848</v>
      </c>
      <c r="I2523" s="23" t="str">
        <f t="shared" si="157"/>
        <v>Ahmedabad</v>
      </c>
      <c r="J2523" s="23">
        <f>COUNTIFS(pg_transaction_cleaned!$O:$O,A2523,pg_transaction_cleaned!$F:$F,"CAPTURE")</f>
        <v>1</v>
      </c>
      <c r="K2523" s="39">
        <f>SUMIFS(pg_transaction_cleaned!$H:$H,pg_transaction_cleaned!$O:$O,A2523,pg_transaction_cleaned!$F:$F,"CAPTURE")</f>
        <v>2848</v>
      </c>
      <c r="L2523" s="23">
        <f>COUNTIFS(pg_transaction_cleaned!$O:$O,A2523,pg_transaction_cleaned!$F:$F,"REFUND")</f>
        <v>0</v>
      </c>
      <c r="M2523" s="39">
        <f>SUMIFS(pg_transaction_cleaned!$H:$H,pg_transaction_cleaned!$O:$O,A2523,pg_transaction_cleaned!$F:$F,"REFUND")</f>
        <v>0</v>
      </c>
      <c r="N2523" s="23" t="str">
        <f t="shared" si="158"/>
        <v>OK</v>
      </c>
      <c r="O2523" s="24">
        <f t="shared" si="159"/>
        <v>0</v>
      </c>
    </row>
    <row r="2524" spans="1:15" ht="15" customHeight="1" x14ac:dyDescent="0.3">
      <c r="A2524" s="23" t="s">
        <v>5537</v>
      </c>
      <c r="B2524" s="38">
        <v>46272</v>
      </c>
      <c r="C2524" s="23" t="s">
        <v>5538</v>
      </c>
      <c r="D2524" s="23" t="s">
        <v>90</v>
      </c>
      <c r="E2524" s="23" t="s">
        <v>75</v>
      </c>
      <c r="F2524" s="23" t="s">
        <v>5539</v>
      </c>
      <c r="G2524" s="23" t="s">
        <v>250</v>
      </c>
      <c r="H2524" s="39">
        <f t="shared" si="156"/>
        <v>16797</v>
      </c>
      <c r="I2524" s="23" t="str">
        <f t="shared" si="157"/>
        <v>Ahmedabad</v>
      </c>
      <c r="J2524" s="23">
        <f>COUNTIFS(pg_transaction_cleaned!$O:$O,A2524,pg_transaction_cleaned!$F:$F,"CAPTURE")</f>
        <v>1</v>
      </c>
      <c r="K2524" s="39">
        <f>SUMIFS(pg_transaction_cleaned!$H:$H,pg_transaction_cleaned!$O:$O,A2524,pg_transaction_cleaned!$F:$F,"CAPTURE")</f>
        <v>16797</v>
      </c>
      <c r="L2524" s="23">
        <f>COUNTIFS(pg_transaction_cleaned!$O:$O,A2524,pg_transaction_cleaned!$F:$F,"REFUND")</f>
        <v>0</v>
      </c>
      <c r="M2524" s="39">
        <f>SUMIFS(pg_transaction_cleaned!$H:$H,pg_transaction_cleaned!$O:$O,A2524,pg_transaction_cleaned!$F:$F,"REFUND")</f>
        <v>0</v>
      </c>
      <c r="N2524" s="23" t="str">
        <f t="shared" si="158"/>
        <v>OK</v>
      </c>
      <c r="O2524" s="24">
        <f t="shared" si="159"/>
        <v>0</v>
      </c>
    </row>
    <row r="2525" spans="1:15" ht="15" customHeight="1" x14ac:dyDescent="0.3">
      <c r="A2525" s="23" t="s">
        <v>5540</v>
      </c>
      <c r="B2525" s="38">
        <v>46273</v>
      </c>
      <c r="C2525" s="23" t="s">
        <v>5541</v>
      </c>
      <c r="D2525" s="23" t="s">
        <v>95</v>
      </c>
      <c r="E2525" s="23" t="s">
        <v>79</v>
      </c>
      <c r="F2525" s="23" t="s">
        <v>1372</v>
      </c>
      <c r="G2525" s="23" t="s">
        <v>250</v>
      </c>
      <c r="H2525" s="39">
        <f t="shared" si="156"/>
        <v>798</v>
      </c>
      <c r="I2525" s="23" t="str">
        <f t="shared" si="157"/>
        <v>Bengaluru</v>
      </c>
      <c r="J2525" s="23">
        <f>COUNTIFS(pg_transaction_cleaned!$O:$O,A2525,pg_transaction_cleaned!$F:$F,"CAPTURE")</f>
        <v>1</v>
      </c>
      <c r="K2525" s="39">
        <f>SUMIFS(pg_transaction_cleaned!$H:$H,pg_transaction_cleaned!$O:$O,A2525,pg_transaction_cleaned!$F:$F,"CAPTURE")</f>
        <v>798</v>
      </c>
      <c r="L2525" s="23">
        <f>COUNTIFS(pg_transaction_cleaned!$O:$O,A2525,pg_transaction_cleaned!$F:$F,"REFUND")</f>
        <v>0</v>
      </c>
      <c r="M2525" s="39">
        <f>SUMIFS(pg_transaction_cleaned!$H:$H,pg_transaction_cleaned!$O:$O,A2525,pg_transaction_cleaned!$F:$F,"REFUND")</f>
        <v>0</v>
      </c>
      <c r="N2525" s="23" t="str">
        <f t="shared" si="158"/>
        <v>OK</v>
      </c>
      <c r="O2525" s="24">
        <f t="shared" si="159"/>
        <v>0</v>
      </c>
    </row>
    <row r="2526" spans="1:15" ht="15" customHeight="1" x14ac:dyDescent="0.3">
      <c r="A2526" s="23" t="s">
        <v>5542</v>
      </c>
      <c r="B2526" s="38">
        <v>46283</v>
      </c>
      <c r="C2526" s="23" t="s">
        <v>5543</v>
      </c>
      <c r="D2526" s="23" t="s">
        <v>92</v>
      </c>
      <c r="E2526" s="23" t="s">
        <v>79</v>
      </c>
      <c r="F2526" s="23" t="s">
        <v>1193</v>
      </c>
      <c r="G2526" s="23" t="s">
        <v>250</v>
      </c>
      <c r="H2526" s="39">
        <f t="shared" si="156"/>
        <v>3498</v>
      </c>
      <c r="I2526" s="23" t="str">
        <f t="shared" si="157"/>
        <v>Hyderabad</v>
      </c>
      <c r="J2526" s="23">
        <f>COUNTIFS(pg_transaction_cleaned!$O:$O,A2526,pg_transaction_cleaned!$F:$F,"CAPTURE")</f>
        <v>1</v>
      </c>
      <c r="K2526" s="39">
        <f>SUMIFS(pg_transaction_cleaned!$H:$H,pg_transaction_cleaned!$O:$O,A2526,pg_transaction_cleaned!$F:$F,"CAPTURE")</f>
        <v>3498</v>
      </c>
      <c r="L2526" s="23">
        <f>COUNTIFS(pg_transaction_cleaned!$O:$O,A2526,pg_transaction_cleaned!$F:$F,"REFUND")</f>
        <v>0</v>
      </c>
      <c r="M2526" s="39">
        <f>SUMIFS(pg_transaction_cleaned!$H:$H,pg_transaction_cleaned!$O:$O,A2526,pg_transaction_cleaned!$F:$F,"REFUND")</f>
        <v>0</v>
      </c>
      <c r="N2526" s="23" t="str">
        <f t="shared" si="158"/>
        <v>OK</v>
      </c>
      <c r="O2526" s="24">
        <f t="shared" si="159"/>
        <v>0</v>
      </c>
    </row>
    <row r="2527" spans="1:15" ht="15" customHeight="1" x14ac:dyDescent="0.3">
      <c r="A2527" s="23" t="s">
        <v>5544</v>
      </c>
      <c r="B2527" s="38">
        <v>46288</v>
      </c>
      <c r="C2527" s="23" t="s">
        <v>5545</v>
      </c>
      <c r="D2527" s="23" t="s">
        <v>93</v>
      </c>
      <c r="E2527" s="23" t="s">
        <v>75</v>
      </c>
      <c r="F2527" s="23" t="s">
        <v>475</v>
      </c>
      <c r="G2527" s="23" t="s">
        <v>250</v>
      </c>
      <c r="H2527" s="39">
        <f t="shared" si="156"/>
        <v>799</v>
      </c>
      <c r="I2527" s="23" t="str">
        <f t="shared" si="157"/>
        <v>Kolkata</v>
      </c>
      <c r="J2527" s="23">
        <f>COUNTIFS(pg_transaction_cleaned!$O:$O,A2527,pg_transaction_cleaned!$F:$F,"CAPTURE")</f>
        <v>1</v>
      </c>
      <c r="K2527" s="39">
        <f>SUMIFS(pg_transaction_cleaned!$H:$H,pg_transaction_cleaned!$O:$O,A2527,pg_transaction_cleaned!$F:$F,"CAPTURE")</f>
        <v>799</v>
      </c>
      <c r="L2527" s="23">
        <f>COUNTIFS(pg_transaction_cleaned!$O:$O,A2527,pg_transaction_cleaned!$F:$F,"REFUND")</f>
        <v>0</v>
      </c>
      <c r="M2527" s="39">
        <f>SUMIFS(pg_transaction_cleaned!$H:$H,pg_transaction_cleaned!$O:$O,A2527,pg_transaction_cleaned!$F:$F,"REFUND")</f>
        <v>0</v>
      </c>
      <c r="N2527" s="23" t="str">
        <f t="shared" si="158"/>
        <v>OK</v>
      </c>
      <c r="O2527" s="24">
        <f t="shared" si="159"/>
        <v>0</v>
      </c>
    </row>
    <row r="2528" spans="1:15" ht="15" customHeight="1" x14ac:dyDescent="0.3">
      <c r="A2528" s="23" t="s">
        <v>5546</v>
      </c>
      <c r="B2528" s="38">
        <v>46266</v>
      </c>
      <c r="C2528" s="23" t="s">
        <v>5547</v>
      </c>
      <c r="D2528" s="23" t="s">
        <v>92</v>
      </c>
      <c r="E2528" s="23" t="s">
        <v>75</v>
      </c>
      <c r="F2528" s="23" t="s">
        <v>271</v>
      </c>
      <c r="G2528" s="23" t="s">
        <v>318</v>
      </c>
      <c r="H2528" s="39">
        <f t="shared" si="156"/>
        <v>2499</v>
      </c>
      <c r="I2528" s="23" t="str">
        <f t="shared" si="157"/>
        <v>Hyderabad</v>
      </c>
      <c r="J2528" s="23">
        <f>COUNTIFS(pg_transaction_cleaned!$O:$O,A2528,pg_transaction_cleaned!$F:$F,"CAPTURE")</f>
        <v>0</v>
      </c>
      <c r="K2528" s="39">
        <f>SUMIFS(pg_transaction_cleaned!$H:$H,pg_transaction_cleaned!$O:$O,A2528,pg_transaction_cleaned!$F:$F,"CAPTURE")</f>
        <v>0</v>
      </c>
      <c r="L2528" s="23">
        <f>COUNTIFS(pg_transaction_cleaned!$O:$O,A2528,pg_transaction_cleaned!$F:$F,"REFUND")</f>
        <v>0</v>
      </c>
      <c r="M2528" s="39">
        <f>SUMIFS(pg_transaction_cleaned!$H:$H,pg_transaction_cleaned!$O:$O,A2528,pg_transaction_cleaned!$F:$F,"REFUND")</f>
        <v>0</v>
      </c>
      <c r="N2528" s="23" t="str">
        <f t="shared" si="158"/>
        <v>OK</v>
      </c>
      <c r="O2528" s="24">
        <f t="shared" si="159"/>
        <v>0</v>
      </c>
    </row>
    <row r="2529" spans="1:15" ht="15" customHeight="1" x14ac:dyDescent="0.3">
      <c r="A2529" s="23" t="s">
        <v>5548</v>
      </c>
      <c r="B2529" s="38">
        <v>46291</v>
      </c>
      <c r="C2529" s="23" t="s">
        <v>5549</v>
      </c>
      <c r="D2529" s="23" t="s">
        <v>88</v>
      </c>
      <c r="E2529" s="23" t="s">
        <v>77</v>
      </c>
      <c r="F2529" s="23" t="s">
        <v>297</v>
      </c>
      <c r="G2529" s="23" t="s">
        <v>318</v>
      </c>
      <c r="H2529" s="39">
        <f t="shared" si="156"/>
        <v>4999</v>
      </c>
      <c r="I2529" s="23" t="str">
        <f t="shared" si="157"/>
        <v>Lucknow</v>
      </c>
      <c r="J2529" s="23">
        <f>COUNTIFS(pg_transaction_cleaned!$O:$O,A2529,pg_transaction_cleaned!$F:$F,"CAPTURE")</f>
        <v>0</v>
      </c>
      <c r="K2529" s="39">
        <f>SUMIFS(pg_transaction_cleaned!$H:$H,pg_transaction_cleaned!$O:$O,A2529,pg_transaction_cleaned!$F:$F,"CAPTURE")</f>
        <v>0</v>
      </c>
      <c r="L2529" s="23">
        <f>COUNTIFS(pg_transaction_cleaned!$O:$O,A2529,pg_transaction_cleaned!$F:$F,"REFUND")</f>
        <v>0</v>
      </c>
      <c r="M2529" s="39">
        <f>SUMIFS(pg_transaction_cleaned!$H:$H,pg_transaction_cleaned!$O:$O,A2529,pg_transaction_cleaned!$F:$F,"REFUND")</f>
        <v>0</v>
      </c>
      <c r="N2529" s="23" t="str">
        <f t="shared" si="158"/>
        <v>OK</v>
      </c>
      <c r="O2529" s="24">
        <f t="shared" si="159"/>
        <v>0</v>
      </c>
    </row>
    <row r="2530" spans="1:15" ht="15" customHeight="1" x14ac:dyDescent="0.3">
      <c r="A2530" s="23" t="s">
        <v>5550</v>
      </c>
      <c r="B2530" s="38">
        <v>46291</v>
      </c>
      <c r="C2530" s="23" t="s">
        <v>5551</v>
      </c>
      <c r="D2530" s="23" t="s">
        <v>87</v>
      </c>
      <c r="E2530" s="23" t="s">
        <v>75</v>
      </c>
      <c r="F2530" s="23" t="s">
        <v>1193</v>
      </c>
      <c r="G2530" s="23" t="s">
        <v>250</v>
      </c>
      <c r="H2530" s="39">
        <f t="shared" si="156"/>
        <v>3498</v>
      </c>
      <c r="I2530" s="23" t="str">
        <f t="shared" si="157"/>
        <v>Mumbai</v>
      </c>
      <c r="J2530" s="23">
        <f>COUNTIFS(pg_transaction_cleaned!$O:$O,A2530,pg_transaction_cleaned!$F:$F,"CAPTURE")</f>
        <v>1</v>
      </c>
      <c r="K2530" s="39">
        <f>SUMIFS(pg_transaction_cleaned!$H:$H,pg_transaction_cleaned!$O:$O,A2530,pg_transaction_cleaned!$F:$F,"CAPTURE")</f>
        <v>3498</v>
      </c>
      <c r="L2530" s="23">
        <f>COUNTIFS(pg_transaction_cleaned!$O:$O,A2530,pg_transaction_cleaned!$F:$F,"REFUND")</f>
        <v>0</v>
      </c>
      <c r="M2530" s="39">
        <f>SUMIFS(pg_transaction_cleaned!$H:$H,pg_transaction_cleaned!$O:$O,A2530,pg_transaction_cleaned!$F:$F,"REFUND")</f>
        <v>0</v>
      </c>
      <c r="N2530" s="23" t="str">
        <f t="shared" si="158"/>
        <v>OK</v>
      </c>
      <c r="O2530" s="24">
        <f t="shared" si="159"/>
        <v>0</v>
      </c>
    </row>
    <row r="2531" spans="1:15" ht="15" customHeight="1" x14ac:dyDescent="0.3">
      <c r="A2531" s="23" t="s">
        <v>5552</v>
      </c>
      <c r="B2531" s="38">
        <v>46276</v>
      </c>
      <c r="C2531" s="23" t="s">
        <v>5553</v>
      </c>
      <c r="D2531" s="23" t="s">
        <v>86</v>
      </c>
      <c r="E2531" s="23" t="s">
        <v>75</v>
      </c>
      <c r="F2531" s="23" t="s">
        <v>5554</v>
      </c>
      <c r="G2531" s="23" t="s">
        <v>250</v>
      </c>
      <c r="H2531" s="39">
        <f t="shared" si="156"/>
        <v>8097</v>
      </c>
      <c r="I2531" s="23" t="str">
        <f t="shared" si="157"/>
        <v>Delhi</v>
      </c>
      <c r="J2531" s="23">
        <f>COUNTIFS(pg_transaction_cleaned!$O:$O,A2531,pg_transaction_cleaned!$F:$F,"CAPTURE")</f>
        <v>1</v>
      </c>
      <c r="K2531" s="39">
        <f>SUMIFS(pg_transaction_cleaned!$H:$H,pg_transaction_cleaned!$O:$O,A2531,pg_transaction_cleaned!$F:$F,"CAPTURE")</f>
        <v>8097</v>
      </c>
      <c r="L2531" s="23">
        <f>COUNTIFS(pg_transaction_cleaned!$O:$O,A2531,pg_transaction_cleaned!$F:$F,"REFUND")</f>
        <v>0</v>
      </c>
      <c r="M2531" s="39">
        <f>SUMIFS(pg_transaction_cleaned!$H:$H,pg_transaction_cleaned!$O:$O,A2531,pg_transaction_cleaned!$F:$F,"REFUND")</f>
        <v>0</v>
      </c>
      <c r="N2531" s="23" t="str">
        <f t="shared" si="158"/>
        <v>OK</v>
      </c>
      <c r="O2531" s="24">
        <f t="shared" si="159"/>
        <v>0</v>
      </c>
    </row>
    <row r="2532" spans="1:15" ht="15" customHeight="1" x14ac:dyDescent="0.3">
      <c r="A2532" s="23" t="s">
        <v>5555</v>
      </c>
      <c r="B2532" s="38">
        <v>46269</v>
      </c>
      <c r="C2532" s="23" t="s">
        <v>5556</v>
      </c>
      <c r="D2532" s="23" t="s">
        <v>88</v>
      </c>
      <c r="E2532" s="23" t="s">
        <v>79</v>
      </c>
      <c r="F2532" s="23" t="s">
        <v>478</v>
      </c>
      <c r="G2532" s="23" t="s">
        <v>250</v>
      </c>
      <c r="H2532" s="39">
        <f t="shared" si="156"/>
        <v>9297</v>
      </c>
      <c r="I2532" s="23" t="str">
        <f t="shared" si="157"/>
        <v>Lucknow</v>
      </c>
      <c r="J2532" s="23">
        <f>COUNTIFS(pg_transaction_cleaned!$O:$O,A2532,pg_transaction_cleaned!$F:$F,"CAPTURE")</f>
        <v>1</v>
      </c>
      <c r="K2532" s="39">
        <f>SUMIFS(pg_transaction_cleaned!$H:$H,pg_transaction_cleaned!$O:$O,A2532,pg_transaction_cleaned!$F:$F,"CAPTURE")</f>
        <v>9297</v>
      </c>
      <c r="L2532" s="23">
        <f>COUNTIFS(pg_transaction_cleaned!$O:$O,A2532,pg_transaction_cleaned!$F:$F,"REFUND")</f>
        <v>0</v>
      </c>
      <c r="M2532" s="39">
        <f>SUMIFS(pg_transaction_cleaned!$H:$H,pg_transaction_cleaned!$O:$O,A2532,pg_transaction_cleaned!$F:$F,"REFUND")</f>
        <v>0</v>
      </c>
      <c r="N2532" s="23" t="str">
        <f t="shared" si="158"/>
        <v>OK</v>
      </c>
      <c r="O2532" s="24">
        <f t="shared" si="159"/>
        <v>0</v>
      </c>
    </row>
    <row r="2533" spans="1:15" ht="15" customHeight="1" x14ac:dyDescent="0.3">
      <c r="A2533" s="23" t="s">
        <v>5557</v>
      </c>
      <c r="B2533" s="38">
        <v>46272</v>
      </c>
      <c r="C2533" s="23" t="s">
        <v>5558</v>
      </c>
      <c r="D2533" s="23" t="s">
        <v>91</v>
      </c>
      <c r="E2533" s="23" t="s">
        <v>79</v>
      </c>
      <c r="F2533" s="23" t="s">
        <v>2837</v>
      </c>
      <c r="G2533" s="23" t="s">
        <v>301</v>
      </c>
      <c r="H2533" s="39">
        <f t="shared" si="156"/>
        <v>12297</v>
      </c>
      <c r="I2533" s="23" t="str">
        <f t="shared" si="157"/>
        <v>Pune</v>
      </c>
      <c r="J2533" s="23">
        <f>COUNTIFS(pg_transaction_cleaned!$O:$O,A2533,pg_transaction_cleaned!$F:$F,"CAPTURE")</f>
        <v>1</v>
      </c>
      <c r="K2533" s="39">
        <f>SUMIFS(pg_transaction_cleaned!$H:$H,pg_transaction_cleaned!$O:$O,A2533,pg_transaction_cleaned!$F:$F,"CAPTURE")</f>
        <v>12297</v>
      </c>
      <c r="L2533" s="23">
        <f>COUNTIFS(pg_transaction_cleaned!$O:$O,A2533,pg_transaction_cleaned!$F:$F,"REFUND")</f>
        <v>1</v>
      </c>
      <c r="M2533" s="39">
        <f>SUMIFS(pg_transaction_cleaned!$H:$H,pg_transaction_cleaned!$O:$O,A2533,pg_transaction_cleaned!$F:$F,"REFUND")</f>
        <v>12297</v>
      </c>
      <c r="N2533" s="23" t="str">
        <f t="shared" si="158"/>
        <v>OK</v>
      </c>
      <c r="O2533" s="24">
        <f t="shared" si="159"/>
        <v>0</v>
      </c>
    </row>
    <row r="2534" spans="1:15" ht="15" customHeight="1" x14ac:dyDescent="0.3">
      <c r="A2534" s="23" t="s">
        <v>5559</v>
      </c>
      <c r="B2534" s="38">
        <v>46278</v>
      </c>
      <c r="C2534" s="23" t="s">
        <v>5560</v>
      </c>
      <c r="D2534" s="23" t="s">
        <v>94</v>
      </c>
      <c r="E2534" s="23" t="s">
        <v>75</v>
      </c>
      <c r="F2534" s="23" t="s">
        <v>370</v>
      </c>
      <c r="G2534" s="23" t="s">
        <v>365</v>
      </c>
      <c r="H2534" s="39">
        <f t="shared" si="156"/>
        <v>3098</v>
      </c>
      <c r="I2534" s="23" t="str">
        <f t="shared" si="157"/>
        <v>Chennai</v>
      </c>
      <c r="J2534" s="23">
        <f>COUNTIFS(pg_transaction_cleaned!$O:$O,A2534,pg_transaction_cleaned!$F:$F,"CAPTURE")</f>
        <v>0</v>
      </c>
      <c r="K2534" s="39">
        <f>SUMIFS(pg_transaction_cleaned!$H:$H,pg_transaction_cleaned!$O:$O,A2534,pg_transaction_cleaned!$F:$F,"CAPTURE")</f>
        <v>0</v>
      </c>
      <c r="L2534" s="23">
        <f>COUNTIFS(pg_transaction_cleaned!$O:$O,A2534,pg_transaction_cleaned!$F:$F,"REFUND")</f>
        <v>0</v>
      </c>
      <c r="M2534" s="39">
        <f>SUMIFS(pg_transaction_cleaned!$H:$H,pg_transaction_cleaned!$O:$O,A2534,pg_transaction_cleaned!$F:$F,"REFUND")</f>
        <v>0</v>
      </c>
      <c r="N2534" s="23" t="str">
        <f t="shared" si="158"/>
        <v>OK</v>
      </c>
      <c r="O2534" s="24">
        <f t="shared" si="159"/>
        <v>0</v>
      </c>
    </row>
    <row r="2535" spans="1:15" ht="15" customHeight="1" x14ac:dyDescent="0.3">
      <c r="A2535" s="23" t="s">
        <v>5561</v>
      </c>
      <c r="B2535" s="38">
        <v>46281</v>
      </c>
      <c r="C2535" s="23" t="s">
        <v>5562</v>
      </c>
      <c r="D2535" s="23" t="s">
        <v>87</v>
      </c>
      <c r="E2535" s="23" t="s">
        <v>75</v>
      </c>
      <c r="F2535" s="23" t="s">
        <v>294</v>
      </c>
      <c r="G2535" s="23" t="s">
        <v>250</v>
      </c>
      <c r="H2535" s="39">
        <f t="shared" si="156"/>
        <v>1799</v>
      </c>
      <c r="I2535" s="23" t="str">
        <f t="shared" si="157"/>
        <v>Mumbai</v>
      </c>
      <c r="J2535" s="23">
        <f>COUNTIFS(pg_transaction_cleaned!$O:$O,A2535,pg_transaction_cleaned!$F:$F,"CAPTURE")</f>
        <v>1</v>
      </c>
      <c r="K2535" s="39">
        <f>SUMIFS(pg_transaction_cleaned!$H:$H,pg_transaction_cleaned!$O:$O,A2535,pg_transaction_cleaned!$F:$F,"CAPTURE")</f>
        <v>1799</v>
      </c>
      <c r="L2535" s="23">
        <f>COUNTIFS(pg_transaction_cleaned!$O:$O,A2535,pg_transaction_cleaned!$F:$F,"REFUND")</f>
        <v>0</v>
      </c>
      <c r="M2535" s="39">
        <f>SUMIFS(pg_transaction_cleaned!$H:$H,pg_transaction_cleaned!$O:$O,A2535,pg_transaction_cleaned!$F:$F,"REFUND")</f>
        <v>0</v>
      </c>
      <c r="N2535" s="23" t="str">
        <f t="shared" si="158"/>
        <v>OK</v>
      </c>
      <c r="O2535" s="24">
        <f t="shared" si="159"/>
        <v>0</v>
      </c>
    </row>
    <row r="2536" spans="1:15" ht="15" customHeight="1" x14ac:dyDescent="0.3">
      <c r="A2536" s="23" t="s">
        <v>5563</v>
      </c>
      <c r="B2536" s="38">
        <v>46288</v>
      </c>
      <c r="C2536" s="23" t="s">
        <v>5564</v>
      </c>
      <c r="D2536" s="23" t="s">
        <v>87</v>
      </c>
      <c r="E2536" s="23" t="s">
        <v>75</v>
      </c>
      <c r="F2536" s="23" t="s">
        <v>274</v>
      </c>
      <c r="G2536" s="23" t="s">
        <v>250</v>
      </c>
      <c r="H2536" s="39">
        <f t="shared" si="156"/>
        <v>349</v>
      </c>
      <c r="I2536" s="23" t="str">
        <f t="shared" si="157"/>
        <v>Mumbai</v>
      </c>
      <c r="J2536" s="23">
        <f>COUNTIFS(pg_transaction_cleaned!$O:$O,A2536,pg_transaction_cleaned!$F:$F,"CAPTURE")</f>
        <v>1</v>
      </c>
      <c r="K2536" s="39">
        <f>SUMIFS(pg_transaction_cleaned!$H:$H,pg_transaction_cleaned!$O:$O,A2536,pg_transaction_cleaned!$F:$F,"CAPTURE")</f>
        <v>349</v>
      </c>
      <c r="L2536" s="23">
        <f>COUNTIFS(pg_transaction_cleaned!$O:$O,A2536,pg_transaction_cleaned!$F:$F,"REFUND")</f>
        <v>0</v>
      </c>
      <c r="M2536" s="39">
        <f>SUMIFS(pg_transaction_cleaned!$H:$H,pg_transaction_cleaned!$O:$O,A2536,pg_transaction_cleaned!$F:$F,"REFUND")</f>
        <v>0</v>
      </c>
      <c r="N2536" s="23" t="str">
        <f t="shared" si="158"/>
        <v>OK</v>
      </c>
      <c r="O2536" s="24">
        <f t="shared" si="159"/>
        <v>0</v>
      </c>
    </row>
    <row r="2537" spans="1:15" ht="15" customHeight="1" x14ac:dyDescent="0.3">
      <c r="A2537" s="23" t="s">
        <v>5565</v>
      </c>
      <c r="B2537" s="38">
        <v>46272</v>
      </c>
      <c r="C2537" s="23" t="s">
        <v>5566</v>
      </c>
      <c r="D2537" s="23" t="s">
        <v>89</v>
      </c>
      <c r="E2537" s="23" t="s">
        <v>75</v>
      </c>
      <c r="F2537" s="23" t="s">
        <v>370</v>
      </c>
      <c r="G2537" s="23" t="s">
        <v>301</v>
      </c>
      <c r="H2537" s="39">
        <f t="shared" si="156"/>
        <v>3098</v>
      </c>
      <c r="I2537" s="23" t="str">
        <f t="shared" si="157"/>
        <v>Jaipur</v>
      </c>
      <c r="J2537" s="23">
        <f>COUNTIFS(pg_transaction_cleaned!$O:$O,A2537,pg_transaction_cleaned!$F:$F,"CAPTURE")</f>
        <v>1</v>
      </c>
      <c r="K2537" s="39">
        <f>SUMIFS(pg_transaction_cleaned!$H:$H,pg_transaction_cleaned!$O:$O,A2537,pg_transaction_cleaned!$F:$F,"CAPTURE")</f>
        <v>3098</v>
      </c>
      <c r="L2537" s="23">
        <f>COUNTIFS(pg_transaction_cleaned!$O:$O,A2537,pg_transaction_cleaned!$F:$F,"REFUND")</f>
        <v>1</v>
      </c>
      <c r="M2537" s="39">
        <f>SUMIFS(pg_transaction_cleaned!$H:$H,pg_transaction_cleaned!$O:$O,A2537,pg_transaction_cleaned!$F:$F,"REFUND")</f>
        <v>3098</v>
      </c>
      <c r="N2537" s="23" t="str">
        <f t="shared" si="158"/>
        <v>OK</v>
      </c>
      <c r="O2537" s="24">
        <f t="shared" si="159"/>
        <v>0</v>
      </c>
    </row>
    <row r="2538" spans="1:15" ht="15" customHeight="1" x14ac:dyDescent="0.3">
      <c r="A2538" s="23" t="s">
        <v>5567</v>
      </c>
      <c r="B2538" s="38">
        <v>46280</v>
      </c>
      <c r="C2538" s="23" t="s">
        <v>5568</v>
      </c>
      <c r="D2538" s="23" t="s">
        <v>92</v>
      </c>
      <c r="E2538" s="23" t="s">
        <v>75</v>
      </c>
      <c r="F2538" s="23" t="s">
        <v>5569</v>
      </c>
      <c r="G2538" s="23" t="s">
        <v>250</v>
      </c>
      <c r="H2538" s="39">
        <f t="shared" si="156"/>
        <v>4597</v>
      </c>
      <c r="I2538" s="23" t="str">
        <f t="shared" si="157"/>
        <v>Hyderabad</v>
      </c>
      <c r="J2538" s="23">
        <f>COUNTIFS(pg_transaction_cleaned!$O:$O,A2538,pg_transaction_cleaned!$F:$F,"CAPTURE")</f>
        <v>1</v>
      </c>
      <c r="K2538" s="39">
        <f>SUMIFS(pg_transaction_cleaned!$H:$H,pg_transaction_cleaned!$O:$O,A2538,pg_transaction_cleaned!$F:$F,"CAPTURE")</f>
        <v>4597</v>
      </c>
      <c r="L2538" s="23">
        <f>COUNTIFS(pg_transaction_cleaned!$O:$O,A2538,pg_transaction_cleaned!$F:$F,"REFUND")</f>
        <v>0</v>
      </c>
      <c r="M2538" s="39">
        <f>SUMIFS(pg_transaction_cleaned!$H:$H,pg_transaction_cleaned!$O:$O,A2538,pg_transaction_cleaned!$F:$F,"REFUND")</f>
        <v>0</v>
      </c>
      <c r="N2538" s="23" t="str">
        <f t="shared" si="158"/>
        <v>OK</v>
      </c>
      <c r="O2538" s="24">
        <f t="shared" si="159"/>
        <v>0</v>
      </c>
    </row>
    <row r="2539" spans="1:15" ht="15" customHeight="1" x14ac:dyDescent="0.3">
      <c r="A2539" s="23" t="s">
        <v>5570</v>
      </c>
      <c r="B2539" s="38">
        <v>46266</v>
      </c>
      <c r="C2539" s="23" t="s">
        <v>5571</v>
      </c>
      <c r="D2539" s="23" t="s">
        <v>95</v>
      </c>
      <c r="E2539" s="23" t="s">
        <v>79</v>
      </c>
      <c r="F2539" s="23" t="s">
        <v>423</v>
      </c>
      <c r="G2539" s="23" t="s">
        <v>301</v>
      </c>
      <c r="H2539" s="39">
        <f t="shared" si="156"/>
        <v>1648</v>
      </c>
      <c r="I2539" s="23" t="str">
        <f t="shared" si="157"/>
        <v>Bengaluru</v>
      </c>
      <c r="J2539" s="23">
        <f>COUNTIFS(pg_transaction_cleaned!$O:$O,A2539,pg_transaction_cleaned!$F:$F,"CAPTURE")</f>
        <v>1</v>
      </c>
      <c r="K2539" s="39">
        <f>SUMIFS(pg_transaction_cleaned!$H:$H,pg_transaction_cleaned!$O:$O,A2539,pg_transaction_cleaned!$F:$F,"CAPTURE")</f>
        <v>1648</v>
      </c>
      <c r="L2539" s="23">
        <f>COUNTIFS(pg_transaction_cleaned!$O:$O,A2539,pg_transaction_cleaned!$F:$F,"REFUND")</f>
        <v>1</v>
      </c>
      <c r="M2539" s="39">
        <f>SUMIFS(pg_transaction_cleaned!$H:$H,pg_transaction_cleaned!$O:$O,A2539,pg_transaction_cleaned!$F:$F,"REFUND")</f>
        <v>1648</v>
      </c>
      <c r="N2539" s="23" t="str">
        <f t="shared" si="158"/>
        <v>OK</v>
      </c>
      <c r="O2539" s="24">
        <f t="shared" si="159"/>
        <v>0</v>
      </c>
    </row>
    <row r="2540" spans="1:15" ht="15" customHeight="1" x14ac:dyDescent="0.3">
      <c r="A2540" s="23" t="s">
        <v>5572</v>
      </c>
      <c r="B2540" s="38">
        <v>46268</v>
      </c>
      <c r="C2540" s="23" t="s">
        <v>5573</v>
      </c>
      <c r="D2540" s="23" t="s">
        <v>88</v>
      </c>
      <c r="E2540" s="23" t="s">
        <v>75</v>
      </c>
      <c r="F2540" s="23" t="s">
        <v>329</v>
      </c>
      <c r="G2540" s="23" t="s">
        <v>250</v>
      </c>
      <c r="H2540" s="39">
        <f t="shared" si="156"/>
        <v>599</v>
      </c>
      <c r="I2540" s="23" t="str">
        <f t="shared" si="157"/>
        <v>Lucknow</v>
      </c>
      <c r="J2540" s="23">
        <f>COUNTIFS(pg_transaction_cleaned!$O:$O,A2540,pg_transaction_cleaned!$F:$F,"CAPTURE")</f>
        <v>1</v>
      </c>
      <c r="K2540" s="39">
        <f>SUMIFS(pg_transaction_cleaned!$H:$H,pg_transaction_cleaned!$O:$O,A2540,pg_transaction_cleaned!$F:$F,"CAPTURE")</f>
        <v>599</v>
      </c>
      <c r="L2540" s="23">
        <f>COUNTIFS(pg_transaction_cleaned!$O:$O,A2540,pg_transaction_cleaned!$F:$F,"REFUND")</f>
        <v>0</v>
      </c>
      <c r="M2540" s="39">
        <f>SUMIFS(pg_transaction_cleaned!$H:$H,pg_transaction_cleaned!$O:$O,A2540,pg_transaction_cleaned!$F:$F,"REFUND")</f>
        <v>0</v>
      </c>
      <c r="N2540" s="23" t="str">
        <f t="shared" si="158"/>
        <v>OK</v>
      </c>
      <c r="O2540" s="24">
        <f t="shared" si="159"/>
        <v>0</v>
      </c>
    </row>
    <row r="2541" spans="1:15" ht="15" customHeight="1" x14ac:dyDescent="0.3">
      <c r="A2541" s="23" t="s">
        <v>5574</v>
      </c>
      <c r="B2541" s="38">
        <v>46283</v>
      </c>
      <c r="C2541" s="23" t="s">
        <v>5575</v>
      </c>
      <c r="D2541" s="23" t="s">
        <v>86</v>
      </c>
      <c r="E2541" s="23" t="s">
        <v>79</v>
      </c>
      <c r="F2541" s="23" t="s">
        <v>4580</v>
      </c>
      <c r="G2541" s="23" t="s">
        <v>250</v>
      </c>
      <c r="H2541" s="39">
        <f t="shared" si="156"/>
        <v>8597</v>
      </c>
      <c r="I2541" s="23" t="str">
        <f t="shared" si="157"/>
        <v>Delhi</v>
      </c>
      <c r="J2541" s="23">
        <f>COUNTIFS(pg_transaction_cleaned!$O:$O,A2541,pg_transaction_cleaned!$F:$F,"CAPTURE")</f>
        <v>1</v>
      </c>
      <c r="K2541" s="39">
        <f>SUMIFS(pg_transaction_cleaned!$H:$H,pg_transaction_cleaned!$O:$O,A2541,pg_transaction_cleaned!$F:$F,"CAPTURE")</f>
        <v>8597</v>
      </c>
      <c r="L2541" s="23">
        <f>COUNTIFS(pg_transaction_cleaned!$O:$O,A2541,pg_transaction_cleaned!$F:$F,"REFUND")</f>
        <v>0</v>
      </c>
      <c r="M2541" s="39">
        <f>SUMIFS(pg_transaction_cleaned!$H:$H,pg_transaction_cleaned!$O:$O,A2541,pg_transaction_cleaned!$F:$F,"REFUND")</f>
        <v>0</v>
      </c>
      <c r="N2541" s="23" t="str">
        <f t="shared" si="158"/>
        <v>OK</v>
      </c>
      <c r="O2541" s="24">
        <f t="shared" si="159"/>
        <v>0</v>
      </c>
    </row>
    <row r="2542" spans="1:15" ht="15" customHeight="1" x14ac:dyDescent="0.3">
      <c r="A2542" s="23" t="s">
        <v>5576</v>
      </c>
      <c r="B2542" s="38">
        <v>46287</v>
      </c>
      <c r="C2542" s="23" t="s">
        <v>5577</v>
      </c>
      <c r="D2542" s="23" t="s">
        <v>94</v>
      </c>
      <c r="E2542" s="23" t="s">
        <v>77</v>
      </c>
      <c r="F2542" s="23" t="s">
        <v>1635</v>
      </c>
      <c r="G2542" s="23" t="s">
        <v>250</v>
      </c>
      <c r="H2542" s="39">
        <f t="shared" si="156"/>
        <v>11797</v>
      </c>
      <c r="I2542" s="23" t="str">
        <f t="shared" si="157"/>
        <v>Chennai</v>
      </c>
      <c r="J2542" s="23">
        <f>COUNTIFS(pg_transaction_cleaned!$O:$O,A2542,pg_transaction_cleaned!$F:$F,"CAPTURE")</f>
        <v>1</v>
      </c>
      <c r="K2542" s="39">
        <f>SUMIFS(pg_transaction_cleaned!$H:$H,pg_transaction_cleaned!$O:$O,A2542,pg_transaction_cleaned!$F:$F,"CAPTURE")</f>
        <v>11797</v>
      </c>
      <c r="L2542" s="23">
        <f>COUNTIFS(pg_transaction_cleaned!$O:$O,A2542,pg_transaction_cleaned!$F:$F,"REFUND")</f>
        <v>0</v>
      </c>
      <c r="M2542" s="39">
        <f>SUMIFS(pg_transaction_cleaned!$H:$H,pg_transaction_cleaned!$O:$O,A2542,pg_transaction_cleaned!$F:$F,"REFUND")</f>
        <v>0</v>
      </c>
      <c r="N2542" s="23" t="str">
        <f t="shared" si="158"/>
        <v>OK</v>
      </c>
      <c r="O2542" s="24">
        <f t="shared" si="159"/>
        <v>0</v>
      </c>
    </row>
    <row r="2543" spans="1:15" ht="15" customHeight="1" x14ac:dyDescent="0.3">
      <c r="A2543" s="23" t="s">
        <v>5578</v>
      </c>
      <c r="B2543" s="38">
        <v>46269</v>
      </c>
      <c r="C2543" s="23" t="s">
        <v>5579</v>
      </c>
      <c r="D2543" s="23" t="s">
        <v>87</v>
      </c>
      <c r="E2543" s="23" t="s">
        <v>77</v>
      </c>
      <c r="F2543" s="23" t="s">
        <v>294</v>
      </c>
      <c r="G2543" s="23" t="s">
        <v>250</v>
      </c>
      <c r="H2543" s="39">
        <f t="shared" si="156"/>
        <v>1799</v>
      </c>
      <c r="I2543" s="23" t="str">
        <f t="shared" si="157"/>
        <v>Mumbai</v>
      </c>
      <c r="J2543" s="23">
        <f>COUNTIFS(pg_transaction_cleaned!$O:$O,A2543,pg_transaction_cleaned!$F:$F,"CAPTURE")</f>
        <v>1</v>
      </c>
      <c r="K2543" s="39">
        <f>SUMIFS(pg_transaction_cleaned!$H:$H,pg_transaction_cleaned!$O:$O,A2543,pg_transaction_cleaned!$F:$F,"CAPTURE")</f>
        <v>1799</v>
      </c>
      <c r="L2543" s="23">
        <f>COUNTIFS(pg_transaction_cleaned!$O:$O,A2543,pg_transaction_cleaned!$F:$F,"REFUND")</f>
        <v>0</v>
      </c>
      <c r="M2543" s="39">
        <f>SUMIFS(pg_transaction_cleaned!$H:$H,pg_transaction_cleaned!$O:$O,A2543,pg_transaction_cleaned!$F:$F,"REFUND")</f>
        <v>0</v>
      </c>
      <c r="N2543" s="23" t="str">
        <f t="shared" si="158"/>
        <v>OK</v>
      </c>
      <c r="O2543" s="24">
        <f t="shared" si="159"/>
        <v>0</v>
      </c>
    </row>
    <row r="2544" spans="1:15" ht="15" customHeight="1" x14ac:dyDescent="0.3">
      <c r="A2544" s="23" t="s">
        <v>5580</v>
      </c>
      <c r="B2544" s="38">
        <v>46279</v>
      </c>
      <c r="C2544" s="23" t="s">
        <v>5581</v>
      </c>
      <c r="D2544" s="23" t="s">
        <v>91</v>
      </c>
      <c r="E2544" s="23" t="s">
        <v>79</v>
      </c>
      <c r="F2544" s="23" t="s">
        <v>1265</v>
      </c>
      <c r="G2544" s="23" t="s">
        <v>250</v>
      </c>
      <c r="H2544" s="39">
        <f t="shared" si="156"/>
        <v>6997</v>
      </c>
      <c r="I2544" s="23" t="str">
        <f t="shared" si="157"/>
        <v>Pune</v>
      </c>
      <c r="J2544" s="23">
        <f>COUNTIFS(pg_transaction_cleaned!$O:$O,A2544,pg_transaction_cleaned!$F:$F,"CAPTURE")</f>
        <v>1</v>
      </c>
      <c r="K2544" s="39">
        <f>SUMIFS(pg_transaction_cleaned!$H:$H,pg_transaction_cleaned!$O:$O,A2544,pg_transaction_cleaned!$F:$F,"CAPTURE")</f>
        <v>6997</v>
      </c>
      <c r="L2544" s="23">
        <f>COUNTIFS(pg_transaction_cleaned!$O:$O,A2544,pg_transaction_cleaned!$F:$F,"REFUND")</f>
        <v>0</v>
      </c>
      <c r="M2544" s="39">
        <f>SUMIFS(pg_transaction_cleaned!$H:$H,pg_transaction_cleaned!$O:$O,A2544,pg_transaction_cleaned!$F:$F,"REFUND")</f>
        <v>0</v>
      </c>
      <c r="N2544" s="23" t="str">
        <f t="shared" si="158"/>
        <v>OK</v>
      </c>
      <c r="O2544" s="24">
        <f t="shared" si="159"/>
        <v>0</v>
      </c>
    </row>
    <row r="2545" spans="1:15" ht="15" customHeight="1" x14ac:dyDescent="0.3">
      <c r="A2545" s="23" t="s">
        <v>5582</v>
      </c>
      <c r="B2545" s="38">
        <v>46286</v>
      </c>
      <c r="C2545" s="23" t="s">
        <v>5583</v>
      </c>
      <c r="D2545" s="23" t="s">
        <v>95</v>
      </c>
      <c r="E2545" s="23" t="s">
        <v>75</v>
      </c>
      <c r="F2545" s="23" t="s">
        <v>259</v>
      </c>
      <c r="G2545" s="23" t="s">
        <v>250</v>
      </c>
      <c r="H2545" s="39">
        <f t="shared" si="156"/>
        <v>3298</v>
      </c>
      <c r="I2545" s="23" t="str">
        <f t="shared" si="157"/>
        <v>Bengaluru</v>
      </c>
      <c r="J2545" s="23">
        <f>COUNTIFS(pg_transaction_cleaned!$O:$O,A2545,pg_transaction_cleaned!$F:$F,"CAPTURE")</f>
        <v>1</v>
      </c>
      <c r="K2545" s="39">
        <f>SUMIFS(pg_transaction_cleaned!$H:$H,pg_transaction_cleaned!$O:$O,A2545,pg_transaction_cleaned!$F:$F,"CAPTURE")</f>
        <v>3298</v>
      </c>
      <c r="L2545" s="23">
        <f>COUNTIFS(pg_transaction_cleaned!$O:$O,A2545,pg_transaction_cleaned!$F:$F,"REFUND")</f>
        <v>0</v>
      </c>
      <c r="M2545" s="39">
        <f>SUMIFS(pg_transaction_cleaned!$H:$H,pg_transaction_cleaned!$O:$O,A2545,pg_transaction_cleaned!$F:$F,"REFUND")</f>
        <v>0</v>
      </c>
      <c r="N2545" s="23" t="str">
        <f t="shared" si="158"/>
        <v>OK</v>
      </c>
      <c r="O2545" s="24">
        <f t="shared" si="159"/>
        <v>0</v>
      </c>
    </row>
    <row r="2546" spans="1:15" ht="15" customHeight="1" x14ac:dyDescent="0.3">
      <c r="A2546" s="23" t="s">
        <v>5584</v>
      </c>
      <c r="B2546" s="38">
        <v>46289</v>
      </c>
      <c r="C2546" s="23" t="s">
        <v>5585</v>
      </c>
      <c r="D2546" s="23" t="s">
        <v>86</v>
      </c>
      <c r="E2546" s="23" t="s">
        <v>81</v>
      </c>
      <c r="F2546" s="23" t="s">
        <v>1596</v>
      </c>
      <c r="G2546" s="23" t="s">
        <v>250</v>
      </c>
      <c r="H2546" s="39">
        <f t="shared" si="156"/>
        <v>3499</v>
      </c>
      <c r="I2546" s="23" t="str">
        <f t="shared" si="157"/>
        <v>Delhi</v>
      </c>
      <c r="J2546" s="23">
        <f>COUNTIFS(pg_transaction_cleaned!$O:$O,A2546,pg_transaction_cleaned!$F:$F,"CAPTURE")</f>
        <v>1</v>
      </c>
      <c r="K2546" s="39">
        <f>SUMIFS(pg_transaction_cleaned!$H:$H,pg_transaction_cleaned!$O:$O,A2546,pg_transaction_cleaned!$F:$F,"CAPTURE")</f>
        <v>3499</v>
      </c>
      <c r="L2546" s="23">
        <f>COUNTIFS(pg_transaction_cleaned!$O:$O,A2546,pg_transaction_cleaned!$F:$F,"REFUND")</f>
        <v>0</v>
      </c>
      <c r="M2546" s="39">
        <f>SUMIFS(pg_transaction_cleaned!$H:$H,pg_transaction_cleaned!$O:$O,A2546,pg_transaction_cleaned!$F:$F,"REFUND")</f>
        <v>0</v>
      </c>
      <c r="N2546" s="23" t="str">
        <f t="shared" si="158"/>
        <v>OK</v>
      </c>
      <c r="O2546" s="24">
        <f t="shared" si="159"/>
        <v>0</v>
      </c>
    </row>
    <row r="2547" spans="1:15" ht="15" customHeight="1" x14ac:dyDescent="0.3">
      <c r="A2547" s="23" t="s">
        <v>5586</v>
      </c>
      <c r="B2547" s="38">
        <v>46275</v>
      </c>
      <c r="C2547" s="23" t="s">
        <v>5587</v>
      </c>
      <c r="D2547" s="23" t="s">
        <v>91</v>
      </c>
      <c r="E2547" s="23" t="s">
        <v>79</v>
      </c>
      <c r="F2547" s="23" t="s">
        <v>259</v>
      </c>
      <c r="G2547" s="23" t="s">
        <v>250</v>
      </c>
      <c r="H2547" s="39">
        <f t="shared" si="156"/>
        <v>3298</v>
      </c>
      <c r="I2547" s="23" t="str">
        <f t="shared" si="157"/>
        <v>Pune</v>
      </c>
      <c r="J2547" s="23">
        <f>COUNTIFS(pg_transaction_cleaned!$O:$O,A2547,pg_transaction_cleaned!$F:$F,"CAPTURE")</f>
        <v>1</v>
      </c>
      <c r="K2547" s="39">
        <f>SUMIFS(pg_transaction_cleaned!$H:$H,pg_transaction_cleaned!$O:$O,A2547,pg_transaction_cleaned!$F:$F,"CAPTURE")</f>
        <v>3298</v>
      </c>
      <c r="L2547" s="23">
        <f>COUNTIFS(pg_transaction_cleaned!$O:$O,A2547,pg_transaction_cleaned!$F:$F,"REFUND")</f>
        <v>0</v>
      </c>
      <c r="M2547" s="39">
        <f>SUMIFS(pg_transaction_cleaned!$H:$H,pg_transaction_cleaned!$O:$O,A2547,pg_transaction_cleaned!$F:$F,"REFUND")</f>
        <v>0</v>
      </c>
      <c r="N2547" s="23" t="str">
        <f t="shared" si="158"/>
        <v>OK</v>
      </c>
      <c r="O2547" s="24">
        <f t="shared" si="159"/>
        <v>0</v>
      </c>
    </row>
    <row r="2548" spans="1:15" ht="15" customHeight="1" x14ac:dyDescent="0.3">
      <c r="A2548" s="23" t="s">
        <v>5588</v>
      </c>
      <c r="B2548" s="38">
        <v>46289</v>
      </c>
      <c r="C2548" s="23" t="s">
        <v>5589</v>
      </c>
      <c r="D2548" s="23" t="s">
        <v>86</v>
      </c>
      <c r="E2548" s="23" t="s">
        <v>79</v>
      </c>
      <c r="F2548" s="23" t="s">
        <v>1978</v>
      </c>
      <c r="G2548" s="23" t="s">
        <v>250</v>
      </c>
      <c r="H2548" s="39">
        <f t="shared" si="156"/>
        <v>4597</v>
      </c>
      <c r="I2548" s="23" t="str">
        <f t="shared" si="157"/>
        <v>Delhi</v>
      </c>
      <c r="J2548" s="23">
        <f>COUNTIFS(pg_transaction_cleaned!$O:$O,A2548,pg_transaction_cleaned!$F:$F,"CAPTURE")</f>
        <v>1</v>
      </c>
      <c r="K2548" s="39">
        <f>SUMIFS(pg_transaction_cleaned!$H:$H,pg_transaction_cleaned!$O:$O,A2548,pg_transaction_cleaned!$F:$F,"CAPTURE")</f>
        <v>4597</v>
      </c>
      <c r="L2548" s="23">
        <f>COUNTIFS(pg_transaction_cleaned!$O:$O,A2548,pg_transaction_cleaned!$F:$F,"REFUND")</f>
        <v>0</v>
      </c>
      <c r="M2548" s="39">
        <f>SUMIFS(pg_transaction_cleaned!$H:$H,pg_transaction_cleaned!$O:$O,A2548,pg_transaction_cleaned!$F:$F,"REFUND")</f>
        <v>0</v>
      </c>
      <c r="N2548" s="23" t="str">
        <f t="shared" si="158"/>
        <v>OK</v>
      </c>
      <c r="O2548" s="24">
        <f t="shared" si="159"/>
        <v>0</v>
      </c>
    </row>
    <row r="2549" spans="1:15" ht="15" customHeight="1" x14ac:dyDescent="0.3">
      <c r="A2549" s="23" t="s">
        <v>5590</v>
      </c>
      <c r="B2549" s="38">
        <v>46288</v>
      </c>
      <c r="C2549" s="23" t="s">
        <v>5591</v>
      </c>
      <c r="D2549" s="23" t="s">
        <v>86</v>
      </c>
      <c r="E2549" s="23" t="s">
        <v>75</v>
      </c>
      <c r="F2549" s="23" t="s">
        <v>310</v>
      </c>
      <c r="G2549" s="23" t="s">
        <v>365</v>
      </c>
      <c r="H2549" s="39">
        <f t="shared" si="156"/>
        <v>7999</v>
      </c>
      <c r="I2549" s="23" t="str">
        <f t="shared" si="157"/>
        <v>Delhi</v>
      </c>
      <c r="J2549" s="23">
        <f>COUNTIFS(pg_transaction_cleaned!$O:$O,A2549,pg_transaction_cleaned!$F:$F,"CAPTURE")</f>
        <v>0</v>
      </c>
      <c r="K2549" s="39">
        <f>SUMIFS(pg_transaction_cleaned!$H:$H,pg_transaction_cleaned!$O:$O,A2549,pg_transaction_cleaned!$F:$F,"CAPTURE")</f>
        <v>0</v>
      </c>
      <c r="L2549" s="23">
        <f>COUNTIFS(pg_transaction_cleaned!$O:$O,A2549,pg_transaction_cleaned!$F:$F,"REFUND")</f>
        <v>0</v>
      </c>
      <c r="M2549" s="39">
        <f>SUMIFS(pg_transaction_cleaned!$H:$H,pg_transaction_cleaned!$O:$O,A2549,pg_transaction_cleaned!$F:$F,"REFUND")</f>
        <v>0</v>
      </c>
      <c r="N2549" s="23" t="str">
        <f t="shared" si="158"/>
        <v>OK</v>
      </c>
      <c r="O2549" s="24">
        <f t="shared" si="159"/>
        <v>0</v>
      </c>
    </row>
    <row r="2550" spans="1:15" ht="15" customHeight="1" x14ac:dyDescent="0.3">
      <c r="A2550" s="23" t="s">
        <v>5592</v>
      </c>
      <c r="B2550" s="38">
        <v>46277</v>
      </c>
      <c r="C2550" s="23" t="s">
        <v>5593</v>
      </c>
      <c r="D2550" s="23" t="s">
        <v>91</v>
      </c>
      <c r="E2550" s="23" t="s">
        <v>81</v>
      </c>
      <c r="F2550" s="23" t="s">
        <v>294</v>
      </c>
      <c r="G2550" s="23" t="s">
        <v>250</v>
      </c>
      <c r="H2550" s="39">
        <f t="shared" si="156"/>
        <v>1799</v>
      </c>
      <c r="I2550" s="23" t="str">
        <f t="shared" si="157"/>
        <v>Pune</v>
      </c>
      <c r="J2550" s="23">
        <f>COUNTIFS(pg_transaction_cleaned!$O:$O,A2550,pg_transaction_cleaned!$F:$F,"CAPTURE")</f>
        <v>1</v>
      </c>
      <c r="K2550" s="39">
        <f>SUMIFS(pg_transaction_cleaned!$H:$H,pg_transaction_cleaned!$O:$O,A2550,pg_transaction_cleaned!$F:$F,"CAPTURE")</f>
        <v>1799</v>
      </c>
      <c r="L2550" s="23">
        <f>COUNTIFS(pg_transaction_cleaned!$O:$O,A2550,pg_transaction_cleaned!$F:$F,"REFUND")</f>
        <v>0</v>
      </c>
      <c r="M2550" s="39">
        <f>SUMIFS(pg_transaction_cleaned!$H:$H,pg_transaction_cleaned!$O:$O,A2550,pg_transaction_cleaned!$F:$F,"REFUND")</f>
        <v>0</v>
      </c>
      <c r="N2550" s="23" t="str">
        <f t="shared" si="158"/>
        <v>OK</v>
      </c>
      <c r="O2550" s="24">
        <f t="shared" si="159"/>
        <v>0</v>
      </c>
    </row>
    <row r="2551" spans="1:15" ht="15" customHeight="1" x14ac:dyDescent="0.3">
      <c r="A2551" s="23" t="s">
        <v>5594</v>
      </c>
      <c r="B2551" s="38">
        <v>46268</v>
      </c>
      <c r="C2551" s="23" t="s">
        <v>5595</v>
      </c>
      <c r="D2551" s="23" t="s">
        <v>95</v>
      </c>
      <c r="E2551" s="23" t="s">
        <v>75</v>
      </c>
      <c r="F2551" s="23" t="s">
        <v>329</v>
      </c>
      <c r="G2551" s="23" t="s">
        <v>250</v>
      </c>
      <c r="H2551" s="39">
        <f t="shared" si="156"/>
        <v>599</v>
      </c>
      <c r="I2551" s="23" t="str">
        <f t="shared" si="157"/>
        <v>Bengaluru</v>
      </c>
      <c r="J2551" s="23">
        <f>COUNTIFS(pg_transaction_cleaned!$O:$O,A2551,pg_transaction_cleaned!$F:$F,"CAPTURE")</f>
        <v>1</v>
      </c>
      <c r="K2551" s="39">
        <f>SUMIFS(pg_transaction_cleaned!$H:$H,pg_transaction_cleaned!$O:$O,A2551,pg_transaction_cleaned!$F:$F,"CAPTURE")</f>
        <v>599</v>
      </c>
      <c r="L2551" s="23">
        <f>COUNTIFS(pg_transaction_cleaned!$O:$O,A2551,pg_transaction_cleaned!$F:$F,"REFUND")</f>
        <v>0</v>
      </c>
      <c r="M2551" s="39">
        <f>SUMIFS(pg_transaction_cleaned!$H:$H,pg_transaction_cleaned!$O:$O,A2551,pg_transaction_cleaned!$F:$F,"REFUND")</f>
        <v>0</v>
      </c>
      <c r="N2551" s="23" t="str">
        <f t="shared" si="158"/>
        <v>OK</v>
      </c>
      <c r="O2551" s="24">
        <f t="shared" si="159"/>
        <v>0</v>
      </c>
    </row>
    <row r="2552" spans="1:15" ht="15" customHeight="1" x14ac:dyDescent="0.3">
      <c r="A2552" s="23" t="s">
        <v>5596</v>
      </c>
      <c r="B2552" s="38">
        <v>46288</v>
      </c>
      <c r="C2552" s="23" t="s">
        <v>5597</v>
      </c>
      <c r="D2552" s="23"/>
      <c r="E2552" s="23" t="s">
        <v>79</v>
      </c>
      <c r="F2552" s="23" t="s">
        <v>475</v>
      </c>
      <c r="G2552" s="23" t="s">
        <v>250</v>
      </c>
      <c r="H2552" s="39">
        <f t="shared" si="156"/>
        <v>799</v>
      </c>
      <c r="I2552" s="23" t="str">
        <f t="shared" si="157"/>
        <v>Unknown</v>
      </c>
      <c r="J2552" s="23">
        <f>COUNTIFS(pg_transaction_cleaned!$O:$O,A2552,pg_transaction_cleaned!$F:$F,"CAPTURE")</f>
        <v>1</v>
      </c>
      <c r="K2552" s="39">
        <f>SUMIFS(pg_transaction_cleaned!$H:$H,pg_transaction_cleaned!$O:$O,A2552,pg_transaction_cleaned!$F:$F,"CAPTURE")</f>
        <v>799</v>
      </c>
      <c r="L2552" s="23">
        <f>COUNTIFS(pg_transaction_cleaned!$O:$O,A2552,pg_transaction_cleaned!$F:$F,"REFUND")</f>
        <v>0</v>
      </c>
      <c r="M2552" s="39">
        <f>SUMIFS(pg_transaction_cleaned!$H:$H,pg_transaction_cleaned!$O:$O,A2552,pg_transaction_cleaned!$F:$F,"REFUND")</f>
        <v>0</v>
      </c>
      <c r="N2552" s="23" t="str">
        <f t="shared" si="158"/>
        <v>OK</v>
      </c>
      <c r="O2552" s="24">
        <f t="shared" si="159"/>
        <v>0</v>
      </c>
    </row>
    <row r="2553" spans="1:15" ht="15" customHeight="1" x14ac:dyDescent="0.3">
      <c r="A2553" s="23" t="s">
        <v>5598</v>
      </c>
      <c r="B2553" s="38">
        <v>46294</v>
      </c>
      <c r="C2553" s="23" t="s">
        <v>5599</v>
      </c>
      <c r="D2553" s="23" t="s">
        <v>89</v>
      </c>
      <c r="E2553" s="23" t="s">
        <v>75</v>
      </c>
      <c r="F2553" s="23" t="s">
        <v>1193</v>
      </c>
      <c r="G2553" s="23" t="s">
        <v>365</v>
      </c>
      <c r="H2553" s="39">
        <f t="shared" si="156"/>
        <v>3498</v>
      </c>
      <c r="I2553" s="23" t="str">
        <f t="shared" si="157"/>
        <v>Jaipur</v>
      </c>
      <c r="J2553" s="23">
        <f>COUNTIFS(pg_transaction_cleaned!$O:$O,A2553,pg_transaction_cleaned!$F:$F,"CAPTURE")</f>
        <v>0</v>
      </c>
      <c r="K2553" s="39">
        <f>SUMIFS(pg_transaction_cleaned!$H:$H,pg_transaction_cleaned!$O:$O,A2553,pg_transaction_cleaned!$F:$F,"CAPTURE")</f>
        <v>0</v>
      </c>
      <c r="L2553" s="23">
        <f>COUNTIFS(pg_transaction_cleaned!$O:$O,A2553,pg_transaction_cleaned!$F:$F,"REFUND")</f>
        <v>0</v>
      </c>
      <c r="M2553" s="39">
        <f>SUMIFS(pg_transaction_cleaned!$H:$H,pg_transaction_cleaned!$O:$O,A2553,pg_transaction_cleaned!$F:$F,"REFUND")</f>
        <v>0</v>
      </c>
      <c r="N2553" s="23" t="str">
        <f t="shared" si="158"/>
        <v>OK</v>
      </c>
      <c r="O2553" s="24">
        <f t="shared" si="159"/>
        <v>0</v>
      </c>
    </row>
    <row r="2554" spans="1:15" ht="15" customHeight="1" x14ac:dyDescent="0.3">
      <c r="A2554" s="23" t="s">
        <v>5600</v>
      </c>
      <c r="B2554" s="38">
        <v>46287</v>
      </c>
      <c r="C2554" s="23" t="s">
        <v>5601</v>
      </c>
      <c r="D2554" s="23" t="s">
        <v>92</v>
      </c>
      <c r="E2554" s="23" t="s">
        <v>79</v>
      </c>
      <c r="F2554" s="23" t="s">
        <v>256</v>
      </c>
      <c r="G2554" s="23" t="s">
        <v>250</v>
      </c>
      <c r="H2554" s="39">
        <f t="shared" si="156"/>
        <v>2098</v>
      </c>
      <c r="I2554" s="23" t="str">
        <f t="shared" si="157"/>
        <v>Hyderabad</v>
      </c>
      <c r="J2554" s="23">
        <f>COUNTIFS(pg_transaction_cleaned!$O:$O,A2554,pg_transaction_cleaned!$F:$F,"CAPTURE")</f>
        <v>1</v>
      </c>
      <c r="K2554" s="39">
        <f>SUMIFS(pg_transaction_cleaned!$H:$H,pg_transaction_cleaned!$O:$O,A2554,pg_transaction_cleaned!$F:$F,"CAPTURE")</f>
        <v>2098</v>
      </c>
      <c r="L2554" s="23">
        <f>COUNTIFS(pg_transaction_cleaned!$O:$O,A2554,pg_transaction_cleaned!$F:$F,"REFUND")</f>
        <v>0</v>
      </c>
      <c r="M2554" s="39">
        <f>SUMIFS(pg_transaction_cleaned!$H:$H,pg_transaction_cleaned!$O:$O,A2554,pg_transaction_cleaned!$F:$F,"REFUND")</f>
        <v>0</v>
      </c>
      <c r="N2554" s="23" t="str">
        <f t="shared" si="158"/>
        <v>OK</v>
      </c>
      <c r="O2554" s="24">
        <f t="shared" si="159"/>
        <v>0</v>
      </c>
    </row>
    <row r="2555" spans="1:15" ht="15" customHeight="1" x14ac:dyDescent="0.3">
      <c r="A2555" s="23" t="s">
        <v>5602</v>
      </c>
      <c r="B2555" s="38">
        <v>46276</v>
      </c>
      <c r="C2555" s="23" t="s">
        <v>5603</v>
      </c>
      <c r="D2555" s="23" t="s">
        <v>95</v>
      </c>
      <c r="E2555" s="23" t="s">
        <v>79</v>
      </c>
      <c r="F2555" s="23" t="s">
        <v>271</v>
      </c>
      <c r="G2555" s="23" t="s">
        <v>250</v>
      </c>
      <c r="H2555" s="39">
        <f t="shared" si="156"/>
        <v>2499</v>
      </c>
      <c r="I2555" s="23" t="str">
        <f t="shared" si="157"/>
        <v>Bengaluru</v>
      </c>
      <c r="J2555" s="23">
        <f>COUNTIFS(pg_transaction_cleaned!$O:$O,A2555,pg_transaction_cleaned!$F:$F,"CAPTURE")</f>
        <v>1</v>
      </c>
      <c r="K2555" s="39">
        <f>SUMIFS(pg_transaction_cleaned!$H:$H,pg_transaction_cleaned!$O:$O,A2555,pg_transaction_cleaned!$F:$F,"CAPTURE")</f>
        <v>2499</v>
      </c>
      <c r="L2555" s="23">
        <f>COUNTIFS(pg_transaction_cleaned!$O:$O,A2555,pg_transaction_cleaned!$F:$F,"REFUND")</f>
        <v>0</v>
      </c>
      <c r="M2555" s="39">
        <f>SUMIFS(pg_transaction_cleaned!$H:$H,pg_transaction_cleaned!$O:$O,A2555,pg_transaction_cleaned!$F:$F,"REFUND")</f>
        <v>0</v>
      </c>
      <c r="N2555" s="23" t="str">
        <f t="shared" si="158"/>
        <v>OK</v>
      </c>
      <c r="O2555" s="24">
        <f t="shared" si="159"/>
        <v>0</v>
      </c>
    </row>
    <row r="2556" spans="1:15" ht="15" customHeight="1" x14ac:dyDescent="0.3">
      <c r="A2556" s="23" t="s">
        <v>5604</v>
      </c>
      <c r="B2556" s="38">
        <v>46278</v>
      </c>
      <c r="C2556" s="23" t="s">
        <v>5605</v>
      </c>
      <c r="D2556" s="23" t="s">
        <v>88</v>
      </c>
      <c r="E2556" s="23" t="s">
        <v>75</v>
      </c>
      <c r="F2556" s="23" t="s">
        <v>268</v>
      </c>
      <c r="G2556" s="23" t="s">
        <v>250</v>
      </c>
      <c r="H2556" s="39">
        <f t="shared" si="156"/>
        <v>1299</v>
      </c>
      <c r="I2556" s="23" t="str">
        <f t="shared" si="157"/>
        <v>Lucknow</v>
      </c>
      <c r="J2556" s="23">
        <f>COUNTIFS(pg_transaction_cleaned!$O:$O,A2556,pg_transaction_cleaned!$F:$F,"CAPTURE")</f>
        <v>1</v>
      </c>
      <c r="K2556" s="39">
        <f>SUMIFS(pg_transaction_cleaned!$H:$H,pg_transaction_cleaned!$O:$O,A2556,pg_transaction_cleaned!$F:$F,"CAPTURE")</f>
        <v>1299</v>
      </c>
      <c r="L2556" s="23">
        <f>COUNTIFS(pg_transaction_cleaned!$O:$O,A2556,pg_transaction_cleaned!$F:$F,"REFUND")</f>
        <v>0</v>
      </c>
      <c r="M2556" s="39">
        <f>SUMIFS(pg_transaction_cleaned!$H:$H,pg_transaction_cleaned!$O:$O,A2556,pg_transaction_cleaned!$F:$F,"REFUND")</f>
        <v>0</v>
      </c>
      <c r="N2556" s="23" t="str">
        <f t="shared" si="158"/>
        <v>OK</v>
      </c>
      <c r="O2556" s="24">
        <f t="shared" si="159"/>
        <v>0</v>
      </c>
    </row>
    <row r="2557" spans="1:15" ht="15" customHeight="1" x14ac:dyDescent="0.3">
      <c r="A2557" s="23" t="s">
        <v>5606</v>
      </c>
      <c r="B2557" s="38">
        <v>46269</v>
      </c>
      <c r="C2557" s="23" t="s">
        <v>5607</v>
      </c>
      <c r="D2557" s="23"/>
      <c r="E2557" s="23" t="s">
        <v>75</v>
      </c>
      <c r="F2557" s="23" t="s">
        <v>805</v>
      </c>
      <c r="G2557" s="23" t="s">
        <v>250</v>
      </c>
      <c r="H2557" s="39">
        <f t="shared" si="156"/>
        <v>1397</v>
      </c>
      <c r="I2557" s="23" t="str">
        <f t="shared" si="157"/>
        <v>Unknown</v>
      </c>
      <c r="J2557" s="23">
        <f>COUNTIFS(pg_transaction_cleaned!$O:$O,A2557,pg_transaction_cleaned!$F:$F,"CAPTURE")</f>
        <v>1</v>
      </c>
      <c r="K2557" s="39">
        <f>SUMIFS(pg_transaction_cleaned!$H:$H,pg_transaction_cleaned!$O:$O,A2557,pg_transaction_cleaned!$F:$F,"CAPTURE")</f>
        <v>1397</v>
      </c>
      <c r="L2557" s="23">
        <f>COUNTIFS(pg_transaction_cleaned!$O:$O,A2557,pg_transaction_cleaned!$F:$F,"REFUND")</f>
        <v>0</v>
      </c>
      <c r="M2557" s="39">
        <f>SUMIFS(pg_transaction_cleaned!$H:$H,pg_transaction_cleaned!$O:$O,A2557,pg_transaction_cleaned!$F:$F,"REFUND")</f>
        <v>0</v>
      </c>
      <c r="N2557" s="23" t="str">
        <f t="shared" si="158"/>
        <v>OK</v>
      </c>
      <c r="O2557" s="24">
        <f t="shared" si="159"/>
        <v>0</v>
      </c>
    </row>
    <row r="2558" spans="1:15" ht="15" customHeight="1" x14ac:dyDescent="0.3">
      <c r="A2558" s="23" t="s">
        <v>5608</v>
      </c>
      <c r="B2558" s="38">
        <v>46281</v>
      </c>
      <c r="C2558" s="23" t="s">
        <v>5609</v>
      </c>
      <c r="D2558" s="23" t="s">
        <v>89</v>
      </c>
      <c r="E2558" s="23" t="s">
        <v>81</v>
      </c>
      <c r="F2558" s="23" t="s">
        <v>438</v>
      </c>
      <c r="G2558" s="23" t="s">
        <v>250</v>
      </c>
      <c r="H2558" s="39">
        <f t="shared" si="156"/>
        <v>5498</v>
      </c>
      <c r="I2558" s="23" t="str">
        <f t="shared" si="157"/>
        <v>Jaipur</v>
      </c>
      <c r="J2558" s="23">
        <f>COUNTIFS(pg_transaction_cleaned!$O:$O,A2558,pg_transaction_cleaned!$F:$F,"CAPTURE")</f>
        <v>1</v>
      </c>
      <c r="K2558" s="39">
        <f>SUMIFS(pg_transaction_cleaned!$H:$H,pg_transaction_cleaned!$O:$O,A2558,pg_transaction_cleaned!$F:$F,"CAPTURE")</f>
        <v>5498</v>
      </c>
      <c r="L2558" s="23">
        <f>COUNTIFS(pg_transaction_cleaned!$O:$O,A2558,pg_transaction_cleaned!$F:$F,"REFUND")</f>
        <v>0</v>
      </c>
      <c r="M2558" s="39">
        <f>SUMIFS(pg_transaction_cleaned!$H:$H,pg_transaction_cleaned!$O:$O,A2558,pg_transaction_cleaned!$F:$F,"REFUND")</f>
        <v>0</v>
      </c>
      <c r="N2558" s="23" t="str">
        <f t="shared" si="158"/>
        <v>OK</v>
      </c>
      <c r="O2558" s="24">
        <f t="shared" si="159"/>
        <v>0</v>
      </c>
    </row>
    <row r="2559" spans="1:15" ht="15" customHeight="1" x14ac:dyDescent="0.3">
      <c r="A2559" s="23" t="s">
        <v>5610</v>
      </c>
      <c r="B2559" s="38">
        <v>46271</v>
      </c>
      <c r="C2559" s="23" t="s">
        <v>5611</v>
      </c>
      <c r="D2559" s="23" t="s">
        <v>88</v>
      </c>
      <c r="E2559" s="23" t="s">
        <v>77</v>
      </c>
      <c r="F2559" s="23" t="s">
        <v>598</v>
      </c>
      <c r="G2559" s="23" t="s">
        <v>250</v>
      </c>
      <c r="H2559" s="39">
        <f t="shared" si="156"/>
        <v>5598</v>
      </c>
      <c r="I2559" s="23" t="str">
        <f t="shared" si="157"/>
        <v>Lucknow</v>
      </c>
      <c r="J2559" s="23">
        <f>COUNTIFS(pg_transaction_cleaned!$O:$O,A2559,pg_transaction_cleaned!$F:$F,"CAPTURE")</f>
        <v>1</v>
      </c>
      <c r="K2559" s="39">
        <f>SUMIFS(pg_transaction_cleaned!$H:$H,pg_transaction_cleaned!$O:$O,A2559,pg_transaction_cleaned!$F:$F,"CAPTURE")</f>
        <v>5598</v>
      </c>
      <c r="L2559" s="23">
        <f>COUNTIFS(pg_transaction_cleaned!$O:$O,A2559,pg_transaction_cleaned!$F:$F,"REFUND")</f>
        <v>0</v>
      </c>
      <c r="M2559" s="39">
        <f>SUMIFS(pg_transaction_cleaned!$H:$H,pg_transaction_cleaned!$O:$O,A2559,pg_transaction_cleaned!$F:$F,"REFUND")</f>
        <v>0</v>
      </c>
      <c r="N2559" s="23" t="str">
        <f t="shared" si="158"/>
        <v>OK</v>
      </c>
      <c r="O2559" s="24">
        <f t="shared" si="159"/>
        <v>0</v>
      </c>
    </row>
    <row r="2560" spans="1:15" ht="15" customHeight="1" x14ac:dyDescent="0.3">
      <c r="A2560" s="23" t="s">
        <v>5612</v>
      </c>
      <c r="B2560" s="38">
        <v>46283</v>
      </c>
      <c r="C2560" s="23" t="s">
        <v>5613</v>
      </c>
      <c r="D2560" s="23" t="s">
        <v>89</v>
      </c>
      <c r="E2560" s="23" t="s">
        <v>75</v>
      </c>
      <c r="F2560" s="23" t="s">
        <v>329</v>
      </c>
      <c r="G2560" s="23" t="s">
        <v>250</v>
      </c>
      <c r="H2560" s="39">
        <f t="shared" si="156"/>
        <v>599</v>
      </c>
      <c r="I2560" s="23" t="str">
        <f t="shared" si="157"/>
        <v>Jaipur</v>
      </c>
      <c r="J2560" s="23">
        <f>COUNTIFS(pg_transaction_cleaned!$O:$O,A2560,pg_transaction_cleaned!$F:$F,"CAPTURE")</f>
        <v>1</v>
      </c>
      <c r="K2560" s="39">
        <f>SUMIFS(pg_transaction_cleaned!$H:$H,pg_transaction_cleaned!$O:$O,A2560,pg_transaction_cleaned!$F:$F,"CAPTURE")</f>
        <v>599</v>
      </c>
      <c r="L2560" s="23">
        <f>COUNTIFS(pg_transaction_cleaned!$O:$O,A2560,pg_transaction_cleaned!$F:$F,"REFUND")</f>
        <v>0</v>
      </c>
      <c r="M2560" s="39">
        <f>SUMIFS(pg_transaction_cleaned!$H:$H,pg_transaction_cleaned!$O:$O,A2560,pg_transaction_cleaned!$F:$F,"REFUND")</f>
        <v>0</v>
      </c>
      <c r="N2560" s="23" t="str">
        <f t="shared" si="158"/>
        <v>OK</v>
      </c>
      <c r="O2560" s="24">
        <f t="shared" si="159"/>
        <v>0</v>
      </c>
    </row>
    <row r="2561" spans="1:15" ht="15" customHeight="1" x14ac:dyDescent="0.3">
      <c r="A2561" s="23" t="s">
        <v>5614</v>
      </c>
      <c r="B2561" s="38">
        <v>46268</v>
      </c>
      <c r="C2561" s="23" t="s">
        <v>5615</v>
      </c>
      <c r="D2561" s="23" t="s">
        <v>87</v>
      </c>
      <c r="E2561" s="23" t="s">
        <v>75</v>
      </c>
      <c r="F2561" s="23" t="s">
        <v>475</v>
      </c>
      <c r="G2561" s="23" t="s">
        <v>250</v>
      </c>
      <c r="H2561" s="39">
        <f t="shared" si="156"/>
        <v>799</v>
      </c>
      <c r="I2561" s="23" t="str">
        <f t="shared" si="157"/>
        <v>Mumbai</v>
      </c>
      <c r="J2561" s="23">
        <f>COUNTIFS(pg_transaction_cleaned!$O:$O,A2561,pg_transaction_cleaned!$F:$F,"CAPTURE")</f>
        <v>1</v>
      </c>
      <c r="K2561" s="39">
        <f>SUMIFS(pg_transaction_cleaned!$H:$H,pg_transaction_cleaned!$O:$O,A2561,pg_transaction_cleaned!$F:$F,"CAPTURE")</f>
        <v>799</v>
      </c>
      <c r="L2561" s="23">
        <f>COUNTIFS(pg_transaction_cleaned!$O:$O,A2561,pg_transaction_cleaned!$F:$F,"REFUND")</f>
        <v>0</v>
      </c>
      <c r="M2561" s="39">
        <f>SUMIFS(pg_transaction_cleaned!$H:$H,pg_transaction_cleaned!$O:$O,A2561,pg_transaction_cleaned!$F:$F,"REFUND")</f>
        <v>0</v>
      </c>
      <c r="N2561" s="23" t="str">
        <f t="shared" si="158"/>
        <v>OK</v>
      </c>
      <c r="O2561" s="24">
        <f t="shared" si="159"/>
        <v>0</v>
      </c>
    </row>
    <row r="2562" spans="1:15" ht="15" customHeight="1" x14ac:dyDescent="0.3">
      <c r="A2562" s="23" t="s">
        <v>5616</v>
      </c>
      <c r="B2562" s="38">
        <v>46279</v>
      </c>
      <c r="C2562" s="23" t="s">
        <v>5617</v>
      </c>
      <c r="D2562" s="23" t="s">
        <v>91</v>
      </c>
      <c r="E2562" s="23" t="s">
        <v>81</v>
      </c>
      <c r="F2562" s="23" t="s">
        <v>3378</v>
      </c>
      <c r="G2562" s="23" t="s">
        <v>250</v>
      </c>
      <c r="H2562" s="39">
        <f t="shared" ref="H2562:H2625" si="160">VALUE(SUBSTITUTE(F2562,",",""))</f>
        <v>15998</v>
      </c>
      <c r="I2562" s="23" t="str">
        <f t="shared" ref="I2562:I2625" si="161">IF(TRIM(D2562)="","Unknown",TRIM(D2562))</f>
        <v>Pune</v>
      </c>
      <c r="J2562" s="23">
        <f>COUNTIFS(pg_transaction_cleaned!$O:$O,A2562,pg_transaction_cleaned!$F:$F,"CAPTURE")</f>
        <v>1</v>
      </c>
      <c r="K2562" s="39">
        <f>SUMIFS(pg_transaction_cleaned!$H:$H,pg_transaction_cleaned!$O:$O,A2562,pg_transaction_cleaned!$F:$F,"CAPTURE")</f>
        <v>15998</v>
      </c>
      <c r="L2562" s="23">
        <f>COUNTIFS(pg_transaction_cleaned!$O:$O,A2562,pg_transaction_cleaned!$F:$F,"REFUND")</f>
        <v>0</v>
      </c>
      <c r="M2562" s="39">
        <f>SUMIFS(pg_transaction_cleaned!$H:$H,pg_transaction_cleaned!$O:$O,A2562,pg_transaction_cleaned!$F:$F,"REFUND")</f>
        <v>0</v>
      </c>
      <c r="N2562" s="23" t="str">
        <f t="shared" ref="N2562:N2625" si="162">IF(AND(G2562="Paid",J2562=0),"Paid, no payment",IF(AND(OR(G2562="Failed",G2562="Cancelled"),J2562&gt;0),"Payment on failed/cancelled",IF(J2562&gt;1,"Duplicate charge",IF(AND(J2562=1,ROUND(K2562-H2562,2)&lt;&gt;0),"Amount difference",IF(AND(G2562="Refunded",L2562=0),"Refunded, no refund",IF(AND(G2562&lt;&gt;"Refunded",L2562&gt;0),"Refund, order not Refunded",IF(AND(L2562&gt;0,ROUND(M2562-H2562,2)&lt;&gt;0),"Refund amount differs","OK")))))))</f>
        <v>OK</v>
      </c>
      <c r="O2562" s="24">
        <f t="shared" ref="O2562:O2625" si="163">IF(N2562="OK",0,IF(N2562="Paid, no payment",H2562,IF(N2562="Payment on failed/cancelled",K2562,IF(OR(N2562="Duplicate charge",N2562="Amount difference"),K2562-H2562,IF(N2562="Refunded, no refund",H2562,M2562)))))</f>
        <v>0</v>
      </c>
    </row>
    <row r="2563" spans="1:15" ht="15" customHeight="1" x14ac:dyDescent="0.3">
      <c r="A2563" s="23" t="s">
        <v>5618</v>
      </c>
      <c r="B2563" s="38">
        <v>46282</v>
      </c>
      <c r="C2563" s="23" t="s">
        <v>5619</v>
      </c>
      <c r="D2563" s="23" t="s">
        <v>89</v>
      </c>
      <c r="E2563" s="23" t="s">
        <v>75</v>
      </c>
      <c r="F2563" s="23" t="s">
        <v>271</v>
      </c>
      <c r="G2563" s="23" t="s">
        <v>250</v>
      </c>
      <c r="H2563" s="39">
        <f t="shared" si="160"/>
        <v>2499</v>
      </c>
      <c r="I2563" s="23" t="str">
        <f t="shared" si="161"/>
        <v>Jaipur</v>
      </c>
      <c r="J2563" s="23">
        <f>COUNTIFS(pg_transaction_cleaned!$O:$O,A2563,pg_transaction_cleaned!$F:$F,"CAPTURE")</f>
        <v>1</v>
      </c>
      <c r="K2563" s="39">
        <f>SUMIFS(pg_transaction_cleaned!$H:$H,pg_transaction_cleaned!$O:$O,A2563,pg_transaction_cleaned!$F:$F,"CAPTURE")</f>
        <v>2499</v>
      </c>
      <c r="L2563" s="23">
        <f>COUNTIFS(pg_transaction_cleaned!$O:$O,A2563,pg_transaction_cleaned!$F:$F,"REFUND")</f>
        <v>0</v>
      </c>
      <c r="M2563" s="39">
        <f>SUMIFS(pg_transaction_cleaned!$H:$H,pg_transaction_cleaned!$O:$O,A2563,pg_transaction_cleaned!$F:$F,"REFUND")</f>
        <v>0</v>
      </c>
      <c r="N2563" s="23" t="str">
        <f t="shared" si="162"/>
        <v>OK</v>
      </c>
      <c r="O2563" s="24">
        <f t="shared" si="163"/>
        <v>0</v>
      </c>
    </row>
    <row r="2564" spans="1:15" ht="15" customHeight="1" x14ac:dyDescent="0.3">
      <c r="A2564" s="23" t="s">
        <v>5620</v>
      </c>
      <c r="B2564" s="38">
        <v>46268</v>
      </c>
      <c r="C2564" s="23" t="s">
        <v>5621</v>
      </c>
      <c r="D2564" s="23" t="s">
        <v>87</v>
      </c>
      <c r="E2564" s="23" t="s">
        <v>75</v>
      </c>
      <c r="F2564" s="23" t="s">
        <v>1571</v>
      </c>
      <c r="G2564" s="23" t="s">
        <v>250</v>
      </c>
      <c r="H2564" s="39">
        <f t="shared" si="160"/>
        <v>7497</v>
      </c>
      <c r="I2564" s="23" t="str">
        <f t="shared" si="161"/>
        <v>Mumbai</v>
      </c>
      <c r="J2564" s="23">
        <f>COUNTIFS(pg_transaction_cleaned!$O:$O,A2564,pg_transaction_cleaned!$F:$F,"CAPTURE")</f>
        <v>1</v>
      </c>
      <c r="K2564" s="39">
        <f>SUMIFS(pg_transaction_cleaned!$H:$H,pg_transaction_cleaned!$O:$O,A2564,pg_transaction_cleaned!$F:$F,"CAPTURE")</f>
        <v>7497</v>
      </c>
      <c r="L2564" s="23">
        <f>COUNTIFS(pg_transaction_cleaned!$O:$O,A2564,pg_transaction_cleaned!$F:$F,"REFUND")</f>
        <v>0</v>
      </c>
      <c r="M2564" s="39">
        <f>SUMIFS(pg_transaction_cleaned!$H:$H,pg_transaction_cleaned!$O:$O,A2564,pg_transaction_cleaned!$F:$F,"REFUND")</f>
        <v>0</v>
      </c>
      <c r="N2564" s="23" t="str">
        <f t="shared" si="162"/>
        <v>OK</v>
      </c>
      <c r="O2564" s="24">
        <f t="shared" si="163"/>
        <v>0</v>
      </c>
    </row>
    <row r="2565" spans="1:15" ht="15" customHeight="1" x14ac:dyDescent="0.3">
      <c r="A2565" s="23" t="s">
        <v>5622</v>
      </c>
      <c r="B2565" s="38">
        <v>46267</v>
      </c>
      <c r="C2565" s="23" t="s">
        <v>5623</v>
      </c>
      <c r="D2565" s="23" t="s">
        <v>87</v>
      </c>
      <c r="E2565" s="23" t="s">
        <v>79</v>
      </c>
      <c r="F2565" s="23" t="s">
        <v>775</v>
      </c>
      <c r="G2565" s="23" t="s">
        <v>250</v>
      </c>
      <c r="H2565" s="39">
        <f t="shared" si="160"/>
        <v>4999</v>
      </c>
      <c r="I2565" s="23" t="str">
        <f t="shared" si="161"/>
        <v>Mumbai</v>
      </c>
      <c r="J2565" s="23">
        <f>COUNTIFS(pg_transaction_cleaned!$O:$O,A2565,pg_transaction_cleaned!$F:$F,"CAPTURE")</f>
        <v>1</v>
      </c>
      <c r="K2565" s="39">
        <f>SUMIFS(pg_transaction_cleaned!$H:$H,pg_transaction_cleaned!$O:$O,A2565,pg_transaction_cleaned!$F:$F,"CAPTURE")</f>
        <v>4999</v>
      </c>
      <c r="L2565" s="23">
        <f>COUNTIFS(pg_transaction_cleaned!$O:$O,A2565,pg_transaction_cleaned!$F:$F,"REFUND")</f>
        <v>0</v>
      </c>
      <c r="M2565" s="39">
        <f>SUMIFS(pg_transaction_cleaned!$H:$H,pg_transaction_cleaned!$O:$O,A2565,pg_transaction_cleaned!$F:$F,"REFUND")</f>
        <v>0</v>
      </c>
      <c r="N2565" s="23" t="str">
        <f t="shared" si="162"/>
        <v>OK</v>
      </c>
      <c r="O2565" s="24">
        <f t="shared" si="163"/>
        <v>0</v>
      </c>
    </row>
    <row r="2566" spans="1:15" ht="15" customHeight="1" x14ac:dyDescent="0.3">
      <c r="A2566" s="23" t="s">
        <v>5624</v>
      </c>
      <c r="B2566" s="38">
        <v>46268</v>
      </c>
      <c r="C2566" s="23" t="s">
        <v>5625</v>
      </c>
      <c r="D2566" s="23" t="s">
        <v>91</v>
      </c>
      <c r="E2566" s="23" t="s">
        <v>81</v>
      </c>
      <c r="F2566" s="23" t="s">
        <v>262</v>
      </c>
      <c r="G2566" s="23" t="s">
        <v>250</v>
      </c>
      <c r="H2566" s="39">
        <f t="shared" si="160"/>
        <v>499</v>
      </c>
      <c r="I2566" s="23" t="str">
        <f t="shared" si="161"/>
        <v>Pune</v>
      </c>
      <c r="J2566" s="23">
        <f>COUNTIFS(pg_transaction_cleaned!$O:$O,A2566,pg_transaction_cleaned!$F:$F,"CAPTURE")</f>
        <v>1</v>
      </c>
      <c r="K2566" s="39">
        <f>SUMIFS(pg_transaction_cleaned!$H:$H,pg_transaction_cleaned!$O:$O,A2566,pg_transaction_cleaned!$F:$F,"CAPTURE")</f>
        <v>499</v>
      </c>
      <c r="L2566" s="23">
        <f>COUNTIFS(pg_transaction_cleaned!$O:$O,A2566,pg_transaction_cleaned!$F:$F,"REFUND")</f>
        <v>0</v>
      </c>
      <c r="M2566" s="39">
        <f>SUMIFS(pg_transaction_cleaned!$H:$H,pg_transaction_cleaned!$O:$O,A2566,pg_transaction_cleaned!$F:$F,"REFUND")</f>
        <v>0</v>
      </c>
      <c r="N2566" s="23" t="str">
        <f t="shared" si="162"/>
        <v>OK</v>
      </c>
      <c r="O2566" s="24">
        <f t="shared" si="163"/>
        <v>0</v>
      </c>
    </row>
    <row r="2567" spans="1:15" ht="15" customHeight="1" x14ac:dyDescent="0.3">
      <c r="A2567" s="23" t="s">
        <v>5626</v>
      </c>
      <c r="B2567" s="38">
        <v>46268</v>
      </c>
      <c r="C2567" s="23" t="s">
        <v>5627</v>
      </c>
      <c r="D2567" s="23" t="s">
        <v>94</v>
      </c>
      <c r="E2567" s="23" t="s">
        <v>79</v>
      </c>
      <c r="F2567" s="23" t="s">
        <v>834</v>
      </c>
      <c r="G2567" s="23" t="s">
        <v>250</v>
      </c>
      <c r="H2567" s="39">
        <f t="shared" si="160"/>
        <v>7097</v>
      </c>
      <c r="I2567" s="23" t="str">
        <f t="shared" si="161"/>
        <v>Chennai</v>
      </c>
      <c r="J2567" s="23">
        <f>COUNTIFS(pg_transaction_cleaned!$O:$O,A2567,pg_transaction_cleaned!$F:$F,"CAPTURE")</f>
        <v>1</v>
      </c>
      <c r="K2567" s="39">
        <f>SUMIFS(pg_transaction_cleaned!$H:$H,pg_transaction_cleaned!$O:$O,A2567,pg_transaction_cleaned!$F:$F,"CAPTURE")</f>
        <v>7097</v>
      </c>
      <c r="L2567" s="23">
        <f>COUNTIFS(pg_transaction_cleaned!$O:$O,A2567,pg_transaction_cleaned!$F:$F,"REFUND")</f>
        <v>0</v>
      </c>
      <c r="M2567" s="39">
        <f>SUMIFS(pg_transaction_cleaned!$H:$H,pg_transaction_cleaned!$O:$O,A2567,pg_transaction_cleaned!$F:$F,"REFUND")</f>
        <v>0</v>
      </c>
      <c r="N2567" s="23" t="str">
        <f t="shared" si="162"/>
        <v>OK</v>
      </c>
      <c r="O2567" s="24">
        <f t="shared" si="163"/>
        <v>0</v>
      </c>
    </row>
    <row r="2568" spans="1:15" ht="15" customHeight="1" x14ac:dyDescent="0.3">
      <c r="A2568" s="23" t="s">
        <v>5628</v>
      </c>
      <c r="B2568" s="38">
        <v>46267</v>
      </c>
      <c r="C2568" s="23" t="s">
        <v>5629</v>
      </c>
      <c r="D2568" s="23" t="s">
        <v>93</v>
      </c>
      <c r="E2568" s="23" t="s">
        <v>77</v>
      </c>
      <c r="F2568" s="23" t="s">
        <v>2081</v>
      </c>
      <c r="G2568" s="23" t="s">
        <v>250</v>
      </c>
      <c r="H2568" s="39">
        <f t="shared" si="160"/>
        <v>6297</v>
      </c>
      <c r="I2568" s="23" t="str">
        <f t="shared" si="161"/>
        <v>Kolkata</v>
      </c>
      <c r="J2568" s="23">
        <f>COUNTIFS(pg_transaction_cleaned!$O:$O,A2568,pg_transaction_cleaned!$F:$F,"CAPTURE")</f>
        <v>1</v>
      </c>
      <c r="K2568" s="39">
        <f>SUMIFS(pg_transaction_cleaned!$H:$H,pg_transaction_cleaned!$O:$O,A2568,pg_transaction_cleaned!$F:$F,"CAPTURE")</f>
        <v>6297</v>
      </c>
      <c r="L2568" s="23">
        <f>COUNTIFS(pg_transaction_cleaned!$O:$O,A2568,pg_transaction_cleaned!$F:$F,"REFUND")</f>
        <v>0</v>
      </c>
      <c r="M2568" s="39">
        <f>SUMIFS(pg_transaction_cleaned!$H:$H,pg_transaction_cleaned!$O:$O,A2568,pg_transaction_cleaned!$F:$F,"REFUND")</f>
        <v>0</v>
      </c>
      <c r="N2568" s="23" t="str">
        <f t="shared" si="162"/>
        <v>OK</v>
      </c>
      <c r="O2568" s="24">
        <f t="shared" si="163"/>
        <v>0</v>
      </c>
    </row>
    <row r="2569" spans="1:15" ht="15" customHeight="1" x14ac:dyDescent="0.3">
      <c r="A2569" s="23" t="s">
        <v>5630</v>
      </c>
      <c r="B2569" s="38">
        <v>46287</v>
      </c>
      <c r="C2569" s="23" t="s">
        <v>5631</v>
      </c>
      <c r="D2569" s="23" t="s">
        <v>92</v>
      </c>
      <c r="E2569" s="23" t="s">
        <v>79</v>
      </c>
      <c r="F2569" s="23" t="s">
        <v>297</v>
      </c>
      <c r="G2569" s="23" t="s">
        <v>365</v>
      </c>
      <c r="H2569" s="39">
        <f t="shared" si="160"/>
        <v>4999</v>
      </c>
      <c r="I2569" s="23" t="str">
        <f t="shared" si="161"/>
        <v>Hyderabad</v>
      </c>
      <c r="J2569" s="23">
        <f>COUNTIFS(pg_transaction_cleaned!$O:$O,A2569,pg_transaction_cleaned!$F:$F,"CAPTURE")</f>
        <v>0</v>
      </c>
      <c r="K2569" s="39">
        <f>SUMIFS(pg_transaction_cleaned!$H:$H,pg_transaction_cleaned!$O:$O,A2569,pg_transaction_cleaned!$F:$F,"CAPTURE")</f>
        <v>0</v>
      </c>
      <c r="L2569" s="23">
        <f>COUNTIFS(pg_transaction_cleaned!$O:$O,A2569,pg_transaction_cleaned!$F:$F,"REFUND")</f>
        <v>0</v>
      </c>
      <c r="M2569" s="39">
        <f>SUMIFS(pg_transaction_cleaned!$H:$H,pg_transaction_cleaned!$O:$O,A2569,pg_transaction_cleaned!$F:$F,"REFUND")</f>
        <v>0</v>
      </c>
      <c r="N2569" s="23" t="str">
        <f t="shared" si="162"/>
        <v>OK</v>
      </c>
      <c r="O2569" s="24">
        <f t="shared" si="163"/>
        <v>0</v>
      </c>
    </row>
    <row r="2570" spans="1:15" ht="15" customHeight="1" x14ac:dyDescent="0.3">
      <c r="A2570" s="23" t="s">
        <v>5632</v>
      </c>
      <c r="B2570" s="38">
        <v>46271</v>
      </c>
      <c r="C2570" s="23" t="s">
        <v>5633</v>
      </c>
      <c r="D2570" s="23" t="s">
        <v>89</v>
      </c>
      <c r="E2570" s="23" t="s">
        <v>79</v>
      </c>
      <c r="F2570" s="23" t="s">
        <v>294</v>
      </c>
      <c r="G2570" s="23" t="s">
        <v>250</v>
      </c>
      <c r="H2570" s="39">
        <f t="shared" si="160"/>
        <v>1799</v>
      </c>
      <c r="I2570" s="23" t="str">
        <f t="shared" si="161"/>
        <v>Jaipur</v>
      </c>
      <c r="J2570" s="23">
        <f>COUNTIFS(pg_transaction_cleaned!$O:$O,A2570,pg_transaction_cleaned!$F:$F,"CAPTURE")</f>
        <v>1</v>
      </c>
      <c r="K2570" s="39">
        <f>SUMIFS(pg_transaction_cleaned!$H:$H,pg_transaction_cleaned!$O:$O,A2570,pg_transaction_cleaned!$F:$F,"CAPTURE")</f>
        <v>1799</v>
      </c>
      <c r="L2570" s="23">
        <f>COUNTIFS(pg_transaction_cleaned!$O:$O,A2570,pg_transaction_cleaned!$F:$F,"REFUND")</f>
        <v>0</v>
      </c>
      <c r="M2570" s="39">
        <f>SUMIFS(pg_transaction_cleaned!$H:$H,pg_transaction_cleaned!$O:$O,A2570,pg_transaction_cleaned!$F:$F,"REFUND")</f>
        <v>0</v>
      </c>
      <c r="N2570" s="23" t="str">
        <f t="shared" si="162"/>
        <v>OK</v>
      </c>
      <c r="O2570" s="24">
        <f t="shared" si="163"/>
        <v>0</v>
      </c>
    </row>
    <row r="2571" spans="1:15" ht="15" customHeight="1" x14ac:dyDescent="0.3">
      <c r="A2571" s="23" t="s">
        <v>5634</v>
      </c>
      <c r="B2571" s="38">
        <v>46281</v>
      </c>
      <c r="C2571" s="23" t="s">
        <v>5635</v>
      </c>
      <c r="D2571" s="23" t="s">
        <v>86</v>
      </c>
      <c r="E2571" s="23" t="s">
        <v>79</v>
      </c>
      <c r="F2571" s="23" t="s">
        <v>315</v>
      </c>
      <c r="G2571" s="23" t="s">
        <v>250</v>
      </c>
      <c r="H2571" s="39">
        <f t="shared" si="160"/>
        <v>1499</v>
      </c>
      <c r="I2571" s="23" t="str">
        <f t="shared" si="161"/>
        <v>Delhi</v>
      </c>
      <c r="J2571" s="23">
        <f>COUNTIFS(pg_transaction_cleaned!$O:$O,A2571,pg_transaction_cleaned!$F:$F,"CAPTURE")</f>
        <v>1</v>
      </c>
      <c r="K2571" s="39">
        <f>SUMIFS(pg_transaction_cleaned!$H:$H,pg_transaction_cleaned!$O:$O,A2571,pg_transaction_cleaned!$F:$F,"CAPTURE")</f>
        <v>1499</v>
      </c>
      <c r="L2571" s="23">
        <f>COUNTIFS(pg_transaction_cleaned!$O:$O,A2571,pg_transaction_cleaned!$F:$F,"REFUND")</f>
        <v>0</v>
      </c>
      <c r="M2571" s="39">
        <f>SUMIFS(pg_transaction_cleaned!$H:$H,pg_transaction_cleaned!$O:$O,A2571,pg_transaction_cleaned!$F:$F,"REFUND")</f>
        <v>0</v>
      </c>
      <c r="N2571" s="23" t="str">
        <f t="shared" si="162"/>
        <v>OK</v>
      </c>
      <c r="O2571" s="24">
        <f t="shared" si="163"/>
        <v>0</v>
      </c>
    </row>
    <row r="2572" spans="1:15" ht="15" customHeight="1" x14ac:dyDescent="0.3">
      <c r="A2572" s="23" t="s">
        <v>5636</v>
      </c>
      <c r="B2572" s="38">
        <v>46292</v>
      </c>
      <c r="C2572" s="23" t="s">
        <v>5272</v>
      </c>
      <c r="D2572" s="23" t="s">
        <v>90</v>
      </c>
      <c r="E2572" s="23" t="s">
        <v>75</v>
      </c>
      <c r="F2572" s="23" t="s">
        <v>294</v>
      </c>
      <c r="G2572" s="23" t="s">
        <v>250</v>
      </c>
      <c r="H2572" s="39">
        <f t="shared" si="160"/>
        <v>1799</v>
      </c>
      <c r="I2572" s="23" t="str">
        <f t="shared" si="161"/>
        <v>Ahmedabad</v>
      </c>
      <c r="J2572" s="23">
        <f>COUNTIFS(pg_transaction_cleaned!$O:$O,A2572,pg_transaction_cleaned!$F:$F,"CAPTURE")</f>
        <v>1</v>
      </c>
      <c r="K2572" s="39">
        <f>SUMIFS(pg_transaction_cleaned!$H:$H,pg_transaction_cleaned!$O:$O,A2572,pg_transaction_cleaned!$F:$F,"CAPTURE")</f>
        <v>1799</v>
      </c>
      <c r="L2572" s="23">
        <f>COUNTIFS(pg_transaction_cleaned!$O:$O,A2572,pg_transaction_cleaned!$F:$F,"REFUND")</f>
        <v>0</v>
      </c>
      <c r="M2572" s="39">
        <f>SUMIFS(pg_transaction_cleaned!$H:$H,pg_transaction_cleaned!$O:$O,A2572,pg_transaction_cleaned!$F:$F,"REFUND")</f>
        <v>0</v>
      </c>
      <c r="N2572" s="23" t="str">
        <f t="shared" si="162"/>
        <v>OK</v>
      </c>
      <c r="O2572" s="24">
        <f t="shared" si="163"/>
        <v>0</v>
      </c>
    </row>
    <row r="2573" spans="1:15" ht="15" customHeight="1" x14ac:dyDescent="0.3">
      <c r="A2573" s="23" t="s">
        <v>5637</v>
      </c>
      <c r="B2573" s="38">
        <v>46267</v>
      </c>
      <c r="C2573" s="23" t="s">
        <v>5638</v>
      </c>
      <c r="D2573" s="23" t="s">
        <v>92</v>
      </c>
      <c r="E2573" s="23" t="s">
        <v>79</v>
      </c>
      <c r="F2573" s="23" t="s">
        <v>5639</v>
      </c>
      <c r="G2573" s="23" t="s">
        <v>250</v>
      </c>
      <c r="H2573" s="39">
        <f t="shared" si="160"/>
        <v>2798</v>
      </c>
      <c r="I2573" s="23" t="str">
        <f t="shared" si="161"/>
        <v>Hyderabad</v>
      </c>
      <c r="J2573" s="23">
        <f>COUNTIFS(pg_transaction_cleaned!$O:$O,A2573,pg_transaction_cleaned!$F:$F,"CAPTURE")</f>
        <v>1</v>
      </c>
      <c r="K2573" s="39">
        <f>SUMIFS(pg_transaction_cleaned!$H:$H,pg_transaction_cleaned!$O:$O,A2573,pg_transaction_cleaned!$F:$F,"CAPTURE")</f>
        <v>2798</v>
      </c>
      <c r="L2573" s="23">
        <f>COUNTIFS(pg_transaction_cleaned!$O:$O,A2573,pg_transaction_cleaned!$F:$F,"REFUND")</f>
        <v>0</v>
      </c>
      <c r="M2573" s="39">
        <f>SUMIFS(pg_transaction_cleaned!$H:$H,pg_transaction_cleaned!$O:$O,A2573,pg_transaction_cleaned!$F:$F,"REFUND")</f>
        <v>0</v>
      </c>
      <c r="N2573" s="23" t="str">
        <f t="shared" si="162"/>
        <v>OK</v>
      </c>
      <c r="O2573" s="24">
        <f t="shared" si="163"/>
        <v>0</v>
      </c>
    </row>
    <row r="2574" spans="1:15" ht="15" customHeight="1" x14ac:dyDescent="0.3">
      <c r="A2574" s="23" t="s">
        <v>5640</v>
      </c>
      <c r="B2574" s="38">
        <v>46294</v>
      </c>
      <c r="C2574" s="23" t="s">
        <v>3035</v>
      </c>
      <c r="D2574" s="23" t="s">
        <v>89</v>
      </c>
      <c r="E2574" s="23" t="s">
        <v>75</v>
      </c>
      <c r="F2574" s="23" t="s">
        <v>268</v>
      </c>
      <c r="G2574" s="23" t="s">
        <v>250</v>
      </c>
      <c r="H2574" s="39">
        <f t="shared" si="160"/>
        <v>1299</v>
      </c>
      <c r="I2574" s="23" t="str">
        <f t="shared" si="161"/>
        <v>Jaipur</v>
      </c>
      <c r="J2574" s="23">
        <f>COUNTIFS(pg_transaction_cleaned!$O:$O,A2574,pg_transaction_cleaned!$F:$F,"CAPTURE")</f>
        <v>1</v>
      </c>
      <c r="K2574" s="39">
        <f>SUMIFS(pg_transaction_cleaned!$H:$H,pg_transaction_cleaned!$O:$O,A2574,pg_transaction_cleaned!$F:$F,"CAPTURE")</f>
        <v>1299</v>
      </c>
      <c r="L2574" s="23">
        <f>COUNTIFS(pg_transaction_cleaned!$O:$O,A2574,pg_transaction_cleaned!$F:$F,"REFUND")</f>
        <v>0</v>
      </c>
      <c r="M2574" s="39">
        <f>SUMIFS(pg_transaction_cleaned!$H:$H,pg_transaction_cleaned!$O:$O,A2574,pg_transaction_cleaned!$F:$F,"REFUND")</f>
        <v>0</v>
      </c>
      <c r="N2574" s="23" t="str">
        <f t="shared" si="162"/>
        <v>OK</v>
      </c>
      <c r="O2574" s="24">
        <f t="shared" si="163"/>
        <v>0</v>
      </c>
    </row>
    <row r="2575" spans="1:15" ht="15" customHeight="1" x14ac:dyDescent="0.3">
      <c r="A2575" s="23" t="s">
        <v>5641</v>
      </c>
      <c r="B2575" s="38">
        <v>46274</v>
      </c>
      <c r="C2575" s="23" t="s">
        <v>5642</v>
      </c>
      <c r="D2575" s="23" t="s">
        <v>86</v>
      </c>
      <c r="E2575" s="23" t="s">
        <v>75</v>
      </c>
      <c r="F2575" s="23" t="s">
        <v>349</v>
      </c>
      <c r="G2575" s="23" t="s">
        <v>250</v>
      </c>
      <c r="H2575" s="39">
        <f t="shared" si="160"/>
        <v>1798</v>
      </c>
      <c r="I2575" s="23" t="str">
        <f t="shared" si="161"/>
        <v>Delhi</v>
      </c>
      <c r="J2575" s="23">
        <f>COUNTIFS(pg_transaction_cleaned!$O:$O,A2575,pg_transaction_cleaned!$F:$F,"CAPTURE")</f>
        <v>1</v>
      </c>
      <c r="K2575" s="39">
        <f>SUMIFS(pg_transaction_cleaned!$H:$H,pg_transaction_cleaned!$O:$O,A2575,pg_transaction_cleaned!$F:$F,"CAPTURE")</f>
        <v>1798</v>
      </c>
      <c r="L2575" s="23">
        <f>COUNTIFS(pg_transaction_cleaned!$O:$O,A2575,pg_transaction_cleaned!$F:$F,"REFUND")</f>
        <v>0</v>
      </c>
      <c r="M2575" s="39">
        <f>SUMIFS(pg_transaction_cleaned!$H:$H,pg_transaction_cleaned!$O:$O,A2575,pg_transaction_cleaned!$F:$F,"REFUND")</f>
        <v>0</v>
      </c>
      <c r="N2575" s="23" t="str">
        <f t="shared" si="162"/>
        <v>OK</v>
      </c>
      <c r="O2575" s="24">
        <f t="shared" si="163"/>
        <v>0</v>
      </c>
    </row>
    <row r="2576" spans="1:15" ht="15" customHeight="1" x14ac:dyDescent="0.3">
      <c r="A2576" s="23" t="s">
        <v>5643</v>
      </c>
      <c r="B2576" s="38">
        <v>46291</v>
      </c>
      <c r="C2576" s="23" t="s">
        <v>5644</v>
      </c>
      <c r="D2576" s="23" t="s">
        <v>87</v>
      </c>
      <c r="E2576" s="23" t="s">
        <v>75</v>
      </c>
      <c r="F2576" s="23" t="s">
        <v>294</v>
      </c>
      <c r="G2576" s="23" t="s">
        <v>250</v>
      </c>
      <c r="H2576" s="39">
        <f t="shared" si="160"/>
        <v>1799</v>
      </c>
      <c r="I2576" s="23" t="str">
        <f t="shared" si="161"/>
        <v>Mumbai</v>
      </c>
      <c r="J2576" s="23">
        <f>COUNTIFS(pg_transaction_cleaned!$O:$O,A2576,pg_transaction_cleaned!$F:$F,"CAPTURE")</f>
        <v>1</v>
      </c>
      <c r="K2576" s="39">
        <f>SUMIFS(pg_transaction_cleaned!$H:$H,pg_transaction_cleaned!$O:$O,A2576,pg_transaction_cleaned!$F:$F,"CAPTURE")</f>
        <v>1799</v>
      </c>
      <c r="L2576" s="23">
        <f>COUNTIFS(pg_transaction_cleaned!$O:$O,A2576,pg_transaction_cleaned!$F:$F,"REFUND")</f>
        <v>0</v>
      </c>
      <c r="M2576" s="39">
        <f>SUMIFS(pg_transaction_cleaned!$H:$H,pg_transaction_cleaned!$O:$O,A2576,pg_transaction_cleaned!$F:$F,"REFUND")</f>
        <v>0</v>
      </c>
      <c r="N2576" s="23" t="str">
        <f t="shared" si="162"/>
        <v>OK</v>
      </c>
      <c r="O2576" s="24">
        <f t="shared" si="163"/>
        <v>0</v>
      </c>
    </row>
    <row r="2577" spans="1:15" ht="15" customHeight="1" x14ac:dyDescent="0.3">
      <c r="A2577" s="23" t="s">
        <v>5645</v>
      </c>
      <c r="B2577" s="38">
        <v>46277</v>
      </c>
      <c r="C2577" s="23" t="s">
        <v>5646</v>
      </c>
      <c r="D2577" s="23" t="s">
        <v>89</v>
      </c>
      <c r="E2577" s="23" t="s">
        <v>79</v>
      </c>
      <c r="F2577" s="23" t="s">
        <v>310</v>
      </c>
      <c r="G2577" s="23" t="s">
        <v>250</v>
      </c>
      <c r="H2577" s="39">
        <f t="shared" si="160"/>
        <v>7999</v>
      </c>
      <c r="I2577" s="23" t="str">
        <f t="shared" si="161"/>
        <v>Jaipur</v>
      </c>
      <c r="J2577" s="23">
        <f>COUNTIFS(pg_transaction_cleaned!$O:$O,A2577,pg_transaction_cleaned!$F:$F,"CAPTURE")</f>
        <v>1</v>
      </c>
      <c r="K2577" s="39">
        <f>SUMIFS(pg_transaction_cleaned!$H:$H,pg_transaction_cleaned!$O:$O,A2577,pg_transaction_cleaned!$F:$F,"CAPTURE")</f>
        <v>7999</v>
      </c>
      <c r="L2577" s="23">
        <f>COUNTIFS(pg_transaction_cleaned!$O:$O,A2577,pg_transaction_cleaned!$F:$F,"REFUND")</f>
        <v>0</v>
      </c>
      <c r="M2577" s="39">
        <f>SUMIFS(pg_transaction_cleaned!$H:$H,pg_transaction_cleaned!$O:$O,A2577,pg_transaction_cleaned!$F:$F,"REFUND")</f>
        <v>0</v>
      </c>
      <c r="N2577" s="23" t="str">
        <f t="shared" si="162"/>
        <v>OK</v>
      </c>
      <c r="O2577" s="24">
        <f t="shared" si="163"/>
        <v>0</v>
      </c>
    </row>
    <row r="2578" spans="1:15" ht="15" customHeight="1" x14ac:dyDescent="0.3">
      <c r="A2578" s="23" t="s">
        <v>5647</v>
      </c>
      <c r="B2578" s="38">
        <v>46288</v>
      </c>
      <c r="C2578" s="23" t="s">
        <v>5648</v>
      </c>
      <c r="D2578" s="23" t="s">
        <v>93</v>
      </c>
      <c r="E2578" s="23" t="s">
        <v>75</v>
      </c>
      <c r="F2578" s="23" t="s">
        <v>396</v>
      </c>
      <c r="G2578" s="23" t="s">
        <v>250</v>
      </c>
      <c r="H2578" s="39">
        <f t="shared" si="160"/>
        <v>2999</v>
      </c>
      <c r="I2578" s="23" t="str">
        <f t="shared" si="161"/>
        <v>Kolkata</v>
      </c>
      <c r="J2578" s="23">
        <f>COUNTIFS(pg_transaction_cleaned!$O:$O,A2578,pg_transaction_cleaned!$F:$F,"CAPTURE")</f>
        <v>1</v>
      </c>
      <c r="K2578" s="39">
        <f>SUMIFS(pg_transaction_cleaned!$H:$H,pg_transaction_cleaned!$O:$O,A2578,pg_transaction_cleaned!$F:$F,"CAPTURE")</f>
        <v>2999</v>
      </c>
      <c r="L2578" s="23">
        <f>COUNTIFS(pg_transaction_cleaned!$O:$O,A2578,pg_transaction_cleaned!$F:$F,"REFUND")</f>
        <v>0</v>
      </c>
      <c r="M2578" s="39">
        <f>SUMIFS(pg_transaction_cleaned!$H:$H,pg_transaction_cleaned!$O:$O,A2578,pg_transaction_cleaned!$F:$F,"REFUND")</f>
        <v>0</v>
      </c>
      <c r="N2578" s="23" t="str">
        <f t="shared" si="162"/>
        <v>OK</v>
      </c>
      <c r="O2578" s="24">
        <f t="shared" si="163"/>
        <v>0</v>
      </c>
    </row>
    <row r="2579" spans="1:15" ht="15" customHeight="1" x14ac:dyDescent="0.3">
      <c r="A2579" s="23" t="s">
        <v>5649</v>
      </c>
      <c r="B2579" s="38">
        <v>46285</v>
      </c>
      <c r="C2579" s="23" t="s">
        <v>5650</v>
      </c>
      <c r="D2579" s="23" t="s">
        <v>88</v>
      </c>
      <c r="E2579" s="23" t="s">
        <v>79</v>
      </c>
      <c r="F2579" s="23" t="s">
        <v>259</v>
      </c>
      <c r="G2579" s="23" t="s">
        <v>250</v>
      </c>
      <c r="H2579" s="39">
        <f t="shared" si="160"/>
        <v>3298</v>
      </c>
      <c r="I2579" s="23" t="str">
        <f t="shared" si="161"/>
        <v>Lucknow</v>
      </c>
      <c r="J2579" s="23">
        <f>COUNTIFS(pg_transaction_cleaned!$O:$O,A2579,pg_transaction_cleaned!$F:$F,"CAPTURE")</f>
        <v>1</v>
      </c>
      <c r="K2579" s="39">
        <f>SUMIFS(pg_transaction_cleaned!$H:$H,pg_transaction_cleaned!$O:$O,A2579,pg_transaction_cleaned!$F:$F,"CAPTURE")</f>
        <v>3298</v>
      </c>
      <c r="L2579" s="23">
        <f>COUNTIFS(pg_transaction_cleaned!$O:$O,A2579,pg_transaction_cleaned!$F:$F,"REFUND")</f>
        <v>0</v>
      </c>
      <c r="M2579" s="39">
        <f>SUMIFS(pg_transaction_cleaned!$H:$H,pg_transaction_cleaned!$O:$O,A2579,pg_transaction_cleaned!$F:$F,"REFUND")</f>
        <v>0</v>
      </c>
      <c r="N2579" s="23" t="str">
        <f t="shared" si="162"/>
        <v>OK</v>
      </c>
      <c r="O2579" s="24">
        <f t="shared" si="163"/>
        <v>0</v>
      </c>
    </row>
    <row r="2580" spans="1:15" ht="15" customHeight="1" x14ac:dyDescent="0.3">
      <c r="A2580" s="23" t="s">
        <v>5651</v>
      </c>
      <c r="B2580" s="38">
        <v>46290</v>
      </c>
      <c r="C2580" s="23" t="s">
        <v>5652</v>
      </c>
      <c r="D2580" s="23" t="s">
        <v>91</v>
      </c>
      <c r="E2580" s="23" t="s">
        <v>75</v>
      </c>
      <c r="F2580" s="23" t="s">
        <v>360</v>
      </c>
      <c r="G2580" s="23" t="s">
        <v>250</v>
      </c>
      <c r="H2580" s="39">
        <f t="shared" si="160"/>
        <v>10297</v>
      </c>
      <c r="I2580" s="23" t="str">
        <f t="shared" si="161"/>
        <v>Pune</v>
      </c>
      <c r="J2580" s="23">
        <f>COUNTIFS(pg_transaction_cleaned!$O:$O,A2580,pg_transaction_cleaned!$F:$F,"CAPTURE")</f>
        <v>1</v>
      </c>
      <c r="K2580" s="39">
        <f>SUMIFS(pg_transaction_cleaned!$H:$H,pg_transaction_cleaned!$O:$O,A2580,pg_transaction_cleaned!$F:$F,"CAPTURE")</f>
        <v>10297</v>
      </c>
      <c r="L2580" s="23">
        <f>COUNTIFS(pg_transaction_cleaned!$O:$O,A2580,pg_transaction_cleaned!$F:$F,"REFUND")</f>
        <v>0</v>
      </c>
      <c r="M2580" s="39">
        <f>SUMIFS(pg_transaction_cleaned!$H:$H,pg_transaction_cleaned!$O:$O,A2580,pg_transaction_cleaned!$F:$F,"REFUND")</f>
        <v>0</v>
      </c>
      <c r="N2580" s="23" t="str">
        <f t="shared" si="162"/>
        <v>OK</v>
      </c>
      <c r="O2580" s="24">
        <f t="shared" si="163"/>
        <v>0</v>
      </c>
    </row>
    <row r="2581" spans="1:15" ht="15" customHeight="1" x14ac:dyDescent="0.3">
      <c r="A2581" s="23" t="s">
        <v>5653</v>
      </c>
      <c r="B2581" s="38">
        <v>46293</v>
      </c>
      <c r="C2581" s="23" t="s">
        <v>5654</v>
      </c>
      <c r="D2581" s="23"/>
      <c r="E2581" s="23" t="s">
        <v>77</v>
      </c>
      <c r="F2581" s="23" t="s">
        <v>490</v>
      </c>
      <c r="G2581" s="23" t="s">
        <v>250</v>
      </c>
      <c r="H2581" s="39">
        <f t="shared" si="160"/>
        <v>8798</v>
      </c>
      <c r="I2581" s="23" t="str">
        <f t="shared" si="161"/>
        <v>Unknown</v>
      </c>
      <c r="J2581" s="23">
        <f>COUNTIFS(pg_transaction_cleaned!$O:$O,A2581,pg_transaction_cleaned!$F:$F,"CAPTURE")</f>
        <v>1</v>
      </c>
      <c r="K2581" s="39">
        <f>SUMIFS(pg_transaction_cleaned!$H:$H,pg_transaction_cleaned!$O:$O,A2581,pg_transaction_cleaned!$F:$F,"CAPTURE")</f>
        <v>8798</v>
      </c>
      <c r="L2581" s="23">
        <f>COUNTIFS(pg_transaction_cleaned!$O:$O,A2581,pg_transaction_cleaned!$F:$F,"REFUND")</f>
        <v>0</v>
      </c>
      <c r="M2581" s="39">
        <f>SUMIFS(pg_transaction_cleaned!$H:$H,pg_transaction_cleaned!$O:$O,A2581,pg_transaction_cleaned!$F:$F,"REFUND")</f>
        <v>0</v>
      </c>
      <c r="N2581" s="23" t="str">
        <f t="shared" si="162"/>
        <v>OK</v>
      </c>
      <c r="O2581" s="24">
        <f t="shared" si="163"/>
        <v>0</v>
      </c>
    </row>
    <row r="2582" spans="1:15" ht="15" customHeight="1" x14ac:dyDescent="0.3">
      <c r="A2582" s="23" t="s">
        <v>5655</v>
      </c>
      <c r="B2582" s="38">
        <v>46274</v>
      </c>
      <c r="C2582" s="23" t="s">
        <v>5656</v>
      </c>
      <c r="D2582" s="23" t="s">
        <v>90</v>
      </c>
      <c r="E2582" s="23" t="s">
        <v>75</v>
      </c>
      <c r="F2582" s="23" t="s">
        <v>2837</v>
      </c>
      <c r="G2582" s="23" t="s">
        <v>250</v>
      </c>
      <c r="H2582" s="39">
        <f t="shared" si="160"/>
        <v>12297</v>
      </c>
      <c r="I2582" s="23" t="str">
        <f t="shared" si="161"/>
        <v>Ahmedabad</v>
      </c>
      <c r="J2582" s="23">
        <f>COUNTIFS(pg_transaction_cleaned!$O:$O,A2582,pg_transaction_cleaned!$F:$F,"CAPTURE")</f>
        <v>1</v>
      </c>
      <c r="K2582" s="39">
        <f>SUMIFS(pg_transaction_cleaned!$H:$H,pg_transaction_cleaned!$O:$O,A2582,pg_transaction_cleaned!$F:$F,"CAPTURE")</f>
        <v>12297</v>
      </c>
      <c r="L2582" s="23">
        <f>COUNTIFS(pg_transaction_cleaned!$O:$O,A2582,pg_transaction_cleaned!$F:$F,"REFUND")</f>
        <v>0</v>
      </c>
      <c r="M2582" s="39">
        <f>SUMIFS(pg_transaction_cleaned!$H:$H,pg_transaction_cleaned!$O:$O,A2582,pg_transaction_cleaned!$F:$F,"REFUND")</f>
        <v>0</v>
      </c>
      <c r="N2582" s="23" t="str">
        <f t="shared" si="162"/>
        <v>OK</v>
      </c>
      <c r="O2582" s="24">
        <f t="shared" si="163"/>
        <v>0</v>
      </c>
    </row>
    <row r="2583" spans="1:15" ht="15" customHeight="1" x14ac:dyDescent="0.3">
      <c r="A2583" s="23" t="s">
        <v>5657</v>
      </c>
      <c r="B2583" s="38">
        <v>46294</v>
      </c>
      <c r="C2583" s="23" t="s">
        <v>5658</v>
      </c>
      <c r="D2583" s="23" t="s">
        <v>89</v>
      </c>
      <c r="E2583" s="23" t="s">
        <v>79</v>
      </c>
      <c r="F2583" s="23" t="s">
        <v>294</v>
      </c>
      <c r="G2583" s="23" t="s">
        <v>250</v>
      </c>
      <c r="H2583" s="39">
        <f t="shared" si="160"/>
        <v>1799</v>
      </c>
      <c r="I2583" s="23" t="str">
        <f t="shared" si="161"/>
        <v>Jaipur</v>
      </c>
      <c r="J2583" s="23">
        <f>COUNTIFS(pg_transaction_cleaned!$O:$O,A2583,pg_transaction_cleaned!$F:$F,"CAPTURE")</f>
        <v>1</v>
      </c>
      <c r="K2583" s="39">
        <f>SUMIFS(pg_transaction_cleaned!$H:$H,pg_transaction_cleaned!$O:$O,A2583,pg_transaction_cleaned!$F:$F,"CAPTURE")</f>
        <v>1799</v>
      </c>
      <c r="L2583" s="23">
        <f>COUNTIFS(pg_transaction_cleaned!$O:$O,A2583,pg_transaction_cleaned!$F:$F,"REFUND")</f>
        <v>0</v>
      </c>
      <c r="M2583" s="39">
        <f>SUMIFS(pg_transaction_cleaned!$H:$H,pg_transaction_cleaned!$O:$O,A2583,pg_transaction_cleaned!$F:$F,"REFUND")</f>
        <v>0</v>
      </c>
      <c r="N2583" s="23" t="str">
        <f t="shared" si="162"/>
        <v>OK</v>
      </c>
      <c r="O2583" s="24">
        <f t="shared" si="163"/>
        <v>0</v>
      </c>
    </row>
    <row r="2584" spans="1:15" ht="15" customHeight="1" x14ac:dyDescent="0.3">
      <c r="A2584" s="23" t="s">
        <v>5659</v>
      </c>
      <c r="B2584" s="38">
        <v>46286</v>
      </c>
      <c r="C2584" s="23" t="s">
        <v>5660</v>
      </c>
      <c r="D2584" s="23" t="s">
        <v>86</v>
      </c>
      <c r="E2584" s="23" t="s">
        <v>75</v>
      </c>
      <c r="F2584" s="23" t="s">
        <v>268</v>
      </c>
      <c r="G2584" s="23" t="s">
        <v>250</v>
      </c>
      <c r="H2584" s="39">
        <f t="shared" si="160"/>
        <v>1299</v>
      </c>
      <c r="I2584" s="23" t="str">
        <f t="shared" si="161"/>
        <v>Delhi</v>
      </c>
      <c r="J2584" s="23">
        <f>COUNTIFS(pg_transaction_cleaned!$O:$O,A2584,pg_transaction_cleaned!$F:$F,"CAPTURE")</f>
        <v>1</v>
      </c>
      <c r="K2584" s="39">
        <f>SUMIFS(pg_transaction_cleaned!$H:$H,pg_transaction_cleaned!$O:$O,A2584,pg_transaction_cleaned!$F:$F,"CAPTURE")</f>
        <v>1299</v>
      </c>
      <c r="L2584" s="23">
        <f>COUNTIFS(pg_transaction_cleaned!$O:$O,A2584,pg_transaction_cleaned!$F:$F,"REFUND")</f>
        <v>0</v>
      </c>
      <c r="M2584" s="39">
        <f>SUMIFS(pg_transaction_cleaned!$H:$H,pg_transaction_cleaned!$O:$O,A2584,pg_transaction_cleaned!$F:$F,"REFUND")</f>
        <v>0</v>
      </c>
      <c r="N2584" s="23" t="str">
        <f t="shared" si="162"/>
        <v>OK</v>
      </c>
      <c r="O2584" s="24">
        <f t="shared" si="163"/>
        <v>0</v>
      </c>
    </row>
    <row r="2585" spans="1:15" ht="15" customHeight="1" x14ac:dyDescent="0.3">
      <c r="A2585" s="23" t="s">
        <v>5661</v>
      </c>
      <c r="B2585" s="38">
        <v>46288</v>
      </c>
      <c r="C2585" s="23" t="s">
        <v>5662</v>
      </c>
      <c r="D2585" s="23" t="s">
        <v>92</v>
      </c>
      <c r="E2585" s="23" t="s">
        <v>75</v>
      </c>
      <c r="F2585" s="23" t="s">
        <v>438</v>
      </c>
      <c r="G2585" s="23" t="s">
        <v>250</v>
      </c>
      <c r="H2585" s="39">
        <f t="shared" si="160"/>
        <v>5498</v>
      </c>
      <c r="I2585" s="23" t="str">
        <f t="shared" si="161"/>
        <v>Hyderabad</v>
      </c>
      <c r="J2585" s="23">
        <f>COUNTIFS(pg_transaction_cleaned!$O:$O,A2585,pg_transaction_cleaned!$F:$F,"CAPTURE")</f>
        <v>1</v>
      </c>
      <c r="K2585" s="39">
        <f>SUMIFS(pg_transaction_cleaned!$H:$H,pg_transaction_cleaned!$O:$O,A2585,pg_transaction_cleaned!$F:$F,"CAPTURE")</f>
        <v>5498</v>
      </c>
      <c r="L2585" s="23">
        <f>COUNTIFS(pg_transaction_cleaned!$O:$O,A2585,pg_transaction_cleaned!$F:$F,"REFUND")</f>
        <v>0</v>
      </c>
      <c r="M2585" s="39">
        <f>SUMIFS(pg_transaction_cleaned!$H:$H,pg_transaction_cleaned!$O:$O,A2585,pg_transaction_cleaned!$F:$F,"REFUND")</f>
        <v>0</v>
      </c>
      <c r="N2585" s="23" t="str">
        <f t="shared" si="162"/>
        <v>OK</v>
      </c>
      <c r="O2585" s="24">
        <f t="shared" si="163"/>
        <v>0</v>
      </c>
    </row>
    <row r="2586" spans="1:15" ht="15" customHeight="1" x14ac:dyDescent="0.3">
      <c r="A2586" s="23" t="s">
        <v>5663</v>
      </c>
      <c r="B2586" s="38">
        <v>46279</v>
      </c>
      <c r="C2586" s="23" t="s">
        <v>5664</v>
      </c>
      <c r="D2586" s="23"/>
      <c r="E2586" s="23" t="s">
        <v>81</v>
      </c>
      <c r="F2586" s="23" t="s">
        <v>262</v>
      </c>
      <c r="G2586" s="23" t="s">
        <v>250</v>
      </c>
      <c r="H2586" s="39">
        <f t="shared" si="160"/>
        <v>499</v>
      </c>
      <c r="I2586" s="23" t="str">
        <f t="shared" si="161"/>
        <v>Unknown</v>
      </c>
      <c r="J2586" s="23">
        <f>COUNTIFS(pg_transaction_cleaned!$O:$O,A2586,pg_transaction_cleaned!$F:$F,"CAPTURE")</f>
        <v>1</v>
      </c>
      <c r="K2586" s="39">
        <f>SUMIFS(pg_transaction_cleaned!$H:$H,pg_transaction_cleaned!$O:$O,A2586,pg_transaction_cleaned!$F:$F,"CAPTURE")</f>
        <v>499</v>
      </c>
      <c r="L2586" s="23">
        <f>COUNTIFS(pg_transaction_cleaned!$O:$O,A2586,pg_transaction_cleaned!$F:$F,"REFUND")</f>
        <v>0</v>
      </c>
      <c r="M2586" s="39">
        <f>SUMIFS(pg_transaction_cleaned!$H:$H,pg_transaction_cleaned!$O:$O,A2586,pg_transaction_cleaned!$F:$F,"REFUND")</f>
        <v>0</v>
      </c>
      <c r="N2586" s="23" t="str">
        <f t="shared" si="162"/>
        <v>OK</v>
      </c>
      <c r="O2586" s="24">
        <f t="shared" si="163"/>
        <v>0</v>
      </c>
    </row>
    <row r="2587" spans="1:15" ht="15" customHeight="1" x14ac:dyDescent="0.3">
      <c r="A2587" s="23" t="s">
        <v>5665</v>
      </c>
      <c r="B2587" s="38">
        <v>46289</v>
      </c>
      <c r="C2587" s="23" t="s">
        <v>5666</v>
      </c>
      <c r="D2587" s="23" t="s">
        <v>91</v>
      </c>
      <c r="E2587" s="23" t="s">
        <v>75</v>
      </c>
      <c r="F2587" s="23" t="s">
        <v>2998</v>
      </c>
      <c r="G2587" s="23" t="s">
        <v>250</v>
      </c>
      <c r="H2587" s="39">
        <f t="shared" si="160"/>
        <v>11097</v>
      </c>
      <c r="I2587" s="23" t="str">
        <f t="shared" si="161"/>
        <v>Pune</v>
      </c>
      <c r="J2587" s="23">
        <f>COUNTIFS(pg_transaction_cleaned!$O:$O,A2587,pg_transaction_cleaned!$F:$F,"CAPTURE")</f>
        <v>1</v>
      </c>
      <c r="K2587" s="39">
        <f>SUMIFS(pg_transaction_cleaned!$H:$H,pg_transaction_cleaned!$O:$O,A2587,pg_transaction_cleaned!$F:$F,"CAPTURE")</f>
        <v>11097</v>
      </c>
      <c r="L2587" s="23">
        <f>COUNTIFS(pg_transaction_cleaned!$O:$O,A2587,pg_transaction_cleaned!$F:$F,"REFUND")</f>
        <v>0</v>
      </c>
      <c r="M2587" s="39">
        <f>SUMIFS(pg_transaction_cleaned!$H:$H,pg_transaction_cleaned!$O:$O,A2587,pg_transaction_cleaned!$F:$F,"REFUND")</f>
        <v>0</v>
      </c>
      <c r="N2587" s="23" t="str">
        <f t="shared" si="162"/>
        <v>OK</v>
      </c>
      <c r="O2587" s="24">
        <f t="shared" si="163"/>
        <v>0</v>
      </c>
    </row>
    <row r="2588" spans="1:15" ht="15" customHeight="1" x14ac:dyDescent="0.3">
      <c r="A2588" s="23" t="s">
        <v>5667</v>
      </c>
      <c r="B2588" s="38">
        <v>46280</v>
      </c>
      <c r="C2588" s="23" t="s">
        <v>5668</v>
      </c>
      <c r="D2588" s="23" t="s">
        <v>93</v>
      </c>
      <c r="E2588" s="23" t="s">
        <v>77</v>
      </c>
      <c r="F2588" s="23" t="s">
        <v>310</v>
      </c>
      <c r="G2588" s="23" t="s">
        <v>250</v>
      </c>
      <c r="H2588" s="39">
        <f t="shared" si="160"/>
        <v>7999</v>
      </c>
      <c r="I2588" s="23" t="str">
        <f t="shared" si="161"/>
        <v>Kolkata</v>
      </c>
      <c r="J2588" s="23">
        <f>COUNTIFS(pg_transaction_cleaned!$O:$O,A2588,pg_transaction_cleaned!$F:$F,"CAPTURE")</f>
        <v>1</v>
      </c>
      <c r="K2588" s="39">
        <f>SUMIFS(pg_transaction_cleaned!$H:$H,pg_transaction_cleaned!$O:$O,A2588,pg_transaction_cleaned!$F:$F,"CAPTURE")</f>
        <v>7999</v>
      </c>
      <c r="L2588" s="23">
        <f>COUNTIFS(pg_transaction_cleaned!$O:$O,A2588,pg_transaction_cleaned!$F:$F,"REFUND")</f>
        <v>0</v>
      </c>
      <c r="M2588" s="39">
        <f>SUMIFS(pg_transaction_cleaned!$H:$H,pg_transaction_cleaned!$O:$O,A2588,pg_transaction_cleaned!$F:$F,"REFUND")</f>
        <v>0</v>
      </c>
      <c r="N2588" s="23" t="str">
        <f t="shared" si="162"/>
        <v>OK</v>
      </c>
      <c r="O2588" s="24">
        <f t="shared" si="163"/>
        <v>0</v>
      </c>
    </row>
    <row r="2589" spans="1:15" ht="15" customHeight="1" x14ac:dyDescent="0.3">
      <c r="A2589" s="23" t="s">
        <v>5669</v>
      </c>
      <c r="B2589" s="38">
        <v>46271</v>
      </c>
      <c r="C2589" s="23" t="s">
        <v>5670</v>
      </c>
      <c r="D2589" s="23" t="s">
        <v>86</v>
      </c>
      <c r="E2589" s="23" t="s">
        <v>75</v>
      </c>
      <c r="F2589" s="23" t="s">
        <v>297</v>
      </c>
      <c r="G2589" s="23" t="s">
        <v>250</v>
      </c>
      <c r="H2589" s="39">
        <f t="shared" si="160"/>
        <v>4999</v>
      </c>
      <c r="I2589" s="23" t="str">
        <f t="shared" si="161"/>
        <v>Delhi</v>
      </c>
      <c r="J2589" s="23">
        <f>COUNTIFS(pg_transaction_cleaned!$O:$O,A2589,pg_transaction_cleaned!$F:$F,"CAPTURE")</f>
        <v>1</v>
      </c>
      <c r="K2589" s="39">
        <f>SUMIFS(pg_transaction_cleaned!$H:$H,pg_transaction_cleaned!$O:$O,A2589,pg_transaction_cleaned!$F:$F,"CAPTURE")</f>
        <v>4999</v>
      </c>
      <c r="L2589" s="23">
        <f>COUNTIFS(pg_transaction_cleaned!$O:$O,A2589,pg_transaction_cleaned!$F:$F,"REFUND")</f>
        <v>0</v>
      </c>
      <c r="M2589" s="39">
        <f>SUMIFS(pg_transaction_cleaned!$H:$H,pg_transaction_cleaned!$O:$O,A2589,pg_transaction_cleaned!$F:$F,"REFUND")</f>
        <v>0</v>
      </c>
      <c r="N2589" s="23" t="str">
        <f t="shared" si="162"/>
        <v>OK</v>
      </c>
      <c r="O2589" s="24">
        <f t="shared" si="163"/>
        <v>0</v>
      </c>
    </row>
    <row r="2590" spans="1:15" ht="15" customHeight="1" x14ac:dyDescent="0.3">
      <c r="A2590" s="23" t="s">
        <v>5671</v>
      </c>
      <c r="B2590" s="38">
        <v>46278</v>
      </c>
      <c r="C2590" s="23" t="s">
        <v>5672</v>
      </c>
      <c r="D2590" s="23" t="s">
        <v>86</v>
      </c>
      <c r="E2590" s="23" t="s">
        <v>75</v>
      </c>
      <c r="F2590" s="23" t="s">
        <v>291</v>
      </c>
      <c r="G2590" s="23" t="s">
        <v>250</v>
      </c>
      <c r="H2590" s="39">
        <f t="shared" si="160"/>
        <v>3499</v>
      </c>
      <c r="I2590" s="23" t="str">
        <f t="shared" si="161"/>
        <v>Delhi</v>
      </c>
      <c r="J2590" s="23">
        <f>COUNTIFS(pg_transaction_cleaned!$O:$O,A2590,pg_transaction_cleaned!$F:$F,"CAPTURE")</f>
        <v>1</v>
      </c>
      <c r="K2590" s="39">
        <f>SUMIFS(pg_transaction_cleaned!$H:$H,pg_transaction_cleaned!$O:$O,A2590,pg_transaction_cleaned!$F:$F,"CAPTURE")</f>
        <v>3499</v>
      </c>
      <c r="L2590" s="23">
        <f>COUNTIFS(pg_transaction_cleaned!$O:$O,A2590,pg_transaction_cleaned!$F:$F,"REFUND")</f>
        <v>0</v>
      </c>
      <c r="M2590" s="39">
        <f>SUMIFS(pg_transaction_cleaned!$H:$H,pg_transaction_cleaned!$O:$O,A2590,pg_transaction_cleaned!$F:$F,"REFUND")</f>
        <v>0</v>
      </c>
      <c r="N2590" s="23" t="str">
        <f t="shared" si="162"/>
        <v>OK</v>
      </c>
      <c r="O2590" s="24">
        <f t="shared" si="163"/>
        <v>0</v>
      </c>
    </row>
    <row r="2591" spans="1:15" ht="15" customHeight="1" x14ac:dyDescent="0.3">
      <c r="A2591" s="23" t="s">
        <v>5673</v>
      </c>
      <c r="B2591" s="38">
        <v>46275</v>
      </c>
      <c r="C2591" s="23" t="s">
        <v>5674</v>
      </c>
      <c r="D2591" s="23" t="s">
        <v>90</v>
      </c>
      <c r="E2591" s="23" t="s">
        <v>75</v>
      </c>
      <c r="F2591" s="23" t="s">
        <v>310</v>
      </c>
      <c r="G2591" s="23" t="s">
        <v>365</v>
      </c>
      <c r="H2591" s="39">
        <f t="shared" si="160"/>
        <v>7999</v>
      </c>
      <c r="I2591" s="23" t="str">
        <f t="shared" si="161"/>
        <v>Ahmedabad</v>
      </c>
      <c r="J2591" s="23">
        <f>COUNTIFS(pg_transaction_cleaned!$O:$O,A2591,pg_transaction_cleaned!$F:$F,"CAPTURE")</f>
        <v>0</v>
      </c>
      <c r="K2591" s="39">
        <f>SUMIFS(pg_transaction_cleaned!$H:$H,pg_transaction_cleaned!$O:$O,A2591,pg_transaction_cleaned!$F:$F,"CAPTURE")</f>
        <v>0</v>
      </c>
      <c r="L2591" s="23">
        <f>COUNTIFS(pg_transaction_cleaned!$O:$O,A2591,pg_transaction_cleaned!$F:$F,"REFUND")</f>
        <v>0</v>
      </c>
      <c r="M2591" s="39">
        <f>SUMIFS(pg_transaction_cleaned!$H:$H,pg_transaction_cleaned!$O:$O,A2591,pg_transaction_cleaned!$F:$F,"REFUND")</f>
        <v>0</v>
      </c>
      <c r="N2591" s="23" t="str">
        <f t="shared" si="162"/>
        <v>OK</v>
      </c>
      <c r="O2591" s="24">
        <f t="shared" si="163"/>
        <v>0</v>
      </c>
    </row>
    <row r="2592" spans="1:15" ht="15" customHeight="1" x14ac:dyDescent="0.3">
      <c r="A2592" s="23" t="s">
        <v>5675</v>
      </c>
      <c r="B2592" s="38">
        <v>46278</v>
      </c>
      <c r="C2592" s="23" t="s">
        <v>5676</v>
      </c>
      <c r="D2592" s="23" t="s">
        <v>88</v>
      </c>
      <c r="E2592" s="23" t="s">
        <v>81</v>
      </c>
      <c r="F2592" s="23" t="s">
        <v>268</v>
      </c>
      <c r="G2592" s="23" t="s">
        <v>250</v>
      </c>
      <c r="H2592" s="39">
        <f t="shared" si="160"/>
        <v>1299</v>
      </c>
      <c r="I2592" s="23" t="str">
        <f t="shared" si="161"/>
        <v>Lucknow</v>
      </c>
      <c r="J2592" s="23">
        <f>COUNTIFS(pg_transaction_cleaned!$O:$O,A2592,pg_transaction_cleaned!$F:$F,"CAPTURE")</f>
        <v>1</v>
      </c>
      <c r="K2592" s="39">
        <f>SUMIFS(pg_transaction_cleaned!$H:$H,pg_transaction_cleaned!$O:$O,A2592,pg_transaction_cleaned!$F:$F,"CAPTURE")</f>
        <v>1299</v>
      </c>
      <c r="L2592" s="23">
        <f>COUNTIFS(pg_transaction_cleaned!$O:$O,A2592,pg_transaction_cleaned!$F:$F,"REFUND")</f>
        <v>0</v>
      </c>
      <c r="M2592" s="39">
        <f>SUMIFS(pg_transaction_cleaned!$H:$H,pg_transaction_cleaned!$O:$O,A2592,pg_transaction_cleaned!$F:$F,"REFUND")</f>
        <v>0</v>
      </c>
      <c r="N2592" s="23" t="str">
        <f t="shared" si="162"/>
        <v>OK</v>
      </c>
      <c r="O2592" s="24">
        <f t="shared" si="163"/>
        <v>0</v>
      </c>
    </row>
    <row r="2593" spans="1:15" ht="15" customHeight="1" x14ac:dyDescent="0.3">
      <c r="A2593" s="23" t="s">
        <v>5677</v>
      </c>
      <c r="B2593" s="38">
        <v>46292</v>
      </c>
      <c r="C2593" s="23" t="s">
        <v>5678</v>
      </c>
      <c r="D2593" s="23" t="s">
        <v>95</v>
      </c>
      <c r="E2593" s="23" t="s">
        <v>79</v>
      </c>
      <c r="F2593" s="23" t="s">
        <v>256</v>
      </c>
      <c r="G2593" s="23" t="s">
        <v>250</v>
      </c>
      <c r="H2593" s="39">
        <f t="shared" si="160"/>
        <v>2098</v>
      </c>
      <c r="I2593" s="23" t="str">
        <f t="shared" si="161"/>
        <v>Bengaluru</v>
      </c>
      <c r="J2593" s="23">
        <f>COUNTIFS(pg_transaction_cleaned!$O:$O,A2593,pg_transaction_cleaned!$F:$F,"CAPTURE")</f>
        <v>1</v>
      </c>
      <c r="K2593" s="39">
        <f>SUMIFS(pg_transaction_cleaned!$H:$H,pg_transaction_cleaned!$O:$O,A2593,pg_transaction_cleaned!$F:$F,"CAPTURE")</f>
        <v>2098</v>
      </c>
      <c r="L2593" s="23">
        <f>COUNTIFS(pg_transaction_cleaned!$O:$O,A2593,pg_transaction_cleaned!$F:$F,"REFUND")</f>
        <v>0</v>
      </c>
      <c r="M2593" s="39">
        <f>SUMIFS(pg_transaction_cleaned!$H:$H,pg_transaction_cleaned!$O:$O,A2593,pg_transaction_cleaned!$F:$F,"REFUND")</f>
        <v>0</v>
      </c>
      <c r="N2593" s="23" t="str">
        <f t="shared" si="162"/>
        <v>OK</v>
      </c>
      <c r="O2593" s="24">
        <f t="shared" si="163"/>
        <v>0</v>
      </c>
    </row>
    <row r="2594" spans="1:15" ht="15" customHeight="1" x14ac:dyDescent="0.3">
      <c r="A2594" s="23" t="s">
        <v>5679</v>
      </c>
      <c r="B2594" s="38">
        <v>46283</v>
      </c>
      <c r="C2594" s="23" t="s">
        <v>5680</v>
      </c>
      <c r="D2594" s="23" t="s">
        <v>90</v>
      </c>
      <c r="E2594" s="23" t="s">
        <v>75</v>
      </c>
      <c r="F2594" s="23" t="s">
        <v>1693</v>
      </c>
      <c r="G2594" s="23" t="s">
        <v>250</v>
      </c>
      <c r="H2594" s="39">
        <f t="shared" si="160"/>
        <v>4097</v>
      </c>
      <c r="I2594" s="23" t="str">
        <f t="shared" si="161"/>
        <v>Ahmedabad</v>
      </c>
      <c r="J2594" s="23">
        <f>COUNTIFS(pg_transaction_cleaned!$O:$O,A2594,pg_transaction_cleaned!$F:$F,"CAPTURE")</f>
        <v>1</v>
      </c>
      <c r="K2594" s="39">
        <f>SUMIFS(pg_transaction_cleaned!$H:$H,pg_transaction_cleaned!$O:$O,A2594,pg_transaction_cleaned!$F:$F,"CAPTURE")</f>
        <v>4097</v>
      </c>
      <c r="L2594" s="23">
        <f>COUNTIFS(pg_transaction_cleaned!$O:$O,A2594,pg_transaction_cleaned!$F:$F,"REFUND")</f>
        <v>0</v>
      </c>
      <c r="M2594" s="39">
        <f>SUMIFS(pg_transaction_cleaned!$H:$H,pg_transaction_cleaned!$O:$O,A2594,pg_transaction_cleaned!$F:$F,"REFUND")</f>
        <v>0</v>
      </c>
      <c r="N2594" s="23" t="str">
        <f t="shared" si="162"/>
        <v>OK</v>
      </c>
      <c r="O2594" s="24">
        <f t="shared" si="163"/>
        <v>0</v>
      </c>
    </row>
    <row r="2595" spans="1:15" ht="15" customHeight="1" x14ac:dyDescent="0.3">
      <c r="A2595" s="23" t="s">
        <v>5681</v>
      </c>
      <c r="B2595" s="38">
        <v>46285</v>
      </c>
      <c r="C2595" s="23" t="s">
        <v>5682</v>
      </c>
      <c r="D2595" s="23" t="s">
        <v>87</v>
      </c>
      <c r="E2595" s="23" t="s">
        <v>75</v>
      </c>
      <c r="F2595" s="23" t="s">
        <v>2304</v>
      </c>
      <c r="G2595" s="23" t="s">
        <v>250</v>
      </c>
      <c r="H2595" s="39">
        <f t="shared" si="160"/>
        <v>6797</v>
      </c>
      <c r="I2595" s="23" t="str">
        <f t="shared" si="161"/>
        <v>Mumbai</v>
      </c>
      <c r="J2595" s="23">
        <f>COUNTIFS(pg_transaction_cleaned!$O:$O,A2595,pg_transaction_cleaned!$F:$F,"CAPTURE")</f>
        <v>1</v>
      </c>
      <c r="K2595" s="39">
        <f>SUMIFS(pg_transaction_cleaned!$H:$H,pg_transaction_cleaned!$O:$O,A2595,pg_transaction_cleaned!$F:$F,"CAPTURE")</f>
        <v>6797</v>
      </c>
      <c r="L2595" s="23">
        <f>COUNTIFS(pg_transaction_cleaned!$O:$O,A2595,pg_transaction_cleaned!$F:$F,"REFUND")</f>
        <v>0</v>
      </c>
      <c r="M2595" s="39">
        <f>SUMIFS(pg_transaction_cleaned!$H:$H,pg_transaction_cleaned!$O:$O,A2595,pg_transaction_cleaned!$F:$F,"REFUND")</f>
        <v>0</v>
      </c>
      <c r="N2595" s="23" t="str">
        <f t="shared" si="162"/>
        <v>OK</v>
      </c>
      <c r="O2595" s="24">
        <f t="shared" si="163"/>
        <v>0</v>
      </c>
    </row>
    <row r="2596" spans="1:15" ht="15" customHeight="1" x14ac:dyDescent="0.3">
      <c r="A2596" s="23" t="s">
        <v>5683</v>
      </c>
      <c r="B2596" s="38">
        <v>46293</v>
      </c>
      <c r="C2596" s="23" t="s">
        <v>5684</v>
      </c>
      <c r="D2596" s="23"/>
      <c r="E2596" s="23" t="s">
        <v>75</v>
      </c>
      <c r="F2596" s="23" t="s">
        <v>329</v>
      </c>
      <c r="G2596" s="23" t="s">
        <v>250</v>
      </c>
      <c r="H2596" s="39">
        <f t="shared" si="160"/>
        <v>599</v>
      </c>
      <c r="I2596" s="23" t="str">
        <f t="shared" si="161"/>
        <v>Unknown</v>
      </c>
      <c r="J2596" s="23">
        <f>COUNTIFS(pg_transaction_cleaned!$O:$O,A2596,pg_transaction_cleaned!$F:$F,"CAPTURE")</f>
        <v>0</v>
      </c>
      <c r="K2596" s="39">
        <f>SUMIFS(pg_transaction_cleaned!$H:$H,pg_transaction_cleaned!$O:$O,A2596,pg_transaction_cleaned!$F:$F,"CAPTURE")</f>
        <v>0</v>
      </c>
      <c r="L2596" s="23">
        <f>COUNTIFS(pg_transaction_cleaned!$O:$O,A2596,pg_transaction_cleaned!$F:$F,"REFUND")</f>
        <v>0</v>
      </c>
      <c r="M2596" s="39">
        <f>SUMIFS(pg_transaction_cleaned!$H:$H,pg_transaction_cleaned!$O:$O,A2596,pg_transaction_cleaned!$F:$F,"REFUND")</f>
        <v>0</v>
      </c>
      <c r="N2596" s="23" t="str">
        <f t="shared" si="162"/>
        <v>Paid, no payment</v>
      </c>
      <c r="O2596" s="24">
        <f t="shared" si="163"/>
        <v>599</v>
      </c>
    </row>
    <row r="2597" spans="1:15" ht="15" customHeight="1" x14ac:dyDescent="0.3">
      <c r="A2597" s="23" t="s">
        <v>5685</v>
      </c>
      <c r="B2597" s="38">
        <v>46292</v>
      </c>
      <c r="C2597" s="23" t="s">
        <v>5686</v>
      </c>
      <c r="D2597" s="23" t="s">
        <v>95</v>
      </c>
      <c r="E2597" s="23" t="s">
        <v>79</v>
      </c>
      <c r="F2597" s="23" t="s">
        <v>259</v>
      </c>
      <c r="G2597" s="23" t="s">
        <v>250</v>
      </c>
      <c r="H2597" s="39">
        <f t="shared" si="160"/>
        <v>3298</v>
      </c>
      <c r="I2597" s="23" t="str">
        <f t="shared" si="161"/>
        <v>Bengaluru</v>
      </c>
      <c r="J2597" s="23">
        <f>COUNTIFS(pg_transaction_cleaned!$O:$O,A2597,pg_transaction_cleaned!$F:$F,"CAPTURE")</f>
        <v>1</v>
      </c>
      <c r="K2597" s="39">
        <f>SUMIFS(pg_transaction_cleaned!$H:$H,pg_transaction_cleaned!$O:$O,A2597,pg_transaction_cleaned!$F:$F,"CAPTURE")</f>
        <v>3298</v>
      </c>
      <c r="L2597" s="23">
        <f>COUNTIFS(pg_transaction_cleaned!$O:$O,A2597,pg_transaction_cleaned!$F:$F,"REFUND")</f>
        <v>0</v>
      </c>
      <c r="M2597" s="39">
        <f>SUMIFS(pg_transaction_cleaned!$H:$H,pg_transaction_cleaned!$O:$O,A2597,pg_transaction_cleaned!$F:$F,"REFUND")</f>
        <v>0</v>
      </c>
      <c r="N2597" s="23" t="str">
        <f t="shared" si="162"/>
        <v>OK</v>
      </c>
      <c r="O2597" s="24">
        <f t="shared" si="163"/>
        <v>0</v>
      </c>
    </row>
    <row r="2598" spans="1:15" ht="15" customHeight="1" x14ac:dyDescent="0.3">
      <c r="A2598" s="23" t="s">
        <v>5687</v>
      </c>
      <c r="B2598" s="38">
        <v>46291</v>
      </c>
      <c r="C2598" s="23" t="s">
        <v>5688</v>
      </c>
      <c r="D2598" s="23" t="s">
        <v>90</v>
      </c>
      <c r="E2598" s="23" t="s">
        <v>75</v>
      </c>
      <c r="F2598" s="23" t="s">
        <v>297</v>
      </c>
      <c r="G2598" s="23" t="s">
        <v>250</v>
      </c>
      <c r="H2598" s="39">
        <f t="shared" si="160"/>
        <v>4999</v>
      </c>
      <c r="I2598" s="23" t="str">
        <f t="shared" si="161"/>
        <v>Ahmedabad</v>
      </c>
      <c r="J2598" s="23">
        <f>COUNTIFS(pg_transaction_cleaned!$O:$O,A2598,pg_transaction_cleaned!$F:$F,"CAPTURE")</f>
        <v>1</v>
      </c>
      <c r="K2598" s="39">
        <f>SUMIFS(pg_transaction_cleaned!$H:$H,pg_transaction_cleaned!$O:$O,A2598,pg_transaction_cleaned!$F:$F,"CAPTURE")</f>
        <v>4999</v>
      </c>
      <c r="L2598" s="23">
        <f>COUNTIFS(pg_transaction_cleaned!$O:$O,A2598,pg_transaction_cleaned!$F:$F,"REFUND")</f>
        <v>0</v>
      </c>
      <c r="M2598" s="39">
        <f>SUMIFS(pg_transaction_cleaned!$H:$H,pg_transaction_cleaned!$O:$O,A2598,pg_transaction_cleaned!$F:$F,"REFUND")</f>
        <v>0</v>
      </c>
      <c r="N2598" s="23" t="str">
        <f t="shared" si="162"/>
        <v>OK</v>
      </c>
      <c r="O2598" s="24">
        <f t="shared" si="163"/>
        <v>0</v>
      </c>
    </row>
    <row r="2599" spans="1:15" ht="15" customHeight="1" x14ac:dyDescent="0.3">
      <c r="A2599" s="23" t="s">
        <v>5689</v>
      </c>
      <c r="B2599" s="38">
        <v>46282</v>
      </c>
      <c r="C2599" s="23" t="s">
        <v>5690</v>
      </c>
      <c r="D2599" s="23" t="s">
        <v>95</v>
      </c>
      <c r="E2599" s="23" t="s">
        <v>75</v>
      </c>
      <c r="F2599" s="23" t="s">
        <v>612</v>
      </c>
      <c r="G2599" s="23" t="s">
        <v>250</v>
      </c>
      <c r="H2599" s="39">
        <f t="shared" si="160"/>
        <v>8498</v>
      </c>
      <c r="I2599" s="23" t="str">
        <f t="shared" si="161"/>
        <v>Bengaluru</v>
      </c>
      <c r="J2599" s="23">
        <f>COUNTIFS(pg_transaction_cleaned!$O:$O,A2599,pg_transaction_cleaned!$F:$F,"CAPTURE")</f>
        <v>1</v>
      </c>
      <c r="K2599" s="39">
        <f>SUMIFS(pg_transaction_cleaned!$H:$H,pg_transaction_cleaned!$O:$O,A2599,pg_transaction_cleaned!$F:$F,"CAPTURE")</f>
        <v>8498</v>
      </c>
      <c r="L2599" s="23">
        <f>COUNTIFS(pg_transaction_cleaned!$O:$O,A2599,pg_transaction_cleaned!$F:$F,"REFUND")</f>
        <v>0</v>
      </c>
      <c r="M2599" s="39">
        <f>SUMIFS(pg_transaction_cleaned!$H:$H,pg_transaction_cleaned!$O:$O,A2599,pg_transaction_cleaned!$F:$F,"REFUND")</f>
        <v>0</v>
      </c>
      <c r="N2599" s="23" t="str">
        <f t="shared" si="162"/>
        <v>OK</v>
      </c>
      <c r="O2599" s="24">
        <f t="shared" si="163"/>
        <v>0</v>
      </c>
    </row>
    <row r="2600" spans="1:15" ht="15" customHeight="1" x14ac:dyDescent="0.3">
      <c r="A2600" s="23" t="s">
        <v>5691</v>
      </c>
      <c r="B2600" s="38">
        <v>46284</v>
      </c>
      <c r="C2600" s="23" t="s">
        <v>5692</v>
      </c>
      <c r="D2600" s="23" t="s">
        <v>93</v>
      </c>
      <c r="E2600" s="23" t="s">
        <v>75</v>
      </c>
      <c r="F2600" s="23" t="s">
        <v>396</v>
      </c>
      <c r="G2600" s="23" t="s">
        <v>250</v>
      </c>
      <c r="H2600" s="39">
        <f t="shared" si="160"/>
        <v>2999</v>
      </c>
      <c r="I2600" s="23" t="str">
        <f t="shared" si="161"/>
        <v>Kolkata</v>
      </c>
      <c r="J2600" s="23">
        <f>COUNTIFS(pg_transaction_cleaned!$O:$O,A2600,pg_transaction_cleaned!$F:$F,"CAPTURE")</f>
        <v>1</v>
      </c>
      <c r="K2600" s="39">
        <f>SUMIFS(pg_transaction_cleaned!$H:$H,pg_transaction_cleaned!$O:$O,A2600,pg_transaction_cleaned!$F:$F,"CAPTURE")</f>
        <v>2999</v>
      </c>
      <c r="L2600" s="23">
        <f>COUNTIFS(pg_transaction_cleaned!$O:$O,A2600,pg_transaction_cleaned!$F:$F,"REFUND")</f>
        <v>0</v>
      </c>
      <c r="M2600" s="39">
        <f>SUMIFS(pg_transaction_cleaned!$H:$H,pg_transaction_cleaned!$O:$O,A2600,pg_transaction_cleaned!$F:$F,"REFUND")</f>
        <v>0</v>
      </c>
      <c r="N2600" s="23" t="str">
        <f t="shared" si="162"/>
        <v>OK</v>
      </c>
      <c r="O2600" s="24">
        <f t="shared" si="163"/>
        <v>0</v>
      </c>
    </row>
    <row r="2601" spans="1:15" ht="15" customHeight="1" x14ac:dyDescent="0.3">
      <c r="A2601" s="23" t="s">
        <v>5693</v>
      </c>
      <c r="B2601" s="38">
        <v>46286</v>
      </c>
      <c r="C2601" s="23" t="s">
        <v>5694</v>
      </c>
      <c r="D2601" s="23" t="s">
        <v>91</v>
      </c>
      <c r="E2601" s="23" t="s">
        <v>75</v>
      </c>
      <c r="F2601" s="23" t="s">
        <v>329</v>
      </c>
      <c r="G2601" s="23" t="s">
        <v>250</v>
      </c>
      <c r="H2601" s="39">
        <f t="shared" si="160"/>
        <v>599</v>
      </c>
      <c r="I2601" s="23" t="str">
        <f t="shared" si="161"/>
        <v>Pune</v>
      </c>
      <c r="J2601" s="23">
        <f>COUNTIFS(pg_transaction_cleaned!$O:$O,A2601,pg_transaction_cleaned!$F:$F,"CAPTURE")</f>
        <v>1</v>
      </c>
      <c r="K2601" s="39">
        <f>SUMIFS(pg_transaction_cleaned!$H:$H,pg_transaction_cleaned!$O:$O,A2601,pg_transaction_cleaned!$F:$F,"CAPTURE")</f>
        <v>599</v>
      </c>
      <c r="L2601" s="23">
        <f>COUNTIFS(pg_transaction_cleaned!$O:$O,A2601,pg_transaction_cleaned!$F:$F,"REFUND")</f>
        <v>0</v>
      </c>
      <c r="M2601" s="39">
        <f>SUMIFS(pg_transaction_cleaned!$H:$H,pg_transaction_cleaned!$O:$O,A2601,pg_transaction_cleaned!$F:$F,"REFUND")</f>
        <v>0</v>
      </c>
      <c r="N2601" s="23" t="str">
        <f t="shared" si="162"/>
        <v>OK</v>
      </c>
      <c r="O2601" s="24">
        <f t="shared" si="163"/>
        <v>0</v>
      </c>
    </row>
    <row r="2602" spans="1:15" ht="15" customHeight="1" x14ac:dyDescent="0.3">
      <c r="A2602" s="23" t="s">
        <v>5695</v>
      </c>
      <c r="B2602" s="38">
        <v>46268</v>
      </c>
      <c r="C2602" s="23" t="s">
        <v>5696</v>
      </c>
      <c r="D2602" s="23" t="s">
        <v>91</v>
      </c>
      <c r="E2602" s="23" t="s">
        <v>77</v>
      </c>
      <c r="F2602" s="23" t="s">
        <v>426</v>
      </c>
      <c r="G2602" s="23" t="s">
        <v>250</v>
      </c>
      <c r="H2602" s="39">
        <f t="shared" si="160"/>
        <v>6798</v>
      </c>
      <c r="I2602" s="23" t="str">
        <f t="shared" si="161"/>
        <v>Pune</v>
      </c>
      <c r="J2602" s="23">
        <f>COUNTIFS(pg_transaction_cleaned!$O:$O,A2602,pg_transaction_cleaned!$F:$F,"CAPTURE")</f>
        <v>1</v>
      </c>
      <c r="K2602" s="39">
        <f>SUMIFS(pg_transaction_cleaned!$H:$H,pg_transaction_cleaned!$O:$O,A2602,pg_transaction_cleaned!$F:$F,"CAPTURE")</f>
        <v>6798</v>
      </c>
      <c r="L2602" s="23">
        <f>COUNTIFS(pg_transaction_cleaned!$O:$O,A2602,pg_transaction_cleaned!$F:$F,"REFUND")</f>
        <v>0</v>
      </c>
      <c r="M2602" s="39">
        <f>SUMIFS(pg_transaction_cleaned!$H:$H,pg_transaction_cleaned!$O:$O,A2602,pg_transaction_cleaned!$F:$F,"REFUND")</f>
        <v>0</v>
      </c>
      <c r="N2602" s="23" t="str">
        <f t="shared" si="162"/>
        <v>OK</v>
      </c>
      <c r="O2602" s="24">
        <f t="shared" si="163"/>
        <v>0</v>
      </c>
    </row>
    <row r="2603" spans="1:15" ht="15" customHeight="1" x14ac:dyDescent="0.3">
      <c r="A2603" s="23" t="s">
        <v>5697</v>
      </c>
      <c r="B2603" s="38">
        <v>46280</v>
      </c>
      <c r="C2603" s="23" t="s">
        <v>5698</v>
      </c>
      <c r="D2603" s="23" t="s">
        <v>87</v>
      </c>
      <c r="E2603" s="23" t="s">
        <v>79</v>
      </c>
      <c r="F2603" s="23" t="s">
        <v>405</v>
      </c>
      <c r="G2603" s="23" t="s">
        <v>250</v>
      </c>
      <c r="H2603" s="39">
        <f t="shared" si="160"/>
        <v>9298</v>
      </c>
      <c r="I2603" s="23" t="str">
        <f t="shared" si="161"/>
        <v>Mumbai</v>
      </c>
      <c r="J2603" s="23">
        <f>COUNTIFS(pg_transaction_cleaned!$O:$O,A2603,pg_transaction_cleaned!$F:$F,"CAPTURE")</f>
        <v>1</v>
      </c>
      <c r="K2603" s="39">
        <f>SUMIFS(pg_transaction_cleaned!$H:$H,pg_transaction_cleaned!$O:$O,A2603,pg_transaction_cleaned!$F:$F,"CAPTURE")</f>
        <v>9298</v>
      </c>
      <c r="L2603" s="23">
        <f>COUNTIFS(pg_transaction_cleaned!$O:$O,A2603,pg_transaction_cleaned!$F:$F,"REFUND")</f>
        <v>0</v>
      </c>
      <c r="M2603" s="39">
        <f>SUMIFS(pg_transaction_cleaned!$H:$H,pg_transaction_cleaned!$O:$O,A2603,pg_transaction_cleaned!$F:$F,"REFUND")</f>
        <v>0</v>
      </c>
      <c r="N2603" s="23" t="str">
        <f t="shared" si="162"/>
        <v>OK</v>
      </c>
      <c r="O2603" s="24">
        <f t="shared" si="163"/>
        <v>0</v>
      </c>
    </row>
    <row r="2604" spans="1:15" ht="15" customHeight="1" x14ac:dyDescent="0.3">
      <c r="A2604" s="23" t="s">
        <v>5699</v>
      </c>
      <c r="B2604" s="38">
        <v>46266</v>
      </c>
      <c r="C2604" s="23" t="s">
        <v>5700</v>
      </c>
      <c r="D2604" s="23" t="s">
        <v>88</v>
      </c>
      <c r="E2604" s="23" t="s">
        <v>77</v>
      </c>
      <c r="F2604" s="23" t="s">
        <v>329</v>
      </c>
      <c r="G2604" s="23" t="s">
        <v>250</v>
      </c>
      <c r="H2604" s="39">
        <f t="shared" si="160"/>
        <v>599</v>
      </c>
      <c r="I2604" s="23" t="str">
        <f t="shared" si="161"/>
        <v>Lucknow</v>
      </c>
      <c r="J2604" s="23">
        <f>COUNTIFS(pg_transaction_cleaned!$O:$O,A2604,pg_transaction_cleaned!$F:$F,"CAPTURE")</f>
        <v>1</v>
      </c>
      <c r="K2604" s="39">
        <f>SUMIFS(pg_transaction_cleaned!$H:$H,pg_transaction_cleaned!$O:$O,A2604,pg_transaction_cleaned!$F:$F,"CAPTURE")</f>
        <v>599</v>
      </c>
      <c r="L2604" s="23">
        <f>COUNTIFS(pg_transaction_cleaned!$O:$O,A2604,pg_transaction_cleaned!$F:$F,"REFUND")</f>
        <v>0</v>
      </c>
      <c r="M2604" s="39">
        <f>SUMIFS(pg_transaction_cleaned!$H:$H,pg_transaction_cleaned!$O:$O,A2604,pg_transaction_cleaned!$F:$F,"REFUND")</f>
        <v>0</v>
      </c>
      <c r="N2604" s="23" t="str">
        <f t="shared" si="162"/>
        <v>OK</v>
      </c>
      <c r="O2604" s="24">
        <f t="shared" si="163"/>
        <v>0</v>
      </c>
    </row>
    <row r="2605" spans="1:15" ht="15" customHeight="1" x14ac:dyDescent="0.3">
      <c r="A2605" s="23" t="s">
        <v>5701</v>
      </c>
      <c r="B2605" s="38">
        <v>46269</v>
      </c>
      <c r="C2605" s="23" t="s">
        <v>5702</v>
      </c>
      <c r="D2605" s="23" t="s">
        <v>89</v>
      </c>
      <c r="E2605" s="23" t="s">
        <v>75</v>
      </c>
      <c r="F2605" s="23" t="s">
        <v>297</v>
      </c>
      <c r="G2605" s="23" t="s">
        <v>250</v>
      </c>
      <c r="H2605" s="39">
        <f t="shared" si="160"/>
        <v>4999</v>
      </c>
      <c r="I2605" s="23" t="str">
        <f t="shared" si="161"/>
        <v>Jaipur</v>
      </c>
      <c r="J2605" s="23">
        <f>COUNTIFS(pg_transaction_cleaned!$O:$O,A2605,pg_transaction_cleaned!$F:$F,"CAPTURE")</f>
        <v>1</v>
      </c>
      <c r="K2605" s="39">
        <f>SUMIFS(pg_transaction_cleaned!$H:$H,pg_transaction_cleaned!$O:$O,A2605,pg_transaction_cleaned!$F:$F,"CAPTURE")</f>
        <v>4999</v>
      </c>
      <c r="L2605" s="23">
        <f>COUNTIFS(pg_transaction_cleaned!$O:$O,A2605,pg_transaction_cleaned!$F:$F,"REFUND")</f>
        <v>0</v>
      </c>
      <c r="M2605" s="39">
        <f>SUMIFS(pg_transaction_cleaned!$H:$H,pg_transaction_cleaned!$O:$O,A2605,pg_transaction_cleaned!$F:$F,"REFUND")</f>
        <v>0</v>
      </c>
      <c r="N2605" s="23" t="str">
        <f t="shared" si="162"/>
        <v>OK</v>
      </c>
      <c r="O2605" s="24">
        <f t="shared" si="163"/>
        <v>0</v>
      </c>
    </row>
    <row r="2606" spans="1:15" ht="15" customHeight="1" x14ac:dyDescent="0.3">
      <c r="A2606" s="23" t="s">
        <v>5703</v>
      </c>
      <c r="B2606" s="38">
        <v>46295</v>
      </c>
      <c r="C2606" s="23" t="s">
        <v>5704</v>
      </c>
      <c r="D2606" s="23" t="s">
        <v>90</v>
      </c>
      <c r="E2606" s="23" t="s">
        <v>75</v>
      </c>
      <c r="F2606" s="23" t="s">
        <v>329</v>
      </c>
      <c r="G2606" s="23" t="s">
        <v>250</v>
      </c>
      <c r="H2606" s="39">
        <f t="shared" si="160"/>
        <v>599</v>
      </c>
      <c r="I2606" s="23" t="str">
        <f t="shared" si="161"/>
        <v>Ahmedabad</v>
      </c>
      <c r="J2606" s="23">
        <f>COUNTIFS(pg_transaction_cleaned!$O:$O,A2606,pg_transaction_cleaned!$F:$F,"CAPTURE")</f>
        <v>1</v>
      </c>
      <c r="K2606" s="39">
        <f>SUMIFS(pg_transaction_cleaned!$H:$H,pg_transaction_cleaned!$O:$O,A2606,pg_transaction_cleaned!$F:$F,"CAPTURE")</f>
        <v>599</v>
      </c>
      <c r="L2606" s="23">
        <f>COUNTIFS(pg_transaction_cleaned!$O:$O,A2606,pg_transaction_cleaned!$F:$F,"REFUND")</f>
        <v>0</v>
      </c>
      <c r="M2606" s="39">
        <f>SUMIFS(pg_transaction_cleaned!$H:$H,pg_transaction_cleaned!$O:$O,A2606,pg_transaction_cleaned!$F:$F,"REFUND")</f>
        <v>0</v>
      </c>
      <c r="N2606" s="23" t="str">
        <f t="shared" si="162"/>
        <v>OK</v>
      </c>
      <c r="O2606" s="24">
        <f t="shared" si="163"/>
        <v>0</v>
      </c>
    </row>
    <row r="2607" spans="1:15" ht="15" customHeight="1" x14ac:dyDescent="0.3">
      <c r="A2607" s="23" t="s">
        <v>5705</v>
      </c>
      <c r="B2607" s="38">
        <v>46274</v>
      </c>
      <c r="C2607" s="23" t="s">
        <v>5706</v>
      </c>
      <c r="D2607" s="23" t="s">
        <v>87</v>
      </c>
      <c r="E2607" s="23" t="s">
        <v>79</v>
      </c>
      <c r="F2607" s="23" t="s">
        <v>5707</v>
      </c>
      <c r="G2607" s="23" t="s">
        <v>250</v>
      </c>
      <c r="H2607" s="39">
        <f t="shared" si="160"/>
        <v>11297</v>
      </c>
      <c r="I2607" s="23" t="str">
        <f t="shared" si="161"/>
        <v>Mumbai</v>
      </c>
      <c r="J2607" s="23">
        <f>COUNTIFS(pg_transaction_cleaned!$O:$O,A2607,pg_transaction_cleaned!$F:$F,"CAPTURE")</f>
        <v>1</v>
      </c>
      <c r="K2607" s="39">
        <f>SUMIFS(pg_transaction_cleaned!$H:$H,pg_transaction_cleaned!$O:$O,A2607,pg_transaction_cleaned!$F:$F,"CAPTURE")</f>
        <v>11297</v>
      </c>
      <c r="L2607" s="23">
        <f>COUNTIFS(pg_transaction_cleaned!$O:$O,A2607,pg_transaction_cleaned!$F:$F,"REFUND")</f>
        <v>0</v>
      </c>
      <c r="M2607" s="39">
        <f>SUMIFS(pg_transaction_cleaned!$H:$H,pg_transaction_cleaned!$O:$O,A2607,pg_transaction_cleaned!$F:$F,"REFUND")</f>
        <v>0</v>
      </c>
      <c r="N2607" s="23" t="str">
        <f t="shared" si="162"/>
        <v>OK</v>
      </c>
      <c r="O2607" s="24">
        <f t="shared" si="163"/>
        <v>0</v>
      </c>
    </row>
    <row r="2608" spans="1:15" ht="15" customHeight="1" x14ac:dyDescent="0.3">
      <c r="A2608" s="23" t="s">
        <v>5708</v>
      </c>
      <c r="B2608" s="38">
        <v>46294</v>
      </c>
      <c r="C2608" s="23" t="s">
        <v>5709</v>
      </c>
      <c r="D2608" s="23" t="s">
        <v>86</v>
      </c>
      <c r="E2608" s="23" t="s">
        <v>79</v>
      </c>
      <c r="F2608" s="23" t="s">
        <v>567</v>
      </c>
      <c r="G2608" s="23" t="s">
        <v>250</v>
      </c>
      <c r="H2608" s="39">
        <f t="shared" si="160"/>
        <v>3598</v>
      </c>
      <c r="I2608" s="23" t="str">
        <f t="shared" si="161"/>
        <v>Delhi</v>
      </c>
      <c r="J2608" s="23">
        <f>COUNTIFS(pg_transaction_cleaned!$O:$O,A2608,pg_transaction_cleaned!$F:$F,"CAPTURE")</f>
        <v>1</v>
      </c>
      <c r="K2608" s="39">
        <f>SUMIFS(pg_transaction_cleaned!$H:$H,pg_transaction_cleaned!$O:$O,A2608,pg_transaction_cleaned!$F:$F,"CAPTURE")</f>
        <v>3598</v>
      </c>
      <c r="L2608" s="23">
        <f>COUNTIFS(pg_transaction_cleaned!$O:$O,A2608,pg_transaction_cleaned!$F:$F,"REFUND")</f>
        <v>0</v>
      </c>
      <c r="M2608" s="39">
        <f>SUMIFS(pg_transaction_cleaned!$H:$H,pg_transaction_cleaned!$O:$O,A2608,pg_transaction_cleaned!$F:$F,"REFUND")</f>
        <v>0</v>
      </c>
      <c r="N2608" s="23" t="str">
        <f t="shared" si="162"/>
        <v>OK</v>
      </c>
      <c r="O2608" s="24">
        <f t="shared" si="163"/>
        <v>0</v>
      </c>
    </row>
    <row r="2609" spans="1:15" ht="15" customHeight="1" x14ac:dyDescent="0.3">
      <c r="A2609" s="23" t="s">
        <v>5710</v>
      </c>
      <c r="B2609" s="38">
        <v>46294</v>
      </c>
      <c r="C2609" s="23" t="s">
        <v>5711</v>
      </c>
      <c r="D2609" s="23" t="s">
        <v>89</v>
      </c>
      <c r="E2609" s="23" t="s">
        <v>75</v>
      </c>
      <c r="F2609" s="23" t="s">
        <v>274</v>
      </c>
      <c r="G2609" s="23" t="s">
        <v>250</v>
      </c>
      <c r="H2609" s="39">
        <f t="shared" si="160"/>
        <v>349</v>
      </c>
      <c r="I2609" s="23" t="str">
        <f t="shared" si="161"/>
        <v>Jaipur</v>
      </c>
      <c r="J2609" s="23">
        <f>COUNTIFS(pg_transaction_cleaned!$O:$O,A2609,pg_transaction_cleaned!$F:$F,"CAPTURE")</f>
        <v>1</v>
      </c>
      <c r="K2609" s="39">
        <f>SUMIFS(pg_transaction_cleaned!$H:$H,pg_transaction_cleaned!$O:$O,A2609,pg_transaction_cleaned!$F:$F,"CAPTURE")</f>
        <v>349</v>
      </c>
      <c r="L2609" s="23">
        <f>COUNTIFS(pg_transaction_cleaned!$O:$O,A2609,pg_transaction_cleaned!$F:$F,"REFUND")</f>
        <v>0</v>
      </c>
      <c r="M2609" s="39">
        <f>SUMIFS(pg_transaction_cleaned!$H:$H,pg_transaction_cleaned!$O:$O,A2609,pg_transaction_cleaned!$F:$F,"REFUND")</f>
        <v>0</v>
      </c>
      <c r="N2609" s="23" t="str">
        <f t="shared" si="162"/>
        <v>OK</v>
      </c>
      <c r="O2609" s="24">
        <f t="shared" si="163"/>
        <v>0</v>
      </c>
    </row>
    <row r="2610" spans="1:15" ht="15" customHeight="1" x14ac:dyDescent="0.3">
      <c r="A2610" s="23" t="s">
        <v>5712</v>
      </c>
      <c r="B2610" s="38">
        <v>46286</v>
      </c>
      <c r="C2610" s="23" t="s">
        <v>5713</v>
      </c>
      <c r="D2610" s="23" t="s">
        <v>89</v>
      </c>
      <c r="E2610" s="23" t="s">
        <v>75</v>
      </c>
      <c r="F2610" s="23" t="s">
        <v>1769</v>
      </c>
      <c r="G2610" s="23" t="s">
        <v>250</v>
      </c>
      <c r="H2610" s="39">
        <f t="shared" si="160"/>
        <v>1148</v>
      </c>
      <c r="I2610" s="23" t="str">
        <f t="shared" si="161"/>
        <v>Jaipur</v>
      </c>
      <c r="J2610" s="23">
        <f>COUNTIFS(pg_transaction_cleaned!$O:$O,A2610,pg_transaction_cleaned!$F:$F,"CAPTURE")</f>
        <v>1</v>
      </c>
      <c r="K2610" s="39">
        <f>SUMIFS(pg_transaction_cleaned!$H:$H,pg_transaction_cleaned!$O:$O,A2610,pg_transaction_cleaned!$F:$F,"CAPTURE")</f>
        <v>1148</v>
      </c>
      <c r="L2610" s="23">
        <f>COUNTIFS(pg_transaction_cleaned!$O:$O,A2610,pg_transaction_cleaned!$F:$F,"REFUND")</f>
        <v>0</v>
      </c>
      <c r="M2610" s="39">
        <f>SUMIFS(pg_transaction_cleaned!$H:$H,pg_transaction_cleaned!$O:$O,A2610,pg_transaction_cleaned!$F:$F,"REFUND")</f>
        <v>0</v>
      </c>
      <c r="N2610" s="23" t="str">
        <f t="shared" si="162"/>
        <v>OK</v>
      </c>
      <c r="O2610" s="24">
        <f t="shared" si="163"/>
        <v>0</v>
      </c>
    </row>
    <row r="2611" spans="1:15" ht="15" customHeight="1" x14ac:dyDescent="0.3">
      <c r="A2611" s="23" t="s">
        <v>5714</v>
      </c>
      <c r="B2611" s="38">
        <v>46281</v>
      </c>
      <c r="C2611" s="23" t="s">
        <v>5715</v>
      </c>
      <c r="D2611" s="23" t="s">
        <v>95</v>
      </c>
      <c r="E2611" s="23" t="s">
        <v>75</v>
      </c>
      <c r="F2611" s="23" t="s">
        <v>310</v>
      </c>
      <c r="G2611" s="23" t="s">
        <v>250</v>
      </c>
      <c r="H2611" s="39">
        <f t="shared" si="160"/>
        <v>7999</v>
      </c>
      <c r="I2611" s="23" t="str">
        <f t="shared" si="161"/>
        <v>Bengaluru</v>
      </c>
      <c r="J2611" s="23">
        <f>COUNTIFS(pg_transaction_cleaned!$O:$O,A2611,pg_transaction_cleaned!$F:$F,"CAPTURE")</f>
        <v>1</v>
      </c>
      <c r="K2611" s="39">
        <f>SUMIFS(pg_transaction_cleaned!$H:$H,pg_transaction_cleaned!$O:$O,A2611,pg_transaction_cleaned!$F:$F,"CAPTURE")</f>
        <v>7999</v>
      </c>
      <c r="L2611" s="23">
        <f>COUNTIFS(pg_transaction_cleaned!$O:$O,A2611,pg_transaction_cleaned!$F:$F,"REFUND")</f>
        <v>0</v>
      </c>
      <c r="M2611" s="39">
        <f>SUMIFS(pg_transaction_cleaned!$H:$H,pg_transaction_cleaned!$O:$O,A2611,pg_transaction_cleaned!$F:$F,"REFUND")</f>
        <v>0</v>
      </c>
      <c r="N2611" s="23" t="str">
        <f t="shared" si="162"/>
        <v>OK</v>
      </c>
      <c r="O2611" s="24">
        <f t="shared" si="163"/>
        <v>0</v>
      </c>
    </row>
    <row r="2612" spans="1:15" ht="15" customHeight="1" x14ac:dyDescent="0.3">
      <c r="A2612" s="23" t="s">
        <v>5716</v>
      </c>
      <c r="B2612" s="38">
        <v>46271</v>
      </c>
      <c r="C2612" s="23" t="s">
        <v>5717</v>
      </c>
      <c r="D2612" s="23"/>
      <c r="E2612" s="23" t="s">
        <v>75</v>
      </c>
      <c r="F2612" s="23" t="s">
        <v>1038</v>
      </c>
      <c r="G2612" s="23" t="s">
        <v>250</v>
      </c>
      <c r="H2612" s="39">
        <f t="shared" si="160"/>
        <v>3597</v>
      </c>
      <c r="I2612" s="23" t="str">
        <f t="shared" si="161"/>
        <v>Unknown</v>
      </c>
      <c r="J2612" s="23">
        <f>COUNTIFS(pg_transaction_cleaned!$O:$O,A2612,pg_transaction_cleaned!$F:$F,"CAPTURE")</f>
        <v>1</v>
      </c>
      <c r="K2612" s="39">
        <f>SUMIFS(pg_transaction_cleaned!$H:$H,pg_transaction_cleaned!$O:$O,A2612,pg_transaction_cleaned!$F:$F,"CAPTURE")</f>
        <v>3597</v>
      </c>
      <c r="L2612" s="23">
        <f>COUNTIFS(pg_transaction_cleaned!$O:$O,A2612,pg_transaction_cleaned!$F:$F,"REFUND")</f>
        <v>0</v>
      </c>
      <c r="M2612" s="39">
        <f>SUMIFS(pg_transaction_cleaned!$H:$H,pg_transaction_cleaned!$O:$O,A2612,pg_transaction_cleaned!$F:$F,"REFUND")</f>
        <v>0</v>
      </c>
      <c r="N2612" s="23" t="str">
        <f t="shared" si="162"/>
        <v>OK</v>
      </c>
      <c r="O2612" s="24">
        <f t="shared" si="163"/>
        <v>0</v>
      </c>
    </row>
    <row r="2613" spans="1:15" ht="15" customHeight="1" x14ac:dyDescent="0.3">
      <c r="A2613" s="23" t="s">
        <v>5718</v>
      </c>
      <c r="B2613" s="38">
        <v>46274</v>
      </c>
      <c r="C2613" s="23" t="s">
        <v>5719</v>
      </c>
      <c r="D2613" s="23" t="s">
        <v>92</v>
      </c>
      <c r="E2613" s="23" t="s">
        <v>75</v>
      </c>
      <c r="F2613" s="23" t="s">
        <v>265</v>
      </c>
      <c r="G2613" s="23" t="s">
        <v>250</v>
      </c>
      <c r="H2613" s="39">
        <f t="shared" si="160"/>
        <v>999</v>
      </c>
      <c r="I2613" s="23" t="str">
        <f t="shared" si="161"/>
        <v>Hyderabad</v>
      </c>
      <c r="J2613" s="23">
        <f>COUNTIFS(pg_transaction_cleaned!$O:$O,A2613,pg_transaction_cleaned!$F:$F,"CAPTURE")</f>
        <v>1</v>
      </c>
      <c r="K2613" s="39">
        <f>SUMIFS(pg_transaction_cleaned!$H:$H,pg_transaction_cleaned!$O:$O,A2613,pg_transaction_cleaned!$F:$F,"CAPTURE")</f>
        <v>999</v>
      </c>
      <c r="L2613" s="23">
        <f>COUNTIFS(pg_transaction_cleaned!$O:$O,A2613,pg_transaction_cleaned!$F:$F,"REFUND")</f>
        <v>0</v>
      </c>
      <c r="M2613" s="39">
        <f>SUMIFS(pg_transaction_cleaned!$H:$H,pg_transaction_cleaned!$O:$O,A2613,pg_transaction_cleaned!$F:$F,"REFUND")</f>
        <v>0</v>
      </c>
      <c r="N2613" s="23" t="str">
        <f t="shared" si="162"/>
        <v>OK</v>
      </c>
      <c r="O2613" s="24">
        <f t="shared" si="163"/>
        <v>0</v>
      </c>
    </row>
    <row r="2614" spans="1:15" ht="15" customHeight="1" x14ac:dyDescent="0.3">
      <c r="A2614" s="23" t="s">
        <v>5720</v>
      </c>
      <c r="B2614" s="38">
        <v>46270</v>
      </c>
      <c r="C2614" s="23" t="s">
        <v>5721</v>
      </c>
      <c r="D2614" s="23" t="s">
        <v>87</v>
      </c>
      <c r="E2614" s="23" t="s">
        <v>75</v>
      </c>
      <c r="F2614" s="23" t="s">
        <v>370</v>
      </c>
      <c r="G2614" s="23" t="s">
        <v>318</v>
      </c>
      <c r="H2614" s="39">
        <f t="shared" si="160"/>
        <v>3098</v>
      </c>
      <c r="I2614" s="23" t="str">
        <f t="shared" si="161"/>
        <v>Mumbai</v>
      </c>
      <c r="J2614" s="23">
        <f>COUNTIFS(pg_transaction_cleaned!$O:$O,A2614,pg_transaction_cleaned!$F:$F,"CAPTURE")</f>
        <v>0</v>
      </c>
      <c r="K2614" s="39">
        <f>SUMIFS(pg_transaction_cleaned!$H:$H,pg_transaction_cleaned!$O:$O,A2614,pg_transaction_cleaned!$F:$F,"CAPTURE")</f>
        <v>0</v>
      </c>
      <c r="L2614" s="23">
        <f>COUNTIFS(pg_transaction_cleaned!$O:$O,A2614,pg_transaction_cleaned!$F:$F,"REFUND")</f>
        <v>0</v>
      </c>
      <c r="M2614" s="39">
        <f>SUMIFS(pg_transaction_cleaned!$H:$H,pg_transaction_cleaned!$O:$O,A2614,pg_transaction_cleaned!$F:$F,"REFUND")</f>
        <v>0</v>
      </c>
      <c r="N2614" s="23" t="str">
        <f t="shared" si="162"/>
        <v>OK</v>
      </c>
      <c r="O2614" s="24">
        <f t="shared" si="163"/>
        <v>0</v>
      </c>
    </row>
    <row r="2615" spans="1:15" ht="15" customHeight="1" x14ac:dyDescent="0.3">
      <c r="A2615" s="23" t="s">
        <v>5722</v>
      </c>
      <c r="B2615" s="38">
        <v>46290</v>
      </c>
      <c r="C2615" s="23" t="s">
        <v>5723</v>
      </c>
      <c r="D2615" s="23" t="s">
        <v>87</v>
      </c>
      <c r="E2615" s="23" t="s">
        <v>75</v>
      </c>
      <c r="F2615" s="23" t="s">
        <v>329</v>
      </c>
      <c r="G2615" s="23" t="s">
        <v>250</v>
      </c>
      <c r="H2615" s="39">
        <f t="shared" si="160"/>
        <v>599</v>
      </c>
      <c r="I2615" s="23" t="str">
        <f t="shared" si="161"/>
        <v>Mumbai</v>
      </c>
      <c r="J2615" s="23">
        <f>COUNTIFS(pg_transaction_cleaned!$O:$O,A2615,pg_transaction_cleaned!$F:$F,"CAPTURE")</f>
        <v>1</v>
      </c>
      <c r="K2615" s="39">
        <f>SUMIFS(pg_transaction_cleaned!$H:$H,pg_transaction_cleaned!$O:$O,A2615,pg_transaction_cleaned!$F:$F,"CAPTURE")</f>
        <v>599</v>
      </c>
      <c r="L2615" s="23">
        <f>COUNTIFS(pg_transaction_cleaned!$O:$O,A2615,pg_transaction_cleaned!$F:$F,"REFUND")</f>
        <v>0</v>
      </c>
      <c r="M2615" s="39">
        <f>SUMIFS(pg_transaction_cleaned!$H:$H,pg_transaction_cleaned!$O:$O,A2615,pg_transaction_cleaned!$F:$F,"REFUND")</f>
        <v>0</v>
      </c>
      <c r="N2615" s="23" t="str">
        <f t="shared" si="162"/>
        <v>OK</v>
      </c>
      <c r="O2615" s="24">
        <f t="shared" si="163"/>
        <v>0</v>
      </c>
    </row>
    <row r="2616" spans="1:15" ht="15" customHeight="1" x14ac:dyDescent="0.3">
      <c r="A2616" s="23" t="s">
        <v>5724</v>
      </c>
      <c r="B2616" s="38">
        <v>46282</v>
      </c>
      <c r="C2616" s="23" t="s">
        <v>5725</v>
      </c>
      <c r="D2616" s="23" t="s">
        <v>87</v>
      </c>
      <c r="E2616" s="23" t="s">
        <v>79</v>
      </c>
      <c r="F2616" s="23" t="s">
        <v>766</v>
      </c>
      <c r="G2616" s="23" t="s">
        <v>250</v>
      </c>
      <c r="H2616" s="39">
        <f t="shared" si="160"/>
        <v>4197</v>
      </c>
      <c r="I2616" s="23" t="str">
        <f t="shared" si="161"/>
        <v>Mumbai</v>
      </c>
      <c r="J2616" s="23">
        <f>COUNTIFS(pg_transaction_cleaned!$O:$O,A2616,pg_transaction_cleaned!$F:$F,"CAPTURE")</f>
        <v>1</v>
      </c>
      <c r="K2616" s="39">
        <f>SUMIFS(pg_transaction_cleaned!$H:$H,pg_transaction_cleaned!$O:$O,A2616,pg_transaction_cleaned!$F:$F,"CAPTURE")</f>
        <v>4197</v>
      </c>
      <c r="L2616" s="23">
        <f>COUNTIFS(pg_transaction_cleaned!$O:$O,A2616,pg_transaction_cleaned!$F:$F,"REFUND")</f>
        <v>0</v>
      </c>
      <c r="M2616" s="39">
        <f>SUMIFS(pg_transaction_cleaned!$H:$H,pg_transaction_cleaned!$O:$O,A2616,pg_transaction_cleaned!$F:$F,"REFUND")</f>
        <v>0</v>
      </c>
      <c r="N2616" s="23" t="str">
        <f t="shared" si="162"/>
        <v>OK</v>
      </c>
      <c r="O2616" s="24">
        <f t="shared" si="163"/>
        <v>0</v>
      </c>
    </row>
    <row r="2617" spans="1:15" ht="15" customHeight="1" x14ac:dyDescent="0.3">
      <c r="A2617" s="23" t="s">
        <v>5726</v>
      </c>
      <c r="B2617" s="38">
        <v>46272</v>
      </c>
      <c r="C2617" s="23" t="s">
        <v>5727</v>
      </c>
      <c r="D2617" s="23" t="s">
        <v>88</v>
      </c>
      <c r="E2617" s="23" t="s">
        <v>75</v>
      </c>
      <c r="F2617" s="23" t="s">
        <v>294</v>
      </c>
      <c r="G2617" s="23" t="s">
        <v>365</v>
      </c>
      <c r="H2617" s="39">
        <f t="shared" si="160"/>
        <v>1799</v>
      </c>
      <c r="I2617" s="23" t="str">
        <f t="shared" si="161"/>
        <v>Lucknow</v>
      </c>
      <c r="J2617" s="23">
        <f>COUNTIFS(pg_transaction_cleaned!$O:$O,A2617,pg_transaction_cleaned!$F:$F,"CAPTURE")</f>
        <v>0</v>
      </c>
      <c r="K2617" s="39">
        <f>SUMIFS(pg_transaction_cleaned!$H:$H,pg_transaction_cleaned!$O:$O,A2617,pg_transaction_cleaned!$F:$F,"CAPTURE")</f>
        <v>0</v>
      </c>
      <c r="L2617" s="23">
        <f>COUNTIFS(pg_transaction_cleaned!$O:$O,A2617,pg_transaction_cleaned!$F:$F,"REFUND")</f>
        <v>0</v>
      </c>
      <c r="M2617" s="39">
        <f>SUMIFS(pg_transaction_cleaned!$H:$H,pg_transaction_cleaned!$O:$O,A2617,pg_transaction_cleaned!$F:$F,"REFUND")</f>
        <v>0</v>
      </c>
      <c r="N2617" s="23" t="str">
        <f t="shared" si="162"/>
        <v>OK</v>
      </c>
      <c r="O2617" s="24">
        <f t="shared" si="163"/>
        <v>0</v>
      </c>
    </row>
    <row r="2618" spans="1:15" ht="15" customHeight="1" x14ac:dyDescent="0.3">
      <c r="A2618" s="23" t="s">
        <v>5728</v>
      </c>
      <c r="B2618" s="38">
        <v>46268</v>
      </c>
      <c r="C2618" s="23" t="s">
        <v>5729</v>
      </c>
      <c r="D2618" s="23" t="s">
        <v>95</v>
      </c>
      <c r="E2618" s="23" t="s">
        <v>75</v>
      </c>
      <c r="F2618" s="23" t="s">
        <v>268</v>
      </c>
      <c r="G2618" s="23" t="s">
        <v>250</v>
      </c>
      <c r="H2618" s="39">
        <f t="shared" si="160"/>
        <v>1299</v>
      </c>
      <c r="I2618" s="23" t="str">
        <f t="shared" si="161"/>
        <v>Bengaluru</v>
      </c>
      <c r="J2618" s="23">
        <f>COUNTIFS(pg_transaction_cleaned!$O:$O,A2618,pg_transaction_cleaned!$F:$F,"CAPTURE")</f>
        <v>1</v>
      </c>
      <c r="K2618" s="39">
        <f>SUMIFS(pg_transaction_cleaned!$H:$H,pg_transaction_cleaned!$O:$O,A2618,pg_transaction_cleaned!$F:$F,"CAPTURE")</f>
        <v>1299</v>
      </c>
      <c r="L2618" s="23">
        <f>COUNTIFS(pg_transaction_cleaned!$O:$O,A2618,pg_transaction_cleaned!$F:$F,"REFUND")</f>
        <v>0</v>
      </c>
      <c r="M2618" s="39">
        <f>SUMIFS(pg_transaction_cleaned!$H:$H,pg_transaction_cleaned!$O:$O,A2618,pg_transaction_cleaned!$F:$F,"REFUND")</f>
        <v>0</v>
      </c>
      <c r="N2618" s="23" t="str">
        <f t="shared" si="162"/>
        <v>OK</v>
      </c>
      <c r="O2618" s="24">
        <f t="shared" si="163"/>
        <v>0</v>
      </c>
    </row>
    <row r="2619" spans="1:15" ht="15" customHeight="1" x14ac:dyDescent="0.3">
      <c r="A2619" s="23" t="s">
        <v>5730</v>
      </c>
      <c r="B2619" s="38">
        <v>46269</v>
      </c>
      <c r="C2619" s="23" t="s">
        <v>5731</v>
      </c>
      <c r="D2619" s="23" t="s">
        <v>87</v>
      </c>
      <c r="E2619" s="23" t="s">
        <v>77</v>
      </c>
      <c r="F2619" s="23" t="s">
        <v>297</v>
      </c>
      <c r="G2619" s="23" t="s">
        <v>250</v>
      </c>
      <c r="H2619" s="39">
        <f t="shared" si="160"/>
        <v>4999</v>
      </c>
      <c r="I2619" s="23" t="str">
        <f t="shared" si="161"/>
        <v>Mumbai</v>
      </c>
      <c r="J2619" s="23">
        <f>COUNTIFS(pg_transaction_cleaned!$O:$O,A2619,pg_transaction_cleaned!$F:$F,"CAPTURE")</f>
        <v>0</v>
      </c>
      <c r="K2619" s="39">
        <f>SUMIFS(pg_transaction_cleaned!$H:$H,pg_transaction_cleaned!$O:$O,A2619,pg_transaction_cleaned!$F:$F,"CAPTURE")</f>
        <v>0</v>
      </c>
      <c r="L2619" s="23">
        <f>COUNTIFS(pg_transaction_cleaned!$O:$O,A2619,pg_transaction_cleaned!$F:$F,"REFUND")</f>
        <v>0</v>
      </c>
      <c r="M2619" s="39">
        <f>SUMIFS(pg_transaction_cleaned!$H:$H,pg_transaction_cleaned!$O:$O,A2619,pg_transaction_cleaned!$F:$F,"REFUND")</f>
        <v>0</v>
      </c>
      <c r="N2619" s="23" t="str">
        <f t="shared" si="162"/>
        <v>Paid, no payment</v>
      </c>
      <c r="O2619" s="24">
        <f t="shared" si="163"/>
        <v>4999</v>
      </c>
    </row>
    <row r="2620" spans="1:15" ht="15" customHeight="1" x14ac:dyDescent="0.3">
      <c r="A2620" s="23" t="s">
        <v>5732</v>
      </c>
      <c r="B2620" s="38">
        <v>46292</v>
      </c>
      <c r="C2620" s="23" t="s">
        <v>5733</v>
      </c>
      <c r="D2620" s="23" t="s">
        <v>90</v>
      </c>
      <c r="E2620" s="23" t="s">
        <v>79</v>
      </c>
      <c r="F2620" s="23" t="s">
        <v>567</v>
      </c>
      <c r="G2620" s="23" t="s">
        <v>250</v>
      </c>
      <c r="H2620" s="39">
        <f t="shared" si="160"/>
        <v>3598</v>
      </c>
      <c r="I2620" s="23" t="str">
        <f t="shared" si="161"/>
        <v>Ahmedabad</v>
      </c>
      <c r="J2620" s="23">
        <f>COUNTIFS(pg_transaction_cleaned!$O:$O,A2620,pg_transaction_cleaned!$F:$F,"CAPTURE")</f>
        <v>1</v>
      </c>
      <c r="K2620" s="39">
        <f>SUMIFS(pg_transaction_cleaned!$H:$H,pg_transaction_cleaned!$O:$O,A2620,pg_transaction_cleaned!$F:$F,"CAPTURE")</f>
        <v>3598</v>
      </c>
      <c r="L2620" s="23">
        <f>COUNTIFS(pg_transaction_cleaned!$O:$O,A2620,pg_transaction_cleaned!$F:$F,"REFUND")</f>
        <v>0</v>
      </c>
      <c r="M2620" s="39">
        <f>SUMIFS(pg_transaction_cleaned!$H:$H,pg_transaction_cleaned!$O:$O,A2620,pg_transaction_cleaned!$F:$F,"REFUND")</f>
        <v>0</v>
      </c>
      <c r="N2620" s="23" t="str">
        <f t="shared" si="162"/>
        <v>OK</v>
      </c>
      <c r="O2620" s="24">
        <f t="shared" si="163"/>
        <v>0</v>
      </c>
    </row>
    <row r="2621" spans="1:15" ht="15" customHeight="1" x14ac:dyDescent="0.3">
      <c r="A2621" s="23" t="s">
        <v>5734</v>
      </c>
      <c r="B2621" s="38">
        <v>46279</v>
      </c>
      <c r="C2621" s="23" t="s">
        <v>5735</v>
      </c>
      <c r="D2621" s="23" t="s">
        <v>92</v>
      </c>
      <c r="E2621" s="23" t="s">
        <v>77</v>
      </c>
      <c r="F2621" s="23" t="s">
        <v>1193</v>
      </c>
      <c r="G2621" s="23" t="s">
        <v>250</v>
      </c>
      <c r="H2621" s="39">
        <f t="shared" si="160"/>
        <v>3498</v>
      </c>
      <c r="I2621" s="23" t="str">
        <f t="shared" si="161"/>
        <v>Hyderabad</v>
      </c>
      <c r="J2621" s="23">
        <f>COUNTIFS(pg_transaction_cleaned!$O:$O,A2621,pg_transaction_cleaned!$F:$F,"CAPTURE")</f>
        <v>1</v>
      </c>
      <c r="K2621" s="39">
        <f>SUMIFS(pg_transaction_cleaned!$H:$H,pg_transaction_cleaned!$O:$O,A2621,pg_transaction_cleaned!$F:$F,"CAPTURE")</f>
        <v>3498</v>
      </c>
      <c r="L2621" s="23">
        <f>COUNTIFS(pg_transaction_cleaned!$O:$O,A2621,pg_transaction_cleaned!$F:$F,"REFUND")</f>
        <v>0</v>
      </c>
      <c r="M2621" s="39">
        <f>SUMIFS(pg_transaction_cleaned!$H:$H,pg_transaction_cleaned!$O:$O,A2621,pg_transaction_cleaned!$F:$F,"REFUND")</f>
        <v>0</v>
      </c>
      <c r="N2621" s="23" t="str">
        <f t="shared" si="162"/>
        <v>OK</v>
      </c>
      <c r="O2621" s="24">
        <f t="shared" si="163"/>
        <v>0</v>
      </c>
    </row>
    <row r="2622" spans="1:15" ht="15" customHeight="1" x14ac:dyDescent="0.3">
      <c r="A2622" s="23" t="s">
        <v>5736</v>
      </c>
      <c r="B2622" s="38">
        <v>46289</v>
      </c>
      <c r="C2622" s="23" t="s">
        <v>5737</v>
      </c>
      <c r="D2622" s="23" t="s">
        <v>89</v>
      </c>
      <c r="E2622" s="23" t="s">
        <v>77</v>
      </c>
      <c r="F2622" s="23" t="s">
        <v>274</v>
      </c>
      <c r="G2622" s="23" t="s">
        <v>250</v>
      </c>
      <c r="H2622" s="39">
        <f t="shared" si="160"/>
        <v>349</v>
      </c>
      <c r="I2622" s="23" t="str">
        <f t="shared" si="161"/>
        <v>Jaipur</v>
      </c>
      <c r="J2622" s="23">
        <f>COUNTIFS(pg_transaction_cleaned!$O:$O,A2622,pg_transaction_cleaned!$F:$F,"CAPTURE")</f>
        <v>1</v>
      </c>
      <c r="K2622" s="39">
        <f>SUMIFS(pg_transaction_cleaned!$H:$H,pg_transaction_cleaned!$O:$O,A2622,pg_transaction_cleaned!$F:$F,"CAPTURE")</f>
        <v>349</v>
      </c>
      <c r="L2622" s="23">
        <f>COUNTIFS(pg_transaction_cleaned!$O:$O,A2622,pg_transaction_cleaned!$F:$F,"REFUND")</f>
        <v>0</v>
      </c>
      <c r="M2622" s="39">
        <f>SUMIFS(pg_transaction_cleaned!$H:$H,pg_transaction_cleaned!$O:$O,A2622,pg_transaction_cleaned!$F:$F,"REFUND")</f>
        <v>0</v>
      </c>
      <c r="N2622" s="23" t="str">
        <f t="shared" si="162"/>
        <v>OK</v>
      </c>
      <c r="O2622" s="24">
        <f t="shared" si="163"/>
        <v>0</v>
      </c>
    </row>
    <row r="2623" spans="1:15" ht="15" customHeight="1" x14ac:dyDescent="0.3">
      <c r="A2623" s="23" t="s">
        <v>5738</v>
      </c>
      <c r="B2623" s="38">
        <v>46280</v>
      </c>
      <c r="C2623" s="23" t="s">
        <v>5739</v>
      </c>
      <c r="D2623" s="23" t="s">
        <v>89</v>
      </c>
      <c r="E2623" s="23" t="s">
        <v>75</v>
      </c>
      <c r="F2623" s="23" t="s">
        <v>265</v>
      </c>
      <c r="G2623" s="23" t="s">
        <v>250</v>
      </c>
      <c r="H2623" s="39">
        <f t="shared" si="160"/>
        <v>999</v>
      </c>
      <c r="I2623" s="23" t="str">
        <f t="shared" si="161"/>
        <v>Jaipur</v>
      </c>
      <c r="J2623" s="23">
        <f>COUNTIFS(pg_transaction_cleaned!$O:$O,A2623,pg_transaction_cleaned!$F:$F,"CAPTURE")</f>
        <v>1</v>
      </c>
      <c r="K2623" s="39">
        <f>SUMIFS(pg_transaction_cleaned!$H:$H,pg_transaction_cleaned!$O:$O,A2623,pg_transaction_cleaned!$F:$F,"CAPTURE")</f>
        <v>999</v>
      </c>
      <c r="L2623" s="23">
        <f>COUNTIFS(pg_transaction_cleaned!$O:$O,A2623,pg_transaction_cleaned!$F:$F,"REFUND")</f>
        <v>0</v>
      </c>
      <c r="M2623" s="39">
        <f>SUMIFS(pg_transaction_cleaned!$H:$H,pg_transaction_cleaned!$O:$O,A2623,pg_transaction_cleaned!$F:$F,"REFUND")</f>
        <v>0</v>
      </c>
      <c r="N2623" s="23" t="str">
        <f t="shared" si="162"/>
        <v>OK</v>
      </c>
      <c r="O2623" s="24">
        <f t="shared" si="163"/>
        <v>0</v>
      </c>
    </row>
    <row r="2624" spans="1:15" ht="15" customHeight="1" x14ac:dyDescent="0.3">
      <c r="A2624" s="23" t="s">
        <v>5740</v>
      </c>
      <c r="B2624" s="38">
        <v>46289</v>
      </c>
      <c r="C2624" s="23" t="s">
        <v>5741</v>
      </c>
      <c r="D2624" s="23" t="s">
        <v>88</v>
      </c>
      <c r="E2624" s="23" t="s">
        <v>75</v>
      </c>
      <c r="F2624" s="23" t="s">
        <v>349</v>
      </c>
      <c r="G2624" s="23" t="s">
        <v>250</v>
      </c>
      <c r="H2624" s="39">
        <f t="shared" si="160"/>
        <v>1798</v>
      </c>
      <c r="I2624" s="23" t="str">
        <f t="shared" si="161"/>
        <v>Lucknow</v>
      </c>
      <c r="J2624" s="23">
        <f>COUNTIFS(pg_transaction_cleaned!$O:$O,A2624,pg_transaction_cleaned!$F:$F,"CAPTURE")</f>
        <v>1</v>
      </c>
      <c r="K2624" s="39">
        <f>SUMIFS(pg_transaction_cleaned!$H:$H,pg_transaction_cleaned!$O:$O,A2624,pg_transaction_cleaned!$F:$F,"CAPTURE")</f>
        <v>1798</v>
      </c>
      <c r="L2624" s="23">
        <f>COUNTIFS(pg_transaction_cleaned!$O:$O,A2624,pg_transaction_cleaned!$F:$F,"REFUND")</f>
        <v>0</v>
      </c>
      <c r="M2624" s="39">
        <f>SUMIFS(pg_transaction_cleaned!$H:$H,pg_transaction_cleaned!$O:$O,A2624,pg_transaction_cleaned!$F:$F,"REFUND")</f>
        <v>0</v>
      </c>
      <c r="N2624" s="23" t="str">
        <f t="shared" si="162"/>
        <v>OK</v>
      </c>
      <c r="O2624" s="24">
        <f t="shared" si="163"/>
        <v>0</v>
      </c>
    </row>
    <row r="2625" spans="1:15" ht="15" customHeight="1" x14ac:dyDescent="0.3">
      <c r="A2625" s="23" t="s">
        <v>5742</v>
      </c>
      <c r="B2625" s="38">
        <v>46289</v>
      </c>
      <c r="C2625" s="23" t="s">
        <v>5743</v>
      </c>
      <c r="D2625" s="23" t="s">
        <v>88</v>
      </c>
      <c r="E2625" s="23" t="s">
        <v>75</v>
      </c>
      <c r="F2625" s="23" t="s">
        <v>249</v>
      </c>
      <c r="G2625" s="23" t="s">
        <v>250</v>
      </c>
      <c r="H2625" s="39">
        <f t="shared" si="160"/>
        <v>299</v>
      </c>
      <c r="I2625" s="23" t="str">
        <f t="shared" si="161"/>
        <v>Lucknow</v>
      </c>
      <c r="J2625" s="23">
        <f>COUNTIFS(pg_transaction_cleaned!$O:$O,A2625,pg_transaction_cleaned!$F:$F,"CAPTURE")</f>
        <v>1</v>
      </c>
      <c r="K2625" s="39">
        <f>SUMIFS(pg_transaction_cleaned!$H:$H,pg_transaction_cleaned!$O:$O,A2625,pg_transaction_cleaned!$F:$F,"CAPTURE")</f>
        <v>299</v>
      </c>
      <c r="L2625" s="23">
        <f>COUNTIFS(pg_transaction_cleaned!$O:$O,A2625,pg_transaction_cleaned!$F:$F,"REFUND")</f>
        <v>0</v>
      </c>
      <c r="M2625" s="39">
        <f>SUMIFS(pg_transaction_cleaned!$H:$H,pg_transaction_cleaned!$O:$O,A2625,pg_transaction_cleaned!$F:$F,"REFUND")</f>
        <v>0</v>
      </c>
      <c r="N2625" s="23" t="str">
        <f t="shared" si="162"/>
        <v>OK</v>
      </c>
      <c r="O2625" s="24">
        <f t="shared" si="163"/>
        <v>0</v>
      </c>
    </row>
    <row r="2626" spans="1:15" ht="15" customHeight="1" x14ac:dyDescent="0.3">
      <c r="A2626" s="23" t="s">
        <v>5744</v>
      </c>
      <c r="B2626" s="38">
        <v>46292</v>
      </c>
      <c r="C2626" s="23" t="s">
        <v>5745</v>
      </c>
      <c r="D2626" s="23" t="s">
        <v>92</v>
      </c>
      <c r="E2626" s="23" t="s">
        <v>79</v>
      </c>
      <c r="F2626" s="23" t="s">
        <v>294</v>
      </c>
      <c r="G2626" s="23" t="s">
        <v>250</v>
      </c>
      <c r="H2626" s="39">
        <f t="shared" ref="H2626:H2689" si="164">VALUE(SUBSTITUTE(F2626,",",""))</f>
        <v>1799</v>
      </c>
      <c r="I2626" s="23" t="str">
        <f t="shared" ref="I2626:I2689" si="165">IF(TRIM(D2626)="","Unknown",TRIM(D2626))</f>
        <v>Hyderabad</v>
      </c>
      <c r="J2626" s="23">
        <f>COUNTIFS(pg_transaction_cleaned!$O:$O,A2626,pg_transaction_cleaned!$F:$F,"CAPTURE")</f>
        <v>1</v>
      </c>
      <c r="K2626" s="39">
        <f>SUMIFS(pg_transaction_cleaned!$H:$H,pg_transaction_cleaned!$O:$O,A2626,pg_transaction_cleaned!$F:$F,"CAPTURE")</f>
        <v>1799</v>
      </c>
      <c r="L2626" s="23">
        <f>COUNTIFS(pg_transaction_cleaned!$O:$O,A2626,pg_transaction_cleaned!$F:$F,"REFUND")</f>
        <v>0</v>
      </c>
      <c r="M2626" s="39">
        <f>SUMIFS(pg_transaction_cleaned!$H:$H,pg_transaction_cleaned!$O:$O,A2626,pg_transaction_cleaned!$F:$F,"REFUND")</f>
        <v>0</v>
      </c>
      <c r="N2626" s="23" t="str">
        <f t="shared" ref="N2626:N2689" si="166">IF(AND(G2626="Paid",J2626=0),"Paid, no payment",IF(AND(OR(G2626="Failed",G2626="Cancelled"),J2626&gt;0),"Payment on failed/cancelled",IF(J2626&gt;1,"Duplicate charge",IF(AND(J2626=1,ROUND(K2626-H2626,2)&lt;&gt;0),"Amount difference",IF(AND(G2626="Refunded",L2626=0),"Refunded, no refund",IF(AND(G2626&lt;&gt;"Refunded",L2626&gt;0),"Refund, order not Refunded",IF(AND(L2626&gt;0,ROUND(M2626-H2626,2)&lt;&gt;0),"Refund amount differs","OK")))))))</f>
        <v>OK</v>
      </c>
      <c r="O2626" s="24">
        <f t="shared" ref="O2626:O2689" si="167">IF(N2626="OK",0,IF(N2626="Paid, no payment",H2626,IF(N2626="Payment on failed/cancelled",K2626,IF(OR(N2626="Duplicate charge",N2626="Amount difference"),K2626-H2626,IF(N2626="Refunded, no refund",H2626,M2626)))))</f>
        <v>0</v>
      </c>
    </row>
    <row r="2627" spans="1:15" ht="15" customHeight="1" x14ac:dyDescent="0.3">
      <c r="A2627" s="23" t="s">
        <v>5746</v>
      </c>
      <c r="B2627" s="38">
        <v>46275</v>
      </c>
      <c r="C2627" s="23" t="s">
        <v>5747</v>
      </c>
      <c r="D2627" s="23" t="s">
        <v>88</v>
      </c>
      <c r="E2627" s="23" t="s">
        <v>75</v>
      </c>
      <c r="F2627" s="23" t="s">
        <v>1372</v>
      </c>
      <c r="G2627" s="23" t="s">
        <v>250</v>
      </c>
      <c r="H2627" s="39">
        <f t="shared" si="164"/>
        <v>798</v>
      </c>
      <c r="I2627" s="23" t="str">
        <f t="shared" si="165"/>
        <v>Lucknow</v>
      </c>
      <c r="J2627" s="23">
        <f>COUNTIFS(pg_transaction_cleaned!$O:$O,A2627,pg_transaction_cleaned!$F:$F,"CAPTURE")</f>
        <v>1</v>
      </c>
      <c r="K2627" s="39">
        <f>SUMIFS(pg_transaction_cleaned!$H:$H,pg_transaction_cleaned!$O:$O,A2627,pg_transaction_cleaned!$F:$F,"CAPTURE")</f>
        <v>798</v>
      </c>
      <c r="L2627" s="23">
        <f>COUNTIFS(pg_transaction_cleaned!$O:$O,A2627,pg_transaction_cleaned!$F:$F,"REFUND")</f>
        <v>0</v>
      </c>
      <c r="M2627" s="39">
        <f>SUMIFS(pg_transaction_cleaned!$H:$H,pg_transaction_cleaned!$O:$O,A2627,pg_transaction_cleaned!$F:$F,"REFUND")</f>
        <v>0</v>
      </c>
      <c r="N2627" s="23" t="str">
        <f t="shared" si="166"/>
        <v>OK</v>
      </c>
      <c r="O2627" s="24">
        <f t="shared" si="167"/>
        <v>0</v>
      </c>
    </row>
    <row r="2628" spans="1:15" ht="15" customHeight="1" x14ac:dyDescent="0.3">
      <c r="A2628" s="23" t="s">
        <v>5748</v>
      </c>
      <c r="B2628" s="38">
        <v>46291</v>
      </c>
      <c r="C2628" s="23" t="s">
        <v>5749</v>
      </c>
      <c r="D2628" s="23" t="s">
        <v>93</v>
      </c>
      <c r="E2628" s="23" t="s">
        <v>79</v>
      </c>
      <c r="F2628" s="23" t="s">
        <v>268</v>
      </c>
      <c r="G2628" s="23" t="s">
        <v>250</v>
      </c>
      <c r="H2628" s="39">
        <f t="shared" si="164"/>
        <v>1299</v>
      </c>
      <c r="I2628" s="23" t="str">
        <f t="shared" si="165"/>
        <v>Kolkata</v>
      </c>
      <c r="J2628" s="23">
        <f>COUNTIFS(pg_transaction_cleaned!$O:$O,A2628,pg_transaction_cleaned!$F:$F,"CAPTURE")</f>
        <v>1</v>
      </c>
      <c r="K2628" s="39">
        <f>SUMIFS(pg_transaction_cleaned!$H:$H,pg_transaction_cleaned!$O:$O,A2628,pg_transaction_cleaned!$F:$F,"CAPTURE")</f>
        <v>1299</v>
      </c>
      <c r="L2628" s="23">
        <f>COUNTIFS(pg_transaction_cleaned!$O:$O,A2628,pg_transaction_cleaned!$F:$F,"REFUND")</f>
        <v>0</v>
      </c>
      <c r="M2628" s="39">
        <f>SUMIFS(pg_transaction_cleaned!$H:$H,pg_transaction_cleaned!$O:$O,A2628,pg_transaction_cleaned!$F:$F,"REFUND")</f>
        <v>0</v>
      </c>
      <c r="N2628" s="23" t="str">
        <f t="shared" si="166"/>
        <v>OK</v>
      </c>
      <c r="O2628" s="24">
        <f t="shared" si="167"/>
        <v>0</v>
      </c>
    </row>
    <row r="2629" spans="1:15" ht="15" customHeight="1" x14ac:dyDescent="0.3">
      <c r="A2629" s="23" t="s">
        <v>5750</v>
      </c>
      <c r="B2629" s="38">
        <v>46290</v>
      </c>
      <c r="C2629" s="23" t="s">
        <v>5751</v>
      </c>
      <c r="D2629" s="23" t="s">
        <v>89</v>
      </c>
      <c r="E2629" s="23" t="s">
        <v>79</v>
      </c>
      <c r="F2629" s="23" t="s">
        <v>1495</v>
      </c>
      <c r="G2629" s="23" t="s">
        <v>250</v>
      </c>
      <c r="H2629" s="39">
        <f t="shared" si="164"/>
        <v>7498</v>
      </c>
      <c r="I2629" s="23" t="str">
        <f t="shared" si="165"/>
        <v>Jaipur</v>
      </c>
      <c r="J2629" s="23">
        <f>COUNTIFS(pg_transaction_cleaned!$O:$O,A2629,pg_transaction_cleaned!$F:$F,"CAPTURE")</f>
        <v>1</v>
      </c>
      <c r="K2629" s="39">
        <f>SUMIFS(pg_transaction_cleaned!$H:$H,pg_transaction_cleaned!$O:$O,A2629,pg_transaction_cleaned!$F:$F,"CAPTURE")</f>
        <v>7498</v>
      </c>
      <c r="L2629" s="23">
        <f>COUNTIFS(pg_transaction_cleaned!$O:$O,A2629,pg_transaction_cleaned!$F:$F,"REFUND")</f>
        <v>0</v>
      </c>
      <c r="M2629" s="39">
        <f>SUMIFS(pg_transaction_cleaned!$H:$H,pg_transaction_cleaned!$O:$O,A2629,pg_transaction_cleaned!$F:$F,"REFUND")</f>
        <v>0</v>
      </c>
      <c r="N2629" s="23" t="str">
        <f t="shared" si="166"/>
        <v>OK</v>
      </c>
      <c r="O2629" s="24">
        <f t="shared" si="167"/>
        <v>0</v>
      </c>
    </row>
    <row r="2630" spans="1:15" ht="15" customHeight="1" x14ac:dyDescent="0.3">
      <c r="A2630" s="23" t="s">
        <v>5752</v>
      </c>
      <c r="B2630" s="38">
        <v>46286</v>
      </c>
      <c r="C2630" s="23" t="s">
        <v>5753</v>
      </c>
      <c r="D2630" s="23" t="s">
        <v>91</v>
      </c>
      <c r="E2630" s="23" t="s">
        <v>79</v>
      </c>
      <c r="F2630" s="23" t="s">
        <v>1495</v>
      </c>
      <c r="G2630" s="23" t="s">
        <v>250</v>
      </c>
      <c r="H2630" s="39">
        <f t="shared" si="164"/>
        <v>7498</v>
      </c>
      <c r="I2630" s="23" t="str">
        <f t="shared" si="165"/>
        <v>Pune</v>
      </c>
      <c r="J2630" s="23">
        <f>COUNTIFS(pg_transaction_cleaned!$O:$O,A2630,pg_transaction_cleaned!$F:$F,"CAPTURE")</f>
        <v>1</v>
      </c>
      <c r="K2630" s="39">
        <f>SUMIFS(pg_transaction_cleaned!$H:$H,pg_transaction_cleaned!$O:$O,A2630,pg_transaction_cleaned!$F:$F,"CAPTURE")</f>
        <v>7498</v>
      </c>
      <c r="L2630" s="23">
        <f>COUNTIFS(pg_transaction_cleaned!$O:$O,A2630,pg_transaction_cleaned!$F:$F,"REFUND")</f>
        <v>0</v>
      </c>
      <c r="M2630" s="39">
        <f>SUMIFS(pg_transaction_cleaned!$H:$H,pg_transaction_cleaned!$O:$O,A2630,pg_transaction_cleaned!$F:$F,"REFUND")</f>
        <v>0</v>
      </c>
      <c r="N2630" s="23" t="str">
        <f t="shared" si="166"/>
        <v>OK</v>
      </c>
      <c r="O2630" s="24">
        <f t="shared" si="167"/>
        <v>0</v>
      </c>
    </row>
    <row r="2631" spans="1:15" ht="15" customHeight="1" x14ac:dyDescent="0.3">
      <c r="A2631" s="23" t="s">
        <v>5754</v>
      </c>
      <c r="B2631" s="38">
        <v>46294</v>
      </c>
      <c r="C2631" s="23" t="s">
        <v>5755</v>
      </c>
      <c r="D2631" s="23" t="s">
        <v>88</v>
      </c>
      <c r="E2631" s="23" t="s">
        <v>75</v>
      </c>
      <c r="F2631" s="23" t="s">
        <v>582</v>
      </c>
      <c r="G2631" s="23" t="s">
        <v>250</v>
      </c>
      <c r="H2631" s="39">
        <f t="shared" si="164"/>
        <v>1298</v>
      </c>
      <c r="I2631" s="23" t="str">
        <f t="shared" si="165"/>
        <v>Lucknow</v>
      </c>
      <c r="J2631" s="23">
        <f>COUNTIFS(pg_transaction_cleaned!$O:$O,A2631,pg_transaction_cleaned!$F:$F,"CAPTURE")</f>
        <v>1</v>
      </c>
      <c r="K2631" s="39">
        <f>SUMIFS(pg_transaction_cleaned!$H:$H,pg_transaction_cleaned!$O:$O,A2631,pg_transaction_cleaned!$F:$F,"CAPTURE")</f>
        <v>1298</v>
      </c>
      <c r="L2631" s="23">
        <f>COUNTIFS(pg_transaction_cleaned!$O:$O,A2631,pg_transaction_cleaned!$F:$F,"REFUND")</f>
        <v>0</v>
      </c>
      <c r="M2631" s="39">
        <f>SUMIFS(pg_transaction_cleaned!$H:$H,pg_transaction_cleaned!$O:$O,A2631,pg_transaction_cleaned!$F:$F,"REFUND")</f>
        <v>0</v>
      </c>
      <c r="N2631" s="23" t="str">
        <f t="shared" si="166"/>
        <v>OK</v>
      </c>
      <c r="O2631" s="24">
        <f t="shared" si="167"/>
        <v>0</v>
      </c>
    </row>
    <row r="2632" spans="1:15" ht="15" customHeight="1" x14ac:dyDescent="0.3">
      <c r="A2632" s="23" t="s">
        <v>5756</v>
      </c>
      <c r="B2632" s="38">
        <v>46273</v>
      </c>
      <c r="C2632" s="23" t="s">
        <v>5757</v>
      </c>
      <c r="D2632" s="23" t="s">
        <v>92</v>
      </c>
      <c r="E2632" s="23" t="s">
        <v>75</v>
      </c>
      <c r="F2632" s="23" t="s">
        <v>265</v>
      </c>
      <c r="G2632" s="23" t="s">
        <v>250</v>
      </c>
      <c r="H2632" s="39">
        <f t="shared" si="164"/>
        <v>999</v>
      </c>
      <c r="I2632" s="23" t="str">
        <f t="shared" si="165"/>
        <v>Hyderabad</v>
      </c>
      <c r="J2632" s="23">
        <f>COUNTIFS(pg_transaction_cleaned!$O:$O,A2632,pg_transaction_cleaned!$F:$F,"CAPTURE")</f>
        <v>1</v>
      </c>
      <c r="K2632" s="39">
        <f>SUMIFS(pg_transaction_cleaned!$H:$H,pg_transaction_cleaned!$O:$O,A2632,pg_transaction_cleaned!$F:$F,"CAPTURE")</f>
        <v>999</v>
      </c>
      <c r="L2632" s="23">
        <f>COUNTIFS(pg_transaction_cleaned!$O:$O,A2632,pg_transaction_cleaned!$F:$F,"REFUND")</f>
        <v>0</v>
      </c>
      <c r="M2632" s="39">
        <f>SUMIFS(pg_transaction_cleaned!$H:$H,pg_transaction_cleaned!$O:$O,A2632,pg_transaction_cleaned!$F:$F,"REFUND")</f>
        <v>0</v>
      </c>
      <c r="N2632" s="23" t="str">
        <f t="shared" si="166"/>
        <v>OK</v>
      </c>
      <c r="O2632" s="24">
        <f t="shared" si="167"/>
        <v>0</v>
      </c>
    </row>
    <row r="2633" spans="1:15" ht="15" customHeight="1" x14ac:dyDescent="0.3">
      <c r="A2633" s="23" t="s">
        <v>5758</v>
      </c>
      <c r="B2633" s="38">
        <v>46284</v>
      </c>
      <c r="C2633" s="23" t="s">
        <v>5759</v>
      </c>
      <c r="D2633" s="23" t="s">
        <v>91</v>
      </c>
      <c r="E2633" s="23" t="s">
        <v>75</v>
      </c>
      <c r="F2633" s="23" t="s">
        <v>1735</v>
      </c>
      <c r="G2633" s="23" t="s">
        <v>250</v>
      </c>
      <c r="H2633" s="39">
        <f t="shared" si="164"/>
        <v>12998</v>
      </c>
      <c r="I2633" s="23" t="str">
        <f t="shared" si="165"/>
        <v>Pune</v>
      </c>
      <c r="J2633" s="23">
        <f>COUNTIFS(pg_transaction_cleaned!$O:$O,A2633,pg_transaction_cleaned!$F:$F,"CAPTURE")</f>
        <v>1</v>
      </c>
      <c r="K2633" s="39">
        <f>SUMIFS(pg_transaction_cleaned!$H:$H,pg_transaction_cleaned!$O:$O,A2633,pg_transaction_cleaned!$F:$F,"CAPTURE")</f>
        <v>12998</v>
      </c>
      <c r="L2633" s="23">
        <f>COUNTIFS(pg_transaction_cleaned!$O:$O,A2633,pg_transaction_cleaned!$F:$F,"REFUND")</f>
        <v>0</v>
      </c>
      <c r="M2633" s="39">
        <f>SUMIFS(pg_transaction_cleaned!$H:$H,pg_transaction_cleaned!$O:$O,A2633,pg_transaction_cleaned!$F:$F,"REFUND")</f>
        <v>0</v>
      </c>
      <c r="N2633" s="23" t="str">
        <f t="shared" si="166"/>
        <v>OK</v>
      </c>
      <c r="O2633" s="24">
        <f t="shared" si="167"/>
        <v>0</v>
      </c>
    </row>
    <row r="2634" spans="1:15" ht="15" customHeight="1" x14ac:dyDescent="0.3">
      <c r="A2634" s="23" t="s">
        <v>5760</v>
      </c>
      <c r="B2634" s="38">
        <v>46271</v>
      </c>
      <c r="C2634" s="23" t="s">
        <v>5761</v>
      </c>
      <c r="D2634" s="23" t="s">
        <v>93</v>
      </c>
      <c r="E2634" s="23" t="s">
        <v>79</v>
      </c>
      <c r="F2634" s="23" t="s">
        <v>475</v>
      </c>
      <c r="G2634" s="23" t="s">
        <v>250</v>
      </c>
      <c r="H2634" s="39">
        <f t="shared" si="164"/>
        <v>799</v>
      </c>
      <c r="I2634" s="23" t="str">
        <f t="shared" si="165"/>
        <v>Kolkata</v>
      </c>
      <c r="J2634" s="23">
        <f>COUNTIFS(pg_transaction_cleaned!$O:$O,A2634,pg_transaction_cleaned!$F:$F,"CAPTURE")</f>
        <v>1</v>
      </c>
      <c r="K2634" s="39">
        <f>SUMIFS(pg_transaction_cleaned!$H:$H,pg_transaction_cleaned!$O:$O,A2634,pg_transaction_cleaned!$F:$F,"CAPTURE")</f>
        <v>799</v>
      </c>
      <c r="L2634" s="23">
        <f>COUNTIFS(pg_transaction_cleaned!$O:$O,A2634,pg_transaction_cleaned!$F:$F,"REFUND")</f>
        <v>0</v>
      </c>
      <c r="M2634" s="39">
        <f>SUMIFS(pg_transaction_cleaned!$H:$H,pg_transaction_cleaned!$O:$O,A2634,pg_transaction_cleaned!$F:$F,"REFUND")</f>
        <v>0</v>
      </c>
      <c r="N2634" s="23" t="str">
        <f t="shared" si="166"/>
        <v>OK</v>
      </c>
      <c r="O2634" s="24">
        <f t="shared" si="167"/>
        <v>0</v>
      </c>
    </row>
    <row r="2635" spans="1:15" ht="15" customHeight="1" x14ac:dyDescent="0.3">
      <c r="A2635" s="23" t="s">
        <v>5762</v>
      </c>
      <c r="B2635" s="38">
        <v>46284</v>
      </c>
      <c r="C2635" s="23" t="s">
        <v>5763</v>
      </c>
      <c r="D2635" s="23" t="s">
        <v>90</v>
      </c>
      <c r="E2635" s="23" t="s">
        <v>75</v>
      </c>
      <c r="F2635" s="23" t="s">
        <v>357</v>
      </c>
      <c r="G2635" s="23" t="s">
        <v>250</v>
      </c>
      <c r="H2635" s="39">
        <f t="shared" si="164"/>
        <v>1598</v>
      </c>
      <c r="I2635" s="23" t="str">
        <f t="shared" si="165"/>
        <v>Ahmedabad</v>
      </c>
      <c r="J2635" s="23">
        <f>COUNTIFS(pg_transaction_cleaned!$O:$O,A2635,pg_transaction_cleaned!$F:$F,"CAPTURE")</f>
        <v>1</v>
      </c>
      <c r="K2635" s="39">
        <f>SUMIFS(pg_transaction_cleaned!$H:$H,pg_transaction_cleaned!$O:$O,A2635,pg_transaction_cleaned!$F:$F,"CAPTURE")</f>
        <v>1598</v>
      </c>
      <c r="L2635" s="23">
        <f>COUNTIFS(pg_transaction_cleaned!$O:$O,A2635,pg_transaction_cleaned!$F:$F,"REFUND")</f>
        <v>0</v>
      </c>
      <c r="M2635" s="39">
        <f>SUMIFS(pg_transaction_cleaned!$H:$H,pg_transaction_cleaned!$O:$O,A2635,pg_transaction_cleaned!$F:$F,"REFUND")</f>
        <v>0</v>
      </c>
      <c r="N2635" s="23" t="str">
        <f t="shared" si="166"/>
        <v>OK</v>
      </c>
      <c r="O2635" s="24">
        <f t="shared" si="167"/>
        <v>0</v>
      </c>
    </row>
    <row r="2636" spans="1:15" ht="15" customHeight="1" x14ac:dyDescent="0.3">
      <c r="A2636" s="23" t="s">
        <v>5764</v>
      </c>
      <c r="B2636" s="38">
        <v>46270</v>
      </c>
      <c r="C2636" s="23" t="s">
        <v>5765</v>
      </c>
      <c r="D2636" s="23" t="s">
        <v>90</v>
      </c>
      <c r="E2636" s="23" t="s">
        <v>75</v>
      </c>
      <c r="F2636" s="23" t="s">
        <v>429</v>
      </c>
      <c r="G2636" s="23" t="s">
        <v>250</v>
      </c>
      <c r="H2636" s="39">
        <f t="shared" si="164"/>
        <v>3348</v>
      </c>
      <c r="I2636" s="23" t="str">
        <f t="shared" si="165"/>
        <v>Ahmedabad</v>
      </c>
      <c r="J2636" s="23">
        <f>COUNTIFS(pg_transaction_cleaned!$O:$O,A2636,pg_transaction_cleaned!$F:$F,"CAPTURE")</f>
        <v>1</v>
      </c>
      <c r="K2636" s="39">
        <f>SUMIFS(pg_transaction_cleaned!$H:$H,pg_transaction_cleaned!$O:$O,A2636,pg_transaction_cleaned!$F:$F,"CAPTURE")</f>
        <v>3348</v>
      </c>
      <c r="L2636" s="23">
        <f>COUNTIFS(pg_transaction_cleaned!$O:$O,A2636,pg_transaction_cleaned!$F:$F,"REFUND")</f>
        <v>0</v>
      </c>
      <c r="M2636" s="39">
        <f>SUMIFS(pg_transaction_cleaned!$H:$H,pg_transaction_cleaned!$O:$O,A2636,pg_transaction_cleaned!$F:$F,"REFUND")</f>
        <v>0</v>
      </c>
      <c r="N2636" s="23" t="str">
        <f t="shared" si="166"/>
        <v>OK</v>
      </c>
      <c r="O2636" s="24">
        <f t="shared" si="167"/>
        <v>0</v>
      </c>
    </row>
    <row r="2637" spans="1:15" ht="15" customHeight="1" x14ac:dyDescent="0.3">
      <c r="A2637" s="23" t="s">
        <v>5766</v>
      </c>
      <c r="B2637" s="38">
        <v>46271</v>
      </c>
      <c r="C2637" s="23" t="s">
        <v>5767</v>
      </c>
      <c r="D2637" s="23" t="s">
        <v>88</v>
      </c>
      <c r="E2637" s="23" t="s">
        <v>79</v>
      </c>
      <c r="F2637" s="23" t="s">
        <v>1421</v>
      </c>
      <c r="G2637" s="23" t="s">
        <v>318</v>
      </c>
      <c r="H2637" s="39">
        <f t="shared" si="164"/>
        <v>3197</v>
      </c>
      <c r="I2637" s="23" t="str">
        <f t="shared" si="165"/>
        <v>Lucknow</v>
      </c>
      <c r="J2637" s="23">
        <f>COUNTIFS(pg_transaction_cleaned!$O:$O,A2637,pg_transaction_cleaned!$F:$F,"CAPTURE")</f>
        <v>0</v>
      </c>
      <c r="K2637" s="39">
        <f>SUMIFS(pg_transaction_cleaned!$H:$H,pg_transaction_cleaned!$O:$O,A2637,pg_transaction_cleaned!$F:$F,"CAPTURE")</f>
        <v>0</v>
      </c>
      <c r="L2637" s="23">
        <f>COUNTIFS(pg_transaction_cleaned!$O:$O,A2637,pg_transaction_cleaned!$F:$F,"REFUND")</f>
        <v>0</v>
      </c>
      <c r="M2637" s="39">
        <f>SUMIFS(pg_transaction_cleaned!$H:$H,pg_transaction_cleaned!$O:$O,A2637,pg_transaction_cleaned!$F:$F,"REFUND")</f>
        <v>0</v>
      </c>
      <c r="N2637" s="23" t="str">
        <f t="shared" si="166"/>
        <v>OK</v>
      </c>
      <c r="O2637" s="24">
        <f t="shared" si="167"/>
        <v>0</v>
      </c>
    </row>
    <row r="2638" spans="1:15" ht="15" customHeight="1" x14ac:dyDescent="0.3">
      <c r="A2638" s="23" t="s">
        <v>5768</v>
      </c>
      <c r="B2638" s="38">
        <v>46273</v>
      </c>
      <c r="C2638" s="23" t="s">
        <v>5769</v>
      </c>
      <c r="D2638" s="23" t="s">
        <v>95</v>
      </c>
      <c r="E2638" s="23" t="s">
        <v>77</v>
      </c>
      <c r="F2638" s="23" t="s">
        <v>396</v>
      </c>
      <c r="G2638" s="23" t="s">
        <v>250</v>
      </c>
      <c r="H2638" s="39">
        <f t="shared" si="164"/>
        <v>2999</v>
      </c>
      <c r="I2638" s="23" t="str">
        <f t="shared" si="165"/>
        <v>Bengaluru</v>
      </c>
      <c r="J2638" s="23">
        <f>COUNTIFS(pg_transaction_cleaned!$O:$O,A2638,pg_transaction_cleaned!$F:$F,"CAPTURE")</f>
        <v>1</v>
      </c>
      <c r="K2638" s="39">
        <f>SUMIFS(pg_transaction_cleaned!$H:$H,pg_transaction_cleaned!$O:$O,A2638,pg_transaction_cleaned!$F:$F,"CAPTURE")</f>
        <v>2999</v>
      </c>
      <c r="L2638" s="23">
        <f>COUNTIFS(pg_transaction_cleaned!$O:$O,A2638,pg_transaction_cleaned!$F:$F,"REFUND")</f>
        <v>0</v>
      </c>
      <c r="M2638" s="39">
        <f>SUMIFS(pg_transaction_cleaned!$H:$H,pg_transaction_cleaned!$O:$O,A2638,pg_transaction_cleaned!$F:$F,"REFUND")</f>
        <v>0</v>
      </c>
      <c r="N2638" s="23" t="str">
        <f t="shared" si="166"/>
        <v>OK</v>
      </c>
      <c r="O2638" s="24">
        <f t="shared" si="167"/>
        <v>0</v>
      </c>
    </row>
    <row r="2639" spans="1:15" ht="15" customHeight="1" x14ac:dyDescent="0.3">
      <c r="A2639" s="23" t="s">
        <v>5770</v>
      </c>
      <c r="B2639" s="38">
        <v>46294</v>
      </c>
      <c r="C2639" s="23" t="s">
        <v>5771</v>
      </c>
      <c r="D2639" s="23" t="s">
        <v>87</v>
      </c>
      <c r="E2639" s="23" t="s">
        <v>79</v>
      </c>
      <c r="F2639" s="23" t="s">
        <v>1193</v>
      </c>
      <c r="G2639" s="23" t="s">
        <v>365</v>
      </c>
      <c r="H2639" s="39">
        <f t="shared" si="164"/>
        <v>3498</v>
      </c>
      <c r="I2639" s="23" t="str">
        <f t="shared" si="165"/>
        <v>Mumbai</v>
      </c>
      <c r="J2639" s="23">
        <f>COUNTIFS(pg_transaction_cleaned!$O:$O,A2639,pg_transaction_cleaned!$F:$F,"CAPTURE")</f>
        <v>0</v>
      </c>
      <c r="K2639" s="39">
        <f>SUMIFS(pg_transaction_cleaned!$H:$H,pg_transaction_cleaned!$O:$O,A2639,pg_transaction_cleaned!$F:$F,"CAPTURE")</f>
        <v>0</v>
      </c>
      <c r="L2639" s="23">
        <f>COUNTIFS(pg_transaction_cleaned!$O:$O,A2639,pg_transaction_cleaned!$F:$F,"REFUND")</f>
        <v>0</v>
      </c>
      <c r="M2639" s="39">
        <f>SUMIFS(pg_transaction_cleaned!$H:$H,pg_transaction_cleaned!$O:$O,A2639,pg_transaction_cleaned!$F:$F,"REFUND")</f>
        <v>0</v>
      </c>
      <c r="N2639" s="23" t="str">
        <f t="shared" si="166"/>
        <v>OK</v>
      </c>
      <c r="O2639" s="24">
        <f t="shared" si="167"/>
        <v>0</v>
      </c>
    </row>
    <row r="2640" spans="1:15" ht="15" customHeight="1" x14ac:dyDescent="0.3">
      <c r="A2640" s="23" t="s">
        <v>5772</v>
      </c>
      <c r="B2640" s="38">
        <v>46294</v>
      </c>
      <c r="C2640" s="23" t="s">
        <v>5773</v>
      </c>
      <c r="D2640" s="23" t="s">
        <v>88</v>
      </c>
      <c r="E2640" s="23" t="s">
        <v>75</v>
      </c>
      <c r="F2640" s="23" t="s">
        <v>268</v>
      </c>
      <c r="G2640" s="23" t="s">
        <v>365</v>
      </c>
      <c r="H2640" s="39">
        <f t="shared" si="164"/>
        <v>1299</v>
      </c>
      <c r="I2640" s="23" t="str">
        <f t="shared" si="165"/>
        <v>Lucknow</v>
      </c>
      <c r="J2640" s="23">
        <f>COUNTIFS(pg_transaction_cleaned!$O:$O,A2640,pg_transaction_cleaned!$F:$F,"CAPTURE")</f>
        <v>0</v>
      </c>
      <c r="K2640" s="39">
        <f>SUMIFS(pg_transaction_cleaned!$H:$H,pg_transaction_cleaned!$O:$O,A2640,pg_transaction_cleaned!$F:$F,"CAPTURE")</f>
        <v>0</v>
      </c>
      <c r="L2640" s="23">
        <f>COUNTIFS(pg_transaction_cleaned!$O:$O,A2640,pg_transaction_cleaned!$F:$F,"REFUND")</f>
        <v>0</v>
      </c>
      <c r="M2640" s="39">
        <f>SUMIFS(pg_transaction_cleaned!$H:$H,pg_transaction_cleaned!$O:$O,A2640,pg_transaction_cleaned!$F:$F,"REFUND")</f>
        <v>0</v>
      </c>
      <c r="N2640" s="23" t="str">
        <f t="shared" si="166"/>
        <v>OK</v>
      </c>
      <c r="O2640" s="24">
        <f t="shared" si="167"/>
        <v>0</v>
      </c>
    </row>
    <row r="2641" spans="1:15" ht="15" customHeight="1" x14ac:dyDescent="0.3">
      <c r="A2641" s="23" t="s">
        <v>5774</v>
      </c>
      <c r="B2641" s="38">
        <v>46285</v>
      </c>
      <c r="C2641" s="23" t="s">
        <v>5775</v>
      </c>
      <c r="D2641" s="23" t="s">
        <v>93</v>
      </c>
      <c r="E2641" s="23" t="s">
        <v>81</v>
      </c>
      <c r="F2641" s="23" t="s">
        <v>582</v>
      </c>
      <c r="G2641" s="23" t="s">
        <v>250</v>
      </c>
      <c r="H2641" s="39">
        <f t="shared" si="164"/>
        <v>1298</v>
      </c>
      <c r="I2641" s="23" t="str">
        <f t="shared" si="165"/>
        <v>Kolkata</v>
      </c>
      <c r="J2641" s="23">
        <f>COUNTIFS(pg_transaction_cleaned!$O:$O,A2641,pg_transaction_cleaned!$F:$F,"CAPTURE")</f>
        <v>1</v>
      </c>
      <c r="K2641" s="39">
        <f>SUMIFS(pg_transaction_cleaned!$H:$H,pg_transaction_cleaned!$O:$O,A2641,pg_transaction_cleaned!$F:$F,"CAPTURE")</f>
        <v>1298</v>
      </c>
      <c r="L2641" s="23">
        <f>COUNTIFS(pg_transaction_cleaned!$O:$O,A2641,pg_transaction_cleaned!$F:$F,"REFUND")</f>
        <v>0</v>
      </c>
      <c r="M2641" s="39">
        <f>SUMIFS(pg_transaction_cleaned!$H:$H,pg_transaction_cleaned!$O:$O,A2641,pg_transaction_cleaned!$F:$F,"REFUND")</f>
        <v>0</v>
      </c>
      <c r="N2641" s="23" t="str">
        <f t="shared" si="166"/>
        <v>OK</v>
      </c>
      <c r="O2641" s="24">
        <f t="shared" si="167"/>
        <v>0</v>
      </c>
    </row>
    <row r="2642" spans="1:15" ht="15" customHeight="1" x14ac:dyDescent="0.3">
      <c r="A2642" s="23" t="s">
        <v>5776</v>
      </c>
      <c r="B2642" s="38">
        <v>46284</v>
      </c>
      <c r="C2642" s="23" t="s">
        <v>5777</v>
      </c>
      <c r="D2642" s="23" t="s">
        <v>91</v>
      </c>
      <c r="E2642" s="23" t="s">
        <v>75</v>
      </c>
      <c r="F2642" s="23" t="s">
        <v>2954</v>
      </c>
      <c r="G2642" s="23" t="s">
        <v>250</v>
      </c>
      <c r="H2642" s="39">
        <f t="shared" si="164"/>
        <v>1799</v>
      </c>
      <c r="I2642" s="23" t="str">
        <f t="shared" si="165"/>
        <v>Pune</v>
      </c>
      <c r="J2642" s="23">
        <f>COUNTIFS(pg_transaction_cleaned!$O:$O,A2642,pg_transaction_cleaned!$F:$F,"CAPTURE")</f>
        <v>1</v>
      </c>
      <c r="K2642" s="39">
        <f>SUMIFS(pg_transaction_cleaned!$H:$H,pg_transaction_cleaned!$O:$O,A2642,pg_transaction_cleaned!$F:$F,"CAPTURE")</f>
        <v>1799</v>
      </c>
      <c r="L2642" s="23">
        <f>COUNTIFS(pg_transaction_cleaned!$O:$O,A2642,pg_transaction_cleaned!$F:$F,"REFUND")</f>
        <v>0</v>
      </c>
      <c r="M2642" s="39">
        <f>SUMIFS(pg_transaction_cleaned!$H:$H,pg_transaction_cleaned!$O:$O,A2642,pg_transaction_cleaned!$F:$F,"REFUND")</f>
        <v>0</v>
      </c>
      <c r="N2642" s="23" t="str">
        <f t="shared" si="166"/>
        <v>OK</v>
      </c>
      <c r="O2642" s="24">
        <f t="shared" si="167"/>
        <v>0</v>
      </c>
    </row>
    <row r="2643" spans="1:15" ht="15" customHeight="1" x14ac:dyDescent="0.3">
      <c r="A2643" s="23" t="s">
        <v>5778</v>
      </c>
      <c r="B2643" s="38">
        <v>46291</v>
      </c>
      <c r="C2643" s="23" t="s">
        <v>5779</v>
      </c>
      <c r="D2643" s="23" t="s">
        <v>95</v>
      </c>
      <c r="E2643" s="23" t="s">
        <v>75</v>
      </c>
      <c r="F2643" s="23" t="s">
        <v>757</v>
      </c>
      <c r="G2643" s="23" t="s">
        <v>250</v>
      </c>
      <c r="H2643" s="39">
        <f t="shared" si="164"/>
        <v>3798</v>
      </c>
      <c r="I2643" s="23" t="str">
        <f t="shared" si="165"/>
        <v>Bengaluru</v>
      </c>
      <c r="J2643" s="23">
        <f>COUNTIFS(pg_transaction_cleaned!$O:$O,A2643,pg_transaction_cleaned!$F:$F,"CAPTURE")</f>
        <v>1</v>
      </c>
      <c r="K2643" s="39">
        <f>SUMIFS(pg_transaction_cleaned!$H:$H,pg_transaction_cleaned!$O:$O,A2643,pg_transaction_cleaned!$F:$F,"CAPTURE")</f>
        <v>3798</v>
      </c>
      <c r="L2643" s="23">
        <f>COUNTIFS(pg_transaction_cleaned!$O:$O,A2643,pg_transaction_cleaned!$F:$F,"REFUND")</f>
        <v>0</v>
      </c>
      <c r="M2643" s="39">
        <f>SUMIFS(pg_transaction_cleaned!$H:$H,pg_transaction_cleaned!$O:$O,A2643,pg_transaction_cleaned!$F:$F,"REFUND")</f>
        <v>0</v>
      </c>
      <c r="N2643" s="23" t="str">
        <f t="shared" si="166"/>
        <v>OK</v>
      </c>
      <c r="O2643" s="24">
        <f t="shared" si="167"/>
        <v>0</v>
      </c>
    </row>
    <row r="2644" spans="1:15" ht="15" customHeight="1" x14ac:dyDescent="0.3">
      <c r="A2644" s="23" t="s">
        <v>5780</v>
      </c>
      <c r="B2644" s="38">
        <v>46266</v>
      </c>
      <c r="C2644" s="23" t="s">
        <v>5781</v>
      </c>
      <c r="D2644" s="23" t="s">
        <v>86</v>
      </c>
      <c r="E2644" s="23" t="s">
        <v>79</v>
      </c>
      <c r="F2644" s="23" t="s">
        <v>514</v>
      </c>
      <c r="G2644" s="23" t="s">
        <v>250</v>
      </c>
      <c r="H2644" s="39">
        <f t="shared" si="164"/>
        <v>6498</v>
      </c>
      <c r="I2644" s="23" t="str">
        <f t="shared" si="165"/>
        <v>Delhi</v>
      </c>
      <c r="J2644" s="23">
        <f>COUNTIFS(pg_transaction_cleaned!$O:$O,A2644,pg_transaction_cleaned!$F:$F,"CAPTURE")</f>
        <v>1</v>
      </c>
      <c r="K2644" s="39">
        <f>SUMIFS(pg_transaction_cleaned!$H:$H,pg_transaction_cleaned!$O:$O,A2644,pg_transaction_cleaned!$F:$F,"CAPTURE")</f>
        <v>6498</v>
      </c>
      <c r="L2644" s="23">
        <f>COUNTIFS(pg_transaction_cleaned!$O:$O,A2644,pg_transaction_cleaned!$F:$F,"REFUND")</f>
        <v>0</v>
      </c>
      <c r="M2644" s="39">
        <f>SUMIFS(pg_transaction_cleaned!$H:$H,pg_transaction_cleaned!$O:$O,A2644,pg_transaction_cleaned!$F:$F,"REFUND")</f>
        <v>0</v>
      </c>
      <c r="N2644" s="23" t="str">
        <f t="shared" si="166"/>
        <v>OK</v>
      </c>
      <c r="O2644" s="24">
        <f t="shared" si="167"/>
        <v>0</v>
      </c>
    </row>
    <row r="2645" spans="1:15" ht="15" customHeight="1" x14ac:dyDescent="0.3">
      <c r="A2645" s="23" t="s">
        <v>5782</v>
      </c>
      <c r="B2645" s="38">
        <v>46290</v>
      </c>
      <c r="C2645" s="23" t="s">
        <v>5783</v>
      </c>
      <c r="D2645" s="23" t="s">
        <v>92</v>
      </c>
      <c r="E2645" s="23" t="s">
        <v>79</v>
      </c>
      <c r="F2645" s="23" t="s">
        <v>297</v>
      </c>
      <c r="G2645" s="23" t="s">
        <v>250</v>
      </c>
      <c r="H2645" s="39">
        <f t="shared" si="164"/>
        <v>4999</v>
      </c>
      <c r="I2645" s="23" t="str">
        <f t="shared" si="165"/>
        <v>Hyderabad</v>
      </c>
      <c r="J2645" s="23">
        <f>COUNTIFS(pg_transaction_cleaned!$O:$O,A2645,pg_transaction_cleaned!$F:$F,"CAPTURE")</f>
        <v>1</v>
      </c>
      <c r="K2645" s="39">
        <f>SUMIFS(pg_transaction_cleaned!$H:$H,pg_transaction_cleaned!$O:$O,A2645,pg_transaction_cleaned!$F:$F,"CAPTURE")</f>
        <v>4999</v>
      </c>
      <c r="L2645" s="23">
        <f>COUNTIFS(pg_transaction_cleaned!$O:$O,A2645,pg_transaction_cleaned!$F:$F,"REFUND")</f>
        <v>0</v>
      </c>
      <c r="M2645" s="39">
        <f>SUMIFS(pg_transaction_cleaned!$H:$H,pg_transaction_cleaned!$O:$O,A2645,pg_transaction_cleaned!$F:$F,"REFUND")</f>
        <v>0</v>
      </c>
      <c r="N2645" s="23" t="str">
        <f t="shared" si="166"/>
        <v>OK</v>
      </c>
      <c r="O2645" s="24">
        <f t="shared" si="167"/>
        <v>0</v>
      </c>
    </row>
    <row r="2646" spans="1:15" ht="15" customHeight="1" x14ac:dyDescent="0.3">
      <c r="A2646" s="23" t="s">
        <v>5784</v>
      </c>
      <c r="B2646" s="38">
        <v>46292</v>
      </c>
      <c r="C2646" s="23" t="s">
        <v>5785</v>
      </c>
      <c r="D2646" s="23" t="s">
        <v>88</v>
      </c>
      <c r="E2646" s="23" t="s">
        <v>75</v>
      </c>
      <c r="F2646" s="23" t="s">
        <v>297</v>
      </c>
      <c r="G2646" s="23" t="s">
        <v>250</v>
      </c>
      <c r="H2646" s="39">
        <f t="shared" si="164"/>
        <v>4999</v>
      </c>
      <c r="I2646" s="23" t="str">
        <f t="shared" si="165"/>
        <v>Lucknow</v>
      </c>
      <c r="J2646" s="23">
        <f>COUNTIFS(pg_transaction_cleaned!$O:$O,A2646,pg_transaction_cleaned!$F:$F,"CAPTURE")</f>
        <v>1</v>
      </c>
      <c r="K2646" s="39">
        <f>SUMIFS(pg_transaction_cleaned!$H:$H,pg_transaction_cleaned!$O:$O,A2646,pg_transaction_cleaned!$F:$F,"CAPTURE")</f>
        <v>4999</v>
      </c>
      <c r="L2646" s="23">
        <f>COUNTIFS(pg_transaction_cleaned!$O:$O,A2646,pg_transaction_cleaned!$F:$F,"REFUND")</f>
        <v>0</v>
      </c>
      <c r="M2646" s="39">
        <f>SUMIFS(pg_transaction_cleaned!$H:$H,pg_transaction_cleaned!$O:$O,A2646,pg_transaction_cleaned!$F:$F,"REFUND")</f>
        <v>0</v>
      </c>
      <c r="N2646" s="23" t="str">
        <f t="shared" si="166"/>
        <v>OK</v>
      </c>
      <c r="O2646" s="24">
        <f t="shared" si="167"/>
        <v>0</v>
      </c>
    </row>
    <row r="2647" spans="1:15" ht="15" customHeight="1" x14ac:dyDescent="0.3">
      <c r="A2647" s="23" t="s">
        <v>5786</v>
      </c>
      <c r="B2647" s="38">
        <v>46291</v>
      </c>
      <c r="C2647" s="23" t="s">
        <v>5787</v>
      </c>
      <c r="D2647" s="23" t="s">
        <v>87</v>
      </c>
      <c r="E2647" s="23" t="s">
        <v>79</v>
      </c>
      <c r="F2647" s="23" t="s">
        <v>310</v>
      </c>
      <c r="G2647" s="23" t="s">
        <v>250</v>
      </c>
      <c r="H2647" s="39">
        <f t="shared" si="164"/>
        <v>7999</v>
      </c>
      <c r="I2647" s="23" t="str">
        <f t="shared" si="165"/>
        <v>Mumbai</v>
      </c>
      <c r="J2647" s="23">
        <f>COUNTIFS(pg_transaction_cleaned!$O:$O,A2647,pg_transaction_cleaned!$F:$F,"CAPTURE")</f>
        <v>1</v>
      </c>
      <c r="K2647" s="39">
        <f>SUMIFS(pg_transaction_cleaned!$H:$H,pg_transaction_cleaned!$O:$O,A2647,pg_transaction_cleaned!$F:$F,"CAPTURE")</f>
        <v>7999</v>
      </c>
      <c r="L2647" s="23">
        <f>COUNTIFS(pg_transaction_cleaned!$O:$O,A2647,pg_transaction_cleaned!$F:$F,"REFUND")</f>
        <v>0</v>
      </c>
      <c r="M2647" s="39">
        <f>SUMIFS(pg_transaction_cleaned!$H:$H,pg_transaction_cleaned!$O:$O,A2647,pg_transaction_cleaned!$F:$F,"REFUND")</f>
        <v>0</v>
      </c>
      <c r="N2647" s="23" t="str">
        <f t="shared" si="166"/>
        <v>OK</v>
      </c>
      <c r="O2647" s="24">
        <f t="shared" si="167"/>
        <v>0</v>
      </c>
    </row>
    <row r="2648" spans="1:15" ht="15" customHeight="1" x14ac:dyDescent="0.3">
      <c r="A2648" s="23" t="s">
        <v>5788</v>
      </c>
      <c r="B2648" s="38">
        <v>46292</v>
      </c>
      <c r="C2648" s="23" t="s">
        <v>5789</v>
      </c>
      <c r="D2648" s="23" t="s">
        <v>89</v>
      </c>
      <c r="E2648" s="23" t="s">
        <v>75</v>
      </c>
      <c r="F2648" s="23" t="s">
        <v>315</v>
      </c>
      <c r="G2648" s="23" t="s">
        <v>250</v>
      </c>
      <c r="H2648" s="39">
        <f t="shared" si="164"/>
        <v>1499</v>
      </c>
      <c r="I2648" s="23" t="str">
        <f t="shared" si="165"/>
        <v>Jaipur</v>
      </c>
      <c r="J2648" s="23">
        <f>COUNTIFS(pg_transaction_cleaned!$O:$O,A2648,pg_transaction_cleaned!$F:$F,"CAPTURE")</f>
        <v>1</v>
      </c>
      <c r="K2648" s="39">
        <f>SUMIFS(pg_transaction_cleaned!$H:$H,pg_transaction_cleaned!$O:$O,A2648,pg_transaction_cleaned!$F:$F,"CAPTURE")</f>
        <v>1499</v>
      </c>
      <c r="L2648" s="23">
        <f>COUNTIFS(pg_transaction_cleaned!$O:$O,A2648,pg_transaction_cleaned!$F:$F,"REFUND")</f>
        <v>0</v>
      </c>
      <c r="M2648" s="39">
        <f>SUMIFS(pg_transaction_cleaned!$H:$H,pg_transaction_cleaned!$O:$O,A2648,pg_transaction_cleaned!$F:$F,"REFUND")</f>
        <v>0</v>
      </c>
      <c r="N2648" s="23" t="str">
        <f t="shared" si="166"/>
        <v>OK</v>
      </c>
      <c r="O2648" s="24">
        <f t="shared" si="167"/>
        <v>0</v>
      </c>
    </row>
    <row r="2649" spans="1:15" ht="15" customHeight="1" x14ac:dyDescent="0.3">
      <c r="A2649" s="23" t="s">
        <v>5790</v>
      </c>
      <c r="B2649" s="38">
        <v>46279</v>
      </c>
      <c r="C2649" s="23" t="s">
        <v>5791</v>
      </c>
      <c r="D2649" s="23" t="s">
        <v>89</v>
      </c>
      <c r="E2649" s="23" t="s">
        <v>75</v>
      </c>
      <c r="F2649" s="23" t="s">
        <v>300</v>
      </c>
      <c r="G2649" s="23" t="s">
        <v>250</v>
      </c>
      <c r="H2649" s="39">
        <f t="shared" si="164"/>
        <v>2598</v>
      </c>
      <c r="I2649" s="23" t="str">
        <f t="shared" si="165"/>
        <v>Jaipur</v>
      </c>
      <c r="J2649" s="23">
        <f>COUNTIFS(pg_transaction_cleaned!$O:$O,A2649,pg_transaction_cleaned!$F:$F,"CAPTURE")</f>
        <v>1</v>
      </c>
      <c r="K2649" s="39">
        <f>SUMIFS(pg_transaction_cleaned!$H:$H,pg_transaction_cleaned!$O:$O,A2649,pg_transaction_cleaned!$F:$F,"CAPTURE")</f>
        <v>2598</v>
      </c>
      <c r="L2649" s="23">
        <f>COUNTIFS(pg_transaction_cleaned!$O:$O,A2649,pg_transaction_cleaned!$F:$F,"REFUND")</f>
        <v>0</v>
      </c>
      <c r="M2649" s="39">
        <f>SUMIFS(pg_transaction_cleaned!$H:$H,pg_transaction_cleaned!$O:$O,A2649,pg_transaction_cleaned!$F:$F,"REFUND")</f>
        <v>0</v>
      </c>
      <c r="N2649" s="23" t="str">
        <f t="shared" si="166"/>
        <v>OK</v>
      </c>
      <c r="O2649" s="24">
        <f t="shared" si="167"/>
        <v>0</v>
      </c>
    </row>
    <row r="2650" spans="1:15" ht="15" customHeight="1" x14ac:dyDescent="0.3">
      <c r="A2650" s="23" t="s">
        <v>5792</v>
      </c>
      <c r="B2650" s="38">
        <v>46272</v>
      </c>
      <c r="C2650" s="23" t="s">
        <v>5793</v>
      </c>
      <c r="D2650" s="23" t="s">
        <v>87</v>
      </c>
      <c r="E2650" s="23" t="s">
        <v>81</v>
      </c>
      <c r="F2650" s="23" t="s">
        <v>274</v>
      </c>
      <c r="G2650" s="23" t="s">
        <v>250</v>
      </c>
      <c r="H2650" s="39">
        <f t="shared" si="164"/>
        <v>349</v>
      </c>
      <c r="I2650" s="23" t="str">
        <f t="shared" si="165"/>
        <v>Mumbai</v>
      </c>
      <c r="J2650" s="23">
        <f>COUNTIFS(pg_transaction_cleaned!$O:$O,A2650,pg_transaction_cleaned!$F:$F,"CAPTURE")</f>
        <v>1</v>
      </c>
      <c r="K2650" s="39">
        <f>SUMIFS(pg_transaction_cleaned!$H:$H,pg_transaction_cleaned!$O:$O,A2650,pg_transaction_cleaned!$F:$F,"CAPTURE")</f>
        <v>349</v>
      </c>
      <c r="L2650" s="23">
        <f>COUNTIFS(pg_transaction_cleaned!$O:$O,A2650,pg_transaction_cleaned!$F:$F,"REFUND")</f>
        <v>0</v>
      </c>
      <c r="M2650" s="39">
        <f>SUMIFS(pg_transaction_cleaned!$H:$H,pg_transaction_cleaned!$O:$O,A2650,pg_transaction_cleaned!$F:$F,"REFUND")</f>
        <v>0</v>
      </c>
      <c r="N2650" s="23" t="str">
        <f t="shared" si="166"/>
        <v>OK</v>
      </c>
      <c r="O2650" s="24">
        <f t="shared" si="167"/>
        <v>0</v>
      </c>
    </row>
    <row r="2651" spans="1:15" ht="15" customHeight="1" x14ac:dyDescent="0.3">
      <c r="A2651" s="23" t="s">
        <v>5794</v>
      </c>
      <c r="B2651" s="38">
        <v>46267</v>
      </c>
      <c r="C2651" s="23" t="s">
        <v>5795</v>
      </c>
      <c r="D2651" s="23" t="s">
        <v>91</v>
      </c>
      <c r="E2651" s="23" t="s">
        <v>79</v>
      </c>
      <c r="F2651" s="23" t="s">
        <v>268</v>
      </c>
      <c r="G2651" s="23" t="s">
        <v>250</v>
      </c>
      <c r="H2651" s="39">
        <f t="shared" si="164"/>
        <v>1299</v>
      </c>
      <c r="I2651" s="23" t="str">
        <f t="shared" si="165"/>
        <v>Pune</v>
      </c>
      <c r="J2651" s="23">
        <f>COUNTIFS(pg_transaction_cleaned!$O:$O,A2651,pg_transaction_cleaned!$F:$F,"CAPTURE")</f>
        <v>1</v>
      </c>
      <c r="K2651" s="39">
        <f>SUMIFS(pg_transaction_cleaned!$H:$H,pg_transaction_cleaned!$O:$O,A2651,pg_transaction_cleaned!$F:$F,"CAPTURE")</f>
        <v>1299</v>
      </c>
      <c r="L2651" s="23">
        <f>COUNTIFS(pg_transaction_cleaned!$O:$O,A2651,pg_transaction_cleaned!$F:$F,"REFUND")</f>
        <v>0</v>
      </c>
      <c r="M2651" s="39">
        <f>SUMIFS(pg_transaction_cleaned!$H:$H,pg_transaction_cleaned!$O:$O,A2651,pg_transaction_cleaned!$F:$F,"REFUND")</f>
        <v>0</v>
      </c>
      <c r="N2651" s="23" t="str">
        <f t="shared" si="166"/>
        <v>OK</v>
      </c>
      <c r="O2651" s="24">
        <f t="shared" si="167"/>
        <v>0</v>
      </c>
    </row>
    <row r="2652" spans="1:15" ht="15" customHeight="1" x14ac:dyDescent="0.3">
      <c r="A2652" s="23" t="s">
        <v>5796</v>
      </c>
      <c r="B2652" s="38">
        <v>46275</v>
      </c>
      <c r="C2652" s="23" t="s">
        <v>5797</v>
      </c>
      <c r="D2652" s="23" t="s">
        <v>86</v>
      </c>
      <c r="E2652" s="23" t="s">
        <v>75</v>
      </c>
      <c r="F2652" s="23" t="s">
        <v>5798</v>
      </c>
      <c r="G2652" s="23" t="s">
        <v>250</v>
      </c>
      <c r="H2652" s="39">
        <f t="shared" si="164"/>
        <v>10847</v>
      </c>
      <c r="I2652" s="23" t="str">
        <f t="shared" si="165"/>
        <v>Delhi</v>
      </c>
      <c r="J2652" s="23">
        <f>COUNTIFS(pg_transaction_cleaned!$O:$O,A2652,pg_transaction_cleaned!$F:$F,"CAPTURE")</f>
        <v>1</v>
      </c>
      <c r="K2652" s="39">
        <f>SUMIFS(pg_transaction_cleaned!$H:$H,pg_transaction_cleaned!$O:$O,A2652,pg_transaction_cleaned!$F:$F,"CAPTURE")</f>
        <v>10847</v>
      </c>
      <c r="L2652" s="23">
        <f>COUNTIFS(pg_transaction_cleaned!$O:$O,A2652,pg_transaction_cleaned!$F:$F,"REFUND")</f>
        <v>0</v>
      </c>
      <c r="M2652" s="39">
        <f>SUMIFS(pg_transaction_cleaned!$H:$H,pg_transaction_cleaned!$O:$O,A2652,pg_transaction_cleaned!$F:$F,"REFUND")</f>
        <v>0</v>
      </c>
      <c r="N2652" s="23" t="str">
        <f t="shared" si="166"/>
        <v>OK</v>
      </c>
      <c r="O2652" s="24">
        <f t="shared" si="167"/>
        <v>0</v>
      </c>
    </row>
    <row r="2653" spans="1:15" ht="15" customHeight="1" x14ac:dyDescent="0.3">
      <c r="A2653" s="23" t="s">
        <v>5799</v>
      </c>
      <c r="B2653" s="38">
        <v>46293</v>
      </c>
      <c r="C2653" s="23" t="s">
        <v>5800</v>
      </c>
      <c r="D2653" s="23" t="s">
        <v>86</v>
      </c>
      <c r="E2653" s="23" t="s">
        <v>75</v>
      </c>
      <c r="F2653" s="23" t="s">
        <v>5801</v>
      </c>
      <c r="G2653" s="23" t="s">
        <v>250</v>
      </c>
      <c r="H2653" s="39">
        <f t="shared" si="164"/>
        <v>10397</v>
      </c>
      <c r="I2653" s="23" t="str">
        <f t="shared" si="165"/>
        <v>Delhi</v>
      </c>
      <c r="J2653" s="23">
        <f>COUNTIFS(pg_transaction_cleaned!$O:$O,A2653,pg_transaction_cleaned!$F:$F,"CAPTURE")</f>
        <v>1</v>
      </c>
      <c r="K2653" s="39">
        <f>SUMIFS(pg_transaction_cleaned!$H:$H,pg_transaction_cleaned!$O:$O,A2653,pg_transaction_cleaned!$F:$F,"CAPTURE")</f>
        <v>10397</v>
      </c>
      <c r="L2653" s="23">
        <f>COUNTIFS(pg_transaction_cleaned!$O:$O,A2653,pg_transaction_cleaned!$F:$F,"REFUND")</f>
        <v>0</v>
      </c>
      <c r="M2653" s="39">
        <f>SUMIFS(pg_transaction_cleaned!$H:$H,pg_transaction_cleaned!$O:$O,A2653,pg_transaction_cleaned!$F:$F,"REFUND")</f>
        <v>0</v>
      </c>
      <c r="N2653" s="23" t="str">
        <f t="shared" si="166"/>
        <v>OK</v>
      </c>
      <c r="O2653" s="24">
        <f t="shared" si="167"/>
        <v>0</v>
      </c>
    </row>
    <row r="2654" spans="1:15" ht="15" customHeight="1" x14ac:dyDescent="0.3">
      <c r="A2654" s="23" t="s">
        <v>5802</v>
      </c>
      <c r="B2654" s="38">
        <v>46267</v>
      </c>
      <c r="C2654" s="23" t="s">
        <v>5803</v>
      </c>
      <c r="D2654" s="23" t="s">
        <v>90</v>
      </c>
      <c r="E2654" s="23" t="s">
        <v>75</v>
      </c>
      <c r="F2654" s="23" t="s">
        <v>1978</v>
      </c>
      <c r="G2654" s="23" t="s">
        <v>250</v>
      </c>
      <c r="H2654" s="39">
        <f t="shared" si="164"/>
        <v>4597</v>
      </c>
      <c r="I2654" s="23" t="str">
        <f t="shared" si="165"/>
        <v>Ahmedabad</v>
      </c>
      <c r="J2654" s="23">
        <f>COUNTIFS(pg_transaction_cleaned!$O:$O,A2654,pg_transaction_cleaned!$F:$F,"CAPTURE")</f>
        <v>1</v>
      </c>
      <c r="K2654" s="39">
        <f>SUMIFS(pg_transaction_cleaned!$H:$H,pg_transaction_cleaned!$O:$O,A2654,pg_transaction_cleaned!$F:$F,"CAPTURE")</f>
        <v>4597</v>
      </c>
      <c r="L2654" s="23">
        <f>COUNTIFS(pg_transaction_cleaned!$O:$O,A2654,pg_transaction_cleaned!$F:$F,"REFUND")</f>
        <v>0</v>
      </c>
      <c r="M2654" s="39">
        <f>SUMIFS(pg_transaction_cleaned!$H:$H,pg_transaction_cleaned!$O:$O,A2654,pg_transaction_cleaned!$F:$F,"REFUND")</f>
        <v>0</v>
      </c>
      <c r="N2654" s="23" t="str">
        <f t="shared" si="166"/>
        <v>OK</v>
      </c>
      <c r="O2654" s="24">
        <f t="shared" si="167"/>
        <v>0</v>
      </c>
    </row>
    <row r="2655" spans="1:15" ht="15" customHeight="1" x14ac:dyDescent="0.3">
      <c r="A2655" s="23" t="s">
        <v>5804</v>
      </c>
      <c r="B2655" s="38">
        <v>46280</v>
      </c>
      <c r="C2655" s="23" t="s">
        <v>5805</v>
      </c>
      <c r="D2655" s="23" t="s">
        <v>86</v>
      </c>
      <c r="E2655" s="23" t="s">
        <v>79</v>
      </c>
      <c r="F2655" s="23" t="s">
        <v>256</v>
      </c>
      <c r="G2655" s="23" t="s">
        <v>250</v>
      </c>
      <c r="H2655" s="39">
        <f t="shared" si="164"/>
        <v>2098</v>
      </c>
      <c r="I2655" s="23" t="str">
        <f t="shared" si="165"/>
        <v>Delhi</v>
      </c>
      <c r="J2655" s="23">
        <f>COUNTIFS(pg_transaction_cleaned!$O:$O,A2655,pg_transaction_cleaned!$F:$F,"CAPTURE")</f>
        <v>1</v>
      </c>
      <c r="K2655" s="39">
        <f>SUMIFS(pg_transaction_cleaned!$H:$H,pg_transaction_cleaned!$O:$O,A2655,pg_transaction_cleaned!$F:$F,"CAPTURE")</f>
        <v>2098</v>
      </c>
      <c r="L2655" s="23">
        <f>COUNTIFS(pg_transaction_cleaned!$O:$O,A2655,pg_transaction_cleaned!$F:$F,"REFUND")</f>
        <v>0</v>
      </c>
      <c r="M2655" s="39">
        <f>SUMIFS(pg_transaction_cleaned!$H:$H,pg_transaction_cleaned!$O:$O,A2655,pg_transaction_cleaned!$F:$F,"REFUND")</f>
        <v>0</v>
      </c>
      <c r="N2655" s="23" t="str">
        <f t="shared" si="166"/>
        <v>OK</v>
      </c>
      <c r="O2655" s="24">
        <f t="shared" si="167"/>
        <v>0</v>
      </c>
    </row>
    <row r="2656" spans="1:15" ht="15" customHeight="1" x14ac:dyDescent="0.3">
      <c r="A2656" s="23" t="s">
        <v>5806</v>
      </c>
      <c r="B2656" s="38">
        <v>46289</v>
      </c>
      <c r="C2656" s="23" t="s">
        <v>5807</v>
      </c>
      <c r="D2656" s="23" t="s">
        <v>94</v>
      </c>
      <c r="E2656" s="23" t="s">
        <v>75</v>
      </c>
      <c r="F2656" s="23" t="s">
        <v>1735</v>
      </c>
      <c r="G2656" s="23" t="s">
        <v>250</v>
      </c>
      <c r="H2656" s="39">
        <f t="shared" si="164"/>
        <v>12998</v>
      </c>
      <c r="I2656" s="23" t="str">
        <f t="shared" si="165"/>
        <v>Chennai</v>
      </c>
      <c r="J2656" s="23">
        <f>COUNTIFS(pg_transaction_cleaned!$O:$O,A2656,pg_transaction_cleaned!$F:$F,"CAPTURE")</f>
        <v>1</v>
      </c>
      <c r="K2656" s="39">
        <f>SUMIFS(pg_transaction_cleaned!$H:$H,pg_transaction_cleaned!$O:$O,A2656,pg_transaction_cleaned!$F:$F,"CAPTURE")</f>
        <v>12998</v>
      </c>
      <c r="L2656" s="23">
        <f>COUNTIFS(pg_transaction_cleaned!$O:$O,A2656,pg_transaction_cleaned!$F:$F,"REFUND")</f>
        <v>0</v>
      </c>
      <c r="M2656" s="39">
        <f>SUMIFS(pg_transaction_cleaned!$H:$H,pg_transaction_cleaned!$O:$O,A2656,pg_transaction_cleaned!$F:$F,"REFUND")</f>
        <v>0</v>
      </c>
      <c r="N2656" s="23" t="str">
        <f t="shared" si="166"/>
        <v>OK</v>
      </c>
      <c r="O2656" s="24">
        <f t="shared" si="167"/>
        <v>0</v>
      </c>
    </row>
    <row r="2657" spans="1:15" ht="15" customHeight="1" x14ac:dyDescent="0.3">
      <c r="A2657" s="23" t="s">
        <v>5808</v>
      </c>
      <c r="B2657" s="38">
        <v>46266</v>
      </c>
      <c r="C2657" s="23" t="s">
        <v>5809</v>
      </c>
      <c r="D2657" s="23" t="s">
        <v>90</v>
      </c>
      <c r="E2657" s="23" t="s">
        <v>75</v>
      </c>
      <c r="F2657" s="23" t="s">
        <v>2612</v>
      </c>
      <c r="G2657" s="23" t="s">
        <v>250</v>
      </c>
      <c r="H2657" s="39">
        <f t="shared" si="164"/>
        <v>5348</v>
      </c>
      <c r="I2657" s="23" t="str">
        <f t="shared" si="165"/>
        <v>Ahmedabad</v>
      </c>
      <c r="J2657" s="23">
        <f>COUNTIFS(pg_transaction_cleaned!$O:$O,A2657,pg_transaction_cleaned!$F:$F,"CAPTURE")</f>
        <v>1</v>
      </c>
      <c r="K2657" s="39">
        <f>SUMIFS(pg_transaction_cleaned!$H:$H,pg_transaction_cleaned!$O:$O,A2657,pg_transaction_cleaned!$F:$F,"CAPTURE")</f>
        <v>5348</v>
      </c>
      <c r="L2657" s="23">
        <f>COUNTIFS(pg_transaction_cleaned!$O:$O,A2657,pg_transaction_cleaned!$F:$F,"REFUND")</f>
        <v>0</v>
      </c>
      <c r="M2657" s="39">
        <f>SUMIFS(pg_transaction_cleaned!$H:$H,pg_transaction_cleaned!$O:$O,A2657,pg_transaction_cleaned!$F:$F,"REFUND")</f>
        <v>0</v>
      </c>
      <c r="N2657" s="23" t="str">
        <f t="shared" si="166"/>
        <v>OK</v>
      </c>
      <c r="O2657" s="24">
        <f t="shared" si="167"/>
        <v>0</v>
      </c>
    </row>
    <row r="2658" spans="1:15" ht="15" customHeight="1" x14ac:dyDescent="0.3">
      <c r="A2658" s="23" t="s">
        <v>5810</v>
      </c>
      <c r="B2658" s="38">
        <v>46295</v>
      </c>
      <c r="C2658" s="23" t="s">
        <v>5811</v>
      </c>
      <c r="D2658" s="23" t="s">
        <v>92</v>
      </c>
      <c r="E2658" s="23" t="s">
        <v>77</v>
      </c>
      <c r="F2658" s="23" t="s">
        <v>1372</v>
      </c>
      <c r="G2658" s="23" t="s">
        <v>250</v>
      </c>
      <c r="H2658" s="39">
        <f t="shared" si="164"/>
        <v>798</v>
      </c>
      <c r="I2658" s="23" t="str">
        <f t="shared" si="165"/>
        <v>Hyderabad</v>
      </c>
      <c r="J2658" s="23">
        <f>COUNTIFS(pg_transaction_cleaned!$O:$O,A2658,pg_transaction_cleaned!$F:$F,"CAPTURE")</f>
        <v>1</v>
      </c>
      <c r="K2658" s="39">
        <f>SUMIFS(pg_transaction_cleaned!$H:$H,pg_transaction_cleaned!$O:$O,A2658,pg_transaction_cleaned!$F:$F,"CAPTURE")</f>
        <v>798</v>
      </c>
      <c r="L2658" s="23">
        <f>COUNTIFS(pg_transaction_cleaned!$O:$O,A2658,pg_transaction_cleaned!$F:$F,"REFUND")</f>
        <v>0</v>
      </c>
      <c r="M2658" s="39">
        <f>SUMIFS(pg_transaction_cleaned!$H:$H,pg_transaction_cleaned!$O:$O,A2658,pg_transaction_cleaned!$F:$F,"REFUND")</f>
        <v>0</v>
      </c>
      <c r="N2658" s="23" t="str">
        <f t="shared" si="166"/>
        <v>OK</v>
      </c>
      <c r="O2658" s="24">
        <f t="shared" si="167"/>
        <v>0</v>
      </c>
    </row>
    <row r="2659" spans="1:15" ht="15" customHeight="1" x14ac:dyDescent="0.3">
      <c r="A2659" s="23" t="s">
        <v>5812</v>
      </c>
      <c r="B2659" s="38">
        <v>46266</v>
      </c>
      <c r="C2659" s="23" t="s">
        <v>5813</v>
      </c>
      <c r="D2659" s="23" t="s">
        <v>95</v>
      </c>
      <c r="E2659" s="23" t="s">
        <v>75</v>
      </c>
      <c r="F2659" s="23" t="s">
        <v>772</v>
      </c>
      <c r="G2659" s="23" t="s">
        <v>250</v>
      </c>
      <c r="H2659" s="39">
        <f t="shared" si="164"/>
        <v>4798</v>
      </c>
      <c r="I2659" s="23" t="str">
        <f t="shared" si="165"/>
        <v>Bengaluru</v>
      </c>
      <c r="J2659" s="23">
        <f>COUNTIFS(pg_transaction_cleaned!$O:$O,A2659,pg_transaction_cleaned!$F:$F,"CAPTURE")</f>
        <v>1</v>
      </c>
      <c r="K2659" s="39">
        <f>SUMIFS(pg_transaction_cleaned!$H:$H,pg_transaction_cleaned!$O:$O,A2659,pg_transaction_cleaned!$F:$F,"CAPTURE")</f>
        <v>4798</v>
      </c>
      <c r="L2659" s="23">
        <f>COUNTIFS(pg_transaction_cleaned!$O:$O,A2659,pg_transaction_cleaned!$F:$F,"REFUND")</f>
        <v>0</v>
      </c>
      <c r="M2659" s="39">
        <f>SUMIFS(pg_transaction_cleaned!$H:$H,pg_transaction_cleaned!$O:$O,A2659,pg_transaction_cleaned!$F:$F,"REFUND")</f>
        <v>0</v>
      </c>
      <c r="N2659" s="23" t="str">
        <f t="shared" si="166"/>
        <v>OK</v>
      </c>
      <c r="O2659" s="24">
        <f t="shared" si="167"/>
        <v>0</v>
      </c>
    </row>
    <row r="2660" spans="1:15" ht="15" customHeight="1" x14ac:dyDescent="0.3">
      <c r="A2660" s="23" t="s">
        <v>5814</v>
      </c>
      <c r="B2660" s="38">
        <v>46272</v>
      </c>
      <c r="C2660" s="23" t="s">
        <v>5815</v>
      </c>
      <c r="D2660" s="23" t="s">
        <v>94</v>
      </c>
      <c r="E2660" s="23" t="s">
        <v>77</v>
      </c>
      <c r="F2660" s="23" t="s">
        <v>3564</v>
      </c>
      <c r="G2660" s="23" t="s">
        <v>318</v>
      </c>
      <c r="H2660" s="39">
        <f t="shared" si="164"/>
        <v>948</v>
      </c>
      <c r="I2660" s="23" t="str">
        <f t="shared" si="165"/>
        <v>Chennai</v>
      </c>
      <c r="J2660" s="23">
        <f>COUNTIFS(pg_transaction_cleaned!$O:$O,A2660,pg_transaction_cleaned!$F:$F,"CAPTURE")</f>
        <v>0</v>
      </c>
      <c r="K2660" s="39">
        <f>SUMIFS(pg_transaction_cleaned!$H:$H,pg_transaction_cleaned!$O:$O,A2660,pg_transaction_cleaned!$F:$F,"CAPTURE")</f>
        <v>0</v>
      </c>
      <c r="L2660" s="23">
        <f>COUNTIFS(pg_transaction_cleaned!$O:$O,A2660,pg_transaction_cleaned!$F:$F,"REFUND")</f>
        <v>0</v>
      </c>
      <c r="M2660" s="39">
        <f>SUMIFS(pg_transaction_cleaned!$H:$H,pg_transaction_cleaned!$O:$O,A2660,pg_transaction_cleaned!$F:$F,"REFUND")</f>
        <v>0</v>
      </c>
      <c r="N2660" s="23" t="str">
        <f t="shared" si="166"/>
        <v>OK</v>
      </c>
      <c r="O2660" s="24">
        <f t="shared" si="167"/>
        <v>0</v>
      </c>
    </row>
    <row r="2661" spans="1:15" ht="15" customHeight="1" x14ac:dyDescent="0.3">
      <c r="A2661" s="23" t="s">
        <v>5816</v>
      </c>
      <c r="B2661" s="38">
        <v>46288</v>
      </c>
      <c r="C2661" s="23" t="s">
        <v>5817</v>
      </c>
      <c r="D2661" s="23" t="s">
        <v>90</v>
      </c>
      <c r="E2661" s="23" t="s">
        <v>77</v>
      </c>
      <c r="F2661" s="23" t="s">
        <v>329</v>
      </c>
      <c r="G2661" s="23" t="s">
        <v>250</v>
      </c>
      <c r="H2661" s="39">
        <f t="shared" si="164"/>
        <v>599</v>
      </c>
      <c r="I2661" s="23" t="str">
        <f t="shared" si="165"/>
        <v>Ahmedabad</v>
      </c>
      <c r="J2661" s="23">
        <f>COUNTIFS(pg_transaction_cleaned!$O:$O,A2661,pg_transaction_cleaned!$F:$F,"CAPTURE")</f>
        <v>1</v>
      </c>
      <c r="K2661" s="39">
        <f>SUMIFS(pg_transaction_cleaned!$H:$H,pg_transaction_cleaned!$O:$O,A2661,pg_transaction_cleaned!$F:$F,"CAPTURE")</f>
        <v>599</v>
      </c>
      <c r="L2661" s="23">
        <f>COUNTIFS(pg_transaction_cleaned!$O:$O,A2661,pg_transaction_cleaned!$F:$F,"REFUND")</f>
        <v>0</v>
      </c>
      <c r="M2661" s="39">
        <f>SUMIFS(pg_transaction_cleaned!$H:$H,pg_transaction_cleaned!$O:$O,A2661,pg_transaction_cleaned!$F:$F,"REFUND")</f>
        <v>0</v>
      </c>
      <c r="N2661" s="23" t="str">
        <f t="shared" si="166"/>
        <v>OK</v>
      </c>
      <c r="O2661" s="24">
        <f t="shared" si="167"/>
        <v>0</v>
      </c>
    </row>
    <row r="2662" spans="1:15" ht="15" customHeight="1" x14ac:dyDescent="0.3">
      <c r="A2662" s="23" t="s">
        <v>5818</v>
      </c>
      <c r="B2662" s="38">
        <v>46283</v>
      </c>
      <c r="C2662" s="23" t="s">
        <v>5819</v>
      </c>
      <c r="D2662" s="23" t="s">
        <v>91</v>
      </c>
      <c r="E2662" s="23" t="s">
        <v>81</v>
      </c>
      <c r="F2662" s="23" t="s">
        <v>315</v>
      </c>
      <c r="G2662" s="23" t="s">
        <v>250</v>
      </c>
      <c r="H2662" s="39">
        <f t="shared" si="164"/>
        <v>1499</v>
      </c>
      <c r="I2662" s="23" t="str">
        <f t="shared" si="165"/>
        <v>Pune</v>
      </c>
      <c r="J2662" s="23">
        <f>COUNTIFS(pg_transaction_cleaned!$O:$O,A2662,pg_transaction_cleaned!$F:$F,"CAPTURE")</f>
        <v>1</v>
      </c>
      <c r="K2662" s="39">
        <f>SUMIFS(pg_transaction_cleaned!$H:$H,pg_transaction_cleaned!$O:$O,A2662,pg_transaction_cleaned!$F:$F,"CAPTURE")</f>
        <v>1499</v>
      </c>
      <c r="L2662" s="23">
        <f>COUNTIFS(pg_transaction_cleaned!$O:$O,A2662,pg_transaction_cleaned!$F:$F,"REFUND")</f>
        <v>0</v>
      </c>
      <c r="M2662" s="39">
        <f>SUMIFS(pg_transaction_cleaned!$H:$H,pg_transaction_cleaned!$O:$O,A2662,pg_transaction_cleaned!$F:$F,"REFUND")</f>
        <v>0</v>
      </c>
      <c r="N2662" s="23" t="str">
        <f t="shared" si="166"/>
        <v>OK</v>
      </c>
      <c r="O2662" s="24">
        <f t="shared" si="167"/>
        <v>0</v>
      </c>
    </row>
    <row r="2663" spans="1:15" ht="15" customHeight="1" x14ac:dyDescent="0.3">
      <c r="A2663" s="23" t="s">
        <v>5820</v>
      </c>
      <c r="B2663" s="38">
        <v>46268</v>
      </c>
      <c r="C2663" s="23" t="s">
        <v>5821</v>
      </c>
      <c r="D2663" s="23" t="s">
        <v>95</v>
      </c>
      <c r="E2663" s="23" t="s">
        <v>75</v>
      </c>
      <c r="F2663" s="23" t="s">
        <v>1372</v>
      </c>
      <c r="G2663" s="23" t="s">
        <v>250</v>
      </c>
      <c r="H2663" s="39">
        <f t="shared" si="164"/>
        <v>798</v>
      </c>
      <c r="I2663" s="23" t="str">
        <f t="shared" si="165"/>
        <v>Bengaluru</v>
      </c>
      <c r="J2663" s="23">
        <f>COUNTIFS(pg_transaction_cleaned!$O:$O,A2663,pg_transaction_cleaned!$F:$F,"CAPTURE")</f>
        <v>1</v>
      </c>
      <c r="K2663" s="39">
        <f>SUMIFS(pg_transaction_cleaned!$H:$H,pg_transaction_cleaned!$O:$O,A2663,pg_transaction_cleaned!$F:$F,"CAPTURE")</f>
        <v>798</v>
      </c>
      <c r="L2663" s="23">
        <f>COUNTIFS(pg_transaction_cleaned!$O:$O,A2663,pg_transaction_cleaned!$F:$F,"REFUND")</f>
        <v>0</v>
      </c>
      <c r="M2663" s="39">
        <f>SUMIFS(pg_transaction_cleaned!$H:$H,pg_transaction_cleaned!$O:$O,A2663,pg_transaction_cleaned!$F:$F,"REFUND")</f>
        <v>0</v>
      </c>
      <c r="N2663" s="23" t="str">
        <f t="shared" si="166"/>
        <v>OK</v>
      </c>
      <c r="O2663" s="24">
        <f t="shared" si="167"/>
        <v>0</v>
      </c>
    </row>
    <row r="2664" spans="1:15" ht="15" customHeight="1" x14ac:dyDescent="0.3">
      <c r="A2664" s="23" t="s">
        <v>5822</v>
      </c>
      <c r="B2664" s="38">
        <v>46292</v>
      </c>
      <c r="C2664" s="23" t="s">
        <v>5823</v>
      </c>
      <c r="D2664" s="23" t="s">
        <v>94</v>
      </c>
      <c r="E2664" s="23" t="s">
        <v>75</v>
      </c>
      <c r="F2664" s="23" t="s">
        <v>337</v>
      </c>
      <c r="G2664" s="23" t="s">
        <v>250</v>
      </c>
      <c r="H2664" s="39">
        <f t="shared" si="164"/>
        <v>3998</v>
      </c>
      <c r="I2664" s="23" t="str">
        <f t="shared" si="165"/>
        <v>Chennai</v>
      </c>
      <c r="J2664" s="23">
        <f>COUNTIFS(pg_transaction_cleaned!$O:$O,A2664,pg_transaction_cleaned!$F:$F,"CAPTURE")</f>
        <v>1</v>
      </c>
      <c r="K2664" s="39">
        <f>SUMIFS(pg_transaction_cleaned!$H:$H,pg_transaction_cleaned!$O:$O,A2664,pg_transaction_cleaned!$F:$F,"CAPTURE")</f>
        <v>3998</v>
      </c>
      <c r="L2664" s="23">
        <f>COUNTIFS(pg_transaction_cleaned!$O:$O,A2664,pg_transaction_cleaned!$F:$F,"REFUND")</f>
        <v>0</v>
      </c>
      <c r="M2664" s="39">
        <f>SUMIFS(pg_transaction_cleaned!$H:$H,pg_transaction_cleaned!$O:$O,A2664,pg_transaction_cleaned!$F:$F,"REFUND")</f>
        <v>0</v>
      </c>
      <c r="N2664" s="23" t="str">
        <f t="shared" si="166"/>
        <v>OK</v>
      </c>
      <c r="O2664" s="24">
        <f t="shared" si="167"/>
        <v>0</v>
      </c>
    </row>
    <row r="2665" spans="1:15" ht="15" customHeight="1" x14ac:dyDescent="0.3">
      <c r="A2665" s="23" t="s">
        <v>5824</v>
      </c>
      <c r="B2665" s="38">
        <v>46278</v>
      </c>
      <c r="C2665" s="23" t="s">
        <v>5825</v>
      </c>
      <c r="D2665" s="23" t="s">
        <v>89</v>
      </c>
      <c r="E2665" s="23" t="s">
        <v>75</v>
      </c>
      <c r="F2665" s="23" t="s">
        <v>329</v>
      </c>
      <c r="G2665" s="23" t="s">
        <v>250</v>
      </c>
      <c r="H2665" s="39">
        <f t="shared" si="164"/>
        <v>599</v>
      </c>
      <c r="I2665" s="23" t="str">
        <f t="shared" si="165"/>
        <v>Jaipur</v>
      </c>
      <c r="J2665" s="23">
        <f>COUNTIFS(pg_transaction_cleaned!$O:$O,A2665,pg_transaction_cleaned!$F:$F,"CAPTURE")</f>
        <v>1</v>
      </c>
      <c r="K2665" s="39">
        <f>SUMIFS(pg_transaction_cleaned!$H:$H,pg_transaction_cleaned!$O:$O,A2665,pg_transaction_cleaned!$F:$F,"CAPTURE")</f>
        <v>599</v>
      </c>
      <c r="L2665" s="23">
        <f>COUNTIFS(pg_transaction_cleaned!$O:$O,A2665,pg_transaction_cleaned!$F:$F,"REFUND")</f>
        <v>0</v>
      </c>
      <c r="M2665" s="39">
        <f>SUMIFS(pg_transaction_cleaned!$H:$H,pg_transaction_cleaned!$O:$O,A2665,pg_transaction_cleaned!$F:$F,"REFUND")</f>
        <v>0</v>
      </c>
      <c r="N2665" s="23" t="str">
        <f t="shared" si="166"/>
        <v>OK</v>
      </c>
      <c r="O2665" s="24">
        <f t="shared" si="167"/>
        <v>0</v>
      </c>
    </row>
    <row r="2666" spans="1:15" ht="15" customHeight="1" x14ac:dyDescent="0.3">
      <c r="A2666" s="23" t="s">
        <v>5826</v>
      </c>
      <c r="B2666" s="38">
        <v>46275</v>
      </c>
      <c r="C2666" s="23" t="s">
        <v>5827</v>
      </c>
      <c r="D2666" s="23" t="s">
        <v>88</v>
      </c>
      <c r="E2666" s="23" t="s">
        <v>79</v>
      </c>
      <c r="F2666" s="23" t="s">
        <v>475</v>
      </c>
      <c r="G2666" s="23" t="s">
        <v>250</v>
      </c>
      <c r="H2666" s="39">
        <f t="shared" si="164"/>
        <v>799</v>
      </c>
      <c r="I2666" s="23" t="str">
        <f t="shared" si="165"/>
        <v>Lucknow</v>
      </c>
      <c r="J2666" s="23">
        <f>COUNTIFS(pg_transaction_cleaned!$O:$O,A2666,pg_transaction_cleaned!$F:$F,"CAPTURE")</f>
        <v>1</v>
      </c>
      <c r="K2666" s="39">
        <f>SUMIFS(pg_transaction_cleaned!$H:$H,pg_transaction_cleaned!$O:$O,A2666,pg_transaction_cleaned!$F:$F,"CAPTURE")</f>
        <v>799</v>
      </c>
      <c r="L2666" s="23">
        <f>COUNTIFS(pg_transaction_cleaned!$O:$O,A2666,pg_transaction_cleaned!$F:$F,"REFUND")</f>
        <v>0</v>
      </c>
      <c r="M2666" s="39">
        <f>SUMIFS(pg_transaction_cleaned!$H:$H,pg_transaction_cleaned!$O:$O,A2666,pg_transaction_cleaned!$F:$F,"REFUND")</f>
        <v>0</v>
      </c>
      <c r="N2666" s="23" t="str">
        <f t="shared" si="166"/>
        <v>OK</v>
      </c>
      <c r="O2666" s="24">
        <f t="shared" si="167"/>
        <v>0</v>
      </c>
    </row>
    <row r="2667" spans="1:15" ht="15" customHeight="1" x14ac:dyDescent="0.3">
      <c r="A2667" s="23" t="s">
        <v>5828</v>
      </c>
      <c r="B2667" s="38">
        <v>46276</v>
      </c>
      <c r="C2667" s="23" t="s">
        <v>5829</v>
      </c>
      <c r="D2667" s="23" t="s">
        <v>91</v>
      </c>
      <c r="E2667" s="23" t="s">
        <v>75</v>
      </c>
      <c r="F2667" s="23" t="s">
        <v>262</v>
      </c>
      <c r="G2667" s="23" t="s">
        <v>250</v>
      </c>
      <c r="H2667" s="39">
        <f t="shared" si="164"/>
        <v>499</v>
      </c>
      <c r="I2667" s="23" t="str">
        <f t="shared" si="165"/>
        <v>Pune</v>
      </c>
      <c r="J2667" s="23">
        <f>COUNTIFS(pg_transaction_cleaned!$O:$O,A2667,pg_transaction_cleaned!$F:$F,"CAPTURE")</f>
        <v>1</v>
      </c>
      <c r="K2667" s="39">
        <f>SUMIFS(pg_transaction_cleaned!$H:$H,pg_transaction_cleaned!$O:$O,A2667,pg_transaction_cleaned!$F:$F,"CAPTURE")</f>
        <v>499</v>
      </c>
      <c r="L2667" s="23">
        <f>COUNTIFS(pg_transaction_cleaned!$O:$O,A2667,pg_transaction_cleaned!$F:$F,"REFUND")</f>
        <v>0</v>
      </c>
      <c r="M2667" s="39">
        <f>SUMIFS(pg_transaction_cleaned!$H:$H,pg_transaction_cleaned!$O:$O,A2667,pg_transaction_cleaned!$F:$F,"REFUND")</f>
        <v>0</v>
      </c>
      <c r="N2667" s="23" t="str">
        <f t="shared" si="166"/>
        <v>OK</v>
      </c>
      <c r="O2667" s="24">
        <f t="shared" si="167"/>
        <v>0</v>
      </c>
    </row>
    <row r="2668" spans="1:15" ht="15" customHeight="1" x14ac:dyDescent="0.3">
      <c r="A2668" s="23" t="s">
        <v>5830</v>
      </c>
      <c r="B2668" s="38">
        <v>46279</v>
      </c>
      <c r="C2668" s="23" t="s">
        <v>5831</v>
      </c>
      <c r="D2668" s="23" t="s">
        <v>92</v>
      </c>
      <c r="E2668" s="23" t="s">
        <v>75</v>
      </c>
      <c r="F2668" s="23" t="s">
        <v>475</v>
      </c>
      <c r="G2668" s="23" t="s">
        <v>301</v>
      </c>
      <c r="H2668" s="39">
        <f t="shared" si="164"/>
        <v>799</v>
      </c>
      <c r="I2668" s="23" t="str">
        <f t="shared" si="165"/>
        <v>Hyderabad</v>
      </c>
      <c r="J2668" s="23">
        <f>COUNTIFS(pg_transaction_cleaned!$O:$O,A2668,pg_transaction_cleaned!$F:$F,"CAPTURE")</f>
        <v>1</v>
      </c>
      <c r="K2668" s="39">
        <f>SUMIFS(pg_transaction_cleaned!$H:$H,pg_transaction_cleaned!$O:$O,A2668,pg_transaction_cleaned!$F:$F,"CAPTURE")</f>
        <v>799</v>
      </c>
      <c r="L2668" s="23">
        <f>COUNTIFS(pg_transaction_cleaned!$O:$O,A2668,pg_transaction_cleaned!$F:$F,"REFUND")</f>
        <v>1</v>
      </c>
      <c r="M2668" s="39">
        <f>SUMIFS(pg_transaction_cleaned!$H:$H,pg_transaction_cleaned!$O:$O,A2668,pg_transaction_cleaned!$F:$F,"REFUND")</f>
        <v>799</v>
      </c>
      <c r="N2668" s="23" t="str">
        <f t="shared" si="166"/>
        <v>OK</v>
      </c>
      <c r="O2668" s="24">
        <f t="shared" si="167"/>
        <v>0</v>
      </c>
    </row>
    <row r="2669" spans="1:15" ht="15" customHeight="1" x14ac:dyDescent="0.3">
      <c r="A2669" s="23" t="s">
        <v>5832</v>
      </c>
      <c r="B2669" s="38">
        <v>46292</v>
      </c>
      <c r="C2669" s="23" t="s">
        <v>5833</v>
      </c>
      <c r="D2669" s="23" t="s">
        <v>90</v>
      </c>
      <c r="E2669" s="23" t="s">
        <v>75</v>
      </c>
      <c r="F2669" s="23" t="s">
        <v>268</v>
      </c>
      <c r="G2669" s="23" t="s">
        <v>250</v>
      </c>
      <c r="H2669" s="39">
        <f t="shared" si="164"/>
        <v>1299</v>
      </c>
      <c r="I2669" s="23" t="str">
        <f t="shared" si="165"/>
        <v>Ahmedabad</v>
      </c>
      <c r="J2669" s="23">
        <f>COUNTIFS(pg_transaction_cleaned!$O:$O,A2669,pg_transaction_cleaned!$F:$F,"CAPTURE")</f>
        <v>1</v>
      </c>
      <c r="K2669" s="39">
        <f>SUMIFS(pg_transaction_cleaned!$H:$H,pg_transaction_cleaned!$O:$O,A2669,pg_transaction_cleaned!$F:$F,"CAPTURE")</f>
        <v>1299</v>
      </c>
      <c r="L2669" s="23">
        <f>COUNTIFS(pg_transaction_cleaned!$O:$O,A2669,pg_transaction_cleaned!$F:$F,"REFUND")</f>
        <v>0</v>
      </c>
      <c r="M2669" s="39">
        <f>SUMIFS(pg_transaction_cleaned!$H:$H,pg_transaction_cleaned!$O:$O,A2669,pg_transaction_cleaned!$F:$F,"REFUND")</f>
        <v>0</v>
      </c>
      <c r="N2669" s="23" t="str">
        <f t="shared" si="166"/>
        <v>OK</v>
      </c>
      <c r="O2669" s="24">
        <f t="shared" si="167"/>
        <v>0</v>
      </c>
    </row>
    <row r="2670" spans="1:15" ht="15" customHeight="1" x14ac:dyDescent="0.3">
      <c r="A2670" s="23" t="s">
        <v>5834</v>
      </c>
      <c r="B2670" s="38">
        <v>46289</v>
      </c>
      <c r="C2670" s="23" t="s">
        <v>5835</v>
      </c>
      <c r="D2670" s="23" t="s">
        <v>86</v>
      </c>
      <c r="E2670" s="23" t="s">
        <v>75</v>
      </c>
      <c r="F2670" s="23" t="s">
        <v>772</v>
      </c>
      <c r="G2670" s="23" t="s">
        <v>250</v>
      </c>
      <c r="H2670" s="39">
        <f t="shared" si="164"/>
        <v>4798</v>
      </c>
      <c r="I2670" s="23" t="str">
        <f t="shared" si="165"/>
        <v>Delhi</v>
      </c>
      <c r="J2670" s="23">
        <f>COUNTIFS(pg_transaction_cleaned!$O:$O,A2670,pg_transaction_cleaned!$F:$F,"CAPTURE")</f>
        <v>1</v>
      </c>
      <c r="K2670" s="39">
        <f>SUMIFS(pg_transaction_cleaned!$H:$H,pg_transaction_cleaned!$O:$O,A2670,pg_transaction_cleaned!$F:$F,"CAPTURE")</f>
        <v>4798</v>
      </c>
      <c r="L2670" s="23">
        <f>COUNTIFS(pg_transaction_cleaned!$O:$O,A2670,pg_transaction_cleaned!$F:$F,"REFUND")</f>
        <v>0</v>
      </c>
      <c r="M2670" s="39">
        <f>SUMIFS(pg_transaction_cleaned!$H:$H,pg_transaction_cleaned!$O:$O,A2670,pg_transaction_cleaned!$F:$F,"REFUND")</f>
        <v>0</v>
      </c>
      <c r="N2670" s="23" t="str">
        <f t="shared" si="166"/>
        <v>OK</v>
      </c>
      <c r="O2670" s="24">
        <f t="shared" si="167"/>
        <v>0</v>
      </c>
    </row>
    <row r="2671" spans="1:15" ht="15" customHeight="1" x14ac:dyDescent="0.3">
      <c r="A2671" s="23" t="s">
        <v>5836</v>
      </c>
      <c r="B2671" s="38">
        <v>46286</v>
      </c>
      <c r="C2671" s="23" t="s">
        <v>5837</v>
      </c>
      <c r="D2671" s="23" t="s">
        <v>91</v>
      </c>
      <c r="E2671" s="23" t="s">
        <v>79</v>
      </c>
      <c r="F2671" s="23" t="s">
        <v>315</v>
      </c>
      <c r="G2671" s="23" t="s">
        <v>365</v>
      </c>
      <c r="H2671" s="39">
        <f t="shared" si="164"/>
        <v>1499</v>
      </c>
      <c r="I2671" s="23" t="str">
        <f t="shared" si="165"/>
        <v>Pune</v>
      </c>
      <c r="J2671" s="23">
        <f>COUNTIFS(pg_transaction_cleaned!$O:$O,A2671,pg_transaction_cleaned!$F:$F,"CAPTURE")</f>
        <v>0</v>
      </c>
      <c r="K2671" s="39">
        <f>SUMIFS(pg_transaction_cleaned!$H:$H,pg_transaction_cleaned!$O:$O,A2671,pg_transaction_cleaned!$F:$F,"CAPTURE")</f>
        <v>0</v>
      </c>
      <c r="L2671" s="23">
        <f>COUNTIFS(pg_transaction_cleaned!$O:$O,A2671,pg_transaction_cleaned!$F:$F,"REFUND")</f>
        <v>0</v>
      </c>
      <c r="M2671" s="39">
        <f>SUMIFS(pg_transaction_cleaned!$H:$H,pg_transaction_cleaned!$O:$O,A2671,pg_transaction_cleaned!$F:$F,"REFUND")</f>
        <v>0</v>
      </c>
      <c r="N2671" s="23" t="str">
        <f t="shared" si="166"/>
        <v>OK</v>
      </c>
      <c r="O2671" s="24">
        <f t="shared" si="167"/>
        <v>0</v>
      </c>
    </row>
    <row r="2672" spans="1:15" ht="15" customHeight="1" x14ac:dyDescent="0.3">
      <c r="A2672" s="23" t="s">
        <v>5838</v>
      </c>
      <c r="B2672" s="38">
        <v>46286</v>
      </c>
      <c r="C2672" s="23" t="s">
        <v>5839</v>
      </c>
      <c r="D2672" s="23" t="s">
        <v>88</v>
      </c>
      <c r="E2672" s="23" t="s">
        <v>77</v>
      </c>
      <c r="F2672" s="23" t="s">
        <v>475</v>
      </c>
      <c r="G2672" s="23" t="s">
        <v>250</v>
      </c>
      <c r="H2672" s="39">
        <f t="shared" si="164"/>
        <v>799</v>
      </c>
      <c r="I2672" s="23" t="str">
        <f t="shared" si="165"/>
        <v>Lucknow</v>
      </c>
      <c r="J2672" s="23">
        <f>COUNTIFS(pg_transaction_cleaned!$O:$O,A2672,pg_transaction_cleaned!$F:$F,"CAPTURE")</f>
        <v>1</v>
      </c>
      <c r="K2672" s="39">
        <f>SUMIFS(pg_transaction_cleaned!$H:$H,pg_transaction_cleaned!$O:$O,A2672,pg_transaction_cleaned!$F:$F,"CAPTURE")</f>
        <v>799</v>
      </c>
      <c r="L2672" s="23">
        <f>COUNTIFS(pg_transaction_cleaned!$O:$O,A2672,pg_transaction_cleaned!$F:$F,"REFUND")</f>
        <v>0</v>
      </c>
      <c r="M2672" s="39">
        <f>SUMIFS(pg_transaction_cleaned!$H:$H,pg_transaction_cleaned!$O:$O,A2672,pg_transaction_cleaned!$F:$F,"REFUND")</f>
        <v>0</v>
      </c>
      <c r="N2672" s="23" t="str">
        <f t="shared" si="166"/>
        <v>OK</v>
      </c>
      <c r="O2672" s="24">
        <f t="shared" si="167"/>
        <v>0</v>
      </c>
    </row>
    <row r="2673" spans="1:15" ht="15" customHeight="1" x14ac:dyDescent="0.3">
      <c r="A2673" s="23" t="s">
        <v>5840</v>
      </c>
      <c r="B2673" s="38">
        <v>46283</v>
      </c>
      <c r="C2673" s="23" t="s">
        <v>5841</v>
      </c>
      <c r="D2673" s="23" t="s">
        <v>90</v>
      </c>
      <c r="E2673" s="23" t="s">
        <v>79</v>
      </c>
      <c r="F2673" s="23" t="s">
        <v>291</v>
      </c>
      <c r="G2673" s="23" t="s">
        <v>250</v>
      </c>
      <c r="H2673" s="39">
        <f t="shared" si="164"/>
        <v>3499</v>
      </c>
      <c r="I2673" s="23" t="str">
        <f t="shared" si="165"/>
        <v>Ahmedabad</v>
      </c>
      <c r="J2673" s="23">
        <f>COUNTIFS(pg_transaction_cleaned!$O:$O,A2673,pg_transaction_cleaned!$F:$F,"CAPTURE")</f>
        <v>1</v>
      </c>
      <c r="K2673" s="39">
        <f>SUMIFS(pg_transaction_cleaned!$H:$H,pg_transaction_cleaned!$O:$O,A2673,pg_transaction_cleaned!$F:$F,"CAPTURE")</f>
        <v>3499</v>
      </c>
      <c r="L2673" s="23">
        <f>COUNTIFS(pg_transaction_cleaned!$O:$O,A2673,pg_transaction_cleaned!$F:$F,"REFUND")</f>
        <v>0</v>
      </c>
      <c r="M2673" s="39">
        <f>SUMIFS(pg_transaction_cleaned!$H:$H,pg_transaction_cleaned!$O:$O,A2673,pg_transaction_cleaned!$F:$F,"REFUND")</f>
        <v>0</v>
      </c>
      <c r="N2673" s="23" t="str">
        <f t="shared" si="166"/>
        <v>OK</v>
      </c>
      <c r="O2673" s="24">
        <f t="shared" si="167"/>
        <v>0</v>
      </c>
    </row>
    <row r="2674" spans="1:15" ht="15" customHeight="1" x14ac:dyDescent="0.3">
      <c r="A2674" s="23" t="s">
        <v>5842</v>
      </c>
      <c r="B2674" s="38">
        <v>46273</v>
      </c>
      <c r="C2674" s="23" t="s">
        <v>5843</v>
      </c>
      <c r="D2674" s="23" t="s">
        <v>91</v>
      </c>
      <c r="E2674" s="23" t="s">
        <v>81</v>
      </c>
      <c r="F2674" s="23" t="s">
        <v>3378</v>
      </c>
      <c r="G2674" s="23" t="s">
        <v>250</v>
      </c>
      <c r="H2674" s="39">
        <f t="shared" si="164"/>
        <v>15998</v>
      </c>
      <c r="I2674" s="23" t="str">
        <f t="shared" si="165"/>
        <v>Pune</v>
      </c>
      <c r="J2674" s="23">
        <f>COUNTIFS(pg_transaction_cleaned!$O:$O,A2674,pg_transaction_cleaned!$F:$F,"CAPTURE")</f>
        <v>1</v>
      </c>
      <c r="K2674" s="39">
        <f>SUMIFS(pg_transaction_cleaned!$H:$H,pg_transaction_cleaned!$O:$O,A2674,pg_transaction_cleaned!$F:$F,"CAPTURE")</f>
        <v>15998</v>
      </c>
      <c r="L2674" s="23">
        <f>COUNTIFS(pg_transaction_cleaned!$O:$O,A2674,pg_transaction_cleaned!$F:$F,"REFUND")</f>
        <v>0</v>
      </c>
      <c r="M2674" s="39">
        <f>SUMIFS(pg_transaction_cleaned!$H:$H,pg_transaction_cleaned!$O:$O,A2674,pg_transaction_cleaned!$F:$F,"REFUND")</f>
        <v>0</v>
      </c>
      <c r="N2674" s="23" t="str">
        <f t="shared" si="166"/>
        <v>OK</v>
      </c>
      <c r="O2674" s="24">
        <f t="shared" si="167"/>
        <v>0</v>
      </c>
    </row>
    <row r="2675" spans="1:15" ht="15" customHeight="1" x14ac:dyDescent="0.3">
      <c r="A2675" s="23" t="s">
        <v>5844</v>
      </c>
      <c r="B2675" s="38">
        <v>46293</v>
      </c>
      <c r="C2675" s="23" t="s">
        <v>5845</v>
      </c>
      <c r="D2675" s="23" t="s">
        <v>94</v>
      </c>
      <c r="E2675" s="23" t="s">
        <v>75</v>
      </c>
      <c r="F2675" s="23" t="s">
        <v>880</v>
      </c>
      <c r="G2675" s="23" t="s">
        <v>250</v>
      </c>
      <c r="H2675" s="39">
        <f t="shared" si="164"/>
        <v>2298</v>
      </c>
      <c r="I2675" s="23" t="str">
        <f t="shared" si="165"/>
        <v>Chennai</v>
      </c>
      <c r="J2675" s="23">
        <f>COUNTIFS(pg_transaction_cleaned!$O:$O,A2675,pg_transaction_cleaned!$F:$F,"CAPTURE")</f>
        <v>1</v>
      </c>
      <c r="K2675" s="39">
        <f>SUMIFS(pg_transaction_cleaned!$H:$H,pg_transaction_cleaned!$O:$O,A2675,pg_transaction_cleaned!$F:$F,"CAPTURE")</f>
        <v>2298</v>
      </c>
      <c r="L2675" s="23">
        <f>COUNTIFS(pg_transaction_cleaned!$O:$O,A2675,pg_transaction_cleaned!$F:$F,"REFUND")</f>
        <v>0</v>
      </c>
      <c r="M2675" s="39">
        <f>SUMIFS(pg_transaction_cleaned!$H:$H,pg_transaction_cleaned!$O:$O,A2675,pg_transaction_cleaned!$F:$F,"REFUND")</f>
        <v>0</v>
      </c>
      <c r="N2675" s="23" t="str">
        <f t="shared" si="166"/>
        <v>OK</v>
      </c>
      <c r="O2675" s="24">
        <f t="shared" si="167"/>
        <v>0</v>
      </c>
    </row>
    <row r="2676" spans="1:15" ht="15" customHeight="1" x14ac:dyDescent="0.3">
      <c r="A2676" s="23" t="s">
        <v>5846</v>
      </c>
      <c r="B2676" s="38">
        <v>46273</v>
      </c>
      <c r="C2676" s="23" t="s">
        <v>5847</v>
      </c>
      <c r="D2676" s="23" t="s">
        <v>89</v>
      </c>
      <c r="E2676" s="23" t="s">
        <v>75</v>
      </c>
      <c r="F2676" s="23" t="s">
        <v>514</v>
      </c>
      <c r="G2676" s="23" t="s">
        <v>318</v>
      </c>
      <c r="H2676" s="39">
        <f t="shared" si="164"/>
        <v>6498</v>
      </c>
      <c r="I2676" s="23" t="str">
        <f t="shared" si="165"/>
        <v>Jaipur</v>
      </c>
      <c r="J2676" s="23">
        <f>COUNTIFS(pg_transaction_cleaned!$O:$O,A2676,pg_transaction_cleaned!$F:$F,"CAPTURE")</f>
        <v>0</v>
      </c>
      <c r="K2676" s="39">
        <f>SUMIFS(pg_transaction_cleaned!$H:$H,pg_transaction_cleaned!$O:$O,A2676,pg_transaction_cleaned!$F:$F,"CAPTURE")</f>
        <v>0</v>
      </c>
      <c r="L2676" s="23">
        <f>COUNTIFS(pg_transaction_cleaned!$O:$O,A2676,pg_transaction_cleaned!$F:$F,"REFUND")</f>
        <v>0</v>
      </c>
      <c r="M2676" s="39">
        <f>SUMIFS(pg_transaction_cleaned!$H:$H,pg_transaction_cleaned!$O:$O,A2676,pg_transaction_cleaned!$F:$F,"REFUND")</f>
        <v>0</v>
      </c>
      <c r="N2676" s="23" t="str">
        <f t="shared" si="166"/>
        <v>OK</v>
      </c>
      <c r="O2676" s="24">
        <f t="shared" si="167"/>
        <v>0</v>
      </c>
    </row>
    <row r="2677" spans="1:15" ht="15" customHeight="1" x14ac:dyDescent="0.3">
      <c r="A2677" s="23" t="s">
        <v>5848</v>
      </c>
      <c r="B2677" s="38">
        <v>46289</v>
      </c>
      <c r="C2677" s="23" t="s">
        <v>5849</v>
      </c>
      <c r="D2677" s="23" t="s">
        <v>87</v>
      </c>
      <c r="E2677" s="23" t="s">
        <v>75</v>
      </c>
      <c r="F2677" s="23" t="s">
        <v>647</v>
      </c>
      <c r="G2677" s="23" t="s">
        <v>365</v>
      </c>
      <c r="H2677" s="39">
        <f t="shared" si="164"/>
        <v>5597</v>
      </c>
      <c r="I2677" s="23" t="str">
        <f t="shared" si="165"/>
        <v>Mumbai</v>
      </c>
      <c r="J2677" s="23">
        <f>COUNTIFS(pg_transaction_cleaned!$O:$O,A2677,pg_transaction_cleaned!$F:$F,"CAPTURE")</f>
        <v>0</v>
      </c>
      <c r="K2677" s="39">
        <f>SUMIFS(pg_transaction_cleaned!$H:$H,pg_transaction_cleaned!$O:$O,A2677,pg_transaction_cleaned!$F:$F,"CAPTURE")</f>
        <v>0</v>
      </c>
      <c r="L2677" s="23">
        <f>COUNTIFS(pg_transaction_cleaned!$O:$O,A2677,pg_transaction_cleaned!$F:$F,"REFUND")</f>
        <v>0</v>
      </c>
      <c r="M2677" s="39">
        <f>SUMIFS(pg_transaction_cleaned!$H:$H,pg_transaction_cleaned!$O:$O,A2677,pg_transaction_cleaned!$F:$F,"REFUND")</f>
        <v>0</v>
      </c>
      <c r="N2677" s="23" t="str">
        <f t="shared" si="166"/>
        <v>OK</v>
      </c>
      <c r="O2677" s="24">
        <f t="shared" si="167"/>
        <v>0</v>
      </c>
    </row>
    <row r="2678" spans="1:15" ht="15" customHeight="1" x14ac:dyDescent="0.3">
      <c r="A2678" s="23" t="s">
        <v>5850</v>
      </c>
      <c r="B2678" s="38">
        <v>46278</v>
      </c>
      <c r="C2678" s="23" t="s">
        <v>5851</v>
      </c>
      <c r="D2678" s="23" t="s">
        <v>94</v>
      </c>
      <c r="E2678" s="23" t="s">
        <v>81</v>
      </c>
      <c r="F2678" s="23" t="s">
        <v>950</v>
      </c>
      <c r="G2678" s="23" t="s">
        <v>250</v>
      </c>
      <c r="H2678" s="39">
        <f t="shared" si="164"/>
        <v>1898</v>
      </c>
      <c r="I2678" s="23" t="str">
        <f t="shared" si="165"/>
        <v>Chennai</v>
      </c>
      <c r="J2678" s="23">
        <f>COUNTIFS(pg_transaction_cleaned!$O:$O,A2678,pg_transaction_cleaned!$F:$F,"CAPTURE")</f>
        <v>1</v>
      </c>
      <c r="K2678" s="39">
        <f>SUMIFS(pg_transaction_cleaned!$H:$H,pg_transaction_cleaned!$O:$O,A2678,pg_transaction_cleaned!$F:$F,"CAPTURE")</f>
        <v>1898</v>
      </c>
      <c r="L2678" s="23">
        <f>COUNTIFS(pg_transaction_cleaned!$O:$O,A2678,pg_transaction_cleaned!$F:$F,"REFUND")</f>
        <v>0</v>
      </c>
      <c r="M2678" s="39">
        <f>SUMIFS(pg_transaction_cleaned!$H:$H,pg_transaction_cleaned!$O:$O,A2678,pg_transaction_cleaned!$F:$F,"REFUND")</f>
        <v>0</v>
      </c>
      <c r="N2678" s="23" t="str">
        <f t="shared" si="166"/>
        <v>OK</v>
      </c>
      <c r="O2678" s="24">
        <f t="shared" si="167"/>
        <v>0</v>
      </c>
    </row>
    <row r="2679" spans="1:15" ht="15" customHeight="1" x14ac:dyDescent="0.3">
      <c r="A2679" s="23" t="s">
        <v>5852</v>
      </c>
      <c r="B2679" s="38">
        <v>46290</v>
      </c>
      <c r="C2679" s="23" t="s">
        <v>5853</v>
      </c>
      <c r="D2679" s="23" t="s">
        <v>86</v>
      </c>
      <c r="E2679" s="23" t="s">
        <v>75</v>
      </c>
      <c r="F2679" s="23" t="s">
        <v>268</v>
      </c>
      <c r="G2679" s="23" t="s">
        <v>250</v>
      </c>
      <c r="H2679" s="39">
        <f t="shared" si="164"/>
        <v>1299</v>
      </c>
      <c r="I2679" s="23" t="str">
        <f t="shared" si="165"/>
        <v>Delhi</v>
      </c>
      <c r="J2679" s="23">
        <f>COUNTIFS(pg_transaction_cleaned!$O:$O,A2679,pg_transaction_cleaned!$F:$F,"CAPTURE")</f>
        <v>1</v>
      </c>
      <c r="K2679" s="39">
        <f>SUMIFS(pg_transaction_cleaned!$H:$H,pg_transaction_cleaned!$O:$O,A2679,pg_transaction_cleaned!$F:$F,"CAPTURE")</f>
        <v>1299</v>
      </c>
      <c r="L2679" s="23">
        <f>COUNTIFS(pg_transaction_cleaned!$O:$O,A2679,pg_transaction_cleaned!$F:$F,"REFUND")</f>
        <v>0</v>
      </c>
      <c r="M2679" s="39">
        <f>SUMIFS(pg_transaction_cleaned!$H:$H,pg_transaction_cleaned!$O:$O,A2679,pg_transaction_cleaned!$F:$F,"REFUND")</f>
        <v>0</v>
      </c>
      <c r="N2679" s="23" t="str">
        <f t="shared" si="166"/>
        <v>OK</v>
      </c>
      <c r="O2679" s="24">
        <f t="shared" si="167"/>
        <v>0</v>
      </c>
    </row>
    <row r="2680" spans="1:15" ht="15" customHeight="1" x14ac:dyDescent="0.3">
      <c r="A2680" s="23" t="s">
        <v>5854</v>
      </c>
      <c r="B2680" s="38">
        <v>46273</v>
      </c>
      <c r="C2680" s="23" t="s">
        <v>5855</v>
      </c>
      <c r="D2680" s="23" t="s">
        <v>94</v>
      </c>
      <c r="E2680" s="23" t="s">
        <v>77</v>
      </c>
      <c r="F2680" s="23" t="s">
        <v>1832</v>
      </c>
      <c r="G2680" s="23" t="s">
        <v>250</v>
      </c>
      <c r="H2680" s="39">
        <f t="shared" si="164"/>
        <v>4997</v>
      </c>
      <c r="I2680" s="23" t="str">
        <f t="shared" si="165"/>
        <v>Chennai</v>
      </c>
      <c r="J2680" s="23">
        <f>COUNTIFS(pg_transaction_cleaned!$O:$O,A2680,pg_transaction_cleaned!$F:$F,"CAPTURE")</f>
        <v>1</v>
      </c>
      <c r="K2680" s="39">
        <f>SUMIFS(pg_transaction_cleaned!$H:$H,pg_transaction_cleaned!$O:$O,A2680,pg_transaction_cleaned!$F:$F,"CAPTURE")</f>
        <v>4997</v>
      </c>
      <c r="L2680" s="23">
        <f>COUNTIFS(pg_transaction_cleaned!$O:$O,A2680,pg_transaction_cleaned!$F:$F,"REFUND")</f>
        <v>0</v>
      </c>
      <c r="M2680" s="39">
        <f>SUMIFS(pg_transaction_cleaned!$H:$H,pg_transaction_cleaned!$O:$O,A2680,pg_transaction_cleaned!$F:$F,"REFUND")</f>
        <v>0</v>
      </c>
      <c r="N2680" s="23" t="str">
        <f t="shared" si="166"/>
        <v>OK</v>
      </c>
      <c r="O2680" s="24">
        <f t="shared" si="167"/>
        <v>0</v>
      </c>
    </row>
    <row r="2681" spans="1:15" ht="15" customHeight="1" x14ac:dyDescent="0.3">
      <c r="A2681" s="23" t="s">
        <v>5856</v>
      </c>
      <c r="B2681" s="38">
        <v>46266</v>
      </c>
      <c r="C2681" s="23" t="s">
        <v>5857</v>
      </c>
      <c r="D2681" s="23" t="s">
        <v>93</v>
      </c>
      <c r="E2681" s="23" t="s">
        <v>77</v>
      </c>
      <c r="F2681" s="23" t="s">
        <v>294</v>
      </c>
      <c r="G2681" s="23" t="s">
        <v>301</v>
      </c>
      <c r="H2681" s="39">
        <f t="shared" si="164"/>
        <v>1799</v>
      </c>
      <c r="I2681" s="23" t="str">
        <f t="shared" si="165"/>
        <v>Kolkata</v>
      </c>
      <c r="J2681" s="23">
        <f>COUNTIFS(pg_transaction_cleaned!$O:$O,A2681,pg_transaction_cleaned!$F:$F,"CAPTURE")</f>
        <v>1</v>
      </c>
      <c r="K2681" s="39">
        <f>SUMIFS(pg_transaction_cleaned!$H:$H,pg_transaction_cleaned!$O:$O,A2681,pg_transaction_cleaned!$F:$F,"CAPTURE")</f>
        <v>1799</v>
      </c>
      <c r="L2681" s="23">
        <f>COUNTIFS(pg_transaction_cleaned!$O:$O,A2681,pg_transaction_cleaned!$F:$F,"REFUND")</f>
        <v>1</v>
      </c>
      <c r="M2681" s="39">
        <f>SUMIFS(pg_transaction_cleaned!$H:$H,pg_transaction_cleaned!$O:$O,A2681,pg_transaction_cleaned!$F:$F,"REFUND")</f>
        <v>1799</v>
      </c>
      <c r="N2681" s="23" t="str">
        <f t="shared" si="166"/>
        <v>OK</v>
      </c>
      <c r="O2681" s="24">
        <f t="shared" si="167"/>
        <v>0</v>
      </c>
    </row>
    <row r="2682" spans="1:15" ht="15" customHeight="1" x14ac:dyDescent="0.3">
      <c r="A2682" s="23" t="s">
        <v>5858</v>
      </c>
      <c r="B2682" s="38">
        <v>46284</v>
      </c>
      <c r="C2682" s="23" t="s">
        <v>5859</v>
      </c>
      <c r="D2682" s="23" t="s">
        <v>91</v>
      </c>
      <c r="E2682" s="23" t="s">
        <v>79</v>
      </c>
      <c r="F2682" s="23" t="s">
        <v>291</v>
      </c>
      <c r="G2682" s="23" t="s">
        <v>250</v>
      </c>
      <c r="H2682" s="39">
        <f t="shared" si="164"/>
        <v>3499</v>
      </c>
      <c r="I2682" s="23" t="str">
        <f t="shared" si="165"/>
        <v>Pune</v>
      </c>
      <c r="J2682" s="23">
        <f>COUNTIFS(pg_transaction_cleaned!$O:$O,A2682,pg_transaction_cleaned!$F:$F,"CAPTURE")</f>
        <v>1</v>
      </c>
      <c r="K2682" s="39">
        <f>SUMIFS(pg_transaction_cleaned!$H:$H,pg_transaction_cleaned!$O:$O,A2682,pg_transaction_cleaned!$F:$F,"CAPTURE")</f>
        <v>3499</v>
      </c>
      <c r="L2682" s="23">
        <f>COUNTIFS(pg_transaction_cleaned!$O:$O,A2682,pg_transaction_cleaned!$F:$F,"REFUND")</f>
        <v>0</v>
      </c>
      <c r="M2682" s="39">
        <f>SUMIFS(pg_transaction_cleaned!$H:$H,pg_transaction_cleaned!$O:$O,A2682,pg_transaction_cleaned!$F:$F,"REFUND")</f>
        <v>0</v>
      </c>
      <c r="N2682" s="23" t="str">
        <f t="shared" si="166"/>
        <v>OK</v>
      </c>
      <c r="O2682" s="24">
        <f t="shared" si="167"/>
        <v>0</v>
      </c>
    </row>
    <row r="2683" spans="1:15" ht="15" customHeight="1" x14ac:dyDescent="0.3">
      <c r="A2683" s="23" t="s">
        <v>5860</v>
      </c>
      <c r="B2683" s="38">
        <v>46284</v>
      </c>
      <c r="C2683" s="23" t="s">
        <v>5861</v>
      </c>
      <c r="D2683" s="23" t="s">
        <v>87</v>
      </c>
      <c r="E2683" s="23" t="s">
        <v>77</v>
      </c>
      <c r="F2683" s="23" t="s">
        <v>265</v>
      </c>
      <c r="G2683" s="23" t="s">
        <v>250</v>
      </c>
      <c r="H2683" s="39">
        <f t="shared" si="164"/>
        <v>999</v>
      </c>
      <c r="I2683" s="23" t="str">
        <f t="shared" si="165"/>
        <v>Mumbai</v>
      </c>
      <c r="J2683" s="23">
        <f>COUNTIFS(pg_transaction_cleaned!$O:$O,A2683,pg_transaction_cleaned!$F:$F,"CAPTURE")</f>
        <v>1</v>
      </c>
      <c r="K2683" s="39">
        <f>SUMIFS(pg_transaction_cleaned!$H:$H,pg_transaction_cleaned!$O:$O,A2683,pg_transaction_cleaned!$F:$F,"CAPTURE")</f>
        <v>999</v>
      </c>
      <c r="L2683" s="23">
        <f>COUNTIFS(pg_transaction_cleaned!$O:$O,A2683,pg_transaction_cleaned!$F:$F,"REFUND")</f>
        <v>0</v>
      </c>
      <c r="M2683" s="39">
        <f>SUMIFS(pg_transaction_cleaned!$H:$H,pg_transaction_cleaned!$O:$O,A2683,pg_transaction_cleaned!$F:$F,"REFUND")</f>
        <v>0</v>
      </c>
      <c r="N2683" s="23" t="str">
        <f t="shared" si="166"/>
        <v>OK</v>
      </c>
      <c r="O2683" s="24">
        <f t="shared" si="167"/>
        <v>0</v>
      </c>
    </row>
    <row r="2684" spans="1:15" ht="15" customHeight="1" x14ac:dyDescent="0.3">
      <c r="A2684" s="23" t="s">
        <v>5862</v>
      </c>
      <c r="B2684" s="38">
        <v>46283</v>
      </c>
      <c r="C2684" s="23" t="s">
        <v>5863</v>
      </c>
      <c r="D2684" s="23" t="s">
        <v>88</v>
      </c>
      <c r="E2684" s="23" t="s">
        <v>75</v>
      </c>
      <c r="F2684" s="23" t="s">
        <v>426</v>
      </c>
      <c r="G2684" s="23" t="s">
        <v>250</v>
      </c>
      <c r="H2684" s="39">
        <f t="shared" si="164"/>
        <v>6798</v>
      </c>
      <c r="I2684" s="23" t="str">
        <f t="shared" si="165"/>
        <v>Lucknow</v>
      </c>
      <c r="J2684" s="23">
        <f>COUNTIFS(pg_transaction_cleaned!$O:$O,A2684,pg_transaction_cleaned!$F:$F,"CAPTURE")</f>
        <v>1</v>
      </c>
      <c r="K2684" s="39">
        <f>SUMIFS(pg_transaction_cleaned!$H:$H,pg_transaction_cleaned!$O:$O,A2684,pg_transaction_cleaned!$F:$F,"CAPTURE")</f>
        <v>6798</v>
      </c>
      <c r="L2684" s="23">
        <f>COUNTIFS(pg_transaction_cleaned!$O:$O,A2684,pg_transaction_cleaned!$F:$F,"REFUND")</f>
        <v>0</v>
      </c>
      <c r="M2684" s="39">
        <f>SUMIFS(pg_transaction_cleaned!$H:$H,pg_transaction_cleaned!$O:$O,A2684,pg_transaction_cleaned!$F:$F,"REFUND")</f>
        <v>0</v>
      </c>
      <c r="N2684" s="23" t="str">
        <f t="shared" si="166"/>
        <v>OK</v>
      </c>
      <c r="O2684" s="24">
        <f t="shared" si="167"/>
        <v>0</v>
      </c>
    </row>
    <row r="2685" spans="1:15" ht="15" customHeight="1" x14ac:dyDescent="0.3">
      <c r="A2685" s="23" t="s">
        <v>5864</v>
      </c>
      <c r="B2685" s="38">
        <v>46283</v>
      </c>
      <c r="C2685" s="23" t="s">
        <v>5865</v>
      </c>
      <c r="D2685" s="23" t="s">
        <v>86</v>
      </c>
      <c r="E2685" s="23" t="s">
        <v>75</v>
      </c>
      <c r="F2685" s="23" t="s">
        <v>297</v>
      </c>
      <c r="G2685" s="23" t="s">
        <v>250</v>
      </c>
      <c r="H2685" s="39">
        <f t="shared" si="164"/>
        <v>4999</v>
      </c>
      <c r="I2685" s="23" t="str">
        <f t="shared" si="165"/>
        <v>Delhi</v>
      </c>
      <c r="J2685" s="23">
        <f>COUNTIFS(pg_transaction_cleaned!$O:$O,A2685,pg_transaction_cleaned!$F:$F,"CAPTURE")</f>
        <v>1</v>
      </c>
      <c r="K2685" s="39">
        <f>SUMIFS(pg_transaction_cleaned!$H:$H,pg_transaction_cleaned!$O:$O,A2685,pg_transaction_cleaned!$F:$F,"CAPTURE")</f>
        <v>4999</v>
      </c>
      <c r="L2685" s="23">
        <f>COUNTIFS(pg_transaction_cleaned!$O:$O,A2685,pg_transaction_cleaned!$F:$F,"REFUND")</f>
        <v>0</v>
      </c>
      <c r="M2685" s="39">
        <f>SUMIFS(pg_transaction_cleaned!$H:$H,pg_transaction_cleaned!$O:$O,A2685,pg_transaction_cleaned!$F:$F,"REFUND")</f>
        <v>0</v>
      </c>
      <c r="N2685" s="23" t="str">
        <f t="shared" si="166"/>
        <v>OK</v>
      </c>
      <c r="O2685" s="24">
        <f t="shared" si="167"/>
        <v>0</v>
      </c>
    </row>
    <row r="2686" spans="1:15" ht="15" customHeight="1" x14ac:dyDescent="0.3">
      <c r="A2686" s="23" t="s">
        <v>5866</v>
      </c>
      <c r="B2686" s="38">
        <v>46294</v>
      </c>
      <c r="C2686" s="23" t="s">
        <v>5867</v>
      </c>
      <c r="D2686" s="23" t="s">
        <v>95</v>
      </c>
      <c r="E2686" s="23" t="s">
        <v>75</v>
      </c>
      <c r="F2686" s="23" t="s">
        <v>310</v>
      </c>
      <c r="G2686" s="23" t="s">
        <v>250</v>
      </c>
      <c r="H2686" s="39">
        <f t="shared" si="164"/>
        <v>7999</v>
      </c>
      <c r="I2686" s="23" t="str">
        <f t="shared" si="165"/>
        <v>Bengaluru</v>
      </c>
      <c r="J2686" s="23">
        <f>COUNTIFS(pg_transaction_cleaned!$O:$O,A2686,pg_transaction_cleaned!$F:$F,"CAPTURE")</f>
        <v>1</v>
      </c>
      <c r="K2686" s="39">
        <f>SUMIFS(pg_transaction_cleaned!$H:$H,pg_transaction_cleaned!$O:$O,A2686,pg_transaction_cleaned!$F:$F,"CAPTURE")</f>
        <v>7999</v>
      </c>
      <c r="L2686" s="23">
        <f>COUNTIFS(pg_transaction_cleaned!$O:$O,A2686,pg_transaction_cleaned!$F:$F,"REFUND")</f>
        <v>0</v>
      </c>
      <c r="M2686" s="39">
        <f>SUMIFS(pg_transaction_cleaned!$H:$H,pg_transaction_cleaned!$O:$O,A2686,pg_transaction_cleaned!$F:$F,"REFUND")</f>
        <v>0</v>
      </c>
      <c r="N2686" s="23" t="str">
        <f t="shared" si="166"/>
        <v>OK</v>
      </c>
      <c r="O2686" s="24">
        <f t="shared" si="167"/>
        <v>0</v>
      </c>
    </row>
    <row r="2687" spans="1:15" ht="15" customHeight="1" x14ac:dyDescent="0.3">
      <c r="A2687" s="23" t="s">
        <v>5868</v>
      </c>
      <c r="B2687" s="38">
        <v>46287</v>
      </c>
      <c r="C2687" s="23" t="s">
        <v>5869</v>
      </c>
      <c r="D2687" s="23" t="s">
        <v>92</v>
      </c>
      <c r="E2687" s="23" t="s">
        <v>79</v>
      </c>
      <c r="F2687" s="23" t="s">
        <v>3102</v>
      </c>
      <c r="G2687" s="23" t="s">
        <v>250</v>
      </c>
      <c r="H2687" s="39">
        <f t="shared" si="164"/>
        <v>4798</v>
      </c>
      <c r="I2687" s="23" t="str">
        <f t="shared" si="165"/>
        <v>Hyderabad</v>
      </c>
      <c r="J2687" s="23">
        <f>COUNTIFS(pg_transaction_cleaned!$O:$O,A2687,pg_transaction_cleaned!$F:$F,"CAPTURE")</f>
        <v>1</v>
      </c>
      <c r="K2687" s="39">
        <f>SUMIFS(pg_transaction_cleaned!$H:$H,pg_transaction_cleaned!$O:$O,A2687,pg_transaction_cleaned!$F:$F,"CAPTURE")</f>
        <v>4798</v>
      </c>
      <c r="L2687" s="23">
        <f>COUNTIFS(pg_transaction_cleaned!$O:$O,A2687,pg_transaction_cleaned!$F:$F,"REFUND")</f>
        <v>0</v>
      </c>
      <c r="M2687" s="39">
        <f>SUMIFS(pg_transaction_cleaned!$H:$H,pg_transaction_cleaned!$O:$O,A2687,pg_transaction_cleaned!$F:$F,"REFUND")</f>
        <v>0</v>
      </c>
      <c r="N2687" s="23" t="str">
        <f t="shared" si="166"/>
        <v>OK</v>
      </c>
      <c r="O2687" s="24">
        <f t="shared" si="167"/>
        <v>0</v>
      </c>
    </row>
    <row r="2688" spans="1:15" ht="15" customHeight="1" x14ac:dyDescent="0.3">
      <c r="A2688" s="23" t="s">
        <v>5870</v>
      </c>
      <c r="B2688" s="38">
        <v>46286</v>
      </c>
      <c r="C2688" s="23" t="s">
        <v>5871</v>
      </c>
      <c r="D2688" s="23" t="s">
        <v>89</v>
      </c>
      <c r="E2688" s="23" t="s">
        <v>75</v>
      </c>
      <c r="F2688" s="23" t="s">
        <v>475</v>
      </c>
      <c r="G2688" s="23" t="s">
        <v>365</v>
      </c>
      <c r="H2688" s="39">
        <f t="shared" si="164"/>
        <v>799</v>
      </c>
      <c r="I2688" s="23" t="str">
        <f t="shared" si="165"/>
        <v>Jaipur</v>
      </c>
      <c r="J2688" s="23">
        <f>COUNTIFS(pg_transaction_cleaned!$O:$O,A2688,pg_transaction_cleaned!$F:$F,"CAPTURE")</f>
        <v>0</v>
      </c>
      <c r="K2688" s="39">
        <f>SUMIFS(pg_transaction_cleaned!$H:$H,pg_transaction_cleaned!$O:$O,A2688,pg_transaction_cleaned!$F:$F,"CAPTURE")</f>
        <v>0</v>
      </c>
      <c r="L2688" s="23">
        <f>COUNTIFS(pg_transaction_cleaned!$O:$O,A2688,pg_transaction_cleaned!$F:$F,"REFUND")</f>
        <v>0</v>
      </c>
      <c r="M2688" s="39">
        <f>SUMIFS(pg_transaction_cleaned!$H:$H,pg_transaction_cleaned!$O:$O,A2688,pg_transaction_cleaned!$F:$F,"REFUND")</f>
        <v>0</v>
      </c>
      <c r="N2688" s="23" t="str">
        <f t="shared" si="166"/>
        <v>OK</v>
      </c>
      <c r="O2688" s="24">
        <f t="shared" si="167"/>
        <v>0</v>
      </c>
    </row>
    <row r="2689" spans="1:15" ht="15" customHeight="1" x14ac:dyDescent="0.3">
      <c r="A2689" s="23" t="s">
        <v>5872</v>
      </c>
      <c r="B2689" s="38">
        <v>46283</v>
      </c>
      <c r="C2689" s="23" t="s">
        <v>5873</v>
      </c>
      <c r="D2689" s="23"/>
      <c r="E2689" s="23" t="s">
        <v>75</v>
      </c>
      <c r="F2689" s="23" t="s">
        <v>5505</v>
      </c>
      <c r="G2689" s="23" t="s">
        <v>250</v>
      </c>
      <c r="H2689" s="39">
        <f t="shared" si="164"/>
        <v>3697</v>
      </c>
      <c r="I2689" s="23" t="str">
        <f t="shared" si="165"/>
        <v>Unknown</v>
      </c>
      <c r="J2689" s="23">
        <f>COUNTIFS(pg_transaction_cleaned!$O:$O,A2689,pg_transaction_cleaned!$F:$F,"CAPTURE")</f>
        <v>1</v>
      </c>
      <c r="K2689" s="39">
        <f>SUMIFS(pg_transaction_cleaned!$H:$H,pg_transaction_cleaned!$O:$O,A2689,pg_transaction_cleaned!$F:$F,"CAPTURE")</f>
        <v>3697</v>
      </c>
      <c r="L2689" s="23">
        <f>COUNTIFS(pg_transaction_cleaned!$O:$O,A2689,pg_transaction_cleaned!$F:$F,"REFUND")</f>
        <v>0</v>
      </c>
      <c r="M2689" s="39">
        <f>SUMIFS(pg_transaction_cleaned!$H:$H,pg_transaction_cleaned!$O:$O,A2689,pg_transaction_cleaned!$F:$F,"REFUND")</f>
        <v>0</v>
      </c>
      <c r="N2689" s="23" t="str">
        <f t="shared" si="166"/>
        <v>OK</v>
      </c>
      <c r="O2689" s="24">
        <f t="shared" si="167"/>
        <v>0</v>
      </c>
    </row>
    <row r="2690" spans="1:15" ht="15" customHeight="1" x14ac:dyDescent="0.3">
      <c r="A2690" s="23" t="s">
        <v>5874</v>
      </c>
      <c r="B2690" s="38">
        <v>46280</v>
      </c>
      <c r="C2690" s="23" t="s">
        <v>5875</v>
      </c>
      <c r="D2690" s="23" t="s">
        <v>95</v>
      </c>
      <c r="E2690" s="23" t="s">
        <v>75</v>
      </c>
      <c r="F2690" s="23" t="s">
        <v>291</v>
      </c>
      <c r="G2690" s="23" t="s">
        <v>250</v>
      </c>
      <c r="H2690" s="39">
        <f t="shared" ref="H2690:H2753" si="168">VALUE(SUBSTITUTE(F2690,",",""))</f>
        <v>3499</v>
      </c>
      <c r="I2690" s="23" t="str">
        <f t="shared" ref="I2690:I2753" si="169">IF(TRIM(D2690)="","Unknown",TRIM(D2690))</f>
        <v>Bengaluru</v>
      </c>
      <c r="J2690" s="23">
        <f>COUNTIFS(pg_transaction_cleaned!$O:$O,A2690,pg_transaction_cleaned!$F:$F,"CAPTURE")</f>
        <v>1</v>
      </c>
      <c r="K2690" s="39">
        <f>SUMIFS(pg_transaction_cleaned!$H:$H,pg_transaction_cleaned!$O:$O,A2690,pg_transaction_cleaned!$F:$F,"CAPTURE")</f>
        <v>3499</v>
      </c>
      <c r="L2690" s="23">
        <f>COUNTIFS(pg_transaction_cleaned!$O:$O,A2690,pg_transaction_cleaned!$F:$F,"REFUND")</f>
        <v>0</v>
      </c>
      <c r="M2690" s="39">
        <f>SUMIFS(pg_transaction_cleaned!$H:$H,pg_transaction_cleaned!$O:$O,A2690,pg_transaction_cleaned!$F:$F,"REFUND")</f>
        <v>0</v>
      </c>
      <c r="N2690" s="23" t="str">
        <f t="shared" ref="N2690:N2753" si="170">IF(AND(G2690="Paid",J2690=0),"Paid, no payment",IF(AND(OR(G2690="Failed",G2690="Cancelled"),J2690&gt;0),"Payment on failed/cancelled",IF(J2690&gt;1,"Duplicate charge",IF(AND(J2690=1,ROUND(K2690-H2690,2)&lt;&gt;0),"Amount difference",IF(AND(G2690="Refunded",L2690=0),"Refunded, no refund",IF(AND(G2690&lt;&gt;"Refunded",L2690&gt;0),"Refund, order not Refunded",IF(AND(L2690&gt;0,ROUND(M2690-H2690,2)&lt;&gt;0),"Refund amount differs","OK")))))))</f>
        <v>OK</v>
      </c>
      <c r="O2690" s="24">
        <f t="shared" ref="O2690:O2753" si="171">IF(N2690="OK",0,IF(N2690="Paid, no payment",H2690,IF(N2690="Payment on failed/cancelled",K2690,IF(OR(N2690="Duplicate charge",N2690="Amount difference"),K2690-H2690,IF(N2690="Refunded, no refund",H2690,M2690)))))</f>
        <v>0</v>
      </c>
    </row>
    <row r="2691" spans="1:15" ht="15" customHeight="1" x14ac:dyDescent="0.3">
      <c r="A2691" s="23" t="s">
        <v>5876</v>
      </c>
      <c r="B2691" s="38">
        <v>46294</v>
      </c>
      <c r="C2691" s="23" t="s">
        <v>5877</v>
      </c>
      <c r="D2691" s="23" t="s">
        <v>86</v>
      </c>
      <c r="E2691" s="23" t="s">
        <v>75</v>
      </c>
      <c r="F2691" s="23" t="s">
        <v>553</v>
      </c>
      <c r="G2691" s="23" t="s">
        <v>250</v>
      </c>
      <c r="H2691" s="39">
        <f t="shared" si="168"/>
        <v>2798</v>
      </c>
      <c r="I2691" s="23" t="str">
        <f t="shared" si="169"/>
        <v>Delhi</v>
      </c>
      <c r="J2691" s="23">
        <f>COUNTIFS(pg_transaction_cleaned!$O:$O,A2691,pg_transaction_cleaned!$F:$F,"CAPTURE")</f>
        <v>1</v>
      </c>
      <c r="K2691" s="39">
        <f>SUMIFS(pg_transaction_cleaned!$H:$H,pg_transaction_cleaned!$O:$O,A2691,pg_transaction_cleaned!$F:$F,"CAPTURE")</f>
        <v>2798</v>
      </c>
      <c r="L2691" s="23">
        <f>COUNTIFS(pg_transaction_cleaned!$O:$O,A2691,pg_transaction_cleaned!$F:$F,"REFUND")</f>
        <v>0</v>
      </c>
      <c r="M2691" s="39">
        <f>SUMIFS(pg_transaction_cleaned!$H:$H,pg_transaction_cleaned!$O:$O,A2691,pg_transaction_cleaned!$F:$F,"REFUND")</f>
        <v>0</v>
      </c>
      <c r="N2691" s="23" t="str">
        <f t="shared" si="170"/>
        <v>OK</v>
      </c>
      <c r="O2691" s="24">
        <f t="shared" si="171"/>
        <v>0</v>
      </c>
    </row>
    <row r="2692" spans="1:15" ht="15" customHeight="1" x14ac:dyDescent="0.3">
      <c r="A2692" s="23" t="s">
        <v>5878</v>
      </c>
      <c r="B2692" s="38">
        <v>46266</v>
      </c>
      <c r="C2692" s="23" t="s">
        <v>5879</v>
      </c>
      <c r="D2692" s="23" t="s">
        <v>91</v>
      </c>
      <c r="E2692" s="23" t="s">
        <v>75</v>
      </c>
      <c r="F2692" s="23" t="s">
        <v>880</v>
      </c>
      <c r="G2692" s="23" t="s">
        <v>250</v>
      </c>
      <c r="H2692" s="39">
        <f t="shared" si="168"/>
        <v>2298</v>
      </c>
      <c r="I2692" s="23" t="str">
        <f t="shared" si="169"/>
        <v>Pune</v>
      </c>
      <c r="J2692" s="23">
        <f>COUNTIFS(pg_transaction_cleaned!$O:$O,A2692,pg_transaction_cleaned!$F:$F,"CAPTURE")</f>
        <v>1</v>
      </c>
      <c r="K2692" s="39">
        <f>SUMIFS(pg_transaction_cleaned!$H:$H,pg_transaction_cleaned!$O:$O,A2692,pg_transaction_cleaned!$F:$F,"CAPTURE")</f>
        <v>2298</v>
      </c>
      <c r="L2692" s="23">
        <f>COUNTIFS(pg_transaction_cleaned!$O:$O,A2692,pg_transaction_cleaned!$F:$F,"REFUND")</f>
        <v>0</v>
      </c>
      <c r="M2692" s="39">
        <f>SUMIFS(pg_transaction_cleaned!$H:$H,pg_transaction_cleaned!$O:$O,A2692,pg_transaction_cleaned!$F:$F,"REFUND")</f>
        <v>0</v>
      </c>
      <c r="N2692" s="23" t="str">
        <f t="shared" si="170"/>
        <v>OK</v>
      </c>
      <c r="O2692" s="24">
        <f t="shared" si="171"/>
        <v>0</v>
      </c>
    </row>
    <row r="2693" spans="1:15" ht="15" customHeight="1" x14ac:dyDescent="0.3">
      <c r="A2693" s="23" t="s">
        <v>5880</v>
      </c>
      <c r="B2693" s="38">
        <v>46289</v>
      </c>
      <c r="C2693" s="23" t="s">
        <v>5881</v>
      </c>
      <c r="D2693" s="23" t="s">
        <v>86</v>
      </c>
      <c r="E2693" s="23" t="s">
        <v>75</v>
      </c>
      <c r="F2693" s="23" t="s">
        <v>1375</v>
      </c>
      <c r="G2693" s="23" t="s">
        <v>250</v>
      </c>
      <c r="H2693" s="39">
        <f t="shared" si="168"/>
        <v>5997</v>
      </c>
      <c r="I2693" s="23" t="str">
        <f t="shared" si="169"/>
        <v>Delhi</v>
      </c>
      <c r="J2693" s="23">
        <f>COUNTIFS(pg_transaction_cleaned!$O:$O,A2693,pg_transaction_cleaned!$F:$F,"CAPTURE")</f>
        <v>1</v>
      </c>
      <c r="K2693" s="39">
        <f>SUMIFS(pg_transaction_cleaned!$H:$H,pg_transaction_cleaned!$O:$O,A2693,pg_transaction_cleaned!$F:$F,"CAPTURE")</f>
        <v>5997</v>
      </c>
      <c r="L2693" s="23">
        <f>COUNTIFS(pg_transaction_cleaned!$O:$O,A2693,pg_transaction_cleaned!$F:$F,"REFUND")</f>
        <v>0</v>
      </c>
      <c r="M2693" s="39">
        <f>SUMIFS(pg_transaction_cleaned!$H:$H,pg_transaction_cleaned!$O:$O,A2693,pg_transaction_cleaned!$F:$F,"REFUND")</f>
        <v>0</v>
      </c>
      <c r="N2693" s="23" t="str">
        <f t="shared" si="170"/>
        <v>OK</v>
      </c>
      <c r="O2693" s="24">
        <f t="shared" si="171"/>
        <v>0</v>
      </c>
    </row>
    <row r="2694" spans="1:15" ht="15" customHeight="1" x14ac:dyDescent="0.3">
      <c r="A2694" s="23" t="s">
        <v>5882</v>
      </c>
      <c r="B2694" s="38">
        <v>46293</v>
      </c>
      <c r="C2694" s="23" t="s">
        <v>5883</v>
      </c>
      <c r="D2694" s="23" t="s">
        <v>86</v>
      </c>
      <c r="E2694" s="23" t="s">
        <v>79</v>
      </c>
      <c r="F2694" s="23" t="s">
        <v>757</v>
      </c>
      <c r="G2694" s="23" t="s">
        <v>250</v>
      </c>
      <c r="H2694" s="39">
        <f t="shared" si="168"/>
        <v>3798</v>
      </c>
      <c r="I2694" s="23" t="str">
        <f t="shared" si="169"/>
        <v>Delhi</v>
      </c>
      <c r="J2694" s="23">
        <f>COUNTIFS(pg_transaction_cleaned!$O:$O,A2694,pg_transaction_cleaned!$F:$F,"CAPTURE")</f>
        <v>1</v>
      </c>
      <c r="K2694" s="39">
        <f>SUMIFS(pg_transaction_cleaned!$H:$H,pg_transaction_cleaned!$O:$O,A2694,pg_transaction_cleaned!$F:$F,"CAPTURE")</f>
        <v>3798</v>
      </c>
      <c r="L2694" s="23">
        <f>COUNTIFS(pg_transaction_cleaned!$O:$O,A2694,pg_transaction_cleaned!$F:$F,"REFUND")</f>
        <v>0</v>
      </c>
      <c r="M2694" s="39">
        <f>SUMIFS(pg_transaction_cleaned!$H:$H,pg_transaction_cleaned!$O:$O,A2694,pg_transaction_cleaned!$F:$F,"REFUND")</f>
        <v>0</v>
      </c>
      <c r="N2694" s="23" t="str">
        <f t="shared" si="170"/>
        <v>OK</v>
      </c>
      <c r="O2694" s="24">
        <f t="shared" si="171"/>
        <v>0</v>
      </c>
    </row>
    <row r="2695" spans="1:15" ht="15" customHeight="1" x14ac:dyDescent="0.3">
      <c r="A2695" s="23" t="s">
        <v>5884</v>
      </c>
      <c r="B2695" s="38">
        <v>46276</v>
      </c>
      <c r="C2695" s="23" t="s">
        <v>5885</v>
      </c>
      <c r="D2695" s="23" t="s">
        <v>89</v>
      </c>
      <c r="E2695" s="23" t="s">
        <v>79</v>
      </c>
      <c r="F2695" s="23" t="s">
        <v>370</v>
      </c>
      <c r="G2695" s="23" t="s">
        <v>250</v>
      </c>
      <c r="H2695" s="39">
        <f t="shared" si="168"/>
        <v>3098</v>
      </c>
      <c r="I2695" s="23" t="str">
        <f t="shared" si="169"/>
        <v>Jaipur</v>
      </c>
      <c r="J2695" s="23">
        <f>COUNTIFS(pg_transaction_cleaned!$O:$O,A2695,pg_transaction_cleaned!$F:$F,"CAPTURE")</f>
        <v>1</v>
      </c>
      <c r="K2695" s="39">
        <f>SUMIFS(pg_transaction_cleaned!$H:$H,pg_transaction_cleaned!$O:$O,A2695,pg_transaction_cleaned!$F:$F,"CAPTURE")</f>
        <v>3098</v>
      </c>
      <c r="L2695" s="23">
        <f>COUNTIFS(pg_transaction_cleaned!$O:$O,A2695,pg_transaction_cleaned!$F:$F,"REFUND")</f>
        <v>0</v>
      </c>
      <c r="M2695" s="39">
        <f>SUMIFS(pg_transaction_cleaned!$H:$H,pg_transaction_cleaned!$O:$O,A2695,pg_transaction_cleaned!$F:$F,"REFUND")</f>
        <v>0</v>
      </c>
      <c r="N2695" s="23" t="str">
        <f t="shared" si="170"/>
        <v>OK</v>
      </c>
      <c r="O2695" s="24">
        <f t="shared" si="171"/>
        <v>0</v>
      </c>
    </row>
    <row r="2696" spans="1:15" ht="15" customHeight="1" x14ac:dyDescent="0.3">
      <c r="A2696" s="23" t="s">
        <v>5886</v>
      </c>
      <c r="B2696" s="38">
        <v>46276</v>
      </c>
      <c r="C2696" s="23" t="s">
        <v>5887</v>
      </c>
      <c r="D2696" s="23" t="s">
        <v>94</v>
      </c>
      <c r="E2696" s="23" t="s">
        <v>79</v>
      </c>
      <c r="F2696" s="23" t="s">
        <v>2086</v>
      </c>
      <c r="G2696" s="23" t="s">
        <v>250</v>
      </c>
      <c r="H2696" s="39">
        <f t="shared" si="168"/>
        <v>3397</v>
      </c>
      <c r="I2696" s="23" t="str">
        <f t="shared" si="169"/>
        <v>Chennai</v>
      </c>
      <c r="J2696" s="23">
        <f>COUNTIFS(pg_transaction_cleaned!$O:$O,A2696,pg_transaction_cleaned!$F:$F,"CAPTURE")</f>
        <v>1</v>
      </c>
      <c r="K2696" s="39">
        <f>SUMIFS(pg_transaction_cleaned!$H:$H,pg_transaction_cleaned!$O:$O,A2696,pg_transaction_cleaned!$F:$F,"CAPTURE")</f>
        <v>3397</v>
      </c>
      <c r="L2696" s="23">
        <f>COUNTIFS(pg_transaction_cleaned!$O:$O,A2696,pg_transaction_cleaned!$F:$F,"REFUND")</f>
        <v>0</v>
      </c>
      <c r="M2696" s="39">
        <f>SUMIFS(pg_transaction_cleaned!$H:$H,pg_transaction_cleaned!$O:$O,A2696,pg_transaction_cleaned!$F:$F,"REFUND")</f>
        <v>0</v>
      </c>
      <c r="N2696" s="23" t="str">
        <f t="shared" si="170"/>
        <v>OK</v>
      </c>
      <c r="O2696" s="24">
        <f t="shared" si="171"/>
        <v>0</v>
      </c>
    </row>
    <row r="2697" spans="1:15" ht="15" customHeight="1" x14ac:dyDescent="0.3">
      <c r="A2697" s="23" t="s">
        <v>5888</v>
      </c>
      <c r="B2697" s="38">
        <v>46267</v>
      </c>
      <c r="C2697" s="23" t="s">
        <v>5889</v>
      </c>
      <c r="D2697" s="23" t="s">
        <v>93</v>
      </c>
      <c r="E2697" s="23" t="s">
        <v>75</v>
      </c>
      <c r="F2697" s="23" t="s">
        <v>1693</v>
      </c>
      <c r="G2697" s="23" t="s">
        <v>365</v>
      </c>
      <c r="H2697" s="39">
        <f t="shared" si="168"/>
        <v>4097</v>
      </c>
      <c r="I2697" s="23" t="str">
        <f t="shared" si="169"/>
        <v>Kolkata</v>
      </c>
      <c r="J2697" s="23">
        <f>COUNTIFS(pg_transaction_cleaned!$O:$O,A2697,pg_transaction_cleaned!$F:$F,"CAPTURE")</f>
        <v>0</v>
      </c>
      <c r="K2697" s="39">
        <f>SUMIFS(pg_transaction_cleaned!$H:$H,pg_transaction_cleaned!$O:$O,A2697,pg_transaction_cleaned!$F:$F,"CAPTURE")</f>
        <v>0</v>
      </c>
      <c r="L2697" s="23">
        <f>COUNTIFS(pg_transaction_cleaned!$O:$O,A2697,pg_transaction_cleaned!$F:$F,"REFUND")</f>
        <v>0</v>
      </c>
      <c r="M2697" s="39">
        <f>SUMIFS(pg_transaction_cleaned!$H:$H,pg_transaction_cleaned!$O:$O,A2697,pg_transaction_cleaned!$F:$F,"REFUND")</f>
        <v>0</v>
      </c>
      <c r="N2697" s="23" t="str">
        <f t="shared" si="170"/>
        <v>OK</v>
      </c>
      <c r="O2697" s="24">
        <f t="shared" si="171"/>
        <v>0</v>
      </c>
    </row>
    <row r="2698" spans="1:15" ht="15" customHeight="1" x14ac:dyDescent="0.3">
      <c r="A2698" s="23" t="s">
        <v>5890</v>
      </c>
      <c r="B2698" s="38">
        <v>46289</v>
      </c>
      <c r="C2698" s="23" t="s">
        <v>5891</v>
      </c>
      <c r="D2698" s="23" t="s">
        <v>91</v>
      </c>
      <c r="E2698" s="23" t="s">
        <v>75</v>
      </c>
      <c r="F2698" s="23" t="s">
        <v>337</v>
      </c>
      <c r="G2698" s="23" t="s">
        <v>250</v>
      </c>
      <c r="H2698" s="39">
        <f t="shared" si="168"/>
        <v>3998</v>
      </c>
      <c r="I2698" s="23" t="str">
        <f t="shared" si="169"/>
        <v>Pune</v>
      </c>
      <c r="J2698" s="23">
        <f>COUNTIFS(pg_transaction_cleaned!$O:$O,A2698,pg_transaction_cleaned!$F:$F,"CAPTURE")</f>
        <v>1</v>
      </c>
      <c r="K2698" s="39">
        <f>SUMIFS(pg_transaction_cleaned!$H:$H,pg_transaction_cleaned!$O:$O,A2698,pg_transaction_cleaned!$F:$F,"CAPTURE")</f>
        <v>3998</v>
      </c>
      <c r="L2698" s="23">
        <f>COUNTIFS(pg_transaction_cleaned!$O:$O,A2698,pg_transaction_cleaned!$F:$F,"REFUND")</f>
        <v>0</v>
      </c>
      <c r="M2698" s="39">
        <f>SUMIFS(pg_transaction_cleaned!$H:$H,pg_transaction_cleaned!$O:$O,A2698,pg_transaction_cleaned!$F:$F,"REFUND")</f>
        <v>0</v>
      </c>
      <c r="N2698" s="23" t="str">
        <f t="shared" si="170"/>
        <v>OK</v>
      </c>
      <c r="O2698" s="24">
        <f t="shared" si="171"/>
        <v>0</v>
      </c>
    </row>
    <row r="2699" spans="1:15" ht="15" customHeight="1" x14ac:dyDescent="0.3">
      <c r="A2699" s="23" t="s">
        <v>5892</v>
      </c>
      <c r="B2699" s="38">
        <v>46271</v>
      </c>
      <c r="C2699" s="23" t="s">
        <v>5893</v>
      </c>
      <c r="D2699" s="23" t="s">
        <v>92</v>
      </c>
      <c r="E2699" s="23" t="s">
        <v>79</v>
      </c>
      <c r="F2699" s="23" t="s">
        <v>294</v>
      </c>
      <c r="G2699" s="23" t="s">
        <v>250</v>
      </c>
      <c r="H2699" s="39">
        <f t="shared" si="168"/>
        <v>1799</v>
      </c>
      <c r="I2699" s="23" t="str">
        <f t="shared" si="169"/>
        <v>Hyderabad</v>
      </c>
      <c r="J2699" s="23">
        <f>COUNTIFS(pg_transaction_cleaned!$O:$O,A2699,pg_transaction_cleaned!$F:$F,"CAPTURE")</f>
        <v>1</v>
      </c>
      <c r="K2699" s="39">
        <f>SUMIFS(pg_transaction_cleaned!$H:$H,pg_transaction_cleaned!$O:$O,A2699,pg_transaction_cleaned!$F:$F,"CAPTURE")</f>
        <v>1799</v>
      </c>
      <c r="L2699" s="23">
        <f>COUNTIFS(pg_transaction_cleaned!$O:$O,A2699,pg_transaction_cleaned!$F:$F,"REFUND")</f>
        <v>0</v>
      </c>
      <c r="M2699" s="39">
        <f>SUMIFS(pg_transaction_cleaned!$H:$H,pg_transaction_cleaned!$O:$O,A2699,pg_transaction_cleaned!$F:$F,"REFUND")</f>
        <v>0</v>
      </c>
      <c r="N2699" s="23" t="str">
        <f t="shared" si="170"/>
        <v>OK</v>
      </c>
      <c r="O2699" s="24">
        <f t="shared" si="171"/>
        <v>0</v>
      </c>
    </row>
    <row r="2700" spans="1:15" ht="15" customHeight="1" x14ac:dyDescent="0.3">
      <c r="A2700" s="23" t="s">
        <v>5894</v>
      </c>
      <c r="B2700" s="38">
        <v>46274</v>
      </c>
      <c r="C2700" s="23" t="s">
        <v>5895</v>
      </c>
      <c r="D2700" s="23" t="s">
        <v>86</v>
      </c>
      <c r="E2700" s="23" t="s">
        <v>79</v>
      </c>
      <c r="F2700" s="23" t="s">
        <v>294</v>
      </c>
      <c r="G2700" s="23" t="s">
        <v>250</v>
      </c>
      <c r="H2700" s="39">
        <f t="shared" si="168"/>
        <v>1799</v>
      </c>
      <c r="I2700" s="23" t="str">
        <f t="shared" si="169"/>
        <v>Delhi</v>
      </c>
      <c r="J2700" s="23">
        <f>COUNTIFS(pg_transaction_cleaned!$O:$O,A2700,pg_transaction_cleaned!$F:$F,"CAPTURE")</f>
        <v>1</v>
      </c>
      <c r="K2700" s="39">
        <f>SUMIFS(pg_transaction_cleaned!$H:$H,pg_transaction_cleaned!$O:$O,A2700,pg_transaction_cleaned!$F:$F,"CAPTURE")</f>
        <v>1799</v>
      </c>
      <c r="L2700" s="23">
        <f>COUNTIFS(pg_transaction_cleaned!$O:$O,A2700,pg_transaction_cleaned!$F:$F,"REFUND")</f>
        <v>0</v>
      </c>
      <c r="M2700" s="39">
        <f>SUMIFS(pg_transaction_cleaned!$H:$H,pg_transaction_cleaned!$O:$O,A2700,pg_transaction_cleaned!$F:$F,"REFUND")</f>
        <v>0</v>
      </c>
      <c r="N2700" s="23" t="str">
        <f t="shared" si="170"/>
        <v>OK</v>
      </c>
      <c r="O2700" s="24">
        <f t="shared" si="171"/>
        <v>0</v>
      </c>
    </row>
    <row r="2701" spans="1:15" ht="15" customHeight="1" x14ac:dyDescent="0.3">
      <c r="A2701" s="23" t="s">
        <v>5896</v>
      </c>
      <c r="B2701" s="38">
        <v>46277</v>
      </c>
      <c r="C2701" s="23" t="s">
        <v>5897</v>
      </c>
      <c r="D2701" s="23" t="s">
        <v>89</v>
      </c>
      <c r="E2701" s="23" t="s">
        <v>79</v>
      </c>
      <c r="F2701" s="23" t="s">
        <v>582</v>
      </c>
      <c r="G2701" s="23" t="s">
        <v>250</v>
      </c>
      <c r="H2701" s="39">
        <f t="shared" si="168"/>
        <v>1298</v>
      </c>
      <c r="I2701" s="23" t="str">
        <f t="shared" si="169"/>
        <v>Jaipur</v>
      </c>
      <c r="J2701" s="23">
        <f>COUNTIFS(pg_transaction_cleaned!$O:$O,A2701,pg_transaction_cleaned!$F:$F,"CAPTURE")</f>
        <v>1</v>
      </c>
      <c r="K2701" s="39">
        <f>SUMIFS(pg_transaction_cleaned!$H:$H,pg_transaction_cleaned!$O:$O,A2701,pg_transaction_cleaned!$F:$F,"CAPTURE")</f>
        <v>1298</v>
      </c>
      <c r="L2701" s="23">
        <f>COUNTIFS(pg_transaction_cleaned!$O:$O,A2701,pg_transaction_cleaned!$F:$F,"REFUND")</f>
        <v>0</v>
      </c>
      <c r="M2701" s="39">
        <f>SUMIFS(pg_transaction_cleaned!$H:$H,pg_transaction_cleaned!$O:$O,A2701,pg_transaction_cleaned!$F:$F,"REFUND")</f>
        <v>0</v>
      </c>
      <c r="N2701" s="23" t="str">
        <f t="shared" si="170"/>
        <v>OK</v>
      </c>
      <c r="O2701" s="24">
        <f t="shared" si="171"/>
        <v>0</v>
      </c>
    </row>
    <row r="2702" spans="1:15" ht="15" customHeight="1" x14ac:dyDescent="0.3">
      <c r="A2702" s="23" t="s">
        <v>5898</v>
      </c>
      <c r="B2702" s="38">
        <v>46289</v>
      </c>
      <c r="C2702" s="23" t="s">
        <v>5899</v>
      </c>
      <c r="D2702" s="23" t="s">
        <v>95</v>
      </c>
      <c r="E2702" s="23" t="s">
        <v>81</v>
      </c>
      <c r="F2702" s="23" t="s">
        <v>490</v>
      </c>
      <c r="G2702" s="23" t="s">
        <v>250</v>
      </c>
      <c r="H2702" s="39">
        <f t="shared" si="168"/>
        <v>8798</v>
      </c>
      <c r="I2702" s="23" t="str">
        <f t="shared" si="169"/>
        <v>Bengaluru</v>
      </c>
      <c r="J2702" s="23">
        <f>COUNTIFS(pg_transaction_cleaned!$O:$O,A2702,pg_transaction_cleaned!$F:$F,"CAPTURE")</f>
        <v>1</v>
      </c>
      <c r="K2702" s="39">
        <f>SUMIFS(pg_transaction_cleaned!$H:$H,pg_transaction_cleaned!$O:$O,A2702,pg_transaction_cleaned!$F:$F,"CAPTURE")</f>
        <v>8798</v>
      </c>
      <c r="L2702" s="23">
        <f>COUNTIFS(pg_transaction_cleaned!$O:$O,A2702,pg_transaction_cleaned!$F:$F,"REFUND")</f>
        <v>0</v>
      </c>
      <c r="M2702" s="39">
        <f>SUMIFS(pg_transaction_cleaned!$H:$H,pg_transaction_cleaned!$O:$O,A2702,pg_transaction_cleaned!$F:$F,"REFUND")</f>
        <v>0</v>
      </c>
      <c r="N2702" s="23" t="str">
        <f t="shared" si="170"/>
        <v>OK</v>
      </c>
      <c r="O2702" s="24">
        <f t="shared" si="171"/>
        <v>0</v>
      </c>
    </row>
    <row r="2703" spans="1:15" ht="15" customHeight="1" x14ac:dyDescent="0.3">
      <c r="A2703" s="23" t="s">
        <v>5900</v>
      </c>
      <c r="B2703" s="38">
        <v>46283</v>
      </c>
      <c r="C2703" s="23" t="s">
        <v>5901</v>
      </c>
      <c r="D2703" s="23" t="s">
        <v>94</v>
      </c>
      <c r="E2703" s="23" t="s">
        <v>75</v>
      </c>
      <c r="F2703" s="23" t="s">
        <v>754</v>
      </c>
      <c r="G2703" s="23" t="s">
        <v>250</v>
      </c>
      <c r="H2703" s="39">
        <f t="shared" si="168"/>
        <v>1348</v>
      </c>
      <c r="I2703" s="23" t="str">
        <f t="shared" si="169"/>
        <v>Chennai</v>
      </c>
      <c r="J2703" s="23">
        <f>COUNTIFS(pg_transaction_cleaned!$O:$O,A2703,pg_transaction_cleaned!$F:$F,"CAPTURE")</f>
        <v>1</v>
      </c>
      <c r="K2703" s="39">
        <f>SUMIFS(pg_transaction_cleaned!$H:$H,pg_transaction_cleaned!$O:$O,A2703,pg_transaction_cleaned!$F:$F,"CAPTURE")</f>
        <v>1348</v>
      </c>
      <c r="L2703" s="23">
        <f>COUNTIFS(pg_transaction_cleaned!$O:$O,A2703,pg_transaction_cleaned!$F:$F,"REFUND")</f>
        <v>0</v>
      </c>
      <c r="M2703" s="39">
        <f>SUMIFS(pg_transaction_cleaned!$H:$H,pg_transaction_cleaned!$O:$O,A2703,pg_transaction_cleaned!$F:$F,"REFUND")</f>
        <v>0</v>
      </c>
      <c r="N2703" s="23" t="str">
        <f t="shared" si="170"/>
        <v>OK</v>
      </c>
      <c r="O2703" s="24">
        <f t="shared" si="171"/>
        <v>0</v>
      </c>
    </row>
    <row r="2704" spans="1:15" ht="15" customHeight="1" x14ac:dyDescent="0.3">
      <c r="A2704" s="23" t="s">
        <v>5902</v>
      </c>
      <c r="B2704" s="38">
        <v>46271</v>
      </c>
      <c r="C2704" s="23" t="s">
        <v>5903</v>
      </c>
      <c r="D2704" s="23" t="s">
        <v>94</v>
      </c>
      <c r="E2704" s="23" t="s">
        <v>77</v>
      </c>
      <c r="F2704" s="23" t="s">
        <v>499</v>
      </c>
      <c r="G2704" s="23" t="s">
        <v>250</v>
      </c>
      <c r="H2704" s="39">
        <f t="shared" si="168"/>
        <v>5998</v>
      </c>
      <c r="I2704" s="23" t="str">
        <f t="shared" si="169"/>
        <v>Chennai</v>
      </c>
      <c r="J2704" s="23">
        <f>COUNTIFS(pg_transaction_cleaned!$O:$O,A2704,pg_transaction_cleaned!$F:$F,"CAPTURE")</f>
        <v>1</v>
      </c>
      <c r="K2704" s="39">
        <f>SUMIFS(pg_transaction_cleaned!$H:$H,pg_transaction_cleaned!$O:$O,A2704,pg_transaction_cleaned!$F:$F,"CAPTURE")</f>
        <v>5998</v>
      </c>
      <c r="L2704" s="23">
        <f>COUNTIFS(pg_transaction_cleaned!$O:$O,A2704,pg_transaction_cleaned!$F:$F,"REFUND")</f>
        <v>0</v>
      </c>
      <c r="M2704" s="39">
        <f>SUMIFS(pg_transaction_cleaned!$H:$H,pg_transaction_cleaned!$O:$O,A2704,pg_transaction_cleaned!$F:$F,"REFUND")</f>
        <v>0</v>
      </c>
      <c r="N2704" s="23" t="str">
        <f t="shared" si="170"/>
        <v>OK</v>
      </c>
      <c r="O2704" s="24">
        <f t="shared" si="171"/>
        <v>0</v>
      </c>
    </row>
    <row r="2705" spans="1:15" ht="15" customHeight="1" x14ac:dyDescent="0.3">
      <c r="A2705" s="23" t="s">
        <v>5904</v>
      </c>
      <c r="B2705" s="38">
        <v>46278</v>
      </c>
      <c r="C2705" s="23" t="s">
        <v>5905</v>
      </c>
      <c r="D2705" s="23" t="s">
        <v>95</v>
      </c>
      <c r="E2705" s="23" t="s">
        <v>77</v>
      </c>
      <c r="F2705" s="23" t="s">
        <v>271</v>
      </c>
      <c r="G2705" s="23" t="s">
        <v>250</v>
      </c>
      <c r="H2705" s="39">
        <f t="shared" si="168"/>
        <v>2499</v>
      </c>
      <c r="I2705" s="23" t="str">
        <f t="shared" si="169"/>
        <v>Bengaluru</v>
      </c>
      <c r="J2705" s="23">
        <f>COUNTIFS(pg_transaction_cleaned!$O:$O,A2705,pg_transaction_cleaned!$F:$F,"CAPTURE")</f>
        <v>1</v>
      </c>
      <c r="K2705" s="39">
        <f>SUMIFS(pg_transaction_cleaned!$H:$H,pg_transaction_cleaned!$O:$O,A2705,pg_transaction_cleaned!$F:$F,"CAPTURE")</f>
        <v>2499</v>
      </c>
      <c r="L2705" s="23">
        <f>COUNTIFS(pg_transaction_cleaned!$O:$O,A2705,pg_transaction_cleaned!$F:$F,"REFUND")</f>
        <v>0</v>
      </c>
      <c r="M2705" s="39">
        <f>SUMIFS(pg_transaction_cleaned!$H:$H,pg_transaction_cleaned!$O:$O,A2705,pg_transaction_cleaned!$F:$F,"REFUND")</f>
        <v>0</v>
      </c>
      <c r="N2705" s="23" t="str">
        <f t="shared" si="170"/>
        <v>OK</v>
      </c>
      <c r="O2705" s="24">
        <f t="shared" si="171"/>
        <v>0</v>
      </c>
    </row>
    <row r="2706" spans="1:15" ht="15" customHeight="1" x14ac:dyDescent="0.3">
      <c r="A2706" s="23" t="s">
        <v>5906</v>
      </c>
      <c r="B2706" s="38">
        <v>46276</v>
      </c>
      <c r="C2706" s="23" t="s">
        <v>5907</v>
      </c>
      <c r="D2706" s="23" t="s">
        <v>91</v>
      </c>
      <c r="E2706" s="23" t="s">
        <v>75</v>
      </c>
      <c r="F2706" s="23" t="s">
        <v>1495</v>
      </c>
      <c r="G2706" s="23" t="s">
        <v>250</v>
      </c>
      <c r="H2706" s="39">
        <f t="shared" si="168"/>
        <v>7498</v>
      </c>
      <c r="I2706" s="23" t="str">
        <f t="shared" si="169"/>
        <v>Pune</v>
      </c>
      <c r="J2706" s="23">
        <f>COUNTIFS(pg_transaction_cleaned!$O:$O,A2706,pg_transaction_cleaned!$F:$F,"CAPTURE")</f>
        <v>1</v>
      </c>
      <c r="K2706" s="39">
        <f>SUMIFS(pg_transaction_cleaned!$H:$H,pg_transaction_cleaned!$O:$O,A2706,pg_transaction_cleaned!$F:$F,"CAPTURE")</f>
        <v>7498</v>
      </c>
      <c r="L2706" s="23">
        <f>COUNTIFS(pg_transaction_cleaned!$O:$O,A2706,pg_transaction_cleaned!$F:$F,"REFUND")</f>
        <v>0</v>
      </c>
      <c r="M2706" s="39">
        <f>SUMIFS(pg_transaction_cleaned!$H:$H,pg_transaction_cleaned!$O:$O,A2706,pg_transaction_cleaned!$F:$F,"REFUND")</f>
        <v>0</v>
      </c>
      <c r="N2706" s="23" t="str">
        <f t="shared" si="170"/>
        <v>OK</v>
      </c>
      <c r="O2706" s="24">
        <f t="shared" si="171"/>
        <v>0</v>
      </c>
    </row>
    <row r="2707" spans="1:15" ht="15" customHeight="1" x14ac:dyDescent="0.3">
      <c r="A2707" s="23" t="s">
        <v>5908</v>
      </c>
      <c r="B2707" s="38">
        <v>46283</v>
      </c>
      <c r="C2707" s="23" t="s">
        <v>5909</v>
      </c>
      <c r="D2707" s="23" t="s">
        <v>92</v>
      </c>
      <c r="E2707" s="23" t="s">
        <v>79</v>
      </c>
      <c r="F2707" s="23" t="s">
        <v>2364</v>
      </c>
      <c r="G2707" s="23" t="s">
        <v>250</v>
      </c>
      <c r="H2707" s="39">
        <f t="shared" si="168"/>
        <v>3297</v>
      </c>
      <c r="I2707" s="23" t="str">
        <f t="shared" si="169"/>
        <v>Hyderabad</v>
      </c>
      <c r="J2707" s="23">
        <f>COUNTIFS(pg_transaction_cleaned!$O:$O,A2707,pg_transaction_cleaned!$F:$F,"CAPTURE")</f>
        <v>1</v>
      </c>
      <c r="K2707" s="39">
        <f>SUMIFS(pg_transaction_cleaned!$H:$H,pg_transaction_cleaned!$O:$O,A2707,pg_transaction_cleaned!$F:$F,"CAPTURE")</f>
        <v>3297</v>
      </c>
      <c r="L2707" s="23">
        <f>COUNTIFS(pg_transaction_cleaned!$O:$O,A2707,pg_transaction_cleaned!$F:$F,"REFUND")</f>
        <v>0</v>
      </c>
      <c r="M2707" s="39">
        <f>SUMIFS(pg_transaction_cleaned!$H:$H,pg_transaction_cleaned!$O:$O,A2707,pg_transaction_cleaned!$F:$F,"REFUND")</f>
        <v>0</v>
      </c>
      <c r="N2707" s="23" t="str">
        <f t="shared" si="170"/>
        <v>OK</v>
      </c>
      <c r="O2707" s="24">
        <f t="shared" si="171"/>
        <v>0</v>
      </c>
    </row>
    <row r="2708" spans="1:15" ht="15" customHeight="1" x14ac:dyDescent="0.3">
      <c r="A2708" s="23" t="s">
        <v>5910</v>
      </c>
      <c r="B2708" s="38">
        <v>46278</v>
      </c>
      <c r="C2708" s="23" t="s">
        <v>5911</v>
      </c>
      <c r="D2708" s="23" t="s">
        <v>92</v>
      </c>
      <c r="E2708" s="23" t="s">
        <v>79</v>
      </c>
      <c r="F2708" s="23" t="s">
        <v>582</v>
      </c>
      <c r="G2708" s="23" t="s">
        <v>250</v>
      </c>
      <c r="H2708" s="39">
        <f t="shared" si="168"/>
        <v>1298</v>
      </c>
      <c r="I2708" s="23" t="str">
        <f t="shared" si="169"/>
        <v>Hyderabad</v>
      </c>
      <c r="J2708" s="23">
        <f>COUNTIFS(pg_transaction_cleaned!$O:$O,A2708,pg_transaction_cleaned!$F:$F,"CAPTURE")</f>
        <v>1</v>
      </c>
      <c r="K2708" s="39">
        <f>SUMIFS(pg_transaction_cleaned!$H:$H,pg_transaction_cleaned!$O:$O,A2708,pg_transaction_cleaned!$F:$F,"CAPTURE")</f>
        <v>1298</v>
      </c>
      <c r="L2708" s="23">
        <f>COUNTIFS(pg_transaction_cleaned!$O:$O,A2708,pg_transaction_cleaned!$F:$F,"REFUND")</f>
        <v>0</v>
      </c>
      <c r="M2708" s="39">
        <f>SUMIFS(pg_transaction_cleaned!$H:$H,pg_transaction_cleaned!$O:$O,A2708,pg_transaction_cleaned!$F:$F,"REFUND")</f>
        <v>0</v>
      </c>
      <c r="N2708" s="23" t="str">
        <f t="shared" si="170"/>
        <v>OK</v>
      </c>
      <c r="O2708" s="24">
        <f t="shared" si="171"/>
        <v>0</v>
      </c>
    </row>
    <row r="2709" spans="1:15" ht="15" customHeight="1" x14ac:dyDescent="0.3">
      <c r="A2709" s="23" t="s">
        <v>5912</v>
      </c>
      <c r="B2709" s="38">
        <v>46292</v>
      </c>
      <c r="C2709" s="23" t="s">
        <v>5913</v>
      </c>
      <c r="D2709" s="23"/>
      <c r="E2709" s="23" t="s">
        <v>75</v>
      </c>
      <c r="F2709" s="23" t="s">
        <v>390</v>
      </c>
      <c r="G2709" s="23" t="s">
        <v>250</v>
      </c>
      <c r="H2709" s="39">
        <f t="shared" si="168"/>
        <v>599</v>
      </c>
      <c r="I2709" s="23" t="str">
        <f t="shared" si="169"/>
        <v>Unknown</v>
      </c>
      <c r="J2709" s="23">
        <f>COUNTIFS(pg_transaction_cleaned!$O:$O,A2709,pg_transaction_cleaned!$F:$F,"CAPTURE")</f>
        <v>1</v>
      </c>
      <c r="K2709" s="39">
        <f>SUMIFS(pg_transaction_cleaned!$H:$H,pg_transaction_cleaned!$O:$O,A2709,pg_transaction_cleaned!$F:$F,"CAPTURE")</f>
        <v>599</v>
      </c>
      <c r="L2709" s="23">
        <f>COUNTIFS(pg_transaction_cleaned!$O:$O,A2709,pg_transaction_cleaned!$F:$F,"REFUND")</f>
        <v>0</v>
      </c>
      <c r="M2709" s="39">
        <f>SUMIFS(pg_transaction_cleaned!$H:$H,pg_transaction_cleaned!$O:$O,A2709,pg_transaction_cleaned!$F:$F,"REFUND")</f>
        <v>0</v>
      </c>
      <c r="N2709" s="23" t="str">
        <f t="shared" si="170"/>
        <v>OK</v>
      </c>
      <c r="O2709" s="24">
        <f t="shared" si="171"/>
        <v>0</v>
      </c>
    </row>
    <row r="2710" spans="1:15" ht="15" customHeight="1" x14ac:dyDescent="0.3">
      <c r="A2710" s="23" t="s">
        <v>5914</v>
      </c>
      <c r="B2710" s="38">
        <v>46294</v>
      </c>
      <c r="C2710" s="23" t="s">
        <v>5915</v>
      </c>
      <c r="D2710" s="23" t="s">
        <v>88</v>
      </c>
      <c r="E2710" s="23" t="s">
        <v>81</v>
      </c>
      <c r="F2710" s="23" t="s">
        <v>2837</v>
      </c>
      <c r="G2710" s="23" t="s">
        <v>250</v>
      </c>
      <c r="H2710" s="39">
        <f t="shared" si="168"/>
        <v>12297</v>
      </c>
      <c r="I2710" s="23" t="str">
        <f t="shared" si="169"/>
        <v>Lucknow</v>
      </c>
      <c r="J2710" s="23">
        <f>COUNTIFS(pg_transaction_cleaned!$O:$O,A2710,pg_transaction_cleaned!$F:$F,"CAPTURE")</f>
        <v>1</v>
      </c>
      <c r="K2710" s="39">
        <f>SUMIFS(pg_transaction_cleaned!$H:$H,pg_transaction_cleaned!$O:$O,A2710,pg_transaction_cleaned!$F:$F,"CAPTURE")</f>
        <v>12297</v>
      </c>
      <c r="L2710" s="23">
        <f>COUNTIFS(pg_transaction_cleaned!$O:$O,A2710,pg_transaction_cleaned!$F:$F,"REFUND")</f>
        <v>0</v>
      </c>
      <c r="M2710" s="39">
        <f>SUMIFS(pg_transaction_cleaned!$H:$H,pg_transaction_cleaned!$O:$O,A2710,pg_transaction_cleaned!$F:$F,"REFUND")</f>
        <v>0</v>
      </c>
      <c r="N2710" s="23" t="str">
        <f t="shared" si="170"/>
        <v>OK</v>
      </c>
      <c r="O2710" s="24">
        <f t="shared" si="171"/>
        <v>0</v>
      </c>
    </row>
    <row r="2711" spans="1:15" ht="15" customHeight="1" x14ac:dyDescent="0.3">
      <c r="A2711" s="23" t="s">
        <v>5916</v>
      </c>
      <c r="B2711" s="38">
        <v>46281</v>
      </c>
      <c r="C2711" s="23" t="s">
        <v>5917</v>
      </c>
      <c r="D2711" s="23" t="s">
        <v>88</v>
      </c>
      <c r="E2711" s="23" t="s">
        <v>81</v>
      </c>
      <c r="F2711" s="23" t="s">
        <v>249</v>
      </c>
      <c r="G2711" s="23" t="s">
        <v>250</v>
      </c>
      <c r="H2711" s="39">
        <f t="shared" si="168"/>
        <v>299</v>
      </c>
      <c r="I2711" s="23" t="str">
        <f t="shared" si="169"/>
        <v>Lucknow</v>
      </c>
      <c r="J2711" s="23">
        <f>COUNTIFS(pg_transaction_cleaned!$O:$O,A2711,pg_transaction_cleaned!$F:$F,"CAPTURE")</f>
        <v>1</v>
      </c>
      <c r="K2711" s="39">
        <f>SUMIFS(pg_transaction_cleaned!$H:$H,pg_transaction_cleaned!$O:$O,A2711,pg_transaction_cleaned!$F:$F,"CAPTURE")</f>
        <v>299</v>
      </c>
      <c r="L2711" s="23">
        <f>COUNTIFS(pg_transaction_cleaned!$O:$O,A2711,pg_transaction_cleaned!$F:$F,"REFUND")</f>
        <v>0</v>
      </c>
      <c r="M2711" s="39">
        <f>SUMIFS(pg_transaction_cleaned!$H:$H,pg_transaction_cleaned!$O:$O,A2711,pg_transaction_cleaned!$F:$F,"REFUND")</f>
        <v>0</v>
      </c>
      <c r="N2711" s="23" t="str">
        <f t="shared" si="170"/>
        <v>OK</v>
      </c>
      <c r="O2711" s="24">
        <f t="shared" si="171"/>
        <v>0</v>
      </c>
    </row>
    <row r="2712" spans="1:15" ht="15" customHeight="1" x14ac:dyDescent="0.3">
      <c r="A2712" s="23" t="s">
        <v>5918</v>
      </c>
      <c r="B2712" s="38">
        <v>46273</v>
      </c>
      <c r="C2712" s="23" t="s">
        <v>5919</v>
      </c>
      <c r="D2712" s="23" t="s">
        <v>93</v>
      </c>
      <c r="E2712" s="23" t="s">
        <v>81</v>
      </c>
      <c r="F2712" s="23" t="s">
        <v>297</v>
      </c>
      <c r="G2712" s="23" t="s">
        <v>250</v>
      </c>
      <c r="H2712" s="39">
        <f t="shared" si="168"/>
        <v>4999</v>
      </c>
      <c r="I2712" s="23" t="str">
        <f t="shared" si="169"/>
        <v>Kolkata</v>
      </c>
      <c r="J2712" s="23">
        <f>COUNTIFS(pg_transaction_cleaned!$O:$O,A2712,pg_transaction_cleaned!$F:$F,"CAPTURE")</f>
        <v>1</v>
      </c>
      <c r="K2712" s="39">
        <f>SUMIFS(pg_transaction_cleaned!$H:$H,pg_transaction_cleaned!$O:$O,A2712,pg_transaction_cleaned!$F:$F,"CAPTURE")</f>
        <v>4999</v>
      </c>
      <c r="L2712" s="23">
        <f>COUNTIFS(pg_transaction_cleaned!$O:$O,A2712,pg_transaction_cleaned!$F:$F,"REFUND")</f>
        <v>0</v>
      </c>
      <c r="M2712" s="39">
        <f>SUMIFS(pg_transaction_cleaned!$H:$H,pg_transaction_cleaned!$O:$O,A2712,pg_transaction_cleaned!$F:$F,"REFUND")</f>
        <v>0</v>
      </c>
      <c r="N2712" s="23" t="str">
        <f t="shared" si="170"/>
        <v>OK</v>
      </c>
      <c r="O2712" s="24">
        <f t="shared" si="171"/>
        <v>0</v>
      </c>
    </row>
    <row r="2713" spans="1:15" ht="15" customHeight="1" x14ac:dyDescent="0.3">
      <c r="A2713" s="23" t="s">
        <v>5920</v>
      </c>
      <c r="B2713" s="38">
        <v>46275</v>
      </c>
      <c r="C2713" s="23" t="s">
        <v>5921</v>
      </c>
      <c r="D2713" s="23"/>
      <c r="E2713" s="23" t="s">
        <v>75</v>
      </c>
      <c r="F2713" s="23" t="s">
        <v>742</v>
      </c>
      <c r="G2713" s="23" t="s">
        <v>250</v>
      </c>
      <c r="H2713" s="39">
        <f t="shared" si="168"/>
        <v>999</v>
      </c>
      <c r="I2713" s="23" t="str">
        <f t="shared" si="169"/>
        <v>Unknown</v>
      </c>
      <c r="J2713" s="23">
        <f>COUNTIFS(pg_transaction_cleaned!$O:$O,A2713,pg_transaction_cleaned!$F:$F,"CAPTURE")</f>
        <v>1</v>
      </c>
      <c r="K2713" s="39">
        <f>SUMIFS(pg_transaction_cleaned!$H:$H,pg_transaction_cleaned!$O:$O,A2713,pg_transaction_cleaned!$F:$F,"CAPTURE")</f>
        <v>999</v>
      </c>
      <c r="L2713" s="23">
        <f>COUNTIFS(pg_transaction_cleaned!$O:$O,A2713,pg_transaction_cleaned!$F:$F,"REFUND")</f>
        <v>0</v>
      </c>
      <c r="M2713" s="39">
        <f>SUMIFS(pg_transaction_cleaned!$H:$H,pg_transaction_cleaned!$O:$O,A2713,pg_transaction_cleaned!$F:$F,"REFUND")</f>
        <v>0</v>
      </c>
      <c r="N2713" s="23" t="str">
        <f t="shared" si="170"/>
        <v>OK</v>
      </c>
      <c r="O2713" s="24">
        <f t="shared" si="171"/>
        <v>0</v>
      </c>
    </row>
    <row r="2714" spans="1:15" ht="15" customHeight="1" x14ac:dyDescent="0.3">
      <c r="A2714" s="23" t="s">
        <v>5922</v>
      </c>
      <c r="B2714" s="38">
        <v>46269</v>
      </c>
      <c r="C2714" s="23" t="s">
        <v>5923</v>
      </c>
      <c r="D2714" s="23" t="s">
        <v>93</v>
      </c>
      <c r="E2714" s="23" t="s">
        <v>79</v>
      </c>
      <c r="F2714" s="23" t="s">
        <v>291</v>
      </c>
      <c r="G2714" s="23" t="s">
        <v>250</v>
      </c>
      <c r="H2714" s="39">
        <f t="shared" si="168"/>
        <v>3499</v>
      </c>
      <c r="I2714" s="23" t="str">
        <f t="shared" si="169"/>
        <v>Kolkata</v>
      </c>
      <c r="J2714" s="23">
        <f>COUNTIFS(pg_transaction_cleaned!$O:$O,A2714,pg_transaction_cleaned!$F:$F,"CAPTURE")</f>
        <v>1</v>
      </c>
      <c r="K2714" s="39">
        <f>SUMIFS(pg_transaction_cleaned!$H:$H,pg_transaction_cleaned!$O:$O,A2714,pg_transaction_cleaned!$F:$F,"CAPTURE")</f>
        <v>3499</v>
      </c>
      <c r="L2714" s="23">
        <f>COUNTIFS(pg_transaction_cleaned!$O:$O,A2714,pg_transaction_cleaned!$F:$F,"REFUND")</f>
        <v>0</v>
      </c>
      <c r="M2714" s="39">
        <f>SUMIFS(pg_transaction_cleaned!$H:$H,pg_transaction_cleaned!$O:$O,A2714,pg_transaction_cleaned!$F:$F,"REFUND")</f>
        <v>0</v>
      </c>
      <c r="N2714" s="23" t="str">
        <f t="shared" si="170"/>
        <v>OK</v>
      </c>
      <c r="O2714" s="24">
        <f t="shared" si="171"/>
        <v>0</v>
      </c>
    </row>
    <row r="2715" spans="1:15" ht="15" customHeight="1" x14ac:dyDescent="0.3">
      <c r="A2715" s="23" t="s">
        <v>5924</v>
      </c>
      <c r="B2715" s="38">
        <v>46281</v>
      </c>
      <c r="C2715" s="23" t="s">
        <v>5925</v>
      </c>
      <c r="D2715" s="23" t="s">
        <v>87</v>
      </c>
      <c r="E2715" s="23" t="s">
        <v>75</v>
      </c>
      <c r="F2715" s="23" t="s">
        <v>1809</v>
      </c>
      <c r="G2715" s="23" t="s">
        <v>250</v>
      </c>
      <c r="H2715" s="39">
        <f t="shared" si="168"/>
        <v>10147</v>
      </c>
      <c r="I2715" s="23" t="str">
        <f t="shared" si="169"/>
        <v>Mumbai</v>
      </c>
      <c r="J2715" s="23">
        <f>COUNTIFS(pg_transaction_cleaned!$O:$O,A2715,pg_transaction_cleaned!$F:$F,"CAPTURE")</f>
        <v>1</v>
      </c>
      <c r="K2715" s="39">
        <f>SUMIFS(pg_transaction_cleaned!$H:$H,pg_transaction_cleaned!$O:$O,A2715,pg_transaction_cleaned!$F:$F,"CAPTURE")</f>
        <v>10147</v>
      </c>
      <c r="L2715" s="23">
        <f>COUNTIFS(pg_transaction_cleaned!$O:$O,A2715,pg_transaction_cleaned!$F:$F,"REFUND")</f>
        <v>0</v>
      </c>
      <c r="M2715" s="39">
        <f>SUMIFS(pg_transaction_cleaned!$H:$H,pg_transaction_cleaned!$O:$O,A2715,pg_transaction_cleaned!$F:$F,"REFUND")</f>
        <v>0</v>
      </c>
      <c r="N2715" s="23" t="str">
        <f t="shared" si="170"/>
        <v>OK</v>
      </c>
      <c r="O2715" s="24">
        <f t="shared" si="171"/>
        <v>0</v>
      </c>
    </row>
    <row r="2716" spans="1:15" ht="15" customHeight="1" x14ac:dyDescent="0.3">
      <c r="A2716" s="23" t="s">
        <v>5926</v>
      </c>
      <c r="B2716" s="38">
        <v>46266</v>
      </c>
      <c r="C2716" s="23" t="s">
        <v>5927</v>
      </c>
      <c r="D2716" s="23" t="s">
        <v>92</v>
      </c>
      <c r="E2716" s="23" t="s">
        <v>81</v>
      </c>
      <c r="F2716" s="23" t="s">
        <v>490</v>
      </c>
      <c r="G2716" s="23" t="s">
        <v>250</v>
      </c>
      <c r="H2716" s="39">
        <f t="shared" si="168"/>
        <v>8798</v>
      </c>
      <c r="I2716" s="23" t="str">
        <f t="shared" si="169"/>
        <v>Hyderabad</v>
      </c>
      <c r="J2716" s="23">
        <f>COUNTIFS(pg_transaction_cleaned!$O:$O,A2716,pg_transaction_cleaned!$F:$F,"CAPTURE")</f>
        <v>1</v>
      </c>
      <c r="K2716" s="39">
        <f>SUMIFS(pg_transaction_cleaned!$H:$H,pg_transaction_cleaned!$O:$O,A2716,pg_transaction_cleaned!$F:$F,"CAPTURE")</f>
        <v>8798</v>
      </c>
      <c r="L2716" s="23">
        <f>COUNTIFS(pg_transaction_cleaned!$O:$O,A2716,pg_transaction_cleaned!$F:$F,"REFUND")</f>
        <v>0</v>
      </c>
      <c r="M2716" s="39">
        <f>SUMIFS(pg_transaction_cleaned!$H:$H,pg_transaction_cleaned!$O:$O,A2716,pg_transaction_cleaned!$F:$F,"REFUND")</f>
        <v>0</v>
      </c>
      <c r="N2716" s="23" t="str">
        <f t="shared" si="170"/>
        <v>OK</v>
      </c>
      <c r="O2716" s="24">
        <f t="shared" si="171"/>
        <v>0</v>
      </c>
    </row>
    <row r="2717" spans="1:15" ht="15" customHeight="1" x14ac:dyDescent="0.3">
      <c r="A2717" s="23" t="s">
        <v>5928</v>
      </c>
      <c r="B2717" s="38">
        <v>46290</v>
      </c>
      <c r="C2717" s="23" t="s">
        <v>5929</v>
      </c>
      <c r="D2717" s="23" t="s">
        <v>88</v>
      </c>
      <c r="E2717" s="23" t="s">
        <v>75</v>
      </c>
      <c r="F2717" s="23" t="s">
        <v>249</v>
      </c>
      <c r="G2717" s="23" t="s">
        <v>250</v>
      </c>
      <c r="H2717" s="39">
        <f t="shared" si="168"/>
        <v>299</v>
      </c>
      <c r="I2717" s="23" t="str">
        <f t="shared" si="169"/>
        <v>Lucknow</v>
      </c>
      <c r="J2717" s="23">
        <f>COUNTIFS(pg_transaction_cleaned!$O:$O,A2717,pg_transaction_cleaned!$F:$F,"CAPTURE")</f>
        <v>1</v>
      </c>
      <c r="K2717" s="39">
        <f>SUMIFS(pg_transaction_cleaned!$H:$H,pg_transaction_cleaned!$O:$O,A2717,pg_transaction_cleaned!$F:$F,"CAPTURE")</f>
        <v>299</v>
      </c>
      <c r="L2717" s="23">
        <f>COUNTIFS(pg_transaction_cleaned!$O:$O,A2717,pg_transaction_cleaned!$F:$F,"REFUND")</f>
        <v>0</v>
      </c>
      <c r="M2717" s="39">
        <f>SUMIFS(pg_transaction_cleaned!$H:$H,pg_transaction_cleaned!$O:$O,A2717,pg_transaction_cleaned!$F:$F,"REFUND")</f>
        <v>0</v>
      </c>
      <c r="N2717" s="23" t="str">
        <f t="shared" si="170"/>
        <v>OK</v>
      </c>
      <c r="O2717" s="24">
        <f t="shared" si="171"/>
        <v>0</v>
      </c>
    </row>
    <row r="2718" spans="1:15" ht="15" customHeight="1" x14ac:dyDescent="0.3">
      <c r="A2718" s="23" t="s">
        <v>5930</v>
      </c>
      <c r="B2718" s="38">
        <v>46282</v>
      </c>
      <c r="C2718" s="23" t="s">
        <v>5931</v>
      </c>
      <c r="D2718" s="23" t="s">
        <v>88</v>
      </c>
      <c r="E2718" s="23" t="s">
        <v>75</v>
      </c>
      <c r="F2718" s="23" t="s">
        <v>291</v>
      </c>
      <c r="G2718" s="23" t="s">
        <v>250</v>
      </c>
      <c r="H2718" s="39">
        <f t="shared" si="168"/>
        <v>3499</v>
      </c>
      <c r="I2718" s="23" t="str">
        <f t="shared" si="169"/>
        <v>Lucknow</v>
      </c>
      <c r="J2718" s="23">
        <f>COUNTIFS(pg_transaction_cleaned!$O:$O,A2718,pg_transaction_cleaned!$F:$F,"CAPTURE")</f>
        <v>1</v>
      </c>
      <c r="K2718" s="39">
        <f>SUMIFS(pg_transaction_cleaned!$H:$H,pg_transaction_cleaned!$O:$O,A2718,pg_transaction_cleaned!$F:$F,"CAPTURE")</f>
        <v>3499</v>
      </c>
      <c r="L2718" s="23">
        <f>COUNTIFS(pg_transaction_cleaned!$O:$O,A2718,pg_transaction_cleaned!$F:$F,"REFUND")</f>
        <v>0</v>
      </c>
      <c r="M2718" s="39">
        <f>SUMIFS(pg_transaction_cleaned!$H:$H,pg_transaction_cleaned!$O:$O,A2718,pg_transaction_cleaned!$F:$F,"REFUND")</f>
        <v>0</v>
      </c>
      <c r="N2718" s="23" t="str">
        <f t="shared" si="170"/>
        <v>OK</v>
      </c>
      <c r="O2718" s="24">
        <f t="shared" si="171"/>
        <v>0</v>
      </c>
    </row>
    <row r="2719" spans="1:15" ht="15" customHeight="1" x14ac:dyDescent="0.3">
      <c r="A2719" s="23" t="s">
        <v>5932</v>
      </c>
      <c r="B2719" s="38">
        <v>46289</v>
      </c>
      <c r="C2719" s="23" t="s">
        <v>5933</v>
      </c>
      <c r="D2719" s="23" t="s">
        <v>95</v>
      </c>
      <c r="E2719" s="23" t="s">
        <v>75</v>
      </c>
      <c r="F2719" s="23" t="s">
        <v>297</v>
      </c>
      <c r="G2719" s="23" t="s">
        <v>250</v>
      </c>
      <c r="H2719" s="39">
        <f t="shared" si="168"/>
        <v>4999</v>
      </c>
      <c r="I2719" s="23" t="str">
        <f t="shared" si="169"/>
        <v>Bengaluru</v>
      </c>
      <c r="J2719" s="23">
        <f>COUNTIFS(pg_transaction_cleaned!$O:$O,A2719,pg_transaction_cleaned!$F:$F,"CAPTURE")</f>
        <v>1</v>
      </c>
      <c r="K2719" s="39">
        <f>SUMIFS(pg_transaction_cleaned!$H:$H,pg_transaction_cleaned!$O:$O,A2719,pg_transaction_cleaned!$F:$F,"CAPTURE")</f>
        <v>4999</v>
      </c>
      <c r="L2719" s="23">
        <f>COUNTIFS(pg_transaction_cleaned!$O:$O,A2719,pg_transaction_cleaned!$F:$F,"REFUND")</f>
        <v>0</v>
      </c>
      <c r="M2719" s="39">
        <f>SUMIFS(pg_transaction_cleaned!$H:$H,pg_transaction_cleaned!$O:$O,A2719,pg_transaction_cleaned!$F:$F,"REFUND")</f>
        <v>0</v>
      </c>
      <c r="N2719" s="23" t="str">
        <f t="shared" si="170"/>
        <v>OK</v>
      </c>
      <c r="O2719" s="24">
        <f t="shared" si="171"/>
        <v>0</v>
      </c>
    </row>
    <row r="2720" spans="1:15" ht="15" customHeight="1" x14ac:dyDescent="0.3">
      <c r="A2720" s="23" t="s">
        <v>5934</v>
      </c>
      <c r="B2720" s="38">
        <v>46293</v>
      </c>
      <c r="C2720" s="23" t="s">
        <v>5935</v>
      </c>
      <c r="D2720" s="23" t="s">
        <v>86</v>
      </c>
      <c r="E2720" s="23" t="s">
        <v>75</v>
      </c>
      <c r="F2720" s="23" t="s">
        <v>567</v>
      </c>
      <c r="G2720" s="23" t="s">
        <v>250</v>
      </c>
      <c r="H2720" s="39">
        <f t="shared" si="168"/>
        <v>3598</v>
      </c>
      <c r="I2720" s="23" t="str">
        <f t="shared" si="169"/>
        <v>Delhi</v>
      </c>
      <c r="J2720" s="23">
        <f>COUNTIFS(pg_transaction_cleaned!$O:$O,A2720,pg_transaction_cleaned!$F:$F,"CAPTURE")</f>
        <v>1</v>
      </c>
      <c r="K2720" s="39">
        <f>SUMIFS(pg_transaction_cleaned!$H:$H,pg_transaction_cleaned!$O:$O,A2720,pg_transaction_cleaned!$F:$F,"CAPTURE")</f>
        <v>3598</v>
      </c>
      <c r="L2720" s="23">
        <f>COUNTIFS(pg_transaction_cleaned!$O:$O,A2720,pg_transaction_cleaned!$F:$F,"REFUND")</f>
        <v>0</v>
      </c>
      <c r="M2720" s="39">
        <f>SUMIFS(pg_transaction_cleaned!$H:$H,pg_transaction_cleaned!$O:$O,A2720,pg_transaction_cleaned!$F:$F,"REFUND")</f>
        <v>0</v>
      </c>
      <c r="N2720" s="23" t="str">
        <f t="shared" si="170"/>
        <v>OK</v>
      </c>
      <c r="O2720" s="24">
        <f t="shared" si="171"/>
        <v>0</v>
      </c>
    </row>
    <row r="2721" spans="1:15" ht="15" customHeight="1" x14ac:dyDescent="0.3">
      <c r="A2721" s="23" t="s">
        <v>5936</v>
      </c>
      <c r="B2721" s="38">
        <v>46295</v>
      </c>
      <c r="C2721" s="23" t="s">
        <v>5937</v>
      </c>
      <c r="D2721" s="23" t="s">
        <v>93</v>
      </c>
      <c r="E2721" s="23" t="s">
        <v>81</v>
      </c>
      <c r="F2721" s="23" t="s">
        <v>294</v>
      </c>
      <c r="G2721" s="23" t="s">
        <v>250</v>
      </c>
      <c r="H2721" s="39">
        <f t="shared" si="168"/>
        <v>1799</v>
      </c>
      <c r="I2721" s="23" t="str">
        <f t="shared" si="169"/>
        <v>Kolkata</v>
      </c>
      <c r="J2721" s="23">
        <f>COUNTIFS(pg_transaction_cleaned!$O:$O,A2721,pg_transaction_cleaned!$F:$F,"CAPTURE")</f>
        <v>1</v>
      </c>
      <c r="K2721" s="39">
        <f>SUMIFS(pg_transaction_cleaned!$H:$H,pg_transaction_cleaned!$O:$O,A2721,pg_transaction_cleaned!$F:$F,"CAPTURE")</f>
        <v>1799</v>
      </c>
      <c r="L2721" s="23">
        <f>COUNTIFS(pg_transaction_cleaned!$O:$O,A2721,pg_transaction_cleaned!$F:$F,"REFUND")</f>
        <v>0</v>
      </c>
      <c r="M2721" s="39">
        <f>SUMIFS(pg_transaction_cleaned!$H:$H,pg_transaction_cleaned!$O:$O,A2721,pg_transaction_cleaned!$F:$F,"REFUND")</f>
        <v>0</v>
      </c>
      <c r="N2721" s="23" t="str">
        <f t="shared" si="170"/>
        <v>OK</v>
      </c>
      <c r="O2721" s="24">
        <f t="shared" si="171"/>
        <v>0</v>
      </c>
    </row>
    <row r="2722" spans="1:15" ht="15" customHeight="1" x14ac:dyDescent="0.3">
      <c r="A2722" s="23" t="s">
        <v>5938</v>
      </c>
      <c r="B2722" s="38">
        <v>46267</v>
      </c>
      <c r="C2722" s="23" t="s">
        <v>5939</v>
      </c>
      <c r="D2722" s="23" t="s">
        <v>89</v>
      </c>
      <c r="E2722" s="23" t="s">
        <v>75</v>
      </c>
      <c r="F2722" s="23" t="s">
        <v>310</v>
      </c>
      <c r="G2722" s="23" t="s">
        <v>250</v>
      </c>
      <c r="H2722" s="39">
        <f t="shared" si="168"/>
        <v>7999</v>
      </c>
      <c r="I2722" s="23" t="str">
        <f t="shared" si="169"/>
        <v>Jaipur</v>
      </c>
      <c r="J2722" s="23">
        <f>COUNTIFS(pg_transaction_cleaned!$O:$O,A2722,pg_transaction_cleaned!$F:$F,"CAPTURE")</f>
        <v>1</v>
      </c>
      <c r="K2722" s="39">
        <f>SUMIFS(pg_transaction_cleaned!$H:$H,pg_transaction_cleaned!$O:$O,A2722,pg_transaction_cleaned!$F:$F,"CAPTURE")</f>
        <v>7999</v>
      </c>
      <c r="L2722" s="23">
        <f>COUNTIFS(pg_transaction_cleaned!$O:$O,A2722,pg_transaction_cleaned!$F:$F,"REFUND")</f>
        <v>0</v>
      </c>
      <c r="M2722" s="39">
        <f>SUMIFS(pg_transaction_cleaned!$H:$H,pg_transaction_cleaned!$O:$O,A2722,pg_transaction_cleaned!$F:$F,"REFUND")</f>
        <v>0</v>
      </c>
      <c r="N2722" s="23" t="str">
        <f t="shared" si="170"/>
        <v>OK</v>
      </c>
      <c r="O2722" s="24">
        <f t="shared" si="171"/>
        <v>0</v>
      </c>
    </row>
    <row r="2723" spans="1:15" ht="15" customHeight="1" x14ac:dyDescent="0.3">
      <c r="A2723" s="23" t="s">
        <v>5940</v>
      </c>
      <c r="B2723" s="38">
        <v>46280</v>
      </c>
      <c r="C2723" s="23" t="s">
        <v>5941</v>
      </c>
      <c r="D2723" s="23" t="s">
        <v>89</v>
      </c>
      <c r="E2723" s="23" t="s">
        <v>75</v>
      </c>
      <c r="F2723" s="23" t="s">
        <v>475</v>
      </c>
      <c r="G2723" s="23" t="s">
        <v>250</v>
      </c>
      <c r="H2723" s="39">
        <f t="shared" si="168"/>
        <v>799</v>
      </c>
      <c r="I2723" s="23" t="str">
        <f t="shared" si="169"/>
        <v>Jaipur</v>
      </c>
      <c r="J2723" s="23">
        <f>COUNTIFS(pg_transaction_cleaned!$O:$O,A2723,pg_transaction_cleaned!$F:$F,"CAPTURE")</f>
        <v>1</v>
      </c>
      <c r="K2723" s="39">
        <f>SUMIFS(pg_transaction_cleaned!$H:$H,pg_transaction_cleaned!$O:$O,A2723,pg_transaction_cleaned!$F:$F,"CAPTURE")</f>
        <v>799</v>
      </c>
      <c r="L2723" s="23">
        <f>COUNTIFS(pg_transaction_cleaned!$O:$O,A2723,pg_transaction_cleaned!$F:$F,"REFUND")</f>
        <v>0</v>
      </c>
      <c r="M2723" s="39">
        <f>SUMIFS(pg_transaction_cleaned!$H:$H,pg_transaction_cleaned!$O:$O,A2723,pg_transaction_cleaned!$F:$F,"REFUND")</f>
        <v>0</v>
      </c>
      <c r="N2723" s="23" t="str">
        <f t="shared" si="170"/>
        <v>OK</v>
      </c>
      <c r="O2723" s="24">
        <f t="shared" si="171"/>
        <v>0</v>
      </c>
    </row>
    <row r="2724" spans="1:15" ht="15" customHeight="1" x14ac:dyDescent="0.3">
      <c r="A2724" s="23" t="s">
        <v>5942</v>
      </c>
      <c r="B2724" s="38">
        <v>46276</v>
      </c>
      <c r="C2724" s="23" t="s">
        <v>5943</v>
      </c>
      <c r="D2724" s="23" t="s">
        <v>94</v>
      </c>
      <c r="E2724" s="23" t="s">
        <v>79</v>
      </c>
      <c r="F2724" s="23" t="s">
        <v>647</v>
      </c>
      <c r="G2724" s="23" t="s">
        <v>250</v>
      </c>
      <c r="H2724" s="39">
        <f t="shared" si="168"/>
        <v>5597</v>
      </c>
      <c r="I2724" s="23" t="str">
        <f t="shared" si="169"/>
        <v>Chennai</v>
      </c>
      <c r="J2724" s="23">
        <f>COUNTIFS(pg_transaction_cleaned!$O:$O,A2724,pg_transaction_cleaned!$F:$F,"CAPTURE")</f>
        <v>1</v>
      </c>
      <c r="K2724" s="39">
        <f>SUMIFS(pg_transaction_cleaned!$H:$H,pg_transaction_cleaned!$O:$O,A2724,pg_transaction_cleaned!$F:$F,"CAPTURE")</f>
        <v>5597</v>
      </c>
      <c r="L2724" s="23">
        <f>COUNTIFS(pg_transaction_cleaned!$O:$O,A2724,pg_transaction_cleaned!$F:$F,"REFUND")</f>
        <v>0</v>
      </c>
      <c r="M2724" s="39">
        <f>SUMIFS(pg_transaction_cleaned!$H:$H,pg_transaction_cleaned!$O:$O,A2724,pg_transaction_cleaned!$F:$F,"REFUND")</f>
        <v>0</v>
      </c>
      <c r="N2724" s="23" t="str">
        <f t="shared" si="170"/>
        <v>OK</v>
      </c>
      <c r="O2724" s="24">
        <f t="shared" si="171"/>
        <v>0</v>
      </c>
    </row>
    <row r="2725" spans="1:15" ht="15" customHeight="1" x14ac:dyDescent="0.3">
      <c r="A2725" s="23" t="s">
        <v>5944</v>
      </c>
      <c r="B2725" s="38">
        <v>46291</v>
      </c>
      <c r="C2725" s="23" t="s">
        <v>5945</v>
      </c>
      <c r="D2725" s="23" t="s">
        <v>89</v>
      </c>
      <c r="E2725" s="23" t="s">
        <v>79</v>
      </c>
      <c r="F2725" s="23" t="s">
        <v>297</v>
      </c>
      <c r="G2725" s="23" t="s">
        <v>250</v>
      </c>
      <c r="H2725" s="39">
        <f t="shared" si="168"/>
        <v>4999</v>
      </c>
      <c r="I2725" s="23" t="str">
        <f t="shared" si="169"/>
        <v>Jaipur</v>
      </c>
      <c r="J2725" s="23">
        <f>COUNTIFS(pg_transaction_cleaned!$O:$O,A2725,pg_transaction_cleaned!$F:$F,"CAPTURE")</f>
        <v>1</v>
      </c>
      <c r="K2725" s="39">
        <f>SUMIFS(pg_transaction_cleaned!$H:$H,pg_transaction_cleaned!$O:$O,A2725,pg_transaction_cleaned!$F:$F,"CAPTURE")</f>
        <v>4999</v>
      </c>
      <c r="L2725" s="23">
        <f>COUNTIFS(pg_transaction_cleaned!$O:$O,A2725,pg_transaction_cleaned!$F:$F,"REFUND")</f>
        <v>0</v>
      </c>
      <c r="M2725" s="39">
        <f>SUMIFS(pg_transaction_cleaned!$H:$H,pg_transaction_cleaned!$O:$O,A2725,pg_transaction_cleaned!$F:$F,"REFUND")</f>
        <v>0</v>
      </c>
      <c r="N2725" s="23" t="str">
        <f t="shared" si="170"/>
        <v>OK</v>
      </c>
      <c r="O2725" s="24">
        <f t="shared" si="171"/>
        <v>0</v>
      </c>
    </row>
    <row r="2726" spans="1:15" ht="15" customHeight="1" x14ac:dyDescent="0.3">
      <c r="A2726" s="23" t="s">
        <v>5946</v>
      </c>
      <c r="B2726" s="38">
        <v>46270</v>
      </c>
      <c r="C2726" s="23" t="s">
        <v>5947</v>
      </c>
      <c r="D2726" s="23" t="s">
        <v>94</v>
      </c>
      <c r="E2726" s="23" t="s">
        <v>77</v>
      </c>
      <c r="F2726" s="23" t="s">
        <v>271</v>
      </c>
      <c r="G2726" s="23" t="s">
        <v>365</v>
      </c>
      <c r="H2726" s="39">
        <f t="shared" si="168"/>
        <v>2499</v>
      </c>
      <c r="I2726" s="23" t="str">
        <f t="shared" si="169"/>
        <v>Chennai</v>
      </c>
      <c r="J2726" s="23">
        <f>COUNTIFS(pg_transaction_cleaned!$O:$O,A2726,pg_transaction_cleaned!$F:$F,"CAPTURE")</f>
        <v>0</v>
      </c>
      <c r="K2726" s="39">
        <f>SUMIFS(pg_transaction_cleaned!$H:$H,pg_transaction_cleaned!$O:$O,A2726,pg_transaction_cleaned!$F:$F,"CAPTURE")</f>
        <v>0</v>
      </c>
      <c r="L2726" s="23">
        <f>COUNTIFS(pg_transaction_cleaned!$O:$O,A2726,pg_transaction_cleaned!$F:$F,"REFUND")</f>
        <v>0</v>
      </c>
      <c r="M2726" s="39">
        <f>SUMIFS(pg_transaction_cleaned!$H:$H,pg_transaction_cleaned!$O:$O,A2726,pg_transaction_cleaned!$F:$F,"REFUND")</f>
        <v>0</v>
      </c>
      <c r="N2726" s="23" t="str">
        <f t="shared" si="170"/>
        <v>OK</v>
      </c>
      <c r="O2726" s="24">
        <f t="shared" si="171"/>
        <v>0</v>
      </c>
    </row>
    <row r="2727" spans="1:15" ht="15" customHeight="1" x14ac:dyDescent="0.3">
      <c r="A2727" s="23" t="s">
        <v>5948</v>
      </c>
      <c r="B2727" s="38">
        <v>46266</v>
      </c>
      <c r="C2727" s="23" t="s">
        <v>5949</v>
      </c>
      <c r="D2727" s="23" t="s">
        <v>92</v>
      </c>
      <c r="E2727" s="23" t="s">
        <v>75</v>
      </c>
      <c r="F2727" s="23" t="s">
        <v>310</v>
      </c>
      <c r="G2727" s="23" t="s">
        <v>250</v>
      </c>
      <c r="H2727" s="39">
        <f t="shared" si="168"/>
        <v>7999</v>
      </c>
      <c r="I2727" s="23" t="str">
        <f t="shared" si="169"/>
        <v>Hyderabad</v>
      </c>
      <c r="J2727" s="23">
        <f>COUNTIFS(pg_transaction_cleaned!$O:$O,A2727,pg_transaction_cleaned!$F:$F,"CAPTURE")</f>
        <v>1</v>
      </c>
      <c r="K2727" s="39">
        <f>SUMIFS(pg_transaction_cleaned!$H:$H,pg_transaction_cleaned!$O:$O,A2727,pg_transaction_cleaned!$F:$F,"CAPTURE")</f>
        <v>7999</v>
      </c>
      <c r="L2727" s="23">
        <f>COUNTIFS(pg_transaction_cleaned!$O:$O,A2727,pg_transaction_cleaned!$F:$F,"REFUND")</f>
        <v>0</v>
      </c>
      <c r="M2727" s="39">
        <f>SUMIFS(pg_transaction_cleaned!$H:$H,pg_transaction_cleaned!$O:$O,A2727,pg_transaction_cleaned!$F:$F,"REFUND")</f>
        <v>0</v>
      </c>
      <c r="N2727" s="23" t="str">
        <f t="shared" si="170"/>
        <v>OK</v>
      </c>
      <c r="O2727" s="24">
        <f t="shared" si="171"/>
        <v>0</v>
      </c>
    </row>
    <row r="2728" spans="1:15" ht="15" customHeight="1" x14ac:dyDescent="0.3">
      <c r="A2728" s="23" t="s">
        <v>5950</v>
      </c>
      <c r="B2728" s="38">
        <v>46277</v>
      </c>
      <c r="C2728" s="23" t="s">
        <v>5951</v>
      </c>
      <c r="D2728" s="23" t="s">
        <v>86</v>
      </c>
      <c r="E2728" s="23" t="s">
        <v>75</v>
      </c>
      <c r="F2728" s="23" t="s">
        <v>1329</v>
      </c>
      <c r="G2728" s="23" t="s">
        <v>250</v>
      </c>
      <c r="H2728" s="39">
        <f t="shared" si="168"/>
        <v>6097</v>
      </c>
      <c r="I2728" s="23" t="str">
        <f t="shared" si="169"/>
        <v>Delhi</v>
      </c>
      <c r="J2728" s="23">
        <f>COUNTIFS(pg_transaction_cleaned!$O:$O,A2728,pg_transaction_cleaned!$F:$F,"CAPTURE")</f>
        <v>1</v>
      </c>
      <c r="K2728" s="39">
        <f>SUMIFS(pg_transaction_cleaned!$H:$H,pg_transaction_cleaned!$O:$O,A2728,pg_transaction_cleaned!$F:$F,"CAPTURE")</f>
        <v>6097</v>
      </c>
      <c r="L2728" s="23">
        <f>COUNTIFS(pg_transaction_cleaned!$O:$O,A2728,pg_transaction_cleaned!$F:$F,"REFUND")</f>
        <v>0</v>
      </c>
      <c r="M2728" s="39">
        <f>SUMIFS(pg_transaction_cleaned!$H:$H,pg_transaction_cleaned!$O:$O,A2728,pg_transaction_cleaned!$F:$F,"REFUND")</f>
        <v>0</v>
      </c>
      <c r="N2728" s="23" t="str">
        <f t="shared" si="170"/>
        <v>OK</v>
      </c>
      <c r="O2728" s="24">
        <f t="shared" si="171"/>
        <v>0</v>
      </c>
    </row>
    <row r="2729" spans="1:15" ht="15" customHeight="1" x14ac:dyDescent="0.3">
      <c r="A2729" s="23" t="s">
        <v>5952</v>
      </c>
      <c r="B2729" s="38">
        <v>46286</v>
      </c>
      <c r="C2729" s="23" t="s">
        <v>5953</v>
      </c>
      <c r="D2729" s="23" t="s">
        <v>87</v>
      </c>
      <c r="E2729" s="23" t="s">
        <v>75</v>
      </c>
      <c r="F2729" s="23" t="s">
        <v>297</v>
      </c>
      <c r="G2729" s="23" t="s">
        <v>250</v>
      </c>
      <c r="H2729" s="39">
        <f t="shared" si="168"/>
        <v>4999</v>
      </c>
      <c r="I2729" s="23" t="str">
        <f t="shared" si="169"/>
        <v>Mumbai</v>
      </c>
      <c r="J2729" s="23">
        <f>COUNTIFS(pg_transaction_cleaned!$O:$O,A2729,pg_transaction_cleaned!$F:$F,"CAPTURE")</f>
        <v>1</v>
      </c>
      <c r="K2729" s="39">
        <f>SUMIFS(pg_transaction_cleaned!$H:$H,pg_transaction_cleaned!$O:$O,A2729,pg_transaction_cleaned!$F:$F,"CAPTURE")</f>
        <v>4999</v>
      </c>
      <c r="L2729" s="23">
        <f>COUNTIFS(pg_transaction_cleaned!$O:$O,A2729,pg_transaction_cleaned!$F:$F,"REFUND")</f>
        <v>0</v>
      </c>
      <c r="M2729" s="39">
        <f>SUMIFS(pg_transaction_cleaned!$H:$H,pg_transaction_cleaned!$O:$O,A2729,pg_transaction_cleaned!$F:$F,"REFUND")</f>
        <v>0</v>
      </c>
      <c r="N2729" s="23" t="str">
        <f t="shared" si="170"/>
        <v>OK</v>
      </c>
      <c r="O2729" s="24">
        <f t="shared" si="171"/>
        <v>0</v>
      </c>
    </row>
    <row r="2730" spans="1:15" ht="15" customHeight="1" x14ac:dyDescent="0.3">
      <c r="A2730" s="23" t="s">
        <v>5954</v>
      </c>
      <c r="B2730" s="38">
        <v>46276</v>
      </c>
      <c r="C2730" s="23" t="s">
        <v>5955</v>
      </c>
      <c r="D2730" s="23" t="s">
        <v>93</v>
      </c>
      <c r="E2730" s="23" t="s">
        <v>75</v>
      </c>
      <c r="F2730" s="23" t="s">
        <v>315</v>
      </c>
      <c r="G2730" s="23" t="s">
        <v>250</v>
      </c>
      <c r="H2730" s="39">
        <f t="shared" si="168"/>
        <v>1499</v>
      </c>
      <c r="I2730" s="23" t="str">
        <f t="shared" si="169"/>
        <v>Kolkata</v>
      </c>
      <c r="J2730" s="23">
        <f>COUNTIFS(pg_transaction_cleaned!$O:$O,A2730,pg_transaction_cleaned!$F:$F,"CAPTURE")</f>
        <v>1</v>
      </c>
      <c r="K2730" s="39">
        <f>SUMIFS(pg_transaction_cleaned!$H:$H,pg_transaction_cleaned!$O:$O,A2730,pg_transaction_cleaned!$F:$F,"CAPTURE")</f>
        <v>1499</v>
      </c>
      <c r="L2730" s="23">
        <f>COUNTIFS(pg_transaction_cleaned!$O:$O,A2730,pg_transaction_cleaned!$F:$F,"REFUND")</f>
        <v>0</v>
      </c>
      <c r="M2730" s="39">
        <f>SUMIFS(pg_transaction_cleaned!$H:$H,pg_transaction_cleaned!$O:$O,A2730,pg_transaction_cleaned!$F:$F,"REFUND")</f>
        <v>0</v>
      </c>
      <c r="N2730" s="23" t="str">
        <f t="shared" si="170"/>
        <v>OK</v>
      </c>
      <c r="O2730" s="24">
        <f t="shared" si="171"/>
        <v>0</v>
      </c>
    </row>
    <row r="2731" spans="1:15" ht="15" customHeight="1" x14ac:dyDescent="0.3">
      <c r="A2731" s="23" t="s">
        <v>5956</v>
      </c>
      <c r="B2731" s="38">
        <v>46283</v>
      </c>
      <c r="C2731" s="23" t="s">
        <v>5957</v>
      </c>
      <c r="D2731" s="23" t="s">
        <v>89</v>
      </c>
      <c r="E2731" s="23" t="s">
        <v>75</v>
      </c>
      <c r="F2731" s="23" t="s">
        <v>444</v>
      </c>
      <c r="G2731" s="23" t="s">
        <v>250</v>
      </c>
      <c r="H2731" s="39">
        <f t="shared" si="168"/>
        <v>3847</v>
      </c>
      <c r="I2731" s="23" t="str">
        <f t="shared" si="169"/>
        <v>Jaipur</v>
      </c>
      <c r="J2731" s="23">
        <f>COUNTIFS(pg_transaction_cleaned!$O:$O,A2731,pg_transaction_cleaned!$F:$F,"CAPTURE")</f>
        <v>1</v>
      </c>
      <c r="K2731" s="39">
        <f>SUMIFS(pg_transaction_cleaned!$H:$H,pg_transaction_cleaned!$O:$O,A2731,pg_transaction_cleaned!$F:$F,"CAPTURE")</f>
        <v>3847</v>
      </c>
      <c r="L2731" s="23">
        <f>COUNTIFS(pg_transaction_cleaned!$O:$O,A2731,pg_transaction_cleaned!$F:$F,"REFUND")</f>
        <v>0</v>
      </c>
      <c r="M2731" s="39">
        <f>SUMIFS(pg_transaction_cleaned!$H:$H,pg_transaction_cleaned!$O:$O,A2731,pg_transaction_cleaned!$F:$F,"REFUND")</f>
        <v>0</v>
      </c>
      <c r="N2731" s="23" t="str">
        <f t="shared" si="170"/>
        <v>OK</v>
      </c>
      <c r="O2731" s="24">
        <f t="shared" si="171"/>
        <v>0</v>
      </c>
    </row>
    <row r="2732" spans="1:15" ht="15" customHeight="1" x14ac:dyDescent="0.3">
      <c r="A2732" s="23" t="s">
        <v>5958</v>
      </c>
      <c r="B2732" s="38">
        <v>46285</v>
      </c>
      <c r="C2732" s="23" t="s">
        <v>5959</v>
      </c>
      <c r="D2732" s="23" t="s">
        <v>90</v>
      </c>
      <c r="E2732" s="23" t="s">
        <v>79</v>
      </c>
      <c r="F2732" s="23" t="s">
        <v>307</v>
      </c>
      <c r="G2732" s="23" t="s">
        <v>250</v>
      </c>
      <c r="H2732" s="39">
        <f t="shared" si="168"/>
        <v>3798</v>
      </c>
      <c r="I2732" s="23" t="str">
        <f t="shared" si="169"/>
        <v>Ahmedabad</v>
      </c>
      <c r="J2732" s="23">
        <f>COUNTIFS(pg_transaction_cleaned!$O:$O,A2732,pg_transaction_cleaned!$F:$F,"CAPTURE")</f>
        <v>1</v>
      </c>
      <c r="K2732" s="39">
        <f>SUMIFS(pg_transaction_cleaned!$H:$H,pg_transaction_cleaned!$O:$O,A2732,pg_transaction_cleaned!$F:$F,"CAPTURE")</f>
        <v>3798</v>
      </c>
      <c r="L2732" s="23">
        <f>COUNTIFS(pg_transaction_cleaned!$O:$O,A2732,pg_transaction_cleaned!$F:$F,"REFUND")</f>
        <v>0</v>
      </c>
      <c r="M2732" s="39">
        <f>SUMIFS(pg_transaction_cleaned!$H:$H,pg_transaction_cleaned!$O:$O,A2732,pg_transaction_cleaned!$F:$F,"REFUND")</f>
        <v>0</v>
      </c>
      <c r="N2732" s="23" t="str">
        <f t="shared" si="170"/>
        <v>OK</v>
      </c>
      <c r="O2732" s="24">
        <f t="shared" si="171"/>
        <v>0</v>
      </c>
    </row>
    <row r="2733" spans="1:15" ht="15" customHeight="1" x14ac:dyDescent="0.3">
      <c r="A2733" s="23" t="s">
        <v>5960</v>
      </c>
      <c r="B2733" s="38">
        <v>46293</v>
      </c>
      <c r="C2733" s="23" t="s">
        <v>5961</v>
      </c>
      <c r="D2733" s="23" t="s">
        <v>93</v>
      </c>
      <c r="E2733" s="23" t="s">
        <v>79</v>
      </c>
      <c r="F2733" s="23" t="s">
        <v>2086</v>
      </c>
      <c r="G2733" s="23" t="s">
        <v>365</v>
      </c>
      <c r="H2733" s="39">
        <f t="shared" si="168"/>
        <v>3397</v>
      </c>
      <c r="I2733" s="23" t="str">
        <f t="shared" si="169"/>
        <v>Kolkata</v>
      </c>
      <c r="J2733" s="23">
        <f>COUNTIFS(pg_transaction_cleaned!$O:$O,A2733,pg_transaction_cleaned!$F:$F,"CAPTURE")</f>
        <v>0</v>
      </c>
      <c r="K2733" s="39">
        <f>SUMIFS(pg_transaction_cleaned!$H:$H,pg_transaction_cleaned!$O:$O,A2733,pg_transaction_cleaned!$F:$F,"CAPTURE")</f>
        <v>0</v>
      </c>
      <c r="L2733" s="23">
        <f>COUNTIFS(pg_transaction_cleaned!$O:$O,A2733,pg_transaction_cleaned!$F:$F,"REFUND")</f>
        <v>0</v>
      </c>
      <c r="M2733" s="39">
        <f>SUMIFS(pg_transaction_cleaned!$H:$H,pg_transaction_cleaned!$O:$O,A2733,pg_transaction_cleaned!$F:$F,"REFUND")</f>
        <v>0</v>
      </c>
      <c r="N2733" s="23" t="str">
        <f t="shared" si="170"/>
        <v>OK</v>
      </c>
      <c r="O2733" s="24">
        <f t="shared" si="171"/>
        <v>0</v>
      </c>
    </row>
    <row r="2734" spans="1:15" ht="15" customHeight="1" x14ac:dyDescent="0.3">
      <c r="A2734" s="23" t="s">
        <v>5962</v>
      </c>
      <c r="B2734" s="38">
        <v>46270</v>
      </c>
      <c r="C2734" s="23" t="s">
        <v>5963</v>
      </c>
      <c r="D2734" s="23" t="s">
        <v>94</v>
      </c>
      <c r="E2734" s="23" t="s">
        <v>77</v>
      </c>
      <c r="F2734" s="23" t="s">
        <v>3328</v>
      </c>
      <c r="G2734" s="23" t="s">
        <v>250</v>
      </c>
      <c r="H2734" s="39">
        <f t="shared" si="168"/>
        <v>1797</v>
      </c>
      <c r="I2734" s="23" t="str">
        <f t="shared" si="169"/>
        <v>Chennai</v>
      </c>
      <c r="J2734" s="23">
        <f>COUNTIFS(pg_transaction_cleaned!$O:$O,A2734,pg_transaction_cleaned!$F:$F,"CAPTURE")</f>
        <v>1</v>
      </c>
      <c r="K2734" s="39">
        <f>SUMIFS(pg_transaction_cleaned!$H:$H,pg_transaction_cleaned!$O:$O,A2734,pg_transaction_cleaned!$F:$F,"CAPTURE")</f>
        <v>1797</v>
      </c>
      <c r="L2734" s="23">
        <f>COUNTIFS(pg_transaction_cleaned!$O:$O,A2734,pg_transaction_cleaned!$F:$F,"REFUND")</f>
        <v>0</v>
      </c>
      <c r="M2734" s="39">
        <f>SUMIFS(pg_transaction_cleaned!$H:$H,pg_transaction_cleaned!$O:$O,A2734,pg_transaction_cleaned!$F:$F,"REFUND")</f>
        <v>0</v>
      </c>
      <c r="N2734" s="23" t="str">
        <f t="shared" si="170"/>
        <v>OK</v>
      </c>
      <c r="O2734" s="24">
        <f t="shared" si="171"/>
        <v>0</v>
      </c>
    </row>
    <row r="2735" spans="1:15" ht="15" customHeight="1" x14ac:dyDescent="0.3">
      <c r="A2735" s="23" t="s">
        <v>5964</v>
      </c>
      <c r="B2735" s="38">
        <v>46275</v>
      </c>
      <c r="C2735" s="23" t="s">
        <v>5965</v>
      </c>
      <c r="D2735" s="23" t="s">
        <v>89</v>
      </c>
      <c r="E2735" s="23" t="s">
        <v>81</v>
      </c>
      <c r="F2735" s="23" t="s">
        <v>274</v>
      </c>
      <c r="G2735" s="23" t="s">
        <v>250</v>
      </c>
      <c r="H2735" s="39">
        <f t="shared" si="168"/>
        <v>349</v>
      </c>
      <c r="I2735" s="23" t="str">
        <f t="shared" si="169"/>
        <v>Jaipur</v>
      </c>
      <c r="J2735" s="23">
        <f>COUNTIFS(pg_transaction_cleaned!$O:$O,A2735,pg_transaction_cleaned!$F:$F,"CAPTURE")</f>
        <v>1</v>
      </c>
      <c r="K2735" s="39">
        <f>SUMIFS(pg_transaction_cleaned!$H:$H,pg_transaction_cleaned!$O:$O,A2735,pg_transaction_cleaned!$F:$F,"CAPTURE")</f>
        <v>349</v>
      </c>
      <c r="L2735" s="23">
        <f>COUNTIFS(pg_transaction_cleaned!$O:$O,A2735,pg_transaction_cleaned!$F:$F,"REFUND")</f>
        <v>0</v>
      </c>
      <c r="M2735" s="39">
        <f>SUMIFS(pg_transaction_cleaned!$H:$H,pg_transaction_cleaned!$O:$O,A2735,pg_transaction_cleaned!$F:$F,"REFUND")</f>
        <v>0</v>
      </c>
      <c r="N2735" s="23" t="str">
        <f t="shared" si="170"/>
        <v>OK</v>
      </c>
      <c r="O2735" s="24">
        <f t="shared" si="171"/>
        <v>0</v>
      </c>
    </row>
    <row r="2736" spans="1:15" ht="15" customHeight="1" x14ac:dyDescent="0.3">
      <c r="A2736" s="23" t="s">
        <v>5966</v>
      </c>
      <c r="B2736" s="38">
        <v>46291</v>
      </c>
      <c r="C2736" s="23" t="s">
        <v>5967</v>
      </c>
      <c r="D2736" s="23" t="s">
        <v>95</v>
      </c>
      <c r="E2736" s="23" t="s">
        <v>81</v>
      </c>
      <c r="F2736" s="23" t="s">
        <v>291</v>
      </c>
      <c r="G2736" s="23" t="s">
        <v>250</v>
      </c>
      <c r="H2736" s="39">
        <f t="shared" si="168"/>
        <v>3499</v>
      </c>
      <c r="I2736" s="23" t="str">
        <f t="shared" si="169"/>
        <v>Bengaluru</v>
      </c>
      <c r="J2736" s="23">
        <f>COUNTIFS(pg_transaction_cleaned!$O:$O,A2736,pg_transaction_cleaned!$F:$F,"CAPTURE")</f>
        <v>1</v>
      </c>
      <c r="K2736" s="39">
        <f>SUMIFS(pg_transaction_cleaned!$H:$H,pg_transaction_cleaned!$O:$O,A2736,pg_transaction_cleaned!$F:$F,"CAPTURE")</f>
        <v>3499</v>
      </c>
      <c r="L2736" s="23">
        <f>COUNTIFS(pg_transaction_cleaned!$O:$O,A2736,pg_transaction_cleaned!$F:$F,"REFUND")</f>
        <v>0</v>
      </c>
      <c r="M2736" s="39">
        <f>SUMIFS(pg_transaction_cleaned!$H:$H,pg_transaction_cleaned!$O:$O,A2736,pg_transaction_cleaned!$F:$F,"REFUND")</f>
        <v>0</v>
      </c>
      <c r="N2736" s="23" t="str">
        <f t="shared" si="170"/>
        <v>OK</v>
      </c>
      <c r="O2736" s="24">
        <f t="shared" si="171"/>
        <v>0</v>
      </c>
    </row>
    <row r="2737" spans="1:15" ht="15" customHeight="1" x14ac:dyDescent="0.3">
      <c r="A2737" s="23" t="s">
        <v>5968</v>
      </c>
      <c r="B2737" s="38">
        <v>46285</v>
      </c>
      <c r="C2737" s="23" t="s">
        <v>5969</v>
      </c>
      <c r="D2737" s="23" t="s">
        <v>91</v>
      </c>
      <c r="E2737" s="23" t="s">
        <v>79</v>
      </c>
      <c r="F2737" s="23" t="s">
        <v>310</v>
      </c>
      <c r="G2737" s="23" t="s">
        <v>250</v>
      </c>
      <c r="H2737" s="39">
        <f t="shared" si="168"/>
        <v>7999</v>
      </c>
      <c r="I2737" s="23" t="str">
        <f t="shared" si="169"/>
        <v>Pune</v>
      </c>
      <c r="J2737" s="23">
        <f>COUNTIFS(pg_transaction_cleaned!$O:$O,A2737,pg_transaction_cleaned!$F:$F,"CAPTURE")</f>
        <v>1</v>
      </c>
      <c r="K2737" s="39">
        <f>SUMIFS(pg_transaction_cleaned!$H:$H,pg_transaction_cleaned!$O:$O,A2737,pg_transaction_cleaned!$F:$F,"CAPTURE")</f>
        <v>7999</v>
      </c>
      <c r="L2737" s="23">
        <f>COUNTIFS(pg_transaction_cleaned!$O:$O,A2737,pg_transaction_cleaned!$F:$F,"REFUND")</f>
        <v>0</v>
      </c>
      <c r="M2737" s="39">
        <f>SUMIFS(pg_transaction_cleaned!$H:$H,pg_transaction_cleaned!$O:$O,A2737,pg_transaction_cleaned!$F:$F,"REFUND")</f>
        <v>0</v>
      </c>
      <c r="N2737" s="23" t="str">
        <f t="shared" si="170"/>
        <v>OK</v>
      </c>
      <c r="O2737" s="24">
        <f t="shared" si="171"/>
        <v>0</v>
      </c>
    </row>
    <row r="2738" spans="1:15" ht="15" customHeight="1" x14ac:dyDescent="0.3">
      <c r="A2738" s="23" t="s">
        <v>5970</v>
      </c>
      <c r="B2738" s="38">
        <v>46267</v>
      </c>
      <c r="C2738" s="23" t="s">
        <v>5971</v>
      </c>
      <c r="D2738" s="23" t="s">
        <v>92</v>
      </c>
      <c r="E2738" s="23" t="s">
        <v>75</v>
      </c>
      <c r="F2738" s="23" t="s">
        <v>307</v>
      </c>
      <c r="G2738" s="23" t="s">
        <v>365</v>
      </c>
      <c r="H2738" s="39">
        <f t="shared" si="168"/>
        <v>3798</v>
      </c>
      <c r="I2738" s="23" t="str">
        <f t="shared" si="169"/>
        <v>Hyderabad</v>
      </c>
      <c r="J2738" s="23">
        <f>COUNTIFS(pg_transaction_cleaned!$O:$O,A2738,pg_transaction_cleaned!$F:$F,"CAPTURE")</f>
        <v>0</v>
      </c>
      <c r="K2738" s="39">
        <f>SUMIFS(pg_transaction_cleaned!$H:$H,pg_transaction_cleaned!$O:$O,A2738,pg_transaction_cleaned!$F:$F,"CAPTURE")</f>
        <v>0</v>
      </c>
      <c r="L2738" s="23">
        <f>COUNTIFS(pg_transaction_cleaned!$O:$O,A2738,pg_transaction_cleaned!$F:$F,"REFUND")</f>
        <v>0</v>
      </c>
      <c r="M2738" s="39">
        <f>SUMIFS(pg_transaction_cleaned!$H:$H,pg_transaction_cleaned!$O:$O,A2738,pg_transaction_cleaned!$F:$F,"REFUND")</f>
        <v>0</v>
      </c>
      <c r="N2738" s="23" t="str">
        <f t="shared" si="170"/>
        <v>OK</v>
      </c>
      <c r="O2738" s="24">
        <f t="shared" si="171"/>
        <v>0</v>
      </c>
    </row>
    <row r="2739" spans="1:15" ht="15" customHeight="1" x14ac:dyDescent="0.3">
      <c r="A2739" s="23" t="s">
        <v>5972</v>
      </c>
      <c r="B2739" s="38">
        <v>46281</v>
      </c>
      <c r="C2739" s="23" t="s">
        <v>5973</v>
      </c>
      <c r="D2739" s="23" t="s">
        <v>89</v>
      </c>
      <c r="E2739" s="23" t="s">
        <v>75</v>
      </c>
      <c r="F2739" s="23" t="s">
        <v>329</v>
      </c>
      <c r="G2739" s="23" t="s">
        <v>250</v>
      </c>
      <c r="H2739" s="39">
        <f t="shared" si="168"/>
        <v>599</v>
      </c>
      <c r="I2739" s="23" t="str">
        <f t="shared" si="169"/>
        <v>Jaipur</v>
      </c>
      <c r="J2739" s="23">
        <f>COUNTIFS(pg_transaction_cleaned!$O:$O,A2739,pg_transaction_cleaned!$F:$F,"CAPTURE")</f>
        <v>1</v>
      </c>
      <c r="K2739" s="39">
        <f>SUMIFS(pg_transaction_cleaned!$H:$H,pg_transaction_cleaned!$O:$O,A2739,pg_transaction_cleaned!$F:$F,"CAPTURE")</f>
        <v>599</v>
      </c>
      <c r="L2739" s="23">
        <f>COUNTIFS(pg_transaction_cleaned!$O:$O,A2739,pg_transaction_cleaned!$F:$F,"REFUND")</f>
        <v>0</v>
      </c>
      <c r="M2739" s="39">
        <f>SUMIFS(pg_transaction_cleaned!$H:$H,pg_transaction_cleaned!$O:$O,A2739,pg_transaction_cleaned!$F:$F,"REFUND")</f>
        <v>0</v>
      </c>
      <c r="N2739" s="23" t="str">
        <f t="shared" si="170"/>
        <v>OK</v>
      </c>
      <c r="O2739" s="24">
        <f t="shared" si="171"/>
        <v>0</v>
      </c>
    </row>
    <row r="2740" spans="1:15" ht="15" customHeight="1" x14ac:dyDescent="0.3">
      <c r="A2740" s="23" t="s">
        <v>5974</v>
      </c>
      <c r="B2740" s="38">
        <v>46271</v>
      </c>
      <c r="C2740" s="23" t="s">
        <v>5975</v>
      </c>
      <c r="D2740" s="23" t="s">
        <v>86</v>
      </c>
      <c r="E2740" s="23" t="s">
        <v>79</v>
      </c>
      <c r="F2740" s="23" t="s">
        <v>370</v>
      </c>
      <c r="G2740" s="23" t="s">
        <v>250</v>
      </c>
      <c r="H2740" s="39">
        <f t="shared" si="168"/>
        <v>3098</v>
      </c>
      <c r="I2740" s="23" t="str">
        <f t="shared" si="169"/>
        <v>Delhi</v>
      </c>
      <c r="J2740" s="23">
        <f>COUNTIFS(pg_transaction_cleaned!$O:$O,A2740,pg_transaction_cleaned!$F:$F,"CAPTURE")</f>
        <v>1</v>
      </c>
      <c r="K2740" s="39">
        <f>SUMIFS(pg_transaction_cleaned!$H:$H,pg_transaction_cleaned!$O:$O,A2740,pg_transaction_cleaned!$F:$F,"CAPTURE")</f>
        <v>3098</v>
      </c>
      <c r="L2740" s="23">
        <f>COUNTIFS(pg_transaction_cleaned!$O:$O,A2740,pg_transaction_cleaned!$F:$F,"REFUND")</f>
        <v>0</v>
      </c>
      <c r="M2740" s="39">
        <f>SUMIFS(pg_transaction_cleaned!$H:$H,pg_transaction_cleaned!$O:$O,A2740,pg_transaction_cleaned!$F:$F,"REFUND")</f>
        <v>0</v>
      </c>
      <c r="N2740" s="23" t="str">
        <f t="shared" si="170"/>
        <v>OK</v>
      </c>
      <c r="O2740" s="24">
        <f t="shared" si="171"/>
        <v>0</v>
      </c>
    </row>
    <row r="2741" spans="1:15" ht="15" customHeight="1" x14ac:dyDescent="0.3">
      <c r="A2741" s="23" t="s">
        <v>5976</v>
      </c>
      <c r="B2741" s="38">
        <v>46294</v>
      </c>
      <c r="C2741" s="23" t="s">
        <v>5977</v>
      </c>
      <c r="D2741" s="23" t="s">
        <v>89</v>
      </c>
      <c r="E2741" s="23" t="s">
        <v>75</v>
      </c>
      <c r="F2741" s="23" t="s">
        <v>315</v>
      </c>
      <c r="G2741" s="23" t="s">
        <v>250</v>
      </c>
      <c r="H2741" s="39">
        <f t="shared" si="168"/>
        <v>1499</v>
      </c>
      <c r="I2741" s="23" t="str">
        <f t="shared" si="169"/>
        <v>Jaipur</v>
      </c>
      <c r="J2741" s="23">
        <f>COUNTIFS(pg_transaction_cleaned!$O:$O,A2741,pg_transaction_cleaned!$F:$F,"CAPTURE")</f>
        <v>1</v>
      </c>
      <c r="K2741" s="39">
        <f>SUMIFS(pg_transaction_cleaned!$H:$H,pg_transaction_cleaned!$O:$O,A2741,pg_transaction_cleaned!$F:$F,"CAPTURE")</f>
        <v>1499</v>
      </c>
      <c r="L2741" s="23">
        <f>COUNTIFS(pg_transaction_cleaned!$O:$O,A2741,pg_transaction_cleaned!$F:$F,"REFUND")</f>
        <v>0</v>
      </c>
      <c r="M2741" s="39">
        <f>SUMIFS(pg_transaction_cleaned!$H:$H,pg_transaction_cleaned!$O:$O,A2741,pg_transaction_cleaned!$F:$F,"REFUND")</f>
        <v>0</v>
      </c>
      <c r="N2741" s="23" t="str">
        <f t="shared" si="170"/>
        <v>OK</v>
      </c>
      <c r="O2741" s="24">
        <f t="shared" si="171"/>
        <v>0</v>
      </c>
    </row>
    <row r="2742" spans="1:15" ht="15" customHeight="1" x14ac:dyDescent="0.3">
      <c r="A2742" s="23" t="s">
        <v>5978</v>
      </c>
      <c r="B2742" s="38">
        <v>46286</v>
      </c>
      <c r="C2742" s="23" t="s">
        <v>5979</v>
      </c>
      <c r="D2742" s="23" t="s">
        <v>87</v>
      </c>
      <c r="E2742" s="23" t="s">
        <v>75</v>
      </c>
      <c r="F2742" s="23" t="s">
        <v>315</v>
      </c>
      <c r="G2742" s="23" t="s">
        <v>250</v>
      </c>
      <c r="H2742" s="39">
        <f t="shared" si="168"/>
        <v>1499</v>
      </c>
      <c r="I2742" s="23" t="str">
        <f t="shared" si="169"/>
        <v>Mumbai</v>
      </c>
      <c r="J2742" s="23">
        <f>COUNTIFS(pg_transaction_cleaned!$O:$O,A2742,pg_transaction_cleaned!$F:$F,"CAPTURE")</f>
        <v>1</v>
      </c>
      <c r="K2742" s="39">
        <f>SUMIFS(pg_transaction_cleaned!$H:$H,pg_transaction_cleaned!$O:$O,A2742,pg_transaction_cleaned!$F:$F,"CAPTURE")</f>
        <v>1499</v>
      </c>
      <c r="L2742" s="23">
        <f>COUNTIFS(pg_transaction_cleaned!$O:$O,A2742,pg_transaction_cleaned!$F:$F,"REFUND")</f>
        <v>0</v>
      </c>
      <c r="M2742" s="39">
        <f>SUMIFS(pg_transaction_cleaned!$H:$H,pg_transaction_cleaned!$O:$O,A2742,pg_transaction_cleaned!$F:$F,"REFUND")</f>
        <v>0</v>
      </c>
      <c r="N2742" s="23" t="str">
        <f t="shared" si="170"/>
        <v>OK</v>
      </c>
      <c r="O2742" s="24">
        <f t="shared" si="171"/>
        <v>0</v>
      </c>
    </row>
    <row r="2743" spans="1:15" ht="15" customHeight="1" x14ac:dyDescent="0.3">
      <c r="A2743" s="23" t="s">
        <v>5980</v>
      </c>
      <c r="B2743" s="38">
        <v>46276</v>
      </c>
      <c r="C2743" s="23" t="s">
        <v>5981</v>
      </c>
      <c r="D2743" s="23" t="s">
        <v>90</v>
      </c>
      <c r="E2743" s="23" t="s">
        <v>81</v>
      </c>
      <c r="F2743" s="23" t="s">
        <v>271</v>
      </c>
      <c r="G2743" s="23" t="s">
        <v>250</v>
      </c>
      <c r="H2743" s="39">
        <f t="shared" si="168"/>
        <v>2499</v>
      </c>
      <c r="I2743" s="23" t="str">
        <f t="shared" si="169"/>
        <v>Ahmedabad</v>
      </c>
      <c r="J2743" s="23">
        <f>COUNTIFS(pg_transaction_cleaned!$O:$O,A2743,pg_transaction_cleaned!$F:$F,"CAPTURE")</f>
        <v>1</v>
      </c>
      <c r="K2743" s="39">
        <f>SUMIFS(pg_transaction_cleaned!$H:$H,pg_transaction_cleaned!$O:$O,A2743,pg_transaction_cleaned!$F:$F,"CAPTURE")</f>
        <v>2499</v>
      </c>
      <c r="L2743" s="23">
        <f>COUNTIFS(pg_transaction_cleaned!$O:$O,A2743,pg_transaction_cleaned!$F:$F,"REFUND")</f>
        <v>0</v>
      </c>
      <c r="M2743" s="39">
        <f>SUMIFS(pg_transaction_cleaned!$H:$H,pg_transaction_cleaned!$O:$O,A2743,pg_transaction_cleaned!$F:$F,"REFUND")</f>
        <v>0</v>
      </c>
      <c r="N2743" s="23" t="str">
        <f t="shared" si="170"/>
        <v>OK</v>
      </c>
      <c r="O2743" s="24">
        <f t="shared" si="171"/>
        <v>0</v>
      </c>
    </row>
    <row r="2744" spans="1:15" ht="15" customHeight="1" x14ac:dyDescent="0.3">
      <c r="A2744" s="23" t="s">
        <v>5982</v>
      </c>
      <c r="B2744" s="38">
        <v>46278</v>
      </c>
      <c r="C2744" s="23" t="s">
        <v>5983</v>
      </c>
      <c r="D2744" s="23" t="s">
        <v>90</v>
      </c>
      <c r="E2744" s="23" t="s">
        <v>75</v>
      </c>
      <c r="F2744" s="23" t="s">
        <v>3945</v>
      </c>
      <c r="G2744" s="23" t="s">
        <v>250</v>
      </c>
      <c r="H2744" s="39">
        <f t="shared" si="168"/>
        <v>5897</v>
      </c>
      <c r="I2744" s="23" t="str">
        <f t="shared" si="169"/>
        <v>Ahmedabad</v>
      </c>
      <c r="J2744" s="23">
        <f>COUNTIFS(pg_transaction_cleaned!$O:$O,A2744,pg_transaction_cleaned!$F:$F,"CAPTURE")</f>
        <v>1</v>
      </c>
      <c r="K2744" s="39">
        <f>SUMIFS(pg_transaction_cleaned!$H:$H,pg_transaction_cleaned!$O:$O,A2744,pg_transaction_cleaned!$F:$F,"CAPTURE")</f>
        <v>5897</v>
      </c>
      <c r="L2744" s="23">
        <f>COUNTIFS(pg_transaction_cleaned!$O:$O,A2744,pg_transaction_cleaned!$F:$F,"REFUND")</f>
        <v>0</v>
      </c>
      <c r="M2744" s="39">
        <f>SUMIFS(pg_transaction_cleaned!$H:$H,pg_transaction_cleaned!$O:$O,A2744,pg_transaction_cleaned!$F:$F,"REFUND")</f>
        <v>0</v>
      </c>
      <c r="N2744" s="23" t="str">
        <f t="shared" si="170"/>
        <v>OK</v>
      </c>
      <c r="O2744" s="24">
        <f t="shared" si="171"/>
        <v>0</v>
      </c>
    </row>
    <row r="2745" spans="1:15" ht="15" customHeight="1" x14ac:dyDescent="0.3">
      <c r="A2745" s="23" t="s">
        <v>5984</v>
      </c>
      <c r="B2745" s="38">
        <v>46269</v>
      </c>
      <c r="C2745" s="23" t="s">
        <v>5985</v>
      </c>
      <c r="D2745" s="23" t="s">
        <v>95</v>
      </c>
      <c r="E2745" s="23" t="s">
        <v>75</v>
      </c>
      <c r="F2745" s="23" t="s">
        <v>5986</v>
      </c>
      <c r="G2745" s="23" t="s">
        <v>250</v>
      </c>
      <c r="H2745" s="39">
        <f t="shared" si="168"/>
        <v>2347</v>
      </c>
      <c r="I2745" s="23" t="str">
        <f t="shared" si="169"/>
        <v>Bengaluru</v>
      </c>
      <c r="J2745" s="23">
        <f>COUNTIFS(pg_transaction_cleaned!$O:$O,A2745,pg_transaction_cleaned!$F:$F,"CAPTURE")</f>
        <v>1</v>
      </c>
      <c r="K2745" s="39">
        <f>SUMIFS(pg_transaction_cleaned!$H:$H,pg_transaction_cleaned!$O:$O,A2745,pg_transaction_cleaned!$F:$F,"CAPTURE")</f>
        <v>2347</v>
      </c>
      <c r="L2745" s="23">
        <f>COUNTIFS(pg_transaction_cleaned!$O:$O,A2745,pg_transaction_cleaned!$F:$F,"REFUND")</f>
        <v>0</v>
      </c>
      <c r="M2745" s="39">
        <f>SUMIFS(pg_transaction_cleaned!$H:$H,pg_transaction_cleaned!$O:$O,A2745,pg_transaction_cleaned!$F:$F,"REFUND")</f>
        <v>0</v>
      </c>
      <c r="N2745" s="23" t="str">
        <f t="shared" si="170"/>
        <v>OK</v>
      </c>
      <c r="O2745" s="24">
        <f t="shared" si="171"/>
        <v>0</v>
      </c>
    </row>
    <row r="2746" spans="1:15" ht="15" customHeight="1" x14ac:dyDescent="0.3">
      <c r="A2746" s="23" t="s">
        <v>5987</v>
      </c>
      <c r="B2746" s="38">
        <v>46295</v>
      </c>
      <c r="C2746" s="23" t="s">
        <v>5988</v>
      </c>
      <c r="D2746" s="23" t="s">
        <v>94</v>
      </c>
      <c r="E2746" s="23" t="s">
        <v>77</v>
      </c>
      <c r="F2746" s="23" t="s">
        <v>438</v>
      </c>
      <c r="G2746" s="23" t="s">
        <v>301</v>
      </c>
      <c r="H2746" s="39">
        <f t="shared" si="168"/>
        <v>5498</v>
      </c>
      <c r="I2746" s="23" t="str">
        <f t="shared" si="169"/>
        <v>Chennai</v>
      </c>
      <c r="J2746" s="23">
        <f>COUNTIFS(pg_transaction_cleaned!$O:$O,A2746,pg_transaction_cleaned!$F:$F,"CAPTURE")</f>
        <v>1</v>
      </c>
      <c r="K2746" s="39">
        <f>SUMIFS(pg_transaction_cleaned!$H:$H,pg_transaction_cleaned!$O:$O,A2746,pg_transaction_cleaned!$F:$F,"CAPTURE")</f>
        <v>5498</v>
      </c>
      <c r="L2746" s="23">
        <f>COUNTIFS(pg_transaction_cleaned!$O:$O,A2746,pg_transaction_cleaned!$F:$F,"REFUND")</f>
        <v>1</v>
      </c>
      <c r="M2746" s="39">
        <f>SUMIFS(pg_transaction_cleaned!$H:$H,pg_transaction_cleaned!$O:$O,A2746,pg_transaction_cleaned!$F:$F,"REFUND")</f>
        <v>5498</v>
      </c>
      <c r="N2746" s="23" t="str">
        <f t="shared" si="170"/>
        <v>OK</v>
      </c>
      <c r="O2746" s="24">
        <f t="shared" si="171"/>
        <v>0</v>
      </c>
    </row>
    <row r="2747" spans="1:15" ht="15" customHeight="1" x14ac:dyDescent="0.3">
      <c r="A2747" s="23" t="s">
        <v>5989</v>
      </c>
      <c r="B2747" s="38">
        <v>46271</v>
      </c>
      <c r="C2747" s="23" t="s">
        <v>5990</v>
      </c>
      <c r="D2747" s="23" t="s">
        <v>95</v>
      </c>
      <c r="E2747" s="23" t="s">
        <v>79</v>
      </c>
      <c r="F2747" s="23" t="s">
        <v>262</v>
      </c>
      <c r="G2747" s="23" t="s">
        <v>250</v>
      </c>
      <c r="H2747" s="39">
        <f t="shared" si="168"/>
        <v>499</v>
      </c>
      <c r="I2747" s="23" t="str">
        <f t="shared" si="169"/>
        <v>Bengaluru</v>
      </c>
      <c r="J2747" s="23">
        <f>COUNTIFS(pg_transaction_cleaned!$O:$O,A2747,pg_transaction_cleaned!$F:$F,"CAPTURE")</f>
        <v>1</v>
      </c>
      <c r="K2747" s="39">
        <f>SUMIFS(pg_transaction_cleaned!$H:$H,pg_transaction_cleaned!$O:$O,A2747,pg_transaction_cleaned!$F:$F,"CAPTURE")</f>
        <v>499</v>
      </c>
      <c r="L2747" s="23">
        <f>COUNTIFS(pg_transaction_cleaned!$O:$O,A2747,pg_transaction_cleaned!$F:$F,"REFUND")</f>
        <v>0</v>
      </c>
      <c r="M2747" s="39">
        <f>SUMIFS(pg_transaction_cleaned!$H:$H,pg_transaction_cleaned!$O:$O,A2747,pg_transaction_cleaned!$F:$F,"REFUND")</f>
        <v>0</v>
      </c>
      <c r="N2747" s="23" t="str">
        <f t="shared" si="170"/>
        <v>OK</v>
      </c>
      <c r="O2747" s="24">
        <f t="shared" si="171"/>
        <v>0</v>
      </c>
    </row>
    <row r="2748" spans="1:15" ht="15" customHeight="1" x14ac:dyDescent="0.3">
      <c r="A2748" s="23" t="s">
        <v>5991</v>
      </c>
      <c r="B2748" s="38">
        <v>46289</v>
      </c>
      <c r="C2748" s="23" t="s">
        <v>5992</v>
      </c>
      <c r="D2748" s="23" t="s">
        <v>88</v>
      </c>
      <c r="E2748" s="23" t="s">
        <v>79</v>
      </c>
      <c r="F2748" s="23" t="s">
        <v>1954</v>
      </c>
      <c r="G2748" s="23" t="s">
        <v>250</v>
      </c>
      <c r="H2748" s="39">
        <f t="shared" si="168"/>
        <v>848</v>
      </c>
      <c r="I2748" s="23" t="str">
        <f t="shared" si="169"/>
        <v>Lucknow</v>
      </c>
      <c r="J2748" s="23">
        <f>COUNTIFS(pg_transaction_cleaned!$O:$O,A2748,pg_transaction_cleaned!$F:$F,"CAPTURE")</f>
        <v>1</v>
      </c>
      <c r="K2748" s="39">
        <f>SUMIFS(pg_transaction_cleaned!$H:$H,pg_transaction_cleaned!$O:$O,A2748,pg_transaction_cleaned!$F:$F,"CAPTURE")</f>
        <v>848</v>
      </c>
      <c r="L2748" s="23">
        <f>COUNTIFS(pg_transaction_cleaned!$O:$O,A2748,pg_transaction_cleaned!$F:$F,"REFUND")</f>
        <v>0</v>
      </c>
      <c r="M2748" s="39">
        <f>SUMIFS(pg_transaction_cleaned!$H:$H,pg_transaction_cleaned!$O:$O,A2748,pg_transaction_cleaned!$F:$F,"REFUND")</f>
        <v>0</v>
      </c>
      <c r="N2748" s="23" t="str">
        <f t="shared" si="170"/>
        <v>OK</v>
      </c>
      <c r="O2748" s="24">
        <f t="shared" si="171"/>
        <v>0</v>
      </c>
    </row>
    <row r="2749" spans="1:15" ht="15" customHeight="1" x14ac:dyDescent="0.3">
      <c r="A2749" s="23" t="s">
        <v>5993</v>
      </c>
      <c r="B2749" s="38">
        <v>46268</v>
      </c>
      <c r="C2749" s="23" t="s">
        <v>5994</v>
      </c>
      <c r="D2749" s="23" t="s">
        <v>94</v>
      </c>
      <c r="E2749" s="23" t="s">
        <v>75</v>
      </c>
      <c r="F2749" s="23" t="s">
        <v>1421</v>
      </c>
      <c r="G2749" s="23" t="s">
        <v>250</v>
      </c>
      <c r="H2749" s="39">
        <f t="shared" si="168"/>
        <v>3197</v>
      </c>
      <c r="I2749" s="23" t="str">
        <f t="shared" si="169"/>
        <v>Chennai</v>
      </c>
      <c r="J2749" s="23">
        <f>COUNTIFS(pg_transaction_cleaned!$O:$O,A2749,pg_transaction_cleaned!$F:$F,"CAPTURE")</f>
        <v>1</v>
      </c>
      <c r="K2749" s="39">
        <f>SUMIFS(pg_transaction_cleaned!$H:$H,pg_transaction_cleaned!$O:$O,A2749,pg_transaction_cleaned!$F:$F,"CAPTURE")</f>
        <v>3197</v>
      </c>
      <c r="L2749" s="23">
        <f>COUNTIFS(pg_transaction_cleaned!$O:$O,A2749,pg_transaction_cleaned!$F:$F,"REFUND")</f>
        <v>0</v>
      </c>
      <c r="M2749" s="39">
        <f>SUMIFS(pg_transaction_cleaned!$H:$H,pg_transaction_cleaned!$O:$O,A2749,pg_transaction_cleaned!$F:$F,"REFUND")</f>
        <v>0</v>
      </c>
      <c r="N2749" s="23" t="str">
        <f t="shared" si="170"/>
        <v>OK</v>
      </c>
      <c r="O2749" s="24">
        <f t="shared" si="171"/>
        <v>0</v>
      </c>
    </row>
    <row r="2750" spans="1:15" ht="15" customHeight="1" x14ac:dyDescent="0.3">
      <c r="A2750" s="23" t="s">
        <v>5995</v>
      </c>
      <c r="B2750" s="38">
        <v>46286</v>
      </c>
      <c r="C2750" s="23" t="s">
        <v>5996</v>
      </c>
      <c r="D2750" s="23" t="s">
        <v>95</v>
      </c>
      <c r="E2750" s="23" t="s">
        <v>79</v>
      </c>
      <c r="F2750" s="23" t="s">
        <v>1596</v>
      </c>
      <c r="G2750" s="23" t="s">
        <v>301</v>
      </c>
      <c r="H2750" s="39">
        <f t="shared" si="168"/>
        <v>3499</v>
      </c>
      <c r="I2750" s="23" t="str">
        <f t="shared" si="169"/>
        <v>Bengaluru</v>
      </c>
      <c r="J2750" s="23">
        <f>COUNTIFS(pg_transaction_cleaned!$O:$O,A2750,pg_transaction_cleaned!$F:$F,"CAPTURE")</f>
        <v>1</v>
      </c>
      <c r="K2750" s="39">
        <f>SUMIFS(pg_transaction_cleaned!$H:$H,pg_transaction_cleaned!$O:$O,A2750,pg_transaction_cleaned!$F:$F,"CAPTURE")</f>
        <v>3499</v>
      </c>
      <c r="L2750" s="23">
        <f>COUNTIFS(pg_transaction_cleaned!$O:$O,A2750,pg_transaction_cleaned!$F:$F,"REFUND")</f>
        <v>1</v>
      </c>
      <c r="M2750" s="39">
        <f>SUMIFS(pg_transaction_cleaned!$H:$H,pg_transaction_cleaned!$O:$O,A2750,pg_transaction_cleaned!$F:$F,"REFUND")</f>
        <v>3499</v>
      </c>
      <c r="N2750" s="23" t="str">
        <f t="shared" si="170"/>
        <v>OK</v>
      </c>
      <c r="O2750" s="24">
        <f t="shared" si="171"/>
        <v>0</v>
      </c>
    </row>
    <row r="2751" spans="1:15" ht="15" customHeight="1" x14ac:dyDescent="0.3">
      <c r="A2751" s="23" t="s">
        <v>5997</v>
      </c>
      <c r="B2751" s="38">
        <v>46276</v>
      </c>
      <c r="C2751" s="23" t="s">
        <v>5998</v>
      </c>
      <c r="D2751" s="23" t="s">
        <v>90</v>
      </c>
      <c r="E2751" s="23" t="s">
        <v>75</v>
      </c>
      <c r="F2751" s="23" t="s">
        <v>357</v>
      </c>
      <c r="G2751" s="23" t="s">
        <v>250</v>
      </c>
      <c r="H2751" s="39">
        <f t="shared" si="168"/>
        <v>1598</v>
      </c>
      <c r="I2751" s="23" t="str">
        <f t="shared" si="169"/>
        <v>Ahmedabad</v>
      </c>
      <c r="J2751" s="23">
        <f>COUNTIFS(pg_transaction_cleaned!$O:$O,A2751,pg_transaction_cleaned!$F:$F,"CAPTURE")</f>
        <v>1</v>
      </c>
      <c r="K2751" s="39">
        <f>SUMIFS(pg_transaction_cleaned!$H:$H,pg_transaction_cleaned!$O:$O,A2751,pg_transaction_cleaned!$F:$F,"CAPTURE")</f>
        <v>1598</v>
      </c>
      <c r="L2751" s="23">
        <f>COUNTIFS(pg_transaction_cleaned!$O:$O,A2751,pg_transaction_cleaned!$F:$F,"REFUND")</f>
        <v>0</v>
      </c>
      <c r="M2751" s="39">
        <f>SUMIFS(pg_transaction_cleaned!$H:$H,pg_transaction_cleaned!$O:$O,A2751,pg_transaction_cleaned!$F:$F,"REFUND")</f>
        <v>0</v>
      </c>
      <c r="N2751" s="23" t="str">
        <f t="shared" si="170"/>
        <v>OK</v>
      </c>
      <c r="O2751" s="24">
        <f t="shared" si="171"/>
        <v>0</v>
      </c>
    </row>
    <row r="2752" spans="1:15" ht="15" customHeight="1" x14ac:dyDescent="0.3">
      <c r="A2752" s="23" t="s">
        <v>5999</v>
      </c>
      <c r="B2752" s="38">
        <v>46289</v>
      </c>
      <c r="C2752" s="23" t="s">
        <v>6000</v>
      </c>
      <c r="D2752" s="23" t="s">
        <v>88</v>
      </c>
      <c r="E2752" s="23" t="s">
        <v>75</v>
      </c>
      <c r="F2752" s="23" t="s">
        <v>1614</v>
      </c>
      <c r="G2752" s="23" t="s">
        <v>250</v>
      </c>
      <c r="H2752" s="39">
        <f t="shared" si="168"/>
        <v>2597</v>
      </c>
      <c r="I2752" s="23" t="str">
        <f t="shared" si="169"/>
        <v>Lucknow</v>
      </c>
      <c r="J2752" s="23">
        <f>COUNTIFS(pg_transaction_cleaned!$O:$O,A2752,pg_transaction_cleaned!$F:$F,"CAPTURE")</f>
        <v>1</v>
      </c>
      <c r="K2752" s="39">
        <f>SUMIFS(pg_transaction_cleaned!$H:$H,pg_transaction_cleaned!$O:$O,A2752,pg_transaction_cleaned!$F:$F,"CAPTURE")</f>
        <v>2597</v>
      </c>
      <c r="L2752" s="23">
        <f>COUNTIFS(pg_transaction_cleaned!$O:$O,A2752,pg_transaction_cleaned!$F:$F,"REFUND")</f>
        <v>0</v>
      </c>
      <c r="M2752" s="39">
        <f>SUMIFS(pg_transaction_cleaned!$H:$H,pg_transaction_cleaned!$O:$O,A2752,pg_transaction_cleaned!$F:$F,"REFUND")</f>
        <v>0</v>
      </c>
      <c r="N2752" s="23" t="str">
        <f t="shared" si="170"/>
        <v>OK</v>
      </c>
      <c r="O2752" s="24">
        <f t="shared" si="171"/>
        <v>0</v>
      </c>
    </row>
    <row r="2753" spans="1:15" ht="15" customHeight="1" x14ac:dyDescent="0.3">
      <c r="A2753" s="23" t="s">
        <v>6001</v>
      </c>
      <c r="B2753" s="38">
        <v>46276</v>
      </c>
      <c r="C2753" s="23" t="s">
        <v>6002</v>
      </c>
      <c r="D2753" s="23" t="s">
        <v>88</v>
      </c>
      <c r="E2753" s="23" t="s">
        <v>81</v>
      </c>
      <c r="F2753" s="23" t="s">
        <v>310</v>
      </c>
      <c r="G2753" s="23" t="s">
        <v>250</v>
      </c>
      <c r="H2753" s="39">
        <f t="shared" si="168"/>
        <v>7999</v>
      </c>
      <c r="I2753" s="23" t="str">
        <f t="shared" si="169"/>
        <v>Lucknow</v>
      </c>
      <c r="J2753" s="23">
        <f>COUNTIFS(pg_transaction_cleaned!$O:$O,A2753,pg_transaction_cleaned!$F:$F,"CAPTURE")</f>
        <v>1</v>
      </c>
      <c r="K2753" s="39">
        <f>SUMIFS(pg_transaction_cleaned!$H:$H,pg_transaction_cleaned!$O:$O,A2753,pg_transaction_cleaned!$F:$F,"CAPTURE")</f>
        <v>7999</v>
      </c>
      <c r="L2753" s="23">
        <f>COUNTIFS(pg_transaction_cleaned!$O:$O,A2753,pg_transaction_cleaned!$F:$F,"REFUND")</f>
        <v>0</v>
      </c>
      <c r="M2753" s="39">
        <f>SUMIFS(pg_transaction_cleaned!$H:$H,pg_transaction_cleaned!$O:$O,A2753,pg_transaction_cleaned!$F:$F,"REFUND")</f>
        <v>0</v>
      </c>
      <c r="N2753" s="23" t="str">
        <f t="shared" si="170"/>
        <v>OK</v>
      </c>
      <c r="O2753" s="24">
        <f t="shared" si="171"/>
        <v>0</v>
      </c>
    </row>
    <row r="2754" spans="1:15" ht="15" customHeight="1" x14ac:dyDescent="0.3">
      <c r="A2754" s="23" t="s">
        <v>6003</v>
      </c>
      <c r="B2754" s="38">
        <v>46288</v>
      </c>
      <c r="C2754" s="23" t="s">
        <v>6004</v>
      </c>
      <c r="D2754" s="23" t="s">
        <v>90</v>
      </c>
      <c r="E2754" s="23" t="s">
        <v>81</v>
      </c>
      <c r="F2754" s="23" t="s">
        <v>6005</v>
      </c>
      <c r="G2754" s="23" t="s">
        <v>250</v>
      </c>
      <c r="H2754" s="39">
        <f t="shared" ref="H2754:H2817" si="172">VALUE(SUBSTITUTE(F2754,",",""))</f>
        <v>2347</v>
      </c>
      <c r="I2754" s="23" t="str">
        <f t="shared" ref="I2754:I2817" si="173">IF(TRIM(D2754)="","Unknown",TRIM(D2754))</f>
        <v>Ahmedabad</v>
      </c>
      <c r="J2754" s="23">
        <f>COUNTIFS(pg_transaction_cleaned!$O:$O,A2754,pg_transaction_cleaned!$F:$F,"CAPTURE")</f>
        <v>1</v>
      </c>
      <c r="K2754" s="39">
        <f>SUMIFS(pg_transaction_cleaned!$H:$H,pg_transaction_cleaned!$O:$O,A2754,pg_transaction_cleaned!$F:$F,"CAPTURE")</f>
        <v>2347</v>
      </c>
      <c r="L2754" s="23">
        <f>COUNTIFS(pg_transaction_cleaned!$O:$O,A2754,pg_transaction_cleaned!$F:$F,"REFUND")</f>
        <v>0</v>
      </c>
      <c r="M2754" s="39">
        <f>SUMIFS(pg_transaction_cleaned!$H:$H,pg_transaction_cleaned!$O:$O,A2754,pg_transaction_cleaned!$F:$F,"REFUND")</f>
        <v>0</v>
      </c>
      <c r="N2754" s="23" t="str">
        <f t="shared" ref="N2754:N2817" si="174">IF(AND(G2754="Paid",J2754=0),"Paid, no payment",IF(AND(OR(G2754="Failed",G2754="Cancelled"),J2754&gt;0),"Payment on failed/cancelled",IF(J2754&gt;1,"Duplicate charge",IF(AND(J2754=1,ROUND(K2754-H2754,2)&lt;&gt;0),"Amount difference",IF(AND(G2754="Refunded",L2754=0),"Refunded, no refund",IF(AND(G2754&lt;&gt;"Refunded",L2754&gt;0),"Refund, order not Refunded",IF(AND(L2754&gt;0,ROUND(M2754-H2754,2)&lt;&gt;0),"Refund amount differs","OK")))))))</f>
        <v>OK</v>
      </c>
      <c r="O2754" s="24">
        <f t="shared" ref="O2754:O2817" si="175">IF(N2754="OK",0,IF(N2754="Paid, no payment",H2754,IF(N2754="Payment on failed/cancelled",K2754,IF(OR(N2754="Duplicate charge",N2754="Amount difference"),K2754-H2754,IF(N2754="Refunded, no refund",H2754,M2754)))))</f>
        <v>0</v>
      </c>
    </row>
    <row r="2755" spans="1:15" ht="15" customHeight="1" x14ac:dyDescent="0.3">
      <c r="A2755" s="23" t="s">
        <v>6006</v>
      </c>
      <c r="B2755" s="38">
        <v>46266</v>
      </c>
      <c r="C2755" s="23" t="s">
        <v>1345</v>
      </c>
      <c r="D2755" s="23" t="s">
        <v>94</v>
      </c>
      <c r="E2755" s="23" t="s">
        <v>75</v>
      </c>
      <c r="F2755" s="23" t="s">
        <v>271</v>
      </c>
      <c r="G2755" s="23" t="s">
        <v>250</v>
      </c>
      <c r="H2755" s="39">
        <f t="shared" si="172"/>
        <v>2499</v>
      </c>
      <c r="I2755" s="23" t="str">
        <f t="shared" si="173"/>
        <v>Chennai</v>
      </c>
      <c r="J2755" s="23">
        <f>COUNTIFS(pg_transaction_cleaned!$O:$O,A2755,pg_transaction_cleaned!$F:$F,"CAPTURE")</f>
        <v>1</v>
      </c>
      <c r="K2755" s="39">
        <f>SUMIFS(pg_transaction_cleaned!$H:$H,pg_transaction_cleaned!$O:$O,A2755,pg_transaction_cleaned!$F:$F,"CAPTURE")</f>
        <v>2499</v>
      </c>
      <c r="L2755" s="23">
        <f>COUNTIFS(pg_transaction_cleaned!$O:$O,A2755,pg_transaction_cleaned!$F:$F,"REFUND")</f>
        <v>0</v>
      </c>
      <c r="M2755" s="39">
        <f>SUMIFS(pg_transaction_cleaned!$H:$H,pg_transaction_cleaned!$O:$O,A2755,pg_transaction_cleaned!$F:$F,"REFUND")</f>
        <v>0</v>
      </c>
      <c r="N2755" s="23" t="str">
        <f t="shared" si="174"/>
        <v>OK</v>
      </c>
      <c r="O2755" s="24">
        <f t="shared" si="175"/>
        <v>0</v>
      </c>
    </row>
    <row r="2756" spans="1:15" ht="15" customHeight="1" x14ac:dyDescent="0.3">
      <c r="A2756" s="23" t="s">
        <v>6007</v>
      </c>
      <c r="B2756" s="38">
        <v>46273</v>
      </c>
      <c r="C2756" s="23" t="s">
        <v>6008</v>
      </c>
      <c r="D2756" s="23" t="s">
        <v>95</v>
      </c>
      <c r="E2756" s="23" t="s">
        <v>75</v>
      </c>
      <c r="F2756" s="23" t="s">
        <v>2178</v>
      </c>
      <c r="G2756" s="23" t="s">
        <v>250</v>
      </c>
      <c r="H2756" s="39">
        <f t="shared" si="172"/>
        <v>8997</v>
      </c>
      <c r="I2756" s="23" t="str">
        <f t="shared" si="173"/>
        <v>Bengaluru</v>
      </c>
      <c r="J2756" s="23">
        <f>COUNTIFS(pg_transaction_cleaned!$O:$O,A2756,pg_transaction_cleaned!$F:$F,"CAPTURE")</f>
        <v>1</v>
      </c>
      <c r="K2756" s="39">
        <f>SUMIFS(pg_transaction_cleaned!$H:$H,pg_transaction_cleaned!$O:$O,A2756,pg_transaction_cleaned!$F:$F,"CAPTURE")</f>
        <v>8997</v>
      </c>
      <c r="L2756" s="23">
        <f>COUNTIFS(pg_transaction_cleaned!$O:$O,A2756,pg_transaction_cleaned!$F:$F,"REFUND")</f>
        <v>0</v>
      </c>
      <c r="M2756" s="39">
        <f>SUMIFS(pg_transaction_cleaned!$H:$H,pg_transaction_cleaned!$O:$O,A2756,pg_transaction_cleaned!$F:$F,"REFUND")</f>
        <v>0</v>
      </c>
      <c r="N2756" s="23" t="str">
        <f t="shared" si="174"/>
        <v>OK</v>
      </c>
      <c r="O2756" s="24">
        <f t="shared" si="175"/>
        <v>0</v>
      </c>
    </row>
    <row r="2757" spans="1:15" ht="15" customHeight="1" x14ac:dyDescent="0.3">
      <c r="A2757" s="23" t="s">
        <v>6009</v>
      </c>
      <c r="B2757" s="38">
        <v>46281</v>
      </c>
      <c r="C2757" s="23" t="s">
        <v>6010</v>
      </c>
      <c r="D2757" s="23" t="s">
        <v>95</v>
      </c>
      <c r="E2757" s="23" t="s">
        <v>79</v>
      </c>
      <c r="F2757" s="23" t="s">
        <v>277</v>
      </c>
      <c r="G2757" s="23" t="s">
        <v>250</v>
      </c>
      <c r="H2757" s="39">
        <f t="shared" si="172"/>
        <v>9497</v>
      </c>
      <c r="I2757" s="23" t="str">
        <f t="shared" si="173"/>
        <v>Bengaluru</v>
      </c>
      <c r="J2757" s="23">
        <f>COUNTIFS(pg_transaction_cleaned!$O:$O,A2757,pg_transaction_cleaned!$F:$F,"CAPTURE")</f>
        <v>1</v>
      </c>
      <c r="K2757" s="39">
        <f>SUMIFS(pg_transaction_cleaned!$H:$H,pg_transaction_cleaned!$O:$O,A2757,pg_transaction_cleaned!$F:$F,"CAPTURE")</f>
        <v>9497</v>
      </c>
      <c r="L2757" s="23">
        <f>COUNTIFS(pg_transaction_cleaned!$O:$O,A2757,pg_transaction_cleaned!$F:$F,"REFUND")</f>
        <v>0</v>
      </c>
      <c r="M2757" s="39">
        <f>SUMIFS(pg_transaction_cleaned!$H:$H,pg_transaction_cleaned!$O:$O,A2757,pg_transaction_cleaned!$F:$F,"REFUND")</f>
        <v>0</v>
      </c>
      <c r="N2757" s="23" t="str">
        <f t="shared" si="174"/>
        <v>OK</v>
      </c>
      <c r="O2757" s="24">
        <f t="shared" si="175"/>
        <v>0</v>
      </c>
    </row>
    <row r="2758" spans="1:15" ht="15" customHeight="1" x14ac:dyDescent="0.3">
      <c r="A2758" s="23" t="s">
        <v>6011</v>
      </c>
      <c r="B2758" s="38">
        <v>46270</v>
      </c>
      <c r="C2758" s="23" t="s">
        <v>6012</v>
      </c>
      <c r="D2758" s="23" t="s">
        <v>86</v>
      </c>
      <c r="E2758" s="23" t="s">
        <v>79</v>
      </c>
      <c r="F2758" s="23" t="s">
        <v>249</v>
      </c>
      <c r="G2758" s="23" t="s">
        <v>250</v>
      </c>
      <c r="H2758" s="39">
        <f t="shared" si="172"/>
        <v>299</v>
      </c>
      <c r="I2758" s="23" t="str">
        <f t="shared" si="173"/>
        <v>Delhi</v>
      </c>
      <c r="J2758" s="23">
        <f>COUNTIFS(pg_transaction_cleaned!$O:$O,A2758,pg_transaction_cleaned!$F:$F,"CAPTURE")</f>
        <v>1</v>
      </c>
      <c r="K2758" s="39">
        <f>SUMIFS(pg_transaction_cleaned!$H:$H,pg_transaction_cleaned!$O:$O,A2758,pg_transaction_cleaned!$F:$F,"CAPTURE")</f>
        <v>299</v>
      </c>
      <c r="L2758" s="23">
        <f>COUNTIFS(pg_transaction_cleaned!$O:$O,A2758,pg_transaction_cleaned!$F:$F,"REFUND")</f>
        <v>0</v>
      </c>
      <c r="M2758" s="39">
        <f>SUMIFS(pg_transaction_cleaned!$H:$H,pg_transaction_cleaned!$O:$O,A2758,pg_transaction_cleaned!$F:$F,"REFUND")</f>
        <v>0</v>
      </c>
      <c r="N2758" s="23" t="str">
        <f t="shared" si="174"/>
        <v>OK</v>
      </c>
      <c r="O2758" s="24">
        <f t="shared" si="175"/>
        <v>0</v>
      </c>
    </row>
    <row r="2759" spans="1:15" ht="15" customHeight="1" x14ac:dyDescent="0.3">
      <c r="A2759" s="23" t="s">
        <v>6013</v>
      </c>
      <c r="B2759" s="38">
        <v>46291</v>
      </c>
      <c r="C2759" s="23" t="s">
        <v>6014</v>
      </c>
      <c r="D2759" s="23" t="s">
        <v>89</v>
      </c>
      <c r="E2759" s="23" t="s">
        <v>79</v>
      </c>
      <c r="F2759" s="23" t="s">
        <v>268</v>
      </c>
      <c r="G2759" s="23" t="s">
        <v>250</v>
      </c>
      <c r="H2759" s="39">
        <f t="shared" si="172"/>
        <v>1299</v>
      </c>
      <c r="I2759" s="23" t="str">
        <f t="shared" si="173"/>
        <v>Jaipur</v>
      </c>
      <c r="J2759" s="23">
        <f>COUNTIFS(pg_transaction_cleaned!$O:$O,A2759,pg_transaction_cleaned!$F:$F,"CAPTURE")</f>
        <v>1</v>
      </c>
      <c r="K2759" s="39">
        <f>SUMIFS(pg_transaction_cleaned!$H:$H,pg_transaction_cleaned!$O:$O,A2759,pg_transaction_cleaned!$F:$F,"CAPTURE")</f>
        <v>1299</v>
      </c>
      <c r="L2759" s="23">
        <f>COUNTIFS(pg_transaction_cleaned!$O:$O,A2759,pg_transaction_cleaned!$F:$F,"REFUND")</f>
        <v>0</v>
      </c>
      <c r="M2759" s="39">
        <f>SUMIFS(pg_transaction_cleaned!$H:$H,pg_transaction_cleaned!$O:$O,A2759,pg_transaction_cleaned!$F:$F,"REFUND")</f>
        <v>0</v>
      </c>
      <c r="N2759" s="23" t="str">
        <f t="shared" si="174"/>
        <v>OK</v>
      </c>
      <c r="O2759" s="24">
        <f t="shared" si="175"/>
        <v>0</v>
      </c>
    </row>
    <row r="2760" spans="1:15" ht="15" customHeight="1" x14ac:dyDescent="0.3">
      <c r="A2760" s="23" t="s">
        <v>6015</v>
      </c>
      <c r="B2760" s="38">
        <v>46272</v>
      </c>
      <c r="C2760" s="23" t="s">
        <v>6016</v>
      </c>
      <c r="D2760" s="23" t="s">
        <v>90</v>
      </c>
      <c r="E2760" s="23" t="s">
        <v>75</v>
      </c>
      <c r="F2760" s="23" t="s">
        <v>249</v>
      </c>
      <c r="G2760" s="23" t="s">
        <v>365</v>
      </c>
      <c r="H2760" s="39">
        <f t="shared" si="172"/>
        <v>299</v>
      </c>
      <c r="I2760" s="23" t="str">
        <f t="shared" si="173"/>
        <v>Ahmedabad</v>
      </c>
      <c r="J2760" s="23">
        <f>COUNTIFS(pg_transaction_cleaned!$O:$O,A2760,pg_transaction_cleaned!$F:$F,"CAPTURE")</f>
        <v>0</v>
      </c>
      <c r="K2760" s="39">
        <f>SUMIFS(pg_transaction_cleaned!$H:$H,pg_transaction_cleaned!$O:$O,A2760,pg_transaction_cleaned!$F:$F,"CAPTURE")</f>
        <v>0</v>
      </c>
      <c r="L2760" s="23">
        <f>COUNTIFS(pg_transaction_cleaned!$O:$O,A2760,pg_transaction_cleaned!$F:$F,"REFUND")</f>
        <v>0</v>
      </c>
      <c r="M2760" s="39">
        <f>SUMIFS(pg_transaction_cleaned!$H:$H,pg_transaction_cleaned!$O:$O,A2760,pg_transaction_cleaned!$F:$F,"REFUND")</f>
        <v>0</v>
      </c>
      <c r="N2760" s="23" t="str">
        <f t="shared" si="174"/>
        <v>OK</v>
      </c>
      <c r="O2760" s="24">
        <f t="shared" si="175"/>
        <v>0</v>
      </c>
    </row>
    <row r="2761" spans="1:15" ht="15" customHeight="1" x14ac:dyDescent="0.3">
      <c r="A2761" s="23" t="s">
        <v>6017</v>
      </c>
      <c r="B2761" s="38">
        <v>46285</v>
      </c>
      <c r="C2761" s="23" t="s">
        <v>6018</v>
      </c>
      <c r="D2761" s="23" t="s">
        <v>95</v>
      </c>
      <c r="E2761" s="23" t="s">
        <v>79</v>
      </c>
      <c r="F2761" s="23" t="s">
        <v>680</v>
      </c>
      <c r="G2761" s="23" t="s">
        <v>250</v>
      </c>
      <c r="H2761" s="39">
        <f t="shared" si="172"/>
        <v>5097</v>
      </c>
      <c r="I2761" s="23" t="str">
        <f t="shared" si="173"/>
        <v>Bengaluru</v>
      </c>
      <c r="J2761" s="23">
        <f>COUNTIFS(pg_transaction_cleaned!$O:$O,A2761,pg_transaction_cleaned!$F:$F,"CAPTURE")</f>
        <v>1</v>
      </c>
      <c r="K2761" s="39">
        <f>SUMIFS(pg_transaction_cleaned!$H:$H,pg_transaction_cleaned!$O:$O,A2761,pg_transaction_cleaned!$F:$F,"CAPTURE")</f>
        <v>5097</v>
      </c>
      <c r="L2761" s="23">
        <f>COUNTIFS(pg_transaction_cleaned!$O:$O,A2761,pg_transaction_cleaned!$F:$F,"REFUND")</f>
        <v>0</v>
      </c>
      <c r="M2761" s="39">
        <f>SUMIFS(pg_transaction_cleaned!$H:$H,pg_transaction_cleaned!$O:$O,A2761,pg_transaction_cleaned!$F:$F,"REFUND")</f>
        <v>0</v>
      </c>
      <c r="N2761" s="23" t="str">
        <f t="shared" si="174"/>
        <v>OK</v>
      </c>
      <c r="O2761" s="24">
        <f t="shared" si="175"/>
        <v>0</v>
      </c>
    </row>
    <row r="2762" spans="1:15" ht="15" customHeight="1" x14ac:dyDescent="0.3">
      <c r="A2762" s="23" t="s">
        <v>6019</v>
      </c>
      <c r="B2762" s="38">
        <v>46288</v>
      </c>
      <c r="C2762" s="23" t="s">
        <v>6020</v>
      </c>
      <c r="D2762" s="23" t="s">
        <v>89</v>
      </c>
      <c r="E2762" s="23" t="s">
        <v>75</v>
      </c>
      <c r="F2762" s="23" t="s">
        <v>787</v>
      </c>
      <c r="G2762" s="23" t="s">
        <v>250</v>
      </c>
      <c r="H2762" s="39">
        <f t="shared" si="172"/>
        <v>7997</v>
      </c>
      <c r="I2762" s="23" t="str">
        <f t="shared" si="173"/>
        <v>Jaipur</v>
      </c>
      <c r="J2762" s="23">
        <f>COUNTIFS(pg_transaction_cleaned!$O:$O,A2762,pg_transaction_cleaned!$F:$F,"CAPTURE")</f>
        <v>1</v>
      </c>
      <c r="K2762" s="39">
        <f>SUMIFS(pg_transaction_cleaned!$H:$H,pg_transaction_cleaned!$O:$O,A2762,pg_transaction_cleaned!$F:$F,"CAPTURE")</f>
        <v>7997</v>
      </c>
      <c r="L2762" s="23">
        <f>COUNTIFS(pg_transaction_cleaned!$O:$O,A2762,pg_transaction_cleaned!$F:$F,"REFUND")</f>
        <v>0</v>
      </c>
      <c r="M2762" s="39">
        <f>SUMIFS(pg_transaction_cleaned!$H:$H,pg_transaction_cleaned!$O:$O,A2762,pg_transaction_cleaned!$F:$F,"REFUND")</f>
        <v>0</v>
      </c>
      <c r="N2762" s="23" t="str">
        <f t="shared" si="174"/>
        <v>OK</v>
      </c>
      <c r="O2762" s="24">
        <f t="shared" si="175"/>
        <v>0</v>
      </c>
    </row>
    <row r="2763" spans="1:15" ht="15" customHeight="1" x14ac:dyDescent="0.3">
      <c r="A2763" s="23" t="s">
        <v>6021</v>
      </c>
      <c r="B2763" s="38">
        <v>46278</v>
      </c>
      <c r="C2763" s="23" t="s">
        <v>6022</v>
      </c>
      <c r="D2763" s="23" t="s">
        <v>95</v>
      </c>
      <c r="E2763" s="23" t="s">
        <v>79</v>
      </c>
      <c r="F2763" s="23" t="s">
        <v>297</v>
      </c>
      <c r="G2763" s="23" t="s">
        <v>250</v>
      </c>
      <c r="H2763" s="39">
        <f t="shared" si="172"/>
        <v>4999</v>
      </c>
      <c r="I2763" s="23" t="str">
        <f t="shared" si="173"/>
        <v>Bengaluru</v>
      </c>
      <c r="J2763" s="23">
        <f>COUNTIFS(pg_transaction_cleaned!$O:$O,A2763,pg_transaction_cleaned!$F:$F,"CAPTURE")</f>
        <v>1</v>
      </c>
      <c r="K2763" s="39">
        <f>SUMIFS(pg_transaction_cleaned!$H:$H,pg_transaction_cleaned!$O:$O,A2763,pg_transaction_cleaned!$F:$F,"CAPTURE")</f>
        <v>4999</v>
      </c>
      <c r="L2763" s="23">
        <f>COUNTIFS(pg_transaction_cleaned!$O:$O,A2763,pg_transaction_cleaned!$F:$F,"REFUND")</f>
        <v>0</v>
      </c>
      <c r="M2763" s="39">
        <f>SUMIFS(pg_transaction_cleaned!$H:$H,pg_transaction_cleaned!$O:$O,A2763,pg_transaction_cleaned!$F:$F,"REFUND")</f>
        <v>0</v>
      </c>
      <c r="N2763" s="23" t="str">
        <f t="shared" si="174"/>
        <v>OK</v>
      </c>
      <c r="O2763" s="24">
        <f t="shared" si="175"/>
        <v>0</v>
      </c>
    </row>
    <row r="2764" spans="1:15" ht="15" customHeight="1" x14ac:dyDescent="0.3">
      <c r="A2764" s="23" t="s">
        <v>6023</v>
      </c>
      <c r="B2764" s="38">
        <v>46266</v>
      </c>
      <c r="C2764" s="23" t="s">
        <v>6024</v>
      </c>
      <c r="D2764" s="23" t="s">
        <v>88</v>
      </c>
      <c r="E2764" s="23" t="s">
        <v>75</v>
      </c>
      <c r="F2764" s="23" t="s">
        <v>475</v>
      </c>
      <c r="G2764" s="23" t="s">
        <v>250</v>
      </c>
      <c r="H2764" s="39">
        <f t="shared" si="172"/>
        <v>799</v>
      </c>
      <c r="I2764" s="23" t="str">
        <f t="shared" si="173"/>
        <v>Lucknow</v>
      </c>
      <c r="J2764" s="23">
        <f>COUNTIFS(pg_transaction_cleaned!$O:$O,A2764,pg_transaction_cleaned!$F:$F,"CAPTURE")</f>
        <v>1</v>
      </c>
      <c r="K2764" s="39">
        <f>SUMIFS(pg_transaction_cleaned!$H:$H,pg_transaction_cleaned!$O:$O,A2764,pg_transaction_cleaned!$F:$F,"CAPTURE")</f>
        <v>799</v>
      </c>
      <c r="L2764" s="23">
        <f>COUNTIFS(pg_transaction_cleaned!$O:$O,A2764,pg_transaction_cleaned!$F:$F,"REFUND")</f>
        <v>0</v>
      </c>
      <c r="M2764" s="39">
        <f>SUMIFS(pg_transaction_cleaned!$H:$H,pg_transaction_cleaned!$O:$O,A2764,pg_transaction_cleaned!$F:$F,"REFUND")</f>
        <v>0</v>
      </c>
      <c r="N2764" s="23" t="str">
        <f t="shared" si="174"/>
        <v>OK</v>
      </c>
      <c r="O2764" s="24">
        <f t="shared" si="175"/>
        <v>0</v>
      </c>
    </row>
    <row r="2765" spans="1:15" ht="15" customHeight="1" x14ac:dyDescent="0.3">
      <c r="A2765" s="23" t="s">
        <v>6025</v>
      </c>
      <c r="B2765" s="38">
        <v>46293</v>
      </c>
      <c r="C2765" s="23" t="s">
        <v>6026</v>
      </c>
      <c r="D2765" s="23" t="s">
        <v>95</v>
      </c>
      <c r="E2765" s="23" t="s">
        <v>75</v>
      </c>
      <c r="F2765" s="23" t="s">
        <v>6027</v>
      </c>
      <c r="G2765" s="23" t="s">
        <v>250</v>
      </c>
      <c r="H2765" s="39">
        <f t="shared" si="172"/>
        <v>1348</v>
      </c>
      <c r="I2765" s="23" t="str">
        <f t="shared" si="173"/>
        <v>Bengaluru</v>
      </c>
      <c r="J2765" s="23">
        <f>COUNTIFS(pg_transaction_cleaned!$O:$O,A2765,pg_transaction_cleaned!$F:$F,"CAPTURE")</f>
        <v>1</v>
      </c>
      <c r="K2765" s="39">
        <f>SUMIFS(pg_transaction_cleaned!$H:$H,pg_transaction_cleaned!$O:$O,A2765,pg_transaction_cleaned!$F:$F,"CAPTURE")</f>
        <v>1348</v>
      </c>
      <c r="L2765" s="23">
        <f>COUNTIFS(pg_transaction_cleaned!$O:$O,A2765,pg_transaction_cleaned!$F:$F,"REFUND")</f>
        <v>0</v>
      </c>
      <c r="M2765" s="39">
        <f>SUMIFS(pg_transaction_cleaned!$H:$H,pg_transaction_cleaned!$O:$O,A2765,pg_transaction_cleaned!$F:$F,"REFUND")</f>
        <v>0</v>
      </c>
      <c r="N2765" s="23" t="str">
        <f t="shared" si="174"/>
        <v>OK</v>
      </c>
      <c r="O2765" s="24">
        <f t="shared" si="175"/>
        <v>0</v>
      </c>
    </row>
    <row r="2766" spans="1:15" ht="15" customHeight="1" x14ac:dyDescent="0.3">
      <c r="A2766" s="23" t="s">
        <v>6028</v>
      </c>
      <c r="B2766" s="38">
        <v>46293</v>
      </c>
      <c r="C2766" s="23" t="s">
        <v>6029</v>
      </c>
      <c r="D2766" s="23" t="s">
        <v>86</v>
      </c>
      <c r="E2766" s="23" t="s">
        <v>75</v>
      </c>
      <c r="F2766" s="23" t="s">
        <v>5798</v>
      </c>
      <c r="G2766" s="23" t="s">
        <v>250</v>
      </c>
      <c r="H2766" s="39">
        <f t="shared" si="172"/>
        <v>10847</v>
      </c>
      <c r="I2766" s="23" t="str">
        <f t="shared" si="173"/>
        <v>Delhi</v>
      </c>
      <c r="J2766" s="23">
        <f>COUNTIFS(pg_transaction_cleaned!$O:$O,A2766,pg_transaction_cleaned!$F:$F,"CAPTURE")</f>
        <v>1</v>
      </c>
      <c r="K2766" s="39">
        <f>SUMIFS(pg_transaction_cleaned!$H:$H,pg_transaction_cleaned!$O:$O,A2766,pg_transaction_cleaned!$F:$F,"CAPTURE")</f>
        <v>10847</v>
      </c>
      <c r="L2766" s="23">
        <f>COUNTIFS(pg_transaction_cleaned!$O:$O,A2766,pg_transaction_cleaned!$F:$F,"REFUND")</f>
        <v>0</v>
      </c>
      <c r="M2766" s="39">
        <f>SUMIFS(pg_transaction_cleaned!$H:$H,pg_transaction_cleaned!$O:$O,A2766,pg_transaction_cleaned!$F:$F,"REFUND")</f>
        <v>0</v>
      </c>
      <c r="N2766" s="23" t="str">
        <f t="shared" si="174"/>
        <v>OK</v>
      </c>
      <c r="O2766" s="24">
        <f t="shared" si="175"/>
        <v>0</v>
      </c>
    </row>
    <row r="2767" spans="1:15" ht="15" customHeight="1" x14ac:dyDescent="0.3">
      <c r="A2767" s="23" t="s">
        <v>6030</v>
      </c>
      <c r="B2767" s="38">
        <v>46290</v>
      </c>
      <c r="C2767" s="23" t="s">
        <v>6031</v>
      </c>
      <c r="D2767" s="23" t="s">
        <v>90</v>
      </c>
      <c r="E2767" s="23" t="s">
        <v>75</v>
      </c>
      <c r="F2767" s="23" t="s">
        <v>1265</v>
      </c>
      <c r="G2767" s="23" t="s">
        <v>250</v>
      </c>
      <c r="H2767" s="39">
        <f t="shared" si="172"/>
        <v>6997</v>
      </c>
      <c r="I2767" s="23" t="str">
        <f t="shared" si="173"/>
        <v>Ahmedabad</v>
      </c>
      <c r="J2767" s="23">
        <f>COUNTIFS(pg_transaction_cleaned!$O:$O,A2767,pg_transaction_cleaned!$F:$F,"CAPTURE")</f>
        <v>1</v>
      </c>
      <c r="K2767" s="39">
        <f>SUMIFS(pg_transaction_cleaned!$H:$H,pg_transaction_cleaned!$O:$O,A2767,pg_transaction_cleaned!$F:$F,"CAPTURE")</f>
        <v>6997</v>
      </c>
      <c r="L2767" s="23">
        <f>COUNTIFS(pg_transaction_cleaned!$O:$O,A2767,pg_transaction_cleaned!$F:$F,"REFUND")</f>
        <v>0</v>
      </c>
      <c r="M2767" s="39">
        <f>SUMIFS(pg_transaction_cleaned!$H:$H,pg_transaction_cleaned!$O:$O,A2767,pg_transaction_cleaned!$F:$F,"REFUND")</f>
        <v>0</v>
      </c>
      <c r="N2767" s="23" t="str">
        <f t="shared" si="174"/>
        <v>OK</v>
      </c>
      <c r="O2767" s="24">
        <f t="shared" si="175"/>
        <v>0</v>
      </c>
    </row>
    <row r="2768" spans="1:15" ht="15" customHeight="1" x14ac:dyDescent="0.3">
      <c r="A2768" s="23" t="s">
        <v>6032</v>
      </c>
      <c r="B2768" s="38">
        <v>46274</v>
      </c>
      <c r="C2768" s="23" t="s">
        <v>5340</v>
      </c>
      <c r="D2768" s="23" t="s">
        <v>87</v>
      </c>
      <c r="E2768" s="23" t="s">
        <v>79</v>
      </c>
      <c r="F2768" s="23" t="s">
        <v>6033</v>
      </c>
      <c r="G2768" s="23" t="s">
        <v>250</v>
      </c>
      <c r="H2768" s="39">
        <f t="shared" si="172"/>
        <v>13297</v>
      </c>
      <c r="I2768" s="23" t="str">
        <f t="shared" si="173"/>
        <v>Mumbai</v>
      </c>
      <c r="J2768" s="23">
        <f>COUNTIFS(pg_transaction_cleaned!$O:$O,A2768,pg_transaction_cleaned!$F:$F,"CAPTURE")</f>
        <v>1</v>
      </c>
      <c r="K2768" s="39">
        <f>SUMIFS(pg_transaction_cleaned!$H:$H,pg_transaction_cleaned!$O:$O,A2768,pg_transaction_cleaned!$F:$F,"CAPTURE")</f>
        <v>13297</v>
      </c>
      <c r="L2768" s="23">
        <f>COUNTIFS(pg_transaction_cleaned!$O:$O,A2768,pg_transaction_cleaned!$F:$F,"REFUND")</f>
        <v>0</v>
      </c>
      <c r="M2768" s="39">
        <f>SUMIFS(pg_transaction_cleaned!$H:$H,pg_transaction_cleaned!$O:$O,A2768,pg_transaction_cleaned!$F:$F,"REFUND")</f>
        <v>0</v>
      </c>
      <c r="N2768" s="23" t="str">
        <f t="shared" si="174"/>
        <v>OK</v>
      </c>
      <c r="O2768" s="24">
        <f t="shared" si="175"/>
        <v>0</v>
      </c>
    </row>
    <row r="2769" spans="1:15" ht="15" customHeight="1" x14ac:dyDescent="0.3">
      <c r="A2769" s="23" t="s">
        <v>6034</v>
      </c>
      <c r="B2769" s="38">
        <v>46284</v>
      </c>
      <c r="C2769" s="23" t="s">
        <v>6035</v>
      </c>
      <c r="D2769" s="23" t="s">
        <v>88</v>
      </c>
      <c r="E2769" s="23" t="s">
        <v>79</v>
      </c>
      <c r="F2769" s="23" t="s">
        <v>574</v>
      </c>
      <c r="G2769" s="23" t="s">
        <v>250</v>
      </c>
      <c r="H2769" s="39">
        <f t="shared" si="172"/>
        <v>1848</v>
      </c>
      <c r="I2769" s="23" t="str">
        <f t="shared" si="173"/>
        <v>Lucknow</v>
      </c>
      <c r="J2769" s="23">
        <f>COUNTIFS(pg_transaction_cleaned!$O:$O,A2769,pg_transaction_cleaned!$F:$F,"CAPTURE")</f>
        <v>1</v>
      </c>
      <c r="K2769" s="39">
        <f>SUMIFS(pg_transaction_cleaned!$H:$H,pg_transaction_cleaned!$O:$O,A2769,pg_transaction_cleaned!$F:$F,"CAPTURE")</f>
        <v>1848</v>
      </c>
      <c r="L2769" s="23">
        <f>COUNTIFS(pg_transaction_cleaned!$O:$O,A2769,pg_transaction_cleaned!$F:$F,"REFUND")</f>
        <v>0</v>
      </c>
      <c r="M2769" s="39">
        <f>SUMIFS(pg_transaction_cleaned!$H:$H,pg_transaction_cleaned!$O:$O,A2769,pg_transaction_cleaned!$F:$F,"REFUND")</f>
        <v>0</v>
      </c>
      <c r="N2769" s="23" t="str">
        <f t="shared" si="174"/>
        <v>OK</v>
      </c>
      <c r="O2769" s="24">
        <f t="shared" si="175"/>
        <v>0</v>
      </c>
    </row>
    <row r="2770" spans="1:15" ht="15" customHeight="1" x14ac:dyDescent="0.3">
      <c r="A2770" s="23" t="s">
        <v>6036</v>
      </c>
      <c r="B2770" s="38">
        <v>46269</v>
      </c>
      <c r="C2770" s="23" t="s">
        <v>6037</v>
      </c>
      <c r="D2770" s="23" t="s">
        <v>91</v>
      </c>
      <c r="E2770" s="23" t="s">
        <v>75</v>
      </c>
      <c r="F2770" s="23" t="s">
        <v>268</v>
      </c>
      <c r="G2770" s="23" t="s">
        <v>250</v>
      </c>
      <c r="H2770" s="39">
        <f t="shared" si="172"/>
        <v>1299</v>
      </c>
      <c r="I2770" s="23" t="str">
        <f t="shared" si="173"/>
        <v>Pune</v>
      </c>
      <c r="J2770" s="23">
        <f>COUNTIFS(pg_transaction_cleaned!$O:$O,A2770,pg_transaction_cleaned!$F:$F,"CAPTURE")</f>
        <v>1</v>
      </c>
      <c r="K2770" s="39">
        <f>SUMIFS(pg_transaction_cleaned!$H:$H,pg_transaction_cleaned!$O:$O,A2770,pg_transaction_cleaned!$F:$F,"CAPTURE")</f>
        <v>1299</v>
      </c>
      <c r="L2770" s="23">
        <f>COUNTIFS(pg_transaction_cleaned!$O:$O,A2770,pg_transaction_cleaned!$F:$F,"REFUND")</f>
        <v>0</v>
      </c>
      <c r="M2770" s="39">
        <f>SUMIFS(pg_transaction_cleaned!$H:$H,pg_transaction_cleaned!$O:$O,A2770,pg_transaction_cleaned!$F:$F,"REFUND")</f>
        <v>0</v>
      </c>
      <c r="N2770" s="23" t="str">
        <f t="shared" si="174"/>
        <v>OK</v>
      </c>
      <c r="O2770" s="24">
        <f t="shared" si="175"/>
        <v>0</v>
      </c>
    </row>
    <row r="2771" spans="1:15" ht="15" customHeight="1" x14ac:dyDescent="0.3">
      <c r="A2771" s="23" t="s">
        <v>6038</v>
      </c>
      <c r="B2771" s="38">
        <v>46272</v>
      </c>
      <c r="C2771" s="23" t="s">
        <v>6039</v>
      </c>
      <c r="D2771" s="23" t="s">
        <v>93</v>
      </c>
      <c r="E2771" s="23" t="s">
        <v>77</v>
      </c>
      <c r="F2771" s="23" t="s">
        <v>274</v>
      </c>
      <c r="G2771" s="23" t="s">
        <v>250</v>
      </c>
      <c r="H2771" s="39">
        <f t="shared" si="172"/>
        <v>349</v>
      </c>
      <c r="I2771" s="23" t="str">
        <f t="shared" si="173"/>
        <v>Kolkata</v>
      </c>
      <c r="J2771" s="23">
        <f>COUNTIFS(pg_transaction_cleaned!$O:$O,A2771,pg_transaction_cleaned!$F:$F,"CAPTURE")</f>
        <v>1</v>
      </c>
      <c r="K2771" s="39">
        <f>SUMIFS(pg_transaction_cleaned!$H:$H,pg_transaction_cleaned!$O:$O,A2771,pg_transaction_cleaned!$F:$F,"CAPTURE")</f>
        <v>349</v>
      </c>
      <c r="L2771" s="23">
        <f>COUNTIFS(pg_transaction_cleaned!$O:$O,A2771,pg_transaction_cleaned!$F:$F,"REFUND")</f>
        <v>0</v>
      </c>
      <c r="M2771" s="39">
        <f>SUMIFS(pg_transaction_cleaned!$H:$H,pg_transaction_cleaned!$O:$O,A2771,pg_transaction_cleaned!$F:$F,"REFUND")</f>
        <v>0</v>
      </c>
      <c r="N2771" s="23" t="str">
        <f t="shared" si="174"/>
        <v>OK</v>
      </c>
      <c r="O2771" s="24">
        <f t="shared" si="175"/>
        <v>0</v>
      </c>
    </row>
    <row r="2772" spans="1:15" ht="15" customHeight="1" x14ac:dyDescent="0.3">
      <c r="A2772" s="23" t="s">
        <v>6040</v>
      </c>
      <c r="B2772" s="38">
        <v>46280</v>
      </c>
      <c r="C2772" s="23" t="s">
        <v>6041</v>
      </c>
      <c r="D2772" s="23" t="s">
        <v>91</v>
      </c>
      <c r="E2772" s="23" t="s">
        <v>79</v>
      </c>
      <c r="F2772" s="23" t="s">
        <v>5496</v>
      </c>
      <c r="G2772" s="23" t="s">
        <v>250</v>
      </c>
      <c r="H2772" s="39">
        <f t="shared" si="172"/>
        <v>1147</v>
      </c>
      <c r="I2772" s="23" t="str">
        <f t="shared" si="173"/>
        <v>Pune</v>
      </c>
      <c r="J2772" s="23">
        <f>COUNTIFS(pg_transaction_cleaned!$O:$O,A2772,pg_transaction_cleaned!$F:$F,"CAPTURE")</f>
        <v>1</v>
      </c>
      <c r="K2772" s="39">
        <f>SUMIFS(pg_transaction_cleaned!$H:$H,pg_transaction_cleaned!$O:$O,A2772,pg_transaction_cleaned!$F:$F,"CAPTURE")</f>
        <v>1147</v>
      </c>
      <c r="L2772" s="23">
        <f>COUNTIFS(pg_transaction_cleaned!$O:$O,A2772,pg_transaction_cleaned!$F:$F,"REFUND")</f>
        <v>0</v>
      </c>
      <c r="M2772" s="39">
        <f>SUMIFS(pg_transaction_cleaned!$H:$H,pg_transaction_cleaned!$O:$O,A2772,pg_transaction_cleaned!$F:$F,"REFUND")</f>
        <v>0</v>
      </c>
      <c r="N2772" s="23" t="str">
        <f t="shared" si="174"/>
        <v>OK</v>
      </c>
      <c r="O2772" s="24">
        <f t="shared" si="175"/>
        <v>0</v>
      </c>
    </row>
    <row r="2773" spans="1:15" ht="15" customHeight="1" x14ac:dyDescent="0.3">
      <c r="A2773" s="23" t="s">
        <v>6042</v>
      </c>
      <c r="B2773" s="38">
        <v>46269</v>
      </c>
      <c r="C2773" s="23" t="s">
        <v>6043</v>
      </c>
      <c r="D2773" s="23" t="s">
        <v>88</v>
      </c>
      <c r="E2773" s="23" t="s">
        <v>75</v>
      </c>
      <c r="F2773" s="23" t="s">
        <v>423</v>
      </c>
      <c r="G2773" s="23" t="s">
        <v>250</v>
      </c>
      <c r="H2773" s="39">
        <f t="shared" si="172"/>
        <v>1648</v>
      </c>
      <c r="I2773" s="23" t="str">
        <f t="shared" si="173"/>
        <v>Lucknow</v>
      </c>
      <c r="J2773" s="23">
        <f>COUNTIFS(pg_transaction_cleaned!$O:$O,A2773,pg_transaction_cleaned!$F:$F,"CAPTURE")</f>
        <v>1</v>
      </c>
      <c r="K2773" s="39">
        <f>SUMIFS(pg_transaction_cleaned!$H:$H,pg_transaction_cleaned!$O:$O,A2773,pg_transaction_cleaned!$F:$F,"CAPTURE")</f>
        <v>1648</v>
      </c>
      <c r="L2773" s="23">
        <f>COUNTIFS(pg_transaction_cleaned!$O:$O,A2773,pg_transaction_cleaned!$F:$F,"REFUND")</f>
        <v>0</v>
      </c>
      <c r="M2773" s="39">
        <f>SUMIFS(pg_transaction_cleaned!$H:$H,pg_transaction_cleaned!$O:$O,A2773,pg_transaction_cleaned!$F:$F,"REFUND")</f>
        <v>0</v>
      </c>
      <c r="N2773" s="23" t="str">
        <f t="shared" si="174"/>
        <v>OK</v>
      </c>
      <c r="O2773" s="24">
        <f t="shared" si="175"/>
        <v>0</v>
      </c>
    </row>
    <row r="2774" spans="1:15" ht="15" customHeight="1" x14ac:dyDescent="0.3">
      <c r="A2774" s="23" t="s">
        <v>6044</v>
      </c>
      <c r="B2774" s="38">
        <v>46289</v>
      </c>
      <c r="C2774" s="23" t="s">
        <v>6045</v>
      </c>
      <c r="D2774" s="23" t="s">
        <v>90</v>
      </c>
      <c r="E2774" s="23" t="s">
        <v>75</v>
      </c>
      <c r="F2774" s="23" t="s">
        <v>315</v>
      </c>
      <c r="G2774" s="23" t="s">
        <v>250</v>
      </c>
      <c r="H2774" s="39">
        <f t="shared" si="172"/>
        <v>1499</v>
      </c>
      <c r="I2774" s="23" t="str">
        <f t="shared" si="173"/>
        <v>Ahmedabad</v>
      </c>
      <c r="J2774" s="23">
        <f>COUNTIFS(pg_transaction_cleaned!$O:$O,A2774,pg_transaction_cleaned!$F:$F,"CAPTURE")</f>
        <v>1</v>
      </c>
      <c r="K2774" s="39">
        <f>SUMIFS(pg_transaction_cleaned!$H:$H,pg_transaction_cleaned!$O:$O,A2774,pg_transaction_cleaned!$F:$F,"CAPTURE")</f>
        <v>1499</v>
      </c>
      <c r="L2774" s="23">
        <f>COUNTIFS(pg_transaction_cleaned!$O:$O,A2774,pg_transaction_cleaned!$F:$F,"REFUND")</f>
        <v>0</v>
      </c>
      <c r="M2774" s="39">
        <f>SUMIFS(pg_transaction_cleaned!$H:$H,pg_transaction_cleaned!$O:$O,A2774,pg_transaction_cleaned!$F:$F,"REFUND")</f>
        <v>0</v>
      </c>
      <c r="N2774" s="23" t="str">
        <f t="shared" si="174"/>
        <v>OK</v>
      </c>
      <c r="O2774" s="24">
        <f t="shared" si="175"/>
        <v>0</v>
      </c>
    </row>
    <row r="2775" spans="1:15" ht="15" customHeight="1" x14ac:dyDescent="0.3">
      <c r="A2775" s="23" t="s">
        <v>6046</v>
      </c>
      <c r="B2775" s="38">
        <v>46295</v>
      </c>
      <c r="C2775" s="23" t="s">
        <v>6047</v>
      </c>
      <c r="D2775" s="23" t="s">
        <v>87</v>
      </c>
      <c r="E2775" s="23" t="s">
        <v>79</v>
      </c>
      <c r="F2775" s="23" t="s">
        <v>329</v>
      </c>
      <c r="G2775" s="23" t="s">
        <v>365</v>
      </c>
      <c r="H2775" s="39">
        <f t="shared" si="172"/>
        <v>599</v>
      </c>
      <c r="I2775" s="23" t="str">
        <f t="shared" si="173"/>
        <v>Mumbai</v>
      </c>
      <c r="J2775" s="23">
        <f>COUNTIFS(pg_transaction_cleaned!$O:$O,A2775,pg_transaction_cleaned!$F:$F,"CAPTURE")</f>
        <v>0</v>
      </c>
      <c r="K2775" s="39">
        <f>SUMIFS(pg_transaction_cleaned!$H:$H,pg_transaction_cleaned!$O:$O,A2775,pg_transaction_cleaned!$F:$F,"CAPTURE")</f>
        <v>0</v>
      </c>
      <c r="L2775" s="23">
        <f>COUNTIFS(pg_transaction_cleaned!$O:$O,A2775,pg_transaction_cleaned!$F:$F,"REFUND")</f>
        <v>0</v>
      </c>
      <c r="M2775" s="39">
        <f>SUMIFS(pg_transaction_cleaned!$H:$H,pg_transaction_cleaned!$O:$O,A2775,pg_transaction_cleaned!$F:$F,"REFUND")</f>
        <v>0</v>
      </c>
      <c r="N2775" s="23" t="str">
        <f t="shared" si="174"/>
        <v>OK</v>
      </c>
      <c r="O2775" s="24">
        <f t="shared" si="175"/>
        <v>0</v>
      </c>
    </row>
    <row r="2776" spans="1:15" ht="15" customHeight="1" x14ac:dyDescent="0.3">
      <c r="A2776" s="23" t="s">
        <v>6048</v>
      </c>
      <c r="B2776" s="38">
        <v>46275</v>
      </c>
      <c r="C2776" s="23" t="s">
        <v>6049</v>
      </c>
      <c r="D2776" s="23" t="s">
        <v>86</v>
      </c>
      <c r="E2776" s="23" t="s">
        <v>75</v>
      </c>
      <c r="F2776" s="23" t="s">
        <v>950</v>
      </c>
      <c r="G2776" s="23" t="s">
        <v>250</v>
      </c>
      <c r="H2776" s="39">
        <f t="shared" si="172"/>
        <v>1898</v>
      </c>
      <c r="I2776" s="23" t="str">
        <f t="shared" si="173"/>
        <v>Delhi</v>
      </c>
      <c r="J2776" s="23">
        <f>COUNTIFS(pg_transaction_cleaned!$O:$O,A2776,pg_transaction_cleaned!$F:$F,"CAPTURE")</f>
        <v>1</v>
      </c>
      <c r="K2776" s="39">
        <f>SUMIFS(pg_transaction_cleaned!$H:$H,pg_transaction_cleaned!$O:$O,A2776,pg_transaction_cleaned!$F:$F,"CAPTURE")</f>
        <v>1898</v>
      </c>
      <c r="L2776" s="23">
        <f>COUNTIFS(pg_transaction_cleaned!$O:$O,A2776,pg_transaction_cleaned!$F:$F,"REFUND")</f>
        <v>0</v>
      </c>
      <c r="M2776" s="39">
        <f>SUMIFS(pg_transaction_cleaned!$H:$H,pg_transaction_cleaned!$O:$O,A2776,pg_transaction_cleaned!$F:$F,"REFUND")</f>
        <v>0</v>
      </c>
      <c r="N2776" s="23" t="str">
        <f t="shared" si="174"/>
        <v>OK</v>
      </c>
      <c r="O2776" s="24">
        <f t="shared" si="175"/>
        <v>0</v>
      </c>
    </row>
    <row r="2777" spans="1:15" ht="15" customHeight="1" x14ac:dyDescent="0.3">
      <c r="A2777" s="23" t="s">
        <v>6050</v>
      </c>
      <c r="B2777" s="38">
        <v>46280</v>
      </c>
      <c r="C2777" s="23" t="s">
        <v>6051</v>
      </c>
      <c r="D2777" s="23" t="s">
        <v>86</v>
      </c>
      <c r="E2777" s="23" t="s">
        <v>75</v>
      </c>
      <c r="F2777" s="23" t="s">
        <v>685</v>
      </c>
      <c r="G2777" s="23" t="s">
        <v>250</v>
      </c>
      <c r="H2777" s="39">
        <f t="shared" si="172"/>
        <v>8797</v>
      </c>
      <c r="I2777" s="23" t="str">
        <f t="shared" si="173"/>
        <v>Delhi</v>
      </c>
      <c r="J2777" s="23">
        <f>COUNTIFS(pg_transaction_cleaned!$O:$O,A2777,pg_transaction_cleaned!$F:$F,"CAPTURE")</f>
        <v>1</v>
      </c>
      <c r="K2777" s="39">
        <f>SUMIFS(pg_transaction_cleaned!$H:$H,pg_transaction_cleaned!$O:$O,A2777,pg_transaction_cleaned!$F:$F,"CAPTURE")</f>
        <v>8797</v>
      </c>
      <c r="L2777" s="23">
        <f>COUNTIFS(pg_transaction_cleaned!$O:$O,A2777,pg_transaction_cleaned!$F:$F,"REFUND")</f>
        <v>0</v>
      </c>
      <c r="M2777" s="39">
        <f>SUMIFS(pg_transaction_cleaned!$H:$H,pg_transaction_cleaned!$O:$O,A2777,pg_transaction_cleaned!$F:$F,"REFUND")</f>
        <v>0</v>
      </c>
      <c r="N2777" s="23" t="str">
        <f t="shared" si="174"/>
        <v>OK</v>
      </c>
      <c r="O2777" s="24">
        <f t="shared" si="175"/>
        <v>0</v>
      </c>
    </row>
    <row r="2778" spans="1:15" ht="15" customHeight="1" x14ac:dyDescent="0.3">
      <c r="A2778" s="23" t="s">
        <v>6052</v>
      </c>
      <c r="B2778" s="38">
        <v>46269</v>
      </c>
      <c r="C2778" s="23" t="s">
        <v>6053</v>
      </c>
      <c r="D2778" s="23"/>
      <c r="E2778" s="23" t="s">
        <v>79</v>
      </c>
      <c r="F2778" s="23" t="s">
        <v>475</v>
      </c>
      <c r="G2778" s="23" t="s">
        <v>250</v>
      </c>
      <c r="H2778" s="39">
        <f t="shared" si="172"/>
        <v>799</v>
      </c>
      <c r="I2778" s="23" t="str">
        <f t="shared" si="173"/>
        <v>Unknown</v>
      </c>
      <c r="J2778" s="23">
        <f>COUNTIFS(pg_transaction_cleaned!$O:$O,A2778,pg_transaction_cleaned!$F:$F,"CAPTURE")</f>
        <v>1</v>
      </c>
      <c r="K2778" s="39">
        <f>SUMIFS(pg_transaction_cleaned!$H:$H,pg_transaction_cleaned!$O:$O,A2778,pg_transaction_cleaned!$F:$F,"CAPTURE")</f>
        <v>799</v>
      </c>
      <c r="L2778" s="23">
        <f>COUNTIFS(pg_transaction_cleaned!$O:$O,A2778,pg_transaction_cleaned!$F:$F,"REFUND")</f>
        <v>0</v>
      </c>
      <c r="M2778" s="39">
        <f>SUMIFS(pg_transaction_cleaned!$H:$H,pg_transaction_cleaned!$O:$O,A2778,pg_transaction_cleaned!$F:$F,"REFUND")</f>
        <v>0</v>
      </c>
      <c r="N2778" s="23" t="str">
        <f t="shared" si="174"/>
        <v>OK</v>
      </c>
      <c r="O2778" s="24">
        <f t="shared" si="175"/>
        <v>0</v>
      </c>
    </row>
    <row r="2779" spans="1:15" ht="15" customHeight="1" x14ac:dyDescent="0.3">
      <c r="A2779" s="23" t="s">
        <v>6054</v>
      </c>
      <c r="B2779" s="38">
        <v>46270</v>
      </c>
      <c r="C2779" s="23" t="s">
        <v>6055</v>
      </c>
      <c r="D2779" s="23" t="s">
        <v>86</v>
      </c>
      <c r="E2779" s="23" t="s">
        <v>79</v>
      </c>
      <c r="F2779" s="23" t="s">
        <v>310</v>
      </c>
      <c r="G2779" s="23" t="s">
        <v>250</v>
      </c>
      <c r="H2779" s="39">
        <f t="shared" si="172"/>
        <v>7999</v>
      </c>
      <c r="I2779" s="23" t="str">
        <f t="shared" si="173"/>
        <v>Delhi</v>
      </c>
      <c r="J2779" s="23">
        <f>COUNTIFS(pg_transaction_cleaned!$O:$O,A2779,pg_transaction_cleaned!$F:$F,"CAPTURE")</f>
        <v>1</v>
      </c>
      <c r="K2779" s="39">
        <f>SUMIFS(pg_transaction_cleaned!$H:$H,pg_transaction_cleaned!$O:$O,A2779,pg_transaction_cleaned!$F:$F,"CAPTURE")</f>
        <v>7999</v>
      </c>
      <c r="L2779" s="23">
        <f>COUNTIFS(pg_transaction_cleaned!$O:$O,A2779,pg_transaction_cleaned!$F:$F,"REFUND")</f>
        <v>0</v>
      </c>
      <c r="M2779" s="39">
        <f>SUMIFS(pg_transaction_cleaned!$H:$H,pg_transaction_cleaned!$O:$O,A2779,pg_transaction_cleaned!$F:$F,"REFUND")</f>
        <v>0</v>
      </c>
      <c r="N2779" s="23" t="str">
        <f t="shared" si="174"/>
        <v>OK</v>
      </c>
      <c r="O2779" s="24">
        <f t="shared" si="175"/>
        <v>0</v>
      </c>
    </row>
    <row r="2780" spans="1:15" ht="15" customHeight="1" x14ac:dyDescent="0.3">
      <c r="A2780" s="23" t="s">
        <v>6056</v>
      </c>
      <c r="B2780" s="38">
        <v>46285</v>
      </c>
      <c r="C2780" s="23" t="s">
        <v>6057</v>
      </c>
      <c r="D2780" s="23" t="s">
        <v>95</v>
      </c>
      <c r="E2780" s="23" t="s">
        <v>81</v>
      </c>
      <c r="F2780" s="23" t="s">
        <v>268</v>
      </c>
      <c r="G2780" s="23" t="s">
        <v>250</v>
      </c>
      <c r="H2780" s="39">
        <f t="shared" si="172"/>
        <v>1299</v>
      </c>
      <c r="I2780" s="23" t="str">
        <f t="shared" si="173"/>
        <v>Bengaluru</v>
      </c>
      <c r="J2780" s="23">
        <f>COUNTIFS(pg_transaction_cleaned!$O:$O,A2780,pg_transaction_cleaned!$F:$F,"CAPTURE")</f>
        <v>1</v>
      </c>
      <c r="K2780" s="39">
        <f>SUMIFS(pg_transaction_cleaned!$H:$H,pg_transaction_cleaned!$O:$O,A2780,pg_transaction_cleaned!$F:$F,"CAPTURE")</f>
        <v>1299</v>
      </c>
      <c r="L2780" s="23">
        <f>COUNTIFS(pg_transaction_cleaned!$O:$O,A2780,pg_transaction_cleaned!$F:$F,"REFUND")</f>
        <v>0</v>
      </c>
      <c r="M2780" s="39">
        <f>SUMIFS(pg_transaction_cleaned!$H:$H,pg_transaction_cleaned!$O:$O,A2780,pg_transaction_cleaned!$F:$F,"REFUND")</f>
        <v>0</v>
      </c>
      <c r="N2780" s="23" t="str">
        <f t="shared" si="174"/>
        <v>OK</v>
      </c>
      <c r="O2780" s="24">
        <f t="shared" si="175"/>
        <v>0</v>
      </c>
    </row>
    <row r="2781" spans="1:15" ht="15" customHeight="1" x14ac:dyDescent="0.3">
      <c r="A2781" s="23" t="s">
        <v>6058</v>
      </c>
      <c r="B2781" s="38">
        <v>46288</v>
      </c>
      <c r="C2781" s="23" t="s">
        <v>6059</v>
      </c>
      <c r="D2781" s="23" t="s">
        <v>87</v>
      </c>
      <c r="E2781" s="23" t="s">
        <v>81</v>
      </c>
      <c r="F2781" s="23" t="s">
        <v>265</v>
      </c>
      <c r="G2781" s="23" t="s">
        <v>250</v>
      </c>
      <c r="H2781" s="39">
        <f t="shared" si="172"/>
        <v>999</v>
      </c>
      <c r="I2781" s="23" t="str">
        <f t="shared" si="173"/>
        <v>Mumbai</v>
      </c>
      <c r="J2781" s="23">
        <f>COUNTIFS(pg_transaction_cleaned!$O:$O,A2781,pg_transaction_cleaned!$F:$F,"CAPTURE")</f>
        <v>1</v>
      </c>
      <c r="K2781" s="39">
        <f>SUMIFS(pg_transaction_cleaned!$H:$H,pg_transaction_cleaned!$O:$O,A2781,pg_transaction_cleaned!$F:$F,"CAPTURE")</f>
        <v>999</v>
      </c>
      <c r="L2781" s="23">
        <f>COUNTIFS(pg_transaction_cleaned!$O:$O,A2781,pg_transaction_cleaned!$F:$F,"REFUND")</f>
        <v>0</v>
      </c>
      <c r="M2781" s="39">
        <f>SUMIFS(pg_transaction_cleaned!$H:$H,pg_transaction_cleaned!$O:$O,A2781,pg_transaction_cleaned!$F:$F,"REFUND")</f>
        <v>0</v>
      </c>
      <c r="N2781" s="23" t="str">
        <f t="shared" si="174"/>
        <v>OK</v>
      </c>
      <c r="O2781" s="24">
        <f t="shared" si="175"/>
        <v>0</v>
      </c>
    </row>
    <row r="2782" spans="1:15" ht="15" customHeight="1" x14ac:dyDescent="0.3">
      <c r="A2782" s="23" t="s">
        <v>6060</v>
      </c>
      <c r="B2782" s="38">
        <v>46291</v>
      </c>
      <c r="C2782" s="23" t="s">
        <v>6061</v>
      </c>
      <c r="D2782" s="23" t="s">
        <v>88</v>
      </c>
      <c r="E2782" s="23" t="s">
        <v>79</v>
      </c>
      <c r="F2782" s="23" t="s">
        <v>291</v>
      </c>
      <c r="G2782" s="23" t="s">
        <v>250</v>
      </c>
      <c r="H2782" s="39">
        <f t="shared" si="172"/>
        <v>3499</v>
      </c>
      <c r="I2782" s="23" t="str">
        <f t="shared" si="173"/>
        <v>Lucknow</v>
      </c>
      <c r="J2782" s="23">
        <f>COUNTIFS(pg_transaction_cleaned!$O:$O,A2782,pg_transaction_cleaned!$F:$F,"CAPTURE")</f>
        <v>1</v>
      </c>
      <c r="K2782" s="39">
        <f>SUMIFS(pg_transaction_cleaned!$H:$H,pg_transaction_cleaned!$O:$O,A2782,pg_transaction_cleaned!$F:$F,"CAPTURE")</f>
        <v>3499</v>
      </c>
      <c r="L2782" s="23">
        <f>COUNTIFS(pg_transaction_cleaned!$O:$O,A2782,pg_transaction_cleaned!$F:$F,"REFUND")</f>
        <v>0</v>
      </c>
      <c r="M2782" s="39">
        <f>SUMIFS(pg_transaction_cleaned!$H:$H,pg_transaction_cleaned!$O:$O,A2782,pg_transaction_cleaned!$F:$F,"REFUND")</f>
        <v>0</v>
      </c>
      <c r="N2782" s="23" t="str">
        <f t="shared" si="174"/>
        <v>OK</v>
      </c>
      <c r="O2782" s="24">
        <f t="shared" si="175"/>
        <v>0</v>
      </c>
    </row>
    <row r="2783" spans="1:15" ht="15" customHeight="1" x14ac:dyDescent="0.3">
      <c r="A2783" s="23" t="s">
        <v>6062</v>
      </c>
      <c r="B2783" s="38">
        <v>46281</v>
      </c>
      <c r="C2783" s="23" t="s">
        <v>6063</v>
      </c>
      <c r="D2783" s="23" t="s">
        <v>86</v>
      </c>
      <c r="E2783" s="23" t="s">
        <v>77</v>
      </c>
      <c r="F2783" s="23" t="s">
        <v>297</v>
      </c>
      <c r="G2783" s="23" t="s">
        <v>250</v>
      </c>
      <c r="H2783" s="39">
        <f t="shared" si="172"/>
        <v>4999</v>
      </c>
      <c r="I2783" s="23" t="str">
        <f t="shared" si="173"/>
        <v>Delhi</v>
      </c>
      <c r="J2783" s="23">
        <f>COUNTIFS(pg_transaction_cleaned!$O:$O,A2783,pg_transaction_cleaned!$F:$F,"CAPTURE")</f>
        <v>1</v>
      </c>
      <c r="K2783" s="39">
        <f>SUMIFS(pg_transaction_cleaned!$H:$H,pg_transaction_cleaned!$O:$O,A2783,pg_transaction_cleaned!$F:$F,"CAPTURE")</f>
        <v>4999</v>
      </c>
      <c r="L2783" s="23">
        <f>COUNTIFS(pg_transaction_cleaned!$O:$O,A2783,pg_transaction_cleaned!$F:$F,"REFUND")</f>
        <v>0</v>
      </c>
      <c r="M2783" s="39">
        <f>SUMIFS(pg_transaction_cleaned!$H:$H,pg_transaction_cleaned!$O:$O,A2783,pg_transaction_cleaned!$F:$F,"REFUND")</f>
        <v>0</v>
      </c>
      <c r="N2783" s="23" t="str">
        <f t="shared" si="174"/>
        <v>OK</v>
      </c>
      <c r="O2783" s="24">
        <f t="shared" si="175"/>
        <v>0</v>
      </c>
    </row>
    <row r="2784" spans="1:15" ht="15" customHeight="1" x14ac:dyDescent="0.3">
      <c r="A2784" s="23" t="s">
        <v>6064</v>
      </c>
      <c r="B2784" s="38">
        <v>46274</v>
      </c>
      <c r="C2784" s="23" t="s">
        <v>6065</v>
      </c>
      <c r="D2784" s="23" t="s">
        <v>94</v>
      </c>
      <c r="E2784" s="23" t="s">
        <v>75</v>
      </c>
      <c r="F2784" s="23" t="s">
        <v>268</v>
      </c>
      <c r="G2784" s="23" t="s">
        <v>318</v>
      </c>
      <c r="H2784" s="39">
        <f t="shared" si="172"/>
        <v>1299</v>
      </c>
      <c r="I2784" s="23" t="str">
        <f t="shared" si="173"/>
        <v>Chennai</v>
      </c>
      <c r="J2784" s="23">
        <f>COUNTIFS(pg_transaction_cleaned!$O:$O,A2784,pg_transaction_cleaned!$F:$F,"CAPTURE")</f>
        <v>0</v>
      </c>
      <c r="K2784" s="39">
        <f>SUMIFS(pg_transaction_cleaned!$H:$H,pg_transaction_cleaned!$O:$O,A2784,pg_transaction_cleaned!$F:$F,"CAPTURE")</f>
        <v>0</v>
      </c>
      <c r="L2784" s="23">
        <f>COUNTIFS(pg_transaction_cleaned!$O:$O,A2784,pg_transaction_cleaned!$F:$F,"REFUND")</f>
        <v>0</v>
      </c>
      <c r="M2784" s="39">
        <f>SUMIFS(pg_transaction_cleaned!$H:$H,pg_transaction_cleaned!$O:$O,A2784,pg_transaction_cleaned!$F:$F,"REFUND")</f>
        <v>0</v>
      </c>
      <c r="N2784" s="23" t="str">
        <f t="shared" si="174"/>
        <v>OK</v>
      </c>
      <c r="O2784" s="24">
        <f t="shared" si="175"/>
        <v>0</v>
      </c>
    </row>
    <row r="2785" spans="1:15" ht="15" customHeight="1" x14ac:dyDescent="0.3">
      <c r="A2785" s="23" t="s">
        <v>6066</v>
      </c>
      <c r="B2785" s="38">
        <v>46278</v>
      </c>
      <c r="C2785" s="23" t="s">
        <v>6067</v>
      </c>
      <c r="D2785" s="23" t="s">
        <v>92</v>
      </c>
      <c r="E2785" s="23" t="s">
        <v>75</v>
      </c>
      <c r="F2785" s="23" t="s">
        <v>297</v>
      </c>
      <c r="G2785" s="23" t="s">
        <v>365</v>
      </c>
      <c r="H2785" s="39">
        <f t="shared" si="172"/>
        <v>4999</v>
      </c>
      <c r="I2785" s="23" t="str">
        <f t="shared" si="173"/>
        <v>Hyderabad</v>
      </c>
      <c r="J2785" s="23">
        <f>COUNTIFS(pg_transaction_cleaned!$O:$O,A2785,pg_transaction_cleaned!$F:$F,"CAPTURE")</f>
        <v>0</v>
      </c>
      <c r="K2785" s="39">
        <f>SUMIFS(pg_transaction_cleaned!$H:$H,pg_transaction_cleaned!$O:$O,A2785,pg_transaction_cleaned!$F:$F,"CAPTURE")</f>
        <v>0</v>
      </c>
      <c r="L2785" s="23">
        <f>COUNTIFS(pg_transaction_cleaned!$O:$O,A2785,pg_transaction_cleaned!$F:$F,"REFUND")</f>
        <v>0</v>
      </c>
      <c r="M2785" s="39">
        <f>SUMIFS(pg_transaction_cleaned!$H:$H,pg_transaction_cleaned!$O:$O,A2785,pg_transaction_cleaned!$F:$F,"REFUND")</f>
        <v>0</v>
      </c>
      <c r="N2785" s="23" t="str">
        <f t="shared" si="174"/>
        <v>OK</v>
      </c>
      <c r="O2785" s="24">
        <f t="shared" si="175"/>
        <v>0</v>
      </c>
    </row>
    <row r="2786" spans="1:15" ht="15" customHeight="1" x14ac:dyDescent="0.3">
      <c r="A2786" s="23" t="s">
        <v>6068</v>
      </c>
      <c r="B2786" s="38">
        <v>46268</v>
      </c>
      <c r="C2786" s="23" t="s">
        <v>6069</v>
      </c>
      <c r="D2786" s="23" t="s">
        <v>93</v>
      </c>
      <c r="E2786" s="23" t="s">
        <v>75</v>
      </c>
      <c r="F2786" s="23" t="s">
        <v>280</v>
      </c>
      <c r="G2786" s="23" t="s">
        <v>250</v>
      </c>
      <c r="H2786" s="39">
        <f t="shared" si="172"/>
        <v>5797</v>
      </c>
      <c r="I2786" s="23" t="str">
        <f t="shared" si="173"/>
        <v>Kolkata</v>
      </c>
      <c r="J2786" s="23">
        <f>COUNTIFS(pg_transaction_cleaned!$O:$O,A2786,pg_transaction_cleaned!$F:$F,"CAPTURE")</f>
        <v>1</v>
      </c>
      <c r="K2786" s="39">
        <f>SUMIFS(pg_transaction_cleaned!$H:$H,pg_transaction_cleaned!$O:$O,A2786,pg_transaction_cleaned!$F:$F,"CAPTURE")</f>
        <v>5797</v>
      </c>
      <c r="L2786" s="23">
        <f>COUNTIFS(pg_transaction_cleaned!$O:$O,A2786,pg_transaction_cleaned!$F:$F,"REFUND")</f>
        <v>0</v>
      </c>
      <c r="M2786" s="39">
        <f>SUMIFS(pg_transaction_cleaned!$H:$H,pg_transaction_cleaned!$O:$O,A2786,pg_transaction_cleaned!$F:$F,"REFUND")</f>
        <v>0</v>
      </c>
      <c r="N2786" s="23" t="str">
        <f t="shared" si="174"/>
        <v>OK</v>
      </c>
      <c r="O2786" s="24">
        <f t="shared" si="175"/>
        <v>0</v>
      </c>
    </row>
    <row r="2787" spans="1:15" ht="15" customHeight="1" x14ac:dyDescent="0.3">
      <c r="A2787" s="23" t="s">
        <v>6070</v>
      </c>
      <c r="B2787" s="38">
        <v>46269</v>
      </c>
      <c r="C2787" s="23" t="s">
        <v>6071</v>
      </c>
      <c r="D2787" s="23" t="s">
        <v>92</v>
      </c>
      <c r="E2787" s="23" t="s">
        <v>75</v>
      </c>
      <c r="F2787" s="23" t="s">
        <v>271</v>
      </c>
      <c r="G2787" s="23" t="s">
        <v>250</v>
      </c>
      <c r="H2787" s="39">
        <f t="shared" si="172"/>
        <v>2499</v>
      </c>
      <c r="I2787" s="23" t="str">
        <f t="shared" si="173"/>
        <v>Hyderabad</v>
      </c>
      <c r="J2787" s="23">
        <f>COUNTIFS(pg_transaction_cleaned!$O:$O,A2787,pg_transaction_cleaned!$F:$F,"CAPTURE")</f>
        <v>1</v>
      </c>
      <c r="K2787" s="39">
        <f>SUMIFS(pg_transaction_cleaned!$H:$H,pg_transaction_cleaned!$O:$O,A2787,pg_transaction_cleaned!$F:$F,"CAPTURE")</f>
        <v>2499</v>
      </c>
      <c r="L2787" s="23">
        <f>COUNTIFS(pg_transaction_cleaned!$O:$O,A2787,pg_transaction_cleaned!$F:$F,"REFUND")</f>
        <v>0</v>
      </c>
      <c r="M2787" s="39">
        <f>SUMIFS(pg_transaction_cleaned!$H:$H,pg_transaction_cleaned!$O:$O,A2787,pg_transaction_cleaned!$F:$F,"REFUND")</f>
        <v>0</v>
      </c>
      <c r="N2787" s="23" t="str">
        <f t="shared" si="174"/>
        <v>OK</v>
      </c>
      <c r="O2787" s="24">
        <f t="shared" si="175"/>
        <v>0</v>
      </c>
    </row>
    <row r="2788" spans="1:15" ht="15" customHeight="1" x14ac:dyDescent="0.3">
      <c r="A2788" s="23" t="s">
        <v>6072</v>
      </c>
      <c r="B2788" s="38">
        <v>46267</v>
      </c>
      <c r="C2788" s="23" t="s">
        <v>6073</v>
      </c>
      <c r="D2788" s="23" t="s">
        <v>93</v>
      </c>
      <c r="E2788" s="23" t="s">
        <v>75</v>
      </c>
      <c r="F2788" s="23" t="s">
        <v>271</v>
      </c>
      <c r="G2788" s="23" t="s">
        <v>250</v>
      </c>
      <c r="H2788" s="39">
        <f t="shared" si="172"/>
        <v>2499</v>
      </c>
      <c r="I2788" s="23" t="str">
        <f t="shared" si="173"/>
        <v>Kolkata</v>
      </c>
      <c r="J2788" s="23">
        <f>COUNTIFS(pg_transaction_cleaned!$O:$O,A2788,pg_transaction_cleaned!$F:$F,"CAPTURE")</f>
        <v>1</v>
      </c>
      <c r="K2788" s="39">
        <f>SUMIFS(pg_transaction_cleaned!$H:$H,pg_transaction_cleaned!$O:$O,A2788,pg_transaction_cleaned!$F:$F,"CAPTURE")</f>
        <v>2499</v>
      </c>
      <c r="L2788" s="23">
        <f>COUNTIFS(pg_transaction_cleaned!$O:$O,A2788,pg_transaction_cleaned!$F:$F,"REFUND")</f>
        <v>0</v>
      </c>
      <c r="M2788" s="39">
        <f>SUMIFS(pg_transaction_cleaned!$H:$H,pg_transaction_cleaned!$O:$O,A2788,pg_transaction_cleaned!$F:$F,"REFUND")</f>
        <v>0</v>
      </c>
      <c r="N2788" s="23" t="str">
        <f t="shared" si="174"/>
        <v>OK</v>
      </c>
      <c r="O2788" s="24">
        <f t="shared" si="175"/>
        <v>0</v>
      </c>
    </row>
    <row r="2789" spans="1:15" ht="15" customHeight="1" x14ac:dyDescent="0.3">
      <c r="A2789" s="23" t="s">
        <v>6074</v>
      </c>
      <c r="B2789" s="38">
        <v>46279</v>
      </c>
      <c r="C2789" s="23" t="s">
        <v>6075</v>
      </c>
      <c r="D2789" s="23" t="s">
        <v>89</v>
      </c>
      <c r="E2789" s="23" t="s">
        <v>75</v>
      </c>
      <c r="F2789" s="23" t="s">
        <v>357</v>
      </c>
      <c r="G2789" s="23" t="s">
        <v>250</v>
      </c>
      <c r="H2789" s="39">
        <f t="shared" si="172"/>
        <v>1598</v>
      </c>
      <c r="I2789" s="23" t="str">
        <f t="shared" si="173"/>
        <v>Jaipur</v>
      </c>
      <c r="J2789" s="23">
        <f>COUNTIFS(pg_transaction_cleaned!$O:$O,A2789,pg_transaction_cleaned!$F:$F,"CAPTURE")</f>
        <v>1</v>
      </c>
      <c r="K2789" s="39">
        <f>SUMIFS(pg_transaction_cleaned!$H:$H,pg_transaction_cleaned!$O:$O,A2789,pg_transaction_cleaned!$F:$F,"CAPTURE")</f>
        <v>1598</v>
      </c>
      <c r="L2789" s="23">
        <f>COUNTIFS(pg_transaction_cleaned!$O:$O,A2789,pg_transaction_cleaned!$F:$F,"REFUND")</f>
        <v>0</v>
      </c>
      <c r="M2789" s="39">
        <f>SUMIFS(pg_transaction_cleaned!$H:$H,pg_transaction_cleaned!$O:$O,A2789,pg_transaction_cleaned!$F:$F,"REFUND")</f>
        <v>0</v>
      </c>
      <c r="N2789" s="23" t="str">
        <f t="shared" si="174"/>
        <v>OK</v>
      </c>
      <c r="O2789" s="24">
        <f t="shared" si="175"/>
        <v>0</v>
      </c>
    </row>
    <row r="2790" spans="1:15" ht="15" customHeight="1" x14ac:dyDescent="0.3">
      <c r="A2790" s="23" t="s">
        <v>6076</v>
      </c>
      <c r="B2790" s="38">
        <v>46286</v>
      </c>
      <c r="C2790" s="23" t="s">
        <v>6077</v>
      </c>
      <c r="D2790" s="23" t="s">
        <v>87</v>
      </c>
      <c r="E2790" s="23" t="s">
        <v>77</v>
      </c>
      <c r="F2790" s="23" t="s">
        <v>265</v>
      </c>
      <c r="G2790" s="23" t="s">
        <v>250</v>
      </c>
      <c r="H2790" s="39">
        <f t="shared" si="172"/>
        <v>999</v>
      </c>
      <c r="I2790" s="23" t="str">
        <f t="shared" si="173"/>
        <v>Mumbai</v>
      </c>
      <c r="J2790" s="23">
        <f>COUNTIFS(pg_transaction_cleaned!$O:$O,A2790,pg_transaction_cleaned!$F:$F,"CAPTURE")</f>
        <v>1</v>
      </c>
      <c r="K2790" s="39">
        <f>SUMIFS(pg_transaction_cleaned!$H:$H,pg_transaction_cleaned!$O:$O,A2790,pg_transaction_cleaned!$F:$F,"CAPTURE")</f>
        <v>999</v>
      </c>
      <c r="L2790" s="23">
        <f>COUNTIFS(pg_transaction_cleaned!$O:$O,A2790,pg_transaction_cleaned!$F:$F,"REFUND")</f>
        <v>0</v>
      </c>
      <c r="M2790" s="39">
        <f>SUMIFS(pg_transaction_cleaned!$H:$H,pg_transaction_cleaned!$O:$O,A2790,pg_transaction_cleaned!$F:$F,"REFUND")</f>
        <v>0</v>
      </c>
      <c r="N2790" s="23" t="str">
        <f t="shared" si="174"/>
        <v>OK</v>
      </c>
      <c r="O2790" s="24">
        <f t="shared" si="175"/>
        <v>0</v>
      </c>
    </row>
    <row r="2791" spans="1:15" ht="15" customHeight="1" x14ac:dyDescent="0.3">
      <c r="A2791" s="23" t="s">
        <v>6078</v>
      </c>
      <c r="B2791" s="38">
        <v>46273</v>
      </c>
      <c r="C2791" s="23" t="s">
        <v>6079</v>
      </c>
      <c r="D2791" s="23" t="s">
        <v>88</v>
      </c>
      <c r="E2791" s="23" t="s">
        <v>75</v>
      </c>
      <c r="F2791" s="23" t="s">
        <v>1388</v>
      </c>
      <c r="G2791" s="23" t="s">
        <v>250</v>
      </c>
      <c r="H2791" s="39">
        <f t="shared" si="172"/>
        <v>12297</v>
      </c>
      <c r="I2791" s="23" t="str">
        <f t="shared" si="173"/>
        <v>Lucknow</v>
      </c>
      <c r="J2791" s="23">
        <f>COUNTIFS(pg_transaction_cleaned!$O:$O,A2791,pg_transaction_cleaned!$F:$F,"CAPTURE")</f>
        <v>1</v>
      </c>
      <c r="K2791" s="39">
        <f>SUMIFS(pg_transaction_cleaned!$H:$H,pg_transaction_cleaned!$O:$O,A2791,pg_transaction_cleaned!$F:$F,"CAPTURE")</f>
        <v>12297</v>
      </c>
      <c r="L2791" s="23">
        <f>COUNTIFS(pg_transaction_cleaned!$O:$O,A2791,pg_transaction_cleaned!$F:$F,"REFUND")</f>
        <v>0</v>
      </c>
      <c r="M2791" s="39">
        <f>SUMIFS(pg_transaction_cleaned!$H:$H,pg_transaction_cleaned!$O:$O,A2791,pg_transaction_cleaned!$F:$F,"REFUND")</f>
        <v>0</v>
      </c>
      <c r="N2791" s="23" t="str">
        <f t="shared" si="174"/>
        <v>OK</v>
      </c>
      <c r="O2791" s="24">
        <f t="shared" si="175"/>
        <v>0</v>
      </c>
    </row>
    <row r="2792" spans="1:15" ht="15" customHeight="1" x14ac:dyDescent="0.3">
      <c r="A2792" s="23" t="s">
        <v>6080</v>
      </c>
      <c r="B2792" s="38">
        <v>46277</v>
      </c>
      <c r="C2792" s="23" t="s">
        <v>6081</v>
      </c>
      <c r="D2792" s="23" t="s">
        <v>93</v>
      </c>
      <c r="E2792" s="23" t="s">
        <v>79</v>
      </c>
      <c r="F2792" s="23" t="s">
        <v>337</v>
      </c>
      <c r="G2792" s="23" t="s">
        <v>365</v>
      </c>
      <c r="H2792" s="39">
        <f t="shared" si="172"/>
        <v>3998</v>
      </c>
      <c r="I2792" s="23" t="str">
        <f t="shared" si="173"/>
        <v>Kolkata</v>
      </c>
      <c r="J2792" s="23">
        <f>COUNTIFS(pg_transaction_cleaned!$O:$O,A2792,pg_transaction_cleaned!$F:$F,"CAPTURE")</f>
        <v>0</v>
      </c>
      <c r="K2792" s="39">
        <f>SUMIFS(pg_transaction_cleaned!$H:$H,pg_transaction_cleaned!$O:$O,A2792,pg_transaction_cleaned!$F:$F,"CAPTURE")</f>
        <v>0</v>
      </c>
      <c r="L2792" s="23">
        <f>COUNTIFS(pg_transaction_cleaned!$O:$O,A2792,pg_transaction_cleaned!$F:$F,"REFUND")</f>
        <v>0</v>
      </c>
      <c r="M2792" s="39">
        <f>SUMIFS(pg_transaction_cleaned!$H:$H,pg_transaction_cleaned!$O:$O,A2792,pg_transaction_cleaned!$F:$F,"REFUND")</f>
        <v>0</v>
      </c>
      <c r="N2792" s="23" t="str">
        <f t="shared" si="174"/>
        <v>OK</v>
      </c>
      <c r="O2792" s="24">
        <f t="shared" si="175"/>
        <v>0</v>
      </c>
    </row>
    <row r="2793" spans="1:15" ht="15" customHeight="1" x14ac:dyDescent="0.3">
      <c r="A2793" s="23" t="s">
        <v>6082</v>
      </c>
      <c r="B2793" s="38">
        <v>46294</v>
      </c>
      <c r="C2793" s="23" t="s">
        <v>6083</v>
      </c>
      <c r="D2793" s="23" t="s">
        <v>94</v>
      </c>
      <c r="E2793" s="23" t="s">
        <v>75</v>
      </c>
      <c r="F2793" s="23" t="s">
        <v>271</v>
      </c>
      <c r="G2793" s="23" t="s">
        <v>250</v>
      </c>
      <c r="H2793" s="39">
        <f t="shared" si="172"/>
        <v>2499</v>
      </c>
      <c r="I2793" s="23" t="str">
        <f t="shared" si="173"/>
        <v>Chennai</v>
      </c>
      <c r="J2793" s="23">
        <f>COUNTIFS(pg_transaction_cleaned!$O:$O,A2793,pg_transaction_cleaned!$F:$F,"CAPTURE")</f>
        <v>1</v>
      </c>
      <c r="K2793" s="39">
        <f>SUMIFS(pg_transaction_cleaned!$H:$H,pg_transaction_cleaned!$O:$O,A2793,pg_transaction_cleaned!$F:$F,"CAPTURE")</f>
        <v>2499</v>
      </c>
      <c r="L2793" s="23">
        <f>COUNTIFS(pg_transaction_cleaned!$O:$O,A2793,pg_transaction_cleaned!$F:$F,"REFUND")</f>
        <v>0</v>
      </c>
      <c r="M2793" s="39">
        <f>SUMIFS(pg_transaction_cleaned!$H:$H,pg_transaction_cleaned!$O:$O,A2793,pg_transaction_cleaned!$F:$F,"REFUND")</f>
        <v>0</v>
      </c>
      <c r="N2793" s="23" t="str">
        <f t="shared" si="174"/>
        <v>OK</v>
      </c>
      <c r="O2793" s="24">
        <f t="shared" si="175"/>
        <v>0</v>
      </c>
    </row>
    <row r="2794" spans="1:15" ht="15" customHeight="1" x14ac:dyDescent="0.3">
      <c r="A2794" s="23" t="s">
        <v>6084</v>
      </c>
      <c r="B2794" s="38">
        <v>46277</v>
      </c>
      <c r="C2794" s="23" t="s">
        <v>6085</v>
      </c>
      <c r="D2794" s="23" t="s">
        <v>90</v>
      </c>
      <c r="E2794" s="23" t="s">
        <v>77</v>
      </c>
      <c r="F2794" s="23" t="s">
        <v>268</v>
      </c>
      <c r="G2794" s="23" t="s">
        <v>250</v>
      </c>
      <c r="H2794" s="39">
        <f t="shared" si="172"/>
        <v>1299</v>
      </c>
      <c r="I2794" s="23" t="str">
        <f t="shared" si="173"/>
        <v>Ahmedabad</v>
      </c>
      <c r="J2794" s="23">
        <f>COUNTIFS(pg_transaction_cleaned!$O:$O,A2794,pg_transaction_cleaned!$F:$F,"CAPTURE")</f>
        <v>1</v>
      </c>
      <c r="K2794" s="39">
        <f>SUMIFS(pg_transaction_cleaned!$H:$H,pg_transaction_cleaned!$O:$O,A2794,pg_transaction_cleaned!$F:$F,"CAPTURE")</f>
        <v>1299</v>
      </c>
      <c r="L2794" s="23">
        <f>COUNTIFS(pg_transaction_cleaned!$O:$O,A2794,pg_transaction_cleaned!$F:$F,"REFUND")</f>
        <v>0</v>
      </c>
      <c r="M2794" s="39">
        <f>SUMIFS(pg_transaction_cleaned!$H:$H,pg_transaction_cleaned!$O:$O,A2794,pg_transaction_cleaned!$F:$F,"REFUND")</f>
        <v>0</v>
      </c>
      <c r="N2794" s="23" t="str">
        <f t="shared" si="174"/>
        <v>OK</v>
      </c>
      <c r="O2794" s="24">
        <f t="shared" si="175"/>
        <v>0</v>
      </c>
    </row>
    <row r="2795" spans="1:15" ht="15" customHeight="1" x14ac:dyDescent="0.3">
      <c r="A2795" s="23" t="s">
        <v>6086</v>
      </c>
      <c r="B2795" s="38">
        <v>46292</v>
      </c>
      <c r="C2795" s="23" t="s">
        <v>6087</v>
      </c>
      <c r="D2795" s="23" t="s">
        <v>87</v>
      </c>
      <c r="E2795" s="23" t="s">
        <v>75</v>
      </c>
      <c r="F2795" s="23" t="s">
        <v>262</v>
      </c>
      <c r="G2795" s="23" t="s">
        <v>250</v>
      </c>
      <c r="H2795" s="39">
        <f t="shared" si="172"/>
        <v>499</v>
      </c>
      <c r="I2795" s="23" t="str">
        <f t="shared" si="173"/>
        <v>Mumbai</v>
      </c>
      <c r="J2795" s="23">
        <f>COUNTIFS(pg_transaction_cleaned!$O:$O,A2795,pg_transaction_cleaned!$F:$F,"CAPTURE")</f>
        <v>1</v>
      </c>
      <c r="K2795" s="39">
        <f>SUMIFS(pg_transaction_cleaned!$H:$H,pg_transaction_cleaned!$O:$O,A2795,pg_transaction_cleaned!$F:$F,"CAPTURE")</f>
        <v>499</v>
      </c>
      <c r="L2795" s="23">
        <f>COUNTIFS(pg_transaction_cleaned!$O:$O,A2795,pg_transaction_cleaned!$F:$F,"REFUND")</f>
        <v>0</v>
      </c>
      <c r="M2795" s="39">
        <f>SUMIFS(pg_transaction_cleaned!$H:$H,pg_transaction_cleaned!$O:$O,A2795,pg_transaction_cleaned!$F:$F,"REFUND")</f>
        <v>0</v>
      </c>
      <c r="N2795" s="23" t="str">
        <f t="shared" si="174"/>
        <v>OK</v>
      </c>
      <c r="O2795" s="24">
        <f t="shared" si="175"/>
        <v>0</v>
      </c>
    </row>
    <row r="2796" spans="1:15" ht="15" customHeight="1" x14ac:dyDescent="0.3">
      <c r="A2796" s="23" t="s">
        <v>6088</v>
      </c>
      <c r="B2796" s="38">
        <v>46269</v>
      </c>
      <c r="C2796" s="23" t="s">
        <v>6089</v>
      </c>
      <c r="D2796" s="23" t="s">
        <v>91</v>
      </c>
      <c r="E2796" s="23" t="s">
        <v>75</v>
      </c>
      <c r="F2796" s="23" t="s">
        <v>294</v>
      </c>
      <c r="G2796" s="23" t="s">
        <v>250</v>
      </c>
      <c r="H2796" s="39">
        <f t="shared" si="172"/>
        <v>1799</v>
      </c>
      <c r="I2796" s="23" t="str">
        <f t="shared" si="173"/>
        <v>Pune</v>
      </c>
      <c r="J2796" s="23">
        <f>COUNTIFS(pg_transaction_cleaned!$O:$O,A2796,pg_transaction_cleaned!$F:$F,"CAPTURE")</f>
        <v>1</v>
      </c>
      <c r="K2796" s="39">
        <f>SUMIFS(pg_transaction_cleaned!$H:$H,pg_transaction_cleaned!$O:$O,A2796,pg_transaction_cleaned!$F:$F,"CAPTURE")</f>
        <v>1799</v>
      </c>
      <c r="L2796" s="23">
        <f>COUNTIFS(pg_transaction_cleaned!$O:$O,A2796,pg_transaction_cleaned!$F:$F,"REFUND")</f>
        <v>0</v>
      </c>
      <c r="M2796" s="39">
        <f>SUMIFS(pg_transaction_cleaned!$H:$H,pg_transaction_cleaned!$O:$O,A2796,pg_transaction_cleaned!$F:$F,"REFUND")</f>
        <v>0</v>
      </c>
      <c r="N2796" s="23" t="str">
        <f t="shared" si="174"/>
        <v>OK</v>
      </c>
      <c r="O2796" s="24">
        <f t="shared" si="175"/>
        <v>0</v>
      </c>
    </row>
    <row r="2797" spans="1:15" ht="15" customHeight="1" x14ac:dyDescent="0.3">
      <c r="A2797" s="23" t="s">
        <v>6090</v>
      </c>
      <c r="B2797" s="38">
        <v>46267</v>
      </c>
      <c r="C2797" s="23" t="s">
        <v>6091</v>
      </c>
      <c r="D2797" s="23" t="s">
        <v>89</v>
      </c>
      <c r="E2797" s="23" t="s">
        <v>79</v>
      </c>
      <c r="F2797" s="23" t="s">
        <v>249</v>
      </c>
      <c r="G2797" s="23" t="s">
        <v>250</v>
      </c>
      <c r="H2797" s="39">
        <f t="shared" si="172"/>
        <v>299</v>
      </c>
      <c r="I2797" s="23" t="str">
        <f t="shared" si="173"/>
        <v>Jaipur</v>
      </c>
      <c r="J2797" s="23">
        <f>COUNTIFS(pg_transaction_cleaned!$O:$O,A2797,pg_transaction_cleaned!$F:$F,"CAPTURE")</f>
        <v>1</v>
      </c>
      <c r="K2797" s="39">
        <f>SUMIFS(pg_transaction_cleaned!$H:$H,pg_transaction_cleaned!$O:$O,A2797,pg_transaction_cleaned!$F:$F,"CAPTURE")</f>
        <v>299</v>
      </c>
      <c r="L2797" s="23">
        <f>COUNTIFS(pg_transaction_cleaned!$O:$O,A2797,pg_transaction_cleaned!$F:$F,"REFUND")</f>
        <v>0</v>
      </c>
      <c r="M2797" s="39">
        <f>SUMIFS(pg_transaction_cleaned!$H:$H,pg_transaction_cleaned!$O:$O,A2797,pg_transaction_cleaned!$F:$F,"REFUND")</f>
        <v>0</v>
      </c>
      <c r="N2797" s="23" t="str">
        <f t="shared" si="174"/>
        <v>OK</v>
      </c>
      <c r="O2797" s="24">
        <f t="shared" si="175"/>
        <v>0</v>
      </c>
    </row>
    <row r="2798" spans="1:15" ht="15" customHeight="1" x14ac:dyDescent="0.3">
      <c r="A2798" s="23" t="s">
        <v>6092</v>
      </c>
      <c r="B2798" s="38">
        <v>46273</v>
      </c>
      <c r="C2798" s="23" t="s">
        <v>6093</v>
      </c>
      <c r="D2798" s="23" t="s">
        <v>90</v>
      </c>
      <c r="E2798" s="23" t="s">
        <v>79</v>
      </c>
      <c r="F2798" s="23" t="s">
        <v>315</v>
      </c>
      <c r="G2798" s="23" t="s">
        <v>250</v>
      </c>
      <c r="H2798" s="39">
        <f t="shared" si="172"/>
        <v>1499</v>
      </c>
      <c r="I2798" s="23" t="str">
        <f t="shared" si="173"/>
        <v>Ahmedabad</v>
      </c>
      <c r="J2798" s="23">
        <f>COUNTIFS(pg_transaction_cleaned!$O:$O,A2798,pg_transaction_cleaned!$F:$F,"CAPTURE")</f>
        <v>1</v>
      </c>
      <c r="K2798" s="39">
        <f>SUMIFS(pg_transaction_cleaned!$H:$H,pg_transaction_cleaned!$O:$O,A2798,pg_transaction_cleaned!$F:$F,"CAPTURE")</f>
        <v>1499</v>
      </c>
      <c r="L2798" s="23">
        <f>COUNTIFS(pg_transaction_cleaned!$O:$O,A2798,pg_transaction_cleaned!$F:$F,"REFUND")</f>
        <v>0</v>
      </c>
      <c r="M2798" s="39">
        <f>SUMIFS(pg_transaction_cleaned!$H:$H,pg_transaction_cleaned!$O:$O,A2798,pg_transaction_cleaned!$F:$F,"REFUND")</f>
        <v>0</v>
      </c>
      <c r="N2798" s="23" t="str">
        <f t="shared" si="174"/>
        <v>OK</v>
      </c>
      <c r="O2798" s="24">
        <f t="shared" si="175"/>
        <v>0</v>
      </c>
    </row>
    <row r="2799" spans="1:15" ht="15" customHeight="1" x14ac:dyDescent="0.3">
      <c r="A2799" s="23" t="s">
        <v>6094</v>
      </c>
      <c r="B2799" s="38">
        <v>46271</v>
      </c>
      <c r="C2799" s="23" t="s">
        <v>6095</v>
      </c>
      <c r="D2799" s="23" t="s">
        <v>94</v>
      </c>
      <c r="E2799" s="23" t="s">
        <v>75</v>
      </c>
      <c r="F2799" s="23" t="s">
        <v>256</v>
      </c>
      <c r="G2799" s="23" t="s">
        <v>250</v>
      </c>
      <c r="H2799" s="39">
        <f t="shared" si="172"/>
        <v>2098</v>
      </c>
      <c r="I2799" s="23" t="str">
        <f t="shared" si="173"/>
        <v>Chennai</v>
      </c>
      <c r="J2799" s="23">
        <f>COUNTIFS(pg_transaction_cleaned!$O:$O,A2799,pg_transaction_cleaned!$F:$F,"CAPTURE")</f>
        <v>1</v>
      </c>
      <c r="K2799" s="39">
        <f>SUMIFS(pg_transaction_cleaned!$H:$H,pg_transaction_cleaned!$O:$O,A2799,pg_transaction_cleaned!$F:$F,"CAPTURE")</f>
        <v>2098</v>
      </c>
      <c r="L2799" s="23">
        <f>COUNTIFS(pg_transaction_cleaned!$O:$O,A2799,pg_transaction_cleaned!$F:$F,"REFUND")</f>
        <v>0</v>
      </c>
      <c r="M2799" s="39">
        <f>SUMIFS(pg_transaction_cleaned!$H:$H,pg_transaction_cleaned!$O:$O,A2799,pg_transaction_cleaned!$F:$F,"REFUND")</f>
        <v>0</v>
      </c>
      <c r="N2799" s="23" t="str">
        <f t="shared" si="174"/>
        <v>OK</v>
      </c>
      <c r="O2799" s="24">
        <f t="shared" si="175"/>
        <v>0</v>
      </c>
    </row>
    <row r="2800" spans="1:15" ht="15" customHeight="1" x14ac:dyDescent="0.3">
      <c r="A2800" s="23" t="s">
        <v>6096</v>
      </c>
      <c r="B2800" s="38">
        <v>46280</v>
      </c>
      <c r="C2800" s="23" t="s">
        <v>6097</v>
      </c>
      <c r="D2800" s="23" t="s">
        <v>94</v>
      </c>
      <c r="E2800" s="23" t="s">
        <v>81</v>
      </c>
      <c r="F2800" s="23" t="s">
        <v>1520</v>
      </c>
      <c r="G2800" s="23" t="s">
        <v>250</v>
      </c>
      <c r="H2800" s="39">
        <f t="shared" si="172"/>
        <v>499</v>
      </c>
      <c r="I2800" s="23" t="str">
        <f t="shared" si="173"/>
        <v>Chennai</v>
      </c>
      <c r="J2800" s="23">
        <f>COUNTIFS(pg_transaction_cleaned!$O:$O,A2800,pg_transaction_cleaned!$F:$F,"CAPTURE")</f>
        <v>1</v>
      </c>
      <c r="K2800" s="39">
        <f>SUMIFS(pg_transaction_cleaned!$H:$H,pg_transaction_cleaned!$O:$O,A2800,pg_transaction_cleaned!$F:$F,"CAPTURE")</f>
        <v>499</v>
      </c>
      <c r="L2800" s="23">
        <f>COUNTIFS(pg_transaction_cleaned!$O:$O,A2800,pg_transaction_cleaned!$F:$F,"REFUND")</f>
        <v>0</v>
      </c>
      <c r="M2800" s="39">
        <f>SUMIFS(pg_transaction_cleaned!$H:$H,pg_transaction_cleaned!$O:$O,A2800,pg_transaction_cleaned!$F:$F,"REFUND")</f>
        <v>0</v>
      </c>
      <c r="N2800" s="23" t="str">
        <f t="shared" si="174"/>
        <v>OK</v>
      </c>
      <c r="O2800" s="24">
        <f t="shared" si="175"/>
        <v>0</v>
      </c>
    </row>
    <row r="2801" spans="1:15" ht="15" customHeight="1" x14ac:dyDescent="0.3">
      <c r="A2801" s="23" t="s">
        <v>6098</v>
      </c>
      <c r="B2801" s="38">
        <v>46288</v>
      </c>
      <c r="C2801" s="23" t="s">
        <v>6099</v>
      </c>
      <c r="D2801" s="23" t="s">
        <v>90</v>
      </c>
      <c r="E2801" s="23" t="s">
        <v>75</v>
      </c>
      <c r="F2801" s="23" t="s">
        <v>315</v>
      </c>
      <c r="G2801" s="23" t="s">
        <v>250</v>
      </c>
      <c r="H2801" s="39">
        <f t="shared" si="172"/>
        <v>1499</v>
      </c>
      <c r="I2801" s="23" t="str">
        <f t="shared" si="173"/>
        <v>Ahmedabad</v>
      </c>
      <c r="J2801" s="23">
        <f>COUNTIFS(pg_transaction_cleaned!$O:$O,A2801,pg_transaction_cleaned!$F:$F,"CAPTURE")</f>
        <v>1</v>
      </c>
      <c r="K2801" s="39">
        <f>SUMIFS(pg_transaction_cleaned!$H:$H,pg_transaction_cleaned!$O:$O,A2801,pg_transaction_cleaned!$F:$F,"CAPTURE")</f>
        <v>1499</v>
      </c>
      <c r="L2801" s="23">
        <f>COUNTIFS(pg_transaction_cleaned!$O:$O,A2801,pg_transaction_cleaned!$F:$F,"REFUND")</f>
        <v>0</v>
      </c>
      <c r="M2801" s="39">
        <f>SUMIFS(pg_transaction_cleaned!$H:$H,pg_transaction_cleaned!$O:$O,A2801,pg_transaction_cleaned!$F:$F,"REFUND")</f>
        <v>0</v>
      </c>
      <c r="N2801" s="23" t="str">
        <f t="shared" si="174"/>
        <v>OK</v>
      </c>
      <c r="O2801" s="24">
        <f t="shared" si="175"/>
        <v>0</v>
      </c>
    </row>
    <row r="2802" spans="1:15" ht="15" customHeight="1" x14ac:dyDescent="0.3">
      <c r="A2802" s="23" t="s">
        <v>6100</v>
      </c>
      <c r="B2802" s="38">
        <v>46269</v>
      </c>
      <c r="C2802" s="23" t="s">
        <v>6101</v>
      </c>
      <c r="D2802" s="23" t="s">
        <v>87</v>
      </c>
      <c r="E2802" s="23" t="s">
        <v>75</v>
      </c>
      <c r="F2802" s="23" t="s">
        <v>249</v>
      </c>
      <c r="G2802" s="23" t="s">
        <v>250</v>
      </c>
      <c r="H2802" s="39">
        <f t="shared" si="172"/>
        <v>299</v>
      </c>
      <c r="I2802" s="23" t="str">
        <f t="shared" si="173"/>
        <v>Mumbai</v>
      </c>
      <c r="J2802" s="23">
        <f>COUNTIFS(pg_transaction_cleaned!$O:$O,A2802,pg_transaction_cleaned!$F:$F,"CAPTURE")</f>
        <v>1</v>
      </c>
      <c r="K2802" s="39">
        <f>SUMIFS(pg_transaction_cleaned!$H:$H,pg_transaction_cleaned!$O:$O,A2802,pg_transaction_cleaned!$F:$F,"CAPTURE")</f>
        <v>299</v>
      </c>
      <c r="L2802" s="23">
        <f>COUNTIFS(pg_transaction_cleaned!$O:$O,A2802,pg_transaction_cleaned!$F:$F,"REFUND")</f>
        <v>0</v>
      </c>
      <c r="M2802" s="39">
        <f>SUMIFS(pg_transaction_cleaned!$H:$H,pg_transaction_cleaned!$O:$O,A2802,pg_transaction_cleaned!$F:$F,"REFUND")</f>
        <v>0</v>
      </c>
      <c r="N2802" s="23" t="str">
        <f t="shared" si="174"/>
        <v>OK</v>
      </c>
      <c r="O2802" s="24">
        <f t="shared" si="175"/>
        <v>0</v>
      </c>
    </row>
    <row r="2803" spans="1:15" ht="15" customHeight="1" x14ac:dyDescent="0.3">
      <c r="A2803" s="23" t="s">
        <v>6102</v>
      </c>
      <c r="B2803" s="38">
        <v>46292</v>
      </c>
      <c r="C2803" s="23" t="s">
        <v>6103</v>
      </c>
      <c r="D2803" s="23" t="s">
        <v>92</v>
      </c>
      <c r="E2803" s="23" t="s">
        <v>77</v>
      </c>
      <c r="F2803" s="23" t="s">
        <v>265</v>
      </c>
      <c r="G2803" s="23" t="s">
        <v>301</v>
      </c>
      <c r="H2803" s="39">
        <f t="shared" si="172"/>
        <v>999</v>
      </c>
      <c r="I2803" s="23" t="str">
        <f t="shared" si="173"/>
        <v>Hyderabad</v>
      </c>
      <c r="J2803" s="23">
        <f>COUNTIFS(pg_transaction_cleaned!$O:$O,A2803,pg_transaction_cleaned!$F:$F,"CAPTURE")</f>
        <v>1</v>
      </c>
      <c r="K2803" s="39">
        <f>SUMIFS(pg_transaction_cleaned!$H:$H,pg_transaction_cleaned!$O:$O,A2803,pg_transaction_cleaned!$F:$F,"CAPTURE")</f>
        <v>999</v>
      </c>
      <c r="L2803" s="23">
        <f>COUNTIFS(pg_transaction_cleaned!$O:$O,A2803,pg_transaction_cleaned!$F:$F,"REFUND")</f>
        <v>1</v>
      </c>
      <c r="M2803" s="39">
        <f>SUMIFS(pg_transaction_cleaned!$H:$H,pg_transaction_cleaned!$O:$O,A2803,pg_transaction_cleaned!$F:$F,"REFUND")</f>
        <v>999</v>
      </c>
      <c r="N2803" s="23" t="str">
        <f t="shared" si="174"/>
        <v>OK</v>
      </c>
      <c r="O2803" s="24">
        <f t="shared" si="175"/>
        <v>0</v>
      </c>
    </row>
    <row r="2804" spans="1:15" ht="15" customHeight="1" x14ac:dyDescent="0.3">
      <c r="A2804" s="23" t="s">
        <v>6104</v>
      </c>
      <c r="B2804" s="38">
        <v>46272</v>
      </c>
      <c r="C2804" s="23" t="s">
        <v>6105</v>
      </c>
      <c r="D2804" s="23" t="s">
        <v>93</v>
      </c>
      <c r="E2804" s="23" t="s">
        <v>75</v>
      </c>
      <c r="F2804" s="23" t="s">
        <v>1954</v>
      </c>
      <c r="G2804" s="23" t="s">
        <v>250</v>
      </c>
      <c r="H2804" s="39">
        <f t="shared" si="172"/>
        <v>848</v>
      </c>
      <c r="I2804" s="23" t="str">
        <f t="shared" si="173"/>
        <v>Kolkata</v>
      </c>
      <c r="J2804" s="23">
        <f>COUNTIFS(pg_transaction_cleaned!$O:$O,A2804,pg_transaction_cleaned!$F:$F,"CAPTURE")</f>
        <v>1</v>
      </c>
      <c r="K2804" s="39">
        <f>SUMIFS(pg_transaction_cleaned!$H:$H,pg_transaction_cleaned!$O:$O,A2804,pg_transaction_cleaned!$F:$F,"CAPTURE")</f>
        <v>848</v>
      </c>
      <c r="L2804" s="23">
        <f>COUNTIFS(pg_transaction_cleaned!$O:$O,A2804,pg_transaction_cleaned!$F:$F,"REFUND")</f>
        <v>0</v>
      </c>
      <c r="M2804" s="39">
        <f>SUMIFS(pg_transaction_cleaned!$H:$H,pg_transaction_cleaned!$O:$O,A2804,pg_transaction_cleaned!$F:$F,"REFUND")</f>
        <v>0</v>
      </c>
      <c r="N2804" s="23" t="str">
        <f t="shared" si="174"/>
        <v>OK</v>
      </c>
      <c r="O2804" s="24">
        <f t="shared" si="175"/>
        <v>0</v>
      </c>
    </row>
    <row r="2805" spans="1:15" ht="15" customHeight="1" x14ac:dyDescent="0.3">
      <c r="A2805" s="23" t="s">
        <v>6106</v>
      </c>
      <c r="B2805" s="38">
        <v>46271</v>
      </c>
      <c r="C2805" s="23" t="s">
        <v>6107</v>
      </c>
      <c r="D2805" s="23" t="s">
        <v>93</v>
      </c>
      <c r="E2805" s="23" t="s">
        <v>79</v>
      </c>
      <c r="F2805" s="23" t="s">
        <v>294</v>
      </c>
      <c r="G2805" s="23" t="s">
        <v>250</v>
      </c>
      <c r="H2805" s="39">
        <f t="shared" si="172"/>
        <v>1799</v>
      </c>
      <c r="I2805" s="23" t="str">
        <f t="shared" si="173"/>
        <v>Kolkata</v>
      </c>
      <c r="J2805" s="23">
        <f>COUNTIFS(pg_transaction_cleaned!$O:$O,A2805,pg_transaction_cleaned!$F:$F,"CAPTURE")</f>
        <v>1</v>
      </c>
      <c r="K2805" s="39">
        <f>SUMIFS(pg_transaction_cleaned!$H:$H,pg_transaction_cleaned!$O:$O,A2805,pg_transaction_cleaned!$F:$F,"CAPTURE")</f>
        <v>1799</v>
      </c>
      <c r="L2805" s="23">
        <f>COUNTIFS(pg_transaction_cleaned!$O:$O,A2805,pg_transaction_cleaned!$F:$F,"REFUND")</f>
        <v>0</v>
      </c>
      <c r="M2805" s="39">
        <f>SUMIFS(pg_transaction_cleaned!$H:$H,pg_transaction_cleaned!$O:$O,A2805,pg_transaction_cleaned!$F:$F,"REFUND")</f>
        <v>0</v>
      </c>
      <c r="N2805" s="23" t="str">
        <f t="shared" si="174"/>
        <v>OK</v>
      </c>
      <c r="O2805" s="24">
        <f t="shared" si="175"/>
        <v>0</v>
      </c>
    </row>
    <row r="2806" spans="1:15" ht="15" customHeight="1" x14ac:dyDescent="0.3">
      <c r="A2806" s="23" t="s">
        <v>6108</v>
      </c>
      <c r="B2806" s="38">
        <v>46288</v>
      </c>
      <c r="C2806" s="23" t="s">
        <v>6109</v>
      </c>
      <c r="D2806" s="23" t="s">
        <v>87</v>
      </c>
      <c r="E2806" s="23" t="s">
        <v>75</v>
      </c>
      <c r="F2806" s="23" t="s">
        <v>259</v>
      </c>
      <c r="G2806" s="23" t="s">
        <v>250</v>
      </c>
      <c r="H2806" s="39">
        <f t="shared" si="172"/>
        <v>3298</v>
      </c>
      <c r="I2806" s="23" t="str">
        <f t="shared" si="173"/>
        <v>Mumbai</v>
      </c>
      <c r="J2806" s="23">
        <f>COUNTIFS(pg_transaction_cleaned!$O:$O,A2806,pg_transaction_cleaned!$F:$F,"CAPTURE")</f>
        <v>1</v>
      </c>
      <c r="K2806" s="39">
        <f>SUMIFS(pg_transaction_cleaned!$H:$H,pg_transaction_cleaned!$O:$O,A2806,pg_transaction_cleaned!$F:$F,"CAPTURE")</f>
        <v>3298</v>
      </c>
      <c r="L2806" s="23">
        <f>COUNTIFS(pg_transaction_cleaned!$O:$O,A2806,pg_transaction_cleaned!$F:$F,"REFUND")</f>
        <v>0</v>
      </c>
      <c r="M2806" s="39">
        <f>SUMIFS(pg_transaction_cleaned!$H:$H,pg_transaction_cleaned!$O:$O,A2806,pg_transaction_cleaned!$F:$F,"REFUND")</f>
        <v>0</v>
      </c>
      <c r="N2806" s="23" t="str">
        <f t="shared" si="174"/>
        <v>OK</v>
      </c>
      <c r="O2806" s="24">
        <f t="shared" si="175"/>
        <v>0</v>
      </c>
    </row>
    <row r="2807" spans="1:15" ht="15" customHeight="1" x14ac:dyDescent="0.3">
      <c r="A2807" s="23" t="s">
        <v>6110</v>
      </c>
      <c r="B2807" s="38">
        <v>46276</v>
      </c>
      <c r="C2807" s="23" t="s">
        <v>6111</v>
      </c>
      <c r="D2807" s="23" t="s">
        <v>93</v>
      </c>
      <c r="E2807" s="23" t="s">
        <v>79</v>
      </c>
      <c r="F2807" s="23" t="s">
        <v>396</v>
      </c>
      <c r="G2807" s="23" t="s">
        <v>250</v>
      </c>
      <c r="H2807" s="39">
        <f t="shared" si="172"/>
        <v>2999</v>
      </c>
      <c r="I2807" s="23" t="str">
        <f t="shared" si="173"/>
        <v>Kolkata</v>
      </c>
      <c r="J2807" s="23">
        <f>COUNTIFS(pg_transaction_cleaned!$O:$O,A2807,pg_transaction_cleaned!$F:$F,"CAPTURE")</f>
        <v>1</v>
      </c>
      <c r="K2807" s="39">
        <f>SUMIFS(pg_transaction_cleaned!$H:$H,pg_transaction_cleaned!$O:$O,A2807,pg_transaction_cleaned!$F:$F,"CAPTURE")</f>
        <v>2999</v>
      </c>
      <c r="L2807" s="23">
        <f>COUNTIFS(pg_transaction_cleaned!$O:$O,A2807,pg_transaction_cleaned!$F:$F,"REFUND")</f>
        <v>0</v>
      </c>
      <c r="M2807" s="39">
        <f>SUMIFS(pg_transaction_cleaned!$H:$H,pg_transaction_cleaned!$O:$O,A2807,pg_transaction_cleaned!$F:$F,"REFUND")</f>
        <v>0</v>
      </c>
      <c r="N2807" s="23" t="str">
        <f t="shared" si="174"/>
        <v>OK</v>
      </c>
      <c r="O2807" s="24">
        <f t="shared" si="175"/>
        <v>0</v>
      </c>
    </row>
    <row r="2808" spans="1:15" ht="15" customHeight="1" x14ac:dyDescent="0.3">
      <c r="A2808" s="23" t="s">
        <v>6112</v>
      </c>
      <c r="B2808" s="38">
        <v>46271</v>
      </c>
      <c r="C2808" s="23" t="s">
        <v>6113</v>
      </c>
      <c r="D2808" s="23" t="s">
        <v>91</v>
      </c>
      <c r="E2808" s="23" t="s">
        <v>75</v>
      </c>
      <c r="F2808" s="23" t="s">
        <v>490</v>
      </c>
      <c r="G2808" s="23" t="s">
        <v>250</v>
      </c>
      <c r="H2808" s="39">
        <f t="shared" si="172"/>
        <v>8798</v>
      </c>
      <c r="I2808" s="23" t="str">
        <f t="shared" si="173"/>
        <v>Pune</v>
      </c>
      <c r="J2808" s="23">
        <f>COUNTIFS(pg_transaction_cleaned!$O:$O,A2808,pg_transaction_cleaned!$F:$F,"CAPTURE")</f>
        <v>1</v>
      </c>
      <c r="K2808" s="39">
        <f>SUMIFS(pg_transaction_cleaned!$H:$H,pg_transaction_cleaned!$O:$O,A2808,pg_transaction_cleaned!$F:$F,"CAPTURE")</f>
        <v>8798</v>
      </c>
      <c r="L2808" s="23">
        <f>COUNTIFS(pg_transaction_cleaned!$O:$O,A2808,pg_transaction_cleaned!$F:$F,"REFUND")</f>
        <v>0</v>
      </c>
      <c r="M2808" s="39">
        <f>SUMIFS(pg_transaction_cleaned!$H:$H,pg_transaction_cleaned!$O:$O,A2808,pg_transaction_cleaned!$F:$F,"REFUND")</f>
        <v>0</v>
      </c>
      <c r="N2808" s="23" t="str">
        <f t="shared" si="174"/>
        <v>OK</v>
      </c>
      <c r="O2808" s="24">
        <f t="shared" si="175"/>
        <v>0</v>
      </c>
    </row>
    <row r="2809" spans="1:15" ht="15" customHeight="1" x14ac:dyDescent="0.3">
      <c r="A2809" s="23" t="s">
        <v>6114</v>
      </c>
      <c r="B2809" s="38">
        <v>46277</v>
      </c>
      <c r="C2809" s="23" t="s">
        <v>6115</v>
      </c>
      <c r="D2809" s="23" t="s">
        <v>87</v>
      </c>
      <c r="E2809" s="23" t="s">
        <v>75</v>
      </c>
      <c r="F2809" s="23" t="s">
        <v>1762</v>
      </c>
      <c r="G2809" s="23" t="s">
        <v>250</v>
      </c>
      <c r="H2809" s="39">
        <f t="shared" si="172"/>
        <v>2148</v>
      </c>
      <c r="I2809" s="23" t="str">
        <f t="shared" si="173"/>
        <v>Mumbai</v>
      </c>
      <c r="J2809" s="23">
        <f>COUNTIFS(pg_transaction_cleaned!$O:$O,A2809,pg_transaction_cleaned!$F:$F,"CAPTURE")</f>
        <v>1</v>
      </c>
      <c r="K2809" s="39">
        <f>SUMIFS(pg_transaction_cleaned!$H:$H,pg_transaction_cleaned!$O:$O,A2809,pg_transaction_cleaned!$F:$F,"CAPTURE")</f>
        <v>2148</v>
      </c>
      <c r="L2809" s="23">
        <f>COUNTIFS(pg_transaction_cleaned!$O:$O,A2809,pg_transaction_cleaned!$F:$F,"REFUND")</f>
        <v>0</v>
      </c>
      <c r="M2809" s="39">
        <f>SUMIFS(pg_transaction_cleaned!$H:$H,pg_transaction_cleaned!$O:$O,A2809,pg_transaction_cleaned!$F:$F,"REFUND")</f>
        <v>0</v>
      </c>
      <c r="N2809" s="23" t="str">
        <f t="shared" si="174"/>
        <v>OK</v>
      </c>
      <c r="O2809" s="24">
        <f t="shared" si="175"/>
        <v>0</v>
      </c>
    </row>
    <row r="2810" spans="1:15" ht="15" customHeight="1" x14ac:dyDescent="0.3">
      <c r="A2810" s="23" t="s">
        <v>6116</v>
      </c>
      <c r="B2810" s="38">
        <v>46267</v>
      </c>
      <c r="C2810" s="23" t="s">
        <v>6117</v>
      </c>
      <c r="D2810" s="23" t="s">
        <v>94</v>
      </c>
      <c r="E2810" s="23" t="s">
        <v>75</v>
      </c>
      <c r="F2810" s="23" t="s">
        <v>475</v>
      </c>
      <c r="G2810" s="23" t="s">
        <v>250</v>
      </c>
      <c r="H2810" s="39">
        <f t="shared" si="172"/>
        <v>799</v>
      </c>
      <c r="I2810" s="23" t="str">
        <f t="shared" si="173"/>
        <v>Chennai</v>
      </c>
      <c r="J2810" s="23">
        <f>COUNTIFS(pg_transaction_cleaned!$O:$O,A2810,pg_transaction_cleaned!$F:$F,"CAPTURE")</f>
        <v>1</v>
      </c>
      <c r="K2810" s="39">
        <f>SUMIFS(pg_transaction_cleaned!$H:$H,pg_transaction_cleaned!$O:$O,A2810,pg_transaction_cleaned!$F:$F,"CAPTURE")</f>
        <v>799</v>
      </c>
      <c r="L2810" s="23">
        <f>COUNTIFS(pg_transaction_cleaned!$O:$O,A2810,pg_transaction_cleaned!$F:$F,"REFUND")</f>
        <v>0</v>
      </c>
      <c r="M2810" s="39">
        <f>SUMIFS(pg_transaction_cleaned!$H:$H,pg_transaction_cleaned!$O:$O,A2810,pg_transaction_cleaned!$F:$F,"REFUND")</f>
        <v>0</v>
      </c>
      <c r="N2810" s="23" t="str">
        <f t="shared" si="174"/>
        <v>OK</v>
      </c>
      <c r="O2810" s="24">
        <f t="shared" si="175"/>
        <v>0</v>
      </c>
    </row>
    <row r="2811" spans="1:15" ht="15" customHeight="1" x14ac:dyDescent="0.3">
      <c r="A2811" s="23" t="s">
        <v>6118</v>
      </c>
      <c r="B2811" s="38">
        <v>46286</v>
      </c>
      <c r="C2811" s="23" t="s">
        <v>6119</v>
      </c>
      <c r="D2811" s="23" t="s">
        <v>88</v>
      </c>
      <c r="E2811" s="23" t="s">
        <v>75</v>
      </c>
      <c r="F2811" s="23" t="s">
        <v>717</v>
      </c>
      <c r="G2811" s="23" t="s">
        <v>250</v>
      </c>
      <c r="H2811" s="39">
        <f t="shared" si="172"/>
        <v>5298</v>
      </c>
      <c r="I2811" s="23" t="str">
        <f t="shared" si="173"/>
        <v>Lucknow</v>
      </c>
      <c r="J2811" s="23">
        <f>COUNTIFS(pg_transaction_cleaned!$O:$O,A2811,pg_transaction_cleaned!$F:$F,"CAPTURE")</f>
        <v>1</v>
      </c>
      <c r="K2811" s="39">
        <f>SUMIFS(pg_transaction_cleaned!$H:$H,pg_transaction_cleaned!$O:$O,A2811,pg_transaction_cleaned!$F:$F,"CAPTURE")</f>
        <v>5298</v>
      </c>
      <c r="L2811" s="23">
        <f>COUNTIFS(pg_transaction_cleaned!$O:$O,A2811,pg_transaction_cleaned!$F:$F,"REFUND")</f>
        <v>0</v>
      </c>
      <c r="M2811" s="39">
        <f>SUMIFS(pg_transaction_cleaned!$H:$H,pg_transaction_cleaned!$O:$O,A2811,pg_transaction_cleaned!$F:$F,"REFUND")</f>
        <v>0</v>
      </c>
      <c r="N2811" s="23" t="str">
        <f t="shared" si="174"/>
        <v>OK</v>
      </c>
      <c r="O2811" s="24">
        <f t="shared" si="175"/>
        <v>0</v>
      </c>
    </row>
    <row r="2812" spans="1:15" ht="15" customHeight="1" x14ac:dyDescent="0.3">
      <c r="A2812" s="23" t="s">
        <v>6120</v>
      </c>
      <c r="B2812" s="38">
        <v>46281</v>
      </c>
      <c r="C2812" s="23" t="s">
        <v>6121</v>
      </c>
      <c r="D2812" s="23" t="s">
        <v>88</v>
      </c>
      <c r="E2812" s="23" t="s">
        <v>79</v>
      </c>
      <c r="F2812" s="23" t="s">
        <v>2921</v>
      </c>
      <c r="G2812" s="23" t="s">
        <v>250</v>
      </c>
      <c r="H2812" s="39">
        <f t="shared" si="172"/>
        <v>2647</v>
      </c>
      <c r="I2812" s="23" t="str">
        <f t="shared" si="173"/>
        <v>Lucknow</v>
      </c>
      <c r="J2812" s="23">
        <f>COUNTIFS(pg_transaction_cleaned!$O:$O,A2812,pg_transaction_cleaned!$F:$F,"CAPTURE")</f>
        <v>1</v>
      </c>
      <c r="K2812" s="39">
        <f>SUMIFS(pg_transaction_cleaned!$H:$H,pg_transaction_cleaned!$O:$O,A2812,pg_transaction_cleaned!$F:$F,"CAPTURE")</f>
        <v>2647</v>
      </c>
      <c r="L2812" s="23">
        <f>COUNTIFS(pg_transaction_cleaned!$O:$O,A2812,pg_transaction_cleaned!$F:$F,"REFUND")</f>
        <v>0</v>
      </c>
      <c r="M2812" s="39">
        <f>SUMIFS(pg_transaction_cleaned!$H:$H,pg_transaction_cleaned!$O:$O,A2812,pg_transaction_cleaned!$F:$F,"REFUND")</f>
        <v>0</v>
      </c>
      <c r="N2812" s="23" t="str">
        <f t="shared" si="174"/>
        <v>OK</v>
      </c>
      <c r="O2812" s="24">
        <f t="shared" si="175"/>
        <v>0</v>
      </c>
    </row>
    <row r="2813" spans="1:15" ht="15" customHeight="1" x14ac:dyDescent="0.3">
      <c r="A2813" s="23" t="s">
        <v>6122</v>
      </c>
      <c r="B2813" s="38">
        <v>46273</v>
      </c>
      <c r="C2813" s="23" t="s">
        <v>6123</v>
      </c>
      <c r="D2813" s="23" t="s">
        <v>92</v>
      </c>
      <c r="E2813" s="23" t="s">
        <v>79</v>
      </c>
      <c r="F2813" s="23" t="s">
        <v>426</v>
      </c>
      <c r="G2813" s="23" t="s">
        <v>250</v>
      </c>
      <c r="H2813" s="39">
        <f t="shared" si="172"/>
        <v>6798</v>
      </c>
      <c r="I2813" s="23" t="str">
        <f t="shared" si="173"/>
        <v>Hyderabad</v>
      </c>
      <c r="J2813" s="23">
        <f>COUNTIFS(pg_transaction_cleaned!$O:$O,A2813,pg_transaction_cleaned!$F:$F,"CAPTURE")</f>
        <v>1</v>
      </c>
      <c r="K2813" s="39">
        <f>SUMIFS(pg_transaction_cleaned!$H:$H,pg_transaction_cleaned!$O:$O,A2813,pg_transaction_cleaned!$F:$F,"CAPTURE")</f>
        <v>6798</v>
      </c>
      <c r="L2813" s="23">
        <f>COUNTIFS(pg_transaction_cleaned!$O:$O,A2813,pg_transaction_cleaned!$F:$F,"REFUND")</f>
        <v>0</v>
      </c>
      <c r="M2813" s="39">
        <f>SUMIFS(pg_transaction_cleaned!$H:$H,pg_transaction_cleaned!$O:$O,A2813,pg_transaction_cleaned!$F:$F,"REFUND")</f>
        <v>0</v>
      </c>
      <c r="N2813" s="23" t="str">
        <f t="shared" si="174"/>
        <v>OK</v>
      </c>
      <c r="O2813" s="24">
        <f t="shared" si="175"/>
        <v>0</v>
      </c>
    </row>
    <row r="2814" spans="1:15" ht="15" customHeight="1" x14ac:dyDescent="0.3">
      <c r="A2814" s="23" t="s">
        <v>6124</v>
      </c>
      <c r="B2814" s="38">
        <v>46284</v>
      </c>
      <c r="C2814" s="23" t="s">
        <v>6125</v>
      </c>
      <c r="D2814" s="23" t="s">
        <v>94</v>
      </c>
      <c r="E2814" s="23" t="s">
        <v>77</v>
      </c>
      <c r="F2814" s="23" t="s">
        <v>265</v>
      </c>
      <c r="G2814" s="23" t="s">
        <v>250</v>
      </c>
      <c r="H2814" s="39">
        <f t="shared" si="172"/>
        <v>999</v>
      </c>
      <c r="I2814" s="23" t="str">
        <f t="shared" si="173"/>
        <v>Chennai</v>
      </c>
      <c r="J2814" s="23">
        <f>COUNTIFS(pg_transaction_cleaned!$O:$O,A2814,pg_transaction_cleaned!$F:$F,"CAPTURE")</f>
        <v>1</v>
      </c>
      <c r="K2814" s="39">
        <f>SUMIFS(pg_transaction_cleaned!$H:$H,pg_transaction_cleaned!$O:$O,A2814,pg_transaction_cleaned!$F:$F,"CAPTURE")</f>
        <v>999</v>
      </c>
      <c r="L2814" s="23">
        <f>COUNTIFS(pg_transaction_cleaned!$O:$O,A2814,pg_transaction_cleaned!$F:$F,"REFUND")</f>
        <v>0</v>
      </c>
      <c r="M2814" s="39">
        <f>SUMIFS(pg_transaction_cleaned!$H:$H,pg_transaction_cleaned!$O:$O,A2814,pg_transaction_cleaned!$F:$F,"REFUND")</f>
        <v>0</v>
      </c>
      <c r="N2814" s="23" t="str">
        <f t="shared" si="174"/>
        <v>OK</v>
      </c>
      <c r="O2814" s="24">
        <f t="shared" si="175"/>
        <v>0</v>
      </c>
    </row>
    <row r="2815" spans="1:15" ht="15" customHeight="1" x14ac:dyDescent="0.3">
      <c r="A2815" s="23" t="s">
        <v>6126</v>
      </c>
      <c r="B2815" s="38">
        <v>46291</v>
      </c>
      <c r="C2815" s="23" t="s">
        <v>6127</v>
      </c>
      <c r="D2815" s="23" t="s">
        <v>88</v>
      </c>
      <c r="E2815" s="23" t="s">
        <v>79</v>
      </c>
      <c r="F2815" s="23" t="s">
        <v>249</v>
      </c>
      <c r="G2815" s="23" t="s">
        <v>250</v>
      </c>
      <c r="H2815" s="39">
        <f t="shared" si="172"/>
        <v>299</v>
      </c>
      <c r="I2815" s="23" t="str">
        <f t="shared" si="173"/>
        <v>Lucknow</v>
      </c>
      <c r="J2815" s="23">
        <f>COUNTIFS(pg_transaction_cleaned!$O:$O,A2815,pg_transaction_cleaned!$F:$F,"CAPTURE")</f>
        <v>1</v>
      </c>
      <c r="K2815" s="39">
        <f>SUMIFS(pg_transaction_cleaned!$H:$H,pg_transaction_cleaned!$O:$O,A2815,pg_transaction_cleaned!$F:$F,"CAPTURE")</f>
        <v>299</v>
      </c>
      <c r="L2815" s="23">
        <f>COUNTIFS(pg_transaction_cleaned!$O:$O,A2815,pg_transaction_cleaned!$F:$F,"REFUND")</f>
        <v>0</v>
      </c>
      <c r="M2815" s="39">
        <f>SUMIFS(pg_transaction_cleaned!$H:$H,pg_transaction_cleaned!$O:$O,A2815,pg_transaction_cleaned!$F:$F,"REFUND")</f>
        <v>0</v>
      </c>
      <c r="N2815" s="23" t="str">
        <f t="shared" si="174"/>
        <v>OK</v>
      </c>
      <c r="O2815" s="24">
        <f t="shared" si="175"/>
        <v>0</v>
      </c>
    </row>
    <row r="2816" spans="1:15" ht="15" customHeight="1" x14ac:dyDescent="0.3">
      <c r="A2816" s="23" t="s">
        <v>6128</v>
      </c>
      <c r="B2816" s="38">
        <v>46275</v>
      </c>
      <c r="C2816" s="23" t="s">
        <v>6129</v>
      </c>
      <c r="D2816" s="23" t="s">
        <v>89</v>
      </c>
      <c r="E2816" s="23" t="s">
        <v>77</v>
      </c>
      <c r="F2816" s="23" t="s">
        <v>6130</v>
      </c>
      <c r="G2816" s="23" t="s">
        <v>250</v>
      </c>
      <c r="H2816" s="39">
        <f t="shared" si="172"/>
        <v>18497</v>
      </c>
      <c r="I2816" s="23" t="str">
        <f t="shared" si="173"/>
        <v>Jaipur</v>
      </c>
      <c r="J2816" s="23">
        <f>COUNTIFS(pg_transaction_cleaned!$O:$O,A2816,pg_transaction_cleaned!$F:$F,"CAPTURE")</f>
        <v>1</v>
      </c>
      <c r="K2816" s="39">
        <f>SUMIFS(pg_transaction_cleaned!$H:$H,pg_transaction_cleaned!$O:$O,A2816,pg_transaction_cleaned!$F:$F,"CAPTURE")</f>
        <v>18497</v>
      </c>
      <c r="L2816" s="23">
        <f>COUNTIFS(pg_transaction_cleaned!$O:$O,A2816,pg_transaction_cleaned!$F:$F,"REFUND")</f>
        <v>0</v>
      </c>
      <c r="M2816" s="39">
        <f>SUMIFS(pg_transaction_cleaned!$H:$H,pg_transaction_cleaned!$O:$O,A2816,pg_transaction_cleaned!$F:$F,"REFUND")</f>
        <v>0</v>
      </c>
      <c r="N2816" s="23" t="str">
        <f t="shared" si="174"/>
        <v>OK</v>
      </c>
      <c r="O2816" s="24">
        <f t="shared" si="175"/>
        <v>0</v>
      </c>
    </row>
    <row r="2817" spans="1:15" ht="15" customHeight="1" x14ac:dyDescent="0.3">
      <c r="A2817" s="23" t="s">
        <v>6131</v>
      </c>
      <c r="B2817" s="38">
        <v>46281</v>
      </c>
      <c r="C2817" s="23" t="s">
        <v>6132</v>
      </c>
      <c r="D2817" s="23" t="s">
        <v>91</v>
      </c>
      <c r="E2817" s="23" t="s">
        <v>79</v>
      </c>
      <c r="F2817" s="23" t="s">
        <v>3759</v>
      </c>
      <c r="G2817" s="23" t="s">
        <v>250</v>
      </c>
      <c r="H2817" s="39">
        <f t="shared" si="172"/>
        <v>3947</v>
      </c>
      <c r="I2817" s="23" t="str">
        <f t="shared" si="173"/>
        <v>Pune</v>
      </c>
      <c r="J2817" s="23">
        <f>COUNTIFS(pg_transaction_cleaned!$O:$O,A2817,pg_transaction_cleaned!$F:$F,"CAPTURE")</f>
        <v>1</v>
      </c>
      <c r="K2817" s="39">
        <f>SUMIFS(pg_transaction_cleaned!$H:$H,pg_transaction_cleaned!$O:$O,A2817,pg_transaction_cleaned!$F:$F,"CAPTURE")</f>
        <v>3947</v>
      </c>
      <c r="L2817" s="23">
        <f>COUNTIFS(pg_transaction_cleaned!$O:$O,A2817,pg_transaction_cleaned!$F:$F,"REFUND")</f>
        <v>0</v>
      </c>
      <c r="M2817" s="39">
        <f>SUMIFS(pg_transaction_cleaned!$H:$H,pg_transaction_cleaned!$O:$O,A2817,pg_transaction_cleaned!$F:$F,"REFUND")</f>
        <v>0</v>
      </c>
      <c r="N2817" s="23" t="str">
        <f t="shared" si="174"/>
        <v>OK</v>
      </c>
      <c r="O2817" s="24">
        <f t="shared" si="175"/>
        <v>0</v>
      </c>
    </row>
    <row r="2818" spans="1:15" ht="15" customHeight="1" x14ac:dyDescent="0.3">
      <c r="A2818" s="23" t="s">
        <v>6133</v>
      </c>
      <c r="B2818" s="38">
        <v>46292</v>
      </c>
      <c r="C2818" s="23" t="s">
        <v>6134</v>
      </c>
      <c r="D2818" s="23" t="s">
        <v>93</v>
      </c>
      <c r="E2818" s="23" t="s">
        <v>75</v>
      </c>
      <c r="F2818" s="23" t="s">
        <v>307</v>
      </c>
      <c r="G2818" s="23" t="s">
        <v>250</v>
      </c>
      <c r="H2818" s="39">
        <f t="shared" ref="H2818:H2881" si="176">VALUE(SUBSTITUTE(F2818,",",""))</f>
        <v>3798</v>
      </c>
      <c r="I2818" s="23" t="str">
        <f t="shared" ref="I2818:I2881" si="177">IF(TRIM(D2818)="","Unknown",TRIM(D2818))</f>
        <v>Kolkata</v>
      </c>
      <c r="J2818" s="23">
        <f>COUNTIFS(pg_transaction_cleaned!$O:$O,A2818,pg_transaction_cleaned!$F:$F,"CAPTURE")</f>
        <v>1</v>
      </c>
      <c r="K2818" s="39">
        <f>SUMIFS(pg_transaction_cleaned!$H:$H,pg_transaction_cleaned!$O:$O,A2818,pg_transaction_cleaned!$F:$F,"CAPTURE")</f>
        <v>3798</v>
      </c>
      <c r="L2818" s="23">
        <f>COUNTIFS(pg_transaction_cleaned!$O:$O,A2818,pg_transaction_cleaned!$F:$F,"REFUND")</f>
        <v>0</v>
      </c>
      <c r="M2818" s="39">
        <f>SUMIFS(pg_transaction_cleaned!$H:$H,pg_transaction_cleaned!$O:$O,A2818,pg_transaction_cleaned!$F:$F,"REFUND")</f>
        <v>0</v>
      </c>
      <c r="N2818" s="23" t="str">
        <f t="shared" ref="N2818:N2881" si="178">IF(AND(G2818="Paid",J2818=0),"Paid, no payment",IF(AND(OR(G2818="Failed",G2818="Cancelled"),J2818&gt;0),"Payment on failed/cancelled",IF(J2818&gt;1,"Duplicate charge",IF(AND(J2818=1,ROUND(K2818-H2818,2)&lt;&gt;0),"Amount difference",IF(AND(G2818="Refunded",L2818=0),"Refunded, no refund",IF(AND(G2818&lt;&gt;"Refunded",L2818&gt;0),"Refund, order not Refunded",IF(AND(L2818&gt;0,ROUND(M2818-H2818,2)&lt;&gt;0),"Refund amount differs","OK")))))))</f>
        <v>OK</v>
      </c>
      <c r="O2818" s="24">
        <f t="shared" ref="O2818:O2881" si="179">IF(N2818="OK",0,IF(N2818="Paid, no payment",H2818,IF(N2818="Payment on failed/cancelled",K2818,IF(OR(N2818="Duplicate charge",N2818="Amount difference"),K2818-H2818,IF(N2818="Refunded, no refund",H2818,M2818)))))</f>
        <v>0</v>
      </c>
    </row>
    <row r="2819" spans="1:15" ht="15" customHeight="1" x14ac:dyDescent="0.3">
      <c r="A2819" s="23" t="s">
        <v>6135</v>
      </c>
      <c r="B2819" s="38">
        <v>46269</v>
      </c>
      <c r="C2819" s="23" t="s">
        <v>6136</v>
      </c>
      <c r="D2819" s="23" t="s">
        <v>90</v>
      </c>
      <c r="E2819" s="23" t="s">
        <v>77</v>
      </c>
      <c r="F2819" s="23" t="s">
        <v>329</v>
      </c>
      <c r="G2819" s="23" t="s">
        <v>250</v>
      </c>
      <c r="H2819" s="39">
        <f t="shared" si="176"/>
        <v>599</v>
      </c>
      <c r="I2819" s="23" t="str">
        <f t="shared" si="177"/>
        <v>Ahmedabad</v>
      </c>
      <c r="J2819" s="23">
        <f>COUNTIFS(pg_transaction_cleaned!$O:$O,A2819,pg_transaction_cleaned!$F:$F,"CAPTURE")</f>
        <v>1</v>
      </c>
      <c r="K2819" s="39">
        <f>SUMIFS(pg_transaction_cleaned!$H:$H,pg_transaction_cleaned!$O:$O,A2819,pg_transaction_cleaned!$F:$F,"CAPTURE")</f>
        <v>599</v>
      </c>
      <c r="L2819" s="23">
        <f>COUNTIFS(pg_transaction_cleaned!$O:$O,A2819,pg_transaction_cleaned!$F:$F,"REFUND")</f>
        <v>0</v>
      </c>
      <c r="M2819" s="39">
        <f>SUMIFS(pg_transaction_cleaned!$H:$H,pg_transaction_cleaned!$O:$O,A2819,pg_transaction_cleaned!$F:$F,"REFUND")</f>
        <v>0</v>
      </c>
      <c r="N2819" s="23" t="str">
        <f t="shared" si="178"/>
        <v>OK</v>
      </c>
      <c r="O2819" s="24">
        <f t="shared" si="179"/>
        <v>0</v>
      </c>
    </row>
    <row r="2820" spans="1:15" ht="15" customHeight="1" x14ac:dyDescent="0.3">
      <c r="A2820" s="23" t="s">
        <v>6137</v>
      </c>
      <c r="B2820" s="38">
        <v>46284</v>
      </c>
      <c r="C2820" s="23" t="s">
        <v>573</v>
      </c>
      <c r="D2820" s="23" t="s">
        <v>93</v>
      </c>
      <c r="E2820" s="23" t="s">
        <v>75</v>
      </c>
      <c r="F2820" s="23" t="s">
        <v>329</v>
      </c>
      <c r="G2820" s="23" t="s">
        <v>250</v>
      </c>
      <c r="H2820" s="39">
        <f t="shared" si="176"/>
        <v>599</v>
      </c>
      <c r="I2820" s="23" t="str">
        <f t="shared" si="177"/>
        <v>Kolkata</v>
      </c>
      <c r="J2820" s="23">
        <f>COUNTIFS(pg_transaction_cleaned!$O:$O,A2820,pg_transaction_cleaned!$F:$F,"CAPTURE")</f>
        <v>1</v>
      </c>
      <c r="K2820" s="39">
        <f>SUMIFS(pg_transaction_cleaned!$H:$H,pg_transaction_cleaned!$O:$O,A2820,pg_transaction_cleaned!$F:$F,"CAPTURE")</f>
        <v>599</v>
      </c>
      <c r="L2820" s="23">
        <f>COUNTIFS(pg_transaction_cleaned!$O:$O,A2820,pg_transaction_cleaned!$F:$F,"REFUND")</f>
        <v>0</v>
      </c>
      <c r="M2820" s="39">
        <f>SUMIFS(pg_transaction_cleaned!$H:$H,pg_transaction_cleaned!$O:$O,A2820,pg_transaction_cleaned!$F:$F,"REFUND")</f>
        <v>0</v>
      </c>
      <c r="N2820" s="23" t="str">
        <f t="shared" si="178"/>
        <v>OK</v>
      </c>
      <c r="O2820" s="24">
        <f t="shared" si="179"/>
        <v>0</v>
      </c>
    </row>
    <row r="2821" spans="1:15" ht="15" customHeight="1" x14ac:dyDescent="0.3">
      <c r="A2821" s="23" t="s">
        <v>6138</v>
      </c>
      <c r="B2821" s="38">
        <v>46271</v>
      </c>
      <c r="C2821" s="23" t="s">
        <v>6139</v>
      </c>
      <c r="D2821" s="23" t="s">
        <v>88</v>
      </c>
      <c r="E2821" s="23" t="s">
        <v>75</v>
      </c>
      <c r="F2821" s="23" t="s">
        <v>291</v>
      </c>
      <c r="G2821" s="23" t="s">
        <v>250</v>
      </c>
      <c r="H2821" s="39">
        <f t="shared" si="176"/>
        <v>3499</v>
      </c>
      <c r="I2821" s="23" t="str">
        <f t="shared" si="177"/>
        <v>Lucknow</v>
      </c>
      <c r="J2821" s="23">
        <f>COUNTIFS(pg_transaction_cleaned!$O:$O,A2821,pg_transaction_cleaned!$F:$F,"CAPTURE")</f>
        <v>1</v>
      </c>
      <c r="K2821" s="39">
        <f>SUMIFS(pg_transaction_cleaned!$H:$H,pg_transaction_cleaned!$O:$O,A2821,pg_transaction_cleaned!$F:$F,"CAPTURE")</f>
        <v>3499</v>
      </c>
      <c r="L2821" s="23">
        <f>COUNTIFS(pg_transaction_cleaned!$O:$O,A2821,pg_transaction_cleaned!$F:$F,"REFUND")</f>
        <v>0</v>
      </c>
      <c r="M2821" s="39">
        <f>SUMIFS(pg_transaction_cleaned!$H:$H,pg_transaction_cleaned!$O:$O,A2821,pg_transaction_cleaned!$F:$F,"REFUND")</f>
        <v>0</v>
      </c>
      <c r="N2821" s="23" t="str">
        <f t="shared" si="178"/>
        <v>OK</v>
      </c>
      <c r="O2821" s="24">
        <f t="shared" si="179"/>
        <v>0</v>
      </c>
    </row>
    <row r="2822" spans="1:15" ht="15" customHeight="1" x14ac:dyDescent="0.3">
      <c r="A2822" s="23" t="s">
        <v>6140</v>
      </c>
      <c r="B2822" s="38">
        <v>46275</v>
      </c>
      <c r="C2822" s="23" t="s">
        <v>6141</v>
      </c>
      <c r="D2822" s="23" t="s">
        <v>91</v>
      </c>
      <c r="E2822" s="23" t="s">
        <v>75</v>
      </c>
      <c r="F2822" s="23" t="s">
        <v>378</v>
      </c>
      <c r="G2822" s="23" t="s">
        <v>301</v>
      </c>
      <c r="H2822" s="39">
        <f t="shared" si="176"/>
        <v>2848</v>
      </c>
      <c r="I2822" s="23" t="str">
        <f t="shared" si="177"/>
        <v>Pune</v>
      </c>
      <c r="J2822" s="23">
        <f>COUNTIFS(pg_transaction_cleaned!$O:$O,A2822,pg_transaction_cleaned!$F:$F,"CAPTURE")</f>
        <v>1</v>
      </c>
      <c r="K2822" s="39">
        <f>SUMIFS(pg_transaction_cleaned!$H:$H,pg_transaction_cleaned!$O:$O,A2822,pg_transaction_cleaned!$F:$F,"CAPTURE")</f>
        <v>2848</v>
      </c>
      <c r="L2822" s="23">
        <f>COUNTIFS(pg_transaction_cleaned!$O:$O,A2822,pg_transaction_cleaned!$F:$F,"REFUND")</f>
        <v>1</v>
      </c>
      <c r="M2822" s="39">
        <f>SUMIFS(pg_transaction_cleaned!$H:$H,pg_transaction_cleaned!$O:$O,A2822,pg_transaction_cleaned!$F:$F,"REFUND")</f>
        <v>2848</v>
      </c>
      <c r="N2822" s="23" t="str">
        <f t="shared" si="178"/>
        <v>OK</v>
      </c>
      <c r="O2822" s="24">
        <f t="shared" si="179"/>
        <v>0</v>
      </c>
    </row>
    <row r="2823" spans="1:15" ht="15" customHeight="1" x14ac:dyDescent="0.3">
      <c r="A2823" s="23" t="s">
        <v>6142</v>
      </c>
      <c r="B2823" s="38">
        <v>46288</v>
      </c>
      <c r="C2823" s="23" t="s">
        <v>6143</v>
      </c>
      <c r="D2823" s="23" t="s">
        <v>86</v>
      </c>
      <c r="E2823" s="23" t="s">
        <v>81</v>
      </c>
      <c r="F2823" s="23" t="s">
        <v>262</v>
      </c>
      <c r="G2823" s="23" t="s">
        <v>365</v>
      </c>
      <c r="H2823" s="39">
        <f t="shared" si="176"/>
        <v>499</v>
      </c>
      <c r="I2823" s="23" t="str">
        <f t="shared" si="177"/>
        <v>Delhi</v>
      </c>
      <c r="J2823" s="23">
        <f>COUNTIFS(pg_transaction_cleaned!$O:$O,A2823,pg_transaction_cleaned!$F:$F,"CAPTURE")</f>
        <v>0</v>
      </c>
      <c r="K2823" s="39">
        <f>SUMIFS(pg_transaction_cleaned!$H:$H,pg_transaction_cleaned!$O:$O,A2823,pg_transaction_cleaned!$F:$F,"CAPTURE")</f>
        <v>0</v>
      </c>
      <c r="L2823" s="23">
        <f>COUNTIFS(pg_transaction_cleaned!$O:$O,A2823,pg_transaction_cleaned!$F:$F,"REFUND")</f>
        <v>0</v>
      </c>
      <c r="M2823" s="39">
        <f>SUMIFS(pg_transaction_cleaned!$H:$H,pg_transaction_cleaned!$O:$O,A2823,pg_transaction_cleaned!$F:$F,"REFUND")</f>
        <v>0</v>
      </c>
      <c r="N2823" s="23" t="str">
        <f t="shared" si="178"/>
        <v>OK</v>
      </c>
      <c r="O2823" s="24">
        <f t="shared" si="179"/>
        <v>0</v>
      </c>
    </row>
    <row r="2824" spans="1:15" ht="15" customHeight="1" x14ac:dyDescent="0.3">
      <c r="A2824" s="23" t="s">
        <v>6144</v>
      </c>
      <c r="B2824" s="38">
        <v>46266</v>
      </c>
      <c r="C2824" s="23" t="s">
        <v>6145</v>
      </c>
      <c r="D2824" s="23" t="s">
        <v>86</v>
      </c>
      <c r="E2824" s="23" t="s">
        <v>75</v>
      </c>
      <c r="F2824" s="23" t="s">
        <v>315</v>
      </c>
      <c r="G2824" s="23" t="s">
        <v>250</v>
      </c>
      <c r="H2824" s="39">
        <f t="shared" si="176"/>
        <v>1499</v>
      </c>
      <c r="I2824" s="23" t="str">
        <f t="shared" si="177"/>
        <v>Delhi</v>
      </c>
      <c r="J2824" s="23">
        <f>COUNTIFS(pg_transaction_cleaned!$O:$O,A2824,pg_transaction_cleaned!$F:$F,"CAPTURE")</f>
        <v>1</v>
      </c>
      <c r="K2824" s="39">
        <f>SUMIFS(pg_transaction_cleaned!$H:$H,pg_transaction_cleaned!$O:$O,A2824,pg_transaction_cleaned!$F:$F,"CAPTURE")</f>
        <v>1499</v>
      </c>
      <c r="L2824" s="23">
        <f>COUNTIFS(pg_transaction_cleaned!$O:$O,A2824,pg_transaction_cleaned!$F:$F,"REFUND")</f>
        <v>0</v>
      </c>
      <c r="M2824" s="39">
        <f>SUMIFS(pg_transaction_cleaned!$H:$H,pg_transaction_cleaned!$O:$O,A2824,pg_transaction_cleaned!$F:$F,"REFUND")</f>
        <v>0</v>
      </c>
      <c r="N2824" s="23" t="str">
        <f t="shared" si="178"/>
        <v>OK</v>
      </c>
      <c r="O2824" s="24">
        <f t="shared" si="179"/>
        <v>0</v>
      </c>
    </row>
    <row r="2825" spans="1:15" ht="15" customHeight="1" x14ac:dyDescent="0.3">
      <c r="A2825" s="23" t="s">
        <v>6146</v>
      </c>
      <c r="B2825" s="38">
        <v>46269</v>
      </c>
      <c r="C2825" s="23" t="s">
        <v>6147</v>
      </c>
      <c r="D2825" s="23" t="s">
        <v>87</v>
      </c>
      <c r="E2825" s="23" t="s">
        <v>75</v>
      </c>
      <c r="F2825" s="23" t="s">
        <v>268</v>
      </c>
      <c r="G2825" s="23" t="s">
        <v>250</v>
      </c>
      <c r="H2825" s="39">
        <f t="shared" si="176"/>
        <v>1299</v>
      </c>
      <c r="I2825" s="23" t="str">
        <f t="shared" si="177"/>
        <v>Mumbai</v>
      </c>
      <c r="J2825" s="23">
        <f>COUNTIFS(pg_transaction_cleaned!$O:$O,A2825,pg_transaction_cleaned!$F:$F,"CAPTURE")</f>
        <v>1</v>
      </c>
      <c r="K2825" s="39">
        <f>SUMIFS(pg_transaction_cleaned!$H:$H,pg_transaction_cleaned!$O:$O,A2825,pg_transaction_cleaned!$F:$F,"CAPTURE")</f>
        <v>1299</v>
      </c>
      <c r="L2825" s="23">
        <f>COUNTIFS(pg_transaction_cleaned!$O:$O,A2825,pg_transaction_cleaned!$F:$F,"REFUND")</f>
        <v>0</v>
      </c>
      <c r="M2825" s="39">
        <f>SUMIFS(pg_transaction_cleaned!$H:$H,pg_transaction_cleaned!$O:$O,A2825,pg_transaction_cleaned!$F:$F,"REFUND")</f>
        <v>0</v>
      </c>
      <c r="N2825" s="23" t="str">
        <f t="shared" si="178"/>
        <v>OK</v>
      </c>
      <c r="O2825" s="24">
        <f t="shared" si="179"/>
        <v>0</v>
      </c>
    </row>
    <row r="2826" spans="1:15" ht="15" customHeight="1" x14ac:dyDescent="0.3">
      <c r="A2826" s="23" t="s">
        <v>6148</v>
      </c>
      <c r="B2826" s="38">
        <v>46286</v>
      </c>
      <c r="C2826" s="23" t="s">
        <v>6149</v>
      </c>
      <c r="D2826" s="23" t="s">
        <v>91</v>
      </c>
      <c r="E2826" s="23" t="s">
        <v>77</v>
      </c>
      <c r="F2826" s="23" t="s">
        <v>1440</v>
      </c>
      <c r="G2826" s="23" t="s">
        <v>250</v>
      </c>
      <c r="H2826" s="39">
        <f t="shared" si="176"/>
        <v>4147</v>
      </c>
      <c r="I2826" s="23" t="str">
        <f t="shared" si="177"/>
        <v>Pune</v>
      </c>
      <c r="J2826" s="23">
        <f>COUNTIFS(pg_transaction_cleaned!$O:$O,A2826,pg_transaction_cleaned!$F:$F,"CAPTURE")</f>
        <v>1</v>
      </c>
      <c r="K2826" s="39">
        <f>SUMIFS(pg_transaction_cleaned!$H:$H,pg_transaction_cleaned!$O:$O,A2826,pg_transaction_cleaned!$F:$F,"CAPTURE")</f>
        <v>4147</v>
      </c>
      <c r="L2826" s="23">
        <f>COUNTIFS(pg_transaction_cleaned!$O:$O,A2826,pg_transaction_cleaned!$F:$F,"REFUND")</f>
        <v>0</v>
      </c>
      <c r="M2826" s="39">
        <f>SUMIFS(pg_transaction_cleaned!$H:$H,pg_transaction_cleaned!$O:$O,A2826,pg_transaction_cleaned!$F:$F,"REFUND")</f>
        <v>0</v>
      </c>
      <c r="N2826" s="23" t="str">
        <f t="shared" si="178"/>
        <v>OK</v>
      </c>
      <c r="O2826" s="24">
        <f t="shared" si="179"/>
        <v>0</v>
      </c>
    </row>
    <row r="2827" spans="1:15" ht="15" customHeight="1" x14ac:dyDescent="0.3">
      <c r="A2827" s="23" t="s">
        <v>6150</v>
      </c>
      <c r="B2827" s="38">
        <v>46273</v>
      </c>
      <c r="C2827" s="23" t="s">
        <v>6151</v>
      </c>
      <c r="D2827" s="23" t="s">
        <v>88</v>
      </c>
      <c r="E2827" s="23" t="s">
        <v>79</v>
      </c>
      <c r="F2827" s="23" t="s">
        <v>396</v>
      </c>
      <c r="G2827" s="23" t="s">
        <v>250</v>
      </c>
      <c r="H2827" s="39">
        <f t="shared" si="176"/>
        <v>2999</v>
      </c>
      <c r="I2827" s="23" t="str">
        <f t="shared" si="177"/>
        <v>Lucknow</v>
      </c>
      <c r="J2827" s="23">
        <f>COUNTIFS(pg_transaction_cleaned!$O:$O,A2827,pg_transaction_cleaned!$F:$F,"CAPTURE")</f>
        <v>1</v>
      </c>
      <c r="K2827" s="39">
        <f>SUMIFS(pg_transaction_cleaned!$H:$H,pg_transaction_cleaned!$O:$O,A2827,pg_transaction_cleaned!$F:$F,"CAPTURE")</f>
        <v>2999</v>
      </c>
      <c r="L2827" s="23">
        <f>COUNTIFS(pg_transaction_cleaned!$O:$O,A2827,pg_transaction_cleaned!$F:$F,"REFUND")</f>
        <v>0</v>
      </c>
      <c r="M2827" s="39">
        <f>SUMIFS(pg_transaction_cleaned!$H:$H,pg_transaction_cleaned!$O:$O,A2827,pg_transaction_cleaned!$F:$F,"REFUND")</f>
        <v>0</v>
      </c>
      <c r="N2827" s="23" t="str">
        <f t="shared" si="178"/>
        <v>OK</v>
      </c>
      <c r="O2827" s="24">
        <f t="shared" si="179"/>
        <v>0</v>
      </c>
    </row>
    <row r="2828" spans="1:15" ht="15" customHeight="1" x14ac:dyDescent="0.3">
      <c r="A2828" s="23" t="s">
        <v>6152</v>
      </c>
      <c r="B2828" s="38">
        <v>46282</v>
      </c>
      <c r="C2828" s="23" t="s">
        <v>6153</v>
      </c>
      <c r="D2828" s="23" t="s">
        <v>87</v>
      </c>
      <c r="E2828" s="23" t="s">
        <v>75</v>
      </c>
      <c r="F2828" s="23" t="s">
        <v>460</v>
      </c>
      <c r="G2828" s="23" t="s">
        <v>365</v>
      </c>
      <c r="H2828" s="39">
        <f t="shared" si="176"/>
        <v>1998</v>
      </c>
      <c r="I2828" s="23" t="str">
        <f t="shared" si="177"/>
        <v>Mumbai</v>
      </c>
      <c r="J2828" s="23">
        <f>COUNTIFS(pg_transaction_cleaned!$O:$O,A2828,pg_transaction_cleaned!$F:$F,"CAPTURE")</f>
        <v>0</v>
      </c>
      <c r="K2828" s="39">
        <f>SUMIFS(pg_transaction_cleaned!$H:$H,pg_transaction_cleaned!$O:$O,A2828,pg_transaction_cleaned!$F:$F,"CAPTURE")</f>
        <v>0</v>
      </c>
      <c r="L2828" s="23">
        <f>COUNTIFS(pg_transaction_cleaned!$O:$O,A2828,pg_transaction_cleaned!$F:$F,"REFUND")</f>
        <v>0</v>
      </c>
      <c r="M2828" s="39">
        <f>SUMIFS(pg_transaction_cleaned!$H:$H,pg_transaction_cleaned!$O:$O,A2828,pg_transaction_cleaned!$F:$F,"REFUND")</f>
        <v>0</v>
      </c>
      <c r="N2828" s="23" t="str">
        <f t="shared" si="178"/>
        <v>OK</v>
      </c>
      <c r="O2828" s="24">
        <f t="shared" si="179"/>
        <v>0</v>
      </c>
    </row>
    <row r="2829" spans="1:15" ht="15" customHeight="1" x14ac:dyDescent="0.3">
      <c r="A2829" s="23" t="s">
        <v>6154</v>
      </c>
      <c r="B2829" s="38">
        <v>46289</v>
      </c>
      <c r="C2829" s="23" t="s">
        <v>6155</v>
      </c>
      <c r="D2829" s="23" t="s">
        <v>89</v>
      </c>
      <c r="E2829" s="23" t="s">
        <v>75</v>
      </c>
      <c r="F2829" s="23" t="s">
        <v>772</v>
      </c>
      <c r="G2829" s="23" t="s">
        <v>250</v>
      </c>
      <c r="H2829" s="39">
        <f t="shared" si="176"/>
        <v>4798</v>
      </c>
      <c r="I2829" s="23" t="str">
        <f t="shared" si="177"/>
        <v>Jaipur</v>
      </c>
      <c r="J2829" s="23">
        <f>COUNTIFS(pg_transaction_cleaned!$O:$O,A2829,pg_transaction_cleaned!$F:$F,"CAPTURE")</f>
        <v>1</v>
      </c>
      <c r="K2829" s="39">
        <f>SUMIFS(pg_transaction_cleaned!$H:$H,pg_transaction_cleaned!$O:$O,A2829,pg_transaction_cleaned!$F:$F,"CAPTURE")</f>
        <v>4798</v>
      </c>
      <c r="L2829" s="23">
        <f>COUNTIFS(pg_transaction_cleaned!$O:$O,A2829,pg_transaction_cleaned!$F:$F,"REFUND")</f>
        <v>0</v>
      </c>
      <c r="M2829" s="39">
        <f>SUMIFS(pg_transaction_cleaned!$H:$H,pg_transaction_cleaned!$O:$O,A2829,pg_transaction_cleaned!$F:$F,"REFUND")</f>
        <v>0</v>
      </c>
      <c r="N2829" s="23" t="str">
        <f t="shared" si="178"/>
        <v>OK</v>
      </c>
      <c r="O2829" s="24">
        <f t="shared" si="179"/>
        <v>0</v>
      </c>
    </row>
    <row r="2830" spans="1:15" ht="15" customHeight="1" x14ac:dyDescent="0.3">
      <c r="A2830" s="23" t="s">
        <v>6156</v>
      </c>
      <c r="B2830" s="38">
        <v>46266</v>
      </c>
      <c r="C2830" s="23" t="s">
        <v>6157</v>
      </c>
      <c r="D2830" s="23" t="s">
        <v>89</v>
      </c>
      <c r="E2830" s="23" t="s">
        <v>77</v>
      </c>
      <c r="F2830" s="23" t="s">
        <v>294</v>
      </c>
      <c r="G2830" s="23" t="s">
        <v>365</v>
      </c>
      <c r="H2830" s="39">
        <f t="shared" si="176"/>
        <v>1799</v>
      </c>
      <c r="I2830" s="23" t="str">
        <f t="shared" si="177"/>
        <v>Jaipur</v>
      </c>
      <c r="J2830" s="23">
        <f>COUNTIFS(pg_transaction_cleaned!$O:$O,A2830,pg_transaction_cleaned!$F:$F,"CAPTURE")</f>
        <v>0</v>
      </c>
      <c r="K2830" s="39">
        <f>SUMIFS(pg_transaction_cleaned!$H:$H,pg_transaction_cleaned!$O:$O,A2830,pg_transaction_cleaned!$F:$F,"CAPTURE")</f>
        <v>0</v>
      </c>
      <c r="L2830" s="23">
        <f>COUNTIFS(pg_transaction_cleaned!$O:$O,A2830,pg_transaction_cleaned!$F:$F,"REFUND")</f>
        <v>0</v>
      </c>
      <c r="M2830" s="39">
        <f>SUMIFS(pg_transaction_cleaned!$H:$H,pg_transaction_cleaned!$O:$O,A2830,pg_transaction_cleaned!$F:$F,"REFUND")</f>
        <v>0</v>
      </c>
      <c r="N2830" s="23" t="str">
        <f t="shared" si="178"/>
        <v>OK</v>
      </c>
      <c r="O2830" s="24">
        <f t="shared" si="179"/>
        <v>0</v>
      </c>
    </row>
    <row r="2831" spans="1:15" ht="15" customHeight="1" x14ac:dyDescent="0.3">
      <c r="A2831" s="23" t="s">
        <v>6158</v>
      </c>
      <c r="B2831" s="38">
        <v>46270</v>
      </c>
      <c r="C2831" s="23" t="s">
        <v>6159</v>
      </c>
      <c r="D2831" s="23" t="s">
        <v>89</v>
      </c>
      <c r="E2831" s="23" t="s">
        <v>77</v>
      </c>
      <c r="F2831" s="23" t="s">
        <v>297</v>
      </c>
      <c r="G2831" s="23" t="s">
        <v>250</v>
      </c>
      <c r="H2831" s="39">
        <f t="shared" si="176"/>
        <v>4999</v>
      </c>
      <c r="I2831" s="23" t="str">
        <f t="shared" si="177"/>
        <v>Jaipur</v>
      </c>
      <c r="J2831" s="23">
        <f>COUNTIFS(pg_transaction_cleaned!$O:$O,A2831,pg_transaction_cleaned!$F:$F,"CAPTURE")</f>
        <v>1</v>
      </c>
      <c r="K2831" s="39">
        <f>SUMIFS(pg_transaction_cleaned!$H:$H,pg_transaction_cleaned!$O:$O,A2831,pg_transaction_cleaned!$F:$F,"CAPTURE")</f>
        <v>4999</v>
      </c>
      <c r="L2831" s="23">
        <f>COUNTIFS(pg_transaction_cleaned!$O:$O,A2831,pg_transaction_cleaned!$F:$F,"REFUND")</f>
        <v>0</v>
      </c>
      <c r="M2831" s="39">
        <f>SUMIFS(pg_transaction_cleaned!$H:$H,pg_transaction_cleaned!$O:$O,A2831,pg_transaction_cleaned!$F:$F,"REFUND")</f>
        <v>0</v>
      </c>
      <c r="N2831" s="23" t="str">
        <f t="shared" si="178"/>
        <v>OK</v>
      </c>
      <c r="O2831" s="24">
        <f t="shared" si="179"/>
        <v>0</v>
      </c>
    </row>
    <row r="2832" spans="1:15" ht="15" customHeight="1" x14ac:dyDescent="0.3">
      <c r="A2832" s="23" t="s">
        <v>6160</v>
      </c>
      <c r="B2832" s="38">
        <v>46282</v>
      </c>
      <c r="C2832" s="23" t="s">
        <v>6161</v>
      </c>
      <c r="D2832" s="23" t="s">
        <v>89</v>
      </c>
      <c r="E2832" s="23" t="s">
        <v>75</v>
      </c>
      <c r="F2832" s="23" t="s">
        <v>1978</v>
      </c>
      <c r="G2832" s="23" t="s">
        <v>301</v>
      </c>
      <c r="H2832" s="39">
        <f t="shared" si="176"/>
        <v>4597</v>
      </c>
      <c r="I2832" s="23" t="str">
        <f t="shared" si="177"/>
        <v>Jaipur</v>
      </c>
      <c r="J2832" s="23">
        <f>COUNTIFS(pg_transaction_cleaned!$O:$O,A2832,pg_transaction_cleaned!$F:$F,"CAPTURE")</f>
        <v>1</v>
      </c>
      <c r="K2832" s="39">
        <f>SUMIFS(pg_transaction_cleaned!$H:$H,pg_transaction_cleaned!$O:$O,A2832,pg_transaction_cleaned!$F:$F,"CAPTURE")</f>
        <v>4597</v>
      </c>
      <c r="L2832" s="23">
        <f>COUNTIFS(pg_transaction_cleaned!$O:$O,A2832,pg_transaction_cleaned!$F:$F,"REFUND")</f>
        <v>1</v>
      </c>
      <c r="M2832" s="39">
        <f>SUMIFS(pg_transaction_cleaned!$H:$H,pg_transaction_cleaned!$O:$O,A2832,pg_transaction_cleaned!$F:$F,"REFUND")</f>
        <v>4597</v>
      </c>
      <c r="N2832" s="23" t="str">
        <f t="shared" si="178"/>
        <v>OK</v>
      </c>
      <c r="O2832" s="24">
        <f t="shared" si="179"/>
        <v>0</v>
      </c>
    </row>
    <row r="2833" spans="1:15" ht="15" customHeight="1" x14ac:dyDescent="0.3">
      <c r="A2833" s="23" t="s">
        <v>6162</v>
      </c>
      <c r="B2833" s="38">
        <v>46271</v>
      </c>
      <c r="C2833" s="23" t="s">
        <v>6163</v>
      </c>
      <c r="D2833" s="23" t="s">
        <v>90</v>
      </c>
      <c r="E2833" s="23" t="s">
        <v>75</v>
      </c>
      <c r="F2833" s="23" t="s">
        <v>297</v>
      </c>
      <c r="G2833" s="23" t="s">
        <v>250</v>
      </c>
      <c r="H2833" s="39">
        <f t="shared" si="176"/>
        <v>4999</v>
      </c>
      <c r="I2833" s="23" t="str">
        <f t="shared" si="177"/>
        <v>Ahmedabad</v>
      </c>
      <c r="J2833" s="23">
        <f>COUNTIFS(pg_transaction_cleaned!$O:$O,A2833,pg_transaction_cleaned!$F:$F,"CAPTURE")</f>
        <v>1</v>
      </c>
      <c r="K2833" s="39">
        <f>SUMIFS(pg_transaction_cleaned!$H:$H,pg_transaction_cleaned!$O:$O,A2833,pg_transaction_cleaned!$F:$F,"CAPTURE")</f>
        <v>4999</v>
      </c>
      <c r="L2833" s="23">
        <f>COUNTIFS(pg_transaction_cleaned!$O:$O,A2833,pg_transaction_cleaned!$F:$F,"REFUND")</f>
        <v>0</v>
      </c>
      <c r="M2833" s="39">
        <f>SUMIFS(pg_transaction_cleaned!$H:$H,pg_transaction_cleaned!$O:$O,A2833,pg_transaction_cleaned!$F:$F,"REFUND")</f>
        <v>0</v>
      </c>
      <c r="N2833" s="23" t="str">
        <f t="shared" si="178"/>
        <v>OK</v>
      </c>
      <c r="O2833" s="24">
        <f t="shared" si="179"/>
        <v>0</v>
      </c>
    </row>
    <row r="2834" spans="1:15" ht="15" customHeight="1" x14ac:dyDescent="0.3">
      <c r="A2834" s="23" t="s">
        <v>6164</v>
      </c>
      <c r="B2834" s="38">
        <v>46276</v>
      </c>
      <c r="C2834" s="23" t="s">
        <v>6165</v>
      </c>
      <c r="D2834" s="23" t="s">
        <v>93</v>
      </c>
      <c r="E2834" s="23" t="s">
        <v>75</v>
      </c>
      <c r="F2834" s="23" t="s">
        <v>429</v>
      </c>
      <c r="G2834" s="23" t="s">
        <v>250</v>
      </c>
      <c r="H2834" s="39">
        <f t="shared" si="176"/>
        <v>3348</v>
      </c>
      <c r="I2834" s="23" t="str">
        <f t="shared" si="177"/>
        <v>Kolkata</v>
      </c>
      <c r="J2834" s="23">
        <f>COUNTIFS(pg_transaction_cleaned!$O:$O,A2834,pg_transaction_cleaned!$F:$F,"CAPTURE")</f>
        <v>1</v>
      </c>
      <c r="K2834" s="39">
        <f>SUMIFS(pg_transaction_cleaned!$H:$H,pg_transaction_cleaned!$O:$O,A2834,pg_transaction_cleaned!$F:$F,"CAPTURE")</f>
        <v>3348</v>
      </c>
      <c r="L2834" s="23">
        <f>COUNTIFS(pg_transaction_cleaned!$O:$O,A2834,pg_transaction_cleaned!$F:$F,"REFUND")</f>
        <v>0</v>
      </c>
      <c r="M2834" s="39">
        <f>SUMIFS(pg_transaction_cleaned!$H:$H,pg_transaction_cleaned!$O:$O,A2834,pg_transaction_cleaned!$F:$F,"REFUND")</f>
        <v>0</v>
      </c>
      <c r="N2834" s="23" t="str">
        <f t="shared" si="178"/>
        <v>OK</v>
      </c>
      <c r="O2834" s="24">
        <f t="shared" si="179"/>
        <v>0</v>
      </c>
    </row>
    <row r="2835" spans="1:15" ht="15" customHeight="1" x14ac:dyDescent="0.3">
      <c r="A2835" s="23" t="s">
        <v>6166</v>
      </c>
      <c r="B2835" s="38">
        <v>46284</v>
      </c>
      <c r="C2835" s="23" t="s">
        <v>6167</v>
      </c>
      <c r="D2835" s="23" t="s">
        <v>91</v>
      </c>
      <c r="E2835" s="23" t="s">
        <v>75</v>
      </c>
      <c r="F2835" s="23" t="s">
        <v>475</v>
      </c>
      <c r="G2835" s="23" t="s">
        <v>250</v>
      </c>
      <c r="H2835" s="39">
        <f t="shared" si="176"/>
        <v>799</v>
      </c>
      <c r="I2835" s="23" t="str">
        <f t="shared" si="177"/>
        <v>Pune</v>
      </c>
      <c r="J2835" s="23">
        <f>COUNTIFS(pg_transaction_cleaned!$O:$O,A2835,pg_transaction_cleaned!$F:$F,"CAPTURE")</f>
        <v>1</v>
      </c>
      <c r="K2835" s="39">
        <f>SUMIFS(pg_transaction_cleaned!$H:$H,pg_transaction_cleaned!$O:$O,A2835,pg_transaction_cleaned!$F:$F,"CAPTURE")</f>
        <v>799</v>
      </c>
      <c r="L2835" s="23">
        <f>COUNTIFS(pg_transaction_cleaned!$O:$O,A2835,pg_transaction_cleaned!$F:$F,"REFUND")</f>
        <v>0</v>
      </c>
      <c r="M2835" s="39">
        <f>SUMIFS(pg_transaction_cleaned!$H:$H,pg_transaction_cleaned!$O:$O,A2835,pg_transaction_cleaned!$F:$F,"REFUND")</f>
        <v>0</v>
      </c>
      <c r="N2835" s="23" t="str">
        <f t="shared" si="178"/>
        <v>OK</v>
      </c>
      <c r="O2835" s="24">
        <f t="shared" si="179"/>
        <v>0</v>
      </c>
    </row>
    <row r="2836" spans="1:15" ht="15" customHeight="1" x14ac:dyDescent="0.3">
      <c r="A2836" s="23" t="s">
        <v>6168</v>
      </c>
      <c r="B2836" s="38">
        <v>46295</v>
      </c>
      <c r="C2836" s="23" t="s">
        <v>6169</v>
      </c>
      <c r="D2836" s="23" t="s">
        <v>92</v>
      </c>
      <c r="E2836" s="23" t="s">
        <v>79</v>
      </c>
      <c r="F2836" s="23" t="s">
        <v>294</v>
      </c>
      <c r="G2836" s="23" t="s">
        <v>365</v>
      </c>
      <c r="H2836" s="39">
        <f t="shared" si="176"/>
        <v>1799</v>
      </c>
      <c r="I2836" s="23" t="str">
        <f t="shared" si="177"/>
        <v>Hyderabad</v>
      </c>
      <c r="J2836" s="23">
        <f>COUNTIFS(pg_transaction_cleaned!$O:$O,A2836,pg_transaction_cleaned!$F:$F,"CAPTURE")</f>
        <v>0</v>
      </c>
      <c r="K2836" s="39">
        <f>SUMIFS(pg_transaction_cleaned!$H:$H,pg_transaction_cleaned!$O:$O,A2836,pg_transaction_cleaned!$F:$F,"CAPTURE")</f>
        <v>0</v>
      </c>
      <c r="L2836" s="23">
        <f>COUNTIFS(pg_transaction_cleaned!$O:$O,A2836,pg_transaction_cleaned!$F:$F,"REFUND")</f>
        <v>0</v>
      </c>
      <c r="M2836" s="39">
        <f>SUMIFS(pg_transaction_cleaned!$H:$H,pg_transaction_cleaned!$O:$O,A2836,pg_transaction_cleaned!$F:$F,"REFUND")</f>
        <v>0</v>
      </c>
      <c r="N2836" s="23" t="str">
        <f t="shared" si="178"/>
        <v>OK</v>
      </c>
      <c r="O2836" s="24">
        <f t="shared" si="179"/>
        <v>0</v>
      </c>
    </row>
    <row r="2837" spans="1:15" ht="15" customHeight="1" x14ac:dyDescent="0.3">
      <c r="A2837" s="23" t="s">
        <v>6170</v>
      </c>
      <c r="B2837" s="38">
        <v>46291</v>
      </c>
      <c r="C2837" s="23" t="s">
        <v>6171</v>
      </c>
      <c r="D2837" s="23" t="s">
        <v>86</v>
      </c>
      <c r="E2837" s="23" t="s">
        <v>79</v>
      </c>
      <c r="F2837" s="23" t="s">
        <v>271</v>
      </c>
      <c r="G2837" s="23" t="s">
        <v>250</v>
      </c>
      <c r="H2837" s="39">
        <f t="shared" si="176"/>
        <v>2499</v>
      </c>
      <c r="I2837" s="23" t="str">
        <f t="shared" si="177"/>
        <v>Delhi</v>
      </c>
      <c r="J2837" s="23">
        <f>COUNTIFS(pg_transaction_cleaned!$O:$O,A2837,pg_transaction_cleaned!$F:$F,"CAPTURE")</f>
        <v>1</v>
      </c>
      <c r="K2837" s="39">
        <f>SUMIFS(pg_transaction_cleaned!$H:$H,pg_transaction_cleaned!$O:$O,A2837,pg_transaction_cleaned!$F:$F,"CAPTURE")</f>
        <v>2499</v>
      </c>
      <c r="L2837" s="23">
        <f>COUNTIFS(pg_transaction_cleaned!$O:$O,A2837,pg_transaction_cleaned!$F:$F,"REFUND")</f>
        <v>0</v>
      </c>
      <c r="M2837" s="39">
        <f>SUMIFS(pg_transaction_cleaned!$H:$H,pg_transaction_cleaned!$O:$O,A2837,pg_transaction_cleaned!$F:$F,"REFUND")</f>
        <v>0</v>
      </c>
      <c r="N2837" s="23" t="str">
        <f t="shared" si="178"/>
        <v>OK</v>
      </c>
      <c r="O2837" s="24">
        <f t="shared" si="179"/>
        <v>0</v>
      </c>
    </row>
    <row r="2838" spans="1:15" ht="15" customHeight="1" x14ac:dyDescent="0.3">
      <c r="A2838" s="23" t="s">
        <v>6172</v>
      </c>
      <c r="B2838" s="38">
        <v>46280</v>
      </c>
      <c r="C2838" s="23" t="s">
        <v>6173</v>
      </c>
      <c r="D2838" s="23" t="s">
        <v>87</v>
      </c>
      <c r="E2838" s="23" t="s">
        <v>79</v>
      </c>
      <c r="F2838" s="23" t="s">
        <v>685</v>
      </c>
      <c r="G2838" s="23" t="s">
        <v>318</v>
      </c>
      <c r="H2838" s="39">
        <f t="shared" si="176"/>
        <v>8797</v>
      </c>
      <c r="I2838" s="23" t="str">
        <f t="shared" si="177"/>
        <v>Mumbai</v>
      </c>
      <c r="J2838" s="23">
        <f>COUNTIFS(pg_transaction_cleaned!$O:$O,A2838,pg_transaction_cleaned!$F:$F,"CAPTURE")</f>
        <v>0</v>
      </c>
      <c r="K2838" s="39">
        <f>SUMIFS(pg_transaction_cleaned!$H:$H,pg_transaction_cleaned!$O:$O,A2838,pg_transaction_cleaned!$F:$F,"CAPTURE")</f>
        <v>0</v>
      </c>
      <c r="L2838" s="23">
        <f>COUNTIFS(pg_transaction_cleaned!$O:$O,A2838,pg_transaction_cleaned!$F:$F,"REFUND")</f>
        <v>0</v>
      </c>
      <c r="M2838" s="39">
        <f>SUMIFS(pg_transaction_cleaned!$H:$H,pg_transaction_cleaned!$O:$O,A2838,pg_transaction_cleaned!$F:$F,"REFUND")</f>
        <v>0</v>
      </c>
      <c r="N2838" s="23" t="str">
        <f t="shared" si="178"/>
        <v>OK</v>
      </c>
      <c r="O2838" s="24">
        <f t="shared" si="179"/>
        <v>0</v>
      </c>
    </row>
    <row r="2839" spans="1:15" ht="15" customHeight="1" x14ac:dyDescent="0.3">
      <c r="A2839" s="23" t="s">
        <v>6174</v>
      </c>
      <c r="B2839" s="38">
        <v>46274</v>
      </c>
      <c r="C2839" s="23" t="s">
        <v>1745</v>
      </c>
      <c r="D2839" s="23" t="s">
        <v>91</v>
      </c>
      <c r="E2839" s="23" t="s">
        <v>79</v>
      </c>
      <c r="F2839" s="23" t="s">
        <v>4950</v>
      </c>
      <c r="G2839" s="23" t="s">
        <v>250</v>
      </c>
      <c r="H2839" s="39">
        <f t="shared" si="176"/>
        <v>2499</v>
      </c>
      <c r="I2839" s="23" t="str">
        <f t="shared" si="177"/>
        <v>Pune</v>
      </c>
      <c r="J2839" s="23">
        <f>COUNTIFS(pg_transaction_cleaned!$O:$O,A2839,pg_transaction_cleaned!$F:$F,"CAPTURE")</f>
        <v>1</v>
      </c>
      <c r="K2839" s="39">
        <f>SUMIFS(pg_transaction_cleaned!$H:$H,pg_transaction_cleaned!$O:$O,A2839,pg_transaction_cleaned!$F:$F,"CAPTURE")</f>
        <v>2499</v>
      </c>
      <c r="L2839" s="23">
        <f>COUNTIFS(pg_transaction_cleaned!$O:$O,A2839,pg_transaction_cleaned!$F:$F,"REFUND")</f>
        <v>0</v>
      </c>
      <c r="M2839" s="39">
        <f>SUMIFS(pg_transaction_cleaned!$H:$H,pg_transaction_cleaned!$O:$O,A2839,pg_transaction_cleaned!$F:$F,"REFUND")</f>
        <v>0</v>
      </c>
      <c r="N2839" s="23" t="str">
        <f t="shared" si="178"/>
        <v>OK</v>
      </c>
      <c r="O2839" s="24">
        <f t="shared" si="179"/>
        <v>0</v>
      </c>
    </row>
    <row r="2840" spans="1:15" ht="15" customHeight="1" x14ac:dyDescent="0.3">
      <c r="A2840" s="23" t="s">
        <v>6175</v>
      </c>
      <c r="B2840" s="38">
        <v>46291</v>
      </c>
      <c r="C2840" s="23" t="s">
        <v>6176</v>
      </c>
      <c r="D2840" s="23" t="s">
        <v>95</v>
      </c>
      <c r="E2840" s="23" t="s">
        <v>75</v>
      </c>
      <c r="F2840" s="23" t="s">
        <v>423</v>
      </c>
      <c r="G2840" s="23" t="s">
        <v>250</v>
      </c>
      <c r="H2840" s="39">
        <f t="shared" si="176"/>
        <v>1648</v>
      </c>
      <c r="I2840" s="23" t="str">
        <f t="shared" si="177"/>
        <v>Bengaluru</v>
      </c>
      <c r="J2840" s="23">
        <f>COUNTIFS(pg_transaction_cleaned!$O:$O,A2840,pg_transaction_cleaned!$F:$F,"CAPTURE")</f>
        <v>1</v>
      </c>
      <c r="K2840" s="39">
        <f>SUMIFS(pg_transaction_cleaned!$H:$H,pg_transaction_cleaned!$O:$O,A2840,pg_transaction_cleaned!$F:$F,"CAPTURE")</f>
        <v>1648</v>
      </c>
      <c r="L2840" s="23">
        <f>COUNTIFS(pg_transaction_cleaned!$O:$O,A2840,pg_transaction_cleaned!$F:$F,"REFUND")</f>
        <v>0</v>
      </c>
      <c r="M2840" s="39">
        <f>SUMIFS(pg_transaction_cleaned!$H:$H,pg_transaction_cleaned!$O:$O,A2840,pg_transaction_cleaned!$F:$F,"REFUND")</f>
        <v>0</v>
      </c>
      <c r="N2840" s="23" t="str">
        <f t="shared" si="178"/>
        <v>OK</v>
      </c>
      <c r="O2840" s="24">
        <f t="shared" si="179"/>
        <v>0</v>
      </c>
    </row>
    <row r="2841" spans="1:15" ht="15" customHeight="1" x14ac:dyDescent="0.3">
      <c r="A2841" s="23" t="s">
        <v>6177</v>
      </c>
      <c r="B2841" s="38">
        <v>46271</v>
      </c>
      <c r="C2841" s="23" t="s">
        <v>6178</v>
      </c>
      <c r="D2841" s="23" t="s">
        <v>95</v>
      </c>
      <c r="E2841" s="23" t="s">
        <v>79</v>
      </c>
      <c r="F2841" s="23" t="s">
        <v>307</v>
      </c>
      <c r="G2841" s="23" t="s">
        <v>365</v>
      </c>
      <c r="H2841" s="39">
        <f t="shared" si="176"/>
        <v>3798</v>
      </c>
      <c r="I2841" s="23" t="str">
        <f t="shared" si="177"/>
        <v>Bengaluru</v>
      </c>
      <c r="J2841" s="23">
        <f>COUNTIFS(pg_transaction_cleaned!$O:$O,A2841,pg_transaction_cleaned!$F:$F,"CAPTURE")</f>
        <v>0</v>
      </c>
      <c r="K2841" s="39">
        <f>SUMIFS(pg_transaction_cleaned!$H:$H,pg_transaction_cleaned!$O:$O,A2841,pg_transaction_cleaned!$F:$F,"CAPTURE")</f>
        <v>0</v>
      </c>
      <c r="L2841" s="23">
        <f>COUNTIFS(pg_transaction_cleaned!$O:$O,A2841,pg_transaction_cleaned!$F:$F,"REFUND")</f>
        <v>0</v>
      </c>
      <c r="M2841" s="39">
        <f>SUMIFS(pg_transaction_cleaned!$H:$H,pg_transaction_cleaned!$O:$O,A2841,pg_transaction_cleaned!$F:$F,"REFUND")</f>
        <v>0</v>
      </c>
      <c r="N2841" s="23" t="str">
        <f t="shared" si="178"/>
        <v>OK</v>
      </c>
      <c r="O2841" s="24">
        <f t="shared" si="179"/>
        <v>0</v>
      </c>
    </row>
    <row r="2842" spans="1:15" ht="15" customHeight="1" x14ac:dyDescent="0.3">
      <c r="A2842" s="23" t="s">
        <v>6179</v>
      </c>
      <c r="B2842" s="38">
        <v>46276</v>
      </c>
      <c r="C2842" s="23" t="s">
        <v>6180</v>
      </c>
      <c r="D2842" s="23" t="s">
        <v>93</v>
      </c>
      <c r="E2842" s="23" t="s">
        <v>75</v>
      </c>
      <c r="F2842" s="23" t="s">
        <v>2921</v>
      </c>
      <c r="G2842" s="23" t="s">
        <v>250</v>
      </c>
      <c r="H2842" s="39">
        <f t="shared" si="176"/>
        <v>2647</v>
      </c>
      <c r="I2842" s="23" t="str">
        <f t="shared" si="177"/>
        <v>Kolkata</v>
      </c>
      <c r="J2842" s="23">
        <f>COUNTIFS(pg_transaction_cleaned!$O:$O,A2842,pg_transaction_cleaned!$F:$F,"CAPTURE")</f>
        <v>1</v>
      </c>
      <c r="K2842" s="39">
        <f>SUMIFS(pg_transaction_cleaned!$H:$H,pg_transaction_cleaned!$O:$O,A2842,pg_transaction_cleaned!$F:$F,"CAPTURE")</f>
        <v>2647</v>
      </c>
      <c r="L2842" s="23">
        <f>COUNTIFS(pg_transaction_cleaned!$O:$O,A2842,pg_transaction_cleaned!$F:$F,"REFUND")</f>
        <v>0</v>
      </c>
      <c r="M2842" s="39">
        <f>SUMIFS(pg_transaction_cleaned!$H:$H,pg_transaction_cleaned!$O:$O,A2842,pg_transaction_cleaned!$F:$F,"REFUND")</f>
        <v>0</v>
      </c>
      <c r="N2842" s="23" t="str">
        <f t="shared" si="178"/>
        <v>OK</v>
      </c>
      <c r="O2842" s="24">
        <f t="shared" si="179"/>
        <v>0</v>
      </c>
    </row>
    <row r="2843" spans="1:15" ht="15" customHeight="1" x14ac:dyDescent="0.3">
      <c r="A2843" s="23" t="s">
        <v>6181</v>
      </c>
      <c r="B2843" s="38">
        <v>46271</v>
      </c>
      <c r="C2843" s="23" t="s">
        <v>6182</v>
      </c>
      <c r="D2843" s="23" t="s">
        <v>92</v>
      </c>
      <c r="E2843" s="23" t="s">
        <v>79</v>
      </c>
      <c r="F2843" s="23" t="s">
        <v>396</v>
      </c>
      <c r="G2843" s="23" t="s">
        <v>250</v>
      </c>
      <c r="H2843" s="39">
        <f t="shared" si="176"/>
        <v>2999</v>
      </c>
      <c r="I2843" s="23" t="str">
        <f t="shared" si="177"/>
        <v>Hyderabad</v>
      </c>
      <c r="J2843" s="23">
        <f>COUNTIFS(pg_transaction_cleaned!$O:$O,A2843,pg_transaction_cleaned!$F:$F,"CAPTURE")</f>
        <v>1</v>
      </c>
      <c r="K2843" s="39">
        <f>SUMIFS(pg_transaction_cleaned!$H:$H,pg_transaction_cleaned!$O:$O,A2843,pg_transaction_cleaned!$F:$F,"CAPTURE")</f>
        <v>2999</v>
      </c>
      <c r="L2843" s="23">
        <f>COUNTIFS(pg_transaction_cleaned!$O:$O,A2843,pg_transaction_cleaned!$F:$F,"REFUND")</f>
        <v>0</v>
      </c>
      <c r="M2843" s="39">
        <f>SUMIFS(pg_transaction_cleaned!$H:$H,pg_transaction_cleaned!$O:$O,A2843,pg_transaction_cleaned!$F:$F,"REFUND")</f>
        <v>0</v>
      </c>
      <c r="N2843" s="23" t="str">
        <f t="shared" si="178"/>
        <v>OK</v>
      </c>
      <c r="O2843" s="24">
        <f t="shared" si="179"/>
        <v>0</v>
      </c>
    </row>
    <row r="2844" spans="1:15" ht="15" customHeight="1" x14ac:dyDescent="0.3">
      <c r="A2844" s="23" t="s">
        <v>6183</v>
      </c>
      <c r="B2844" s="38">
        <v>46292</v>
      </c>
      <c r="C2844" s="23" t="s">
        <v>6184</v>
      </c>
      <c r="D2844" s="23" t="s">
        <v>93</v>
      </c>
      <c r="E2844" s="23" t="s">
        <v>79</v>
      </c>
      <c r="F2844" s="23" t="s">
        <v>300</v>
      </c>
      <c r="G2844" s="23" t="s">
        <v>250</v>
      </c>
      <c r="H2844" s="39">
        <f t="shared" si="176"/>
        <v>2598</v>
      </c>
      <c r="I2844" s="23" t="str">
        <f t="shared" si="177"/>
        <v>Kolkata</v>
      </c>
      <c r="J2844" s="23">
        <f>COUNTIFS(pg_transaction_cleaned!$O:$O,A2844,pg_transaction_cleaned!$F:$F,"CAPTURE")</f>
        <v>1</v>
      </c>
      <c r="K2844" s="39">
        <f>SUMIFS(pg_transaction_cleaned!$H:$H,pg_transaction_cleaned!$O:$O,A2844,pg_transaction_cleaned!$F:$F,"CAPTURE")</f>
        <v>2598</v>
      </c>
      <c r="L2844" s="23">
        <f>COUNTIFS(pg_transaction_cleaned!$O:$O,A2844,pg_transaction_cleaned!$F:$F,"REFUND")</f>
        <v>0</v>
      </c>
      <c r="M2844" s="39">
        <f>SUMIFS(pg_transaction_cleaned!$H:$H,pg_transaction_cleaned!$O:$O,A2844,pg_transaction_cleaned!$F:$F,"REFUND")</f>
        <v>0</v>
      </c>
      <c r="N2844" s="23" t="str">
        <f t="shared" si="178"/>
        <v>OK</v>
      </c>
      <c r="O2844" s="24">
        <f t="shared" si="179"/>
        <v>0</v>
      </c>
    </row>
    <row r="2845" spans="1:15" ht="15" customHeight="1" x14ac:dyDescent="0.3">
      <c r="A2845" s="23" t="s">
        <v>6185</v>
      </c>
      <c r="B2845" s="38">
        <v>46266</v>
      </c>
      <c r="C2845" s="23" t="s">
        <v>900</v>
      </c>
      <c r="D2845" s="23" t="s">
        <v>87</v>
      </c>
      <c r="E2845" s="23" t="s">
        <v>75</v>
      </c>
      <c r="F2845" s="23" t="s">
        <v>315</v>
      </c>
      <c r="G2845" s="23" t="s">
        <v>250</v>
      </c>
      <c r="H2845" s="39">
        <f t="shared" si="176"/>
        <v>1499</v>
      </c>
      <c r="I2845" s="23" t="str">
        <f t="shared" si="177"/>
        <v>Mumbai</v>
      </c>
      <c r="J2845" s="23">
        <f>COUNTIFS(pg_transaction_cleaned!$O:$O,A2845,pg_transaction_cleaned!$F:$F,"CAPTURE")</f>
        <v>1</v>
      </c>
      <c r="K2845" s="39">
        <f>SUMIFS(pg_transaction_cleaned!$H:$H,pg_transaction_cleaned!$O:$O,A2845,pg_transaction_cleaned!$F:$F,"CAPTURE")</f>
        <v>1499</v>
      </c>
      <c r="L2845" s="23">
        <f>COUNTIFS(pg_transaction_cleaned!$O:$O,A2845,pg_transaction_cleaned!$F:$F,"REFUND")</f>
        <v>0</v>
      </c>
      <c r="M2845" s="39">
        <f>SUMIFS(pg_transaction_cleaned!$H:$H,pg_transaction_cleaned!$O:$O,A2845,pg_transaction_cleaned!$F:$F,"REFUND")</f>
        <v>0</v>
      </c>
      <c r="N2845" s="23" t="str">
        <f t="shared" si="178"/>
        <v>OK</v>
      </c>
      <c r="O2845" s="24">
        <f t="shared" si="179"/>
        <v>0</v>
      </c>
    </row>
    <row r="2846" spans="1:15" ht="15" customHeight="1" x14ac:dyDescent="0.3">
      <c r="A2846" s="23" t="s">
        <v>6186</v>
      </c>
      <c r="B2846" s="38">
        <v>46270</v>
      </c>
      <c r="C2846" s="23" t="s">
        <v>6187</v>
      </c>
      <c r="D2846" s="23" t="s">
        <v>88</v>
      </c>
      <c r="E2846" s="23" t="s">
        <v>75</v>
      </c>
      <c r="F2846" s="23" t="s">
        <v>754</v>
      </c>
      <c r="G2846" s="23" t="s">
        <v>250</v>
      </c>
      <c r="H2846" s="39">
        <f t="shared" si="176"/>
        <v>1348</v>
      </c>
      <c r="I2846" s="23" t="str">
        <f t="shared" si="177"/>
        <v>Lucknow</v>
      </c>
      <c r="J2846" s="23">
        <f>COUNTIFS(pg_transaction_cleaned!$O:$O,A2846,pg_transaction_cleaned!$F:$F,"CAPTURE")</f>
        <v>1</v>
      </c>
      <c r="K2846" s="39">
        <f>SUMIFS(pg_transaction_cleaned!$H:$H,pg_transaction_cleaned!$O:$O,A2846,pg_transaction_cleaned!$F:$F,"CAPTURE")</f>
        <v>1348</v>
      </c>
      <c r="L2846" s="23">
        <f>COUNTIFS(pg_transaction_cleaned!$O:$O,A2846,pg_transaction_cleaned!$F:$F,"REFUND")</f>
        <v>0</v>
      </c>
      <c r="M2846" s="39">
        <f>SUMIFS(pg_transaction_cleaned!$H:$H,pg_transaction_cleaned!$O:$O,A2846,pg_transaction_cleaned!$F:$F,"REFUND")</f>
        <v>0</v>
      </c>
      <c r="N2846" s="23" t="str">
        <f t="shared" si="178"/>
        <v>OK</v>
      </c>
      <c r="O2846" s="24">
        <f t="shared" si="179"/>
        <v>0</v>
      </c>
    </row>
    <row r="2847" spans="1:15" ht="15" customHeight="1" x14ac:dyDescent="0.3">
      <c r="A2847" s="23" t="s">
        <v>6188</v>
      </c>
      <c r="B2847" s="38">
        <v>46290</v>
      </c>
      <c r="C2847" s="23" t="s">
        <v>6189</v>
      </c>
      <c r="D2847" s="23" t="s">
        <v>86</v>
      </c>
      <c r="E2847" s="23" t="s">
        <v>75</v>
      </c>
      <c r="F2847" s="23" t="s">
        <v>310</v>
      </c>
      <c r="G2847" s="23" t="s">
        <v>250</v>
      </c>
      <c r="H2847" s="39">
        <f t="shared" si="176"/>
        <v>7999</v>
      </c>
      <c r="I2847" s="23" t="str">
        <f t="shared" si="177"/>
        <v>Delhi</v>
      </c>
      <c r="J2847" s="23">
        <f>COUNTIFS(pg_transaction_cleaned!$O:$O,A2847,pg_transaction_cleaned!$F:$F,"CAPTURE")</f>
        <v>1</v>
      </c>
      <c r="K2847" s="39">
        <f>SUMIFS(pg_transaction_cleaned!$H:$H,pg_transaction_cleaned!$O:$O,A2847,pg_transaction_cleaned!$F:$F,"CAPTURE")</f>
        <v>7999</v>
      </c>
      <c r="L2847" s="23">
        <f>COUNTIFS(pg_transaction_cleaned!$O:$O,A2847,pg_transaction_cleaned!$F:$F,"REFUND")</f>
        <v>0</v>
      </c>
      <c r="M2847" s="39">
        <f>SUMIFS(pg_transaction_cleaned!$H:$H,pg_transaction_cleaned!$O:$O,A2847,pg_transaction_cleaned!$F:$F,"REFUND")</f>
        <v>0</v>
      </c>
      <c r="N2847" s="23" t="str">
        <f t="shared" si="178"/>
        <v>OK</v>
      </c>
      <c r="O2847" s="24">
        <f t="shared" si="179"/>
        <v>0</v>
      </c>
    </row>
    <row r="2848" spans="1:15" ht="15" customHeight="1" x14ac:dyDescent="0.3">
      <c r="A2848" s="23" t="s">
        <v>6190</v>
      </c>
      <c r="B2848" s="38">
        <v>46266</v>
      </c>
      <c r="C2848" s="23" t="s">
        <v>6191</v>
      </c>
      <c r="D2848" s="23" t="s">
        <v>89</v>
      </c>
      <c r="E2848" s="23" t="s">
        <v>75</v>
      </c>
      <c r="F2848" s="23" t="s">
        <v>1495</v>
      </c>
      <c r="G2848" s="23" t="s">
        <v>250</v>
      </c>
      <c r="H2848" s="39">
        <f t="shared" si="176"/>
        <v>7498</v>
      </c>
      <c r="I2848" s="23" t="str">
        <f t="shared" si="177"/>
        <v>Jaipur</v>
      </c>
      <c r="J2848" s="23">
        <f>COUNTIFS(pg_transaction_cleaned!$O:$O,A2848,pg_transaction_cleaned!$F:$F,"CAPTURE")</f>
        <v>1</v>
      </c>
      <c r="K2848" s="39">
        <f>SUMIFS(pg_transaction_cleaned!$H:$H,pg_transaction_cleaned!$O:$O,A2848,pg_transaction_cleaned!$F:$F,"CAPTURE")</f>
        <v>7498</v>
      </c>
      <c r="L2848" s="23">
        <f>COUNTIFS(pg_transaction_cleaned!$O:$O,A2848,pg_transaction_cleaned!$F:$F,"REFUND")</f>
        <v>0</v>
      </c>
      <c r="M2848" s="39">
        <f>SUMIFS(pg_transaction_cleaned!$H:$H,pg_transaction_cleaned!$O:$O,A2848,pg_transaction_cleaned!$F:$F,"REFUND")</f>
        <v>0</v>
      </c>
      <c r="N2848" s="23" t="str">
        <f t="shared" si="178"/>
        <v>OK</v>
      </c>
      <c r="O2848" s="24">
        <f t="shared" si="179"/>
        <v>0</v>
      </c>
    </row>
    <row r="2849" spans="1:15" ht="15" customHeight="1" x14ac:dyDescent="0.3">
      <c r="A2849" s="23" t="s">
        <v>6192</v>
      </c>
      <c r="B2849" s="38">
        <v>46288</v>
      </c>
      <c r="C2849" s="23" t="s">
        <v>6193</v>
      </c>
      <c r="D2849" s="23" t="s">
        <v>93</v>
      </c>
      <c r="E2849" s="23" t="s">
        <v>75</v>
      </c>
      <c r="F2849" s="23" t="s">
        <v>370</v>
      </c>
      <c r="G2849" s="23" t="s">
        <v>250</v>
      </c>
      <c r="H2849" s="39">
        <f t="shared" si="176"/>
        <v>3098</v>
      </c>
      <c r="I2849" s="23" t="str">
        <f t="shared" si="177"/>
        <v>Kolkata</v>
      </c>
      <c r="J2849" s="23">
        <f>COUNTIFS(pg_transaction_cleaned!$O:$O,A2849,pg_transaction_cleaned!$F:$F,"CAPTURE")</f>
        <v>1</v>
      </c>
      <c r="K2849" s="39">
        <f>SUMIFS(pg_transaction_cleaned!$H:$H,pg_transaction_cleaned!$O:$O,A2849,pg_transaction_cleaned!$F:$F,"CAPTURE")</f>
        <v>3098</v>
      </c>
      <c r="L2849" s="23">
        <f>COUNTIFS(pg_transaction_cleaned!$O:$O,A2849,pg_transaction_cleaned!$F:$F,"REFUND")</f>
        <v>0</v>
      </c>
      <c r="M2849" s="39">
        <f>SUMIFS(pg_transaction_cleaned!$H:$H,pg_transaction_cleaned!$O:$O,A2849,pg_transaction_cleaned!$F:$F,"REFUND")</f>
        <v>0</v>
      </c>
      <c r="N2849" s="23" t="str">
        <f t="shared" si="178"/>
        <v>OK</v>
      </c>
      <c r="O2849" s="24">
        <f t="shared" si="179"/>
        <v>0</v>
      </c>
    </row>
    <row r="2850" spans="1:15" ht="15" customHeight="1" x14ac:dyDescent="0.3">
      <c r="A2850" s="23" t="s">
        <v>6194</v>
      </c>
      <c r="B2850" s="38">
        <v>46281</v>
      </c>
      <c r="C2850" s="23" t="s">
        <v>6195</v>
      </c>
      <c r="D2850" s="23" t="s">
        <v>93</v>
      </c>
      <c r="E2850" s="23" t="s">
        <v>79</v>
      </c>
      <c r="F2850" s="23" t="s">
        <v>297</v>
      </c>
      <c r="G2850" s="23" t="s">
        <v>250</v>
      </c>
      <c r="H2850" s="39">
        <f t="shared" si="176"/>
        <v>4999</v>
      </c>
      <c r="I2850" s="23" t="str">
        <f t="shared" si="177"/>
        <v>Kolkata</v>
      </c>
      <c r="J2850" s="23">
        <f>COUNTIFS(pg_transaction_cleaned!$O:$O,A2850,pg_transaction_cleaned!$F:$F,"CAPTURE")</f>
        <v>1</v>
      </c>
      <c r="K2850" s="39">
        <f>SUMIFS(pg_transaction_cleaned!$H:$H,pg_transaction_cleaned!$O:$O,A2850,pg_transaction_cleaned!$F:$F,"CAPTURE")</f>
        <v>4999</v>
      </c>
      <c r="L2850" s="23">
        <f>COUNTIFS(pg_transaction_cleaned!$O:$O,A2850,pg_transaction_cleaned!$F:$F,"REFUND")</f>
        <v>0</v>
      </c>
      <c r="M2850" s="39">
        <f>SUMIFS(pg_transaction_cleaned!$H:$H,pg_transaction_cleaned!$O:$O,A2850,pg_transaction_cleaned!$F:$F,"REFUND")</f>
        <v>0</v>
      </c>
      <c r="N2850" s="23" t="str">
        <f t="shared" si="178"/>
        <v>OK</v>
      </c>
      <c r="O2850" s="24">
        <f t="shared" si="179"/>
        <v>0</v>
      </c>
    </row>
    <row r="2851" spans="1:15" ht="15" customHeight="1" x14ac:dyDescent="0.3">
      <c r="A2851" s="23" t="s">
        <v>6196</v>
      </c>
      <c r="B2851" s="38">
        <v>46266</v>
      </c>
      <c r="C2851" s="23" t="s">
        <v>6197</v>
      </c>
      <c r="D2851" s="23" t="s">
        <v>88</v>
      </c>
      <c r="E2851" s="23" t="s">
        <v>75</v>
      </c>
      <c r="F2851" s="23" t="s">
        <v>2337</v>
      </c>
      <c r="G2851" s="23" t="s">
        <v>250</v>
      </c>
      <c r="H2851" s="39">
        <f t="shared" si="176"/>
        <v>8348</v>
      </c>
      <c r="I2851" s="23" t="str">
        <f t="shared" si="177"/>
        <v>Lucknow</v>
      </c>
      <c r="J2851" s="23">
        <f>COUNTIFS(pg_transaction_cleaned!$O:$O,A2851,pg_transaction_cleaned!$F:$F,"CAPTURE")</f>
        <v>0</v>
      </c>
      <c r="K2851" s="39">
        <f>SUMIFS(pg_transaction_cleaned!$H:$H,pg_transaction_cleaned!$O:$O,A2851,pg_transaction_cleaned!$F:$F,"CAPTURE")</f>
        <v>0</v>
      </c>
      <c r="L2851" s="23">
        <f>COUNTIFS(pg_transaction_cleaned!$O:$O,A2851,pg_transaction_cleaned!$F:$F,"REFUND")</f>
        <v>0</v>
      </c>
      <c r="M2851" s="39">
        <f>SUMIFS(pg_transaction_cleaned!$H:$H,pg_transaction_cleaned!$O:$O,A2851,pg_transaction_cleaned!$F:$F,"REFUND")</f>
        <v>0</v>
      </c>
      <c r="N2851" s="23" t="str">
        <f t="shared" si="178"/>
        <v>Paid, no payment</v>
      </c>
      <c r="O2851" s="24">
        <f t="shared" si="179"/>
        <v>8348</v>
      </c>
    </row>
    <row r="2852" spans="1:15" ht="15" customHeight="1" x14ac:dyDescent="0.3">
      <c r="A2852" s="23" t="s">
        <v>6198</v>
      </c>
      <c r="B2852" s="38">
        <v>46294</v>
      </c>
      <c r="C2852" s="23" t="s">
        <v>6199</v>
      </c>
      <c r="D2852" s="23" t="s">
        <v>95</v>
      </c>
      <c r="E2852" s="23" t="s">
        <v>79</v>
      </c>
      <c r="F2852" s="23" t="s">
        <v>5569</v>
      </c>
      <c r="G2852" s="23" t="s">
        <v>250</v>
      </c>
      <c r="H2852" s="39">
        <f t="shared" si="176"/>
        <v>4597</v>
      </c>
      <c r="I2852" s="23" t="str">
        <f t="shared" si="177"/>
        <v>Bengaluru</v>
      </c>
      <c r="J2852" s="23">
        <f>COUNTIFS(pg_transaction_cleaned!$O:$O,A2852,pg_transaction_cleaned!$F:$F,"CAPTURE")</f>
        <v>1</v>
      </c>
      <c r="K2852" s="39">
        <f>SUMIFS(pg_transaction_cleaned!$H:$H,pg_transaction_cleaned!$O:$O,A2852,pg_transaction_cleaned!$F:$F,"CAPTURE")</f>
        <v>4597</v>
      </c>
      <c r="L2852" s="23">
        <f>COUNTIFS(pg_transaction_cleaned!$O:$O,A2852,pg_transaction_cleaned!$F:$F,"REFUND")</f>
        <v>0</v>
      </c>
      <c r="M2852" s="39">
        <f>SUMIFS(pg_transaction_cleaned!$H:$H,pg_transaction_cleaned!$O:$O,A2852,pg_transaction_cleaned!$F:$F,"REFUND")</f>
        <v>0</v>
      </c>
      <c r="N2852" s="23" t="str">
        <f t="shared" si="178"/>
        <v>OK</v>
      </c>
      <c r="O2852" s="24">
        <f t="shared" si="179"/>
        <v>0</v>
      </c>
    </row>
    <row r="2853" spans="1:15" ht="15" customHeight="1" x14ac:dyDescent="0.3">
      <c r="A2853" s="23" t="s">
        <v>6200</v>
      </c>
      <c r="B2853" s="38">
        <v>46288</v>
      </c>
      <c r="C2853" s="23" t="s">
        <v>6201</v>
      </c>
      <c r="D2853" s="23" t="s">
        <v>94</v>
      </c>
      <c r="E2853" s="23" t="s">
        <v>79</v>
      </c>
      <c r="F2853" s="23" t="s">
        <v>632</v>
      </c>
      <c r="G2853" s="23" t="s">
        <v>250</v>
      </c>
      <c r="H2853" s="39">
        <f t="shared" si="176"/>
        <v>948</v>
      </c>
      <c r="I2853" s="23" t="str">
        <f t="shared" si="177"/>
        <v>Chennai</v>
      </c>
      <c r="J2853" s="23">
        <f>COUNTIFS(pg_transaction_cleaned!$O:$O,A2853,pg_transaction_cleaned!$F:$F,"CAPTURE")</f>
        <v>1</v>
      </c>
      <c r="K2853" s="39">
        <f>SUMIFS(pg_transaction_cleaned!$H:$H,pg_transaction_cleaned!$O:$O,A2853,pg_transaction_cleaned!$F:$F,"CAPTURE")</f>
        <v>948</v>
      </c>
      <c r="L2853" s="23">
        <f>COUNTIFS(pg_transaction_cleaned!$O:$O,A2853,pg_transaction_cleaned!$F:$F,"REFUND")</f>
        <v>0</v>
      </c>
      <c r="M2853" s="39">
        <f>SUMIFS(pg_transaction_cleaned!$H:$H,pg_transaction_cleaned!$O:$O,A2853,pg_transaction_cleaned!$F:$F,"REFUND")</f>
        <v>0</v>
      </c>
      <c r="N2853" s="23" t="str">
        <f t="shared" si="178"/>
        <v>OK</v>
      </c>
      <c r="O2853" s="24">
        <f t="shared" si="179"/>
        <v>0</v>
      </c>
    </row>
    <row r="2854" spans="1:15" ht="15" customHeight="1" x14ac:dyDescent="0.3">
      <c r="A2854" s="23" t="s">
        <v>6202</v>
      </c>
      <c r="B2854" s="38">
        <v>46271</v>
      </c>
      <c r="C2854" s="23" t="s">
        <v>6203</v>
      </c>
      <c r="D2854" s="23" t="s">
        <v>91</v>
      </c>
      <c r="E2854" s="23" t="s">
        <v>75</v>
      </c>
      <c r="F2854" s="23" t="s">
        <v>249</v>
      </c>
      <c r="G2854" s="23" t="s">
        <v>365</v>
      </c>
      <c r="H2854" s="39">
        <f t="shared" si="176"/>
        <v>299</v>
      </c>
      <c r="I2854" s="23" t="str">
        <f t="shared" si="177"/>
        <v>Pune</v>
      </c>
      <c r="J2854" s="23">
        <f>COUNTIFS(pg_transaction_cleaned!$O:$O,A2854,pg_transaction_cleaned!$F:$F,"CAPTURE")</f>
        <v>0</v>
      </c>
      <c r="K2854" s="39">
        <f>SUMIFS(pg_transaction_cleaned!$H:$H,pg_transaction_cleaned!$O:$O,A2854,pg_transaction_cleaned!$F:$F,"CAPTURE")</f>
        <v>0</v>
      </c>
      <c r="L2854" s="23">
        <f>COUNTIFS(pg_transaction_cleaned!$O:$O,A2854,pg_transaction_cleaned!$F:$F,"REFUND")</f>
        <v>0</v>
      </c>
      <c r="M2854" s="39">
        <f>SUMIFS(pg_transaction_cleaned!$H:$H,pg_transaction_cleaned!$O:$O,A2854,pg_transaction_cleaned!$F:$F,"REFUND")</f>
        <v>0</v>
      </c>
      <c r="N2854" s="23" t="str">
        <f t="shared" si="178"/>
        <v>OK</v>
      </c>
      <c r="O2854" s="24">
        <f t="shared" si="179"/>
        <v>0</v>
      </c>
    </row>
    <row r="2855" spans="1:15" ht="15" customHeight="1" x14ac:dyDescent="0.3">
      <c r="A2855" s="23" t="s">
        <v>6204</v>
      </c>
      <c r="B2855" s="38">
        <v>46278</v>
      </c>
      <c r="C2855" s="23" t="s">
        <v>6205</v>
      </c>
      <c r="D2855" s="23" t="s">
        <v>94</v>
      </c>
      <c r="E2855" s="23" t="s">
        <v>75</v>
      </c>
      <c r="F2855" s="23" t="s">
        <v>297</v>
      </c>
      <c r="G2855" s="23" t="s">
        <v>250</v>
      </c>
      <c r="H2855" s="39">
        <f t="shared" si="176"/>
        <v>4999</v>
      </c>
      <c r="I2855" s="23" t="str">
        <f t="shared" si="177"/>
        <v>Chennai</v>
      </c>
      <c r="J2855" s="23">
        <f>COUNTIFS(pg_transaction_cleaned!$O:$O,A2855,pg_transaction_cleaned!$F:$F,"CAPTURE")</f>
        <v>1</v>
      </c>
      <c r="K2855" s="39">
        <f>SUMIFS(pg_transaction_cleaned!$H:$H,pg_transaction_cleaned!$O:$O,A2855,pg_transaction_cleaned!$F:$F,"CAPTURE")</f>
        <v>4999</v>
      </c>
      <c r="L2855" s="23">
        <f>COUNTIFS(pg_transaction_cleaned!$O:$O,A2855,pg_transaction_cleaned!$F:$F,"REFUND")</f>
        <v>0</v>
      </c>
      <c r="M2855" s="39">
        <f>SUMIFS(pg_transaction_cleaned!$H:$H,pg_transaction_cleaned!$O:$O,A2855,pg_transaction_cleaned!$F:$F,"REFUND")</f>
        <v>0</v>
      </c>
      <c r="N2855" s="23" t="str">
        <f t="shared" si="178"/>
        <v>OK</v>
      </c>
      <c r="O2855" s="24">
        <f t="shared" si="179"/>
        <v>0</v>
      </c>
    </row>
    <row r="2856" spans="1:15" ht="15" customHeight="1" x14ac:dyDescent="0.3">
      <c r="A2856" s="23" t="s">
        <v>6206</v>
      </c>
      <c r="B2856" s="38">
        <v>46295</v>
      </c>
      <c r="C2856" s="23" t="s">
        <v>6207</v>
      </c>
      <c r="D2856" s="23" t="s">
        <v>88</v>
      </c>
      <c r="E2856" s="23" t="s">
        <v>75</v>
      </c>
      <c r="F2856" s="23" t="s">
        <v>297</v>
      </c>
      <c r="G2856" s="23" t="s">
        <v>250</v>
      </c>
      <c r="H2856" s="39">
        <f t="shared" si="176"/>
        <v>4999</v>
      </c>
      <c r="I2856" s="23" t="str">
        <f t="shared" si="177"/>
        <v>Lucknow</v>
      </c>
      <c r="J2856" s="23">
        <f>COUNTIFS(pg_transaction_cleaned!$O:$O,A2856,pg_transaction_cleaned!$F:$F,"CAPTURE")</f>
        <v>1</v>
      </c>
      <c r="K2856" s="39">
        <f>SUMIFS(pg_transaction_cleaned!$H:$H,pg_transaction_cleaned!$O:$O,A2856,pg_transaction_cleaned!$F:$F,"CAPTURE")</f>
        <v>4999</v>
      </c>
      <c r="L2856" s="23">
        <f>COUNTIFS(pg_transaction_cleaned!$O:$O,A2856,pg_transaction_cleaned!$F:$F,"REFUND")</f>
        <v>0</v>
      </c>
      <c r="M2856" s="39">
        <f>SUMIFS(pg_transaction_cleaned!$H:$H,pg_transaction_cleaned!$O:$O,A2856,pg_transaction_cleaned!$F:$F,"REFUND")</f>
        <v>0</v>
      </c>
      <c r="N2856" s="23" t="str">
        <f t="shared" si="178"/>
        <v>OK</v>
      </c>
      <c r="O2856" s="24">
        <f t="shared" si="179"/>
        <v>0</v>
      </c>
    </row>
    <row r="2857" spans="1:15" ht="15" customHeight="1" x14ac:dyDescent="0.3">
      <c r="A2857" s="23" t="s">
        <v>6208</v>
      </c>
      <c r="B2857" s="38">
        <v>46269</v>
      </c>
      <c r="C2857" s="23" t="s">
        <v>6209</v>
      </c>
      <c r="D2857" s="23" t="s">
        <v>92</v>
      </c>
      <c r="E2857" s="23" t="s">
        <v>75</v>
      </c>
      <c r="F2857" s="23" t="s">
        <v>337</v>
      </c>
      <c r="G2857" s="23" t="s">
        <v>250</v>
      </c>
      <c r="H2857" s="39">
        <f t="shared" si="176"/>
        <v>3998</v>
      </c>
      <c r="I2857" s="23" t="str">
        <f t="shared" si="177"/>
        <v>Hyderabad</v>
      </c>
      <c r="J2857" s="23">
        <f>COUNTIFS(pg_transaction_cleaned!$O:$O,A2857,pg_transaction_cleaned!$F:$F,"CAPTURE")</f>
        <v>1</v>
      </c>
      <c r="K2857" s="39">
        <f>SUMIFS(pg_transaction_cleaned!$H:$H,pg_transaction_cleaned!$O:$O,A2857,pg_transaction_cleaned!$F:$F,"CAPTURE")</f>
        <v>3998</v>
      </c>
      <c r="L2857" s="23">
        <f>COUNTIFS(pg_transaction_cleaned!$O:$O,A2857,pg_transaction_cleaned!$F:$F,"REFUND")</f>
        <v>0</v>
      </c>
      <c r="M2857" s="39">
        <f>SUMIFS(pg_transaction_cleaned!$H:$H,pg_transaction_cleaned!$O:$O,A2857,pg_transaction_cleaned!$F:$F,"REFUND")</f>
        <v>0</v>
      </c>
      <c r="N2857" s="23" t="str">
        <f t="shared" si="178"/>
        <v>OK</v>
      </c>
      <c r="O2857" s="24">
        <f t="shared" si="179"/>
        <v>0</v>
      </c>
    </row>
    <row r="2858" spans="1:15" ht="15" customHeight="1" x14ac:dyDescent="0.3">
      <c r="A2858" s="23" t="s">
        <v>6210</v>
      </c>
      <c r="B2858" s="38">
        <v>46266</v>
      </c>
      <c r="C2858" s="23" t="s">
        <v>6211</v>
      </c>
      <c r="D2858" s="23" t="s">
        <v>91</v>
      </c>
      <c r="E2858" s="23" t="s">
        <v>75</v>
      </c>
      <c r="F2858" s="23" t="s">
        <v>300</v>
      </c>
      <c r="G2858" s="23" t="s">
        <v>250</v>
      </c>
      <c r="H2858" s="39">
        <f t="shared" si="176"/>
        <v>2598</v>
      </c>
      <c r="I2858" s="23" t="str">
        <f t="shared" si="177"/>
        <v>Pune</v>
      </c>
      <c r="J2858" s="23">
        <f>COUNTIFS(pg_transaction_cleaned!$O:$O,A2858,pg_transaction_cleaned!$F:$F,"CAPTURE")</f>
        <v>1</v>
      </c>
      <c r="K2858" s="39">
        <f>SUMIFS(pg_transaction_cleaned!$H:$H,pg_transaction_cleaned!$O:$O,A2858,pg_transaction_cleaned!$F:$F,"CAPTURE")</f>
        <v>2598</v>
      </c>
      <c r="L2858" s="23">
        <f>COUNTIFS(pg_transaction_cleaned!$O:$O,A2858,pg_transaction_cleaned!$F:$F,"REFUND")</f>
        <v>0</v>
      </c>
      <c r="M2858" s="39">
        <f>SUMIFS(pg_transaction_cleaned!$H:$H,pg_transaction_cleaned!$O:$O,A2858,pg_transaction_cleaned!$F:$F,"REFUND")</f>
        <v>0</v>
      </c>
      <c r="N2858" s="23" t="str">
        <f t="shared" si="178"/>
        <v>OK</v>
      </c>
      <c r="O2858" s="24">
        <f t="shared" si="179"/>
        <v>0</v>
      </c>
    </row>
    <row r="2859" spans="1:15" ht="15" customHeight="1" x14ac:dyDescent="0.3">
      <c r="A2859" s="23" t="s">
        <v>6212</v>
      </c>
      <c r="B2859" s="38">
        <v>46290</v>
      </c>
      <c r="C2859" s="23" t="s">
        <v>6213</v>
      </c>
      <c r="D2859" s="23" t="s">
        <v>87</v>
      </c>
      <c r="E2859" s="23" t="s">
        <v>75</v>
      </c>
      <c r="F2859" s="23" t="s">
        <v>337</v>
      </c>
      <c r="G2859" s="23" t="s">
        <v>250</v>
      </c>
      <c r="H2859" s="39">
        <f t="shared" si="176"/>
        <v>3998</v>
      </c>
      <c r="I2859" s="23" t="str">
        <f t="shared" si="177"/>
        <v>Mumbai</v>
      </c>
      <c r="J2859" s="23">
        <f>COUNTIFS(pg_transaction_cleaned!$O:$O,A2859,pg_transaction_cleaned!$F:$F,"CAPTURE")</f>
        <v>1</v>
      </c>
      <c r="K2859" s="39">
        <f>SUMIFS(pg_transaction_cleaned!$H:$H,pg_transaction_cleaned!$O:$O,A2859,pg_transaction_cleaned!$F:$F,"CAPTURE")</f>
        <v>3998</v>
      </c>
      <c r="L2859" s="23">
        <f>COUNTIFS(pg_transaction_cleaned!$O:$O,A2859,pg_transaction_cleaned!$F:$F,"REFUND")</f>
        <v>0</v>
      </c>
      <c r="M2859" s="39">
        <f>SUMIFS(pg_transaction_cleaned!$H:$H,pg_transaction_cleaned!$O:$O,A2859,pg_transaction_cleaned!$F:$F,"REFUND")</f>
        <v>0</v>
      </c>
      <c r="N2859" s="23" t="str">
        <f t="shared" si="178"/>
        <v>OK</v>
      </c>
      <c r="O2859" s="24">
        <f t="shared" si="179"/>
        <v>0</v>
      </c>
    </row>
    <row r="2860" spans="1:15" ht="15" customHeight="1" x14ac:dyDescent="0.3">
      <c r="A2860" s="23" t="s">
        <v>6214</v>
      </c>
      <c r="B2860" s="38">
        <v>46283</v>
      </c>
      <c r="C2860" s="23" t="s">
        <v>6215</v>
      </c>
      <c r="D2860" s="23" t="s">
        <v>86</v>
      </c>
      <c r="E2860" s="23" t="s">
        <v>75</v>
      </c>
      <c r="F2860" s="23" t="s">
        <v>307</v>
      </c>
      <c r="G2860" s="23" t="s">
        <v>250</v>
      </c>
      <c r="H2860" s="39">
        <f t="shared" si="176"/>
        <v>3798</v>
      </c>
      <c r="I2860" s="23" t="str">
        <f t="shared" si="177"/>
        <v>Delhi</v>
      </c>
      <c r="J2860" s="23">
        <f>COUNTIFS(pg_transaction_cleaned!$O:$O,A2860,pg_transaction_cleaned!$F:$F,"CAPTURE")</f>
        <v>1</v>
      </c>
      <c r="K2860" s="39">
        <f>SUMIFS(pg_transaction_cleaned!$H:$H,pg_transaction_cleaned!$O:$O,A2860,pg_transaction_cleaned!$F:$F,"CAPTURE")</f>
        <v>3798</v>
      </c>
      <c r="L2860" s="23">
        <f>COUNTIFS(pg_transaction_cleaned!$O:$O,A2860,pg_transaction_cleaned!$F:$F,"REFUND")</f>
        <v>0</v>
      </c>
      <c r="M2860" s="39">
        <f>SUMIFS(pg_transaction_cleaned!$H:$H,pg_transaction_cleaned!$O:$O,A2860,pg_transaction_cleaned!$F:$F,"REFUND")</f>
        <v>0</v>
      </c>
      <c r="N2860" s="23" t="str">
        <f t="shared" si="178"/>
        <v>OK</v>
      </c>
      <c r="O2860" s="24">
        <f t="shared" si="179"/>
        <v>0</v>
      </c>
    </row>
    <row r="2861" spans="1:15" ht="15" customHeight="1" x14ac:dyDescent="0.3">
      <c r="A2861" s="23" t="s">
        <v>6216</v>
      </c>
      <c r="B2861" s="38">
        <v>46269</v>
      </c>
      <c r="C2861" s="23" t="s">
        <v>6217</v>
      </c>
      <c r="D2861" s="23" t="s">
        <v>95</v>
      </c>
      <c r="E2861" s="23" t="s">
        <v>75</v>
      </c>
      <c r="F2861" s="23" t="s">
        <v>274</v>
      </c>
      <c r="G2861" s="23" t="s">
        <v>250</v>
      </c>
      <c r="H2861" s="39">
        <f t="shared" si="176"/>
        <v>349</v>
      </c>
      <c r="I2861" s="23" t="str">
        <f t="shared" si="177"/>
        <v>Bengaluru</v>
      </c>
      <c r="J2861" s="23">
        <f>COUNTIFS(pg_transaction_cleaned!$O:$O,A2861,pg_transaction_cleaned!$F:$F,"CAPTURE")</f>
        <v>1</v>
      </c>
      <c r="K2861" s="39">
        <f>SUMIFS(pg_transaction_cleaned!$H:$H,pg_transaction_cleaned!$O:$O,A2861,pg_transaction_cleaned!$F:$F,"CAPTURE")</f>
        <v>349</v>
      </c>
      <c r="L2861" s="23">
        <f>COUNTIFS(pg_transaction_cleaned!$O:$O,A2861,pg_transaction_cleaned!$F:$F,"REFUND")</f>
        <v>0</v>
      </c>
      <c r="M2861" s="39">
        <f>SUMIFS(pg_transaction_cleaned!$H:$H,pg_transaction_cleaned!$O:$O,A2861,pg_transaction_cleaned!$F:$F,"REFUND")</f>
        <v>0</v>
      </c>
      <c r="N2861" s="23" t="str">
        <f t="shared" si="178"/>
        <v>OK</v>
      </c>
      <c r="O2861" s="24">
        <f t="shared" si="179"/>
        <v>0</v>
      </c>
    </row>
    <row r="2862" spans="1:15" ht="15" customHeight="1" x14ac:dyDescent="0.3">
      <c r="A2862" s="23" t="s">
        <v>6218</v>
      </c>
      <c r="B2862" s="38">
        <v>46292</v>
      </c>
      <c r="C2862" s="23" t="s">
        <v>6219</v>
      </c>
      <c r="D2862" s="23" t="s">
        <v>92</v>
      </c>
      <c r="E2862" s="23" t="s">
        <v>75</v>
      </c>
      <c r="F2862" s="23" t="s">
        <v>271</v>
      </c>
      <c r="G2862" s="23" t="s">
        <v>250</v>
      </c>
      <c r="H2862" s="39">
        <f t="shared" si="176"/>
        <v>2499</v>
      </c>
      <c r="I2862" s="23" t="str">
        <f t="shared" si="177"/>
        <v>Hyderabad</v>
      </c>
      <c r="J2862" s="23">
        <f>COUNTIFS(pg_transaction_cleaned!$O:$O,A2862,pg_transaction_cleaned!$F:$F,"CAPTURE")</f>
        <v>1</v>
      </c>
      <c r="K2862" s="39">
        <f>SUMIFS(pg_transaction_cleaned!$H:$H,pg_transaction_cleaned!$O:$O,A2862,pg_transaction_cleaned!$F:$F,"CAPTURE")</f>
        <v>2499</v>
      </c>
      <c r="L2862" s="23">
        <f>COUNTIFS(pg_transaction_cleaned!$O:$O,A2862,pg_transaction_cleaned!$F:$F,"REFUND")</f>
        <v>0</v>
      </c>
      <c r="M2862" s="39">
        <f>SUMIFS(pg_transaction_cleaned!$H:$H,pg_transaction_cleaned!$O:$O,A2862,pg_transaction_cleaned!$F:$F,"REFUND")</f>
        <v>0</v>
      </c>
      <c r="N2862" s="23" t="str">
        <f t="shared" si="178"/>
        <v>OK</v>
      </c>
      <c r="O2862" s="24">
        <f t="shared" si="179"/>
        <v>0</v>
      </c>
    </row>
    <row r="2863" spans="1:15" ht="15" customHeight="1" x14ac:dyDescent="0.3">
      <c r="A2863" s="23" t="s">
        <v>6220</v>
      </c>
      <c r="B2863" s="38">
        <v>46283</v>
      </c>
      <c r="C2863" s="23" t="s">
        <v>6221</v>
      </c>
      <c r="D2863" s="23" t="s">
        <v>88</v>
      </c>
      <c r="E2863" s="23" t="s">
        <v>81</v>
      </c>
      <c r="F2863" s="23" t="s">
        <v>438</v>
      </c>
      <c r="G2863" s="23" t="s">
        <v>250</v>
      </c>
      <c r="H2863" s="39">
        <f t="shared" si="176"/>
        <v>5498</v>
      </c>
      <c r="I2863" s="23" t="str">
        <f t="shared" si="177"/>
        <v>Lucknow</v>
      </c>
      <c r="J2863" s="23">
        <f>COUNTIFS(pg_transaction_cleaned!$O:$O,A2863,pg_transaction_cleaned!$F:$F,"CAPTURE")</f>
        <v>1</v>
      </c>
      <c r="K2863" s="39">
        <f>SUMIFS(pg_transaction_cleaned!$H:$H,pg_transaction_cleaned!$O:$O,A2863,pg_transaction_cleaned!$F:$F,"CAPTURE")</f>
        <v>5498</v>
      </c>
      <c r="L2863" s="23">
        <f>COUNTIFS(pg_transaction_cleaned!$O:$O,A2863,pg_transaction_cleaned!$F:$F,"REFUND")</f>
        <v>0</v>
      </c>
      <c r="M2863" s="39">
        <f>SUMIFS(pg_transaction_cleaned!$H:$H,pg_transaction_cleaned!$O:$O,A2863,pg_transaction_cleaned!$F:$F,"REFUND")</f>
        <v>0</v>
      </c>
      <c r="N2863" s="23" t="str">
        <f t="shared" si="178"/>
        <v>OK</v>
      </c>
      <c r="O2863" s="24">
        <f t="shared" si="179"/>
        <v>0</v>
      </c>
    </row>
    <row r="2864" spans="1:15" ht="15" customHeight="1" x14ac:dyDescent="0.3">
      <c r="A2864" s="23" t="s">
        <v>6222</v>
      </c>
      <c r="B2864" s="38">
        <v>46278</v>
      </c>
      <c r="C2864" s="23" t="s">
        <v>6223</v>
      </c>
      <c r="D2864" s="23" t="s">
        <v>92</v>
      </c>
      <c r="E2864" s="23" t="s">
        <v>75</v>
      </c>
      <c r="F2864" s="23" t="s">
        <v>280</v>
      </c>
      <c r="G2864" s="23" t="s">
        <v>250</v>
      </c>
      <c r="H2864" s="39">
        <f t="shared" si="176"/>
        <v>5797</v>
      </c>
      <c r="I2864" s="23" t="str">
        <f t="shared" si="177"/>
        <v>Hyderabad</v>
      </c>
      <c r="J2864" s="23">
        <f>COUNTIFS(pg_transaction_cleaned!$O:$O,A2864,pg_transaction_cleaned!$F:$F,"CAPTURE")</f>
        <v>1</v>
      </c>
      <c r="K2864" s="39">
        <f>SUMIFS(pg_transaction_cleaned!$H:$H,pg_transaction_cleaned!$O:$O,A2864,pg_transaction_cleaned!$F:$F,"CAPTURE")</f>
        <v>5797</v>
      </c>
      <c r="L2864" s="23">
        <f>COUNTIFS(pg_transaction_cleaned!$O:$O,A2864,pg_transaction_cleaned!$F:$F,"REFUND")</f>
        <v>0</v>
      </c>
      <c r="M2864" s="39">
        <f>SUMIFS(pg_transaction_cleaned!$H:$H,pg_transaction_cleaned!$O:$O,A2864,pg_transaction_cleaned!$F:$F,"REFUND")</f>
        <v>0</v>
      </c>
      <c r="N2864" s="23" t="str">
        <f t="shared" si="178"/>
        <v>OK</v>
      </c>
      <c r="O2864" s="24">
        <f t="shared" si="179"/>
        <v>0</v>
      </c>
    </row>
    <row r="2865" spans="1:15" ht="15" customHeight="1" x14ac:dyDescent="0.3">
      <c r="A2865" s="23" t="s">
        <v>6224</v>
      </c>
      <c r="B2865" s="38">
        <v>46288</v>
      </c>
      <c r="C2865" s="23" t="s">
        <v>6225</v>
      </c>
      <c r="D2865" s="23" t="s">
        <v>87</v>
      </c>
      <c r="E2865" s="23" t="s">
        <v>75</v>
      </c>
      <c r="F2865" s="23" t="s">
        <v>742</v>
      </c>
      <c r="G2865" s="23" t="s">
        <v>250</v>
      </c>
      <c r="H2865" s="39">
        <f t="shared" si="176"/>
        <v>999</v>
      </c>
      <c r="I2865" s="23" t="str">
        <f t="shared" si="177"/>
        <v>Mumbai</v>
      </c>
      <c r="J2865" s="23">
        <f>COUNTIFS(pg_transaction_cleaned!$O:$O,A2865,pg_transaction_cleaned!$F:$F,"CAPTURE")</f>
        <v>1</v>
      </c>
      <c r="K2865" s="39">
        <f>SUMIFS(pg_transaction_cleaned!$H:$H,pg_transaction_cleaned!$O:$O,A2865,pg_transaction_cleaned!$F:$F,"CAPTURE")</f>
        <v>999</v>
      </c>
      <c r="L2865" s="23">
        <f>COUNTIFS(pg_transaction_cleaned!$O:$O,A2865,pg_transaction_cleaned!$F:$F,"REFUND")</f>
        <v>0</v>
      </c>
      <c r="M2865" s="39">
        <f>SUMIFS(pg_transaction_cleaned!$H:$H,pg_transaction_cleaned!$O:$O,A2865,pg_transaction_cleaned!$F:$F,"REFUND")</f>
        <v>0</v>
      </c>
      <c r="N2865" s="23" t="str">
        <f t="shared" si="178"/>
        <v>OK</v>
      </c>
      <c r="O2865" s="24">
        <f t="shared" si="179"/>
        <v>0</v>
      </c>
    </row>
    <row r="2866" spans="1:15" ht="15" customHeight="1" x14ac:dyDescent="0.3">
      <c r="A2866" s="23" t="s">
        <v>6226</v>
      </c>
      <c r="B2866" s="38">
        <v>46269</v>
      </c>
      <c r="C2866" s="23" t="s">
        <v>6227</v>
      </c>
      <c r="D2866" s="23" t="s">
        <v>87</v>
      </c>
      <c r="E2866" s="23" t="s">
        <v>79</v>
      </c>
      <c r="F2866" s="23" t="s">
        <v>271</v>
      </c>
      <c r="G2866" s="23" t="s">
        <v>250</v>
      </c>
      <c r="H2866" s="39">
        <f t="shared" si="176"/>
        <v>2499</v>
      </c>
      <c r="I2866" s="23" t="str">
        <f t="shared" si="177"/>
        <v>Mumbai</v>
      </c>
      <c r="J2866" s="23">
        <f>COUNTIFS(pg_transaction_cleaned!$O:$O,A2866,pg_transaction_cleaned!$F:$F,"CAPTURE")</f>
        <v>1</v>
      </c>
      <c r="K2866" s="39">
        <f>SUMIFS(pg_transaction_cleaned!$H:$H,pg_transaction_cleaned!$O:$O,A2866,pg_transaction_cleaned!$F:$F,"CAPTURE")</f>
        <v>2499</v>
      </c>
      <c r="L2866" s="23">
        <f>COUNTIFS(pg_transaction_cleaned!$O:$O,A2866,pg_transaction_cleaned!$F:$F,"REFUND")</f>
        <v>0</v>
      </c>
      <c r="M2866" s="39">
        <f>SUMIFS(pg_transaction_cleaned!$H:$H,pg_transaction_cleaned!$O:$O,A2866,pg_transaction_cleaned!$F:$F,"REFUND")</f>
        <v>0</v>
      </c>
      <c r="N2866" s="23" t="str">
        <f t="shared" si="178"/>
        <v>OK</v>
      </c>
      <c r="O2866" s="24">
        <f t="shared" si="179"/>
        <v>0</v>
      </c>
    </row>
    <row r="2867" spans="1:15" ht="15" customHeight="1" x14ac:dyDescent="0.3">
      <c r="A2867" s="23" t="s">
        <v>6228</v>
      </c>
      <c r="B2867" s="38">
        <v>46293</v>
      </c>
      <c r="C2867" s="23" t="s">
        <v>6229</v>
      </c>
      <c r="D2867" s="23" t="s">
        <v>94</v>
      </c>
      <c r="E2867" s="23" t="s">
        <v>77</v>
      </c>
      <c r="F2867" s="23" t="s">
        <v>1571</v>
      </c>
      <c r="G2867" s="23" t="s">
        <v>250</v>
      </c>
      <c r="H2867" s="39">
        <f t="shared" si="176"/>
        <v>7497</v>
      </c>
      <c r="I2867" s="23" t="str">
        <f t="shared" si="177"/>
        <v>Chennai</v>
      </c>
      <c r="J2867" s="23">
        <f>COUNTIFS(pg_transaction_cleaned!$O:$O,A2867,pg_transaction_cleaned!$F:$F,"CAPTURE")</f>
        <v>1</v>
      </c>
      <c r="K2867" s="39">
        <f>SUMIFS(pg_transaction_cleaned!$H:$H,pg_transaction_cleaned!$O:$O,A2867,pg_transaction_cleaned!$F:$F,"CAPTURE")</f>
        <v>7497</v>
      </c>
      <c r="L2867" s="23">
        <f>COUNTIFS(pg_transaction_cleaned!$O:$O,A2867,pg_transaction_cleaned!$F:$F,"REFUND")</f>
        <v>0</v>
      </c>
      <c r="M2867" s="39">
        <f>SUMIFS(pg_transaction_cleaned!$H:$H,pg_transaction_cleaned!$O:$O,A2867,pg_transaction_cleaned!$F:$F,"REFUND")</f>
        <v>0</v>
      </c>
      <c r="N2867" s="23" t="str">
        <f t="shared" si="178"/>
        <v>OK</v>
      </c>
      <c r="O2867" s="24">
        <f t="shared" si="179"/>
        <v>0</v>
      </c>
    </row>
    <row r="2868" spans="1:15" ht="15" customHeight="1" x14ac:dyDescent="0.3">
      <c r="A2868" s="23" t="s">
        <v>6230</v>
      </c>
      <c r="B2868" s="38">
        <v>46269</v>
      </c>
      <c r="C2868" s="23" t="s">
        <v>6231</v>
      </c>
      <c r="D2868" s="23" t="s">
        <v>95</v>
      </c>
      <c r="E2868" s="23" t="s">
        <v>79</v>
      </c>
      <c r="F2868" s="23" t="s">
        <v>315</v>
      </c>
      <c r="G2868" s="23" t="s">
        <v>250</v>
      </c>
      <c r="H2868" s="39">
        <f t="shared" si="176"/>
        <v>1499</v>
      </c>
      <c r="I2868" s="23" t="str">
        <f t="shared" si="177"/>
        <v>Bengaluru</v>
      </c>
      <c r="J2868" s="23">
        <f>COUNTIFS(pg_transaction_cleaned!$O:$O,A2868,pg_transaction_cleaned!$F:$F,"CAPTURE")</f>
        <v>1</v>
      </c>
      <c r="K2868" s="39">
        <f>SUMIFS(pg_transaction_cleaned!$H:$H,pg_transaction_cleaned!$O:$O,A2868,pg_transaction_cleaned!$F:$F,"CAPTURE")</f>
        <v>1499</v>
      </c>
      <c r="L2868" s="23">
        <f>COUNTIFS(pg_transaction_cleaned!$O:$O,A2868,pg_transaction_cleaned!$F:$F,"REFUND")</f>
        <v>0</v>
      </c>
      <c r="M2868" s="39">
        <f>SUMIFS(pg_transaction_cleaned!$H:$H,pg_transaction_cleaned!$O:$O,A2868,pg_transaction_cleaned!$F:$F,"REFUND")</f>
        <v>0</v>
      </c>
      <c r="N2868" s="23" t="str">
        <f t="shared" si="178"/>
        <v>OK</v>
      </c>
      <c r="O2868" s="24">
        <f t="shared" si="179"/>
        <v>0</v>
      </c>
    </row>
    <row r="2869" spans="1:15" ht="15" customHeight="1" x14ac:dyDescent="0.3">
      <c r="A2869" s="23" t="s">
        <v>6232</v>
      </c>
      <c r="B2869" s="38">
        <v>46292</v>
      </c>
      <c r="C2869" s="23" t="s">
        <v>6233</v>
      </c>
      <c r="D2869" s="23"/>
      <c r="E2869" s="23" t="s">
        <v>81</v>
      </c>
      <c r="F2869" s="23" t="s">
        <v>426</v>
      </c>
      <c r="G2869" s="23" t="s">
        <v>250</v>
      </c>
      <c r="H2869" s="39">
        <f t="shared" si="176"/>
        <v>6798</v>
      </c>
      <c r="I2869" s="23" t="str">
        <f t="shared" si="177"/>
        <v>Unknown</v>
      </c>
      <c r="J2869" s="23">
        <f>COUNTIFS(pg_transaction_cleaned!$O:$O,A2869,pg_transaction_cleaned!$F:$F,"CAPTURE")</f>
        <v>1</v>
      </c>
      <c r="K2869" s="39">
        <f>SUMIFS(pg_transaction_cleaned!$H:$H,pg_transaction_cleaned!$O:$O,A2869,pg_transaction_cleaned!$F:$F,"CAPTURE")</f>
        <v>6798</v>
      </c>
      <c r="L2869" s="23">
        <f>COUNTIFS(pg_transaction_cleaned!$O:$O,A2869,pg_transaction_cleaned!$F:$F,"REFUND")</f>
        <v>0</v>
      </c>
      <c r="M2869" s="39">
        <f>SUMIFS(pg_transaction_cleaned!$H:$H,pg_transaction_cleaned!$O:$O,A2869,pg_transaction_cleaned!$F:$F,"REFUND")</f>
        <v>0</v>
      </c>
      <c r="N2869" s="23" t="str">
        <f t="shared" si="178"/>
        <v>OK</v>
      </c>
      <c r="O2869" s="24">
        <f t="shared" si="179"/>
        <v>0</v>
      </c>
    </row>
    <row r="2870" spans="1:15" ht="15" customHeight="1" x14ac:dyDescent="0.3">
      <c r="A2870" s="23" t="s">
        <v>6234</v>
      </c>
      <c r="B2870" s="38">
        <v>46276</v>
      </c>
      <c r="C2870" s="23" t="s">
        <v>6235</v>
      </c>
      <c r="D2870" s="23" t="s">
        <v>89</v>
      </c>
      <c r="E2870" s="23" t="s">
        <v>79</v>
      </c>
      <c r="F2870" s="23" t="s">
        <v>268</v>
      </c>
      <c r="G2870" s="23" t="s">
        <v>301</v>
      </c>
      <c r="H2870" s="39">
        <f t="shared" si="176"/>
        <v>1299</v>
      </c>
      <c r="I2870" s="23" t="str">
        <f t="shared" si="177"/>
        <v>Jaipur</v>
      </c>
      <c r="J2870" s="23">
        <f>COUNTIFS(pg_transaction_cleaned!$O:$O,A2870,pg_transaction_cleaned!$F:$F,"CAPTURE")</f>
        <v>1</v>
      </c>
      <c r="K2870" s="39">
        <f>SUMIFS(pg_transaction_cleaned!$H:$H,pg_transaction_cleaned!$O:$O,A2870,pg_transaction_cleaned!$F:$F,"CAPTURE")</f>
        <v>1299</v>
      </c>
      <c r="L2870" s="23">
        <f>COUNTIFS(pg_transaction_cleaned!$O:$O,A2870,pg_transaction_cleaned!$F:$F,"REFUND")</f>
        <v>1</v>
      </c>
      <c r="M2870" s="39">
        <f>SUMIFS(pg_transaction_cleaned!$H:$H,pg_transaction_cleaned!$O:$O,A2870,pg_transaction_cleaned!$F:$F,"REFUND")</f>
        <v>1299</v>
      </c>
      <c r="N2870" s="23" t="str">
        <f t="shared" si="178"/>
        <v>OK</v>
      </c>
      <c r="O2870" s="24">
        <f t="shared" si="179"/>
        <v>0</v>
      </c>
    </row>
    <row r="2871" spans="1:15" ht="15" customHeight="1" x14ac:dyDescent="0.3">
      <c r="A2871" s="23" t="s">
        <v>6236</v>
      </c>
      <c r="B2871" s="38">
        <v>46284</v>
      </c>
      <c r="C2871" s="23" t="s">
        <v>6237</v>
      </c>
      <c r="D2871" s="23" t="s">
        <v>87</v>
      </c>
      <c r="E2871" s="23" t="s">
        <v>75</v>
      </c>
      <c r="F2871" s="23" t="s">
        <v>265</v>
      </c>
      <c r="G2871" s="23" t="s">
        <v>250</v>
      </c>
      <c r="H2871" s="39">
        <f t="shared" si="176"/>
        <v>999</v>
      </c>
      <c r="I2871" s="23" t="str">
        <f t="shared" si="177"/>
        <v>Mumbai</v>
      </c>
      <c r="J2871" s="23">
        <f>COUNTIFS(pg_transaction_cleaned!$O:$O,A2871,pg_transaction_cleaned!$F:$F,"CAPTURE")</f>
        <v>1</v>
      </c>
      <c r="K2871" s="39">
        <f>SUMIFS(pg_transaction_cleaned!$H:$H,pg_transaction_cleaned!$O:$O,A2871,pg_transaction_cleaned!$F:$F,"CAPTURE")</f>
        <v>999</v>
      </c>
      <c r="L2871" s="23">
        <f>COUNTIFS(pg_transaction_cleaned!$O:$O,A2871,pg_transaction_cleaned!$F:$F,"REFUND")</f>
        <v>0</v>
      </c>
      <c r="M2871" s="39">
        <f>SUMIFS(pg_transaction_cleaned!$H:$H,pg_transaction_cleaned!$O:$O,A2871,pg_transaction_cleaned!$F:$F,"REFUND")</f>
        <v>0</v>
      </c>
      <c r="N2871" s="23" t="str">
        <f t="shared" si="178"/>
        <v>OK</v>
      </c>
      <c r="O2871" s="24">
        <f t="shared" si="179"/>
        <v>0</v>
      </c>
    </row>
    <row r="2872" spans="1:15" ht="15" customHeight="1" x14ac:dyDescent="0.3">
      <c r="A2872" s="23" t="s">
        <v>6238</v>
      </c>
      <c r="B2872" s="38">
        <v>46267</v>
      </c>
      <c r="C2872" s="23" t="s">
        <v>6239</v>
      </c>
      <c r="D2872" s="23" t="s">
        <v>92</v>
      </c>
      <c r="E2872" s="23" t="s">
        <v>79</v>
      </c>
      <c r="F2872" s="23" t="s">
        <v>271</v>
      </c>
      <c r="G2872" s="23" t="s">
        <v>250</v>
      </c>
      <c r="H2872" s="39">
        <f t="shared" si="176"/>
        <v>2499</v>
      </c>
      <c r="I2872" s="23" t="str">
        <f t="shared" si="177"/>
        <v>Hyderabad</v>
      </c>
      <c r="J2872" s="23">
        <f>COUNTIFS(pg_transaction_cleaned!$O:$O,A2872,pg_transaction_cleaned!$F:$F,"CAPTURE")</f>
        <v>1</v>
      </c>
      <c r="K2872" s="39">
        <f>SUMIFS(pg_transaction_cleaned!$H:$H,pg_transaction_cleaned!$O:$O,A2872,pg_transaction_cleaned!$F:$F,"CAPTURE")</f>
        <v>2499</v>
      </c>
      <c r="L2872" s="23">
        <f>COUNTIFS(pg_transaction_cleaned!$O:$O,A2872,pg_transaction_cleaned!$F:$F,"REFUND")</f>
        <v>0</v>
      </c>
      <c r="M2872" s="39">
        <f>SUMIFS(pg_transaction_cleaned!$H:$H,pg_transaction_cleaned!$O:$O,A2872,pg_transaction_cleaned!$F:$F,"REFUND")</f>
        <v>0</v>
      </c>
      <c r="N2872" s="23" t="str">
        <f t="shared" si="178"/>
        <v>OK</v>
      </c>
      <c r="O2872" s="24">
        <f t="shared" si="179"/>
        <v>0</v>
      </c>
    </row>
    <row r="2873" spans="1:15" ht="15" customHeight="1" x14ac:dyDescent="0.3">
      <c r="A2873" s="23" t="s">
        <v>6240</v>
      </c>
      <c r="B2873" s="38">
        <v>46282</v>
      </c>
      <c r="C2873" s="23" t="s">
        <v>6241</v>
      </c>
      <c r="D2873" s="23" t="s">
        <v>92</v>
      </c>
      <c r="E2873" s="23" t="s">
        <v>77</v>
      </c>
      <c r="F2873" s="23" t="s">
        <v>582</v>
      </c>
      <c r="G2873" s="23" t="s">
        <v>250</v>
      </c>
      <c r="H2873" s="39">
        <f t="shared" si="176"/>
        <v>1298</v>
      </c>
      <c r="I2873" s="23" t="str">
        <f t="shared" si="177"/>
        <v>Hyderabad</v>
      </c>
      <c r="J2873" s="23">
        <f>COUNTIFS(pg_transaction_cleaned!$O:$O,A2873,pg_transaction_cleaned!$F:$F,"CAPTURE")</f>
        <v>1</v>
      </c>
      <c r="K2873" s="39">
        <f>SUMIFS(pg_transaction_cleaned!$H:$H,pg_transaction_cleaned!$O:$O,A2873,pg_transaction_cleaned!$F:$F,"CAPTURE")</f>
        <v>1298</v>
      </c>
      <c r="L2873" s="23">
        <f>COUNTIFS(pg_transaction_cleaned!$O:$O,A2873,pg_transaction_cleaned!$F:$F,"REFUND")</f>
        <v>0</v>
      </c>
      <c r="M2873" s="39">
        <f>SUMIFS(pg_transaction_cleaned!$H:$H,pg_transaction_cleaned!$O:$O,A2873,pg_transaction_cleaned!$F:$F,"REFUND")</f>
        <v>0</v>
      </c>
      <c r="N2873" s="23" t="str">
        <f t="shared" si="178"/>
        <v>OK</v>
      </c>
      <c r="O2873" s="24">
        <f t="shared" si="179"/>
        <v>0</v>
      </c>
    </row>
    <row r="2874" spans="1:15" ht="15" customHeight="1" x14ac:dyDescent="0.3">
      <c r="A2874" s="23" t="s">
        <v>6242</v>
      </c>
      <c r="B2874" s="38">
        <v>46291</v>
      </c>
      <c r="C2874" s="23" t="s">
        <v>4954</v>
      </c>
      <c r="D2874" s="23" t="s">
        <v>94</v>
      </c>
      <c r="E2874" s="23" t="s">
        <v>75</v>
      </c>
      <c r="F2874" s="23" t="s">
        <v>2837</v>
      </c>
      <c r="G2874" s="23" t="s">
        <v>250</v>
      </c>
      <c r="H2874" s="39">
        <f t="shared" si="176"/>
        <v>12297</v>
      </c>
      <c r="I2874" s="23" t="str">
        <f t="shared" si="177"/>
        <v>Chennai</v>
      </c>
      <c r="J2874" s="23">
        <f>COUNTIFS(pg_transaction_cleaned!$O:$O,A2874,pg_transaction_cleaned!$F:$F,"CAPTURE")</f>
        <v>1</v>
      </c>
      <c r="K2874" s="39">
        <f>SUMIFS(pg_transaction_cleaned!$H:$H,pg_transaction_cleaned!$O:$O,A2874,pg_transaction_cleaned!$F:$F,"CAPTURE")</f>
        <v>12297</v>
      </c>
      <c r="L2874" s="23">
        <f>COUNTIFS(pg_transaction_cleaned!$O:$O,A2874,pg_transaction_cleaned!$F:$F,"REFUND")</f>
        <v>0</v>
      </c>
      <c r="M2874" s="39">
        <f>SUMIFS(pg_transaction_cleaned!$H:$H,pg_transaction_cleaned!$O:$O,A2874,pg_transaction_cleaned!$F:$F,"REFUND")</f>
        <v>0</v>
      </c>
      <c r="N2874" s="23" t="str">
        <f t="shared" si="178"/>
        <v>OK</v>
      </c>
      <c r="O2874" s="24">
        <f t="shared" si="179"/>
        <v>0</v>
      </c>
    </row>
    <row r="2875" spans="1:15" ht="15" customHeight="1" x14ac:dyDescent="0.3">
      <c r="A2875" s="23" t="s">
        <v>6243</v>
      </c>
      <c r="B2875" s="38">
        <v>46291</v>
      </c>
      <c r="C2875" s="23" t="s">
        <v>6244</v>
      </c>
      <c r="D2875" s="23" t="s">
        <v>94</v>
      </c>
      <c r="E2875" s="23" t="s">
        <v>79</v>
      </c>
      <c r="F2875" s="23" t="s">
        <v>582</v>
      </c>
      <c r="G2875" s="23" t="s">
        <v>250</v>
      </c>
      <c r="H2875" s="39">
        <f t="shared" si="176"/>
        <v>1298</v>
      </c>
      <c r="I2875" s="23" t="str">
        <f t="shared" si="177"/>
        <v>Chennai</v>
      </c>
      <c r="J2875" s="23">
        <f>COUNTIFS(pg_transaction_cleaned!$O:$O,A2875,pg_transaction_cleaned!$F:$F,"CAPTURE")</f>
        <v>1</v>
      </c>
      <c r="K2875" s="39">
        <f>SUMIFS(pg_transaction_cleaned!$H:$H,pg_transaction_cleaned!$O:$O,A2875,pg_transaction_cleaned!$F:$F,"CAPTURE")</f>
        <v>1298</v>
      </c>
      <c r="L2875" s="23">
        <f>COUNTIFS(pg_transaction_cleaned!$O:$O,A2875,pg_transaction_cleaned!$F:$F,"REFUND")</f>
        <v>0</v>
      </c>
      <c r="M2875" s="39">
        <f>SUMIFS(pg_transaction_cleaned!$H:$H,pg_transaction_cleaned!$O:$O,A2875,pg_transaction_cleaned!$F:$F,"REFUND")</f>
        <v>0</v>
      </c>
      <c r="N2875" s="23" t="str">
        <f t="shared" si="178"/>
        <v>OK</v>
      </c>
      <c r="O2875" s="24">
        <f t="shared" si="179"/>
        <v>0</v>
      </c>
    </row>
    <row r="2876" spans="1:15" ht="15" customHeight="1" x14ac:dyDescent="0.3">
      <c r="A2876" s="23" t="s">
        <v>6245</v>
      </c>
      <c r="B2876" s="38">
        <v>46279</v>
      </c>
      <c r="C2876" s="23" t="s">
        <v>6246</v>
      </c>
      <c r="D2876" s="23" t="s">
        <v>88</v>
      </c>
      <c r="E2876" s="23" t="s">
        <v>75</v>
      </c>
      <c r="F2876" s="23" t="s">
        <v>315</v>
      </c>
      <c r="G2876" s="23" t="s">
        <v>250</v>
      </c>
      <c r="H2876" s="39">
        <f t="shared" si="176"/>
        <v>1499</v>
      </c>
      <c r="I2876" s="23" t="str">
        <f t="shared" si="177"/>
        <v>Lucknow</v>
      </c>
      <c r="J2876" s="23">
        <f>COUNTIFS(pg_transaction_cleaned!$O:$O,A2876,pg_transaction_cleaned!$F:$F,"CAPTURE")</f>
        <v>1</v>
      </c>
      <c r="K2876" s="39">
        <f>SUMIFS(pg_transaction_cleaned!$H:$H,pg_transaction_cleaned!$O:$O,A2876,pg_transaction_cleaned!$F:$F,"CAPTURE")</f>
        <v>1499</v>
      </c>
      <c r="L2876" s="23">
        <f>COUNTIFS(pg_transaction_cleaned!$O:$O,A2876,pg_transaction_cleaned!$F:$F,"REFUND")</f>
        <v>0</v>
      </c>
      <c r="M2876" s="39">
        <f>SUMIFS(pg_transaction_cleaned!$H:$H,pg_transaction_cleaned!$O:$O,A2876,pg_transaction_cleaned!$F:$F,"REFUND")</f>
        <v>0</v>
      </c>
      <c r="N2876" s="23" t="str">
        <f t="shared" si="178"/>
        <v>OK</v>
      </c>
      <c r="O2876" s="24">
        <f t="shared" si="179"/>
        <v>0</v>
      </c>
    </row>
    <row r="2877" spans="1:15" ht="15" customHeight="1" x14ac:dyDescent="0.3">
      <c r="A2877" s="23" t="s">
        <v>6247</v>
      </c>
      <c r="B2877" s="38">
        <v>46280</v>
      </c>
      <c r="C2877" s="23" t="s">
        <v>6248</v>
      </c>
      <c r="D2877" s="23" t="s">
        <v>88</v>
      </c>
      <c r="E2877" s="23" t="s">
        <v>75</v>
      </c>
      <c r="F2877" s="23" t="s">
        <v>297</v>
      </c>
      <c r="G2877" s="23" t="s">
        <v>250</v>
      </c>
      <c r="H2877" s="39">
        <f t="shared" si="176"/>
        <v>4999</v>
      </c>
      <c r="I2877" s="23" t="str">
        <f t="shared" si="177"/>
        <v>Lucknow</v>
      </c>
      <c r="J2877" s="23">
        <f>COUNTIFS(pg_transaction_cleaned!$O:$O,A2877,pg_transaction_cleaned!$F:$F,"CAPTURE")</f>
        <v>1</v>
      </c>
      <c r="K2877" s="39">
        <f>SUMIFS(pg_transaction_cleaned!$H:$H,pg_transaction_cleaned!$O:$O,A2877,pg_transaction_cleaned!$F:$F,"CAPTURE")</f>
        <v>4999</v>
      </c>
      <c r="L2877" s="23">
        <f>COUNTIFS(pg_transaction_cleaned!$O:$O,A2877,pg_transaction_cleaned!$F:$F,"REFUND")</f>
        <v>0</v>
      </c>
      <c r="M2877" s="39">
        <f>SUMIFS(pg_transaction_cleaned!$H:$H,pg_transaction_cleaned!$O:$O,A2877,pg_transaction_cleaned!$F:$F,"REFUND")</f>
        <v>0</v>
      </c>
      <c r="N2877" s="23" t="str">
        <f t="shared" si="178"/>
        <v>OK</v>
      </c>
      <c r="O2877" s="24">
        <f t="shared" si="179"/>
        <v>0</v>
      </c>
    </row>
    <row r="2878" spans="1:15" ht="15" customHeight="1" x14ac:dyDescent="0.3">
      <c r="A2878" s="23" t="s">
        <v>6249</v>
      </c>
      <c r="B2878" s="38">
        <v>46266</v>
      </c>
      <c r="C2878" s="23" t="s">
        <v>6250</v>
      </c>
      <c r="D2878" s="23" t="s">
        <v>93</v>
      </c>
      <c r="E2878" s="23" t="s">
        <v>75</v>
      </c>
      <c r="F2878" s="23" t="s">
        <v>4250</v>
      </c>
      <c r="G2878" s="23" t="s">
        <v>250</v>
      </c>
      <c r="H2878" s="39">
        <f t="shared" si="176"/>
        <v>1098</v>
      </c>
      <c r="I2878" s="23" t="str">
        <f t="shared" si="177"/>
        <v>Kolkata</v>
      </c>
      <c r="J2878" s="23">
        <f>COUNTIFS(pg_transaction_cleaned!$O:$O,A2878,pg_transaction_cleaned!$F:$F,"CAPTURE")</f>
        <v>1</v>
      </c>
      <c r="K2878" s="39">
        <f>SUMIFS(pg_transaction_cleaned!$H:$H,pg_transaction_cleaned!$O:$O,A2878,pg_transaction_cleaned!$F:$F,"CAPTURE")</f>
        <v>1098</v>
      </c>
      <c r="L2878" s="23">
        <f>COUNTIFS(pg_transaction_cleaned!$O:$O,A2878,pg_transaction_cleaned!$F:$F,"REFUND")</f>
        <v>0</v>
      </c>
      <c r="M2878" s="39">
        <f>SUMIFS(pg_transaction_cleaned!$H:$H,pg_transaction_cleaned!$O:$O,A2878,pg_transaction_cleaned!$F:$F,"REFUND")</f>
        <v>0</v>
      </c>
      <c r="N2878" s="23" t="str">
        <f t="shared" si="178"/>
        <v>OK</v>
      </c>
      <c r="O2878" s="24">
        <f t="shared" si="179"/>
        <v>0</v>
      </c>
    </row>
    <row r="2879" spans="1:15" ht="15" customHeight="1" x14ac:dyDescent="0.3">
      <c r="A2879" s="23" t="s">
        <v>6251</v>
      </c>
      <c r="B2879" s="38">
        <v>46291</v>
      </c>
      <c r="C2879" s="23" t="s">
        <v>6252</v>
      </c>
      <c r="D2879" s="23" t="s">
        <v>92</v>
      </c>
      <c r="E2879" s="23" t="s">
        <v>79</v>
      </c>
      <c r="F2879" s="23" t="s">
        <v>310</v>
      </c>
      <c r="G2879" s="23" t="s">
        <v>250</v>
      </c>
      <c r="H2879" s="39">
        <f t="shared" si="176"/>
        <v>7999</v>
      </c>
      <c r="I2879" s="23" t="str">
        <f t="shared" si="177"/>
        <v>Hyderabad</v>
      </c>
      <c r="J2879" s="23">
        <f>COUNTIFS(pg_transaction_cleaned!$O:$O,A2879,pg_transaction_cleaned!$F:$F,"CAPTURE")</f>
        <v>1</v>
      </c>
      <c r="K2879" s="39">
        <f>SUMIFS(pg_transaction_cleaned!$H:$H,pg_transaction_cleaned!$O:$O,A2879,pg_transaction_cleaned!$F:$F,"CAPTURE")</f>
        <v>7999</v>
      </c>
      <c r="L2879" s="23">
        <f>COUNTIFS(pg_transaction_cleaned!$O:$O,A2879,pg_transaction_cleaned!$F:$F,"REFUND")</f>
        <v>0</v>
      </c>
      <c r="M2879" s="39">
        <f>SUMIFS(pg_transaction_cleaned!$H:$H,pg_transaction_cleaned!$O:$O,A2879,pg_transaction_cleaned!$F:$F,"REFUND")</f>
        <v>0</v>
      </c>
      <c r="N2879" s="23" t="str">
        <f t="shared" si="178"/>
        <v>OK</v>
      </c>
      <c r="O2879" s="24">
        <f t="shared" si="179"/>
        <v>0</v>
      </c>
    </row>
    <row r="2880" spans="1:15" ht="15" customHeight="1" x14ac:dyDescent="0.3">
      <c r="A2880" s="23" t="s">
        <v>6253</v>
      </c>
      <c r="B2880" s="38">
        <v>46267</v>
      </c>
      <c r="C2880" s="23" t="s">
        <v>6254</v>
      </c>
      <c r="D2880" s="23" t="s">
        <v>95</v>
      </c>
      <c r="E2880" s="23" t="s">
        <v>79</v>
      </c>
      <c r="F2880" s="23" t="s">
        <v>268</v>
      </c>
      <c r="G2880" s="23" t="s">
        <v>250</v>
      </c>
      <c r="H2880" s="39">
        <f t="shared" si="176"/>
        <v>1299</v>
      </c>
      <c r="I2880" s="23" t="str">
        <f t="shared" si="177"/>
        <v>Bengaluru</v>
      </c>
      <c r="J2880" s="23">
        <f>COUNTIFS(pg_transaction_cleaned!$O:$O,A2880,pg_transaction_cleaned!$F:$F,"CAPTURE")</f>
        <v>1</v>
      </c>
      <c r="K2880" s="39">
        <f>SUMIFS(pg_transaction_cleaned!$H:$H,pg_transaction_cleaned!$O:$O,A2880,pg_transaction_cleaned!$F:$F,"CAPTURE")</f>
        <v>1299</v>
      </c>
      <c r="L2880" s="23">
        <f>COUNTIFS(pg_transaction_cleaned!$O:$O,A2880,pg_transaction_cleaned!$F:$F,"REFUND")</f>
        <v>0</v>
      </c>
      <c r="M2880" s="39">
        <f>SUMIFS(pg_transaction_cleaned!$H:$H,pg_transaction_cleaned!$O:$O,A2880,pg_transaction_cleaned!$F:$F,"REFUND")</f>
        <v>0</v>
      </c>
      <c r="N2880" s="23" t="str">
        <f t="shared" si="178"/>
        <v>OK</v>
      </c>
      <c r="O2880" s="24">
        <f t="shared" si="179"/>
        <v>0</v>
      </c>
    </row>
    <row r="2881" spans="1:15" ht="15" customHeight="1" x14ac:dyDescent="0.3">
      <c r="A2881" s="23" t="s">
        <v>6255</v>
      </c>
      <c r="B2881" s="38">
        <v>46295</v>
      </c>
      <c r="C2881" s="23" t="s">
        <v>6256</v>
      </c>
      <c r="D2881" s="23" t="s">
        <v>86</v>
      </c>
      <c r="E2881" s="23" t="s">
        <v>79</v>
      </c>
      <c r="F2881" s="23" t="s">
        <v>249</v>
      </c>
      <c r="G2881" s="23" t="s">
        <v>250</v>
      </c>
      <c r="H2881" s="39">
        <f t="shared" si="176"/>
        <v>299</v>
      </c>
      <c r="I2881" s="23" t="str">
        <f t="shared" si="177"/>
        <v>Delhi</v>
      </c>
      <c r="J2881" s="23">
        <f>COUNTIFS(pg_transaction_cleaned!$O:$O,A2881,pg_transaction_cleaned!$F:$F,"CAPTURE")</f>
        <v>1</v>
      </c>
      <c r="K2881" s="39">
        <f>SUMIFS(pg_transaction_cleaned!$H:$H,pg_transaction_cleaned!$O:$O,A2881,pg_transaction_cleaned!$F:$F,"CAPTURE")</f>
        <v>299</v>
      </c>
      <c r="L2881" s="23">
        <f>COUNTIFS(pg_transaction_cleaned!$O:$O,A2881,pg_transaction_cleaned!$F:$F,"REFUND")</f>
        <v>0</v>
      </c>
      <c r="M2881" s="39">
        <f>SUMIFS(pg_transaction_cleaned!$H:$H,pg_transaction_cleaned!$O:$O,A2881,pg_transaction_cleaned!$F:$F,"REFUND")</f>
        <v>0</v>
      </c>
      <c r="N2881" s="23" t="str">
        <f t="shared" si="178"/>
        <v>OK</v>
      </c>
      <c r="O2881" s="24">
        <f t="shared" si="179"/>
        <v>0</v>
      </c>
    </row>
    <row r="2882" spans="1:15" ht="15" customHeight="1" x14ac:dyDescent="0.3">
      <c r="A2882" s="23" t="s">
        <v>6257</v>
      </c>
      <c r="B2882" s="38">
        <v>46269</v>
      </c>
      <c r="C2882" s="23" t="s">
        <v>6258</v>
      </c>
      <c r="D2882" s="23" t="s">
        <v>93</v>
      </c>
      <c r="E2882" s="23" t="s">
        <v>77</v>
      </c>
      <c r="F2882" s="23" t="s">
        <v>262</v>
      </c>
      <c r="G2882" s="23" t="s">
        <v>250</v>
      </c>
      <c r="H2882" s="39">
        <f t="shared" ref="H2882:H2945" si="180">VALUE(SUBSTITUTE(F2882,",",""))</f>
        <v>499</v>
      </c>
      <c r="I2882" s="23" t="str">
        <f t="shared" ref="I2882:I2945" si="181">IF(TRIM(D2882)="","Unknown",TRIM(D2882))</f>
        <v>Kolkata</v>
      </c>
      <c r="J2882" s="23">
        <f>COUNTIFS(pg_transaction_cleaned!$O:$O,A2882,pg_transaction_cleaned!$F:$F,"CAPTURE")</f>
        <v>1</v>
      </c>
      <c r="K2882" s="39">
        <f>SUMIFS(pg_transaction_cleaned!$H:$H,pg_transaction_cleaned!$O:$O,A2882,pg_transaction_cleaned!$F:$F,"CAPTURE")</f>
        <v>499</v>
      </c>
      <c r="L2882" s="23">
        <f>COUNTIFS(pg_transaction_cleaned!$O:$O,A2882,pg_transaction_cleaned!$F:$F,"REFUND")</f>
        <v>0</v>
      </c>
      <c r="M2882" s="39">
        <f>SUMIFS(pg_transaction_cleaned!$H:$H,pg_transaction_cleaned!$O:$O,A2882,pg_transaction_cleaned!$F:$F,"REFUND")</f>
        <v>0</v>
      </c>
      <c r="N2882" s="23" t="str">
        <f t="shared" ref="N2882:N2945" si="182">IF(AND(G2882="Paid",J2882=0),"Paid, no payment",IF(AND(OR(G2882="Failed",G2882="Cancelled"),J2882&gt;0),"Payment on failed/cancelled",IF(J2882&gt;1,"Duplicate charge",IF(AND(J2882=1,ROUND(K2882-H2882,2)&lt;&gt;0),"Amount difference",IF(AND(G2882="Refunded",L2882=0),"Refunded, no refund",IF(AND(G2882&lt;&gt;"Refunded",L2882&gt;0),"Refund, order not Refunded",IF(AND(L2882&gt;0,ROUND(M2882-H2882,2)&lt;&gt;0),"Refund amount differs","OK")))))))</f>
        <v>OK</v>
      </c>
      <c r="O2882" s="24">
        <f t="shared" ref="O2882:O2945" si="183">IF(N2882="OK",0,IF(N2882="Paid, no payment",H2882,IF(N2882="Payment on failed/cancelled",K2882,IF(OR(N2882="Duplicate charge",N2882="Amount difference"),K2882-H2882,IF(N2882="Refunded, no refund",H2882,M2882)))))</f>
        <v>0</v>
      </c>
    </row>
    <row r="2883" spans="1:15" ht="15" customHeight="1" x14ac:dyDescent="0.3">
      <c r="A2883" s="23" t="s">
        <v>6259</v>
      </c>
      <c r="B2883" s="38">
        <v>46294</v>
      </c>
      <c r="C2883" s="23" t="s">
        <v>6260</v>
      </c>
      <c r="D2883" s="23" t="s">
        <v>88</v>
      </c>
      <c r="E2883" s="23" t="s">
        <v>75</v>
      </c>
      <c r="F2883" s="23" t="s">
        <v>514</v>
      </c>
      <c r="G2883" s="23" t="s">
        <v>250</v>
      </c>
      <c r="H2883" s="39">
        <f t="shared" si="180"/>
        <v>6498</v>
      </c>
      <c r="I2883" s="23" t="str">
        <f t="shared" si="181"/>
        <v>Lucknow</v>
      </c>
      <c r="J2883" s="23">
        <f>COUNTIFS(pg_transaction_cleaned!$O:$O,A2883,pg_transaction_cleaned!$F:$F,"CAPTURE")</f>
        <v>1</v>
      </c>
      <c r="K2883" s="39">
        <f>SUMIFS(pg_transaction_cleaned!$H:$H,pg_transaction_cleaned!$O:$O,A2883,pg_transaction_cleaned!$F:$F,"CAPTURE")</f>
        <v>6498</v>
      </c>
      <c r="L2883" s="23">
        <f>COUNTIFS(pg_transaction_cleaned!$O:$O,A2883,pg_transaction_cleaned!$F:$F,"REFUND")</f>
        <v>0</v>
      </c>
      <c r="M2883" s="39">
        <f>SUMIFS(pg_transaction_cleaned!$H:$H,pg_transaction_cleaned!$O:$O,A2883,pg_transaction_cleaned!$F:$F,"REFUND")</f>
        <v>0</v>
      </c>
      <c r="N2883" s="23" t="str">
        <f t="shared" si="182"/>
        <v>OK</v>
      </c>
      <c r="O2883" s="24">
        <f t="shared" si="183"/>
        <v>0</v>
      </c>
    </row>
    <row r="2884" spans="1:15" ht="15" customHeight="1" x14ac:dyDescent="0.3">
      <c r="A2884" s="23" t="s">
        <v>6261</v>
      </c>
      <c r="B2884" s="38">
        <v>46268</v>
      </c>
      <c r="C2884" s="23" t="s">
        <v>6262</v>
      </c>
      <c r="D2884" s="23" t="s">
        <v>91</v>
      </c>
      <c r="E2884" s="23" t="s">
        <v>75</v>
      </c>
      <c r="F2884" s="23" t="s">
        <v>4944</v>
      </c>
      <c r="G2884" s="23" t="s">
        <v>250</v>
      </c>
      <c r="H2884" s="39">
        <f t="shared" si="180"/>
        <v>648</v>
      </c>
      <c r="I2884" s="23" t="str">
        <f t="shared" si="181"/>
        <v>Pune</v>
      </c>
      <c r="J2884" s="23">
        <f>COUNTIFS(pg_transaction_cleaned!$O:$O,A2884,pg_transaction_cleaned!$F:$F,"CAPTURE")</f>
        <v>1</v>
      </c>
      <c r="K2884" s="39">
        <f>SUMIFS(pg_transaction_cleaned!$H:$H,pg_transaction_cleaned!$O:$O,A2884,pg_transaction_cleaned!$F:$F,"CAPTURE")</f>
        <v>648</v>
      </c>
      <c r="L2884" s="23">
        <f>COUNTIFS(pg_transaction_cleaned!$O:$O,A2884,pg_transaction_cleaned!$F:$F,"REFUND")</f>
        <v>0</v>
      </c>
      <c r="M2884" s="39">
        <f>SUMIFS(pg_transaction_cleaned!$H:$H,pg_transaction_cleaned!$O:$O,A2884,pg_transaction_cleaned!$F:$F,"REFUND")</f>
        <v>0</v>
      </c>
      <c r="N2884" s="23" t="str">
        <f t="shared" si="182"/>
        <v>OK</v>
      </c>
      <c r="O2884" s="24">
        <f t="shared" si="183"/>
        <v>0</v>
      </c>
    </row>
    <row r="2885" spans="1:15" ht="15" customHeight="1" x14ac:dyDescent="0.3">
      <c r="A2885" s="23" t="s">
        <v>6263</v>
      </c>
      <c r="B2885" s="38">
        <v>46277</v>
      </c>
      <c r="C2885" s="23" t="s">
        <v>6264</v>
      </c>
      <c r="D2885" s="23" t="s">
        <v>87</v>
      </c>
      <c r="E2885" s="23" t="s">
        <v>75</v>
      </c>
      <c r="F2885" s="23" t="s">
        <v>490</v>
      </c>
      <c r="G2885" s="23" t="s">
        <v>250</v>
      </c>
      <c r="H2885" s="39">
        <f t="shared" si="180"/>
        <v>8798</v>
      </c>
      <c r="I2885" s="23" t="str">
        <f t="shared" si="181"/>
        <v>Mumbai</v>
      </c>
      <c r="J2885" s="23">
        <f>COUNTIFS(pg_transaction_cleaned!$O:$O,A2885,pg_transaction_cleaned!$F:$F,"CAPTURE")</f>
        <v>1</v>
      </c>
      <c r="K2885" s="39">
        <f>SUMIFS(pg_transaction_cleaned!$H:$H,pg_transaction_cleaned!$O:$O,A2885,pg_transaction_cleaned!$F:$F,"CAPTURE")</f>
        <v>8798</v>
      </c>
      <c r="L2885" s="23">
        <f>COUNTIFS(pg_transaction_cleaned!$O:$O,A2885,pg_transaction_cleaned!$F:$F,"REFUND")</f>
        <v>0</v>
      </c>
      <c r="M2885" s="39">
        <f>SUMIFS(pg_transaction_cleaned!$H:$H,pg_transaction_cleaned!$O:$O,A2885,pg_transaction_cleaned!$F:$F,"REFUND")</f>
        <v>0</v>
      </c>
      <c r="N2885" s="23" t="str">
        <f t="shared" si="182"/>
        <v>OK</v>
      </c>
      <c r="O2885" s="24">
        <f t="shared" si="183"/>
        <v>0</v>
      </c>
    </row>
    <row r="2886" spans="1:15" ht="15" customHeight="1" x14ac:dyDescent="0.3">
      <c r="A2886" s="23" t="s">
        <v>6265</v>
      </c>
      <c r="B2886" s="38">
        <v>46266</v>
      </c>
      <c r="C2886" s="23" t="s">
        <v>6266</v>
      </c>
      <c r="D2886" s="23" t="s">
        <v>90</v>
      </c>
      <c r="E2886" s="23" t="s">
        <v>75</v>
      </c>
      <c r="F2886" s="23" t="s">
        <v>352</v>
      </c>
      <c r="G2886" s="23" t="s">
        <v>250</v>
      </c>
      <c r="H2886" s="39">
        <f t="shared" si="180"/>
        <v>648</v>
      </c>
      <c r="I2886" s="23" t="str">
        <f t="shared" si="181"/>
        <v>Ahmedabad</v>
      </c>
      <c r="J2886" s="23">
        <f>COUNTIFS(pg_transaction_cleaned!$O:$O,A2886,pg_transaction_cleaned!$F:$F,"CAPTURE")</f>
        <v>1</v>
      </c>
      <c r="K2886" s="39">
        <f>SUMIFS(pg_transaction_cleaned!$H:$H,pg_transaction_cleaned!$O:$O,A2886,pg_transaction_cleaned!$F:$F,"CAPTURE")</f>
        <v>648</v>
      </c>
      <c r="L2886" s="23">
        <f>COUNTIFS(pg_transaction_cleaned!$O:$O,A2886,pg_transaction_cleaned!$F:$F,"REFUND")</f>
        <v>0</v>
      </c>
      <c r="M2886" s="39">
        <f>SUMIFS(pg_transaction_cleaned!$H:$H,pg_transaction_cleaned!$O:$O,A2886,pg_transaction_cleaned!$F:$F,"REFUND")</f>
        <v>0</v>
      </c>
      <c r="N2886" s="23" t="str">
        <f t="shared" si="182"/>
        <v>OK</v>
      </c>
      <c r="O2886" s="24">
        <f t="shared" si="183"/>
        <v>0</v>
      </c>
    </row>
    <row r="2887" spans="1:15" ht="15" customHeight="1" x14ac:dyDescent="0.3">
      <c r="A2887" s="23" t="s">
        <v>6267</v>
      </c>
      <c r="B2887" s="38">
        <v>46288</v>
      </c>
      <c r="C2887" s="23" t="s">
        <v>6268</v>
      </c>
      <c r="D2887" s="23" t="s">
        <v>88</v>
      </c>
      <c r="E2887" s="23" t="s">
        <v>75</v>
      </c>
      <c r="F2887" s="23" t="s">
        <v>880</v>
      </c>
      <c r="G2887" s="23" t="s">
        <v>250</v>
      </c>
      <c r="H2887" s="39">
        <f t="shared" si="180"/>
        <v>2298</v>
      </c>
      <c r="I2887" s="23" t="str">
        <f t="shared" si="181"/>
        <v>Lucknow</v>
      </c>
      <c r="J2887" s="23">
        <f>COUNTIFS(pg_transaction_cleaned!$O:$O,A2887,pg_transaction_cleaned!$F:$F,"CAPTURE")</f>
        <v>1</v>
      </c>
      <c r="K2887" s="39">
        <f>SUMIFS(pg_transaction_cleaned!$H:$H,pg_transaction_cleaned!$O:$O,A2887,pg_transaction_cleaned!$F:$F,"CAPTURE")</f>
        <v>2298</v>
      </c>
      <c r="L2887" s="23">
        <f>COUNTIFS(pg_transaction_cleaned!$O:$O,A2887,pg_transaction_cleaned!$F:$F,"REFUND")</f>
        <v>0</v>
      </c>
      <c r="M2887" s="39">
        <f>SUMIFS(pg_transaction_cleaned!$H:$H,pg_transaction_cleaned!$O:$O,A2887,pg_transaction_cleaned!$F:$F,"REFUND")</f>
        <v>0</v>
      </c>
      <c r="N2887" s="23" t="str">
        <f t="shared" si="182"/>
        <v>OK</v>
      </c>
      <c r="O2887" s="24">
        <f t="shared" si="183"/>
        <v>0</v>
      </c>
    </row>
    <row r="2888" spans="1:15" ht="15" customHeight="1" x14ac:dyDescent="0.3">
      <c r="A2888" s="23" t="s">
        <v>6269</v>
      </c>
      <c r="B2888" s="38">
        <v>46294</v>
      </c>
      <c r="C2888" s="23" t="s">
        <v>6270</v>
      </c>
      <c r="D2888" s="23" t="s">
        <v>90</v>
      </c>
      <c r="E2888" s="23" t="s">
        <v>77</v>
      </c>
      <c r="F2888" s="23" t="s">
        <v>315</v>
      </c>
      <c r="G2888" s="23" t="s">
        <v>318</v>
      </c>
      <c r="H2888" s="39">
        <f t="shared" si="180"/>
        <v>1499</v>
      </c>
      <c r="I2888" s="23" t="str">
        <f t="shared" si="181"/>
        <v>Ahmedabad</v>
      </c>
      <c r="J2888" s="23">
        <f>COUNTIFS(pg_transaction_cleaned!$O:$O,A2888,pg_transaction_cleaned!$F:$F,"CAPTURE")</f>
        <v>0</v>
      </c>
      <c r="K2888" s="39">
        <f>SUMIFS(pg_transaction_cleaned!$H:$H,pg_transaction_cleaned!$O:$O,A2888,pg_transaction_cleaned!$F:$F,"CAPTURE")</f>
        <v>0</v>
      </c>
      <c r="L2888" s="23">
        <f>COUNTIFS(pg_transaction_cleaned!$O:$O,A2888,pg_transaction_cleaned!$F:$F,"REFUND")</f>
        <v>0</v>
      </c>
      <c r="M2888" s="39">
        <f>SUMIFS(pg_transaction_cleaned!$H:$H,pg_transaction_cleaned!$O:$O,A2888,pg_transaction_cleaned!$F:$F,"REFUND")</f>
        <v>0</v>
      </c>
      <c r="N2888" s="23" t="str">
        <f t="shared" si="182"/>
        <v>OK</v>
      </c>
      <c r="O2888" s="24">
        <f t="shared" si="183"/>
        <v>0</v>
      </c>
    </row>
    <row r="2889" spans="1:15" ht="15" customHeight="1" x14ac:dyDescent="0.3">
      <c r="A2889" s="23" t="s">
        <v>6271</v>
      </c>
      <c r="B2889" s="38">
        <v>46270</v>
      </c>
      <c r="C2889" s="23" t="s">
        <v>6272</v>
      </c>
      <c r="D2889" s="23" t="s">
        <v>91</v>
      </c>
      <c r="E2889" s="23" t="s">
        <v>79</v>
      </c>
      <c r="F2889" s="23" t="s">
        <v>834</v>
      </c>
      <c r="G2889" s="23" t="s">
        <v>250</v>
      </c>
      <c r="H2889" s="39">
        <f t="shared" si="180"/>
        <v>7097</v>
      </c>
      <c r="I2889" s="23" t="str">
        <f t="shared" si="181"/>
        <v>Pune</v>
      </c>
      <c r="J2889" s="23">
        <f>COUNTIFS(pg_transaction_cleaned!$O:$O,A2889,pg_transaction_cleaned!$F:$F,"CAPTURE")</f>
        <v>1</v>
      </c>
      <c r="K2889" s="39">
        <f>SUMIFS(pg_transaction_cleaned!$H:$H,pg_transaction_cleaned!$O:$O,A2889,pg_transaction_cleaned!$F:$F,"CAPTURE")</f>
        <v>7097</v>
      </c>
      <c r="L2889" s="23">
        <f>COUNTIFS(pg_transaction_cleaned!$O:$O,A2889,pg_transaction_cleaned!$F:$F,"REFUND")</f>
        <v>0</v>
      </c>
      <c r="M2889" s="39">
        <f>SUMIFS(pg_transaction_cleaned!$H:$H,pg_transaction_cleaned!$O:$O,A2889,pg_transaction_cleaned!$F:$F,"REFUND")</f>
        <v>0</v>
      </c>
      <c r="N2889" s="23" t="str">
        <f t="shared" si="182"/>
        <v>OK</v>
      </c>
      <c r="O2889" s="24">
        <f t="shared" si="183"/>
        <v>0</v>
      </c>
    </row>
    <row r="2890" spans="1:15" ht="15" customHeight="1" x14ac:dyDescent="0.3">
      <c r="A2890" s="23" t="s">
        <v>6273</v>
      </c>
      <c r="B2890" s="38">
        <v>46270</v>
      </c>
      <c r="C2890" s="23" t="s">
        <v>6274</v>
      </c>
      <c r="D2890" s="23" t="s">
        <v>94</v>
      </c>
      <c r="E2890" s="23" t="s">
        <v>75</v>
      </c>
      <c r="F2890" s="23" t="s">
        <v>5496</v>
      </c>
      <c r="G2890" s="23" t="s">
        <v>250</v>
      </c>
      <c r="H2890" s="39">
        <f t="shared" si="180"/>
        <v>1147</v>
      </c>
      <c r="I2890" s="23" t="str">
        <f t="shared" si="181"/>
        <v>Chennai</v>
      </c>
      <c r="J2890" s="23">
        <f>COUNTIFS(pg_transaction_cleaned!$O:$O,A2890,pg_transaction_cleaned!$F:$F,"CAPTURE")</f>
        <v>1</v>
      </c>
      <c r="K2890" s="39">
        <f>SUMIFS(pg_transaction_cleaned!$H:$H,pg_transaction_cleaned!$O:$O,A2890,pg_transaction_cleaned!$F:$F,"CAPTURE")</f>
        <v>1147</v>
      </c>
      <c r="L2890" s="23">
        <f>COUNTIFS(pg_transaction_cleaned!$O:$O,A2890,pg_transaction_cleaned!$F:$F,"REFUND")</f>
        <v>0</v>
      </c>
      <c r="M2890" s="39">
        <f>SUMIFS(pg_transaction_cleaned!$H:$H,pg_transaction_cleaned!$O:$O,A2890,pg_transaction_cleaned!$F:$F,"REFUND")</f>
        <v>0</v>
      </c>
      <c r="N2890" s="23" t="str">
        <f t="shared" si="182"/>
        <v>OK</v>
      </c>
      <c r="O2890" s="24">
        <f t="shared" si="183"/>
        <v>0</v>
      </c>
    </row>
    <row r="2891" spans="1:15" ht="15" customHeight="1" x14ac:dyDescent="0.3">
      <c r="A2891" s="23" t="s">
        <v>6275</v>
      </c>
      <c r="B2891" s="38">
        <v>46273</v>
      </c>
      <c r="C2891" s="23" t="s">
        <v>6276</v>
      </c>
      <c r="D2891" s="23" t="s">
        <v>87</v>
      </c>
      <c r="E2891" s="23" t="s">
        <v>75</v>
      </c>
      <c r="F2891" s="23" t="s">
        <v>346</v>
      </c>
      <c r="G2891" s="23" t="s">
        <v>250</v>
      </c>
      <c r="H2891" s="39">
        <f t="shared" si="180"/>
        <v>4498</v>
      </c>
      <c r="I2891" s="23" t="str">
        <f t="shared" si="181"/>
        <v>Mumbai</v>
      </c>
      <c r="J2891" s="23">
        <f>COUNTIFS(pg_transaction_cleaned!$O:$O,A2891,pg_transaction_cleaned!$F:$F,"CAPTURE")</f>
        <v>1</v>
      </c>
      <c r="K2891" s="39">
        <f>SUMIFS(pg_transaction_cleaned!$H:$H,pg_transaction_cleaned!$O:$O,A2891,pg_transaction_cleaned!$F:$F,"CAPTURE")</f>
        <v>4498</v>
      </c>
      <c r="L2891" s="23">
        <f>COUNTIFS(pg_transaction_cleaned!$O:$O,A2891,pg_transaction_cleaned!$F:$F,"REFUND")</f>
        <v>0</v>
      </c>
      <c r="M2891" s="39">
        <f>SUMIFS(pg_transaction_cleaned!$H:$H,pg_transaction_cleaned!$O:$O,A2891,pg_transaction_cleaned!$F:$F,"REFUND")</f>
        <v>0</v>
      </c>
      <c r="N2891" s="23" t="str">
        <f t="shared" si="182"/>
        <v>OK</v>
      </c>
      <c r="O2891" s="24">
        <f t="shared" si="183"/>
        <v>0</v>
      </c>
    </row>
    <row r="2892" spans="1:15" ht="15" customHeight="1" x14ac:dyDescent="0.3">
      <c r="A2892" s="23" t="s">
        <v>6277</v>
      </c>
      <c r="B2892" s="38">
        <v>46280</v>
      </c>
      <c r="C2892" s="23" t="s">
        <v>6278</v>
      </c>
      <c r="D2892" s="23" t="s">
        <v>89</v>
      </c>
      <c r="E2892" s="23" t="s">
        <v>75</v>
      </c>
      <c r="F2892" s="23" t="s">
        <v>622</v>
      </c>
      <c r="G2892" s="23" t="s">
        <v>250</v>
      </c>
      <c r="H2892" s="39">
        <f t="shared" si="180"/>
        <v>8998</v>
      </c>
      <c r="I2892" s="23" t="str">
        <f t="shared" si="181"/>
        <v>Jaipur</v>
      </c>
      <c r="J2892" s="23">
        <f>COUNTIFS(pg_transaction_cleaned!$O:$O,A2892,pg_transaction_cleaned!$F:$F,"CAPTURE")</f>
        <v>1</v>
      </c>
      <c r="K2892" s="39">
        <f>SUMIFS(pg_transaction_cleaned!$H:$H,pg_transaction_cleaned!$O:$O,A2892,pg_transaction_cleaned!$F:$F,"CAPTURE")</f>
        <v>8998</v>
      </c>
      <c r="L2892" s="23">
        <f>COUNTIFS(pg_transaction_cleaned!$O:$O,A2892,pg_transaction_cleaned!$F:$F,"REFUND")</f>
        <v>0</v>
      </c>
      <c r="M2892" s="39">
        <f>SUMIFS(pg_transaction_cleaned!$H:$H,pg_transaction_cleaned!$O:$O,A2892,pg_transaction_cleaned!$F:$F,"REFUND")</f>
        <v>0</v>
      </c>
      <c r="N2892" s="23" t="str">
        <f t="shared" si="182"/>
        <v>OK</v>
      </c>
      <c r="O2892" s="24">
        <f t="shared" si="183"/>
        <v>0</v>
      </c>
    </row>
    <row r="2893" spans="1:15" ht="15" customHeight="1" x14ac:dyDescent="0.3">
      <c r="A2893" s="23" t="s">
        <v>6279</v>
      </c>
      <c r="B2893" s="38">
        <v>46271</v>
      </c>
      <c r="C2893" s="23" t="s">
        <v>4761</v>
      </c>
      <c r="D2893" s="23" t="s">
        <v>89</v>
      </c>
      <c r="E2893" s="23" t="s">
        <v>79</v>
      </c>
      <c r="F2893" s="23" t="s">
        <v>262</v>
      </c>
      <c r="G2893" s="23" t="s">
        <v>250</v>
      </c>
      <c r="H2893" s="39">
        <f t="shared" si="180"/>
        <v>499</v>
      </c>
      <c r="I2893" s="23" t="str">
        <f t="shared" si="181"/>
        <v>Jaipur</v>
      </c>
      <c r="J2893" s="23">
        <f>COUNTIFS(pg_transaction_cleaned!$O:$O,A2893,pg_transaction_cleaned!$F:$F,"CAPTURE")</f>
        <v>1</v>
      </c>
      <c r="K2893" s="39">
        <f>SUMIFS(pg_transaction_cleaned!$H:$H,pg_transaction_cleaned!$O:$O,A2893,pg_transaction_cleaned!$F:$F,"CAPTURE")</f>
        <v>499</v>
      </c>
      <c r="L2893" s="23">
        <f>COUNTIFS(pg_transaction_cleaned!$O:$O,A2893,pg_transaction_cleaned!$F:$F,"REFUND")</f>
        <v>0</v>
      </c>
      <c r="M2893" s="39">
        <f>SUMIFS(pg_transaction_cleaned!$H:$H,pg_transaction_cleaned!$O:$O,A2893,pg_transaction_cleaned!$F:$F,"REFUND")</f>
        <v>0</v>
      </c>
      <c r="N2893" s="23" t="str">
        <f t="shared" si="182"/>
        <v>OK</v>
      </c>
      <c r="O2893" s="24">
        <f t="shared" si="183"/>
        <v>0</v>
      </c>
    </row>
    <row r="2894" spans="1:15" ht="15" customHeight="1" x14ac:dyDescent="0.3">
      <c r="A2894" s="23" t="s">
        <v>6280</v>
      </c>
      <c r="B2894" s="38">
        <v>46276</v>
      </c>
      <c r="C2894" s="23" t="s">
        <v>6281</v>
      </c>
      <c r="D2894" s="23" t="s">
        <v>87</v>
      </c>
      <c r="E2894" s="23" t="s">
        <v>77</v>
      </c>
      <c r="F2894" s="23" t="s">
        <v>265</v>
      </c>
      <c r="G2894" s="23" t="s">
        <v>250</v>
      </c>
      <c r="H2894" s="39">
        <f t="shared" si="180"/>
        <v>999</v>
      </c>
      <c r="I2894" s="23" t="str">
        <f t="shared" si="181"/>
        <v>Mumbai</v>
      </c>
      <c r="J2894" s="23">
        <f>COUNTIFS(pg_transaction_cleaned!$O:$O,A2894,pg_transaction_cleaned!$F:$F,"CAPTURE")</f>
        <v>1</v>
      </c>
      <c r="K2894" s="39">
        <f>SUMIFS(pg_transaction_cleaned!$H:$H,pg_transaction_cleaned!$O:$O,A2894,pg_transaction_cleaned!$F:$F,"CAPTURE")</f>
        <v>999</v>
      </c>
      <c r="L2894" s="23">
        <f>COUNTIFS(pg_transaction_cleaned!$O:$O,A2894,pg_transaction_cleaned!$F:$F,"REFUND")</f>
        <v>0</v>
      </c>
      <c r="M2894" s="39">
        <f>SUMIFS(pg_transaction_cleaned!$H:$H,pg_transaction_cleaned!$O:$O,A2894,pg_transaction_cleaned!$F:$F,"REFUND")</f>
        <v>0</v>
      </c>
      <c r="N2894" s="23" t="str">
        <f t="shared" si="182"/>
        <v>OK</v>
      </c>
      <c r="O2894" s="24">
        <f t="shared" si="183"/>
        <v>0</v>
      </c>
    </row>
    <row r="2895" spans="1:15" ht="15" customHeight="1" x14ac:dyDescent="0.3">
      <c r="A2895" s="23" t="s">
        <v>6282</v>
      </c>
      <c r="B2895" s="38">
        <v>46267</v>
      </c>
      <c r="C2895" s="23" t="s">
        <v>6283</v>
      </c>
      <c r="D2895" s="23" t="s">
        <v>94</v>
      </c>
      <c r="E2895" s="23" t="s">
        <v>75</v>
      </c>
      <c r="F2895" s="23" t="s">
        <v>1391</v>
      </c>
      <c r="G2895" s="23" t="s">
        <v>250</v>
      </c>
      <c r="H2895" s="39">
        <f t="shared" si="180"/>
        <v>2897</v>
      </c>
      <c r="I2895" s="23" t="str">
        <f t="shared" si="181"/>
        <v>Chennai</v>
      </c>
      <c r="J2895" s="23">
        <f>COUNTIFS(pg_transaction_cleaned!$O:$O,A2895,pg_transaction_cleaned!$F:$F,"CAPTURE")</f>
        <v>1</v>
      </c>
      <c r="K2895" s="39">
        <f>SUMIFS(pg_transaction_cleaned!$H:$H,pg_transaction_cleaned!$O:$O,A2895,pg_transaction_cleaned!$F:$F,"CAPTURE")</f>
        <v>2897</v>
      </c>
      <c r="L2895" s="23">
        <f>COUNTIFS(pg_transaction_cleaned!$O:$O,A2895,pg_transaction_cleaned!$F:$F,"REFUND")</f>
        <v>0</v>
      </c>
      <c r="M2895" s="39">
        <f>SUMIFS(pg_transaction_cleaned!$H:$H,pg_transaction_cleaned!$O:$O,A2895,pg_transaction_cleaned!$F:$F,"REFUND")</f>
        <v>0</v>
      </c>
      <c r="N2895" s="23" t="str">
        <f t="shared" si="182"/>
        <v>OK</v>
      </c>
      <c r="O2895" s="24">
        <f t="shared" si="183"/>
        <v>0</v>
      </c>
    </row>
    <row r="2896" spans="1:15" ht="15" customHeight="1" x14ac:dyDescent="0.3">
      <c r="A2896" s="23" t="s">
        <v>6284</v>
      </c>
      <c r="B2896" s="38">
        <v>46289</v>
      </c>
      <c r="C2896" s="23" t="s">
        <v>6285</v>
      </c>
      <c r="D2896" s="23" t="s">
        <v>86</v>
      </c>
      <c r="E2896" s="23" t="s">
        <v>77</v>
      </c>
      <c r="F2896" s="23" t="s">
        <v>310</v>
      </c>
      <c r="G2896" s="23" t="s">
        <v>250</v>
      </c>
      <c r="H2896" s="39">
        <f t="shared" si="180"/>
        <v>7999</v>
      </c>
      <c r="I2896" s="23" t="str">
        <f t="shared" si="181"/>
        <v>Delhi</v>
      </c>
      <c r="J2896" s="23">
        <f>COUNTIFS(pg_transaction_cleaned!$O:$O,A2896,pg_transaction_cleaned!$F:$F,"CAPTURE")</f>
        <v>1</v>
      </c>
      <c r="K2896" s="39">
        <f>SUMIFS(pg_transaction_cleaned!$H:$H,pg_transaction_cleaned!$O:$O,A2896,pg_transaction_cleaned!$F:$F,"CAPTURE")</f>
        <v>7999</v>
      </c>
      <c r="L2896" s="23">
        <f>COUNTIFS(pg_transaction_cleaned!$O:$O,A2896,pg_transaction_cleaned!$F:$F,"REFUND")</f>
        <v>0</v>
      </c>
      <c r="M2896" s="39">
        <f>SUMIFS(pg_transaction_cleaned!$H:$H,pg_transaction_cleaned!$O:$O,A2896,pg_transaction_cleaned!$F:$F,"REFUND")</f>
        <v>0</v>
      </c>
      <c r="N2896" s="23" t="str">
        <f t="shared" si="182"/>
        <v>OK</v>
      </c>
      <c r="O2896" s="24">
        <f t="shared" si="183"/>
        <v>0</v>
      </c>
    </row>
    <row r="2897" spans="1:15" ht="15" customHeight="1" x14ac:dyDescent="0.3">
      <c r="A2897" s="23" t="s">
        <v>6286</v>
      </c>
      <c r="B2897" s="38">
        <v>46272</v>
      </c>
      <c r="C2897" s="23" t="s">
        <v>6287</v>
      </c>
      <c r="D2897" s="23" t="s">
        <v>88</v>
      </c>
      <c r="E2897" s="23" t="s">
        <v>75</v>
      </c>
      <c r="F2897" s="23" t="s">
        <v>291</v>
      </c>
      <c r="G2897" s="23" t="s">
        <v>301</v>
      </c>
      <c r="H2897" s="39">
        <f t="shared" si="180"/>
        <v>3499</v>
      </c>
      <c r="I2897" s="23" t="str">
        <f t="shared" si="181"/>
        <v>Lucknow</v>
      </c>
      <c r="J2897" s="23">
        <f>COUNTIFS(pg_transaction_cleaned!$O:$O,A2897,pg_transaction_cleaned!$F:$F,"CAPTURE")</f>
        <v>1</v>
      </c>
      <c r="K2897" s="39">
        <f>SUMIFS(pg_transaction_cleaned!$H:$H,pg_transaction_cleaned!$O:$O,A2897,pg_transaction_cleaned!$F:$F,"CAPTURE")</f>
        <v>3499</v>
      </c>
      <c r="L2897" s="23">
        <f>COUNTIFS(pg_transaction_cleaned!$O:$O,A2897,pg_transaction_cleaned!$F:$F,"REFUND")</f>
        <v>1</v>
      </c>
      <c r="M2897" s="39">
        <f>SUMIFS(pg_transaction_cleaned!$H:$H,pg_transaction_cleaned!$O:$O,A2897,pg_transaction_cleaned!$F:$F,"REFUND")</f>
        <v>3499</v>
      </c>
      <c r="N2897" s="23" t="str">
        <f t="shared" si="182"/>
        <v>OK</v>
      </c>
      <c r="O2897" s="24">
        <f t="shared" si="183"/>
        <v>0</v>
      </c>
    </row>
    <row r="2898" spans="1:15" ht="15" customHeight="1" x14ac:dyDescent="0.3">
      <c r="A2898" s="23" t="s">
        <v>6288</v>
      </c>
      <c r="B2898" s="38">
        <v>46290</v>
      </c>
      <c r="C2898" s="23" t="s">
        <v>6289</v>
      </c>
      <c r="D2898" s="23"/>
      <c r="E2898" s="23" t="s">
        <v>79</v>
      </c>
      <c r="F2898" s="23" t="s">
        <v>787</v>
      </c>
      <c r="G2898" s="23" t="s">
        <v>318</v>
      </c>
      <c r="H2898" s="39">
        <f t="shared" si="180"/>
        <v>7997</v>
      </c>
      <c r="I2898" s="23" t="str">
        <f t="shared" si="181"/>
        <v>Unknown</v>
      </c>
      <c r="J2898" s="23">
        <f>COUNTIFS(pg_transaction_cleaned!$O:$O,A2898,pg_transaction_cleaned!$F:$F,"CAPTURE")</f>
        <v>0</v>
      </c>
      <c r="K2898" s="39">
        <f>SUMIFS(pg_transaction_cleaned!$H:$H,pg_transaction_cleaned!$O:$O,A2898,pg_transaction_cleaned!$F:$F,"CAPTURE")</f>
        <v>0</v>
      </c>
      <c r="L2898" s="23">
        <f>COUNTIFS(pg_transaction_cleaned!$O:$O,A2898,pg_transaction_cleaned!$F:$F,"REFUND")</f>
        <v>0</v>
      </c>
      <c r="M2898" s="39">
        <f>SUMIFS(pg_transaction_cleaned!$H:$H,pg_transaction_cleaned!$O:$O,A2898,pg_transaction_cleaned!$F:$F,"REFUND")</f>
        <v>0</v>
      </c>
      <c r="N2898" s="23" t="str">
        <f t="shared" si="182"/>
        <v>OK</v>
      </c>
      <c r="O2898" s="24">
        <f t="shared" si="183"/>
        <v>0</v>
      </c>
    </row>
    <row r="2899" spans="1:15" ht="15" customHeight="1" x14ac:dyDescent="0.3">
      <c r="A2899" s="23" t="s">
        <v>6290</v>
      </c>
      <c r="B2899" s="38">
        <v>46280</v>
      </c>
      <c r="C2899" s="23" t="s">
        <v>6291</v>
      </c>
      <c r="D2899" s="23"/>
      <c r="E2899" s="23" t="s">
        <v>75</v>
      </c>
      <c r="F2899" s="23" t="s">
        <v>598</v>
      </c>
      <c r="G2899" s="23" t="s">
        <v>250</v>
      </c>
      <c r="H2899" s="39">
        <f t="shared" si="180"/>
        <v>5598</v>
      </c>
      <c r="I2899" s="23" t="str">
        <f t="shared" si="181"/>
        <v>Unknown</v>
      </c>
      <c r="J2899" s="23">
        <f>COUNTIFS(pg_transaction_cleaned!$O:$O,A2899,pg_transaction_cleaned!$F:$F,"CAPTURE")</f>
        <v>1</v>
      </c>
      <c r="K2899" s="39">
        <f>SUMIFS(pg_transaction_cleaned!$H:$H,pg_transaction_cleaned!$O:$O,A2899,pg_transaction_cleaned!$F:$F,"CAPTURE")</f>
        <v>5598</v>
      </c>
      <c r="L2899" s="23">
        <f>COUNTIFS(pg_transaction_cleaned!$O:$O,A2899,pg_transaction_cleaned!$F:$F,"REFUND")</f>
        <v>0</v>
      </c>
      <c r="M2899" s="39">
        <f>SUMIFS(pg_transaction_cleaned!$H:$H,pg_transaction_cleaned!$O:$O,A2899,pg_transaction_cleaned!$F:$F,"REFUND")</f>
        <v>0</v>
      </c>
      <c r="N2899" s="23" t="str">
        <f t="shared" si="182"/>
        <v>OK</v>
      </c>
      <c r="O2899" s="24">
        <f t="shared" si="183"/>
        <v>0</v>
      </c>
    </row>
    <row r="2900" spans="1:15" ht="15" customHeight="1" x14ac:dyDescent="0.3">
      <c r="A2900" s="23" t="s">
        <v>6292</v>
      </c>
      <c r="B2900" s="38">
        <v>46281</v>
      </c>
      <c r="C2900" s="23" t="s">
        <v>6293</v>
      </c>
      <c r="D2900" s="23" t="s">
        <v>93</v>
      </c>
      <c r="E2900" s="23" t="s">
        <v>81</v>
      </c>
      <c r="F2900" s="23" t="s">
        <v>249</v>
      </c>
      <c r="G2900" s="23" t="s">
        <v>250</v>
      </c>
      <c r="H2900" s="39">
        <f t="shared" si="180"/>
        <v>299</v>
      </c>
      <c r="I2900" s="23" t="str">
        <f t="shared" si="181"/>
        <v>Kolkata</v>
      </c>
      <c r="J2900" s="23">
        <f>COUNTIFS(pg_transaction_cleaned!$O:$O,A2900,pg_transaction_cleaned!$F:$F,"CAPTURE")</f>
        <v>1</v>
      </c>
      <c r="K2900" s="39">
        <f>SUMIFS(pg_transaction_cleaned!$H:$H,pg_transaction_cleaned!$O:$O,A2900,pg_transaction_cleaned!$F:$F,"CAPTURE")</f>
        <v>299</v>
      </c>
      <c r="L2900" s="23">
        <f>COUNTIFS(pg_transaction_cleaned!$O:$O,A2900,pg_transaction_cleaned!$F:$F,"REFUND")</f>
        <v>0</v>
      </c>
      <c r="M2900" s="39">
        <f>SUMIFS(pg_transaction_cleaned!$H:$H,pg_transaction_cleaned!$O:$O,A2900,pg_transaction_cleaned!$F:$F,"REFUND")</f>
        <v>0</v>
      </c>
      <c r="N2900" s="23" t="str">
        <f t="shared" si="182"/>
        <v>OK</v>
      </c>
      <c r="O2900" s="24">
        <f t="shared" si="183"/>
        <v>0</v>
      </c>
    </row>
    <row r="2901" spans="1:15" ht="15" customHeight="1" x14ac:dyDescent="0.3">
      <c r="A2901" s="23" t="s">
        <v>6294</v>
      </c>
      <c r="B2901" s="38">
        <v>46287</v>
      </c>
      <c r="C2901" s="23" t="s">
        <v>6295</v>
      </c>
      <c r="D2901" s="23" t="s">
        <v>89</v>
      </c>
      <c r="E2901" s="23" t="s">
        <v>75</v>
      </c>
      <c r="F2901" s="23" t="s">
        <v>310</v>
      </c>
      <c r="G2901" s="23" t="s">
        <v>250</v>
      </c>
      <c r="H2901" s="39">
        <f t="shared" si="180"/>
        <v>7999</v>
      </c>
      <c r="I2901" s="23" t="str">
        <f t="shared" si="181"/>
        <v>Jaipur</v>
      </c>
      <c r="J2901" s="23">
        <f>COUNTIFS(pg_transaction_cleaned!$O:$O,A2901,pg_transaction_cleaned!$F:$F,"CAPTURE")</f>
        <v>1</v>
      </c>
      <c r="K2901" s="39">
        <f>SUMIFS(pg_transaction_cleaned!$H:$H,pg_transaction_cleaned!$O:$O,A2901,pg_transaction_cleaned!$F:$F,"CAPTURE")</f>
        <v>7999</v>
      </c>
      <c r="L2901" s="23">
        <f>COUNTIFS(pg_transaction_cleaned!$O:$O,A2901,pg_transaction_cleaned!$F:$F,"REFUND")</f>
        <v>0</v>
      </c>
      <c r="M2901" s="39">
        <f>SUMIFS(pg_transaction_cleaned!$H:$H,pg_transaction_cleaned!$O:$O,A2901,pg_transaction_cleaned!$F:$F,"REFUND")</f>
        <v>0</v>
      </c>
      <c r="N2901" s="23" t="str">
        <f t="shared" si="182"/>
        <v>OK</v>
      </c>
      <c r="O2901" s="24">
        <f t="shared" si="183"/>
        <v>0</v>
      </c>
    </row>
    <row r="2902" spans="1:15" ht="15" customHeight="1" x14ac:dyDescent="0.3">
      <c r="A2902" s="23" t="s">
        <v>6296</v>
      </c>
      <c r="B2902" s="38">
        <v>46267</v>
      </c>
      <c r="C2902" s="23" t="s">
        <v>6297</v>
      </c>
      <c r="D2902" s="23" t="s">
        <v>92</v>
      </c>
      <c r="E2902" s="23" t="s">
        <v>77</v>
      </c>
      <c r="F2902" s="23" t="s">
        <v>271</v>
      </c>
      <c r="G2902" s="23" t="s">
        <v>250</v>
      </c>
      <c r="H2902" s="39">
        <f t="shared" si="180"/>
        <v>2499</v>
      </c>
      <c r="I2902" s="23" t="str">
        <f t="shared" si="181"/>
        <v>Hyderabad</v>
      </c>
      <c r="J2902" s="23">
        <f>COUNTIFS(pg_transaction_cleaned!$O:$O,A2902,pg_transaction_cleaned!$F:$F,"CAPTURE")</f>
        <v>1</v>
      </c>
      <c r="K2902" s="39">
        <f>SUMIFS(pg_transaction_cleaned!$H:$H,pg_transaction_cleaned!$O:$O,A2902,pg_transaction_cleaned!$F:$F,"CAPTURE")</f>
        <v>2499</v>
      </c>
      <c r="L2902" s="23">
        <f>COUNTIFS(pg_transaction_cleaned!$O:$O,A2902,pg_transaction_cleaned!$F:$F,"REFUND")</f>
        <v>0</v>
      </c>
      <c r="M2902" s="39">
        <f>SUMIFS(pg_transaction_cleaned!$H:$H,pg_transaction_cleaned!$O:$O,A2902,pg_transaction_cleaned!$F:$F,"REFUND")</f>
        <v>0</v>
      </c>
      <c r="N2902" s="23" t="str">
        <f t="shared" si="182"/>
        <v>OK</v>
      </c>
      <c r="O2902" s="24">
        <f t="shared" si="183"/>
        <v>0</v>
      </c>
    </row>
    <row r="2903" spans="1:15" ht="15" customHeight="1" x14ac:dyDescent="0.3">
      <c r="A2903" s="23" t="s">
        <v>6298</v>
      </c>
      <c r="B2903" s="38">
        <v>46276</v>
      </c>
      <c r="C2903" s="23" t="s">
        <v>6299</v>
      </c>
      <c r="D2903" s="23" t="s">
        <v>94</v>
      </c>
      <c r="E2903" s="23" t="s">
        <v>77</v>
      </c>
      <c r="F2903" s="23" t="s">
        <v>1103</v>
      </c>
      <c r="G2903" s="23" t="s">
        <v>250</v>
      </c>
      <c r="H2903" s="39">
        <f t="shared" si="180"/>
        <v>3897</v>
      </c>
      <c r="I2903" s="23" t="str">
        <f t="shared" si="181"/>
        <v>Chennai</v>
      </c>
      <c r="J2903" s="23">
        <f>COUNTIFS(pg_transaction_cleaned!$O:$O,A2903,pg_transaction_cleaned!$F:$F,"CAPTURE")</f>
        <v>1</v>
      </c>
      <c r="K2903" s="39">
        <f>SUMIFS(pg_transaction_cleaned!$H:$H,pg_transaction_cleaned!$O:$O,A2903,pg_transaction_cleaned!$F:$F,"CAPTURE")</f>
        <v>3897</v>
      </c>
      <c r="L2903" s="23">
        <f>COUNTIFS(pg_transaction_cleaned!$O:$O,A2903,pg_transaction_cleaned!$F:$F,"REFUND")</f>
        <v>0</v>
      </c>
      <c r="M2903" s="39">
        <f>SUMIFS(pg_transaction_cleaned!$H:$H,pg_transaction_cleaned!$O:$O,A2903,pg_transaction_cleaned!$F:$F,"REFUND")</f>
        <v>0</v>
      </c>
      <c r="N2903" s="23" t="str">
        <f t="shared" si="182"/>
        <v>OK</v>
      </c>
      <c r="O2903" s="24">
        <f t="shared" si="183"/>
        <v>0</v>
      </c>
    </row>
    <row r="2904" spans="1:15" ht="15" customHeight="1" x14ac:dyDescent="0.3">
      <c r="A2904" s="23" t="s">
        <v>6300</v>
      </c>
      <c r="B2904" s="38">
        <v>46289</v>
      </c>
      <c r="C2904" s="23" t="s">
        <v>6301</v>
      </c>
      <c r="D2904" s="23" t="s">
        <v>94</v>
      </c>
      <c r="E2904" s="23" t="s">
        <v>79</v>
      </c>
      <c r="F2904" s="23" t="s">
        <v>737</v>
      </c>
      <c r="G2904" s="23" t="s">
        <v>250</v>
      </c>
      <c r="H2904" s="39">
        <f t="shared" si="180"/>
        <v>9798</v>
      </c>
      <c r="I2904" s="23" t="str">
        <f t="shared" si="181"/>
        <v>Chennai</v>
      </c>
      <c r="J2904" s="23">
        <f>COUNTIFS(pg_transaction_cleaned!$O:$O,A2904,pg_transaction_cleaned!$F:$F,"CAPTURE")</f>
        <v>1</v>
      </c>
      <c r="K2904" s="39">
        <f>SUMIFS(pg_transaction_cleaned!$H:$H,pg_transaction_cleaned!$O:$O,A2904,pg_transaction_cleaned!$F:$F,"CAPTURE")</f>
        <v>9798</v>
      </c>
      <c r="L2904" s="23">
        <f>COUNTIFS(pg_transaction_cleaned!$O:$O,A2904,pg_transaction_cleaned!$F:$F,"REFUND")</f>
        <v>0</v>
      </c>
      <c r="M2904" s="39">
        <f>SUMIFS(pg_transaction_cleaned!$H:$H,pg_transaction_cleaned!$O:$O,A2904,pg_transaction_cleaned!$F:$F,"REFUND")</f>
        <v>0</v>
      </c>
      <c r="N2904" s="23" t="str">
        <f t="shared" si="182"/>
        <v>OK</v>
      </c>
      <c r="O2904" s="24">
        <f t="shared" si="183"/>
        <v>0</v>
      </c>
    </row>
    <row r="2905" spans="1:15" ht="15" customHeight="1" x14ac:dyDescent="0.3">
      <c r="A2905" s="23" t="s">
        <v>6302</v>
      </c>
      <c r="B2905" s="38">
        <v>46293</v>
      </c>
      <c r="C2905" s="23" t="s">
        <v>6303</v>
      </c>
      <c r="D2905" s="23" t="s">
        <v>91</v>
      </c>
      <c r="E2905" s="23" t="s">
        <v>81</v>
      </c>
      <c r="F2905" s="23" t="s">
        <v>475</v>
      </c>
      <c r="G2905" s="23" t="s">
        <v>250</v>
      </c>
      <c r="H2905" s="39">
        <f t="shared" si="180"/>
        <v>799</v>
      </c>
      <c r="I2905" s="23" t="str">
        <f t="shared" si="181"/>
        <v>Pune</v>
      </c>
      <c r="J2905" s="23">
        <f>COUNTIFS(pg_transaction_cleaned!$O:$O,A2905,pg_transaction_cleaned!$F:$F,"CAPTURE")</f>
        <v>1</v>
      </c>
      <c r="K2905" s="39">
        <f>SUMIFS(pg_transaction_cleaned!$H:$H,pg_transaction_cleaned!$O:$O,A2905,pg_transaction_cleaned!$F:$F,"CAPTURE")</f>
        <v>799</v>
      </c>
      <c r="L2905" s="23">
        <f>COUNTIFS(pg_transaction_cleaned!$O:$O,A2905,pg_transaction_cleaned!$F:$F,"REFUND")</f>
        <v>0</v>
      </c>
      <c r="M2905" s="39">
        <f>SUMIFS(pg_transaction_cleaned!$H:$H,pg_transaction_cleaned!$O:$O,A2905,pg_transaction_cleaned!$F:$F,"REFUND")</f>
        <v>0</v>
      </c>
      <c r="N2905" s="23" t="str">
        <f t="shared" si="182"/>
        <v>OK</v>
      </c>
      <c r="O2905" s="24">
        <f t="shared" si="183"/>
        <v>0</v>
      </c>
    </row>
    <row r="2906" spans="1:15" ht="15" customHeight="1" x14ac:dyDescent="0.3">
      <c r="A2906" s="23" t="s">
        <v>6304</v>
      </c>
      <c r="B2906" s="38">
        <v>46282</v>
      </c>
      <c r="C2906" s="23" t="s">
        <v>6305</v>
      </c>
      <c r="D2906" s="23" t="s">
        <v>92</v>
      </c>
      <c r="E2906" s="23" t="s">
        <v>75</v>
      </c>
      <c r="F2906" s="23" t="s">
        <v>291</v>
      </c>
      <c r="G2906" s="23" t="s">
        <v>250</v>
      </c>
      <c r="H2906" s="39">
        <f t="shared" si="180"/>
        <v>3499</v>
      </c>
      <c r="I2906" s="23" t="str">
        <f t="shared" si="181"/>
        <v>Hyderabad</v>
      </c>
      <c r="J2906" s="23">
        <f>COUNTIFS(pg_transaction_cleaned!$O:$O,A2906,pg_transaction_cleaned!$F:$F,"CAPTURE")</f>
        <v>1</v>
      </c>
      <c r="K2906" s="39">
        <f>SUMIFS(pg_transaction_cleaned!$H:$H,pg_transaction_cleaned!$O:$O,A2906,pg_transaction_cleaned!$F:$F,"CAPTURE")</f>
        <v>3499</v>
      </c>
      <c r="L2906" s="23">
        <f>COUNTIFS(pg_transaction_cleaned!$O:$O,A2906,pg_transaction_cleaned!$F:$F,"REFUND")</f>
        <v>0</v>
      </c>
      <c r="M2906" s="39">
        <f>SUMIFS(pg_transaction_cleaned!$H:$H,pg_transaction_cleaned!$O:$O,A2906,pg_transaction_cleaned!$F:$F,"REFUND")</f>
        <v>0</v>
      </c>
      <c r="N2906" s="23" t="str">
        <f t="shared" si="182"/>
        <v>OK</v>
      </c>
      <c r="O2906" s="24">
        <f t="shared" si="183"/>
        <v>0</v>
      </c>
    </row>
    <row r="2907" spans="1:15" ht="15" customHeight="1" x14ac:dyDescent="0.3">
      <c r="A2907" s="23" t="s">
        <v>6306</v>
      </c>
      <c r="B2907" s="38">
        <v>46282</v>
      </c>
      <c r="C2907" s="23" t="s">
        <v>6307</v>
      </c>
      <c r="D2907" s="23" t="s">
        <v>92</v>
      </c>
      <c r="E2907" s="23" t="s">
        <v>77</v>
      </c>
      <c r="F2907" s="23" t="s">
        <v>310</v>
      </c>
      <c r="G2907" s="23" t="s">
        <v>250</v>
      </c>
      <c r="H2907" s="39">
        <f t="shared" si="180"/>
        <v>7999</v>
      </c>
      <c r="I2907" s="23" t="str">
        <f t="shared" si="181"/>
        <v>Hyderabad</v>
      </c>
      <c r="J2907" s="23">
        <f>COUNTIFS(pg_transaction_cleaned!$O:$O,A2907,pg_transaction_cleaned!$F:$F,"CAPTURE")</f>
        <v>1</v>
      </c>
      <c r="K2907" s="39">
        <f>SUMIFS(pg_transaction_cleaned!$H:$H,pg_transaction_cleaned!$O:$O,A2907,pg_transaction_cleaned!$F:$F,"CAPTURE")</f>
        <v>7999</v>
      </c>
      <c r="L2907" s="23">
        <f>COUNTIFS(pg_transaction_cleaned!$O:$O,A2907,pg_transaction_cleaned!$F:$F,"REFUND")</f>
        <v>0</v>
      </c>
      <c r="M2907" s="39">
        <f>SUMIFS(pg_transaction_cleaned!$H:$H,pg_transaction_cleaned!$O:$O,A2907,pg_transaction_cleaned!$F:$F,"REFUND")</f>
        <v>0</v>
      </c>
      <c r="N2907" s="23" t="str">
        <f t="shared" si="182"/>
        <v>OK</v>
      </c>
      <c r="O2907" s="24">
        <f t="shared" si="183"/>
        <v>0</v>
      </c>
    </row>
    <row r="2908" spans="1:15" ht="15" customHeight="1" x14ac:dyDescent="0.3">
      <c r="A2908" s="23" t="s">
        <v>6308</v>
      </c>
      <c r="B2908" s="38">
        <v>46274</v>
      </c>
      <c r="C2908" s="23" t="s">
        <v>6309</v>
      </c>
      <c r="D2908" s="23" t="s">
        <v>89</v>
      </c>
      <c r="E2908" s="23" t="s">
        <v>81</v>
      </c>
      <c r="F2908" s="23" t="s">
        <v>1614</v>
      </c>
      <c r="G2908" s="23" t="s">
        <v>250</v>
      </c>
      <c r="H2908" s="39">
        <f t="shared" si="180"/>
        <v>2597</v>
      </c>
      <c r="I2908" s="23" t="str">
        <f t="shared" si="181"/>
        <v>Jaipur</v>
      </c>
      <c r="J2908" s="23">
        <f>COUNTIFS(pg_transaction_cleaned!$O:$O,A2908,pg_transaction_cleaned!$F:$F,"CAPTURE")</f>
        <v>1</v>
      </c>
      <c r="K2908" s="39">
        <f>SUMIFS(pg_transaction_cleaned!$H:$H,pg_transaction_cleaned!$O:$O,A2908,pg_transaction_cleaned!$F:$F,"CAPTURE")</f>
        <v>2597</v>
      </c>
      <c r="L2908" s="23">
        <f>COUNTIFS(pg_transaction_cleaned!$O:$O,A2908,pg_transaction_cleaned!$F:$F,"REFUND")</f>
        <v>0</v>
      </c>
      <c r="M2908" s="39">
        <f>SUMIFS(pg_transaction_cleaned!$H:$H,pg_transaction_cleaned!$O:$O,A2908,pg_transaction_cleaned!$F:$F,"REFUND")</f>
        <v>0</v>
      </c>
      <c r="N2908" s="23" t="str">
        <f t="shared" si="182"/>
        <v>OK</v>
      </c>
      <c r="O2908" s="24">
        <f t="shared" si="183"/>
        <v>0</v>
      </c>
    </row>
    <row r="2909" spans="1:15" ht="15" customHeight="1" x14ac:dyDescent="0.3">
      <c r="A2909" s="23" t="s">
        <v>6310</v>
      </c>
      <c r="B2909" s="38">
        <v>46294</v>
      </c>
      <c r="C2909" s="23" t="s">
        <v>6311</v>
      </c>
      <c r="D2909" s="23" t="s">
        <v>90</v>
      </c>
      <c r="E2909" s="23" t="s">
        <v>79</v>
      </c>
      <c r="F2909" s="23" t="s">
        <v>291</v>
      </c>
      <c r="G2909" s="23" t="s">
        <v>250</v>
      </c>
      <c r="H2909" s="39">
        <f t="shared" si="180"/>
        <v>3499</v>
      </c>
      <c r="I2909" s="23" t="str">
        <f t="shared" si="181"/>
        <v>Ahmedabad</v>
      </c>
      <c r="J2909" s="23">
        <f>COUNTIFS(pg_transaction_cleaned!$O:$O,A2909,pg_transaction_cleaned!$F:$F,"CAPTURE")</f>
        <v>1</v>
      </c>
      <c r="K2909" s="39">
        <f>SUMIFS(pg_transaction_cleaned!$H:$H,pg_transaction_cleaned!$O:$O,A2909,pg_transaction_cleaned!$F:$F,"CAPTURE")</f>
        <v>3499</v>
      </c>
      <c r="L2909" s="23">
        <f>COUNTIFS(pg_transaction_cleaned!$O:$O,A2909,pg_transaction_cleaned!$F:$F,"REFUND")</f>
        <v>0</v>
      </c>
      <c r="M2909" s="39">
        <f>SUMIFS(pg_transaction_cleaned!$H:$H,pg_transaction_cleaned!$O:$O,A2909,pg_transaction_cleaned!$F:$F,"REFUND")</f>
        <v>0</v>
      </c>
      <c r="N2909" s="23" t="str">
        <f t="shared" si="182"/>
        <v>OK</v>
      </c>
      <c r="O2909" s="24">
        <f t="shared" si="183"/>
        <v>0</v>
      </c>
    </row>
    <row r="2910" spans="1:15" ht="15" customHeight="1" x14ac:dyDescent="0.3">
      <c r="A2910" s="23" t="s">
        <v>6312</v>
      </c>
      <c r="B2910" s="38">
        <v>46288</v>
      </c>
      <c r="C2910" s="23" t="s">
        <v>6313</v>
      </c>
      <c r="D2910" s="23" t="s">
        <v>94</v>
      </c>
      <c r="E2910" s="23" t="s">
        <v>79</v>
      </c>
      <c r="F2910" s="23" t="s">
        <v>4944</v>
      </c>
      <c r="G2910" s="23" t="s">
        <v>250</v>
      </c>
      <c r="H2910" s="39">
        <f t="shared" si="180"/>
        <v>648</v>
      </c>
      <c r="I2910" s="23" t="str">
        <f t="shared" si="181"/>
        <v>Chennai</v>
      </c>
      <c r="J2910" s="23">
        <f>COUNTIFS(pg_transaction_cleaned!$O:$O,A2910,pg_transaction_cleaned!$F:$F,"CAPTURE")</f>
        <v>1</v>
      </c>
      <c r="K2910" s="39">
        <f>SUMIFS(pg_transaction_cleaned!$H:$H,pg_transaction_cleaned!$O:$O,A2910,pg_transaction_cleaned!$F:$F,"CAPTURE")</f>
        <v>648</v>
      </c>
      <c r="L2910" s="23">
        <f>COUNTIFS(pg_transaction_cleaned!$O:$O,A2910,pg_transaction_cleaned!$F:$F,"REFUND")</f>
        <v>0</v>
      </c>
      <c r="M2910" s="39">
        <f>SUMIFS(pg_transaction_cleaned!$H:$H,pg_transaction_cleaned!$O:$O,A2910,pg_transaction_cleaned!$F:$F,"REFUND")</f>
        <v>0</v>
      </c>
      <c r="N2910" s="23" t="str">
        <f t="shared" si="182"/>
        <v>OK</v>
      </c>
      <c r="O2910" s="24">
        <f t="shared" si="183"/>
        <v>0</v>
      </c>
    </row>
    <row r="2911" spans="1:15" ht="15" customHeight="1" x14ac:dyDescent="0.3">
      <c r="A2911" s="23" t="s">
        <v>6314</v>
      </c>
      <c r="B2911" s="38">
        <v>46273</v>
      </c>
      <c r="C2911" s="23" t="s">
        <v>6315</v>
      </c>
      <c r="D2911" s="23" t="s">
        <v>92</v>
      </c>
      <c r="E2911" s="23" t="s">
        <v>77</v>
      </c>
      <c r="F2911" s="23" t="s">
        <v>6316</v>
      </c>
      <c r="G2911" s="23" t="s">
        <v>250</v>
      </c>
      <c r="H2911" s="39">
        <f t="shared" si="180"/>
        <v>3347</v>
      </c>
      <c r="I2911" s="23" t="str">
        <f t="shared" si="181"/>
        <v>Hyderabad</v>
      </c>
      <c r="J2911" s="23">
        <f>COUNTIFS(pg_transaction_cleaned!$O:$O,A2911,pg_transaction_cleaned!$F:$F,"CAPTURE")</f>
        <v>1</v>
      </c>
      <c r="K2911" s="39">
        <f>SUMIFS(pg_transaction_cleaned!$H:$H,pg_transaction_cleaned!$O:$O,A2911,pg_transaction_cleaned!$F:$F,"CAPTURE")</f>
        <v>3347</v>
      </c>
      <c r="L2911" s="23">
        <f>COUNTIFS(pg_transaction_cleaned!$O:$O,A2911,pg_transaction_cleaned!$F:$F,"REFUND")</f>
        <v>0</v>
      </c>
      <c r="M2911" s="39">
        <f>SUMIFS(pg_transaction_cleaned!$H:$H,pg_transaction_cleaned!$O:$O,A2911,pg_transaction_cleaned!$F:$F,"REFUND")</f>
        <v>0</v>
      </c>
      <c r="N2911" s="23" t="str">
        <f t="shared" si="182"/>
        <v>OK</v>
      </c>
      <c r="O2911" s="24">
        <f t="shared" si="183"/>
        <v>0</v>
      </c>
    </row>
    <row r="2912" spans="1:15" ht="15" customHeight="1" x14ac:dyDescent="0.3">
      <c r="A2912" s="23" t="s">
        <v>6317</v>
      </c>
      <c r="B2912" s="38">
        <v>46293</v>
      </c>
      <c r="C2912" s="23" t="s">
        <v>6318</v>
      </c>
      <c r="D2912" s="23" t="s">
        <v>88</v>
      </c>
      <c r="E2912" s="23" t="s">
        <v>79</v>
      </c>
      <c r="F2912" s="23" t="s">
        <v>772</v>
      </c>
      <c r="G2912" s="23" t="s">
        <v>250</v>
      </c>
      <c r="H2912" s="39">
        <f t="shared" si="180"/>
        <v>4798</v>
      </c>
      <c r="I2912" s="23" t="str">
        <f t="shared" si="181"/>
        <v>Lucknow</v>
      </c>
      <c r="J2912" s="23">
        <f>COUNTIFS(pg_transaction_cleaned!$O:$O,A2912,pg_transaction_cleaned!$F:$F,"CAPTURE")</f>
        <v>1</v>
      </c>
      <c r="K2912" s="39">
        <f>SUMIFS(pg_transaction_cleaned!$H:$H,pg_transaction_cleaned!$O:$O,A2912,pg_transaction_cleaned!$F:$F,"CAPTURE")</f>
        <v>4798</v>
      </c>
      <c r="L2912" s="23">
        <f>COUNTIFS(pg_transaction_cleaned!$O:$O,A2912,pg_transaction_cleaned!$F:$F,"REFUND")</f>
        <v>0</v>
      </c>
      <c r="M2912" s="39">
        <f>SUMIFS(pg_transaction_cleaned!$H:$H,pg_transaction_cleaned!$O:$O,A2912,pg_transaction_cleaned!$F:$F,"REFUND")</f>
        <v>0</v>
      </c>
      <c r="N2912" s="23" t="str">
        <f t="shared" si="182"/>
        <v>OK</v>
      </c>
      <c r="O2912" s="24">
        <f t="shared" si="183"/>
        <v>0</v>
      </c>
    </row>
    <row r="2913" spans="1:15" ht="15" customHeight="1" x14ac:dyDescent="0.3">
      <c r="A2913" s="23" t="s">
        <v>6319</v>
      </c>
      <c r="B2913" s="38">
        <v>46282</v>
      </c>
      <c r="C2913" s="23" t="s">
        <v>6320</v>
      </c>
      <c r="D2913" s="23" t="s">
        <v>87</v>
      </c>
      <c r="E2913" s="23" t="s">
        <v>79</v>
      </c>
      <c r="F2913" s="23" t="s">
        <v>321</v>
      </c>
      <c r="G2913" s="23" t="s">
        <v>365</v>
      </c>
      <c r="H2913" s="39">
        <f t="shared" si="180"/>
        <v>5498</v>
      </c>
      <c r="I2913" s="23" t="str">
        <f t="shared" si="181"/>
        <v>Mumbai</v>
      </c>
      <c r="J2913" s="23">
        <f>COUNTIFS(pg_transaction_cleaned!$O:$O,A2913,pg_transaction_cleaned!$F:$F,"CAPTURE")</f>
        <v>0</v>
      </c>
      <c r="K2913" s="39">
        <f>SUMIFS(pg_transaction_cleaned!$H:$H,pg_transaction_cleaned!$O:$O,A2913,pg_transaction_cleaned!$F:$F,"CAPTURE")</f>
        <v>0</v>
      </c>
      <c r="L2913" s="23">
        <f>COUNTIFS(pg_transaction_cleaned!$O:$O,A2913,pg_transaction_cleaned!$F:$F,"REFUND")</f>
        <v>0</v>
      </c>
      <c r="M2913" s="39">
        <f>SUMIFS(pg_transaction_cleaned!$H:$H,pg_transaction_cleaned!$O:$O,A2913,pg_transaction_cleaned!$F:$F,"REFUND")</f>
        <v>0</v>
      </c>
      <c r="N2913" s="23" t="str">
        <f t="shared" si="182"/>
        <v>OK</v>
      </c>
      <c r="O2913" s="24">
        <f t="shared" si="183"/>
        <v>0</v>
      </c>
    </row>
    <row r="2914" spans="1:15" ht="15" customHeight="1" x14ac:dyDescent="0.3">
      <c r="A2914" s="23" t="s">
        <v>6321</v>
      </c>
      <c r="B2914" s="38">
        <v>46275</v>
      </c>
      <c r="C2914" s="23" t="s">
        <v>6322</v>
      </c>
      <c r="D2914" s="23" t="s">
        <v>91</v>
      </c>
      <c r="E2914" s="23" t="s">
        <v>75</v>
      </c>
      <c r="F2914" s="23" t="s">
        <v>795</v>
      </c>
      <c r="G2914" s="23" t="s">
        <v>250</v>
      </c>
      <c r="H2914" s="39">
        <f t="shared" si="180"/>
        <v>1499</v>
      </c>
      <c r="I2914" s="23" t="str">
        <f t="shared" si="181"/>
        <v>Pune</v>
      </c>
      <c r="J2914" s="23">
        <f>COUNTIFS(pg_transaction_cleaned!$O:$O,A2914,pg_transaction_cleaned!$F:$F,"CAPTURE")</f>
        <v>1</v>
      </c>
      <c r="K2914" s="39">
        <f>SUMIFS(pg_transaction_cleaned!$H:$H,pg_transaction_cleaned!$O:$O,A2914,pg_transaction_cleaned!$F:$F,"CAPTURE")</f>
        <v>1499</v>
      </c>
      <c r="L2914" s="23">
        <f>COUNTIFS(pg_transaction_cleaned!$O:$O,A2914,pg_transaction_cleaned!$F:$F,"REFUND")</f>
        <v>0</v>
      </c>
      <c r="M2914" s="39">
        <f>SUMIFS(pg_transaction_cleaned!$H:$H,pg_transaction_cleaned!$O:$O,A2914,pg_transaction_cleaned!$F:$F,"REFUND")</f>
        <v>0</v>
      </c>
      <c r="N2914" s="23" t="str">
        <f t="shared" si="182"/>
        <v>OK</v>
      </c>
      <c r="O2914" s="24">
        <f t="shared" si="183"/>
        <v>0</v>
      </c>
    </row>
    <row r="2915" spans="1:15" ht="15" customHeight="1" x14ac:dyDescent="0.3">
      <c r="A2915" s="23" t="s">
        <v>6323</v>
      </c>
      <c r="B2915" s="38">
        <v>46274</v>
      </c>
      <c r="C2915" s="23" t="s">
        <v>6324</v>
      </c>
      <c r="D2915" s="23" t="s">
        <v>88</v>
      </c>
      <c r="E2915" s="23" t="s">
        <v>75</v>
      </c>
      <c r="F2915" s="23" t="s">
        <v>1193</v>
      </c>
      <c r="G2915" s="23" t="s">
        <v>250</v>
      </c>
      <c r="H2915" s="39">
        <f t="shared" si="180"/>
        <v>3498</v>
      </c>
      <c r="I2915" s="23" t="str">
        <f t="shared" si="181"/>
        <v>Lucknow</v>
      </c>
      <c r="J2915" s="23">
        <f>COUNTIFS(pg_transaction_cleaned!$O:$O,A2915,pg_transaction_cleaned!$F:$F,"CAPTURE")</f>
        <v>1</v>
      </c>
      <c r="K2915" s="39">
        <f>SUMIFS(pg_transaction_cleaned!$H:$H,pg_transaction_cleaned!$O:$O,A2915,pg_transaction_cleaned!$F:$F,"CAPTURE")</f>
        <v>3498</v>
      </c>
      <c r="L2915" s="23">
        <f>COUNTIFS(pg_transaction_cleaned!$O:$O,A2915,pg_transaction_cleaned!$F:$F,"REFUND")</f>
        <v>0</v>
      </c>
      <c r="M2915" s="39">
        <f>SUMIFS(pg_transaction_cleaned!$H:$H,pg_transaction_cleaned!$O:$O,A2915,pg_transaction_cleaned!$F:$F,"REFUND")</f>
        <v>0</v>
      </c>
      <c r="N2915" s="23" t="str">
        <f t="shared" si="182"/>
        <v>OK</v>
      </c>
      <c r="O2915" s="24">
        <f t="shared" si="183"/>
        <v>0</v>
      </c>
    </row>
    <row r="2916" spans="1:15" ht="15" customHeight="1" x14ac:dyDescent="0.3">
      <c r="A2916" s="23" t="s">
        <v>6325</v>
      </c>
      <c r="B2916" s="38">
        <v>46283</v>
      </c>
      <c r="C2916" s="23" t="s">
        <v>6326</v>
      </c>
      <c r="D2916" s="23" t="s">
        <v>89</v>
      </c>
      <c r="E2916" s="23" t="s">
        <v>75</v>
      </c>
      <c r="F2916" s="23" t="s">
        <v>647</v>
      </c>
      <c r="G2916" s="23" t="s">
        <v>250</v>
      </c>
      <c r="H2916" s="39">
        <f t="shared" si="180"/>
        <v>5597</v>
      </c>
      <c r="I2916" s="23" t="str">
        <f t="shared" si="181"/>
        <v>Jaipur</v>
      </c>
      <c r="J2916" s="23">
        <f>COUNTIFS(pg_transaction_cleaned!$O:$O,A2916,pg_transaction_cleaned!$F:$F,"CAPTURE")</f>
        <v>1</v>
      </c>
      <c r="K2916" s="39">
        <f>SUMIFS(pg_transaction_cleaned!$H:$H,pg_transaction_cleaned!$O:$O,A2916,pg_transaction_cleaned!$F:$F,"CAPTURE")</f>
        <v>5597</v>
      </c>
      <c r="L2916" s="23">
        <f>COUNTIFS(pg_transaction_cleaned!$O:$O,A2916,pg_transaction_cleaned!$F:$F,"REFUND")</f>
        <v>0</v>
      </c>
      <c r="M2916" s="39">
        <f>SUMIFS(pg_transaction_cleaned!$H:$H,pg_transaction_cleaned!$O:$O,A2916,pg_transaction_cleaned!$F:$F,"REFUND")</f>
        <v>0</v>
      </c>
      <c r="N2916" s="23" t="str">
        <f t="shared" si="182"/>
        <v>OK</v>
      </c>
      <c r="O2916" s="24">
        <f t="shared" si="183"/>
        <v>0</v>
      </c>
    </row>
    <row r="2917" spans="1:15" ht="15" customHeight="1" x14ac:dyDescent="0.3">
      <c r="A2917" s="23" t="s">
        <v>6327</v>
      </c>
      <c r="B2917" s="38">
        <v>46286</v>
      </c>
      <c r="C2917" s="23" t="s">
        <v>6328</v>
      </c>
      <c r="D2917" s="23" t="s">
        <v>88</v>
      </c>
      <c r="E2917" s="23" t="s">
        <v>75</v>
      </c>
      <c r="F2917" s="23" t="s">
        <v>271</v>
      </c>
      <c r="G2917" s="23" t="s">
        <v>250</v>
      </c>
      <c r="H2917" s="39">
        <f t="shared" si="180"/>
        <v>2499</v>
      </c>
      <c r="I2917" s="23" t="str">
        <f t="shared" si="181"/>
        <v>Lucknow</v>
      </c>
      <c r="J2917" s="23">
        <f>COUNTIFS(pg_transaction_cleaned!$O:$O,A2917,pg_transaction_cleaned!$F:$F,"CAPTURE")</f>
        <v>1</v>
      </c>
      <c r="K2917" s="39">
        <f>SUMIFS(pg_transaction_cleaned!$H:$H,pg_transaction_cleaned!$O:$O,A2917,pg_transaction_cleaned!$F:$F,"CAPTURE")</f>
        <v>2499</v>
      </c>
      <c r="L2917" s="23">
        <f>COUNTIFS(pg_transaction_cleaned!$O:$O,A2917,pg_transaction_cleaned!$F:$F,"REFUND")</f>
        <v>0</v>
      </c>
      <c r="M2917" s="39">
        <f>SUMIFS(pg_transaction_cleaned!$H:$H,pg_transaction_cleaned!$O:$O,A2917,pg_transaction_cleaned!$F:$F,"REFUND")</f>
        <v>0</v>
      </c>
      <c r="N2917" s="23" t="str">
        <f t="shared" si="182"/>
        <v>OK</v>
      </c>
      <c r="O2917" s="24">
        <f t="shared" si="183"/>
        <v>0</v>
      </c>
    </row>
    <row r="2918" spans="1:15" ht="15" customHeight="1" x14ac:dyDescent="0.3">
      <c r="A2918" s="23" t="s">
        <v>6329</v>
      </c>
      <c r="B2918" s="38">
        <v>46291</v>
      </c>
      <c r="C2918" s="23" t="s">
        <v>6330</v>
      </c>
      <c r="D2918" s="23" t="s">
        <v>89</v>
      </c>
      <c r="E2918" s="23" t="s">
        <v>77</v>
      </c>
      <c r="F2918" s="23" t="s">
        <v>262</v>
      </c>
      <c r="G2918" s="23" t="s">
        <v>301</v>
      </c>
      <c r="H2918" s="39">
        <f t="shared" si="180"/>
        <v>499</v>
      </c>
      <c r="I2918" s="23" t="str">
        <f t="shared" si="181"/>
        <v>Jaipur</v>
      </c>
      <c r="J2918" s="23">
        <f>COUNTIFS(pg_transaction_cleaned!$O:$O,A2918,pg_transaction_cleaned!$F:$F,"CAPTURE")</f>
        <v>1</v>
      </c>
      <c r="K2918" s="39">
        <f>SUMIFS(pg_transaction_cleaned!$H:$H,pg_transaction_cleaned!$O:$O,A2918,pg_transaction_cleaned!$F:$F,"CAPTURE")</f>
        <v>499</v>
      </c>
      <c r="L2918" s="23">
        <f>COUNTIFS(pg_transaction_cleaned!$O:$O,A2918,pg_transaction_cleaned!$F:$F,"REFUND")</f>
        <v>1</v>
      </c>
      <c r="M2918" s="39">
        <f>SUMIFS(pg_transaction_cleaned!$H:$H,pg_transaction_cleaned!$O:$O,A2918,pg_transaction_cleaned!$F:$F,"REFUND")</f>
        <v>499</v>
      </c>
      <c r="N2918" s="23" t="str">
        <f t="shared" si="182"/>
        <v>OK</v>
      </c>
      <c r="O2918" s="24">
        <f t="shared" si="183"/>
        <v>0</v>
      </c>
    </row>
    <row r="2919" spans="1:15" ht="15" customHeight="1" x14ac:dyDescent="0.3">
      <c r="A2919" s="23" t="s">
        <v>6331</v>
      </c>
      <c r="B2919" s="38">
        <v>46281</v>
      </c>
      <c r="C2919" s="23" t="s">
        <v>6332</v>
      </c>
      <c r="D2919" s="23" t="s">
        <v>95</v>
      </c>
      <c r="E2919" s="23" t="s">
        <v>75</v>
      </c>
      <c r="F2919" s="23" t="s">
        <v>268</v>
      </c>
      <c r="G2919" s="23" t="s">
        <v>365</v>
      </c>
      <c r="H2919" s="39">
        <f t="shared" si="180"/>
        <v>1299</v>
      </c>
      <c r="I2919" s="23" t="str">
        <f t="shared" si="181"/>
        <v>Bengaluru</v>
      </c>
      <c r="J2919" s="23">
        <f>COUNTIFS(pg_transaction_cleaned!$O:$O,A2919,pg_transaction_cleaned!$F:$F,"CAPTURE")</f>
        <v>0</v>
      </c>
      <c r="K2919" s="39">
        <f>SUMIFS(pg_transaction_cleaned!$H:$H,pg_transaction_cleaned!$O:$O,A2919,pg_transaction_cleaned!$F:$F,"CAPTURE")</f>
        <v>0</v>
      </c>
      <c r="L2919" s="23">
        <f>COUNTIFS(pg_transaction_cleaned!$O:$O,A2919,pg_transaction_cleaned!$F:$F,"REFUND")</f>
        <v>0</v>
      </c>
      <c r="M2919" s="39">
        <f>SUMIFS(pg_transaction_cleaned!$H:$H,pg_transaction_cleaned!$O:$O,A2919,pg_transaction_cleaned!$F:$F,"REFUND")</f>
        <v>0</v>
      </c>
      <c r="N2919" s="23" t="str">
        <f t="shared" si="182"/>
        <v>OK</v>
      </c>
      <c r="O2919" s="24">
        <f t="shared" si="183"/>
        <v>0</v>
      </c>
    </row>
    <row r="2920" spans="1:15" ht="15" customHeight="1" x14ac:dyDescent="0.3">
      <c r="A2920" s="23" t="s">
        <v>6333</v>
      </c>
      <c r="B2920" s="38">
        <v>46271</v>
      </c>
      <c r="C2920" s="23" t="s">
        <v>6334</v>
      </c>
      <c r="D2920" s="23" t="s">
        <v>95</v>
      </c>
      <c r="E2920" s="23" t="s">
        <v>79</v>
      </c>
      <c r="F2920" s="23" t="s">
        <v>737</v>
      </c>
      <c r="G2920" s="23" t="s">
        <v>365</v>
      </c>
      <c r="H2920" s="39">
        <f t="shared" si="180"/>
        <v>9798</v>
      </c>
      <c r="I2920" s="23" t="str">
        <f t="shared" si="181"/>
        <v>Bengaluru</v>
      </c>
      <c r="J2920" s="23">
        <f>COUNTIFS(pg_transaction_cleaned!$O:$O,A2920,pg_transaction_cleaned!$F:$F,"CAPTURE")</f>
        <v>0</v>
      </c>
      <c r="K2920" s="39">
        <f>SUMIFS(pg_transaction_cleaned!$H:$H,pg_transaction_cleaned!$O:$O,A2920,pg_transaction_cleaned!$F:$F,"CAPTURE")</f>
        <v>0</v>
      </c>
      <c r="L2920" s="23">
        <f>COUNTIFS(pg_transaction_cleaned!$O:$O,A2920,pg_transaction_cleaned!$F:$F,"REFUND")</f>
        <v>0</v>
      </c>
      <c r="M2920" s="39">
        <f>SUMIFS(pg_transaction_cleaned!$H:$H,pg_transaction_cleaned!$O:$O,A2920,pg_transaction_cleaned!$F:$F,"REFUND")</f>
        <v>0</v>
      </c>
      <c r="N2920" s="23" t="str">
        <f t="shared" si="182"/>
        <v>OK</v>
      </c>
      <c r="O2920" s="24">
        <f t="shared" si="183"/>
        <v>0</v>
      </c>
    </row>
    <row r="2921" spans="1:15" ht="15" customHeight="1" x14ac:dyDescent="0.3">
      <c r="A2921" s="23" t="s">
        <v>6335</v>
      </c>
      <c r="B2921" s="38">
        <v>46271</v>
      </c>
      <c r="C2921" s="23" t="s">
        <v>6336</v>
      </c>
      <c r="D2921" s="23" t="s">
        <v>95</v>
      </c>
      <c r="E2921" s="23" t="s">
        <v>75</v>
      </c>
      <c r="F2921" s="23" t="s">
        <v>274</v>
      </c>
      <c r="G2921" s="23" t="s">
        <v>250</v>
      </c>
      <c r="H2921" s="39">
        <f t="shared" si="180"/>
        <v>349</v>
      </c>
      <c r="I2921" s="23" t="str">
        <f t="shared" si="181"/>
        <v>Bengaluru</v>
      </c>
      <c r="J2921" s="23">
        <f>COUNTIFS(pg_transaction_cleaned!$O:$O,A2921,pg_transaction_cleaned!$F:$F,"CAPTURE")</f>
        <v>1</v>
      </c>
      <c r="K2921" s="39">
        <f>SUMIFS(pg_transaction_cleaned!$H:$H,pg_transaction_cleaned!$O:$O,A2921,pg_transaction_cleaned!$F:$F,"CAPTURE")</f>
        <v>349</v>
      </c>
      <c r="L2921" s="23">
        <f>COUNTIFS(pg_transaction_cleaned!$O:$O,A2921,pg_transaction_cleaned!$F:$F,"REFUND")</f>
        <v>0</v>
      </c>
      <c r="M2921" s="39">
        <f>SUMIFS(pg_transaction_cleaned!$H:$H,pg_transaction_cleaned!$O:$O,A2921,pg_transaction_cleaned!$F:$F,"REFUND")</f>
        <v>0</v>
      </c>
      <c r="N2921" s="23" t="str">
        <f t="shared" si="182"/>
        <v>OK</v>
      </c>
      <c r="O2921" s="24">
        <f t="shared" si="183"/>
        <v>0</v>
      </c>
    </row>
    <row r="2922" spans="1:15" ht="15" customHeight="1" x14ac:dyDescent="0.3">
      <c r="A2922" s="23" t="s">
        <v>6337</v>
      </c>
      <c r="B2922" s="38">
        <v>46271</v>
      </c>
      <c r="C2922" s="23" t="s">
        <v>6338</v>
      </c>
      <c r="D2922" s="23" t="s">
        <v>93</v>
      </c>
      <c r="E2922" s="23" t="s">
        <v>75</v>
      </c>
      <c r="F2922" s="23" t="s">
        <v>249</v>
      </c>
      <c r="G2922" s="23" t="s">
        <v>250</v>
      </c>
      <c r="H2922" s="39">
        <f t="shared" si="180"/>
        <v>299</v>
      </c>
      <c r="I2922" s="23" t="str">
        <f t="shared" si="181"/>
        <v>Kolkata</v>
      </c>
      <c r="J2922" s="23">
        <f>COUNTIFS(pg_transaction_cleaned!$O:$O,A2922,pg_transaction_cleaned!$F:$F,"CAPTURE")</f>
        <v>1</v>
      </c>
      <c r="K2922" s="39">
        <f>SUMIFS(pg_transaction_cleaned!$H:$H,pg_transaction_cleaned!$O:$O,A2922,pg_transaction_cleaned!$F:$F,"CAPTURE")</f>
        <v>299</v>
      </c>
      <c r="L2922" s="23">
        <f>COUNTIFS(pg_transaction_cleaned!$O:$O,A2922,pg_transaction_cleaned!$F:$F,"REFUND")</f>
        <v>0</v>
      </c>
      <c r="M2922" s="39">
        <f>SUMIFS(pg_transaction_cleaned!$H:$H,pg_transaction_cleaned!$O:$O,A2922,pg_transaction_cleaned!$F:$F,"REFUND")</f>
        <v>0</v>
      </c>
      <c r="N2922" s="23" t="str">
        <f t="shared" si="182"/>
        <v>OK</v>
      </c>
      <c r="O2922" s="24">
        <f t="shared" si="183"/>
        <v>0</v>
      </c>
    </row>
    <row r="2923" spans="1:15" ht="15" customHeight="1" x14ac:dyDescent="0.3">
      <c r="A2923" s="23" t="s">
        <v>6339</v>
      </c>
      <c r="B2923" s="38">
        <v>46278</v>
      </c>
      <c r="C2923" s="23" t="s">
        <v>6340</v>
      </c>
      <c r="D2923" s="23" t="s">
        <v>88</v>
      </c>
      <c r="E2923" s="23" t="s">
        <v>75</v>
      </c>
      <c r="F2923" s="23" t="s">
        <v>249</v>
      </c>
      <c r="G2923" s="23" t="s">
        <v>365</v>
      </c>
      <c r="H2923" s="39">
        <f t="shared" si="180"/>
        <v>299</v>
      </c>
      <c r="I2923" s="23" t="str">
        <f t="shared" si="181"/>
        <v>Lucknow</v>
      </c>
      <c r="J2923" s="23">
        <f>COUNTIFS(pg_transaction_cleaned!$O:$O,A2923,pg_transaction_cleaned!$F:$F,"CAPTURE")</f>
        <v>0</v>
      </c>
      <c r="K2923" s="39">
        <f>SUMIFS(pg_transaction_cleaned!$H:$H,pg_transaction_cleaned!$O:$O,A2923,pg_transaction_cleaned!$F:$F,"CAPTURE")</f>
        <v>0</v>
      </c>
      <c r="L2923" s="23">
        <f>COUNTIFS(pg_transaction_cleaned!$O:$O,A2923,pg_transaction_cleaned!$F:$F,"REFUND")</f>
        <v>0</v>
      </c>
      <c r="M2923" s="39">
        <f>SUMIFS(pg_transaction_cleaned!$H:$H,pg_transaction_cleaned!$O:$O,A2923,pg_transaction_cleaned!$F:$F,"REFUND")</f>
        <v>0</v>
      </c>
      <c r="N2923" s="23" t="str">
        <f t="shared" si="182"/>
        <v>OK</v>
      </c>
      <c r="O2923" s="24">
        <f t="shared" si="183"/>
        <v>0</v>
      </c>
    </row>
    <row r="2924" spans="1:15" ht="15" customHeight="1" x14ac:dyDescent="0.3">
      <c r="A2924" s="23" t="s">
        <v>6341</v>
      </c>
      <c r="B2924" s="38">
        <v>46287</v>
      </c>
      <c r="C2924" s="23" t="s">
        <v>6342</v>
      </c>
      <c r="D2924" s="23" t="s">
        <v>89</v>
      </c>
      <c r="E2924" s="23" t="s">
        <v>75</v>
      </c>
      <c r="F2924" s="23" t="s">
        <v>2160</v>
      </c>
      <c r="G2924" s="23" t="s">
        <v>250</v>
      </c>
      <c r="H2924" s="39">
        <f t="shared" si="180"/>
        <v>7998</v>
      </c>
      <c r="I2924" s="23" t="str">
        <f t="shared" si="181"/>
        <v>Jaipur</v>
      </c>
      <c r="J2924" s="23">
        <f>COUNTIFS(pg_transaction_cleaned!$O:$O,A2924,pg_transaction_cleaned!$F:$F,"CAPTURE")</f>
        <v>1</v>
      </c>
      <c r="K2924" s="39">
        <f>SUMIFS(pg_transaction_cleaned!$H:$H,pg_transaction_cleaned!$O:$O,A2924,pg_transaction_cleaned!$F:$F,"CAPTURE")</f>
        <v>7998</v>
      </c>
      <c r="L2924" s="23">
        <f>COUNTIFS(pg_transaction_cleaned!$O:$O,A2924,pg_transaction_cleaned!$F:$F,"REFUND")</f>
        <v>0</v>
      </c>
      <c r="M2924" s="39">
        <f>SUMIFS(pg_transaction_cleaned!$H:$H,pg_transaction_cleaned!$O:$O,A2924,pg_transaction_cleaned!$F:$F,"REFUND")</f>
        <v>0</v>
      </c>
      <c r="N2924" s="23" t="str">
        <f t="shared" si="182"/>
        <v>OK</v>
      </c>
      <c r="O2924" s="24">
        <f t="shared" si="183"/>
        <v>0</v>
      </c>
    </row>
    <row r="2925" spans="1:15" ht="15" customHeight="1" x14ac:dyDescent="0.3">
      <c r="A2925" s="23" t="s">
        <v>6343</v>
      </c>
      <c r="B2925" s="38">
        <v>46268</v>
      </c>
      <c r="C2925" s="23" t="s">
        <v>6344</v>
      </c>
      <c r="D2925" s="23" t="s">
        <v>87</v>
      </c>
      <c r="E2925" s="23" t="s">
        <v>79</v>
      </c>
      <c r="F2925" s="23" t="s">
        <v>329</v>
      </c>
      <c r="G2925" s="23" t="s">
        <v>250</v>
      </c>
      <c r="H2925" s="39">
        <f t="shared" si="180"/>
        <v>599</v>
      </c>
      <c r="I2925" s="23" t="str">
        <f t="shared" si="181"/>
        <v>Mumbai</v>
      </c>
      <c r="J2925" s="23">
        <f>COUNTIFS(pg_transaction_cleaned!$O:$O,A2925,pg_transaction_cleaned!$F:$F,"CAPTURE")</f>
        <v>1</v>
      </c>
      <c r="K2925" s="39">
        <f>SUMIFS(pg_transaction_cleaned!$H:$H,pg_transaction_cleaned!$O:$O,A2925,pg_transaction_cleaned!$F:$F,"CAPTURE")</f>
        <v>599</v>
      </c>
      <c r="L2925" s="23">
        <f>COUNTIFS(pg_transaction_cleaned!$O:$O,A2925,pg_transaction_cleaned!$F:$F,"REFUND")</f>
        <v>0</v>
      </c>
      <c r="M2925" s="39">
        <f>SUMIFS(pg_transaction_cleaned!$H:$H,pg_transaction_cleaned!$O:$O,A2925,pg_transaction_cleaned!$F:$F,"REFUND")</f>
        <v>0</v>
      </c>
      <c r="N2925" s="23" t="str">
        <f t="shared" si="182"/>
        <v>OK</v>
      </c>
      <c r="O2925" s="24">
        <f t="shared" si="183"/>
        <v>0</v>
      </c>
    </row>
    <row r="2926" spans="1:15" ht="15" customHeight="1" x14ac:dyDescent="0.3">
      <c r="A2926" s="23" t="s">
        <v>6345</v>
      </c>
      <c r="B2926" s="38">
        <v>46295</v>
      </c>
      <c r="C2926" s="23" t="s">
        <v>6346</v>
      </c>
      <c r="D2926" s="23" t="s">
        <v>91</v>
      </c>
      <c r="E2926" s="23" t="s">
        <v>79</v>
      </c>
      <c r="F2926" s="23" t="s">
        <v>6347</v>
      </c>
      <c r="G2926" s="23" t="s">
        <v>365</v>
      </c>
      <c r="H2926" s="39">
        <f t="shared" si="180"/>
        <v>3197</v>
      </c>
      <c r="I2926" s="23" t="str">
        <f t="shared" si="181"/>
        <v>Pune</v>
      </c>
      <c r="J2926" s="23">
        <f>COUNTIFS(pg_transaction_cleaned!$O:$O,A2926,pg_transaction_cleaned!$F:$F,"CAPTURE")</f>
        <v>0</v>
      </c>
      <c r="K2926" s="39">
        <f>SUMIFS(pg_transaction_cleaned!$H:$H,pg_transaction_cleaned!$O:$O,A2926,pg_transaction_cleaned!$F:$F,"CAPTURE")</f>
        <v>0</v>
      </c>
      <c r="L2926" s="23">
        <f>COUNTIFS(pg_transaction_cleaned!$O:$O,A2926,pg_transaction_cleaned!$F:$F,"REFUND")</f>
        <v>0</v>
      </c>
      <c r="M2926" s="39">
        <f>SUMIFS(pg_transaction_cleaned!$H:$H,pg_transaction_cleaned!$O:$O,A2926,pg_transaction_cleaned!$F:$F,"REFUND")</f>
        <v>0</v>
      </c>
      <c r="N2926" s="23" t="str">
        <f t="shared" si="182"/>
        <v>OK</v>
      </c>
      <c r="O2926" s="24">
        <f t="shared" si="183"/>
        <v>0</v>
      </c>
    </row>
    <row r="2927" spans="1:15" ht="15" customHeight="1" x14ac:dyDescent="0.3">
      <c r="A2927" s="23" t="s">
        <v>6348</v>
      </c>
      <c r="B2927" s="38">
        <v>46284</v>
      </c>
      <c r="C2927" s="23" t="s">
        <v>6349</v>
      </c>
      <c r="D2927" s="23" t="s">
        <v>86</v>
      </c>
      <c r="E2927" s="23" t="s">
        <v>75</v>
      </c>
      <c r="F2927" s="23" t="s">
        <v>717</v>
      </c>
      <c r="G2927" s="23" t="s">
        <v>250</v>
      </c>
      <c r="H2927" s="39">
        <f t="shared" si="180"/>
        <v>5298</v>
      </c>
      <c r="I2927" s="23" t="str">
        <f t="shared" si="181"/>
        <v>Delhi</v>
      </c>
      <c r="J2927" s="23">
        <f>COUNTIFS(pg_transaction_cleaned!$O:$O,A2927,pg_transaction_cleaned!$F:$F,"CAPTURE")</f>
        <v>1</v>
      </c>
      <c r="K2927" s="39">
        <f>SUMIFS(pg_transaction_cleaned!$H:$H,pg_transaction_cleaned!$O:$O,A2927,pg_transaction_cleaned!$F:$F,"CAPTURE")</f>
        <v>5298</v>
      </c>
      <c r="L2927" s="23">
        <f>COUNTIFS(pg_transaction_cleaned!$O:$O,A2927,pg_transaction_cleaned!$F:$F,"REFUND")</f>
        <v>0</v>
      </c>
      <c r="M2927" s="39">
        <f>SUMIFS(pg_transaction_cleaned!$H:$H,pg_transaction_cleaned!$O:$O,A2927,pg_transaction_cleaned!$F:$F,"REFUND")</f>
        <v>0</v>
      </c>
      <c r="N2927" s="23" t="str">
        <f t="shared" si="182"/>
        <v>OK</v>
      </c>
      <c r="O2927" s="24">
        <f t="shared" si="183"/>
        <v>0</v>
      </c>
    </row>
    <row r="2928" spans="1:15" ht="15" customHeight="1" x14ac:dyDescent="0.3">
      <c r="A2928" s="23" t="s">
        <v>6350</v>
      </c>
      <c r="B2928" s="38">
        <v>46272</v>
      </c>
      <c r="C2928" s="23" t="s">
        <v>6351</v>
      </c>
      <c r="D2928" s="23" t="s">
        <v>91</v>
      </c>
      <c r="E2928" s="23" t="s">
        <v>77</v>
      </c>
      <c r="F2928" s="23" t="s">
        <v>475</v>
      </c>
      <c r="G2928" s="23" t="s">
        <v>250</v>
      </c>
      <c r="H2928" s="39">
        <f t="shared" si="180"/>
        <v>799</v>
      </c>
      <c r="I2928" s="23" t="str">
        <f t="shared" si="181"/>
        <v>Pune</v>
      </c>
      <c r="J2928" s="23">
        <f>COUNTIFS(pg_transaction_cleaned!$O:$O,A2928,pg_transaction_cleaned!$F:$F,"CAPTURE")</f>
        <v>1</v>
      </c>
      <c r="K2928" s="39">
        <f>SUMIFS(pg_transaction_cleaned!$H:$H,pg_transaction_cleaned!$O:$O,A2928,pg_transaction_cleaned!$F:$F,"CAPTURE")</f>
        <v>799</v>
      </c>
      <c r="L2928" s="23">
        <f>COUNTIFS(pg_transaction_cleaned!$O:$O,A2928,pg_transaction_cleaned!$F:$F,"REFUND")</f>
        <v>0</v>
      </c>
      <c r="M2928" s="39">
        <f>SUMIFS(pg_transaction_cleaned!$H:$H,pg_transaction_cleaned!$O:$O,A2928,pg_transaction_cleaned!$F:$F,"REFUND")</f>
        <v>0</v>
      </c>
      <c r="N2928" s="23" t="str">
        <f t="shared" si="182"/>
        <v>OK</v>
      </c>
      <c r="O2928" s="24">
        <f t="shared" si="183"/>
        <v>0</v>
      </c>
    </row>
    <row r="2929" spans="1:15" ht="15" customHeight="1" x14ac:dyDescent="0.3">
      <c r="A2929" s="23" t="s">
        <v>6352</v>
      </c>
      <c r="B2929" s="38">
        <v>46267</v>
      </c>
      <c r="C2929" s="23" t="s">
        <v>6353</v>
      </c>
      <c r="D2929" s="23" t="s">
        <v>93</v>
      </c>
      <c r="E2929" s="23" t="s">
        <v>77</v>
      </c>
      <c r="F2929" s="23" t="s">
        <v>329</v>
      </c>
      <c r="G2929" s="23" t="s">
        <v>250</v>
      </c>
      <c r="H2929" s="39">
        <f t="shared" si="180"/>
        <v>599</v>
      </c>
      <c r="I2929" s="23" t="str">
        <f t="shared" si="181"/>
        <v>Kolkata</v>
      </c>
      <c r="J2929" s="23">
        <f>COUNTIFS(pg_transaction_cleaned!$O:$O,A2929,pg_transaction_cleaned!$F:$F,"CAPTURE")</f>
        <v>1</v>
      </c>
      <c r="K2929" s="39">
        <f>SUMIFS(pg_transaction_cleaned!$H:$H,pg_transaction_cleaned!$O:$O,A2929,pg_transaction_cleaned!$F:$F,"CAPTURE")</f>
        <v>599</v>
      </c>
      <c r="L2929" s="23">
        <f>COUNTIFS(pg_transaction_cleaned!$O:$O,A2929,pg_transaction_cleaned!$F:$F,"REFUND")</f>
        <v>0</v>
      </c>
      <c r="M2929" s="39">
        <f>SUMIFS(pg_transaction_cleaned!$H:$H,pg_transaction_cleaned!$O:$O,A2929,pg_transaction_cleaned!$F:$F,"REFUND")</f>
        <v>0</v>
      </c>
      <c r="N2929" s="23" t="str">
        <f t="shared" si="182"/>
        <v>OK</v>
      </c>
      <c r="O2929" s="24">
        <f t="shared" si="183"/>
        <v>0</v>
      </c>
    </row>
    <row r="2930" spans="1:15" ht="15" customHeight="1" x14ac:dyDescent="0.3">
      <c r="A2930" s="23" t="s">
        <v>6354</v>
      </c>
      <c r="B2930" s="38">
        <v>46295</v>
      </c>
      <c r="C2930" s="23" t="s">
        <v>6355</v>
      </c>
      <c r="D2930" s="23" t="s">
        <v>88</v>
      </c>
      <c r="E2930" s="23" t="s">
        <v>81</v>
      </c>
      <c r="F2930" s="23" t="s">
        <v>249</v>
      </c>
      <c r="G2930" s="23" t="s">
        <v>250</v>
      </c>
      <c r="H2930" s="39">
        <f t="shared" si="180"/>
        <v>299</v>
      </c>
      <c r="I2930" s="23" t="str">
        <f t="shared" si="181"/>
        <v>Lucknow</v>
      </c>
      <c r="J2930" s="23">
        <f>COUNTIFS(pg_transaction_cleaned!$O:$O,A2930,pg_transaction_cleaned!$F:$F,"CAPTURE")</f>
        <v>1</v>
      </c>
      <c r="K2930" s="39">
        <f>SUMIFS(pg_transaction_cleaned!$H:$H,pg_transaction_cleaned!$O:$O,A2930,pg_transaction_cleaned!$F:$F,"CAPTURE")</f>
        <v>299</v>
      </c>
      <c r="L2930" s="23">
        <f>COUNTIFS(pg_transaction_cleaned!$O:$O,A2930,pg_transaction_cleaned!$F:$F,"REFUND")</f>
        <v>0</v>
      </c>
      <c r="M2930" s="39">
        <f>SUMIFS(pg_transaction_cleaned!$H:$H,pg_transaction_cleaned!$O:$O,A2930,pg_transaction_cleaned!$F:$F,"REFUND")</f>
        <v>0</v>
      </c>
      <c r="N2930" s="23" t="str">
        <f t="shared" si="182"/>
        <v>OK</v>
      </c>
      <c r="O2930" s="24">
        <f t="shared" si="183"/>
        <v>0</v>
      </c>
    </row>
    <row r="2931" spans="1:15" ht="15" customHeight="1" x14ac:dyDescent="0.3">
      <c r="A2931" s="23" t="s">
        <v>6356</v>
      </c>
      <c r="B2931" s="38">
        <v>46278</v>
      </c>
      <c r="C2931" s="23" t="s">
        <v>6357</v>
      </c>
      <c r="D2931" s="23"/>
      <c r="E2931" s="23" t="s">
        <v>77</v>
      </c>
      <c r="F2931" s="23" t="s">
        <v>2337</v>
      </c>
      <c r="G2931" s="23" t="s">
        <v>250</v>
      </c>
      <c r="H2931" s="39">
        <f t="shared" si="180"/>
        <v>8348</v>
      </c>
      <c r="I2931" s="23" t="str">
        <f t="shared" si="181"/>
        <v>Unknown</v>
      </c>
      <c r="J2931" s="23">
        <f>COUNTIFS(pg_transaction_cleaned!$O:$O,A2931,pg_transaction_cleaned!$F:$F,"CAPTURE")</f>
        <v>1</v>
      </c>
      <c r="K2931" s="39">
        <f>SUMIFS(pg_transaction_cleaned!$H:$H,pg_transaction_cleaned!$O:$O,A2931,pg_transaction_cleaned!$F:$F,"CAPTURE")</f>
        <v>8348</v>
      </c>
      <c r="L2931" s="23">
        <f>COUNTIFS(pg_transaction_cleaned!$O:$O,A2931,pg_transaction_cleaned!$F:$F,"REFUND")</f>
        <v>0</v>
      </c>
      <c r="M2931" s="39">
        <f>SUMIFS(pg_transaction_cleaned!$H:$H,pg_transaction_cleaned!$O:$O,A2931,pg_transaction_cleaned!$F:$F,"REFUND")</f>
        <v>0</v>
      </c>
      <c r="N2931" s="23" t="str">
        <f t="shared" si="182"/>
        <v>OK</v>
      </c>
      <c r="O2931" s="24">
        <f t="shared" si="183"/>
        <v>0</v>
      </c>
    </row>
    <row r="2932" spans="1:15" ht="15" customHeight="1" x14ac:dyDescent="0.3">
      <c r="A2932" s="23" t="s">
        <v>6358</v>
      </c>
      <c r="B2932" s="38">
        <v>46279</v>
      </c>
      <c r="C2932" s="23" t="s">
        <v>6359</v>
      </c>
      <c r="D2932" s="23" t="s">
        <v>93</v>
      </c>
      <c r="E2932" s="23" t="s">
        <v>75</v>
      </c>
      <c r="F2932" s="23" t="s">
        <v>2086</v>
      </c>
      <c r="G2932" s="23" t="s">
        <v>250</v>
      </c>
      <c r="H2932" s="39">
        <f t="shared" si="180"/>
        <v>3397</v>
      </c>
      <c r="I2932" s="23" t="str">
        <f t="shared" si="181"/>
        <v>Kolkata</v>
      </c>
      <c r="J2932" s="23">
        <f>COUNTIFS(pg_transaction_cleaned!$O:$O,A2932,pg_transaction_cleaned!$F:$F,"CAPTURE")</f>
        <v>1</v>
      </c>
      <c r="K2932" s="39">
        <f>SUMIFS(pg_transaction_cleaned!$H:$H,pg_transaction_cleaned!$O:$O,A2932,pg_transaction_cleaned!$F:$F,"CAPTURE")</f>
        <v>3397</v>
      </c>
      <c r="L2932" s="23">
        <f>COUNTIFS(pg_transaction_cleaned!$O:$O,A2932,pg_transaction_cleaned!$F:$F,"REFUND")</f>
        <v>0</v>
      </c>
      <c r="M2932" s="39">
        <f>SUMIFS(pg_transaction_cleaned!$H:$H,pg_transaction_cleaned!$O:$O,A2932,pg_transaction_cleaned!$F:$F,"REFUND")</f>
        <v>0</v>
      </c>
      <c r="N2932" s="23" t="str">
        <f t="shared" si="182"/>
        <v>OK</v>
      </c>
      <c r="O2932" s="24">
        <f t="shared" si="183"/>
        <v>0</v>
      </c>
    </row>
    <row r="2933" spans="1:15" ht="15" customHeight="1" x14ac:dyDescent="0.3">
      <c r="A2933" s="23" t="s">
        <v>6360</v>
      </c>
      <c r="B2933" s="38">
        <v>46295</v>
      </c>
      <c r="C2933" s="23" t="s">
        <v>6361</v>
      </c>
      <c r="D2933" s="23" t="s">
        <v>92</v>
      </c>
      <c r="E2933" s="23" t="s">
        <v>79</v>
      </c>
      <c r="F2933" s="23" t="s">
        <v>475</v>
      </c>
      <c r="G2933" s="23" t="s">
        <v>250</v>
      </c>
      <c r="H2933" s="39">
        <f t="shared" si="180"/>
        <v>799</v>
      </c>
      <c r="I2933" s="23" t="str">
        <f t="shared" si="181"/>
        <v>Hyderabad</v>
      </c>
      <c r="J2933" s="23">
        <f>COUNTIFS(pg_transaction_cleaned!$O:$O,A2933,pg_transaction_cleaned!$F:$F,"CAPTURE")</f>
        <v>1</v>
      </c>
      <c r="K2933" s="39">
        <f>SUMIFS(pg_transaction_cleaned!$H:$H,pg_transaction_cleaned!$O:$O,A2933,pg_transaction_cleaned!$F:$F,"CAPTURE")</f>
        <v>799</v>
      </c>
      <c r="L2933" s="23">
        <f>COUNTIFS(pg_transaction_cleaned!$O:$O,A2933,pg_transaction_cleaned!$F:$F,"REFUND")</f>
        <v>0</v>
      </c>
      <c r="M2933" s="39">
        <f>SUMIFS(pg_transaction_cleaned!$H:$H,pg_transaction_cleaned!$O:$O,A2933,pg_transaction_cleaned!$F:$F,"REFUND")</f>
        <v>0</v>
      </c>
      <c r="N2933" s="23" t="str">
        <f t="shared" si="182"/>
        <v>OK</v>
      </c>
      <c r="O2933" s="24">
        <f t="shared" si="183"/>
        <v>0</v>
      </c>
    </row>
    <row r="2934" spans="1:15" ht="15" customHeight="1" x14ac:dyDescent="0.3">
      <c r="A2934" s="23" t="s">
        <v>6362</v>
      </c>
      <c r="B2934" s="38">
        <v>46266</v>
      </c>
      <c r="C2934" s="23" t="s">
        <v>6363</v>
      </c>
      <c r="D2934" s="23" t="s">
        <v>92</v>
      </c>
      <c r="E2934" s="23" t="s">
        <v>79</v>
      </c>
      <c r="F2934" s="23" t="s">
        <v>553</v>
      </c>
      <c r="G2934" s="23" t="s">
        <v>250</v>
      </c>
      <c r="H2934" s="39">
        <f t="shared" si="180"/>
        <v>2798</v>
      </c>
      <c r="I2934" s="23" t="str">
        <f t="shared" si="181"/>
        <v>Hyderabad</v>
      </c>
      <c r="J2934" s="23">
        <f>COUNTIFS(pg_transaction_cleaned!$O:$O,A2934,pg_transaction_cleaned!$F:$F,"CAPTURE")</f>
        <v>1</v>
      </c>
      <c r="K2934" s="39">
        <f>SUMIFS(pg_transaction_cleaned!$H:$H,pg_transaction_cleaned!$O:$O,A2934,pg_transaction_cleaned!$F:$F,"CAPTURE")</f>
        <v>2798</v>
      </c>
      <c r="L2934" s="23">
        <f>COUNTIFS(pg_transaction_cleaned!$O:$O,A2934,pg_transaction_cleaned!$F:$F,"REFUND")</f>
        <v>0</v>
      </c>
      <c r="M2934" s="39">
        <f>SUMIFS(pg_transaction_cleaned!$H:$H,pg_transaction_cleaned!$O:$O,A2934,pg_transaction_cleaned!$F:$F,"REFUND")</f>
        <v>0</v>
      </c>
      <c r="N2934" s="23" t="str">
        <f t="shared" si="182"/>
        <v>OK</v>
      </c>
      <c r="O2934" s="24">
        <f t="shared" si="183"/>
        <v>0</v>
      </c>
    </row>
    <row r="2935" spans="1:15" ht="15" customHeight="1" x14ac:dyDescent="0.3">
      <c r="A2935" s="23" t="s">
        <v>6364</v>
      </c>
      <c r="B2935" s="38">
        <v>46290</v>
      </c>
      <c r="C2935" s="23" t="s">
        <v>6365</v>
      </c>
      <c r="D2935" s="23" t="s">
        <v>95</v>
      </c>
      <c r="E2935" s="23" t="s">
        <v>75</v>
      </c>
      <c r="F2935" s="23" t="s">
        <v>349</v>
      </c>
      <c r="G2935" s="23" t="s">
        <v>250</v>
      </c>
      <c r="H2935" s="39">
        <f t="shared" si="180"/>
        <v>1798</v>
      </c>
      <c r="I2935" s="23" t="str">
        <f t="shared" si="181"/>
        <v>Bengaluru</v>
      </c>
      <c r="J2935" s="23">
        <f>COUNTIFS(pg_transaction_cleaned!$O:$O,A2935,pg_transaction_cleaned!$F:$F,"CAPTURE")</f>
        <v>1</v>
      </c>
      <c r="K2935" s="39">
        <f>SUMIFS(pg_transaction_cleaned!$H:$H,pg_transaction_cleaned!$O:$O,A2935,pg_transaction_cleaned!$F:$F,"CAPTURE")</f>
        <v>1798</v>
      </c>
      <c r="L2935" s="23">
        <f>COUNTIFS(pg_transaction_cleaned!$O:$O,A2935,pg_transaction_cleaned!$F:$F,"REFUND")</f>
        <v>0</v>
      </c>
      <c r="M2935" s="39">
        <f>SUMIFS(pg_transaction_cleaned!$H:$H,pg_transaction_cleaned!$O:$O,A2935,pg_transaction_cleaned!$F:$F,"REFUND")</f>
        <v>0</v>
      </c>
      <c r="N2935" s="23" t="str">
        <f t="shared" si="182"/>
        <v>OK</v>
      </c>
      <c r="O2935" s="24">
        <f t="shared" si="183"/>
        <v>0</v>
      </c>
    </row>
    <row r="2936" spans="1:15" ht="15" customHeight="1" x14ac:dyDescent="0.3">
      <c r="A2936" s="23" t="s">
        <v>6366</v>
      </c>
      <c r="B2936" s="38">
        <v>46279</v>
      </c>
      <c r="C2936" s="23" t="s">
        <v>6367</v>
      </c>
      <c r="D2936" s="23" t="s">
        <v>88</v>
      </c>
      <c r="E2936" s="23" t="s">
        <v>75</v>
      </c>
      <c r="F2936" s="23" t="s">
        <v>963</v>
      </c>
      <c r="G2936" s="23" t="s">
        <v>250</v>
      </c>
      <c r="H2936" s="39">
        <f t="shared" si="180"/>
        <v>2398</v>
      </c>
      <c r="I2936" s="23" t="str">
        <f t="shared" si="181"/>
        <v>Lucknow</v>
      </c>
      <c r="J2936" s="23">
        <f>COUNTIFS(pg_transaction_cleaned!$O:$O,A2936,pg_transaction_cleaned!$F:$F,"CAPTURE")</f>
        <v>1</v>
      </c>
      <c r="K2936" s="39">
        <f>SUMIFS(pg_transaction_cleaned!$H:$H,pg_transaction_cleaned!$O:$O,A2936,pg_transaction_cleaned!$F:$F,"CAPTURE")</f>
        <v>2398</v>
      </c>
      <c r="L2936" s="23">
        <f>COUNTIFS(pg_transaction_cleaned!$O:$O,A2936,pg_transaction_cleaned!$F:$F,"REFUND")</f>
        <v>0</v>
      </c>
      <c r="M2936" s="39">
        <f>SUMIFS(pg_transaction_cleaned!$H:$H,pg_transaction_cleaned!$O:$O,A2936,pg_transaction_cleaned!$F:$F,"REFUND")</f>
        <v>0</v>
      </c>
      <c r="N2936" s="23" t="str">
        <f t="shared" si="182"/>
        <v>OK</v>
      </c>
      <c r="O2936" s="24">
        <f t="shared" si="183"/>
        <v>0</v>
      </c>
    </row>
    <row r="2937" spans="1:15" ht="15" customHeight="1" x14ac:dyDescent="0.3">
      <c r="A2937" s="23" t="s">
        <v>6368</v>
      </c>
      <c r="B2937" s="38">
        <v>46284</v>
      </c>
      <c r="C2937" s="23" t="s">
        <v>6369</v>
      </c>
      <c r="D2937" s="23" t="s">
        <v>89</v>
      </c>
      <c r="E2937" s="23" t="s">
        <v>75</v>
      </c>
      <c r="F2937" s="23" t="s">
        <v>349</v>
      </c>
      <c r="G2937" s="23" t="s">
        <v>250</v>
      </c>
      <c r="H2937" s="39">
        <f t="shared" si="180"/>
        <v>1798</v>
      </c>
      <c r="I2937" s="23" t="str">
        <f t="shared" si="181"/>
        <v>Jaipur</v>
      </c>
      <c r="J2937" s="23">
        <f>COUNTIFS(pg_transaction_cleaned!$O:$O,A2937,pg_transaction_cleaned!$F:$F,"CAPTURE")</f>
        <v>1</v>
      </c>
      <c r="K2937" s="39">
        <f>SUMIFS(pg_transaction_cleaned!$H:$H,pg_transaction_cleaned!$O:$O,A2937,pg_transaction_cleaned!$F:$F,"CAPTURE")</f>
        <v>1798</v>
      </c>
      <c r="L2937" s="23">
        <f>COUNTIFS(pg_transaction_cleaned!$O:$O,A2937,pg_transaction_cleaned!$F:$F,"REFUND")</f>
        <v>0</v>
      </c>
      <c r="M2937" s="39">
        <f>SUMIFS(pg_transaction_cleaned!$H:$H,pg_transaction_cleaned!$O:$O,A2937,pg_transaction_cleaned!$F:$F,"REFUND")</f>
        <v>0</v>
      </c>
      <c r="N2937" s="23" t="str">
        <f t="shared" si="182"/>
        <v>OK</v>
      </c>
      <c r="O2937" s="24">
        <f t="shared" si="183"/>
        <v>0</v>
      </c>
    </row>
    <row r="2938" spans="1:15" ht="15" customHeight="1" x14ac:dyDescent="0.3">
      <c r="A2938" s="23" t="s">
        <v>6370</v>
      </c>
      <c r="B2938" s="38">
        <v>46273</v>
      </c>
      <c r="C2938" s="23" t="s">
        <v>6371</v>
      </c>
      <c r="D2938" s="23" t="s">
        <v>91</v>
      </c>
      <c r="E2938" s="23" t="s">
        <v>77</v>
      </c>
      <c r="F2938" s="23" t="s">
        <v>6372</v>
      </c>
      <c r="G2938" s="23" t="s">
        <v>250</v>
      </c>
      <c r="H2938" s="39">
        <f t="shared" si="180"/>
        <v>3098</v>
      </c>
      <c r="I2938" s="23" t="str">
        <f t="shared" si="181"/>
        <v>Pune</v>
      </c>
      <c r="J2938" s="23">
        <f>COUNTIFS(pg_transaction_cleaned!$O:$O,A2938,pg_transaction_cleaned!$F:$F,"CAPTURE")</f>
        <v>1</v>
      </c>
      <c r="K2938" s="39">
        <f>SUMIFS(pg_transaction_cleaned!$H:$H,pg_transaction_cleaned!$O:$O,A2938,pg_transaction_cleaned!$F:$F,"CAPTURE")</f>
        <v>3098</v>
      </c>
      <c r="L2938" s="23">
        <f>COUNTIFS(pg_transaction_cleaned!$O:$O,A2938,pg_transaction_cleaned!$F:$F,"REFUND")</f>
        <v>0</v>
      </c>
      <c r="M2938" s="39">
        <f>SUMIFS(pg_transaction_cleaned!$H:$H,pg_transaction_cleaned!$O:$O,A2938,pg_transaction_cleaned!$F:$F,"REFUND")</f>
        <v>0</v>
      </c>
      <c r="N2938" s="23" t="str">
        <f t="shared" si="182"/>
        <v>OK</v>
      </c>
      <c r="O2938" s="24">
        <f t="shared" si="183"/>
        <v>0</v>
      </c>
    </row>
    <row r="2939" spans="1:15" ht="15" customHeight="1" x14ac:dyDescent="0.3">
      <c r="A2939" s="23" t="s">
        <v>6373</v>
      </c>
      <c r="B2939" s="38">
        <v>46281</v>
      </c>
      <c r="C2939" s="23" t="s">
        <v>6374</v>
      </c>
      <c r="D2939" s="23" t="s">
        <v>94</v>
      </c>
      <c r="E2939" s="23" t="s">
        <v>79</v>
      </c>
      <c r="F2939" s="23" t="s">
        <v>499</v>
      </c>
      <c r="G2939" s="23" t="s">
        <v>250</v>
      </c>
      <c r="H2939" s="39">
        <f t="shared" si="180"/>
        <v>5998</v>
      </c>
      <c r="I2939" s="23" t="str">
        <f t="shared" si="181"/>
        <v>Chennai</v>
      </c>
      <c r="J2939" s="23">
        <f>COUNTIFS(pg_transaction_cleaned!$O:$O,A2939,pg_transaction_cleaned!$F:$F,"CAPTURE")</f>
        <v>1</v>
      </c>
      <c r="K2939" s="39">
        <f>SUMIFS(pg_transaction_cleaned!$H:$H,pg_transaction_cleaned!$O:$O,A2939,pg_transaction_cleaned!$F:$F,"CAPTURE")</f>
        <v>5998</v>
      </c>
      <c r="L2939" s="23">
        <f>COUNTIFS(pg_transaction_cleaned!$O:$O,A2939,pg_transaction_cleaned!$F:$F,"REFUND")</f>
        <v>0</v>
      </c>
      <c r="M2939" s="39">
        <f>SUMIFS(pg_transaction_cleaned!$H:$H,pg_transaction_cleaned!$O:$O,A2939,pg_transaction_cleaned!$F:$F,"REFUND")</f>
        <v>0</v>
      </c>
      <c r="N2939" s="23" t="str">
        <f t="shared" si="182"/>
        <v>OK</v>
      </c>
      <c r="O2939" s="24">
        <f t="shared" si="183"/>
        <v>0</v>
      </c>
    </row>
    <row r="2940" spans="1:15" ht="15" customHeight="1" x14ac:dyDescent="0.3">
      <c r="A2940" s="23" t="s">
        <v>6375</v>
      </c>
      <c r="B2940" s="38">
        <v>46266</v>
      </c>
      <c r="C2940" s="23" t="s">
        <v>6376</v>
      </c>
      <c r="D2940" s="23" t="s">
        <v>91</v>
      </c>
      <c r="E2940" s="23" t="s">
        <v>75</v>
      </c>
      <c r="F2940" s="23" t="s">
        <v>297</v>
      </c>
      <c r="G2940" s="23" t="s">
        <v>250</v>
      </c>
      <c r="H2940" s="39">
        <f t="shared" si="180"/>
        <v>4999</v>
      </c>
      <c r="I2940" s="23" t="str">
        <f t="shared" si="181"/>
        <v>Pune</v>
      </c>
      <c r="J2940" s="23">
        <f>COUNTIFS(pg_transaction_cleaned!$O:$O,A2940,pg_transaction_cleaned!$F:$F,"CAPTURE")</f>
        <v>1</v>
      </c>
      <c r="K2940" s="39">
        <f>SUMIFS(pg_transaction_cleaned!$H:$H,pg_transaction_cleaned!$O:$O,A2940,pg_transaction_cleaned!$F:$F,"CAPTURE")</f>
        <v>4999</v>
      </c>
      <c r="L2940" s="23">
        <f>COUNTIFS(pg_transaction_cleaned!$O:$O,A2940,pg_transaction_cleaned!$F:$F,"REFUND")</f>
        <v>0</v>
      </c>
      <c r="M2940" s="39">
        <f>SUMIFS(pg_transaction_cleaned!$H:$H,pg_transaction_cleaned!$O:$O,A2940,pg_transaction_cleaned!$F:$F,"REFUND")</f>
        <v>0</v>
      </c>
      <c r="N2940" s="23" t="str">
        <f t="shared" si="182"/>
        <v>OK</v>
      </c>
      <c r="O2940" s="24">
        <f t="shared" si="183"/>
        <v>0</v>
      </c>
    </row>
    <row r="2941" spans="1:15" ht="15" customHeight="1" x14ac:dyDescent="0.3">
      <c r="A2941" s="23" t="s">
        <v>6377</v>
      </c>
      <c r="B2941" s="38">
        <v>46284</v>
      </c>
      <c r="C2941" s="23" t="s">
        <v>6378</v>
      </c>
      <c r="D2941" s="23"/>
      <c r="E2941" s="23" t="s">
        <v>75</v>
      </c>
      <c r="F2941" s="23" t="s">
        <v>357</v>
      </c>
      <c r="G2941" s="23" t="s">
        <v>250</v>
      </c>
      <c r="H2941" s="39">
        <f t="shared" si="180"/>
        <v>1598</v>
      </c>
      <c r="I2941" s="23" t="str">
        <f t="shared" si="181"/>
        <v>Unknown</v>
      </c>
      <c r="J2941" s="23">
        <f>COUNTIFS(pg_transaction_cleaned!$O:$O,A2941,pg_transaction_cleaned!$F:$F,"CAPTURE")</f>
        <v>1</v>
      </c>
      <c r="K2941" s="39">
        <f>SUMIFS(pg_transaction_cleaned!$H:$H,pg_transaction_cleaned!$O:$O,A2941,pg_transaction_cleaned!$F:$F,"CAPTURE")</f>
        <v>1598</v>
      </c>
      <c r="L2941" s="23">
        <f>COUNTIFS(pg_transaction_cleaned!$O:$O,A2941,pg_transaction_cleaned!$F:$F,"REFUND")</f>
        <v>0</v>
      </c>
      <c r="M2941" s="39">
        <f>SUMIFS(pg_transaction_cleaned!$H:$H,pg_transaction_cleaned!$O:$O,A2941,pg_transaction_cleaned!$F:$F,"REFUND")</f>
        <v>0</v>
      </c>
      <c r="N2941" s="23" t="str">
        <f t="shared" si="182"/>
        <v>OK</v>
      </c>
      <c r="O2941" s="24">
        <f t="shared" si="183"/>
        <v>0</v>
      </c>
    </row>
    <row r="2942" spans="1:15" ht="15" customHeight="1" x14ac:dyDescent="0.3">
      <c r="A2942" s="23" t="s">
        <v>6379</v>
      </c>
      <c r="B2942" s="38">
        <v>46270</v>
      </c>
      <c r="C2942" s="23" t="s">
        <v>6380</v>
      </c>
      <c r="D2942" s="23" t="s">
        <v>89</v>
      </c>
      <c r="E2942" s="23" t="s">
        <v>75</v>
      </c>
      <c r="F2942" s="23" t="s">
        <v>612</v>
      </c>
      <c r="G2942" s="23" t="s">
        <v>301</v>
      </c>
      <c r="H2942" s="39">
        <f t="shared" si="180"/>
        <v>8498</v>
      </c>
      <c r="I2942" s="23" t="str">
        <f t="shared" si="181"/>
        <v>Jaipur</v>
      </c>
      <c r="J2942" s="23">
        <f>COUNTIFS(pg_transaction_cleaned!$O:$O,A2942,pg_transaction_cleaned!$F:$F,"CAPTURE")</f>
        <v>1</v>
      </c>
      <c r="K2942" s="39">
        <f>SUMIFS(pg_transaction_cleaned!$H:$H,pg_transaction_cleaned!$O:$O,A2942,pg_transaction_cleaned!$F:$F,"CAPTURE")</f>
        <v>8498</v>
      </c>
      <c r="L2942" s="23">
        <f>COUNTIFS(pg_transaction_cleaned!$O:$O,A2942,pg_transaction_cleaned!$F:$F,"REFUND")</f>
        <v>1</v>
      </c>
      <c r="M2942" s="39">
        <f>SUMIFS(pg_transaction_cleaned!$H:$H,pg_transaction_cleaned!$O:$O,A2942,pg_transaction_cleaned!$F:$F,"REFUND")</f>
        <v>8498</v>
      </c>
      <c r="N2942" s="23" t="str">
        <f t="shared" si="182"/>
        <v>OK</v>
      </c>
      <c r="O2942" s="24">
        <f t="shared" si="183"/>
        <v>0</v>
      </c>
    </row>
    <row r="2943" spans="1:15" ht="15" customHeight="1" x14ac:dyDescent="0.3">
      <c r="A2943" s="23" t="s">
        <v>6381</v>
      </c>
      <c r="B2943" s="38">
        <v>46284</v>
      </c>
      <c r="C2943" s="23" t="s">
        <v>6382</v>
      </c>
      <c r="D2943" s="23" t="s">
        <v>89</v>
      </c>
      <c r="E2943" s="23" t="s">
        <v>75</v>
      </c>
      <c r="F2943" s="23" t="s">
        <v>3378</v>
      </c>
      <c r="G2943" s="23" t="s">
        <v>250</v>
      </c>
      <c r="H2943" s="39">
        <f t="shared" si="180"/>
        <v>15998</v>
      </c>
      <c r="I2943" s="23" t="str">
        <f t="shared" si="181"/>
        <v>Jaipur</v>
      </c>
      <c r="J2943" s="23">
        <f>COUNTIFS(pg_transaction_cleaned!$O:$O,A2943,pg_transaction_cleaned!$F:$F,"CAPTURE")</f>
        <v>1</v>
      </c>
      <c r="K2943" s="39">
        <f>SUMIFS(pg_transaction_cleaned!$H:$H,pg_transaction_cleaned!$O:$O,A2943,pg_transaction_cleaned!$F:$F,"CAPTURE")</f>
        <v>15998</v>
      </c>
      <c r="L2943" s="23">
        <f>COUNTIFS(pg_transaction_cleaned!$O:$O,A2943,pg_transaction_cleaned!$F:$F,"REFUND")</f>
        <v>0</v>
      </c>
      <c r="M2943" s="39">
        <f>SUMIFS(pg_transaction_cleaned!$H:$H,pg_transaction_cleaned!$O:$O,A2943,pg_transaction_cleaned!$F:$F,"REFUND")</f>
        <v>0</v>
      </c>
      <c r="N2943" s="23" t="str">
        <f t="shared" si="182"/>
        <v>OK</v>
      </c>
      <c r="O2943" s="24">
        <f t="shared" si="183"/>
        <v>0</v>
      </c>
    </row>
    <row r="2944" spans="1:15" ht="15" customHeight="1" x14ac:dyDescent="0.3">
      <c r="A2944" s="23" t="s">
        <v>6383</v>
      </c>
      <c r="B2944" s="38">
        <v>46293</v>
      </c>
      <c r="C2944" s="23" t="s">
        <v>6384</v>
      </c>
      <c r="D2944" s="23" t="s">
        <v>86</v>
      </c>
      <c r="E2944" s="23" t="s">
        <v>77</v>
      </c>
      <c r="F2944" s="23" t="s">
        <v>297</v>
      </c>
      <c r="G2944" s="23" t="s">
        <v>318</v>
      </c>
      <c r="H2944" s="39">
        <f t="shared" si="180"/>
        <v>4999</v>
      </c>
      <c r="I2944" s="23" t="str">
        <f t="shared" si="181"/>
        <v>Delhi</v>
      </c>
      <c r="J2944" s="23">
        <f>COUNTIFS(pg_transaction_cleaned!$O:$O,A2944,pg_transaction_cleaned!$F:$F,"CAPTURE")</f>
        <v>0</v>
      </c>
      <c r="K2944" s="39">
        <f>SUMIFS(pg_transaction_cleaned!$H:$H,pg_transaction_cleaned!$O:$O,A2944,pg_transaction_cleaned!$F:$F,"CAPTURE")</f>
        <v>0</v>
      </c>
      <c r="L2944" s="23">
        <f>COUNTIFS(pg_transaction_cleaned!$O:$O,A2944,pg_transaction_cleaned!$F:$F,"REFUND")</f>
        <v>0</v>
      </c>
      <c r="M2944" s="39">
        <f>SUMIFS(pg_transaction_cleaned!$H:$H,pg_transaction_cleaned!$O:$O,A2944,pg_transaction_cleaned!$F:$F,"REFUND")</f>
        <v>0</v>
      </c>
      <c r="N2944" s="23" t="str">
        <f t="shared" si="182"/>
        <v>OK</v>
      </c>
      <c r="O2944" s="24">
        <f t="shared" si="183"/>
        <v>0</v>
      </c>
    </row>
    <row r="2945" spans="1:15" ht="15" customHeight="1" x14ac:dyDescent="0.3">
      <c r="A2945" s="23" t="s">
        <v>6385</v>
      </c>
      <c r="B2945" s="38">
        <v>46268</v>
      </c>
      <c r="C2945" s="23" t="s">
        <v>1568</v>
      </c>
      <c r="D2945" s="23" t="s">
        <v>90</v>
      </c>
      <c r="E2945" s="23" t="s">
        <v>77</v>
      </c>
      <c r="F2945" s="23" t="s">
        <v>460</v>
      </c>
      <c r="G2945" s="23" t="s">
        <v>250</v>
      </c>
      <c r="H2945" s="39">
        <f t="shared" si="180"/>
        <v>1998</v>
      </c>
      <c r="I2945" s="23" t="str">
        <f t="shared" si="181"/>
        <v>Ahmedabad</v>
      </c>
      <c r="J2945" s="23">
        <f>COUNTIFS(pg_transaction_cleaned!$O:$O,A2945,pg_transaction_cleaned!$F:$F,"CAPTURE")</f>
        <v>1</v>
      </c>
      <c r="K2945" s="39">
        <f>SUMIFS(pg_transaction_cleaned!$H:$H,pg_transaction_cleaned!$O:$O,A2945,pg_transaction_cleaned!$F:$F,"CAPTURE")</f>
        <v>1998</v>
      </c>
      <c r="L2945" s="23">
        <f>COUNTIFS(pg_transaction_cleaned!$O:$O,A2945,pg_transaction_cleaned!$F:$F,"REFUND")</f>
        <v>0</v>
      </c>
      <c r="M2945" s="39">
        <f>SUMIFS(pg_transaction_cleaned!$H:$H,pg_transaction_cleaned!$O:$O,A2945,pg_transaction_cleaned!$F:$F,"REFUND")</f>
        <v>0</v>
      </c>
      <c r="N2945" s="23" t="str">
        <f t="shared" si="182"/>
        <v>OK</v>
      </c>
      <c r="O2945" s="24">
        <f t="shared" si="183"/>
        <v>0</v>
      </c>
    </row>
    <row r="2946" spans="1:15" ht="15" customHeight="1" x14ac:dyDescent="0.3">
      <c r="A2946" s="23" t="s">
        <v>6386</v>
      </c>
      <c r="B2946" s="38">
        <v>46281</v>
      </c>
      <c r="C2946" s="23" t="s">
        <v>6387</v>
      </c>
      <c r="D2946" s="23" t="s">
        <v>92</v>
      </c>
      <c r="E2946" s="23" t="s">
        <v>79</v>
      </c>
      <c r="F2946" s="23" t="s">
        <v>288</v>
      </c>
      <c r="G2946" s="23" t="s">
        <v>250</v>
      </c>
      <c r="H2946" s="39">
        <f t="shared" ref="H2946:H3009" si="184">VALUE(SUBSTITUTE(F2946,",",""))</f>
        <v>4298</v>
      </c>
      <c r="I2946" s="23" t="str">
        <f t="shared" ref="I2946:I3009" si="185">IF(TRIM(D2946)="","Unknown",TRIM(D2946))</f>
        <v>Hyderabad</v>
      </c>
      <c r="J2946" s="23">
        <f>COUNTIFS(pg_transaction_cleaned!$O:$O,A2946,pg_transaction_cleaned!$F:$F,"CAPTURE")</f>
        <v>1</v>
      </c>
      <c r="K2946" s="39">
        <f>SUMIFS(pg_transaction_cleaned!$H:$H,pg_transaction_cleaned!$O:$O,A2946,pg_transaction_cleaned!$F:$F,"CAPTURE")</f>
        <v>4298</v>
      </c>
      <c r="L2946" s="23">
        <f>COUNTIFS(pg_transaction_cleaned!$O:$O,A2946,pg_transaction_cleaned!$F:$F,"REFUND")</f>
        <v>0</v>
      </c>
      <c r="M2946" s="39">
        <f>SUMIFS(pg_transaction_cleaned!$H:$H,pg_transaction_cleaned!$O:$O,A2946,pg_transaction_cleaned!$F:$F,"REFUND")</f>
        <v>0</v>
      </c>
      <c r="N2946" s="23" t="str">
        <f t="shared" ref="N2946:N3009" si="186">IF(AND(G2946="Paid",J2946=0),"Paid, no payment",IF(AND(OR(G2946="Failed",G2946="Cancelled"),J2946&gt;0),"Payment on failed/cancelled",IF(J2946&gt;1,"Duplicate charge",IF(AND(J2946=1,ROUND(K2946-H2946,2)&lt;&gt;0),"Amount difference",IF(AND(G2946="Refunded",L2946=0),"Refunded, no refund",IF(AND(G2946&lt;&gt;"Refunded",L2946&gt;0),"Refund, order not Refunded",IF(AND(L2946&gt;0,ROUND(M2946-H2946,2)&lt;&gt;0),"Refund amount differs","OK")))))))</f>
        <v>OK</v>
      </c>
      <c r="O2946" s="24">
        <f t="shared" ref="O2946:O3009" si="187">IF(N2946="OK",0,IF(N2946="Paid, no payment",H2946,IF(N2946="Payment on failed/cancelled",K2946,IF(OR(N2946="Duplicate charge",N2946="Amount difference"),K2946-H2946,IF(N2946="Refunded, no refund",H2946,M2946)))))</f>
        <v>0</v>
      </c>
    </row>
    <row r="2947" spans="1:15" ht="15" customHeight="1" x14ac:dyDescent="0.3">
      <c r="A2947" s="23" t="s">
        <v>6388</v>
      </c>
      <c r="B2947" s="38">
        <v>46278</v>
      </c>
      <c r="C2947" s="23" t="s">
        <v>6389</v>
      </c>
      <c r="D2947" s="23" t="s">
        <v>89</v>
      </c>
      <c r="E2947" s="23" t="s">
        <v>75</v>
      </c>
      <c r="F2947" s="23" t="s">
        <v>438</v>
      </c>
      <c r="G2947" s="23" t="s">
        <v>250</v>
      </c>
      <c r="H2947" s="39">
        <f t="shared" si="184"/>
        <v>5498</v>
      </c>
      <c r="I2947" s="23" t="str">
        <f t="shared" si="185"/>
        <v>Jaipur</v>
      </c>
      <c r="J2947" s="23">
        <f>COUNTIFS(pg_transaction_cleaned!$O:$O,A2947,pg_transaction_cleaned!$F:$F,"CAPTURE")</f>
        <v>1</v>
      </c>
      <c r="K2947" s="39">
        <f>SUMIFS(pg_transaction_cleaned!$H:$H,pg_transaction_cleaned!$O:$O,A2947,pg_transaction_cleaned!$F:$F,"CAPTURE")</f>
        <v>5498</v>
      </c>
      <c r="L2947" s="23">
        <f>COUNTIFS(pg_transaction_cleaned!$O:$O,A2947,pg_transaction_cleaned!$F:$F,"REFUND")</f>
        <v>0</v>
      </c>
      <c r="M2947" s="39">
        <f>SUMIFS(pg_transaction_cleaned!$H:$H,pg_transaction_cleaned!$O:$O,A2947,pg_transaction_cleaned!$F:$F,"REFUND")</f>
        <v>0</v>
      </c>
      <c r="N2947" s="23" t="str">
        <f t="shared" si="186"/>
        <v>OK</v>
      </c>
      <c r="O2947" s="24">
        <f t="shared" si="187"/>
        <v>0</v>
      </c>
    </row>
    <row r="2948" spans="1:15" ht="15" customHeight="1" x14ac:dyDescent="0.3">
      <c r="A2948" s="23" t="s">
        <v>6390</v>
      </c>
      <c r="B2948" s="38">
        <v>46270</v>
      </c>
      <c r="C2948" s="23" t="s">
        <v>4015</v>
      </c>
      <c r="D2948" s="23" t="s">
        <v>93</v>
      </c>
      <c r="E2948" s="23" t="s">
        <v>79</v>
      </c>
      <c r="F2948" s="23" t="s">
        <v>274</v>
      </c>
      <c r="G2948" s="23" t="s">
        <v>250</v>
      </c>
      <c r="H2948" s="39">
        <f t="shared" si="184"/>
        <v>349</v>
      </c>
      <c r="I2948" s="23" t="str">
        <f t="shared" si="185"/>
        <v>Kolkata</v>
      </c>
      <c r="J2948" s="23">
        <f>COUNTIFS(pg_transaction_cleaned!$O:$O,A2948,pg_transaction_cleaned!$F:$F,"CAPTURE")</f>
        <v>1</v>
      </c>
      <c r="K2948" s="39">
        <f>SUMIFS(pg_transaction_cleaned!$H:$H,pg_transaction_cleaned!$O:$O,A2948,pg_transaction_cleaned!$F:$F,"CAPTURE")</f>
        <v>349</v>
      </c>
      <c r="L2948" s="23">
        <f>COUNTIFS(pg_transaction_cleaned!$O:$O,A2948,pg_transaction_cleaned!$F:$F,"REFUND")</f>
        <v>0</v>
      </c>
      <c r="M2948" s="39">
        <f>SUMIFS(pg_transaction_cleaned!$H:$H,pg_transaction_cleaned!$O:$O,A2948,pg_transaction_cleaned!$F:$F,"REFUND")</f>
        <v>0</v>
      </c>
      <c r="N2948" s="23" t="str">
        <f t="shared" si="186"/>
        <v>OK</v>
      </c>
      <c r="O2948" s="24">
        <f t="shared" si="187"/>
        <v>0</v>
      </c>
    </row>
    <row r="2949" spans="1:15" ht="15" customHeight="1" x14ac:dyDescent="0.3">
      <c r="A2949" s="23" t="s">
        <v>6391</v>
      </c>
      <c r="B2949" s="38">
        <v>46274</v>
      </c>
      <c r="C2949" s="23" t="s">
        <v>6392</v>
      </c>
      <c r="D2949" s="23"/>
      <c r="E2949" s="23" t="s">
        <v>77</v>
      </c>
      <c r="F2949" s="23" t="s">
        <v>262</v>
      </c>
      <c r="G2949" s="23" t="s">
        <v>250</v>
      </c>
      <c r="H2949" s="39">
        <f t="shared" si="184"/>
        <v>499</v>
      </c>
      <c r="I2949" s="23" t="str">
        <f t="shared" si="185"/>
        <v>Unknown</v>
      </c>
      <c r="J2949" s="23">
        <f>COUNTIFS(pg_transaction_cleaned!$O:$O,A2949,pg_transaction_cleaned!$F:$F,"CAPTURE")</f>
        <v>1</v>
      </c>
      <c r="K2949" s="39">
        <f>SUMIFS(pg_transaction_cleaned!$H:$H,pg_transaction_cleaned!$O:$O,A2949,pg_transaction_cleaned!$F:$F,"CAPTURE")</f>
        <v>499</v>
      </c>
      <c r="L2949" s="23">
        <f>COUNTIFS(pg_transaction_cleaned!$O:$O,A2949,pg_transaction_cleaned!$F:$F,"REFUND")</f>
        <v>0</v>
      </c>
      <c r="M2949" s="39">
        <f>SUMIFS(pg_transaction_cleaned!$H:$H,pg_transaction_cleaned!$O:$O,A2949,pg_transaction_cleaned!$F:$F,"REFUND")</f>
        <v>0</v>
      </c>
      <c r="N2949" s="23" t="str">
        <f t="shared" si="186"/>
        <v>OK</v>
      </c>
      <c r="O2949" s="24">
        <f t="shared" si="187"/>
        <v>0</v>
      </c>
    </row>
    <row r="2950" spans="1:15" ht="15" customHeight="1" x14ac:dyDescent="0.3">
      <c r="A2950" s="23" t="s">
        <v>6393</v>
      </c>
      <c r="B2950" s="38">
        <v>46284</v>
      </c>
      <c r="C2950" s="23" t="s">
        <v>6394</v>
      </c>
      <c r="D2950" s="23" t="s">
        <v>94</v>
      </c>
      <c r="E2950" s="23" t="s">
        <v>79</v>
      </c>
      <c r="F2950" s="23" t="s">
        <v>315</v>
      </c>
      <c r="G2950" s="23" t="s">
        <v>250</v>
      </c>
      <c r="H2950" s="39">
        <f t="shared" si="184"/>
        <v>1499</v>
      </c>
      <c r="I2950" s="23" t="str">
        <f t="shared" si="185"/>
        <v>Chennai</v>
      </c>
      <c r="J2950" s="23">
        <f>COUNTIFS(pg_transaction_cleaned!$O:$O,A2950,pg_transaction_cleaned!$F:$F,"CAPTURE")</f>
        <v>1</v>
      </c>
      <c r="K2950" s="39">
        <f>SUMIFS(pg_transaction_cleaned!$H:$H,pg_transaction_cleaned!$O:$O,A2950,pg_transaction_cleaned!$F:$F,"CAPTURE")</f>
        <v>1499</v>
      </c>
      <c r="L2950" s="23">
        <f>COUNTIFS(pg_transaction_cleaned!$O:$O,A2950,pg_transaction_cleaned!$F:$F,"REFUND")</f>
        <v>0</v>
      </c>
      <c r="M2950" s="39">
        <f>SUMIFS(pg_transaction_cleaned!$H:$H,pg_transaction_cleaned!$O:$O,A2950,pg_transaction_cleaned!$F:$F,"REFUND")</f>
        <v>0</v>
      </c>
      <c r="N2950" s="23" t="str">
        <f t="shared" si="186"/>
        <v>OK</v>
      </c>
      <c r="O2950" s="24">
        <f t="shared" si="187"/>
        <v>0</v>
      </c>
    </row>
    <row r="2951" spans="1:15" ht="15" customHeight="1" x14ac:dyDescent="0.3">
      <c r="A2951" s="23" t="s">
        <v>6395</v>
      </c>
      <c r="B2951" s="38">
        <v>46274</v>
      </c>
      <c r="C2951" s="23" t="s">
        <v>6396</v>
      </c>
      <c r="D2951" s="23" t="s">
        <v>94</v>
      </c>
      <c r="E2951" s="23" t="s">
        <v>75</v>
      </c>
      <c r="F2951" s="23" t="s">
        <v>274</v>
      </c>
      <c r="G2951" s="23" t="s">
        <v>250</v>
      </c>
      <c r="H2951" s="39">
        <f t="shared" si="184"/>
        <v>349</v>
      </c>
      <c r="I2951" s="23" t="str">
        <f t="shared" si="185"/>
        <v>Chennai</v>
      </c>
      <c r="J2951" s="23">
        <f>COUNTIFS(pg_transaction_cleaned!$O:$O,A2951,pg_transaction_cleaned!$F:$F,"CAPTURE")</f>
        <v>1</v>
      </c>
      <c r="K2951" s="39">
        <f>SUMIFS(pg_transaction_cleaned!$H:$H,pg_transaction_cleaned!$O:$O,A2951,pg_transaction_cleaned!$F:$F,"CAPTURE")</f>
        <v>349</v>
      </c>
      <c r="L2951" s="23">
        <f>COUNTIFS(pg_transaction_cleaned!$O:$O,A2951,pg_transaction_cleaned!$F:$F,"REFUND")</f>
        <v>0</v>
      </c>
      <c r="M2951" s="39">
        <f>SUMIFS(pg_transaction_cleaned!$H:$H,pg_transaction_cleaned!$O:$O,A2951,pg_transaction_cleaned!$F:$F,"REFUND")</f>
        <v>0</v>
      </c>
      <c r="N2951" s="23" t="str">
        <f t="shared" si="186"/>
        <v>OK</v>
      </c>
      <c r="O2951" s="24">
        <f t="shared" si="187"/>
        <v>0</v>
      </c>
    </row>
    <row r="2952" spans="1:15" ht="15" customHeight="1" x14ac:dyDescent="0.3">
      <c r="A2952" s="23" t="s">
        <v>6397</v>
      </c>
      <c r="B2952" s="38">
        <v>46281</v>
      </c>
      <c r="C2952" s="23" t="s">
        <v>6398</v>
      </c>
      <c r="D2952" s="23" t="s">
        <v>88</v>
      </c>
      <c r="E2952" s="23" t="s">
        <v>75</v>
      </c>
      <c r="F2952" s="23" t="s">
        <v>265</v>
      </c>
      <c r="G2952" s="23" t="s">
        <v>250</v>
      </c>
      <c r="H2952" s="39">
        <f t="shared" si="184"/>
        <v>999</v>
      </c>
      <c r="I2952" s="23" t="str">
        <f t="shared" si="185"/>
        <v>Lucknow</v>
      </c>
      <c r="J2952" s="23">
        <f>COUNTIFS(pg_transaction_cleaned!$O:$O,A2952,pg_transaction_cleaned!$F:$F,"CAPTURE")</f>
        <v>1</v>
      </c>
      <c r="K2952" s="39">
        <f>SUMIFS(pg_transaction_cleaned!$H:$H,pg_transaction_cleaned!$O:$O,A2952,pg_transaction_cleaned!$F:$F,"CAPTURE")</f>
        <v>999</v>
      </c>
      <c r="L2952" s="23">
        <f>COUNTIFS(pg_transaction_cleaned!$O:$O,A2952,pg_transaction_cleaned!$F:$F,"REFUND")</f>
        <v>0</v>
      </c>
      <c r="M2952" s="39">
        <f>SUMIFS(pg_transaction_cleaned!$H:$H,pg_transaction_cleaned!$O:$O,A2952,pg_transaction_cleaned!$F:$F,"REFUND")</f>
        <v>0</v>
      </c>
      <c r="N2952" s="23" t="str">
        <f t="shared" si="186"/>
        <v>OK</v>
      </c>
      <c r="O2952" s="24">
        <f t="shared" si="187"/>
        <v>0</v>
      </c>
    </row>
    <row r="2953" spans="1:15" ht="15" customHeight="1" x14ac:dyDescent="0.3">
      <c r="A2953" s="23" t="s">
        <v>6399</v>
      </c>
      <c r="B2953" s="38">
        <v>46270</v>
      </c>
      <c r="C2953" s="23" t="s">
        <v>6400</v>
      </c>
      <c r="D2953" s="23" t="s">
        <v>88</v>
      </c>
      <c r="E2953" s="23" t="s">
        <v>75</v>
      </c>
      <c r="F2953" s="23" t="s">
        <v>310</v>
      </c>
      <c r="G2953" s="23" t="s">
        <v>250</v>
      </c>
      <c r="H2953" s="39">
        <f t="shared" si="184"/>
        <v>7999</v>
      </c>
      <c r="I2953" s="23" t="str">
        <f t="shared" si="185"/>
        <v>Lucknow</v>
      </c>
      <c r="J2953" s="23">
        <f>COUNTIFS(pg_transaction_cleaned!$O:$O,A2953,pg_transaction_cleaned!$F:$F,"CAPTURE")</f>
        <v>1</v>
      </c>
      <c r="K2953" s="39">
        <f>SUMIFS(pg_transaction_cleaned!$H:$H,pg_transaction_cleaned!$O:$O,A2953,pg_transaction_cleaned!$F:$F,"CAPTURE")</f>
        <v>7999</v>
      </c>
      <c r="L2953" s="23">
        <f>COUNTIFS(pg_transaction_cleaned!$O:$O,A2953,pg_transaction_cleaned!$F:$F,"REFUND")</f>
        <v>0</v>
      </c>
      <c r="M2953" s="39">
        <f>SUMIFS(pg_transaction_cleaned!$H:$H,pg_transaction_cleaned!$O:$O,A2953,pg_transaction_cleaned!$F:$F,"REFUND")</f>
        <v>0</v>
      </c>
      <c r="N2953" s="23" t="str">
        <f t="shared" si="186"/>
        <v>OK</v>
      </c>
      <c r="O2953" s="24">
        <f t="shared" si="187"/>
        <v>0</v>
      </c>
    </row>
    <row r="2954" spans="1:15" ht="15" customHeight="1" x14ac:dyDescent="0.3">
      <c r="A2954" s="23" t="s">
        <v>6401</v>
      </c>
      <c r="B2954" s="38">
        <v>46266</v>
      </c>
      <c r="C2954" s="23" t="s">
        <v>6402</v>
      </c>
      <c r="D2954" s="23" t="s">
        <v>93</v>
      </c>
      <c r="E2954" s="23" t="s">
        <v>77</v>
      </c>
      <c r="F2954" s="23" t="s">
        <v>1533</v>
      </c>
      <c r="G2954" s="23" t="s">
        <v>250</v>
      </c>
      <c r="H2954" s="39">
        <f t="shared" si="184"/>
        <v>3647</v>
      </c>
      <c r="I2954" s="23" t="str">
        <f t="shared" si="185"/>
        <v>Kolkata</v>
      </c>
      <c r="J2954" s="23">
        <f>COUNTIFS(pg_transaction_cleaned!$O:$O,A2954,pg_transaction_cleaned!$F:$F,"CAPTURE")</f>
        <v>1</v>
      </c>
      <c r="K2954" s="39">
        <f>SUMIFS(pg_transaction_cleaned!$H:$H,pg_transaction_cleaned!$O:$O,A2954,pg_transaction_cleaned!$F:$F,"CAPTURE")</f>
        <v>3647</v>
      </c>
      <c r="L2954" s="23">
        <f>COUNTIFS(pg_transaction_cleaned!$O:$O,A2954,pg_transaction_cleaned!$F:$F,"REFUND")</f>
        <v>0</v>
      </c>
      <c r="M2954" s="39">
        <f>SUMIFS(pg_transaction_cleaned!$H:$H,pg_transaction_cleaned!$O:$O,A2954,pg_transaction_cleaned!$F:$F,"REFUND")</f>
        <v>0</v>
      </c>
      <c r="N2954" s="23" t="str">
        <f t="shared" si="186"/>
        <v>OK</v>
      </c>
      <c r="O2954" s="24">
        <f t="shared" si="187"/>
        <v>0</v>
      </c>
    </row>
    <row r="2955" spans="1:15" ht="15" customHeight="1" x14ac:dyDescent="0.3">
      <c r="A2955" s="23" t="s">
        <v>6403</v>
      </c>
      <c r="B2955" s="38">
        <v>46274</v>
      </c>
      <c r="C2955" s="23" t="s">
        <v>6404</v>
      </c>
      <c r="D2955" s="23" t="s">
        <v>90</v>
      </c>
      <c r="E2955" s="23" t="s">
        <v>81</v>
      </c>
      <c r="F2955" s="23" t="s">
        <v>315</v>
      </c>
      <c r="G2955" s="23" t="s">
        <v>250</v>
      </c>
      <c r="H2955" s="39">
        <f t="shared" si="184"/>
        <v>1499</v>
      </c>
      <c r="I2955" s="23" t="str">
        <f t="shared" si="185"/>
        <v>Ahmedabad</v>
      </c>
      <c r="J2955" s="23">
        <f>COUNTIFS(pg_transaction_cleaned!$O:$O,A2955,pg_transaction_cleaned!$F:$F,"CAPTURE")</f>
        <v>1</v>
      </c>
      <c r="K2955" s="39">
        <f>SUMIFS(pg_transaction_cleaned!$H:$H,pg_transaction_cleaned!$O:$O,A2955,pg_transaction_cleaned!$F:$F,"CAPTURE")</f>
        <v>1499</v>
      </c>
      <c r="L2955" s="23">
        <f>COUNTIFS(pg_transaction_cleaned!$O:$O,A2955,pg_transaction_cleaned!$F:$F,"REFUND")</f>
        <v>0</v>
      </c>
      <c r="M2955" s="39">
        <f>SUMIFS(pg_transaction_cleaned!$H:$H,pg_transaction_cleaned!$O:$O,A2955,pg_transaction_cleaned!$F:$F,"REFUND")</f>
        <v>0</v>
      </c>
      <c r="N2955" s="23" t="str">
        <f t="shared" si="186"/>
        <v>OK</v>
      </c>
      <c r="O2955" s="24">
        <f t="shared" si="187"/>
        <v>0</v>
      </c>
    </row>
    <row r="2956" spans="1:15" ht="15" customHeight="1" x14ac:dyDescent="0.3">
      <c r="A2956" s="23" t="s">
        <v>6405</v>
      </c>
      <c r="B2956" s="38">
        <v>46271</v>
      </c>
      <c r="C2956" s="23" t="s">
        <v>6406</v>
      </c>
      <c r="D2956" s="23" t="s">
        <v>87</v>
      </c>
      <c r="E2956" s="23" t="s">
        <v>77</v>
      </c>
      <c r="F2956" s="23" t="s">
        <v>880</v>
      </c>
      <c r="G2956" s="23" t="s">
        <v>250</v>
      </c>
      <c r="H2956" s="39">
        <f t="shared" si="184"/>
        <v>2298</v>
      </c>
      <c r="I2956" s="23" t="str">
        <f t="shared" si="185"/>
        <v>Mumbai</v>
      </c>
      <c r="J2956" s="23">
        <f>COUNTIFS(pg_transaction_cleaned!$O:$O,A2956,pg_transaction_cleaned!$F:$F,"CAPTURE")</f>
        <v>1</v>
      </c>
      <c r="K2956" s="39">
        <f>SUMIFS(pg_transaction_cleaned!$H:$H,pg_transaction_cleaned!$O:$O,A2956,pg_transaction_cleaned!$F:$F,"CAPTURE")</f>
        <v>2298</v>
      </c>
      <c r="L2956" s="23">
        <f>COUNTIFS(pg_transaction_cleaned!$O:$O,A2956,pg_transaction_cleaned!$F:$F,"REFUND")</f>
        <v>0</v>
      </c>
      <c r="M2956" s="39">
        <f>SUMIFS(pg_transaction_cleaned!$H:$H,pg_transaction_cleaned!$O:$O,A2956,pg_transaction_cleaned!$F:$F,"REFUND")</f>
        <v>0</v>
      </c>
      <c r="N2956" s="23" t="str">
        <f t="shared" si="186"/>
        <v>OK</v>
      </c>
      <c r="O2956" s="24">
        <f t="shared" si="187"/>
        <v>0</v>
      </c>
    </row>
    <row r="2957" spans="1:15" ht="15" customHeight="1" x14ac:dyDescent="0.3">
      <c r="A2957" s="23" t="s">
        <v>6407</v>
      </c>
      <c r="B2957" s="38">
        <v>46267</v>
      </c>
      <c r="C2957" s="23" t="s">
        <v>6408</v>
      </c>
      <c r="D2957" s="23" t="s">
        <v>86</v>
      </c>
      <c r="E2957" s="23" t="s">
        <v>77</v>
      </c>
      <c r="F2957" s="23" t="s">
        <v>315</v>
      </c>
      <c r="G2957" s="23" t="s">
        <v>250</v>
      </c>
      <c r="H2957" s="39">
        <f t="shared" si="184"/>
        <v>1499</v>
      </c>
      <c r="I2957" s="23" t="str">
        <f t="shared" si="185"/>
        <v>Delhi</v>
      </c>
      <c r="J2957" s="23">
        <f>COUNTIFS(pg_transaction_cleaned!$O:$O,A2957,pg_transaction_cleaned!$F:$F,"CAPTURE")</f>
        <v>1</v>
      </c>
      <c r="K2957" s="39">
        <f>SUMIFS(pg_transaction_cleaned!$H:$H,pg_transaction_cleaned!$O:$O,A2957,pg_transaction_cleaned!$F:$F,"CAPTURE")</f>
        <v>1499</v>
      </c>
      <c r="L2957" s="23">
        <f>COUNTIFS(pg_transaction_cleaned!$O:$O,A2957,pg_transaction_cleaned!$F:$F,"REFUND")</f>
        <v>0</v>
      </c>
      <c r="M2957" s="39">
        <f>SUMIFS(pg_transaction_cleaned!$H:$H,pg_transaction_cleaned!$O:$O,A2957,pg_transaction_cleaned!$F:$F,"REFUND")</f>
        <v>0</v>
      </c>
      <c r="N2957" s="23" t="str">
        <f t="shared" si="186"/>
        <v>OK</v>
      </c>
      <c r="O2957" s="24">
        <f t="shared" si="187"/>
        <v>0</v>
      </c>
    </row>
    <row r="2958" spans="1:15" ht="15" customHeight="1" x14ac:dyDescent="0.3">
      <c r="A2958" s="23" t="s">
        <v>6409</v>
      </c>
      <c r="B2958" s="38">
        <v>46271</v>
      </c>
      <c r="C2958" s="23" t="s">
        <v>6410</v>
      </c>
      <c r="D2958" s="23" t="s">
        <v>91</v>
      </c>
      <c r="E2958" s="23" t="s">
        <v>75</v>
      </c>
      <c r="F2958" s="23" t="s">
        <v>280</v>
      </c>
      <c r="G2958" s="23" t="s">
        <v>250</v>
      </c>
      <c r="H2958" s="39">
        <f t="shared" si="184"/>
        <v>5797</v>
      </c>
      <c r="I2958" s="23" t="str">
        <f t="shared" si="185"/>
        <v>Pune</v>
      </c>
      <c r="J2958" s="23">
        <f>COUNTIFS(pg_transaction_cleaned!$O:$O,A2958,pg_transaction_cleaned!$F:$F,"CAPTURE")</f>
        <v>1</v>
      </c>
      <c r="K2958" s="39">
        <f>SUMIFS(pg_transaction_cleaned!$H:$H,pg_transaction_cleaned!$O:$O,A2958,pg_transaction_cleaned!$F:$F,"CAPTURE")</f>
        <v>5797</v>
      </c>
      <c r="L2958" s="23">
        <f>COUNTIFS(pg_transaction_cleaned!$O:$O,A2958,pg_transaction_cleaned!$F:$F,"REFUND")</f>
        <v>0</v>
      </c>
      <c r="M2958" s="39">
        <f>SUMIFS(pg_transaction_cleaned!$H:$H,pg_transaction_cleaned!$O:$O,A2958,pg_transaction_cleaned!$F:$F,"REFUND")</f>
        <v>0</v>
      </c>
      <c r="N2958" s="23" t="str">
        <f t="shared" si="186"/>
        <v>OK</v>
      </c>
      <c r="O2958" s="24">
        <f t="shared" si="187"/>
        <v>0</v>
      </c>
    </row>
    <row r="2959" spans="1:15" ht="15" customHeight="1" x14ac:dyDescent="0.3">
      <c r="A2959" s="23" t="s">
        <v>6411</v>
      </c>
      <c r="B2959" s="38">
        <v>46278</v>
      </c>
      <c r="C2959" s="23" t="s">
        <v>6412</v>
      </c>
      <c r="D2959" s="23" t="s">
        <v>94</v>
      </c>
      <c r="E2959" s="23" t="s">
        <v>75</v>
      </c>
      <c r="F2959" s="23" t="s">
        <v>441</v>
      </c>
      <c r="G2959" s="23" t="s">
        <v>250</v>
      </c>
      <c r="H2959" s="39">
        <f t="shared" si="184"/>
        <v>9998</v>
      </c>
      <c r="I2959" s="23" t="str">
        <f t="shared" si="185"/>
        <v>Chennai</v>
      </c>
      <c r="J2959" s="23">
        <f>COUNTIFS(pg_transaction_cleaned!$O:$O,A2959,pg_transaction_cleaned!$F:$F,"CAPTURE")</f>
        <v>1</v>
      </c>
      <c r="K2959" s="39">
        <f>SUMIFS(pg_transaction_cleaned!$H:$H,pg_transaction_cleaned!$O:$O,A2959,pg_transaction_cleaned!$F:$F,"CAPTURE")</f>
        <v>9998</v>
      </c>
      <c r="L2959" s="23">
        <f>COUNTIFS(pg_transaction_cleaned!$O:$O,A2959,pg_transaction_cleaned!$F:$F,"REFUND")</f>
        <v>0</v>
      </c>
      <c r="M2959" s="39">
        <f>SUMIFS(pg_transaction_cleaned!$H:$H,pg_transaction_cleaned!$O:$O,A2959,pg_transaction_cleaned!$F:$F,"REFUND")</f>
        <v>0</v>
      </c>
      <c r="N2959" s="23" t="str">
        <f t="shared" si="186"/>
        <v>OK</v>
      </c>
      <c r="O2959" s="24">
        <f t="shared" si="187"/>
        <v>0</v>
      </c>
    </row>
    <row r="2960" spans="1:15" ht="15" customHeight="1" x14ac:dyDescent="0.3">
      <c r="A2960" s="23" t="s">
        <v>6413</v>
      </c>
      <c r="B2960" s="38">
        <v>46283</v>
      </c>
      <c r="C2960" s="23" t="s">
        <v>6414</v>
      </c>
      <c r="D2960" s="23" t="s">
        <v>88</v>
      </c>
      <c r="E2960" s="23" t="s">
        <v>79</v>
      </c>
      <c r="F2960" s="23" t="s">
        <v>685</v>
      </c>
      <c r="G2960" s="23" t="s">
        <v>250</v>
      </c>
      <c r="H2960" s="39">
        <f t="shared" si="184"/>
        <v>8797</v>
      </c>
      <c r="I2960" s="23" t="str">
        <f t="shared" si="185"/>
        <v>Lucknow</v>
      </c>
      <c r="J2960" s="23">
        <f>COUNTIFS(pg_transaction_cleaned!$O:$O,A2960,pg_transaction_cleaned!$F:$F,"CAPTURE")</f>
        <v>1</v>
      </c>
      <c r="K2960" s="39">
        <f>SUMIFS(pg_transaction_cleaned!$H:$H,pg_transaction_cleaned!$O:$O,A2960,pg_transaction_cleaned!$F:$F,"CAPTURE")</f>
        <v>8797</v>
      </c>
      <c r="L2960" s="23">
        <f>COUNTIFS(pg_transaction_cleaned!$O:$O,A2960,pg_transaction_cleaned!$F:$F,"REFUND")</f>
        <v>0</v>
      </c>
      <c r="M2960" s="39">
        <f>SUMIFS(pg_transaction_cleaned!$H:$H,pg_transaction_cleaned!$O:$O,A2960,pg_transaction_cleaned!$F:$F,"REFUND")</f>
        <v>0</v>
      </c>
      <c r="N2960" s="23" t="str">
        <f t="shared" si="186"/>
        <v>OK</v>
      </c>
      <c r="O2960" s="24">
        <f t="shared" si="187"/>
        <v>0</v>
      </c>
    </row>
    <row r="2961" spans="1:15" ht="15" customHeight="1" x14ac:dyDescent="0.3">
      <c r="A2961" s="23" t="s">
        <v>6415</v>
      </c>
      <c r="B2961" s="38">
        <v>46271</v>
      </c>
      <c r="C2961" s="23" t="s">
        <v>6416</v>
      </c>
      <c r="D2961" s="23" t="s">
        <v>86</v>
      </c>
      <c r="E2961" s="23" t="s">
        <v>79</v>
      </c>
      <c r="F2961" s="23" t="s">
        <v>1463</v>
      </c>
      <c r="G2961" s="23" t="s">
        <v>301</v>
      </c>
      <c r="H2961" s="39">
        <f t="shared" si="184"/>
        <v>5348</v>
      </c>
      <c r="I2961" s="23" t="str">
        <f t="shared" si="185"/>
        <v>Delhi</v>
      </c>
      <c r="J2961" s="23">
        <f>COUNTIFS(pg_transaction_cleaned!$O:$O,A2961,pg_transaction_cleaned!$F:$F,"CAPTURE")</f>
        <v>1</v>
      </c>
      <c r="K2961" s="39">
        <f>SUMIFS(pg_transaction_cleaned!$H:$H,pg_transaction_cleaned!$O:$O,A2961,pg_transaction_cleaned!$F:$F,"CAPTURE")</f>
        <v>5348</v>
      </c>
      <c r="L2961" s="23">
        <f>COUNTIFS(pg_transaction_cleaned!$O:$O,A2961,pg_transaction_cleaned!$F:$F,"REFUND")</f>
        <v>1</v>
      </c>
      <c r="M2961" s="39">
        <f>SUMIFS(pg_transaction_cleaned!$H:$H,pg_transaction_cleaned!$O:$O,A2961,pg_transaction_cleaned!$F:$F,"REFUND")</f>
        <v>5348</v>
      </c>
      <c r="N2961" s="23" t="str">
        <f t="shared" si="186"/>
        <v>OK</v>
      </c>
      <c r="O2961" s="24">
        <f t="shared" si="187"/>
        <v>0</v>
      </c>
    </row>
    <row r="2962" spans="1:15" ht="15" customHeight="1" x14ac:dyDescent="0.3">
      <c r="A2962" s="23" t="s">
        <v>6417</v>
      </c>
      <c r="B2962" s="38">
        <v>46279</v>
      </c>
      <c r="C2962" s="23" t="s">
        <v>6418</v>
      </c>
      <c r="D2962" s="23" t="s">
        <v>90</v>
      </c>
      <c r="E2962" s="23" t="s">
        <v>79</v>
      </c>
      <c r="F2962" s="23" t="s">
        <v>291</v>
      </c>
      <c r="G2962" s="23" t="s">
        <v>365</v>
      </c>
      <c r="H2962" s="39">
        <f t="shared" si="184"/>
        <v>3499</v>
      </c>
      <c r="I2962" s="23" t="str">
        <f t="shared" si="185"/>
        <v>Ahmedabad</v>
      </c>
      <c r="J2962" s="23">
        <f>COUNTIFS(pg_transaction_cleaned!$O:$O,A2962,pg_transaction_cleaned!$F:$F,"CAPTURE")</f>
        <v>0</v>
      </c>
      <c r="K2962" s="39">
        <f>SUMIFS(pg_transaction_cleaned!$H:$H,pg_transaction_cleaned!$O:$O,A2962,pg_transaction_cleaned!$F:$F,"CAPTURE")</f>
        <v>0</v>
      </c>
      <c r="L2962" s="23">
        <f>COUNTIFS(pg_transaction_cleaned!$O:$O,A2962,pg_transaction_cleaned!$F:$F,"REFUND")</f>
        <v>0</v>
      </c>
      <c r="M2962" s="39">
        <f>SUMIFS(pg_transaction_cleaned!$H:$H,pg_transaction_cleaned!$O:$O,A2962,pg_transaction_cleaned!$F:$F,"REFUND")</f>
        <v>0</v>
      </c>
      <c r="N2962" s="23" t="str">
        <f t="shared" si="186"/>
        <v>OK</v>
      </c>
      <c r="O2962" s="24">
        <f t="shared" si="187"/>
        <v>0</v>
      </c>
    </row>
    <row r="2963" spans="1:15" ht="15" customHeight="1" x14ac:dyDescent="0.3">
      <c r="A2963" s="23" t="s">
        <v>6419</v>
      </c>
      <c r="B2963" s="38">
        <v>46267</v>
      </c>
      <c r="C2963" s="23" t="s">
        <v>6420</v>
      </c>
      <c r="D2963" s="23" t="s">
        <v>88</v>
      </c>
      <c r="E2963" s="23" t="s">
        <v>75</v>
      </c>
      <c r="F2963" s="23" t="s">
        <v>451</v>
      </c>
      <c r="G2963" s="23" t="s">
        <v>250</v>
      </c>
      <c r="H2963" s="39">
        <f t="shared" si="184"/>
        <v>1098</v>
      </c>
      <c r="I2963" s="23" t="str">
        <f t="shared" si="185"/>
        <v>Lucknow</v>
      </c>
      <c r="J2963" s="23">
        <f>COUNTIFS(pg_transaction_cleaned!$O:$O,A2963,pg_transaction_cleaned!$F:$F,"CAPTURE")</f>
        <v>1</v>
      </c>
      <c r="K2963" s="39">
        <f>SUMIFS(pg_transaction_cleaned!$H:$H,pg_transaction_cleaned!$O:$O,A2963,pg_transaction_cleaned!$F:$F,"CAPTURE")</f>
        <v>1098</v>
      </c>
      <c r="L2963" s="23">
        <f>COUNTIFS(pg_transaction_cleaned!$O:$O,A2963,pg_transaction_cleaned!$F:$F,"REFUND")</f>
        <v>0</v>
      </c>
      <c r="M2963" s="39">
        <f>SUMIFS(pg_transaction_cleaned!$H:$H,pg_transaction_cleaned!$O:$O,A2963,pg_transaction_cleaned!$F:$F,"REFUND")</f>
        <v>0</v>
      </c>
      <c r="N2963" s="23" t="str">
        <f t="shared" si="186"/>
        <v>OK</v>
      </c>
      <c r="O2963" s="24">
        <f t="shared" si="187"/>
        <v>0</v>
      </c>
    </row>
    <row r="2964" spans="1:15" ht="15" customHeight="1" x14ac:dyDescent="0.3">
      <c r="A2964" s="23" t="s">
        <v>6421</v>
      </c>
      <c r="B2964" s="38">
        <v>46276</v>
      </c>
      <c r="C2964" s="23" t="s">
        <v>6422</v>
      </c>
      <c r="D2964" s="23" t="s">
        <v>91</v>
      </c>
      <c r="E2964" s="23" t="s">
        <v>79</v>
      </c>
      <c r="F2964" s="23" t="s">
        <v>1299</v>
      </c>
      <c r="G2964" s="23" t="s">
        <v>250</v>
      </c>
      <c r="H2964" s="39">
        <f t="shared" si="184"/>
        <v>2097</v>
      </c>
      <c r="I2964" s="23" t="str">
        <f t="shared" si="185"/>
        <v>Pune</v>
      </c>
      <c r="J2964" s="23">
        <f>COUNTIFS(pg_transaction_cleaned!$O:$O,A2964,pg_transaction_cleaned!$F:$F,"CAPTURE")</f>
        <v>1</v>
      </c>
      <c r="K2964" s="39">
        <f>SUMIFS(pg_transaction_cleaned!$H:$H,pg_transaction_cleaned!$O:$O,A2964,pg_transaction_cleaned!$F:$F,"CAPTURE")</f>
        <v>2097</v>
      </c>
      <c r="L2964" s="23">
        <f>COUNTIFS(pg_transaction_cleaned!$O:$O,A2964,pg_transaction_cleaned!$F:$F,"REFUND")</f>
        <v>0</v>
      </c>
      <c r="M2964" s="39">
        <f>SUMIFS(pg_transaction_cleaned!$H:$H,pg_transaction_cleaned!$O:$O,A2964,pg_transaction_cleaned!$F:$F,"REFUND")</f>
        <v>0</v>
      </c>
      <c r="N2964" s="23" t="str">
        <f t="shared" si="186"/>
        <v>OK</v>
      </c>
      <c r="O2964" s="24">
        <f t="shared" si="187"/>
        <v>0</v>
      </c>
    </row>
    <row r="2965" spans="1:15" ht="15" customHeight="1" x14ac:dyDescent="0.3">
      <c r="A2965" s="23" t="s">
        <v>6423</v>
      </c>
      <c r="B2965" s="38">
        <v>46294</v>
      </c>
      <c r="C2965" s="23" t="s">
        <v>6424</v>
      </c>
      <c r="D2965" s="23" t="s">
        <v>95</v>
      </c>
      <c r="E2965" s="23" t="s">
        <v>79</v>
      </c>
      <c r="F2965" s="23" t="s">
        <v>1495</v>
      </c>
      <c r="G2965" s="23" t="s">
        <v>250</v>
      </c>
      <c r="H2965" s="39">
        <f t="shared" si="184"/>
        <v>7498</v>
      </c>
      <c r="I2965" s="23" t="str">
        <f t="shared" si="185"/>
        <v>Bengaluru</v>
      </c>
      <c r="J2965" s="23">
        <f>COUNTIFS(pg_transaction_cleaned!$O:$O,A2965,pg_transaction_cleaned!$F:$F,"CAPTURE")</f>
        <v>1</v>
      </c>
      <c r="K2965" s="39">
        <f>SUMIFS(pg_transaction_cleaned!$H:$H,pg_transaction_cleaned!$O:$O,A2965,pg_transaction_cleaned!$F:$F,"CAPTURE")</f>
        <v>7498</v>
      </c>
      <c r="L2965" s="23">
        <f>COUNTIFS(pg_transaction_cleaned!$O:$O,A2965,pg_transaction_cleaned!$F:$F,"REFUND")</f>
        <v>0</v>
      </c>
      <c r="M2965" s="39">
        <f>SUMIFS(pg_transaction_cleaned!$H:$H,pg_transaction_cleaned!$O:$O,A2965,pg_transaction_cleaned!$F:$F,"REFUND")</f>
        <v>0</v>
      </c>
      <c r="N2965" s="23" t="str">
        <f t="shared" si="186"/>
        <v>OK</v>
      </c>
      <c r="O2965" s="24">
        <f t="shared" si="187"/>
        <v>0</v>
      </c>
    </row>
    <row r="2966" spans="1:15" ht="15" customHeight="1" x14ac:dyDescent="0.3">
      <c r="A2966" s="23" t="s">
        <v>6425</v>
      </c>
      <c r="B2966" s="38">
        <v>46291</v>
      </c>
      <c r="C2966" s="23" t="s">
        <v>6426</v>
      </c>
      <c r="D2966" s="23" t="s">
        <v>88</v>
      </c>
      <c r="E2966" s="23" t="s">
        <v>75</v>
      </c>
      <c r="F2966" s="23" t="s">
        <v>787</v>
      </c>
      <c r="G2966" s="23" t="s">
        <v>250</v>
      </c>
      <c r="H2966" s="39">
        <f t="shared" si="184"/>
        <v>7997</v>
      </c>
      <c r="I2966" s="23" t="str">
        <f t="shared" si="185"/>
        <v>Lucknow</v>
      </c>
      <c r="J2966" s="23">
        <f>COUNTIFS(pg_transaction_cleaned!$O:$O,A2966,pg_transaction_cleaned!$F:$F,"CAPTURE")</f>
        <v>1</v>
      </c>
      <c r="K2966" s="39">
        <f>SUMIFS(pg_transaction_cleaned!$H:$H,pg_transaction_cleaned!$O:$O,A2966,pg_transaction_cleaned!$F:$F,"CAPTURE")</f>
        <v>7997</v>
      </c>
      <c r="L2966" s="23">
        <f>COUNTIFS(pg_transaction_cleaned!$O:$O,A2966,pg_transaction_cleaned!$F:$F,"REFUND")</f>
        <v>0</v>
      </c>
      <c r="M2966" s="39">
        <f>SUMIFS(pg_transaction_cleaned!$H:$H,pg_transaction_cleaned!$O:$O,A2966,pg_transaction_cleaned!$F:$F,"REFUND")</f>
        <v>0</v>
      </c>
      <c r="N2966" s="23" t="str">
        <f t="shared" si="186"/>
        <v>OK</v>
      </c>
      <c r="O2966" s="24">
        <f t="shared" si="187"/>
        <v>0</v>
      </c>
    </row>
    <row r="2967" spans="1:15" ht="15" customHeight="1" x14ac:dyDescent="0.3">
      <c r="A2967" s="23" t="s">
        <v>6427</v>
      </c>
      <c r="B2967" s="38">
        <v>46272</v>
      </c>
      <c r="C2967" s="23" t="s">
        <v>6428</v>
      </c>
      <c r="D2967" s="23" t="s">
        <v>91</v>
      </c>
      <c r="E2967" s="23" t="s">
        <v>75</v>
      </c>
      <c r="F2967" s="23" t="s">
        <v>974</v>
      </c>
      <c r="G2967" s="23" t="s">
        <v>250</v>
      </c>
      <c r="H2967" s="39">
        <f t="shared" si="184"/>
        <v>1498</v>
      </c>
      <c r="I2967" s="23" t="str">
        <f t="shared" si="185"/>
        <v>Pune</v>
      </c>
      <c r="J2967" s="23">
        <f>COUNTIFS(pg_transaction_cleaned!$O:$O,A2967,pg_transaction_cleaned!$F:$F,"CAPTURE")</f>
        <v>1</v>
      </c>
      <c r="K2967" s="39">
        <f>SUMIFS(pg_transaction_cleaned!$H:$H,pg_transaction_cleaned!$O:$O,A2967,pg_transaction_cleaned!$F:$F,"CAPTURE")</f>
        <v>1498</v>
      </c>
      <c r="L2967" s="23">
        <f>COUNTIFS(pg_transaction_cleaned!$O:$O,A2967,pg_transaction_cleaned!$F:$F,"REFUND")</f>
        <v>0</v>
      </c>
      <c r="M2967" s="39">
        <f>SUMIFS(pg_transaction_cleaned!$H:$H,pg_transaction_cleaned!$O:$O,A2967,pg_transaction_cleaned!$F:$F,"REFUND")</f>
        <v>0</v>
      </c>
      <c r="N2967" s="23" t="str">
        <f t="shared" si="186"/>
        <v>OK</v>
      </c>
      <c r="O2967" s="24">
        <f t="shared" si="187"/>
        <v>0</v>
      </c>
    </row>
    <row r="2968" spans="1:15" ht="15" customHeight="1" x14ac:dyDescent="0.3">
      <c r="A2968" s="23" t="s">
        <v>6429</v>
      </c>
      <c r="B2968" s="38">
        <v>46279</v>
      </c>
      <c r="C2968" s="23" t="s">
        <v>6430</v>
      </c>
      <c r="D2968" s="23" t="s">
        <v>95</v>
      </c>
      <c r="E2968" s="23" t="s">
        <v>77</v>
      </c>
      <c r="F2968" s="23" t="s">
        <v>6431</v>
      </c>
      <c r="G2968" s="23" t="s">
        <v>250</v>
      </c>
      <c r="H2968" s="39">
        <f t="shared" si="184"/>
        <v>7847</v>
      </c>
      <c r="I2968" s="23" t="str">
        <f t="shared" si="185"/>
        <v>Bengaluru</v>
      </c>
      <c r="J2968" s="23">
        <f>COUNTIFS(pg_transaction_cleaned!$O:$O,A2968,pg_transaction_cleaned!$F:$F,"CAPTURE")</f>
        <v>1</v>
      </c>
      <c r="K2968" s="39">
        <f>SUMIFS(pg_transaction_cleaned!$H:$H,pg_transaction_cleaned!$O:$O,A2968,pg_transaction_cleaned!$F:$F,"CAPTURE")</f>
        <v>7847</v>
      </c>
      <c r="L2968" s="23">
        <f>COUNTIFS(pg_transaction_cleaned!$O:$O,A2968,pg_transaction_cleaned!$F:$F,"REFUND")</f>
        <v>0</v>
      </c>
      <c r="M2968" s="39">
        <f>SUMIFS(pg_transaction_cleaned!$H:$H,pg_transaction_cleaned!$O:$O,A2968,pg_transaction_cleaned!$F:$F,"REFUND")</f>
        <v>0</v>
      </c>
      <c r="N2968" s="23" t="str">
        <f t="shared" si="186"/>
        <v>OK</v>
      </c>
      <c r="O2968" s="24">
        <f t="shared" si="187"/>
        <v>0</v>
      </c>
    </row>
    <row r="2969" spans="1:15" ht="15" customHeight="1" x14ac:dyDescent="0.3">
      <c r="A2969" s="23" t="s">
        <v>6432</v>
      </c>
      <c r="B2969" s="38">
        <v>46291</v>
      </c>
      <c r="C2969" s="23" t="s">
        <v>6433</v>
      </c>
      <c r="D2969" s="23" t="s">
        <v>87</v>
      </c>
      <c r="E2969" s="23" t="s">
        <v>75</v>
      </c>
      <c r="F2969" s="23" t="s">
        <v>297</v>
      </c>
      <c r="G2969" s="23" t="s">
        <v>250</v>
      </c>
      <c r="H2969" s="39">
        <f t="shared" si="184"/>
        <v>4999</v>
      </c>
      <c r="I2969" s="23" t="str">
        <f t="shared" si="185"/>
        <v>Mumbai</v>
      </c>
      <c r="J2969" s="23">
        <f>COUNTIFS(pg_transaction_cleaned!$O:$O,A2969,pg_transaction_cleaned!$F:$F,"CAPTURE")</f>
        <v>1</v>
      </c>
      <c r="K2969" s="39">
        <f>SUMIFS(pg_transaction_cleaned!$H:$H,pg_transaction_cleaned!$O:$O,A2969,pg_transaction_cleaned!$F:$F,"CAPTURE")</f>
        <v>4999</v>
      </c>
      <c r="L2969" s="23">
        <f>COUNTIFS(pg_transaction_cleaned!$O:$O,A2969,pg_transaction_cleaned!$F:$F,"REFUND")</f>
        <v>0</v>
      </c>
      <c r="M2969" s="39">
        <f>SUMIFS(pg_transaction_cleaned!$H:$H,pg_transaction_cleaned!$O:$O,A2969,pg_transaction_cleaned!$F:$F,"REFUND")</f>
        <v>0</v>
      </c>
      <c r="N2969" s="23" t="str">
        <f t="shared" si="186"/>
        <v>OK</v>
      </c>
      <c r="O2969" s="24">
        <f t="shared" si="187"/>
        <v>0</v>
      </c>
    </row>
    <row r="2970" spans="1:15" ht="15" customHeight="1" x14ac:dyDescent="0.3">
      <c r="A2970" s="23" t="s">
        <v>6434</v>
      </c>
      <c r="B2970" s="38">
        <v>46274</v>
      </c>
      <c r="C2970" s="23" t="s">
        <v>6435</v>
      </c>
      <c r="D2970" s="23" t="s">
        <v>88</v>
      </c>
      <c r="E2970" s="23" t="s">
        <v>79</v>
      </c>
      <c r="F2970" s="23" t="s">
        <v>249</v>
      </c>
      <c r="G2970" s="23" t="s">
        <v>250</v>
      </c>
      <c r="H2970" s="39">
        <f t="shared" si="184"/>
        <v>299</v>
      </c>
      <c r="I2970" s="23" t="str">
        <f t="shared" si="185"/>
        <v>Lucknow</v>
      </c>
      <c r="J2970" s="23">
        <f>COUNTIFS(pg_transaction_cleaned!$O:$O,A2970,pg_transaction_cleaned!$F:$F,"CAPTURE")</f>
        <v>1</v>
      </c>
      <c r="K2970" s="39">
        <f>SUMIFS(pg_transaction_cleaned!$H:$H,pg_transaction_cleaned!$O:$O,A2970,pg_transaction_cleaned!$F:$F,"CAPTURE")</f>
        <v>299</v>
      </c>
      <c r="L2970" s="23">
        <f>COUNTIFS(pg_transaction_cleaned!$O:$O,A2970,pg_transaction_cleaned!$F:$F,"REFUND")</f>
        <v>0</v>
      </c>
      <c r="M2970" s="39">
        <f>SUMIFS(pg_transaction_cleaned!$H:$H,pg_transaction_cleaned!$O:$O,A2970,pg_transaction_cleaned!$F:$F,"REFUND")</f>
        <v>0</v>
      </c>
      <c r="N2970" s="23" t="str">
        <f t="shared" si="186"/>
        <v>OK</v>
      </c>
      <c r="O2970" s="24">
        <f t="shared" si="187"/>
        <v>0</v>
      </c>
    </row>
    <row r="2971" spans="1:15" ht="15" customHeight="1" x14ac:dyDescent="0.3">
      <c r="A2971" s="23" t="s">
        <v>6436</v>
      </c>
      <c r="B2971" s="38">
        <v>46278</v>
      </c>
      <c r="C2971" s="23" t="s">
        <v>6437</v>
      </c>
      <c r="D2971" s="23" t="s">
        <v>95</v>
      </c>
      <c r="E2971" s="23" t="s">
        <v>75</v>
      </c>
      <c r="F2971" s="23" t="s">
        <v>396</v>
      </c>
      <c r="G2971" s="23" t="s">
        <v>250</v>
      </c>
      <c r="H2971" s="39">
        <f t="shared" si="184"/>
        <v>2999</v>
      </c>
      <c r="I2971" s="23" t="str">
        <f t="shared" si="185"/>
        <v>Bengaluru</v>
      </c>
      <c r="J2971" s="23">
        <f>COUNTIFS(pg_transaction_cleaned!$O:$O,A2971,pg_transaction_cleaned!$F:$F,"CAPTURE")</f>
        <v>1</v>
      </c>
      <c r="K2971" s="39">
        <f>SUMIFS(pg_transaction_cleaned!$H:$H,pg_transaction_cleaned!$O:$O,A2971,pg_transaction_cleaned!$F:$F,"CAPTURE")</f>
        <v>2999</v>
      </c>
      <c r="L2971" s="23">
        <f>COUNTIFS(pg_transaction_cleaned!$O:$O,A2971,pg_transaction_cleaned!$F:$F,"REFUND")</f>
        <v>0</v>
      </c>
      <c r="M2971" s="39">
        <f>SUMIFS(pg_transaction_cleaned!$H:$H,pg_transaction_cleaned!$O:$O,A2971,pg_transaction_cleaned!$F:$F,"REFUND")</f>
        <v>0</v>
      </c>
      <c r="N2971" s="23" t="str">
        <f t="shared" si="186"/>
        <v>OK</v>
      </c>
      <c r="O2971" s="24">
        <f t="shared" si="187"/>
        <v>0</v>
      </c>
    </row>
    <row r="2972" spans="1:15" ht="15" customHeight="1" x14ac:dyDescent="0.3">
      <c r="A2972" s="23" t="s">
        <v>6438</v>
      </c>
      <c r="B2972" s="38">
        <v>46294</v>
      </c>
      <c r="C2972" s="23" t="s">
        <v>6439</v>
      </c>
      <c r="D2972" s="23" t="s">
        <v>94</v>
      </c>
      <c r="E2972" s="23" t="s">
        <v>77</v>
      </c>
      <c r="F2972" s="23" t="s">
        <v>2364</v>
      </c>
      <c r="G2972" s="23" t="s">
        <v>250</v>
      </c>
      <c r="H2972" s="39">
        <f t="shared" si="184"/>
        <v>3297</v>
      </c>
      <c r="I2972" s="23" t="str">
        <f t="shared" si="185"/>
        <v>Chennai</v>
      </c>
      <c r="J2972" s="23">
        <f>COUNTIFS(pg_transaction_cleaned!$O:$O,A2972,pg_transaction_cleaned!$F:$F,"CAPTURE")</f>
        <v>1</v>
      </c>
      <c r="K2972" s="39">
        <f>SUMIFS(pg_transaction_cleaned!$H:$H,pg_transaction_cleaned!$O:$O,A2972,pg_transaction_cleaned!$F:$F,"CAPTURE")</f>
        <v>3297</v>
      </c>
      <c r="L2972" s="23">
        <f>COUNTIFS(pg_transaction_cleaned!$O:$O,A2972,pg_transaction_cleaned!$F:$F,"REFUND")</f>
        <v>0</v>
      </c>
      <c r="M2972" s="39">
        <f>SUMIFS(pg_transaction_cleaned!$H:$H,pg_transaction_cleaned!$O:$O,A2972,pg_transaction_cleaned!$F:$F,"REFUND")</f>
        <v>0</v>
      </c>
      <c r="N2972" s="23" t="str">
        <f t="shared" si="186"/>
        <v>OK</v>
      </c>
      <c r="O2972" s="24">
        <f t="shared" si="187"/>
        <v>0</v>
      </c>
    </row>
    <row r="2973" spans="1:15" ht="15" customHeight="1" x14ac:dyDescent="0.3">
      <c r="A2973" s="23" t="s">
        <v>6440</v>
      </c>
      <c r="B2973" s="38">
        <v>46293</v>
      </c>
      <c r="C2973" s="23" t="s">
        <v>6441</v>
      </c>
      <c r="D2973" s="23" t="s">
        <v>89</v>
      </c>
      <c r="E2973" s="23" t="s">
        <v>75</v>
      </c>
      <c r="F2973" s="23" t="s">
        <v>1035</v>
      </c>
      <c r="G2973" s="23" t="s">
        <v>250</v>
      </c>
      <c r="H2973" s="39">
        <f t="shared" si="184"/>
        <v>1299</v>
      </c>
      <c r="I2973" s="23" t="str">
        <f t="shared" si="185"/>
        <v>Jaipur</v>
      </c>
      <c r="J2973" s="23">
        <f>COUNTIFS(pg_transaction_cleaned!$O:$O,A2973,pg_transaction_cleaned!$F:$F,"CAPTURE")</f>
        <v>1</v>
      </c>
      <c r="K2973" s="39">
        <f>SUMIFS(pg_transaction_cleaned!$H:$H,pg_transaction_cleaned!$O:$O,A2973,pg_transaction_cleaned!$F:$F,"CAPTURE")</f>
        <v>1299</v>
      </c>
      <c r="L2973" s="23">
        <f>COUNTIFS(pg_transaction_cleaned!$O:$O,A2973,pg_transaction_cleaned!$F:$F,"REFUND")</f>
        <v>0</v>
      </c>
      <c r="M2973" s="39">
        <f>SUMIFS(pg_transaction_cleaned!$H:$H,pg_transaction_cleaned!$O:$O,A2973,pg_transaction_cleaned!$F:$F,"REFUND")</f>
        <v>0</v>
      </c>
      <c r="N2973" s="23" t="str">
        <f t="shared" si="186"/>
        <v>OK</v>
      </c>
      <c r="O2973" s="24">
        <f t="shared" si="187"/>
        <v>0</v>
      </c>
    </row>
    <row r="2974" spans="1:15" ht="15" customHeight="1" x14ac:dyDescent="0.3">
      <c r="A2974" s="23" t="s">
        <v>6442</v>
      </c>
      <c r="B2974" s="38">
        <v>46279</v>
      </c>
      <c r="C2974" s="23" t="s">
        <v>6443</v>
      </c>
      <c r="D2974" s="23" t="s">
        <v>95</v>
      </c>
      <c r="E2974" s="23" t="s">
        <v>75</v>
      </c>
      <c r="F2974" s="23" t="s">
        <v>1596</v>
      </c>
      <c r="G2974" s="23" t="s">
        <v>250</v>
      </c>
      <c r="H2974" s="39">
        <f t="shared" si="184"/>
        <v>3499</v>
      </c>
      <c r="I2974" s="23" t="str">
        <f t="shared" si="185"/>
        <v>Bengaluru</v>
      </c>
      <c r="J2974" s="23">
        <f>COUNTIFS(pg_transaction_cleaned!$O:$O,A2974,pg_transaction_cleaned!$F:$F,"CAPTURE")</f>
        <v>1</v>
      </c>
      <c r="K2974" s="39">
        <f>SUMIFS(pg_transaction_cleaned!$H:$H,pg_transaction_cleaned!$O:$O,A2974,pg_transaction_cleaned!$F:$F,"CAPTURE")</f>
        <v>3499</v>
      </c>
      <c r="L2974" s="23">
        <f>COUNTIFS(pg_transaction_cleaned!$O:$O,A2974,pg_transaction_cleaned!$F:$F,"REFUND")</f>
        <v>0</v>
      </c>
      <c r="M2974" s="39">
        <f>SUMIFS(pg_transaction_cleaned!$H:$H,pg_transaction_cleaned!$O:$O,A2974,pg_transaction_cleaned!$F:$F,"REFUND")</f>
        <v>0</v>
      </c>
      <c r="N2974" s="23" t="str">
        <f t="shared" si="186"/>
        <v>OK</v>
      </c>
      <c r="O2974" s="24">
        <f t="shared" si="187"/>
        <v>0</v>
      </c>
    </row>
    <row r="2975" spans="1:15" ht="15" customHeight="1" x14ac:dyDescent="0.3">
      <c r="A2975" s="23" t="s">
        <v>6444</v>
      </c>
      <c r="B2975" s="38">
        <v>46288</v>
      </c>
      <c r="C2975" s="23" t="s">
        <v>6445</v>
      </c>
      <c r="D2975" s="23" t="s">
        <v>92</v>
      </c>
      <c r="E2975" s="23" t="s">
        <v>75</v>
      </c>
      <c r="F2975" s="23" t="s">
        <v>475</v>
      </c>
      <c r="G2975" s="23" t="s">
        <v>318</v>
      </c>
      <c r="H2975" s="39">
        <f t="shared" si="184"/>
        <v>799</v>
      </c>
      <c r="I2975" s="23" t="str">
        <f t="shared" si="185"/>
        <v>Hyderabad</v>
      </c>
      <c r="J2975" s="23">
        <f>COUNTIFS(pg_transaction_cleaned!$O:$O,A2975,pg_transaction_cleaned!$F:$F,"CAPTURE")</f>
        <v>0</v>
      </c>
      <c r="K2975" s="39">
        <f>SUMIFS(pg_transaction_cleaned!$H:$H,pg_transaction_cleaned!$O:$O,A2975,pg_transaction_cleaned!$F:$F,"CAPTURE")</f>
        <v>0</v>
      </c>
      <c r="L2975" s="23">
        <f>COUNTIFS(pg_transaction_cleaned!$O:$O,A2975,pg_transaction_cleaned!$F:$F,"REFUND")</f>
        <v>0</v>
      </c>
      <c r="M2975" s="39">
        <f>SUMIFS(pg_transaction_cleaned!$H:$H,pg_transaction_cleaned!$O:$O,A2975,pg_transaction_cleaned!$F:$F,"REFUND")</f>
        <v>0</v>
      </c>
      <c r="N2975" s="23" t="str">
        <f t="shared" si="186"/>
        <v>OK</v>
      </c>
      <c r="O2975" s="24">
        <f t="shared" si="187"/>
        <v>0</v>
      </c>
    </row>
    <row r="2976" spans="1:15" ht="15" customHeight="1" x14ac:dyDescent="0.3">
      <c r="A2976" s="23" t="s">
        <v>6446</v>
      </c>
      <c r="B2976" s="38">
        <v>46271</v>
      </c>
      <c r="C2976" s="23" t="s">
        <v>6447</v>
      </c>
      <c r="D2976" s="23" t="s">
        <v>92</v>
      </c>
      <c r="E2976" s="23" t="s">
        <v>77</v>
      </c>
      <c r="F2976" s="23" t="s">
        <v>297</v>
      </c>
      <c r="G2976" s="23" t="s">
        <v>250</v>
      </c>
      <c r="H2976" s="39">
        <f t="shared" si="184"/>
        <v>4999</v>
      </c>
      <c r="I2976" s="23" t="str">
        <f t="shared" si="185"/>
        <v>Hyderabad</v>
      </c>
      <c r="J2976" s="23">
        <f>COUNTIFS(pg_transaction_cleaned!$O:$O,A2976,pg_transaction_cleaned!$F:$F,"CAPTURE")</f>
        <v>1</v>
      </c>
      <c r="K2976" s="39">
        <f>SUMIFS(pg_transaction_cleaned!$H:$H,pg_transaction_cleaned!$O:$O,A2976,pg_transaction_cleaned!$F:$F,"CAPTURE")</f>
        <v>4999</v>
      </c>
      <c r="L2976" s="23">
        <f>COUNTIFS(pg_transaction_cleaned!$O:$O,A2976,pg_transaction_cleaned!$F:$F,"REFUND")</f>
        <v>0</v>
      </c>
      <c r="M2976" s="39">
        <f>SUMIFS(pg_transaction_cleaned!$H:$H,pg_transaction_cleaned!$O:$O,A2976,pg_transaction_cleaned!$F:$F,"REFUND")</f>
        <v>0</v>
      </c>
      <c r="N2976" s="23" t="str">
        <f t="shared" si="186"/>
        <v>OK</v>
      </c>
      <c r="O2976" s="24">
        <f t="shared" si="187"/>
        <v>0</v>
      </c>
    </row>
    <row r="2977" spans="1:15" ht="15" customHeight="1" x14ac:dyDescent="0.3">
      <c r="A2977" s="23" t="s">
        <v>6448</v>
      </c>
      <c r="B2977" s="38">
        <v>46278</v>
      </c>
      <c r="C2977" s="23" t="s">
        <v>6449</v>
      </c>
      <c r="D2977" s="23" t="s">
        <v>90</v>
      </c>
      <c r="E2977" s="23" t="s">
        <v>75</v>
      </c>
      <c r="F2977" s="23" t="s">
        <v>294</v>
      </c>
      <c r="G2977" s="23" t="s">
        <v>250</v>
      </c>
      <c r="H2977" s="39">
        <f t="shared" si="184"/>
        <v>1799</v>
      </c>
      <c r="I2977" s="23" t="str">
        <f t="shared" si="185"/>
        <v>Ahmedabad</v>
      </c>
      <c r="J2977" s="23">
        <f>COUNTIFS(pg_transaction_cleaned!$O:$O,A2977,pg_transaction_cleaned!$F:$F,"CAPTURE")</f>
        <v>1</v>
      </c>
      <c r="K2977" s="39">
        <f>SUMIFS(pg_transaction_cleaned!$H:$H,pg_transaction_cleaned!$O:$O,A2977,pg_transaction_cleaned!$F:$F,"CAPTURE")</f>
        <v>1799</v>
      </c>
      <c r="L2977" s="23">
        <f>COUNTIFS(pg_transaction_cleaned!$O:$O,A2977,pg_transaction_cleaned!$F:$F,"REFUND")</f>
        <v>0</v>
      </c>
      <c r="M2977" s="39">
        <f>SUMIFS(pg_transaction_cleaned!$H:$H,pg_transaction_cleaned!$O:$O,A2977,pg_transaction_cleaned!$F:$F,"REFUND")</f>
        <v>0</v>
      </c>
      <c r="N2977" s="23" t="str">
        <f t="shared" si="186"/>
        <v>OK</v>
      </c>
      <c r="O2977" s="24">
        <f t="shared" si="187"/>
        <v>0</v>
      </c>
    </row>
    <row r="2978" spans="1:15" ht="15" customHeight="1" x14ac:dyDescent="0.3">
      <c r="A2978" s="23" t="s">
        <v>6450</v>
      </c>
      <c r="B2978" s="38">
        <v>46295</v>
      </c>
      <c r="C2978" s="23" t="s">
        <v>3951</v>
      </c>
      <c r="D2978" s="23" t="s">
        <v>94</v>
      </c>
      <c r="E2978" s="23" t="s">
        <v>75</v>
      </c>
      <c r="F2978" s="23" t="s">
        <v>291</v>
      </c>
      <c r="G2978" s="23" t="s">
        <v>250</v>
      </c>
      <c r="H2978" s="39">
        <f t="shared" si="184"/>
        <v>3499</v>
      </c>
      <c r="I2978" s="23" t="str">
        <f t="shared" si="185"/>
        <v>Chennai</v>
      </c>
      <c r="J2978" s="23">
        <f>COUNTIFS(pg_transaction_cleaned!$O:$O,A2978,pg_transaction_cleaned!$F:$F,"CAPTURE")</f>
        <v>1</v>
      </c>
      <c r="K2978" s="39">
        <f>SUMIFS(pg_transaction_cleaned!$H:$H,pg_transaction_cleaned!$O:$O,A2978,pg_transaction_cleaned!$F:$F,"CAPTURE")</f>
        <v>3499</v>
      </c>
      <c r="L2978" s="23">
        <f>COUNTIFS(pg_transaction_cleaned!$O:$O,A2978,pg_transaction_cleaned!$F:$F,"REFUND")</f>
        <v>0</v>
      </c>
      <c r="M2978" s="39">
        <f>SUMIFS(pg_transaction_cleaned!$H:$H,pg_transaction_cleaned!$O:$O,A2978,pg_transaction_cleaned!$F:$F,"REFUND")</f>
        <v>0</v>
      </c>
      <c r="N2978" s="23" t="str">
        <f t="shared" si="186"/>
        <v>OK</v>
      </c>
      <c r="O2978" s="24">
        <f t="shared" si="187"/>
        <v>0</v>
      </c>
    </row>
    <row r="2979" spans="1:15" ht="15" customHeight="1" x14ac:dyDescent="0.3">
      <c r="A2979" s="23" t="s">
        <v>6451</v>
      </c>
      <c r="B2979" s="38">
        <v>46277</v>
      </c>
      <c r="C2979" s="23" t="s">
        <v>6452</v>
      </c>
      <c r="D2979" s="23" t="s">
        <v>86</v>
      </c>
      <c r="E2979" s="23" t="s">
        <v>75</v>
      </c>
      <c r="F2979" s="23" t="s">
        <v>265</v>
      </c>
      <c r="G2979" s="23" t="s">
        <v>301</v>
      </c>
      <c r="H2979" s="39">
        <f t="shared" si="184"/>
        <v>999</v>
      </c>
      <c r="I2979" s="23" t="str">
        <f t="shared" si="185"/>
        <v>Delhi</v>
      </c>
      <c r="J2979" s="23">
        <f>COUNTIFS(pg_transaction_cleaned!$O:$O,A2979,pg_transaction_cleaned!$F:$F,"CAPTURE")</f>
        <v>1</v>
      </c>
      <c r="K2979" s="39">
        <f>SUMIFS(pg_transaction_cleaned!$H:$H,pg_transaction_cleaned!$O:$O,A2979,pg_transaction_cleaned!$F:$F,"CAPTURE")</f>
        <v>999</v>
      </c>
      <c r="L2979" s="23">
        <f>COUNTIFS(pg_transaction_cleaned!$O:$O,A2979,pg_transaction_cleaned!$F:$F,"REFUND")</f>
        <v>1</v>
      </c>
      <c r="M2979" s="39">
        <f>SUMIFS(pg_transaction_cleaned!$H:$H,pg_transaction_cleaned!$O:$O,A2979,pg_transaction_cleaned!$F:$F,"REFUND")</f>
        <v>999</v>
      </c>
      <c r="N2979" s="23" t="str">
        <f t="shared" si="186"/>
        <v>OK</v>
      </c>
      <c r="O2979" s="24">
        <f t="shared" si="187"/>
        <v>0</v>
      </c>
    </row>
    <row r="2980" spans="1:15" ht="15" customHeight="1" x14ac:dyDescent="0.3">
      <c r="A2980" s="23" t="s">
        <v>6453</v>
      </c>
      <c r="B2980" s="38">
        <v>46289</v>
      </c>
      <c r="C2980" s="23" t="s">
        <v>6454</v>
      </c>
      <c r="D2980" s="23" t="s">
        <v>91</v>
      </c>
      <c r="E2980" s="23" t="s">
        <v>77</v>
      </c>
      <c r="F2980" s="23" t="s">
        <v>271</v>
      </c>
      <c r="G2980" s="23" t="s">
        <v>250</v>
      </c>
      <c r="H2980" s="39">
        <f t="shared" si="184"/>
        <v>2499</v>
      </c>
      <c r="I2980" s="23" t="str">
        <f t="shared" si="185"/>
        <v>Pune</v>
      </c>
      <c r="J2980" s="23">
        <f>COUNTIFS(pg_transaction_cleaned!$O:$O,A2980,pg_transaction_cleaned!$F:$F,"CAPTURE")</f>
        <v>1</v>
      </c>
      <c r="K2980" s="39">
        <f>SUMIFS(pg_transaction_cleaned!$H:$H,pg_transaction_cleaned!$O:$O,A2980,pg_transaction_cleaned!$F:$F,"CAPTURE")</f>
        <v>2499</v>
      </c>
      <c r="L2980" s="23">
        <f>COUNTIFS(pg_transaction_cleaned!$O:$O,A2980,pg_transaction_cleaned!$F:$F,"REFUND")</f>
        <v>0</v>
      </c>
      <c r="M2980" s="39">
        <f>SUMIFS(pg_transaction_cleaned!$H:$H,pg_transaction_cleaned!$O:$O,A2980,pg_transaction_cleaned!$F:$F,"REFUND")</f>
        <v>0</v>
      </c>
      <c r="N2980" s="23" t="str">
        <f t="shared" si="186"/>
        <v>OK</v>
      </c>
      <c r="O2980" s="24">
        <f t="shared" si="187"/>
        <v>0</v>
      </c>
    </row>
    <row r="2981" spans="1:15" ht="15" customHeight="1" x14ac:dyDescent="0.3">
      <c r="A2981" s="23" t="s">
        <v>6455</v>
      </c>
      <c r="B2981" s="38">
        <v>46267</v>
      </c>
      <c r="C2981" s="23" t="s">
        <v>6456</v>
      </c>
      <c r="D2981" s="23" t="s">
        <v>91</v>
      </c>
      <c r="E2981" s="23" t="s">
        <v>75</v>
      </c>
      <c r="F2981" s="23" t="s">
        <v>514</v>
      </c>
      <c r="G2981" s="23" t="s">
        <v>250</v>
      </c>
      <c r="H2981" s="39">
        <f t="shared" si="184"/>
        <v>6498</v>
      </c>
      <c r="I2981" s="23" t="str">
        <f t="shared" si="185"/>
        <v>Pune</v>
      </c>
      <c r="J2981" s="23">
        <f>COUNTIFS(pg_transaction_cleaned!$O:$O,A2981,pg_transaction_cleaned!$F:$F,"CAPTURE")</f>
        <v>1</v>
      </c>
      <c r="K2981" s="39">
        <f>SUMIFS(pg_transaction_cleaned!$H:$H,pg_transaction_cleaned!$O:$O,A2981,pg_transaction_cleaned!$F:$F,"CAPTURE")</f>
        <v>6498</v>
      </c>
      <c r="L2981" s="23">
        <f>COUNTIFS(pg_transaction_cleaned!$O:$O,A2981,pg_transaction_cleaned!$F:$F,"REFUND")</f>
        <v>0</v>
      </c>
      <c r="M2981" s="39">
        <f>SUMIFS(pg_transaction_cleaned!$H:$H,pg_transaction_cleaned!$O:$O,A2981,pg_transaction_cleaned!$F:$F,"REFUND")</f>
        <v>0</v>
      </c>
      <c r="N2981" s="23" t="str">
        <f t="shared" si="186"/>
        <v>OK</v>
      </c>
      <c r="O2981" s="24">
        <f t="shared" si="187"/>
        <v>0</v>
      </c>
    </row>
    <row r="2982" spans="1:15" ht="15" customHeight="1" x14ac:dyDescent="0.3">
      <c r="A2982" s="23" t="s">
        <v>6457</v>
      </c>
      <c r="B2982" s="38">
        <v>46294</v>
      </c>
      <c r="C2982" s="23" t="s">
        <v>6458</v>
      </c>
      <c r="D2982" s="23" t="s">
        <v>89</v>
      </c>
      <c r="E2982" s="23" t="s">
        <v>77</v>
      </c>
      <c r="F2982" s="23" t="s">
        <v>274</v>
      </c>
      <c r="G2982" s="23" t="s">
        <v>318</v>
      </c>
      <c r="H2982" s="39">
        <f t="shared" si="184"/>
        <v>349</v>
      </c>
      <c r="I2982" s="23" t="str">
        <f t="shared" si="185"/>
        <v>Jaipur</v>
      </c>
      <c r="J2982" s="23">
        <f>COUNTIFS(pg_transaction_cleaned!$O:$O,A2982,pg_transaction_cleaned!$F:$F,"CAPTURE")</f>
        <v>0</v>
      </c>
      <c r="K2982" s="39">
        <f>SUMIFS(pg_transaction_cleaned!$H:$H,pg_transaction_cleaned!$O:$O,A2982,pg_transaction_cleaned!$F:$F,"CAPTURE")</f>
        <v>0</v>
      </c>
      <c r="L2982" s="23">
        <f>COUNTIFS(pg_transaction_cleaned!$O:$O,A2982,pg_transaction_cleaned!$F:$F,"REFUND")</f>
        <v>0</v>
      </c>
      <c r="M2982" s="39">
        <f>SUMIFS(pg_transaction_cleaned!$H:$H,pg_transaction_cleaned!$O:$O,A2982,pg_transaction_cleaned!$F:$F,"REFUND")</f>
        <v>0</v>
      </c>
      <c r="N2982" s="23" t="str">
        <f t="shared" si="186"/>
        <v>OK</v>
      </c>
      <c r="O2982" s="24">
        <f t="shared" si="187"/>
        <v>0</v>
      </c>
    </row>
    <row r="2983" spans="1:15" ht="15" customHeight="1" x14ac:dyDescent="0.3">
      <c r="A2983" s="23" t="s">
        <v>6459</v>
      </c>
      <c r="B2983" s="38">
        <v>46278</v>
      </c>
      <c r="C2983" s="23" t="s">
        <v>6460</v>
      </c>
      <c r="D2983" s="23" t="s">
        <v>92</v>
      </c>
      <c r="E2983" s="23" t="s">
        <v>75</v>
      </c>
      <c r="F2983" s="23" t="s">
        <v>271</v>
      </c>
      <c r="G2983" s="23" t="s">
        <v>301</v>
      </c>
      <c r="H2983" s="39">
        <f t="shared" si="184"/>
        <v>2499</v>
      </c>
      <c r="I2983" s="23" t="str">
        <f t="shared" si="185"/>
        <v>Hyderabad</v>
      </c>
      <c r="J2983" s="23">
        <f>COUNTIFS(pg_transaction_cleaned!$O:$O,A2983,pg_transaction_cleaned!$F:$F,"CAPTURE")</f>
        <v>1</v>
      </c>
      <c r="K2983" s="39">
        <f>SUMIFS(pg_transaction_cleaned!$H:$H,pg_transaction_cleaned!$O:$O,A2983,pg_transaction_cleaned!$F:$F,"CAPTURE")</f>
        <v>2499</v>
      </c>
      <c r="L2983" s="23">
        <f>COUNTIFS(pg_transaction_cleaned!$O:$O,A2983,pg_transaction_cleaned!$F:$F,"REFUND")</f>
        <v>1</v>
      </c>
      <c r="M2983" s="39">
        <f>SUMIFS(pg_transaction_cleaned!$H:$H,pg_transaction_cleaned!$O:$O,A2983,pg_transaction_cleaned!$F:$F,"REFUND")</f>
        <v>2499</v>
      </c>
      <c r="N2983" s="23" t="str">
        <f t="shared" si="186"/>
        <v>OK</v>
      </c>
      <c r="O2983" s="24">
        <f t="shared" si="187"/>
        <v>0</v>
      </c>
    </row>
    <row r="2984" spans="1:15" ht="15" customHeight="1" x14ac:dyDescent="0.3">
      <c r="A2984" s="23" t="s">
        <v>6461</v>
      </c>
      <c r="B2984" s="38">
        <v>46288</v>
      </c>
      <c r="C2984" s="23" t="s">
        <v>6462</v>
      </c>
      <c r="D2984" s="23" t="s">
        <v>87</v>
      </c>
      <c r="E2984" s="23" t="s">
        <v>79</v>
      </c>
      <c r="F2984" s="23" t="s">
        <v>288</v>
      </c>
      <c r="G2984" s="23" t="s">
        <v>250</v>
      </c>
      <c r="H2984" s="39">
        <f t="shared" si="184"/>
        <v>4298</v>
      </c>
      <c r="I2984" s="23" t="str">
        <f t="shared" si="185"/>
        <v>Mumbai</v>
      </c>
      <c r="J2984" s="23">
        <f>COUNTIFS(pg_transaction_cleaned!$O:$O,A2984,pg_transaction_cleaned!$F:$F,"CAPTURE")</f>
        <v>1</v>
      </c>
      <c r="K2984" s="39">
        <f>SUMIFS(pg_transaction_cleaned!$H:$H,pg_transaction_cleaned!$O:$O,A2984,pg_transaction_cleaned!$F:$F,"CAPTURE")</f>
        <v>4298</v>
      </c>
      <c r="L2984" s="23">
        <f>COUNTIFS(pg_transaction_cleaned!$O:$O,A2984,pg_transaction_cleaned!$F:$F,"REFUND")</f>
        <v>0</v>
      </c>
      <c r="M2984" s="39">
        <f>SUMIFS(pg_transaction_cleaned!$H:$H,pg_transaction_cleaned!$O:$O,A2984,pg_transaction_cleaned!$F:$F,"REFUND")</f>
        <v>0</v>
      </c>
      <c r="N2984" s="23" t="str">
        <f t="shared" si="186"/>
        <v>OK</v>
      </c>
      <c r="O2984" s="24">
        <f t="shared" si="187"/>
        <v>0</v>
      </c>
    </row>
    <row r="2985" spans="1:15" ht="15" customHeight="1" x14ac:dyDescent="0.3">
      <c r="A2985" s="23" t="s">
        <v>6463</v>
      </c>
      <c r="B2985" s="38">
        <v>46278</v>
      </c>
      <c r="C2985" s="23" t="s">
        <v>6464</v>
      </c>
      <c r="D2985" s="23" t="s">
        <v>91</v>
      </c>
      <c r="E2985" s="23" t="s">
        <v>77</v>
      </c>
      <c r="F2985" s="23" t="s">
        <v>1693</v>
      </c>
      <c r="G2985" s="23" t="s">
        <v>250</v>
      </c>
      <c r="H2985" s="39">
        <f t="shared" si="184"/>
        <v>4097</v>
      </c>
      <c r="I2985" s="23" t="str">
        <f t="shared" si="185"/>
        <v>Pune</v>
      </c>
      <c r="J2985" s="23">
        <f>COUNTIFS(pg_transaction_cleaned!$O:$O,A2985,pg_transaction_cleaned!$F:$F,"CAPTURE")</f>
        <v>1</v>
      </c>
      <c r="K2985" s="39">
        <f>SUMIFS(pg_transaction_cleaned!$H:$H,pg_transaction_cleaned!$O:$O,A2985,pg_transaction_cleaned!$F:$F,"CAPTURE")</f>
        <v>4097</v>
      </c>
      <c r="L2985" s="23">
        <f>COUNTIFS(pg_transaction_cleaned!$O:$O,A2985,pg_transaction_cleaned!$F:$F,"REFUND")</f>
        <v>0</v>
      </c>
      <c r="M2985" s="39">
        <f>SUMIFS(pg_transaction_cleaned!$H:$H,pg_transaction_cleaned!$O:$O,A2985,pg_transaction_cleaned!$F:$F,"REFUND")</f>
        <v>0</v>
      </c>
      <c r="N2985" s="23" t="str">
        <f t="shared" si="186"/>
        <v>OK</v>
      </c>
      <c r="O2985" s="24">
        <f t="shared" si="187"/>
        <v>0</v>
      </c>
    </row>
    <row r="2986" spans="1:15" ht="15" customHeight="1" x14ac:dyDescent="0.3">
      <c r="A2986" s="23" t="s">
        <v>6465</v>
      </c>
      <c r="B2986" s="38">
        <v>46287</v>
      </c>
      <c r="C2986" s="23" t="s">
        <v>6466</v>
      </c>
      <c r="D2986" s="23" t="s">
        <v>90</v>
      </c>
      <c r="E2986" s="23" t="s">
        <v>79</v>
      </c>
      <c r="F2986" s="23" t="s">
        <v>249</v>
      </c>
      <c r="G2986" s="23" t="s">
        <v>365</v>
      </c>
      <c r="H2986" s="39">
        <f t="shared" si="184"/>
        <v>299</v>
      </c>
      <c r="I2986" s="23" t="str">
        <f t="shared" si="185"/>
        <v>Ahmedabad</v>
      </c>
      <c r="J2986" s="23">
        <f>COUNTIFS(pg_transaction_cleaned!$O:$O,A2986,pg_transaction_cleaned!$F:$F,"CAPTURE")</f>
        <v>0</v>
      </c>
      <c r="K2986" s="39">
        <f>SUMIFS(pg_transaction_cleaned!$H:$H,pg_transaction_cleaned!$O:$O,A2986,pg_transaction_cleaned!$F:$F,"CAPTURE")</f>
        <v>0</v>
      </c>
      <c r="L2986" s="23">
        <f>COUNTIFS(pg_transaction_cleaned!$O:$O,A2986,pg_transaction_cleaned!$F:$F,"REFUND")</f>
        <v>0</v>
      </c>
      <c r="M2986" s="39">
        <f>SUMIFS(pg_transaction_cleaned!$H:$H,pg_transaction_cleaned!$O:$O,A2986,pg_transaction_cleaned!$F:$F,"REFUND")</f>
        <v>0</v>
      </c>
      <c r="N2986" s="23" t="str">
        <f t="shared" si="186"/>
        <v>OK</v>
      </c>
      <c r="O2986" s="24">
        <f t="shared" si="187"/>
        <v>0</v>
      </c>
    </row>
    <row r="2987" spans="1:15" ht="15" customHeight="1" x14ac:dyDescent="0.3">
      <c r="A2987" s="23" t="s">
        <v>6467</v>
      </c>
      <c r="B2987" s="38">
        <v>46294</v>
      </c>
      <c r="C2987" s="23" t="s">
        <v>6468</v>
      </c>
      <c r="D2987" s="23" t="s">
        <v>87</v>
      </c>
      <c r="E2987" s="23" t="s">
        <v>79</v>
      </c>
      <c r="F2987" s="23" t="s">
        <v>297</v>
      </c>
      <c r="G2987" s="23" t="s">
        <v>250</v>
      </c>
      <c r="H2987" s="39">
        <f t="shared" si="184"/>
        <v>4999</v>
      </c>
      <c r="I2987" s="23" t="str">
        <f t="shared" si="185"/>
        <v>Mumbai</v>
      </c>
      <c r="J2987" s="23">
        <f>COUNTIFS(pg_transaction_cleaned!$O:$O,A2987,pg_transaction_cleaned!$F:$F,"CAPTURE")</f>
        <v>1</v>
      </c>
      <c r="K2987" s="39">
        <f>SUMIFS(pg_transaction_cleaned!$H:$H,pg_transaction_cleaned!$O:$O,A2987,pg_transaction_cleaned!$F:$F,"CAPTURE")</f>
        <v>4999</v>
      </c>
      <c r="L2987" s="23">
        <f>COUNTIFS(pg_transaction_cleaned!$O:$O,A2987,pg_transaction_cleaned!$F:$F,"REFUND")</f>
        <v>0</v>
      </c>
      <c r="M2987" s="39">
        <f>SUMIFS(pg_transaction_cleaned!$H:$H,pg_transaction_cleaned!$O:$O,A2987,pg_transaction_cleaned!$F:$F,"REFUND")</f>
        <v>0</v>
      </c>
      <c r="N2987" s="23" t="str">
        <f t="shared" si="186"/>
        <v>OK</v>
      </c>
      <c r="O2987" s="24">
        <f t="shared" si="187"/>
        <v>0</v>
      </c>
    </row>
    <row r="2988" spans="1:15" ht="15" customHeight="1" x14ac:dyDescent="0.3">
      <c r="A2988" s="23" t="s">
        <v>6469</v>
      </c>
      <c r="B2988" s="38">
        <v>46271</v>
      </c>
      <c r="C2988" s="23" t="s">
        <v>6470</v>
      </c>
      <c r="D2988" s="23" t="s">
        <v>91</v>
      </c>
      <c r="E2988" s="23" t="s">
        <v>75</v>
      </c>
      <c r="F2988" s="23" t="s">
        <v>441</v>
      </c>
      <c r="G2988" s="23" t="s">
        <v>250</v>
      </c>
      <c r="H2988" s="39">
        <f t="shared" si="184"/>
        <v>9998</v>
      </c>
      <c r="I2988" s="23" t="str">
        <f t="shared" si="185"/>
        <v>Pune</v>
      </c>
      <c r="J2988" s="23">
        <f>COUNTIFS(pg_transaction_cleaned!$O:$O,A2988,pg_transaction_cleaned!$F:$F,"CAPTURE")</f>
        <v>1</v>
      </c>
      <c r="K2988" s="39">
        <f>SUMIFS(pg_transaction_cleaned!$H:$H,pg_transaction_cleaned!$O:$O,A2988,pg_transaction_cleaned!$F:$F,"CAPTURE")</f>
        <v>9998</v>
      </c>
      <c r="L2988" s="23">
        <f>COUNTIFS(pg_transaction_cleaned!$O:$O,A2988,pg_transaction_cleaned!$F:$F,"REFUND")</f>
        <v>0</v>
      </c>
      <c r="M2988" s="39">
        <f>SUMIFS(pg_transaction_cleaned!$H:$H,pg_transaction_cleaned!$O:$O,A2988,pg_transaction_cleaned!$F:$F,"REFUND")</f>
        <v>0</v>
      </c>
      <c r="N2988" s="23" t="str">
        <f t="shared" si="186"/>
        <v>OK</v>
      </c>
      <c r="O2988" s="24">
        <f t="shared" si="187"/>
        <v>0</v>
      </c>
    </row>
    <row r="2989" spans="1:15" ht="15" customHeight="1" x14ac:dyDescent="0.3">
      <c r="A2989" s="23" t="s">
        <v>6471</v>
      </c>
      <c r="B2989" s="38">
        <v>46276</v>
      </c>
      <c r="C2989" s="23" t="s">
        <v>6254</v>
      </c>
      <c r="D2989" s="23"/>
      <c r="E2989" s="23" t="s">
        <v>75</v>
      </c>
      <c r="F2989" s="23" t="s">
        <v>310</v>
      </c>
      <c r="G2989" s="23" t="s">
        <v>250</v>
      </c>
      <c r="H2989" s="39">
        <f t="shared" si="184"/>
        <v>7999</v>
      </c>
      <c r="I2989" s="23" t="str">
        <f t="shared" si="185"/>
        <v>Unknown</v>
      </c>
      <c r="J2989" s="23">
        <f>COUNTIFS(pg_transaction_cleaned!$O:$O,A2989,pg_transaction_cleaned!$F:$F,"CAPTURE")</f>
        <v>1</v>
      </c>
      <c r="K2989" s="39">
        <f>SUMIFS(pg_transaction_cleaned!$H:$H,pg_transaction_cleaned!$O:$O,A2989,pg_transaction_cleaned!$F:$F,"CAPTURE")</f>
        <v>7999</v>
      </c>
      <c r="L2989" s="23">
        <f>COUNTIFS(pg_transaction_cleaned!$O:$O,A2989,pg_transaction_cleaned!$F:$F,"REFUND")</f>
        <v>0</v>
      </c>
      <c r="M2989" s="39">
        <f>SUMIFS(pg_transaction_cleaned!$H:$H,pg_transaction_cleaned!$O:$O,A2989,pg_transaction_cleaned!$F:$F,"REFUND")</f>
        <v>0</v>
      </c>
      <c r="N2989" s="23" t="str">
        <f t="shared" si="186"/>
        <v>OK</v>
      </c>
      <c r="O2989" s="24">
        <f t="shared" si="187"/>
        <v>0</v>
      </c>
    </row>
    <row r="2990" spans="1:15" ht="15" customHeight="1" x14ac:dyDescent="0.3">
      <c r="A2990" s="23" t="s">
        <v>6472</v>
      </c>
      <c r="B2990" s="38">
        <v>46274</v>
      </c>
      <c r="C2990" s="23" t="s">
        <v>6473</v>
      </c>
      <c r="D2990" s="23" t="s">
        <v>90</v>
      </c>
      <c r="E2990" s="23" t="s">
        <v>75</v>
      </c>
      <c r="F2990" s="23" t="s">
        <v>438</v>
      </c>
      <c r="G2990" s="23" t="s">
        <v>250</v>
      </c>
      <c r="H2990" s="39">
        <f t="shared" si="184"/>
        <v>5498</v>
      </c>
      <c r="I2990" s="23" t="str">
        <f t="shared" si="185"/>
        <v>Ahmedabad</v>
      </c>
      <c r="J2990" s="23">
        <f>COUNTIFS(pg_transaction_cleaned!$O:$O,A2990,pg_transaction_cleaned!$F:$F,"CAPTURE")</f>
        <v>1</v>
      </c>
      <c r="K2990" s="39">
        <f>SUMIFS(pg_transaction_cleaned!$H:$H,pg_transaction_cleaned!$O:$O,A2990,pg_transaction_cleaned!$F:$F,"CAPTURE")</f>
        <v>5498</v>
      </c>
      <c r="L2990" s="23">
        <f>COUNTIFS(pg_transaction_cleaned!$O:$O,A2990,pg_transaction_cleaned!$F:$F,"REFUND")</f>
        <v>0</v>
      </c>
      <c r="M2990" s="39">
        <f>SUMIFS(pg_transaction_cleaned!$H:$H,pg_transaction_cleaned!$O:$O,A2990,pg_transaction_cleaned!$F:$F,"REFUND")</f>
        <v>0</v>
      </c>
      <c r="N2990" s="23" t="str">
        <f t="shared" si="186"/>
        <v>OK</v>
      </c>
      <c r="O2990" s="24">
        <f t="shared" si="187"/>
        <v>0</v>
      </c>
    </row>
    <row r="2991" spans="1:15" ht="15" customHeight="1" x14ac:dyDescent="0.3">
      <c r="A2991" s="23" t="s">
        <v>6474</v>
      </c>
      <c r="B2991" s="38">
        <v>46269</v>
      </c>
      <c r="C2991" s="23" t="s">
        <v>6475</v>
      </c>
      <c r="D2991" s="23" t="s">
        <v>87</v>
      </c>
      <c r="E2991" s="23" t="s">
        <v>75</v>
      </c>
      <c r="F2991" s="23" t="s">
        <v>1108</v>
      </c>
      <c r="G2991" s="23" t="s">
        <v>250</v>
      </c>
      <c r="H2991" s="39">
        <f t="shared" si="184"/>
        <v>4098</v>
      </c>
      <c r="I2991" s="23" t="str">
        <f t="shared" si="185"/>
        <v>Mumbai</v>
      </c>
      <c r="J2991" s="23">
        <f>COUNTIFS(pg_transaction_cleaned!$O:$O,A2991,pg_transaction_cleaned!$F:$F,"CAPTURE")</f>
        <v>1</v>
      </c>
      <c r="K2991" s="39">
        <f>SUMIFS(pg_transaction_cleaned!$H:$H,pg_transaction_cleaned!$O:$O,A2991,pg_transaction_cleaned!$F:$F,"CAPTURE")</f>
        <v>4098</v>
      </c>
      <c r="L2991" s="23">
        <f>COUNTIFS(pg_transaction_cleaned!$O:$O,A2991,pg_transaction_cleaned!$F:$F,"REFUND")</f>
        <v>0</v>
      </c>
      <c r="M2991" s="39">
        <f>SUMIFS(pg_transaction_cleaned!$H:$H,pg_transaction_cleaned!$O:$O,A2991,pg_transaction_cleaned!$F:$F,"REFUND")</f>
        <v>0</v>
      </c>
      <c r="N2991" s="23" t="str">
        <f t="shared" si="186"/>
        <v>OK</v>
      </c>
      <c r="O2991" s="24">
        <f t="shared" si="187"/>
        <v>0</v>
      </c>
    </row>
    <row r="2992" spans="1:15" ht="15" customHeight="1" x14ac:dyDescent="0.3">
      <c r="A2992" s="23" t="s">
        <v>6476</v>
      </c>
      <c r="B2992" s="38">
        <v>46295</v>
      </c>
      <c r="C2992" s="23" t="s">
        <v>6477</v>
      </c>
      <c r="D2992" s="23" t="s">
        <v>87</v>
      </c>
      <c r="E2992" s="23" t="s">
        <v>79</v>
      </c>
      <c r="F2992" s="23" t="s">
        <v>291</v>
      </c>
      <c r="G2992" s="23" t="s">
        <v>250</v>
      </c>
      <c r="H2992" s="39">
        <f t="shared" si="184"/>
        <v>3499</v>
      </c>
      <c r="I2992" s="23" t="str">
        <f t="shared" si="185"/>
        <v>Mumbai</v>
      </c>
      <c r="J2992" s="23">
        <f>COUNTIFS(pg_transaction_cleaned!$O:$O,A2992,pg_transaction_cleaned!$F:$F,"CAPTURE")</f>
        <v>1</v>
      </c>
      <c r="K2992" s="39">
        <f>SUMIFS(pg_transaction_cleaned!$H:$H,pg_transaction_cleaned!$O:$O,A2992,pg_transaction_cleaned!$F:$F,"CAPTURE")</f>
        <v>3499</v>
      </c>
      <c r="L2992" s="23">
        <f>COUNTIFS(pg_transaction_cleaned!$O:$O,A2992,pg_transaction_cleaned!$F:$F,"REFUND")</f>
        <v>0</v>
      </c>
      <c r="M2992" s="39">
        <f>SUMIFS(pg_transaction_cleaned!$H:$H,pg_transaction_cleaned!$O:$O,A2992,pg_transaction_cleaned!$F:$F,"REFUND")</f>
        <v>0</v>
      </c>
      <c r="N2992" s="23" t="str">
        <f t="shared" si="186"/>
        <v>OK</v>
      </c>
      <c r="O2992" s="24">
        <f t="shared" si="187"/>
        <v>0</v>
      </c>
    </row>
    <row r="2993" spans="1:15" ht="15" customHeight="1" x14ac:dyDescent="0.3">
      <c r="A2993" s="23" t="s">
        <v>6478</v>
      </c>
      <c r="B2993" s="38">
        <v>46295</v>
      </c>
      <c r="C2993" s="23" t="s">
        <v>6479</v>
      </c>
      <c r="D2993" s="23" t="s">
        <v>93</v>
      </c>
      <c r="E2993" s="23" t="s">
        <v>75</v>
      </c>
      <c r="F2993" s="23" t="s">
        <v>396</v>
      </c>
      <c r="G2993" s="23" t="s">
        <v>250</v>
      </c>
      <c r="H2993" s="39">
        <f t="shared" si="184"/>
        <v>2999</v>
      </c>
      <c r="I2993" s="23" t="str">
        <f t="shared" si="185"/>
        <v>Kolkata</v>
      </c>
      <c r="J2993" s="23">
        <f>COUNTIFS(pg_transaction_cleaned!$O:$O,A2993,pg_transaction_cleaned!$F:$F,"CAPTURE")</f>
        <v>1</v>
      </c>
      <c r="K2993" s="39">
        <f>SUMIFS(pg_transaction_cleaned!$H:$H,pg_transaction_cleaned!$O:$O,A2993,pg_transaction_cleaned!$F:$F,"CAPTURE")</f>
        <v>2999</v>
      </c>
      <c r="L2993" s="23">
        <f>COUNTIFS(pg_transaction_cleaned!$O:$O,A2993,pg_transaction_cleaned!$F:$F,"REFUND")</f>
        <v>0</v>
      </c>
      <c r="M2993" s="39">
        <f>SUMIFS(pg_transaction_cleaned!$H:$H,pg_transaction_cleaned!$O:$O,A2993,pg_transaction_cleaned!$F:$F,"REFUND")</f>
        <v>0</v>
      </c>
      <c r="N2993" s="23" t="str">
        <f t="shared" si="186"/>
        <v>OK</v>
      </c>
      <c r="O2993" s="24">
        <f t="shared" si="187"/>
        <v>0</v>
      </c>
    </row>
    <row r="2994" spans="1:15" ht="15" customHeight="1" x14ac:dyDescent="0.3">
      <c r="A2994" s="23" t="s">
        <v>6480</v>
      </c>
      <c r="B2994" s="38">
        <v>46275</v>
      </c>
      <c r="C2994" s="23" t="s">
        <v>6481</v>
      </c>
      <c r="D2994" s="23" t="s">
        <v>91</v>
      </c>
      <c r="E2994" s="23" t="s">
        <v>75</v>
      </c>
      <c r="F2994" s="23" t="s">
        <v>1103</v>
      </c>
      <c r="G2994" s="23" t="s">
        <v>250</v>
      </c>
      <c r="H2994" s="39">
        <f t="shared" si="184"/>
        <v>3897</v>
      </c>
      <c r="I2994" s="23" t="str">
        <f t="shared" si="185"/>
        <v>Pune</v>
      </c>
      <c r="J2994" s="23">
        <f>COUNTIFS(pg_transaction_cleaned!$O:$O,A2994,pg_transaction_cleaned!$F:$F,"CAPTURE")</f>
        <v>1</v>
      </c>
      <c r="K2994" s="39">
        <f>SUMIFS(pg_transaction_cleaned!$H:$H,pg_transaction_cleaned!$O:$O,A2994,pg_transaction_cleaned!$F:$F,"CAPTURE")</f>
        <v>3897</v>
      </c>
      <c r="L2994" s="23">
        <f>COUNTIFS(pg_transaction_cleaned!$O:$O,A2994,pg_transaction_cleaned!$F:$F,"REFUND")</f>
        <v>0</v>
      </c>
      <c r="M2994" s="39">
        <f>SUMIFS(pg_transaction_cleaned!$H:$H,pg_transaction_cleaned!$O:$O,A2994,pg_transaction_cleaned!$F:$F,"REFUND")</f>
        <v>0</v>
      </c>
      <c r="N2994" s="23" t="str">
        <f t="shared" si="186"/>
        <v>OK</v>
      </c>
      <c r="O2994" s="24">
        <f t="shared" si="187"/>
        <v>0</v>
      </c>
    </row>
    <row r="2995" spans="1:15" ht="15" customHeight="1" x14ac:dyDescent="0.3">
      <c r="A2995" s="23" t="s">
        <v>6482</v>
      </c>
      <c r="B2995" s="38">
        <v>46266</v>
      </c>
      <c r="C2995" s="23" t="s">
        <v>6483</v>
      </c>
      <c r="D2995" s="23" t="s">
        <v>93</v>
      </c>
      <c r="E2995" s="23" t="s">
        <v>75</v>
      </c>
      <c r="F2995" s="23" t="s">
        <v>265</v>
      </c>
      <c r="G2995" s="23" t="s">
        <v>250</v>
      </c>
      <c r="H2995" s="39">
        <f t="shared" si="184"/>
        <v>999</v>
      </c>
      <c r="I2995" s="23" t="str">
        <f t="shared" si="185"/>
        <v>Kolkata</v>
      </c>
      <c r="J2995" s="23">
        <f>COUNTIFS(pg_transaction_cleaned!$O:$O,A2995,pg_transaction_cleaned!$F:$F,"CAPTURE")</f>
        <v>1</v>
      </c>
      <c r="K2995" s="39">
        <f>SUMIFS(pg_transaction_cleaned!$H:$H,pg_transaction_cleaned!$O:$O,A2995,pg_transaction_cleaned!$F:$F,"CAPTURE")</f>
        <v>999</v>
      </c>
      <c r="L2995" s="23">
        <f>COUNTIFS(pg_transaction_cleaned!$O:$O,A2995,pg_transaction_cleaned!$F:$F,"REFUND")</f>
        <v>0</v>
      </c>
      <c r="M2995" s="39">
        <f>SUMIFS(pg_transaction_cleaned!$H:$H,pg_transaction_cleaned!$O:$O,A2995,pg_transaction_cleaned!$F:$F,"REFUND")</f>
        <v>0</v>
      </c>
      <c r="N2995" s="23" t="str">
        <f t="shared" si="186"/>
        <v>OK</v>
      </c>
      <c r="O2995" s="24">
        <f t="shared" si="187"/>
        <v>0</v>
      </c>
    </row>
    <row r="2996" spans="1:15" ht="15" customHeight="1" x14ac:dyDescent="0.3">
      <c r="A2996" s="23" t="s">
        <v>6484</v>
      </c>
      <c r="B2996" s="38">
        <v>46267</v>
      </c>
      <c r="C2996" s="23" t="s">
        <v>6485</v>
      </c>
      <c r="D2996" s="23" t="s">
        <v>89</v>
      </c>
      <c r="E2996" s="23" t="s">
        <v>75</v>
      </c>
      <c r="F2996" s="23" t="s">
        <v>499</v>
      </c>
      <c r="G2996" s="23" t="s">
        <v>301</v>
      </c>
      <c r="H2996" s="39">
        <f t="shared" si="184"/>
        <v>5998</v>
      </c>
      <c r="I2996" s="23" t="str">
        <f t="shared" si="185"/>
        <v>Jaipur</v>
      </c>
      <c r="J2996" s="23">
        <f>COUNTIFS(pg_transaction_cleaned!$O:$O,A2996,pg_transaction_cleaned!$F:$F,"CAPTURE")</f>
        <v>1</v>
      </c>
      <c r="K2996" s="39">
        <f>SUMIFS(pg_transaction_cleaned!$H:$H,pg_transaction_cleaned!$O:$O,A2996,pg_transaction_cleaned!$F:$F,"CAPTURE")</f>
        <v>5998</v>
      </c>
      <c r="L2996" s="23">
        <f>COUNTIFS(pg_transaction_cleaned!$O:$O,A2996,pg_transaction_cleaned!$F:$F,"REFUND")</f>
        <v>1</v>
      </c>
      <c r="M2996" s="39">
        <f>SUMIFS(pg_transaction_cleaned!$H:$H,pg_transaction_cleaned!$O:$O,A2996,pg_transaction_cleaned!$F:$F,"REFUND")</f>
        <v>5998</v>
      </c>
      <c r="N2996" s="23" t="str">
        <f t="shared" si="186"/>
        <v>OK</v>
      </c>
      <c r="O2996" s="24">
        <f t="shared" si="187"/>
        <v>0</v>
      </c>
    </row>
    <row r="2997" spans="1:15" ht="15" customHeight="1" x14ac:dyDescent="0.3">
      <c r="A2997" s="23" t="s">
        <v>6486</v>
      </c>
      <c r="B2997" s="38">
        <v>46275</v>
      </c>
      <c r="C2997" s="23" t="s">
        <v>6487</v>
      </c>
      <c r="D2997" s="23" t="s">
        <v>88</v>
      </c>
      <c r="E2997" s="23" t="s">
        <v>75</v>
      </c>
      <c r="F2997" s="23" t="s">
        <v>4862</v>
      </c>
      <c r="G2997" s="23" t="s">
        <v>301</v>
      </c>
      <c r="H2997" s="39">
        <f t="shared" si="184"/>
        <v>3447</v>
      </c>
      <c r="I2997" s="23" t="str">
        <f t="shared" si="185"/>
        <v>Lucknow</v>
      </c>
      <c r="J2997" s="23">
        <f>COUNTIFS(pg_transaction_cleaned!$O:$O,A2997,pg_transaction_cleaned!$F:$F,"CAPTURE")</f>
        <v>1</v>
      </c>
      <c r="K2997" s="39">
        <f>SUMIFS(pg_transaction_cleaned!$H:$H,pg_transaction_cleaned!$O:$O,A2997,pg_transaction_cleaned!$F:$F,"CAPTURE")</f>
        <v>3447</v>
      </c>
      <c r="L2997" s="23">
        <f>COUNTIFS(pg_transaction_cleaned!$O:$O,A2997,pg_transaction_cleaned!$F:$F,"REFUND")</f>
        <v>1</v>
      </c>
      <c r="M2997" s="39">
        <f>SUMIFS(pg_transaction_cleaned!$H:$H,pg_transaction_cleaned!$O:$O,A2997,pg_transaction_cleaned!$F:$F,"REFUND")</f>
        <v>3447</v>
      </c>
      <c r="N2997" s="23" t="str">
        <f t="shared" si="186"/>
        <v>OK</v>
      </c>
      <c r="O2997" s="24">
        <f t="shared" si="187"/>
        <v>0</v>
      </c>
    </row>
    <row r="2998" spans="1:15" ht="15" customHeight="1" x14ac:dyDescent="0.3">
      <c r="A2998" s="23" t="s">
        <v>6488</v>
      </c>
      <c r="B2998" s="38">
        <v>46294</v>
      </c>
      <c r="C2998" s="23" t="s">
        <v>6489</v>
      </c>
      <c r="D2998" s="23" t="s">
        <v>94</v>
      </c>
      <c r="E2998" s="23" t="s">
        <v>79</v>
      </c>
      <c r="F2998" s="23" t="s">
        <v>294</v>
      </c>
      <c r="G2998" s="23" t="s">
        <v>250</v>
      </c>
      <c r="H2998" s="39">
        <f t="shared" si="184"/>
        <v>1799</v>
      </c>
      <c r="I2998" s="23" t="str">
        <f t="shared" si="185"/>
        <v>Chennai</v>
      </c>
      <c r="J2998" s="23">
        <f>COUNTIFS(pg_transaction_cleaned!$O:$O,A2998,pg_transaction_cleaned!$F:$F,"CAPTURE")</f>
        <v>1</v>
      </c>
      <c r="K2998" s="39">
        <f>SUMIFS(pg_transaction_cleaned!$H:$H,pg_transaction_cleaned!$O:$O,A2998,pg_transaction_cleaned!$F:$F,"CAPTURE")</f>
        <v>1799</v>
      </c>
      <c r="L2998" s="23">
        <f>COUNTIFS(pg_transaction_cleaned!$O:$O,A2998,pg_transaction_cleaned!$F:$F,"REFUND")</f>
        <v>0</v>
      </c>
      <c r="M2998" s="39">
        <f>SUMIFS(pg_transaction_cleaned!$H:$H,pg_transaction_cleaned!$O:$O,A2998,pg_transaction_cleaned!$F:$F,"REFUND")</f>
        <v>0</v>
      </c>
      <c r="N2998" s="23" t="str">
        <f t="shared" si="186"/>
        <v>OK</v>
      </c>
      <c r="O2998" s="24">
        <f t="shared" si="187"/>
        <v>0</v>
      </c>
    </row>
    <row r="2999" spans="1:15" ht="15" customHeight="1" x14ac:dyDescent="0.3">
      <c r="A2999" s="23" t="s">
        <v>6490</v>
      </c>
      <c r="B2999" s="38">
        <v>46287</v>
      </c>
      <c r="C2999" s="23" t="s">
        <v>6491</v>
      </c>
      <c r="D2999" s="23" t="s">
        <v>87</v>
      </c>
      <c r="E2999" s="23" t="s">
        <v>75</v>
      </c>
      <c r="F2999" s="23" t="s">
        <v>974</v>
      </c>
      <c r="G2999" s="23" t="s">
        <v>250</v>
      </c>
      <c r="H2999" s="39">
        <f t="shared" si="184"/>
        <v>1498</v>
      </c>
      <c r="I2999" s="23" t="str">
        <f t="shared" si="185"/>
        <v>Mumbai</v>
      </c>
      <c r="J2999" s="23">
        <f>COUNTIFS(pg_transaction_cleaned!$O:$O,A2999,pg_transaction_cleaned!$F:$F,"CAPTURE")</f>
        <v>1</v>
      </c>
      <c r="K2999" s="39">
        <f>SUMIFS(pg_transaction_cleaned!$H:$H,pg_transaction_cleaned!$O:$O,A2999,pg_transaction_cleaned!$F:$F,"CAPTURE")</f>
        <v>1498</v>
      </c>
      <c r="L2999" s="23">
        <f>COUNTIFS(pg_transaction_cleaned!$O:$O,A2999,pg_transaction_cleaned!$F:$F,"REFUND")</f>
        <v>0</v>
      </c>
      <c r="M2999" s="39">
        <f>SUMIFS(pg_transaction_cleaned!$H:$H,pg_transaction_cleaned!$O:$O,A2999,pg_transaction_cleaned!$F:$F,"REFUND")</f>
        <v>0</v>
      </c>
      <c r="N2999" s="23" t="str">
        <f t="shared" si="186"/>
        <v>OK</v>
      </c>
      <c r="O2999" s="24">
        <f t="shared" si="187"/>
        <v>0</v>
      </c>
    </row>
    <row r="3000" spans="1:15" ht="15" customHeight="1" x14ac:dyDescent="0.3">
      <c r="A3000" s="23" t="s">
        <v>6492</v>
      </c>
      <c r="B3000" s="38">
        <v>46279</v>
      </c>
      <c r="C3000" s="23" t="s">
        <v>6493</v>
      </c>
      <c r="D3000" s="23" t="s">
        <v>93</v>
      </c>
      <c r="E3000" s="23" t="s">
        <v>75</v>
      </c>
      <c r="F3000" s="23" t="s">
        <v>520</v>
      </c>
      <c r="G3000" s="23" t="s">
        <v>250</v>
      </c>
      <c r="H3000" s="39">
        <f t="shared" si="184"/>
        <v>4998</v>
      </c>
      <c r="I3000" s="23" t="str">
        <f t="shared" si="185"/>
        <v>Kolkata</v>
      </c>
      <c r="J3000" s="23">
        <f>COUNTIFS(pg_transaction_cleaned!$O:$O,A3000,pg_transaction_cleaned!$F:$F,"CAPTURE")</f>
        <v>1</v>
      </c>
      <c r="K3000" s="39">
        <f>SUMIFS(pg_transaction_cleaned!$H:$H,pg_transaction_cleaned!$O:$O,A3000,pg_transaction_cleaned!$F:$F,"CAPTURE")</f>
        <v>4998</v>
      </c>
      <c r="L3000" s="23">
        <f>COUNTIFS(pg_transaction_cleaned!$O:$O,A3000,pg_transaction_cleaned!$F:$F,"REFUND")</f>
        <v>0</v>
      </c>
      <c r="M3000" s="39">
        <f>SUMIFS(pg_transaction_cleaned!$H:$H,pg_transaction_cleaned!$O:$O,A3000,pg_transaction_cleaned!$F:$F,"REFUND")</f>
        <v>0</v>
      </c>
      <c r="N3000" s="23" t="str">
        <f t="shared" si="186"/>
        <v>OK</v>
      </c>
      <c r="O3000" s="24">
        <f t="shared" si="187"/>
        <v>0</v>
      </c>
    </row>
    <row r="3001" spans="1:15" ht="15" customHeight="1" x14ac:dyDescent="0.3">
      <c r="A3001" s="23" t="s">
        <v>6494</v>
      </c>
      <c r="B3001" s="38">
        <v>46295</v>
      </c>
      <c r="C3001" s="23" t="s">
        <v>6495</v>
      </c>
      <c r="D3001" s="23" t="s">
        <v>92</v>
      </c>
      <c r="E3001" s="23" t="s">
        <v>79</v>
      </c>
      <c r="F3001" s="23" t="s">
        <v>352</v>
      </c>
      <c r="G3001" s="23" t="s">
        <v>250</v>
      </c>
      <c r="H3001" s="39">
        <f t="shared" si="184"/>
        <v>648</v>
      </c>
      <c r="I3001" s="23" t="str">
        <f t="shared" si="185"/>
        <v>Hyderabad</v>
      </c>
      <c r="J3001" s="23">
        <f>COUNTIFS(pg_transaction_cleaned!$O:$O,A3001,pg_transaction_cleaned!$F:$F,"CAPTURE")</f>
        <v>1</v>
      </c>
      <c r="K3001" s="39">
        <f>SUMIFS(pg_transaction_cleaned!$H:$H,pg_transaction_cleaned!$O:$O,A3001,pg_transaction_cleaned!$F:$F,"CAPTURE")</f>
        <v>648</v>
      </c>
      <c r="L3001" s="23">
        <f>COUNTIFS(pg_transaction_cleaned!$O:$O,A3001,pg_transaction_cleaned!$F:$F,"REFUND")</f>
        <v>0</v>
      </c>
      <c r="M3001" s="39">
        <f>SUMIFS(pg_transaction_cleaned!$H:$H,pg_transaction_cleaned!$O:$O,A3001,pg_transaction_cleaned!$F:$F,"REFUND")</f>
        <v>0</v>
      </c>
      <c r="N3001" s="23" t="str">
        <f t="shared" si="186"/>
        <v>OK</v>
      </c>
      <c r="O3001" s="24">
        <f t="shared" si="187"/>
        <v>0</v>
      </c>
    </row>
    <row r="3002" spans="1:15" ht="15" customHeight="1" x14ac:dyDescent="0.3">
      <c r="A3002" s="23" t="s">
        <v>6496</v>
      </c>
      <c r="B3002" s="38">
        <v>46267</v>
      </c>
      <c r="C3002" s="23" t="s">
        <v>6497</v>
      </c>
      <c r="D3002" s="23" t="s">
        <v>95</v>
      </c>
      <c r="E3002" s="23" t="s">
        <v>79</v>
      </c>
      <c r="F3002" s="23" t="s">
        <v>1103</v>
      </c>
      <c r="G3002" s="23" t="s">
        <v>250</v>
      </c>
      <c r="H3002" s="39">
        <f t="shared" si="184"/>
        <v>3897</v>
      </c>
      <c r="I3002" s="23" t="str">
        <f t="shared" si="185"/>
        <v>Bengaluru</v>
      </c>
      <c r="J3002" s="23">
        <f>COUNTIFS(pg_transaction_cleaned!$O:$O,A3002,pg_transaction_cleaned!$F:$F,"CAPTURE")</f>
        <v>1</v>
      </c>
      <c r="K3002" s="39">
        <f>SUMIFS(pg_transaction_cleaned!$H:$H,pg_transaction_cleaned!$O:$O,A3002,pg_transaction_cleaned!$F:$F,"CAPTURE")</f>
        <v>3897</v>
      </c>
      <c r="L3002" s="23">
        <f>COUNTIFS(pg_transaction_cleaned!$O:$O,A3002,pg_transaction_cleaned!$F:$F,"REFUND")</f>
        <v>0</v>
      </c>
      <c r="M3002" s="39">
        <f>SUMIFS(pg_transaction_cleaned!$H:$H,pg_transaction_cleaned!$O:$O,A3002,pg_transaction_cleaned!$F:$F,"REFUND")</f>
        <v>0</v>
      </c>
      <c r="N3002" s="23" t="str">
        <f t="shared" si="186"/>
        <v>OK</v>
      </c>
      <c r="O3002" s="24">
        <f t="shared" si="187"/>
        <v>0</v>
      </c>
    </row>
    <row r="3003" spans="1:15" ht="15" customHeight="1" x14ac:dyDescent="0.3">
      <c r="A3003" s="23" t="s">
        <v>6498</v>
      </c>
      <c r="B3003" s="38">
        <v>46284</v>
      </c>
      <c r="C3003" s="23" t="s">
        <v>6499</v>
      </c>
      <c r="D3003" s="23" t="s">
        <v>95</v>
      </c>
      <c r="E3003" s="23" t="s">
        <v>77</v>
      </c>
      <c r="F3003" s="23" t="s">
        <v>475</v>
      </c>
      <c r="G3003" s="23" t="s">
        <v>250</v>
      </c>
      <c r="H3003" s="39">
        <f t="shared" si="184"/>
        <v>799</v>
      </c>
      <c r="I3003" s="23" t="str">
        <f t="shared" si="185"/>
        <v>Bengaluru</v>
      </c>
      <c r="J3003" s="23">
        <f>COUNTIFS(pg_transaction_cleaned!$O:$O,A3003,pg_transaction_cleaned!$F:$F,"CAPTURE")</f>
        <v>1</v>
      </c>
      <c r="K3003" s="39">
        <f>SUMIFS(pg_transaction_cleaned!$H:$H,pg_transaction_cleaned!$O:$O,A3003,pg_transaction_cleaned!$F:$F,"CAPTURE")</f>
        <v>799</v>
      </c>
      <c r="L3003" s="23">
        <f>COUNTIFS(pg_transaction_cleaned!$O:$O,A3003,pg_transaction_cleaned!$F:$F,"REFUND")</f>
        <v>0</v>
      </c>
      <c r="M3003" s="39">
        <f>SUMIFS(pg_transaction_cleaned!$H:$H,pg_transaction_cleaned!$O:$O,A3003,pg_transaction_cleaned!$F:$F,"REFUND")</f>
        <v>0</v>
      </c>
      <c r="N3003" s="23" t="str">
        <f t="shared" si="186"/>
        <v>OK</v>
      </c>
      <c r="O3003" s="24">
        <f t="shared" si="187"/>
        <v>0</v>
      </c>
    </row>
    <row r="3004" spans="1:15" ht="15" customHeight="1" x14ac:dyDescent="0.3">
      <c r="A3004" s="23" t="s">
        <v>6500</v>
      </c>
      <c r="B3004" s="38">
        <v>46266</v>
      </c>
      <c r="C3004" s="23" t="s">
        <v>6501</v>
      </c>
      <c r="D3004" s="23" t="s">
        <v>94</v>
      </c>
      <c r="E3004" s="23" t="s">
        <v>75</v>
      </c>
      <c r="F3004" s="23" t="s">
        <v>268</v>
      </c>
      <c r="G3004" s="23" t="s">
        <v>250</v>
      </c>
      <c r="H3004" s="39">
        <f t="shared" si="184"/>
        <v>1299</v>
      </c>
      <c r="I3004" s="23" t="str">
        <f t="shared" si="185"/>
        <v>Chennai</v>
      </c>
      <c r="J3004" s="23">
        <f>COUNTIFS(pg_transaction_cleaned!$O:$O,A3004,pg_transaction_cleaned!$F:$F,"CAPTURE")</f>
        <v>1</v>
      </c>
      <c r="K3004" s="39">
        <f>SUMIFS(pg_transaction_cleaned!$H:$H,pg_transaction_cleaned!$O:$O,A3004,pg_transaction_cleaned!$F:$F,"CAPTURE")</f>
        <v>1299</v>
      </c>
      <c r="L3004" s="23">
        <f>COUNTIFS(pg_transaction_cleaned!$O:$O,A3004,pg_transaction_cleaned!$F:$F,"REFUND")</f>
        <v>0</v>
      </c>
      <c r="M3004" s="39">
        <f>SUMIFS(pg_transaction_cleaned!$H:$H,pg_transaction_cleaned!$O:$O,A3004,pg_transaction_cleaned!$F:$F,"REFUND")</f>
        <v>0</v>
      </c>
      <c r="N3004" s="23" t="str">
        <f t="shared" si="186"/>
        <v>OK</v>
      </c>
      <c r="O3004" s="24">
        <f t="shared" si="187"/>
        <v>0</v>
      </c>
    </row>
    <row r="3005" spans="1:15" ht="15" customHeight="1" x14ac:dyDescent="0.3">
      <c r="A3005" s="23" t="s">
        <v>6502</v>
      </c>
      <c r="B3005" s="38">
        <v>46276</v>
      </c>
      <c r="C3005" s="23" t="s">
        <v>6503</v>
      </c>
      <c r="D3005" s="23" t="s">
        <v>91</v>
      </c>
      <c r="E3005" s="23" t="s">
        <v>75</v>
      </c>
      <c r="F3005" s="23" t="s">
        <v>329</v>
      </c>
      <c r="G3005" s="23" t="s">
        <v>250</v>
      </c>
      <c r="H3005" s="39">
        <f t="shared" si="184"/>
        <v>599</v>
      </c>
      <c r="I3005" s="23" t="str">
        <f t="shared" si="185"/>
        <v>Pune</v>
      </c>
      <c r="J3005" s="23">
        <f>COUNTIFS(pg_transaction_cleaned!$O:$O,A3005,pg_transaction_cleaned!$F:$F,"CAPTURE")</f>
        <v>1</v>
      </c>
      <c r="K3005" s="39">
        <f>SUMIFS(pg_transaction_cleaned!$H:$H,pg_transaction_cleaned!$O:$O,A3005,pg_transaction_cleaned!$F:$F,"CAPTURE")</f>
        <v>599</v>
      </c>
      <c r="L3005" s="23">
        <f>COUNTIFS(pg_transaction_cleaned!$O:$O,A3005,pg_transaction_cleaned!$F:$F,"REFUND")</f>
        <v>0</v>
      </c>
      <c r="M3005" s="39">
        <f>SUMIFS(pg_transaction_cleaned!$H:$H,pg_transaction_cleaned!$O:$O,A3005,pg_transaction_cleaned!$F:$F,"REFUND")</f>
        <v>0</v>
      </c>
      <c r="N3005" s="23" t="str">
        <f t="shared" si="186"/>
        <v>OK</v>
      </c>
      <c r="O3005" s="24">
        <f t="shared" si="187"/>
        <v>0</v>
      </c>
    </row>
    <row r="3006" spans="1:15" ht="15" customHeight="1" x14ac:dyDescent="0.3">
      <c r="A3006" s="23" t="s">
        <v>6504</v>
      </c>
      <c r="B3006" s="38">
        <v>46281</v>
      </c>
      <c r="C3006" s="23" t="s">
        <v>6505</v>
      </c>
      <c r="D3006" s="23"/>
      <c r="E3006" s="23" t="s">
        <v>75</v>
      </c>
      <c r="F3006" s="23" t="s">
        <v>268</v>
      </c>
      <c r="G3006" s="23" t="s">
        <v>250</v>
      </c>
      <c r="H3006" s="39">
        <f t="shared" si="184"/>
        <v>1299</v>
      </c>
      <c r="I3006" s="23" t="str">
        <f t="shared" si="185"/>
        <v>Unknown</v>
      </c>
      <c r="J3006" s="23">
        <f>COUNTIFS(pg_transaction_cleaned!$O:$O,A3006,pg_transaction_cleaned!$F:$F,"CAPTURE")</f>
        <v>1</v>
      </c>
      <c r="K3006" s="39">
        <f>SUMIFS(pg_transaction_cleaned!$H:$H,pg_transaction_cleaned!$O:$O,A3006,pg_transaction_cleaned!$F:$F,"CAPTURE")</f>
        <v>1299</v>
      </c>
      <c r="L3006" s="23">
        <f>COUNTIFS(pg_transaction_cleaned!$O:$O,A3006,pg_transaction_cleaned!$F:$F,"REFUND")</f>
        <v>0</v>
      </c>
      <c r="M3006" s="39">
        <f>SUMIFS(pg_transaction_cleaned!$H:$H,pg_transaction_cleaned!$O:$O,A3006,pg_transaction_cleaned!$F:$F,"REFUND")</f>
        <v>0</v>
      </c>
      <c r="N3006" s="23" t="str">
        <f t="shared" si="186"/>
        <v>OK</v>
      </c>
      <c r="O3006" s="24">
        <f t="shared" si="187"/>
        <v>0</v>
      </c>
    </row>
    <row r="3007" spans="1:15" ht="15" customHeight="1" x14ac:dyDescent="0.3">
      <c r="A3007" s="23" t="s">
        <v>6506</v>
      </c>
      <c r="B3007" s="38">
        <v>46275</v>
      </c>
      <c r="C3007" s="23" t="s">
        <v>6507</v>
      </c>
      <c r="D3007" s="23" t="s">
        <v>86</v>
      </c>
      <c r="E3007" s="23" t="s">
        <v>75</v>
      </c>
      <c r="F3007" s="23" t="s">
        <v>315</v>
      </c>
      <c r="G3007" s="23" t="s">
        <v>250</v>
      </c>
      <c r="H3007" s="39">
        <f t="shared" si="184"/>
        <v>1499</v>
      </c>
      <c r="I3007" s="23" t="str">
        <f t="shared" si="185"/>
        <v>Delhi</v>
      </c>
      <c r="J3007" s="23">
        <f>COUNTIFS(pg_transaction_cleaned!$O:$O,A3007,pg_transaction_cleaned!$F:$F,"CAPTURE")</f>
        <v>1</v>
      </c>
      <c r="K3007" s="39">
        <f>SUMIFS(pg_transaction_cleaned!$H:$H,pg_transaction_cleaned!$O:$O,A3007,pg_transaction_cleaned!$F:$F,"CAPTURE")</f>
        <v>1499</v>
      </c>
      <c r="L3007" s="23">
        <f>COUNTIFS(pg_transaction_cleaned!$O:$O,A3007,pg_transaction_cleaned!$F:$F,"REFUND")</f>
        <v>0</v>
      </c>
      <c r="M3007" s="39">
        <f>SUMIFS(pg_transaction_cleaned!$H:$H,pg_transaction_cleaned!$O:$O,A3007,pg_transaction_cleaned!$F:$F,"REFUND")</f>
        <v>0</v>
      </c>
      <c r="N3007" s="23" t="str">
        <f t="shared" si="186"/>
        <v>OK</v>
      </c>
      <c r="O3007" s="24">
        <f t="shared" si="187"/>
        <v>0</v>
      </c>
    </row>
    <row r="3008" spans="1:15" ht="15" customHeight="1" x14ac:dyDescent="0.3">
      <c r="A3008" s="23" t="s">
        <v>6508</v>
      </c>
      <c r="B3008" s="38">
        <v>46287</v>
      </c>
      <c r="C3008" s="23" t="s">
        <v>6509</v>
      </c>
      <c r="D3008" s="23" t="s">
        <v>94</v>
      </c>
      <c r="E3008" s="23" t="s">
        <v>79</v>
      </c>
      <c r="F3008" s="23" t="s">
        <v>612</v>
      </c>
      <c r="G3008" s="23" t="s">
        <v>250</v>
      </c>
      <c r="H3008" s="39">
        <f t="shared" si="184"/>
        <v>8498</v>
      </c>
      <c r="I3008" s="23" t="str">
        <f t="shared" si="185"/>
        <v>Chennai</v>
      </c>
      <c r="J3008" s="23">
        <f>COUNTIFS(pg_transaction_cleaned!$O:$O,A3008,pg_transaction_cleaned!$F:$F,"CAPTURE")</f>
        <v>1</v>
      </c>
      <c r="K3008" s="39">
        <f>SUMIFS(pg_transaction_cleaned!$H:$H,pg_transaction_cleaned!$O:$O,A3008,pg_transaction_cleaned!$F:$F,"CAPTURE")</f>
        <v>8498</v>
      </c>
      <c r="L3008" s="23">
        <f>COUNTIFS(pg_transaction_cleaned!$O:$O,A3008,pg_transaction_cleaned!$F:$F,"REFUND")</f>
        <v>0</v>
      </c>
      <c r="M3008" s="39">
        <f>SUMIFS(pg_transaction_cleaned!$H:$H,pg_transaction_cleaned!$O:$O,A3008,pg_transaction_cleaned!$F:$F,"REFUND")</f>
        <v>0</v>
      </c>
      <c r="N3008" s="23" t="str">
        <f t="shared" si="186"/>
        <v>OK</v>
      </c>
      <c r="O3008" s="24">
        <f t="shared" si="187"/>
        <v>0</v>
      </c>
    </row>
    <row r="3009" spans="1:15" ht="15" customHeight="1" x14ac:dyDescent="0.3">
      <c r="A3009" s="23" t="s">
        <v>6510</v>
      </c>
      <c r="B3009" s="38">
        <v>46293</v>
      </c>
      <c r="C3009" s="23" t="s">
        <v>4412</v>
      </c>
      <c r="D3009" s="23" t="s">
        <v>87</v>
      </c>
      <c r="E3009" s="23" t="s">
        <v>79</v>
      </c>
      <c r="F3009" s="23" t="s">
        <v>274</v>
      </c>
      <c r="G3009" s="23" t="s">
        <v>250</v>
      </c>
      <c r="H3009" s="39">
        <f t="shared" si="184"/>
        <v>349</v>
      </c>
      <c r="I3009" s="23" t="str">
        <f t="shared" si="185"/>
        <v>Mumbai</v>
      </c>
      <c r="J3009" s="23">
        <f>COUNTIFS(pg_transaction_cleaned!$O:$O,A3009,pg_transaction_cleaned!$F:$F,"CAPTURE")</f>
        <v>1</v>
      </c>
      <c r="K3009" s="39">
        <f>SUMIFS(pg_transaction_cleaned!$H:$H,pg_transaction_cleaned!$O:$O,A3009,pg_transaction_cleaned!$F:$F,"CAPTURE")</f>
        <v>349</v>
      </c>
      <c r="L3009" s="23">
        <f>COUNTIFS(pg_transaction_cleaned!$O:$O,A3009,pg_transaction_cleaned!$F:$F,"REFUND")</f>
        <v>0</v>
      </c>
      <c r="M3009" s="39">
        <f>SUMIFS(pg_transaction_cleaned!$H:$H,pg_transaction_cleaned!$O:$O,A3009,pg_transaction_cleaned!$F:$F,"REFUND")</f>
        <v>0</v>
      </c>
      <c r="N3009" s="23" t="str">
        <f t="shared" si="186"/>
        <v>OK</v>
      </c>
      <c r="O3009" s="24">
        <f t="shared" si="187"/>
        <v>0</v>
      </c>
    </row>
    <row r="3010" spans="1:15" ht="15" customHeight="1" x14ac:dyDescent="0.3">
      <c r="A3010" s="23" t="s">
        <v>6511</v>
      </c>
      <c r="B3010" s="38">
        <v>46286</v>
      </c>
      <c r="C3010" s="23" t="s">
        <v>6512</v>
      </c>
      <c r="D3010" s="23" t="s">
        <v>89</v>
      </c>
      <c r="E3010" s="23" t="s">
        <v>75</v>
      </c>
      <c r="F3010" s="23" t="s">
        <v>1490</v>
      </c>
      <c r="G3010" s="23" t="s">
        <v>250</v>
      </c>
      <c r="H3010" s="39">
        <f t="shared" ref="H3010:H3073" si="188">VALUE(SUBSTITUTE(F3010,",",""))</f>
        <v>10998</v>
      </c>
      <c r="I3010" s="23" t="str">
        <f t="shared" ref="I3010:I3073" si="189">IF(TRIM(D3010)="","Unknown",TRIM(D3010))</f>
        <v>Jaipur</v>
      </c>
      <c r="J3010" s="23">
        <f>COUNTIFS(pg_transaction_cleaned!$O:$O,A3010,pg_transaction_cleaned!$F:$F,"CAPTURE")</f>
        <v>1</v>
      </c>
      <c r="K3010" s="39">
        <f>SUMIFS(pg_transaction_cleaned!$H:$H,pg_transaction_cleaned!$O:$O,A3010,pg_transaction_cleaned!$F:$F,"CAPTURE")</f>
        <v>10998</v>
      </c>
      <c r="L3010" s="23">
        <f>COUNTIFS(pg_transaction_cleaned!$O:$O,A3010,pg_transaction_cleaned!$F:$F,"REFUND")</f>
        <v>0</v>
      </c>
      <c r="M3010" s="39">
        <f>SUMIFS(pg_transaction_cleaned!$H:$H,pg_transaction_cleaned!$O:$O,A3010,pg_transaction_cleaned!$F:$F,"REFUND")</f>
        <v>0</v>
      </c>
      <c r="N3010" s="23" t="str">
        <f t="shared" ref="N3010:N3073" si="190">IF(AND(G3010="Paid",J3010=0),"Paid, no payment",IF(AND(OR(G3010="Failed",G3010="Cancelled"),J3010&gt;0),"Payment on failed/cancelled",IF(J3010&gt;1,"Duplicate charge",IF(AND(J3010=1,ROUND(K3010-H3010,2)&lt;&gt;0),"Amount difference",IF(AND(G3010="Refunded",L3010=0),"Refunded, no refund",IF(AND(G3010&lt;&gt;"Refunded",L3010&gt;0),"Refund, order not Refunded",IF(AND(L3010&gt;0,ROUND(M3010-H3010,2)&lt;&gt;0),"Refund amount differs","OK")))))))</f>
        <v>OK</v>
      </c>
      <c r="O3010" s="24">
        <f t="shared" ref="O3010:O3073" si="191">IF(N3010="OK",0,IF(N3010="Paid, no payment",H3010,IF(N3010="Payment on failed/cancelled",K3010,IF(OR(N3010="Duplicate charge",N3010="Amount difference"),K3010-H3010,IF(N3010="Refunded, no refund",H3010,M3010)))))</f>
        <v>0</v>
      </c>
    </row>
    <row r="3011" spans="1:15" ht="15" customHeight="1" x14ac:dyDescent="0.3">
      <c r="A3011" s="23" t="s">
        <v>6513</v>
      </c>
      <c r="B3011" s="38">
        <v>46283</v>
      </c>
      <c r="C3011" s="23" t="s">
        <v>6514</v>
      </c>
      <c r="D3011" s="23" t="s">
        <v>91</v>
      </c>
      <c r="E3011" s="23" t="s">
        <v>75</v>
      </c>
      <c r="F3011" s="23" t="s">
        <v>300</v>
      </c>
      <c r="G3011" s="23" t="s">
        <v>250</v>
      </c>
      <c r="H3011" s="39">
        <f t="shared" si="188"/>
        <v>2598</v>
      </c>
      <c r="I3011" s="23" t="str">
        <f t="shared" si="189"/>
        <v>Pune</v>
      </c>
      <c r="J3011" s="23">
        <f>COUNTIFS(pg_transaction_cleaned!$O:$O,A3011,pg_transaction_cleaned!$F:$F,"CAPTURE")</f>
        <v>1</v>
      </c>
      <c r="K3011" s="39">
        <f>SUMIFS(pg_transaction_cleaned!$H:$H,pg_transaction_cleaned!$O:$O,A3011,pg_transaction_cleaned!$F:$F,"CAPTURE")</f>
        <v>2598</v>
      </c>
      <c r="L3011" s="23">
        <f>COUNTIFS(pg_transaction_cleaned!$O:$O,A3011,pg_transaction_cleaned!$F:$F,"REFUND")</f>
        <v>0</v>
      </c>
      <c r="M3011" s="39">
        <f>SUMIFS(pg_transaction_cleaned!$H:$H,pg_transaction_cleaned!$O:$O,A3011,pg_transaction_cleaned!$F:$F,"REFUND")</f>
        <v>0</v>
      </c>
      <c r="N3011" s="23" t="str">
        <f t="shared" si="190"/>
        <v>OK</v>
      </c>
      <c r="O3011" s="24">
        <f t="shared" si="191"/>
        <v>0</v>
      </c>
    </row>
    <row r="3012" spans="1:15" ht="15" customHeight="1" x14ac:dyDescent="0.3">
      <c r="A3012" s="23" t="s">
        <v>6515</v>
      </c>
      <c r="B3012" s="38">
        <v>46278</v>
      </c>
      <c r="C3012" s="23" t="s">
        <v>6516</v>
      </c>
      <c r="D3012" s="23" t="s">
        <v>92</v>
      </c>
      <c r="E3012" s="23" t="s">
        <v>79</v>
      </c>
      <c r="F3012" s="23" t="s">
        <v>256</v>
      </c>
      <c r="G3012" s="23" t="s">
        <v>250</v>
      </c>
      <c r="H3012" s="39">
        <f t="shared" si="188"/>
        <v>2098</v>
      </c>
      <c r="I3012" s="23" t="str">
        <f t="shared" si="189"/>
        <v>Hyderabad</v>
      </c>
      <c r="J3012" s="23">
        <f>COUNTIFS(pg_transaction_cleaned!$O:$O,A3012,pg_transaction_cleaned!$F:$F,"CAPTURE")</f>
        <v>1</v>
      </c>
      <c r="K3012" s="39">
        <f>SUMIFS(pg_transaction_cleaned!$H:$H,pg_transaction_cleaned!$O:$O,A3012,pg_transaction_cleaned!$F:$F,"CAPTURE")</f>
        <v>2098</v>
      </c>
      <c r="L3012" s="23">
        <f>COUNTIFS(pg_transaction_cleaned!$O:$O,A3012,pg_transaction_cleaned!$F:$F,"REFUND")</f>
        <v>0</v>
      </c>
      <c r="M3012" s="39">
        <f>SUMIFS(pg_transaction_cleaned!$H:$H,pg_transaction_cleaned!$O:$O,A3012,pg_transaction_cleaned!$F:$F,"REFUND")</f>
        <v>0</v>
      </c>
      <c r="N3012" s="23" t="str">
        <f t="shared" si="190"/>
        <v>OK</v>
      </c>
      <c r="O3012" s="24">
        <f t="shared" si="191"/>
        <v>0</v>
      </c>
    </row>
    <row r="3013" spans="1:15" ht="15" customHeight="1" x14ac:dyDescent="0.3">
      <c r="A3013" s="23" t="s">
        <v>6517</v>
      </c>
      <c r="B3013" s="38">
        <v>46294</v>
      </c>
      <c r="C3013" s="23" t="s">
        <v>6518</v>
      </c>
      <c r="D3013" s="23" t="s">
        <v>89</v>
      </c>
      <c r="E3013" s="23" t="s">
        <v>77</v>
      </c>
      <c r="F3013" s="23" t="s">
        <v>3365</v>
      </c>
      <c r="G3013" s="23" t="s">
        <v>250</v>
      </c>
      <c r="H3013" s="39">
        <f t="shared" si="188"/>
        <v>3497</v>
      </c>
      <c r="I3013" s="23" t="str">
        <f t="shared" si="189"/>
        <v>Jaipur</v>
      </c>
      <c r="J3013" s="23">
        <f>COUNTIFS(pg_transaction_cleaned!$O:$O,A3013,pg_transaction_cleaned!$F:$F,"CAPTURE")</f>
        <v>1</v>
      </c>
      <c r="K3013" s="39">
        <f>SUMIFS(pg_transaction_cleaned!$H:$H,pg_transaction_cleaned!$O:$O,A3013,pg_transaction_cleaned!$F:$F,"CAPTURE")</f>
        <v>3497</v>
      </c>
      <c r="L3013" s="23">
        <f>COUNTIFS(pg_transaction_cleaned!$O:$O,A3013,pg_transaction_cleaned!$F:$F,"REFUND")</f>
        <v>0</v>
      </c>
      <c r="M3013" s="39">
        <f>SUMIFS(pg_transaction_cleaned!$H:$H,pg_transaction_cleaned!$O:$O,A3013,pg_transaction_cleaned!$F:$F,"REFUND")</f>
        <v>0</v>
      </c>
      <c r="N3013" s="23" t="str">
        <f t="shared" si="190"/>
        <v>OK</v>
      </c>
      <c r="O3013" s="24">
        <f t="shared" si="191"/>
        <v>0</v>
      </c>
    </row>
    <row r="3014" spans="1:15" ht="15" customHeight="1" x14ac:dyDescent="0.3">
      <c r="A3014" s="23" t="s">
        <v>6519</v>
      </c>
      <c r="B3014" s="38">
        <v>46280</v>
      </c>
      <c r="C3014" s="23" t="s">
        <v>6520</v>
      </c>
      <c r="D3014" s="23" t="s">
        <v>88</v>
      </c>
      <c r="E3014" s="23" t="s">
        <v>75</v>
      </c>
      <c r="F3014" s="23" t="s">
        <v>310</v>
      </c>
      <c r="G3014" s="23" t="s">
        <v>250</v>
      </c>
      <c r="H3014" s="39">
        <f t="shared" si="188"/>
        <v>7999</v>
      </c>
      <c r="I3014" s="23" t="str">
        <f t="shared" si="189"/>
        <v>Lucknow</v>
      </c>
      <c r="J3014" s="23">
        <f>COUNTIFS(pg_transaction_cleaned!$O:$O,A3014,pg_transaction_cleaned!$F:$F,"CAPTURE")</f>
        <v>1</v>
      </c>
      <c r="K3014" s="39">
        <f>SUMIFS(pg_transaction_cleaned!$H:$H,pg_transaction_cleaned!$O:$O,A3014,pg_transaction_cleaned!$F:$F,"CAPTURE")</f>
        <v>7999</v>
      </c>
      <c r="L3014" s="23">
        <f>COUNTIFS(pg_transaction_cleaned!$O:$O,A3014,pg_transaction_cleaned!$F:$F,"REFUND")</f>
        <v>0</v>
      </c>
      <c r="M3014" s="39">
        <f>SUMIFS(pg_transaction_cleaned!$H:$H,pg_transaction_cleaned!$O:$O,A3014,pg_transaction_cleaned!$F:$F,"REFUND")</f>
        <v>0</v>
      </c>
      <c r="N3014" s="23" t="str">
        <f t="shared" si="190"/>
        <v>OK</v>
      </c>
      <c r="O3014" s="24">
        <f t="shared" si="191"/>
        <v>0</v>
      </c>
    </row>
    <row r="3015" spans="1:15" ht="15" customHeight="1" x14ac:dyDescent="0.3">
      <c r="A3015" s="23" t="s">
        <v>6521</v>
      </c>
      <c r="B3015" s="38">
        <v>46289</v>
      </c>
      <c r="C3015" s="23" t="s">
        <v>6522</v>
      </c>
      <c r="D3015" s="23" t="s">
        <v>95</v>
      </c>
      <c r="E3015" s="23" t="s">
        <v>75</v>
      </c>
      <c r="F3015" s="23" t="s">
        <v>340</v>
      </c>
      <c r="G3015" s="23" t="s">
        <v>250</v>
      </c>
      <c r="H3015" s="39">
        <f t="shared" si="188"/>
        <v>6298</v>
      </c>
      <c r="I3015" s="23" t="str">
        <f t="shared" si="189"/>
        <v>Bengaluru</v>
      </c>
      <c r="J3015" s="23">
        <f>COUNTIFS(pg_transaction_cleaned!$O:$O,A3015,pg_transaction_cleaned!$F:$F,"CAPTURE")</f>
        <v>1</v>
      </c>
      <c r="K3015" s="39">
        <f>SUMIFS(pg_transaction_cleaned!$H:$H,pg_transaction_cleaned!$O:$O,A3015,pg_transaction_cleaned!$F:$F,"CAPTURE")</f>
        <v>6298</v>
      </c>
      <c r="L3015" s="23">
        <f>COUNTIFS(pg_transaction_cleaned!$O:$O,A3015,pg_transaction_cleaned!$F:$F,"REFUND")</f>
        <v>0</v>
      </c>
      <c r="M3015" s="39">
        <f>SUMIFS(pg_transaction_cleaned!$H:$H,pg_transaction_cleaned!$O:$O,A3015,pg_transaction_cleaned!$F:$F,"REFUND")</f>
        <v>0</v>
      </c>
      <c r="N3015" s="23" t="str">
        <f t="shared" si="190"/>
        <v>OK</v>
      </c>
      <c r="O3015" s="24">
        <f t="shared" si="191"/>
        <v>0</v>
      </c>
    </row>
    <row r="3016" spans="1:15" ht="15" customHeight="1" x14ac:dyDescent="0.3">
      <c r="A3016" s="23" t="s">
        <v>6523</v>
      </c>
      <c r="B3016" s="38">
        <v>46279</v>
      </c>
      <c r="C3016" s="23" t="s">
        <v>6524</v>
      </c>
      <c r="D3016" s="23" t="s">
        <v>94</v>
      </c>
      <c r="E3016" s="23" t="s">
        <v>79</v>
      </c>
      <c r="F3016" s="23" t="s">
        <v>4441</v>
      </c>
      <c r="G3016" s="23" t="s">
        <v>250</v>
      </c>
      <c r="H3016" s="39">
        <f t="shared" si="188"/>
        <v>10497</v>
      </c>
      <c r="I3016" s="23" t="str">
        <f t="shared" si="189"/>
        <v>Chennai</v>
      </c>
      <c r="J3016" s="23">
        <f>COUNTIFS(pg_transaction_cleaned!$O:$O,A3016,pg_transaction_cleaned!$F:$F,"CAPTURE")</f>
        <v>1</v>
      </c>
      <c r="K3016" s="39">
        <f>SUMIFS(pg_transaction_cleaned!$H:$H,pg_transaction_cleaned!$O:$O,A3016,pg_transaction_cleaned!$F:$F,"CAPTURE")</f>
        <v>10497</v>
      </c>
      <c r="L3016" s="23">
        <f>COUNTIFS(pg_transaction_cleaned!$O:$O,A3016,pg_transaction_cleaned!$F:$F,"REFUND")</f>
        <v>0</v>
      </c>
      <c r="M3016" s="39">
        <f>SUMIFS(pg_transaction_cleaned!$H:$H,pg_transaction_cleaned!$O:$O,A3016,pg_transaction_cleaned!$F:$F,"REFUND")</f>
        <v>0</v>
      </c>
      <c r="N3016" s="23" t="str">
        <f t="shared" si="190"/>
        <v>OK</v>
      </c>
      <c r="O3016" s="24">
        <f t="shared" si="191"/>
        <v>0</v>
      </c>
    </row>
    <row r="3017" spans="1:15" ht="15" customHeight="1" x14ac:dyDescent="0.3">
      <c r="A3017" s="23" t="s">
        <v>6525</v>
      </c>
      <c r="B3017" s="38">
        <v>46277</v>
      </c>
      <c r="C3017" s="23" t="s">
        <v>6526</v>
      </c>
      <c r="D3017" s="23" t="s">
        <v>88</v>
      </c>
      <c r="E3017" s="23" t="s">
        <v>77</v>
      </c>
      <c r="F3017" s="23" t="s">
        <v>1954</v>
      </c>
      <c r="G3017" s="23" t="s">
        <v>250</v>
      </c>
      <c r="H3017" s="39">
        <f t="shared" si="188"/>
        <v>848</v>
      </c>
      <c r="I3017" s="23" t="str">
        <f t="shared" si="189"/>
        <v>Lucknow</v>
      </c>
      <c r="J3017" s="23">
        <f>COUNTIFS(pg_transaction_cleaned!$O:$O,A3017,pg_transaction_cleaned!$F:$F,"CAPTURE")</f>
        <v>1</v>
      </c>
      <c r="K3017" s="39">
        <f>SUMIFS(pg_transaction_cleaned!$H:$H,pg_transaction_cleaned!$O:$O,A3017,pg_transaction_cleaned!$F:$F,"CAPTURE")</f>
        <v>848</v>
      </c>
      <c r="L3017" s="23">
        <f>COUNTIFS(pg_transaction_cleaned!$O:$O,A3017,pg_transaction_cleaned!$F:$F,"REFUND")</f>
        <v>0</v>
      </c>
      <c r="M3017" s="39">
        <f>SUMIFS(pg_transaction_cleaned!$H:$H,pg_transaction_cleaned!$O:$O,A3017,pg_transaction_cleaned!$F:$F,"REFUND")</f>
        <v>0</v>
      </c>
      <c r="N3017" s="23" t="str">
        <f t="shared" si="190"/>
        <v>OK</v>
      </c>
      <c r="O3017" s="24">
        <f t="shared" si="191"/>
        <v>0</v>
      </c>
    </row>
    <row r="3018" spans="1:15" ht="15" customHeight="1" x14ac:dyDescent="0.3">
      <c r="A3018" s="23" t="s">
        <v>6527</v>
      </c>
      <c r="B3018" s="38">
        <v>46270</v>
      </c>
      <c r="C3018" s="23" t="s">
        <v>6528</v>
      </c>
      <c r="D3018" s="23" t="s">
        <v>95</v>
      </c>
      <c r="E3018" s="23" t="s">
        <v>81</v>
      </c>
      <c r="F3018" s="23" t="s">
        <v>315</v>
      </c>
      <c r="G3018" s="23" t="s">
        <v>250</v>
      </c>
      <c r="H3018" s="39">
        <f t="shared" si="188"/>
        <v>1499</v>
      </c>
      <c r="I3018" s="23" t="str">
        <f t="shared" si="189"/>
        <v>Bengaluru</v>
      </c>
      <c r="J3018" s="23">
        <f>COUNTIFS(pg_transaction_cleaned!$O:$O,A3018,pg_transaction_cleaned!$F:$F,"CAPTURE")</f>
        <v>1</v>
      </c>
      <c r="K3018" s="39">
        <f>SUMIFS(pg_transaction_cleaned!$H:$H,pg_transaction_cleaned!$O:$O,A3018,pg_transaction_cleaned!$F:$F,"CAPTURE")</f>
        <v>1499</v>
      </c>
      <c r="L3018" s="23">
        <f>COUNTIFS(pg_transaction_cleaned!$O:$O,A3018,pg_transaction_cleaned!$F:$F,"REFUND")</f>
        <v>0</v>
      </c>
      <c r="M3018" s="39">
        <f>SUMIFS(pg_transaction_cleaned!$H:$H,pg_transaction_cleaned!$O:$O,A3018,pg_transaction_cleaned!$F:$F,"REFUND")</f>
        <v>0</v>
      </c>
      <c r="N3018" s="23" t="str">
        <f t="shared" si="190"/>
        <v>OK</v>
      </c>
      <c r="O3018" s="24">
        <f t="shared" si="191"/>
        <v>0</v>
      </c>
    </row>
    <row r="3019" spans="1:15" ht="15" customHeight="1" x14ac:dyDescent="0.3">
      <c r="A3019" s="23" t="s">
        <v>6529</v>
      </c>
      <c r="B3019" s="38">
        <v>46288</v>
      </c>
      <c r="C3019" s="23" t="s">
        <v>6530</v>
      </c>
      <c r="D3019" s="23" t="s">
        <v>91</v>
      </c>
      <c r="E3019" s="23" t="s">
        <v>79</v>
      </c>
      <c r="F3019" s="23" t="s">
        <v>6531</v>
      </c>
      <c r="G3019" s="23" t="s">
        <v>250</v>
      </c>
      <c r="H3019" s="39">
        <f t="shared" si="188"/>
        <v>798</v>
      </c>
      <c r="I3019" s="23" t="str">
        <f t="shared" si="189"/>
        <v>Pune</v>
      </c>
      <c r="J3019" s="23">
        <f>COUNTIFS(pg_transaction_cleaned!$O:$O,A3019,pg_transaction_cleaned!$F:$F,"CAPTURE")</f>
        <v>1</v>
      </c>
      <c r="K3019" s="39">
        <f>SUMIFS(pg_transaction_cleaned!$H:$H,pg_transaction_cleaned!$O:$O,A3019,pg_transaction_cleaned!$F:$F,"CAPTURE")</f>
        <v>798</v>
      </c>
      <c r="L3019" s="23">
        <f>COUNTIFS(pg_transaction_cleaned!$O:$O,A3019,pg_transaction_cleaned!$F:$F,"REFUND")</f>
        <v>0</v>
      </c>
      <c r="M3019" s="39">
        <f>SUMIFS(pg_transaction_cleaned!$H:$H,pg_transaction_cleaned!$O:$O,A3019,pg_transaction_cleaned!$F:$F,"REFUND")</f>
        <v>0</v>
      </c>
      <c r="N3019" s="23" t="str">
        <f t="shared" si="190"/>
        <v>OK</v>
      </c>
      <c r="O3019" s="24">
        <f t="shared" si="191"/>
        <v>0</v>
      </c>
    </row>
    <row r="3020" spans="1:15" ht="15" customHeight="1" x14ac:dyDescent="0.3">
      <c r="A3020" s="23" t="s">
        <v>6532</v>
      </c>
      <c r="B3020" s="38">
        <v>46286</v>
      </c>
      <c r="C3020" s="23" t="s">
        <v>6533</v>
      </c>
      <c r="D3020" s="23" t="s">
        <v>91</v>
      </c>
      <c r="E3020" s="23" t="s">
        <v>75</v>
      </c>
      <c r="F3020" s="23" t="s">
        <v>514</v>
      </c>
      <c r="G3020" s="23" t="s">
        <v>250</v>
      </c>
      <c r="H3020" s="39">
        <f t="shared" si="188"/>
        <v>6498</v>
      </c>
      <c r="I3020" s="23" t="str">
        <f t="shared" si="189"/>
        <v>Pune</v>
      </c>
      <c r="J3020" s="23">
        <f>COUNTIFS(pg_transaction_cleaned!$O:$O,A3020,pg_transaction_cleaned!$F:$F,"CAPTURE")</f>
        <v>1</v>
      </c>
      <c r="K3020" s="39">
        <f>SUMIFS(pg_transaction_cleaned!$H:$H,pg_transaction_cleaned!$O:$O,A3020,pg_transaction_cleaned!$F:$F,"CAPTURE")</f>
        <v>6498</v>
      </c>
      <c r="L3020" s="23">
        <f>COUNTIFS(pg_transaction_cleaned!$O:$O,A3020,pg_transaction_cleaned!$F:$F,"REFUND")</f>
        <v>0</v>
      </c>
      <c r="M3020" s="39">
        <f>SUMIFS(pg_transaction_cleaned!$H:$H,pg_transaction_cleaned!$O:$O,A3020,pg_transaction_cleaned!$F:$F,"REFUND")</f>
        <v>0</v>
      </c>
      <c r="N3020" s="23" t="str">
        <f t="shared" si="190"/>
        <v>OK</v>
      </c>
      <c r="O3020" s="24">
        <f t="shared" si="191"/>
        <v>0</v>
      </c>
    </row>
    <row r="3021" spans="1:15" ht="15" customHeight="1" x14ac:dyDescent="0.3">
      <c r="A3021" s="23" t="s">
        <v>6534</v>
      </c>
      <c r="B3021" s="38">
        <v>46282</v>
      </c>
      <c r="C3021" s="23" t="s">
        <v>6535</v>
      </c>
      <c r="D3021" s="23" t="s">
        <v>93</v>
      </c>
      <c r="E3021" s="23" t="s">
        <v>75</v>
      </c>
      <c r="F3021" s="23" t="s">
        <v>520</v>
      </c>
      <c r="G3021" s="23" t="s">
        <v>250</v>
      </c>
      <c r="H3021" s="39">
        <f t="shared" si="188"/>
        <v>4998</v>
      </c>
      <c r="I3021" s="23" t="str">
        <f t="shared" si="189"/>
        <v>Kolkata</v>
      </c>
      <c r="J3021" s="23">
        <f>COUNTIFS(pg_transaction_cleaned!$O:$O,A3021,pg_transaction_cleaned!$F:$F,"CAPTURE")</f>
        <v>1</v>
      </c>
      <c r="K3021" s="39">
        <f>SUMIFS(pg_transaction_cleaned!$H:$H,pg_transaction_cleaned!$O:$O,A3021,pg_transaction_cleaned!$F:$F,"CAPTURE")</f>
        <v>4998</v>
      </c>
      <c r="L3021" s="23">
        <f>COUNTIFS(pg_transaction_cleaned!$O:$O,A3021,pg_transaction_cleaned!$F:$F,"REFUND")</f>
        <v>0</v>
      </c>
      <c r="M3021" s="39">
        <f>SUMIFS(pg_transaction_cleaned!$H:$H,pg_transaction_cleaned!$O:$O,A3021,pg_transaction_cleaned!$F:$F,"REFUND")</f>
        <v>0</v>
      </c>
      <c r="N3021" s="23" t="str">
        <f t="shared" si="190"/>
        <v>OK</v>
      </c>
      <c r="O3021" s="24">
        <f t="shared" si="191"/>
        <v>0</v>
      </c>
    </row>
    <row r="3022" spans="1:15" ht="15" customHeight="1" x14ac:dyDescent="0.3">
      <c r="A3022" s="23" t="s">
        <v>6536</v>
      </c>
      <c r="B3022" s="38">
        <v>46269</v>
      </c>
      <c r="C3022" s="23" t="s">
        <v>6537</v>
      </c>
      <c r="D3022" s="23" t="s">
        <v>89</v>
      </c>
      <c r="E3022" s="23" t="s">
        <v>75</v>
      </c>
      <c r="F3022" s="23" t="s">
        <v>294</v>
      </c>
      <c r="G3022" s="23" t="s">
        <v>250</v>
      </c>
      <c r="H3022" s="39">
        <f t="shared" si="188"/>
        <v>1799</v>
      </c>
      <c r="I3022" s="23" t="str">
        <f t="shared" si="189"/>
        <v>Jaipur</v>
      </c>
      <c r="J3022" s="23">
        <f>COUNTIFS(pg_transaction_cleaned!$O:$O,A3022,pg_transaction_cleaned!$F:$F,"CAPTURE")</f>
        <v>1</v>
      </c>
      <c r="K3022" s="39">
        <f>SUMIFS(pg_transaction_cleaned!$H:$H,pg_transaction_cleaned!$O:$O,A3022,pg_transaction_cleaned!$F:$F,"CAPTURE")</f>
        <v>1799</v>
      </c>
      <c r="L3022" s="23">
        <f>COUNTIFS(pg_transaction_cleaned!$O:$O,A3022,pg_transaction_cleaned!$F:$F,"REFUND")</f>
        <v>0</v>
      </c>
      <c r="M3022" s="39">
        <f>SUMIFS(pg_transaction_cleaned!$H:$H,pg_transaction_cleaned!$O:$O,A3022,pg_transaction_cleaned!$F:$F,"REFUND")</f>
        <v>0</v>
      </c>
      <c r="N3022" s="23" t="str">
        <f t="shared" si="190"/>
        <v>OK</v>
      </c>
      <c r="O3022" s="24">
        <f t="shared" si="191"/>
        <v>0</v>
      </c>
    </row>
    <row r="3023" spans="1:15" ht="15" customHeight="1" x14ac:dyDescent="0.3">
      <c r="A3023" s="23" t="s">
        <v>6538</v>
      </c>
      <c r="B3023" s="38">
        <v>46283</v>
      </c>
      <c r="C3023" s="23" t="s">
        <v>6539</v>
      </c>
      <c r="D3023" s="23" t="s">
        <v>90</v>
      </c>
      <c r="E3023" s="23" t="s">
        <v>75</v>
      </c>
      <c r="F3023" s="23" t="s">
        <v>291</v>
      </c>
      <c r="G3023" s="23" t="s">
        <v>250</v>
      </c>
      <c r="H3023" s="39">
        <f t="shared" si="188"/>
        <v>3499</v>
      </c>
      <c r="I3023" s="23" t="str">
        <f t="shared" si="189"/>
        <v>Ahmedabad</v>
      </c>
      <c r="J3023" s="23">
        <f>COUNTIFS(pg_transaction_cleaned!$O:$O,A3023,pg_transaction_cleaned!$F:$F,"CAPTURE")</f>
        <v>1</v>
      </c>
      <c r="K3023" s="39">
        <f>SUMIFS(pg_transaction_cleaned!$H:$H,pg_transaction_cleaned!$O:$O,A3023,pg_transaction_cleaned!$F:$F,"CAPTURE")</f>
        <v>3499</v>
      </c>
      <c r="L3023" s="23">
        <f>COUNTIFS(pg_transaction_cleaned!$O:$O,A3023,pg_transaction_cleaned!$F:$F,"REFUND")</f>
        <v>0</v>
      </c>
      <c r="M3023" s="39">
        <f>SUMIFS(pg_transaction_cleaned!$H:$H,pg_transaction_cleaned!$O:$O,A3023,pg_transaction_cleaned!$F:$F,"REFUND")</f>
        <v>0</v>
      </c>
      <c r="N3023" s="23" t="str">
        <f t="shared" si="190"/>
        <v>OK</v>
      </c>
      <c r="O3023" s="24">
        <f t="shared" si="191"/>
        <v>0</v>
      </c>
    </row>
    <row r="3024" spans="1:15" ht="15" customHeight="1" x14ac:dyDescent="0.3">
      <c r="A3024" s="23" t="s">
        <v>6540</v>
      </c>
      <c r="B3024" s="38">
        <v>46271</v>
      </c>
      <c r="C3024" s="23" t="s">
        <v>6541</v>
      </c>
      <c r="D3024" s="23" t="s">
        <v>94</v>
      </c>
      <c r="E3024" s="23" t="s">
        <v>75</v>
      </c>
      <c r="F3024" s="23" t="s">
        <v>2963</v>
      </c>
      <c r="G3024" s="23" t="s">
        <v>250</v>
      </c>
      <c r="H3024" s="39">
        <f t="shared" si="188"/>
        <v>5147</v>
      </c>
      <c r="I3024" s="23" t="str">
        <f t="shared" si="189"/>
        <v>Chennai</v>
      </c>
      <c r="J3024" s="23">
        <f>COUNTIFS(pg_transaction_cleaned!$O:$O,A3024,pg_transaction_cleaned!$F:$F,"CAPTURE")</f>
        <v>1</v>
      </c>
      <c r="K3024" s="39">
        <f>SUMIFS(pg_transaction_cleaned!$H:$H,pg_transaction_cleaned!$O:$O,A3024,pg_transaction_cleaned!$F:$F,"CAPTURE")</f>
        <v>5147</v>
      </c>
      <c r="L3024" s="23">
        <f>COUNTIFS(pg_transaction_cleaned!$O:$O,A3024,pg_transaction_cleaned!$F:$F,"REFUND")</f>
        <v>0</v>
      </c>
      <c r="M3024" s="39">
        <f>SUMIFS(pg_transaction_cleaned!$H:$H,pg_transaction_cleaned!$O:$O,A3024,pg_transaction_cleaned!$F:$F,"REFUND")</f>
        <v>0</v>
      </c>
      <c r="N3024" s="23" t="str">
        <f t="shared" si="190"/>
        <v>OK</v>
      </c>
      <c r="O3024" s="24">
        <f t="shared" si="191"/>
        <v>0</v>
      </c>
    </row>
    <row r="3025" spans="1:15" ht="15" customHeight="1" x14ac:dyDescent="0.3">
      <c r="A3025" s="23" t="s">
        <v>6542</v>
      </c>
      <c r="B3025" s="38">
        <v>46295</v>
      </c>
      <c r="C3025" s="23" t="s">
        <v>6543</v>
      </c>
      <c r="D3025" s="23" t="s">
        <v>95</v>
      </c>
      <c r="E3025" s="23" t="s">
        <v>81</v>
      </c>
      <c r="F3025" s="23" t="s">
        <v>315</v>
      </c>
      <c r="G3025" s="23" t="s">
        <v>250</v>
      </c>
      <c r="H3025" s="39">
        <f t="shared" si="188"/>
        <v>1499</v>
      </c>
      <c r="I3025" s="23" t="str">
        <f t="shared" si="189"/>
        <v>Bengaluru</v>
      </c>
      <c r="J3025" s="23">
        <f>COUNTIFS(pg_transaction_cleaned!$O:$O,A3025,pg_transaction_cleaned!$F:$F,"CAPTURE")</f>
        <v>1</v>
      </c>
      <c r="K3025" s="39">
        <f>SUMIFS(pg_transaction_cleaned!$H:$H,pg_transaction_cleaned!$O:$O,A3025,pg_transaction_cleaned!$F:$F,"CAPTURE")</f>
        <v>1499</v>
      </c>
      <c r="L3025" s="23">
        <f>COUNTIFS(pg_transaction_cleaned!$O:$O,A3025,pg_transaction_cleaned!$F:$F,"REFUND")</f>
        <v>0</v>
      </c>
      <c r="M3025" s="39">
        <f>SUMIFS(pg_transaction_cleaned!$H:$H,pg_transaction_cleaned!$O:$O,A3025,pg_transaction_cleaned!$F:$F,"REFUND")</f>
        <v>0</v>
      </c>
      <c r="N3025" s="23" t="str">
        <f t="shared" si="190"/>
        <v>OK</v>
      </c>
      <c r="O3025" s="24">
        <f t="shared" si="191"/>
        <v>0</v>
      </c>
    </row>
    <row r="3026" spans="1:15" ht="15" customHeight="1" x14ac:dyDescent="0.3">
      <c r="A3026" s="23" t="s">
        <v>6544</v>
      </c>
      <c r="B3026" s="38">
        <v>46268</v>
      </c>
      <c r="C3026" s="23" t="s">
        <v>6545</v>
      </c>
      <c r="D3026" s="23" t="s">
        <v>90</v>
      </c>
      <c r="E3026" s="23" t="s">
        <v>75</v>
      </c>
      <c r="F3026" s="23" t="s">
        <v>307</v>
      </c>
      <c r="G3026" s="23" t="s">
        <v>318</v>
      </c>
      <c r="H3026" s="39">
        <f t="shared" si="188"/>
        <v>3798</v>
      </c>
      <c r="I3026" s="23" t="str">
        <f t="shared" si="189"/>
        <v>Ahmedabad</v>
      </c>
      <c r="J3026" s="23">
        <f>COUNTIFS(pg_transaction_cleaned!$O:$O,A3026,pg_transaction_cleaned!$F:$F,"CAPTURE")</f>
        <v>0</v>
      </c>
      <c r="K3026" s="39">
        <f>SUMIFS(pg_transaction_cleaned!$H:$H,pg_transaction_cleaned!$O:$O,A3026,pg_transaction_cleaned!$F:$F,"CAPTURE")</f>
        <v>0</v>
      </c>
      <c r="L3026" s="23">
        <f>COUNTIFS(pg_transaction_cleaned!$O:$O,A3026,pg_transaction_cleaned!$F:$F,"REFUND")</f>
        <v>0</v>
      </c>
      <c r="M3026" s="39">
        <f>SUMIFS(pg_transaction_cleaned!$H:$H,pg_transaction_cleaned!$O:$O,A3026,pg_transaction_cleaned!$F:$F,"REFUND")</f>
        <v>0</v>
      </c>
      <c r="N3026" s="23" t="str">
        <f t="shared" si="190"/>
        <v>OK</v>
      </c>
      <c r="O3026" s="24">
        <f t="shared" si="191"/>
        <v>0</v>
      </c>
    </row>
    <row r="3027" spans="1:15" ht="15" customHeight="1" x14ac:dyDescent="0.3">
      <c r="A3027" s="23" t="s">
        <v>6546</v>
      </c>
      <c r="B3027" s="38">
        <v>46294</v>
      </c>
      <c r="C3027" s="23" t="s">
        <v>6547</v>
      </c>
      <c r="D3027" s="23" t="s">
        <v>87</v>
      </c>
      <c r="E3027" s="23" t="s">
        <v>75</v>
      </c>
      <c r="F3027" s="23" t="s">
        <v>297</v>
      </c>
      <c r="G3027" s="23" t="s">
        <v>250</v>
      </c>
      <c r="H3027" s="39">
        <f t="shared" si="188"/>
        <v>4999</v>
      </c>
      <c r="I3027" s="23" t="str">
        <f t="shared" si="189"/>
        <v>Mumbai</v>
      </c>
      <c r="J3027" s="23">
        <f>COUNTIFS(pg_transaction_cleaned!$O:$O,A3027,pg_transaction_cleaned!$F:$F,"CAPTURE")</f>
        <v>1</v>
      </c>
      <c r="K3027" s="39">
        <f>SUMIFS(pg_transaction_cleaned!$H:$H,pg_transaction_cleaned!$O:$O,A3027,pg_transaction_cleaned!$F:$F,"CAPTURE")</f>
        <v>4999</v>
      </c>
      <c r="L3027" s="23">
        <f>COUNTIFS(pg_transaction_cleaned!$O:$O,A3027,pg_transaction_cleaned!$F:$F,"REFUND")</f>
        <v>0</v>
      </c>
      <c r="M3027" s="39">
        <f>SUMIFS(pg_transaction_cleaned!$H:$H,pg_transaction_cleaned!$O:$O,A3027,pg_transaction_cleaned!$F:$F,"REFUND")</f>
        <v>0</v>
      </c>
      <c r="N3027" s="23" t="str">
        <f t="shared" si="190"/>
        <v>OK</v>
      </c>
      <c r="O3027" s="24">
        <f t="shared" si="191"/>
        <v>0</v>
      </c>
    </row>
    <row r="3028" spans="1:15" ht="15" customHeight="1" x14ac:dyDescent="0.3">
      <c r="A3028" s="23" t="s">
        <v>6548</v>
      </c>
      <c r="B3028" s="38">
        <v>46287</v>
      </c>
      <c r="C3028" s="23" t="s">
        <v>6549</v>
      </c>
      <c r="D3028" s="23" t="s">
        <v>86</v>
      </c>
      <c r="E3028" s="23" t="s">
        <v>79</v>
      </c>
      <c r="F3028" s="23" t="s">
        <v>294</v>
      </c>
      <c r="G3028" s="23" t="s">
        <v>250</v>
      </c>
      <c r="H3028" s="39">
        <f t="shared" si="188"/>
        <v>1799</v>
      </c>
      <c r="I3028" s="23" t="str">
        <f t="shared" si="189"/>
        <v>Delhi</v>
      </c>
      <c r="J3028" s="23">
        <f>COUNTIFS(pg_transaction_cleaned!$O:$O,A3028,pg_transaction_cleaned!$F:$F,"CAPTURE")</f>
        <v>1</v>
      </c>
      <c r="K3028" s="39">
        <f>SUMIFS(pg_transaction_cleaned!$H:$H,pg_transaction_cleaned!$O:$O,A3028,pg_transaction_cleaned!$F:$F,"CAPTURE")</f>
        <v>1799</v>
      </c>
      <c r="L3028" s="23">
        <f>COUNTIFS(pg_transaction_cleaned!$O:$O,A3028,pg_transaction_cleaned!$F:$F,"REFUND")</f>
        <v>0</v>
      </c>
      <c r="M3028" s="39">
        <f>SUMIFS(pg_transaction_cleaned!$H:$H,pg_transaction_cleaned!$O:$O,A3028,pg_transaction_cleaned!$F:$F,"REFUND")</f>
        <v>0</v>
      </c>
      <c r="N3028" s="23" t="str">
        <f t="shared" si="190"/>
        <v>OK</v>
      </c>
      <c r="O3028" s="24">
        <f t="shared" si="191"/>
        <v>0</v>
      </c>
    </row>
    <row r="3029" spans="1:15" ht="15" customHeight="1" x14ac:dyDescent="0.3">
      <c r="A3029" s="23" t="s">
        <v>6550</v>
      </c>
      <c r="B3029" s="38">
        <v>46266</v>
      </c>
      <c r="C3029" s="23" t="s">
        <v>6551</v>
      </c>
      <c r="D3029" s="23" t="s">
        <v>86</v>
      </c>
      <c r="E3029" s="23" t="s">
        <v>79</v>
      </c>
      <c r="F3029" s="23" t="s">
        <v>262</v>
      </c>
      <c r="G3029" s="23" t="s">
        <v>250</v>
      </c>
      <c r="H3029" s="39">
        <f t="shared" si="188"/>
        <v>499</v>
      </c>
      <c r="I3029" s="23" t="str">
        <f t="shared" si="189"/>
        <v>Delhi</v>
      </c>
      <c r="J3029" s="23">
        <f>COUNTIFS(pg_transaction_cleaned!$O:$O,A3029,pg_transaction_cleaned!$F:$F,"CAPTURE")</f>
        <v>1</v>
      </c>
      <c r="K3029" s="39">
        <f>SUMIFS(pg_transaction_cleaned!$H:$H,pg_transaction_cleaned!$O:$O,A3029,pg_transaction_cleaned!$F:$F,"CAPTURE")</f>
        <v>499</v>
      </c>
      <c r="L3029" s="23">
        <f>COUNTIFS(pg_transaction_cleaned!$O:$O,A3029,pg_transaction_cleaned!$F:$F,"REFUND")</f>
        <v>0</v>
      </c>
      <c r="M3029" s="39">
        <f>SUMIFS(pg_transaction_cleaned!$H:$H,pg_transaction_cleaned!$O:$O,A3029,pg_transaction_cleaned!$F:$F,"REFUND")</f>
        <v>0</v>
      </c>
      <c r="N3029" s="23" t="str">
        <f t="shared" si="190"/>
        <v>OK</v>
      </c>
      <c r="O3029" s="24">
        <f t="shared" si="191"/>
        <v>0</v>
      </c>
    </row>
    <row r="3030" spans="1:15" ht="15" customHeight="1" x14ac:dyDescent="0.3">
      <c r="A3030" s="23" t="s">
        <v>6552</v>
      </c>
      <c r="B3030" s="38">
        <v>46286</v>
      </c>
      <c r="C3030" s="23" t="s">
        <v>6553</v>
      </c>
      <c r="D3030" s="23" t="s">
        <v>91</v>
      </c>
      <c r="E3030" s="23" t="s">
        <v>75</v>
      </c>
      <c r="F3030" s="23" t="s">
        <v>262</v>
      </c>
      <c r="G3030" s="23" t="s">
        <v>250</v>
      </c>
      <c r="H3030" s="39">
        <f t="shared" si="188"/>
        <v>499</v>
      </c>
      <c r="I3030" s="23" t="str">
        <f t="shared" si="189"/>
        <v>Pune</v>
      </c>
      <c r="J3030" s="23">
        <f>COUNTIFS(pg_transaction_cleaned!$O:$O,A3030,pg_transaction_cleaned!$F:$F,"CAPTURE")</f>
        <v>1</v>
      </c>
      <c r="K3030" s="39">
        <f>SUMIFS(pg_transaction_cleaned!$H:$H,pg_transaction_cleaned!$O:$O,A3030,pg_transaction_cleaned!$F:$F,"CAPTURE")</f>
        <v>499</v>
      </c>
      <c r="L3030" s="23">
        <f>COUNTIFS(pg_transaction_cleaned!$O:$O,A3030,pg_transaction_cleaned!$F:$F,"REFUND")</f>
        <v>0</v>
      </c>
      <c r="M3030" s="39">
        <f>SUMIFS(pg_transaction_cleaned!$H:$H,pg_transaction_cleaned!$O:$O,A3030,pg_transaction_cleaned!$F:$F,"REFUND")</f>
        <v>0</v>
      </c>
      <c r="N3030" s="23" t="str">
        <f t="shared" si="190"/>
        <v>OK</v>
      </c>
      <c r="O3030" s="24">
        <f t="shared" si="191"/>
        <v>0</v>
      </c>
    </row>
    <row r="3031" spans="1:15" ht="15" customHeight="1" x14ac:dyDescent="0.3">
      <c r="A3031" s="23" t="s">
        <v>6554</v>
      </c>
      <c r="B3031" s="38">
        <v>46274</v>
      </c>
      <c r="C3031" s="23" t="s">
        <v>6555</v>
      </c>
      <c r="D3031" s="23" t="s">
        <v>89</v>
      </c>
      <c r="E3031" s="23" t="s">
        <v>79</v>
      </c>
      <c r="F3031" s="23" t="s">
        <v>315</v>
      </c>
      <c r="G3031" s="23" t="s">
        <v>301</v>
      </c>
      <c r="H3031" s="39">
        <f t="shared" si="188"/>
        <v>1499</v>
      </c>
      <c r="I3031" s="23" t="str">
        <f t="shared" si="189"/>
        <v>Jaipur</v>
      </c>
      <c r="J3031" s="23">
        <f>COUNTIFS(pg_transaction_cleaned!$O:$O,A3031,pg_transaction_cleaned!$F:$F,"CAPTURE")</f>
        <v>1</v>
      </c>
      <c r="K3031" s="39">
        <f>SUMIFS(pg_transaction_cleaned!$H:$H,pg_transaction_cleaned!$O:$O,A3031,pg_transaction_cleaned!$F:$F,"CAPTURE")</f>
        <v>1499</v>
      </c>
      <c r="L3031" s="23">
        <f>COUNTIFS(pg_transaction_cleaned!$O:$O,A3031,pg_transaction_cleaned!$F:$F,"REFUND")</f>
        <v>1</v>
      </c>
      <c r="M3031" s="39">
        <f>SUMIFS(pg_transaction_cleaned!$H:$H,pg_transaction_cleaned!$O:$O,A3031,pg_transaction_cleaned!$F:$F,"REFUND")</f>
        <v>1499</v>
      </c>
      <c r="N3031" s="23" t="str">
        <f t="shared" si="190"/>
        <v>OK</v>
      </c>
      <c r="O3031" s="24">
        <f t="shared" si="191"/>
        <v>0</v>
      </c>
    </row>
    <row r="3032" spans="1:15" ht="15" customHeight="1" x14ac:dyDescent="0.3">
      <c r="A3032" s="23" t="s">
        <v>6556</v>
      </c>
      <c r="B3032" s="38">
        <v>46289</v>
      </c>
      <c r="C3032" s="23" t="s">
        <v>6557</v>
      </c>
      <c r="D3032" s="23" t="s">
        <v>88</v>
      </c>
      <c r="E3032" s="23" t="s">
        <v>77</v>
      </c>
      <c r="F3032" s="23" t="s">
        <v>274</v>
      </c>
      <c r="G3032" s="23" t="s">
        <v>250</v>
      </c>
      <c r="H3032" s="39">
        <f t="shared" si="188"/>
        <v>349</v>
      </c>
      <c r="I3032" s="23" t="str">
        <f t="shared" si="189"/>
        <v>Lucknow</v>
      </c>
      <c r="J3032" s="23">
        <f>COUNTIFS(pg_transaction_cleaned!$O:$O,A3032,pg_transaction_cleaned!$F:$F,"CAPTURE")</f>
        <v>1</v>
      </c>
      <c r="K3032" s="39">
        <f>SUMIFS(pg_transaction_cleaned!$H:$H,pg_transaction_cleaned!$O:$O,A3032,pg_transaction_cleaned!$F:$F,"CAPTURE")</f>
        <v>349</v>
      </c>
      <c r="L3032" s="23">
        <f>COUNTIFS(pg_transaction_cleaned!$O:$O,A3032,pg_transaction_cleaned!$F:$F,"REFUND")</f>
        <v>0</v>
      </c>
      <c r="M3032" s="39">
        <f>SUMIFS(pg_transaction_cleaned!$H:$H,pg_transaction_cleaned!$O:$O,A3032,pg_transaction_cleaned!$F:$F,"REFUND")</f>
        <v>0</v>
      </c>
      <c r="N3032" s="23" t="str">
        <f t="shared" si="190"/>
        <v>OK</v>
      </c>
      <c r="O3032" s="24">
        <f t="shared" si="191"/>
        <v>0</v>
      </c>
    </row>
    <row r="3033" spans="1:15" ht="15" customHeight="1" x14ac:dyDescent="0.3">
      <c r="A3033" s="23" t="s">
        <v>6558</v>
      </c>
      <c r="B3033" s="38">
        <v>46285</v>
      </c>
      <c r="C3033" s="23" t="s">
        <v>6559</v>
      </c>
      <c r="D3033" s="23" t="s">
        <v>86</v>
      </c>
      <c r="E3033" s="23" t="s">
        <v>79</v>
      </c>
      <c r="F3033" s="23" t="s">
        <v>1662</v>
      </c>
      <c r="G3033" s="23" t="s">
        <v>250</v>
      </c>
      <c r="H3033" s="39">
        <f t="shared" si="188"/>
        <v>4397</v>
      </c>
      <c r="I3033" s="23" t="str">
        <f t="shared" si="189"/>
        <v>Delhi</v>
      </c>
      <c r="J3033" s="23">
        <f>COUNTIFS(pg_transaction_cleaned!$O:$O,A3033,pg_transaction_cleaned!$F:$F,"CAPTURE")</f>
        <v>1</v>
      </c>
      <c r="K3033" s="39">
        <f>SUMIFS(pg_transaction_cleaned!$H:$H,pg_transaction_cleaned!$O:$O,A3033,pg_transaction_cleaned!$F:$F,"CAPTURE")</f>
        <v>4397</v>
      </c>
      <c r="L3033" s="23">
        <f>COUNTIFS(pg_transaction_cleaned!$O:$O,A3033,pg_transaction_cleaned!$F:$F,"REFUND")</f>
        <v>0</v>
      </c>
      <c r="M3033" s="39">
        <f>SUMIFS(pg_transaction_cleaned!$H:$H,pg_transaction_cleaned!$O:$O,A3033,pg_transaction_cleaned!$F:$F,"REFUND")</f>
        <v>0</v>
      </c>
      <c r="N3033" s="23" t="str">
        <f t="shared" si="190"/>
        <v>OK</v>
      </c>
      <c r="O3033" s="24">
        <f t="shared" si="191"/>
        <v>0</v>
      </c>
    </row>
    <row r="3034" spans="1:15" ht="15" customHeight="1" x14ac:dyDescent="0.3">
      <c r="A3034" s="23" t="s">
        <v>6560</v>
      </c>
      <c r="B3034" s="38">
        <v>46267</v>
      </c>
      <c r="C3034" s="23" t="s">
        <v>6561</v>
      </c>
      <c r="D3034" s="23" t="s">
        <v>86</v>
      </c>
      <c r="E3034" s="23" t="s">
        <v>79</v>
      </c>
      <c r="F3034" s="23" t="s">
        <v>2212</v>
      </c>
      <c r="G3034" s="23" t="s">
        <v>318</v>
      </c>
      <c r="H3034" s="39">
        <f t="shared" si="188"/>
        <v>1697</v>
      </c>
      <c r="I3034" s="23" t="str">
        <f t="shared" si="189"/>
        <v>Delhi</v>
      </c>
      <c r="J3034" s="23">
        <f>COUNTIFS(pg_transaction_cleaned!$O:$O,A3034,pg_transaction_cleaned!$F:$F,"CAPTURE")</f>
        <v>0</v>
      </c>
      <c r="K3034" s="39">
        <f>SUMIFS(pg_transaction_cleaned!$H:$H,pg_transaction_cleaned!$O:$O,A3034,pg_transaction_cleaned!$F:$F,"CAPTURE")</f>
        <v>0</v>
      </c>
      <c r="L3034" s="23">
        <f>COUNTIFS(pg_transaction_cleaned!$O:$O,A3034,pg_transaction_cleaned!$F:$F,"REFUND")</f>
        <v>0</v>
      </c>
      <c r="M3034" s="39">
        <f>SUMIFS(pg_transaction_cleaned!$H:$H,pg_transaction_cleaned!$O:$O,A3034,pg_transaction_cleaned!$F:$F,"REFUND")</f>
        <v>0</v>
      </c>
      <c r="N3034" s="23" t="str">
        <f t="shared" si="190"/>
        <v>OK</v>
      </c>
      <c r="O3034" s="24">
        <f t="shared" si="191"/>
        <v>0</v>
      </c>
    </row>
    <row r="3035" spans="1:15" ht="15" customHeight="1" x14ac:dyDescent="0.3">
      <c r="A3035" s="23" t="s">
        <v>6562</v>
      </c>
      <c r="B3035" s="38">
        <v>46270</v>
      </c>
      <c r="C3035" s="23" t="s">
        <v>6563</v>
      </c>
      <c r="D3035" s="23" t="s">
        <v>95</v>
      </c>
      <c r="E3035" s="23" t="s">
        <v>75</v>
      </c>
      <c r="F3035" s="23" t="s">
        <v>3874</v>
      </c>
      <c r="G3035" s="23" t="s">
        <v>250</v>
      </c>
      <c r="H3035" s="39">
        <f t="shared" si="188"/>
        <v>3997</v>
      </c>
      <c r="I3035" s="23" t="str">
        <f t="shared" si="189"/>
        <v>Bengaluru</v>
      </c>
      <c r="J3035" s="23">
        <f>COUNTIFS(pg_transaction_cleaned!$O:$O,A3035,pg_transaction_cleaned!$F:$F,"CAPTURE")</f>
        <v>1</v>
      </c>
      <c r="K3035" s="39">
        <f>SUMIFS(pg_transaction_cleaned!$H:$H,pg_transaction_cleaned!$O:$O,A3035,pg_transaction_cleaned!$F:$F,"CAPTURE")</f>
        <v>3997</v>
      </c>
      <c r="L3035" s="23">
        <f>COUNTIFS(pg_transaction_cleaned!$O:$O,A3035,pg_transaction_cleaned!$F:$F,"REFUND")</f>
        <v>0</v>
      </c>
      <c r="M3035" s="39">
        <f>SUMIFS(pg_transaction_cleaned!$H:$H,pg_transaction_cleaned!$O:$O,A3035,pg_transaction_cleaned!$F:$F,"REFUND")</f>
        <v>0</v>
      </c>
      <c r="N3035" s="23" t="str">
        <f t="shared" si="190"/>
        <v>OK</v>
      </c>
      <c r="O3035" s="24">
        <f t="shared" si="191"/>
        <v>0</v>
      </c>
    </row>
    <row r="3036" spans="1:15" ht="15" customHeight="1" x14ac:dyDescent="0.3">
      <c r="A3036" s="23" t="s">
        <v>6564</v>
      </c>
      <c r="B3036" s="38">
        <v>46277</v>
      </c>
      <c r="C3036" s="23" t="s">
        <v>6565</v>
      </c>
      <c r="D3036" s="23" t="s">
        <v>94</v>
      </c>
      <c r="E3036" s="23" t="s">
        <v>75</v>
      </c>
      <c r="F3036" s="23" t="s">
        <v>3945</v>
      </c>
      <c r="G3036" s="23" t="s">
        <v>250</v>
      </c>
      <c r="H3036" s="39">
        <f t="shared" si="188"/>
        <v>5897</v>
      </c>
      <c r="I3036" s="23" t="str">
        <f t="shared" si="189"/>
        <v>Chennai</v>
      </c>
      <c r="J3036" s="23">
        <f>COUNTIFS(pg_transaction_cleaned!$O:$O,A3036,pg_transaction_cleaned!$F:$F,"CAPTURE")</f>
        <v>1</v>
      </c>
      <c r="K3036" s="39">
        <f>SUMIFS(pg_transaction_cleaned!$H:$H,pg_transaction_cleaned!$O:$O,A3036,pg_transaction_cleaned!$F:$F,"CAPTURE")</f>
        <v>5897</v>
      </c>
      <c r="L3036" s="23">
        <f>COUNTIFS(pg_transaction_cleaned!$O:$O,A3036,pg_transaction_cleaned!$F:$F,"REFUND")</f>
        <v>0</v>
      </c>
      <c r="M3036" s="39">
        <f>SUMIFS(pg_transaction_cleaned!$H:$H,pg_transaction_cleaned!$O:$O,A3036,pg_transaction_cleaned!$F:$F,"REFUND")</f>
        <v>0</v>
      </c>
      <c r="N3036" s="23" t="str">
        <f t="shared" si="190"/>
        <v>OK</v>
      </c>
      <c r="O3036" s="24">
        <f t="shared" si="191"/>
        <v>0</v>
      </c>
    </row>
    <row r="3037" spans="1:15" ht="15" customHeight="1" x14ac:dyDescent="0.3">
      <c r="A3037" s="23" t="s">
        <v>6566</v>
      </c>
      <c r="B3037" s="38">
        <v>46294</v>
      </c>
      <c r="C3037" s="23" t="s">
        <v>6567</v>
      </c>
      <c r="D3037" s="23" t="s">
        <v>87</v>
      </c>
      <c r="E3037" s="23" t="s">
        <v>75</v>
      </c>
      <c r="F3037" s="23" t="s">
        <v>268</v>
      </c>
      <c r="G3037" s="23" t="s">
        <v>250</v>
      </c>
      <c r="H3037" s="39">
        <f t="shared" si="188"/>
        <v>1299</v>
      </c>
      <c r="I3037" s="23" t="str">
        <f t="shared" si="189"/>
        <v>Mumbai</v>
      </c>
      <c r="J3037" s="23">
        <f>COUNTIFS(pg_transaction_cleaned!$O:$O,A3037,pg_transaction_cleaned!$F:$F,"CAPTURE")</f>
        <v>1</v>
      </c>
      <c r="K3037" s="39">
        <f>SUMIFS(pg_transaction_cleaned!$H:$H,pg_transaction_cleaned!$O:$O,A3037,pg_transaction_cleaned!$F:$F,"CAPTURE")</f>
        <v>1299</v>
      </c>
      <c r="L3037" s="23">
        <f>COUNTIFS(pg_transaction_cleaned!$O:$O,A3037,pg_transaction_cleaned!$F:$F,"REFUND")</f>
        <v>0</v>
      </c>
      <c r="M3037" s="39">
        <f>SUMIFS(pg_transaction_cleaned!$H:$H,pg_transaction_cleaned!$O:$O,A3037,pg_transaction_cleaned!$F:$F,"REFUND")</f>
        <v>0</v>
      </c>
      <c r="N3037" s="23" t="str">
        <f t="shared" si="190"/>
        <v>OK</v>
      </c>
      <c r="O3037" s="24">
        <f t="shared" si="191"/>
        <v>0</v>
      </c>
    </row>
    <row r="3038" spans="1:15" ht="15" customHeight="1" x14ac:dyDescent="0.3">
      <c r="A3038" s="23" t="s">
        <v>6568</v>
      </c>
      <c r="B3038" s="38">
        <v>46277</v>
      </c>
      <c r="C3038" s="23" t="s">
        <v>6569</v>
      </c>
      <c r="D3038" s="23" t="s">
        <v>94</v>
      </c>
      <c r="E3038" s="23" t="s">
        <v>75</v>
      </c>
      <c r="F3038" s="23" t="s">
        <v>4509</v>
      </c>
      <c r="G3038" s="23" t="s">
        <v>318</v>
      </c>
      <c r="H3038" s="39">
        <f t="shared" si="188"/>
        <v>8097</v>
      </c>
      <c r="I3038" s="23" t="str">
        <f t="shared" si="189"/>
        <v>Chennai</v>
      </c>
      <c r="J3038" s="23">
        <f>COUNTIFS(pg_transaction_cleaned!$O:$O,A3038,pg_transaction_cleaned!$F:$F,"CAPTURE")</f>
        <v>0</v>
      </c>
      <c r="K3038" s="39">
        <f>SUMIFS(pg_transaction_cleaned!$H:$H,pg_transaction_cleaned!$O:$O,A3038,pg_transaction_cleaned!$F:$F,"CAPTURE")</f>
        <v>0</v>
      </c>
      <c r="L3038" s="23">
        <f>COUNTIFS(pg_transaction_cleaned!$O:$O,A3038,pg_transaction_cleaned!$F:$F,"REFUND")</f>
        <v>0</v>
      </c>
      <c r="M3038" s="39">
        <f>SUMIFS(pg_transaction_cleaned!$H:$H,pg_transaction_cleaned!$O:$O,A3038,pg_transaction_cleaned!$F:$F,"REFUND")</f>
        <v>0</v>
      </c>
      <c r="N3038" s="23" t="str">
        <f t="shared" si="190"/>
        <v>OK</v>
      </c>
      <c r="O3038" s="24">
        <f t="shared" si="191"/>
        <v>0</v>
      </c>
    </row>
    <row r="3039" spans="1:15" ht="15" customHeight="1" x14ac:dyDescent="0.3">
      <c r="A3039" s="23" t="s">
        <v>6570</v>
      </c>
      <c r="B3039" s="38">
        <v>46278</v>
      </c>
      <c r="C3039" s="23" t="s">
        <v>6571</v>
      </c>
      <c r="D3039" s="23" t="s">
        <v>87</v>
      </c>
      <c r="E3039" s="23" t="s">
        <v>75</v>
      </c>
      <c r="F3039" s="23" t="s">
        <v>378</v>
      </c>
      <c r="G3039" s="23" t="s">
        <v>250</v>
      </c>
      <c r="H3039" s="39">
        <f t="shared" si="188"/>
        <v>2848</v>
      </c>
      <c r="I3039" s="23" t="str">
        <f t="shared" si="189"/>
        <v>Mumbai</v>
      </c>
      <c r="J3039" s="23">
        <f>COUNTIFS(pg_transaction_cleaned!$O:$O,A3039,pg_transaction_cleaned!$F:$F,"CAPTURE")</f>
        <v>1</v>
      </c>
      <c r="K3039" s="39">
        <f>SUMIFS(pg_transaction_cleaned!$H:$H,pg_transaction_cleaned!$O:$O,A3039,pg_transaction_cleaned!$F:$F,"CAPTURE")</f>
        <v>2848</v>
      </c>
      <c r="L3039" s="23">
        <f>COUNTIFS(pg_transaction_cleaned!$O:$O,A3039,pg_transaction_cleaned!$F:$F,"REFUND")</f>
        <v>0</v>
      </c>
      <c r="M3039" s="39">
        <f>SUMIFS(pg_transaction_cleaned!$H:$H,pg_transaction_cleaned!$O:$O,A3039,pg_transaction_cleaned!$F:$F,"REFUND")</f>
        <v>0</v>
      </c>
      <c r="N3039" s="23" t="str">
        <f t="shared" si="190"/>
        <v>OK</v>
      </c>
      <c r="O3039" s="24">
        <f t="shared" si="191"/>
        <v>0</v>
      </c>
    </row>
    <row r="3040" spans="1:15" ht="15" customHeight="1" x14ac:dyDescent="0.3">
      <c r="A3040" s="23" t="s">
        <v>6572</v>
      </c>
      <c r="B3040" s="38">
        <v>46286</v>
      </c>
      <c r="C3040" s="23" t="s">
        <v>3877</v>
      </c>
      <c r="D3040" s="23" t="s">
        <v>91</v>
      </c>
      <c r="E3040" s="23" t="s">
        <v>79</v>
      </c>
      <c r="F3040" s="23" t="s">
        <v>271</v>
      </c>
      <c r="G3040" s="23" t="s">
        <v>250</v>
      </c>
      <c r="H3040" s="39">
        <f t="shared" si="188"/>
        <v>2499</v>
      </c>
      <c r="I3040" s="23" t="str">
        <f t="shared" si="189"/>
        <v>Pune</v>
      </c>
      <c r="J3040" s="23">
        <f>COUNTIFS(pg_transaction_cleaned!$O:$O,A3040,pg_transaction_cleaned!$F:$F,"CAPTURE")</f>
        <v>1</v>
      </c>
      <c r="K3040" s="39">
        <f>SUMIFS(pg_transaction_cleaned!$H:$H,pg_transaction_cleaned!$O:$O,A3040,pg_transaction_cleaned!$F:$F,"CAPTURE")</f>
        <v>2499</v>
      </c>
      <c r="L3040" s="23">
        <f>COUNTIFS(pg_transaction_cleaned!$O:$O,A3040,pg_transaction_cleaned!$F:$F,"REFUND")</f>
        <v>0</v>
      </c>
      <c r="M3040" s="39">
        <f>SUMIFS(pg_transaction_cleaned!$H:$H,pg_transaction_cleaned!$O:$O,A3040,pg_transaction_cleaned!$F:$F,"REFUND")</f>
        <v>0</v>
      </c>
      <c r="N3040" s="23" t="str">
        <f t="shared" si="190"/>
        <v>OK</v>
      </c>
      <c r="O3040" s="24">
        <f t="shared" si="191"/>
        <v>0</v>
      </c>
    </row>
    <row r="3041" spans="1:15" ht="15" customHeight="1" x14ac:dyDescent="0.3">
      <c r="A3041" s="23" t="s">
        <v>6573</v>
      </c>
      <c r="B3041" s="38">
        <v>46281</v>
      </c>
      <c r="C3041" s="23" t="s">
        <v>6574</v>
      </c>
      <c r="D3041" s="23" t="s">
        <v>88</v>
      </c>
      <c r="E3041" s="23" t="s">
        <v>75</v>
      </c>
      <c r="F3041" s="23" t="s">
        <v>268</v>
      </c>
      <c r="G3041" s="23" t="s">
        <v>250</v>
      </c>
      <c r="H3041" s="39">
        <f t="shared" si="188"/>
        <v>1299</v>
      </c>
      <c r="I3041" s="23" t="str">
        <f t="shared" si="189"/>
        <v>Lucknow</v>
      </c>
      <c r="J3041" s="23">
        <f>COUNTIFS(pg_transaction_cleaned!$O:$O,A3041,pg_transaction_cleaned!$F:$F,"CAPTURE")</f>
        <v>1</v>
      </c>
      <c r="K3041" s="39">
        <f>SUMIFS(pg_transaction_cleaned!$H:$H,pg_transaction_cleaned!$O:$O,A3041,pg_transaction_cleaned!$F:$F,"CAPTURE")</f>
        <v>1299</v>
      </c>
      <c r="L3041" s="23">
        <f>COUNTIFS(pg_transaction_cleaned!$O:$O,A3041,pg_transaction_cleaned!$F:$F,"REFUND")</f>
        <v>0</v>
      </c>
      <c r="M3041" s="39">
        <f>SUMIFS(pg_transaction_cleaned!$H:$H,pg_transaction_cleaned!$O:$O,A3041,pg_transaction_cleaned!$F:$F,"REFUND")</f>
        <v>0</v>
      </c>
      <c r="N3041" s="23" t="str">
        <f t="shared" si="190"/>
        <v>OK</v>
      </c>
      <c r="O3041" s="24">
        <f t="shared" si="191"/>
        <v>0</v>
      </c>
    </row>
    <row r="3042" spans="1:15" ht="15" customHeight="1" x14ac:dyDescent="0.3">
      <c r="A3042" s="23" t="s">
        <v>6575</v>
      </c>
      <c r="B3042" s="38">
        <v>46289</v>
      </c>
      <c r="C3042" s="23" t="s">
        <v>6576</v>
      </c>
      <c r="D3042" s="23" t="s">
        <v>89</v>
      </c>
      <c r="E3042" s="23" t="s">
        <v>75</v>
      </c>
      <c r="F3042" s="23" t="s">
        <v>632</v>
      </c>
      <c r="G3042" s="23" t="s">
        <v>318</v>
      </c>
      <c r="H3042" s="39">
        <f t="shared" si="188"/>
        <v>948</v>
      </c>
      <c r="I3042" s="23" t="str">
        <f t="shared" si="189"/>
        <v>Jaipur</v>
      </c>
      <c r="J3042" s="23">
        <f>COUNTIFS(pg_transaction_cleaned!$O:$O,A3042,pg_transaction_cleaned!$F:$F,"CAPTURE")</f>
        <v>0</v>
      </c>
      <c r="K3042" s="39">
        <f>SUMIFS(pg_transaction_cleaned!$H:$H,pg_transaction_cleaned!$O:$O,A3042,pg_transaction_cleaned!$F:$F,"CAPTURE")</f>
        <v>0</v>
      </c>
      <c r="L3042" s="23">
        <f>COUNTIFS(pg_transaction_cleaned!$O:$O,A3042,pg_transaction_cleaned!$F:$F,"REFUND")</f>
        <v>0</v>
      </c>
      <c r="M3042" s="39">
        <f>SUMIFS(pg_transaction_cleaned!$H:$H,pg_transaction_cleaned!$O:$O,A3042,pg_transaction_cleaned!$F:$F,"REFUND")</f>
        <v>0</v>
      </c>
      <c r="N3042" s="23" t="str">
        <f t="shared" si="190"/>
        <v>OK</v>
      </c>
      <c r="O3042" s="24">
        <f t="shared" si="191"/>
        <v>0</v>
      </c>
    </row>
    <row r="3043" spans="1:15" ht="15" customHeight="1" x14ac:dyDescent="0.3">
      <c r="A3043" s="23" t="s">
        <v>6577</v>
      </c>
      <c r="B3043" s="38">
        <v>46292</v>
      </c>
      <c r="C3043" s="23" t="s">
        <v>6578</v>
      </c>
      <c r="D3043" s="23" t="s">
        <v>88</v>
      </c>
      <c r="E3043" s="23" t="s">
        <v>75</v>
      </c>
      <c r="F3043" s="23" t="s">
        <v>274</v>
      </c>
      <c r="G3043" s="23" t="s">
        <v>250</v>
      </c>
      <c r="H3043" s="39">
        <f t="shared" si="188"/>
        <v>349</v>
      </c>
      <c r="I3043" s="23" t="str">
        <f t="shared" si="189"/>
        <v>Lucknow</v>
      </c>
      <c r="J3043" s="23">
        <f>COUNTIFS(pg_transaction_cleaned!$O:$O,A3043,pg_transaction_cleaned!$F:$F,"CAPTURE")</f>
        <v>1</v>
      </c>
      <c r="K3043" s="39">
        <f>SUMIFS(pg_transaction_cleaned!$H:$H,pg_transaction_cleaned!$O:$O,A3043,pg_transaction_cleaned!$F:$F,"CAPTURE")</f>
        <v>349</v>
      </c>
      <c r="L3043" s="23">
        <f>COUNTIFS(pg_transaction_cleaned!$O:$O,A3043,pg_transaction_cleaned!$F:$F,"REFUND")</f>
        <v>0</v>
      </c>
      <c r="M3043" s="39">
        <f>SUMIFS(pg_transaction_cleaned!$H:$H,pg_transaction_cleaned!$O:$O,A3043,pg_transaction_cleaned!$F:$F,"REFUND")</f>
        <v>0</v>
      </c>
      <c r="N3043" s="23" t="str">
        <f t="shared" si="190"/>
        <v>OK</v>
      </c>
      <c r="O3043" s="24">
        <f t="shared" si="191"/>
        <v>0</v>
      </c>
    </row>
    <row r="3044" spans="1:15" ht="15" customHeight="1" x14ac:dyDescent="0.3">
      <c r="A3044" s="23" t="s">
        <v>6579</v>
      </c>
      <c r="B3044" s="38">
        <v>46268</v>
      </c>
      <c r="C3044" s="23" t="s">
        <v>6580</v>
      </c>
      <c r="D3044" s="23" t="s">
        <v>94</v>
      </c>
      <c r="E3044" s="23" t="s">
        <v>75</v>
      </c>
      <c r="F3044" s="23" t="s">
        <v>393</v>
      </c>
      <c r="G3044" s="23" t="s">
        <v>250</v>
      </c>
      <c r="H3044" s="39">
        <f t="shared" si="188"/>
        <v>349</v>
      </c>
      <c r="I3044" s="23" t="str">
        <f t="shared" si="189"/>
        <v>Chennai</v>
      </c>
      <c r="J3044" s="23">
        <f>COUNTIFS(pg_transaction_cleaned!$O:$O,A3044,pg_transaction_cleaned!$F:$F,"CAPTURE")</f>
        <v>1</v>
      </c>
      <c r="K3044" s="39">
        <f>SUMIFS(pg_transaction_cleaned!$H:$H,pg_transaction_cleaned!$O:$O,A3044,pg_transaction_cleaned!$F:$F,"CAPTURE")</f>
        <v>349</v>
      </c>
      <c r="L3044" s="23">
        <f>COUNTIFS(pg_transaction_cleaned!$O:$O,A3044,pg_transaction_cleaned!$F:$F,"REFUND")</f>
        <v>0</v>
      </c>
      <c r="M3044" s="39">
        <f>SUMIFS(pg_transaction_cleaned!$H:$H,pg_transaction_cleaned!$O:$O,A3044,pg_transaction_cleaned!$F:$F,"REFUND")</f>
        <v>0</v>
      </c>
      <c r="N3044" s="23" t="str">
        <f t="shared" si="190"/>
        <v>OK</v>
      </c>
      <c r="O3044" s="24">
        <f t="shared" si="191"/>
        <v>0</v>
      </c>
    </row>
    <row r="3045" spans="1:15" ht="15" customHeight="1" x14ac:dyDescent="0.3">
      <c r="A3045" s="23" t="s">
        <v>6581</v>
      </c>
      <c r="B3045" s="38">
        <v>46278</v>
      </c>
      <c r="C3045" s="23" t="s">
        <v>6582</v>
      </c>
      <c r="D3045" s="23" t="s">
        <v>90</v>
      </c>
      <c r="E3045" s="23" t="s">
        <v>77</v>
      </c>
      <c r="F3045" s="23" t="s">
        <v>622</v>
      </c>
      <c r="G3045" s="23" t="s">
        <v>250</v>
      </c>
      <c r="H3045" s="39">
        <f t="shared" si="188"/>
        <v>8998</v>
      </c>
      <c r="I3045" s="23" t="str">
        <f t="shared" si="189"/>
        <v>Ahmedabad</v>
      </c>
      <c r="J3045" s="23">
        <f>COUNTIFS(pg_transaction_cleaned!$O:$O,A3045,pg_transaction_cleaned!$F:$F,"CAPTURE")</f>
        <v>1</v>
      </c>
      <c r="K3045" s="39">
        <f>SUMIFS(pg_transaction_cleaned!$H:$H,pg_transaction_cleaned!$O:$O,A3045,pg_transaction_cleaned!$F:$F,"CAPTURE")</f>
        <v>8998</v>
      </c>
      <c r="L3045" s="23">
        <f>COUNTIFS(pg_transaction_cleaned!$O:$O,A3045,pg_transaction_cleaned!$F:$F,"REFUND")</f>
        <v>0</v>
      </c>
      <c r="M3045" s="39">
        <f>SUMIFS(pg_transaction_cleaned!$H:$H,pg_transaction_cleaned!$O:$O,A3045,pg_transaction_cleaned!$F:$F,"REFUND")</f>
        <v>0</v>
      </c>
      <c r="N3045" s="23" t="str">
        <f t="shared" si="190"/>
        <v>OK</v>
      </c>
      <c r="O3045" s="24">
        <f t="shared" si="191"/>
        <v>0</v>
      </c>
    </row>
    <row r="3046" spans="1:15" ht="15" customHeight="1" x14ac:dyDescent="0.3">
      <c r="A3046" s="23" t="s">
        <v>6583</v>
      </c>
      <c r="B3046" s="38">
        <v>46290</v>
      </c>
      <c r="C3046" s="23" t="s">
        <v>6584</v>
      </c>
      <c r="D3046" s="23" t="s">
        <v>91</v>
      </c>
      <c r="E3046" s="23" t="s">
        <v>75</v>
      </c>
      <c r="F3046" s="23" t="s">
        <v>268</v>
      </c>
      <c r="G3046" s="23" t="s">
        <v>250</v>
      </c>
      <c r="H3046" s="39">
        <f t="shared" si="188"/>
        <v>1299</v>
      </c>
      <c r="I3046" s="23" t="str">
        <f t="shared" si="189"/>
        <v>Pune</v>
      </c>
      <c r="J3046" s="23">
        <f>COUNTIFS(pg_transaction_cleaned!$O:$O,A3046,pg_transaction_cleaned!$F:$F,"CAPTURE")</f>
        <v>1</v>
      </c>
      <c r="K3046" s="39">
        <f>SUMIFS(pg_transaction_cleaned!$H:$H,pg_transaction_cleaned!$O:$O,A3046,pg_transaction_cleaned!$F:$F,"CAPTURE")</f>
        <v>1299</v>
      </c>
      <c r="L3046" s="23">
        <f>COUNTIFS(pg_transaction_cleaned!$O:$O,A3046,pg_transaction_cleaned!$F:$F,"REFUND")</f>
        <v>0</v>
      </c>
      <c r="M3046" s="39">
        <f>SUMIFS(pg_transaction_cleaned!$H:$H,pg_transaction_cleaned!$O:$O,A3046,pg_transaction_cleaned!$F:$F,"REFUND")</f>
        <v>0</v>
      </c>
      <c r="N3046" s="23" t="str">
        <f t="shared" si="190"/>
        <v>OK</v>
      </c>
      <c r="O3046" s="24">
        <f t="shared" si="191"/>
        <v>0</v>
      </c>
    </row>
    <row r="3047" spans="1:15" ht="15" customHeight="1" x14ac:dyDescent="0.3">
      <c r="A3047" s="23" t="s">
        <v>6585</v>
      </c>
      <c r="B3047" s="38">
        <v>46284</v>
      </c>
      <c r="C3047" s="23" t="s">
        <v>6586</v>
      </c>
      <c r="D3047" s="23" t="s">
        <v>92</v>
      </c>
      <c r="E3047" s="23" t="s">
        <v>75</v>
      </c>
      <c r="F3047" s="23" t="s">
        <v>340</v>
      </c>
      <c r="G3047" s="23" t="s">
        <v>250</v>
      </c>
      <c r="H3047" s="39">
        <f t="shared" si="188"/>
        <v>6298</v>
      </c>
      <c r="I3047" s="23" t="str">
        <f t="shared" si="189"/>
        <v>Hyderabad</v>
      </c>
      <c r="J3047" s="23">
        <f>COUNTIFS(pg_transaction_cleaned!$O:$O,A3047,pg_transaction_cleaned!$F:$F,"CAPTURE")</f>
        <v>1</v>
      </c>
      <c r="K3047" s="39">
        <f>SUMIFS(pg_transaction_cleaned!$H:$H,pg_transaction_cleaned!$O:$O,A3047,pg_transaction_cleaned!$F:$F,"CAPTURE")</f>
        <v>6298</v>
      </c>
      <c r="L3047" s="23">
        <f>COUNTIFS(pg_transaction_cleaned!$O:$O,A3047,pg_transaction_cleaned!$F:$F,"REFUND")</f>
        <v>0</v>
      </c>
      <c r="M3047" s="39">
        <f>SUMIFS(pg_transaction_cleaned!$H:$H,pg_transaction_cleaned!$O:$O,A3047,pg_transaction_cleaned!$F:$F,"REFUND")</f>
        <v>0</v>
      </c>
      <c r="N3047" s="23" t="str">
        <f t="shared" si="190"/>
        <v>OK</v>
      </c>
      <c r="O3047" s="24">
        <f t="shared" si="191"/>
        <v>0</v>
      </c>
    </row>
    <row r="3048" spans="1:15" ht="15" customHeight="1" x14ac:dyDescent="0.3">
      <c r="A3048" s="23" t="s">
        <v>6587</v>
      </c>
      <c r="B3048" s="38">
        <v>46290</v>
      </c>
      <c r="C3048" s="23" t="s">
        <v>6588</v>
      </c>
      <c r="D3048" s="23" t="s">
        <v>93</v>
      </c>
      <c r="E3048" s="23" t="s">
        <v>75</v>
      </c>
      <c r="F3048" s="23" t="s">
        <v>475</v>
      </c>
      <c r="G3048" s="23" t="s">
        <v>250</v>
      </c>
      <c r="H3048" s="39">
        <f t="shared" si="188"/>
        <v>799</v>
      </c>
      <c r="I3048" s="23" t="str">
        <f t="shared" si="189"/>
        <v>Kolkata</v>
      </c>
      <c r="J3048" s="23">
        <f>COUNTIFS(pg_transaction_cleaned!$O:$O,A3048,pg_transaction_cleaned!$F:$F,"CAPTURE")</f>
        <v>1</v>
      </c>
      <c r="K3048" s="39">
        <f>SUMIFS(pg_transaction_cleaned!$H:$H,pg_transaction_cleaned!$O:$O,A3048,pg_transaction_cleaned!$F:$F,"CAPTURE")</f>
        <v>799</v>
      </c>
      <c r="L3048" s="23">
        <f>COUNTIFS(pg_transaction_cleaned!$O:$O,A3048,pg_transaction_cleaned!$F:$F,"REFUND")</f>
        <v>0</v>
      </c>
      <c r="M3048" s="39">
        <f>SUMIFS(pg_transaction_cleaned!$H:$H,pg_transaction_cleaned!$O:$O,A3048,pg_transaction_cleaned!$F:$F,"REFUND")</f>
        <v>0</v>
      </c>
      <c r="N3048" s="23" t="str">
        <f t="shared" si="190"/>
        <v>OK</v>
      </c>
      <c r="O3048" s="24">
        <f t="shared" si="191"/>
        <v>0</v>
      </c>
    </row>
    <row r="3049" spans="1:15" ht="15" customHeight="1" x14ac:dyDescent="0.3">
      <c r="A3049" s="23" t="s">
        <v>6589</v>
      </c>
      <c r="B3049" s="38">
        <v>46272</v>
      </c>
      <c r="C3049" s="23" t="s">
        <v>6590</v>
      </c>
      <c r="D3049" s="23" t="s">
        <v>94</v>
      </c>
      <c r="E3049" s="23" t="s">
        <v>75</v>
      </c>
      <c r="F3049" s="23" t="s">
        <v>1315</v>
      </c>
      <c r="G3049" s="23" t="s">
        <v>250</v>
      </c>
      <c r="H3049" s="39">
        <f t="shared" si="188"/>
        <v>8297</v>
      </c>
      <c r="I3049" s="23" t="str">
        <f t="shared" si="189"/>
        <v>Chennai</v>
      </c>
      <c r="J3049" s="23">
        <f>COUNTIFS(pg_transaction_cleaned!$O:$O,A3049,pg_transaction_cleaned!$F:$F,"CAPTURE")</f>
        <v>1</v>
      </c>
      <c r="K3049" s="39">
        <f>SUMIFS(pg_transaction_cleaned!$H:$H,pg_transaction_cleaned!$O:$O,A3049,pg_transaction_cleaned!$F:$F,"CAPTURE")</f>
        <v>8297</v>
      </c>
      <c r="L3049" s="23">
        <f>COUNTIFS(pg_transaction_cleaned!$O:$O,A3049,pg_transaction_cleaned!$F:$F,"REFUND")</f>
        <v>0</v>
      </c>
      <c r="M3049" s="39">
        <f>SUMIFS(pg_transaction_cleaned!$H:$H,pg_transaction_cleaned!$O:$O,A3049,pg_transaction_cleaned!$F:$F,"REFUND")</f>
        <v>0</v>
      </c>
      <c r="N3049" s="23" t="str">
        <f t="shared" si="190"/>
        <v>OK</v>
      </c>
      <c r="O3049" s="24">
        <f t="shared" si="191"/>
        <v>0</v>
      </c>
    </row>
    <row r="3050" spans="1:15" ht="15" customHeight="1" x14ac:dyDescent="0.3">
      <c r="A3050" s="23" t="s">
        <v>6591</v>
      </c>
      <c r="B3050" s="38">
        <v>46266</v>
      </c>
      <c r="C3050" s="23" t="s">
        <v>6592</v>
      </c>
      <c r="D3050" s="23" t="s">
        <v>86</v>
      </c>
      <c r="E3050" s="23" t="s">
        <v>75</v>
      </c>
      <c r="F3050" s="23" t="s">
        <v>396</v>
      </c>
      <c r="G3050" s="23" t="s">
        <v>250</v>
      </c>
      <c r="H3050" s="39">
        <f t="shared" si="188"/>
        <v>2999</v>
      </c>
      <c r="I3050" s="23" t="str">
        <f t="shared" si="189"/>
        <v>Delhi</v>
      </c>
      <c r="J3050" s="23">
        <f>COUNTIFS(pg_transaction_cleaned!$O:$O,A3050,pg_transaction_cleaned!$F:$F,"CAPTURE")</f>
        <v>1</v>
      </c>
      <c r="K3050" s="39">
        <f>SUMIFS(pg_transaction_cleaned!$H:$H,pg_transaction_cleaned!$O:$O,A3050,pg_transaction_cleaned!$F:$F,"CAPTURE")</f>
        <v>2999</v>
      </c>
      <c r="L3050" s="23">
        <f>COUNTIFS(pg_transaction_cleaned!$O:$O,A3050,pg_transaction_cleaned!$F:$F,"REFUND")</f>
        <v>0</v>
      </c>
      <c r="M3050" s="39">
        <f>SUMIFS(pg_transaction_cleaned!$H:$H,pg_transaction_cleaned!$O:$O,A3050,pg_transaction_cleaned!$F:$F,"REFUND")</f>
        <v>0</v>
      </c>
      <c r="N3050" s="23" t="str">
        <f t="shared" si="190"/>
        <v>OK</v>
      </c>
      <c r="O3050" s="24">
        <f t="shared" si="191"/>
        <v>0</v>
      </c>
    </row>
    <row r="3051" spans="1:15" ht="15" customHeight="1" x14ac:dyDescent="0.3">
      <c r="A3051" s="23" t="s">
        <v>6593</v>
      </c>
      <c r="B3051" s="38">
        <v>46293</v>
      </c>
      <c r="C3051" s="23" t="s">
        <v>6594</v>
      </c>
      <c r="D3051" s="23" t="s">
        <v>91</v>
      </c>
      <c r="E3051" s="23" t="s">
        <v>77</v>
      </c>
      <c r="F3051" s="23" t="s">
        <v>268</v>
      </c>
      <c r="G3051" s="23" t="s">
        <v>250</v>
      </c>
      <c r="H3051" s="39">
        <f t="shared" si="188"/>
        <v>1299</v>
      </c>
      <c r="I3051" s="23" t="str">
        <f t="shared" si="189"/>
        <v>Pune</v>
      </c>
      <c r="J3051" s="23">
        <f>COUNTIFS(pg_transaction_cleaned!$O:$O,A3051,pg_transaction_cleaned!$F:$F,"CAPTURE")</f>
        <v>1</v>
      </c>
      <c r="K3051" s="39">
        <f>SUMIFS(pg_transaction_cleaned!$H:$H,pg_transaction_cleaned!$O:$O,A3051,pg_transaction_cleaned!$F:$F,"CAPTURE")</f>
        <v>1299</v>
      </c>
      <c r="L3051" s="23">
        <f>COUNTIFS(pg_transaction_cleaned!$O:$O,A3051,pg_transaction_cleaned!$F:$F,"REFUND")</f>
        <v>0</v>
      </c>
      <c r="M3051" s="39">
        <f>SUMIFS(pg_transaction_cleaned!$H:$H,pg_transaction_cleaned!$O:$O,A3051,pg_transaction_cleaned!$F:$F,"REFUND")</f>
        <v>0</v>
      </c>
      <c r="N3051" s="23" t="str">
        <f t="shared" si="190"/>
        <v>OK</v>
      </c>
      <c r="O3051" s="24">
        <f t="shared" si="191"/>
        <v>0</v>
      </c>
    </row>
    <row r="3052" spans="1:15" ht="15" customHeight="1" x14ac:dyDescent="0.3">
      <c r="A3052" s="23" t="s">
        <v>6595</v>
      </c>
      <c r="B3052" s="38">
        <v>46275</v>
      </c>
      <c r="C3052" s="23" t="s">
        <v>6596</v>
      </c>
      <c r="D3052" s="23" t="s">
        <v>94</v>
      </c>
      <c r="E3052" s="23" t="s">
        <v>75</v>
      </c>
      <c r="F3052" s="23" t="s">
        <v>475</v>
      </c>
      <c r="G3052" s="23" t="s">
        <v>250</v>
      </c>
      <c r="H3052" s="39">
        <f t="shared" si="188"/>
        <v>799</v>
      </c>
      <c r="I3052" s="23" t="str">
        <f t="shared" si="189"/>
        <v>Chennai</v>
      </c>
      <c r="J3052" s="23">
        <f>COUNTIFS(pg_transaction_cleaned!$O:$O,A3052,pg_transaction_cleaned!$F:$F,"CAPTURE")</f>
        <v>1</v>
      </c>
      <c r="K3052" s="39">
        <f>SUMIFS(pg_transaction_cleaned!$H:$H,pg_transaction_cleaned!$O:$O,A3052,pg_transaction_cleaned!$F:$F,"CAPTURE")</f>
        <v>799</v>
      </c>
      <c r="L3052" s="23">
        <f>COUNTIFS(pg_transaction_cleaned!$O:$O,A3052,pg_transaction_cleaned!$F:$F,"REFUND")</f>
        <v>0</v>
      </c>
      <c r="M3052" s="39">
        <f>SUMIFS(pg_transaction_cleaned!$H:$H,pg_transaction_cleaned!$O:$O,A3052,pg_transaction_cleaned!$F:$F,"REFUND")</f>
        <v>0</v>
      </c>
      <c r="N3052" s="23" t="str">
        <f t="shared" si="190"/>
        <v>OK</v>
      </c>
      <c r="O3052" s="24">
        <f t="shared" si="191"/>
        <v>0</v>
      </c>
    </row>
    <row r="3053" spans="1:15" ht="15" customHeight="1" x14ac:dyDescent="0.3">
      <c r="A3053" s="23" t="s">
        <v>6597</v>
      </c>
      <c r="B3053" s="38">
        <v>46286</v>
      </c>
      <c r="C3053" s="23" t="s">
        <v>6598</v>
      </c>
      <c r="D3053" s="23" t="s">
        <v>89</v>
      </c>
      <c r="E3053" s="23" t="s">
        <v>75</v>
      </c>
      <c r="F3053" s="23" t="s">
        <v>346</v>
      </c>
      <c r="G3053" s="23" t="s">
        <v>250</v>
      </c>
      <c r="H3053" s="39">
        <f t="shared" si="188"/>
        <v>4498</v>
      </c>
      <c r="I3053" s="23" t="str">
        <f t="shared" si="189"/>
        <v>Jaipur</v>
      </c>
      <c r="J3053" s="23">
        <f>COUNTIFS(pg_transaction_cleaned!$O:$O,A3053,pg_transaction_cleaned!$F:$F,"CAPTURE")</f>
        <v>1</v>
      </c>
      <c r="K3053" s="39">
        <f>SUMIFS(pg_transaction_cleaned!$H:$H,pg_transaction_cleaned!$O:$O,A3053,pg_transaction_cleaned!$F:$F,"CAPTURE")</f>
        <v>4498</v>
      </c>
      <c r="L3053" s="23">
        <f>COUNTIFS(pg_transaction_cleaned!$O:$O,A3053,pg_transaction_cleaned!$F:$F,"REFUND")</f>
        <v>0</v>
      </c>
      <c r="M3053" s="39">
        <f>SUMIFS(pg_transaction_cleaned!$H:$H,pg_transaction_cleaned!$O:$O,A3053,pg_transaction_cleaned!$F:$F,"REFUND")</f>
        <v>0</v>
      </c>
      <c r="N3053" s="23" t="str">
        <f t="shared" si="190"/>
        <v>OK</v>
      </c>
      <c r="O3053" s="24">
        <f t="shared" si="191"/>
        <v>0</v>
      </c>
    </row>
    <row r="3054" spans="1:15" ht="15" customHeight="1" x14ac:dyDescent="0.3">
      <c r="A3054" s="23" t="s">
        <v>6599</v>
      </c>
      <c r="B3054" s="38">
        <v>46293</v>
      </c>
      <c r="C3054" s="23" t="s">
        <v>6600</v>
      </c>
      <c r="D3054" s="23"/>
      <c r="E3054" s="23" t="s">
        <v>75</v>
      </c>
      <c r="F3054" s="23" t="s">
        <v>6601</v>
      </c>
      <c r="G3054" s="23" t="s">
        <v>250</v>
      </c>
      <c r="H3054" s="39">
        <f t="shared" si="188"/>
        <v>3298</v>
      </c>
      <c r="I3054" s="23" t="str">
        <f t="shared" si="189"/>
        <v>Unknown</v>
      </c>
      <c r="J3054" s="23">
        <f>COUNTIFS(pg_transaction_cleaned!$O:$O,A3054,pg_transaction_cleaned!$F:$F,"CAPTURE")</f>
        <v>1</v>
      </c>
      <c r="K3054" s="39">
        <f>SUMIFS(pg_transaction_cleaned!$H:$H,pg_transaction_cleaned!$O:$O,A3054,pg_transaction_cleaned!$F:$F,"CAPTURE")</f>
        <v>3298</v>
      </c>
      <c r="L3054" s="23">
        <f>COUNTIFS(pg_transaction_cleaned!$O:$O,A3054,pg_transaction_cleaned!$F:$F,"REFUND")</f>
        <v>0</v>
      </c>
      <c r="M3054" s="39">
        <f>SUMIFS(pg_transaction_cleaned!$H:$H,pg_transaction_cleaned!$O:$O,A3054,pg_transaction_cleaned!$F:$F,"REFUND")</f>
        <v>0</v>
      </c>
      <c r="N3054" s="23" t="str">
        <f t="shared" si="190"/>
        <v>OK</v>
      </c>
      <c r="O3054" s="24">
        <f t="shared" si="191"/>
        <v>0</v>
      </c>
    </row>
    <row r="3055" spans="1:15" ht="15" customHeight="1" x14ac:dyDescent="0.3">
      <c r="A3055" s="23" t="s">
        <v>6602</v>
      </c>
      <c r="B3055" s="38">
        <v>46269</v>
      </c>
      <c r="C3055" s="23" t="s">
        <v>6603</v>
      </c>
      <c r="D3055" s="23"/>
      <c r="E3055" s="23" t="s">
        <v>79</v>
      </c>
      <c r="F3055" s="23" t="s">
        <v>1308</v>
      </c>
      <c r="G3055" s="23" t="s">
        <v>250</v>
      </c>
      <c r="H3055" s="39">
        <f t="shared" si="188"/>
        <v>4297</v>
      </c>
      <c r="I3055" s="23" t="str">
        <f t="shared" si="189"/>
        <v>Unknown</v>
      </c>
      <c r="J3055" s="23">
        <f>COUNTIFS(pg_transaction_cleaned!$O:$O,A3055,pg_transaction_cleaned!$F:$F,"CAPTURE")</f>
        <v>1</v>
      </c>
      <c r="K3055" s="39">
        <f>SUMIFS(pg_transaction_cleaned!$H:$H,pg_transaction_cleaned!$O:$O,A3055,pg_transaction_cleaned!$F:$F,"CAPTURE")</f>
        <v>4297</v>
      </c>
      <c r="L3055" s="23">
        <f>COUNTIFS(pg_transaction_cleaned!$O:$O,A3055,pg_transaction_cleaned!$F:$F,"REFUND")</f>
        <v>0</v>
      </c>
      <c r="M3055" s="39">
        <f>SUMIFS(pg_transaction_cleaned!$H:$H,pg_transaction_cleaned!$O:$O,A3055,pg_transaction_cleaned!$F:$F,"REFUND")</f>
        <v>0</v>
      </c>
      <c r="N3055" s="23" t="str">
        <f t="shared" si="190"/>
        <v>OK</v>
      </c>
      <c r="O3055" s="24">
        <f t="shared" si="191"/>
        <v>0</v>
      </c>
    </row>
    <row r="3056" spans="1:15" ht="15" customHeight="1" x14ac:dyDescent="0.3">
      <c r="A3056" s="23" t="s">
        <v>6604</v>
      </c>
      <c r="B3056" s="38">
        <v>46284</v>
      </c>
      <c r="C3056" s="23" t="s">
        <v>6605</v>
      </c>
      <c r="D3056" s="23" t="s">
        <v>86</v>
      </c>
      <c r="E3056" s="23" t="s">
        <v>75</v>
      </c>
      <c r="F3056" s="23" t="s">
        <v>6606</v>
      </c>
      <c r="G3056" s="23" t="s">
        <v>250</v>
      </c>
      <c r="H3056" s="39">
        <f t="shared" si="188"/>
        <v>2697</v>
      </c>
      <c r="I3056" s="23" t="str">
        <f t="shared" si="189"/>
        <v>Delhi</v>
      </c>
      <c r="J3056" s="23">
        <f>COUNTIFS(pg_transaction_cleaned!$O:$O,A3056,pg_transaction_cleaned!$F:$F,"CAPTURE")</f>
        <v>1</v>
      </c>
      <c r="K3056" s="39">
        <f>SUMIFS(pg_transaction_cleaned!$H:$H,pg_transaction_cleaned!$O:$O,A3056,pg_transaction_cleaned!$F:$F,"CAPTURE")</f>
        <v>2697</v>
      </c>
      <c r="L3056" s="23">
        <f>COUNTIFS(pg_transaction_cleaned!$O:$O,A3056,pg_transaction_cleaned!$F:$F,"REFUND")</f>
        <v>0</v>
      </c>
      <c r="M3056" s="39">
        <f>SUMIFS(pg_transaction_cleaned!$H:$H,pg_transaction_cleaned!$O:$O,A3056,pg_transaction_cleaned!$F:$F,"REFUND")</f>
        <v>0</v>
      </c>
      <c r="N3056" s="23" t="str">
        <f t="shared" si="190"/>
        <v>OK</v>
      </c>
      <c r="O3056" s="24">
        <f t="shared" si="191"/>
        <v>0</v>
      </c>
    </row>
    <row r="3057" spans="1:15" ht="15" customHeight="1" x14ac:dyDescent="0.3">
      <c r="A3057" s="23" t="s">
        <v>6607</v>
      </c>
      <c r="B3057" s="38">
        <v>46289</v>
      </c>
      <c r="C3057" s="23" t="s">
        <v>6608</v>
      </c>
      <c r="D3057" s="23" t="s">
        <v>87</v>
      </c>
      <c r="E3057" s="23" t="s">
        <v>75</v>
      </c>
      <c r="F3057" s="23" t="s">
        <v>795</v>
      </c>
      <c r="G3057" s="23" t="s">
        <v>301</v>
      </c>
      <c r="H3057" s="39">
        <f t="shared" si="188"/>
        <v>1499</v>
      </c>
      <c r="I3057" s="23" t="str">
        <f t="shared" si="189"/>
        <v>Mumbai</v>
      </c>
      <c r="J3057" s="23">
        <f>COUNTIFS(pg_transaction_cleaned!$O:$O,A3057,pg_transaction_cleaned!$F:$F,"CAPTURE")</f>
        <v>1</v>
      </c>
      <c r="K3057" s="39">
        <f>SUMIFS(pg_transaction_cleaned!$H:$H,pg_transaction_cleaned!$O:$O,A3057,pg_transaction_cleaned!$F:$F,"CAPTURE")</f>
        <v>1499</v>
      </c>
      <c r="L3057" s="23">
        <f>COUNTIFS(pg_transaction_cleaned!$O:$O,A3057,pg_transaction_cleaned!$F:$F,"REFUND")</f>
        <v>1</v>
      </c>
      <c r="M3057" s="39">
        <f>SUMIFS(pg_transaction_cleaned!$H:$H,pg_transaction_cleaned!$O:$O,A3057,pg_transaction_cleaned!$F:$F,"REFUND")</f>
        <v>1499</v>
      </c>
      <c r="N3057" s="23" t="str">
        <f t="shared" si="190"/>
        <v>OK</v>
      </c>
      <c r="O3057" s="24">
        <f t="shared" si="191"/>
        <v>0</v>
      </c>
    </row>
    <row r="3058" spans="1:15" ht="15" customHeight="1" x14ac:dyDescent="0.3">
      <c r="A3058" s="23" t="s">
        <v>6609</v>
      </c>
      <c r="B3058" s="38">
        <v>46277</v>
      </c>
      <c r="C3058" s="23" t="s">
        <v>6610</v>
      </c>
      <c r="D3058" s="23" t="s">
        <v>95</v>
      </c>
      <c r="E3058" s="23" t="s">
        <v>77</v>
      </c>
      <c r="F3058" s="23" t="s">
        <v>6611</v>
      </c>
      <c r="G3058" s="23" t="s">
        <v>250</v>
      </c>
      <c r="H3058" s="39">
        <f t="shared" si="188"/>
        <v>1198</v>
      </c>
      <c r="I3058" s="23" t="str">
        <f t="shared" si="189"/>
        <v>Bengaluru</v>
      </c>
      <c r="J3058" s="23">
        <f>COUNTIFS(pg_transaction_cleaned!$O:$O,A3058,pg_transaction_cleaned!$F:$F,"CAPTURE")</f>
        <v>1</v>
      </c>
      <c r="K3058" s="39">
        <f>SUMIFS(pg_transaction_cleaned!$H:$H,pg_transaction_cleaned!$O:$O,A3058,pg_transaction_cleaned!$F:$F,"CAPTURE")</f>
        <v>1198</v>
      </c>
      <c r="L3058" s="23">
        <f>COUNTIFS(pg_transaction_cleaned!$O:$O,A3058,pg_transaction_cleaned!$F:$F,"REFUND")</f>
        <v>0</v>
      </c>
      <c r="M3058" s="39">
        <f>SUMIFS(pg_transaction_cleaned!$H:$H,pg_transaction_cleaned!$O:$O,A3058,pg_transaction_cleaned!$F:$F,"REFUND")</f>
        <v>0</v>
      </c>
      <c r="N3058" s="23" t="str">
        <f t="shared" si="190"/>
        <v>OK</v>
      </c>
      <c r="O3058" s="24">
        <f t="shared" si="191"/>
        <v>0</v>
      </c>
    </row>
    <row r="3059" spans="1:15" ht="15" customHeight="1" x14ac:dyDescent="0.3">
      <c r="A3059" s="23" t="s">
        <v>6612</v>
      </c>
      <c r="B3059" s="38">
        <v>46268</v>
      </c>
      <c r="C3059" s="23" t="s">
        <v>6613</v>
      </c>
      <c r="D3059" s="23" t="s">
        <v>90</v>
      </c>
      <c r="E3059" s="23" t="s">
        <v>81</v>
      </c>
      <c r="F3059" s="23" t="s">
        <v>291</v>
      </c>
      <c r="G3059" s="23" t="s">
        <v>250</v>
      </c>
      <c r="H3059" s="39">
        <f t="shared" si="188"/>
        <v>3499</v>
      </c>
      <c r="I3059" s="23" t="str">
        <f t="shared" si="189"/>
        <v>Ahmedabad</v>
      </c>
      <c r="J3059" s="23">
        <f>COUNTIFS(pg_transaction_cleaned!$O:$O,A3059,pg_transaction_cleaned!$F:$F,"CAPTURE")</f>
        <v>1</v>
      </c>
      <c r="K3059" s="39">
        <f>SUMIFS(pg_transaction_cleaned!$H:$H,pg_transaction_cleaned!$O:$O,A3059,pg_transaction_cleaned!$F:$F,"CAPTURE")</f>
        <v>3499</v>
      </c>
      <c r="L3059" s="23">
        <f>COUNTIFS(pg_transaction_cleaned!$O:$O,A3059,pg_transaction_cleaned!$F:$F,"REFUND")</f>
        <v>0</v>
      </c>
      <c r="M3059" s="39">
        <f>SUMIFS(pg_transaction_cleaned!$H:$H,pg_transaction_cleaned!$O:$O,A3059,pg_transaction_cleaned!$F:$F,"REFUND")</f>
        <v>0</v>
      </c>
      <c r="N3059" s="23" t="str">
        <f t="shared" si="190"/>
        <v>OK</v>
      </c>
      <c r="O3059" s="24">
        <f t="shared" si="191"/>
        <v>0</v>
      </c>
    </row>
    <row r="3060" spans="1:15" ht="15" customHeight="1" x14ac:dyDescent="0.3">
      <c r="A3060" s="23" t="s">
        <v>6614</v>
      </c>
      <c r="B3060" s="38">
        <v>46278</v>
      </c>
      <c r="C3060" s="23" t="s">
        <v>6615</v>
      </c>
      <c r="D3060" s="23" t="s">
        <v>93</v>
      </c>
      <c r="E3060" s="23" t="s">
        <v>75</v>
      </c>
      <c r="F3060" s="23" t="s">
        <v>265</v>
      </c>
      <c r="G3060" s="23" t="s">
        <v>301</v>
      </c>
      <c r="H3060" s="39">
        <f t="shared" si="188"/>
        <v>999</v>
      </c>
      <c r="I3060" s="23" t="str">
        <f t="shared" si="189"/>
        <v>Kolkata</v>
      </c>
      <c r="J3060" s="23">
        <f>COUNTIFS(pg_transaction_cleaned!$O:$O,A3060,pg_transaction_cleaned!$F:$F,"CAPTURE")</f>
        <v>1</v>
      </c>
      <c r="K3060" s="39">
        <f>SUMIFS(pg_transaction_cleaned!$H:$H,pg_transaction_cleaned!$O:$O,A3060,pg_transaction_cleaned!$F:$F,"CAPTURE")</f>
        <v>999</v>
      </c>
      <c r="L3060" s="23">
        <f>COUNTIFS(pg_transaction_cleaned!$O:$O,A3060,pg_transaction_cleaned!$F:$F,"REFUND")</f>
        <v>1</v>
      </c>
      <c r="M3060" s="39">
        <f>SUMIFS(pg_transaction_cleaned!$H:$H,pg_transaction_cleaned!$O:$O,A3060,pg_transaction_cleaned!$F:$F,"REFUND")</f>
        <v>999</v>
      </c>
      <c r="N3060" s="23" t="str">
        <f t="shared" si="190"/>
        <v>OK</v>
      </c>
      <c r="O3060" s="24">
        <f t="shared" si="191"/>
        <v>0</v>
      </c>
    </row>
    <row r="3061" spans="1:15" ht="15" customHeight="1" x14ac:dyDescent="0.3">
      <c r="A3061" s="23" t="s">
        <v>6616</v>
      </c>
      <c r="B3061" s="38">
        <v>46295</v>
      </c>
      <c r="C3061" s="23" t="s">
        <v>6617</v>
      </c>
      <c r="D3061" s="23" t="s">
        <v>88</v>
      </c>
      <c r="E3061" s="23" t="s">
        <v>79</v>
      </c>
      <c r="F3061" s="23" t="s">
        <v>1448</v>
      </c>
      <c r="G3061" s="23" t="s">
        <v>250</v>
      </c>
      <c r="H3061" s="39">
        <f t="shared" si="188"/>
        <v>6297</v>
      </c>
      <c r="I3061" s="23" t="str">
        <f t="shared" si="189"/>
        <v>Lucknow</v>
      </c>
      <c r="J3061" s="23">
        <f>COUNTIFS(pg_transaction_cleaned!$O:$O,A3061,pg_transaction_cleaned!$F:$F,"CAPTURE")</f>
        <v>1</v>
      </c>
      <c r="K3061" s="39">
        <f>SUMIFS(pg_transaction_cleaned!$H:$H,pg_transaction_cleaned!$O:$O,A3061,pg_transaction_cleaned!$F:$F,"CAPTURE")</f>
        <v>6297</v>
      </c>
      <c r="L3061" s="23">
        <f>COUNTIFS(pg_transaction_cleaned!$O:$O,A3061,pg_transaction_cleaned!$F:$F,"REFUND")</f>
        <v>0</v>
      </c>
      <c r="M3061" s="39">
        <f>SUMIFS(pg_transaction_cleaned!$H:$H,pg_transaction_cleaned!$O:$O,A3061,pg_transaction_cleaned!$F:$F,"REFUND")</f>
        <v>0</v>
      </c>
      <c r="N3061" s="23" t="str">
        <f t="shared" si="190"/>
        <v>OK</v>
      </c>
      <c r="O3061" s="24">
        <f t="shared" si="191"/>
        <v>0</v>
      </c>
    </row>
    <row r="3062" spans="1:15" ht="15" customHeight="1" x14ac:dyDescent="0.3">
      <c r="A3062" s="23" t="s">
        <v>6618</v>
      </c>
      <c r="B3062" s="38">
        <v>46288</v>
      </c>
      <c r="C3062" s="23" t="s">
        <v>6619</v>
      </c>
      <c r="D3062" s="23" t="s">
        <v>94</v>
      </c>
      <c r="E3062" s="23" t="s">
        <v>77</v>
      </c>
      <c r="F3062" s="23" t="s">
        <v>478</v>
      </c>
      <c r="G3062" s="23" t="s">
        <v>250</v>
      </c>
      <c r="H3062" s="39">
        <f t="shared" si="188"/>
        <v>9297</v>
      </c>
      <c r="I3062" s="23" t="str">
        <f t="shared" si="189"/>
        <v>Chennai</v>
      </c>
      <c r="J3062" s="23">
        <f>COUNTIFS(pg_transaction_cleaned!$O:$O,A3062,pg_transaction_cleaned!$F:$F,"CAPTURE")</f>
        <v>1</v>
      </c>
      <c r="K3062" s="39">
        <f>SUMIFS(pg_transaction_cleaned!$H:$H,pg_transaction_cleaned!$O:$O,A3062,pg_transaction_cleaned!$F:$F,"CAPTURE")</f>
        <v>9297</v>
      </c>
      <c r="L3062" s="23">
        <f>COUNTIFS(pg_transaction_cleaned!$O:$O,A3062,pg_transaction_cleaned!$F:$F,"REFUND")</f>
        <v>0</v>
      </c>
      <c r="M3062" s="39">
        <f>SUMIFS(pg_transaction_cleaned!$H:$H,pg_transaction_cleaned!$O:$O,A3062,pg_transaction_cleaned!$F:$F,"REFUND")</f>
        <v>0</v>
      </c>
      <c r="N3062" s="23" t="str">
        <f t="shared" si="190"/>
        <v>OK</v>
      </c>
      <c r="O3062" s="24">
        <f t="shared" si="191"/>
        <v>0</v>
      </c>
    </row>
    <row r="3063" spans="1:15" ht="15" customHeight="1" x14ac:dyDescent="0.3">
      <c r="A3063" s="23" t="s">
        <v>6620</v>
      </c>
      <c r="B3063" s="38">
        <v>46272</v>
      </c>
      <c r="C3063" s="23" t="s">
        <v>6621</v>
      </c>
      <c r="D3063" s="23" t="s">
        <v>93</v>
      </c>
      <c r="E3063" s="23" t="s">
        <v>79</v>
      </c>
      <c r="F3063" s="23" t="s">
        <v>329</v>
      </c>
      <c r="G3063" s="23" t="s">
        <v>250</v>
      </c>
      <c r="H3063" s="39">
        <f t="shared" si="188"/>
        <v>599</v>
      </c>
      <c r="I3063" s="23" t="str">
        <f t="shared" si="189"/>
        <v>Kolkata</v>
      </c>
      <c r="J3063" s="23">
        <f>COUNTIFS(pg_transaction_cleaned!$O:$O,A3063,pg_transaction_cleaned!$F:$F,"CAPTURE")</f>
        <v>1</v>
      </c>
      <c r="K3063" s="39">
        <f>SUMIFS(pg_transaction_cleaned!$H:$H,pg_transaction_cleaned!$O:$O,A3063,pg_transaction_cleaned!$F:$F,"CAPTURE")</f>
        <v>599</v>
      </c>
      <c r="L3063" s="23">
        <f>COUNTIFS(pg_transaction_cleaned!$O:$O,A3063,pg_transaction_cleaned!$F:$F,"REFUND")</f>
        <v>0</v>
      </c>
      <c r="M3063" s="39">
        <f>SUMIFS(pg_transaction_cleaned!$H:$H,pg_transaction_cleaned!$O:$O,A3063,pg_transaction_cleaned!$F:$F,"REFUND")</f>
        <v>0</v>
      </c>
      <c r="N3063" s="23" t="str">
        <f t="shared" si="190"/>
        <v>OK</v>
      </c>
      <c r="O3063" s="24">
        <f t="shared" si="191"/>
        <v>0</v>
      </c>
    </row>
    <row r="3064" spans="1:15" ht="15" customHeight="1" x14ac:dyDescent="0.3">
      <c r="A3064" s="23" t="s">
        <v>6622</v>
      </c>
      <c r="B3064" s="38">
        <v>46278</v>
      </c>
      <c r="C3064" s="23" t="s">
        <v>3654</v>
      </c>
      <c r="D3064" s="23" t="s">
        <v>95</v>
      </c>
      <c r="E3064" s="23" t="s">
        <v>81</v>
      </c>
      <c r="F3064" s="23" t="s">
        <v>6623</v>
      </c>
      <c r="G3064" s="23" t="s">
        <v>250</v>
      </c>
      <c r="H3064" s="39">
        <f t="shared" si="188"/>
        <v>9297</v>
      </c>
      <c r="I3064" s="23" t="str">
        <f t="shared" si="189"/>
        <v>Bengaluru</v>
      </c>
      <c r="J3064" s="23">
        <f>COUNTIFS(pg_transaction_cleaned!$O:$O,A3064,pg_transaction_cleaned!$F:$F,"CAPTURE")</f>
        <v>1</v>
      </c>
      <c r="K3064" s="39">
        <f>SUMIFS(pg_transaction_cleaned!$H:$H,pg_transaction_cleaned!$O:$O,A3064,pg_transaction_cleaned!$F:$F,"CAPTURE")</f>
        <v>9297</v>
      </c>
      <c r="L3064" s="23">
        <f>COUNTIFS(pg_transaction_cleaned!$O:$O,A3064,pg_transaction_cleaned!$F:$F,"REFUND")</f>
        <v>0</v>
      </c>
      <c r="M3064" s="39">
        <f>SUMIFS(pg_transaction_cleaned!$H:$H,pg_transaction_cleaned!$O:$O,A3064,pg_transaction_cleaned!$F:$F,"REFUND")</f>
        <v>0</v>
      </c>
      <c r="N3064" s="23" t="str">
        <f t="shared" si="190"/>
        <v>OK</v>
      </c>
      <c r="O3064" s="24">
        <f t="shared" si="191"/>
        <v>0</v>
      </c>
    </row>
    <row r="3065" spans="1:15" ht="15" customHeight="1" x14ac:dyDescent="0.3">
      <c r="A3065" s="23" t="s">
        <v>6624</v>
      </c>
      <c r="B3065" s="38">
        <v>46294</v>
      </c>
      <c r="C3065" s="23" t="s">
        <v>6625</v>
      </c>
      <c r="D3065" s="23" t="s">
        <v>87</v>
      </c>
      <c r="E3065" s="23" t="s">
        <v>75</v>
      </c>
      <c r="F3065" s="23" t="s">
        <v>262</v>
      </c>
      <c r="G3065" s="23" t="s">
        <v>250</v>
      </c>
      <c r="H3065" s="39">
        <f t="shared" si="188"/>
        <v>499</v>
      </c>
      <c r="I3065" s="23" t="str">
        <f t="shared" si="189"/>
        <v>Mumbai</v>
      </c>
      <c r="J3065" s="23">
        <f>COUNTIFS(pg_transaction_cleaned!$O:$O,A3065,pg_transaction_cleaned!$F:$F,"CAPTURE")</f>
        <v>1</v>
      </c>
      <c r="K3065" s="39">
        <f>SUMIFS(pg_transaction_cleaned!$H:$H,pg_transaction_cleaned!$O:$O,A3065,pg_transaction_cleaned!$F:$F,"CAPTURE")</f>
        <v>499</v>
      </c>
      <c r="L3065" s="23">
        <f>COUNTIFS(pg_transaction_cleaned!$O:$O,A3065,pg_transaction_cleaned!$F:$F,"REFUND")</f>
        <v>0</v>
      </c>
      <c r="M3065" s="39">
        <f>SUMIFS(pg_transaction_cleaned!$H:$H,pg_transaction_cleaned!$O:$O,A3065,pg_transaction_cleaned!$F:$F,"REFUND")</f>
        <v>0</v>
      </c>
      <c r="N3065" s="23" t="str">
        <f t="shared" si="190"/>
        <v>OK</v>
      </c>
      <c r="O3065" s="24">
        <f t="shared" si="191"/>
        <v>0</v>
      </c>
    </row>
    <row r="3066" spans="1:15" ht="15" customHeight="1" x14ac:dyDescent="0.3">
      <c r="A3066" s="23" t="s">
        <v>6626</v>
      </c>
      <c r="B3066" s="38">
        <v>46283</v>
      </c>
      <c r="C3066" s="23" t="s">
        <v>6627</v>
      </c>
      <c r="D3066" s="23" t="s">
        <v>89</v>
      </c>
      <c r="E3066" s="23" t="s">
        <v>77</v>
      </c>
      <c r="F3066" s="23" t="s">
        <v>1123</v>
      </c>
      <c r="G3066" s="23" t="s">
        <v>365</v>
      </c>
      <c r="H3066" s="39">
        <f t="shared" si="188"/>
        <v>3797</v>
      </c>
      <c r="I3066" s="23" t="str">
        <f t="shared" si="189"/>
        <v>Jaipur</v>
      </c>
      <c r="J3066" s="23">
        <f>COUNTIFS(pg_transaction_cleaned!$O:$O,A3066,pg_transaction_cleaned!$F:$F,"CAPTURE")</f>
        <v>0</v>
      </c>
      <c r="K3066" s="39">
        <f>SUMIFS(pg_transaction_cleaned!$H:$H,pg_transaction_cleaned!$O:$O,A3066,pg_transaction_cleaned!$F:$F,"CAPTURE")</f>
        <v>0</v>
      </c>
      <c r="L3066" s="23">
        <f>COUNTIFS(pg_transaction_cleaned!$O:$O,A3066,pg_transaction_cleaned!$F:$F,"REFUND")</f>
        <v>0</v>
      </c>
      <c r="M3066" s="39">
        <f>SUMIFS(pg_transaction_cleaned!$H:$H,pg_transaction_cleaned!$O:$O,A3066,pg_transaction_cleaned!$F:$F,"REFUND")</f>
        <v>0</v>
      </c>
      <c r="N3066" s="23" t="str">
        <f t="shared" si="190"/>
        <v>OK</v>
      </c>
      <c r="O3066" s="24">
        <f t="shared" si="191"/>
        <v>0</v>
      </c>
    </row>
    <row r="3067" spans="1:15" ht="15" customHeight="1" x14ac:dyDescent="0.3">
      <c r="A3067" s="23" t="s">
        <v>6628</v>
      </c>
      <c r="B3067" s="38">
        <v>46268</v>
      </c>
      <c r="C3067" s="23" t="s">
        <v>6629</v>
      </c>
      <c r="D3067" s="23" t="s">
        <v>94</v>
      </c>
      <c r="E3067" s="23" t="s">
        <v>79</v>
      </c>
      <c r="F3067" s="23" t="s">
        <v>262</v>
      </c>
      <c r="G3067" s="23" t="s">
        <v>250</v>
      </c>
      <c r="H3067" s="39">
        <f t="shared" si="188"/>
        <v>499</v>
      </c>
      <c r="I3067" s="23" t="str">
        <f t="shared" si="189"/>
        <v>Chennai</v>
      </c>
      <c r="J3067" s="23">
        <f>COUNTIFS(pg_transaction_cleaned!$O:$O,A3067,pg_transaction_cleaned!$F:$F,"CAPTURE")</f>
        <v>1</v>
      </c>
      <c r="K3067" s="39">
        <f>SUMIFS(pg_transaction_cleaned!$H:$H,pg_transaction_cleaned!$O:$O,A3067,pg_transaction_cleaned!$F:$F,"CAPTURE")</f>
        <v>499</v>
      </c>
      <c r="L3067" s="23">
        <f>COUNTIFS(pg_transaction_cleaned!$O:$O,A3067,pg_transaction_cleaned!$F:$F,"REFUND")</f>
        <v>0</v>
      </c>
      <c r="M3067" s="39">
        <f>SUMIFS(pg_transaction_cleaned!$H:$H,pg_transaction_cleaned!$O:$O,A3067,pg_transaction_cleaned!$F:$F,"REFUND")</f>
        <v>0</v>
      </c>
      <c r="N3067" s="23" t="str">
        <f t="shared" si="190"/>
        <v>OK</v>
      </c>
      <c r="O3067" s="24">
        <f t="shared" si="191"/>
        <v>0</v>
      </c>
    </row>
    <row r="3068" spans="1:15" ht="15" customHeight="1" x14ac:dyDescent="0.3">
      <c r="A3068" s="23" t="s">
        <v>6630</v>
      </c>
      <c r="B3068" s="38">
        <v>46284</v>
      </c>
      <c r="C3068" s="23" t="s">
        <v>6631</v>
      </c>
      <c r="D3068" s="23" t="s">
        <v>87</v>
      </c>
      <c r="E3068" s="23" t="s">
        <v>75</v>
      </c>
      <c r="F3068" s="23" t="s">
        <v>256</v>
      </c>
      <c r="G3068" s="23" t="s">
        <v>250</v>
      </c>
      <c r="H3068" s="39">
        <f t="shared" si="188"/>
        <v>2098</v>
      </c>
      <c r="I3068" s="23" t="str">
        <f t="shared" si="189"/>
        <v>Mumbai</v>
      </c>
      <c r="J3068" s="23">
        <f>COUNTIFS(pg_transaction_cleaned!$O:$O,A3068,pg_transaction_cleaned!$F:$F,"CAPTURE")</f>
        <v>1</v>
      </c>
      <c r="K3068" s="39">
        <f>SUMIFS(pg_transaction_cleaned!$H:$H,pg_transaction_cleaned!$O:$O,A3068,pg_transaction_cleaned!$F:$F,"CAPTURE")</f>
        <v>2098</v>
      </c>
      <c r="L3068" s="23">
        <f>COUNTIFS(pg_transaction_cleaned!$O:$O,A3068,pg_transaction_cleaned!$F:$F,"REFUND")</f>
        <v>0</v>
      </c>
      <c r="M3068" s="39">
        <f>SUMIFS(pg_transaction_cleaned!$H:$H,pg_transaction_cleaned!$O:$O,A3068,pg_transaction_cleaned!$F:$F,"REFUND")</f>
        <v>0</v>
      </c>
      <c r="N3068" s="23" t="str">
        <f t="shared" si="190"/>
        <v>OK</v>
      </c>
      <c r="O3068" s="24">
        <f t="shared" si="191"/>
        <v>0</v>
      </c>
    </row>
    <row r="3069" spans="1:15" ht="15" customHeight="1" x14ac:dyDescent="0.3">
      <c r="A3069" s="23" t="s">
        <v>6632</v>
      </c>
      <c r="B3069" s="38">
        <v>46280</v>
      </c>
      <c r="C3069" s="23" t="s">
        <v>6633</v>
      </c>
      <c r="D3069" s="23" t="s">
        <v>91</v>
      </c>
      <c r="E3069" s="23" t="s">
        <v>79</v>
      </c>
      <c r="F3069" s="23" t="s">
        <v>262</v>
      </c>
      <c r="G3069" s="23" t="s">
        <v>250</v>
      </c>
      <c r="H3069" s="39">
        <f t="shared" si="188"/>
        <v>499</v>
      </c>
      <c r="I3069" s="23" t="str">
        <f t="shared" si="189"/>
        <v>Pune</v>
      </c>
      <c r="J3069" s="23">
        <f>COUNTIFS(pg_transaction_cleaned!$O:$O,A3069,pg_transaction_cleaned!$F:$F,"CAPTURE")</f>
        <v>1</v>
      </c>
      <c r="K3069" s="39">
        <f>SUMIFS(pg_transaction_cleaned!$H:$H,pg_transaction_cleaned!$O:$O,A3069,pg_transaction_cleaned!$F:$F,"CAPTURE")</f>
        <v>499</v>
      </c>
      <c r="L3069" s="23">
        <f>COUNTIFS(pg_transaction_cleaned!$O:$O,A3069,pg_transaction_cleaned!$F:$F,"REFUND")</f>
        <v>0</v>
      </c>
      <c r="M3069" s="39">
        <f>SUMIFS(pg_transaction_cleaned!$H:$H,pg_transaction_cleaned!$O:$O,A3069,pg_transaction_cleaned!$F:$F,"REFUND")</f>
        <v>0</v>
      </c>
      <c r="N3069" s="23" t="str">
        <f t="shared" si="190"/>
        <v>OK</v>
      </c>
      <c r="O3069" s="24">
        <f t="shared" si="191"/>
        <v>0</v>
      </c>
    </row>
    <row r="3070" spans="1:15" ht="15" customHeight="1" x14ac:dyDescent="0.3">
      <c r="A3070" s="23" t="s">
        <v>6634</v>
      </c>
      <c r="B3070" s="38">
        <v>46274</v>
      </c>
      <c r="C3070" s="23" t="s">
        <v>6635</v>
      </c>
      <c r="D3070" s="23" t="s">
        <v>92</v>
      </c>
      <c r="E3070" s="23" t="s">
        <v>81</v>
      </c>
      <c r="F3070" s="23" t="s">
        <v>268</v>
      </c>
      <c r="G3070" s="23" t="s">
        <v>250</v>
      </c>
      <c r="H3070" s="39">
        <f t="shared" si="188"/>
        <v>1299</v>
      </c>
      <c r="I3070" s="23" t="str">
        <f t="shared" si="189"/>
        <v>Hyderabad</v>
      </c>
      <c r="J3070" s="23">
        <f>COUNTIFS(pg_transaction_cleaned!$O:$O,A3070,pg_transaction_cleaned!$F:$F,"CAPTURE")</f>
        <v>1</v>
      </c>
      <c r="K3070" s="39">
        <f>SUMIFS(pg_transaction_cleaned!$H:$H,pg_transaction_cleaned!$O:$O,A3070,pg_transaction_cleaned!$F:$F,"CAPTURE")</f>
        <v>1299</v>
      </c>
      <c r="L3070" s="23">
        <f>COUNTIFS(pg_transaction_cleaned!$O:$O,A3070,pg_transaction_cleaned!$F:$F,"REFUND")</f>
        <v>0</v>
      </c>
      <c r="M3070" s="39">
        <f>SUMIFS(pg_transaction_cleaned!$H:$H,pg_transaction_cleaned!$O:$O,A3070,pg_transaction_cleaned!$F:$F,"REFUND")</f>
        <v>0</v>
      </c>
      <c r="N3070" s="23" t="str">
        <f t="shared" si="190"/>
        <v>OK</v>
      </c>
      <c r="O3070" s="24">
        <f t="shared" si="191"/>
        <v>0</v>
      </c>
    </row>
    <row r="3071" spans="1:15" ht="15" customHeight="1" x14ac:dyDescent="0.3">
      <c r="A3071" s="23" t="s">
        <v>6636</v>
      </c>
      <c r="B3071" s="38">
        <v>46286</v>
      </c>
      <c r="C3071" s="23" t="s">
        <v>6637</v>
      </c>
      <c r="D3071" s="23" t="s">
        <v>91</v>
      </c>
      <c r="E3071" s="23" t="s">
        <v>77</v>
      </c>
      <c r="F3071" s="23" t="s">
        <v>370</v>
      </c>
      <c r="G3071" s="23" t="s">
        <v>250</v>
      </c>
      <c r="H3071" s="39">
        <f t="shared" si="188"/>
        <v>3098</v>
      </c>
      <c r="I3071" s="23" t="str">
        <f t="shared" si="189"/>
        <v>Pune</v>
      </c>
      <c r="J3071" s="23">
        <f>COUNTIFS(pg_transaction_cleaned!$O:$O,A3071,pg_transaction_cleaned!$F:$F,"CAPTURE")</f>
        <v>1</v>
      </c>
      <c r="K3071" s="39">
        <f>SUMIFS(pg_transaction_cleaned!$H:$H,pg_transaction_cleaned!$O:$O,A3071,pg_transaction_cleaned!$F:$F,"CAPTURE")</f>
        <v>3098</v>
      </c>
      <c r="L3071" s="23">
        <f>COUNTIFS(pg_transaction_cleaned!$O:$O,A3071,pg_transaction_cleaned!$F:$F,"REFUND")</f>
        <v>0</v>
      </c>
      <c r="M3071" s="39">
        <f>SUMIFS(pg_transaction_cleaned!$H:$H,pg_transaction_cleaned!$O:$O,A3071,pg_transaction_cleaned!$F:$F,"REFUND")</f>
        <v>0</v>
      </c>
      <c r="N3071" s="23" t="str">
        <f t="shared" si="190"/>
        <v>OK</v>
      </c>
      <c r="O3071" s="24">
        <f t="shared" si="191"/>
        <v>0</v>
      </c>
    </row>
    <row r="3072" spans="1:15" ht="15" customHeight="1" x14ac:dyDescent="0.3">
      <c r="A3072" s="23" t="s">
        <v>6638</v>
      </c>
      <c r="B3072" s="38">
        <v>46275</v>
      </c>
      <c r="C3072" s="23" t="s">
        <v>6639</v>
      </c>
      <c r="D3072" s="23" t="s">
        <v>88</v>
      </c>
      <c r="E3072" s="23" t="s">
        <v>81</v>
      </c>
      <c r="F3072" s="23" t="s">
        <v>475</v>
      </c>
      <c r="G3072" s="23" t="s">
        <v>250</v>
      </c>
      <c r="H3072" s="39">
        <f t="shared" si="188"/>
        <v>799</v>
      </c>
      <c r="I3072" s="23" t="str">
        <f t="shared" si="189"/>
        <v>Lucknow</v>
      </c>
      <c r="J3072" s="23">
        <f>COUNTIFS(pg_transaction_cleaned!$O:$O,A3072,pg_transaction_cleaned!$F:$F,"CAPTURE")</f>
        <v>1</v>
      </c>
      <c r="K3072" s="39">
        <f>SUMIFS(pg_transaction_cleaned!$H:$H,pg_transaction_cleaned!$O:$O,A3072,pg_transaction_cleaned!$F:$F,"CAPTURE")</f>
        <v>799</v>
      </c>
      <c r="L3072" s="23">
        <f>COUNTIFS(pg_transaction_cleaned!$O:$O,A3072,pg_transaction_cleaned!$F:$F,"REFUND")</f>
        <v>0</v>
      </c>
      <c r="M3072" s="39">
        <f>SUMIFS(pg_transaction_cleaned!$H:$H,pg_transaction_cleaned!$O:$O,A3072,pg_transaction_cleaned!$F:$F,"REFUND")</f>
        <v>0</v>
      </c>
      <c r="N3072" s="23" t="str">
        <f t="shared" si="190"/>
        <v>OK</v>
      </c>
      <c r="O3072" s="24">
        <f t="shared" si="191"/>
        <v>0</v>
      </c>
    </row>
    <row r="3073" spans="1:15" ht="15" customHeight="1" x14ac:dyDescent="0.3">
      <c r="A3073" s="23" t="s">
        <v>6640</v>
      </c>
      <c r="B3073" s="38">
        <v>46279</v>
      </c>
      <c r="C3073" s="23" t="s">
        <v>6641</v>
      </c>
      <c r="D3073" s="23" t="s">
        <v>87</v>
      </c>
      <c r="E3073" s="23" t="s">
        <v>75</v>
      </c>
      <c r="F3073" s="23" t="s">
        <v>396</v>
      </c>
      <c r="G3073" s="23" t="s">
        <v>250</v>
      </c>
      <c r="H3073" s="39">
        <f t="shared" si="188"/>
        <v>2999</v>
      </c>
      <c r="I3073" s="23" t="str">
        <f t="shared" si="189"/>
        <v>Mumbai</v>
      </c>
      <c r="J3073" s="23">
        <f>COUNTIFS(pg_transaction_cleaned!$O:$O,A3073,pg_transaction_cleaned!$F:$F,"CAPTURE")</f>
        <v>1</v>
      </c>
      <c r="K3073" s="39">
        <f>SUMIFS(pg_transaction_cleaned!$H:$H,pg_transaction_cleaned!$O:$O,A3073,pg_transaction_cleaned!$F:$F,"CAPTURE")</f>
        <v>2999</v>
      </c>
      <c r="L3073" s="23">
        <f>COUNTIFS(pg_transaction_cleaned!$O:$O,A3073,pg_transaction_cleaned!$F:$F,"REFUND")</f>
        <v>0</v>
      </c>
      <c r="M3073" s="39">
        <f>SUMIFS(pg_transaction_cleaned!$H:$H,pg_transaction_cleaned!$O:$O,A3073,pg_transaction_cleaned!$F:$F,"REFUND")</f>
        <v>0</v>
      </c>
      <c r="N3073" s="23" t="str">
        <f t="shared" si="190"/>
        <v>OK</v>
      </c>
      <c r="O3073" s="24">
        <f t="shared" si="191"/>
        <v>0</v>
      </c>
    </row>
    <row r="3074" spans="1:15" ht="15" customHeight="1" x14ac:dyDescent="0.3">
      <c r="A3074" s="23" t="s">
        <v>6642</v>
      </c>
      <c r="B3074" s="38">
        <v>46266</v>
      </c>
      <c r="C3074" s="23" t="s">
        <v>6643</v>
      </c>
      <c r="D3074" s="23" t="s">
        <v>94</v>
      </c>
      <c r="E3074" s="23" t="s">
        <v>75</v>
      </c>
      <c r="F3074" s="23" t="s">
        <v>499</v>
      </c>
      <c r="G3074" s="23" t="s">
        <v>250</v>
      </c>
      <c r="H3074" s="39">
        <f t="shared" ref="H3074:H3137" si="192">VALUE(SUBSTITUTE(F3074,",",""))</f>
        <v>5998</v>
      </c>
      <c r="I3074" s="23" t="str">
        <f t="shared" ref="I3074:I3137" si="193">IF(TRIM(D3074)="","Unknown",TRIM(D3074))</f>
        <v>Chennai</v>
      </c>
      <c r="J3074" s="23">
        <f>COUNTIFS(pg_transaction_cleaned!$O:$O,A3074,pg_transaction_cleaned!$F:$F,"CAPTURE")</f>
        <v>1</v>
      </c>
      <c r="K3074" s="39">
        <f>SUMIFS(pg_transaction_cleaned!$H:$H,pg_transaction_cleaned!$O:$O,A3074,pg_transaction_cleaned!$F:$F,"CAPTURE")</f>
        <v>5998</v>
      </c>
      <c r="L3074" s="23">
        <f>COUNTIFS(pg_transaction_cleaned!$O:$O,A3074,pg_transaction_cleaned!$F:$F,"REFUND")</f>
        <v>0</v>
      </c>
      <c r="M3074" s="39">
        <f>SUMIFS(pg_transaction_cleaned!$H:$H,pg_transaction_cleaned!$O:$O,A3074,pg_transaction_cleaned!$F:$F,"REFUND")</f>
        <v>0</v>
      </c>
      <c r="N3074" s="23" t="str">
        <f t="shared" ref="N3074:N3137" si="194">IF(AND(G3074="Paid",J3074=0),"Paid, no payment",IF(AND(OR(G3074="Failed",G3074="Cancelled"),J3074&gt;0),"Payment on failed/cancelled",IF(J3074&gt;1,"Duplicate charge",IF(AND(J3074=1,ROUND(K3074-H3074,2)&lt;&gt;0),"Amount difference",IF(AND(G3074="Refunded",L3074=0),"Refunded, no refund",IF(AND(G3074&lt;&gt;"Refunded",L3074&gt;0),"Refund, order not Refunded",IF(AND(L3074&gt;0,ROUND(M3074-H3074,2)&lt;&gt;0),"Refund amount differs","OK")))))))</f>
        <v>OK</v>
      </c>
      <c r="O3074" s="24">
        <f t="shared" ref="O3074:O3137" si="195">IF(N3074="OK",0,IF(N3074="Paid, no payment",H3074,IF(N3074="Payment on failed/cancelled",K3074,IF(OR(N3074="Duplicate charge",N3074="Amount difference"),K3074-H3074,IF(N3074="Refunded, no refund",H3074,M3074)))))</f>
        <v>0</v>
      </c>
    </row>
    <row r="3075" spans="1:15" ht="15" customHeight="1" x14ac:dyDescent="0.3">
      <c r="A3075" s="23" t="s">
        <v>6644</v>
      </c>
      <c r="B3075" s="38">
        <v>46295</v>
      </c>
      <c r="C3075" s="23" t="s">
        <v>6645</v>
      </c>
      <c r="D3075" s="23" t="s">
        <v>90</v>
      </c>
      <c r="E3075" s="23" t="s">
        <v>75</v>
      </c>
      <c r="F3075" s="23" t="s">
        <v>262</v>
      </c>
      <c r="G3075" s="23" t="s">
        <v>318</v>
      </c>
      <c r="H3075" s="39">
        <f t="shared" si="192"/>
        <v>499</v>
      </c>
      <c r="I3075" s="23" t="str">
        <f t="shared" si="193"/>
        <v>Ahmedabad</v>
      </c>
      <c r="J3075" s="23">
        <f>COUNTIFS(pg_transaction_cleaned!$O:$O,A3075,pg_transaction_cleaned!$F:$F,"CAPTURE")</f>
        <v>0</v>
      </c>
      <c r="K3075" s="39">
        <f>SUMIFS(pg_transaction_cleaned!$H:$H,pg_transaction_cleaned!$O:$O,A3075,pg_transaction_cleaned!$F:$F,"CAPTURE")</f>
        <v>0</v>
      </c>
      <c r="L3075" s="23">
        <f>COUNTIFS(pg_transaction_cleaned!$O:$O,A3075,pg_transaction_cleaned!$F:$F,"REFUND")</f>
        <v>0</v>
      </c>
      <c r="M3075" s="39">
        <f>SUMIFS(pg_transaction_cleaned!$H:$H,pg_transaction_cleaned!$O:$O,A3075,pg_transaction_cleaned!$F:$F,"REFUND")</f>
        <v>0</v>
      </c>
      <c r="N3075" s="23" t="str">
        <f t="shared" si="194"/>
        <v>OK</v>
      </c>
      <c r="O3075" s="24">
        <f t="shared" si="195"/>
        <v>0</v>
      </c>
    </row>
    <row r="3076" spans="1:15" ht="15" customHeight="1" x14ac:dyDescent="0.3">
      <c r="A3076" s="23" t="s">
        <v>6646</v>
      </c>
      <c r="B3076" s="38">
        <v>46268</v>
      </c>
      <c r="C3076" s="23" t="s">
        <v>6647</v>
      </c>
      <c r="D3076" s="23" t="s">
        <v>92</v>
      </c>
      <c r="E3076" s="23" t="s">
        <v>75</v>
      </c>
      <c r="F3076" s="23" t="s">
        <v>349</v>
      </c>
      <c r="G3076" s="23" t="s">
        <v>250</v>
      </c>
      <c r="H3076" s="39">
        <f t="shared" si="192"/>
        <v>1798</v>
      </c>
      <c r="I3076" s="23" t="str">
        <f t="shared" si="193"/>
        <v>Hyderabad</v>
      </c>
      <c r="J3076" s="23">
        <f>COUNTIFS(pg_transaction_cleaned!$O:$O,A3076,pg_transaction_cleaned!$F:$F,"CAPTURE")</f>
        <v>1</v>
      </c>
      <c r="K3076" s="39">
        <f>SUMIFS(pg_transaction_cleaned!$H:$H,pg_transaction_cleaned!$O:$O,A3076,pg_transaction_cleaned!$F:$F,"CAPTURE")</f>
        <v>1798</v>
      </c>
      <c r="L3076" s="23">
        <f>COUNTIFS(pg_transaction_cleaned!$O:$O,A3076,pg_transaction_cleaned!$F:$F,"REFUND")</f>
        <v>0</v>
      </c>
      <c r="M3076" s="39">
        <f>SUMIFS(pg_transaction_cleaned!$H:$H,pg_transaction_cleaned!$O:$O,A3076,pg_transaction_cleaned!$F:$F,"REFUND")</f>
        <v>0</v>
      </c>
      <c r="N3076" s="23" t="str">
        <f t="shared" si="194"/>
        <v>OK</v>
      </c>
      <c r="O3076" s="24">
        <f t="shared" si="195"/>
        <v>0</v>
      </c>
    </row>
    <row r="3077" spans="1:15" ht="15" customHeight="1" x14ac:dyDescent="0.3">
      <c r="A3077" s="23" t="s">
        <v>6648</v>
      </c>
      <c r="B3077" s="38">
        <v>46289</v>
      </c>
      <c r="C3077" s="23" t="s">
        <v>6649</v>
      </c>
      <c r="D3077" s="23" t="s">
        <v>92</v>
      </c>
      <c r="E3077" s="23" t="s">
        <v>75</v>
      </c>
      <c r="F3077" s="23" t="s">
        <v>268</v>
      </c>
      <c r="G3077" s="23" t="s">
        <v>365</v>
      </c>
      <c r="H3077" s="39">
        <f t="shared" si="192"/>
        <v>1299</v>
      </c>
      <c r="I3077" s="23" t="str">
        <f t="shared" si="193"/>
        <v>Hyderabad</v>
      </c>
      <c r="J3077" s="23">
        <f>COUNTIFS(pg_transaction_cleaned!$O:$O,A3077,pg_transaction_cleaned!$F:$F,"CAPTURE")</f>
        <v>0</v>
      </c>
      <c r="K3077" s="39">
        <f>SUMIFS(pg_transaction_cleaned!$H:$H,pg_transaction_cleaned!$O:$O,A3077,pg_transaction_cleaned!$F:$F,"CAPTURE")</f>
        <v>0</v>
      </c>
      <c r="L3077" s="23">
        <f>COUNTIFS(pg_transaction_cleaned!$O:$O,A3077,pg_transaction_cleaned!$F:$F,"REFUND")</f>
        <v>0</v>
      </c>
      <c r="M3077" s="39">
        <f>SUMIFS(pg_transaction_cleaned!$H:$H,pg_transaction_cleaned!$O:$O,A3077,pg_transaction_cleaned!$F:$F,"REFUND")</f>
        <v>0</v>
      </c>
      <c r="N3077" s="23" t="str">
        <f t="shared" si="194"/>
        <v>OK</v>
      </c>
      <c r="O3077" s="24">
        <f t="shared" si="195"/>
        <v>0</v>
      </c>
    </row>
    <row r="3078" spans="1:15" ht="15" customHeight="1" x14ac:dyDescent="0.3">
      <c r="A3078" s="23" t="s">
        <v>6650</v>
      </c>
      <c r="B3078" s="38">
        <v>46274</v>
      </c>
      <c r="C3078" s="23" t="s">
        <v>4205</v>
      </c>
      <c r="D3078" s="23" t="s">
        <v>86</v>
      </c>
      <c r="E3078" s="23" t="s">
        <v>75</v>
      </c>
      <c r="F3078" s="23" t="s">
        <v>1571</v>
      </c>
      <c r="G3078" s="23" t="s">
        <v>250</v>
      </c>
      <c r="H3078" s="39">
        <f t="shared" si="192"/>
        <v>7497</v>
      </c>
      <c r="I3078" s="23" t="str">
        <f t="shared" si="193"/>
        <v>Delhi</v>
      </c>
      <c r="J3078" s="23">
        <f>COUNTIFS(pg_transaction_cleaned!$O:$O,A3078,pg_transaction_cleaned!$F:$F,"CAPTURE")</f>
        <v>1</v>
      </c>
      <c r="K3078" s="39">
        <f>SUMIFS(pg_transaction_cleaned!$H:$H,pg_transaction_cleaned!$O:$O,A3078,pg_transaction_cleaned!$F:$F,"CAPTURE")</f>
        <v>7497</v>
      </c>
      <c r="L3078" s="23">
        <f>COUNTIFS(pg_transaction_cleaned!$O:$O,A3078,pg_transaction_cleaned!$F:$F,"REFUND")</f>
        <v>0</v>
      </c>
      <c r="M3078" s="39">
        <f>SUMIFS(pg_transaction_cleaned!$H:$H,pg_transaction_cleaned!$O:$O,A3078,pg_transaction_cleaned!$F:$F,"REFUND")</f>
        <v>0</v>
      </c>
      <c r="N3078" s="23" t="str">
        <f t="shared" si="194"/>
        <v>OK</v>
      </c>
      <c r="O3078" s="24">
        <f t="shared" si="195"/>
        <v>0</v>
      </c>
    </row>
    <row r="3079" spans="1:15" ht="15" customHeight="1" x14ac:dyDescent="0.3">
      <c r="A3079" s="23" t="s">
        <v>6651</v>
      </c>
      <c r="B3079" s="38">
        <v>46293</v>
      </c>
      <c r="C3079" s="23" t="s">
        <v>6652</v>
      </c>
      <c r="D3079" s="23" t="s">
        <v>86</v>
      </c>
      <c r="E3079" s="23" t="s">
        <v>75</v>
      </c>
      <c r="F3079" s="23" t="s">
        <v>579</v>
      </c>
      <c r="G3079" s="23" t="s">
        <v>250</v>
      </c>
      <c r="H3079" s="39">
        <f t="shared" si="192"/>
        <v>11297</v>
      </c>
      <c r="I3079" s="23" t="str">
        <f t="shared" si="193"/>
        <v>Delhi</v>
      </c>
      <c r="J3079" s="23">
        <f>COUNTIFS(pg_transaction_cleaned!$O:$O,A3079,pg_transaction_cleaned!$F:$F,"CAPTURE")</f>
        <v>1</v>
      </c>
      <c r="K3079" s="39">
        <f>SUMIFS(pg_transaction_cleaned!$H:$H,pg_transaction_cleaned!$O:$O,A3079,pg_transaction_cleaned!$F:$F,"CAPTURE")</f>
        <v>11297</v>
      </c>
      <c r="L3079" s="23">
        <f>COUNTIFS(pg_transaction_cleaned!$O:$O,A3079,pg_transaction_cleaned!$F:$F,"REFUND")</f>
        <v>0</v>
      </c>
      <c r="M3079" s="39">
        <f>SUMIFS(pg_transaction_cleaned!$H:$H,pg_transaction_cleaned!$O:$O,A3079,pg_transaction_cleaned!$F:$F,"REFUND")</f>
        <v>0</v>
      </c>
      <c r="N3079" s="23" t="str">
        <f t="shared" si="194"/>
        <v>OK</v>
      </c>
      <c r="O3079" s="24">
        <f t="shared" si="195"/>
        <v>0</v>
      </c>
    </row>
    <row r="3080" spans="1:15" ht="15" customHeight="1" x14ac:dyDescent="0.3">
      <c r="A3080" s="23" t="s">
        <v>6653</v>
      </c>
      <c r="B3080" s="38">
        <v>46273</v>
      </c>
      <c r="C3080" s="23" t="s">
        <v>6654</v>
      </c>
      <c r="D3080" s="23"/>
      <c r="E3080" s="23" t="s">
        <v>75</v>
      </c>
      <c r="F3080" s="23" t="s">
        <v>483</v>
      </c>
      <c r="G3080" s="23" t="s">
        <v>250</v>
      </c>
      <c r="H3080" s="39">
        <f t="shared" si="192"/>
        <v>2998</v>
      </c>
      <c r="I3080" s="23" t="str">
        <f t="shared" si="193"/>
        <v>Unknown</v>
      </c>
      <c r="J3080" s="23">
        <f>COUNTIFS(pg_transaction_cleaned!$O:$O,A3080,pg_transaction_cleaned!$F:$F,"CAPTURE")</f>
        <v>1</v>
      </c>
      <c r="K3080" s="39">
        <f>SUMIFS(pg_transaction_cleaned!$H:$H,pg_transaction_cleaned!$O:$O,A3080,pg_transaction_cleaned!$F:$F,"CAPTURE")</f>
        <v>2998</v>
      </c>
      <c r="L3080" s="23">
        <f>COUNTIFS(pg_transaction_cleaned!$O:$O,A3080,pg_transaction_cleaned!$F:$F,"REFUND")</f>
        <v>0</v>
      </c>
      <c r="M3080" s="39">
        <f>SUMIFS(pg_transaction_cleaned!$H:$H,pg_transaction_cleaned!$O:$O,A3080,pg_transaction_cleaned!$F:$F,"REFUND")</f>
        <v>0</v>
      </c>
      <c r="N3080" s="23" t="str">
        <f t="shared" si="194"/>
        <v>OK</v>
      </c>
      <c r="O3080" s="24">
        <f t="shared" si="195"/>
        <v>0</v>
      </c>
    </row>
    <row r="3081" spans="1:15" ht="15" customHeight="1" x14ac:dyDescent="0.3">
      <c r="A3081" s="23" t="s">
        <v>6655</v>
      </c>
      <c r="B3081" s="38">
        <v>46279</v>
      </c>
      <c r="C3081" s="23" t="s">
        <v>6656</v>
      </c>
      <c r="D3081" s="23" t="s">
        <v>87</v>
      </c>
      <c r="E3081" s="23" t="s">
        <v>75</v>
      </c>
      <c r="F3081" s="23" t="s">
        <v>329</v>
      </c>
      <c r="G3081" s="23" t="s">
        <v>250</v>
      </c>
      <c r="H3081" s="39">
        <f t="shared" si="192"/>
        <v>599</v>
      </c>
      <c r="I3081" s="23" t="str">
        <f t="shared" si="193"/>
        <v>Mumbai</v>
      </c>
      <c r="J3081" s="23">
        <f>COUNTIFS(pg_transaction_cleaned!$O:$O,A3081,pg_transaction_cleaned!$F:$F,"CAPTURE")</f>
        <v>1</v>
      </c>
      <c r="K3081" s="39">
        <f>SUMIFS(pg_transaction_cleaned!$H:$H,pg_transaction_cleaned!$O:$O,A3081,pg_transaction_cleaned!$F:$F,"CAPTURE")</f>
        <v>599</v>
      </c>
      <c r="L3081" s="23">
        <f>COUNTIFS(pg_transaction_cleaned!$O:$O,A3081,pg_transaction_cleaned!$F:$F,"REFUND")</f>
        <v>0</v>
      </c>
      <c r="M3081" s="39">
        <f>SUMIFS(pg_transaction_cleaned!$H:$H,pg_transaction_cleaned!$O:$O,A3081,pg_transaction_cleaned!$F:$F,"REFUND")</f>
        <v>0</v>
      </c>
      <c r="N3081" s="23" t="str">
        <f t="shared" si="194"/>
        <v>OK</v>
      </c>
      <c r="O3081" s="24">
        <f t="shared" si="195"/>
        <v>0</v>
      </c>
    </row>
    <row r="3082" spans="1:15" ht="15" customHeight="1" x14ac:dyDescent="0.3">
      <c r="A3082" s="23" t="s">
        <v>6657</v>
      </c>
      <c r="B3082" s="38">
        <v>46295</v>
      </c>
      <c r="C3082" s="23" t="s">
        <v>6658</v>
      </c>
      <c r="D3082" s="23" t="s">
        <v>91</v>
      </c>
      <c r="E3082" s="23" t="s">
        <v>75</v>
      </c>
      <c r="F3082" s="23" t="s">
        <v>6659</v>
      </c>
      <c r="G3082" s="23" t="s">
        <v>250</v>
      </c>
      <c r="H3082" s="39">
        <f t="shared" si="192"/>
        <v>12497</v>
      </c>
      <c r="I3082" s="23" t="str">
        <f t="shared" si="193"/>
        <v>Pune</v>
      </c>
      <c r="J3082" s="23">
        <f>COUNTIFS(pg_transaction_cleaned!$O:$O,A3082,pg_transaction_cleaned!$F:$F,"CAPTURE")</f>
        <v>1</v>
      </c>
      <c r="K3082" s="39">
        <f>SUMIFS(pg_transaction_cleaned!$H:$H,pg_transaction_cleaned!$O:$O,A3082,pg_transaction_cleaned!$F:$F,"CAPTURE")</f>
        <v>12497</v>
      </c>
      <c r="L3082" s="23">
        <f>COUNTIFS(pg_transaction_cleaned!$O:$O,A3082,pg_transaction_cleaned!$F:$F,"REFUND")</f>
        <v>0</v>
      </c>
      <c r="M3082" s="39">
        <f>SUMIFS(pg_transaction_cleaned!$H:$H,pg_transaction_cleaned!$O:$O,A3082,pg_transaction_cleaned!$F:$F,"REFUND")</f>
        <v>0</v>
      </c>
      <c r="N3082" s="23" t="str">
        <f t="shared" si="194"/>
        <v>OK</v>
      </c>
      <c r="O3082" s="24">
        <f t="shared" si="195"/>
        <v>0</v>
      </c>
    </row>
    <row r="3083" spans="1:15" ht="15" customHeight="1" x14ac:dyDescent="0.3">
      <c r="A3083" s="23" t="s">
        <v>6660</v>
      </c>
      <c r="B3083" s="38">
        <v>46266</v>
      </c>
      <c r="C3083" s="23" t="s">
        <v>6661</v>
      </c>
      <c r="D3083" s="23" t="s">
        <v>87</v>
      </c>
      <c r="E3083" s="23" t="s">
        <v>79</v>
      </c>
      <c r="F3083" s="23" t="s">
        <v>265</v>
      </c>
      <c r="G3083" s="23" t="s">
        <v>250</v>
      </c>
      <c r="H3083" s="39">
        <f t="shared" si="192"/>
        <v>999</v>
      </c>
      <c r="I3083" s="23" t="str">
        <f t="shared" si="193"/>
        <v>Mumbai</v>
      </c>
      <c r="J3083" s="23">
        <f>COUNTIFS(pg_transaction_cleaned!$O:$O,A3083,pg_transaction_cleaned!$F:$F,"CAPTURE")</f>
        <v>1</v>
      </c>
      <c r="K3083" s="39">
        <f>SUMIFS(pg_transaction_cleaned!$H:$H,pg_transaction_cleaned!$O:$O,A3083,pg_transaction_cleaned!$F:$F,"CAPTURE")</f>
        <v>999</v>
      </c>
      <c r="L3083" s="23">
        <f>COUNTIFS(pg_transaction_cleaned!$O:$O,A3083,pg_transaction_cleaned!$F:$F,"REFUND")</f>
        <v>0</v>
      </c>
      <c r="M3083" s="39">
        <f>SUMIFS(pg_transaction_cleaned!$H:$H,pg_transaction_cleaned!$O:$O,A3083,pg_transaction_cleaned!$F:$F,"REFUND")</f>
        <v>0</v>
      </c>
      <c r="N3083" s="23" t="str">
        <f t="shared" si="194"/>
        <v>OK</v>
      </c>
      <c r="O3083" s="24">
        <f t="shared" si="195"/>
        <v>0</v>
      </c>
    </row>
    <row r="3084" spans="1:15" ht="15" customHeight="1" x14ac:dyDescent="0.3">
      <c r="A3084" s="23" t="s">
        <v>6662</v>
      </c>
      <c r="B3084" s="38">
        <v>46266</v>
      </c>
      <c r="C3084" s="23" t="s">
        <v>6663</v>
      </c>
      <c r="D3084" s="23" t="s">
        <v>91</v>
      </c>
      <c r="E3084" s="23" t="s">
        <v>75</v>
      </c>
      <c r="F3084" s="23" t="s">
        <v>315</v>
      </c>
      <c r="G3084" s="23" t="s">
        <v>250</v>
      </c>
      <c r="H3084" s="39">
        <f t="shared" si="192"/>
        <v>1499</v>
      </c>
      <c r="I3084" s="23" t="str">
        <f t="shared" si="193"/>
        <v>Pune</v>
      </c>
      <c r="J3084" s="23">
        <f>COUNTIFS(pg_transaction_cleaned!$O:$O,A3084,pg_transaction_cleaned!$F:$F,"CAPTURE")</f>
        <v>1</v>
      </c>
      <c r="K3084" s="39">
        <f>SUMIFS(pg_transaction_cleaned!$H:$H,pg_transaction_cleaned!$O:$O,A3084,pg_transaction_cleaned!$F:$F,"CAPTURE")</f>
        <v>1499</v>
      </c>
      <c r="L3084" s="23">
        <f>COUNTIFS(pg_transaction_cleaned!$O:$O,A3084,pg_transaction_cleaned!$F:$F,"REFUND")</f>
        <v>0</v>
      </c>
      <c r="M3084" s="39">
        <f>SUMIFS(pg_transaction_cleaned!$H:$H,pg_transaction_cleaned!$O:$O,A3084,pg_transaction_cleaned!$F:$F,"REFUND")</f>
        <v>0</v>
      </c>
      <c r="N3084" s="23" t="str">
        <f t="shared" si="194"/>
        <v>OK</v>
      </c>
      <c r="O3084" s="24">
        <f t="shared" si="195"/>
        <v>0</v>
      </c>
    </row>
    <row r="3085" spans="1:15" ht="15" customHeight="1" x14ac:dyDescent="0.3">
      <c r="A3085" s="23" t="s">
        <v>6664</v>
      </c>
      <c r="B3085" s="38">
        <v>46275</v>
      </c>
      <c r="C3085" s="23" t="s">
        <v>6665</v>
      </c>
      <c r="D3085" s="23" t="s">
        <v>91</v>
      </c>
      <c r="E3085" s="23" t="s">
        <v>81</v>
      </c>
      <c r="F3085" s="23" t="s">
        <v>265</v>
      </c>
      <c r="G3085" s="23" t="s">
        <v>250</v>
      </c>
      <c r="H3085" s="39">
        <f t="shared" si="192"/>
        <v>999</v>
      </c>
      <c r="I3085" s="23" t="str">
        <f t="shared" si="193"/>
        <v>Pune</v>
      </c>
      <c r="J3085" s="23">
        <f>COUNTIFS(pg_transaction_cleaned!$O:$O,A3085,pg_transaction_cleaned!$F:$F,"CAPTURE")</f>
        <v>1</v>
      </c>
      <c r="K3085" s="39">
        <f>SUMIFS(pg_transaction_cleaned!$H:$H,pg_transaction_cleaned!$O:$O,A3085,pg_transaction_cleaned!$F:$F,"CAPTURE")</f>
        <v>999</v>
      </c>
      <c r="L3085" s="23">
        <f>COUNTIFS(pg_transaction_cleaned!$O:$O,A3085,pg_transaction_cleaned!$F:$F,"REFUND")</f>
        <v>0</v>
      </c>
      <c r="M3085" s="39">
        <f>SUMIFS(pg_transaction_cleaned!$H:$H,pg_transaction_cleaned!$O:$O,A3085,pg_transaction_cleaned!$F:$F,"REFUND")</f>
        <v>0</v>
      </c>
      <c r="N3085" s="23" t="str">
        <f t="shared" si="194"/>
        <v>OK</v>
      </c>
      <c r="O3085" s="24">
        <f t="shared" si="195"/>
        <v>0</v>
      </c>
    </row>
    <row r="3086" spans="1:15" ht="15" customHeight="1" x14ac:dyDescent="0.3">
      <c r="A3086" s="23" t="s">
        <v>6666</v>
      </c>
      <c r="B3086" s="38">
        <v>46279</v>
      </c>
      <c r="C3086" s="23" t="s">
        <v>6667</v>
      </c>
      <c r="D3086" s="23" t="s">
        <v>95</v>
      </c>
      <c r="E3086" s="23" t="s">
        <v>77</v>
      </c>
      <c r="F3086" s="23" t="s">
        <v>271</v>
      </c>
      <c r="G3086" s="23" t="s">
        <v>250</v>
      </c>
      <c r="H3086" s="39">
        <f t="shared" si="192"/>
        <v>2499</v>
      </c>
      <c r="I3086" s="23" t="str">
        <f t="shared" si="193"/>
        <v>Bengaluru</v>
      </c>
      <c r="J3086" s="23">
        <f>COUNTIFS(pg_transaction_cleaned!$O:$O,A3086,pg_transaction_cleaned!$F:$F,"CAPTURE")</f>
        <v>1</v>
      </c>
      <c r="K3086" s="39">
        <f>SUMIFS(pg_transaction_cleaned!$H:$H,pg_transaction_cleaned!$O:$O,A3086,pg_transaction_cleaned!$F:$F,"CAPTURE")</f>
        <v>2499</v>
      </c>
      <c r="L3086" s="23">
        <f>COUNTIFS(pg_transaction_cleaned!$O:$O,A3086,pg_transaction_cleaned!$F:$F,"REFUND")</f>
        <v>0</v>
      </c>
      <c r="M3086" s="39">
        <f>SUMIFS(pg_transaction_cleaned!$H:$H,pg_transaction_cleaned!$O:$O,A3086,pg_transaction_cleaned!$F:$F,"REFUND")</f>
        <v>0</v>
      </c>
      <c r="N3086" s="23" t="str">
        <f t="shared" si="194"/>
        <v>OK</v>
      </c>
      <c r="O3086" s="24">
        <f t="shared" si="195"/>
        <v>0</v>
      </c>
    </row>
    <row r="3087" spans="1:15" ht="15" customHeight="1" x14ac:dyDescent="0.3">
      <c r="A3087" s="23" t="s">
        <v>6668</v>
      </c>
      <c r="B3087" s="38">
        <v>46290</v>
      </c>
      <c r="C3087" s="23" t="s">
        <v>6669</v>
      </c>
      <c r="D3087" s="23" t="s">
        <v>87</v>
      </c>
      <c r="E3087" s="23" t="s">
        <v>75</v>
      </c>
      <c r="F3087" s="23" t="s">
        <v>426</v>
      </c>
      <c r="G3087" s="23" t="s">
        <v>250</v>
      </c>
      <c r="H3087" s="39">
        <f t="shared" si="192"/>
        <v>6798</v>
      </c>
      <c r="I3087" s="23" t="str">
        <f t="shared" si="193"/>
        <v>Mumbai</v>
      </c>
      <c r="J3087" s="23">
        <f>COUNTIFS(pg_transaction_cleaned!$O:$O,A3087,pg_transaction_cleaned!$F:$F,"CAPTURE")</f>
        <v>1</v>
      </c>
      <c r="K3087" s="39">
        <f>SUMIFS(pg_transaction_cleaned!$H:$H,pg_transaction_cleaned!$O:$O,A3087,pg_transaction_cleaned!$F:$F,"CAPTURE")</f>
        <v>6798</v>
      </c>
      <c r="L3087" s="23">
        <f>COUNTIFS(pg_transaction_cleaned!$O:$O,A3087,pg_transaction_cleaned!$F:$F,"REFUND")</f>
        <v>0</v>
      </c>
      <c r="M3087" s="39">
        <f>SUMIFS(pg_transaction_cleaned!$H:$H,pg_transaction_cleaned!$O:$O,A3087,pg_transaction_cleaned!$F:$F,"REFUND")</f>
        <v>0</v>
      </c>
      <c r="N3087" s="23" t="str">
        <f t="shared" si="194"/>
        <v>OK</v>
      </c>
      <c r="O3087" s="24">
        <f t="shared" si="195"/>
        <v>0</v>
      </c>
    </row>
    <row r="3088" spans="1:15" ht="15" customHeight="1" x14ac:dyDescent="0.3">
      <c r="A3088" s="23" t="s">
        <v>6670</v>
      </c>
      <c r="B3088" s="38">
        <v>46272</v>
      </c>
      <c r="C3088" s="23" t="s">
        <v>6671</v>
      </c>
      <c r="D3088" s="23" t="s">
        <v>89</v>
      </c>
      <c r="E3088" s="23" t="s">
        <v>75</v>
      </c>
      <c r="F3088" s="23" t="s">
        <v>329</v>
      </c>
      <c r="G3088" s="23" t="s">
        <v>250</v>
      </c>
      <c r="H3088" s="39">
        <f t="shared" si="192"/>
        <v>599</v>
      </c>
      <c r="I3088" s="23" t="str">
        <f t="shared" si="193"/>
        <v>Jaipur</v>
      </c>
      <c r="J3088" s="23">
        <f>COUNTIFS(pg_transaction_cleaned!$O:$O,A3088,pg_transaction_cleaned!$F:$F,"CAPTURE")</f>
        <v>1</v>
      </c>
      <c r="K3088" s="39">
        <f>SUMIFS(pg_transaction_cleaned!$H:$H,pg_transaction_cleaned!$O:$O,A3088,pg_transaction_cleaned!$F:$F,"CAPTURE")</f>
        <v>599</v>
      </c>
      <c r="L3088" s="23">
        <f>COUNTIFS(pg_transaction_cleaned!$O:$O,A3088,pg_transaction_cleaned!$F:$F,"REFUND")</f>
        <v>0</v>
      </c>
      <c r="M3088" s="39">
        <f>SUMIFS(pg_transaction_cleaned!$H:$H,pg_transaction_cleaned!$O:$O,A3088,pg_transaction_cleaned!$F:$F,"REFUND")</f>
        <v>0</v>
      </c>
      <c r="N3088" s="23" t="str">
        <f t="shared" si="194"/>
        <v>OK</v>
      </c>
      <c r="O3088" s="24">
        <f t="shared" si="195"/>
        <v>0</v>
      </c>
    </row>
    <row r="3089" spans="1:15" ht="15" customHeight="1" x14ac:dyDescent="0.3">
      <c r="A3089" s="23" t="s">
        <v>6672</v>
      </c>
      <c r="B3089" s="38">
        <v>46290</v>
      </c>
      <c r="C3089" s="23" t="s">
        <v>6673</v>
      </c>
      <c r="D3089" s="23" t="s">
        <v>90</v>
      </c>
      <c r="E3089" s="23" t="s">
        <v>79</v>
      </c>
      <c r="F3089" s="23" t="s">
        <v>337</v>
      </c>
      <c r="G3089" s="23" t="s">
        <v>250</v>
      </c>
      <c r="H3089" s="39">
        <f t="shared" si="192"/>
        <v>3998</v>
      </c>
      <c r="I3089" s="23" t="str">
        <f t="shared" si="193"/>
        <v>Ahmedabad</v>
      </c>
      <c r="J3089" s="23">
        <f>COUNTIFS(pg_transaction_cleaned!$O:$O,A3089,pg_transaction_cleaned!$F:$F,"CAPTURE")</f>
        <v>1</v>
      </c>
      <c r="K3089" s="39">
        <f>SUMIFS(pg_transaction_cleaned!$H:$H,pg_transaction_cleaned!$O:$O,A3089,pg_transaction_cleaned!$F:$F,"CAPTURE")</f>
        <v>3998</v>
      </c>
      <c r="L3089" s="23">
        <f>COUNTIFS(pg_transaction_cleaned!$O:$O,A3089,pg_transaction_cleaned!$F:$F,"REFUND")</f>
        <v>0</v>
      </c>
      <c r="M3089" s="39">
        <f>SUMIFS(pg_transaction_cleaned!$H:$H,pg_transaction_cleaned!$O:$O,A3089,pg_transaction_cleaned!$F:$F,"REFUND")</f>
        <v>0</v>
      </c>
      <c r="N3089" s="23" t="str">
        <f t="shared" si="194"/>
        <v>OK</v>
      </c>
      <c r="O3089" s="24">
        <f t="shared" si="195"/>
        <v>0</v>
      </c>
    </row>
    <row r="3090" spans="1:15" ht="15" customHeight="1" x14ac:dyDescent="0.3">
      <c r="A3090" s="23" t="s">
        <v>6674</v>
      </c>
      <c r="B3090" s="38">
        <v>46291</v>
      </c>
      <c r="C3090" s="23" t="s">
        <v>6675</v>
      </c>
      <c r="D3090" s="23" t="s">
        <v>94</v>
      </c>
      <c r="E3090" s="23" t="s">
        <v>75</v>
      </c>
      <c r="F3090" s="23" t="s">
        <v>265</v>
      </c>
      <c r="G3090" s="23" t="s">
        <v>250</v>
      </c>
      <c r="H3090" s="39">
        <f t="shared" si="192"/>
        <v>999</v>
      </c>
      <c r="I3090" s="23" t="str">
        <f t="shared" si="193"/>
        <v>Chennai</v>
      </c>
      <c r="J3090" s="23">
        <f>COUNTIFS(pg_transaction_cleaned!$O:$O,A3090,pg_transaction_cleaned!$F:$F,"CAPTURE")</f>
        <v>1</v>
      </c>
      <c r="K3090" s="39">
        <f>SUMIFS(pg_transaction_cleaned!$H:$H,pg_transaction_cleaned!$O:$O,A3090,pg_transaction_cleaned!$F:$F,"CAPTURE")</f>
        <v>999</v>
      </c>
      <c r="L3090" s="23">
        <f>COUNTIFS(pg_transaction_cleaned!$O:$O,A3090,pg_transaction_cleaned!$F:$F,"REFUND")</f>
        <v>0</v>
      </c>
      <c r="M3090" s="39">
        <f>SUMIFS(pg_transaction_cleaned!$H:$H,pg_transaction_cleaned!$O:$O,A3090,pg_transaction_cleaned!$F:$F,"REFUND")</f>
        <v>0</v>
      </c>
      <c r="N3090" s="23" t="str">
        <f t="shared" si="194"/>
        <v>OK</v>
      </c>
      <c r="O3090" s="24">
        <f t="shared" si="195"/>
        <v>0</v>
      </c>
    </row>
    <row r="3091" spans="1:15" ht="15" customHeight="1" x14ac:dyDescent="0.3">
      <c r="A3091" s="23" t="s">
        <v>6676</v>
      </c>
      <c r="B3091" s="38">
        <v>46292</v>
      </c>
      <c r="C3091" s="23" t="s">
        <v>6677</v>
      </c>
      <c r="D3091" s="23" t="s">
        <v>95</v>
      </c>
      <c r="E3091" s="23" t="s">
        <v>75</v>
      </c>
      <c r="F3091" s="23" t="s">
        <v>766</v>
      </c>
      <c r="G3091" s="23" t="s">
        <v>250</v>
      </c>
      <c r="H3091" s="39">
        <f t="shared" si="192"/>
        <v>4197</v>
      </c>
      <c r="I3091" s="23" t="str">
        <f t="shared" si="193"/>
        <v>Bengaluru</v>
      </c>
      <c r="J3091" s="23">
        <f>COUNTIFS(pg_transaction_cleaned!$O:$O,A3091,pg_transaction_cleaned!$F:$F,"CAPTURE")</f>
        <v>1</v>
      </c>
      <c r="K3091" s="39">
        <f>SUMIFS(pg_transaction_cleaned!$H:$H,pg_transaction_cleaned!$O:$O,A3091,pg_transaction_cleaned!$F:$F,"CAPTURE")</f>
        <v>4197</v>
      </c>
      <c r="L3091" s="23">
        <f>COUNTIFS(pg_transaction_cleaned!$O:$O,A3091,pg_transaction_cleaned!$F:$F,"REFUND")</f>
        <v>0</v>
      </c>
      <c r="M3091" s="39">
        <f>SUMIFS(pg_transaction_cleaned!$H:$H,pg_transaction_cleaned!$O:$O,A3091,pg_transaction_cleaned!$F:$F,"REFUND")</f>
        <v>0</v>
      </c>
      <c r="N3091" s="23" t="str">
        <f t="shared" si="194"/>
        <v>OK</v>
      </c>
      <c r="O3091" s="24">
        <f t="shared" si="195"/>
        <v>0</v>
      </c>
    </row>
    <row r="3092" spans="1:15" ht="15" customHeight="1" x14ac:dyDescent="0.3">
      <c r="A3092" s="23" t="s">
        <v>6678</v>
      </c>
      <c r="B3092" s="38">
        <v>46288</v>
      </c>
      <c r="C3092" s="23" t="s">
        <v>6679</v>
      </c>
      <c r="D3092" s="23" t="s">
        <v>94</v>
      </c>
      <c r="E3092" s="23" t="s">
        <v>75</v>
      </c>
      <c r="F3092" s="23" t="s">
        <v>963</v>
      </c>
      <c r="G3092" s="23" t="s">
        <v>250</v>
      </c>
      <c r="H3092" s="39">
        <f t="shared" si="192"/>
        <v>2398</v>
      </c>
      <c r="I3092" s="23" t="str">
        <f t="shared" si="193"/>
        <v>Chennai</v>
      </c>
      <c r="J3092" s="23">
        <f>COUNTIFS(pg_transaction_cleaned!$O:$O,A3092,pg_transaction_cleaned!$F:$F,"CAPTURE")</f>
        <v>1</v>
      </c>
      <c r="K3092" s="39">
        <f>SUMIFS(pg_transaction_cleaned!$H:$H,pg_transaction_cleaned!$O:$O,A3092,pg_transaction_cleaned!$F:$F,"CAPTURE")</f>
        <v>2398</v>
      </c>
      <c r="L3092" s="23">
        <f>COUNTIFS(pg_transaction_cleaned!$O:$O,A3092,pg_transaction_cleaned!$F:$F,"REFUND")</f>
        <v>0</v>
      </c>
      <c r="M3092" s="39">
        <f>SUMIFS(pg_transaction_cleaned!$H:$H,pg_transaction_cleaned!$O:$O,A3092,pg_transaction_cleaned!$F:$F,"REFUND")</f>
        <v>0</v>
      </c>
      <c r="N3092" s="23" t="str">
        <f t="shared" si="194"/>
        <v>OK</v>
      </c>
      <c r="O3092" s="24">
        <f t="shared" si="195"/>
        <v>0</v>
      </c>
    </row>
    <row r="3093" spans="1:15" ht="15" customHeight="1" x14ac:dyDescent="0.3">
      <c r="A3093" s="23" t="s">
        <v>6680</v>
      </c>
      <c r="B3093" s="38">
        <v>46293</v>
      </c>
      <c r="C3093" s="23" t="s">
        <v>6681</v>
      </c>
      <c r="D3093" s="23" t="s">
        <v>94</v>
      </c>
      <c r="E3093" s="23" t="s">
        <v>79</v>
      </c>
      <c r="F3093" s="23" t="s">
        <v>2205</v>
      </c>
      <c r="G3093" s="23" t="s">
        <v>250</v>
      </c>
      <c r="H3093" s="39">
        <f t="shared" si="192"/>
        <v>6998</v>
      </c>
      <c r="I3093" s="23" t="str">
        <f t="shared" si="193"/>
        <v>Chennai</v>
      </c>
      <c r="J3093" s="23">
        <f>COUNTIFS(pg_transaction_cleaned!$O:$O,A3093,pg_transaction_cleaned!$F:$F,"CAPTURE")</f>
        <v>1</v>
      </c>
      <c r="K3093" s="39">
        <f>SUMIFS(pg_transaction_cleaned!$H:$H,pg_transaction_cleaned!$O:$O,A3093,pg_transaction_cleaned!$F:$F,"CAPTURE")</f>
        <v>6998</v>
      </c>
      <c r="L3093" s="23">
        <f>COUNTIFS(pg_transaction_cleaned!$O:$O,A3093,pg_transaction_cleaned!$F:$F,"REFUND")</f>
        <v>0</v>
      </c>
      <c r="M3093" s="39">
        <f>SUMIFS(pg_transaction_cleaned!$H:$H,pg_transaction_cleaned!$O:$O,A3093,pg_transaction_cleaned!$F:$F,"REFUND")</f>
        <v>0</v>
      </c>
      <c r="N3093" s="23" t="str">
        <f t="shared" si="194"/>
        <v>OK</v>
      </c>
      <c r="O3093" s="24">
        <f t="shared" si="195"/>
        <v>0</v>
      </c>
    </row>
    <row r="3094" spans="1:15" ht="15" customHeight="1" x14ac:dyDescent="0.3">
      <c r="A3094" s="23" t="s">
        <v>6682</v>
      </c>
      <c r="B3094" s="38">
        <v>46273</v>
      </c>
      <c r="C3094" s="23" t="s">
        <v>6683</v>
      </c>
      <c r="D3094" s="23" t="s">
        <v>87</v>
      </c>
      <c r="E3094" s="23" t="s">
        <v>75</v>
      </c>
      <c r="F3094" s="23" t="s">
        <v>329</v>
      </c>
      <c r="G3094" s="23" t="s">
        <v>250</v>
      </c>
      <c r="H3094" s="39">
        <f t="shared" si="192"/>
        <v>599</v>
      </c>
      <c r="I3094" s="23" t="str">
        <f t="shared" si="193"/>
        <v>Mumbai</v>
      </c>
      <c r="J3094" s="23">
        <f>COUNTIFS(pg_transaction_cleaned!$O:$O,A3094,pg_transaction_cleaned!$F:$F,"CAPTURE")</f>
        <v>1</v>
      </c>
      <c r="K3094" s="39">
        <f>SUMIFS(pg_transaction_cleaned!$H:$H,pg_transaction_cleaned!$O:$O,A3094,pg_transaction_cleaned!$F:$F,"CAPTURE")</f>
        <v>349</v>
      </c>
      <c r="L3094" s="23">
        <f>COUNTIFS(pg_transaction_cleaned!$O:$O,A3094,pg_transaction_cleaned!$F:$F,"REFUND")</f>
        <v>0</v>
      </c>
      <c r="M3094" s="39">
        <f>SUMIFS(pg_transaction_cleaned!$H:$H,pg_transaction_cleaned!$O:$O,A3094,pg_transaction_cleaned!$F:$F,"REFUND")</f>
        <v>0</v>
      </c>
      <c r="N3094" s="23" t="str">
        <f t="shared" si="194"/>
        <v>Amount difference</v>
      </c>
      <c r="O3094" s="24">
        <f t="shared" si="195"/>
        <v>-250</v>
      </c>
    </row>
    <row r="3095" spans="1:15" ht="15" customHeight="1" x14ac:dyDescent="0.3">
      <c r="A3095" s="23" t="s">
        <v>6684</v>
      </c>
      <c r="B3095" s="38">
        <v>46281</v>
      </c>
      <c r="C3095" s="23" t="s">
        <v>6685</v>
      </c>
      <c r="D3095" s="23" t="s">
        <v>86</v>
      </c>
      <c r="E3095" s="23" t="s">
        <v>75</v>
      </c>
      <c r="F3095" s="23" t="s">
        <v>352</v>
      </c>
      <c r="G3095" s="23" t="s">
        <v>250</v>
      </c>
      <c r="H3095" s="39">
        <f t="shared" si="192"/>
        <v>648</v>
      </c>
      <c r="I3095" s="23" t="str">
        <f t="shared" si="193"/>
        <v>Delhi</v>
      </c>
      <c r="J3095" s="23">
        <f>COUNTIFS(pg_transaction_cleaned!$O:$O,A3095,pg_transaction_cleaned!$F:$F,"CAPTURE")</f>
        <v>1</v>
      </c>
      <c r="K3095" s="39">
        <f>SUMIFS(pg_transaction_cleaned!$H:$H,pg_transaction_cleaned!$O:$O,A3095,pg_transaction_cleaned!$F:$F,"CAPTURE")</f>
        <v>648</v>
      </c>
      <c r="L3095" s="23">
        <f>COUNTIFS(pg_transaction_cleaned!$O:$O,A3095,pg_transaction_cleaned!$F:$F,"REFUND")</f>
        <v>1</v>
      </c>
      <c r="M3095" s="39">
        <f>SUMIFS(pg_transaction_cleaned!$H:$H,pg_transaction_cleaned!$O:$O,A3095,pg_transaction_cleaned!$F:$F,"REFUND")</f>
        <v>648</v>
      </c>
      <c r="N3095" s="23" t="str">
        <f t="shared" si="194"/>
        <v>Refund, order not Refunded</v>
      </c>
      <c r="O3095" s="24">
        <f t="shared" si="195"/>
        <v>648</v>
      </c>
    </row>
    <row r="3096" spans="1:15" ht="15" customHeight="1" x14ac:dyDescent="0.3">
      <c r="A3096" s="23" t="s">
        <v>6686</v>
      </c>
      <c r="B3096" s="38">
        <v>46278</v>
      </c>
      <c r="C3096" s="23" t="s">
        <v>6687</v>
      </c>
      <c r="D3096" s="23" t="s">
        <v>95</v>
      </c>
      <c r="E3096" s="23" t="s">
        <v>79</v>
      </c>
      <c r="F3096" s="23" t="s">
        <v>514</v>
      </c>
      <c r="G3096" s="23" t="s">
        <v>318</v>
      </c>
      <c r="H3096" s="39">
        <f t="shared" si="192"/>
        <v>6498</v>
      </c>
      <c r="I3096" s="23" t="str">
        <f t="shared" si="193"/>
        <v>Bengaluru</v>
      </c>
      <c r="J3096" s="23">
        <f>COUNTIFS(pg_transaction_cleaned!$O:$O,A3096,pg_transaction_cleaned!$F:$F,"CAPTURE")</f>
        <v>0</v>
      </c>
      <c r="K3096" s="39">
        <f>SUMIFS(pg_transaction_cleaned!$H:$H,pg_transaction_cleaned!$O:$O,A3096,pg_transaction_cleaned!$F:$F,"CAPTURE")</f>
        <v>0</v>
      </c>
      <c r="L3096" s="23">
        <f>COUNTIFS(pg_transaction_cleaned!$O:$O,A3096,pg_transaction_cleaned!$F:$F,"REFUND")</f>
        <v>0</v>
      </c>
      <c r="M3096" s="39">
        <f>SUMIFS(pg_transaction_cleaned!$H:$H,pg_transaction_cleaned!$O:$O,A3096,pg_transaction_cleaned!$F:$F,"REFUND")</f>
        <v>0</v>
      </c>
      <c r="N3096" s="23" t="str">
        <f t="shared" si="194"/>
        <v>OK</v>
      </c>
      <c r="O3096" s="24">
        <f t="shared" si="195"/>
        <v>0</v>
      </c>
    </row>
    <row r="3097" spans="1:15" ht="15" customHeight="1" x14ac:dyDescent="0.3">
      <c r="A3097" s="23" t="s">
        <v>6688</v>
      </c>
      <c r="B3097" s="38">
        <v>46278</v>
      </c>
      <c r="C3097" s="23" t="s">
        <v>6689</v>
      </c>
      <c r="D3097" s="23" t="s">
        <v>91</v>
      </c>
      <c r="E3097" s="23" t="s">
        <v>75</v>
      </c>
      <c r="F3097" s="23" t="s">
        <v>274</v>
      </c>
      <c r="G3097" s="23" t="s">
        <v>250</v>
      </c>
      <c r="H3097" s="39">
        <f t="shared" si="192"/>
        <v>349</v>
      </c>
      <c r="I3097" s="23" t="str">
        <f t="shared" si="193"/>
        <v>Pune</v>
      </c>
      <c r="J3097" s="23">
        <f>COUNTIFS(pg_transaction_cleaned!$O:$O,A3097,pg_transaction_cleaned!$F:$F,"CAPTURE")</f>
        <v>1</v>
      </c>
      <c r="K3097" s="39">
        <f>SUMIFS(pg_transaction_cleaned!$H:$H,pg_transaction_cleaned!$O:$O,A3097,pg_transaction_cleaned!$F:$F,"CAPTURE")</f>
        <v>349</v>
      </c>
      <c r="L3097" s="23">
        <f>COUNTIFS(pg_transaction_cleaned!$O:$O,A3097,pg_transaction_cleaned!$F:$F,"REFUND")</f>
        <v>0</v>
      </c>
      <c r="M3097" s="39">
        <f>SUMIFS(pg_transaction_cleaned!$H:$H,pg_transaction_cleaned!$O:$O,A3097,pg_transaction_cleaned!$F:$F,"REFUND")</f>
        <v>0</v>
      </c>
      <c r="N3097" s="23" t="str">
        <f t="shared" si="194"/>
        <v>OK</v>
      </c>
      <c r="O3097" s="24">
        <f t="shared" si="195"/>
        <v>0</v>
      </c>
    </row>
    <row r="3098" spans="1:15" ht="15" customHeight="1" x14ac:dyDescent="0.3">
      <c r="A3098" s="23" t="s">
        <v>6690</v>
      </c>
      <c r="B3098" s="38">
        <v>46277</v>
      </c>
      <c r="C3098" s="23" t="s">
        <v>6691</v>
      </c>
      <c r="D3098" s="23" t="s">
        <v>89</v>
      </c>
      <c r="E3098" s="23" t="s">
        <v>77</v>
      </c>
      <c r="F3098" s="23" t="s">
        <v>6692</v>
      </c>
      <c r="G3098" s="23" t="s">
        <v>250</v>
      </c>
      <c r="H3098" s="39">
        <f t="shared" si="192"/>
        <v>17797</v>
      </c>
      <c r="I3098" s="23" t="str">
        <f t="shared" si="193"/>
        <v>Jaipur</v>
      </c>
      <c r="J3098" s="23">
        <f>COUNTIFS(pg_transaction_cleaned!$O:$O,A3098,pg_transaction_cleaned!$F:$F,"CAPTURE")</f>
        <v>1</v>
      </c>
      <c r="K3098" s="39">
        <f>SUMIFS(pg_transaction_cleaned!$H:$H,pg_transaction_cleaned!$O:$O,A3098,pg_transaction_cleaned!$F:$F,"CAPTURE")</f>
        <v>17797</v>
      </c>
      <c r="L3098" s="23">
        <f>COUNTIFS(pg_transaction_cleaned!$O:$O,A3098,pg_transaction_cleaned!$F:$F,"REFUND")</f>
        <v>0</v>
      </c>
      <c r="M3098" s="39">
        <f>SUMIFS(pg_transaction_cleaned!$H:$H,pg_transaction_cleaned!$O:$O,A3098,pg_transaction_cleaned!$F:$F,"REFUND")</f>
        <v>0</v>
      </c>
      <c r="N3098" s="23" t="str">
        <f t="shared" si="194"/>
        <v>OK</v>
      </c>
      <c r="O3098" s="24">
        <f t="shared" si="195"/>
        <v>0</v>
      </c>
    </row>
    <row r="3099" spans="1:15" ht="15" customHeight="1" x14ac:dyDescent="0.3">
      <c r="A3099" s="23" t="s">
        <v>6693</v>
      </c>
      <c r="B3099" s="38">
        <v>46286</v>
      </c>
      <c r="C3099" s="23" t="s">
        <v>6694</v>
      </c>
      <c r="D3099" s="23" t="s">
        <v>93</v>
      </c>
      <c r="E3099" s="23" t="s">
        <v>81</v>
      </c>
      <c r="F3099" s="23" t="s">
        <v>291</v>
      </c>
      <c r="G3099" s="23" t="s">
        <v>250</v>
      </c>
      <c r="H3099" s="39">
        <f t="shared" si="192"/>
        <v>3499</v>
      </c>
      <c r="I3099" s="23" t="str">
        <f t="shared" si="193"/>
        <v>Kolkata</v>
      </c>
      <c r="J3099" s="23">
        <f>COUNTIFS(pg_transaction_cleaned!$O:$O,A3099,pg_transaction_cleaned!$F:$F,"CAPTURE")</f>
        <v>1</v>
      </c>
      <c r="K3099" s="39">
        <f>SUMIFS(pg_transaction_cleaned!$H:$H,pg_transaction_cleaned!$O:$O,A3099,pg_transaction_cleaned!$F:$F,"CAPTURE")</f>
        <v>3499</v>
      </c>
      <c r="L3099" s="23">
        <f>COUNTIFS(pg_transaction_cleaned!$O:$O,A3099,pg_transaction_cleaned!$F:$F,"REFUND")</f>
        <v>0</v>
      </c>
      <c r="M3099" s="39">
        <f>SUMIFS(pg_transaction_cleaned!$H:$H,pg_transaction_cleaned!$O:$O,A3099,pg_transaction_cleaned!$F:$F,"REFUND")</f>
        <v>0</v>
      </c>
      <c r="N3099" s="23" t="str">
        <f t="shared" si="194"/>
        <v>OK</v>
      </c>
      <c r="O3099" s="24">
        <f t="shared" si="195"/>
        <v>0</v>
      </c>
    </row>
    <row r="3100" spans="1:15" ht="15" customHeight="1" x14ac:dyDescent="0.3">
      <c r="A3100" s="23" t="s">
        <v>6695</v>
      </c>
      <c r="B3100" s="38">
        <v>46295</v>
      </c>
      <c r="C3100" s="23" t="s">
        <v>6696</v>
      </c>
      <c r="D3100" s="23" t="s">
        <v>95</v>
      </c>
      <c r="E3100" s="23" t="s">
        <v>79</v>
      </c>
      <c r="F3100" s="23" t="s">
        <v>1601</v>
      </c>
      <c r="G3100" s="23" t="s">
        <v>250</v>
      </c>
      <c r="H3100" s="39">
        <f t="shared" si="192"/>
        <v>7597</v>
      </c>
      <c r="I3100" s="23" t="str">
        <f t="shared" si="193"/>
        <v>Bengaluru</v>
      </c>
      <c r="J3100" s="23">
        <f>COUNTIFS(pg_transaction_cleaned!$O:$O,A3100,pg_transaction_cleaned!$F:$F,"CAPTURE")</f>
        <v>1</v>
      </c>
      <c r="K3100" s="39">
        <f>SUMIFS(pg_transaction_cleaned!$H:$H,pg_transaction_cleaned!$O:$O,A3100,pg_transaction_cleaned!$F:$F,"CAPTURE")</f>
        <v>7597</v>
      </c>
      <c r="L3100" s="23">
        <f>COUNTIFS(pg_transaction_cleaned!$O:$O,A3100,pg_transaction_cleaned!$F:$F,"REFUND")</f>
        <v>0</v>
      </c>
      <c r="M3100" s="39">
        <f>SUMIFS(pg_transaction_cleaned!$H:$H,pg_transaction_cleaned!$O:$O,A3100,pg_transaction_cleaned!$F:$F,"REFUND")</f>
        <v>0</v>
      </c>
      <c r="N3100" s="23" t="str">
        <f t="shared" si="194"/>
        <v>OK</v>
      </c>
      <c r="O3100" s="24">
        <f t="shared" si="195"/>
        <v>0</v>
      </c>
    </row>
    <row r="3101" spans="1:15" ht="15" customHeight="1" x14ac:dyDescent="0.3">
      <c r="A3101" s="23" t="s">
        <v>6697</v>
      </c>
      <c r="B3101" s="38">
        <v>46276</v>
      </c>
      <c r="C3101" s="23" t="s">
        <v>6698</v>
      </c>
      <c r="D3101" s="23" t="s">
        <v>86</v>
      </c>
      <c r="E3101" s="23" t="s">
        <v>75</v>
      </c>
      <c r="F3101" s="23" t="s">
        <v>304</v>
      </c>
      <c r="G3101" s="23" t="s">
        <v>250</v>
      </c>
      <c r="H3101" s="39">
        <f t="shared" si="192"/>
        <v>5798</v>
      </c>
      <c r="I3101" s="23" t="str">
        <f t="shared" si="193"/>
        <v>Delhi</v>
      </c>
      <c r="J3101" s="23">
        <f>COUNTIFS(pg_transaction_cleaned!$O:$O,A3101,pg_transaction_cleaned!$F:$F,"CAPTURE")</f>
        <v>1</v>
      </c>
      <c r="K3101" s="39">
        <f>SUMIFS(pg_transaction_cleaned!$H:$H,pg_transaction_cleaned!$O:$O,A3101,pg_transaction_cleaned!$F:$F,"CAPTURE")</f>
        <v>5798</v>
      </c>
      <c r="L3101" s="23">
        <f>COUNTIFS(pg_transaction_cleaned!$O:$O,A3101,pg_transaction_cleaned!$F:$F,"REFUND")</f>
        <v>0</v>
      </c>
      <c r="M3101" s="39">
        <f>SUMIFS(pg_transaction_cleaned!$H:$H,pg_transaction_cleaned!$O:$O,A3101,pg_transaction_cleaned!$F:$F,"REFUND")</f>
        <v>0</v>
      </c>
      <c r="N3101" s="23" t="str">
        <f t="shared" si="194"/>
        <v>OK</v>
      </c>
      <c r="O3101" s="24">
        <f t="shared" si="195"/>
        <v>0</v>
      </c>
    </row>
    <row r="3102" spans="1:15" ht="15" customHeight="1" x14ac:dyDescent="0.3">
      <c r="A3102" s="23" t="s">
        <v>6699</v>
      </c>
      <c r="B3102" s="38">
        <v>46270</v>
      </c>
      <c r="C3102" s="23" t="s">
        <v>6700</v>
      </c>
      <c r="D3102" s="23" t="s">
        <v>92</v>
      </c>
      <c r="E3102" s="23" t="s">
        <v>79</v>
      </c>
      <c r="F3102" s="23" t="s">
        <v>291</v>
      </c>
      <c r="G3102" s="23" t="s">
        <v>250</v>
      </c>
      <c r="H3102" s="39">
        <f t="shared" si="192"/>
        <v>3499</v>
      </c>
      <c r="I3102" s="23" t="str">
        <f t="shared" si="193"/>
        <v>Hyderabad</v>
      </c>
      <c r="J3102" s="23">
        <f>COUNTIFS(pg_transaction_cleaned!$O:$O,A3102,pg_transaction_cleaned!$F:$F,"CAPTURE")</f>
        <v>1</v>
      </c>
      <c r="K3102" s="39">
        <f>SUMIFS(pg_transaction_cleaned!$H:$H,pg_transaction_cleaned!$O:$O,A3102,pg_transaction_cleaned!$F:$F,"CAPTURE")</f>
        <v>3499</v>
      </c>
      <c r="L3102" s="23">
        <f>COUNTIFS(pg_transaction_cleaned!$O:$O,A3102,pg_transaction_cleaned!$F:$F,"REFUND")</f>
        <v>0</v>
      </c>
      <c r="M3102" s="39">
        <f>SUMIFS(pg_transaction_cleaned!$H:$H,pg_transaction_cleaned!$O:$O,A3102,pg_transaction_cleaned!$F:$F,"REFUND")</f>
        <v>0</v>
      </c>
      <c r="N3102" s="23" t="str">
        <f t="shared" si="194"/>
        <v>OK</v>
      </c>
      <c r="O3102" s="24">
        <f t="shared" si="195"/>
        <v>0</v>
      </c>
    </row>
    <row r="3103" spans="1:15" ht="15" customHeight="1" x14ac:dyDescent="0.3">
      <c r="A3103" s="23" t="s">
        <v>6701</v>
      </c>
      <c r="B3103" s="38">
        <v>46274</v>
      </c>
      <c r="C3103" s="23" t="s">
        <v>6702</v>
      </c>
      <c r="D3103" s="23" t="s">
        <v>86</v>
      </c>
      <c r="E3103" s="23" t="s">
        <v>79</v>
      </c>
      <c r="F3103" s="23" t="s">
        <v>265</v>
      </c>
      <c r="G3103" s="23" t="s">
        <v>250</v>
      </c>
      <c r="H3103" s="39">
        <f t="shared" si="192"/>
        <v>999</v>
      </c>
      <c r="I3103" s="23" t="str">
        <f t="shared" si="193"/>
        <v>Delhi</v>
      </c>
      <c r="J3103" s="23">
        <f>COUNTIFS(pg_transaction_cleaned!$O:$O,A3103,pg_transaction_cleaned!$F:$F,"CAPTURE")</f>
        <v>1</v>
      </c>
      <c r="K3103" s="39">
        <f>SUMIFS(pg_transaction_cleaned!$H:$H,pg_transaction_cleaned!$O:$O,A3103,pg_transaction_cleaned!$F:$F,"CAPTURE")</f>
        <v>999</v>
      </c>
      <c r="L3103" s="23">
        <f>COUNTIFS(pg_transaction_cleaned!$O:$O,A3103,pg_transaction_cleaned!$F:$F,"REFUND")</f>
        <v>0</v>
      </c>
      <c r="M3103" s="39">
        <f>SUMIFS(pg_transaction_cleaned!$H:$H,pg_transaction_cleaned!$O:$O,A3103,pg_transaction_cleaned!$F:$F,"REFUND")</f>
        <v>0</v>
      </c>
      <c r="N3103" s="23" t="str">
        <f t="shared" si="194"/>
        <v>OK</v>
      </c>
      <c r="O3103" s="24">
        <f t="shared" si="195"/>
        <v>0</v>
      </c>
    </row>
    <row r="3104" spans="1:15" ht="15" customHeight="1" x14ac:dyDescent="0.3">
      <c r="A3104" s="23" t="s">
        <v>6703</v>
      </c>
      <c r="B3104" s="38">
        <v>46288</v>
      </c>
      <c r="C3104" s="23" t="s">
        <v>6704</v>
      </c>
      <c r="D3104" s="23" t="s">
        <v>93</v>
      </c>
      <c r="E3104" s="23" t="s">
        <v>79</v>
      </c>
      <c r="F3104" s="23" t="s">
        <v>283</v>
      </c>
      <c r="G3104" s="23" t="s">
        <v>250</v>
      </c>
      <c r="H3104" s="39">
        <f t="shared" si="192"/>
        <v>13997</v>
      </c>
      <c r="I3104" s="23" t="str">
        <f t="shared" si="193"/>
        <v>Kolkata</v>
      </c>
      <c r="J3104" s="23">
        <f>COUNTIFS(pg_transaction_cleaned!$O:$O,A3104,pg_transaction_cleaned!$F:$F,"CAPTURE")</f>
        <v>1</v>
      </c>
      <c r="K3104" s="39">
        <f>SUMIFS(pg_transaction_cleaned!$H:$H,pg_transaction_cleaned!$O:$O,A3104,pg_transaction_cleaned!$F:$F,"CAPTURE")</f>
        <v>13997</v>
      </c>
      <c r="L3104" s="23">
        <f>COUNTIFS(pg_transaction_cleaned!$O:$O,A3104,pg_transaction_cleaned!$F:$F,"REFUND")</f>
        <v>0</v>
      </c>
      <c r="M3104" s="39">
        <f>SUMIFS(pg_transaction_cleaned!$H:$H,pg_transaction_cleaned!$O:$O,A3104,pg_transaction_cleaned!$F:$F,"REFUND")</f>
        <v>0</v>
      </c>
      <c r="N3104" s="23" t="str">
        <f t="shared" si="194"/>
        <v>OK</v>
      </c>
      <c r="O3104" s="24">
        <f t="shared" si="195"/>
        <v>0</v>
      </c>
    </row>
    <row r="3105" spans="1:15" ht="15" customHeight="1" x14ac:dyDescent="0.3">
      <c r="A3105" s="23" t="s">
        <v>6705</v>
      </c>
      <c r="B3105" s="38">
        <v>46267</v>
      </c>
      <c r="C3105" s="23" t="s">
        <v>6706</v>
      </c>
      <c r="D3105" s="23" t="s">
        <v>95</v>
      </c>
      <c r="E3105" s="23" t="s">
        <v>77</v>
      </c>
      <c r="F3105" s="23" t="s">
        <v>612</v>
      </c>
      <c r="G3105" s="23" t="s">
        <v>365</v>
      </c>
      <c r="H3105" s="39">
        <f t="shared" si="192"/>
        <v>8498</v>
      </c>
      <c r="I3105" s="23" t="str">
        <f t="shared" si="193"/>
        <v>Bengaluru</v>
      </c>
      <c r="J3105" s="23">
        <f>COUNTIFS(pg_transaction_cleaned!$O:$O,A3105,pg_transaction_cleaned!$F:$F,"CAPTURE")</f>
        <v>0</v>
      </c>
      <c r="K3105" s="39">
        <f>SUMIFS(pg_transaction_cleaned!$H:$H,pg_transaction_cleaned!$O:$O,A3105,pg_transaction_cleaned!$F:$F,"CAPTURE")</f>
        <v>0</v>
      </c>
      <c r="L3105" s="23">
        <f>COUNTIFS(pg_transaction_cleaned!$O:$O,A3105,pg_transaction_cleaned!$F:$F,"REFUND")</f>
        <v>0</v>
      </c>
      <c r="M3105" s="39">
        <f>SUMIFS(pg_transaction_cleaned!$H:$H,pg_transaction_cleaned!$O:$O,A3105,pg_transaction_cleaned!$F:$F,"REFUND")</f>
        <v>0</v>
      </c>
      <c r="N3105" s="23" t="str">
        <f t="shared" si="194"/>
        <v>OK</v>
      </c>
      <c r="O3105" s="24">
        <f t="shared" si="195"/>
        <v>0</v>
      </c>
    </row>
    <row r="3106" spans="1:15" ht="15" customHeight="1" x14ac:dyDescent="0.3">
      <c r="A3106" s="23" t="s">
        <v>6707</v>
      </c>
      <c r="B3106" s="38">
        <v>46277</v>
      </c>
      <c r="C3106" s="23" t="s">
        <v>6708</v>
      </c>
      <c r="D3106" s="23" t="s">
        <v>95</v>
      </c>
      <c r="E3106" s="23" t="s">
        <v>79</v>
      </c>
      <c r="F3106" s="23" t="s">
        <v>466</v>
      </c>
      <c r="G3106" s="23" t="s">
        <v>250</v>
      </c>
      <c r="H3106" s="39">
        <f t="shared" si="192"/>
        <v>2197</v>
      </c>
      <c r="I3106" s="23" t="str">
        <f t="shared" si="193"/>
        <v>Bengaluru</v>
      </c>
      <c r="J3106" s="23">
        <f>COUNTIFS(pg_transaction_cleaned!$O:$O,A3106,pg_transaction_cleaned!$F:$F,"CAPTURE")</f>
        <v>1</v>
      </c>
      <c r="K3106" s="39">
        <f>SUMIFS(pg_transaction_cleaned!$H:$H,pg_transaction_cleaned!$O:$O,A3106,pg_transaction_cleaned!$F:$F,"CAPTURE")</f>
        <v>2197</v>
      </c>
      <c r="L3106" s="23">
        <f>COUNTIFS(pg_transaction_cleaned!$O:$O,A3106,pg_transaction_cleaned!$F:$F,"REFUND")</f>
        <v>0</v>
      </c>
      <c r="M3106" s="39">
        <f>SUMIFS(pg_transaction_cleaned!$H:$H,pg_transaction_cleaned!$O:$O,A3106,pg_transaction_cleaned!$F:$F,"REFUND")</f>
        <v>0</v>
      </c>
      <c r="N3106" s="23" t="str">
        <f t="shared" si="194"/>
        <v>OK</v>
      </c>
      <c r="O3106" s="24">
        <f t="shared" si="195"/>
        <v>0</v>
      </c>
    </row>
    <row r="3107" spans="1:15" ht="15" customHeight="1" x14ac:dyDescent="0.3">
      <c r="A3107" s="23" t="s">
        <v>6709</v>
      </c>
      <c r="B3107" s="38">
        <v>46268</v>
      </c>
      <c r="C3107" s="23" t="s">
        <v>6710</v>
      </c>
      <c r="D3107" s="23" t="s">
        <v>92</v>
      </c>
      <c r="E3107" s="23" t="s">
        <v>79</v>
      </c>
      <c r="F3107" s="23" t="s">
        <v>6711</v>
      </c>
      <c r="G3107" s="23" t="s">
        <v>250</v>
      </c>
      <c r="H3107" s="39">
        <f t="shared" si="192"/>
        <v>2447</v>
      </c>
      <c r="I3107" s="23" t="str">
        <f t="shared" si="193"/>
        <v>Hyderabad</v>
      </c>
      <c r="J3107" s="23">
        <f>COUNTIFS(pg_transaction_cleaned!$O:$O,A3107,pg_transaction_cleaned!$F:$F,"CAPTURE")</f>
        <v>1</v>
      </c>
      <c r="K3107" s="39">
        <f>SUMIFS(pg_transaction_cleaned!$H:$H,pg_transaction_cleaned!$O:$O,A3107,pg_transaction_cleaned!$F:$F,"CAPTURE")</f>
        <v>2447</v>
      </c>
      <c r="L3107" s="23">
        <f>COUNTIFS(pg_transaction_cleaned!$O:$O,A3107,pg_transaction_cleaned!$F:$F,"REFUND")</f>
        <v>0</v>
      </c>
      <c r="M3107" s="39">
        <f>SUMIFS(pg_transaction_cleaned!$H:$H,pg_transaction_cleaned!$O:$O,A3107,pg_transaction_cleaned!$F:$F,"REFUND")</f>
        <v>0</v>
      </c>
      <c r="N3107" s="23" t="str">
        <f t="shared" si="194"/>
        <v>OK</v>
      </c>
      <c r="O3107" s="24">
        <f t="shared" si="195"/>
        <v>0</v>
      </c>
    </row>
    <row r="3108" spans="1:15" ht="15" customHeight="1" x14ac:dyDescent="0.3">
      <c r="A3108" s="23" t="s">
        <v>6712</v>
      </c>
      <c r="B3108" s="38">
        <v>46269</v>
      </c>
      <c r="C3108" s="23" t="s">
        <v>6713</v>
      </c>
      <c r="D3108" s="23" t="s">
        <v>92</v>
      </c>
      <c r="E3108" s="23" t="s">
        <v>75</v>
      </c>
      <c r="F3108" s="23" t="s">
        <v>249</v>
      </c>
      <c r="G3108" s="23" t="s">
        <v>250</v>
      </c>
      <c r="H3108" s="39">
        <f t="shared" si="192"/>
        <v>299</v>
      </c>
      <c r="I3108" s="23" t="str">
        <f t="shared" si="193"/>
        <v>Hyderabad</v>
      </c>
      <c r="J3108" s="23">
        <f>COUNTIFS(pg_transaction_cleaned!$O:$O,A3108,pg_transaction_cleaned!$F:$F,"CAPTURE")</f>
        <v>1</v>
      </c>
      <c r="K3108" s="39">
        <f>SUMIFS(pg_transaction_cleaned!$H:$H,pg_transaction_cleaned!$O:$O,A3108,pg_transaction_cleaned!$F:$F,"CAPTURE")</f>
        <v>299</v>
      </c>
      <c r="L3108" s="23">
        <f>COUNTIFS(pg_transaction_cleaned!$O:$O,A3108,pg_transaction_cleaned!$F:$F,"REFUND")</f>
        <v>0</v>
      </c>
      <c r="M3108" s="39">
        <f>SUMIFS(pg_transaction_cleaned!$H:$H,pg_transaction_cleaned!$O:$O,A3108,pg_transaction_cleaned!$F:$F,"REFUND")</f>
        <v>0</v>
      </c>
      <c r="N3108" s="23" t="str">
        <f t="shared" si="194"/>
        <v>OK</v>
      </c>
      <c r="O3108" s="24">
        <f t="shared" si="195"/>
        <v>0</v>
      </c>
    </row>
    <row r="3109" spans="1:15" ht="15" customHeight="1" x14ac:dyDescent="0.3">
      <c r="A3109" s="23" t="s">
        <v>6714</v>
      </c>
      <c r="B3109" s="38">
        <v>46290</v>
      </c>
      <c r="C3109" s="23" t="s">
        <v>6715</v>
      </c>
      <c r="D3109" s="23" t="s">
        <v>91</v>
      </c>
      <c r="E3109" s="23" t="s">
        <v>75</v>
      </c>
      <c r="F3109" s="23" t="s">
        <v>396</v>
      </c>
      <c r="G3109" s="23" t="s">
        <v>250</v>
      </c>
      <c r="H3109" s="39">
        <f t="shared" si="192"/>
        <v>2999</v>
      </c>
      <c r="I3109" s="23" t="str">
        <f t="shared" si="193"/>
        <v>Pune</v>
      </c>
      <c r="J3109" s="23">
        <f>COUNTIFS(pg_transaction_cleaned!$O:$O,A3109,pg_transaction_cleaned!$F:$F,"CAPTURE")</f>
        <v>1</v>
      </c>
      <c r="K3109" s="39">
        <f>SUMIFS(pg_transaction_cleaned!$H:$H,pg_transaction_cleaned!$O:$O,A3109,pg_transaction_cleaned!$F:$F,"CAPTURE")</f>
        <v>2999</v>
      </c>
      <c r="L3109" s="23">
        <f>COUNTIFS(pg_transaction_cleaned!$O:$O,A3109,pg_transaction_cleaned!$F:$F,"REFUND")</f>
        <v>0</v>
      </c>
      <c r="M3109" s="39">
        <f>SUMIFS(pg_transaction_cleaned!$H:$H,pg_transaction_cleaned!$O:$O,A3109,pg_transaction_cleaned!$F:$F,"REFUND")</f>
        <v>0</v>
      </c>
      <c r="N3109" s="23" t="str">
        <f t="shared" si="194"/>
        <v>OK</v>
      </c>
      <c r="O3109" s="24">
        <f t="shared" si="195"/>
        <v>0</v>
      </c>
    </row>
    <row r="3110" spans="1:15" ht="15" customHeight="1" x14ac:dyDescent="0.3">
      <c r="A3110" s="23" t="s">
        <v>6716</v>
      </c>
      <c r="B3110" s="38">
        <v>46273</v>
      </c>
      <c r="C3110" s="23" t="s">
        <v>6717</v>
      </c>
      <c r="D3110" s="23" t="s">
        <v>93</v>
      </c>
      <c r="E3110" s="23" t="s">
        <v>75</v>
      </c>
      <c r="F3110" s="23" t="s">
        <v>349</v>
      </c>
      <c r="G3110" s="23" t="s">
        <v>250</v>
      </c>
      <c r="H3110" s="39">
        <f t="shared" si="192"/>
        <v>1798</v>
      </c>
      <c r="I3110" s="23" t="str">
        <f t="shared" si="193"/>
        <v>Kolkata</v>
      </c>
      <c r="J3110" s="23">
        <f>COUNTIFS(pg_transaction_cleaned!$O:$O,A3110,pg_transaction_cleaned!$F:$F,"CAPTURE")</f>
        <v>1</v>
      </c>
      <c r="K3110" s="39">
        <f>SUMIFS(pg_transaction_cleaned!$H:$H,pg_transaction_cleaned!$O:$O,A3110,pg_transaction_cleaned!$F:$F,"CAPTURE")</f>
        <v>1798</v>
      </c>
      <c r="L3110" s="23">
        <f>COUNTIFS(pg_transaction_cleaned!$O:$O,A3110,pg_transaction_cleaned!$F:$F,"REFUND")</f>
        <v>0</v>
      </c>
      <c r="M3110" s="39">
        <f>SUMIFS(pg_transaction_cleaned!$H:$H,pg_transaction_cleaned!$O:$O,A3110,pg_transaction_cleaned!$F:$F,"REFUND")</f>
        <v>0</v>
      </c>
      <c r="N3110" s="23" t="str">
        <f t="shared" si="194"/>
        <v>OK</v>
      </c>
      <c r="O3110" s="24">
        <f t="shared" si="195"/>
        <v>0</v>
      </c>
    </row>
    <row r="3111" spans="1:15" ht="15" customHeight="1" x14ac:dyDescent="0.3">
      <c r="A3111" s="23" t="s">
        <v>6718</v>
      </c>
      <c r="B3111" s="38">
        <v>46273</v>
      </c>
      <c r="C3111" s="23" t="s">
        <v>6719</v>
      </c>
      <c r="D3111" s="23" t="s">
        <v>94</v>
      </c>
      <c r="E3111" s="23" t="s">
        <v>75</v>
      </c>
      <c r="F3111" s="23" t="s">
        <v>827</v>
      </c>
      <c r="G3111" s="23" t="s">
        <v>250</v>
      </c>
      <c r="H3111" s="39">
        <f t="shared" si="192"/>
        <v>11498</v>
      </c>
      <c r="I3111" s="23" t="str">
        <f t="shared" si="193"/>
        <v>Chennai</v>
      </c>
      <c r="J3111" s="23">
        <f>COUNTIFS(pg_transaction_cleaned!$O:$O,A3111,pg_transaction_cleaned!$F:$F,"CAPTURE")</f>
        <v>1</v>
      </c>
      <c r="K3111" s="39">
        <f>SUMIFS(pg_transaction_cleaned!$H:$H,pg_transaction_cleaned!$O:$O,A3111,pg_transaction_cleaned!$F:$F,"CAPTURE")</f>
        <v>11498</v>
      </c>
      <c r="L3111" s="23">
        <f>COUNTIFS(pg_transaction_cleaned!$O:$O,A3111,pg_transaction_cleaned!$F:$F,"REFUND")</f>
        <v>0</v>
      </c>
      <c r="M3111" s="39">
        <f>SUMIFS(pg_transaction_cleaned!$H:$H,pg_transaction_cleaned!$O:$O,A3111,pg_transaction_cleaned!$F:$F,"REFUND")</f>
        <v>0</v>
      </c>
      <c r="N3111" s="23" t="str">
        <f t="shared" si="194"/>
        <v>OK</v>
      </c>
      <c r="O3111" s="24">
        <f t="shared" si="195"/>
        <v>0</v>
      </c>
    </row>
    <row r="3112" spans="1:15" ht="15" customHeight="1" x14ac:dyDescent="0.3">
      <c r="A3112" s="23" t="s">
        <v>6720</v>
      </c>
      <c r="B3112" s="38">
        <v>46289</v>
      </c>
      <c r="C3112" s="23" t="s">
        <v>5310</v>
      </c>
      <c r="D3112" s="23" t="s">
        <v>88</v>
      </c>
      <c r="E3112" s="23" t="s">
        <v>75</v>
      </c>
      <c r="F3112" s="23" t="s">
        <v>297</v>
      </c>
      <c r="G3112" s="23" t="s">
        <v>250</v>
      </c>
      <c r="H3112" s="39">
        <f t="shared" si="192"/>
        <v>4999</v>
      </c>
      <c r="I3112" s="23" t="str">
        <f t="shared" si="193"/>
        <v>Lucknow</v>
      </c>
      <c r="J3112" s="23">
        <f>COUNTIFS(pg_transaction_cleaned!$O:$O,A3112,pg_transaction_cleaned!$F:$F,"CAPTURE")</f>
        <v>1</v>
      </c>
      <c r="K3112" s="39">
        <f>SUMIFS(pg_transaction_cleaned!$H:$H,pg_transaction_cleaned!$O:$O,A3112,pg_transaction_cleaned!$F:$F,"CAPTURE")</f>
        <v>4999</v>
      </c>
      <c r="L3112" s="23">
        <f>COUNTIFS(pg_transaction_cleaned!$O:$O,A3112,pg_transaction_cleaned!$F:$F,"REFUND")</f>
        <v>0</v>
      </c>
      <c r="M3112" s="39">
        <f>SUMIFS(pg_transaction_cleaned!$H:$H,pg_transaction_cleaned!$O:$O,A3112,pg_transaction_cleaned!$F:$F,"REFUND")</f>
        <v>0</v>
      </c>
      <c r="N3112" s="23" t="str">
        <f t="shared" si="194"/>
        <v>OK</v>
      </c>
      <c r="O3112" s="24">
        <f t="shared" si="195"/>
        <v>0</v>
      </c>
    </row>
    <row r="3113" spans="1:15" ht="15" customHeight="1" x14ac:dyDescent="0.3">
      <c r="A3113" s="23" t="s">
        <v>6721</v>
      </c>
      <c r="B3113" s="38">
        <v>46268</v>
      </c>
      <c r="C3113" s="23" t="s">
        <v>6722</v>
      </c>
      <c r="D3113" s="23" t="s">
        <v>92</v>
      </c>
      <c r="E3113" s="23" t="s">
        <v>75</v>
      </c>
      <c r="F3113" s="23" t="s">
        <v>396</v>
      </c>
      <c r="G3113" s="23" t="s">
        <v>250</v>
      </c>
      <c r="H3113" s="39">
        <f t="shared" si="192"/>
        <v>2999</v>
      </c>
      <c r="I3113" s="23" t="str">
        <f t="shared" si="193"/>
        <v>Hyderabad</v>
      </c>
      <c r="J3113" s="23">
        <f>COUNTIFS(pg_transaction_cleaned!$O:$O,A3113,pg_transaction_cleaned!$F:$F,"CAPTURE")</f>
        <v>1</v>
      </c>
      <c r="K3113" s="39">
        <f>SUMIFS(pg_transaction_cleaned!$H:$H,pg_transaction_cleaned!$O:$O,A3113,pg_transaction_cleaned!$F:$F,"CAPTURE")</f>
        <v>2999</v>
      </c>
      <c r="L3113" s="23">
        <f>COUNTIFS(pg_transaction_cleaned!$O:$O,A3113,pg_transaction_cleaned!$F:$F,"REFUND")</f>
        <v>0</v>
      </c>
      <c r="M3113" s="39">
        <f>SUMIFS(pg_transaction_cleaned!$H:$H,pg_transaction_cleaned!$O:$O,A3113,pg_transaction_cleaned!$F:$F,"REFUND")</f>
        <v>0</v>
      </c>
      <c r="N3113" s="23" t="str">
        <f t="shared" si="194"/>
        <v>OK</v>
      </c>
      <c r="O3113" s="24">
        <f t="shared" si="195"/>
        <v>0</v>
      </c>
    </row>
    <row r="3114" spans="1:15" ht="15" customHeight="1" x14ac:dyDescent="0.3">
      <c r="A3114" s="23" t="s">
        <v>6723</v>
      </c>
      <c r="B3114" s="38">
        <v>46268</v>
      </c>
      <c r="C3114" s="23" t="s">
        <v>6724</v>
      </c>
      <c r="D3114" s="23" t="s">
        <v>93</v>
      </c>
      <c r="E3114" s="23" t="s">
        <v>79</v>
      </c>
      <c r="F3114" s="23" t="s">
        <v>271</v>
      </c>
      <c r="G3114" s="23" t="s">
        <v>250</v>
      </c>
      <c r="H3114" s="39">
        <f t="shared" si="192"/>
        <v>2499</v>
      </c>
      <c r="I3114" s="23" t="str">
        <f t="shared" si="193"/>
        <v>Kolkata</v>
      </c>
      <c r="J3114" s="23">
        <f>COUNTIFS(pg_transaction_cleaned!$O:$O,A3114,pg_transaction_cleaned!$F:$F,"CAPTURE")</f>
        <v>1</v>
      </c>
      <c r="K3114" s="39">
        <f>SUMIFS(pg_transaction_cleaned!$H:$H,pg_transaction_cleaned!$O:$O,A3114,pg_transaction_cleaned!$F:$F,"CAPTURE")</f>
        <v>2499</v>
      </c>
      <c r="L3114" s="23">
        <f>COUNTIFS(pg_transaction_cleaned!$O:$O,A3114,pg_transaction_cleaned!$F:$F,"REFUND")</f>
        <v>0</v>
      </c>
      <c r="M3114" s="39">
        <f>SUMIFS(pg_transaction_cleaned!$H:$H,pg_transaction_cleaned!$O:$O,A3114,pg_transaction_cleaned!$F:$F,"REFUND")</f>
        <v>0</v>
      </c>
      <c r="N3114" s="23" t="str">
        <f t="shared" si="194"/>
        <v>OK</v>
      </c>
      <c r="O3114" s="24">
        <f t="shared" si="195"/>
        <v>0</v>
      </c>
    </row>
    <row r="3115" spans="1:15" ht="15" customHeight="1" x14ac:dyDescent="0.3">
      <c r="A3115" s="23" t="s">
        <v>6725</v>
      </c>
      <c r="B3115" s="38">
        <v>46274</v>
      </c>
      <c r="C3115" s="23" t="s">
        <v>6726</v>
      </c>
      <c r="D3115" s="23" t="s">
        <v>88</v>
      </c>
      <c r="E3115" s="23" t="s">
        <v>75</v>
      </c>
      <c r="F3115" s="23" t="s">
        <v>271</v>
      </c>
      <c r="G3115" s="23" t="s">
        <v>318</v>
      </c>
      <c r="H3115" s="39">
        <f t="shared" si="192"/>
        <v>2499</v>
      </c>
      <c r="I3115" s="23" t="str">
        <f t="shared" si="193"/>
        <v>Lucknow</v>
      </c>
      <c r="J3115" s="23">
        <f>COUNTIFS(pg_transaction_cleaned!$O:$O,A3115,pg_transaction_cleaned!$F:$F,"CAPTURE")</f>
        <v>0</v>
      </c>
      <c r="K3115" s="39">
        <f>SUMIFS(pg_transaction_cleaned!$H:$H,pg_transaction_cleaned!$O:$O,A3115,pg_transaction_cleaned!$F:$F,"CAPTURE")</f>
        <v>0</v>
      </c>
      <c r="L3115" s="23">
        <f>COUNTIFS(pg_transaction_cleaned!$O:$O,A3115,pg_transaction_cleaned!$F:$F,"REFUND")</f>
        <v>0</v>
      </c>
      <c r="M3115" s="39">
        <f>SUMIFS(pg_transaction_cleaned!$H:$H,pg_transaction_cleaned!$O:$O,A3115,pg_transaction_cleaned!$F:$F,"REFUND")</f>
        <v>0</v>
      </c>
      <c r="N3115" s="23" t="str">
        <f t="shared" si="194"/>
        <v>OK</v>
      </c>
      <c r="O3115" s="24">
        <f t="shared" si="195"/>
        <v>0</v>
      </c>
    </row>
    <row r="3116" spans="1:15" ht="15" customHeight="1" x14ac:dyDescent="0.3">
      <c r="A3116" s="23" t="s">
        <v>6727</v>
      </c>
      <c r="B3116" s="38">
        <v>46272</v>
      </c>
      <c r="C3116" s="23" t="s">
        <v>6728</v>
      </c>
      <c r="D3116" s="23" t="s">
        <v>87</v>
      </c>
      <c r="E3116" s="23" t="s">
        <v>75</v>
      </c>
      <c r="F3116" s="23" t="s">
        <v>747</v>
      </c>
      <c r="G3116" s="23" t="s">
        <v>250</v>
      </c>
      <c r="H3116" s="39">
        <f t="shared" si="192"/>
        <v>2498</v>
      </c>
      <c r="I3116" s="23" t="str">
        <f t="shared" si="193"/>
        <v>Mumbai</v>
      </c>
      <c r="J3116" s="23">
        <f>COUNTIFS(pg_transaction_cleaned!$O:$O,A3116,pg_transaction_cleaned!$F:$F,"CAPTURE")</f>
        <v>1</v>
      </c>
      <c r="K3116" s="39">
        <f>SUMIFS(pg_transaction_cleaned!$H:$H,pg_transaction_cleaned!$O:$O,A3116,pg_transaction_cleaned!$F:$F,"CAPTURE")</f>
        <v>2498</v>
      </c>
      <c r="L3116" s="23">
        <f>COUNTIFS(pg_transaction_cleaned!$O:$O,A3116,pg_transaction_cleaned!$F:$F,"REFUND")</f>
        <v>0</v>
      </c>
      <c r="M3116" s="39">
        <f>SUMIFS(pg_transaction_cleaned!$H:$H,pg_transaction_cleaned!$O:$O,A3116,pg_transaction_cleaned!$F:$F,"REFUND")</f>
        <v>0</v>
      </c>
      <c r="N3116" s="23" t="str">
        <f t="shared" si="194"/>
        <v>OK</v>
      </c>
      <c r="O3116" s="24">
        <f t="shared" si="195"/>
        <v>0</v>
      </c>
    </row>
    <row r="3117" spans="1:15" ht="15" customHeight="1" x14ac:dyDescent="0.3">
      <c r="A3117" s="23" t="s">
        <v>6729</v>
      </c>
      <c r="B3117" s="38">
        <v>46281</v>
      </c>
      <c r="C3117" s="23" t="s">
        <v>6730</v>
      </c>
      <c r="D3117" s="23" t="s">
        <v>86</v>
      </c>
      <c r="E3117" s="23" t="s">
        <v>75</v>
      </c>
      <c r="F3117" s="23" t="s">
        <v>297</v>
      </c>
      <c r="G3117" s="23" t="s">
        <v>250</v>
      </c>
      <c r="H3117" s="39">
        <f t="shared" si="192"/>
        <v>4999</v>
      </c>
      <c r="I3117" s="23" t="str">
        <f t="shared" si="193"/>
        <v>Delhi</v>
      </c>
      <c r="J3117" s="23">
        <f>COUNTIFS(pg_transaction_cleaned!$O:$O,A3117,pg_transaction_cleaned!$F:$F,"CAPTURE")</f>
        <v>1</v>
      </c>
      <c r="K3117" s="39">
        <f>SUMIFS(pg_transaction_cleaned!$H:$H,pg_transaction_cleaned!$O:$O,A3117,pg_transaction_cleaned!$F:$F,"CAPTURE")</f>
        <v>4999</v>
      </c>
      <c r="L3117" s="23">
        <f>COUNTIFS(pg_transaction_cleaned!$O:$O,A3117,pg_transaction_cleaned!$F:$F,"REFUND")</f>
        <v>0</v>
      </c>
      <c r="M3117" s="39">
        <f>SUMIFS(pg_transaction_cleaned!$H:$H,pg_transaction_cleaned!$O:$O,A3117,pg_transaction_cleaned!$F:$F,"REFUND")</f>
        <v>0</v>
      </c>
      <c r="N3117" s="23" t="str">
        <f t="shared" si="194"/>
        <v>OK</v>
      </c>
      <c r="O3117" s="24">
        <f t="shared" si="195"/>
        <v>0</v>
      </c>
    </row>
    <row r="3118" spans="1:15" ht="15" customHeight="1" x14ac:dyDescent="0.3">
      <c r="A3118" s="23" t="s">
        <v>6731</v>
      </c>
      <c r="B3118" s="38">
        <v>46287</v>
      </c>
      <c r="C3118" s="23" t="s">
        <v>6732</v>
      </c>
      <c r="D3118" s="23" t="s">
        <v>86</v>
      </c>
      <c r="E3118" s="23" t="s">
        <v>79</v>
      </c>
      <c r="F3118" s="23" t="s">
        <v>274</v>
      </c>
      <c r="G3118" s="23" t="s">
        <v>250</v>
      </c>
      <c r="H3118" s="39">
        <f t="shared" si="192"/>
        <v>349</v>
      </c>
      <c r="I3118" s="23" t="str">
        <f t="shared" si="193"/>
        <v>Delhi</v>
      </c>
      <c r="J3118" s="23">
        <f>COUNTIFS(pg_transaction_cleaned!$O:$O,A3118,pg_transaction_cleaned!$F:$F,"CAPTURE")</f>
        <v>1</v>
      </c>
      <c r="K3118" s="39">
        <f>SUMIFS(pg_transaction_cleaned!$H:$H,pg_transaction_cleaned!$O:$O,A3118,pg_transaction_cleaned!$F:$F,"CAPTURE")</f>
        <v>349</v>
      </c>
      <c r="L3118" s="23">
        <f>COUNTIFS(pg_transaction_cleaned!$O:$O,A3118,pg_transaction_cleaned!$F:$F,"REFUND")</f>
        <v>0</v>
      </c>
      <c r="M3118" s="39">
        <f>SUMIFS(pg_transaction_cleaned!$H:$H,pg_transaction_cleaned!$O:$O,A3118,pg_transaction_cleaned!$F:$F,"REFUND")</f>
        <v>0</v>
      </c>
      <c r="N3118" s="23" t="str">
        <f t="shared" si="194"/>
        <v>OK</v>
      </c>
      <c r="O3118" s="24">
        <f t="shared" si="195"/>
        <v>0</v>
      </c>
    </row>
    <row r="3119" spans="1:15" ht="15" customHeight="1" x14ac:dyDescent="0.3">
      <c r="A3119" s="23" t="s">
        <v>6733</v>
      </c>
      <c r="B3119" s="38">
        <v>46289</v>
      </c>
      <c r="C3119" s="23" t="s">
        <v>6734</v>
      </c>
      <c r="D3119" s="23" t="s">
        <v>93</v>
      </c>
      <c r="E3119" s="23" t="s">
        <v>75</v>
      </c>
      <c r="F3119" s="23" t="s">
        <v>2486</v>
      </c>
      <c r="G3119" s="23" t="s">
        <v>250</v>
      </c>
      <c r="H3119" s="39">
        <f t="shared" si="192"/>
        <v>1647</v>
      </c>
      <c r="I3119" s="23" t="str">
        <f t="shared" si="193"/>
        <v>Kolkata</v>
      </c>
      <c r="J3119" s="23">
        <f>COUNTIFS(pg_transaction_cleaned!$O:$O,A3119,pg_transaction_cleaned!$F:$F,"CAPTURE")</f>
        <v>1</v>
      </c>
      <c r="K3119" s="39">
        <f>SUMIFS(pg_transaction_cleaned!$H:$H,pg_transaction_cleaned!$O:$O,A3119,pg_transaction_cleaned!$F:$F,"CAPTURE")</f>
        <v>1647</v>
      </c>
      <c r="L3119" s="23">
        <f>COUNTIFS(pg_transaction_cleaned!$O:$O,A3119,pg_transaction_cleaned!$F:$F,"REFUND")</f>
        <v>0</v>
      </c>
      <c r="M3119" s="39">
        <f>SUMIFS(pg_transaction_cleaned!$H:$H,pg_transaction_cleaned!$O:$O,A3119,pg_transaction_cleaned!$F:$F,"REFUND")</f>
        <v>0</v>
      </c>
      <c r="N3119" s="23" t="str">
        <f t="shared" si="194"/>
        <v>OK</v>
      </c>
      <c r="O3119" s="24">
        <f t="shared" si="195"/>
        <v>0</v>
      </c>
    </row>
    <row r="3120" spans="1:15" ht="15" customHeight="1" x14ac:dyDescent="0.3">
      <c r="A3120" s="23" t="s">
        <v>6735</v>
      </c>
      <c r="B3120" s="38">
        <v>46294</v>
      </c>
      <c r="C3120" s="23" t="s">
        <v>6736</v>
      </c>
      <c r="D3120" s="23" t="s">
        <v>87</v>
      </c>
      <c r="E3120" s="23" t="s">
        <v>79</v>
      </c>
      <c r="F3120" s="23" t="s">
        <v>553</v>
      </c>
      <c r="G3120" s="23" t="s">
        <v>250</v>
      </c>
      <c r="H3120" s="39">
        <f t="shared" si="192"/>
        <v>2798</v>
      </c>
      <c r="I3120" s="23" t="str">
        <f t="shared" si="193"/>
        <v>Mumbai</v>
      </c>
      <c r="J3120" s="23">
        <f>COUNTIFS(pg_transaction_cleaned!$O:$O,A3120,pg_transaction_cleaned!$F:$F,"CAPTURE")</f>
        <v>1</v>
      </c>
      <c r="K3120" s="39">
        <f>SUMIFS(pg_transaction_cleaned!$H:$H,pg_transaction_cleaned!$O:$O,A3120,pg_transaction_cleaned!$F:$F,"CAPTURE")</f>
        <v>2798</v>
      </c>
      <c r="L3120" s="23">
        <f>COUNTIFS(pg_transaction_cleaned!$O:$O,A3120,pg_transaction_cleaned!$F:$F,"REFUND")</f>
        <v>0</v>
      </c>
      <c r="M3120" s="39">
        <f>SUMIFS(pg_transaction_cleaned!$H:$H,pg_transaction_cleaned!$O:$O,A3120,pg_transaction_cleaned!$F:$F,"REFUND")</f>
        <v>0</v>
      </c>
      <c r="N3120" s="23" t="str">
        <f t="shared" si="194"/>
        <v>OK</v>
      </c>
      <c r="O3120" s="24">
        <f t="shared" si="195"/>
        <v>0</v>
      </c>
    </row>
    <row r="3121" spans="1:15" ht="15" customHeight="1" x14ac:dyDescent="0.3">
      <c r="A3121" s="23" t="s">
        <v>6737</v>
      </c>
      <c r="B3121" s="38">
        <v>46284</v>
      </c>
      <c r="C3121" s="23" t="s">
        <v>6738</v>
      </c>
      <c r="D3121" s="23" t="s">
        <v>95</v>
      </c>
      <c r="E3121" s="23" t="s">
        <v>75</v>
      </c>
      <c r="F3121" s="23" t="s">
        <v>256</v>
      </c>
      <c r="G3121" s="23" t="s">
        <v>250</v>
      </c>
      <c r="H3121" s="39">
        <f t="shared" si="192"/>
        <v>2098</v>
      </c>
      <c r="I3121" s="23" t="str">
        <f t="shared" si="193"/>
        <v>Bengaluru</v>
      </c>
      <c r="J3121" s="23">
        <f>COUNTIFS(pg_transaction_cleaned!$O:$O,A3121,pg_transaction_cleaned!$F:$F,"CAPTURE")</f>
        <v>1</v>
      </c>
      <c r="K3121" s="39">
        <f>SUMIFS(pg_transaction_cleaned!$H:$H,pg_transaction_cleaned!$O:$O,A3121,pg_transaction_cleaned!$F:$F,"CAPTURE")</f>
        <v>2098</v>
      </c>
      <c r="L3121" s="23">
        <f>COUNTIFS(pg_transaction_cleaned!$O:$O,A3121,pg_transaction_cleaned!$F:$F,"REFUND")</f>
        <v>0</v>
      </c>
      <c r="M3121" s="39">
        <f>SUMIFS(pg_transaction_cleaned!$H:$H,pg_transaction_cleaned!$O:$O,A3121,pg_transaction_cleaned!$F:$F,"REFUND")</f>
        <v>0</v>
      </c>
      <c r="N3121" s="23" t="str">
        <f t="shared" si="194"/>
        <v>OK</v>
      </c>
      <c r="O3121" s="24">
        <f t="shared" si="195"/>
        <v>0</v>
      </c>
    </row>
    <row r="3122" spans="1:15" ht="15" customHeight="1" x14ac:dyDescent="0.3">
      <c r="A3122" s="23" t="s">
        <v>6739</v>
      </c>
      <c r="B3122" s="38">
        <v>46268</v>
      </c>
      <c r="C3122" s="23" t="s">
        <v>6740</v>
      </c>
      <c r="D3122" s="23" t="s">
        <v>87</v>
      </c>
      <c r="E3122" s="23" t="s">
        <v>79</v>
      </c>
      <c r="F3122" s="23" t="s">
        <v>438</v>
      </c>
      <c r="G3122" s="23" t="s">
        <v>250</v>
      </c>
      <c r="H3122" s="39">
        <f t="shared" si="192"/>
        <v>5498</v>
      </c>
      <c r="I3122" s="23" t="str">
        <f t="shared" si="193"/>
        <v>Mumbai</v>
      </c>
      <c r="J3122" s="23">
        <f>COUNTIFS(pg_transaction_cleaned!$O:$O,A3122,pg_transaction_cleaned!$F:$F,"CAPTURE")</f>
        <v>1</v>
      </c>
      <c r="K3122" s="39">
        <f>SUMIFS(pg_transaction_cleaned!$H:$H,pg_transaction_cleaned!$O:$O,A3122,pg_transaction_cleaned!$F:$F,"CAPTURE")</f>
        <v>5498</v>
      </c>
      <c r="L3122" s="23">
        <f>COUNTIFS(pg_transaction_cleaned!$O:$O,A3122,pg_transaction_cleaned!$F:$F,"REFUND")</f>
        <v>0</v>
      </c>
      <c r="M3122" s="39">
        <f>SUMIFS(pg_transaction_cleaned!$H:$H,pg_transaction_cleaned!$O:$O,A3122,pg_transaction_cleaned!$F:$F,"REFUND")</f>
        <v>0</v>
      </c>
      <c r="N3122" s="23" t="str">
        <f t="shared" si="194"/>
        <v>OK</v>
      </c>
      <c r="O3122" s="24">
        <f t="shared" si="195"/>
        <v>0</v>
      </c>
    </row>
    <row r="3123" spans="1:15" ht="15" customHeight="1" x14ac:dyDescent="0.3">
      <c r="A3123" s="23" t="s">
        <v>6741</v>
      </c>
      <c r="B3123" s="38">
        <v>46280</v>
      </c>
      <c r="C3123" s="23" t="s">
        <v>6742</v>
      </c>
      <c r="D3123" s="23" t="s">
        <v>90</v>
      </c>
      <c r="E3123" s="23" t="s">
        <v>75</v>
      </c>
      <c r="F3123" s="23" t="s">
        <v>291</v>
      </c>
      <c r="G3123" s="23" t="s">
        <v>250</v>
      </c>
      <c r="H3123" s="39">
        <f t="shared" si="192"/>
        <v>3499</v>
      </c>
      <c r="I3123" s="23" t="str">
        <f t="shared" si="193"/>
        <v>Ahmedabad</v>
      </c>
      <c r="J3123" s="23">
        <f>COUNTIFS(pg_transaction_cleaned!$O:$O,A3123,pg_transaction_cleaned!$F:$F,"CAPTURE")</f>
        <v>1</v>
      </c>
      <c r="K3123" s="39">
        <f>SUMIFS(pg_transaction_cleaned!$H:$H,pg_transaction_cleaned!$O:$O,A3123,pg_transaction_cleaned!$F:$F,"CAPTURE")</f>
        <v>3499</v>
      </c>
      <c r="L3123" s="23">
        <f>COUNTIFS(pg_transaction_cleaned!$O:$O,A3123,pg_transaction_cleaned!$F:$F,"REFUND")</f>
        <v>0</v>
      </c>
      <c r="M3123" s="39">
        <f>SUMIFS(pg_transaction_cleaned!$H:$H,pg_transaction_cleaned!$O:$O,A3123,pg_transaction_cleaned!$F:$F,"REFUND")</f>
        <v>0</v>
      </c>
      <c r="N3123" s="23" t="str">
        <f t="shared" si="194"/>
        <v>OK</v>
      </c>
      <c r="O3123" s="24">
        <f t="shared" si="195"/>
        <v>0</v>
      </c>
    </row>
    <row r="3124" spans="1:15" ht="15" customHeight="1" x14ac:dyDescent="0.3">
      <c r="A3124" s="23" t="s">
        <v>6743</v>
      </c>
      <c r="B3124" s="38">
        <v>46286</v>
      </c>
      <c r="C3124" s="23" t="s">
        <v>6744</v>
      </c>
      <c r="D3124" s="23" t="s">
        <v>88</v>
      </c>
      <c r="E3124" s="23" t="s">
        <v>79</v>
      </c>
      <c r="F3124" s="23" t="s">
        <v>880</v>
      </c>
      <c r="G3124" s="23" t="s">
        <v>250</v>
      </c>
      <c r="H3124" s="39">
        <f t="shared" si="192"/>
        <v>2298</v>
      </c>
      <c r="I3124" s="23" t="str">
        <f t="shared" si="193"/>
        <v>Lucknow</v>
      </c>
      <c r="J3124" s="23">
        <f>COUNTIFS(pg_transaction_cleaned!$O:$O,A3124,pg_transaction_cleaned!$F:$F,"CAPTURE")</f>
        <v>1</v>
      </c>
      <c r="K3124" s="39">
        <f>SUMIFS(pg_transaction_cleaned!$H:$H,pg_transaction_cleaned!$O:$O,A3124,pg_transaction_cleaned!$F:$F,"CAPTURE")</f>
        <v>2298</v>
      </c>
      <c r="L3124" s="23">
        <f>COUNTIFS(pg_transaction_cleaned!$O:$O,A3124,pg_transaction_cleaned!$F:$F,"REFUND")</f>
        <v>0</v>
      </c>
      <c r="M3124" s="39">
        <f>SUMIFS(pg_transaction_cleaned!$H:$H,pg_transaction_cleaned!$O:$O,A3124,pg_transaction_cleaned!$F:$F,"REFUND")</f>
        <v>0</v>
      </c>
      <c r="N3124" s="23" t="str">
        <f t="shared" si="194"/>
        <v>OK</v>
      </c>
      <c r="O3124" s="24">
        <f t="shared" si="195"/>
        <v>0</v>
      </c>
    </row>
    <row r="3125" spans="1:15" ht="15" customHeight="1" x14ac:dyDescent="0.3">
      <c r="A3125" s="23" t="s">
        <v>6745</v>
      </c>
      <c r="B3125" s="38">
        <v>46294</v>
      </c>
      <c r="C3125" s="23" t="s">
        <v>6746</v>
      </c>
      <c r="D3125" s="23" t="s">
        <v>94</v>
      </c>
      <c r="E3125" s="23" t="s">
        <v>75</v>
      </c>
      <c r="F3125" s="23" t="s">
        <v>1072</v>
      </c>
      <c r="G3125" s="23" t="s">
        <v>250</v>
      </c>
      <c r="H3125" s="39">
        <f t="shared" si="192"/>
        <v>4897</v>
      </c>
      <c r="I3125" s="23" t="str">
        <f t="shared" si="193"/>
        <v>Chennai</v>
      </c>
      <c r="J3125" s="23">
        <f>COUNTIFS(pg_transaction_cleaned!$O:$O,A3125,pg_transaction_cleaned!$F:$F,"CAPTURE")</f>
        <v>1</v>
      </c>
      <c r="K3125" s="39">
        <f>SUMIFS(pg_transaction_cleaned!$H:$H,pg_transaction_cleaned!$O:$O,A3125,pg_transaction_cleaned!$F:$F,"CAPTURE")</f>
        <v>4897</v>
      </c>
      <c r="L3125" s="23">
        <f>COUNTIFS(pg_transaction_cleaned!$O:$O,A3125,pg_transaction_cleaned!$F:$F,"REFUND")</f>
        <v>0</v>
      </c>
      <c r="M3125" s="39">
        <f>SUMIFS(pg_transaction_cleaned!$H:$H,pg_transaction_cleaned!$O:$O,A3125,pg_transaction_cleaned!$F:$F,"REFUND")</f>
        <v>0</v>
      </c>
      <c r="N3125" s="23" t="str">
        <f t="shared" si="194"/>
        <v>OK</v>
      </c>
      <c r="O3125" s="24">
        <f t="shared" si="195"/>
        <v>0</v>
      </c>
    </row>
    <row r="3126" spans="1:15" ht="15" customHeight="1" x14ac:dyDescent="0.3">
      <c r="A3126" s="23" t="s">
        <v>6747</v>
      </c>
      <c r="B3126" s="38">
        <v>46275</v>
      </c>
      <c r="C3126" s="23" t="s">
        <v>6748</v>
      </c>
      <c r="D3126" s="23" t="s">
        <v>94</v>
      </c>
      <c r="E3126" s="23" t="s">
        <v>79</v>
      </c>
      <c r="F3126" s="23" t="s">
        <v>249</v>
      </c>
      <c r="G3126" s="23" t="s">
        <v>318</v>
      </c>
      <c r="H3126" s="39">
        <f t="shared" si="192"/>
        <v>299</v>
      </c>
      <c r="I3126" s="23" t="str">
        <f t="shared" si="193"/>
        <v>Chennai</v>
      </c>
      <c r="J3126" s="23">
        <f>COUNTIFS(pg_transaction_cleaned!$O:$O,A3126,pg_transaction_cleaned!$F:$F,"CAPTURE")</f>
        <v>0</v>
      </c>
      <c r="K3126" s="39">
        <f>SUMIFS(pg_transaction_cleaned!$H:$H,pg_transaction_cleaned!$O:$O,A3126,pg_transaction_cleaned!$F:$F,"CAPTURE")</f>
        <v>0</v>
      </c>
      <c r="L3126" s="23">
        <f>COUNTIFS(pg_transaction_cleaned!$O:$O,A3126,pg_transaction_cleaned!$F:$F,"REFUND")</f>
        <v>0</v>
      </c>
      <c r="M3126" s="39">
        <f>SUMIFS(pg_transaction_cleaned!$H:$H,pg_transaction_cleaned!$O:$O,A3126,pg_transaction_cleaned!$F:$F,"REFUND")</f>
        <v>0</v>
      </c>
      <c r="N3126" s="23" t="str">
        <f t="shared" si="194"/>
        <v>OK</v>
      </c>
      <c r="O3126" s="24">
        <f t="shared" si="195"/>
        <v>0</v>
      </c>
    </row>
    <row r="3127" spans="1:15" ht="15" customHeight="1" x14ac:dyDescent="0.3">
      <c r="A3127" s="23" t="s">
        <v>6749</v>
      </c>
      <c r="B3127" s="38">
        <v>46271</v>
      </c>
      <c r="C3127" s="23" t="s">
        <v>6750</v>
      </c>
      <c r="D3127" s="23" t="s">
        <v>91</v>
      </c>
      <c r="E3127" s="23" t="s">
        <v>75</v>
      </c>
      <c r="F3127" s="23" t="s">
        <v>274</v>
      </c>
      <c r="G3127" s="23" t="s">
        <v>250</v>
      </c>
      <c r="H3127" s="39">
        <f t="shared" si="192"/>
        <v>349</v>
      </c>
      <c r="I3127" s="23" t="str">
        <f t="shared" si="193"/>
        <v>Pune</v>
      </c>
      <c r="J3127" s="23">
        <f>COUNTIFS(pg_transaction_cleaned!$O:$O,A3127,pg_transaction_cleaned!$F:$F,"CAPTURE")</f>
        <v>1</v>
      </c>
      <c r="K3127" s="39">
        <f>SUMIFS(pg_transaction_cleaned!$H:$H,pg_transaction_cleaned!$O:$O,A3127,pg_transaction_cleaned!$F:$F,"CAPTURE")</f>
        <v>349</v>
      </c>
      <c r="L3127" s="23">
        <f>COUNTIFS(pg_transaction_cleaned!$O:$O,A3127,pg_transaction_cleaned!$F:$F,"REFUND")</f>
        <v>0</v>
      </c>
      <c r="M3127" s="39">
        <f>SUMIFS(pg_transaction_cleaned!$H:$H,pg_transaction_cleaned!$O:$O,A3127,pg_transaction_cleaned!$F:$F,"REFUND")</f>
        <v>0</v>
      </c>
      <c r="N3127" s="23" t="str">
        <f t="shared" si="194"/>
        <v>OK</v>
      </c>
      <c r="O3127" s="24">
        <f t="shared" si="195"/>
        <v>0</v>
      </c>
    </row>
    <row r="3128" spans="1:15" ht="15" customHeight="1" x14ac:dyDescent="0.3">
      <c r="A3128" s="23" t="s">
        <v>6751</v>
      </c>
      <c r="B3128" s="38">
        <v>46277</v>
      </c>
      <c r="C3128" s="23" t="s">
        <v>6752</v>
      </c>
      <c r="D3128" s="23" t="s">
        <v>92</v>
      </c>
      <c r="E3128" s="23" t="s">
        <v>81</v>
      </c>
      <c r="F3128" s="23" t="s">
        <v>297</v>
      </c>
      <c r="G3128" s="23" t="s">
        <v>250</v>
      </c>
      <c r="H3128" s="39">
        <f t="shared" si="192"/>
        <v>4999</v>
      </c>
      <c r="I3128" s="23" t="str">
        <f t="shared" si="193"/>
        <v>Hyderabad</v>
      </c>
      <c r="J3128" s="23">
        <f>COUNTIFS(pg_transaction_cleaned!$O:$O,A3128,pg_transaction_cleaned!$F:$F,"CAPTURE")</f>
        <v>1</v>
      </c>
      <c r="K3128" s="39">
        <f>SUMIFS(pg_transaction_cleaned!$H:$H,pg_transaction_cleaned!$O:$O,A3128,pg_transaction_cleaned!$F:$F,"CAPTURE")</f>
        <v>4999</v>
      </c>
      <c r="L3128" s="23">
        <f>COUNTIFS(pg_transaction_cleaned!$O:$O,A3128,pg_transaction_cleaned!$F:$F,"REFUND")</f>
        <v>0</v>
      </c>
      <c r="M3128" s="39">
        <f>SUMIFS(pg_transaction_cleaned!$H:$H,pg_transaction_cleaned!$O:$O,A3128,pg_transaction_cleaned!$F:$F,"REFUND")</f>
        <v>0</v>
      </c>
      <c r="N3128" s="23" t="str">
        <f t="shared" si="194"/>
        <v>OK</v>
      </c>
      <c r="O3128" s="24">
        <f t="shared" si="195"/>
        <v>0</v>
      </c>
    </row>
    <row r="3129" spans="1:15" ht="15" customHeight="1" x14ac:dyDescent="0.3">
      <c r="A3129" s="23" t="s">
        <v>6753</v>
      </c>
      <c r="B3129" s="38">
        <v>46284</v>
      </c>
      <c r="C3129" s="23" t="s">
        <v>6754</v>
      </c>
      <c r="D3129" s="23" t="s">
        <v>86</v>
      </c>
      <c r="E3129" s="23" t="s">
        <v>79</v>
      </c>
      <c r="F3129" s="23" t="s">
        <v>1206</v>
      </c>
      <c r="G3129" s="23" t="s">
        <v>250</v>
      </c>
      <c r="H3129" s="39">
        <f t="shared" si="192"/>
        <v>7297</v>
      </c>
      <c r="I3129" s="23" t="str">
        <f t="shared" si="193"/>
        <v>Delhi</v>
      </c>
      <c r="J3129" s="23">
        <f>COUNTIFS(pg_transaction_cleaned!$O:$O,A3129,pg_transaction_cleaned!$F:$F,"CAPTURE")</f>
        <v>1</v>
      </c>
      <c r="K3129" s="39">
        <f>SUMIFS(pg_transaction_cleaned!$H:$H,pg_transaction_cleaned!$O:$O,A3129,pg_transaction_cleaned!$F:$F,"CAPTURE")</f>
        <v>7297</v>
      </c>
      <c r="L3129" s="23">
        <f>COUNTIFS(pg_transaction_cleaned!$O:$O,A3129,pg_transaction_cleaned!$F:$F,"REFUND")</f>
        <v>0</v>
      </c>
      <c r="M3129" s="39">
        <f>SUMIFS(pg_transaction_cleaned!$H:$H,pg_transaction_cleaned!$O:$O,A3129,pg_transaction_cleaned!$F:$F,"REFUND")</f>
        <v>0</v>
      </c>
      <c r="N3129" s="23" t="str">
        <f t="shared" si="194"/>
        <v>OK</v>
      </c>
      <c r="O3129" s="24">
        <f t="shared" si="195"/>
        <v>0</v>
      </c>
    </row>
    <row r="3130" spans="1:15" ht="15" customHeight="1" x14ac:dyDescent="0.3">
      <c r="A3130" s="23" t="s">
        <v>6755</v>
      </c>
      <c r="B3130" s="38">
        <v>46279</v>
      </c>
      <c r="C3130" s="23" t="s">
        <v>6756</v>
      </c>
      <c r="D3130" s="23" t="s">
        <v>90</v>
      </c>
      <c r="E3130" s="23" t="s">
        <v>75</v>
      </c>
      <c r="F3130" s="23" t="s">
        <v>553</v>
      </c>
      <c r="G3130" s="23" t="s">
        <v>250</v>
      </c>
      <c r="H3130" s="39">
        <f t="shared" si="192"/>
        <v>2798</v>
      </c>
      <c r="I3130" s="23" t="str">
        <f t="shared" si="193"/>
        <v>Ahmedabad</v>
      </c>
      <c r="J3130" s="23">
        <f>COUNTIFS(pg_transaction_cleaned!$O:$O,A3130,pg_transaction_cleaned!$F:$F,"CAPTURE")</f>
        <v>1</v>
      </c>
      <c r="K3130" s="39">
        <f>SUMIFS(pg_transaction_cleaned!$H:$H,pg_transaction_cleaned!$O:$O,A3130,pg_transaction_cleaned!$F:$F,"CAPTURE")</f>
        <v>2798</v>
      </c>
      <c r="L3130" s="23">
        <f>COUNTIFS(pg_transaction_cleaned!$O:$O,A3130,pg_transaction_cleaned!$F:$F,"REFUND")</f>
        <v>0</v>
      </c>
      <c r="M3130" s="39">
        <f>SUMIFS(pg_transaction_cleaned!$H:$H,pg_transaction_cleaned!$O:$O,A3130,pg_transaction_cleaned!$F:$F,"REFUND")</f>
        <v>0</v>
      </c>
      <c r="N3130" s="23" t="str">
        <f t="shared" si="194"/>
        <v>OK</v>
      </c>
      <c r="O3130" s="24">
        <f t="shared" si="195"/>
        <v>0</v>
      </c>
    </row>
    <row r="3131" spans="1:15" ht="15" customHeight="1" x14ac:dyDescent="0.3">
      <c r="A3131" s="23" t="s">
        <v>6757</v>
      </c>
      <c r="B3131" s="38">
        <v>46278</v>
      </c>
      <c r="C3131" s="23" t="s">
        <v>6758</v>
      </c>
      <c r="D3131" s="23" t="s">
        <v>91</v>
      </c>
      <c r="E3131" s="23" t="s">
        <v>75</v>
      </c>
      <c r="F3131" s="23" t="s">
        <v>271</v>
      </c>
      <c r="G3131" s="23" t="s">
        <v>250</v>
      </c>
      <c r="H3131" s="39">
        <f t="shared" si="192"/>
        <v>2499</v>
      </c>
      <c r="I3131" s="23" t="str">
        <f t="shared" si="193"/>
        <v>Pune</v>
      </c>
      <c r="J3131" s="23">
        <f>COUNTIFS(pg_transaction_cleaned!$O:$O,A3131,pg_transaction_cleaned!$F:$F,"CAPTURE")</f>
        <v>1</v>
      </c>
      <c r="K3131" s="39">
        <f>SUMIFS(pg_transaction_cleaned!$H:$H,pg_transaction_cleaned!$O:$O,A3131,pg_transaction_cleaned!$F:$F,"CAPTURE")</f>
        <v>2499</v>
      </c>
      <c r="L3131" s="23">
        <f>COUNTIFS(pg_transaction_cleaned!$O:$O,A3131,pg_transaction_cleaned!$F:$F,"REFUND")</f>
        <v>0</v>
      </c>
      <c r="M3131" s="39">
        <f>SUMIFS(pg_transaction_cleaned!$H:$H,pg_transaction_cleaned!$O:$O,A3131,pg_transaction_cleaned!$F:$F,"REFUND")</f>
        <v>0</v>
      </c>
      <c r="N3131" s="23" t="str">
        <f t="shared" si="194"/>
        <v>OK</v>
      </c>
      <c r="O3131" s="24">
        <f t="shared" si="195"/>
        <v>0</v>
      </c>
    </row>
    <row r="3132" spans="1:15" ht="15" customHeight="1" x14ac:dyDescent="0.3">
      <c r="A3132" s="23" t="s">
        <v>6759</v>
      </c>
      <c r="B3132" s="38">
        <v>46279</v>
      </c>
      <c r="C3132" s="23" t="s">
        <v>6760</v>
      </c>
      <c r="D3132" s="23" t="s">
        <v>92</v>
      </c>
      <c r="E3132" s="23" t="s">
        <v>75</v>
      </c>
      <c r="F3132" s="23" t="s">
        <v>268</v>
      </c>
      <c r="G3132" s="23" t="s">
        <v>365</v>
      </c>
      <c r="H3132" s="39">
        <f t="shared" si="192"/>
        <v>1299</v>
      </c>
      <c r="I3132" s="23" t="str">
        <f t="shared" si="193"/>
        <v>Hyderabad</v>
      </c>
      <c r="J3132" s="23">
        <f>COUNTIFS(pg_transaction_cleaned!$O:$O,A3132,pg_transaction_cleaned!$F:$F,"CAPTURE")</f>
        <v>0</v>
      </c>
      <c r="K3132" s="39">
        <f>SUMIFS(pg_transaction_cleaned!$H:$H,pg_transaction_cleaned!$O:$O,A3132,pg_transaction_cleaned!$F:$F,"CAPTURE")</f>
        <v>0</v>
      </c>
      <c r="L3132" s="23">
        <f>COUNTIFS(pg_transaction_cleaned!$O:$O,A3132,pg_transaction_cleaned!$F:$F,"REFUND")</f>
        <v>0</v>
      </c>
      <c r="M3132" s="39">
        <f>SUMIFS(pg_transaction_cleaned!$H:$H,pg_transaction_cleaned!$O:$O,A3132,pg_transaction_cleaned!$F:$F,"REFUND")</f>
        <v>0</v>
      </c>
      <c r="N3132" s="23" t="str">
        <f t="shared" si="194"/>
        <v>OK</v>
      </c>
      <c r="O3132" s="24">
        <f t="shared" si="195"/>
        <v>0</v>
      </c>
    </row>
    <row r="3133" spans="1:15" ht="15" customHeight="1" x14ac:dyDescent="0.3">
      <c r="A3133" s="23" t="s">
        <v>6761</v>
      </c>
      <c r="B3133" s="38">
        <v>46293</v>
      </c>
      <c r="C3133" s="23" t="s">
        <v>6762</v>
      </c>
      <c r="D3133" s="23" t="s">
        <v>95</v>
      </c>
      <c r="E3133" s="23" t="s">
        <v>75</v>
      </c>
      <c r="F3133" s="23" t="s">
        <v>249</v>
      </c>
      <c r="G3133" s="23" t="s">
        <v>250</v>
      </c>
      <c r="H3133" s="39">
        <f t="shared" si="192"/>
        <v>299</v>
      </c>
      <c r="I3133" s="23" t="str">
        <f t="shared" si="193"/>
        <v>Bengaluru</v>
      </c>
      <c r="J3133" s="23">
        <f>COUNTIFS(pg_transaction_cleaned!$O:$O,A3133,pg_transaction_cleaned!$F:$F,"CAPTURE")</f>
        <v>1</v>
      </c>
      <c r="K3133" s="39">
        <f>SUMIFS(pg_transaction_cleaned!$H:$H,pg_transaction_cleaned!$O:$O,A3133,pg_transaction_cleaned!$F:$F,"CAPTURE")</f>
        <v>299</v>
      </c>
      <c r="L3133" s="23">
        <f>COUNTIFS(pg_transaction_cleaned!$O:$O,A3133,pg_transaction_cleaned!$F:$F,"REFUND")</f>
        <v>0</v>
      </c>
      <c r="M3133" s="39">
        <f>SUMIFS(pg_transaction_cleaned!$H:$H,pg_transaction_cleaned!$O:$O,A3133,pg_transaction_cleaned!$F:$F,"REFUND")</f>
        <v>0</v>
      </c>
      <c r="N3133" s="23" t="str">
        <f t="shared" si="194"/>
        <v>OK</v>
      </c>
      <c r="O3133" s="24">
        <f t="shared" si="195"/>
        <v>0</v>
      </c>
    </row>
    <row r="3134" spans="1:15" ht="15" customHeight="1" x14ac:dyDescent="0.3">
      <c r="A3134" s="23" t="s">
        <v>6763</v>
      </c>
      <c r="B3134" s="38">
        <v>46281</v>
      </c>
      <c r="C3134" s="23" t="s">
        <v>6764</v>
      </c>
      <c r="D3134" s="23" t="s">
        <v>88</v>
      </c>
      <c r="E3134" s="23" t="s">
        <v>75</v>
      </c>
      <c r="F3134" s="23" t="s">
        <v>249</v>
      </c>
      <c r="G3134" s="23" t="s">
        <v>250</v>
      </c>
      <c r="H3134" s="39">
        <f t="shared" si="192"/>
        <v>299</v>
      </c>
      <c r="I3134" s="23" t="str">
        <f t="shared" si="193"/>
        <v>Lucknow</v>
      </c>
      <c r="J3134" s="23">
        <f>COUNTIFS(pg_transaction_cleaned!$O:$O,A3134,pg_transaction_cleaned!$F:$F,"CAPTURE")</f>
        <v>1</v>
      </c>
      <c r="K3134" s="39">
        <f>SUMIFS(pg_transaction_cleaned!$H:$H,pg_transaction_cleaned!$O:$O,A3134,pg_transaction_cleaned!$F:$F,"CAPTURE")</f>
        <v>299</v>
      </c>
      <c r="L3134" s="23">
        <f>COUNTIFS(pg_transaction_cleaned!$O:$O,A3134,pg_transaction_cleaned!$F:$F,"REFUND")</f>
        <v>0</v>
      </c>
      <c r="M3134" s="39">
        <f>SUMIFS(pg_transaction_cleaned!$H:$H,pg_transaction_cleaned!$O:$O,A3134,pg_transaction_cleaned!$F:$F,"REFUND")</f>
        <v>0</v>
      </c>
      <c r="N3134" s="23" t="str">
        <f t="shared" si="194"/>
        <v>OK</v>
      </c>
      <c r="O3134" s="24">
        <f t="shared" si="195"/>
        <v>0</v>
      </c>
    </row>
    <row r="3135" spans="1:15" ht="15" customHeight="1" x14ac:dyDescent="0.3">
      <c r="A3135" s="23" t="s">
        <v>6765</v>
      </c>
      <c r="B3135" s="38">
        <v>46279</v>
      </c>
      <c r="C3135" s="23" t="s">
        <v>6766</v>
      </c>
      <c r="D3135" s="23" t="s">
        <v>88</v>
      </c>
      <c r="E3135" s="23" t="s">
        <v>75</v>
      </c>
      <c r="F3135" s="23" t="s">
        <v>460</v>
      </c>
      <c r="G3135" s="23" t="s">
        <v>250</v>
      </c>
      <c r="H3135" s="39">
        <f t="shared" si="192"/>
        <v>1998</v>
      </c>
      <c r="I3135" s="23" t="str">
        <f t="shared" si="193"/>
        <v>Lucknow</v>
      </c>
      <c r="J3135" s="23">
        <f>COUNTIFS(pg_transaction_cleaned!$O:$O,A3135,pg_transaction_cleaned!$F:$F,"CAPTURE")</f>
        <v>1</v>
      </c>
      <c r="K3135" s="39">
        <f>SUMIFS(pg_transaction_cleaned!$H:$H,pg_transaction_cleaned!$O:$O,A3135,pg_transaction_cleaned!$F:$F,"CAPTURE")</f>
        <v>1998</v>
      </c>
      <c r="L3135" s="23">
        <f>COUNTIFS(pg_transaction_cleaned!$O:$O,A3135,pg_transaction_cleaned!$F:$F,"REFUND")</f>
        <v>0</v>
      </c>
      <c r="M3135" s="39">
        <f>SUMIFS(pg_transaction_cleaned!$H:$H,pg_transaction_cleaned!$O:$O,A3135,pg_transaction_cleaned!$F:$F,"REFUND")</f>
        <v>0</v>
      </c>
      <c r="N3135" s="23" t="str">
        <f t="shared" si="194"/>
        <v>OK</v>
      </c>
      <c r="O3135" s="24">
        <f t="shared" si="195"/>
        <v>0</v>
      </c>
    </row>
    <row r="3136" spans="1:15" ht="15" customHeight="1" x14ac:dyDescent="0.3">
      <c r="A3136" s="23" t="s">
        <v>6767</v>
      </c>
      <c r="B3136" s="38">
        <v>46286</v>
      </c>
      <c r="C3136" s="23" t="s">
        <v>6768</v>
      </c>
      <c r="D3136" s="23" t="s">
        <v>95</v>
      </c>
      <c r="E3136" s="23" t="s">
        <v>75</v>
      </c>
      <c r="F3136" s="23" t="s">
        <v>262</v>
      </c>
      <c r="G3136" s="23" t="s">
        <v>250</v>
      </c>
      <c r="H3136" s="39">
        <f t="shared" si="192"/>
        <v>499</v>
      </c>
      <c r="I3136" s="23" t="str">
        <f t="shared" si="193"/>
        <v>Bengaluru</v>
      </c>
      <c r="J3136" s="23">
        <f>COUNTIFS(pg_transaction_cleaned!$O:$O,A3136,pg_transaction_cleaned!$F:$F,"CAPTURE")</f>
        <v>1</v>
      </c>
      <c r="K3136" s="39">
        <f>SUMIFS(pg_transaction_cleaned!$H:$H,pg_transaction_cleaned!$O:$O,A3136,pg_transaction_cleaned!$F:$F,"CAPTURE")</f>
        <v>499</v>
      </c>
      <c r="L3136" s="23">
        <f>COUNTIFS(pg_transaction_cleaned!$O:$O,A3136,pg_transaction_cleaned!$F:$F,"REFUND")</f>
        <v>0</v>
      </c>
      <c r="M3136" s="39">
        <f>SUMIFS(pg_transaction_cleaned!$H:$H,pg_transaction_cleaned!$O:$O,A3136,pg_transaction_cleaned!$F:$F,"REFUND")</f>
        <v>0</v>
      </c>
      <c r="N3136" s="23" t="str">
        <f t="shared" si="194"/>
        <v>OK</v>
      </c>
      <c r="O3136" s="24">
        <f t="shared" si="195"/>
        <v>0</v>
      </c>
    </row>
    <row r="3137" spans="1:15" ht="15" customHeight="1" x14ac:dyDescent="0.3">
      <c r="A3137" s="23" t="s">
        <v>6769</v>
      </c>
      <c r="B3137" s="38">
        <v>46267</v>
      </c>
      <c r="C3137" s="23" t="s">
        <v>6770</v>
      </c>
      <c r="D3137" s="23" t="s">
        <v>91</v>
      </c>
      <c r="E3137" s="23" t="s">
        <v>75</v>
      </c>
      <c r="F3137" s="23" t="s">
        <v>1832</v>
      </c>
      <c r="G3137" s="23" t="s">
        <v>250</v>
      </c>
      <c r="H3137" s="39">
        <f t="shared" si="192"/>
        <v>4997</v>
      </c>
      <c r="I3137" s="23" t="str">
        <f t="shared" si="193"/>
        <v>Pune</v>
      </c>
      <c r="J3137" s="23">
        <f>COUNTIFS(pg_transaction_cleaned!$O:$O,A3137,pg_transaction_cleaned!$F:$F,"CAPTURE")</f>
        <v>1</v>
      </c>
      <c r="K3137" s="39">
        <f>SUMIFS(pg_transaction_cleaned!$H:$H,pg_transaction_cleaned!$O:$O,A3137,pg_transaction_cleaned!$F:$F,"CAPTURE")</f>
        <v>4997</v>
      </c>
      <c r="L3137" s="23">
        <f>COUNTIFS(pg_transaction_cleaned!$O:$O,A3137,pg_transaction_cleaned!$F:$F,"REFUND")</f>
        <v>0</v>
      </c>
      <c r="M3137" s="39">
        <f>SUMIFS(pg_transaction_cleaned!$H:$H,pg_transaction_cleaned!$O:$O,A3137,pg_transaction_cleaned!$F:$F,"REFUND")</f>
        <v>0</v>
      </c>
      <c r="N3137" s="23" t="str">
        <f t="shared" si="194"/>
        <v>OK</v>
      </c>
      <c r="O3137" s="24">
        <f t="shared" si="195"/>
        <v>0</v>
      </c>
    </row>
    <row r="3138" spans="1:15" ht="15" customHeight="1" x14ac:dyDescent="0.3">
      <c r="A3138" s="23" t="s">
        <v>6771</v>
      </c>
      <c r="B3138" s="38">
        <v>46271</v>
      </c>
      <c r="C3138" s="23" t="s">
        <v>6772</v>
      </c>
      <c r="D3138" s="23" t="s">
        <v>95</v>
      </c>
      <c r="E3138" s="23" t="s">
        <v>75</v>
      </c>
      <c r="F3138" s="23" t="s">
        <v>460</v>
      </c>
      <c r="G3138" s="23" t="s">
        <v>250</v>
      </c>
      <c r="H3138" s="39">
        <f t="shared" ref="H3138:H3201" si="196">VALUE(SUBSTITUTE(F3138,",",""))</f>
        <v>1998</v>
      </c>
      <c r="I3138" s="23" t="str">
        <f t="shared" ref="I3138:I3201" si="197">IF(TRIM(D3138)="","Unknown",TRIM(D3138))</f>
        <v>Bengaluru</v>
      </c>
      <c r="J3138" s="23">
        <f>COUNTIFS(pg_transaction_cleaned!$O:$O,A3138,pg_transaction_cleaned!$F:$F,"CAPTURE")</f>
        <v>1</v>
      </c>
      <c r="K3138" s="39">
        <f>SUMIFS(pg_transaction_cleaned!$H:$H,pg_transaction_cleaned!$O:$O,A3138,pg_transaction_cleaned!$F:$F,"CAPTURE")</f>
        <v>1998</v>
      </c>
      <c r="L3138" s="23">
        <f>COUNTIFS(pg_transaction_cleaned!$O:$O,A3138,pg_transaction_cleaned!$F:$F,"REFUND")</f>
        <v>0</v>
      </c>
      <c r="M3138" s="39">
        <f>SUMIFS(pg_transaction_cleaned!$H:$H,pg_transaction_cleaned!$O:$O,A3138,pg_transaction_cleaned!$F:$F,"REFUND")</f>
        <v>0</v>
      </c>
      <c r="N3138" s="23" t="str">
        <f t="shared" ref="N3138:N3201" si="198">IF(AND(G3138="Paid",J3138=0),"Paid, no payment",IF(AND(OR(G3138="Failed",G3138="Cancelled"),J3138&gt;0),"Payment on failed/cancelled",IF(J3138&gt;1,"Duplicate charge",IF(AND(J3138=1,ROUND(K3138-H3138,2)&lt;&gt;0),"Amount difference",IF(AND(G3138="Refunded",L3138=0),"Refunded, no refund",IF(AND(G3138&lt;&gt;"Refunded",L3138&gt;0),"Refund, order not Refunded",IF(AND(L3138&gt;0,ROUND(M3138-H3138,2)&lt;&gt;0),"Refund amount differs","OK")))))))</f>
        <v>OK</v>
      </c>
      <c r="O3138" s="24">
        <f t="shared" ref="O3138:O3201" si="199">IF(N3138="OK",0,IF(N3138="Paid, no payment",H3138,IF(N3138="Payment on failed/cancelled",K3138,IF(OR(N3138="Duplicate charge",N3138="Amount difference"),K3138-H3138,IF(N3138="Refunded, no refund",H3138,M3138)))))</f>
        <v>0</v>
      </c>
    </row>
    <row r="3139" spans="1:15" ht="15" customHeight="1" x14ac:dyDescent="0.3">
      <c r="A3139" s="23" t="s">
        <v>6773</v>
      </c>
      <c r="B3139" s="38">
        <v>46268</v>
      </c>
      <c r="C3139" s="23" t="s">
        <v>6774</v>
      </c>
      <c r="D3139" s="23" t="s">
        <v>88</v>
      </c>
      <c r="E3139" s="23" t="s">
        <v>75</v>
      </c>
      <c r="F3139" s="23" t="s">
        <v>271</v>
      </c>
      <c r="G3139" s="23" t="s">
        <v>250</v>
      </c>
      <c r="H3139" s="39">
        <f t="shared" si="196"/>
        <v>2499</v>
      </c>
      <c r="I3139" s="23" t="str">
        <f t="shared" si="197"/>
        <v>Lucknow</v>
      </c>
      <c r="J3139" s="23">
        <f>COUNTIFS(pg_transaction_cleaned!$O:$O,A3139,pg_transaction_cleaned!$F:$F,"CAPTURE")</f>
        <v>1</v>
      </c>
      <c r="K3139" s="39">
        <f>SUMIFS(pg_transaction_cleaned!$H:$H,pg_transaction_cleaned!$O:$O,A3139,pg_transaction_cleaned!$F:$F,"CAPTURE")</f>
        <v>2499</v>
      </c>
      <c r="L3139" s="23">
        <f>COUNTIFS(pg_transaction_cleaned!$O:$O,A3139,pg_transaction_cleaned!$F:$F,"REFUND")</f>
        <v>0</v>
      </c>
      <c r="M3139" s="39">
        <f>SUMIFS(pg_transaction_cleaned!$H:$H,pg_transaction_cleaned!$O:$O,A3139,pg_transaction_cleaned!$F:$F,"REFUND")</f>
        <v>0</v>
      </c>
      <c r="N3139" s="23" t="str">
        <f t="shared" si="198"/>
        <v>OK</v>
      </c>
      <c r="O3139" s="24">
        <f t="shared" si="199"/>
        <v>0</v>
      </c>
    </row>
    <row r="3140" spans="1:15" ht="15" customHeight="1" x14ac:dyDescent="0.3">
      <c r="A3140" s="23" t="s">
        <v>6775</v>
      </c>
      <c r="B3140" s="38">
        <v>46290</v>
      </c>
      <c r="C3140" s="23" t="s">
        <v>6776</v>
      </c>
      <c r="D3140" s="23" t="s">
        <v>93</v>
      </c>
      <c r="E3140" s="23" t="s">
        <v>77</v>
      </c>
      <c r="F3140" s="23" t="s">
        <v>271</v>
      </c>
      <c r="G3140" s="23" t="s">
        <v>250</v>
      </c>
      <c r="H3140" s="39">
        <f t="shared" si="196"/>
        <v>2499</v>
      </c>
      <c r="I3140" s="23" t="str">
        <f t="shared" si="197"/>
        <v>Kolkata</v>
      </c>
      <c r="J3140" s="23">
        <f>COUNTIFS(pg_transaction_cleaned!$O:$O,A3140,pg_transaction_cleaned!$F:$F,"CAPTURE")</f>
        <v>1</v>
      </c>
      <c r="K3140" s="39">
        <f>SUMIFS(pg_transaction_cleaned!$H:$H,pg_transaction_cleaned!$O:$O,A3140,pg_transaction_cleaned!$F:$F,"CAPTURE")</f>
        <v>2499</v>
      </c>
      <c r="L3140" s="23">
        <f>COUNTIFS(pg_transaction_cleaned!$O:$O,A3140,pg_transaction_cleaned!$F:$F,"REFUND")</f>
        <v>0</v>
      </c>
      <c r="M3140" s="39">
        <f>SUMIFS(pg_transaction_cleaned!$H:$H,pg_transaction_cleaned!$O:$O,A3140,pg_transaction_cleaned!$F:$F,"REFUND")</f>
        <v>0</v>
      </c>
      <c r="N3140" s="23" t="str">
        <f t="shared" si="198"/>
        <v>OK</v>
      </c>
      <c r="O3140" s="24">
        <f t="shared" si="199"/>
        <v>0</v>
      </c>
    </row>
    <row r="3141" spans="1:15" ht="15" customHeight="1" x14ac:dyDescent="0.3">
      <c r="A3141" s="23" t="s">
        <v>6777</v>
      </c>
      <c r="B3141" s="38">
        <v>46273</v>
      </c>
      <c r="C3141" s="23" t="s">
        <v>6778</v>
      </c>
      <c r="D3141" s="23" t="s">
        <v>95</v>
      </c>
      <c r="E3141" s="23" t="s">
        <v>81</v>
      </c>
      <c r="F3141" s="23" t="s">
        <v>265</v>
      </c>
      <c r="G3141" s="23" t="s">
        <v>250</v>
      </c>
      <c r="H3141" s="39">
        <f t="shared" si="196"/>
        <v>999</v>
      </c>
      <c r="I3141" s="23" t="str">
        <f t="shared" si="197"/>
        <v>Bengaluru</v>
      </c>
      <c r="J3141" s="23">
        <f>COUNTIFS(pg_transaction_cleaned!$O:$O,A3141,pg_transaction_cleaned!$F:$F,"CAPTURE")</f>
        <v>1</v>
      </c>
      <c r="K3141" s="39">
        <f>SUMIFS(pg_transaction_cleaned!$H:$H,pg_transaction_cleaned!$O:$O,A3141,pg_transaction_cleaned!$F:$F,"CAPTURE")</f>
        <v>999</v>
      </c>
      <c r="L3141" s="23">
        <f>COUNTIFS(pg_transaction_cleaned!$O:$O,A3141,pg_transaction_cleaned!$F:$F,"REFUND")</f>
        <v>0</v>
      </c>
      <c r="M3141" s="39">
        <f>SUMIFS(pg_transaction_cleaned!$H:$H,pg_transaction_cleaned!$O:$O,A3141,pg_transaction_cleaned!$F:$F,"REFUND")</f>
        <v>0</v>
      </c>
      <c r="N3141" s="23" t="str">
        <f t="shared" si="198"/>
        <v>OK</v>
      </c>
      <c r="O3141" s="24">
        <f t="shared" si="199"/>
        <v>0</v>
      </c>
    </row>
    <row r="3142" spans="1:15" ht="15" customHeight="1" x14ac:dyDescent="0.3">
      <c r="A3142" s="23" t="s">
        <v>6779</v>
      </c>
      <c r="B3142" s="38">
        <v>46275</v>
      </c>
      <c r="C3142" s="23" t="s">
        <v>6780</v>
      </c>
      <c r="D3142" s="23" t="s">
        <v>93</v>
      </c>
      <c r="E3142" s="23" t="s">
        <v>75</v>
      </c>
      <c r="F3142" s="23" t="s">
        <v>2279</v>
      </c>
      <c r="G3142" s="23" t="s">
        <v>250</v>
      </c>
      <c r="H3142" s="39">
        <f t="shared" si="196"/>
        <v>6147</v>
      </c>
      <c r="I3142" s="23" t="str">
        <f t="shared" si="197"/>
        <v>Kolkata</v>
      </c>
      <c r="J3142" s="23">
        <f>COUNTIFS(pg_transaction_cleaned!$O:$O,A3142,pg_transaction_cleaned!$F:$F,"CAPTURE")</f>
        <v>1</v>
      </c>
      <c r="K3142" s="39">
        <f>SUMIFS(pg_transaction_cleaned!$H:$H,pg_transaction_cleaned!$O:$O,A3142,pg_transaction_cleaned!$F:$F,"CAPTURE")</f>
        <v>6147</v>
      </c>
      <c r="L3142" s="23">
        <f>COUNTIFS(pg_transaction_cleaned!$O:$O,A3142,pg_transaction_cleaned!$F:$F,"REFUND")</f>
        <v>0</v>
      </c>
      <c r="M3142" s="39">
        <f>SUMIFS(pg_transaction_cleaned!$H:$H,pg_transaction_cleaned!$O:$O,A3142,pg_transaction_cleaned!$F:$F,"REFUND")</f>
        <v>0</v>
      </c>
      <c r="N3142" s="23" t="str">
        <f t="shared" si="198"/>
        <v>OK</v>
      </c>
      <c r="O3142" s="24">
        <f t="shared" si="199"/>
        <v>0</v>
      </c>
    </row>
    <row r="3143" spans="1:15" ht="15" customHeight="1" x14ac:dyDescent="0.3">
      <c r="A3143" s="23" t="s">
        <v>6781</v>
      </c>
      <c r="B3143" s="38">
        <v>46284</v>
      </c>
      <c r="C3143" s="23" t="s">
        <v>6782</v>
      </c>
      <c r="D3143" s="23" t="s">
        <v>92</v>
      </c>
      <c r="E3143" s="23" t="s">
        <v>75</v>
      </c>
      <c r="F3143" s="23" t="s">
        <v>370</v>
      </c>
      <c r="G3143" s="23" t="s">
        <v>250</v>
      </c>
      <c r="H3143" s="39">
        <f t="shared" si="196"/>
        <v>3098</v>
      </c>
      <c r="I3143" s="23" t="str">
        <f t="shared" si="197"/>
        <v>Hyderabad</v>
      </c>
      <c r="J3143" s="23">
        <f>COUNTIFS(pg_transaction_cleaned!$O:$O,A3143,pg_transaction_cleaned!$F:$F,"CAPTURE")</f>
        <v>1</v>
      </c>
      <c r="K3143" s="39">
        <f>SUMIFS(pg_transaction_cleaned!$H:$H,pg_transaction_cleaned!$O:$O,A3143,pg_transaction_cleaned!$F:$F,"CAPTURE")</f>
        <v>3098</v>
      </c>
      <c r="L3143" s="23">
        <f>COUNTIFS(pg_transaction_cleaned!$O:$O,A3143,pg_transaction_cleaned!$F:$F,"REFUND")</f>
        <v>0</v>
      </c>
      <c r="M3143" s="39">
        <f>SUMIFS(pg_transaction_cleaned!$H:$H,pg_transaction_cleaned!$O:$O,A3143,pg_transaction_cleaned!$F:$F,"REFUND")</f>
        <v>0</v>
      </c>
      <c r="N3143" s="23" t="str">
        <f t="shared" si="198"/>
        <v>OK</v>
      </c>
      <c r="O3143" s="24">
        <f t="shared" si="199"/>
        <v>0</v>
      </c>
    </row>
    <row r="3144" spans="1:15" ht="15" customHeight="1" x14ac:dyDescent="0.3">
      <c r="A3144" s="23" t="s">
        <v>6783</v>
      </c>
      <c r="B3144" s="38">
        <v>46284</v>
      </c>
      <c r="C3144" s="23" t="s">
        <v>6784</v>
      </c>
      <c r="D3144" s="23" t="s">
        <v>92</v>
      </c>
      <c r="E3144" s="23" t="s">
        <v>75</v>
      </c>
      <c r="F3144" s="23" t="s">
        <v>1975</v>
      </c>
      <c r="G3144" s="23" t="s">
        <v>250</v>
      </c>
      <c r="H3144" s="39">
        <f t="shared" si="196"/>
        <v>1398</v>
      </c>
      <c r="I3144" s="23" t="str">
        <f t="shared" si="197"/>
        <v>Hyderabad</v>
      </c>
      <c r="J3144" s="23">
        <f>COUNTIFS(pg_transaction_cleaned!$O:$O,A3144,pg_transaction_cleaned!$F:$F,"CAPTURE")</f>
        <v>1</v>
      </c>
      <c r="K3144" s="39">
        <f>SUMIFS(pg_transaction_cleaned!$H:$H,pg_transaction_cleaned!$O:$O,A3144,pg_transaction_cleaned!$F:$F,"CAPTURE")</f>
        <v>1298</v>
      </c>
      <c r="L3144" s="23">
        <f>COUNTIFS(pg_transaction_cleaned!$O:$O,A3144,pg_transaction_cleaned!$F:$F,"REFUND")</f>
        <v>0</v>
      </c>
      <c r="M3144" s="39">
        <f>SUMIFS(pg_transaction_cleaned!$H:$H,pg_transaction_cleaned!$O:$O,A3144,pg_transaction_cleaned!$F:$F,"REFUND")</f>
        <v>0</v>
      </c>
      <c r="N3144" s="23" t="str">
        <f t="shared" si="198"/>
        <v>Amount difference</v>
      </c>
      <c r="O3144" s="24">
        <f t="shared" si="199"/>
        <v>-100</v>
      </c>
    </row>
    <row r="3145" spans="1:15" ht="15" customHeight="1" x14ac:dyDescent="0.3">
      <c r="A3145" s="23" t="s">
        <v>6785</v>
      </c>
      <c r="B3145" s="38">
        <v>46266</v>
      </c>
      <c r="C3145" s="23" t="s">
        <v>6786</v>
      </c>
      <c r="D3145" s="23" t="s">
        <v>86</v>
      </c>
      <c r="E3145" s="23" t="s">
        <v>79</v>
      </c>
      <c r="F3145" s="23" t="s">
        <v>2160</v>
      </c>
      <c r="G3145" s="23" t="s">
        <v>250</v>
      </c>
      <c r="H3145" s="39">
        <f t="shared" si="196"/>
        <v>7998</v>
      </c>
      <c r="I3145" s="23" t="str">
        <f t="shared" si="197"/>
        <v>Delhi</v>
      </c>
      <c r="J3145" s="23">
        <f>COUNTIFS(pg_transaction_cleaned!$O:$O,A3145,pg_transaction_cleaned!$F:$F,"CAPTURE")</f>
        <v>1</v>
      </c>
      <c r="K3145" s="39">
        <f>SUMIFS(pg_transaction_cleaned!$H:$H,pg_transaction_cleaned!$O:$O,A3145,pg_transaction_cleaned!$F:$F,"CAPTURE")</f>
        <v>7998</v>
      </c>
      <c r="L3145" s="23">
        <f>COUNTIFS(pg_transaction_cleaned!$O:$O,A3145,pg_transaction_cleaned!$F:$F,"REFUND")</f>
        <v>0</v>
      </c>
      <c r="M3145" s="39">
        <f>SUMIFS(pg_transaction_cleaned!$H:$H,pg_transaction_cleaned!$O:$O,A3145,pg_transaction_cleaned!$F:$F,"REFUND")</f>
        <v>0</v>
      </c>
      <c r="N3145" s="23" t="str">
        <f t="shared" si="198"/>
        <v>OK</v>
      </c>
      <c r="O3145" s="24">
        <f t="shared" si="199"/>
        <v>0</v>
      </c>
    </row>
    <row r="3146" spans="1:15" ht="15" customHeight="1" x14ac:dyDescent="0.3">
      <c r="A3146" s="23" t="s">
        <v>6787</v>
      </c>
      <c r="B3146" s="38">
        <v>46273</v>
      </c>
      <c r="C3146" s="23" t="s">
        <v>6788</v>
      </c>
      <c r="D3146" s="23" t="s">
        <v>90</v>
      </c>
      <c r="E3146" s="23" t="s">
        <v>75</v>
      </c>
      <c r="F3146" s="23" t="s">
        <v>271</v>
      </c>
      <c r="G3146" s="23" t="s">
        <v>250</v>
      </c>
      <c r="H3146" s="39">
        <f t="shared" si="196"/>
        <v>2499</v>
      </c>
      <c r="I3146" s="23" t="str">
        <f t="shared" si="197"/>
        <v>Ahmedabad</v>
      </c>
      <c r="J3146" s="23">
        <f>COUNTIFS(pg_transaction_cleaned!$O:$O,A3146,pg_transaction_cleaned!$F:$F,"CAPTURE")</f>
        <v>1</v>
      </c>
      <c r="K3146" s="39">
        <f>SUMIFS(pg_transaction_cleaned!$H:$H,pg_transaction_cleaned!$O:$O,A3146,pg_transaction_cleaned!$F:$F,"CAPTURE")</f>
        <v>2499</v>
      </c>
      <c r="L3146" s="23">
        <f>COUNTIFS(pg_transaction_cleaned!$O:$O,A3146,pg_transaction_cleaned!$F:$F,"REFUND")</f>
        <v>0</v>
      </c>
      <c r="M3146" s="39">
        <f>SUMIFS(pg_transaction_cleaned!$H:$H,pg_transaction_cleaned!$O:$O,A3146,pg_transaction_cleaned!$F:$F,"REFUND")</f>
        <v>0</v>
      </c>
      <c r="N3146" s="23" t="str">
        <f t="shared" si="198"/>
        <v>OK</v>
      </c>
      <c r="O3146" s="24">
        <f t="shared" si="199"/>
        <v>0</v>
      </c>
    </row>
    <row r="3147" spans="1:15" ht="15" customHeight="1" x14ac:dyDescent="0.3">
      <c r="A3147" s="23" t="s">
        <v>6789</v>
      </c>
      <c r="B3147" s="38">
        <v>46289</v>
      </c>
      <c r="C3147" s="23" t="s">
        <v>6790</v>
      </c>
      <c r="D3147" s="23" t="s">
        <v>88</v>
      </c>
      <c r="E3147" s="23" t="s">
        <v>75</v>
      </c>
      <c r="F3147" s="23" t="s">
        <v>271</v>
      </c>
      <c r="G3147" s="23" t="s">
        <v>250</v>
      </c>
      <c r="H3147" s="39">
        <f t="shared" si="196"/>
        <v>2499</v>
      </c>
      <c r="I3147" s="23" t="str">
        <f t="shared" si="197"/>
        <v>Lucknow</v>
      </c>
      <c r="J3147" s="23">
        <f>COUNTIFS(pg_transaction_cleaned!$O:$O,A3147,pg_transaction_cleaned!$F:$F,"CAPTURE")</f>
        <v>1</v>
      </c>
      <c r="K3147" s="39">
        <f>SUMIFS(pg_transaction_cleaned!$H:$H,pg_transaction_cleaned!$O:$O,A3147,pg_transaction_cleaned!$F:$F,"CAPTURE")</f>
        <v>2499</v>
      </c>
      <c r="L3147" s="23">
        <f>COUNTIFS(pg_transaction_cleaned!$O:$O,A3147,pg_transaction_cleaned!$F:$F,"REFUND")</f>
        <v>0</v>
      </c>
      <c r="M3147" s="39">
        <f>SUMIFS(pg_transaction_cleaned!$H:$H,pg_transaction_cleaned!$O:$O,A3147,pg_transaction_cleaned!$F:$F,"REFUND")</f>
        <v>0</v>
      </c>
      <c r="N3147" s="23" t="str">
        <f t="shared" si="198"/>
        <v>OK</v>
      </c>
      <c r="O3147" s="24">
        <f t="shared" si="199"/>
        <v>0</v>
      </c>
    </row>
    <row r="3148" spans="1:15" ht="15" customHeight="1" x14ac:dyDescent="0.3">
      <c r="A3148" s="23" t="s">
        <v>6791</v>
      </c>
      <c r="B3148" s="38">
        <v>46293</v>
      </c>
      <c r="C3148" s="23" t="s">
        <v>6792</v>
      </c>
      <c r="D3148" s="23" t="s">
        <v>88</v>
      </c>
      <c r="E3148" s="23" t="s">
        <v>75</v>
      </c>
      <c r="F3148" s="23" t="s">
        <v>274</v>
      </c>
      <c r="G3148" s="23" t="s">
        <v>250</v>
      </c>
      <c r="H3148" s="39">
        <f t="shared" si="196"/>
        <v>349</v>
      </c>
      <c r="I3148" s="23" t="str">
        <f t="shared" si="197"/>
        <v>Lucknow</v>
      </c>
      <c r="J3148" s="23">
        <f>COUNTIFS(pg_transaction_cleaned!$O:$O,A3148,pg_transaction_cleaned!$F:$F,"CAPTURE")</f>
        <v>1</v>
      </c>
      <c r="K3148" s="39">
        <f>SUMIFS(pg_transaction_cleaned!$H:$H,pg_transaction_cleaned!$O:$O,A3148,pg_transaction_cleaned!$F:$F,"CAPTURE")</f>
        <v>349</v>
      </c>
      <c r="L3148" s="23">
        <f>COUNTIFS(pg_transaction_cleaned!$O:$O,A3148,pg_transaction_cleaned!$F:$F,"REFUND")</f>
        <v>0</v>
      </c>
      <c r="M3148" s="39">
        <f>SUMIFS(pg_transaction_cleaned!$H:$H,pg_transaction_cleaned!$O:$O,A3148,pg_transaction_cleaned!$F:$F,"REFUND")</f>
        <v>0</v>
      </c>
      <c r="N3148" s="23" t="str">
        <f t="shared" si="198"/>
        <v>OK</v>
      </c>
      <c r="O3148" s="24">
        <f t="shared" si="199"/>
        <v>0</v>
      </c>
    </row>
    <row r="3149" spans="1:15" ht="15" customHeight="1" x14ac:dyDescent="0.3">
      <c r="A3149" s="23" t="s">
        <v>6793</v>
      </c>
      <c r="B3149" s="38">
        <v>46280</v>
      </c>
      <c r="C3149" s="23" t="s">
        <v>6794</v>
      </c>
      <c r="D3149" s="23" t="s">
        <v>87</v>
      </c>
      <c r="E3149" s="23" t="s">
        <v>75</v>
      </c>
      <c r="F3149" s="23" t="s">
        <v>249</v>
      </c>
      <c r="G3149" s="23" t="s">
        <v>250</v>
      </c>
      <c r="H3149" s="39">
        <f t="shared" si="196"/>
        <v>299</v>
      </c>
      <c r="I3149" s="23" t="str">
        <f t="shared" si="197"/>
        <v>Mumbai</v>
      </c>
      <c r="J3149" s="23">
        <f>COUNTIFS(pg_transaction_cleaned!$O:$O,A3149,pg_transaction_cleaned!$F:$F,"CAPTURE")</f>
        <v>1</v>
      </c>
      <c r="K3149" s="39">
        <f>SUMIFS(pg_transaction_cleaned!$H:$H,pg_transaction_cleaned!$O:$O,A3149,pg_transaction_cleaned!$F:$F,"CAPTURE")</f>
        <v>299</v>
      </c>
      <c r="L3149" s="23">
        <f>COUNTIFS(pg_transaction_cleaned!$O:$O,A3149,pg_transaction_cleaned!$F:$F,"REFUND")</f>
        <v>0</v>
      </c>
      <c r="M3149" s="39">
        <f>SUMIFS(pg_transaction_cleaned!$H:$H,pg_transaction_cleaned!$O:$O,A3149,pg_transaction_cleaned!$F:$F,"REFUND")</f>
        <v>0</v>
      </c>
      <c r="N3149" s="23" t="str">
        <f t="shared" si="198"/>
        <v>OK</v>
      </c>
      <c r="O3149" s="24">
        <f t="shared" si="199"/>
        <v>0</v>
      </c>
    </row>
    <row r="3150" spans="1:15" ht="15" customHeight="1" x14ac:dyDescent="0.3">
      <c r="A3150" s="23" t="s">
        <v>6795</v>
      </c>
      <c r="B3150" s="38">
        <v>46281</v>
      </c>
      <c r="C3150" s="23" t="s">
        <v>6796</v>
      </c>
      <c r="D3150" s="23" t="s">
        <v>92</v>
      </c>
      <c r="E3150" s="23" t="s">
        <v>75</v>
      </c>
      <c r="F3150" s="23" t="s">
        <v>475</v>
      </c>
      <c r="G3150" s="23" t="s">
        <v>365</v>
      </c>
      <c r="H3150" s="39">
        <f t="shared" si="196"/>
        <v>799</v>
      </c>
      <c r="I3150" s="23" t="str">
        <f t="shared" si="197"/>
        <v>Hyderabad</v>
      </c>
      <c r="J3150" s="23">
        <f>COUNTIFS(pg_transaction_cleaned!$O:$O,A3150,pg_transaction_cleaned!$F:$F,"CAPTURE")</f>
        <v>0</v>
      </c>
      <c r="K3150" s="39">
        <f>SUMIFS(pg_transaction_cleaned!$H:$H,pg_transaction_cleaned!$O:$O,A3150,pg_transaction_cleaned!$F:$F,"CAPTURE")</f>
        <v>0</v>
      </c>
      <c r="L3150" s="23">
        <f>COUNTIFS(pg_transaction_cleaned!$O:$O,A3150,pg_transaction_cleaned!$F:$F,"REFUND")</f>
        <v>0</v>
      </c>
      <c r="M3150" s="39">
        <f>SUMIFS(pg_transaction_cleaned!$H:$H,pg_transaction_cleaned!$O:$O,A3150,pg_transaction_cleaned!$F:$F,"REFUND")</f>
        <v>0</v>
      </c>
      <c r="N3150" s="23" t="str">
        <f t="shared" si="198"/>
        <v>OK</v>
      </c>
      <c r="O3150" s="24">
        <f t="shared" si="199"/>
        <v>0</v>
      </c>
    </row>
    <row r="3151" spans="1:15" ht="15" customHeight="1" x14ac:dyDescent="0.3">
      <c r="A3151" s="23" t="s">
        <v>6797</v>
      </c>
      <c r="B3151" s="38">
        <v>46286</v>
      </c>
      <c r="C3151" s="23" t="s">
        <v>6798</v>
      </c>
      <c r="D3151" s="23" t="s">
        <v>86</v>
      </c>
      <c r="E3151" s="23" t="s">
        <v>81</v>
      </c>
      <c r="F3151" s="23" t="s">
        <v>1206</v>
      </c>
      <c r="G3151" s="23" t="s">
        <v>250</v>
      </c>
      <c r="H3151" s="39">
        <f t="shared" si="196"/>
        <v>7297</v>
      </c>
      <c r="I3151" s="23" t="str">
        <f t="shared" si="197"/>
        <v>Delhi</v>
      </c>
      <c r="J3151" s="23">
        <f>COUNTIFS(pg_transaction_cleaned!$O:$O,A3151,pg_transaction_cleaned!$F:$F,"CAPTURE")</f>
        <v>1</v>
      </c>
      <c r="K3151" s="39">
        <f>SUMIFS(pg_transaction_cleaned!$H:$H,pg_transaction_cleaned!$O:$O,A3151,pg_transaction_cleaned!$F:$F,"CAPTURE")</f>
        <v>7297</v>
      </c>
      <c r="L3151" s="23">
        <f>COUNTIFS(pg_transaction_cleaned!$O:$O,A3151,pg_transaction_cleaned!$F:$F,"REFUND")</f>
        <v>0</v>
      </c>
      <c r="M3151" s="39">
        <f>SUMIFS(pg_transaction_cleaned!$H:$H,pg_transaction_cleaned!$O:$O,A3151,pg_transaction_cleaned!$F:$F,"REFUND")</f>
        <v>0</v>
      </c>
      <c r="N3151" s="23" t="str">
        <f t="shared" si="198"/>
        <v>OK</v>
      </c>
      <c r="O3151" s="24">
        <f t="shared" si="199"/>
        <v>0</v>
      </c>
    </row>
    <row r="3152" spans="1:15" ht="15" customHeight="1" x14ac:dyDescent="0.3">
      <c r="A3152" s="23" t="s">
        <v>6799</v>
      </c>
      <c r="B3152" s="38">
        <v>46267</v>
      </c>
      <c r="C3152" s="23" t="s">
        <v>6800</v>
      </c>
      <c r="D3152" s="23" t="s">
        <v>92</v>
      </c>
      <c r="E3152" s="23" t="s">
        <v>75</v>
      </c>
      <c r="F3152" s="23" t="s">
        <v>249</v>
      </c>
      <c r="G3152" s="23" t="s">
        <v>250</v>
      </c>
      <c r="H3152" s="39">
        <f t="shared" si="196"/>
        <v>299</v>
      </c>
      <c r="I3152" s="23" t="str">
        <f t="shared" si="197"/>
        <v>Hyderabad</v>
      </c>
      <c r="J3152" s="23">
        <f>COUNTIFS(pg_transaction_cleaned!$O:$O,A3152,pg_transaction_cleaned!$F:$F,"CAPTURE")</f>
        <v>0</v>
      </c>
      <c r="K3152" s="39">
        <f>SUMIFS(pg_transaction_cleaned!$H:$H,pg_transaction_cleaned!$O:$O,A3152,pg_transaction_cleaned!$F:$F,"CAPTURE")</f>
        <v>0</v>
      </c>
      <c r="L3152" s="23">
        <f>COUNTIFS(pg_transaction_cleaned!$O:$O,A3152,pg_transaction_cleaned!$F:$F,"REFUND")</f>
        <v>0</v>
      </c>
      <c r="M3152" s="39">
        <f>SUMIFS(pg_transaction_cleaned!$H:$H,pg_transaction_cleaned!$O:$O,A3152,pg_transaction_cleaned!$F:$F,"REFUND")</f>
        <v>0</v>
      </c>
      <c r="N3152" s="23" t="str">
        <f t="shared" si="198"/>
        <v>Paid, no payment</v>
      </c>
      <c r="O3152" s="24">
        <f t="shared" si="199"/>
        <v>299</v>
      </c>
    </row>
    <row r="3153" spans="1:15" ht="15" customHeight="1" x14ac:dyDescent="0.3">
      <c r="A3153" s="23" t="s">
        <v>6801</v>
      </c>
      <c r="B3153" s="38">
        <v>46278</v>
      </c>
      <c r="C3153" s="23" t="s">
        <v>6802</v>
      </c>
      <c r="D3153" s="23" t="s">
        <v>87</v>
      </c>
      <c r="E3153" s="23" t="s">
        <v>75</v>
      </c>
      <c r="F3153" s="23" t="s">
        <v>262</v>
      </c>
      <c r="G3153" s="23" t="s">
        <v>250</v>
      </c>
      <c r="H3153" s="39">
        <f t="shared" si="196"/>
        <v>499</v>
      </c>
      <c r="I3153" s="23" t="str">
        <f t="shared" si="197"/>
        <v>Mumbai</v>
      </c>
      <c r="J3153" s="23">
        <f>COUNTIFS(pg_transaction_cleaned!$O:$O,A3153,pg_transaction_cleaned!$F:$F,"CAPTURE")</f>
        <v>1</v>
      </c>
      <c r="K3153" s="39">
        <f>SUMIFS(pg_transaction_cleaned!$H:$H,pg_transaction_cleaned!$O:$O,A3153,pg_transaction_cleaned!$F:$F,"CAPTURE")</f>
        <v>499</v>
      </c>
      <c r="L3153" s="23">
        <f>COUNTIFS(pg_transaction_cleaned!$O:$O,A3153,pg_transaction_cleaned!$F:$F,"REFUND")</f>
        <v>0</v>
      </c>
      <c r="M3153" s="39">
        <f>SUMIFS(pg_transaction_cleaned!$H:$H,pg_transaction_cleaned!$O:$O,A3153,pg_transaction_cleaned!$F:$F,"REFUND")</f>
        <v>0</v>
      </c>
      <c r="N3153" s="23" t="str">
        <f t="shared" si="198"/>
        <v>OK</v>
      </c>
      <c r="O3153" s="24">
        <f t="shared" si="199"/>
        <v>0</v>
      </c>
    </row>
    <row r="3154" spans="1:15" ht="15" customHeight="1" x14ac:dyDescent="0.3">
      <c r="A3154" s="23" t="s">
        <v>6803</v>
      </c>
      <c r="B3154" s="38">
        <v>46270</v>
      </c>
      <c r="C3154" s="23" t="s">
        <v>6804</v>
      </c>
      <c r="D3154" s="23" t="s">
        <v>94</v>
      </c>
      <c r="E3154" s="23" t="s">
        <v>75</v>
      </c>
      <c r="F3154" s="23" t="s">
        <v>1067</v>
      </c>
      <c r="G3154" s="23" t="s">
        <v>250</v>
      </c>
      <c r="H3154" s="39">
        <f t="shared" si="196"/>
        <v>9347</v>
      </c>
      <c r="I3154" s="23" t="str">
        <f t="shared" si="197"/>
        <v>Chennai</v>
      </c>
      <c r="J3154" s="23">
        <f>COUNTIFS(pg_transaction_cleaned!$O:$O,A3154,pg_transaction_cleaned!$F:$F,"CAPTURE")</f>
        <v>1</v>
      </c>
      <c r="K3154" s="39">
        <f>SUMIFS(pg_transaction_cleaned!$H:$H,pg_transaction_cleaned!$O:$O,A3154,pg_transaction_cleaned!$F:$F,"CAPTURE")</f>
        <v>9347</v>
      </c>
      <c r="L3154" s="23">
        <f>COUNTIFS(pg_transaction_cleaned!$O:$O,A3154,pg_transaction_cleaned!$F:$F,"REFUND")</f>
        <v>0</v>
      </c>
      <c r="M3154" s="39">
        <f>SUMIFS(pg_transaction_cleaned!$H:$H,pg_transaction_cleaned!$O:$O,A3154,pg_transaction_cleaned!$F:$F,"REFUND")</f>
        <v>0</v>
      </c>
      <c r="N3154" s="23" t="str">
        <f t="shared" si="198"/>
        <v>OK</v>
      </c>
      <c r="O3154" s="24">
        <f t="shared" si="199"/>
        <v>0</v>
      </c>
    </row>
    <row r="3155" spans="1:15" ht="15" customHeight="1" x14ac:dyDescent="0.3">
      <c r="A3155" s="23" t="s">
        <v>6805</v>
      </c>
      <c r="B3155" s="38">
        <v>46293</v>
      </c>
      <c r="C3155" s="23" t="s">
        <v>6806</v>
      </c>
      <c r="D3155" s="23" t="s">
        <v>94</v>
      </c>
      <c r="E3155" s="23" t="s">
        <v>79</v>
      </c>
      <c r="F3155" s="23" t="s">
        <v>622</v>
      </c>
      <c r="G3155" s="23" t="s">
        <v>250</v>
      </c>
      <c r="H3155" s="39">
        <f t="shared" si="196"/>
        <v>8998</v>
      </c>
      <c r="I3155" s="23" t="str">
        <f t="shared" si="197"/>
        <v>Chennai</v>
      </c>
      <c r="J3155" s="23">
        <f>COUNTIFS(pg_transaction_cleaned!$O:$O,A3155,pg_transaction_cleaned!$F:$F,"CAPTURE")</f>
        <v>1</v>
      </c>
      <c r="K3155" s="39">
        <f>SUMIFS(pg_transaction_cleaned!$H:$H,pg_transaction_cleaned!$O:$O,A3155,pg_transaction_cleaned!$F:$F,"CAPTURE")</f>
        <v>8998</v>
      </c>
      <c r="L3155" s="23">
        <f>COUNTIFS(pg_transaction_cleaned!$O:$O,A3155,pg_transaction_cleaned!$F:$F,"REFUND")</f>
        <v>0</v>
      </c>
      <c r="M3155" s="39">
        <f>SUMIFS(pg_transaction_cleaned!$H:$H,pg_transaction_cleaned!$O:$O,A3155,pg_transaction_cleaned!$F:$F,"REFUND")</f>
        <v>0</v>
      </c>
      <c r="N3155" s="23" t="str">
        <f t="shared" si="198"/>
        <v>OK</v>
      </c>
      <c r="O3155" s="24">
        <f t="shared" si="199"/>
        <v>0</v>
      </c>
    </row>
    <row r="3156" spans="1:15" ht="15" customHeight="1" x14ac:dyDescent="0.3">
      <c r="A3156" s="23" t="s">
        <v>6807</v>
      </c>
      <c r="B3156" s="38">
        <v>46284</v>
      </c>
      <c r="C3156" s="23" t="s">
        <v>6808</v>
      </c>
      <c r="D3156" s="23" t="s">
        <v>89</v>
      </c>
      <c r="E3156" s="23" t="s">
        <v>75</v>
      </c>
      <c r="F3156" s="23" t="s">
        <v>396</v>
      </c>
      <c r="G3156" s="23" t="s">
        <v>250</v>
      </c>
      <c r="H3156" s="39">
        <f t="shared" si="196"/>
        <v>2999</v>
      </c>
      <c r="I3156" s="23" t="str">
        <f t="shared" si="197"/>
        <v>Jaipur</v>
      </c>
      <c r="J3156" s="23">
        <f>COUNTIFS(pg_transaction_cleaned!$O:$O,A3156,pg_transaction_cleaned!$F:$F,"CAPTURE")</f>
        <v>1</v>
      </c>
      <c r="K3156" s="39">
        <f>SUMIFS(pg_transaction_cleaned!$H:$H,pg_transaction_cleaned!$O:$O,A3156,pg_transaction_cleaned!$F:$F,"CAPTURE")</f>
        <v>2999</v>
      </c>
      <c r="L3156" s="23">
        <f>COUNTIFS(pg_transaction_cleaned!$O:$O,A3156,pg_transaction_cleaned!$F:$F,"REFUND")</f>
        <v>0</v>
      </c>
      <c r="M3156" s="39">
        <f>SUMIFS(pg_transaction_cleaned!$H:$H,pg_transaction_cleaned!$O:$O,A3156,pg_transaction_cleaned!$F:$F,"REFUND")</f>
        <v>0</v>
      </c>
      <c r="N3156" s="23" t="str">
        <f t="shared" si="198"/>
        <v>OK</v>
      </c>
      <c r="O3156" s="24">
        <f t="shared" si="199"/>
        <v>0</v>
      </c>
    </row>
    <row r="3157" spans="1:15" ht="15" customHeight="1" x14ac:dyDescent="0.3">
      <c r="A3157" s="23" t="s">
        <v>6809</v>
      </c>
      <c r="B3157" s="38">
        <v>46279</v>
      </c>
      <c r="C3157" s="23" t="s">
        <v>6810</v>
      </c>
      <c r="D3157" s="23" t="s">
        <v>94</v>
      </c>
      <c r="E3157" s="23" t="s">
        <v>77</v>
      </c>
      <c r="F3157" s="23" t="s">
        <v>271</v>
      </c>
      <c r="G3157" s="23" t="s">
        <v>250</v>
      </c>
      <c r="H3157" s="39">
        <f t="shared" si="196"/>
        <v>2499</v>
      </c>
      <c r="I3157" s="23" t="str">
        <f t="shared" si="197"/>
        <v>Chennai</v>
      </c>
      <c r="J3157" s="23">
        <f>COUNTIFS(pg_transaction_cleaned!$O:$O,A3157,pg_transaction_cleaned!$F:$F,"CAPTURE")</f>
        <v>1</v>
      </c>
      <c r="K3157" s="39">
        <f>SUMIFS(pg_transaction_cleaned!$H:$H,pg_transaction_cleaned!$O:$O,A3157,pg_transaction_cleaned!$F:$F,"CAPTURE")</f>
        <v>2499</v>
      </c>
      <c r="L3157" s="23">
        <f>COUNTIFS(pg_transaction_cleaned!$O:$O,A3157,pg_transaction_cleaned!$F:$F,"REFUND")</f>
        <v>0</v>
      </c>
      <c r="M3157" s="39">
        <f>SUMIFS(pg_transaction_cleaned!$H:$H,pg_transaction_cleaned!$O:$O,A3157,pg_transaction_cleaned!$F:$F,"REFUND")</f>
        <v>0</v>
      </c>
      <c r="N3157" s="23" t="str">
        <f t="shared" si="198"/>
        <v>OK</v>
      </c>
      <c r="O3157" s="24">
        <f t="shared" si="199"/>
        <v>0</v>
      </c>
    </row>
    <row r="3158" spans="1:15" ht="15" customHeight="1" x14ac:dyDescent="0.3">
      <c r="A3158" s="23" t="s">
        <v>6811</v>
      </c>
      <c r="B3158" s="38">
        <v>46283</v>
      </c>
      <c r="C3158" s="23" t="s">
        <v>6812</v>
      </c>
      <c r="D3158" s="23" t="s">
        <v>95</v>
      </c>
      <c r="E3158" s="23" t="s">
        <v>75</v>
      </c>
      <c r="F3158" s="23" t="s">
        <v>329</v>
      </c>
      <c r="G3158" s="23" t="s">
        <v>250</v>
      </c>
      <c r="H3158" s="39">
        <f t="shared" si="196"/>
        <v>599</v>
      </c>
      <c r="I3158" s="23" t="str">
        <f t="shared" si="197"/>
        <v>Bengaluru</v>
      </c>
      <c r="J3158" s="23">
        <f>COUNTIFS(pg_transaction_cleaned!$O:$O,A3158,pg_transaction_cleaned!$F:$F,"CAPTURE")</f>
        <v>1</v>
      </c>
      <c r="K3158" s="39">
        <f>SUMIFS(pg_transaction_cleaned!$H:$H,pg_transaction_cleaned!$O:$O,A3158,pg_transaction_cleaned!$F:$F,"CAPTURE")</f>
        <v>599</v>
      </c>
      <c r="L3158" s="23">
        <f>COUNTIFS(pg_transaction_cleaned!$O:$O,A3158,pg_transaction_cleaned!$F:$F,"REFUND")</f>
        <v>0</v>
      </c>
      <c r="M3158" s="39">
        <f>SUMIFS(pg_transaction_cleaned!$H:$H,pg_transaction_cleaned!$O:$O,A3158,pg_transaction_cleaned!$F:$F,"REFUND")</f>
        <v>0</v>
      </c>
      <c r="N3158" s="23" t="str">
        <f t="shared" si="198"/>
        <v>OK</v>
      </c>
      <c r="O3158" s="24">
        <f t="shared" si="199"/>
        <v>0</v>
      </c>
    </row>
    <row r="3159" spans="1:15" ht="15" customHeight="1" x14ac:dyDescent="0.3">
      <c r="A3159" s="23" t="s">
        <v>6813</v>
      </c>
      <c r="B3159" s="38">
        <v>46268</v>
      </c>
      <c r="C3159" s="23" t="s">
        <v>6814</v>
      </c>
      <c r="D3159" s="23" t="s">
        <v>95</v>
      </c>
      <c r="E3159" s="23" t="s">
        <v>79</v>
      </c>
      <c r="F3159" s="23" t="s">
        <v>329</v>
      </c>
      <c r="G3159" s="23" t="s">
        <v>318</v>
      </c>
      <c r="H3159" s="39">
        <f t="shared" si="196"/>
        <v>599</v>
      </c>
      <c r="I3159" s="23" t="str">
        <f t="shared" si="197"/>
        <v>Bengaluru</v>
      </c>
      <c r="J3159" s="23">
        <f>COUNTIFS(pg_transaction_cleaned!$O:$O,A3159,pg_transaction_cleaned!$F:$F,"CAPTURE")</f>
        <v>0</v>
      </c>
      <c r="K3159" s="39">
        <f>SUMIFS(pg_transaction_cleaned!$H:$H,pg_transaction_cleaned!$O:$O,A3159,pg_transaction_cleaned!$F:$F,"CAPTURE")</f>
        <v>0</v>
      </c>
      <c r="L3159" s="23">
        <f>COUNTIFS(pg_transaction_cleaned!$O:$O,A3159,pg_transaction_cleaned!$F:$F,"REFUND")</f>
        <v>0</v>
      </c>
      <c r="M3159" s="39">
        <f>SUMIFS(pg_transaction_cleaned!$H:$H,pg_transaction_cleaned!$O:$O,A3159,pg_transaction_cleaned!$F:$F,"REFUND")</f>
        <v>0</v>
      </c>
      <c r="N3159" s="23" t="str">
        <f t="shared" si="198"/>
        <v>OK</v>
      </c>
      <c r="O3159" s="24">
        <f t="shared" si="199"/>
        <v>0</v>
      </c>
    </row>
    <row r="3160" spans="1:15" ht="15" customHeight="1" x14ac:dyDescent="0.3">
      <c r="A3160" s="23" t="s">
        <v>6815</v>
      </c>
      <c r="B3160" s="38">
        <v>46275</v>
      </c>
      <c r="C3160" s="23" t="s">
        <v>6816</v>
      </c>
      <c r="D3160" s="23" t="s">
        <v>86</v>
      </c>
      <c r="E3160" s="23" t="s">
        <v>75</v>
      </c>
      <c r="F3160" s="23" t="s">
        <v>329</v>
      </c>
      <c r="G3160" s="23" t="s">
        <v>250</v>
      </c>
      <c r="H3160" s="39">
        <f t="shared" si="196"/>
        <v>599</v>
      </c>
      <c r="I3160" s="23" t="str">
        <f t="shared" si="197"/>
        <v>Delhi</v>
      </c>
      <c r="J3160" s="23">
        <f>COUNTIFS(pg_transaction_cleaned!$O:$O,A3160,pg_transaction_cleaned!$F:$F,"CAPTURE")</f>
        <v>1</v>
      </c>
      <c r="K3160" s="39">
        <f>SUMIFS(pg_transaction_cleaned!$H:$H,pg_transaction_cleaned!$O:$O,A3160,pg_transaction_cleaned!$F:$F,"CAPTURE")</f>
        <v>599</v>
      </c>
      <c r="L3160" s="23">
        <f>COUNTIFS(pg_transaction_cleaned!$O:$O,A3160,pg_transaction_cleaned!$F:$F,"REFUND")</f>
        <v>0</v>
      </c>
      <c r="M3160" s="39">
        <f>SUMIFS(pg_transaction_cleaned!$H:$H,pg_transaction_cleaned!$O:$O,A3160,pg_transaction_cleaned!$F:$F,"REFUND")</f>
        <v>0</v>
      </c>
      <c r="N3160" s="23" t="str">
        <f t="shared" si="198"/>
        <v>OK</v>
      </c>
      <c r="O3160" s="24">
        <f t="shared" si="199"/>
        <v>0</v>
      </c>
    </row>
    <row r="3161" spans="1:15" ht="15" customHeight="1" x14ac:dyDescent="0.3">
      <c r="A3161" s="23" t="s">
        <v>6817</v>
      </c>
      <c r="B3161" s="38">
        <v>46267</v>
      </c>
      <c r="C3161" s="23" t="s">
        <v>6818</v>
      </c>
      <c r="D3161" s="23" t="s">
        <v>93</v>
      </c>
      <c r="E3161" s="23" t="s">
        <v>75</v>
      </c>
      <c r="F3161" s="23" t="s">
        <v>329</v>
      </c>
      <c r="G3161" s="23" t="s">
        <v>250</v>
      </c>
      <c r="H3161" s="39">
        <f t="shared" si="196"/>
        <v>599</v>
      </c>
      <c r="I3161" s="23" t="str">
        <f t="shared" si="197"/>
        <v>Kolkata</v>
      </c>
      <c r="J3161" s="23">
        <f>COUNTIFS(pg_transaction_cleaned!$O:$O,A3161,pg_transaction_cleaned!$F:$F,"CAPTURE")</f>
        <v>1</v>
      </c>
      <c r="K3161" s="39">
        <f>SUMIFS(pg_transaction_cleaned!$H:$H,pg_transaction_cleaned!$O:$O,A3161,pg_transaction_cleaned!$F:$F,"CAPTURE")</f>
        <v>599</v>
      </c>
      <c r="L3161" s="23">
        <f>COUNTIFS(pg_transaction_cleaned!$O:$O,A3161,pg_transaction_cleaned!$F:$F,"REFUND")</f>
        <v>0</v>
      </c>
      <c r="M3161" s="39">
        <f>SUMIFS(pg_transaction_cleaned!$H:$H,pg_transaction_cleaned!$O:$O,A3161,pg_transaction_cleaned!$F:$F,"REFUND")</f>
        <v>0</v>
      </c>
      <c r="N3161" s="23" t="str">
        <f t="shared" si="198"/>
        <v>OK</v>
      </c>
      <c r="O3161" s="24">
        <f t="shared" si="199"/>
        <v>0</v>
      </c>
    </row>
    <row r="3162" spans="1:15" ht="15" customHeight="1" x14ac:dyDescent="0.3">
      <c r="A3162" s="23" t="s">
        <v>6819</v>
      </c>
      <c r="B3162" s="38">
        <v>46272</v>
      </c>
      <c r="C3162" s="23" t="s">
        <v>6820</v>
      </c>
      <c r="D3162" s="23" t="s">
        <v>93</v>
      </c>
      <c r="E3162" s="23" t="s">
        <v>75</v>
      </c>
      <c r="F3162" s="23" t="s">
        <v>558</v>
      </c>
      <c r="G3162" s="23" t="s">
        <v>250</v>
      </c>
      <c r="H3162" s="39">
        <f t="shared" si="196"/>
        <v>1447</v>
      </c>
      <c r="I3162" s="23" t="str">
        <f t="shared" si="197"/>
        <v>Kolkata</v>
      </c>
      <c r="J3162" s="23">
        <f>COUNTIFS(pg_transaction_cleaned!$O:$O,A3162,pg_transaction_cleaned!$F:$F,"CAPTURE")</f>
        <v>1</v>
      </c>
      <c r="K3162" s="39">
        <f>SUMIFS(pg_transaction_cleaned!$H:$H,pg_transaction_cleaned!$O:$O,A3162,pg_transaction_cleaned!$F:$F,"CAPTURE")</f>
        <v>1447</v>
      </c>
      <c r="L3162" s="23">
        <f>COUNTIFS(pg_transaction_cleaned!$O:$O,A3162,pg_transaction_cleaned!$F:$F,"REFUND")</f>
        <v>0</v>
      </c>
      <c r="M3162" s="39">
        <f>SUMIFS(pg_transaction_cleaned!$H:$H,pg_transaction_cleaned!$O:$O,A3162,pg_transaction_cleaned!$F:$F,"REFUND")</f>
        <v>0</v>
      </c>
      <c r="N3162" s="23" t="str">
        <f t="shared" si="198"/>
        <v>OK</v>
      </c>
      <c r="O3162" s="24">
        <f t="shared" si="199"/>
        <v>0</v>
      </c>
    </row>
    <row r="3163" spans="1:15" ht="15" customHeight="1" x14ac:dyDescent="0.3">
      <c r="A3163" s="23" t="s">
        <v>6821</v>
      </c>
      <c r="B3163" s="38">
        <v>46282</v>
      </c>
      <c r="C3163" s="23" t="s">
        <v>6822</v>
      </c>
      <c r="D3163" s="23" t="s">
        <v>87</v>
      </c>
      <c r="E3163" s="23" t="s">
        <v>79</v>
      </c>
      <c r="F3163" s="23" t="s">
        <v>790</v>
      </c>
      <c r="G3163" s="23" t="s">
        <v>250</v>
      </c>
      <c r="H3163" s="39">
        <f t="shared" si="196"/>
        <v>11497</v>
      </c>
      <c r="I3163" s="23" t="str">
        <f t="shared" si="197"/>
        <v>Mumbai</v>
      </c>
      <c r="J3163" s="23">
        <f>COUNTIFS(pg_transaction_cleaned!$O:$O,A3163,pg_transaction_cleaned!$F:$F,"CAPTURE")</f>
        <v>1</v>
      </c>
      <c r="K3163" s="39">
        <f>SUMIFS(pg_transaction_cleaned!$H:$H,pg_transaction_cleaned!$O:$O,A3163,pg_transaction_cleaned!$F:$F,"CAPTURE")</f>
        <v>11497</v>
      </c>
      <c r="L3163" s="23">
        <f>COUNTIFS(pg_transaction_cleaned!$O:$O,A3163,pg_transaction_cleaned!$F:$F,"REFUND")</f>
        <v>0</v>
      </c>
      <c r="M3163" s="39">
        <f>SUMIFS(pg_transaction_cleaned!$H:$H,pg_transaction_cleaned!$O:$O,A3163,pg_transaction_cleaned!$F:$F,"REFUND")</f>
        <v>0</v>
      </c>
      <c r="N3163" s="23" t="str">
        <f t="shared" si="198"/>
        <v>OK</v>
      </c>
      <c r="O3163" s="24">
        <f t="shared" si="199"/>
        <v>0</v>
      </c>
    </row>
    <row r="3164" spans="1:15" ht="15" customHeight="1" x14ac:dyDescent="0.3">
      <c r="A3164" s="23" t="s">
        <v>6823</v>
      </c>
      <c r="B3164" s="38">
        <v>46267</v>
      </c>
      <c r="C3164" s="23" t="s">
        <v>6824</v>
      </c>
      <c r="D3164" s="23" t="s">
        <v>88</v>
      </c>
      <c r="E3164" s="23" t="s">
        <v>79</v>
      </c>
      <c r="F3164" s="23" t="s">
        <v>2160</v>
      </c>
      <c r="G3164" s="23" t="s">
        <v>250</v>
      </c>
      <c r="H3164" s="39">
        <f t="shared" si="196"/>
        <v>7998</v>
      </c>
      <c r="I3164" s="23" t="str">
        <f t="shared" si="197"/>
        <v>Lucknow</v>
      </c>
      <c r="J3164" s="23">
        <f>COUNTIFS(pg_transaction_cleaned!$O:$O,A3164,pg_transaction_cleaned!$F:$F,"CAPTURE")</f>
        <v>1</v>
      </c>
      <c r="K3164" s="39">
        <f>SUMIFS(pg_transaction_cleaned!$H:$H,pg_transaction_cleaned!$O:$O,A3164,pg_transaction_cleaned!$F:$F,"CAPTURE")</f>
        <v>7998</v>
      </c>
      <c r="L3164" s="23">
        <f>COUNTIFS(pg_transaction_cleaned!$O:$O,A3164,pg_transaction_cleaned!$F:$F,"REFUND")</f>
        <v>0</v>
      </c>
      <c r="M3164" s="39">
        <f>SUMIFS(pg_transaction_cleaned!$H:$H,pg_transaction_cleaned!$O:$O,A3164,pg_transaction_cleaned!$F:$F,"REFUND")</f>
        <v>0</v>
      </c>
      <c r="N3164" s="23" t="str">
        <f t="shared" si="198"/>
        <v>OK</v>
      </c>
      <c r="O3164" s="24">
        <f t="shared" si="199"/>
        <v>0</v>
      </c>
    </row>
    <row r="3165" spans="1:15" ht="15" customHeight="1" x14ac:dyDescent="0.3">
      <c r="A3165" s="23" t="s">
        <v>6825</v>
      </c>
      <c r="B3165" s="38">
        <v>46293</v>
      </c>
      <c r="C3165" s="23" t="s">
        <v>6826</v>
      </c>
      <c r="D3165" s="23" t="s">
        <v>91</v>
      </c>
      <c r="E3165" s="23" t="s">
        <v>77</v>
      </c>
      <c r="F3165" s="23" t="s">
        <v>268</v>
      </c>
      <c r="G3165" s="23" t="s">
        <v>250</v>
      </c>
      <c r="H3165" s="39">
        <f t="shared" si="196"/>
        <v>1299</v>
      </c>
      <c r="I3165" s="23" t="str">
        <f t="shared" si="197"/>
        <v>Pune</v>
      </c>
      <c r="J3165" s="23">
        <f>COUNTIFS(pg_transaction_cleaned!$O:$O,A3165,pg_transaction_cleaned!$F:$F,"CAPTURE")</f>
        <v>1</v>
      </c>
      <c r="K3165" s="39">
        <f>SUMIFS(pg_transaction_cleaned!$H:$H,pg_transaction_cleaned!$O:$O,A3165,pg_transaction_cleaned!$F:$F,"CAPTURE")</f>
        <v>1299</v>
      </c>
      <c r="L3165" s="23">
        <f>COUNTIFS(pg_transaction_cleaned!$O:$O,A3165,pg_transaction_cleaned!$F:$F,"REFUND")</f>
        <v>0</v>
      </c>
      <c r="M3165" s="39">
        <f>SUMIFS(pg_transaction_cleaned!$H:$H,pg_transaction_cleaned!$O:$O,A3165,pg_transaction_cleaned!$F:$F,"REFUND")</f>
        <v>0</v>
      </c>
      <c r="N3165" s="23" t="str">
        <f t="shared" si="198"/>
        <v>OK</v>
      </c>
      <c r="O3165" s="24">
        <f t="shared" si="199"/>
        <v>0</v>
      </c>
    </row>
    <row r="3166" spans="1:15" ht="15" customHeight="1" x14ac:dyDescent="0.3">
      <c r="A3166" s="23" t="s">
        <v>6827</v>
      </c>
      <c r="B3166" s="38">
        <v>46286</v>
      </c>
      <c r="C3166" s="23" t="s">
        <v>6828</v>
      </c>
      <c r="D3166" s="23" t="s">
        <v>92</v>
      </c>
      <c r="E3166" s="23" t="s">
        <v>75</v>
      </c>
      <c r="F3166" s="23" t="s">
        <v>1123</v>
      </c>
      <c r="G3166" s="23" t="s">
        <v>250</v>
      </c>
      <c r="H3166" s="39">
        <f t="shared" si="196"/>
        <v>3797</v>
      </c>
      <c r="I3166" s="23" t="str">
        <f t="shared" si="197"/>
        <v>Hyderabad</v>
      </c>
      <c r="J3166" s="23">
        <f>COUNTIFS(pg_transaction_cleaned!$O:$O,A3166,pg_transaction_cleaned!$F:$F,"CAPTURE")</f>
        <v>1</v>
      </c>
      <c r="K3166" s="39">
        <f>SUMIFS(pg_transaction_cleaned!$H:$H,pg_transaction_cleaned!$O:$O,A3166,pg_transaction_cleaned!$F:$F,"CAPTURE")</f>
        <v>3797</v>
      </c>
      <c r="L3166" s="23">
        <f>COUNTIFS(pg_transaction_cleaned!$O:$O,A3166,pg_transaction_cleaned!$F:$F,"REFUND")</f>
        <v>0</v>
      </c>
      <c r="M3166" s="39">
        <f>SUMIFS(pg_transaction_cleaned!$H:$H,pg_transaction_cleaned!$O:$O,A3166,pg_transaction_cleaned!$F:$F,"REFUND")</f>
        <v>0</v>
      </c>
      <c r="N3166" s="23" t="str">
        <f t="shared" si="198"/>
        <v>OK</v>
      </c>
      <c r="O3166" s="24">
        <f t="shared" si="199"/>
        <v>0</v>
      </c>
    </row>
    <row r="3167" spans="1:15" ht="15" customHeight="1" x14ac:dyDescent="0.3">
      <c r="A3167" s="23" t="s">
        <v>6829</v>
      </c>
      <c r="B3167" s="38">
        <v>46272</v>
      </c>
      <c r="C3167" s="23" t="s">
        <v>6830</v>
      </c>
      <c r="D3167" s="23" t="s">
        <v>87</v>
      </c>
      <c r="E3167" s="23" t="s">
        <v>75</v>
      </c>
      <c r="F3167" s="23" t="s">
        <v>763</v>
      </c>
      <c r="G3167" s="23" t="s">
        <v>250</v>
      </c>
      <c r="H3167" s="39">
        <f t="shared" si="196"/>
        <v>299</v>
      </c>
      <c r="I3167" s="23" t="str">
        <f t="shared" si="197"/>
        <v>Mumbai</v>
      </c>
      <c r="J3167" s="23">
        <f>COUNTIFS(pg_transaction_cleaned!$O:$O,A3167,pg_transaction_cleaned!$F:$F,"CAPTURE")</f>
        <v>1</v>
      </c>
      <c r="K3167" s="39">
        <f>SUMIFS(pg_transaction_cleaned!$H:$H,pg_transaction_cleaned!$O:$O,A3167,pg_transaction_cleaned!$F:$F,"CAPTURE")</f>
        <v>299</v>
      </c>
      <c r="L3167" s="23">
        <f>COUNTIFS(pg_transaction_cleaned!$O:$O,A3167,pg_transaction_cleaned!$F:$F,"REFUND")</f>
        <v>0</v>
      </c>
      <c r="M3167" s="39">
        <f>SUMIFS(pg_transaction_cleaned!$H:$H,pg_transaction_cleaned!$O:$O,A3167,pg_transaction_cleaned!$F:$F,"REFUND")</f>
        <v>0</v>
      </c>
      <c r="N3167" s="23" t="str">
        <f t="shared" si="198"/>
        <v>OK</v>
      </c>
      <c r="O3167" s="24">
        <f t="shared" si="199"/>
        <v>0</v>
      </c>
    </row>
    <row r="3168" spans="1:15" ht="15" customHeight="1" x14ac:dyDescent="0.3">
      <c r="A3168" s="23" t="s">
        <v>6831</v>
      </c>
      <c r="B3168" s="38">
        <v>46271</v>
      </c>
      <c r="C3168" s="23" t="s">
        <v>6832</v>
      </c>
      <c r="D3168" s="23" t="s">
        <v>93</v>
      </c>
      <c r="E3168" s="23" t="s">
        <v>77</v>
      </c>
      <c r="F3168" s="23" t="s">
        <v>310</v>
      </c>
      <c r="G3168" s="23" t="s">
        <v>250</v>
      </c>
      <c r="H3168" s="39">
        <f t="shared" si="196"/>
        <v>7999</v>
      </c>
      <c r="I3168" s="23" t="str">
        <f t="shared" si="197"/>
        <v>Kolkata</v>
      </c>
      <c r="J3168" s="23">
        <f>COUNTIFS(pg_transaction_cleaned!$O:$O,A3168,pg_transaction_cleaned!$F:$F,"CAPTURE")</f>
        <v>1</v>
      </c>
      <c r="K3168" s="39">
        <f>SUMIFS(pg_transaction_cleaned!$H:$H,pg_transaction_cleaned!$O:$O,A3168,pg_transaction_cleaned!$F:$F,"CAPTURE")</f>
        <v>7999</v>
      </c>
      <c r="L3168" s="23">
        <f>COUNTIFS(pg_transaction_cleaned!$O:$O,A3168,pg_transaction_cleaned!$F:$F,"REFUND")</f>
        <v>0</v>
      </c>
      <c r="M3168" s="39">
        <f>SUMIFS(pg_transaction_cleaned!$H:$H,pg_transaction_cleaned!$O:$O,A3168,pg_transaction_cleaned!$F:$F,"REFUND")</f>
        <v>0</v>
      </c>
      <c r="N3168" s="23" t="str">
        <f t="shared" si="198"/>
        <v>OK</v>
      </c>
      <c r="O3168" s="24">
        <f t="shared" si="199"/>
        <v>0</v>
      </c>
    </row>
    <row r="3169" spans="1:15" ht="15" customHeight="1" x14ac:dyDescent="0.3">
      <c r="A3169" s="23" t="s">
        <v>6833</v>
      </c>
      <c r="B3169" s="38">
        <v>46276</v>
      </c>
      <c r="C3169" s="23" t="s">
        <v>6834</v>
      </c>
      <c r="D3169" s="23" t="s">
        <v>95</v>
      </c>
      <c r="E3169" s="23" t="s">
        <v>79</v>
      </c>
      <c r="F3169" s="23" t="s">
        <v>315</v>
      </c>
      <c r="G3169" s="23" t="s">
        <v>250</v>
      </c>
      <c r="H3169" s="39">
        <f t="shared" si="196"/>
        <v>1499</v>
      </c>
      <c r="I3169" s="23" t="str">
        <f t="shared" si="197"/>
        <v>Bengaluru</v>
      </c>
      <c r="J3169" s="23">
        <f>COUNTIFS(pg_transaction_cleaned!$O:$O,A3169,pg_transaction_cleaned!$F:$F,"CAPTURE")</f>
        <v>1</v>
      </c>
      <c r="K3169" s="39">
        <f>SUMIFS(pg_transaction_cleaned!$H:$H,pg_transaction_cleaned!$O:$O,A3169,pg_transaction_cleaned!$F:$F,"CAPTURE")</f>
        <v>1499</v>
      </c>
      <c r="L3169" s="23">
        <f>COUNTIFS(pg_transaction_cleaned!$O:$O,A3169,pg_transaction_cleaned!$F:$F,"REFUND")</f>
        <v>0</v>
      </c>
      <c r="M3169" s="39">
        <f>SUMIFS(pg_transaction_cleaned!$H:$H,pg_transaction_cleaned!$O:$O,A3169,pg_transaction_cleaned!$F:$F,"REFUND")</f>
        <v>0</v>
      </c>
      <c r="N3169" s="23" t="str">
        <f t="shared" si="198"/>
        <v>OK</v>
      </c>
      <c r="O3169" s="24">
        <f t="shared" si="199"/>
        <v>0</v>
      </c>
    </row>
    <row r="3170" spans="1:15" ht="15" customHeight="1" x14ac:dyDescent="0.3">
      <c r="A3170" s="23" t="s">
        <v>6835</v>
      </c>
      <c r="B3170" s="38">
        <v>46272</v>
      </c>
      <c r="C3170" s="23" t="s">
        <v>6836</v>
      </c>
      <c r="D3170" s="23" t="s">
        <v>87</v>
      </c>
      <c r="E3170" s="23" t="s">
        <v>79</v>
      </c>
      <c r="F3170" s="23" t="s">
        <v>294</v>
      </c>
      <c r="G3170" s="23" t="s">
        <v>301</v>
      </c>
      <c r="H3170" s="39">
        <f t="shared" si="196"/>
        <v>1799</v>
      </c>
      <c r="I3170" s="23" t="str">
        <f t="shared" si="197"/>
        <v>Mumbai</v>
      </c>
      <c r="J3170" s="23">
        <f>COUNTIFS(pg_transaction_cleaned!$O:$O,A3170,pg_transaction_cleaned!$F:$F,"CAPTURE")</f>
        <v>1</v>
      </c>
      <c r="K3170" s="39">
        <f>SUMIFS(pg_transaction_cleaned!$H:$H,pg_transaction_cleaned!$O:$O,A3170,pg_transaction_cleaned!$F:$F,"CAPTURE")</f>
        <v>1799</v>
      </c>
      <c r="L3170" s="23">
        <f>COUNTIFS(pg_transaction_cleaned!$O:$O,A3170,pg_transaction_cleaned!$F:$F,"REFUND")</f>
        <v>1</v>
      </c>
      <c r="M3170" s="39">
        <f>SUMIFS(pg_transaction_cleaned!$H:$H,pg_transaction_cleaned!$O:$O,A3170,pg_transaction_cleaned!$F:$F,"REFUND")</f>
        <v>1799</v>
      </c>
      <c r="N3170" s="23" t="str">
        <f t="shared" si="198"/>
        <v>OK</v>
      </c>
      <c r="O3170" s="24">
        <f t="shared" si="199"/>
        <v>0</v>
      </c>
    </row>
    <row r="3171" spans="1:15" ht="15" customHeight="1" x14ac:dyDescent="0.3">
      <c r="A3171" s="23" t="s">
        <v>6837</v>
      </c>
      <c r="B3171" s="38">
        <v>46270</v>
      </c>
      <c r="C3171" s="23" t="s">
        <v>6838</v>
      </c>
      <c r="D3171" s="23" t="s">
        <v>95</v>
      </c>
      <c r="E3171" s="23" t="s">
        <v>79</v>
      </c>
      <c r="F3171" s="23" t="s">
        <v>262</v>
      </c>
      <c r="G3171" s="23" t="s">
        <v>250</v>
      </c>
      <c r="H3171" s="39">
        <f t="shared" si="196"/>
        <v>499</v>
      </c>
      <c r="I3171" s="23" t="str">
        <f t="shared" si="197"/>
        <v>Bengaluru</v>
      </c>
      <c r="J3171" s="23">
        <f>COUNTIFS(pg_transaction_cleaned!$O:$O,A3171,pg_transaction_cleaned!$F:$F,"CAPTURE")</f>
        <v>1</v>
      </c>
      <c r="K3171" s="39">
        <f>SUMIFS(pg_transaction_cleaned!$H:$H,pg_transaction_cleaned!$O:$O,A3171,pg_transaction_cleaned!$F:$F,"CAPTURE")</f>
        <v>499</v>
      </c>
      <c r="L3171" s="23">
        <f>COUNTIFS(pg_transaction_cleaned!$O:$O,A3171,pg_transaction_cleaned!$F:$F,"REFUND")</f>
        <v>0</v>
      </c>
      <c r="M3171" s="39">
        <f>SUMIFS(pg_transaction_cleaned!$H:$H,pg_transaction_cleaned!$O:$O,A3171,pg_transaction_cleaned!$F:$F,"REFUND")</f>
        <v>0</v>
      </c>
      <c r="N3171" s="23" t="str">
        <f t="shared" si="198"/>
        <v>OK</v>
      </c>
      <c r="O3171" s="24">
        <f t="shared" si="199"/>
        <v>0</v>
      </c>
    </row>
    <row r="3172" spans="1:15" ht="15" customHeight="1" x14ac:dyDescent="0.3">
      <c r="A3172" s="23" t="s">
        <v>6839</v>
      </c>
      <c r="B3172" s="38">
        <v>46272</v>
      </c>
      <c r="C3172" s="23" t="s">
        <v>6840</v>
      </c>
      <c r="D3172" s="23" t="s">
        <v>90</v>
      </c>
      <c r="E3172" s="23" t="s">
        <v>75</v>
      </c>
      <c r="F3172" s="23" t="s">
        <v>329</v>
      </c>
      <c r="G3172" s="23" t="s">
        <v>250</v>
      </c>
      <c r="H3172" s="39">
        <f t="shared" si="196"/>
        <v>599</v>
      </c>
      <c r="I3172" s="23" t="str">
        <f t="shared" si="197"/>
        <v>Ahmedabad</v>
      </c>
      <c r="J3172" s="23">
        <f>COUNTIFS(pg_transaction_cleaned!$O:$O,A3172,pg_transaction_cleaned!$F:$F,"CAPTURE")</f>
        <v>1</v>
      </c>
      <c r="K3172" s="39">
        <f>SUMIFS(pg_transaction_cleaned!$H:$H,pg_transaction_cleaned!$O:$O,A3172,pg_transaction_cleaned!$F:$F,"CAPTURE")</f>
        <v>599</v>
      </c>
      <c r="L3172" s="23">
        <f>COUNTIFS(pg_transaction_cleaned!$O:$O,A3172,pg_transaction_cleaned!$F:$F,"REFUND")</f>
        <v>0</v>
      </c>
      <c r="M3172" s="39">
        <f>SUMIFS(pg_transaction_cleaned!$H:$H,pg_transaction_cleaned!$O:$O,A3172,pg_transaction_cleaned!$F:$F,"REFUND")</f>
        <v>0</v>
      </c>
      <c r="N3172" s="23" t="str">
        <f t="shared" si="198"/>
        <v>OK</v>
      </c>
      <c r="O3172" s="24">
        <f t="shared" si="199"/>
        <v>0</v>
      </c>
    </row>
    <row r="3173" spans="1:15" ht="15" customHeight="1" x14ac:dyDescent="0.3">
      <c r="A3173" s="23" t="s">
        <v>6841</v>
      </c>
      <c r="B3173" s="38">
        <v>46280</v>
      </c>
      <c r="C3173" s="23" t="s">
        <v>6842</v>
      </c>
      <c r="D3173" s="23" t="s">
        <v>90</v>
      </c>
      <c r="E3173" s="23" t="s">
        <v>79</v>
      </c>
      <c r="F3173" s="23" t="s">
        <v>291</v>
      </c>
      <c r="G3173" s="23" t="s">
        <v>250</v>
      </c>
      <c r="H3173" s="39">
        <f t="shared" si="196"/>
        <v>3499</v>
      </c>
      <c r="I3173" s="23" t="str">
        <f t="shared" si="197"/>
        <v>Ahmedabad</v>
      </c>
      <c r="J3173" s="23">
        <f>COUNTIFS(pg_transaction_cleaned!$O:$O,A3173,pg_transaction_cleaned!$F:$F,"CAPTURE")</f>
        <v>1</v>
      </c>
      <c r="K3173" s="39">
        <f>SUMIFS(pg_transaction_cleaned!$H:$H,pg_transaction_cleaned!$O:$O,A3173,pg_transaction_cleaned!$F:$F,"CAPTURE")</f>
        <v>3499</v>
      </c>
      <c r="L3173" s="23">
        <f>COUNTIFS(pg_transaction_cleaned!$O:$O,A3173,pg_transaction_cleaned!$F:$F,"REFUND")</f>
        <v>0</v>
      </c>
      <c r="M3173" s="39">
        <f>SUMIFS(pg_transaction_cleaned!$H:$H,pg_transaction_cleaned!$O:$O,A3173,pg_transaction_cleaned!$F:$F,"REFUND")</f>
        <v>0</v>
      </c>
      <c r="N3173" s="23" t="str">
        <f t="shared" si="198"/>
        <v>OK</v>
      </c>
      <c r="O3173" s="24">
        <f t="shared" si="199"/>
        <v>0</v>
      </c>
    </row>
    <row r="3174" spans="1:15" ht="15" customHeight="1" x14ac:dyDescent="0.3">
      <c r="A3174" s="23" t="s">
        <v>6843</v>
      </c>
      <c r="B3174" s="38">
        <v>46277</v>
      </c>
      <c r="C3174" s="23" t="s">
        <v>6844</v>
      </c>
      <c r="D3174" s="23" t="s">
        <v>88</v>
      </c>
      <c r="E3174" s="23" t="s">
        <v>75</v>
      </c>
      <c r="F3174" s="23" t="s">
        <v>315</v>
      </c>
      <c r="G3174" s="23" t="s">
        <v>250</v>
      </c>
      <c r="H3174" s="39">
        <f t="shared" si="196"/>
        <v>1499</v>
      </c>
      <c r="I3174" s="23" t="str">
        <f t="shared" si="197"/>
        <v>Lucknow</v>
      </c>
      <c r="J3174" s="23">
        <f>COUNTIFS(pg_transaction_cleaned!$O:$O,A3174,pg_transaction_cleaned!$F:$F,"CAPTURE")</f>
        <v>1</v>
      </c>
      <c r="K3174" s="39">
        <f>SUMIFS(pg_transaction_cleaned!$H:$H,pg_transaction_cleaned!$O:$O,A3174,pg_transaction_cleaned!$F:$F,"CAPTURE")</f>
        <v>1499</v>
      </c>
      <c r="L3174" s="23">
        <f>COUNTIFS(pg_transaction_cleaned!$O:$O,A3174,pg_transaction_cleaned!$F:$F,"REFUND")</f>
        <v>0</v>
      </c>
      <c r="M3174" s="39">
        <f>SUMIFS(pg_transaction_cleaned!$H:$H,pg_transaction_cleaned!$O:$O,A3174,pg_transaction_cleaned!$F:$F,"REFUND")</f>
        <v>0</v>
      </c>
      <c r="N3174" s="23" t="str">
        <f t="shared" si="198"/>
        <v>OK</v>
      </c>
      <c r="O3174" s="24">
        <f t="shared" si="199"/>
        <v>0</v>
      </c>
    </row>
    <row r="3175" spans="1:15" ht="15" customHeight="1" x14ac:dyDescent="0.3">
      <c r="A3175" s="23" t="s">
        <v>6845</v>
      </c>
      <c r="B3175" s="38">
        <v>46285</v>
      </c>
      <c r="C3175" s="23" t="s">
        <v>6846</v>
      </c>
      <c r="D3175" s="23" t="s">
        <v>86</v>
      </c>
      <c r="E3175" s="23" t="s">
        <v>75</v>
      </c>
      <c r="F3175" s="23" t="s">
        <v>297</v>
      </c>
      <c r="G3175" s="23" t="s">
        <v>250</v>
      </c>
      <c r="H3175" s="39">
        <f t="shared" si="196"/>
        <v>4999</v>
      </c>
      <c r="I3175" s="23" t="str">
        <f t="shared" si="197"/>
        <v>Delhi</v>
      </c>
      <c r="J3175" s="23">
        <f>COUNTIFS(pg_transaction_cleaned!$O:$O,A3175,pg_transaction_cleaned!$F:$F,"CAPTURE")</f>
        <v>1</v>
      </c>
      <c r="K3175" s="39">
        <f>SUMIFS(pg_transaction_cleaned!$H:$H,pg_transaction_cleaned!$O:$O,A3175,pg_transaction_cleaned!$F:$F,"CAPTURE")</f>
        <v>4999</v>
      </c>
      <c r="L3175" s="23">
        <f>COUNTIFS(pg_transaction_cleaned!$O:$O,A3175,pg_transaction_cleaned!$F:$F,"REFUND")</f>
        <v>0</v>
      </c>
      <c r="M3175" s="39">
        <f>SUMIFS(pg_transaction_cleaned!$H:$H,pg_transaction_cleaned!$O:$O,A3175,pg_transaction_cleaned!$F:$F,"REFUND")</f>
        <v>0</v>
      </c>
      <c r="N3175" s="23" t="str">
        <f t="shared" si="198"/>
        <v>OK</v>
      </c>
      <c r="O3175" s="24">
        <f t="shared" si="199"/>
        <v>0</v>
      </c>
    </row>
    <row r="3176" spans="1:15" ht="15" customHeight="1" x14ac:dyDescent="0.3">
      <c r="A3176" s="23" t="s">
        <v>6847</v>
      </c>
      <c r="B3176" s="38">
        <v>46274</v>
      </c>
      <c r="C3176" s="23" t="s">
        <v>6848</v>
      </c>
      <c r="D3176" s="23" t="s">
        <v>88</v>
      </c>
      <c r="E3176" s="23" t="s">
        <v>77</v>
      </c>
      <c r="F3176" s="23" t="s">
        <v>769</v>
      </c>
      <c r="G3176" s="23" t="s">
        <v>250</v>
      </c>
      <c r="H3176" s="39">
        <f t="shared" si="196"/>
        <v>1897</v>
      </c>
      <c r="I3176" s="23" t="str">
        <f t="shared" si="197"/>
        <v>Lucknow</v>
      </c>
      <c r="J3176" s="23">
        <f>COUNTIFS(pg_transaction_cleaned!$O:$O,A3176,pg_transaction_cleaned!$F:$F,"CAPTURE")</f>
        <v>1</v>
      </c>
      <c r="K3176" s="39">
        <f>SUMIFS(pg_transaction_cleaned!$H:$H,pg_transaction_cleaned!$O:$O,A3176,pg_transaction_cleaned!$F:$F,"CAPTURE")</f>
        <v>1897</v>
      </c>
      <c r="L3176" s="23">
        <f>COUNTIFS(pg_transaction_cleaned!$O:$O,A3176,pg_transaction_cleaned!$F:$F,"REFUND")</f>
        <v>0</v>
      </c>
      <c r="M3176" s="39">
        <f>SUMIFS(pg_transaction_cleaned!$H:$H,pg_transaction_cleaned!$O:$O,A3176,pg_transaction_cleaned!$F:$F,"REFUND")</f>
        <v>0</v>
      </c>
      <c r="N3176" s="23" t="str">
        <f t="shared" si="198"/>
        <v>OK</v>
      </c>
      <c r="O3176" s="24">
        <f t="shared" si="199"/>
        <v>0</v>
      </c>
    </row>
    <row r="3177" spans="1:15" ht="15" customHeight="1" x14ac:dyDescent="0.3">
      <c r="A3177" s="23" t="s">
        <v>6849</v>
      </c>
      <c r="B3177" s="38">
        <v>46283</v>
      </c>
      <c r="C3177" s="23" t="s">
        <v>6850</v>
      </c>
      <c r="D3177" s="23" t="s">
        <v>92</v>
      </c>
      <c r="E3177" s="23" t="s">
        <v>75</v>
      </c>
      <c r="F3177" s="23" t="s">
        <v>310</v>
      </c>
      <c r="G3177" s="23" t="s">
        <v>250</v>
      </c>
      <c r="H3177" s="39">
        <f t="shared" si="196"/>
        <v>7999</v>
      </c>
      <c r="I3177" s="23" t="str">
        <f t="shared" si="197"/>
        <v>Hyderabad</v>
      </c>
      <c r="J3177" s="23">
        <f>COUNTIFS(pg_transaction_cleaned!$O:$O,A3177,pg_transaction_cleaned!$F:$F,"CAPTURE")</f>
        <v>1</v>
      </c>
      <c r="K3177" s="39">
        <f>SUMIFS(pg_transaction_cleaned!$H:$H,pg_transaction_cleaned!$O:$O,A3177,pg_transaction_cleaned!$F:$F,"CAPTURE")</f>
        <v>7999</v>
      </c>
      <c r="L3177" s="23">
        <f>COUNTIFS(pg_transaction_cleaned!$O:$O,A3177,pg_transaction_cleaned!$F:$F,"REFUND")</f>
        <v>0</v>
      </c>
      <c r="M3177" s="39">
        <f>SUMIFS(pg_transaction_cleaned!$H:$H,pg_transaction_cleaned!$O:$O,A3177,pg_transaction_cleaned!$F:$F,"REFUND")</f>
        <v>0</v>
      </c>
      <c r="N3177" s="23" t="str">
        <f t="shared" si="198"/>
        <v>OK</v>
      </c>
      <c r="O3177" s="24">
        <f t="shared" si="199"/>
        <v>0</v>
      </c>
    </row>
    <row r="3178" spans="1:15" ht="15" customHeight="1" x14ac:dyDescent="0.3">
      <c r="A3178" s="23" t="s">
        <v>6851</v>
      </c>
      <c r="B3178" s="38">
        <v>46288</v>
      </c>
      <c r="C3178" s="23" t="s">
        <v>6852</v>
      </c>
      <c r="D3178" s="23" t="s">
        <v>88</v>
      </c>
      <c r="E3178" s="23" t="s">
        <v>75</v>
      </c>
      <c r="F3178" s="23" t="s">
        <v>249</v>
      </c>
      <c r="G3178" s="23" t="s">
        <v>250</v>
      </c>
      <c r="H3178" s="39">
        <f t="shared" si="196"/>
        <v>299</v>
      </c>
      <c r="I3178" s="23" t="str">
        <f t="shared" si="197"/>
        <v>Lucknow</v>
      </c>
      <c r="J3178" s="23">
        <f>COUNTIFS(pg_transaction_cleaned!$O:$O,A3178,pg_transaction_cleaned!$F:$F,"CAPTURE")</f>
        <v>1</v>
      </c>
      <c r="K3178" s="39">
        <f>SUMIFS(pg_transaction_cleaned!$H:$H,pg_transaction_cleaned!$O:$O,A3178,pg_transaction_cleaned!$F:$F,"CAPTURE")</f>
        <v>299</v>
      </c>
      <c r="L3178" s="23">
        <f>COUNTIFS(pg_transaction_cleaned!$O:$O,A3178,pg_transaction_cleaned!$F:$F,"REFUND")</f>
        <v>0</v>
      </c>
      <c r="M3178" s="39">
        <f>SUMIFS(pg_transaction_cleaned!$H:$H,pg_transaction_cleaned!$O:$O,A3178,pg_transaction_cleaned!$F:$F,"REFUND")</f>
        <v>0</v>
      </c>
      <c r="N3178" s="23" t="str">
        <f t="shared" si="198"/>
        <v>OK</v>
      </c>
      <c r="O3178" s="24">
        <f t="shared" si="199"/>
        <v>0</v>
      </c>
    </row>
    <row r="3179" spans="1:15" ht="15" customHeight="1" x14ac:dyDescent="0.3">
      <c r="A3179" s="23" t="s">
        <v>6853</v>
      </c>
      <c r="B3179" s="38">
        <v>46291</v>
      </c>
      <c r="C3179" s="23" t="s">
        <v>6854</v>
      </c>
      <c r="D3179" s="23" t="s">
        <v>86</v>
      </c>
      <c r="E3179" s="23" t="s">
        <v>79</v>
      </c>
      <c r="F3179" s="23" t="s">
        <v>360</v>
      </c>
      <c r="G3179" s="23" t="s">
        <v>250</v>
      </c>
      <c r="H3179" s="39">
        <f t="shared" si="196"/>
        <v>10297</v>
      </c>
      <c r="I3179" s="23" t="str">
        <f t="shared" si="197"/>
        <v>Delhi</v>
      </c>
      <c r="J3179" s="23">
        <f>COUNTIFS(pg_transaction_cleaned!$O:$O,A3179,pg_transaction_cleaned!$F:$F,"CAPTURE")</f>
        <v>1</v>
      </c>
      <c r="K3179" s="39">
        <f>SUMIFS(pg_transaction_cleaned!$H:$H,pg_transaction_cleaned!$O:$O,A3179,pg_transaction_cleaned!$F:$F,"CAPTURE")</f>
        <v>10297</v>
      </c>
      <c r="L3179" s="23">
        <f>COUNTIFS(pg_transaction_cleaned!$O:$O,A3179,pg_transaction_cleaned!$F:$F,"REFUND")</f>
        <v>0</v>
      </c>
      <c r="M3179" s="39">
        <f>SUMIFS(pg_transaction_cleaned!$H:$H,pg_transaction_cleaned!$O:$O,A3179,pg_transaction_cleaned!$F:$F,"REFUND")</f>
        <v>0</v>
      </c>
      <c r="N3179" s="23" t="str">
        <f t="shared" si="198"/>
        <v>OK</v>
      </c>
      <c r="O3179" s="24">
        <f t="shared" si="199"/>
        <v>0</v>
      </c>
    </row>
    <row r="3180" spans="1:15" ht="15" customHeight="1" x14ac:dyDescent="0.3">
      <c r="A3180" s="23" t="s">
        <v>6855</v>
      </c>
      <c r="B3180" s="38">
        <v>46275</v>
      </c>
      <c r="C3180" s="23" t="s">
        <v>6856</v>
      </c>
      <c r="D3180" s="23" t="s">
        <v>92</v>
      </c>
      <c r="E3180" s="23" t="s">
        <v>81</v>
      </c>
      <c r="F3180" s="23" t="s">
        <v>265</v>
      </c>
      <c r="G3180" s="23" t="s">
        <v>250</v>
      </c>
      <c r="H3180" s="39">
        <f t="shared" si="196"/>
        <v>999</v>
      </c>
      <c r="I3180" s="23" t="str">
        <f t="shared" si="197"/>
        <v>Hyderabad</v>
      </c>
      <c r="J3180" s="23">
        <f>COUNTIFS(pg_transaction_cleaned!$O:$O,A3180,pg_transaction_cleaned!$F:$F,"CAPTURE")</f>
        <v>1</v>
      </c>
      <c r="K3180" s="39">
        <f>SUMIFS(pg_transaction_cleaned!$H:$H,pg_transaction_cleaned!$O:$O,A3180,pg_transaction_cleaned!$F:$F,"CAPTURE")</f>
        <v>999</v>
      </c>
      <c r="L3180" s="23">
        <f>COUNTIFS(pg_transaction_cleaned!$O:$O,A3180,pg_transaction_cleaned!$F:$F,"REFUND")</f>
        <v>0</v>
      </c>
      <c r="M3180" s="39">
        <f>SUMIFS(pg_transaction_cleaned!$H:$H,pg_transaction_cleaned!$O:$O,A3180,pg_transaction_cleaned!$F:$F,"REFUND")</f>
        <v>0</v>
      </c>
      <c r="N3180" s="23" t="str">
        <f t="shared" si="198"/>
        <v>OK</v>
      </c>
      <c r="O3180" s="24">
        <f t="shared" si="199"/>
        <v>0</v>
      </c>
    </row>
    <row r="3181" spans="1:15" ht="15" customHeight="1" x14ac:dyDescent="0.3">
      <c r="A3181" s="23" t="s">
        <v>6857</v>
      </c>
      <c r="B3181" s="38">
        <v>46287</v>
      </c>
      <c r="C3181" s="23" t="s">
        <v>6858</v>
      </c>
      <c r="D3181" s="23" t="s">
        <v>90</v>
      </c>
      <c r="E3181" s="23" t="s">
        <v>75</v>
      </c>
      <c r="F3181" s="23" t="s">
        <v>5250</v>
      </c>
      <c r="G3181" s="23" t="s">
        <v>250</v>
      </c>
      <c r="H3181" s="39">
        <f t="shared" si="196"/>
        <v>4998</v>
      </c>
      <c r="I3181" s="23" t="str">
        <f t="shared" si="197"/>
        <v>Ahmedabad</v>
      </c>
      <c r="J3181" s="23">
        <f>COUNTIFS(pg_transaction_cleaned!$O:$O,A3181,pg_transaction_cleaned!$F:$F,"CAPTURE")</f>
        <v>1</v>
      </c>
      <c r="K3181" s="39">
        <f>SUMIFS(pg_transaction_cleaned!$H:$H,pg_transaction_cleaned!$O:$O,A3181,pg_transaction_cleaned!$F:$F,"CAPTURE")</f>
        <v>4998</v>
      </c>
      <c r="L3181" s="23">
        <f>COUNTIFS(pg_transaction_cleaned!$O:$O,A3181,pg_transaction_cleaned!$F:$F,"REFUND")</f>
        <v>0</v>
      </c>
      <c r="M3181" s="39">
        <f>SUMIFS(pg_transaction_cleaned!$H:$H,pg_transaction_cleaned!$O:$O,A3181,pg_transaction_cleaned!$F:$F,"REFUND")</f>
        <v>0</v>
      </c>
      <c r="N3181" s="23" t="str">
        <f t="shared" si="198"/>
        <v>OK</v>
      </c>
      <c r="O3181" s="24">
        <f t="shared" si="199"/>
        <v>0</v>
      </c>
    </row>
    <row r="3182" spans="1:15" ht="15" customHeight="1" x14ac:dyDescent="0.3">
      <c r="A3182" s="23" t="s">
        <v>6859</v>
      </c>
      <c r="B3182" s="38">
        <v>46276</v>
      </c>
      <c r="C3182" s="23" t="s">
        <v>6860</v>
      </c>
      <c r="D3182" s="23" t="s">
        <v>86</v>
      </c>
      <c r="E3182" s="23" t="s">
        <v>79</v>
      </c>
      <c r="F3182" s="23" t="s">
        <v>268</v>
      </c>
      <c r="G3182" s="23" t="s">
        <v>250</v>
      </c>
      <c r="H3182" s="39">
        <f t="shared" si="196"/>
        <v>1299</v>
      </c>
      <c r="I3182" s="23" t="str">
        <f t="shared" si="197"/>
        <v>Delhi</v>
      </c>
      <c r="J3182" s="23">
        <f>COUNTIFS(pg_transaction_cleaned!$O:$O,A3182,pg_transaction_cleaned!$F:$F,"CAPTURE")</f>
        <v>1</v>
      </c>
      <c r="K3182" s="39">
        <f>SUMIFS(pg_transaction_cleaned!$H:$H,pg_transaction_cleaned!$O:$O,A3182,pg_transaction_cleaned!$F:$F,"CAPTURE")</f>
        <v>1299</v>
      </c>
      <c r="L3182" s="23">
        <f>COUNTIFS(pg_transaction_cleaned!$O:$O,A3182,pg_transaction_cleaned!$F:$F,"REFUND")</f>
        <v>0</v>
      </c>
      <c r="M3182" s="39">
        <f>SUMIFS(pg_transaction_cleaned!$H:$H,pg_transaction_cleaned!$O:$O,A3182,pg_transaction_cleaned!$F:$F,"REFUND")</f>
        <v>0</v>
      </c>
      <c r="N3182" s="23" t="str">
        <f t="shared" si="198"/>
        <v>OK</v>
      </c>
      <c r="O3182" s="24">
        <f t="shared" si="199"/>
        <v>0</v>
      </c>
    </row>
    <row r="3183" spans="1:15" ht="15" customHeight="1" x14ac:dyDescent="0.3">
      <c r="A3183" s="23" t="s">
        <v>6861</v>
      </c>
      <c r="B3183" s="38">
        <v>46295</v>
      </c>
      <c r="C3183" s="23" t="s">
        <v>6862</v>
      </c>
      <c r="D3183" s="23" t="s">
        <v>89</v>
      </c>
      <c r="E3183" s="23" t="s">
        <v>79</v>
      </c>
      <c r="F3183" s="23" t="s">
        <v>249</v>
      </c>
      <c r="G3183" s="23" t="s">
        <v>250</v>
      </c>
      <c r="H3183" s="39">
        <f t="shared" si="196"/>
        <v>299</v>
      </c>
      <c r="I3183" s="23" t="str">
        <f t="shared" si="197"/>
        <v>Jaipur</v>
      </c>
      <c r="J3183" s="23">
        <f>COUNTIFS(pg_transaction_cleaned!$O:$O,A3183,pg_transaction_cleaned!$F:$F,"CAPTURE")</f>
        <v>1</v>
      </c>
      <c r="K3183" s="39">
        <f>SUMIFS(pg_transaction_cleaned!$H:$H,pg_transaction_cleaned!$O:$O,A3183,pg_transaction_cleaned!$F:$F,"CAPTURE")</f>
        <v>299</v>
      </c>
      <c r="L3183" s="23">
        <f>COUNTIFS(pg_transaction_cleaned!$O:$O,A3183,pg_transaction_cleaned!$F:$F,"REFUND")</f>
        <v>0</v>
      </c>
      <c r="M3183" s="39">
        <f>SUMIFS(pg_transaction_cleaned!$H:$H,pg_transaction_cleaned!$O:$O,A3183,pg_transaction_cleaned!$F:$F,"REFUND")</f>
        <v>0</v>
      </c>
      <c r="N3183" s="23" t="str">
        <f t="shared" si="198"/>
        <v>OK</v>
      </c>
      <c r="O3183" s="24">
        <f t="shared" si="199"/>
        <v>0</v>
      </c>
    </row>
    <row r="3184" spans="1:15" ht="15" customHeight="1" x14ac:dyDescent="0.3">
      <c r="A3184" s="23" t="s">
        <v>6863</v>
      </c>
      <c r="B3184" s="38">
        <v>46293</v>
      </c>
      <c r="C3184" s="23" t="s">
        <v>6864</v>
      </c>
      <c r="D3184" s="23" t="s">
        <v>89</v>
      </c>
      <c r="E3184" s="23" t="s">
        <v>79</v>
      </c>
      <c r="F3184" s="23" t="s">
        <v>438</v>
      </c>
      <c r="G3184" s="23" t="s">
        <v>250</v>
      </c>
      <c r="H3184" s="39">
        <f t="shared" si="196"/>
        <v>5498</v>
      </c>
      <c r="I3184" s="23" t="str">
        <f t="shared" si="197"/>
        <v>Jaipur</v>
      </c>
      <c r="J3184" s="23">
        <f>COUNTIFS(pg_transaction_cleaned!$O:$O,A3184,pg_transaction_cleaned!$F:$F,"CAPTURE")</f>
        <v>1</v>
      </c>
      <c r="K3184" s="39">
        <f>SUMIFS(pg_transaction_cleaned!$H:$H,pg_transaction_cleaned!$O:$O,A3184,pg_transaction_cleaned!$F:$F,"CAPTURE")</f>
        <v>5498</v>
      </c>
      <c r="L3184" s="23">
        <f>COUNTIFS(pg_transaction_cleaned!$O:$O,A3184,pg_transaction_cleaned!$F:$F,"REFUND")</f>
        <v>0</v>
      </c>
      <c r="M3184" s="39">
        <f>SUMIFS(pg_transaction_cleaned!$H:$H,pg_transaction_cleaned!$O:$O,A3184,pg_transaction_cleaned!$F:$F,"REFUND")</f>
        <v>0</v>
      </c>
      <c r="N3184" s="23" t="str">
        <f t="shared" si="198"/>
        <v>OK</v>
      </c>
      <c r="O3184" s="24">
        <f t="shared" si="199"/>
        <v>0</v>
      </c>
    </row>
    <row r="3185" spans="1:15" ht="15" customHeight="1" x14ac:dyDescent="0.3">
      <c r="A3185" s="23" t="s">
        <v>6865</v>
      </c>
      <c r="B3185" s="38">
        <v>46293</v>
      </c>
      <c r="C3185" s="23" t="s">
        <v>6866</v>
      </c>
      <c r="D3185" s="23" t="s">
        <v>94</v>
      </c>
      <c r="E3185" s="23" t="s">
        <v>79</v>
      </c>
      <c r="F3185" s="23" t="s">
        <v>262</v>
      </c>
      <c r="G3185" s="23" t="s">
        <v>250</v>
      </c>
      <c r="H3185" s="39">
        <f t="shared" si="196"/>
        <v>499</v>
      </c>
      <c r="I3185" s="23" t="str">
        <f t="shared" si="197"/>
        <v>Chennai</v>
      </c>
      <c r="J3185" s="23">
        <f>COUNTIFS(pg_transaction_cleaned!$O:$O,A3185,pg_transaction_cleaned!$F:$F,"CAPTURE")</f>
        <v>1</v>
      </c>
      <c r="K3185" s="39">
        <f>SUMIFS(pg_transaction_cleaned!$H:$H,pg_transaction_cleaned!$O:$O,A3185,pg_transaction_cleaned!$F:$F,"CAPTURE")</f>
        <v>499</v>
      </c>
      <c r="L3185" s="23">
        <f>COUNTIFS(pg_transaction_cleaned!$O:$O,A3185,pg_transaction_cleaned!$F:$F,"REFUND")</f>
        <v>0</v>
      </c>
      <c r="M3185" s="39">
        <f>SUMIFS(pg_transaction_cleaned!$H:$H,pg_transaction_cleaned!$O:$O,A3185,pg_transaction_cleaned!$F:$F,"REFUND")</f>
        <v>0</v>
      </c>
      <c r="N3185" s="23" t="str">
        <f t="shared" si="198"/>
        <v>OK</v>
      </c>
      <c r="O3185" s="24">
        <f t="shared" si="199"/>
        <v>0</v>
      </c>
    </row>
    <row r="3186" spans="1:15" ht="15" customHeight="1" x14ac:dyDescent="0.3">
      <c r="A3186" s="23" t="s">
        <v>6867</v>
      </c>
      <c r="B3186" s="38">
        <v>46278</v>
      </c>
      <c r="C3186" s="23" t="s">
        <v>6868</v>
      </c>
      <c r="D3186" s="23" t="s">
        <v>86</v>
      </c>
      <c r="E3186" s="23" t="s">
        <v>75</v>
      </c>
      <c r="F3186" s="23" t="s">
        <v>6869</v>
      </c>
      <c r="G3186" s="23" t="s">
        <v>250</v>
      </c>
      <c r="H3186" s="39">
        <f t="shared" si="196"/>
        <v>6798</v>
      </c>
      <c r="I3186" s="23" t="str">
        <f t="shared" si="197"/>
        <v>Delhi</v>
      </c>
      <c r="J3186" s="23">
        <f>COUNTIFS(pg_transaction_cleaned!$O:$O,A3186,pg_transaction_cleaned!$F:$F,"CAPTURE")</f>
        <v>1</v>
      </c>
      <c r="K3186" s="39">
        <f>SUMIFS(pg_transaction_cleaned!$H:$H,pg_transaction_cleaned!$O:$O,A3186,pg_transaction_cleaned!$F:$F,"CAPTURE")</f>
        <v>6798</v>
      </c>
      <c r="L3186" s="23">
        <f>COUNTIFS(pg_transaction_cleaned!$O:$O,A3186,pg_transaction_cleaned!$F:$F,"REFUND")</f>
        <v>0</v>
      </c>
      <c r="M3186" s="39">
        <f>SUMIFS(pg_transaction_cleaned!$H:$H,pg_transaction_cleaned!$O:$O,A3186,pg_transaction_cleaned!$F:$F,"REFUND")</f>
        <v>0</v>
      </c>
      <c r="N3186" s="23" t="str">
        <f t="shared" si="198"/>
        <v>OK</v>
      </c>
      <c r="O3186" s="24">
        <f t="shared" si="199"/>
        <v>0</v>
      </c>
    </row>
    <row r="3187" spans="1:15" ht="15" customHeight="1" x14ac:dyDescent="0.3">
      <c r="A3187" s="23" t="s">
        <v>6870</v>
      </c>
      <c r="B3187" s="38">
        <v>46273</v>
      </c>
      <c r="C3187" s="23" t="s">
        <v>6871</v>
      </c>
      <c r="D3187" s="23" t="s">
        <v>86</v>
      </c>
      <c r="E3187" s="23" t="s">
        <v>79</v>
      </c>
      <c r="F3187" s="23" t="s">
        <v>567</v>
      </c>
      <c r="G3187" s="23" t="s">
        <v>250</v>
      </c>
      <c r="H3187" s="39">
        <f t="shared" si="196"/>
        <v>3598</v>
      </c>
      <c r="I3187" s="23" t="str">
        <f t="shared" si="197"/>
        <v>Delhi</v>
      </c>
      <c r="J3187" s="23">
        <f>COUNTIFS(pg_transaction_cleaned!$O:$O,A3187,pg_transaction_cleaned!$F:$F,"CAPTURE")</f>
        <v>1</v>
      </c>
      <c r="K3187" s="39">
        <f>SUMIFS(pg_transaction_cleaned!$H:$H,pg_transaction_cleaned!$O:$O,A3187,pg_transaction_cleaned!$F:$F,"CAPTURE")</f>
        <v>3598</v>
      </c>
      <c r="L3187" s="23">
        <f>COUNTIFS(pg_transaction_cleaned!$O:$O,A3187,pg_transaction_cleaned!$F:$F,"REFUND")</f>
        <v>0</v>
      </c>
      <c r="M3187" s="39">
        <f>SUMIFS(pg_transaction_cleaned!$H:$H,pg_transaction_cleaned!$O:$O,A3187,pg_transaction_cleaned!$F:$F,"REFUND")</f>
        <v>0</v>
      </c>
      <c r="N3187" s="23" t="str">
        <f t="shared" si="198"/>
        <v>OK</v>
      </c>
      <c r="O3187" s="24">
        <f t="shared" si="199"/>
        <v>0</v>
      </c>
    </row>
    <row r="3188" spans="1:15" ht="15" customHeight="1" x14ac:dyDescent="0.3">
      <c r="A3188" s="23" t="s">
        <v>6872</v>
      </c>
      <c r="B3188" s="38">
        <v>46269</v>
      </c>
      <c r="C3188" s="23" t="s">
        <v>6873</v>
      </c>
      <c r="D3188" s="23" t="s">
        <v>90</v>
      </c>
      <c r="E3188" s="23" t="s">
        <v>75</v>
      </c>
      <c r="F3188" s="23" t="s">
        <v>274</v>
      </c>
      <c r="G3188" s="23" t="s">
        <v>250</v>
      </c>
      <c r="H3188" s="39">
        <f t="shared" si="196"/>
        <v>349</v>
      </c>
      <c r="I3188" s="23" t="str">
        <f t="shared" si="197"/>
        <v>Ahmedabad</v>
      </c>
      <c r="J3188" s="23">
        <f>COUNTIFS(pg_transaction_cleaned!$O:$O,A3188,pg_transaction_cleaned!$F:$F,"CAPTURE")</f>
        <v>1</v>
      </c>
      <c r="K3188" s="39">
        <f>SUMIFS(pg_transaction_cleaned!$H:$H,pg_transaction_cleaned!$O:$O,A3188,pg_transaction_cleaned!$F:$F,"CAPTURE")</f>
        <v>349</v>
      </c>
      <c r="L3188" s="23">
        <f>COUNTIFS(pg_transaction_cleaned!$O:$O,A3188,pg_transaction_cleaned!$F:$F,"REFUND")</f>
        <v>0</v>
      </c>
      <c r="M3188" s="39">
        <f>SUMIFS(pg_transaction_cleaned!$H:$H,pg_transaction_cleaned!$O:$O,A3188,pg_transaction_cleaned!$F:$F,"REFUND")</f>
        <v>0</v>
      </c>
      <c r="N3188" s="23" t="str">
        <f t="shared" si="198"/>
        <v>OK</v>
      </c>
      <c r="O3188" s="24">
        <f t="shared" si="199"/>
        <v>0</v>
      </c>
    </row>
    <row r="3189" spans="1:15" ht="15" customHeight="1" x14ac:dyDescent="0.3">
      <c r="A3189" s="23" t="s">
        <v>6874</v>
      </c>
      <c r="B3189" s="38">
        <v>46282</v>
      </c>
      <c r="C3189" s="23" t="s">
        <v>6875</v>
      </c>
      <c r="D3189" s="23" t="s">
        <v>93</v>
      </c>
      <c r="E3189" s="23" t="s">
        <v>77</v>
      </c>
      <c r="F3189" s="23" t="s">
        <v>329</v>
      </c>
      <c r="G3189" s="23" t="s">
        <v>250</v>
      </c>
      <c r="H3189" s="39">
        <f t="shared" si="196"/>
        <v>599</v>
      </c>
      <c r="I3189" s="23" t="str">
        <f t="shared" si="197"/>
        <v>Kolkata</v>
      </c>
      <c r="J3189" s="23">
        <f>COUNTIFS(pg_transaction_cleaned!$O:$O,A3189,pg_transaction_cleaned!$F:$F,"CAPTURE")</f>
        <v>1</v>
      </c>
      <c r="K3189" s="39">
        <f>SUMIFS(pg_transaction_cleaned!$H:$H,pg_transaction_cleaned!$O:$O,A3189,pg_transaction_cleaned!$F:$F,"CAPTURE")</f>
        <v>599</v>
      </c>
      <c r="L3189" s="23">
        <f>COUNTIFS(pg_transaction_cleaned!$O:$O,A3189,pg_transaction_cleaned!$F:$F,"REFUND")</f>
        <v>0</v>
      </c>
      <c r="M3189" s="39">
        <f>SUMIFS(pg_transaction_cleaned!$H:$H,pg_transaction_cleaned!$O:$O,A3189,pg_transaction_cleaned!$F:$F,"REFUND")</f>
        <v>0</v>
      </c>
      <c r="N3189" s="23" t="str">
        <f t="shared" si="198"/>
        <v>OK</v>
      </c>
      <c r="O3189" s="24">
        <f t="shared" si="199"/>
        <v>0</v>
      </c>
    </row>
    <row r="3190" spans="1:15" ht="15" customHeight="1" x14ac:dyDescent="0.3">
      <c r="A3190" s="23" t="s">
        <v>6876</v>
      </c>
      <c r="B3190" s="38">
        <v>46291</v>
      </c>
      <c r="C3190" s="23" t="s">
        <v>6877</v>
      </c>
      <c r="D3190" s="23" t="s">
        <v>90</v>
      </c>
      <c r="E3190" s="23" t="s">
        <v>77</v>
      </c>
      <c r="F3190" s="23" t="s">
        <v>280</v>
      </c>
      <c r="G3190" s="23" t="s">
        <v>365</v>
      </c>
      <c r="H3190" s="39">
        <f t="shared" si="196"/>
        <v>5797</v>
      </c>
      <c r="I3190" s="23" t="str">
        <f t="shared" si="197"/>
        <v>Ahmedabad</v>
      </c>
      <c r="J3190" s="23">
        <f>COUNTIFS(pg_transaction_cleaned!$O:$O,A3190,pg_transaction_cleaned!$F:$F,"CAPTURE")</f>
        <v>0</v>
      </c>
      <c r="K3190" s="39">
        <f>SUMIFS(pg_transaction_cleaned!$H:$H,pg_transaction_cleaned!$O:$O,A3190,pg_transaction_cleaned!$F:$F,"CAPTURE")</f>
        <v>0</v>
      </c>
      <c r="L3190" s="23">
        <f>COUNTIFS(pg_transaction_cleaned!$O:$O,A3190,pg_transaction_cleaned!$F:$F,"REFUND")</f>
        <v>0</v>
      </c>
      <c r="M3190" s="39">
        <f>SUMIFS(pg_transaction_cleaned!$H:$H,pg_transaction_cleaned!$O:$O,A3190,pg_transaction_cleaned!$F:$F,"REFUND")</f>
        <v>0</v>
      </c>
      <c r="N3190" s="23" t="str">
        <f t="shared" si="198"/>
        <v>OK</v>
      </c>
      <c r="O3190" s="24">
        <f t="shared" si="199"/>
        <v>0</v>
      </c>
    </row>
    <row r="3191" spans="1:15" ht="15" customHeight="1" x14ac:dyDescent="0.3">
      <c r="A3191" s="23" t="s">
        <v>6878</v>
      </c>
      <c r="B3191" s="38">
        <v>46293</v>
      </c>
      <c r="C3191" s="23" t="s">
        <v>6879</v>
      </c>
      <c r="D3191" s="23" t="s">
        <v>95</v>
      </c>
      <c r="E3191" s="23" t="s">
        <v>75</v>
      </c>
      <c r="F3191" s="23" t="s">
        <v>310</v>
      </c>
      <c r="G3191" s="23" t="s">
        <v>250</v>
      </c>
      <c r="H3191" s="39">
        <f t="shared" si="196"/>
        <v>7999</v>
      </c>
      <c r="I3191" s="23" t="str">
        <f t="shared" si="197"/>
        <v>Bengaluru</v>
      </c>
      <c r="J3191" s="23">
        <f>COUNTIFS(pg_transaction_cleaned!$O:$O,A3191,pg_transaction_cleaned!$F:$F,"CAPTURE")</f>
        <v>1</v>
      </c>
      <c r="K3191" s="39">
        <f>SUMIFS(pg_transaction_cleaned!$H:$H,pg_transaction_cleaned!$O:$O,A3191,pg_transaction_cleaned!$F:$F,"CAPTURE")</f>
        <v>7999</v>
      </c>
      <c r="L3191" s="23">
        <f>COUNTIFS(pg_transaction_cleaned!$O:$O,A3191,pg_transaction_cleaned!$F:$F,"REFUND")</f>
        <v>0</v>
      </c>
      <c r="M3191" s="39">
        <f>SUMIFS(pg_transaction_cleaned!$H:$H,pg_transaction_cleaned!$O:$O,A3191,pg_transaction_cleaned!$F:$F,"REFUND")</f>
        <v>0</v>
      </c>
      <c r="N3191" s="23" t="str">
        <f t="shared" si="198"/>
        <v>OK</v>
      </c>
      <c r="O3191" s="24">
        <f t="shared" si="199"/>
        <v>0</v>
      </c>
    </row>
    <row r="3192" spans="1:15" ht="15" customHeight="1" x14ac:dyDescent="0.3">
      <c r="A3192" s="23" t="s">
        <v>6880</v>
      </c>
      <c r="B3192" s="38">
        <v>46285</v>
      </c>
      <c r="C3192" s="23" t="s">
        <v>6881</v>
      </c>
      <c r="D3192" s="23" t="s">
        <v>92</v>
      </c>
      <c r="E3192" s="23" t="s">
        <v>77</v>
      </c>
      <c r="F3192" s="23" t="s">
        <v>265</v>
      </c>
      <c r="G3192" s="23" t="s">
        <v>250</v>
      </c>
      <c r="H3192" s="39">
        <f t="shared" si="196"/>
        <v>999</v>
      </c>
      <c r="I3192" s="23" t="str">
        <f t="shared" si="197"/>
        <v>Hyderabad</v>
      </c>
      <c r="J3192" s="23">
        <f>COUNTIFS(pg_transaction_cleaned!$O:$O,A3192,pg_transaction_cleaned!$F:$F,"CAPTURE")</f>
        <v>1</v>
      </c>
      <c r="K3192" s="39">
        <f>SUMIFS(pg_transaction_cleaned!$H:$H,pg_transaction_cleaned!$O:$O,A3192,pg_transaction_cleaned!$F:$F,"CAPTURE")</f>
        <v>999</v>
      </c>
      <c r="L3192" s="23">
        <f>COUNTIFS(pg_transaction_cleaned!$O:$O,A3192,pg_transaction_cleaned!$F:$F,"REFUND")</f>
        <v>0</v>
      </c>
      <c r="M3192" s="39">
        <f>SUMIFS(pg_transaction_cleaned!$H:$H,pg_transaction_cleaned!$O:$O,A3192,pg_transaction_cleaned!$F:$F,"REFUND")</f>
        <v>0</v>
      </c>
      <c r="N3192" s="23" t="str">
        <f t="shared" si="198"/>
        <v>OK</v>
      </c>
      <c r="O3192" s="24">
        <f t="shared" si="199"/>
        <v>0</v>
      </c>
    </row>
    <row r="3193" spans="1:15" ht="15" customHeight="1" x14ac:dyDescent="0.3">
      <c r="A3193" s="23" t="s">
        <v>6882</v>
      </c>
      <c r="B3193" s="38">
        <v>46288</v>
      </c>
      <c r="C3193" s="23" t="s">
        <v>6883</v>
      </c>
      <c r="D3193" s="23" t="s">
        <v>90</v>
      </c>
      <c r="E3193" s="23" t="s">
        <v>79</v>
      </c>
      <c r="F3193" s="23" t="s">
        <v>262</v>
      </c>
      <c r="G3193" s="23" t="s">
        <v>250</v>
      </c>
      <c r="H3193" s="39">
        <f t="shared" si="196"/>
        <v>499</v>
      </c>
      <c r="I3193" s="23" t="str">
        <f t="shared" si="197"/>
        <v>Ahmedabad</v>
      </c>
      <c r="J3193" s="23">
        <f>COUNTIFS(pg_transaction_cleaned!$O:$O,A3193,pg_transaction_cleaned!$F:$F,"CAPTURE")</f>
        <v>1</v>
      </c>
      <c r="K3193" s="39">
        <f>SUMIFS(pg_transaction_cleaned!$H:$H,pg_transaction_cleaned!$O:$O,A3193,pg_transaction_cleaned!$F:$F,"CAPTURE")</f>
        <v>499</v>
      </c>
      <c r="L3193" s="23">
        <f>COUNTIFS(pg_transaction_cleaned!$O:$O,A3193,pg_transaction_cleaned!$F:$F,"REFUND")</f>
        <v>0</v>
      </c>
      <c r="M3193" s="39">
        <f>SUMIFS(pg_transaction_cleaned!$H:$H,pg_transaction_cleaned!$O:$O,A3193,pg_transaction_cleaned!$F:$F,"REFUND")</f>
        <v>0</v>
      </c>
      <c r="N3193" s="23" t="str">
        <f t="shared" si="198"/>
        <v>OK</v>
      </c>
      <c r="O3193" s="24">
        <f t="shared" si="199"/>
        <v>0</v>
      </c>
    </row>
    <row r="3194" spans="1:15" ht="15" customHeight="1" x14ac:dyDescent="0.3">
      <c r="A3194" s="23" t="s">
        <v>6884</v>
      </c>
      <c r="B3194" s="38">
        <v>46269</v>
      </c>
      <c r="C3194" s="23" t="s">
        <v>6885</v>
      </c>
      <c r="D3194" s="23" t="s">
        <v>92</v>
      </c>
      <c r="E3194" s="23" t="s">
        <v>75</v>
      </c>
      <c r="F3194" s="23" t="s">
        <v>262</v>
      </c>
      <c r="G3194" s="23" t="s">
        <v>250</v>
      </c>
      <c r="H3194" s="39">
        <f t="shared" si="196"/>
        <v>499</v>
      </c>
      <c r="I3194" s="23" t="str">
        <f t="shared" si="197"/>
        <v>Hyderabad</v>
      </c>
      <c r="J3194" s="23">
        <f>COUNTIFS(pg_transaction_cleaned!$O:$O,A3194,pg_transaction_cleaned!$F:$F,"CAPTURE")</f>
        <v>1</v>
      </c>
      <c r="K3194" s="39">
        <f>SUMIFS(pg_transaction_cleaned!$H:$H,pg_transaction_cleaned!$O:$O,A3194,pg_transaction_cleaned!$F:$F,"CAPTURE")</f>
        <v>499</v>
      </c>
      <c r="L3194" s="23">
        <f>COUNTIFS(pg_transaction_cleaned!$O:$O,A3194,pg_transaction_cleaned!$F:$F,"REFUND")</f>
        <v>0</v>
      </c>
      <c r="M3194" s="39">
        <f>SUMIFS(pg_transaction_cleaned!$H:$H,pg_transaction_cleaned!$O:$O,A3194,pg_transaction_cleaned!$F:$F,"REFUND")</f>
        <v>0</v>
      </c>
      <c r="N3194" s="23" t="str">
        <f t="shared" si="198"/>
        <v>OK</v>
      </c>
      <c r="O3194" s="24">
        <f t="shared" si="199"/>
        <v>0</v>
      </c>
    </row>
    <row r="3195" spans="1:15" ht="15" customHeight="1" x14ac:dyDescent="0.3">
      <c r="A3195" s="23" t="s">
        <v>6886</v>
      </c>
      <c r="B3195" s="38">
        <v>46273</v>
      </c>
      <c r="C3195" s="23" t="s">
        <v>6887</v>
      </c>
      <c r="D3195" s="23" t="s">
        <v>92</v>
      </c>
      <c r="E3195" s="23" t="s">
        <v>75</v>
      </c>
      <c r="F3195" s="23" t="s">
        <v>294</v>
      </c>
      <c r="G3195" s="23" t="s">
        <v>250</v>
      </c>
      <c r="H3195" s="39">
        <f t="shared" si="196"/>
        <v>1799</v>
      </c>
      <c r="I3195" s="23" t="str">
        <f t="shared" si="197"/>
        <v>Hyderabad</v>
      </c>
      <c r="J3195" s="23">
        <f>COUNTIFS(pg_transaction_cleaned!$O:$O,A3195,pg_transaction_cleaned!$F:$F,"CAPTURE")</f>
        <v>1</v>
      </c>
      <c r="K3195" s="39">
        <f>SUMIFS(pg_transaction_cleaned!$H:$H,pg_transaction_cleaned!$O:$O,A3195,pg_transaction_cleaned!$F:$F,"CAPTURE")</f>
        <v>1799</v>
      </c>
      <c r="L3195" s="23">
        <f>COUNTIFS(pg_transaction_cleaned!$O:$O,A3195,pg_transaction_cleaned!$F:$F,"REFUND")</f>
        <v>0</v>
      </c>
      <c r="M3195" s="39">
        <f>SUMIFS(pg_transaction_cleaned!$H:$H,pg_transaction_cleaned!$O:$O,A3195,pg_transaction_cleaned!$F:$F,"REFUND")</f>
        <v>0</v>
      </c>
      <c r="N3195" s="23" t="str">
        <f t="shared" si="198"/>
        <v>OK</v>
      </c>
      <c r="O3195" s="24">
        <f t="shared" si="199"/>
        <v>0</v>
      </c>
    </row>
    <row r="3196" spans="1:15" ht="15" customHeight="1" x14ac:dyDescent="0.3">
      <c r="A3196" s="23" t="s">
        <v>6888</v>
      </c>
      <c r="B3196" s="38">
        <v>46270</v>
      </c>
      <c r="C3196" s="23" t="s">
        <v>6889</v>
      </c>
      <c r="D3196" s="23" t="s">
        <v>92</v>
      </c>
      <c r="E3196" s="23" t="s">
        <v>75</v>
      </c>
      <c r="F3196" s="23" t="s">
        <v>274</v>
      </c>
      <c r="G3196" s="23" t="s">
        <v>250</v>
      </c>
      <c r="H3196" s="39">
        <f t="shared" si="196"/>
        <v>349</v>
      </c>
      <c r="I3196" s="23" t="str">
        <f t="shared" si="197"/>
        <v>Hyderabad</v>
      </c>
      <c r="J3196" s="23">
        <f>COUNTIFS(pg_transaction_cleaned!$O:$O,A3196,pg_transaction_cleaned!$F:$F,"CAPTURE")</f>
        <v>1</v>
      </c>
      <c r="K3196" s="39">
        <f>SUMIFS(pg_transaction_cleaned!$H:$H,pg_transaction_cleaned!$O:$O,A3196,pg_transaction_cleaned!$F:$F,"CAPTURE")</f>
        <v>349</v>
      </c>
      <c r="L3196" s="23">
        <f>COUNTIFS(pg_transaction_cleaned!$O:$O,A3196,pg_transaction_cleaned!$F:$F,"REFUND")</f>
        <v>0</v>
      </c>
      <c r="M3196" s="39">
        <f>SUMIFS(pg_transaction_cleaned!$H:$H,pg_transaction_cleaned!$O:$O,A3196,pg_transaction_cleaned!$F:$F,"REFUND")</f>
        <v>0</v>
      </c>
      <c r="N3196" s="23" t="str">
        <f t="shared" si="198"/>
        <v>OK</v>
      </c>
      <c r="O3196" s="24">
        <f t="shared" si="199"/>
        <v>0</v>
      </c>
    </row>
    <row r="3197" spans="1:15" ht="15" customHeight="1" x14ac:dyDescent="0.3">
      <c r="A3197" s="23" t="s">
        <v>6890</v>
      </c>
      <c r="B3197" s="38">
        <v>46284</v>
      </c>
      <c r="C3197" s="23" t="s">
        <v>6891</v>
      </c>
      <c r="D3197" s="23" t="s">
        <v>89</v>
      </c>
      <c r="E3197" s="23" t="s">
        <v>79</v>
      </c>
      <c r="F3197" s="23" t="s">
        <v>5510</v>
      </c>
      <c r="G3197" s="23" t="s">
        <v>365</v>
      </c>
      <c r="H3197" s="39">
        <f t="shared" si="196"/>
        <v>9897</v>
      </c>
      <c r="I3197" s="23" t="str">
        <f t="shared" si="197"/>
        <v>Jaipur</v>
      </c>
      <c r="J3197" s="23">
        <f>COUNTIFS(pg_transaction_cleaned!$O:$O,A3197,pg_transaction_cleaned!$F:$F,"CAPTURE")</f>
        <v>0</v>
      </c>
      <c r="K3197" s="39">
        <f>SUMIFS(pg_transaction_cleaned!$H:$H,pg_transaction_cleaned!$O:$O,A3197,pg_transaction_cleaned!$F:$F,"CAPTURE")</f>
        <v>0</v>
      </c>
      <c r="L3197" s="23">
        <f>COUNTIFS(pg_transaction_cleaned!$O:$O,A3197,pg_transaction_cleaned!$F:$F,"REFUND")</f>
        <v>0</v>
      </c>
      <c r="M3197" s="39">
        <f>SUMIFS(pg_transaction_cleaned!$H:$H,pg_transaction_cleaned!$O:$O,A3197,pg_transaction_cleaned!$F:$F,"REFUND")</f>
        <v>0</v>
      </c>
      <c r="N3197" s="23" t="str">
        <f t="shared" si="198"/>
        <v>OK</v>
      </c>
      <c r="O3197" s="24">
        <f t="shared" si="199"/>
        <v>0</v>
      </c>
    </row>
    <row r="3198" spans="1:15" ht="15" customHeight="1" x14ac:dyDescent="0.3">
      <c r="A3198" s="23" t="s">
        <v>6892</v>
      </c>
      <c r="B3198" s="38">
        <v>46292</v>
      </c>
      <c r="C3198" s="23" t="s">
        <v>6893</v>
      </c>
      <c r="D3198" s="23" t="s">
        <v>87</v>
      </c>
      <c r="E3198" s="23" t="s">
        <v>75</v>
      </c>
      <c r="F3198" s="23" t="s">
        <v>329</v>
      </c>
      <c r="G3198" s="23" t="s">
        <v>301</v>
      </c>
      <c r="H3198" s="39">
        <f t="shared" si="196"/>
        <v>599</v>
      </c>
      <c r="I3198" s="23" t="str">
        <f t="shared" si="197"/>
        <v>Mumbai</v>
      </c>
      <c r="J3198" s="23">
        <f>COUNTIFS(pg_transaction_cleaned!$O:$O,A3198,pg_transaction_cleaned!$F:$F,"CAPTURE")</f>
        <v>1</v>
      </c>
      <c r="K3198" s="39">
        <f>SUMIFS(pg_transaction_cleaned!$H:$H,pg_transaction_cleaned!$O:$O,A3198,pg_transaction_cleaned!$F:$F,"CAPTURE")</f>
        <v>599</v>
      </c>
      <c r="L3198" s="23">
        <f>COUNTIFS(pg_transaction_cleaned!$O:$O,A3198,pg_transaction_cleaned!$F:$F,"REFUND")</f>
        <v>1</v>
      </c>
      <c r="M3198" s="39">
        <f>SUMIFS(pg_transaction_cleaned!$H:$H,pg_transaction_cleaned!$O:$O,A3198,pg_transaction_cleaned!$F:$F,"REFUND")</f>
        <v>599</v>
      </c>
      <c r="N3198" s="23" t="str">
        <f t="shared" si="198"/>
        <v>OK</v>
      </c>
      <c r="O3198" s="24">
        <f t="shared" si="199"/>
        <v>0</v>
      </c>
    </row>
    <row r="3199" spans="1:15" ht="15" customHeight="1" x14ac:dyDescent="0.3">
      <c r="A3199" s="23" t="s">
        <v>6894</v>
      </c>
      <c r="B3199" s="38">
        <v>46275</v>
      </c>
      <c r="C3199" s="23" t="s">
        <v>6895</v>
      </c>
      <c r="D3199" s="23" t="s">
        <v>87</v>
      </c>
      <c r="E3199" s="23" t="s">
        <v>79</v>
      </c>
      <c r="F3199" s="23" t="s">
        <v>737</v>
      </c>
      <c r="G3199" s="23" t="s">
        <v>250</v>
      </c>
      <c r="H3199" s="39">
        <f t="shared" si="196"/>
        <v>9798</v>
      </c>
      <c r="I3199" s="23" t="str">
        <f t="shared" si="197"/>
        <v>Mumbai</v>
      </c>
      <c r="J3199" s="23">
        <f>COUNTIFS(pg_transaction_cleaned!$O:$O,A3199,pg_transaction_cleaned!$F:$F,"CAPTURE")</f>
        <v>1</v>
      </c>
      <c r="K3199" s="39">
        <f>SUMIFS(pg_transaction_cleaned!$H:$H,pg_transaction_cleaned!$O:$O,A3199,pg_transaction_cleaned!$F:$F,"CAPTURE")</f>
        <v>9798</v>
      </c>
      <c r="L3199" s="23">
        <f>COUNTIFS(pg_transaction_cleaned!$O:$O,A3199,pg_transaction_cleaned!$F:$F,"REFUND")</f>
        <v>0</v>
      </c>
      <c r="M3199" s="39">
        <f>SUMIFS(pg_transaction_cleaned!$H:$H,pg_transaction_cleaned!$O:$O,A3199,pg_transaction_cleaned!$F:$F,"REFUND")</f>
        <v>0</v>
      </c>
      <c r="N3199" s="23" t="str">
        <f t="shared" si="198"/>
        <v>OK</v>
      </c>
      <c r="O3199" s="24">
        <f t="shared" si="199"/>
        <v>0</v>
      </c>
    </row>
    <row r="3200" spans="1:15" ht="15" customHeight="1" x14ac:dyDescent="0.3">
      <c r="A3200" s="23" t="s">
        <v>6896</v>
      </c>
      <c r="B3200" s="38">
        <v>46274</v>
      </c>
      <c r="C3200" s="23" t="s">
        <v>6897</v>
      </c>
      <c r="D3200" s="23"/>
      <c r="E3200" s="23" t="s">
        <v>81</v>
      </c>
      <c r="F3200" s="23" t="s">
        <v>717</v>
      </c>
      <c r="G3200" s="23" t="s">
        <v>250</v>
      </c>
      <c r="H3200" s="39">
        <f t="shared" si="196"/>
        <v>5298</v>
      </c>
      <c r="I3200" s="23" t="str">
        <f t="shared" si="197"/>
        <v>Unknown</v>
      </c>
      <c r="J3200" s="23">
        <f>COUNTIFS(pg_transaction_cleaned!$O:$O,A3200,pg_transaction_cleaned!$F:$F,"CAPTURE")</f>
        <v>1</v>
      </c>
      <c r="K3200" s="39">
        <f>SUMIFS(pg_transaction_cleaned!$H:$H,pg_transaction_cleaned!$O:$O,A3200,pg_transaction_cleaned!$F:$F,"CAPTURE")</f>
        <v>5298</v>
      </c>
      <c r="L3200" s="23">
        <f>COUNTIFS(pg_transaction_cleaned!$O:$O,A3200,pg_transaction_cleaned!$F:$F,"REFUND")</f>
        <v>0</v>
      </c>
      <c r="M3200" s="39">
        <f>SUMIFS(pg_transaction_cleaned!$H:$H,pg_transaction_cleaned!$O:$O,A3200,pg_transaction_cleaned!$F:$F,"REFUND")</f>
        <v>0</v>
      </c>
      <c r="N3200" s="23" t="str">
        <f t="shared" si="198"/>
        <v>OK</v>
      </c>
      <c r="O3200" s="24">
        <f t="shared" si="199"/>
        <v>0</v>
      </c>
    </row>
    <row r="3201" spans="1:15" ht="15" customHeight="1" x14ac:dyDescent="0.3">
      <c r="A3201" s="23" t="s">
        <v>6898</v>
      </c>
      <c r="B3201" s="38">
        <v>46290</v>
      </c>
      <c r="C3201" s="23" t="s">
        <v>6899</v>
      </c>
      <c r="D3201" s="23" t="s">
        <v>95</v>
      </c>
      <c r="E3201" s="23" t="s">
        <v>79</v>
      </c>
      <c r="F3201" s="23" t="s">
        <v>337</v>
      </c>
      <c r="G3201" s="23" t="s">
        <v>250</v>
      </c>
      <c r="H3201" s="39">
        <f t="shared" si="196"/>
        <v>3998</v>
      </c>
      <c r="I3201" s="23" t="str">
        <f t="shared" si="197"/>
        <v>Bengaluru</v>
      </c>
      <c r="J3201" s="23">
        <f>COUNTIFS(pg_transaction_cleaned!$O:$O,A3201,pg_transaction_cleaned!$F:$F,"CAPTURE")</f>
        <v>1</v>
      </c>
      <c r="K3201" s="39">
        <f>SUMIFS(pg_transaction_cleaned!$H:$H,pg_transaction_cleaned!$O:$O,A3201,pg_transaction_cleaned!$F:$F,"CAPTURE")</f>
        <v>3998</v>
      </c>
      <c r="L3201" s="23">
        <f>COUNTIFS(pg_transaction_cleaned!$O:$O,A3201,pg_transaction_cleaned!$F:$F,"REFUND")</f>
        <v>0</v>
      </c>
      <c r="M3201" s="39">
        <f>SUMIFS(pg_transaction_cleaned!$H:$H,pg_transaction_cleaned!$O:$O,A3201,pg_transaction_cleaned!$F:$F,"REFUND")</f>
        <v>0</v>
      </c>
      <c r="N3201" s="23" t="str">
        <f t="shared" si="198"/>
        <v>OK</v>
      </c>
      <c r="O3201" s="24">
        <f t="shared" si="199"/>
        <v>0</v>
      </c>
    </row>
    <row r="3202" spans="1:15" ht="15" customHeight="1" x14ac:dyDescent="0.3">
      <c r="A3202" s="23" t="s">
        <v>6900</v>
      </c>
      <c r="B3202" s="38">
        <v>46291</v>
      </c>
      <c r="C3202" s="23" t="s">
        <v>6901</v>
      </c>
      <c r="D3202" s="23" t="s">
        <v>93</v>
      </c>
      <c r="E3202" s="23" t="s">
        <v>77</v>
      </c>
      <c r="F3202" s="23" t="s">
        <v>1123</v>
      </c>
      <c r="G3202" s="23" t="s">
        <v>250</v>
      </c>
      <c r="H3202" s="39">
        <f t="shared" ref="H3202:H3265" si="200">VALUE(SUBSTITUTE(F3202,",",""))</f>
        <v>3797</v>
      </c>
      <c r="I3202" s="23" t="str">
        <f t="shared" ref="I3202:I3265" si="201">IF(TRIM(D3202)="","Unknown",TRIM(D3202))</f>
        <v>Kolkata</v>
      </c>
      <c r="J3202" s="23">
        <f>COUNTIFS(pg_transaction_cleaned!$O:$O,A3202,pg_transaction_cleaned!$F:$F,"CAPTURE")</f>
        <v>1</v>
      </c>
      <c r="K3202" s="39">
        <f>SUMIFS(pg_transaction_cleaned!$H:$H,pg_transaction_cleaned!$O:$O,A3202,pg_transaction_cleaned!$F:$F,"CAPTURE")</f>
        <v>3797</v>
      </c>
      <c r="L3202" s="23">
        <f>COUNTIFS(pg_transaction_cleaned!$O:$O,A3202,pg_transaction_cleaned!$F:$F,"REFUND")</f>
        <v>0</v>
      </c>
      <c r="M3202" s="39">
        <f>SUMIFS(pg_transaction_cleaned!$H:$H,pg_transaction_cleaned!$O:$O,A3202,pg_transaction_cleaned!$F:$F,"REFUND")</f>
        <v>0</v>
      </c>
      <c r="N3202" s="23" t="str">
        <f t="shared" ref="N3202:N3265" si="202">IF(AND(G3202="Paid",J3202=0),"Paid, no payment",IF(AND(OR(G3202="Failed",G3202="Cancelled"),J3202&gt;0),"Payment on failed/cancelled",IF(J3202&gt;1,"Duplicate charge",IF(AND(J3202=1,ROUND(K3202-H3202,2)&lt;&gt;0),"Amount difference",IF(AND(G3202="Refunded",L3202=0),"Refunded, no refund",IF(AND(G3202&lt;&gt;"Refunded",L3202&gt;0),"Refund, order not Refunded",IF(AND(L3202&gt;0,ROUND(M3202-H3202,2)&lt;&gt;0),"Refund amount differs","OK")))))))</f>
        <v>OK</v>
      </c>
      <c r="O3202" s="24">
        <f t="shared" ref="O3202:O3265" si="203">IF(N3202="OK",0,IF(N3202="Paid, no payment",H3202,IF(N3202="Payment on failed/cancelled",K3202,IF(OR(N3202="Duplicate charge",N3202="Amount difference"),K3202-H3202,IF(N3202="Refunded, no refund",H3202,M3202)))))</f>
        <v>0</v>
      </c>
    </row>
    <row r="3203" spans="1:15" ht="15" customHeight="1" x14ac:dyDescent="0.3">
      <c r="A3203" s="23" t="s">
        <v>6902</v>
      </c>
      <c r="B3203" s="38">
        <v>46286</v>
      </c>
      <c r="C3203" s="23" t="s">
        <v>6903</v>
      </c>
      <c r="D3203" s="23" t="s">
        <v>86</v>
      </c>
      <c r="E3203" s="23" t="s">
        <v>75</v>
      </c>
      <c r="F3203" s="23" t="s">
        <v>1038</v>
      </c>
      <c r="G3203" s="23" t="s">
        <v>250</v>
      </c>
      <c r="H3203" s="39">
        <f t="shared" si="200"/>
        <v>3597</v>
      </c>
      <c r="I3203" s="23" t="str">
        <f t="shared" si="201"/>
        <v>Delhi</v>
      </c>
      <c r="J3203" s="23">
        <f>COUNTIFS(pg_transaction_cleaned!$O:$O,A3203,pg_transaction_cleaned!$F:$F,"CAPTURE")</f>
        <v>1</v>
      </c>
      <c r="K3203" s="39">
        <f>SUMIFS(pg_transaction_cleaned!$H:$H,pg_transaction_cleaned!$O:$O,A3203,pg_transaction_cleaned!$F:$F,"CAPTURE")</f>
        <v>3597</v>
      </c>
      <c r="L3203" s="23">
        <f>COUNTIFS(pg_transaction_cleaned!$O:$O,A3203,pg_transaction_cleaned!$F:$F,"REFUND")</f>
        <v>0</v>
      </c>
      <c r="M3203" s="39">
        <f>SUMIFS(pg_transaction_cleaned!$H:$H,pg_transaction_cleaned!$O:$O,A3203,pg_transaction_cleaned!$F:$F,"REFUND")</f>
        <v>0</v>
      </c>
      <c r="N3203" s="23" t="str">
        <f t="shared" si="202"/>
        <v>OK</v>
      </c>
      <c r="O3203" s="24">
        <f t="shared" si="203"/>
        <v>0</v>
      </c>
    </row>
    <row r="3204" spans="1:15" ht="15" customHeight="1" x14ac:dyDescent="0.3">
      <c r="A3204" s="23" t="s">
        <v>6904</v>
      </c>
      <c r="B3204" s="38">
        <v>46280</v>
      </c>
      <c r="C3204" s="23" t="s">
        <v>6905</v>
      </c>
      <c r="D3204" s="23" t="s">
        <v>88</v>
      </c>
      <c r="E3204" s="23" t="s">
        <v>75</v>
      </c>
      <c r="F3204" s="23" t="s">
        <v>747</v>
      </c>
      <c r="G3204" s="23" t="s">
        <v>250</v>
      </c>
      <c r="H3204" s="39">
        <f t="shared" si="200"/>
        <v>2498</v>
      </c>
      <c r="I3204" s="23" t="str">
        <f t="shared" si="201"/>
        <v>Lucknow</v>
      </c>
      <c r="J3204" s="23">
        <f>COUNTIFS(pg_transaction_cleaned!$O:$O,A3204,pg_transaction_cleaned!$F:$F,"CAPTURE")</f>
        <v>1</v>
      </c>
      <c r="K3204" s="39">
        <f>SUMIFS(pg_transaction_cleaned!$H:$H,pg_transaction_cleaned!$O:$O,A3204,pg_transaction_cleaned!$F:$F,"CAPTURE")</f>
        <v>2498</v>
      </c>
      <c r="L3204" s="23">
        <f>COUNTIFS(pg_transaction_cleaned!$O:$O,A3204,pg_transaction_cleaned!$F:$F,"REFUND")</f>
        <v>0</v>
      </c>
      <c r="M3204" s="39">
        <f>SUMIFS(pg_transaction_cleaned!$H:$H,pg_transaction_cleaned!$O:$O,A3204,pg_transaction_cleaned!$F:$F,"REFUND")</f>
        <v>0</v>
      </c>
      <c r="N3204" s="23" t="str">
        <f t="shared" si="202"/>
        <v>OK</v>
      </c>
      <c r="O3204" s="24">
        <f t="shared" si="203"/>
        <v>0</v>
      </c>
    </row>
    <row r="3205" spans="1:15" ht="15" customHeight="1" x14ac:dyDescent="0.3">
      <c r="A3205" s="23" t="s">
        <v>6906</v>
      </c>
      <c r="B3205" s="38">
        <v>46270</v>
      </c>
      <c r="C3205" s="23" t="s">
        <v>2018</v>
      </c>
      <c r="D3205" s="23"/>
      <c r="E3205" s="23" t="s">
        <v>75</v>
      </c>
      <c r="F3205" s="23" t="s">
        <v>268</v>
      </c>
      <c r="G3205" s="23" t="s">
        <v>250</v>
      </c>
      <c r="H3205" s="39">
        <f t="shared" si="200"/>
        <v>1299</v>
      </c>
      <c r="I3205" s="23" t="str">
        <f t="shared" si="201"/>
        <v>Unknown</v>
      </c>
      <c r="J3205" s="23">
        <f>COUNTIFS(pg_transaction_cleaned!$O:$O,A3205,pg_transaction_cleaned!$F:$F,"CAPTURE")</f>
        <v>1</v>
      </c>
      <c r="K3205" s="39">
        <f>SUMIFS(pg_transaction_cleaned!$H:$H,pg_transaction_cleaned!$O:$O,A3205,pg_transaction_cleaned!$F:$F,"CAPTURE")</f>
        <v>1299</v>
      </c>
      <c r="L3205" s="23">
        <f>COUNTIFS(pg_transaction_cleaned!$O:$O,A3205,pg_transaction_cleaned!$F:$F,"REFUND")</f>
        <v>0</v>
      </c>
      <c r="M3205" s="39">
        <f>SUMIFS(pg_transaction_cleaned!$H:$H,pg_transaction_cleaned!$O:$O,A3205,pg_transaction_cleaned!$F:$F,"REFUND")</f>
        <v>0</v>
      </c>
      <c r="N3205" s="23" t="str">
        <f t="shared" si="202"/>
        <v>OK</v>
      </c>
      <c r="O3205" s="24">
        <f t="shared" si="203"/>
        <v>0</v>
      </c>
    </row>
    <row r="3206" spans="1:15" ht="15" customHeight="1" x14ac:dyDescent="0.3">
      <c r="A3206" s="23" t="s">
        <v>6907</v>
      </c>
      <c r="B3206" s="38">
        <v>46270</v>
      </c>
      <c r="C3206" s="23" t="s">
        <v>6908</v>
      </c>
      <c r="D3206" s="23" t="s">
        <v>86</v>
      </c>
      <c r="E3206" s="23" t="s">
        <v>79</v>
      </c>
      <c r="F3206" s="23" t="s">
        <v>6531</v>
      </c>
      <c r="G3206" s="23" t="s">
        <v>250</v>
      </c>
      <c r="H3206" s="39">
        <f t="shared" si="200"/>
        <v>798</v>
      </c>
      <c r="I3206" s="23" t="str">
        <f t="shared" si="201"/>
        <v>Delhi</v>
      </c>
      <c r="J3206" s="23">
        <f>COUNTIFS(pg_transaction_cleaned!$O:$O,A3206,pg_transaction_cleaned!$F:$F,"CAPTURE")</f>
        <v>1</v>
      </c>
      <c r="K3206" s="39">
        <f>SUMIFS(pg_transaction_cleaned!$H:$H,pg_transaction_cleaned!$O:$O,A3206,pg_transaction_cleaned!$F:$F,"CAPTURE")</f>
        <v>798</v>
      </c>
      <c r="L3206" s="23">
        <f>COUNTIFS(pg_transaction_cleaned!$O:$O,A3206,pg_transaction_cleaned!$F:$F,"REFUND")</f>
        <v>0</v>
      </c>
      <c r="M3206" s="39">
        <f>SUMIFS(pg_transaction_cleaned!$H:$H,pg_transaction_cleaned!$O:$O,A3206,pg_transaction_cleaned!$F:$F,"REFUND")</f>
        <v>0</v>
      </c>
      <c r="N3206" s="23" t="str">
        <f t="shared" si="202"/>
        <v>OK</v>
      </c>
      <c r="O3206" s="24">
        <f t="shared" si="203"/>
        <v>0</v>
      </c>
    </row>
    <row r="3207" spans="1:15" ht="15" customHeight="1" x14ac:dyDescent="0.3">
      <c r="A3207" s="23" t="s">
        <v>6909</v>
      </c>
      <c r="B3207" s="38">
        <v>46284</v>
      </c>
      <c r="C3207" s="23" t="s">
        <v>6910</v>
      </c>
      <c r="D3207" s="23" t="s">
        <v>95</v>
      </c>
      <c r="E3207" s="23" t="s">
        <v>77</v>
      </c>
      <c r="F3207" s="23" t="s">
        <v>274</v>
      </c>
      <c r="G3207" s="23" t="s">
        <v>250</v>
      </c>
      <c r="H3207" s="39">
        <f t="shared" si="200"/>
        <v>349</v>
      </c>
      <c r="I3207" s="23" t="str">
        <f t="shared" si="201"/>
        <v>Bengaluru</v>
      </c>
      <c r="J3207" s="23">
        <f>COUNTIFS(pg_transaction_cleaned!$O:$O,A3207,pg_transaction_cleaned!$F:$F,"CAPTURE")</f>
        <v>1</v>
      </c>
      <c r="K3207" s="39">
        <f>SUMIFS(pg_transaction_cleaned!$H:$H,pg_transaction_cleaned!$O:$O,A3207,pg_transaction_cleaned!$F:$F,"CAPTURE")</f>
        <v>349</v>
      </c>
      <c r="L3207" s="23">
        <f>COUNTIFS(pg_transaction_cleaned!$O:$O,A3207,pg_transaction_cleaned!$F:$F,"REFUND")</f>
        <v>0</v>
      </c>
      <c r="M3207" s="39">
        <f>SUMIFS(pg_transaction_cleaned!$H:$H,pg_transaction_cleaned!$O:$O,A3207,pg_transaction_cleaned!$F:$F,"REFUND")</f>
        <v>0</v>
      </c>
      <c r="N3207" s="23" t="str">
        <f t="shared" si="202"/>
        <v>OK</v>
      </c>
      <c r="O3207" s="24">
        <f t="shared" si="203"/>
        <v>0</v>
      </c>
    </row>
    <row r="3208" spans="1:15" ht="15" customHeight="1" x14ac:dyDescent="0.3">
      <c r="A3208" s="23" t="s">
        <v>6911</v>
      </c>
      <c r="B3208" s="38">
        <v>46267</v>
      </c>
      <c r="C3208" s="23" t="s">
        <v>6912</v>
      </c>
      <c r="D3208" s="23" t="s">
        <v>93</v>
      </c>
      <c r="E3208" s="23" t="s">
        <v>79</v>
      </c>
      <c r="F3208" s="23" t="s">
        <v>271</v>
      </c>
      <c r="G3208" s="23" t="s">
        <v>250</v>
      </c>
      <c r="H3208" s="39">
        <f t="shared" si="200"/>
        <v>2499</v>
      </c>
      <c r="I3208" s="23" t="str">
        <f t="shared" si="201"/>
        <v>Kolkata</v>
      </c>
      <c r="J3208" s="23">
        <f>COUNTIFS(pg_transaction_cleaned!$O:$O,A3208,pg_transaction_cleaned!$F:$F,"CAPTURE")</f>
        <v>1</v>
      </c>
      <c r="K3208" s="39">
        <f>SUMIFS(pg_transaction_cleaned!$H:$H,pg_transaction_cleaned!$O:$O,A3208,pg_transaction_cleaned!$F:$F,"CAPTURE")</f>
        <v>2499</v>
      </c>
      <c r="L3208" s="23">
        <f>COUNTIFS(pg_transaction_cleaned!$O:$O,A3208,pg_transaction_cleaned!$F:$F,"REFUND")</f>
        <v>0</v>
      </c>
      <c r="M3208" s="39">
        <f>SUMIFS(pg_transaction_cleaned!$H:$H,pg_transaction_cleaned!$O:$O,A3208,pg_transaction_cleaned!$F:$F,"REFUND")</f>
        <v>0</v>
      </c>
      <c r="N3208" s="23" t="str">
        <f t="shared" si="202"/>
        <v>OK</v>
      </c>
      <c r="O3208" s="24">
        <f t="shared" si="203"/>
        <v>0</v>
      </c>
    </row>
    <row r="3209" spans="1:15" ht="15" customHeight="1" x14ac:dyDescent="0.3">
      <c r="A3209" s="23" t="s">
        <v>6913</v>
      </c>
      <c r="B3209" s="38">
        <v>46273</v>
      </c>
      <c r="C3209" s="23" t="s">
        <v>6914</v>
      </c>
      <c r="D3209" s="23" t="s">
        <v>93</v>
      </c>
      <c r="E3209" s="23" t="s">
        <v>81</v>
      </c>
      <c r="F3209" s="23" t="s">
        <v>256</v>
      </c>
      <c r="G3209" s="23" t="s">
        <v>250</v>
      </c>
      <c r="H3209" s="39">
        <f t="shared" si="200"/>
        <v>2098</v>
      </c>
      <c r="I3209" s="23" t="str">
        <f t="shared" si="201"/>
        <v>Kolkata</v>
      </c>
      <c r="J3209" s="23">
        <f>COUNTIFS(pg_transaction_cleaned!$O:$O,A3209,pg_transaction_cleaned!$F:$F,"CAPTURE")</f>
        <v>1</v>
      </c>
      <c r="K3209" s="39">
        <f>SUMIFS(pg_transaction_cleaned!$H:$H,pg_transaction_cleaned!$O:$O,A3209,pg_transaction_cleaned!$F:$F,"CAPTURE")</f>
        <v>2098</v>
      </c>
      <c r="L3209" s="23">
        <f>COUNTIFS(pg_transaction_cleaned!$O:$O,A3209,pg_transaction_cleaned!$F:$F,"REFUND")</f>
        <v>0</v>
      </c>
      <c r="M3209" s="39">
        <f>SUMIFS(pg_transaction_cleaned!$H:$H,pg_transaction_cleaned!$O:$O,A3209,pg_transaction_cleaned!$F:$F,"REFUND")</f>
        <v>0</v>
      </c>
      <c r="N3209" s="23" t="str">
        <f t="shared" si="202"/>
        <v>OK</v>
      </c>
      <c r="O3209" s="24">
        <f t="shared" si="203"/>
        <v>0</v>
      </c>
    </row>
    <row r="3210" spans="1:15" ht="15" customHeight="1" x14ac:dyDescent="0.3">
      <c r="A3210" s="23" t="s">
        <v>6915</v>
      </c>
      <c r="B3210" s="38">
        <v>46271</v>
      </c>
      <c r="C3210" s="23" t="s">
        <v>6916</v>
      </c>
      <c r="D3210" s="23" t="s">
        <v>93</v>
      </c>
      <c r="E3210" s="23" t="s">
        <v>77</v>
      </c>
      <c r="F3210" s="23" t="s">
        <v>288</v>
      </c>
      <c r="G3210" s="23" t="s">
        <v>250</v>
      </c>
      <c r="H3210" s="39">
        <f t="shared" si="200"/>
        <v>4298</v>
      </c>
      <c r="I3210" s="23" t="str">
        <f t="shared" si="201"/>
        <v>Kolkata</v>
      </c>
      <c r="J3210" s="23">
        <f>COUNTIFS(pg_transaction_cleaned!$O:$O,A3210,pg_transaction_cleaned!$F:$F,"CAPTURE")</f>
        <v>1</v>
      </c>
      <c r="K3210" s="39">
        <f>SUMIFS(pg_transaction_cleaned!$H:$H,pg_transaction_cleaned!$O:$O,A3210,pg_transaction_cleaned!$F:$F,"CAPTURE")</f>
        <v>4298</v>
      </c>
      <c r="L3210" s="23">
        <f>COUNTIFS(pg_transaction_cleaned!$O:$O,A3210,pg_transaction_cleaned!$F:$F,"REFUND")</f>
        <v>0</v>
      </c>
      <c r="M3210" s="39">
        <f>SUMIFS(pg_transaction_cleaned!$H:$H,pg_transaction_cleaned!$O:$O,A3210,pg_transaction_cleaned!$F:$F,"REFUND")</f>
        <v>0</v>
      </c>
      <c r="N3210" s="23" t="str">
        <f t="shared" si="202"/>
        <v>OK</v>
      </c>
      <c r="O3210" s="24">
        <f t="shared" si="203"/>
        <v>0</v>
      </c>
    </row>
    <row r="3211" spans="1:15" ht="15" customHeight="1" x14ac:dyDescent="0.3">
      <c r="A3211" s="23" t="s">
        <v>6917</v>
      </c>
      <c r="B3211" s="38">
        <v>46278</v>
      </c>
      <c r="C3211" s="23" t="s">
        <v>6918</v>
      </c>
      <c r="D3211" s="23" t="s">
        <v>89</v>
      </c>
      <c r="E3211" s="23" t="s">
        <v>79</v>
      </c>
      <c r="F3211" s="23" t="s">
        <v>265</v>
      </c>
      <c r="G3211" s="23" t="s">
        <v>250</v>
      </c>
      <c r="H3211" s="39">
        <f t="shared" si="200"/>
        <v>999</v>
      </c>
      <c r="I3211" s="23" t="str">
        <f t="shared" si="201"/>
        <v>Jaipur</v>
      </c>
      <c r="J3211" s="23">
        <f>COUNTIFS(pg_transaction_cleaned!$O:$O,A3211,pg_transaction_cleaned!$F:$F,"CAPTURE")</f>
        <v>1</v>
      </c>
      <c r="K3211" s="39">
        <f>SUMIFS(pg_transaction_cleaned!$H:$H,pg_transaction_cleaned!$O:$O,A3211,pg_transaction_cleaned!$F:$F,"CAPTURE")</f>
        <v>999</v>
      </c>
      <c r="L3211" s="23">
        <f>COUNTIFS(pg_transaction_cleaned!$O:$O,A3211,pg_transaction_cleaned!$F:$F,"REFUND")</f>
        <v>0</v>
      </c>
      <c r="M3211" s="39">
        <f>SUMIFS(pg_transaction_cleaned!$H:$H,pg_transaction_cleaned!$O:$O,A3211,pg_transaction_cleaned!$F:$F,"REFUND")</f>
        <v>0</v>
      </c>
      <c r="N3211" s="23" t="str">
        <f t="shared" si="202"/>
        <v>OK</v>
      </c>
      <c r="O3211" s="24">
        <f t="shared" si="203"/>
        <v>0</v>
      </c>
    </row>
    <row r="3212" spans="1:15" ht="15" customHeight="1" x14ac:dyDescent="0.3">
      <c r="A3212" s="23" t="s">
        <v>6919</v>
      </c>
      <c r="B3212" s="38">
        <v>46276</v>
      </c>
      <c r="C3212" s="23" t="s">
        <v>6920</v>
      </c>
      <c r="D3212" s="23" t="s">
        <v>89</v>
      </c>
      <c r="E3212" s="23" t="s">
        <v>75</v>
      </c>
      <c r="F3212" s="23" t="s">
        <v>390</v>
      </c>
      <c r="G3212" s="23" t="s">
        <v>250</v>
      </c>
      <c r="H3212" s="39">
        <f t="shared" si="200"/>
        <v>599</v>
      </c>
      <c r="I3212" s="23" t="str">
        <f t="shared" si="201"/>
        <v>Jaipur</v>
      </c>
      <c r="J3212" s="23">
        <f>COUNTIFS(pg_transaction_cleaned!$O:$O,A3212,pg_transaction_cleaned!$F:$F,"CAPTURE")</f>
        <v>1</v>
      </c>
      <c r="K3212" s="39">
        <f>SUMIFS(pg_transaction_cleaned!$H:$H,pg_transaction_cleaned!$O:$O,A3212,pg_transaction_cleaned!$F:$F,"CAPTURE")</f>
        <v>599</v>
      </c>
      <c r="L3212" s="23">
        <f>COUNTIFS(pg_transaction_cleaned!$O:$O,A3212,pg_transaction_cleaned!$F:$F,"REFUND")</f>
        <v>0</v>
      </c>
      <c r="M3212" s="39">
        <f>SUMIFS(pg_transaction_cleaned!$H:$H,pg_transaction_cleaned!$O:$O,A3212,pg_transaction_cleaned!$F:$F,"REFUND")</f>
        <v>0</v>
      </c>
      <c r="N3212" s="23" t="str">
        <f t="shared" si="202"/>
        <v>OK</v>
      </c>
      <c r="O3212" s="24">
        <f t="shared" si="203"/>
        <v>0</v>
      </c>
    </row>
    <row r="3213" spans="1:15" ht="15" customHeight="1" x14ac:dyDescent="0.3">
      <c r="A3213" s="23" t="s">
        <v>6921</v>
      </c>
      <c r="B3213" s="38">
        <v>46290</v>
      </c>
      <c r="C3213" s="23" t="s">
        <v>6922</v>
      </c>
      <c r="D3213" s="23" t="s">
        <v>86</v>
      </c>
      <c r="E3213" s="23" t="s">
        <v>75</v>
      </c>
      <c r="F3213" s="23" t="s">
        <v>249</v>
      </c>
      <c r="G3213" s="23" t="s">
        <v>250</v>
      </c>
      <c r="H3213" s="39">
        <f t="shared" si="200"/>
        <v>299</v>
      </c>
      <c r="I3213" s="23" t="str">
        <f t="shared" si="201"/>
        <v>Delhi</v>
      </c>
      <c r="J3213" s="23">
        <f>COUNTIFS(pg_transaction_cleaned!$O:$O,A3213,pg_transaction_cleaned!$F:$F,"CAPTURE")</f>
        <v>1</v>
      </c>
      <c r="K3213" s="39">
        <f>SUMIFS(pg_transaction_cleaned!$H:$H,pg_transaction_cleaned!$O:$O,A3213,pg_transaction_cleaned!$F:$F,"CAPTURE")</f>
        <v>299</v>
      </c>
      <c r="L3213" s="23">
        <f>COUNTIFS(pg_transaction_cleaned!$O:$O,A3213,pg_transaction_cleaned!$F:$F,"REFUND")</f>
        <v>0</v>
      </c>
      <c r="M3213" s="39">
        <f>SUMIFS(pg_transaction_cleaned!$H:$H,pg_transaction_cleaned!$O:$O,A3213,pg_transaction_cleaned!$F:$F,"REFUND")</f>
        <v>0</v>
      </c>
      <c r="N3213" s="23" t="str">
        <f t="shared" si="202"/>
        <v>OK</v>
      </c>
      <c r="O3213" s="24">
        <f t="shared" si="203"/>
        <v>0</v>
      </c>
    </row>
    <row r="3214" spans="1:15" ht="15" customHeight="1" x14ac:dyDescent="0.3">
      <c r="A3214" s="23" t="s">
        <v>6923</v>
      </c>
      <c r="B3214" s="38">
        <v>46268</v>
      </c>
      <c r="C3214" s="23" t="s">
        <v>6924</v>
      </c>
      <c r="D3214" s="23" t="s">
        <v>91</v>
      </c>
      <c r="E3214" s="23" t="s">
        <v>77</v>
      </c>
      <c r="F3214" s="23" t="s">
        <v>607</v>
      </c>
      <c r="G3214" s="23" t="s">
        <v>250</v>
      </c>
      <c r="H3214" s="39">
        <f t="shared" si="200"/>
        <v>8847</v>
      </c>
      <c r="I3214" s="23" t="str">
        <f t="shared" si="201"/>
        <v>Pune</v>
      </c>
      <c r="J3214" s="23">
        <f>COUNTIFS(pg_transaction_cleaned!$O:$O,A3214,pg_transaction_cleaned!$F:$F,"CAPTURE")</f>
        <v>1</v>
      </c>
      <c r="K3214" s="39">
        <f>SUMIFS(pg_transaction_cleaned!$H:$H,pg_transaction_cleaned!$O:$O,A3214,pg_transaction_cleaned!$F:$F,"CAPTURE")</f>
        <v>8847</v>
      </c>
      <c r="L3214" s="23">
        <f>COUNTIFS(pg_transaction_cleaned!$O:$O,A3214,pg_transaction_cleaned!$F:$F,"REFUND")</f>
        <v>0</v>
      </c>
      <c r="M3214" s="39">
        <f>SUMIFS(pg_transaction_cleaned!$H:$H,pg_transaction_cleaned!$O:$O,A3214,pg_transaction_cleaned!$F:$F,"REFUND")</f>
        <v>0</v>
      </c>
      <c r="N3214" s="23" t="str">
        <f t="shared" si="202"/>
        <v>OK</v>
      </c>
      <c r="O3214" s="24">
        <f t="shared" si="203"/>
        <v>0</v>
      </c>
    </row>
    <row r="3215" spans="1:15" ht="15" customHeight="1" x14ac:dyDescent="0.3">
      <c r="A3215" s="23" t="s">
        <v>6925</v>
      </c>
      <c r="B3215" s="38">
        <v>46277</v>
      </c>
      <c r="C3215" s="23" t="s">
        <v>6926</v>
      </c>
      <c r="D3215" s="23" t="s">
        <v>89</v>
      </c>
      <c r="E3215" s="23" t="s">
        <v>75</v>
      </c>
      <c r="F3215" s="23" t="s">
        <v>647</v>
      </c>
      <c r="G3215" s="23" t="s">
        <v>365</v>
      </c>
      <c r="H3215" s="39">
        <f t="shared" si="200"/>
        <v>5597</v>
      </c>
      <c r="I3215" s="23" t="str">
        <f t="shared" si="201"/>
        <v>Jaipur</v>
      </c>
      <c r="J3215" s="23">
        <f>COUNTIFS(pg_transaction_cleaned!$O:$O,A3215,pg_transaction_cleaned!$F:$F,"CAPTURE")</f>
        <v>0</v>
      </c>
      <c r="K3215" s="39">
        <f>SUMIFS(pg_transaction_cleaned!$H:$H,pg_transaction_cleaned!$O:$O,A3215,pg_transaction_cleaned!$F:$F,"CAPTURE")</f>
        <v>0</v>
      </c>
      <c r="L3215" s="23">
        <f>COUNTIFS(pg_transaction_cleaned!$O:$O,A3215,pg_transaction_cleaned!$F:$F,"REFUND")</f>
        <v>0</v>
      </c>
      <c r="M3215" s="39">
        <f>SUMIFS(pg_transaction_cleaned!$H:$H,pg_transaction_cleaned!$O:$O,A3215,pg_transaction_cleaned!$F:$F,"REFUND")</f>
        <v>0</v>
      </c>
      <c r="N3215" s="23" t="str">
        <f t="shared" si="202"/>
        <v>OK</v>
      </c>
      <c r="O3215" s="24">
        <f t="shared" si="203"/>
        <v>0</v>
      </c>
    </row>
    <row r="3216" spans="1:15" ht="15" customHeight="1" x14ac:dyDescent="0.3">
      <c r="A3216" s="23" t="s">
        <v>6927</v>
      </c>
      <c r="B3216" s="38">
        <v>46270</v>
      </c>
      <c r="C3216" s="23" t="s">
        <v>6928</v>
      </c>
      <c r="D3216" s="23" t="s">
        <v>87</v>
      </c>
      <c r="E3216" s="23" t="s">
        <v>77</v>
      </c>
      <c r="F3216" s="23" t="s">
        <v>370</v>
      </c>
      <c r="G3216" s="23" t="s">
        <v>250</v>
      </c>
      <c r="H3216" s="39">
        <f t="shared" si="200"/>
        <v>3098</v>
      </c>
      <c r="I3216" s="23" t="str">
        <f t="shared" si="201"/>
        <v>Mumbai</v>
      </c>
      <c r="J3216" s="23">
        <f>COUNTIFS(pg_transaction_cleaned!$O:$O,A3216,pg_transaction_cleaned!$F:$F,"CAPTURE")</f>
        <v>1</v>
      </c>
      <c r="K3216" s="39">
        <f>SUMIFS(pg_transaction_cleaned!$H:$H,pg_transaction_cleaned!$O:$O,A3216,pg_transaction_cleaned!$F:$F,"CAPTURE")</f>
        <v>3098</v>
      </c>
      <c r="L3216" s="23">
        <f>COUNTIFS(pg_transaction_cleaned!$O:$O,A3216,pg_transaction_cleaned!$F:$F,"REFUND")</f>
        <v>0</v>
      </c>
      <c r="M3216" s="39">
        <f>SUMIFS(pg_transaction_cleaned!$H:$H,pg_transaction_cleaned!$O:$O,A3216,pg_transaction_cleaned!$F:$F,"REFUND")</f>
        <v>0</v>
      </c>
      <c r="N3216" s="23" t="str">
        <f t="shared" si="202"/>
        <v>OK</v>
      </c>
      <c r="O3216" s="24">
        <f t="shared" si="203"/>
        <v>0</v>
      </c>
    </row>
    <row r="3217" spans="1:15" ht="15" customHeight="1" x14ac:dyDescent="0.3">
      <c r="A3217" s="23" t="s">
        <v>6929</v>
      </c>
      <c r="B3217" s="38">
        <v>46269</v>
      </c>
      <c r="C3217" s="23" t="s">
        <v>6930</v>
      </c>
      <c r="D3217" s="23" t="s">
        <v>93</v>
      </c>
      <c r="E3217" s="23" t="s">
        <v>79</v>
      </c>
      <c r="F3217" s="23" t="s">
        <v>1762</v>
      </c>
      <c r="G3217" s="23" t="s">
        <v>250</v>
      </c>
      <c r="H3217" s="39">
        <f t="shared" si="200"/>
        <v>2148</v>
      </c>
      <c r="I3217" s="23" t="str">
        <f t="shared" si="201"/>
        <v>Kolkata</v>
      </c>
      <c r="J3217" s="23">
        <f>COUNTIFS(pg_transaction_cleaned!$O:$O,A3217,pg_transaction_cleaned!$F:$F,"CAPTURE")</f>
        <v>1</v>
      </c>
      <c r="K3217" s="39">
        <f>SUMIFS(pg_transaction_cleaned!$H:$H,pg_transaction_cleaned!$O:$O,A3217,pg_transaction_cleaned!$F:$F,"CAPTURE")</f>
        <v>2148</v>
      </c>
      <c r="L3217" s="23">
        <f>COUNTIFS(pg_transaction_cleaned!$O:$O,A3217,pg_transaction_cleaned!$F:$F,"REFUND")</f>
        <v>0</v>
      </c>
      <c r="M3217" s="39">
        <f>SUMIFS(pg_transaction_cleaned!$H:$H,pg_transaction_cleaned!$O:$O,A3217,pg_transaction_cleaned!$F:$F,"REFUND")</f>
        <v>0</v>
      </c>
      <c r="N3217" s="23" t="str">
        <f t="shared" si="202"/>
        <v>OK</v>
      </c>
      <c r="O3217" s="24">
        <f t="shared" si="203"/>
        <v>0</v>
      </c>
    </row>
    <row r="3218" spans="1:15" ht="15" customHeight="1" x14ac:dyDescent="0.3">
      <c r="A3218" s="23" t="s">
        <v>6931</v>
      </c>
      <c r="B3218" s="38">
        <v>46275</v>
      </c>
      <c r="C3218" s="23" t="s">
        <v>6932</v>
      </c>
      <c r="D3218" s="23" t="s">
        <v>87</v>
      </c>
      <c r="E3218" s="23" t="s">
        <v>81</v>
      </c>
      <c r="F3218" s="23" t="s">
        <v>297</v>
      </c>
      <c r="G3218" s="23" t="s">
        <v>250</v>
      </c>
      <c r="H3218" s="39">
        <f t="shared" si="200"/>
        <v>4999</v>
      </c>
      <c r="I3218" s="23" t="str">
        <f t="shared" si="201"/>
        <v>Mumbai</v>
      </c>
      <c r="J3218" s="23">
        <f>COUNTIFS(pg_transaction_cleaned!$O:$O,A3218,pg_transaction_cleaned!$F:$F,"CAPTURE")</f>
        <v>1</v>
      </c>
      <c r="K3218" s="39">
        <f>SUMIFS(pg_transaction_cleaned!$H:$H,pg_transaction_cleaned!$O:$O,A3218,pg_transaction_cleaned!$F:$F,"CAPTURE")</f>
        <v>4999</v>
      </c>
      <c r="L3218" s="23">
        <f>COUNTIFS(pg_transaction_cleaned!$O:$O,A3218,pg_transaction_cleaned!$F:$F,"REFUND")</f>
        <v>0</v>
      </c>
      <c r="M3218" s="39">
        <f>SUMIFS(pg_transaction_cleaned!$H:$H,pg_transaction_cleaned!$O:$O,A3218,pg_transaction_cleaned!$F:$F,"REFUND")</f>
        <v>0</v>
      </c>
      <c r="N3218" s="23" t="str">
        <f t="shared" si="202"/>
        <v>OK</v>
      </c>
      <c r="O3218" s="24">
        <f t="shared" si="203"/>
        <v>0</v>
      </c>
    </row>
    <row r="3219" spans="1:15" ht="15" customHeight="1" x14ac:dyDescent="0.3">
      <c r="A3219" s="23" t="s">
        <v>6933</v>
      </c>
      <c r="B3219" s="38">
        <v>46291</v>
      </c>
      <c r="C3219" s="23" t="s">
        <v>6934</v>
      </c>
      <c r="D3219" s="23" t="s">
        <v>90</v>
      </c>
      <c r="E3219" s="23" t="s">
        <v>77</v>
      </c>
      <c r="F3219" s="23" t="s">
        <v>483</v>
      </c>
      <c r="G3219" s="23" t="s">
        <v>365</v>
      </c>
      <c r="H3219" s="39">
        <f t="shared" si="200"/>
        <v>2998</v>
      </c>
      <c r="I3219" s="23" t="str">
        <f t="shared" si="201"/>
        <v>Ahmedabad</v>
      </c>
      <c r="J3219" s="23">
        <f>COUNTIFS(pg_transaction_cleaned!$O:$O,A3219,pg_transaction_cleaned!$F:$F,"CAPTURE")</f>
        <v>0</v>
      </c>
      <c r="K3219" s="39">
        <f>SUMIFS(pg_transaction_cleaned!$H:$H,pg_transaction_cleaned!$O:$O,A3219,pg_transaction_cleaned!$F:$F,"CAPTURE")</f>
        <v>0</v>
      </c>
      <c r="L3219" s="23">
        <f>COUNTIFS(pg_transaction_cleaned!$O:$O,A3219,pg_transaction_cleaned!$F:$F,"REFUND")</f>
        <v>0</v>
      </c>
      <c r="M3219" s="39">
        <f>SUMIFS(pg_transaction_cleaned!$H:$H,pg_transaction_cleaned!$O:$O,A3219,pg_transaction_cleaned!$F:$F,"REFUND")</f>
        <v>0</v>
      </c>
      <c r="N3219" s="23" t="str">
        <f t="shared" si="202"/>
        <v>OK</v>
      </c>
      <c r="O3219" s="24">
        <f t="shared" si="203"/>
        <v>0</v>
      </c>
    </row>
    <row r="3220" spans="1:15" ht="15" customHeight="1" x14ac:dyDescent="0.3">
      <c r="A3220" s="23" t="s">
        <v>6935</v>
      </c>
      <c r="B3220" s="38">
        <v>46286</v>
      </c>
      <c r="C3220" s="23" t="s">
        <v>6936</v>
      </c>
      <c r="D3220" s="23" t="s">
        <v>93</v>
      </c>
      <c r="E3220" s="23" t="s">
        <v>75</v>
      </c>
      <c r="F3220" s="23" t="s">
        <v>256</v>
      </c>
      <c r="G3220" s="23" t="s">
        <v>250</v>
      </c>
      <c r="H3220" s="39">
        <f t="shared" si="200"/>
        <v>2098</v>
      </c>
      <c r="I3220" s="23" t="str">
        <f t="shared" si="201"/>
        <v>Kolkata</v>
      </c>
      <c r="J3220" s="23">
        <f>COUNTIFS(pg_transaction_cleaned!$O:$O,A3220,pg_transaction_cleaned!$F:$F,"CAPTURE")</f>
        <v>1</v>
      </c>
      <c r="K3220" s="39">
        <f>SUMIFS(pg_transaction_cleaned!$H:$H,pg_transaction_cleaned!$O:$O,A3220,pg_transaction_cleaned!$F:$F,"CAPTURE")</f>
        <v>2098</v>
      </c>
      <c r="L3220" s="23">
        <f>COUNTIFS(pg_transaction_cleaned!$O:$O,A3220,pg_transaction_cleaned!$F:$F,"REFUND")</f>
        <v>0</v>
      </c>
      <c r="M3220" s="39">
        <f>SUMIFS(pg_transaction_cleaned!$H:$H,pg_transaction_cleaned!$O:$O,A3220,pg_transaction_cleaned!$F:$F,"REFUND")</f>
        <v>0</v>
      </c>
      <c r="N3220" s="23" t="str">
        <f t="shared" si="202"/>
        <v>OK</v>
      </c>
      <c r="O3220" s="24">
        <f t="shared" si="203"/>
        <v>0</v>
      </c>
    </row>
    <row r="3221" spans="1:15" ht="15" customHeight="1" x14ac:dyDescent="0.3">
      <c r="A3221" s="23" t="s">
        <v>6937</v>
      </c>
      <c r="B3221" s="38">
        <v>46275</v>
      </c>
      <c r="C3221" s="23" t="s">
        <v>6938</v>
      </c>
      <c r="D3221" s="23" t="s">
        <v>86</v>
      </c>
      <c r="E3221" s="23" t="s">
        <v>75</v>
      </c>
      <c r="F3221" s="23" t="s">
        <v>288</v>
      </c>
      <c r="G3221" s="23" t="s">
        <v>250</v>
      </c>
      <c r="H3221" s="39">
        <f t="shared" si="200"/>
        <v>4298</v>
      </c>
      <c r="I3221" s="23" t="str">
        <f t="shared" si="201"/>
        <v>Delhi</v>
      </c>
      <c r="J3221" s="23">
        <f>COUNTIFS(pg_transaction_cleaned!$O:$O,A3221,pg_transaction_cleaned!$F:$F,"CAPTURE")</f>
        <v>1</v>
      </c>
      <c r="K3221" s="39">
        <f>SUMIFS(pg_transaction_cleaned!$H:$H,pg_transaction_cleaned!$O:$O,A3221,pg_transaction_cleaned!$F:$F,"CAPTURE")</f>
        <v>4298</v>
      </c>
      <c r="L3221" s="23">
        <f>COUNTIFS(pg_transaction_cleaned!$O:$O,A3221,pg_transaction_cleaned!$F:$F,"REFUND")</f>
        <v>0</v>
      </c>
      <c r="M3221" s="39">
        <f>SUMIFS(pg_transaction_cleaned!$H:$H,pg_transaction_cleaned!$O:$O,A3221,pg_transaction_cleaned!$F:$F,"REFUND")</f>
        <v>0</v>
      </c>
      <c r="N3221" s="23" t="str">
        <f t="shared" si="202"/>
        <v>OK</v>
      </c>
      <c r="O3221" s="24">
        <f t="shared" si="203"/>
        <v>0</v>
      </c>
    </row>
    <row r="3222" spans="1:15" ht="15" customHeight="1" x14ac:dyDescent="0.3">
      <c r="A3222" s="23" t="s">
        <v>6939</v>
      </c>
      <c r="B3222" s="38">
        <v>46272</v>
      </c>
      <c r="C3222" s="23" t="s">
        <v>6940</v>
      </c>
      <c r="D3222" s="23" t="s">
        <v>86</v>
      </c>
      <c r="E3222" s="23" t="s">
        <v>79</v>
      </c>
      <c r="F3222" s="23" t="s">
        <v>396</v>
      </c>
      <c r="G3222" s="23" t="s">
        <v>250</v>
      </c>
      <c r="H3222" s="39">
        <f t="shared" si="200"/>
        <v>2999</v>
      </c>
      <c r="I3222" s="23" t="str">
        <f t="shared" si="201"/>
        <v>Delhi</v>
      </c>
      <c r="J3222" s="23">
        <f>COUNTIFS(pg_transaction_cleaned!$O:$O,A3222,pg_transaction_cleaned!$F:$F,"CAPTURE")</f>
        <v>1</v>
      </c>
      <c r="K3222" s="39">
        <f>SUMIFS(pg_transaction_cleaned!$H:$H,pg_transaction_cleaned!$O:$O,A3222,pg_transaction_cleaned!$F:$F,"CAPTURE")</f>
        <v>2999</v>
      </c>
      <c r="L3222" s="23">
        <f>COUNTIFS(pg_transaction_cleaned!$O:$O,A3222,pg_transaction_cleaned!$F:$F,"REFUND")</f>
        <v>0</v>
      </c>
      <c r="M3222" s="39">
        <f>SUMIFS(pg_transaction_cleaned!$H:$H,pg_transaction_cleaned!$O:$O,A3222,pg_transaction_cleaned!$F:$F,"REFUND")</f>
        <v>0</v>
      </c>
      <c r="N3222" s="23" t="str">
        <f t="shared" si="202"/>
        <v>OK</v>
      </c>
      <c r="O3222" s="24">
        <f t="shared" si="203"/>
        <v>0</v>
      </c>
    </row>
    <row r="3223" spans="1:15" ht="15" customHeight="1" x14ac:dyDescent="0.3">
      <c r="A3223" s="23" t="s">
        <v>6941</v>
      </c>
      <c r="B3223" s="38">
        <v>46271</v>
      </c>
      <c r="C3223" s="23" t="s">
        <v>6942</v>
      </c>
      <c r="D3223" s="23" t="s">
        <v>87</v>
      </c>
      <c r="E3223" s="23" t="s">
        <v>75</v>
      </c>
      <c r="F3223" s="23" t="s">
        <v>329</v>
      </c>
      <c r="G3223" s="23" t="s">
        <v>250</v>
      </c>
      <c r="H3223" s="39">
        <f t="shared" si="200"/>
        <v>599</v>
      </c>
      <c r="I3223" s="23" t="str">
        <f t="shared" si="201"/>
        <v>Mumbai</v>
      </c>
      <c r="J3223" s="23">
        <f>COUNTIFS(pg_transaction_cleaned!$O:$O,A3223,pg_transaction_cleaned!$F:$F,"CAPTURE")</f>
        <v>1</v>
      </c>
      <c r="K3223" s="39">
        <f>SUMIFS(pg_transaction_cleaned!$H:$H,pg_transaction_cleaned!$O:$O,A3223,pg_transaction_cleaned!$F:$F,"CAPTURE")</f>
        <v>599</v>
      </c>
      <c r="L3223" s="23">
        <f>COUNTIFS(pg_transaction_cleaned!$O:$O,A3223,pg_transaction_cleaned!$F:$F,"REFUND")</f>
        <v>0</v>
      </c>
      <c r="M3223" s="39">
        <f>SUMIFS(pg_transaction_cleaned!$H:$H,pg_transaction_cleaned!$O:$O,A3223,pg_transaction_cleaned!$F:$F,"REFUND")</f>
        <v>0</v>
      </c>
      <c r="N3223" s="23" t="str">
        <f t="shared" si="202"/>
        <v>OK</v>
      </c>
      <c r="O3223" s="24">
        <f t="shared" si="203"/>
        <v>0</v>
      </c>
    </row>
    <row r="3224" spans="1:15" ht="15" customHeight="1" x14ac:dyDescent="0.3">
      <c r="A3224" s="23" t="s">
        <v>6943</v>
      </c>
      <c r="B3224" s="38">
        <v>46275</v>
      </c>
      <c r="C3224" s="23" t="s">
        <v>6944</v>
      </c>
      <c r="D3224" s="23" t="s">
        <v>92</v>
      </c>
      <c r="E3224" s="23" t="s">
        <v>75</v>
      </c>
      <c r="F3224" s="23" t="s">
        <v>271</v>
      </c>
      <c r="G3224" s="23" t="s">
        <v>250</v>
      </c>
      <c r="H3224" s="39">
        <f t="shared" si="200"/>
        <v>2499</v>
      </c>
      <c r="I3224" s="23" t="str">
        <f t="shared" si="201"/>
        <v>Hyderabad</v>
      </c>
      <c r="J3224" s="23">
        <f>COUNTIFS(pg_transaction_cleaned!$O:$O,A3224,pg_transaction_cleaned!$F:$F,"CAPTURE")</f>
        <v>1</v>
      </c>
      <c r="K3224" s="39">
        <f>SUMIFS(pg_transaction_cleaned!$H:$H,pg_transaction_cleaned!$O:$O,A3224,pg_transaction_cleaned!$F:$F,"CAPTURE")</f>
        <v>2499</v>
      </c>
      <c r="L3224" s="23">
        <f>COUNTIFS(pg_transaction_cleaned!$O:$O,A3224,pg_transaction_cleaned!$F:$F,"REFUND")</f>
        <v>0</v>
      </c>
      <c r="M3224" s="39">
        <f>SUMIFS(pg_transaction_cleaned!$H:$H,pg_transaction_cleaned!$O:$O,A3224,pg_transaction_cleaned!$F:$F,"REFUND")</f>
        <v>0</v>
      </c>
      <c r="N3224" s="23" t="str">
        <f t="shared" si="202"/>
        <v>OK</v>
      </c>
      <c r="O3224" s="24">
        <f t="shared" si="203"/>
        <v>0</v>
      </c>
    </row>
    <row r="3225" spans="1:15" ht="15" customHeight="1" x14ac:dyDescent="0.3">
      <c r="A3225" s="23" t="s">
        <v>6945</v>
      </c>
      <c r="B3225" s="38">
        <v>46289</v>
      </c>
      <c r="C3225" s="23" t="s">
        <v>6946</v>
      </c>
      <c r="D3225" s="23" t="s">
        <v>91</v>
      </c>
      <c r="E3225" s="23" t="s">
        <v>79</v>
      </c>
      <c r="F3225" s="23" t="s">
        <v>288</v>
      </c>
      <c r="G3225" s="23" t="s">
        <v>250</v>
      </c>
      <c r="H3225" s="39">
        <f t="shared" si="200"/>
        <v>4298</v>
      </c>
      <c r="I3225" s="23" t="str">
        <f t="shared" si="201"/>
        <v>Pune</v>
      </c>
      <c r="J3225" s="23">
        <f>COUNTIFS(pg_transaction_cleaned!$O:$O,A3225,pg_transaction_cleaned!$F:$F,"CAPTURE")</f>
        <v>1</v>
      </c>
      <c r="K3225" s="39">
        <f>SUMIFS(pg_transaction_cleaned!$H:$H,pg_transaction_cleaned!$O:$O,A3225,pg_transaction_cleaned!$F:$F,"CAPTURE")</f>
        <v>4298</v>
      </c>
      <c r="L3225" s="23">
        <f>COUNTIFS(pg_transaction_cleaned!$O:$O,A3225,pg_transaction_cleaned!$F:$F,"REFUND")</f>
        <v>0</v>
      </c>
      <c r="M3225" s="39">
        <f>SUMIFS(pg_transaction_cleaned!$H:$H,pg_transaction_cleaned!$O:$O,A3225,pg_transaction_cleaned!$F:$F,"REFUND")</f>
        <v>0</v>
      </c>
      <c r="N3225" s="23" t="str">
        <f t="shared" si="202"/>
        <v>OK</v>
      </c>
      <c r="O3225" s="24">
        <f t="shared" si="203"/>
        <v>0</v>
      </c>
    </row>
    <row r="3226" spans="1:15" ht="15" customHeight="1" x14ac:dyDescent="0.3">
      <c r="A3226" s="23" t="s">
        <v>6947</v>
      </c>
      <c r="B3226" s="38">
        <v>46281</v>
      </c>
      <c r="C3226" s="23" t="s">
        <v>6948</v>
      </c>
      <c r="D3226" s="23" t="s">
        <v>88</v>
      </c>
      <c r="E3226" s="23" t="s">
        <v>75</v>
      </c>
      <c r="F3226" s="23" t="s">
        <v>460</v>
      </c>
      <c r="G3226" s="23" t="s">
        <v>250</v>
      </c>
      <c r="H3226" s="39">
        <f t="shared" si="200"/>
        <v>1998</v>
      </c>
      <c r="I3226" s="23" t="str">
        <f t="shared" si="201"/>
        <v>Lucknow</v>
      </c>
      <c r="J3226" s="23">
        <f>COUNTIFS(pg_transaction_cleaned!$O:$O,A3226,pg_transaction_cleaned!$F:$F,"CAPTURE")</f>
        <v>1</v>
      </c>
      <c r="K3226" s="39">
        <f>SUMIFS(pg_transaction_cleaned!$H:$H,pg_transaction_cleaned!$O:$O,A3226,pg_transaction_cleaned!$F:$F,"CAPTURE")</f>
        <v>1998</v>
      </c>
      <c r="L3226" s="23">
        <f>COUNTIFS(pg_transaction_cleaned!$O:$O,A3226,pg_transaction_cleaned!$F:$F,"REFUND")</f>
        <v>0</v>
      </c>
      <c r="M3226" s="39">
        <f>SUMIFS(pg_transaction_cleaned!$H:$H,pg_transaction_cleaned!$O:$O,A3226,pg_transaction_cleaned!$F:$F,"REFUND")</f>
        <v>0</v>
      </c>
      <c r="N3226" s="23" t="str">
        <f t="shared" si="202"/>
        <v>OK</v>
      </c>
      <c r="O3226" s="24">
        <f t="shared" si="203"/>
        <v>0</v>
      </c>
    </row>
    <row r="3227" spans="1:15" ht="15" customHeight="1" x14ac:dyDescent="0.3">
      <c r="A3227" s="23" t="s">
        <v>6949</v>
      </c>
      <c r="B3227" s="38">
        <v>46285</v>
      </c>
      <c r="C3227" s="23" t="s">
        <v>6950</v>
      </c>
      <c r="D3227" s="23" t="s">
        <v>89</v>
      </c>
      <c r="E3227" s="23" t="s">
        <v>75</v>
      </c>
      <c r="F3227" s="23" t="s">
        <v>271</v>
      </c>
      <c r="G3227" s="23" t="s">
        <v>250</v>
      </c>
      <c r="H3227" s="39">
        <f t="shared" si="200"/>
        <v>2499</v>
      </c>
      <c r="I3227" s="23" t="str">
        <f t="shared" si="201"/>
        <v>Jaipur</v>
      </c>
      <c r="J3227" s="23">
        <f>COUNTIFS(pg_transaction_cleaned!$O:$O,A3227,pg_transaction_cleaned!$F:$F,"CAPTURE")</f>
        <v>1</v>
      </c>
      <c r="K3227" s="39">
        <f>SUMIFS(pg_transaction_cleaned!$H:$H,pg_transaction_cleaned!$O:$O,A3227,pg_transaction_cleaned!$F:$F,"CAPTURE")</f>
        <v>2499</v>
      </c>
      <c r="L3227" s="23">
        <f>COUNTIFS(pg_transaction_cleaned!$O:$O,A3227,pg_transaction_cleaned!$F:$F,"REFUND")</f>
        <v>0</v>
      </c>
      <c r="M3227" s="39">
        <f>SUMIFS(pg_transaction_cleaned!$H:$H,pg_transaction_cleaned!$O:$O,A3227,pg_transaction_cleaned!$F:$F,"REFUND")</f>
        <v>0</v>
      </c>
      <c r="N3227" s="23" t="str">
        <f t="shared" si="202"/>
        <v>OK</v>
      </c>
      <c r="O3227" s="24">
        <f t="shared" si="203"/>
        <v>0</v>
      </c>
    </row>
    <row r="3228" spans="1:15" ht="15" customHeight="1" x14ac:dyDescent="0.3">
      <c r="A3228" s="23" t="s">
        <v>6951</v>
      </c>
      <c r="B3228" s="38">
        <v>46288</v>
      </c>
      <c r="C3228" s="23" t="s">
        <v>6952</v>
      </c>
      <c r="D3228" s="23" t="s">
        <v>93</v>
      </c>
      <c r="E3228" s="23" t="s">
        <v>75</v>
      </c>
      <c r="F3228" s="23" t="s">
        <v>274</v>
      </c>
      <c r="G3228" s="23" t="s">
        <v>250</v>
      </c>
      <c r="H3228" s="39">
        <f t="shared" si="200"/>
        <v>349</v>
      </c>
      <c r="I3228" s="23" t="str">
        <f t="shared" si="201"/>
        <v>Kolkata</v>
      </c>
      <c r="J3228" s="23">
        <f>COUNTIFS(pg_transaction_cleaned!$O:$O,A3228,pg_transaction_cleaned!$F:$F,"CAPTURE")</f>
        <v>1</v>
      </c>
      <c r="K3228" s="39">
        <f>SUMIFS(pg_transaction_cleaned!$H:$H,pg_transaction_cleaned!$O:$O,A3228,pg_transaction_cleaned!$F:$F,"CAPTURE")</f>
        <v>349</v>
      </c>
      <c r="L3228" s="23">
        <f>COUNTIFS(pg_transaction_cleaned!$O:$O,A3228,pg_transaction_cleaned!$F:$F,"REFUND")</f>
        <v>0</v>
      </c>
      <c r="M3228" s="39">
        <f>SUMIFS(pg_transaction_cleaned!$H:$H,pg_transaction_cleaned!$O:$O,A3228,pg_transaction_cleaned!$F:$F,"REFUND")</f>
        <v>0</v>
      </c>
      <c r="N3228" s="23" t="str">
        <f t="shared" si="202"/>
        <v>OK</v>
      </c>
      <c r="O3228" s="24">
        <f t="shared" si="203"/>
        <v>0</v>
      </c>
    </row>
    <row r="3229" spans="1:15" ht="15" customHeight="1" x14ac:dyDescent="0.3">
      <c r="A3229" s="23" t="s">
        <v>6953</v>
      </c>
      <c r="B3229" s="38">
        <v>46279</v>
      </c>
      <c r="C3229" s="23" t="s">
        <v>6954</v>
      </c>
      <c r="D3229" s="23" t="s">
        <v>87</v>
      </c>
      <c r="E3229" s="23" t="s">
        <v>75</v>
      </c>
      <c r="F3229" s="23" t="s">
        <v>307</v>
      </c>
      <c r="G3229" s="23" t="s">
        <v>250</v>
      </c>
      <c r="H3229" s="39">
        <f t="shared" si="200"/>
        <v>3798</v>
      </c>
      <c r="I3229" s="23" t="str">
        <f t="shared" si="201"/>
        <v>Mumbai</v>
      </c>
      <c r="J3229" s="23">
        <f>COUNTIFS(pg_transaction_cleaned!$O:$O,A3229,pg_transaction_cleaned!$F:$F,"CAPTURE")</f>
        <v>1</v>
      </c>
      <c r="K3229" s="39">
        <f>SUMIFS(pg_transaction_cleaned!$H:$H,pg_transaction_cleaned!$O:$O,A3229,pg_transaction_cleaned!$F:$F,"CAPTURE")</f>
        <v>3798</v>
      </c>
      <c r="L3229" s="23">
        <f>COUNTIFS(pg_transaction_cleaned!$O:$O,A3229,pg_transaction_cleaned!$F:$F,"REFUND")</f>
        <v>0</v>
      </c>
      <c r="M3229" s="39">
        <f>SUMIFS(pg_transaction_cleaned!$H:$H,pg_transaction_cleaned!$O:$O,A3229,pg_transaction_cleaned!$F:$F,"REFUND")</f>
        <v>0</v>
      </c>
      <c r="N3229" s="23" t="str">
        <f t="shared" si="202"/>
        <v>OK</v>
      </c>
      <c r="O3229" s="24">
        <f t="shared" si="203"/>
        <v>0</v>
      </c>
    </row>
    <row r="3230" spans="1:15" ht="15" customHeight="1" x14ac:dyDescent="0.3">
      <c r="A3230" s="23" t="s">
        <v>6955</v>
      </c>
      <c r="B3230" s="38">
        <v>46266</v>
      </c>
      <c r="C3230" s="23" t="s">
        <v>6956</v>
      </c>
      <c r="D3230" s="23"/>
      <c r="E3230" s="23" t="s">
        <v>75</v>
      </c>
      <c r="F3230" s="23" t="s">
        <v>390</v>
      </c>
      <c r="G3230" s="23" t="s">
        <v>250</v>
      </c>
      <c r="H3230" s="39">
        <f t="shared" si="200"/>
        <v>599</v>
      </c>
      <c r="I3230" s="23" t="str">
        <f t="shared" si="201"/>
        <v>Unknown</v>
      </c>
      <c r="J3230" s="23">
        <f>COUNTIFS(pg_transaction_cleaned!$O:$O,A3230,pg_transaction_cleaned!$F:$F,"CAPTURE")</f>
        <v>1</v>
      </c>
      <c r="K3230" s="39">
        <f>SUMIFS(pg_transaction_cleaned!$H:$H,pg_transaction_cleaned!$O:$O,A3230,pg_transaction_cleaned!$F:$F,"CAPTURE")</f>
        <v>599</v>
      </c>
      <c r="L3230" s="23">
        <f>COUNTIFS(pg_transaction_cleaned!$O:$O,A3230,pg_transaction_cleaned!$F:$F,"REFUND")</f>
        <v>0</v>
      </c>
      <c r="M3230" s="39">
        <f>SUMIFS(pg_transaction_cleaned!$H:$H,pg_transaction_cleaned!$O:$O,A3230,pg_transaction_cleaned!$F:$F,"REFUND")</f>
        <v>0</v>
      </c>
      <c r="N3230" s="23" t="str">
        <f t="shared" si="202"/>
        <v>OK</v>
      </c>
      <c r="O3230" s="24">
        <f t="shared" si="203"/>
        <v>0</v>
      </c>
    </row>
    <row r="3231" spans="1:15" ht="15" customHeight="1" x14ac:dyDescent="0.3">
      <c r="A3231" s="23" t="s">
        <v>6957</v>
      </c>
      <c r="B3231" s="38">
        <v>46278</v>
      </c>
      <c r="C3231" s="23" t="s">
        <v>6958</v>
      </c>
      <c r="D3231" s="23" t="s">
        <v>94</v>
      </c>
      <c r="E3231" s="23" t="s">
        <v>75</v>
      </c>
      <c r="F3231" s="23" t="s">
        <v>310</v>
      </c>
      <c r="G3231" s="23" t="s">
        <v>250</v>
      </c>
      <c r="H3231" s="39">
        <f t="shared" si="200"/>
        <v>7999</v>
      </c>
      <c r="I3231" s="23" t="str">
        <f t="shared" si="201"/>
        <v>Chennai</v>
      </c>
      <c r="J3231" s="23">
        <f>COUNTIFS(pg_transaction_cleaned!$O:$O,A3231,pg_transaction_cleaned!$F:$F,"CAPTURE")</f>
        <v>1</v>
      </c>
      <c r="K3231" s="39">
        <f>SUMIFS(pg_transaction_cleaned!$H:$H,pg_transaction_cleaned!$O:$O,A3231,pg_transaction_cleaned!$F:$F,"CAPTURE")</f>
        <v>7999</v>
      </c>
      <c r="L3231" s="23">
        <f>COUNTIFS(pg_transaction_cleaned!$O:$O,A3231,pg_transaction_cleaned!$F:$F,"REFUND")</f>
        <v>0</v>
      </c>
      <c r="M3231" s="39">
        <f>SUMIFS(pg_transaction_cleaned!$H:$H,pg_transaction_cleaned!$O:$O,A3231,pg_transaction_cleaned!$F:$F,"REFUND")</f>
        <v>0</v>
      </c>
      <c r="N3231" s="23" t="str">
        <f t="shared" si="202"/>
        <v>OK</v>
      </c>
      <c r="O3231" s="24">
        <f t="shared" si="203"/>
        <v>0</v>
      </c>
    </row>
    <row r="3232" spans="1:15" ht="15" customHeight="1" x14ac:dyDescent="0.3">
      <c r="A3232" s="23" t="s">
        <v>6959</v>
      </c>
      <c r="B3232" s="38">
        <v>46291</v>
      </c>
      <c r="C3232" s="23" t="s">
        <v>6960</v>
      </c>
      <c r="D3232" s="23" t="s">
        <v>89</v>
      </c>
      <c r="E3232" s="23" t="s">
        <v>75</v>
      </c>
      <c r="F3232" s="23" t="s">
        <v>475</v>
      </c>
      <c r="G3232" s="23" t="s">
        <v>250</v>
      </c>
      <c r="H3232" s="39">
        <f t="shared" si="200"/>
        <v>799</v>
      </c>
      <c r="I3232" s="23" t="str">
        <f t="shared" si="201"/>
        <v>Jaipur</v>
      </c>
      <c r="J3232" s="23">
        <f>COUNTIFS(pg_transaction_cleaned!$O:$O,A3232,pg_transaction_cleaned!$F:$F,"CAPTURE")</f>
        <v>1</v>
      </c>
      <c r="K3232" s="39">
        <f>SUMIFS(pg_transaction_cleaned!$H:$H,pg_transaction_cleaned!$O:$O,A3232,pg_transaction_cleaned!$F:$F,"CAPTURE")</f>
        <v>799</v>
      </c>
      <c r="L3232" s="23">
        <f>COUNTIFS(pg_transaction_cleaned!$O:$O,A3232,pg_transaction_cleaned!$F:$F,"REFUND")</f>
        <v>0</v>
      </c>
      <c r="M3232" s="39">
        <f>SUMIFS(pg_transaction_cleaned!$H:$H,pg_transaction_cleaned!$O:$O,A3232,pg_transaction_cleaned!$F:$F,"REFUND")</f>
        <v>0</v>
      </c>
      <c r="N3232" s="23" t="str">
        <f t="shared" si="202"/>
        <v>OK</v>
      </c>
      <c r="O3232" s="24">
        <f t="shared" si="203"/>
        <v>0</v>
      </c>
    </row>
    <row r="3233" spans="1:15" ht="15" customHeight="1" x14ac:dyDescent="0.3">
      <c r="A3233" s="23" t="s">
        <v>6961</v>
      </c>
      <c r="B3233" s="38">
        <v>46288</v>
      </c>
      <c r="C3233" s="23" t="s">
        <v>6565</v>
      </c>
      <c r="D3233" s="23" t="s">
        <v>88</v>
      </c>
      <c r="E3233" s="23" t="s">
        <v>75</v>
      </c>
      <c r="F3233" s="23" t="s">
        <v>265</v>
      </c>
      <c r="G3233" s="23" t="s">
        <v>250</v>
      </c>
      <c r="H3233" s="39">
        <f t="shared" si="200"/>
        <v>999</v>
      </c>
      <c r="I3233" s="23" t="str">
        <f t="shared" si="201"/>
        <v>Lucknow</v>
      </c>
      <c r="J3233" s="23">
        <f>COUNTIFS(pg_transaction_cleaned!$O:$O,A3233,pg_transaction_cleaned!$F:$F,"CAPTURE")</f>
        <v>1</v>
      </c>
      <c r="K3233" s="39">
        <f>SUMIFS(pg_transaction_cleaned!$H:$H,pg_transaction_cleaned!$O:$O,A3233,pg_transaction_cleaned!$F:$F,"CAPTURE")</f>
        <v>999</v>
      </c>
      <c r="L3233" s="23">
        <f>COUNTIFS(pg_transaction_cleaned!$O:$O,A3233,pg_transaction_cleaned!$F:$F,"REFUND")</f>
        <v>0</v>
      </c>
      <c r="M3233" s="39">
        <f>SUMIFS(pg_transaction_cleaned!$H:$H,pg_transaction_cleaned!$O:$O,A3233,pg_transaction_cleaned!$F:$F,"REFUND")</f>
        <v>0</v>
      </c>
      <c r="N3233" s="23" t="str">
        <f t="shared" si="202"/>
        <v>OK</v>
      </c>
      <c r="O3233" s="24">
        <f t="shared" si="203"/>
        <v>0</v>
      </c>
    </row>
    <row r="3234" spans="1:15" ht="15" customHeight="1" x14ac:dyDescent="0.3">
      <c r="A3234" s="23" t="s">
        <v>6962</v>
      </c>
      <c r="B3234" s="38">
        <v>46271</v>
      </c>
      <c r="C3234" s="23" t="s">
        <v>6963</v>
      </c>
      <c r="D3234" s="23" t="s">
        <v>89</v>
      </c>
      <c r="E3234" s="23" t="s">
        <v>75</v>
      </c>
      <c r="F3234" s="23" t="s">
        <v>6659</v>
      </c>
      <c r="G3234" s="23" t="s">
        <v>250</v>
      </c>
      <c r="H3234" s="39">
        <f t="shared" si="200"/>
        <v>12497</v>
      </c>
      <c r="I3234" s="23" t="str">
        <f t="shared" si="201"/>
        <v>Jaipur</v>
      </c>
      <c r="J3234" s="23">
        <f>COUNTIFS(pg_transaction_cleaned!$O:$O,A3234,pg_transaction_cleaned!$F:$F,"CAPTURE")</f>
        <v>1</v>
      </c>
      <c r="K3234" s="39">
        <f>SUMIFS(pg_transaction_cleaned!$H:$H,pg_transaction_cleaned!$O:$O,A3234,pg_transaction_cleaned!$F:$F,"CAPTURE")</f>
        <v>12497</v>
      </c>
      <c r="L3234" s="23">
        <f>COUNTIFS(pg_transaction_cleaned!$O:$O,A3234,pg_transaction_cleaned!$F:$F,"REFUND")</f>
        <v>0</v>
      </c>
      <c r="M3234" s="39">
        <f>SUMIFS(pg_transaction_cleaned!$H:$H,pg_transaction_cleaned!$O:$O,A3234,pg_transaction_cleaned!$F:$F,"REFUND")</f>
        <v>0</v>
      </c>
      <c r="N3234" s="23" t="str">
        <f t="shared" si="202"/>
        <v>OK</v>
      </c>
      <c r="O3234" s="24">
        <f t="shared" si="203"/>
        <v>0</v>
      </c>
    </row>
    <row r="3235" spans="1:15" ht="15" customHeight="1" x14ac:dyDescent="0.3">
      <c r="A3235" s="23" t="s">
        <v>6964</v>
      </c>
      <c r="B3235" s="38">
        <v>46288</v>
      </c>
      <c r="C3235" s="23" t="s">
        <v>6965</v>
      </c>
      <c r="D3235" s="23" t="s">
        <v>95</v>
      </c>
      <c r="E3235" s="23" t="s">
        <v>75</v>
      </c>
      <c r="F3235" s="23" t="s">
        <v>612</v>
      </c>
      <c r="G3235" s="23" t="s">
        <v>250</v>
      </c>
      <c r="H3235" s="39">
        <f t="shared" si="200"/>
        <v>8498</v>
      </c>
      <c r="I3235" s="23" t="str">
        <f t="shared" si="201"/>
        <v>Bengaluru</v>
      </c>
      <c r="J3235" s="23">
        <f>COUNTIFS(pg_transaction_cleaned!$O:$O,A3235,pg_transaction_cleaned!$F:$F,"CAPTURE")</f>
        <v>1</v>
      </c>
      <c r="K3235" s="39">
        <f>SUMIFS(pg_transaction_cleaned!$H:$H,pg_transaction_cleaned!$O:$O,A3235,pg_transaction_cleaned!$F:$F,"CAPTURE")</f>
        <v>8498</v>
      </c>
      <c r="L3235" s="23">
        <f>COUNTIFS(pg_transaction_cleaned!$O:$O,A3235,pg_transaction_cleaned!$F:$F,"REFUND")</f>
        <v>0</v>
      </c>
      <c r="M3235" s="39">
        <f>SUMIFS(pg_transaction_cleaned!$H:$H,pg_transaction_cleaned!$O:$O,A3235,pg_transaction_cleaned!$F:$F,"REFUND")</f>
        <v>0</v>
      </c>
      <c r="N3235" s="23" t="str">
        <f t="shared" si="202"/>
        <v>OK</v>
      </c>
      <c r="O3235" s="24">
        <f t="shared" si="203"/>
        <v>0</v>
      </c>
    </row>
    <row r="3236" spans="1:15" ht="15" customHeight="1" x14ac:dyDescent="0.3">
      <c r="A3236" s="23" t="s">
        <v>6966</v>
      </c>
      <c r="B3236" s="38">
        <v>46271</v>
      </c>
      <c r="C3236" s="23" t="s">
        <v>6967</v>
      </c>
      <c r="D3236" s="23" t="s">
        <v>95</v>
      </c>
      <c r="E3236" s="23" t="s">
        <v>77</v>
      </c>
      <c r="F3236" s="23" t="s">
        <v>6968</v>
      </c>
      <c r="G3236" s="23" t="s">
        <v>250</v>
      </c>
      <c r="H3236" s="39">
        <f t="shared" si="200"/>
        <v>8598</v>
      </c>
      <c r="I3236" s="23" t="str">
        <f t="shared" si="201"/>
        <v>Bengaluru</v>
      </c>
      <c r="J3236" s="23">
        <f>COUNTIFS(pg_transaction_cleaned!$O:$O,A3236,pg_transaction_cleaned!$F:$F,"CAPTURE")</f>
        <v>1</v>
      </c>
      <c r="K3236" s="39">
        <f>SUMIFS(pg_transaction_cleaned!$H:$H,pg_transaction_cleaned!$O:$O,A3236,pg_transaction_cleaned!$F:$F,"CAPTURE")</f>
        <v>8598</v>
      </c>
      <c r="L3236" s="23">
        <f>COUNTIFS(pg_transaction_cleaned!$O:$O,A3236,pg_transaction_cleaned!$F:$F,"REFUND")</f>
        <v>0</v>
      </c>
      <c r="M3236" s="39">
        <f>SUMIFS(pg_transaction_cleaned!$H:$H,pg_transaction_cleaned!$O:$O,A3236,pg_transaction_cleaned!$F:$F,"REFUND")</f>
        <v>0</v>
      </c>
      <c r="N3236" s="23" t="str">
        <f t="shared" si="202"/>
        <v>OK</v>
      </c>
      <c r="O3236" s="24">
        <f t="shared" si="203"/>
        <v>0</v>
      </c>
    </row>
    <row r="3237" spans="1:15" ht="15" customHeight="1" x14ac:dyDescent="0.3">
      <c r="A3237" s="23" t="s">
        <v>6969</v>
      </c>
      <c r="B3237" s="38">
        <v>46272</v>
      </c>
      <c r="C3237" s="23" t="s">
        <v>6970</v>
      </c>
      <c r="D3237" s="23" t="s">
        <v>89</v>
      </c>
      <c r="E3237" s="23" t="s">
        <v>75</v>
      </c>
      <c r="F3237" s="23" t="s">
        <v>772</v>
      </c>
      <c r="G3237" s="23" t="s">
        <v>250</v>
      </c>
      <c r="H3237" s="39">
        <f t="shared" si="200"/>
        <v>4798</v>
      </c>
      <c r="I3237" s="23" t="str">
        <f t="shared" si="201"/>
        <v>Jaipur</v>
      </c>
      <c r="J3237" s="23">
        <f>COUNTIFS(pg_transaction_cleaned!$O:$O,A3237,pg_transaction_cleaned!$F:$F,"CAPTURE")</f>
        <v>1</v>
      </c>
      <c r="K3237" s="39">
        <f>SUMIFS(pg_transaction_cleaned!$H:$H,pg_transaction_cleaned!$O:$O,A3237,pg_transaction_cleaned!$F:$F,"CAPTURE")</f>
        <v>4798</v>
      </c>
      <c r="L3237" s="23">
        <f>COUNTIFS(pg_transaction_cleaned!$O:$O,A3237,pg_transaction_cleaned!$F:$F,"REFUND")</f>
        <v>0</v>
      </c>
      <c r="M3237" s="39">
        <f>SUMIFS(pg_transaction_cleaned!$H:$H,pg_transaction_cleaned!$O:$O,A3237,pg_transaction_cleaned!$F:$F,"REFUND")</f>
        <v>0</v>
      </c>
      <c r="N3237" s="23" t="str">
        <f t="shared" si="202"/>
        <v>OK</v>
      </c>
      <c r="O3237" s="24">
        <f t="shared" si="203"/>
        <v>0</v>
      </c>
    </row>
    <row r="3238" spans="1:15" ht="15" customHeight="1" x14ac:dyDescent="0.3">
      <c r="A3238" s="23" t="s">
        <v>6971</v>
      </c>
      <c r="B3238" s="38">
        <v>46295</v>
      </c>
      <c r="C3238" s="23" t="s">
        <v>6972</v>
      </c>
      <c r="D3238" s="23" t="s">
        <v>92</v>
      </c>
      <c r="E3238" s="23" t="s">
        <v>75</v>
      </c>
      <c r="F3238" s="23" t="s">
        <v>349</v>
      </c>
      <c r="G3238" s="23" t="s">
        <v>250</v>
      </c>
      <c r="H3238" s="39">
        <f t="shared" si="200"/>
        <v>1798</v>
      </c>
      <c r="I3238" s="23" t="str">
        <f t="shared" si="201"/>
        <v>Hyderabad</v>
      </c>
      <c r="J3238" s="23">
        <f>COUNTIFS(pg_transaction_cleaned!$O:$O,A3238,pg_transaction_cleaned!$F:$F,"CAPTURE")</f>
        <v>1</v>
      </c>
      <c r="K3238" s="39">
        <f>SUMIFS(pg_transaction_cleaned!$H:$H,pg_transaction_cleaned!$O:$O,A3238,pg_transaction_cleaned!$F:$F,"CAPTURE")</f>
        <v>1798</v>
      </c>
      <c r="L3238" s="23">
        <f>COUNTIFS(pg_transaction_cleaned!$O:$O,A3238,pg_transaction_cleaned!$F:$F,"REFUND")</f>
        <v>0</v>
      </c>
      <c r="M3238" s="39">
        <f>SUMIFS(pg_transaction_cleaned!$H:$H,pg_transaction_cleaned!$O:$O,A3238,pg_transaction_cleaned!$F:$F,"REFUND")</f>
        <v>0</v>
      </c>
      <c r="N3238" s="23" t="str">
        <f t="shared" si="202"/>
        <v>OK</v>
      </c>
      <c r="O3238" s="24">
        <f t="shared" si="203"/>
        <v>0</v>
      </c>
    </row>
    <row r="3239" spans="1:15" ht="15" customHeight="1" x14ac:dyDescent="0.3">
      <c r="A3239" s="23" t="s">
        <v>6973</v>
      </c>
      <c r="B3239" s="38">
        <v>46290</v>
      </c>
      <c r="C3239" s="23" t="s">
        <v>6974</v>
      </c>
      <c r="D3239" s="23" t="s">
        <v>89</v>
      </c>
      <c r="E3239" s="23" t="s">
        <v>75</v>
      </c>
      <c r="F3239" s="23" t="s">
        <v>249</v>
      </c>
      <c r="G3239" s="23" t="s">
        <v>301</v>
      </c>
      <c r="H3239" s="39">
        <f t="shared" si="200"/>
        <v>299</v>
      </c>
      <c r="I3239" s="23" t="str">
        <f t="shared" si="201"/>
        <v>Jaipur</v>
      </c>
      <c r="J3239" s="23">
        <f>COUNTIFS(pg_transaction_cleaned!$O:$O,A3239,pg_transaction_cleaned!$F:$F,"CAPTURE")</f>
        <v>1</v>
      </c>
      <c r="K3239" s="39">
        <f>SUMIFS(pg_transaction_cleaned!$H:$H,pg_transaction_cleaned!$O:$O,A3239,pg_transaction_cleaned!$F:$F,"CAPTURE")</f>
        <v>299</v>
      </c>
      <c r="L3239" s="23">
        <f>COUNTIFS(pg_transaction_cleaned!$O:$O,A3239,pg_transaction_cleaned!$F:$F,"REFUND")</f>
        <v>1</v>
      </c>
      <c r="M3239" s="39">
        <f>SUMIFS(pg_transaction_cleaned!$H:$H,pg_transaction_cleaned!$O:$O,A3239,pg_transaction_cleaned!$F:$F,"REFUND")</f>
        <v>299</v>
      </c>
      <c r="N3239" s="23" t="str">
        <f t="shared" si="202"/>
        <v>OK</v>
      </c>
      <c r="O3239" s="24">
        <f t="shared" si="203"/>
        <v>0</v>
      </c>
    </row>
    <row r="3240" spans="1:15" ht="15" customHeight="1" x14ac:dyDescent="0.3">
      <c r="A3240" s="23" t="s">
        <v>6975</v>
      </c>
      <c r="B3240" s="38">
        <v>46291</v>
      </c>
      <c r="C3240" s="23" t="s">
        <v>6976</v>
      </c>
      <c r="D3240" s="23" t="s">
        <v>91</v>
      </c>
      <c r="E3240" s="23" t="s">
        <v>79</v>
      </c>
      <c r="F3240" s="23" t="s">
        <v>329</v>
      </c>
      <c r="G3240" s="23" t="s">
        <v>365</v>
      </c>
      <c r="H3240" s="39">
        <f t="shared" si="200"/>
        <v>599</v>
      </c>
      <c r="I3240" s="23" t="str">
        <f t="shared" si="201"/>
        <v>Pune</v>
      </c>
      <c r="J3240" s="23">
        <f>COUNTIFS(pg_transaction_cleaned!$O:$O,A3240,pg_transaction_cleaned!$F:$F,"CAPTURE")</f>
        <v>0</v>
      </c>
      <c r="K3240" s="39">
        <f>SUMIFS(pg_transaction_cleaned!$H:$H,pg_transaction_cleaned!$O:$O,A3240,pg_transaction_cleaned!$F:$F,"CAPTURE")</f>
        <v>0</v>
      </c>
      <c r="L3240" s="23">
        <f>COUNTIFS(pg_transaction_cleaned!$O:$O,A3240,pg_transaction_cleaned!$F:$F,"REFUND")</f>
        <v>0</v>
      </c>
      <c r="M3240" s="39">
        <f>SUMIFS(pg_transaction_cleaned!$H:$H,pg_transaction_cleaned!$O:$O,A3240,pg_transaction_cleaned!$F:$F,"REFUND")</f>
        <v>0</v>
      </c>
      <c r="N3240" s="23" t="str">
        <f t="shared" si="202"/>
        <v>OK</v>
      </c>
      <c r="O3240" s="24">
        <f t="shared" si="203"/>
        <v>0</v>
      </c>
    </row>
    <row r="3241" spans="1:15" ht="15" customHeight="1" x14ac:dyDescent="0.3">
      <c r="A3241" s="23" t="s">
        <v>6977</v>
      </c>
      <c r="B3241" s="38">
        <v>46287</v>
      </c>
      <c r="C3241" s="23" t="s">
        <v>6978</v>
      </c>
      <c r="D3241" s="23" t="s">
        <v>90</v>
      </c>
      <c r="E3241" s="23" t="s">
        <v>75</v>
      </c>
      <c r="F3241" s="23" t="s">
        <v>737</v>
      </c>
      <c r="G3241" s="23" t="s">
        <v>250</v>
      </c>
      <c r="H3241" s="39">
        <f t="shared" si="200"/>
        <v>9798</v>
      </c>
      <c r="I3241" s="23" t="str">
        <f t="shared" si="201"/>
        <v>Ahmedabad</v>
      </c>
      <c r="J3241" s="23">
        <f>COUNTIFS(pg_transaction_cleaned!$O:$O,A3241,pg_transaction_cleaned!$F:$F,"CAPTURE")</f>
        <v>1</v>
      </c>
      <c r="K3241" s="39">
        <f>SUMIFS(pg_transaction_cleaned!$H:$H,pg_transaction_cleaned!$O:$O,A3241,pg_transaction_cleaned!$F:$F,"CAPTURE")</f>
        <v>9798</v>
      </c>
      <c r="L3241" s="23">
        <f>COUNTIFS(pg_transaction_cleaned!$O:$O,A3241,pg_transaction_cleaned!$F:$F,"REFUND")</f>
        <v>0</v>
      </c>
      <c r="M3241" s="39">
        <f>SUMIFS(pg_transaction_cleaned!$H:$H,pg_transaction_cleaned!$O:$O,A3241,pg_transaction_cleaned!$F:$F,"REFUND")</f>
        <v>0</v>
      </c>
      <c r="N3241" s="23" t="str">
        <f t="shared" si="202"/>
        <v>OK</v>
      </c>
      <c r="O3241" s="24">
        <f t="shared" si="203"/>
        <v>0</v>
      </c>
    </row>
    <row r="3242" spans="1:15" ht="15" customHeight="1" x14ac:dyDescent="0.3">
      <c r="A3242" s="23" t="s">
        <v>6979</v>
      </c>
      <c r="B3242" s="38">
        <v>46289</v>
      </c>
      <c r="C3242" s="23" t="s">
        <v>6980</v>
      </c>
      <c r="D3242" s="23" t="s">
        <v>93</v>
      </c>
      <c r="E3242" s="23" t="s">
        <v>75</v>
      </c>
      <c r="F3242" s="23" t="s">
        <v>827</v>
      </c>
      <c r="G3242" s="23" t="s">
        <v>250</v>
      </c>
      <c r="H3242" s="39">
        <f t="shared" si="200"/>
        <v>11498</v>
      </c>
      <c r="I3242" s="23" t="str">
        <f t="shared" si="201"/>
        <v>Kolkata</v>
      </c>
      <c r="J3242" s="23">
        <f>COUNTIFS(pg_transaction_cleaned!$O:$O,A3242,pg_transaction_cleaned!$F:$F,"CAPTURE")</f>
        <v>1</v>
      </c>
      <c r="K3242" s="39">
        <f>SUMIFS(pg_transaction_cleaned!$H:$H,pg_transaction_cleaned!$O:$O,A3242,pg_transaction_cleaned!$F:$F,"CAPTURE")</f>
        <v>11498</v>
      </c>
      <c r="L3242" s="23">
        <f>COUNTIFS(pg_transaction_cleaned!$O:$O,A3242,pg_transaction_cleaned!$F:$F,"REFUND")</f>
        <v>0</v>
      </c>
      <c r="M3242" s="39">
        <f>SUMIFS(pg_transaction_cleaned!$H:$H,pg_transaction_cleaned!$O:$O,A3242,pg_transaction_cleaned!$F:$F,"REFUND")</f>
        <v>0</v>
      </c>
      <c r="N3242" s="23" t="str">
        <f t="shared" si="202"/>
        <v>OK</v>
      </c>
      <c r="O3242" s="24">
        <f t="shared" si="203"/>
        <v>0</v>
      </c>
    </row>
    <row r="3243" spans="1:15" ht="15" customHeight="1" x14ac:dyDescent="0.3">
      <c r="A3243" s="23" t="s">
        <v>6981</v>
      </c>
      <c r="B3243" s="38">
        <v>46294</v>
      </c>
      <c r="C3243" s="23" t="s">
        <v>6982</v>
      </c>
      <c r="D3243" s="23" t="s">
        <v>94</v>
      </c>
      <c r="E3243" s="23" t="s">
        <v>75</v>
      </c>
      <c r="F3243" s="23" t="s">
        <v>553</v>
      </c>
      <c r="G3243" s="23" t="s">
        <v>250</v>
      </c>
      <c r="H3243" s="39">
        <f t="shared" si="200"/>
        <v>2798</v>
      </c>
      <c r="I3243" s="23" t="str">
        <f t="shared" si="201"/>
        <v>Chennai</v>
      </c>
      <c r="J3243" s="23">
        <f>COUNTIFS(pg_transaction_cleaned!$O:$O,A3243,pg_transaction_cleaned!$F:$F,"CAPTURE")</f>
        <v>1</v>
      </c>
      <c r="K3243" s="39">
        <f>SUMIFS(pg_transaction_cleaned!$H:$H,pg_transaction_cleaned!$O:$O,A3243,pg_transaction_cleaned!$F:$F,"CAPTURE")</f>
        <v>2798</v>
      </c>
      <c r="L3243" s="23">
        <f>COUNTIFS(pg_transaction_cleaned!$O:$O,A3243,pg_transaction_cleaned!$F:$F,"REFUND")</f>
        <v>0</v>
      </c>
      <c r="M3243" s="39">
        <f>SUMIFS(pg_transaction_cleaned!$H:$H,pg_transaction_cleaned!$O:$O,A3243,pg_transaction_cleaned!$F:$F,"REFUND")</f>
        <v>0</v>
      </c>
      <c r="N3243" s="23" t="str">
        <f t="shared" si="202"/>
        <v>OK</v>
      </c>
      <c r="O3243" s="24">
        <f t="shared" si="203"/>
        <v>0</v>
      </c>
    </row>
    <row r="3244" spans="1:15" ht="15" customHeight="1" x14ac:dyDescent="0.3">
      <c r="A3244" s="23" t="s">
        <v>6983</v>
      </c>
      <c r="B3244" s="38">
        <v>46292</v>
      </c>
      <c r="C3244" s="23" t="s">
        <v>6984</v>
      </c>
      <c r="D3244" s="23" t="s">
        <v>91</v>
      </c>
      <c r="E3244" s="23" t="s">
        <v>77</v>
      </c>
      <c r="F3244" s="23" t="s">
        <v>1372</v>
      </c>
      <c r="G3244" s="23" t="s">
        <v>250</v>
      </c>
      <c r="H3244" s="39">
        <f t="shared" si="200"/>
        <v>798</v>
      </c>
      <c r="I3244" s="23" t="str">
        <f t="shared" si="201"/>
        <v>Pune</v>
      </c>
      <c r="J3244" s="23">
        <f>COUNTIFS(pg_transaction_cleaned!$O:$O,A3244,pg_transaction_cleaned!$F:$F,"CAPTURE")</f>
        <v>1</v>
      </c>
      <c r="K3244" s="39">
        <f>SUMIFS(pg_transaction_cleaned!$H:$H,pg_transaction_cleaned!$O:$O,A3244,pg_transaction_cleaned!$F:$F,"CAPTURE")</f>
        <v>798</v>
      </c>
      <c r="L3244" s="23">
        <f>COUNTIFS(pg_transaction_cleaned!$O:$O,A3244,pg_transaction_cleaned!$F:$F,"REFUND")</f>
        <v>0</v>
      </c>
      <c r="M3244" s="39">
        <f>SUMIFS(pg_transaction_cleaned!$H:$H,pg_transaction_cleaned!$O:$O,A3244,pg_transaction_cleaned!$F:$F,"REFUND")</f>
        <v>0</v>
      </c>
      <c r="N3244" s="23" t="str">
        <f t="shared" si="202"/>
        <v>OK</v>
      </c>
      <c r="O3244" s="24">
        <f t="shared" si="203"/>
        <v>0</v>
      </c>
    </row>
    <row r="3245" spans="1:15" ht="15" customHeight="1" x14ac:dyDescent="0.3">
      <c r="A3245" s="23" t="s">
        <v>6985</v>
      </c>
      <c r="B3245" s="38">
        <v>46293</v>
      </c>
      <c r="C3245" s="23" t="s">
        <v>6986</v>
      </c>
      <c r="D3245" s="23" t="s">
        <v>88</v>
      </c>
      <c r="E3245" s="23" t="s">
        <v>79</v>
      </c>
      <c r="F3245" s="23" t="s">
        <v>6987</v>
      </c>
      <c r="G3245" s="23" t="s">
        <v>250</v>
      </c>
      <c r="H3245" s="39">
        <f t="shared" si="200"/>
        <v>9397</v>
      </c>
      <c r="I3245" s="23" t="str">
        <f t="shared" si="201"/>
        <v>Lucknow</v>
      </c>
      <c r="J3245" s="23">
        <f>COUNTIFS(pg_transaction_cleaned!$O:$O,A3245,pg_transaction_cleaned!$F:$F,"CAPTURE")</f>
        <v>1</v>
      </c>
      <c r="K3245" s="39">
        <f>SUMIFS(pg_transaction_cleaned!$H:$H,pg_transaction_cleaned!$O:$O,A3245,pg_transaction_cleaned!$F:$F,"CAPTURE")</f>
        <v>9397</v>
      </c>
      <c r="L3245" s="23">
        <f>COUNTIFS(pg_transaction_cleaned!$O:$O,A3245,pg_transaction_cleaned!$F:$F,"REFUND")</f>
        <v>0</v>
      </c>
      <c r="M3245" s="39">
        <f>SUMIFS(pg_transaction_cleaned!$H:$H,pg_transaction_cleaned!$O:$O,A3245,pg_transaction_cleaned!$F:$F,"REFUND")</f>
        <v>0</v>
      </c>
      <c r="N3245" s="23" t="str">
        <f t="shared" si="202"/>
        <v>OK</v>
      </c>
      <c r="O3245" s="24">
        <f t="shared" si="203"/>
        <v>0</v>
      </c>
    </row>
    <row r="3246" spans="1:15" ht="15" customHeight="1" x14ac:dyDescent="0.3">
      <c r="A3246" s="23" t="s">
        <v>6988</v>
      </c>
      <c r="B3246" s="38">
        <v>46280</v>
      </c>
      <c r="C3246" s="23" t="s">
        <v>6989</v>
      </c>
      <c r="D3246" s="23" t="s">
        <v>88</v>
      </c>
      <c r="E3246" s="23" t="s">
        <v>79</v>
      </c>
      <c r="F3246" s="23" t="s">
        <v>6990</v>
      </c>
      <c r="G3246" s="23" t="s">
        <v>365</v>
      </c>
      <c r="H3246" s="39">
        <f t="shared" si="200"/>
        <v>1848</v>
      </c>
      <c r="I3246" s="23" t="str">
        <f t="shared" si="201"/>
        <v>Lucknow</v>
      </c>
      <c r="J3246" s="23">
        <f>COUNTIFS(pg_transaction_cleaned!$O:$O,A3246,pg_transaction_cleaned!$F:$F,"CAPTURE")</f>
        <v>0</v>
      </c>
      <c r="K3246" s="39">
        <f>SUMIFS(pg_transaction_cleaned!$H:$H,pg_transaction_cleaned!$O:$O,A3246,pg_transaction_cleaned!$F:$F,"CAPTURE")</f>
        <v>0</v>
      </c>
      <c r="L3246" s="23">
        <f>COUNTIFS(pg_transaction_cleaned!$O:$O,A3246,pg_transaction_cleaned!$F:$F,"REFUND")</f>
        <v>0</v>
      </c>
      <c r="M3246" s="39">
        <f>SUMIFS(pg_transaction_cleaned!$H:$H,pg_transaction_cleaned!$O:$O,A3246,pg_transaction_cleaned!$F:$F,"REFUND")</f>
        <v>0</v>
      </c>
      <c r="N3246" s="23" t="str">
        <f t="shared" si="202"/>
        <v>OK</v>
      </c>
      <c r="O3246" s="24">
        <f t="shared" si="203"/>
        <v>0</v>
      </c>
    </row>
    <row r="3247" spans="1:15" ht="15" customHeight="1" x14ac:dyDescent="0.3">
      <c r="A3247" s="23" t="s">
        <v>6991</v>
      </c>
      <c r="B3247" s="38">
        <v>46279</v>
      </c>
      <c r="C3247" s="23" t="s">
        <v>6992</v>
      </c>
      <c r="D3247" s="23" t="s">
        <v>94</v>
      </c>
      <c r="E3247" s="23" t="s">
        <v>75</v>
      </c>
      <c r="F3247" s="23" t="s">
        <v>737</v>
      </c>
      <c r="G3247" s="23" t="s">
        <v>250</v>
      </c>
      <c r="H3247" s="39">
        <f t="shared" si="200"/>
        <v>9798</v>
      </c>
      <c r="I3247" s="23" t="str">
        <f t="shared" si="201"/>
        <v>Chennai</v>
      </c>
      <c r="J3247" s="23">
        <f>COUNTIFS(pg_transaction_cleaned!$O:$O,A3247,pg_transaction_cleaned!$F:$F,"CAPTURE")</f>
        <v>1</v>
      </c>
      <c r="K3247" s="39">
        <f>SUMIFS(pg_transaction_cleaned!$H:$H,pg_transaction_cleaned!$O:$O,A3247,pg_transaction_cleaned!$F:$F,"CAPTURE")</f>
        <v>9798</v>
      </c>
      <c r="L3247" s="23">
        <f>COUNTIFS(pg_transaction_cleaned!$O:$O,A3247,pg_transaction_cleaned!$F:$F,"REFUND")</f>
        <v>0</v>
      </c>
      <c r="M3247" s="39">
        <f>SUMIFS(pg_transaction_cleaned!$H:$H,pg_transaction_cleaned!$O:$O,A3247,pg_transaction_cleaned!$F:$F,"REFUND")</f>
        <v>0</v>
      </c>
      <c r="N3247" s="23" t="str">
        <f t="shared" si="202"/>
        <v>OK</v>
      </c>
      <c r="O3247" s="24">
        <f t="shared" si="203"/>
        <v>0</v>
      </c>
    </row>
    <row r="3248" spans="1:15" ht="15" customHeight="1" x14ac:dyDescent="0.3">
      <c r="A3248" s="23" t="s">
        <v>6993</v>
      </c>
      <c r="B3248" s="38">
        <v>46287</v>
      </c>
      <c r="C3248" s="23" t="s">
        <v>6994</v>
      </c>
      <c r="D3248" s="23" t="s">
        <v>93</v>
      </c>
      <c r="E3248" s="23" t="s">
        <v>77</v>
      </c>
      <c r="F3248" s="23" t="s">
        <v>337</v>
      </c>
      <c r="G3248" s="23" t="s">
        <v>250</v>
      </c>
      <c r="H3248" s="39">
        <f t="shared" si="200"/>
        <v>3998</v>
      </c>
      <c r="I3248" s="23" t="str">
        <f t="shared" si="201"/>
        <v>Kolkata</v>
      </c>
      <c r="J3248" s="23">
        <f>COUNTIFS(pg_transaction_cleaned!$O:$O,A3248,pg_transaction_cleaned!$F:$F,"CAPTURE")</f>
        <v>1</v>
      </c>
      <c r="K3248" s="39">
        <f>SUMIFS(pg_transaction_cleaned!$H:$H,pg_transaction_cleaned!$O:$O,A3248,pg_transaction_cleaned!$F:$F,"CAPTURE")</f>
        <v>3998</v>
      </c>
      <c r="L3248" s="23">
        <f>COUNTIFS(pg_transaction_cleaned!$O:$O,A3248,pg_transaction_cleaned!$F:$F,"REFUND")</f>
        <v>0</v>
      </c>
      <c r="M3248" s="39">
        <f>SUMIFS(pg_transaction_cleaned!$H:$H,pg_transaction_cleaned!$O:$O,A3248,pg_transaction_cleaned!$F:$F,"REFUND")</f>
        <v>0</v>
      </c>
      <c r="N3248" s="23" t="str">
        <f t="shared" si="202"/>
        <v>OK</v>
      </c>
      <c r="O3248" s="24">
        <f t="shared" si="203"/>
        <v>0</v>
      </c>
    </row>
    <row r="3249" spans="1:15" ht="15" customHeight="1" x14ac:dyDescent="0.3">
      <c r="A3249" s="23" t="s">
        <v>6995</v>
      </c>
      <c r="B3249" s="38">
        <v>46278</v>
      </c>
      <c r="C3249" s="23" t="s">
        <v>6996</v>
      </c>
      <c r="D3249" s="23" t="s">
        <v>86</v>
      </c>
      <c r="E3249" s="23" t="s">
        <v>75</v>
      </c>
      <c r="F3249" s="23" t="s">
        <v>291</v>
      </c>
      <c r="G3249" s="23" t="s">
        <v>318</v>
      </c>
      <c r="H3249" s="39">
        <f t="shared" si="200"/>
        <v>3499</v>
      </c>
      <c r="I3249" s="23" t="str">
        <f t="shared" si="201"/>
        <v>Delhi</v>
      </c>
      <c r="J3249" s="23">
        <f>COUNTIFS(pg_transaction_cleaned!$O:$O,A3249,pg_transaction_cleaned!$F:$F,"CAPTURE")</f>
        <v>0</v>
      </c>
      <c r="K3249" s="39">
        <f>SUMIFS(pg_transaction_cleaned!$H:$H,pg_transaction_cleaned!$O:$O,A3249,pg_transaction_cleaned!$F:$F,"CAPTURE")</f>
        <v>0</v>
      </c>
      <c r="L3249" s="23">
        <f>COUNTIFS(pg_transaction_cleaned!$O:$O,A3249,pg_transaction_cleaned!$F:$F,"REFUND")</f>
        <v>0</v>
      </c>
      <c r="M3249" s="39">
        <f>SUMIFS(pg_transaction_cleaned!$H:$H,pg_transaction_cleaned!$O:$O,A3249,pg_transaction_cleaned!$F:$F,"REFUND")</f>
        <v>0</v>
      </c>
      <c r="N3249" s="23" t="str">
        <f t="shared" si="202"/>
        <v>OK</v>
      </c>
      <c r="O3249" s="24">
        <f t="shared" si="203"/>
        <v>0</v>
      </c>
    </row>
    <row r="3250" spans="1:15" ht="15" customHeight="1" x14ac:dyDescent="0.3">
      <c r="A3250" s="23" t="s">
        <v>6997</v>
      </c>
      <c r="B3250" s="38">
        <v>46285</v>
      </c>
      <c r="C3250" s="23" t="s">
        <v>6998</v>
      </c>
      <c r="D3250" s="23" t="s">
        <v>95</v>
      </c>
      <c r="E3250" s="23" t="s">
        <v>75</v>
      </c>
      <c r="F3250" s="23" t="s">
        <v>271</v>
      </c>
      <c r="G3250" s="23" t="s">
        <v>250</v>
      </c>
      <c r="H3250" s="39">
        <f t="shared" si="200"/>
        <v>2499</v>
      </c>
      <c r="I3250" s="23" t="str">
        <f t="shared" si="201"/>
        <v>Bengaluru</v>
      </c>
      <c r="J3250" s="23">
        <f>COUNTIFS(pg_transaction_cleaned!$O:$O,A3250,pg_transaction_cleaned!$F:$F,"CAPTURE")</f>
        <v>1</v>
      </c>
      <c r="K3250" s="39">
        <f>SUMIFS(pg_transaction_cleaned!$H:$H,pg_transaction_cleaned!$O:$O,A3250,pg_transaction_cleaned!$F:$F,"CAPTURE")</f>
        <v>2499</v>
      </c>
      <c r="L3250" s="23">
        <f>COUNTIFS(pg_transaction_cleaned!$O:$O,A3250,pg_transaction_cleaned!$F:$F,"REFUND")</f>
        <v>0</v>
      </c>
      <c r="M3250" s="39">
        <f>SUMIFS(pg_transaction_cleaned!$H:$H,pg_transaction_cleaned!$O:$O,A3250,pg_transaction_cleaned!$F:$F,"REFUND")</f>
        <v>0</v>
      </c>
      <c r="N3250" s="23" t="str">
        <f t="shared" si="202"/>
        <v>OK</v>
      </c>
      <c r="O3250" s="24">
        <f t="shared" si="203"/>
        <v>0</v>
      </c>
    </row>
    <row r="3251" spans="1:15" ht="15" customHeight="1" x14ac:dyDescent="0.3">
      <c r="A3251" s="23" t="s">
        <v>6999</v>
      </c>
      <c r="B3251" s="38">
        <v>46275</v>
      </c>
      <c r="C3251" s="23" t="s">
        <v>7000</v>
      </c>
      <c r="D3251" s="23" t="s">
        <v>94</v>
      </c>
      <c r="E3251" s="23" t="s">
        <v>77</v>
      </c>
      <c r="F3251" s="23" t="s">
        <v>288</v>
      </c>
      <c r="G3251" s="23" t="s">
        <v>250</v>
      </c>
      <c r="H3251" s="39">
        <f t="shared" si="200"/>
        <v>4298</v>
      </c>
      <c r="I3251" s="23" t="str">
        <f t="shared" si="201"/>
        <v>Chennai</v>
      </c>
      <c r="J3251" s="23">
        <f>COUNTIFS(pg_transaction_cleaned!$O:$O,A3251,pg_transaction_cleaned!$F:$F,"CAPTURE")</f>
        <v>1</v>
      </c>
      <c r="K3251" s="39">
        <f>SUMIFS(pg_transaction_cleaned!$H:$H,pg_transaction_cleaned!$O:$O,A3251,pg_transaction_cleaned!$F:$F,"CAPTURE")</f>
        <v>4298</v>
      </c>
      <c r="L3251" s="23">
        <f>COUNTIFS(pg_transaction_cleaned!$O:$O,A3251,pg_transaction_cleaned!$F:$F,"REFUND")</f>
        <v>0</v>
      </c>
      <c r="M3251" s="39">
        <f>SUMIFS(pg_transaction_cleaned!$H:$H,pg_transaction_cleaned!$O:$O,A3251,pg_transaction_cleaned!$F:$F,"REFUND")</f>
        <v>0</v>
      </c>
      <c r="N3251" s="23" t="str">
        <f t="shared" si="202"/>
        <v>OK</v>
      </c>
      <c r="O3251" s="24">
        <f t="shared" si="203"/>
        <v>0</v>
      </c>
    </row>
    <row r="3252" spans="1:15" ht="15" customHeight="1" x14ac:dyDescent="0.3">
      <c r="A3252" s="23" t="s">
        <v>7001</v>
      </c>
      <c r="B3252" s="38">
        <v>46273</v>
      </c>
      <c r="C3252" s="23" t="s">
        <v>7002</v>
      </c>
      <c r="D3252" s="23" t="s">
        <v>92</v>
      </c>
      <c r="E3252" s="23" t="s">
        <v>79</v>
      </c>
      <c r="F3252" s="23" t="s">
        <v>307</v>
      </c>
      <c r="G3252" s="23" t="s">
        <v>250</v>
      </c>
      <c r="H3252" s="39">
        <f t="shared" si="200"/>
        <v>3798</v>
      </c>
      <c r="I3252" s="23" t="str">
        <f t="shared" si="201"/>
        <v>Hyderabad</v>
      </c>
      <c r="J3252" s="23">
        <f>COUNTIFS(pg_transaction_cleaned!$O:$O,A3252,pg_transaction_cleaned!$F:$F,"CAPTURE")</f>
        <v>1</v>
      </c>
      <c r="K3252" s="39">
        <f>SUMIFS(pg_transaction_cleaned!$H:$H,pg_transaction_cleaned!$O:$O,A3252,pg_transaction_cleaned!$F:$F,"CAPTURE")</f>
        <v>3798</v>
      </c>
      <c r="L3252" s="23">
        <f>COUNTIFS(pg_transaction_cleaned!$O:$O,A3252,pg_transaction_cleaned!$F:$F,"REFUND")</f>
        <v>0</v>
      </c>
      <c r="M3252" s="39">
        <f>SUMIFS(pg_transaction_cleaned!$H:$H,pg_transaction_cleaned!$O:$O,A3252,pg_transaction_cleaned!$F:$F,"REFUND")</f>
        <v>0</v>
      </c>
      <c r="N3252" s="23" t="str">
        <f t="shared" si="202"/>
        <v>OK</v>
      </c>
      <c r="O3252" s="24">
        <f t="shared" si="203"/>
        <v>0</v>
      </c>
    </row>
    <row r="3253" spans="1:15" ht="15" customHeight="1" x14ac:dyDescent="0.3">
      <c r="A3253" s="23" t="s">
        <v>7003</v>
      </c>
      <c r="B3253" s="38">
        <v>46294</v>
      </c>
      <c r="C3253" s="23" t="s">
        <v>7004</v>
      </c>
      <c r="D3253" s="23" t="s">
        <v>90</v>
      </c>
      <c r="E3253" s="23" t="s">
        <v>75</v>
      </c>
      <c r="F3253" s="23" t="s">
        <v>271</v>
      </c>
      <c r="G3253" s="23" t="s">
        <v>250</v>
      </c>
      <c r="H3253" s="39">
        <f t="shared" si="200"/>
        <v>2499</v>
      </c>
      <c r="I3253" s="23" t="str">
        <f t="shared" si="201"/>
        <v>Ahmedabad</v>
      </c>
      <c r="J3253" s="23">
        <f>COUNTIFS(pg_transaction_cleaned!$O:$O,A3253,pg_transaction_cleaned!$F:$F,"CAPTURE")</f>
        <v>1</v>
      </c>
      <c r="K3253" s="39">
        <f>SUMIFS(pg_transaction_cleaned!$H:$H,pg_transaction_cleaned!$O:$O,A3253,pg_transaction_cleaned!$F:$F,"CAPTURE")</f>
        <v>2499</v>
      </c>
      <c r="L3253" s="23">
        <f>COUNTIFS(pg_transaction_cleaned!$O:$O,A3253,pg_transaction_cleaned!$F:$F,"REFUND")</f>
        <v>0</v>
      </c>
      <c r="M3253" s="39">
        <f>SUMIFS(pg_transaction_cleaned!$H:$H,pg_transaction_cleaned!$O:$O,A3253,pg_transaction_cleaned!$F:$F,"REFUND")</f>
        <v>0</v>
      </c>
      <c r="N3253" s="23" t="str">
        <f t="shared" si="202"/>
        <v>OK</v>
      </c>
      <c r="O3253" s="24">
        <f t="shared" si="203"/>
        <v>0</v>
      </c>
    </row>
    <row r="3254" spans="1:15" ht="15" customHeight="1" x14ac:dyDescent="0.3">
      <c r="A3254" s="23" t="s">
        <v>7005</v>
      </c>
      <c r="B3254" s="38">
        <v>46270</v>
      </c>
      <c r="C3254" s="23" t="s">
        <v>7006</v>
      </c>
      <c r="D3254" s="23" t="s">
        <v>90</v>
      </c>
      <c r="E3254" s="23" t="s">
        <v>77</v>
      </c>
      <c r="F3254" s="23" t="s">
        <v>300</v>
      </c>
      <c r="G3254" s="23" t="s">
        <v>250</v>
      </c>
      <c r="H3254" s="39">
        <f t="shared" si="200"/>
        <v>2598</v>
      </c>
      <c r="I3254" s="23" t="str">
        <f t="shared" si="201"/>
        <v>Ahmedabad</v>
      </c>
      <c r="J3254" s="23">
        <f>COUNTIFS(pg_transaction_cleaned!$O:$O,A3254,pg_transaction_cleaned!$F:$F,"CAPTURE")</f>
        <v>1</v>
      </c>
      <c r="K3254" s="39">
        <f>SUMIFS(pg_transaction_cleaned!$H:$H,pg_transaction_cleaned!$O:$O,A3254,pg_transaction_cleaned!$F:$F,"CAPTURE")</f>
        <v>2598</v>
      </c>
      <c r="L3254" s="23">
        <f>COUNTIFS(pg_transaction_cleaned!$O:$O,A3254,pg_transaction_cleaned!$F:$F,"REFUND")</f>
        <v>0</v>
      </c>
      <c r="M3254" s="39">
        <f>SUMIFS(pg_transaction_cleaned!$H:$H,pg_transaction_cleaned!$O:$O,A3254,pg_transaction_cleaned!$F:$F,"REFUND")</f>
        <v>0</v>
      </c>
      <c r="N3254" s="23" t="str">
        <f t="shared" si="202"/>
        <v>OK</v>
      </c>
      <c r="O3254" s="24">
        <f t="shared" si="203"/>
        <v>0</v>
      </c>
    </row>
    <row r="3255" spans="1:15" ht="15" customHeight="1" x14ac:dyDescent="0.3">
      <c r="A3255" s="23" t="s">
        <v>7007</v>
      </c>
      <c r="B3255" s="38">
        <v>46284</v>
      </c>
      <c r="C3255" s="23" t="s">
        <v>7008</v>
      </c>
      <c r="D3255" s="23" t="s">
        <v>90</v>
      </c>
      <c r="E3255" s="23" t="s">
        <v>75</v>
      </c>
      <c r="F3255" s="23" t="s">
        <v>553</v>
      </c>
      <c r="G3255" s="23" t="s">
        <v>250</v>
      </c>
      <c r="H3255" s="39">
        <f t="shared" si="200"/>
        <v>2798</v>
      </c>
      <c r="I3255" s="23" t="str">
        <f t="shared" si="201"/>
        <v>Ahmedabad</v>
      </c>
      <c r="J3255" s="23">
        <f>COUNTIFS(pg_transaction_cleaned!$O:$O,A3255,pg_transaction_cleaned!$F:$F,"CAPTURE")</f>
        <v>1</v>
      </c>
      <c r="K3255" s="39">
        <f>SUMIFS(pg_transaction_cleaned!$H:$H,pg_transaction_cleaned!$O:$O,A3255,pg_transaction_cleaned!$F:$F,"CAPTURE")</f>
        <v>2798</v>
      </c>
      <c r="L3255" s="23">
        <f>COUNTIFS(pg_transaction_cleaned!$O:$O,A3255,pg_transaction_cleaned!$F:$F,"REFUND")</f>
        <v>0</v>
      </c>
      <c r="M3255" s="39">
        <f>SUMIFS(pg_transaction_cleaned!$H:$H,pg_transaction_cleaned!$O:$O,A3255,pg_transaction_cleaned!$F:$F,"REFUND")</f>
        <v>0</v>
      </c>
      <c r="N3255" s="23" t="str">
        <f t="shared" si="202"/>
        <v>OK</v>
      </c>
      <c r="O3255" s="24">
        <f t="shared" si="203"/>
        <v>0</v>
      </c>
    </row>
    <row r="3256" spans="1:15" ht="15" customHeight="1" x14ac:dyDescent="0.3">
      <c r="A3256" s="23" t="s">
        <v>7009</v>
      </c>
      <c r="B3256" s="38">
        <v>46275</v>
      </c>
      <c r="C3256" s="23" t="s">
        <v>7010</v>
      </c>
      <c r="D3256" s="23" t="s">
        <v>92</v>
      </c>
      <c r="E3256" s="23" t="s">
        <v>79</v>
      </c>
      <c r="F3256" s="23" t="s">
        <v>587</v>
      </c>
      <c r="G3256" s="23" t="s">
        <v>250</v>
      </c>
      <c r="H3256" s="39">
        <f t="shared" si="200"/>
        <v>5297</v>
      </c>
      <c r="I3256" s="23" t="str">
        <f t="shared" si="201"/>
        <v>Hyderabad</v>
      </c>
      <c r="J3256" s="23">
        <f>COUNTIFS(pg_transaction_cleaned!$O:$O,A3256,pg_transaction_cleaned!$F:$F,"CAPTURE")</f>
        <v>1</v>
      </c>
      <c r="K3256" s="39">
        <f>SUMIFS(pg_transaction_cleaned!$H:$H,pg_transaction_cleaned!$O:$O,A3256,pg_transaction_cleaned!$F:$F,"CAPTURE")</f>
        <v>5297</v>
      </c>
      <c r="L3256" s="23">
        <f>COUNTIFS(pg_transaction_cleaned!$O:$O,A3256,pg_transaction_cleaned!$F:$F,"REFUND")</f>
        <v>0</v>
      </c>
      <c r="M3256" s="39">
        <f>SUMIFS(pg_transaction_cleaned!$H:$H,pg_transaction_cleaned!$O:$O,A3256,pg_transaction_cleaned!$F:$F,"REFUND")</f>
        <v>0</v>
      </c>
      <c r="N3256" s="23" t="str">
        <f t="shared" si="202"/>
        <v>OK</v>
      </c>
      <c r="O3256" s="24">
        <f t="shared" si="203"/>
        <v>0</v>
      </c>
    </row>
    <row r="3257" spans="1:15" ht="15" customHeight="1" x14ac:dyDescent="0.3">
      <c r="A3257" s="23" t="s">
        <v>7011</v>
      </c>
      <c r="B3257" s="38">
        <v>46278</v>
      </c>
      <c r="C3257" s="23" t="s">
        <v>7012</v>
      </c>
      <c r="D3257" s="23" t="s">
        <v>89</v>
      </c>
      <c r="E3257" s="23" t="s">
        <v>75</v>
      </c>
      <c r="F3257" s="23" t="s">
        <v>274</v>
      </c>
      <c r="G3257" s="23" t="s">
        <v>318</v>
      </c>
      <c r="H3257" s="39">
        <f t="shared" si="200"/>
        <v>349</v>
      </c>
      <c r="I3257" s="23" t="str">
        <f t="shared" si="201"/>
        <v>Jaipur</v>
      </c>
      <c r="J3257" s="23">
        <f>COUNTIFS(pg_transaction_cleaned!$O:$O,A3257,pg_transaction_cleaned!$F:$F,"CAPTURE")</f>
        <v>0</v>
      </c>
      <c r="K3257" s="39">
        <f>SUMIFS(pg_transaction_cleaned!$H:$H,pg_transaction_cleaned!$O:$O,A3257,pg_transaction_cleaned!$F:$F,"CAPTURE")</f>
        <v>0</v>
      </c>
      <c r="L3257" s="23">
        <f>COUNTIFS(pg_transaction_cleaned!$O:$O,A3257,pg_transaction_cleaned!$F:$F,"REFUND")</f>
        <v>0</v>
      </c>
      <c r="M3257" s="39">
        <f>SUMIFS(pg_transaction_cleaned!$H:$H,pg_transaction_cleaned!$O:$O,A3257,pg_transaction_cleaned!$F:$F,"REFUND")</f>
        <v>0</v>
      </c>
      <c r="N3257" s="23" t="str">
        <f t="shared" si="202"/>
        <v>OK</v>
      </c>
      <c r="O3257" s="24">
        <f t="shared" si="203"/>
        <v>0</v>
      </c>
    </row>
    <row r="3258" spans="1:15" ht="15" customHeight="1" x14ac:dyDescent="0.3">
      <c r="A3258" s="23" t="s">
        <v>7013</v>
      </c>
      <c r="B3258" s="38">
        <v>46293</v>
      </c>
      <c r="C3258" s="23" t="s">
        <v>7014</v>
      </c>
      <c r="D3258" s="23" t="s">
        <v>89</v>
      </c>
      <c r="E3258" s="23" t="s">
        <v>75</v>
      </c>
      <c r="F3258" s="23" t="s">
        <v>274</v>
      </c>
      <c r="G3258" s="23" t="s">
        <v>250</v>
      </c>
      <c r="H3258" s="39">
        <f t="shared" si="200"/>
        <v>349</v>
      </c>
      <c r="I3258" s="23" t="str">
        <f t="shared" si="201"/>
        <v>Jaipur</v>
      </c>
      <c r="J3258" s="23">
        <f>COUNTIFS(pg_transaction_cleaned!$O:$O,A3258,pg_transaction_cleaned!$F:$F,"CAPTURE")</f>
        <v>1</v>
      </c>
      <c r="K3258" s="39">
        <f>SUMIFS(pg_transaction_cleaned!$H:$H,pg_transaction_cleaned!$O:$O,A3258,pg_transaction_cleaned!$F:$F,"CAPTURE")</f>
        <v>349</v>
      </c>
      <c r="L3258" s="23">
        <f>COUNTIFS(pg_transaction_cleaned!$O:$O,A3258,pg_transaction_cleaned!$F:$F,"REFUND")</f>
        <v>0</v>
      </c>
      <c r="M3258" s="39">
        <f>SUMIFS(pg_transaction_cleaned!$H:$H,pg_transaction_cleaned!$O:$O,A3258,pg_transaction_cleaned!$F:$F,"REFUND")</f>
        <v>0</v>
      </c>
      <c r="N3258" s="23" t="str">
        <f t="shared" si="202"/>
        <v>OK</v>
      </c>
      <c r="O3258" s="24">
        <f t="shared" si="203"/>
        <v>0</v>
      </c>
    </row>
    <row r="3259" spans="1:15" ht="15" customHeight="1" x14ac:dyDescent="0.3">
      <c r="A3259" s="23" t="s">
        <v>7015</v>
      </c>
      <c r="B3259" s="38">
        <v>46286</v>
      </c>
      <c r="C3259" s="23" t="s">
        <v>7016</v>
      </c>
      <c r="D3259" s="23" t="s">
        <v>91</v>
      </c>
      <c r="E3259" s="23" t="s">
        <v>79</v>
      </c>
      <c r="F3259" s="23" t="s">
        <v>329</v>
      </c>
      <c r="G3259" s="23" t="s">
        <v>250</v>
      </c>
      <c r="H3259" s="39">
        <f t="shared" si="200"/>
        <v>599</v>
      </c>
      <c r="I3259" s="23" t="str">
        <f t="shared" si="201"/>
        <v>Pune</v>
      </c>
      <c r="J3259" s="23">
        <f>COUNTIFS(pg_transaction_cleaned!$O:$O,A3259,pg_transaction_cleaned!$F:$F,"CAPTURE")</f>
        <v>1</v>
      </c>
      <c r="K3259" s="39">
        <f>SUMIFS(pg_transaction_cleaned!$H:$H,pg_transaction_cleaned!$O:$O,A3259,pg_transaction_cleaned!$F:$F,"CAPTURE")</f>
        <v>599</v>
      </c>
      <c r="L3259" s="23">
        <f>COUNTIFS(pg_transaction_cleaned!$O:$O,A3259,pg_transaction_cleaned!$F:$F,"REFUND")</f>
        <v>0</v>
      </c>
      <c r="M3259" s="39">
        <f>SUMIFS(pg_transaction_cleaned!$H:$H,pg_transaction_cleaned!$O:$O,A3259,pg_transaction_cleaned!$F:$F,"REFUND")</f>
        <v>0</v>
      </c>
      <c r="N3259" s="23" t="str">
        <f t="shared" si="202"/>
        <v>OK</v>
      </c>
      <c r="O3259" s="24">
        <f t="shared" si="203"/>
        <v>0</v>
      </c>
    </row>
    <row r="3260" spans="1:15" ht="15" customHeight="1" x14ac:dyDescent="0.3">
      <c r="A3260" s="23" t="s">
        <v>7017</v>
      </c>
      <c r="B3260" s="38">
        <v>46278</v>
      </c>
      <c r="C3260" s="23" t="s">
        <v>7018</v>
      </c>
      <c r="D3260" s="23" t="s">
        <v>94</v>
      </c>
      <c r="E3260" s="23" t="s">
        <v>75</v>
      </c>
      <c r="F3260" s="23" t="s">
        <v>297</v>
      </c>
      <c r="G3260" s="23" t="s">
        <v>250</v>
      </c>
      <c r="H3260" s="39">
        <f t="shared" si="200"/>
        <v>4999</v>
      </c>
      <c r="I3260" s="23" t="str">
        <f t="shared" si="201"/>
        <v>Chennai</v>
      </c>
      <c r="J3260" s="23">
        <f>COUNTIFS(pg_transaction_cleaned!$O:$O,A3260,pg_transaction_cleaned!$F:$F,"CAPTURE")</f>
        <v>1</v>
      </c>
      <c r="K3260" s="39">
        <f>SUMIFS(pg_transaction_cleaned!$H:$H,pg_transaction_cleaned!$O:$O,A3260,pg_transaction_cleaned!$F:$F,"CAPTURE")</f>
        <v>4999</v>
      </c>
      <c r="L3260" s="23">
        <f>COUNTIFS(pg_transaction_cleaned!$O:$O,A3260,pg_transaction_cleaned!$F:$F,"REFUND")</f>
        <v>0</v>
      </c>
      <c r="M3260" s="39">
        <f>SUMIFS(pg_transaction_cleaned!$H:$H,pg_transaction_cleaned!$O:$O,A3260,pg_transaction_cleaned!$F:$F,"REFUND")</f>
        <v>0</v>
      </c>
      <c r="N3260" s="23" t="str">
        <f t="shared" si="202"/>
        <v>OK</v>
      </c>
      <c r="O3260" s="24">
        <f t="shared" si="203"/>
        <v>0</v>
      </c>
    </row>
    <row r="3261" spans="1:15" ht="15" customHeight="1" x14ac:dyDescent="0.3">
      <c r="A3261" s="23" t="s">
        <v>7019</v>
      </c>
      <c r="B3261" s="38">
        <v>46266</v>
      </c>
      <c r="C3261" s="23" t="s">
        <v>7020</v>
      </c>
      <c r="D3261" s="23" t="s">
        <v>94</v>
      </c>
      <c r="E3261" s="23" t="s">
        <v>81</v>
      </c>
      <c r="F3261" s="23" t="s">
        <v>1193</v>
      </c>
      <c r="G3261" s="23" t="s">
        <v>250</v>
      </c>
      <c r="H3261" s="39">
        <f t="shared" si="200"/>
        <v>3498</v>
      </c>
      <c r="I3261" s="23" t="str">
        <f t="shared" si="201"/>
        <v>Chennai</v>
      </c>
      <c r="J3261" s="23">
        <f>COUNTIFS(pg_transaction_cleaned!$O:$O,A3261,pg_transaction_cleaned!$F:$F,"CAPTURE")</f>
        <v>1</v>
      </c>
      <c r="K3261" s="39">
        <f>SUMIFS(pg_transaction_cleaned!$H:$H,pg_transaction_cleaned!$O:$O,A3261,pg_transaction_cleaned!$F:$F,"CAPTURE")</f>
        <v>3498</v>
      </c>
      <c r="L3261" s="23">
        <f>COUNTIFS(pg_transaction_cleaned!$O:$O,A3261,pg_transaction_cleaned!$F:$F,"REFUND")</f>
        <v>0</v>
      </c>
      <c r="M3261" s="39">
        <f>SUMIFS(pg_transaction_cleaned!$H:$H,pg_transaction_cleaned!$O:$O,A3261,pg_transaction_cleaned!$F:$F,"REFUND")</f>
        <v>0</v>
      </c>
      <c r="N3261" s="23" t="str">
        <f t="shared" si="202"/>
        <v>OK</v>
      </c>
      <c r="O3261" s="24">
        <f t="shared" si="203"/>
        <v>0</v>
      </c>
    </row>
    <row r="3262" spans="1:15" ht="15" customHeight="1" x14ac:dyDescent="0.3">
      <c r="A3262" s="23" t="s">
        <v>7021</v>
      </c>
      <c r="B3262" s="38">
        <v>46271</v>
      </c>
      <c r="C3262" s="23" t="s">
        <v>3305</v>
      </c>
      <c r="D3262" s="23" t="s">
        <v>86</v>
      </c>
      <c r="E3262" s="23" t="s">
        <v>75</v>
      </c>
      <c r="F3262" s="23" t="s">
        <v>310</v>
      </c>
      <c r="G3262" s="23" t="s">
        <v>365</v>
      </c>
      <c r="H3262" s="39">
        <f t="shared" si="200"/>
        <v>7999</v>
      </c>
      <c r="I3262" s="23" t="str">
        <f t="shared" si="201"/>
        <v>Delhi</v>
      </c>
      <c r="J3262" s="23">
        <f>COUNTIFS(pg_transaction_cleaned!$O:$O,A3262,pg_transaction_cleaned!$F:$F,"CAPTURE")</f>
        <v>0</v>
      </c>
      <c r="K3262" s="39">
        <f>SUMIFS(pg_transaction_cleaned!$H:$H,pg_transaction_cleaned!$O:$O,A3262,pg_transaction_cleaned!$F:$F,"CAPTURE")</f>
        <v>0</v>
      </c>
      <c r="L3262" s="23">
        <f>COUNTIFS(pg_transaction_cleaned!$O:$O,A3262,pg_transaction_cleaned!$F:$F,"REFUND")</f>
        <v>0</v>
      </c>
      <c r="M3262" s="39">
        <f>SUMIFS(pg_transaction_cleaned!$H:$H,pg_transaction_cleaned!$O:$O,A3262,pg_transaction_cleaned!$F:$F,"REFUND")</f>
        <v>0</v>
      </c>
      <c r="N3262" s="23" t="str">
        <f t="shared" si="202"/>
        <v>OK</v>
      </c>
      <c r="O3262" s="24">
        <f t="shared" si="203"/>
        <v>0</v>
      </c>
    </row>
    <row r="3263" spans="1:15" ht="15" customHeight="1" x14ac:dyDescent="0.3">
      <c r="A3263" s="23" t="s">
        <v>7022</v>
      </c>
      <c r="B3263" s="38">
        <v>46280</v>
      </c>
      <c r="C3263" s="23" t="s">
        <v>7023</v>
      </c>
      <c r="D3263" s="23" t="s">
        <v>87</v>
      </c>
      <c r="E3263" s="23" t="s">
        <v>79</v>
      </c>
      <c r="F3263" s="23" t="s">
        <v>268</v>
      </c>
      <c r="G3263" s="23" t="s">
        <v>250</v>
      </c>
      <c r="H3263" s="39">
        <f t="shared" si="200"/>
        <v>1299</v>
      </c>
      <c r="I3263" s="23" t="str">
        <f t="shared" si="201"/>
        <v>Mumbai</v>
      </c>
      <c r="J3263" s="23">
        <f>COUNTIFS(pg_transaction_cleaned!$O:$O,A3263,pg_transaction_cleaned!$F:$F,"CAPTURE")</f>
        <v>1</v>
      </c>
      <c r="K3263" s="39">
        <f>SUMIFS(pg_transaction_cleaned!$H:$H,pg_transaction_cleaned!$O:$O,A3263,pg_transaction_cleaned!$F:$F,"CAPTURE")</f>
        <v>1299</v>
      </c>
      <c r="L3263" s="23">
        <f>COUNTIFS(pg_transaction_cleaned!$O:$O,A3263,pg_transaction_cleaned!$F:$F,"REFUND")</f>
        <v>0</v>
      </c>
      <c r="M3263" s="39">
        <f>SUMIFS(pg_transaction_cleaned!$H:$H,pg_transaction_cleaned!$O:$O,A3263,pg_transaction_cleaned!$F:$F,"REFUND")</f>
        <v>0</v>
      </c>
      <c r="N3263" s="23" t="str">
        <f t="shared" si="202"/>
        <v>OK</v>
      </c>
      <c r="O3263" s="24">
        <f t="shared" si="203"/>
        <v>0</v>
      </c>
    </row>
    <row r="3264" spans="1:15" ht="15" customHeight="1" x14ac:dyDescent="0.3">
      <c r="A3264" s="23" t="s">
        <v>7024</v>
      </c>
      <c r="B3264" s="38">
        <v>46292</v>
      </c>
      <c r="C3264" s="23" t="s">
        <v>7025</v>
      </c>
      <c r="D3264" s="23" t="s">
        <v>91</v>
      </c>
      <c r="E3264" s="23" t="s">
        <v>75</v>
      </c>
      <c r="F3264" s="23" t="s">
        <v>582</v>
      </c>
      <c r="G3264" s="23" t="s">
        <v>250</v>
      </c>
      <c r="H3264" s="39">
        <f t="shared" si="200"/>
        <v>1298</v>
      </c>
      <c r="I3264" s="23" t="str">
        <f t="shared" si="201"/>
        <v>Pune</v>
      </c>
      <c r="J3264" s="23">
        <f>COUNTIFS(pg_transaction_cleaned!$O:$O,A3264,pg_transaction_cleaned!$F:$F,"CAPTURE")</f>
        <v>1</v>
      </c>
      <c r="K3264" s="39">
        <f>SUMIFS(pg_transaction_cleaned!$H:$H,pg_transaction_cleaned!$O:$O,A3264,pg_transaction_cleaned!$F:$F,"CAPTURE")</f>
        <v>1298</v>
      </c>
      <c r="L3264" s="23">
        <f>COUNTIFS(pg_transaction_cleaned!$O:$O,A3264,pg_transaction_cleaned!$F:$F,"REFUND")</f>
        <v>0</v>
      </c>
      <c r="M3264" s="39">
        <f>SUMIFS(pg_transaction_cleaned!$H:$H,pg_transaction_cleaned!$O:$O,A3264,pg_transaction_cleaned!$F:$F,"REFUND")</f>
        <v>0</v>
      </c>
      <c r="N3264" s="23" t="str">
        <f t="shared" si="202"/>
        <v>OK</v>
      </c>
      <c r="O3264" s="24">
        <f t="shared" si="203"/>
        <v>0</v>
      </c>
    </row>
    <row r="3265" spans="1:15" ht="15" customHeight="1" x14ac:dyDescent="0.3">
      <c r="A3265" s="23" t="s">
        <v>7026</v>
      </c>
      <c r="B3265" s="38">
        <v>46290</v>
      </c>
      <c r="C3265" s="23" t="s">
        <v>7027</v>
      </c>
      <c r="D3265" s="23" t="s">
        <v>95</v>
      </c>
      <c r="E3265" s="23" t="s">
        <v>75</v>
      </c>
      <c r="F3265" s="23" t="s">
        <v>249</v>
      </c>
      <c r="G3265" s="23" t="s">
        <v>250</v>
      </c>
      <c r="H3265" s="39">
        <f t="shared" si="200"/>
        <v>299</v>
      </c>
      <c r="I3265" s="23" t="str">
        <f t="shared" si="201"/>
        <v>Bengaluru</v>
      </c>
      <c r="J3265" s="23">
        <f>COUNTIFS(pg_transaction_cleaned!$O:$O,A3265,pg_transaction_cleaned!$F:$F,"CAPTURE")</f>
        <v>1</v>
      </c>
      <c r="K3265" s="39">
        <f>SUMIFS(pg_transaction_cleaned!$H:$H,pg_transaction_cleaned!$O:$O,A3265,pg_transaction_cleaned!$F:$F,"CAPTURE")</f>
        <v>299</v>
      </c>
      <c r="L3265" s="23">
        <f>COUNTIFS(pg_transaction_cleaned!$O:$O,A3265,pg_transaction_cleaned!$F:$F,"REFUND")</f>
        <v>0</v>
      </c>
      <c r="M3265" s="39">
        <f>SUMIFS(pg_transaction_cleaned!$H:$H,pg_transaction_cleaned!$O:$O,A3265,pg_transaction_cleaned!$F:$F,"REFUND")</f>
        <v>0</v>
      </c>
      <c r="N3265" s="23" t="str">
        <f t="shared" si="202"/>
        <v>OK</v>
      </c>
      <c r="O3265" s="24">
        <f t="shared" si="203"/>
        <v>0</v>
      </c>
    </row>
    <row r="3266" spans="1:15" ht="15" customHeight="1" x14ac:dyDescent="0.3">
      <c r="A3266" s="23" t="s">
        <v>7028</v>
      </c>
      <c r="B3266" s="38">
        <v>46293</v>
      </c>
      <c r="C3266" s="23" t="s">
        <v>7029</v>
      </c>
      <c r="D3266" s="23" t="s">
        <v>89</v>
      </c>
      <c r="E3266" s="23" t="s">
        <v>79</v>
      </c>
      <c r="F3266" s="23" t="s">
        <v>2081</v>
      </c>
      <c r="G3266" s="23" t="s">
        <v>250</v>
      </c>
      <c r="H3266" s="39">
        <f t="shared" ref="H3266:H3329" si="204">VALUE(SUBSTITUTE(F3266,",",""))</f>
        <v>6297</v>
      </c>
      <c r="I3266" s="23" t="str">
        <f t="shared" ref="I3266:I3329" si="205">IF(TRIM(D3266)="","Unknown",TRIM(D3266))</f>
        <v>Jaipur</v>
      </c>
      <c r="J3266" s="23">
        <f>COUNTIFS(pg_transaction_cleaned!$O:$O,A3266,pg_transaction_cleaned!$F:$F,"CAPTURE")</f>
        <v>1</v>
      </c>
      <c r="K3266" s="39">
        <f>SUMIFS(pg_transaction_cleaned!$H:$H,pg_transaction_cleaned!$O:$O,A3266,pg_transaction_cleaned!$F:$F,"CAPTURE")</f>
        <v>6297</v>
      </c>
      <c r="L3266" s="23">
        <f>COUNTIFS(pg_transaction_cleaned!$O:$O,A3266,pg_transaction_cleaned!$F:$F,"REFUND")</f>
        <v>0</v>
      </c>
      <c r="M3266" s="39">
        <f>SUMIFS(pg_transaction_cleaned!$H:$H,pg_transaction_cleaned!$O:$O,A3266,pg_transaction_cleaned!$F:$F,"REFUND")</f>
        <v>0</v>
      </c>
      <c r="N3266" s="23" t="str">
        <f t="shared" ref="N3266:N3329" si="206">IF(AND(G3266="Paid",J3266=0),"Paid, no payment",IF(AND(OR(G3266="Failed",G3266="Cancelled"),J3266&gt;0),"Payment on failed/cancelled",IF(J3266&gt;1,"Duplicate charge",IF(AND(J3266=1,ROUND(K3266-H3266,2)&lt;&gt;0),"Amount difference",IF(AND(G3266="Refunded",L3266=0),"Refunded, no refund",IF(AND(G3266&lt;&gt;"Refunded",L3266&gt;0),"Refund, order not Refunded",IF(AND(L3266&gt;0,ROUND(M3266-H3266,2)&lt;&gt;0),"Refund amount differs","OK")))))))</f>
        <v>OK</v>
      </c>
      <c r="O3266" s="24">
        <f t="shared" ref="O3266:O3329" si="207">IF(N3266="OK",0,IF(N3266="Paid, no payment",H3266,IF(N3266="Payment on failed/cancelled",K3266,IF(OR(N3266="Duplicate charge",N3266="Amount difference"),K3266-H3266,IF(N3266="Refunded, no refund",H3266,M3266)))))</f>
        <v>0</v>
      </c>
    </row>
    <row r="3267" spans="1:15" ht="15" customHeight="1" x14ac:dyDescent="0.3">
      <c r="A3267" s="23" t="s">
        <v>7030</v>
      </c>
      <c r="B3267" s="38">
        <v>46273</v>
      </c>
      <c r="C3267" s="23" t="s">
        <v>7031</v>
      </c>
      <c r="D3267" s="23" t="s">
        <v>89</v>
      </c>
      <c r="E3267" s="23" t="s">
        <v>81</v>
      </c>
      <c r="F3267" s="23" t="s">
        <v>499</v>
      </c>
      <c r="G3267" s="23" t="s">
        <v>250</v>
      </c>
      <c r="H3267" s="39">
        <f t="shared" si="204"/>
        <v>5998</v>
      </c>
      <c r="I3267" s="23" t="str">
        <f t="shared" si="205"/>
        <v>Jaipur</v>
      </c>
      <c r="J3267" s="23">
        <f>COUNTIFS(pg_transaction_cleaned!$O:$O,A3267,pg_transaction_cleaned!$F:$F,"CAPTURE")</f>
        <v>1</v>
      </c>
      <c r="K3267" s="39">
        <f>SUMIFS(pg_transaction_cleaned!$H:$H,pg_transaction_cleaned!$O:$O,A3267,pg_transaction_cleaned!$F:$F,"CAPTURE")</f>
        <v>5998</v>
      </c>
      <c r="L3267" s="23">
        <f>COUNTIFS(pg_transaction_cleaned!$O:$O,A3267,pg_transaction_cleaned!$F:$F,"REFUND")</f>
        <v>0</v>
      </c>
      <c r="M3267" s="39">
        <f>SUMIFS(pg_transaction_cleaned!$H:$H,pg_transaction_cleaned!$O:$O,A3267,pg_transaction_cleaned!$F:$F,"REFUND")</f>
        <v>0</v>
      </c>
      <c r="N3267" s="23" t="str">
        <f t="shared" si="206"/>
        <v>OK</v>
      </c>
      <c r="O3267" s="24">
        <f t="shared" si="207"/>
        <v>0</v>
      </c>
    </row>
    <row r="3268" spans="1:15" ht="15" customHeight="1" x14ac:dyDescent="0.3">
      <c r="A3268" s="23" t="s">
        <v>7032</v>
      </c>
      <c r="B3268" s="38">
        <v>46277</v>
      </c>
      <c r="C3268" s="23" t="s">
        <v>7033</v>
      </c>
      <c r="D3268" s="23" t="s">
        <v>94</v>
      </c>
      <c r="E3268" s="23" t="s">
        <v>77</v>
      </c>
      <c r="F3268" s="23" t="s">
        <v>6968</v>
      </c>
      <c r="G3268" s="23" t="s">
        <v>250</v>
      </c>
      <c r="H3268" s="39">
        <f t="shared" si="204"/>
        <v>8598</v>
      </c>
      <c r="I3268" s="23" t="str">
        <f t="shared" si="205"/>
        <v>Chennai</v>
      </c>
      <c r="J3268" s="23">
        <f>COUNTIFS(pg_transaction_cleaned!$O:$O,A3268,pg_transaction_cleaned!$F:$F,"CAPTURE")</f>
        <v>1</v>
      </c>
      <c r="K3268" s="39">
        <f>SUMIFS(pg_transaction_cleaned!$H:$H,pg_transaction_cleaned!$O:$O,A3268,pg_transaction_cleaned!$F:$F,"CAPTURE")</f>
        <v>8598</v>
      </c>
      <c r="L3268" s="23">
        <f>COUNTIFS(pg_transaction_cleaned!$O:$O,A3268,pg_transaction_cleaned!$F:$F,"REFUND")</f>
        <v>0</v>
      </c>
      <c r="M3268" s="39">
        <f>SUMIFS(pg_transaction_cleaned!$H:$H,pg_transaction_cleaned!$O:$O,A3268,pg_transaction_cleaned!$F:$F,"REFUND")</f>
        <v>0</v>
      </c>
      <c r="N3268" s="23" t="str">
        <f t="shared" si="206"/>
        <v>OK</v>
      </c>
      <c r="O3268" s="24">
        <f t="shared" si="207"/>
        <v>0</v>
      </c>
    </row>
    <row r="3269" spans="1:15" ht="15" customHeight="1" x14ac:dyDescent="0.3">
      <c r="A3269" s="23" t="s">
        <v>7034</v>
      </c>
      <c r="B3269" s="38">
        <v>46295</v>
      </c>
      <c r="C3269" s="23" t="s">
        <v>7035</v>
      </c>
      <c r="D3269" s="23" t="s">
        <v>93</v>
      </c>
      <c r="E3269" s="23" t="s">
        <v>75</v>
      </c>
      <c r="F3269" s="23" t="s">
        <v>249</v>
      </c>
      <c r="G3269" s="23" t="s">
        <v>250</v>
      </c>
      <c r="H3269" s="39">
        <f t="shared" si="204"/>
        <v>299</v>
      </c>
      <c r="I3269" s="23" t="str">
        <f t="shared" si="205"/>
        <v>Kolkata</v>
      </c>
      <c r="J3269" s="23">
        <f>COUNTIFS(pg_transaction_cleaned!$O:$O,A3269,pg_transaction_cleaned!$F:$F,"CAPTURE")</f>
        <v>1</v>
      </c>
      <c r="K3269" s="39">
        <f>SUMIFS(pg_transaction_cleaned!$H:$H,pg_transaction_cleaned!$O:$O,A3269,pg_transaction_cleaned!$F:$F,"CAPTURE")</f>
        <v>299</v>
      </c>
      <c r="L3269" s="23">
        <f>COUNTIFS(pg_transaction_cleaned!$O:$O,A3269,pg_transaction_cleaned!$F:$F,"REFUND")</f>
        <v>0</v>
      </c>
      <c r="M3269" s="39">
        <f>SUMIFS(pg_transaction_cleaned!$H:$H,pg_transaction_cleaned!$O:$O,A3269,pg_transaction_cleaned!$F:$F,"REFUND")</f>
        <v>0</v>
      </c>
      <c r="N3269" s="23" t="str">
        <f t="shared" si="206"/>
        <v>OK</v>
      </c>
      <c r="O3269" s="24">
        <f t="shared" si="207"/>
        <v>0</v>
      </c>
    </row>
    <row r="3270" spans="1:15" ht="15" customHeight="1" x14ac:dyDescent="0.3">
      <c r="A3270" s="23" t="s">
        <v>7036</v>
      </c>
      <c r="B3270" s="38">
        <v>46290</v>
      </c>
      <c r="C3270" s="23" t="s">
        <v>7037</v>
      </c>
      <c r="D3270" s="23" t="s">
        <v>95</v>
      </c>
      <c r="E3270" s="23" t="s">
        <v>79</v>
      </c>
      <c r="F3270" s="23" t="s">
        <v>1440</v>
      </c>
      <c r="G3270" s="23" t="s">
        <v>365</v>
      </c>
      <c r="H3270" s="39">
        <f t="shared" si="204"/>
        <v>4147</v>
      </c>
      <c r="I3270" s="23" t="str">
        <f t="shared" si="205"/>
        <v>Bengaluru</v>
      </c>
      <c r="J3270" s="23">
        <f>COUNTIFS(pg_transaction_cleaned!$O:$O,A3270,pg_transaction_cleaned!$F:$F,"CAPTURE")</f>
        <v>0</v>
      </c>
      <c r="K3270" s="39">
        <f>SUMIFS(pg_transaction_cleaned!$H:$H,pg_transaction_cleaned!$O:$O,A3270,pg_transaction_cleaned!$F:$F,"CAPTURE")</f>
        <v>0</v>
      </c>
      <c r="L3270" s="23">
        <f>COUNTIFS(pg_transaction_cleaned!$O:$O,A3270,pg_transaction_cleaned!$F:$F,"REFUND")</f>
        <v>0</v>
      </c>
      <c r="M3270" s="39">
        <f>SUMIFS(pg_transaction_cleaned!$H:$H,pg_transaction_cleaned!$O:$O,A3270,pg_transaction_cleaned!$F:$F,"REFUND")</f>
        <v>0</v>
      </c>
      <c r="N3270" s="23" t="str">
        <f t="shared" si="206"/>
        <v>OK</v>
      </c>
      <c r="O3270" s="24">
        <f t="shared" si="207"/>
        <v>0</v>
      </c>
    </row>
    <row r="3271" spans="1:15" ht="15" customHeight="1" x14ac:dyDescent="0.3">
      <c r="A3271" s="23" t="s">
        <v>7038</v>
      </c>
      <c r="B3271" s="38">
        <v>46266</v>
      </c>
      <c r="C3271" s="23" t="s">
        <v>7039</v>
      </c>
      <c r="D3271" s="23" t="s">
        <v>95</v>
      </c>
      <c r="E3271" s="23" t="s">
        <v>79</v>
      </c>
      <c r="F3271" s="23" t="s">
        <v>1035</v>
      </c>
      <c r="G3271" s="23" t="s">
        <v>250</v>
      </c>
      <c r="H3271" s="39">
        <f t="shared" si="204"/>
        <v>1299</v>
      </c>
      <c r="I3271" s="23" t="str">
        <f t="shared" si="205"/>
        <v>Bengaluru</v>
      </c>
      <c r="J3271" s="23">
        <f>COUNTIFS(pg_transaction_cleaned!$O:$O,A3271,pg_transaction_cleaned!$F:$F,"CAPTURE")</f>
        <v>1</v>
      </c>
      <c r="K3271" s="39">
        <f>SUMIFS(pg_transaction_cleaned!$H:$H,pg_transaction_cleaned!$O:$O,A3271,pg_transaction_cleaned!$F:$F,"CAPTURE")</f>
        <v>1299</v>
      </c>
      <c r="L3271" s="23">
        <f>COUNTIFS(pg_transaction_cleaned!$O:$O,A3271,pg_transaction_cleaned!$F:$F,"REFUND")</f>
        <v>0</v>
      </c>
      <c r="M3271" s="39">
        <f>SUMIFS(pg_transaction_cleaned!$H:$H,pg_transaction_cleaned!$O:$O,A3271,pg_transaction_cleaned!$F:$F,"REFUND")</f>
        <v>0</v>
      </c>
      <c r="N3271" s="23" t="str">
        <f t="shared" si="206"/>
        <v>OK</v>
      </c>
      <c r="O3271" s="24">
        <f t="shared" si="207"/>
        <v>0</v>
      </c>
    </row>
    <row r="3272" spans="1:15" ht="15" customHeight="1" x14ac:dyDescent="0.3">
      <c r="A3272" s="23" t="s">
        <v>7040</v>
      </c>
      <c r="B3272" s="38">
        <v>46292</v>
      </c>
      <c r="C3272" s="23" t="s">
        <v>7041</v>
      </c>
      <c r="D3272" s="23" t="s">
        <v>90</v>
      </c>
      <c r="E3272" s="23" t="s">
        <v>77</v>
      </c>
      <c r="F3272" s="23" t="s">
        <v>772</v>
      </c>
      <c r="G3272" s="23" t="s">
        <v>250</v>
      </c>
      <c r="H3272" s="39">
        <f t="shared" si="204"/>
        <v>4798</v>
      </c>
      <c r="I3272" s="23" t="str">
        <f t="shared" si="205"/>
        <v>Ahmedabad</v>
      </c>
      <c r="J3272" s="23">
        <f>COUNTIFS(pg_transaction_cleaned!$O:$O,A3272,pg_transaction_cleaned!$F:$F,"CAPTURE")</f>
        <v>1</v>
      </c>
      <c r="K3272" s="39">
        <f>SUMIFS(pg_transaction_cleaned!$H:$H,pg_transaction_cleaned!$O:$O,A3272,pg_transaction_cleaned!$F:$F,"CAPTURE")</f>
        <v>4798</v>
      </c>
      <c r="L3272" s="23">
        <f>COUNTIFS(pg_transaction_cleaned!$O:$O,A3272,pg_transaction_cleaned!$F:$F,"REFUND")</f>
        <v>0</v>
      </c>
      <c r="M3272" s="39">
        <f>SUMIFS(pg_transaction_cleaned!$H:$H,pg_transaction_cleaned!$O:$O,A3272,pg_transaction_cleaned!$F:$F,"REFUND")</f>
        <v>0</v>
      </c>
      <c r="N3272" s="23" t="str">
        <f t="shared" si="206"/>
        <v>OK</v>
      </c>
      <c r="O3272" s="24">
        <f t="shared" si="207"/>
        <v>0</v>
      </c>
    </row>
    <row r="3273" spans="1:15" ht="15" customHeight="1" x14ac:dyDescent="0.3">
      <c r="A3273" s="23" t="s">
        <v>7042</v>
      </c>
      <c r="B3273" s="38">
        <v>46284</v>
      </c>
      <c r="C3273" s="23" t="s">
        <v>7043</v>
      </c>
      <c r="D3273" s="23" t="s">
        <v>91</v>
      </c>
      <c r="E3273" s="23" t="s">
        <v>77</v>
      </c>
      <c r="F3273" s="23" t="s">
        <v>294</v>
      </c>
      <c r="G3273" s="23" t="s">
        <v>250</v>
      </c>
      <c r="H3273" s="39">
        <f t="shared" si="204"/>
        <v>1799</v>
      </c>
      <c r="I3273" s="23" t="str">
        <f t="shared" si="205"/>
        <v>Pune</v>
      </c>
      <c r="J3273" s="23">
        <f>COUNTIFS(pg_transaction_cleaned!$O:$O,A3273,pg_transaction_cleaned!$F:$F,"CAPTURE")</f>
        <v>1</v>
      </c>
      <c r="K3273" s="39">
        <f>SUMIFS(pg_transaction_cleaned!$H:$H,pg_transaction_cleaned!$O:$O,A3273,pg_transaction_cleaned!$F:$F,"CAPTURE")</f>
        <v>1799</v>
      </c>
      <c r="L3273" s="23">
        <f>COUNTIFS(pg_transaction_cleaned!$O:$O,A3273,pg_transaction_cleaned!$F:$F,"REFUND")</f>
        <v>0</v>
      </c>
      <c r="M3273" s="39">
        <f>SUMIFS(pg_transaction_cleaned!$H:$H,pg_transaction_cleaned!$O:$O,A3273,pg_transaction_cleaned!$F:$F,"REFUND")</f>
        <v>0</v>
      </c>
      <c r="N3273" s="23" t="str">
        <f t="shared" si="206"/>
        <v>OK</v>
      </c>
      <c r="O3273" s="24">
        <f t="shared" si="207"/>
        <v>0</v>
      </c>
    </row>
    <row r="3274" spans="1:15" ht="15" customHeight="1" x14ac:dyDescent="0.3">
      <c r="A3274" s="23" t="s">
        <v>7044</v>
      </c>
      <c r="B3274" s="38">
        <v>46282</v>
      </c>
      <c r="C3274" s="23" t="s">
        <v>7045</v>
      </c>
      <c r="D3274" s="23" t="s">
        <v>91</v>
      </c>
      <c r="E3274" s="23" t="s">
        <v>81</v>
      </c>
      <c r="F3274" s="23" t="s">
        <v>349</v>
      </c>
      <c r="G3274" s="23" t="s">
        <v>250</v>
      </c>
      <c r="H3274" s="39">
        <f t="shared" si="204"/>
        <v>1798</v>
      </c>
      <c r="I3274" s="23" t="str">
        <f t="shared" si="205"/>
        <v>Pune</v>
      </c>
      <c r="J3274" s="23">
        <f>COUNTIFS(pg_transaction_cleaned!$O:$O,A3274,pg_transaction_cleaned!$F:$F,"CAPTURE")</f>
        <v>1</v>
      </c>
      <c r="K3274" s="39">
        <f>SUMIFS(pg_transaction_cleaned!$H:$H,pg_transaction_cleaned!$O:$O,A3274,pg_transaction_cleaned!$F:$F,"CAPTURE")</f>
        <v>1798</v>
      </c>
      <c r="L3274" s="23">
        <f>COUNTIFS(pg_transaction_cleaned!$O:$O,A3274,pg_transaction_cleaned!$F:$F,"REFUND")</f>
        <v>0</v>
      </c>
      <c r="M3274" s="39">
        <f>SUMIFS(pg_transaction_cleaned!$H:$H,pg_transaction_cleaned!$O:$O,A3274,pg_transaction_cleaned!$F:$F,"REFUND")</f>
        <v>0</v>
      </c>
      <c r="N3274" s="23" t="str">
        <f t="shared" si="206"/>
        <v>OK</v>
      </c>
      <c r="O3274" s="24">
        <f t="shared" si="207"/>
        <v>0</v>
      </c>
    </row>
    <row r="3275" spans="1:15" ht="15" customHeight="1" x14ac:dyDescent="0.3">
      <c r="A3275" s="23" t="s">
        <v>7046</v>
      </c>
      <c r="B3275" s="38">
        <v>46286</v>
      </c>
      <c r="C3275" s="23" t="s">
        <v>7047</v>
      </c>
      <c r="D3275" s="23" t="s">
        <v>95</v>
      </c>
      <c r="E3275" s="23" t="s">
        <v>79</v>
      </c>
      <c r="F3275" s="23" t="s">
        <v>268</v>
      </c>
      <c r="G3275" s="23" t="s">
        <v>250</v>
      </c>
      <c r="H3275" s="39">
        <f t="shared" si="204"/>
        <v>1299</v>
      </c>
      <c r="I3275" s="23" t="str">
        <f t="shared" si="205"/>
        <v>Bengaluru</v>
      </c>
      <c r="J3275" s="23">
        <f>COUNTIFS(pg_transaction_cleaned!$O:$O,A3275,pg_transaction_cleaned!$F:$F,"CAPTURE")</f>
        <v>1</v>
      </c>
      <c r="K3275" s="39">
        <f>SUMIFS(pg_transaction_cleaned!$H:$H,pg_transaction_cleaned!$O:$O,A3275,pg_transaction_cleaned!$F:$F,"CAPTURE")</f>
        <v>1299</v>
      </c>
      <c r="L3275" s="23">
        <f>COUNTIFS(pg_transaction_cleaned!$O:$O,A3275,pg_transaction_cleaned!$F:$F,"REFUND")</f>
        <v>0</v>
      </c>
      <c r="M3275" s="39">
        <f>SUMIFS(pg_transaction_cleaned!$H:$H,pg_transaction_cleaned!$O:$O,A3275,pg_transaction_cleaned!$F:$F,"REFUND")</f>
        <v>0</v>
      </c>
      <c r="N3275" s="23" t="str">
        <f t="shared" si="206"/>
        <v>OK</v>
      </c>
      <c r="O3275" s="24">
        <f t="shared" si="207"/>
        <v>0</v>
      </c>
    </row>
    <row r="3276" spans="1:15" ht="15" customHeight="1" x14ac:dyDescent="0.3">
      <c r="A3276" s="23" t="s">
        <v>7048</v>
      </c>
      <c r="B3276" s="38">
        <v>46274</v>
      </c>
      <c r="C3276" s="23" t="s">
        <v>7049</v>
      </c>
      <c r="D3276" s="23" t="s">
        <v>88</v>
      </c>
      <c r="E3276" s="23" t="s">
        <v>75</v>
      </c>
      <c r="F3276" s="23" t="s">
        <v>475</v>
      </c>
      <c r="G3276" s="23" t="s">
        <v>318</v>
      </c>
      <c r="H3276" s="39">
        <f t="shared" si="204"/>
        <v>799</v>
      </c>
      <c r="I3276" s="23" t="str">
        <f t="shared" si="205"/>
        <v>Lucknow</v>
      </c>
      <c r="J3276" s="23">
        <f>COUNTIFS(pg_transaction_cleaned!$O:$O,A3276,pg_transaction_cleaned!$F:$F,"CAPTURE")</f>
        <v>0</v>
      </c>
      <c r="K3276" s="39">
        <f>SUMIFS(pg_transaction_cleaned!$H:$H,pg_transaction_cleaned!$O:$O,A3276,pg_transaction_cleaned!$F:$F,"CAPTURE")</f>
        <v>0</v>
      </c>
      <c r="L3276" s="23">
        <f>COUNTIFS(pg_transaction_cleaned!$O:$O,A3276,pg_transaction_cleaned!$F:$F,"REFUND")</f>
        <v>0</v>
      </c>
      <c r="M3276" s="39">
        <f>SUMIFS(pg_transaction_cleaned!$H:$H,pg_transaction_cleaned!$O:$O,A3276,pg_transaction_cleaned!$F:$F,"REFUND")</f>
        <v>0</v>
      </c>
      <c r="N3276" s="23" t="str">
        <f t="shared" si="206"/>
        <v>OK</v>
      </c>
      <c r="O3276" s="24">
        <f t="shared" si="207"/>
        <v>0</v>
      </c>
    </row>
    <row r="3277" spans="1:15" ht="15" customHeight="1" x14ac:dyDescent="0.3">
      <c r="A3277" s="23" t="s">
        <v>7050</v>
      </c>
      <c r="B3277" s="38">
        <v>46267</v>
      </c>
      <c r="C3277" s="23" t="s">
        <v>7051</v>
      </c>
      <c r="D3277" s="23" t="s">
        <v>93</v>
      </c>
      <c r="E3277" s="23" t="s">
        <v>77</v>
      </c>
      <c r="F3277" s="23" t="s">
        <v>880</v>
      </c>
      <c r="G3277" s="23" t="s">
        <v>250</v>
      </c>
      <c r="H3277" s="39">
        <f t="shared" si="204"/>
        <v>2298</v>
      </c>
      <c r="I3277" s="23" t="str">
        <f t="shared" si="205"/>
        <v>Kolkata</v>
      </c>
      <c r="J3277" s="23">
        <f>COUNTIFS(pg_transaction_cleaned!$O:$O,A3277,pg_transaction_cleaned!$F:$F,"CAPTURE")</f>
        <v>1</v>
      </c>
      <c r="K3277" s="39">
        <f>SUMIFS(pg_transaction_cleaned!$H:$H,pg_transaction_cleaned!$O:$O,A3277,pg_transaction_cleaned!$F:$F,"CAPTURE")</f>
        <v>2298</v>
      </c>
      <c r="L3277" s="23">
        <f>COUNTIFS(pg_transaction_cleaned!$O:$O,A3277,pg_transaction_cleaned!$F:$F,"REFUND")</f>
        <v>0</v>
      </c>
      <c r="M3277" s="39">
        <f>SUMIFS(pg_transaction_cleaned!$H:$H,pg_transaction_cleaned!$O:$O,A3277,pg_transaction_cleaned!$F:$F,"REFUND")</f>
        <v>0</v>
      </c>
      <c r="N3277" s="23" t="str">
        <f t="shared" si="206"/>
        <v>OK</v>
      </c>
      <c r="O3277" s="24">
        <f t="shared" si="207"/>
        <v>0</v>
      </c>
    </row>
    <row r="3278" spans="1:15" ht="15" customHeight="1" x14ac:dyDescent="0.3">
      <c r="A3278" s="23" t="s">
        <v>7052</v>
      </c>
      <c r="B3278" s="38">
        <v>46292</v>
      </c>
      <c r="C3278" s="23" t="s">
        <v>7053</v>
      </c>
      <c r="D3278" s="23" t="s">
        <v>86</v>
      </c>
      <c r="E3278" s="23" t="s">
        <v>75</v>
      </c>
      <c r="F3278" s="23" t="s">
        <v>262</v>
      </c>
      <c r="G3278" s="23" t="s">
        <v>250</v>
      </c>
      <c r="H3278" s="39">
        <f t="shared" si="204"/>
        <v>499</v>
      </c>
      <c r="I3278" s="23" t="str">
        <f t="shared" si="205"/>
        <v>Delhi</v>
      </c>
      <c r="J3278" s="23">
        <f>COUNTIFS(pg_transaction_cleaned!$O:$O,A3278,pg_transaction_cleaned!$F:$F,"CAPTURE")</f>
        <v>1</v>
      </c>
      <c r="K3278" s="39">
        <f>SUMIFS(pg_transaction_cleaned!$H:$H,pg_transaction_cleaned!$O:$O,A3278,pg_transaction_cleaned!$F:$F,"CAPTURE")</f>
        <v>499</v>
      </c>
      <c r="L3278" s="23">
        <f>COUNTIFS(pg_transaction_cleaned!$O:$O,A3278,pg_transaction_cleaned!$F:$F,"REFUND")</f>
        <v>0</v>
      </c>
      <c r="M3278" s="39">
        <f>SUMIFS(pg_transaction_cleaned!$H:$H,pg_transaction_cleaned!$O:$O,A3278,pg_transaction_cleaned!$F:$F,"REFUND")</f>
        <v>0</v>
      </c>
      <c r="N3278" s="23" t="str">
        <f t="shared" si="206"/>
        <v>OK</v>
      </c>
      <c r="O3278" s="24">
        <f t="shared" si="207"/>
        <v>0</v>
      </c>
    </row>
    <row r="3279" spans="1:15" ht="15" customHeight="1" x14ac:dyDescent="0.3">
      <c r="A3279" s="23" t="s">
        <v>7054</v>
      </c>
      <c r="B3279" s="38">
        <v>46269</v>
      </c>
      <c r="C3279" s="23" t="s">
        <v>7055</v>
      </c>
      <c r="D3279" s="23"/>
      <c r="E3279" s="23" t="s">
        <v>75</v>
      </c>
      <c r="F3279" s="23" t="s">
        <v>265</v>
      </c>
      <c r="G3279" s="23" t="s">
        <v>250</v>
      </c>
      <c r="H3279" s="39">
        <f t="shared" si="204"/>
        <v>999</v>
      </c>
      <c r="I3279" s="23" t="str">
        <f t="shared" si="205"/>
        <v>Unknown</v>
      </c>
      <c r="J3279" s="23">
        <f>COUNTIFS(pg_transaction_cleaned!$O:$O,A3279,pg_transaction_cleaned!$F:$F,"CAPTURE")</f>
        <v>1</v>
      </c>
      <c r="K3279" s="39">
        <f>SUMIFS(pg_transaction_cleaned!$H:$H,pg_transaction_cleaned!$O:$O,A3279,pg_transaction_cleaned!$F:$F,"CAPTURE")</f>
        <v>999</v>
      </c>
      <c r="L3279" s="23">
        <f>COUNTIFS(pg_transaction_cleaned!$O:$O,A3279,pg_transaction_cleaned!$F:$F,"REFUND")</f>
        <v>0</v>
      </c>
      <c r="M3279" s="39">
        <f>SUMIFS(pg_transaction_cleaned!$H:$H,pg_transaction_cleaned!$O:$O,A3279,pg_transaction_cleaned!$F:$F,"REFUND")</f>
        <v>0</v>
      </c>
      <c r="N3279" s="23" t="str">
        <f t="shared" si="206"/>
        <v>OK</v>
      </c>
      <c r="O3279" s="24">
        <f t="shared" si="207"/>
        <v>0</v>
      </c>
    </row>
    <row r="3280" spans="1:15" ht="15" customHeight="1" x14ac:dyDescent="0.3">
      <c r="A3280" s="23" t="s">
        <v>7056</v>
      </c>
      <c r="B3280" s="38">
        <v>46276</v>
      </c>
      <c r="C3280" s="23" t="s">
        <v>7057</v>
      </c>
      <c r="D3280" s="23" t="s">
        <v>88</v>
      </c>
      <c r="E3280" s="23" t="s">
        <v>81</v>
      </c>
      <c r="F3280" s="23" t="s">
        <v>438</v>
      </c>
      <c r="G3280" s="23" t="s">
        <v>250</v>
      </c>
      <c r="H3280" s="39">
        <f t="shared" si="204"/>
        <v>5498</v>
      </c>
      <c r="I3280" s="23" t="str">
        <f t="shared" si="205"/>
        <v>Lucknow</v>
      </c>
      <c r="J3280" s="23">
        <f>COUNTIFS(pg_transaction_cleaned!$O:$O,A3280,pg_transaction_cleaned!$F:$F,"CAPTURE")</f>
        <v>1</v>
      </c>
      <c r="K3280" s="39">
        <f>SUMIFS(pg_transaction_cleaned!$H:$H,pg_transaction_cleaned!$O:$O,A3280,pg_transaction_cleaned!$F:$F,"CAPTURE")</f>
        <v>5498</v>
      </c>
      <c r="L3280" s="23">
        <f>COUNTIFS(pg_transaction_cleaned!$O:$O,A3280,pg_transaction_cleaned!$F:$F,"REFUND")</f>
        <v>0</v>
      </c>
      <c r="M3280" s="39">
        <f>SUMIFS(pg_transaction_cleaned!$H:$H,pg_transaction_cleaned!$O:$O,A3280,pg_transaction_cleaned!$F:$F,"REFUND")</f>
        <v>0</v>
      </c>
      <c r="N3280" s="23" t="str">
        <f t="shared" si="206"/>
        <v>OK</v>
      </c>
      <c r="O3280" s="24">
        <f t="shared" si="207"/>
        <v>0</v>
      </c>
    </row>
    <row r="3281" spans="1:15" ht="15" customHeight="1" x14ac:dyDescent="0.3">
      <c r="A3281" s="23" t="s">
        <v>7058</v>
      </c>
      <c r="B3281" s="38">
        <v>46266</v>
      </c>
      <c r="C3281" s="23" t="s">
        <v>7059</v>
      </c>
      <c r="D3281" s="23" t="s">
        <v>92</v>
      </c>
      <c r="E3281" s="23" t="s">
        <v>79</v>
      </c>
      <c r="F3281" s="23" t="s">
        <v>329</v>
      </c>
      <c r="G3281" s="23" t="s">
        <v>250</v>
      </c>
      <c r="H3281" s="39">
        <f t="shared" si="204"/>
        <v>599</v>
      </c>
      <c r="I3281" s="23" t="str">
        <f t="shared" si="205"/>
        <v>Hyderabad</v>
      </c>
      <c r="J3281" s="23">
        <f>COUNTIFS(pg_transaction_cleaned!$O:$O,A3281,pg_transaction_cleaned!$F:$F,"CAPTURE")</f>
        <v>1</v>
      </c>
      <c r="K3281" s="39">
        <f>SUMIFS(pg_transaction_cleaned!$H:$H,pg_transaction_cleaned!$O:$O,A3281,pg_transaction_cleaned!$F:$F,"CAPTURE")</f>
        <v>599</v>
      </c>
      <c r="L3281" s="23">
        <f>COUNTIFS(pg_transaction_cleaned!$O:$O,A3281,pg_transaction_cleaned!$F:$F,"REFUND")</f>
        <v>0</v>
      </c>
      <c r="M3281" s="39">
        <f>SUMIFS(pg_transaction_cleaned!$H:$H,pg_transaction_cleaned!$O:$O,A3281,pg_transaction_cleaned!$F:$F,"REFUND")</f>
        <v>0</v>
      </c>
      <c r="N3281" s="23" t="str">
        <f t="shared" si="206"/>
        <v>OK</v>
      </c>
      <c r="O3281" s="24">
        <f t="shared" si="207"/>
        <v>0</v>
      </c>
    </row>
    <row r="3282" spans="1:15" ht="15" customHeight="1" x14ac:dyDescent="0.3">
      <c r="A3282" s="23" t="s">
        <v>7060</v>
      </c>
      <c r="B3282" s="38">
        <v>46280</v>
      </c>
      <c r="C3282" s="23" t="s">
        <v>7061</v>
      </c>
      <c r="D3282" s="23" t="s">
        <v>92</v>
      </c>
      <c r="E3282" s="23" t="s">
        <v>75</v>
      </c>
      <c r="F3282" s="23" t="s">
        <v>475</v>
      </c>
      <c r="G3282" s="23" t="s">
        <v>250</v>
      </c>
      <c r="H3282" s="39">
        <f t="shared" si="204"/>
        <v>799</v>
      </c>
      <c r="I3282" s="23" t="str">
        <f t="shared" si="205"/>
        <v>Hyderabad</v>
      </c>
      <c r="J3282" s="23">
        <f>COUNTIFS(pg_transaction_cleaned!$O:$O,A3282,pg_transaction_cleaned!$F:$F,"CAPTURE")</f>
        <v>1</v>
      </c>
      <c r="K3282" s="39">
        <f>SUMIFS(pg_transaction_cleaned!$H:$H,pg_transaction_cleaned!$O:$O,A3282,pg_transaction_cleaned!$F:$F,"CAPTURE")</f>
        <v>799</v>
      </c>
      <c r="L3282" s="23">
        <f>COUNTIFS(pg_transaction_cleaned!$O:$O,A3282,pg_transaction_cleaned!$F:$F,"REFUND")</f>
        <v>0</v>
      </c>
      <c r="M3282" s="39">
        <f>SUMIFS(pg_transaction_cleaned!$H:$H,pg_transaction_cleaned!$O:$O,A3282,pg_transaction_cleaned!$F:$F,"REFUND")</f>
        <v>0</v>
      </c>
      <c r="N3282" s="23" t="str">
        <f t="shared" si="206"/>
        <v>OK</v>
      </c>
      <c r="O3282" s="24">
        <f t="shared" si="207"/>
        <v>0</v>
      </c>
    </row>
    <row r="3283" spans="1:15" ht="15" customHeight="1" x14ac:dyDescent="0.3">
      <c r="A3283" s="23" t="s">
        <v>7062</v>
      </c>
      <c r="B3283" s="38">
        <v>46283</v>
      </c>
      <c r="C3283" s="23" t="s">
        <v>7063</v>
      </c>
      <c r="D3283" s="23" t="s">
        <v>88</v>
      </c>
      <c r="E3283" s="23" t="s">
        <v>75</v>
      </c>
      <c r="F3283" s="23" t="s">
        <v>396</v>
      </c>
      <c r="G3283" s="23" t="s">
        <v>250</v>
      </c>
      <c r="H3283" s="39">
        <f t="shared" si="204"/>
        <v>2999</v>
      </c>
      <c r="I3283" s="23" t="str">
        <f t="shared" si="205"/>
        <v>Lucknow</v>
      </c>
      <c r="J3283" s="23">
        <f>COUNTIFS(pg_transaction_cleaned!$O:$O,A3283,pg_transaction_cleaned!$F:$F,"CAPTURE")</f>
        <v>1</v>
      </c>
      <c r="K3283" s="39">
        <f>SUMIFS(pg_transaction_cleaned!$H:$H,pg_transaction_cleaned!$O:$O,A3283,pg_transaction_cleaned!$F:$F,"CAPTURE")</f>
        <v>2999</v>
      </c>
      <c r="L3283" s="23">
        <f>COUNTIFS(pg_transaction_cleaned!$O:$O,A3283,pg_transaction_cleaned!$F:$F,"REFUND")</f>
        <v>0</v>
      </c>
      <c r="M3283" s="39">
        <f>SUMIFS(pg_transaction_cleaned!$H:$H,pg_transaction_cleaned!$O:$O,A3283,pg_transaction_cleaned!$F:$F,"REFUND")</f>
        <v>0</v>
      </c>
      <c r="N3283" s="23" t="str">
        <f t="shared" si="206"/>
        <v>OK</v>
      </c>
      <c r="O3283" s="24">
        <f t="shared" si="207"/>
        <v>0</v>
      </c>
    </row>
    <row r="3284" spans="1:15" ht="15" customHeight="1" x14ac:dyDescent="0.3">
      <c r="A3284" s="23" t="s">
        <v>7064</v>
      </c>
      <c r="B3284" s="38">
        <v>46279</v>
      </c>
      <c r="C3284" s="23" t="s">
        <v>7065</v>
      </c>
      <c r="D3284" s="23" t="s">
        <v>89</v>
      </c>
      <c r="E3284" s="23" t="s">
        <v>81</v>
      </c>
      <c r="F3284" s="23" t="s">
        <v>262</v>
      </c>
      <c r="G3284" s="23" t="s">
        <v>250</v>
      </c>
      <c r="H3284" s="39">
        <f t="shared" si="204"/>
        <v>499</v>
      </c>
      <c r="I3284" s="23" t="str">
        <f t="shared" si="205"/>
        <v>Jaipur</v>
      </c>
      <c r="J3284" s="23">
        <f>COUNTIFS(pg_transaction_cleaned!$O:$O,A3284,pg_transaction_cleaned!$F:$F,"CAPTURE")</f>
        <v>1</v>
      </c>
      <c r="K3284" s="39">
        <f>SUMIFS(pg_transaction_cleaned!$H:$H,pg_transaction_cleaned!$O:$O,A3284,pg_transaction_cleaned!$F:$F,"CAPTURE")</f>
        <v>499</v>
      </c>
      <c r="L3284" s="23">
        <f>COUNTIFS(pg_transaction_cleaned!$O:$O,A3284,pg_transaction_cleaned!$F:$F,"REFUND")</f>
        <v>0</v>
      </c>
      <c r="M3284" s="39">
        <f>SUMIFS(pg_transaction_cleaned!$H:$H,pg_transaction_cleaned!$O:$O,A3284,pg_transaction_cleaned!$F:$F,"REFUND")</f>
        <v>0</v>
      </c>
      <c r="N3284" s="23" t="str">
        <f t="shared" si="206"/>
        <v>OK</v>
      </c>
      <c r="O3284" s="24">
        <f t="shared" si="207"/>
        <v>0</v>
      </c>
    </row>
    <row r="3285" spans="1:15" ht="15" customHeight="1" x14ac:dyDescent="0.3">
      <c r="A3285" s="23" t="s">
        <v>7066</v>
      </c>
      <c r="B3285" s="38">
        <v>46273</v>
      </c>
      <c r="C3285" s="23" t="s">
        <v>7067</v>
      </c>
      <c r="D3285" s="23" t="s">
        <v>92</v>
      </c>
      <c r="E3285" s="23" t="s">
        <v>75</v>
      </c>
      <c r="F3285" s="23" t="s">
        <v>249</v>
      </c>
      <c r="G3285" s="23" t="s">
        <v>250</v>
      </c>
      <c r="H3285" s="39">
        <f t="shared" si="204"/>
        <v>299</v>
      </c>
      <c r="I3285" s="23" t="str">
        <f t="shared" si="205"/>
        <v>Hyderabad</v>
      </c>
      <c r="J3285" s="23">
        <f>COUNTIFS(pg_transaction_cleaned!$O:$O,A3285,pg_transaction_cleaned!$F:$F,"CAPTURE")</f>
        <v>1</v>
      </c>
      <c r="K3285" s="39">
        <f>SUMIFS(pg_transaction_cleaned!$H:$H,pg_transaction_cleaned!$O:$O,A3285,pg_transaction_cleaned!$F:$F,"CAPTURE")</f>
        <v>299</v>
      </c>
      <c r="L3285" s="23">
        <f>COUNTIFS(pg_transaction_cleaned!$O:$O,A3285,pg_transaction_cleaned!$F:$F,"REFUND")</f>
        <v>0</v>
      </c>
      <c r="M3285" s="39">
        <f>SUMIFS(pg_transaction_cleaned!$H:$H,pg_transaction_cleaned!$O:$O,A3285,pg_transaction_cleaned!$F:$F,"REFUND")</f>
        <v>0</v>
      </c>
      <c r="N3285" s="23" t="str">
        <f t="shared" si="206"/>
        <v>OK</v>
      </c>
      <c r="O3285" s="24">
        <f t="shared" si="207"/>
        <v>0</v>
      </c>
    </row>
    <row r="3286" spans="1:15" ht="15" customHeight="1" x14ac:dyDescent="0.3">
      <c r="A3286" s="23" t="s">
        <v>7068</v>
      </c>
      <c r="B3286" s="38">
        <v>46276</v>
      </c>
      <c r="C3286" s="23" t="s">
        <v>7069</v>
      </c>
      <c r="D3286" s="23" t="s">
        <v>87</v>
      </c>
      <c r="E3286" s="23" t="s">
        <v>81</v>
      </c>
      <c r="F3286" s="23" t="s">
        <v>999</v>
      </c>
      <c r="G3286" s="23" t="s">
        <v>250</v>
      </c>
      <c r="H3286" s="39">
        <f t="shared" si="204"/>
        <v>1947</v>
      </c>
      <c r="I3286" s="23" t="str">
        <f t="shared" si="205"/>
        <v>Mumbai</v>
      </c>
      <c r="J3286" s="23">
        <f>COUNTIFS(pg_transaction_cleaned!$O:$O,A3286,pg_transaction_cleaned!$F:$F,"CAPTURE")</f>
        <v>1</v>
      </c>
      <c r="K3286" s="39">
        <f>SUMIFS(pg_transaction_cleaned!$H:$H,pg_transaction_cleaned!$O:$O,A3286,pg_transaction_cleaned!$F:$F,"CAPTURE")</f>
        <v>1947</v>
      </c>
      <c r="L3286" s="23">
        <f>COUNTIFS(pg_transaction_cleaned!$O:$O,A3286,pg_transaction_cleaned!$F:$F,"REFUND")</f>
        <v>0</v>
      </c>
      <c r="M3286" s="39">
        <f>SUMIFS(pg_transaction_cleaned!$H:$H,pg_transaction_cleaned!$O:$O,A3286,pg_transaction_cleaned!$F:$F,"REFUND")</f>
        <v>0</v>
      </c>
      <c r="N3286" s="23" t="str">
        <f t="shared" si="206"/>
        <v>OK</v>
      </c>
      <c r="O3286" s="24">
        <f t="shared" si="207"/>
        <v>0</v>
      </c>
    </row>
    <row r="3287" spans="1:15" ht="15" customHeight="1" x14ac:dyDescent="0.3">
      <c r="A3287" s="23" t="s">
        <v>7070</v>
      </c>
      <c r="B3287" s="38">
        <v>46266</v>
      </c>
      <c r="C3287" s="23" t="s">
        <v>7071</v>
      </c>
      <c r="D3287" s="23" t="s">
        <v>90</v>
      </c>
      <c r="E3287" s="23" t="s">
        <v>77</v>
      </c>
      <c r="F3287" s="23" t="s">
        <v>652</v>
      </c>
      <c r="G3287" s="23" t="s">
        <v>250</v>
      </c>
      <c r="H3287" s="39">
        <f t="shared" si="204"/>
        <v>2397</v>
      </c>
      <c r="I3287" s="23" t="str">
        <f t="shared" si="205"/>
        <v>Ahmedabad</v>
      </c>
      <c r="J3287" s="23">
        <f>COUNTIFS(pg_transaction_cleaned!$O:$O,A3287,pg_transaction_cleaned!$F:$F,"CAPTURE")</f>
        <v>1</v>
      </c>
      <c r="K3287" s="39">
        <f>SUMIFS(pg_transaction_cleaned!$H:$H,pg_transaction_cleaned!$O:$O,A3287,pg_transaction_cleaned!$F:$F,"CAPTURE")</f>
        <v>2397</v>
      </c>
      <c r="L3287" s="23">
        <f>COUNTIFS(pg_transaction_cleaned!$O:$O,A3287,pg_transaction_cleaned!$F:$F,"REFUND")</f>
        <v>0</v>
      </c>
      <c r="M3287" s="39">
        <f>SUMIFS(pg_transaction_cleaned!$H:$H,pg_transaction_cleaned!$O:$O,A3287,pg_transaction_cleaned!$F:$F,"REFUND")</f>
        <v>0</v>
      </c>
      <c r="N3287" s="23" t="str">
        <f t="shared" si="206"/>
        <v>OK</v>
      </c>
      <c r="O3287" s="24">
        <f t="shared" si="207"/>
        <v>0</v>
      </c>
    </row>
    <row r="3288" spans="1:15" ht="15" customHeight="1" x14ac:dyDescent="0.3">
      <c r="A3288" s="23" t="s">
        <v>7072</v>
      </c>
      <c r="B3288" s="38">
        <v>46273</v>
      </c>
      <c r="C3288" s="23" t="s">
        <v>7073</v>
      </c>
      <c r="D3288" s="23" t="s">
        <v>89</v>
      </c>
      <c r="E3288" s="23" t="s">
        <v>75</v>
      </c>
      <c r="F3288" s="23" t="s">
        <v>1832</v>
      </c>
      <c r="G3288" s="23" t="s">
        <v>250</v>
      </c>
      <c r="H3288" s="39">
        <f t="shared" si="204"/>
        <v>4997</v>
      </c>
      <c r="I3288" s="23" t="str">
        <f t="shared" si="205"/>
        <v>Jaipur</v>
      </c>
      <c r="J3288" s="23">
        <f>COUNTIFS(pg_transaction_cleaned!$O:$O,A3288,pg_transaction_cleaned!$F:$F,"CAPTURE")</f>
        <v>1</v>
      </c>
      <c r="K3288" s="39">
        <f>SUMIFS(pg_transaction_cleaned!$H:$H,pg_transaction_cleaned!$O:$O,A3288,pg_transaction_cleaned!$F:$F,"CAPTURE")</f>
        <v>4997</v>
      </c>
      <c r="L3288" s="23">
        <f>COUNTIFS(pg_transaction_cleaned!$O:$O,A3288,pg_transaction_cleaned!$F:$F,"REFUND")</f>
        <v>0</v>
      </c>
      <c r="M3288" s="39">
        <f>SUMIFS(pg_transaction_cleaned!$H:$H,pg_transaction_cleaned!$O:$O,A3288,pg_transaction_cleaned!$F:$F,"REFUND")</f>
        <v>0</v>
      </c>
      <c r="N3288" s="23" t="str">
        <f t="shared" si="206"/>
        <v>OK</v>
      </c>
      <c r="O3288" s="24">
        <f t="shared" si="207"/>
        <v>0</v>
      </c>
    </row>
    <row r="3289" spans="1:15" ht="15" customHeight="1" x14ac:dyDescent="0.3">
      <c r="A3289" s="23" t="s">
        <v>7074</v>
      </c>
      <c r="B3289" s="38">
        <v>46286</v>
      </c>
      <c r="C3289" s="23" t="s">
        <v>7075</v>
      </c>
      <c r="D3289" s="23" t="s">
        <v>94</v>
      </c>
      <c r="E3289" s="23" t="s">
        <v>79</v>
      </c>
      <c r="F3289" s="23" t="s">
        <v>1108</v>
      </c>
      <c r="G3289" s="23" t="s">
        <v>250</v>
      </c>
      <c r="H3289" s="39">
        <f t="shared" si="204"/>
        <v>4098</v>
      </c>
      <c r="I3289" s="23" t="str">
        <f t="shared" si="205"/>
        <v>Chennai</v>
      </c>
      <c r="J3289" s="23">
        <f>COUNTIFS(pg_transaction_cleaned!$O:$O,A3289,pg_transaction_cleaned!$F:$F,"CAPTURE")</f>
        <v>1</v>
      </c>
      <c r="K3289" s="39">
        <f>SUMIFS(pg_transaction_cleaned!$H:$H,pg_transaction_cleaned!$O:$O,A3289,pg_transaction_cleaned!$F:$F,"CAPTURE")</f>
        <v>4098</v>
      </c>
      <c r="L3289" s="23">
        <f>COUNTIFS(pg_transaction_cleaned!$O:$O,A3289,pg_transaction_cleaned!$F:$F,"REFUND")</f>
        <v>0</v>
      </c>
      <c r="M3289" s="39">
        <f>SUMIFS(pg_transaction_cleaned!$H:$H,pg_transaction_cleaned!$O:$O,A3289,pg_transaction_cleaned!$F:$F,"REFUND")</f>
        <v>0</v>
      </c>
      <c r="N3289" s="23" t="str">
        <f t="shared" si="206"/>
        <v>OK</v>
      </c>
      <c r="O3289" s="24">
        <f t="shared" si="207"/>
        <v>0</v>
      </c>
    </row>
    <row r="3290" spans="1:15" ht="15" customHeight="1" x14ac:dyDescent="0.3">
      <c r="A3290" s="23" t="s">
        <v>7076</v>
      </c>
      <c r="B3290" s="38">
        <v>46283</v>
      </c>
      <c r="C3290" s="23" t="s">
        <v>7077</v>
      </c>
      <c r="D3290" s="23" t="s">
        <v>94</v>
      </c>
      <c r="E3290" s="23" t="s">
        <v>79</v>
      </c>
      <c r="F3290" s="23" t="s">
        <v>262</v>
      </c>
      <c r="G3290" s="23" t="s">
        <v>250</v>
      </c>
      <c r="H3290" s="39">
        <f t="shared" si="204"/>
        <v>499</v>
      </c>
      <c r="I3290" s="23" t="str">
        <f t="shared" si="205"/>
        <v>Chennai</v>
      </c>
      <c r="J3290" s="23">
        <f>COUNTIFS(pg_transaction_cleaned!$O:$O,A3290,pg_transaction_cleaned!$F:$F,"CAPTURE")</f>
        <v>1</v>
      </c>
      <c r="K3290" s="39">
        <f>SUMIFS(pg_transaction_cleaned!$H:$H,pg_transaction_cleaned!$O:$O,A3290,pg_transaction_cleaned!$F:$F,"CAPTURE")</f>
        <v>499</v>
      </c>
      <c r="L3290" s="23">
        <f>COUNTIFS(pg_transaction_cleaned!$O:$O,A3290,pg_transaction_cleaned!$F:$F,"REFUND")</f>
        <v>0</v>
      </c>
      <c r="M3290" s="39">
        <f>SUMIFS(pg_transaction_cleaned!$H:$H,pg_transaction_cleaned!$O:$O,A3290,pg_transaction_cleaned!$F:$F,"REFUND")</f>
        <v>0</v>
      </c>
      <c r="N3290" s="23" t="str">
        <f t="shared" si="206"/>
        <v>OK</v>
      </c>
      <c r="O3290" s="24">
        <f t="shared" si="207"/>
        <v>0</v>
      </c>
    </row>
    <row r="3291" spans="1:15" ht="15" customHeight="1" x14ac:dyDescent="0.3">
      <c r="A3291" s="23" t="s">
        <v>7078</v>
      </c>
      <c r="B3291" s="38">
        <v>46270</v>
      </c>
      <c r="C3291" s="23" t="s">
        <v>7079</v>
      </c>
      <c r="D3291" s="23" t="s">
        <v>90</v>
      </c>
      <c r="E3291" s="23" t="s">
        <v>77</v>
      </c>
      <c r="F3291" s="23" t="s">
        <v>1067</v>
      </c>
      <c r="G3291" s="23" t="s">
        <v>250</v>
      </c>
      <c r="H3291" s="39">
        <f t="shared" si="204"/>
        <v>9347</v>
      </c>
      <c r="I3291" s="23" t="str">
        <f t="shared" si="205"/>
        <v>Ahmedabad</v>
      </c>
      <c r="J3291" s="23">
        <f>COUNTIFS(pg_transaction_cleaned!$O:$O,A3291,pg_transaction_cleaned!$F:$F,"CAPTURE")</f>
        <v>1</v>
      </c>
      <c r="K3291" s="39">
        <f>SUMIFS(pg_transaction_cleaned!$H:$H,pg_transaction_cleaned!$O:$O,A3291,pg_transaction_cleaned!$F:$F,"CAPTURE")</f>
        <v>9347</v>
      </c>
      <c r="L3291" s="23">
        <f>COUNTIFS(pg_transaction_cleaned!$O:$O,A3291,pg_transaction_cleaned!$F:$F,"REFUND")</f>
        <v>0</v>
      </c>
      <c r="M3291" s="39">
        <f>SUMIFS(pg_transaction_cleaned!$H:$H,pg_transaction_cleaned!$O:$O,A3291,pg_transaction_cleaned!$F:$F,"REFUND")</f>
        <v>0</v>
      </c>
      <c r="N3291" s="23" t="str">
        <f t="shared" si="206"/>
        <v>OK</v>
      </c>
      <c r="O3291" s="24">
        <f t="shared" si="207"/>
        <v>0</v>
      </c>
    </row>
    <row r="3292" spans="1:15" ht="15" customHeight="1" x14ac:dyDescent="0.3">
      <c r="A3292" s="23" t="s">
        <v>7080</v>
      </c>
      <c r="B3292" s="38">
        <v>46277</v>
      </c>
      <c r="C3292" s="23" t="s">
        <v>7081</v>
      </c>
      <c r="D3292" s="23" t="s">
        <v>89</v>
      </c>
      <c r="E3292" s="23" t="s">
        <v>75</v>
      </c>
      <c r="F3292" s="23" t="s">
        <v>574</v>
      </c>
      <c r="G3292" s="23" t="s">
        <v>250</v>
      </c>
      <c r="H3292" s="39">
        <f t="shared" si="204"/>
        <v>1848</v>
      </c>
      <c r="I3292" s="23" t="str">
        <f t="shared" si="205"/>
        <v>Jaipur</v>
      </c>
      <c r="J3292" s="23">
        <f>COUNTIFS(pg_transaction_cleaned!$O:$O,A3292,pg_transaction_cleaned!$F:$F,"CAPTURE")</f>
        <v>1</v>
      </c>
      <c r="K3292" s="39">
        <f>SUMIFS(pg_transaction_cleaned!$H:$H,pg_transaction_cleaned!$O:$O,A3292,pg_transaction_cleaned!$F:$F,"CAPTURE")</f>
        <v>1848</v>
      </c>
      <c r="L3292" s="23">
        <f>COUNTIFS(pg_transaction_cleaned!$O:$O,A3292,pg_transaction_cleaned!$F:$F,"REFUND")</f>
        <v>0</v>
      </c>
      <c r="M3292" s="39">
        <f>SUMIFS(pg_transaction_cleaned!$H:$H,pg_transaction_cleaned!$O:$O,A3292,pg_transaction_cleaned!$F:$F,"REFUND")</f>
        <v>0</v>
      </c>
      <c r="N3292" s="23" t="str">
        <f t="shared" si="206"/>
        <v>OK</v>
      </c>
      <c r="O3292" s="24">
        <f t="shared" si="207"/>
        <v>0</v>
      </c>
    </row>
    <row r="3293" spans="1:15" ht="15" customHeight="1" x14ac:dyDescent="0.3">
      <c r="A3293" s="23" t="s">
        <v>7082</v>
      </c>
      <c r="B3293" s="38">
        <v>46293</v>
      </c>
      <c r="C3293" s="23" t="s">
        <v>7083</v>
      </c>
      <c r="D3293" s="23" t="s">
        <v>92</v>
      </c>
      <c r="E3293" s="23" t="s">
        <v>75</v>
      </c>
      <c r="F3293" s="23" t="s">
        <v>1299</v>
      </c>
      <c r="G3293" s="23" t="s">
        <v>250</v>
      </c>
      <c r="H3293" s="39">
        <f t="shared" si="204"/>
        <v>2097</v>
      </c>
      <c r="I3293" s="23" t="str">
        <f t="shared" si="205"/>
        <v>Hyderabad</v>
      </c>
      <c r="J3293" s="23">
        <f>COUNTIFS(pg_transaction_cleaned!$O:$O,A3293,pg_transaction_cleaned!$F:$F,"CAPTURE")</f>
        <v>1</v>
      </c>
      <c r="K3293" s="39">
        <f>SUMIFS(pg_transaction_cleaned!$H:$H,pg_transaction_cleaned!$O:$O,A3293,pg_transaction_cleaned!$F:$F,"CAPTURE")</f>
        <v>2097</v>
      </c>
      <c r="L3293" s="23">
        <f>COUNTIFS(pg_transaction_cleaned!$O:$O,A3293,pg_transaction_cleaned!$F:$F,"REFUND")</f>
        <v>0</v>
      </c>
      <c r="M3293" s="39">
        <f>SUMIFS(pg_transaction_cleaned!$H:$H,pg_transaction_cleaned!$O:$O,A3293,pg_transaction_cleaned!$F:$F,"REFUND")</f>
        <v>0</v>
      </c>
      <c r="N3293" s="23" t="str">
        <f t="shared" si="206"/>
        <v>OK</v>
      </c>
      <c r="O3293" s="24">
        <f t="shared" si="207"/>
        <v>0</v>
      </c>
    </row>
    <row r="3294" spans="1:15" ht="15" customHeight="1" x14ac:dyDescent="0.3">
      <c r="A3294" s="23" t="s">
        <v>7084</v>
      </c>
      <c r="B3294" s="38">
        <v>46274</v>
      </c>
      <c r="C3294" s="23" t="s">
        <v>7085</v>
      </c>
      <c r="D3294" s="23" t="s">
        <v>92</v>
      </c>
      <c r="E3294" s="23" t="s">
        <v>75</v>
      </c>
      <c r="F3294" s="23" t="s">
        <v>598</v>
      </c>
      <c r="G3294" s="23" t="s">
        <v>250</v>
      </c>
      <c r="H3294" s="39">
        <f t="shared" si="204"/>
        <v>5598</v>
      </c>
      <c r="I3294" s="23" t="str">
        <f t="shared" si="205"/>
        <v>Hyderabad</v>
      </c>
      <c r="J3294" s="23">
        <f>COUNTIFS(pg_transaction_cleaned!$O:$O,A3294,pg_transaction_cleaned!$F:$F,"CAPTURE")</f>
        <v>1</v>
      </c>
      <c r="K3294" s="39">
        <f>SUMIFS(pg_transaction_cleaned!$H:$H,pg_transaction_cleaned!$O:$O,A3294,pg_transaction_cleaned!$F:$F,"CAPTURE")</f>
        <v>5598</v>
      </c>
      <c r="L3294" s="23">
        <f>COUNTIFS(pg_transaction_cleaned!$O:$O,A3294,pg_transaction_cleaned!$F:$F,"REFUND")</f>
        <v>0</v>
      </c>
      <c r="M3294" s="39">
        <f>SUMIFS(pg_transaction_cleaned!$H:$H,pg_transaction_cleaned!$O:$O,A3294,pg_transaction_cleaned!$F:$F,"REFUND")</f>
        <v>0</v>
      </c>
      <c r="N3294" s="23" t="str">
        <f t="shared" si="206"/>
        <v>OK</v>
      </c>
      <c r="O3294" s="24">
        <f t="shared" si="207"/>
        <v>0</v>
      </c>
    </row>
    <row r="3295" spans="1:15" ht="15" customHeight="1" x14ac:dyDescent="0.3">
      <c r="A3295" s="23" t="s">
        <v>7086</v>
      </c>
      <c r="B3295" s="38">
        <v>46280</v>
      </c>
      <c r="C3295" s="23" t="s">
        <v>7087</v>
      </c>
      <c r="D3295" s="23" t="s">
        <v>91</v>
      </c>
      <c r="E3295" s="23" t="s">
        <v>75</v>
      </c>
      <c r="F3295" s="23" t="s">
        <v>2205</v>
      </c>
      <c r="G3295" s="23" t="s">
        <v>250</v>
      </c>
      <c r="H3295" s="39">
        <f t="shared" si="204"/>
        <v>6998</v>
      </c>
      <c r="I3295" s="23" t="str">
        <f t="shared" si="205"/>
        <v>Pune</v>
      </c>
      <c r="J3295" s="23">
        <f>COUNTIFS(pg_transaction_cleaned!$O:$O,A3295,pg_transaction_cleaned!$F:$F,"CAPTURE")</f>
        <v>1</v>
      </c>
      <c r="K3295" s="39">
        <f>SUMIFS(pg_transaction_cleaned!$H:$H,pg_transaction_cleaned!$O:$O,A3295,pg_transaction_cleaned!$F:$F,"CAPTURE")</f>
        <v>6998</v>
      </c>
      <c r="L3295" s="23">
        <f>COUNTIFS(pg_transaction_cleaned!$O:$O,A3295,pg_transaction_cleaned!$F:$F,"REFUND")</f>
        <v>0</v>
      </c>
      <c r="M3295" s="39">
        <f>SUMIFS(pg_transaction_cleaned!$H:$H,pg_transaction_cleaned!$O:$O,A3295,pg_transaction_cleaned!$F:$F,"REFUND")</f>
        <v>0</v>
      </c>
      <c r="N3295" s="23" t="str">
        <f t="shared" si="206"/>
        <v>OK</v>
      </c>
      <c r="O3295" s="24">
        <f t="shared" si="207"/>
        <v>0</v>
      </c>
    </row>
    <row r="3296" spans="1:15" ht="15" customHeight="1" x14ac:dyDescent="0.3">
      <c r="A3296" s="23" t="s">
        <v>7088</v>
      </c>
      <c r="B3296" s="38">
        <v>46277</v>
      </c>
      <c r="C3296" s="23" t="s">
        <v>7089</v>
      </c>
      <c r="D3296" s="23" t="s">
        <v>92</v>
      </c>
      <c r="E3296" s="23" t="s">
        <v>79</v>
      </c>
      <c r="F3296" s="23" t="s">
        <v>288</v>
      </c>
      <c r="G3296" s="23" t="s">
        <v>250</v>
      </c>
      <c r="H3296" s="39">
        <f t="shared" si="204"/>
        <v>4298</v>
      </c>
      <c r="I3296" s="23" t="str">
        <f t="shared" si="205"/>
        <v>Hyderabad</v>
      </c>
      <c r="J3296" s="23">
        <f>COUNTIFS(pg_transaction_cleaned!$O:$O,A3296,pg_transaction_cleaned!$F:$F,"CAPTURE")</f>
        <v>1</v>
      </c>
      <c r="K3296" s="39">
        <f>SUMIFS(pg_transaction_cleaned!$H:$H,pg_transaction_cleaned!$O:$O,A3296,pg_transaction_cleaned!$F:$F,"CAPTURE")</f>
        <v>4298</v>
      </c>
      <c r="L3296" s="23">
        <f>COUNTIFS(pg_transaction_cleaned!$O:$O,A3296,pg_transaction_cleaned!$F:$F,"REFUND")</f>
        <v>0</v>
      </c>
      <c r="M3296" s="39">
        <f>SUMIFS(pg_transaction_cleaned!$H:$H,pg_transaction_cleaned!$O:$O,A3296,pg_transaction_cleaned!$F:$F,"REFUND")</f>
        <v>0</v>
      </c>
      <c r="N3296" s="23" t="str">
        <f t="shared" si="206"/>
        <v>OK</v>
      </c>
      <c r="O3296" s="24">
        <f t="shared" si="207"/>
        <v>0</v>
      </c>
    </row>
    <row r="3297" spans="1:15" ht="15" customHeight="1" x14ac:dyDescent="0.3">
      <c r="A3297" s="23" t="s">
        <v>7090</v>
      </c>
      <c r="B3297" s="38">
        <v>46275</v>
      </c>
      <c r="C3297" s="23" t="s">
        <v>7091</v>
      </c>
      <c r="D3297" s="23" t="s">
        <v>87</v>
      </c>
      <c r="E3297" s="23" t="s">
        <v>75</v>
      </c>
      <c r="F3297" s="23" t="s">
        <v>332</v>
      </c>
      <c r="G3297" s="23" t="s">
        <v>250</v>
      </c>
      <c r="H3297" s="39">
        <f t="shared" si="204"/>
        <v>898</v>
      </c>
      <c r="I3297" s="23" t="str">
        <f t="shared" si="205"/>
        <v>Mumbai</v>
      </c>
      <c r="J3297" s="23">
        <f>COUNTIFS(pg_transaction_cleaned!$O:$O,A3297,pg_transaction_cleaned!$F:$F,"CAPTURE")</f>
        <v>1</v>
      </c>
      <c r="K3297" s="39">
        <f>SUMIFS(pg_transaction_cleaned!$H:$H,pg_transaction_cleaned!$O:$O,A3297,pg_transaction_cleaned!$F:$F,"CAPTURE")</f>
        <v>898</v>
      </c>
      <c r="L3297" s="23">
        <f>COUNTIFS(pg_transaction_cleaned!$O:$O,A3297,pg_transaction_cleaned!$F:$F,"REFUND")</f>
        <v>0</v>
      </c>
      <c r="M3297" s="39">
        <f>SUMIFS(pg_transaction_cleaned!$H:$H,pg_transaction_cleaned!$O:$O,A3297,pg_transaction_cleaned!$F:$F,"REFUND")</f>
        <v>0</v>
      </c>
      <c r="N3297" s="23" t="str">
        <f t="shared" si="206"/>
        <v>OK</v>
      </c>
      <c r="O3297" s="24">
        <f t="shared" si="207"/>
        <v>0</v>
      </c>
    </row>
    <row r="3298" spans="1:15" ht="15" customHeight="1" x14ac:dyDescent="0.3">
      <c r="A3298" s="23" t="s">
        <v>7092</v>
      </c>
      <c r="B3298" s="38">
        <v>46273</v>
      </c>
      <c r="C3298" s="23" t="s">
        <v>7093</v>
      </c>
      <c r="D3298" s="23" t="s">
        <v>95</v>
      </c>
      <c r="E3298" s="23" t="s">
        <v>75</v>
      </c>
      <c r="F3298" s="23" t="s">
        <v>274</v>
      </c>
      <c r="G3298" s="23" t="s">
        <v>250</v>
      </c>
      <c r="H3298" s="39">
        <f t="shared" si="204"/>
        <v>349</v>
      </c>
      <c r="I3298" s="23" t="str">
        <f t="shared" si="205"/>
        <v>Bengaluru</v>
      </c>
      <c r="J3298" s="23">
        <f>COUNTIFS(pg_transaction_cleaned!$O:$O,A3298,pg_transaction_cleaned!$F:$F,"CAPTURE")</f>
        <v>1</v>
      </c>
      <c r="K3298" s="39">
        <f>SUMIFS(pg_transaction_cleaned!$H:$H,pg_transaction_cleaned!$O:$O,A3298,pg_transaction_cleaned!$F:$F,"CAPTURE")</f>
        <v>349</v>
      </c>
      <c r="L3298" s="23">
        <f>COUNTIFS(pg_transaction_cleaned!$O:$O,A3298,pg_transaction_cleaned!$F:$F,"REFUND")</f>
        <v>0</v>
      </c>
      <c r="M3298" s="39">
        <f>SUMIFS(pg_transaction_cleaned!$H:$H,pg_transaction_cleaned!$O:$O,A3298,pg_transaction_cleaned!$F:$F,"REFUND")</f>
        <v>0</v>
      </c>
      <c r="N3298" s="23" t="str">
        <f t="shared" si="206"/>
        <v>OK</v>
      </c>
      <c r="O3298" s="24">
        <f t="shared" si="207"/>
        <v>0</v>
      </c>
    </row>
    <row r="3299" spans="1:15" ht="15" customHeight="1" x14ac:dyDescent="0.3">
      <c r="A3299" s="23" t="s">
        <v>7094</v>
      </c>
      <c r="B3299" s="38">
        <v>46273</v>
      </c>
      <c r="C3299" s="23" t="s">
        <v>7095</v>
      </c>
      <c r="D3299" s="23" t="s">
        <v>89</v>
      </c>
      <c r="E3299" s="23" t="s">
        <v>75</v>
      </c>
      <c r="F3299" s="23" t="s">
        <v>561</v>
      </c>
      <c r="G3299" s="23" t="s">
        <v>250</v>
      </c>
      <c r="H3299" s="39">
        <f t="shared" si="204"/>
        <v>4797</v>
      </c>
      <c r="I3299" s="23" t="str">
        <f t="shared" si="205"/>
        <v>Jaipur</v>
      </c>
      <c r="J3299" s="23">
        <f>COUNTIFS(pg_transaction_cleaned!$O:$O,A3299,pg_transaction_cleaned!$F:$F,"CAPTURE")</f>
        <v>1</v>
      </c>
      <c r="K3299" s="39">
        <f>SUMIFS(pg_transaction_cleaned!$H:$H,pg_transaction_cleaned!$O:$O,A3299,pg_transaction_cleaned!$F:$F,"CAPTURE")</f>
        <v>4797</v>
      </c>
      <c r="L3299" s="23">
        <f>COUNTIFS(pg_transaction_cleaned!$O:$O,A3299,pg_transaction_cleaned!$F:$F,"REFUND")</f>
        <v>0</v>
      </c>
      <c r="M3299" s="39">
        <f>SUMIFS(pg_transaction_cleaned!$H:$H,pg_transaction_cleaned!$O:$O,A3299,pg_transaction_cleaned!$F:$F,"REFUND")</f>
        <v>0</v>
      </c>
      <c r="N3299" s="23" t="str">
        <f t="shared" si="206"/>
        <v>OK</v>
      </c>
      <c r="O3299" s="24">
        <f t="shared" si="207"/>
        <v>0</v>
      </c>
    </row>
    <row r="3300" spans="1:15" ht="15" customHeight="1" x14ac:dyDescent="0.3">
      <c r="A3300" s="23" t="s">
        <v>7096</v>
      </c>
      <c r="B3300" s="38">
        <v>46283</v>
      </c>
      <c r="C3300" s="23" t="s">
        <v>7097</v>
      </c>
      <c r="D3300" s="23" t="s">
        <v>90</v>
      </c>
      <c r="E3300" s="23" t="s">
        <v>75</v>
      </c>
      <c r="F3300" s="23" t="s">
        <v>297</v>
      </c>
      <c r="G3300" s="23" t="s">
        <v>365</v>
      </c>
      <c r="H3300" s="39">
        <f t="shared" si="204"/>
        <v>4999</v>
      </c>
      <c r="I3300" s="23" t="str">
        <f t="shared" si="205"/>
        <v>Ahmedabad</v>
      </c>
      <c r="J3300" s="23">
        <f>COUNTIFS(pg_transaction_cleaned!$O:$O,A3300,pg_transaction_cleaned!$F:$F,"CAPTURE")</f>
        <v>0</v>
      </c>
      <c r="K3300" s="39">
        <f>SUMIFS(pg_transaction_cleaned!$H:$H,pg_transaction_cleaned!$O:$O,A3300,pg_transaction_cleaned!$F:$F,"CAPTURE")</f>
        <v>0</v>
      </c>
      <c r="L3300" s="23">
        <f>COUNTIFS(pg_transaction_cleaned!$O:$O,A3300,pg_transaction_cleaned!$F:$F,"REFUND")</f>
        <v>0</v>
      </c>
      <c r="M3300" s="39">
        <f>SUMIFS(pg_transaction_cleaned!$H:$H,pg_transaction_cleaned!$O:$O,A3300,pg_transaction_cleaned!$F:$F,"REFUND")</f>
        <v>0</v>
      </c>
      <c r="N3300" s="23" t="str">
        <f t="shared" si="206"/>
        <v>OK</v>
      </c>
      <c r="O3300" s="24">
        <f t="shared" si="207"/>
        <v>0</v>
      </c>
    </row>
    <row r="3301" spans="1:15" ht="15" customHeight="1" x14ac:dyDescent="0.3">
      <c r="A3301" s="23" t="s">
        <v>7098</v>
      </c>
      <c r="B3301" s="38">
        <v>46283</v>
      </c>
      <c r="C3301" s="23" t="s">
        <v>7099</v>
      </c>
      <c r="D3301" s="23" t="s">
        <v>94</v>
      </c>
      <c r="E3301" s="23" t="s">
        <v>79</v>
      </c>
      <c r="F3301" s="23" t="s">
        <v>1367</v>
      </c>
      <c r="G3301" s="23" t="s">
        <v>250</v>
      </c>
      <c r="H3301" s="39">
        <f t="shared" si="204"/>
        <v>898</v>
      </c>
      <c r="I3301" s="23" t="str">
        <f t="shared" si="205"/>
        <v>Chennai</v>
      </c>
      <c r="J3301" s="23">
        <f>COUNTIFS(pg_transaction_cleaned!$O:$O,A3301,pg_transaction_cleaned!$F:$F,"CAPTURE")</f>
        <v>1</v>
      </c>
      <c r="K3301" s="39">
        <f>SUMIFS(pg_transaction_cleaned!$H:$H,pg_transaction_cleaned!$O:$O,A3301,pg_transaction_cleaned!$F:$F,"CAPTURE")</f>
        <v>898</v>
      </c>
      <c r="L3301" s="23">
        <f>COUNTIFS(pg_transaction_cleaned!$O:$O,A3301,pg_transaction_cleaned!$F:$F,"REFUND")</f>
        <v>0</v>
      </c>
      <c r="M3301" s="39">
        <f>SUMIFS(pg_transaction_cleaned!$H:$H,pg_transaction_cleaned!$O:$O,A3301,pg_transaction_cleaned!$F:$F,"REFUND")</f>
        <v>0</v>
      </c>
      <c r="N3301" s="23" t="str">
        <f t="shared" si="206"/>
        <v>OK</v>
      </c>
      <c r="O3301" s="24">
        <f t="shared" si="207"/>
        <v>0</v>
      </c>
    </row>
    <row r="3302" spans="1:15" ht="15" customHeight="1" x14ac:dyDescent="0.3">
      <c r="A3302" s="23" t="s">
        <v>7100</v>
      </c>
      <c r="B3302" s="38">
        <v>46287</v>
      </c>
      <c r="C3302" s="23" t="s">
        <v>7101</v>
      </c>
      <c r="D3302" s="23" t="s">
        <v>93</v>
      </c>
      <c r="E3302" s="23" t="s">
        <v>75</v>
      </c>
      <c r="F3302" s="23" t="s">
        <v>265</v>
      </c>
      <c r="G3302" s="23" t="s">
        <v>250</v>
      </c>
      <c r="H3302" s="39">
        <f t="shared" si="204"/>
        <v>999</v>
      </c>
      <c r="I3302" s="23" t="str">
        <f t="shared" si="205"/>
        <v>Kolkata</v>
      </c>
      <c r="J3302" s="23">
        <f>COUNTIFS(pg_transaction_cleaned!$O:$O,A3302,pg_transaction_cleaned!$F:$F,"CAPTURE")</f>
        <v>1</v>
      </c>
      <c r="K3302" s="39">
        <f>SUMIFS(pg_transaction_cleaned!$H:$H,pg_transaction_cleaned!$O:$O,A3302,pg_transaction_cleaned!$F:$F,"CAPTURE")</f>
        <v>999</v>
      </c>
      <c r="L3302" s="23">
        <f>COUNTIFS(pg_transaction_cleaned!$O:$O,A3302,pg_transaction_cleaned!$F:$F,"REFUND")</f>
        <v>0</v>
      </c>
      <c r="M3302" s="39">
        <f>SUMIFS(pg_transaction_cleaned!$H:$H,pg_transaction_cleaned!$O:$O,A3302,pg_transaction_cleaned!$F:$F,"REFUND")</f>
        <v>0</v>
      </c>
      <c r="N3302" s="23" t="str">
        <f t="shared" si="206"/>
        <v>OK</v>
      </c>
      <c r="O3302" s="24">
        <f t="shared" si="207"/>
        <v>0</v>
      </c>
    </row>
    <row r="3303" spans="1:15" ht="15" customHeight="1" x14ac:dyDescent="0.3">
      <c r="A3303" s="23" t="s">
        <v>7102</v>
      </c>
      <c r="B3303" s="38">
        <v>46276</v>
      </c>
      <c r="C3303" s="23" t="s">
        <v>7103</v>
      </c>
      <c r="D3303" s="23" t="s">
        <v>87</v>
      </c>
      <c r="E3303" s="23" t="s">
        <v>81</v>
      </c>
      <c r="F3303" s="23" t="s">
        <v>680</v>
      </c>
      <c r="G3303" s="23" t="s">
        <v>250</v>
      </c>
      <c r="H3303" s="39">
        <f t="shared" si="204"/>
        <v>5097</v>
      </c>
      <c r="I3303" s="23" t="str">
        <f t="shared" si="205"/>
        <v>Mumbai</v>
      </c>
      <c r="J3303" s="23">
        <f>COUNTIFS(pg_transaction_cleaned!$O:$O,A3303,pg_transaction_cleaned!$F:$F,"CAPTURE")</f>
        <v>1</v>
      </c>
      <c r="K3303" s="39">
        <f>SUMIFS(pg_transaction_cleaned!$H:$H,pg_transaction_cleaned!$O:$O,A3303,pg_transaction_cleaned!$F:$F,"CAPTURE")</f>
        <v>5097</v>
      </c>
      <c r="L3303" s="23">
        <f>COUNTIFS(pg_transaction_cleaned!$O:$O,A3303,pg_transaction_cleaned!$F:$F,"REFUND")</f>
        <v>0</v>
      </c>
      <c r="M3303" s="39">
        <f>SUMIFS(pg_transaction_cleaned!$H:$H,pg_transaction_cleaned!$O:$O,A3303,pg_transaction_cleaned!$F:$F,"REFUND")</f>
        <v>0</v>
      </c>
      <c r="N3303" s="23" t="str">
        <f t="shared" si="206"/>
        <v>OK</v>
      </c>
      <c r="O3303" s="24">
        <f t="shared" si="207"/>
        <v>0</v>
      </c>
    </row>
    <row r="3304" spans="1:15" ht="15" customHeight="1" x14ac:dyDescent="0.3">
      <c r="A3304" s="23" t="s">
        <v>7104</v>
      </c>
      <c r="B3304" s="38">
        <v>46269</v>
      </c>
      <c r="C3304" s="23" t="s">
        <v>7105</v>
      </c>
      <c r="D3304" s="23" t="s">
        <v>95</v>
      </c>
      <c r="E3304" s="23" t="s">
        <v>75</v>
      </c>
      <c r="F3304" s="23" t="s">
        <v>324</v>
      </c>
      <c r="G3304" s="23" t="s">
        <v>250</v>
      </c>
      <c r="H3304" s="39">
        <f t="shared" si="204"/>
        <v>10498</v>
      </c>
      <c r="I3304" s="23" t="str">
        <f t="shared" si="205"/>
        <v>Bengaluru</v>
      </c>
      <c r="J3304" s="23">
        <f>COUNTIFS(pg_transaction_cleaned!$O:$O,A3304,pg_transaction_cleaned!$F:$F,"CAPTURE")</f>
        <v>1</v>
      </c>
      <c r="K3304" s="39">
        <f>SUMIFS(pg_transaction_cleaned!$H:$H,pg_transaction_cleaned!$O:$O,A3304,pg_transaction_cleaned!$F:$F,"CAPTURE")</f>
        <v>10498</v>
      </c>
      <c r="L3304" s="23">
        <f>COUNTIFS(pg_transaction_cleaned!$O:$O,A3304,pg_transaction_cleaned!$F:$F,"REFUND")</f>
        <v>0</v>
      </c>
      <c r="M3304" s="39">
        <f>SUMIFS(pg_transaction_cleaned!$H:$H,pg_transaction_cleaned!$O:$O,A3304,pg_transaction_cleaned!$F:$F,"REFUND")</f>
        <v>0</v>
      </c>
      <c r="N3304" s="23" t="str">
        <f t="shared" si="206"/>
        <v>OK</v>
      </c>
      <c r="O3304" s="24">
        <f t="shared" si="207"/>
        <v>0</v>
      </c>
    </row>
    <row r="3305" spans="1:15" ht="15" customHeight="1" x14ac:dyDescent="0.3">
      <c r="A3305" s="23" t="s">
        <v>7106</v>
      </c>
      <c r="B3305" s="38">
        <v>46275</v>
      </c>
      <c r="C3305" s="23" t="s">
        <v>7107</v>
      </c>
      <c r="D3305" s="23" t="s">
        <v>90</v>
      </c>
      <c r="E3305" s="23" t="s">
        <v>75</v>
      </c>
      <c r="F3305" s="23" t="s">
        <v>517</v>
      </c>
      <c r="G3305" s="23" t="s">
        <v>250</v>
      </c>
      <c r="H3305" s="39">
        <f t="shared" si="204"/>
        <v>7999</v>
      </c>
      <c r="I3305" s="23" t="str">
        <f t="shared" si="205"/>
        <v>Ahmedabad</v>
      </c>
      <c r="J3305" s="23">
        <f>COUNTIFS(pg_transaction_cleaned!$O:$O,A3305,pg_transaction_cleaned!$F:$F,"CAPTURE")</f>
        <v>1</v>
      </c>
      <c r="K3305" s="39">
        <f>SUMIFS(pg_transaction_cleaned!$H:$H,pg_transaction_cleaned!$O:$O,A3305,pg_transaction_cleaned!$F:$F,"CAPTURE")</f>
        <v>7999</v>
      </c>
      <c r="L3305" s="23">
        <f>COUNTIFS(pg_transaction_cleaned!$O:$O,A3305,pg_transaction_cleaned!$F:$F,"REFUND")</f>
        <v>0</v>
      </c>
      <c r="M3305" s="39">
        <f>SUMIFS(pg_transaction_cleaned!$H:$H,pg_transaction_cleaned!$O:$O,A3305,pg_transaction_cleaned!$F:$F,"REFUND")</f>
        <v>0</v>
      </c>
      <c r="N3305" s="23" t="str">
        <f t="shared" si="206"/>
        <v>OK</v>
      </c>
      <c r="O3305" s="24">
        <f t="shared" si="207"/>
        <v>0</v>
      </c>
    </row>
    <row r="3306" spans="1:15" ht="15" customHeight="1" x14ac:dyDescent="0.3">
      <c r="A3306" s="23" t="s">
        <v>7108</v>
      </c>
      <c r="B3306" s="38">
        <v>46289</v>
      </c>
      <c r="C3306" s="23" t="s">
        <v>4602</v>
      </c>
      <c r="D3306" s="23" t="s">
        <v>92</v>
      </c>
      <c r="E3306" s="23" t="s">
        <v>79</v>
      </c>
      <c r="F3306" s="23" t="s">
        <v>483</v>
      </c>
      <c r="G3306" s="23" t="s">
        <v>250</v>
      </c>
      <c r="H3306" s="39">
        <f t="shared" si="204"/>
        <v>2998</v>
      </c>
      <c r="I3306" s="23" t="str">
        <f t="shared" si="205"/>
        <v>Hyderabad</v>
      </c>
      <c r="J3306" s="23">
        <f>COUNTIFS(pg_transaction_cleaned!$O:$O,A3306,pg_transaction_cleaned!$F:$F,"CAPTURE")</f>
        <v>1</v>
      </c>
      <c r="K3306" s="39">
        <f>SUMIFS(pg_transaction_cleaned!$H:$H,pg_transaction_cleaned!$O:$O,A3306,pg_transaction_cleaned!$F:$F,"CAPTURE")</f>
        <v>2998</v>
      </c>
      <c r="L3306" s="23">
        <f>COUNTIFS(pg_transaction_cleaned!$O:$O,A3306,pg_transaction_cleaned!$F:$F,"REFUND")</f>
        <v>0</v>
      </c>
      <c r="M3306" s="39">
        <f>SUMIFS(pg_transaction_cleaned!$H:$H,pg_transaction_cleaned!$O:$O,A3306,pg_transaction_cleaned!$F:$F,"REFUND")</f>
        <v>0</v>
      </c>
      <c r="N3306" s="23" t="str">
        <f t="shared" si="206"/>
        <v>OK</v>
      </c>
      <c r="O3306" s="24">
        <f t="shared" si="207"/>
        <v>0</v>
      </c>
    </row>
    <row r="3307" spans="1:15" ht="15" customHeight="1" x14ac:dyDescent="0.3">
      <c r="A3307" s="23" t="s">
        <v>7109</v>
      </c>
      <c r="B3307" s="38">
        <v>46273</v>
      </c>
      <c r="C3307" s="23" t="s">
        <v>7110</v>
      </c>
      <c r="D3307" s="23" t="s">
        <v>92</v>
      </c>
      <c r="E3307" s="23" t="s">
        <v>79</v>
      </c>
      <c r="F3307" s="23" t="s">
        <v>310</v>
      </c>
      <c r="G3307" s="23" t="s">
        <v>250</v>
      </c>
      <c r="H3307" s="39">
        <f t="shared" si="204"/>
        <v>7999</v>
      </c>
      <c r="I3307" s="23" t="str">
        <f t="shared" si="205"/>
        <v>Hyderabad</v>
      </c>
      <c r="J3307" s="23">
        <f>COUNTIFS(pg_transaction_cleaned!$O:$O,A3307,pg_transaction_cleaned!$F:$F,"CAPTURE")</f>
        <v>1</v>
      </c>
      <c r="K3307" s="39">
        <f>SUMIFS(pg_transaction_cleaned!$H:$H,pg_transaction_cleaned!$O:$O,A3307,pg_transaction_cleaned!$F:$F,"CAPTURE")</f>
        <v>7999</v>
      </c>
      <c r="L3307" s="23">
        <f>COUNTIFS(pg_transaction_cleaned!$O:$O,A3307,pg_transaction_cleaned!$F:$F,"REFUND")</f>
        <v>0</v>
      </c>
      <c r="M3307" s="39">
        <f>SUMIFS(pg_transaction_cleaned!$H:$H,pg_transaction_cleaned!$O:$O,A3307,pg_transaction_cleaned!$F:$F,"REFUND")</f>
        <v>0</v>
      </c>
      <c r="N3307" s="23" t="str">
        <f t="shared" si="206"/>
        <v>OK</v>
      </c>
      <c r="O3307" s="24">
        <f t="shared" si="207"/>
        <v>0</v>
      </c>
    </row>
    <row r="3308" spans="1:15" ht="15" customHeight="1" x14ac:dyDescent="0.3">
      <c r="A3308" s="23" t="s">
        <v>7111</v>
      </c>
      <c r="B3308" s="38">
        <v>46294</v>
      </c>
      <c r="C3308" s="23" t="s">
        <v>7112</v>
      </c>
      <c r="D3308" s="23" t="s">
        <v>87</v>
      </c>
      <c r="E3308" s="23" t="s">
        <v>77</v>
      </c>
      <c r="F3308" s="23" t="s">
        <v>2160</v>
      </c>
      <c r="G3308" s="23" t="s">
        <v>250</v>
      </c>
      <c r="H3308" s="39">
        <f t="shared" si="204"/>
        <v>7998</v>
      </c>
      <c r="I3308" s="23" t="str">
        <f t="shared" si="205"/>
        <v>Mumbai</v>
      </c>
      <c r="J3308" s="23">
        <f>COUNTIFS(pg_transaction_cleaned!$O:$O,A3308,pg_transaction_cleaned!$F:$F,"CAPTURE")</f>
        <v>1</v>
      </c>
      <c r="K3308" s="39">
        <f>SUMIFS(pg_transaction_cleaned!$H:$H,pg_transaction_cleaned!$O:$O,A3308,pg_transaction_cleaned!$F:$F,"CAPTURE")</f>
        <v>7998</v>
      </c>
      <c r="L3308" s="23">
        <f>COUNTIFS(pg_transaction_cleaned!$O:$O,A3308,pg_transaction_cleaned!$F:$F,"REFUND")</f>
        <v>0</v>
      </c>
      <c r="M3308" s="39">
        <f>SUMIFS(pg_transaction_cleaned!$H:$H,pg_transaction_cleaned!$O:$O,A3308,pg_transaction_cleaned!$F:$F,"REFUND")</f>
        <v>0</v>
      </c>
      <c r="N3308" s="23" t="str">
        <f t="shared" si="206"/>
        <v>OK</v>
      </c>
      <c r="O3308" s="24">
        <f t="shared" si="207"/>
        <v>0</v>
      </c>
    </row>
    <row r="3309" spans="1:15" ht="15" customHeight="1" x14ac:dyDescent="0.3">
      <c r="A3309" s="23" t="s">
        <v>7113</v>
      </c>
      <c r="B3309" s="38">
        <v>46285</v>
      </c>
      <c r="C3309" s="23" t="s">
        <v>7114</v>
      </c>
      <c r="D3309" s="23" t="s">
        <v>87</v>
      </c>
      <c r="E3309" s="23" t="s">
        <v>79</v>
      </c>
      <c r="F3309" s="23" t="s">
        <v>520</v>
      </c>
      <c r="G3309" s="23" t="s">
        <v>250</v>
      </c>
      <c r="H3309" s="39">
        <f t="shared" si="204"/>
        <v>4998</v>
      </c>
      <c r="I3309" s="23" t="str">
        <f t="shared" si="205"/>
        <v>Mumbai</v>
      </c>
      <c r="J3309" s="23">
        <f>COUNTIFS(pg_transaction_cleaned!$O:$O,A3309,pg_transaction_cleaned!$F:$F,"CAPTURE")</f>
        <v>1</v>
      </c>
      <c r="K3309" s="39">
        <f>SUMIFS(pg_transaction_cleaned!$H:$H,pg_transaction_cleaned!$O:$O,A3309,pg_transaction_cleaned!$F:$F,"CAPTURE")</f>
        <v>4998</v>
      </c>
      <c r="L3309" s="23">
        <f>COUNTIFS(pg_transaction_cleaned!$O:$O,A3309,pg_transaction_cleaned!$F:$F,"REFUND")</f>
        <v>0</v>
      </c>
      <c r="M3309" s="39">
        <f>SUMIFS(pg_transaction_cleaned!$H:$H,pg_transaction_cleaned!$O:$O,A3309,pg_transaction_cleaned!$F:$F,"REFUND")</f>
        <v>0</v>
      </c>
      <c r="N3309" s="23" t="str">
        <f t="shared" si="206"/>
        <v>OK</v>
      </c>
      <c r="O3309" s="24">
        <f t="shared" si="207"/>
        <v>0</v>
      </c>
    </row>
    <row r="3310" spans="1:15" ht="15" customHeight="1" x14ac:dyDescent="0.3">
      <c r="A3310" s="23" t="s">
        <v>7115</v>
      </c>
      <c r="B3310" s="38">
        <v>46283</v>
      </c>
      <c r="C3310" s="23" t="s">
        <v>7116</v>
      </c>
      <c r="D3310" s="23" t="s">
        <v>95</v>
      </c>
      <c r="E3310" s="23" t="s">
        <v>79</v>
      </c>
      <c r="F3310" s="23" t="s">
        <v>553</v>
      </c>
      <c r="G3310" s="23" t="s">
        <v>250</v>
      </c>
      <c r="H3310" s="39">
        <f t="shared" si="204"/>
        <v>2798</v>
      </c>
      <c r="I3310" s="23" t="str">
        <f t="shared" si="205"/>
        <v>Bengaluru</v>
      </c>
      <c r="J3310" s="23">
        <f>COUNTIFS(pg_transaction_cleaned!$O:$O,A3310,pg_transaction_cleaned!$F:$F,"CAPTURE")</f>
        <v>1</v>
      </c>
      <c r="K3310" s="39">
        <f>SUMIFS(pg_transaction_cleaned!$H:$H,pg_transaction_cleaned!$O:$O,A3310,pg_transaction_cleaned!$F:$F,"CAPTURE")</f>
        <v>2798</v>
      </c>
      <c r="L3310" s="23">
        <f>COUNTIFS(pg_transaction_cleaned!$O:$O,A3310,pg_transaction_cleaned!$F:$F,"REFUND")</f>
        <v>0</v>
      </c>
      <c r="M3310" s="39">
        <f>SUMIFS(pg_transaction_cleaned!$H:$H,pg_transaction_cleaned!$O:$O,A3310,pg_transaction_cleaned!$F:$F,"REFUND")</f>
        <v>0</v>
      </c>
      <c r="N3310" s="23" t="str">
        <f t="shared" si="206"/>
        <v>OK</v>
      </c>
      <c r="O3310" s="24">
        <f t="shared" si="207"/>
        <v>0</v>
      </c>
    </row>
    <row r="3311" spans="1:15" ht="15" customHeight="1" x14ac:dyDescent="0.3">
      <c r="A3311" s="23" t="s">
        <v>7117</v>
      </c>
      <c r="B3311" s="38">
        <v>46292</v>
      </c>
      <c r="C3311" s="23" t="s">
        <v>7118</v>
      </c>
      <c r="D3311" s="23" t="s">
        <v>93</v>
      </c>
      <c r="E3311" s="23" t="s">
        <v>75</v>
      </c>
      <c r="F3311" s="23" t="s">
        <v>1832</v>
      </c>
      <c r="G3311" s="23" t="s">
        <v>250</v>
      </c>
      <c r="H3311" s="39">
        <f t="shared" si="204"/>
        <v>4997</v>
      </c>
      <c r="I3311" s="23" t="str">
        <f t="shared" si="205"/>
        <v>Kolkata</v>
      </c>
      <c r="J3311" s="23">
        <f>COUNTIFS(pg_transaction_cleaned!$O:$O,A3311,pg_transaction_cleaned!$F:$F,"CAPTURE")</f>
        <v>1</v>
      </c>
      <c r="K3311" s="39">
        <f>SUMIFS(pg_transaction_cleaned!$H:$H,pg_transaction_cleaned!$O:$O,A3311,pg_transaction_cleaned!$F:$F,"CAPTURE")</f>
        <v>4997</v>
      </c>
      <c r="L3311" s="23">
        <f>COUNTIFS(pg_transaction_cleaned!$O:$O,A3311,pg_transaction_cleaned!$F:$F,"REFUND")</f>
        <v>0</v>
      </c>
      <c r="M3311" s="39">
        <f>SUMIFS(pg_transaction_cleaned!$H:$H,pg_transaction_cleaned!$O:$O,A3311,pg_transaction_cleaned!$F:$F,"REFUND")</f>
        <v>0</v>
      </c>
      <c r="N3311" s="23" t="str">
        <f t="shared" si="206"/>
        <v>OK</v>
      </c>
      <c r="O3311" s="24">
        <f t="shared" si="207"/>
        <v>0</v>
      </c>
    </row>
    <row r="3312" spans="1:15" ht="15" customHeight="1" x14ac:dyDescent="0.3">
      <c r="A3312" s="23" t="s">
        <v>7119</v>
      </c>
      <c r="B3312" s="38">
        <v>46287</v>
      </c>
      <c r="C3312" s="23" t="s">
        <v>7120</v>
      </c>
      <c r="D3312" s="23" t="s">
        <v>89</v>
      </c>
      <c r="E3312" s="23" t="s">
        <v>75</v>
      </c>
      <c r="F3312" s="23" t="s">
        <v>357</v>
      </c>
      <c r="G3312" s="23" t="s">
        <v>250</v>
      </c>
      <c r="H3312" s="39">
        <f t="shared" si="204"/>
        <v>1598</v>
      </c>
      <c r="I3312" s="23" t="str">
        <f t="shared" si="205"/>
        <v>Jaipur</v>
      </c>
      <c r="J3312" s="23">
        <f>COUNTIFS(pg_transaction_cleaned!$O:$O,A3312,pg_transaction_cleaned!$F:$F,"CAPTURE")</f>
        <v>1</v>
      </c>
      <c r="K3312" s="39">
        <f>SUMIFS(pg_transaction_cleaned!$H:$H,pg_transaction_cleaned!$O:$O,A3312,pg_transaction_cleaned!$F:$F,"CAPTURE")</f>
        <v>1598</v>
      </c>
      <c r="L3312" s="23">
        <f>COUNTIFS(pg_transaction_cleaned!$O:$O,A3312,pg_transaction_cleaned!$F:$F,"REFUND")</f>
        <v>0</v>
      </c>
      <c r="M3312" s="39">
        <f>SUMIFS(pg_transaction_cleaned!$H:$H,pg_transaction_cleaned!$O:$O,A3312,pg_transaction_cleaned!$F:$F,"REFUND")</f>
        <v>0</v>
      </c>
      <c r="N3312" s="23" t="str">
        <f t="shared" si="206"/>
        <v>OK</v>
      </c>
      <c r="O3312" s="24">
        <f t="shared" si="207"/>
        <v>0</v>
      </c>
    </row>
    <row r="3313" spans="1:15" ht="15" customHeight="1" x14ac:dyDescent="0.3">
      <c r="A3313" s="23" t="s">
        <v>7121</v>
      </c>
      <c r="B3313" s="38">
        <v>46290</v>
      </c>
      <c r="C3313" s="23" t="s">
        <v>7122</v>
      </c>
      <c r="D3313" s="23" t="s">
        <v>88</v>
      </c>
      <c r="E3313" s="23" t="s">
        <v>77</v>
      </c>
      <c r="F3313" s="23" t="s">
        <v>259</v>
      </c>
      <c r="G3313" s="23" t="s">
        <v>250</v>
      </c>
      <c r="H3313" s="39">
        <f t="shared" si="204"/>
        <v>3298</v>
      </c>
      <c r="I3313" s="23" t="str">
        <f t="shared" si="205"/>
        <v>Lucknow</v>
      </c>
      <c r="J3313" s="23">
        <f>COUNTIFS(pg_transaction_cleaned!$O:$O,A3313,pg_transaction_cleaned!$F:$F,"CAPTURE")</f>
        <v>1</v>
      </c>
      <c r="K3313" s="39">
        <f>SUMIFS(pg_transaction_cleaned!$H:$H,pg_transaction_cleaned!$O:$O,A3313,pg_transaction_cleaned!$F:$F,"CAPTURE")</f>
        <v>3298</v>
      </c>
      <c r="L3313" s="23">
        <f>COUNTIFS(pg_transaction_cleaned!$O:$O,A3313,pg_transaction_cleaned!$F:$F,"REFUND")</f>
        <v>0</v>
      </c>
      <c r="M3313" s="39">
        <f>SUMIFS(pg_transaction_cleaned!$H:$H,pg_transaction_cleaned!$O:$O,A3313,pg_transaction_cleaned!$F:$F,"REFUND")</f>
        <v>0</v>
      </c>
      <c r="N3313" s="23" t="str">
        <f t="shared" si="206"/>
        <v>OK</v>
      </c>
      <c r="O3313" s="24">
        <f t="shared" si="207"/>
        <v>0</v>
      </c>
    </row>
    <row r="3314" spans="1:15" ht="15" customHeight="1" x14ac:dyDescent="0.3">
      <c r="A3314" s="23" t="s">
        <v>7123</v>
      </c>
      <c r="B3314" s="38">
        <v>46289</v>
      </c>
      <c r="C3314" s="23" t="s">
        <v>7124</v>
      </c>
      <c r="D3314" s="23" t="s">
        <v>90</v>
      </c>
      <c r="E3314" s="23" t="s">
        <v>79</v>
      </c>
      <c r="F3314" s="23" t="s">
        <v>1193</v>
      </c>
      <c r="G3314" s="23" t="s">
        <v>250</v>
      </c>
      <c r="H3314" s="39">
        <f t="shared" si="204"/>
        <v>3498</v>
      </c>
      <c r="I3314" s="23" t="str">
        <f t="shared" si="205"/>
        <v>Ahmedabad</v>
      </c>
      <c r="J3314" s="23">
        <f>COUNTIFS(pg_transaction_cleaned!$O:$O,A3314,pg_transaction_cleaned!$F:$F,"CAPTURE")</f>
        <v>1</v>
      </c>
      <c r="K3314" s="39">
        <f>SUMIFS(pg_transaction_cleaned!$H:$H,pg_transaction_cleaned!$O:$O,A3314,pg_transaction_cleaned!$F:$F,"CAPTURE")</f>
        <v>3498</v>
      </c>
      <c r="L3314" s="23">
        <f>COUNTIFS(pg_transaction_cleaned!$O:$O,A3314,pg_transaction_cleaned!$F:$F,"REFUND")</f>
        <v>0</v>
      </c>
      <c r="M3314" s="39">
        <f>SUMIFS(pg_transaction_cleaned!$H:$H,pg_transaction_cleaned!$O:$O,A3314,pg_transaction_cleaned!$F:$F,"REFUND")</f>
        <v>0</v>
      </c>
      <c r="N3314" s="23" t="str">
        <f t="shared" si="206"/>
        <v>OK</v>
      </c>
      <c r="O3314" s="24">
        <f t="shared" si="207"/>
        <v>0</v>
      </c>
    </row>
    <row r="3315" spans="1:15" ht="15" customHeight="1" x14ac:dyDescent="0.3">
      <c r="A3315" s="23" t="s">
        <v>7125</v>
      </c>
      <c r="B3315" s="38">
        <v>46276</v>
      </c>
      <c r="C3315" s="23" t="s">
        <v>7126</v>
      </c>
      <c r="D3315" s="23" t="s">
        <v>91</v>
      </c>
      <c r="E3315" s="23" t="s">
        <v>75</v>
      </c>
      <c r="F3315" s="23" t="s">
        <v>7127</v>
      </c>
      <c r="G3315" s="23" t="s">
        <v>250</v>
      </c>
      <c r="H3315" s="39">
        <f t="shared" si="204"/>
        <v>6997</v>
      </c>
      <c r="I3315" s="23" t="str">
        <f t="shared" si="205"/>
        <v>Pune</v>
      </c>
      <c r="J3315" s="23">
        <f>COUNTIFS(pg_transaction_cleaned!$O:$O,A3315,pg_transaction_cleaned!$F:$F,"CAPTURE")</f>
        <v>1</v>
      </c>
      <c r="K3315" s="39">
        <f>SUMIFS(pg_transaction_cleaned!$H:$H,pg_transaction_cleaned!$O:$O,A3315,pg_transaction_cleaned!$F:$F,"CAPTURE")</f>
        <v>6997</v>
      </c>
      <c r="L3315" s="23">
        <f>COUNTIFS(pg_transaction_cleaned!$O:$O,A3315,pg_transaction_cleaned!$F:$F,"REFUND")</f>
        <v>0</v>
      </c>
      <c r="M3315" s="39">
        <f>SUMIFS(pg_transaction_cleaned!$H:$H,pg_transaction_cleaned!$O:$O,A3315,pg_transaction_cleaned!$F:$F,"REFUND")</f>
        <v>0</v>
      </c>
      <c r="N3315" s="23" t="str">
        <f t="shared" si="206"/>
        <v>OK</v>
      </c>
      <c r="O3315" s="24">
        <f t="shared" si="207"/>
        <v>0</v>
      </c>
    </row>
    <row r="3316" spans="1:15" ht="15" customHeight="1" x14ac:dyDescent="0.3">
      <c r="A3316" s="23" t="s">
        <v>7128</v>
      </c>
      <c r="B3316" s="38">
        <v>46292</v>
      </c>
      <c r="C3316" s="23" t="s">
        <v>7129</v>
      </c>
      <c r="D3316" s="23" t="s">
        <v>90</v>
      </c>
      <c r="E3316" s="23" t="s">
        <v>75</v>
      </c>
      <c r="F3316" s="23" t="s">
        <v>1372</v>
      </c>
      <c r="G3316" s="23" t="s">
        <v>250</v>
      </c>
      <c r="H3316" s="39">
        <f t="shared" si="204"/>
        <v>798</v>
      </c>
      <c r="I3316" s="23" t="str">
        <f t="shared" si="205"/>
        <v>Ahmedabad</v>
      </c>
      <c r="J3316" s="23">
        <f>COUNTIFS(pg_transaction_cleaned!$O:$O,A3316,pg_transaction_cleaned!$F:$F,"CAPTURE")</f>
        <v>1</v>
      </c>
      <c r="K3316" s="39">
        <f>SUMIFS(pg_transaction_cleaned!$H:$H,pg_transaction_cleaned!$O:$O,A3316,pg_transaction_cleaned!$F:$F,"CAPTURE")</f>
        <v>798</v>
      </c>
      <c r="L3316" s="23">
        <f>COUNTIFS(pg_transaction_cleaned!$O:$O,A3316,pg_transaction_cleaned!$F:$F,"REFUND")</f>
        <v>0</v>
      </c>
      <c r="M3316" s="39">
        <f>SUMIFS(pg_transaction_cleaned!$H:$H,pg_transaction_cleaned!$O:$O,A3316,pg_transaction_cleaned!$F:$F,"REFUND")</f>
        <v>0</v>
      </c>
      <c r="N3316" s="23" t="str">
        <f t="shared" si="206"/>
        <v>OK</v>
      </c>
      <c r="O3316" s="24">
        <f t="shared" si="207"/>
        <v>0</v>
      </c>
    </row>
    <row r="3317" spans="1:15" ht="15" customHeight="1" x14ac:dyDescent="0.3">
      <c r="A3317" s="23" t="s">
        <v>7130</v>
      </c>
      <c r="B3317" s="38">
        <v>46289</v>
      </c>
      <c r="C3317" s="23" t="s">
        <v>7131</v>
      </c>
      <c r="D3317" s="23" t="s">
        <v>86</v>
      </c>
      <c r="E3317" s="23" t="s">
        <v>81</v>
      </c>
      <c r="F3317" s="23" t="s">
        <v>438</v>
      </c>
      <c r="G3317" s="23" t="s">
        <v>365</v>
      </c>
      <c r="H3317" s="39">
        <f t="shared" si="204"/>
        <v>5498</v>
      </c>
      <c r="I3317" s="23" t="str">
        <f t="shared" si="205"/>
        <v>Delhi</v>
      </c>
      <c r="J3317" s="23">
        <f>COUNTIFS(pg_transaction_cleaned!$O:$O,A3317,pg_transaction_cleaned!$F:$F,"CAPTURE")</f>
        <v>0</v>
      </c>
      <c r="K3317" s="39">
        <f>SUMIFS(pg_transaction_cleaned!$H:$H,pg_transaction_cleaned!$O:$O,A3317,pg_transaction_cleaned!$F:$F,"CAPTURE")</f>
        <v>0</v>
      </c>
      <c r="L3317" s="23">
        <f>COUNTIFS(pg_transaction_cleaned!$O:$O,A3317,pg_transaction_cleaned!$F:$F,"REFUND")</f>
        <v>0</v>
      </c>
      <c r="M3317" s="39">
        <f>SUMIFS(pg_transaction_cleaned!$H:$H,pg_transaction_cleaned!$O:$O,A3317,pg_transaction_cleaned!$F:$F,"REFUND")</f>
        <v>0</v>
      </c>
      <c r="N3317" s="23" t="str">
        <f t="shared" si="206"/>
        <v>OK</v>
      </c>
      <c r="O3317" s="24">
        <f t="shared" si="207"/>
        <v>0</v>
      </c>
    </row>
    <row r="3318" spans="1:15" ht="15" customHeight="1" x14ac:dyDescent="0.3">
      <c r="A3318" s="23" t="s">
        <v>7132</v>
      </c>
      <c r="B3318" s="38">
        <v>46275</v>
      </c>
      <c r="C3318" s="23" t="s">
        <v>7133</v>
      </c>
      <c r="D3318" s="23" t="s">
        <v>91</v>
      </c>
      <c r="E3318" s="23" t="s">
        <v>77</v>
      </c>
      <c r="F3318" s="23" t="s">
        <v>4551</v>
      </c>
      <c r="G3318" s="23" t="s">
        <v>250</v>
      </c>
      <c r="H3318" s="39">
        <f t="shared" si="204"/>
        <v>2398</v>
      </c>
      <c r="I3318" s="23" t="str">
        <f t="shared" si="205"/>
        <v>Pune</v>
      </c>
      <c r="J3318" s="23">
        <f>COUNTIFS(pg_transaction_cleaned!$O:$O,A3318,pg_transaction_cleaned!$F:$F,"CAPTURE")</f>
        <v>1</v>
      </c>
      <c r="K3318" s="39">
        <f>SUMIFS(pg_transaction_cleaned!$H:$H,pg_transaction_cleaned!$O:$O,A3318,pg_transaction_cleaned!$F:$F,"CAPTURE")</f>
        <v>2398</v>
      </c>
      <c r="L3318" s="23">
        <f>COUNTIFS(pg_transaction_cleaned!$O:$O,A3318,pg_transaction_cleaned!$F:$F,"REFUND")</f>
        <v>0</v>
      </c>
      <c r="M3318" s="39">
        <f>SUMIFS(pg_transaction_cleaned!$H:$H,pg_transaction_cleaned!$O:$O,A3318,pg_transaction_cleaned!$F:$F,"REFUND")</f>
        <v>0</v>
      </c>
      <c r="N3318" s="23" t="str">
        <f t="shared" si="206"/>
        <v>OK</v>
      </c>
      <c r="O3318" s="24">
        <f t="shared" si="207"/>
        <v>0</v>
      </c>
    </row>
    <row r="3319" spans="1:15" ht="15" customHeight="1" x14ac:dyDescent="0.3">
      <c r="A3319" s="23" t="s">
        <v>7134</v>
      </c>
      <c r="B3319" s="38">
        <v>46280</v>
      </c>
      <c r="C3319" s="23" t="s">
        <v>6121</v>
      </c>
      <c r="D3319" s="23" t="s">
        <v>94</v>
      </c>
      <c r="E3319" s="23" t="s">
        <v>75</v>
      </c>
      <c r="F3319" s="23" t="s">
        <v>265</v>
      </c>
      <c r="G3319" s="23" t="s">
        <v>250</v>
      </c>
      <c r="H3319" s="39">
        <f t="shared" si="204"/>
        <v>999</v>
      </c>
      <c r="I3319" s="23" t="str">
        <f t="shared" si="205"/>
        <v>Chennai</v>
      </c>
      <c r="J3319" s="23">
        <f>COUNTIFS(pg_transaction_cleaned!$O:$O,A3319,pg_transaction_cleaned!$F:$F,"CAPTURE")</f>
        <v>1</v>
      </c>
      <c r="K3319" s="39">
        <f>SUMIFS(pg_transaction_cleaned!$H:$H,pg_transaction_cleaned!$O:$O,A3319,pg_transaction_cleaned!$F:$F,"CAPTURE")</f>
        <v>999</v>
      </c>
      <c r="L3319" s="23">
        <f>COUNTIFS(pg_transaction_cleaned!$O:$O,A3319,pg_transaction_cleaned!$F:$F,"REFUND")</f>
        <v>0</v>
      </c>
      <c r="M3319" s="39">
        <f>SUMIFS(pg_transaction_cleaned!$H:$H,pg_transaction_cleaned!$O:$O,A3319,pg_transaction_cleaned!$F:$F,"REFUND")</f>
        <v>0</v>
      </c>
      <c r="N3319" s="23" t="str">
        <f t="shared" si="206"/>
        <v>OK</v>
      </c>
      <c r="O3319" s="24">
        <f t="shared" si="207"/>
        <v>0</v>
      </c>
    </row>
    <row r="3320" spans="1:15" ht="15" customHeight="1" x14ac:dyDescent="0.3">
      <c r="A3320" s="23" t="s">
        <v>7135</v>
      </c>
      <c r="B3320" s="38">
        <v>46291</v>
      </c>
      <c r="C3320" s="23" t="s">
        <v>7136</v>
      </c>
      <c r="D3320" s="23" t="s">
        <v>90</v>
      </c>
      <c r="E3320" s="23" t="s">
        <v>77</v>
      </c>
      <c r="F3320" s="23" t="s">
        <v>297</v>
      </c>
      <c r="G3320" s="23" t="s">
        <v>250</v>
      </c>
      <c r="H3320" s="39">
        <f t="shared" si="204"/>
        <v>4999</v>
      </c>
      <c r="I3320" s="23" t="str">
        <f t="shared" si="205"/>
        <v>Ahmedabad</v>
      </c>
      <c r="J3320" s="23">
        <f>COUNTIFS(pg_transaction_cleaned!$O:$O,A3320,pg_transaction_cleaned!$F:$F,"CAPTURE")</f>
        <v>1</v>
      </c>
      <c r="K3320" s="39">
        <f>SUMIFS(pg_transaction_cleaned!$H:$H,pg_transaction_cleaned!$O:$O,A3320,pg_transaction_cleaned!$F:$F,"CAPTURE")</f>
        <v>4999</v>
      </c>
      <c r="L3320" s="23">
        <f>COUNTIFS(pg_transaction_cleaned!$O:$O,A3320,pg_transaction_cleaned!$F:$F,"REFUND")</f>
        <v>0</v>
      </c>
      <c r="M3320" s="39">
        <f>SUMIFS(pg_transaction_cleaned!$H:$H,pg_transaction_cleaned!$O:$O,A3320,pg_transaction_cleaned!$F:$F,"REFUND")</f>
        <v>0</v>
      </c>
      <c r="N3320" s="23" t="str">
        <f t="shared" si="206"/>
        <v>OK</v>
      </c>
      <c r="O3320" s="24">
        <f t="shared" si="207"/>
        <v>0</v>
      </c>
    </row>
    <row r="3321" spans="1:15" ht="15" customHeight="1" x14ac:dyDescent="0.3">
      <c r="A3321" s="23" t="s">
        <v>7137</v>
      </c>
      <c r="B3321" s="38">
        <v>46290</v>
      </c>
      <c r="C3321" s="23" t="s">
        <v>7138</v>
      </c>
      <c r="D3321" s="23" t="s">
        <v>91</v>
      </c>
      <c r="E3321" s="23" t="s">
        <v>77</v>
      </c>
      <c r="F3321" s="23" t="s">
        <v>2954</v>
      </c>
      <c r="G3321" s="23" t="s">
        <v>301</v>
      </c>
      <c r="H3321" s="39">
        <f t="shared" si="204"/>
        <v>1799</v>
      </c>
      <c r="I3321" s="23" t="str">
        <f t="shared" si="205"/>
        <v>Pune</v>
      </c>
      <c r="J3321" s="23">
        <f>COUNTIFS(pg_transaction_cleaned!$O:$O,A3321,pg_transaction_cleaned!$F:$F,"CAPTURE")</f>
        <v>1</v>
      </c>
      <c r="K3321" s="39">
        <f>SUMIFS(pg_transaction_cleaned!$H:$H,pg_transaction_cleaned!$O:$O,A3321,pg_transaction_cleaned!$F:$F,"CAPTURE")</f>
        <v>1799</v>
      </c>
      <c r="L3321" s="23">
        <f>COUNTIFS(pg_transaction_cleaned!$O:$O,A3321,pg_transaction_cleaned!$F:$F,"REFUND")</f>
        <v>1</v>
      </c>
      <c r="M3321" s="39">
        <f>SUMIFS(pg_transaction_cleaned!$H:$H,pg_transaction_cleaned!$O:$O,A3321,pg_transaction_cleaned!$F:$F,"REFUND")</f>
        <v>1799</v>
      </c>
      <c r="N3321" s="23" t="str">
        <f t="shared" si="206"/>
        <v>OK</v>
      </c>
      <c r="O3321" s="24">
        <f t="shared" si="207"/>
        <v>0</v>
      </c>
    </row>
    <row r="3322" spans="1:15" ht="15" customHeight="1" x14ac:dyDescent="0.3">
      <c r="A3322" s="23" t="s">
        <v>7139</v>
      </c>
      <c r="B3322" s="38">
        <v>46271</v>
      </c>
      <c r="C3322" s="23" t="s">
        <v>7140</v>
      </c>
      <c r="D3322" s="23" t="s">
        <v>89</v>
      </c>
      <c r="E3322" s="23" t="s">
        <v>75</v>
      </c>
      <c r="F3322" s="23" t="s">
        <v>1103</v>
      </c>
      <c r="G3322" s="23" t="s">
        <v>250</v>
      </c>
      <c r="H3322" s="39">
        <f t="shared" si="204"/>
        <v>3897</v>
      </c>
      <c r="I3322" s="23" t="str">
        <f t="shared" si="205"/>
        <v>Jaipur</v>
      </c>
      <c r="J3322" s="23">
        <f>COUNTIFS(pg_transaction_cleaned!$O:$O,A3322,pg_transaction_cleaned!$F:$F,"CAPTURE")</f>
        <v>1</v>
      </c>
      <c r="K3322" s="39">
        <f>SUMIFS(pg_transaction_cleaned!$H:$H,pg_transaction_cleaned!$O:$O,A3322,pg_transaction_cleaned!$F:$F,"CAPTURE")</f>
        <v>3897</v>
      </c>
      <c r="L3322" s="23">
        <f>COUNTIFS(pg_transaction_cleaned!$O:$O,A3322,pg_transaction_cleaned!$F:$F,"REFUND")</f>
        <v>0</v>
      </c>
      <c r="M3322" s="39">
        <f>SUMIFS(pg_transaction_cleaned!$H:$H,pg_transaction_cleaned!$O:$O,A3322,pg_transaction_cleaned!$F:$F,"REFUND")</f>
        <v>0</v>
      </c>
      <c r="N3322" s="23" t="str">
        <f t="shared" si="206"/>
        <v>OK</v>
      </c>
      <c r="O3322" s="24">
        <f t="shared" si="207"/>
        <v>0</v>
      </c>
    </row>
    <row r="3323" spans="1:15" ht="15" customHeight="1" x14ac:dyDescent="0.3">
      <c r="A3323" s="23" t="s">
        <v>7141</v>
      </c>
      <c r="B3323" s="38">
        <v>46269</v>
      </c>
      <c r="C3323" s="23" t="s">
        <v>7142</v>
      </c>
      <c r="D3323" s="23" t="s">
        <v>89</v>
      </c>
      <c r="E3323" s="23" t="s">
        <v>77</v>
      </c>
      <c r="F3323" s="23" t="s">
        <v>271</v>
      </c>
      <c r="G3323" s="23" t="s">
        <v>250</v>
      </c>
      <c r="H3323" s="39">
        <f t="shared" si="204"/>
        <v>2499</v>
      </c>
      <c r="I3323" s="23" t="str">
        <f t="shared" si="205"/>
        <v>Jaipur</v>
      </c>
      <c r="J3323" s="23">
        <f>COUNTIFS(pg_transaction_cleaned!$O:$O,A3323,pg_transaction_cleaned!$F:$F,"CAPTURE")</f>
        <v>1</v>
      </c>
      <c r="K3323" s="39">
        <f>SUMIFS(pg_transaction_cleaned!$H:$H,pg_transaction_cleaned!$O:$O,A3323,pg_transaction_cleaned!$F:$F,"CAPTURE")</f>
        <v>2499</v>
      </c>
      <c r="L3323" s="23">
        <f>COUNTIFS(pg_transaction_cleaned!$O:$O,A3323,pg_transaction_cleaned!$F:$F,"REFUND")</f>
        <v>0</v>
      </c>
      <c r="M3323" s="39">
        <f>SUMIFS(pg_transaction_cleaned!$H:$H,pg_transaction_cleaned!$O:$O,A3323,pg_transaction_cleaned!$F:$F,"REFUND")</f>
        <v>0</v>
      </c>
      <c r="N3323" s="23" t="str">
        <f t="shared" si="206"/>
        <v>OK</v>
      </c>
      <c r="O3323" s="24">
        <f t="shared" si="207"/>
        <v>0</v>
      </c>
    </row>
    <row r="3324" spans="1:15" ht="15" customHeight="1" x14ac:dyDescent="0.3">
      <c r="A3324" s="23" t="s">
        <v>7143</v>
      </c>
      <c r="B3324" s="38">
        <v>46268</v>
      </c>
      <c r="C3324" s="23" t="s">
        <v>7144</v>
      </c>
      <c r="D3324" s="23" t="s">
        <v>88</v>
      </c>
      <c r="E3324" s="23" t="s">
        <v>77</v>
      </c>
      <c r="F3324" s="23" t="s">
        <v>742</v>
      </c>
      <c r="G3324" s="23" t="s">
        <v>250</v>
      </c>
      <c r="H3324" s="39">
        <f t="shared" si="204"/>
        <v>999</v>
      </c>
      <c r="I3324" s="23" t="str">
        <f t="shared" si="205"/>
        <v>Lucknow</v>
      </c>
      <c r="J3324" s="23">
        <f>COUNTIFS(pg_transaction_cleaned!$O:$O,A3324,pg_transaction_cleaned!$F:$F,"CAPTURE")</f>
        <v>1</v>
      </c>
      <c r="K3324" s="39">
        <f>SUMIFS(pg_transaction_cleaned!$H:$H,pg_transaction_cleaned!$O:$O,A3324,pg_transaction_cleaned!$F:$F,"CAPTURE")</f>
        <v>999</v>
      </c>
      <c r="L3324" s="23">
        <f>COUNTIFS(pg_transaction_cleaned!$O:$O,A3324,pg_transaction_cleaned!$F:$F,"REFUND")</f>
        <v>0</v>
      </c>
      <c r="M3324" s="39">
        <f>SUMIFS(pg_transaction_cleaned!$H:$H,pg_transaction_cleaned!$O:$O,A3324,pg_transaction_cleaned!$F:$F,"REFUND")</f>
        <v>0</v>
      </c>
      <c r="N3324" s="23" t="str">
        <f t="shared" si="206"/>
        <v>OK</v>
      </c>
      <c r="O3324" s="24">
        <f t="shared" si="207"/>
        <v>0</v>
      </c>
    </row>
    <row r="3325" spans="1:15" ht="15" customHeight="1" x14ac:dyDescent="0.3">
      <c r="A3325" s="23" t="s">
        <v>7145</v>
      </c>
      <c r="B3325" s="38">
        <v>46287</v>
      </c>
      <c r="C3325" s="23" t="s">
        <v>7146</v>
      </c>
      <c r="D3325" s="23" t="s">
        <v>88</v>
      </c>
      <c r="E3325" s="23" t="s">
        <v>75</v>
      </c>
      <c r="F3325" s="23" t="s">
        <v>873</v>
      </c>
      <c r="G3325" s="23" t="s">
        <v>250</v>
      </c>
      <c r="H3325" s="39">
        <f t="shared" si="204"/>
        <v>13497</v>
      </c>
      <c r="I3325" s="23" t="str">
        <f t="shared" si="205"/>
        <v>Lucknow</v>
      </c>
      <c r="J3325" s="23">
        <f>COUNTIFS(pg_transaction_cleaned!$O:$O,A3325,pg_transaction_cleaned!$F:$F,"CAPTURE")</f>
        <v>1</v>
      </c>
      <c r="K3325" s="39">
        <f>SUMIFS(pg_transaction_cleaned!$H:$H,pg_transaction_cleaned!$O:$O,A3325,pg_transaction_cleaned!$F:$F,"CAPTURE")</f>
        <v>13497</v>
      </c>
      <c r="L3325" s="23">
        <f>COUNTIFS(pg_transaction_cleaned!$O:$O,A3325,pg_transaction_cleaned!$F:$F,"REFUND")</f>
        <v>0</v>
      </c>
      <c r="M3325" s="39">
        <f>SUMIFS(pg_transaction_cleaned!$H:$H,pg_transaction_cleaned!$O:$O,A3325,pg_transaction_cleaned!$F:$F,"REFUND")</f>
        <v>0</v>
      </c>
      <c r="N3325" s="23" t="str">
        <f t="shared" si="206"/>
        <v>OK</v>
      </c>
      <c r="O3325" s="24">
        <f t="shared" si="207"/>
        <v>0</v>
      </c>
    </row>
    <row r="3326" spans="1:15" ht="15" customHeight="1" x14ac:dyDescent="0.3">
      <c r="A3326" s="23" t="s">
        <v>7147</v>
      </c>
      <c r="B3326" s="38">
        <v>46267</v>
      </c>
      <c r="C3326" s="23" t="s">
        <v>7148</v>
      </c>
      <c r="D3326" s="23" t="s">
        <v>88</v>
      </c>
      <c r="E3326" s="23" t="s">
        <v>81</v>
      </c>
      <c r="F3326" s="23" t="s">
        <v>265</v>
      </c>
      <c r="G3326" s="23" t="s">
        <v>250</v>
      </c>
      <c r="H3326" s="39">
        <f t="shared" si="204"/>
        <v>999</v>
      </c>
      <c r="I3326" s="23" t="str">
        <f t="shared" si="205"/>
        <v>Lucknow</v>
      </c>
      <c r="J3326" s="23">
        <f>COUNTIFS(pg_transaction_cleaned!$O:$O,A3326,pg_transaction_cleaned!$F:$F,"CAPTURE")</f>
        <v>1</v>
      </c>
      <c r="K3326" s="39">
        <f>SUMIFS(pg_transaction_cleaned!$H:$H,pg_transaction_cleaned!$O:$O,A3326,pg_transaction_cleaned!$F:$F,"CAPTURE")</f>
        <v>999</v>
      </c>
      <c r="L3326" s="23">
        <f>COUNTIFS(pg_transaction_cleaned!$O:$O,A3326,pg_transaction_cleaned!$F:$F,"REFUND")</f>
        <v>0</v>
      </c>
      <c r="M3326" s="39">
        <f>SUMIFS(pg_transaction_cleaned!$H:$H,pg_transaction_cleaned!$O:$O,A3326,pg_transaction_cleaned!$F:$F,"REFUND")</f>
        <v>0</v>
      </c>
      <c r="N3326" s="23" t="str">
        <f t="shared" si="206"/>
        <v>OK</v>
      </c>
      <c r="O3326" s="24">
        <f t="shared" si="207"/>
        <v>0</v>
      </c>
    </row>
    <row r="3327" spans="1:15" ht="15" customHeight="1" x14ac:dyDescent="0.3">
      <c r="A3327" s="23" t="s">
        <v>7149</v>
      </c>
      <c r="B3327" s="38">
        <v>46272</v>
      </c>
      <c r="C3327" s="23" t="s">
        <v>7150</v>
      </c>
      <c r="D3327" s="23" t="s">
        <v>94</v>
      </c>
      <c r="E3327" s="23" t="s">
        <v>75</v>
      </c>
      <c r="F3327" s="23" t="s">
        <v>310</v>
      </c>
      <c r="G3327" s="23" t="s">
        <v>250</v>
      </c>
      <c r="H3327" s="39">
        <f t="shared" si="204"/>
        <v>7999</v>
      </c>
      <c r="I3327" s="23" t="str">
        <f t="shared" si="205"/>
        <v>Chennai</v>
      </c>
      <c r="J3327" s="23">
        <f>COUNTIFS(pg_transaction_cleaned!$O:$O,A3327,pg_transaction_cleaned!$F:$F,"CAPTURE")</f>
        <v>1</v>
      </c>
      <c r="K3327" s="39">
        <f>SUMIFS(pg_transaction_cleaned!$H:$H,pg_transaction_cleaned!$O:$O,A3327,pg_transaction_cleaned!$F:$F,"CAPTURE")</f>
        <v>7999</v>
      </c>
      <c r="L3327" s="23">
        <f>COUNTIFS(pg_transaction_cleaned!$O:$O,A3327,pg_transaction_cleaned!$F:$F,"REFUND")</f>
        <v>0</v>
      </c>
      <c r="M3327" s="39">
        <f>SUMIFS(pg_transaction_cleaned!$H:$H,pg_transaction_cleaned!$O:$O,A3327,pg_transaction_cleaned!$F:$F,"REFUND")</f>
        <v>0</v>
      </c>
      <c r="N3327" s="23" t="str">
        <f t="shared" si="206"/>
        <v>OK</v>
      </c>
      <c r="O3327" s="24">
        <f t="shared" si="207"/>
        <v>0</v>
      </c>
    </row>
    <row r="3328" spans="1:15" ht="15" customHeight="1" x14ac:dyDescent="0.3">
      <c r="A3328" s="23" t="s">
        <v>7151</v>
      </c>
      <c r="B3328" s="38">
        <v>46289</v>
      </c>
      <c r="C3328" s="23" t="s">
        <v>7152</v>
      </c>
      <c r="D3328" s="23" t="s">
        <v>94</v>
      </c>
      <c r="E3328" s="23" t="s">
        <v>79</v>
      </c>
      <c r="F3328" s="23" t="s">
        <v>426</v>
      </c>
      <c r="G3328" s="23" t="s">
        <v>250</v>
      </c>
      <c r="H3328" s="39">
        <f t="shared" si="204"/>
        <v>6798</v>
      </c>
      <c r="I3328" s="23" t="str">
        <f t="shared" si="205"/>
        <v>Chennai</v>
      </c>
      <c r="J3328" s="23">
        <f>COUNTIFS(pg_transaction_cleaned!$O:$O,A3328,pg_transaction_cleaned!$F:$F,"CAPTURE")</f>
        <v>1</v>
      </c>
      <c r="K3328" s="39">
        <f>SUMIFS(pg_transaction_cleaned!$H:$H,pg_transaction_cleaned!$O:$O,A3328,pg_transaction_cleaned!$F:$F,"CAPTURE")</f>
        <v>6798</v>
      </c>
      <c r="L3328" s="23">
        <f>COUNTIFS(pg_transaction_cleaned!$O:$O,A3328,pg_transaction_cleaned!$F:$F,"REFUND")</f>
        <v>0</v>
      </c>
      <c r="M3328" s="39">
        <f>SUMIFS(pg_transaction_cleaned!$H:$H,pg_transaction_cleaned!$O:$O,A3328,pg_transaction_cleaned!$F:$F,"REFUND")</f>
        <v>0</v>
      </c>
      <c r="N3328" s="23" t="str">
        <f t="shared" si="206"/>
        <v>OK</v>
      </c>
      <c r="O3328" s="24">
        <f t="shared" si="207"/>
        <v>0</v>
      </c>
    </row>
    <row r="3329" spans="1:15" ht="15" customHeight="1" x14ac:dyDescent="0.3">
      <c r="A3329" s="23" t="s">
        <v>7153</v>
      </c>
      <c r="B3329" s="38">
        <v>46272</v>
      </c>
      <c r="C3329" s="23" t="s">
        <v>7154</v>
      </c>
      <c r="D3329" s="23" t="s">
        <v>91</v>
      </c>
      <c r="E3329" s="23" t="s">
        <v>79</v>
      </c>
      <c r="F3329" s="23" t="s">
        <v>396</v>
      </c>
      <c r="G3329" s="23" t="s">
        <v>250</v>
      </c>
      <c r="H3329" s="39">
        <f t="shared" si="204"/>
        <v>2999</v>
      </c>
      <c r="I3329" s="23" t="str">
        <f t="shared" si="205"/>
        <v>Pune</v>
      </c>
      <c r="J3329" s="23">
        <f>COUNTIFS(pg_transaction_cleaned!$O:$O,A3329,pg_transaction_cleaned!$F:$F,"CAPTURE")</f>
        <v>1</v>
      </c>
      <c r="K3329" s="39">
        <f>SUMIFS(pg_transaction_cleaned!$H:$H,pg_transaction_cleaned!$O:$O,A3329,pg_transaction_cleaned!$F:$F,"CAPTURE")</f>
        <v>2999</v>
      </c>
      <c r="L3329" s="23">
        <f>COUNTIFS(pg_transaction_cleaned!$O:$O,A3329,pg_transaction_cleaned!$F:$F,"REFUND")</f>
        <v>0</v>
      </c>
      <c r="M3329" s="39">
        <f>SUMIFS(pg_transaction_cleaned!$H:$H,pg_transaction_cleaned!$O:$O,A3329,pg_transaction_cleaned!$F:$F,"REFUND")</f>
        <v>0</v>
      </c>
      <c r="N3329" s="23" t="str">
        <f t="shared" si="206"/>
        <v>OK</v>
      </c>
      <c r="O3329" s="24">
        <f t="shared" si="207"/>
        <v>0</v>
      </c>
    </row>
    <row r="3330" spans="1:15" ht="15" customHeight="1" x14ac:dyDescent="0.3">
      <c r="A3330" s="23" t="s">
        <v>7155</v>
      </c>
      <c r="B3330" s="38">
        <v>46284</v>
      </c>
      <c r="C3330" s="23" t="s">
        <v>7156</v>
      </c>
      <c r="D3330" s="23" t="s">
        <v>86</v>
      </c>
      <c r="E3330" s="23" t="s">
        <v>75</v>
      </c>
      <c r="F3330" s="23" t="s">
        <v>297</v>
      </c>
      <c r="G3330" s="23" t="s">
        <v>250</v>
      </c>
      <c r="H3330" s="39">
        <f t="shared" ref="H3330:H3393" si="208">VALUE(SUBSTITUTE(F3330,",",""))</f>
        <v>4999</v>
      </c>
      <c r="I3330" s="23" t="str">
        <f t="shared" ref="I3330:I3393" si="209">IF(TRIM(D3330)="","Unknown",TRIM(D3330))</f>
        <v>Delhi</v>
      </c>
      <c r="J3330" s="23">
        <f>COUNTIFS(pg_transaction_cleaned!$O:$O,A3330,pg_transaction_cleaned!$F:$F,"CAPTURE")</f>
        <v>1</v>
      </c>
      <c r="K3330" s="39">
        <f>SUMIFS(pg_transaction_cleaned!$H:$H,pg_transaction_cleaned!$O:$O,A3330,pg_transaction_cleaned!$F:$F,"CAPTURE")</f>
        <v>4999</v>
      </c>
      <c r="L3330" s="23">
        <f>COUNTIFS(pg_transaction_cleaned!$O:$O,A3330,pg_transaction_cleaned!$F:$F,"REFUND")</f>
        <v>0</v>
      </c>
      <c r="M3330" s="39">
        <f>SUMIFS(pg_transaction_cleaned!$H:$H,pg_transaction_cleaned!$O:$O,A3330,pg_transaction_cleaned!$F:$F,"REFUND")</f>
        <v>0</v>
      </c>
      <c r="N3330" s="23" t="str">
        <f t="shared" ref="N3330:N3393" si="210">IF(AND(G3330="Paid",J3330=0),"Paid, no payment",IF(AND(OR(G3330="Failed",G3330="Cancelled"),J3330&gt;0),"Payment on failed/cancelled",IF(J3330&gt;1,"Duplicate charge",IF(AND(J3330=1,ROUND(K3330-H3330,2)&lt;&gt;0),"Amount difference",IF(AND(G3330="Refunded",L3330=0),"Refunded, no refund",IF(AND(G3330&lt;&gt;"Refunded",L3330&gt;0),"Refund, order not Refunded",IF(AND(L3330&gt;0,ROUND(M3330-H3330,2)&lt;&gt;0),"Refund amount differs","OK")))))))</f>
        <v>OK</v>
      </c>
      <c r="O3330" s="24">
        <f t="shared" ref="O3330:O3393" si="211">IF(N3330="OK",0,IF(N3330="Paid, no payment",H3330,IF(N3330="Payment on failed/cancelled",K3330,IF(OR(N3330="Duplicate charge",N3330="Amount difference"),K3330-H3330,IF(N3330="Refunded, no refund",H3330,M3330)))))</f>
        <v>0</v>
      </c>
    </row>
    <row r="3331" spans="1:15" ht="15" customHeight="1" x14ac:dyDescent="0.3">
      <c r="A3331" s="23" t="s">
        <v>7157</v>
      </c>
      <c r="B3331" s="38">
        <v>46293</v>
      </c>
      <c r="C3331" s="23" t="s">
        <v>7158</v>
      </c>
      <c r="D3331" s="23" t="s">
        <v>91</v>
      </c>
      <c r="E3331" s="23" t="s">
        <v>81</v>
      </c>
      <c r="F3331" s="23" t="s">
        <v>880</v>
      </c>
      <c r="G3331" s="23" t="s">
        <v>250</v>
      </c>
      <c r="H3331" s="39">
        <f t="shared" si="208"/>
        <v>2298</v>
      </c>
      <c r="I3331" s="23" t="str">
        <f t="shared" si="209"/>
        <v>Pune</v>
      </c>
      <c r="J3331" s="23">
        <f>COUNTIFS(pg_transaction_cleaned!$O:$O,A3331,pg_transaction_cleaned!$F:$F,"CAPTURE")</f>
        <v>1</v>
      </c>
      <c r="K3331" s="39">
        <f>SUMIFS(pg_transaction_cleaned!$H:$H,pg_transaction_cleaned!$O:$O,A3331,pg_transaction_cleaned!$F:$F,"CAPTURE")</f>
        <v>2298</v>
      </c>
      <c r="L3331" s="23">
        <f>COUNTIFS(pg_transaction_cleaned!$O:$O,A3331,pg_transaction_cleaned!$F:$F,"REFUND")</f>
        <v>0</v>
      </c>
      <c r="M3331" s="39">
        <f>SUMIFS(pg_transaction_cleaned!$H:$H,pg_transaction_cleaned!$O:$O,A3331,pg_transaction_cleaned!$F:$F,"REFUND")</f>
        <v>0</v>
      </c>
      <c r="N3331" s="23" t="str">
        <f t="shared" si="210"/>
        <v>OK</v>
      </c>
      <c r="O3331" s="24">
        <f t="shared" si="211"/>
        <v>0</v>
      </c>
    </row>
    <row r="3332" spans="1:15" ht="15" customHeight="1" x14ac:dyDescent="0.3">
      <c r="A3332" s="23" t="s">
        <v>7159</v>
      </c>
      <c r="B3332" s="38">
        <v>46273</v>
      </c>
      <c r="C3332" s="23" t="s">
        <v>7160</v>
      </c>
      <c r="D3332" s="23" t="s">
        <v>91</v>
      </c>
      <c r="E3332" s="23" t="s">
        <v>75</v>
      </c>
      <c r="F3332" s="23" t="s">
        <v>7161</v>
      </c>
      <c r="G3332" s="23" t="s">
        <v>250</v>
      </c>
      <c r="H3332" s="39">
        <f t="shared" si="208"/>
        <v>4097</v>
      </c>
      <c r="I3332" s="23" t="str">
        <f t="shared" si="209"/>
        <v>Pune</v>
      </c>
      <c r="J3332" s="23">
        <f>COUNTIFS(pg_transaction_cleaned!$O:$O,A3332,pg_transaction_cleaned!$F:$F,"CAPTURE")</f>
        <v>1</v>
      </c>
      <c r="K3332" s="39">
        <f>SUMIFS(pg_transaction_cleaned!$H:$H,pg_transaction_cleaned!$O:$O,A3332,pg_transaction_cleaned!$F:$F,"CAPTURE")</f>
        <v>4097</v>
      </c>
      <c r="L3332" s="23">
        <f>COUNTIFS(pg_transaction_cleaned!$O:$O,A3332,pg_transaction_cleaned!$F:$F,"REFUND")</f>
        <v>0</v>
      </c>
      <c r="M3332" s="39">
        <f>SUMIFS(pg_transaction_cleaned!$H:$H,pg_transaction_cleaned!$O:$O,A3332,pg_transaction_cleaned!$F:$F,"REFUND")</f>
        <v>0</v>
      </c>
      <c r="N3332" s="23" t="str">
        <f t="shared" si="210"/>
        <v>OK</v>
      </c>
      <c r="O3332" s="24">
        <f t="shared" si="211"/>
        <v>0</v>
      </c>
    </row>
    <row r="3333" spans="1:15" ht="15" customHeight="1" x14ac:dyDescent="0.3">
      <c r="A3333" s="23" t="s">
        <v>7162</v>
      </c>
      <c r="B3333" s="38">
        <v>46293</v>
      </c>
      <c r="C3333" s="23" t="s">
        <v>7163</v>
      </c>
      <c r="D3333" s="23" t="s">
        <v>92</v>
      </c>
      <c r="E3333" s="23" t="s">
        <v>75</v>
      </c>
      <c r="F3333" s="23" t="s">
        <v>724</v>
      </c>
      <c r="G3333" s="23" t="s">
        <v>250</v>
      </c>
      <c r="H3333" s="39">
        <f t="shared" si="208"/>
        <v>3848</v>
      </c>
      <c r="I3333" s="23" t="str">
        <f t="shared" si="209"/>
        <v>Hyderabad</v>
      </c>
      <c r="J3333" s="23">
        <f>COUNTIFS(pg_transaction_cleaned!$O:$O,A3333,pg_transaction_cleaned!$F:$F,"CAPTURE")</f>
        <v>1</v>
      </c>
      <c r="K3333" s="39">
        <f>SUMIFS(pg_transaction_cleaned!$H:$H,pg_transaction_cleaned!$O:$O,A3333,pg_transaction_cleaned!$F:$F,"CAPTURE")</f>
        <v>3848</v>
      </c>
      <c r="L3333" s="23">
        <f>COUNTIFS(pg_transaction_cleaned!$O:$O,A3333,pg_transaction_cleaned!$F:$F,"REFUND")</f>
        <v>0</v>
      </c>
      <c r="M3333" s="39">
        <f>SUMIFS(pg_transaction_cleaned!$H:$H,pg_transaction_cleaned!$O:$O,A3333,pg_transaction_cleaned!$F:$F,"REFUND")</f>
        <v>0</v>
      </c>
      <c r="N3333" s="23" t="str">
        <f t="shared" si="210"/>
        <v>OK</v>
      </c>
      <c r="O3333" s="24">
        <f t="shared" si="211"/>
        <v>0</v>
      </c>
    </row>
    <row r="3334" spans="1:15" ht="15" customHeight="1" x14ac:dyDescent="0.3">
      <c r="A3334" s="23" t="s">
        <v>7164</v>
      </c>
      <c r="B3334" s="38">
        <v>46272</v>
      </c>
      <c r="C3334" s="23" t="s">
        <v>7165</v>
      </c>
      <c r="D3334" s="23" t="s">
        <v>90</v>
      </c>
      <c r="E3334" s="23" t="s">
        <v>75</v>
      </c>
      <c r="F3334" s="23" t="s">
        <v>2086</v>
      </c>
      <c r="G3334" s="23" t="s">
        <v>250</v>
      </c>
      <c r="H3334" s="39">
        <f t="shared" si="208"/>
        <v>3397</v>
      </c>
      <c r="I3334" s="23" t="str">
        <f t="shared" si="209"/>
        <v>Ahmedabad</v>
      </c>
      <c r="J3334" s="23">
        <f>COUNTIFS(pg_transaction_cleaned!$O:$O,A3334,pg_transaction_cleaned!$F:$F,"CAPTURE")</f>
        <v>1</v>
      </c>
      <c r="K3334" s="39">
        <f>SUMIFS(pg_transaction_cleaned!$H:$H,pg_transaction_cleaned!$O:$O,A3334,pg_transaction_cleaned!$F:$F,"CAPTURE")</f>
        <v>3397</v>
      </c>
      <c r="L3334" s="23">
        <f>COUNTIFS(pg_transaction_cleaned!$O:$O,A3334,pg_transaction_cleaned!$F:$F,"REFUND")</f>
        <v>0</v>
      </c>
      <c r="M3334" s="39">
        <f>SUMIFS(pg_transaction_cleaned!$H:$H,pg_transaction_cleaned!$O:$O,A3334,pg_transaction_cleaned!$F:$F,"REFUND")</f>
        <v>0</v>
      </c>
      <c r="N3334" s="23" t="str">
        <f t="shared" si="210"/>
        <v>OK</v>
      </c>
      <c r="O3334" s="24">
        <f t="shared" si="211"/>
        <v>0</v>
      </c>
    </row>
    <row r="3335" spans="1:15" ht="15" customHeight="1" x14ac:dyDescent="0.3">
      <c r="A3335" s="23" t="s">
        <v>7166</v>
      </c>
      <c r="B3335" s="38">
        <v>46272</v>
      </c>
      <c r="C3335" s="23" t="s">
        <v>7167</v>
      </c>
      <c r="D3335" s="23" t="s">
        <v>94</v>
      </c>
      <c r="E3335" s="23" t="s">
        <v>75</v>
      </c>
      <c r="F3335" s="23" t="s">
        <v>340</v>
      </c>
      <c r="G3335" s="23" t="s">
        <v>250</v>
      </c>
      <c r="H3335" s="39">
        <f t="shared" si="208"/>
        <v>6298</v>
      </c>
      <c r="I3335" s="23" t="str">
        <f t="shared" si="209"/>
        <v>Chennai</v>
      </c>
      <c r="J3335" s="23">
        <f>COUNTIFS(pg_transaction_cleaned!$O:$O,A3335,pg_transaction_cleaned!$F:$F,"CAPTURE")</f>
        <v>1</v>
      </c>
      <c r="K3335" s="39">
        <f>SUMIFS(pg_transaction_cleaned!$H:$H,pg_transaction_cleaned!$O:$O,A3335,pg_transaction_cleaned!$F:$F,"CAPTURE")</f>
        <v>6298</v>
      </c>
      <c r="L3335" s="23">
        <f>COUNTIFS(pg_transaction_cleaned!$O:$O,A3335,pg_transaction_cleaned!$F:$F,"REFUND")</f>
        <v>0</v>
      </c>
      <c r="M3335" s="39">
        <f>SUMIFS(pg_transaction_cleaned!$H:$H,pg_transaction_cleaned!$O:$O,A3335,pg_transaction_cleaned!$F:$F,"REFUND")</f>
        <v>0</v>
      </c>
      <c r="N3335" s="23" t="str">
        <f t="shared" si="210"/>
        <v>OK</v>
      </c>
      <c r="O3335" s="24">
        <f t="shared" si="211"/>
        <v>0</v>
      </c>
    </row>
    <row r="3336" spans="1:15" ht="15" customHeight="1" x14ac:dyDescent="0.3">
      <c r="A3336" s="23" t="s">
        <v>7168</v>
      </c>
      <c r="B3336" s="38">
        <v>46282</v>
      </c>
      <c r="C3336" s="23" t="s">
        <v>7169</v>
      </c>
      <c r="D3336" s="23" t="s">
        <v>87</v>
      </c>
      <c r="E3336" s="23" t="s">
        <v>75</v>
      </c>
      <c r="F3336" s="23" t="s">
        <v>1448</v>
      </c>
      <c r="G3336" s="23" t="s">
        <v>250</v>
      </c>
      <c r="H3336" s="39">
        <f t="shared" si="208"/>
        <v>6297</v>
      </c>
      <c r="I3336" s="23" t="str">
        <f t="shared" si="209"/>
        <v>Mumbai</v>
      </c>
      <c r="J3336" s="23">
        <f>COUNTIFS(pg_transaction_cleaned!$O:$O,A3336,pg_transaction_cleaned!$F:$F,"CAPTURE")</f>
        <v>1</v>
      </c>
      <c r="K3336" s="39">
        <f>SUMIFS(pg_transaction_cleaned!$H:$H,pg_transaction_cleaned!$O:$O,A3336,pg_transaction_cleaned!$F:$F,"CAPTURE")</f>
        <v>6297</v>
      </c>
      <c r="L3336" s="23">
        <f>COUNTIFS(pg_transaction_cleaned!$O:$O,A3336,pg_transaction_cleaned!$F:$F,"REFUND")</f>
        <v>0</v>
      </c>
      <c r="M3336" s="39">
        <f>SUMIFS(pg_transaction_cleaned!$H:$H,pg_transaction_cleaned!$O:$O,A3336,pg_transaction_cleaned!$F:$F,"REFUND")</f>
        <v>0</v>
      </c>
      <c r="N3336" s="23" t="str">
        <f t="shared" si="210"/>
        <v>OK</v>
      </c>
      <c r="O3336" s="24">
        <f t="shared" si="211"/>
        <v>0</v>
      </c>
    </row>
    <row r="3337" spans="1:15" ht="15" customHeight="1" x14ac:dyDescent="0.3">
      <c r="A3337" s="23" t="s">
        <v>7170</v>
      </c>
      <c r="B3337" s="38">
        <v>46288</v>
      </c>
      <c r="C3337" s="23" t="s">
        <v>7171</v>
      </c>
      <c r="D3337" s="23" t="s">
        <v>91</v>
      </c>
      <c r="E3337" s="23" t="s">
        <v>75</v>
      </c>
      <c r="F3337" s="23" t="s">
        <v>396</v>
      </c>
      <c r="G3337" s="23" t="s">
        <v>250</v>
      </c>
      <c r="H3337" s="39">
        <f t="shared" si="208"/>
        <v>2999</v>
      </c>
      <c r="I3337" s="23" t="str">
        <f t="shared" si="209"/>
        <v>Pune</v>
      </c>
      <c r="J3337" s="23">
        <f>COUNTIFS(pg_transaction_cleaned!$O:$O,A3337,pg_transaction_cleaned!$F:$F,"CAPTURE")</f>
        <v>1</v>
      </c>
      <c r="K3337" s="39">
        <f>SUMIFS(pg_transaction_cleaned!$H:$H,pg_transaction_cleaned!$O:$O,A3337,pg_transaction_cleaned!$F:$F,"CAPTURE")</f>
        <v>2999</v>
      </c>
      <c r="L3337" s="23">
        <f>COUNTIFS(pg_transaction_cleaned!$O:$O,A3337,pg_transaction_cleaned!$F:$F,"REFUND")</f>
        <v>0</v>
      </c>
      <c r="M3337" s="39">
        <f>SUMIFS(pg_transaction_cleaned!$H:$H,pg_transaction_cleaned!$O:$O,A3337,pg_transaction_cleaned!$F:$F,"REFUND")</f>
        <v>0</v>
      </c>
      <c r="N3337" s="23" t="str">
        <f t="shared" si="210"/>
        <v>OK</v>
      </c>
      <c r="O3337" s="24">
        <f t="shared" si="211"/>
        <v>0</v>
      </c>
    </row>
    <row r="3338" spans="1:15" ht="15" customHeight="1" x14ac:dyDescent="0.3">
      <c r="A3338" s="23" t="s">
        <v>7172</v>
      </c>
      <c r="B3338" s="38">
        <v>46277</v>
      </c>
      <c r="C3338" s="23" t="s">
        <v>7173</v>
      </c>
      <c r="D3338" s="23" t="s">
        <v>93</v>
      </c>
      <c r="E3338" s="23" t="s">
        <v>79</v>
      </c>
      <c r="F3338" s="23" t="s">
        <v>587</v>
      </c>
      <c r="G3338" s="23" t="s">
        <v>250</v>
      </c>
      <c r="H3338" s="39">
        <f t="shared" si="208"/>
        <v>5297</v>
      </c>
      <c r="I3338" s="23" t="str">
        <f t="shared" si="209"/>
        <v>Kolkata</v>
      </c>
      <c r="J3338" s="23">
        <f>COUNTIFS(pg_transaction_cleaned!$O:$O,A3338,pg_transaction_cleaned!$F:$F,"CAPTURE")</f>
        <v>1</v>
      </c>
      <c r="K3338" s="39">
        <f>SUMIFS(pg_transaction_cleaned!$H:$H,pg_transaction_cleaned!$O:$O,A3338,pg_transaction_cleaned!$F:$F,"CAPTURE")</f>
        <v>5297</v>
      </c>
      <c r="L3338" s="23">
        <f>COUNTIFS(pg_transaction_cleaned!$O:$O,A3338,pg_transaction_cleaned!$F:$F,"REFUND")</f>
        <v>0</v>
      </c>
      <c r="M3338" s="39">
        <f>SUMIFS(pg_transaction_cleaned!$H:$H,pg_transaction_cleaned!$O:$O,A3338,pg_transaction_cleaned!$F:$F,"REFUND")</f>
        <v>0</v>
      </c>
      <c r="N3338" s="23" t="str">
        <f t="shared" si="210"/>
        <v>OK</v>
      </c>
      <c r="O3338" s="24">
        <f t="shared" si="211"/>
        <v>0</v>
      </c>
    </row>
    <row r="3339" spans="1:15" ht="15" customHeight="1" x14ac:dyDescent="0.3">
      <c r="A3339" s="23" t="s">
        <v>7174</v>
      </c>
      <c r="B3339" s="38">
        <v>46273</v>
      </c>
      <c r="C3339" s="23" t="s">
        <v>7175</v>
      </c>
      <c r="D3339" s="23" t="s">
        <v>91</v>
      </c>
      <c r="E3339" s="23" t="s">
        <v>75</v>
      </c>
      <c r="F3339" s="23" t="s">
        <v>337</v>
      </c>
      <c r="G3339" s="23" t="s">
        <v>250</v>
      </c>
      <c r="H3339" s="39">
        <f t="shared" si="208"/>
        <v>3998</v>
      </c>
      <c r="I3339" s="23" t="str">
        <f t="shared" si="209"/>
        <v>Pune</v>
      </c>
      <c r="J3339" s="23">
        <f>COUNTIFS(pg_transaction_cleaned!$O:$O,A3339,pg_transaction_cleaned!$F:$F,"CAPTURE")</f>
        <v>1</v>
      </c>
      <c r="K3339" s="39">
        <f>SUMIFS(pg_transaction_cleaned!$H:$H,pg_transaction_cleaned!$O:$O,A3339,pg_transaction_cleaned!$F:$F,"CAPTURE")</f>
        <v>3998</v>
      </c>
      <c r="L3339" s="23">
        <f>COUNTIFS(pg_transaction_cleaned!$O:$O,A3339,pg_transaction_cleaned!$F:$F,"REFUND")</f>
        <v>0</v>
      </c>
      <c r="M3339" s="39">
        <f>SUMIFS(pg_transaction_cleaned!$H:$H,pg_transaction_cleaned!$O:$O,A3339,pg_transaction_cleaned!$F:$F,"REFUND")</f>
        <v>0</v>
      </c>
      <c r="N3339" s="23" t="str">
        <f t="shared" si="210"/>
        <v>OK</v>
      </c>
      <c r="O3339" s="24">
        <f t="shared" si="211"/>
        <v>0</v>
      </c>
    </row>
    <row r="3340" spans="1:15" ht="15" customHeight="1" x14ac:dyDescent="0.3">
      <c r="A3340" s="23" t="s">
        <v>7176</v>
      </c>
      <c r="B3340" s="38">
        <v>46278</v>
      </c>
      <c r="C3340" s="23" t="s">
        <v>7177</v>
      </c>
      <c r="D3340" s="23" t="s">
        <v>86</v>
      </c>
      <c r="E3340" s="23" t="s">
        <v>79</v>
      </c>
      <c r="F3340" s="23" t="s">
        <v>329</v>
      </c>
      <c r="G3340" s="23" t="s">
        <v>250</v>
      </c>
      <c r="H3340" s="39">
        <f t="shared" si="208"/>
        <v>599</v>
      </c>
      <c r="I3340" s="23" t="str">
        <f t="shared" si="209"/>
        <v>Delhi</v>
      </c>
      <c r="J3340" s="23">
        <f>COUNTIFS(pg_transaction_cleaned!$O:$O,A3340,pg_transaction_cleaned!$F:$F,"CAPTURE")</f>
        <v>1</v>
      </c>
      <c r="K3340" s="39">
        <f>SUMIFS(pg_transaction_cleaned!$H:$H,pg_transaction_cleaned!$O:$O,A3340,pg_transaction_cleaned!$F:$F,"CAPTURE")</f>
        <v>599</v>
      </c>
      <c r="L3340" s="23">
        <f>COUNTIFS(pg_transaction_cleaned!$O:$O,A3340,pg_transaction_cleaned!$F:$F,"REFUND")</f>
        <v>0</v>
      </c>
      <c r="M3340" s="39">
        <f>SUMIFS(pg_transaction_cleaned!$H:$H,pg_transaction_cleaned!$O:$O,A3340,pg_transaction_cleaned!$F:$F,"REFUND")</f>
        <v>0</v>
      </c>
      <c r="N3340" s="23" t="str">
        <f t="shared" si="210"/>
        <v>OK</v>
      </c>
      <c r="O3340" s="24">
        <f t="shared" si="211"/>
        <v>0</v>
      </c>
    </row>
    <row r="3341" spans="1:15" ht="15" customHeight="1" x14ac:dyDescent="0.3">
      <c r="A3341" s="23" t="s">
        <v>7178</v>
      </c>
      <c r="B3341" s="38">
        <v>46292</v>
      </c>
      <c r="C3341" s="23" t="s">
        <v>7179</v>
      </c>
      <c r="D3341" s="23" t="s">
        <v>89</v>
      </c>
      <c r="E3341" s="23" t="s">
        <v>75</v>
      </c>
      <c r="F3341" s="23" t="s">
        <v>256</v>
      </c>
      <c r="G3341" s="23" t="s">
        <v>250</v>
      </c>
      <c r="H3341" s="39">
        <f t="shared" si="208"/>
        <v>2098</v>
      </c>
      <c r="I3341" s="23" t="str">
        <f t="shared" si="209"/>
        <v>Jaipur</v>
      </c>
      <c r="J3341" s="23">
        <f>COUNTIFS(pg_transaction_cleaned!$O:$O,A3341,pg_transaction_cleaned!$F:$F,"CAPTURE")</f>
        <v>1</v>
      </c>
      <c r="K3341" s="39">
        <f>SUMIFS(pg_transaction_cleaned!$H:$H,pg_transaction_cleaned!$O:$O,A3341,pg_transaction_cleaned!$F:$F,"CAPTURE")</f>
        <v>2098</v>
      </c>
      <c r="L3341" s="23">
        <f>COUNTIFS(pg_transaction_cleaned!$O:$O,A3341,pg_transaction_cleaned!$F:$F,"REFUND")</f>
        <v>0</v>
      </c>
      <c r="M3341" s="39">
        <f>SUMIFS(pg_transaction_cleaned!$H:$H,pg_transaction_cleaned!$O:$O,A3341,pg_transaction_cleaned!$F:$F,"REFUND")</f>
        <v>0</v>
      </c>
      <c r="N3341" s="23" t="str">
        <f t="shared" si="210"/>
        <v>OK</v>
      </c>
      <c r="O3341" s="24">
        <f t="shared" si="211"/>
        <v>0</v>
      </c>
    </row>
    <row r="3342" spans="1:15" ht="15" customHeight="1" x14ac:dyDescent="0.3">
      <c r="A3342" s="23" t="s">
        <v>7180</v>
      </c>
      <c r="B3342" s="38">
        <v>46285</v>
      </c>
      <c r="C3342" s="23" t="s">
        <v>7181</v>
      </c>
      <c r="D3342" s="23" t="s">
        <v>92</v>
      </c>
      <c r="E3342" s="23" t="s">
        <v>75</v>
      </c>
      <c r="F3342" s="23" t="s">
        <v>2160</v>
      </c>
      <c r="G3342" s="23" t="s">
        <v>250</v>
      </c>
      <c r="H3342" s="39">
        <f t="shared" si="208"/>
        <v>7998</v>
      </c>
      <c r="I3342" s="23" t="str">
        <f t="shared" si="209"/>
        <v>Hyderabad</v>
      </c>
      <c r="J3342" s="23">
        <f>COUNTIFS(pg_transaction_cleaned!$O:$O,A3342,pg_transaction_cleaned!$F:$F,"CAPTURE")</f>
        <v>1</v>
      </c>
      <c r="K3342" s="39">
        <f>SUMIFS(pg_transaction_cleaned!$H:$H,pg_transaction_cleaned!$O:$O,A3342,pg_transaction_cleaned!$F:$F,"CAPTURE")</f>
        <v>7998</v>
      </c>
      <c r="L3342" s="23">
        <f>COUNTIFS(pg_transaction_cleaned!$O:$O,A3342,pg_transaction_cleaned!$F:$F,"REFUND")</f>
        <v>0</v>
      </c>
      <c r="M3342" s="39">
        <f>SUMIFS(pg_transaction_cleaned!$H:$H,pg_transaction_cleaned!$O:$O,A3342,pg_transaction_cleaned!$F:$F,"REFUND")</f>
        <v>0</v>
      </c>
      <c r="N3342" s="23" t="str">
        <f t="shared" si="210"/>
        <v>OK</v>
      </c>
      <c r="O3342" s="24">
        <f t="shared" si="211"/>
        <v>0</v>
      </c>
    </row>
    <row r="3343" spans="1:15" ht="15" customHeight="1" x14ac:dyDescent="0.3">
      <c r="A3343" s="23" t="s">
        <v>7182</v>
      </c>
      <c r="B3343" s="38">
        <v>46271</v>
      </c>
      <c r="C3343" s="23" t="s">
        <v>7183</v>
      </c>
      <c r="D3343" s="23" t="s">
        <v>93</v>
      </c>
      <c r="E3343" s="23" t="s">
        <v>75</v>
      </c>
      <c r="F3343" s="23" t="s">
        <v>423</v>
      </c>
      <c r="G3343" s="23" t="s">
        <v>250</v>
      </c>
      <c r="H3343" s="39">
        <f t="shared" si="208"/>
        <v>1648</v>
      </c>
      <c r="I3343" s="23" t="str">
        <f t="shared" si="209"/>
        <v>Kolkata</v>
      </c>
      <c r="J3343" s="23">
        <f>COUNTIFS(pg_transaction_cleaned!$O:$O,A3343,pg_transaction_cleaned!$F:$F,"CAPTURE")</f>
        <v>1</v>
      </c>
      <c r="K3343" s="39">
        <f>SUMIFS(pg_transaction_cleaned!$H:$H,pg_transaction_cleaned!$O:$O,A3343,pg_transaction_cleaned!$F:$F,"CAPTURE")</f>
        <v>1648</v>
      </c>
      <c r="L3343" s="23">
        <f>COUNTIFS(pg_transaction_cleaned!$O:$O,A3343,pg_transaction_cleaned!$F:$F,"REFUND")</f>
        <v>0</v>
      </c>
      <c r="M3343" s="39">
        <f>SUMIFS(pg_transaction_cleaned!$H:$H,pg_transaction_cleaned!$O:$O,A3343,pg_transaction_cleaned!$F:$F,"REFUND")</f>
        <v>0</v>
      </c>
      <c r="N3343" s="23" t="str">
        <f t="shared" si="210"/>
        <v>OK</v>
      </c>
      <c r="O3343" s="24">
        <f t="shared" si="211"/>
        <v>0</v>
      </c>
    </row>
    <row r="3344" spans="1:15" ht="15" customHeight="1" x14ac:dyDescent="0.3">
      <c r="A3344" s="23" t="s">
        <v>7184</v>
      </c>
      <c r="B3344" s="38">
        <v>46268</v>
      </c>
      <c r="C3344" s="23" t="s">
        <v>7185</v>
      </c>
      <c r="D3344" s="23" t="s">
        <v>95</v>
      </c>
      <c r="E3344" s="23" t="s">
        <v>79</v>
      </c>
      <c r="F3344" s="23" t="s">
        <v>274</v>
      </c>
      <c r="G3344" s="23" t="s">
        <v>250</v>
      </c>
      <c r="H3344" s="39">
        <f t="shared" si="208"/>
        <v>349</v>
      </c>
      <c r="I3344" s="23" t="str">
        <f t="shared" si="209"/>
        <v>Bengaluru</v>
      </c>
      <c r="J3344" s="23">
        <f>COUNTIFS(pg_transaction_cleaned!$O:$O,A3344,pg_transaction_cleaned!$F:$F,"CAPTURE")</f>
        <v>1</v>
      </c>
      <c r="K3344" s="39">
        <f>SUMIFS(pg_transaction_cleaned!$H:$H,pg_transaction_cleaned!$O:$O,A3344,pg_transaction_cleaned!$F:$F,"CAPTURE")</f>
        <v>349</v>
      </c>
      <c r="L3344" s="23">
        <f>COUNTIFS(pg_transaction_cleaned!$O:$O,A3344,pg_transaction_cleaned!$F:$F,"REFUND")</f>
        <v>0</v>
      </c>
      <c r="M3344" s="39">
        <f>SUMIFS(pg_transaction_cleaned!$H:$H,pg_transaction_cleaned!$O:$O,A3344,pg_transaction_cleaned!$F:$F,"REFUND")</f>
        <v>0</v>
      </c>
      <c r="N3344" s="23" t="str">
        <f t="shared" si="210"/>
        <v>OK</v>
      </c>
      <c r="O3344" s="24">
        <f t="shared" si="211"/>
        <v>0</v>
      </c>
    </row>
    <row r="3345" spans="1:15" ht="15" customHeight="1" x14ac:dyDescent="0.3">
      <c r="A3345" s="23" t="s">
        <v>7186</v>
      </c>
      <c r="B3345" s="38">
        <v>46276</v>
      </c>
      <c r="C3345" s="23" t="s">
        <v>7187</v>
      </c>
      <c r="D3345" s="23" t="s">
        <v>87</v>
      </c>
      <c r="E3345" s="23" t="s">
        <v>75</v>
      </c>
      <c r="F3345" s="23" t="s">
        <v>3378</v>
      </c>
      <c r="G3345" s="23" t="s">
        <v>250</v>
      </c>
      <c r="H3345" s="39">
        <f t="shared" si="208"/>
        <v>15998</v>
      </c>
      <c r="I3345" s="23" t="str">
        <f t="shared" si="209"/>
        <v>Mumbai</v>
      </c>
      <c r="J3345" s="23">
        <f>COUNTIFS(pg_transaction_cleaned!$O:$O,A3345,pg_transaction_cleaned!$F:$F,"CAPTURE")</f>
        <v>1</v>
      </c>
      <c r="K3345" s="39">
        <f>SUMIFS(pg_transaction_cleaned!$H:$H,pg_transaction_cleaned!$O:$O,A3345,pg_transaction_cleaned!$F:$F,"CAPTURE")</f>
        <v>15998</v>
      </c>
      <c r="L3345" s="23">
        <f>COUNTIFS(pg_transaction_cleaned!$O:$O,A3345,pg_transaction_cleaned!$F:$F,"REFUND")</f>
        <v>0</v>
      </c>
      <c r="M3345" s="39">
        <f>SUMIFS(pg_transaction_cleaned!$H:$H,pg_transaction_cleaned!$O:$O,A3345,pg_transaction_cleaned!$F:$F,"REFUND")</f>
        <v>0</v>
      </c>
      <c r="N3345" s="23" t="str">
        <f t="shared" si="210"/>
        <v>OK</v>
      </c>
      <c r="O3345" s="24">
        <f t="shared" si="211"/>
        <v>0</v>
      </c>
    </row>
    <row r="3346" spans="1:15" ht="15" customHeight="1" x14ac:dyDescent="0.3">
      <c r="A3346" s="23" t="s">
        <v>7188</v>
      </c>
      <c r="B3346" s="38">
        <v>46277</v>
      </c>
      <c r="C3346" s="23" t="s">
        <v>7189</v>
      </c>
      <c r="D3346" s="23" t="s">
        <v>86</v>
      </c>
      <c r="E3346" s="23" t="s">
        <v>79</v>
      </c>
      <c r="F3346" s="23" t="s">
        <v>249</v>
      </c>
      <c r="G3346" s="23" t="s">
        <v>250</v>
      </c>
      <c r="H3346" s="39">
        <f t="shared" si="208"/>
        <v>299</v>
      </c>
      <c r="I3346" s="23" t="str">
        <f t="shared" si="209"/>
        <v>Delhi</v>
      </c>
      <c r="J3346" s="23">
        <f>COUNTIFS(pg_transaction_cleaned!$O:$O,A3346,pg_transaction_cleaned!$F:$F,"CAPTURE")</f>
        <v>1</v>
      </c>
      <c r="K3346" s="39">
        <f>SUMIFS(pg_transaction_cleaned!$H:$H,pg_transaction_cleaned!$O:$O,A3346,pg_transaction_cleaned!$F:$F,"CAPTURE")</f>
        <v>299</v>
      </c>
      <c r="L3346" s="23">
        <f>COUNTIFS(pg_transaction_cleaned!$O:$O,A3346,pg_transaction_cleaned!$F:$F,"REFUND")</f>
        <v>0</v>
      </c>
      <c r="M3346" s="39">
        <f>SUMIFS(pg_transaction_cleaned!$H:$H,pg_transaction_cleaned!$O:$O,A3346,pg_transaction_cleaned!$F:$F,"REFUND")</f>
        <v>0</v>
      </c>
      <c r="N3346" s="23" t="str">
        <f t="shared" si="210"/>
        <v>OK</v>
      </c>
      <c r="O3346" s="24">
        <f t="shared" si="211"/>
        <v>0</v>
      </c>
    </row>
    <row r="3347" spans="1:15" ht="15" customHeight="1" x14ac:dyDescent="0.3">
      <c r="A3347" s="23" t="s">
        <v>7190</v>
      </c>
      <c r="B3347" s="38">
        <v>46281</v>
      </c>
      <c r="C3347" s="23" t="s">
        <v>7191</v>
      </c>
      <c r="D3347" s="23" t="s">
        <v>93</v>
      </c>
      <c r="E3347" s="23" t="s">
        <v>75</v>
      </c>
      <c r="F3347" s="23" t="s">
        <v>249</v>
      </c>
      <c r="G3347" s="23" t="s">
        <v>250</v>
      </c>
      <c r="H3347" s="39">
        <f t="shared" si="208"/>
        <v>299</v>
      </c>
      <c r="I3347" s="23" t="str">
        <f t="shared" si="209"/>
        <v>Kolkata</v>
      </c>
      <c r="J3347" s="23">
        <f>COUNTIFS(pg_transaction_cleaned!$O:$O,A3347,pg_transaction_cleaned!$F:$F,"CAPTURE")</f>
        <v>1</v>
      </c>
      <c r="K3347" s="39">
        <f>SUMIFS(pg_transaction_cleaned!$H:$H,pg_transaction_cleaned!$O:$O,A3347,pg_transaction_cleaned!$F:$F,"CAPTURE")</f>
        <v>299</v>
      </c>
      <c r="L3347" s="23">
        <f>COUNTIFS(pg_transaction_cleaned!$O:$O,A3347,pg_transaction_cleaned!$F:$F,"REFUND")</f>
        <v>0</v>
      </c>
      <c r="M3347" s="39">
        <f>SUMIFS(pg_transaction_cleaned!$H:$H,pg_transaction_cleaned!$O:$O,A3347,pg_transaction_cleaned!$F:$F,"REFUND")</f>
        <v>0</v>
      </c>
      <c r="N3347" s="23" t="str">
        <f t="shared" si="210"/>
        <v>OK</v>
      </c>
      <c r="O3347" s="24">
        <f t="shared" si="211"/>
        <v>0</v>
      </c>
    </row>
    <row r="3348" spans="1:15" ht="15" customHeight="1" x14ac:dyDescent="0.3">
      <c r="A3348" s="23" t="s">
        <v>7192</v>
      </c>
      <c r="B3348" s="38">
        <v>46270</v>
      </c>
      <c r="C3348" s="23" t="s">
        <v>7193</v>
      </c>
      <c r="D3348" s="23" t="s">
        <v>90</v>
      </c>
      <c r="E3348" s="23" t="s">
        <v>75</v>
      </c>
      <c r="F3348" s="23" t="s">
        <v>2337</v>
      </c>
      <c r="G3348" s="23" t="s">
        <v>250</v>
      </c>
      <c r="H3348" s="39">
        <f t="shared" si="208"/>
        <v>8348</v>
      </c>
      <c r="I3348" s="23" t="str">
        <f t="shared" si="209"/>
        <v>Ahmedabad</v>
      </c>
      <c r="J3348" s="23">
        <f>COUNTIFS(pg_transaction_cleaned!$O:$O,A3348,pg_transaction_cleaned!$F:$F,"CAPTURE")</f>
        <v>1</v>
      </c>
      <c r="K3348" s="39">
        <f>SUMIFS(pg_transaction_cleaned!$H:$H,pg_transaction_cleaned!$O:$O,A3348,pg_transaction_cleaned!$F:$F,"CAPTURE")</f>
        <v>8348</v>
      </c>
      <c r="L3348" s="23">
        <f>COUNTIFS(pg_transaction_cleaned!$O:$O,A3348,pg_transaction_cleaned!$F:$F,"REFUND")</f>
        <v>0</v>
      </c>
      <c r="M3348" s="39">
        <f>SUMIFS(pg_transaction_cleaned!$H:$H,pg_transaction_cleaned!$O:$O,A3348,pg_transaction_cleaned!$F:$F,"REFUND")</f>
        <v>0</v>
      </c>
      <c r="N3348" s="23" t="str">
        <f t="shared" si="210"/>
        <v>OK</v>
      </c>
      <c r="O3348" s="24">
        <f t="shared" si="211"/>
        <v>0</v>
      </c>
    </row>
    <row r="3349" spans="1:15" ht="15" customHeight="1" x14ac:dyDescent="0.3">
      <c r="A3349" s="23" t="s">
        <v>7194</v>
      </c>
      <c r="B3349" s="38">
        <v>46269</v>
      </c>
      <c r="C3349" s="23" t="s">
        <v>7195</v>
      </c>
      <c r="D3349" s="23" t="s">
        <v>87</v>
      </c>
      <c r="E3349" s="23" t="s">
        <v>75</v>
      </c>
      <c r="F3349" s="23" t="s">
        <v>1495</v>
      </c>
      <c r="G3349" s="23" t="s">
        <v>250</v>
      </c>
      <c r="H3349" s="39">
        <f t="shared" si="208"/>
        <v>7498</v>
      </c>
      <c r="I3349" s="23" t="str">
        <f t="shared" si="209"/>
        <v>Mumbai</v>
      </c>
      <c r="J3349" s="23">
        <f>COUNTIFS(pg_transaction_cleaned!$O:$O,A3349,pg_transaction_cleaned!$F:$F,"CAPTURE")</f>
        <v>1</v>
      </c>
      <c r="K3349" s="39">
        <f>SUMIFS(pg_transaction_cleaned!$H:$H,pg_transaction_cleaned!$O:$O,A3349,pg_transaction_cleaned!$F:$F,"CAPTURE")</f>
        <v>7498</v>
      </c>
      <c r="L3349" s="23">
        <f>COUNTIFS(pg_transaction_cleaned!$O:$O,A3349,pg_transaction_cleaned!$F:$F,"REFUND")</f>
        <v>0</v>
      </c>
      <c r="M3349" s="39">
        <f>SUMIFS(pg_transaction_cleaned!$H:$H,pg_transaction_cleaned!$O:$O,A3349,pg_transaction_cleaned!$F:$F,"REFUND")</f>
        <v>0</v>
      </c>
      <c r="N3349" s="23" t="str">
        <f t="shared" si="210"/>
        <v>OK</v>
      </c>
      <c r="O3349" s="24">
        <f t="shared" si="211"/>
        <v>0</v>
      </c>
    </row>
    <row r="3350" spans="1:15" ht="15" customHeight="1" x14ac:dyDescent="0.3">
      <c r="A3350" s="23" t="s">
        <v>7196</v>
      </c>
      <c r="B3350" s="38">
        <v>46284</v>
      </c>
      <c r="C3350" s="23" t="s">
        <v>7197</v>
      </c>
      <c r="D3350" s="23" t="s">
        <v>88</v>
      </c>
      <c r="E3350" s="23" t="s">
        <v>75</v>
      </c>
      <c r="F3350" s="23" t="s">
        <v>1495</v>
      </c>
      <c r="G3350" s="23" t="s">
        <v>250</v>
      </c>
      <c r="H3350" s="39">
        <f t="shared" si="208"/>
        <v>7498</v>
      </c>
      <c r="I3350" s="23" t="str">
        <f t="shared" si="209"/>
        <v>Lucknow</v>
      </c>
      <c r="J3350" s="23">
        <f>COUNTIFS(pg_transaction_cleaned!$O:$O,A3350,pg_transaction_cleaned!$F:$F,"CAPTURE")</f>
        <v>1</v>
      </c>
      <c r="K3350" s="39">
        <f>SUMIFS(pg_transaction_cleaned!$H:$H,pg_transaction_cleaned!$O:$O,A3350,pg_transaction_cleaned!$F:$F,"CAPTURE")</f>
        <v>7498</v>
      </c>
      <c r="L3350" s="23">
        <f>COUNTIFS(pg_transaction_cleaned!$O:$O,A3350,pg_transaction_cleaned!$F:$F,"REFUND")</f>
        <v>0</v>
      </c>
      <c r="M3350" s="39">
        <f>SUMIFS(pg_transaction_cleaned!$H:$H,pg_transaction_cleaned!$O:$O,A3350,pg_transaction_cleaned!$F:$F,"REFUND")</f>
        <v>0</v>
      </c>
      <c r="N3350" s="23" t="str">
        <f t="shared" si="210"/>
        <v>OK</v>
      </c>
      <c r="O3350" s="24">
        <f t="shared" si="211"/>
        <v>0</v>
      </c>
    </row>
    <row r="3351" spans="1:15" ht="15" customHeight="1" x14ac:dyDescent="0.3">
      <c r="A3351" s="23" t="s">
        <v>7198</v>
      </c>
      <c r="B3351" s="38">
        <v>46286</v>
      </c>
      <c r="C3351" s="23" t="s">
        <v>7199</v>
      </c>
      <c r="D3351" s="23"/>
      <c r="E3351" s="23" t="s">
        <v>75</v>
      </c>
      <c r="F3351" s="23" t="s">
        <v>2364</v>
      </c>
      <c r="G3351" s="23" t="s">
        <v>250</v>
      </c>
      <c r="H3351" s="39">
        <f t="shared" si="208"/>
        <v>3297</v>
      </c>
      <c r="I3351" s="23" t="str">
        <f t="shared" si="209"/>
        <v>Unknown</v>
      </c>
      <c r="J3351" s="23">
        <f>COUNTIFS(pg_transaction_cleaned!$O:$O,A3351,pg_transaction_cleaned!$F:$F,"CAPTURE")</f>
        <v>1</v>
      </c>
      <c r="K3351" s="39">
        <f>SUMIFS(pg_transaction_cleaned!$H:$H,pg_transaction_cleaned!$O:$O,A3351,pg_transaction_cleaned!$F:$F,"CAPTURE")</f>
        <v>3297</v>
      </c>
      <c r="L3351" s="23">
        <f>COUNTIFS(pg_transaction_cleaned!$O:$O,A3351,pg_transaction_cleaned!$F:$F,"REFUND")</f>
        <v>0</v>
      </c>
      <c r="M3351" s="39">
        <f>SUMIFS(pg_transaction_cleaned!$H:$H,pg_transaction_cleaned!$O:$O,A3351,pg_transaction_cleaned!$F:$F,"REFUND")</f>
        <v>0</v>
      </c>
      <c r="N3351" s="23" t="str">
        <f t="shared" si="210"/>
        <v>OK</v>
      </c>
      <c r="O3351" s="24">
        <f t="shared" si="211"/>
        <v>0</v>
      </c>
    </row>
    <row r="3352" spans="1:15" ht="15" customHeight="1" x14ac:dyDescent="0.3">
      <c r="A3352" s="23" t="s">
        <v>7200</v>
      </c>
      <c r="B3352" s="38">
        <v>46282</v>
      </c>
      <c r="C3352" s="23" t="s">
        <v>7201</v>
      </c>
      <c r="D3352" s="23"/>
      <c r="E3352" s="23" t="s">
        <v>79</v>
      </c>
      <c r="F3352" s="23" t="s">
        <v>304</v>
      </c>
      <c r="G3352" s="23" t="s">
        <v>250</v>
      </c>
      <c r="H3352" s="39">
        <f t="shared" si="208"/>
        <v>5798</v>
      </c>
      <c r="I3352" s="23" t="str">
        <f t="shared" si="209"/>
        <v>Unknown</v>
      </c>
      <c r="J3352" s="23">
        <f>COUNTIFS(pg_transaction_cleaned!$O:$O,A3352,pg_transaction_cleaned!$F:$F,"CAPTURE")</f>
        <v>1</v>
      </c>
      <c r="K3352" s="39">
        <f>SUMIFS(pg_transaction_cleaned!$H:$H,pg_transaction_cleaned!$O:$O,A3352,pg_transaction_cleaned!$F:$F,"CAPTURE")</f>
        <v>5798</v>
      </c>
      <c r="L3352" s="23">
        <f>COUNTIFS(pg_transaction_cleaned!$O:$O,A3352,pg_transaction_cleaned!$F:$F,"REFUND")</f>
        <v>0</v>
      </c>
      <c r="M3352" s="39">
        <f>SUMIFS(pg_transaction_cleaned!$H:$H,pg_transaction_cleaned!$O:$O,A3352,pg_transaction_cleaned!$F:$F,"REFUND")</f>
        <v>0</v>
      </c>
      <c r="N3352" s="23" t="str">
        <f t="shared" si="210"/>
        <v>OK</v>
      </c>
      <c r="O3352" s="24">
        <f t="shared" si="211"/>
        <v>0</v>
      </c>
    </row>
    <row r="3353" spans="1:15" ht="15" customHeight="1" x14ac:dyDescent="0.3">
      <c r="A3353" s="23" t="s">
        <v>7202</v>
      </c>
      <c r="B3353" s="38">
        <v>46293</v>
      </c>
      <c r="C3353" s="23" t="s">
        <v>7203</v>
      </c>
      <c r="D3353" s="23" t="s">
        <v>86</v>
      </c>
      <c r="E3353" s="23" t="s">
        <v>75</v>
      </c>
      <c r="F3353" s="23" t="s">
        <v>7204</v>
      </c>
      <c r="G3353" s="23" t="s">
        <v>250</v>
      </c>
      <c r="H3353" s="39">
        <f t="shared" si="208"/>
        <v>16597</v>
      </c>
      <c r="I3353" s="23" t="str">
        <f t="shared" si="209"/>
        <v>Delhi</v>
      </c>
      <c r="J3353" s="23">
        <f>COUNTIFS(pg_transaction_cleaned!$O:$O,A3353,pg_transaction_cleaned!$F:$F,"CAPTURE")</f>
        <v>1</v>
      </c>
      <c r="K3353" s="39">
        <f>SUMIFS(pg_transaction_cleaned!$H:$H,pg_transaction_cleaned!$O:$O,A3353,pg_transaction_cleaned!$F:$F,"CAPTURE")</f>
        <v>16597</v>
      </c>
      <c r="L3353" s="23">
        <f>COUNTIFS(pg_transaction_cleaned!$O:$O,A3353,pg_transaction_cleaned!$F:$F,"REFUND")</f>
        <v>0</v>
      </c>
      <c r="M3353" s="39">
        <f>SUMIFS(pg_transaction_cleaned!$H:$H,pg_transaction_cleaned!$O:$O,A3353,pg_transaction_cleaned!$F:$F,"REFUND")</f>
        <v>0</v>
      </c>
      <c r="N3353" s="23" t="str">
        <f t="shared" si="210"/>
        <v>OK</v>
      </c>
      <c r="O3353" s="24">
        <f t="shared" si="211"/>
        <v>0</v>
      </c>
    </row>
    <row r="3354" spans="1:15" ht="15" customHeight="1" x14ac:dyDescent="0.3">
      <c r="A3354" s="23" t="s">
        <v>7205</v>
      </c>
      <c r="B3354" s="38">
        <v>46293</v>
      </c>
      <c r="C3354" s="23" t="s">
        <v>7206</v>
      </c>
      <c r="D3354" s="23" t="s">
        <v>93</v>
      </c>
      <c r="E3354" s="23" t="s">
        <v>75</v>
      </c>
      <c r="F3354" s="23" t="s">
        <v>574</v>
      </c>
      <c r="G3354" s="23" t="s">
        <v>250</v>
      </c>
      <c r="H3354" s="39">
        <f t="shared" si="208"/>
        <v>1848</v>
      </c>
      <c r="I3354" s="23" t="str">
        <f t="shared" si="209"/>
        <v>Kolkata</v>
      </c>
      <c r="J3354" s="23">
        <f>COUNTIFS(pg_transaction_cleaned!$O:$O,A3354,pg_transaction_cleaned!$F:$F,"CAPTURE")</f>
        <v>1</v>
      </c>
      <c r="K3354" s="39">
        <f>SUMIFS(pg_transaction_cleaned!$H:$H,pg_transaction_cleaned!$O:$O,A3354,pg_transaction_cleaned!$F:$F,"CAPTURE")</f>
        <v>1848</v>
      </c>
      <c r="L3354" s="23">
        <f>COUNTIFS(pg_transaction_cleaned!$O:$O,A3354,pg_transaction_cleaned!$F:$F,"REFUND")</f>
        <v>0</v>
      </c>
      <c r="M3354" s="39">
        <f>SUMIFS(pg_transaction_cleaned!$H:$H,pg_transaction_cleaned!$O:$O,A3354,pg_transaction_cleaned!$F:$F,"REFUND")</f>
        <v>0</v>
      </c>
      <c r="N3354" s="23" t="str">
        <f t="shared" si="210"/>
        <v>OK</v>
      </c>
      <c r="O3354" s="24">
        <f t="shared" si="211"/>
        <v>0</v>
      </c>
    </row>
    <row r="3355" spans="1:15" ht="15" customHeight="1" x14ac:dyDescent="0.3">
      <c r="A3355" s="23" t="s">
        <v>7207</v>
      </c>
      <c r="B3355" s="38">
        <v>46291</v>
      </c>
      <c r="C3355" s="23" t="s">
        <v>7208</v>
      </c>
      <c r="D3355" s="23" t="s">
        <v>87</v>
      </c>
      <c r="E3355" s="23" t="s">
        <v>79</v>
      </c>
      <c r="F3355" s="23" t="s">
        <v>1762</v>
      </c>
      <c r="G3355" s="23" t="s">
        <v>250</v>
      </c>
      <c r="H3355" s="39">
        <f t="shared" si="208"/>
        <v>2148</v>
      </c>
      <c r="I3355" s="23" t="str">
        <f t="shared" si="209"/>
        <v>Mumbai</v>
      </c>
      <c r="J3355" s="23">
        <f>COUNTIFS(pg_transaction_cleaned!$O:$O,A3355,pg_transaction_cleaned!$F:$F,"CAPTURE")</f>
        <v>1</v>
      </c>
      <c r="K3355" s="39">
        <f>SUMIFS(pg_transaction_cleaned!$H:$H,pg_transaction_cleaned!$O:$O,A3355,pg_transaction_cleaned!$F:$F,"CAPTURE")</f>
        <v>2148</v>
      </c>
      <c r="L3355" s="23">
        <f>COUNTIFS(pg_transaction_cleaned!$O:$O,A3355,pg_transaction_cleaned!$F:$F,"REFUND")</f>
        <v>0</v>
      </c>
      <c r="M3355" s="39">
        <f>SUMIFS(pg_transaction_cleaned!$H:$H,pg_transaction_cleaned!$O:$O,A3355,pg_transaction_cleaned!$F:$F,"REFUND")</f>
        <v>0</v>
      </c>
      <c r="N3355" s="23" t="str">
        <f t="shared" si="210"/>
        <v>OK</v>
      </c>
      <c r="O3355" s="24">
        <f t="shared" si="211"/>
        <v>0</v>
      </c>
    </row>
    <row r="3356" spans="1:15" ht="15" customHeight="1" x14ac:dyDescent="0.3">
      <c r="A3356" s="23" t="s">
        <v>7209</v>
      </c>
      <c r="B3356" s="38">
        <v>46272</v>
      </c>
      <c r="C3356" s="23" t="s">
        <v>7210</v>
      </c>
      <c r="D3356" s="23" t="s">
        <v>89</v>
      </c>
      <c r="E3356" s="23" t="s">
        <v>79</v>
      </c>
      <c r="F3356" s="23" t="s">
        <v>329</v>
      </c>
      <c r="G3356" s="23" t="s">
        <v>250</v>
      </c>
      <c r="H3356" s="39">
        <f t="shared" si="208"/>
        <v>599</v>
      </c>
      <c r="I3356" s="23" t="str">
        <f t="shared" si="209"/>
        <v>Jaipur</v>
      </c>
      <c r="J3356" s="23">
        <f>COUNTIFS(pg_transaction_cleaned!$O:$O,A3356,pg_transaction_cleaned!$F:$F,"CAPTURE")</f>
        <v>1</v>
      </c>
      <c r="K3356" s="39">
        <f>SUMIFS(pg_transaction_cleaned!$H:$H,pg_transaction_cleaned!$O:$O,A3356,pg_transaction_cleaned!$F:$F,"CAPTURE")</f>
        <v>599</v>
      </c>
      <c r="L3356" s="23">
        <f>COUNTIFS(pg_transaction_cleaned!$O:$O,A3356,pg_transaction_cleaned!$F:$F,"REFUND")</f>
        <v>0</v>
      </c>
      <c r="M3356" s="39">
        <f>SUMIFS(pg_transaction_cleaned!$H:$H,pg_transaction_cleaned!$O:$O,A3356,pg_transaction_cleaned!$F:$F,"REFUND")</f>
        <v>0</v>
      </c>
      <c r="N3356" s="23" t="str">
        <f t="shared" si="210"/>
        <v>OK</v>
      </c>
      <c r="O3356" s="24">
        <f t="shared" si="211"/>
        <v>0</v>
      </c>
    </row>
    <row r="3357" spans="1:15" ht="15" customHeight="1" x14ac:dyDescent="0.3">
      <c r="A3357" s="23" t="s">
        <v>7211</v>
      </c>
      <c r="B3357" s="38">
        <v>46281</v>
      </c>
      <c r="C3357" s="23" t="s">
        <v>7212</v>
      </c>
      <c r="D3357" s="23" t="s">
        <v>89</v>
      </c>
      <c r="E3357" s="23" t="s">
        <v>79</v>
      </c>
      <c r="F3357" s="23" t="s">
        <v>294</v>
      </c>
      <c r="G3357" s="23" t="s">
        <v>250</v>
      </c>
      <c r="H3357" s="39">
        <f t="shared" si="208"/>
        <v>1799</v>
      </c>
      <c r="I3357" s="23" t="str">
        <f t="shared" si="209"/>
        <v>Jaipur</v>
      </c>
      <c r="J3357" s="23">
        <f>COUNTIFS(pg_transaction_cleaned!$O:$O,A3357,pg_transaction_cleaned!$F:$F,"CAPTURE")</f>
        <v>1</v>
      </c>
      <c r="K3357" s="39">
        <f>SUMIFS(pg_transaction_cleaned!$H:$H,pg_transaction_cleaned!$O:$O,A3357,pg_transaction_cleaned!$F:$F,"CAPTURE")</f>
        <v>1799</v>
      </c>
      <c r="L3357" s="23">
        <f>COUNTIFS(pg_transaction_cleaned!$O:$O,A3357,pg_transaction_cleaned!$F:$F,"REFUND")</f>
        <v>0</v>
      </c>
      <c r="M3357" s="39">
        <f>SUMIFS(pg_transaction_cleaned!$H:$H,pg_transaction_cleaned!$O:$O,A3357,pg_transaction_cleaned!$F:$F,"REFUND")</f>
        <v>0</v>
      </c>
      <c r="N3357" s="23" t="str">
        <f t="shared" si="210"/>
        <v>OK</v>
      </c>
      <c r="O3357" s="24">
        <f t="shared" si="211"/>
        <v>0</v>
      </c>
    </row>
    <row r="3358" spans="1:15" ht="15" customHeight="1" x14ac:dyDescent="0.3">
      <c r="A3358" s="23" t="s">
        <v>7213</v>
      </c>
      <c r="B3358" s="38">
        <v>46273</v>
      </c>
      <c r="C3358" s="23" t="s">
        <v>7214</v>
      </c>
      <c r="D3358" s="23" t="s">
        <v>92</v>
      </c>
      <c r="E3358" s="23" t="s">
        <v>75</v>
      </c>
      <c r="F3358" s="23" t="s">
        <v>1879</v>
      </c>
      <c r="G3358" s="23" t="s">
        <v>250</v>
      </c>
      <c r="H3358" s="39">
        <f t="shared" si="208"/>
        <v>2497</v>
      </c>
      <c r="I3358" s="23" t="str">
        <f t="shared" si="209"/>
        <v>Hyderabad</v>
      </c>
      <c r="J3358" s="23">
        <f>COUNTIFS(pg_transaction_cleaned!$O:$O,A3358,pg_transaction_cleaned!$F:$F,"CAPTURE")</f>
        <v>1</v>
      </c>
      <c r="K3358" s="39">
        <f>SUMIFS(pg_transaction_cleaned!$H:$H,pg_transaction_cleaned!$O:$O,A3358,pg_transaction_cleaned!$F:$F,"CAPTURE")</f>
        <v>2497</v>
      </c>
      <c r="L3358" s="23">
        <f>COUNTIFS(pg_transaction_cleaned!$O:$O,A3358,pg_transaction_cleaned!$F:$F,"REFUND")</f>
        <v>0</v>
      </c>
      <c r="M3358" s="39">
        <f>SUMIFS(pg_transaction_cleaned!$H:$H,pg_transaction_cleaned!$O:$O,A3358,pg_transaction_cleaned!$F:$F,"REFUND")</f>
        <v>0</v>
      </c>
      <c r="N3358" s="23" t="str">
        <f t="shared" si="210"/>
        <v>OK</v>
      </c>
      <c r="O3358" s="24">
        <f t="shared" si="211"/>
        <v>0</v>
      </c>
    </row>
    <row r="3359" spans="1:15" ht="15" customHeight="1" x14ac:dyDescent="0.3">
      <c r="A3359" s="23" t="s">
        <v>7215</v>
      </c>
      <c r="B3359" s="38">
        <v>46269</v>
      </c>
      <c r="C3359" s="23" t="s">
        <v>7216</v>
      </c>
      <c r="D3359" s="23" t="s">
        <v>94</v>
      </c>
      <c r="E3359" s="23" t="s">
        <v>75</v>
      </c>
      <c r="F3359" s="23" t="s">
        <v>291</v>
      </c>
      <c r="G3359" s="23" t="s">
        <v>250</v>
      </c>
      <c r="H3359" s="39">
        <f t="shared" si="208"/>
        <v>3499</v>
      </c>
      <c r="I3359" s="23" t="str">
        <f t="shared" si="209"/>
        <v>Chennai</v>
      </c>
      <c r="J3359" s="23">
        <f>COUNTIFS(pg_transaction_cleaned!$O:$O,A3359,pg_transaction_cleaned!$F:$F,"CAPTURE")</f>
        <v>1</v>
      </c>
      <c r="K3359" s="39">
        <f>SUMIFS(pg_transaction_cleaned!$H:$H,pg_transaction_cleaned!$O:$O,A3359,pg_transaction_cleaned!$F:$F,"CAPTURE")</f>
        <v>3499</v>
      </c>
      <c r="L3359" s="23">
        <f>COUNTIFS(pg_transaction_cleaned!$O:$O,A3359,pg_transaction_cleaned!$F:$F,"REFUND")</f>
        <v>0</v>
      </c>
      <c r="M3359" s="39">
        <f>SUMIFS(pg_transaction_cleaned!$H:$H,pg_transaction_cleaned!$O:$O,A3359,pg_transaction_cleaned!$F:$F,"REFUND")</f>
        <v>0</v>
      </c>
      <c r="N3359" s="23" t="str">
        <f t="shared" si="210"/>
        <v>OK</v>
      </c>
      <c r="O3359" s="24">
        <f t="shared" si="211"/>
        <v>0</v>
      </c>
    </row>
    <row r="3360" spans="1:15" ht="15" customHeight="1" x14ac:dyDescent="0.3">
      <c r="A3360" s="23" t="s">
        <v>7217</v>
      </c>
      <c r="B3360" s="38">
        <v>46272</v>
      </c>
      <c r="C3360" s="23" t="s">
        <v>7218</v>
      </c>
      <c r="D3360" s="23" t="s">
        <v>89</v>
      </c>
      <c r="E3360" s="23" t="s">
        <v>77</v>
      </c>
      <c r="F3360" s="23" t="s">
        <v>675</v>
      </c>
      <c r="G3360" s="23" t="s">
        <v>250</v>
      </c>
      <c r="H3360" s="39">
        <f t="shared" si="208"/>
        <v>10998</v>
      </c>
      <c r="I3360" s="23" t="str">
        <f t="shared" si="209"/>
        <v>Jaipur</v>
      </c>
      <c r="J3360" s="23">
        <f>COUNTIFS(pg_transaction_cleaned!$O:$O,A3360,pg_transaction_cleaned!$F:$F,"CAPTURE")</f>
        <v>1</v>
      </c>
      <c r="K3360" s="39">
        <f>SUMIFS(pg_transaction_cleaned!$H:$H,pg_transaction_cleaned!$O:$O,A3360,pg_transaction_cleaned!$F:$F,"CAPTURE")</f>
        <v>10998</v>
      </c>
      <c r="L3360" s="23">
        <f>COUNTIFS(pg_transaction_cleaned!$O:$O,A3360,pg_transaction_cleaned!$F:$F,"REFUND")</f>
        <v>0</v>
      </c>
      <c r="M3360" s="39">
        <f>SUMIFS(pg_transaction_cleaned!$H:$H,pg_transaction_cleaned!$O:$O,A3360,pg_transaction_cleaned!$F:$F,"REFUND")</f>
        <v>0</v>
      </c>
      <c r="N3360" s="23" t="str">
        <f t="shared" si="210"/>
        <v>OK</v>
      </c>
      <c r="O3360" s="24">
        <f t="shared" si="211"/>
        <v>0</v>
      </c>
    </row>
    <row r="3361" spans="1:15" ht="15" customHeight="1" x14ac:dyDescent="0.3">
      <c r="A3361" s="23" t="s">
        <v>7219</v>
      </c>
      <c r="B3361" s="38">
        <v>46270</v>
      </c>
      <c r="C3361" s="23" t="s">
        <v>7220</v>
      </c>
      <c r="D3361" s="23" t="s">
        <v>92</v>
      </c>
      <c r="E3361" s="23" t="s">
        <v>75</v>
      </c>
      <c r="F3361" s="23" t="s">
        <v>974</v>
      </c>
      <c r="G3361" s="23" t="s">
        <v>250</v>
      </c>
      <c r="H3361" s="39">
        <f t="shared" si="208"/>
        <v>1498</v>
      </c>
      <c r="I3361" s="23" t="str">
        <f t="shared" si="209"/>
        <v>Hyderabad</v>
      </c>
      <c r="J3361" s="23">
        <f>COUNTIFS(pg_transaction_cleaned!$O:$O,A3361,pg_transaction_cleaned!$F:$F,"CAPTURE")</f>
        <v>1</v>
      </c>
      <c r="K3361" s="39">
        <f>SUMIFS(pg_transaction_cleaned!$H:$H,pg_transaction_cleaned!$O:$O,A3361,pg_transaction_cleaned!$F:$F,"CAPTURE")</f>
        <v>1498</v>
      </c>
      <c r="L3361" s="23">
        <f>COUNTIFS(pg_transaction_cleaned!$O:$O,A3361,pg_transaction_cleaned!$F:$F,"REFUND")</f>
        <v>0</v>
      </c>
      <c r="M3361" s="39">
        <f>SUMIFS(pg_transaction_cleaned!$H:$H,pg_transaction_cleaned!$O:$O,A3361,pg_transaction_cleaned!$F:$F,"REFUND")</f>
        <v>0</v>
      </c>
      <c r="N3361" s="23" t="str">
        <f t="shared" si="210"/>
        <v>OK</v>
      </c>
      <c r="O3361" s="24">
        <f t="shared" si="211"/>
        <v>0</v>
      </c>
    </row>
    <row r="3362" spans="1:15" ht="15" customHeight="1" x14ac:dyDescent="0.3">
      <c r="A3362" s="23" t="s">
        <v>7221</v>
      </c>
      <c r="B3362" s="38">
        <v>46268</v>
      </c>
      <c r="C3362" s="23" t="s">
        <v>7222</v>
      </c>
      <c r="D3362" s="23" t="s">
        <v>87</v>
      </c>
      <c r="E3362" s="23" t="s">
        <v>77</v>
      </c>
      <c r="F3362" s="23" t="s">
        <v>410</v>
      </c>
      <c r="G3362" s="23" t="s">
        <v>250</v>
      </c>
      <c r="H3362" s="39">
        <f t="shared" si="208"/>
        <v>16497</v>
      </c>
      <c r="I3362" s="23" t="str">
        <f t="shared" si="209"/>
        <v>Mumbai</v>
      </c>
      <c r="J3362" s="23">
        <f>COUNTIFS(pg_transaction_cleaned!$O:$O,A3362,pg_transaction_cleaned!$F:$F,"CAPTURE")</f>
        <v>1</v>
      </c>
      <c r="K3362" s="39">
        <f>SUMIFS(pg_transaction_cleaned!$H:$H,pg_transaction_cleaned!$O:$O,A3362,pg_transaction_cleaned!$F:$F,"CAPTURE")</f>
        <v>16497</v>
      </c>
      <c r="L3362" s="23">
        <f>COUNTIFS(pg_transaction_cleaned!$O:$O,A3362,pg_transaction_cleaned!$F:$F,"REFUND")</f>
        <v>0</v>
      </c>
      <c r="M3362" s="39">
        <f>SUMIFS(pg_transaction_cleaned!$H:$H,pg_transaction_cleaned!$O:$O,A3362,pg_transaction_cleaned!$F:$F,"REFUND")</f>
        <v>0</v>
      </c>
      <c r="N3362" s="23" t="str">
        <f t="shared" si="210"/>
        <v>OK</v>
      </c>
      <c r="O3362" s="24">
        <f t="shared" si="211"/>
        <v>0</v>
      </c>
    </row>
    <row r="3363" spans="1:15" ht="15" customHeight="1" x14ac:dyDescent="0.3">
      <c r="A3363" s="23" t="s">
        <v>7223</v>
      </c>
      <c r="B3363" s="38">
        <v>46289</v>
      </c>
      <c r="C3363" s="23" t="s">
        <v>7224</v>
      </c>
      <c r="D3363" s="23" t="s">
        <v>91</v>
      </c>
      <c r="E3363" s="23" t="s">
        <v>75</v>
      </c>
      <c r="F3363" s="23" t="s">
        <v>3874</v>
      </c>
      <c r="G3363" s="23" t="s">
        <v>250</v>
      </c>
      <c r="H3363" s="39">
        <f t="shared" si="208"/>
        <v>3997</v>
      </c>
      <c r="I3363" s="23" t="str">
        <f t="shared" si="209"/>
        <v>Pune</v>
      </c>
      <c r="J3363" s="23">
        <f>COUNTIFS(pg_transaction_cleaned!$O:$O,A3363,pg_transaction_cleaned!$F:$F,"CAPTURE")</f>
        <v>1</v>
      </c>
      <c r="K3363" s="39">
        <f>SUMIFS(pg_transaction_cleaned!$H:$H,pg_transaction_cleaned!$O:$O,A3363,pg_transaction_cleaned!$F:$F,"CAPTURE")</f>
        <v>3997</v>
      </c>
      <c r="L3363" s="23">
        <f>COUNTIFS(pg_transaction_cleaned!$O:$O,A3363,pg_transaction_cleaned!$F:$F,"REFUND")</f>
        <v>0</v>
      </c>
      <c r="M3363" s="39">
        <f>SUMIFS(pg_transaction_cleaned!$H:$H,pg_transaction_cleaned!$O:$O,A3363,pg_transaction_cleaned!$F:$F,"REFUND")</f>
        <v>0</v>
      </c>
      <c r="N3363" s="23" t="str">
        <f t="shared" si="210"/>
        <v>OK</v>
      </c>
      <c r="O3363" s="24">
        <f t="shared" si="211"/>
        <v>0</v>
      </c>
    </row>
    <row r="3364" spans="1:15" ht="15" customHeight="1" x14ac:dyDescent="0.3">
      <c r="A3364" s="23" t="s">
        <v>7225</v>
      </c>
      <c r="B3364" s="38">
        <v>46266</v>
      </c>
      <c r="C3364" s="23" t="s">
        <v>7226</v>
      </c>
      <c r="D3364" s="23" t="s">
        <v>91</v>
      </c>
      <c r="E3364" s="23" t="s">
        <v>79</v>
      </c>
      <c r="F3364" s="23" t="s">
        <v>291</v>
      </c>
      <c r="G3364" s="23" t="s">
        <v>250</v>
      </c>
      <c r="H3364" s="39">
        <f t="shared" si="208"/>
        <v>3499</v>
      </c>
      <c r="I3364" s="23" t="str">
        <f t="shared" si="209"/>
        <v>Pune</v>
      </c>
      <c r="J3364" s="23">
        <f>COUNTIFS(pg_transaction_cleaned!$O:$O,A3364,pg_transaction_cleaned!$F:$F,"CAPTURE")</f>
        <v>1</v>
      </c>
      <c r="K3364" s="39">
        <f>SUMIFS(pg_transaction_cleaned!$H:$H,pg_transaction_cleaned!$O:$O,A3364,pg_transaction_cleaned!$F:$F,"CAPTURE")</f>
        <v>3499</v>
      </c>
      <c r="L3364" s="23">
        <f>COUNTIFS(pg_transaction_cleaned!$O:$O,A3364,pg_transaction_cleaned!$F:$F,"REFUND")</f>
        <v>0</v>
      </c>
      <c r="M3364" s="39">
        <f>SUMIFS(pg_transaction_cleaned!$H:$H,pg_transaction_cleaned!$O:$O,A3364,pg_transaction_cleaned!$F:$F,"REFUND")</f>
        <v>0</v>
      </c>
      <c r="N3364" s="23" t="str">
        <f t="shared" si="210"/>
        <v>OK</v>
      </c>
      <c r="O3364" s="24">
        <f t="shared" si="211"/>
        <v>0</v>
      </c>
    </row>
    <row r="3365" spans="1:15" ht="15" customHeight="1" x14ac:dyDescent="0.3">
      <c r="A3365" s="23" t="s">
        <v>7227</v>
      </c>
      <c r="B3365" s="38">
        <v>46284</v>
      </c>
      <c r="C3365" s="23" t="s">
        <v>7228</v>
      </c>
      <c r="D3365" s="23" t="s">
        <v>89</v>
      </c>
      <c r="E3365" s="23" t="s">
        <v>77</v>
      </c>
      <c r="F3365" s="23" t="s">
        <v>262</v>
      </c>
      <c r="G3365" s="23" t="s">
        <v>250</v>
      </c>
      <c r="H3365" s="39">
        <f t="shared" si="208"/>
        <v>499</v>
      </c>
      <c r="I3365" s="23" t="str">
        <f t="shared" si="209"/>
        <v>Jaipur</v>
      </c>
      <c r="J3365" s="23">
        <f>COUNTIFS(pg_transaction_cleaned!$O:$O,A3365,pg_transaction_cleaned!$F:$F,"CAPTURE")</f>
        <v>1</v>
      </c>
      <c r="K3365" s="39">
        <f>SUMIFS(pg_transaction_cleaned!$H:$H,pg_transaction_cleaned!$O:$O,A3365,pg_transaction_cleaned!$F:$F,"CAPTURE")</f>
        <v>499</v>
      </c>
      <c r="L3365" s="23">
        <f>COUNTIFS(pg_transaction_cleaned!$O:$O,A3365,pg_transaction_cleaned!$F:$F,"REFUND")</f>
        <v>0</v>
      </c>
      <c r="M3365" s="39">
        <f>SUMIFS(pg_transaction_cleaned!$H:$H,pg_transaction_cleaned!$O:$O,A3365,pg_transaction_cleaned!$F:$F,"REFUND")</f>
        <v>0</v>
      </c>
      <c r="N3365" s="23" t="str">
        <f t="shared" si="210"/>
        <v>OK</v>
      </c>
      <c r="O3365" s="24">
        <f t="shared" si="211"/>
        <v>0</v>
      </c>
    </row>
    <row r="3366" spans="1:15" ht="15" customHeight="1" x14ac:dyDescent="0.3">
      <c r="A3366" s="23" t="s">
        <v>7229</v>
      </c>
      <c r="B3366" s="38">
        <v>46286</v>
      </c>
      <c r="C3366" s="23" t="s">
        <v>7230</v>
      </c>
      <c r="D3366" s="23" t="s">
        <v>91</v>
      </c>
      <c r="E3366" s="23" t="s">
        <v>79</v>
      </c>
      <c r="F3366" s="23" t="s">
        <v>249</v>
      </c>
      <c r="G3366" s="23" t="s">
        <v>250</v>
      </c>
      <c r="H3366" s="39">
        <f t="shared" si="208"/>
        <v>299</v>
      </c>
      <c r="I3366" s="23" t="str">
        <f t="shared" si="209"/>
        <v>Pune</v>
      </c>
      <c r="J3366" s="23">
        <f>COUNTIFS(pg_transaction_cleaned!$O:$O,A3366,pg_transaction_cleaned!$F:$F,"CAPTURE")</f>
        <v>1</v>
      </c>
      <c r="K3366" s="39">
        <f>SUMIFS(pg_transaction_cleaned!$H:$H,pg_transaction_cleaned!$O:$O,A3366,pg_transaction_cleaned!$F:$F,"CAPTURE")</f>
        <v>299</v>
      </c>
      <c r="L3366" s="23">
        <f>COUNTIFS(pg_transaction_cleaned!$O:$O,A3366,pg_transaction_cleaned!$F:$F,"REFUND")</f>
        <v>0</v>
      </c>
      <c r="M3366" s="39">
        <f>SUMIFS(pg_transaction_cleaned!$H:$H,pg_transaction_cleaned!$O:$O,A3366,pg_transaction_cleaned!$F:$F,"REFUND")</f>
        <v>0</v>
      </c>
      <c r="N3366" s="23" t="str">
        <f t="shared" si="210"/>
        <v>OK</v>
      </c>
      <c r="O3366" s="24">
        <f t="shared" si="211"/>
        <v>0</v>
      </c>
    </row>
    <row r="3367" spans="1:15" ht="15" customHeight="1" x14ac:dyDescent="0.3">
      <c r="A3367" s="23" t="s">
        <v>7231</v>
      </c>
      <c r="B3367" s="38">
        <v>46286</v>
      </c>
      <c r="C3367" s="23" t="s">
        <v>7232</v>
      </c>
      <c r="D3367" s="23" t="s">
        <v>87</v>
      </c>
      <c r="E3367" s="23" t="s">
        <v>75</v>
      </c>
      <c r="F3367" s="23" t="s">
        <v>262</v>
      </c>
      <c r="G3367" s="23" t="s">
        <v>250</v>
      </c>
      <c r="H3367" s="39">
        <f t="shared" si="208"/>
        <v>499</v>
      </c>
      <c r="I3367" s="23" t="str">
        <f t="shared" si="209"/>
        <v>Mumbai</v>
      </c>
      <c r="J3367" s="23">
        <f>COUNTIFS(pg_transaction_cleaned!$O:$O,A3367,pg_transaction_cleaned!$F:$F,"CAPTURE")</f>
        <v>1</v>
      </c>
      <c r="K3367" s="39">
        <f>SUMIFS(pg_transaction_cleaned!$H:$H,pg_transaction_cleaned!$O:$O,A3367,pg_transaction_cleaned!$F:$F,"CAPTURE")</f>
        <v>499</v>
      </c>
      <c r="L3367" s="23">
        <f>COUNTIFS(pg_transaction_cleaned!$O:$O,A3367,pg_transaction_cleaned!$F:$F,"REFUND")</f>
        <v>0</v>
      </c>
      <c r="M3367" s="39">
        <f>SUMIFS(pg_transaction_cleaned!$H:$H,pg_transaction_cleaned!$O:$O,A3367,pg_transaction_cleaned!$F:$F,"REFUND")</f>
        <v>0</v>
      </c>
      <c r="N3367" s="23" t="str">
        <f t="shared" si="210"/>
        <v>OK</v>
      </c>
      <c r="O3367" s="24">
        <f t="shared" si="211"/>
        <v>0</v>
      </c>
    </row>
    <row r="3368" spans="1:15" ht="15" customHeight="1" x14ac:dyDescent="0.3">
      <c r="A3368" s="23" t="s">
        <v>7233</v>
      </c>
      <c r="B3368" s="38">
        <v>46284</v>
      </c>
      <c r="C3368" s="23" t="s">
        <v>7234</v>
      </c>
      <c r="D3368" s="23" t="s">
        <v>88</v>
      </c>
      <c r="E3368" s="23" t="s">
        <v>75</v>
      </c>
      <c r="F3368" s="23" t="s">
        <v>2304</v>
      </c>
      <c r="G3368" s="23" t="s">
        <v>250</v>
      </c>
      <c r="H3368" s="39">
        <f t="shared" si="208"/>
        <v>6797</v>
      </c>
      <c r="I3368" s="23" t="str">
        <f t="shared" si="209"/>
        <v>Lucknow</v>
      </c>
      <c r="J3368" s="23">
        <f>COUNTIFS(pg_transaction_cleaned!$O:$O,A3368,pg_transaction_cleaned!$F:$F,"CAPTURE")</f>
        <v>1</v>
      </c>
      <c r="K3368" s="39">
        <f>SUMIFS(pg_transaction_cleaned!$H:$H,pg_transaction_cleaned!$O:$O,A3368,pg_transaction_cleaned!$F:$F,"CAPTURE")</f>
        <v>6797</v>
      </c>
      <c r="L3368" s="23">
        <f>COUNTIFS(pg_transaction_cleaned!$O:$O,A3368,pg_transaction_cleaned!$F:$F,"REFUND")</f>
        <v>0</v>
      </c>
      <c r="M3368" s="39">
        <f>SUMIFS(pg_transaction_cleaned!$H:$H,pg_transaction_cleaned!$O:$O,A3368,pg_transaction_cleaned!$F:$F,"REFUND")</f>
        <v>0</v>
      </c>
      <c r="N3368" s="23" t="str">
        <f t="shared" si="210"/>
        <v>OK</v>
      </c>
      <c r="O3368" s="24">
        <f t="shared" si="211"/>
        <v>0</v>
      </c>
    </row>
    <row r="3369" spans="1:15" ht="15" customHeight="1" x14ac:dyDescent="0.3">
      <c r="A3369" s="23" t="s">
        <v>7235</v>
      </c>
      <c r="B3369" s="38">
        <v>46279</v>
      </c>
      <c r="C3369" s="23" t="s">
        <v>7236</v>
      </c>
      <c r="D3369" s="23" t="s">
        <v>92</v>
      </c>
      <c r="E3369" s="23" t="s">
        <v>75</v>
      </c>
      <c r="F3369" s="23" t="s">
        <v>262</v>
      </c>
      <c r="G3369" s="23" t="s">
        <v>250</v>
      </c>
      <c r="H3369" s="39">
        <f t="shared" si="208"/>
        <v>499</v>
      </c>
      <c r="I3369" s="23" t="str">
        <f t="shared" si="209"/>
        <v>Hyderabad</v>
      </c>
      <c r="J3369" s="23">
        <f>COUNTIFS(pg_transaction_cleaned!$O:$O,A3369,pg_transaction_cleaned!$F:$F,"CAPTURE")</f>
        <v>1</v>
      </c>
      <c r="K3369" s="39">
        <f>SUMIFS(pg_transaction_cleaned!$H:$H,pg_transaction_cleaned!$O:$O,A3369,pg_transaction_cleaned!$F:$F,"CAPTURE")</f>
        <v>499</v>
      </c>
      <c r="L3369" s="23">
        <f>COUNTIFS(pg_transaction_cleaned!$O:$O,A3369,pg_transaction_cleaned!$F:$F,"REFUND")</f>
        <v>0</v>
      </c>
      <c r="M3369" s="39">
        <f>SUMIFS(pg_transaction_cleaned!$H:$H,pg_transaction_cleaned!$O:$O,A3369,pg_transaction_cleaned!$F:$F,"REFUND")</f>
        <v>0</v>
      </c>
      <c r="N3369" s="23" t="str">
        <f t="shared" si="210"/>
        <v>OK</v>
      </c>
      <c r="O3369" s="24">
        <f t="shared" si="211"/>
        <v>0</v>
      </c>
    </row>
    <row r="3370" spans="1:15" ht="15" customHeight="1" x14ac:dyDescent="0.3">
      <c r="A3370" s="23" t="s">
        <v>7237</v>
      </c>
      <c r="B3370" s="38">
        <v>46291</v>
      </c>
      <c r="C3370" s="23" t="s">
        <v>7238</v>
      </c>
      <c r="D3370" s="23" t="s">
        <v>95</v>
      </c>
      <c r="E3370" s="23" t="s">
        <v>75</v>
      </c>
      <c r="F3370" s="23" t="s">
        <v>262</v>
      </c>
      <c r="G3370" s="23" t="s">
        <v>250</v>
      </c>
      <c r="H3370" s="39">
        <f t="shared" si="208"/>
        <v>499</v>
      </c>
      <c r="I3370" s="23" t="str">
        <f t="shared" si="209"/>
        <v>Bengaluru</v>
      </c>
      <c r="J3370" s="23">
        <f>COUNTIFS(pg_transaction_cleaned!$O:$O,A3370,pg_transaction_cleaned!$F:$F,"CAPTURE")</f>
        <v>1</v>
      </c>
      <c r="K3370" s="39">
        <f>SUMIFS(pg_transaction_cleaned!$H:$H,pg_transaction_cleaned!$O:$O,A3370,pg_transaction_cleaned!$F:$F,"CAPTURE")</f>
        <v>499</v>
      </c>
      <c r="L3370" s="23">
        <f>COUNTIFS(pg_transaction_cleaned!$O:$O,A3370,pg_transaction_cleaned!$F:$F,"REFUND")</f>
        <v>0</v>
      </c>
      <c r="M3370" s="39">
        <f>SUMIFS(pg_transaction_cleaned!$H:$H,pg_transaction_cleaned!$O:$O,A3370,pg_transaction_cleaned!$F:$F,"REFUND")</f>
        <v>0</v>
      </c>
      <c r="N3370" s="23" t="str">
        <f t="shared" si="210"/>
        <v>OK</v>
      </c>
      <c r="O3370" s="24">
        <f t="shared" si="211"/>
        <v>0</v>
      </c>
    </row>
    <row r="3371" spans="1:15" ht="15" customHeight="1" x14ac:dyDescent="0.3">
      <c r="A3371" s="23" t="s">
        <v>7239</v>
      </c>
      <c r="B3371" s="38">
        <v>46271</v>
      </c>
      <c r="C3371" s="23" t="s">
        <v>7240</v>
      </c>
      <c r="D3371" s="23" t="s">
        <v>95</v>
      </c>
      <c r="E3371" s="23" t="s">
        <v>79</v>
      </c>
      <c r="F3371" s="23" t="s">
        <v>2045</v>
      </c>
      <c r="G3371" s="23" t="s">
        <v>250</v>
      </c>
      <c r="H3371" s="39">
        <f t="shared" si="208"/>
        <v>698</v>
      </c>
      <c r="I3371" s="23" t="str">
        <f t="shared" si="209"/>
        <v>Bengaluru</v>
      </c>
      <c r="J3371" s="23">
        <f>COUNTIFS(pg_transaction_cleaned!$O:$O,A3371,pg_transaction_cleaned!$F:$F,"CAPTURE")</f>
        <v>1</v>
      </c>
      <c r="K3371" s="39">
        <f>SUMIFS(pg_transaction_cleaned!$H:$H,pg_transaction_cleaned!$O:$O,A3371,pg_transaction_cleaned!$F:$F,"CAPTURE")</f>
        <v>698</v>
      </c>
      <c r="L3371" s="23">
        <f>COUNTIFS(pg_transaction_cleaned!$O:$O,A3371,pg_transaction_cleaned!$F:$F,"REFUND")</f>
        <v>0</v>
      </c>
      <c r="M3371" s="39">
        <f>SUMIFS(pg_transaction_cleaned!$H:$H,pg_transaction_cleaned!$O:$O,A3371,pg_transaction_cleaned!$F:$F,"REFUND")</f>
        <v>0</v>
      </c>
      <c r="N3371" s="23" t="str">
        <f t="shared" si="210"/>
        <v>OK</v>
      </c>
      <c r="O3371" s="24">
        <f t="shared" si="211"/>
        <v>0</v>
      </c>
    </row>
    <row r="3372" spans="1:15" ht="15" customHeight="1" x14ac:dyDescent="0.3">
      <c r="A3372" s="23" t="s">
        <v>7241</v>
      </c>
      <c r="B3372" s="38">
        <v>46275</v>
      </c>
      <c r="C3372" s="23" t="s">
        <v>7242</v>
      </c>
      <c r="D3372" s="23" t="s">
        <v>90</v>
      </c>
      <c r="E3372" s="23" t="s">
        <v>75</v>
      </c>
      <c r="F3372" s="23" t="s">
        <v>370</v>
      </c>
      <c r="G3372" s="23" t="s">
        <v>250</v>
      </c>
      <c r="H3372" s="39">
        <f t="shared" si="208"/>
        <v>3098</v>
      </c>
      <c r="I3372" s="23" t="str">
        <f t="shared" si="209"/>
        <v>Ahmedabad</v>
      </c>
      <c r="J3372" s="23">
        <f>COUNTIFS(pg_transaction_cleaned!$O:$O,A3372,pg_transaction_cleaned!$F:$F,"CAPTURE")</f>
        <v>1</v>
      </c>
      <c r="K3372" s="39">
        <f>SUMIFS(pg_transaction_cleaned!$H:$H,pg_transaction_cleaned!$O:$O,A3372,pg_transaction_cleaned!$F:$F,"CAPTURE")</f>
        <v>3098</v>
      </c>
      <c r="L3372" s="23">
        <f>COUNTIFS(pg_transaction_cleaned!$O:$O,A3372,pg_transaction_cleaned!$F:$F,"REFUND")</f>
        <v>0</v>
      </c>
      <c r="M3372" s="39">
        <f>SUMIFS(pg_transaction_cleaned!$H:$H,pg_transaction_cleaned!$O:$O,A3372,pg_transaction_cleaned!$F:$F,"REFUND")</f>
        <v>0</v>
      </c>
      <c r="N3372" s="23" t="str">
        <f t="shared" si="210"/>
        <v>OK</v>
      </c>
      <c r="O3372" s="24">
        <f t="shared" si="211"/>
        <v>0</v>
      </c>
    </row>
    <row r="3373" spans="1:15" ht="15" customHeight="1" x14ac:dyDescent="0.3">
      <c r="A3373" s="23" t="s">
        <v>7243</v>
      </c>
      <c r="B3373" s="38">
        <v>46266</v>
      </c>
      <c r="C3373" s="23" t="s">
        <v>7244</v>
      </c>
      <c r="D3373" s="23" t="s">
        <v>87</v>
      </c>
      <c r="E3373" s="23" t="s">
        <v>79</v>
      </c>
      <c r="F3373" s="23" t="s">
        <v>294</v>
      </c>
      <c r="G3373" s="23" t="s">
        <v>250</v>
      </c>
      <c r="H3373" s="39">
        <f t="shared" si="208"/>
        <v>1799</v>
      </c>
      <c r="I3373" s="23" t="str">
        <f t="shared" si="209"/>
        <v>Mumbai</v>
      </c>
      <c r="J3373" s="23">
        <f>COUNTIFS(pg_transaction_cleaned!$O:$O,A3373,pg_transaction_cleaned!$F:$F,"CAPTURE")</f>
        <v>1</v>
      </c>
      <c r="K3373" s="39">
        <f>SUMIFS(pg_transaction_cleaned!$H:$H,pg_transaction_cleaned!$O:$O,A3373,pg_transaction_cleaned!$F:$F,"CAPTURE")</f>
        <v>1799</v>
      </c>
      <c r="L3373" s="23">
        <f>COUNTIFS(pg_transaction_cleaned!$O:$O,A3373,pg_transaction_cleaned!$F:$F,"REFUND")</f>
        <v>0</v>
      </c>
      <c r="M3373" s="39">
        <f>SUMIFS(pg_transaction_cleaned!$H:$H,pg_transaction_cleaned!$O:$O,A3373,pg_transaction_cleaned!$F:$F,"REFUND")</f>
        <v>0</v>
      </c>
      <c r="N3373" s="23" t="str">
        <f t="shared" si="210"/>
        <v>OK</v>
      </c>
      <c r="O3373" s="24">
        <f t="shared" si="211"/>
        <v>0</v>
      </c>
    </row>
    <row r="3374" spans="1:15" ht="15" customHeight="1" x14ac:dyDescent="0.3">
      <c r="A3374" s="23" t="s">
        <v>7245</v>
      </c>
      <c r="B3374" s="38">
        <v>46295</v>
      </c>
      <c r="C3374" s="23" t="s">
        <v>7246</v>
      </c>
      <c r="D3374" s="23" t="s">
        <v>93</v>
      </c>
      <c r="E3374" s="23" t="s">
        <v>79</v>
      </c>
      <c r="F3374" s="23" t="s">
        <v>297</v>
      </c>
      <c r="G3374" s="23" t="s">
        <v>250</v>
      </c>
      <c r="H3374" s="39">
        <f t="shared" si="208"/>
        <v>4999</v>
      </c>
      <c r="I3374" s="23" t="str">
        <f t="shared" si="209"/>
        <v>Kolkata</v>
      </c>
      <c r="J3374" s="23">
        <f>COUNTIFS(pg_transaction_cleaned!$O:$O,A3374,pg_transaction_cleaned!$F:$F,"CAPTURE")</f>
        <v>1</v>
      </c>
      <c r="K3374" s="39">
        <f>SUMIFS(pg_transaction_cleaned!$H:$H,pg_transaction_cleaned!$O:$O,A3374,pg_transaction_cleaned!$F:$F,"CAPTURE")</f>
        <v>4999</v>
      </c>
      <c r="L3374" s="23">
        <f>COUNTIFS(pg_transaction_cleaned!$O:$O,A3374,pg_transaction_cleaned!$F:$F,"REFUND")</f>
        <v>0</v>
      </c>
      <c r="M3374" s="39">
        <f>SUMIFS(pg_transaction_cleaned!$H:$H,pg_transaction_cleaned!$O:$O,A3374,pg_transaction_cleaned!$F:$F,"REFUND")</f>
        <v>0</v>
      </c>
      <c r="N3374" s="23" t="str">
        <f t="shared" si="210"/>
        <v>OK</v>
      </c>
      <c r="O3374" s="24">
        <f t="shared" si="211"/>
        <v>0</v>
      </c>
    </row>
    <row r="3375" spans="1:15" ht="15" customHeight="1" x14ac:dyDescent="0.3">
      <c r="A3375" s="23" t="s">
        <v>7247</v>
      </c>
      <c r="B3375" s="38">
        <v>46294</v>
      </c>
      <c r="C3375" s="23" t="s">
        <v>7248</v>
      </c>
      <c r="D3375" s="23" t="s">
        <v>89</v>
      </c>
      <c r="E3375" s="23" t="s">
        <v>75</v>
      </c>
      <c r="F3375" s="23" t="s">
        <v>337</v>
      </c>
      <c r="G3375" s="23" t="s">
        <v>250</v>
      </c>
      <c r="H3375" s="39">
        <f t="shared" si="208"/>
        <v>3998</v>
      </c>
      <c r="I3375" s="23" t="str">
        <f t="shared" si="209"/>
        <v>Jaipur</v>
      </c>
      <c r="J3375" s="23">
        <f>COUNTIFS(pg_transaction_cleaned!$O:$O,A3375,pg_transaction_cleaned!$F:$F,"CAPTURE")</f>
        <v>1</v>
      </c>
      <c r="K3375" s="39">
        <f>SUMIFS(pg_transaction_cleaned!$H:$H,pg_transaction_cleaned!$O:$O,A3375,pg_transaction_cleaned!$F:$F,"CAPTURE")</f>
        <v>3998</v>
      </c>
      <c r="L3375" s="23">
        <f>COUNTIFS(pg_transaction_cleaned!$O:$O,A3375,pg_transaction_cleaned!$F:$F,"REFUND")</f>
        <v>0</v>
      </c>
      <c r="M3375" s="39">
        <f>SUMIFS(pg_transaction_cleaned!$H:$H,pg_transaction_cleaned!$O:$O,A3375,pg_transaction_cleaned!$F:$F,"REFUND")</f>
        <v>0</v>
      </c>
      <c r="N3375" s="23" t="str">
        <f t="shared" si="210"/>
        <v>OK</v>
      </c>
      <c r="O3375" s="24">
        <f t="shared" si="211"/>
        <v>0</v>
      </c>
    </row>
    <row r="3376" spans="1:15" ht="15" customHeight="1" x14ac:dyDescent="0.3">
      <c r="A3376" s="23" t="s">
        <v>7249</v>
      </c>
      <c r="B3376" s="38">
        <v>46284</v>
      </c>
      <c r="C3376" s="23" t="s">
        <v>7250</v>
      </c>
      <c r="D3376" s="23" t="s">
        <v>87</v>
      </c>
      <c r="E3376" s="23" t="s">
        <v>75</v>
      </c>
      <c r="F3376" s="23" t="s">
        <v>249</v>
      </c>
      <c r="G3376" s="23" t="s">
        <v>250</v>
      </c>
      <c r="H3376" s="39">
        <f t="shared" si="208"/>
        <v>299</v>
      </c>
      <c r="I3376" s="23" t="str">
        <f t="shared" si="209"/>
        <v>Mumbai</v>
      </c>
      <c r="J3376" s="23">
        <f>COUNTIFS(pg_transaction_cleaned!$O:$O,A3376,pg_transaction_cleaned!$F:$F,"CAPTURE")</f>
        <v>1</v>
      </c>
      <c r="K3376" s="39">
        <f>SUMIFS(pg_transaction_cleaned!$H:$H,pg_transaction_cleaned!$O:$O,A3376,pg_transaction_cleaned!$F:$F,"CAPTURE")</f>
        <v>299</v>
      </c>
      <c r="L3376" s="23">
        <f>COUNTIFS(pg_transaction_cleaned!$O:$O,A3376,pg_transaction_cleaned!$F:$F,"REFUND")</f>
        <v>0</v>
      </c>
      <c r="M3376" s="39">
        <f>SUMIFS(pg_transaction_cleaned!$H:$H,pg_transaction_cleaned!$O:$O,A3376,pg_transaction_cleaned!$F:$F,"REFUND")</f>
        <v>0</v>
      </c>
      <c r="N3376" s="23" t="str">
        <f t="shared" si="210"/>
        <v>OK</v>
      </c>
      <c r="O3376" s="24">
        <f t="shared" si="211"/>
        <v>0</v>
      </c>
    </row>
    <row r="3377" spans="1:15" ht="15" customHeight="1" x14ac:dyDescent="0.3">
      <c r="A3377" s="23" t="s">
        <v>7251</v>
      </c>
      <c r="B3377" s="38">
        <v>46267</v>
      </c>
      <c r="C3377" s="23" t="s">
        <v>7252</v>
      </c>
      <c r="D3377" s="23" t="s">
        <v>87</v>
      </c>
      <c r="E3377" s="23" t="s">
        <v>75</v>
      </c>
      <c r="F3377" s="23" t="s">
        <v>315</v>
      </c>
      <c r="G3377" s="23" t="s">
        <v>250</v>
      </c>
      <c r="H3377" s="39">
        <f t="shared" si="208"/>
        <v>1499</v>
      </c>
      <c r="I3377" s="23" t="str">
        <f t="shared" si="209"/>
        <v>Mumbai</v>
      </c>
      <c r="J3377" s="23">
        <f>COUNTIFS(pg_transaction_cleaned!$O:$O,A3377,pg_transaction_cleaned!$F:$F,"CAPTURE")</f>
        <v>1</v>
      </c>
      <c r="K3377" s="39">
        <f>SUMIFS(pg_transaction_cleaned!$H:$H,pg_transaction_cleaned!$O:$O,A3377,pg_transaction_cleaned!$F:$F,"CAPTURE")</f>
        <v>1499</v>
      </c>
      <c r="L3377" s="23">
        <f>COUNTIFS(pg_transaction_cleaned!$O:$O,A3377,pg_transaction_cleaned!$F:$F,"REFUND")</f>
        <v>0</v>
      </c>
      <c r="M3377" s="39">
        <f>SUMIFS(pg_transaction_cleaned!$H:$H,pg_transaction_cleaned!$O:$O,A3377,pg_transaction_cleaned!$F:$F,"REFUND")</f>
        <v>0</v>
      </c>
      <c r="N3377" s="23" t="str">
        <f t="shared" si="210"/>
        <v>OK</v>
      </c>
      <c r="O3377" s="24">
        <f t="shared" si="211"/>
        <v>0</v>
      </c>
    </row>
    <row r="3378" spans="1:15" ht="15" customHeight="1" x14ac:dyDescent="0.3">
      <c r="A3378" s="23" t="s">
        <v>7253</v>
      </c>
      <c r="B3378" s="38">
        <v>46266</v>
      </c>
      <c r="C3378" s="23" t="s">
        <v>7254</v>
      </c>
      <c r="D3378" s="23" t="s">
        <v>90</v>
      </c>
      <c r="E3378" s="23" t="s">
        <v>75</v>
      </c>
      <c r="F3378" s="23" t="s">
        <v>370</v>
      </c>
      <c r="G3378" s="23" t="s">
        <v>250</v>
      </c>
      <c r="H3378" s="39">
        <f t="shared" si="208"/>
        <v>3098</v>
      </c>
      <c r="I3378" s="23" t="str">
        <f t="shared" si="209"/>
        <v>Ahmedabad</v>
      </c>
      <c r="J3378" s="23">
        <f>COUNTIFS(pg_transaction_cleaned!$O:$O,A3378,pg_transaction_cleaned!$F:$F,"CAPTURE")</f>
        <v>1</v>
      </c>
      <c r="K3378" s="39">
        <f>SUMIFS(pg_transaction_cleaned!$H:$H,pg_transaction_cleaned!$O:$O,A3378,pg_transaction_cleaned!$F:$F,"CAPTURE")</f>
        <v>3098</v>
      </c>
      <c r="L3378" s="23">
        <f>COUNTIFS(pg_transaction_cleaned!$O:$O,A3378,pg_transaction_cleaned!$F:$F,"REFUND")</f>
        <v>0</v>
      </c>
      <c r="M3378" s="39">
        <f>SUMIFS(pg_transaction_cleaned!$H:$H,pg_transaction_cleaned!$O:$O,A3378,pg_transaction_cleaned!$F:$F,"REFUND")</f>
        <v>0</v>
      </c>
      <c r="N3378" s="23" t="str">
        <f t="shared" si="210"/>
        <v>OK</v>
      </c>
      <c r="O3378" s="24">
        <f t="shared" si="211"/>
        <v>0</v>
      </c>
    </row>
    <row r="3379" spans="1:15" ht="15" customHeight="1" x14ac:dyDescent="0.3">
      <c r="A3379" s="23" t="s">
        <v>7255</v>
      </c>
      <c r="B3379" s="38">
        <v>46271</v>
      </c>
      <c r="C3379" s="23" t="s">
        <v>7256</v>
      </c>
      <c r="D3379" s="23" t="s">
        <v>88</v>
      </c>
      <c r="E3379" s="23" t="s">
        <v>75</v>
      </c>
      <c r="F3379" s="23" t="s">
        <v>274</v>
      </c>
      <c r="G3379" s="23" t="s">
        <v>250</v>
      </c>
      <c r="H3379" s="39">
        <f t="shared" si="208"/>
        <v>349</v>
      </c>
      <c r="I3379" s="23" t="str">
        <f t="shared" si="209"/>
        <v>Lucknow</v>
      </c>
      <c r="J3379" s="23">
        <f>COUNTIFS(pg_transaction_cleaned!$O:$O,A3379,pg_transaction_cleaned!$F:$F,"CAPTURE")</f>
        <v>1</v>
      </c>
      <c r="K3379" s="39">
        <f>SUMIFS(pg_transaction_cleaned!$H:$H,pg_transaction_cleaned!$O:$O,A3379,pg_transaction_cleaned!$F:$F,"CAPTURE")</f>
        <v>349</v>
      </c>
      <c r="L3379" s="23">
        <f>COUNTIFS(pg_transaction_cleaned!$O:$O,A3379,pg_transaction_cleaned!$F:$F,"REFUND")</f>
        <v>0</v>
      </c>
      <c r="M3379" s="39">
        <f>SUMIFS(pg_transaction_cleaned!$H:$H,pg_transaction_cleaned!$O:$O,A3379,pg_transaction_cleaned!$F:$F,"REFUND")</f>
        <v>0</v>
      </c>
      <c r="N3379" s="23" t="str">
        <f t="shared" si="210"/>
        <v>OK</v>
      </c>
      <c r="O3379" s="24">
        <f t="shared" si="211"/>
        <v>0</v>
      </c>
    </row>
    <row r="3380" spans="1:15" ht="15" customHeight="1" x14ac:dyDescent="0.3">
      <c r="A3380" s="23" t="s">
        <v>7257</v>
      </c>
      <c r="B3380" s="38">
        <v>46267</v>
      </c>
      <c r="C3380" s="23" t="s">
        <v>7258</v>
      </c>
      <c r="D3380" s="23"/>
      <c r="E3380" s="23" t="s">
        <v>75</v>
      </c>
      <c r="F3380" s="23" t="s">
        <v>1533</v>
      </c>
      <c r="G3380" s="23" t="s">
        <v>250</v>
      </c>
      <c r="H3380" s="39">
        <f t="shared" si="208"/>
        <v>3647</v>
      </c>
      <c r="I3380" s="23" t="str">
        <f t="shared" si="209"/>
        <v>Unknown</v>
      </c>
      <c r="J3380" s="23">
        <f>COUNTIFS(pg_transaction_cleaned!$O:$O,A3380,pg_transaction_cleaned!$F:$F,"CAPTURE")</f>
        <v>1</v>
      </c>
      <c r="K3380" s="39">
        <f>SUMIFS(pg_transaction_cleaned!$H:$H,pg_transaction_cleaned!$O:$O,A3380,pg_transaction_cleaned!$F:$F,"CAPTURE")</f>
        <v>3647</v>
      </c>
      <c r="L3380" s="23">
        <f>COUNTIFS(pg_transaction_cleaned!$O:$O,A3380,pg_transaction_cleaned!$F:$F,"REFUND")</f>
        <v>0</v>
      </c>
      <c r="M3380" s="39">
        <f>SUMIFS(pg_transaction_cleaned!$H:$H,pg_transaction_cleaned!$O:$O,A3380,pg_transaction_cleaned!$F:$F,"REFUND")</f>
        <v>0</v>
      </c>
      <c r="N3380" s="23" t="str">
        <f t="shared" si="210"/>
        <v>OK</v>
      </c>
      <c r="O3380" s="24">
        <f t="shared" si="211"/>
        <v>0</v>
      </c>
    </row>
    <row r="3381" spans="1:15" ht="15" customHeight="1" x14ac:dyDescent="0.3">
      <c r="A3381" s="23" t="s">
        <v>7259</v>
      </c>
      <c r="B3381" s="38">
        <v>46266</v>
      </c>
      <c r="C3381" s="23" t="s">
        <v>7260</v>
      </c>
      <c r="D3381" s="23" t="s">
        <v>93</v>
      </c>
      <c r="E3381" s="23" t="s">
        <v>79</v>
      </c>
      <c r="F3381" s="23" t="s">
        <v>265</v>
      </c>
      <c r="G3381" s="23" t="s">
        <v>250</v>
      </c>
      <c r="H3381" s="39">
        <f t="shared" si="208"/>
        <v>999</v>
      </c>
      <c r="I3381" s="23" t="str">
        <f t="shared" si="209"/>
        <v>Kolkata</v>
      </c>
      <c r="J3381" s="23">
        <f>COUNTIFS(pg_transaction_cleaned!$O:$O,A3381,pg_transaction_cleaned!$F:$F,"CAPTURE")</f>
        <v>1</v>
      </c>
      <c r="K3381" s="39">
        <f>SUMIFS(pg_transaction_cleaned!$H:$H,pg_transaction_cleaned!$O:$O,A3381,pg_transaction_cleaned!$F:$F,"CAPTURE")</f>
        <v>999</v>
      </c>
      <c r="L3381" s="23">
        <f>COUNTIFS(pg_transaction_cleaned!$O:$O,A3381,pg_transaction_cleaned!$F:$F,"REFUND")</f>
        <v>0</v>
      </c>
      <c r="M3381" s="39">
        <f>SUMIFS(pg_transaction_cleaned!$H:$H,pg_transaction_cleaned!$O:$O,A3381,pg_transaction_cleaned!$F:$F,"REFUND")</f>
        <v>0</v>
      </c>
      <c r="N3381" s="23" t="str">
        <f t="shared" si="210"/>
        <v>OK</v>
      </c>
      <c r="O3381" s="24">
        <f t="shared" si="211"/>
        <v>0</v>
      </c>
    </row>
    <row r="3382" spans="1:15" ht="15" customHeight="1" x14ac:dyDescent="0.3">
      <c r="A3382" s="23" t="s">
        <v>7261</v>
      </c>
      <c r="B3382" s="38">
        <v>46291</v>
      </c>
      <c r="C3382" s="23" t="s">
        <v>7262</v>
      </c>
      <c r="D3382" s="23" t="s">
        <v>90</v>
      </c>
      <c r="E3382" s="23" t="s">
        <v>75</v>
      </c>
      <c r="F3382" s="23" t="s">
        <v>315</v>
      </c>
      <c r="G3382" s="23" t="s">
        <v>250</v>
      </c>
      <c r="H3382" s="39">
        <f t="shared" si="208"/>
        <v>1499</v>
      </c>
      <c r="I3382" s="23" t="str">
        <f t="shared" si="209"/>
        <v>Ahmedabad</v>
      </c>
      <c r="J3382" s="23">
        <f>COUNTIFS(pg_transaction_cleaned!$O:$O,A3382,pg_transaction_cleaned!$F:$F,"CAPTURE")</f>
        <v>1</v>
      </c>
      <c r="K3382" s="39">
        <f>SUMIFS(pg_transaction_cleaned!$H:$H,pg_transaction_cleaned!$O:$O,A3382,pg_transaction_cleaned!$F:$F,"CAPTURE")</f>
        <v>1499</v>
      </c>
      <c r="L3382" s="23">
        <f>COUNTIFS(pg_transaction_cleaned!$O:$O,A3382,pg_transaction_cleaned!$F:$F,"REFUND")</f>
        <v>0</v>
      </c>
      <c r="M3382" s="39">
        <f>SUMIFS(pg_transaction_cleaned!$H:$H,pg_transaction_cleaned!$O:$O,A3382,pg_transaction_cleaned!$F:$F,"REFUND")</f>
        <v>0</v>
      </c>
      <c r="N3382" s="23" t="str">
        <f t="shared" si="210"/>
        <v>OK</v>
      </c>
      <c r="O3382" s="24">
        <f t="shared" si="211"/>
        <v>0</v>
      </c>
    </row>
    <row r="3383" spans="1:15" ht="15" customHeight="1" x14ac:dyDescent="0.3">
      <c r="A3383" s="23" t="s">
        <v>7263</v>
      </c>
      <c r="B3383" s="38">
        <v>46292</v>
      </c>
      <c r="C3383" s="23" t="s">
        <v>7264</v>
      </c>
      <c r="D3383" s="23" t="s">
        <v>86</v>
      </c>
      <c r="E3383" s="23" t="s">
        <v>75</v>
      </c>
      <c r="F3383" s="23" t="s">
        <v>315</v>
      </c>
      <c r="G3383" s="23" t="s">
        <v>250</v>
      </c>
      <c r="H3383" s="39">
        <f t="shared" si="208"/>
        <v>1499</v>
      </c>
      <c r="I3383" s="23" t="str">
        <f t="shared" si="209"/>
        <v>Delhi</v>
      </c>
      <c r="J3383" s="23">
        <f>COUNTIFS(pg_transaction_cleaned!$O:$O,A3383,pg_transaction_cleaned!$F:$F,"CAPTURE")</f>
        <v>1</v>
      </c>
      <c r="K3383" s="39">
        <f>SUMIFS(pg_transaction_cleaned!$H:$H,pg_transaction_cleaned!$O:$O,A3383,pg_transaction_cleaned!$F:$F,"CAPTURE")</f>
        <v>1499</v>
      </c>
      <c r="L3383" s="23">
        <f>COUNTIFS(pg_transaction_cleaned!$O:$O,A3383,pg_transaction_cleaned!$F:$F,"REFUND")</f>
        <v>0</v>
      </c>
      <c r="M3383" s="39">
        <f>SUMIFS(pg_transaction_cleaned!$H:$H,pg_transaction_cleaned!$O:$O,A3383,pg_transaction_cleaned!$F:$F,"REFUND")</f>
        <v>0</v>
      </c>
      <c r="N3383" s="23" t="str">
        <f t="shared" si="210"/>
        <v>OK</v>
      </c>
      <c r="O3383" s="24">
        <f t="shared" si="211"/>
        <v>0</v>
      </c>
    </row>
    <row r="3384" spans="1:15" ht="15" customHeight="1" x14ac:dyDescent="0.3">
      <c r="A3384" s="23" t="s">
        <v>7265</v>
      </c>
      <c r="B3384" s="38">
        <v>46292</v>
      </c>
      <c r="C3384" s="23" t="s">
        <v>7266</v>
      </c>
      <c r="D3384" s="23" t="s">
        <v>86</v>
      </c>
      <c r="E3384" s="23" t="s">
        <v>81</v>
      </c>
      <c r="F3384" s="23" t="s">
        <v>297</v>
      </c>
      <c r="G3384" s="23" t="s">
        <v>250</v>
      </c>
      <c r="H3384" s="39">
        <f t="shared" si="208"/>
        <v>4999</v>
      </c>
      <c r="I3384" s="23" t="str">
        <f t="shared" si="209"/>
        <v>Delhi</v>
      </c>
      <c r="J3384" s="23">
        <f>COUNTIFS(pg_transaction_cleaned!$O:$O,A3384,pg_transaction_cleaned!$F:$F,"CAPTURE")</f>
        <v>1</v>
      </c>
      <c r="K3384" s="39">
        <f>SUMIFS(pg_transaction_cleaned!$H:$H,pg_transaction_cleaned!$O:$O,A3384,pg_transaction_cleaned!$F:$F,"CAPTURE")</f>
        <v>4999</v>
      </c>
      <c r="L3384" s="23">
        <f>COUNTIFS(pg_transaction_cleaned!$O:$O,A3384,pg_transaction_cleaned!$F:$F,"REFUND")</f>
        <v>0</v>
      </c>
      <c r="M3384" s="39">
        <f>SUMIFS(pg_transaction_cleaned!$H:$H,pg_transaction_cleaned!$O:$O,A3384,pg_transaction_cleaned!$F:$F,"REFUND")</f>
        <v>0</v>
      </c>
      <c r="N3384" s="23" t="str">
        <f t="shared" si="210"/>
        <v>OK</v>
      </c>
      <c r="O3384" s="24">
        <f t="shared" si="211"/>
        <v>0</v>
      </c>
    </row>
    <row r="3385" spans="1:15" ht="15" customHeight="1" x14ac:dyDescent="0.3">
      <c r="A3385" s="23" t="s">
        <v>7267</v>
      </c>
      <c r="B3385" s="38">
        <v>46277</v>
      </c>
      <c r="C3385" s="23" t="s">
        <v>7268</v>
      </c>
      <c r="D3385" s="23" t="s">
        <v>86</v>
      </c>
      <c r="E3385" s="23" t="s">
        <v>75</v>
      </c>
      <c r="F3385" s="23" t="s">
        <v>274</v>
      </c>
      <c r="G3385" s="23" t="s">
        <v>250</v>
      </c>
      <c r="H3385" s="39">
        <f t="shared" si="208"/>
        <v>349</v>
      </c>
      <c r="I3385" s="23" t="str">
        <f t="shared" si="209"/>
        <v>Delhi</v>
      </c>
      <c r="J3385" s="23">
        <f>COUNTIFS(pg_transaction_cleaned!$O:$O,A3385,pg_transaction_cleaned!$F:$F,"CAPTURE")</f>
        <v>1</v>
      </c>
      <c r="K3385" s="39">
        <f>SUMIFS(pg_transaction_cleaned!$H:$H,pg_transaction_cleaned!$O:$O,A3385,pg_transaction_cleaned!$F:$F,"CAPTURE")</f>
        <v>349</v>
      </c>
      <c r="L3385" s="23">
        <f>COUNTIFS(pg_transaction_cleaned!$O:$O,A3385,pg_transaction_cleaned!$F:$F,"REFUND")</f>
        <v>0</v>
      </c>
      <c r="M3385" s="39">
        <f>SUMIFS(pg_transaction_cleaned!$H:$H,pg_transaction_cleaned!$O:$O,A3385,pg_transaction_cleaned!$F:$F,"REFUND")</f>
        <v>0</v>
      </c>
      <c r="N3385" s="23" t="str">
        <f t="shared" si="210"/>
        <v>OK</v>
      </c>
      <c r="O3385" s="24">
        <f t="shared" si="211"/>
        <v>0</v>
      </c>
    </row>
    <row r="3386" spans="1:15" ht="15" customHeight="1" x14ac:dyDescent="0.3">
      <c r="A3386" s="23" t="s">
        <v>7269</v>
      </c>
      <c r="B3386" s="38">
        <v>46272</v>
      </c>
      <c r="C3386" s="23" t="s">
        <v>7270</v>
      </c>
      <c r="D3386" s="23" t="s">
        <v>87</v>
      </c>
      <c r="E3386" s="23" t="s">
        <v>77</v>
      </c>
      <c r="F3386" s="23" t="s">
        <v>304</v>
      </c>
      <c r="G3386" s="23" t="s">
        <v>250</v>
      </c>
      <c r="H3386" s="39">
        <f t="shared" si="208"/>
        <v>5798</v>
      </c>
      <c r="I3386" s="23" t="str">
        <f t="shared" si="209"/>
        <v>Mumbai</v>
      </c>
      <c r="J3386" s="23">
        <f>COUNTIFS(pg_transaction_cleaned!$O:$O,A3386,pg_transaction_cleaned!$F:$F,"CAPTURE")</f>
        <v>1</v>
      </c>
      <c r="K3386" s="39">
        <f>SUMIFS(pg_transaction_cleaned!$H:$H,pg_transaction_cleaned!$O:$O,A3386,pg_transaction_cleaned!$F:$F,"CAPTURE")</f>
        <v>5798</v>
      </c>
      <c r="L3386" s="23">
        <f>COUNTIFS(pg_transaction_cleaned!$O:$O,A3386,pg_transaction_cleaned!$F:$F,"REFUND")</f>
        <v>0</v>
      </c>
      <c r="M3386" s="39">
        <f>SUMIFS(pg_transaction_cleaned!$H:$H,pg_transaction_cleaned!$O:$O,A3386,pg_transaction_cleaned!$F:$F,"REFUND")</f>
        <v>0</v>
      </c>
      <c r="N3386" s="23" t="str">
        <f t="shared" si="210"/>
        <v>OK</v>
      </c>
      <c r="O3386" s="24">
        <f t="shared" si="211"/>
        <v>0</v>
      </c>
    </row>
    <row r="3387" spans="1:15" ht="15" customHeight="1" x14ac:dyDescent="0.3">
      <c r="A3387" s="23" t="s">
        <v>7271</v>
      </c>
      <c r="B3387" s="38">
        <v>46284</v>
      </c>
      <c r="C3387" s="23" t="s">
        <v>7272</v>
      </c>
      <c r="D3387" s="23" t="s">
        <v>86</v>
      </c>
      <c r="E3387" s="23" t="s">
        <v>75</v>
      </c>
      <c r="F3387" s="23" t="s">
        <v>475</v>
      </c>
      <c r="G3387" s="23" t="s">
        <v>250</v>
      </c>
      <c r="H3387" s="39">
        <f t="shared" si="208"/>
        <v>799</v>
      </c>
      <c r="I3387" s="23" t="str">
        <f t="shared" si="209"/>
        <v>Delhi</v>
      </c>
      <c r="J3387" s="23">
        <f>COUNTIFS(pg_transaction_cleaned!$O:$O,A3387,pg_transaction_cleaned!$F:$F,"CAPTURE")</f>
        <v>1</v>
      </c>
      <c r="K3387" s="39">
        <f>SUMIFS(pg_transaction_cleaned!$H:$H,pg_transaction_cleaned!$O:$O,A3387,pg_transaction_cleaned!$F:$F,"CAPTURE")</f>
        <v>799</v>
      </c>
      <c r="L3387" s="23">
        <f>COUNTIFS(pg_transaction_cleaned!$O:$O,A3387,pg_transaction_cleaned!$F:$F,"REFUND")</f>
        <v>0</v>
      </c>
      <c r="M3387" s="39">
        <f>SUMIFS(pg_transaction_cleaned!$H:$H,pg_transaction_cleaned!$O:$O,A3387,pg_transaction_cleaned!$F:$F,"REFUND")</f>
        <v>0</v>
      </c>
      <c r="N3387" s="23" t="str">
        <f t="shared" si="210"/>
        <v>OK</v>
      </c>
      <c r="O3387" s="24">
        <f t="shared" si="211"/>
        <v>0</v>
      </c>
    </row>
    <row r="3388" spans="1:15" ht="15" customHeight="1" x14ac:dyDescent="0.3">
      <c r="A3388" s="23" t="s">
        <v>7273</v>
      </c>
      <c r="B3388" s="38">
        <v>46278</v>
      </c>
      <c r="C3388" s="23" t="s">
        <v>7274</v>
      </c>
      <c r="D3388" s="23" t="s">
        <v>94</v>
      </c>
      <c r="E3388" s="23" t="s">
        <v>75</v>
      </c>
      <c r="F3388" s="23" t="s">
        <v>1367</v>
      </c>
      <c r="G3388" s="23" t="s">
        <v>250</v>
      </c>
      <c r="H3388" s="39">
        <f t="shared" si="208"/>
        <v>898</v>
      </c>
      <c r="I3388" s="23" t="str">
        <f t="shared" si="209"/>
        <v>Chennai</v>
      </c>
      <c r="J3388" s="23">
        <f>COUNTIFS(pg_transaction_cleaned!$O:$O,A3388,pg_transaction_cleaned!$F:$F,"CAPTURE")</f>
        <v>1</v>
      </c>
      <c r="K3388" s="39">
        <f>SUMIFS(pg_transaction_cleaned!$H:$H,pg_transaction_cleaned!$O:$O,A3388,pg_transaction_cleaned!$F:$F,"CAPTURE")</f>
        <v>898</v>
      </c>
      <c r="L3388" s="23">
        <f>COUNTIFS(pg_transaction_cleaned!$O:$O,A3388,pg_transaction_cleaned!$F:$F,"REFUND")</f>
        <v>0</v>
      </c>
      <c r="M3388" s="39">
        <f>SUMIFS(pg_transaction_cleaned!$H:$H,pg_transaction_cleaned!$O:$O,A3388,pg_transaction_cleaned!$F:$F,"REFUND")</f>
        <v>0</v>
      </c>
      <c r="N3388" s="23" t="str">
        <f t="shared" si="210"/>
        <v>OK</v>
      </c>
      <c r="O3388" s="24">
        <f t="shared" si="211"/>
        <v>0</v>
      </c>
    </row>
    <row r="3389" spans="1:15" ht="15" customHeight="1" x14ac:dyDescent="0.3">
      <c r="A3389" s="23" t="s">
        <v>7275</v>
      </c>
      <c r="B3389" s="38">
        <v>46276</v>
      </c>
      <c r="C3389" s="23" t="s">
        <v>7276</v>
      </c>
      <c r="D3389" s="23" t="s">
        <v>90</v>
      </c>
      <c r="E3389" s="23" t="s">
        <v>75</v>
      </c>
      <c r="F3389" s="23" t="s">
        <v>329</v>
      </c>
      <c r="G3389" s="23" t="s">
        <v>365</v>
      </c>
      <c r="H3389" s="39">
        <f t="shared" si="208"/>
        <v>599</v>
      </c>
      <c r="I3389" s="23" t="str">
        <f t="shared" si="209"/>
        <v>Ahmedabad</v>
      </c>
      <c r="J3389" s="23">
        <f>COUNTIFS(pg_transaction_cleaned!$O:$O,A3389,pg_transaction_cleaned!$F:$F,"CAPTURE")</f>
        <v>0</v>
      </c>
      <c r="K3389" s="39">
        <f>SUMIFS(pg_transaction_cleaned!$H:$H,pg_transaction_cleaned!$O:$O,A3389,pg_transaction_cleaned!$F:$F,"CAPTURE")</f>
        <v>0</v>
      </c>
      <c r="L3389" s="23">
        <f>COUNTIFS(pg_transaction_cleaned!$O:$O,A3389,pg_transaction_cleaned!$F:$F,"REFUND")</f>
        <v>0</v>
      </c>
      <c r="M3389" s="39">
        <f>SUMIFS(pg_transaction_cleaned!$H:$H,pg_transaction_cleaned!$O:$O,A3389,pg_transaction_cleaned!$F:$F,"REFUND")</f>
        <v>0</v>
      </c>
      <c r="N3389" s="23" t="str">
        <f t="shared" si="210"/>
        <v>OK</v>
      </c>
      <c r="O3389" s="24">
        <f t="shared" si="211"/>
        <v>0</v>
      </c>
    </row>
    <row r="3390" spans="1:15" ht="15" customHeight="1" x14ac:dyDescent="0.3">
      <c r="A3390" s="23" t="s">
        <v>7277</v>
      </c>
      <c r="B3390" s="38">
        <v>46285</v>
      </c>
      <c r="C3390" s="23" t="s">
        <v>7278</v>
      </c>
      <c r="D3390" s="23" t="s">
        <v>86</v>
      </c>
      <c r="E3390" s="23" t="s">
        <v>77</v>
      </c>
      <c r="F3390" s="23" t="s">
        <v>291</v>
      </c>
      <c r="G3390" s="23" t="s">
        <v>250</v>
      </c>
      <c r="H3390" s="39">
        <f t="shared" si="208"/>
        <v>3499</v>
      </c>
      <c r="I3390" s="23" t="str">
        <f t="shared" si="209"/>
        <v>Delhi</v>
      </c>
      <c r="J3390" s="23">
        <f>COUNTIFS(pg_transaction_cleaned!$O:$O,A3390,pg_transaction_cleaned!$F:$F,"CAPTURE")</f>
        <v>1</v>
      </c>
      <c r="K3390" s="39">
        <f>SUMIFS(pg_transaction_cleaned!$H:$H,pg_transaction_cleaned!$O:$O,A3390,pg_transaction_cleaned!$F:$F,"CAPTURE")</f>
        <v>3499</v>
      </c>
      <c r="L3390" s="23">
        <f>COUNTIFS(pg_transaction_cleaned!$O:$O,A3390,pg_transaction_cleaned!$F:$F,"REFUND")</f>
        <v>0</v>
      </c>
      <c r="M3390" s="39">
        <f>SUMIFS(pg_transaction_cleaned!$H:$H,pg_transaction_cleaned!$O:$O,A3390,pg_transaction_cleaned!$F:$F,"REFUND")</f>
        <v>0</v>
      </c>
      <c r="N3390" s="23" t="str">
        <f t="shared" si="210"/>
        <v>OK</v>
      </c>
      <c r="O3390" s="24">
        <f t="shared" si="211"/>
        <v>0</v>
      </c>
    </row>
    <row r="3391" spans="1:15" ht="15" customHeight="1" x14ac:dyDescent="0.3">
      <c r="A3391" s="23" t="s">
        <v>7279</v>
      </c>
      <c r="B3391" s="38">
        <v>46274</v>
      </c>
      <c r="C3391" s="23" t="s">
        <v>7280</v>
      </c>
      <c r="D3391" s="23" t="s">
        <v>91</v>
      </c>
      <c r="E3391" s="23" t="s">
        <v>79</v>
      </c>
      <c r="F3391" s="23" t="s">
        <v>310</v>
      </c>
      <c r="G3391" s="23" t="s">
        <v>250</v>
      </c>
      <c r="H3391" s="39">
        <f t="shared" si="208"/>
        <v>7999</v>
      </c>
      <c r="I3391" s="23" t="str">
        <f t="shared" si="209"/>
        <v>Pune</v>
      </c>
      <c r="J3391" s="23">
        <f>COUNTIFS(pg_transaction_cleaned!$O:$O,A3391,pg_transaction_cleaned!$F:$F,"CAPTURE")</f>
        <v>1</v>
      </c>
      <c r="K3391" s="39">
        <f>SUMIFS(pg_transaction_cleaned!$H:$H,pg_transaction_cleaned!$O:$O,A3391,pg_transaction_cleaned!$F:$F,"CAPTURE")</f>
        <v>7999</v>
      </c>
      <c r="L3391" s="23">
        <f>COUNTIFS(pg_transaction_cleaned!$O:$O,A3391,pg_transaction_cleaned!$F:$F,"REFUND")</f>
        <v>0</v>
      </c>
      <c r="M3391" s="39">
        <f>SUMIFS(pg_transaction_cleaned!$H:$H,pg_transaction_cleaned!$O:$O,A3391,pg_transaction_cleaned!$F:$F,"REFUND")</f>
        <v>0</v>
      </c>
      <c r="N3391" s="23" t="str">
        <f t="shared" si="210"/>
        <v>OK</v>
      </c>
      <c r="O3391" s="24">
        <f t="shared" si="211"/>
        <v>0</v>
      </c>
    </row>
    <row r="3392" spans="1:15" ht="15" customHeight="1" x14ac:dyDescent="0.3">
      <c r="A3392" s="23" t="s">
        <v>7281</v>
      </c>
      <c r="B3392" s="38">
        <v>46278</v>
      </c>
      <c r="C3392" s="23" t="s">
        <v>7282</v>
      </c>
      <c r="D3392" s="23" t="s">
        <v>94</v>
      </c>
      <c r="E3392" s="23" t="s">
        <v>79</v>
      </c>
      <c r="F3392" s="23" t="s">
        <v>262</v>
      </c>
      <c r="G3392" s="23" t="s">
        <v>250</v>
      </c>
      <c r="H3392" s="39">
        <f t="shared" si="208"/>
        <v>499</v>
      </c>
      <c r="I3392" s="23" t="str">
        <f t="shared" si="209"/>
        <v>Chennai</v>
      </c>
      <c r="J3392" s="23">
        <f>COUNTIFS(pg_transaction_cleaned!$O:$O,A3392,pg_transaction_cleaned!$F:$F,"CAPTURE")</f>
        <v>1</v>
      </c>
      <c r="K3392" s="39">
        <f>SUMIFS(pg_transaction_cleaned!$H:$H,pg_transaction_cleaned!$O:$O,A3392,pg_transaction_cleaned!$F:$F,"CAPTURE")</f>
        <v>499</v>
      </c>
      <c r="L3392" s="23">
        <f>COUNTIFS(pg_transaction_cleaned!$O:$O,A3392,pg_transaction_cleaned!$F:$F,"REFUND")</f>
        <v>0</v>
      </c>
      <c r="M3392" s="39">
        <f>SUMIFS(pg_transaction_cleaned!$H:$H,pg_transaction_cleaned!$O:$O,A3392,pg_transaction_cleaned!$F:$F,"REFUND")</f>
        <v>0</v>
      </c>
      <c r="N3392" s="23" t="str">
        <f t="shared" si="210"/>
        <v>OK</v>
      </c>
      <c r="O3392" s="24">
        <f t="shared" si="211"/>
        <v>0</v>
      </c>
    </row>
    <row r="3393" spans="1:15" ht="15" customHeight="1" x14ac:dyDescent="0.3">
      <c r="A3393" s="23" t="s">
        <v>7283</v>
      </c>
      <c r="B3393" s="38">
        <v>46295</v>
      </c>
      <c r="C3393" s="23" t="s">
        <v>7284</v>
      </c>
      <c r="D3393" s="23" t="s">
        <v>93</v>
      </c>
      <c r="E3393" s="23" t="s">
        <v>81</v>
      </c>
      <c r="F3393" s="23" t="s">
        <v>324</v>
      </c>
      <c r="G3393" s="23" t="s">
        <v>250</v>
      </c>
      <c r="H3393" s="39">
        <f t="shared" si="208"/>
        <v>10498</v>
      </c>
      <c r="I3393" s="23" t="str">
        <f t="shared" si="209"/>
        <v>Kolkata</v>
      </c>
      <c r="J3393" s="23">
        <f>COUNTIFS(pg_transaction_cleaned!$O:$O,A3393,pg_transaction_cleaned!$F:$F,"CAPTURE")</f>
        <v>1</v>
      </c>
      <c r="K3393" s="39">
        <f>SUMIFS(pg_transaction_cleaned!$H:$H,pg_transaction_cleaned!$O:$O,A3393,pg_transaction_cleaned!$F:$F,"CAPTURE")</f>
        <v>10498</v>
      </c>
      <c r="L3393" s="23">
        <f>COUNTIFS(pg_transaction_cleaned!$O:$O,A3393,pg_transaction_cleaned!$F:$F,"REFUND")</f>
        <v>0</v>
      </c>
      <c r="M3393" s="39">
        <f>SUMIFS(pg_transaction_cleaned!$H:$H,pg_transaction_cleaned!$O:$O,A3393,pg_transaction_cleaned!$F:$F,"REFUND")</f>
        <v>0</v>
      </c>
      <c r="N3393" s="23" t="str">
        <f t="shared" si="210"/>
        <v>OK</v>
      </c>
      <c r="O3393" s="24">
        <f t="shared" si="211"/>
        <v>0</v>
      </c>
    </row>
    <row r="3394" spans="1:15" ht="15" customHeight="1" x14ac:dyDescent="0.3">
      <c r="A3394" s="23" t="s">
        <v>7285</v>
      </c>
      <c r="B3394" s="38">
        <v>46290</v>
      </c>
      <c r="C3394" s="23" t="s">
        <v>7286</v>
      </c>
      <c r="D3394" s="23" t="s">
        <v>90</v>
      </c>
      <c r="E3394" s="23" t="s">
        <v>77</v>
      </c>
      <c r="F3394" s="23" t="s">
        <v>2304</v>
      </c>
      <c r="G3394" s="23" t="s">
        <v>250</v>
      </c>
      <c r="H3394" s="39">
        <f t="shared" ref="H3394:H3457" si="212">VALUE(SUBSTITUTE(F3394,",",""))</f>
        <v>6797</v>
      </c>
      <c r="I3394" s="23" t="str">
        <f t="shared" ref="I3394:I3457" si="213">IF(TRIM(D3394)="","Unknown",TRIM(D3394))</f>
        <v>Ahmedabad</v>
      </c>
      <c r="J3394" s="23">
        <f>COUNTIFS(pg_transaction_cleaned!$O:$O,A3394,pg_transaction_cleaned!$F:$F,"CAPTURE")</f>
        <v>1</v>
      </c>
      <c r="K3394" s="39">
        <f>SUMIFS(pg_transaction_cleaned!$H:$H,pg_transaction_cleaned!$O:$O,A3394,pg_transaction_cleaned!$F:$F,"CAPTURE")</f>
        <v>6797</v>
      </c>
      <c r="L3394" s="23">
        <f>COUNTIFS(pg_transaction_cleaned!$O:$O,A3394,pg_transaction_cleaned!$F:$F,"REFUND")</f>
        <v>0</v>
      </c>
      <c r="M3394" s="39">
        <f>SUMIFS(pg_transaction_cleaned!$H:$H,pg_transaction_cleaned!$O:$O,A3394,pg_transaction_cleaned!$F:$F,"REFUND")</f>
        <v>0</v>
      </c>
      <c r="N3394" s="23" t="str">
        <f t="shared" ref="N3394:N3457" si="214">IF(AND(G3394="Paid",J3394=0),"Paid, no payment",IF(AND(OR(G3394="Failed",G3394="Cancelled"),J3394&gt;0),"Payment on failed/cancelled",IF(J3394&gt;1,"Duplicate charge",IF(AND(J3394=1,ROUND(K3394-H3394,2)&lt;&gt;0),"Amount difference",IF(AND(G3394="Refunded",L3394=0),"Refunded, no refund",IF(AND(G3394&lt;&gt;"Refunded",L3394&gt;0),"Refund, order not Refunded",IF(AND(L3394&gt;0,ROUND(M3394-H3394,2)&lt;&gt;0),"Refund amount differs","OK")))))))</f>
        <v>OK</v>
      </c>
      <c r="O3394" s="24">
        <f t="shared" ref="O3394:O3457" si="215">IF(N3394="OK",0,IF(N3394="Paid, no payment",H3394,IF(N3394="Payment on failed/cancelled",K3394,IF(OR(N3394="Duplicate charge",N3394="Amount difference"),K3394-H3394,IF(N3394="Refunded, no refund",H3394,M3394)))))</f>
        <v>0</v>
      </c>
    </row>
    <row r="3395" spans="1:15" ht="15" customHeight="1" x14ac:dyDescent="0.3">
      <c r="A3395" s="23" t="s">
        <v>7287</v>
      </c>
      <c r="B3395" s="38">
        <v>46283</v>
      </c>
      <c r="C3395" s="23" t="s">
        <v>7288</v>
      </c>
      <c r="D3395" s="23" t="s">
        <v>93</v>
      </c>
      <c r="E3395" s="23" t="s">
        <v>75</v>
      </c>
      <c r="F3395" s="23" t="s">
        <v>426</v>
      </c>
      <c r="G3395" s="23" t="s">
        <v>250</v>
      </c>
      <c r="H3395" s="39">
        <f t="shared" si="212"/>
        <v>6798</v>
      </c>
      <c r="I3395" s="23" t="str">
        <f t="shared" si="213"/>
        <v>Kolkata</v>
      </c>
      <c r="J3395" s="23">
        <f>COUNTIFS(pg_transaction_cleaned!$O:$O,A3395,pg_transaction_cleaned!$F:$F,"CAPTURE")</f>
        <v>1</v>
      </c>
      <c r="K3395" s="39">
        <f>SUMIFS(pg_transaction_cleaned!$H:$H,pg_transaction_cleaned!$O:$O,A3395,pg_transaction_cleaned!$F:$F,"CAPTURE")</f>
        <v>6798</v>
      </c>
      <c r="L3395" s="23">
        <f>COUNTIFS(pg_transaction_cleaned!$O:$O,A3395,pg_transaction_cleaned!$F:$F,"REFUND")</f>
        <v>0</v>
      </c>
      <c r="M3395" s="39">
        <f>SUMIFS(pg_transaction_cleaned!$H:$H,pg_transaction_cleaned!$O:$O,A3395,pg_transaction_cleaned!$F:$F,"REFUND")</f>
        <v>0</v>
      </c>
      <c r="N3395" s="23" t="str">
        <f t="shared" si="214"/>
        <v>OK</v>
      </c>
      <c r="O3395" s="24">
        <f t="shared" si="215"/>
        <v>0</v>
      </c>
    </row>
    <row r="3396" spans="1:15" ht="15" customHeight="1" x14ac:dyDescent="0.3">
      <c r="A3396" s="23" t="s">
        <v>7289</v>
      </c>
      <c r="B3396" s="38">
        <v>46267</v>
      </c>
      <c r="C3396" s="23" t="s">
        <v>7290</v>
      </c>
      <c r="D3396" s="23" t="s">
        <v>87</v>
      </c>
      <c r="E3396" s="23" t="s">
        <v>75</v>
      </c>
      <c r="F3396" s="23" t="s">
        <v>294</v>
      </c>
      <c r="G3396" s="23" t="s">
        <v>250</v>
      </c>
      <c r="H3396" s="39">
        <f t="shared" si="212"/>
        <v>1799</v>
      </c>
      <c r="I3396" s="23" t="str">
        <f t="shared" si="213"/>
        <v>Mumbai</v>
      </c>
      <c r="J3396" s="23">
        <f>COUNTIFS(pg_transaction_cleaned!$O:$O,A3396,pg_transaction_cleaned!$F:$F,"CAPTURE")</f>
        <v>1</v>
      </c>
      <c r="K3396" s="39">
        <f>SUMIFS(pg_transaction_cleaned!$H:$H,pg_transaction_cleaned!$O:$O,A3396,pg_transaction_cleaned!$F:$F,"CAPTURE")</f>
        <v>1799</v>
      </c>
      <c r="L3396" s="23">
        <f>COUNTIFS(pg_transaction_cleaned!$O:$O,A3396,pg_transaction_cleaned!$F:$F,"REFUND")</f>
        <v>0</v>
      </c>
      <c r="M3396" s="39">
        <f>SUMIFS(pg_transaction_cleaned!$H:$H,pg_transaction_cleaned!$O:$O,A3396,pg_transaction_cleaned!$F:$F,"REFUND")</f>
        <v>0</v>
      </c>
      <c r="N3396" s="23" t="str">
        <f t="shared" si="214"/>
        <v>OK</v>
      </c>
      <c r="O3396" s="24">
        <f t="shared" si="215"/>
        <v>0</v>
      </c>
    </row>
    <row r="3397" spans="1:15" ht="15" customHeight="1" x14ac:dyDescent="0.3">
      <c r="A3397" s="23" t="s">
        <v>7291</v>
      </c>
      <c r="B3397" s="38">
        <v>46282</v>
      </c>
      <c r="C3397" s="23" t="s">
        <v>7292</v>
      </c>
      <c r="D3397" s="23" t="s">
        <v>91</v>
      </c>
      <c r="E3397" s="23" t="s">
        <v>77</v>
      </c>
      <c r="F3397" s="23" t="s">
        <v>3464</v>
      </c>
      <c r="G3397" s="23" t="s">
        <v>250</v>
      </c>
      <c r="H3397" s="39">
        <f t="shared" si="212"/>
        <v>10097</v>
      </c>
      <c r="I3397" s="23" t="str">
        <f t="shared" si="213"/>
        <v>Pune</v>
      </c>
      <c r="J3397" s="23">
        <f>COUNTIFS(pg_transaction_cleaned!$O:$O,A3397,pg_transaction_cleaned!$F:$F,"CAPTURE")</f>
        <v>1</v>
      </c>
      <c r="K3397" s="39">
        <f>SUMIFS(pg_transaction_cleaned!$H:$H,pg_transaction_cleaned!$O:$O,A3397,pg_transaction_cleaned!$F:$F,"CAPTURE")</f>
        <v>10097</v>
      </c>
      <c r="L3397" s="23">
        <f>COUNTIFS(pg_transaction_cleaned!$O:$O,A3397,pg_transaction_cleaned!$F:$F,"REFUND")</f>
        <v>0</v>
      </c>
      <c r="M3397" s="39">
        <f>SUMIFS(pg_transaction_cleaned!$H:$H,pg_transaction_cleaned!$O:$O,A3397,pg_transaction_cleaned!$F:$F,"REFUND")</f>
        <v>0</v>
      </c>
      <c r="N3397" s="23" t="str">
        <f t="shared" si="214"/>
        <v>OK</v>
      </c>
      <c r="O3397" s="24">
        <f t="shared" si="215"/>
        <v>0</v>
      </c>
    </row>
    <row r="3398" spans="1:15" ht="15" customHeight="1" x14ac:dyDescent="0.3">
      <c r="A3398" s="23" t="s">
        <v>7293</v>
      </c>
      <c r="B3398" s="38">
        <v>46284</v>
      </c>
      <c r="C3398" s="23" t="s">
        <v>7294</v>
      </c>
      <c r="D3398" s="23" t="s">
        <v>91</v>
      </c>
      <c r="E3398" s="23" t="s">
        <v>81</v>
      </c>
      <c r="F3398" s="23" t="s">
        <v>315</v>
      </c>
      <c r="G3398" s="23" t="s">
        <v>250</v>
      </c>
      <c r="H3398" s="39">
        <f t="shared" si="212"/>
        <v>1499</v>
      </c>
      <c r="I3398" s="23" t="str">
        <f t="shared" si="213"/>
        <v>Pune</v>
      </c>
      <c r="J3398" s="23">
        <f>COUNTIFS(pg_transaction_cleaned!$O:$O,A3398,pg_transaction_cleaned!$F:$F,"CAPTURE")</f>
        <v>1</v>
      </c>
      <c r="K3398" s="39">
        <f>SUMIFS(pg_transaction_cleaned!$H:$H,pg_transaction_cleaned!$O:$O,A3398,pg_transaction_cleaned!$F:$F,"CAPTURE")</f>
        <v>1499</v>
      </c>
      <c r="L3398" s="23">
        <f>COUNTIFS(pg_transaction_cleaned!$O:$O,A3398,pg_transaction_cleaned!$F:$F,"REFUND")</f>
        <v>0</v>
      </c>
      <c r="M3398" s="39">
        <f>SUMIFS(pg_transaction_cleaned!$H:$H,pg_transaction_cleaned!$O:$O,A3398,pg_transaction_cleaned!$F:$F,"REFUND")</f>
        <v>0</v>
      </c>
      <c r="N3398" s="23" t="str">
        <f t="shared" si="214"/>
        <v>OK</v>
      </c>
      <c r="O3398" s="24">
        <f t="shared" si="215"/>
        <v>0</v>
      </c>
    </row>
    <row r="3399" spans="1:15" ht="15" customHeight="1" x14ac:dyDescent="0.3">
      <c r="A3399" s="23" t="s">
        <v>7295</v>
      </c>
      <c r="B3399" s="38">
        <v>46279</v>
      </c>
      <c r="C3399" s="23" t="s">
        <v>7296</v>
      </c>
      <c r="D3399" s="23" t="s">
        <v>95</v>
      </c>
      <c r="E3399" s="23" t="s">
        <v>79</v>
      </c>
      <c r="F3399" s="23" t="s">
        <v>249</v>
      </c>
      <c r="G3399" s="23" t="s">
        <v>250</v>
      </c>
      <c r="H3399" s="39">
        <f t="shared" si="212"/>
        <v>299</v>
      </c>
      <c r="I3399" s="23" t="str">
        <f t="shared" si="213"/>
        <v>Bengaluru</v>
      </c>
      <c r="J3399" s="23">
        <f>COUNTIFS(pg_transaction_cleaned!$O:$O,A3399,pg_transaction_cleaned!$F:$F,"CAPTURE")</f>
        <v>1</v>
      </c>
      <c r="K3399" s="39">
        <f>SUMIFS(pg_transaction_cleaned!$H:$H,pg_transaction_cleaned!$O:$O,A3399,pg_transaction_cleaned!$F:$F,"CAPTURE")</f>
        <v>299</v>
      </c>
      <c r="L3399" s="23">
        <f>COUNTIFS(pg_transaction_cleaned!$O:$O,A3399,pg_transaction_cleaned!$F:$F,"REFUND")</f>
        <v>0</v>
      </c>
      <c r="M3399" s="39">
        <f>SUMIFS(pg_transaction_cleaned!$H:$H,pg_transaction_cleaned!$O:$O,A3399,pg_transaction_cleaned!$F:$F,"REFUND")</f>
        <v>0</v>
      </c>
      <c r="N3399" s="23" t="str">
        <f t="shared" si="214"/>
        <v>OK</v>
      </c>
      <c r="O3399" s="24">
        <f t="shared" si="215"/>
        <v>0</v>
      </c>
    </row>
    <row r="3400" spans="1:15" ht="15" customHeight="1" x14ac:dyDescent="0.3">
      <c r="A3400" s="23" t="s">
        <v>7297</v>
      </c>
      <c r="B3400" s="38">
        <v>46278</v>
      </c>
      <c r="C3400" s="23" t="s">
        <v>7298</v>
      </c>
      <c r="D3400" s="23" t="s">
        <v>95</v>
      </c>
      <c r="E3400" s="23" t="s">
        <v>75</v>
      </c>
      <c r="F3400" s="23" t="s">
        <v>514</v>
      </c>
      <c r="G3400" s="23" t="s">
        <v>250</v>
      </c>
      <c r="H3400" s="39">
        <f t="shared" si="212"/>
        <v>6498</v>
      </c>
      <c r="I3400" s="23" t="str">
        <f t="shared" si="213"/>
        <v>Bengaluru</v>
      </c>
      <c r="J3400" s="23">
        <f>COUNTIFS(pg_transaction_cleaned!$O:$O,A3400,pg_transaction_cleaned!$F:$F,"CAPTURE")</f>
        <v>1</v>
      </c>
      <c r="K3400" s="39">
        <f>SUMIFS(pg_transaction_cleaned!$H:$H,pg_transaction_cleaned!$O:$O,A3400,pg_transaction_cleaned!$F:$F,"CAPTURE")</f>
        <v>6498</v>
      </c>
      <c r="L3400" s="23">
        <f>COUNTIFS(pg_transaction_cleaned!$O:$O,A3400,pg_transaction_cleaned!$F:$F,"REFUND")</f>
        <v>0</v>
      </c>
      <c r="M3400" s="39">
        <f>SUMIFS(pg_transaction_cleaned!$H:$H,pg_transaction_cleaned!$O:$O,A3400,pg_transaction_cleaned!$F:$F,"REFUND")</f>
        <v>0</v>
      </c>
      <c r="N3400" s="23" t="str">
        <f t="shared" si="214"/>
        <v>OK</v>
      </c>
      <c r="O3400" s="24">
        <f t="shared" si="215"/>
        <v>0</v>
      </c>
    </row>
    <row r="3401" spans="1:15" ht="15" customHeight="1" x14ac:dyDescent="0.3">
      <c r="A3401" s="23" t="s">
        <v>7299</v>
      </c>
      <c r="B3401" s="38">
        <v>46274</v>
      </c>
      <c r="C3401" s="23" t="s">
        <v>7300</v>
      </c>
      <c r="D3401" s="23" t="s">
        <v>89</v>
      </c>
      <c r="E3401" s="23" t="s">
        <v>75</v>
      </c>
      <c r="F3401" s="23" t="s">
        <v>300</v>
      </c>
      <c r="G3401" s="23" t="s">
        <v>250</v>
      </c>
      <c r="H3401" s="39">
        <f t="shared" si="212"/>
        <v>2598</v>
      </c>
      <c r="I3401" s="23" t="str">
        <f t="shared" si="213"/>
        <v>Jaipur</v>
      </c>
      <c r="J3401" s="23">
        <f>COUNTIFS(pg_transaction_cleaned!$O:$O,A3401,pg_transaction_cleaned!$F:$F,"CAPTURE")</f>
        <v>1</v>
      </c>
      <c r="K3401" s="39">
        <f>SUMIFS(pg_transaction_cleaned!$H:$H,pg_transaction_cleaned!$O:$O,A3401,pg_transaction_cleaned!$F:$F,"CAPTURE")</f>
        <v>2598</v>
      </c>
      <c r="L3401" s="23">
        <f>COUNTIFS(pg_transaction_cleaned!$O:$O,A3401,pg_transaction_cleaned!$F:$F,"REFUND")</f>
        <v>0</v>
      </c>
      <c r="M3401" s="39">
        <f>SUMIFS(pg_transaction_cleaned!$H:$H,pg_transaction_cleaned!$O:$O,A3401,pg_transaction_cleaned!$F:$F,"REFUND")</f>
        <v>0</v>
      </c>
      <c r="N3401" s="23" t="str">
        <f t="shared" si="214"/>
        <v>OK</v>
      </c>
      <c r="O3401" s="24">
        <f t="shared" si="215"/>
        <v>0</v>
      </c>
    </row>
    <row r="3402" spans="1:15" ht="15" customHeight="1" x14ac:dyDescent="0.3">
      <c r="A3402" s="23" t="s">
        <v>7301</v>
      </c>
      <c r="B3402" s="38">
        <v>46271</v>
      </c>
      <c r="C3402" s="23" t="s">
        <v>7302</v>
      </c>
      <c r="D3402" s="23" t="s">
        <v>92</v>
      </c>
      <c r="E3402" s="23" t="s">
        <v>75</v>
      </c>
      <c r="F3402" s="23" t="s">
        <v>329</v>
      </c>
      <c r="G3402" s="23" t="s">
        <v>250</v>
      </c>
      <c r="H3402" s="39">
        <f t="shared" si="212"/>
        <v>599</v>
      </c>
      <c r="I3402" s="23" t="str">
        <f t="shared" si="213"/>
        <v>Hyderabad</v>
      </c>
      <c r="J3402" s="23">
        <f>COUNTIFS(pg_transaction_cleaned!$O:$O,A3402,pg_transaction_cleaned!$F:$F,"CAPTURE")</f>
        <v>1</v>
      </c>
      <c r="K3402" s="39">
        <f>SUMIFS(pg_transaction_cleaned!$H:$H,pg_transaction_cleaned!$O:$O,A3402,pg_transaction_cleaned!$F:$F,"CAPTURE")</f>
        <v>599</v>
      </c>
      <c r="L3402" s="23">
        <f>COUNTIFS(pg_transaction_cleaned!$O:$O,A3402,pg_transaction_cleaned!$F:$F,"REFUND")</f>
        <v>0</v>
      </c>
      <c r="M3402" s="39">
        <f>SUMIFS(pg_transaction_cleaned!$H:$H,pg_transaction_cleaned!$O:$O,A3402,pg_transaction_cleaned!$F:$F,"REFUND")</f>
        <v>0</v>
      </c>
      <c r="N3402" s="23" t="str">
        <f t="shared" si="214"/>
        <v>OK</v>
      </c>
      <c r="O3402" s="24">
        <f t="shared" si="215"/>
        <v>0</v>
      </c>
    </row>
    <row r="3403" spans="1:15" ht="15" customHeight="1" x14ac:dyDescent="0.3">
      <c r="A3403" s="23" t="s">
        <v>7303</v>
      </c>
      <c r="B3403" s="38">
        <v>46279</v>
      </c>
      <c r="C3403" s="23" t="s">
        <v>7304</v>
      </c>
      <c r="D3403" s="23" t="s">
        <v>86</v>
      </c>
      <c r="E3403" s="23" t="s">
        <v>75</v>
      </c>
      <c r="F3403" s="23" t="s">
        <v>262</v>
      </c>
      <c r="G3403" s="23" t="s">
        <v>250</v>
      </c>
      <c r="H3403" s="39">
        <f t="shared" si="212"/>
        <v>499</v>
      </c>
      <c r="I3403" s="23" t="str">
        <f t="shared" si="213"/>
        <v>Delhi</v>
      </c>
      <c r="J3403" s="23">
        <f>COUNTIFS(pg_transaction_cleaned!$O:$O,A3403,pg_transaction_cleaned!$F:$F,"CAPTURE")</f>
        <v>1</v>
      </c>
      <c r="K3403" s="39">
        <f>SUMIFS(pg_transaction_cleaned!$H:$H,pg_transaction_cleaned!$O:$O,A3403,pg_transaction_cleaned!$F:$F,"CAPTURE")</f>
        <v>499</v>
      </c>
      <c r="L3403" s="23">
        <f>COUNTIFS(pg_transaction_cleaned!$O:$O,A3403,pg_transaction_cleaned!$F:$F,"REFUND")</f>
        <v>0</v>
      </c>
      <c r="M3403" s="39">
        <f>SUMIFS(pg_transaction_cleaned!$H:$H,pg_transaction_cleaned!$O:$O,A3403,pg_transaction_cleaned!$F:$F,"REFUND")</f>
        <v>0</v>
      </c>
      <c r="N3403" s="23" t="str">
        <f t="shared" si="214"/>
        <v>OK</v>
      </c>
      <c r="O3403" s="24">
        <f t="shared" si="215"/>
        <v>0</v>
      </c>
    </row>
    <row r="3404" spans="1:15" ht="15" customHeight="1" x14ac:dyDescent="0.3">
      <c r="A3404" s="23" t="s">
        <v>7305</v>
      </c>
      <c r="B3404" s="38">
        <v>46272</v>
      </c>
      <c r="C3404" s="23" t="s">
        <v>7306</v>
      </c>
      <c r="D3404" s="23" t="s">
        <v>94</v>
      </c>
      <c r="E3404" s="23" t="s">
        <v>75</v>
      </c>
      <c r="F3404" s="23" t="s">
        <v>787</v>
      </c>
      <c r="G3404" s="23" t="s">
        <v>318</v>
      </c>
      <c r="H3404" s="39">
        <f t="shared" si="212"/>
        <v>7997</v>
      </c>
      <c r="I3404" s="23" t="str">
        <f t="shared" si="213"/>
        <v>Chennai</v>
      </c>
      <c r="J3404" s="23">
        <f>COUNTIFS(pg_transaction_cleaned!$O:$O,A3404,pg_transaction_cleaned!$F:$F,"CAPTURE")</f>
        <v>0</v>
      </c>
      <c r="K3404" s="39">
        <f>SUMIFS(pg_transaction_cleaned!$H:$H,pg_transaction_cleaned!$O:$O,A3404,pg_transaction_cleaned!$F:$F,"CAPTURE")</f>
        <v>0</v>
      </c>
      <c r="L3404" s="23">
        <f>COUNTIFS(pg_transaction_cleaned!$O:$O,A3404,pg_transaction_cleaned!$F:$F,"REFUND")</f>
        <v>0</v>
      </c>
      <c r="M3404" s="39">
        <f>SUMIFS(pg_transaction_cleaned!$H:$H,pg_transaction_cleaned!$O:$O,A3404,pg_transaction_cleaned!$F:$F,"REFUND")</f>
        <v>0</v>
      </c>
      <c r="N3404" s="23" t="str">
        <f t="shared" si="214"/>
        <v>OK</v>
      </c>
      <c r="O3404" s="24">
        <f t="shared" si="215"/>
        <v>0</v>
      </c>
    </row>
    <row r="3405" spans="1:15" ht="15" customHeight="1" x14ac:dyDescent="0.3">
      <c r="A3405" s="23" t="s">
        <v>7307</v>
      </c>
      <c r="B3405" s="38">
        <v>46294</v>
      </c>
      <c r="C3405" s="23" t="s">
        <v>7308</v>
      </c>
      <c r="D3405" s="23" t="s">
        <v>87</v>
      </c>
      <c r="E3405" s="23" t="s">
        <v>79</v>
      </c>
      <c r="F3405" s="23" t="s">
        <v>249</v>
      </c>
      <c r="G3405" s="23" t="s">
        <v>250</v>
      </c>
      <c r="H3405" s="39">
        <f t="shared" si="212"/>
        <v>299</v>
      </c>
      <c r="I3405" s="23" t="str">
        <f t="shared" si="213"/>
        <v>Mumbai</v>
      </c>
      <c r="J3405" s="23">
        <f>COUNTIFS(pg_transaction_cleaned!$O:$O,A3405,pg_transaction_cleaned!$F:$F,"CAPTURE")</f>
        <v>1</v>
      </c>
      <c r="K3405" s="39">
        <f>SUMIFS(pg_transaction_cleaned!$H:$H,pg_transaction_cleaned!$O:$O,A3405,pg_transaction_cleaned!$F:$F,"CAPTURE")</f>
        <v>299</v>
      </c>
      <c r="L3405" s="23">
        <f>COUNTIFS(pg_transaction_cleaned!$O:$O,A3405,pg_transaction_cleaned!$F:$F,"REFUND")</f>
        <v>0</v>
      </c>
      <c r="M3405" s="39">
        <f>SUMIFS(pg_transaction_cleaned!$H:$H,pg_transaction_cleaned!$O:$O,A3405,pg_transaction_cleaned!$F:$F,"REFUND")</f>
        <v>0</v>
      </c>
      <c r="N3405" s="23" t="str">
        <f t="shared" si="214"/>
        <v>OK</v>
      </c>
      <c r="O3405" s="24">
        <f t="shared" si="215"/>
        <v>0</v>
      </c>
    </row>
    <row r="3406" spans="1:15" ht="15" customHeight="1" x14ac:dyDescent="0.3">
      <c r="A3406" s="23" t="s">
        <v>7309</v>
      </c>
      <c r="B3406" s="38">
        <v>46266</v>
      </c>
      <c r="C3406" s="23" t="s">
        <v>7310</v>
      </c>
      <c r="D3406" s="23" t="s">
        <v>93</v>
      </c>
      <c r="E3406" s="23" t="s">
        <v>75</v>
      </c>
      <c r="F3406" s="23" t="s">
        <v>294</v>
      </c>
      <c r="G3406" s="23" t="s">
        <v>250</v>
      </c>
      <c r="H3406" s="39">
        <f t="shared" si="212"/>
        <v>1799</v>
      </c>
      <c r="I3406" s="23" t="str">
        <f t="shared" si="213"/>
        <v>Kolkata</v>
      </c>
      <c r="J3406" s="23">
        <f>COUNTIFS(pg_transaction_cleaned!$O:$O,A3406,pg_transaction_cleaned!$F:$F,"CAPTURE")</f>
        <v>1</v>
      </c>
      <c r="K3406" s="39">
        <f>SUMIFS(pg_transaction_cleaned!$H:$H,pg_transaction_cleaned!$O:$O,A3406,pg_transaction_cleaned!$F:$F,"CAPTURE")</f>
        <v>1799</v>
      </c>
      <c r="L3406" s="23">
        <f>COUNTIFS(pg_transaction_cleaned!$O:$O,A3406,pg_transaction_cleaned!$F:$F,"REFUND")</f>
        <v>0</v>
      </c>
      <c r="M3406" s="39">
        <f>SUMIFS(pg_transaction_cleaned!$H:$H,pg_transaction_cleaned!$O:$O,A3406,pg_transaction_cleaned!$F:$F,"REFUND")</f>
        <v>0</v>
      </c>
      <c r="N3406" s="23" t="str">
        <f t="shared" si="214"/>
        <v>OK</v>
      </c>
      <c r="O3406" s="24">
        <f t="shared" si="215"/>
        <v>0</v>
      </c>
    </row>
    <row r="3407" spans="1:15" ht="15" customHeight="1" x14ac:dyDescent="0.3">
      <c r="A3407" s="23" t="s">
        <v>7311</v>
      </c>
      <c r="B3407" s="38">
        <v>46280</v>
      </c>
      <c r="C3407" s="23" t="s">
        <v>7312</v>
      </c>
      <c r="D3407" s="23" t="s">
        <v>89</v>
      </c>
      <c r="E3407" s="23" t="s">
        <v>75</v>
      </c>
      <c r="F3407" s="23" t="s">
        <v>271</v>
      </c>
      <c r="G3407" s="23" t="s">
        <v>250</v>
      </c>
      <c r="H3407" s="39">
        <f t="shared" si="212"/>
        <v>2499</v>
      </c>
      <c r="I3407" s="23" t="str">
        <f t="shared" si="213"/>
        <v>Jaipur</v>
      </c>
      <c r="J3407" s="23">
        <f>COUNTIFS(pg_transaction_cleaned!$O:$O,A3407,pg_transaction_cleaned!$F:$F,"CAPTURE")</f>
        <v>1</v>
      </c>
      <c r="K3407" s="39">
        <f>SUMIFS(pg_transaction_cleaned!$H:$H,pg_transaction_cleaned!$O:$O,A3407,pg_transaction_cleaned!$F:$F,"CAPTURE")</f>
        <v>2499</v>
      </c>
      <c r="L3407" s="23">
        <f>COUNTIFS(pg_transaction_cleaned!$O:$O,A3407,pg_transaction_cleaned!$F:$F,"REFUND")</f>
        <v>0</v>
      </c>
      <c r="M3407" s="39">
        <f>SUMIFS(pg_transaction_cleaned!$H:$H,pg_transaction_cleaned!$O:$O,A3407,pg_transaction_cleaned!$F:$F,"REFUND")</f>
        <v>0</v>
      </c>
      <c r="N3407" s="23" t="str">
        <f t="shared" si="214"/>
        <v>OK</v>
      </c>
      <c r="O3407" s="24">
        <f t="shared" si="215"/>
        <v>0</v>
      </c>
    </row>
    <row r="3408" spans="1:15" ht="15" customHeight="1" x14ac:dyDescent="0.3">
      <c r="A3408" s="23" t="s">
        <v>7313</v>
      </c>
      <c r="B3408" s="38">
        <v>46284</v>
      </c>
      <c r="C3408" s="23" t="s">
        <v>7314</v>
      </c>
      <c r="D3408" s="23" t="s">
        <v>87</v>
      </c>
      <c r="E3408" s="23" t="s">
        <v>75</v>
      </c>
      <c r="F3408" s="23" t="s">
        <v>2045</v>
      </c>
      <c r="G3408" s="23" t="s">
        <v>250</v>
      </c>
      <c r="H3408" s="39">
        <f t="shared" si="212"/>
        <v>698</v>
      </c>
      <c r="I3408" s="23" t="str">
        <f t="shared" si="213"/>
        <v>Mumbai</v>
      </c>
      <c r="J3408" s="23">
        <f>COUNTIFS(pg_transaction_cleaned!$O:$O,A3408,pg_transaction_cleaned!$F:$F,"CAPTURE")</f>
        <v>1</v>
      </c>
      <c r="K3408" s="39">
        <f>SUMIFS(pg_transaction_cleaned!$H:$H,pg_transaction_cleaned!$O:$O,A3408,pg_transaction_cleaned!$F:$F,"CAPTURE")</f>
        <v>698</v>
      </c>
      <c r="L3408" s="23">
        <f>COUNTIFS(pg_transaction_cleaned!$O:$O,A3408,pg_transaction_cleaned!$F:$F,"REFUND")</f>
        <v>0</v>
      </c>
      <c r="M3408" s="39">
        <f>SUMIFS(pg_transaction_cleaned!$H:$H,pg_transaction_cleaned!$O:$O,A3408,pg_transaction_cleaned!$F:$F,"REFUND")</f>
        <v>0</v>
      </c>
      <c r="N3408" s="23" t="str">
        <f t="shared" si="214"/>
        <v>OK</v>
      </c>
      <c r="O3408" s="24">
        <f t="shared" si="215"/>
        <v>0</v>
      </c>
    </row>
    <row r="3409" spans="1:15" ht="15" customHeight="1" x14ac:dyDescent="0.3">
      <c r="A3409" s="23" t="s">
        <v>7315</v>
      </c>
      <c r="B3409" s="38">
        <v>46284</v>
      </c>
      <c r="C3409" s="23" t="s">
        <v>7316</v>
      </c>
      <c r="D3409" s="23" t="s">
        <v>95</v>
      </c>
      <c r="E3409" s="23" t="s">
        <v>79</v>
      </c>
      <c r="F3409" s="23" t="s">
        <v>268</v>
      </c>
      <c r="G3409" s="23" t="s">
        <v>250</v>
      </c>
      <c r="H3409" s="39">
        <f t="shared" si="212"/>
        <v>1299</v>
      </c>
      <c r="I3409" s="23" t="str">
        <f t="shared" si="213"/>
        <v>Bengaluru</v>
      </c>
      <c r="J3409" s="23">
        <f>COUNTIFS(pg_transaction_cleaned!$O:$O,A3409,pg_transaction_cleaned!$F:$F,"CAPTURE")</f>
        <v>1</v>
      </c>
      <c r="K3409" s="39">
        <f>SUMIFS(pg_transaction_cleaned!$H:$H,pg_transaction_cleaned!$O:$O,A3409,pg_transaction_cleaned!$F:$F,"CAPTURE")</f>
        <v>1299</v>
      </c>
      <c r="L3409" s="23">
        <f>COUNTIFS(pg_transaction_cleaned!$O:$O,A3409,pg_transaction_cleaned!$F:$F,"REFUND")</f>
        <v>0</v>
      </c>
      <c r="M3409" s="39">
        <f>SUMIFS(pg_transaction_cleaned!$H:$H,pg_transaction_cleaned!$O:$O,A3409,pg_transaction_cleaned!$F:$F,"REFUND")</f>
        <v>0</v>
      </c>
      <c r="N3409" s="23" t="str">
        <f t="shared" si="214"/>
        <v>OK</v>
      </c>
      <c r="O3409" s="24">
        <f t="shared" si="215"/>
        <v>0</v>
      </c>
    </row>
    <row r="3410" spans="1:15" ht="15" customHeight="1" x14ac:dyDescent="0.3">
      <c r="A3410" s="23" t="s">
        <v>7317</v>
      </c>
      <c r="B3410" s="38">
        <v>46270</v>
      </c>
      <c r="C3410" s="23" t="s">
        <v>7318</v>
      </c>
      <c r="D3410" s="23" t="s">
        <v>88</v>
      </c>
      <c r="E3410" s="23" t="s">
        <v>79</v>
      </c>
      <c r="F3410" s="23" t="s">
        <v>1038</v>
      </c>
      <c r="G3410" s="23" t="s">
        <v>250</v>
      </c>
      <c r="H3410" s="39">
        <f t="shared" si="212"/>
        <v>3597</v>
      </c>
      <c r="I3410" s="23" t="str">
        <f t="shared" si="213"/>
        <v>Lucknow</v>
      </c>
      <c r="J3410" s="23">
        <f>COUNTIFS(pg_transaction_cleaned!$O:$O,A3410,pg_transaction_cleaned!$F:$F,"CAPTURE")</f>
        <v>1</v>
      </c>
      <c r="K3410" s="39">
        <f>SUMIFS(pg_transaction_cleaned!$H:$H,pg_transaction_cleaned!$O:$O,A3410,pg_transaction_cleaned!$F:$F,"CAPTURE")</f>
        <v>3597</v>
      </c>
      <c r="L3410" s="23">
        <f>COUNTIFS(pg_transaction_cleaned!$O:$O,A3410,pg_transaction_cleaned!$F:$F,"REFUND")</f>
        <v>0</v>
      </c>
      <c r="M3410" s="39">
        <f>SUMIFS(pg_transaction_cleaned!$H:$H,pg_transaction_cleaned!$O:$O,A3410,pg_transaction_cleaned!$F:$F,"REFUND")</f>
        <v>0</v>
      </c>
      <c r="N3410" s="23" t="str">
        <f t="shared" si="214"/>
        <v>OK</v>
      </c>
      <c r="O3410" s="24">
        <f t="shared" si="215"/>
        <v>0</v>
      </c>
    </row>
    <row r="3411" spans="1:15" ht="15" customHeight="1" x14ac:dyDescent="0.3">
      <c r="A3411" s="23" t="s">
        <v>7319</v>
      </c>
      <c r="B3411" s="38">
        <v>46289</v>
      </c>
      <c r="C3411" s="23" t="s">
        <v>7320</v>
      </c>
      <c r="D3411" s="23" t="s">
        <v>94</v>
      </c>
      <c r="E3411" s="23" t="s">
        <v>75</v>
      </c>
      <c r="F3411" s="23" t="s">
        <v>2205</v>
      </c>
      <c r="G3411" s="23" t="s">
        <v>250</v>
      </c>
      <c r="H3411" s="39">
        <f t="shared" si="212"/>
        <v>6998</v>
      </c>
      <c r="I3411" s="23" t="str">
        <f t="shared" si="213"/>
        <v>Chennai</v>
      </c>
      <c r="J3411" s="23">
        <f>COUNTIFS(pg_transaction_cleaned!$O:$O,A3411,pg_transaction_cleaned!$F:$F,"CAPTURE")</f>
        <v>1</v>
      </c>
      <c r="K3411" s="39">
        <f>SUMIFS(pg_transaction_cleaned!$H:$H,pg_transaction_cleaned!$O:$O,A3411,pg_transaction_cleaned!$F:$F,"CAPTURE")</f>
        <v>6998</v>
      </c>
      <c r="L3411" s="23">
        <f>COUNTIFS(pg_transaction_cleaned!$O:$O,A3411,pg_transaction_cleaned!$F:$F,"REFUND")</f>
        <v>0</v>
      </c>
      <c r="M3411" s="39">
        <f>SUMIFS(pg_transaction_cleaned!$H:$H,pg_transaction_cleaned!$O:$O,A3411,pg_transaction_cleaned!$F:$F,"REFUND")</f>
        <v>0</v>
      </c>
      <c r="N3411" s="23" t="str">
        <f t="shared" si="214"/>
        <v>OK</v>
      </c>
      <c r="O3411" s="24">
        <f t="shared" si="215"/>
        <v>0</v>
      </c>
    </row>
    <row r="3412" spans="1:15" ht="15" customHeight="1" x14ac:dyDescent="0.3">
      <c r="A3412" s="23" t="s">
        <v>7321</v>
      </c>
      <c r="B3412" s="38">
        <v>46275</v>
      </c>
      <c r="C3412" s="23" t="s">
        <v>7322</v>
      </c>
      <c r="D3412" s="23" t="s">
        <v>93</v>
      </c>
      <c r="E3412" s="23" t="s">
        <v>81</v>
      </c>
      <c r="F3412" s="23" t="s">
        <v>2337</v>
      </c>
      <c r="G3412" s="23" t="s">
        <v>318</v>
      </c>
      <c r="H3412" s="39">
        <f t="shared" si="212"/>
        <v>8348</v>
      </c>
      <c r="I3412" s="23" t="str">
        <f t="shared" si="213"/>
        <v>Kolkata</v>
      </c>
      <c r="J3412" s="23">
        <f>COUNTIFS(pg_transaction_cleaned!$O:$O,A3412,pg_transaction_cleaned!$F:$F,"CAPTURE")</f>
        <v>0</v>
      </c>
      <c r="K3412" s="39">
        <f>SUMIFS(pg_transaction_cleaned!$H:$H,pg_transaction_cleaned!$O:$O,A3412,pg_transaction_cleaned!$F:$F,"CAPTURE")</f>
        <v>0</v>
      </c>
      <c r="L3412" s="23">
        <f>COUNTIFS(pg_transaction_cleaned!$O:$O,A3412,pg_transaction_cleaned!$F:$F,"REFUND")</f>
        <v>0</v>
      </c>
      <c r="M3412" s="39">
        <f>SUMIFS(pg_transaction_cleaned!$H:$H,pg_transaction_cleaned!$O:$O,A3412,pg_transaction_cleaned!$F:$F,"REFUND")</f>
        <v>0</v>
      </c>
      <c r="N3412" s="23" t="str">
        <f t="shared" si="214"/>
        <v>OK</v>
      </c>
      <c r="O3412" s="24">
        <f t="shared" si="215"/>
        <v>0</v>
      </c>
    </row>
    <row r="3413" spans="1:15" ht="15" customHeight="1" x14ac:dyDescent="0.3">
      <c r="A3413" s="23" t="s">
        <v>7323</v>
      </c>
      <c r="B3413" s="38">
        <v>46281</v>
      </c>
      <c r="C3413" s="23" t="s">
        <v>7324</v>
      </c>
      <c r="D3413" s="23" t="s">
        <v>88</v>
      </c>
      <c r="E3413" s="23" t="s">
        <v>75</v>
      </c>
      <c r="F3413" s="23" t="s">
        <v>268</v>
      </c>
      <c r="G3413" s="23" t="s">
        <v>250</v>
      </c>
      <c r="H3413" s="39">
        <f t="shared" si="212"/>
        <v>1299</v>
      </c>
      <c r="I3413" s="23" t="str">
        <f t="shared" si="213"/>
        <v>Lucknow</v>
      </c>
      <c r="J3413" s="23">
        <f>COUNTIFS(pg_transaction_cleaned!$O:$O,A3413,pg_transaction_cleaned!$F:$F,"CAPTURE")</f>
        <v>1</v>
      </c>
      <c r="K3413" s="39">
        <f>SUMIFS(pg_transaction_cleaned!$H:$H,pg_transaction_cleaned!$O:$O,A3413,pg_transaction_cleaned!$F:$F,"CAPTURE")</f>
        <v>1299</v>
      </c>
      <c r="L3413" s="23">
        <f>COUNTIFS(pg_transaction_cleaned!$O:$O,A3413,pg_transaction_cleaned!$F:$F,"REFUND")</f>
        <v>0</v>
      </c>
      <c r="M3413" s="39">
        <f>SUMIFS(pg_transaction_cleaned!$H:$H,pg_transaction_cleaned!$O:$O,A3413,pg_transaction_cleaned!$F:$F,"REFUND")</f>
        <v>0</v>
      </c>
      <c r="N3413" s="23" t="str">
        <f t="shared" si="214"/>
        <v>OK</v>
      </c>
      <c r="O3413" s="24">
        <f t="shared" si="215"/>
        <v>0</v>
      </c>
    </row>
    <row r="3414" spans="1:15" ht="15" customHeight="1" x14ac:dyDescent="0.3">
      <c r="A3414" s="23" t="s">
        <v>7325</v>
      </c>
      <c r="B3414" s="38">
        <v>46282</v>
      </c>
      <c r="C3414" s="23" t="s">
        <v>7326</v>
      </c>
      <c r="D3414" s="23" t="s">
        <v>95</v>
      </c>
      <c r="E3414" s="23" t="s">
        <v>75</v>
      </c>
      <c r="F3414" s="23" t="s">
        <v>396</v>
      </c>
      <c r="G3414" s="23" t="s">
        <v>250</v>
      </c>
      <c r="H3414" s="39">
        <f t="shared" si="212"/>
        <v>2999</v>
      </c>
      <c r="I3414" s="23" t="str">
        <f t="shared" si="213"/>
        <v>Bengaluru</v>
      </c>
      <c r="J3414" s="23">
        <f>COUNTIFS(pg_transaction_cleaned!$O:$O,A3414,pg_transaction_cleaned!$F:$F,"CAPTURE")</f>
        <v>1</v>
      </c>
      <c r="K3414" s="39">
        <f>SUMIFS(pg_transaction_cleaned!$H:$H,pg_transaction_cleaned!$O:$O,A3414,pg_transaction_cleaned!$F:$F,"CAPTURE")</f>
        <v>2999</v>
      </c>
      <c r="L3414" s="23">
        <f>COUNTIFS(pg_transaction_cleaned!$O:$O,A3414,pg_transaction_cleaned!$F:$F,"REFUND")</f>
        <v>0</v>
      </c>
      <c r="M3414" s="39">
        <f>SUMIFS(pg_transaction_cleaned!$H:$H,pg_transaction_cleaned!$O:$O,A3414,pg_transaction_cleaned!$F:$F,"REFUND")</f>
        <v>0</v>
      </c>
      <c r="N3414" s="23" t="str">
        <f t="shared" si="214"/>
        <v>OK</v>
      </c>
      <c r="O3414" s="24">
        <f t="shared" si="215"/>
        <v>0</v>
      </c>
    </row>
    <row r="3415" spans="1:15" ht="15" customHeight="1" x14ac:dyDescent="0.3">
      <c r="A3415" s="23" t="s">
        <v>7327</v>
      </c>
      <c r="B3415" s="38">
        <v>46280</v>
      </c>
      <c r="C3415" s="23" t="s">
        <v>7328</v>
      </c>
      <c r="D3415" s="23" t="s">
        <v>88</v>
      </c>
      <c r="E3415" s="23" t="s">
        <v>75</v>
      </c>
      <c r="F3415" s="23" t="s">
        <v>274</v>
      </c>
      <c r="G3415" s="23" t="s">
        <v>250</v>
      </c>
      <c r="H3415" s="39">
        <f t="shared" si="212"/>
        <v>349</v>
      </c>
      <c r="I3415" s="23" t="str">
        <f t="shared" si="213"/>
        <v>Lucknow</v>
      </c>
      <c r="J3415" s="23">
        <f>COUNTIFS(pg_transaction_cleaned!$O:$O,A3415,pg_transaction_cleaned!$F:$F,"CAPTURE")</f>
        <v>1</v>
      </c>
      <c r="K3415" s="39">
        <f>SUMIFS(pg_transaction_cleaned!$H:$H,pg_transaction_cleaned!$O:$O,A3415,pg_transaction_cleaned!$F:$F,"CAPTURE")</f>
        <v>349</v>
      </c>
      <c r="L3415" s="23">
        <f>COUNTIFS(pg_transaction_cleaned!$O:$O,A3415,pg_transaction_cleaned!$F:$F,"REFUND")</f>
        <v>0</v>
      </c>
      <c r="M3415" s="39">
        <f>SUMIFS(pg_transaction_cleaned!$H:$H,pg_transaction_cleaned!$O:$O,A3415,pg_transaction_cleaned!$F:$F,"REFUND")</f>
        <v>0</v>
      </c>
      <c r="N3415" s="23" t="str">
        <f t="shared" si="214"/>
        <v>OK</v>
      </c>
      <c r="O3415" s="24">
        <f t="shared" si="215"/>
        <v>0</v>
      </c>
    </row>
    <row r="3416" spans="1:15" ht="15" customHeight="1" x14ac:dyDescent="0.3">
      <c r="A3416" s="23" t="s">
        <v>7329</v>
      </c>
      <c r="B3416" s="38">
        <v>46283</v>
      </c>
      <c r="C3416" s="23" t="s">
        <v>7330</v>
      </c>
      <c r="D3416" s="23" t="s">
        <v>92</v>
      </c>
      <c r="E3416" s="23" t="s">
        <v>75</v>
      </c>
      <c r="F3416" s="23" t="s">
        <v>587</v>
      </c>
      <c r="G3416" s="23" t="s">
        <v>250</v>
      </c>
      <c r="H3416" s="39">
        <f t="shared" si="212"/>
        <v>5297</v>
      </c>
      <c r="I3416" s="23" t="str">
        <f t="shared" si="213"/>
        <v>Hyderabad</v>
      </c>
      <c r="J3416" s="23">
        <f>COUNTIFS(pg_transaction_cleaned!$O:$O,A3416,pg_transaction_cleaned!$F:$F,"CAPTURE")</f>
        <v>1</v>
      </c>
      <c r="K3416" s="39">
        <f>SUMIFS(pg_transaction_cleaned!$H:$H,pg_transaction_cleaned!$O:$O,A3416,pg_transaction_cleaned!$F:$F,"CAPTURE")</f>
        <v>5297</v>
      </c>
      <c r="L3416" s="23">
        <f>COUNTIFS(pg_transaction_cleaned!$O:$O,A3416,pg_transaction_cleaned!$F:$F,"REFUND")</f>
        <v>0</v>
      </c>
      <c r="M3416" s="39">
        <f>SUMIFS(pg_transaction_cleaned!$H:$H,pg_transaction_cleaned!$O:$O,A3416,pg_transaction_cleaned!$F:$F,"REFUND")</f>
        <v>0</v>
      </c>
      <c r="N3416" s="23" t="str">
        <f t="shared" si="214"/>
        <v>OK</v>
      </c>
      <c r="O3416" s="24">
        <f t="shared" si="215"/>
        <v>0</v>
      </c>
    </row>
    <row r="3417" spans="1:15" ht="15" customHeight="1" x14ac:dyDescent="0.3">
      <c r="A3417" s="23" t="s">
        <v>7331</v>
      </c>
      <c r="B3417" s="38">
        <v>46270</v>
      </c>
      <c r="C3417" s="23" t="s">
        <v>7332</v>
      </c>
      <c r="D3417" s="23" t="s">
        <v>87</v>
      </c>
      <c r="E3417" s="23" t="s">
        <v>81</v>
      </c>
      <c r="F3417" s="23" t="s">
        <v>329</v>
      </c>
      <c r="G3417" s="23" t="s">
        <v>250</v>
      </c>
      <c r="H3417" s="39">
        <f t="shared" si="212"/>
        <v>599</v>
      </c>
      <c r="I3417" s="23" t="str">
        <f t="shared" si="213"/>
        <v>Mumbai</v>
      </c>
      <c r="J3417" s="23">
        <f>COUNTIFS(pg_transaction_cleaned!$O:$O,A3417,pg_transaction_cleaned!$F:$F,"CAPTURE")</f>
        <v>1</v>
      </c>
      <c r="K3417" s="39">
        <f>SUMIFS(pg_transaction_cleaned!$H:$H,pg_transaction_cleaned!$O:$O,A3417,pg_transaction_cleaned!$F:$F,"CAPTURE")</f>
        <v>599</v>
      </c>
      <c r="L3417" s="23">
        <f>COUNTIFS(pg_transaction_cleaned!$O:$O,A3417,pg_transaction_cleaned!$F:$F,"REFUND")</f>
        <v>0</v>
      </c>
      <c r="M3417" s="39">
        <f>SUMIFS(pg_transaction_cleaned!$H:$H,pg_transaction_cleaned!$O:$O,A3417,pg_transaction_cleaned!$F:$F,"REFUND")</f>
        <v>0</v>
      </c>
      <c r="N3417" s="23" t="str">
        <f t="shared" si="214"/>
        <v>OK</v>
      </c>
      <c r="O3417" s="24">
        <f t="shared" si="215"/>
        <v>0</v>
      </c>
    </row>
    <row r="3418" spans="1:15" ht="15" customHeight="1" x14ac:dyDescent="0.3">
      <c r="A3418" s="23" t="s">
        <v>7333</v>
      </c>
      <c r="B3418" s="38">
        <v>46268</v>
      </c>
      <c r="C3418" s="23" t="s">
        <v>7334</v>
      </c>
      <c r="D3418" s="23" t="s">
        <v>93</v>
      </c>
      <c r="E3418" s="23" t="s">
        <v>75</v>
      </c>
      <c r="F3418" s="23" t="s">
        <v>329</v>
      </c>
      <c r="G3418" s="23" t="s">
        <v>250</v>
      </c>
      <c r="H3418" s="39">
        <f t="shared" si="212"/>
        <v>599</v>
      </c>
      <c r="I3418" s="23" t="str">
        <f t="shared" si="213"/>
        <v>Kolkata</v>
      </c>
      <c r="J3418" s="23">
        <f>COUNTIFS(pg_transaction_cleaned!$O:$O,A3418,pg_transaction_cleaned!$F:$F,"CAPTURE")</f>
        <v>1</v>
      </c>
      <c r="K3418" s="39">
        <f>SUMIFS(pg_transaction_cleaned!$H:$H,pg_transaction_cleaned!$O:$O,A3418,pg_transaction_cleaned!$F:$F,"CAPTURE")</f>
        <v>599</v>
      </c>
      <c r="L3418" s="23">
        <f>COUNTIFS(pg_transaction_cleaned!$O:$O,A3418,pg_transaction_cleaned!$F:$F,"REFUND")</f>
        <v>0</v>
      </c>
      <c r="M3418" s="39">
        <f>SUMIFS(pg_transaction_cleaned!$H:$H,pg_transaction_cleaned!$O:$O,A3418,pg_transaction_cleaned!$F:$F,"REFUND")</f>
        <v>0</v>
      </c>
      <c r="N3418" s="23" t="str">
        <f t="shared" si="214"/>
        <v>OK</v>
      </c>
      <c r="O3418" s="24">
        <f t="shared" si="215"/>
        <v>0</v>
      </c>
    </row>
    <row r="3419" spans="1:15" ht="15" customHeight="1" x14ac:dyDescent="0.3">
      <c r="A3419" s="23" t="s">
        <v>7335</v>
      </c>
      <c r="B3419" s="38">
        <v>46266</v>
      </c>
      <c r="C3419" s="23" t="s">
        <v>7336</v>
      </c>
      <c r="D3419" s="23" t="s">
        <v>92</v>
      </c>
      <c r="E3419" s="23" t="s">
        <v>79</v>
      </c>
      <c r="F3419" s="23" t="s">
        <v>880</v>
      </c>
      <c r="G3419" s="23" t="s">
        <v>318</v>
      </c>
      <c r="H3419" s="39">
        <f t="shared" si="212"/>
        <v>2298</v>
      </c>
      <c r="I3419" s="23" t="str">
        <f t="shared" si="213"/>
        <v>Hyderabad</v>
      </c>
      <c r="J3419" s="23">
        <f>COUNTIFS(pg_transaction_cleaned!$O:$O,A3419,pg_transaction_cleaned!$F:$F,"CAPTURE")</f>
        <v>0</v>
      </c>
      <c r="K3419" s="39">
        <f>SUMIFS(pg_transaction_cleaned!$H:$H,pg_transaction_cleaned!$O:$O,A3419,pg_transaction_cleaned!$F:$F,"CAPTURE")</f>
        <v>0</v>
      </c>
      <c r="L3419" s="23">
        <f>COUNTIFS(pg_transaction_cleaned!$O:$O,A3419,pg_transaction_cleaned!$F:$F,"REFUND")</f>
        <v>0</v>
      </c>
      <c r="M3419" s="39">
        <f>SUMIFS(pg_transaction_cleaned!$H:$H,pg_transaction_cleaned!$O:$O,A3419,pg_transaction_cleaned!$F:$F,"REFUND")</f>
        <v>0</v>
      </c>
      <c r="N3419" s="23" t="str">
        <f t="shared" si="214"/>
        <v>OK</v>
      </c>
      <c r="O3419" s="24">
        <f t="shared" si="215"/>
        <v>0</v>
      </c>
    </row>
    <row r="3420" spans="1:15" ht="15" customHeight="1" x14ac:dyDescent="0.3">
      <c r="A3420" s="23" t="s">
        <v>7337</v>
      </c>
      <c r="B3420" s="38">
        <v>46284</v>
      </c>
      <c r="C3420" s="23" t="s">
        <v>7338</v>
      </c>
      <c r="D3420" s="23" t="s">
        <v>91</v>
      </c>
      <c r="E3420" s="23" t="s">
        <v>75</v>
      </c>
      <c r="F3420" s="23" t="s">
        <v>3464</v>
      </c>
      <c r="G3420" s="23" t="s">
        <v>250</v>
      </c>
      <c r="H3420" s="39">
        <f t="shared" si="212"/>
        <v>10097</v>
      </c>
      <c r="I3420" s="23" t="str">
        <f t="shared" si="213"/>
        <v>Pune</v>
      </c>
      <c r="J3420" s="23">
        <f>COUNTIFS(pg_transaction_cleaned!$O:$O,A3420,pg_transaction_cleaned!$F:$F,"CAPTURE")</f>
        <v>1</v>
      </c>
      <c r="K3420" s="39">
        <f>SUMIFS(pg_transaction_cleaned!$H:$H,pg_transaction_cleaned!$O:$O,A3420,pg_transaction_cleaned!$F:$F,"CAPTURE")</f>
        <v>10097</v>
      </c>
      <c r="L3420" s="23">
        <f>COUNTIFS(pg_transaction_cleaned!$O:$O,A3420,pg_transaction_cleaned!$F:$F,"REFUND")</f>
        <v>0</v>
      </c>
      <c r="M3420" s="39">
        <f>SUMIFS(pg_transaction_cleaned!$H:$H,pg_transaction_cleaned!$O:$O,A3420,pg_transaction_cleaned!$F:$F,"REFUND")</f>
        <v>0</v>
      </c>
      <c r="N3420" s="23" t="str">
        <f t="shared" si="214"/>
        <v>OK</v>
      </c>
      <c r="O3420" s="24">
        <f t="shared" si="215"/>
        <v>0</v>
      </c>
    </row>
    <row r="3421" spans="1:15" ht="15" customHeight="1" x14ac:dyDescent="0.3">
      <c r="A3421" s="23" t="s">
        <v>7339</v>
      </c>
      <c r="B3421" s="38">
        <v>46267</v>
      </c>
      <c r="C3421" s="23" t="s">
        <v>7340</v>
      </c>
      <c r="D3421" s="23" t="s">
        <v>89</v>
      </c>
      <c r="E3421" s="23" t="s">
        <v>79</v>
      </c>
      <c r="F3421" s="23" t="s">
        <v>582</v>
      </c>
      <c r="G3421" s="23" t="s">
        <v>365</v>
      </c>
      <c r="H3421" s="39">
        <f t="shared" si="212"/>
        <v>1298</v>
      </c>
      <c r="I3421" s="23" t="str">
        <f t="shared" si="213"/>
        <v>Jaipur</v>
      </c>
      <c r="J3421" s="23">
        <f>COUNTIFS(pg_transaction_cleaned!$O:$O,A3421,pg_transaction_cleaned!$F:$F,"CAPTURE")</f>
        <v>0</v>
      </c>
      <c r="K3421" s="39">
        <f>SUMIFS(pg_transaction_cleaned!$H:$H,pg_transaction_cleaned!$O:$O,A3421,pg_transaction_cleaned!$F:$F,"CAPTURE")</f>
        <v>0</v>
      </c>
      <c r="L3421" s="23">
        <f>COUNTIFS(pg_transaction_cleaned!$O:$O,A3421,pg_transaction_cleaned!$F:$F,"REFUND")</f>
        <v>0</v>
      </c>
      <c r="M3421" s="39">
        <f>SUMIFS(pg_transaction_cleaned!$H:$H,pg_transaction_cleaned!$O:$O,A3421,pg_transaction_cleaned!$F:$F,"REFUND")</f>
        <v>0</v>
      </c>
      <c r="N3421" s="23" t="str">
        <f t="shared" si="214"/>
        <v>OK</v>
      </c>
      <c r="O3421" s="24">
        <f t="shared" si="215"/>
        <v>0</v>
      </c>
    </row>
    <row r="3422" spans="1:15" ht="15" customHeight="1" x14ac:dyDescent="0.3">
      <c r="A3422" s="23" t="s">
        <v>7341</v>
      </c>
      <c r="B3422" s="38">
        <v>46295</v>
      </c>
      <c r="C3422" s="23" t="s">
        <v>7342</v>
      </c>
      <c r="D3422" s="23" t="s">
        <v>95</v>
      </c>
      <c r="E3422" s="23" t="s">
        <v>77</v>
      </c>
      <c r="F3422" s="23" t="s">
        <v>291</v>
      </c>
      <c r="G3422" s="23" t="s">
        <v>250</v>
      </c>
      <c r="H3422" s="39">
        <f t="shared" si="212"/>
        <v>3499</v>
      </c>
      <c r="I3422" s="23" t="str">
        <f t="shared" si="213"/>
        <v>Bengaluru</v>
      </c>
      <c r="J3422" s="23">
        <f>COUNTIFS(pg_transaction_cleaned!$O:$O,A3422,pg_transaction_cleaned!$F:$F,"CAPTURE")</f>
        <v>1</v>
      </c>
      <c r="K3422" s="39">
        <f>SUMIFS(pg_transaction_cleaned!$H:$H,pg_transaction_cleaned!$O:$O,A3422,pg_transaction_cleaned!$F:$F,"CAPTURE")</f>
        <v>3499</v>
      </c>
      <c r="L3422" s="23">
        <f>COUNTIFS(pg_transaction_cleaned!$O:$O,A3422,pg_transaction_cleaned!$F:$F,"REFUND")</f>
        <v>0</v>
      </c>
      <c r="M3422" s="39">
        <f>SUMIFS(pg_transaction_cleaned!$H:$H,pg_transaction_cleaned!$O:$O,A3422,pg_transaction_cleaned!$F:$F,"REFUND")</f>
        <v>0</v>
      </c>
      <c r="N3422" s="23" t="str">
        <f t="shared" si="214"/>
        <v>OK</v>
      </c>
      <c r="O3422" s="24">
        <f t="shared" si="215"/>
        <v>0</v>
      </c>
    </row>
    <row r="3423" spans="1:15" ht="15" customHeight="1" x14ac:dyDescent="0.3">
      <c r="A3423" s="23" t="s">
        <v>7343</v>
      </c>
      <c r="B3423" s="38">
        <v>46282</v>
      </c>
      <c r="C3423" s="23" t="s">
        <v>7344</v>
      </c>
      <c r="D3423" s="23" t="s">
        <v>86</v>
      </c>
      <c r="E3423" s="23" t="s">
        <v>75</v>
      </c>
      <c r="F3423" s="23" t="s">
        <v>1495</v>
      </c>
      <c r="G3423" s="23" t="s">
        <v>250</v>
      </c>
      <c r="H3423" s="39">
        <f t="shared" si="212"/>
        <v>7498</v>
      </c>
      <c r="I3423" s="23" t="str">
        <f t="shared" si="213"/>
        <v>Delhi</v>
      </c>
      <c r="J3423" s="23">
        <f>COUNTIFS(pg_transaction_cleaned!$O:$O,A3423,pg_transaction_cleaned!$F:$F,"CAPTURE")</f>
        <v>1</v>
      </c>
      <c r="K3423" s="39">
        <f>SUMIFS(pg_transaction_cleaned!$H:$H,pg_transaction_cleaned!$O:$O,A3423,pg_transaction_cleaned!$F:$F,"CAPTURE")</f>
        <v>7498</v>
      </c>
      <c r="L3423" s="23">
        <f>COUNTIFS(pg_transaction_cleaned!$O:$O,A3423,pg_transaction_cleaned!$F:$F,"REFUND")</f>
        <v>0</v>
      </c>
      <c r="M3423" s="39">
        <f>SUMIFS(pg_transaction_cleaned!$H:$H,pg_transaction_cleaned!$O:$O,A3423,pg_transaction_cleaned!$F:$F,"REFUND")</f>
        <v>0</v>
      </c>
      <c r="N3423" s="23" t="str">
        <f t="shared" si="214"/>
        <v>OK</v>
      </c>
      <c r="O3423" s="24">
        <f t="shared" si="215"/>
        <v>0</v>
      </c>
    </row>
    <row r="3424" spans="1:15" ht="15" customHeight="1" x14ac:dyDescent="0.3">
      <c r="A3424" s="23" t="s">
        <v>7345</v>
      </c>
      <c r="B3424" s="38">
        <v>46267</v>
      </c>
      <c r="C3424" s="23" t="s">
        <v>7346</v>
      </c>
      <c r="D3424" s="23" t="s">
        <v>86</v>
      </c>
      <c r="E3424" s="23" t="s">
        <v>75</v>
      </c>
      <c r="F3424" s="23" t="s">
        <v>553</v>
      </c>
      <c r="G3424" s="23" t="s">
        <v>365</v>
      </c>
      <c r="H3424" s="39">
        <f t="shared" si="212"/>
        <v>2798</v>
      </c>
      <c r="I3424" s="23" t="str">
        <f t="shared" si="213"/>
        <v>Delhi</v>
      </c>
      <c r="J3424" s="23">
        <f>COUNTIFS(pg_transaction_cleaned!$O:$O,A3424,pg_transaction_cleaned!$F:$F,"CAPTURE")</f>
        <v>0</v>
      </c>
      <c r="K3424" s="39">
        <f>SUMIFS(pg_transaction_cleaned!$H:$H,pg_transaction_cleaned!$O:$O,A3424,pg_transaction_cleaned!$F:$F,"CAPTURE")</f>
        <v>0</v>
      </c>
      <c r="L3424" s="23">
        <f>COUNTIFS(pg_transaction_cleaned!$O:$O,A3424,pg_transaction_cleaned!$F:$F,"REFUND")</f>
        <v>0</v>
      </c>
      <c r="M3424" s="39">
        <f>SUMIFS(pg_transaction_cleaned!$H:$H,pg_transaction_cleaned!$O:$O,A3424,pg_transaction_cleaned!$F:$F,"REFUND")</f>
        <v>0</v>
      </c>
      <c r="N3424" s="23" t="str">
        <f t="shared" si="214"/>
        <v>OK</v>
      </c>
      <c r="O3424" s="24">
        <f t="shared" si="215"/>
        <v>0</v>
      </c>
    </row>
    <row r="3425" spans="1:15" ht="15" customHeight="1" x14ac:dyDescent="0.3">
      <c r="A3425" s="23" t="s">
        <v>7347</v>
      </c>
      <c r="B3425" s="38">
        <v>46280</v>
      </c>
      <c r="C3425" s="23" t="s">
        <v>7348</v>
      </c>
      <c r="D3425" s="23" t="s">
        <v>93</v>
      </c>
      <c r="E3425" s="23" t="s">
        <v>79</v>
      </c>
      <c r="F3425" s="23" t="s">
        <v>297</v>
      </c>
      <c r="G3425" s="23" t="s">
        <v>365</v>
      </c>
      <c r="H3425" s="39">
        <f t="shared" si="212"/>
        <v>4999</v>
      </c>
      <c r="I3425" s="23" t="str">
        <f t="shared" si="213"/>
        <v>Kolkata</v>
      </c>
      <c r="J3425" s="23">
        <f>COUNTIFS(pg_transaction_cleaned!$O:$O,A3425,pg_transaction_cleaned!$F:$F,"CAPTURE")</f>
        <v>0</v>
      </c>
      <c r="K3425" s="39">
        <f>SUMIFS(pg_transaction_cleaned!$H:$H,pg_transaction_cleaned!$O:$O,A3425,pg_transaction_cleaned!$F:$F,"CAPTURE")</f>
        <v>0</v>
      </c>
      <c r="L3425" s="23">
        <f>COUNTIFS(pg_transaction_cleaned!$O:$O,A3425,pg_transaction_cleaned!$F:$F,"REFUND")</f>
        <v>0</v>
      </c>
      <c r="M3425" s="39">
        <f>SUMIFS(pg_transaction_cleaned!$H:$H,pg_transaction_cleaned!$O:$O,A3425,pg_transaction_cleaned!$F:$F,"REFUND")</f>
        <v>0</v>
      </c>
      <c r="N3425" s="23" t="str">
        <f t="shared" si="214"/>
        <v>OK</v>
      </c>
      <c r="O3425" s="24">
        <f t="shared" si="215"/>
        <v>0</v>
      </c>
    </row>
    <row r="3426" spans="1:15" ht="15" customHeight="1" x14ac:dyDescent="0.3">
      <c r="A3426" s="23" t="s">
        <v>7349</v>
      </c>
      <c r="B3426" s="38">
        <v>46275</v>
      </c>
      <c r="C3426" s="23" t="s">
        <v>7350</v>
      </c>
      <c r="D3426" s="23" t="s">
        <v>92</v>
      </c>
      <c r="E3426" s="23" t="s">
        <v>75</v>
      </c>
      <c r="F3426" s="23" t="s">
        <v>329</v>
      </c>
      <c r="G3426" s="23" t="s">
        <v>250</v>
      </c>
      <c r="H3426" s="39">
        <f t="shared" si="212"/>
        <v>599</v>
      </c>
      <c r="I3426" s="23" t="str">
        <f t="shared" si="213"/>
        <v>Hyderabad</v>
      </c>
      <c r="J3426" s="23">
        <f>COUNTIFS(pg_transaction_cleaned!$O:$O,A3426,pg_transaction_cleaned!$F:$F,"CAPTURE")</f>
        <v>1</v>
      </c>
      <c r="K3426" s="39">
        <f>SUMIFS(pg_transaction_cleaned!$H:$H,pg_transaction_cleaned!$O:$O,A3426,pg_transaction_cleaned!$F:$F,"CAPTURE")</f>
        <v>599</v>
      </c>
      <c r="L3426" s="23">
        <f>COUNTIFS(pg_transaction_cleaned!$O:$O,A3426,pg_transaction_cleaned!$F:$F,"REFUND")</f>
        <v>0</v>
      </c>
      <c r="M3426" s="39">
        <f>SUMIFS(pg_transaction_cleaned!$H:$H,pg_transaction_cleaned!$O:$O,A3426,pg_transaction_cleaned!$F:$F,"REFUND")</f>
        <v>0</v>
      </c>
      <c r="N3426" s="23" t="str">
        <f t="shared" si="214"/>
        <v>OK</v>
      </c>
      <c r="O3426" s="24">
        <f t="shared" si="215"/>
        <v>0</v>
      </c>
    </row>
    <row r="3427" spans="1:15" ht="15" customHeight="1" x14ac:dyDescent="0.3">
      <c r="A3427" s="23" t="s">
        <v>7351</v>
      </c>
      <c r="B3427" s="38">
        <v>46268</v>
      </c>
      <c r="C3427" s="23" t="s">
        <v>7352</v>
      </c>
      <c r="D3427" s="23" t="s">
        <v>89</v>
      </c>
      <c r="E3427" s="23" t="s">
        <v>79</v>
      </c>
      <c r="F3427" s="23" t="s">
        <v>271</v>
      </c>
      <c r="G3427" s="23" t="s">
        <v>250</v>
      </c>
      <c r="H3427" s="39">
        <f t="shared" si="212"/>
        <v>2499</v>
      </c>
      <c r="I3427" s="23" t="str">
        <f t="shared" si="213"/>
        <v>Jaipur</v>
      </c>
      <c r="J3427" s="23">
        <f>COUNTIFS(pg_transaction_cleaned!$O:$O,A3427,pg_transaction_cleaned!$F:$F,"CAPTURE")</f>
        <v>1</v>
      </c>
      <c r="K3427" s="39">
        <f>SUMIFS(pg_transaction_cleaned!$H:$H,pg_transaction_cleaned!$O:$O,A3427,pg_transaction_cleaned!$F:$F,"CAPTURE")</f>
        <v>2499</v>
      </c>
      <c r="L3427" s="23">
        <f>COUNTIFS(pg_transaction_cleaned!$O:$O,A3427,pg_transaction_cleaned!$F:$F,"REFUND")</f>
        <v>0</v>
      </c>
      <c r="M3427" s="39">
        <f>SUMIFS(pg_transaction_cleaned!$H:$H,pg_transaction_cleaned!$O:$O,A3427,pg_transaction_cleaned!$F:$F,"REFUND")</f>
        <v>0</v>
      </c>
      <c r="N3427" s="23" t="str">
        <f t="shared" si="214"/>
        <v>OK</v>
      </c>
      <c r="O3427" s="24">
        <f t="shared" si="215"/>
        <v>0</v>
      </c>
    </row>
    <row r="3428" spans="1:15" ht="15" customHeight="1" x14ac:dyDescent="0.3">
      <c r="A3428" s="23" t="s">
        <v>7353</v>
      </c>
      <c r="B3428" s="38">
        <v>46288</v>
      </c>
      <c r="C3428" s="23" t="s">
        <v>7354</v>
      </c>
      <c r="D3428" s="23" t="s">
        <v>86</v>
      </c>
      <c r="E3428" s="23" t="s">
        <v>79</v>
      </c>
      <c r="F3428" s="23" t="s">
        <v>274</v>
      </c>
      <c r="G3428" s="23" t="s">
        <v>250</v>
      </c>
      <c r="H3428" s="39">
        <f t="shared" si="212"/>
        <v>349</v>
      </c>
      <c r="I3428" s="23" t="str">
        <f t="shared" si="213"/>
        <v>Delhi</v>
      </c>
      <c r="J3428" s="23">
        <f>COUNTIFS(pg_transaction_cleaned!$O:$O,A3428,pg_transaction_cleaned!$F:$F,"CAPTURE")</f>
        <v>1</v>
      </c>
      <c r="K3428" s="39">
        <f>SUMIFS(pg_transaction_cleaned!$H:$H,pg_transaction_cleaned!$O:$O,A3428,pg_transaction_cleaned!$F:$F,"CAPTURE")</f>
        <v>349</v>
      </c>
      <c r="L3428" s="23">
        <f>COUNTIFS(pg_transaction_cleaned!$O:$O,A3428,pg_transaction_cleaned!$F:$F,"REFUND")</f>
        <v>0</v>
      </c>
      <c r="M3428" s="39">
        <f>SUMIFS(pg_transaction_cleaned!$H:$H,pg_transaction_cleaned!$O:$O,A3428,pg_transaction_cleaned!$F:$F,"REFUND")</f>
        <v>0</v>
      </c>
      <c r="N3428" s="23" t="str">
        <f t="shared" si="214"/>
        <v>OK</v>
      </c>
      <c r="O3428" s="24">
        <f t="shared" si="215"/>
        <v>0</v>
      </c>
    </row>
    <row r="3429" spans="1:15" ht="15" customHeight="1" x14ac:dyDescent="0.3">
      <c r="A3429" s="23" t="s">
        <v>7355</v>
      </c>
      <c r="B3429" s="38">
        <v>46291</v>
      </c>
      <c r="C3429" s="23" t="s">
        <v>7356</v>
      </c>
      <c r="D3429" s="23" t="s">
        <v>91</v>
      </c>
      <c r="E3429" s="23" t="s">
        <v>79</v>
      </c>
      <c r="F3429" s="23" t="s">
        <v>3066</v>
      </c>
      <c r="G3429" s="23" t="s">
        <v>250</v>
      </c>
      <c r="H3429" s="39">
        <f t="shared" si="212"/>
        <v>4497</v>
      </c>
      <c r="I3429" s="23" t="str">
        <f t="shared" si="213"/>
        <v>Pune</v>
      </c>
      <c r="J3429" s="23">
        <f>COUNTIFS(pg_transaction_cleaned!$O:$O,A3429,pg_transaction_cleaned!$F:$F,"CAPTURE")</f>
        <v>1</v>
      </c>
      <c r="K3429" s="39">
        <f>SUMIFS(pg_transaction_cleaned!$H:$H,pg_transaction_cleaned!$O:$O,A3429,pg_transaction_cleaned!$F:$F,"CAPTURE")</f>
        <v>4497</v>
      </c>
      <c r="L3429" s="23">
        <f>COUNTIFS(pg_transaction_cleaned!$O:$O,A3429,pg_transaction_cleaned!$F:$F,"REFUND")</f>
        <v>0</v>
      </c>
      <c r="M3429" s="39">
        <f>SUMIFS(pg_transaction_cleaned!$H:$H,pg_transaction_cleaned!$O:$O,A3429,pg_transaction_cleaned!$F:$F,"REFUND")</f>
        <v>0</v>
      </c>
      <c r="N3429" s="23" t="str">
        <f t="shared" si="214"/>
        <v>OK</v>
      </c>
      <c r="O3429" s="24">
        <f t="shared" si="215"/>
        <v>0</v>
      </c>
    </row>
    <row r="3430" spans="1:15" ht="15" customHeight="1" x14ac:dyDescent="0.3">
      <c r="A3430" s="23" t="s">
        <v>7357</v>
      </c>
      <c r="B3430" s="38">
        <v>46294</v>
      </c>
      <c r="C3430" s="23" t="s">
        <v>7358</v>
      </c>
      <c r="D3430" s="23" t="s">
        <v>92</v>
      </c>
      <c r="E3430" s="23" t="s">
        <v>75</v>
      </c>
      <c r="F3430" s="23" t="s">
        <v>249</v>
      </c>
      <c r="G3430" s="23" t="s">
        <v>250</v>
      </c>
      <c r="H3430" s="39">
        <f t="shared" si="212"/>
        <v>299</v>
      </c>
      <c r="I3430" s="23" t="str">
        <f t="shared" si="213"/>
        <v>Hyderabad</v>
      </c>
      <c r="J3430" s="23">
        <f>COUNTIFS(pg_transaction_cleaned!$O:$O,A3430,pg_transaction_cleaned!$F:$F,"CAPTURE")</f>
        <v>1</v>
      </c>
      <c r="K3430" s="39">
        <f>SUMIFS(pg_transaction_cleaned!$H:$H,pg_transaction_cleaned!$O:$O,A3430,pg_transaction_cleaned!$F:$F,"CAPTURE")</f>
        <v>299</v>
      </c>
      <c r="L3430" s="23">
        <f>COUNTIFS(pg_transaction_cleaned!$O:$O,A3430,pg_transaction_cleaned!$F:$F,"REFUND")</f>
        <v>0</v>
      </c>
      <c r="M3430" s="39">
        <f>SUMIFS(pg_transaction_cleaned!$H:$H,pg_transaction_cleaned!$O:$O,A3430,pg_transaction_cleaned!$F:$F,"REFUND")</f>
        <v>0</v>
      </c>
      <c r="N3430" s="23" t="str">
        <f t="shared" si="214"/>
        <v>OK</v>
      </c>
      <c r="O3430" s="24">
        <f t="shared" si="215"/>
        <v>0</v>
      </c>
    </row>
    <row r="3431" spans="1:15" ht="15" customHeight="1" x14ac:dyDescent="0.3">
      <c r="A3431" s="23" t="s">
        <v>7359</v>
      </c>
      <c r="B3431" s="38">
        <v>46279</v>
      </c>
      <c r="C3431" s="23" t="s">
        <v>7360</v>
      </c>
      <c r="D3431" s="23" t="s">
        <v>86</v>
      </c>
      <c r="E3431" s="23" t="s">
        <v>79</v>
      </c>
      <c r="F3431" s="23" t="s">
        <v>1804</v>
      </c>
      <c r="G3431" s="23" t="s">
        <v>250</v>
      </c>
      <c r="H3431" s="39">
        <f t="shared" si="212"/>
        <v>598</v>
      </c>
      <c r="I3431" s="23" t="str">
        <f t="shared" si="213"/>
        <v>Delhi</v>
      </c>
      <c r="J3431" s="23">
        <f>COUNTIFS(pg_transaction_cleaned!$O:$O,A3431,pg_transaction_cleaned!$F:$F,"CAPTURE")</f>
        <v>1</v>
      </c>
      <c r="K3431" s="39">
        <f>SUMIFS(pg_transaction_cleaned!$H:$H,pg_transaction_cleaned!$O:$O,A3431,pg_transaction_cleaned!$F:$F,"CAPTURE")</f>
        <v>598</v>
      </c>
      <c r="L3431" s="23">
        <f>COUNTIFS(pg_transaction_cleaned!$O:$O,A3431,pg_transaction_cleaned!$F:$F,"REFUND")</f>
        <v>0</v>
      </c>
      <c r="M3431" s="39">
        <f>SUMIFS(pg_transaction_cleaned!$H:$H,pg_transaction_cleaned!$O:$O,A3431,pg_transaction_cleaned!$F:$F,"REFUND")</f>
        <v>0</v>
      </c>
      <c r="N3431" s="23" t="str">
        <f t="shared" si="214"/>
        <v>OK</v>
      </c>
      <c r="O3431" s="24">
        <f t="shared" si="215"/>
        <v>0</v>
      </c>
    </row>
    <row r="3432" spans="1:15" ht="15" customHeight="1" x14ac:dyDescent="0.3">
      <c r="A3432" s="23" t="s">
        <v>7361</v>
      </c>
      <c r="B3432" s="38">
        <v>46280</v>
      </c>
      <c r="C3432" s="23" t="s">
        <v>7362</v>
      </c>
      <c r="D3432" s="23" t="s">
        <v>95</v>
      </c>
      <c r="E3432" s="23" t="s">
        <v>81</v>
      </c>
      <c r="F3432" s="23" t="s">
        <v>249</v>
      </c>
      <c r="G3432" s="23" t="s">
        <v>250</v>
      </c>
      <c r="H3432" s="39">
        <f t="shared" si="212"/>
        <v>299</v>
      </c>
      <c r="I3432" s="23" t="str">
        <f t="shared" si="213"/>
        <v>Bengaluru</v>
      </c>
      <c r="J3432" s="23">
        <f>COUNTIFS(pg_transaction_cleaned!$O:$O,A3432,pg_transaction_cleaned!$F:$F,"CAPTURE")</f>
        <v>1</v>
      </c>
      <c r="K3432" s="39">
        <f>SUMIFS(pg_transaction_cleaned!$H:$H,pg_transaction_cleaned!$O:$O,A3432,pg_transaction_cleaned!$F:$F,"CAPTURE")</f>
        <v>299</v>
      </c>
      <c r="L3432" s="23">
        <f>COUNTIFS(pg_transaction_cleaned!$O:$O,A3432,pg_transaction_cleaned!$F:$F,"REFUND")</f>
        <v>0</v>
      </c>
      <c r="M3432" s="39">
        <f>SUMIFS(pg_transaction_cleaned!$H:$H,pg_transaction_cleaned!$O:$O,A3432,pg_transaction_cleaned!$F:$F,"REFUND")</f>
        <v>0</v>
      </c>
      <c r="N3432" s="23" t="str">
        <f t="shared" si="214"/>
        <v>OK</v>
      </c>
      <c r="O3432" s="24">
        <f t="shared" si="215"/>
        <v>0</v>
      </c>
    </row>
    <row r="3433" spans="1:15" ht="15" customHeight="1" x14ac:dyDescent="0.3">
      <c r="A3433" s="23" t="s">
        <v>7363</v>
      </c>
      <c r="B3433" s="38">
        <v>46294</v>
      </c>
      <c r="C3433" s="23" t="s">
        <v>7364</v>
      </c>
      <c r="D3433" s="23" t="s">
        <v>91</v>
      </c>
      <c r="E3433" s="23" t="s">
        <v>77</v>
      </c>
      <c r="F3433" s="23" t="s">
        <v>271</v>
      </c>
      <c r="G3433" s="23" t="s">
        <v>250</v>
      </c>
      <c r="H3433" s="39">
        <f t="shared" si="212"/>
        <v>2499</v>
      </c>
      <c r="I3433" s="23" t="str">
        <f t="shared" si="213"/>
        <v>Pune</v>
      </c>
      <c r="J3433" s="23">
        <f>COUNTIFS(pg_transaction_cleaned!$O:$O,A3433,pg_transaction_cleaned!$F:$F,"CAPTURE")</f>
        <v>1</v>
      </c>
      <c r="K3433" s="39">
        <f>SUMIFS(pg_transaction_cleaned!$H:$H,pg_transaction_cleaned!$O:$O,A3433,pg_transaction_cleaned!$F:$F,"CAPTURE")</f>
        <v>2499</v>
      </c>
      <c r="L3433" s="23">
        <f>COUNTIFS(pg_transaction_cleaned!$O:$O,A3433,pg_transaction_cleaned!$F:$F,"REFUND")</f>
        <v>0</v>
      </c>
      <c r="M3433" s="39">
        <f>SUMIFS(pg_transaction_cleaned!$H:$H,pg_transaction_cleaned!$O:$O,A3433,pg_transaction_cleaned!$F:$F,"REFUND")</f>
        <v>0</v>
      </c>
      <c r="N3433" s="23" t="str">
        <f t="shared" si="214"/>
        <v>OK</v>
      </c>
      <c r="O3433" s="24">
        <f t="shared" si="215"/>
        <v>0</v>
      </c>
    </row>
    <row r="3434" spans="1:15" ht="15" customHeight="1" x14ac:dyDescent="0.3">
      <c r="A3434" s="23" t="s">
        <v>7365</v>
      </c>
      <c r="B3434" s="38">
        <v>46277</v>
      </c>
      <c r="C3434" s="23" t="s">
        <v>7366</v>
      </c>
      <c r="D3434" s="23" t="s">
        <v>94</v>
      </c>
      <c r="E3434" s="23" t="s">
        <v>77</v>
      </c>
      <c r="F3434" s="23" t="s">
        <v>262</v>
      </c>
      <c r="G3434" s="23" t="s">
        <v>250</v>
      </c>
      <c r="H3434" s="39">
        <f t="shared" si="212"/>
        <v>499</v>
      </c>
      <c r="I3434" s="23" t="str">
        <f t="shared" si="213"/>
        <v>Chennai</v>
      </c>
      <c r="J3434" s="23">
        <f>COUNTIFS(pg_transaction_cleaned!$O:$O,A3434,pg_transaction_cleaned!$F:$F,"CAPTURE")</f>
        <v>1</v>
      </c>
      <c r="K3434" s="39">
        <f>SUMIFS(pg_transaction_cleaned!$H:$H,pg_transaction_cleaned!$O:$O,A3434,pg_transaction_cleaned!$F:$F,"CAPTURE")</f>
        <v>499</v>
      </c>
      <c r="L3434" s="23">
        <f>COUNTIFS(pg_transaction_cleaned!$O:$O,A3434,pg_transaction_cleaned!$F:$F,"REFUND")</f>
        <v>0</v>
      </c>
      <c r="M3434" s="39">
        <f>SUMIFS(pg_transaction_cleaned!$H:$H,pg_transaction_cleaned!$O:$O,A3434,pg_transaction_cleaned!$F:$F,"REFUND")</f>
        <v>0</v>
      </c>
      <c r="N3434" s="23" t="str">
        <f t="shared" si="214"/>
        <v>OK</v>
      </c>
      <c r="O3434" s="24">
        <f t="shared" si="215"/>
        <v>0</v>
      </c>
    </row>
    <row r="3435" spans="1:15" ht="15" customHeight="1" x14ac:dyDescent="0.3">
      <c r="A3435" s="23" t="s">
        <v>7367</v>
      </c>
      <c r="B3435" s="38">
        <v>46266</v>
      </c>
      <c r="C3435" s="23" t="s">
        <v>7368</v>
      </c>
      <c r="D3435" s="23" t="s">
        <v>92</v>
      </c>
      <c r="E3435" s="23" t="s">
        <v>75</v>
      </c>
      <c r="F3435" s="23" t="s">
        <v>772</v>
      </c>
      <c r="G3435" s="23" t="s">
        <v>250</v>
      </c>
      <c r="H3435" s="39">
        <f t="shared" si="212"/>
        <v>4798</v>
      </c>
      <c r="I3435" s="23" t="str">
        <f t="shared" si="213"/>
        <v>Hyderabad</v>
      </c>
      <c r="J3435" s="23">
        <f>COUNTIFS(pg_transaction_cleaned!$O:$O,A3435,pg_transaction_cleaned!$F:$F,"CAPTURE")</f>
        <v>1</v>
      </c>
      <c r="K3435" s="39">
        <f>SUMIFS(pg_transaction_cleaned!$H:$H,pg_transaction_cleaned!$O:$O,A3435,pg_transaction_cleaned!$F:$F,"CAPTURE")</f>
        <v>4798</v>
      </c>
      <c r="L3435" s="23">
        <f>COUNTIFS(pg_transaction_cleaned!$O:$O,A3435,pg_transaction_cleaned!$F:$F,"REFUND")</f>
        <v>0</v>
      </c>
      <c r="M3435" s="39">
        <f>SUMIFS(pg_transaction_cleaned!$H:$H,pg_transaction_cleaned!$O:$O,A3435,pg_transaction_cleaned!$F:$F,"REFUND")</f>
        <v>0</v>
      </c>
      <c r="N3435" s="23" t="str">
        <f t="shared" si="214"/>
        <v>OK</v>
      </c>
      <c r="O3435" s="24">
        <f t="shared" si="215"/>
        <v>0</v>
      </c>
    </row>
    <row r="3436" spans="1:15" ht="15" customHeight="1" x14ac:dyDescent="0.3">
      <c r="A3436" s="23" t="s">
        <v>7369</v>
      </c>
      <c r="B3436" s="38">
        <v>46278</v>
      </c>
      <c r="C3436" s="23" t="s">
        <v>7370</v>
      </c>
      <c r="D3436" s="23" t="s">
        <v>93</v>
      </c>
      <c r="E3436" s="23" t="s">
        <v>75</v>
      </c>
      <c r="F3436" s="23" t="s">
        <v>1693</v>
      </c>
      <c r="G3436" s="23" t="s">
        <v>250</v>
      </c>
      <c r="H3436" s="39">
        <f t="shared" si="212"/>
        <v>4097</v>
      </c>
      <c r="I3436" s="23" t="str">
        <f t="shared" si="213"/>
        <v>Kolkata</v>
      </c>
      <c r="J3436" s="23">
        <f>COUNTIFS(pg_transaction_cleaned!$O:$O,A3436,pg_transaction_cleaned!$F:$F,"CAPTURE")</f>
        <v>1</v>
      </c>
      <c r="K3436" s="39">
        <f>SUMIFS(pg_transaction_cleaned!$H:$H,pg_transaction_cleaned!$O:$O,A3436,pg_transaction_cleaned!$F:$F,"CAPTURE")</f>
        <v>4097</v>
      </c>
      <c r="L3436" s="23">
        <f>COUNTIFS(pg_transaction_cleaned!$O:$O,A3436,pg_transaction_cleaned!$F:$F,"REFUND")</f>
        <v>0</v>
      </c>
      <c r="M3436" s="39">
        <f>SUMIFS(pg_transaction_cleaned!$H:$H,pg_transaction_cleaned!$O:$O,A3436,pg_transaction_cleaned!$F:$F,"REFUND")</f>
        <v>0</v>
      </c>
      <c r="N3436" s="23" t="str">
        <f t="shared" si="214"/>
        <v>OK</v>
      </c>
      <c r="O3436" s="24">
        <f t="shared" si="215"/>
        <v>0</v>
      </c>
    </row>
    <row r="3437" spans="1:15" ht="15" customHeight="1" x14ac:dyDescent="0.3">
      <c r="A3437" s="23" t="s">
        <v>7371</v>
      </c>
      <c r="B3437" s="38">
        <v>46273</v>
      </c>
      <c r="C3437" s="23" t="s">
        <v>7372</v>
      </c>
      <c r="D3437" s="23" t="s">
        <v>94</v>
      </c>
      <c r="E3437" s="23" t="s">
        <v>75</v>
      </c>
      <c r="F3437" s="23" t="s">
        <v>3464</v>
      </c>
      <c r="G3437" s="23" t="s">
        <v>301</v>
      </c>
      <c r="H3437" s="39">
        <f t="shared" si="212"/>
        <v>10097</v>
      </c>
      <c r="I3437" s="23" t="str">
        <f t="shared" si="213"/>
        <v>Chennai</v>
      </c>
      <c r="J3437" s="23">
        <f>COUNTIFS(pg_transaction_cleaned!$O:$O,A3437,pg_transaction_cleaned!$F:$F,"CAPTURE")</f>
        <v>1</v>
      </c>
      <c r="K3437" s="39">
        <f>SUMIFS(pg_transaction_cleaned!$H:$H,pg_transaction_cleaned!$O:$O,A3437,pg_transaction_cleaned!$F:$F,"CAPTURE")</f>
        <v>10097</v>
      </c>
      <c r="L3437" s="23">
        <f>COUNTIFS(pg_transaction_cleaned!$O:$O,A3437,pg_transaction_cleaned!$F:$F,"REFUND")</f>
        <v>1</v>
      </c>
      <c r="M3437" s="39">
        <f>SUMIFS(pg_transaction_cleaned!$H:$H,pg_transaction_cleaned!$O:$O,A3437,pg_transaction_cleaned!$F:$F,"REFUND")</f>
        <v>10097</v>
      </c>
      <c r="N3437" s="23" t="str">
        <f t="shared" si="214"/>
        <v>OK</v>
      </c>
      <c r="O3437" s="24">
        <f t="shared" si="215"/>
        <v>0</v>
      </c>
    </row>
    <row r="3438" spans="1:15" ht="15" customHeight="1" x14ac:dyDescent="0.3">
      <c r="A3438" s="23" t="s">
        <v>7373</v>
      </c>
      <c r="B3438" s="38">
        <v>46273</v>
      </c>
      <c r="C3438" s="23" t="s">
        <v>7374</v>
      </c>
      <c r="D3438" s="23" t="s">
        <v>95</v>
      </c>
      <c r="E3438" s="23" t="s">
        <v>79</v>
      </c>
      <c r="F3438" s="23" t="s">
        <v>265</v>
      </c>
      <c r="G3438" s="23" t="s">
        <v>250</v>
      </c>
      <c r="H3438" s="39">
        <f t="shared" si="212"/>
        <v>999</v>
      </c>
      <c r="I3438" s="23" t="str">
        <f t="shared" si="213"/>
        <v>Bengaluru</v>
      </c>
      <c r="J3438" s="23">
        <f>COUNTIFS(pg_transaction_cleaned!$O:$O,A3438,pg_transaction_cleaned!$F:$F,"CAPTURE")</f>
        <v>1</v>
      </c>
      <c r="K3438" s="39">
        <f>SUMIFS(pg_transaction_cleaned!$H:$H,pg_transaction_cleaned!$O:$O,A3438,pg_transaction_cleaned!$F:$F,"CAPTURE")</f>
        <v>999</v>
      </c>
      <c r="L3438" s="23">
        <f>COUNTIFS(pg_transaction_cleaned!$O:$O,A3438,pg_transaction_cleaned!$F:$F,"REFUND")</f>
        <v>0</v>
      </c>
      <c r="M3438" s="39">
        <f>SUMIFS(pg_transaction_cleaned!$H:$H,pg_transaction_cleaned!$O:$O,A3438,pg_transaction_cleaned!$F:$F,"REFUND")</f>
        <v>0</v>
      </c>
      <c r="N3438" s="23" t="str">
        <f t="shared" si="214"/>
        <v>OK</v>
      </c>
      <c r="O3438" s="24">
        <f t="shared" si="215"/>
        <v>0</v>
      </c>
    </row>
    <row r="3439" spans="1:15" ht="15" customHeight="1" x14ac:dyDescent="0.3">
      <c r="A3439" s="23" t="s">
        <v>7375</v>
      </c>
      <c r="B3439" s="38">
        <v>46289</v>
      </c>
      <c r="C3439" s="23" t="s">
        <v>7376</v>
      </c>
      <c r="D3439" s="23" t="s">
        <v>89</v>
      </c>
      <c r="E3439" s="23" t="s">
        <v>75</v>
      </c>
      <c r="F3439" s="23" t="s">
        <v>315</v>
      </c>
      <c r="G3439" s="23" t="s">
        <v>250</v>
      </c>
      <c r="H3439" s="39">
        <f t="shared" si="212"/>
        <v>1499</v>
      </c>
      <c r="I3439" s="23" t="str">
        <f t="shared" si="213"/>
        <v>Jaipur</v>
      </c>
      <c r="J3439" s="23">
        <f>COUNTIFS(pg_transaction_cleaned!$O:$O,A3439,pg_transaction_cleaned!$F:$F,"CAPTURE")</f>
        <v>1</v>
      </c>
      <c r="K3439" s="39">
        <f>SUMIFS(pg_transaction_cleaned!$H:$H,pg_transaction_cleaned!$O:$O,A3439,pg_transaction_cleaned!$F:$F,"CAPTURE")</f>
        <v>1499</v>
      </c>
      <c r="L3439" s="23">
        <f>COUNTIFS(pg_transaction_cleaned!$O:$O,A3439,pg_transaction_cleaned!$F:$F,"REFUND")</f>
        <v>0</v>
      </c>
      <c r="M3439" s="39">
        <f>SUMIFS(pg_transaction_cleaned!$H:$H,pg_transaction_cleaned!$O:$O,A3439,pg_transaction_cleaned!$F:$F,"REFUND")</f>
        <v>0</v>
      </c>
      <c r="N3439" s="23" t="str">
        <f t="shared" si="214"/>
        <v>OK</v>
      </c>
      <c r="O3439" s="24">
        <f t="shared" si="215"/>
        <v>0</v>
      </c>
    </row>
    <row r="3440" spans="1:15" ht="15" customHeight="1" x14ac:dyDescent="0.3">
      <c r="A3440" s="23" t="s">
        <v>7377</v>
      </c>
      <c r="B3440" s="38">
        <v>46279</v>
      </c>
      <c r="C3440" s="23" t="s">
        <v>7378</v>
      </c>
      <c r="D3440" s="23" t="s">
        <v>94</v>
      </c>
      <c r="E3440" s="23" t="s">
        <v>75</v>
      </c>
      <c r="F3440" s="23" t="s">
        <v>795</v>
      </c>
      <c r="G3440" s="23" t="s">
        <v>301</v>
      </c>
      <c r="H3440" s="39">
        <f t="shared" si="212"/>
        <v>1499</v>
      </c>
      <c r="I3440" s="23" t="str">
        <f t="shared" si="213"/>
        <v>Chennai</v>
      </c>
      <c r="J3440" s="23">
        <f>COUNTIFS(pg_transaction_cleaned!$O:$O,A3440,pg_transaction_cleaned!$F:$F,"CAPTURE")</f>
        <v>1</v>
      </c>
      <c r="K3440" s="39">
        <f>SUMIFS(pg_transaction_cleaned!$H:$H,pg_transaction_cleaned!$O:$O,A3440,pg_transaction_cleaned!$F:$F,"CAPTURE")</f>
        <v>1499</v>
      </c>
      <c r="L3440" s="23">
        <f>COUNTIFS(pg_transaction_cleaned!$O:$O,A3440,pg_transaction_cleaned!$F:$F,"REFUND")</f>
        <v>1</v>
      </c>
      <c r="M3440" s="39">
        <f>SUMIFS(pg_transaction_cleaned!$H:$H,pg_transaction_cleaned!$O:$O,A3440,pg_transaction_cleaned!$F:$F,"REFUND")</f>
        <v>1499</v>
      </c>
      <c r="N3440" s="23" t="str">
        <f t="shared" si="214"/>
        <v>OK</v>
      </c>
      <c r="O3440" s="24">
        <f t="shared" si="215"/>
        <v>0</v>
      </c>
    </row>
    <row r="3441" spans="1:15" ht="15" customHeight="1" x14ac:dyDescent="0.3">
      <c r="A3441" s="23" t="s">
        <v>7379</v>
      </c>
      <c r="B3441" s="38">
        <v>46290</v>
      </c>
      <c r="C3441" s="23" t="s">
        <v>7380</v>
      </c>
      <c r="D3441" s="23" t="s">
        <v>86</v>
      </c>
      <c r="E3441" s="23" t="s">
        <v>81</v>
      </c>
      <c r="F3441" s="23" t="s">
        <v>291</v>
      </c>
      <c r="G3441" s="23" t="s">
        <v>250</v>
      </c>
      <c r="H3441" s="39">
        <f t="shared" si="212"/>
        <v>3499</v>
      </c>
      <c r="I3441" s="23" t="str">
        <f t="shared" si="213"/>
        <v>Delhi</v>
      </c>
      <c r="J3441" s="23">
        <f>COUNTIFS(pg_transaction_cleaned!$O:$O,A3441,pg_transaction_cleaned!$F:$F,"CAPTURE")</f>
        <v>2</v>
      </c>
      <c r="K3441" s="39">
        <f>SUMIFS(pg_transaction_cleaned!$H:$H,pg_transaction_cleaned!$O:$O,A3441,pg_transaction_cleaned!$F:$F,"CAPTURE")</f>
        <v>6998</v>
      </c>
      <c r="L3441" s="23">
        <f>COUNTIFS(pg_transaction_cleaned!$O:$O,A3441,pg_transaction_cleaned!$F:$F,"REFUND")</f>
        <v>0</v>
      </c>
      <c r="M3441" s="39">
        <f>SUMIFS(pg_transaction_cleaned!$H:$H,pg_transaction_cleaned!$O:$O,A3441,pg_transaction_cleaned!$F:$F,"REFUND")</f>
        <v>0</v>
      </c>
      <c r="N3441" s="23" t="str">
        <f t="shared" si="214"/>
        <v>Duplicate charge</v>
      </c>
      <c r="O3441" s="24">
        <f t="shared" si="215"/>
        <v>3499</v>
      </c>
    </row>
    <row r="3442" spans="1:15" ht="15" customHeight="1" x14ac:dyDescent="0.3">
      <c r="A3442" s="23" t="s">
        <v>7381</v>
      </c>
      <c r="B3442" s="38">
        <v>46278</v>
      </c>
      <c r="C3442" s="23" t="s">
        <v>7382</v>
      </c>
      <c r="D3442" s="23" t="s">
        <v>94</v>
      </c>
      <c r="E3442" s="23" t="s">
        <v>75</v>
      </c>
      <c r="F3442" s="23" t="s">
        <v>256</v>
      </c>
      <c r="G3442" s="23" t="s">
        <v>250</v>
      </c>
      <c r="H3442" s="39">
        <f t="shared" si="212"/>
        <v>2098</v>
      </c>
      <c r="I3442" s="23" t="str">
        <f t="shared" si="213"/>
        <v>Chennai</v>
      </c>
      <c r="J3442" s="23">
        <f>COUNTIFS(pg_transaction_cleaned!$O:$O,A3442,pg_transaction_cleaned!$F:$F,"CAPTURE")</f>
        <v>1</v>
      </c>
      <c r="K3442" s="39">
        <f>SUMIFS(pg_transaction_cleaned!$H:$H,pg_transaction_cleaned!$O:$O,A3442,pg_transaction_cleaned!$F:$F,"CAPTURE")</f>
        <v>2098</v>
      </c>
      <c r="L3442" s="23">
        <f>COUNTIFS(pg_transaction_cleaned!$O:$O,A3442,pg_transaction_cleaned!$F:$F,"REFUND")</f>
        <v>0</v>
      </c>
      <c r="M3442" s="39">
        <f>SUMIFS(pg_transaction_cleaned!$H:$H,pg_transaction_cleaned!$O:$O,A3442,pg_transaction_cleaned!$F:$F,"REFUND")</f>
        <v>0</v>
      </c>
      <c r="N3442" s="23" t="str">
        <f t="shared" si="214"/>
        <v>OK</v>
      </c>
      <c r="O3442" s="24">
        <f t="shared" si="215"/>
        <v>0</v>
      </c>
    </row>
    <row r="3443" spans="1:15" ht="15" customHeight="1" x14ac:dyDescent="0.3">
      <c r="A3443" s="23" t="s">
        <v>7383</v>
      </c>
      <c r="B3443" s="38">
        <v>46295</v>
      </c>
      <c r="C3443" s="23" t="s">
        <v>7384</v>
      </c>
      <c r="D3443" s="23" t="s">
        <v>88</v>
      </c>
      <c r="E3443" s="23" t="s">
        <v>75</v>
      </c>
      <c r="F3443" s="23" t="s">
        <v>2304</v>
      </c>
      <c r="G3443" s="23" t="s">
        <v>250</v>
      </c>
      <c r="H3443" s="39">
        <f t="shared" si="212"/>
        <v>6797</v>
      </c>
      <c r="I3443" s="23" t="str">
        <f t="shared" si="213"/>
        <v>Lucknow</v>
      </c>
      <c r="J3443" s="23">
        <f>COUNTIFS(pg_transaction_cleaned!$O:$O,A3443,pg_transaction_cleaned!$F:$F,"CAPTURE")</f>
        <v>1</v>
      </c>
      <c r="K3443" s="39">
        <f>SUMIFS(pg_transaction_cleaned!$H:$H,pg_transaction_cleaned!$O:$O,A3443,pg_transaction_cleaned!$F:$F,"CAPTURE")</f>
        <v>6797</v>
      </c>
      <c r="L3443" s="23">
        <f>COUNTIFS(pg_transaction_cleaned!$O:$O,A3443,pg_transaction_cleaned!$F:$F,"REFUND")</f>
        <v>0</v>
      </c>
      <c r="M3443" s="39">
        <f>SUMIFS(pg_transaction_cleaned!$H:$H,pg_transaction_cleaned!$O:$O,A3443,pg_transaction_cleaned!$F:$F,"REFUND")</f>
        <v>0</v>
      </c>
      <c r="N3443" s="23" t="str">
        <f t="shared" si="214"/>
        <v>OK</v>
      </c>
      <c r="O3443" s="24">
        <f t="shared" si="215"/>
        <v>0</v>
      </c>
    </row>
    <row r="3444" spans="1:15" ht="15" customHeight="1" x14ac:dyDescent="0.3">
      <c r="A3444" s="23" t="s">
        <v>7385</v>
      </c>
      <c r="B3444" s="38">
        <v>46294</v>
      </c>
      <c r="C3444" s="23" t="s">
        <v>7386</v>
      </c>
      <c r="D3444" s="23" t="s">
        <v>88</v>
      </c>
      <c r="E3444" s="23" t="s">
        <v>75</v>
      </c>
      <c r="F3444" s="23" t="s">
        <v>405</v>
      </c>
      <c r="G3444" s="23" t="s">
        <v>250</v>
      </c>
      <c r="H3444" s="39">
        <f t="shared" si="212"/>
        <v>9298</v>
      </c>
      <c r="I3444" s="23" t="str">
        <f t="shared" si="213"/>
        <v>Lucknow</v>
      </c>
      <c r="J3444" s="23">
        <f>COUNTIFS(pg_transaction_cleaned!$O:$O,A3444,pg_transaction_cleaned!$F:$F,"CAPTURE")</f>
        <v>1</v>
      </c>
      <c r="K3444" s="39">
        <f>SUMIFS(pg_transaction_cleaned!$H:$H,pg_transaction_cleaned!$O:$O,A3444,pg_transaction_cleaned!$F:$F,"CAPTURE")</f>
        <v>9298</v>
      </c>
      <c r="L3444" s="23">
        <f>COUNTIFS(pg_transaction_cleaned!$O:$O,A3444,pg_transaction_cleaned!$F:$F,"REFUND")</f>
        <v>0</v>
      </c>
      <c r="M3444" s="39">
        <f>SUMIFS(pg_transaction_cleaned!$H:$H,pg_transaction_cleaned!$O:$O,A3444,pg_transaction_cleaned!$F:$F,"REFUND")</f>
        <v>0</v>
      </c>
      <c r="N3444" s="23" t="str">
        <f t="shared" si="214"/>
        <v>OK</v>
      </c>
      <c r="O3444" s="24">
        <f t="shared" si="215"/>
        <v>0</v>
      </c>
    </row>
    <row r="3445" spans="1:15" ht="15" customHeight="1" x14ac:dyDescent="0.3">
      <c r="A3445" s="23" t="s">
        <v>7387</v>
      </c>
      <c r="B3445" s="38">
        <v>46275</v>
      </c>
      <c r="C3445" s="23" t="s">
        <v>7388</v>
      </c>
      <c r="D3445" s="23" t="s">
        <v>95</v>
      </c>
      <c r="E3445" s="23" t="s">
        <v>75</v>
      </c>
      <c r="F3445" s="23" t="s">
        <v>343</v>
      </c>
      <c r="G3445" s="23" t="s">
        <v>250</v>
      </c>
      <c r="H3445" s="39">
        <f t="shared" si="212"/>
        <v>9498</v>
      </c>
      <c r="I3445" s="23" t="str">
        <f t="shared" si="213"/>
        <v>Bengaluru</v>
      </c>
      <c r="J3445" s="23">
        <f>COUNTIFS(pg_transaction_cleaned!$O:$O,A3445,pg_transaction_cleaned!$F:$F,"CAPTURE")</f>
        <v>1</v>
      </c>
      <c r="K3445" s="39">
        <f>SUMIFS(pg_transaction_cleaned!$H:$H,pg_transaction_cleaned!$O:$O,A3445,pg_transaction_cleaned!$F:$F,"CAPTURE")</f>
        <v>9498</v>
      </c>
      <c r="L3445" s="23">
        <f>COUNTIFS(pg_transaction_cleaned!$O:$O,A3445,pg_transaction_cleaned!$F:$F,"REFUND")</f>
        <v>0</v>
      </c>
      <c r="M3445" s="39">
        <f>SUMIFS(pg_transaction_cleaned!$H:$H,pg_transaction_cleaned!$O:$O,A3445,pg_transaction_cleaned!$F:$F,"REFUND")</f>
        <v>0</v>
      </c>
      <c r="N3445" s="23" t="str">
        <f t="shared" si="214"/>
        <v>OK</v>
      </c>
      <c r="O3445" s="24">
        <f t="shared" si="215"/>
        <v>0</v>
      </c>
    </row>
    <row r="3446" spans="1:15" ht="15" customHeight="1" x14ac:dyDescent="0.3">
      <c r="A3446" s="23" t="s">
        <v>7389</v>
      </c>
      <c r="B3446" s="38">
        <v>46277</v>
      </c>
      <c r="C3446" s="23" t="s">
        <v>7390</v>
      </c>
      <c r="D3446" s="23" t="s">
        <v>92</v>
      </c>
      <c r="E3446" s="23" t="s">
        <v>77</v>
      </c>
      <c r="F3446" s="23" t="s">
        <v>249</v>
      </c>
      <c r="G3446" s="23" t="s">
        <v>250</v>
      </c>
      <c r="H3446" s="39">
        <f t="shared" si="212"/>
        <v>299</v>
      </c>
      <c r="I3446" s="23" t="str">
        <f t="shared" si="213"/>
        <v>Hyderabad</v>
      </c>
      <c r="J3446" s="23">
        <f>COUNTIFS(pg_transaction_cleaned!$O:$O,A3446,pg_transaction_cleaned!$F:$F,"CAPTURE")</f>
        <v>1</v>
      </c>
      <c r="K3446" s="39">
        <f>SUMIFS(pg_transaction_cleaned!$H:$H,pg_transaction_cleaned!$O:$O,A3446,pg_transaction_cleaned!$F:$F,"CAPTURE")</f>
        <v>299</v>
      </c>
      <c r="L3446" s="23">
        <f>COUNTIFS(pg_transaction_cleaned!$O:$O,A3446,pg_transaction_cleaned!$F:$F,"REFUND")</f>
        <v>0</v>
      </c>
      <c r="M3446" s="39">
        <f>SUMIFS(pg_transaction_cleaned!$H:$H,pg_transaction_cleaned!$O:$O,A3446,pg_transaction_cleaned!$F:$F,"REFUND")</f>
        <v>0</v>
      </c>
      <c r="N3446" s="23" t="str">
        <f t="shared" si="214"/>
        <v>OK</v>
      </c>
      <c r="O3446" s="24">
        <f t="shared" si="215"/>
        <v>0</v>
      </c>
    </row>
    <row r="3447" spans="1:15" ht="15" customHeight="1" x14ac:dyDescent="0.3">
      <c r="A3447" s="23" t="s">
        <v>7391</v>
      </c>
      <c r="B3447" s="38">
        <v>46282</v>
      </c>
      <c r="C3447" s="23" t="s">
        <v>7392</v>
      </c>
      <c r="D3447" s="23" t="s">
        <v>92</v>
      </c>
      <c r="E3447" s="23" t="s">
        <v>75</v>
      </c>
      <c r="F3447" s="23" t="s">
        <v>880</v>
      </c>
      <c r="G3447" s="23" t="s">
        <v>301</v>
      </c>
      <c r="H3447" s="39">
        <f t="shared" si="212"/>
        <v>2298</v>
      </c>
      <c r="I3447" s="23" t="str">
        <f t="shared" si="213"/>
        <v>Hyderabad</v>
      </c>
      <c r="J3447" s="23">
        <f>COUNTIFS(pg_transaction_cleaned!$O:$O,A3447,pg_transaction_cleaned!$F:$F,"CAPTURE")</f>
        <v>1</v>
      </c>
      <c r="K3447" s="39">
        <f>SUMIFS(pg_transaction_cleaned!$H:$H,pg_transaction_cleaned!$O:$O,A3447,pg_transaction_cleaned!$F:$F,"CAPTURE")</f>
        <v>2298</v>
      </c>
      <c r="L3447" s="23">
        <f>COUNTIFS(pg_transaction_cleaned!$O:$O,A3447,pg_transaction_cleaned!$F:$F,"REFUND")</f>
        <v>1</v>
      </c>
      <c r="M3447" s="39">
        <f>SUMIFS(pg_transaction_cleaned!$H:$H,pg_transaction_cleaned!$O:$O,A3447,pg_transaction_cleaned!$F:$F,"REFUND")</f>
        <v>2298</v>
      </c>
      <c r="N3447" s="23" t="str">
        <f t="shared" si="214"/>
        <v>OK</v>
      </c>
      <c r="O3447" s="24">
        <f t="shared" si="215"/>
        <v>0</v>
      </c>
    </row>
    <row r="3448" spans="1:15" ht="15" customHeight="1" x14ac:dyDescent="0.3">
      <c r="A3448" s="23" t="s">
        <v>7393</v>
      </c>
      <c r="B3448" s="38">
        <v>46291</v>
      </c>
      <c r="C3448" s="23" t="s">
        <v>7394</v>
      </c>
      <c r="D3448" s="23" t="s">
        <v>89</v>
      </c>
      <c r="E3448" s="23" t="s">
        <v>79</v>
      </c>
      <c r="F3448" s="23" t="s">
        <v>475</v>
      </c>
      <c r="G3448" s="23" t="s">
        <v>250</v>
      </c>
      <c r="H3448" s="39">
        <f t="shared" si="212"/>
        <v>799</v>
      </c>
      <c r="I3448" s="23" t="str">
        <f t="shared" si="213"/>
        <v>Jaipur</v>
      </c>
      <c r="J3448" s="23">
        <f>COUNTIFS(pg_transaction_cleaned!$O:$O,A3448,pg_transaction_cleaned!$F:$F,"CAPTURE")</f>
        <v>1</v>
      </c>
      <c r="K3448" s="39">
        <f>SUMIFS(pg_transaction_cleaned!$H:$H,pg_transaction_cleaned!$O:$O,A3448,pg_transaction_cleaned!$F:$F,"CAPTURE")</f>
        <v>799</v>
      </c>
      <c r="L3448" s="23">
        <f>COUNTIFS(pg_transaction_cleaned!$O:$O,A3448,pg_transaction_cleaned!$F:$F,"REFUND")</f>
        <v>0</v>
      </c>
      <c r="M3448" s="39">
        <f>SUMIFS(pg_transaction_cleaned!$H:$H,pg_transaction_cleaned!$O:$O,A3448,pg_transaction_cleaned!$F:$F,"REFUND")</f>
        <v>0</v>
      </c>
      <c r="N3448" s="23" t="str">
        <f t="shared" si="214"/>
        <v>OK</v>
      </c>
      <c r="O3448" s="24">
        <f t="shared" si="215"/>
        <v>0</v>
      </c>
    </row>
    <row r="3449" spans="1:15" ht="15" customHeight="1" x14ac:dyDescent="0.3">
      <c r="A3449" s="23" t="s">
        <v>7395</v>
      </c>
      <c r="B3449" s="38">
        <v>46270</v>
      </c>
      <c r="C3449" s="23" t="s">
        <v>7396</v>
      </c>
      <c r="D3449" s="23" t="s">
        <v>92</v>
      </c>
      <c r="E3449" s="23" t="s">
        <v>79</v>
      </c>
      <c r="F3449" s="23" t="s">
        <v>262</v>
      </c>
      <c r="G3449" s="23" t="s">
        <v>250</v>
      </c>
      <c r="H3449" s="39">
        <f t="shared" si="212"/>
        <v>499</v>
      </c>
      <c r="I3449" s="23" t="str">
        <f t="shared" si="213"/>
        <v>Hyderabad</v>
      </c>
      <c r="J3449" s="23">
        <f>COUNTIFS(pg_transaction_cleaned!$O:$O,A3449,pg_transaction_cleaned!$F:$F,"CAPTURE")</f>
        <v>1</v>
      </c>
      <c r="K3449" s="39">
        <f>SUMIFS(pg_transaction_cleaned!$H:$H,pg_transaction_cleaned!$O:$O,A3449,pg_transaction_cleaned!$F:$F,"CAPTURE")</f>
        <v>499</v>
      </c>
      <c r="L3449" s="23">
        <f>COUNTIFS(pg_transaction_cleaned!$O:$O,A3449,pg_transaction_cleaned!$F:$F,"REFUND")</f>
        <v>0</v>
      </c>
      <c r="M3449" s="39">
        <f>SUMIFS(pg_transaction_cleaned!$H:$H,pg_transaction_cleaned!$O:$O,A3449,pg_transaction_cleaned!$F:$F,"REFUND")</f>
        <v>0</v>
      </c>
      <c r="N3449" s="23" t="str">
        <f t="shared" si="214"/>
        <v>OK</v>
      </c>
      <c r="O3449" s="24">
        <f t="shared" si="215"/>
        <v>0</v>
      </c>
    </row>
    <row r="3450" spans="1:15" ht="15" customHeight="1" x14ac:dyDescent="0.3">
      <c r="A3450" s="23" t="s">
        <v>7397</v>
      </c>
      <c r="B3450" s="38">
        <v>46285</v>
      </c>
      <c r="C3450" s="23" t="s">
        <v>7398</v>
      </c>
      <c r="D3450" s="23" t="s">
        <v>87</v>
      </c>
      <c r="E3450" s="23" t="s">
        <v>79</v>
      </c>
      <c r="F3450" s="23" t="s">
        <v>7399</v>
      </c>
      <c r="G3450" s="23" t="s">
        <v>250</v>
      </c>
      <c r="H3450" s="39">
        <f t="shared" si="212"/>
        <v>6497</v>
      </c>
      <c r="I3450" s="23" t="str">
        <f t="shared" si="213"/>
        <v>Mumbai</v>
      </c>
      <c r="J3450" s="23">
        <f>COUNTIFS(pg_transaction_cleaned!$O:$O,A3450,pg_transaction_cleaned!$F:$F,"CAPTURE")</f>
        <v>1</v>
      </c>
      <c r="K3450" s="39">
        <f>SUMIFS(pg_transaction_cleaned!$H:$H,pg_transaction_cleaned!$O:$O,A3450,pg_transaction_cleaned!$F:$F,"CAPTURE")</f>
        <v>6497</v>
      </c>
      <c r="L3450" s="23">
        <f>COUNTIFS(pg_transaction_cleaned!$O:$O,A3450,pg_transaction_cleaned!$F:$F,"REFUND")</f>
        <v>0</v>
      </c>
      <c r="M3450" s="39">
        <f>SUMIFS(pg_transaction_cleaned!$H:$H,pg_transaction_cleaned!$O:$O,A3450,pg_transaction_cleaned!$F:$F,"REFUND")</f>
        <v>0</v>
      </c>
      <c r="N3450" s="23" t="str">
        <f t="shared" si="214"/>
        <v>OK</v>
      </c>
      <c r="O3450" s="24">
        <f t="shared" si="215"/>
        <v>0</v>
      </c>
    </row>
    <row r="3451" spans="1:15" ht="15" customHeight="1" x14ac:dyDescent="0.3">
      <c r="A3451" s="23" t="s">
        <v>7400</v>
      </c>
      <c r="B3451" s="38">
        <v>46278</v>
      </c>
      <c r="C3451" s="23" t="s">
        <v>7401</v>
      </c>
      <c r="D3451" s="23" t="s">
        <v>91</v>
      </c>
      <c r="E3451" s="23" t="s">
        <v>81</v>
      </c>
      <c r="F3451" s="23" t="s">
        <v>478</v>
      </c>
      <c r="G3451" s="23" t="s">
        <v>250</v>
      </c>
      <c r="H3451" s="39">
        <f t="shared" si="212"/>
        <v>9297</v>
      </c>
      <c r="I3451" s="23" t="str">
        <f t="shared" si="213"/>
        <v>Pune</v>
      </c>
      <c r="J3451" s="23">
        <f>COUNTIFS(pg_transaction_cleaned!$O:$O,A3451,pg_transaction_cleaned!$F:$F,"CAPTURE")</f>
        <v>1</v>
      </c>
      <c r="K3451" s="39">
        <f>SUMIFS(pg_transaction_cleaned!$H:$H,pg_transaction_cleaned!$O:$O,A3451,pg_transaction_cleaned!$F:$F,"CAPTURE")</f>
        <v>9297</v>
      </c>
      <c r="L3451" s="23">
        <f>COUNTIFS(pg_transaction_cleaned!$O:$O,A3451,pg_transaction_cleaned!$F:$F,"REFUND")</f>
        <v>0</v>
      </c>
      <c r="M3451" s="39">
        <f>SUMIFS(pg_transaction_cleaned!$H:$H,pg_transaction_cleaned!$O:$O,A3451,pg_transaction_cleaned!$F:$F,"REFUND")</f>
        <v>0</v>
      </c>
      <c r="N3451" s="23" t="str">
        <f t="shared" si="214"/>
        <v>OK</v>
      </c>
      <c r="O3451" s="24">
        <f t="shared" si="215"/>
        <v>0</v>
      </c>
    </row>
    <row r="3452" spans="1:15" ht="15" customHeight="1" x14ac:dyDescent="0.3">
      <c r="A3452" s="23" t="s">
        <v>7402</v>
      </c>
      <c r="B3452" s="38">
        <v>46287</v>
      </c>
      <c r="C3452" s="23" t="s">
        <v>7403</v>
      </c>
      <c r="D3452" s="23" t="s">
        <v>86</v>
      </c>
      <c r="E3452" s="23" t="s">
        <v>79</v>
      </c>
      <c r="F3452" s="23" t="s">
        <v>2178</v>
      </c>
      <c r="G3452" s="23" t="s">
        <v>250</v>
      </c>
      <c r="H3452" s="39">
        <f t="shared" si="212"/>
        <v>8997</v>
      </c>
      <c r="I3452" s="23" t="str">
        <f t="shared" si="213"/>
        <v>Delhi</v>
      </c>
      <c r="J3452" s="23">
        <f>COUNTIFS(pg_transaction_cleaned!$O:$O,A3452,pg_transaction_cleaned!$F:$F,"CAPTURE")</f>
        <v>1</v>
      </c>
      <c r="K3452" s="39">
        <f>SUMIFS(pg_transaction_cleaned!$H:$H,pg_transaction_cleaned!$O:$O,A3452,pg_transaction_cleaned!$F:$F,"CAPTURE")</f>
        <v>8997</v>
      </c>
      <c r="L3452" s="23">
        <f>COUNTIFS(pg_transaction_cleaned!$O:$O,A3452,pg_transaction_cleaned!$F:$F,"REFUND")</f>
        <v>0</v>
      </c>
      <c r="M3452" s="39">
        <f>SUMIFS(pg_transaction_cleaned!$H:$H,pg_transaction_cleaned!$O:$O,A3452,pg_transaction_cleaned!$F:$F,"REFUND")</f>
        <v>0</v>
      </c>
      <c r="N3452" s="23" t="str">
        <f t="shared" si="214"/>
        <v>OK</v>
      </c>
      <c r="O3452" s="24">
        <f t="shared" si="215"/>
        <v>0</v>
      </c>
    </row>
    <row r="3453" spans="1:15" ht="15" customHeight="1" x14ac:dyDescent="0.3">
      <c r="A3453" s="23" t="s">
        <v>7404</v>
      </c>
      <c r="B3453" s="38">
        <v>46280</v>
      </c>
      <c r="C3453" s="23" t="s">
        <v>7405</v>
      </c>
      <c r="D3453" s="23" t="s">
        <v>95</v>
      </c>
      <c r="E3453" s="23" t="s">
        <v>75</v>
      </c>
      <c r="F3453" s="23" t="s">
        <v>249</v>
      </c>
      <c r="G3453" s="23" t="s">
        <v>250</v>
      </c>
      <c r="H3453" s="39">
        <f t="shared" si="212"/>
        <v>299</v>
      </c>
      <c r="I3453" s="23" t="str">
        <f t="shared" si="213"/>
        <v>Bengaluru</v>
      </c>
      <c r="J3453" s="23">
        <f>COUNTIFS(pg_transaction_cleaned!$O:$O,A3453,pg_transaction_cleaned!$F:$F,"CAPTURE")</f>
        <v>1</v>
      </c>
      <c r="K3453" s="39">
        <f>SUMIFS(pg_transaction_cleaned!$H:$H,pg_transaction_cleaned!$O:$O,A3453,pg_transaction_cleaned!$F:$F,"CAPTURE")</f>
        <v>299</v>
      </c>
      <c r="L3453" s="23">
        <f>COUNTIFS(pg_transaction_cleaned!$O:$O,A3453,pg_transaction_cleaned!$F:$F,"REFUND")</f>
        <v>0</v>
      </c>
      <c r="M3453" s="39">
        <f>SUMIFS(pg_transaction_cleaned!$H:$H,pg_transaction_cleaned!$O:$O,A3453,pg_transaction_cleaned!$F:$F,"REFUND")</f>
        <v>0</v>
      </c>
      <c r="N3453" s="23" t="str">
        <f t="shared" si="214"/>
        <v>OK</v>
      </c>
      <c r="O3453" s="24">
        <f t="shared" si="215"/>
        <v>0</v>
      </c>
    </row>
    <row r="3454" spans="1:15" ht="15" customHeight="1" x14ac:dyDescent="0.3">
      <c r="A3454" s="23" t="s">
        <v>7406</v>
      </c>
      <c r="B3454" s="38">
        <v>46276</v>
      </c>
      <c r="C3454" s="23" t="s">
        <v>7407</v>
      </c>
      <c r="D3454" s="23" t="s">
        <v>91</v>
      </c>
      <c r="E3454" s="23" t="s">
        <v>81</v>
      </c>
      <c r="F3454" s="23" t="s">
        <v>1315</v>
      </c>
      <c r="G3454" s="23" t="s">
        <v>250</v>
      </c>
      <c r="H3454" s="39">
        <f t="shared" si="212"/>
        <v>8297</v>
      </c>
      <c r="I3454" s="23" t="str">
        <f t="shared" si="213"/>
        <v>Pune</v>
      </c>
      <c r="J3454" s="23">
        <f>COUNTIFS(pg_transaction_cleaned!$O:$O,A3454,pg_transaction_cleaned!$F:$F,"CAPTURE")</f>
        <v>1</v>
      </c>
      <c r="K3454" s="39">
        <f>SUMIFS(pg_transaction_cleaned!$H:$H,pg_transaction_cleaned!$O:$O,A3454,pg_transaction_cleaned!$F:$F,"CAPTURE")</f>
        <v>8297</v>
      </c>
      <c r="L3454" s="23">
        <f>COUNTIFS(pg_transaction_cleaned!$O:$O,A3454,pg_transaction_cleaned!$F:$F,"REFUND")</f>
        <v>0</v>
      </c>
      <c r="M3454" s="39">
        <f>SUMIFS(pg_transaction_cleaned!$H:$H,pg_transaction_cleaned!$O:$O,A3454,pg_transaction_cleaned!$F:$F,"REFUND")</f>
        <v>0</v>
      </c>
      <c r="N3454" s="23" t="str">
        <f t="shared" si="214"/>
        <v>OK</v>
      </c>
      <c r="O3454" s="24">
        <f t="shared" si="215"/>
        <v>0</v>
      </c>
    </row>
    <row r="3455" spans="1:15" ht="15" customHeight="1" x14ac:dyDescent="0.3">
      <c r="A3455" s="23" t="s">
        <v>7408</v>
      </c>
      <c r="B3455" s="38">
        <v>46282</v>
      </c>
      <c r="C3455" s="23" t="s">
        <v>7409</v>
      </c>
      <c r="D3455" s="23" t="s">
        <v>93</v>
      </c>
      <c r="E3455" s="23" t="s">
        <v>75</v>
      </c>
      <c r="F3455" s="23" t="s">
        <v>259</v>
      </c>
      <c r="G3455" s="23" t="s">
        <v>250</v>
      </c>
      <c r="H3455" s="39">
        <f t="shared" si="212"/>
        <v>3298</v>
      </c>
      <c r="I3455" s="23" t="str">
        <f t="shared" si="213"/>
        <v>Kolkata</v>
      </c>
      <c r="J3455" s="23">
        <f>COUNTIFS(pg_transaction_cleaned!$O:$O,A3455,pg_transaction_cleaned!$F:$F,"CAPTURE")</f>
        <v>1</v>
      </c>
      <c r="K3455" s="39">
        <f>SUMIFS(pg_transaction_cleaned!$H:$H,pg_transaction_cleaned!$O:$O,A3455,pg_transaction_cleaned!$F:$F,"CAPTURE")</f>
        <v>3298</v>
      </c>
      <c r="L3455" s="23">
        <f>COUNTIFS(pg_transaction_cleaned!$O:$O,A3455,pg_transaction_cleaned!$F:$F,"REFUND")</f>
        <v>0</v>
      </c>
      <c r="M3455" s="39">
        <f>SUMIFS(pg_transaction_cleaned!$H:$H,pg_transaction_cleaned!$O:$O,A3455,pg_transaction_cleaned!$F:$F,"REFUND")</f>
        <v>0</v>
      </c>
      <c r="N3455" s="23" t="str">
        <f t="shared" si="214"/>
        <v>OK</v>
      </c>
      <c r="O3455" s="24">
        <f t="shared" si="215"/>
        <v>0</v>
      </c>
    </row>
    <row r="3456" spans="1:15" ht="15" customHeight="1" x14ac:dyDescent="0.3">
      <c r="A3456" s="23" t="s">
        <v>7410</v>
      </c>
      <c r="B3456" s="38">
        <v>46274</v>
      </c>
      <c r="C3456" s="23" t="s">
        <v>7411</v>
      </c>
      <c r="D3456" s="23" t="s">
        <v>86</v>
      </c>
      <c r="E3456" s="23" t="s">
        <v>81</v>
      </c>
      <c r="F3456" s="23" t="s">
        <v>265</v>
      </c>
      <c r="G3456" s="23" t="s">
        <v>250</v>
      </c>
      <c r="H3456" s="39">
        <f t="shared" si="212"/>
        <v>999</v>
      </c>
      <c r="I3456" s="23" t="str">
        <f t="shared" si="213"/>
        <v>Delhi</v>
      </c>
      <c r="J3456" s="23">
        <f>COUNTIFS(pg_transaction_cleaned!$O:$O,A3456,pg_transaction_cleaned!$F:$F,"CAPTURE")</f>
        <v>1</v>
      </c>
      <c r="K3456" s="39">
        <f>SUMIFS(pg_transaction_cleaned!$H:$H,pg_transaction_cleaned!$O:$O,A3456,pg_transaction_cleaned!$F:$F,"CAPTURE")</f>
        <v>999</v>
      </c>
      <c r="L3456" s="23">
        <f>COUNTIFS(pg_transaction_cleaned!$O:$O,A3456,pg_transaction_cleaned!$F:$F,"REFUND")</f>
        <v>0</v>
      </c>
      <c r="M3456" s="39">
        <f>SUMIFS(pg_transaction_cleaned!$H:$H,pg_transaction_cleaned!$O:$O,A3456,pg_transaction_cleaned!$F:$F,"REFUND")</f>
        <v>0</v>
      </c>
      <c r="N3456" s="23" t="str">
        <f t="shared" si="214"/>
        <v>OK</v>
      </c>
      <c r="O3456" s="24">
        <f t="shared" si="215"/>
        <v>0</v>
      </c>
    </row>
    <row r="3457" spans="1:15" ht="15" customHeight="1" x14ac:dyDescent="0.3">
      <c r="A3457" s="23" t="s">
        <v>7412</v>
      </c>
      <c r="B3457" s="38">
        <v>46268</v>
      </c>
      <c r="C3457" s="23" t="s">
        <v>7413</v>
      </c>
      <c r="D3457" s="23" t="s">
        <v>92</v>
      </c>
      <c r="E3457" s="23" t="s">
        <v>75</v>
      </c>
      <c r="F3457" s="23" t="s">
        <v>310</v>
      </c>
      <c r="G3457" s="23" t="s">
        <v>250</v>
      </c>
      <c r="H3457" s="39">
        <f t="shared" si="212"/>
        <v>7999</v>
      </c>
      <c r="I3457" s="23" t="str">
        <f t="shared" si="213"/>
        <v>Hyderabad</v>
      </c>
      <c r="J3457" s="23">
        <f>COUNTIFS(pg_transaction_cleaned!$O:$O,A3457,pg_transaction_cleaned!$F:$F,"CAPTURE")</f>
        <v>1</v>
      </c>
      <c r="K3457" s="39">
        <f>SUMIFS(pg_transaction_cleaned!$H:$H,pg_transaction_cleaned!$O:$O,A3457,pg_transaction_cleaned!$F:$F,"CAPTURE")</f>
        <v>7999</v>
      </c>
      <c r="L3457" s="23">
        <f>COUNTIFS(pg_transaction_cleaned!$O:$O,A3457,pg_transaction_cleaned!$F:$F,"REFUND")</f>
        <v>0</v>
      </c>
      <c r="M3457" s="39">
        <f>SUMIFS(pg_transaction_cleaned!$H:$H,pg_transaction_cleaned!$O:$O,A3457,pg_transaction_cleaned!$F:$F,"REFUND")</f>
        <v>0</v>
      </c>
      <c r="N3457" s="23" t="str">
        <f t="shared" si="214"/>
        <v>OK</v>
      </c>
      <c r="O3457" s="24">
        <f t="shared" si="215"/>
        <v>0</v>
      </c>
    </row>
    <row r="3458" spans="1:15" ht="15" customHeight="1" x14ac:dyDescent="0.3">
      <c r="A3458" s="23" t="s">
        <v>7414</v>
      </c>
      <c r="B3458" s="38">
        <v>46268</v>
      </c>
      <c r="C3458" s="23" t="s">
        <v>7415</v>
      </c>
      <c r="D3458" s="23" t="s">
        <v>92</v>
      </c>
      <c r="E3458" s="23" t="s">
        <v>79</v>
      </c>
      <c r="F3458" s="23" t="s">
        <v>1021</v>
      </c>
      <c r="G3458" s="23" t="s">
        <v>250</v>
      </c>
      <c r="H3458" s="39">
        <f t="shared" ref="H3458:H3521" si="216">VALUE(SUBSTITUTE(F3458,",",""))</f>
        <v>9097</v>
      </c>
      <c r="I3458" s="23" t="str">
        <f t="shared" ref="I3458:I3521" si="217">IF(TRIM(D3458)="","Unknown",TRIM(D3458))</f>
        <v>Hyderabad</v>
      </c>
      <c r="J3458" s="23">
        <f>COUNTIFS(pg_transaction_cleaned!$O:$O,A3458,pg_transaction_cleaned!$F:$F,"CAPTURE")</f>
        <v>1</v>
      </c>
      <c r="K3458" s="39">
        <f>SUMIFS(pg_transaction_cleaned!$H:$H,pg_transaction_cleaned!$O:$O,A3458,pg_transaction_cleaned!$F:$F,"CAPTURE")</f>
        <v>9097</v>
      </c>
      <c r="L3458" s="23">
        <f>COUNTIFS(pg_transaction_cleaned!$O:$O,A3458,pg_transaction_cleaned!$F:$F,"REFUND")</f>
        <v>0</v>
      </c>
      <c r="M3458" s="39">
        <f>SUMIFS(pg_transaction_cleaned!$H:$H,pg_transaction_cleaned!$O:$O,A3458,pg_transaction_cleaned!$F:$F,"REFUND")</f>
        <v>0</v>
      </c>
      <c r="N3458" s="23" t="str">
        <f t="shared" ref="N3458:N3521" si="218">IF(AND(G3458="Paid",J3458=0),"Paid, no payment",IF(AND(OR(G3458="Failed",G3458="Cancelled"),J3458&gt;0),"Payment on failed/cancelled",IF(J3458&gt;1,"Duplicate charge",IF(AND(J3458=1,ROUND(K3458-H3458,2)&lt;&gt;0),"Amount difference",IF(AND(G3458="Refunded",L3458=0),"Refunded, no refund",IF(AND(G3458&lt;&gt;"Refunded",L3458&gt;0),"Refund, order not Refunded",IF(AND(L3458&gt;0,ROUND(M3458-H3458,2)&lt;&gt;0),"Refund amount differs","OK")))))))</f>
        <v>OK</v>
      </c>
      <c r="O3458" s="24">
        <f t="shared" ref="O3458:O3521" si="219">IF(N3458="OK",0,IF(N3458="Paid, no payment",H3458,IF(N3458="Payment on failed/cancelled",K3458,IF(OR(N3458="Duplicate charge",N3458="Amount difference"),K3458-H3458,IF(N3458="Refunded, no refund",H3458,M3458)))))</f>
        <v>0</v>
      </c>
    </row>
    <row r="3459" spans="1:15" ht="15" customHeight="1" x14ac:dyDescent="0.3">
      <c r="A3459" s="23" t="s">
        <v>7416</v>
      </c>
      <c r="B3459" s="38">
        <v>46285</v>
      </c>
      <c r="C3459" s="23" t="s">
        <v>7417</v>
      </c>
      <c r="D3459" s="23" t="s">
        <v>91</v>
      </c>
      <c r="E3459" s="23" t="s">
        <v>75</v>
      </c>
      <c r="F3459" s="23" t="s">
        <v>2086</v>
      </c>
      <c r="G3459" s="23" t="s">
        <v>250</v>
      </c>
      <c r="H3459" s="39">
        <f t="shared" si="216"/>
        <v>3397</v>
      </c>
      <c r="I3459" s="23" t="str">
        <f t="shared" si="217"/>
        <v>Pune</v>
      </c>
      <c r="J3459" s="23">
        <f>COUNTIFS(pg_transaction_cleaned!$O:$O,A3459,pg_transaction_cleaned!$F:$F,"CAPTURE")</f>
        <v>1</v>
      </c>
      <c r="K3459" s="39">
        <f>SUMIFS(pg_transaction_cleaned!$H:$H,pg_transaction_cleaned!$O:$O,A3459,pg_transaction_cleaned!$F:$F,"CAPTURE")</f>
        <v>3397</v>
      </c>
      <c r="L3459" s="23">
        <f>COUNTIFS(pg_transaction_cleaned!$O:$O,A3459,pg_transaction_cleaned!$F:$F,"REFUND")</f>
        <v>0</v>
      </c>
      <c r="M3459" s="39">
        <f>SUMIFS(pg_transaction_cleaned!$H:$H,pg_transaction_cleaned!$O:$O,A3459,pg_transaction_cleaned!$F:$F,"REFUND")</f>
        <v>0</v>
      </c>
      <c r="N3459" s="23" t="str">
        <f t="shared" si="218"/>
        <v>OK</v>
      </c>
      <c r="O3459" s="24">
        <f t="shared" si="219"/>
        <v>0</v>
      </c>
    </row>
    <row r="3460" spans="1:15" ht="15" customHeight="1" x14ac:dyDescent="0.3">
      <c r="A3460" s="23" t="s">
        <v>7418</v>
      </c>
      <c r="B3460" s="38">
        <v>46288</v>
      </c>
      <c r="C3460" s="23" t="s">
        <v>7419</v>
      </c>
      <c r="D3460" s="23" t="s">
        <v>86</v>
      </c>
      <c r="E3460" s="23" t="s">
        <v>77</v>
      </c>
      <c r="F3460" s="23" t="s">
        <v>1334</v>
      </c>
      <c r="G3460" s="23" t="s">
        <v>250</v>
      </c>
      <c r="H3460" s="39">
        <f t="shared" si="216"/>
        <v>12797</v>
      </c>
      <c r="I3460" s="23" t="str">
        <f t="shared" si="217"/>
        <v>Delhi</v>
      </c>
      <c r="J3460" s="23">
        <f>COUNTIFS(pg_transaction_cleaned!$O:$O,A3460,pg_transaction_cleaned!$F:$F,"CAPTURE")</f>
        <v>1</v>
      </c>
      <c r="K3460" s="39">
        <f>SUMIFS(pg_transaction_cleaned!$H:$H,pg_transaction_cleaned!$O:$O,A3460,pg_transaction_cleaned!$F:$F,"CAPTURE")</f>
        <v>12797</v>
      </c>
      <c r="L3460" s="23">
        <f>COUNTIFS(pg_transaction_cleaned!$O:$O,A3460,pg_transaction_cleaned!$F:$F,"REFUND")</f>
        <v>0</v>
      </c>
      <c r="M3460" s="39">
        <f>SUMIFS(pg_transaction_cleaned!$H:$H,pg_transaction_cleaned!$O:$O,A3460,pg_transaction_cleaned!$F:$F,"REFUND")</f>
        <v>0</v>
      </c>
      <c r="N3460" s="23" t="str">
        <f t="shared" si="218"/>
        <v>OK</v>
      </c>
      <c r="O3460" s="24">
        <f t="shared" si="219"/>
        <v>0</v>
      </c>
    </row>
    <row r="3461" spans="1:15" ht="15" customHeight="1" x14ac:dyDescent="0.3">
      <c r="A3461" s="23" t="s">
        <v>7420</v>
      </c>
      <c r="B3461" s="38">
        <v>46267</v>
      </c>
      <c r="C3461" s="23" t="s">
        <v>7421</v>
      </c>
      <c r="D3461" s="23" t="s">
        <v>88</v>
      </c>
      <c r="E3461" s="23" t="s">
        <v>81</v>
      </c>
      <c r="F3461" s="23" t="s">
        <v>4862</v>
      </c>
      <c r="G3461" s="23" t="s">
        <v>250</v>
      </c>
      <c r="H3461" s="39">
        <f t="shared" si="216"/>
        <v>3447</v>
      </c>
      <c r="I3461" s="23" t="str">
        <f t="shared" si="217"/>
        <v>Lucknow</v>
      </c>
      <c r="J3461" s="23">
        <f>COUNTIFS(pg_transaction_cleaned!$O:$O,A3461,pg_transaction_cleaned!$F:$F,"CAPTURE")</f>
        <v>1</v>
      </c>
      <c r="K3461" s="39">
        <f>SUMIFS(pg_transaction_cleaned!$H:$H,pg_transaction_cleaned!$O:$O,A3461,pg_transaction_cleaned!$F:$F,"CAPTURE")</f>
        <v>3447</v>
      </c>
      <c r="L3461" s="23">
        <f>COUNTIFS(pg_transaction_cleaned!$O:$O,A3461,pg_transaction_cleaned!$F:$F,"REFUND")</f>
        <v>0</v>
      </c>
      <c r="M3461" s="39">
        <f>SUMIFS(pg_transaction_cleaned!$H:$H,pg_transaction_cleaned!$O:$O,A3461,pg_transaction_cleaned!$F:$F,"REFUND")</f>
        <v>0</v>
      </c>
      <c r="N3461" s="23" t="str">
        <f t="shared" si="218"/>
        <v>OK</v>
      </c>
      <c r="O3461" s="24">
        <f t="shared" si="219"/>
        <v>0</v>
      </c>
    </row>
    <row r="3462" spans="1:15" ht="15" customHeight="1" x14ac:dyDescent="0.3">
      <c r="A3462" s="23" t="s">
        <v>7422</v>
      </c>
      <c r="B3462" s="38">
        <v>46295</v>
      </c>
      <c r="C3462" s="23" t="s">
        <v>7423</v>
      </c>
      <c r="D3462" s="23" t="s">
        <v>95</v>
      </c>
      <c r="E3462" s="23" t="s">
        <v>75</v>
      </c>
      <c r="F3462" s="23" t="s">
        <v>274</v>
      </c>
      <c r="G3462" s="23" t="s">
        <v>250</v>
      </c>
      <c r="H3462" s="39">
        <f t="shared" si="216"/>
        <v>349</v>
      </c>
      <c r="I3462" s="23" t="str">
        <f t="shared" si="217"/>
        <v>Bengaluru</v>
      </c>
      <c r="J3462" s="23">
        <f>COUNTIFS(pg_transaction_cleaned!$O:$O,A3462,pg_transaction_cleaned!$F:$F,"CAPTURE")</f>
        <v>1</v>
      </c>
      <c r="K3462" s="39">
        <f>SUMIFS(pg_transaction_cleaned!$H:$H,pg_transaction_cleaned!$O:$O,A3462,pg_transaction_cleaned!$F:$F,"CAPTURE")</f>
        <v>349</v>
      </c>
      <c r="L3462" s="23">
        <f>COUNTIFS(pg_transaction_cleaned!$O:$O,A3462,pg_transaction_cleaned!$F:$F,"REFUND")</f>
        <v>0</v>
      </c>
      <c r="M3462" s="39">
        <f>SUMIFS(pg_transaction_cleaned!$H:$H,pg_transaction_cleaned!$O:$O,A3462,pg_transaction_cleaned!$F:$F,"REFUND")</f>
        <v>0</v>
      </c>
      <c r="N3462" s="23" t="str">
        <f t="shared" si="218"/>
        <v>OK</v>
      </c>
      <c r="O3462" s="24">
        <f t="shared" si="219"/>
        <v>0</v>
      </c>
    </row>
    <row r="3463" spans="1:15" ht="15" customHeight="1" x14ac:dyDescent="0.3">
      <c r="A3463" s="23" t="s">
        <v>7424</v>
      </c>
      <c r="B3463" s="38">
        <v>46275</v>
      </c>
      <c r="C3463" s="23" t="s">
        <v>7425</v>
      </c>
      <c r="D3463" s="23" t="s">
        <v>91</v>
      </c>
      <c r="E3463" s="23" t="s">
        <v>79</v>
      </c>
      <c r="F3463" s="23" t="s">
        <v>2337</v>
      </c>
      <c r="G3463" s="23" t="s">
        <v>250</v>
      </c>
      <c r="H3463" s="39">
        <f t="shared" si="216"/>
        <v>8348</v>
      </c>
      <c r="I3463" s="23" t="str">
        <f t="shared" si="217"/>
        <v>Pune</v>
      </c>
      <c r="J3463" s="23">
        <f>COUNTIFS(pg_transaction_cleaned!$O:$O,A3463,pg_transaction_cleaned!$F:$F,"CAPTURE")</f>
        <v>1</v>
      </c>
      <c r="K3463" s="39">
        <f>SUMIFS(pg_transaction_cleaned!$H:$H,pg_transaction_cleaned!$O:$O,A3463,pg_transaction_cleaned!$F:$F,"CAPTURE")</f>
        <v>8348</v>
      </c>
      <c r="L3463" s="23">
        <f>COUNTIFS(pg_transaction_cleaned!$O:$O,A3463,pg_transaction_cleaned!$F:$F,"REFUND")</f>
        <v>0</v>
      </c>
      <c r="M3463" s="39">
        <f>SUMIFS(pg_transaction_cleaned!$H:$H,pg_transaction_cleaned!$O:$O,A3463,pg_transaction_cleaned!$F:$F,"REFUND")</f>
        <v>0</v>
      </c>
      <c r="N3463" s="23" t="str">
        <f t="shared" si="218"/>
        <v>OK</v>
      </c>
      <c r="O3463" s="24">
        <f t="shared" si="219"/>
        <v>0</v>
      </c>
    </row>
    <row r="3464" spans="1:15" ht="15" customHeight="1" x14ac:dyDescent="0.3">
      <c r="A3464" s="23" t="s">
        <v>7426</v>
      </c>
      <c r="B3464" s="38">
        <v>46284</v>
      </c>
      <c r="C3464" s="23" t="s">
        <v>7427</v>
      </c>
      <c r="D3464" s="23" t="s">
        <v>93</v>
      </c>
      <c r="E3464" s="23" t="s">
        <v>75</v>
      </c>
      <c r="F3464" s="23" t="s">
        <v>2160</v>
      </c>
      <c r="G3464" s="23" t="s">
        <v>250</v>
      </c>
      <c r="H3464" s="39">
        <f t="shared" si="216"/>
        <v>7998</v>
      </c>
      <c r="I3464" s="23" t="str">
        <f t="shared" si="217"/>
        <v>Kolkata</v>
      </c>
      <c r="J3464" s="23">
        <f>COUNTIFS(pg_transaction_cleaned!$O:$O,A3464,pg_transaction_cleaned!$F:$F,"CAPTURE")</f>
        <v>1</v>
      </c>
      <c r="K3464" s="39">
        <f>SUMIFS(pg_transaction_cleaned!$H:$H,pg_transaction_cleaned!$O:$O,A3464,pg_transaction_cleaned!$F:$F,"CAPTURE")</f>
        <v>7998</v>
      </c>
      <c r="L3464" s="23">
        <f>COUNTIFS(pg_transaction_cleaned!$O:$O,A3464,pg_transaction_cleaned!$F:$F,"REFUND")</f>
        <v>0</v>
      </c>
      <c r="M3464" s="39">
        <f>SUMIFS(pg_transaction_cleaned!$H:$H,pg_transaction_cleaned!$O:$O,A3464,pg_transaction_cleaned!$F:$F,"REFUND")</f>
        <v>0</v>
      </c>
      <c r="N3464" s="23" t="str">
        <f t="shared" si="218"/>
        <v>OK</v>
      </c>
      <c r="O3464" s="24">
        <f t="shared" si="219"/>
        <v>0</v>
      </c>
    </row>
    <row r="3465" spans="1:15" ht="15" customHeight="1" x14ac:dyDescent="0.3">
      <c r="A3465" s="23" t="s">
        <v>7428</v>
      </c>
      <c r="B3465" s="38">
        <v>46294</v>
      </c>
      <c r="C3465" s="23" t="s">
        <v>7429</v>
      </c>
      <c r="D3465" s="23" t="s">
        <v>87</v>
      </c>
      <c r="E3465" s="23" t="s">
        <v>75</v>
      </c>
      <c r="F3465" s="23" t="s">
        <v>297</v>
      </c>
      <c r="G3465" s="23" t="s">
        <v>301</v>
      </c>
      <c r="H3465" s="39">
        <f t="shared" si="216"/>
        <v>4999</v>
      </c>
      <c r="I3465" s="23" t="str">
        <f t="shared" si="217"/>
        <v>Mumbai</v>
      </c>
      <c r="J3465" s="23">
        <f>COUNTIFS(pg_transaction_cleaned!$O:$O,A3465,pg_transaction_cleaned!$F:$F,"CAPTURE")</f>
        <v>1</v>
      </c>
      <c r="K3465" s="39">
        <f>SUMIFS(pg_transaction_cleaned!$H:$H,pg_transaction_cleaned!$O:$O,A3465,pg_transaction_cleaned!$F:$F,"CAPTURE")</f>
        <v>4999</v>
      </c>
      <c r="L3465" s="23">
        <f>COUNTIFS(pg_transaction_cleaned!$O:$O,A3465,pg_transaction_cleaned!$F:$F,"REFUND")</f>
        <v>1</v>
      </c>
      <c r="M3465" s="39">
        <f>SUMIFS(pg_transaction_cleaned!$H:$H,pg_transaction_cleaned!$O:$O,A3465,pg_transaction_cleaned!$F:$F,"REFUND")</f>
        <v>4999</v>
      </c>
      <c r="N3465" s="23" t="str">
        <f t="shared" si="218"/>
        <v>OK</v>
      </c>
      <c r="O3465" s="24">
        <f t="shared" si="219"/>
        <v>0</v>
      </c>
    </row>
    <row r="3466" spans="1:15" ht="15" customHeight="1" x14ac:dyDescent="0.3">
      <c r="A3466" s="23" t="s">
        <v>7430</v>
      </c>
      <c r="B3466" s="38">
        <v>46289</v>
      </c>
      <c r="C3466" s="23" t="s">
        <v>7431</v>
      </c>
      <c r="D3466" s="23" t="s">
        <v>90</v>
      </c>
      <c r="E3466" s="23" t="s">
        <v>75</v>
      </c>
      <c r="F3466" s="23" t="s">
        <v>1769</v>
      </c>
      <c r="G3466" s="23" t="s">
        <v>250</v>
      </c>
      <c r="H3466" s="39">
        <f t="shared" si="216"/>
        <v>1148</v>
      </c>
      <c r="I3466" s="23" t="str">
        <f t="shared" si="217"/>
        <v>Ahmedabad</v>
      </c>
      <c r="J3466" s="23">
        <f>COUNTIFS(pg_transaction_cleaned!$O:$O,A3466,pg_transaction_cleaned!$F:$F,"CAPTURE")</f>
        <v>1</v>
      </c>
      <c r="K3466" s="39">
        <f>SUMIFS(pg_transaction_cleaned!$H:$H,pg_transaction_cleaned!$O:$O,A3466,pg_transaction_cleaned!$F:$F,"CAPTURE")</f>
        <v>1148</v>
      </c>
      <c r="L3466" s="23">
        <f>COUNTIFS(pg_transaction_cleaned!$O:$O,A3466,pg_transaction_cleaned!$F:$F,"REFUND")</f>
        <v>0</v>
      </c>
      <c r="M3466" s="39">
        <f>SUMIFS(pg_transaction_cleaned!$H:$H,pg_transaction_cleaned!$O:$O,A3466,pg_transaction_cleaned!$F:$F,"REFUND")</f>
        <v>0</v>
      </c>
      <c r="N3466" s="23" t="str">
        <f t="shared" si="218"/>
        <v>OK</v>
      </c>
      <c r="O3466" s="24">
        <f t="shared" si="219"/>
        <v>0</v>
      </c>
    </row>
    <row r="3467" spans="1:15" ht="15" customHeight="1" x14ac:dyDescent="0.3">
      <c r="A3467" s="23" t="s">
        <v>7432</v>
      </c>
      <c r="B3467" s="38">
        <v>46292</v>
      </c>
      <c r="C3467" s="23" t="s">
        <v>7433</v>
      </c>
      <c r="D3467" s="23" t="s">
        <v>91</v>
      </c>
      <c r="E3467" s="23" t="s">
        <v>75</v>
      </c>
      <c r="F3467" s="23" t="s">
        <v>622</v>
      </c>
      <c r="G3467" s="23" t="s">
        <v>250</v>
      </c>
      <c r="H3467" s="39">
        <f t="shared" si="216"/>
        <v>8998</v>
      </c>
      <c r="I3467" s="23" t="str">
        <f t="shared" si="217"/>
        <v>Pune</v>
      </c>
      <c r="J3467" s="23">
        <f>COUNTIFS(pg_transaction_cleaned!$O:$O,A3467,pg_transaction_cleaned!$F:$F,"CAPTURE")</f>
        <v>1</v>
      </c>
      <c r="K3467" s="39">
        <f>SUMIFS(pg_transaction_cleaned!$H:$H,pg_transaction_cleaned!$O:$O,A3467,pg_transaction_cleaned!$F:$F,"CAPTURE")</f>
        <v>8998</v>
      </c>
      <c r="L3467" s="23">
        <f>COUNTIFS(pg_transaction_cleaned!$O:$O,A3467,pg_transaction_cleaned!$F:$F,"REFUND")</f>
        <v>0</v>
      </c>
      <c r="M3467" s="39">
        <f>SUMIFS(pg_transaction_cleaned!$H:$H,pg_transaction_cleaned!$O:$O,A3467,pg_transaction_cleaned!$F:$F,"REFUND")</f>
        <v>0</v>
      </c>
      <c r="N3467" s="23" t="str">
        <f t="shared" si="218"/>
        <v>OK</v>
      </c>
      <c r="O3467" s="24">
        <f t="shared" si="219"/>
        <v>0</v>
      </c>
    </row>
    <row r="3468" spans="1:15" ht="15" customHeight="1" x14ac:dyDescent="0.3">
      <c r="A3468" s="23" t="s">
        <v>7434</v>
      </c>
      <c r="B3468" s="38">
        <v>46272</v>
      </c>
      <c r="C3468" s="23" t="s">
        <v>7435</v>
      </c>
      <c r="D3468" s="23" t="s">
        <v>87</v>
      </c>
      <c r="E3468" s="23" t="s">
        <v>75</v>
      </c>
      <c r="F3468" s="23" t="s">
        <v>357</v>
      </c>
      <c r="G3468" s="23" t="s">
        <v>250</v>
      </c>
      <c r="H3468" s="39">
        <f t="shared" si="216"/>
        <v>1598</v>
      </c>
      <c r="I3468" s="23" t="str">
        <f t="shared" si="217"/>
        <v>Mumbai</v>
      </c>
      <c r="J3468" s="23">
        <f>COUNTIFS(pg_transaction_cleaned!$O:$O,A3468,pg_transaction_cleaned!$F:$F,"CAPTURE")</f>
        <v>1</v>
      </c>
      <c r="K3468" s="39">
        <f>SUMIFS(pg_transaction_cleaned!$H:$H,pg_transaction_cleaned!$O:$O,A3468,pg_transaction_cleaned!$F:$F,"CAPTURE")</f>
        <v>1598</v>
      </c>
      <c r="L3468" s="23">
        <f>COUNTIFS(pg_transaction_cleaned!$O:$O,A3468,pg_transaction_cleaned!$F:$F,"REFUND")</f>
        <v>0</v>
      </c>
      <c r="M3468" s="39">
        <f>SUMIFS(pg_transaction_cleaned!$H:$H,pg_transaction_cleaned!$O:$O,A3468,pg_transaction_cleaned!$F:$F,"REFUND")</f>
        <v>0</v>
      </c>
      <c r="N3468" s="23" t="str">
        <f t="shared" si="218"/>
        <v>OK</v>
      </c>
      <c r="O3468" s="24">
        <f t="shared" si="219"/>
        <v>0</v>
      </c>
    </row>
    <row r="3469" spans="1:15" ht="15" customHeight="1" x14ac:dyDescent="0.3">
      <c r="A3469" s="23" t="s">
        <v>7436</v>
      </c>
      <c r="B3469" s="38">
        <v>46281</v>
      </c>
      <c r="C3469" s="23" t="s">
        <v>7437</v>
      </c>
      <c r="D3469" s="23" t="s">
        <v>89</v>
      </c>
      <c r="E3469" s="23" t="s">
        <v>81</v>
      </c>
      <c r="F3469" s="23" t="s">
        <v>294</v>
      </c>
      <c r="G3469" s="23" t="s">
        <v>250</v>
      </c>
      <c r="H3469" s="39">
        <f t="shared" si="216"/>
        <v>1799</v>
      </c>
      <c r="I3469" s="23" t="str">
        <f t="shared" si="217"/>
        <v>Jaipur</v>
      </c>
      <c r="J3469" s="23">
        <f>COUNTIFS(pg_transaction_cleaned!$O:$O,A3469,pg_transaction_cleaned!$F:$F,"CAPTURE")</f>
        <v>1</v>
      </c>
      <c r="K3469" s="39">
        <f>SUMIFS(pg_transaction_cleaned!$H:$H,pg_transaction_cleaned!$O:$O,A3469,pg_transaction_cleaned!$F:$F,"CAPTURE")</f>
        <v>1799</v>
      </c>
      <c r="L3469" s="23">
        <f>COUNTIFS(pg_transaction_cleaned!$O:$O,A3469,pg_transaction_cleaned!$F:$F,"REFUND")</f>
        <v>0</v>
      </c>
      <c r="M3469" s="39">
        <f>SUMIFS(pg_transaction_cleaned!$H:$H,pg_transaction_cleaned!$O:$O,A3469,pg_transaction_cleaned!$F:$F,"REFUND")</f>
        <v>0</v>
      </c>
      <c r="N3469" s="23" t="str">
        <f t="shared" si="218"/>
        <v>OK</v>
      </c>
      <c r="O3469" s="24">
        <f t="shared" si="219"/>
        <v>0</v>
      </c>
    </row>
    <row r="3470" spans="1:15" ht="15" customHeight="1" x14ac:dyDescent="0.3">
      <c r="A3470" s="23" t="s">
        <v>7438</v>
      </c>
      <c r="B3470" s="38">
        <v>46289</v>
      </c>
      <c r="C3470" s="23" t="s">
        <v>7439</v>
      </c>
      <c r="D3470" s="23" t="s">
        <v>95</v>
      </c>
      <c r="E3470" s="23" t="s">
        <v>75</v>
      </c>
      <c r="F3470" s="23" t="s">
        <v>315</v>
      </c>
      <c r="G3470" s="23" t="s">
        <v>250</v>
      </c>
      <c r="H3470" s="39">
        <f t="shared" si="216"/>
        <v>1499</v>
      </c>
      <c r="I3470" s="23" t="str">
        <f t="shared" si="217"/>
        <v>Bengaluru</v>
      </c>
      <c r="J3470" s="23">
        <f>COUNTIFS(pg_transaction_cleaned!$O:$O,A3470,pg_transaction_cleaned!$F:$F,"CAPTURE")</f>
        <v>1</v>
      </c>
      <c r="K3470" s="39">
        <f>SUMIFS(pg_transaction_cleaned!$H:$H,pg_transaction_cleaned!$O:$O,A3470,pg_transaction_cleaned!$F:$F,"CAPTURE")</f>
        <v>1499</v>
      </c>
      <c r="L3470" s="23">
        <f>COUNTIFS(pg_transaction_cleaned!$O:$O,A3470,pg_transaction_cleaned!$F:$F,"REFUND")</f>
        <v>0</v>
      </c>
      <c r="M3470" s="39">
        <f>SUMIFS(pg_transaction_cleaned!$H:$H,pg_transaction_cleaned!$O:$O,A3470,pg_transaction_cleaned!$F:$F,"REFUND")</f>
        <v>0</v>
      </c>
      <c r="N3470" s="23" t="str">
        <f t="shared" si="218"/>
        <v>OK</v>
      </c>
      <c r="O3470" s="24">
        <f t="shared" si="219"/>
        <v>0</v>
      </c>
    </row>
    <row r="3471" spans="1:15" ht="15" customHeight="1" x14ac:dyDescent="0.3">
      <c r="A3471" s="23" t="s">
        <v>7440</v>
      </c>
      <c r="B3471" s="38">
        <v>46280</v>
      </c>
      <c r="C3471" s="23" t="s">
        <v>7441</v>
      </c>
      <c r="D3471" s="23" t="s">
        <v>91</v>
      </c>
      <c r="E3471" s="23" t="s">
        <v>75</v>
      </c>
      <c r="F3471" s="23" t="s">
        <v>268</v>
      </c>
      <c r="G3471" s="23" t="s">
        <v>250</v>
      </c>
      <c r="H3471" s="39">
        <f t="shared" si="216"/>
        <v>1299</v>
      </c>
      <c r="I3471" s="23" t="str">
        <f t="shared" si="217"/>
        <v>Pune</v>
      </c>
      <c r="J3471" s="23">
        <f>COUNTIFS(pg_transaction_cleaned!$O:$O,A3471,pg_transaction_cleaned!$F:$F,"CAPTURE")</f>
        <v>1</v>
      </c>
      <c r="K3471" s="39">
        <f>SUMIFS(pg_transaction_cleaned!$H:$H,pg_transaction_cleaned!$O:$O,A3471,pg_transaction_cleaned!$F:$F,"CAPTURE")</f>
        <v>1299</v>
      </c>
      <c r="L3471" s="23">
        <f>COUNTIFS(pg_transaction_cleaned!$O:$O,A3471,pg_transaction_cleaned!$F:$F,"REFUND")</f>
        <v>0</v>
      </c>
      <c r="M3471" s="39">
        <f>SUMIFS(pg_transaction_cleaned!$H:$H,pg_transaction_cleaned!$O:$O,A3471,pg_transaction_cleaned!$F:$F,"REFUND")</f>
        <v>0</v>
      </c>
      <c r="N3471" s="23" t="str">
        <f t="shared" si="218"/>
        <v>OK</v>
      </c>
      <c r="O3471" s="24">
        <f t="shared" si="219"/>
        <v>0</v>
      </c>
    </row>
    <row r="3472" spans="1:15" ht="15" customHeight="1" x14ac:dyDescent="0.3">
      <c r="A3472" s="23" t="s">
        <v>7442</v>
      </c>
      <c r="B3472" s="38">
        <v>46290</v>
      </c>
      <c r="C3472" s="23" t="s">
        <v>7443</v>
      </c>
      <c r="D3472" s="23" t="s">
        <v>88</v>
      </c>
      <c r="E3472" s="23" t="s">
        <v>77</v>
      </c>
      <c r="F3472" s="23" t="s">
        <v>343</v>
      </c>
      <c r="G3472" s="23" t="s">
        <v>250</v>
      </c>
      <c r="H3472" s="39">
        <f t="shared" si="216"/>
        <v>9498</v>
      </c>
      <c r="I3472" s="23" t="str">
        <f t="shared" si="217"/>
        <v>Lucknow</v>
      </c>
      <c r="J3472" s="23">
        <f>COUNTIFS(pg_transaction_cleaned!$O:$O,A3472,pg_transaction_cleaned!$F:$F,"CAPTURE")</f>
        <v>1</v>
      </c>
      <c r="K3472" s="39">
        <f>SUMIFS(pg_transaction_cleaned!$H:$H,pg_transaction_cleaned!$O:$O,A3472,pg_transaction_cleaned!$F:$F,"CAPTURE")</f>
        <v>9498</v>
      </c>
      <c r="L3472" s="23">
        <f>COUNTIFS(pg_transaction_cleaned!$O:$O,A3472,pg_transaction_cleaned!$F:$F,"REFUND")</f>
        <v>0</v>
      </c>
      <c r="M3472" s="39">
        <f>SUMIFS(pg_transaction_cleaned!$H:$H,pg_transaction_cleaned!$O:$O,A3472,pg_transaction_cleaned!$F:$F,"REFUND")</f>
        <v>0</v>
      </c>
      <c r="N3472" s="23" t="str">
        <f t="shared" si="218"/>
        <v>OK</v>
      </c>
      <c r="O3472" s="24">
        <f t="shared" si="219"/>
        <v>0</v>
      </c>
    </row>
    <row r="3473" spans="1:15" ht="15" customHeight="1" x14ac:dyDescent="0.3">
      <c r="A3473" s="23" t="s">
        <v>7444</v>
      </c>
      <c r="B3473" s="38">
        <v>46294</v>
      </c>
      <c r="C3473" s="23" t="s">
        <v>7445</v>
      </c>
      <c r="D3473" s="23" t="s">
        <v>89</v>
      </c>
      <c r="E3473" s="23" t="s">
        <v>75</v>
      </c>
      <c r="F3473" s="23" t="s">
        <v>288</v>
      </c>
      <c r="G3473" s="23" t="s">
        <v>250</v>
      </c>
      <c r="H3473" s="39">
        <f t="shared" si="216"/>
        <v>4298</v>
      </c>
      <c r="I3473" s="23" t="str">
        <f t="shared" si="217"/>
        <v>Jaipur</v>
      </c>
      <c r="J3473" s="23">
        <f>COUNTIFS(pg_transaction_cleaned!$O:$O,A3473,pg_transaction_cleaned!$F:$F,"CAPTURE")</f>
        <v>1</v>
      </c>
      <c r="K3473" s="39">
        <f>SUMIFS(pg_transaction_cleaned!$H:$H,pg_transaction_cleaned!$O:$O,A3473,pg_transaction_cleaned!$F:$F,"CAPTURE")</f>
        <v>4298</v>
      </c>
      <c r="L3473" s="23">
        <f>COUNTIFS(pg_transaction_cleaned!$O:$O,A3473,pg_transaction_cleaned!$F:$F,"REFUND")</f>
        <v>0</v>
      </c>
      <c r="M3473" s="39">
        <f>SUMIFS(pg_transaction_cleaned!$H:$H,pg_transaction_cleaned!$O:$O,A3473,pg_transaction_cleaned!$F:$F,"REFUND")</f>
        <v>0</v>
      </c>
      <c r="N3473" s="23" t="str">
        <f t="shared" si="218"/>
        <v>OK</v>
      </c>
      <c r="O3473" s="24">
        <f t="shared" si="219"/>
        <v>0</v>
      </c>
    </row>
    <row r="3474" spans="1:15" ht="15" customHeight="1" x14ac:dyDescent="0.3">
      <c r="A3474" s="23" t="s">
        <v>7446</v>
      </c>
      <c r="B3474" s="38">
        <v>46272</v>
      </c>
      <c r="C3474" s="23" t="s">
        <v>369</v>
      </c>
      <c r="D3474" s="23" t="s">
        <v>89</v>
      </c>
      <c r="E3474" s="23" t="s">
        <v>75</v>
      </c>
      <c r="F3474" s="23" t="s">
        <v>622</v>
      </c>
      <c r="G3474" s="23" t="s">
        <v>250</v>
      </c>
      <c r="H3474" s="39">
        <f t="shared" si="216"/>
        <v>8998</v>
      </c>
      <c r="I3474" s="23" t="str">
        <f t="shared" si="217"/>
        <v>Jaipur</v>
      </c>
      <c r="J3474" s="23">
        <f>COUNTIFS(pg_transaction_cleaned!$O:$O,A3474,pg_transaction_cleaned!$F:$F,"CAPTURE")</f>
        <v>1</v>
      </c>
      <c r="K3474" s="39">
        <f>SUMIFS(pg_transaction_cleaned!$H:$H,pg_transaction_cleaned!$O:$O,A3474,pg_transaction_cleaned!$F:$F,"CAPTURE")</f>
        <v>8998</v>
      </c>
      <c r="L3474" s="23">
        <f>COUNTIFS(pg_transaction_cleaned!$O:$O,A3474,pg_transaction_cleaned!$F:$F,"REFUND")</f>
        <v>0</v>
      </c>
      <c r="M3474" s="39">
        <f>SUMIFS(pg_transaction_cleaned!$H:$H,pg_transaction_cleaned!$O:$O,A3474,pg_transaction_cleaned!$F:$F,"REFUND")</f>
        <v>0</v>
      </c>
      <c r="N3474" s="23" t="str">
        <f t="shared" si="218"/>
        <v>OK</v>
      </c>
      <c r="O3474" s="24">
        <f t="shared" si="219"/>
        <v>0</v>
      </c>
    </row>
    <row r="3475" spans="1:15" ht="15" customHeight="1" x14ac:dyDescent="0.3">
      <c r="A3475" s="23" t="s">
        <v>7447</v>
      </c>
      <c r="B3475" s="38">
        <v>46293</v>
      </c>
      <c r="C3475" s="23" t="s">
        <v>7448</v>
      </c>
      <c r="D3475" s="23" t="s">
        <v>89</v>
      </c>
      <c r="E3475" s="23" t="s">
        <v>75</v>
      </c>
      <c r="F3475" s="23" t="s">
        <v>249</v>
      </c>
      <c r="G3475" s="23" t="s">
        <v>250</v>
      </c>
      <c r="H3475" s="39">
        <f t="shared" si="216"/>
        <v>299</v>
      </c>
      <c r="I3475" s="23" t="str">
        <f t="shared" si="217"/>
        <v>Jaipur</v>
      </c>
      <c r="J3475" s="23">
        <f>COUNTIFS(pg_transaction_cleaned!$O:$O,A3475,pg_transaction_cleaned!$F:$F,"CAPTURE")</f>
        <v>1</v>
      </c>
      <c r="K3475" s="39">
        <f>SUMIFS(pg_transaction_cleaned!$H:$H,pg_transaction_cleaned!$O:$O,A3475,pg_transaction_cleaned!$F:$F,"CAPTURE")</f>
        <v>299</v>
      </c>
      <c r="L3475" s="23">
        <f>COUNTIFS(pg_transaction_cleaned!$O:$O,A3475,pg_transaction_cleaned!$F:$F,"REFUND")</f>
        <v>0</v>
      </c>
      <c r="M3475" s="39">
        <f>SUMIFS(pg_transaction_cleaned!$H:$H,pg_transaction_cleaned!$O:$O,A3475,pg_transaction_cleaned!$F:$F,"REFUND")</f>
        <v>0</v>
      </c>
      <c r="N3475" s="23" t="str">
        <f t="shared" si="218"/>
        <v>OK</v>
      </c>
      <c r="O3475" s="24">
        <f t="shared" si="219"/>
        <v>0</v>
      </c>
    </row>
    <row r="3476" spans="1:15" ht="15" customHeight="1" x14ac:dyDescent="0.3">
      <c r="A3476" s="23" t="s">
        <v>7449</v>
      </c>
      <c r="B3476" s="38">
        <v>46277</v>
      </c>
      <c r="C3476" s="23" t="s">
        <v>7450</v>
      </c>
      <c r="D3476" s="23" t="s">
        <v>86</v>
      </c>
      <c r="E3476" s="23" t="s">
        <v>75</v>
      </c>
      <c r="F3476" s="23" t="s">
        <v>315</v>
      </c>
      <c r="G3476" s="23" t="s">
        <v>250</v>
      </c>
      <c r="H3476" s="39">
        <f t="shared" si="216"/>
        <v>1499</v>
      </c>
      <c r="I3476" s="23" t="str">
        <f t="shared" si="217"/>
        <v>Delhi</v>
      </c>
      <c r="J3476" s="23">
        <f>COUNTIFS(pg_transaction_cleaned!$O:$O,A3476,pg_transaction_cleaned!$F:$F,"CAPTURE")</f>
        <v>1</v>
      </c>
      <c r="K3476" s="39">
        <f>SUMIFS(pg_transaction_cleaned!$H:$H,pg_transaction_cleaned!$O:$O,A3476,pg_transaction_cleaned!$F:$F,"CAPTURE")</f>
        <v>1499</v>
      </c>
      <c r="L3476" s="23">
        <f>COUNTIFS(pg_transaction_cleaned!$O:$O,A3476,pg_transaction_cleaned!$F:$F,"REFUND")</f>
        <v>0</v>
      </c>
      <c r="M3476" s="39">
        <f>SUMIFS(pg_transaction_cleaned!$H:$H,pg_transaction_cleaned!$O:$O,A3476,pg_transaction_cleaned!$F:$F,"REFUND")</f>
        <v>0</v>
      </c>
      <c r="N3476" s="23" t="str">
        <f t="shared" si="218"/>
        <v>OK</v>
      </c>
      <c r="O3476" s="24">
        <f t="shared" si="219"/>
        <v>0</v>
      </c>
    </row>
    <row r="3477" spans="1:15" ht="15" customHeight="1" x14ac:dyDescent="0.3">
      <c r="A3477" s="23" t="s">
        <v>7451</v>
      </c>
      <c r="B3477" s="38">
        <v>46286</v>
      </c>
      <c r="C3477" s="23" t="s">
        <v>7452</v>
      </c>
      <c r="D3477" s="23" t="s">
        <v>95</v>
      </c>
      <c r="E3477" s="23" t="s">
        <v>75</v>
      </c>
      <c r="F3477" s="23" t="s">
        <v>375</v>
      </c>
      <c r="G3477" s="23" t="s">
        <v>250</v>
      </c>
      <c r="H3477" s="39">
        <f t="shared" si="216"/>
        <v>2999</v>
      </c>
      <c r="I3477" s="23" t="str">
        <f t="shared" si="217"/>
        <v>Bengaluru</v>
      </c>
      <c r="J3477" s="23">
        <f>COUNTIFS(pg_transaction_cleaned!$O:$O,A3477,pg_transaction_cleaned!$F:$F,"CAPTURE")</f>
        <v>1</v>
      </c>
      <c r="K3477" s="39">
        <f>SUMIFS(pg_transaction_cleaned!$H:$H,pg_transaction_cleaned!$O:$O,A3477,pg_transaction_cleaned!$F:$F,"CAPTURE")</f>
        <v>2999</v>
      </c>
      <c r="L3477" s="23">
        <f>COUNTIFS(pg_transaction_cleaned!$O:$O,A3477,pg_transaction_cleaned!$F:$F,"REFUND")</f>
        <v>0</v>
      </c>
      <c r="M3477" s="39">
        <f>SUMIFS(pg_transaction_cleaned!$H:$H,pg_transaction_cleaned!$O:$O,A3477,pg_transaction_cleaned!$F:$F,"REFUND")</f>
        <v>0</v>
      </c>
      <c r="N3477" s="23" t="str">
        <f t="shared" si="218"/>
        <v>OK</v>
      </c>
      <c r="O3477" s="24">
        <f t="shared" si="219"/>
        <v>0</v>
      </c>
    </row>
    <row r="3478" spans="1:15" ht="15" customHeight="1" x14ac:dyDescent="0.3">
      <c r="A3478" s="23" t="s">
        <v>7453</v>
      </c>
      <c r="B3478" s="38">
        <v>46294</v>
      </c>
      <c r="C3478" s="23" t="s">
        <v>7454</v>
      </c>
      <c r="D3478" s="23" t="s">
        <v>87</v>
      </c>
      <c r="E3478" s="23" t="s">
        <v>75</v>
      </c>
      <c r="F3478" s="23" t="s">
        <v>1352</v>
      </c>
      <c r="G3478" s="23" t="s">
        <v>301</v>
      </c>
      <c r="H3478" s="39">
        <f t="shared" si="216"/>
        <v>998</v>
      </c>
      <c r="I3478" s="23" t="str">
        <f t="shared" si="217"/>
        <v>Mumbai</v>
      </c>
      <c r="J3478" s="23">
        <f>COUNTIFS(pg_transaction_cleaned!$O:$O,A3478,pg_transaction_cleaned!$F:$F,"CAPTURE")</f>
        <v>1</v>
      </c>
      <c r="K3478" s="39">
        <f>SUMIFS(pg_transaction_cleaned!$H:$H,pg_transaction_cleaned!$O:$O,A3478,pg_transaction_cleaned!$F:$F,"CAPTURE")</f>
        <v>998</v>
      </c>
      <c r="L3478" s="23">
        <f>COUNTIFS(pg_transaction_cleaned!$O:$O,A3478,pg_transaction_cleaned!$F:$F,"REFUND")</f>
        <v>1</v>
      </c>
      <c r="M3478" s="39">
        <f>SUMIFS(pg_transaction_cleaned!$H:$H,pg_transaction_cleaned!$O:$O,A3478,pg_transaction_cleaned!$F:$F,"REFUND")</f>
        <v>998</v>
      </c>
      <c r="N3478" s="23" t="str">
        <f t="shared" si="218"/>
        <v>OK</v>
      </c>
      <c r="O3478" s="24">
        <f t="shared" si="219"/>
        <v>0</v>
      </c>
    </row>
    <row r="3479" spans="1:15" ht="15" customHeight="1" x14ac:dyDescent="0.3">
      <c r="A3479" s="23" t="s">
        <v>7455</v>
      </c>
      <c r="B3479" s="38">
        <v>46291</v>
      </c>
      <c r="C3479" s="23" t="s">
        <v>7456</v>
      </c>
      <c r="D3479" s="23" t="s">
        <v>92</v>
      </c>
      <c r="E3479" s="23" t="s">
        <v>79</v>
      </c>
      <c r="F3479" s="23" t="s">
        <v>438</v>
      </c>
      <c r="G3479" s="23" t="s">
        <v>250</v>
      </c>
      <c r="H3479" s="39">
        <f t="shared" si="216"/>
        <v>5498</v>
      </c>
      <c r="I3479" s="23" t="str">
        <f t="shared" si="217"/>
        <v>Hyderabad</v>
      </c>
      <c r="J3479" s="23">
        <f>COUNTIFS(pg_transaction_cleaned!$O:$O,A3479,pg_transaction_cleaned!$F:$F,"CAPTURE")</f>
        <v>1</v>
      </c>
      <c r="K3479" s="39">
        <f>SUMIFS(pg_transaction_cleaned!$H:$H,pg_transaction_cleaned!$O:$O,A3479,pg_transaction_cleaned!$F:$F,"CAPTURE")</f>
        <v>5498</v>
      </c>
      <c r="L3479" s="23">
        <f>COUNTIFS(pg_transaction_cleaned!$O:$O,A3479,pg_transaction_cleaned!$F:$F,"REFUND")</f>
        <v>0</v>
      </c>
      <c r="M3479" s="39">
        <f>SUMIFS(pg_transaction_cleaned!$H:$H,pg_transaction_cleaned!$O:$O,A3479,pg_transaction_cleaned!$F:$F,"REFUND")</f>
        <v>0</v>
      </c>
      <c r="N3479" s="23" t="str">
        <f t="shared" si="218"/>
        <v>OK</v>
      </c>
      <c r="O3479" s="24">
        <f t="shared" si="219"/>
        <v>0</v>
      </c>
    </row>
    <row r="3480" spans="1:15" ht="15" customHeight="1" x14ac:dyDescent="0.3">
      <c r="A3480" s="23" t="s">
        <v>7457</v>
      </c>
      <c r="B3480" s="38">
        <v>46278</v>
      </c>
      <c r="C3480" s="23" t="s">
        <v>7458</v>
      </c>
      <c r="D3480" s="23" t="s">
        <v>91</v>
      </c>
      <c r="E3480" s="23" t="s">
        <v>79</v>
      </c>
      <c r="F3480" s="23" t="s">
        <v>534</v>
      </c>
      <c r="G3480" s="23" t="s">
        <v>250</v>
      </c>
      <c r="H3480" s="39">
        <f t="shared" si="216"/>
        <v>3097</v>
      </c>
      <c r="I3480" s="23" t="str">
        <f t="shared" si="217"/>
        <v>Pune</v>
      </c>
      <c r="J3480" s="23">
        <f>COUNTIFS(pg_transaction_cleaned!$O:$O,A3480,pg_transaction_cleaned!$F:$F,"CAPTURE")</f>
        <v>1</v>
      </c>
      <c r="K3480" s="39">
        <f>SUMIFS(pg_transaction_cleaned!$H:$H,pg_transaction_cleaned!$O:$O,A3480,pg_transaction_cleaned!$F:$F,"CAPTURE")</f>
        <v>3097</v>
      </c>
      <c r="L3480" s="23">
        <f>COUNTIFS(pg_transaction_cleaned!$O:$O,A3480,pg_transaction_cleaned!$F:$F,"REFUND")</f>
        <v>0</v>
      </c>
      <c r="M3480" s="39">
        <f>SUMIFS(pg_transaction_cleaned!$H:$H,pg_transaction_cleaned!$O:$O,A3480,pg_transaction_cleaned!$F:$F,"REFUND")</f>
        <v>0</v>
      </c>
      <c r="N3480" s="23" t="str">
        <f t="shared" si="218"/>
        <v>OK</v>
      </c>
      <c r="O3480" s="24">
        <f t="shared" si="219"/>
        <v>0</v>
      </c>
    </row>
    <row r="3481" spans="1:15" ht="15" customHeight="1" x14ac:dyDescent="0.3">
      <c r="A3481" s="23" t="s">
        <v>7459</v>
      </c>
      <c r="B3481" s="38">
        <v>46279</v>
      </c>
      <c r="C3481" s="23" t="s">
        <v>7460</v>
      </c>
      <c r="D3481" s="23" t="s">
        <v>86</v>
      </c>
      <c r="E3481" s="23" t="s">
        <v>81</v>
      </c>
      <c r="F3481" s="23" t="s">
        <v>724</v>
      </c>
      <c r="G3481" s="23" t="s">
        <v>250</v>
      </c>
      <c r="H3481" s="39">
        <f t="shared" si="216"/>
        <v>3848</v>
      </c>
      <c r="I3481" s="23" t="str">
        <f t="shared" si="217"/>
        <v>Delhi</v>
      </c>
      <c r="J3481" s="23">
        <f>COUNTIFS(pg_transaction_cleaned!$O:$O,A3481,pg_transaction_cleaned!$F:$F,"CAPTURE")</f>
        <v>1</v>
      </c>
      <c r="K3481" s="39">
        <f>SUMIFS(pg_transaction_cleaned!$H:$H,pg_transaction_cleaned!$O:$O,A3481,pg_transaction_cleaned!$F:$F,"CAPTURE")</f>
        <v>3848</v>
      </c>
      <c r="L3481" s="23">
        <f>COUNTIFS(pg_transaction_cleaned!$O:$O,A3481,pg_transaction_cleaned!$F:$F,"REFUND")</f>
        <v>0</v>
      </c>
      <c r="M3481" s="39">
        <f>SUMIFS(pg_transaction_cleaned!$H:$H,pg_transaction_cleaned!$O:$O,A3481,pg_transaction_cleaned!$F:$F,"REFUND")</f>
        <v>0</v>
      </c>
      <c r="N3481" s="23" t="str">
        <f t="shared" si="218"/>
        <v>OK</v>
      </c>
      <c r="O3481" s="24">
        <f t="shared" si="219"/>
        <v>0</v>
      </c>
    </row>
    <row r="3482" spans="1:15" ht="15" customHeight="1" x14ac:dyDescent="0.3">
      <c r="A3482" s="23" t="s">
        <v>7461</v>
      </c>
      <c r="B3482" s="38">
        <v>46268</v>
      </c>
      <c r="C3482" s="23" t="s">
        <v>7462</v>
      </c>
      <c r="D3482" s="23" t="s">
        <v>86</v>
      </c>
      <c r="E3482" s="23" t="s">
        <v>81</v>
      </c>
      <c r="F3482" s="23" t="s">
        <v>249</v>
      </c>
      <c r="G3482" s="23" t="s">
        <v>250</v>
      </c>
      <c r="H3482" s="39">
        <f t="shared" si="216"/>
        <v>299</v>
      </c>
      <c r="I3482" s="23" t="str">
        <f t="shared" si="217"/>
        <v>Delhi</v>
      </c>
      <c r="J3482" s="23">
        <f>COUNTIFS(pg_transaction_cleaned!$O:$O,A3482,pg_transaction_cleaned!$F:$F,"CAPTURE")</f>
        <v>1</v>
      </c>
      <c r="K3482" s="39">
        <f>SUMIFS(pg_transaction_cleaned!$H:$H,pg_transaction_cleaned!$O:$O,A3482,pg_transaction_cleaned!$F:$F,"CAPTURE")</f>
        <v>299</v>
      </c>
      <c r="L3482" s="23">
        <f>COUNTIFS(pg_transaction_cleaned!$O:$O,A3482,pg_transaction_cleaned!$F:$F,"REFUND")</f>
        <v>0</v>
      </c>
      <c r="M3482" s="39">
        <f>SUMIFS(pg_transaction_cleaned!$H:$H,pg_transaction_cleaned!$O:$O,A3482,pg_transaction_cleaned!$F:$F,"REFUND")</f>
        <v>0</v>
      </c>
      <c r="N3482" s="23" t="str">
        <f t="shared" si="218"/>
        <v>OK</v>
      </c>
      <c r="O3482" s="24">
        <f t="shared" si="219"/>
        <v>0</v>
      </c>
    </row>
    <row r="3483" spans="1:15" ht="15" customHeight="1" x14ac:dyDescent="0.3">
      <c r="A3483" s="23" t="s">
        <v>7463</v>
      </c>
      <c r="B3483" s="38">
        <v>46278</v>
      </c>
      <c r="C3483" s="23" t="s">
        <v>7464</v>
      </c>
      <c r="D3483" s="23" t="s">
        <v>94</v>
      </c>
      <c r="E3483" s="23" t="s">
        <v>75</v>
      </c>
      <c r="F3483" s="23" t="s">
        <v>249</v>
      </c>
      <c r="G3483" s="23" t="s">
        <v>250</v>
      </c>
      <c r="H3483" s="39">
        <f t="shared" si="216"/>
        <v>299</v>
      </c>
      <c r="I3483" s="23" t="str">
        <f t="shared" si="217"/>
        <v>Chennai</v>
      </c>
      <c r="J3483" s="23">
        <f>COUNTIFS(pg_transaction_cleaned!$O:$O,A3483,pg_transaction_cleaned!$F:$F,"CAPTURE")</f>
        <v>1</v>
      </c>
      <c r="K3483" s="39">
        <f>SUMIFS(pg_transaction_cleaned!$H:$H,pg_transaction_cleaned!$O:$O,A3483,pg_transaction_cleaned!$F:$F,"CAPTURE")</f>
        <v>299</v>
      </c>
      <c r="L3483" s="23">
        <f>COUNTIFS(pg_transaction_cleaned!$O:$O,A3483,pg_transaction_cleaned!$F:$F,"REFUND")</f>
        <v>0</v>
      </c>
      <c r="M3483" s="39">
        <f>SUMIFS(pg_transaction_cleaned!$H:$H,pg_transaction_cleaned!$O:$O,A3483,pg_transaction_cleaned!$F:$F,"REFUND")</f>
        <v>0</v>
      </c>
      <c r="N3483" s="23" t="str">
        <f t="shared" si="218"/>
        <v>OK</v>
      </c>
      <c r="O3483" s="24">
        <f t="shared" si="219"/>
        <v>0</v>
      </c>
    </row>
    <row r="3484" spans="1:15" ht="15" customHeight="1" x14ac:dyDescent="0.3">
      <c r="A3484" s="23" t="s">
        <v>7465</v>
      </c>
      <c r="B3484" s="38">
        <v>46267</v>
      </c>
      <c r="C3484" s="23" t="s">
        <v>7466</v>
      </c>
      <c r="D3484" s="23" t="s">
        <v>91</v>
      </c>
      <c r="E3484" s="23" t="s">
        <v>75</v>
      </c>
      <c r="F3484" s="23" t="s">
        <v>1601</v>
      </c>
      <c r="G3484" s="23" t="s">
        <v>365</v>
      </c>
      <c r="H3484" s="39">
        <f t="shared" si="216"/>
        <v>7597</v>
      </c>
      <c r="I3484" s="23" t="str">
        <f t="shared" si="217"/>
        <v>Pune</v>
      </c>
      <c r="J3484" s="23">
        <f>COUNTIFS(pg_transaction_cleaned!$O:$O,A3484,pg_transaction_cleaned!$F:$F,"CAPTURE")</f>
        <v>0</v>
      </c>
      <c r="K3484" s="39">
        <f>SUMIFS(pg_transaction_cleaned!$H:$H,pg_transaction_cleaned!$O:$O,A3484,pg_transaction_cleaned!$F:$F,"CAPTURE")</f>
        <v>0</v>
      </c>
      <c r="L3484" s="23">
        <f>COUNTIFS(pg_transaction_cleaned!$O:$O,A3484,pg_transaction_cleaned!$F:$F,"REFUND")</f>
        <v>0</v>
      </c>
      <c r="M3484" s="39">
        <f>SUMIFS(pg_transaction_cleaned!$H:$H,pg_transaction_cleaned!$O:$O,A3484,pg_transaction_cleaned!$F:$F,"REFUND")</f>
        <v>0</v>
      </c>
      <c r="N3484" s="23" t="str">
        <f t="shared" si="218"/>
        <v>OK</v>
      </c>
      <c r="O3484" s="24">
        <f t="shared" si="219"/>
        <v>0</v>
      </c>
    </row>
    <row r="3485" spans="1:15" ht="15" customHeight="1" x14ac:dyDescent="0.3">
      <c r="A3485" s="23" t="s">
        <v>7467</v>
      </c>
      <c r="B3485" s="38">
        <v>46285</v>
      </c>
      <c r="C3485" s="23" t="s">
        <v>2198</v>
      </c>
      <c r="D3485" s="23" t="s">
        <v>89</v>
      </c>
      <c r="E3485" s="23" t="s">
        <v>75</v>
      </c>
      <c r="F3485" s="23" t="s">
        <v>1428</v>
      </c>
      <c r="G3485" s="23" t="s">
        <v>250</v>
      </c>
      <c r="H3485" s="39">
        <f t="shared" si="216"/>
        <v>8598</v>
      </c>
      <c r="I3485" s="23" t="str">
        <f t="shared" si="217"/>
        <v>Jaipur</v>
      </c>
      <c r="J3485" s="23">
        <f>COUNTIFS(pg_transaction_cleaned!$O:$O,A3485,pg_transaction_cleaned!$F:$F,"CAPTURE")</f>
        <v>1</v>
      </c>
      <c r="K3485" s="39">
        <f>SUMIFS(pg_transaction_cleaned!$H:$H,pg_transaction_cleaned!$O:$O,A3485,pg_transaction_cleaned!$F:$F,"CAPTURE")</f>
        <v>8598</v>
      </c>
      <c r="L3485" s="23">
        <f>COUNTIFS(pg_transaction_cleaned!$O:$O,A3485,pg_transaction_cleaned!$F:$F,"REFUND")</f>
        <v>0</v>
      </c>
      <c r="M3485" s="39">
        <f>SUMIFS(pg_transaction_cleaned!$H:$H,pg_transaction_cleaned!$O:$O,A3485,pg_transaction_cleaned!$F:$F,"REFUND")</f>
        <v>0</v>
      </c>
      <c r="N3485" s="23" t="str">
        <f t="shared" si="218"/>
        <v>OK</v>
      </c>
      <c r="O3485" s="24">
        <f t="shared" si="219"/>
        <v>0</v>
      </c>
    </row>
    <row r="3486" spans="1:15" ht="15" customHeight="1" x14ac:dyDescent="0.3">
      <c r="A3486" s="23" t="s">
        <v>7468</v>
      </c>
      <c r="B3486" s="38">
        <v>46268</v>
      </c>
      <c r="C3486" s="23" t="s">
        <v>7469</v>
      </c>
      <c r="D3486" s="23" t="s">
        <v>88</v>
      </c>
      <c r="E3486" s="23" t="s">
        <v>77</v>
      </c>
      <c r="F3486" s="23" t="s">
        <v>249</v>
      </c>
      <c r="G3486" s="23" t="s">
        <v>250</v>
      </c>
      <c r="H3486" s="39">
        <f t="shared" si="216"/>
        <v>299</v>
      </c>
      <c r="I3486" s="23" t="str">
        <f t="shared" si="217"/>
        <v>Lucknow</v>
      </c>
      <c r="J3486" s="23">
        <f>COUNTIFS(pg_transaction_cleaned!$O:$O,A3486,pg_transaction_cleaned!$F:$F,"CAPTURE")</f>
        <v>1</v>
      </c>
      <c r="K3486" s="39">
        <f>SUMIFS(pg_transaction_cleaned!$H:$H,pg_transaction_cleaned!$O:$O,A3486,pg_transaction_cleaned!$F:$F,"CAPTURE")</f>
        <v>299</v>
      </c>
      <c r="L3486" s="23">
        <f>COUNTIFS(pg_transaction_cleaned!$O:$O,A3486,pg_transaction_cleaned!$F:$F,"REFUND")</f>
        <v>0</v>
      </c>
      <c r="M3486" s="39">
        <f>SUMIFS(pg_transaction_cleaned!$H:$H,pg_transaction_cleaned!$O:$O,A3486,pg_transaction_cleaned!$F:$F,"REFUND")</f>
        <v>0</v>
      </c>
      <c r="N3486" s="23" t="str">
        <f t="shared" si="218"/>
        <v>OK</v>
      </c>
      <c r="O3486" s="24">
        <f t="shared" si="219"/>
        <v>0</v>
      </c>
    </row>
    <row r="3487" spans="1:15" ht="15" customHeight="1" x14ac:dyDescent="0.3">
      <c r="A3487" s="23" t="s">
        <v>7470</v>
      </c>
      <c r="B3487" s="38">
        <v>46291</v>
      </c>
      <c r="C3487" s="23" t="s">
        <v>7471</v>
      </c>
      <c r="D3487" s="23" t="s">
        <v>86</v>
      </c>
      <c r="E3487" s="23" t="s">
        <v>81</v>
      </c>
      <c r="F3487" s="23" t="s">
        <v>310</v>
      </c>
      <c r="G3487" s="23" t="s">
        <v>250</v>
      </c>
      <c r="H3487" s="39">
        <f t="shared" si="216"/>
        <v>7999</v>
      </c>
      <c r="I3487" s="23" t="str">
        <f t="shared" si="217"/>
        <v>Delhi</v>
      </c>
      <c r="J3487" s="23">
        <f>COUNTIFS(pg_transaction_cleaned!$O:$O,A3487,pg_transaction_cleaned!$F:$F,"CAPTURE")</f>
        <v>1</v>
      </c>
      <c r="K3487" s="39">
        <f>SUMIFS(pg_transaction_cleaned!$H:$H,pg_transaction_cleaned!$O:$O,A3487,pg_transaction_cleaned!$F:$F,"CAPTURE")</f>
        <v>7999</v>
      </c>
      <c r="L3487" s="23">
        <f>COUNTIFS(pg_transaction_cleaned!$O:$O,A3487,pg_transaction_cleaned!$F:$F,"REFUND")</f>
        <v>0</v>
      </c>
      <c r="M3487" s="39">
        <f>SUMIFS(pg_transaction_cleaned!$H:$H,pg_transaction_cleaned!$O:$O,A3487,pg_transaction_cleaned!$F:$F,"REFUND")</f>
        <v>0</v>
      </c>
      <c r="N3487" s="23" t="str">
        <f t="shared" si="218"/>
        <v>OK</v>
      </c>
      <c r="O3487" s="24">
        <f t="shared" si="219"/>
        <v>0</v>
      </c>
    </row>
    <row r="3488" spans="1:15" ht="15" customHeight="1" x14ac:dyDescent="0.3">
      <c r="A3488" s="23" t="s">
        <v>7472</v>
      </c>
      <c r="B3488" s="38">
        <v>46269</v>
      </c>
      <c r="C3488" s="23" t="s">
        <v>7473</v>
      </c>
      <c r="D3488" s="23" t="s">
        <v>93</v>
      </c>
      <c r="E3488" s="23" t="s">
        <v>79</v>
      </c>
      <c r="F3488" s="23" t="s">
        <v>274</v>
      </c>
      <c r="G3488" s="23" t="s">
        <v>250</v>
      </c>
      <c r="H3488" s="39">
        <f t="shared" si="216"/>
        <v>349</v>
      </c>
      <c r="I3488" s="23" t="str">
        <f t="shared" si="217"/>
        <v>Kolkata</v>
      </c>
      <c r="J3488" s="23">
        <f>COUNTIFS(pg_transaction_cleaned!$O:$O,A3488,pg_transaction_cleaned!$F:$F,"CAPTURE")</f>
        <v>1</v>
      </c>
      <c r="K3488" s="39">
        <f>SUMIFS(pg_transaction_cleaned!$H:$H,pg_transaction_cleaned!$O:$O,A3488,pg_transaction_cleaned!$F:$F,"CAPTURE")</f>
        <v>349</v>
      </c>
      <c r="L3488" s="23">
        <f>COUNTIFS(pg_transaction_cleaned!$O:$O,A3488,pg_transaction_cleaned!$F:$F,"REFUND")</f>
        <v>0</v>
      </c>
      <c r="M3488" s="39">
        <f>SUMIFS(pg_transaction_cleaned!$H:$H,pg_transaction_cleaned!$O:$O,A3488,pg_transaction_cleaned!$F:$F,"REFUND")</f>
        <v>0</v>
      </c>
      <c r="N3488" s="23" t="str">
        <f t="shared" si="218"/>
        <v>OK</v>
      </c>
      <c r="O3488" s="24">
        <f t="shared" si="219"/>
        <v>0</v>
      </c>
    </row>
    <row r="3489" spans="1:15" ht="15" customHeight="1" x14ac:dyDescent="0.3">
      <c r="A3489" s="23" t="s">
        <v>7474</v>
      </c>
      <c r="B3489" s="38">
        <v>46288</v>
      </c>
      <c r="C3489" s="23" t="s">
        <v>7475</v>
      </c>
      <c r="D3489" s="23" t="s">
        <v>88</v>
      </c>
      <c r="E3489" s="23" t="s">
        <v>75</v>
      </c>
      <c r="F3489" s="23" t="s">
        <v>268</v>
      </c>
      <c r="G3489" s="23" t="s">
        <v>250</v>
      </c>
      <c r="H3489" s="39">
        <f t="shared" si="216"/>
        <v>1299</v>
      </c>
      <c r="I3489" s="23" t="str">
        <f t="shared" si="217"/>
        <v>Lucknow</v>
      </c>
      <c r="J3489" s="23">
        <f>COUNTIFS(pg_transaction_cleaned!$O:$O,A3489,pg_transaction_cleaned!$F:$F,"CAPTURE")</f>
        <v>1</v>
      </c>
      <c r="K3489" s="39">
        <f>SUMIFS(pg_transaction_cleaned!$H:$H,pg_transaction_cleaned!$O:$O,A3489,pg_transaction_cleaned!$F:$F,"CAPTURE")</f>
        <v>1299</v>
      </c>
      <c r="L3489" s="23">
        <f>COUNTIFS(pg_transaction_cleaned!$O:$O,A3489,pg_transaction_cleaned!$F:$F,"REFUND")</f>
        <v>0</v>
      </c>
      <c r="M3489" s="39">
        <f>SUMIFS(pg_transaction_cleaned!$H:$H,pg_transaction_cleaned!$O:$O,A3489,pg_transaction_cleaned!$F:$F,"REFUND")</f>
        <v>0</v>
      </c>
      <c r="N3489" s="23" t="str">
        <f t="shared" si="218"/>
        <v>OK</v>
      </c>
      <c r="O3489" s="24">
        <f t="shared" si="219"/>
        <v>0</v>
      </c>
    </row>
    <row r="3490" spans="1:15" ht="15" customHeight="1" x14ac:dyDescent="0.3">
      <c r="A3490" s="23" t="s">
        <v>7476</v>
      </c>
      <c r="B3490" s="38">
        <v>46293</v>
      </c>
      <c r="C3490" s="23" t="s">
        <v>7477</v>
      </c>
      <c r="D3490" s="23" t="s">
        <v>94</v>
      </c>
      <c r="E3490" s="23" t="s">
        <v>75</v>
      </c>
      <c r="F3490" s="23" t="s">
        <v>329</v>
      </c>
      <c r="G3490" s="23" t="s">
        <v>250</v>
      </c>
      <c r="H3490" s="39">
        <f t="shared" si="216"/>
        <v>599</v>
      </c>
      <c r="I3490" s="23" t="str">
        <f t="shared" si="217"/>
        <v>Chennai</v>
      </c>
      <c r="J3490" s="23">
        <f>COUNTIFS(pg_transaction_cleaned!$O:$O,A3490,pg_transaction_cleaned!$F:$F,"CAPTURE")</f>
        <v>1</v>
      </c>
      <c r="K3490" s="39">
        <f>SUMIFS(pg_transaction_cleaned!$H:$H,pg_transaction_cleaned!$O:$O,A3490,pg_transaction_cleaned!$F:$F,"CAPTURE")</f>
        <v>599</v>
      </c>
      <c r="L3490" s="23">
        <f>COUNTIFS(pg_transaction_cleaned!$O:$O,A3490,pg_transaction_cleaned!$F:$F,"REFUND")</f>
        <v>0</v>
      </c>
      <c r="M3490" s="39">
        <f>SUMIFS(pg_transaction_cleaned!$H:$H,pg_transaction_cleaned!$O:$O,A3490,pg_transaction_cleaned!$F:$F,"REFUND")</f>
        <v>0</v>
      </c>
      <c r="N3490" s="23" t="str">
        <f t="shared" si="218"/>
        <v>OK</v>
      </c>
      <c r="O3490" s="24">
        <f t="shared" si="219"/>
        <v>0</v>
      </c>
    </row>
    <row r="3491" spans="1:15" ht="15" customHeight="1" x14ac:dyDescent="0.3">
      <c r="A3491" s="23" t="s">
        <v>7478</v>
      </c>
      <c r="B3491" s="38">
        <v>46266</v>
      </c>
      <c r="C3491" s="23" t="s">
        <v>7479</v>
      </c>
      <c r="D3491" s="23" t="s">
        <v>86</v>
      </c>
      <c r="E3491" s="23" t="s">
        <v>75</v>
      </c>
      <c r="F3491" s="23" t="s">
        <v>297</v>
      </c>
      <c r="G3491" s="23" t="s">
        <v>250</v>
      </c>
      <c r="H3491" s="39">
        <f t="shared" si="216"/>
        <v>4999</v>
      </c>
      <c r="I3491" s="23" t="str">
        <f t="shared" si="217"/>
        <v>Delhi</v>
      </c>
      <c r="J3491" s="23">
        <f>COUNTIFS(pg_transaction_cleaned!$O:$O,A3491,pg_transaction_cleaned!$F:$F,"CAPTURE")</f>
        <v>1</v>
      </c>
      <c r="K3491" s="39">
        <f>SUMIFS(pg_transaction_cleaned!$H:$H,pg_transaction_cleaned!$O:$O,A3491,pg_transaction_cleaned!$F:$F,"CAPTURE")</f>
        <v>4999</v>
      </c>
      <c r="L3491" s="23">
        <f>COUNTIFS(pg_transaction_cleaned!$O:$O,A3491,pg_transaction_cleaned!$F:$F,"REFUND")</f>
        <v>0</v>
      </c>
      <c r="M3491" s="39">
        <f>SUMIFS(pg_transaction_cleaned!$H:$H,pg_transaction_cleaned!$O:$O,A3491,pg_transaction_cleaned!$F:$F,"REFUND")</f>
        <v>0</v>
      </c>
      <c r="N3491" s="23" t="str">
        <f t="shared" si="218"/>
        <v>OK</v>
      </c>
      <c r="O3491" s="24">
        <f t="shared" si="219"/>
        <v>0</v>
      </c>
    </row>
    <row r="3492" spans="1:15" ht="15" customHeight="1" x14ac:dyDescent="0.3">
      <c r="A3492" s="23" t="s">
        <v>7480</v>
      </c>
      <c r="B3492" s="38">
        <v>46281</v>
      </c>
      <c r="C3492" s="23" t="s">
        <v>7481</v>
      </c>
      <c r="D3492" s="23" t="s">
        <v>94</v>
      </c>
      <c r="E3492" s="23" t="s">
        <v>75</v>
      </c>
      <c r="F3492" s="23" t="s">
        <v>1735</v>
      </c>
      <c r="G3492" s="23" t="s">
        <v>250</v>
      </c>
      <c r="H3492" s="39">
        <f t="shared" si="216"/>
        <v>12998</v>
      </c>
      <c r="I3492" s="23" t="str">
        <f t="shared" si="217"/>
        <v>Chennai</v>
      </c>
      <c r="J3492" s="23">
        <f>COUNTIFS(pg_transaction_cleaned!$O:$O,A3492,pg_transaction_cleaned!$F:$F,"CAPTURE")</f>
        <v>1</v>
      </c>
      <c r="K3492" s="39">
        <f>SUMIFS(pg_transaction_cleaned!$H:$H,pg_transaction_cleaned!$O:$O,A3492,pg_transaction_cleaned!$F:$F,"CAPTURE")</f>
        <v>12998</v>
      </c>
      <c r="L3492" s="23">
        <f>COUNTIFS(pg_transaction_cleaned!$O:$O,A3492,pg_transaction_cleaned!$F:$F,"REFUND")</f>
        <v>0</v>
      </c>
      <c r="M3492" s="39">
        <f>SUMIFS(pg_transaction_cleaned!$H:$H,pg_transaction_cleaned!$O:$O,A3492,pg_transaction_cleaned!$F:$F,"REFUND")</f>
        <v>0</v>
      </c>
      <c r="N3492" s="23" t="str">
        <f t="shared" si="218"/>
        <v>OK</v>
      </c>
      <c r="O3492" s="24">
        <f t="shared" si="219"/>
        <v>0</v>
      </c>
    </row>
    <row r="3493" spans="1:15" ht="15" customHeight="1" x14ac:dyDescent="0.3">
      <c r="A3493" s="23" t="s">
        <v>7482</v>
      </c>
      <c r="B3493" s="38">
        <v>46281</v>
      </c>
      <c r="C3493" s="23" t="s">
        <v>7483</v>
      </c>
      <c r="D3493" s="23" t="s">
        <v>86</v>
      </c>
      <c r="E3493" s="23" t="s">
        <v>79</v>
      </c>
      <c r="F3493" s="23" t="s">
        <v>294</v>
      </c>
      <c r="G3493" s="23" t="s">
        <v>250</v>
      </c>
      <c r="H3493" s="39">
        <f t="shared" si="216"/>
        <v>1799</v>
      </c>
      <c r="I3493" s="23" t="str">
        <f t="shared" si="217"/>
        <v>Delhi</v>
      </c>
      <c r="J3493" s="23">
        <f>COUNTIFS(pg_transaction_cleaned!$O:$O,A3493,pg_transaction_cleaned!$F:$F,"CAPTURE")</f>
        <v>1</v>
      </c>
      <c r="K3493" s="39">
        <f>SUMIFS(pg_transaction_cleaned!$H:$H,pg_transaction_cleaned!$O:$O,A3493,pg_transaction_cleaned!$F:$F,"CAPTURE")</f>
        <v>1749</v>
      </c>
      <c r="L3493" s="23">
        <f>COUNTIFS(pg_transaction_cleaned!$O:$O,A3493,pg_transaction_cleaned!$F:$F,"REFUND")</f>
        <v>0</v>
      </c>
      <c r="M3493" s="39">
        <f>SUMIFS(pg_transaction_cleaned!$H:$H,pg_transaction_cleaned!$O:$O,A3493,pg_transaction_cleaned!$F:$F,"REFUND")</f>
        <v>0</v>
      </c>
      <c r="N3493" s="23" t="str">
        <f t="shared" si="218"/>
        <v>Amount difference</v>
      </c>
      <c r="O3493" s="24">
        <f t="shared" si="219"/>
        <v>-50</v>
      </c>
    </row>
    <row r="3494" spans="1:15" ht="15" customHeight="1" x14ac:dyDescent="0.3">
      <c r="A3494" s="23" t="s">
        <v>7484</v>
      </c>
      <c r="B3494" s="38">
        <v>46283</v>
      </c>
      <c r="C3494" s="23" t="s">
        <v>7485</v>
      </c>
      <c r="D3494" s="23" t="s">
        <v>86</v>
      </c>
      <c r="E3494" s="23" t="s">
        <v>75</v>
      </c>
      <c r="F3494" s="23" t="s">
        <v>315</v>
      </c>
      <c r="G3494" s="23" t="s">
        <v>365</v>
      </c>
      <c r="H3494" s="39">
        <f t="shared" si="216"/>
        <v>1499</v>
      </c>
      <c r="I3494" s="23" t="str">
        <f t="shared" si="217"/>
        <v>Delhi</v>
      </c>
      <c r="J3494" s="23">
        <f>COUNTIFS(pg_transaction_cleaned!$O:$O,A3494,pg_transaction_cleaned!$F:$F,"CAPTURE")</f>
        <v>0</v>
      </c>
      <c r="K3494" s="39">
        <f>SUMIFS(pg_transaction_cleaned!$H:$H,pg_transaction_cleaned!$O:$O,A3494,pg_transaction_cleaned!$F:$F,"CAPTURE")</f>
        <v>0</v>
      </c>
      <c r="L3494" s="23">
        <f>COUNTIFS(pg_transaction_cleaned!$O:$O,A3494,pg_transaction_cleaned!$F:$F,"REFUND")</f>
        <v>0</v>
      </c>
      <c r="M3494" s="39">
        <f>SUMIFS(pg_transaction_cleaned!$H:$H,pg_transaction_cleaned!$O:$O,A3494,pg_transaction_cleaned!$F:$F,"REFUND")</f>
        <v>0</v>
      </c>
      <c r="N3494" s="23" t="str">
        <f t="shared" si="218"/>
        <v>OK</v>
      </c>
      <c r="O3494" s="24">
        <f t="shared" si="219"/>
        <v>0</v>
      </c>
    </row>
    <row r="3495" spans="1:15" ht="15" customHeight="1" x14ac:dyDescent="0.3">
      <c r="A3495" s="23" t="s">
        <v>7486</v>
      </c>
      <c r="B3495" s="38">
        <v>46273</v>
      </c>
      <c r="C3495" s="23" t="s">
        <v>7487</v>
      </c>
      <c r="D3495" s="23" t="s">
        <v>94</v>
      </c>
      <c r="E3495" s="23" t="s">
        <v>75</v>
      </c>
      <c r="F3495" s="23" t="s">
        <v>499</v>
      </c>
      <c r="G3495" s="23" t="s">
        <v>250</v>
      </c>
      <c r="H3495" s="39">
        <f t="shared" si="216"/>
        <v>5998</v>
      </c>
      <c r="I3495" s="23" t="str">
        <f t="shared" si="217"/>
        <v>Chennai</v>
      </c>
      <c r="J3495" s="23">
        <f>COUNTIFS(pg_transaction_cleaned!$O:$O,A3495,pg_transaction_cleaned!$F:$F,"CAPTURE")</f>
        <v>1</v>
      </c>
      <c r="K3495" s="39">
        <f>SUMIFS(pg_transaction_cleaned!$H:$H,pg_transaction_cleaned!$O:$O,A3495,pg_transaction_cleaned!$F:$F,"CAPTURE")</f>
        <v>5998</v>
      </c>
      <c r="L3495" s="23">
        <f>COUNTIFS(pg_transaction_cleaned!$O:$O,A3495,pg_transaction_cleaned!$F:$F,"REFUND")</f>
        <v>0</v>
      </c>
      <c r="M3495" s="39">
        <f>SUMIFS(pg_transaction_cleaned!$H:$H,pg_transaction_cleaned!$O:$O,A3495,pg_transaction_cleaned!$F:$F,"REFUND")</f>
        <v>0</v>
      </c>
      <c r="N3495" s="23" t="str">
        <f t="shared" si="218"/>
        <v>OK</v>
      </c>
      <c r="O3495" s="24">
        <f t="shared" si="219"/>
        <v>0</v>
      </c>
    </row>
    <row r="3496" spans="1:15" ht="15" customHeight="1" x14ac:dyDescent="0.3">
      <c r="A3496" s="23" t="s">
        <v>7488</v>
      </c>
      <c r="B3496" s="38">
        <v>46274</v>
      </c>
      <c r="C3496" s="23" t="s">
        <v>7489</v>
      </c>
      <c r="D3496" s="23" t="s">
        <v>88</v>
      </c>
      <c r="E3496" s="23" t="s">
        <v>79</v>
      </c>
      <c r="F3496" s="23" t="s">
        <v>268</v>
      </c>
      <c r="G3496" s="23" t="s">
        <v>250</v>
      </c>
      <c r="H3496" s="39">
        <f t="shared" si="216"/>
        <v>1299</v>
      </c>
      <c r="I3496" s="23" t="str">
        <f t="shared" si="217"/>
        <v>Lucknow</v>
      </c>
      <c r="J3496" s="23">
        <f>COUNTIFS(pg_transaction_cleaned!$O:$O,A3496,pg_transaction_cleaned!$F:$F,"CAPTURE")</f>
        <v>1</v>
      </c>
      <c r="K3496" s="39">
        <f>SUMIFS(pg_transaction_cleaned!$H:$H,pg_transaction_cleaned!$O:$O,A3496,pg_transaction_cleaned!$F:$F,"CAPTURE")</f>
        <v>1299</v>
      </c>
      <c r="L3496" s="23">
        <f>COUNTIFS(pg_transaction_cleaned!$O:$O,A3496,pg_transaction_cleaned!$F:$F,"REFUND")</f>
        <v>0</v>
      </c>
      <c r="M3496" s="39">
        <f>SUMIFS(pg_transaction_cleaned!$H:$H,pg_transaction_cleaned!$O:$O,A3496,pg_transaction_cleaned!$F:$F,"REFUND")</f>
        <v>0</v>
      </c>
      <c r="N3496" s="23" t="str">
        <f t="shared" si="218"/>
        <v>OK</v>
      </c>
      <c r="O3496" s="24">
        <f t="shared" si="219"/>
        <v>0</v>
      </c>
    </row>
    <row r="3497" spans="1:15" ht="15" customHeight="1" x14ac:dyDescent="0.3">
      <c r="A3497" s="23" t="s">
        <v>7490</v>
      </c>
      <c r="B3497" s="38">
        <v>46280</v>
      </c>
      <c r="C3497" s="23" t="s">
        <v>7491</v>
      </c>
      <c r="D3497" s="23" t="s">
        <v>92</v>
      </c>
      <c r="E3497" s="23" t="s">
        <v>75</v>
      </c>
      <c r="F3497" s="23" t="s">
        <v>329</v>
      </c>
      <c r="G3497" s="23" t="s">
        <v>250</v>
      </c>
      <c r="H3497" s="39">
        <f t="shared" si="216"/>
        <v>599</v>
      </c>
      <c r="I3497" s="23" t="str">
        <f t="shared" si="217"/>
        <v>Hyderabad</v>
      </c>
      <c r="J3497" s="23">
        <f>COUNTIFS(pg_transaction_cleaned!$O:$O,A3497,pg_transaction_cleaned!$F:$F,"CAPTURE")</f>
        <v>1</v>
      </c>
      <c r="K3497" s="39">
        <f>SUMIFS(pg_transaction_cleaned!$H:$H,pg_transaction_cleaned!$O:$O,A3497,pg_transaction_cleaned!$F:$F,"CAPTURE")</f>
        <v>599</v>
      </c>
      <c r="L3497" s="23">
        <f>COUNTIFS(pg_transaction_cleaned!$O:$O,A3497,pg_transaction_cleaned!$F:$F,"REFUND")</f>
        <v>0</v>
      </c>
      <c r="M3497" s="39">
        <f>SUMIFS(pg_transaction_cleaned!$H:$H,pg_transaction_cleaned!$O:$O,A3497,pg_transaction_cleaned!$F:$F,"REFUND")</f>
        <v>0</v>
      </c>
      <c r="N3497" s="23" t="str">
        <f t="shared" si="218"/>
        <v>OK</v>
      </c>
      <c r="O3497" s="24">
        <f t="shared" si="219"/>
        <v>0</v>
      </c>
    </row>
    <row r="3498" spans="1:15" ht="15" customHeight="1" x14ac:dyDescent="0.3">
      <c r="A3498" s="23" t="s">
        <v>7492</v>
      </c>
      <c r="B3498" s="38">
        <v>46279</v>
      </c>
      <c r="C3498" s="23" t="s">
        <v>7493</v>
      </c>
      <c r="D3498" s="23" t="s">
        <v>86</v>
      </c>
      <c r="E3498" s="23" t="s">
        <v>79</v>
      </c>
      <c r="F3498" s="23" t="s">
        <v>283</v>
      </c>
      <c r="G3498" s="23" t="s">
        <v>250</v>
      </c>
      <c r="H3498" s="39">
        <f t="shared" si="216"/>
        <v>13997</v>
      </c>
      <c r="I3498" s="23" t="str">
        <f t="shared" si="217"/>
        <v>Delhi</v>
      </c>
      <c r="J3498" s="23">
        <f>COUNTIFS(pg_transaction_cleaned!$O:$O,A3498,pg_transaction_cleaned!$F:$F,"CAPTURE")</f>
        <v>1</v>
      </c>
      <c r="K3498" s="39">
        <f>SUMIFS(pg_transaction_cleaned!$H:$H,pg_transaction_cleaned!$O:$O,A3498,pg_transaction_cleaned!$F:$F,"CAPTURE")</f>
        <v>13997</v>
      </c>
      <c r="L3498" s="23">
        <f>COUNTIFS(pg_transaction_cleaned!$O:$O,A3498,pg_transaction_cleaned!$F:$F,"REFUND")</f>
        <v>0</v>
      </c>
      <c r="M3498" s="39">
        <f>SUMIFS(pg_transaction_cleaned!$H:$H,pg_transaction_cleaned!$O:$O,A3498,pg_transaction_cleaned!$F:$F,"REFUND")</f>
        <v>0</v>
      </c>
      <c r="N3498" s="23" t="str">
        <f t="shared" si="218"/>
        <v>OK</v>
      </c>
      <c r="O3498" s="24">
        <f t="shared" si="219"/>
        <v>0</v>
      </c>
    </row>
    <row r="3499" spans="1:15" ht="15" customHeight="1" x14ac:dyDescent="0.3">
      <c r="A3499" s="23" t="s">
        <v>7494</v>
      </c>
      <c r="B3499" s="38">
        <v>46267</v>
      </c>
      <c r="C3499" s="23" t="s">
        <v>7495</v>
      </c>
      <c r="D3499" s="23" t="s">
        <v>87</v>
      </c>
      <c r="E3499" s="23" t="s">
        <v>75</v>
      </c>
      <c r="F3499" s="23" t="s">
        <v>274</v>
      </c>
      <c r="G3499" s="23" t="s">
        <v>250</v>
      </c>
      <c r="H3499" s="39">
        <f t="shared" si="216"/>
        <v>349</v>
      </c>
      <c r="I3499" s="23" t="str">
        <f t="shared" si="217"/>
        <v>Mumbai</v>
      </c>
      <c r="J3499" s="23">
        <f>COUNTIFS(pg_transaction_cleaned!$O:$O,A3499,pg_transaction_cleaned!$F:$F,"CAPTURE")</f>
        <v>1</v>
      </c>
      <c r="K3499" s="39">
        <f>SUMIFS(pg_transaction_cleaned!$H:$H,pg_transaction_cleaned!$O:$O,A3499,pg_transaction_cleaned!$F:$F,"CAPTURE")</f>
        <v>349</v>
      </c>
      <c r="L3499" s="23">
        <f>COUNTIFS(pg_transaction_cleaned!$O:$O,A3499,pg_transaction_cleaned!$F:$F,"REFUND")</f>
        <v>0</v>
      </c>
      <c r="M3499" s="39">
        <f>SUMIFS(pg_transaction_cleaned!$H:$H,pg_transaction_cleaned!$O:$O,A3499,pg_transaction_cleaned!$F:$F,"REFUND")</f>
        <v>0</v>
      </c>
      <c r="N3499" s="23" t="str">
        <f t="shared" si="218"/>
        <v>OK</v>
      </c>
      <c r="O3499" s="24">
        <f t="shared" si="219"/>
        <v>0</v>
      </c>
    </row>
    <row r="3500" spans="1:15" ht="15" customHeight="1" x14ac:dyDescent="0.3">
      <c r="A3500" s="23" t="s">
        <v>7496</v>
      </c>
      <c r="B3500" s="38">
        <v>46292</v>
      </c>
      <c r="C3500" s="23" t="s">
        <v>7497</v>
      </c>
      <c r="D3500" s="23" t="s">
        <v>90</v>
      </c>
      <c r="E3500" s="23" t="s">
        <v>81</v>
      </c>
      <c r="F3500" s="23" t="s">
        <v>574</v>
      </c>
      <c r="G3500" s="23" t="s">
        <v>250</v>
      </c>
      <c r="H3500" s="39">
        <f t="shared" si="216"/>
        <v>1848</v>
      </c>
      <c r="I3500" s="23" t="str">
        <f t="shared" si="217"/>
        <v>Ahmedabad</v>
      </c>
      <c r="J3500" s="23">
        <f>COUNTIFS(pg_transaction_cleaned!$O:$O,A3500,pg_transaction_cleaned!$F:$F,"CAPTURE")</f>
        <v>1</v>
      </c>
      <c r="K3500" s="39">
        <f>SUMIFS(pg_transaction_cleaned!$H:$H,pg_transaction_cleaned!$O:$O,A3500,pg_transaction_cleaned!$F:$F,"CAPTURE")</f>
        <v>1848</v>
      </c>
      <c r="L3500" s="23">
        <f>COUNTIFS(pg_transaction_cleaned!$O:$O,A3500,pg_transaction_cleaned!$F:$F,"REFUND")</f>
        <v>0</v>
      </c>
      <c r="M3500" s="39">
        <f>SUMIFS(pg_transaction_cleaned!$H:$H,pg_transaction_cleaned!$O:$O,A3500,pg_transaction_cleaned!$F:$F,"REFUND")</f>
        <v>0</v>
      </c>
      <c r="N3500" s="23" t="str">
        <f t="shared" si="218"/>
        <v>OK</v>
      </c>
      <c r="O3500" s="24">
        <f t="shared" si="219"/>
        <v>0</v>
      </c>
    </row>
    <row r="3501" spans="1:15" ht="15" customHeight="1" x14ac:dyDescent="0.3">
      <c r="A3501" s="23" t="s">
        <v>7498</v>
      </c>
      <c r="B3501" s="38">
        <v>46283</v>
      </c>
      <c r="C3501" s="23" t="s">
        <v>7499</v>
      </c>
      <c r="D3501" s="23" t="s">
        <v>90</v>
      </c>
      <c r="E3501" s="23" t="s">
        <v>75</v>
      </c>
      <c r="F3501" s="23" t="s">
        <v>834</v>
      </c>
      <c r="G3501" s="23" t="s">
        <v>250</v>
      </c>
      <c r="H3501" s="39">
        <f t="shared" si="216"/>
        <v>7097</v>
      </c>
      <c r="I3501" s="23" t="str">
        <f t="shared" si="217"/>
        <v>Ahmedabad</v>
      </c>
      <c r="J3501" s="23">
        <f>COUNTIFS(pg_transaction_cleaned!$O:$O,A3501,pg_transaction_cleaned!$F:$F,"CAPTURE")</f>
        <v>1</v>
      </c>
      <c r="K3501" s="39">
        <f>SUMIFS(pg_transaction_cleaned!$H:$H,pg_transaction_cleaned!$O:$O,A3501,pg_transaction_cleaned!$F:$F,"CAPTURE")</f>
        <v>7097</v>
      </c>
      <c r="L3501" s="23">
        <f>COUNTIFS(pg_transaction_cleaned!$O:$O,A3501,pg_transaction_cleaned!$F:$F,"REFUND")</f>
        <v>0</v>
      </c>
      <c r="M3501" s="39">
        <f>SUMIFS(pg_transaction_cleaned!$H:$H,pg_transaction_cleaned!$O:$O,A3501,pg_transaction_cleaned!$F:$F,"REFUND")</f>
        <v>0</v>
      </c>
      <c r="N3501" s="23" t="str">
        <f t="shared" si="218"/>
        <v>OK</v>
      </c>
      <c r="O3501" s="24">
        <f t="shared" si="219"/>
        <v>0</v>
      </c>
    </row>
    <row r="3502" spans="1:15" ht="15" customHeight="1" x14ac:dyDescent="0.3">
      <c r="A3502" s="23" t="s">
        <v>7500</v>
      </c>
      <c r="B3502" s="38">
        <v>46276</v>
      </c>
      <c r="C3502" s="23" t="s">
        <v>7501</v>
      </c>
      <c r="D3502" s="23" t="s">
        <v>92</v>
      </c>
      <c r="E3502" s="23" t="s">
        <v>79</v>
      </c>
      <c r="F3502" s="23" t="s">
        <v>390</v>
      </c>
      <c r="G3502" s="23" t="s">
        <v>250</v>
      </c>
      <c r="H3502" s="39">
        <f t="shared" si="216"/>
        <v>599</v>
      </c>
      <c r="I3502" s="23" t="str">
        <f t="shared" si="217"/>
        <v>Hyderabad</v>
      </c>
      <c r="J3502" s="23">
        <f>COUNTIFS(pg_transaction_cleaned!$O:$O,A3502,pg_transaction_cleaned!$F:$F,"CAPTURE")</f>
        <v>1</v>
      </c>
      <c r="K3502" s="39">
        <f>SUMIFS(pg_transaction_cleaned!$H:$H,pg_transaction_cleaned!$O:$O,A3502,pg_transaction_cleaned!$F:$F,"CAPTURE")</f>
        <v>599</v>
      </c>
      <c r="L3502" s="23">
        <f>COUNTIFS(pg_transaction_cleaned!$O:$O,A3502,pg_transaction_cleaned!$F:$F,"REFUND")</f>
        <v>0</v>
      </c>
      <c r="M3502" s="39">
        <f>SUMIFS(pg_transaction_cleaned!$H:$H,pg_transaction_cleaned!$O:$O,A3502,pg_transaction_cleaned!$F:$F,"REFUND")</f>
        <v>0</v>
      </c>
      <c r="N3502" s="23" t="str">
        <f t="shared" si="218"/>
        <v>OK</v>
      </c>
      <c r="O3502" s="24">
        <f t="shared" si="219"/>
        <v>0</v>
      </c>
    </row>
    <row r="3503" spans="1:15" ht="15" customHeight="1" x14ac:dyDescent="0.3">
      <c r="A3503" s="23" t="s">
        <v>7502</v>
      </c>
      <c r="B3503" s="38">
        <v>46292</v>
      </c>
      <c r="C3503" s="23" t="s">
        <v>7503</v>
      </c>
      <c r="D3503" s="23" t="s">
        <v>86</v>
      </c>
      <c r="E3503" s="23" t="s">
        <v>81</v>
      </c>
      <c r="F3503" s="23" t="s">
        <v>310</v>
      </c>
      <c r="G3503" s="23" t="s">
        <v>250</v>
      </c>
      <c r="H3503" s="39">
        <f t="shared" si="216"/>
        <v>7999</v>
      </c>
      <c r="I3503" s="23" t="str">
        <f t="shared" si="217"/>
        <v>Delhi</v>
      </c>
      <c r="J3503" s="23">
        <f>COUNTIFS(pg_transaction_cleaned!$O:$O,A3503,pg_transaction_cleaned!$F:$F,"CAPTURE")</f>
        <v>1</v>
      </c>
      <c r="K3503" s="39">
        <f>SUMIFS(pg_transaction_cleaned!$H:$H,pg_transaction_cleaned!$O:$O,A3503,pg_transaction_cleaned!$F:$F,"CAPTURE")</f>
        <v>7999</v>
      </c>
      <c r="L3503" s="23">
        <f>COUNTIFS(pg_transaction_cleaned!$O:$O,A3503,pg_transaction_cleaned!$F:$F,"REFUND")</f>
        <v>0</v>
      </c>
      <c r="M3503" s="39">
        <f>SUMIFS(pg_transaction_cleaned!$H:$H,pg_transaction_cleaned!$O:$O,A3503,pg_transaction_cleaned!$F:$F,"REFUND")</f>
        <v>0</v>
      </c>
      <c r="N3503" s="23" t="str">
        <f t="shared" si="218"/>
        <v>OK</v>
      </c>
      <c r="O3503" s="24">
        <f t="shared" si="219"/>
        <v>0</v>
      </c>
    </row>
    <row r="3504" spans="1:15" ht="15" customHeight="1" x14ac:dyDescent="0.3">
      <c r="A3504" s="23" t="s">
        <v>7504</v>
      </c>
      <c r="B3504" s="38">
        <v>46278</v>
      </c>
      <c r="C3504" s="23" t="s">
        <v>7505</v>
      </c>
      <c r="D3504" s="23" t="s">
        <v>89</v>
      </c>
      <c r="E3504" s="23" t="s">
        <v>75</v>
      </c>
      <c r="F3504" s="23" t="s">
        <v>262</v>
      </c>
      <c r="G3504" s="23" t="s">
        <v>250</v>
      </c>
      <c r="H3504" s="39">
        <f t="shared" si="216"/>
        <v>499</v>
      </c>
      <c r="I3504" s="23" t="str">
        <f t="shared" si="217"/>
        <v>Jaipur</v>
      </c>
      <c r="J3504" s="23">
        <f>COUNTIFS(pg_transaction_cleaned!$O:$O,A3504,pg_transaction_cleaned!$F:$F,"CAPTURE")</f>
        <v>1</v>
      </c>
      <c r="K3504" s="39">
        <f>SUMIFS(pg_transaction_cleaned!$H:$H,pg_transaction_cleaned!$O:$O,A3504,pg_transaction_cleaned!$F:$F,"CAPTURE")</f>
        <v>499</v>
      </c>
      <c r="L3504" s="23">
        <f>COUNTIFS(pg_transaction_cleaned!$O:$O,A3504,pg_transaction_cleaned!$F:$F,"REFUND")</f>
        <v>0</v>
      </c>
      <c r="M3504" s="39">
        <f>SUMIFS(pg_transaction_cleaned!$H:$H,pg_transaction_cleaned!$O:$O,A3504,pg_transaction_cleaned!$F:$F,"REFUND")</f>
        <v>0</v>
      </c>
      <c r="N3504" s="23" t="str">
        <f t="shared" si="218"/>
        <v>OK</v>
      </c>
      <c r="O3504" s="24">
        <f t="shared" si="219"/>
        <v>0</v>
      </c>
    </row>
    <row r="3505" spans="1:15" ht="15" customHeight="1" x14ac:dyDescent="0.3">
      <c r="A3505" s="23" t="s">
        <v>7506</v>
      </c>
      <c r="B3505" s="38">
        <v>46278</v>
      </c>
      <c r="C3505" s="23" t="s">
        <v>7507</v>
      </c>
      <c r="D3505" s="23" t="s">
        <v>87</v>
      </c>
      <c r="E3505" s="23" t="s">
        <v>75</v>
      </c>
      <c r="F3505" s="23" t="s">
        <v>315</v>
      </c>
      <c r="G3505" s="23" t="s">
        <v>250</v>
      </c>
      <c r="H3505" s="39">
        <f t="shared" si="216"/>
        <v>1499</v>
      </c>
      <c r="I3505" s="23" t="str">
        <f t="shared" si="217"/>
        <v>Mumbai</v>
      </c>
      <c r="J3505" s="23">
        <f>COUNTIFS(pg_transaction_cleaned!$O:$O,A3505,pg_transaction_cleaned!$F:$F,"CAPTURE")</f>
        <v>1</v>
      </c>
      <c r="K3505" s="39">
        <f>SUMIFS(pg_transaction_cleaned!$H:$H,pg_transaction_cleaned!$O:$O,A3505,pg_transaction_cleaned!$F:$F,"CAPTURE")</f>
        <v>1499</v>
      </c>
      <c r="L3505" s="23">
        <f>COUNTIFS(pg_transaction_cleaned!$O:$O,A3505,pg_transaction_cleaned!$F:$F,"REFUND")</f>
        <v>0</v>
      </c>
      <c r="M3505" s="39">
        <f>SUMIFS(pg_transaction_cleaned!$H:$H,pg_transaction_cleaned!$O:$O,A3505,pg_transaction_cleaned!$F:$F,"REFUND")</f>
        <v>0</v>
      </c>
      <c r="N3505" s="23" t="str">
        <f t="shared" si="218"/>
        <v>OK</v>
      </c>
      <c r="O3505" s="24">
        <f t="shared" si="219"/>
        <v>0</v>
      </c>
    </row>
    <row r="3506" spans="1:15" ht="15" customHeight="1" x14ac:dyDescent="0.3">
      <c r="A3506" s="23" t="s">
        <v>7508</v>
      </c>
      <c r="B3506" s="38">
        <v>46280</v>
      </c>
      <c r="C3506" s="23" t="s">
        <v>7509</v>
      </c>
      <c r="D3506" s="23" t="s">
        <v>95</v>
      </c>
      <c r="E3506" s="23" t="s">
        <v>75</v>
      </c>
      <c r="F3506" s="23" t="s">
        <v>256</v>
      </c>
      <c r="G3506" s="23" t="s">
        <v>250</v>
      </c>
      <c r="H3506" s="39">
        <f t="shared" si="216"/>
        <v>2098</v>
      </c>
      <c r="I3506" s="23" t="str">
        <f t="shared" si="217"/>
        <v>Bengaluru</v>
      </c>
      <c r="J3506" s="23">
        <f>COUNTIFS(pg_transaction_cleaned!$O:$O,A3506,pg_transaction_cleaned!$F:$F,"CAPTURE")</f>
        <v>1</v>
      </c>
      <c r="K3506" s="39">
        <f>SUMIFS(pg_transaction_cleaned!$H:$H,pg_transaction_cleaned!$O:$O,A3506,pg_transaction_cleaned!$F:$F,"CAPTURE")</f>
        <v>2098</v>
      </c>
      <c r="L3506" s="23">
        <f>COUNTIFS(pg_transaction_cleaned!$O:$O,A3506,pg_transaction_cleaned!$F:$F,"REFUND")</f>
        <v>0</v>
      </c>
      <c r="M3506" s="39">
        <f>SUMIFS(pg_transaction_cleaned!$H:$H,pg_transaction_cleaned!$O:$O,A3506,pg_transaction_cleaned!$F:$F,"REFUND")</f>
        <v>0</v>
      </c>
      <c r="N3506" s="23" t="str">
        <f t="shared" si="218"/>
        <v>OK</v>
      </c>
      <c r="O3506" s="24">
        <f t="shared" si="219"/>
        <v>0</v>
      </c>
    </row>
    <row r="3507" spans="1:15" ht="15" customHeight="1" x14ac:dyDescent="0.3">
      <c r="A3507" s="23" t="s">
        <v>7510</v>
      </c>
      <c r="B3507" s="38">
        <v>46270</v>
      </c>
      <c r="C3507" s="23" t="s">
        <v>7511</v>
      </c>
      <c r="D3507" s="23" t="s">
        <v>95</v>
      </c>
      <c r="E3507" s="23" t="s">
        <v>75</v>
      </c>
      <c r="F3507" s="23" t="s">
        <v>2337</v>
      </c>
      <c r="G3507" s="23" t="s">
        <v>250</v>
      </c>
      <c r="H3507" s="39">
        <f t="shared" si="216"/>
        <v>8348</v>
      </c>
      <c r="I3507" s="23" t="str">
        <f t="shared" si="217"/>
        <v>Bengaluru</v>
      </c>
      <c r="J3507" s="23">
        <f>COUNTIFS(pg_transaction_cleaned!$O:$O,A3507,pg_transaction_cleaned!$F:$F,"CAPTURE")</f>
        <v>1</v>
      </c>
      <c r="K3507" s="39">
        <f>SUMIFS(pg_transaction_cleaned!$H:$H,pg_transaction_cleaned!$O:$O,A3507,pg_transaction_cleaned!$F:$F,"CAPTURE")</f>
        <v>8348</v>
      </c>
      <c r="L3507" s="23">
        <f>COUNTIFS(pg_transaction_cleaned!$O:$O,A3507,pg_transaction_cleaned!$F:$F,"REFUND")</f>
        <v>0</v>
      </c>
      <c r="M3507" s="39">
        <f>SUMIFS(pg_transaction_cleaned!$H:$H,pg_transaction_cleaned!$O:$O,A3507,pg_transaction_cleaned!$F:$F,"REFUND")</f>
        <v>0</v>
      </c>
      <c r="N3507" s="23" t="str">
        <f t="shared" si="218"/>
        <v>OK</v>
      </c>
      <c r="O3507" s="24">
        <f t="shared" si="219"/>
        <v>0</v>
      </c>
    </row>
    <row r="3508" spans="1:15" ht="15" customHeight="1" x14ac:dyDescent="0.3">
      <c r="A3508" s="23" t="s">
        <v>7512</v>
      </c>
      <c r="B3508" s="38">
        <v>46289</v>
      </c>
      <c r="C3508" s="23" t="s">
        <v>7513</v>
      </c>
      <c r="D3508" s="23" t="s">
        <v>86</v>
      </c>
      <c r="E3508" s="23" t="s">
        <v>75</v>
      </c>
      <c r="F3508" s="23" t="s">
        <v>553</v>
      </c>
      <c r="G3508" s="23" t="s">
        <v>250</v>
      </c>
      <c r="H3508" s="39">
        <f t="shared" si="216"/>
        <v>2798</v>
      </c>
      <c r="I3508" s="23" t="str">
        <f t="shared" si="217"/>
        <v>Delhi</v>
      </c>
      <c r="J3508" s="23">
        <f>COUNTIFS(pg_transaction_cleaned!$O:$O,A3508,pg_transaction_cleaned!$F:$F,"CAPTURE")</f>
        <v>1</v>
      </c>
      <c r="K3508" s="39">
        <f>SUMIFS(pg_transaction_cleaned!$H:$H,pg_transaction_cleaned!$O:$O,A3508,pg_transaction_cleaned!$F:$F,"CAPTURE")</f>
        <v>2798</v>
      </c>
      <c r="L3508" s="23">
        <f>COUNTIFS(pg_transaction_cleaned!$O:$O,A3508,pg_transaction_cleaned!$F:$F,"REFUND")</f>
        <v>0</v>
      </c>
      <c r="M3508" s="39">
        <f>SUMIFS(pg_transaction_cleaned!$H:$H,pg_transaction_cleaned!$O:$O,A3508,pg_transaction_cleaned!$F:$F,"REFUND")</f>
        <v>0</v>
      </c>
      <c r="N3508" s="23" t="str">
        <f t="shared" si="218"/>
        <v>OK</v>
      </c>
      <c r="O3508" s="24">
        <f t="shared" si="219"/>
        <v>0</v>
      </c>
    </row>
    <row r="3509" spans="1:15" ht="15" customHeight="1" x14ac:dyDescent="0.3">
      <c r="A3509" s="23" t="s">
        <v>7514</v>
      </c>
      <c r="B3509" s="38">
        <v>46272</v>
      </c>
      <c r="C3509" s="23" t="s">
        <v>7515</v>
      </c>
      <c r="D3509" s="23" t="s">
        <v>93</v>
      </c>
      <c r="E3509" s="23" t="s">
        <v>75</v>
      </c>
      <c r="F3509" s="23" t="s">
        <v>772</v>
      </c>
      <c r="G3509" s="23" t="s">
        <v>250</v>
      </c>
      <c r="H3509" s="39">
        <f t="shared" si="216"/>
        <v>4798</v>
      </c>
      <c r="I3509" s="23" t="str">
        <f t="shared" si="217"/>
        <v>Kolkata</v>
      </c>
      <c r="J3509" s="23">
        <f>COUNTIFS(pg_transaction_cleaned!$O:$O,A3509,pg_transaction_cleaned!$F:$F,"CAPTURE")</f>
        <v>1</v>
      </c>
      <c r="K3509" s="39">
        <f>SUMIFS(pg_transaction_cleaned!$H:$H,pg_transaction_cleaned!$O:$O,A3509,pg_transaction_cleaned!$F:$F,"CAPTURE")</f>
        <v>4798</v>
      </c>
      <c r="L3509" s="23">
        <f>COUNTIFS(pg_transaction_cleaned!$O:$O,A3509,pg_transaction_cleaned!$F:$F,"REFUND")</f>
        <v>0</v>
      </c>
      <c r="M3509" s="39">
        <f>SUMIFS(pg_transaction_cleaned!$H:$H,pg_transaction_cleaned!$O:$O,A3509,pg_transaction_cleaned!$F:$F,"REFUND")</f>
        <v>0</v>
      </c>
      <c r="N3509" s="23" t="str">
        <f t="shared" si="218"/>
        <v>OK</v>
      </c>
      <c r="O3509" s="24">
        <f t="shared" si="219"/>
        <v>0</v>
      </c>
    </row>
    <row r="3510" spans="1:15" ht="15" customHeight="1" x14ac:dyDescent="0.3">
      <c r="A3510" s="23" t="s">
        <v>7516</v>
      </c>
      <c r="B3510" s="38">
        <v>46294</v>
      </c>
      <c r="C3510" s="23" t="s">
        <v>7517</v>
      </c>
      <c r="D3510" s="23"/>
      <c r="E3510" s="23" t="s">
        <v>77</v>
      </c>
      <c r="F3510" s="23" t="s">
        <v>685</v>
      </c>
      <c r="G3510" s="23" t="s">
        <v>250</v>
      </c>
      <c r="H3510" s="39">
        <f t="shared" si="216"/>
        <v>8797</v>
      </c>
      <c r="I3510" s="23" t="str">
        <f t="shared" si="217"/>
        <v>Unknown</v>
      </c>
      <c r="J3510" s="23">
        <f>COUNTIFS(pg_transaction_cleaned!$O:$O,A3510,pg_transaction_cleaned!$F:$F,"CAPTURE")</f>
        <v>1</v>
      </c>
      <c r="K3510" s="39">
        <f>SUMIFS(pg_transaction_cleaned!$H:$H,pg_transaction_cleaned!$O:$O,A3510,pg_transaction_cleaned!$F:$F,"CAPTURE")</f>
        <v>8797</v>
      </c>
      <c r="L3510" s="23">
        <f>COUNTIFS(pg_transaction_cleaned!$O:$O,A3510,pg_transaction_cleaned!$F:$F,"REFUND")</f>
        <v>0</v>
      </c>
      <c r="M3510" s="39">
        <f>SUMIFS(pg_transaction_cleaned!$H:$H,pg_transaction_cleaned!$O:$O,A3510,pg_transaction_cleaned!$F:$F,"REFUND")</f>
        <v>0</v>
      </c>
      <c r="N3510" s="23" t="str">
        <f t="shared" si="218"/>
        <v>OK</v>
      </c>
      <c r="O3510" s="24">
        <f t="shared" si="219"/>
        <v>0</v>
      </c>
    </row>
    <row r="3511" spans="1:15" ht="15" customHeight="1" x14ac:dyDescent="0.3">
      <c r="A3511" s="23" t="s">
        <v>7518</v>
      </c>
      <c r="B3511" s="38">
        <v>46284</v>
      </c>
      <c r="C3511" s="23" t="s">
        <v>7519</v>
      </c>
      <c r="D3511" s="23" t="s">
        <v>92</v>
      </c>
      <c r="E3511" s="23" t="s">
        <v>79</v>
      </c>
      <c r="F3511" s="23" t="s">
        <v>805</v>
      </c>
      <c r="G3511" s="23" t="s">
        <v>250</v>
      </c>
      <c r="H3511" s="39">
        <f t="shared" si="216"/>
        <v>1397</v>
      </c>
      <c r="I3511" s="23" t="str">
        <f t="shared" si="217"/>
        <v>Hyderabad</v>
      </c>
      <c r="J3511" s="23">
        <f>COUNTIFS(pg_transaction_cleaned!$O:$O,A3511,pg_transaction_cleaned!$F:$F,"CAPTURE")</f>
        <v>1</v>
      </c>
      <c r="K3511" s="39">
        <f>SUMIFS(pg_transaction_cleaned!$H:$H,pg_transaction_cleaned!$O:$O,A3511,pg_transaction_cleaned!$F:$F,"CAPTURE")</f>
        <v>1397</v>
      </c>
      <c r="L3511" s="23">
        <f>COUNTIFS(pg_transaction_cleaned!$O:$O,A3511,pg_transaction_cleaned!$F:$F,"REFUND")</f>
        <v>0</v>
      </c>
      <c r="M3511" s="39">
        <f>SUMIFS(pg_transaction_cleaned!$H:$H,pg_transaction_cleaned!$O:$O,A3511,pg_transaction_cleaned!$F:$F,"REFUND")</f>
        <v>0</v>
      </c>
      <c r="N3511" s="23" t="str">
        <f t="shared" si="218"/>
        <v>OK</v>
      </c>
      <c r="O3511" s="24">
        <f t="shared" si="219"/>
        <v>0</v>
      </c>
    </row>
    <row r="3512" spans="1:15" ht="15" customHeight="1" x14ac:dyDescent="0.3">
      <c r="A3512" s="23" t="s">
        <v>7520</v>
      </c>
      <c r="B3512" s="38">
        <v>46266</v>
      </c>
      <c r="C3512" s="23" t="s">
        <v>7521</v>
      </c>
      <c r="D3512" s="23" t="s">
        <v>86</v>
      </c>
      <c r="E3512" s="23" t="s">
        <v>75</v>
      </c>
      <c r="F3512" s="23" t="s">
        <v>775</v>
      </c>
      <c r="G3512" s="23" t="s">
        <v>250</v>
      </c>
      <c r="H3512" s="39">
        <f t="shared" si="216"/>
        <v>4999</v>
      </c>
      <c r="I3512" s="23" t="str">
        <f t="shared" si="217"/>
        <v>Delhi</v>
      </c>
      <c r="J3512" s="23">
        <f>COUNTIFS(pg_transaction_cleaned!$O:$O,A3512,pg_transaction_cleaned!$F:$F,"CAPTURE")</f>
        <v>1</v>
      </c>
      <c r="K3512" s="39">
        <f>SUMIFS(pg_transaction_cleaned!$H:$H,pg_transaction_cleaned!$O:$O,A3512,pg_transaction_cleaned!$F:$F,"CAPTURE")</f>
        <v>4999</v>
      </c>
      <c r="L3512" s="23">
        <f>COUNTIFS(pg_transaction_cleaned!$O:$O,A3512,pg_transaction_cleaned!$F:$F,"REFUND")</f>
        <v>0</v>
      </c>
      <c r="M3512" s="39">
        <f>SUMIFS(pg_transaction_cleaned!$H:$H,pg_transaction_cleaned!$O:$O,A3512,pg_transaction_cleaned!$F:$F,"REFUND")</f>
        <v>0</v>
      </c>
      <c r="N3512" s="23" t="str">
        <f t="shared" si="218"/>
        <v>OK</v>
      </c>
      <c r="O3512" s="24">
        <f t="shared" si="219"/>
        <v>0</v>
      </c>
    </row>
    <row r="3513" spans="1:15" ht="15" customHeight="1" x14ac:dyDescent="0.3">
      <c r="A3513" s="23" t="s">
        <v>7522</v>
      </c>
      <c r="B3513" s="38">
        <v>46281</v>
      </c>
      <c r="C3513" s="23" t="s">
        <v>7523</v>
      </c>
      <c r="D3513" s="23" t="s">
        <v>88</v>
      </c>
      <c r="E3513" s="23" t="s">
        <v>75</v>
      </c>
      <c r="F3513" s="23" t="s">
        <v>271</v>
      </c>
      <c r="G3513" s="23" t="s">
        <v>250</v>
      </c>
      <c r="H3513" s="39">
        <f t="shared" si="216"/>
        <v>2499</v>
      </c>
      <c r="I3513" s="23" t="str">
        <f t="shared" si="217"/>
        <v>Lucknow</v>
      </c>
      <c r="J3513" s="23">
        <f>COUNTIFS(pg_transaction_cleaned!$O:$O,A3513,pg_transaction_cleaned!$F:$F,"CAPTURE")</f>
        <v>1</v>
      </c>
      <c r="K3513" s="39">
        <f>SUMIFS(pg_transaction_cleaned!$H:$H,pg_transaction_cleaned!$O:$O,A3513,pg_transaction_cleaned!$F:$F,"CAPTURE")</f>
        <v>2499</v>
      </c>
      <c r="L3513" s="23">
        <f>COUNTIFS(pg_transaction_cleaned!$O:$O,A3513,pg_transaction_cleaned!$F:$F,"REFUND")</f>
        <v>0</v>
      </c>
      <c r="M3513" s="39">
        <f>SUMIFS(pg_transaction_cleaned!$H:$H,pg_transaction_cleaned!$O:$O,A3513,pg_transaction_cleaned!$F:$F,"REFUND")</f>
        <v>0</v>
      </c>
      <c r="N3513" s="23" t="str">
        <f t="shared" si="218"/>
        <v>OK</v>
      </c>
      <c r="O3513" s="24">
        <f t="shared" si="219"/>
        <v>0</v>
      </c>
    </row>
    <row r="3514" spans="1:15" ht="15" customHeight="1" x14ac:dyDescent="0.3">
      <c r="A3514" s="23" t="s">
        <v>7524</v>
      </c>
      <c r="B3514" s="38">
        <v>46293</v>
      </c>
      <c r="C3514" s="23" t="s">
        <v>7525</v>
      </c>
      <c r="D3514" s="23"/>
      <c r="E3514" s="23" t="s">
        <v>75</v>
      </c>
      <c r="F3514" s="23" t="s">
        <v>256</v>
      </c>
      <c r="G3514" s="23" t="s">
        <v>250</v>
      </c>
      <c r="H3514" s="39">
        <f t="shared" si="216"/>
        <v>2098</v>
      </c>
      <c r="I3514" s="23" t="str">
        <f t="shared" si="217"/>
        <v>Unknown</v>
      </c>
      <c r="J3514" s="23">
        <f>COUNTIFS(pg_transaction_cleaned!$O:$O,A3514,pg_transaction_cleaned!$F:$F,"CAPTURE")</f>
        <v>1</v>
      </c>
      <c r="K3514" s="39">
        <f>SUMIFS(pg_transaction_cleaned!$H:$H,pg_transaction_cleaned!$O:$O,A3514,pg_transaction_cleaned!$F:$F,"CAPTURE")</f>
        <v>2098</v>
      </c>
      <c r="L3514" s="23">
        <f>COUNTIFS(pg_transaction_cleaned!$O:$O,A3514,pg_transaction_cleaned!$F:$F,"REFUND")</f>
        <v>0</v>
      </c>
      <c r="M3514" s="39">
        <f>SUMIFS(pg_transaction_cleaned!$H:$H,pg_transaction_cleaned!$O:$O,A3514,pg_transaction_cleaned!$F:$F,"REFUND")</f>
        <v>0</v>
      </c>
      <c r="N3514" s="23" t="str">
        <f t="shared" si="218"/>
        <v>OK</v>
      </c>
      <c r="O3514" s="24">
        <f t="shared" si="219"/>
        <v>0</v>
      </c>
    </row>
    <row r="3515" spans="1:15" ht="15" customHeight="1" x14ac:dyDescent="0.3">
      <c r="A3515" s="23" t="s">
        <v>7526</v>
      </c>
      <c r="B3515" s="38">
        <v>46279</v>
      </c>
      <c r="C3515" s="23" t="s">
        <v>7527</v>
      </c>
      <c r="D3515" s="23" t="s">
        <v>90</v>
      </c>
      <c r="E3515" s="23" t="s">
        <v>79</v>
      </c>
      <c r="F3515" s="23" t="s">
        <v>307</v>
      </c>
      <c r="G3515" s="23" t="s">
        <v>250</v>
      </c>
      <c r="H3515" s="39">
        <f t="shared" si="216"/>
        <v>3798</v>
      </c>
      <c r="I3515" s="23" t="str">
        <f t="shared" si="217"/>
        <v>Ahmedabad</v>
      </c>
      <c r="J3515" s="23">
        <f>COUNTIFS(pg_transaction_cleaned!$O:$O,A3515,pg_transaction_cleaned!$F:$F,"CAPTURE")</f>
        <v>1</v>
      </c>
      <c r="K3515" s="39">
        <f>SUMIFS(pg_transaction_cleaned!$H:$H,pg_transaction_cleaned!$O:$O,A3515,pg_transaction_cleaned!$F:$F,"CAPTURE")</f>
        <v>3798</v>
      </c>
      <c r="L3515" s="23">
        <f>COUNTIFS(pg_transaction_cleaned!$O:$O,A3515,pg_transaction_cleaned!$F:$F,"REFUND")</f>
        <v>0</v>
      </c>
      <c r="M3515" s="39">
        <f>SUMIFS(pg_transaction_cleaned!$H:$H,pg_transaction_cleaned!$O:$O,A3515,pg_transaction_cleaned!$F:$F,"REFUND")</f>
        <v>0</v>
      </c>
      <c r="N3515" s="23" t="str">
        <f t="shared" si="218"/>
        <v>OK</v>
      </c>
      <c r="O3515" s="24">
        <f t="shared" si="219"/>
        <v>0</v>
      </c>
    </row>
    <row r="3516" spans="1:15" ht="15" customHeight="1" x14ac:dyDescent="0.3">
      <c r="A3516" s="23" t="s">
        <v>7528</v>
      </c>
      <c r="B3516" s="38">
        <v>46288</v>
      </c>
      <c r="C3516" s="23" t="s">
        <v>3865</v>
      </c>
      <c r="D3516" s="23" t="s">
        <v>88</v>
      </c>
      <c r="E3516" s="23" t="s">
        <v>75</v>
      </c>
      <c r="F3516" s="23" t="s">
        <v>265</v>
      </c>
      <c r="G3516" s="23" t="s">
        <v>250</v>
      </c>
      <c r="H3516" s="39">
        <f t="shared" si="216"/>
        <v>999</v>
      </c>
      <c r="I3516" s="23" t="str">
        <f t="shared" si="217"/>
        <v>Lucknow</v>
      </c>
      <c r="J3516" s="23">
        <f>COUNTIFS(pg_transaction_cleaned!$O:$O,A3516,pg_transaction_cleaned!$F:$F,"CAPTURE")</f>
        <v>1</v>
      </c>
      <c r="K3516" s="39">
        <f>SUMIFS(pg_transaction_cleaned!$H:$H,pg_transaction_cleaned!$O:$O,A3516,pg_transaction_cleaned!$F:$F,"CAPTURE")</f>
        <v>999</v>
      </c>
      <c r="L3516" s="23">
        <f>COUNTIFS(pg_transaction_cleaned!$O:$O,A3516,pg_transaction_cleaned!$F:$F,"REFUND")</f>
        <v>0</v>
      </c>
      <c r="M3516" s="39">
        <f>SUMIFS(pg_transaction_cleaned!$H:$H,pg_transaction_cleaned!$O:$O,A3516,pg_transaction_cleaned!$F:$F,"REFUND")</f>
        <v>0</v>
      </c>
      <c r="N3516" s="23" t="str">
        <f t="shared" si="218"/>
        <v>OK</v>
      </c>
      <c r="O3516" s="24">
        <f t="shared" si="219"/>
        <v>0</v>
      </c>
    </row>
    <row r="3517" spans="1:15" ht="15" customHeight="1" x14ac:dyDescent="0.3">
      <c r="A3517" s="23" t="s">
        <v>7529</v>
      </c>
      <c r="B3517" s="38">
        <v>46288</v>
      </c>
      <c r="C3517" s="23" t="s">
        <v>7530</v>
      </c>
      <c r="D3517" s="23" t="s">
        <v>86</v>
      </c>
      <c r="E3517" s="23" t="s">
        <v>75</v>
      </c>
      <c r="F3517" s="23" t="s">
        <v>329</v>
      </c>
      <c r="G3517" s="23" t="s">
        <v>250</v>
      </c>
      <c r="H3517" s="39">
        <f t="shared" si="216"/>
        <v>599</v>
      </c>
      <c r="I3517" s="23" t="str">
        <f t="shared" si="217"/>
        <v>Delhi</v>
      </c>
      <c r="J3517" s="23">
        <f>COUNTIFS(pg_transaction_cleaned!$O:$O,A3517,pg_transaction_cleaned!$F:$F,"CAPTURE")</f>
        <v>1</v>
      </c>
      <c r="K3517" s="39">
        <f>SUMIFS(pg_transaction_cleaned!$H:$H,pg_transaction_cleaned!$O:$O,A3517,pg_transaction_cleaned!$F:$F,"CAPTURE")</f>
        <v>599</v>
      </c>
      <c r="L3517" s="23">
        <f>COUNTIFS(pg_transaction_cleaned!$O:$O,A3517,pg_transaction_cleaned!$F:$F,"REFUND")</f>
        <v>0</v>
      </c>
      <c r="M3517" s="39">
        <f>SUMIFS(pg_transaction_cleaned!$H:$H,pg_transaction_cleaned!$O:$O,A3517,pg_transaction_cleaned!$F:$F,"REFUND")</f>
        <v>0</v>
      </c>
      <c r="N3517" s="23" t="str">
        <f t="shared" si="218"/>
        <v>OK</v>
      </c>
      <c r="O3517" s="24">
        <f t="shared" si="219"/>
        <v>0</v>
      </c>
    </row>
    <row r="3518" spans="1:15" ht="15" customHeight="1" x14ac:dyDescent="0.3">
      <c r="A3518" s="23" t="s">
        <v>7531</v>
      </c>
      <c r="B3518" s="38">
        <v>46281</v>
      </c>
      <c r="C3518" s="23" t="s">
        <v>3537</v>
      </c>
      <c r="D3518" s="23" t="s">
        <v>95</v>
      </c>
      <c r="E3518" s="23" t="s">
        <v>81</v>
      </c>
      <c r="F3518" s="23" t="s">
        <v>310</v>
      </c>
      <c r="G3518" s="23" t="s">
        <v>250</v>
      </c>
      <c r="H3518" s="39">
        <f t="shared" si="216"/>
        <v>7999</v>
      </c>
      <c r="I3518" s="23" t="str">
        <f t="shared" si="217"/>
        <v>Bengaluru</v>
      </c>
      <c r="J3518" s="23">
        <f>COUNTIFS(pg_transaction_cleaned!$O:$O,A3518,pg_transaction_cleaned!$F:$F,"CAPTURE")</f>
        <v>1</v>
      </c>
      <c r="K3518" s="39">
        <f>SUMIFS(pg_transaction_cleaned!$H:$H,pg_transaction_cleaned!$O:$O,A3518,pg_transaction_cleaned!$F:$F,"CAPTURE")</f>
        <v>7999</v>
      </c>
      <c r="L3518" s="23">
        <f>COUNTIFS(pg_transaction_cleaned!$O:$O,A3518,pg_transaction_cleaned!$F:$F,"REFUND")</f>
        <v>0</v>
      </c>
      <c r="M3518" s="39">
        <f>SUMIFS(pg_transaction_cleaned!$H:$H,pg_transaction_cleaned!$O:$O,A3518,pg_transaction_cleaned!$F:$F,"REFUND")</f>
        <v>0</v>
      </c>
      <c r="N3518" s="23" t="str">
        <f t="shared" si="218"/>
        <v>OK</v>
      </c>
      <c r="O3518" s="24">
        <f t="shared" si="219"/>
        <v>0</v>
      </c>
    </row>
    <row r="3519" spans="1:15" ht="15" customHeight="1" x14ac:dyDescent="0.3">
      <c r="A3519" s="23" t="s">
        <v>7532</v>
      </c>
      <c r="B3519" s="38">
        <v>46271</v>
      </c>
      <c r="C3519" s="23" t="s">
        <v>7533</v>
      </c>
      <c r="D3519" s="23" t="s">
        <v>90</v>
      </c>
      <c r="E3519" s="23" t="s">
        <v>77</v>
      </c>
      <c r="F3519" s="23" t="s">
        <v>291</v>
      </c>
      <c r="G3519" s="23" t="s">
        <v>250</v>
      </c>
      <c r="H3519" s="39">
        <f t="shared" si="216"/>
        <v>3499</v>
      </c>
      <c r="I3519" s="23" t="str">
        <f t="shared" si="217"/>
        <v>Ahmedabad</v>
      </c>
      <c r="J3519" s="23">
        <f>COUNTIFS(pg_transaction_cleaned!$O:$O,A3519,pg_transaction_cleaned!$F:$F,"CAPTURE")</f>
        <v>1</v>
      </c>
      <c r="K3519" s="39">
        <f>SUMIFS(pg_transaction_cleaned!$H:$H,pg_transaction_cleaned!$O:$O,A3519,pg_transaction_cleaned!$F:$F,"CAPTURE")</f>
        <v>3499</v>
      </c>
      <c r="L3519" s="23">
        <f>COUNTIFS(pg_transaction_cleaned!$O:$O,A3519,pg_transaction_cleaned!$F:$F,"REFUND")</f>
        <v>0</v>
      </c>
      <c r="M3519" s="39">
        <f>SUMIFS(pg_transaction_cleaned!$H:$H,pg_transaction_cleaned!$O:$O,A3519,pg_transaction_cleaned!$F:$F,"REFUND")</f>
        <v>0</v>
      </c>
      <c r="N3519" s="23" t="str">
        <f t="shared" si="218"/>
        <v>OK</v>
      </c>
      <c r="O3519" s="24">
        <f t="shared" si="219"/>
        <v>0</v>
      </c>
    </row>
    <row r="3520" spans="1:15" ht="15" customHeight="1" x14ac:dyDescent="0.3">
      <c r="A3520" s="23" t="s">
        <v>7534</v>
      </c>
      <c r="B3520" s="38">
        <v>46269</v>
      </c>
      <c r="C3520" s="23" t="s">
        <v>7535</v>
      </c>
      <c r="D3520" s="23" t="s">
        <v>90</v>
      </c>
      <c r="E3520" s="23" t="s">
        <v>75</v>
      </c>
      <c r="F3520" s="23" t="s">
        <v>297</v>
      </c>
      <c r="G3520" s="23" t="s">
        <v>250</v>
      </c>
      <c r="H3520" s="39">
        <f t="shared" si="216"/>
        <v>4999</v>
      </c>
      <c r="I3520" s="23" t="str">
        <f t="shared" si="217"/>
        <v>Ahmedabad</v>
      </c>
      <c r="J3520" s="23">
        <f>COUNTIFS(pg_transaction_cleaned!$O:$O,A3520,pg_transaction_cleaned!$F:$F,"CAPTURE")</f>
        <v>1</v>
      </c>
      <c r="K3520" s="39">
        <f>SUMIFS(pg_transaction_cleaned!$H:$H,pg_transaction_cleaned!$O:$O,A3520,pg_transaction_cleaned!$F:$F,"CAPTURE")</f>
        <v>4999</v>
      </c>
      <c r="L3520" s="23">
        <f>COUNTIFS(pg_transaction_cleaned!$O:$O,A3520,pg_transaction_cleaned!$F:$F,"REFUND")</f>
        <v>0</v>
      </c>
      <c r="M3520" s="39">
        <f>SUMIFS(pg_transaction_cleaned!$H:$H,pg_transaction_cleaned!$O:$O,A3520,pg_transaction_cleaned!$F:$F,"REFUND")</f>
        <v>0</v>
      </c>
      <c r="N3520" s="23" t="str">
        <f t="shared" si="218"/>
        <v>OK</v>
      </c>
      <c r="O3520" s="24">
        <f t="shared" si="219"/>
        <v>0</v>
      </c>
    </row>
    <row r="3521" spans="1:15" ht="15" customHeight="1" x14ac:dyDescent="0.3">
      <c r="A3521" s="23" t="s">
        <v>7536</v>
      </c>
      <c r="B3521" s="38">
        <v>46279</v>
      </c>
      <c r="C3521" s="23" t="s">
        <v>7537</v>
      </c>
      <c r="D3521" s="23" t="s">
        <v>86</v>
      </c>
      <c r="E3521" s="23" t="s">
        <v>75</v>
      </c>
      <c r="F3521" s="23" t="s">
        <v>574</v>
      </c>
      <c r="G3521" s="23" t="s">
        <v>250</v>
      </c>
      <c r="H3521" s="39">
        <f t="shared" si="216"/>
        <v>1848</v>
      </c>
      <c r="I3521" s="23" t="str">
        <f t="shared" si="217"/>
        <v>Delhi</v>
      </c>
      <c r="J3521" s="23">
        <f>COUNTIFS(pg_transaction_cleaned!$O:$O,A3521,pg_transaction_cleaned!$F:$F,"CAPTURE")</f>
        <v>1</v>
      </c>
      <c r="K3521" s="39">
        <f>SUMIFS(pg_transaction_cleaned!$H:$H,pg_transaction_cleaned!$O:$O,A3521,pg_transaction_cleaned!$F:$F,"CAPTURE")</f>
        <v>1848</v>
      </c>
      <c r="L3521" s="23">
        <f>COUNTIFS(pg_transaction_cleaned!$O:$O,A3521,pg_transaction_cleaned!$F:$F,"REFUND")</f>
        <v>0</v>
      </c>
      <c r="M3521" s="39">
        <f>SUMIFS(pg_transaction_cleaned!$H:$H,pg_transaction_cleaned!$O:$O,A3521,pg_transaction_cleaned!$F:$F,"REFUND")</f>
        <v>0</v>
      </c>
      <c r="N3521" s="23" t="str">
        <f t="shared" si="218"/>
        <v>OK</v>
      </c>
      <c r="O3521" s="24">
        <f t="shared" si="219"/>
        <v>0</v>
      </c>
    </row>
    <row r="3522" spans="1:15" ht="15" customHeight="1" x14ac:dyDescent="0.3">
      <c r="A3522" s="23" t="s">
        <v>7538</v>
      </c>
      <c r="B3522" s="38">
        <v>46285</v>
      </c>
      <c r="C3522" s="23" t="s">
        <v>7539</v>
      </c>
      <c r="D3522" s="23" t="s">
        <v>88</v>
      </c>
      <c r="E3522" s="23" t="s">
        <v>81</v>
      </c>
      <c r="F3522" s="23" t="s">
        <v>754</v>
      </c>
      <c r="G3522" s="23" t="s">
        <v>250</v>
      </c>
      <c r="H3522" s="39">
        <f t="shared" ref="H3522:H3585" si="220">VALUE(SUBSTITUTE(F3522,",",""))</f>
        <v>1348</v>
      </c>
      <c r="I3522" s="23" t="str">
        <f t="shared" ref="I3522:I3585" si="221">IF(TRIM(D3522)="","Unknown",TRIM(D3522))</f>
        <v>Lucknow</v>
      </c>
      <c r="J3522" s="23">
        <f>COUNTIFS(pg_transaction_cleaned!$O:$O,A3522,pg_transaction_cleaned!$F:$F,"CAPTURE")</f>
        <v>1</v>
      </c>
      <c r="K3522" s="39">
        <f>SUMIFS(pg_transaction_cleaned!$H:$H,pg_transaction_cleaned!$O:$O,A3522,pg_transaction_cleaned!$F:$F,"CAPTURE")</f>
        <v>1348</v>
      </c>
      <c r="L3522" s="23">
        <f>COUNTIFS(pg_transaction_cleaned!$O:$O,A3522,pg_transaction_cleaned!$F:$F,"REFUND")</f>
        <v>0</v>
      </c>
      <c r="M3522" s="39">
        <f>SUMIFS(pg_transaction_cleaned!$H:$H,pg_transaction_cleaned!$O:$O,A3522,pg_transaction_cleaned!$F:$F,"REFUND")</f>
        <v>0</v>
      </c>
      <c r="N3522" s="23" t="str">
        <f t="shared" ref="N3522:N3585" si="222">IF(AND(G3522="Paid",J3522=0),"Paid, no payment",IF(AND(OR(G3522="Failed",G3522="Cancelled"),J3522&gt;0),"Payment on failed/cancelled",IF(J3522&gt;1,"Duplicate charge",IF(AND(J3522=1,ROUND(K3522-H3522,2)&lt;&gt;0),"Amount difference",IF(AND(G3522="Refunded",L3522=0),"Refunded, no refund",IF(AND(G3522&lt;&gt;"Refunded",L3522&gt;0),"Refund, order not Refunded",IF(AND(L3522&gt;0,ROUND(M3522-H3522,2)&lt;&gt;0),"Refund amount differs","OK")))))))</f>
        <v>OK</v>
      </c>
      <c r="O3522" s="24">
        <f t="shared" ref="O3522:O3585" si="223">IF(N3522="OK",0,IF(N3522="Paid, no payment",H3522,IF(N3522="Payment on failed/cancelled",K3522,IF(OR(N3522="Duplicate charge",N3522="Amount difference"),K3522-H3522,IF(N3522="Refunded, no refund",H3522,M3522)))))</f>
        <v>0</v>
      </c>
    </row>
    <row r="3523" spans="1:15" ht="15" customHeight="1" x14ac:dyDescent="0.3">
      <c r="A3523" s="23" t="s">
        <v>7540</v>
      </c>
      <c r="B3523" s="38">
        <v>46283</v>
      </c>
      <c r="C3523" s="23" t="s">
        <v>7541</v>
      </c>
      <c r="D3523" s="23" t="s">
        <v>88</v>
      </c>
      <c r="E3523" s="23" t="s">
        <v>77</v>
      </c>
      <c r="F3523" s="23" t="s">
        <v>249</v>
      </c>
      <c r="G3523" s="23" t="s">
        <v>250</v>
      </c>
      <c r="H3523" s="39">
        <f t="shared" si="220"/>
        <v>299</v>
      </c>
      <c r="I3523" s="23" t="str">
        <f t="shared" si="221"/>
        <v>Lucknow</v>
      </c>
      <c r="J3523" s="23">
        <f>COUNTIFS(pg_transaction_cleaned!$O:$O,A3523,pg_transaction_cleaned!$F:$F,"CAPTURE")</f>
        <v>1</v>
      </c>
      <c r="K3523" s="39">
        <f>SUMIFS(pg_transaction_cleaned!$H:$H,pg_transaction_cleaned!$O:$O,A3523,pg_transaction_cleaned!$F:$F,"CAPTURE")</f>
        <v>299</v>
      </c>
      <c r="L3523" s="23">
        <f>COUNTIFS(pg_transaction_cleaned!$O:$O,A3523,pg_transaction_cleaned!$F:$F,"REFUND")</f>
        <v>0</v>
      </c>
      <c r="M3523" s="39">
        <f>SUMIFS(pg_transaction_cleaned!$H:$H,pg_transaction_cleaned!$O:$O,A3523,pg_transaction_cleaned!$F:$F,"REFUND")</f>
        <v>0</v>
      </c>
      <c r="N3523" s="23" t="str">
        <f t="shared" si="222"/>
        <v>OK</v>
      </c>
      <c r="O3523" s="24">
        <f t="shared" si="223"/>
        <v>0</v>
      </c>
    </row>
    <row r="3524" spans="1:15" ht="15" customHeight="1" x14ac:dyDescent="0.3">
      <c r="A3524" s="23" t="s">
        <v>7542</v>
      </c>
      <c r="B3524" s="38">
        <v>46266</v>
      </c>
      <c r="C3524" s="23" t="s">
        <v>7543</v>
      </c>
      <c r="D3524" s="23" t="s">
        <v>86</v>
      </c>
      <c r="E3524" s="23" t="s">
        <v>75</v>
      </c>
      <c r="F3524" s="23" t="s">
        <v>271</v>
      </c>
      <c r="G3524" s="23" t="s">
        <v>250</v>
      </c>
      <c r="H3524" s="39">
        <f t="shared" si="220"/>
        <v>2499</v>
      </c>
      <c r="I3524" s="23" t="str">
        <f t="shared" si="221"/>
        <v>Delhi</v>
      </c>
      <c r="J3524" s="23">
        <f>COUNTIFS(pg_transaction_cleaned!$O:$O,A3524,pg_transaction_cleaned!$F:$F,"CAPTURE")</f>
        <v>1</v>
      </c>
      <c r="K3524" s="39">
        <f>SUMIFS(pg_transaction_cleaned!$H:$H,pg_transaction_cleaned!$O:$O,A3524,pg_transaction_cleaned!$F:$F,"CAPTURE")</f>
        <v>2499</v>
      </c>
      <c r="L3524" s="23">
        <f>COUNTIFS(pg_transaction_cleaned!$O:$O,A3524,pg_transaction_cleaned!$F:$F,"REFUND")</f>
        <v>0</v>
      </c>
      <c r="M3524" s="39">
        <f>SUMIFS(pg_transaction_cleaned!$H:$H,pg_transaction_cleaned!$O:$O,A3524,pg_transaction_cleaned!$F:$F,"REFUND")</f>
        <v>0</v>
      </c>
      <c r="N3524" s="23" t="str">
        <f t="shared" si="222"/>
        <v>OK</v>
      </c>
      <c r="O3524" s="24">
        <f t="shared" si="223"/>
        <v>0</v>
      </c>
    </row>
    <row r="3525" spans="1:15" ht="15" customHeight="1" x14ac:dyDescent="0.3">
      <c r="A3525" s="23" t="s">
        <v>7544</v>
      </c>
      <c r="B3525" s="38">
        <v>46289</v>
      </c>
      <c r="C3525" s="23" t="s">
        <v>7545</v>
      </c>
      <c r="D3525" s="23" t="s">
        <v>86</v>
      </c>
      <c r="E3525" s="23" t="s">
        <v>75</v>
      </c>
      <c r="F3525" s="23" t="s">
        <v>1495</v>
      </c>
      <c r="G3525" s="23" t="s">
        <v>250</v>
      </c>
      <c r="H3525" s="39">
        <f t="shared" si="220"/>
        <v>7498</v>
      </c>
      <c r="I3525" s="23" t="str">
        <f t="shared" si="221"/>
        <v>Delhi</v>
      </c>
      <c r="J3525" s="23">
        <f>COUNTIFS(pg_transaction_cleaned!$O:$O,A3525,pg_transaction_cleaned!$F:$F,"CAPTURE")</f>
        <v>1</v>
      </c>
      <c r="K3525" s="39">
        <f>SUMIFS(pg_transaction_cleaned!$H:$H,pg_transaction_cleaned!$O:$O,A3525,pg_transaction_cleaned!$F:$F,"CAPTURE")</f>
        <v>7498</v>
      </c>
      <c r="L3525" s="23">
        <f>COUNTIFS(pg_transaction_cleaned!$O:$O,A3525,pg_transaction_cleaned!$F:$F,"REFUND")</f>
        <v>0</v>
      </c>
      <c r="M3525" s="39">
        <f>SUMIFS(pg_transaction_cleaned!$H:$H,pg_transaction_cleaned!$O:$O,A3525,pg_transaction_cleaned!$F:$F,"REFUND")</f>
        <v>0</v>
      </c>
      <c r="N3525" s="23" t="str">
        <f t="shared" si="222"/>
        <v>OK</v>
      </c>
      <c r="O3525" s="24">
        <f t="shared" si="223"/>
        <v>0</v>
      </c>
    </row>
    <row r="3526" spans="1:15" ht="15" customHeight="1" x14ac:dyDescent="0.3">
      <c r="A3526" s="23" t="s">
        <v>7546</v>
      </c>
      <c r="B3526" s="38">
        <v>46287</v>
      </c>
      <c r="C3526" s="23" t="s">
        <v>7547</v>
      </c>
      <c r="D3526" s="23" t="s">
        <v>87</v>
      </c>
      <c r="E3526" s="23" t="s">
        <v>75</v>
      </c>
      <c r="F3526" s="23" t="s">
        <v>880</v>
      </c>
      <c r="G3526" s="23" t="s">
        <v>250</v>
      </c>
      <c r="H3526" s="39">
        <f t="shared" si="220"/>
        <v>2298</v>
      </c>
      <c r="I3526" s="23" t="str">
        <f t="shared" si="221"/>
        <v>Mumbai</v>
      </c>
      <c r="J3526" s="23">
        <f>COUNTIFS(pg_transaction_cleaned!$O:$O,A3526,pg_transaction_cleaned!$F:$F,"CAPTURE")</f>
        <v>1</v>
      </c>
      <c r="K3526" s="39">
        <f>SUMIFS(pg_transaction_cleaned!$H:$H,pg_transaction_cleaned!$O:$O,A3526,pg_transaction_cleaned!$F:$F,"CAPTURE")</f>
        <v>2298</v>
      </c>
      <c r="L3526" s="23">
        <f>COUNTIFS(pg_transaction_cleaned!$O:$O,A3526,pg_transaction_cleaned!$F:$F,"REFUND")</f>
        <v>0</v>
      </c>
      <c r="M3526" s="39">
        <f>SUMIFS(pg_transaction_cleaned!$H:$H,pg_transaction_cleaned!$O:$O,A3526,pg_transaction_cleaned!$F:$F,"REFUND")</f>
        <v>0</v>
      </c>
      <c r="N3526" s="23" t="str">
        <f t="shared" si="222"/>
        <v>OK</v>
      </c>
      <c r="O3526" s="24">
        <f t="shared" si="223"/>
        <v>0</v>
      </c>
    </row>
    <row r="3527" spans="1:15" ht="15" customHeight="1" x14ac:dyDescent="0.3">
      <c r="A3527" s="23" t="s">
        <v>7548</v>
      </c>
      <c r="B3527" s="38">
        <v>46293</v>
      </c>
      <c r="C3527" s="23" t="s">
        <v>7549</v>
      </c>
      <c r="D3527" s="23" t="s">
        <v>95</v>
      </c>
      <c r="E3527" s="23" t="s">
        <v>77</v>
      </c>
      <c r="F3527" s="23" t="s">
        <v>795</v>
      </c>
      <c r="G3527" s="23" t="s">
        <v>250</v>
      </c>
      <c r="H3527" s="39">
        <f t="shared" si="220"/>
        <v>1499</v>
      </c>
      <c r="I3527" s="23" t="str">
        <f t="shared" si="221"/>
        <v>Bengaluru</v>
      </c>
      <c r="J3527" s="23">
        <f>COUNTIFS(pg_transaction_cleaned!$O:$O,A3527,pg_transaction_cleaned!$F:$F,"CAPTURE")</f>
        <v>1</v>
      </c>
      <c r="K3527" s="39">
        <f>SUMIFS(pg_transaction_cleaned!$H:$H,pg_transaction_cleaned!$O:$O,A3527,pg_transaction_cleaned!$F:$F,"CAPTURE")</f>
        <v>1499</v>
      </c>
      <c r="L3527" s="23">
        <f>COUNTIFS(pg_transaction_cleaned!$O:$O,A3527,pg_transaction_cleaned!$F:$F,"REFUND")</f>
        <v>0</v>
      </c>
      <c r="M3527" s="39">
        <f>SUMIFS(pg_transaction_cleaned!$H:$H,pg_transaction_cleaned!$O:$O,A3527,pg_transaction_cleaned!$F:$F,"REFUND")</f>
        <v>0</v>
      </c>
      <c r="N3527" s="23" t="str">
        <f t="shared" si="222"/>
        <v>OK</v>
      </c>
      <c r="O3527" s="24">
        <f t="shared" si="223"/>
        <v>0</v>
      </c>
    </row>
    <row r="3528" spans="1:15" ht="15" customHeight="1" x14ac:dyDescent="0.3">
      <c r="A3528" s="23" t="s">
        <v>7550</v>
      </c>
      <c r="B3528" s="38">
        <v>46291</v>
      </c>
      <c r="C3528" s="23" t="s">
        <v>7551</v>
      </c>
      <c r="D3528" s="23" t="s">
        <v>94</v>
      </c>
      <c r="E3528" s="23" t="s">
        <v>75</v>
      </c>
      <c r="F3528" s="23" t="s">
        <v>268</v>
      </c>
      <c r="G3528" s="23" t="s">
        <v>365</v>
      </c>
      <c r="H3528" s="39">
        <f t="shared" si="220"/>
        <v>1299</v>
      </c>
      <c r="I3528" s="23" t="str">
        <f t="shared" si="221"/>
        <v>Chennai</v>
      </c>
      <c r="J3528" s="23">
        <f>COUNTIFS(pg_transaction_cleaned!$O:$O,A3528,pg_transaction_cleaned!$F:$F,"CAPTURE")</f>
        <v>0</v>
      </c>
      <c r="K3528" s="39">
        <f>SUMIFS(pg_transaction_cleaned!$H:$H,pg_transaction_cleaned!$O:$O,A3528,pg_transaction_cleaned!$F:$F,"CAPTURE")</f>
        <v>0</v>
      </c>
      <c r="L3528" s="23">
        <f>COUNTIFS(pg_transaction_cleaned!$O:$O,A3528,pg_transaction_cleaned!$F:$F,"REFUND")</f>
        <v>0</v>
      </c>
      <c r="M3528" s="39">
        <f>SUMIFS(pg_transaction_cleaned!$H:$H,pg_transaction_cleaned!$O:$O,A3528,pg_transaction_cleaned!$F:$F,"REFUND")</f>
        <v>0</v>
      </c>
      <c r="N3528" s="23" t="str">
        <f t="shared" si="222"/>
        <v>OK</v>
      </c>
      <c r="O3528" s="24">
        <f t="shared" si="223"/>
        <v>0</v>
      </c>
    </row>
    <row r="3529" spans="1:15" ht="15" customHeight="1" x14ac:dyDescent="0.3">
      <c r="A3529" s="23" t="s">
        <v>7552</v>
      </c>
      <c r="B3529" s="38">
        <v>46287</v>
      </c>
      <c r="C3529" s="23" t="s">
        <v>7553</v>
      </c>
      <c r="D3529" s="23" t="s">
        <v>93</v>
      </c>
      <c r="E3529" s="23" t="s">
        <v>75</v>
      </c>
      <c r="F3529" s="23" t="s">
        <v>249</v>
      </c>
      <c r="G3529" s="23" t="s">
        <v>250</v>
      </c>
      <c r="H3529" s="39">
        <f t="shared" si="220"/>
        <v>299</v>
      </c>
      <c r="I3529" s="23" t="str">
        <f t="shared" si="221"/>
        <v>Kolkata</v>
      </c>
      <c r="J3529" s="23">
        <f>COUNTIFS(pg_transaction_cleaned!$O:$O,A3529,pg_transaction_cleaned!$F:$F,"CAPTURE")</f>
        <v>1</v>
      </c>
      <c r="K3529" s="39">
        <f>SUMIFS(pg_transaction_cleaned!$H:$H,pg_transaction_cleaned!$O:$O,A3529,pg_transaction_cleaned!$F:$F,"CAPTURE")</f>
        <v>299</v>
      </c>
      <c r="L3529" s="23">
        <f>COUNTIFS(pg_transaction_cleaned!$O:$O,A3529,pg_transaction_cleaned!$F:$F,"REFUND")</f>
        <v>0</v>
      </c>
      <c r="M3529" s="39">
        <f>SUMIFS(pg_transaction_cleaned!$H:$H,pg_transaction_cleaned!$O:$O,A3529,pg_transaction_cleaned!$F:$F,"REFUND")</f>
        <v>0</v>
      </c>
      <c r="N3529" s="23" t="str">
        <f t="shared" si="222"/>
        <v>OK</v>
      </c>
      <c r="O3529" s="24">
        <f t="shared" si="223"/>
        <v>0</v>
      </c>
    </row>
    <row r="3530" spans="1:15" ht="15" customHeight="1" x14ac:dyDescent="0.3">
      <c r="A3530" s="23" t="s">
        <v>7554</v>
      </c>
      <c r="B3530" s="38">
        <v>46292</v>
      </c>
      <c r="C3530" s="23" t="s">
        <v>7555</v>
      </c>
      <c r="D3530" s="23" t="s">
        <v>91</v>
      </c>
      <c r="E3530" s="23" t="s">
        <v>75</v>
      </c>
      <c r="F3530" s="23" t="s">
        <v>582</v>
      </c>
      <c r="G3530" s="23" t="s">
        <v>365</v>
      </c>
      <c r="H3530" s="39">
        <f t="shared" si="220"/>
        <v>1298</v>
      </c>
      <c r="I3530" s="23" t="str">
        <f t="shared" si="221"/>
        <v>Pune</v>
      </c>
      <c r="J3530" s="23">
        <f>COUNTIFS(pg_transaction_cleaned!$O:$O,A3530,pg_transaction_cleaned!$F:$F,"CAPTURE")</f>
        <v>0</v>
      </c>
      <c r="K3530" s="39">
        <f>SUMIFS(pg_transaction_cleaned!$H:$H,pg_transaction_cleaned!$O:$O,A3530,pg_transaction_cleaned!$F:$F,"CAPTURE")</f>
        <v>0</v>
      </c>
      <c r="L3530" s="23">
        <f>COUNTIFS(pg_transaction_cleaned!$O:$O,A3530,pg_transaction_cleaned!$F:$F,"REFUND")</f>
        <v>0</v>
      </c>
      <c r="M3530" s="39">
        <f>SUMIFS(pg_transaction_cleaned!$H:$H,pg_transaction_cleaned!$O:$O,A3530,pg_transaction_cleaned!$F:$F,"REFUND")</f>
        <v>0</v>
      </c>
      <c r="N3530" s="23" t="str">
        <f t="shared" si="222"/>
        <v>OK</v>
      </c>
      <c r="O3530" s="24">
        <f t="shared" si="223"/>
        <v>0</v>
      </c>
    </row>
    <row r="3531" spans="1:15" ht="15" customHeight="1" x14ac:dyDescent="0.3">
      <c r="A3531" s="23" t="s">
        <v>7556</v>
      </c>
      <c r="B3531" s="38">
        <v>46293</v>
      </c>
      <c r="C3531" s="23" t="s">
        <v>7557</v>
      </c>
      <c r="D3531" s="23" t="s">
        <v>89</v>
      </c>
      <c r="E3531" s="23" t="s">
        <v>75</v>
      </c>
      <c r="F3531" s="23" t="s">
        <v>483</v>
      </c>
      <c r="G3531" s="23" t="s">
        <v>250</v>
      </c>
      <c r="H3531" s="39">
        <f t="shared" si="220"/>
        <v>2998</v>
      </c>
      <c r="I3531" s="23" t="str">
        <f t="shared" si="221"/>
        <v>Jaipur</v>
      </c>
      <c r="J3531" s="23">
        <f>COUNTIFS(pg_transaction_cleaned!$O:$O,A3531,pg_transaction_cleaned!$F:$F,"CAPTURE")</f>
        <v>1</v>
      </c>
      <c r="K3531" s="39">
        <f>SUMIFS(pg_transaction_cleaned!$H:$H,pg_transaction_cleaned!$O:$O,A3531,pg_transaction_cleaned!$F:$F,"CAPTURE")</f>
        <v>2998</v>
      </c>
      <c r="L3531" s="23">
        <f>COUNTIFS(pg_transaction_cleaned!$O:$O,A3531,pg_transaction_cleaned!$F:$F,"REFUND")</f>
        <v>0</v>
      </c>
      <c r="M3531" s="39">
        <f>SUMIFS(pg_transaction_cleaned!$H:$H,pg_transaction_cleaned!$O:$O,A3531,pg_transaction_cleaned!$F:$F,"REFUND")</f>
        <v>0</v>
      </c>
      <c r="N3531" s="23" t="str">
        <f t="shared" si="222"/>
        <v>OK</v>
      </c>
      <c r="O3531" s="24">
        <f t="shared" si="223"/>
        <v>0</v>
      </c>
    </row>
    <row r="3532" spans="1:15" ht="15" customHeight="1" x14ac:dyDescent="0.3">
      <c r="A3532" s="23" t="s">
        <v>7558</v>
      </c>
      <c r="B3532" s="38">
        <v>46266</v>
      </c>
      <c r="C3532" s="23" t="s">
        <v>7559</v>
      </c>
      <c r="D3532" s="23" t="s">
        <v>92</v>
      </c>
      <c r="E3532" s="23" t="s">
        <v>75</v>
      </c>
      <c r="F3532" s="23" t="s">
        <v>370</v>
      </c>
      <c r="G3532" s="23" t="s">
        <v>250</v>
      </c>
      <c r="H3532" s="39">
        <f t="shared" si="220"/>
        <v>3098</v>
      </c>
      <c r="I3532" s="23" t="str">
        <f t="shared" si="221"/>
        <v>Hyderabad</v>
      </c>
      <c r="J3532" s="23">
        <f>COUNTIFS(pg_transaction_cleaned!$O:$O,A3532,pg_transaction_cleaned!$F:$F,"CAPTURE")</f>
        <v>1</v>
      </c>
      <c r="K3532" s="39">
        <f>SUMIFS(pg_transaction_cleaned!$H:$H,pg_transaction_cleaned!$O:$O,A3532,pg_transaction_cleaned!$F:$F,"CAPTURE")</f>
        <v>3098</v>
      </c>
      <c r="L3532" s="23">
        <f>COUNTIFS(pg_transaction_cleaned!$O:$O,A3532,pg_transaction_cleaned!$F:$F,"REFUND")</f>
        <v>0</v>
      </c>
      <c r="M3532" s="39">
        <f>SUMIFS(pg_transaction_cleaned!$H:$H,pg_transaction_cleaned!$O:$O,A3532,pg_transaction_cleaned!$F:$F,"REFUND")</f>
        <v>0</v>
      </c>
      <c r="N3532" s="23" t="str">
        <f t="shared" si="222"/>
        <v>OK</v>
      </c>
      <c r="O3532" s="24">
        <f t="shared" si="223"/>
        <v>0</v>
      </c>
    </row>
    <row r="3533" spans="1:15" ht="15" customHeight="1" x14ac:dyDescent="0.3">
      <c r="A3533" s="23" t="s">
        <v>7560</v>
      </c>
      <c r="B3533" s="38">
        <v>46267</v>
      </c>
      <c r="C3533" s="23" t="s">
        <v>7561</v>
      </c>
      <c r="D3533" s="23" t="s">
        <v>94</v>
      </c>
      <c r="E3533" s="23" t="s">
        <v>79</v>
      </c>
      <c r="F3533" s="23" t="s">
        <v>265</v>
      </c>
      <c r="G3533" s="23" t="s">
        <v>250</v>
      </c>
      <c r="H3533" s="39">
        <f t="shared" si="220"/>
        <v>999</v>
      </c>
      <c r="I3533" s="23" t="str">
        <f t="shared" si="221"/>
        <v>Chennai</v>
      </c>
      <c r="J3533" s="23">
        <f>COUNTIFS(pg_transaction_cleaned!$O:$O,A3533,pg_transaction_cleaned!$F:$F,"CAPTURE")</f>
        <v>1</v>
      </c>
      <c r="K3533" s="39">
        <f>SUMIFS(pg_transaction_cleaned!$H:$H,pg_transaction_cleaned!$O:$O,A3533,pg_transaction_cleaned!$F:$F,"CAPTURE")</f>
        <v>999</v>
      </c>
      <c r="L3533" s="23">
        <f>COUNTIFS(pg_transaction_cleaned!$O:$O,A3533,pg_transaction_cleaned!$F:$F,"REFUND")</f>
        <v>0</v>
      </c>
      <c r="M3533" s="39">
        <f>SUMIFS(pg_transaction_cleaned!$H:$H,pg_transaction_cleaned!$O:$O,A3533,pg_transaction_cleaned!$F:$F,"REFUND")</f>
        <v>0</v>
      </c>
      <c r="N3533" s="23" t="str">
        <f t="shared" si="222"/>
        <v>OK</v>
      </c>
      <c r="O3533" s="24">
        <f t="shared" si="223"/>
        <v>0</v>
      </c>
    </row>
    <row r="3534" spans="1:15" ht="15" customHeight="1" x14ac:dyDescent="0.3">
      <c r="A3534" s="23" t="s">
        <v>7562</v>
      </c>
      <c r="B3534" s="38">
        <v>46269</v>
      </c>
      <c r="C3534" s="23" t="s">
        <v>7563</v>
      </c>
      <c r="D3534" s="23" t="s">
        <v>90</v>
      </c>
      <c r="E3534" s="23" t="s">
        <v>75</v>
      </c>
      <c r="F3534" s="23" t="s">
        <v>1054</v>
      </c>
      <c r="G3534" s="23" t="s">
        <v>250</v>
      </c>
      <c r="H3534" s="39">
        <f t="shared" si="220"/>
        <v>6597</v>
      </c>
      <c r="I3534" s="23" t="str">
        <f t="shared" si="221"/>
        <v>Ahmedabad</v>
      </c>
      <c r="J3534" s="23">
        <f>COUNTIFS(pg_transaction_cleaned!$O:$O,A3534,pg_transaction_cleaned!$F:$F,"CAPTURE")</f>
        <v>1</v>
      </c>
      <c r="K3534" s="39">
        <f>SUMIFS(pg_transaction_cleaned!$H:$H,pg_transaction_cleaned!$O:$O,A3534,pg_transaction_cleaned!$F:$F,"CAPTURE")</f>
        <v>6597</v>
      </c>
      <c r="L3534" s="23">
        <f>COUNTIFS(pg_transaction_cleaned!$O:$O,A3534,pg_transaction_cleaned!$F:$F,"REFUND")</f>
        <v>0</v>
      </c>
      <c r="M3534" s="39">
        <f>SUMIFS(pg_transaction_cleaned!$H:$H,pg_transaction_cleaned!$O:$O,A3534,pg_transaction_cleaned!$F:$F,"REFUND")</f>
        <v>0</v>
      </c>
      <c r="N3534" s="23" t="str">
        <f t="shared" si="222"/>
        <v>OK</v>
      </c>
      <c r="O3534" s="24">
        <f t="shared" si="223"/>
        <v>0</v>
      </c>
    </row>
    <row r="3535" spans="1:15" ht="15" customHeight="1" x14ac:dyDescent="0.3">
      <c r="A3535" s="23" t="s">
        <v>7564</v>
      </c>
      <c r="B3535" s="38">
        <v>46271</v>
      </c>
      <c r="C3535" s="23" t="s">
        <v>7565</v>
      </c>
      <c r="D3535" s="23" t="s">
        <v>95</v>
      </c>
      <c r="E3535" s="23" t="s">
        <v>79</v>
      </c>
      <c r="F3535" s="23" t="s">
        <v>2337</v>
      </c>
      <c r="G3535" s="23" t="s">
        <v>250</v>
      </c>
      <c r="H3535" s="39">
        <f t="shared" si="220"/>
        <v>8348</v>
      </c>
      <c r="I3535" s="23" t="str">
        <f t="shared" si="221"/>
        <v>Bengaluru</v>
      </c>
      <c r="J3535" s="23">
        <f>COUNTIFS(pg_transaction_cleaned!$O:$O,A3535,pg_transaction_cleaned!$F:$F,"CAPTURE")</f>
        <v>1</v>
      </c>
      <c r="K3535" s="39">
        <f>SUMIFS(pg_transaction_cleaned!$H:$H,pg_transaction_cleaned!$O:$O,A3535,pg_transaction_cleaned!$F:$F,"CAPTURE")</f>
        <v>8348</v>
      </c>
      <c r="L3535" s="23">
        <f>COUNTIFS(pg_transaction_cleaned!$O:$O,A3535,pg_transaction_cleaned!$F:$F,"REFUND")</f>
        <v>0</v>
      </c>
      <c r="M3535" s="39">
        <f>SUMIFS(pg_transaction_cleaned!$H:$H,pg_transaction_cleaned!$O:$O,A3535,pg_transaction_cleaned!$F:$F,"REFUND")</f>
        <v>0</v>
      </c>
      <c r="N3535" s="23" t="str">
        <f t="shared" si="222"/>
        <v>OK</v>
      </c>
      <c r="O3535" s="24">
        <f t="shared" si="223"/>
        <v>0</v>
      </c>
    </row>
    <row r="3536" spans="1:15" ht="15" customHeight="1" x14ac:dyDescent="0.3">
      <c r="A3536" s="23" t="s">
        <v>7566</v>
      </c>
      <c r="B3536" s="38">
        <v>46277</v>
      </c>
      <c r="C3536" s="23" t="s">
        <v>7567</v>
      </c>
      <c r="D3536" s="23" t="s">
        <v>93</v>
      </c>
      <c r="E3536" s="23" t="s">
        <v>75</v>
      </c>
      <c r="F3536" s="23" t="s">
        <v>1329</v>
      </c>
      <c r="G3536" s="23" t="s">
        <v>250</v>
      </c>
      <c r="H3536" s="39">
        <f t="shared" si="220"/>
        <v>6097</v>
      </c>
      <c r="I3536" s="23" t="str">
        <f t="shared" si="221"/>
        <v>Kolkata</v>
      </c>
      <c r="J3536" s="23">
        <f>COUNTIFS(pg_transaction_cleaned!$O:$O,A3536,pg_transaction_cleaned!$F:$F,"CAPTURE")</f>
        <v>1</v>
      </c>
      <c r="K3536" s="39">
        <f>SUMIFS(pg_transaction_cleaned!$H:$H,pg_transaction_cleaned!$O:$O,A3536,pg_transaction_cleaned!$F:$F,"CAPTURE")</f>
        <v>6097</v>
      </c>
      <c r="L3536" s="23">
        <f>COUNTIFS(pg_transaction_cleaned!$O:$O,A3536,pg_transaction_cleaned!$F:$F,"REFUND")</f>
        <v>0</v>
      </c>
      <c r="M3536" s="39">
        <f>SUMIFS(pg_transaction_cleaned!$H:$H,pg_transaction_cleaned!$O:$O,A3536,pg_transaction_cleaned!$F:$F,"REFUND")</f>
        <v>0</v>
      </c>
      <c r="N3536" s="23" t="str">
        <f t="shared" si="222"/>
        <v>OK</v>
      </c>
      <c r="O3536" s="24">
        <f t="shared" si="223"/>
        <v>0</v>
      </c>
    </row>
    <row r="3537" spans="1:15" ht="15" customHeight="1" x14ac:dyDescent="0.3">
      <c r="A3537" s="23" t="s">
        <v>7568</v>
      </c>
      <c r="B3537" s="38">
        <v>46288</v>
      </c>
      <c r="C3537" s="23" t="s">
        <v>7569</v>
      </c>
      <c r="D3537" s="23" t="s">
        <v>86</v>
      </c>
      <c r="E3537" s="23" t="s">
        <v>81</v>
      </c>
      <c r="F3537" s="23" t="s">
        <v>553</v>
      </c>
      <c r="G3537" s="23" t="s">
        <v>250</v>
      </c>
      <c r="H3537" s="39">
        <f t="shared" si="220"/>
        <v>2798</v>
      </c>
      <c r="I3537" s="23" t="str">
        <f t="shared" si="221"/>
        <v>Delhi</v>
      </c>
      <c r="J3537" s="23">
        <f>COUNTIFS(pg_transaction_cleaned!$O:$O,A3537,pg_transaction_cleaned!$F:$F,"CAPTURE")</f>
        <v>1</v>
      </c>
      <c r="K3537" s="39">
        <f>SUMIFS(pg_transaction_cleaned!$H:$H,pg_transaction_cleaned!$O:$O,A3537,pg_transaction_cleaned!$F:$F,"CAPTURE")</f>
        <v>2798</v>
      </c>
      <c r="L3537" s="23">
        <f>COUNTIFS(pg_transaction_cleaned!$O:$O,A3537,pg_transaction_cleaned!$F:$F,"REFUND")</f>
        <v>0</v>
      </c>
      <c r="M3537" s="39">
        <f>SUMIFS(pg_transaction_cleaned!$H:$H,pg_transaction_cleaned!$O:$O,A3537,pg_transaction_cleaned!$F:$F,"REFUND")</f>
        <v>0</v>
      </c>
      <c r="N3537" s="23" t="str">
        <f t="shared" si="222"/>
        <v>OK</v>
      </c>
      <c r="O3537" s="24">
        <f t="shared" si="223"/>
        <v>0</v>
      </c>
    </row>
    <row r="3538" spans="1:15" ht="15" customHeight="1" x14ac:dyDescent="0.3">
      <c r="A3538" s="23" t="s">
        <v>7570</v>
      </c>
      <c r="B3538" s="38">
        <v>46283</v>
      </c>
      <c r="C3538" s="23" t="s">
        <v>7571</v>
      </c>
      <c r="D3538" s="23" t="s">
        <v>88</v>
      </c>
      <c r="E3538" s="23" t="s">
        <v>75</v>
      </c>
      <c r="F3538" s="23" t="s">
        <v>652</v>
      </c>
      <c r="G3538" s="23" t="s">
        <v>250</v>
      </c>
      <c r="H3538" s="39">
        <f t="shared" si="220"/>
        <v>2397</v>
      </c>
      <c r="I3538" s="23" t="str">
        <f t="shared" si="221"/>
        <v>Lucknow</v>
      </c>
      <c r="J3538" s="23">
        <f>COUNTIFS(pg_transaction_cleaned!$O:$O,A3538,pg_transaction_cleaned!$F:$F,"CAPTURE")</f>
        <v>1</v>
      </c>
      <c r="K3538" s="39">
        <f>SUMIFS(pg_transaction_cleaned!$H:$H,pg_transaction_cleaned!$O:$O,A3538,pg_transaction_cleaned!$F:$F,"CAPTURE")</f>
        <v>2397</v>
      </c>
      <c r="L3538" s="23">
        <f>COUNTIFS(pg_transaction_cleaned!$O:$O,A3538,pg_transaction_cleaned!$F:$F,"REFUND")</f>
        <v>0</v>
      </c>
      <c r="M3538" s="39">
        <f>SUMIFS(pg_transaction_cleaned!$H:$H,pg_transaction_cleaned!$O:$O,A3538,pg_transaction_cleaned!$F:$F,"REFUND")</f>
        <v>0</v>
      </c>
      <c r="N3538" s="23" t="str">
        <f t="shared" si="222"/>
        <v>OK</v>
      </c>
      <c r="O3538" s="24">
        <f t="shared" si="223"/>
        <v>0</v>
      </c>
    </row>
    <row r="3539" spans="1:15" ht="15" customHeight="1" x14ac:dyDescent="0.3">
      <c r="A3539" s="23" t="s">
        <v>7572</v>
      </c>
      <c r="B3539" s="38">
        <v>46277</v>
      </c>
      <c r="C3539" s="23" t="s">
        <v>7573</v>
      </c>
      <c r="D3539" s="23" t="s">
        <v>93</v>
      </c>
      <c r="E3539" s="23" t="s">
        <v>75</v>
      </c>
      <c r="F3539" s="23" t="s">
        <v>315</v>
      </c>
      <c r="G3539" s="23" t="s">
        <v>250</v>
      </c>
      <c r="H3539" s="39">
        <f t="shared" si="220"/>
        <v>1499</v>
      </c>
      <c r="I3539" s="23" t="str">
        <f t="shared" si="221"/>
        <v>Kolkata</v>
      </c>
      <c r="J3539" s="23">
        <f>COUNTIFS(pg_transaction_cleaned!$O:$O,A3539,pg_transaction_cleaned!$F:$F,"CAPTURE")</f>
        <v>1</v>
      </c>
      <c r="K3539" s="39">
        <f>SUMIFS(pg_transaction_cleaned!$H:$H,pg_transaction_cleaned!$O:$O,A3539,pg_transaction_cleaned!$F:$F,"CAPTURE")</f>
        <v>1499</v>
      </c>
      <c r="L3539" s="23">
        <f>COUNTIFS(pg_transaction_cleaned!$O:$O,A3539,pg_transaction_cleaned!$F:$F,"REFUND")</f>
        <v>0</v>
      </c>
      <c r="M3539" s="39">
        <f>SUMIFS(pg_transaction_cleaned!$H:$H,pg_transaction_cleaned!$O:$O,A3539,pg_transaction_cleaned!$F:$F,"REFUND")</f>
        <v>0</v>
      </c>
      <c r="N3539" s="23" t="str">
        <f t="shared" si="222"/>
        <v>OK</v>
      </c>
      <c r="O3539" s="24">
        <f t="shared" si="223"/>
        <v>0</v>
      </c>
    </row>
    <row r="3540" spans="1:15" ht="15" customHeight="1" x14ac:dyDescent="0.3">
      <c r="A3540" s="23" t="s">
        <v>7574</v>
      </c>
      <c r="B3540" s="38">
        <v>46275</v>
      </c>
      <c r="C3540" s="23" t="s">
        <v>7575</v>
      </c>
      <c r="D3540" s="23" t="s">
        <v>87</v>
      </c>
      <c r="E3540" s="23" t="s">
        <v>77</v>
      </c>
      <c r="F3540" s="23" t="s">
        <v>268</v>
      </c>
      <c r="G3540" s="23" t="s">
        <v>250</v>
      </c>
      <c r="H3540" s="39">
        <f t="shared" si="220"/>
        <v>1299</v>
      </c>
      <c r="I3540" s="23" t="str">
        <f t="shared" si="221"/>
        <v>Mumbai</v>
      </c>
      <c r="J3540" s="23">
        <f>COUNTIFS(pg_transaction_cleaned!$O:$O,A3540,pg_transaction_cleaned!$F:$F,"CAPTURE")</f>
        <v>1</v>
      </c>
      <c r="K3540" s="39">
        <f>SUMIFS(pg_transaction_cleaned!$H:$H,pg_transaction_cleaned!$O:$O,A3540,pg_transaction_cleaned!$F:$F,"CAPTURE")</f>
        <v>1299</v>
      </c>
      <c r="L3540" s="23">
        <f>COUNTIFS(pg_transaction_cleaned!$O:$O,A3540,pg_transaction_cleaned!$F:$F,"REFUND")</f>
        <v>0</v>
      </c>
      <c r="M3540" s="39">
        <f>SUMIFS(pg_transaction_cleaned!$H:$H,pg_transaction_cleaned!$O:$O,A3540,pg_transaction_cleaned!$F:$F,"REFUND")</f>
        <v>0</v>
      </c>
      <c r="N3540" s="23" t="str">
        <f t="shared" si="222"/>
        <v>OK</v>
      </c>
      <c r="O3540" s="24">
        <f t="shared" si="223"/>
        <v>0</v>
      </c>
    </row>
    <row r="3541" spans="1:15" ht="15" customHeight="1" x14ac:dyDescent="0.3">
      <c r="A3541" s="23" t="s">
        <v>7576</v>
      </c>
      <c r="B3541" s="38">
        <v>46271</v>
      </c>
      <c r="C3541" s="23" t="s">
        <v>7577</v>
      </c>
      <c r="D3541" s="23" t="s">
        <v>88</v>
      </c>
      <c r="E3541" s="23" t="s">
        <v>79</v>
      </c>
      <c r="F3541" s="23" t="s">
        <v>294</v>
      </c>
      <c r="G3541" s="23" t="s">
        <v>250</v>
      </c>
      <c r="H3541" s="39">
        <f t="shared" si="220"/>
        <v>1799</v>
      </c>
      <c r="I3541" s="23" t="str">
        <f t="shared" si="221"/>
        <v>Lucknow</v>
      </c>
      <c r="J3541" s="23">
        <f>COUNTIFS(pg_transaction_cleaned!$O:$O,A3541,pg_transaction_cleaned!$F:$F,"CAPTURE")</f>
        <v>1</v>
      </c>
      <c r="K3541" s="39">
        <f>SUMIFS(pg_transaction_cleaned!$H:$H,pg_transaction_cleaned!$O:$O,A3541,pg_transaction_cleaned!$F:$F,"CAPTURE")</f>
        <v>1799</v>
      </c>
      <c r="L3541" s="23">
        <f>COUNTIFS(pg_transaction_cleaned!$O:$O,A3541,pg_transaction_cleaned!$F:$F,"REFUND")</f>
        <v>0</v>
      </c>
      <c r="M3541" s="39">
        <f>SUMIFS(pg_transaction_cleaned!$H:$H,pg_transaction_cleaned!$O:$O,A3541,pg_transaction_cleaned!$F:$F,"REFUND")</f>
        <v>0</v>
      </c>
      <c r="N3541" s="23" t="str">
        <f t="shared" si="222"/>
        <v>OK</v>
      </c>
      <c r="O3541" s="24">
        <f t="shared" si="223"/>
        <v>0</v>
      </c>
    </row>
    <row r="3542" spans="1:15" ht="15" customHeight="1" x14ac:dyDescent="0.3">
      <c r="A3542" s="23" t="s">
        <v>7578</v>
      </c>
      <c r="B3542" s="38">
        <v>46292</v>
      </c>
      <c r="C3542" s="23" t="s">
        <v>7579</v>
      </c>
      <c r="D3542" s="23" t="s">
        <v>94</v>
      </c>
      <c r="E3542" s="23" t="s">
        <v>75</v>
      </c>
      <c r="F3542" s="23" t="s">
        <v>271</v>
      </c>
      <c r="G3542" s="23" t="s">
        <v>250</v>
      </c>
      <c r="H3542" s="39">
        <f t="shared" si="220"/>
        <v>2499</v>
      </c>
      <c r="I3542" s="23" t="str">
        <f t="shared" si="221"/>
        <v>Chennai</v>
      </c>
      <c r="J3542" s="23">
        <f>COUNTIFS(pg_transaction_cleaned!$O:$O,A3542,pg_transaction_cleaned!$F:$F,"CAPTURE")</f>
        <v>1</v>
      </c>
      <c r="K3542" s="39">
        <f>SUMIFS(pg_transaction_cleaned!$H:$H,pg_transaction_cleaned!$O:$O,A3542,pg_transaction_cleaned!$F:$F,"CAPTURE")</f>
        <v>2499</v>
      </c>
      <c r="L3542" s="23">
        <f>COUNTIFS(pg_transaction_cleaned!$O:$O,A3542,pg_transaction_cleaned!$F:$F,"REFUND")</f>
        <v>0</v>
      </c>
      <c r="M3542" s="39">
        <f>SUMIFS(pg_transaction_cleaned!$H:$H,pg_transaction_cleaned!$O:$O,A3542,pg_transaction_cleaned!$F:$F,"REFUND")</f>
        <v>0</v>
      </c>
      <c r="N3542" s="23" t="str">
        <f t="shared" si="222"/>
        <v>OK</v>
      </c>
      <c r="O3542" s="24">
        <f t="shared" si="223"/>
        <v>0</v>
      </c>
    </row>
    <row r="3543" spans="1:15" ht="15" customHeight="1" x14ac:dyDescent="0.3">
      <c r="A3543" s="23" t="s">
        <v>7580</v>
      </c>
      <c r="B3543" s="38">
        <v>46290</v>
      </c>
      <c r="C3543" s="23" t="s">
        <v>7581</v>
      </c>
      <c r="D3543" s="23" t="s">
        <v>89</v>
      </c>
      <c r="E3543" s="23" t="s">
        <v>75</v>
      </c>
      <c r="F3543" s="23" t="s">
        <v>517</v>
      </c>
      <c r="G3543" s="23" t="s">
        <v>250</v>
      </c>
      <c r="H3543" s="39">
        <f t="shared" si="220"/>
        <v>7999</v>
      </c>
      <c r="I3543" s="23" t="str">
        <f t="shared" si="221"/>
        <v>Jaipur</v>
      </c>
      <c r="J3543" s="23">
        <f>COUNTIFS(pg_transaction_cleaned!$O:$O,A3543,pg_transaction_cleaned!$F:$F,"CAPTURE")</f>
        <v>1</v>
      </c>
      <c r="K3543" s="39">
        <f>SUMIFS(pg_transaction_cleaned!$H:$H,pg_transaction_cleaned!$O:$O,A3543,pg_transaction_cleaned!$F:$F,"CAPTURE")</f>
        <v>7999</v>
      </c>
      <c r="L3543" s="23">
        <f>COUNTIFS(pg_transaction_cleaned!$O:$O,A3543,pg_transaction_cleaned!$F:$F,"REFUND")</f>
        <v>0</v>
      </c>
      <c r="M3543" s="39">
        <f>SUMIFS(pg_transaction_cleaned!$H:$H,pg_transaction_cleaned!$O:$O,A3543,pg_transaction_cleaned!$F:$F,"REFUND")</f>
        <v>0</v>
      </c>
      <c r="N3543" s="23" t="str">
        <f t="shared" si="222"/>
        <v>OK</v>
      </c>
      <c r="O3543" s="24">
        <f t="shared" si="223"/>
        <v>0</v>
      </c>
    </row>
    <row r="3544" spans="1:15" ht="15" customHeight="1" x14ac:dyDescent="0.3">
      <c r="A3544" s="23" t="s">
        <v>7582</v>
      </c>
      <c r="B3544" s="38">
        <v>46284</v>
      </c>
      <c r="C3544" s="23" t="s">
        <v>7583</v>
      </c>
      <c r="D3544" s="23" t="s">
        <v>95</v>
      </c>
      <c r="E3544" s="23" t="s">
        <v>77</v>
      </c>
      <c r="F3544" s="23" t="s">
        <v>271</v>
      </c>
      <c r="G3544" s="23" t="s">
        <v>250</v>
      </c>
      <c r="H3544" s="39">
        <f t="shared" si="220"/>
        <v>2499</v>
      </c>
      <c r="I3544" s="23" t="str">
        <f t="shared" si="221"/>
        <v>Bengaluru</v>
      </c>
      <c r="J3544" s="23">
        <f>COUNTIFS(pg_transaction_cleaned!$O:$O,A3544,pg_transaction_cleaned!$F:$F,"CAPTURE")</f>
        <v>1</v>
      </c>
      <c r="K3544" s="39">
        <f>SUMIFS(pg_transaction_cleaned!$H:$H,pg_transaction_cleaned!$O:$O,A3544,pg_transaction_cleaned!$F:$F,"CAPTURE")</f>
        <v>2499</v>
      </c>
      <c r="L3544" s="23">
        <f>COUNTIFS(pg_transaction_cleaned!$O:$O,A3544,pg_transaction_cleaned!$F:$F,"REFUND")</f>
        <v>0</v>
      </c>
      <c r="M3544" s="39">
        <f>SUMIFS(pg_transaction_cleaned!$H:$H,pg_transaction_cleaned!$O:$O,A3544,pg_transaction_cleaned!$F:$F,"REFUND")</f>
        <v>0</v>
      </c>
      <c r="N3544" s="23" t="str">
        <f t="shared" si="222"/>
        <v>OK</v>
      </c>
      <c r="O3544" s="24">
        <f t="shared" si="223"/>
        <v>0</v>
      </c>
    </row>
    <row r="3545" spans="1:15" ht="15" customHeight="1" x14ac:dyDescent="0.3">
      <c r="A3545" s="23" t="s">
        <v>7584</v>
      </c>
      <c r="B3545" s="38">
        <v>46273</v>
      </c>
      <c r="C3545" s="23" t="s">
        <v>5141</v>
      </c>
      <c r="D3545" s="23" t="s">
        <v>91</v>
      </c>
      <c r="E3545" s="23" t="s">
        <v>75</v>
      </c>
      <c r="F3545" s="23" t="s">
        <v>262</v>
      </c>
      <c r="G3545" s="23" t="s">
        <v>250</v>
      </c>
      <c r="H3545" s="39">
        <f t="shared" si="220"/>
        <v>499</v>
      </c>
      <c r="I3545" s="23" t="str">
        <f t="shared" si="221"/>
        <v>Pune</v>
      </c>
      <c r="J3545" s="23">
        <f>COUNTIFS(pg_transaction_cleaned!$O:$O,A3545,pg_transaction_cleaned!$F:$F,"CAPTURE")</f>
        <v>1</v>
      </c>
      <c r="K3545" s="39">
        <f>SUMIFS(pg_transaction_cleaned!$H:$H,pg_transaction_cleaned!$O:$O,A3545,pg_transaction_cleaned!$F:$F,"CAPTURE")</f>
        <v>499</v>
      </c>
      <c r="L3545" s="23">
        <f>COUNTIFS(pg_transaction_cleaned!$O:$O,A3545,pg_transaction_cleaned!$F:$F,"REFUND")</f>
        <v>0</v>
      </c>
      <c r="M3545" s="39">
        <f>SUMIFS(pg_transaction_cleaned!$H:$H,pg_transaction_cleaned!$O:$O,A3545,pg_transaction_cleaned!$F:$F,"REFUND")</f>
        <v>0</v>
      </c>
      <c r="N3545" s="23" t="str">
        <f t="shared" si="222"/>
        <v>OK</v>
      </c>
      <c r="O3545" s="24">
        <f t="shared" si="223"/>
        <v>0</v>
      </c>
    </row>
    <row r="3546" spans="1:15" ht="15" customHeight="1" x14ac:dyDescent="0.3">
      <c r="A3546" s="23" t="s">
        <v>7585</v>
      </c>
      <c r="B3546" s="38">
        <v>46267</v>
      </c>
      <c r="C3546" s="23" t="s">
        <v>7586</v>
      </c>
      <c r="D3546" s="23" t="s">
        <v>94</v>
      </c>
      <c r="E3546" s="23" t="s">
        <v>79</v>
      </c>
      <c r="F3546" s="23" t="s">
        <v>297</v>
      </c>
      <c r="G3546" s="23" t="s">
        <v>250</v>
      </c>
      <c r="H3546" s="39">
        <f t="shared" si="220"/>
        <v>4999</v>
      </c>
      <c r="I3546" s="23" t="str">
        <f t="shared" si="221"/>
        <v>Chennai</v>
      </c>
      <c r="J3546" s="23">
        <f>COUNTIFS(pg_transaction_cleaned!$O:$O,A3546,pg_transaction_cleaned!$F:$F,"CAPTURE")</f>
        <v>1</v>
      </c>
      <c r="K3546" s="39">
        <f>SUMIFS(pg_transaction_cleaned!$H:$H,pg_transaction_cleaned!$O:$O,A3546,pg_transaction_cleaned!$F:$F,"CAPTURE")</f>
        <v>4999</v>
      </c>
      <c r="L3546" s="23">
        <f>COUNTIFS(pg_transaction_cleaned!$O:$O,A3546,pg_transaction_cleaned!$F:$F,"REFUND")</f>
        <v>0</v>
      </c>
      <c r="M3546" s="39">
        <f>SUMIFS(pg_transaction_cleaned!$H:$H,pg_transaction_cleaned!$O:$O,A3546,pg_transaction_cleaned!$F:$F,"REFUND")</f>
        <v>0</v>
      </c>
      <c r="N3546" s="23" t="str">
        <f t="shared" si="222"/>
        <v>OK</v>
      </c>
      <c r="O3546" s="24">
        <f t="shared" si="223"/>
        <v>0</v>
      </c>
    </row>
    <row r="3547" spans="1:15" ht="15" customHeight="1" x14ac:dyDescent="0.3">
      <c r="A3547" s="23" t="s">
        <v>7587</v>
      </c>
      <c r="B3547" s="38">
        <v>46293</v>
      </c>
      <c r="C3547" s="23" t="s">
        <v>7588</v>
      </c>
      <c r="D3547" s="23" t="s">
        <v>92</v>
      </c>
      <c r="E3547" s="23" t="s">
        <v>79</v>
      </c>
      <c r="F3547" s="23" t="s">
        <v>274</v>
      </c>
      <c r="G3547" s="23" t="s">
        <v>250</v>
      </c>
      <c r="H3547" s="39">
        <f t="shared" si="220"/>
        <v>349</v>
      </c>
      <c r="I3547" s="23" t="str">
        <f t="shared" si="221"/>
        <v>Hyderabad</v>
      </c>
      <c r="J3547" s="23">
        <f>COUNTIFS(pg_transaction_cleaned!$O:$O,A3547,pg_transaction_cleaned!$F:$F,"CAPTURE")</f>
        <v>1</v>
      </c>
      <c r="K3547" s="39">
        <f>SUMIFS(pg_transaction_cleaned!$H:$H,pg_transaction_cleaned!$O:$O,A3547,pg_transaction_cleaned!$F:$F,"CAPTURE")</f>
        <v>349</v>
      </c>
      <c r="L3547" s="23">
        <f>COUNTIFS(pg_transaction_cleaned!$O:$O,A3547,pg_transaction_cleaned!$F:$F,"REFUND")</f>
        <v>0</v>
      </c>
      <c r="M3547" s="39">
        <f>SUMIFS(pg_transaction_cleaned!$H:$H,pg_transaction_cleaned!$O:$O,A3547,pg_transaction_cleaned!$F:$F,"REFUND")</f>
        <v>0</v>
      </c>
      <c r="N3547" s="23" t="str">
        <f t="shared" si="222"/>
        <v>OK</v>
      </c>
      <c r="O3547" s="24">
        <f t="shared" si="223"/>
        <v>0</v>
      </c>
    </row>
    <row r="3548" spans="1:15" ht="15" customHeight="1" x14ac:dyDescent="0.3">
      <c r="A3548" s="23" t="s">
        <v>7589</v>
      </c>
      <c r="B3548" s="38">
        <v>46276</v>
      </c>
      <c r="C3548" s="23" t="s">
        <v>7590</v>
      </c>
      <c r="D3548" s="23" t="s">
        <v>89</v>
      </c>
      <c r="E3548" s="23" t="s">
        <v>79</v>
      </c>
      <c r="F3548" s="23" t="s">
        <v>1103</v>
      </c>
      <c r="G3548" s="23" t="s">
        <v>250</v>
      </c>
      <c r="H3548" s="39">
        <f t="shared" si="220"/>
        <v>3897</v>
      </c>
      <c r="I3548" s="23" t="str">
        <f t="shared" si="221"/>
        <v>Jaipur</v>
      </c>
      <c r="J3548" s="23">
        <f>COUNTIFS(pg_transaction_cleaned!$O:$O,A3548,pg_transaction_cleaned!$F:$F,"CAPTURE")</f>
        <v>1</v>
      </c>
      <c r="K3548" s="39">
        <f>SUMIFS(pg_transaction_cleaned!$H:$H,pg_transaction_cleaned!$O:$O,A3548,pg_transaction_cleaned!$F:$F,"CAPTURE")</f>
        <v>3897</v>
      </c>
      <c r="L3548" s="23">
        <f>COUNTIFS(pg_transaction_cleaned!$O:$O,A3548,pg_transaction_cleaned!$F:$F,"REFUND")</f>
        <v>0</v>
      </c>
      <c r="M3548" s="39">
        <f>SUMIFS(pg_transaction_cleaned!$H:$H,pg_transaction_cleaned!$O:$O,A3548,pg_transaction_cleaned!$F:$F,"REFUND")</f>
        <v>0</v>
      </c>
      <c r="N3548" s="23" t="str">
        <f t="shared" si="222"/>
        <v>OK</v>
      </c>
      <c r="O3548" s="24">
        <f t="shared" si="223"/>
        <v>0</v>
      </c>
    </row>
    <row r="3549" spans="1:15" ht="15" customHeight="1" x14ac:dyDescent="0.3">
      <c r="A3549" s="23" t="s">
        <v>7591</v>
      </c>
      <c r="B3549" s="38">
        <v>46275</v>
      </c>
      <c r="C3549" s="23" t="s">
        <v>7592</v>
      </c>
      <c r="D3549" s="23" t="s">
        <v>86</v>
      </c>
      <c r="E3549" s="23" t="s">
        <v>79</v>
      </c>
      <c r="F3549" s="23" t="s">
        <v>4509</v>
      </c>
      <c r="G3549" s="23" t="s">
        <v>250</v>
      </c>
      <c r="H3549" s="39">
        <f t="shared" si="220"/>
        <v>8097</v>
      </c>
      <c r="I3549" s="23" t="str">
        <f t="shared" si="221"/>
        <v>Delhi</v>
      </c>
      <c r="J3549" s="23">
        <f>COUNTIFS(pg_transaction_cleaned!$O:$O,A3549,pg_transaction_cleaned!$F:$F,"CAPTURE")</f>
        <v>1</v>
      </c>
      <c r="K3549" s="39">
        <f>SUMIFS(pg_transaction_cleaned!$H:$H,pg_transaction_cleaned!$O:$O,A3549,pg_transaction_cleaned!$F:$F,"CAPTURE")</f>
        <v>8097</v>
      </c>
      <c r="L3549" s="23">
        <f>COUNTIFS(pg_transaction_cleaned!$O:$O,A3549,pg_transaction_cleaned!$F:$F,"REFUND")</f>
        <v>0</v>
      </c>
      <c r="M3549" s="39">
        <f>SUMIFS(pg_transaction_cleaned!$H:$H,pg_transaction_cleaned!$O:$O,A3549,pg_transaction_cleaned!$F:$F,"REFUND")</f>
        <v>0</v>
      </c>
      <c r="N3549" s="23" t="str">
        <f t="shared" si="222"/>
        <v>OK</v>
      </c>
      <c r="O3549" s="24">
        <f t="shared" si="223"/>
        <v>0</v>
      </c>
    </row>
    <row r="3550" spans="1:15" ht="15" customHeight="1" x14ac:dyDescent="0.3">
      <c r="A3550" s="23" t="s">
        <v>7593</v>
      </c>
      <c r="B3550" s="38">
        <v>46275</v>
      </c>
      <c r="C3550" s="23" t="s">
        <v>7594</v>
      </c>
      <c r="D3550" s="23" t="s">
        <v>87</v>
      </c>
      <c r="E3550" s="23" t="s">
        <v>79</v>
      </c>
      <c r="F3550" s="23" t="s">
        <v>268</v>
      </c>
      <c r="G3550" s="23" t="s">
        <v>365</v>
      </c>
      <c r="H3550" s="39">
        <f t="shared" si="220"/>
        <v>1299</v>
      </c>
      <c r="I3550" s="23" t="str">
        <f t="shared" si="221"/>
        <v>Mumbai</v>
      </c>
      <c r="J3550" s="23">
        <f>COUNTIFS(pg_transaction_cleaned!$O:$O,A3550,pg_transaction_cleaned!$F:$F,"CAPTURE")</f>
        <v>0</v>
      </c>
      <c r="K3550" s="39">
        <f>SUMIFS(pg_transaction_cleaned!$H:$H,pg_transaction_cleaned!$O:$O,A3550,pg_transaction_cleaned!$F:$F,"CAPTURE")</f>
        <v>0</v>
      </c>
      <c r="L3550" s="23">
        <f>COUNTIFS(pg_transaction_cleaned!$O:$O,A3550,pg_transaction_cleaned!$F:$F,"REFUND")</f>
        <v>0</v>
      </c>
      <c r="M3550" s="39">
        <f>SUMIFS(pg_transaction_cleaned!$H:$H,pg_transaction_cleaned!$O:$O,A3550,pg_transaction_cleaned!$F:$F,"REFUND")</f>
        <v>0</v>
      </c>
      <c r="N3550" s="23" t="str">
        <f t="shared" si="222"/>
        <v>OK</v>
      </c>
      <c r="O3550" s="24">
        <f t="shared" si="223"/>
        <v>0</v>
      </c>
    </row>
    <row r="3551" spans="1:15" ht="15" customHeight="1" x14ac:dyDescent="0.3">
      <c r="A3551" s="23" t="s">
        <v>7595</v>
      </c>
      <c r="B3551" s="38">
        <v>46291</v>
      </c>
      <c r="C3551" s="23" t="s">
        <v>7596</v>
      </c>
      <c r="D3551" s="23" t="s">
        <v>95</v>
      </c>
      <c r="E3551" s="23" t="s">
        <v>79</v>
      </c>
      <c r="F3551" s="23" t="s">
        <v>582</v>
      </c>
      <c r="G3551" s="23" t="s">
        <v>250</v>
      </c>
      <c r="H3551" s="39">
        <f t="shared" si="220"/>
        <v>1298</v>
      </c>
      <c r="I3551" s="23" t="str">
        <f t="shared" si="221"/>
        <v>Bengaluru</v>
      </c>
      <c r="J3551" s="23">
        <f>COUNTIFS(pg_transaction_cleaned!$O:$O,A3551,pg_transaction_cleaned!$F:$F,"CAPTURE")</f>
        <v>1</v>
      </c>
      <c r="K3551" s="39">
        <f>SUMIFS(pg_transaction_cleaned!$H:$H,pg_transaction_cleaned!$O:$O,A3551,pg_transaction_cleaned!$F:$F,"CAPTURE")</f>
        <v>1298</v>
      </c>
      <c r="L3551" s="23">
        <f>COUNTIFS(pg_transaction_cleaned!$O:$O,A3551,pg_transaction_cleaned!$F:$F,"REFUND")</f>
        <v>0</v>
      </c>
      <c r="M3551" s="39">
        <f>SUMIFS(pg_transaction_cleaned!$H:$H,pg_transaction_cleaned!$O:$O,A3551,pg_transaction_cleaned!$F:$F,"REFUND")</f>
        <v>0</v>
      </c>
      <c r="N3551" s="23" t="str">
        <f t="shared" si="222"/>
        <v>OK</v>
      </c>
      <c r="O3551" s="24">
        <f t="shared" si="223"/>
        <v>0</v>
      </c>
    </row>
    <row r="3552" spans="1:15" ht="15" customHeight="1" x14ac:dyDescent="0.3">
      <c r="A3552" s="23" t="s">
        <v>7597</v>
      </c>
      <c r="B3552" s="38">
        <v>46269</v>
      </c>
      <c r="C3552" s="23" t="s">
        <v>7598</v>
      </c>
      <c r="D3552" s="23" t="s">
        <v>91</v>
      </c>
      <c r="E3552" s="23" t="s">
        <v>75</v>
      </c>
      <c r="F3552" s="23" t="s">
        <v>310</v>
      </c>
      <c r="G3552" s="23" t="s">
        <v>301</v>
      </c>
      <c r="H3552" s="39">
        <f t="shared" si="220"/>
        <v>7999</v>
      </c>
      <c r="I3552" s="23" t="str">
        <f t="shared" si="221"/>
        <v>Pune</v>
      </c>
      <c r="J3552" s="23">
        <f>COUNTIFS(pg_transaction_cleaned!$O:$O,A3552,pg_transaction_cleaned!$F:$F,"CAPTURE")</f>
        <v>1</v>
      </c>
      <c r="K3552" s="39">
        <f>SUMIFS(pg_transaction_cleaned!$H:$H,pg_transaction_cleaned!$O:$O,A3552,pg_transaction_cleaned!$F:$F,"CAPTURE")</f>
        <v>7999</v>
      </c>
      <c r="L3552" s="23">
        <f>COUNTIFS(pg_transaction_cleaned!$O:$O,A3552,pg_transaction_cleaned!$F:$F,"REFUND")</f>
        <v>1</v>
      </c>
      <c r="M3552" s="39">
        <f>SUMIFS(pg_transaction_cleaned!$H:$H,pg_transaction_cleaned!$O:$O,A3552,pg_transaction_cleaned!$F:$F,"REFUND")</f>
        <v>7999</v>
      </c>
      <c r="N3552" s="23" t="str">
        <f t="shared" si="222"/>
        <v>OK</v>
      </c>
      <c r="O3552" s="24">
        <f t="shared" si="223"/>
        <v>0</v>
      </c>
    </row>
    <row r="3553" spans="1:15" ht="15" customHeight="1" x14ac:dyDescent="0.3">
      <c r="A3553" s="23" t="s">
        <v>7599</v>
      </c>
      <c r="B3553" s="38">
        <v>46271</v>
      </c>
      <c r="C3553" s="23" t="s">
        <v>7600</v>
      </c>
      <c r="D3553" s="23" t="s">
        <v>94</v>
      </c>
      <c r="E3553" s="23" t="s">
        <v>79</v>
      </c>
      <c r="F3553" s="23" t="s">
        <v>1188</v>
      </c>
      <c r="G3553" s="23" t="s">
        <v>250</v>
      </c>
      <c r="H3553" s="39">
        <f t="shared" si="220"/>
        <v>1798</v>
      </c>
      <c r="I3553" s="23" t="str">
        <f t="shared" si="221"/>
        <v>Chennai</v>
      </c>
      <c r="J3553" s="23">
        <f>COUNTIFS(pg_transaction_cleaned!$O:$O,A3553,pg_transaction_cleaned!$F:$F,"CAPTURE")</f>
        <v>1</v>
      </c>
      <c r="K3553" s="39">
        <f>SUMIFS(pg_transaction_cleaned!$H:$H,pg_transaction_cleaned!$O:$O,A3553,pg_transaction_cleaned!$F:$F,"CAPTURE")</f>
        <v>1798</v>
      </c>
      <c r="L3553" s="23">
        <f>COUNTIFS(pg_transaction_cleaned!$O:$O,A3553,pg_transaction_cleaned!$F:$F,"REFUND")</f>
        <v>0</v>
      </c>
      <c r="M3553" s="39">
        <f>SUMIFS(pg_transaction_cleaned!$H:$H,pg_transaction_cleaned!$O:$O,A3553,pg_transaction_cleaned!$F:$F,"REFUND")</f>
        <v>0</v>
      </c>
      <c r="N3553" s="23" t="str">
        <f t="shared" si="222"/>
        <v>OK</v>
      </c>
      <c r="O3553" s="24">
        <f t="shared" si="223"/>
        <v>0</v>
      </c>
    </row>
    <row r="3554" spans="1:15" ht="15" customHeight="1" x14ac:dyDescent="0.3">
      <c r="A3554" s="23" t="s">
        <v>7601</v>
      </c>
      <c r="B3554" s="38">
        <v>46295</v>
      </c>
      <c r="C3554" s="23" t="s">
        <v>7602</v>
      </c>
      <c r="D3554" s="23"/>
      <c r="E3554" s="23" t="s">
        <v>75</v>
      </c>
      <c r="F3554" s="23" t="s">
        <v>520</v>
      </c>
      <c r="G3554" s="23" t="s">
        <v>250</v>
      </c>
      <c r="H3554" s="39">
        <f t="shared" si="220"/>
        <v>4998</v>
      </c>
      <c r="I3554" s="23" t="str">
        <f t="shared" si="221"/>
        <v>Unknown</v>
      </c>
      <c r="J3554" s="23">
        <f>COUNTIFS(pg_transaction_cleaned!$O:$O,A3554,pg_transaction_cleaned!$F:$F,"CAPTURE")</f>
        <v>1</v>
      </c>
      <c r="K3554" s="39">
        <f>SUMIFS(pg_transaction_cleaned!$H:$H,pg_transaction_cleaned!$O:$O,A3554,pg_transaction_cleaned!$F:$F,"CAPTURE")</f>
        <v>4998</v>
      </c>
      <c r="L3554" s="23">
        <f>COUNTIFS(pg_transaction_cleaned!$O:$O,A3554,pg_transaction_cleaned!$F:$F,"REFUND")</f>
        <v>0</v>
      </c>
      <c r="M3554" s="39">
        <f>SUMIFS(pg_transaction_cleaned!$H:$H,pg_transaction_cleaned!$O:$O,A3554,pg_transaction_cleaned!$F:$F,"REFUND")</f>
        <v>0</v>
      </c>
      <c r="N3554" s="23" t="str">
        <f t="shared" si="222"/>
        <v>OK</v>
      </c>
      <c r="O3554" s="24">
        <f t="shared" si="223"/>
        <v>0</v>
      </c>
    </row>
    <row r="3555" spans="1:15" ht="15" customHeight="1" x14ac:dyDescent="0.3">
      <c r="A3555" s="23" t="s">
        <v>7603</v>
      </c>
      <c r="B3555" s="38">
        <v>46281</v>
      </c>
      <c r="C3555" s="23" t="s">
        <v>7604</v>
      </c>
      <c r="D3555" s="23" t="s">
        <v>92</v>
      </c>
      <c r="E3555" s="23" t="s">
        <v>75</v>
      </c>
      <c r="F3555" s="23" t="s">
        <v>632</v>
      </c>
      <c r="G3555" s="23" t="s">
        <v>250</v>
      </c>
      <c r="H3555" s="39">
        <f t="shared" si="220"/>
        <v>948</v>
      </c>
      <c r="I3555" s="23" t="str">
        <f t="shared" si="221"/>
        <v>Hyderabad</v>
      </c>
      <c r="J3555" s="23">
        <f>COUNTIFS(pg_transaction_cleaned!$O:$O,A3555,pg_transaction_cleaned!$F:$F,"CAPTURE")</f>
        <v>1</v>
      </c>
      <c r="K3555" s="39">
        <f>SUMIFS(pg_transaction_cleaned!$H:$H,pg_transaction_cleaned!$O:$O,A3555,pg_transaction_cleaned!$F:$F,"CAPTURE")</f>
        <v>948</v>
      </c>
      <c r="L3555" s="23">
        <f>COUNTIFS(pg_transaction_cleaned!$O:$O,A3555,pg_transaction_cleaned!$F:$F,"REFUND")</f>
        <v>0</v>
      </c>
      <c r="M3555" s="39">
        <f>SUMIFS(pg_transaction_cleaned!$H:$H,pg_transaction_cleaned!$O:$O,A3555,pg_transaction_cleaned!$F:$F,"REFUND")</f>
        <v>0</v>
      </c>
      <c r="N3555" s="23" t="str">
        <f t="shared" si="222"/>
        <v>OK</v>
      </c>
      <c r="O3555" s="24">
        <f t="shared" si="223"/>
        <v>0</v>
      </c>
    </row>
    <row r="3556" spans="1:15" ht="15" customHeight="1" x14ac:dyDescent="0.3">
      <c r="A3556" s="23" t="s">
        <v>7605</v>
      </c>
      <c r="B3556" s="38">
        <v>46271</v>
      </c>
      <c r="C3556" s="23" t="s">
        <v>7606</v>
      </c>
      <c r="D3556" s="23" t="s">
        <v>91</v>
      </c>
      <c r="E3556" s="23" t="s">
        <v>79</v>
      </c>
      <c r="F3556" s="23" t="s">
        <v>249</v>
      </c>
      <c r="G3556" s="23" t="s">
        <v>250</v>
      </c>
      <c r="H3556" s="39">
        <f t="shared" si="220"/>
        <v>299</v>
      </c>
      <c r="I3556" s="23" t="str">
        <f t="shared" si="221"/>
        <v>Pune</v>
      </c>
      <c r="J3556" s="23">
        <f>COUNTIFS(pg_transaction_cleaned!$O:$O,A3556,pg_transaction_cleaned!$F:$F,"CAPTURE")</f>
        <v>1</v>
      </c>
      <c r="K3556" s="39">
        <f>SUMIFS(pg_transaction_cleaned!$H:$H,pg_transaction_cleaned!$O:$O,A3556,pg_transaction_cleaned!$F:$F,"CAPTURE")</f>
        <v>299</v>
      </c>
      <c r="L3556" s="23">
        <f>COUNTIFS(pg_transaction_cleaned!$O:$O,A3556,pg_transaction_cleaned!$F:$F,"REFUND")</f>
        <v>0</v>
      </c>
      <c r="M3556" s="39">
        <f>SUMIFS(pg_transaction_cleaned!$H:$H,pg_transaction_cleaned!$O:$O,A3556,pg_transaction_cleaned!$F:$F,"REFUND")</f>
        <v>0</v>
      </c>
      <c r="N3556" s="23" t="str">
        <f t="shared" si="222"/>
        <v>OK</v>
      </c>
      <c r="O3556" s="24">
        <f t="shared" si="223"/>
        <v>0</v>
      </c>
    </row>
    <row r="3557" spans="1:15" ht="15" customHeight="1" x14ac:dyDescent="0.3">
      <c r="A3557" s="23" t="s">
        <v>7607</v>
      </c>
      <c r="B3557" s="38">
        <v>46284</v>
      </c>
      <c r="C3557" s="23" t="s">
        <v>7608</v>
      </c>
      <c r="D3557" s="23" t="s">
        <v>88</v>
      </c>
      <c r="E3557" s="23" t="s">
        <v>77</v>
      </c>
      <c r="F3557" s="23" t="s">
        <v>315</v>
      </c>
      <c r="G3557" s="23" t="s">
        <v>250</v>
      </c>
      <c r="H3557" s="39">
        <f t="shared" si="220"/>
        <v>1499</v>
      </c>
      <c r="I3557" s="23" t="str">
        <f t="shared" si="221"/>
        <v>Lucknow</v>
      </c>
      <c r="J3557" s="23">
        <f>COUNTIFS(pg_transaction_cleaned!$O:$O,A3557,pg_transaction_cleaned!$F:$F,"CAPTURE")</f>
        <v>1</v>
      </c>
      <c r="K3557" s="39">
        <f>SUMIFS(pg_transaction_cleaned!$H:$H,pg_transaction_cleaned!$O:$O,A3557,pg_transaction_cleaned!$F:$F,"CAPTURE")</f>
        <v>1499</v>
      </c>
      <c r="L3557" s="23">
        <f>COUNTIFS(pg_transaction_cleaned!$O:$O,A3557,pg_transaction_cleaned!$F:$F,"REFUND")</f>
        <v>0</v>
      </c>
      <c r="M3557" s="39">
        <f>SUMIFS(pg_transaction_cleaned!$H:$H,pg_transaction_cleaned!$O:$O,A3557,pg_transaction_cleaned!$F:$F,"REFUND")</f>
        <v>0</v>
      </c>
      <c r="N3557" s="23" t="str">
        <f t="shared" si="222"/>
        <v>OK</v>
      </c>
      <c r="O3557" s="24">
        <f t="shared" si="223"/>
        <v>0</v>
      </c>
    </row>
    <row r="3558" spans="1:15" ht="15" customHeight="1" x14ac:dyDescent="0.3">
      <c r="A3558" s="23" t="s">
        <v>7609</v>
      </c>
      <c r="B3558" s="38">
        <v>46270</v>
      </c>
      <c r="C3558" s="23" t="s">
        <v>7610</v>
      </c>
      <c r="D3558" s="23" t="s">
        <v>90</v>
      </c>
      <c r="E3558" s="23" t="s">
        <v>79</v>
      </c>
      <c r="F3558" s="23" t="s">
        <v>268</v>
      </c>
      <c r="G3558" s="23" t="s">
        <v>250</v>
      </c>
      <c r="H3558" s="39">
        <f t="shared" si="220"/>
        <v>1299</v>
      </c>
      <c r="I3558" s="23" t="str">
        <f t="shared" si="221"/>
        <v>Ahmedabad</v>
      </c>
      <c r="J3558" s="23">
        <f>COUNTIFS(pg_transaction_cleaned!$O:$O,A3558,pg_transaction_cleaned!$F:$F,"CAPTURE")</f>
        <v>1</v>
      </c>
      <c r="K3558" s="39">
        <f>SUMIFS(pg_transaction_cleaned!$H:$H,pg_transaction_cleaned!$O:$O,A3558,pg_transaction_cleaned!$F:$F,"CAPTURE")</f>
        <v>1299</v>
      </c>
      <c r="L3558" s="23">
        <f>COUNTIFS(pg_transaction_cleaned!$O:$O,A3558,pg_transaction_cleaned!$F:$F,"REFUND")</f>
        <v>0</v>
      </c>
      <c r="M3558" s="39">
        <f>SUMIFS(pg_transaction_cleaned!$H:$H,pg_transaction_cleaned!$O:$O,A3558,pg_transaction_cleaned!$F:$F,"REFUND")</f>
        <v>0</v>
      </c>
      <c r="N3558" s="23" t="str">
        <f t="shared" si="222"/>
        <v>OK</v>
      </c>
      <c r="O3558" s="24">
        <f t="shared" si="223"/>
        <v>0</v>
      </c>
    </row>
    <row r="3559" spans="1:15" ht="15" customHeight="1" x14ac:dyDescent="0.3">
      <c r="A3559" s="23" t="s">
        <v>7611</v>
      </c>
      <c r="B3559" s="38">
        <v>46277</v>
      </c>
      <c r="C3559" s="23" t="s">
        <v>7612</v>
      </c>
      <c r="D3559" s="23" t="s">
        <v>90</v>
      </c>
      <c r="E3559" s="23" t="s">
        <v>77</v>
      </c>
      <c r="F3559" s="23" t="s">
        <v>291</v>
      </c>
      <c r="G3559" s="23" t="s">
        <v>250</v>
      </c>
      <c r="H3559" s="39">
        <f t="shared" si="220"/>
        <v>3499</v>
      </c>
      <c r="I3559" s="23" t="str">
        <f t="shared" si="221"/>
        <v>Ahmedabad</v>
      </c>
      <c r="J3559" s="23">
        <f>COUNTIFS(pg_transaction_cleaned!$O:$O,A3559,pg_transaction_cleaned!$F:$F,"CAPTURE")</f>
        <v>1</v>
      </c>
      <c r="K3559" s="39">
        <f>SUMIFS(pg_transaction_cleaned!$H:$H,pg_transaction_cleaned!$O:$O,A3559,pg_transaction_cleaned!$F:$F,"CAPTURE")</f>
        <v>3499</v>
      </c>
      <c r="L3559" s="23">
        <f>COUNTIFS(pg_transaction_cleaned!$O:$O,A3559,pg_transaction_cleaned!$F:$F,"REFUND")</f>
        <v>0</v>
      </c>
      <c r="M3559" s="39">
        <f>SUMIFS(pg_transaction_cleaned!$H:$H,pg_transaction_cleaned!$O:$O,A3559,pg_transaction_cleaned!$F:$F,"REFUND")</f>
        <v>0</v>
      </c>
      <c r="N3559" s="23" t="str">
        <f t="shared" si="222"/>
        <v>OK</v>
      </c>
      <c r="O3559" s="24">
        <f t="shared" si="223"/>
        <v>0</v>
      </c>
    </row>
    <row r="3560" spans="1:15" ht="15" customHeight="1" x14ac:dyDescent="0.3">
      <c r="A3560" s="23" t="s">
        <v>7613</v>
      </c>
      <c r="B3560" s="38">
        <v>46276</v>
      </c>
      <c r="C3560" s="23" t="s">
        <v>7614</v>
      </c>
      <c r="D3560" s="23" t="s">
        <v>92</v>
      </c>
      <c r="E3560" s="23" t="s">
        <v>79</v>
      </c>
      <c r="F3560" s="23" t="s">
        <v>396</v>
      </c>
      <c r="G3560" s="23" t="s">
        <v>250</v>
      </c>
      <c r="H3560" s="39">
        <f t="shared" si="220"/>
        <v>2999</v>
      </c>
      <c r="I3560" s="23" t="str">
        <f t="shared" si="221"/>
        <v>Hyderabad</v>
      </c>
      <c r="J3560" s="23">
        <f>COUNTIFS(pg_transaction_cleaned!$O:$O,A3560,pg_transaction_cleaned!$F:$F,"CAPTURE")</f>
        <v>1</v>
      </c>
      <c r="K3560" s="39">
        <f>SUMIFS(pg_transaction_cleaned!$H:$H,pg_transaction_cleaned!$O:$O,A3560,pg_transaction_cleaned!$F:$F,"CAPTURE")</f>
        <v>2999</v>
      </c>
      <c r="L3560" s="23">
        <f>COUNTIFS(pg_transaction_cleaned!$O:$O,A3560,pg_transaction_cleaned!$F:$F,"REFUND")</f>
        <v>0</v>
      </c>
      <c r="M3560" s="39">
        <f>SUMIFS(pg_transaction_cleaned!$H:$H,pg_transaction_cleaned!$O:$O,A3560,pg_transaction_cleaned!$F:$F,"REFUND")</f>
        <v>0</v>
      </c>
      <c r="N3560" s="23" t="str">
        <f t="shared" si="222"/>
        <v>OK</v>
      </c>
      <c r="O3560" s="24">
        <f t="shared" si="223"/>
        <v>0</v>
      </c>
    </row>
    <row r="3561" spans="1:15" ht="15" customHeight="1" x14ac:dyDescent="0.3">
      <c r="A3561" s="23" t="s">
        <v>7615</v>
      </c>
      <c r="B3561" s="38">
        <v>46278</v>
      </c>
      <c r="C3561" s="23" t="s">
        <v>7616</v>
      </c>
      <c r="D3561" s="23" t="s">
        <v>91</v>
      </c>
      <c r="E3561" s="23" t="s">
        <v>77</v>
      </c>
      <c r="F3561" s="23" t="s">
        <v>262</v>
      </c>
      <c r="G3561" s="23" t="s">
        <v>250</v>
      </c>
      <c r="H3561" s="39">
        <f t="shared" si="220"/>
        <v>499</v>
      </c>
      <c r="I3561" s="23" t="str">
        <f t="shared" si="221"/>
        <v>Pune</v>
      </c>
      <c r="J3561" s="23">
        <f>COUNTIFS(pg_transaction_cleaned!$O:$O,A3561,pg_transaction_cleaned!$F:$F,"CAPTURE")</f>
        <v>1</v>
      </c>
      <c r="K3561" s="39">
        <f>SUMIFS(pg_transaction_cleaned!$H:$H,pg_transaction_cleaned!$O:$O,A3561,pg_transaction_cleaned!$F:$F,"CAPTURE")</f>
        <v>499</v>
      </c>
      <c r="L3561" s="23">
        <f>COUNTIFS(pg_transaction_cleaned!$O:$O,A3561,pg_transaction_cleaned!$F:$F,"REFUND")</f>
        <v>0</v>
      </c>
      <c r="M3561" s="39">
        <f>SUMIFS(pg_transaction_cleaned!$H:$H,pg_transaction_cleaned!$O:$O,A3561,pg_transaction_cleaned!$F:$F,"REFUND")</f>
        <v>0</v>
      </c>
      <c r="N3561" s="23" t="str">
        <f t="shared" si="222"/>
        <v>OK</v>
      </c>
      <c r="O3561" s="24">
        <f t="shared" si="223"/>
        <v>0</v>
      </c>
    </row>
    <row r="3562" spans="1:15" ht="15" customHeight="1" x14ac:dyDescent="0.3">
      <c r="A3562" s="23" t="s">
        <v>7617</v>
      </c>
      <c r="B3562" s="38">
        <v>46280</v>
      </c>
      <c r="C3562" s="23" t="s">
        <v>7618</v>
      </c>
      <c r="D3562" s="23" t="s">
        <v>89</v>
      </c>
      <c r="E3562" s="23" t="s">
        <v>79</v>
      </c>
      <c r="F3562" s="23" t="s">
        <v>249</v>
      </c>
      <c r="G3562" s="23" t="s">
        <v>250</v>
      </c>
      <c r="H3562" s="39">
        <f t="shared" si="220"/>
        <v>299</v>
      </c>
      <c r="I3562" s="23" t="str">
        <f t="shared" si="221"/>
        <v>Jaipur</v>
      </c>
      <c r="J3562" s="23">
        <f>COUNTIFS(pg_transaction_cleaned!$O:$O,A3562,pg_transaction_cleaned!$F:$F,"CAPTURE")</f>
        <v>0</v>
      </c>
      <c r="K3562" s="39">
        <f>SUMIFS(pg_transaction_cleaned!$H:$H,pg_transaction_cleaned!$O:$O,A3562,pg_transaction_cleaned!$F:$F,"CAPTURE")</f>
        <v>0</v>
      </c>
      <c r="L3562" s="23">
        <f>COUNTIFS(pg_transaction_cleaned!$O:$O,A3562,pg_transaction_cleaned!$F:$F,"REFUND")</f>
        <v>0</v>
      </c>
      <c r="M3562" s="39">
        <f>SUMIFS(pg_transaction_cleaned!$H:$H,pg_transaction_cleaned!$O:$O,A3562,pg_transaction_cleaned!$F:$F,"REFUND")</f>
        <v>0</v>
      </c>
      <c r="N3562" s="23" t="str">
        <f t="shared" si="222"/>
        <v>Paid, no payment</v>
      </c>
      <c r="O3562" s="24">
        <f t="shared" si="223"/>
        <v>299</v>
      </c>
    </row>
    <row r="3563" spans="1:15" ht="15" customHeight="1" x14ac:dyDescent="0.3">
      <c r="A3563" s="23" t="s">
        <v>7619</v>
      </c>
      <c r="B3563" s="38">
        <v>46294</v>
      </c>
      <c r="C3563" s="23" t="s">
        <v>7620</v>
      </c>
      <c r="D3563" s="23" t="s">
        <v>86</v>
      </c>
      <c r="E3563" s="23" t="s">
        <v>75</v>
      </c>
      <c r="F3563" s="23" t="s">
        <v>742</v>
      </c>
      <c r="G3563" s="23" t="s">
        <v>250</v>
      </c>
      <c r="H3563" s="39">
        <f t="shared" si="220"/>
        <v>999</v>
      </c>
      <c r="I3563" s="23" t="str">
        <f t="shared" si="221"/>
        <v>Delhi</v>
      </c>
      <c r="J3563" s="23">
        <f>COUNTIFS(pg_transaction_cleaned!$O:$O,A3563,pg_transaction_cleaned!$F:$F,"CAPTURE")</f>
        <v>1</v>
      </c>
      <c r="K3563" s="39">
        <f>SUMIFS(pg_transaction_cleaned!$H:$H,pg_transaction_cleaned!$O:$O,A3563,pg_transaction_cleaned!$F:$F,"CAPTURE")</f>
        <v>999</v>
      </c>
      <c r="L3563" s="23">
        <f>COUNTIFS(pg_transaction_cleaned!$O:$O,A3563,pg_transaction_cleaned!$F:$F,"REFUND")</f>
        <v>0</v>
      </c>
      <c r="M3563" s="39">
        <f>SUMIFS(pg_transaction_cleaned!$H:$H,pg_transaction_cleaned!$O:$O,A3563,pg_transaction_cleaned!$F:$F,"REFUND")</f>
        <v>0</v>
      </c>
      <c r="N3563" s="23" t="str">
        <f t="shared" si="222"/>
        <v>OK</v>
      </c>
      <c r="O3563" s="24">
        <f t="shared" si="223"/>
        <v>0</v>
      </c>
    </row>
    <row r="3564" spans="1:15" ht="15" customHeight="1" x14ac:dyDescent="0.3">
      <c r="A3564" s="23" t="s">
        <v>7621</v>
      </c>
      <c r="B3564" s="38">
        <v>46288</v>
      </c>
      <c r="C3564" s="23" t="s">
        <v>7622</v>
      </c>
      <c r="D3564" s="23" t="s">
        <v>94</v>
      </c>
      <c r="E3564" s="23" t="s">
        <v>75</v>
      </c>
      <c r="F3564" s="23" t="s">
        <v>274</v>
      </c>
      <c r="G3564" s="23" t="s">
        <v>250</v>
      </c>
      <c r="H3564" s="39">
        <f t="shared" si="220"/>
        <v>349</v>
      </c>
      <c r="I3564" s="23" t="str">
        <f t="shared" si="221"/>
        <v>Chennai</v>
      </c>
      <c r="J3564" s="23">
        <f>COUNTIFS(pg_transaction_cleaned!$O:$O,A3564,pg_transaction_cleaned!$F:$F,"CAPTURE")</f>
        <v>1</v>
      </c>
      <c r="K3564" s="39">
        <f>SUMIFS(pg_transaction_cleaned!$H:$H,pg_transaction_cleaned!$O:$O,A3564,pg_transaction_cleaned!$F:$F,"CAPTURE")</f>
        <v>349</v>
      </c>
      <c r="L3564" s="23">
        <f>COUNTIFS(pg_transaction_cleaned!$O:$O,A3564,pg_transaction_cleaned!$F:$F,"REFUND")</f>
        <v>0</v>
      </c>
      <c r="M3564" s="39">
        <f>SUMIFS(pg_transaction_cleaned!$H:$H,pg_transaction_cleaned!$O:$O,A3564,pg_transaction_cleaned!$F:$F,"REFUND")</f>
        <v>0</v>
      </c>
      <c r="N3564" s="23" t="str">
        <f t="shared" si="222"/>
        <v>OK</v>
      </c>
      <c r="O3564" s="24">
        <f t="shared" si="223"/>
        <v>0</v>
      </c>
    </row>
    <row r="3565" spans="1:15" ht="15" customHeight="1" x14ac:dyDescent="0.3">
      <c r="A3565" s="23" t="s">
        <v>7623</v>
      </c>
      <c r="B3565" s="38">
        <v>46266</v>
      </c>
      <c r="C3565" s="23" t="s">
        <v>7624</v>
      </c>
      <c r="D3565" s="23" t="s">
        <v>91</v>
      </c>
      <c r="E3565" s="23" t="s">
        <v>79</v>
      </c>
      <c r="F3565" s="23" t="s">
        <v>274</v>
      </c>
      <c r="G3565" s="23" t="s">
        <v>250</v>
      </c>
      <c r="H3565" s="39">
        <f t="shared" si="220"/>
        <v>349</v>
      </c>
      <c r="I3565" s="23" t="str">
        <f t="shared" si="221"/>
        <v>Pune</v>
      </c>
      <c r="J3565" s="23">
        <f>COUNTIFS(pg_transaction_cleaned!$O:$O,A3565,pg_transaction_cleaned!$F:$F,"CAPTURE")</f>
        <v>1</v>
      </c>
      <c r="K3565" s="39">
        <f>SUMIFS(pg_transaction_cleaned!$H:$H,pg_transaction_cleaned!$O:$O,A3565,pg_transaction_cleaned!$F:$F,"CAPTURE")</f>
        <v>349</v>
      </c>
      <c r="L3565" s="23">
        <f>COUNTIFS(pg_transaction_cleaned!$O:$O,A3565,pg_transaction_cleaned!$F:$F,"REFUND")</f>
        <v>0</v>
      </c>
      <c r="M3565" s="39">
        <f>SUMIFS(pg_transaction_cleaned!$H:$H,pg_transaction_cleaned!$O:$O,A3565,pg_transaction_cleaned!$F:$F,"REFUND")</f>
        <v>0</v>
      </c>
      <c r="N3565" s="23" t="str">
        <f t="shared" si="222"/>
        <v>OK</v>
      </c>
      <c r="O3565" s="24">
        <f t="shared" si="223"/>
        <v>0</v>
      </c>
    </row>
    <row r="3566" spans="1:15" ht="15" customHeight="1" x14ac:dyDescent="0.3">
      <c r="A3566" s="23" t="s">
        <v>7625</v>
      </c>
      <c r="B3566" s="38">
        <v>46284</v>
      </c>
      <c r="C3566" s="23" t="s">
        <v>7626</v>
      </c>
      <c r="D3566" s="23" t="s">
        <v>90</v>
      </c>
      <c r="E3566" s="23" t="s">
        <v>75</v>
      </c>
      <c r="F3566" s="23" t="s">
        <v>7627</v>
      </c>
      <c r="G3566" s="23" t="s">
        <v>250</v>
      </c>
      <c r="H3566" s="39">
        <f t="shared" si="220"/>
        <v>1747</v>
      </c>
      <c r="I3566" s="23" t="str">
        <f t="shared" si="221"/>
        <v>Ahmedabad</v>
      </c>
      <c r="J3566" s="23">
        <f>COUNTIFS(pg_transaction_cleaned!$O:$O,A3566,pg_transaction_cleaned!$F:$F,"CAPTURE")</f>
        <v>1</v>
      </c>
      <c r="K3566" s="39">
        <f>SUMIFS(pg_transaction_cleaned!$H:$H,pg_transaction_cleaned!$O:$O,A3566,pg_transaction_cleaned!$F:$F,"CAPTURE")</f>
        <v>1747</v>
      </c>
      <c r="L3566" s="23">
        <f>COUNTIFS(pg_transaction_cleaned!$O:$O,A3566,pg_transaction_cleaned!$F:$F,"REFUND")</f>
        <v>0</v>
      </c>
      <c r="M3566" s="39">
        <f>SUMIFS(pg_transaction_cleaned!$H:$H,pg_transaction_cleaned!$O:$O,A3566,pg_transaction_cleaned!$F:$F,"REFUND")</f>
        <v>0</v>
      </c>
      <c r="N3566" s="23" t="str">
        <f t="shared" si="222"/>
        <v>OK</v>
      </c>
      <c r="O3566" s="24">
        <f t="shared" si="223"/>
        <v>0</v>
      </c>
    </row>
    <row r="3567" spans="1:15" ht="15" customHeight="1" x14ac:dyDescent="0.3">
      <c r="A3567" s="23" t="s">
        <v>7628</v>
      </c>
      <c r="B3567" s="38">
        <v>46295</v>
      </c>
      <c r="C3567" s="23" t="s">
        <v>7629</v>
      </c>
      <c r="D3567" s="23" t="s">
        <v>94</v>
      </c>
      <c r="E3567" s="23" t="s">
        <v>75</v>
      </c>
      <c r="F3567" s="23" t="s">
        <v>346</v>
      </c>
      <c r="G3567" s="23" t="s">
        <v>250</v>
      </c>
      <c r="H3567" s="39">
        <f t="shared" si="220"/>
        <v>4498</v>
      </c>
      <c r="I3567" s="23" t="str">
        <f t="shared" si="221"/>
        <v>Chennai</v>
      </c>
      <c r="J3567" s="23">
        <f>COUNTIFS(pg_transaction_cleaned!$O:$O,A3567,pg_transaction_cleaned!$F:$F,"CAPTURE")</f>
        <v>1</v>
      </c>
      <c r="K3567" s="39">
        <f>SUMIFS(pg_transaction_cleaned!$H:$H,pg_transaction_cleaned!$O:$O,A3567,pg_transaction_cleaned!$F:$F,"CAPTURE")</f>
        <v>4498</v>
      </c>
      <c r="L3567" s="23">
        <f>COUNTIFS(pg_transaction_cleaned!$O:$O,A3567,pg_transaction_cleaned!$F:$F,"REFUND")</f>
        <v>0</v>
      </c>
      <c r="M3567" s="39">
        <f>SUMIFS(pg_transaction_cleaned!$H:$H,pg_transaction_cleaned!$O:$O,A3567,pg_transaction_cleaned!$F:$F,"REFUND")</f>
        <v>0</v>
      </c>
      <c r="N3567" s="23" t="str">
        <f t="shared" si="222"/>
        <v>OK</v>
      </c>
      <c r="O3567" s="24">
        <f t="shared" si="223"/>
        <v>0</v>
      </c>
    </row>
    <row r="3568" spans="1:15" ht="15" customHeight="1" x14ac:dyDescent="0.3">
      <c r="A3568" s="23" t="s">
        <v>7630</v>
      </c>
      <c r="B3568" s="38">
        <v>46288</v>
      </c>
      <c r="C3568" s="23" t="s">
        <v>7631</v>
      </c>
      <c r="D3568" s="23" t="s">
        <v>95</v>
      </c>
      <c r="E3568" s="23" t="s">
        <v>75</v>
      </c>
      <c r="F3568" s="23" t="s">
        <v>478</v>
      </c>
      <c r="G3568" s="23" t="s">
        <v>250</v>
      </c>
      <c r="H3568" s="39">
        <f t="shared" si="220"/>
        <v>9297</v>
      </c>
      <c r="I3568" s="23" t="str">
        <f t="shared" si="221"/>
        <v>Bengaluru</v>
      </c>
      <c r="J3568" s="23">
        <f>COUNTIFS(pg_transaction_cleaned!$O:$O,A3568,pg_transaction_cleaned!$F:$F,"CAPTURE")</f>
        <v>1</v>
      </c>
      <c r="K3568" s="39">
        <f>SUMIFS(pg_transaction_cleaned!$H:$H,pg_transaction_cleaned!$O:$O,A3568,pg_transaction_cleaned!$F:$F,"CAPTURE")</f>
        <v>9297</v>
      </c>
      <c r="L3568" s="23">
        <f>COUNTIFS(pg_transaction_cleaned!$O:$O,A3568,pg_transaction_cleaned!$F:$F,"REFUND")</f>
        <v>0</v>
      </c>
      <c r="M3568" s="39">
        <f>SUMIFS(pg_transaction_cleaned!$H:$H,pg_transaction_cleaned!$O:$O,A3568,pg_transaction_cleaned!$F:$F,"REFUND")</f>
        <v>0</v>
      </c>
      <c r="N3568" s="23" t="str">
        <f t="shared" si="222"/>
        <v>OK</v>
      </c>
      <c r="O3568" s="24">
        <f t="shared" si="223"/>
        <v>0</v>
      </c>
    </row>
    <row r="3569" spans="1:15" ht="15" customHeight="1" x14ac:dyDescent="0.3">
      <c r="A3569" s="23" t="s">
        <v>7632</v>
      </c>
      <c r="B3569" s="38">
        <v>46288</v>
      </c>
      <c r="C3569" s="23" t="s">
        <v>7633</v>
      </c>
      <c r="D3569" s="23" t="s">
        <v>91</v>
      </c>
      <c r="E3569" s="23" t="s">
        <v>75</v>
      </c>
      <c r="F3569" s="23" t="s">
        <v>396</v>
      </c>
      <c r="G3569" s="23" t="s">
        <v>250</v>
      </c>
      <c r="H3569" s="39">
        <f t="shared" si="220"/>
        <v>2999</v>
      </c>
      <c r="I3569" s="23" t="str">
        <f t="shared" si="221"/>
        <v>Pune</v>
      </c>
      <c r="J3569" s="23">
        <f>COUNTIFS(pg_transaction_cleaned!$O:$O,A3569,pg_transaction_cleaned!$F:$F,"CAPTURE")</f>
        <v>1</v>
      </c>
      <c r="K3569" s="39">
        <f>SUMIFS(pg_transaction_cleaned!$H:$H,pg_transaction_cleaned!$O:$O,A3569,pg_transaction_cleaned!$F:$F,"CAPTURE")</f>
        <v>2999</v>
      </c>
      <c r="L3569" s="23">
        <f>COUNTIFS(pg_transaction_cleaned!$O:$O,A3569,pg_transaction_cleaned!$F:$F,"REFUND")</f>
        <v>0</v>
      </c>
      <c r="M3569" s="39">
        <f>SUMIFS(pg_transaction_cleaned!$H:$H,pg_transaction_cleaned!$O:$O,A3569,pg_transaction_cleaned!$F:$F,"REFUND")</f>
        <v>0</v>
      </c>
      <c r="N3569" s="23" t="str">
        <f t="shared" si="222"/>
        <v>OK</v>
      </c>
      <c r="O3569" s="24">
        <f t="shared" si="223"/>
        <v>0</v>
      </c>
    </row>
    <row r="3570" spans="1:15" ht="15" customHeight="1" x14ac:dyDescent="0.3">
      <c r="A3570" s="23" t="s">
        <v>7634</v>
      </c>
      <c r="B3570" s="38">
        <v>46284</v>
      </c>
      <c r="C3570" s="23" t="s">
        <v>7635</v>
      </c>
      <c r="D3570" s="23" t="s">
        <v>90</v>
      </c>
      <c r="E3570" s="23" t="s">
        <v>75</v>
      </c>
      <c r="F3570" s="23" t="s">
        <v>291</v>
      </c>
      <c r="G3570" s="23" t="s">
        <v>365</v>
      </c>
      <c r="H3570" s="39">
        <f t="shared" si="220"/>
        <v>3499</v>
      </c>
      <c r="I3570" s="23" t="str">
        <f t="shared" si="221"/>
        <v>Ahmedabad</v>
      </c>
      <c r="J3570" s="23">
        <f>COUNTIFS(pg_transaction_cleaned!$O:$O,A3570,pg_transaction_cleaned!$F:$F,"CAPTURE")</f>
        <v>0</v>
      </c>
      <c r="K3570" s="39">
        <f>SUMIFS(pg_transaction_cleaned!$H:$H,pg_transaction_cleaned!$O:$O,A3570,pg_transaction_cleaned!$F:$F,"CAPTURE")</f>
        <v>0</v>
      </c>
      <c r="L3570" s="23">
        <f>COUNTIFS(pg_transaction_cleaned!$O:$O,A3570,pg_transaction_cleaned!$F:$F,"REFUND")</f>
        <v>0</v>
      </c>
      <c r="M3570" s="39">
        <f>SUMIFS(pg_transaction_cleaned!$H:$H,pg_transaction_cleaned!$O:$O,A3570,pg_transaction_cleaned!$F:$F,"REFUND")</f>
        <v>0</v>
      </c>
      <c r="N3570" s="23" t="str">
        <f t="shared" si="222"/>
        <v>OK</v>
      </c>
      <c r="O3570" s="24">
        <f t="shared" si="223"/>
        <v>0</v>
      </c>
    </row>
    <row r="3571" spans="1:15" ht="15" customHeight="1" x14ac:dyDescent="0.3">
      <c r="A3571" s="23" t="s">
        <v>7636</v>
      </c>
      <c r="B3571" s="38">
        <v>46281</v>
      </c>
      <c r="C3571" s="23" t="s">
        <v>7637</v>
      </c>
      <c r="D3571" s="23" t="s">
        <v>95</v>
      </c>
      <c r="E3571" s="23" t="s">
        <v>75</v>
      </c>
      <c r="F3571" s="23" t="s">
        <v>268</v>
      </c>
      <c r="G3571" s="23" t="s">
        <v>250</v>
      </c>
      <c r="H3571" s="39">
        <f t="shared" si="220"/>
        <v>1299</v>
      </c>
      <c r="I3571" s="23" t="str">
        <f t="shared" si="221"/>
        <v>Bengaluru</v>
      </c>
      <c r="J3571" s="23">
        <f>COUNTIFS(pg_transaction_cleaned!$O:$O,A3571,pg_transaction_cleaned!$F:$F,"CAPTURE")</f>
        <v>1</v>
      </c>
      <c r="K3571" s="39">
        <f>SUMIFS(pg_transaction_cleaned!$H:$H,pg_transaction_cleaned!$O:$O,A3571,pg_transaction_cleaned!$F:$F,"CAPTURE")</f>
        <v>1299</v>
      </c>
      <c r="L3571" s="23">
        <f>COUNTIFS(pg_transaction_cleaned!$O:$O,A3571,pg_transaction_cleaned!$F:$F,"REFUND")</f>
        <v>0</v>
      </c>
      <c r="M3571" s="39">
        <f>SUMIFS(pg_transaction_cleaned!$H:$H,pg_transaction_cleaned!$O:$O,A3571,pg_transaction_cleaned!$F:$F,"REFUND")</f>
        <v>0</v>
      </c>
      <c r="N3571" s="23" t="str">
        <f t="shared" si="222"/>
        <v>OK</v>
      </c>
      <c r="O3571" s="24">
        <f t="shared" si="223"/>
        <v>0</v>
      </c>
    </row>
    <row r="3572" spans="1:15" ht="15" customHeight="1" x14ac:dyDescent="0.3">
      <c r="A3572" s="23" t="s">
        <v>7638</v>
      </c>
      <c r="B3572" s="38">
        <v>46272</v>
      </c>
      <c r="C3572" s="23" t="s">
        <v>7639</v>
      </c>
      <c r="D3572" s="23" t="s">
        <v>93</v>
      </c>
      <c r="E3572" s="23" t="s">
        <v>79</v>
      </c>
      <c r="F3572" s="23" t="s">
        <v>297</v>
      </c>
      <c r="G3572" s="23" t="s">
        <v>250</v>
      </c>
      <c r="H3572" s="39">
        <f t="shared" si="220"/>
        <v>4999</v>
      </c>
      <c r="I3572" s="23" t="str">
        <f t="shared" si="221"/>
        <v>Kolkata</v>
      </c>
      <c r="J3572" s="23">
        <f>COUNTIFS(pg_transaction_cleaned!$O:$O,A3572,pg_transaction_cleaned!$F:$F,"CAPTURE")</f>
        <v>1</v>
      </c>
      <c r="K3572" s="39">
        <f>SUMIFS(pg_transaction_cleaned!$H:$H,pg_transaction_cleaned!$O:$O,A3572,pg_transaction_cleaned!$F:$F,"CAPTURE")</f>
        <v>4999</v>
      </c>
      <c r="L3572" s="23">
        <f>COUNTIFS(pg_transaction_cleaned!$O:$O,A3572,pg_transaction_cleaned!$F:$F,"REFUND")</f>
        <v>0</v>
      </c>
      <c r="M3572" s="39">
        <f>SUMIFS(pg_transaction_cleaned!$H:$H,pg_transaction_cleaned!$O:$O,A3572,pg_transaction_cleaned!$F:$F,"REFUND")</f>
        <v>0</v>
      </c>
      <c r="N3572" s="23" t="str">
        <f t="shared" si="222"/>
        <v>OK</v>
      </c>
      <c r="O3572" s="24">
        <f t="shared" si="223"/>
        <v>0</v>
      </c>
    </row>
    <row r="3573" spans="1:15" ht="15" customHeight="1" x14ac:dyDescent="0.3">
      <c r="A3573" s="23" t="s">
        <v>7640</v>
      </c>
      <c r="B3573" s="38">
        <v>46277</v>
      </c>
      <c r="C3573" s="23" t="s">
        <v>7641</v>
      </c>
      <c r="D3573" s="23" t="s">
        <v>94</v>
      </c>
      <c r="E3573" s="23" t="s">
        <v>77</v>
      </c>
      <c r="F3573" s="23" t="s">
        <v>265</v>
      </c>
      <c r="G3573" s="23" t="s">
        <v>250</v>
      </c>
      <c r="H3573" s="39">
        <f t="shared" si="220"/>
        <v>999</v>
      </c>
      <c r="I3573" s="23" t="str">
        <f t="shared" si="221"/>
        <v>Chennai</v>
      </c>
      <c r="J3573" s="23">
        <f>COUNTIFS(pg_transaction_cleaned!$O:$O,A3573,pg_transaction_cleaned!$F:$F,"CAPTURE")</f>
        <v>1</v>
      </c>
      <c r="K3573" s="39">
        <f>SUMIFS(pg_transaction_cleaned!$H:$H,pg_transaction_cleaned!$O:$O,A3573,pg_transaction_cleaned!$F:$F,"CAPTURE")</f>
        <v>999</v>
      </c>
      <c r="L3573" s="23">
        <f>COUNTIFS(pg_transaction_cleaned!$O:$O,A3573,pg_transaction_cleaned!$F:$F,"REFUND")</f>
        <v>0</v>
      </c>
      <c r="M3573" s="39">
        <f>SUMIFS(pg_transaction_cleaned!$H:$H,pg_transaction_cleaned!$O:$O,A3573,pg_transaction_cleaned!$F:$F,"REFUND")</f>
        <v>0</v>
      </c>
      <c r="N3573" s="23" t="str">
        <f t="shared" si="222"/>
        <v>OK</v>
      </c>
      <c r="O3573" s="24">
        <f t="shared" si="223"/>
        <v>0</v>
      </c>
    </row>
    <row r="3574" spans="1:15" ht="15" customHeight="1" x14ac:dyDescent="0.3">
      <c r="A3574" s="23" t="s">
        <v>7642</v>
      </c>
      <c r="B3574" s="38">
        <v>46280</v>
      </c>
      <c r="C3574" s="23" t="s">
        <v>7643</v>
      </c>
      <c r="D3574" s="23" t="s">
        <v>94</v>
      </c>
      <c r="E3574" s="23" t="s">
        <v>75</v>
      </c>
      <c r="F3574" s="23" t="s">
        <v>647</v>
      </c>
      <c r="G3574" s="23" t="s">
        <v>301</v>
      </c>
      <c r="H3574" s="39">
        <f t="shared" si="220"/>
        <v>5597</v>
      </c>
      <c r="I3574" s="23" t="str">
        <f t="shared" si="221"/>
        <v>Chennai</v>
      </c>
      <c r="J3574" s="23">
        <f>COUNTIFS(pg_transaction_cleaned!$O:$O,A3574,pg_transaction_cleaned!$F:$F,"CAPTURE")</f>
        <v>1</v>
      </c>
      <c r="K3574" s="39">
        <f>SUMIFS(pg_transaction_cleaned!$H:$H,pg_transaction_cleaned!$O:$O,A3574,pg_transaction_cleaned!$F:$F,"CAPTURE")</f>
        <v>5597</v>
      </c>
      <c r="L3574" s="23">
        <f>COUNTIFS(pg_transaction_cleaned!$O:$O,A3574,pg_transaction_cleaned!$F:$F,"REFUND")</f>
        <v>1</v>
      </c>
      <c r="M3574" s="39">
        <f>SUMIFS(pg_transaction_cleaned!$H:$H,pg_transaction_cleaned!$O:$O,A3574,pg_transaction_cleaned!$F:$F,"REFUND")</f>
        <v>5597</v>
      </c>
      <c r="N3574" s="23" t="str">
        <f t="shared" si="222"/>
        <v>OK</v>
      </c>
      <c r="O3574" s="24">
        <f t="shared" si="223"/>
        <v>0</v>
      </c>
    </row>
    <row r="3575" spans="1:15" ht="15" customHeight="1" x14ac:dyDescent="0.3">
      <c r="A3575" s="23" t="s">
        <v>7644</v>
      </c>
      <c r="B3575" s="38">
        <v>46286</v>
      </c>
      <c r="C3575" s="23" t="s">
        <v>7645</v>
      </c>
      <c r="D3575" s="23"/>
      <c r="E3575" s="23" t="s">
        <v>75</v>
      </c>
      <c r="F3575" s="23" t="s">
        <v>441</v>
      </c>
      <c r="G3575" s="23" t="s">
        <v>250</v>
      </c>
      <c r="H3575" s="39">
        <f t="shared" si="220"/>
        <v>9998</v>
      </c>
      <c r="I3575" s="23" t="str">
        <f t="shared" si="221"/>
        <v>Unknown</v>
      </c>
      <c r="J3575" s="23">
        <f>COUNTIFS(pg_transaction_cleaned!$O:$O,A3575,pg_transaction_cleaned!$F:$F,"CAPTURE")</f>
        <v>1</v>
      </c>
      <c r="K3575" s="39">
        <f>SUMIFS(pg_transaction_cleaned!$H:$H,pg_transaction_cleaned!$O:$O,A3575,pg_transaction_cleaned!$F:$F,"CAPTURE")</f>
        <v>9998</v>
      </c>
      <c r="L3575" s="23">
        <f>COUNTIFS(pg_transaction_cleaned!$O:$O,A3575,pg_transaction_cleaned!$F:$F,"REFUND")</f>
        <v>0</v>
      </c>
      <c r="M3575" s="39">
        <f>SUMIFS(pg_transaction_cleaned!$H:$H,pg_transaction_cleaned!$O:$O,A3575,pg_transaction_cleaned!$F:$F,"REFUND")</f>
        <v>0</v>
      </c>
      <c r="N3575" s="23" t="str">
        <f t="shared" si="222"/>
        <v>OK</v>
      </c>
      <c r="O3575" s="24">
        <f t="shared" si="223"/>
        <v>0</v>
      </c>
    </row>
    <row r="3576" spans="1:15" ht="15" customHeight="1" x14ac:dyDescent="0.3">
      <c r="A3576" s="23" t="s">
        <v>7646</v>
      </c>
      <c r="B3576" s="38">
        <v>46271</v>
      </c>
      <c r="C3576" s="23" t="s">
        <v>7647</v>
      </c>
      <c r="D3576" s="23" t="s">
        <v>93</v>
      </c>
      <c r="E3576" s="23" t="s">
        <v>79</v>
      </c>
      <c r="F3576" s="23" t="s">
        <v>291</v>
      </c>
      <c r="G3576" s="23" t="s">
        <v>250</v>
      </c>
      <c r="H3576" s="39">
        <f t="shared" si="220"/>
        <v>3499</v>
      </c>
      <c r="I3576" s="23" t="str">
        <f t="shared" si="221"/>
        <v>Kolkata</v>
      </c>
      <c r="J3576" s="23">
        <f>COUNTIFS(pg_transaction_cleaned!$O:$O,A3576,pg_transaction_cleaned!$F:$F,"CAPTURE")</f>
        <v>1</v>
      </c>
      <c r="K3576" s="39">
        <f>SUMIFS(pg_transaction_cleaned!$H:$H,pg_transaction_cleaned!$O:$O,A3576,pg_transaction_cleaned!$F:$F,"CAPTURE")</f>
        <v>3499</v>
      </c>
      <c r="L3576" s="23">
        <f>COUNTIFS(pg_transaction_cleaned!$O:$O,A3576,pg_transaction_cleaned!$F:$F,"REFUND")</f>
        <v>0</v>
      </c>
      <c r="M3576" s="39">
        <f>SUMIFS(pg_transaction_cleaned!$H:$H,pg_transaction_cleaned!$O:$O,A3576,pg_transaction_cleaned!$F:$F,"REFUND")</f>
        <v>0</v>
      </c>
      <c r="N3576" s="23" t="str">
        <f t="shared" si="222"/>
        <v>OK</v>
      </c>
      <c r="O3576" s="24">
        <f t="shared" si="223"/>
        <v>0</v>
      </c>
    </row>
    <row r="3577" spans="1:15" ht="15" customHeight="1" x14ac:dyDescent="0.3">
      <c r="A3577" s="23" t="s">
        <v>7648</v>
      </c>
      <c r="B3577" s="38">
        <v>46291</v>
      </c>
      <c r="C3577" s="23" t="s">
        <v>7649</v>
      </c>
      <c r="D3577" s="23" t="s">
        <v>86</v>
      </c>
      <c r="E3577" s="23" t="s">
        <v>75</v>
      </c>
      <c r="F3577" s="23" t="s">
        <v>249</v>
      </c>
      <c r="G3577" s="23" t="s">
        <v>250</v>
      </c>
      <c r="H3577" s="39">
        <f t="shared" si="220"/>
        <v>299</v>
      </c>
      <c r="I3577" s="23" t="str">
        <f t="shared" si="221"/>
        <v>Delhi</v>
      </c>
      <c r="J3577" s="23">
        <f>COUNTIFS(pg_transaction_cleaned!$O:$O,A3577,pg_transaction_cleaned!$F:$F,"CAPTURE")</f>
        <v>1</v>
      </c>
      <c r="K3577" s="39">
        <f>SUMIFS(pg_transaction_cleaned!$H:$H,pg_transaction_cleaned!$O:$O,A3577,pg_transaction_cleaned!$F:$F,"CAPTURE")</f>
        <v>299</v>
      </c>
      <c r="L3577" s="23">
        <f>COUNTIFS(pg_transaction_cleaned!$O:$O,A3577,pg_transaction_cleaned!$F:$F,"REFUND")</f>
        <v>0</v>
      </c>
      <c r="M3577" s="39">
        <f>SUMIFS(pg_transaction_cleaned!$H:$H,pg_transaction_cleaned!$O:$O,A3577,pg_transaction_cleaned!$F:$F,"REFUND")</f>
        <v>0</v>
      </c>
      <c r="N3577" s="23" t="str">
        <f t="shared" si="222"/>
        <v>OK</v>
      </c>
      <c r="O3577" s="24">
        <f t="shared" si="223"/>
        <v>0</v>
      </c>
    </row>
    <row r="3578" spans="1:15" ht="15" customHeight="1" x14ac:dyDescent="0.3">
      <c r="A3578" s="23" t="s">
        <v>7650</v>
      </c>
      <c r="B3578" s="38">
        <v>46287</v>
      </c>
      <c r="C3578" s="23" t="s">
        <v>7651</v>
      </c>
      <c r="D3578" s="23" t="s">
        <v>94</v>
      </c>
      <c r="E3578" s="23" t="s">
        <v>77</v>
      </c>
      <c r="F3578" s="23" t="s">
        <v>438</v>
      </c>
      <c r="G3578" s="23" t="s">
        <v>250</v>
      </c>
      <c r="H3578" s="39">
        <f t="shared" si="220"/>
        <v>5498</v>
      </c>
      <c r="I3578" s="23" t="str">
        <f t="shared" si="221"/>
        <v>Chennai</v>
      </c>
      <c r="J3578" s="23">
        <f>COUNTIFS(pg_transaction_cleaned!$O:$O,A3578,pg_transaction_cleaned!$F:$F,"CAPTURE")</f>
        <v>1</v>
      </c>
      <c r="K3578" s="39">
        <f>SUMIFS(pg_transaction_cleaned!$H:$H,pg_transaction_cleaned!$O:$O,A3578,pg_transaction_cleaned!$F:$F,"CAPTURE")</f>
        <v>5498</v>
      </c>
      <c r="L3578" s="23">
        <f>COUNTIFS(pg_transaction_cleaned!$O:$O,A3578,pg_transaction_cleaned!$F:$F,"REFUND")</f>
        <v>0</v>
      </c>
      <c r="M3578" s="39">
        <f>SUMIFS(pg_transaction_cleaned!$H:$H,pg_transaction_cleaned!$O:$O,A3578,pg_transaction_cleaned!$F:$F,"REFUND")</f>
        <v>0</v>
      </c>
      <c r="N3578" s="23" t="str">
        <f t="shared" si="222"/>
        <v>OK</v>
      </c>
      <c r="O3578" s="24">
        <f t="shared" si="223"/>
        <v>0</v>
      </c>
    </row>
    <row r="3579" spans="1:15" ht="15" customHeight="1" x14ac:dyDescent="0.3">
      <c r="A3579" s="23" t="s">
        <v>7652</v>
      </c>
      <c r="B3579" s="38">
        <v>46289</v>
      </c>
      <c r="C3579" s="23" t="s">
        <v>7653</v>
      </c>
      <c r="D3579" s="23" t="s">
        <v>86</v>
      </c>
      <c r="E3579" s="23" t="s">
        <v>75</v>
      </c>
      <c r="F3579" s="23" t="s">
        <v>274</v>
      </c>
      <c r="G3579" s="23" t="s">
        <v>250</v>
      </c>
      <c r="H3579" s="39">
        <f t="shared" si="220"/>
        <v>349</v>
      </c>
      <c r="I3579" s="23" t="str">
        <f t="shared" si="221"/>
        <v>Delhi</v>
      </c>
      <c r="J3579" s="23">
        <f>COUNTIFS(pg_transaction_cleaned!$O:$O,A3579,pg_transaction_cleaned!$F:$F,"CAPTURE")</f>
        <v>1</v>
      </c>
      <c r="K3579" s="39">
        <f>SUMIFS(pg_transaction_cleaned!$H:$H,pg_transaction_cleaned!$O:$O,A3579,pg_transaction_cleaned!$F:$F,"CAPTURE")</f>
        <v>349</v>
      </c>
      <c r="L3579" s="23">
        <f>COUNTIFS(pg_transaction_cleaned!$O:$O,A3579,pg_transaction_cleaned!$F:$F,"REFUND")</f>
        <v>0</v>
      </c>
      <c r="M3579" s="39">
        <f>SUMIFS(pg_transaction_cleaned!$H:$H,pg_transaction_cleaned!$O:$O,A3579,pg_transaction_cleaned!$F:$F,"REFUND")</f>
        <v>0</v>
      </c>
      <c r="N3579" s="23" t="str">
        <f t="shared" si="222"/>
        <v>OK</v>
      </c>
      <c r="O3579" s="24">
        <f t="shared" si="223"/>
        <v>0</v>
      </c>
    </row>
    <row r="3580" spans="1:15" ht="15" customHeight="1" x14ac:dyDescent="0.3">
      <c r="A3580" s="23" t="s">
        <v>7654</v>
      </c>
      <c r="B3580" s="38">
        <v>46271</v>
      </c>
      <c r="C3580" s="23" t="s">
        <v>7655</v>
      </c>
      <c r="D3580" s="23" t="s">
        <v>86</v>
      </c>
      <c r="E3580" s="23" t="s">
        <v>79</v>
      </c>
      <c r="F3580" s="23" t="s">
        <v>310</v>
      </c>
      <c r="G3580" s="23" t="s">
        <v>250</v>
      </c>
      <c r="H3580" s="39">
        <f t="shared" si="220"/>
        <v>7999</v>
      </c>
      <c r="I3580" s="23" t="str">
        <f t="shared" si="221"/>
        <v>Delhi</v>
      </c>
      <c r="J3580" s="23">
        <f>COUNTIFS(pg_transaction_cleaned!$O:$O,A3580,pg_transaction_cleaned!$F:$F,"CAPTURE")</f>
        <v>1</v>
      </c>
      <c r="K3580" s="39">
        <f>SUMIFS(pg_transaction_cleaned!$H:$H,pg_transaction_cleaned!$O:$O,A3580,pg_transaction_cleaned!$F:$F,"CAPTURE")</f>
        <v>7999</v>
      </c>
      <c r="L3580" s="23">
        <f>COUNTIFS(pg_transaction_cleaned!$O:$O,A3580,pg_transaction_cleaned!$F:$F,"REFUND")</f>
        <v>0</v>
      </c>
      <c r="M3580" s="39">
        <f>SUMIFS(pg_transaction_cleaned!$H:$H,pg_transaction_cleaned!$O:$O,A3580,pg_transaction_cleaned!$F:$F,"REFUND")</f>
        <v>0</v>
      </c>
      <c r="N3580" s="23" t="str">
        <f t="shared" si="222"/>
        <v>OK</v>
      </c>
      <c r="O3580" s="24">
        <f t="shared" si="223"/>
        <v>0</v>
      </c>
    </row>
    <row r="3581" spans="1:15" ht="15" customHeight="1" x14ac:dyDescent="0.3">
      <c r="A3581" s="23" t="s">
        <v>7656</v>
      </c>
      <c r="B3581" s="38">
        <v>46277</v>
      </c>
      <c r="C3581" s="23" t="s">
        <v>7657</v>
      </c>
      <c r="D3581" s="23" t="s">
        <v>90</v>
      </c>
      <c r="E3581" s="23" t="s">
        <v>79</v>
      </c>
      <c r="F3581" s="23" t="s">
        <v>1445</v>
      </c>
      <c r="G3581" s="23" t="s">
        <v>250</v>
      </c>
      <c r="H3581" s="39">
        <f t="shared" si="220"/>
        <v>10997</v>
      </c>
      <c r="I3581" s="23" t="str">
        <f t="shared" si="221"/>
        <v>Ahmedabad</v>
      </c>
      <c r="J3581" s="23">
        <f>COUNTIFS(pg_transaction_cleaned!$O:$O,A3581,pg_transaction_cleaned!$F:$F,"CAPTURE")</f>
        <v>1</v>
      </c>
      <c r="K3581" s="39">
        <f>SUMIFS(pg_transaction_cleaned!$H:$H,pg_transaction_cleaned!$O:$O,A3581,pg_transaction_cleaned!$F:$F,"CAPTURE")</f>
        <v>10997</v>
      </c>
      <c r="L3581" s="23">
        <f>COUNTIFS(pg_transaction_cleaned!$O:$O,A3581,pg_transaction_cleaned!$F:$F,"REFUND")</f>
        <v>0</v>
      </c>
      <c r="M3581" s="39">
        <f>SUMIFS(pg_transaction_cleaned!$H:$H,pg_transaction_cleaned!$O:$O,A3581,pg_transaction_cleaned!$F:$F,"REFUND")</f>
        <v>0</v>
      </c>
      <c r="N3581" s="23" t="str">
        <f t="shared" si="222"/>
        <v>OK</v>
      </c>
      <c r="O3581" s="24">
        <f t="shared" si="223"/>
        <v>0</v>
      </c>
    </row>
    <row r="3582" spans="1:15" ht="15" customHeight="1" x14ac:dyDescent="0.3">
      <c r="A3582" s="23" t="s">
        <v>7658</v>
      </c>
      <c r="B3582" s="38">
        <v>46271</v>
      </c>
      <c r="C3582" s="23" t="s">
        <v>7659</v>
      </c>
      <c r="D3582" s="23" t="s">
        <v>87</v>
      </c>
      <c r="E3582" s="23" t="s">
        <v>75</v>
      </c>
      <c r="F3582" s="23" t="s">
        <v>950</v>
      </c>
      <c r="G3582" s="23" t="s">
        <v>250</v>
      </c>
      <c r="H3582" s="39">
        <f t="shared" si="220"/>
        <v>1898</v>
      </c>
      <c r="I3582" s="23" t="str">
        <f t="shared" si="221"/>
        <v>Mumbai</v>
      </c>
      <c r="J3582" s="23">
        <f>COUNTIFS(pg_transaction_cleaned!$O:$O,A3582,pg_transaction_cleaned!$F:$F,"CAPTURE")</f>
        <v>1</v>
      </c>
      <c r="K3582" s="39">
        <f>SUMIFS(pg_transaction_cleaned!$H:$H,pg_transaction_cleaned!$O:$O,A3582,pg_transaction_cleaned!$F:$F,"CAPTURE")</f>
        <v>1898</v>
      </c>
      <c r="L3582" s="23">
        <f>COUNTIFS(pg_transaction_cleaned!$O:$O,A3582,pg_transaction_cleaned!$F:$F,"REFUND")</f>
        <v>0</v>
      </c>
      <c r="M3582" s="39">
        <f>SUMIFS(pg_transaction_cleaned!$H:$H,pg_transaction_cleaned!$O:$O,A3582,pg_transaction_cleaned!$F:$F,"REFUND")</f>
        <v>0</v>
      </c>
      <c r="N3582" s="23" t="str">
        <f t="shared" si="222"/>
        <v>OK</v>
      </c>
      <c r="O3582" s="24">
        <f t="shared" si="223"/>
        <v>0</v>
      </c>
    </row>
    <row r="3583" spans="1:15" ht="15" customHeight="1" x14ac:dyDescent="0.3">
      <c r="A3583" s="23" t="s">
        <v>7660</v>
      </c>
      <c r="B3583" s="38">
        <v>46268</v>
      </c>
      <c r="C3583" s="23" t="s">
        <v>7661</v>
      </c>
      <c r="D3583" s="23" t="s">
        <v>92</v>
      </c>
      <c r="E3583" s="23" t="s">
        <v>77</v>
      </c>
      <c r="F3583" s="23" t="s">
        <v>297</v>
      </c>
      <c r="G3583" s="23" t="s">
        <v>250</v>
      </c>
      <c r="H3583" s="39">
        <f t="shared" si="220"/>
        <v>4999</v>
      </c>
      <c r="I3583" s="23" t="str">
        <f t="shared" si="221"/>
        <v>Hyderabad</v>
      </c>
      <c r="J3583" s="23">
        <f>COUNTIFS(pg_transaction_cleaned!$O:$O,A3583,pg_transaction_cleaned!$F:$F,"CAPTURE")</f>
        <v>1</v>
      </c>
      <c r="K3583" s="39">
        <f>SUMIFS(pg_transaction_cleaned!$H:$H,pg_transaction_cleaned!$O:$O,A3583,pg_transaction_cleaned!$F:$F,"CAPTURE")</f>
        <v>4999</v>
      </c>
      <c r="L3583" s="23">
        <f>COUNTIFS(pg_transaction_cleaned!$O:$O,A3583,pg_transaction_cleaned!$F:$F,"REFUND")</f>
        <v>0</v>
      </c>
      <c r="M3583" s="39">
        <f>SUMIFS(pg_transaction_cleaned!$H:$H,pg_transaction_cleaned!$O:$O,A3583,pg_transaction_cleaned!$F:$F,"REFUND")</f>
        <v>0</v>
      </c>
      <c r="N3583" s="23" t="str">
        <f t="shared" si="222"/>
        <v>OK</v>
      </c>
      <c r="O3583" s="24">
        <f t="shared" si="223"/>
        <v>0</v>
      </c>
    </row>
    <row r="3584" spans="1:15" ht="15" customHeight="1" x14ac:dyDescent="0.3">
      <c r="A3584" s="23" t="s">
        <v>7662</v>
      </c>
      <c r="B3584" s="38">
        <v>46284</v>
      </c>
      <c r="C3584" s="23" t="s">
        <v>7663</v>
      </c>
      <c r="D3584" s="23" t="s">
        <v>93</v>
      </c>
      <c r="E3584" s="23" t="s">
        <v>75</v>
      </c>
      <c r="F3584" s="23" t="s">
        <v>483</v>
      </c>
      <c r="G3584" s="23" t="s">
        <v>250</v>
      </c>
      <c r="H3584" s="39">
        <f t="shared" si="220"/>
        <v>2998</v>
      </c>
      <c r="I3584" s="23" t="str">
        <f t="shared" si="221"/>
        <v>Kolkata</v>
      </c>
      <c r="J3584" s="23">
        <f>COUNTIFS(pg_transaction_cleaned!$O:$O,A3584,pg_transaction_cleaned!$F:$F,"CAPTURE")</f>
        <v>1</v>
      </c>
      <c r="K3584" s="39">
        <f>SUMIFS(pg_transaction_cleaned!$H:$H,pg_transaction_cleaned!$O:$O,A3584,pg_transaction_cleaned!$F:$F,"CAPTURE")</f>
        <v>2998</v>
      </c>
      <c r="L3584" s="23">
        <f>COUNTIFS(pg_transaction_cleaned!$O:$O,A3584,pg_transaction_cleaned!$F:$F,"REFUND")</f>
        <v>0</v>
      </c>
      <c r="M3584" s="39">
        <f>SUMIFS(pg_transaction_cleaned!$H:$H,pg_transaction_cleaned!$O:$O,A3584,pg_transaction_cleaned!$F:$F,"REFUND")</f>
        <v>0</v>
      </c>
      <c r="N3584" s="23" t="str">
        <f t="shared" si="222"/>
        <v>OK</v>
      </c>
      <c r="O3584" s="24">
        <f t="shared" si="223"/>
        <v>0</v>
      </c>
    </row>
    <row r="3585" spans="1:15" ht="15" customHeight="1" x14ac:dyDescent="0.3">
      <c r="A3585" s="23" t="s">
        <v>7664</v>
      </c>
      <c r="B3585" s="38">
        <v>46278</v>
      </c>
      <c r="C3585" s="23" t="s">
        <v>7665</v>
      </c>
      <c r="D3585" s="23" t="s">
        <v>93</v>
      </c>
      <c r="E3585" s="23" t="s">
        <v>75</v>
      </c>
      <c r="F3585" s="23" t="s">
        <v>310</v>
      </c>
      <c r="G3585" s="23" t="s">
        <v>250</v>
      </c>
      <c r="H3585" s="39">
        <f t="shared" si="220"/>
        <v>7999</v>
      </c>
      <c r="I3585" s="23" t="str">
        <f t="shared" si="221"/>
        <v>Kolkata</v>
      </c>
      <c r="J3585" s="23">
        <f>COUNTIFS(pg_transaction_cleaned!$O:$O,A3585,pg_transaction_cleaned!$F:$F,"CAPTURE")</f>
        <v>1</v>
      </c>
      <c r="K3585" s="39">
        <f>SUMIFS(pg_transaction_cleaned!$H:$H,pg_transaction_cleaned!$O:$O,A3585,pg_transaction_cleaned!$F:$F,"CAPTURE")</f>
        <v>7999</v>
      </c>
      <c r="L3585" s="23">
        <f>COUNTIFS(pg_transaction_cleaned!$O:$O,A3585,pg_transaction_cleaned!$F:$F,"REFUND")</f>
        <v>0</v>
      </c>
      <c r="M3585" s="39">
        <f>SUMIFS(pg_transaction_cleaned!$H:$H,pg_transaction_cleaned!$O:$O,A3585,pg_transaction_cleaned!$F:$F,"REFUND")</f>
        <v>0</v>
      </c>
      <c r="N3585" s="23" t="str">
        <f t="shared" si="222"/>
        <v>OK</v>
      </c>
      <c r="O3585" s="24">
        <f t="shared" si="223"/>
        <v>0</v>
      </c>
    </row>
    <row r="3586" spans="1:15" ht="15" customHeight="1" x14ac:dyDescent="0.3">
      <c r="A3586" s="23" t="s">
        <v>7666</v>
      </c>
      <c r="B3586" s="38">
        <v>46266</v>
      </c>
      <c r="C3586" s="23" t="s">
        <v>7667</v>
      </c>
      <c r="D3586" s="23" t="s">
        <v>88</v>
      </c>
      <c r="E3586" s="23" t="s">
        <v>81</v>
      </c>
      <c r="F3586" s="23" t="s">
        <v>310</v>
      </c>
      <c r="G3586" s="23" t="s">
        <v>365</v>
      </c>
      <c r="H3586" s="39">
        <f t="shared" ref="H3586:H3649" si="224">VALUE(SUBSTITUTE(F3586,",",""))</f>
        <v>7999</v>
      </c>
      <c r="I3586" s="23" t="str">
        <f t="shared" ref="I3586:I3649" si="225">IF(TRIM(D3586)="","Unknown",TRIM(D3586))</f>
        <v>Lucknow</v>
      </c>
      <c r="J3586" s="23">
        <f>COUNTIFS(pg_transaction_cleaned!$O:$O,A3586,pg_transaction_cleaned!$F:$F,"CAPTURE")</f>
        <v>0</v>
      </c>
      <c r="K3586" s="39">
        <f>SUMIFS(pg_transaction_cleaned!$H:$H,pg_transaction_cleaned!$O:$O,A3586,pg_transaction_cleaned!$F:$F,"CAPTURE")</f>
        <v>0</v>
      </c>
      <c r="L3586" s="23">
        <f>COUNTIFS(pg_transaction_cleaned!$O:$O,A3586,pg_transaction_cleaned!$F:$F,"REFUND")</f>
        <v>0</v>
      </c>
      <c r="M3586" s="39">
        <f>SUMIFS(pg_transaction_cleaned!$H:$H,pg_transaction_cleaned!$O:$O,A3586,pg_transaction_cleaned!$F:$F,"REFUND")</f>
        <v>0</v>
      </c>
      <c r="N3586" s="23" t="str">
        <f t="shared" ref="N3586:N3649" si="226">IF(AND(G3586="Paid",J3586=0),"Paid, no payment",IF(AND(OR(G3586="Failed",G3586="Cancelled"),J3586&gt;0),"Payment on failed/cancelled",IF(J3586&gt;1,"Duplicate charge",IF(AND(J3586=1,ROUND(K3586-H3586,2)&lt;&gt;0),"Amount difference",IF(AND(G3586="Refunded",L3586=0),"Refunded, no refund",IF(AND(G3586&lt;&gt;"Refunded",L3586&gt;0),"Refund, order not Refunded",IF(AND(L3586&gt;0,ROUND(M3586-H3586,2)&lt;&gt;0),"Refund amount differs","OK")))))))</f>
        <v>OK</v>
      </c>
      <c r="O3586" s="24">
        <f t="shared" ref="O3586:O3649" si="227">IF(N3586="OK",0,IF(N3586="Paid, no payment",H3586,IF(N3586="Payment on failed/cancelled",K3586,IF(OR(N3586="Duplicate charge",N3586="Amount difference"),K3586-H3586,IF(N3586="Refunded, no refund",H3586,M3586)))))</f>
        <v>0</v>
      </c>
    </row>
    <row r="3587" spans="1:15" ht="15" customHeight="1" x14ac:dyDescent="0.3">
      <c r="A3587" s="23" t="s">
        <v>7668</v>
      </c>
      <c r="B3587" s="38">
        <v>46277</v>
      </c>
      <c r="C3587" s="23" t="s">
        <v>7669</v>
      </c>
      <c r="D3587" s="23" t="s">
        <v>87</v>
      </c>
      <c r="E3587" s="23" t="s">
        <v>81</v>
      </c>
      <c r="F3587" s="23" t="s">
        <v>451</v>
      </c>
      <c r="G3587" s="23" t="s">
        <v>250</v>
      </c>
      <c r="H3587" s="39">
        <f t="shared" si="224"/>
        <v>1098</v>
      </c>
      <c r="I3587" s="23" t="str">
        <f t="shared" si="225"/>
        <v>Mumbai</v>
      </c>
      <c r="J3587" s="23">
        <f>COUNTIFS(pg_transaction_cleaned!$O:$O,A3587,pg_transaction_cleaned!$F:$F,"CAPTURE")</f>
        <v>1</v>
      </c>
      <c r="K3587" s="39">
        <f>SUMIFS(pg_transaction_cleaned!$H:$H,pg_transaction_cleaned!$O:$O,A3587,pg_transaction_cleaned!$F:$F,"CAPTURE")</f>
        <v>1098</v>
      </c>
      <c r="L3587" s="23">
        <f>COUNTIFS(pg_transaction_cleaned!$O:$O,A3587,pg_transaction_cleaned!$F:$F,"REFUND")</f>
        <v>0</v>
      </c>
      <c r="M3587" s="39">
        <f>SUMIFS(pg_transaction_cleaned!$H:$H,pg_transaction_cleaned!$O:$O,A3587,pg_transaction_cleaned!$F:$F,"REFUND")</f>
        <v>0</v>
      </c>
      <c r="N3587" s="23" t="str">
        <f t="shared" si="226"/>
        <v>OK</v>
      </c>
      <c r="O3587" s="24">
        <f t="shared" si="227"/>
        <v>0</v>
      </c>
    </row>
    <row r="3588" spans="1:15" ht="15" customHeight="1" x14ac:dyDescent="0.3">
      <c r="A3588" s="23" t="s">
        <v>7670</v>
      </c>
      <c r="B3588" s="38">
        <v>46266</v>
      </c>
      <c r="C3588" s="23" t="s">
        <v>7671</v>
      </c>
      <c r="D3588" s="23" t="s">
        <v>95</v>
      </c>
      <c r="E3588" s="23" t="s">
        <v>79</v>
      </c>
      <c r="F3588" s="23" t="s">
        <v>4862</v>
      </c>
      <c r="G3588" s="23" t="s">
        <v>250</v>
      </c>
      <c r="H3588" s="39">
        <f t="shared" si="224"/>
        <v>3447</v>
      </c>
      <c r="I3588" s="23" t="str">
        <f t="shared" si="225"/>
        <v>Bengaluru</v>
      </c>
      <c r="J3588" s="23">
        <f>COUNTIFS(pg_transaction_cleaned!$O:$O,A3588,pg_transaction_cleaned!$F:$F,"CAPTURE")</f>
        <v>1</v>
      </c>
      <c r="K3588" s="39">
        <f>SUMIFS(pg_transaction_cleaned!$H:$H,pg_transaction_cleaned!$O:$O,A3588,pg_transaction_cleaned!$F:$F,"CAPTURE")</f>
        <v>3447</v>
      </c>
      <c r="L3588" s="23">
        <f>COUNTIFS(pg_transaction_cleaned!$O:$O,A3588,pg_transaction_cleaned!$F:$F,"REFUND")</f>
        <v>0</v>
      </c>
      <c r="M3588" s="39">
        <f>SUMIFS(pg_transaction_cleaned!$H:$H,pg_transaction_cleaned!$O:$O,A3588,pg_transaction_cleaned!$F:$F,"REFUND")</f>
        <v>0</v>
      </c>
      <c r="N3588" s="23" t="str">
        <f t="shared" si="226"/>
        <v>OK</v>
      </c>
      <c r="O3588" s="24">
        <f t="shared" si="227"/>
        <v>0</v>
      </c>
    </row>
    <row r="3589" spans="1:15" ht="15" customHeight="1" x14ac:dyDescent="0.3">
      <c r="A3589" s="23" t="s">
        <v>7672</v>
      </c>
      <c r="B3589" s="38">
        <v>46273</v>
      </c>
      <c r="C3589" s="23" t="s">
        <v>1924</v>
      </c>
      <c r="D3589" s="23" t="s">
        <v>86</v>
      </c>
      <c r="E3589" s="23" t="s">
        <v>79</v>
      </c>
      <c r="F3589" s="23" t="s">
        <v>297</v>
      </c>
      <c r="G3589" s="23" t="s">
        <v>250</v>
      </c>
      <c r="H3589" s="39">
        <f t="shared" si="224"/>
        <v>4999</v>
      </c>
      <c r="I3589" s="23" t="str">
        <f t="shared" si="225"/>
        <v>Delhi</v>
      </c>
      <c r="J3589" s="23">
        <f>COUNTIFS(pg_transaction_cleaned!$O:$O,A3589,pg_transaction_cleaned!$F:$F,"CAPTURE")</f>
        <v>1</v>
      </c>
      <c r="K3589" s="39">
        <f>SUMIFS(pg_transaction_cleaned!$H:$H,pg_transaction_cleaned!$O:$O,A3589,pg_transaction_cleaned!$F:$F,"CAPTURE")</f>
        <v>4999</v>
      </c>
      <c r="L3589" s="23">
        <f>COUNTIFS(pg_transaction_cleaned!$O:$O,A3589,pg_transaction_cleaned!$F:$F,"REFUND")</f>
        <v>0</v>
      </c>
      <c r="M3589" s="39">
        <f>SUMIFS(pg_transaction_cleaned!$H:$H,pg_transaction_cleaned!$O:$O,A3589,pg_transaction_cleaned!$F:$F,"REFUND")</f>
        <v>0</v>
      </c>
      <c r="N3589" s="23" t="str">
        <f t="shared" si="226"/>
        <v>OK</v>
      </c>
      <c r="O3589" s="24">
        <f t="shared" si="227"/>
        <v>0</v>
      </c>
    </row>
    <row r="3590" spans="1:15" ht="15" customHeight="1" x14ac:dyDescent="0.3">
      <c r="A3590" s="23" t="s">
        <v>7673</v>
      </c>
      <c r="B3590" s="38">
        <v>46275</v>
      </c>
      <c r="C3590" s="23" t="s">
        <v>7674</v>
      </c>
      <c r="D3590" s="23" t="s">
        <v>87</v>
      </c>
      <c r="E3590" s="23" t="s">
        <v>75</v>
      </c>
      <c r="F3590" s="23" t="s">
        <v>2045</v>
      </c>
      <c r="G3590" s="23" t="s">
        <v>318</v>
      </c>
      <c r="H3590" s="39">
        <f t="shared" si="224"/>
        <v>698</v>
      </c>
      <c r="I3590" s="23" t="str">
        <f t="shared" si="225"/>
        <v>Mumbai</v>
      </c>
      <c r="J3590" s="23">
        <f>COUNTIFS(pg_transaction_cleaned!$O:$O,A3590,pg_transaction_cleaned!$F:$F,"CAPTURE")</f>
        <v>0</v>
      </c>
      <c r="K3590" s="39">
        <f>SUMIFS(pg_transaction_cleaned!$H:$H,pg_transaction_cleaned!$O:$O,A3590,pg_transaction_cleaned!$F:$F,"CAPTURE")</f>
        <v>0</v>
      </c>
      <c r="L3590" s="23">
        <f>COUNTIFS(pg_transaction_cleaned!$O:$O,A3590,pg_transaction_cleaned!$F:$F,"REFUND")</f>
        <v>0</v>
      </c>
      <c r="M3590" s="39">
        <f>SUMIFS(pg_transaction_cleaned!$H:$H,pg_transaction_cleaned!$O:$O,A3590,pg_transaction_cleaned!$F:$F,"REFUND")</f>
        <v>0</v>
      </c>
      <c r="N3590" s="23" t="str">
        <f t="shared" si="226"/>
        <v>OK</v>
      </c>
      <c r="O3590" s="24">
        <f t="shared" si="227"/>
        <v>0</v>
      </c>
    </row>
    <row r="3591" spans="1:15" ht="15" customHeight="1" x14ac:dyDescent="0.3">
      <c r="A3591" s="23" t="s">
        <v>7675</v>
      </c>
      <c r="B3591" s="38">
        <v>46279</v>
      </c>
      <c r="C3591" s="23" t="s">
        <v>7676</v>
      </c>
      <c r="D3591" s="23" t="s">
        <v>94</v>
      </c>
      <c r="E3591" s="23" t="s">
        <v>75</v>
      </c>
      <c r="F3591" s="23" t="s">
        <v>294</v>
      </c>
      <c r="G3591" s="23" t="s">
        <v>250</v>
      </c>
      <c r="H3591" s="39">
        <f t="shared" si="224"/>
        <v>1799</v>
      </c>
      <c r="I3591" s="23" t="str">
        <f t="shared" si="225"/>
        <v>Chennai</v>
      </c>
      <c r="J3591" s="23">
        <f>COUNTIFS(pg_transaction_cleaned!$O:$O,A3591,pg_transaction_cleaned!$F:$F,"CAPTURE")</f>
        <v>1</v>
      </c>
      <c r="K3591" s="39">
        <f>SUMIFS(pg_transaction_cleaned!$H:$H,pg_transaction_cleaned!$O:$O,A3591,pg_transaction_cleaned!$F:$F,"CAPTURE")</f>
        <v>1799</v>
      </c>
      <c r="L3591" s="23">
        <f>COUNTIFS(pg_transaction_cleaned!$O:$O,A3591,pg_transaction_cleaned!$F:$F,"REFUND")</f>
        <v>0</v>
      </c>
      <c r="M3591" s="39">
        <f>SUMIFS(pg_transaction_cleaned!$H:$H,pg_transaction_cleaned!$O:$O,A3591,pg_transaction_cleaned!$F:$F,"REFUND")</f>
        <v>0</v>
      </c>
      <c r="N3591" s="23" t="str">
        <f t="shared" si="226"/>
        <v>OK</v>
      </c>
      <c r="O3591" s="24">
        <f t="shared" si="227"/>
        <v>0</v>
      </c>
    </row>
    <row r="3592" spans="1:15" ht="15" customHeight="1" x14ac:dyDescent="0.3">
      <c r="A3592" s="23" t="s">
        <v>7677</v>
      </c>
      <c r="B3592" s="38">
        <v>46278</v>
      </c>
      <c r="C3592" s="23" t="s">
        <v>7678</v>
      </c>
      <c r="D3592" s="23" t="s">
        <v>87</v>
      </c>
      <c r="E3592" s="23" t="s">
        <v>79</v>
      </c>
      <c r="F3592" s="23" t="s">
        <v>268</v>
      </c>
      <c r="G3592" s="23" t="s">
        <v>250</v>
      </c>
      <c r="H3592" s="39">
        <f t="shared" si="224"/>
        <v>1299</v>
      </c>
      <c r="I3592" s="23" t="str">
        <f t="shared" si="225"/>
        <v>Mumbai</v>
      </c>
      <c r="J3592" s="23">
        <f>COUNTIFS(pg_transaction_cleaned!$O:$O,A3592,pg_transaction_cleaned!$F:$F,"CAPTURE")</f>
        <v>1</v>
      </c>
      <c r="K3592" s="39">
        <f>SUMIFS(pg_transaction_cleaned!$H:$H,pg_transaction_cleaned!$O:$O,A3592,pg_transaction_cleaned!$F:$F,"CAPTURE")</f>
        <v>1299</v>
      </c>
      <c r="L3592" s="23">
        <f>COUNTIFS(pg_transaction_cleaned!$O:$O,A3592,pg_transaction_cleaned!$F:$F,"REFUND")</f>
        <v>0</v>
      </c>
      <c r="M3592" s="39">
        <f>SUMIFS(pg_transaction_cleaned!$H:$H,pg_transaction_cleaned!$O:$O,A3592,pg_transaction_cleaned!$F:$F,"REFUND")</f>
        <v>0</v>
      </c>
      <c r="N3592" s="23" t="str">
        <f t="shared" si="226"/>
        <v>OK</v>
      </c>
      <c r="O3592" s="24">
        <f t="shared" si="227"/>
        <v>0</v>
      </c>
    </row>
    <row r="3593" spans="1:15" ht="15" customHeight="1" x14ac:dyDescent="0.3">
      <c r="A3593" s="23" t="s">
        <v>7679</v>
      </c>
      <c r="B3593" s="38">
        <v>46281</v>
      </c>
      <c r="C3593" s="23" t="s">
        <v>7680</v>
      </c>
      <c r="D3593" s="23" t="s">
        <v>94</v>
      </c>
      <c r="E3593" s="23" t="s">
        <v>75</v>
      </c>
      <c r="F3593" s="23" t="s">
        <v>612</v>
      </c>
      <c r="G3593" s="23" t="s">
        <v>250</v>
      </c>
      <c r="H3593" s="39">
        <f t="shared" si="224"/>
        <v>8498</v>
      </c>
      <c r="I3593" s="23" t="str">
        <f t="shared" si="225"/>
        <v>Chennai</v>
      </c>
      <c r="J3593" s="23">
        <f>COUNTIFS(pg_transaction_cleaned!$O:$O,A3593,pg_transaction_cleaned!$F:$F,"CAPTURE")</f>
        <v>1</v>
      </c>
      <c r="K3593" s="39">
        <f>SUMIFS(pg_transaction_cleaned!$H:$H,pg_transaction_cleaned!$O:$O,A3593,pg_transaction_cleaned!$F:$F,"CAPTURE")</f>
        <v>8498</v>
      </c>
      <c r="L3593" s="23">
        <f>COUNTIFS(pg_transaction_cleaned!$O:$O,A3593,pg_transaction_cleaned!$F:$F,"REFUND")</f>
        <v>0</v>
      </c>
      <c r="M3593" s="39">
        <f>SUMIFS(pg_transaction_cleaned!$H:$H,pg_transaction_cleaned!$O:$O,A3593,pg_transaction_cleaned!$F:$F,"REFUND")</f>
        <v>0</v>
      </c>
      <c r="N3593" s="23" t="str">
        <f t="shared" si="226"/>
        <v>OK</v>
      </c>
      <c r="O3593" s="24">
        <f t="shared" si="227"/>
        <v>0</v>
      </c>
    </row>
    <row r="3594" spans="1:15" ht="15" customHeight="1" x14ac:dyDescent="0.3">
      <c r="A3594" s="23" t="s">
        <v>7681</v>
      </c>
      <c r="B3594" s="38">
        <v>46266</v>
      </c>
      <c r="C3594" s="23" t="s">
        <v>7682</v>
      </c>
      <c r="D3594" s="23" t="s">
        <v>92</v>
      </c>
      <c r="E3594" s="23" t="s">
        <v>75</v>
      </c>
      <c r="F3594" s="23" t="s">
        <v>271</v>
      </c>
      <c r="G3594" s="23" t="s">
        <v>250</v>
      </c>
      <c r="H3594" s="39">
        <f t="shared" si="224"/>
        <v>2499</v>
      </c>
      <c r="I3594" s="23" t="str">
        <f t="shared" si="225"/>
        <v>Hyderabad</v>
      </c>
      <c r="J3594" s="23">
        <f>COUNTIFS(pg_transaction_cleaned!$O:$O,A3594,pg_transaction_cleaned!$F:$F,"CAPTURE")</f>
        <v>1</v>
      </c>
      <c r="K3594" s="39">
        <f>SUMIFS(pg_transaction_cleaned!$H:$H,pg_transaction_cleaned!$O:$O,A3594,pg_transaction_cleaned!$F:$F,"CAPTURE")</f>
        <v>2499</v>
      </c>
      <c r="L3594" s="23">
        <f>COUNTIFS(pg_transaction_cleaned!$O:$O,A3594,pg_transaction_cleaned!$F:$F,"REFUND")</f>
        <v>0</v>
      </c>
      <c r="M3594" s="39">
        <f>SUMIFS(pg_transaction_cleaned!$H:$H,pg_transaction_cleaned!$O:$O,A3594,pg_transaction_cleaned!$F:$F,"REFUND")</f>
        <v>0</v>
      </c>
      <c r="N3594" s="23" t="str">
        <f t="shared" si="226"/>
        <v>OK</v>
      </c>
      <c r="O3594" s="24">
        <f t="shared" si="227"/>
        <v>0</v>
      </c>
    </row>
    <row r="3595" spans="1:15" ht="15" customHeight="1" x14ac:dyDescent="0.3">
      <c r="A3595" s="23" t="s">
        <v>7683</v>
      </c>
      <c r="B3595" s="38">
        <v>46279</v>
      </c>
      <c r="C3595" s="23" t="s">
        <v>7684</v>
      </c>
      <c r="D3595" s="23" t="s">
        <v>91</v>
      </c>
      <c r="E3595" s="23" t="s">
        <v>79</v>
      </c>
      <c r="F3595" s="23" t="s">
        <v>315</v>
      </c>
      <c r="G3595" s="23" t="s">
        <v>250</v>
      </c>
      <c r="H3595" s="39">
        <f t="shared" si="224"/>
        <v>1499</v>
      </c>
      <c r="I3595" s="23" t="str">
        <f t="shared" si="225"/>
        <v>Pune</v>
      </c>
      <c r="J3595" s="23">
        <f>COUNTIFS(pg_transaction_cleaned!$O:$O,A3595,pg_transaction_cleaned!$F:$F,"CAPTURE")</f>
        <v>1</v>
      </c>
      <c r="K3595" s="39">
        <f>SUMIFS(pg_transaction_cleaned!$H:$H,pg_transaction_cleaned!$O:$O,A3595,pg_transaction_cleaned!$F:$F,"CAPTURE")</f>
        <v>1499</v>
      </c>
      <c r="L3595" s="23">
        <f>COUNTIFS(pg_transaction_cleaned!$O:$O,A3595,pg_transaction_cleaned!$F:$F,"REFUND")</f>
        <v>0</v>
      </c>
      <c r="M3595" s="39">
        <f>SUMIFS(pg_transaction_cleaned!$H:$H,pg_transaction_cleaned!$O:$O,A3595,pg_transaction_cleaned!$F:$F,"REFUND")</f>
        <v>0</v>
      </c>
      <c r="N3595" s="23" t="str">
        <f t="shared" si="226"/>
        <v>OK</v>
      </c>
      <c r="O3595" s="24">
        <f t="shared" si="227"/>
        <v>0</v>
      </c>
    </row>
    <row r="3596" spans="1:15" ht="15" customHeight="1" x14ac:dyDescent="0.3">
      <c r="A3596" s="23" t="s">
        <v>7685</v>
      </c>
      <c r="B3596" s="38">
        <v>46272</v>
      </c>
      <c r="C3596" s="23" t="s">
        <v>7686</v>
      </c>
      <c r="D3596" s="23" t="s">
        <v>92</v>
      </c>
      <c r="E3596" s="23" t="s">
        <v>75</v>
      </c>
      <c r="F3596" s="23" t="s">
        <v>297</v>
      </c>
      <c r="G3596" s="23" t="s">
        <v>250</v>
      </c>
      <c r="H3596" s="39">
        <f t="shared" si="224"/>
        <v>4999</v>
      </c>
      <c r="I3596" s="23" t="str">
        <f t="shared" si="225"/>
        <v>Hyderabad</v>
      </c>
      <c r="J3596" s="23">
        <f>COUNTIFS(pg_transaction_cleaned!$O:$O,A3596,pg_transaction_cleaned!$F:$F,"CAPTURE")</f>
        <v>1</v>
      </c>
      <c r="K3596" s="39">
        <f>SUMIFS(pg_transaction_cleaned!$H:$H,pg_transaction_cleaned!$O:$O,A3596,pg_transaction_cleaned!$F:$F,"CAPTURE")</f>
        <v>4999</v>
      </c>
      <c r="L3596" s="23">
        <f>COUNTIFS(pg_transaction_cleaned!$O:$O,A3596,pg_transaction_cleaned!$F:$F,"REFUND")</f>
        <v>0</v>
      </c>
      <c r="M3596" s="39">
        <f>SUMIFS(pg_transaction_cleaned!$H:$H,pg_transaction_cleaned!$O:$O,A3596,pg_transaction_cleaned!$F:$F,"REFUND")</f>
        <v>0</v>
      </c>
      <c r="N3596" s="23" t="str">
        <f t="shared" si="226"/>
        <v>OK</v>
      </c>
      <c r="O3596" s="24">
        <f t="shared" si="227"/>
        <v>0</v>
      </c>
    </row>
    <row r="3597" spans="1:15" ht="15" customHeight="1" x14ac:dyDescent="0.3">
      <c r="A3597" s="23" t="s">
        <v>7687</v>
      </c>
      <c r="B3597" s="38">
        <v>46275</v>
      </c>
      <c r="C3597" s="23" t="s">
        <v>7688</v>
      </c>
      <c r="D3597" s="23" t="s">
        <v>93</v>
      </c>
      <c r="E3597" s="23" t="s">
        <v>75</v>
      </c>
      <c r="F3597" s="23" t="s">
        <v>6711</v>
      </c>
      <c r="G3597" s="23" t="s">
        <v>250</v>
      </c>
      <c r="H3597" s="39">
        <f t="shared" si="224"/>
        <v>2447</v>
      </c>
      <c r="I3597" s="23" t="str">
        <f t="shared" si="225"/>
        <v>Kolkata</v>
      </c>
      <c r="J3597" s="23">
        <f>COUNTIFS(pg_transaction_cleaned!$O:$O,A3597,pg_transaction_cleaned!$F:$F,"CAPTURE")</f>
        <v>1</v>
      </c>
      <c r="K3597" s="39">
        <f>SUMIFS(pg_transaction_cleaned!$H:$H,pg_transaction_cleaned!$O:$O,A3597,pg_transaction_cleaned!$F:$F,"CAPTURE")</f>
        <v>2447</v>
      </c>
      <c r="L3597" s="23">
        <f>COUNTIFS(pg_transaction_cleaned!$O:$O,A3597,pg_transaction_cleaned!$F:$F,"REFUND")</f>
        <v>0</v>
      </c>
      <c r="M3597" s="39">
        <f>SUMIFS(pg_transaction_cleaned!$H:$H,pg_transaction_cleaned!$O:$O,A3597,pg_transaction_cleaned!$F:$F,"REFUND")</f>
        <v>0</v>
      </c>
      <c r="N3597" s="23" t="str">
        <f t="shared" si="226"/>
        <v>OK</v>
      </c>
      <c r="O3597" s="24">
        <f t="shared" si="227"/>
        <v>0</v>
      </c>
    </row>
    <row r="3598" spans="1:15" ht="15" customHeight="1" x14ac:dyDescent="0.3">
      <c r="A3598" s="23" t="s">
        <v>7689</v>
      </c>
      <c r="B3598" s="38">
        <v>46277</v>
      </c>
      <c r="C3598" s="23" t="s">
        <v>7690</v>
      </c>
      <c r="D3598" s="23" t="s">
        <v>90</v>
      </c>
      <c r="E3598" s="23" t="s">
        <v>77</v>
      </c>
      <c r="F3598" s="23" t="s">
        <v>310</v>
      </c>
      <c r="G3598" s="23" t="s">
        <v>250</v>
      </c>
      <c r="H3598" s="39">
        <f t="shared" si="224"/>
        <v>7999</v>
      </c>
      <c r="I3598" s="23" t="str">
        <f t="shared" si="225"/>
        <v>Ahmedabad</v>
      </c>
      <c r="J3598" s="23">
        <f>COUNTIFS(pg_transaction_cleaned!$O:$O,A3598,pg_transaction_cleaned!$F:$F,"CAPTURE")</f>
        <v>1</v>
      </c>
      <c r="K3598" s="39">
        <f>SUMIFS(pg_transaction_cleaned!$H:$H,pg_transaction_cleaned!$O:$O,A3598,pg_transaction_cleaned!$F:$F,"CAPTURE")</f>
        <v>7999</v>
      </c>
      <c r="L3598" s="23">
        <f>COUNTIFS(pg_transaction_cleaned!$O:$O,A3598,pg_transaction_cleaned!$F:$F,"REFUND")</f>
        <v>0</v>
      </c>
      <c r="M3598" s="39">
        <f>SUMIFS(pg_transaction_cleaned!$H:$H,pg_transaction_cleaned!$O:$O,A3598,pg_transaction_cleaned!$F:$F,"REFUND")</f>
        <v>0</v>
      </c>
      <c r="N3598" s="23" t="str">
        <f t="shared" si="226"/>
        <v>OK</v>
      </c>
      <c r="O3598" s="24">
        <f t="shared" si="227"/>
        <v>0</v>
      </c>
    </row>
    <row r="3599" spans="1:15" ht="15" customHeight="1" x14ac:dyDescent="0.3">
      <c r="A3599" s="23" t="s">
        <v>7691</v>
      </c>
      <c r="B3599" s="38">
        <v>46271</v>
      </c>
      <c r="C3599" s="23" t="s">
        <v>7692</v>
      </c>
      <c r="D3599" s="23" t="s">
        <v>93</v>
      </c>
      <c r="E3599" s="23" t="s">
        <v>75</v>
      </c>
      <c r="F3599" s="23" t="s">
        <v>346</v>
      </c>
      <c r="G3599" s="23" t="s">
        <v>365</v>
      </c>
      <c r="H3599" s="39">
        <f t="shared" si="224"/>
        <v>4498</v>
      </c>
      <c r="I3599" s="23" t="str">
        <f t="shared" si="225"/>
        <v>Kolkata</v>
      </c>
      <c r="J3599" s="23">
        <f>COUNTIFS(pg_transaction_cleaned!$O:$O,A3599,pg_transaction_cleaned!$F:$F,"CAPTURE")</f>
        <v>0</v>
      </c>
      <c r="K3599" s="39">
        <f>SUMIFS(pg_transaction_cleaned!$H:$H,pg_transaction_cleaned!$O:$O,A3599,pg_transaction_cleaned!$F:$F,"CAPTURE")</f>
        <v>0</v>
      </c>
      <c r="L3599" s="23">
        <f>COUNTIFS(pg_transaction_cleaned!$O:$O,A3599,pg_transaction_cleaned!$F:$F,"REFUND")</f>
        <v>0</v>
      </c>
      <c r="M3599" s="39">
        <f>SUMIFS(pg_transaction_cleaned!$H:$H,pg_transaction_cleaned!$O:$O,A3599,pg_transaction_cleaned!$F:$F,"REFUND")</f>
        <v>0</v>
      </c>
      <c r="N3599" s="23" t="str">
        <f t="shared" si="226"/>
        <v>OK</v>
      </c>
      <c r="O3599" s="24">
        <f t="shared" si="227"/>
        <v>0</v>
      </c>
    </row>
    <row r="3600" spans="1:15" ht="15" customHeight="1" x14ac:dyDescent="0.3">
      <c r="A3600" s="23" t="s">
        <v>7693</v>
      </c>
      <c r="B3600" s="38">
        <v>46294</v>
      </c>
      <c r="C3600" s="23" t="s">
        <v>7694</v>
      </c>
      <c r="D3600" s="23" t="s">
        <v>88</v>
      </c>
      <c r="E3600" s="23" t="s">
        <v>75</v>
      </c>
      <c r="F3600" s="23" t="s">
        <v>268</v>
      </c>
      <c r="G3600" s="23" t="s">
        <v>250</v>
      </c>
      <c r="H3600" s="39">
        <f t="shared" si="224"/>
        <v>1299</v>
      </c>
      <c r="I3600" s="23" t="str">
        <f t="shared" si="225"/>
        <v>Lucknow</v>
      </c>
      <c r="J3600" s="23">
        <f>COUNTIFS(pg_transaction_cleaned!$O:$O,A3600,pg_transaction_cleaned!$F:$F,"CAPTURE")</f>
        <v>1</v>
      </c>
      <c r="K3600" s="39">
        <f>SUMIFS(pg_transaction_cleaned!$H:$H,pg_transaction_cleaned!$O:$O,A3600,pg_transaction_cleaned!$F:$F,"CAPTURE")</f>
        <v>1299</v>
      </c>
      <c r="L3600" s="23">
        <f>COUNTIFS(pg_transaction_cleaned!$O:$O,A3600,pg_transaction_cleaned!$F:$F,"REFUND")</f>
        <v>0</v>
      </c>
      <c r="M3600" s="39">
        <f>SUMIFS(pg_transaction_cleaned!$H:$H,pg_transaction_cleaned!$O:$O,A3600,pg_transaction_cleaned!$F:$F,"REFUND")</f>
        <v>0</v>
      </c>
      <c r="N3600" s="23" t="str">
        <f t="shared" si="226"/>
        <v>OK</v>
      </c>
      <c r="O3600" s="24">
        <f t="shared" si="227"/>
        <v>0</v>
      </c>
    </row>
    <row r="3601" spans="1:15" ht="15" customHeight="1" x14ac:dyDescent="0.3">
      <c r="A3601" s="23" t="s">
        <v>7695</v>
      </c>
      <c r="B3601" s="38">
        <v>46275</v>
      </c>
      <c r="C3601" s="23" t="s">
        <v>7696</v>
      </c>
      <c r="D3601" s="23"/>
      <c r="E3601" s="23" t="s">
        <v>81</v>
      </c>
      <c r="F3601" s="23" t="s">
        <v>271</v>
      </c>
      <c r="G3601" s="23" t="s">
        <v>301</v>
      </c>
      <c r="H3601" s="39">
        <f t="shared" si="224"/>
        <v>2499</v>
      </c>
      <c r="I3601" s="23" t="str">
        <f t="shared" si="225"/>
        <v>Unknown</v>
      </c>
      <c r="J3601" s="23">
        <f>COUNTIFS(pg_transaction_cleaned!$O:$O,A3601,pg_transaction_cleaned!$F:$F,"CAPTURE")</f>
        <v>1</v>
      </c>
      <c r="K3601" s="39">
        <f>SUMIFS(pg_transaction_cleaned!$H:$H,pg_transaction_cleaned!$O:$O,A3601,pg_transaction_cleaned!$F:$F,"CAPTURE")</f>
        <v>2499</v>
      </c>
      <c r="L3601" s="23">
        <f>COUNTIFS(pg_transaction_cleaned!$O:$O,A3601,pg_transaction_cleaned!$F:$F,"REFUND")</f>
        <v>1</v>
      </c>
      <c r="M3601" s="39">
        <f>SUMIFS(pg_transaction_cleaned!$H:$H,pg_transaction_cleaned!$O:$O,A3601,pg_transaction_cleaned!$F:$F,"REFUND")</f>
        <v>2499</v>
      </c>
      <c r="N3601" s="23" t="str">
        <f t="shared" si="226"/>
        <v>OK</v>
      </c>
      <c r="O3601" s="24">
        <f t="shared" si="227"/>
        <v>0</v>
      </c>
    </row>
    <row r="3602" spans="1:15" ht="15" customHeight="1" x14ac:dyDescent="0.3">
      <c r="A3602" s="23" t="s">
        <v>7697</v>
      </c>
      <c r="B3602" s="38">
        <v>46281</v>
      </c>
      <c r="C3602" s="23" t="s">
        <v>3252</v>
      </c>
      <c r="D3602" s="23" t="s">
        <v>87</v>
      </c>
      <c r="E3602" s="23" t="s">
        <v>75</v>
      </c>
      <c r="F3602" s="23" t="s">
        <v>517</v>
      </c>
      <c r="G3602" s="23" t="s">
        <v>250</v>
      </c>
      <c r="H3602" s="39">
        <f t="shared" si="224"/>
        <v>7999</v>
      </c>
      <c r="I3602" s="23" t="str">
        <f t="shared" si="225"/>
        <v>Mumbai</v>
      </c>
      <c r="J3602" s="23">
        <f>COUNTIFS(pg_transaction_cleaned!$O:$O,A3602,pg_transaction_cleaned!$F:$F,"CAPTURE")</f>
        <v>1</v>
      </c>
      <c r="K3602" s="39">
        <f>SUMIFS(pg_transaction_cleaned!$H:$H,pg_transaction_cleaned!$O:$O,A3602,pg_transaction_cleaned!$F:$F,"CAPTURE")</f>
        <v>7999</v>
      </c>
      <c r="L3602" s="23">
        <f>COUNTIFS(pg_transaction_cleaned!$O:$O,A3602,pg_transaction_cleaned!$F:$F,"REFUND")</f>
        <v>0</v>
      </c>
      <c r="M3602" s="39">
        <f>SUMIFS(pg_transaction_cleaned!$H:$H,pg_transaction_cleaned!$O:$O,A3602,pg_transaction_cleaned!$F:$F,"REFUND")</f>
        <v>0</v>
      </c>
      <c r="N3602" s="23" t="str">
        <f t="shared" si="226"/>
        <v>OK</v>
      </c>
      <c r="O3602" s="24">
        <f t="shared" si="227"/>
        <v>0</v>
      </c>
    </row>
    <row r="3603" spans="1:15" ht="15" customHeight="1" x14ac:dyDescent="0.3">
      <c r="A3603" s="23" t="s">
        <v>7698</v>
      </c>
      <c r="B3603" s="38">
        <v>46268</v>
      </c>
      <c r="C3603" s="23" t="s">
        <v>7699</v>
      </c>
      <c r="D3603" s="23" t="s">
        <v>87</v>
      </c>
      <c r="E3603" s="23" t="s">
        <v>75</v>
      </c>
      <c r="F3603" s="23" t="s">
        <v>520</v>
      </c>
      <c r="G3603" s="23" t="s">
        <v>250</v>
      </c>
      <c r="H3603" s="39">
        <f t="shared" si="224"/>
        <v>4998</v>
      </c>
      <c r="I3603" s="23" t="str">
        <f t="shared" si="225"/>
        <v>Mumbai</v>
      </c>
      <c r="J3603" s="23">
        <f>COUNTIFS(pg_transaction_cleaned!$O:$O,A3603,pg_transaction_cleaned!$F:$F,"CAPTURE")</f>
        <v>1</v>
      </c>
      <c r="K3603" s="39">
        <f>SUMIFS(pg_transaction_cleaned!$H:$H,pg_transaction_cleaned!$O:$O,A3603,pg_transaction_cleaned!$F:$F,"CAPTURE")</f>
        <v>4998</v>
      </c>
      <c r="L3603" s="23">
        <f>COUNTIFS(pg_transaction_cleaned!$O:$O,A3603,pg_transaction_cleaned!$F:$F,"REFUND")</f>
        <v>0</v>
      </c>
      <c r="M3603" s="39">
        <f>SUMIFS(pg_transaction_cleaned!$H:$H,pg_transaction_cleaned!$O:$O,A3603,pg_transaction_cleaned!$F:$F,"REFUND")</f>
        <v>0</v>
      </c>
      <c r="N3603" s="23" t="str">
        <f t="shared" si="226"/>
        <v>OK</v>
      </c>
      <c r="O3603" s="24">
        <f t="shared" si="227"/>
        <v>0</v>
      </c>
    </row>
    <row r="3604" spans="1:15" ht="15" customHeight="1" x14ac:dyDescent="0.3">
      <c r="A3604" s="23" t="s">
        <v>7700</v>
      </c>
      <c r="B3604" s="38">
        <v>46294</v>
      </c>
      <c r="C3604" s="23" t="s">
        <v>7701</v>
      </c>
      <c r="D3604" s="23" t="s">
        <v>92</v>
      </c>
      <c r="E3604" s="23" t="s">
        <v>75</v>
      </c>
      <c r="F3604" s="23" t="s">
        <v>475</v>
      </c>
      <c r="G3604" s="23" t="s">
        <v>250</v>
      </c>
      <c r="H3604" s="39">
        <f t="shared" si="224"/>
        <v>799</v>
      </c>
      <c r="I3604" s="23" t="str">
        <f t="shared" si="225"/>
        <v>Hyderabad</v>
      </c>
      <c r="J3604" s="23">
        <f>COUNTIFS(pg_transaction_cleaned!$O:$O,A3604,pg_transaction_cleaned!$F:$F,"CAPTURE")</f>
        <v>1</v>
      </c>
      <c r="K3604" s="39">
        <f>SUMIFS(pg_transaction_cleaned!$H:$H,pg_transaction_cleaned!$O:$O,A3604,pg_transaction_cleaned!$F:$F,"CAPTURE")</f>
        <v>799</v>
      </c>
      <c r="L3604" s="23">
        <f>COUNTIFS(pg_transaction_cleaned!$O:$O,A3604,pg_transaction_cleaned!$F:$F,"REFUND")</f>
        <v>0</v>
      </c>
      <c r="M3604" s="39">
        <f>SUMIFS(pg_transaction_cleaned!$H:$H,pg_transaction_cleaned!$O:$O,A3604,pg_transaction_cleaned!$F:$F,"REFUND")</f>
        <v>0</v>
      </c>
      <c r="N3604" s="23" t="str">
        <f t="shared" si="226"/>
        <v>OK</v>
      </c>
      <c r="O3604" s="24">
        <f t="shared" si="227"/>
        <v>0</v>
      </c>
    </row>
    <row r="3605" spans="1:15" ht="15" customHeight="1" x14ac:dyDescent="0.3">
      <c r="A3605" s="23" t="s">
        <v>7702</v>
      </c>
      <c r="B3605" s="38">
        <v>46268</v>
      </c>
      <c r="C3605" s="23" t="s">
        <v>7703</v>
      </c>
      <c r="D3605" s="23" t="s">
        <v>95</v>
      </c>
      <c r="E3605" s="23" t="s">
        <v>75</v>
      </c>
      <c r="F3605" s="23" t="s">
        <v>451</v>
      </c>
      <c r="G3605" s="23" t="s">
        <v>250</v>
      </c>
      <c r="H3605" s="39">
        <f t="shared" si="224"/>
        <v>1098</v>
      </c>
      <c r="I3605" s="23" t="str">
        <f t="shared" si="225"/>
        <v>Bengaluru</v>
      </c>
      <c r="J3605" s="23">
        <f>COUNTIFS(pg_transaction_cleaned!$O:$O,A3605,pg_transaction_cleaned!$F:$F,"CAPTURE")</f>
        <v>1</v>
      </c>
      <c r="K3605" s="39">
        <f>SUMIFS(pg_transaction_cleaned!$H:$H,pg_transaction_cleaned!$O:$O,A3605,pg_transaction_cleaned!$F:$F,"CAPTURE")</f>
        <v>1098</v>
      </c>
      <c r="L3605" s="23">
        <f>COUNTIFS(pg_transaction_cleaned!$O:$O,A3605,pg_transaction_cleaned!$F:$F,"REFUND")</f>
        <v>0</v>
      </c>
      <c r="M3605" s="39">
        <f>SUMIFS(pg_transaction_cleaned!$H:$H,pg_transaction_cleaned!$O:$O,A3605,pg_transaction_cleaned!$F:$F,"REFUND")</f>
        <v>0</v>
      </c>
      <c r="N3605" s="23" t="str">
        <f t="shared" si="226"/>
        <v>OK</v>
      </c>
      <c r="O3605" s="24">
        <f t="shared" si="227"/>
        <v>0</v>
      </c>
    </row>
    <row r="3606" spans="1:15" ht="15" customHeight="1" x14ac:dyDescent="0.3">
      <c r="A3606" s="23" t="s">
        <v>7704</v>
      </c>
      <c r="B3606" s="38">
        <v>46282</v>
      </c>
      <c r="C3606" s="23" t="s">
        <v>7705</v>
      </c>
      <c r="D3606" s="23" t="s">
        <v>86</v>
      </c>
      <c r="E3606" s="23" t="s">
        <v>79</v>
      </c>
      <c r="F3606" s="23" t="s">
        <v>259</v>
      </c>
      <c r="G3606" s="23" t="s">
        <v>250</v>
      </c>
      <c r="H3606" s="39">
        <f t="shared" si="224"/>
        <v>3298</v>
      </c>
      <c r="I3606" s="23" t="str">
        <f t="shared" si="225"/>
        <v>Delhi</v>
      </c>
      <c r="J3606" s="23">
        <f>COUNTIFS(pg_transaction_cleaned!$O:$O,A3606,pg_transaction_cleaned!$F:$F,"CAPTURE")</f>
        <v>1</v>
      </c>
      <c r="K3606" s="39">
        <f>SUMIFS(pg_transaction_cleaned!$H:$H,pg_transaction_cleaned!$O:$O,A3606,pg_transaction_cleaned!$F:$F,"CAPTURE")</f>
        <v>3298</v>
      </c>
      <c r="L3606" s="23">
        <f>COUNTIFS(pg_transaction_cleaned!$O:$O,A3606,pg_transaction_cleaned!$F:$F,"REFUND")</f>
        <v>0</v>
      </c>
      <c r="M3606" s="39">
        <f>SUMIFS(pg_transaction_cleaned!$H:$H,pg_transaction_cleaned!$O:$O,A3606,pg_transaction_cleaned!$F:$F,"REFUND")</f>
        <v>0</v>
      </c>
      <c r="N3606" s="23" t="str">
        <f t="shared" si="226"/>
        <v>OK</v>
      </c>
      <c r="O3606" s="24">
        <f t="shared" si="227"/>
        <v>0</v>
      </c>
    </row>
    <row r="3607" spans="1:15" ht="15" customHeight="1" x14ac:dyDescent="0.3">
      <c r="A3607" s="23" t="s">
        <v>7706</v>
      </c>
      <c r="B3607" s="38">
        <v>46277</v>
      </c>
      <c r="C3607" s="23" t="s">
        <v>7707</v>
      </c>
      <c r="D3607" s="23" t="s">
        <v>86</v>
      </c>
      <c r="E3607" s="23" t="s">
        <v>79</v>
      </c>
      <c r="F3607" s="23" t="s">
        <v>297</v>
      </c>
      <c r="G3607" s="23" t="s">
        <v>250</v>
      </c>
      <c r="H3607" s="39">
        <f t="shared" si="224"/>
        <v>4999</v>
      </c>
      <c r="I3607" s="23" t="str">
        <f t="shared" si="225"/>
        <v>Delhi</v>
      </c>
      <c r="J3607" s="23">
        <f>COUNTIFS(pg_transaction_cleaned!$O:$O,A3607,pg_transaction_cleaned!$F:$F,"CAPTURE")</f>
        <v>1</v>
      </c>
      <c r="K3607" s="39">
        <f>SUMIFS(pg_transaction_cleaned!$H:$H,pg_transaction_cleaned!$O:$O,A3607,pg_transaction_cleaned!$F:$F,"CAPTURE")</f>
        <v>4999</v>
      </c>
      <c r="L3607" s="23">
        <f>COUNTIFS(pg_transaction_cleaned!$O:$O,A3607,pg_transaction_cleaned!$F:$F,"REFUND")</f>
        <v>0</v>
      </c>
      <c r="M3607" s="39">
        <f>SUMIFS(pg_transaction_cleaned!$H:$H,pg_transaction_cleaned!$O:$O,A3607,pg_transaction_cleaned!$F:$F,"REFUND")</f>
        <v>0</v>
      </c>
      <c r="N3607" s="23" t="str">
        <f t="shared" si="226"/>
        <v>OK</v>
      </c>
      <c r="O3607" s="24">
        <f t="shared" si="227"/>
        <v>0</v>
      </c>
    </row>
    <row r="3608" spans="1:15" ht="15" customHeight="1" x14ac:dyDescent="0.3">
      <c r="A3608" s="23" t="s">
        <v>7708</v>
      </c>
      <c r="B3608" s="38">
        <v>46279</v>
      </c>
      <c r="C3608" s="23" t="s">
        <v>7709</v>
      </c>
      <c r="D3608" s="23" t="s">
        <v>89</v>
      </c>
      <c r="E3608" s="23" t="s">
        <v>75</v>
      </c>
      <c r="F3608" s="23" t="s">
        <v>553</v>
      </c>
      <c r="G3608" s="23" t="s">
        <v>250</v>
      </c>
      <c r="H3608" s="39">
        <f t="shared" si="224"/>
        <v>2798</v>
      </c>
      <c r="I3608" s="23" t="str">
        <f t="shared" si="225"/>
        <v>Jaipur</v>
      </c>
      <c r="J3608" s="23">
        <f>COUNTIFS(pg_transaction_cleaned!$O:$O,A3608,pg_transaction_cleaned!$F:$F,"CAPTURE")</f>
        <v>1</v>
      </c>
      <c r="K3608" s="39">
        <f>SUMIFS(pg_transaction_cleaned!$H:$H,pg_transaction_cleaned!$O:$O,A3608,pg_transaction_cleaned!$F:$F,"CAPTURE")</f>
        <v>2798</v>
      </c>
      <c r="L3608" s="23">
        <f>COUNTIFS(pg_transaction_cleaned!$O:$O,A3608,pg_transaction_cleaned!$F:$F,"REFUND")</f>
        <v>0</v>
      </c>
      <c r="M3608" s="39">
        <f>SUMIFS(pg_transaction_cleaned!$H:$H,pg_transaction_cleaned!$O:$O,A3608,pg_transaction_cleaned!$F:$F,"REFUND")</f>
        <v>0</v>
      </c>
      <c r="N3608" s="23" t="str">
        <f t="shared" si="226"/>
        <v>OK</v>
      </c>
      <c r="O3608" s="24">
        <f t="shared" si="227"/>
        <v>0</v>
      </c>
    </row>
    <row r="3609" spans="1:15" ht="15" customHeight="1" x14ac:dyDescent="0.3">
      <c r="A3609" s="23" t="s">
        <v>7710</v>
      </c>
      <c r="B3609" s="38">
        <v>46279</v>
      </c>
      <c r="C3609" s="23" t="s">
        <v>7711</v>
      </c>
      <c r="D3609" s="23" t="s">
        <v>88</v>
      </c>
      <c r="E3609" s="23" t="s">
        <v>77</v>
      </c>
      <c r="F3609" s="23" t="s">
        <v>253</v>
      </c>
      <c r="G3609" s="23" t="s">
        <v>250</v>
      </c>
      <c r="H3609" s="39">
        <f t="shared" si="224"/>
        <v>4647</v>
      </c>
      <c r="I3609" s="23" t="str">
        <f t="shared" si="225"/>
        <v>Lucknow</v>
      </c>
      <c r="J3609" s="23">
        <f>COUNTIFS(pg_transaction_cleaned!$O:$O,A3609,pg_transaction_cleaned!$F:$F,"CAPTURE")</f>
        <v>1</v>
      </c>
      <c r="K3609" s="39">
        <f>SUMIFS(pg_transaction_cleaned!$H:$H,pg_transaction_cleaned!$O:$O,A3609,pg_transaction_cleaned!$F:$F,"CAPTURE")</f>
        <v>4647</v>
      </c>
      <c r="L3609" s="23">
        <f>COUNTIFS(pg_transaction_cleaned!$O:$O,A3609,pg_transaction_cleaned!$F:$F,"REFUND")</f>
        <v>0</v>
      </c>
      <c r="M3609" s="39">
        <f>SUMIFS(pg_transaction_cleaned!$H:$H,pg_transaction_cleaned!$O:$O,A3609,pg_transaction_cleaned!$F:$F,"REFUND")</f>
        <v>0</v>
      </c>
      <c r="N3609" s="23" t="str">
        <f t="shared" si="226"/>
        <v>OK</v>
      </c>
      <c r="O3609" s="24">
        <f t="shared" si="227"/>
        <v>0</v>
      </c>
    </row>
    <row r="3610" spans="1:15" ht="15" customHeight="1" x14ac:dyDescent="0.3">
      <c r="A3610" s="23" t="s">
        <v>7712</v>
      </c>
      <c r="B3610" s="38">
        <v>46276</v>
      </c>
      <c r="C3610" s="23" t="s">
        <v>7713</v>
      </c>
      <c r="D3610" s="23" t="s">
        <v>90</v>
      </c>
      <c r="E3610" s="23" t="s">
        <v>79</v>
      </c>
      <c r="F3610" s="23" t="s">
        <v>294</v>
      </c>
      <c r="G3610" s="23" t="s">
        <v>250</v>
      </c>
      <c r="H3610" s="39">
        <f t="shared" si="224"/>
        <v>1799</v>
      </c>
      <c r="I3610" s="23" t="str">
        <f t="shared" si="225"/>
        <v>Ahmedabad</v>
      </c>
      <c r="J3610" s="23">
        <f>COUNTIFS(pg_transaction_cleaned!$O:$O,A3610,pg_transaction_cleaned!$F:$F,"CAPTURE")</f>
        <v>1</v>
      </c>
      <c r="K3610" s="39">
        <f>SUMIFS(pg_transaction_cleaned!$H:$H,pg_transaction_cleaned!$O:$O,A3610,pg_transaction_cleaned!$F:$F,"CAPTURE")</f>
        <v>1799</v>
      </c>
      <c r="L3610" s="23">
        <f>COUNTIFS(pg_transaction_cleaned!$O:$O,A3610,pg_transaction_cleaned!$F:$F,"REFUND")</f>
        <v>0</v>
      </c>
      <c r="M3610" s="39">
        <f>SUMIFS(pg_transaction_cleaned!$H:$H,pg_transaction_cleaned!$O:$O,A3610,pg_transaction_cleaned!$F:$F,"REFUND")</f>
        <v>0</v>
      </c>
      <c r="N3610" s="23" t="str">
        <f t="shared" si="226"/>
        <v>OK</v>
      </c>
      <c r="O3610" s="24">
        <f t="shared" si="227"/>
        <v>0</v>
      </c>
    </row>
    <row r="3611" spans="1:15" ht="15" customHeight="1" x14ac:dyDescent="0.3">
      <c r="A3611" s="23" t="s">
        <v>7714</v>
      </c>
      <c r="B3611" s="38">
        <v>46289</v>
      </c>
      <c r="C3611" s="23" t="s">
        <v>7715</v>
      </c>
      <c r="D3611" s="23" t="s">
        <v>94</v>
      </c>
      <c r="E3611" s="23" t="s">
        <v>79</v>
      </c>
      <c r="F3611" s="23" t="s">
        <v>262</v>
      </c>
      <c r="G3611" s="23" t="s">
        <v>250</v>
      </c>
      <c r="H3611" s="39">
        <f t="shared" si="224"/>
        <v>499</v>
      </c>
      <c r="I3611" s="23" t="str">
        <f t="shared" si="225"/>
        <v>Chennai</v>
      </c>
      <c r="J3611" s="23">
        <f>COUNTIFS(pg_transaction_cleaned!$O:$O,A3611,pg_transaction_cleaned!$F:$F,"CAPTURE")</f>
        <v>1</v>
      </c>
      <c r="K3611" s="39">
        <f>SUMIFS(pg_transaction_cleaned!$H:$H,pg_transaction_cleaned!$O:$O,A3611,pg_transaction_cleaned!$F:$F,"CAPTURE")</f>
        <v>499</v>
      </c>
      <c r="L3611" s="23">
        <f>COUNTIFS(pg_transaction_cleaned!$O:$O,A3611,pg_transaction_cleaned!$F:$F,"REFUND")</f>
        <v>0</v>
      </c>
      <c r="M3611" s="39">
        <f>SUMIFS(pg_transaction_cleaned!$H:$H,pg_transaction_cleaned!$O:$O,A3611,pg_transaction_cleaned!$F:$F,"REFUND")</f>
        <v>0</v>
      </c>
      <c r="N3611" s="23" t="str">
        <f t="shared" si="226"/>
        <v>OK</v>
      </c>
      <c r="O3611" s="24">
        <f t="shared" si="227"/>
        <v>0</v>
      </c>
    </row>
    <row r="3612" spans="1:15" ht="15" customHeight="1" x14ac:dyDescent="0.3">
      <c r="A3612" s="23" t="s">
        <v>7716</v>
      </c>
      <c r="B3612" s="38">
        <v>46290</v>
      </c>
      <c r="C3612" s="23" t="s">
        <v>7717</v>
      </c>
      <c r="D3612" s="23" t="s">
        <v>90</v>
      </c>
      <c r="E3612" s="23" t="s">
        <v>75</v>
      </c>
      <c r="F3612" s="23" t="s">
        <v>553</v>
      </c>
      <c r="G3612" s="23" t="s">
        <v>250</v>
      </c>
      <c r="H3612" s="39">
        <f t="shared" si="224"/>
        <v>2798</v>
      </c>
      <c r="I3612" s="23" t="str">
        <f t="shared" si="225"/>
        <v>Ahmedabad</v>
      </c>
      <c r="J3612" s="23">
        <f>COUNTIFS(pg_transaction_cleaned!$O:$O,A3612,pg_transaction_cleaned!$F:$F,"CAPTURE")</f>
        <v>1</v>
      </c>
      <c r="K3612" s="39">
        <f>SUMIFS(pg_transaction_cleaned!$H:$H,pg_transaction_cleaned!$O:$O,A3612,pg_transaction_cleaned!$F:$F,"CAPTURE")</f>
        <v>2798</v>
      </c>
      <c r="L3612" s="23">
        <f>COUNTIFS(pg_transaction_cleaned!$O:$O,A3612,pg_transaction_cleaned!$F:$F,"REFUND")</f>
        <v>0</v>
      </c>
      <c r="M3612" s="39">
        <f>SUMIFS(pg_transaction_cleaned!$H:$H,pg_transaction_cleaned!$O:$O,A3612,pg_transaction_cleaned!$F:$F,"REFUND")</f>
        <v>0</v>
      </c>
      <c r="N3612" s="23" t="str">
        <f t="shared" si="226"/>
        <v>OK</v>
      </c>
      <c r="O3612" s="24">
        <f t="shared" si="227"/>
        <v>0</v>
      </c>
    </row>
    <row r="3613" spans="1:15" ht="15" customHeight="1" x14ac:dyDescent="0.3">
      <c r="A3613" s="23" t="s">
        <v>7718</v>
      </c>
      <c r="B3613" s="38">
        <v>46283</v>
      </c>
      <c r="C3613" s="23" t="s">
        <v>4215</v>
      </c>
      <c r="D3613" s="23" t="s">
        <v>93</v>
      </c>
      <c r="E3613" s="23" t="s">
        <v>75</v>
      </c>
      <c r="F3613" s="23" t="s">
        <v>475</v>
      </c>
      <c r="G3613" s="23" t="s">
        <v>250</v>
      </c>
      <c r="H3613" s="39">
        <f t="shared" si="224"/>
        <v>799</v>
      </c>
      <c r="I3613" s="23" t="str">
        <f t="shared" si="225"/>
        <v>Kolkata</v>
      </c>
      <c r="J3613" s="23">
        <f>COUNTIFS(pg_transaction_cleaned!$O:$O,A3613,pg_transaction_cleaned!$F:$F,"CAPTURE")</f>
        <v>1</v>
      </c>
      <c r="K3613" s="39">
        <f>SUMIFS(pg_transaction_cleaned!$H:$H,pg_transaction_cleaned!$O:$O,A3613,pg_transaction_cleaned!$F:$F,"CAPTURE")</f>
        <v>799</v>
      </c>
      <c r="L3613" s="23">
        <f>COUNTIFS(pg_transaction_cleaned!$O:$O,A3613,pg_transaction_cleaned!$F:$F,"REFUND")</f>
        <v>0</v>
      </c>
      <c r="M3613" s="39">
        <f>SUMIFS(pg_transaction_cleaned!$H:$H,pg_transaction_cleaned!$O:$O,A3613,pg_transaction_cleaned!$F:$F,"REFUND")</f>
        <v>0</v>
      </c>
      <c r="N3613" s="23" t="str">
        <f t="shared" si="226"/>
        <v>OK</v>
      </c>
      <c r="O3613" s="24">
        <f t="shared" si="227"/>
        <v>0</v>
      </c>
    </row>
    <row r="3614" spans="1:15" ht="15" customHeight="1" x14ac:dyDescent="0.3">
      <c r="A3614" s="23" t="s">
        <v>7719</v>
      </c>
      <c r="B3614" s="38">
        <v>46289</v>
      </c>
      <c r="C3614" s="23" t="s">
        <v>7720</v>
      </c>
      <c r="D3614" s="23" t="s">
        <v>92</v>
      </c>
      <c r="E3614" s="23" t="s">
        <v>75</v>
      </c>
      <c r="F3614" s="23" t="s">
        <v>475</v>
      </c>
      <c r="G3614" s="23" t="s">
        <v>250</v>
      </c>
      <c r="H3614" s="39">
        <f t="shared" si="224"/>
        <v>799</v>
      </c>
      <c r="I3614" s="23" t="str">
        <f t="shared" si="225"/>
        <v>Hyderabad</v>
      </c>
      <c r="J3614" s="23">
        <f>COUNTIFS(pg_transaction_cleaned!$O:$O,A3614,pg_transaction_cleaned!$F:$F,"CAPTURE")</f>
        <v>1</v>
      </c>
      <c r="K3614" s="39">
        <f>SUMIFS(pg_transaction_cleaned!$H:$H,pg_transaction_cleaned!$O:$O,A3614,pg_transaction_cleaned!$F:$F,"CAPTURE")</f>
        <v>799</v>
      </c>
      <c r="L3614" s="23">
        <f>COUNTIFS(pg_transaction_cleaned!$O:$O,A3614,pg_transaction_cleaned!$F:$F,"REFUND")</f>
        <v>0</v>
      </c>
      <c r="M3614" s="39">
        <f>SUMIFS(pg_transaction_cleaned!$H:$H,pg_transaction_cleaned!$O:$O,A3614,pg_transaction_cleaned!$F:$F,"REFUND")</f>
        <v>0</v>
      </c>
      <c r="N3614" s="23" t="str">
        <f t="shared" si="226"/>
        <v>OK</v>
      </c>
      <c r="O3614" s="24">
        <f t="shared" si="227"/>
        <v>0</v>
      </c>
    </row>
    <row r="3615" spans="1:15" ht="15" customHeight="1" x14ac:dyDescent="0.3">
      <c r="A3615" s="23" t="s">
        <v>7721</v>
      </c>
      <c r="B3615" s="38">
        <v>46274</v>
      </c>
      <c r="C3615" s="23" t="s">
        <v>7722</v>
      </c>
      <c r="D3615" s="23" t="s">
        <v>89</v>
      </c>
      <c r="E3615" s="23" t="s">
        <v>79</v>
      </c>
      <c r="F3615" s="23" t="s">
        <v>315</v>
      </c>
      <c r="G3615" s="23" t="s">
        <v>250</v>
      </c>
      <c r="H3615" s="39">
        <f t="shared" si="224"/>
        <v>1499</v>
      </c>
      <c r="I3615" s="23" t="str">
        <f t="shared" si="225"/>
        <v>Jaipur</v>
      </c>
      <c r="J3615" s="23">
        <f>COUNTIFS(pg_transaction_cleaned!$O:$O,A3615,pg_transaction_cleaned!$F:$F,"CAPTURE")</f>
        <v>1</v>
      </c>
      <c r="K3615" s="39">
        <f>SUMIFS(pg_transaction_cleaned!$H:$H,pg_transaction_cleaned!$O:$O,A3615,pg_transaction_cleaned!$F:$F,"CAPTURE")</f>
        <v>1499</v>
      </c>
      <c r="L3615" s="23">
        <f>COUNTIFS(pg_transaction_cleaned!$O:$O,A3615,pg_transaction_cleaned!$F:$F,"REFUND")</f>
        <v>0</v>
      </c>
      <c r="M3615" s="39">
        <f>SUMIFS(pg_transaction_cleaned!$H:$H,pg_transaction_cleaned!$O:$O,A3615,pg_transaction_cleaned!$F:$F,"REFUND")</f>
        <v>0</v>
      </c>
      <c r="N3615" s="23" t="str">
        <f t="shared" si="226"/>
        <v>OK</v>
      </c>
      <c r="O3615" s="24">
        <f t="shared" si="227"/>
        <v>0</v>
      </c>
    </row>
    <row r="3616" spans="1:15" ht="15" customHeight="1" x14ac:dyDescent="0.3">
      <c r="A3616" s="23" t="s">
        <v>7723</v>
      </c>
      <c r="B3616" s="38">
        <v>46290</v>
      </c>
      <c r="C3616" s="23" t="s">
        <v>7724</v>
      </c>
      <c r="D3616" s="23" t="s">
        <v>92</v>
      </c>
      <c r="E3616" s="23" t="s">
        <v>75</v>
      </c>
      <c r="F3616" s="23" t="s">
        <v>675</v>
      </c>
      <c r="G3616" s="23" t="s">
        <v>301</v>
      </c>
      <c r="H3616" s="39">
        <f t="shared" si="224"/>
        <v>10998</v>
      </c>
      <c r="I3616" s="23" t="str">
        <f t="shared" si="225"/>
        <v>Hyderabad</v>
      </c>
      <c r="J3616" s="23">
        <f>COUNTIFS(pg_transaction_cleaned!$O:$O,A3616,pg_transaction_cleaned!$F:$F,"CAPTURE")</f>
        <v>1</v>
      </c>
      <c r="K3616" s="39">
        <f>SUMIFS(pg_transaction_cleaned!$H:$H,pg_transaction_cleaned!$O:$O,A3616,pg_transaction_cleaned!$F:$F,"CAPTURE")</f>
        <v>10998</v>
      </c>
      <c r="L3616" s="23">
        <f>COUNTIFS(pg_transaction_cleaned!$O:$O,A3616,pg_transaction_cleaned!$F:$F,"REFUND")</f>
        <v>1</v>
      </c>
      <c r="M3616" s="39">
        <f>SUMIFS(pg_transaction_cleaned!$H:$H,pg_transaction_cleaned!$O:$O,A3616,pg_transaction_cleaned!$F:$F,"REFUND")</f>
        <v>10998</v>
      </c>
      <c r="N3616" s="23" t="str">
        <f t="shared" si="226"/>
        <v>OK</v>
      </c>
      <c r="O3616" s="24">
        <f t="shared" si="227"/>
        <v>0</v>
      </c>
    </row>
    <row r="3617" spans="1:15" ht="15" customHeight="1" x14ac:dyDescent="0.3">
      <c r="A3617" s="23" t="s">
        <v>7725</v>
      </c>
      <c r="B3617" s="38">
        <v>46294</v>
      </c>
      <c r="C3617" s="23" t="s">
        <v>7726</v>
      </c>
      <c r="D3617" s="23" t="s">
        <v>93</v>
      </c>
      <c r="E3617" s="23" t="s">
        <v>81</v>
      </c>
      <c r="F3617" s="23" t="s">
        <v>343</v>
      </c>
      <c r="G3617" s="23" t="s">
        <v>250</v>
      </c>
      <c r="H3617" s="39">
        <f t="shared" si="224"/>
        <v>9498</v>
      </c>
      <c r="I3617" s="23" t="str">
        <f t="shared" si="225"/>
        <v>Kolkata</v>
      </c>
      <c r="J3617" s="23">
        <f>COUNTIFS(pg_transaction_cleaned!$O:$O,A3617,pg_transaction_cleaned!$F:$F,"CAPTURE")</f>
        <v>1</v>
      </c>
      <c r="K3617" s="39">
        <f>SUMIFS(pg_transaction_cleaned!$H:$H,pg_transaction_cleaned!$O:$O,A3617,pg_transaction_cleaned!$F:$F,"CAPTURE")</f>
        <v>9498</v>
      </c>
      <c r="L3617" s="23">
        <f>COUNTIFS(pg_transaction_cleaned!$O:$O,A3617,pg_transaction_cleaned!$F:$F,"REFUND")</f>
        <v>0</v>
      </c>
      <c r="M3617" s="39">
        <f>SUMIFS(pg_transaction_cleaned!$H:$H,pg_transaction_cleaned!$O:$O,A3617,pg_transaction_cleaned!$F:$F,"REFUND")</f>
        <v>0</v>
      </c>
      <c r="N3617" s="23" t="str">
        <f t="shared" si="226"/>
        <v>OK</v>
      </c>
      <c r="O3617" s="24">
        <f t="shared" si="227"/>
        <v>0</v>
      </c>
    </row>
    <row r="3618" spans="1:15" ht="15" customHeight="1" x14ac:dyDescent="0.3">
      <c r="A3618" s="23" t="s">
        <v>7727</v>
      </c>
      <c r="B3618" s="38">
        <v>46283</v>
      </c>
      <c r="C3618" s="23" t="s">
        <v>7728</v>
      </c>
      <c r="D3618" s="23" t="s">
        <v>89</v>
      </c>
      <c r="E3618" s="23" t="s">
        <v>77</v>
      </c>
      <c r="F3618" s="23" t="s">
        <v>265</v>
      </c>
      <c r="G3618" s="23" t="s">
        <v>250</v>
      </c>
      <c r="H3618" s="39">
        <f t="shared" si="224"/>
        <v>999</v>
      </c>
      <c r="I3618" s="23" t="str">
        <f t="shared" si="225"/>
        <v>Jaipur</v>
      </c>
      <c r="J3618" s="23">
        <f>COUNTIFS(pg_transaction_cleaned!$O:$O,A3618,pg_transaction_cleaned!$F:$F,"CAPTURE")</f>
        <v>1</v>
      </c>
      <c r="K3618" s="39">
        <f>SUMIFS(pg_transaction_cleaned!$H:$H,pg_transaction_cleaned!$O:$O,A3618,pg_transaction_cleaned!$F:$F,"CAPTURE")</f>
        <v>999</v>
      </c>
      <c r="L3618" s="23">
        <f>COUNTIFS(pg_transaction_cleaned!$O:$O,A3618,pg_transaction_cleaned!$F:$F,"REFUND")</f>
        <v>0</v>
      </c>
      <c r="M3618" s="39">
        <f>SUMIFS(pg_transaction_cleaned!$H:$H,pg_transaction_cleaned!$O:$O,A3618,pg_transaction_cleaned!$F:$F,"REFUND")</f>
        <v>0</v>
      </c>
      <c r="N3618" s="23" t="str">
        <f t="shared" si="226"/>
        <v>OK</v>
      </c>
      <c r="O3618" s="24">
        <f t="shared" si="227"/>
        <v>0</v>
      </c>
    </row>
    <row r="3619" spans="1:15" ht="15" customHeight="1" x14ac:dyDescent="0.3">
      <c r="A3619" s="23" t="s">
        <v>7729</v>
      </c>
      <c r="B3619" s="38">
        <v>46277</v>
      </c>
      <c r="C3619" s="23" t="s">
        <v>7730</v>
      </c>
      <c r="D3619" s="23" t="s">
        <v>90</v>
      </c>
      <c r="E3619" s="23" t="s">
        <v>77</v>
      </c>
      <c r="F3619" s="23" t="s">
        <v>499</v>
      </c>
      <c r="G3619" s="23" t="s">
        <v>250</v>
      </c>
      <c r="H3619" s="39">
        <f t="shared" si="224"/>
        <v>5998</v>
      </c>
      <c r="I3619" s="23" t="str">
        <f t="shared" si="225"/>
        <v>Ahmedabad</v>
      </c>
      <c r="J3619" s="23">
        <f>COUNTIFS(pg_transaction_cleaned!$O:$O,A3619,pg_transaction_cleaned!$F:$F,"CAPTURE")</f>
        <v>1</v>
      </c>
      <c r="K3619" s="39">
        <f>SUMIFS(pg_transaction_cleaned!$H:$H,pg_transaction_cleaned!$O:$O,A3619,pg_transaction_cleaned!$F:$F,"CAPTURE")</f>
        <v>5998</v>
      </c>
      <c r="L3619" s="23">
        <f>COUNTIFS(pg_transaction_cleaned!$O:$O,A3619,pg_transaction_cleaned!$F:$F,"REFUND")</f>
        <v>0</v>
      </c>
      <c r="M3619" s="39">
        <f>SUMIFS(pg_transaction_cleaned!$H:$H,pg_transaction_cleaned!$O:$O,A3619,pg_transaction_cleaned!$F:$F,"REFUND")</f>
        <v>0</v>
      </c>
      <c r="N3619" s="23" t="str">
        <f t="shared" si="226"/>
        <v>OK</v>
      </c>
      <c r="O3619" s="24">
        <f t="shared" si="227"/>
        <v>0</v>
      </c>
    </row>
    <row r="3620" spans="1:15" ht="15" customHeight="1" x14ac:dyDescent="0.3">
      <c r="A3620" s="23" t="s">
        <v>7731</v>
      </c>
      <c r="B3620" s="38">
        <v>46281</v>
      </c>
      <c r="C3620" s="23" t="s">
        <v>7732</v>
      </c>
      <c r="D3620" s="23" t="s">
        <v>94</v>
      </c>
      <c r="E3620" s="23" t="s">
        <v>79</v>
      </c>
      <c r="F3620" s="23" t="s">
        <v>1445</v>
      </c>
      <c r="G3620" s="23" t="s">
        <v>250</v>
      </c>
      <c r="H3620" s="39">
        <f t="shared" si="224"/>
        <v>10997</v>
      </c>
      <c r="I3620" s="23" t="str">
        <f t="shared" si="225"/>
        <v>Chennai</v>
      </c>
      <c r="J3620" s="23">
        <f>COUNTIFS(pg_transaction_cleaned!$O:$O,A3620,pg_transaction_cleaned!$F:$F,"CAPTURE")</f>
        <v>1</v>
      </c>
      <c r="K3620" s="39">
        <f>SUMIFS(pg_transaction_cleaned!$H:$H,pg_transaction_cleaned!$O:$O,A3620,pg_transaction_cleaned!$F:$F,"CAPTURE")</f>
        <v>10997</v>
      </c>
      <c r="L3620" s="23">
        <f>COUNTIFS(pg_transaction_cleaned!$O:$O,A3620,pg_transaction_cleaned!$F:$F,"REFUND")</f>
        <v>0</v>
      </c>
      <c r="M3620" s="39">
        <f>SUMIFS(pg_transaction_cleaned!$H:$H,pg_transaction_cleaned!$O:$O,A3620,pg_transaction_cleaned!$F:$F,"REFUND")</f>
        <v>0</v>
      </c>
      <c r="N3620" s="23" t="str">
        <f t="shared" si="226"/>
        <v>OK</v>
      </c>
      <c r="O3620" s="24">
        <f t="shared" si="227"/>
        <v>0</v>
      </c>
    </row>
    <row r="3621" spans="1:15" ht="15" customHeight="1" x14ac:dyDescent="0.3">
      <c r="A3621" s="23" t="s">
        <v>7733</v>
      </c>
      <c r="B3621" s="38">
        <v>46267</v>
      </c>
      <c r="C3621" s="23" t="s">
        <v>7734</v>
      </c>
      <c r="D3621" s="23" t="s">
        <v>95</v>
      </c>
      <c r="E3621" s="23" t="s">
        <v>75</v>
      </c>
      <c r="F3621" s="23" t="s">
        <v>6659</v>
      </c>
      <c r="G3621" s="23" t="s">
        <v>250</v>
      </c>
      <c r="H3621" s="39">
        <f t="shared" si="224"/>
        <v>12497</v>
      </c>
      <c r="I3621" s="23" t="str">
        <f t="shared" si="225"/>
        <v>Bengaluru</v>
      </c>
      <c r="J3621" s="23">
        <f>COUNTIFS(pg_transaction_cleaned!$O:$O,A3621,pg_transaction_cleaned!$F:$F,"CAPTURE")</f>
        <v>1</v>
      </c>
      <c r="K3621" s="39">
        <f>SUMIFS(pg_transaction_cleaned!$H:$H,pg_transaction_cleaned!$O:$O,A3621,pg_transaction_cleaned!$F:$F,"CAPTURE")</f>
        <v>12497</v>
      </c>
      <c r="L3621" s="23">
        <f>COUNTIFS(pg_transaction_cleaned!$O:$O,A3621,pg_transaction_cleaned!$F:$F,"REFUND")</f>
        <v>0</v>
      </c>
      <c r="M3621" s="39">
        <f>SUMIFS(pg_transaction_cleaned!$H:$H,pg_transaction_cleaned!$O:$O,A3621,pg_transaction_cleaned!$F:$F,"REFUND")</f>
        <v>0</v>
      </c>
      <c r="N3621" s="23" t="str">
        <f t="shared" si="226"/>
        <v>OK</v>
      </c>
      <c r="O3621" s="24">
        <f t="shared" si="227"/>
        <v>0</v>
      </c>
    </row>
    <row r="3622" spans="1:15" ht="15" customHeight="1" x14ac:dyDescent="0.3">
      <c r="A3622" s="23" t="s">
        <v>7735</v>
      </c>
      <c r="B3622" s="38">
        <v>46277</v>
      </c>
      <c r="C3622" s="23" t="s">
        <v>7736</v>
      </c>
      <c r="D3622" s="23" t="s">
        <v>95</v>
      </c>
      <c r="E3622" s="23" t="s">
        <v>77</v>
      </c>
      <c r="F3622" s="23" t="s">
        <v>340</v>
      </c>
      <c r="G3622" s="23" t="s">
        <v>250</v>
      </c>
      <c r="H3622" s="39">
        <f t="shared" si="224"/>
        <v>6298</v>
      </c>
      <c r="I3622" s="23" t="str">
        <f t="shared" si="225"/>
        <v>Bengaluru</v>
      </c>
      <c r="J3622" s="23">
        <f>COUNTIFS(pg_transaction_cleaned!$O:$O,A3622,pg_transaction_cleaned!$F:$F,"CAPTURE")</f>
        <v>1</v>
      </c>
      <c r="K3622" s="39">
        <f>SUMIFS(pg_transaction_cleaned!$H:$H,pg_transaction_cleaned!$O:$O,A3622,pg_transaction_cleaned!$F:$F,"CAPTURE")</f>
        <v>6298</v>
      </c>
      <c r="L3622" s="23">
        <f>COUNTIFS(pg_transaction_cleaned!$O:$O,A3622,pg_transaction_cleaned!$F:$F,"REFUND")</f>
        <v>0</v>
      </c>
      <c r="M3622" s="39">
        <f>SUMIFS(pg_transaction_cleaned!$H:$H,pg_transaction_cleaned!$O:$O,A3622,pg_transaction_cleaned!$F:$F,"REFUND")</f>
        <v>0</v>
      </c>
      <c r="N3622" s="23" t="str">
        <f t="shared" si="226"/>
        <v>OK</v>
      </c>
      <c r="O3622" s="24">
        <f t="shared" si="227"/>
        <v>0</v>
      </c>
    </row>
    <row r="3623" spans="1:15" ht="15" customHeight="1" x14ac:dyDescent="0.3">
      <c r="A3623" s="23" t="s">
        <v>7737</v>
      </c>
      <c r="B3623" s="38">
        <v>46280</v>
      </c>
      <c r="C3623" s="23" t="s">
        <v>7738</v>
      </c>
      <c r="D3623" s="23" t="s">
        <v>93</v>
      </c>
      <c r="E3623" s="23" t="s">
        <v>75</v>
      </c>
      <c r="F3623" s="23" t="s">
        <v>268</v>
      </c>
      <c r="G3623" s="23" t="s">
        <v>250</v>
      </c>
      <c r="H3623" s="39">
        <f t="shared" si="224"/>
        <v>1299</v>
      </c>
      <c r="I3623" s="23" t="str">
        <f t="shared" si="225"/>
        <v>Kolkata</v>
      </c>
      <c r="J3623" s="23">
        <f>COUNTIFS(pg_transaction_cleaned!$O:$O,A3623,pg_transaction_cleaned!$F:$F,"CAPTURE")</f>
        <v>1</v>
      </c>
      <c r="K3623" s="39">
        <f>SUMIFS(pg_transaction_cleaned!$H:$H,pg_transaction_cleaned!$O:$O,A3623,pg_transaction_cleaned!$F:$F,"CAPTURE")</f>
        <v>1299</v>
      </c>
      <c r="L3623" s="23">
        <f>COUNTIFS(pg_transaction_cleaned!$O:$O,A3623,pg_transaction_cleaned!$F:$F,"REFUND")</f>
        <v>0</v>
      </c>
      <c r="M3623" s="39">
        <f>SUMIFS(pg_transaction_cleaned!$H:$H,pg_transaction_cleaned!$O:$O,A3623,pg_transaction_cleaned!$F:$F,"REFUND")</f>
        <v>0</v>
      </c>
      <c r="N3623" s="23" t="str">
        <f t="shared" si="226"/>
        <v>OK</v>
      </c>
      <c r="O3623" s="24">
        <f t="shared" si="227"/>
        <v>0</v>
      </c>
    </row>
    <row r="3624" spans="1:15" ht="15" customHeight="1" x14ac:dyDescent="0.3">
      <c r="A3624" s="23" t="s">
        <v>7739</v>
      </c>
      <c r="B3624" s="38">
        <v>46281</v>
      </c>
      <c r="C3624" s="23" t="s">
        <v>7740</v>
      </c>
      <c r="D3624" s="23" t="s">
        <v>89</v>
      </c>
      <c r="E3624" s="23" t="s">
        <v>75</v>
      </c>
      <c r="F3624" s="23" t="s">
        <v>680</v>
      </c>
      <c r="G3624" s="23" t="s">
        <v>250</v>
      </c>
      <c r="H3624" s="39">
        <f t="shared" si="224"/>
        <v>5097</v>
      </c>
      <c r="I3624" s="23" t="str">
        <f t="shared" si="225"/>
        <v>Jaipur</v>
      </c>
      <c r="J3624" s="23">
        <f>COUNTIFS(pg_transaction_cleaned!$O:$O,A3624,pg_transaction_cleaned!$F:$F,"CAPTURE")</f>
        <v>1</v>
      </c>
      <c r="K3624" s="39">
        <f>SUMIFS(pg_transaction_cleaned!$H:$H,pg_transaction_cleaned!$O:$O,A3624,pg_transaction_cleaned!$F:$F,"CAPTURE")</f>
        <v>5097</v>
      </c>
      <c r="L3624" s="23">
        <f>COUNTIFS(pg_transaction_cleaned!$O:$O,A3624,pg_transaction_cleaned!$F:$F,"REFUND")</f>
        <v>0</v>
      </c>
      <c r="M3624" s="39">
        <f>SUMIFS(pg_transaction_cleaned!$H:$H,pg_transaction_cleaned!$O:$O,A3624,pg_transaction_cleaned!$F:$F,"REFUND")</f>
        <v>0</v>
      </c>
      <c r="N3624" s="23" t="str">
        <f t="shared" si="226"/>
        <v>OK</v>
      </c>
      <c r="O3624" s="24">
        <f t="shared" si="227"/>
        <v>0</v>
      </c>
    </row>
    <row r="3625" spans="1:15" ht="15" customHeight="1" x14ac:dyDescent="0.3">
      <c r="A3625" s="23" t="s">
        <v>7741</v>
      </c>
      <c r="B3625" s="38">
        <v>46295</v>
      </c>
      <c r="C3625" s="23" t="s">
        <v>7742</v>
      </c>
      <c r="D3625" s="23" t="s">
        <v>88</v>
      </c>
      <c r="E3625" s="23" t="s">
        <v>75</v>
      </c>
      <c r="F3625" s="23" t="s">
        <v>262</v>
      </c>
      <c r="G3625" s="23" t="s">
        <v>250</v>
      </c>
      <c r="H3625" s="39">
        <f t="shared" si="224"/>
        <v>499</v>
      </c>
      <c r="I3625" s="23" t="str">
        <f t="shared" si="225"/>
        <v>Lucknow</v>
      </c>
      <c r="J3625" s="23">
        <f>COUNTIFS(pg_transaction_cleaned!$O:$O,A3625,pg_transaction_cleaned!$F:$F,"CAPTURE")</f>
        <v>1</v>
      </c>
      <c r="K3625" s="39">
        <f>SUMIFS(pg_transaction_cleaned!$H:$H,pg_transaction_cleaned!$O:$O,A3625,pg_transaction_cleaned!$F:$F,"CAPTURE")</f>
        <v>499</v>
      </c>
      <c r="L3625" s="23">
        <f>COUNTIFS(pg_transaction_cleaned!$O:$O,A3625,pg_transaction_cleaned!$F:$F,"REFUND")</f>
        <v>0</v>
      </c>
      <c r="M3625" s="39">
        <f>SUMIFS(pg_transaction_cleaned!$H:$H,pg_transaction_cleaned!$O:$O,A3625,pg_transaction_cleaned!$F:$F,"REFUND")</f>
        <v>0</v>
      </c>
      <c r="N3625" s="23" t="str">
        <f t="shared" si="226"/>
        <v>OK</v>
      </c>
      <c r="O3625" s="24">
        <f t="shared" si="227"/>
        <v>0</v>
      </c>
    </row>
    <row r="3626" spans="1:15" ht="15" customHeight="1" x14ac:dyDescent="0.3">
      <c r="A3626" s="23" t="s">
        <v>7743</v>
      </c>
      <c r="B3626" s="38">
        <v>46286</v>
      </c>
      <c r="C3626" s="23" t="s">
        <v>7744</v>
      </c>
      <c r="D3626" s="23" t="s">
        <v>90</v>
      </c>
      <c r="E3626" s="23" t="s">
        <v>75</v>
      </c>
      <c r="F3626" s="23" t="s">
        <v>297</v>
      </c>
      <c r="G3626" s="23" t="s">
        <v>250</v>
      </c>
      <c r="H3626" s="39">
        <f t="shared" si="224"/>
        <v>4999</v>
      </c>
      <c r="I3626" s="23" t="str">
        <f t="shared" si="225"/>
        <v>Ahmedabad</v>
      </c>
      <c r="J3626" s="23">
        <f>COUNTIFS(pg_transaction_cleaned!$O:$O,A3626,pg_transaction_cleaned!$F:$F,"CAPTURE")</f>
        <v>1</v>
      </c>
      <c r="K3626" s="39">
        <f>SUMIFS(pg_transaction_cleaned!$H:$H,pg_transaction_cleaned!$O:$O,A3626,pg_transaction_cleaned!$F:$F,"CAPTURE")</f>
        <v>4999</v>
      </c>
      <c r="L3626" s="23">
        <f>COUNTIFS(pg_transaction_cleaned!$O:$O,A3626,pg_transaction_cleaned!$F:$F,"REFUND")</f>
        <v>0</v>
      </c>
      <c r="M3626" s="39">
        <f>SUMIFS(pg_transaction_cleaned!$H:$H,pg_transaction_cleaned!$O:$O,A3626,pg_transaction_cleaned!$F:$F,"REFUND")</f>
        <v>0</v>
      </c>
      <c r="N3626" s="23" t="str">
        <f t="shared" si="226"/>
        <v>OK</v>
      </c>
      <c r="O3626" s="24">
        <f t="shared" si="227"/>
        <v>0</v>
      </c>
    </row>
    <row r="3627" spans="1:15" ht="15" customHeight="1" x14ac:dyDescent="0.3">
      <c r="A3627" s="23" t="s">
        <v>7745</v>
      </c>
      <c r="B3627" s="38">
        <v>46282</v>
      </c>
      <c r="C3627" s="23" t="s">
        <v>7746</v>
      </c>
      <c r="D3627" s="23" t="s">
        <v>88</v>
      </c>
      <c r="E3627" s="23" t="s">
        <v>79</v>
      </c>
      <c r="F3627" s="23" t="s">
        <v>1693</v>
      </c>
      <c r="G3627" s="23" t="s">
        <v>250</v>
      </c>
      <c r="H3627" s="39">
        <f t="shared" si="224"/>
        <v>4097</v>
      </c>
      <c r="I3627" s="23" t="str">
        <f t="shared" si="225"/>
        <v>Lucknow</v>
      </c>
      <c r="J3627" s="23">
        <f>COUNTIFS(pg_transaction_cleaned!$O:$O,A3627,pg_transaction_cleaned!$F:$F,"CAPTURE")</f>
        <v>1</v>
      </c>
      <c r="K3627" s="39">
        <f>SUMIFS(pg_transaction_cleaned!$H:$H,pg_transaction_cleaned!$O:$O,A3627,pg_transaction_cleaned!$F:$F,"CAPTURE")</f>
        <v>4097</v>
      </c>
      <c r="L3627" s="23">
        <f>COUNTIFS(pg_transaction_cleaned!$O:$O,A3627,pg_transaction_cleaned!$F:$F,"REFUND")</f>
        <v>0</v>
      </c>
      <c r="M3627" s="39">
        <f>SUMIFS(pg_transaction_cleaned!$H:$H,pg_transaction_cleaned!$O:$O,A3627,pg_transaction_cleaned!$F:$F,"REFUND")</f>
        <v>0</v>
      </c>
      <c r="N3627" s="23" t="str">
        <f t="shared" si="226"/>
        <v>OK</v>
      </c>
      <c r="O3627" s="24">
        <f t="shared" si="227"/>
        <v>0</v>
      </c>
    </row>
    <row r="3628" spans="1:15" ht="15" customHeight="1" x14ac:dyDescent="0.3">
      <c r="A3628" s="23" t="s">
        <v>7747</v>
      </c>
      <c r="B3628" s="38">
        <v>46291</v>
      </c>
      <c r="C3628" s="23" t="s">
        <v>7748</v>
      </c>
      <c r="D3628" s="23" t="s">
        <v>95</v>
      </c>
      <c r="E3628" s="23" t="s">
        <v>75</v>
      </c>
      <c r="F3628" s="23" t="s">
        <v>268</v>
      </c>
      <c r="G3628" s="23" t="s">
        <v>250</v>
      </c>
      <c r="H3628" s="39">
        <f t="shared" si="224"/>
        <v>1299</v>
      </c>
      <c r="I3628" s="23" t="str">
        <f t="shared" si="225"/>
        <v>Bengaluru</v>
      </c>
      <c r="J3628" s="23">
        <f>COUNTIFS(pg_transaction_cleaned!$O:$O,A3628,pg_transaction_cleaned!$F:$F,"CAPTURE")</f>
        <v>1</v>
      </c>
      <c r="K3628" s="39">
        <f>SUMIFS(pg_transaction_cleaned!$H:$H,pg_transaction_cleaned!$O:$O,A3628,pg_transaction_cleaned!$F:$F,"CAPTURE")</f>
        <v>1299</v>
      </c>
      <c r="L3628" s="23">
        <f>COUNTIFS(pg_transaction_cleaned!$O:$O,A3628,pg_transaction_cleaned!$F:$F,"REFUND")</f>
        <v>0</v>
      </c>
      <c r="M3628" s="39">
        <f>SUMIFS(pg_transaction_cleaned!$H:$H,pg_transaction_cleaned!$O:$O,A3628,pg_transaction_cleaned!$F:$F,"REFUND")</f>
        <v>0</v>
      </c>
      <c r="N3628" s="23" t="str">
        <f t="shared" si="226"/>
        <v>OK</v>
      </c>
      <c r="O3628" s="24">
        <f t="shared" si="227"/>
        <v>0</v>
      </c>
    </row>
    <row r="3629" spans="1:15" ht="15" customHeight="1" x14ac:dyDescent="0.3">
      <c r="A3629" s="23" t="s">
        <v>7749</v>
      </c>
      <c r="B3629" s="38">
        <v>46275</v>
      </c>
      <c r="C3629" s="23" t="s">
        <v>7750</v>
      </c>
      <c r="D3629" s="23" t="s">
        <v>90</v>
      </c>
      <c r="E3629" s="23" t="s">
        <v>79</v>
      </c>
      <c r="F3629" s="23" t="s">
        <v>7751</v>
      </c>
      <c r="G3629" s="23" t="s">
        <v>250</v>
      </c>
      <c r="H3629" s="39">
        <f t="shared" si="224"/>
        <v>11997</v>
      </c>
      <c r="I3629" s="23" t="str">
        <f t="shared" si="225"/>
        <v>Ahmedabad</v>
      </c>
      <c r="J3629" s="23">
        <f>COUNTIFS(pg_transaction_cleaned!$O:$O,A3629,pg_transaction_cleaned!$F:$F,"CAPTURE")</f>
        <v>1</v>
      </c>
      <c r="K3629" s="39">
        <f>SUMIFS(pg_transaction_cleaned!$H:$H,pg_transaction_cleaned!$O:$O,A3629,pg_transaction_cleaned!$F:$F,"CAPTURE")</f>
        <v>11997</v>
      </c>
      <c r="L3629" s="23">
        <f>COUNTIFS(pg_transaction_cleaned!$O:$O,A3629,pg_transaction_cleaned!$F:$F,"REFUND")</f>
        <v>0</v>
      </c>
      <c r="M3629" s="39">
        <f>SUMIFS(pg_transaction_cleaned!$H:$H,pg_transaction_cleaned!$O:$O,A3629,pg_transaction_cleaned!$F:$F,"REFUND")</f>
        <v>0</v>
      </c>
      <c r="N3629" s="23" t="str">
        <f t="shared" si="226"/>
        <v>OK</v>
      </c>
      <c r="O3629" s="24">
        <f t="shared" si="227"/>
        <v>0</v>
      </c>
    </row>
    <row r="3630" spans="1:15" ht="15" customHeight="1" x14ac:dyDescent="0.3">
      <c r="A3630" s="23" t="s">
        <v>7752</v>
      </c>
      <c r="B3630" s="38">
        <v>46278</v>
      </c>
      <c r="C3630" s="23" t="s">
        <v>7753</v>
      </c>
      <c r="D3630" s="23" t="s">
        <v>94</v>
      </c>
      <c r="E3630" s="23" t="s">
        <v>79</v>
      </c>
      <c r="F3630" s="23" t="s">
        <v>291</v>
      </c>
      <c r="G3630" s="23" t="s">
        <v>250</v>
      </c>
      <c r="H3630" s="39">
        <f t="shared" si="224"/>
        <v>3499</v>
      </c>
      <c r="I3630" s="23" t="str">
        <f t="shared" si="225"/>
        <v>Chennai</v>
      </c>
      <c r="J3630" s="23">
        <f>COUNTIFS(pg_transaction_cleaned!$O:$O,A3630,pg_transaction_cleaned!$F:$F,"CAPTURE")</f>
        <v>1</v>
      </c>
      <c r="K3630" s="39">
        <f>SUMIFS(pg_transaction_cleaned!$H:$H,pg_transaction_cleaned!$O:$O,A3630,pg_transaction_cleaned!$F:$F,"CAPTURE")</f>
        <v>3499</v>
      </c>
      <c r="L3630" s="23">
        <f>COUNTIFS(pg_transaction_cleaned!$O:$O,A3630,pg_transaction_cleaned!$F:$F,"REFUND")</f>
        <v>0</v>
      </c>
      <c r="M3630" s="39">
        <f>SUMIFS(pg_transaction_cleaned!$H:$H,pg_transaction_cleaned!$O:$O,A3630,pg_transaction_cleaned!$F:$F,"REFUND")</f>
        <v>0</v>
      </c>
      <c r="N3630" s="23" t="str">
        <f t="shared" si="226"/>
        <v>OK</v>
      </c>
      <c r="O3630" s="24">
        <f t="shared" si="227"/>
        <v>0</v>
      </c>
    </row>
    <row r="3631" spans="1:15" ht="15" customHeight="1" x14ac:dyDescent="0.3">
      <c r="A3631" s="23" t="s">
        <v>7754</v>
      </c>
      <c r="B3631" s="38">
        <v>46293</v>
      </c>
      <c r="C3631" s="23" t="s">
        <v>7755</v>
      </c>
      <c r="D3631" s="23" t="s">
        <v>86</v>
      </c>
      <c r="E3631" s="23" t="s">
        <v>75</v>
      </c>
      <c r="F3631" s="23" t="s">
        <v>310</v>
      </c>
      <c r="G3631" s="23" t="s">
        <v>250</v>
      </c>
      <c r="H3631" s="39">
        <f t="shared" si="224"/>
        <v>7999</v>
      </c>
      <c r="I3631" s="23" t="str">
        <f t="shared" si="225"/>
        <v>Delhi</v>
      </c>
      <c r="J3631" s="23">
        <f>COUNTIFS(pg_transaction_cleaned!$O:$O,A3631,pg_transaction_cleaned!$F:$F,"CAPTURE")</f>
        <v>1</v>
      </c>
      <c r="K3631" s="39">
        <f>SUMIFS(pg_transaction_cleaned!$H:$H,pg_transaction_cleaned!$O:$O,A3631,pg_transaction_cleaned!$F:$F,"CAPTURE")</f>
        <v>7999</v>
      </c>
      <c r="L3631" s="23">
        <f>COUNTIFS(pg_transaction_cleaned!$O:$O,A3631,pg_transaction_cleaned!$F:$F,"REFUND")</f>
        <v>0</v>
      </c>
      <c r="M3631" s="39">
        <f>SUMIFS(pg_transaction_cleaned!$H:$H,pg_transaction_cleaned!$O:$O,A3631,pg_transaction_cleaned!$F:$F,"REFUND")</f>
        <v>0</v>
      </c>
      <c r="N3631" s="23" t="str">
        <f t="shared" si="226"/>
        <v>OK</v>
      </c>
      <c r="O3631" s="24">
        <f t="shared" si="227"/>
        <v>0</v>
      </c>
    </row>
    <row r="3632" spans="1:15" ht="15" customHeight="1" x14ac:dyDescent="0.3">
      <c r="A3632" s="23" t="s">
        <v>7756</v>
      </c>
      <c r="B3632" s="38">
        <v>46292</v>
      </c>
      <c r="C3632" s="23" t="s">
        <v>2544</v>
      </c>
      <c r="D3632" s="23" t="s">
        <v>93</v>
      </c>
      <c r="E3632" s="23" t="s">
        <v>75</v>
      </c>
      <c r="F3632" s="23" t="s">
        <v>291</v>
      </c>
      <c r="G3632" s="23" t="s">
        <v>250</v>
      </c>
      <c r="H3632" s="39">
        <f t="shared" si="224"/>
        <v>3499</v>
      </c>
      <c r="I3632" s="23" t="str">
        <f t="shared" si="225"/>
        <v>Kolkata</v>
      </c>
      <c r="J3632" s="23">
        <f>COUNTIFS(pg_transaction_cleaned!$O:$O,A3632,pg_transaction_cleaned!$F:$F,"CAPTURE")</f>
        <v>1</v>
      </c>
      <c r="K3632" s="39">
        <f>SUMIFS(pg_transaction_cleaned!$H:$H,pg_transaction_cleaned!$O:$O,A3632,pg_transaction_cleaned!$F:$F,"CAPTURE")</f>
        <v>3499</v>
      </c>
      <c r="L3632" s="23">
        <f>COUNTIFS(pg_transaction_cleaned!$O:$O,A3632,pg_transaction_cleaned!$F:$F,"REFUND")</f>
        <v>0</v>
      </c>
      <c r="M3632" s="39">
        <f>SUMIFS(pg_transaction_cleaned!$H:$H,pg_transaction_cleaned!$O:$O,A3632,pg_transaction_cleaned!$F:$F,"REFUND")</f>
        <v>0</v>
      </c>
      <c r="N3632" s="23" t="str">
        <f t="shared" si="226"/>
        <v>OK</v>
      </c>
      <c r="O3632" s="24">
        <f t="shared" si="227"/>
        <v>0</v>
      </c>
    </row>
    <row r="3633" spans="1:15" ht="15" customHeight="1" x14ac:dyDescent="0.3">
      <c r="A3633" s="23" t="s">
        <v>7757</v>
      </c>
      <c r="B3633" s="38">
        <v>46290</v>
      </c>
      <c r="C3633" s="23" t="s">
        <v>7758</v>
      </c>
      <c r="D3633" s="23"/>
      <c r="E3633" s="23" t="s">
        <v>79</v>
      </c>
      <c r="F3633" s="23" t="s">
        <v>1998</v>
      </c>
      <c r="G3633" s="23" t="s">
        <v>250</v>
      </c>
      <c r="H3633" s="39">
        <f t="shared" si="224"/>
        <v>7147</v>
      </c>
      <c r="I3633" s="23" t="str">
        <f t="shared" si="225"/>
        <v>Unknown</v>
      </c>
      <c r="J3633" s="23">
        <f>COUNTIFS(pg_transaction_cleaned!$O:$O,A3633,pg_transaction_cleaned!$F:$F,"CAPTURE")</f>
        <v>1</v>
      </c>
      <c r="K3633" s="39">
        <f>SUMIFS(pg_transaction_cleaned!$H:$H,pg_transaction_cleaned!$O:$O,A3633,pg_transaction_cleaned!$F:$F,"CAPTURE")</f>
        <v>7147</v>
      </c>
      <c r="L3633" s="23">
        <f>COUNTIFS(pg_transaction_cleaned!$O:$O,A3633,pg_transaction_cleaned!$F:$F,"REFUND")</f>
        <v>0</v>
      </c>
      <c r="M3633" s="39">
        <f>SUMIFS(pg_transaction_cleaned!$H:$H,pg_transaction_cleaned!$O:$O,A3633,pg_transaction_cleaned!$F:$F,"REFUND")</f>
        <v>0</v>
      </c>
      <c r="N3633" s="23" t="str">
        <f t="shared" si="226"/>
        <v>OK</v>
      </c>
      <c r="O3633" s="24">
        <f t="shared" si="227"/>
        <v>0</v>
      </c>
    </row>
    <row r="3634" spans="1:15" ht="15" customHeight="1" x14ac:dyDescent="0.3">
      <c r="A3634" s="23" t="s">
        <v>7759</v>
      </c>
      <c r="B3634" s="38">
        <v>46279</v>
      </c>
      <c r="C3634" s="23" t="s">
        <v>7760</v>
      </c>
      <c r="D3634" s="23" t="s">
        <v>86</v>
      </c>
      <c r="E3634" s="23" t="s">
        <v>79</v>
      </c>
      <c r="F3634" s="23" t="s">
        <v>451</v>
      </c>
      <c r="G3634" s="23" t="s">
        <v>250</v>
      </c>
      <c r="H3634" s="39">
        <f t="shared" si="224"/>
        <v>1098</v>
      </c>
      <c r="I3634" s="23" t="str">
        <f t="shared" si="225"/>
        <v>Delhi</v>
      </c>
      <c r="J3634" s="23">
        <f>COUNTIFS(pg_transaction_cleaned!$O:$O,A3634,pg_transaction_cleaned!$F:$F,"CAPTURE")</f>
        <v>1</v>
      </c>
      <c r="K3634" s="39">
        <f>SUMIFS(pg_transaction_cleaned!$H:$H,pg_transaction_cleaned!$O:$O,A3634,pg_transaction_cleaned!$F:$F,"CAPTURE")</f>
        <v>1098</v>
      </c>
      <c r="L3634" s="23">
        <f>COUNTIFS(pg_transaction_cleaned!$O:$O,A3634,pg_transaction_cleaned!$F:$F,"REFUND")</f>
        <v>0</v>
      </c>
      <c r="M3634" s="39">
        <f>SUMIFS(pg_transaction_cleaned!$H:$H,pg_transaction_cleaned!$O:$O,A3634,pg_transaction_cleaned!$F:$F,"REFUND")</f>
        <v>0</v>
      </c>
      <c r="N3634" s="23" t="str">
        <f t="shared" si="226"/>
        <v>OK</v>
      </c>
      <c r="O3634" s="24">
        <f t="shared" si="227"/>
        <v>0</v>
      </c>
    </row>
    <row r="3635" spans="1:15" ht="15" customHeight="1" x14ac:dyDescent="0.3">
      <c r="A3635" s="23" t="s">
        <v>7761</v>
      </c>
      <c r="B3635" s="38">
        <v>46284</v>
      </c>
      <c r="C3635" s="23" t="s">
        <v>7762</v>
      </c>
      <c r="D3635" s="23" t="s">
        <v>89</v>
      </c>
      <c r="E3635" s="23" t="s">
        <v>79</v>
      </c>
      <c r="F3635" s="23" t="s">
        <v>652</v>
      </c>
      <c r="G3635" s="23" t="s">
        <v>318</v>
      </c>
      <c r="H3635" s="39">
        <f t="shared" si="224"/>
        <v>2397</v>
      </c>
      <c r="I3635" s="23" t="str">
        <f t="shared" si="225"/>
        <v>Jaipur</v>
      </c>
      <c r="J3635" s="23">
        <f>COUNTIFS(pg_transaction_cleaned!$O:$O,A3635,pg_transaction_cleaned!$F:$F,"CAPTURE")</f>
        <v>0</v>
      </c>
      <c r="K3635" s="39">
        <f>SUMIFS(pg_transaction_cleaned!$H:$H,pg_transaction_cleaned!$O:$O,A3635,pg_transaction_cleaned!$F:$F,"CAPTURE")</f>
        <v>0</v>
      </c>
      <c r="L3635" s="23">
        <f>COUNTIFS(pg_transaction_cleaned!$O:$O,A3635,pg_transaction_cleaned!$F:$F,"REFUND")</f>
        <v>0</v>
      </c>
      <c r="M3635" s="39">
        <f>SUMIFS(pg_transaction_cleaned!$H:$H,pg_transaction_cleaned!$O:$O,A3635,pg_transaction_cleaned!$F:$F,"REFUND")</f>
        <v>0</v>
      </c>
      <c r="N3635" s="23" t="str">
        <f t="shared" si="226"/>
        <v>OK</v>
      </c>
      <c r="O3635" s="24">
        <f t="shared" si="227"/>
        <v>0</v>
      </c>
    </row>
    <row r="3636" spans="1:15" ht="15" customHeight="1" x14ac:dyDescent="0.3">
      <c r="A3636" s="23" t="s">
        <v>7763</v>
      </c>
      <c r="B3636" s="38">
        <v>46292</v>
      </c>
      <c r="C3636" s="23" t="s">
        <v>7764</v>
      </c>
      <c r="D3636" s="23" t="s">
        <v>90</v>
      </c>
      <c r="E3636" s="23" t="s">
        <v>81</v>
      </c>
      <c r="F3636" s="23" t="s">
        <v>429</v>
      </c>
      <c r="G3636" s="23" t="s">
        <v>301</v>
      </c>
      <c r="H3636" s="39">
        <f t="shared" si="224"/>
        <v>3348</v>
      </c>
      <c r="I3636" s="23" t="str">
        <f t="shared" si="225"/>
        <v>Ahmedabad</v>
      </c>
      <c r="J3636" s="23">
        <f>COUNTIFS(pg_transaction_cleaned!$O:$O,A3636,pg_transaction_cleaned!$F:$F,"CAPTURE")</f>
        <v>1</v>
      </c>
      <c r="K3636" s="39">
        <f>SUMIFS(pg_transaction_cleaned!$H:$H,pg_transaction_cleaned!$O:$O,A3636,pg_transaction_cleaned!$F:$F,"CAPTURE")</f>
        <v>3348</v>
      </c>
      <c r="L3636" s="23">
        <f>COUNTIFS(pg_transaction_cleaned!$O:$O,A3636,pg_transaction_cleaned!$F:$F,"REFUND")</f>
        <v>1</v>
      </c>
      <c r="M3636" s="39">
        <f>SUMIFS(pg_transaction_cleaned!$H:$H,pg_transaction_cleaned!$O:$O,A3636,pg_transaction_cleaned!$F:$F,"REFUND")</f>
        <v>3348</v>
      </c>
      <c r="N3636" s="23" t="str">
        <f t="shared" si="226"/>
        <v>OK</v>
      </c>
      <c r="O3636" s="24">
        <f t="shared" si="227"/>
        <v>0</v>
      </c>
    </row>
    <row r="3637" spans="1:15" ht="15" customHeight="1" x14ac:dyDescent="0.3">
      <c r="A3637" s="23" t="s">
        <v>7765</v>
      </c>
      <c r="B3637" s="38">
        <v>46269</v>
      </c>
      <c r="C3637" s="23" t="s">
        <v>7766</v>
      </c>
      <c r="D3637" s="23" t="s">
        <v>95</v>
      </c>
      <c r="E3637" s="23" t="s">
        <v>77</v>
      </c>
      <c r="F3637" s="23" t="s">
        <v>349</v>
      </c>
      <c r="G3637" s="23" t="s">
        <v>250</v>
      </c>
      <c r="H3637" s="39">
        <f t="shared" si="224"/>
        <v>1798</v>
      </c>
      <c r="I3637" s="23" t="str">
        <f t="shared" si="225"/>
        <v>Bengaluru</v>
      </c>
      <c r="J3637" s="23">
        <f>COUNTIFS(pg_transaction_cleaned!$O:$O,A3637,pg_transaction_cleaned!$F:$F,"CAPTURE")</f>
        <v>1</v>
      </c>
      <c r="K3637" s="39">
        <f>SUMIFS(pg_transaction_cleaned!$H:$H,pg_transaction_cleaned!$O:$O,A3637,pg_transaction_cleaned!$F:$F,"CAPTURE")</f>
        <v>1798</v>
      </c>
      <c r="L3637" s="23">
        <f>COUNTIFS(pg_transaction_cleaned!$O:$O,A3637,pg_transaction_cleaned!$F:$F,"REFUND")</f>
        <v>0</v>
      </c>
      <c r="M3637" s="39">
        <f>SUMIFS(pg_transaction_cleaned!$H:$H,pg_transaction_cleaned!$O:$O,A3637,pg_transaction_cleaned!$F:$F,"REFUND")</f>
        <v>0</v>
      </c>
      <c r="N3637" s="23" t="str">
        <f t="shared" si="226"/>
        <v>OK</v>
      </c>
      <c r="O3637" s="24">
        <f t="shared" si="227"/>
        <v>0</v>
      </c>
    </row>
    <row r="3638" spans="1:15" ht="15" customHeight="1" x14ac:dyDescent="0.3">
      <c r="A3638" s="23" t="s">
        <v>7767</v>
      </c>
      <c r="B3638" s="38">
        <v>46280</v>
      </c>
      <c r="C3638" s="23" t="s">
        <v>7768</v>
      </c>
      <c r="D3638" s="23" t="s">
        <v>93</v>
      </c>
      <c r="E3638" s="23" t="s">
        <v>77</v>
      </c>
      <c r="F3638" s="23" t="s">
        <v>315</v>
      </c>
      <c r="G3638" s="23" t="s">
        <v>250</v>
      </c>
      <c r="H3638" s="39">
        <f t="shared" si="224"/>
        <v>1499</v>
      </c>
      <c r="I3638" s="23" t="str">
        <f t="shared" si="225"/>
        <v>Kolkata</v>
      </c>
      <c r="J3638" s="23">
        <f>COUNTIFS(pg_transaction_cleaned!$O:$O,A3638,pg_transaction_cleaned!$F:$F,"CAPTURE")</f>
        <v>1</v>
      </c>
      <c r="K3638" s="39">
        <f>SUMIFS(pg_transaction_cleaned!$H:$H,pg_transaction_cleaned!$O:$O,A3638,pg_transaction_cleaned!$F:$F,"CAPTURE")</f>
        <v>1499</v>
      </c>
      <c r="L3638" s="23">
        <f>COUNTIFS(pg_transaction_cleaned!$O:$O,A3638,pg_transaction_cleaned!$F:$F,"REFUND")</f>
        <v>0</v>
      </c>
      <c r="M3638" s="39">
        <f>SUMIFS(pg_transaction_cleaned!$H:$H,pg_transaction_cleaned!$O:$O,A3638,pg_transaction_cleaned!$F:$F,"REFUND")</f>
        <v>0</v>
      </c>
      <c r="N3638" s="23" t="str">
        <f t="shared" si="226"/>
        <v>OK</v>
      </c>
      <c r="O3638" s="24">
        <f t="shared" si="227"/>
        <v>0</v>
      </c>
    </row>
    <row r="3639" spans="1:15" ht="15" customHeight="1" x14ac:dyDescent="0.3">
      <c r="A3639" s="23" t="s">
        <v>7769</v>
      </c>
      <c r="B3639" s="38">
        <v>46292</v>
      </c>
      <c r="C3639" s="23" t="s">
        <v>7770</v>
      </c>
      <c r="D3639" s="23" t="s">
        <v>86</v>
      </c>
      <c r="E3639" s="23" t="s">
        <v>75</v>
      </c>
      <c r="F3639" s="23" t="s">
        <v>271</v>
      </c>
      <c r="G3639" s="23" t="s">
        <v>250</v>
      </c>
      <c r="H3639" s="39">
        <f t="shared" si="224"/>
        <v>2499</v>
      </c>
      <c r="I3639" s="23" t="str">
        <f t="shared" si="225"/>
        <v>Delhi</v>
      </c>
      <c r="J3639" s="23">
        <f>COUNTIFS(pg_transaction_cleaned!$O:$O,A3639,pg_transaction_cleaned!$F:$F,"CAPTURE")</f>
        <v>1</v>
      </c>
      <c r="K3639" s="39">
        <f>SUMIFS(pg_transaction_cleaned!$H:$H,pg_transaction_cleaned!$O:$O,A3639,pg_transaction_cleaned!$F:$F,"CAPTURE")</f>
        <v>2499</v>
      </c>
      <c r="L3639" s="23">
        <f>COUNTIFS(pg_transaction_cleaned!$O:$O,A3639,pg_transaction_cleaned!$F:$F,"REFUND")</f>
        <v>0</v>
      </c>
      <c r="M3639" s="39">
        <f>SUMIFS(pg_transaction_cleaned!$H:$H,pg_transaction_cleaned!$O:$O,A3639,pg_transaction_cleaned!$F:$F,"REFUND")</f>
        <v>0</v>
      </c>
      <c r="N3639" s="23" t="str">
        <f t="shared" si="226"/>
        <v>OK</v>
      </c>
      <c r="O3639" s="24">
        <f t="shared" si="227"/>
        <v>0</v>
      </c>
    </row>
    <row r="3640" spans="1:15" ht="15" customHeight="1" x14ac:dyDescent="0.3">
      <c r="A3640" s="23" t="s">
        <v>7771</v>
      </c>
      <c r="B3640" s="38">
        <v>46266</v>
      </c>
      <c r="C3640" s="23" t="s">
        <v>7772</v>
      </c>
      <c r="D3640" s="23" t="s">
        <v>95</v>
      </c>
      <c r="E3640" s="23" t="s">
        <v>75</v>
      </c>
      <c r="F3640" s="23" t="s">
        <v>291</v>
      </c>
      <c r="G3640" s="23" t="s">
        <v>250</v>
      </c>
      <c r="H3640" s="39">
        <f t="shared" si="224"/>
        <v>3499</v>
      </c>
      <c r="I3640" s="23" t="str">
        <f t="shared" si="225"/>
        <v>Bengaluru</v>
      </c>
      <c r="J3640" s="23">
        <f>COUNTIFS(pg_transaction_cleaned!$O:$O,A3640,pg_transaction_cleaned!$F:$F,"CAPTURE")</f>
        <v>1</v>
      </c>
      <c r="K3640" s="39">
        <f>SUMIFS(pg_transaction_cleaned!$H:$H,pg_transaction_cleaned!$O:$O,A3640,pg_transaction_cleaned!$F:$F,"CAPTURE")</f>
        <v>3499</v>
      </c>
      <c r="L3640" s="23">
        <f>COUNTIFS(pg_transaction_cleaned!$O:$O,A3640,pg_transaction_cleaned!$F:$F,"REFUND")</f>
        <v>0</v>
      </c>
      <c r="M3640" s="39">
        <f>SUMIFS(pg_transaction_cleaned!$H:$H,pg_transaction_cleaned!$O:$O,A3640,pg_transaction_cleaned!$F:$F,"REFUND")</f>
        <v>0</v>
      </c>
      <c r="N3640" s="23" t="str">
        <f t="shared" si="226"/>
        <v>OK</v>
      </c>
      <c r="O3640" s="24">
        <f t="shared" si="227"/>
        <v>0</v>
      </c>
    </row>
    <row r="3641" spans="1:15" ht="15" customHeight="1" x14ac:dyDescent="0.3">
      <c r="A3641" s="23" t="s">
        <v>7773</v>
      </c>
      <c r="B3641" s="38">
        <v>46294</v>
      </c>
      <c r="C3641" s="23" t="s">
        <v>7774</v>
      </c>
      <c r="D3641" s="23" t="s">
        <v>88</v>
      </c>
      <c r="E3641" s="23" t="s">
        <v>77</v>
      </c>
      <c r="F3641" s="23" t="s">
        <v>396</v>
      </c>
      <c r="G3641" s="23" t="s">
        <v>250</v>
      </c>
      <c r="H3641" s="39">
        <f t="shared" si="224"/>
        <v>2999</v>
      </c>
      <c r="I3641" s="23" t="str">
        <f t="shared" si="225"/>
        <v>Lucknow</v>
      </c>
      <c r="J3641" s="23">
        <f>COUNTIFS(pg_transaction_cleaned!$O:$O,A3641,pg_transaction_cleaned!$F:$F,"CAPTURE")</f>
        <v>1</v>
      </c>
      <c r="K3641" s="39">
        <f>SUMIFS(pg_transaction_cleaned!$H:$H,pg_transaction_cleaned!$O:$O,A3641,pg_transaction_cleaned!$F:$F,"CAPTURE")</f>
        <v>2999</v>
      </c>
      <c r="L3641" s="23">
        <f>COUNTIFS(pg_transaction_cleaned!$O:$O,A3641,pg_transaction_cleaned!$F:$F,"REFUND")</f>
        <v>0</v>
      </c>
      <c r="M3641" s="39">
        <f>SUMIFS(pg_transaction_cleaned!$H:$H,pg_transaction_cleaned!$O:$O,A3641,pg_transaction_cleaned!$F:$F,"REFUND")</f>
        <v>0</v>
      </c>
      <c r="N3641" s="23" t="str">
        <f t="shared" si="226"/>
        <v>OK</v>
      </c>
      <c r="O3641" s="24">
        <f t="shared" si="227"/>
        <v>0</v>
      </c>
    </row>
    <row r="3642" spans="1:15" ht="15" customHeight="1" x14ac:dyDescent="0.3">
      <c r="A3642" s="23" t="s">
        <v>7775</v>
      </c>
      <c r="B3642" s="38">
        <v>46288</v>
      </c>
      <c r="C3642" s="23" t="s">
        <v>7776</v>
      </c>
      <c r="D3642" s="23" t="s">
        <v>93</v>
      </c>
      <c r="E3642" s="23" t="s">
        <v>79</v>
      </c>
      <c r="F3642" s="23" t="s">
        <v>274</v>
      </c>
      <c r="G3642" s="23" t="s">
        <v>250</v>
      </c>
      <c r="H3642" s="39">
        <f t="shared" si="224"/>
        <v>349</v>
      </c>
      <c r="I3642" s="23" t="str">
        <f t="shared" si="225"/>
        <v>Kolkata</v>
      </c>
      <c r="J3642" s="23">
        <f>COUNTIFS(pg_transaction_cleaned!$O:$O,A3642,pg_transaction_cleaned!$F:$F,"CAPTURE")</f>
        <v>1</v>
      </c>
      <c r="K3642" s="39">
        <f>SUMIFS(pg_transaction_cleaned!$H:$H,pg_transaction_cleaned!$O:$O,A3642,pg_transaction_cleaned!$F:$F,"CAPTURE")</f>
        <v>349</v>
      </c>
      <c r="L3642" s="23">
        <f>COUNTIFS(pg_transaction_cleaned!$O:$O,A3642,pg_transaction_cleaned!$F:$F,"REFUND")</f>
        <v>0</v>
      </c>
      <c r="M3642" s="39">
        <f>SUMIFS(pg_transaction_cleaned!$H:$H,pg_transaction_cleaned!$O:$O,A3642,pg_transaction_cleaned!$F:$F,"REFUND")</f>
        <v>0</v>
      </c>
      <c r="N3642" s="23" t="str">
        <f t="shared" si="226"/>
        <v>OK</v>
      </c>
      <c r="O3642" s="24">
        <f t="shared" si="227"/>
        <v>0</v>
      </c>
    </row>
    <row r="3643" spans="1:15" ht="15" customHeight="1" x14ac:dyDescent="0.3">
      <c r="A3643" s="23" t="s">
        <v>7777</v>
      </c>
      <c r="B3643" s="38">
        <v>46280</v>
      </c>
      <c r="C3643" s="23" t="s">
        <v>7778</v>
      </c>
      <c r="D3643" s="23" t="s">
        <v>89</v>
      </c>
      <c r="E3643" s="23" t="s">
        <v>75</v>
      </c>
      <c r="F3643" s="23" t="s">
        <v>268</v>
      </c>
      <c r="G3643" s="23" t="s">
        <v>250</v>
      </c>
      <c r="H3643" s="39">
        <f t="shared" si="224"/>
        <v>1299</v>
      </c>
      <c r="I3643" s="23" t="str">
        <f t="shared" si="225"/>
        <v>Jaipur</v>
      </c>
      <c r="J3643" s="23">
        <f>COUNTIFS(pg_transaction_cleaned!$O:$O,A3643,pg_transaction_cleaned!$F:$F,"CAPTURE")</f>
        <v>1</v>
      </c>
      <c r="K3643" s="39">
        <f>SUMIFS(pg_transaction_cleaned!$H:$H,pg_transaction_cleaned!$O:$O,A3643,pg_transaction_cleaned!$F:$F,"CAPTURE")</f>
        <v>1299</v>
      </c>
      <c r="L3643" s="23">
        <f>COUNTIFS(pg_transaction_cleaned!$O:$O,A3643,pg_transaction_cleaned!$F:$F,"REFUND")</f>
        <v>0</v>
      </c>
      <c r="M3643" s="39">
        <f>SUMIFS(pg_transaction_cleaned!$H:$H,pg_transaction_cleaned!$O:$O,A3643,pg_transaction_cleaned!$F:$F,"REFUND")</f>
        <v>0</v>
      </c>
      <c r="N3643" s="23" t="str">
        <f t="shared" si="226"/>
        <v>OK</v>
      </c>
      <c r="O3643" s="24">
        <f t="shared" si="227"/>
        <v>0</v>
      </c>
    </row>
    <row r="3644" spans="1:15" ht="15" customHeight="1" x14ac:dyDescent="0.3">
      <c r="A3644" s="23" t="s">
        <v>7779</v>
      </c>
      <c r="B3644" s="38">
        <v>46280</v>
      </c>
      <c r="C3644" s="23" t="s">
        <v>7780</v>
      </c>
      <c r="D3644" s="23" t="s">
        <v>86</v>
      </c>
      <c r="E3644" s="23" t="s">
        <v>77</v>
      </c>
      <c r="F3644" s="23" t="s">
        <v>249</v>
      </c>
      <c r="G3644" s="23" t="s">
        <v>250</v>
      </c>
      <c r="H3644" s="39">
        <f t="shared" si="224"/>
        <v>299</v>
      </c>
      <c r="I3644" s="23" t="str">
        <f t="shared" si="225"/>
        <v>Delhi</v>
      </c>
      <c r="J3644" s="23">
        <f>COUNTIFS(pg_transaction_cleaned!$O:$O,A3644,pg_transaction_cleaned!$F:$F,"CAPTURE")</f>
        <v>1</v>
      </c>
      <c r="K3644" s="39">
        <f>SUMIFS(pg_transaction_cleaned!$H:$H,pg_transaction_cleaned!$O:$O,A3644,pg_transaction_cleaned!$F:$F,"CAPTURE")</f>
        <v>299</v>
      </c>
      <c r="L3644" s="23">
        <f>COUNTIFS(pg_transaction_cleaned!$O:$O,A3644,pg_transaction_cleaned!$F:$F,"REFUND")</f>
        <v>0</v>
      </c>
      <c r="M3644" s="39">
        <f>SUMIFS(pg_transaction_cleaned!$H:$H,pg_transaction_cleaned!$O:$O,A3644,pg_transaction_cleaned!$F:$F,"REFUND")</f>
        <v>0</v>
      </c>
      <c r="N3644" s="23" t="str">
        <f t="shared" si="226"/>
        <v>OK</v>
      </c>
      <c r="O3644" s="24">
        <f t="shared" si="227"/>
        <v>0</v>
      </c>
    </row>
    <row r="3645" spans="1:15" ht="15" customHeight="1" x14ac:dyDescent="0.3">
      <c r="A3645" s="23" t="s">
        <v>7781</v>
      </c>
      <c r="B3645" s="38">
        <v>46274</v>
      </c>
      <c r="C3645" s="23" t="s">
        <v>7782</v>
      </c>
      <c r="D3645" s="23" t="s">
        <v>95</v>
      </c>
      <c r="E3645" s="23" t="s">
        <v>79</v>
      </c>
      <c r="F3645" s="23" t="s">
        <v>294</v>
      </c>
      <c r="G3645" s="23" t="s">
        <v>365</v>
      </c>
      <c r="H3645" s="39">
        <f t="shared" si="224"/>
        <v>1799</v>
      </c>
      <c r="I3645" s="23" t="str">
        <f t="shared" si="225"/>
        <v>Bengaluru</v>
      </c>
      <c r="J3645" s="23">
        <f>COUNTIFS(pg_transaction_cleaned!$O:$O,A3645,pg_transaction_cleaned!$F:$F,"CAPTURE")</f>
        <v>0</v>
      </c>
      <c r="K3645" s="39">
        <f>SUMIFS(pg_transaction_cleaned!$H:$H,pg_transaction_cleaned!$O:$O,A3645,pg_transaction_cleaned!$F:$F,"CAPTURE")</f>
        <v>0</v>
      </c>
      <c r="L3645" s="23">
        <f>COUNTIFS(pg_transaction_cleaned!$O:$O,A3645,pg_transaction_cleaned!$F:$F,"REFUND")</f>
        <v>0</v>
      </c>
      <c r="M3645" s="39">
        <f>SUMIFS(pg_transaction_cleaned!$H:$H,pg_transaction_cleaned!$O:$O,A3645,pg_transaction_cleaned!$F:$F,"REFUND")</f>
        <v>0</v>
      </c>
      <c r="N3645" s="23" t="str">
        <f t="shared" si="226"/>
        <v>OK</v>
      </c>
      <c r="O3645" s="24">
        <f t="shared" si="227"/>
        <v>0</v>
      </c>
    </row>
    <row r="3646" spans="1:15" ht="15" customHeight="1" x14ac:dyDescent="0.3">
      <c r="A3646" s="23" t="s">
        <v>7783</v>
      </c>
      <c r="B3646" s="38">
        <v>46291</v>
      </c>
      <c r="C3646" s="23" t="s">
        <v>7784</v>
      </c>
      <c r="D3646" s="23" t="s">
        <v>91</v>
      </c>
      <c r="E3646" s="23" t="s">
        <v>81</v>
      </c>
      <c r="F3646" s="23" t="s">
        <v>291</v>
      </c>
      <c r="G3646" s="23" t="s">
        <v>250</v>
      </c>
      <c r="H3646" s="39">
        <f t="shared" si="224"/>
        <v>3499</v>
      </c>
      <c r="I3646" s="23" t="str">
        <f t="shared" si="225"/>
        <v>Pune</v>
      </c>
      <c r="J3646" s="23">
        <f>COUNTIFS(pg_transaction_cleaned!$O:$O,A3646,pg_transaction_cleaned!$F:$F,"CAPTURE")</f>
        <v>1</v>
      </c>
      <c r="K3646" s="39">
        <f>SUMIFS(pg_transaction_cleaned!$H:$H,pg_transaction_cleaned!$O:$O,A3646,pg_transaction_cleaned!$F:$F,"CAPTURE")</f>
        <v>3499</v>
      </c>
      <c r="L3646" s="23">
        <f>COUNTIFS(pg_transaction_cleaned!$O:$O,A3646,pg_transaction_cleaned!$F:$F,"REFUND")</f>
        <v>0</v>
      </c>
      <c r="M3646" s="39">
        <f>SUMIFS(pg_transaction_cleaned!$H:$H,pg_transaction_cleaned!$O:$O,A3646,pg_transaction_cleaned!$F:$F,"REFUND")</f>
        <v>0</v>
      </c>
      <c r="N3646" s="23" t="str">
        <f t="shared" si="226"/>
        <v>OK</v>
      </c>
      <c r="O3646" s="24">
        <f t="shared" si="227"/>
        <v>0</v>
      </c>
    </row>
    <row r="3647" spans="1:15" ht="15" customHeight="1" x14ac:dyDescent="0.3">
      <c r="A3647" s="23" t="s">
        <v>7785</v>
      </c>
      <c r="B3647" s="38">
        <v>46280</v>
      </c>
      <c r="C3647" s="23" t="s">
        <v>7786</v>
      </c>
      <c r="D3647" s="23" t="s">
        <v>93</v>
      </c>
      <c r="E3647" s="23" t="s">
        <v>81</v>
      </c>
      <c r="F3647" s="23" t="s">
        <v>4862</v>
      </c>
      <c r="G3647" s="23" t="s">
        <v>250</v>
      </c>
      <c r="H3647" s="39">
        <f t="shared" si="224"/>
        <v>3447</v>
      </c>
      <c r="I3647" s="23" t="str">
        <f t="shared" si="225"/>
        <v>Kolkata</v>
      </c>
      <c r="J3647" s="23">
        <f>COUNTIFS(pg_transaction_cleaned!$O:$O,A3647,pg_transaction_cleaned!$F:$F,"CAPTURE")</f>
        <v>1</v>
      </c>
      <c r="K3647" s="39">
        <f>SUMIFS(pg_transaction_cleaned!$H:$H,pg_transaction_cleaned!$O:$O,A3647,pg_transaction_cleaned!$F:$F,"CAPTURE")</f>
        <v>3447</v>
      </c>
      <c r="L3647" s="23">
        <f>COUNTIFS(pg_transaction_cleaned!$O:$O,A3647,pg_transaction_cleaned!$F:$F,"REFUND")</f>
        <v>0</v>
      </c>
      <c r="M3647" s="39">
        <f>SUMIFS(pg_transaction_cleaned!$H:$H,pg_transaction_cleaned!$O:$O,A3647,pg_transaction_cleaned!$F:$F,"REFUND")</f>
        <v>0</v>
      </c>
      <c r="N3647" s="23" t="str">
        <f t="shared" si="226"/>
        <v>OK</v>
      </c>
      <c r="O3647" s="24">
        <f t="shared" si="227"/>
        <v>0</v>
      </c>
    </row>
    <row r="3648" spans="1:15" ht="15" customHeight="1" x14ac:dyDescent="0.3">
      <c r="A3648" s="23" t="s">
        <v>7787</v>
      </c>
      <c r="B3648" s="38">
        <v>46286</v>
      </c>
      <c r="C3648" s="23" t="s">
        <v>1286</v>
      </c>
      <c r="D3648" s="23" t="s">
        <v>89</v>
      </c>
      <c r="E3648" s="23" t="s">
        <v>79</v>
      </c>
      <c r="F3648" s="23" t="s">
        <v>307</v>
      </c>
      <c r="G3648" s="23" t="s">
        <v>250</v>
      </c>
      <c r="H3648" s="39">
        <f t="shared" si="224"/>
        <v>3798</v>
      </c>
      <c r="I3648" s="23" t="str">
        <f t="shared" si="225"/>
        <v>Jaipur</v>
      </c>
      <c r="J3648" s="23">
        <f>COUNTIFS(pg_transaction_cleaned!$O:$O,A3648,pg_transaction_cleaned!$F:$F,"CAPTURE")</f>
        <v>1</v>
      </c>
      <c r="K3648" s="39">
        <f>SUMIFS(pg_transaction_cleaned!$H:$H,pg_transaction_cleaned!$O:$O,A3648,pg_transaction_cleaned!$F:$F,"CAPTURE")</f>
        <v>3798</v>
      </c>
      <c r="L3648" s="23">
        <f>COUNTIFS(pg_transaction_cleaned!$O:$O,A3648,pg_transaction_cleaned!$F:$F,"REFUND")</f>
        <v>0</v>
      </c>
      <c r="M3648" s="39">
        <f>SUMIFS(pg_transaction_cleaned!$H:$H,pg_transaction_cleaned!$O:$O,A3648,pg_transaction_cleaned!$F:$F,"REFUND")</f>
        <v>0</v>
      </c>
      <c r="N3648" s="23" t="str">
        <f t="shared" si="226"/>
        <v>OK</v>
      </c>
      <c r="O3648" s="24">
        <f t="shared" si="227"/>
        <v>0</v>
      </c>
    </row>
    <row r="3649" spans="1:15" ht="15" customHeight="1" x14ac:dyDescent="0.3">
      <c r="A3649" s="23" t="s">
        <v>7788</v>
      </c>
      <c r="B3649" s="38">
        <v>46284</v>
      </c>
      <c r="C3649" s="23" t="s">
        <v>7789</v>
      </c>
      <c r="D3649" s="23" t="s">
        <v>86</v>
      </c>
      <c r="E3649" s="23" t="s">
        <v>81</v>
      </c>
      <c r="F3649" s="23" t="s">
        <v>274</v>
      </c>
      <c r="G3649" s="23" t="s">
        <v>250</v>
      </c>
      <c r="H3649" s="39">
        <f t="shared" si="224"/>
        <v>349</v>
      </c>
      <c r="I3649" s="23" t="str">
        <f t="shared" si="225"/>
        <v>Delhi</v>
      </c>
      <c r="J3649" s="23">
        <f>COUNTIFS(pg_transaction_cleaned!$O:$O,A3649,pg_transaction_cleaned!$F:$F,"CAPTURE")</f>
        <v>1</v>
      </c>
      <c r="K3649" s="39">
        <f>SUMIFS(pg_transaction_cleaned!$H:$H,pg_transaction_cleaned!$O:$O,A3649,pg_transaction_cleaned!$F:$F,"CAPTURE")</f>
        <v>349</v>
      </c>
      <c r="L3649" s="23">
        <f>COUNTIFS(pg_transaction_cleaned!$O:$O,A3649,pg_transaction_cleaned!$F:$F,"REFUND")</f>
        <v>0</v>
      </c>
      <c r="M3649" s="39">
        <f>SUMIFS(pg_transaction_cleaned!$H:$H,pg_transaction_cleaned!$O:$O,A3649,pg_transaction_cleaned!$F:$F,"REFUND")</f>
        <v>0</v>
      </c>
      <c r="N3649" s="23" t="str">
        <f t="shared" si="226"/>
        <v>OK</v>
      </c>
      <c r="O3649" s="24">
        <f t="shared" si="227"/>
        <v>0</v>
      </c>
    </row>
    <row r="3650" spans="1:15" ht="15" customHeight="1" x14ac:dyDescent="0.3">
      <c r="A3650" s="23" t="s">
        <v>7790</v>
      </c>
      <c r="B3650" s="38">
        <v>46294</v>
      </c>
      <c r="C3650" s="23" t="s">
        <v>7791</v>
      </c>
      <c r="D3650" s="23" t="s">
        <v>91</v>
      </c>
      <c r="E3650" s="23" t="s">
        <v>77</v>
      </c>
      <c r="F3650" s="23" t="s">
        <v>2859</v>
      </c>
      <c r="G3650" s="23" t="s">
        <v>250</v>
      </c>
      <c r="H3650" s="39">
        <f t="shared" ref="H3650:H3713" si="228">VALUE(SUBSTITUTE(F3650,",",""))</f>
        <v>3147</v>
      </c>
      <c r="I3650" s="23" t="str">
        <f t="shared" ref="I3650:I3713" si="229">IF(TRIM(D3650)="","Unknown",TRIM(D3650))</f>
        <v>Pune</v>
      </c>
      <c r="J3650" s="23">
        <f>COUNTIFS(pg_transaction_cleaned!$O:$O,A3650,pg_transaction_cleaned!$F:$F,"CAPTURE")</f>
        <v>1</v>
      </c>
      <c r="K3650" s="39">
        <f>SUMIFS(pg_transaction_cleaned!$H:$H,pg_transaction_cleaned!$O:$O,A3650,pg_transaction_cleaned!$F:$F,"CAPTURE")</f>
        <v>3147</v>
      </c>
      <c r="L3650" s="23">
        <f>COUNTIFS(pg_transaction_cleaned!$O:$O,A3650,pg_transaction_cleaned!$F:$F,"REFUND")</f>
        <v>0</v>
      </c>
      <c r="M3650" s="39">
        <f>SUMIFS(pg_transaction_cleaned!$H:$H,pg_transaction_cleaned!$O:$O,A3650,pg_transaction_cleaned!$F:$F,"REFUND")</f>
        <v>0</v>
      </c>
      <c r="N3650" s="23" t="str">
        <f t="shared" ref="N3650:N3713" si="230">IF(AND(G3650="Paid",J3650=0),"Paid, no payment",IF(AND(OR(G3650="Failed",G3650="Cancelled"),J3650&gt;0),"Payment on failed/cancelled",IF(J3650&gt;1,"Duplicate charge",IF(AND(J3650=1,ROUND(K3650-H3650,2)&lt;&gt;0),"Amount difference",IF(AND(G3650="Refunded",L3650=0),"Refunded, no refund",IF(AND(G3650&lt;&gt;"Refunded",L3650&gt;0),"Refund, order not Refunded",IF(AND(L3650&gt;0,ROUND(M3650-H3650,2)&lt;&gt;0),"Refund amount differs","OK")))))))</f>
        <v>OK</v>
      </c>
      <c r="O3650" s="24">
        <f t="shared" ref="O3650:O3713" si="231">IF(N3650="OK",0,IF(N3650="Paid, no payment",H3650,IF(N3650="Payment on failed/cancelled",K3650,IF(OR(N3650="Duplicate charge",N3650="Amount difference"),K3650-H3650,IF(N3650="Refunded, no refund",H3650,M3650)))))</f>
        <v>0</v>
      </c>
    </row>
    <row r="3651" spans="1:15" ht="15" customHeight="1" x14ac:dyDescent="0.3">
      <c r="A3651" s="23" t="s">
        <v>7792</v>
      </c>
      <c r="B3651" s="38">
        <v>46281</v>
      </c>
      <c r="C3651" s="23" t="s">
        <v>7793</v>
      </c>
      <c r="D3651" s="23" t="s">
        <v>87</v>
      </c>
      <c r="E3651" s="23" t="s">
        <v>75</v>
      </c>
      <c r="F3651" s="23" t="s">
        <v>271</v>
      </c>
      <c r="G3651" s="23" t="s">
        <v>301</v>
      </c>
      <c r="H3651" s="39">
        <f t="shared" si="228"/>
        <v>2499</v>
      </c>
      <c r="I3651" s="23" t="str">
        <f t="shared" si="229"/>
        <v>Mumbai</v>
      </c>
      <c r="J3651" s="23">
        <f>COUNTIFS(pg_transaction_cleaned!$O:$O,A3651,pg_transaction_cleaned!$F:$F,"CAPTURE")</f>
        <v>1</v>
      </c>
      <c r="K3651" s="39">
        <f>SUMIFS(pg_transaction_cleaned!$H:$H,pg_transaction_cleaned!$O:$O,A3651,pg_transaction_cleaned!$F:$F,"CAPTURE")</f>
        <v>2499</v>
      </c>
      <c r="L3651" s="23">
        <f>COUNTIFS(pg_transaction_cleaned!$O:$O,A3651,pg_transaction_cleaned!$F:$F,"REFUND")</f>
        <v>1</v>
      </c>
      <c r="M3651" s="39">
        <f>SUMIFS(pg_transaction_cleaned!$H:$H,pg_transaction_cleaned!$O:$O,A3651,pg_transaction_cleaned!$F:$F,"REFUND")</f>
        <v>2499</v>
      </c>
      <c r="N3651" s="23" t="str">
        <f t="shared" si="230"/>
        <v>OK</v>
      </c>
      <c r="O3651" s="24">
        <f t="shared" si="231"/>
        <v>0</v>
      </c>
    </row>
    <row r="3652" spans="1:15" ht="15" customHeight="1" x14ac:dyDescent="0.3">
      <c r="A3652" s="23" t="s">
        <v>7794</v>
      </c>
      <c r="B3652" s="38">
        <v>46280</v>
      </c>
      <c r="C3652" s="23" t="s">
        <v>4317</v>
      </c>
      <c r="D3652" s="23" t="s">
        <v>89</v>
      </c>
      <c r="E3652" s="23" t="s">
        <v>79</v>
      </c>
      <c r="F3652" s="23" t="s">
        <v>329</v>
      </c>
      <c r="G3652" s="23" t="s">
        <v>250</v>
      </c>
      <c r="H3652" s="39">
        <f t="shared" si="228"/>
        <v>599</v>
      </c>
      <c r="I3652" s="23" t="str">
        <f t="shared" si="229"/>
        <v>Jaipur</v>
      </c>
      <c r="J3652" s="23">
        <f>COUNTIFS(pg_transaction_cleaned!$O:$O,A3652,pg_transaction_cleaned!$F:$F,"CAPTURE")</f>
        <v>1</v>
      </c>
      <c r="K3652" s="39">
        <f>SUMIFS(pg_transaction_cleaned!$H:$H,pg_transaction_cleaned!$O:$O,A3652,pg_transaction_cleaned!$F:$F,"CAPTURE")</f>
        <v>599</v>
      </c>
      <c r="L3652" s="23">
        <f>COUNTIFS(pg_transaction_cleaned!$O:$O,A3652,pg_transaction_cleaned!$F:$F,"REFUND")</f>
        <v>0</v>
      </c>
      <c r="M3652" s="39">
        <f>SUMIFS(pg_transaction_cleaned!$H:$H,pg_transaction_cleaned!$O:$O,A3652,pg_transaction_cleaned!$F:$F,"REFUND")</f>
        <v>0</v>
      </c>
      <c r="N3652" s="23" t="str">
        <f t="shared" si="230"/>
        <v>OK</v>
      </c>
      <c r="O3652" s="24">
        <f t="shared" si="231"/>
        <v>0</v>
      </c>
    </row>
    <row r="3653" spans="1:15" ht="15" customHeight="1" x14ac:dyDescent="0.3">
      <c r="A3653" s="23" t="s">
        <v>7795</v>
      </c>
      <c r="B3653" s="38">
        <v>46286</v>
      </c>
      <c r="C3653" s="23" t="s">
        <v>5348</v>
      </c>
      <c r="D3653" s="23" t="s">
        <v>88</v>
      </c>
      <c r="E3653" s="23" t="s">
        <v>75</v>
      </c>
      <c r="F3653" s="23" t="s">
        <v>315</v>
      </c>
      <c r="G3653" s="23" t="s">
        <v>250</v>
      </c>
      <c r="H3653" s="39">
        <f t="shared" si="228"/>
        <v>1499</v>
      </c>
      <c r="I3653" s="23" t="str">
        <f t="shared" si="229"/>
        <v>Lucknow</v>
      </c>
      <c r="J3653" s="23">
        <f>COUNTIFS(pg_transaction_cleaned!$O:$O,A3653,pg_transaction_cleaned!$F:$F,"CAPTURE")</f>
        <v>1</v>
      </c>
      <c r="K3653" s="39">
        <f>SUMIFS(pg_transaction_cleaned!$H:$H,pg_transaction_cleaned!$O:$O,A3653,pg_transaction_cleaned!$F:$F,"CAPTURE")</f>
        <v>1499</v>
      </c>
      <c r="L3653" s="23">
        <f>COUNTIFS(pg_transaction_cleaned!$O:$O,A3653,pg_transaction_cleaned!$F:$F,"REFUND")</f>
        <v>0</v>
      </c>
      <c r="M3653" s="39">
        <f>SUMIFS(pg_transaction_cleaned!$H:$H,pg_transaction_cleaned!$O:$O,A3653,pg_transaction_cleaned!$F:$F,"REFUND")</f>
        <v>0</v>
      </c>
      <c r="N3653" s="23" t="str">
        <f t="shared" si="230"/>
        <v>OK</v>
      </c>
      <c r="O3653" s="24">
        <f t="shared" si="231"/>
        <v>0</v>
      </c>
    </row>
    <row r="3654" spans="1:15" ht="15" customHeight="1" x14ac:dyDescent="0.3">
      <c r="A3654" s="23" t="s">
        <v>7796</v>
      </c>
      <c r="B3654" s="38">
        <v>46279</v>
      </c>
      <c r="C3654" s="23" t="s">
        <v>7797</v>
      </c>
      <c r="D3654" s="23" t="s">
        <v>89</v>
      </c>
      <c r="E3654" s="23" t="s">
        <v>75</v>
      </c>
      <c r="F3654" s="23" t="s">
        <v>1193</v>
      </c>
      <c r="G3654" s="23" t="s">
        <v>250</v>
      </c>
      <c r="H3654" s="39">
        <f t="shared" si="228"/>
        <v>3498</v>
      </c>
      <c r="I3654" s="23" t="str">
        <f t="shared" si="229"/>
        <v>Jaipur</v>
      </c>
      <c r="J3654" s="23">
        <f>COUNTIFS(pg_transaction_cleaned!$O:$O,A3654,pg_transaction_cleaned!$F:$F,"CAPTURE")</f>
        <v>1</v>
      </c>
      <c r="K3654" s="39">
        <f>SUMIFS(pg_transaction_cleaned!$H:$H,pg_transaction_cleaned!$O:$O,A3654,pg_transaction_cleaned!$F:$F,"CAPTURE")</f>
        <v>3498</v>
      </c>
      <c r="L3654" s="23">
        <f>COUNTIFS(pg_transaction_cleaned!$O:$O,A3654,pg_transaction_cleaned!$F:$F,"REFUND")</f>
        <v>0</v>
      </c>
      <c r="M3654" s="39">
        <f>SUMIFS(pg_transaction_cleaned!$H:$H,pg_transaction_cleaned!$O:$O,A3654,pg_transaction_cleaned!$F:$F,"REFUND")</f>
        <v>0</v>
      </c>
      <c r="N3654" s="23" t="str">
        <f t="shared" si="230"/>
        <v>OK</v>
      </c>
      <c r="O3654" s="24">
        <f t="shared" si="231"/>
        <v>0</v>
      </c>
    </row>
    <row r="3655" spans="1:15" ht="15" customHeight="1" x14ac:dyDescent="0.3">
      <c r="A3655" s="23" t="s">
        <v>7798</v>
      </c>
      <c r="B3655" s="38">
        <v>46276</v>
      </c>
      <c r="C3655" s="23" t="s">
        <v>7799</v>
      </c>
      <c r="D3655" s="23" t="s">
        <v>89</v>
      </c>
      <c r="E3655" s="23" t="s">
        <v>75</v>
      </c>
      <c r="F3655" s="23" t="s">
        <v>396</v>
      </c>
      <c r="G3655" s="23" t="s">
        <v>250</v>
      </c>
      <c r="H3655" s="39">
        <f t="shared" si="228"/>
        <v>2999</v>
      </c>
      <c r="I3655" s="23" t="str">
        <f t="shared" si="229"/>
        <v>Jaipur</v>
      </c>
      <c r="J3655" s="23">
        <f>COUNTIFS(pg_transaction_cleaned!$O:$O,A3655,pg_transaction_cleaned!$F:$F,"CAPTURE")</f>
        <v>1</v>
      </c>
      <c r="K3655" s="39">
        <f>SUMIFS(pg_transaction_cleaned!$H:$H,pg_transaction_cleaned!$O:$O,A3655,pg_transaction_cleaned!$F:$F,"CAPTURE")</f>
        <v>2999</v>
      </c>
      <c r="L3655" s="23">
        <f>COUNTIFS(pg_transaction_cleaned!$O:$O,A3655,pg_transaction_cleaned!$F:$F,"REFUND")</f>
        <v>0</v>
      </c>
      <c r="M3655" s="39">
        <f>SUMIFS(pg_transaction_cleaned!$H:$H,pg_transaction_cleaned!$O:$O,A3655,pg_transaction_cleaned!$F:$F,"REFUND")</f>
        <v>0</v>
      </c>
      <c r="N3655" s="23" t="str">
        <f t="shared" si="230"/>
        <v>OK</v>
      </c>
      <c r="O3655" s="24">
        <f t="shared" si="231"/>
        <v>0</v>
      </c>
    </row>
    <row r="3656" spans="1:15" ht="15" customHeight="1" x14ac:dyDescent="0.3">
      <c r="A3656" s="23" t="s">
        <v>7800</v>
      </c>
      <c r="B3656" s="38">
        <v>46287</v>
      </c>
      <c r="C3656" s="23" t="s">
        <v>7801</v>
      </c>
      <c r="D3656" s="23" t="s">
        <v>92</v>
      </c>
      <c r="E3656" s="23" t="s">
        <v>79</v>
      </c>
      <c r="F3656" s="23" t="s">
        <v>1193</v>
      </c>
      <c r="G3656" s="23" t="s">
        <v>250</v>
      </c>
      <c r="H3656" s="39">
        <f t="shared" si="228"/>
        <v>3498</v>
      </c>
      <c r="I3656" s="23" t="str">
        <f t="shared" si="229"/>
        <v>Hyderabad</v>
      </c>
      <c r="J3656" s="23">
        <f>COUNTIFS(pg_transaction_cleaned!$O:$O,A3656,pg_transaction_cleaned!$F:$F,"CAPTURE")</f>
        <v>1</v>
      </c>
      <c r="K3656" s="39">
        <f>SUMIFS(pg_transaction_cleaned!$H:$H,pg_transaction_cleaned!$O:$O,A3656,pg_transaction_cleaned!$F:$F,"CAPTURE")</f>
        <v>3498</v>
      </c>
      <c r="L3656" s="23">
        <f>COUNTIFS(pg_transaction_cleaned!$O:$O,A3656,pg_transaction_cleaned!$F:$F,"REFUND")</f>
        <v>0</v>
      </c>
      <c r="M3656" s="39">
        <f>SUMIFS(pg_transaction_cleaned!$H:$H,pg_transaction_cleaned!$O:$O,A3656,pg_transaction_cleaned!$F:$F,"REFUND")</f>
        <v>0</v>
      </c>
      <c r="N3656" s="23" t="str">
        <f t="shared" si="230"/>
        <v>OK</v>
      </c>
      <c r="O3656" s="24">
        <f t="shared" si="231"/>
        <v>0</v>
      </c>
    </row>
    <row r="3657" spans="1:15" ht="15" customHeight="1" x14ac:dyDescent="0.3">
      <c r="A3657" s="23" t="s">
        <v>7802</v>
      </c>
      <c r="B3657" s="38">
        <v>46268</v>
      </c>
      <c r="C3657" s="23" t="s">
        <v>7803</v>
      </c>
      <c r="D3657" s="23" t="s">
        <v>91</v>
      </c>
      <c r="E3657" s="23" t="s">
        <v>75</v>
      </c>
      <c r="F3657" s="23" t="s">
        <v>268</v>
      </c>
      <c r="G3657" s="23" t="s">
        <v>250</v>
      </c>
      <c r="H3657" s="39">
        <f t="shared" si="228"/>
        <v>1299</v>
      </c>
      <c r="I3657" s="23" t="str">
        <f t="shared" si="229"/>
        <v>Pune</v>
      </c>
      <c r="J3657" s="23">
        <f>COUNTIFS(pg_transaction_cleaned!$O:$O,A3657,pg_transaction_cleaned!$F:$F,"CAPTURE")</f>
        <v>1</v>
      </c>
      <c r="K3657" s="39">
        <f>SUMIFS(pg_transaction_cleaned!$H:$H,pg_transaction_cleaned!$O:$O,A3657,pg_transaction_cleaned!$F:$F,"CAPTURE")</f>
        <v>1299</v>
      </c>
      <c r="L3657" s="23">
        <f>COUNTIFS(pg_transaction_cleaned!$O:$O,A3657,pg_transaction_cleaned!$F:$F,"REFUND")</f>
        <v>0</v>
      </c>
      <c r="M3657" s="39">
        <f>SUMIFS(pg_transaction_cleaned!$H:$H,pg_transaction_cleaned!$O:$O,A3657,pg_transaction_cleaned!$F:$F,"REFUND")</f>
        <v>0</v>
      </c>
      <c r="N3657" s="23" t="str">
        <f t="shared" si="230"/>
        <v>OK</v>
      </c>
      <c r="O3657" s="24">
        <f t="shared" si="231"/>
        <v>0</v>
      </c>
    </row>
    <row r="3658" spans="1:15" ht="15" customHeight="1" x14ac:dyDescent="0.3">
      <c r="A3658" s="23" t="s">
        <v>7804</v>
      </c>
      <c r="B3658" s="38">
        <v>46289</v>
      </c>
      <c r="C3658" s="23" t="s">
        <v>7805</v>
      </c>
      <c r="D3658" s="23" t="s">
        <v>93</v>
      </c>
      <c r="E3658" s="23" t="s">
        <v>79</v>
      </c>
      <c r="F3658" s="23" t="s">
        <v>405</v>
      </c>
      <c r="G3658" s="23" t="s">
        <v>250</v>
      </c>
      <c r="H3658" s="39">
        <f t="shared" si="228"/>
        <v>9298</v>
      </c>
      <c r="I3658" s="23" t="str">
        <f t="shared" si="229"/>
        <v>Kolkata</v>
      </c>
      <c r="J3658" s="23">
        <f>COUNTIFS(pg_transaction_cleaned!$O:$O,A3658,pg_transaction_cleaned!$F:$F,"CAPTURE")</f>
        <v>1</v>
      </c>
      <c r="K3658" s="39">
        <f>SUMIFS(pg_transaction_cleaned!$H:$H,pg_transaction_cleaned!$O:$O,A3658,pg_transaction_cleaned!$F:$F,"CAPTURE")</f>
        <v>9298</v>
      </c>
      <c r="L3658" s="23">
        <f>COUNTIFS(pg_transaction_cleaned!$O:$O,A3658,pg_transaction_cleaned!$F:$F,"REFUND")</f>
        <v>0</v>
      </c>
      <c r="M3658" s="39">
        <f>SUMIFS(pg_transaction_cleaned!$H:$H,pg_transaction_cleaned!$O:$O,A3658,pg_transaction_cleaned!$F:$F,"REFUND")</f>
        <v>0</v>
      </c>
      <c r="N3658" s="23" t="str">
        <f t="shared" si="230"/>
        <v>OK</v>
      </c>
      <c r="O3658" s="24">
        <f t="shared" si="231"/>
        <v>0</v>
      </c>
    </row>
    <row r="3659" spans="1:15" ht="15" customHeight="1" x14ac:dyDescent="0.3">
      <c r="A3659" s="23" t="s">
        <v>7806</v>
      </c>
      <c r="B3659" s="38">
        <v>46270</v>
      </c>
      <c r="C3659" s="23" t="s">
        <v>7807</v>
      </c>
      <c r="D3659" s="23" t="s">
        <v>95</v>
      </c>
      <c r="E3659" s="23" t="s">
        <v>75</v>
      </c>
      <c r="F3659" s="23" t="s">
        <v>294</v>
      </c>
      <c r="G3659" s="23" t="s">
        <v>250</v>
      </c>
      <c r="H3659" s="39">
        <f t="shared" si="228"/>
        <v>1799</v>
      </c>
      <c r="I3659" s="23" t="str">
        <f t="shared" si="229"/>
        <v>Bengaluru</v>
      </c>
      <c r="J3659" s="23">
        <f>COUNTIFS(pg_transaction_cleaned!$O:$O,A3659,pg_transaction_cleaned!$F:$F,"CAPTURE")</f>
        <v>1</v>
      </c>
      <c r="K3659" s="39">
        <f>SUMIFS(pg_transaction_cleaned!$H:$H,pg_transaction_cleaned!$O:$O,A3659,pg_transaction_cleaned!$F:$F,"CAPTURE")</f>
        <v>1799</v>
      </c>
      <c r="L3659" s="23">
        <f>COUNTIFS(pg_transaction_cleaned!$O:$O,A3659,pg_transaction_cleaned!$F:$F,"REFUND")</f>
        <v>0</v>
      </c>
      <c r="M3659" s="39">
        <f>SUMIFS(pg_transaction_cleaned!$H:$H,pg_transaction_cleaned!$O:$O,A3659,pg_transaction_cleaned!$F:$F,"REFUND")</f>
        <v>0</v>
      </c>
      <c r="N3659" s="23" t="str">
        <f t="shared" si="230"/>
        <v>OK</v>
      </c>
      <c r="O3659" s="24">
        <f t="shared" si="231"/>
        <v>0</v>
      </c>
    </row>
    <row r="3660" spans="1:15" ht="15" customHeight="1" x14ac:dyDescent="0.3">
      <c r="A3660" s="23" t="s">
        <v>7808</v>
      </c>
      <c r="B3660" s="38">
        <v>46285</v>
      </c>
      <c r="C3660" s="23" t="s">
        <v>7809</v>
      </c>
      <c r="D3660" s="23" t="s">
        <v>93</v>
      </c>
      <c r="E3660" s="23" t="s">
        <v>79</v>
      </c>
      <c r="F3660" s="23" t="s">
        <v>315</v>
      </c>
      <c r="G3660" s="23" t="s">
        <v>250</v>
      </c>
      <c r="H3660" s="39">
        <f t="shared" si="228"/>
        <v>1499</v>
      </c>
      <c r="I3660" s="23" t="str">
        <f t="shared" si="229"/>
        <v>Kolkata</v>
      </c>
      <c r="J3660" s="23">
        <f>COUNTIFS(pg_transaction_cleaned!$O:$O,A3660,pg_transaction_cleaned!$F:$F,"CAPTURE")</f>
        <v>1</v>
      </c>
      <c r="K3660" s="39">
        <f>SUMIFS(pg_transaction_cleaned!$H:$H,pg_transaction_cleaned!$O:$O,A3660,pg_transaction_cleaned!$F:$F,"CAPTURE")</f>
        <v>1499</v>
      </c>
      <c r="L3660" s="23">
        <f>COUNTIFS(pg_transaction_cleaned!$O:$O,A3660,pg_transaction_cleaned!$F:$F,"REFUND")</f>
        <v>0</v>
      </c>
      <c r="M3660" s="39">
        <f>SUMIFS(pg_transaction_cleaned!$H:$H,pg_transaction_cleaned!$O:$O,A3660,pg_transaction_cleaned!$F:$F,"REFUND")</f>
        <v>0</v>
      </c>
      <c r="N3660" s="23" t="str">
        <f t="shared" si="230"/>
        <v>OK</v>
      </c>
      <c r="O3660" s="24">
        <f t="shared" si="231"/>
        <v>0</v>
      </c>
    </row>
    <row r="3661" spans="1:15" ht="15" customHeight="1" x14ac:dyDescent="0.3">
      <c r="A3661" s="23" t="s">
        <v>7810</v>
      </c>
      <c r="B3661" s="38">
        <v>46272</v>
      </c>
      <c r="C3661" s="23" t="s">
        <v>7811</v>
      </c>
      <c r="D3661" s="23" t="s">
        <v>86</v>
      </c>
      <c r="E3661" s="23" t="s">
        <v>81</v>
      </c>
      <c r="F3661" s="23" t="s">
        <v>652</v>
      </c>
      <c r="G3661" s="23" t="s">
        <v>250</v>
      </c>
      <c r="H3661" s="39">
        <f t="shared" si="228"/>
        <v>2397</v>
      </c>
      <c r="I3661" s="23" t="str">
        <f t="shared" si="229"/>
        <v>Delhi</v>
      </c>
      <c r="J3661" s="23">
        <f>COUNTIFS(pg_transaction_cleaned!$O:$O,A3661,pg_transaction_cleaned!$F:$F,"CAPTURE")</f>
        <v>1</v>
      </c>
      <c r="K3661" s="39">
        <f>SUMIFS(pg_transaction_cleaned!$H:$H,pg_transaction_cleaned!$O:$O,A3661,pg_transaction_cleaned!$F:$F,"CAPTURE")</f>
        <v>2397</v>
      </c>
      <c r="L3661" s="23">
        <f>COUNTIFS(pg_transaction_cleaned!$O:$O,A3661,pg_transaction_cleaned!$F:$F,"REFUND")</f>
        <v>0</v>
      </c>
      <c r="M3661" s="39">
        <f>SUMIFS(pg_transaction_cleaned!$H:$H,pg_transaction_cleaned!$O:$O,A3661,pg_transaction_cleaned!$F:$F,"REFUND")</f>
        <v>0</v>
      </c>
      <c r="N3661" s="23" t="str">
        <f t="shared" si="230"/>
        <v>OK</v>
      </c>
      <c r="O3661" s="24">
        <f t="shared" si="231"/>
        <v>0</v>
      </c>
    </row>
    <row r="3662" spans="1:15" ht="15" customHeight="1" x14ac:dyDescent="0.3">
      <c r="A3662" s="23" t="s">
        <v>7812</v>
      </c>
      <c r="B3662" s="38">
        <v>46286</v>
      </c>
      <c r="C3662" s="23" t="s">
        <v>7813</v>
      </c>
      <c r="D3662" s="23" t="s">
        <v>87</v>
      </c>
      <c r="E3662" s="23" t="s">
        <v>79</v>
      </c>
      <c r="F3662" s="23" t="s">
        <v>265</v>
      </c>
      <c r="G3662" s="23" t="s">
        <v>301</v>
      </c>
      <c r="H3662" s="39">
        <f t="shared" si="228"/>
        <v>999</v>
      </c>
      <c r="I3662" s="23" t="str">
        <f t="shared" si="229"/>
        <v>Mumbai</v>
      </c>
      <c r="J3662" s="23">
        <f>COUNTIFS(pg_transaction_cleaned!$O:$O,A3662,pg_transaction_cleaned!$F:$F,"CAPTURE")</f>
        <v>1</v>
      </c>
      <c r="K3662" s="39">
        <f>SUMIFS(pg_transaction_cleaned!$H:$H,pg_transaction_cleaned!$O:$O,A3662,pg_transaction_cleaned!$F:$F,"CAPTURE")</f>
        <v>999</v>
      </c>
      <c r="L3662" s="23">
        <f>COUNTIFS(pg_transaction_cleaned!$O:$O,A3662,pg_transaction_cleaned!$F:$F,"REFUND")</f>
        <v>1</v>
      </c>
      <c r="M3662" s="39">
        <f>SUMIFS(pg_transaction_cleaned!$H:$H,pg_transaction_cleaned!$O:$O,A3662,pg_transaction_cleaned!$F:$F,"REFUND")</f>
        <v>999</v>
      </c>
      <c r="N3662" s="23" t="str">
        <f t="shared" si="230"/>
        <v>OK</v>
      </c>
      <c r="O3662" s="24">
        <f t="shared" si="231"/>
        <v>0</v>
      </c>
    </row>
    <row r="3663" spans="1:15" ht="15" customHeight="1" x14ac:dyDescent="0.3">
      <c r="A3663" s="23" t="s">
        <v>7814</v>
      </c>
      <c r="B3663" s="38">
        <v>46268</v>
      </c>
      <c r="C3663" s="23" t="s">
        <v>7815</v>
      </c>
      <c r="D3663" s="23" t="s">
        <v>86</v>
      </c>
      <c r="E3663" s="23" t="s">
        <v>75</v>
      </c>
      <c r="F3663" s="23" t="s">
        <v>763</v>
      </c>
      <c r="G3663" s="23" t="s">
        <v>250</v>
      </c>
      <c r="H3663" s="39">
        <f t="shared" si="228"/>
        <v>299</v>
      </c>
      <c r="I3663" s="23" t="str">
        <f t="shared" si="229"/>
        <v>Delhi</v>
      </c>
      <c r="J3663" s="23">
        <f>COUNTIFS(pg_transaction_cleaned!$O:$O,A3663,pg_transaction_cleaned!$F:$F,"CAPTURE")</f>
        <v>1</v>
      </c>
      <c r="K3663" s="39">
        <f>SUMIFS(pg_transaction_cleaned!$H:$H,pg_transaction_cleaned!$O:$O,A3663,pg_transaction_cleaned!$F:$F,"CAPTURE")</f>
        <v>299</v>
      </c>
      <c r="L3663" s="23">
        <f>COUNTIFS(pg_transaction_cleaned!$O:$O,A3663,pg_transaction_cleaned!$F:$F,"REFUND")</f>
        <v>0</v>
      </c>
      <c r="M3663" s="39">
        <f>SUMIFS(pg_transaction_cleaned!$H:$H,pg_transaction_cleaned!$O:$O,A3663,pg_transaction_cleaned!$F:$F,"REFUND")</f>
        <v>0</v>
      </c>
      <c r="N3663" s="23" t="str">
        <f t="shared" si="230"/>
        <v>OK</v>
      </c>
      <c r="O3663" s="24">
        <f t="shared" si="231"/>
        <v>0</v>
      </c>
    </row>
    <row r="3664" spans="1:15" ht="15" customHeight="1" x14ac:dyDescent="0.3">
      <c r="A3664" s="23" t="s">
        <v>7816</v>
      </c>
      <c r="B3664" s="38">
        <v>46275</v>
      </c>
      <c r="C3664" s="23" t="s">
        <v>7817</v>
      </c>
      <c r="D3664" s="23" t="s">
        <v>87</v>
      </c>
      <c r="E3664" s="23" t="s">
        <v>75</v>
      </c>
      <c r="F3664" s="23" t="s">
        <v>396</v>
      </c>
      <c r="G3664" s="23" t="s">
        <v>250</v>
      </c>
      <c r="H3664" s="39">
        <f t="shared" si="228"/>
        <v>2999</v>
      </c>
      <c r="I3664" s="23" t="str">
        <f t="shared" si="229"/>
        <v>Mumbai</v>
      </c>
      <c r="J3664" s="23">
        <f>COUNTIFS(pg_transaction_cleaned!$O:$O,A3664,pg_transaction_cleaned!$F:$F,"CAPTURE")</f>
        <v>1</v>
      </c>
      <c r="K3664" s="39">
        <f>SUMIFS(pg_transaction_cleaned!$H:$H,pg_transaction_cleaned!$O:$O,A3664,pg_transaction_cleaned!$F:$F,"CAPTURE")</f>
        <v>2999</v>
      </c>
      <c r="L3664" s="23">
        <f>COUNTIFS(pg_transaction_cleaned!$O:$O,A3664,pg_transaction_cleaned!$F:$F,"REFUND")</f>
        <v>0</v>
      </c>
      <c r="M3664" s="39">
        <f>SUMIFS(pg_transaction_cleaned!$H:$H,pg_transaction_cleaned!$O:$O,A3664,pg_transaction_cleaned!$F:$F,"REFUND")</f>
        <v>0</v>
      </c>
      <c r="N3664" s="23" t="str">
        <f t="shared" si="230"/>
        <v>OK</v>
      </c>
      <c r="O3664" s="24">
        <f t="shared" si="231"/>
        <v>0</v>
      </c>
    </row>
    <row r="3665" spans="1:15" ht="15" customHeight="1" x14ac:dyDescent="0.3">
      <c r="A3665" s="23" t="s">
        <v>7818</v>
      </c>
      <c r="B3665" s="38">
        <v>46284</v>
      </c>
      <c r="C3665" s="23" t="s">
        <v>7819</v>
      </c>
      <c r="D3665" s="23"/>
      <c r="E3665" s="23" t="s">
        <v>75</v>
      </c>
      <c r="F3665" s="23" t="s">
        <v>262</v>
      </c>
      <c r="G3665" s="23" t="s">
        <v>318</v>
      </c>
      <c r="H3665" s="39">
        <f t="shared" si="228"/>
        <v>499</v>
      </c>
      <c r="I3665" s="23" t="str">
        <f t="shared" si="229"/>
        <v>Unknown</v>
      </c>
      <c r="J3665" s="23">
        <f>COUNTIFS(pg_transaction_cleaned!$O:$O,A3665,pg_transaction_cleaned!$F:$F,"CAPTURE")</f>
        <v>0</v>
      </c>
      <c r="K3665" s="39">
        <f>SUMIFS(pg_transaction_cleaned!$H:$H,pg_transaction_cleaned!$O:$O,A3665,pg_transaction_cleaned!$F:$F,"CAPTURE")</f>
        <v>0</v>
      </c>
      <c r="L3665" s="23">
        <f>COUNTIFS(pg_transaction_cleaned!$O:$O,A3665,pg_transaction_cleaned!$F:$F,"REFUND")</f>
        <v>0</v>
      </c>
      <c r="M3665" s="39">
        <f>SUMIFS(pg_transaction_cleaned!$H:$H,pg_transaction_cleaned!$O:$O,A3665,pg_transaction_cleaned!$F:$F,"REFUND")</f>
        <v>0</v>
      </c>
      <c r="N3665" s="23" t="str">
        <f t="shared" si="230"/>
        <v>OK</v>
      </c>
      <c r="O3665" s="24">
        <f t="shared" si="231"/>
        <v>0</v>
      </c>
    </row>
    <row r="3666" spans="1:15" ht="15" customHeight="1" x14ac:dyDescent="0.3">
      <c r="A3666" s="23" t="s">
        <v>7820</v>
      </c>
      <c r="B3666" s="38">
        <v>46271</v>
      </c>
      <c r="C3666" s="23" t="s">
        <v>7821</v>
      </c>
      <c r="D3666" s="23" t="s">
        <v>95</v>
      </c>
      <c r="E3666" s="23" t="s">
        <v>81</v>
      </c>
      <c r="F3666" s="23" t="s">
        <v>259</v>
      </c>
      <c r="G3666" s="23" t="s">
        <v>250</v>
      </c>
      <c r="H3666" s="39">
        <f t="shared" si="228"/>
        <v>3298</v>
      </c>
      <c r="I3666" s="23" t="str">
        <f t="shared" si="229"/>
        <v>Bengaluru</v>
      </c>
      <c r="J3666" s="23">
        <f>COUNTIFS(pg_transaction_cleaned!$O:$O,A3666,pg_transaction_cleaned!$F:$F,"CAPTURE")</f>
        <v>1</v>
      </c>
      <c r="K3666" s="39">
        <f>SUMIFS(pg_transaction_cleaned!$H:$H,pg_transaction_cleaned!$O:$O,A3666,pg_transaction_cleaned!$F:$F,"CAPTURE")</f>
        <v>3298</v>
      </c>
      <c r="L3666" s="23">
        <f>COUNTIFS(pg_transaction_cleaned!$O:$O,A3666,pg_transaction_cleaned!$F:$F,"REFUND")</f>
        <v>0</v>
      </c>
      <c r="M3666" s="39">
        <f>SUMIFS(pg_transaction_cleaned!$H:$H,pg_transaction_cleaned!$O:$O,A3666,pg_transaction_cleaned!$F:$F,"REFUND")</f>
        <v>0</v>
      </c>
      <c r="N3666" s="23" t="str">
        <f t="shared" si="230"/>
        <v>OK</v>
      </c>
      <c r="O3666" s="24">
        <f t="shared" si="231"/>
        <v>0</v>
      </c>
    </row>
    <row r="3667" spans="1:15" ht="15" customHeight="1" x14ac:dyDescent="0.3">
      <c r="A3667" s="23" t="s">
        <v>7822</v>
      </c>
      <c r="B3667" s="38">
        <v>46285</v>
      </c>
      <c r="C3667" s="23" t="s">
        <v>7823</v>
      </c>
      <c r="D3667" s="23" t="s">
        <v>95</v>
      </c>
      <c r="E3667" s="23" t="s">
        <v>75</v>
      </c>
      <c r="F3667" s="23" t="s">
        <v>2160</v>
      </c>
      <c r="G3667" s="23" t="s">
        <v>250</v>
      </c>
      <c r="H3667" s="39">
        <f t="shared" si="228"/>
        <v>7998</v>
      </c>
      <c r="I3667" s="23" t="str">
        <f t="shared" si="229"/>
        <v>Bengaluru</v>
      </c>
      <c r="J3667" s="23">
        <f>COUNTIFS(pg_transaction_cleaned!$O:$O,A3667,pg_transaction_cleaned!$F:$F,"CAPTURE")</f>
        <v>1</v>
      </c>
      <c r="K3667" s="39">
        <f>SUMIFS(pg_transaction_cleaned!$H:$H,pg_transaction_cleaned!$O:$O,A3667,pg_transaction_cleaned!$F:$F,"CAPTURE")</f>
        <v>7998</v>
      </c>
      <c r="L3667" s="23">
        <f>COUNTIFS(pg_transaction_cleaned!$O:$O,A3667,pg_transaction_cleaned!$F:$F,"REFUND")</f>
        <v>0</v>
      </c>
      <c r="M3667" s="39">
        <f>SUMIFS(pg_transaction_cleaned!$H:$H,pg_transaction_cleaned!$O:$O,A3667,pg_transaction_cleaned!$F:$F,"REFUND")</f>
        <v>0</v>
      </c>
      <c r="N3667" s="23" t="str">
        <f t="shared" si="230"/>
        <v>OK</v>
      </c>
      <c r="O3667" s="24">
        <f t="shared" si="231"/>
        <v>0</v>
      </c>
    </row>
    <row r="3668" spans="1:15" ht="15" customHeight="1" x14ac:dyDescent="0.3">
      <c r="A3668" s="23" t="s">
        <v>7824</v>
      </c>
      <c r="B3668" s="38">
        <v>46278</v>
      </c>
      <c r="C3668" s="23" t="s">
        <v>7825</v>
      </c>
      <c r="D3668" s="23" t="s">
        <v>87</v>
      </c>
      <c r="E3668" s="23" t="s">
        <v>77</v>
      </c>
      <c r="F3668" s="23" t="s">
        <v>262</v>
      </c>
      <c r="G3668" s="23" t="s">
        <v>250</v>
      </c>
      <c r="H3668" s="39">
        <f t="shared" si="228"/>
        <v>499</v>
      </c>
      <c r="I3668" s="23" t="str">
        <f t="shared" si="229"/>
        <v>Mumbai</v>
      </c>
      <c r="J3668" s="23">
        <f>COUNTIFS(pg_transaction_cleaned!$O:$O,A3668,pg_transaction_cleaned!$F:$F,"CAPTURE")</f>
        <v>1</v>
      </c>
      <c r="K3668" s="39">
        <f>SUMIFS(pg_transaction_cleaned!$H:$H,pg_transaction_cleaned!$O:$O,A3668,pg_transaction_cleaned!$F:$F,"CAPTURE")</f>
        <v>499</v>
      </c>
      <c r="L3668" s="23">
        <f>COUNTIFS(pg_transaction_cleaned!$O:$O,A3668,pg_transaction_cleaned!$F:$F,"REFUND")</f>
        <v>0</v>
      </c>
      <c r="M3668" s="39">
        <f>SUMIFS(pg_transaction_cleaned!$H:$H,pg_transaction_cleaned!$O:$O,A3668,pg_transaction_cleaned!$F:$F,"REFUND")</f>
        <v>0</v>
      </c>
      <c r="N3668" s="23" t="str">
        <f t="shared" si="230"/>
        <v>OK</v>
      </c>
      <c r="O3668" s="24">
        <f t="shared" si="231"/>
        <v>0</v>
      </c>
    </row>
    <row r="3669" spans="1:15" ht="15" customHeight="1" x14ac:dyDescent="0.3">
      <c r="A3669" s="23" t="s">
        <v>7826</v>
      </c>
      <c r="B3669" s="38">
        <v>46277</v>
      </c>
      <c r="C3669" s="23" t="s">
        <v>7827</v>
      </c>
      <c r="D3669" s="23" t="s">
        <v>91</v>
      </c>
      <c r="E3669" s="23" t="s">
        <v>75</v>
      </c>
      <c r="F3669" s="23" t="s">
        <v>390</v>
      </c>
      <c r="G3669" s="23" t="s">
        <v>250</v>
      </c>
      <c r="H3669" s="39">
        <f t="shared" si="228"/>
        <v>599</v>
      </c>
      <c r="I3669" s="23" t="str">
        <f t="shared" si="229"/>
        <v>Pune</v>
      </c>
      <c r="J3669" s="23">
        <f>COUNTIFS(pg_transaction_cleaned!$O:$O,A3669,pg_transaction_cleaned!$F:$F,"CAPTURE")</f>
        <v>1</v>
      </c>
      <c r="K3669" s="39">
        <f>SUMIFS(pg_transaction_cleaned!$H:$H,pg_transaction_cleaned!$O:$O,A3669,pg_transaction_cleaned!$F:$F,"CAPTURE")</f>
        <v>599</v>
      </c>
      <c r="L3669" s="23">
        <f>COUNTIFS(pg_transaction_cleaned!$O:$O,A3669,pg_transaction_cleaned!$F:$F,"REFUND")</f>
        <v>0</v>
      </c>
      <c r="M3669" s="39">
        <f>SUMIFS(pg_transaction_cleaned!$H:$H,pg_transaction_cleaned!$O:$O,A3669,pg_transaction_cleaned!$F:$F,"REFUND")</f>
        <v>0</v>
      </c>
      <c r="N3669" s="23" t="str">
        <f t="shared" si="230"/>
        <v>OK</v>
      </c>
      <c r="O3669" s="24">
        <f t="shared" si="231"/>
        <v>0</v>
      </c>
    </row>
    <row r="3670" spans="1:15" ht="15" customHeight="1" x14ac:dyDescent="0.3">
      <c r="A3670" s="23" t="s">
        <v>7828</v>
      </c>
      <c r="B3670" s="38">
        <v>46288</v>
      </c>
      <c r="C3670" s="23" t="s">
        <v>7829</v>
      </c>
      <c r="D3670" s="23" t="s">
        <v>87</v>
      </c>
      <c r="E3670" s="23" t="s">
        <v>79</v>
      </c>
      <c r="F3670" s="23" t="s">
        <v>343</v>
      </c>
      <c r="G3670" s="23" t="s">
        <v>250</v>
      </c>
      <c r="H3670" s="39">
        <f t="shared" si="228"/>
        <v>9498</v>
      </c>
      <c r="I3670" s="23" t="str">
        <f t="shared" si="229"/>
        <v>Mumbai</v>
      </c>
      <c r="J3670" s="23">
        <f>COUNTIFS(pg_transaction_cleaned!$O:$O,A3670,pg_transaction_cleaned!$F:$F,"CAPTURE")</f>
        <v>1</v>
      </c>
      <c r="K3670" s="39">
        <f>SUMIFS(pg_transaction_cleaned!$H:$H,pg_transaction_cleaned!$O:$O,A3670,pg_transaction_cleaned!$F:$F,"CAPTURE")</f>
        <v>9498</v>
      </c>
      <c r="L3670" s="23">
        <f>COUNTIFS(pg_transaction_cleaned!$O:$O,A3670,pg_transaction_cleaned!$F:$F,"REFUND")</f>
        <v>0</v>
      </c>
      <c r="M3670" s="39">
        <f>SUMIFS(pg_transaction_cleaned!$H:$H,pg_transaction_cleaned!$O:$O,A3670,pg_transaction_cleaned!$F:$F,"REFUND")</f>
        <v>0</v>
      </c>
      <c r="N3670" s="23" t="str">
        <f t="shared" si="230"/>
        <v>OK</v>
      </c>
      <c r="O3670" s="24">
        <f t="shared" si="231"/>
        <v>0</v>
      </c>
    </row>
    <row r="3671" spans="1:15" ht="15" customHeight="1" x14ac:dyDescent="0.3">
      <c r="A3671" s="23" t="s">
        <v>7830</v>
      </c>
      <c r="B3671" s="38">
        <v>46273</v>
      </c>
      <c r="C3671" s="23" t="s">
        <v>7831</v>
      </c>
      <c r="D3671" s="23" t="s">
        <v>89</v>
      </c>
      <c r="E3671" s="23" t="s">
        <v>81</v>
      </c>
      <c r="F3671" s="23" t="s">
        <v>827</v>
      </c>
      <c r="G3671" s="23" t="s">
        <v>250</v>
      </c>
      <c r="H3671" s="39">
        <f t="shared" si="228"/>
        <v>11498</v>
      </c>
      <c r="I3671" s="23" t="str">
        <f t="shared" si="229"/>
        <v>Jaipur</v>
      </c>
      <c r="J3671" s="23">
        <f>COUNTIFS(pg_transaction_cleaned!$O:$O,A3671,pg_transaction_cleaned!$F:$F,"CAPTURE")</f>
        <v>1</v>
      </c>
      <c r="K3671" s="39">
        <f>SUMIFS(pg_transaction_cleaned!$H:$H,pg_transaction_cleaned!$O:$O,A3671,pg_transaction_cleaned!$F:$F,"CAPTURE")</f>
        <v>11498</v>
      </c>
      <c r="L3671" s="23">
        <f>COUNTIFS(pg_transaction_cleaned!$O:$O,A3671,pg_transaction_cleaned!$F:$F,"REFUND")</f>
        <v>0</v>
      </c>
      <c r="M3671" s="39">
        <f>SUMIFS(pg_transaction_cleaned!$H:$H,pg_transaction_cleaned!$O:$O,A3671,pg_transaction_cleaned!$F:$F,"REFUND")</f>
        <v>0</v>
      </c>
      <c r="N3671" s="23" t="str">
        <f t="shared" si="230"/>
        <v>OK</v>
      </c>
      <c r="O3671" s="24">
        <f t="shared" si="231"/>
        <v>0</v>
      </c>
    </row>
    <row r="3672" spans="1:15" ht="15" customHeight="1" x14ac:dyDescent="0.3">
      <c r="A3672" s="23" t="s">
        <v>7832</v>
      </c>
      <c r="B3672" s="38">
        <v>46270</v>
      </c>
      <c r="C3672" s="23" t="s">
        <v>7833</v>
      </c>
      <c r="D3672" s="23" t="s">
        <v>95</v>
      </c>
      <c r="E3672" s="23" t="s">
        <v>79</v>
      </c>
      <c r="F3672" s="23" t="s">
        <v>265</v>
      </c>
      <c r="G3672" s="23" t="s">
        <v>250</v>
      </c>
      <c r="H3672" s="39">
        <f t="shared" si="228"/>
        <v>999</v>
      </c>
      <c r="I3672" s="23" t="str">
        <f t="shared" si="229"/>
        <v>Bengaluru</v>
      </c>
      <c r="J3672" s="23">
        <f>COUNTIFS(pg_transaction_cleaned!$O:$O,A3672,pg_transaction_cleaned!$F:$F,"CAPTURE")</f>
        <v>1</v>
      </c>
      <c r="K3672" s="39">
        <f>SUMIFS(pg_transaction_cleaned!$H:$H,pg_transaction_cleaned!$O:$O,A3672,pg_transaction_cleaned!$F:$F,"CAPTURE")</f>
        <v>999</v>
      </c>
      <c r="L3672" s="23">
        <f>COUNTIFS(pg_transaction_cleaned!$O:$O,A3672,pg_transaction_cleaned!$F:$F,"REFUND")</f>
        <v>0</v>
      </c>
      <c r="M3672" s="39">
        <f>SUMIFS(pg_transaction_cleaned!$H:$H,pg_transaction_cleaned!$O:$O,A3672,pg_transaction_cleaned!$F:$F,"REFUND")</f>
        <v>0</v>
      </c>
      <c r="N3672" s="23" t="str">
        <f t="shared" si="230"/>
        <v>OK</v>
      </c>
      <c r="O3672" s="24">
        <f t="shared" si="231"/>
        <v>0</v>
      </c>
    </row>
    <row r="3673" spans="1:15" ht="15" customHeight="1" x14ac:dyDescent="0.3">
      <c r="A3673" s="23" t="s">
        <v>7834</v>
      </c>
      <c r="B3673" s="38">
        <v>46282</v>
      </c>
      <c r="C3673" s="23" t="s">
        <v>7316</v>
      </c>
      <c r="D3673" s="23" t="s">
        <v>95</v>
      </c>
      <c r="E3673" s="23" t="s">
        <v>75</v>
      </c>
      <c r="F3673" s="23" t="s">
        <v>475</v>
      </c>
      <c r="G3673" s="23" t="s">
        <v>318</v>
      </c>
      <c r="H3673" s="39">
        <f t="shared" si="228"/>
        <v>799</v>
      </c>
      <c r="I3673" s="23" t="str">
        <f t="shared" si="229"/>
        <v>Bengaluru</v>
      </c>
      <c r="J3673" s="23">
        <f>COUNTIFS(pg_transaction_cleaned!$O:$O,A3673,pg_transaction_cleaned!$F:$F,"CAPTURE")</f>
        <v>0</v>
      </c>
      <c r="K3673" s="39">
        <f>SUMIFS(pg_transaction_cleaned!$H:$H,pg_transaction_cleaned!$O:$O,A3673,pg_transaction_cleaned!$F:$F,"CAPTURE")</f>
        <v>0</v>
      </c>
      <c r="L3673" s="23">
        <f>COUNTIFS(pg_transaction_cleaned!$O:$O,A3673,pg_transaction_cleaned!$F:$F,"REFUND")</f>
        <v>0</v>
      </c>
      <c r="M3673" s="39">
        <f>SUMIFS(pg_transaction_cleaned!$H:$H,pg_transaction_cleaned!$O:$O,A3673,pg_transaction_cleaned!$F:$F,"REFUND")</f>
        <v>0</v>
      </c>
      <c r="N3673" s="23" t="str">
        <f t="shared" si="230"/>
        <v>OK</v>
      </c>
      <c r="O3673" s="24">
        <f t="shared" si="231"/>
        <v>0</v>
      </c>
    </row>
    <row r="3674" spans="1:15" ht="15" customHeight="1" x14ac:dyDescent="0.3">
      <c r="A3674" s="23" t="s">
        <v>7835</v>
      </c>
      <c r="B3674" s="38">
        <v>46270</v>
      </c>
      <c r="C3674" s="23" t="s">
        <v>7836</v>
      </c>
      <c r="D3674" s="23" t="s">
        <v>88</v>
      </c>
      <c r="E3674" s="23" t="s">
        <v>75</v>
      </c>
      <c r="F3674" s="23" t="s">
        <v>268</v>
      </c>
      <c r="G3674" s="23" t="s">
        <v>250</v>
      </c>
      <c r="H3674" s="39">
        <f t="shared" si="228"/>
        <v>1299</v>
      </c>
      <c r="I3674" s="23" t="str">
        <f t="shared" si="229"/>
        <v>Lucknow</v>
      </c>
      <c r="J3674" s="23">
        <f>COUNTIFS(pg_transaction_cleaned!$O:$O,A3674,pg_transaction_cleaned!$F:$F,"CAPTURE")</f>
        <v>1</v>
      </c>
      <c r="K3674" s="39">
        <f>SUMIFS(pg_transaction_cleaned!$H:$H,pg_transaction_cleaned!$O:$O,A3674,pg_transaction_cleaned!$F:$F,"CAPTURE")</f>
        <v>1299</v>
      </c>
      <c r="L3674" s="23">
        <f>COUNTIFS(pg_transaction_cleaned!$O:$O,A3674,pg_transaction_cleaned!$F:$F,"REFUND")</f>
        <v>0</v>
      </c>
      <c r="M3674" s="39">
        <f>SUMIFS(pg_transaction_cleaned!$H:$H,pg_transaction_cleaned!$O:$O,A3674,pg_transaction_cleaned!$F:$F,"REFUND")</f>
        <v>0</v>
      </c>
      <c r="N3674" s="23" t="str">
        <f t="shared" si="230"/>
        <v>OK</v>
      </c>
      <c r="O3674" s="24">
        <f t="shared" si="231"/>
        <v>0</v>
      </c>
    </row>
    <row r="3675" spans="1:15" ht="15" customHeight="1" x14ac:dyDescent="0.3">
      <c r="A3675" s="23" t="s">
        <v>7837</v>
      </c>
      <c r="B3675" s="38">
        <v>46290</v>
      </c>
      <c r="C3675" s="23" t="s">
        <v>2542</v>
      </c>
      <c r="D3675" s="23" t="s">
        <v>88</v>
      </c>
      <c r="E3675" s="23" t="s">
        <v>75</v>
      </c>
      <c r="F3675" s="23" t="s">
        <v>370</v>
      </c>
      <c r="G3675" s="23" t="s">
        <v>250</v>
      </c>
      <c r="H3675" s="39">
        <f t="shared" si="228"/>
        <v>3098</v>
      </c>
      <c r="I3675" s="23" t="str">
        <f t="shared" si="229"/>
        <v>Lucknow</v>
      </c>
      <c r="J3675" s="23">
        <f>COUNTIFS(pg_transaction_cleaned!$O:$O,A3675,pg_transaction_cleaned!$F:$F,"CAPTURE")</f>
        <v>1</v>
      </c>
      <c r="K3675" s="39">
        <f>SUMIFS(pg_transaction_cleaned!$H:$H,pg_transaction_cleaned!$O:$O,A3675,pg_transaction_cleaned!$F:$F,"CAPTURE")</f>
        <v>3098</v>
      </c>
      <c r="L3675" s="23">
        <f>COUNTIFS(pg_transaction_cleaned!$O:$O,A3675,pg_transaction_cleaned!$F:$F,"REFUND")</f>
        <v>0</v>
      </c>
      <c r="M3675" s="39">
        <f>SUMIFS(pg_transaction_cleaned!$H:$H,pg_transaction_cleaned!$O:$O,A3675,pg_transaction_cleaned!$F:$F,"REFUND")</f>
        <v>0</v>
      </c>
      <c r="N3675" s="23" t="str">
        <f t="shared" si="230"/>
        <v>OK</v>
      </c>
      <c r="O3675" s="24">
        <f t="shared" si="231"/>
        <v>0</v>
      </c>
    </row>
    <row r="3676" spans="1:15" ht="15" customHeight="1" x14ac:dyDescent="0.3">
      <c r="A3676" s="23" t="s">
        <v>7838</v>
      </c>
      <c r="B3676" s="38">
        <v>46275</v>
      </c>
      <c r="C3676" s="23" t="s">
        <v>7839</v>
      </c>
      <c r="D3676" s="23" t="s">
        <v>86</v>
      </c>
      <c r="E3676" s="23" t="s">
        <v>81</v>
      </c>
      <c r="F3676" s="23" t="s">
        <v>343</v>
      </c>
      <c r="G3676" s="23" t="s">
        <v>301</v>
      </c>
      <c r="H3676" s="39">
        <f t="shared" si="228"/>
        <v>9498</v>
      </c>
      <c r="I3676" s="23" t="str">
        <f t="shared" si="229"/>
        <v>Delhi</v>
      </c>
      <c r="J3676" s="23">
        <f>COUNTIFS(pg_transaction_cleaned!$O:$O,A3676,pg_transaction_cleaned!$F:$F,"CAPTURE")</f>
        <v>1</v>
      </c>
      <c r="K3676" s="39">
        <f>SUMIFS(pg_transaction_cleaned!$H:$H,pg_transaction_cleaned!$O:$O,A3676,pg_transaction_cleaned!$F:$F,"CAPTURE")</f>
        <v>9498</v>
      </c>
      <c r="L3676" s="23">
        <f>COUNTIFS(pg_transaction_cleaned!$O:$O,A3676,pg_transaction_cleaned!$F:$F,"REFUND")</f>
        <v>0</v>
      </c>
      <c r="M3676" s="39">
        <f>SUMIFS(pg_transaction_cleaned!$H:$H,pg_transaction_cleaned!$O:$O,A3676,pg_transaction_cleaned!$F:$F,"REFUND")</f>
        <v>0</v>
      </c>
      <c r="N3676" s="23" t="str">
        <f t="shared" si="230"/>
        <v>Refunded, no refund</v>
      </c>
      <c r="O3676" s="24">
        <f t="shared" si="231"/>
        <v>9498</v>
      </c>
    </row>
    <row r="3677" spans="1:15" ht="15" customHeight="1" x14ac:dyDescent="0.3">
      <c r="A3677" s="23" t="s">
        <v>7840</v>
      </c>
      <c r="B3677" s="38">
        <v>46270</v>
      </c>
      <c r="C3677" s="23" t="s">
        <v>7841</v>
      </c>
      <c r="D3677" s="23" t="s">
        <v>93</v>
      </c>
      <c r="E3677" s="23" t="s">
        <v>75</v>
      </c>
      <c r="F3677" s="23" t="s">
        <v>2012</v>
      </c>
      <c r="G3677" s="23" t="s">
        <v>250</v>
      </c>
      <c r="H3677" s="39">
        <f t="shared" si="228"/>
        <v>1597</v>
      </c>
      <c r="I3677" s="23" t="str">
        <f t="shared" si="229"/>
        <v>Kolkata</v>
      </c>
      <c r="J3677" s="23">
        <f>COUNTIFS(pg_transaction_cleaned!$O:$O,A3677,pg_transaction_cleaned!$F:$F,"CAPTURE")</f>
        <v>1</v>
      </c>
      <c r="K3677" s="39">
        <f>SUMIFS(pg_transaction_cleaned!$H:$H,pg_transaction_cleaned!$O:$O,A3677,pg_transaction_cleaned!$F:$F,"CAPTURE")</f>
        <v>1597</v>
      </c>
      <c r="L3677" s="23">
        <f>COUNTIFS(pg_transaction_cleaned!$O:$O,A3677,pg_transaction_cleaned!$F:$F,"REFUND")</f>
        <v>0</v>
      </c>
      <c r="M3677" s="39">
        <f>SUMIFS(pg_transaction_cleaned!$H:$H,pg_transaction_cleaned!$O:$O,A3677,pg_transaction_cleaned!$F:$F,"REFUND")</f>
        <v>0</v>
      </c>
      <c r="N3677" s="23" t="str">
        <f t="shared" si="230"/>
        <v>OK</v>
      </c>
      <c r="O3677" s="24">
        <f t="shared" si="231"/>
        <v>0</v>
      </c>
    </row>
    <row r="3678" spans="1:15" ht="15" customHeight="1" x14ac:dyDescent="0.3">
      <c r="A3678" s="23" t="s">
        <v>7842</v>
      </c>
      <c r="B3678" s="38">
        <v>46284</v>
      </c>
      <c r="C3678" s="23" t="s">
        <v>7843</v>
      </c>
      <c r="D3678" s="23" t="s">
        <v>88</v>
      </c>
      <c r="E3678" s="23" t="s">
        <v>75</v>
      </c>
      <c r="F3678" s="23" t="s">
        <v>1372</v>
      </c>
      <c r="G3678" s="23" t="s">
        <v>250</v>
      </c>
      <c r="H3678" s="39">
        <f t="shared" si="228"/>
        <v>798</v>
      </c>
      <c r="I3678" s="23" t="str">
        <f t="shared" si="229"/>
        <v>Lucknow</v>
      </c>
      <c r="J3678" s="23">
        <f>COUNTIFS(pg_transaction_cleaned!$O:$O,A3678,pg_transaction_cleaned!$F:$F,"CAPTURE")</f>
        <v>1</v>
      </c>
      <c r="K3678" s="39">
        <f>SUMIFS(pg_transaction_cleaned!$H:$H,pg_transaction_cleaned!$O:$O,A3678,pg_transaction_cleaned!$F:$F,"CAPTURE")</f>
        <v>798</v>
      </c>
      <c r="L3678" s="23">
        <f>COUNTIFS(pg_transaction_cleaned!$O:$O,A3678,pg_transaction_cleaned!$F:$F,"REFUND")</f>
        <v>0</v>
      </c>
      <c r="M3678" s="39">
        <f>SUMIFS(pg_transaction_cleaned!$H:$H,pg_transaction_cleaned!$O:$O,A3678,pg_transaction_cleaned!$F:$F,"REFUND")</f>
        <v>0</v>
      </c>
      <c r="N3678" s="23" t="str">
        <f t="shared" si="230"/>
        <v>OK</v>
      </c>
      <c r="O3678" s="24">
        <f t="shared" si="231"/>
        <v>0</v>
      </c>
    </row>
    <row r="3679" spans="1:15" ht="15" customHeight="1" x14ac:dyDescent="0.3">
      <c r="A3679" s="23" t="s">
        <v>7844</v>
      </c>
      <c r="B3679" s="38">
        <v>46284</v>
      </c>
      <c r="C3679" s="23" t="s">
        <v>7845</v>
      </c>
      <c r="D3679" s="23" t="s">
        <v>88</v>
      </c>
      <c r="E3679" s="23" t="s">
        <v>75</v>
      </c>
      <c r="F3679" s="23" t="s">
        <v>451</v>
      </c>
      <c r="G3679" s="23" t="s">
        <v>365</v>
      </c>
      <c r="H3679" s="39">
        <f t="shared" si="228"/>
        <v>1098</v>
      </c>
      <c r="I3679" s="23" t="str">
        <f t="shared" si="229"/>
        <v>Lucknow</v>
      </c>
      <c r="J3679" s="23">
        <f>COUNTIFS(pg_transaction_cleaned!$O:$O,A3679,pg_transaction_cleaned!$F:$F,"CAPTURE")</f>
        <v>0</v>
      </c>
      <c r="K3679" s="39">
        <f>SUMIFS(pg_transaction_cleaned!$H:$H,pg_transaction_cleaned!$O:$O,A3679,pg_transaction_cleaned!$F:$F,"CAPTURE")</f>
        <v>0</v>
      </c>
      <c r="L3679" s="23">
        <f>COUNTIFS(pg_transaction_cleaned!$O:$O,A3679,pg_transaction_cleaned!$F:$F,"REFUND")</f>
        <v>0</v>
      </c>
      <c r="M3679" s="39">
        <f>SUMIFS(pg_transaction_cleaned!$H:$H,pg_transaction_cleaned!$O:$O,A3679,pg_transaction_cleaned!$F:$F,"REFUND")</f>
        <v>0</v>
      </c>
      <c r="N3679" s="23" t="str">
        <f t="shared" si="230"/>
        <v>OK</v>
      </c>
      <c r="O3679" s="24">
        <f t="shared" si="231"/>
        <v>0</v>
      </c>
    </row>
    <row r="3680" spans="1:15" ht="15" customHeight="1" x14ac:dyDescent="0.3">
      <c r="A3680" s="23" t="s">
        <v>7846</v>
      </c>
      <c r="B3680" s="38">
        <v>46287</v>
      </c>
      <c r="C3680" s="23" t="s">
        <v>7847</v>
      </c>
      <c r="D3680" s="23" t="s">
        <v>95</v>
      </c>
      <c r="E3680" s="23" t="s">
        <v>79</v>
      </c>
      <c r="F3680" s="23" t="s">
        <v>271</v>
      </c>
      <c r="G3680" s="23" t="s">
        <v>365</v>
      </c>
      <c r="H3680" s="39">
        <f t="shared" si="228"/>
        <v>2499</v>
      </c>
      <c r="I3680" s="23" t="str">
        <f t="shared" si="229"/>
        <v>Bengaluru</v>
      </c>
      <c r="J3680" s="23">
        <f>COUNTIFS(pg_transaction_cleaned!$O:$O,A3680,pg_transaction_cleaned!$F:$F,"CAPTURE")</f>
        <v>0</v>
      </c>
      <c r="K3680" s="39">
        <f>SUMIFS(pg_transaction_cleaned!$H:$H,pg_transaction_cleaned!$O:$O,A3680,pg_transaction_cleaned!$F:$F,"CAPTURE")</f>
        <v>0</v>
      </c>
      <c r="L3680" s="23">
        <f>COUNTIFS(pg_transaction_cleaned!$O:$O,A3680,pg_transaction_cleaned!$F:$F,"REFUND")</f>
        <v>0</v>
      </c>
      <c r="M3680" s="39">
        <f>SUMIFS(pg_transaction_cleaned!$H:$H,pg_transaction_cleaned!$O:$O,A3680,pg_transaction_cleaned!$F:$F,"REFUND")</f>
        <v>0</v>
      </c>
      <c r="N3680" s="23" t="str">
        <f t="shared" si="230"/>
        <v>OK</v>
      </c>
      <c r="O3680" s="24">
        <f t="shared" si="231"/>
        <v>0</v>
      </c>
    </row>
    <row r="3681" spans="1:15" ht="15" customHeight="1" x14ac:dyDescent="0.3">
      <c r="A3681" s="23" t="s">
        <v>7848</v>
      </c>
      <c r="B3681" s="38">
        <v>46272</v>
      </c>
      <c r="C3681" s="23" t="s">
        <v>7849</v>
      </c>
      <c r="D3681" s="23" t="s">
        <v>89</v>
      </c>
      <c r="E3681" s="23" t="s">
        <v>75</v>
      </c>
      <c r="F3681" s="23" t="s">
        <v>297</v>
      </c>
      <c r="G3681" s="23" t="s">
        <v>250</v>
      </c>
      <c r="H3681" s="39">
        <f t="shared" si="228"/>
        <v>4999</v>
      </c>
      <c r="I3681" s="23" t="str">
        <f t="shared" si="229"/>
        <v>Jaipur</v>
      </c>
      <c r="J3681" s="23">
        <f>COUNTIFS(pg_transaction_cleaned!$O:$O,A3681,pg_transaction_cleaned!$F:$F,"CAPTURE")</f>
        <v>1</v>
      </c>
      <c r="K3681" s="39">
        <f>SUMIFS(pg_transaction_cleaned!$H:$H,pg_transaction_cleaned!$O:$O,A3681,pg_transaction_cleaned!$F:$F,"CAPTURE")</f>
        <v>4999</v>
      </c>
      <c r="L3681" s="23">
        <f>COUNTIFS(pg_transaction_cleaned!$O:$O,A3681,pg_transaction_cleaned!$F:$F,"REFUND")</f>
        <v>0</v>
      </c>
      <c r="M3681" s="39">
        <f>SUMIFS(pg_transaction_cleaned!$H:$H,pg_transaction_cleaned!$O:$O,A3681,pg_transaction_cleaned!$F:$F,"REFUND")</f>
        <v>0</v>
      </c>
      <c r="N3681" s="23" t="str">
        <f t="shared" si="230"/>
        <v>OK</v>
      </c>
      <c r="O3681" s="24">
        <f t="shared" si="231"/>
        <v>0</v>
      </c>
    </row>
    <row r="3682" spans="1:15" ht="15" customHeight="1" x14ac:dyDescent="0.3">
      <c r="A3682" s="23" t="s">
        <v>7850</v>
      </c>
      <c r="B3682" s="38">
        <v>46282</v>
      </c>
      <c r="C3682" s="23" t="s">
        <v>7851</v>
      </c>
      <c r="D3682" s="23" t="s">
        <v>87</v>
      </c>
      <c r="E3682" s="23" t="s">
        <v>75</v>
      </c>
      <c r="F3682" s="23" t="s">
        <v>5250</v>
      </c>
      <c r="G3682" s="23" t="s">
        <v>250</v>
      </c>
      <c r="H3682" s="39">
        <f t="shared" si="228"/>
        <v>4998</v>
      </c>
      <c r="I3682" s="23" t="str">
        <f t="shared" si="229"/>
        <v>Mumbai</v>
      </c>
      <c r="J3682" s="23">
        <f>COUNTIFS(pg_transaction_cleaned!$O:$O,A3682,pg_transaction_cleaned!$F:$F,"CAPTURE")</f>
        <v>1</v>
      </c>
      <c r="K3682" s="39">
        <f>SUMIFS(pg_transaction_cleaned!$H:$H,pg_transaction_cleaned!$O:$O,A3682,pg_transaction_cleaned!$F:$F,"CAPTURE")</f>
        <v>4998</v>
      </c>
      <c r="L3682" s="23">
        <f>COUNTIFS(pg_transaction_cleaned!$O:$O,A3682,pg_transaction_cleaned!$F:$F,"REFUND")</f>
        <v>0</v>
      </c>
      <c r="M3682" s="39">
        <f>SUMIFS(pg_transaction_cleaned!$H:$H,pg_transaction_cleaned!$O:$O,A3682,pg_transaction_cleaned!$F:$F,"REFUND")</f>
        <v>0</v>
      </c>
      <c r="N3682" s="23" t="str">
        <f t="shared" si="230"/>
        <v>OK</v>
      </c>
      <c r="O3682" s="24">
        <f t="shared" si="231"/>
        <v>0</v>
      </c>
    </row>
    <row r="3683" spans="1:15" ht="15" customHeight="1" x14ac:dyDescent="0.3">
      <c r="A3683" s="23" t="s">
        <v>7852</v>
      </c>
      <c r="B3683" s="38">
        <v>46275</v>
      </c>
      <c r="C3683" s="23" t="s">
        <v>7853</v>
      </c>
      <c r="D3683" s="23" t="s">
        <v>92</v>
      </c>
      <c r="E3683" s="23" t="s">
        <v>75</v>
      </c>
      <c r="F3683" s="23" t="s">
        <v>329</v>
      </c>
      <c r="G3683" s="23" t="s">
        <v>250</v>
      </c>
      <c r="H3683" s="39">
        <f t="shared" si="228"/>
        <v>599</v>
      </c>
      <c r="I3683" s="23" t="str">
        <f t="shared" si="229"/>
        <v>Hyderabad</v>
      </c>
      <c r="J3683" s="23">
        <f>COUNTIFS(pg_transaction_cleaned!$O:$O,A3683,pg_transaction_cleaned!$F:$F,"CAPTURE")</f>
        <v>1</v>
      </c>
      <c r="K3683" s="39">
        <f>SUMIFS(pg_transaction_cleaned!$H:$H,pg_transaction_cleaned!$O:$O,A3683,pg_transaction_cleaned!$F:$F,"CAPTURE")</f>
        <v>599</v>
      </c>
      <c r="L3683" s="23">
        <f>COUNTIFS(pg_transaction_cleaned!$O:$O,A3683,pg_transaction_cleaned!$F:$F,"REFUND")</f>
        <v>0</v>
      </c>
      <c r="M3683" s="39">
        <f>SUMIFS(pg_transaction_cleaned!$H:$H,pg_transaction_cleaned!$O:$O,A3683,pg_transaction_cleaned!$F:$F,"REFUND")</f>
        <v>0</v>
      </c>
      <c r="N3683" s="23" t="str">
        <f t="shared" si="230"/>
        <v>OK</v>
      </c>
      <c r="O3683" s="24">
        <f t="shared" si="231"/>
        <v>0</v>
      </c>
    </row>
    <row r="3684" spans="1:15" ht="15" customHeight="1" x14ac:dyDescent="0.3">
      <c r="A3684" s="23" t="s">
        <v>7854</v>
      </c>
      <c r="B3684" s="38">
        <v>46294</v>
      </c>
      <c r="C3684" s="23" t="s">
        <v>7855</v>
      </c>
      <c r="D3684" s="23" t="s">
        <v>95</v>
      </c>
      <c r="E3684" s="23" t="s">
        <v>75</v>
      </c>
      <c r="F3684" s="23" t="s">
        <v>1428</v>
      </c>
      <c r="G3684" s="23" t="s">
        <v>250</v>
      </c>
      <c r="H3684" s="39">
        <f t="shared" si="228"/>
        <v>8598</v>
      </c>
      <c r="I3684" s="23" t="str">
        <f t="shared" si="229"/>
        <v>Bengaluru</v>
      </c>
      <c r="J3684" s="23">
        <f>COUNTIFS(pg_transaction_cleaned!$O:$O,A3684,pg_transaction_cleaned!$F:$F,"CAPTURE")</f>
        <v>1</v>
      </c>
      <c r="K3684" s="39">
        <f>SUMIFS(pg_transaction_cleaned!$H:$H,pg_transaction_cleaned!$O:$O,A3684,pg_transaction_cleaned!$F:$F,"CAPTURE")</f>
        <v>8598</v>
      </c>
      <c r="L3684" s="23">
        <f>COUNTIFS(pg_transaction_cleaned!$O:$O,A3684,pg_transaction_cleaned!$F:$F,"REFUND")</f>
        <v>0</v>
      </c>
      <c r="M3684" s="39">
        <f>SUMIFS(pg_transaction_cleaned!$H:$H,pg_transaction_cleaned!$O:$O,A3684,pg_transaction_cleaned!$F:$F,"REFUND")</f>
        <v>0</v>
      </c>
      <c r="N3684" s="23" t="str">
        <f t="shared" si="230"/>
        <v>OK</v>
      </c>
      <c r="O3684" s="24">
        <f t="shared" si="231"/>
        <v>0</v>
      </c>
    </row>
    <row r="3685" spans="1:15" ht="15" customHeight="1" x14ac:dyDescent="0.3">
      <c r="A3685" s="23" t="s">
        <v>7856</v>
      </c>
      <c r="B3685" s="38">
        <v>46290</v>
      </c>
      <c r="C3685" s="23" t="s">
        <v>7857</v>
      </c>
      <c r="D3685" s="23" t="s">
        <v>87</v>
      </c>
      <c r="E3685" s="23" t="s">
        <v>75</v>
      </c>
      <c r="F3685" s="23" t="s">
        <v>1954</v>
      </c>
      <c r="G3685" s="23" t="s">
        <v>301</v>
      </c>
      <c r="H3685" s="39">
        <f t="shared" si="228"/>
        <v>848</v>
      </c>
      <c r="I3685" s="23" t="str">
        <f t="shared" si="229"/>
        <v>Mumbai</v>
      </c>
      <c r="J3685" s="23">
        <f>COUNTIFS(pg_transaction_cleaned!$O:$O,A3685,pg_transaction_cleaned!$F:$F,"CAPTURE")</f>
        <v>1</v>
      </c>
      <c r="K3685" s="39">
        <f>SUMIFS(pg_transaction_cleaned!$H:$H,pg_transaction_cleaned!$O:$O,A3685,pg_transaction_cleaned!$F:$F,"CAPTURE")</f>
        <v>848</v>
      </c>
      <c r="L3685" s="23">
        <f>COUNTIFS(pg_transaction_cleaned!$O:$O,A3685,pg_transaction_cleaned!$F:$F,"REFUND")</f>
        <v>1</v>
      </c>
      <c r="M3685" s="39">
        <f>SUMIFS(pg_transaction_cleaned!$H:$H,pg_transaction_cleaned!$O:$O,A3685,pg_transaction_cleaned!$F:$F,"REFUND")</f>
        <v>848</v>
      </c>
      <c r="N3685" s="23" t="str">
        <f t="shared" si="230"/>
        <v>OK</v>
      </c>
      <c r="O3685" s="24">
        <f t="shared" si="231"/>
        <v>0</v>
      </c>
    </row>
    <row r="3686" spans="1:15" ht="15" customHeight="1" x14ac:dyDescent="0.3">
      <c r="A3686" s="23" t="s">
        <v>7858</v>
      </c>
      <c r="B3686" s="38">
        <v>46294</v>
      </c>
      <c r="C3686" s="23" t="s">
        <v>7859</v>
      </c>
      <c r="D3686" s="23" t="s">
        <v>90</v>
      </c>
      <c r="E3686" s="23" t="s">
        <v>79</v>
      </c>
      <c r="F3686" s="23" t="s">
        <v>475</v>
      </c>
      <c r="G3686" s="23" t="s">
        <v>250</v>
      </c>
      <c r="H3686" s="39">
        <f t="shared" si="228"/>
        <v>799</v>
      </c>
      <c r="I3686" s="23" t="str">
        <f t="shared" si="229"/>
        <v>Ahmedabad</v>
      </c>
      <c r="J3686" s="23">
        <f>COUNTIFS(pg_transaction_cleaned!$O:$O,A3686,pg_transaction_cleaned!$F:$F,"CAPTURE")</f>
        <v>1</v>
      </c>
      <c r="K3686" s="39">
        <f>SUMIFS(pg_transaction_cleaned!$H:$H,pg_transaction_cleaned!$O:$O,A3686,pg_transaction_cleaned!$F:$F,"CAPTURE")</f>
        <v>799</v>
      </c>
      <c r="L3686" s="23">
        <f>COUNTIFS(pg_transaction_cleaned!$O:$O,A3686,pg_transaction_cleaned!$F:$F,"REFUND")</f>
        <v>0</v>
      </c>
      <c r="M3686" s="39">
        <f>SUMIFS(pg_transaction_cleaned!$H:$H,pg_transaction_cleaned!$O:$O,A3686,pg_transaction_cleaned!$F:$F,"REFUND")</f>
        <v>0</v>
      </c>
      <c r="N3686" s="23" t="str">
        <f t="shared" si="230"/>
        <v>OK</v>
      </c>
      <c r="O3686" s="24">
        <f t="shared" si="231"/>
        <v>0</v>
      </c>
    </row>
    <row r="3687" spans="1:15" ht="15" customHeight="1" x14ac:dyDescent="0.3">
      <c r="A3687" s="23" t="s">
        <v>7860</v>
      </c>
      <c r="B3687" s="38">
        <v>46295</v>
      </c>
      <c r="C3687" s="23" t="s">
        <v>7861</v>
      </c>
      <c r="D3687" s="23" t="s">
        <v>92</v>
      </c>
      <c r="E3687" s="23" t="s">
        <v>79</v>
      </c>
      <c r="F3687" s="23" t="s">
        <v>612</v>
      </c>
      <c r="G3687" s="23" t="s">
        <v>250</v>
      </c>
      <c r="H3687" s="39">
        <f t="shared" si="228"/>
        <v>8498</v>
      </c>
      <c r="I3687" s="23" t="str">
        <f t="shared" si="229"/>
        <v>Hyderabad</v>
      </c>
      <c r="J3687" s="23">
        <f>COUNTIFS(pg_transaction_cleaned!$O:$O,A3687,pg_transaction_cleaned!$F:$F,"CAPTURE")</f>
        <v>1</v>
      </c>
      <c r="K3687" s="39">
        <f>SUMIFS(pg_transaction_cleaned!$H:$H,pg_transaction_cleaned!$O:$O,A3687,pg_transaction_cleaned!$F:$F,"CAPTURE")</f>
        <v>8498</v>
      </c>
      <c r="L3687" s="23">
        <f>COUNTIFS(pg_transaction_cleaned!$O:$O,A3687,pg_transaction_cleaned!$F:$F,"REFUND")</f>
        <v>0</v>
      </c>
      <c r="M3687" s="39">
        <f>SUMIFS(pg_transaction_cleaned!$H:$H,pg_transaction_cleaned!$O:$O,A3687,pg_transaction_cleaned!$F:$F,"REFUND")</f>
        <v>0</v>
      </c>
      <c r="N3687" s="23" t="str">
        <f t="shared" si="230"/>
        <v>OK</v>
      </c>
      <c r="O3687" s="24">
        <f t="shared" si="231"/>
        <v>0</v>
      </c>
    </row>
    <row r="3688" spans="1:15" ht="15" customHeight="1" x14ac:dyDescent="0.3">
      <c r="A3688" s="23" t="s">
        <v>7862</v>
      </c>
      <c r="B3688" s="38">
        <v>46289</v>
      </c>
      <c r="C3688" s="23" t="s">
        <v>7863</v>
      </c>
      <c r="D3688" s="23" t="s">
        <v>91</v>
      </c>
      <c r="E3688" s="23" t="s">
        <v>75</v>
      </c>
      <c r="F3688" s="23" t="s">
        <v>3533</v>
      </c>
      <c r="G3688" s="23" t="s">
        <v>250</v>
      </c>
      <c r="H3688" s="39">
        <f t="shared" si="228"/>
        <v>11597</v>
      </c>
      <c r="I3688" s="23" t="str">
        <f t="shared" si="229"/>
        <v>Pune</v>
      </c>
      <c r="J3688" s="23">
        <f>COUNTIFS(pg_transaction_cleaned!$O:$O,A3688,pg_transaction_cleaned!$F:$F,"CAPTURE")</f>
        <v>1</v>
      </c>
      <c r="K3688" s="39">
        <f>SUMIFS(pg_transaction_cleaned!$H:$H,pg_transaction_cleaned!$O:$O,A3688,pg_transaction_cleaned!$F:$F,"CAPTURE")</f>
        <v>11597</v>
      </c>
      <c r="L3688" s="23">
        <f>COUNTIFS(pg_transaction_cleaned!$O:$O,A3688,pg_transaction_cleaned!$F:$F,"REFUND")</f>
        <v>0</v>
      </c>
      <c r="M3688" s="39">
        <f>SUMIFS(pg_transaction_cleaned!$H:$H,pg_transaction_cleaned!$O:$O,A3688,pg_transaction_cleaned!$F:$F,"REFUND")</f>
        <v>0</v>
      </c>
      <c r="N3688" s="23" t="str">
        <f t="shared" si="230"/>
        <v>OK</v>
      </c>
      <c r="O3688" s="24">
        <f t="shared" si="231"/>
        <v>0</v>
      </c>
    </row>
    <row r="3689" spans="1:15" ht="15" customHeight="1" x14ac:dyDescent="0.3">
      <c r="A3689" s="23" t="s">
        <v>7864</v>
      </c>
      <c r="B3689" s="38">
        <v>46272</v>
      </c>
      <c r="C3689" s="23" t="s">
        <v>7865</v>
      </c>
      <c r="D3689" s="23" t="s">
        <v>90</v>
      </c>
      <c r="E3689" s="23" t="s">
        <v>75</v>
      </c>
      <c r="F3689" s="23" t="s">
        <v>393</v>
      </c>
      <c r="G3689" s="23" t="s">
        <v>250</v>
      </c>
      <c r="H3689" s="39">
        <f t="shared" si="228"/>
        <v>349</v>
      </c>
      <c r="I3689" s="23" t="str">
        <f t="shared" si="229"/>
        <v>Ahmedabad</v>
      </c>
      <c r="J3689" s="23">
        <f>COUNTIFS(pg_transaction_cleaned!$O:$O,A3689,pg_transaction_cleaned!$F:$F,"CAPTURE")</f>
        <v>1</v>
      </c>
      <c r="K3689" s="39">
        <f>SUMIFS(pg_transaction_cleaned!$H:$H,pg_transaction_cleaned!$O:$O,A3689,pg_transaction_cleaned!$F:$F,"CAPTURE")</f>
        <v>349</v>
      </c>
      <c r="L3689" s="23">
        <f>COUNTIFS(pg_transaction_cleaned!$O:$O,A3689,pg_transaction_cleaned!$F:$F,"REFUND")</f>
        <v>0</v>
      </c>
      <c r="M3689" s="39">
        <f>SUMIFS(pg_transaction_cleaned!$H:$H,pg_transaction_cleaned!$O:$O,A3689,pg_transaction_cleaned!$F:$F,"REFUND")</f>
        <v>0</v>
      </c>
      <c r="N3689" s="23" t="str">
        <f t="shared" si="230"/>
        <v>OK</v>
      </c>
      <c r="O3689" s="24">
        <f t="shared" si="231"/>
        <v>0</v>
      </c>
    </row>
    <row r="3690" spans="1:15" ht="15" customHeight="1" x14ac:dyDescent="0.3">
      <c r="A3690" s="23" t="s">
        <v>7866</v>
      </c>
      <c r="B3690" s="38">
        <v>46276</v>
      </c>
      <c r="C3690" s="23" t="s">
        <v>7867</v>
      </c>
      <c r="D3690" s="23" t="s">
        <v>88</v>
      </c>
      <c r="E3690" s="23" t="s">
        <v>75</v>
      </c>
      <c r="F3690" s="23" t="s">
        <v>396</v>
      </c>
      <c r="G3690" s="23" t="s">
        <v>250</v>
      </c>
      <c r="H3690" s="39">
        <f t="shared" si="228"/>
        <v>2999</v>
      </c>
      <c r="I3690" s="23" t="str">
        <f t="shared" si="229"/>
        <v>Lucknow</v>
      </c>
      <c r="J3690" s="23">
        <f>COUNTIFS(pg_transaction_cleaned!$O:$O,A3690,pg_transaction_cleaned!$F:$F,"CAPTURE")</f>
        <v>1</v>
      </c>
      <c r="K3690" s="39">
        <f>SUMIFS(pg_transaction_cleaned!$H:$H,pg_transaction_cleaned!$O:$O,A3690,pg_transaction_cleaned!$F:$F,"CAPTURE")</f>
        <v>2999</v>
      </c>
      <c r="L3690" s="23">
        <f>COUNTIFS(pg_transaction_cleaned!$O:$O,A3690,pg_transaction_cleaned!$F:$F,"REFUND")</f>
        <v>0</v>
      </c>
      <c r="M3690" s="39">
        <f>SUMIFS(pg_transaction_cleaned!$H:$H,pg_transaction_cleaned!$O:$O,A3690,pg_transaction_cleaned!$F:$F,"REFUND")</f>
        <v>0</v>
      </c>
      <c r="N3690" s="23" t="str">
        <f t="shared" si="230"/>
        <v>OK</v>
      </c>
      <c r="O3690" s="24">
        <f t="shared" si="231"/>
        <v>0</v>
      </c>
    </row>
    <row r="3691" spans="1:15" ht="15" customHeight="1" x14ac:dyDescent="0.3">
      <c r="A3691" s="23" t="s">
        <v>7868</v>
      </c>
      <c r="B3691" s="38">
        <v>46285</v>
      </c>
      <c r="C3691" s="23" t="s">
        <v>7869</v>
      </c>
      <c r="D3691" s="23" t="s">
        <v>86</v>
      </c>
      <c r="E3691" s="23" t="s">
        <v>79</v>
      </c>
      <c r="F3691" s="23" t="s">
        <v>288</v>
      </c>
      <c r="G3691" s="23" t="s">
        <v>250</v>
      </c>
      <c r="H3691" s="39">
        <f t="shared" si="228"/>
        <v>4298</v>
      </c>
      <c r="I3691" s="23" t="str">
        <f t="shared" si="229"/>
        <v>Delhi</v>
      </c>
      <c r="J3691" s="23">
        <f>COUNTIFS(pg_transaction_cleaned!$O:$O,A3691,pg_transaction_cleaned!$F:$F,"CAPTURE")</f>
        <v>1</v>
      </c>
      <c r="K3691" s="39">
        <f>SUMIFS(pg_transaction_cleaned!$H:$H,pg_transaction_cleaned!$O:$O,A3691,pg_transaction_cleaned!$F:$F,"CAPTURE")</f>
        <v>4298</v>
      </c>
      <c r="L3691" s="23">
        <f>COUNTIFS(pg_transaction_cleaned!$O:$O,A3691,pg_transaction_cleaned!$F:$F,"REFUND")</f>
        <v>0</v>
      </c>
      <c r="M3691" s="39">
        <f>SUMIFS(pg_transaction_cleaned!$H:$H,pg_transaction_cleaned!$O:$O,A3691,pg_transaction_cleaned!$F:$F,"REFUND")</f>
        <v>0</v>
      </c>
      <c r="N3691" s="23" t="str">
        <f t="shared" si="230"/>
        <v>OK</v>
      </c>
      <c r="O3691" s="24">
        <f t="shared" si="231"/>
        <v>0</v>
      </c>
    </row>
    <row r="3692" spans="1:15" ht="15" customHeight="1" x14ac:dyDescent="0.3">
      <c r="A3692" s="23" t="s">
        <v>7870</v>
      </c>
      <c r="B3692" s="38">
        <v>46289</v>
      </c>
      <c r="C3692" s="23" t="s">
        <v>7871</v>
      </c>
      <c r="D3692" s="23" t="s">
        <v>86</v>
      </c>
      <c r="E3692" s="23" t="s">
        <v>75</v>
      </c>
      <c r="F3692" s="23" t="s">
        <v>561</v>
      </c>
      <c r="G3692" s="23" t="s">
        <v>365</v>
      </c>
      <c r="H3692" s="39">
        <f t="shared" si="228"/>
        <v>4797</v>
      </c>
      <c r="I3692" s="23" t="str">
        <f t="shared" si="229"/>
        <v>Delhi</v>
      </c>
      <c r="J3692" s="23">
        <f>COUNTIFS(pg_transaction_cleaned!$O:$O,A3692,pg_transaction_cleaned!$F:$F,"CAPTURE")</f>
        <v>0</v>
      </c>
      <c r="K3692" s="39">
        <f>SUMIFS(pg_transaction_cleaned!$H:$H,pg_transaction_cleaned!$O:$O,A3692,pg_transaction_cleaned!$F:$F,"CAPTURE")</f>
        <v>0</v>
      </c>
      <c r="L3692" s="23">
        <f>COUNTIFS(pg_transaction_cleaned!$O:$O,A3692,pg_transaction_cleaned!$F:$F,"REFUND")</f>
        <v>0</v>
      </c>
      <c r="M3692" s="39">
        <f>SUMIFS(pg_transaction_cleaned!$H:$H,pg_transaction_cleaned!$O:$O,A3692,pg_transaction_cleaned!$F:$F,"REFUND")</f>
        <v>0</v>
      </c>
      <c r="N3692" s="23" t="str">
        <f t="shared" si="230"/>
        <v>OK</v>
      </c>
      <c r="O3692" s="24">
        <f t="shared" si="231"/>
        <v>0</v>
      </c>
    </row>
    <row r="3693" spans="1:15" ht="15" customHeight="1" x14ac:dyDescent="0.3">
      <c r="A3693" s="23" t="s">
        <v>7872</v>
      </c>
      <c r="B3693" s="38">
        <v>46267</v>
      </c>
      <c r="C3693" s="23" t="s">
        <v>7873</v>
      </c>
      <c r="D3693" s="23" t="s">
        <v>90</v>
      </c>
      <c r="E3693" s="23" t="s">
        <v>75</v>
      </c>
      <c r="F3693" s="23" t="s">
        <v>451</v>
      </c>
      <c r="G3693" s="23" t="s">
        <v>250</v>
      </c>
      <c r="H3693" s="39">
        <f t="shared" si="228"/>
        <v>1098</v>
      </c>
      <c r="I3693" s="23" t="str">
        <f t="shared" si="229"/>
        <v>Ahmedabad</v>
      </c>
      <c r="J3693" s="23">
        <f>COUNTIFS(pg_transaction_cleaned!$O:$O,A3693,pg_transaction_cleaned!$F:$F,"CAPTURE")</f>
        <v>1</v>
      </c>
      <c r="K3693" s="39">
        <f>SUMIFS(pg_transaction_cleaned!$H:$H,pg_transaction_cleaned!$O:$O,A3693,pg_transaction_cleaned!$F:$F,"CAPTURE")</f>
        <v>1098</v>
      </c>
      <c r="L3693" s="23">
        <f>COUNTIFS(pg_transaction_cleaned!$O:$O,A3693,pg_transaction_cleaned!$F:$F,"REFUND")</f>
        <v>0</v>
      </c>
      <c r="M3693" s="39">
        <f>SUMIFS(pg_transaction_cleaned!$H:$H,pg_transaction_cleaned!$O:$O,A3693,pg_transaction_cleaned!$F:$F,"REFUND")</f>
        <v>0</v>
      </c>
      <c r="N3693" s="23" t="str">
        <f t="shared" si="230"/>
        <v>OK</v>
      </c>
      <c r="O3693" s="24">
        <f t="shared" si="231"/>
        <v>0</v>
      </c>
    </row>
    <row r="3694" spans="1:15" ht="15" customHeight="1" x14ac:dyDescent="0.3">
      <c r="A3694" s="23" t="s">
        <v>7874</v>
      </c>
      <c r="B3694" s="38">
        <v>46279</v>
      </c>
      <c r="C3694" s="23" t="s">
        <v>7875</v>
      </c>
      <c r="D3694" s="23" t="s">
        <v>88</v>
      </c>
      <c r="E3694" s="23" t="s">
        <v>77</v>
      </c>
      <c r="F3694" s="23" t="s">
        <v>1495</v>
      </c>
      <c r="G3694" s="23" t="s">
        <v>250</v>
      </c>
      <c r="H3694" s="39">
        <f t="shared" si="228"/>
        <v>7498</v>
      </c>
      <c r="I3694" s="23" t="str">
        <f t="shared" si="229"/>
        <v>Lucknow</v>
      </c>
      <c r="J3694" s="23">
        <f>COUNTIFS(pg_transaction_cleaned!$O:$O,A3694,pg_transaction_cleaned!$F:$F,"CAPTURE")</f>
        <v>1</v>
      </c>
      <c r="K3694" s="39">
        <f>SUMIFS(pg_transaction_cleaned!$H:$H,pg_transaction_cleaned!$O:$O,A3694,pg_transaction_cleaned!$F:$F,"CAPTURE")</f>
        <v>7498</v>
      </c>
      <c r="L3694" s="23">
        <f>COUNTIFS(pg_transaction_cleaned!$O:$O,A3694,pg_transaction_cleaned!$F:$F,"REFUND")</f>
        <v>0</v>
      </c>
      <c r="M3694" s="39">
        <f>SUMIFS(pg_transaction_cleaned!$H:$H,pg_transaction_cleaned!$O:$O,A3694,pg_transaction_cleaned!$F:$F,"REFUND")</f>
        <v>0</v>
      </c>
      <c r="N3694" s="23" t="str">
        <f t="shared" si="230"/>
        <v>OK</v>
      </c>
      <c r="O3694" s="24">
        <f t="shared" si="231"/>
        <v>0</v>
      </c>
    </row>
    <row r="3695" spans="1:15" ht="15" customHeight="1" x14ac:dyDescent="0.3">
      <c r="A3695" s="23" t="s">
        <v>7876</v>
      </c>
      <c r="B3695" s="38">
        <v>46278</v>
      </c>
      <c r="C3695" s="23" t="s">
        <v>7877</v>
      </c>
      <c r="D3695" s="23" t="s">
        <v>87</v>
      </c>
      <c r="E3695" s="23" t="s">
        <v>81</v>
      </c>
      <c r="F3695" s="23" t="s">
        <v>271</v>
      </c>
      <c r="G3695" s="23" t="s">
        <v>318</v>
      </c>
      <c r="H3695" s="39">
        <f t="shared" si="228"/>
        <v>2499</v>
      </c>
      <c r="I3695" s="23" t="str">
        <f t="shared" si="229"/>
        <v>Mumbai</v>
      </c>
      <c r="J3695" s="23">
        <f>COUNTIFS(pg_transaction_cleaned!$O:$O,A3695,pg_transaction_cleaned!$F:$F,"CAPTURE")</f>
        <v>1</v>
      </c>
      <c r="K3695" s="39">
        <f>SUMIFS(pg_transaction_cleaned!$H:$H,pg_transaction_cleaned!$O:$O,A3695,pg_transaction_cleaned!$F:$F,"CAPTURE")</f>
        <v>2499</v>
      </c>
      <c r="L3695" s="23">
        <f>COUNTIFS(pg_transaction_cleaned!$O:$O,A3695,pg_transaction_cleaned!$F:$F,"REFUND")</f>
        <v>0</v>
      </c>
      <c r="M3695" s="39">
        <f>SUMIFS(pg_transaction_cleaned!$H:$H,pg_transaction_cleaned!$O:$O,A3695,pg_transaction_cleaned!$F:$F,"REFUND")</f>
        <v>0</v>
      </c>
      <c r="N3695" s="23" t="str">
        <f t="shared" si="230"/>
        <v>Payment on failed/cancelled</v>
      </c>
      <c r="O3695" s="24">
        <f t="shared" si="231"/>
        <v>2499</v>
      </c>
    </row>
    <row r="3696" spans="1:15" ht="15" customHeight="1" x14ac:dyDescent="0.3">
      <c r="A3696" s="23" t="s">
        <v>7878</v>
      </c>
      <c r="B3696" s="38">
        <v>46286</v>
      </c>
      <c r="C3696" s="23" t="s">
        <v>7879</v>
      </c>
      <c r="D3696" s="23" t="s">
        <v>90</v>
      </c>
      <c r="E3696" s="23" t="s">
        <v>81</v>
      </c>
      <c r="F3696" s="23" t="s">
        <v>268</v>
      </c>
      <c r="G3696" s="23" t="s">
        <v>250</v>
      </c>
      <c r="H3696" s="39">
        <f t="shared" si="228"/>
        <v>1299</v>
      </c>
      <c r="I3696" s="23" t="str">
        <f t="shared" si="229"/>
        <v>Ahmedabad</v>
      </c>
      <c r="J3696" s="23">
        <f>COUNTIFS(pg_transaction_cleaned!$O:$O,A3696,pg_transaction_cleaned!$F:$F,"CAPTURE")</f>
        <v>1</v>
      </c>
      <c r="K3696" s="39">
        <f>SUMIFS(pg_transaction_cleaned!$H:$H,pg_transaction_cleaned!$O:$O,A3696,pg_transaction_cleaned!$F:$F,"CAPTURE")</f>
        <v>1299</v>
      </c>
      <c r="L3696" s="23">
        <f>COUNTIFS(pg_transaction_cleaned!$O:$O,A3696,pg_transaction_cleaned!$F:$F,"REFUND")</f>
        <v>0</v>
      </c>
      <c r="M3696" s="39">
        <f>SUMIFS(pg_transaction_cleaned!$H:$H,pg_transaction_cleaned!$O:$O,A3696,pg_transaction_cleaned!$F:$F,"REFUND")</f>
        <v>0</v>
      </c>
      <c r="N3696" s="23" t="str">
        <f t="shared" si="230"/>
        <v>OK</v>
      </c>
      <c r="O3696" s="24">
        <f t="shared" si="231"/>
        <v>0</v>
      </c>
    </row>
    <row r="3697" spans="1:15" ht="15" customHeight="1" x14ac:dyDescent="0.3">
      <c r="A3697" s="23" t="s">
        <v>7880</v>
      </c>
      <c r="B3697" s="38">
        <v>46287</v>
      </c>
      <c r="C3697" s="23" t="s">
        <v>7881</v>
      </c>
      <c r="D3697" s="23" t="s">
        <v>93</v>
      </c>
      <c r="E3697" s="23" t="s">
        <v>75</v>
      </c>
      <c r="F3697" s="23" t="s">
        <v>329</v>
      </c>
      <c r="G3697" s="23" t="s">
        <v>250</v>
      </c>
      <c r="H3697" s="39">
        <f t="shared" si="228"/>
        <v>599</v>
      </c>
      <c r="I3697" s="23" t="str">
        <f t="shared" si="229"/>
        <v>Kolkata</v>
      </c>
      <c r="J3697" s="23">
        <f>COUNTIFS(pg_transaction_cleaned!$O:$O,A3697,pg_transaction_cleaned!$F:$F,"CAPTURE")</f>
        <v>1</v>
      </c>
      <c r="K3697" s="39">
        <f>SUMIFS(pg_transaction_cleaned!$H:$H,pg_transaction_cleaned!$O:$O,A3697,pg_transaction_cleaned!$F:$F,"CAPTURE")</f>
        <v>599</v>
      </c>
      <c r="L3697" s="23">
        <f>COUNTIFS(pg_transaction_cleaned!$O:$O,A3697,pg_transaction_cleaned!$F:$F,"REFUND")</f>
        <v>0</v>
      </c>
      <c r="M3697" s="39">
        <f>SUMIFS(pg_transaction_cleaned!$H:$H,pg_transaction_cleaned!$O:$O,A3697,pg_transaction_cleaned!$F:$F,"REFUND")</f>
        <v>0</v>
      </c>
      <c r="N3697" s="23" t="str">
        <f t="shared" si="230"/>
        <v>OK</v>
      </c>
      <c r="O3697" s="24">
        <f t="shared" si="231"/>
        <v>0</v>
      </c>
    </row>
    <row r="3698" spans="1:15" ht="15" customHeight="1" x14ac:dyDescent="0.3">
      <c r="A3698" s="23" t="s">
        <v>7882</v>
      </c>
      <c r="B3698" s="38">
        <v>46279</v>
      </c>
      <c r="C3698" s="23" t="s">
        <v>7883</v>
      </c>
      <c r="D3698" s="23" t="s">
        <v>86</v>
      </c>
      <c r="E3698" s="23" t="s">
        <v>75</v>
      </c>
      <c r="F3698" s="23" t="s">
        <v>2954</v>
      </c>
      <c r="G3698" s="23" t="s">
        <v>250</v>
      </c>
      <c r="H3698" s="39">
        <f t="shared" si="228"/>
        <v>1799</v>
      </c>
      <c r="I3698" s="23" t="str">
        <f t="shared" si="229"/>
        <v>Delhi</v>
      </c>
      <c r="J3698" s="23">
        <f>COUNTIFS(pg_transaction_cleaned!$O:$O,A3698,pg_transaction_cleaned!$F:$F,"CAPTURE")</f>
        <v>1</v>
      </c>
      <c r="K3698" s="39">
        <f>SUMIFS(pg_transaction_cleaned!$H:$H,pg_transaction_cleaned!$O:$O,A3698,pg_transaction_cleaned!$F:$F,"CAPTURE")</f>
        <v>1799</v>
      </c>
      <c r="L3698" s="23">
        <f>COUNTIFS(pg_transaction_cleaned!$O:$O,A3698,pg_transaction_cleaned!$F:$F,"REFUND")</f>
        <v>0</v>
      </c>
      <c r="M3698" s="39">
        <f>SUMIFS(pg_transaction_cleaned!$H:$H,pg_transaction_cleaned!$O:$O,A3698,pg_transaction_cleaned!$F:$F,"REFUND")</f>
        <v>0</v>
      </c>
      <c r="N3698" s="23" t="str">
        <f t="shared" si="230"/>
        <v>OK</v>
      </c>
      <c r="O3698" s="24">
        <f t="shared" si="231"/>
        <v>0</v>
      </c>
    </row>
    <row r="3699" spans="1:15" ht="15" customHeight="1" x14ac:dyDescent="0.3">
      <c r="A3699" s="23" t="s">
        <v>7884</v>
      </c>
      <c r="B3699" s="38">
        <v>46290</v>
      </c>
      <c r="C3699" s="23" t="s">
        <v>7885</v>
      </c>
      <c r="D3699" s="23"/>
      <c r="E3699" s="23" t="s">
        <v>81</v>
      </c>
      <c r="F3699" s="23" t="s">
        <v>7886</v>
      </c>
      <c r="G3699" s="23" t="s">
        <v>250</v>
      </c>
      <c r="H3699" s="39">
        <f t="shared" si="228"/>
        <v>11497</v>
      </c>
      <c r="I3699" s="23" t="str">
        <f t="shared" si="229"/>
        <v>Unknown</v>
      </c>
      <c r="J3699" s="23">
        <f>COUNTIFS(pg_transaction_cleaned!$O:$O,A3699,pg_transaction_cleaned!$F:$F,"CAPTURE")</f>
        <v>1</v>
      </c>
      <c r="K3699" s="39">
        <f>SUMIFS(pg_transaction_cleaned!$H:$H,pg_transaction_cleaned!$O:$O,A3699,pg_transaction_cleaned!$F:$F,"CAPTURE")</f>
        <v>11497</v>
      </c>
      <c r="L3699" s="23">
        <f>COUNTIFS(pg_transaction_cleaned!$O:$O,A3699,pg_transaction_cleaned!$F:$F,"REFUND")</f>
        <v>0</v>
      </c>
      <c r="M3699" s="39">
        <f>SUMIFS(pg_transaction_cleaned!$H:$H,pg_transaction_cleaned!$O:$O,A3699,pg_transaction_cleaned!$F:$F,"REFUND")</f>
        <v>0</v>
      </c>
      <c r="N3699" s="23" t="str">
        <f t="shared" si="230"/>
        <v>OK</v>
      </c>
      <c r="O3699" s="24">
        <f t="shared" si="231"/>
        <v>0</v>
      </c>
    </row>
    <row r="3700" spans="1:15" ht="15" customHeight="1" x14ac:dyDescent="0.3">
      <c r="A3700" s="23" t="s">
        <v>7887</v>
      </c>
      <c r="B3700" s="38">
        <v>46291</v>
      </c>
      <c r="C3700" s="23" t="s">
        <v>7888</v>
      </c>
      <c r="D3700" s="23"/>
      <c r="E3700" s="23" t="s">
        <v>79</v>
      </c>
      <c r="F3700" s="23" t="s">
        <v>315</v>
      </c>
      <c r="G3700" s="23" t="s">
        <v>250</v>
      </c>
      <c r="H3700" s="39">
        <f t="shared" si="228"/>
        <v>1499</v>
      </c>
      <c r="I3700" s="23" t="str">
        <f t="shared" si="229"/>
        <v>Unknown</v>
      </c>
      <c r="J3700" s="23">
        <f>COUNTIFS(pg_transaction_cleaned!$O:$O,A3700,pg_transaction_cleaned!$F:$F,"CAPTURE")</f>
        <v>1</v>
      </c>
      <c r="K3700" s="39">
        <f>SUMIFS(pg_transaction_cleaned!$H:$H,pg_transaction_cleaned!$O:$O,A3700,pg_transaction_cleaned!$F:$F,"CAPTURE")</f>
        <v>1499</v>
      </c>
      <c r="L3700" s="23">
        <f>COUNTIFS(pg_transaction_cleaned!$O:$O,A3700,pg_transaction_cleaned!$F:$F,"REFUND")</f>
        <v>0</v>
      </c>
      <c r="M3700" s="39">
        <f>SUMIFS(pg_transaction_cleaned!$H:$H,pg_transaction_cleaned!$O:$O,A3700,pg_transaction_cleaned!$F:$F,"REFUND")</f>
        <v>0</v>
      </c>
      <c r="N3700" s="23" t="str">
        <f t="shared" si="230"/>
        <v>OK</v>
      </c>
      <c r="O3700" s="24">
        <f t="shared" si="231"/>
        <v>0</v>
      </c>
    </row>
    <row r="3701" spans="1:15" ht="15" customHeight="1" x14ac:dyDescent="0.3">
      <c r="A3701" s="23" t="s">
        <v>7889</v>
      </c>
      <c r="B3701" s="38">
        <v>46268</v>
      </c>
      <c r="C3701" s="23" t="s">
        <v>7890</v>
      </c>
      <c r="D3701" s="23" t="s">
        <v>87</v>
      </c>
      <c r="E3701" s="23" t="s">
        <v>81</v>
      </c>
      <c r="F3701" s="23" t="s">
        <v>680</v>
      </c>
      <c r="G3701" s="23" t="s">
        <v>250</v>
      </c>
      <c r="H3701" s="39">
        <f t="shared" si="228"/>
        <v>5097</v>
      </c>
      <c r="I3701" s="23" t="str">
        <f t="shared" si="229"/>
        <v>Mumbai</v>
      </c>
      <c r="J3701" s="23">
        <f>COUNTIFS(pg_transaction_cleaned!$O:$O,A3701,pg_transaction_cleaned!$F:$F,"CAPTURE")</f>
        <v>1</v>
      </c>
      <c r="K3701" s="39">
        <f>SUMIFS(pg_transaction_cleaned!$H:$H,pg_transaction_cleaned!$O:$O,A3701,pg_transaction_cleaned!$F:$F,"CAPTURE")</f>
        <v>5097</v>
      </c>
      <c r="L3701" s="23">
        <f>COUNTIFS(pg_transaction_cleaned!$O:$O,A3701,pg_transaction_cleaned!$F:$F,"REFUND")</f>
        <v>0</v>
      </c>
      <c r="M3701" s="39">
        <f>SUMIFS(pg_transaction_cleaned!$H:$H,pg_transaction_cleaned!$O:$O,A3701,pg_transaction_cleaned!$F:$F,"REFUND")</f>
        <v>0</v>
      </c>
      <c r="N3701" s="23" t="str">
        <f t="shared" si="230"/>
        <v>OK</v>
      </c>
      <c r="O3701" s="24">
        <f t="shared" si="231"/>
        <v>0</v>
      </c>
    </row>
    <row r="3702" spans="1:15" ht="15" customHeight="1" x14ac:dyDescent="0.3">
      <c r="A3702" s="23" t="s">
        <v>7891</v>
      </c>
      <c r="B3702" s="38">
        <v>46267</v>
      </c>
      <c r="C3702" s="23" t="s">
        <v>7892</v>
      </c>
      <c r="D3702" s="23" t="s">
        <v>94</v>
      </c>
      <c r="E3702" s="23" t="s">
        <v>75</v>
      </c>
      <c r="F3702" s="23" t="s">
        <v>483</v>
      </c>
      <c r="G3702" s="23" t="s">
        <v>250</v>
      </c>
      <c r="H3702" s="39">
        <f t="shared" si="228"/>
        <v>2998</v>
      </c>
      <c r="I3702" s="23" t="str">
        <f t="shared" si="229"/>
        <v>Chennai</v>
      </c>
      <c r="J3702" s="23">
        <f>COUNTIFS(pg_transaction_cleaned!$O:$O,A3702,pg_transaction_cleaned!$F:$F,"CAPTURE")</f>
        <v>1</v>
      </c>
      <c r="K3702" s="39">
        <f>SUMIFS(pg_transaction_cleaned!$H:$H,pg_transaction_cleaned!$O:$O,A3702,pg_transaction_cleaned!$F:$F,"CAPTURE")</f>
        <v>2998</v>
      </c>
      <c r="L3702" s="23">
        <f>COUNTIFS(pg_transaction_cleaned!$O:$O,A3702,pg_transaction_cleaned!$F:$F,"REFUND")</f>
        <v>0</v>
      </c>
      <c r="M3702" s="39">
        <f>SUMIFS(pg_transaction_cleaned!$H:$H,pg_transaction_cleaned!$O:$O,A3702,pg_transaction_cleaned!$F:$F,"REFUND")</f>
        <v>0</v>
      </c>
      <c r="N3702" s="23" t="str">
        <f t="shared" si="230"/>
        <v>OK</v>
      </c>
      <c r="O3702" s="24">
        <f t="shared" si="231"/>
        <v>0</v>
      </c>
    </row>
    <row r="3703" spans="1:15" ht="15" customHeight="1" x14ac:dyDescent="0.3">
      <c r="A3703" s="23" t="s">
        <v>7893</v>
      </c>
      <c r="B3703" s="38">
        <v>46267</v>
      </c>
      <c r="C3703" s="23" t="s">
        <v>7894</v>
      </c>
      <c r="D3703" s="23" t="s">
        <v>86</v>
      </c>
      <c r="E3703" s="23" t="s">
        <v>79</v>
      </c>
      <c r="F3703" s="23" t="s">
        <v>268</v>
      </c>
      <c r="G3703" s="23" t="s">
        <v>250</v>
      </c>
      <c r="H3703" s="39">
        <f t="shared" si="228"/>
        <v>1299</v>
      </c>
      <c r="I3703" s="23" t="str">
        <f t="shared" si="229"/>
        <v>Delhi</v>
      </c>
      <c r="J3703" s="23">
        <f>COUNTIFS(pg_transaction_cleaned!$O:$O,A3703,pg_transaction_cleaned!$F:$F,"CAPTURE")</f>
        <v>1</v>
      </c>
      <c r="K3703" s="39">
        <f>SUMIFS(pg_transaction_cleaned!$H:$H,pg_transaction_cleaned!$O:$O,A3703,pg_transaction_cleaned!$F:$F,"CAPTURE")</f>
        <v>1299</v>
      </c>
      <c r="L3703" s="23">
        <f>COUNTIFS(pg_transaction_cleaned!$O:$O,A3703,pg_transaction_cleaned!$F:$F,"REFUND")</f>
        <v>0</v>
      </c>
      <c r="M3703" s="39">
        <f>SUMIFS(pg_transaction_cleaned!$H:$H,pg_transaction_cleaned!$O:$O,A3703,pg_transaction_cleaned!$F:$F,"REFUND")</f>
        <v>0</v>
      </c>
      <c r="N3703" s="23" t="str">
        <f t="shared" si="230"/>
        <v>OK</v>
      </c>
      <c r="O3703" s="24">
        <f t="shared" si="231"/>
        <v>0</v>
      </c>
    </row>
    <row r="3704" spans="1:15" ht="15" customHeight="1" x14ac:dyDescent="0.3">
      <c r="A3704" s="23" t="s">
        <v>7895</v>
      </c>
      <c r="B3704" s="38">
        <v>46267</v>
      </c>
      <c r="C3704" s="23" t="s">
        <v>7896</v>
      </c>
      <c r="D3704" s="23" t="s">
        <v>88</v>
      </c>
      <c r="E3704" s="23" t="s">
        <v>79</v>
      </c>
      <c r="F3704" s="23" t="s">
        <v>291</v>
      </c>
      <c r="G3704" s="23" t="s">
        <v>250</v>
      </c>
      <c r="H3704" s="39">
        <f t="shared" si="228"/>
        <v>3499</v>
      </c>
      <c r="I3704" s="23" t="str">
        <f t="shared" si="229"/>
        <v>Lucknow</v>
      </c>
      <c r="J3704" s="23">
        <f>COUNTIFS(pg_transaction_cleaned!$O:$O,A3704,pg_transaction_cleaned!$F:$F,"CAPTURE")</f>
        <v>1</v>
      </c>
      <c r="K3704" s="39">
        <f>SUMIFS(pg_transaction_cleaned!$H:$H,pg_transaction_cleaned!$O:$O,A3704,pg_transaction_cleaned!$F:$F,"CAPTURE")</f>
        <v>3499</v>
      </c>
      <c r="L3704" s="23">
        <f>COUNTIFS(pg_transaction_cleaned!$O:$O,A3704,pg_transaction_cleaned!$F:$F,"REFUND")</f>
        <v>0</v>
      </c>
      <c r="M3704" s="39">
        <f>SUMIFS(pg_transaction_cleaned!$H:$H,pg_transaction_cleaned!$O:$O,A3704,pg_transaction_cleaned!$F:$F,"REFUND")</f>
        <v>0</v>
      </c>
      <c r="N3704" s="23" t="str">
        <f t="shared" si="230"/>
        <v>OK</v>
      </c>
      <c r="O3704" s="24">
        <f t="shared" si="231"/>
        <v>0</v>
      </c>
    </row>
    <row r="3705" spans="1:15" ht="15" customHeight="1" x14ac:dyDescent="0.3">
      <c r="A3705" s="23" t="s">
        <v>7897</v>
      </c>
      <c r="B3705" s="38">
        <v>46289</v>
      </c>
      <c r="C3705" s="23" t="s">
        <v>7898</v>
      </c>
      <c r="D3705" s="23" t="s">
        <v>90</v>
      </c>
      <c r="E3705" s="23" t="s">
        <v>75</v>
      </c>
      <c r="F3705" s="23" t="s">
        <v>271</v>
      </c>
      <c r="G3705" s="23" t="s">
        <v>250</v>
      </c>
      <c r="H3705" s="39">
        <f t="shared" si="228"/>
        <v>2499</v>
      </c>
      <c r="I3705" s="23" t="str">
        <f t="shared" si="229"/>
        <v>Ahmedabad</v>
      </c>
      <c r="J3705" s="23">
        <f>COUNTIFS(pg_transaction_cleaned!$O:$O,A3705,pg_transaction_cleaned!$F:$F,"CAPTURE")</f>
        <v>1</v>
      </c>
      <c r="K3705" s="39">
        <f>SUMIFS(pg_transaction_cleaned!$H:$H,pg_transaction_cleaned!$O:$O,A3705,pg_transaction_cleaned!$F:$F,"CAPTURE")</f>
        <v>2499</v>
      </c>
      <c r="L3705" s="23">
        <f>COUNTIFS(pg_transaction_cleaned!$O:$O,A3705,pg_transaction_cleaned!$F:$F,"REFUND")</f>
        <v>0</v>
      </c>
      <c r="M3705" s="39">
        <f>SUMIFS(pg_transaction_cleaned!$H:$H,pg_transaction_cleaned!$O:$O,A3705,pg_transaction_cleaned!$F:$F,"REFUND")</f>
        <v>0</v>
      </c>
      <c r="N3705" s="23" t="str">
        <f t="shared" si="230"/>
        <v>OK</v>
      </c>
      <c r="O3705" s="24">
        <f t="shared" si="231"/>
        <v>0</v>
      </c>
    </row>
    <row r="3706" spans="1:15" ht="15" customHeight="1" x14ac:dyDescent="0.3">
      <c r="A3706" s="23" t="s">
        <v>7899</v>
      </c>
      <c r="B3706" s="38">
        <v>46267</v>
      </c>
      <c r="C3706" s="23" t="s">
        <v>7900</v>
      </c>
      <c r="D3706" s="23" t="s">
        <v>92</v>
      </c>
      <c r="E3706" s="23" t="s">
        <v>81</v>
      </c>
      <c r="F3706" s="23" t="s">
        <v>475</v>
      </c>
      <c r="G3706" s="23" t="s">
        <v>250</v>
      </c>
      <c r="H3706" s="39">
        <f t="shared" si="228"/>
        <v>799</v>
      </c>
      <c r="I3706" s="23" t="str">
        <f t="shared" si="229"/>
        <v>Hyderabad</v>
      </c>
      <c r="J3706" s="23">
        <f>COUNTIFS(pg_transaction_cleaned!$O:$O,A3706,pg_transaction_cleaned!$F:$F,"CAPTURE")</f>
        <v>1</v>
      </c>
      <c r="K3706" s="39">
        <f>SUMIFS(pg_transaction_cleaned!$H:$H,pg_transaction_cleaned!$O:$O,A3706,pg_transaction_cleaned!$F:$F,"CAPTURE")</f>
        <v>799</v>
      </c>
      <c r="L3706" s="23">
        <f>COUNTIFS(pg_transaction_cleaned!$O:$O,A3706,pg_transaction_cleaned!$F:$F,"REFUND")</f>
        <v>0</v>
      </c>
      <c r="M3706" s="39">
        <f>SUMIFS(pg_transaction_cleaned!$H:$H,pg_transaction_cleaned!$O:$O,A3706,pg_transaction_cleaned!$F:$F,"REFUND")</f>
        <v>0</v>
      </c>
      <c r="N3706" s="23" t="str">
        <f t="shared" si="230"/>
        <v>OK</v>
      </c>
      <c r="O3706" s="24">
        <f t="shared" si="231"/>
        <v>0</v>
      </c>
    </row>
    <row r="3707" spans="1:15" ht="15" customHeight="1" x14ac:dyDescent="0.3">
      <c r="A3707" s="23" t="s">
        <v>7901</v>
      </c>
      <c r="B3707" s="38">
        <v>46293</v>
      </c>
      <c r="C3707" s="23" t="s">
        <v>7902</v>
      </c>
      <c r="D3707" s="23" t="s">
        <v>93</v>
      </c>
      <c r="E3707" s="23" t="s">
        <v>79</v>
      </c>
      <c r="F3707" s="23" t="s">
        <v>300</v>
      </c>
      <c r="G3707" s="23" t="s">
        <v>250</v>
      </c>
      <c r="H3707" s="39">
        <f t="shared" si="228"/>
        <v>2598</v>
      </c>
      <c r="I3707" s="23" t="str">
        <f t="shared" si="229"/>
        <v>Kolkata</v>
      </c>
      <c r="J3707" s="23">
        <f>COUNTIFS(pg_transaction_cleaned!$O:$O,A3707,pg_transaction_cleaned!$F:$F,"CAPTURE")</f>
        <v>1</v>
      </c>
      <c r="K3707" s="39">
        <f>SUMIFS(pg_transaction_cleaned!$H:$H,pg_transaction_cleaned!$O:$O,A3707,pg_transaction_cleaned!$F:$F,"CAPTURE")</f>
        <v>2598</v>
      </c>
      <c r="L3707" s="23">
        <f>COUNTIFS(pg_transaction_cleaned!$O:$O,A3707,pg_transaction_cleaned!$F:$F,"REFUND")</f>
        <v>0</v>
      </c>
      <c r="M3707" s="39">
        <f>SUMIFS(pg_transaction_cleaned!$H:$H,pg_transaction_cleaned!$O:$O,A3707,pg_transaction_cleaned!$F:$F,"REFUND")</f>
        <v>0</v>
      </c>
      <c r="N3707" s="23" t="str">
        <f t="shared" si="230"/>
        <v>OK</v>
      </c>
      <c r="O3707" s="24">
        <f t="shared" si="231"/>
        <v>0</v>
      </c>
    </row>
    <row r="3708" spans="1:15" ht="15" customHeight="1" x14ac:dyDescent="0.3">
      <c r="A3708" s="23" t="s">
        <v>7903</v>
      </c>
      <c r="B3708" s="38">
        <v>46266</v>
      </c>
      <c r="C3708" s="23" t="s">
        <v>7904</v>
      </c>
      <c r="D3708" s="23" t="s">
        <v>94</v>
      </c>
      <c r="E3708" s="23" t="s">
        <v>75</v>
      </c>
      <c r="F3708" s="23" t="s">
        <v>717</v>
      </c>
      <c r="G3708" s="23" t="s">
        <v>250</v>
      </c>
      <c r="H3708" s="39">
        <f t="shared" si="228"/>
        <v>5298</v>
      </c>
      <c r="I3708" s="23" t="str">
        <f t="shared" si="229"/>
        <v>Chennai</v>
      </c>
      <c r="J3708" s="23">
        <f>COUNTIFS(pg_transaction_cleaned!$O:$O,A3708,pg_transaction_cleaned!$F:$F,"CAPTURE")</f>
        <v>1</v>
      </c>
      <c r="K3708" s="39">
        <f>SUMIFS(pg_transaction_cleaned!$H:$H,pg_transaction_cleaned!$O:$O,A3708,pg_transaction_cleaned!$F:$F,"CAPTURE")</f>
        <v>5298</v>
      </c>
      <c r="L3708" s="23">
        <f>COUNTIFS(pg_transaction_cleaned!$O:$O,A3708,pg_transaction_cleaned!$F:$F,"REFUND")</f>
        <v>0</v>
      </c>
      <c r="M3708" s="39">
        <f>SUMIFS(pg_transaction_cleaned!$H:$H,pg_transaction_cleaned!$O:$O,A3708,pg_transaction_cleaned!$F:$F,"REFUND")</f>
        <v>0</v>
      </c>
      <c r="N3708" s="23" t="str">
        <f t="shared" si="230"/>
        <v>OK</v>
      </c>
      <c r="O3708" s="24">
        <f t="shared" si="231"/>
        <v>0</v>
      </c>
    </row>
    <row r="3709" spans="1:15" ht="15" customHeight="1" x14ac:dyDescent="0.3">
      <c r="A3709" s="23" t="s">
        <v>7905</v>
      </c>
      <c r="B3709" s="38">
        <v>46268</v>
      </c>
      <c r="C3709" s="23" t="s">
        <v>7906</v>
      </c>
      <c r="D3709" s="23" t="s">
        <v>88</v>
      </c>
      <c r="E3709" s="23" t="s">
        <v>75</v>
      </c>
      <c r="F3709" s="23" t="s">
        <v>291</v>
      </c>
      <c r="G3709" s="23" t="s">
        <v>250</v>
      </c>
      <c r="H3709" s="39">
        <f t="shared" si="228"/>
        <v>3499</v>
      </c>
      <c r="I3709" s="23" t="str">
        <f t="shared" si="229"/>
        <v>Lucknow</v>
      </c>
      <c r="J3709" s="23">
        <f>COUNTIFS(pg_transaction_cleaned!$O:$O,A3709,pg_transaction_cleaned!$F:$F,"CAPTURE")</f>
        <v>1</v>
      </c>
      <c r="K3709" s="39">
        <f>SUMIFS(pg_transaction_cleaned!$H:$H,pg_transaction_cleaned!$O:$O,A3709,pg_transaction_cleaned!$F:$F,"CAPTURE")</f>
        <v>3499</v>
      </c>
      <c r="L3709" s="23">
        <f>COUNTIFS(pg_transaction_cleaned!$O:$O,A3709,pg_transaction_cleaned!$F:$F,"REFUND")</f>
        <v>0</v>
      </c>
      <c r="M3709" s="39">
        <f>SUMIFS(pg_transaction_cleaned!$H:$H,pg_transaction_cleaned!$O:$O,A3709,pg_transaction_cleaned!$F:$F,"REFUND")</f>
        <v>0</v>
      </c>
      <c r="N3709" s="23" t="str">
        <f t="shared" si="230"/>
        <v>OK</v>
      </c>
      <c r="O3709" s="24">
        <f t="shared" si="231"/>
        <v>0</v>
      </c>
    </row>
    <row r="3710" spans="1:15" ht="15" customHeight="1" x14ac:dyDescent="0.3">
      <c r="A3710" s="23" t="s">
        <v>7907</v>
      </c>
      <c r="B3710" s="38">
        <v>46268</v>
      </c>
      <c r="C3710" s="23" t="s">
        <v>7908</v>
      </c>
      <c r="D3710" s="23" t="s">
        <v>91</v>
      </c>
      <c r="E3710" s="23" t="s">
        <v>79</v>
      </c>
      <c r="F3710" s="23" t="s">
        <v>259</v>
      </c>
      <c r="G3710" s="23" t="s">
        <v>301</v>
      </c>
      <c r="H3710" s="39">
        <f t="shared" si="228"/>
        <v>3298</v>
      </c>
      <c r="I3710" s="23" t="str">
        <f t="shared" si="229"/>
        <v>Pune</v>
      </c>
      <c r="J3710" s="23">
        <f>COUNTIFS(pg_transaction_cleaned!$O:$O,A3710,pg_transaction_cleaned!$F:$F,"CAPTURE")</f>
        <v>1</v>
      </c>
      <c r="K3710" s="39">
        <f>SUMIFS(pg_transaction_cleaned!$H:$H,pg_transaction_cleaned!$O:$O,A3710,pg_transaction_cleaned!$F:$F,"CAPTURE")</f>
        <v>3298</v>
      </c>
      <c r="L3710" s="23">
        <f>COUNTIFS(pg_transaction_cleaned!$O:$O,A3710,pg_transaction_cleaned!$F:$F,"REFUND")</f>
        <v>1</v>
      </c>
      <c r="M3710" s="39">
        <f>SUMIFS(pg_transaction_cleaned!$H:$H,pg_transaction_cleaned!$O:$O,A3710,pg_transaction_cleaned!$F:$F,"REFUND")</f>
        <v>3298</v>
      </c>
      <c r="N3710" s="23" t="str">
        <f t="shared" si="230"/>
        <v>OK</v>
      </c>
      <c r="O3710" s="24">
        <f t="shared" si="231"/>
        <v>0</v>
      </c>
    </row>
    <row r="3711" spans="1:15" ht="15" customHeight="1" x14ac:dyDescent="0.3">
      <c r="A3711" s="23" t="s">
        <v>7909</v>
      </c>
      <c r="B3711" s="38">
        <v>46281</v>
      </c>
      <c r="C3711" s="23" t="s">
        <v>7910</v>
      </c>
      <c r="D3711" s="23" t="s">
        <v>92</v>
      </c>
      <c r="E3711" s="23" t="s">
        <v>79</v>
      </c>
      <c r="F3711" s="23" t="s">
        <v>1693</v>
      </c>
      <c r="G3711" s="23" t="s">
        <v>250</v>
      </c>
      <c r="H3711" s="39">
        <f t="shared" si="228"/>
        <v>4097</v>
      </c>
      <c r="I3711" s="23" t="str">
        <f t="shared" si="229"/>
        <v>Hyderabad</v>
      </c>
      <c r="J3711" s="23">
        <f>COUNTIFS(pg_transaction_cleaned!$O:$O,A3711,pg_transaction_cleaned!$F:$F,"CAPTURE")</f>
        <v>1</v>
      </c>
      <c r="K3711" s="39">
        <f>SUMIFS(pg_transaction_cleaned!$H:$H,pg_transaction_cleaned!$O:$O,A3711,pg_transaction_cleaned!$F:$F,"CAPTURE")</f>
        <v>4097</v>
      </c>
      <c r="L3711" s="23">
        <f>COUNTIFS(pg_transaction_cleaned!$O:$O,A3711,pg_transaction_cleaned!$F:$F,"REFUND")</f>
        <v>0</v>
      </c>
      <c r="M3711" s="39">
        <f>SUMIFS(pg_transaction_cleaned!$H:$H,pg_transaction_cleaned!$O:$O,A3711,pg_transaction_cleaned!$F:$F,"REFUND")</f>
        <v>0</v>
      </c>
      <c r="N3711" s="23" t="str">
        <f t="shared" si="230"/>
        <v>OK</v>
      </c>
      <c r="O3711" s="24">
        <f t="shared" si="231"/>
        <v>0</v>
      </c>
    </row>
    <row r="3712" spans="1:15" ht="15" customHeight="1" x14ac:dyDescent="0.3">
      <c r="A3712" s="23" t="s">
        <v>7911</v>
      </c>
      <c r="B3712" s="38">
        <v>46277</v>
      </c>
      <c r="C3712" s="23" t="s">
        <v>7912</v>
      </c>
      <c r="D3712" s="23" t="s">
        <v>94</v>
      </c>
      <c r="E3712" s="23" t="s">
        <v>81</v>
      </c>
      <c r="F3712" s="23" t="s">
        <v>1975</v>
      </c>
      <c r="G3712" s="23" t="s">
        <v>250</v>
      </c>
      <c r="H3712" s="39">
        <f t="shared" si="228"/>
        <v>1398</v>
      </c>
      <c r="I3712" s="23" t="str">
        <f t="shared" si="229"/>
        <v>Chennai</v>
      </c>
      <c r="J3712" s="23">
        <f>COUNTIFS(pg_transaction_cleaned!$O:$O,A3712,pg_transaction_cleaned!$F:$F,"CAPTURE")</f>
        <v>1</v>
      </c>
      <c r="K3712" s="39">
        <f>SUMIFS(pg_transaction_cleaned!$H:$H,pg_transaction_cleaned!$O:$O,A3712,pg_transaction_cleaned!$F:$F,"CAPTURE")</f>
        <v>1398</v>
      </c>
      <c r="L3712" s="23">
        <f>COUNTIFS(pg_transaction_cleaned!$O:$O,A3712,pg_transaction_cleaned!$F:$F,"REFUND")</f>
        <v>0</v>
      </c>
      <c r="M3712" s="39">
        <f>SUMIFS(pg_transaction_cleaned!$H:$H,pg_transaction_cleaned!$O:$O,A3712,pg_transaction_cleaned!$F:$F,"REFUND")</f>
        <v>0</v>
      </c>
      <c r="N3712" s="23" t="str">
        <f t="shared" si="230"/>
        <v>OK</v>
      </c>
      <c r="O3712" s="24">
        <f t="shared" si="231"/>
        <v>0</v>
      </c>
    </row>
    <row r="3713" spans="1:15" ht="15" customHeight="1" x14ac:dyDescent="0.3">
      <c r="A3713" s="23" t="s">
        <v>7913</v>
      </c>
      <c r="B3713" s="38">
        <v>46282</v>
      </c>
      <c r="C3713" s="23" t="s">
        <v>7914</v>
      </c>
      <c r="D3713" s="23" t="s">
        <v>94</v>
      </c>
      <c r="E3713" s="23" t="s">
        <v>79</v>
      </c>
      <c r="F3713" s="23" t="s">
        <v>265</v>
      </c>
      <c r="G3713" s="23" t="s">
        <v>250</v>
      </c>
      <c r="H3713" s="39">
        <f t="shared" si="228"/>
        <v>999</v>
      </c>
      <c r="I3713" s="23" t="str">
        <f t="shared" si="229"/>
        <v>Chennai</v>
      </c>
      <c r="J3713" s="23">
        <f>COUNTIFS(pg_transaction_cleaned!$O:$O,A3713,pg_transaction_cleaned!$F:$F,"CAPTURE")</f>
        <v>1</v>
      </c>
      <c r="K3713" s="39">
        <f>SUMIFS(pg_transaction_cleaned!$H:$H,pg_transaction_cleaned!$O:$O,A3713,pg_transaction_cleaned!$F:$F,"CAPTURE")</f>
        <v>999</v>
      </c>
      <c r="L3713" s="23">
        <f>COUNTIFS(pg_transaction_cleaned!$O:$O,A3713,pg_transaction_cleaned!$F:$F,"REFUND")</f>
        <v>0</v>
      </c>
      <c r="M3713" s="39">
        <f>SUMIFS(pg_transaction_cleaned!$H:$H,pg_transaction_cleaned!$O:$O,A3713,pg_transaction_cleaned!$F:$F,"REFUND")</f>
        <v>0</v>
      </c>
      <c r="N3713" s="23" t="str">
        <f t="shared" si="230"/>
        <v>OK</v>
      </c>
      <c r="O3713" s="24">
        <f t="shared" si="231"/>
        <v>0</v>
      </c>
    </row>
    <row r="3714" spans="1:15" ht="15" customHeight="1" x14ac:dyDescent="0.3">
      <c r="A3714" s="23" t="s">
        <v>7915</v>
      </c>
      <c r="B3714" s="38">
        <v>46294</v>
      </c>
      <c r="C3714" s="23" t="s">
        <v>7916</v>
      </c>
      <c r="D3714" s="23" t="s">
        <v>94</v>
      </c>
      <c r="E3714" s="23" t="s">
        <v>79</v>
      </c>
      <c r="F3714" s="23" t="s">
        <v>357</v>
      </c>
      <c r="G3714" s="23" t="s">
        <v>250</v>
      </c>
      <c r="H3714" s="39">
        <f t="shared" ref="H3714:H3777" si="232">VALUE(SUBSTITUTE(F3714,",",""))</f>
        <v>1598</v>
      </c>
      <c r="I3714" s="23" t="str">
        <f t="shared" ref="I3714:I3777" si="233">IF(TRIM(D3714)="","Unknown",TRIM(D3714))</f>
        <v>Chennai</v>
      </c>
      <c r="J3714" s="23">
        <f>COUNTIFS(pg_transaction_cleaned!$O:$O,A3714,pg_transaction_cleaned!$F:$F,"CAPTURE")</f>
        <v>1</v>
      </c>
      <c r="K3714" s="39">
        <f>SUMIFS(pg_transaction_cleaned!$H:$H,pg_transaction_cleaned!$O:$O,A3714,pg_transaction_cleaned!$F:$F,"CAPTURE")</f>
        <v>1598</v>
      </c>
      <c r="L3714" s="23">
        <f>COUNTIFS(pg_transaction_cleaned!$O:$O,A3714,pg_transaction_cleaned!$F:$F,"REFUND")</f>
        <v>0</v>
      </c>
      <c r="M3714" s="39">
        <f>SUMIFS(pg_transaction_cleaned!$H:$H,pg_transaction_cleaned!$O:$O,A3714,pg_transaction_cleaned!$F:$F,"REFUND")</f>
        <v>0</v>
      </c>
      <c r="N3714" s="23" t="str">
        <f t="shared" ref="N3714:N3777" si="234">IF(AND(G3714="Paid",J3714=0),"Paid, no payment",IF(AND(OR(G3714="Failed",G3714="Cancelled"),J3714&gt;0),"Payment on failed/cancelled",IF(J3714&gt;1,"Duplicate charge",IF(AND(J3714=1,ROUND(K3714-H3714,2)&lt;&gt;0),"Amount difference",IF(AND(G3714="Refunded",L3714=0),"Refunded, no refund",IF(AND(G3714&lt;&gt;"Refunded",L3714&gt;0),"Refund, order not Refunded",IF(AND(L3714&gt;0,ROUND(M3714-H3714,2)&lt;&gt;0),"Refund amount differs","OK")))))))</f>
        <v>OK</v>
      </c>
      <c r="O3714" s="24">
        <f t="shared" ref="O3714:O3777" si="235">IF(N3714="OK",0,IF(N3714="Paid, no payment",H3714,IF(N3714="Payment on failed/cancelled",K3714,IF(OR(N3714="Duplicate charge",N3714="Amount difference"),K3714-H3714,IF(N3714="Refunded, no refund",H3714,M3714)))))</f>
        <v>0</v>
      </c>
    </row>
    <row r="3715" spans="1:15" ht="15" customHeight="1" x14ac:dyDescent="0.3">
      <c r="A3715" s="23" t="s">
        <v>7917</v>
      </c>
      <c r="B3715" s="38">
        <v>46273</v>
      </c>
      <c r="C3715" s="23" t="s">
        <v>7918</v>
      </c>
      <c r="D3715" s="23" t="s">
        <v>90</v>
      </c>
      <c r="E3715" s="23" t="s">
        <v>75</v>
      </c>
      <c r="F3715" s="23" t="s">
        <v>429</v>
      </c>
      <c r="G3715" s="23" t="s">
        <v>365</v>
      </c>
      <c r="H3715" s="39">
        <f t="shared" si="232"/>
        <v>3348</v>
      </c>
      <c r="I3715" s="23" t="str">
        <f t="shared" si="233"/>
        <v>Ahmedabad</v>
      </c>
      <c r="J3715" s="23">
        <f>COUNTIFS(pg_transaction_cleaned!$O:$O,A3715,pg_transaction_cleaned!$F:$F,"CAPTURE")</f>
        <v>0</v>
      </c>
      <c r="K3715" s="39">
        <f>SUMIFS(pg_transaction_cleaned!$H:$H,pg_transaction_cleaned!$O:$O,A3715,pg_transaction_cleaned!$F:$F,"CAPTURE")</f>
        <v>0</v>
      </c>
      <c r="L3715" s="23">
        <f>COUNTIFS(pg_transaction_cleaned!$O:$O,A3715,pg_transaction_cleaned!$F:$F,"REFUND")</f>
        <v>0</v>
      </c>
      <c r="M3715" s="39">
        <f>SUMIFS(pg_transaction_cleaned!$H:$H,pg_transaction_cleaned!$O:$O,A3715,pg_transaction_cleaned!$F:$F,"REFUND")</f>
        <v>0</v>
      </c>
      <c r="N3715" s="23" t="str">
        <f t="shared" si="234"/>
        <v>OK</v>
      </c>
      <c r="O3715" s="24">
        <f t="shared" si="235"/>
        <v>0</v>
      </c>
    </row>
    <row r="3716" spans="1:15" ht="15" customHeight="1" x14ac:dyDescent="0.3">
      <c r="A3716" s="23" t="s">
        <v>7919</v>
      </c>
      <c r="B3716" s="38">
        <v>46266</v>
      </c>
      <c r="C3716" s="23" t="s">
        <v>7920</v>
      </c>
      <c r="D3716" s="23" t="s">
        <v>92</v>
      </c>
      <c r="E3716" s="23" t="s">
        <v>75</v>
      </c>
      <c r="F3716" s="23" t="s">
        <v>475</v>
      </c>
      <c r="G3716" s="23" t="s">
        <v>250</v>
      </c>
      <c r="H3716" s="39">
        <f t="shared" si="232"/>
        <v>799</v>
      </c>
      <c r="I3716" s="23" t="str">
        <f t="shared" si="233"/>
        <v>Hyderabad</v>
      </c>
      <c r="J3716" s="23">
        <f>COUNTIFS(pg_transaction_cleaned!$O:$O,A3716,pg_transaction_cleaned!$F:$F,"CAPTURE")</f>
        <v>1</v>
      </c>
      <c r="K3716" s="39">
        <f>SUMIFS(pg_transaction_cleaned!$H:$H,pg_transaction_cleaned!$O:$O,A3716,pg_transaction_cleaned!$F:$F,"CAPTURE")</f>
        <v>799</v>
      </c>
      <c r="L3716" s="23">
        <f>COUNTIFS(pg_transaction_cleaned!$O:$O,A3716,pg_transaction_cleaned!$F:$F,"REFUND")</f>
        <v>0</v>
      </c>
      <c r="M3716" s="39">
        <f>SUMIFS(pg_transaction_cleaned!$H:$H,pg_transaction_cleaned!$O:$O,A3716,pg_transaction_cleaned!$F:$F,"REFUND")</f>
        <v>0</v>
      </c>
      <c r="N3716" s="23" t="str">
        <f t="shared" si="234"/>
        <v>OK</v>
      </c>
      <c r="O3716" s="24">
        <f t="shared" si="235"/>
        <v>0</v>
      </c>
    </row>
    <row r="3717" spans="1:15" ht="15" customHeight="1" x14ac:dyDescent="0.3">
      <c r="A3717" s="23" t="s">
        <v>7921</v>
      </c>
      <c r="B3717" s="38">
        <v>46276</v>
      </c>
      <c r="C3717" s="23" t="s">
        <v>7819</v>
      </c>
      <c r="D3717" s="23" t="s">
        <v>88</v>
      </c>
      <c r="E3717" s="23" t="s">
        <v>77</v>
      </c>
      <c r="F3717" s="23" t="s">
        <v>274</v>
      </c>
      <c r="G3717" s="23" t="s">
        <v>250</v>
      </c>
      <c r="H3717" s="39">
        <f t="shared" si="232"/>
        <v>349</v>
      </c>
      <c r="I3717" s="23" t="str">
        <f t="shared" si="233"/>
        <v>Lucknow</v>
      </c>
      <c r="J3717" s="23">
        <f>COUNTIFS(pg_transaction_cleaned!$O:$O,A3717,pg_transaction_cleaned!$F:$F,"CAPTURE")</f>
        <v>1</v>
      </c>
      <c r="K3717" s="39">
        <f>SUMIFS(pg_transaction_cleaned!$H:$H,pg_transaction_cleaned!$O:$O,A3717,pg_transaction_cleaned!$F:$F,"CAPTURE")</f>
        <v>349</v>
      </c>
      <c r="L3717" s="23">
        <f>COUNTIFS(pg_transaction_cleaned!$O:$O,A3717,pg_transaction_cleaned!$F:$F,"REFUND")</f>
        <v>0</v>
      </c>
      <c r="M3717" s="39">
        <f>SUMIFS(pg_transaction_cleaned!$H:$H,pg_transaction_cleaned!$O:$O,A3717,pg_transaction_cleaned!$F:$F,"REFUND")</f>
        <v>0</v>
      </c>
      <c r="N3717" s="23" t="str">
        <f t="shared" si="234"/>
        <v>OK</v>
      </c>
      <c r="O3717" s="24">
        <f t="shared" si="235"/>
        <v>0</v>
      </c>
    </row>
    <row r="3718" spans="1:15" ht="15" customHeight="1" x14ac:dyDescent="0.3">
      <c r="A3718" s="23" t="s">
        <v>7922</v>
      </c>
      <c r="B3718" s="38">
        <v>46295</v>
      </c>
      <c r="C3718" s="23" t="s">
        <v>7923</v>
      </c>
      <c r="D3718" s="23" t="s">
        <v>95</v>
      </c>
      <c r="E3718" s="23" t="s">
        <v>75</v>
      </c>
      <c r="F3718" s="23" t="s">
        <v>1799</v>
      </c>
      <c r="G3718" s="23" t="s">
        <v>250</v>
      </c>
      <c r="H3718" s="39">
        <f t="shared" si="232"/>
        <v>2797</v>
      </c>
      <c r="I3718" s="23" t="str">
        <f t="shared" si="233"/>
        <v>Bengaluru</v>
      </c>
      <c r="J3718" s="23">
        <f>COUNTIFS(pg_transaction_cleaned!$O:$O,A3718,pg_transaction_cleaned!$F:$F,"CAPTURE")</f>
        <v>1</v>
      </c>
      <c r="K3718" s="39">
        <f>SUMIFS(pg_transaction_cleaned!$H:$H,pg_transaction_cleaned!$O:$O,A3718,pg_transaction_cleaned!$F:$F,"CAPTURE")</f>
        <v>2797</v>
      </c>
      <c r="L3718" s="23">
        <f>COUNTIFS(pg_transaction_cleaned!$O:$O,A3718,pg_transaction_cleaned!$F:$F,"REFUND")</f>
        <v>0</v>
      </c>
      <c r="M3718" s="39">
        <f>SUMIFS(pg_transaction_cleaned!$H:$H,pg_transaction_cleaned!$O:$O,A3718,pg_transaction_cleaned!$F:$F,"REFUND")</f>
        <v>0</v>
      </c>
      <c r="N3718" s="23" t="str">
        <f t="shared" si="234"/>
        <v>OK</v>
      </c>
      <c r="O3718" s="24">
        <f t="shared" si="235"/>
        <v>0</v>
      </c>
    </row>
    <row r="3719" spans="1:15" ht="15" customHeight="1" x14ac:dyDescent="0.3">
      <c r="A3719" s="23" t="s">
        <v>7924</v>
      </c>
      <c r="B3719" s="38">
        <v>46284</v>
      </c>
      <c r="C3719" s="23" t="s">
        <v>7925</v>
      </c>
      <c r="D3719" s="23" t="s">
        <v>95</v>
      </c>
      <c r="E3719" s="23" t="s">
        <v>77</v>
      </c>
      <c r="F3719" s="23" t="s">
        <v>340</v>
      </c>
      <c r="G3719" s="23" t="s">
        <v>250</v>
      </c>
      <c r="H3719" s="39">
        <f t="shared" si="232"/>
        <v>6298</v>
      </c>
      <c r="I3719" s="23" t="str">
        <f t="shared" si="233"/>
        <v>Bengaluru</v>
      </c>
      <c r="J3719" s="23">
        <f>COUNTIFS(pg_transaction_cleaned!$O:$O,A3719,pg_transaction_cleaned!$F:$F,"CAPTURE")</f>
        <v>1</v>
      </c>
      <c r="K3719" s="39">
        <f>SUMIFS(pg_transaction_cleaned!$H:$H,pg_transaction_cleaned!$O:$O,A3719,pg_transaction_cleaned!$F:$F,"CAPTURE")</f>
        <v>6298</v>
      </c>
      <c r="L3719" s="23">
        <f>COUNTIFS(pg_transaction_cleaned!$O:$O,A3719,pg_transaction_cleaned!$F:$F,"REFUND")</f>
        <v>0</v>
      </c>
      <c r="M3719" s="39">
        <f>SUMIFS(pg_transaction_cleaned!$H:$H,pg_transaction_cleaned!$O:$O,A3719,pg_transaction_cleaned!$F:$F,"REFUND")</f>
        <v>0</v>
      </c>
      <c r="N3719" s="23" t="str">
        <f t="shared" si="234"/>
        <v>OK</v>
      </c>
      <c r="O3719" s="24">
        <f t="shared" si="235"/>
        <v>0</v>
      </c>
    </row>
    <row r="3720" spans="1:15" ht="15" customHeight="1" x14ac:dyDescent="0.3">
      <c r="A3720" s="23" t="s">
        <v>7926</v>
      </c>
      <c r="B3720" s="38">
        <v>46282</v>
      </c>
      <c r="C3720" s="23" t="s">
        <v>7927</v>
      </c>
      <c r="D3720" s="23" t="s">
        <v>87</v>
      </c>
      <c r="E3720" s="23" t="s">
        <v>75</v>
      </c>
      <c r="F3720" s="23" t="s">
        <v>310</v>
      </c>
      <c r="G3720" s="23" t="s">
        <v>250</v>
      </c>
      <c r="H3720" s="39">
        <f t="shared" si="232"/>
        <v>7999</v>
      </c>
      <c r="I3720" s="23" t="str">
        <f t="shared" si="233"/>
        <v>Mumbai</v>
      </c>
      <c r="J3720" s="23">
        <f>COUNTIFS(pg_transaction_cleaned!$O:$O,A3720,pg_transaction_cleaned!$F:$F,"CAPTURE")</f>
        <v>1</v>
      </c>
      <c r="K3720" s="39">
        <f>SUMIFS(pg_transaction_cleaned!$H:$H,pg_transaction_cleaned!$O:$O,A3720,pg_transaction_cleaned!$F:$F,"CAPTURE")</f>
        <v>7999</v>
      </c>
      <c r="L3720" s="23">
        <f>COUNTIFS(pg_transaction_cleaned!$O:$O,A3720,pg_transaction_cleaned!$F:$F,"REFUND")</f>
        <v>0</v>
      </c>
      <c r="M3720" s="39">
        <f>SUMIFS(pg_transaction_cleaned!$H:$H,pg_transaction_cleaned!$O:$O,A3720,pg_transaction_cleaned!$F:$F,"REFUND")</f>
        <v>0</v>
      </c>
      <c r="N3720" s="23" t="str">
        <f t="shared" si="234"/>
        <v>OK</v>
      </c>
      <c r="O3720" s="24">
        <f t="shared" si="235"/>
        <v>0</v>
      </c>
    </row>
    <row r="3721" spans="1:15" ht="15" customHeight="1" x14ac:dyDescent="0.3">
      <c r="A3721" s="23" t="s">
        <v>7928</v>
      </c>
      <c r="B3721" s="38">
        <v>46287</v>
      </c>
      <c r="C3721" s="23" t="s">
        <v>7929</v>
      </c>
      <c r="D3721" s="23" t="s">
        <v>88</v>
      </c>
      <c r="E3721" s="23" t="s">
        <v>75</v>
      </c>
      <c r="F3721" s="23" t="s">
        <v>567</v>
      </c>
      <c r="G3721" s="23" t="s">
        <v>250</v>
      </c>
      <c r="H3721" s="39">
        <f t="shared" si="232"/>
        <v>3598</v>
      </c>
      <c r="I3721" s="23" t="str">
        <f t="shared" si="233"/>
        <v>Lucknow</v>
      </c>
      <c r="J3721" s="23">
        <f>COUNTIFS(pg_transaction_cleaned!$O:$O,A3721,pg_transaction_cleaned!$F:$F,"CAPTURE")</f>
        <v>1</v>
      </c>
      <c r="K3721" s="39">
        <f>SUMIFS(pg_transaction_cleaned!$H:$H,pg_transaction_cleaned!$O:$O,A3721,pg_transaction_cleaned!$F:$F,"CAPTURE")</f>
        <v>3598</v>
      </c>
      <c r="L3721" s="23">
        <f>COUNTIFS(pg_transaction_cleaned!$O:$O,A3721,pg_transaction_cleaned!$F:$F,"REFUND")</f>
        <v>0</v>
      </c>
      <c r="M3721" s="39">
        <f>SUMIFS(pg_transaction_cleaned!$H:$H,pg_transaction_cleaned!$O:$O,A3721,pg_transaction_cleaned!$F:$F,"REFUND")</f>
        <v>0</v>
      </c>
      <c r="N3721" s="23" t="str">
        <f t="shared" si="234"/>
        <v>OK</v>
      </c>
      <c r="O3721" s="24">
        <f t="shared" si="235"/>
        <v>0</v>
      </c>
    </row>
    <row r="3722" spans="1:15" ht="15" customHeight="1" x14ac:dyDescent="0.3">
      <c r="A3722" s="23" t="s">
        <v>7930</v>
      </c>
      <c r="B3722" s="38">
        <v>46288</v>
      </c>
      <c r="C3722" s="23" t="s">
        <v>7931</v>
      </c>
      <c r="D3722" s="23" t="s">
        <v>88</v>
      </c>
      <c r="E3722" s="23" t="s">
        <v>75</v>
      </c>
      <c r="F3722" s="23" t="s">
        <v>274</v>
      </c>
      <c r="G3722" s="23" t="s">
        <v>301</v>
      </c>
      <c r="H3722" s="39">
        <f t="shared" si="232"/>
        <v>349</v>
      </c>
      <c r="I3722" s="23" t="str">
        <f t="shared" si="233"/>
        <v>Lucknow</v>
      </c>
      <c r="J3722" s="23">
        <f>COUNTIFS(pg_transaction_cleaned!$O:$O,A3722,pg_transaction_cleaned!$F:$F,"CAPTURE")</f>
        <v>1</v>
      </c>
      <c r="K3722" s="39">
        <f>SUMIFS(pg_transaction_cleaned!$H:$H,pg_transaction_cleaned!$O:$O,A3722,pg_transaction_cleaned!$F:$F,"CAPTURE")</f>
        <v>349</v>
      </c>
      <c r="L3722" s="23">
        <f>COUNTIFS(pg_transaction_cleaned!$O:$O,A3722,pg_transaction_cleaned!$F:$F,"REFUND")</f>
        <v>1</v>
      </c>
      <c r="M3722" s="39">
        <f>SUMIFS(pg_transaction_cleaned!$H:$H,pg_transaction_cleaned!$O:$O,A3722,pg_transaction_cleaned!$F:$F,"REFUND")</f>
        <v>349</v>
      </c>
      <c r="N3722" s="23" t="str">
        <f t="shared" si="234"/>
        <v>OK</v>
      </c>
      <c r="O3722" s="24">
        <f t="shared" si="235"/>
        <v>0</v>
      </c>
    </row>
    <row r="3723" spans="1:15" ht="15" customHeight="1" x14ac:dyDescent="0.3">
      <c r="A3723" s="23" t="s">
        <v>7932</v>
      </c>
      <c r="B3723" s="38">
        <v>46272</v>
      </c>
      <c r="C3723" s="23" t="s">
        <v>7933</v>
      </c>
      <c r="D3723" s="23"/>
      <c r="E3723" s="23" t="s">
        <v>79</v>
      </c>
      <c r="F3723" s="23" t="s">
        <v>291</v>
      </c>
      <c r="G3723" s="23" t="s">
        <v>250</v>
      </c>
      <c r="H3723" s="39">
        <f t="shared" si="232"/>
        <v>3499</v>
      </c>
      <c r="I3723" s="23" t="str">
        <f t="shared" si="233"/>
        <v>Unknown</v>
      </c>
      <c r="J3723" s="23">
        <f>COUNTIFS(pg_transaction_cleaned!$O:$O,A3723,pg_transaction_cleaned!$F:$F,"CAPTURE")</f>
        <v>1</v>
      </c>
      <c r="K3723" s="39">
        <f>SUMIFS(pg_transaction_cleaned!$H:$H,pg_transaction_cleaned!$O:$O,A3723,pg_transaction_cleaned!$F:$F,"CAPTURE")</f>
        <v>3499</v>
      </c>
      <c r="L3723" s="23">
        <f>COUNTIFS(pg_transaction_cleaned!$O:$O,A3723,pg_transaction_cleaned!$F:$F,"REFUND")</f>
        <v>0</v>
      </c>
      <c r="M3723" s="39">
        <f>SUMIFS(pg_transaction_cleaned!$H:$H,pg_transaction_cleaned!$O:$O,A3723,pg_transaction_cleaned!$F:$F,"REFUND")</f>
        <v>0</v>
      </c>
      <c r="N3723" s="23" t="str">
        <f t="shared" si="234"/>
        <v>OK</v>
      </c>
      <c r="O3723" s="24">
        <f t="shared" si="235"/>
        <v>0</v>
      </c>
    </row>
    <row r="3724" spans="1:15" ht="15" customHeight="1" x14ac:dyDescent="0.3">
      <c r="A3724" s="23" t="s">
        <v>7934</v>
      </c>
      <c r="B3724" s="38">
        <v>46267</v>
      </c>
      <c r="C3724" s="23" t="s">
        <v>7935</v>
      </c>
      <c r="D3724" s="23" t="s">
        <v>89</v>
      </c>
      <c r="E3724" s="23" t="s">
        <v>75</v>
      </c>
      <c r="F3724" s="23" t="s">
        <v>271</v>
      </c>
      <c r="G3724" s="23" t="s">
        <v>301</v>
      </c>
      <c r="H3724" s="39">
        <f t="shared" si="232"/>
        <v>2499</v>
      </c>
      <c r="I3724" s="23" t="str">
        <f t="shared" si="233"/>
        <v>Jaipur</v>
      </c>
      <c r="J3724" s="23">
        <f>COUNTIFS(pg_transaction_cleaned!$O:$O,A3724,pg_transaction_cleaned!$F:$F,"CAPTURE")</f>
        <v>1</v>
      </c>
      <c r="K3724" s="39">
        <f>SUMIFS(pg_transaction_cleaned!$H:$H,pg_transaction_cleaned!$O:$O,A3724,pg_transaction_cleaned!$F:$F,"CAPTURE")</f>
        <v>2499</v>
      </c>
      <c r="L3724" s="23">
        <f>COUNTIFS(pg_transaction_cleaned!$O:$O,A3724,pg_transaction_cleaned!$F:$F,"REFUND")</f>
        <v>1</v>
      </c>
      <c r="M3724" s="39">
        <f>SUMIFS(pg_transaction_cleaned!$H:$H,pg_transaction_cleaned!$O:$O,A3724,pg_transaction_cleaned!$F:$F,"REFUND")</f>
        <v>2499</v>
      </c>
      <c r="N3724" s="23" t="str">
        <f t="shared" si="234"/>
        <v>OK</v>
      </c>
      <c r="O3724" s="24">
        <f t="shared" si="235"/>
        <v>0</v>
      </c>
    </row>
    <row r="3725" spans="1:15" ht="15" customHeight="1" x14ac:dyDescent="0.3">
      <c r="A3725" s="23" t="s">
        <v>7936</v>
      </c>
      <c r="B3725" s="38">
        <v>46295</v>
      </c>
      <c r="C3725" s="23" t="s">
        <v>7937</v>
      </c>
      <c r="D3725" s="23" t="s">
        <v>89</v>
      </c>
      <c r="E3725" s="23" t="s">
        <v>75</v>
      </c>
      <c r="F3725" s="23" t="s">
        <v>717</v>
      </c>
      <c r="G3725" s="23" t="s">
        <v>250</v>
      </c>
      <c r="H3725" s="39">
        <f t="shared" si="232"/>
        <v>5298</v>
      </c>
      <c r="I3725" s="23" t="str">
        <f t="shared" si="233"/>
        <v>Jaipur</v>
      </c>
      <c r="J3725" s="23">
        <f>COUNTIFS(pg_transaction_cleaned!$O:$O,A3725,pg_transaction_cleaned!$F:$F,"CAPTURE")</f>
        <v>1</v>
      </c>
      <c r="K3725" s="39">
        <f>SUMIFS(pg_transaction_cleaned!$H:$H,pg_transaction_cleaned!$O:$O,A3725,pg_transaction_cleaned!$F:$F,"CAPTURE")</f>
        <v>5298</v>
      </c>
      <c r="L3725" s="23">
        <f>COUNTIFS(pg_transaction_cleaned!$O:$O,A3725,pg_transaction_cleaned!$F:$F,"REFUND")</f>
        <v>0</v>
      </c>
      <c r="M3725" s="39">
        <f>SUMIFS(pg_transaction_cleaned!$H:$H,pg_transaction_cleaned!$O:$O,A3725,pg_transaction_cleaned!$F:$F,"REFUND")</f>
        <v>0</v>
      </c>
      <c r="N3725" s="23" t="str">
        <f t="shared" si="234"/>
        <v>OK</v>
      </c>
      <c r="O3725" s="24">
        <f t="shared" si="235"/>
        <v>0</v>
      </c>
    </row>
    <row r="3726" spans="1:15" ht="15" customHeight="1" x14ac:dyDescent="0.3">
      <c r="A3726" s="23" t="s">
        <v>7938</v>
      </c>
      <c r="B3726" s="38">
        <v>46289</v>
      </c>
      <c r="C3726" s="23" t="s">
        <v>7939</v>
      </c>
      <c r="D3726" s="23" t="s">
        <v>87</v>
      </c>
      <c r="E3726" s="23" t="s">
        <v>75</v>
      </c>
      <c r="F3726" s="23" t="s">
        <v>259</v>
      </c>
      <c r="G3726" s="23" t="s">
        <v>301</v>
      </c>
      <c r="H3726" s="39">
        <f t="shared" si="232"/>
        <v>3298</v>
      </c>
      <c r="I3726" s="23" t="str">
        <f t="shared" si="233"/>
        <v>Mumbai</v>
      </c>
      <c r="J3726" s="23">
        <f>COUNTIFS(pg_transaction_cleaned!$O:$O,A3726,pg_transaction_cleaned!$F:$F,"CAPTURE")</f>
        <v>1</v>
      </c>
      <c r="K3726" s="39">
        <f>SUMIFS(pg_transaction_cleaned!$H:$H,pg_transaction_cleaned!$O:$O,A3726,pg_transaction_cleaned!$F:$F,"CAPTURE")</f>
        <v>3298</v>
      </c>
      <c r="L3726" s="23">
        <f>COUNTIFS(pg_transaction_cleaned!$O:$O,A3726,pg_transaction_cleaned!$F:$F,"REFUND")</f>
        <v>1</v>
      </c>
      <c r="M3726" s="39">
        <f>SUMIFS(pg_transaction_cleaned!$H:$H,pg_transaction_cleaned!$O:$O,A3726,pg_transaction_cleaned!$F:$F,"REFUND")</f>
        <v>3298</v>
      </c>
      <c r="N3726" s="23" t="str">
        <f t="shared" si="234"/>
        <v>OK</v>
      </c>
      <c r="O3726" s="24">
        <f t="shared" si="235"/>
        <v>0</v>
      </c>
    </row>
    <row r="3727" spans="1:15" ht="15" customHeight="1" x14ac:dyDescent="0.3">
      <c r="A3727" s="23" t="s">
        <v>7940</v>
      </c>
      <c r="B3727" s="38">
        <v>46287</v>
      </c>
      <c r="C3727" s="23" t="s">
        <v>7941</v>
      </c>
      <c r="D3727" s="23" t="s">
        <v>92</v>
      </c>
      <c r="E3727" s="23" t="s">
        <v>75</v>
      </c>
      <c r="F3727" s="23" t="s">
        <v>1647</v>
      </c>
      <c r="G3727" s="23" t="s">
        <v>250</v>
      </c>
      <c r="H3727" s="39">
        <f t="shared" si="232"/>
        <v>6347</v>
      </c>
      <c r="I3727" s="23" t="str">
        <f t="shared" si="233"/>
        <v>Hyderabad</v>
      </c>
      <c r="J3727" s="23">
        <f>COUNTIFS(pg_transaction_cleaned!$O:$O,A3727,pg_transaction_cleaned!$F:$F,"CAPTURE")</f>
        <v>1</v>
      </c>
      <c r="K3727" s="39">
        <f>SUMIFS(pg_transaction_cleaned!$H:$H,pg_transaction_cleaned!$O:$O,A3727,pg_transaction_cleaned!$F:$F,"CAPTURE")</f>
        <v>6347</v>
      </c>
      <c r="L3727" s="23">
        <f>COUNTIFS(pg_transaction_cleaned!$O:$O,A3727,pg_transaction_cleaned!$F:$F,"REFUND")</f>
        <v>0</v>
      </c>
      <c r="M3727" s="39">
        <f>SUMIFS(pg_transaction_cleaned!$H:$H,pg_transaction_cleaned!$O:$O,A3727,pg_transaction_cleaned!$F:$F,"REFUND")</f>
        <v>0</v>
      </c>
      <c r="N3727" s="23" t="str">
        <f t="shared" si="234"/>
        <v>OK</v>
      </c>
      <c r="O3727" s="24">
        <f t="shared" si="235"/>
        <v>0</v>
      </c>
    </row>
    <row r="3728" spans="1:15" ht="15" customHeight="1" x14ac:dyDescent="0.3">
      <c r="A3728" s="23" t="s">
        <v>7942</v>
      </c>
      <c r="B3728" s="38">
        <v>46293</v>
      </c>
      <c r="C3728" s="23" t="s">
        <v>7943</v>
      </c>
      <c r="D3728" s="23" t="s">
        <v>93</v>
      </c>
      <c r="E3728" s="23" t="s">
        <v>79</v>
      </c>
      <c r="F3728" s="23" t="s">
        <v>274</v>
      </c>
      <c r="G3728" s="23" t="s">
        <v>250</v>
      </c>
      <c r="H3728" s="39">
        <f t="shared" si="232"/>
        <v>349</v>
      </c>
      <c r="I3728" s="23" t="str">
        <f t="shared" si="233"/>
        <v>Kolkata</v>
      </c>
      <c r="J3728" s="23">
        <f>COUNTIFS(pg_transaction_cleaned!$O:$O,A3728,pg_transaction_cleaned!$F:$F,"CAPTURE")</f>
        <v>1</v>
      </c>
      <c r="K3728" s="39">
        <f>SUMIFS(pg_transaction_cleaned!$H:$H,pg_transaction_cleaned!$O:$O,A3728,pg_transaction_cleaned!$F:$F,"CAPTURE")</f>
        <v>349</v>
      </c>
      <c r="L3728" s="23">
        <f>COUNTIFS(pg_transaction_cleaned!$O:$O,A3728,pg_transaction_cleaned!$F:$F,"REFUND")</f>
        <v>0</v>
      </c>
      <c r="M3728" s="39">
        <f>SUMIFS(pg_transaction_cleaned!$H:$H,pg_transaction_cleaned!$O:$O,A3728,pg_transaction_cleaned!$F:$F,"REFUND")</f>
        <v>0</v>
      </c>
      <c r="N3728" s="23" t="str">
        <f t="shared" si="234"/>
        <v>OK</v>
      </c>
      <c r="O3728" s="24">
        <f t="shared" si="235"/>
        <v>0</v>
      </c>
    </row>
    <row r="3729" spans="1:15" ht="15" customHeight="1" x14ac:dyDescent="0.3">
      <c r="A3729" s="23" t="s">
        <v>7944</v>
      </c>
      <c r="B3729" s="38">
        <v>46278</v>
      </c>
      <c r="C3729" s="23" t="s">
        <v>7945</v>
      </c>
      <c r="D3729" s="23"/>
      <c r="E3729" s="23" t="s">
        <v>75</v>
      </c>
      <c r="F3729" s="23" t="s">
        <v>274</v>
      </c>
      <c r="G3729" s="23" t="s">
        <v>250</v>
      </c>
      <c r="H3729" s="39">
        <f t="shared" si="232"/>
        <v>349</v>
      </c>
      <c r="I3729" s="23" t="str">
        <f t="shared" si="233"/>
        <v>Unknown</v>
      </c>
      <c r="J3729" s="23">
        <f>COUNTIFS(pg_transaction_cleaned!$O:$O,A3729,pg_transaction_cleaned!$F:$F,"CAPTURE")</f>
        <v>1</v>
      </c>
      <c r="K3729" s="39">
        <f>SUMIFS(pg_transaction_cleaned!$H:$H,pg_transaction_cleaned!$O:$O,A3729,pg_transaction_cleaned!$F:$F,"CAPTURE")</f>
        <v>349</v>
      </c>
      <c r="L3729" s="23">
        <f>COUNTIFS(pg_transaction_cleaned!$O:$O,A3729,pg_transaction_cleaned!$F:$F,"REFUND")</f>
        <v>0</v>
      </c>
      <c r="M3729" s="39">
        <f>SUMIFS(pg_transaction_cleaned!$H:$H,pg_transaction_cleaned!$O:$O,A3729,pg_transaction_cleaned!$F:$F,"REFUND")</f>
        <v>0</v>
      </c>
      <c r="N3729" s="23" t="str">
        <f t="shared" si="234"/>
        <v>OK</v>
      </c>
      <c r="O3729" s="24">
        <f t="shared" si="235"/>
        <v>0</v>
      </c>
    </row>
    <row r="3730" spans="1:15" ht="15" customHeight="1" x14ac:dyDescent="0.3">
      <c r="A3730" s="23" t="s">
        <v>7946</v>
      </c>
      <c r="B3730" s="38">
        <v>46267</v>
      </c>
      <c r="C3730" s="23" t="s">
        <v>7947</v>
      </c>
      <c r="D3730" s="23" t="s">
        <v>91</v>
      </c>
      <c r="E3730" s="23" t="s">
        <v>75</v>
      </c>
      <c r="F3730" s="23" t="s">
        <v>262</v>
      </c>
      <c r="G3730" s="23" t="s">
        <v>250</v>
      </c>
      <c r="H3730" s="39">
        <f t="shared" si="232"/>
        <v>499</v>
      </c>
      <c r="I3730" s="23" t="str">
        <f t="shared" si="233"/>
        <v>Pune</v>
      </c>
      <c r="J3730" s="23">
        <f>COUNTIFS(pg_transaction_cleaned!$O:$O,A3730,pg_transaction_cleaned!$F:$F,"CAPTURE")</f>
        <v>1</v>
      </c>
      <c r="K3730" s="39">
        <f>SUMIFS(pg_transaction_cleaned!$H:$H,pg_transaction_cleaned!$O:$O,A3730,pg_transaction_cleaned!$F:$F,"CAPTURE")</f>
        <v>499</v>
      </c>
      <c r="L3730" s="23">
        <f>COUNTIFS(pg_transaction_cleaned!$O:$O,A3730,pg_transaction_cleaned!$F:$F,"REFUND")</f>
        <v>0</v>
      </c>
      <c r="M3730" s="39">
        <f>SUMIFS(pg_transaction_cleaned!$H:$H,pg_transaction_cleaned!$O:$O,A3730,pg_transaction_cleaned!$F:$F,"REFUND")</f>
        <v>0</v>
      </c>
      <c r="N3730" s="23" t="str">
        <f t="shared" si="234"/>
        <v>OK</v>
      </c>
      <c r="O3730" s="24">
        <f t="shared" si="235"/>
        <v>0</v>
      </c>
    </row>
    <row r="3731" spans="1:15" ht="15" customHeight="1" x14ac:dyDescent="0.3">
      <c r="A3731" s="23" t="s">
        <v>7948</v>
      </c>
      <c r="B3731" s="38">
        <v>46269</v>
      </c>
      <c r="C3731" s="23" t="s">
        <v>7949</v>
      </c>
      <c r="D3731" s="23" t="s">
        <v>86</v>
      </c>
      <c r="E3731" s="23" t="s">
        <v>77</v>
      </c>
      <c r="F3731" s="23" t="s">
        <v>288</v>
      </c>
      <c r="G3731" s="23" t="s">
        <v>250</v>
      </c>
      <c r="H3731" s="39">
        <f t="shared" si="232"/>
        <v>4298</v>
      </c>
      <c r="I3731" s="23" t="str">
        <f t="shared" si="233"/>
        <v>Delhi</v>
      </c>
      <c r="J3731" s="23">
        <f>COUNTIFS(pg_transaction_cleaned!$O:$O,A3731,pg_transaction_cleaned!$F:$F,"CAPTURE")</f>
        <v>1</v>
      </c>
      <c r="K3731" s="39">
        <f>SUMIFS(pg_transaction_cleaned!$H:$H,pg_transaction_cleaned!$O:$O,A3731,pg_transaction_cleaned!$F:$F,"CAPTURE")</f>
        <v>4298</v>
      </c>
      <c r="L3731" s="23">
        <f>COUNTIFS(pg_transaction_cleaned!$O:$O,A3731,pg_transaction_cleaned!$F:$F,"REFUND")</f>
        <v>0</v>
      </c>
      <c r="M3731" s="39">
        <f>SUMIFS(pg_transaction_cleaned!$H:$H,pg_transaction_cleaned!$O:$O,A3731,pg_transaction_cleaned!$F:$F,"REFUND")</f>
        <v>0</v>
      </c>
      <c r="N3731" s="23" t="str">
        <f t="shared" si="234"/>
        <v>OK</v>
      </c>
      <c r="O3731" s="24">
        <f t="shared" si="235"/>
        <v>0</v>
      </c>
    </row>
    <row r="3732" spans="1:15" ht="15" customHeight="1" x14ac:dyDescent="0.3">
      <c r="A3732" s="23" t="s">
        <v>7950</v>
      </c>
      <c r="B3732" s="38">
        <v>46270</v>
      </c>
      <c r="C3732" s="23" t="s">
        <v>7951</v>
      </c>
      <c r="D3732" s="23" t="s">
        <v>87</v>
      </c>
      <c r="E3732" s="23" t="s">
        <v>77</v>
      </c>
      <c r="F3732" s="23" t="s">
        <v>265</v>
      </c>
      <c r="G3732" s="23" t="s">
        <v>250</v>
      </c>
      <c r="H3732" s="39">
        <f t="shared" si="232"/>
        <v>999</v>
      </c>
      <c r="I3732" s="23" t="str">
        <f t="shared" si="233"/>
        <v>Mumbai</v>
      </c>
      <c r="J3732" s="23">
        <f>COUNTIFS(pg_transaction_cleaned!$O:$O,A3732,pg_transaction_cleaned!$F:$F,"CAPTURE")</f>
        <v>1</v>
      </c>
      <c r="K3732" s="39">
        <f>SUMIFS(pg_transaction_cleaned!$H:$H,pg_transaction_cleaned!$O:$O,A3732,pg_transaction_cleaned!$F:$F,"CAPTURE")</f>
        <v>999</v>
      </c>
      <c r="L3732" s="23">
        <f>COUNTIFS(pg_transaction_cleaned!$O:$O,A3732,pg_transaction_cleaned!$F:$F,"REFUND")</f>
        <v>0</v>
      </c>
      <c r="M3732" s="39">
        <f>SUMIFS(pg_transaction_cleaned!$H:$H,pg_transaction_cleaned!$O:$O,A3732,pg_transaction_cleaned!$F:$F,"REFUND")</f>
        <v>0</v>
      </c>
      <c r="N3732" s="23" t="str">
        <f t="shared" si="234"/>
        <v>OK</v>
      </c>
      <c r="O3732" s="24">
        <f t="shared" si="235"/>
        <v>0</v>
      </c>
    </row>
    <row r="3733" spans="1:15" ht="15" customHeight="1" x14ac:dyDescent="0.3">
      <c r="A3733" s="23" t="s">
        <v>7952</v>
      </c>
      <c r="B3733" s="38">
        <v>46281</v>
      </c>
      <c r="C3733" s="23" t="s">
        <v>7953</v>
      </c>
      <c r="D3733" s="23" t="s">
        <v>89</v>
      </c>
      <c r="E3733" s="23" t="s">
        <v>75</v>
      </c>
      <c r="F3733" s="23" t="s">
        <v>349</v>
      </c>
      <c r="G3733" s="23" t="s">
        <v>250</v>
      </c>
      <c r="H3733" s="39">
        <f t="shared" si="232"/>
        <v>1798</v>
      </c>
      <c r="I3733" s="23" t="str">
        <f t="shared" si="233"/>
        <v>Jaipur</v>
      </c>
      <c r="J3733" s="23">
        <f>COUNTIFS(pg_transaction_cleaned!$O:$O,A3733,pg_transaction_cleaned!$F:$F,"CAPTURE")</f>
        <v>1</v>
      </c>
      <c r="K3733" s="39">
        <f>SUMIFS(pg_transaction_cleaned!$H:$H,pg_transaction_cleaned!$O:$O,A3733,pg_transaction_cleaned!$F:$F,"CAPTURE")</f>
        <v>1798</v>
      </c>
      <c r="L3733" s="23">
        <f>COUNTIFS(pg_transaction_cleaned!$O:$O,A3733,pg_transaction_cleaned!$F:$F,"REFUND")</f>
        <v>0</v>
      </c>
      <c r="M3733" s="39">
        <f>SUMIFS(pg_transaction_cleaned!$H:$H,pg_transaction_cleaned!$O:$O,A3733,pg_transaction_cleaned!$F:$F,"REFUND")</f>
        <v>0</v>
      </c>
      <c r="N3733" s="23" t="str">
        <f t="shared" si="234"/>
        <v>OK</v>
      </c>
      <c r="O3733" s="24">
        <f t="shared" si="235"/>
        <v>0</v>
      </c>
    </row>
    <row r="3734" spans="1:15" ht="15" customHeight="1" x14ac:dyDescent="0.3">
      <c r="A3734" s="23" t="s">
        <v>7954</v>
      </c>
      <c r="B3734" s="38">
        <v>46287</v>
      </c>
      <c r="C3734" s="23" t="s">
        <v>7955</v>
      </c>
      <c r="D3734" s="23" t="s">
        <v>92</v>
      </c>
      <c r="E3734" s="23" t="s">
        <v>75</v>
      </c>
      <c r="F3734" s="23" t="s">
        <v>1644</v>
      </c>
      <c r="G3734" s="23" t="s">
        <v>365</v>
      </c>
      <c r="H3734" s="39">
        <f t="shared" si="232"/>
        <v>8497</v>
      </c>
      <c r="I3734" s="23" t="str">
        <f t="shared" si="233"/>
        <v>Hyderabad</v>
      </c>
      <c r="J3734" s="23">
        <f>COUNTIFS(pg_transaction_cleaned!$O:$O,A3734,pg_transaction_cleaned!$F:$F,"CAPTURE")</f>
        <v>0</v>
      </c>
      <c r="K3734" s="39">
        <f>SUMIFS(pg_transaction_cleaned!$H:$H,pg_transaction_cleaned!$O:$O,A3734,pg_transaction_cleaned!$F:$F,"CAPTURE")</f>
        <v>0</v>
      </c>
      <c r="L3734" s="23">
        <f>COUNTIFS(pg_transaction_cleaned!$O:$O,A3734,pg_transaction_cleaned!$F:$F,"REFUND")</f>
        <v>0</v>
      </c>
      <c r="M3734" s="39">
        <f>SUMIFS(pg_transaction_cleaned!$H:$H,pg_transaction_cleaned!$O:$O,A3734,pg_transaction_cleaned!$F:$F,"REFUND")</f>
        <v>0</v>
      </c>
      <c r="N3734" s="23" t="str">
        <f t="shared" si="234"/>
        <v>OK</v>
      </c>
      <c r="O3734" s="24">
        <f t="shared" si="235"/>
        <v>0</v>
      </c>
    </row>
    <row r="3735" spans="1:15" ht="15" customHeight="1" x14ac:dyDescent="0.3">
      <c r="A3735" s="23" t="s">
        <v>7956</v>
      </c>
      <c r="B3735" s="38">
        <v>46278</v>
      </c>
      <c r="C3735" s="23" t="s">
        <v>7957</v>
      </c>
      <c r="D3735" s="23" t="s">
        <v>92</v>
      </c>
      <c r="E3735" s="23" t="s">
        <v>79</v>
      </c>
      <c r="F3735" s="23" t="s">
        <v>5798</v>
      </c>
      <c r="G3735" s="23" t="s">
        <v>250</v>
      </c>
      <c r="H3735" s="39">
        <f t="shared" si="232"/>
        <v>10847</v>
      </c>
      <c r="I3735" s="23" t="str">
        <f t="shared" si="233"/>
        <v>Hyderabad</v>
      </c>
      <c r="J3735" s="23">
        <f>COUNTIFS(pg_transaction_cleaned!$O:$O,A3735,pg_transaction_cleaned!$F:$F,"CAPTURE")</f>
        <v>1</v>
      </c>
      <c r="K3735" s="39">
        <f>SUMIFS(pg_transaction_cleaned!$H:$H,pg_transaction_cleaned!$O:$O,A3735,pg_transaction_cleaned!$F:$F,"CAPTURE")</f>
        <v>10847</v>
      </c>
      <c r="L3735" s="23">
        <f>COUNTIFS(pg_transaction_cleaned!$O:$O,A3735,pg_transaction_cleaned!$F:$F,"REFUND")</f>
        <v>0</v>
      </c>
      <c r="M3735" s="39">
        <f>SUMIFS(pg_transaction_cleaned!$H:$H,pg_transaction_cleaned!$O:$O,A3735,pg_transaction_cleaned!$F:$F,"REFUND")</f>
        <v>0</v>
      </c>
      <c r="N3735" s="23" t="str">
        <f t="shared" si="234"/>
        <v>OK</v>
      </c>
      <c r="O3735" s="24">
        <f t="shared" si="235"/>
        <v>0</v>
      </c>
    </row>
    <row r="3736" spans="1:15" ht="15" customHeight="1" x14ac:dyDescent="0.3">
      <c r="A3736" s="23" t="s">
        <v>7958</v>
      </c>
      <c r="B3736" s="38">
        <v>46279</v>
      </c>
      <c r="C3736" s="23" t="s">
        <v>7959</v>
      </c>
      <c r="D3736" s="23" t="s">
        <v>86</v>
      </c>
      <c r="E3736" s="23" t="s">
        <v>75</v>
      </c>
      <c r="F3736" s="23" t="s">
        <v>340</v>
      </c>
      <c r="G3736" s="23" t="s">
        <v>301</v>
      </c>
      <c r="H3736" s="39">
        <f t="shared" si="232"/>
        <v>6298</v>
      </c>
      <c r="I3736" s="23" t="str">
        <f t="shared" si="233"/>
        <v>Delhi</v>
      </c>
      <c r="J3736" s="23">
        <f>COUNTIFS(pg_transaction_cleaned!$O:$O,A3736,pg_transaction_cleaned!$F:$F,"CAPTURE")</f>
        <v>1</v>
      </c>
      <c r="K3736" s="39">
        <f>SUMIFS(pg_transaction_cleaned!$H:$H,pg_transaction_cleaned!$O:$O,A3736,pg_transaction_cleaned!$F:$F,"CAPTURE")</f>
        <v>6298</v>
      </c>
      <c r="L3736" s="23">
        <f>COUNTIFS(pg_transaction_cleaned!$O:$O,A3736,pg_transaction_cleaned!$F:$F,"REFUND")</f>
        <v>1</v>
      </c>
      <c r="M3736" s="39">
        <f>SUMIFS(pg_transaction_cleaned!$H:$H,pg_transaction_cleaned!$O:$O,A3736,pg_transaction_cleaned!$F:$F,"REFUND")</f>
        <v>6298</v>
      </c>
      <c r="N3736" s="23" t="str">
        <f t="shared" si="234"/>
        <v>OK</v>
      </c>
      <c r="O3736" s="24">
        <f t="shared" si="235"/>
        <v>0</v>
      </c>
    </row>
    <row r="3737" spans="1:15" ht="15" customHeight="1" x14ac:dyDescent="0.3">
      <c r="A3737" s="23" t="s">
        <v>7960</v>
      </c>
      <c r="B3737" s="38">
        <v>46273</v>
      </c>
      <c r="C3737" s="23" t="s">
        <v>7961</v>
      </c>
      <c r="D3737" s="23" t="s">
        <v>94</v>
      </c>
      <c r="E3737" s="23" t="s">
        <v>75</v>
      </c>
      <c r="F3737" s="23" t="s">
        <v>291</v>
      </c>
      <c r="G3737" s="23" t="s">
        <v>250</v>
      </c>
      <c r="H3737" s="39">
        <f t="shared" si="232"/>
        <v>3499</v>
      </c>
      <c r="I3737" s="23" t="str">
        <f t="shared" si="233"/>
        <v>Chennai</v>
      </c>
      <c r="J3737" s="23">
        <f>COUNTIFS(pg_transaction_cleaned!$O:$O,A3737,pg_transaction_cleaned!$F:$F,"CAPTURE")</f>
        <v>1</v>
      </c>
      <c r="K3737" s="39">
        <f>SUMIFS(pg_transaction_cleaned!$H:$H,pg_transaction_cleaned!$O:$O,A3737,pg_transaction_cleaned!$F:$F,"CAPTURE")</f>
        <v>3499</v>
      </c>
      <c r="L3737" s="23">
        <f>COUNTIFS(pg_transaction_cleaned!$O:$O,A3737,pg_transaction_cleaned!$F:$F,"REFUND")</f>
        <v>0</v>
      </c>
      <c r="M3737" s="39">
        <f>SUMIFS(pg_transaction_cleaned!$H:$H,pg_transaction_cleaned!$O:$O,A3737,pg_transaction_cleaned!$F:$F,"REFUND")</f>
        <v>0</v>
      </c>
      <c r="N3737" s="23" t="str">
        <f t="shared" si="234"/>
        <v>OK</v>
      </c>
      <c r="O3737" s="24">
        <f t="shared" si="235"/>
        <v>0</v>
      </c>
    </row>
    <row r="3738" spans="1:15" ht="15" customHeight="1" x14ac:dyDescent="0.3">
      <c r="A3738" s="23" t="s">
        <v>7962</v>
      </c>
      <c r="B3738" s="38">
        <v>46273</v>
      </c>
      <c r="C3738" s="23" t="s">
        <v>7963</v>
      </c>
      <c r="D3738" s="23" t="s">
        <v>92</v>
      </c>
      <c r="E3738" s="23" t="s">
        <v>75</v>
      </c>
      <c r="F3738" s="23" t="s">
        <v>262</v>
      </c>
      <c r="G3738" s="23" t="s">
        <v>250</v>
      </c>
      <c r="H3738" s="39">
        <f t="shared" si="232"/>
        <v>499</v>
      </c>
      <c r="I3738" s="23" t="str">
        <f t="shared" si="233"/>
        <v>Hyderabad</v>
      </c>
      <c r="J3738" s="23">
        <f>COUNTIFS(pg_transaction_cleaned!$O:$O,A3738,pg_transaction_cleaned!$F:$F,"CAPTURE")</f>
        <v>1</v>
      </c>
      <c r="K3738" s="39">
        <f>SUMIFS(pg_transaction_cleaned!$H:$H,pg_transaction_cleaned!$O:$O,A3738,pg_transaction_cleaned!$F:$F,"CAPTURE")</f>
        <v>499</v>
      </c>
      <c r="L3738" s="23">
        <f>COUNTIFS(pg_transaction_cleaned!$O:$O,A3738,pg_transaction_cleaned!$F:$F,"REFUND")</f>
        <v>0</v>
      </c>
      <c r="M3738" s="39">
        <f>SUMIFS(pg_transaction_cleaned!$H:$H,pg_transaction_cleaned!$O:$O,A3738,pg_transaction_cleaned!$F:$F,"REFUND")</f>
        <v>0</v>
      </c>
      <c r="N3738" s="23" t="str">
        <f t="shared" si="234"/>
        <v>OK</v>
      </c>
      <c r="O3738" s="24">
        <f t="shared" si="235"/>
        <v>0</v>
      </c>
    </row>
    <row r="3739" spans="1:15" ht="15" customHeight="1" x14ac:dyDescent="0.3">
      <c r="A3739" s="23" t="s">
        <v>7964</v>
      </c>
      <c r="B3739" s="38">
        <v>46266</v>
      </c>
      <c r="C3739" s="23" t="s">
        <v>7965</v>
      </c>
      <c r="D3739" s="23" t="s">
        <v>87</v>
      </c>
      <c r="E3739" s="23" t="s">
        <v>79</v>
      </c>
      <c r="F3739" s="23" t="s">
        <v>265</v>
      </c>
      <c r="G3739" s="23" t="s">
        <v>250</v>
      </c>
      <c r="H3739" s="39">
        <f t="shared" si="232"/>
        <v>999</v>
      </c>
      <c r="I3739" s="23" t="str">
        <f t="shared" si="233"/>
        <v>Mumbai</v>
      </c>
      <c r="J3739" s="23">
        <f>COUNTIFS(pg_transaction_cleaned!$O:$O,A3739,pg_transaction_cleaned!$F:$F,"CAPTURE")</f>
        <v>1</v>
      </c>
      <c r="K3739" s="39">
        <f>SUMIFS(pg_transaction_cleaned!$H:$H,pg_transaction_cleaned!$O:$O,A3739,pg_transaction_cleaned!$F:$F,"CAPTURE")</f>
        <v>999</v>
      </c>
      <c r="L3739" s="23">
        <f>COUNTIFS(pg_transaction_cleaned!$O:$O,A3739,pg_transaction_cleaned!$F:$F,"REFUND")</f>
        <v>0</v>
      </c>
      <c r="M3739" s="39">
        <f>SUMIFS(pg_transaction_cleaned!$H:$H,pg_transaction_cleaned!$O:$O,A3739,pg_transaction_cleaned!$F:$F,"REFUND")</f>
        <v>0</v>
      </c>
      <c r="N3739" s="23" t="str">
        <f t="shared" si="234"/>
        <v>OK</v>
      </c>
      <c r="O3739" s="24">
        <f t="shared" si="235"/>
        <v>0</v>
      </c>
    </row>
    <row r="3740" spans="1:15" ht="15" customHeight="1" x14ac:dyDescent="0.3">
      <c r="A3740" s="23" t="s">
        <v>7966</v>
      </c>
      <c r="B3740" s="38">
        <v>46272</v>
      </c>
      <c r="C3740" s="23" t="s">
        <v>7967</v>
      </c>
      <c r="D3740" s="23" t="s">
        <v>93</v>
      </c>
      <c r="E3740" s="23" t="s">
        <v>77</v>
      </c>
      <c r="F3740" s="23" t="s">
        <v>370</v>
      </c>
      <c r="G3740" s="23" t="s">
        <v>250</v>
      </c>
      <c r="H3740" s="39">
        <f t="shared" si="232"/>
        <v>3098</v>
      </c>
      <c r="I3740" s="23" t="str">
        <f t="shared" si="233"/>
        <v>Kolkata</v>
      </c>
      <c r="J3740" s="23">
        <f>COUNTIFS(pg_transaction_cleaned!$O:$O,A3740,pg_transaction_cleaned!$F:$F,"CAPTURE")</f>
        <v>1</v>
      </c>
      <c r="K3740" s="39">
        <f>SUMIFS(pg_transaction_cleaned!$H:$H,pg_transaction_cleaned!$O:$O,A3740,pg_transaction_cleaned!$F:$F,"CAPTURE")</f>
        <v>3098</v>
      </c>
      <c r="L3740" s="23">
        <f>COUNTIFS(pg_transaction_cleaned!$O:$O,A3740,pg_transaction_cleaned!$F:$F,"REFUND")</f>
        <v>0</v>
      </c>
      <c r="M3740" s="39">
        <f>SUMIFS(pg_transaction_cleaned!$H:$H,pg_transaction_cleaned!$O:$O,A3740,pg_transaction_cleaned!$F:$F,"REFUND")</f>
        <v>0</v>
      </c>
      <c r="N3740" s="23" t="str">
        <f t="shared" si="234"/>
        <v>OK</v>
      </c>
      <c r="O3740" s="24">
        <f t="shared" si="235"/>
        <v>0</v>
      </c>
    </row>
    <row r="3741" spans="1:15" ht="15" customHeight="1" x14ac:dyDescent="0.3">
      <c r="A3741" s="23" t="s">
        <v>7968</v>
      </c>
      <c r="B3741" s="38">
        <v>46273</v>
      </c>
      <c r="C3741" s="23" t="s">
        <v>7969</v>
      </c>
      <c r="D3741" s="23" t="s">
        <v>94</v>
      </c>
      <c r="E3741" s="23" t="s">
        <v>75</v>
      </c>
      <c r="F3741" s="23" t="s">
        <v>268</v>
      </c>
      <c r="G3741" s="23" t="s">
        <v>250</v>
      </c>
      <c r="H3741" s="39">
        <f t="shared" si="232"/>
        <v>1299</v>
      </c>
      <c r="I3741" s="23" t="str">
        <f t="shared" si="233"/>
        <v>Chennai</v>
      </c>
      <c r="J3741" s="23">
        <f>COUNTIFS(pg_transaction_cleaned!$O:$O,A3741,pg_transaction_cleaned!$F:$F,"CAPTURE")</f>
        <v>1</v>
      </c>
      <c r="K3741" s="39">
        <f>SUMIFS(pg_transaction_cleaned!$H:$H,pg_transaction_cleaned!$O:$O,A3741,pg_transaction_cleaned!$F:$F,"CAPTURE")</f>
        <v>1299</v>
      </c>
      <c r="L3741" s="23">
        <f>COUNTIFS(pg_transaction_cleaned!$O:$O,A3741,pg_transaction_cleaned!$F:$F,"REFUND")</f>
        <v>0</v>
      </c>
      <c r="M3741" s="39">
        <f>SUMIFS(pg_transaction_cleaned!$H:$H,pg_transaction_cleaned!$O:$O,A3741,pg_transaction_cleaned!$F:$F,"REFUND")</f>
        <v>0</v>
      </c>
      <c r="N3741" s="23" t="str">
        <f t="shared" si="234"/>
        <v>OK</v>
      </c>
      <c r="O3741" s="24">
        <f t="shared" si="235"/>
        <v>0</v>
      </c>
    </row>
    <row r="3742" spans="1:15" ht="15" customHeight="1" x14ac:dyDescent="0.3">
      <c r="A3742" s="23" t="s">
        <v>7970</v>
      </c>
      <c r="B3742" s="38">
        <v>46267</v>
      </c>
      <c r="C3742" s="23" t="s">
        <v>7971</v>
      </c>
      <c r="D3742" s="23" t="s">
        <v>93</v>
      </c>
      <c r="E3742" s="23" t="s">
        <v>79</v>
      </c>
      <c r="F3742" s="23" t="s">
        <v>291</v>
      </c>
      <c r="G3742" s="23" t="s">
        <v>250</v>
      </c>
      <c r="H3742" s="39">
        <f t="shared" si="232"/>
        <v>3499</v>
      </c>
      <c r="I3742" s="23" t="str">
        <f t="shared" si="233"/>
        <v>Kolkata</v>
      </c>
      <c r="J3742" s="23">
        <f>COUNTIFS(pg_transaction_cleaned!$O:$O,A3742,pg_transaction_cleaned!$F:$F,"CAPTURE")</f>
        <v>1</v>
      </c>
      <c r="K3742" s="39">
        <f>SUMIFS(pg_transaction_cleaned!$H:$H,pg_transaction_cleaned!$O:$O,A3742,pg_transaction_cleaned!$F:$F,"CAPTURE")</f>
        <v>3499</v>
      </c>
      <c r="L3742" s="23">
        <f>COUNTIFS(pg_transaction_cleaned!$O:$O,A3742,pg_transaction_cleaned!$F:$F,"REFUND")</f>
        <v>0</v>
      </c>
      <c r="M3742" s="39">
        <f>SUMIFS(pg_transaction_cleaned!$H:$H,pg_transaction_cleaned!$O:$O,A3742,pg_transaction_cleaned!$F:$F,"REFUND")</f>
        <v>0</v>
      </c>
      <c r="N3742" s="23" t="str">
        <f t="shared" si="234"/>
        <v>OK</v>
      </c>
      <c r="O3742" s="24">
        <f t="shared" si="235"/>
        <v>0</v>
      </c>
    </row>
    <row r="3743" spans="1:15" ht="15" customHeight="1" x14ac:dyDescent="0.3">
      <c r="A3743" s="23" t="s">
        <v>7972</v>
      </c>
      <c r="B3743" s="38">
        <v>46274</v>
      </c>
      <c r="C3743" s="23" t="s">
        <v>7973</v>
      </c>
      <c r="D3743" s="23" t="s">
        <v>88</v>
      </c>
      <c r="E3743" s="23" t="s">
        <v>75</v>
      </c>
      <c r="F3743" s="23" t="s">
        <v>4950</v>
      </c>
      <c r="G3743" s="23" t="s">
        <v>250</v>
      </c>
      <c r="H3743" s="39">
        <f t="shared" si="232"/>
        <v>2499</v>
      </c>
      <c r="I3743" s="23" t="str">
        <f t="shared" si="233"/>
        <v>Lucknow</v>
      </c>
      <c r="J3743" s="23">
        <f>COUNTIFS(pg_transaction_cleaned!$O:$O,A3743,pg_transaction_cleaned!$F:$F,"CAPTURE")</f>
        <v>1</v>
      </c>
      <c r="K3743" s="39">
        <f>SUMIFS(pg_transaction_cleaned!$H:$H,pg_transaction_cleaned!$O:$O,A3743,pg_transaction_cleaned!$F:$F,"CAPTURE")</f>
        <v>2499</v>
      </c>
      <c r="L3743" s="23">
        <f>COUNTIFS(pg_transaction_cleaned!$O:$O,A3743,pg_transaction_cleaned!$F:$F,"REFUND")</f>
        <v>0</v>
      </c>
      <c r="M3743" s="39">
        <f>SUMIFS(pg_transaction_cleaned!$H:$H,pg_transaction_cleaned!$O:$O,A3743,pg_transaction_cleaned!$F:$F,"REFUND")</f>
        <v>0</v>
      </c>
      <c r="N3743" s="23" t="str">
        <f t="shared" si="234"/>
        <v>OK</v>
      </c>
      <c r="O3743" s="24">
        <f t="shared" si="235"/>
        <v>0</v>
      </c>
    </row>
    <row r="3744" spans="1:15" ht="15" customHeight="1" x14ac:dyDescent="0.3">
      <c r="A3744" s="23" t="s">
        <v>7974</v>
      </c>
      <c r="B3744" s="38">
        <v>46267</v>
      </c>
      <c r="C3744" s="23" t="s">
        <v>7975</v>
      </c>
      <c r="D3744" s="23" t="s">
        <v>87</v>
      </c>
      <c r="E3744" s="23" t="s">
        <v>79</v>
      </c>
      <c r="F3744" s="23" t="s">
        <v>1954</v>
      </c>
      <c r="G3744" s="23" t="s">
        <v>250</v>
      </c>
      <c r="H3744" s="39">
        <f t="shared" si="232"/>
        <v>848</v>
      </c>
      <c r="I3744" s="23" t="str">
        <f t="shared" si="233"/>
        <v>Mumbai</v>
      </c>
      <c r="J3744" s="23">
        <f>COUNTIFS(pg_transaction_cleaned!$O:$O,A3744,pg_transaction_cleaned!$F:$F,"CAPTURE")</f>
        <v>1</v>
      </c>
      <c r="K3744" s="39">
        <f>SUMIFS(pg_transaction_cleaned!$H:$H,pg_transaction_cleaned!$O:$O,A3744,pg_transaction_cleaned!$F:$F,"CAPTURE")</f>
        <v>848</v>
      </c>
      <c r="L3744" s="23">
        <f>COUNTIFS(pg_transaction_cleaned!$O:$O,A3744,pg_transaction_cleaned!$F:$F,"REFUND")</f>
        <v>0</v>
      </c>
      <c r="M3744" s="39">
        <f>SUMIFS(pg_transaction_cleaned!$H:$H,pg_transaction_cleaned!$O:$O,A3744,pg_transaction_cleaned!$F:$F,"REFUND")</f>
        <v>0</v>
      </c>
      <c r="N3744" s="23" t="str">
        <f t="shared" si="234"/>
        <v>OK</v>
      </c>
      <c r="O3744" s="24">
        <f t="shared" si="235"/>
        <v>0</v>
      </c>
    </row>
    <row r="3745" spans="1:15" ht="15" customHeight="1" x14ac:dyDescent="0.3">
      <c r="A3745" s="23" t="s">
        <v>7976</v>
      </c>
      <c r="B3745" s="38">
        <v>46270</v>
      </c>
      <c r="C3745" s="23" t="s">
        <v>7977</v>
      </c>
      <c r="D3745" s="23" t="s">
        <v>95</v>
      </c>
      <c r="E3745" s="23" t="s">
        <v>75</v>
      </c>
      <c r="F3745" s="23" t="s">
        <v>262</v>
      </c>
      <c r="G3745" s="23" t="s">
        <v>250</v>
      </c>
      <c r="H3745" s="39">
        <f t="shared" si="232"/>
        <v>499</v>
      </c>
      <c r="I3745" s="23" t="str">
        <f t="shared" si="233"/>
        <v>Bengaluru</v>
      </c>
      <c r="J3745" s="23">
        <f>COUNTIFS(pg_transaction_cleaned!$O:$O,A3745,pg_transaction_cleaned!$F:$F,"CAPTURE")</f>
        <v>1</v>
      </c>
      <c r="K3745" s="39">
        <f>SUMIFS(pg_transaction_cleaned!$H:$H,pg_transaction_cleaned!$O:$O,A3745,pg_transaction_cleaned!$F:$F,"CAPTURE")</f>
        <v>499</v>
      </c>
      <c r="L3745" s="23">
        <f>COUNTIFS(pg_transaction_cleaned!$O:$O,A3745,pg_transaction_cleaned!$F:$F,"REFUND")</f>
        <v>0</v>
      </c>
      <c r="M3745" s="39">
        <f>SUMIFS(pg_transaction_cleaned!$H:$H,pg_transaction_cleaned!$O:$O,A3745,pg_transaction_cleaned!$F:$F,"REFUND")</f>
        <v>0</v>
      </c>
      <c r="N3745" s="23" t="str">
        <f t="shared" si="234"/>
        <v>OK</v>
      </c>
      <c r="O3745" s="24">
        <f t="shared" si="235"/>
        <v>0</v>
      </c>
    </row>
    <row r="3746" spans="1:15" ht="15" customHeight="1" x14ac:dyDescent="0.3">
      <c r="A3746" s="23" t="s">
        <v>7978</v>
      </c>
      <c r="B3746" s="38">
        <v>46290</v>
      </c>
      <c r="C3746" s="23" t="s">
        <v>7979</v>
      </c>
      <c r="D3746" s="23" t="s">
        <v>95</v>
      </c>
      <c r="E3746" s="23" t="s">
        <v>79</v>
      </c>
      <c r="F3746" s="23" t="s">
        <v>499</v>
      </c>
      <c r="G3746" s="23" t="s">
        <v>250</v>
      </c>
      <c r="H3746" s="39">
        <f t="shared" si="232"/>
        <v>5998</v>
      </c>
      <c r="I3746" s="23" t="str">
        <f t="shared" si="233"/>
        <v>Bengaluru</v>
      </c>
      <c r="J3746" s="23">
        <f>COUNTIFS(pg_transaction_cleaned!$O:$O,A3746,pg_transaction_cleaned!$F:$F,"CAPTURE")</f>
        <v>1</v>
      </c>
      <c r="K3746" s="39">
        <f>SUMIFS(pg_transaction_cleaned!$H:$H,pg_transaction_cleaned!$O:$O,A3746,pg_transaction_cleaned!$F:$F,"CAPTURE")</f>
        <v>5998</v>
      </c>
      <c r="L3746" s="23">
        <f>COUNTIFS(pg_transaction_cleaned!$O:$O,A3746,pg_transaction_cleaned!$F:$F,"REFUND")</f>
        <v>0</v>
      </c>
      <c r="M3746" s="39">
        <f>SUMIFS(pg_transaction_cleaned!$H:$H,pg_transaction_cleaned!$O:$O,A3746,pg_transaction_cleaned!$F:$F,"REFUND")</f>
        <v>0</v>
      </c>
      <c r="N3746" s="23" t="str">
        <f t="shared" si="234"/>
        <v>OK</v>
      </c>
      <c r="O3746" s="24">
        <f t="shared" si="235"/>
        <v>0</v>
      </c>
    </row>
    <row r="3747" spans="1:15" ht="15" customHeight="1" x14ac:dyDescent="0.3">
      <c r="A3747" s="23" t="s">
        <v>7980</v>
      </c>
      <c r="B3747" s="38">
        <v>46293</v>
      </c>
      <c r="C3747" s="23" t="s">
        <v>7981</v>
      </c>
      <c r="D3747" s="23" t="s">
        <v>87</v>
      </c>
      <c r="E3747" s="23" t="s">
        <v>75</v>
      </c>
      <c r="F3747" s="23" t="s">
        <v>271</v>
      </c>
      <c r="G3747" s="23" t="s">
        <v>250</v>
      </c>
      <c r="H3747" s="39">
        <f t="shared" si="232"/>
        <v>2499</v>
      </c>
      <c r="I3747" s="23" t="str">
        <f t="shared" si="233"/>
        <v>Mumbai</v>
      </c>
      <c r="J3747" s="23">
        <f>COUNTIFS(pg_transaction_cleaned!$O:$O,A3747,pg_transaction_cleaned!$F:$F,"CAPTURE")</f>
        <v>1</v>
      </c>
      <c r="K3747" s="39">
        <f>SUMIFS(pg_transaction_cleaned!$H:$H,pg_transaction_cleaned!$O:$O,A3747,pg_transaction_cleaned!$F:$F,"CAPTURE")</f>
        <v>2499</v>
      </c>
      <c r="L3747" s="23">
        <f>COUNTIFS(pg_transaction_cleaned!$O:$O,A3747,pg_transaction_cleaned!$F:$F,"REFUND")</f>
        <v>0</v>
      </c>
      <c r="M3747" s="39">
        <f>SUMIFS(pg_transaction_cleaned!$H:$H,pg_transaction_cleaned!$O:$O,A3747,pg_transaction_cleaned!$F:$F,"REFUND")</f>
        <v>0</v>
      </c>
      <c r="N3747" s="23" t="str">
        <f t="shared" si="234"/>
        <v>OK</v>
      </c>
      <c r="O3747" s="24">
        <f t="shared" si="235"/>
        <v>0</v>
      </c>
    </row>
    <row r="3748" spans="1:15" ht="15" customHeight="1" x14ac:dyDescent="0.3">
      <c r="A3748" s="23" t="s">
        <v>7982</v>
      </c>
      <c r="B3748" s="38">
        <v>46267</v>
      </c>
      <c r="C3748" s="23" t="s">
        <v>7983</v>
      </c>
      <c r="D3748" s="23" t="s">
        <v>94</v>
      </c>
      <c r="E3748" s="23" t="s">
        <v>75</v>
      </c>
      <c r="F3748" s="23" t="s">
        <v>717</v>
      </c>
      <c r="G3748" s="23" t="s">
        <v>250</v>
      </c>
      <c r="H3748" s="39">
        <f t="shared" si="232"/>
        <v>5298</v>
      </c>
      <c r="I3748" s="23" t="str">
        <f t="shared" si="233"/>
        <v>Chennai</v>
      </c>
      <c r="J3748" s="23">
        <f>COUNTIFS(pg_transaction_cleaned!$O:$O,A3748,pg_transaction_cleaned!$F:$F,"CAPTURE")</f>
        <v>1</v>
      </c>
      <c r="K3748" s="39">
        <f>SUMIFS(pg_transaction_cleaned!$H:$H,pg_transaction_cleaned!$O:$O,A3748,pg_transaction_cleaned!$F:$F,"CAPTURE")</f>
        <v>5298</v>
      </c>
      <c r="L3748" s="23">
        <f>COUNTIFS(pg_transaction_cleaned!$O:$O,A3748,pg_transaction_cleaned!$F:$F,"REFUND")</f>
        <v>0</v>
      </c>
      <c r="M3748" s="39">
        <f>SUMIFS(pg_transaction_cleaned!$H:$H,pg_transaction_cleaned!$O:$O,A3748,pg_transaction_cleaned!$F:$F,"REFUND")</f>
        <v>0</v>
      </c>
      <c r="N3748" s="23" t="str">
        <f t="shared" si="234"/>
        <v>OK</v>
      </c>
      <c r="O3748" s="24">
        <f t="shared" si="235"/>
        <v>0</v>
      </c>
    </row>
    <row r="3749" spans="1:15" ht="15" customHeight="1" x14ac:dyDescent="0.3">
      <c r="A3749" s="23" t="s">
        <v>7984</v>
      </c>
      <c r="B3749" s="38">
        <v>46295</v>
      </c>
      <c r="C3749" s="23" t="s">
        <v>7985</v>
      </c>
      <c r="D3749" s="23" t="s">
        <v>88</v>
      </c>
      <c r="E3749" s="23" t="s">
        <v>81</v>
      </c>
      <c r="F3749" s="23" t="s">
        <v>307</v>
      </c>
      <c r="G3749" s="23" t="s">
        <v>250</v>
      </c>
      <c r="H3749" s="39">
        <f t="shared" si="232"/>
        <v>3798</v>
      </c>
      <c r="I3749" s="23" t="str">
        <f t="shared" si="233"/>
        <v>Lucknow</v>
      </c>
      <c r="J3749" s="23">
        <f>COUNTIFS(pg_transaction_cleaned!$O:$O,A3749,pg_transaction_cleaned!$F:$F,"CAPTURE")</f>
        <v>1</v>
      </c>
      <c r="K3749" s="39">
        <f>SUMIFS(pg_transaction_cleaned!$H:$H,pg_transaction_cleaned!$O:$O,A3749,pg_transaction_cleaned!$F:$F,"CAPTURE")</f>
        <v>3798</v>
      </c>
      <c r="L3749" s="23">
        <f>COUNTIFS(pg_transaction_cleaned!$O:$O,A3749,pg_transaction_cleaned!$F:$F,"REFUND")</f>
        <v>0</v>
      </c>
      <c r="M3749" s="39">
        <f>SUMIFS(pg_transaction_cleaned!$H:$H,pg_transaction_cleaned!$O:$O,A3749,pg_transaction_cleaned!$F:$F,"REFUND")</f>
        <v>0</v>
      </c>
      <c r="N3749" s="23" t="str">
        <f t="shared" si="234"/>
        <v>OK</v>
      </c>
      <c r="O3749" s="24">
        <f t="shared" si="235"/>
        <v>0</v>
      </c>
    </row>
    <row r="3750" spans="1:15" ht="15" customHeight="1" x14ac:dyDescent="0.3">
      <c r="A3750" s="23" t="s">
        <v>7986</v>
      </c>
      <c r="B3750" s="38">
        <v>46270</v>
      </c>
      <c r="C3750" s="23" t="s">
        <v>7987</v>
      </c>
      <c r="D3750" s="23" t="s">
        <v>92</v>
      </c>
      <c r="E3750" s="23" t="s">
        <v>79</v>
      </c>
      <c r="F3750" s="23" t="s">
        <v>265</v>
      </c>
      <c r="G3750" s="23" t="s">
        <v>250</v>
      </c>
      <c r="H3750" s="39">
        <f t="shared" si="232"/>
        <v>999</v>
      </c>
      <c r="I3750" s="23" t="str">
        <f t="shared" si="233"/>
        <v>Hyderabad</v>
      </c>
      <c r="J3750" s="23">
        <f>COUNTIFS(pg_transaction_cleaned!$O:$O,A3750,pg_transaction_cleaned!$F:$F,"CAPTURE")</f>
        <v>1</v>
      </c>
      <c r="K3750" s="39">
        <f>SUMIFS(pg_transaction_cleaned!$H:$H,pg_transaction_cleaned!$O:$O,A3750,pg_transaction_cleaned!$F:$F,"CAPTURE")</f>
        <v>999</v>
      </c>
      <c r="L3750" s="23">
        <f>COUNTIFS(pg_transaction_cleaned!$O:$O,A3750,pg_transaction_cleaned!$F:$F,"REFUND")</f>
        <v>0</v>
      </c>
      <c r="M3750" s="39">
        <f>SUMIFS(pg_transaction_cleaned!$H:$H,pg_transaction_cleaned!$O:$O,A3750,pg_transaction_cleaned!$F:$F,"REFUND")</f>
        <v>0</v>
      </c>
      <c r="N3750" s="23" t="str">
        <f t="shared" si="234"/>
        <v>OK</v>
      </c>
      <c r="O3750" s="24">
        <f t="shared" si="235"/>
        <v>0</v>
      </c>
    </row>
    <row r="3751" spans="1:15" ht="15" customHeight="1" x14ac:dyDescent="0.3">
      <c r="A3751" s="23" t="s">
        <v>7988</v>
      </c>
      <c r="B3751" s="38">
        <v>46288</v>
      </c>
      <c r="C3751" s="23" t="s">
        <v>7989</v>
      </c>
      <c r="D3751" s="23" t="s">
        <v>87</v>
      </c>
      <c r="E3751" s="23" t="s">
        <v>75</v>
      </c>
      <c r="F3751" s="23" t="s">
        <v>742</v>
      </c>
      <c r="G3751" s="23" t="s">
        <v>250</v>
      </c>
      <c r="H3751" s="39">
        <f t="shared" si="232"/>
        <v>999</v>
      </c>
      <c r="I3751" s="23" t="str">
        <f t="shared" si="233"/>
        <v>Mumbai</v>
      </c>
      <c r="J3751" s="23">
        <f>COUNTIFS(pg_transaction_cleaned!$O:$O,A3751,pg_transaction_cleaned!$F:$F,"CAPTURE")</f>
        <v>1</v>
      </c>
      <c r="K3751" s="39">
        <f>SUMIFS(pg_transaction_cleaned!$H:$H,pg_transaction_cleaned!$O:$O,A3751,pg_transaction_cleaned!$F:$F,"CAPTURE")</f>
        <v>999</v>
      </c>
      <c r="L3751" s="23">
        <f>COUNTIFS(pg_transaction_cleaned!$O:$O,A3751,pg_transaction_cleaned!$F:$F,"REFUND")</f>
        <v>0</v>
      </c>
      <c r="M3751" s="39">
        <f>SUMIFS(pg_transaction_cleaned!$H:$H,pg_transaction_cleaned!$O:$O,A3751,pg_transaction_cleaned!$F:$F,"REFUND")</f>
        <v>0</v>
      </c>
      <c r="N3751" s="23" t="str">
        <f t="shared" si="234"/>
        <v>OK</v>
      </c>
      <c r="O3751" s="24">
        <f t="shared" si="235"/>
        <v>0</v>
      </c>
    </row>
    <row r="3752" spans="1:15" ht="15" customHeight="1" x14ac:dyDescent="0.3">
      <c r="A3752" s="23" t="s">
        <v>7990</v>
      </c>
      <c r="B3752" s="38">
        <v>46286</v>
      </c>
      <c r="C3752" s="23" t="s">
        <v>7991</v>
      </c>
      <c r="D3752" s="23" t="s">
        <v>94</v>
      </c>
      <c r="E3752" s="23" t="s">
        <v>75</v>
      </c>
      <c r="F3752" s="23" t="s">
        <v>724</v>
      </c>
      <c r="G3752" s="23" t="s">
        <v>250</v>
      </c>
      <c r="H3752" s="39">
        <f t="shared" si="232"/>
        <v>3848</v>
      </c>
      <c r="I3752" s="23" t="str">
        <f t="shared" si="233"/>
        <v>Chennai</v>
      </c>
      <c r="J3752" s="23">
        <f>COUNTIFS(pg_transaction_cleaned!$O:$O,A3752,pg_transaction_cleaned!$F:$F,"CAPTURE")</f>
        <v>1</v>
      </c>
      <c r="K3752" s="39">
        <f>SUMIFS(pg_transaction_cleaned!$H:$H,pg_transaction_cleaned!$O:$O,A3752,pg_transaction_cleaned!$F:$F,"CAPTURE")</f>
        <v>3848</v>
      </c>
      <c r="L3752" s="23">
        <f>COUNTIFS(pg_transaction_cleaned!$O:$O,A3752,pg_transaction_cleaned!$F:$F,"REFUND")</f>
        <v>0</v>
      </c>
      <c r="M3752" s="39">
        <f>SUMIFS(pg_transaction_cleaned!$H:$H,pg_transaction_cleaned!$O:$O,A3752,pg_transaction_cleaned!$F:$F,"REFUND")</f>
        <v>0</v>
      </c>
      <c r="N3752" s="23" t="str">
        <f t="shared" si="234"/>
        <v>OK</v>
      </c>
      <c r="O3752" s="24">
        <f t="shared" si="235"/>
        <v>0</v>
      </c>
    </row>
    <row r="3753" spans="1:15" ht="15" customHeight="1" x14ac:dyDescent="0.3">
      <c r="A3753" s="23" t="s">
        <v>7992</v>
      </c>
      <c r="B3753" s="38">
        <v>46282</v>
      </c>
      <c r="C3753" s="23" t="s">
        <v>7993</v>
      </c>
      <c r="D3753" s="23" t="s">
        <v>93</v>
      </c>
      <c r="E3753" s="23" t="s">
        <v>81</v>
      </c>
      <c r="F3753" s="23" t="s">
        <v>475</v>
      </c>
      <c r="G3753" s="23" t="s">
        <v>365</v>
      </c>
      <c r="H3753" s="39">
        <f t="shared" si="232"/>
        <v>799</v>
      </c>
      <c r="I3753" s="23" t="str">
        <f t="shared" si="233"/>
        <v>Kolkata</v>
      </c>
      <c r="J3753" s="23">
        <f>COUNTIFS(pg_transaction_cleaned!$O:$O,A3753,pg_transaction_cleaned!$F:$F,"CAPTURE")</f>
        <v>0</v>
      </c>
      <c r="K3753" s="39">
        <f>SUMIFS(pg_transaction_cleaned!$H:$H,pg_transaction_cleaned!$O:$O,A3753,pg_transaction_cleaned!$F:$F,"CAPTURE")</f>
        <v>0</v>
      </c>
      <c r="L3753" s="23">
        <f>COUNTIFS(pg_transaction_cleaned!$O:$O,A3753,pg_transaction_cleaned!$F:$F,"REFUND")</f>
        <v>0</v>
      </c>
      <c r="M3753" s="39">
        <f>SUMIFS(pg_transaction_cleaned!$H:$H,pg_transaction_cleaned!$O:$O,A3753,pg_transaction_cleaned!$F:$F,"REFUND")</f>
        <v>0</v>
      </c>
      <c r="N3753" s="23" t="str">
        <f t="shared" si="234"/>
        <v>OK</v>
      </c>
      <c r="O3753" s="24">
        <f t="shared" si="235"/>
        <v>0</v>
      </c>
    </row>
    <row r="3754" spans="1:15" ht="15" customHeight="1" x14ac:dyDescent="0.3">
      <c r="A3754" s="23" t="s">
        <v>7994</v>
      </c>
      <c r="B3754" s="38">
        <v>46278</v>
      </c>
      <c r="C3754" s="23" t="s">
        <v>7995</v>
      </c>
      <c r="D3754" s="23" t="s">
        <v>86</v>
      </c>
      <c r="E3754" s="23" t="s">
        <v>79</v>
      </c>
      <c r="F3754" s="23" t="s">
        <v>310</v>
      </c>
      <c r="G3754" s="23" t="s">
        <v>250</v>
      </c>
      <c r="H3754" s="39">
        <f t="shared" si="232"/>
        <v>7999</v>
      </c>
      <c r="I3754" s="23" t="str">
        <f t="shared" si="233"/>
        <v>Delhi</v>
      </c>
      <c r="J3754" s="23">
        <f>COUNTIFS(pg_transaction_cleaned!$O:$O,A3754,pg_transaction_cleaned!$F:$F,"CAPTURE")</f>
        <v>1</v>
      </c>
      <c r="K3754" s="39">
        <f>SUMIFS(pg_transaction_cleaned!$H:$H,pg_transaction_cleaned!$O:$O,A3754,pg_transaction_cleaned!$F:$F,"CAPTURE")</f>
        <v>7999</v>
      </c>
      <c r="L3754" s="23">
        <f>COUNTIFS(pg_transaction_cleaned!$O:$O,A3754,pg_transaction_cleaned!$F:$F,"REFUND")</f>
        <v>0</v>
      </c>
      <c r="M3754" s="39">
        <f>SUMIFS(pg_transaction_cleaned!$H:$H,pg_transaction_cleaned!$O:$O,A3754,pg_transaction_cleaned!$F:$F,"REFUND")</f>
        <v>0</v>
      </c>
      <c r="N3754" s="23" t="str">
        <f t="shared" si="234"/>
        <v>OK</v>
      </c>
      <c r="O3754" s="24">
        <f t="shared" si="235"/>
        <v>0</v>
      </c>
    </row>
    <row r="3755" spans="1:15" ht="15" customHeight="1" x14ac:dyDescent="0.3">
      <c r="A3755" s="23" t="s">
        <v>7996</v>
      </c>
      <c r="B3755" s="38">
        <v>46269</v>
      </c>
      <c r="C3755" s="23" t="s">
        <v>7997</v>
      </c>
      <c r="D3755" s="23" t="s">
        <v>87</v>
      </c>
      <c r="E3755" s="23" t="s">
        <v>79</v>
      </c>
      <c r="F3755" s="23" t="s">
        <v>337</v>
      </c>
      <c r="G3755" s="23" t="s">
        <v>250</v>
      </c>
      <c r="H3755" s="39">
        <f t="shared" si="232"/>
        <v>3998</v>
      </c>
      <c r="I3755" s="23" t="str">
        <f t="shared" si="233"/>
        <v>Mumbai</v>
      </c>
      <c r="J3755" s="23">
        <f>COUNTIFS(pg_transaction_cleaned!$O:$O,A3755,pg_transaction_cleaned!$F:$F,"CAPTURE")</f>
        <v>1</v>
      </c>
      <c r="K3755" s="39">
        <f>SUMIFS(pg_transaction_cleaned!$H:$H,pg_transaction_cleaned!$O:$O,A3755,pg_transaction_cleaned!$F:$F,"CAPTURE")</f>
        <v>3998</v>
      </c>
      <c r="L3755" s="23">
        <f>COUNTIFS(pg_transaction_cleaned!$O:$O,A3755,pg_transaction_cleaned!$F:$F,"REFUND")</f>
        <v>0</v>
      </c>
      <c r="M3755" s="39">
        <f>SUMIFS(pg_transaction_cleaned!$H:$H,pg_transaction_cleaned!$O:$O,A3755,pg_transaction_cleaned!$F:$F,"REFUND")</f>
        <v>0</v>
      </c>
      <c r="N3755" s="23" t="str">
        <f t="shared" si="234"/>
        <v>OK</v>
      </c>
      <c r="O3755" s="24">
        <f t="shared" si="235"/>
        <v>0</v>
      </c>
    </row>
    <row r="3756" spans="1:15" ht="15" customHeight="1" x14ac:dyDescent="0.3">
      <c r="A3756" s="23" t="s">
        <v>7998</v>
      </c>
      <c r="B3756" s="38">
        <v>46273</v>
      </c>
      <c r="C3756" s="23" t="s">
        <v>7999</v>
      </c>
      <c r="D3756" s="23" t="s">
        <v>93</v>
      </c>
      <c r="E3756" s="23" t="s">
        <v>75</v>
      </c>
      <c r="F3756" s="23" t="s">
        <v>1463</v>
      </c>
      <c r="G3756" s="23" t="s">
        <v>250</v>
      </c>
      <c r="H3756" s="39">
        <f t="shared" si="232"/>
        <v>5348</v>
      </c>
      <c r="I3756" s="23" t="str">
        <f t="shared" si="233"/>
        <v>Kolkata</v>
      </c>
      <c r="J3756" s="23">
        <f>COUNTIFS(pg_transaction_cleaned!$O:$O,A3756,pg_transaction_cleaned!$F:$F,"CAPTURE")</f>
        <v>1</v>
      </c>
      <c r="K3756" s="39">
        <f>SUMIFS(pg_transaction_cleaned!$H:$H,pg_transaction_cleaned!$O:$O,A3756,pg_transaction_cleaned!$F:$F,"CAPTURE")</f>
        <v>5348</v>
      </c>
      <c r="L3756" s="23">
        <f>COUNTIFS(pg_transaction_cleaned!$O:$O,A3756,pg_transaction_cleaned!$F:$F,"REFUND")</f>
        <v>0</v>
      </c>
      <c r="M3756" s="39">
        <f>SUMIFS(pg_transaction_cleaned!$H:$H,pg_transaction_cleaned!$O:$O,A3756,pg_transaction_cleaned!$F:$F,"REFUND")</f>
        <v>0</v>
      </c>
      <c r="N3756" s="23" t="str">
        <f t="shared" si="234"/>
        <v>OK</v>
      </c>
      <c r="O3756" s="24">
        <f t="shared" si="235"/>
        <v>0</v>
      </c>
    </row>
    <row r="3757" spans="1:15" ht="15" customHeight="1" x14ac:dyDescent="0.3">
      <c r="A3757" s="23" t="s">
        <v>8000</v>
      </c>
      <c r="B3757" s="38">
        <v>46266</v>
      </c>
      <c r="C3757" s="23" t="s">
        <v>8001</v>
      </c>
      <c r="D3757" s="23" t="s">
        <v>93</v>
      </c>
      <c r="E3757" s="23" t="s">
        <v>79</v>
      </c>
      <c r="F3757" s="23" t="s">
        <v>451</v>
      </c>
      <c r="G3757" s="23" t="s">
        <v>250</v>
      </c>
      <c r="H3757" s="39">
        <f t="shared" si="232"/>
        <v>1098</v>
      </c>
      <c r="I3757" s="23" t="str">
        <f t="shared" si="233"/>
        <v>Kolkata</v>
      </c>
      <c r="J3757" s="23">
        <f>COUNTIFS(pg_transaction_cleaned!$O:$O,A3757,pg_transaction_cleaned!$F:$F,"CAPTURE")</f>
        <v>1</v>
      </c>
      <c r="K3757" s="39">
        <f>SUMIFS(pg_transaction_cleaned!$H:$H,pg_transaction_cleaned!$O:$O,A3757,pg_transaction_cleaned!$F:$F,"CAPTURE")</f>
        <v>1098</v>
      </c>
      <c r="L3757" s="23">
        <f>COUNTIFS(pg_transaction_cleaned!$O:$O,A3757,pg_transaction_cleaned!$F:$F,"REFUND")</f>
        <v>0</v>
      </c>
      <c r="M3757" s="39">
        <f>SUMIFS(pg_transaction_cleaned!$H:$H,pg_transaction_cleaned!$O:$O,A3757,pg_transaction_cleaned!$F:$F,"REFUND")</f>
        <v>0</v>
      </c>
      <c r="N3757" s="23" t="str">
        <f t="shared" si="234"/>
        <v>OK</v>
      </c>
      <c r="O3757" s="24">
        <f t="shared" si="235"/>
        <v>0</v>
      </c>
    </row>
    <row r="3758" spans="1:15" ht="15" customHeight="1" x14ac:dyDescent="0.3">
      <c r="A3758" s="23" t="s">
        <v>8002</v>
      </c>
      <c r="B3758" s="38">
        <v>46266</v>
      </c>
      <c r="C3758" s="23" t="s">
        <v>8003</v>
      </c>
      <c r="D3758" s="23" t="s">
        <v>89</v>
      </c>
      <c r="E3758" s="23" t="s">
        <v>77</v>
      </c>
      <c r="F3758" s="23" t="s">
        <v>329</v>
      </c>
      <c r="G3758" s="23" t="s">
        <v>250</v>
      </c>
      <c r="H3758" s="39">
        <f t="shared" si="232"/>
        <v>599</v>
      </c>
      <c r="I3758" s="23" t="str">
        <f t="shared" si="233"/>
        <v>Jaipur</v>
      </c>
      <c r="J3758" s="23">
        <f>COUNTIFS(pg_transaction_cleaned!$O:$O,A3758,pg_transaction_cleaned!$F:$F,"CAPTURE")</f>
        <v>1</v>
      </c>
      <c r="K3758" s="39">
        <f>SUMIFS(pg_transaction_cleaned!$H:$H,pg_transaction_cleaned!$O:$O,A3758,pg_transaction_cleaned!$F:$F,"CAPTURE")</f>
        <v>599</v>
      </c>
      <c r="L3758" s="23">
        <f>COUNTIFS(pg_transaction_cleaned!$O:$O,A3758,pg_transaction_cleaned!$F:$F,"REFUND")</f>
        <v>0</v>
      </c>
      <c r="M3758" s="39">
        <f>SUMIFS(pg_transaction_cleaned!$H:$H,pg_transaction_cleaned!$O:$O,A3758,pg_transaction_cleaned!$F:$F,"REFUND")</f>
        <v>0</v>
      </c>
      <c r="N3758" s="23" t="str">
        <f t="shared" si="234"/>
        <v>OK</v>
      </c>
      <c r="O3758" s="24">
        <f t="shared" si="235"/>
        <v>0</v>
      </c>
    </row>
    <row r="3759" spans="1:15" ht="15" customHeight="1" x14ac:dyDescent="0.3">
      <c r="A3759" s="23" t="s">
        <v>8004</v>
      </c>
      <c r="B3759" s="38">
        <v>46277</v>
      </c>
      <c r="C3759" s="23" t="s">
        <v>8005</v>
      </c>
      <c r="D3759" s="23" t="s">
        <v>91</v>
      </c>
      <c r="E3759" s="23" t="s">
        <v>75</v>
      </c>
      <c r="F3759" s="23" t="s">
        <v>393</v>
      </c>
      <c r="G3759" s="23" t="s">
        <v>250</v>
      </c>
      <c r="H3759" s="39">
        <f t="shared" si="232"/>
        <v>349</v>
      </c>
      <c r="I3759" s="23" t="str">
        <f t="shared" si="233"/>
        <v>Pune</v>
      </c>
      <c r="J3759" s="23">
        <f>COUNTIFS(pg_transaction_cleaned!$O:$O,A3759,pg_transaction_cleaned!$F:$F,"CAPTURE")</f>
        <v>1</v>
      </c>
      <c r="K3759" s="39">
        <f>SUMIFS(pg_transaction_cleaned!$H:$H,pg_transaction_cleaned!$O:$O,A3759,pg_transaction_cleaned!$F:$F,"CAPTURE")</f>
        <v>349</v>
      </c>
      <c r="L3759" s="23">
        <f>COUNTIFS(pg_transaction_cleaned!$O:$O,A3759,pg_transaction_cleaned!$F:$F,"REFUND")</f>
        <v>0</v>
      </c>
      <c r="M3759" s="39">
        <f>SUMIFS(pg_transaction_cleaned!$H:$H,pg_transaction_cleaned!$O:$O,A3759,pg_transaction_cleaned!$F:$F,"REFUND")</f>
        <v>0</v>
      </c>
      <c r="N3759" s="23" t="str">
        <f t="shared" si="234"/>
        <v>OK</v>
      </c>
      <c r="O3759" s="24">
        <f t="shared" si="235"/>
        <v>0</v>
      </c>
    </row>
    <row r="3760" spans="1:15" ht="15" customHeight="1" x14ac:dyDescent="0.3">
      <c r="A3760" s="23" t="s">
        <v>8006</v>
      </c>
      <c r="B3760" s="38">
        <v>46280</v>
      </c>
      <c r="C3760" s="23" t="s">
        <v>8007</v>
      </c>
      <c r="D3760" s="23" t="s">
        <v>90</v>
      </c>
      <c r="E3760" s="23" t="s">
        <v>77</v>
      </c>
      <c r="F3760" s="23" t="s">
        <v>396</v>
      </c>
      <c r="G3760" s="23" t="s">
        <v>250</v>
      </c>
      <c r="H3760" s="39">
        <f t="shared" si="232"/>
        <v>2999</v>
      </c>
      <c r="I3760" s="23" t="str">
        <f t="shared" si="233"/>
        <v>Ahmedabad</v>
      </c>
      <c r="J3760" s="23">
        <f>COUNTIFS(pg_transaction_cleaned!$O:$O,A3760,pg_transaction_cleaned!$F:$F,"CAPTURE")</f>
        <v>1</v>
      </c>
      <c r="K3760" s="39">
        <f>SUMIFS(pg_transaction_cleaned!$H:$H,pg_transaction_cleaned!$O:$O,A3760,pg_transaction_cleaned!$F:$F,"CAPTURE")</f>
        <v>2999</v>
      </c>
      <c r="L3760" s="23">
        <f>COUNTIFS(pg_transaction_cleaned!$O:$O,A3760,pg_transaction_cleaned!$F:$F,"REFUND")</f>
        <v>0</v>
      </c>
      <c r="M3760" s="39">
        <f>SUMIFS(pg_transaction_cleaned!$H:$H,pg_transaction_cleaned!$O:$O,A3760,pg_transaction_cleaned!$F:$F,"REFUND")</f>
        <v>0</v>
      </c>
      <c r="N3760" s="23" t="str">
        <f t="shared" si="234"/>
        <v>OK</v>
      </c>
      <c r="O3760" s="24">
        <f t="shared" si="235"/>
        <v>0</v>
      </c>
    </row>
    <row r="3761" spans="1:15" ht="15" customHeight="1" x14ac:dyDescent="0.3">
      <c r="A3761" s="23" t="s">
        <v>8008</v>
      </c>
      <c r="B3761" s="38">
        <v>46291</v>
      </c>
      <c r="C3761" s="23" t="s">
        <v>8009</v>
      </c>
      <c r="D3761" s="23" t="s">
        <v>88</v>
      </c>
      <c r="E3761" s="23" t="s">
        <v>75</v>
      </c>
      <c r="F3761" s="23" t="s">
        <v>265</v>
      </c>
      <c r="G3761" s="23" t="s">
        <v>250</v>
      </c>
      <c r="H3761" s="39">
        <f t="shared" si="232"/>
        <v>999</v>
      </c>
      <c r="I3761" s="23" t="str">
        <f t="shared" si="233"/>
        <v>Lucknow</v>
      </c>
      <c r="J3761" s="23">
        <f>COUNTIFS(pg_transaction_cleaned!$O:$O,A3761,pg_transaction_cleaned!$F:$F,"CAPTURE")</f>
        <v>1</v>
      </c>
      <c r="K3761" s="39">
        <f>SUMIFS(pg_transaction_cleaned!$H:$H,pg_transaction_cleaned!$O:$O,A3761,pg_transaction_cleaned!$F:$F,"CAPTURE")</f>
        <v>999</v>
      </c>
      <c r="L3761" s="23">
        <f>COUNTIFS(pg_transaction_cleaned!$O:$O,A3761,pg_transaction_cleaned!$F:$F,"REFUND")</f>
        <v>0</v>
      </c>
      <c r="M3761" s="39">
        <f>SUMIFS(pg_transaction_cleaned!$H:$H,pg_transaction_cleaned!$O:$O,A3761,pg_transaction_cleaned!$F:$F,"REFUND")</f>
        <v>0</v>
      </c>
      <c r="N3761" s="23" t="str">
        <f t="shared" si="234"/>
        <v>OK</v>
      </c>
      <c r="O3761" s="24">
        <f t="shared" si="235"/>
        <v>0</v>
      </c>
    </row>
    <row r="3762" spans="1:15" ht="15" customHeight="1" x14ac:dyDescent="0.3">
      <c r="A3762" s="23" t="s">
        <v>8010</v>
      </c>
      <c r="B3762" s="38">
        <v>46267</v>
      </c>
      <c r="C3762" s="23" t="s">
        <v>8011</v>
      </c>
      <c r="D3762" s="23" t="s">
        <v>95</v>
      </c>
      <c r="E3762" s="23" t="s">
        <v>75</v>
      </c>
      <c r="F3762" s="23" t="s">
        <v>262</v>
      </c>
      <c r="G3762" s="23" t="s">
        <v>250</v>
      </c>
      <c r="H3762" s="39">
        <f t="shared" si="232"/>
        <v>499</v>
      </c>
      <c r="I3762" s="23" t="str">
        <f t="shared" si="233"/>
        <v>Bengaluru</v>
      </c>
      <c r="J3762" s="23">
        <f>COUNTIFS(pg_transaction_cleaned!$O:$O,A3762,pg_transaction_cleaned!$F:$F,"CAPTURE")</f>
        <v>1</v>
      </c>
      <c r="K3762" s="39">
        <f>SUMIFS(pg_transaction_cleaned!$H:$H,pg_transaction_cleaned!$O:$O,A3762,pg_transaction_cleaned!$F:$F,"CAPTURE")</f>
        <v>499</v>
      </c>
      <c r="L3762" s="23">
        <f>COUNTIFS(pg_transaction_cleaned!$O:$O,A3762,pg_transaction_cleaned!$F:$F,"REFUND")</f>
        <v>0</v>
      </c>
      <c r="M3762" s="39">
        <f>SUMIFS(pg_transaction_cleaned!$H:$H,pg_transaction_cleaned!$O:$O,A3762,pg_transaction_cleaned!$F:$F,"REFUND")</f>
        <v>0</v>
      </c>
      <c r="N3762" s="23" t="str">
        <f t="shared" si="234"/>
        <v>OK</v>
      </c>
      <c r="O3762" s="24">
        <f t="shared" si="235"/>
        <v>0</v>
      </c>
    </row>
    <row r="3763" spans="1:15" ht="15" customHeight="1" x14ac:dyDescent="0.3">
      <c r="A3763" s="23" t="s">
        <v>8012</v>
      </c>
      <c r="B3763" s="38">
        <v>46284</v>
      </c>
      <c r="C3763" s="23" t="s">
        <v>8013</v>
      </c>
      <c r="D3763" s="23" t="s">
        <v>92</v>
      </c>
      <c r="E3763" s="23" t="s">
        <v>75</v>
      </c>
      <c r="F3763" s="23" t="s">
        <v>475</v>
      </c>
      <c r="G3763" s="23" t="s">
        <v>250</v>
      </c>
      <c r="H3763" s="39">
        <f t="shared" si="232"/>
        <v>799</v>
      </c>
      <c r="I3763" s="23" t="str">
        <f t="shared" si="233"/>
        <v>Hyderabad</v>
      </c>
      <c r="J3763" s="23">
        <f>COUNTIFS(pg_transaction_cleaned!$O:$O,A3763,pg_transaction_cleaned!$F:$F,"CAPTURE")</f>
        <v>1</v>
      </c>
      <c r="K3763" s="39">
        <f>SUMIFS(pg_transaction_cleaned!$H:$H,pg_transaction_cleaned!$O:$O,A3763,pg_transaction_cleaned!$F:$F,"CAPTURE")</f>
        <v>799</v>
      </c>
      <c r="L3763" s="23">
        <f>COUNTIFS(pg_transaction_cleaned!$O:$O,A3763,pg_transaction_cleaned!$F:$F,"REFUND")</f>
        <v>0</v>
      </c>
      <c r="M3763" s="39">
        <f>SUMIFS(pg_transaction_cleaned!$H:$H,pg_transaction_cleaned!$O:$O,A3763,pg_transaction_cleaned!$F:$F,"REFUND")</f>
        <v>0</v>
      </c>
      <c r="N3763" s="23" t="str">
        <f t="shared" si="234"/>
        <v>OK</v>
      </c>
      <c r="O3763" s="24">
        <f t="shared" si="235"/>
        <v>0</v>
      </c>
    </row>
    <row r="3764" spans="1:15" ht="15" customHeight="1" x14ac:dyDescent="0.3">
      <c r="A3764" s="23" t="s">
        <v>8014</v>
      </c>
      <c r="B3764" s="38">
        <v>46289</v>
      </c>
      <c r="C3764" s="23" t="s">
        <v>8015</v>
      </c>
      <c r="D3764" s="23" t="s">
        <v>88</v>
      </c>
      <c r="E3764" s="23" t="s">
        <v>75</v>
      </c>
      <c r="F3764" s="23" t="s">
        <v>999</v>
      </c>
      <c r="G3764" s="23" t="s">
        <v>250</v>
      </c>
      <c r="H3764" s="39">
        <f t="shared" si="232"/>
        <v>1947</v>
      </c>
      <c r="I3764" s="23" t="str">
        <f t="shared" si="233"/>
        <v>Lucknow</v>
      </c>
      <c r="J3764" s="23">
        <f>COUNTIFS(pg_transaction_cleaned!$O:$O,A3764,pg_transaction_cleaned!$F:$F,"CAPTURE")</f>
        <v>1</v>
      </c>
      <c r="K3764" s="39">
        <f>SUMIFS(pg_transaction_cleaned!$H:$H,pg_transaction_cleaned!$O:$O,A3764,pg_transaction_cleaned!$F:$F,"CAPTURE")</f>
        <v>1947</v>
      </c>
      <c r="L3764" s="23">
        <f>COUNTIFS(pg_transaction_cleaned!$O:$O,A3764,pg_transaction_cleaned!$F:$F,"REFUND")</f>
        <v>0</v>
      </c>
      <c r="M3764" s="39">
        <f>SUMIFS(pg_transaction_cleaned!$H:$H,pg_transaction_cleaned!$O:$O,A3764,pg_transaction_cleaned!$F:$F,"REFUND")</f>
        <v>0</v>
      </c>
      <c r="N3764" s="23" t="str">
        <f t="shared" si="234"/>
        <v>OK</v>
      </c>
      <c r="O3764" s="24">
        <f t="shared" si="235"/>
        <v>0</v>
      </c>
    </row>
    <row r="3765" spans="1:15" ht="15" customHeight="1" x14ac:dyDescent="0.3">
      <c r="A3765" s="23" t="s">
        <v>8016</v>
      </c>
      <c r="B3765" s="38">
        <v>46267</v>
      </c>
      <c r="C3765" s="23" t="s">
        <v>8017</v>
      </c>
      <c r="D3765" s="23" t="s">
        <v>89</v>
      </c>
      <c r="E3765" s="23" t="s">
        <v>79</v>
      </c>
      <c r="F3765" s="23" t="s">
        <v>291</v>
      </c>
      <c r="G3765" s="23" t="s">
        <v>250</v>
      </c>
      <c r="H3765" s="39">
        <f t="shared" si="232"/>
        <v>3499</v>
      </c>
      <c r="I3765" s="23" t="str">
        <f t="shared" si="233"/>
        <v>Jaipur</v>
      </c>
      <c r="J3765" s="23">
        <f>COUNTIFS(pg_transaction_cleaned!$O:$O,A3765,pg_transaction_cleaned!$F:$F,"CAPTURE")</f>
        <v>1</v>
      </c>
      <c r="K3765" s="39">
        <f>SUMIFS(pg_transaction_cleaned!$H:$H,pg_transaction_cleaned!$O:$O,A3765,pg_transaction_cleaned!$F:$F,"CAPTURE")</f>
        <v>3499</v>
      </c>
      <c r="L3765" s="23">
        <f>COUNTIFS(pg_transaction_cleaned!$O:$O,A3765,pg_transaction_cleaned!$F:$F,"REFUND")</f>
        <v>0</v>
      </c>
      <c r="M3765" s="39">
        <f>SUMIFS(pg_transaction_cleaned!$H:$H,pg_transaction_cleaned!$O:$O,A3765,pg_transaction_cleaned!$F:$F,"REFUND")</f>
        <v>0</v>
      </c>
      <c r="N3765" s="23" t="str">
        <f t="shared" si="234"/>
        <v>OK</v>
      </c>
      <c r="O3765" s="24">
        <f t="shared" si="235"/>
        <v>0</v>
      </c>
    </row>
    <row r="3766" spans="1:15" ht="15" customHeight="1" x14ac:dyDescent="0.3">
      <c r="A3766" s="23" t="s">
        <v>8018</v>
      </c>
      <c r="B3766" s="38">
        <v>46286</v>
      </c>
      <c r="C3766" s="23" t="s">
        <v>8019</v>
      </c>
      <c r="D3766" s="23" t="s">
        <v>93</v>
      </c>
      <c r="E3766" s="23" t="s">
        <v>79</v>
      </c>
      <c r="F3766" s="23" t="s">
        <v>370</v>
      </c>
      <c r="G3766" s="23" t="s">
        <v>250</v>
      </c>
      <c r="H3766" s="39">
        <f t="shared" si="232"/>
        <v>3098</v>
      </c>
      <c r="I3766" s="23" t="str">
        <f t="shared" si="233"/>
        <v>Kolkata</v>
      </c>
      <c r="J3766" s="23">
        <f>COUNTIFS(pg_transaction_cleaned!$O:$O,A3766,pg_transaction_cleaned!$F:$F,"CAPTURE")</f>
        <v>1</v>
      </c>
      <c r="K3766" s="39">
        <f>SUMIFS(pg_transaction_cleaned!$H:$H,pg_transaction_cleaned!$O:$O,A3766,pg_transaction_cleaned!$F:$F,"CAPTURE")</f>
        <v>3098</v>
      </c>
      <c r="L3766" s="23">
        <f>COUNTIFS(pg_transaction_cleaned!$O:$O,A3766,pg_transaction_cleaned!$F:$F,"REFUND")</f>
        <v>0</v>
      </c>
      <c r="M3766" s="39">
        <f>SUMIFS(pg_transaction_cleaned!$H:$H,pg_transaction_cleaned!$O:$O,A3766,pg_transaction_cleaned!$F:$F,"REFUND")</f>
        <v>0</v>
      </c>
      <c r="N3766" s="23" t="str">
        <f t="shared" si="234"/>
        <v>OK</v>
      </c>
      <c r="O3766" s="24">
        <f t="shared" si="235"/>
        <v>0</v>
      </c>
    </row>
    <row r="3767" spans="1:15" ht="15" customHeight="1" x14ac:dyDescent="0.3">
      <c r="A3767" s="23" t="s">
        <v>8020</v>
      </c>
      <c r="B3767" s="38">
        <v>46284</v>
      </c>
      <c r="C3767" s="23" t="s">
        <v>8021</v>
      </c>
      <c r="D3767" s="23" t="s">
        <v>95</v>
      </c>
      <c r="E3767" s="23" t="s">
        <v>77</v>
      </c>
      <c r="F3767" s="23" t="s">
        <v>268</v>
      </c>
      <c r="G3767" s="23" t="s">
        <v>250</v>
      </c>
      <c r="H3767" s="39">
        <f t="shared" si="232"/>
        <v>1299</v>
      </c>
      <c r="I3767" s="23" t="str">
        <f t="shared" si="233"/>
        <v>Bengaluru</v>
      </c>
      <c r="J3767" s="23">
        <f>COUNTIFS(pg_transaction_cleaned!$O:$O,A3767,pg_transaction_cleaned!$F:$F,"CAPTURE")</f>
        <v>1</v>
      </c>
      <c r="K3767" s="39">
        <f>SUMIFS(pg_transaction_cleaned!$H:$H,pg_transaction_cleaned!$O:$O,A3767,pg_transaction_cleaned!$F:$F,"CAPTURE")</f>
        <v>1299</v>
      </c>
      <c r="L3767" s="23">
        <f>COUNTIFS(pg_transaction_cleaned!$O:$O,A3767,pg_transaction_cleaned!$F:$F,"REFUND")</f>
        <v>0</v>
      </c>
      <c r="M3767" s="39">
        <f>SUMIFS(pg_transaction_cleaned!$H:$H,pg_transaction_cleaned!$O:$O,A3767,pg_transaction_cleaned!$F:$F,"REFUND")</f>
        <v>0</v>
      </c>
      <c r="N3767" s="23" t="str">
        <f t="shared" si="234"/>
        <v>OK</v>
      </c>
      <c r="O3767" s="24">
        <f t="shared" si="235"/>
        <v>0</v>
      </c>
    </row>
    <row r="3768" spans="1:15" ht="15" customHeight="1" x14ac:dyDescent="0.3">
      <c r="A3768" s="23" t="s">
        <v>8022</v>
      </c>
      <c r="B3768" s="38">
        <v>46272</v>
      </c>
      <c r="C3768" s="23" t="s">
        <v>8023</v>
      </c>
      <c r="D3768" s="23" t="s">
        <v>89</v>
      </c>
      <c r="E3768" s="23" t="s">
        <v>75</v>
      </c>
      <c r="F3768" s="23" t="s">
        <v>291</v>
      </c>
      <c r="G3768" s="23" t="s">
        <v>250</v>
      </c>
      <c r="H3768" s="39">
        <f t="shared" si="232"/>
        <v>3499</v>
      </c>
      <c r="I3768" s="23" t="str">
        <f t="shared" si="233"/>
        <v>Jaipur</v>
      </c>
      <c r="J3768" s="23">
        <f>COUNTIFS(pg_transaction_cleaned!$O:$O,A3768,pg_transaction_cleaned!$F:$F,"CAPTURE")</f>
        <v>1</v>
      </c>
      <c r="K3768" s="39">
        <f>SUMIFS(pg_transaction_cleaned!$H:$H,pg_transaction_cleaned!$O:$O,A3768,pg_transaction_cleaned!$F:$F,"CAPTURE")</f>
        <v>3499</v>
      </c>
      <c r="L3768" s="23">
        <f>COUNTIFS(pg_transaction_cleaned!$O:$O,A3768,pg_transaction_cleaned!$F:$F,"REFUND")</f>
        <v>0</v>
      </c>
      <c r="M3768" s="39">
        <f>SUMIFS(pg_transaction_cleaned!$H:$H,pg_transaction_cleaned!$O:$O,A3768,pg_transaction_cleaned!$F:$F,"REFUND")</f>
        <v>0</v>
      </c>
      <c r="N3768" s="23" t="str">
        <f t="shared" si="234"/>
        <v>OK</v>
      </c>
      <c r="O3768" s="24">
        <f t="shared" si="235"/>
        <v>0</v>
      </c>
    </row>
    <row r="3769" spans="1:15" ht="15" customHeight="1" x14ac:dyDescent="0.3">
      <c r="A3769" s="23" t="s">
        <v>8024</v>
      </c>
      <c r="B3769" s="38">
        <v>46280</v>
      </c>
      <c r="C3769" s="23" t="s">
        <v>8025</v>
      </c>
      <c r="D3769" s="23" t="s">
        <v>95</v>
      </c>
      <c r="E3769" s="23" t="s">
        <v>75</v>
      </c>
      <c r="F3769" s="23" t="s">
        <v>256</v>
      </c>
      <c r="G3769" s="23" t="s">
        <v>250</v>
      </c>
      <c r="H3769" s="39">
        <f t="shared" si="232"/>
        <v>2098</v>
      </c>
      <c r="I3769" s="23" t="str">
        <f t="shared" si="233"/>
        <v>Bengaluru</v>
      </c>
      <c r="J3769" s="23">
        <f>COUNTIFS(pg_transaction_cleaned!$O:$O,A3769,pg_transaction_cleaned!$F:$F,"CAPTURE")</f>
        <v>1</v>
      </c>
      <c r="K3769" s="39">
        <f>SUMIFS(pg_transaction_cleaned!$H:$H,pg_transaction_cleaned!$O:$O,A3769,pg_transaction_cleaned!$F:$F,"CAPTURE")</f>
        <v>2098</v>
      </c>
      <c r="L3769" s="23">
        <f>COUNTIFS(pg_transaction_cleaned!$O:$O,A3769,pg_transaction_cleaned!$F:$F,"REFUND")</f>
        <v>0</v>
      </c>
      <c r="M3769" s="39">
        <f>SUMIFS(pg_transaction_cleaned!$H:$H,pg_transaction_cleaned!$O:$O,A3769,pg_transaction_cleaned!$F:$F,"REFUND")</f>
        <v>0</v>
      </c>
      <c r="N3769" s="23" t="str">
        <f t="shared" si="234"/>
        <v>OK</v>
      </c>
      <c r="O3769" s="24">
        <f t="shared" si="235"/>
        <v>0</v>
      </c>
    </row>
    <row r="3770" spans="1:15" ht="15" customHeight="1" x14ac:dyDescent="0.3">
      <c r="A3770" s="23" t="s">
        <v>8026</v>
      </c>
      <c r="B3770" s="38">
        <v>46289</v>
      </c>
      <c r="C3770" s="23" t="s">
        <v>8027</v>
      </c>
      <c r="D3770" s="23" t="s">
        <v>95</v>
      </c>
      <c r="E3770" s="23" t="s">
        <v>75</v>
      </c>
      <c r="F3770" s="23" t="s">
        <v>1445</v>
      </c>
      <c r="G3770" s="23" t="s">
        <v>250</v>
      </c>
      <c r="H3770" s="39">
        <f t="shared" si="232"/>
        <v>10997</v>
      </c>
      <c r="I3770" s="23" t="str">
        <f t="shared" si="233"/>
        <v>Bengaluru</v>
      </c>
      <c r="J3770" s="23">
        <f>COUNTIFS(pg_transaction_cleaned!$O:$O,A3770,pg_transaction_cleaned!$F:$F,"CAPTURE")</f>
        <v>1</v>
      </c>
      <c r="K3770" s="39">
        <f>SUMIFS(pg_transaction_cleaned!$H:$H,pg_transaction_cleaned!$O:$O,A3770,pg_transaction_cleaned!$F:$F,"CAPTURE")</f>
        <v>10997</v>
      </c>
      <c r="L3770" s="23">
        <f>COUNTIFS(pg_transaction_cleaned!$O:$O,A3770,pg_transaction_cleaned!$F:$F,"REFUND")</f>
        <v>0</v>
      </c>
      <c r="M3770" s="39">
        <f>SUMIFS(pg_transaction_cleaned!$H:$H,pg_transaction_cleaned!$O:$O,A3770,pg_transaction_cleaned!$F:$F,"REFUND")</f>
        <v>0</v>
      </c>
      <c r="N3770" s="23" t="str">
        <f t="shared" si="234"/>
        <v>OK</v>
      </c>
      <c r="O3770" s="24">
        <f t="shared" si="235"/>
        <v>0</v>
      </c>
    </row>
    <row r="3771" spans="1:15" ht="15" customHeight="1" x14ac:dyDescent="0.3">
      <c r="A3771" s="23" t="s">
        <v>8028</v>
      </c>
      <c r="B3771" s="38">
        <v>46293</v>
      </c>
      <c r="C3771" s="23" t="s">
        <v>8029</v>
      </c>
      <c r="D3771" s="23" t="s">
        <v>87</v>
      </c>
      <c r="E3771" s="23" t="s">
        <v>79</v>
      </c>
      <c r="F3771" s="23" t="s">
        <v>297</v>
      </c>
      <c r="G3771" s="23" t="s">
        <v>250</v>
      </c>
      <c r="H3771" s="39">
        <f t="shared" si="232"/>
        <v>4999</v>
      </c>
      <c r="I3771" s="23" t="str">
        <f t="shared" si="233"/>
        <v>Mumbai</v>
      </c>
      <c r="J3771" s="23">
        <f>COUNTIFS(pg_transaction_cleaned!$O:$O,A3771,pg_transaction_cleaned!$F:$F,"CAPTURE")</f>
        <v>1</v>
      </c>
      <c r="K3771" s="39">
        <f>SUMIFS(pg_transaction_cleaned!$H:$H,pg_transaction_cleaned!$O:$O,A3771,pg_transaction_cleaned!$F:$F,"CAPTURE")</f>
        <v>4999</v>
      </c>
      <c r="L3771" s="23">
        <f>COUNTIFS(pg_transaction_cleaned!$O:$O,A3771,pg_transaction_cleaned!$F:$F,"REFUND")</f>
        <v>0</v>
      </c>
      <c r="M3771" s="39">
        <f>SUMIFS(pg_transaction_cleaned!$H:$H,pg_transaction_cleaned!$O:$O,A3771,pg_transaction_cleaned!$F:$F,"REFUND")</f>
        <v>0</v>
      </c>
      <c r="N3771" s="23" t="str">
        <f t="shared" si="234"/>
        <v>OK</v>
      </c>
      <c r="O3771" s="24">
        <f t="shared" si="235"/>
        <v>0</v>
      </c>
    </row>
    <row r="3772" spans="1:15" ht="15" customHeight="1" x14ac:dyDescent="0.3">
      <c r="A3772" s="23" t="s">
        <v>8030</v>
      </c>
      <c r="B3772" s="38">
        <v>46285</v>
      </c>
      <c r="C3772" s="23" t="s">
        <v>8031</v>
      </c>
      <c r="D3772" s="23" t="s">
        <v>88</v>
      </c>
      <c r="E3772" s="23" t="s">
        <v>75</v>
      </c>
      <c r="F3772" s="23" t="s">
        <v>268</v>
      </c>
      <c r="G3772" s="23" t="s">
        <v>250</v>
      </c>
      <c r="H3772" s="39">
        <f t="shared" si="232"/>
        <v>1299</v>
      </c>
      <c r="I3772" s="23" t="str">
        <f t="shared" si="233"/>
        <v>Lucknow</v>
      </c>
      <c r="J3772" s="23">
        <f>COUNTIFS(pg_transaction_cleaned!$O:$O,A3772,pg_transaction_cleaned!$F:$F,"CAPTURE")</f>
        <v>1</v>
      </c>
      <c r="K3772" s="39">
        <f>SUMIFS(pg_transaction_cleaned!$H:$H,pg_transaction_cleaned!$O:$O,A3772,pg_transaction_cleaned!$F:$F,"CAPTURE")</f>
        <v>1299</v>
      </c>
      <c r="L3772" s="23">
        <f>COUNTIFS(pg_transaction_cleaned!$O:$O,A3772,pg_transaction_cleaned!$F:$F,"REFUND")</f>
        <v>0</v>
      </c>
      <c r="M3772" s="39">
        <f>SUMIFS(pg_transaction_cleaned!$H:$H,pg_transaction_cleaned!$O:$O,A3772,pg_transaction_cleaned!$F:$F,"REFUND")</f>
        <v>0</v>
      </c>
      <c r="N3772" s="23" t="str">
        <f t="shared" si="234"/>
        <v>OK</v>
      </c>
      <c r="O3772" s="24">
        <f t="shared" si="235"/>
        <v>0</v>
      </c>
    </row>
    <row r="3773" spans="1:15" ht="15" customHeight="1" x14ac:dyDescent="0.3">
      <c r="A3773" s="23" t="s">
        <v>8032</v>
      </c>
      <c r="B3773" s="38">
        <v>46288</v>
      </c>
      <c r="C3773" s="23" t="s">
        <v>8033</v>
      </c>
      <c r="D3773" s="23"/>
      <c r="E3773" s="23" t="s">
        <v>75</v>
      </c>
      <c r="F3773" s="23" t="s">
        <v>598</v>
      </c>
      <c r="G3773" s="23" t="s">
        <v>250</v>
      </c>
      <c r="H3773" s="39">
        <f t="shared" si="232"/>
        <v>5598</v>
      </c>
      <c r="I3773" s="23" t="str">
        <f t="shared" si="233"/>
        <v>Unknown</v>
      </c>
      <c r="J3773" s="23">
        <f>COUNTIFS(pg_transaction_cleaned!$O:$O,A3773,pg_transaction_cleaned!$F:$F,"CAPTURE")</f>
        <v>1</v>
      </c>
      <c r="K3773" s="39">
        <f>SUMIFS(pg_transaction_cleaned!$H:$H,pg_transaction_cleaned!$O:$O,A3773,pg_transaction_cleaned!$F:$F,"CAPTURE")</f>
        <v>5598</v>
      </c>
      <c r="L3773" s="23">
        <f>COUNTIFS(pg_transaction_cleaned!$O:$O,A3773,pg_transaction_cleaned!$F:$F,"REFUND")</f>
        <v>0</v>
      </c>
      <c r="M3773" s="39">
        <f>SUMIFS(pg_transaction_cleaned!$H:$H,pg_transaction_cleaned!$O:$O,A3773,pg_transaction_cleaned!$F:$F,"REFUND")</f>
        <v>0</v>
      </c>
      <c r="N3773" s="23" t="str">
        <f t="shared" si="234"/>
        <v>OK</v>
      </c>
      <c r="O3773" s="24">
        <f t="shared" si="235"/>
        <v>0</v>
      </c>
    </row>
    <row r="3774" spans="1:15" ht="15" customHeight="1" x14ac:dyDescent="0.3">
      <c r="A3774" s="23" t="s">
        <v>8034</v>
      </c>
      <c r="B3774" s="38">
        <v>46274</v>
      </c>
      <c r="C3774" s="23" t="s">
        <v>8035</v>
      </c>
      <c r="D3774" s="23" t="s">
        <v>95</v>
      </c>
      <c r="E3774" s="23" t="s">
        <v>77</v>
      </c>
      <c r="F3774" s="23" t="s">
        <v>262</v>
      </c>
      <c r="G3774" s="23" t="s">
        <v>250</v>
      </c>
      <c r="H3774" s="39">
        <f t="shared" si="232"/>
        <v>499</v>
      </c>
      <c r="I3774" s="23" t="str">
        <f t="shared" si="233"/>
        <v>Bengaluru</v>
      </c>
      <c r="J3774" s="23">
        <f>COUNTIFS(pg_transaction_cleaned!$O:$O,A3774,pg_transaction_cleaned!$F:$F,"CAPTURE")</f>
        <v>1</v>
      </c>
      <c r="K3774" s="39">
        <f>SUMIFS(pg_transaction_cleaned!$H:$H,pg_transaction_cleaned!$O:$O,A3774,pg_transaction_cleaned!$F:$F,"CAPTURE")</f>
        <v>499</v>
      </c>
      <c r="L3774" s="23">
        <f>COUNTIFS(pg_transaction_cleaned!$O:$O,A3774,pg_transaction_cleaned!$F:$F,"REFUND")</f>
        <v>0</v>
      </c>
      <c r="M3774" s="39">
        <f>SUMIFS(pg_transaction_cleaned!$H:$H,pg_transaction_cleaned!$O:$O,A3774,pg_transaction_cleaned!$F:$F,"REFUND")</f>
        <v>0</v>
      </c>
      <c r="N3774" s="23" t="str">
        <f t="shared" si="234"/>
        <v>OK</v>
      </c>
      <c r="O3774" s="24">
        <f t="shared" si="235"/>
        <v>0</v>
      </c>
    </row>
    <row r="3775" spans="1:15" ht="15" customHeight="1" x14ac:dyDescent="0.3">
      <c r="A3775" s="23" t="s">
        <v>8036</v>
      </c>
      <c r="B3775" s="38">
        <v>46290</v>
      </c>
      <c r="C3775" s="23" t="s">
        <v>8037</v>
      </c>
      <c r="D3775" s="23" t="s">
        <v>93</v>
      </c>
      <c r="E3775" s="23" t="s">
        <v>81</v>
      </c>
      <c r="F3775" s="23" t="s">
        <v>310</v>
      </c>
      <c r="G3775" s="23" t="s">
        <v>250</v>
      </c>
      <c r="H3775" s="39">
        <f t="shared" si="232"/>
        <v>7999</v>
      </c>
      <c r="I3775" s="23" t="str">
        <f t="shared" si="233"/>
        <v>Kolkata</v>
      </c>
      <c r="J3775" s="23">
        <f>COUNTIFS(pg_transaction_cleaned!$O:$O,A3775,pg_transaction_cleaned!$F:$F,"CAPTURE")</f>
        <v>1</v>
      </c>
      <c r="K3775" s="39">
        <f>SUMIFS(pg_transaction_cleaned!$H:$H,pg_transaction_cleaned!$O:$O,A3775,pg_transaction_cleaned!$F:$F,"CAPTURE")</f>
        <v>7999</v>
      </c>
      <c r="L3775" s="23">
        <f>COUNTIFS(pg_transaction_cleaned!$O:$O,A3775,pg_transaction_cleaned!$F:$F,"REFUND")</f>
        <v>0</v>
      </c>
      <c r="M3775" s="39">
        <f>SUMIFS(pg_transaction_cleaned!$H:$H,pg_transaction_cleaned!$O:$O,A3775,pg_transaction_cleaned!$F:$F,"REFUND")</f>
        <v>0</v>
      </c>
      <c r="N3775" s="23" t="str">
        <f t="shared" si="234"/>
        <v>OK</v>
      </c>
      <c r="O3775" s="24">
        <f t="shared" si="235"/>
        <v>0</v>
      </c>
    </row>
    <row r="3776" spans="1:15" ht="15" customHeight="1" x14ac:dyDescent="0.3">
      <c r="A3776" s="23" t="s">
        <v>8038</v>
      </c>
      <c r="B3776" s="38">
        <v>46285</v>
      </c>
      <c r="C3776" s="23" t="s">
        <v>8039</v>
      </c>
      <c r="D3776" s="23" t="s">
        <v>88</v>
      </c>
      <c r="E3776" s="23" t="s">
        <v>75</v>
      </c>
      <c r="F3776" s="23" t="s">
        <v>1193</v>
      </c>
      <c r="G3776" s="23" t="s">
        <v>250</v>
      </c>
      <c r="H3776" s="39">
        <f t="shared" si="232"/>
        <v>3498</v>
      </c>
      <c r="I3776" s="23" t="str">
        <f t="shared" si="233"/>
        <v>Lucknow</v>
      </c>
      <c r="J3776" s="23">
        <f>COUNTIFS(pg_transaction_cleaned!$O:$O,A3776,pg_transaction_cleaned!$F:$F,"CAPTURE")</f>
        <v>1</v>
      </c>
      <c r="K3776" s="39">
        <f>SUMIFS(pg_transaction_cleaned!$H:$H,pg_transaction_cleaned!$O:$O,A3776,pg_transaction_cleaned!$F:$F,"CAPTURE")</f>
        <v>3498</v>
      </c>
      <c r="L3776" s="23">
        <f>COUNTIFS(pg_transaction_cleaned!$O:$O,A3776,pg_transaction_cleaned!$F:$F,"REFUND")</f>
        <v>0</v>
      </c>
      <c r="M3776" s="39">
        <f>SUMIFS(pg_transaction_cleaned!$H:$H,pg_transaction_cleaned!$O:$O,A3776,pg_transaction_cleaned!$F:$F,"REFUND")</f>
        <v>0</v>
      </c>
      <c r="N3776" s="23" t="str">
        <f t="shared" si="234"/>
        <v>OK</v>
      </c>
      <c r="O3776" s="24">
        <f t="shared" si="235"/>
        <v>0</v>
      </c>
    </row>
    <row r="3777" spans="1:15" ht="15" customHeight="1" x14ac:dyDescent="0.3">
      <c r="A3777" s="23" t="s">
        <v>8040</v>
      </c>
      <c r="B3777" s="38">
        <v>46295</v>
      </c>
      <c r="C3777" s="23" t="s">
        <v>8041</v>
      </c>
      <c r="D3777" s="23" t="s">
        <v>87</v>
      </c>
      <c r="E3777" s="23" t="s">
        <v>75</v>
      </c>
      <c r="F3777" s="23" t="s">
        <v>1978</v>
      </c>
      <c r="G3777" s="23" t="s">
        <v>250</v>
      </c>
      <c r="H3777" s="39">
        <f t="shared" si="232"/>
        <v>4597</v>
      </c>
      <c r="I3777" s="23" t="str">
        <f t="shared" si="233"/>
        <v>Mumbai</v>
      </c>
      <c r="J3777" s="23">
        <f>COUNTIFS(pg_transaction_cleaned!$O:$O,A3777,pg_transaction_cleaned!$F:$F,"CAPTURE")</f>
        <v>1</v>
      </c>
      <c r="K3777" s="39">
        <f>SUMIFS(pg_transaction_cleaned!$H:$H,pg_transaction_cleaned!$O:$O,A3777,pg_transaction_cleaned!$F:$F,"CAPTURE")</f>
        <v>4597</v>
      </c>
      <c r="L3777" s="23">
        <f>COUNTIFS(pg_transaction_cleaned!$O:$O,A3777,pg_transaction_cleaned!$F:$F,"REFUND")</f>
        <v>0</v>
      </c>
      <c r="M3777" s="39">
        <f>SUMIFS(pg_transaction_cleaned!$H:$H,pg_transaction_cleaned!$O:$O,A3777,pg_transaction_cleaned!$F:$F,"REFUND")</f>
        <v>0</v>
      </c>
      <c r="N3777" s="23" t="str">
        <f t="shared" si="234"/>
        <v>OK</v>
      </c>
      <c r="O3777" s="24">
        <f t="shared" si="235"/>
        <v>0</v>
      </c>
    </row>
    <row r="3778" spans="1:15" ht="15" customHeight="1" x14ac:dyDescent="0.3">
      <c r="A3778" s="23" t="s">
        <v>8042</v>
      </c>
      <c r="B3778" s="38">
        <v>46270</v>
      </c>
      <c r="C3778" s="23" t="s">
        <v>8043</v>
      </c>
      <c r="D3778" s="23" t="s">
        <v>87</v>
      </c>
      <c r="E3778" s="23" t="s">
        <v>79</v>
      </c>
      <c r="F3778" s="23" t="s">
        <v>396</v>
      </c>
      <c r="G3778" s="23" t="s">
        <v>250</v>
      </c>
      <c r="H3778" s="39">
        <f t="shared" ref="H3778:H3841" si="236">VALUE(SUBSTITUTE(F3778,",",""))</f>
        <v>2999</v>
      </c>
      <c r="I3778" s="23" t="str">
        <f t="shared" ref="I3778:I3841" si="237">IF(TRIM(D3778)="","Unknown",TRIM(D3778))</f>
        <v>Mumbai</v>
      </c>
      <c r="J3778" s="23">
        <f>COUNTIFS(pg_transaction_cleaned!$O:$O,A3778,pg_transaction_cleaned!$F:$F,"CAPTURE")</f>
        <v>1</v>
      </c>
      <c r="K3778" s="39">
        <f>SUMIFS(pg_transaction_cleaned!$H:$H,pg_transaction_cleaned!$O:$O,A3778,pg_transaction_cleaned!$F:$F,"CAPTURE")</f>
        <v>2999</v>
      </c>
      <c r="L3778" s="23">
        <f>COUNTIFS(pg_transaction_cleaned!$O:$O,A3778,pg_transaction_cleaned!$F:$F,"REFUND")</f>
        <v>0</v>
      </c>
      <c r="M3778" s="39">
        <f>SUMIFS(pg_transaction_cleaned!$H:$H,pg_transaction_cleaned!$O:$O,A3778,pg_transaction_cleaned!$F:$F,"REFUND")</f>
        <v>0</v>
      </c>
      <c r="N3778" s="23" t="str">
        <f t="shared" ref="N3778:N3841" si="238">IF(AND(G3778="Paid",J3778=0),"Paid, no payment",IF(AND(OR(G3778="Failed",G3778="Cancelled"),J3778&gt;0),"Payment on failed/cancelled",IF(J3778&gt;1,"Duplicate charge",IF(AND(J3778=1,ROUND(K3778-H3778,2)&lt;&gt;0),"Amount difference",IF(AND(G3778="Refunded",L3778=0),"Refunded, no refund",IF(AND(G3778&lt;&gt;"Refunded",L3778&gt;0),"Refund, order not Refunded",IF(AND(L3778&gt;0,ROUND(M3778-H3778,2)&lt;&gt;0),"Refund amount differs","OK")))))))</f>
        <v>OK</v>
      </c>
      <c r="O3778" s="24">
        <f t="shared" ref="O3778:O3841" si="239">IF(N3778="OK",0,IF(N3778="Paid, no payment",H3778,IF(N3778="Payment on failed/cancelled",K3778,IF(OR(N3778="Duplicate charge",N3778="Amount difference"),K3778-H3778,IF(N3778="Refunded, no refund",H3778,M3778)))))</f>
        <v>0</v>
      </c>
    </row>
    <row r="3779" spans="1:15" ht="15" customHeight="1" x14ac:dyDescent="0.3">
      <c r="A3779" s="23" t="s">
        <v>8044</v>
      </c>
      <c r="B3779" s="38">
        <v>46268</v>
      </c>
      <c r="C3779" s="23" t="s">
        <v>8045</v>
      </c>
      <c r="D3779" s="23" t="s">
        <v>92</v>
      </c>
      <c r="E3779" s="23" t="s">
        <v>79</v>
      </c>
      <c r="F3779" s="23" t="s">
        <v>370</v>
      </c>
      <c r="G3779" s="23" t="s">
        <v>250</v>
      </c>
      <c r="H3779" s="39">
        <f t="shared" si="236"/>
        <v>3098</v>
      </c>
      <c r="I3779" s="23" t="str">
        <f t="shared" si="237"/>
        <v>Hyderabad</v>
      </c>
      <c r="J3779" s="23">
        <f>COUNTIFS(pg_transaction_cleaned!$O:$O,A3779,pg_transaction_cleaned!$F:$F,"CAPTURE")</f>
        <v>1</v>
      </c>
      <c r="K3779" s="39">
        <f>SUMIFS(pg_transaction_cleaned!$H:$H,pg_transaction_cleaned!$O:$O,A3779,pg_transaction_cleaned!$F:$F,"CAPTURE")</f>
        <v>3098</v>
      </c>
      <c r="L3779" s="23">
        <f>COUNTIFS(pg_transaction_cleaned!$O:$O,A3779,pg_transaction_cleaned!$F:$F,"REFUND")</f>
        <v>0</v>
      </c>
      <c r="M3779" s="39">
        <f>SUMIFS(pg_transaction_cleaned!$H:$H,pg_transaction_cleaned!$O:$O,A3779,pg_transaction_cleaned!$F:$F,"REFUND")</f>
        <v>0</v>
      </c>
      <c r="N3779" s="23" t="str">
        <f t="shared" si="238"/>
        <v>OK</v>
      </c>
      <c r="O3779" s="24">
        <f t="shared" si="239"/>
        <v>0</v>
      </c>
    </row>
    <row r="3780" spans="1:15" ht="15" customHeight="1" x14ac:dyDescent="0.3">
      <c r="A3780" s="23" t="s">
        <v>8046</v>
      </c>
      <c r="B3780" s="38">
        <v>46275</v>
      </c>
      <c r="C3780" s="23" t="s">
        <v>8047</v>
      </c>
      <c r="D3780" s="23" t="s">
        <v>88</v>
      </c>
      <c r="E3780" s="23" t="s">
        <v>75</v>
      </c>
      <c r="F3780" s="23" t="s">
        <v>329</v>
      </c>
      <c r="G3780" s="23" t="s">
        <v>301</v>
      </c>
      <c r="H3780" s="39">
        <f t="shared" si="236"/>
        <v>599</v>
      </c>
      <c r="I3780" s="23" t="str">
        <f t="shared" si="237"/>
        <v>Lucknow</v>
      </c>
      <c r="J3780" s="23">
        <f>COUNTIFS(pg_transaction_cleaned!$O:$O,A3780,pg_transaction_cleaned!$F:$F,"CAPTURE")</f>
        <v>1</v>
      </c>
      <c r="K3780" s="39">
        <f>SUMIFS(pg_transaction_cleaned!$H:$H,pg_transaction_cleaned!$O:$O,A3780,pg_transaction_cleaned!$F:$F,"CAPTURE")</f>
        <v>599</v>
      </c>
      <c r="L3780" s="23">
        <f>COUNTIFS(pg_transaction_cleaned!$O:$O,A3780,pg_transaction_cleaned!$F:$F,"REFUND")</f>
        <v>1</v>
      </c>
      <c r="M3780" s="39">
        <f>SUMIFS(pg_transaction_cleaned!$H:$H,pg_transaction_cleaned!$O:$O,A3780,pg_transaction_cleaned!$F:$F,"REFUND")</f>
        <v>599</v>
      </c>
      <c r="N3780" s="23" t="str">
        <f t="shared" si="238"/>
        <v>OK</v>
      </c>
      <c r="O3780" s="24">
        <f t="shared" si="239"/>
        <v>0</v>
      </c>
    </row>
    <row r="3781" spans="1:15" ht="15" customHeight="1" x14ac:dyDescent="0.3">
      <c r="A3781" s="23" t="s">
        <v>8048</v>
      </c>
      <c r="B3781" s="38">
        <v>46284</v>
      </c>
      <c r="C3781" s="23" t="s">
        <v>8049</v>
      </c>
      <c r="D3781" s="23" t="s">
        <v>94</v>
      </c>
      <c r="E3781" s="23" t="s">
        <v>79</v>
      </c>
      <c r="F3781" s="23" t="s">
        <v>483</v>
      </c>
      <c r="G3781" s="23" t="s">
        <v>250</v>
      </c>
      <c r="H3781" s="39">
        <f t="shared" si="236"/>
        <v>2998</v>
      </c>
      <c r="I3781" s="23" t="str">
        <f t="shared" si="237"/>
        <v>Chennai</v>
      </c>
      <c r="J3781" s="23">
        <f>COUNTIFS(pg_transaction_cleaned!$O:$O,A3781,pg_transaction_cleaned!$F:$F,"CAPTURE")</f>
        <v>1</v>
      </c>
      <c r="K3781" s="39">
        <f>SUMIFS(pg_transaction_cleaned!$H:$H,pg_transaction_cleaned!$O:$O,A3781,pg_transaction_cleaned!$F:$F,"CAPTURE")</f>
        <v>2998</v>
      </c>
      <c r="L3781" s="23">
        <f>COUNTIFS(pg_transaction_cleaned!$O:$O,A3781,pg_transaction_cleaned!$F:$F,"REFUND")</f>
        <v>0</v>
      </c>
      <c r="M3781" s="39">
        <f>SUMIFS(pg_transaction_cleaned!$H:$H,pg_transaction_cleaned!$O:$O,A3781,pg_transaction_cleaned!$F:$F,"REFUND")</f>
        <v>0</v>
      </c>
      <c r="N3781" s="23" t="str">
        <f t="shared" si="238"/>
        <v>OK</v>
      </c>
      <c r="O3781" s="24">
        <f t="shared" si="239"/>
        <v>0</v>
      </c>
    </row>
    <row r="3782" spans="1:15" ht="15" customHeight="1" x14ac:dyDescent="0.3">
      <c r="A3782" s="23" t="s">
        <v>8050</v>
      </c>
      <c r="B3782" s="38">
        <v>46293</v>
      </c>
      <c r="C3782" s="23" t="s">
        <v>8051</v>
      </c>
      <c r="D3782" s="23" t="s">
        <v>93</v>
      </c>
      <c r="E3782" s="23" t="s">
        <v>79</v>
      </c>
      <c r="F3782" s="23" t="s">
        <v>265</v>
      </c>
      <c r="G3782" s="23" t="s">
        <v>250</v>
      </c>
      <c r="H3782" s="39">
        <f t="shared" si="236"/>
        <v>999</v>
      </c>
      <c r="I3782" s="23" t="str">
        <f t="shared" si="237"/>
        <v>Kolkata</v>
      </c>
      <c r="J3782" s="23">
        <f>COUNTIFS(pg_transaction_cleaned!$O:$O,A3782,pg_transaction_cleaned!$F:$F,"CAPTURE")</f>
        <v>1</v>
      </c>
      <c r="K3782" s="39">
        <f>SUMIFS(pg_transaction_cleaned!$H:$H,pg_transaction_cleaned!$O:$O,A3782,pg_transaction_cleaned!$F:$F,"CAPTURE")</f>
        <v>999</v>
      </c>
      <c r="L3782" s="23">
        <f>COUNTIFS(pg_transaction_cleaned!$O:$O,A3782,pg_transaction_cleaned!$F:$F,"REFUND")</f>
        <v>0</v>
      </c>
      <c r="M3782" s="39">
        <f>SUMIFS(pg_transaction_cleaned!$H:$H,pg_transaction_cleaned!$O:$O,A3782,pg_transaction_cleaned!$F:$F,"REFUND")</f>
        <v>0</v>
      </c>
      <c r="N3782" s="23" t="str">
        <f t="shared" si="238"/>
        <v>OK</v>
      </c>
      <c r="O3782" s="24">
        <f t="shared" si="239"/>
        <v>0</v>
      </c>
    </row>
    <row r="3783" spans="1:15" ht="15" customHeight="1" x14ac:dyDescent="0.3">
      <c r="A3783" s="23" t="s">
        <v>8052</v>
      </c>
      <c r="B3783" s="38">
        <v>46267</v>
      </c>
      <c r="C3783" s="23" t="s">
        <v>8053</v>
      </c>
      <c r="D3783" s="23" t="s">
        <v>95</v>
      </c>
      <c r="E3783" s="23" t="s">
        <v>79</v>
      </c>
      <c r="F3783" s="23" t="s">
        <v>880</v>
      </c>
      <c r="G3783" s="23" t="s">
        <v>250</v>
      </c>
      <c r="H3783" s="39">
        <f t="shared" si="236"/>
        <v>2298</v>
      </c>
      <c r="I3783" s="23" t="str">
        <f t="shared" si="237"/>
        <v>Bengaluru</v>
      </c>
      <c r="J3783" s="23">
        <f>COUNTIFS(pg_transaction_cleaned!$O:$O,A3783,pg_transaction_cleaned!$F:$F,"CAPTURE")</f>
        <v>1</v>
      </c>
      <c r="K3783" s="39">
        <f>SUMIFS(pg_transaction_cleaned!$H:$H,pg_transaction_cleaned!$O:$O,A3783,pg_transaction_cleaned!$F:$F,"CAPTURE")</f>
        <v>2298</v>
      </c>
      <c r="L3783" s="23">
        <f>COUNTIFS(pg_transaction_cleaned!$O:$O,A3783,pg_transaction_cleaned!$F:$F,"REFUND")</f>
        <v>0</v>
      </c>
      <c r="M3783" s="39">
        <f>SUMIFS(pg_transaction_cleaned!$H:$H,pg_transaction_cleaned!$O:$O,A3783,pg_transaction_cleaned!$F:$F,"REFUND")</f>
        <v>0</v>
      </c>
      <c r="N3783" s="23" t="str">
        <f t="shared" si="238"/>
        <v>OK</v>
      </c>
      <c r="O3783" s="24">
        <f t="shared" si="239"/>
        <v>0</v>
      </c>
    </row>
    <row r="3784" spans="1:15" ht="15" customHeight="1" x14ac:dyDescent="0.3">
      <c r="A3784" s="23" t="s">
        <v>8054</v>
      </c>
      <c r="B3784" s="38">
        <v>46283</v>
      </c>
      <c r="C3784" s="23" t="s">
        <v>8055</v>
      </c>
      <c r="D3784" s="23" t="s">
        <v>92</v>
      </c>
      <c r="E3784" s="23" t="s">
        <v>79</v>
      </c>
      <c r="F3784" s="23" t="s">
        <v>274</v>
      </c>
      <c r="G3784" s="23" t="s">
        <v>250</v>
      </c>
      <c r="H3784" s="39">
        <f t="shared" si="236"/>
        <v>349</v>
      </c>
      <c r="I3784" s="23" t="str">
        <f t="shared" si="237"/>
        <v>Hyderabad</v>
      </c>
      <c r="J3784" s="23">
        <f>COUNTIFS(pg_transaction_cleaned!$O:$O,A3784,pg_transaction_cleaned!$F:$F,"CAPTURE")</f>
        <v>1</v>
      </c>
      <c r="K3784" s="39">
        <f>SUMIFS(pg_transaction_cleaned!$H:$H,pg_transaction_cleaned!$O:$O,A3784,pg_transaction_cleaned!$F:$F,"CAPTURE")</f>
        <v>349</v>
      </c>
      <c r="L3784" s="23">
        <f>COUNTIFS(pg_transaction_cleaned!$O:$O,A3784,pg_transaction_cleaned!$F:$F,"REFUND")</f>
        <v>0</v>
      </c>
      <c r="M3784" s="39">
        <f>SUMIFS(pg_transaction_cleaned!$H:$H,pg_transaction_cleaned!$O:$O,A3784,pg_transaction_cleaned!$F:$F,"REFUND")</f>
        <v>0</v>
      </c>
      <c r="N3784" s="23" t="str">
        <f t="shared" si="238"/>
        <v>OK</v>
      </c>
      <c r="O3784" s="24">
        <f t="shared" si="239"/>
        <v>0</v>
      </c>
    </row>
    <row r="3785" spans="1:15" ht="15" customHeight="1" x14ac:dyDescent="0.3">
      <c r="A3785" s="23" t="s">
        <v>8056</v>
      </c>
      <c r="B3785" s="38">
        <v>46273</v>
      </c>
      <c r="C3785" s="23" t="s">
        <v>8057</v>
      </c>
      <c r="D3785" s="23" t="s">
        <v>86</v>
      </c>
      <c r="E3785" s="23" t="s">
        <v>79</v>
      </c>
      <c r="F3785" s="23" t="s">
        <v>396</v>
      </c>
      <c r="G3785" s="23" t="s">
        <v>250</v>
      </c>
      <c r="H3785" s="39">
        <f t="shared" si="236"/>
        <v>2999</v>
      </c>
      <c r="I3785" s="23" t="str">
        <f t="shared" si="237"/>
        <v>Delhi</v>
      </c>
      <c r="J3785" s="23">
        <f>COUNTIFS(pg_transaction_cleaned!$O:$O,A3785,pg_transaction_cleaned!$F:$F,"CAPTURE")</f>
        <v>1</v>
      </c>
      <c r="K3785" s="39">
        <f>SUMIFS(pg_transaction_cleaned!$H:$H,pg_transaction_cleaned!$O:$O,A3785,pg_transaction_cleaned!$F:$F,"CAPTURE")</f>
        <v>2999</v>
      </c>
      <c r="L3785" s="23">
        <f>COUNTIFS(pg_transaction_cleaned!$O:$O,A3785,pg_transaction_cleaned!$F:$F,"REFUND")</f>
        <v>0</v>
      </c>
      <c r="M3785" s="39">
        <f>SUMIFS(pg_transaction_cleaned!$H:$H,pg_transaction_cleaned!$O:$O,A3785,pg_transaction_cleaned!$F:$F,"REFUND")</f>
        <v>0</v>
      </c>
      <c r="N3785" s="23" t="str">
        <f t="shared" si="238"/>
        <v>OK</v>
      </c>
      <c r="O3785" s="24">
        <f t="shared" si="239"/>
        <v>0</v>
      </c>
    </row>
    <row r="3786" spans="1:15" ht="15" customHeight="1" x14ac:dyDescent="0.3">
      <c r="A3786" s="23" t="s">
        <v>8058</v>
      </c>
      <c r="B3786" s="38">
        <v>46295</v>
      </c>
      <c r="C3786" s="23" t="s">
        <v>8059</v>
      </c>
      <c r="D3786" s="23" t="s">
        <v>91</v>
      </c>
      <c r="E3786" s="23" t="s">
        <v>75</v>
      </c>
      <c r="F3786" s="23" t="s">
        <v>315</v>
      </c>
      <c r="G3786" s="23" t="s">
        <v>250</v>
      </c>
      <c r="H3786" s="39">
        <f t="shared" si="236"/>
        <v>1499</v>
      </c>
      <c r="I3786" s="23" t="str">
        <f t="shared" si="237"/>
        <v>Pune</v>
      </c>
      <c r="J3786" s="23">
        <f>COUNTIFS(pg_transaction_cleaned!$O:$O,A3786,pg_transaction_cleaned!$F:$F,"CAPTURE")</f>
        <v>1</v>
      </c>
      <c r="K3786" s="39">
        <f>SUMIFS(pg_transaction_cleaned!$H:$H,pg_transaction_cleaned!$O:$O,A3786,pg_transaction_cleaned!$F:$F,"CAPTURE")</f>
        <v>1499</v>
      </c>
      <c r="L3786" s="23">
        <f>COUNTIFS(pg_transaction_cleaned!$O:$O,A3786,pg_transaction_cleaned!$F:$F,"REFUND")</f>
        <v>0</v>
      </c>
      <c r="M3786" s="39">
        <f>SUMIFS(pg_transaction_cleaned!$H:$H,pg_transaction_cleaned!$O:$O,A3786,pg_transaction_cleaned!$F:$F,"REFUND")</f>
        <v>0</v>
      </c>
      <c r="N3786" s="23" t="str">
        <f t="shared" si="238"/>
        <v>OK</v>
      </c>
      <c r="O3786" s="24">
        <f t="shared" si="239"/>
        <v>0</v>
      </c>
    </row>
    <row r="3787" spans="1:15" ht="15" customHeight="1" x14ac:dyDescent="0.3">
      <c r="A3787" s="23" t="s">
        <v>8060</v>
      </c>
      <c r="B3787" s="38">
        <v>46279</v>
      </c>
      <c r="C3787" s="23" t="s">
        <v>8061</v>
      </c>
      <c r="D3787" s="23" t="s">
        <v>90</v>
      </c>
      <c r="E3787" s="23" t="s">
        <v>75</v>
      </c>
      <c r="F3787" s="23" t="s">
        <v>647</v>
      </c>
      <c r="G3787" s="23" t="s">
        <v>318</v>
      </c>
      <c r="H3787" s="39">
        <f t="shared" si="236"/>
        <v>5597</v>
      </c>
      <c r="I3787" s="23" t="str">
        <f t="shared" si="237"/>
        <v>Ahmedabad</v>
      </c>
      <c r="J3787" s="23">
        <f>COUNTIFS(pg_transaction_cleaned!$O:$O,A3787,pg_transaction_cleaned!$F:$F,"CAPTURE")</f>
        <v>0</v>
      </c>
      <c r="K3787" s="39">
        <f>SUMIFS(pg_transaction_cleaned!$H:$H,pg_transaction_cleaned!$O:$O,A3787,pg_transaction_cleaned!$F:$F,"CAPTURE")</f>
        <v>0</v>
      </c>
      <c r="L3787" s="23">
        <f>COUNTIFS(pg_transaction_cleaned!$O:$O,A3787,pg_transaction_cleaned!$F:$F,"REFUND")</f>
        <v>0</v>
      </c>
      <c r="M3787" s="39">
        <f>SUMIFS(pg_transaction_cleaned!$H:$H,pg_transaction_cleaned!$O:$O,A3787,pg_transaction_cleaned!$F:$F,"REFUND")</f>
        <v>0</v>
      </c>
      <c r="N3787" s="23" t="str">
        <f t="shared" si="238"/>
        <v>OK</v>
      </c>
      <c r="O3787" s="24">
        <f t="shared" si="239"/>
        <v>0</v>
      </c>
    </row>
    <row r="3788" spans="1:15" ht="15" customHeight="1" x14ac:dyDescent="0.3">
      <c r="A3788" s="23" t="s">
        <v>8062</v>
      </c>
      <c r="B3788" s="38">
        <v>46266</v>
      </c>
      <c r="C3788" s="23" t="s">
        <v>8063</v>
      </c>
      <c r="D3788" s="23" t="s">
        <v>87</v>
      </c>
      <c r="E3788" s="23" t="s">
        <v>75</v>
      </c>
      <c r="F3788" s="23" t="s">
        <v>1367</v>
      </c>
      <c r="G3788" s="23" t="s">
        <v>250</v>
      </c>
      <c r="H3788" s="39">
        <f t="shared" si="236"/>
        <v>898</v>
      </c>
      <c r="I3788" s="23" t="str">
        <f t="shared" si="237"/>
        <v>Mumbai</v>
      </c>
      <c r="J3788" s="23">
        <f>COUNTIFS(pg_transaction_cleaned!$O:$O,A3788,pg_transaction_cleaned!$F:$F,"CAPTURE")</f>
        <v>1</v>
      </c>
      <c r="K3788" s="39">
        <f>SUMIFS(pg_transaction_cleaned!$H:$H,pg_transaction_cleaned!$O:$O,A3788,pg_transaction_cleaned!$F:$F,"CAPTURE")</f>
        <v>898</v>
      </c>
      <c r="L3788" s="23">
        <f>COUNTIFS(pg_transaction_cleaned!$O:$O,A3788,pg_transaction_cleaned!$F:$F,"REFUND")</f>
        <v>0</v>
      </c>
      <c r="M3788" s="39">
        <f>SUMIFS(pg_transaction_cleaned!$H:$H,pg_transaction_cleaned!$O:$O,A3788,pg_transaction_cleaned!$F:$F,"REFUND")</f>
        <v>0</v>
      </c>
      <c r="N3788" s="23" t="str">
        <f t="shared" si="238"/>
        <v>OK</v>
      </c>
      <c r="O3788" s="24">
        <f t="shared" si="239"/>
        <v>0</v>
      </c>
    </row>
    <row r="3789" spans="1:15" ht="15" customHeight="1" x14ac:dyDescent="0.3">
      <c r="A3789" s="23" t="s">
        <v>8064</v>
      </c>
      <c r="B3789" s="38">
        <v>46276</v>
      </c>
      <c r="C3789" s="23" t="s">
        <v>8065</v>
      </c>
      <c r="D3789" s="23" t="s">
        <v>92</v>
      </c>
      <c r="E3789" s="23" t="s">
        <v>79</v>
      </c>
      <c r="F3789" s="23" t="s">
        <v>974</v>
      </c>
      <c r="G3789" s="23" t="s">
        <v>250</v>
      </c>
      <c r="H3789" s="39">
        <f t="shared" si="236"/>
        <v>1498</v>
      </c>
      <c r="I3789" s="23" t="str">
        <f t="shared" si="237"/>
        <v>Hyderabad</v>
      </c>
      <c r="J3789" s="23">
        <f>COUNTIFS(pg_transaction_cleaned!$O:$O,A3789,pg_transaction_cleaned!$F:$F,"CAPTURE")</f>
        <v>1</v>
      </c>
      <c r="K3789" s="39">
        <f>SUMIFS(pg_transaction_cleaned!$H:$H,pg_transaction_cleaned!$O:$O,A3789,pg_transaction_cleaned!$F:$F,"CAPTURE")</f>
        <v>1498</v>
      </c>
      <c r="L3789" s="23">
        <f>COUNTIFS(pg_transaction_cleaned!$O:$O,A3789,pg_transaction_cleaned!$F:$F,"REFUND")</f>
        <v>0</v>
      </c>
      <c r="M3789" s="39">
        <f>SUMIFS(pg_transaction_cleaned!$H:$H,pg_transaction_cleaned!$O:$O,A3789,pg_transaction_cleaned!$F:$F,"REFUND")</f>
        <v>0</v>
      </c>
      <c r="N3789" s="23" t="str">
        <f t="shared" si="238"/>
        <v>OK</v>
      </c>
      <c r="O3789" s="24">
        <f t="shared" si="239"/>
        <v>0</v>
      </c>
    </row>
    <row r="3790" spans="1:15" ht="15" customHeight="1" x14ac:dyDescent="0.3">
      <c r="A3790" s="23" t="s">
        <v>8066</v>
      </c>
      <c r="B3790" s="38">
        <v>46268</v>
      </c>
      <c r="C3790" s="23" t="s">
        <v>8067</v>
      </c>
      <c r="D3790" s="23" t="s">
        <v>86</v>
      </c>
      <c r="E3790" s="23" t="s">
        <v>79</v>
      </c>
      <c r="F3790" s="23" t="s">
        <v>579</v>
      </c>
      <c r="G3790" s="23" t="s">
        <v>250</v>
      </c>
      <c r="H3790" s="39">
        <f t="shared" si="236"/>
        <v>11297</v>
      </c>
      <c r="I3790" s="23" t="str">
        <f t="shared" si="237"/>
        <v>Delhi</v>
      </c>
      <c r="J3790" s="23">
        <f>COUNTIFS(pg_transaction_cleaned!$O:$O,A3790,pg_transaction_cleaned!$F:$F,"CAPTURE")</f>
        <v>1</v>
      </c>
      <c r="K3790" s="39">
        <f>SUMIFS(pg_transaction_cleaned!$H:$H,pg_transaction_cleaned!$O:$O,A3790,pg_transaction_cleaned!$F:$F,"CAPTURE")</f>
        <v>11297</v>
      </c>
      <c r="L3790" s="23">
        <f>COUNTIFS(pg_transaction_cleaned!$O:$O,A3790,pg_transaction_cleaned!$F:$F,"REFUND")</f>
        <v>0</v>
      </c>
      <c r="M3790" s="39">
        <f>SUMIFS(pg_transaction_cleaned!$H:$H,pg_transaction_cleaned!$O:$O,A3790,pg_transaction_cleaned!$F:$F,"REFUND")</f>
        <v>0</v>
      </c>
      <c r="N3790" s="23" t="str">
        <f t="shared" si="238"/>
        <v>OK</v>
      </c>
      <c r="O3790" s="24">
        <f t="shared" si="239"/>
        <v>0</v>
      </c>
    </row>
    <row r="3791" spans="1:15" ht="15" customHeight="1" x14ac:dyDescent="0.3">
      <c r="A3791" s="23" t="s">
        <v>8068</v>
      </c>
      <c r="B3791" s="38">
        <v>46294</v>
      </c>
      <c r="C3791" s="23" t="s">
        <v>8069</v>
      </c>
      <c r="D3791" s="23" t="s">
        <v>94</v>
      </c>
      <c r="E3791" s="23" t="s">
        <v>81</v>
      </c>
      <c r="F3791" s="23" t="s">
        <v>4250</v>
      </c>
      <c r="G3791" s="23" t="s">
        <v>250</v>
      </c>
      <c r="H3791" s="39">
        <f t="shared" si="236"/>
        <v>1098</v>
      </c>
      <c r="I3791" s="23" t="str">
        <f t="shared" si="237"/>
        <v>Chennai</v>
      </c>
      <c r="J3791" s="23">
        <f>COUNTIFS(pg_transaction_cleaned!$O:$O,A3791,pg_transaction_cleaned!$F:$F,"CAPTURE")</f>
        <v>1</v>
      </c>
      <c r="K3791" s="39">
        <f>SUMIFS(pg_transaction_cleaned!$H:$H,pg_transaction_cleaned!$O:$O,A3791,pg_transaction_cleaned!$F:$F,"CAPTURE")</f>
        <v>1098</v>
      </c>
      <c r="L3791" s="23">
        <f>COUNTIFS(pg_transaction_cleaned!$O:$O,A3791,pg_transaction_cleaned!$F:$F,"REFUND")</f>
        <v>0</v>
      </c>
      <c r="M3791" s="39">
        <f>SUMIFS(pg_transaction_cleaned!$H:$H,pg_transaction_cleaned!$O:$O,A3791,pg_transaction_cleaned!$F:$F,"REFUND")</f>
        <v>0</v>
      </c>
      <c r="N3791" s="23" t="str">
        <f t="shared" si="238"/>
        <v>OK</v>
      </c>
      <c r="O3791" s="24">
        <f t="shared" si="239"/>
        <v>0</v>
      </c>
    </row>
    <row r="3792" spans="1:15" ht="15" customHeight="1" x14ac:dyDescent="0.3">
      <c r="A3792" s="23" t="s">
        <v>8070</v>
      </c>
      <c r="B3792" s="38">
        <v>46282</v>
      </c>
      <c r="C3792" s="23" t="s">
        <v>8071</v>
      </c>
      <c r="D3792" s="23" t="s">
        <v>87</v>
      </c>
      <c r="E3792" s="23" t="s">
        <v>75</v>
      </c>
      <c r="F3792" s="23" t="s">
        <v>268</v>
      </c>
      <c r="G3792" s="23" t="s">
        <v>250</v>
      </c>
      <c r="H3792" s="39">
        <f t="shared" si="236"/>
        <v>1299</v>
      </c>
      <c r="I3792" s="23" t="str">
        <f t="shared" si="237"/>
        <v>Mumbai</v>
      </c>
      <c r="J3792" s="23">
        <f>COUNTIFS(pg_transaction_cleaned!$O:$O,A3792,pg_transaction_cleaned!$F:$F,"CAPTURE")</f>
        <v>1</v>
      </c>
      <c r="K3792" s="39">
        <f>SUMIFS(pg_transaction_cleaned!$H:$H,pg_transaction_cleaned!$O:$O,A3792,pg_transaction_cleaned!$F:$F,"CAPTURE")</f>
        <v>1299</v>
      </c>
      <c r="L3792" s="23">
        <f>COUNTIFS(pg_transaction_cleaned!$O:$O,A3792,pg_transaction_cleaned!$F:$F,"REFUND")</f>
        <v>0</v>
      </c>
      <c r="M3792" s="39">
        <f>SUMIFS(pg_transaction_cleaned!$H:$H,pg_transaction_cleaned!$O:$O,A3792,pg_transaction_cleaned!$F:$F,"REFUND")</f>
        <v>0</v>
      </c>
      <c r="N3792" s="23" t="str">
        <f t="shared" si="238"/>
        <v>OK</v>
      </c>
      <c r="O3792" s="24">
        <f t="shared" si="239"/>
        <v>0</v>
      </c>
    </row>
    <row r="3793" spans="1:15" ht="15" customHeight="1" x14ac:dyDescent="0.3">
      <c r="A3793" s="23" t="s">
        <v>8072</v>
      </c>
      <c r="B3793" s="38">
        <v>46292</v>
      </c>
      <c r="C3793" s="23" t="s">
        <v>8073</v>
      </c>
      <c r="D3793" s="23" t="s">
        <v>95</v>
      </c>
      <c r="E3793" s="23" t="s">
        <v>75</v>
      </c>
      <c r="F3793" s="23" t="s">
        <v>612</v>
      </c>
      <c r="G3793" s="23" t="s">
        <v>250</v>
      </c>
      <c r="H3793" s="39">
        <f t="shared" si="236"/>
        <v>8498</v>
      </c>
      <c r="I3793" s="23" t="str">
        <f t="shared" si="237"/>
        <v>Bengaluru</v>
      </c>
      <c r="J3793" s="23">
        <f>COUNTIFS(pg_transaction_cleaned!$O:$O,A3793,pg_transaction_cleaned!$F:$F,"CAPTURE")</f>
        <v>1</v>
      </c>
      <c r="K3793" s="39">
        <f>SUMIFS(pg_transaction_cleaned!$H:$H,pg_transaction_cleaned!$O:$O,A3793,pg_transaction_cleaned!$F:$F,"CAPTURE")</f>
        <v>8498</v>
      </c>
      <c r="L3793" s="23">
        <f>COUNTIFS(pg_transaction_cleaned!$O:$O,A3793,pg_transaction_cleaned!$F:$F,"REFUND")</f>
        <v>0</v>
      </c>
      <c r="M3793" s="39">
        <f>SUMIFS(pg_transaction_cleaned!$H:$H,pg_transaction_cleaned!$O:$O,A3793,pg_transaction_cleaned!$F:$F,"REFUND")</f>
        <v>0</v>
      </c>
      <c r="N3793" s="23" t="str">
        <f t="shared" si="238"/>
        <v>OK</v>
      </c>
      <c r="O3793" s="24">
        <f t="shared" si="239"/>
        <v>0</v>
      </c>
    </row>
    <row r="3794" spans="1:15" ht="15" customHeight="1" x14ac:dyDescent="0.3">
      <c r="A3794" s="23" t="s">
        <v>8074</v>
      </c>
      <c r="B3794" s="38">
        <v>46291</v>
      </c>
      <c r="C3794" s="23" t="s">
        <v>8075</v>
      </c>
      <c r="D3794" s="23" t="s">
        <v>92</v>
      </c>
      <c r="E3794" s="23" t="s">
        <v>79</v>
      </c>
      <c r="F3794" s="23" t="s">
        <v>337</v>
      </c>
      <c r="G3794" s="23" t="s">
        <v>250</v>
      </c>
      <c r="H3794" s="39">
        <f t="shared" si="236"/>
        <v>3998</v>
      </c>
      <c r="I3794" s="23" t="str">
        <f t="shared" si="237"/>
        <v>Hyderabad</v>
      </c>
      <c r="J3794" s="23">
        <f>COUNTIFS(pg_transaction_cleaned!$O:$O,A3794,pg_transaction_cleaned!$F:$F,"CAPTURE")</f>
        <v>1</v>
      </c>
      <c r="K3794" s="39">
        <f>SUMIFS(pg_transaction_cleaned!$H:$H,pg_transaction_cleaned!$O:$O,A3794,pg_transaction_cleaned!$F:$F,"CAPTURE")</f>
        <v>3998</v>
      </c>
      <c r="L3794" s="23">
        <f>COUNTIFS(pg_transaction_cleaned!$O:$O,A3794,pg_transaction_cleaned!$F:$F,"REFUND")</f>
        <v>0</v>
      </c>
      <c r="M3794" s="39">
        <f>SUMIFS(pg_transaction_cleaned!$H:$H,pg_transaction_cleaned!$O:$O,A3794,pg_transaction_cleaned!$F:$F,"REFUND")</f>
        <v>0</v>
      </c>
      <c r="N3794" s="23" t="str">
        <f t="shared" si="238"/>
        <v>OK</v>
      </c>
      <c r="O3794" s="24">
        <f t="shared" si="239"/>
        <v>0</v>
      </c>
    </row>
    <row r="3795" spans="1:15" ht="15" customHeight="1" x14ac:dyDescent="0.3">
      <c r="A3795" s="23" t="s">
        <v>8076</v>
      </c>
      <c r="B3795" s="38">
        <v>46279</v>
      </c>
      <c r="C3795" s="23" t="s">
        <v>8077</v>
      </c>
      <c r="D3795" s="23" t="s">
        <v>88</v>
      </c>
      <c r="E3795" s="23" t="s">
        <v>75</v>
      </c>
      <c r="F3795" s="23" t="s">
        <v>1533</v>
      </c>
      <c r="G3795" s="23" t="s">
        <v>250</v>
      </c>
      <c r="H3795" s="39">
        <f t="shared" si="236"/>
        <v>3647</v>
      </c>
      <c r="I3795" s="23" t="str">
        <f t="shared" si="237"/>
        <v>Lucknow</v>
      </c>
      <c r="J3795" s="23">
        <f>COUNTIFS(pg_transaction_cleaned!$O:$O,A3795,pg_transaction_cleaned!$F:$F,"CAPTURE")</f>
        <v>1</v>
      </c>
      <c r="K3795" s="39">
        <f>SUMIFS(pg_transaction_cleaned!$H:$H,pg_transaction_cleaned!$O:$O,A3795,pg_transaction_cleaned!$F:$F,"CAPTURE")</f>
        <v>3647</v>
      </c>
      <c r="L3795" s="23">
        <f>COUNTIFS(pg_transaction_cleaned!$O:$O,A3795,pg_transaction_cleaned!$F:$F,"REFUND")</f>
        <v>0</v>
      </c>
      <c r="M3795" s="39">
        <f>SUMIFS(pg_transaction_cleaned!$H:$H,pg_transaction_cleaned!$O:$O,A3795,pg_transaction_cleaned!$F:$F,"REFUND")</f>
        <v>0</v>
      </c>
      <c r="N3795" s="23" t="str">
        <f t="shared" si="238"/>
        <v>OK</v>
      </c>
      <c r="O3795" s="24">
        <f t="shared" si="239"/>
        <v>0</v>
      </c>
    </row>
    <row r="3796" spans="1:15" ht="15" customHeight="1" x14ac:dyDescent="0.3">
      <c r="A3796" s="23" t="s">
        <v>8078</v>
      </c>
      <c r="B3796" s="38">
        <v>46272</v>
      </c>
      <c r="C3796" s="23" t="s">
        <v>8079</v>
      </c>
      <c r="D3796" s="23" t="s">
        <v>90</v>
      </c>
      <c r="E3796" s="23" t="s">
        <v>77</v>
      </c>
      <c r="F3796" s="23" t="s">
        <v>294</v>
      </c>
      <c r="G3796" s="23" t="s">
        <v>365</v>
      </c>
      <c r="H3796" s="39">
        <f t="shared" si="236"/>
        <v>1799</v>
      </c>
      <c r="I3796" s="23" t="str">
        <f t="shared" si="237"/>
        <v>Ahmedabad</v>
      </c>
      <c r="J3796" s="23">
        <f>COUNTIFS(pg_transaction_cleaned!$O:$O,A3796,pg_transaction_cleaned!$F:$F,"CAPTURE")</f>
        <v>0</v>
      </c>
      <c r="K3796" s="39">
        <f>SUMIFS(pg_transaction_cleaned!$H:$H,pg_transaction_cleaned!$O:$O,A3796,pg_transaction_cleaned!$F:$F,"CAPTURE")</f>
        <v>0</v>
      </c>
      <c r="L3796" s="23">
        <f>COUNTIFS(pg_transaction_cleaned!$O:$O,A3796,pg_transaction_cleaned!$F:$F,"REFUND")</f>
        <v>0</v>
      </c>
      <c r="M3796" s="39">
        <f>SUMIFS(pg_transaction_cleaned!$H:$H,pg_transaction_cleaned!$O:$O,A3796,pg_transaction_cleaned!$F:$F,"REFUND")</f>
        <v>0</v>
      </c>
      <c r="N3796" s="23" t="str">
        <f t="shared" si="238"/>
        <v>OK</v>
      </c>
      <c r="O3796" s="24">
        <f t="shared" si="239"/>
        <v>0</v>
      </c>
    </row>
    <row r="3797" spans="1:15" ht="15" customHeight="1" x14ac:dyDescent="0.3">
      <c r="A3797" s="23" t="s">
        <v>8080</v>
      </c>
      <c r="B3797" s="38">
        <v>46289</v>
      </c>
      <c r="C3797" s="23" t="s">
        <v>8081</v>
      </c>
      <c r="D3797" s="23" t="s">
        <v>91</v>
      </c>
      <c r="E3797" s="23" t="s">
        <v>81</v>
      </c>
      <c r="F3797" s="23" t="s">
        <v>737</v>
      </c>
      <c r="G3797" s="23" t="s">
        <v>250</v>
      </c>
      <c r="H3797" s="39">
        <f t="shared" si="236"/>
        <v>9798</v>
      </c>
      <c r="I3797" s="23" t="str">
        <f t="shared" si="237"/>
        <v>Pune</v>
      </c>
      <c r="J3797" s="23">
        <f>COUNTIFS(pg_transaction_cleaned!$O:$O,A3797,pg_transaction_cleaned!$F:$F,"CAPTURE")</f>
        <v>1</v>
      </c>
      <c r="K3797" s="39">
        <f>SUMIFS(pg_transaction_cleaned!$H:$H,pg_transaction_cleaned!$O:$O,A3797,pg_transaction_cleaned!$F:$F,"CAPTURE")</f>
        <v>9798</v>
      </c>
      <c r="L3797" s="23">
        <f>COUNTIFS(pg_transaction_cleaned!$O:$O,A3797,pg_transaction_cleaned!$F:$F,"REFUND")</f>
        <v>0</v>
      </c>
      <c r="M3797" s="39">
        <f>SUMIFS(pg_transaction_cleaned!$H:$H,pg_transaction_cleaned!$O:$O,A3797,pg_transaction_cleaned!$F:$F,"REFUND")</f>
        <v>0</v>
      </c>
      <c r="N3797" s="23" t="str">
        <f t="shared" si="238"/>
        <v>OK</v>
      </c>
      <c r="O3797" s="24">
        <f t="shared" si="239"/>
        <v>0</v>
      </c>
    </row>
    <row r="3798" spans="1:15" ht="15" customHeight="1" x14ac:dyDescent="0.3">
      <c r="A3798" s="23" t="s">
        <v>8082</v>
      </c>
      <c r="B3798" s="38">
        <v>46274</v>
      </c>
      <c r="C3798" s="23" t="s">
        <v>8083</v>
      </c>
      <c r="D3798" s="23" t="s">
        <v>94</v>
      </c>
      <c r="E3798" s="23" t="s">
        <v>79</v>
      </c>
      <c r="F3798" s="23" t="s">
        <v>717</v>
      </c>
      <c r="G3798" s="23" t="s">
        <v>250</v>
      </c>
      <c r="H3798" s="39">
        <f t="shared" si="236"/>
        <v>5298</v>
      </c>
      <c r="I3798" s="23" t="str">
        <f t="shared" si="237"/>
        <v>Chennai</v>
      </c>
      <c r="J3798" s="23">
        <f>COUNTIFS(pg_transaction_cleaned!$O:$O,A3798,pg_transaction_cleaned!$F:$F,"CAPTURE")</f>
        <v>1</v>
      </c>
      <c r="K3798" s="39">
        <f>SUMIFS(pg_transaction_cleaned!$H:$H,pg_transaction_cleaned!$O:$O,A3798,pg_transaction_cleaned!$F:$F,"CAPTURE")</f>
        <v>5298</v>
      </c>
      <c r="L3798" s="23">
        <f>COUNTIFS(pg_transaction_cleaned!$O:$O,A3798,pg_transaction_cleaned!$F:$F,"REFUND")</f>
        <v>0</v>
      </c>
      <c r="M3798" s="39">
        <f>SUMIFS(pg_transaction_cleaned!$H:$H,pg_transaction_cleaned!$O:$O,A3798,pg_transaction_cleaned!$F:$F,"REFUND")</f>
        <v>0</v>
      </c>
      <c r="N3798" s="23" t="str">
        <f t="shared" si="238"/>
        <v>OK</v>
      </c>
      <c r="O3798" s="24">
        <f t="shared" si="239"/>
        <v>0</v>
      </c>
    </row>
    <row r="3799" spans="1:15" ht="15" customHeight="1" x14ac:dyDescent="0.3">
      <c r="A3799" s="23" t="s">
        <v>8084</v>
      </c>
      <c r="B3799" s="38">
        <v>46292</v>
      </c>
      <c r="C3799" s="23" t="s">
        <v>8085</v>
      </c>
      <c r="D3799" s="23" t="s">
        <v>95</v>
      </c>
      <c r="E3799" s="23" t="s">
        <v>79</v>
      </c>
      <c r="F3799" s="23" t="s">
        <v>249</v>
      </c>
      <c r="G3799" s="23" t="s">
        <v>250</v>
      </c>
      <c r="H3799" s="39">
        <f t="shared" si="236"/>
        <v>299</v>
      </c>
      <c r="I3799" s="23" t="str">
        <f t="shared" si="237"/>
        <v>Bengaluru</v>
      </c>
      <c r="J3799" s="23">
        <f>COUNTIFS(pg_transaction_cleaned!$O:$O,A3799,pg_transaction_cleaned!$F:$F,"CAPTURE")</f>
        <v>1</v>
      </c>
      <c r="K3799" s="39">
        <f>SUMIFS(pg_transaction_cleaned!$H:$H,pg_transaction_cleaned!$O:$O,A3799,pg_transaction_cleaned!$F:$F,"CAPTURE")</f>
        <v>299</v>
      </c>
      <c r="L3799" s="23">
        <f>COUNTIFS(pg_transaction_cleaned!$O:$O,A3799,pg_transaction_cleaned!$F:$F,"REFUND")</f>
        <v>0</v>
      </c>
      <c r="M3799" s="39">
        <f>SUMIFS(pg_transaction_cleaned!$H:$H,pg_transaction_cleaned!$O:$O,A3799,pg_transaction_cleaned!$F:$F,"REFUND")</f>
        <v>0</v>
      </c>
      <c r="N3799" s="23" t="str">
        <f t="shared" si="238"/>
        <v>OK</v>
      </c>
      <c r="O3799" s="24">
        <f t="shared" si="239"/>
        <v>0</v>
      </c>
    </row>
    <row r="3800" spans="1:15" ht="15" customHeight="1" x14ac:dyDescent="0.3">
      <c r="A3800" s="23" t="s">
        <v>8086</v>
      </c>
      <c r="B3800" s="38">
        <v>46270</v>
      </c>
      <c r="C3800" s="23" t="s">
        <v>8087</v>
      </c>
      <c r="D3800" s="23" t="s">
        <v>95</v>
      </c>
      <c r="E3800" s="23" t="s">
        <v>75</v>
      </c>
      <c r="F3800" s="23" t="s">
        <v>1735</v>
      </c>
      <c r="G3800" s="23" t="s">
        <v>250</v>
      </c>
      <c r="H3800" s="39">
        <f t="shared" si="236"/>
        <v>12998</v>
      </c>
      <c r="I3800" s="23" t="str">
        <f t="shared" si="237"/>
        <v>Bengaluru</v>
      </c>
      <c r="J3800" s="23">
        <f>COUNTIFS(pg_transaction_cleaned!$O:$O,A3800,pg_transaction_cleaned!$F:$F,"CAPTURE")</f>
        <v>1</v>
      </c>
      <c r="K3800" s="39">
        <f>SUMIFS(pg_transaction_cleaned!$H:$H,pg_transaction_cleaned!$O:$O,A3800,pg_transaction_cleaned!$F:$F,"CAPTURE")</f>
        <v>12998</v>
      </c>
      <c r="L3800" s="23">
        <f>COUNTIFS(pg_transaction_cleaned!$O:$O,A3800,pg_transaction_cleaned!$F:$F,"REFUND")</f>
        <v>0</v>
      </c>
      <c r="M3800" s="39">
        <f>SUMIFS(pg_transaction_cleaned!$H:$H,pg_transaction_cleaned!$O:$O,A3800,pg_transaction_cleaned!$F:$F,"REFUND")</f>
        <v>0</v>
      </c>
      <c r="N3800" s="23" t="str">
        <f t="shared" si="238"/>
        <v>OK</v>
      </c>
      <c r="O3800" s="24">
        <f t="shared" si="239"/>
        <v>0</v>
      </c>
    </row>
    <row r="3801" spans="1:15" ht="15" customHeight="1" x14ac:dyDescent="0.3">
      <c r="A3801" s="23" t="s">
        <v>8088</v>
      </c>
      <c r="B3801" s="38">
        <v>46284</v>
      </c>
      <c r="C3801" s="23" t="s">
        <v>8089</v>
      </c>
      <c r="D3801" s="23" t="s">
        <v>88</v>
      </c>
      <c r="E3801" s="23" t="s">
        <v>75</v>
      </c>
      <c r="F3801" s="23" t="s">
        <v>268</v>
      </c>
      <c r="G3801" s="23" t="s">
        <v>250</v>
      </c>
      <c r="H3801" s="39">
        <f t="shared" si="236"/>
        <v>1299</v>
      </c>
      <c r="I3801" s="23" t="str">
        <f t="shared" si="237"/>
        <v>Lucknow</v>
      </c>
      <c r="J3801" s="23">
        <f>COUNTIFS(pg_transaction_cleaned!$O:$O,A3801,pg_transaction_cleaned!$F:$F,"CAPTURE")</f>
        <v>1</v>
      </c>
      <c r="K3801" s="39">
        <f>SUMIFS(pg_transaction_cleaned!$H:$H,pg_transaction_cleaned!$O:$O,A3801,pg_transaction_cleaned!$F:$F,"CAPTURE")</f>
        <v>1299</v>
      </c>
      <c r="L3801" s="23">
        <f>COUNTIFS(pg_transaction_cleaned!$O:$O,A3801,pg_transaction_cleaned!$F:$F,"REFUND")</f>
        <v>0</v>
      </c>
      <c r="M3801" s="39">
        <f>SUMIFS(pg_transaction_cleaned!$H:$H,pg_transaction_cleaned!$O:$O,A3801,pg_transaction_cleaned!$F:$F,"REFUND")</f>
        <v>0</v>
      </c>
      <c r="N3801" s="23" t="str">
        <f t="shared" si="238"/>
        <v>OK</v>
      </c>
      <c r="O3801" s="24">
        <f t="shared" si="239"/>
        <v>0</v>
      </c>
    </row>
    <row r="3802" spans="1:15" ht="15" customHeight="1" x14ac:dyDescent="0.3">
      <c r="A3802" s="23" t="s">
        <v>8090</v>
      </c>
      <c r="B3802" s="38">
        <v>46288</v>
      </c>
      <c r="C3802" s="23" t="s">
        <v>8091</v>
      </c>
      <c r="D3802" s="23" t="s">
        <v>94</v>
      </c>
      <c r="E3802" s="23" t="s">
        <v>81</v>
      </c>
      <c r="F3802" s="23" t="s">
        <v>2160</v>
      </c>
      <c r="G3802" s="23" t="s">
        <v>250</v>
      </c>
      <c r="H3802" s="39">
        <f t="shared" si="236"/>
        <v>7998</v>
      </c>
      <c r="I3802" s="23" t="str">
        <f t="shared" si="237"/>
        <v>Chennai</v>
      </c>
      <c r="J3802" s="23">
        <f>COUNTIFS(pg_transaction_cleaned!$O:$O,A3802,pg_transaction_cleaned!$F:$F,"CAPTURE")</f>
        <v>1</v>
      </c>
      <c r="K3802" s="39">
        <f>SUMIFS(pg_transaction_cleaned!$H:$H,pg_transaction_cleaned!$O:$O,A3802,pg_transaction_cleaned!$F:$F,"CAPTURE")</f>
        <v>7998</v>
      </c>
      <c r="L3802" s="23">
        <f>COUNTIFS(pg_transaction_cleaned!$O:$O,A3802,pg_transaction_cleaned!$F:$F,"REFUND")</f>
        <v>0</v>
      </c>
      <c r="M3802" s="39">
        <f>SUMIFS(pg_transaction_cleaned!$H:$H,pg_transaction_cleaned!$O:$O,A3802,pg_transaction_cleaned!$F:$F,"REFUND")</f>
        <v>0</v>
      </c>
      <c r="N3802" s="23" t="str">
        <f t="shared" si="238"/>
        <v>OK</v>
      </c>
      <c r="O3802" s="24">
        <f t="shared" si="239"/>
        <v>0</v>
      </c>
    </row>
    <row r="3803" spans="1:15" ht="15" customHeight="1" x14ac:dyDescent="0.3">
      <c r="A3803" s="23" t="s">
        <v>8092</v>
      </c>
      <c r="B3803" s="38">
        <v>46285</v>
      </c>
      <c r="C3803" s="23" t="s">
        <v>8093</v>
      </c>
      <c r="D3803" s="23" t="s">
        <v>87</v>
      </c>
      <c r="E3803" s="23" t="s">
        <v>75</v>
      </c>
      <c r="F3803" s="23" t="s">
        <v>294</v>
      </c>
      <c r="G3803" s="23" t="s">
        <v>318</v>
      </c>
      <c r="H3803" s="39">
        <f t="shared" si="236"/>
        <v>1799</v>
      </c>
      <c r="I3803" s="23" t="str">
        <f t="shared" si="237"/>
        <v>Mumbai</v>
      </c>
      <c r="J3803" s="23">
        <f>COUNTIFS(pg_transaction_cleaned!$O:$O,A3803,pg_transaction_cleaned!$F:$F,"CAPTURE")</f>
        <v>0</v>
      </c>
      <c r="K3803" s="39">
        <f>SUMIFS(pg_transaction_cleaned!$H:$H,pg_transaction_cleaned!$O:$O,A3803,pg_transaction_cleaned!$F:$F,"CAPTURE")</f>
        <v>0</v>
      </c>
      <c r="L3803" s="23">
        <f>COUNTIFS(pg_transaction_cleaned!$O:$O,A3803,pg_transaction_cleaned!$F:$F,"REFUND")</f>
        <v>0</v>
      </c>
      <c r="M3803" s="39">
        <f>SUMIFS(pg_transaction_cleaned!$H:$H,pg_transaction_cleaned!$O:$O,A3803,pg_transaction_cleaned!$F:$F,"REFUND")</f>
        <v>0</v>
      </c>
      <c r="N3803" s="23" t="str">
        <f t="shared" si="238"/>
        <v>OK</v>
      </c>
      <c r="O3803" s="24">
        <f t="shared" si="239"/>
        <v>0</v>
      </c>
    </row>
    <row r="3804" spans="1:15" ht="15" customHeight="1" x14ac:dyDescent="0.3">
      <c r="A3804" s="23" t="s">
        <v>8094</v>
      </c>
      <c r="B3804" s="38">
        <v>46288</v>
      </c>
      <c r="C3804" s="23" t="s">
        <v>8095</v>
      </c>
      <c r="D3804" s="23" t="s">
        <v>86</v>
      </c>
      <c r="E3804" s="23" t="s">
        <v>75</v>
      </c>
      <c r="F3804" s="23" t="s">
        <v>262</v>
      </c>
      <c r="G3804" s="23" t="s">
        <v>250</v>
      </c>
      <c r="H3804" s="39">
        <f t="shared" si="236"/>
        <v>499</v>
      </c>
      <c r="I3804" s="23" t="str">
        <f t="shared" si="237"/>
        <v>Delhi</v>
      </c>
      <c r="J3804" s="23">
        <f>COUNTIFS(pg_transaction_cleaned!$O:$O,A3804,pg_transaction_cleaned!$F:$F,"CAPTURE")</f>
        <v>1</v>
      </c>
      <c r="K3804" s="39">
        <f>SUMIFS(pg_transaction_cleaned!$H:$H,pg_transaction_cleaned!$O:$O,A3804,pg_transaction_cleaned!$F:$F,"CAPTURE")</f>
        <v>499</v>
      </c>
      <c r="L3804" s="23">
        <f>COUNTIFS(pg_transaction_cleaned!$O:$O,A3804,pg_transaction_cleaned!$F:$F,"REFUND")</f>
        <v>0</v>
      </c>
      <c r="M3804" s="39">
        <f>SUMIFS(pg_transaction_cleaned!$H:$H,pg_transaction_cleaned!$O:$O,A3804,pg_transaction_cleaned!$F:$F,"REFUND")</f>
        <v>0</v>
      </c>
      <c r="N3804" s="23" t="str">
        <f t="shared" si="238"/>
        <v>OK</v>
      </c>
      <c r="O3804" s="24">
        <f t="shared" si="239"/>
        <v>0</v>
      </c>
    </row>
    <row r="3805" spans="1:15" ht="15" customHeight="1" x14ac:dyDescent="0.3">
      <c r="A3805" s="23" t="s">
        <v>8096</v>
      </c>
      <c r="B3805" s="38">
        <v>46295</v>
      </c>
      <c r="C3805" s="23" t="s">
        <v>8097</v>
      </c>
      <c r="D3805" s="23" t="s">
        <v>90</v>
      </c>
      <c r="E3805" s="23" t="s">
        <v>75</v>
      </c>
      <c r="F3805" s="23" t="s">
        <v>310</v>
      </c>
      <c r="G3805" s="23" t="s">
        <v>250</v>
      </c>
      <c r="H3805" s="39">
        <f t="shared" si="236"/>
        <v>7999</v>
      </c>
      <c r="I3805" s="23" t="str">
        <f t="shared" si="237"/>
        <v>Ahmedabad</v>
      </c>
      <c r="J3805" s="23">
        <f>COUNTIFS(pg_transaction_cleaned!$O:$O,A3805,pg_transaction_cleaned!$F:$F,"CAPTURE")</f>
        <v>1</v>
      </c>
      <c r="K3805" s="39">
        <f>SUMIFS(pg_transaction_cleaned!$H:$H,pg_transaction_cleaned!$O:$O,A3805,pg_transaction_cleaned!$F:$F,"CAPTURE")</f>
        <v>7999</v>
      </c>
      <c r="L3805" s="23">
        <f>COUNTIFS(pg_transaction_cleaned!$O:$O,A3805,pg_transaction_cleaned!$F:$F,"REFUND")</f>
        <v>0</v>
      </c>
      <c r="M3805" s="39">
        <f>SUMIFS(pg_transaction_cleaned!$H:$H,pg_transaction_cleaned!$O:$O,A3805,pg_transaction_cleaned!$F:$F,"REFUND")</f>
        <v>0</v>
      </c>
      <c r="N3805" s="23" t="str">
        <f t="shared" si="238"/>
        <v>OK</v>
      </c>
      <c r="O3805" s="24">
        <f t="shared" si="239"/>
        <v>0</v>
      </c>
    </row>
    <row r="3806" spans="1:15" ht="15" customHeight="1" x14ac:dyDescent="0.3">
      <c r="A3806" s="23" t="s">
        <v>8098</v>
      </c>
      <c r="B3806" s="38">
        <v>46275</v>
      </c>
      <c r="C3806" s="23" t="s">
        <v>8099</v>
      </c>
      <c r="D3806" s="23" t="s">
        <v>93</v>
      </c>
      <c r="E3806" s="23" t="s">
        <v>79</v>
      </c>
      <c r="F3806" s="23" t="s">
        <v>310</v>
      </c>
      <c r="G3806" s="23" t="s">
        <v>365</v>
      </c>
      <c r="H3806" s="39">
        <f t="shared" si="236"/>
        <v>7999</v>
      </c>
      <c r="I3806" s="23" t="str">
        <f t="shared" si="237"/>
        <v>Kolkata</v>
      </c>
      <c r="J3806" s="23">
        <f>COUNTIFS(pg_transaction_cleaned!$O:$O,A3806,pg_transaction_cleaned!$F:$F,"CAPTURE")</f>
        <v>0</v>
      </c>
      <c r="K3806" s="39">
        <f>SUMIFS(pg_transaction_cleaned!$H:$H,pg_transaction_cleaned!$O:$O,A3806,pg_transaction_cleaned!$F:$F,"CAPTURE")</f>
        <v>0</v>
      </c>
      <c r="L3806" s="23">
        <f>COUNTIFS(pg_transaction_cleaned!$O:$O,A3806,pg_transaction_cleaned!$F:$F,"REFUND")</f>
        <v>0</v>
      </c>
      <c r="M3806" s="39">
        <f>SUMIFS(pg_transaction_cleaned!$H:$H,pg_transaction_cleaned!$O:$O,A3806,pg_transaction_cleaned!$F:$F,"REFUND")</f>
        <v>0</v>
      </c>
      <c r="N3806" s="23" t="str">
        <f t="shared" si="238"/>
        <v>OK</v>
      </c>
      <c r="O3806" s="24">
        <f t="shared" si="239"/>
        <v>0</v>
      </c>
    </row>
    <row r="3807" spans="1:15" ht="15" customHeight="1" x14ac:dyDescent="0.3">
      <c r="A3807" s="23" t="s">
        <v>8100</v>
      </c>
      <c r="B3807" s="38">
        <v>46288</v>
      </c>
      <c r="C3807" s="23" t="s">
        <v>8101</v>
      </c>
      <c r="D3807" s="23" t="s">
        <v>89</v>
      </c>
      <c r="E3807" s="23" t="s">
        <v>75</v>
      </c>
      <c r="F3807" s="23" t="s">
        <v>717</v>
      </c>
      <c r="G3807" s="23" t="s">
        <v>250</v>
      </c>
      <c r="H3807" s="39">
        <f t="shared" si="236"/>
        <v>5298</v>
      </c>
      <c r="I3807" s="23" t="str">
        <f t="shared" si="237"/>
        <v>Jaipur</v>
      </c>
      <c r="J3807" s="23">
        <f>COUNTIFS(pg_transaction_cleaned!$O:$O,A3807,pg_transaction_cleaned!$F:$F,"CAPTURE")</f>
        <v>1</v>
      </c>
      <c r="K3807" s="39">
        <f>SUMIFS(pg_transaction_cleaned!$H:$H,pg_transaction_cleaned!$O:$O,A3807,pg_transaction_cleaned!$F:$F,"CAPTURE")</f>
        <v>5298</v>
      </c>
      <c r="L3807" s="23">
        <f>COUNTIFS(pg_transaction_cleaned!$O:$O,A3807,pg_transaction_cleaned!$F:$F,"REFUND")</f>
        <v>0</v>
      </c>
      <c r="M3807" s="39">
        <f>SUMIFS(pg_transaction_cleaned!$H:$H,pg_transaction_cleaned!$O:$O,A3807,pg_transaction_cleaned!$F:$F,"REFUND")</f>
        <v>0</v>
      </c>
      <c r="N3807" s="23" t="str">
        <f t="shared" si="238"/>
        <v>OK</v>
      </c>
      <c r="O3807" s="24">
        <f t="shared" si="239"/>
        <v>0</v>
      </c>
    </row>
    <row r="3808" spans="1:15" ht="15" customHeight="1" x14ac:dyDescent="0.3">
      <c r="A3808" s="23" t="s">
        <v>8102</v>
      </c>
      <c r="B3808" s="38">
        <v>46282</v>
      </c>
      <c r="C3808" s="23" t="s">
        <v>8103</v>
      </c>
      <c r="D3808" s="23" t="s">
        <v>90</v>
      </c>
      <c r="E3808" s="23" t="s">
        <v>75</v>
      </c>
      <c r="F3808" s="23" t="s">
        <v>262</v>
      </c>
      <c r="G3808" s="23" t="s">
        <v>250</v>
      </c>
      <c r="H3808" s="39">
        <f t="shared" si="236"/>
        <v>499</v>
      </c>
      <c r="I3808" s="23" t="str">
        <f t="shared" si="237"/>
        <v>Ahmedabad</v>
      </c>
      <c r="J3808" s="23">
        <f>COUNTIFS(pg_transaction_cleaned!$O:$O,A3808,pg_transaction_cleaned!$F:$F,"CAPTURE")</f>
        <v>1</v>
      </c>
      <c r="K3808" s="39">
        <f>SUMIFS(pg_transaction_cleaned!$H:$H,pg_transaction_cleaned!$O:$O,A3808,pg_transaction_cleaned!$F:$F,"CAPTURE")</f>
        <v>499</v>
      </c>
      <c r="L3808" s="23">
        <f>COUNTIFS(pg_transaction_cleaned!$O:$O,A3808,pg_transaction_cleaned!$F:$F,"REFUND")</f>
        <v>0</v>
      </c>
      <c r="M3808" s="39">
        <f>SUMIFS(pg_transaction_cleaned!$H:$H,pg_transaction_cleaned!$O:$O,A3808,pg_transaction_cleaned!$F:$F,"REFUND")</f>
        <v>0</v>
      </c>
      <c r="N3808" s="23" t="str">
        <f t="shared" si="238"/>
        <v>OK</v>
      </c>
      <c r="O3808" s="24">
        <f t="shared" si="239"/>
        <v>0</v>
      </c>
    </row>
    <row r="3809" spans="1:15" ht="15" customHeight="1" x14ac:dyDescent="0.3">
      <c r="A3809" s="23" t="s">
        <v>8104</v>
      </c>
      <c r="B3809" s="38">
        <v>46267</v>
      </c>
      <c r="C3809" s="23" t="s">
        <v>8105</v>
      </c>
      <c r="D3809" s="23" t="s">
        <v>93</v>
      </c>
      <c r="E3809" s="23" t="s">
        <v>81</v>
      </c>
      <c r="F3809" s="23" t="s">
        <v>396</v>
      </c>
      <c r="G3809" s="23" t="s">
        <v>250</v>
      </c>
      <c r="H3809" s="39">
        <f t="shared" si="236"/>
        <v>2999</v>
      </c>
      <c r="I3809" s="23" t="str">
        <f t="shared" si="237"/>
        <v>Kolkata</v>
      </c>
      <c r="J3809" s="23">
        <f>COUNTIFS(pg_transaction_cleaned!$O:$O,A3809,pg_transaction_cleaned!$F:$F,"CAPTURE")</f>
        <v>1</v>
      </c>
      <c r="K3809" s="39">
        <f>SUMIFS(pg_transaction_cleaned!$H:$H,pg_transaction_cleaned!$O:$O,A3809,pg_transaction_cleaned!$F:$F,"CAPTURE")</f>
        <v>2999</v>
      </c>
      <c r="L3809" s="23">
        <f>COUNTIFS(pg_transaction_cleaned!$O:$O,A3809,pg_transaction_cleaned!$F:$F,"REFUND")</f>
        <v>0</v>
      </c>
      <c r="M3809" s="39">
        <f>SUMIFS(pg_transaction_cleaned!$H:$H,pg_transaction_cleaned!$O:$O,A3809,pg_transaction_cleaned!$F:$F,"REFUND")</f>
        <v>0</v>
      </c>
      <c r="N3809" s="23" t="str">
        <f t="shared" si="238"/>
        <v>OK</v>
      </c>
      <c r="O3809" s="24">
        <f t="shared" si="239"/>
        <v>0</v>
      </c>
    </row>
    <row r="3810" spans="1:15" ht="15" customHeight="1" x14ac:dyDescent="0.3">
      <c r="A3810" s="23" t="s">
        <v>8106</v>
      </c>
      <c r="B3810" s="38">
        <v>46282</v>
      </c>
      <c r="C3810" s="23" t="s">
        <v>8107</v>
      </c>
      <c r="D3810" s="23" t="s">
        <v>92</v>
      </c>
      <c r="E3810" s="23" t="s">
        <v>77</v>
      </c>
      <c r="F3810" s="23" t="s">
        <v>268</v>
      </c>
      <c r="G3810" s="23" t="s">
        <v>250</v>
      </c>
      <c r="H3810" s="39">
        <f t="shared" si="236"/>
        <v>1299</v>
      </c>
      <c r="I3810" s="23" t="str">
        <f t="shared" si="237"/>
        <v>Hyderabad</v>
      </c>
      <c r="J3810" s="23">
        <f>COUNTIFS(pg_transaction_cleaned!$O:$O,A3810,pg_transaction_cleaned!$F:$F,"CAPTURE")</f>
        <v>1</v>
      </c>
      <c r="K3810" s="39">
        <f>SUMIFS(pg_transaction_cleaned!$H:$H,pg_transaction_cleaned!$O:$O,A3810,pg_transaction_cleaned!$F:$F,"CAPTURE")</f>
        <v>1299</v>
      </c>
      <c r="L3810" s="23">
        <f>COUNTIFS(pg_transaction_cleaned!$O:$O,A3810,pg_transaction_cleaned!$F:$F,"REFUND")</f>
        <v>0</v>
      </c>
      <c r="M3810" s="39">
        <f>SUMIFS(pg_transaction_cleaned!$H:$H,pg_transaction_cleaned!$O:$O,A3810,pg_transaction_cleaned!$F:$F,"REFUND")</f>
        <v>0</v>
      </c>
      <c r="N3810" s="23" t="str">
        <f t="shared" si="238"/>
        <v>OK</v>
      </c>
      <c r="O3810" s="24">
        <f t="shared" si="239"/>
        <v>0</v>
      </c>
    </row>
    <row r="3811" spans="1:15" ht="15" customHeight="1" x14ac:dyDescent="0.3">
      <c r="A3811" s="23" t="s">
        <v>8108</v>
      </c>
      <c r="B3811" s="38">
        <v>46284</v>
      </c>
      <c r="C3811" s="23" t="s">
        <v>8109</v>
      </c>
      <c r="D3811" s="23" t="s">
        <v>89</v>
      </c>
      <c r="E3811" s="23" t="s">
        <v>77</v>
      </c>
      <c r="F3811" s="23" t="s">
        <v>534</v>
      </c>
      <c r="G3811" s="23" t="s">
        <v>250</v>
      </c>
      <c r="H3811" s="39">
        <f t="shared" si="236"/>
        <v>3097</v>
      </c>
      <c r="I3811" s="23" t="str">
        <f t="shared" si="237"/>
        <v>Jaipur</v>
      </c>
      <c r="J3811" s="23">
        <f>COUNTIFS(pg_transaction_cleaned!$O:$O,A3811,pg_transaction_cleaned!$F:$F,"CAPTURE")</f>
        <v>1</v>
      </c>
      <c r="K3811" s="39">
        <f>SUMIFS(pg_transaction_cleaned!$H:$H,pg_transaction_cleaned!$O:$O,A3811,pg_transaction_cleaned!$F:$F,"CAPTURE")</f>
        <v>3097</v>
      </c>
      <c r="L3811" s="23">
        <f>COUNTIFS(pg_transaction_cleaned!$O:$O,A3811,pg_transaction_cleaned!$F:$F,"REFUND")</f>
        <v>0</v>
      </c>
      <c r="M3811" s="39">
        <f>SUMIFS(pg_transaction_cleaned!$H:$H,pg_transaction_cleaned!$O:$O,A3811,pg_transaction_cleaned!$F:$F,"REFUND")</f>
        <v>0</v>
      </c>
      <c r="N3811" s="23" t="str">
        <f t="shared" si="238"/>
        <v>OK</v>
      </c>
      <c r="O3811" s="24">
        <f t="shared" si="239"/>
        <v>0</v>
      </c>
    </row>
    <row r="3812" spans="1:15" ht="15" customHeight="1" x14ac:dyDescent="0.3">
      <c r="A3812" s="23" t="s">
        <v>8110</v>
      </c>
      <c r="B3812" s="38">
        <v>46293</v>
      </c>
      <c r="C3812" s="23" t="s">
        <v>8111</v>
      </c>
      <c r="D3812" s="23" t="s">
        <v>93</v>
      </c>
      <c r="E3812" s="23" t="s">
        <v>79</v>
      </c>
      <c r="F3812" s="23" t="s">
        <v>268</v>
      </c>
      <c r="G3812" s="23" t="s">
        <v>250</v>
      </c>
      <c r="H3812" s="39">
        <f t="shared" si="236"/>
        <v>1299</v>
      </c>
      <c r="I3812" s="23" t="str">
        <f t="shared" si="237"/>
        <v>Kolkata</v>
      </c>
      <c r="J3812" s="23">
        <f>COUNTIFS(pg_transaction_cleaned!$O:$O,A3812,pg_transaction_cleaned!$F:$F,"CAPTURE")</f>
        <v>1</v>
      </c>
      <c r="K3812" s="39">
        <f>SUMIFS(pg_transaction_cleaned!$H:$H,pg_transaction_cleaned!$O:$O,A3812,pg_transaction_cleaned!$F:$F,"CAPTURE")</f>
        <v>1299</v>
      </c>
      <c r="L3812" s="23">
        <f>COUNTIFS(pg_transaction_cleaned!$O:$O,A3812,pg_transaction_cleaned!$F:$F,"REFUND")</f>
        <v>0</v>
      </c>
      <c r="M3812" s="39">
        <f>SUMIFS(pg_transaction_cleaned!$H:$H,pg_transaction_cleaned!$O:$O,A3812,pg_transaction_cleaned!$F:$F,"REFUND")</f>
        <v>0</v>
      </c>
      <c r="N3812" s="23" t="str">
        <f t="shared" si="238"/>
        <v>OK</v>
      </c>
      <c r="O3812" s="24">
        <f t="shared" si="239"/>
        <v>0</v>
      </c>
    </row>
    <row r="3813" spans="1:15" ht="15" customHeight="1" x14ac:dyDescent="0.3">
      <c r="A3813" s="23" t="s">
        <v>8112</v>
      </c>
      <c r="B3813" s="38">
        <v>46287</v>
      </c>
      <c r="C3813" s="23" t="s">
        <v>8113</v>
      </c>
      <c r="D3813" s="23" t="s">
        <v>89</v>
      </c>
      <c r="E3813" s="23" t="s">
        <v>79</v>
      </c>
      <c r="F3813" s="23" t="s">
        <v>259</v>
      </c>
      <c r="G3813" s="23" t="s">
        <v>250</v>
      </c>
      <c r="H3813" s="39">
        <f t="shared" si="236"/>
        <v>3298</v>
      </c>
      <c r="I3813" s="23" t="str">
        <f t="shared" si="237"/>
        <v>Jaipur</v>
      </c>
      <c r="J3813" s="23">
        <f>COUNTIFS(pg_transaction_cleaned!$O:$O,A3813,pg_transaction_cleaned!$F:$F,"CAPTURE")</f>
        <v>1</v>
      </c>
      <c r="K3813" s="39">
        <f>SUMIFS(pg_transaction_cleaned!$H:$H,pg_transaction_cleaned!$O:$O,A3813,pg_transaction_cleaned!$F:$F,"CAPTURE")</f>
        <v>3298</v>
      </c>
      <c r="L3813" s="23">
        <f>COUNTIFS(pg_transaction_cleaned!$O:$O,A3813,pg_transaction_cleaned!$F:$F,"REFUND")</f>
        <v>0</v>
      </c>
      <c r="M3813" s="39">
        <f>SUMIFS(pg_transaction_cleaned!$H:$H,pg_transaction_cleaned!$O:$O,A3813,pg_transaction_cleaned!$F:$F,"REFUND")</f>
        <v>0</v>
      </c>
      <c r="N3813" s="23" t="str">
        <f t="shared" si="238"/>
        <v>OK</v>
      </c>
      <c r="O3813" s="24">
        <f t="shared" si="239"/>
        <v>0</v>
      </c>
    </row>
    <row r="3814" spans="1:15" ht="15" customHeight="1" x14ac:dyDescent="0.3">
      <c r="A3814" s="23" t="s">
        <v>8114</v>
      </c>
      <c r="B3814" s="38">
        <v>46273</v>
      </c>
      <c r="C3814" s="23" t="s">
        <v>8115</v>
      </c>
      <c r="D3814" s="23" t="s">
        <v>95</v>
      </c>
      <c r="E3814" s="23" t="s">
        <v>77</v>
      </c>
      <c r="F3814" s="23" t="s">
        <v>310</v>
      </c>
      <c r="G3814" s="23" t="s">
        <v>250</v>
      </c>
      <c r="H3814" s="39">
        <f t="shared" si="236"/>
        <v>7999</v>
      </c>
      <c r="I3814" s="23" t="str">
        <f t="shared" si="237"/>
        <v>Bengaluru</v>
      </c>
      <c r="J3814" s="23">
        <f>COUNTIFS(pg_transaction_cleaned!$O:$O,A3814,pg_transaction_cleaned!$F:$F,"CAPTURE")</f>
        <v>1</v>
      </c>
      <c r="K3814" s="39">
        <f>SUMIFS(pg_transaction_cleaned!$H:$H,pg_transaction_cleaned!$O:$O,A3814,pg_transaction_cleaned!$F:$F,"CAPTURE")</f>
        <v>7999</v>
      </c>
      <c r="L3814" s="23">
        <f>COUNTIFS(pg_transaction_cleaned!$O:$O,A3814,pg_transaction_cleaned!$F:$F,"REFUND")</f>
        <v>0</v>
      </c>
      <c r="M3814" s="39">
        <f>SUMIFS(pg_transaction_cleaned!$H:$H,pg_transaction_cleaned!$O:$O,A3814,pg_transaction_cleaned!$F:$F,"REFUND")</f>
        <v>0</v>
      </c>
      <c r="N3814" s="23" t="str">
        <f t="shared" si="238"/>
        <v>OK</v>
      </c>
      <c r="O3814" s="24">
        <f t="shared" si="239"/>
        <v>0</v>
      </c>
    </row>
    <row r="3815" spans="1:15" ht="15" customHeight="1" x14ac:dyDescent="0.3">
      <c r="A3815" s="23" t="s">
        <v>8116</v>
      </c>
      <c r="B3815" s="38">
        <v>46278</v>
      </c>
      <c r="C3815" s="23" t="s">
        <v>8117</v>
      </c>
      <c r="D3815" s="23" t="s">
        <v>93</v>
      </c>
      <c r="E3815" s="23" t="s">
        <v>75</v>
      </c>
      <c r="F3815" s="23" t="s">
        <v>249</v>
      </c>
      <c r="G3815" s="23" t="s">
        <v>250</v>
      </c>
      <c r="H3815" s="39">
        <f t="shared" si="236"/>
        <v>299</v>
      </c>
      <c r="I3815" s="23" t="str">
        <f t="shared" si="237"/>
        <v>Kolkata</v>
      </c>
      <c r="J3815" s="23">
        <f>COUNTIFS(pg_transaction_cleaned!$O:$O,A3815,pg_transaction_cleaned!$F:$F,"CAPTURE")</f>
        <v>1</v>
      </c>
      <c r="K3815" s="39">
        <f>SUMIFS(pg_transaction_cleaned!$H:$H,pg_transaction_cleaned!$O:$O,A3815,pg_transaction_cleaned!$F:$F,"CAPTURE")</f>
        <v>299</v>
      </c>
      <c r="L3815" s="23">
        <f>COUNTIFS(pg_transaction_cleaned!$O:$O,A3815,pg_transaction_cleaned!$F:$F,"REFUND")</f>
        <v>0</v>
      </c>
      <c r="M3815" s="39">
        <f>SUMIFS(pg_transaction_cleaned!$H:$H,pg_transaction_cleaned!$O:$O,A3815,pg_transaction_cleaned!$F:$F,"REFUND")</f>
        <v>0</v>
      </c>
      <c r="N3815" s="23" t="str">
        <f t="shared" si="238"/>
        <v>OK</v>
      </c>
      <c r="O3815" s="24">
        <f t="shared" si="239"/>
        <v>0</v>
      </c>
    </row>
    <row r="3816" spans="1:15" ht="15" customHeight="1" x14ac:dyDescent="0.3">
      <c r="A3816" s="23" t="s">
        <v>8118</v>
      </c>
      <c r="B3816" s="38">
        <v>46268</v>
      </c>
      <c r="C3816" s="23" t="s">
        <v>8119</v>
      </c>
      <c r="D3816" s="23" t="s">
        <v>94</v>
      </c>
      <c r="E3816" s="23" t="s">
        <v>75</v>
      </c>
      <c r="F3816" s="23" t="s">
        <v>349</v>
      </c>
      <c r="G3816" s="23" t="s">
        <v>250</v>
      </c>
      <c r="H3816" s="39">
        <f t="shared" si="236"/>
        <v>1798</v>
      </c>
      <c r="I3816" s="23" t="str">
        <f t="shared" si="237"/>
        <v>Chennai</v>
      </c>
      <c r="J3816" s="23">
        <f>COUNTIFS(pg_transaction_cleaned!$O:$O,A3816,pg_transaction_cleaned!$F:$F,"CAPTURE")</f>
        <v>1</v>
      </c>
      <c r="K3816" s="39">
        <f>SUMIFS(pg_transaction_cleaned!$H:$H,pg_transaction_cleaned!$O:$O,A3816,pg_transaction_cleaned!$F:$F,"CAPTURE")</f>
        <v>1798</v>
      </c>
      <c r="L3816" s="23">
        <f>COUNTIFS(pg_transaction_cleaned!$O:$O,A3816,pg_transaction_cleaned!$F:$F,"REFUND")</f>
        <v>0</v>
      </c>
      <c r="M3816" s="39">
        <f>SUMIFS(pg_transaction_cleaned!$H:$H,pg_transaction_cleaned!$O:$O,A3816,pg_transaction_cleaned!$F:$F,"REFUND")</f>
        <v>0</v>
      </c>
      <c r="N3816" s="23" t="str">
        <f t="shared" si="238"/>
        <v>OK</v>
      </c>
      <c r="O3816" s="24">
        <f t="shared" si="239"/>
        <v>0</v>
      </c>
    </row>
    <row r="3817" spans="1:15" ht="15" customHeight="1" x14ac:dyDescent="0.3">
      <c r="A3817" s="23" t="s">
        <v>8120</v>
      </c>
      <c r="B3817" s="38">
        <v>46289</v>
      </c>
      <c r="C3817" s="23" t="s">
        <v>8121</v>
      </c>
      <c r="D3817" s="23" t="s">
        <v>89</v>
      </c>
      <c r="E3817" s="23" t="s">
        <v>75</v>
      </c>
      <c r="F3817" s="23" t="s">
        <v>772</v>
      </c>
      <c r="G3817" s="23" t="s">
        <v>250</v>
      </c>
      <c r="H3817" s="39">
        <f t="shared" si="236"/>
        <v>4798</v>
      </c>
      <c r="I3817" s="23" t="str">
        <f t="shared" si="237"/>
        <v>Jaipur</v>
      </c>
      <c r="J3817" s="23">
        <f>COUNTIFS(pg_transaction_cleaned!$O:$O,A3817,pg_transaction_cleaned!$F:$F,"CAPTURE")</f>
        <v>1</v>
      </c>
      <c r="K3817" s="39">
        <f>SUMIFS(pg_transaction_cleaned!$H:$H,pg_transaction_cleaned!$O:$O,A3817,pg_transaction_cleaned!$F:$F,"CAPTURE")</f>
        <v>4798</v>
      </c>
      <c r="L3817" s="23">
        <f>COUNTIFS(pg_transaction_cleaned!$O:$O,A3817,pg_transaction_cleaned!$F:$F,"REFUND")</f>
        <v>0</v>
      </c>
      <c r="M3817" s="39">
        <f>SUMIFS(pg_transaction_cleaned!$H:$H,pg_transaction_cleaned!$O:$O,A3817,pg_transaction_cleaned!$F:$F,"REFUND")</f>
        <v>0</v>
      </c>
      <c r="N3817" s="23" t="str">
        <f t="shared" si="238"/>
        <v>OK</v>
      </c>
      <c r="O3817" s="24">
        <f t="shared" si="239"/>
        <v>0</v>
      </c>
    </row>
    <row r="3818" spans="1:15" ht="15" customHeight="1" x14ac:dyDescent="0.3">
      <c r="A3818" s="23" t="s">
        <v>8122</v>
      </c>
      <c r="B3818" s="38">
        <v>46278</v>
      </c>
      <c r="C3818" s="23" t="s">
        <v>8123</v>
      </c>
      <c r="D3818" s="23" t="s">
        <v>94</v>
      </c>
      <c r="E3818" s="23" t="s">
        <v>75</v>
      </c>
      <c r="F3818" s="23" t="s">
        <v>265</v>
      </c>
      <c r="G3818" s="23" t="s">
        <v>250</v>
      </c>
      <c r="H3818" s="39">
        <f t="shared" si="236"/>
        <v>999</v>
      </c>
      <c r="I3818" s="23" t="str">
        <f t="shared" si="237"/>
        <v>Chennai</v>
      </c>
      <c r="J3818" s="23">
        <f>COUNTIFS(pg_transaction_cleaned!$O:$O,A3818,pg_transaction_cleaned!$F:$F,"CAPTURE")</f>
        <v>1</v>
      </c>
      <c r="K3818" s="39">
        <f>SUMIFS(pg_transaction_cleaned!$H:$H,pg_transaction_cleaned!$O:$O,A3818,pg_transaction_cleaned!$F:$F,"CAPTURE")</f>
        <v>999</v>
      </c>
      <c r="L3818" s="23">
        <f>COUNTIFS(pg_transaction_cleaned!$O:$O,A3818,pg_transaction_cleaned!$F:$F,"REFUND")</f>
        <v>0</v>
      </c>
      <c r="M3818" s="39">
        <f>SUMIFS(pg_transaction_cleaned!$H:$H,pg_transaction_cleaned!$O:$O,A3818,pg_transaction_cleaned!$F:$F,"REFUND")</f>
        <v>0</v>
      </c>
      <c r="N3818" s="23" t="str">
        <f t="shared" si="238"/>
        <v>OK</v>
      </c>
      <c r="O3818" s="24">
        <f t="shared" si="239"/>
        <v>0</v>
      </c>
    </row>
    <row r="3819" spans="1:15" ht="15" customHeight="1" x14ac:dyDescent="0.3">
      <c r="A3819" s="23" t="s">
        <v>8124</v>
      </c>
      <c r="B3819" s="38">
        <v>46269</v>
      </c>
      <c r="C3819" s="23" t="s">
        <v>8125</v>
      </c>
      <c r="D3819" s="23" t="s">
        <v>87</v>
      </c>
      <c r="E3819" s="23" t="s">
        <v>75</v>
      </c>
      <c r="F3819" s="23" t="s">
        <v>475</v>
      </c>
      <c r="G3819" s="23" t="s">
        <v>250</v>
      </c>
      <c r="H3819" s="39">
        <f t="shared" si="236"/>
        <v>799</v>
      </c>
      <c r="I3819" s="23" t="str">
        <f t="shared" si="237"/>
        <v>Mumbai</v>
      </c>
      <c r="J3819" s="23">
        <f>COUNTIFS(pg_transaction_cleaned!$O:$O,A3819,pg_transaction_cleaned!$F:$F,"CAPTURE")</f>
        <v>1</v>
      </c>
      <c r="K3819" s="39">
        <f>SUMIFS(pg_transaction_cleaned!$H:$H,pg_transaction_cleaned!$O:$O,A3819,pg_transaction_cleaned!$F:$F,"CAPTURE")</f>
        <v>799</v>
      </c>
      <c r="L3819" s="23">
        <f>COUNTIFS(pg_transaction_cleaned!$O:$O,A3819,pg_transaction_cleaned!$F:$F,"REFUND")</f>
        <v>0</v>
      </c>
      <c r="M3819" s="39">
        <f>SUMIFS(pg_transaction_cleaned!$H:$H,pg_transaction_cleaned!$O:$O,A3819,pg_transaction_cleaned!$F:$F,"REFUND")</f>
        <v>0</v>
      </c>
      <c r="N3819" s="23" t="str">
        <f t="shared" si="238"/>
        <v>OK</v>
      </c>
      <c r="O3819" s="24">
        <f t="shared" si="239"/>
        <v>0</v>
      </c>
    </row>
    <row r="3820" spans="1:15" ht="15" customHeight="1" x14ac:dyDescent="0.3">
      <c r="A3820" s="23" t="s">
        <v>8126</v>
      </c>
      <c r="B3820" s="38">
        <v>46278</v>
      </c>
      <c r="C3820" s="23" t="s">
        <v>8127</v>
      </c>
      <c r="D3820" s="23" t="s">
        <v>86</v>
      </c>
      <c r="E3820" s="23" t="s">
        <v>81</v>
      </c>
      <c r="F3820" s="23" t="s">
        <v>747</v>
      </c>
      <c r="G3820" s="23" t="s">
        <v>250</v>
      </c>
      <c r="H3820" s="39">
        <f t="shared" si="236"/>
        <v>2498</v>
      </c>
      <c r="I3820" s="23" t="str">
        <f t="shared" si="237"/>
        <v>Delhi</v>
      </c>
      <c r="J3820" s="23">
        <f>COUNTIFS(pg_transaction_cleaned!$O:$O,A3820,pg_transaction_cleaned!$F:$F,"CAPTURE")</f>
        <v>1</v>
      </c>
      <c r="K3820" s="39">
        <f>SUMIFS(pg_transaction_cleaned!$H:$H,pg_transaction_cleaned!$O:$O,A3820,pg_transaction_cleaned!$F:$F,"CAPTURE")</f>
        <v>2498</v>
      </c>
      <c r="L3820" s="23">
        <f>COUNTIFS(pg_transaction_cleaned!$O:$O,A3820,pg_transaction_cleaned!$F:$F,"REFUND")</f>
        <v>0</v>
      </c>
      <c r="M3820" s="39">
        <f>SUMIFS(pg_transaction_cleaned!$H:$H,pg_transaction_cleaned!$O:$O,A3820,pg_transaction_cleaned!$F:$F,"REFUND")</f>
        <v>0</v>
      </c>
      <c r="N3820" s="23" t="str">
        <f t="shared" si="238"/>
        <v>OK</v>
      </c>
      <c r="O3820" s="24">
        <f t="shared" si="239"/>
        <v>0</v>
      </c>
    </row>
    <row r="3821" spans="1:15" ht="15" customHeight="1" x14ac:dyDescent="0.3">
      <c r="A3821" s="23" t="s">
        <v>8128</v>
      </c>
      <c r="B3821" s="38">
        <v>46275</v>
      </c>
      <c r="C3821" s="23" t="s">
        <v>8129</v>
      </c>
      <c r="D3821" s="23" t="s">
        <v>91</v>
      </c>
      <c r="E3821" s="23" t="s">
        <v>75</v>
      </c>
      <c r="F3821" s="23" t="s">
        <v>2486</v>
      </c>
      <c r="G3821" s="23" t="s">
        <v>250</v>
      </c>
      <c r="H3821" s="39">
        <f t="shared" si="236"/>
        <v>1647</v>
      </c>
      <c r="I3821" s="23" t="str">
        <f t="shared" si="237"/>
        <v>Pune</v>
      </c>
      <c r="J3821" s="23">
        <f>COUNTIFS(pg_transaction_cleaned!$O:$O,A3821,pg_transaction_cleaned!$F:$F,"CAPTURE")</f>
        <v>1</v>
      </c>
      <c r="K3821" s="39">
        <f>SUMIFS(pg_transaction_cleaned!$H:$H,pg_transaction_cleaned!$O:$O,A3821,pg_transaction_cleaned!$F:$F,"CAPTURE")</f>
        <v>1647</v>
      </c>
      <c r="L3821" s="23">
        <f>COUNTIFS(pg_transaction_cleaned!$O:$O,A3821,pg_transaction_cleaned!$F:$F,"REFUND")</f>
        <v>0</v>
      </c>
      <c r="M3821" s="39">
        <f>SUMIFS(pg_transaction_cleaned!$H:$H,pg_transaction_cleaned!$O:$O,A3821,pg_transaction_cleaned!$F:$F,"REFUND")</f>
        <v>0</v>
      </c>
      <c r="N3821" s="23" t="str">
        <f t="shared" si="238"/>
        <v>OK</v>
      </c>
      <c r="O3821" s="24">
        <f t="shared" si="239"/>
        <v>0</v>
      </c>
    </row>
    <row r="3822" spans="1:15" ht="15" customHeight="1" x14ac:dyDescent="0.3">
      <c r="A3822" s="23" t="s">
        <v>8130</v>
      </c>
      <c r="B3822" s="38">
        <v>46270</v>
      </c>
      <c r="C3822" s="23" t="s">
        <v>8131</v>
      </c>
      <c r="D3822" s="23" t="s">
        <v>88</v>
      </c>
      <c r="E3822" s="23" t="s">
        <v>75</v>
      </c>
      <c r="F3822" s="23" t="s">
        <v>475</v>
      </c>
      <c r="G3822" s="23" t="s">
        <v>250</v>
      </c>
      <c r="H3822" s="39">
        <f t="shared" si="236"/>
        <v>799</v>
      </c>
      <c r="I3822" s="23" t="str">
        <f t="shared" si="237"/>
        <v>Lucknow</v>
      </c>
      <c r="J3822" s="23">
        <f>COUNTIFS(pg_transaction_cleaned!$O:$O,A3822,pg_transaction_cleaned!$F:$F,"CAPTURE")</f>
        <v>1</v>
      </c>
      <c r="K3822" s="39">
        <f>SUMIFS(pg_transaction_cleaned!$H:$H,pg_transaction_cleaned!$O:$O,A3822,pg_transaction_cleaned!$F:$F,"CAPTURE")</f>
        <v>799</v>
      </c>
      <c r="L3822" s="23">
        <f>COUNTIFS(pg_transaction_cleaned!$O:$O,A3822,pg_transaction_cleaned!$F:$F,"REFUND")</f>
        <v>0</v>
      </c>
      <c r="M3822" s="39">
        <f>SUMIFS(pg_transaction_cleaned!$H:$H,pg_transaction_cleaned!$O:$O,A3822,pg_transaction_cleaned!$F:$F,"REFUND")</f>
        <v>0</v>
      </c>
      <c r="N3822" s="23" t="str">
        <f t="shared" si="238"/>
        <v>OK</v>
      </c>
      <c r="O3822" s="24">
        <f t="shared" si="239"/>
        <v>0</v>
      </c>
    </row>
    <row r="3823" spans="1:15" ht="15" customHeight="1" x14ac:dyDescent="0.3">
      <c r="A3823" s="23" t="s">
        <v>8132</v>
      </c>
      <c r="B3823" s="38">
        <v>46285</v>
      </c>
      <c r="C3823" s="23" t="s">
        <v>8133</v>
      </c>
      <c r="D3823" s="23" t="s">
        <v>95</v>
      </c>
      <c r="E3823" s="23" t="s">
        <v>81</v>
      </c>
      <c r="F3823" s="23" t="s">
        <v>451</v>
      </c>
      <c r="G3823" s="23" t="s">
        <v>250</v>
      </c>
      <c r="H3823" s="39">
        <f t="shared" si="236"/>
        <v>1098</v>
      </c>
      <c r="I3823" s="23" t="str">
        <f t="shared" si="237"/>
        <v>Bengaluru</v>
      </c>
      <c r="J3823" s="23">
        <f>COUNTIFS(pg_transaction_cleaned!$O:$O,A3823,pg_transaction_cleaned!$F:$F,"CAPTURE")</f>
        <v>1</v>
      </c>
      <c r="K3823" s="39">
        <f>SUMIFS(pg_transaction_cleaned!$H:$H,pg_transaction_cleaned!$O:$O,A3823,pg_transaction_cleaned!$F:$F,"CAPTURE")</f>
        <v>1098</v>
      </c>
      <c r="L3823" s="23">
        <f>COUNTIFS(pg_transaction_cleaned!$O:$O,A3823,pg_transaction_cleaned!$F:$F,"REFUND")</f>
        <v>0</v>
      </c>
      <c r="M3823" s="39">
        <f>SUMIFS(pg_transaction_cleaned!$H:$H,pg_transaction_cleaned!$O:$O,A3823,pg_transaction_cleaned!$F:$F,"REFUND")</f>
        <v>0</v>
      </c>
      <c r="N3823" s="23" t="str">
        <f t="shared" si="238"/>
        <v>OK</v>
      </c>
      <c r="O3823" s="24">
        <f t="shared" si="239"/>
        <v>0</v>
      </c>
    </row>
    <row r="3824" spans="1:15" ht="15" customHeight="1" x14ac:dyDescent="0.3">
      <c r="A3824" s="23" t="s">
        <v>8134</v>
      </c>
      <c r="B3824" s="38">
        <v>46282</v>
      </c>
      <c r="C3824" s="23" t="s">
        <v>8135</v>
      </c>
      <c r="D3824" s="23" t="s">
        <v>90</v>
      </c>
      <c r="E3824" s="23" t="s">
        <v>79</v>
      </c>
      <c r="F3824" s="23" t="s">
        <v>370</v>
      </c>
      <c r="G3824" s="23" t="s">
        <v>250</v>
      </c>
      <c r="H3824" s="39">
        <f t="shared" si="236"/>
        <v>3098</v>
      </c>
      <c r="I3824" s="23" t="str">
        <f t="shared" si="237"/>
        <v>Ahmedabad</v>
      </c>
      <c r="J3824" s="23">
        <f>COUNTIFS(pg_transaction_cleaned!$O:$O,A3824,pg_transaction_cleaned!$F:$F,"CAPTURE")</f>
        <v>1</v>
      </c>
      <c r="K3824" s="39">
        <f>SUMIFS(pg_transaction_cleaned!$H:$H,pg_transaction_cleaned!$O:$O,A3824,pg_transaction_cleaned!$F:$F,"CAPTURE")</f>
        <v>3098</v>
      </c>
      <c r="L3824" s="23">
        <f>COUNTIFS(pg_transaction_cleaned!$O:$O,A3824,pg_transaction_cleaned!$F:$F,"REFUND")</f>
        <v>0</v>
      </c>
      <c r="M3824" s="39">
        <f>SUMIFS(pg_transaction_cleaned!$H:$H,pg_transaction_cleaned!$O:$O,A3824,pg_transaction_cleaned!$F:$F,"REFUND")</f>
        <v>0</v>
      </c>
      <c r="N3824" s="23" t="str">
        <f t="shared" si="238"/>
        <v>OK</v>
      </c>
      <c r="O3824" s="24">
        <f t="shared" si="239"/>
        <v>0</v>
      </c>
    </row>
    <row r="3825" spans="1:15" ht="15" customHeight="1" x14ac:dyDescent="0.3">
      <c r="A3825" s="23" t="s">
        <v>8136</v>
      </c>
      <c r="B3825" s="38">
        <v>46293</v>
      </c>
      <c r="C3825" s="23" t="s">
        <v>8137</v>
      </c>
      <c r="D3825" s="23" t="s">
        <v>93</v>
      </c>
      <c r="E3825" s="23" t="s">
        <v>75</v>
      </c>
      <c r="F3825" s="23" t="s">
        <v>291</v>
      </c>
      <c r="G3825" s="23" t="s">
        <v>250</v>
      </c>
      <c r="H3825" s="39">
        <f t="shared" si="236"/>
        <v>3499</v>
      </c>
      <c r="I3825" s="23" t="str">
        <f t="shared" si="237"/>
        <v>Kolkata</v>
      </c>
      <c r="J3825" s="23">
        <f>COUNTIFS(pg_transaction_cleaned!$O:$O,A3825,pg_transaction_cleaned!$F:$F,"CAPTURE")</f>
        <v>1</v>
      </c>
      <c r="K3825" s="39">
        <f>SUMIFS(pg_transaction_cleaned!$H:$H,pg_transaction_cleaned!$O:$O,A3825,pg_transaction_cleaned!$F:$F,"CAPTURE")</f>
        <v>3499</v>
      </c>
      <c r="L3825" s="23">
        <f>COUNTIFS(pg_transaction_cleaned!$O:$O,A3825,pg_transaction_cleaned!$F:$F,"REFUND")</f>
        <v>0</v>
      </c>
      <c r="M3825" s="39">
        <f>SUMIFS(pg_transaction_cleaned!$H:$H,pg_transaction_cleaned!$O:$O,A3825,pg_transaction_cleaned!$F:$F,"REFUND")</f>
        <v>0</v>
      </c>
      <c r="N3825" s="23" t="str">
        <f t="shared" si="238"/>
        <v>OK</v>
      </c>
      <c r="O3825" s="24">
        <f t="shared" si="239"/>
        <v>0</v>
      </c>
    </row>
    <row r="3826" spans="1:15" ht="15" customHeight="1" x14ac:dyDescent="0.3">
      <c r="A3826" s="23" t="s">
        <v>8138</v>
      </c>
      <c r="B3826" s="38">
        <v>46272</v>
      </c>
      <c r="C3826" s="23" t="s">
        <v>8139</v>
      </c>
      <c r="D3826" s="23" t="s">
        <v>95</v>
      </c>
      <c r="E3826" s="23" t="s">
        <v>77</v>
      </c>
      <c r="F3826" s="23" t="s">
        <v>271</v>
      </c>
      <c r="G3826" s="23" t="s">
        <v>250</v>
      </c>
      <c r="H3826" s="39">
        <f t="shared" si="236"/>
        <v>2499</v>
      </c>
      <c r="I3826" s="23" t="str">
        <f t="shared" si="237"/>
        <v>Bengaluru</v>
      </c>
      <c r="J3826" s="23">
        <f>COUNTIFS(pg_transaction_cleaned!$O:$O,A3826,pg_transaction_cleaned!$F:$F,"CAPTURE")</f>
        <v>1</v>
      </c>
      <c r="K3826" s="39">
        <f>SUMIFS(pg_transaction_cleaned!$H:$H,pg_transaction_cleaned!$O:$O,A3826,pg_transaction_cleaned!$F:$F,"CAPTURE")</f>
        <v>2499</v>
      </c>
      <c r="L3826" s="23">
        <f>COUNTIFS(pg_transaction_cleaned!$O:$O,A3826,pg_transaction_cleaned!$F:$F,"REFUND")</f>
        <v>0</v>
      </c>
      <c r="M3826" s="39">
        <f>SUMIFS(pg_transaction_cleaned!$H:$H,pg_transaction_cleaned!$O:$O,A3826,pg_transaction_cleaned!$F:$F,"REFUND")</f>
        <v>0</v>
      </c>
      <c r="N3826" s="23" t="str">
        <f t="shared" si="238"/>
        <v>OK</v>
      </c>
      <c r="O3826" s="24">
        <f t="shared" si="239"/>
        <v>0</v>
      </c>
    </row>
    <row r="3827" spans="1:15" ht="15" customHeight="1" x14ac:dyDescent="0.3">
      <c r="A3827" s="23" t="s">
        <v>8140</v>
      </c>
      <c r="B3827" s="38">
        <v>46282</v>
      </c>
      <c r="C3827" s="23" t="s">
        <v>8141</v>
      </c>
      <c r="D3827" s="23" t="s">
        <v>89</v>
      </c>
      <c r="E3827" s="23" t="s">
        <v>79</v>
      </c>
      <c r="F3827" s="23" t="s">
        <v>1299</v>
      </c>
      <c r="G3827" s="23" t="s">
        <v>250</v>
      </c>
      <c r="H3827" s="39">
        <f t="shared" si="236"/>
        <v>2097</v>
      </c>
      <c r="I3827" s="23" t="str">
        <f t="shared" si="237"/>
        <v>Jaipur</v>
      </c>
      <c r="J3827" s="23">
        <f>COUNTIFS(pg_transaction_cleaned!$O:$O,A3827,pg_transaction_cleaned!$F:$F,"CAPTURE")</f>
        <v>1</v>
      </c>
      <c r="K3827" s="39">
        <f>SUMIFS(pg_transaction_cleaned!$H:$H,pg_transaction_cleaned!$O:$O,A3827,pg_transaction_cleaned!$F:$F,"CAPTURE")</f>
        <v>2097</v>
      </c>
      <c r="L3827" s="23">
        <f>COUNTIFS(pg_transaction_cleaned!$O:$O,A3827,pg_transaction_cleaned!$F:$F,"REFUND")</f>
        <v>0</v>
      </c>
      <c r="M3827" s="39">
        <f>SUMIFS(pg_transaction_cleaned!$H:$H,pg_transaction_cleaned!$O:$O,A3827,pg_transaction_cleaned!$F:$F,"REFUND")</f>
        <v>0</v>
      </c>
      <c r="N3827" s="23" t="str">
        <f t="shared" si="238"/>
        <v>OK</v>
      </c>
      <c r="O3827" s="24">
        <f t="shared" si="239"/>
        <v>0</v>
      </c>
    </row>
    <row r="3828" spans="1:15" ht="15" customHeight="1" x14ac:dyDescent="0.3">
      <c r="A3828" s="23" t="s">
        <v>8142</v>
      </c>
      <c r="B3828" s="38">
        <v>46285</v>
      </c>
      <c r="C3828" s="23" t="s">
        <v>8143</v>
      </c>
      <c r="D3828" s="23" t="s">
        <v>91</v>
      </c>
      <c r="E3828" s="23" t="s">
        <v>79</v>
      </c>
      <c r="F3828" s="23" t="s">
        <v>6606</v>
      </c>
      <c r="G3828" s="23" t="s">
        <v>301</v>
      </c>
      <c r="H3828" s="39">
        <f t="shared" si="236"/>
        <v>2697</v>
      </c>
      <c r="I3828" s="23" t="str">
        <f t="shared" si="237"/>
        <v>Pune</v>
      </c>
      <c r="J3828" s="23">
        <f>COUNTIFS(pg_transaction_cleaned!$O:$O,A3828,pg_transaction_cleaned!$F:$F,"CAPTURE")</f>
        <v>1</v>
      </c>
      <c r="K3828" s="39">
        <f>SUMIFS(pg_transaction_cleaned!$H:$H,pg_transaction_cleaned!$O:$O,A3828,pg_transaction_cleaned!$F:$F,"CAPTURE")</f>
        <v>2697</v>
      </c>
      <c r="L3828" s="23">
        <f>COUNTIFS(pg_transaction_cleaned!$O:$O,A3828,pg_transaction_cleaned!$F:$F,"REFUND")</f>
        <v>1</v>
      </c>
      <c r="M3828" s="39">
        <f>SUMIFS(pg_transaction_cleaned!$H:$H,pg_transaction_cleaned!$O:$O,A3828,pg_transaction_cleaned!$F:$F,"REFUND")</f>
        <v>2697</v>
      </c>
      <c r="N3828" s="23" t="str">
        <f t="shared" si="238"/>
        <v>OK</v>
      </c>
      <c r="O3828" s="24">
        <f t="shared" si="239"/>
        <v>0</v>
      </c>
    </row>
    <row r="3829" spans="1:15" ht="15" customHeight="1" x14ac:dyDescent="0.3">
      <c r="A3829" s="23" t="s">
        <v>8144</v>
      </c>
      <c r="B3829" s="38">
        <v>46272</v>
      </c>
      <c r="C3829" s="23" t="s">
        <v>8145</v>
      </c>
      <c r="D3829" s="23" t="s">
        <v>91</v>
      </c>
      <c r="E3829" s="23" t="s">
        <v>79</v>
      </c>
      <c r="F3829" s="23" t="s">
        <v>396</v>
      </c>
      <c r="G3829" s="23" t="s">
        <v>250</v>
      </c>
      <c r="H3829" s="39">
        <f t="shared" si="236"/>
        <v>2999</v>
      </c>
      <c r="I3829" s="23" t="str">
        <f t="shared" si="237"/>
        <v>Pune</v>
      </c>
      <c r="J3829" s="23">
        <f>COUNTIFS(pg_transaction_cleaned!$O:$O,A3829,pg_transaction_cleaned!$F:$F,"CAPTURE")</f>
        <v>1</v>
      </c>
      <c r="K3829" s="39">
        <f>SUMIFS(pg_transaction_cleaned!$H:$H,pg_transaction_cleaned!$O:$O,A3829,pg_transaction_cleaned!$F:$F,"CAPTURE")</f>
        <v>2999</v>
      </c>
      <c r="L3829" s="23">
        <f>COUNTIFS(pg_transaction_cleaned!$O:$O,A3829,pg_transaction_cleaned!$F:$F,"REFUND")</f>
        <v>0</v>
      </c>
      <c r="M3829" s="39">
        <f>SUMIFS(pg_transaction_cleaned!$H:$H,pg_transaction_cleaned!$O:$O,A3829,pg_transaction_cleaned!$F:$F,"REFUND")</f>
        <v>0</v>
      </c>
      <c r="N3829" s="23" t="str">
        <f t="shared" si="238"/>
        <v>OK</v>
      </c>
      <c r="O3829" s="24">
        <f t="shared" si="239"/>
        <v>0</v>
      </c>
    </row>
    <row r="3830" spans="1:15" ht="15" customHeight="1" x14ac:dyDescent="0.3">
      <c r="A3830" s="23" t="s">
        <v>8146</v>
      </c>
      <c r="B3830" s="38">
        <v>46292</v>
      </c>
      <c r="C3830" s="23" t="s">
        <v>8147</v>
      </c>
      <c r="D3830" s="23" t="s">
        <v>90</v>
      </c>
      <c r="E3830" s="23" t="s">
        <v>81</v>
      </c>
      <c r="F3830" s="23" t="s">
        <v>337</v>
      </c>
      <c r="G3830" s="23" t="s">
        <v>250</v>
      </c>
      <c r="H3830" s="39">
        <f t="shared" si="236"/>
        <v>3998</v>
      </c>
      <c r="I3830" s="23" t="str">
        <f t="shared" si="237"/>
        <v>Ahmedabad</v>
      </c>
      <c r="J3830" s="23">
        <f>COUNTIFS(pg_transaction_cleaned!$O:$O,A3830,pg_transaction_cleaned!$F:$F,"CAPTURE")</f>
        <v>1</v>
      </c>
      <c r="K3830" s="39">
        <f>SUMIFS(pg_transaction_cleaned!$H:$H,pg_transaction_cleaned!$O:$O,A3830,pg_transaction_cleaned!$F:$F,"CAPTURE")</f>
        <v>3998</v>
      </c>
      <c r="L3830" s="23">
        <f>COUNTIFS(pg_transaction_cleaned!$O:$O,A3830,pg_transaction_cleaned!$F:$F,"REFUND")</f>
        <v>0</v>
      </c>
      <c r="M3830" s="39">
        <f>SUMIFS(pg_transaction_cleaned!$H:$H,pg_transaction_cleaned!$O:$O,A3830,pg_transaction_cleaned!$F:$F,"REFUND")</f>
        <v>0</v>
      </c>
      <c r="N3830" s="23" t="str">
        <f t="shared" si="238"/>
        <v>OK</v>
      </c>
      <c r="O3830" s="24">
        <f t="shared" si="239"/>
        <v>0</v>
      </c>
    </row>
    <row r="3831" spans="1:15" ht="15" customHeight="1" x14ac:dyDescent="0.3">
      <c r="A3831" s="23" t="s">
        <v>8148</v>
      </c>
      <c r="B3831" s="38">
        <v>46270</v>
      </c>
      <c r="C3831" s="23" t="s">
        <v>8149</v>
      </c>
      <c r="D3831" s="23" t="s">
        <v>95</v>
      </c>
      <c r="E3831" s="23" t="s">
        <v>79</v>
      </c>
      <c r="F3831" s="23" t="s">
        <v>265</v>
      </c>
      <c r="G3831" s="23" t="s">
        <v>301</v>
      </c>
      <c r="H3831" s="39">
        <f t="shared" si="236"/>
        <v>999</v>
      </c>
      <c r="I3831" s="23" t="str">
        <f t="shared" si="237"/>
        <v>Bengaluru</v>
      </c>
      <c r="J3831" s="23">
        <f>COUNTIFS(pg_transaction_cleaned!$O:$O,A3831,pg_transaction_cleaned!$F:$F,"CAPTURE")</f>
        <v>1</v>
      </c>
      <c r="K3831" s="39">
        <f>SUMIFS(pg_transaction_cleaned!$H:$H,pg_transaction_cleaned!$O:$O,A3831,pg_transaction_cleaned!$F:$F,"CAPTURE")</f>
        <v>999</v>
      </c>
      <c r="L3831" s="23">
        <f>COUNTIFS(pg_transaction_cleaned!$O:$O,A3831,pg_transaction_cleaned!$F:$F,"REFUND")</f>
        <v>1</v>
      </c>
      <c r="M3831" s="39">
        <f>SUMIFS(pg_transaction_cleaned!$H:$H,pg_transaction_cleaned!$O:$O,A3831,pg_transaction_cleaned!$F:$F,"REFUND")</f>
        <v>999</v>
      </c>
      <c r="N3831" s="23" t="str">
        <f t="shared" si="238"/>
        <v>OK</v>
      </c>
      <c r="O3831" s="24">
        <f t="shared" si="239"/>
        <v>0</v>
      </c>
    </row>
    <row r="3832" spans="1:15" ht="15" customHeight="1" x14ac:dyDescent="0.3">
      <c r="A3832" s="23" t="s">
        <v>8150</v>
      </c>
      <c r="B3832" s="38">
        <v>46277</v>
      </c>
      <c r="C3832" s="23" t="s">
        <v>8151</v>
      </c>
      <c r="D3832" s="23" t="s">
        <v>90</v>
      </c>
      <c r="E3832" s="23" t="s">
        <v>75</v>
      </c>
      <c r="F3832" s="23" t="s">
        <v>259</v>
      </c>
      <c r="G3832" s="23" t="s">
        <v>250</v>
      </c>
      <c r="H3832" s="39">
        <f t="shared" si="236"/>
        <v>3298</v>
      </c>
      <c r="I3832" s="23" t="str">
        <f t="shared" si="237"/>
        <v>Ahmedabad</v>
      </c>
      <c r="J3832" s="23">
        <f>COUNTIFS(pg_transaction_cleaned!$O:$O,A3832,pg_transaction_cleaned!$F:$F,"CAPTURE")</f>
        <v>1</v>
      </c>
      <c r="K3832" s="39">
        <f>SUMIFS(pg_transaction_cleaned!$H:$H,pg_transaction_cleaned!$O:$O,A3832,pg_transaction_cleaned!$F:$F,"CAPTURE")</f>
        <v>3298</v>
      </c>
      <c r="L3832" s="23">
        <f>COUNTIFS(pg_transaction_cleaned!$O:$O,A3832,pg_transaction_cleaned!$F:$F,"REFUND")</f>
        <v>0</v>
      </c>
      <c r="M3832" s="39">
        <f>SUMIFS(pg_transaction_cleaned!$H:$H,pg_transaction_cleaned!$O:$O,A3832,pg_transaction_cleaned!$F:$F,"REFUND")</f>
        <v>0</v>
      </c>
      <c r="N3832" s="23" t="str">
        <f t="shared" si="238"/>
        <v>OK</v>
      </c>
      <c r="O3832" s="24">
        <f t="shared" si="239"/>
        <v>0</v>
      </c>
    </row>
    <row r="3833" spans="1:15" ht="15" customHeight="1" x14ac:dyDescent="0.3">
      <c r="A3833" s="23" t="s">
        <v>8152</v>
      </c>
      <c r="B3833" s="38">
        <v>46272</v>
      </c>
      <c r="C3833" s="23" t="s">
        <v>8153</v>
      </c>
      <c r="D3833" s="23" t="s">
        <v>92</v>
      </c>
      <c r="E3833" s="23" t="s">
        <v>79</v>
      </c>
      <c r="F3833" s="23" t="s">
        <v>297</v>
      </c>
      <c r="G3833" s="23" t="s">
        <v>250</v>
      </c>
      <c r="H3833" s="39">
        <f t="shared" si="236"/>
        <v>4999</v>
      </c>
      <c r="I3833" s="23" t="str">
        <f t="shared" si="237"/>
        <v>Hyderabad</v>
      </c>
      <c r="J3833" s="23">
        <f>COUNTIFS(pg_transaction_cleaned!$O:$O,A3833,pg_transaction_cleaned!$F:$F,"CAPTURE")</f>
        <v>1</v>
      </c>
      <c r="K3833" s="39">
        <f>SUMIFS(pg_transaction_cleaned!$H:$H,pg_transaction_cleaned!$O:$O,A3833,pg_transaction_cleaned!$F:$F,"CAPTURE")</f>
        <v>4999</v>
      </c>
      <c r="L3833" s="23">
        <f>COUNTIFS(pg_transaction_cleaned!$O:$O,A3833,pg_transaction_cleaned!$F:$F,"REFUND")</f>
        <v>0</v>
      </c>
      <c r="M3833" s="39">
        <f>SUMIFS(pg_transaction_cleaned!$H:$H,pg_transaction_cleaned!$O:$O,A3833,pg_transaction_cleaned!$F:$F,"REFUND")</f>
        <v>0</v>
      </c>
      <c r="N3833" s="23" t="str">
        <f t="shared" si="238"/>
        <v>OK</v>
      </c>
      <c r="O3833" s="24">
        <f t="shared" si="239"/>
        <v>0</v>
      </c>
    </row>
    <row r="3834" spans="1:15" ht="15" customHeight="1" x14ac:dyDescent="0.3">
      <c r="A3834" s="23" t="s">
        <v>8154</v>
      </c>
      <c r="B3834" s="38">
        <v>46282</v>
      </c>
      <c r="C3834" s="23" t="s">
        <v>8155</v>
      </c>
      <c r="D3834" s="23" t="s">
        <v>88</v>
      </c>
      <c r="E3834" s="23" t="s">
        <v>79</v>
      </c>
      <c r="F3834" s="23" t="s">
        <v>271</v>
      </c>
      <c r="G3834" s="23" t="s">
        <v>250</v>
      </c>
      <c r="H3834" s="39">
        <f t="shared" si="236"/>
        <v>2499</v>
      </c>
      <c r="I3834" s="23" t="str">
        <f t="shared" si="237"/>
        <v>Lucknow</v>
      </c>
      <c r="J3834" s="23">
        <f>COUNTIFS(pg_transaction_cleaned!$O:$O,A3834,pg_transaction_cleaned!$F:$F,"CAPTURE")</f>
        <v>1</v>
      </c>
      <c r="K3834" s="39">
        <f>SUMIFS(pg_transaction_cleaned!$H:$H,pg_transaction_cleaned!$O:$O,A3834,pg_transaction_cleaned!$F:$F,"CAPTURE")</f>
        <v>2499</v>
      </c>
      <c r="L3834" s="23">
        <f>COUNTIFS(pg_transaction_cleaned!$O:$O,A3834,pg_transaction_cleaned!$F:$F,"REFUND")</f>
        <v>0</v>
      </c>
      <c r="M3834" s="39">
        <f>SUMIFS(pg_transaction_cleaned!$H:$H,pg_transaction_cleaned!$O:$O,A3834,pg_transaction_cleaned!$F:$F,"REFUND")</f>
        <v>0</v>
      </c>
      <c r="N3834" s="23" t="str">
        <f t="shared" si="238"/>
        <v>OK</v>
      </c>
      <c r="O3834" s="24">
        <f t="shared" si="239"/>
        <v>0</v>
      </c>
    </row>
    <row r="3835" spans="1:15" ht="15" customHeight="1" x14ac:dyDescent="0.3">
      <c r="A3835" s="23" t="s">
        <v>8156</v>
      </c>
      <c r="B3835" s="38">
        <v>46274</v>
      </c>
      <c r="C3835" s="23" t="s">
        <v>8157</v>
      </c>
      <c r="D3835" s="23" t="s">
        <v>86</v>
      </c>
      <c r="E3835" s="23" t="s">
        <v>79</v>
      </c>
      <c r="F3835" s="23" t="s">
        <v>1123</v>
      </c>
      <c r="G3835" s="23" t="s">
        <v>250</v>
      </c>
      <c r="H3835" s="39">
        <f t="shared" si="236"/>
        <v>3797</v>
      </c>
      <c r="I3835" s="23" t="str">
        <f t="shared" si="237"/>
        <v>Delhi</v>
      </c>
      <c r="J3835" s="23">
        <f>COUNTIFS(pg_transaction_cleaned!$O:$O,A3835,pg_transaction_cleaned!$F:$F,"CAPTURE")</f>
        <v>1</v>
      </c>
      <c r="K3835" s="39">
        <f>SUMIFS(pg_transaction_cleaned!$H:$H,pg_transaction_cleaned!$O:$O,A3835,pg_transaction_cleaned!$F:$F,"CAPTURE")</f>
        <v>3797</v>
      </c>
      <c r="L3835" s="23">
        <f>COUNTIFS(pg_transaction_cleaned!$O:$O,A3835,pg_transaction_cleaned!$F:$F,"REFUND")</f>
        <v>0</v>
      </c>
      <c r="M3835" s="39">
        <f>SUMIFS(pg_transaction_cleaned!$H:$H,pg_transaction_cleaned!$O:$O,A3835,pg_transaction_cleaned!$F:$F,"REFUND")</f>
        <v>0</v>
      </c>
      <c r="N3835" s="23" t="str">
        <f t="shared" si="238"/>
        <v>OK</v>
      </c>
      <c r="O3835" s="24">
        <f t="shared" si="239"/>
        <v>0</v>
      </c>
    </row>
    <row r="3836" spans="1:15" ht="15" customHeight="1" x14ac:dyDescent="0.3">
      <c r="A3836" s="23" t="s">
        <v>8158</v>
      </c>
      <c r="B3836" s="38">
        <v>46287</v>
      </c>
      <c r="C3836" s="23" t="s">
        <v>8159</v>
      </c>
      <c r="D3836" s="23" t="s">
        <v>87</v>
      </c>
      <c r="E3836" s="23" t="s">
        <v>75</v>
      </c>
      <c r="F3836" s="23" t="s">
        <v>1372</v>
      </c>
      <c r="G3836" s="23" t="s">
        <v>250</v>
      </c>
      <c r="H3836" s="39">
        <f t="shared" si="236"/>
        <v>798</v>
      </c>
      <c r="I3836" s="23" t="str">
        <f t="shared" si="237"/>
        <v>Mumbai</v>
      </c>
      <c r="J3836" s="23">
        <f>COUNTIFS(pg_transaction_cleaned!$O:$O,A3836,pg_transaction_cleaned!$F:$F,"CAPTURE")</f>
        <v>1</v>
      </c>
      <c r="K3836" s="39">
        <f>SUMIFS(pg_transaction_cleaned!$H:$H,pg_transaction_cleaned!$O:$O,A3836,pg_transaction_cleaned!$F:$F,"CAPTURE")</f>
        <v>798</v>
      </c>
      <c r="L3836" s="23">
        <f>COUNTIFS(pg_transaction_cleaned!$O:$O,A3836,pg_transaction_cleaned!$F:$F,"REFUND")</f>
        <v>0</v>
      </c>
      <c r="M3836" s="39">
        <f>SUMIFS(pg_transaction_cleaned!$H:$H,pg_transaction_cleaned!$O:$O,A3836,pg_transaction_cleaned!$F:$F,"REFUND")</f>
        <v>0</v>
      </c>
      <c r="N3836" s="23" t="str">
        <f t="shared" si="238"/>
        <v>OK</v>
      </c>
      <c r="O3836" s="24">
        <f t="shared" si="239"/>
        <v>0</v>
      </c>
    </row>
    <row r="3837" spans="1:15" ht="15" customHeight="1" x14ac:dyDescent="0.3">
      <c r="A3837" s="23" t="s">
        <v>8160</v>
      </c>
      <c r="B3837" s="38">
        <v>46291</v>
      </c>
      <c r="C3837" s="23" t="s">
        <v>8161</v>
      </c>
      <c r="D3837" s="23" t="s">
        <v>94</v>
      </c>
      <c r="E3837" s="23" t="s">
        <v>75</v>
      </c>
      <c r="F3837" s="23" t="s">
        <v>274</v>
      </c>
      <c r="G3837" s="23" t="s">
        <v>250</v>
      </c>
      <c r="H3837" s="39">
        <f t="shared" si="236"/>
        <v>349</v>
      </c>
      <c r="I3837" s="23" t="str">
        <f t="shared" si="237"/>
        <v>Chennai</v>
      </c>
      <c r="J3837" s="23">
        <f>COUNTIFS(pg_transaction_cleaned!$O:$O,A3837,pg_transaction_cleaned!$F:$F,"CAPTURE")</f>
        <v>1</v>
      </c>
      <c r="K3837" s="39">
        <f>SUMIFS(pg_transaction_cleaned!$H:$H,pg_transaction_cleaned!$O:$O,A3837,pg_transaction_cleaned!$F:$F,"CAPTURE")</f>
        <v>349</v>
      </c>
      <c r="L3837" s="23">
        <f>COUNTIFS(pg_transaction_cleaned!$O:$O,A3837,pg_transaction_cleaned!$F:$F,"REFUND")</f>
        <v>0</v>
      </c>
      <c r="M3837" s="39">
        <f>SUMIFS(pg_transaction_cleaned!$H:$H,pg_transaction_cleaned!$O:$O,A3837,pg_transaction_cleaned!$F:$F,"REFUND")</f>
        <v>0</v>
      </c>
      <c r="N3837" s="23" t="str">
        <f t="shared" si="238"/>
        <v>OK</v>
      </c>
      <c r="O3837" s="24">
        <f t="shared" si="239"/>
        <v>0</v>
      </c>
    </row>
    <row r="3838" spans="1:15" ht="15" customHeight="1" x14ac:dyDescent="0.3">
      <c r="A3838" s="23" t="s">
        <v>8162</v>
      </c>
      <c r="B3838" s="38">
        <v>46282</v>
      </c>
      <c r="C3838" s="23" t="s">
        <v>8163</v>
      </c>
      <c r="D3838" s="23" t="s">
        <v>92</v>
      </c>
      <c r="E3838" s="23" t="s">
        <v>75</v>
      </c>
      <c r="F3838" s="23" t="s">
        <v>271</v>
      </c>
      <c r="G3838" s="23" t="s">
        <v>250</v>
      </c>
      <c r="H3838" s="39">
        <f t="shared" si="236"/>
        <v>2499</v>
      </c>
      <c r="I3838" s="23" t="str">
        <f t="shared" si="237"/>
        <v>Hyderabad</v>
      </c>
      <c r="J3838" s="23">
        <f>COUNTIFS(pg_transaction_cleaned!$O:$O,A3838,pg_transaction_cleaned!$F:$F,"CAPTURE")</f>
        <v>1</v>
      </c>
      <c r="K3838" s="39">
        <f>SUMIFS(pg_transaction_cleaned!$H:$H,pg_transaction_cleaned!$O:$O,A3838,pg_transaction_cleaned!$F:$F,"CAPTURE")</f>
        <v>2499</v>
      </c>
      <c r="L3838" s="23">
        <f>COUNTIFS(pg_transaction_cleaned!$O:$O,A3838,pg_transaction_cleaned!$F:$F,"REFUND")</f>
        <v>0</v>
      </c>
      <c r="M3838" s="39">
        <f>SUMIFS(pg_transaction_cleaned!$H:$H,pg_transaction_cleaned!$O:$O,A3838,pg_transaction_cleaned!$F:$F,"REFUND")</f>
        <v>0</v>
      </c>
      <c r="N3838" s="23" t="str">
        <f t="shared" si="238"/>
        <v>OK</v>
      </c>
      <c r="O3838" s="24">
        <f t="shared" si="239"/>
        <v>0</v>
      </c>
    </row>
    <row r="3839" spans="1:15" ht="15" customHeight="1" x14ac:dyDescent="0.3">
      <c r="A3839" s="23" t="s">
        <v>8164</v>
      </c>
      <c r="B3839" s="38">
        <v>46270</v>
      </c>
      <c r="C3839" s="23" t="s">
        <v>8165</v>
      </c>
      <c r="D3839" s="23" t="s">
        <v>90</v>
      </c>
      <c r="E3839" s="23" t="s">
        <v>79</v>
      </c>
      <c r="F3839" s="23" t="s">
        <v>329</v>
      </c>
      <c r="G3839" s="23" t="s">
        <v>250</v>
      </c>
      <c r="H3839" s="39">
        <f t="shared" si="236"/>
        <v>599</v>
      </c>
      <c r="I3839" s="23" t="str">
        <f t="shared" si="237"/>
        <v>Ahmedabad</v>
      </c>
      <c r="J3839" s="23">
        <f>COUNTIFS(pg_transaction_cleaned!$O:$O,A3839,pg_transaction_cleaned!$F:$F,"CAPTURE")</f>
        <v>1</v>
      </c>
      <c r="K3839" s="39">
        <f>SUMIFS(pg_transaction_cleaned!$H:$H,pg_transaction_cleaned!$O:$O,A3839,pg_transaction_cleaned!$F:$F,"CAPTURE")</f>
        <v>599</v>
      </c>
      <c r="L3839" s="23">
        <f>COUNTIFS(pg_transaction_cleaned!$O:$O,A3839,pg_transaction_cleaned!$F:$F,"REFUND")</f>
        <v>0</v>
      </c>
      <c r="M3839" s="39">
        <f>SUMIFS(pg_transaction_cleaned!$H:$H,pg_transaction_cleaned!$O:$O,A3839,pg_transaction_cleaned!$F:$F,"REFUND")</f>
        <v>0</v>
      </c>
      <c r="N3839" s="23" t="str">
        <f t="shared" si="238"/>
        <v>OK</v>
      </c>
      <c r="O3839" s="24">
        <f t="shared" si="239"/>
        <v>0</v>
      </c>
    </row>
    <row r="3840" spans="1:15" ht="15" customHeight="1" x14ac:dyDescent="0.3">
      <c r="A3840" s="23" t="s">
        <v>8166</v>
      </c>
      <c r="B3840" s="38">
        <v>46281</v>
      </c>
      <c r="C3840" s="23" t="s">
        <v>8167</v>
      </c>
      <c r="D3840" s="23" t="s">
        <v>91</v>
      </c>
      <c r="E3840" s="23" t="s">
        <v>75</v>
      </c>
      <c r="F3840" s="23" t="s">
        <v>294</v>
      </c>
      <c r="G3840" s="23" t="s">
        <v>250</v>
      </c>
      <c r="H3840" s="39">
        <f t="shared" si="236"/>
        <v>1799</v>
      </c>
      <c r="I3840" s="23" t="str">
        <f t="shared" si="237"/>
        <v>Pune</v>
      </c>
      <c r="J3840" s="23">
        <f>COUNTIFS(pg_transaction_cleaned!$O:$O,A3840,pg_transaction_cleaned!$F:$F,"CAPTURE")</f>
        <v>1</v>
      </c>
      <c r="K3840" s="39">
        <f>SUMIFS(pg_transaction_cleaned!$H:$H,pg_transaction_cleaned!$O:$O,A3840,pg_transaction_cleaned!$F:$F,"CAPTURE")</f>
        <v>1799</v>
      </c>
      <c r="L3840" s="23">
        <f>COUNTIFS(pg_transaction_cleaned!$O:$O,A3840,pg_transaction_cleaned!$F:$F,"REFUND")</f>
        <v>0</v>
      </c>
      <c r="M3840" s="39">
        <f>SUMIFS(pg_transaction_cleaned!$H:$H,pg_transaction_cleaned!$O:$O,A3840,pg_transaction_cleaned!$F:$F,"REFUND")</f>
        <v>0</v>
      </c>
      <c r="N3840" s="23" t="str">
        <f t="shared" si="238"/>
        <v>OK</v>
      </c>
      <c r="O3840" s="24">
        <f t="shared" si="239"/>
        <v>0</v>
      </c>
    </row>
    <row r="3841" spans="1:15" ht="15" customHeight="1" x14ac:dyDescent="0.3">
      <c r="A3841" s="23" t="s">
        <v>8168</v>
      </c>
      <c r="B3841" s="38">
        <v>46287</v>
      </c>
      <c r="C3841" s="23" t="s">
        <v>8169</v>
      </c>
      <c r="D3841" s="23" t="s">
        <v>89</v>
      </c>
      <c r="E3841" s="23" t="s">
        <v>75</v>
      </c>
      <c r="F3841" s="23" t="s">
        <v>274</v>
      </c>
      <c r="G3841" s="23" t="s">
        <v>250</v>
      </c>
      <c r="H3841" s="39">
        <f t="shared" si="236"/>
        <v>349</v>
      </c>
      <c r="I3841" s="23" t="str">
        <f t="shared" si="237"/>
        <v>Jaipur</v>
      </c>
      <c r="J3841" s="23">
        <f>COUNTIFS(pg_transaction_cleaned!$O:$O,A3841,pg_transaction_cleaned!$F:$F,"CAPTURE")</f>
        <v>1</v>
      </c>
      <c r="K3841" s="39">
        <f>SUMIFS(pg_transaction_cleaned!$H:$H,pg_transaction_cleaned!$O:$O,A3841,pg_transaction_cleaned!$F:$F,"CAPTURE")</f>
        <v>349</v>
      </c>
      <c r="L3841" s="23">
        <f>COUNTIFS(pg_transaction_cleaned!$O:$O,A3841,pg_transaction_cleaned!$F:$F,"REFUND")</f>
        <v>0</v>
      </c>
      <c r="M3841" s="39">
        <f>SUMIFS(pg_transaction_cleaned!$H:$H,pg_transaction_cleaned!$O:$O,A3841,pg_transaction_cleaned!$F:$F,"REFUND")</f>
        <v>0</v>
      </c>
      <c r="N3841" s="23" t="str">
        <f t="shared" si="238"/>
        <v>OK</v>
      </c>
      <c r="O3841" s="24">
        <f t="shared" si="239"/>
        <v>0</v>
      </c>
    </row>
    <row r="3842" spans="1:15" ht="15" customHeight="1" x14ac:dyDescent="0.3">
      <c r="A3842" s="23" t="s">
        <v>8170</v>
      </c>
      <c r="B3842" s="38">
        <v>46289</v>
      </c>
      <c r="C3842" s="23" t="s">
        <v>8171</v>
      </c>
      <c r="D3842" s="23" t="s">
        <v>88</v>
      </c>
      <c r="E3842" s="23" t="s">
        <v>75</v>
      </c>
      <c r="F3842" s="23" t="s">
        <v>329</v>
      </c>
      <c r="G3842" s="23" t="s">
        <v>250</v>
      </c>
      <c r="H3842" s="39">
        <f t="shared" ref="H3842:H3905" si="240">VALUE(SUBSTITUTE(F3842,",",""))</f>
        <v>599</v>
      </c>
      <c r="I3842" s="23" t="str">
        <f t="shared" ref="I3842:I3905" si="241">IF(TRIM(D3842)="","Unknown",TRIM(D3842))</f>
        <v>Lucknow</v>
      </c>
      <c r="J3842" s="23">
        <f>COUNTIFS(pg_transaction_cleaned!$O:$O,A3842,pg_transaction_cleaned!$F:$F,"CAPTURE")</f>
        <v>1</v>
      </c>
      <c r="K3842" s="39">
        <f>SUMIFS(pg_transaction_cleaned!$H:$H,pg_transaction_cleaned!$O:$O,A3842,pg_transaction_cleaned!$F:$F,"CAPTURE")</f>
        <v>599</v>
      </c>
      <c r="L3842" s="23">
        <f>COUNTIFS(pg_transaction_cleaned!$O:$O,A3842,pg_transaction_cleaned!$F:$F,"REFUND")</f>
        <v>0</v>
      </c>
      <c r="M3842" s="39">
        <f>SUMIFS(pg_transaction_cleaned!$H:$H,pg_transaction_cleaned!$O:$O,A3842,pg_transaction_cleaned!$F:$F,"REFUND")</f>
        <v>0</v>
      </c>
      <c r="N3842" s="23" t="str">
        <f t="shared" ref="N3842:N3905" si="242">IF(AND(G3842="Paid",J3842=0),"Paid, no payment",IF(AND(OR(G3842="Failed",G3842="Cancelled"),J3842&gt;0),"Payment on failed/cancelled",IF(J3842&gt;1,"Duplicate charge",IF(AND(J3842=1,ROUND(K3842-H3842,2)&lt;&gt;0),"Amount difference",IF(AND(G3842="Refunded",L3842=0),"Refunded, no refund",IF(AND(G3842&lt;&gt;"Refunded",L3842&gt;0),"Refund, order not Refunded",IF(AND(L3842&gt;0,ROUND(M3842-H3842,2)&lt;&gt;0),"Refund amount differs","OK")))))))</f>
        <v>OK</v>
      </c>
      <c r="O3842" s="24">
        <f t="shared" ref="O3842:O3905" si="243">IF(N3842="OK",0,IF(N3842="Paid, no payment",H3842,IF(N3842="Payment on failed/cancelled",K3842,IF(OR(N3842="Duplicate charge",N3842="Amount difference"),K3842-H3842,IF(N3842="Refunded, no refund",H3842,M3842)))))</f>
        <v>0</v>
      </c>
    </row>
    <row r="3843" spans="1:15" ht="15" customHeight="1" x14ac:dyDescent="0.3">
      <c r="A3843" s="23" t="s">
        <v>8172</v>
      </c>
      <c r="B3843" s="38">
        <v>46276</v>
      </c>
      <c r="C3843" s="23" t="s">
        <v>8173</v>
      </c>
      <c r="D3843" s="23" t="s">
        <v>91</v>
      </c>
      <c r="E3843" s="23" t="s">
        <v>81</v>
      </c>
      <c r="F3843" s="23" t="s">
        <v>2998</v>
      </c>
      <c r="G3843" s="23" t="s">
        <v>250</v>
      </c>
      <c r="H3843" s="39">
        <f t="shared" si="240"/>
        <v>11097</v>
      </c>
      <c r="I3843" s="23" t="str">
        <f t="shared" si="241"/>
        <v>Pune</v>
      </c>
      <c r="J3843" s="23">
        <f>COUNTIFS(pg_transaction_cleaned!$O:$O,A3843,pg_transaction_cleaned!$F:$F,"CAPTURE")</f>
        <v>1</v>
      </c>
      <c r="K3843" s="39">
        <f>SUMIFS(pg_transaction_cleaned!$H:$H,pg_transaction_cleaned!$O:$O,A3843,pg_transaction_cleaned!$F:$F,"CAPTURE")</f>
        <v>11097</v>
      </c>
      <c r="L3843" s="23">
        <f>COUNTIFS(pg_transaction_cleaned!$O:$O,A3843,pg_transaction_cleaned!$F:$F,"REFUND")</f>
        <v>0</v>
      </c>
      <c r="M3843" s="39">
        <f>SUMIFS(pg_transaction_cleaned!$H:$H,pg_transaction_cleaned!$O:$O,A3843,pg_transaction_cleaned!$F:$F,"REFUND")</f>
        <v>0</v>
      </c>
      <c r="N3843" s="23" t="str">
        <f t="shared" si="242"/>
        <v>OK</v>
      </c>
      <c r="O3843" s="24">
        <f t="shared" si="243"/>
        <v>0</v>
      </c>
    </row>
    <row r="3844" spans="1:15" ht="15" customHeight="1" x14ac:dyDescent="0.3">
      <c r="A3844" s="23" t="s">
        <v>8174</v>
      </c>
      <c r="B3844" s="38">
        <v>46284</v>
      </c>
      <c r="C3844" s="23" t="s">
        <v>8175</v>
      </c>
      <c r="D3844" s="23" t="s">
        <v>87</v>
      </c>
      <c r="E3844" s="23" t="s">
        <v>75</v>
      </c>
      <c r="F3844" s="23" t="s">
        <v>451</v>
      </c>
      <c r="G3844" s="23" t="s">
        <v>250</v>
      </c>
      <c r="H3844" s="39">
        <f t="shared" si="240"/>
        <v>1098</v>
      </c>
      <c r="I3844" s="23" t="str">
        <f t="shared" si="241"/>
        <v>Mumbai</v>
      </c>
      <c r="J3844" s="23">
        <f>COUNTIFS(pg_transaction_cleaned!$O:$O,A3844,pg_transaction_cleaned!$F:$F,"CAPTURE")</f>
        <v>1</v>
      </c>
      <c r="K3844" s="39">
        <f>SUMIFS(pg_transaction_cleaned!$H:$H,pg_transaction_cleaned!$O:$O,A3844,pg_transaction_cleaned!$F:$F,"CAPTURE")</f>
        <v>1098</v>
      </c>
      <c r="L3844" s="23">
        <f>COUNTIFS(pg_transaction_cleaned!$O:$O,A3844,pg_transaction_cleaned!$F:$F,"REFUND")</f>
        <v>0</v>
      </c>
      <c r="M3844" s="39">
        <f>SUMIFS(pg_transaction_cleaned!$H:$H,pg_transaction_cleaned!$O:$O,A3844,pg_transaction_cleaned!$F:$F,"REFUND")</f>
        <v>0</v>
      </c>
      <c r="N3844" s="23" t="str">
        <f t="shared" si="242"/>
        <v>OK</v>
      </c>
      <c r="O3844" s="24">
        <f t="shared" si="243"/>
        <v>0</v>
      </c>
    </row>
    <row r="3845" spans="1:15" ht="15" customHeight="1" x14ac:dyDescent="0.3">
      <c r="A3845" s="23" t="s">
        <v>8176</v>
      </c>
      <c r="B3845" s="38">
        <v>46289</v>
      </c>
      <c r="C3845" s="23" t="s">
        <v>8177</v>
      </c>
      <c r="D3845" s="23" t="s">
        <v>86</v>
      </c>
      <c r="E3845" s="23" t="s">
        <v>79</v>
      </c>
      <c r="F3845" s="23" t="s">
        <v>1448</v>
      </c>
      <c r="G3845" s="23" t="s">
        <v>250</v>
      </c>
      <c r="H3845" s="39">
        <f t="shared" si="240"/>
        <v>6297</v>
      </c>
      <c r="I3845" s="23" t="str">
        <f t="shared" si="241"/>
        <v>Delhi</v>
      </c>
      <c r="J3845" s="23">
        <f>COUNTIFS(pg_transaction_cleaned!$O:$O,A3845,pg_transaction_cleaned!$F:$F,"CAPTURE")</f>
        <v>1</v>
      </c>
      <c r="K3845" s="39">
        <f>SUMIFS(pg_transaction_cleaned!$H:$H,pg_transaction_cleaned!$O:$O,A3845,pg_transaction_cleaned!$F:$F,"CAPTURE")</f>
        <v>6297</v>
      </c>
      <c r="L3845" s="23">
        <f>COUNTIFS(pg_transaction_cleaned!$O:$O,A3845,pg_transaction_cleaned!$F:$F,"REFUND")</f>
        <v>0</v>
      </c>
      <c r="M3845" s="39">
        <f>SUMIFS(pg_transaction_cleaned!$H:$H,pg_transaction_cleaned!$O:$O,A3845,pg_transaction_cleaned!$F:$F,"REFUND")</f>
        <v>0</v>
      </c>
      <c r="N3845" s="23" t="str">
        <f t="shared" si="242"/>
        <v>OK</v>
      </c>
      <c r="O3845" s="24">
        <f t="shared" si="243"/>
        <v>0</v>
      </c>
    </row>
    <row r="3846" spans="1:15" ht="15" customHeight="1" x14ac:dyDescent="0.3">
      <c r="A3846" s="23" t="s">
        <v>8178</v>
      </c>
      <c r="B3846" s="38">
        <v>46280</v>
      </c>
      <c r="C3846" s="23" t="s">
        <v>8179</v>
      </c>
      <c r="D3846" s="23" t="s">
        <v>90</v>
      </c>
      <c r="E3846" s="23" t="s">
        <v>75</v>
      </c>
      <c r="F3846" s="23" t="s">
        <v>343</v>
      </c>
      <c r="G3846" s="23" t="s">
        <v>250</v>
      </c>
      <c r="H3846" s="39">
        <f t="shared" si="240"/>
        <v>9498</v>
      </c>
      <c r="I3846" s="23" t="str">
        <f t="shared" si="241"/>
        <v>Ahmedabad</v>
      </c>
      <c r="J3846" s="23">
        <f>COUNTIFS(pg_transaction_cleaned!$O:$O,A3846,pg_transaction_cleaned!$F:$F,"CAPTURE")</f>
        <v>1</v>
      </c>
      <c r="K3846" s="39">
        <f>SUMIFS(pg_transaction_cleaned!$H:$H,pg_transaction_cleaned!$O:$O,A3846,pg_transaction_cleaned!$F:$F,"CAPTURE")</f>
        <v>9498</v>
      </c>
      <c r="L3846" s="23">
        <f>COUNTIFS(pg_transaction_cleaned!$O:$O,A3846,pg_transaction_cleaned!$F:$F,"REFUND")</f>
        <v>0</v>
      </c>
      <c r="M3846" s="39">
        <f>SUMIFS(pg_transaction_cleaned!$H:$H,pg_transaction_cleaned!$O:$O,A3846,pg_transaction_cleaned!$F:$F,"REFUND")</f>
        <v>0</v>
      </c>
      <c r="N3846" s="23" t="str">
        <f t="shared" si="242"/>
        <v>OK</v>
      </c>
      <c r="O3846" s="24">
        <f t="shared" si="243"/>
        <v>0</v>
      </c>
    </row>
    <row r="3847" spans="1:15" ht="15" customHeight="1" x14ac:dyDescent="0.3">
      <c r="A3847" s="23" t="s">
        <v>8180</v>
      </c>
      <c r="B3847" s="38">
        <v>46272</v>
      </c>
      <c r="C3847" s="23" t="s">
        <v>8181</v>
      </c>
      <c r="D3847" s="23" t="s">
        <v>91</v>
      </c>
      <c r="E3847" s="23" t="s">
        <v>79</v>
      </c>
      <c r="F3847" s="23" t="s">
        <v>1391</v>
      </c>
      <c r="G3847" s="23" t="s">
        <v>250</v>
      </c>
      <c r="H3847" s="39">
        <f t="shared" si="240"/>
        <v>2897</v>
      </c>
      <c r="I3847" s="23" t="str">
        <f t="shared" si="241"/>
        <v>Pune</v>
      </c>
      <c r="J3847" s="23">
        <f>COUNTIFS(pg_transaction_cleaned!$O:$O,A3847,pg_transaction_cleaned!$F:$F,"CAPTURE")</f>
        <v>1</v>
      </c>
      <c r="K3847" s="39">
        <f>SUMIFS(pg_transaction_cleaned!$H:$H,pg_transaction_cleaned!$O:$O,A3847,pg_transaction_cleaned!$F:$F,"CAPTURE")</f>
        <v>2897</v>
      </c>
      <c r="L3847" s="23">
        <f>COUNTIFS(pg_transaction_cleaned!$O:$O,A3847,pg_transaction_cleaned!$F:$F,"REFUND")</f>
        <v>0</v>
      </c>
      <c r="M3847" s="39">
        <f>SUMIFS(pg_transaction_cleaned!$H:$H,pg_transaction_cleaned!$O:$O,A3847,pg_transaction_cleaned!$F:$F,"REFUND")</f>
        <v>0</v>
      </c>
      <c r="N3847" s="23" t="str">
        <f t="shared" si="242"/>
        <v>OK</v>
      </c>
      <c r="O3847" s="24">
        <f t="shared" si="243"/>
        <v>0</v>
      </c>
    </row>
    <row r="3848" spans="1:15" ht="15" customHeight="1" x14ac:dyDescent="0.3">
      <c r="A3848" s="23" t="s">
        <v>8182</v>
      </c>
      <c r="B3848" s="38">
        <v>46277</v>
      </c>
      <c r="C3848" s="23" t="s">
        <v>8183</v>
      </c>
      <c r="D3848" s="23" t="s">
        <v>90</v>
      </c>
      <c r="E3848" s="23" t="s">
        <v>77</v>
      </c>
      <c r="F3848" s="23" t="s">
        <v>297</v>
      </c>
      <c r="G3848" s="23" t="s">
        <v>250</v>
      </c>
      <c r="H3848" s="39">
        <f t="shared" si="240"/>
        <v>4999</v>
      </c>
      <c r="I3848" s="23" t="str">
        <f t="shared" si="241"/>
        <v>Ahmedabad</v>
      </c>
      <c r="J3848" s="23">
        <f>COUNTIFS(pg_transaction_cleaned!$O:$O,A3848,pg_transaction_cleaned!$F:$F,"CAPTURE")</f>
        <v>1</v>
      </c>
      <c r="K3848" s="39">
        <f>SUMIFS(pg_transaction_cleaned!$H:$H,pg_transaction_cleaned!$O:$O,A3848,pg_transaction_cleaned!$F:$F,"CAPTURE")</f>
        <v>4999</v>
      </c>
      <c r="L3848" s="23">
        <f>COUNTIFS(pg_transaction_cleaned!$O:$O,A3848,pg_transaction_cleaned!$F:$F,"REFUND")</f>
        <v>0</v>
      </c>
      <c r="M3848" s="39">
        <f>SUMIFS(pg_transaction_cleaned!$H:$H,pg_transaction_cleaned!$O:$O,A3848,pg_transaction_cleaned!$F:$F,"REFUND")</f>
        <v>0</v>
      </c>
      <c r="N3848" s="23" t="str">
        <f t="shared" si="242"/>
        <v>OK</v>
      </c>
      <c r="O3848" s="24">
        <f t="shared" si="243"/>
        <v>0</v>
      </c>
    </row>
    <row r="3849" spans="1:15" ht="15" customHeight="1" x14ac:dyDescent="0.3">
      <c r="A3849" s="23" t="s">
        <v>8184</v>
      </c>
      <c r="B3849" s="38">
        <v>46283</v>
      </c>
      <c r="C3849" s="23" t="s">
        <v>8185</v>
      </c>
      <c r="D3849" s="23" t="s">
        <v>94</v>
      </c>
      <c r="E3849" s="23" t="s">
        <v>77</v>
      </c>
      <c r="F3849" s="23" t="s">
        <v>582</v>
      </c>
      <c r="G3849" s="23" t="s">
        <v>250</v>
      </c>
      <c r="H3849" s="39">
        <f t="shared" si="240"/>
        <v>1298</v>
      </c>
      <c r="I3849" s="23" t="str">
        <f t="shared" si="241"/>
        <v>Chennai</v>
      </c>
      <c r="J3849" s="23">
        <f>COUNTIFS(pg_transaction_cleaned!$O:$O,A3849,pg_transaction_cleaned!$F:$F,"CAPTURE")</f>
        <v>1</v>
      </c>
      <c r="K3849" s="39">
        <f>SUMIFS(pg_transaction_cleaned!$H:$H,pg_transaction_cleaned!$O:$O,A3849,pg_transaction_cleaned!$F:$F,"CAPTURE")</f>
        <v>1298</v>
      </c>
      <c r="L3849" s="23">
        <f>COUNTIFS(pg_transaction_cleaned!$O:$O,A3849,pg_transaction_cleaned!$F:$F,"REFUND")</f>
        <v>0</v>
      </c>
      <c r="M3849" s="39">
        <f>SUMIFS(pg_transaction_cleaned!$H:$H,pg_transaction_cleaned!$O:$O,A3849,pg_transaction_cleaned!$F:$F,"REFUND")</f>
        <v>0</v>
      </c>
      <c r="N3849" s="23" t="str">
        <f t="shared" si="242"/>
        <v>OK</v>
      </c>
      <c r="O3849" s="24">
        <f t="shared" si="243"/>
        <v>0</v>
      </c>
    </row>
    <row r="3850" spans="1:15" ht="15" customHeight="1" x14ac:dyDescent="0.3">
      <c r="A3850" s="23" t="s">
        <v>8186</v>
      </c>
      <c r="B3850" s="38">
        <v>46284</v>
      </c>
      <c r="C3850" s="23" t="s">
        <v>8187</v>
      </c>
      <c r="D3850" s="23" t="s">
        <v>93</v>
      </c>
      <c r="E3850" s="23" t="s">
        <v>79</v>
      </c>
      <c r="F3850" s="23" t="s">
        <v>268</v>
      </c>
      <c r="G3850" s="23" t="s">
        <v>250</v>
      </c>
      <c r="H3850" s="39">
        <f t="shared" si="240"/>
        <v>1299</v>
      </c>
      <c r="I3850" s="23" t="str">
        <f t="shared" si="241"/>
        <v>Kolkata</v>
      </c>
      <c r="J3850" s="23">
        <f>COUNTIFS(pg_transaction_cleaned!$O:$O,A3850,pg_transaction_cleaned!$F:$F,"CAPTURE")</f>
        <v>1</v>
      </c>
      <c r="K3850" s="39">
        <f>SUMIFS(pg_transaction_cleaned!$H:$H,pg_transaction_cleaned!$O:$O,A3850,pg_transaction_cleaned!$F:$F,"CAPTURE")</f>
        <v>1299</v>
      </c>
      <c r="L3850" s="23">
        <f>COUNTIFS(pg_transaction_cleaned!$O:$O,A3850,pg_transaction_cleaned!$F:$F,"REFUND")</f>
        <v>0</v>
      </c>
      <c r="M3850" s="39">
        <f>SUMIFS(pg_transaction_cleaned!$H:$H,pg_transaction_cleaned!$O:$O,A3850,pg_transaction_cleaned!$F:$F,"REFUND")</f>
        <v>0</v>
      </c>
      <c r="N3850" s="23" t="str">
        <f t="shared" si="242"/>
        <v>OK</v>
      </c>
      <c r="O3850" s="24">
        <f t="shared" si="243"/>
        <v>0</v>
      </c>
    </row>
    <row r="3851" spans="1:15" ht="15" customHeight="1" x14ac:dyDescent="0.3">
      <c r="A3851" s="23" t="s">
        <v>8188</v>
      </c>
      <c r="B3851" s="38">
        <v>46295</v>
      </c>
      <c r="C3851" s="23" t="s">
        <v>8189</v>
      </c>
      <c r="D3851" s="23" t="s">
        <v>90</v>
      </c>
      <c r="E3851" s="23" t="s">
        <v>79</v>
      </c>
      <c r="F3851" s="23" t="s">
        <v>329</v>
      </c>
      <c r="G3851" s="23" t="s">
        <v>250</v>
      </c>
      <c r="H3851" s="39">
        <f t="shared" si="240"/>
        <v>599</v>
      </c>
      <c r="I3851" s="23" t="str">
        <f t="shared" si="241"/>
        <v>Ahmedabad</v>
      </c>
      <c r="J3851" s="23">
        <f>COUNTIFS(pg_transaction_cleaned!$O:$O,A3851,pg_transaction_cleaned!$F:$F,"CAPTURE")</f>
        <v>1</v>
      </c>
      <c r="K3851" s="39">
        <f>SUMIFS(pg_transaction_cleaned!$H:$H,pg_transaction_cleaned!$O:$O,A3851,pg_transaction_cleaned!$F:$F,"CAPTURE")</f>
        <v>599</v>
      </c>
      <c r="L3851" s="23">
        <f>COUNTIFS(pg_transaction_cleaned!$O:$O,A3851,pg_transaction_cleaned!$F:$F,"REFUND")</f>
        <v>0</v>
      </c>
      <c r="M3851" s="39">
        <f>SUMIFS(pg_transaction_cleaned!$H:$H,pg_transaction_cleaned!$O:$O,A3851,pg_transaction_cleaned!$F:$F,"REFUND")</f>
        <v>0</v>
      </c>
      <c r="N3851" s="23" t="str">
        <f t="shared" si="242"/>
        <v>OK</v>
      </c>
      <c r="O3851" s="24">
        <f t="shared" si="243"/>
        <v>0</v>
      </c>
    </row>
    <row r="3852" spans="1:15" ht="15" customHeight="1" x14ac:dyDescent="0.3">
      <c r="A3852" s="23" t="s">
        <v>8190</v>
      </c>
      <c r="B3852" s="38">
        <v>46269</v>
      </c>
      <c r="C3852" s="23" t="s">
        <v>8191</v>
      </c>
      <c r="D3852" s="23" t="s">
        <v>86</v>
      </c>
      <c r="E3852" s="23" t="s">
        <v>75</v>
      </c>
      <c r="F3852" s="23" t="s">
        <v>288</v>
      </c>
      <c r="G3852" s="23" t="s">
        <v>318</v>
      </c>
      <c r="H3852" s="39">
        <f t="shared" si="240"/>
        <v>4298</v>
      </c>
      <c r="I3852" s="23" t="str">
        <f t="shared" si="241"/>
        <v>Delhi</v>
      </c>
      <c r="J3852" s="23">
        <f>COUNTIFS(pg_transaction_cleaned!$O:$O,A3852,pg_transaction_cleaned!$F:$F,"CAPTURE")</f>
        <v>0</v>
      </c>
      <c r="K3852" s="39">
        <f>SUMIFS(pg_transaction_cleaned!$H:$H,pg_transaction_cleaned!$O:$O,A3852,pg_transaction_cleaned!$F:$F,"CAPTURE")</f>
        <v>0</v>
      </c>
      <c r="L3852" s="23">
        <f>COUNTIFS(pg_transaction_cleaned!$O:$O,A3852,pg_transaction_cleaned!$F:$F,"REFUND")</f>
        <v>0</v>
      </c>
      <c r="M3852" s="39">
        <f>SUMIFS(pg_transaction_cleaned!$H:$H,pg_transaction_cleaned!$O:$O,A3852,pg_transaction_cleaned!$F:$F,"REFUND")</f>
        <v>0</v>
      </c>
      <c r="N3852" s="23" t="str">
        <f t="shared" si="242"/>
        <v>OK</v>
      </c>
      <c r="O3852" s="24">
        <f t="shared" si="243"/>
        <v>0</v>
      </c>
    </row>
    <row r="3853" spans="1:15" ht="15" customHeight="1" x14ac:dyDescent="0.3">
      <c r="A3853" s="23" t="s">
        <v>8192</v>
      </c>
      <c r="B3853" s="38">
        <v>46273</v>
      </c>
      <c r="C3853" s="23" t="s">
        <v>8193</v>
      </c>
      <c r="D3853" s="23" t="s">
        <v>94</v>
      </c>
      <c r="E3853" s="23" t="s">
        <v>75</v>
      </c>
      <c r="F3853" s="23" t="s">
        <v>675</v>
      </c>
      <c r="G3853" s="23" t="s">
        <v>250</v>
      </c>
      <c r="H3853" s="39">
        <f t="shared" si="240"/>
        <v>10998</v>
      </c>
      <c r="I3853" s="23" t="str">
        <f t="shared" si="241"/>
        <v>Chennai</v>
      </c>
      <c r="J3853" s="23">
        <f>COUNTIFS(pg_transaction_cleaned!$O:$O,A3853,pg_transaction_cleaned!$F:$F,"CAPTURE")</f>
        <v>1</v>
      </c>
      <c r="K3853" s="39">
        <f>SUMIFS(pg_transaction_cleaned!$H:$H,pg_transaction_cleaned!$O:$O,A3853,pg_transaction_cleaned!$F:$F,"CAPTURE")</f>
        <v>10998</v>
      </c>
      <c r="L3853" s="23">
        <f>COUNTIFS(pg_transaction_cleaned!$O:$O,A3853,pg_transaction_cleaned!$F:$F,"REFUND")</f>
        <v>0</v>
      </c>
      <c r="M3853" s="39">
        <f>SUMIFS(pg_transaction_cleaned!$H:$H,pg_transaction_cleaned!$O:$O,A3853,pg_transaction_cleaned!$F:$F,"REFUND")</f>
        <v>0</v>
      </c>
      <c r="N3853" s="23" t="str">
        <f t="shared" si="242"/>
        <v>OK</v>
      </c>
      <c r="O3853" s="24">
        <f t="shared" si="243"/>
        <v>0</v>
      </c>
    </row>
    <row r="3854" spans="1:15" ht="15" customHeight="1" x14ac:dyDescent="0.3">
      <c r="A3854" s="23" t="s">
        <v>8194</v>
      </c>
      <c r="B3854" s="38">
        <v>46292</v>
      </c>
      <c r="C3854" s="23" t="s">
        <v>8195</v>
      </c>
      <c r="D3854" s="23" t="s">
        <v>90</v>
      </c>
      <c r="E3854" s="23" t="s">
        <v>75</v>
      </c>
      <c r="F3854" s="23" t="s">
        <v>310</v>
      </c>
      <c r="G3854" s="23" t="s">
        <v>250</v>
      </c>
      <c r="H3854" s="39">
        <f t="shared" si="240"/>
        <v>7999</v>
      </c>
      <c r="I3854" s="23" t="str">
        <f t="shared" si="241"/>
        <v>Ahmedabad</v>
      </c>
      <c r="J3854" s="23">
        <f>COUNTIFS(pg_transaction_cleaned!$O:$O,A3854,pg_transaction_cleaned!$F:$F,"CAPTURE")</f>
        <v>1</v>
      </c>
      <c r="K3854" s="39">
        <f>SUMIFS(pg_transaction_cleaned!$H:$H,pg_transaction_cleaned!$O:$O,A3854,pg_transaction_cleaned!$F:$F,"CAPTURE")</f>
        <v>7999</v>
      </c>
      <c r="L3854" s="23">
        <f>COUNTIFS(pg_transaction_cleaned!$O:$O,A3854,pg_transaction_cleaned!$F:$F,"REFUND")</f>
        <v>0</v>
      </c>
      <c r="M3854" s="39">
        <f>SUMIFS(pg_transaction_cleaned!$H:$H,pg_transaction_cleaned!$O:$O,A3854,pg_transaction_cleaned!$F:$F,"REFUND")</f>
        <v>0</v>
      </c>
      <c r="N3854" s="23" t="str">
        <f t="shared" si="242"/>
        <v>OK</v>
      </c>
      <c r="O3854" s="24">
        <f t="shared" si="243"/>
        <v>0</v>
      </c>
    </row>
    <row r="3855" spans="1:15" ht="15" customHeight="1" x14ac:dyDescent="0.3">
      <c r="A3855" s="23" t="s">
        <v>8196</v>
      </c>
      <c r="B3855" s="38">
        <v>46267</v>
      </c>
      <c r="C3855" s="23" t="s">
        <v>8197</v>
      </c>
      <c r="D3855" s="23" t="s">
        <v>92</v>
      </c>
      <c r="E3855" s="23" t="s">
        <v>75</v>
      </c>
      <c r="F3855" s="23" t="s">
        <v>1601</v>
      </c>
      <c r="G3855" s="23" t="s">
        <v>250</v>
      </c>
      <c r="H3855" s="39">
        <f t="shared" si="240"/>
        <v>7597</v>
      </c>
      <c r="I3855" s="23" t="str">
        <f t="shared" si="241"/>
        <v>Hyderabad</v>
      </c>
      <c r="J3855" s="23">
        <f>COUNTIFS(pg_transaction_cleaned!$O:$O,A3855,pg_transaction_cleaned!$F:$F,"CAPTURE")</f>
        <v>1</v>
      </c>
      <c r="K3855" s="39">
        <f>SUMIFS(pg_transaction_cleaned!$H:$H,pg_transaction_cleaned!$O:$O,A3855,pg_transaction_cleaned!$F:$F,"CAPTURE")</f>
        <v>7597</v>
      </c>
      <c r="L3855" s="23">
        <f>COUNTIFS(pg_transaction_cleaned!$O:$O,A3855,pg_transaction_cleaned!$F:$F,"REFUND")</f>
        <v>0</v>
      </c>
      <c r="M3855" s="39">
        <f>SUMIFS(pg_transaction_cleaned!$H:$H,pg_transaction_cleaned!$O:$O,A3855,pg_transaction_cleaned!$F:$F,"REFUND")</f>
        <v>0</v>
      </c>
      <c r="N3855" s="23" t="str">
        <f t="shared" si="242"/>
        <v>OK</v>
      </c>
      <c r="O3855" s="24">
        <f t="shared" si="243"/>
        <v>0</v>
      </c>
    </row>
    <row r="3856" spans="1:15" ht="15" customHeight="1" x14ac:dyDescent="0.3">
      <c r="A3856" s="23" t="s">
        <v>8198</v>
      </c>
      <c r="B3856" s="38">
        <v>46268</v>
      </c>
      <c r="C3856" s="23" t="s">
        <v>8199</v>
      </c>
      <c r="D3856" s="23" t="s">
        <v>89</v>
      </c>
      <c r="E3856" s="23" t="s">
        <v>75</v>
      </c>
      <c r="F3856" s="23" t="s">
        <v>670</v>
      </c>
      <c r="G3856" s="23" t="s">
        <v>250</v>
      </c>
      <c r="H3856" s="39">
        <f t="shared" si="240"/>
        <v>7797</v>
      </c>
      <c r="I3856" s="23" t="str">
        <f t="shared" si="241"/>
        <v>Jaipur</v>
      </c>
      <c r="J3856" s="23">
        <f>COUNTIFS(pg_transaction_cleaned!$O:$O,A3856,pg_transaction_cleaned!$F:$F,"CAPTURE")</f>
        <v>1</v>
      </c>
      <c r="K3856" s="39">
        <f>SUMIFS(pg_transaction_cleaned!$H:$H,pg_transaction_cleaned!$O:$O,A3856,pg_transaction_cleaned!$F:$F,"CAPTURE")</f>
        <v>7797</v>
      </c>
      <c r="L3856" s="23">
        <f>COUNTIFS(pg_transaction_cleaned!$O:$O,A3856,pg_transaction_cleaned!$F:$F,"REFUND")</f>
        <v>0</v>
      </c>
      <c r="M3856" s="39">
        <f>SUMIFS(pg_transaction_cleaned!$H:$H,pg_transaction_cleaned!$O:$O,A3856,pg_transaction_cleaned!$F:$F,"REFUND")</f>
        <v>0</v>
      </c>
      <c r="N3856" s="23" t="str">
        <f t="shared" si="242"/>
        <v>OK</v>
      </c>
      <c r="O3856" s="24">
        <f t="shared" si="243"/>
        <v>0</v>
      </c>
    </row>
    <row r="3857" spans="1:15" ht="15" customHeight="1" x14ac:dyDescent="0.3">
      <c r="A3857" s="23" t="s">
        <v>8200</v>
      </c>
      <c r="B3857" s="38">
        <v>46268</v>
      </c>
      <c r="C3857" s="23" t="s">
        <v>8201</v>
      </c>
      <c r="D3857" s="23" t="s">
        <v>90</v>
      </c>
      <c r="E3857" s="23" t="s">
        <v>81</v>
      </c>
      <c r="F3857" s="23" t="s">
        <v>288</v>
      </c>
      <c r="G3857" s="23" t="s">
        <v>250</v>
      </c>
      <c r="H3857" s="39">
        <f t="shared" si="240"/>
        <v>4298</v>
      </c>
      <c r="I3857" s="23" t="str">
        <f t="shared" si="241"/>
        <v>Ahmedabad</v>
      </c>
      <c r="J3857" s="23">
        <f>COUNTIFS(pg_transaction_cleaned!$O:$O,A3857,pg_transaction_cleaned!$F:$F,"CAPTURE")</f>
        <v>1</v>
      </c>
      <c r="K3857" s="39">
        <f>SUMIFS(pg_transaction_cleaned!$H:$H,pg_transaction_cleaned!$O:$O,A3857,pg_transaction_cleaned!$F:$F,"CAPTURE")</f>
        <v>4298</v>
      </c>
      <c r="L3857" s="23">
        <f>COUNTIFS(pg_transaction_cleaned!$O:$O,A3857,pg_transaction_cleaned!$F:$F,"REFUND")</f>
        <v>0</v>
      </c>
      <c r="M3857" s="39">
        <f>SUMIFS(pg_transaction_cleaned!$H:$H,pg_transaction_cleaned!$O:$O,A3857,pg_transaction_cleaned!$F:$F,"REFUND")</f>
        <v>0</v>
      </c>
      <c r="N3857" s="23" t="str">
        <f t="shared" si="242"/>
        <v>OK</v>
      </c>
      <c r="O3857" s="24">
        <f t="shared" si="243"/>
        <v>0</v>
      </c>
    </row>
    <row r="3858" spans="1:15" ht="15" customHeight="1" x14ac:dyDescent="0.3">
      <c r="A3858" s="23" t="s">
        <v>8202</v>
      </c>
      <c r="B3858" s="38">
        <v>46282</v>
      </c>
      <c r="C3858" s="23" t="s">
        <v>1686</v>
      </c>
      <c r="D3858" s="23" t="s">
        <v>87</v>
      </c>
      <c r="E3858" s="23" t="s">
        <v>75</v>
      </c>
      <c r="F3858" s="23" t="s">
        <v>265</v>
      </c>
      <c r="G3858" s="23" t="s">
        <v>250</v>
      </c>
      <c r="H3858" s="39">
        <f t="shared" si="240"/>
        <v>999</v>
      </c>
      <c r="I3858" s="23" t="str">
        <f t="shared" si="241"/>
        <v>Mumbai</v>
      </c>
      <c r="J3858" s="23">
        <f>COUNTIFS(pg_transaction_cleaned!$O:$O,A3858,pg_transaction_cleaned!$F:$F,"CAPTURE")</f>
        <v>1</v>
      </c>
      <c r="K3858" s="39">
        <f>SUMIFS(pg_transaction_cleaned!$H:$H,pg_transaction_cleaned!$O:$O,A3858,pg_transaction_cleaned!$F:$F,"CAPTURE")</f>
        <v>999</v>
      </c>
      <c r="L3858" s="23">
        <f>COUNTIFS(pg_transaction_cleaned!$O:$O,A3858,pg_transaction_cleaned!$F:$F,"REFUND")</f>
        <v>0</v>
      </c>
      <c r="M3858" s="39">
        <f>SUMIFS(pg_transaction_cleaned!$H:$H,pg_transaction_cleaned!$O:$O,A3858,pg_transaction_cleaned!$F:$F,"REFUND")</f>
        <v>0</v>
      </c>
      <c r="N3858" s="23" t="str">
        <f t="shared" si="242"/>
        <v>OK</v>
      </c>
      <c r="O3858" s="24">
        <f t="shared" si="243"/>
        <v>0</v>
      </c>
    </row>
    <row r="3859" spans="1:15" ht="15" customHeight="1" x14ac:dyDescent="0.3">
      <c r="A3859" s="23" t="s">
        <v>8203</v>
      </c>
      <c r="B3859" s="38">
        <v>46283</v>
      </c>
      <c r="C3859" s="23" t="s">
        <v>8204</v>
      </c>
      <c r="D3859" s="23" t="s">
        <v>93</v>
      </c>
      <c r="E3859" s="23" t="s">
        <v>79</v>
      </c>
      <c r="F3859" s="23" t="s">
        <v>349</v>
      </c>
      <c r="G3859" s="23" t="s">
        <v>250</v>
      </c>
      <c r="H3859" s="39">
        <f t="shared" si="240"/>
        <v>1798</v>
      </c>
      <c r="I3859" s="23" t="str">
        <f t="shared" si="241"/>
        <v>Kolkata</v>
      </c>
      <c r="J3859" s="23">
        <f>COUNTIFS(pg_transaction_cleaned!$O:$O,A3859,pg_transaction_cleaned!$F:$F,"CAPTURE")</f>
        <v>1</v>
      </c>
      <c r="K3859" s="39">
        <f>SUMIFS(pg_transaction_cleaned!$H:$H,pg_transaction_cleaned!$O:$O,A3859,pg_transaction_cleaned!$F:$F,"CAPTURE")</f>
        <v>1798</v>
      </c>
      <c r="L3859" s="23">
        <f>COUNTIFS(pg_transaction_cleaned!$O:$O,A3859,pg_transaction_cleaned!$F:$F,"REFUND")</f>
        <v>0</v>
      </c>
      <c r="M3859" s="39">
        <f>SUMIFS(pg_transaction_cleaned!$H:$H,pg_transaction_cleaned!$O:$O,A3859,pg_transaction_cleaned!$F:$F,"REFUND")</f>
        <v>0</v>
      </c>
      <c r="N3859" s="23" t="str">
        <f t="shared" si="242"/>
        <v>OK</v>
      </c>
      <c r="O3859" s="24">
        <f t="shared" si="243"/>
        <v>0</v>
      </c>
    </row>
    <row r="3860" spans="1:15" ht="15" customHeight="1" x14ac:dyDescent="0.3">
      <c r="A3860" s="23" t="s">
        <v>8205</v>
      </c>
      <c r="B3860" s="38">
        <v>46271</v>
      </c>
      <c r="C3860" s="23" t="s">
        <v>8206</v>
      </c>
      <c r="D3860" s="23" t="s">
        <v>90</v>
      </c>
      <c r="E3860" s="23" t="s">
        <v>75</v>
      </c>
      <c r="F3860" s="23" t="s">
        <v>737</v>
      </c>
      <c r="G3860" s="23" t="s">
        <v>250</v>
      </c>
      <c r="H3860" s="39">
        <f t="shared" si="240"/>
        <v>9798</v>
      </c>
      <c r="I3860" s="23" t="str">
        <f t="shared" si="241"/>
        <v>Ahmedabad</v>
      </c>
      <c r="J3860" s="23">
        <f>COUNTIFS(pg_transaction_cleaned!$O:$O,A3860,pg_transaction_cleaned!$F:$F,"CAPTURE")</f>
        <v>1</v>
      </c>
      <c r="K3860" s="39">
        <f>SUMIFS(pg_transaction_cleaned!$H:$H,pg_transaction_cleaned!$O:$O,A3860,pg_transaction_cleaned!$F:$F,"CAPTURE")</f>
        <v>9798</v>
      </c>
      <c r="L3860" s="23">
        <f>COUNTIFS(pg_transaction_cleaned!$O:$O,A3860,pg_transaction_cleaned!$F:$F,"REFUND")</f>
        <v>0</v>
      </c>
      <c r="M3860" s="39">
        <f>SUMIFS(pg_transaction_cleaned!$H:$H,pg_transaction_cleaned!$O:$O,A3860,pg_transaction_cleaned!$F:$F,"REFUND")</f>
        <v>0</v>
      </c>
      <c r="N3860" s="23" t="str">
        <f t="shared" si="242"/>
        <v>OK</v>
      </c>
      <c r="O3860" s="24">
        <f t="shared" si="243"/>
        <v>0</v>
      </c>
    </row>
    <row r="3861" spans="1:15" ht="15" customHeight="1" x14ac:dyDescent="0.3">
      <c r="A3861" s="23" t="s">
        <v>8207</v>
      </c>
      <c r="B3861" s="38">
        <v>46279</v>
      </c>
      <c r="C3861" s="23" t="s">
        <v>8208</v>
      </c>
      <c r="D3861" s="23" t="s">
        <v>90</v>
      </c>
      <c r="E3861" s="23" t="s">
        <v>75</v>
      </c>
      <c r="F3861" s="23" t="s">
        <v>294</v>
      </c>
      <c r="G3861" s="23" t="s">
        <v>250</v>
      </c>
      <c r="H3861" s="39">
        <f t="shared" si="240"/>
        <v>1799</v>
      </c>
      <c r="I3861" s="23" t="str">
        <f t="shared" si="241"/>
        <v>Ahmedabad</v>
      </c>
      <c r="J3861" s="23">
        <f>COUNTIFS(pg_transaction_cleaned!$O:$O,A3861,pg_transaction_cleaned!$F:$F,"CAPTURE")</f>
        <v>1</v>
      </c>
      <c r="K3861" s="39">
        <f>SUMIFS(pg_transaction_cleaned!$H:$H,pg_transaction_cleaned!$O:$O,A3861,pg_transaction_cleaned!$F:$F,"CAPTURE")</f>
        <v>1799</v>
      </c>
      <c r="L3861" s="23">
        <f>COUNTIFS(pg_transaction_cleaned!$O:$O,A3861,pg_transaction_cleaned!$F:$F,"REFUND")</f>
        <v>0</v>
      </c>
      <c r="M3861" s="39">
        <f>SUMIFS(pg_transaction_cleaned!$H:$H,pg_transaction_cleaned!$O:$O,A3861,pg_transaction_cleaned!$F:$F,"REFUND")</f>
        <v>0</v>
      </c>
      <c r="N3861" s="23" t="str">
        <f t="shared" si="242"/>
        <v>OK</v>
      </c>
      <c r="O3861" s="24">
        <f t="shared" si="243"/>
        <v>0</v>
      </c>
    </row>
    <row r="3862" spans="1:15" ht="15" customHeight="1" x14ac:dyDescent="0.3">
      <c r="A3862" s="23" t="s">
        <v>8209</v>
      </c>
      <c r="B3862" s="38">
        <v>46278</v>
      </c>
      <c r="C3862" s="23" t="s">
        <v>8210</v>
      </c>
      <c r="D3862" s="23" t="s">
        <v>86</v>
      </c>
      <c r="E3862" s="23" t="s">
        <v>75</v>
      </c>
      <c r="F3862" s="23" t="s">
        <v>262</v>
      </c>
      <c r="G3862" s="23" t="s">
        <v>250</v>
      </c>
      <c r="H3862" s="39">
        <f t="shared" si="240"/>
        <v>499</v>
      </c>
      <c r="I3862" s="23" t="str">
        <f t="shared" si="241"/>
        <v>Delhi</v>
      </c>
      <c r="J3862" s="23">
        <f>COUNTIFS(pg_transaction_cleaned!$O:$O,A3862,pg_transaction_cleaned!$F:$F,"CAPTURE")</f>
        <v>1</v>
      </c>
      <c r="K3862" s="39">
        <f>SUMIFS(pg_transaction_cleaned!$H:$H,pg_transaction_cleaned!$O:$O,A3862,pg_transaction_cleaned!$F:$F,"CAPTURE")</f>
        <v>499</v>
      </c>
      <c r="L3862" s="23">
        <f>COUNTIFS(pg_transaction_cleaned!$O:$O,A3862,pg_transaction_cleaned!$F:$F,"REFUND")</f>
        <v>0</v>
      </c>
      <c r="M3862" s="39">
        <f>SUMIFS(pg_transaction_cleaned!$H:$H,pg_transaction_cleaned!$O:$O,A3862,pg_transaction_cleaned!$F:$F,"REFUND")</f>
        <v>0</v>
      </c>
      <c r="N3862" s="23" t="str">
        <f t="shared" si="242"/>
        <v>OK</v>
      </c>
      <c r="O3862" s="24">
        <f t="shared" si="243"/>
        <v>0</v>
      </c>
    </row>
    <row r="3863" spans="1:15" ht="15" customHeight="1" x14ac:dyDescent="0.3">
      <c r="A3863" s="23" t="s">
        <v>8211</v>
      </c>
      <c r="B3863" s="38">
        <v>46269</v>
      </c>
      <c r="C3863" s="23" t="s">
        <v>8212</v>
      </c>
      <c r="D3863" s="23" t="s">
        <v>89</v>
      </c>
      <c r="E3863" s="23" t="s">
        <v>81</v>
      </c>
      <c r="F3863" s="23" t="s">
        <v>4441</v>
      </c>
      <c r="G3863" s="23" t="s">
        <v>250</v>
      </c>
      <c r="H3863" s="39">
        <f t="shared" si="240"/>
        <v>10497</v>
      </c>
      <c r="I3863" s="23" t="str">
        <f t="shared" si="241"/>
        <v>Jaipur</v>
      </c>
      <c r="J3863" s="23">
        <f>COUNTIFS(pg_transaction_cleaned!$O:$O,A3863,pg_transaction_cleaned!$F:$F,"CAPTURE")</f>
        <v>1</v>
      </c>
      <c r="K3863" s="39">
        <f>SUMIFS(pg_transaction_cleaned!$H:$H,pg_transaction_cleaned!$O:$O,A3863,pg_transaction_cleaned!$F:$F,"CAPTURE")</f>
        <v>10497</v>
      </c>
      <c r="L3863" s="23">
        <f>COUNTIFS(pg_transaction_cleaned!$O:$O,A3863,pg_transaction_cleaned!$F:$F,"REFUND")</f>
        <v>0</v>
      </c>
      <c r="M3863" s="39">
        <f>SUMIFS(pg_transaction_cleaned!$H:$H,pg_transaction_cleaned!$O:$O,A3863,pg_transaction_cleaned!$F:$F,"REFUND")</f>
        <v>0</v>
      </c>
      <c r="N3863" s="23" t="str">
        <f t="shared" si="242"/>
        <v>OK</v>
      </c>
      <c r="O3863" s="24">
        <f t="shared" si="243"/>
        <v>0</v>
      </c>
    </row>
    <row r="3864" spans="1:15" ht="15" customHeight="1" x14ac:dyDescent="0.3">
      <c r="A3864" s="23" t="s">
        <v>8213</v>
      </c>
      <c r="B3864" s="38">
        <v>46294</v>
      </c>
      <c r="C3864" s="23" t="s">
        <v>8214</v>
      </c>
      <c r="D3864" s="23" t="s">
        <v>89</v>
      </c>
      <c r="E3864" s="23" t="s">
        <v>79</v>
      </c>
      <c r="F3864" s="23" t="s">
        <v>1619</v>
      </c>
      <c r="G3864" s="23" t="s">
        <v>365</v>
      </c>
      <c r="H3864" s="39">
        <f t="shared" si="240"/>
        <v>848</v>
      </c>
      <c r="I3864" s="23" t="str">
        <f t="shared" si="241"/>
        <v>Jaipur</v>
      </c>
      <c r="J3864" s="23">
        <f>COUNTIFS(pg_transaction_cleaned!$O:$O,A3864,pg_transaction_cleaned!$F:$F,"CAPTURE")</f>
        <v>0</v>
      </c>
      <c r="K3864" s="39">
        <f>SUMIFS(pg_transaction_cleaned!$H:$H,pg_transaction_cleaned!$O:$O,A3864,pg_transaction_cleaned!$F:$F,"CAPTURE")</f>
        <v>0</v>
      </c>
      <c r="L3864" s="23">
        <f>COUNTIFS(pg_transaction_cleaned!$O:$O,A3864,pg_transaction_cleaned!$F:$F,"REFUND")</f>
        <v>0</v>
      </c>
      <c r="M3864" s="39">
        <f>SUMIFS(pg_transaction_cleaned!$H:$H,pg_transaction_cleaned!$O:$O,A3864,pg_transaction_cleaned!$F:$F,"REFUND")</f>
        <v>0</v>
      </c>
      <c r="N3864" s="23" t="str">
        <f t="shared" si="242"/>
        <v>OK</v>
      </c>
      <c r="O3864" s="24">
        <f t="shared" si="243"/>
        <v>0</v>
      </c>
    </row>
    <row r="3865" spans="1:15" ht="15" customHeight="1" x14ac:dyDescent="0.3">
      <c r="A3865" s="23" t="s">
        <v>8215</v>
      </c>
      <c r="B3865" s="38">
        <v>46286</v>
      </c>
      <c r="C3865" s="23" t="s">
        <v>8216</v>
      </c>
      <c r="D3865" s="23" t="s">
        <v>87</v>
      </c>
      <c r="E3865" s="23" t="s">
        <v>75</v>
      </c>
      <c r="F3865" s="23" t="s">
        <v>675</v>
      </c>
      <c r="G3865" s="23" t="s">
        <v>250</v>
      </c>
      <c r="H3865" s="39">
        <f t="shared" si="240"/>
        <v>10998</v>
      </c>
      <c r="I3865" s="23" t="str">
        <f t="shared" si="241"/>
        <v>Mumbai</v>
      </c>
      <c r="J3865" s="23">
        <f>COUNTIFS(pg_transaction_cleaned!$O:$O,A3865,pg_transaction_cleaned!$F:$F,"CAPTURE")</f>
        <v>1</v>
      </c>
      <c r="K3865" s="39">
        <f>SUMIFS(pg_transaction_cleaned!$H:$H,pg_transaction_cleaned!$O:$O,A3865,pg_transaction_cleaned!$F:$F,"CAPTURE")</f>
        <v>10998</v>
      </c>
      <c r="L3865" s="23">
        <f>COUNTIFS(pg_transaction_cleaned!$O:$O,A3865,pg_transaction_cleaned!$F:$F,"REFUND")</f>
        <v>0</v>
      </c>
      <c r="M3865" s="39">
        <f>SUMIFS(pg_transaction_cleaned!$H:$H,pg_transaction_cleaned!$O:$O,A3865,pg_transaction_cleaned!$F:$F,"REFUND")</f>
        <v>0</v>
      </c>
      <c r="N3865" s="23" t="str">
        <f t="shared" si="242"/>
        <v>OK</v>
      </c>
      <c r="O3865" s="24">
        <f t="shared" si="243"/>
        <v>0</v>
      </c>
    </row>
    <row r="3866" spans="1:15" ht="15" customHeight="1" x14ac:dyDescent="0.3">
      <c r="A3866" s="23" t="s">
        <v>8217</v>
      </c>
      <c r="B3866" s="38">
        <v>46286</v>
      </c>
      <c r="C3866" s="23" t="s">
        <v>8218</v>
      </c>
      <c r="D3866" s="23" t="s">
        <v>87</v>
      </c>
      <c r="E3866" s="23" t="s">
        <v>79</v>
      </c>
      <c r="F3866" s="23" t="s">
        <v>357</v>
      </c>
      <c r="G3866" s="23" t="s">
        <v>250</v>
      </c>
      <c r="H3866" s="39">
        <f t="shared" si="240"/>
        <v>1598</v>
      </c>
      <c r="I3866" s="23" t="str">
        <f t="shared" si="241"/>
        <v>Mumbai</v>
      </c>
      <c r="J3866" s="23">
        <f>COUNTIFS(pg_transaction_cleaned!$O:$O,A3866,pg_transaction_cleaned!$F:$F,"CAPTURE")</f>
        <v>1</v>
      </c>
      <c r="K3866" s="39">
        <f>SUMIFS(pg_transaction_cleaned!$H:$H,pg_transaction_cleaned!$O:$O,A3866,pg_transaction_cleaned!$F:$F,"CAPTURE")</f>
        <v>1598</v>
      </c>
      <c r="L3866" s="23">
        <f>COUNTIFS(pg_transaction_cleaned!$O:$O,A3866,pg_transaction_cleaned!$F:$F,"REFUND")</f>
        <v>0</v>
      </c>
      <c r="M3866" s="39">
        <f>SUMIFS(pg_transaction_cleaned!$H:$H,pg_transaction_cleaned!$O:$O,A3866,pg_transaction_cleaned!$F:$F,"REFUND")</f>
        <v>0</v>
      </c>
      <c r="N3866" s="23" t="str">
        <f t="shared" si="242"/>
        <v>OK</v>
      </c>
      <c r="O3866" s="24">
        <f t="shared" si="243"/>
        <v>0</v>
      </c>
    </row>
    <row r="3867" spans="1:15" ht="15" customHeight="1" x14ac:dyDescent="0.3">
      <c r="A3867" s="23" t="s">
        <v>8219</v>
      </c>
      <c r="B3867" s="38">
        <v>46293</v>
      </c>
      <c r="C3867" s="23" t="s">
        <v>8220</v>
      </c>
      <c r="D3867" s="23" t="s">
        <v>86</v>
      </c>
      <c r="E3867" s="23" t="s">
        <v>75</v>
      </c>
      <c r="F3867" s="23" t="s">
        <v>249</v>
      </c>
      <c r="G3867" s="23" t="s">
        <v>250</v>
      </c>
      <c r="H3867" s="39">
        <f t="shared" si="240"/>
        <v>299</v>
      </c>
      <c r="I3867" s="23" t="str">
        <f t="shared" si="241"/>
        <v>Delhi</v>
      </c>
      <c r="J3867" s="23">
        <f>COUNTIFS(pg_transaction_cleaned!$O:$O,A3867,pg_transaction_cleaned!$F:$F,"CAPTURE")</f>
        <v>1</v>
      </c>
      <c r="K3867" s="39">
        <f>SUMIFS(pg_transaction_cleaned!$H:$H,pg_transaction_cleaned!$O:$O,A3867,pg_transaction_cleaned!$F:$F,"CAPTURE")</f>
        <v>299</v>
      </c>
      <c r="L3867" s="23">
        <f>COUNTIFS(pg_transaction_cleaned!$O:$O,A3867,pg_transaction_cleaned!$F:$F,"REFUND")</f>
        <v>0</v>
      </c>
      <c r="M3867" s="39">
        <f>SUMIFS(pg_transaction_cleaned!$H:$H,pg_transaction_cleaned!$O:$O,A3867,pg_transaction_cleaned!$F:$F,"REFUND")</f>
        <v>0</v>
      </c>
      <c r="N3867" s="23" t="str">
        <f t="shared" si="242"/>
        <v>OK</v>
      </c>
      <c r="O3867" s="24">
        <f t="shared" si="243"/>
        <v>0</v>
      </c>
    </row>
    <row r="3868" spans="1:15" ht="15" customHeight="1" x14ac:dyDescent="0.3">
      <c r="A3868" s="23" t="s">
        <v>8221</v>
      </c>
      <c r="B3868" s="38">
        <v>46284</v>
      </c>
      <c r="C3868" s="23" t="s">
        <v>8222</v>
      </c>
      <c r="D3868" s="23"/>
      <c r="E3868" s="23" t="s">
        <v>77</v>
      </c>
      <c r="F3868" s="23" t="s">
        <v>349</v>
      </c>
      <c r="G3868" s="23" t="s">
        <v>250</v>
      </c>
      <c r="H3868" s="39">
        <f t="shared" si="240"/>
        <v>1798</v>
      </c>
      <c r="I3868" s="23" t="str">
        <f t="shared" si="241"/>
        <v>Unknown</v>
      </c>
      <c r="J3868" s="23">
        <f>COUNTIFS(pg_transaction_cleaned!$O:$O,A3868,pg_transaction_cleaned!$F:$F,"CAPTURE")</f>
        <v>1</v>
      </c>
      <c r="K3868" s="39">
        <f>SUMIFS(pg_transaction_cleaned!$H:$H,pg_transaction_cleaned!$O:$O,A3868,pg_transaction_cleaned!$F:$F,"CAPTURE")</f>
        <v>1798</v>
      </c>
      <c r="L3868" s="23">
        <f>COUNTIFS(pg_transaction_cleaned!$O:$O,A3868,pg_transaction_cleaned!$F:$F,"REFUND")</f>
        <v>0</v>
      </c>
      <c r="M3868" s="39">
        <f>SUMIFS(pg_transaction_cleaned!$H:$H,pg_transaction_cleaned!$O:$O,A3868,pg_transaction_cleaned!$F:$F,"REFUND")</f>
        <v>0</v>
      </c>
      <c r="N3868" s="23" t="str">
        <f t="shared" si="242"/>
        <v>OK</v>
      </c>
      <c r="O3868" s="24">
        <f t="shared" si="243"/>
        <v>0</v>
      </c>
    </row>
    <row r="3869" spans="1:15" ht="15" customHeight="1" x14ac:dyDescent="0.3">
      <c r="A3869" s="23" t="s">
        <v>8223</v>
      </c>
      <c r="B3869" s="38">
        <v>46294</v>
      </c>
      <c r="C3869" s="23" t="s">
        <v>8224</v>
      </c>
      <c r="D3869" s="23" t="s">
        <v>87</v>
      </c>
      <c r="E3869" s="23" t="s">
        <v>75</v>
      </c>
      <c r="F3869" s="23" t="s">
        <v>1334</v>
      </c>
      <c r="G3869" s="23" t="s">
        <v>250</v>
      </c>
      <c r="H3869" s="39">
        <f t="shared" si="240"/>
        <v>12797</v>
      </c>
      <c r="I3869" s="23" t="str">
        <f t="shared" si="241"/>
        <v>Mumbai</v>
      </c>
      <c r="J3869" s="23">
        <f>COUNTIFS(pg_transaction_cleaned!$O:$O,A3869,pg_transaction_cleaned!$F:$F,"CAPTURE")</f>
        <v>1</v>
      </c>
      <c r="K3869" s="39">
        <f>SUMIFS(pg_transaction_cleaned!$H:$H,pg_transaction_cleaned!$O:$O,A3869,pg_transaction_cleaned!$F:$F,"CAPTURE")</f>
        <v>12797</v>
      </c>
      <c r="L3869" s="23">
        <f>COUNTIFS(pg_transaction_cleaned!$O:$O,A3869,pg_transaction_cleaned!$F:$F,"REFUND")</f>
        <v>0</v>
      </c>
      <c r="M3869" s="39">
        <f>SUMIFS(pg_transaction_cleaned!$H:$H,pg_transaction_cleaned!$O:$O,A3869,pg_transaction_cleaned!$F:$F,"REFUND")</f>
        <v>0</v>
      </c>
      <c r="N3869" s="23" t="str">
        <f t="shared" si="242"/>
        <v>OK</v>
      </c>
      <c r="O3869" s="24">
        <f t="shared" si="243"/>
        <v>0</v>
      </c>
    </row>
    <row r="3870" spans="1:15" ht="15" customHeight="1" x14ac:dyDescent="0.3">
      <c r="A3870" s="23" t="s">
        <v>8225</v>
      </c>
      <c r="B3870" s="38">
        <v>46273</v>
      </c>
      <c r="C3870" s="23" t="s">
        <v>8226</v>
      </c>
      <c r="D3870" s="23" t="s">
        <v>93</v>
      </c>
      <c r="E3870" s="23" t="s">
        <v>75</v>
      </c>
      <c r="F3870" s="23" t="s">
        <v>1614</v>
      </c>
      <c r="G3870" s="23" t="s">
        <v>250</v>
      </c>
      <c r="H3870" s="39">
        <f t="shared" si="240"/>
        <v>2597</v>
      </c>
      <c r="I3870" s="23" t="str">
        <f t="shared" si="241"/>
        <v>Kolkata</v>
      </c>
      <c r="J3870" s="23">
        <f>COUNTIFS(pg_transaction_cleaned!$O:$O,A3870,pg_transaction_cleaned!$F:$F,"CAPTURE")</f>
        <v>1</v>
      </c>
      <c r="K3870" s="39">
        <f>SUMIFS(pg_transaction_cleaned!$H:$H,pg_transaction_cleaned!$O:$O,A3870,pg_transaction_cleaned!$F:$F,"CAPTURE")</f>
        <v>2597</v>
      </c>
      <c r="L3870" s="23">
        <f>COUNTIFS(pg_transaction_cleaned!$O:$O,A3870,pg_transaction_cleaned!$F:$F,"REFUND")</f>
        <v>0</v>
      </c>
      <c r="M3870" s="39">
        <f>SUMIFS(pg_transaction_cleaned!$H:$H,pg_transaction_cleaned!$O:$O,A3870,pg_transaction_cleaned!$F:$F,"REFUND")</f>
        <v>0</v>
      </c>
      <c r="N3870" s="23" t="str">
        <f t="shared" si="242"/>
        <v>OK</v>
      </c>
      <c r="O3870" s="24">
        <f t="shared" si="243"/>
        <v>0</v>
      </c>
    </row>
    <row r="3871" spans="1:15" ht="15" customHeight="1" x14ac:dyDescent="0.3">
      <c r="A3871" s="23" t="s">
        <v>8227</v>
      </c>
      <c r="B3871" s="38">
        <v>46293</v>
      </c>
      <c r="C3871" s="23" t="s">
        <v>5137</v>
      </c>
      <c r="D3871" s="23" t="s">
        <v>94</v>
      </c>
      <c r="E3871" s="23" t="s">
        <v>77</v>
      </c>
      <c r="F3871" s="23" t="s">
        <v>612</v>
      </c>
      <c r="G3871" s="23" t="s">
        <v>250</v>
      </c>
      <c r="H3871" s="39">
        <f t="shared" si="240"/>
        <v>8498</v>
      </c>
      <c r="I3871" s="23" t="str">
        <f t="shared" si="241"/>
        <v>Chennai</v>
      </c>
      <c r="J3871" s="23">
        <f>COUNTIFS(pg_transaction_cleaned!$O:$O,A3871,pg_transaction_cleaned!$F:$F,"CAPTURE")</f>
        <v>1</v>
      </c>
      <c r="K3871" s="39">
        <f>SUMIFS(pg_transaction_cleaned!$H:$H,pg_transaction_cleaned!$O:$O,A3871,pg_transaction_cleaned!$F:$F,"CAPTURE")</f>
        <v>8498</v>
      </c>
      <c r="L3871" s="23">
        <f>COUNTIFS(pg_transaction_cleaned!$O:$O,A3871,pg_transaction_cleaned!$F:$F,"REFUND")</f>
        <v>0</v>
      </c>
      <c r="M3871" s="39">
        <f>SUMIFS(pg_transaction_cleaned!$H:$H,pg_transaction_cleaned!$O:$O,A3871,pg_transaction_cleaned!$F:$F,"REFUND")</f>
        <v>0</v>
      </c>
      <c r="N3871" s="23" t="str">
        <f t="shared" si="242"/>
        <v>OK</v>
      </c>
      <c r="O3871" s="24">
        <f t="shared" si="243"/>
        <v>0</v>
      </c>
    </row>
    <row r="3872" spans="1:15" ht="15" customHeight="1" x14ac:dyDescent="0.3">
      <c r="A3872" s="23" t="s">
        <v>8228</v>
      </c>
      <c r="B3872" s="38">
        <v>46277</v>
      </c>
      <c r="C3872" s="23" t="s">
        <v>8229</v>
      </c>
      <c r="D3872" s="23" t="s">
        <v>86</v>
      </c>
      <c r="E3872" s="23" t="s">
        <v>75</v>
      </c>
      <c r="F3872" s="23" t="s">
        <v>2304</v>
      </c>
      <c r="G3872" s="23" t="s">
        <v>250</v>
      </c>
      <c r="H3872" s="39">
        <f t="shared" si="240"/>
        <v>6797</v>
      </c>
      <c r="I3872" s="23" t="str">
        <f t="shared" si="241"/>
        <v>Delhi</v>
      </c>
      <c r="J3872" s="23">
        <f>COUNTIFS(pg_transaction_cleaned!$O:$O,A3872,pg_transaction_cleaned!$F:$F,"CAPTURE")</f>
        <v>1</v>
      </c>
      <c r="K3872" s="39">
        <f>SUMIFS(pg_transaction_cleaned!$H:$H,pg_transaction_cleaned!$O:$O,A3872,pg_transaction_cleaned!$F:$F,"CAPTURE")</f>
        <v>6797</v>
      </c>
      <c r="L3872" s="23">
        <f>COUNTIFS(pg_transaction_cleaned!$O:$O,A3872,pg_transaction_cleaned!$F:$F,"REFUND")</f>
        <v>0</v>
      </c>
      <c r="M3872" s="39">
        <f>SUMIFS(pg_transaction_cleaned!$H:$H,pg_transaction_cleaned!$O:$O,A3872,pg_transaction_cleaned!$F:$F,"REFUND")</f>
        <v>0</v>
      </c>
      <c r="N3872" s="23" t="str">
        <f t="shared" si="242"/>
        <v>OK</v>
      </c>
      <c r="O3872" s="24">
        <f t="shared" si="243"/>
        <v>0</v>
      </c>
    </row>
    <row r="3873" spans="1:15" ht="15" customHeight="1" x14ac:dyDescent="0.3">
      <c r="A3873" s="23" t="s">
        <v>8230</v>
      </c>
      <c r="B3873" s="38">
        <v>46292</v>
      </c>
      <c r="C3873" s="23" t="s">
        <v>8231</v>
      </c>
      <c r="D3873" s="23" t="s">
        <v>94</v>
      </c>
      <c r="E3873" s="23" t="s">
        <v>79</v>
      </c>
      <c r="F3873" s="23" t="s">
        <v>999</v>
      </c>
      <c r="G3873" s="23" t="s">
        <v>250</v>
      </c>
      <c r="H3873" s="39">
        <f t="shared" si="240"/>
        <v>1947</v>
      </c>
      <c r="I3873" s="23" t="str">
        <f t="shared" si="241"/>
        <v>Chennai</v>
      </c>
      <c r="J3873" s="23">
        <f>COUNTIFS(pg_transaction_cleaned!$O:$O,A3873,pg_transaction_cleaned!$F:$F,"CAPTURE")</f>
        <v>1</v>
      </c>
      <c r="K3873" s="39">
        <f>SUMIFS(pg_transaction_cleaned!$H:$H,pg_transaction_cleaned!$O:$O,A3873,pg_transaction_cleaned!$F:$F,"CAPTURE")</f>
        <v>1947</v>
      </c>
      <c r="L3873" s="23">
        <f>COUNTIFS(pg_transaction_cleaned!$O:$O,A3873,pg_transaction_cleaned!$F:$F,"REFUND")</f>
        <v>0</v>
      </c>
      <c r="M3873" s="39">
        <f>SUMIFS(pg_transaction_cleaned!$H:$H,pg_transaction_cleaned!$O:$O,A3873,pg_transaction_cleaned!$F:$F,"REFUND")</f>
        <v>0</v>
      </c>
      <c r="N3873" s="23" t="str">
        <f t="shared" si="242"/>
        <v>OK</v>
      </c>
      <c r="O3873" s="24">
        <f t="shared" si="243"/>
        <v>0</v>
      </c>
    </row>
    <row r="3874" spans="1:15" ht="15" customHeight="1" x14ac:dyDescent="0.3">
      <c r="A3874" s="23" t="s">
        <v>8232</v>
      </c>
      <c r="B3874" s="38">
        <v>46280</v>
      </c>
      <c r="C3874" s="23" t="s">
        <v>8233</v>
      </c>
      <c r="D3874" s="23" t="s">
        <v>88</v>
      </c>
      <c r="E3874" s="23" t="s">
        <v>75</v>
      </c>
      <c r="F3874" s="23" t="s">
        <v>3328</v>
      </c>
      <c r="G3874" s="23" t="s">
        <v>250</v>
      </c>
      <c r="H3874" s="39">
        <f t="shared" si="240"/>
        <v>1797</v>
      </c>
      <c r="I3874" s="23" t="str">
        <f t="shared" si="241"/>
        <v>Lucknow</v>
      </c>
      <c r="J3874" s="23">
        <f>COUNTIFS(pg_transaction_cleaned!$O:$O,A3874,pg_transaction_cleaned!$F:$F,"CAPTURE")</f>
        <v>1</v>
      </c>
      <c r="K3874" s="39">
        <f>SUMIFS(pg_transaction_cleaned!$H:$H,pg_transaction_cleaned!$O:$O,A3874,pg_transaction_cleaned!$F:$F,"CAPTURE")</f>
        <v>1797</v>
      </c>
      <c r="L3874" s="23">
        <f>COUNTIFS(pg_transaction_cleaned!$O:$O,A3874,pg_transaction_cleaned!$F:$F,"REFUND")</f>
        <v>0</v>
      </c>
      <c r="M3874" s="39">
        <f>SUMIFS(pg_transaction_cleaned!$H:$H,pg_transaction_cleaned!$O:$O,A3874,pg_transaction_cleaned!$F:$F,"REFUND")</f>
        <v>0</v>
      </c>
      <c r="N3874" s="23" t="str">
        <f t="shared" si="242"/>
        <v>OK</v>
      </c>
      <c r="O3874" s="24">
        <f t="shared" si="243"/>
        <v>0</v>
      </c>
    </row>
    <row r="3875" spans="1:15" ht="15" customHeight="1" x14ac:dyDescent="0.3">
      <c r="A3875" s="23" t="s">
        <v>8234</v>
      </c>
      <c r="B3875" s="38">
        <v>46287</v>
      </c>
      <c r="C3875" s="23" t="s">
        <v>8235</v>
      </c>
      <c r="D3875" s="23" t="s">
        <v>92</v>
      </c>
      <c r="E3875" s="23" t="s">
        <v>75</v>
      </c>
      <c r="F3875" s="23" t="s">
        <v>1421</v>
      </c>
      <c r="G3875" s="23" t="s">
        <v>250</v>
      </c>
      <c r="H3875" s="39">
        <f t="shared" si="240"/>
        <v>3197</v>
      </c>
      <c r="I3875" s="23" t="str">
        <f t="shared" si="241"/>
        <v>Hyderabad</v>
      </c>
      <c r="J3875" s="23">
        <f>COUNTIFS(pg_transaction_cleaned!$O:$O,A3875,pg_transaction_cleaned!$F:$F,"CAPTURE")</f>
        <v>1</v>
      </c>
      <c r="K3875" s="39">
        <f>SUMIFS(pg_transaction_cleaned!$H:$H,pg_transaction_cleaned!$O:$O,A3875,pg_transaction_cleaned!$F:$F,"CAPTURE")</f>
        <v>3197</v>
      </c>
      <c r="L3875" s="23">
        <f>COUNTIFS(pg_transaction_cleaned!$O:$O,A3875,pg_transaction_cleaned!$F:$F,"REFUND")</f>
        <v>0</v>
      </c>
      <c r="M3875" s="39">
        <f>SUMIFS(pg_transaction_cleaned!$H:$H,pg_transaction_cleaned!$O:$O,A3875,pg_transaction_cleaned!$F:$F,"REFUND")</f>
        <v>0</v>
      </c>
      <c r="N3875" s="23" t="str">
        <f t="shared" si="242"/>
        <v>OK</v>
      </c>
      <c r="O3875" s="24">
        <f t="shared" si="243"/>
        <v>0</v>
      </c>
    </row>
    <row r="3876" spans="1:15" ht="15" customHeight="1" x14ac:dyDescent="0.3">
      <c r="A3876" s="23" t="s">
        <v>8236</v>
      </c>
      <c r="B3876" s="38">
        <v>46277</v>
      </c>
      <c r="C3876" s="23" t="s">
        <v>8237</v>
      </c>
      <c r="D3876" s="23" t="s">
        <v>92</v>
      </c>
      <c r="E3876" s="23" t="s">
        <v>75</v>
      </c>
      <c r="F3876" s="23" t="s">
        <v>963</v>
      </c>
      <c r="G3876" s="23" t="s">
        <v>250</v>
      </c>
      <c r="H3876" s="39">
        <f t="shared" si="240"/>
        <v>2398</v>
      </c>
      <c r="I3876" s="23" t="str">
        <f t="shared" si="241"/>
        <v>Hyderabad</v>
      </c>
      <c r="J3876" s="23">
        <f>COUNTIFS(pg_transaction_cleaned!$O:$O,A3876,pg_transaction_cleaned!$F:$F,"CAPTURE")</f>
        <v>1</v>
      </c>
      <c r="K3876" s="39">
        <f>SUMIFS(pg_transaction_cleaned!$H:$H,pg_transaction_cleaned!$O:$O,A3876,pg_transaction_cleaned!$F:$F,"CAPTURE")</f>
        <v>2398</v>
      </c>
      <c r="L3876" s="23">
        <f>COUNTIFS(pg_transaction_cleaned!$O:$O,A3876,pg_transaction_cleaned!$F:$F,"REFUND")</f>
        <v>0</v>
      </c>
      <c r="M3876" s="39">
        <f>SUMIFS(pg_transaction_cleaned!$H:$H,pg_transaction_cleaned!$O:$O,A3876,pg_transaction_cleaned!$F:$F,"REFUND")</f>
        <v>0</v>
      </c>
      <c r="N3876" s="23" t="str">
        <f t="shared" si="242"/>
        <v>OK</v>
      </c>
      <c r="O3876" s="24">
        <f t="shared" si="243"/>
        <v>0</v>
      </c>
    </row>
    <row r="3877" spans="1:15" ht="15" customHeight="1" x14ac:dyDescent="0.3">
      <c r="A3877" s="23" t="s">
        <v>8238</v>
      </c>
      <c r="B3877" s="38">
        <v>46294</v>
      </c>
      <c r="C3877" s="23" t="s">
        <v>8239</v>
      </c>
      <c r="D3877" s="23"/>
      <c r="E3877" s="23" t="s">
        <v>75</v>
      </c>
      <c r="F3877" s="23" t="s">
        <v>259</v>
      </c>
      <c r="G3877" s="23" t="s">
        <v>365</v>
      </c>
      <c r="H3877" s="39">
        <f t="shared" si="240"/>
        <v>3298</v>
      </c>
      <c r="I3877" s="23" t="str">
        <f t="shared" si="241"/>
        <v>Unknown</v>
      </c>
      <c r="J3877" s="23">
        <f>COUNTIFS(pg_transaction_cleaned!$O:$O,A3877,pg_transaction_cleaned!$F:$F,"CAPTURE")</f>
        <v>0</v>
      </c>
      <c r="K3877" s="39">
        <f>SUMIFS(pg_transaction_cleaned!$H:$H,pg_transaction_cleaned!$O:$O,A3877,pg_transaction_cleaned!$F:$F,"CAPTURE")</f>
        <v>0</v>
      </c>
      <c r="L3877" s="23">
        <f>COUNTIFS(pg_transaction_cleaned!$O:$O,A3877,pg_transaction_cleaned!$F:$F,"REFUND")</f>
        <v>0</v>
      </c>
      <c r="M3877" s="39">
        <f>SUMIFS(pg_transaction_cleaned!$H:$H,pg_transaction_cleaned!$O:$O,A3877,pg_transaction_cleaned!$F:$F,"REFUND")</f>
        <v>0</v>
      </c>
      <c r="N3877" s="23" t="str">
        <f t="shared" si="242"/>
        <v>OK</v>
      </c>
      <c r="O3877" s="24">
        <f t="shared" si="243"/>
        <v>0</v>
      </c>
    </row>
    <row r="3878" spans="1:15" ht="15" customHeight="1" x14ac:dyDescent="0.3">
      <c r="A3878" s="23" t="s">
        <v>8240</v>
      </c>
      <c r="B3878" s="38">
        <v>46286</v>
      </c>
      <c r="C3878" s="23" t="s">
        <v>8241</v>
      </c>
      <c r="D3878" s="23" t="s">
        <v>91</v>
      </c>
      <c r="E3878" s="23" t="s">
        <v>75</v>
      </c>
      <c r="F3878" s="23" t="s">
        <v>310</v>
      </c>
      <c r="G3878" s="23" t="s">
        <v>250</v>
      </c>
      <c r="H3878" s="39">
        <f t="shared" si="240"/>
        <v>7999</v>
      </c>
      <c r="I3878" s="23" t="str">
        <f t="shared" si="241"/>
        <v>Pune</v>
      </c>
      <c r="J3878" s="23">
        <f>COUNTIFS(pg_transaction_cleaned!$O:$O,A3878,pg_transaction_cleaned!$F:$F,"CAPTURE")</f>
        <v>1</v>
      </c>
      <c r="K3878" s="39">
        <f>SUMIFS(pg_transaction_cleaned!$H:$H,pg_transaction_cleaned!$O:$O,A3878,pg_transaction_cleaned!$F:$F,"CAPTURE")</f>
        <v>7999</v>
      </c>
      <c r="L3878" s="23">
        <f>COUNTIFS(pg_transaction_cleaned!$O:$O,A3878,pg_transaction_cleaned!$F:$F,"REFUND")</f>
        <v>0</v>
      </c>
      <c r="M3878" s="39">
        <f>SUMIFS(pg_transaction_cleaned!$H:$H,pg_transaction_cleaned!$O:$O,A3878,pg_transaction_cleaned!$F:$F,"REFUND")</f>
        <v>0</v>
      </c>
      <c r="N3878" s="23" t="str">
        <f t="shared" si="242"/>
        <v>OK</v>
      </c>
      <c r="O3878" s="24">
        <f t="shared" si="243"/>
        <v>0</v>
      </c>
    </row>
    <row r="3879" spans="1:15" ht="15" customHeight="1" x14ac:dyDescent="0.3">
      <c r="A3879" s="23" t="s">
        <v>8242</v>
      </c>
      <c r="B3879" s="38">
        <v>46276</v>
      </c>
      <c r="C3879" s="23" t="s">
        <v>8243</v>
      </c>
      <c r="D3879" s="23" t="s">
        <v>87</v>
      </c>
      <c r="E3879" s="23" t="s">
        <v>75</v>
      </c>
      <c r="F3879" s="23" t="s">
        <v>8244</v>
      </c>
      <c r="G3879" s="23" t="s">
        <v>318</v>
      </c>
      <c r="H3879" s="39">
        <f t="shared" si="240"/>
        <v>14297</v>
      </c>
      <c r="I3879" s="23" t="str">
        <f t="shared" si="241"/>
        <v>Mumbai</v>
      </c>
      <c r="J3879" s="23">
        <f>COUNTIFS(pg_transaction_cleaned!$O:$O,A3879,pg_transaction_cleaned!$F:$F,"CAPTURE")</f>
        <v>0</v>
      </c>
      <c r="K3879" s="39">
        <f>SUMIFS(pg_transaction_cleaned!$H:$H,pg_transaction_cleaned!$O:$O,A3879,pg_transaction_cleaned!$F:$F,"CAPTURE")</f>
        <v>0</v>
      </c>
      <c r="L3879" s="23">
        <f>COUNTIFS(pg_transaction_cleaned!$O:$O,A3879,pg_transaction_cleaned!$F:$F,"REFUND")</f>
        <v>0</v>
      </c>
      <c r="M3879" s="39">
        <f>SUMIFS(pg_transaction_cleaned!$H:$H,pg_transaction_cleaned!$O:$O,A3879,pg_transaction_cleaned!$F:$F,"REFUND")</f>
        <v>0</v>
      </c>
      <c r="N3879" s="23" t="str">
        <f t="shared" si="242"/>
        <v>OK</v>
      </c>
      <c r="O3879" s="24">
        <f t="shared" si="243"/>
        <v>0</v>
      </c>
    </row>
    <row r="3880" spans="1:15" ht="15" customHeight="1" x14ac:dyDescent="0.3">
      <c r="A3880" s="23" t="s">
        <v>8245</v>
      </c>
      <c r="B3880" s="38">
        <v>46284</v>
      </c>
      <c r="C3880" s="23" t="s">
        <v>8246</v>
      </c>
      <c r="D3880" s="23" t="s">
        <v>95</v>
      </c>
      <c r="E3880" s="23" t="s">
        <v>75</v>
      </c>
      <c r="F3880" s="23" t="s">
        <v>1445</v>
      </c>
      <c r="G3880" s="23" t="s">
        <v>250</v>
      </c>
      <c r="H3880" s="39">
        <f t="shared" si="240"/>
        <v>10997</v>
      </c>
      <c r="I3880" s="23" t="str">
        <f t="shared" si="241"/>
        <v>Bengaluru</v>
      </c>
      <c r="J3880" s="23">
        <f>COUNTIFS(pg_transaction_cleaned!$O:$O,A3880,pg_transaction_cleaned!$F:$F,"CAPTURE")</f>
        <v>1</v>
      </c>
      <c r="K3880" s="39">
        <f>SUMIFS(pg_transaction_cleaned!$H:$H,pg_transaction_cleaned!$O:$O,A3880,pg_transaction_cleaned!$F:$F,"CAPTURE")</f>
        <v>10997</v>
      </c>
      <c r="L3880" s="23">
        <f>COUNTIFS(pg_transaction_cleaned!$O:$O,A3880,pg_transaction_cleaned!$F:$F,"REFUND")</f>
        <v>0</v>
      </c>
      <c r="M3880" s="39">
        <f>SUMIFS(pg_transaction_cleaned!$H:$H,pg_transaction_cleaned!$O:$O,A3880,pg_transaction_cleaned!$F:$F,"REFUND")</f>
        <v>0</v>
      </c>
      <c r="N3880" s="23" t="str">
        <f t="shared" si="242"/>
        <v>OK</v>
      </c>
      <c r="O3880" s="24">
        <f t="shared" si="243"/>
        <v>0</v>
      </c>
    </row>
    <row r="3881" spans="1:15" ht="15" customHeight="1" x14ac:dyDescent="0.3">
      <c r="A3881" s="23" t="s">
        <v>8247</v>
      </c>
      <c r="B3881" s="38">
        <v>46286</v>
      </c>
      <c r="C3881" s="23" t="s">
        <v>8248</v>
      </c>
      <c r="D3881" s="23" t="s">
        <v>89</v>
      </c>
      <c r="E3881" s="23" t="s">
        <v>75</v>
      </c>
      <c r="F3881" s="23" t="s">
        <v>297</v>
      </c>
      <c r="G3881" s="23" t="s">
        <v>250</v>
      </c>
      <c r="H3881" s="39">
        <f t="shared" si="240"/>
        <v>4999</v>
      </c>
      <c r="I3881" s="23" t="str">
        <f t="shared" si="241"/>
        <v>Jaipur</v>
      </c>
      <c r="J3881" s="23">
        <f>COUNTIFS(pg_transaction_cleaned!$O:$O,A3881,pg_transaction_cleaned!$F:$F,"CAPTURE")</f>
        <v>1</v>
      </c>
      <c r="K3881" s="39">
        <f>SUMIFS(pg_transaction_cleaned!$H:$H,pg_transaction_cleaned!$O:$O,A3881,pg_transaction_cleaned!$F:$F,"CAPTURE")</f>
        <v>4999</v>
      </c>
      <c r="L3881" s="23">
        <f>COUNTIFS(pg_transaction_cleaned!$O:$O,A3881,pg_transaction_cleaned!$F:$F,"REFUND")</f>
        <v>0</v>
      </c>
      <c r="M3881" s="39">
        <f>SUMIFS(pg_transaction_cleaned!$H:$H,pg_transaction_cleaned!$O:$O,A3881,pg_transaction_cleaned!$F:$F,"REFUND")</f>
        <v>0</v>
      </c>
      <c r="N3881" s="23" t="str">
        <f t="shared" si="242"/>
        <v>OK</v>
      </c>
      <c r="O3881" s="24">
        <f t="shared" si="243"/>
        <v>0</v>
      </c>
    </row>
    <row r="3882" spans="1:15" ht="15" customHeight="1" x14ac:dyDescent="0.3">
      <c r="A3882" s="23" t="s">
        <v>8249</v>
      </c>
      <c r="B3882" s="38">
        <v>46275</v>
      </c>
      <c r="C3882" s="23" t="s">
        <v>8250</v>
      </c>
      <c r="D3882" s="23"/>
      <c r="E3882" s="23" t="s">
        <v>79</v>
      </c>
      <c r="F3882" s="23" t="s">
        <v>268</v>
      </c>
      <c r="G3882" s="23" t="s">
        <v>301</v>
      </c>
      <c r="H3882" s="39">
        <f t="shared" si="240"/>
        <v>1299</v>
      </c>
      <c r="I3882" s="23" t="str">
        <f t="shared" si="241"/>
        <v>Unknown</v>
      </c>
      <c r="J3882" s="23">
        <f>COUNTIFS(pg_transaction_cleaned!$O:$O,A3882,pg_transaction_cleaned!$F:$F,"CAPTURE")</f>
        <v>1</v>
      </c>
      <c r="K3882" s="39">
        <f>SUMIFS(pg_transaction_cleaned!$H:$H,pg_transaction_cleaned!$O:$O,A3882,pg_transaction_cleaned!$F:$F,"CAPTURE")</f>
        <v>1299</v>
      </c>
      <c r="L3882" s="23">
        <f>COUNTIFS(pg_transaction_cleaned!$O:$O,A3882,pg_transaction_cleaned!$F:$F,"REFUND")</f>
        <v>1</v>
      </c>
      <c r="M3882" s="39">
        <f>SUMIFS(pg_transaction_cleaned!$H:$H,pg_transaction_cleaned!$O:$O,A3882,pg_transaction_cleaned!$F:$F,"REFUND")</f>
        <v>1299</v>
      </c>
      <c r="N3882" s="23" t="str">
        <f t="shared" si="242"/>
        <v>OK</v>
      </c>
      <c r="O3882" s="24">
        <f t="shared" si="243"/>
        <v>0</v>
      </c>
    </row>
    <row r="3883" spans="1:15" ht="15" customHeight="1" x14ac:dyDescent="0.3">
      <c r="A3883" s="23" t="s">
        <v>8251</v>
      </c>
      <c r="B3883" s="38">
        <v>46295</v>
      </c>
      <c r="C3883" s="23" t="s">
        <v>8252</v>
      </c>
      <c r="D3883" s="23" t="s">
        <v>92</v>
      </c>
      <c r="E3883" s="23" t="s">
        <v>79</v>
      </c>
      <c r="F3883" s="23" t="s">
        <v>517</v>
      </c>
      <c r="G3883" s="23" t="s">
        <v>250</v>
      </c>
      <c r="H3883" s="39">
        <f t="shared" si="240"/>
        <v>7999</v>
      </c>
      <c r="I3883" s="23" t="str">
        <f t="shared" si="241"/>
        <v>Hyderabad</v>
      </c>
      <c r="J3883" s="23">
        <f>COUNTIFS(pg_transaction_cleaned!$O:$O,A3883,pg_transaction_cleaned!$F:$F,"CAPTURE")</f>
        <v>1</v>
      </c>
      <c r="K3883" s="39">
        <f>SUMIFS(pg_transaction_cleaned!$H:$H,pg_transaction_cleaned!$O:$O,A3883,pg_transaction_cleaned!$F:$F,"CAPTURE")</f>
        <v>7999</v>
      </c>
      <c r="L3883" s="23">
        <f>COUNTIFS(pg_transaction_cleaned!$O:$O,A3883,pg_transaction_cleaned!$F:$F,"REFUND")</f>
        <v>0</v>
      </c>
      <c r="M3883" s="39">
        <f>SUMIFS(pg_transaction_cleaned!$H:$H,pg_transaction_cleaned!$O:$O,A3883,pg_transaction_cleaned!$F:$F,"REFUND")</f>
        <v>0</v>
      </c>
      <c r="N3883" s="23" t="str">
        <f t="shared" si="242"/>
        <v>OK</v>
      </c>
      <c r="O3883" s="24">
        <f t="shared" si="243"/>
        <v>0</v>
      </c>
    </row>
    <row r="3884" spans="1:15" ht="15" customHeight="1" x14ac:dyDescent="0.3">
      <c r="A3884" s="23" t="s">
        <v>8253</v>
      </c>
      <c r="B3884" s="38">
        <v>46292</v>
      </c>
      <c r="C3884" s="23" t="s">
        <v>8254</v>
      </c>
      <c r="D3884" s="23" t="s">
        <v>94</v>
      </c>
      <c r="E3884" s="23" t="s">
        <v>77</v>
      </c>
      <c r="F3884" s="23" t="s">
        <v>274</v>
      </c>
      <c r="G3884" s="23" t="s">
        <v>250</v>
      </c>
      <c r="H3884" s="39">
        <f t="shared" si="240"/>
        <v>349</v>
      </c>
      <c r="I3884" s="23" t="str">
        <f t="shared" si="241"/>
        <v>Chennai</v>
      </c>
      <c r="J3884" s="23">
        <f>COUNTIFS(pg_transaction_cleaned!$O:$O,A3884,pg_transaction_cleaned!$F:$F,"CAPTURE")</f>
        <v>1</v>
      </c>
      <c r="K3884" s="39">
        <f>SUMIFS(pg_transaction_cleaned!$H:$H,pg_transaction_cleaned!$O:$O,A3884,pg_transaction_cleaned!$F:$F,"CAPTURE")</f>
        <v>349</v>
      </c>
      <c r="L3884" s="23">
        <f>COUNTIFS(pg_transaction_cleaned!$O:$O,A3884,pg_transaction_cleaned!$F:$F,"REFUND")</f>
        <v>0</v>
      </c>
      <c r="M3884" s="39">
        <f>SUMIFS(pg_transaction_cleaned!$H:$H,pg_transaction_cleaned!$O:$O,A3884,pg_transaction_cleaned!$F:$F,"REFUND")</f>
        <v>0</v>
      </c>
      <c r="N3884" s="23" t="str">
        <f t="shared" si="242"/>
        <v>OK</v>
      </c>
      <c r="O3884" s="24">
        <f t="shared" si="243"/>
        <v>0</v>
      </c>
    </row>
    <row r="3885" spans="1:15" ht="15" customHeight="1" x14ac:dyDescent="0.3">
      <c r="A3885" s="23" t="s">
        <v>8255</v>
      </c>
      <c r="B3885" s="38">
        <v>46281</v>
      </c>
      <c r="C3885" s="23" t="s">
        <v>8256</v>
      </c>
      <c r="D3885" s="23" t="s">
        <v>94</v>
      </c>
      <c r="E3885" s="23" t="s">
        <v>79</v>
      </c>
      <c r="F3885" s="23" t="s">
        <v>297</v>
      </c>
      <c r="G3885" s="23" t="s">
        <v>250</v>
      </c>
      <c r="H3885" s="39">
        <f t="shared" si="240"/>
        <v>4999</v>
      </c>
      <c r="I3885" s="23" t="str">
        <f t="shared" si="241"/>
        <v>Chennai</v>
      </c>
      <c r="J3885" s="23">
        <f>COUNTIFS(pg_transaction_cleaned!$O:$O,A3885,pg_transaction_cleaned!$F:$F,"CAPTURE")</f>
        <v>1</v>
      </c>
      <c r="K3885" s="39">
        <f>SUMIFS(pg_transaction_cleaned!$H:$H,pg_transaction_cleaned!$O:$O,A3885,pg_transaction_cleaned!$F:$F,"CAPTURE")</f>
        <v>4999</v>
      </c>
      <c r="L3885" s="23">
        <f>COUNTIFS(pg_transaction_cleaned!$O:$O,A3885,pg_transaction_cleaned!$F:$F,"REFUND")</f>
        <v>0</v>
      </c>
      <c r="M3885" s="39">
        <f>SUMIFS(pg_transaction_cleaned!$H:$H,pg_transaction_cleaned!$O:$O,A3885,pg_transaction_cleaned!$F:$F,"REFUND")</f>
        <v>0</v>
      </c>
      <c r="N3885" s="23" t="str">
        <f t="shared" si="242"/>
        <v>OK</v>
      </c>
      <c r="O3885" s="24">
        <f t="shared" si="243"/>
        <v>0</v>
      </c>
    </row>
    <row r="3886" spans="1:15" ht="15" customHeight="1" x14ac:dyDescent="0.3">
      <c r="A3886" s="23" t="s">
        <v>8257</v>
      </c>
      <c r="B3886" s="38">
        <v>46284</v>
      </c>
      <c r="C3886" s="23" t="s">
        <v>8258</v>
      </c>
      <c r="D3886" s="23" t="s">
        <v>86</v>
      </c>
      <c r="E3886" s="23" t="s">
        <v>75</v>
      </c>
      <c r="F3886" s="23" t="s">
        <v>747</v>
      </c>
      <c r="G3886" s="23" t="s">
        <v>250</v>
      </c>
      <c r="H3886" s="39">
        <f t="shared" si="240"/>
        <v>2498</v>
      </c>
      <c r="I3886" s="23" t="str">
        <f t="shared" si="241"/>
        <v>Delhi</v>
      </c>
      <c r="J3886" s="23">
        <f>COUNTIFS(pg_transaction_cleaned!$O:$O,A3886,pg_transaction_cleaned!$F:$F,"CAPTURE")</f>
        <v>1</v>
      </c>
      <c r="K3886" s="39">
        <f>SUMIFS(pg_transaction_cleaned!$H:$H,pg_transaction_cleaned!$O:$O,A3886,pg_transaction_cleaned!$F:$F,"CAPTURE")</f>
        <v>2498</v>
      </c>
      <c r="L3886" s="23">
        <f>COUNTIFS(pg_transaction_cleaned!$O:$O,A3886,pg_transaction_cleaned!$F:$F,"REFUND")</f>
        <v>0</v>
      </c>
      <c r="M3886" s="39">
        <f>SUMIFS(pg_transaction_cleaned!$H:$H,pg_transaction_cleaned!$O:$O,A3886,pg_transaction_cleaned!$F:$F,"REFUND")</f>
        <v>0</v>
      </c>
      <c r="N3886" s="23" t="str">
        <f t="shared" si="242"/>
        <v>OK</v>
      </c>
      <c r="O3886" s="24">
        <f t="shared" si="243"/>
        <v>0</v>
      </c>
    </row>
    <row r="3887" spans="1:15" ht="15" customHeight="1" x14ac:dyDescent="0.3">
      <c r="A3887" s="23" t="s">
        <v>8259</v>
      </c>
      <c r="B3887" s="38">
        <v>46287</v>
      </c>
      <c r="C3887" s="23" t="s">
        <v>8260</v>
      </c>
      <c r="D3887" s="23" t="s">
        <v>87</v>
      </c>
      <c r="E3887" s="23" t="s">
        <v>77</v>
      </c>
      <c r="F3887" s="23" t="s">
        <v>632</v>
      </c>
      <c r="G3887" s="23" t="s">
        <v>250</v>
      </c>
      <c r="H3887" s="39">
        <f t="shared" si="240"/>
        <v>948</v>
      </c>
      <c r="I3887" s="23" t="str">
        <f t="shared" si="241"/>
        <v>Mumbai</v>
      </c>
      <c r="J3887" s="23">
        <f>COUNTIFS(pg_transaction_cleaned!$O:$O,A3887,pg_transaction_cleaned!$F:$F,"CAPTURE")</f>
        <v>1</v>
      </c>
      <c r="K3887" s="39">
        <f>SUMIFS(pg_transaction_cleaned!$H:$H,pg_transaction_cleaned!$O:$O,A3887,pg_transaction_cleaned!$F:$F,"CAPTURE")</f>
        <v>948</v>
      </c>
      <c r="L3887" s="23">
        <f>COUNTIFS(pg_transaction_cleaned!$O:$O,A3887,pg_transaction_cleaned!$F:$F,"REFUND")</f>
        <v>0</v>
      </c>
      <c r="M3887" s="39">
        <f>SUMIFS(pg_transaction_cleaned!$H:$H,pg_transaction_cleaned!$O:$O,A3887,pg_transaction_cleaned!$F:$F,"REFUND")</f>
        <v>0</v>
      </c>
      <c r="N3887" s="23" t="str">
        <f t="shared" si="242"/>
        <v>OK</v>
      </c>
      <c r="O3887" s="24">
        <f t="shared" si="243"/>
        <v>0</v>
      </c>
    </row>
    <row r="3888" spans="1:15" ht="15" customHeight="1" x14ac:dyDescent="0.3">
      <c r="A3888" s="23" t="s">
        <v>8261</v>
      </c>
      <c r="B3888" s="38">
        <v>46270</v>
      </c>
      <c r="C3888" s="23" t="s">
        <v>8262</v>
      </c>
      <c r="D3888" s="23"/>
      <c r="E3888" s="23" t="s">
        <v>75</v>
      </c>
      <c r="F3888" s="23" t="s">
        <v>2337</v>
      </c>
      <c r="G3888" s="23" t="s">
        <v>250</v>
      </c>
      <c r="H3888" s="39">
        <f t="shared" si="240"/>
        <v>8348</v>
      </c>
      <c r="I3888" s="23" t="str">
        <f t="shared" si="241"/>
        <v>Unknown</v>
      </c>
      <c r="J3888" s="23">
        <f>COUNTIFS(pg_transaction_cleaned!$O:$O,A3888,pg_transaction_cleaned!$F:$F,"CAPTURE")</f>
        <v>1</v>
      </c>
      <c r="K3888" s="39">
        <f>SUMIFS(pg_transaction_cleaned!$H:$H,pg_transaction_cleaned!$O:$O,A3888,pg_transaction_cleaned!$F:$F,"CAPTURE")</f>
        <v>8348</v>
      </c>
      <c r="L3888" s="23">
        <f>COUNTIFS(pg_transaction_cleaned!$O:$O,A3888,pg_transaction_cleaned!$F:$F,"REFUND")</f>
        <v>0</v>
      </c>
      <c r="M3888" s="39">
        <f>SUMIFS(pg_transaction_cleaned!$H:$H,pg_transaction_cleaned!$O:$O,A3888,pg_transaction_cleaned!$F:$F,"REFUND")</f>
        <v>0</v>
      </c>
      <c r="N3888" s="23" t="str">
        <f t="shared" si="242"/>
        <v>OK</v>
      </c>
      <c r="O3888" s="24">
        <f t="shared" si="243"/>
        <v>0</v>
      </c>
    </row>
    <row r="3889" spans="1:15" ht="15" customHeight="1" x14ac:dyDescent="0.3">
      <c r="A3889" s="23" t="s">
        <v>8263</v>
      </c>
      <c r="B3889" s="38">
        <v>46286</v>
      </c>
      <c r="C3889" s="23" t="s">
        <v>8264</v>
      </c>
      <c r="D3889" s="23" t="s">
        <v>93</v>
      </c>
      <c r="E3889" s="23" t="s">
        <v>75</v>
      </c>
      <c r="F3889" s="23" t="s">
        <v>310</v>
      </c>
      <c r="G3889" s="23" t="s">
        <v>250</v>
      </c>
      <c r="H3889" s="39">
        <f t="shared" si="240"/>
        <v>7999</v>
      </c>
      <c r="I3889" s="23" t="str">
        <f t="shared" si="241"/>
        <v>Kolkata</v>
      </c>
      <c r="J3889" s="23">
        <f>COUNTIFS(pg_transaction_cleaned!$O:$O,A3889,pg_transaction_cleaned!$F:$F,"CAPTURE")</f>
        <v>1</v>
      </c>
      <c r="K3889" s="39">
        <f>SUMIFS(pg_transaction_cleaned!$H:$H,pg_transaction_cleaned!$O:$O,A3889,pg_transaction_cleaned!$F:$F,"CAPTURE")</f>
        <v>7999</v>
      </c>
      <c r="L3889" s="23">
        <f>COUNTIFS(pg_transaction_cleaned!$O:$O,A3889,pg_transaction_cleaned!$F:$F,"REFUND")</f>
        <v>0</v>
      </c>
      <c r="M3889" s="39">
        <f>SUMIFS(pg_transaction_cleaned!$H:$H,pg_transaction_cleaned!$O:$O,A3889,pg_transaction_cleaned!$F:$F,"REFUND")</f>
        <v>0</v>
      </c>
      <c r="N3889" s="23" t="str">
        <f t="shared" si="242"/>
        <v>OK</v>
      </c>
      <c r="O3889" s="24">
        <f t="shared" si="243"/>
        <v>0</v>
      </c>
    </row>
    <row r="3890" spans="1:15" ht="15" customHeight="1" x14ac:dyDescent="0.3">
      <c r="A3890" s="23" t="s">
        <v>8265</v>
      </c>
      <c r="B3890" s="38">
        <v>46293</v>
      </c>
      <c r="C3890" s="23" t="s">
        <v>8266</v>
      </c>
      <c r="D3890" s="23" t="s">
        <v>95</v>
      </c>
      <c r="E3890" s="23" t="s">
        <v>79</v>
      </c>
      <c r="F3890" s="23" t="s">
        <v>2859</v>
      </c>
      <c r="G3890" s="23" t="s">
        <v>250</v>
      </c>
      <c r="H3890" s="39">
        <f t="shared" si="240"/>
        <v>3147</v>
      </c>
      <c r="I3890" s="23" t="str">
        <f t="shared" si="241"/>
        <v>Bengaluru</v>
      </c>
      <c r="J3890" s="23">
        <f>COUNTIFS(pg_transaction_cleaned!$O:$O,A3890,pg_transaction_cleaned!$F:$F,"CAPTURE")</f>
        <v>1</v>
      </c>
      <c r="K3890" s="39">
        <f>SUMIFS(pg_transaction_cleaned!$H:$H,pg_transaction_cleaned!$O:$O,A3890,pg_transaction_cleaned!$F:$F,"CAPTURE")</f>
        <v>3147</v>
      </c>
      <c r="L3890" s="23">
        <f>COUNTIFS(pg_transaction_cleaned!$O:$O,A3890,pg_transaction_cleaned!$F:$F,"REFUND")</f>
        <v>0</v>
      </c>
      <c r="M3890" s="39">
        <f>SUMIFS(pg_transaction_cleaned!$H:$H,pg_transaction_cleaned!$O:$O,A3890,pg_transaction_cleaned!$F:$F,"REFUND")</f>
        <v>0</v>
      </c>
      <c r="N3890" s="23" t="str">
        <f t="shared" si="242"/>
        <v>OK</v>
      </c>
      <c r="O3890" s="24">
        <f t="shared" si="243"/>
        <v>0</v>
      </c>
    </row>
    <row r="3891" spans="1:15" ht="15" customHeight="1" x14ac:dyDescent="0.3">
      <c r="A3891" s="23" t="s">
        <v>8267</v>
      </c>
      <c r="B3891" s="38">
        <v>46284</v>
      </c>
      <c r="C3891" s="23" t="s">
        <v>8268</v>
      </c>
      <c r="D3891" s="23" t="s">
        <v>92</v>
      </c>
      <c r="E3891" s="23" t="s">
        <v>75</v>
      </c>
      <c r="F3891" s="23" t="s">
        <v>340</v>
      </c>
      <c r="G3891" s="23" t="s">
        <v>250</v>
      </c>
      <c r="H3891" s="39">
        <f t="shared" si="240"/>
        <v>6298</v>
      </c>
      <c r="I3891" s="23" t="str">
        <f t="shared" si="241"/>
        <v>Hyderabad</v>
      </c>
      <c r="J3891" s="23">
        <f>COUNTIFS(pg_transaction_cleaned!$O:$O,A3891,pg_transaction_cleaned!$F:$F,"CAPTURE")</f>
        <v>1</v>
      </c>
      <c r="K3891" s="39">
        <f>SUMIFS(pg_transaction_cleaned!$H:$H,pg_transaction_cleaned!$O:$O,A3891,pg_transaction_cleaned!$F:$F,"CAPTURE")</f>
        <v>6298</v>
      </c>
      <c r="L3891" s="23">
        <f>COUNTIFS(pg_transaction_cleaned!$O:$O,A3891,pg_transaction_cleaned!$F:$F,"REFUND")</f>
        <v>0</v>
      </c>
      <c r="M3891" s="39">
        <f>SUMIFS(pg_transaction_cleaned!$H:$H,pg_transaction_cleaned!$O:$O,A3891,pg_transaction_cleaned!$F:$F,"REFUND")</f>
        <v>0</v>
      </c>
      <c r="N3891" s="23" t="str">
        <f t="shared" si="242"/>
        <v>OK</v>
      </c>
      <c r="O3891" s="24">
        <f t="shared" si="243"/>
        <v>0</v>
      </c>
    </row>
    <row r="3892" spans="1:15" ht="15" customHeight="1" x14ac:dyDescent="0.3">
      <c r="A3892" s="23" t="s">
        <v>8269</v>
      </c>
      <c r="B3892" s="38">
        <v>46275</v>
      </c>
      <c r="C3892" s="23" t="s">
        <v>8270</v>
      </c>
      <c r="D3892" s="23" t="s">
        <v>94</v>
      </c>
      <c r="E3892" s="23" t="s">
        <v>75</v>
      </c>
      <c r="F3892" s="23" t="s">
        <v>343</v>
      </c>
      <c r="G3892" s="23" t="s">
        <v>250</v>
      </c>
      <c r="H3892" s="39">
        <f t="shared" si="240"/>
        <v>9498</v>
      </c>
      <c r="I3892" s="23" t="str">
        <f t="shared" si="241"/>
        <v>Chennai</v>
      </c>
      <c r="J3892" s="23">
        <f>COUNTIFS(pg_transaction_cleaned!$O:$O,A3892,pg_transaction_cleaned!$F:$F,"CAPTURE")</f>
        <v>1</v>
      </c>
      <c r="K3892" s="39">
        <f>SUMIFS(pg_transaction_cleaned!$H:$H,pg_transaction_cleaned!$O:$O,A3892,pg_transaction_cleaned!$F:$F,"CAPTURE")</f>
        <v>9498</v>
      </c>
      <c r="L3892" s="23">
        <f>COUNTIFS(pg_transaction_cleaned!$O:$O,A3892,pg_transaction_cleaned!$F:$F,"REFUND")</f>
        <v>0</v>
      </c>
      <c r="M3892" s="39">
        <f>SUMIFS(pg_transaction_cleaned!$H:$H,pg_transaction_cleaned!$O:$O,A3892,pg_transaction_cleaned!$F:$F,"REFUND")</f>
        <v>0</v>
      </c>
      <c r="N3892" s="23" t="str">
        <f t="shared" si="242"/>
        <v>OK</v>
      </c>
      <c r="O3892" s="24">
        <f t="shared" si="243"/>
        <v>0</v>
      </c>
    </row>
    <row r="3893" spans="1:15" ht="15" customHeight="1" x14ac:dyDescent="0.3">
      <c r="A3893" s="23" t="s">
        <v>8271</v>
      </c>
      <c r="B3893" s="38">
        <v>46289</v>
      </c>
      <c r="C3893" s="23" t="s">
        <v>8272</v>
      </c>
      <c r="D3893" s="23" t="s">
        <v>90</v>
      </c>
      <c r="E3893" s="23" t="s">
        <v>75</v>
      </c>
      <c r="F3893" s="23" t="s">
        <v>587</v>
      </c>
      <c r="G3893" s="23" t="s">
        <v>250</v>
      </c>
      <c r="H3893" s="39">
        <f t="shared" si="240"/>
        <v>5297</v>
      </c>
      <c r="I3893" s="23" t="str">
        <f t="shared" si="241"/>
        <v>Ahmedabad</v>
      </c>
      <c r="J3893" s="23">
        <f>COUNTIFS(pg_transaction_cleaned!$O:$O,A3893,pg_transaction_cleaned!$F:$F,"CAPTURE")</f>
        <v>1</v>
      </c>
      <c r="K3893" s="39">
        <f>SUMIFS(pg_transaction_cleaned!$H:$H,pg_transaction_cleaned!$O:$O,A3893,pg_transaction_cleaned!$F:$F,"CAPTURE")</f>
        <v>5297</v>
      </c>
      <c r="L3893" s="23">
        <f>COUNTIFS(pg_transaction_cleaned!$O:$O,A3893,pg_transaction_cleaned!$F:$F,"REFUND")</f>
        <v>0</v>
      </c>
      <c r="M3893" s="39">
        <f>SUMIFS(pg_transaction_cleaned!$H:$H,pg_transaction_cleaned!$O:$O,A3893,pg_transaction_cleaned!$F:$F,"REFUND")</f>
        <v>0</v>
      </c>
      <c r="N3893" s="23" t="str">
        <f t="shared" si="242"/>
        <v>OK</v>
      </c>
      <c r="O3893" s="24">
        <f t="shared" si="243"/>
        <v>0</v>
      </c>
    </row>
    <row r="3894" spans="1:15" ht="15" customHeight="1" x14ac:dyDescent="0.3">
      <c r="A3894" s="23" t="s">
        <v>8273</v>
      </c>
      <c r="B3894" s="38">
        <v>46274</v>
      </c>
      <c r="C3894" s="23" t="s">
        <v>8274</v>
      </c>
      <c r="D3894" s="23" t="s">
        <v>86</v>
      </c>
      <c r="E3894" s="23" t="s">
        <v>75</v>
      </c>
      <c r="F3894" s="23" t="s">
        <v>1440</v>
      </c>
      <c r="G3894" s="23" t="s">
        <v>250</v>
      </c>
      <c r="H3894" s="39">
        <f t="shared" si="240"/>
        <v>4147</v>
      </c>
      <c r="I3894" s="23" t="str">
        <f t="shared" si="241"/>
        <v>Delhi</v>
      </c>
      <c r="J3894" s="23">
        <f>COUNTIFS(pg_transaction_cleaned!$O:$O,A3894,pg_transaction_cleaned!$F:$F,"CAPTURE")</f>
        <v>1</v>
      </c>
      <c r="K3894" s="39">
        <f>SUMIFS(pg_transaction_cleaned!$H:$H,pg_transaction_cleaned!$O:$O,A3894,pg_transaction_cleaned!$F:$F,"CAPTURE")</f>
        <v>4147</v>
      </c>
      <c r="L3894" s="23">
        <f>COUNTIFS(pg_transaction_cleaned!$O:$O,A3894,pg_transaction_cleaned!$F:$F,"REFUND")</f>
        <v>0</v>
      </c>
      <c r="M3894" s="39">
        <f>SUMIFS(pg_transaction_cleaned!$H:$H,pg_transaction_cleaned!$O:$O,A3894,pg_transaction_cleaned!$F:$F,"REFUND")</f>
        <v>0</v>
      </c>
      <c r="N3894" s="23" t="str">
        <f t="shared" si="242"/>
        <v>OK</v>
      </c>
      <c r="O3894" s="24">
        <f t="shared" si="243"/>
        <v>0</v>
      </c>
    </row>
    <row r="3895" spans="1:15" ht="15" customHeight="1" x14ac:dyDescent="0.3">
      <c r="A3895" s="23" t="s">
        <v>8275</v>
      </c>
      <c r="B3895" s="38">
        <v>46294</v>
      </c>
      <c r="C3895" s="23" t="s">
        <v>8276</v>
      </c>
      <c r="D3895" s="23" t="s">
        <v>89</v>
      </c>
      <c r="E3895" s="23" t="s">
        <v>75</v>
      </c>
      <c r="F3895" s="23" t="s">
        <v>274</v>
      </c>
      <c r="G3895" s="23" t="s">
        <v>250</v>
      </c>
      <c r="H3895" s="39">
        <f t="shared" si="240"/>
        <v>349</v>
      </c>
      <c r="I3895" s="23" t="str">
        <f t="shared" si="241"/>
        <v>Jaipur</v>
      </c>
      <c r="J3895" s="23">
        <f>COUNTIFS(pg_transaction_cleaned!$O:$O,A3895,pg_transaction_cleaned!$F:$F,"CAPTURE")</f>
        <v>1</v>
      </c>
      <c r="K3895" s="39">
        <f>SUMIFS(pg_transaction_cleaned!$H:$H,pg_transaction_cleaned!$O:$O,A3895,pg_transaction_cleaned!$F:$F,"CAPTURE")</f>
        <v>349</v>
      </c>
      <c r="L3895" s="23">
        <f>COUNTIFS(pg_transaction_cleaned!$O:$O,A3895,pg_transaction_cleaned!$F:$F,"REFUND")</f>
        <v>0</v>
      </c>
      <c r="M3895" s="39">
        <f>SUMIFS(pg_transaction_cleaned!$H:$H,pg_transaction_cleaned!$O:$O,A3895,pg_transaction_cleaned!$F:$F,"REFUND")</f>
        <v>0</v>
      </c>
      <c r="N3895" s="23" t="str">
        <f t="shared" si="242"/>
        <v>OK</v>
      </c>
      <c r="O3895" s="24">
        <f t="shared" si="243"/>
        <v>0</v>
      </c>
    </row>
    <row r="3896" spans="1:15" ht="15" customHeight="1" x14ac:dyDescent="0.3">
      <c r="A3896" s="23" t="s">
        <v>8277</v>
      </c>
      <c r="B3896" s="38">
        <v>46268</v>
      </c>
      <c r="C3896" s="23" t="s">
        <v>8278</v>
      </c>
      <c r="D3896" s="23" t="s">
        <v>90</v>
      </c>
      <c r="E3896" s="23" t="s">
        <v>79</v>
      </c>
      <c r="F3896" s="23" t="s">
        <v>8279</v>
      </c>
      <c r="G3896" s="23" t="s">
        <v>250</v>
      </c>
      <c r="H3896" s="39">
        <f t="shared" si="240"/>
        <v>9147</v>
      </c>
      <c r="I3896" s="23" t="str">
        <f t="shared" si="241"/>
        <v>Ahmedabad</v>
      </c>
      <c r="J3896" s="23">
        <f>COUNTIFS(pg_transaction_cleaned!$O:$O,A3896,pg_transaction_cleaned!$F:$F,"CAPTURE")</f>
        <v>1</v>
      </c>
      <c r="K3896" s="39">
        <f>SUMIFS(pg_transaction_cleaned!$H:$H,pg_transaction_cleaned!$O:$O,A3896,pg_transaction_cleaned!$F:$F,"CAPTURE")</f>
        <v>9147</v>
      </c>
      <c r="L3896" s="23">
        <f>COUNTIFS(pg_transaction_cleaned!$O:$O,A3896,pg_transaction_cleaned!$F:$F,"REFUND")</f>
        <v>0</v>
      </c>
      <c r="M3896" s="39">
        <f>SUMIFS(pg_transaction_cleaned!$H:$H,pg_transaction_cleaned!$O:$O,A3896,pg_transaction_cleaned!$F:$F,"REFUND")</f>
        <v>0</v>
      </c>
      <c r="N3896" s="23" t="str">
        <f t="shared" si="242"/>
        <v>OK</v>
      </c>
      <c r="O3896" s="24">
        <f t="shared" si="243"/>
        <v>0</v>
      </c>
    </row>
    <row r="3897" spans="1:15" ht="15" customHeight="1" x14ac:dyDescent="0.3">
      <c r="A3897" s="23" t="s">
        <v>8280</v>
      </c>
      <c r="B3897" s="38">
        <v>46278</v>
      </c>
      <c r="C3897" s="23" t="s">
        <v>8281</v>
      </c>
      <c r="D3897" s="23" t="s">
        <v>90</v>
      </c>
      <c r="E3897" s="23" t="s">
        <v>79</v>
      </c>
      <c r="F3897" s="23" t="s">
        <v>1448</v>
      </c>
      <c r="G3897" s="23" t="s">
        <v>250</v>
      </c>
      <c r="H3897" s="39">
        <f t="shared" si="240"/>
        <v>6297</v>
      </c>
      <c r="I3897" s="23" t="str">
        <f t="shared" si="241"/>
        <v>Ahmedabad</v>
      </c>
      <c r="J3897" s="23">
        <f>COUNTIFS(pg_transaction_cleaned!$O:$O,A3897,pg_transaction_cleaned!$F:$F,"CAPTURE")</f>
        <v>1</v>
      </c>
      <c r="K3897" s="39">
        <f>SUMIFS(pg_transaction_cleaned!$H:$H,pg_transaction_cleaned!$O:$O,A3897,pg_transaction_cleaned!$F:$F,"CAPTURE")</f>
        <v>6297</v>
      </c>
      <c r="L3897" s="23">
        <f>COUNTIFS(pg_transaction_cleaned!$O:$O,A3897,pg_transaction_cleaned!$F:$F,"REFUND")</f>
        <v>0</v>
      </c>
      <c r="M3897" s="39">
        <f>SUMIFS(pg_transaction_cleaned!$H:$H,pg_transaction_cleaned!$O:$O,A3897,pg_transaction_cleaned!$F:$F,"REFUND")</f>
        <v>0</v>
      </c>
      <c r="N3897" s="23" t="str">
        <f t="shared" si="242"/>
        <v>OK</v>
      </c>
      <c r="O3897" s="24">
        <f t="shared" si="243"/>
        <v>0</v>
      </c>
    </row>
    <row r="3898" spans="1:15" ht="15" customHeight="1" x14ac:dyDescent="0.3">
      <c r="A3898" s="23" t="s">
        <v>8282</v>
      </c>
      <c r="B3898" s="38">
        <v>46275</v>
      </c>
      <c r="C3898" s="23" t="s">
        <v>8283</v>
      </c>
      <c r="D3898" s="23" t="s">
        <v>89</v>
      </c>
      <c r="E3898" s="23" t="s">
        <v>79</v>
      </c>
      <c r="F3898" s="23" t="s">
        <v>291</v>
      </c>
      <c r="G3898" s="23" t="s">
        <v>301</v>
      </c>
      <c r="H3898" s="39">
        <f t="shared" si="240"/>
        <v>3499</v>
      </c>
      <c r="I3898" s="23" t="str">
        <f t="shared" si="241"/>
        <v>Jaipur</v>
      </c>
      <c r="J3898" s="23">
        <f>COUNTIFS(pg_transaction_cleaned!$O:$O,A3898,pg_transaction_cleaned!$F:$F,"CAPTURE")</f>
        <v>1</v>
      </c>
      <c r="K3898" s="39">
        <f>SUMIFS(pg_transaction_cleaned!$H:$H,pg_transaction_cleaned!$O:$O,A3898,pg_transaction_cleaned!$F:$F,"CAPTURE")</f>
        <v>3499</v>
      </c>
      <c r="L3898" s="23">
        <f>COUNTIFS(pg_transaction_cleaned!$O:$O,A3898,pg_transaction_cleaned!$F:$F,"REFUND")</f>
        <v>1</v>
      </c>
      <c r="M3898" s="39">
        <f>SUMIFS(pg_transaction_cleaned!$H:$H,pg_transaction_cleaned!$O:$O,A3898,pg_transaction_cleaned!$F:$F,"REFUND")</f>
        <v>3499</v>
      </c>
      <c r="N3898" s="23" t="str">
        <f t="shared" si="242"/>
        <v>OK</v>
      </c>
      <c r="O3898" s="24">
        <f t="shared" si="243"/>
        <v>0</v>
      </c>
    </row>
    <row r="3899" spans="1:15" ht="15" customHeight="1" x14ac:dyDescent="0.3">
      <c r="A3899" s="23" t="s">
        <v>8284</v>
      </c>
      <c r="B3899" s="38">
        <v>46278</v>
      </c>
      <c r="C3899" s="23" t="s">
        <v>8285</v>
      </c>
      <c r="D3899" s="23" t="s">
        <v>87</v>
      </c>
      <c r="E3899" s="23" t="s">
        <v>75</v>
      </c>
      <c r="F3899" s="23" t="s">
        <v>396</v>
      </c>
      <c r="G3899" s="23" t="s">
        <v>250</v>
      </c>
      <c r="H3899" s="39">
        <f t="shared" si="240"/>
        <v>2999</v>
      </c>
      <c r="I3899" s="23" t="str">
        <f t="shared" si="241"/>
        <v>Mumbai</v>
      </c>
      <c r="J3899" s="23">
        <f>COUNTIFS(pg_transaction_cleaned!$O:$O,A3899,pg_transaction_cleaned!$F:$F,"CAPTURE")</f>
        <v>1</v>
      </c>
      <c r="K3899" s="39">
        <f>SUMIFS(pg_transaction_cleaned!$H:$H,pg_transaction_cleaned!$O:$O,A3899,pg_transaction_cleaned!$F:$F,"CAPTURE")</f>
        <v>2999</v>
      </c>
      <c r="L3899" s="23">
        <f>COUNTIFS(pg_transaction_cleaned!$O:$O,A3899,pg_transaction_cleaned!$F:$F,"REFUND")</f>
        <v>0</v>
      </c>
      <c r="M3899" s="39">
        <f>SUMIFS(pg_transaction_cleaned!$H:$H,pg_transaction_cleaned!$O:$O,A3899,pg_transaction_cleaned!$F:$F,"REFUND")</f>
        <v>0</v>
      </c>
      <c r="N3899" s="23" t="str">
        <f t="shared" si="242"/>
        <v>OK</v>
      </c>
      <c r="O3899" s="24">
        <f t="shared" si="243"/>
        <v>0</v>
      </c>
    </row>
    <row r="3900" spans="1:15" ht="15" customHeight="1" x14ac:dyDescent="0.3">
      <c r="A3900" s="23" t="s">
        <v>8286</v>
      </c>
      <c r="B3900" s="38">
        <v>46291</v>
      </c>
      <c r="C3900" s="23" t="s">
        <v>4416</v>
      </c>
      <c r="D3900" s="23" t="s">
        <v>88</v>
      </c>
      <c r="E3900" s="23" t="s">
        <v>79</v>
      </c>
      <c r="F3900" s="23" t="s">
        <v>268</v>
      </c>
      <c r="G3900" s="23" t="s">
        <v>301</v>
      </c>
      <c r="H3900" s="39">
        <f t="shared" si="240"/>
        <v>1299</v>
      </c>
      <c r="I3900" s="23" t="str">
        <f t="shared" si="241"/>
        <v>Lucknow</v>
      </c>
      <c r="J3900" s="23">
        <f>COUNTIFS(pg_transaction_cleaned!$O:$O,A3900,pg_transaction_cleaned!$F:$F,"CAPTURE")</f>
        <v>1</v>
      </c>
      <c r="K3900" s="39">
        <f>SUMIFS(pg_transaction_cleaned!$H:$H,pg_transaction_cleaned!$O:$O,A3900,pg_transaction_cleaned!$F:$F,"CAPTURE")</f>
        <v>1299</v>
      </c>
      <c r="L3900" s="23">
        <f>COUNTIFS(pg_transaction_cleaned!$O:$O,A3900,pg_transaction_cleaned!$F:$F,"REFUND")</f>
        <v>1</v>
      </c>
      <c r="M3900" s="39">
        <f>SUMIFS(pg_transaction_cleaned!$H:$H,pg_transaction_cleaned!$O:$O,A3900,pg_transaction_cleaned!$F:$F,"REFUND")</f>
        <v>1299</v>
      </c>
      <c r="N3900" s="23" t="str">
        <f t="shared" si="242"/>
        <v>OK</v>
      </c>
      <c r="O3900" s="24">
        <f t="shared" si="243"/>
        <v>0</v>
      </c>
    </row>
    <row r="3901" spans="1:15" ht="15" customHeight="1" x14ac:dyDescent="0.3">
      <c r="A3901" s="23" t="s">
        <v>8287</v>
      </c>
      <c r="B3901" s="38">
        <v>46289</v>
      </c>
      <c r="C3901" s="23" t="s">
        <v>8288</v>
      </c>
      <c r="D3901" s="23" t="s">
        <v>93</v>
      </c>
      <c r="E3901" s="23" t="s">
        <v>75</v>
      </c>
      <c r="F3901" s="23" t="s">
        <v>1206</v>
      </c>
      <c r="G3901" s="23" t="s">
        <v>250</v>
      </c>
      <c r="H3901" s="39">
        <f t="shared" si="240"/>
        <v>7297</v>
      </c>
      <c r="I3901" s="23" t="str">
        <f t="shared" si="241"/>
        <v>Kolkata</v>
      </c>
      <c r="J3901" s="23">
        <f>COUNTIFS(pg_transaction_cleaned!$O:$O,A3901,pg_transaction_cleaned!$F:$F,"CAPTURE")</f>
        <v>1</v>
      </c>
      <c r="K3901" s="39">
        <f>SUMIFS(pg_transaction_cleaned!$H:$H,pg_transaction_cleaned!$O:$O,A3901,pg_transaction_cleaned!$F:$F,"CAPTURE")</f>
        <v>7297</v>
      </c>
      <c r="L3901" s="23">
        <f>COUNTIFS(pg_transaction_cleaned!$O:$O,A3901,pg_transaction_cleaned!$F:$F,"REFUND")</f>
        <v>0</v>
      </c>
      <c r="M3901" s="39">
        <f>SUMIFS(pg_transaction_cleaned!$H:$H,pg_transaction_cleaned!$O:$O,A3901,pg_transaction_cleaned!$F:$F,"REFUND")</f>
        <v>0</v>
      </c>
      <c r="N3901" s="23" t="str">
        <f t="shared" si="242"/>
        <v>OK</v>
      </c>
      <c r="O3901" s="24">
        <f t="shared" si="243"/>
        <v>0</v>
      </c>
    </row>
    <row r="3902" spans="1:15" ht="15" customHeight="1" x14ac:dyDescent="0.3">
      <c r="A3902" s="23" t="s">
        <v>8289</v>
      </c>
      <c r="B3902" s="38">
        <v>46278</v>
      </c>
      <c r="C3902" s="23" t="s">
        <v>8290</v>
      </c>
      <c r="D3902" s="23" t="s">
        <v>93</v>
      </c>
      <c r="E3902" s="23" t="s">
        <v>75</v>
      </c>
      <c r="F3902" s="23" t="s">
        <v>574</v>
      </c>
      <c r="G3902" s="23" t="s">
        <v>250</v>
      </c>
      <c r="H3902" s="39">
        <f t="shared" si="240"/>
        <v>1848</v>
      </c>
      <c r="I3902" s="23" t="str">
        <f t="shared" si="241"/>
        <v>Kolkata</v>
      </c>
      <c r="J3902" s="23">
        <f>COUNTIFS(pg_transaction_cleaned!$O:$O,A3902,pg_transaction_cleaned!$F:$F,"CAPTURE")</f>
        <v>1</v>
      </c>
      <c r="K3902" s="39">
        <f>SUMIFS(pg_transaction_cleaned!$H:$H,pg_transaction_cleaned!$O:$O,A3902,pg_transaction_cleaned!$F:$F,"CAPTURE")</f>
        <v>1848</v>
      </c>
      <c r="L3902" s="23">
        <f>COUNTIFS(pg_transaction_cleaned!$O:$O,A3902,pg_transaction_cleaned!$F:$F,"REFUND")</f>
        <v>0</v>
      </c>
      <c r="M3902" s="39">
        <f>SUMIFS(pg_transaction_cleaned!$H:$H,pg_transaction_cleaned!$O:$O,A3902,pg_transaction_cleaned!$F:$F,"REFUND")</f>
        <v>0</v>
      </c>
      <c r="N3902" s="23" t="str">
        <f t="shared" si="242"/>
        <v>OK</v>
      </c>
      <c r="O3902" s="24">
        <f t="shared" si="243"/>
        <v>0</v>
      </c>
    </row>
    <row r="3903" spans="1:15" ht="15" customHeight="1" x14ac:dyDescent="0.3">
      <c r="A3903" s="23" t="s">
        <v>8291</v>
      </c>
      <c r="B3903" s="38">
        <v>46279</v>
      </c>
      <c r="C3903" s="23" t="s">
        <v>8292</v>
      </c>
      <c r="D3903" s="23" t="s">
        <v>95</v>
      </c>
      <c r="E3903" s="23" t="s">
        <v>75</v>
      </c>
      <c r="F3903" s="23" t="s">
        <v>763</v>
      </c>
      <c r="G3903" s="23" t="s">
        <v>250</v>
      </c>
      <c r="H3903" s="39">
        <f t="shared" si="240"/>
        <v>299</v>
      </c>
      <c r="I3903" s="23" t="str">
        <f t="shared" si="241"/>
        <v>Bengaluru</v>
      </c>
      <c r="J3903" s="23">
        <f>COUNTIFS(pg_transaction_cleaned!$O:$O,A3903,pg_transaction_cleaned!$F:$F,"CAPTURE")</f>
        <v>1</v>
      </c>
      <c r="K3903" s="39">
        <f>SUMIFS(pg_transaction_cleaned!$H:$H,pg_transaction_cleaned!$O:$O,A3903,pg_transaction_cleaned!$F:$F,"CAPTURE")</f>
        <v>299</v>
      </c>
      <c r="L3903" s="23">
        <f>COUNTIFS(pg_transaction_cleaned!$O:$O,A3903,pg_transaction_cleaned!$F:$F,"REFUND")</f>
        <v>0</v>
      </c>
      <c r="M3903" s="39">
        <f>SUMIFS(pg_transaction_cleaned!$H:$H,pg_transaction_cleaned!$O:$O,A3903,pg_transaction_cleaned!$F:$F,"REFUND")</f>
        <v>0</v>
      </c>
      <c r="N3903" s="23" t="str">
        <f t="shared" si="242"/>
        <v>OK</v>
      </c>
      <c r="O3903" s="24">
        <f t="shared" si="243"/>
        <v>0</v>
      </c>
    </row>
    <row r="3904" spans="1:15" ht="15" customHeight="1" x14ac:dyDescent="0.3">
      <c r="A3904" s="23" t="s">
        <v>8293</v>
      </c>
      <c r="B3904" s="38">
        <v>46274</v>
      </c>
      <c r="C3904" s="23" t="s">
        <v>8294</v>
      </c>
      <c r="D3904" s="23" t="s">
        <v>86</v>
      </c>
      <c r="E3904" s="23" t="s">
        <v>75</v>
      </c>
      <c r="F3904" s="23" t="s">
        <v>297</v>
      </c>
      <c r="G3904" s="23" t="s">
        <v>318</v>
      </c>
      <c r="H3904" s="39">
        <f t="shared" si="240"/>
        <v>4999</v>
      </c>
      <c r="I3904" s="23" t="str">
        <f t="shared" si="241"/>
        <v>Delhi</v>
      </c>
      <c r="J3904" s="23">
        <f>COUNTIFS(pg_transaction_cleaned!$O:$O,A3904,pg_transaction_cleaned!$F:$F,"CAPTURE")</f>
        <v>0</v>
      </c>
      <c r="K3904" s="39">
        <f>SUMIFS(pg_transaction_cleaned!$H:$H,pg_transaction_cleaned!$O:$O,A3904,pg_transaction_cleaned!$F:$F,"CAPTURE")</f>
        <v>0</v>
      </c>
      <c r="L3904" s="23">
        <f>COUNTIFS(pg_transaction_cleaned!$O:$O,A3904,pg_transaction_cleaned!$F:$F,"REFUND")</f>
        <v>0</v>
      </c>
      <c r="M3904" s="39">
        <f>SUMIFS(pg_transaction_cleaned!$H:$H,pg_transaction_cleaned!$O:$O,A3904,pg_transaction_cleaned!$F:$F,"REFUND")</f>
        <v>0</v>
      </c>
      <c r="N3904" s="23" t="str">
        <f t="shared" si="242"/>
        <v>OK</v>
      </c>
      <c r="O3904" s="24">
        <f t="shared" si="243"/>
        <v>0</v>
      </c>
    </row>
    <row r="3905" spans="1:15" ht="15" customHeight="1" x14ac:dyDescent="0.3">
      <c r="A3905" s="23" t="s">
        <v>8295</v>
      </c>
      <c r="B3905" s="38">
        <v>46287</v>
      </c>
      <c r="C3905" s="23" t="s">
        <v>8296</v>
      </c>
      <c r="D3905" s="23"/>
      <c r="E3905" s="23" t="s">
        <v>75</v>
      </c>
      <c r="F3905" s="23" t="s">
        <v>1103</v>
      </c>
      <c r="G3905" s="23" t="s">
        <v>250</v>
      </c>
      <c r="H3905" s="39">
        <f t="shared" si="240"/>
        <v>3897</v>
      </c>
      <c r="I3905" s="23" t="str">
        <f t="shared" si="241"/>
        <v>Unknown</v>
      </c>
      <c r="J3905" s="23">
        <f>COUNTIFS(pg_transaction_cleaned!$O:$O,A3905,pg_transaction_cleaned!$F:$F,"CAPTURE")</f>
        <v>1</v>
      </c>
      <c r="K3905" s="39">
        <f>SUMIFS(pg_transaction_cleaned!$H:$H,pg_transaction_cleaned!$O:$O,A3905,pg_transaction_cleaned!$F:$F,"CAPTURE")</f>
        <v>3897</v>
      </c>
      <c r="L3905" s="23">
        <f>COUNTIFS(pg_transaction_cleaned!$O:$O,A3905,pg_transaction_cleaned!$F:$F,"REFUND")</f>
        <v>0</v>
      </c>
      <c r="M3905" s="39">
        <f>SUMIFS(pg_transaction_cleaned!$H:$H,pg_transaction_cleaned!$O:$O,A3905,pg_transaction_cleaned!$F:$F,"REFUND")</f>
        <v>0</v>
      </c>
      <c r="N3905" s="23" t="str">
        <f t="shared" si="242"/>
        <v>OK</v>
      </c>
      <c r="O3905" s="24">
        <f t="shared" si="243"/>
        <v>0</v>
      </c>
    </row>
    <row r="3906" spans="1:15" ht="15" customHeight="1" x14ac:dyDescent="0.3">
      <c r="A3906" s="23" t="s">
        <v>8297</v>
      </c>
      <c r="B3906" s="38">
        <v>46279</v>
      </c>
      <c r="C3906" s="23" t="s">
        <v>8298</v>
      </c>
      <c r="D3906" s="23" t="s">
        <v>91</v>
      </c>
      <c r="E3906" s="23" t="s">
        <v>79</v>
      </c>
      <c r="F3906" s="23" t="s">
        <v>950</v>
      </c>
      <c r="G3906" s="23" t="s">
        <v>250</v>
      </c>
      <c r="H3906" s="39">
        <f t="shared" ref="H3906:H3969" si="244">VALUE(SUBSTITUTE(F3906,",",""))</f>
        <v>1898</v>
      </c>
      <c r="I3906" s="23" t="str">
        <f t="shared" ref="I3906:I3969" si="245">IF(TRIM(D3906)="","Unknown",TRIM(D3906))</f>
        <v>Pune</v>
      </c>
      <c r="J3906" s="23">
        <f>COUNTIFS(pg_transaction_cleaned!$O:$O,A3906,pg_transaction_cleaned!$F:$F,"CAPTURE")</f>
        <v>1</v>
      </c>
      <c r="K3906" s="39">
        <f>SUMIFS(pg_transaction_cleaned!$H:$H,pg_transaction_cleaned!$O:$O,A3906,pg_transaction_cleaned!$F:$F,"CAPTURE")</f>
        <v>1898</v>
      </c>
      <c r="L3906" s="23">
        <f>COUNTIFS(pg_transaction_cleaned!$O:$O,A3906,pg_transaction_cleaned!$F:$F,"REFUND")</f>
        <v>0</v>
      </c>
      <c r="M3906" s="39">
        <f>SUMIFS(pg_transaction_cleaned!$H:$H,pg_transaction_cleaned!$O:$O,A3906,pg_transaction_cleaned!$F:$F,"REFUND")</f>
        <v>0</v>
      </c>
      <c r="N3906" s="23" t="str">
        <f t="shared" ref="N3906:N3969" si="246">IF(AND(G3906="Paid",J3906=0),"Paid, no payment",IF(AND(OR(G3906="Failed",G3906="Cancelled"),J3906&gt;0),"Payment on failed/cancelled",IF(J3906&gt;1,"Duplicate charge",IF(AND(J3906=1,ROUND(K3906-H3906,2)&lt;&gt;0),"Amount difference",IF(AND(G3906="Refunded",L3906=0),"Refunded, no refund",IF(AND(G3906&lt;&gt;"Refunded",L3906&gt;0),"Refund, order not Refunded",IF(AND(L3906&gt;0,ROUND(M3906-H3906,2)&lt;&gt;0),"Refund amount differs","OK")))))))</f>
        <v>OK</v>
      </c>
      <c r="O3906" s="24">
        <f t="shared" ref="O3906:O3969" si="247">IF(N3906="OK",0,IF(N3906="Paid, no payment",H3906,IF(N3906="Payment on failed/cancelled",K3906,IF(OR(N3906="Duplicate charge",N3906="Amount difference"),K3906-H3906,IF(N3906="Refunded, no refund",H3906,M3906)))))</f>
        <v>0</v>
      </c>
    </row>
    <row r="3907" spans="1:15" ht="15" customHeight="1" x14ac:dyDescent="0.3">
      <c r="A3907" s="23" t="s">
        <v>8299</v>
      </c>
      <c r="B3907" s="38">
        <v>46281</v>
      </c>
      <c r="C3907" s="23" t="s">
        <v>8300</v>
      </c>
      <c r="D3907" s="23" t="s">
        <v>93</v>
      </c>
      <c r="E3907" s="23" t="s">
        <v>79</v>
      </c>
      <c r="F3907" s="23" t="s">
        <v>378</v>
      </c>
      <c r="G3907" s="23" t="s">
        <v>250</v>
      </c>
      <c r="H3907" s="39">
        <f t="shared" si="244"/>
        <v>2848</v>
      </c>
      <c r="I3907" s="23" t="str">
        <f t="shared" si="245"/>
        <v>Kolkata</v>
      </c>
      <c r="J3907" s="23">
        <f>COUNTIFS(pg_transaction_cleaned!$O:$O,A3907,pg_transaction_cleaned!$F:$F,"CAPTURE")</f>
        <v>1</v>
      </c>
      <c r="K3907" s="39">
        <f>SUMIFS(pg_transaction_cleaned!$H:$H,pg_transaction_cleaned!$O:$O,A3907,pg_transaction_cleaned!$F:$F,"CAPTURE")</f>
        <v>2848</v>
      </c>
      <c r="L3907" s="23">
        <f>COUNTIFS(pg_transaction_cleaned!$O:$O,A3907,pg_transaction_cleaned!$F:$F,"REFUND")</f>
        <v>0</v>
      </c>
      <c r="M3907" s="39">
        <f>SUMIFS(pg_transaction_cleaned!$H:$H,pg_transaction_cleaned!$O:$O,A3907,pg_transaction_cleaned!$F:$F,"REFUND")</f>
        <v>0</v>
      </c>
      <c r="N3907" s="23" t="str">
        <f t="shared" si="246"/>
        <v>OK</v>
      </c>
      <c r="O3907" s="24">
        <f t="shared" si="247"/>
        <v>0</v>
      </c>
    </row>
    <row r="3908" spans="1:15" ht="15" customHeight="1" x14ac:dyDescent="0.3">
      <c r="A3908" s="23" t="s">
        <v>8301</v>
      </c>
      <c r="B3908" s="38">
        <v>46269</v>
      </c>
      <c r="C3908" s="23" t="s">
        <v>8302</v>
      </c>
      <c r="D3908" s="23" t="s">
        <v>94</v>
      </c>
      <c r="E3908" s="23" t="s">
        <v>75</v>
      </c>
      <c r="F3908" s="23" t="s">
        <v>760</v>
      </c>
      <c r="G3908" s="23" t="s">
        <v>250</v>
      </c>
      <c r="H3908" s="39">
        <f t="shared" si="244"/>
        <v>799</v>
      </c>
      <c r="I3908" s="23" t="str">
        <f t="shared" si="245"/>
        <v>Chennai</v>
      </c>
      <c r="J3908" s="23">
        <f>COUNTIFS(pg_transaction_cleaned!$O:$O,A3908,pg_transaction_cleaned!$F:$F,"CAPTURE")</f>
        <v>1</v>
      </c>
      <c r="K3908" s="39">
        <f>SUMIFS(pg_transaction_cleaned!$H:$H,pg_transaction_cleaned!$O:$O,A3908,pg_transaction_cleaned!$F:$F,"CAPTURE")</f>
        <v>799</v>
      </c>
      <c r="L3908" s="23">
        <f>COUNTIFS(pg_transaction_cleaned!$O:$O,A3908,pg_transaction_cleaned!$F:$F,"REFUND")</f>
        <v>0</v>
      </c>
      <c r="M3908" s="39">
        <f>SUMIFS(pg_transaction_cleaned!$H:$H,pg_transaction_cleaned!$O:$O,A3908,pg_transaction_cleaned!$F:$F,"REFUND")</f>
        <v>0</v>
      </c>
      <c r="N3908" s="23" t="str">
        <f t="shared" si="246"/>
        <v>OK</v>
      </c>
      <c r="O3908" s="24">
        <f t="shared" si="247"/>
        <v>0</v>
      </c>
    </row>
    <row r="3909" spans="1:15" ht="15" customHeight="1" x14ac:dyDescent="0.3">
      <c r="A3909" s="23" t="s">
        <v>8303</v>
      </c>
      <c r="B3909" s="38">
        <v>46268</v>
      </c>
      <c r="C3909" s="23" t="s">
        <v>8304</v>
      </c>
      <c r="D3909" s="23" t="s">
        <v>86</v>
      </c>
      <c r="E3909" s="23" t="s">
        <v>75</v>
      </c>
      <c r="F3909" s="23" t="s">
        <v>490</v>
      </c>
      <c r="G3909" s="23" t="s">
        <v>250</v>
      </c>
      <c r="H3909" s="39">
        <f t="shared" si="244"/>
        <v>8798</v>
      </c>
      <c r="I3909" s="23" t="str">
        <f t="shared" si="245"/>
        <v>Delhi</v>
      </c>
      <c r="J3909" s="23">
        <f>COUNTIFS(pg_transaction_cleaned!$O:$O,A3909,pg_transaction_cleaned!$F:$F,"CAPTURE")</f>
        <v>1</v>
      </c>
      <c r="K3909" s="39">
        <f>SUMIFS(pg_transaction_cleaned!$H:$H,pg_transaction_cleaned!$O:$O,A3909,pg_transaction_cleaned!$F:$F,"CAPTURE")</f>
        <v>8798</v>
      </c>
      <c r="L3909" s="23">
        <f>COUNTIFS(pg_transaction_cleaned!$O:$O,A3909,pg_transaction_cleaned!$F:$F,"REFUND")</f>
        <v>0</v>
      </c>
      <c r="M3909" s="39">
        <f>SUMIFS(pg_transaction_cleaned!$H:$H,pg_transaction_cleaned!$O:$O,A3909,pg_transaction_cleaned!$F:$F,"REFUND")</f>
        <v>0</v>
      </c>
      <c r="N3909" s="23" t="str">
        <f t="shared" si="246"/>
        <v>OK</v>
      </c>
      <c r="O3909" s="24">
        <f t="shared" si="247"/>
        <v>0</v>
      </c>
    </row>
    <row r="3910" spans="1:15" ht="15" customHeight="1" x14ac:dyDescent="0.3">
      <c r="A3910" s="23" t="s">
        <v>8305</v>
      </c>
      <c r="B3910" s="38">
        <v>46293</v>
      </c>
      <c r="C3910" s="23" t="s">
        <v>8306</v>
      </c>
      <c r="D3910" s="23" t="s">
        <v>86</v>
      </c>
      <c r="E3910" s="23" t="s">
        <v>75</v>
      </c>
      <c r="F3910" s="23" t="s">
        <v>1505</v>
      </c>
      <c r="G3910" s="23" t="s">
        <v>250</v>
      </c>
      <c r="H3910" s="39">
        <f t="shared" si="244"/>
        <v>8298</v>
      </c>
      <c r="I3910" s="23" t="str">
        <f t="shared" si="245"/>
        <v>Delhi</v>
      </c>
      <c r="J3910" s="23">
        <f>COUNTIFS(pg_transaction_cleaned!$O:$O,A3910,pg_transaction_cleaned!$F:$F,"CAPTURE")</f>
        <v>1</v>
      </c>
      <c r="K3910" s="39">
        <f>SUMIFS(pg_transaction_cleaned!$H:$H,pg_transaction_cleaned!$O:$O,A3910,pg_transaction_cleaned!$F:$F,"CAPTURE")</f>
        <v>8298</v>
      </c>
      <c r="L3910" s="23">
        <f>COUNTIFS(pg_transaction_cleaned!$O:$O,A3910,pg_transaction_cleaned!$F:$F,"REFUND")</f>
        <v>0</v>
      </c>
      <c r="M3910" s="39">
        <f>SUMIFS(pg_transaction_cleaned!$H:$H,pg_transaction_cleaned!$O:$O,A3910,pg_transaction_cleaned!$F:$F,"REFUND")</f>
        <v>0</v>
      </c>
      <c r="N3910" s="23" t="str">
        <f t="shared" si="246"/>
        <v>OK</v>
      </c>
      <c r="O3910" s="24">
        <f t="shared" si="247"/>
        <v>0</v>
      </c>
    </row>
    <row r="3911" spans="1:15" ht="15" customHeight="1" x14ac:dyDescent="0.3">
      <c r="A3911" s="23" t="s">
        <v>8307</v>
      </c>
      <c r="B3911" s="38">
        <v>46278</v>
      </c>
      <c r="C3911" s="23" t="s">
        <v>8308</v>
      </c>
      <c r="D3911" s="23" t="s">
        <v>93</v>
      </c>
      <c r="E3911" s="23" t="s">
        <v>79</v>
      </c>
      <c r="F3911" s="23" t="s">
        <v>274</v>
      </c>
      <c r="G3911" s="23" t="s">
        <v>250</v>
      </c>
      <c r="H3911" s="39">
        <f t="shared" si="244"/>
        <v>349</v>
      </c>
      <c r="I3911" s="23" t="str">
        <f t="shared" si="245"/>
        <v>Kolkata</v>
      </c>
      <c r="J3911" s="23">
        <f>COUNTIFS(pg_transaction_cleaned!$O:$O,A3911,pg_transaction_cleaned!$F:$F,"CAPTURE")</f>
        <v>1</v>
      </c>
      <c r="K3911" s="39">
        <f>SUMIFS(pg_transaction_cleaned!$H:$H,pg_transaction_cleaned!$O:$O,A3911,pg_transaction_cleaned!$F:$F,"CAPTURE")</f>
        <v>349</v>
      </c>
      <c r="L3911" s="23">
        <f>COUNTIFS(pg_transaction_cleaned!$O:$O,A3911,pg_transaction_cleaned!$F:$F,"REFUND")</f>
        <v>0</v>
      </c>
      <c r="M3911" s="39">
        <f>SUMIFS(pg_transaction_cleaned!$H:$H,pg_transaction_cleaned!$O:$O,A3911,pg_transaction_cleaned!$F:$F,"REFUND")</f>
        <v>0</v>
      </c>
      <c r="N3911" s="23" t="str">
        <f t="shared" si="246"/>
        <v>OK</v>
      </c>
      <c r="O3911" s="24">
        <f t="shared" si="247"/>
        <v>0</v>
      </c>
    </row>
    <row r="3912" spans="1:15" ht="15" customHeight="1" x14ac:dyDescent="0.3">
      <c r="A3912" s="23" t="s">
        <v>8309</v>
      </c>
      <c r="B3912" s="38">
        <v>46294</v>
      </c>
      <c r="C3912" s="23" t="s">
        <v>8310</v>
      </c>
      <c r="D3912" s="23" t="s">
        <v>86</v>
      </c>
      <c r="E3912" s="23" t="s">
        <v>79</v>
      </c>
      <c r="F3912" s="23" t="s">
        <v>337</v>
      </c>
      <c r="G3912" s="23" t="s">
        <v>250</v>
      </c>
      <c r="H3912" s="39">
        <f t="shared" si="244"/>
        <v>3998</v>
      </c>
      <c r="I3912" s="23" t="str">
        <f t="shared" si="245"/>
        <v>Delhi</v>
      </c>
      <c r="J3912" s="23">
        <f>COUNTIFS(pg_transaction_cleaned!$O:$O,A3912,pg_transaction_cleaned!$F:$F,"CAPTURE")</f>
        <v>1</v>
      </c>
      <c r="K3912" s="39">
        <f>SUMIFS(pg_transaction_cleaned!$H:$H,pg_transaction_cleaned!$O:$O,A3912,pg_transaction_cleaned!$F:$F,"CAPTURE")</f>
        <v>3998</v>
      </c>
      <c r="L3912" s="23">
        <f>COUNTIFS(pg_transaction_cleaned!$O:$O,A3912,pg_transaction_cleaned!$F:$F,"REFUND")</f>
        <v>0</v>
      </c>
      <c r="M3912" s="39">
        <f>SUMIFS(pg_transaction_cleaned!$H:$H,pg_transaction_cleaned!$O:$O,A3912,pg_transaction_cleaned!$F:$F,"REFUND")</f>
        <v>0</v>
      </c>
      <c r="N3912" s="23" t="str">
        <f t="shared" si="246"/>
        <v>OK</v>
      </c>
      <c r="O3912" s="24">
        <f t="shared" si="247"/>
        <v>0</v>
      </c>
    </row>
    <row r="3913" spans="1:15" ht="15" customHeight="1" x14ac:dyDescent="0.3">
      <c r="A3913" s="23" t="s">
        <v>8311</v>
      </c>
      <c r="B3913" s="38">
        <v>46281</v>
      </c>
      <c r="C3913" s="23" t="s">
        <v>8312</v>
      </c>
      <c r="D3913" s="23" t="s">
        <v>88</v>
      </c>
      <c r="E3913" s="23" t="s">
        <v>81</v>
      </c>
      <c r="F3913" s="23" t="s">
        <v>463</v>
      </c>
      <c r="G3913" s="23" t="s">
        <v>365</v>
      </c>
      <c r="H3913" s="39">
        <f t="shared" si="244"/>
        <v>10797</v>
      </c>
      <c r="I3913" s="23" t="str">
        <f t="shared" si="245"/>
        <v>Lucknow</v>
      </c>
      <c r="J3913" s="23">
        <f>COUNTIFS(pg_transaction_cleaned!$O:$O,A3913,pg_transaction_cleaned!$F:$F,"CAPTURE")</f>
        <v>0</v>
      </c>
      <c r="K3913" s="39">
        <f>SUMIFS(pg_transaction_cleaned!$H:$H,pg_transaction_cleaned!$O:$O,A3913,pg_transaction_cleaned!$F:$F,"CAPTURE")</f>
        <v>0</v>
      </c>
      <c r="L3913" s="23">
        <f>COUNTIFS(pg_transaction_cleaned!$O:$O,A3913,pg_transaction_cleaned!$F:$F,"REFUND")</f>
        <v>0</v>
      </c>
      <c r="M3913" s="39">
        <f>SUMIFS(pg_transaction_cleaned!$H:$H,pg_transaction_cleaned!$O:$O,A3913,pg_transaction_cleaned!$F:$F,"REFUND")</f>
        <v>0</v>
      </c>
      <c r="N3913" s="23" t="str">
        <f t="shared" si="246"/>
        <v>OK</v>
      </c>
      <c r="O3913" s="24">
        <f t="shared" si="247"/>
        <v>0</v>
      </c>
    </row>
    <row r="3914" spans="1:15" ht="15" customHeight="1" x14ac:dyDescent="0.3">
      <c r="A3914" s="23" t="s">
        <v>8313</v>
      </c>
      <c r="B3914" s="38">
        <v>46267</v>
      </c>
      <c r="C3914" s="23" t="s">
        <v>8314</v>
      </c>
      <c r="D3914" s="23" t="s">
        <v>94</v>
      </c>
      <c r="E3914" s="23" t="s">
        <v>77</v>
      </c>
      <c r="F3914" s="23" t="s">
        <v>329</v>
      </c>
      <c r="G3914" s="23" t="s">
        <v>365</v>
      </c>
      <c r="H3914" s="39">
        <f t="shared" si="244"/>
        <v>599</v>
      </c>
      <c r="I3914" s="23" t="str">
        <f t="shared" si="245"/>
        <v>Chennai</v>
      </c>
      <c r="J3914" s="23">
        <f>COUNTIFS(pg_transaction_cleaned!$O:$O,A3914,pg_transaction_cleaned!$F:$F,"CAPTURE")</f>
        <v>0</v>
      </c>
      <c r="K3914" s="39">
        <f>SUMIFS(pg_transaction_cleaned!$H:$H,pg_transaction_cleaned!$O:$O,A3914,pg_transaction_cleaned!$F:$F,"CAPTURE")</f>
        <v>0</v>
      </c>
      <c r="L3914" s="23">
        <f>COUNTIFS(pg_transaction_cleaned!$O:$O,A3914,pg_transaction_cleaned!$F:$F,"REFUND")</f>
        <v>0</v>
      </c>
      <c r="M3914" s="39">
        <f>SUMIFS(pg_transaction_cleaned!$H:$H,pg_transaction_cleaned!$O:$O,A3914,pg_transaction_cleaned!$F:$F,"REFUND")</f>
        <v>0</v>
      </c>
      <c r="N3914" s="23" t="str">
        <f t="shared" si="246"/>
        <v>OK</v>
      </c>
      <c r="O3914" s="24">
        <f t="shared" si="247"/>
        <v>0</v>
      </c>
    </row>
    <row r="3915" spans="1:15" ht="15" customHeight="1" x14ac:dyDescent="0.3">
      <c r="A3915" s="23" t="s">
        <v>8315</v>
      </c>
      <c r="B3915" s="38">
        <v>46266</v>
      </c>
      <c r="C3915" s="23" t="s">
        <v>8316</v>
      </c>
      <c r="D3915" s="23" t="s">
        <v>92</v>
      </c>
      <c r="E3915" s="23" t="s">
        <v>75</v>
      </c>
      <c r="F3915" s="23" t="s">
        <v>291</v>
      </c>
      <c r="G3915" s="23" t="s">
        <v>250</v>
      </c>
      <c r="H3915" s="39">
        <f t="shared" si="244"/>
        <v>3499</v>
      </c>
      <c r="I3915" s="23" t="str">
        <f t="shared" si="245"/>
        <v>Hyderabad</v>
      </c>
      <c r="J3915" s="23">
        <f>COUNTIFS(pg_transaction_cleaned!$O:$O,A3915,pg_transaction_cleaned!$F:$F,"CAPTURE")</f>
        <v>1</v>
      </c>
      <c r="K3915" s="39">
        <f>SUMIFS(pg_transaction_cleaned!$H:$H,pg_transaction_cleaned!$O:$O,A3915,pg_transaction_cleaned!$F:$F,"CAPTURE")</f>
        <v>3499</v>
      </c>
      <c r="L3915" s="23">
        <f>COUNTIFS(pg_transaction_cleaned!$O:$O,A3915,pg_transaction_cleaned!$F:$F,"REFUND")</f>
        <v>0</v>
      </c>
      <c r="M3915" s="39">
        <f>SUMIFS(pg_transaction_cleaned!$H:$H,pg_transaction_cleaned!$O:$O,A3915,pg_transaction_cleaned!$F:$F,"REFUND")</f>
        <v>0</v>
      </c>
      <c r="N3915" s="23" t="str">
        <f t="shared" si="246"/>
        <v>OK</v>
      </c>
      <c r="O3915" s="24">
        <f t="shared" si="247"/>
        <v>0</v>
      </c>
    </row>
    <row r="3916" spans="1:15" ht="15" customHeight="1" x14ac:dyDescent="0.3">
      <c r="A3916" s="23" t="s">
        <v>8317</v>
      </c>
      <c r="B3916" s="38">
        <v>46290</v>
      </c>
      <c r="C3916" s="23" t="s">
        <v>8318</v>
      </c>
      <c r="D3916" s="23" t="s">
        <v>86</v>
      </c>
      <c r="E3916" s="23" t="s">
        <v>75</v>
      </c>
      <c r="F3916" s="23" t="s">
        <v>396</v>
      </c>
      <c r="G3916" s="23" t="s">
        <v>250</v>
      </c>
      <c r="H3916" s="39">
        <f t="shared" si="244"/>
        <v>2999</v>
      </c>
      <c r="I3916" s="23" t="str">
        <f t="shared" si="245"/>
        <v>Delhi</v>
      </c>
      <c r="J3916" s="23">
        <f>COUNTIFS(pg_transaction_cleaned!$O:$O,A3916,pg_transaction_cleaned!$F:$F,"CAPTURE")</f>
        <v>1</v>
      </c>
      <c r="K3916" s="39">
        <f>SUMIFS(pg_transaction_cleaned!$H:$H,pg_transaction_cleaned!$O:$O,A3916,pg_transaction_cleaned!$F:$F,"CAPTURE")</f>
        <v>2999</v>
      </c>
      <c r="L3916" s="23">
        <f>COUNTIFS(pg_transaction_cleaned!$O:$O,A3916,pg_transaction_cleaned!$F:$F,"REFUND")</f>
        <v>0</v>
      </c>
      <c r="M3916" s="39">
        <f>SUMIFS(pg_transaction_cleaned!$H:$H,pg_transaction_cleaned!$O:$O,A3916,pg_transaction_cleaned!$F:$F,"REFUND")</f>
        <v>0</v>
      </c>
      <c r="N3916" s="23" t="str">
        <f t="shared" si="246"/>
        <v>OK</v>
      </c>
      <c r="O3916" s="24">
        <f t="shared" si="247"/>
        <v>0</v>
      </c>
    </row>
    <row r="3917" spans="1:15" ht="15" customHeight="1" x14ac:dyDescent="0.3">
      <c r="A3917" s="23" t="s">
        <v>8319</v>
      </c>
      <c r="B3917" s="38">
        <v>46271</v>
      </c>
      <c r="C3917" s="23" t="s">
        <v>8320</v>
      </c>
      <c r="D3917" s="23" t="s">
        <v>95</v>
      </c>
      <c r="E3917" s="23" t="s">
        <v>75</v>
      </c>
      <c r="F3917" s="23" t="s">
        <v>963</v>
      </c>
      <c r="G3917" s="23" t="s">
        <v>250</v>
      </c>
      <c r="H3917" s="39">
        <f t="shared" si="244"/>
        <v>2398</v>
      </c>
      <c r="I3917" s="23" t="str">
        <f t="shared" si="245"/>
        <v>Bengaluru</v>
      </c>
      <c r="J3917" s="23">
        <f>COUNTIFS(pg_transaction_cleaned!$O:$O,A3917,pg_transaction_cleaned!$F:$F,"CAPTURE")</f>
        <v>1</v>
      </c>
      <c r="K3917" s="39">
        <f>SUMIFS(pg_transaction_cleaned!$H:$H,pg_transaction_cleaned!$O:$O,A3917,pg_transaction_cleaned!$F:$F,"CAPTURE")</f>
        <v>2398</v>
      </c>
      <c r="L3917" s="23">
        <f>COUNTIFS(pg_transaction_cleaned!$O:$O,A3917,pg_transaction_cleaned!$F:$F,"REFUND")</f>
        <v>0</v>
      </c>
      <c r="M3917" s="39">
        <f>SUMIFS(pg_transaction_cleaned!$H:$H,pg_transaction_cleaned!$O:$O,A3917,pg_transaction_cleaned!$F:$F,"REFUND")</f>
        <v>0</v>
      </c>
      <c r="N3917" s="23" t="str">
        <f t="shared" si="246"/>
        <v>OK</v>
      </c>
      <c r="O3917" s="24">
        <f t="shared" si="247"/>
        <v>0</v>
      </c>
    </row>
    <row r="3918" spans="1:15" ht="15" customHeight="1" x14ac:dyDescent="0.3">
      <c r="A3918" s="23" t="s">
        <v>8321</v>
      </c>
      <c r="B3918" s="38">
        <v>46268</v>
      </c>
      <c r="C3918" s="23" t="s">
        <v>8322</v>
      </c>
      <c r="D3918" s="23" t="s">
        <v>94</v>
      </c>
      <c r="E3918" s="23" t="s">
        <v>79</v>
      </c>
      <c r="F3918" s="23" t="s">
        <v>265</v>
      </c>
      <c r="G3918" s="23" t="s">
        <v>250</v>
      </c>
      <c r="H3918" s="39">
        <f t="shared" si="244"/>
        <v>999</v>
      </c>
      <c r="I3918" s="23" t="str">
        <f t="shared" si="245"/>
        <v>Chennai</v>
      </c>
      <c r="J3918" s="23">
        <f>COUNTIFS(pg_transaction_cleaned!$O:$O,A3918,pg_transaction_cleaned!$F:$F,"CAPTURE")</f>
        <v>1</v>
      </c>
      <c r="K3918" s="39">
        <f>SUMIFS(pg_transaction_cleaned!$H:$H,pg_transaction_cleaned!$O:$O,A3918,pg_transaction_cleaned!$F:$F,"CAPTURE")</f>
        <v>999</v>
      </c>
      <c r="L3918" s="23">
        <f>COUNTIFS(pg_transaction_cleaned!$O:$O,A3918,pg_transaction_cleaned!$F:$F,"REFUND")</f>
        <v>0</v>
      </c>
      <c r="M3918" s="39">
        <f>SUMIFS(pg_transaction_cleaned!$H:$H,pg_transaction_cleaned!$O:$O,A3918,pg_transaction_cleaned!$F:$F,"REFUND")</f>
        <v>0</v>
      </c>
      <c r="N3918" s="23" t="str">
        <f t="shared" si="246"/>
        <v>OK</v>
      </c>
      <c r="O3918" s="24">
        <f t="shared" si="247"/>
        <v>0</v>
      </c>
    </row>
    <row r="3919" spans="1:15" ht="15" customHeight="1" x14ac:dyDescent="0.3">
      <c r="A3919" s="23" t="s">
        <v>8323</v>
      </c>
      <c r="B3919" s="38">
        <v>46287</v>
      </c>
      <c r="C3919" s="23" t="s">
        <v>8324</v>
      </c>
      <c r="D3919" s="23" t="s">
        <v>91</v>
      </c>
      <c r="E3919" s="23" t="s">
        <v>75</v>
      </c>
      <c r="F3919" s="23" t="s">
        <v>259</v>
      </c>
      <c r="G3919" s="23" t="s">
        <v>250</v>
      </c>
      <c r="H3919" s="39">
        <f t="shared" si="244"/>
        <v>3298</v>
      </c>
      <c r="I3919" s="23" t="str">
        <f t="shared" si="245"/>
        <v>Pune</v>
      </c>
      <c r="J3919" s="23">
        <f>COUNTIFS(pg_transaction_cleaned!$O:$O,A3919,pg_transaction_cleaned!$F:$F,"CAPTURE")</f>
        <v>1</v>
      </c>
      <c r="K3919" s="39">
        <f>SUMIFS(pg_transaction_cleaned!$H:$H,pg_transaction_cleaned!$O:$O,A3919,pg_transaction_cleaned!$F:$F,"CAPTURE")</f>
        <v>3298</v>
      </c>
      <c r="L3919" s="23">
        <f>COUNTIFS(pg_transaction_cleaned!$O:$O,A3919,pg_transaction_cleaned!$F:$F,"REFUND")</f>
        <v>0</v>
      </c>
      <c r="M3919" s="39">
        <f>SUMIFS(pg_transaction_cleaned!$H:$H,pg_transaction_cleaned!$O:$O,A3919,pg_transaction_cleaned!$F:$F,"REFUND")</f>
        <v>0</v>
      </c>
      <c r="N3919" s="23" t="str">
        <f t="shared" si="246"/>
        <v>OK</v>
      </c>
      <c r="O3919" s="24">
        <f t="shared" si="247"/>
        <v>0</v>
      </c>
    </row>
    <row r="3920" spans="1:15" ht="15" customHeight="1" x14ac:dyDescent="0.3">
      <c r="A3920" s="23" t="s">
        <v>8325</v>
      </c>
      <c r="B3920" s="38">
        <v>46274</v>
      </c>
      <c r="C3920" s="23" t="s">
        <v>8326</v>
      </c>
      <c r="D3920" s="23" t="s">
        <v>95</v>
      </c>
      <c r="E3920" s="23" t="s">
        <v>75</v>
      </c>
      <c r="F3920" s="23" t="s">
        <v>2178</v>
      </c>
      <c r="G3920" s="23" t="s">
        <v>250</v>
      </c>
      <c r="H3920" s="39">
        <f t="shared" si="244"/>
        <v>8997</v>
      </c>
      <c r="I3920" s="23" t="str">
        <f t="shared" si="245"/>
        <v>Bengaluru</v>
      </c>
      <c r="J3920" s="23">
        <f>COUNTIFS(pg_transaction_cleaned!$O:$O,A3920,pg_transaction_cleaned!$F:$F,"CAPTURE")</f>
        <v>1</v>
      </c>
      <c r="K3920" s="39">
        <f>SUMIFS(pg_transaction_cleaned!$H:$H,pg_transaction_cleaned!$O:$O,A3920,pg_transaction_cleaned!$F:$F,"CAPTURE")</f>
        <v>8997</v>
      </c>
      <c r="L3920" s="23">
        <f>COUNTIFS(pg_transaction_cleaned!$O:$O,A3920,pg_transaction_cleaned!$F:$F,"REFUND")</f>
        <v>0</v>
      </c>
      <c r="M3920" s="39">
        <f>SUMIFS(pg_transaction_cleaned!$H:$H,pg_transaction_cleaned!$O:$O,A3920,pg_transaction_cleaned!$F:$F,"REFUND")</f>
        <v>0</v>
      </c>
      <c r="N3920" s="23" t="str">
        <f t="shared" si="246"/>
        <v>OK</v>
      </c>
      <c r="O3920" s="24">
        <f t="shared" si="247"/>
        <v>0</v>
      </c>
    </row>
    <row r="3921" spans="1:15" ht="15" customHeight="1" x14ac:dyDescent="0.3">
      <c r="A3921" s="23" t="s">
        <v>8327</v>
      </c>
      <c r="B3921" s="38">
        <v>46268</v>
      </c>
      <c r="C3921" s="23" t="s">
        <v>8328</v>
      </c>
      <c r="D3921" s="23" t="s">
        <v>94</v>
      </c>
      <c r="E3921" s="23" t="s">
        <v>75</v>
      </c>
      <c r="F3921" s="23" t="s">
        <v>310</v>
      </c>
      <c r="G3921" s="23" t="s">
        <v>250</v>
      </c>
      <c r="H3921" s="39">
        <f t="shared" si="244"/>
        <v>7999</v>
      </c>
      <c r="I3921" s="23" t="str">
        <f t="shared" si="245"/>
        <v>Chennai</v>
      </c>
      <c r="J3921" s="23">
        <f>COUNTIFS(pg_transaction_cleaned!$O:$O,A3921,pg_transaction_cleaned!$F:$F,"CAPTURE")</f>
        <v>1</v>
      </c>
      <c r="K3921" s="39">
        <f>SUMIFS(pg_transaction_cleaned!$H:$H,pg_transaction_cleaned!$O:$O,A3921,pg_transaction_cleaned!$F:$F,"CAPTURE")</f>
        <v>7999</v>
      </c>
      <c r="L3921" s="23">
        <f>COUNTIFS(pg_transaction_cleaned!$O:$O,A3921,pg_transaction_cleaned!$F:$F,"REFUND")</f>
        <v>0</v>
      </c>
      <c r="M3921" s="39">
        <f>SUMIFS(pg_transaction_cleaned!$H:$H,pg_transaction_cleaned!$O:$O,A3921,pg_transaction_cleaned!$F:$F,"REFUND")</f>
        <v>0</v>
      </c>
      <c r="N3921" s="23" t="str">
        <f t="shared" si="246"/>
        <v>OK</v>
      </c>
      <c r="O3921" s="24">
        <f t="shared" si="247"/>
        <v>0</v>
      </c>
    </row>
    <row r="3922" spans="1:15" ht="15" customHeight="1" x14ac:dyDescent="0.3">
      <c r="A3922" s="23" t="s">
        <v>8329</v>
      </c>
      <c r="B3922" s="38">
        <v>46275</v>
      </c>
      <c r="C3922" s="23" t="s">
        <v>8330</v>
      </c>
      <c r="D3922" s="23" t="s">
        <v>89</v>
      </c>
      <c r="E3922" s="23" t="s">
        <v>75</v>
      </c>
      <c r="F3922" s="23" t="s">
        <v>315</v>
      </c>
      <c r="G3922" s="23" t="s">
        <v>250</v>
      </c>
      <c r="H3922" s="39">
        <f t="shared" si="244"/>
        <v>1499</v>
      </c>
      <c r="I3922" s="23" t="str">
        <f t="shared" si="245"/>
        <v>Jaipur</v>
      </c>
      <c r="J3922" s="23">
        <f>COUNTIFS(pg_transaction_cleaned!$O:$O,A3922,pg_transaction_cleaned!$F:$F,"CAPTURE")</f>
        <v>1</v>
      </c>
      <c r="K3922" s="39">
        <f>SUMIFS(pg_transaction_cleaned!$H:$H,pg_transaction_cleaned!$O:$O,A3922,pg_transaction_cleaned!$F:$F,"CAPTURE")</f>
        <v>1499</v>
      </c>
      <c r="L3922" s="23">
        <f>COUNTIFS(pg_transaction_cleaned!$O:$O,A3922,pg_transaction_cleaned!$F:$F,"REFUND")</f>
        <v>0</v>
      </c>
      <c r="M3922" s="39">
        <f>SUMIFS(pg_transaction_cleaned!$H:$H,pg_transaction_cleaned!$O:$O,A3922,pg_transaction_cleaned!$F:$F,"REFUND")</f>
        <v>0</v>
      </c>
      <c r="N3922" s="23" t="str">
        <f t="shared" si="246"/>
        <v>OK</v>
      </c>
      <c r="O3922" s="24">
        <f t="shared" si="247"/>
        <v>0</v>
      </c>
    </row>
    <row r="3923" spans="1:15" ht="15" customHeight="1" x14ac:dyDescent="0.3">
      <c r="A3923" s="23" t="s">
        <v>8331</v>
      </c>
      <c r="B3923" s="38">
        <v>46272</v>
      </c>
      <c r="C3923" s="23" t="s">
        <v>8332</v>
      </c>
      <c r="D3923" s="23" t="s">
        <v>87</v>
      </c>
      <c r="E3923" s="23" t="s">
        <v>75</v>
      </c>
      <c r="F3923" s="23" t="s">
        <v>1596</v>
      </c>
      <c r="G3923" s="23" t="s">
        <v>250</v>
      </c>
      <c r="H3923" s="39">
        <f t="shared" si="244"/>
        <v>3499</v>
      </c>
      <c r="I3923" s="23" t="str">
        <f t="shared" si="245"/>
        <v>Mumbai</v>
      </c>
      <c r="J3923" s="23">
        <f>COUNTIFS(pg_transaction_cleaned!$O:$O,A3923,pg_transaction_cleaned!$F:$F,"CAPTURE")</f>
        <v>0</v>
      </c>
      <c r="K3923" s="39">
        <f>SUMIFS(pg_transaction_cleaned!$H:$H,pg_transaction_cleaned!$O:$O,A3923,pg_transaction_cleaned!$F:$F,"CAPTURE")</f>
        <v>0</v>
      </c>
      <c r="L3923" s="23">
        <f>COUNTIFS(pg_transaction_cleaned!$O:$O,A3923,pg_transaction_cleaned!$F:$F,"REFUND")</f>
        <v>0</v>
      </c>
      <c r="M3923" s="39">
        <f>SUMIFS(pg_transaction_cleaned!$H:$H,pg_transaction_cleaned!$O:$O,A3923,pg_transaction_cleaned!$F:$F,"REFUND")</f>
        <v>0</v>
      </c>
      <c r="N3923" s="23" t="str">
        <f t="shared" si="246"/>
        <v>Paid, no payment</v>
      </c>
      <c r="O3923" s="24">
        <f t="shared" si="247"/>
        <v>3499</v>
      </c>
    </row>
    <row r="3924" spans="1:15" ht="15" customHeight="1" x14ac:dyDescent="0.3">
      <c r="A3924" s="23" t="s">
        <v>8333</v>
      </c>
      <c r="B3924" s="38">
        <v>46269</v>
      </c>
      <c r="C3924" s="23" t="s">
        <v>8334</v>
      </c>
      <c r="D3924" s="23" t="s">
        <v>88</v>
      </c>
      <c r="E3924" s="23" t="s">
        <v>75</v>
      </c>
      <c r="F3924" s="23" t="s">
        <v>2304</v>
      </c>
      <c r="G3924" s="23" t="s">
        <v>301</v>
      </c>
      <c r="H3924" s="39">
        <f t="shared" si="244"/>
        <v>6797</v>
      </c>
      <c r="I3924" s="23" t="str">
        <f t="shared" si="245"/>
        <v>Lucknow</v>
      </c>
      <c r="J3924" s="23">
        <f>COUNTIFS(pg_transaction_cleaned!$O:$O,A3924,pg_transaction_cleaned!$F:$F,"CAPTURE")</f>
        <v>1</v>
      </c>
      <c r="K3924" s="39">
        <f>SUMIFS(pg_transaction_cleaned!$H:$H,pg_transaction_cleaned!$O:$O,A3924,pg_transaction_cleaned!$F:$F,"CAPTURE")</f>
        <v>6797</v>
      </c>
      <c r="L3924" s="23">
        <f>COUNTIFS(pg_transaction_cleaned!$O:$O,A3924,pg_transaction_cleaned!$F:$F,"REFUND")</f>
        <v>1</v>
      </c>
      <c r="M3924" s="39">
        <f>SUMIFS(pg_transaction_cleaned!$H:$H,pg_transaction_cleaned!$O:$O,A3924,pg_transaction_cleaned!$F:$F,"REFUND")</f>
        <v>6797</v>
      </c>
      <c r="N3924" s="23" t="str">
        <f t="shared" si="246"/>
        <v>OK</v>
      </c>
      <c r="O3924" s="24">
        <f t="shared" si="247"/>
        <v>0</v>
      </c>
    </row>
    <row r="3925" spans="1:15" ht="15" customHeight="1" x14ac:dyDescent="0.3">
      <c r="A3925" s="23" t="s">
        <v>8335</v>
      </c>
      <c r="B3925" s="38">
        <v>46268</v>
      </c>
      <c r="C3925" s="23" t="s">
        <v>8336</v>
      </c>
      <c r="D3925" s="23" t="s">
        <v>90</v>
      </c>
      <c r="E3925" s="23" t="s">
        <v>75</v>
      </c>
      <c r="F3925" s="23" t="s">
        <v>274</v>
      </c>
      <c r="G3925" s="23" t="s">
        <v>318</v>
      </c>
      <c r="H3925" s="39">
        <f t="shared" si="244"/>
        <v>349</v>
      </c>
      <c r="I3925" s="23" t="str">
        <f t="shared" si="245"/>
        <v>Ahmedabad</v>
      </c>
      <c r="J3925" s="23">
        <f>COUNTIFS(pg_transaction_cleaned!$O:$O,A3925,pg_transaction_cleaned!$F:$F,"CAPTURE")</f>
        <v>0</v>
      </c>
      <c r="K3925" s="39">
        <f>SUMIFS(pg_transaction_cleaned!$H:$H,pg_transaction_cleaned!$O:$O,A3925,pg_transaction_cleaned!$F:$F,"CAPTURE")</f>
        <v>0</v>
      </c>
      <c r="L3925" s="23">
        <f>COUNTIFS(pg_transaction_cleaned!$O:$O,A3925,pg_transaction_cleaned!$F:$F,"REFUND")</f>
        <v>0</v>
      </c>
      <c r="M3925" s="39">
        <f>SUMIFS(pg_transaction_cleaned!$H:$H,pg_transaction_cleaned!$O:$O,A3925,pg_transaction_cleaned!$F:$F,"REFUND")</f>
        <v>0</v>
      </c>
      <c r="N3925" s="23" t="str">
        <f t="shared" si="246"/>
        <v>OK</v>
      </c>
      <c r="O3925" s="24">
        <f t="shared" si="247"/>
        <v>0</v>
      </c>
    </row>
    <row r="3926" spans="1:15" ht="15" customHeight="1" x14ac:dyDescent="0.3">
      <c r="A3926" s="23" t="s">
        <v>8337</v>
      </c>
      <c r="B3926" s="38">
        <v>46283</v>
      </c>
      <c r="C3926" s="23" t="s">
        <v>8338</v>
      </c>
      <c r="D3926" s="23"/>
      <c r="E3926" s="23" t="s">
        <v>81</v>
      </c>
      <c r="F3926" s="23" t="s">
        <v>1193</v>
      </c>
      <c r="G3926" s="23" t="s">
        <v>250</v>
      </c>
      <c r="H3926" s="39">
        <f t="shared" si="244"/>
        <v>3498</v>
      </c>
      <c r="I3926" s="23" t="str">
        <f t="shared" si="245"/>
        <v>Unknown</v>
      </c>
      <c r="J3926" s="23">
        <f>COUNTIFS(pg_transaction_cleaned!$O:$O,A3926,pg_transaction_cleaned!$F:$F,"CAPTURE")</f>
        <v>1</v>
      </c>
      <c r="K3926" s="39">
        <f>SUMIFS(pg_transaction_cleaned!$H:$H,pg_transaction_cleaned!$O:$O,A3926,pg_transaction_cleaned!$F:$F,"CAPTURE")</f>
        <v>3498</v>
      </c>
      <c r="L3926" s="23">
        <f>COUNTIFS(pg_transaction_cleaned!$O:$O,A3926,pg_transaction_cleaned!$F:$F,"REFUND")</f>
        <v>0</v>
      </c>
      <c r="M3926" s="39">
        <f>SUMIFS(pg_transaction_cleaned!$H:$H,pg_transaction_cleaned!$O:$O,A3926,pg_transaction_cleaned!$F:$F,"REFUND")</f>
        <v>0</v>
      </c>
      <c r="N3926" s="23" t="str">
        <f t="shared" si="246"/>
        <v>OK</v>
      </c>
      <c r="O3926" s="24">
        <f t="shared" si="247"/>
        <v>0</v>
      </c>
    </row>
    <row r="3927" spans="1:15" ht="15" customHeight="1" x14ac:dyDescent="0.3">
      <c r="A3927" s="23" t="s">
        <v>8339</v>
      </c>
      <c r="B3927" s="38">
        <v>46268</v>
      </c>
      <c r="C3927" s="23" t="s">
        <v>8340</v>
      </c>
      <c r="D3927" s="23" t="s">
        <v>89</v>
      </c>
      <c r="E3927" s="23" t="s">
        <v>79</v>
      </c>
      <c r="F3927" s="23" t="s">
        <v>574</v>
      </c>
      <c r="G3927" s="23" t="s">
        <v>250</v>
      </c>
      <c r="H3927" s="39">
        <f t="shared" si="244"/>
        <v>1848</v>
      </c>
      <c r="I3927" s="23" t="str">
        <f t="shared" si="245"/>
        <v>Jaipur</v>
      </c>
      <c r="J3927" s="23">
        <f>COUNTIFS(pg_transaction_cleaned!$O:$O,A3927,pg_transaction_cleaned!$F:$F,"CAPTURE")</f>
        <v>1</v>
      </c>
      <c r="K3927" s="39">
        <f>SUMIFS(pg_transaction_cleaned!$H:$H,pg_transaction_cleaned!$O:$O,A3927,pg_transaction_cleaned!$F:$F,"CAPTURE")</f>
        <v>1848</v>
      </c>
      <c r="L3927" s="23">
        <f>COUNTIFS(pg_transaction_cleaned!$O:$O,A3927,pg_transaction_cleaned!$F:$F,"REFUND")</f>
        <v>0</v>
      </c>
      <c r="M3927" s="39">
        <f>SUMIFS(pg_transaction_cleaned!$H:$H,pg_transaction_cleaned!$O:$O,A3927,pg_transaction_cleaned!$F:$F,"REFUND")</f>
        <v>0</v>
      </c>
      <c r="N3927" s="23" t="str">
        <f t="shared" si="246"/>
        <v>OK</v>
      </c>
      <c r="O3927" s="24">
        <f t="shared" si="247"/>
        <v>0</v>
      </c>
    </row>
    <row r="3928" spans="1:15" ht="15" customHeight="1" x14ac:dyDescent="0.3">
      <c r="A3928" s="23" t="s">
        <v>8341</v>
      </c>
      <c r="B3928" s="38">
        <v>46276</v>
      </c>
      <c r="C3928" s="23" t="s">
        <v>8342</v>
      </c>
      <c r="D3928" s="23" t="s">
        <v>93</v>
      </c>
      <c r="E3928" s="23" t="s">
        <v>75</v>
      </c>
      <c r="F3928" s="23" t="s">
        <v>582</v>
      </c>
      <c r="G3928" s="23" t="s">
        <v>250</v>
      </c>
      <c r="H3928" s="39">
        <f t="shared" si="244"/>
        <v>1298</v>
      </c>
      <c r="I3928" s="23" t="str">
        <f t="shared" si="245"/>
        <v>Kolkata</v>
      </c>
      <c r="J3928" s="23">
        <f>COUNTIFS(pg_transaction_cleaned!$O:$O,A3928,pg_transaction_cleaned!$F:$F,"CAPTURE")</f>
        <v>1</v>
      </c>
      <c r="K3928" s="39">
        <f>SUMIFS(pg_transaction_cleaned!$H:$H,pg_transaction_cleaned!$O:$O,A3928,pg_transaction_cleaned!$F:$F,"CAPTURE")</f>
        <v>1298</v>
      </c>
      <c r="L3928" s="23">
        <f>COUNTIFS(pg_transaction_cleaned!$O:$O,A3928,pg_transaction_cleaned!$F:$F,"REFUND")</f>
        <v>0</v>
      </c>
      <c r="M3928" s="39">
        <f>SUMIFS(pg_transaction_cleaned!$H:$H,pg_transaction_cleaned!$O:$O,A3928,pg_transaction_cleaned!$F:$F,"REFUND")</f>
        <v>0</v>
      </c>
      <c r="N3928" s="23" t="str">
        <f t="shared" si="246"/>
        <v>OK</v>
      </c>
      <c r="O3928" s="24">
        <f t="shared" si="247"/>
        <v>0</v>
      </c>
    </row>
    <row r="3929" spans="1:15" ht="15" customHeight="1" x14ac:dyDescent="0.3">
      <c r="A3929" s="23" t="s">
        <v>8343</v>
      </c>
      <c r="B3929" s="38">
        <v>46286</v>
      </c>
      <c r="C3929" s="23" t="s">
        <v>2673</v>
      </c>
      <c r="D3929" s="23" t="s">
        <v>95</v>
      </c>
      <c r="E3929" s="23" t="s">
        <v>81</v>
      </c>
      <c r="F3929" s="23" t="s">
        <v>675</v>
      </c>
      <c r="G3929" s="23" t="s">
        <v>250</v>
      </c>
      <c r="H3929" s="39">
        <f t="shared" si="244"/>
        <v>10998</v>
      </c>
      <c r="I3929" s="23" t="str">
        <f t="shared" si="245"/>
        <v>Bengaluru</v>
      </c>
      <c r="J3929" s="23">
        <f>COUNTIFS(pg_transaction_cleaned!$O:$O,A3929,pg_transaction_cleaned!$F:$F,"CAPTURE")</f>
        <v>1</v>
      </c>
      <c r="K3929" s="39">
        <f>SUMIFS(pg_transaction_cleaned!$H:$H,pg_transaction_cleaned!$O:$O,A3929,pg_transaction_cleaned!$F:$F,"CAPTURE")</f>
        <v>10998</v>
      </c>
      <c r="L3929" s="23">
        <f>COUNTIFS(pg_transaction_cleaned!$O:$O,A3929,pg_transaction_cleaned!$F:$F,"REFUND")</f>
        <v>0</v>
      </c>
      <c r="M3929" s="39">
        <f>SUMIFS(pg_transaction_cleaned!$H:$H,pg_transaction_cleaned!$O:$O,A3929,pg_transaction_cleaned!$F:$F,"REFUND")</f>
        <v>0</v>
      </c>
      <c r="N3929" s="23" t="str">
        <f t="shared" si="246"/>
        <v>OK</v>
      </c>
      <c r="O3929" s="24">
        <f t="shared" si="247"/>
        <v>0</v>
      </c>
    </row>
    <row r="3930" spans="1:15" ht="15" customHeight="1" x14ac:dyDescent="0.3">
      <c r="A3930" s="23" t="s">
        <v>8344</v>
      </c>
      <c r="B3930" s="38">
        <v>46273</v>
      </c>
      <c r="C3930" s="23" t="s">
        <v>8345</v>
      </c>
      <c r="D3930" s="23" t="s">
        <v>93</v>
      </c>
      <c r="E3930" s="23" t="s">
        <v>79</v>
      </c>
      <c r="F3930" s="23" t="s">
        <v>8346</v>
      </c>
      <c r="G3930" s="23" t="s">
        <v>250</v>
      </c>
      <c r="H3930" s="39">
        <f t="shared" si="244"/>
        <v>2147</v>
      </c>
      <c r="I3930" s="23" t="str">
        <f t="shared" si="245"/>
        <v>Kolkata</v>
      </c>
      <c r="J3930" s="23">
        <f>COUNTIFS(pg_transaction_cleaned!$O:$O,A3930,pg_transaction_cleaned!$F:$F,"CAPTURE")</f>
        <v>1</v>
      </c>
      <c r="K3930" s="39">
        <f>SUMIFS(pg_transaction_cleaned!$H:$H,pg_transaction_cleaned!$O:$O,A3930,pg_transaction_cleaned!$F:$F,"CAPTURE")</f>
        <v>2147</v>
      </c>
      <c r="L3930" s="23">
        <f>COUNTIFS(pg_transaction_cleaned!$O:$O,A3930,pg_transaction_cleaned!$F:$F,"REFUND")</f>
        <v>0</v>
      </c>
      <c r="M3930" s="39">
        <f>SUMIFS(pg_transaction_cleaned!$H:$H,pg_transaction_cleaned!$O:$O,A3930,pg_transaction_cleaned!$F:$F,"REFUND")</f>
        <v>0</v>
      </c>
      <c r="N3930" s="23" t="str">
        <f t="shared" si="246"/>
        <v>OK</v>
      </c>
      <c r="O3930" s="24">
        <f t="shared" si="247"/>
        <v>0</v>
      </c>
    </row>
    <row r="3931" spans="1:15" ht="15" customHeight="1" x14ac:dyDescent="0.3">
      <c r="A3931" s="23" t="s">
        <v>8347</v>
      </c>
      <c r="B3931" s="38">
        <v>46267</v>
      </c>
      <c r="C3931" s="23" t="s">
        <v>8348</v>
      </c>
      <c r="D3931" s="23" t="s">
        <v>93</v>
      </c>
      <c r="E3931" s="23" t="s">
        <v>75</v>
      </c>
      <c r="F3931" s="23" t="s">
        <v>262</v>
      </c>
      <c r="G3931" s="23" t="s">
        <v>250</v>
      </c>
      <c r="H3931" s="39">
        <f t="shared" si="244"/>
        <v>499</v>
      </c>
      <c r="I3931" s="23" t="str">
        <f t="shared" si="245"/>
        <v>Kolkata</v>
      </c>
      <c r="J3931" s="23">
        <f>COUNTIFS(pg_transaction_cleaned!$O:$O,A3931,pg_transaction_cleaned!$F:$F,"CAPTURE")</f>
        <v>1</v>
      </c>
      <c r="K3931" s="39">
        <f>SUMIFS(pg_transaction_cleaned!$H:$H,pg_transaction_cleaned!$O:$O,A3931,pg_transaction_cleaned!$F:$F,"CAPTURE")</f>
        <v>499</v>
      </c>
      <c r="L3931" s="23">
        <f>COUNTIFS(pg_transaction_cleaned!$O:$O,A3931,pg_transaction_cleaned!$F:$F,"REFUND")</f>
        <v>0</v>
      </c>
      <c r="M3931" s="39">
        <f>SUMIFS(pg_transaction_cleaned!$H:$H,pg_transaction_cleaned!$O:$O,A3931,pg_transaction_cleaned!$F:$F,"REFUND")</f>
        <v>0</v>
      </c>
      <c r="N3931" s="23" t="str">
        <f t="shared" si="246"/>
        <v>OK</v>
      </c>
      <c r="O3931" s="24">
        <f t="shared" si="247"/>
        <v>0</v>
      </c>
    </row>
    <row r="3932" spans="1:15" ht="15" customHeight="1" x14ac:dyDescent="0.3">
      <c r="A3932" s="23" t="s">
        <v>8349</v>
      </c>
      <c r="B3932" s="38">
        <v>46293</v>
      </c>
      <c r="C3932" s="23" t="s">
        <v>8350</v>
      </c>
      <c r="D3932" s="23" t="s">
        <v>94</v>
      </c>
      <c r="E3932" s="23" t="s">
        <v>75</v>
      </c>
      <c r="F3932" s="23" t="s">
        <v>396</v>
      </c>
      <c r="G3932" s="23" t="s">
        <v>250</v>
      </c>
      <c r="H3932" s="39">
        <f t="shared" si="244"/>
        <v>2999</v>
      </c>
      <c r="I3932" s="23" t="str">
        <f t="shared" si="245"/>
        <v>Chennai</v>
      </c>
      <c r="J3932" s="23">
        <f>COUNTIFS(pg_transaction_cleaned!$O:$O,A3932,pg_transaction_cleaned!$F:$F,"CAPTURE")</f>
        <v>1</v>
      </c>
      <c r="K3932" s="39">
        <f>SUMIFS(pg_transaction_cleaned!$H:$H,pg_transaction_cleaned!$O:$O,A3932,pg_transaction_cleaned!$F:$F,"CAPTURE")</f>
        <v>2999</v>
      </c>
      <c r="L3932" s="23">
        <f>COUNTIFS(pg_transaction_cleaned!$O:$O,A3932,pg_transaction_cleaned!$F:$F,"REFUND")</f>
        <v>0</v>
      </c>
      <c r="M3932" s="39">
        <f>SUMIFS(pg_transaction_cleaned!$H:$H,pg_transaction_cleaned!$O:$O,A3932,pg_transaction_cleaned!$F:$F,"REFUND")</f>
        <v>0</v>
      </c>
      <c r="N3932" s="23" t="str">
        <f t="shared" si="246"/>
        <v>OK</v>
      </c>
      <c r="O3932" s="24">
        <f t="shared" si="247"/>
        <v>0</v>
      </c>
    </row>
    <row r="3933" spans="1:15" ht="15" customHeight="1" x14ac:dyDescent="0.3">
      <c r="A3933" s="23" t="s">
        <v>8351</v>
      </c>
      <c r="B3933" s="38">
        <v>46295</v>
      </c>
      <c r="C3933" s="23" t="s">
        <v>8352</v>
      </c>
      <c r="D3933" s="23" t="s">
        <v>86</v>
      </c>
      <c r="E3933" s="23" t="s">
        <v>75</v>
      </c>
      <c r="F3933" s="23" t="s">
        <v>262</v>
      </c>
      <c r="G3933" s="23" t="s">
        <v>250</v>
      </c>
      <c r="H3933" s="39">
        <f t="shared" si="244"/>
        <v>499</v>
      </c>
      <c r="I3933" s="23" t="str">
        <f t="shared" si="245"/>
        <v>Delhi</v>
      </c>
      <c r="J3933" s="23">
        <f>COUNTIFS(pg_transaction_cleaned!$O:$O,A3933,pg_transaction_cleaned!$F:$F,"CAPTURE")</f>
        <v>1</v>
      </c>
      <c r="K3933" s="39">
        <f>SUMIFS(pg_transaction_cleaned!$H:$H,pg_transaction_cleaned!$O:$O,A3933,pg_transaction_cleaned!$F:$F,"CAPTURE")</f>
        <v>499</v>
      </c>
      <c r="L3933" s="23">
        <f>COUNTIFS(pg_transaction_cleaned!$O:$O,A3933,pg_transaction_cleaned!$F:$F,"REFUND")</f>
        <v>0</v>
      </c>
      <c r="M3933" s="39">
        <f>SUMIFS(pg_transaction_cleaned!$H:$H,pg_transaction_cleaned!$O:$O,A3933,pg_transaction_cleaned!$F:$F,"REFUND")</f>
        <v>0</v>
      </c>
      <c r="N3933" s="23" t="str">
        <f t="shared" si="246"/>
        <v>OK</v>
      </c>
      <c r="O3933" s="24">
        <f t="shared" si="247"/>
        <v>0</v>
      </c>
    </row>
    <row r="3934" spans="1:15" ht="15" customHeight="1" x14ac:dyDescent="0.3">
      <c r="A3934" s="23" t="s">
        <v>8353</v>
      </c>
      <c r="B3934" s="38">
        <v>46266</v>
      </c>
      <c r="C3934" s="23" t="s">
        <v>8354</v>
      </c>
      <c r="D3934" s="23" t="s">
        <v>94</v>
      </c>
      <c r="E3934" s="23" t="s">
        <v>75</v>
      </c>
      <c r="F3934" s="23" t="s">
        <v>5639</v>
      </c>
      <c r="G3934" s="23" t="s">
        <v>250</v>
      </c>
      <c r="H3934" s="39">
        <f t="shared" si="244"/>
        <v>2798</v>
      </c>
      <c r="I3934" s="23" t="str">
        <f t="shared" si="245"/>
        <v>Chennai</v>
      </c>
      <c r="J3934" s="23">
        <f>COUNTIFS(pg_transaction_cleaned!$O:$O,A3934,pg_transaction_cleaned!$F:$F,"CAPTURE")</f>
        <v>1</v>
      </c>
      <c r="K3934" s="39">
        <f>SUMIFS(pg_transaction_cleaned!$H:$H,pg_transaction_cleaned!$O:$O,A3934,pg_transaction_cleaned!$F:$F,"CAPTURE")</f>
        <v>2798</v>
      </c>
      <c r="L3934" s="23">
        <f>COUNTIFS(pg_transaction_cleaned!$O:$O,A3934,pg_transaction_cleaned!$F:$F,"REFUND")</f>
        <v>0</v>
      </c>
      <c r="M3934" s="39">
        <f>SUMIFS(pg_transaction_cleaned!$H:$H,pg_transaction_cleaned!$O:$O,A3934,pg_transaction_cleaned!$F:$F,"REFUND")</f>
        <v>0</v>
      </c>
      <c r="N3934" s="23" t="str">
        <f t="shared" si="246"/>
        <v>OK</v>
      </c>
      <c r="O3934" s="24">
        <f t="shared" si="247"/>
        <v>0</v>
      </c>
    </row>
    <row r="3935" spans="1:15" ht="15" customHeight="1" x14ac:dyDescent="0.3">
      <c r="A3935" s="23" t="s">
        <v>8355</v>
      </c>
      <c r="B3935" s="38">
        <v>46289</v>
      </c>
      <c r="C3935" s="23" t="s">
        <v>8356</v>
      </c>
      <c r="D3935" s="23" t="s">
        <v>93</v>
      </c>
      <c r="E3935" s="23" t="s">
        <v>77</v>
      </c>
      <c r="F3935" s="23" t="s">
        <v>483</v>
      </c>
      <c r="G3935" s="23" t="s">
        <v>250</v>
      </c>
      <c r="H3935" s="39">
        <f t="shared" si="244"/>
        <v>2998</v>
      </c>
      <c r="I3935" s="23" t="str">
        <f t="shared" si="245"/>
        <v>Kolkata</v>
      </c>
      <c r="J3935" s="23">
        <f>COUNTIFS(pg_transaction_cleaned!$O:$O,A3935,pg_transaction_cleaned!$F:$F,"CAPTURE")</f>
        <v>1</v>
      </c>
      <c r="K3935" s="39">
        <f>SUMIFS(pg_transaction_cleaned!$H:$H,pg_transaction_cleaned!$O:$O,A3935,pg_transaction_cleaned!$F:$F,"CAPTURE")</f>
        <v>2998</v>
      </c>
      <c r="L3935" s="23">
        <f>COUNTIFS(pg_transaction_cleaned!$O:$O,A3935,pg_transaction_cleaned!$F:$F,"REFUND")</f>
        <v>0</v>
      </c>
      <c r="M3935" s="39">
        <f>SUMIFS(pg_transaction_cleaned!$H:$H,pg_transaction_cleaned!$O:$O,A3935,pg_transaction_cleaned!$F:$F,"REFUND")</f>
        <v>0</v>
      </c>
      <c r="N3935" s="23" t="str">
        <f t="shared" si="246"/>
        <v>OK</v>
      </c>
      <c r="O3935" s="24">
        <f t="shared" si="247"/>
        <v>0</v>
      </c>
    </row>
    <row r="3936" spans="1:15" ht="15" customHeight="1" x14ac:dyDescent="0.3">
      <c r="A3936" s="23" t="s">
        <v>8357</v>
      </c>
      <c r="B3936" s="38">
        <v>46294</v>
      </c>
      <c r="C3936" s="23" t="s">
        <v>8358</v>
      </c>
      <c r="D3936" s="23" t="s">
        <v>86</v>
      </c>
      <c r="E3936" s="23" t="s">
        <v>75</v>
      </c>
      <c r="F3936" s="23" t="s">
        <v>329</v>
      </c>
      <c r="G3936" s="23" t="s">
        <v>250</v>
      </c>
      <c r="H3936" s="39">
        <f t="shared" si="244"/>
        <v>599</v>
      </c>
      <c r="I3936" s="23" t="str">
        <f t="shared" si="245"/>
        <v>Delhi</v>
      </c>
      <c r="J3936" s="23">
        <f>COUNTIFS(pg_transaction_cleaned!$O:$O,A3936,pg_transaction_cleaned!$F:$F,"CAPTURE")</f>
        <v>1</v>
      </c>
      <c r="K3936" s="39">
        <f>SUMIFS(pg_transaction_cleaned!$H:$H,pg_transaction_cleaned!$O:$O,A3936,pg_transaction_cleaned!$F:$F,"CAPTURE")</f>
        <v>599</v>
      </c>
      <c r="L3936" s="23">
        <f>COUNTIFS(pg_transaction_cleaned!$O:$O,A3936,pg_transaction_cleaned!$F:$F,"REFUND")</f>
        <v>0</v>
      </c>
      <c r="M3936" s="39">
        <f>SUMIFS(pg_transaction_cleaned!$H:$H,pg_transaction_cleaned!$O:$O,A3936,pg_transaction_cleaned!$F:$F,"REFUND")</f>
        <v>0</v>
      </c>
      <c r="N3936" s="23" t="str">
        <f t="shared" si="246"/>
        <v>OK</v>
      </c>
      <c r="O3936" s="24">
        <f t="shared" si="247"/>
        <v>0</v>
      </c>
    </row>
    <row r="3937" spans="1:15" ht="15" customHeight="1" x14ac:dyDescent="0.3">
      <c r="A3937" s="23" t="s">
        <v>8359</v>
      </c>
      <c r="B3937" s="38">
        <v>46293</v>
      </c>
      <c r="C3937" s="23" t="s">
        <v>8360</v>
      </c>
      <c r="D3937" s="23" t="s">
        <v>88</v>
      </c>
      <c r="E3937" s="23" t="s">
        <v>77</v>
      </c>
      <c r="F3937" s="23" t="s">
        <v>760</v>
      </c>
      <c r="G3937" s="23" t="s">
        <v>250</v>
      </c>
      <c r="H3937" s="39">
        <f t="shared" si="244"/>
        <v>799</v>
      </c>
      <c r="I3937" s="23" t="str">
        <f t="shared" si="245"/>
        <v>Lucknow</v>
      </c>
      <c r="J3937" s="23">
        <f>COUNTIFS(pg_transaction_cleaned!$O:$O,A3937,pg_transaction_cleaned!$F:$F,"CAPTURE")</f>
        <v>1</v>
      </c>
      <c r="K3937" s="39">
        <f>SUMIFS(pg_transaction_cleaned!$H:$H,pg_transaction_cleaned!$O:$O,A3937,pg_transaction_cleaned!$F:$F,"CAPTURE")</f>
        <v>799</v>
      </c>
      <c r="L3937" s="23">
        <f>COUNTIFS(pg_transaction_cleaned!$O:$O,A3937,pg_transaction_cleaned!$F:$F,"REFUND")</f>
        <v>0</v>
      </c>
      <c r="M3937" s="39">
        <f>SUMIFS(pg_transaction_cleaned!$H:$H,pg_transaction_cleaned!$O:$O,A3937,pg_transaction_cleaned!$F:$F,"REFUND")</f>
        <v>0</v>
      </c>
      <c r="N3937" s="23" t="str">
        <f t="shared" si="246"/>
        <v>OK</v>
      </c>
      <c r="O3937" s="24">
        <f t="shared" si="247"/>
        <v>0</v>
      </c>
    </row>
    <row r="3938" spans="1:15" ht="15" customHeight="1" x14ac:dyDescent="0.3">
      <c r="A3938" s="23" t="s">
        <v>8361</v>
      </c>
      <c r="B3938" s="38">
        <v>46270</v>
      </c>
      <c r="C3938" s="23" t="s">
        <v>8362</v>
      </c>
      <c r="D3938" s="23" t="s">
        <v>87</v>
      </c>
      <c r="E3938" s="23" t="s">
        <v>75</v>
      </c>
      <c r="F3938" s="23" t="s">
        <v>396</v>
      </c>
      <c r="G3938" s="23" t="s">
        <v>250</v>
      </c>
      <c r="H3938" s="39">
        <f t="shared" si="244"/>
        <v>2999</v>
      </c>
      <c r="I3938" s="23" t="str">
        <f t="shared" si="245"/>
        <v>Mumbai</v>
      </c>
      <c r="J3938" s="23">
        <f>COUNTIFS(pg_transaction_cleaned!$O:$O,A3938,pg_transaction_cleaned!$F:$F,"CAPTURE")</f>
        <v>1</v>
      </c>
      <c r="K3938" s="39">
        <f>SUMIFS(pg_transaction_cleaned!$H:$H,pg_transaction_cleaned!$O:$O,A3938,pg_transaction_cleaned!$F:$F,"CAPTURE")</f>
        <v>2999</v>
      </c>
      <c r="L3938" s="23">
        <f>COUNTIFS(pg_transaction_cleaned!$O:$O,A3938,pg_transaction_cleaned!$F:$F,"REFUND")</f>
        <v>0</v>
      </c>
      <c r="M3938" s="39">
        <f>SUMIFS(pg_transaction_cleaned!$H:$H,pg_transaction_cleaned!$O:$O,A3938,pg_transaction_cleaned!$F:$F,"REFUND")</f>
        <v>0</v>
      </c>
      <c r="N3938" s="23" t="str">
        <f t="shared" si="246"/>
        <v>OK</v>
      </c>
      <c r="O3938" s="24">
        <f t="shared" si="247"/>
        <v>0</v>
      </c>
    </row>
    <row r="3939" spans="1:15" ht="15" customHeight="1" x14ac:dyDescent="0.3">
      <c r="A3939" s="23" t="s">
        <v>8363</v>
      </c>
      <c r="B3939" s="38">
        <v>46269</v>
      </c>
      <c r="C3939" s="23" t="s">
        <v>8364</v>
      </c>
      <c r="D3939" s="23" t="s">
        <v>92</v>
      </c>
      <c r="E3939" s="23" t="s">
        <v>75</v>
      </c>
      <c r="F3939" s="23" t="s">
        <v>1445</v>
      </c>
      <c r="G3939" s="23" t="s">
        <v>250</v>
      </c>
      <c r="H3939" s="39">
        <f t="shared" si="244"/>
        <v>10997</v>
      </c>
      <c r="I3939" s="23" t="str">
        <f t="shared" si="245"/>
        <v>Hyderabad</v>
      </c>
      <c r="J3939" s="23">
        <f>COUNTIFS(pg_transaction_cleaned!$O:$O,A3939,pg_transaction_cleaned!$F:$F,"CAPTURE")</f>
        <v>1</v>
      </c>
      <c r="K3939" s="39">
        <f>SUMIFS(pg_transaction_cleaned!$H:$H,pg_transaction_cleaned!$O:$O,A3939,pg_transaction_cleaned!$F:$F,"CAPTURE")</f>
        <v>10997</v>
      </c>
      <c r="L3939" s="23">
        <f>COUNTIFS(pg_transaction_cleaned!$O:$O,A3939,pg_transaction_cleaned!$F:$F,"REFUND")</f>
        <v>0</v>
      </c>
      <c r="M3939" s="39">
        <f>SUMIFS(pg_transaction_cleaned!$H:$H,pg_transaction_cleaned!$O:$O,A3939,pg_transaction_cleaned!$F:$F,"REFUND")</f>
        <v>0</v>
      </c>
      <c r="N3939" s="23" t="str">
        <f t="shared" si="246"/>
        <v>OK</v>
      </c>
      <c r="O3939" s="24">
        <f t="shared" si="247"/>
        <v>0</v>
      </c>
    </row>
    <row r="3940" spans="1:15" ht="15" customHeight="1" x14ac:dyDescent="0.3">
      <c r="A3940" s="23" t="s">
        <v>8365</v>
      </c>
      <c r="B3940" s="38">
        <v>46283</v>
      </c>
      <c r="C3940" s="23" t="s">
        <v>8366</v>
      </c>
      <c r="D3940" s="23" t="s">
        <v>86</v>
      </c>
      <c r="E3940" s="23" t="s">
        <v>75</v>
      </c>
      <c r="F3940" s="23" t="s">
        <v>329</v>
      </c>
      <c r="G3940" s="23" t="s">
        <v>250</v>
      </c>
      <c r="H3940" s="39">
        <f t="shared" si="244"/>
        <v>599</v>
      </c>
      <c r="I3940" s="23" t="str">
        <f t="shared" si="245"/>
        <v>Delhi</v>
      </c>
      <c r="J3940" s="23">
        <f>COUNTIFS(pg_transaction_cleaned!$O:$O,A3940,pg_transaction_cleaned!$F:$F,"CAPTURE")</f>
        <v>1</v>
      </c>
      <c r="K3940" s="39">
        <f>SUMIFS(pg_transaction_cleaned!$H:$H,pg_transaction_cleaned!$O:$O,A3940,pg_transaction_cleaned!$F:$F,"CAPTURE")</f>
        <v>599</v>
      </c>
      <c r="L3940" s="23">
        <f>COUNTIFS(pg_transaction_cleaned!$O:$O,A3940,pg_transaction_cleaned!$F:$F,"REFUND")</f>
        <v>0</v>
      </c>
      <c r="M3940" s="39">
        <f>SUMIFS(pg_transaction_cleaned!$H:$H,pg_transaction_cleaned!$O:$O,A3940,pg_transaction_cleaned!$F:$F,"REFUND")</f>
        <v>0</v>
      </c>
      <c r="N3940" s="23" t="str">
        <f t="shared" si="246"/>
        <v>OK</v>
      </c>
      <c r="O3940" s="24">
        <f t="shared" si="247"/>
        <v>0</v>
      </c>
    </row>
    <row r="3941" spans="1:15" ht="15" customHeight="1" x14ac:dyDescent="0.3">
      <c r="A3941" s="23" t="s">
        <v>8367</v>
      </c>
      <c r="B3941" s="38">
        <v>46277</v>
      </c>
      <c r="C3941" s="23" t="s">
        <v>8368</v>
      </c>
      <c r="D3941" s="23" t="s">
        <v>86</v>
      </c>
      <c r="E3941" s="23" t="s">
        <v>77</v>
      </c>
      <c r="F3941" s="23" t="s">
        <v>294</v>
      </c>
      <c r="G3941" s="23" t="s">
        <v>250</v>
      </c>
      <c r="H3941" s="39">
        <f t="shared" si="244"/>
        <v>1799</v>
      </c>
      <c r="I3941" s="23" t="str">
        <f t="shared" si="245"/>
        <v>Delhi</v>
      </c>
      <c r="J3941" s="23">
        <f>COUNTIFS(pg_transaction_cleaned!$O:$O,A3941,pg_transaction_cleaned!$F:$F,"CAPTURE")</f>
        <v>1</v>
      </c>
      <c r="K3941" s="39">
        <f>SUMIFS(pg_transaction_cleaned!$H:$H,pg_transaction_cleaned!$O:$O,A3941,pg_transaction_cleaned!$F:$F,"CAPTURE")</f>
        <v>1799</v>
      </c>
      <c r="L3941" s="23">
        <f>COUNTIFS(pg_transaction_cleaned!$O:$O,A3941,pg_transaction_cleaned!$F:$F,"REFUND")</f>
        <v>0</v>
      </c>
      <c r="M3941" s="39">
        <f>SUMIFS(pg_transaction_cleaned!$H:$H,pg_transaction_cleaned!$O:$O,A3941,pg_transaction_cleaned!$F:$F,"REFUND")</f>
        <v>0</v>
      </c>
      <c r="N3941" s="23" t="str">
        <f t="shared" si="246"/>
        <v>OK</v>
      </c>
      <c r="O3941" s="24">
        <f t="shared" si="247"/>
        <v>0</v>
      </c>
    </row>
    <row r="3942" spans="1:15" ht="15" customHeight="1" x14ac:dyDescent="0.3">
      <c r="A3942" s="23" t="s">
        <v>8369</v>
      </c>
      <c r="B3942" s="38">
        <v>46273</v>
      </c>
      <c r="C3942" s="23" t="s">
        <v>8370</v>
      </c>
      <c r="D3942" s="23" t="s">
        <v>94</v>
      </c>
      <c r="E3942" s="23" t="s">
        <v>75</v>
      </c>
      <c r="F3942" s="23" t="s">
        <v>1308</v>
      </c>
      <c r="G3942" s="23" t="s">
        <v>250</v>
      </c>
      <c r="H3942" s="39">
        <f t="shared" si="244"/>
        <v>4297</v>
      </c>
      <c r="I3942" s="23" t="str">
        <f t="shared" si="245"/>
        <v>Chennai</v>
      </c>
      <c r="J3942" s="23">
        <f>COUNTIFS(pg_transaction_cleaned!$O:$O,A3942,pg_transaction_cleaned!$F:$F,"CAPTURE")</f>
        <v>1</v>
      </c>
      <c r="K3942" s="39">
        <f>SUMIFS(pg_transaction_cleaned!$H:$H,pg_transaction_cleaned!$O:$O,A3942,pg_transaction_cleaned!$F:$F,"CAPTURE")</f>
        <v>4297</v>
      </c>
      <c r="L3942" s="23">
        <f>COUNTIFS(pg_transaction_cleaned!$O:$O,A3942,pg_transaction_cleaned!$F:$F,"REFUND")</f>
        <v>0</v>
      </c>
      <c r="M3942" s="39">
        <f>SUMIFS(pg_transaction_cleaned!$H:$H,pg_transaction_cleaned!$O:$O,A3942,pg_transaction_cleaned!$F:$F,"REFUND")</f>
        <v>0</v>
      </c>
      <c r="N3942" s="23" t="str">
        <f t="shared" si="246"/>
        <v>OK</v>
      </c>
      <c r="O3942" s="24">
        <f t="shared" si="247"/>
        <v>0</v>
      </c>
    </row>
    <row r="3943" spans="1:15" ht="15" customHeight="1" x14ac:dyDescent="0.3">
      <c r="A3943" s="23" t="s">
        <v>8371</v>
      </c>
      <c r="B3943" s="38">
        <v>46270</v>
      </c>
      <c r="C3943" s="23" t="s">
        <v>8372</v>
      </c>
      <c r="D3943" s="23" t="s">
        <v>88</v>
      </c>
      <c r="E3943" s="23" t="s">
        <v>75</v>
      </c>
      <c r="F3943" s="23" t="s">
        <v>475</v>
      </c>
      <c r="G3943" s="23" t="s">
        <v>250</v>
      </c>
      <c r="H3943" s="39">
        <f t="shared" si="244"/>
        <v>799</v>
      </c>
      <c r="I3943" s="23" t="str">
        <f t="shared" si="245"/>
        <v>Lucknow</v>
      </c>
      <c r="J3943" s="23">
        <f>COUNTIFS(pg_transaction_cleaned!$O:$O,A3943,pg_transaction_cleaned!$F:$F,"CAPTURE")</f>
        <v>1</v>
      </c>
      <c r="K3943" s="39">
        <f>SUMIFS(pg_transaction_cleaned!$H:$H,pg_transaction_cleaned!$O:$O,A3943,pg_transaction_cleaned!$F:$F,"CAPTURE")</f>
        <v>799</v>
      </c>
      <c r="L3943" s="23">
        <f>COUNTIFS(pg_transaction_cleaned!$O:$O,A3943,pg_transaction_cleaned!$F:$F,"REFUND")</f>
        <v>0</v>
      </c>
      <c r="M3943" s="39">
        <f>SUMIFS(pg_transaction_cleaned!$H:$H,pg_transaction_cleaned!$O:$O,A3943,pg_transaction_cleaned!$F:$F,"REFUND")</f>
        <v>0</v>
      </c>
      <c r="N3943" s="23" t="str">
        <f t="shared" si="246"/>
        <v>OK</v>
      </c>
      <c r="O3943" s="24">
        <f t="shared" si="247"/>
        <v>0</v>
      </c>
    </row>
    <row r="3944" spans="1:15" ht="15" customHeight="1" x14ac:dyDescent="0.3">
      <c r="A3944" s="23" t="s">
        <v>8373</v>
      </c>
      <c r="B3944" s="38">
        <v>46280</v>
      </c>
      <c r="C3944" s="23" t="s">
        <v>8374</v>
      </c>
      <c r="D3944" s="23" t="s">
        <v>93</v>
      </c>
      <c r="E3944" s="23" t="s">
        <v>79</v>
      </c>
      <c r="F3944" s="23" t="s">
        <v>717</v>
      </c>
      <c r="G3944" s="23" t="s">
        <v>250</v>
      </c>
      <c r="H3944" s="39">
        <f t="shared" si="244"/>
        <v>5298</v>
      </c>
      <c r="I3944" s="23" t="str">
        <f t="shared" si="245"/>
        <v>Kolkata</v>
      </c>
      <c r="J3944" s="23">
        <f>COUNTIFS(pg_transaction_cleaned!$O:$O,A3944,pg_transaction_cleaned!$F:$F,"CAPTURE")</f>
        <v>1</v>
      </c>
      <c r="K3944" s="39">
        <f>SUMIFS(pg_transaction_cleaned!$H:$H,pg_transaction_cleaned!$O:$O,A3944,pg_transaction_cleaned!$F:$F,"CAPTURE")</f>
        <v>5298</v>
      </c>
      <c r="L3944" s="23">
        <f>COUNTIFS(pg_transaction_cleaned!$O:$O,A3944,pg_transaction_cleaned!$F:$F,"REFUND")</f>
        <v>0</v>
      </c>
      <c r="M3944" s="39">
        <f>SUMIFS(pg_transaction_cleaned!$H:$H,pg_transaction_cleaned!$O:$O,A3944,pg_transaction_cleaned!$F:$F,"REFUND")</f>
        <v>0</v>
      </c>
      <c r="N3944" s="23" t="str">
        <f t="shared" si="246"/>
        <v>OK</v>
      </c>
      <c r="O3944" s="24">
        <f t="shared" si="247"/>
        <v>0</v>
      </c>
    </row>
    <row r="3945" spans="1:15" ht="15" customHeight="1" x14ac:dyDescent="0.3">
      <c r="A3945" s="23" t="s">
        <v>8375</v>
      </c>
      <c r="B3945" s="38">
        <v>46272</v>
      </c>
      <c r="C3945" s="23" t="s">
        <v>8376</v>
      </c>
      <c r="D3945" s="23" t="s">
        <v>94</v>
      </c>
      <c r="E3945" s="23" t="s">
        <v>79</v>
      </c>
      <c r="F3945" s="23" t="s">
        <v>262</v>
      </c>
      <c r="G3945" s="23" t="s">
        <v>250</v>
      </c>
      <c r="H3945" s="39">
        <f t="shared" si="244"/>
        <v>499</v>
      </c>
      <c r="I3945" s="23" t="str">
        <f t="shared" si="245"/>
        <v>Chennai</v>
      </c>
      <c r="J3945" s="23">
        <f>COUNTIFS(pg_transaction_cleaned!$O:$O,A3945,pg_transaction_cleaned!$F:$F,"CAPTURE")</f>
        <v>1</v>
      </c>
      <c r="K3945" s="39">
        <f>SUMIFS(pg_transaction_cleaned!$H:$H,pg_transaction_cleaned!$O:$O,A3945,pg_transaction_cleaned!$F:$F,"CAPTURE")</f>
        <v>499</v>
      </c>
      <c r="L3945" s="23">
        <f>COUNTIFS(pg_transaction_cleaned!$O:$O,A3945,pg_transaction_cleaned!$F:$F,"REFUND")</f>
        <v>0</v>
      </c>
      <c r="M3945" s="39">
        <f>SUMIFS(pg_transaction_cleaned!$H:$H,pg_transaction_cleaned!$O:$O,A3945,pg_transaction_cleaned!$F:$F,"REFUND")</f>
        <v>0</v>
      </c>
      <c r="N3945" s="23" t="str">
        <f t="shared" si="246"/>
        <v>OK</v>
      </c>
      <c r="O3945" s="24">
        <f t="shared" si="247"/>
        <v>0</v>
      </c>
    </row>
    <row r="3946" spans="1:15" ht="15" customHeight="1" x14ac:dyDescent="0.3">
      <c r="A3946" s="23" t="s">
        <v>8377</v>
      </c>
      <c r="B3946" s="38">
        <v>46273</v>
      </c>
      <c r="C3946" s="23" t="s">
        <v>8378</v>
      </c>
      <c r="D3946" s="23" t="s">
        <v>92</v>
      </c>
      <c r="E3946" s="23" t="s">
        <v>75</v>
      </c>
      <c r="F3946" s="23" t="s">
        <v>514</v>
      </c>
      <c r="G3946" s="23" t="s">
        <v>250</v>
      </c>
      <c r="H3946" s="39">
        <f t="shared" si="244"/>
        <v>6498</v>
      </c>
      <c r="I3946" s="23" t="str">
        <f t="shared" si="245"/>
        <v>Hyderabad</v>
      </c>
      <c r="J3946" s="23">
        <f>COUNTIFS(pg_transaction_cleaned!$O:$O,A3946,pg_transaction_cleaned!$F:$F,"CAPTURE")</f>
        <v>1</v>
      </c>
      <c r="K3946" s="39">
        <f>SUMIFS(pg_transaction_cleaned!$H:$H,pg_transaction_cleaned!$O:$O,A3946,pg_transaction_cleaned!$F:$F,"CAPTURE")</f>
        <v>6498</v>
      </c>
      <c r="L3946" s="23">
        <f>COUNTIFS(pg_transaction_cleaned!$O:$O,A3946,pg_transaction_cleaned!$F:$F,"REFUND")</f>
        <v>0</v>
      </c>
      <c r="M3946" s="39">
        <f>SUMIFS(pg_transaction_cleaned!$H:$H,pg_transaction_cleaned!$O:$O,A3946,pg_transaction_cleaned!$F:$F,"REFUND")</f>
        <v>0</v>
      </c>
      <c r="N3946" s="23" t="str">
        <f t="shared" si="246"/>
        <v>OK</v>
      </c>
      <c r="O3946" s="24">
        <f t="shared" si="247"/>
        <v>0</v>
      </c>
    </row>
    <row r="3947" spans="1:15" ht="15" customHeight="1" x14ac:dyDescent="0.3">
      <c r="A3947" s="23" t="s">
        <v>8379</v>
      </c>
      <c r="B3947" s="38">
        <v>46287</v>
      </c>
      <c r="C3947" s="23" t="s">
        <v>8380</v>
      </c>
      <c r="D3947" s="23" t="s">
        <v>95</v>
      </c>
      <c r="E3947" s="23" t="s">
        <v>75</v>
      </c>
      <c r="F3947" s="23" t="s">
        <v>772</v>
      </c>
      <c r="G3947" s="23" t="s">
        <v>250</v>
      </c>
      <c r="H3947" s="39">
        <f t="shared" si="244"/>
        <v>4798</v>
      </c>
      <c r="I3947" s="23" t="str">
        <f t="shared" si="245"/>
        <v>Bengaluru</v>
      </c>
      <c r="J3947" s="23">
        <f>COUNTIFS(pg_transaction_cleaned!$O:$O,A3947,pg_transaction_cleaned!$F:$F,"CAPTURE")</f>
        <v>1</v>
      </c>
      <c r="K3947" s="39">
        <f>SUMIFS(pg_transaction_cleaned!$H:$H,pg_transaction_cleaned!$O:$O,A3947,pg_transaction_cleaned!$F:$F,"CAPTURE")</f>
        <v>4798</v>
      </c>
      <c r="L3947" s="23">
        <f>COUNTIFS(pg_transaction_cleaned!$O:$O,A3947,pg_transaction_cleaned!$F:$F,"REFUND")</f>
        <v>0</v>
      </c>
      <c r="M3947" s="39">
        <f>SUMIFS(pg_transaction_cleaned!$H:$H,pg_transaction_cleaned!$O:$O,A3947,pg_transaction_cleaned!$F:$F,"REFUND")</f>
        <v>0</v>
      </c>
      <c r="N3947" s="23" t="str">
        <f t="shared" si="246"/>
        <v>OK</v>
      </c>
      <c r="O3947" s="24">
        <f t="shared" si="247"/>
        <v>0</v>
      </c>
    </row>
    <row r="3948" spans="1:15" ht="15" customHeight="1" x14ac:dyDescent="0.3">
      <c r="A3948" s="23" t="s">
        <v>8381</v>
      </c>
      <c r="B3948" s="38">
        <v>46277</v>
      </c>
      <c r="C3948" s="23" t="s">
        <v>8382</v>
      </c>
      <c r="D3948" s="23" t="s">
        <v>93</v>
      </c>
      <c r="E3948" s="23" t="s">
        <v>79</v>
      </c>
      <c r="F3948" s="23" t="s">
        <v>1735</v>
      </c>
      <c r="G3948" s="23" t="s">
        <v>250</v>
      </c>
      <c r="H3948" s="39">
        <f t="shared" si="244"/>
        <v>12998</v>
      </c>
      <c r="I3948" s="23" t="str">
        <f t="shared" si="245"/>
        <v>Kolkata</v>
      </c>
      <c r="J3948" s="23">
        <f>COUNTIFS(pg_transaction_cleaned!$O:$O,A3948,pg_transaction_cleaned!$F:$F,"CAPTURE")</f>
        <v>1</v>
      </c>
      <c r="K3948" s="39">
        <f>SUMIFS(pg_transaction_cleaned!$H:$H,pg_transaction_cleaned!$O:$O,A3948,pg_transaction_cleaned!$F:$F,"CAPTURE")</f>
        <v>12998</v>
      </c>
      <c r="L3948" s="23">
        <f>COUNTIFS(pg_transaction_cleaned!$O:$O,A3948,pg_transaction_cleaned!$F:$F,"REFUND")</f>
        <v>0</v>
      </c>
      <c r="M3948" s="39">
        <f>SUMIFS(pg_transaction_cleaned!$H:$H,pg_transaction_cleaned!$O:$O,A3948,pg_transaction_cleaned!$F:$F,"REFUND")</f>
        <v>0</v>
      </c>
      <c r="N3948" s="23" t="str">
        <f t="shared" si="246"/>
        <v>OK</v>
      </c>
      <c r="O3948" s="24">
        <f t="shared" si="247"/>
        <v>0</v>
      </c>
    </row>
    <row r="3949" spans="1:15" ht="15" customHeight="1" x14ac:dyDescent="0.3">
      <c r="A3949" s="23" t="s">
        <v>8383</v>
      </c>
      <c r="B3949" s="38">
        <v>46277</v>
      </c>
      <c r="C3949" s="23" t="s">
        <v>8384</v>
      </c>
      <c r="D3949" s="23" t="s">
        <v>86</v>
      </c>
      <c r="E3949" s="23" t="s">
        <v>75</v>
      </c>
      <c r="F3949" s="23" t="s">
        <v>271</v>
      </c>
      <c r="G3949" s="23" t="s">
        <v>250</v>
      </c>
      <c r="H3949" s="39">
        <f t="shared" si="244"/>
        <v>2499</v>
      </c>
      <c r="I3949" s="23" t="str">
        <f t="shared" si="245"/>
        <v>Delhi</v>
      </c>
      <c r="J3949" s="23">
        <f>COUNTIFS(pg_transaction_cleaned!$O:$O,A3949,pg_transaction_cleaned!$F:$F,"CAPTURE")</f>
        <v>1</v>
      </c>
      <c r="K3949" s="39">
        <f>SUMIFS(pg_transaction_cleaned!$H:$H,pg_transaction_cleaned!$O:$O,A3949,pg_transaction_cleaned!$F:$F,"CAPTURE")</f>
        <v>2499</v>
      </c>
      <c r="L3949" s="23">
        <f>COUNTIFS(pg_transaction_cleaned!$O:$O,A3949,pg_transaction_cleaned!$F:$F,"REFUND")</f>
        <v>0</v>
      </c>
      <c r="M3949" s="39">
        <f>SUMIFS(pg_transaction_cleaned!$H:$H,pg_transaction_cleaned!$O:$O,A3949,pg_transaction_cleaned!$F:$F,"REFUND")</f>
        <v>0</v>
      </c>
      <c r="N3949" s="23" t="str">
        <f t="shared" si="246"/>
        <v>OK</v>
      </c>
      <c r="O3949" s="24">
        <f t="shared" si="247"/>
        <v>0</v>
      </c>
    </row>
    <row r="3950" spans="1:15" ht="15" customHeight="1" x14ac:dyDescent="0.3">
      <c r="A3950" s="23" t="s">
        <v>8385</v>
      </c>
      <c r="B3950" s="38">
        <v>46277</v>
      </c>
      <c r="C3950" s="23" t="s">
        <v>8386</v>
      </c>
      <c r="D3950" s="23" t="s">
        <v>93</v>
      </c>
      <c r="E3950" s="23" t="s">
        <v>75</v>
      </c>
      <c r="F3950" s="23" t="s">
        <v>310</v>
      </c>
      <c r="G3950" s="23" t="s">
        <v>250</v>
      </c>
      <c r="H3950" s="39">
        <f t="shared" si="244"/>
        <v>7999</v>
      </c>
      <c r="I3950" s="23" t="str">
        <f t="shared" si="245"/>
        <v>Kolkata</v>
      </c>
      <c r="J3950" s="23">
        <f>COUNTIFS(pg_transaction_cleaned!$O:$O,A3950,pg_transaction_cleaned!$F:$F,"CAPTURE")</f>
        <v>1</v>
      </c>
      <c r="K3950" s="39">
        <f>SUMIFS(pg_transaction_cleaned!$H:$H,pg_transaction_cleaned!$O:$O,A3950,pg_transaction_cleaned!$F:$F,"CAPTURE")</f>
        <v>7999</v>
      </c>
      <c r="L3950" s="23">
        <f>COUNTIFS(pg_transaction_cleaned!$O:$O,A3950,pg_transaction_cleaned!$F:$F,"REFUND")</f>
        <v>0</v>
      </c>
      <c r="M3950" s="39">
        <f>SUMIFS(pg_transaction_cleaned!$H:$H,pg_transaction_cleaned!$O:$O,A3950,pg_transaction_cleaned!$F:$F,"REFUND")</f>
        <v>0</v>
      </c>
      <c r="N3950" s="23" t="str">
        <f t="shared" si="246"/>
        <v>OK</v>
      </c>
      <c r="O3950" s="24">
        <f t="shared" si="247"/>
        <v>0</v>
      </c>
    </row>
    <row r="3951" spans="1:15" ht="15" customHeight="1" x14ac:dyDescent="0.3">
      <c r="A3951" s="23" t="s">
        <v>8387</v>
      </c>
      <c r="B3951" s="38">
        <v>46275</v>
      </c>
      <c r="C3951" s="23" t="s">
        <v>8388</v>
      </c>
      <c r="D3951" s="23" t="s">
        <v>95</v>
      </c>
      <c r="E3951" s="23" t="s">
        <v>77</v>
      </c>
      <c r="F3951" s="23" t="s">
        <v>475</v>
      </c>
      <c r="G3951" s="23" t="s">
        <v>250</v>
      </c>
      <c r="H3951" s="39">
        <f t="shared" si="244"/>
        <v>799</v>
      </c>
      <c r="I3951" s="23" t="str">
        <f t="shared" si="245"/>
        <v>Bengaluru</v>
      </c>
      <c r="J3951" s="23">
        <f>COUNTIFS(pg_transaction_cleaned!$O:$O,A3951,pg_transaction_cleaned!$F:$F,"CAPTURE")</f>
        <v>1</v>
      </c>
      <c r="K3951" s="39">
        <f>SUMIFS(pg_transaction_cleaned!$H:$H,pg_transaction_cleaned!$O:$O,A3951,pg_transaction_cleaned!$F:$F,"CAPTURE")</f>
        <v>799</v>
      </c>
      <c r="L3951" s="23">
        <f>COUNTIFS(pg_transaction_cleaned!$O:$O,A3951,pg_transaction_cleaned!$F:$F,"REFUND")</f>
        <v>0</v>
      </c>
      <c r="M3951" s="39">
        <f>SUMIFS(pg_transaction_cleaned!$H:$H,pg_transaction_cleaned!$O:$O,A3951,pg_transaction_cleaned!$F:$F,"REFUND")</f>
        <v>0</v>
      </c>
      <c r="N3951" s="23" t="str">
        <f t="shared" si="246"/>
        <v>OK</v>
      </c>
      <c r="O3951" s="24">
        <f t="shared" si="247"/>
        <v>0</v>
      </c>
    </row>
    <row r="3952" spans="1:15" ht="15" customHeight="1" x14ac:dyDescent="0.3">
      <c r="A3952" s="23" t="s">
        <v>8389</v>
      </c>
      <c r="B3952" s="38">
        <v>46278</v>
      </c>
      <c r="C3952" s="23" t="s">
        <v>8390</v>
      </c>
      <c r="D3952" s="23" t="s">
        <v>93</v>
      </c>
      <c r="E3952" s="23" t="s">
        <v>81</v>
      </c>
      <c r="F3952" s="23" t="s">
        <v>346</v>
      </c>
      <c r="G3952" s="23" t="s">
        <v>250</v>
      </c>
      <c r="H3952" s="39">
        <f t="shared" si="244"/>
        <v>4498</v>
      </c>
      <c r="I3952" s="23" t="str">
        <f t="shared" si="245"/>
        <v>Kolkata</v>
      </c>
      <c r="J3952" s="23">
        <f>COUNTIFS(pg_transaction_cleaned!$O:$O,A3952,pg_transaction_cleaned!$F:$F,"CAPTURE")</f>
        <v>1</v>
      </c>
      <c r="K3952" s="39">
        <f>SUMIFS(pg_transaction_cleaned!$H:$H,pg_transaction_cleaned!$O:$O,A3952,pg_transaction_cleaned!$F:$F,"CAPTURE")</f>
        <v>4498</v>
      </c>
      <c r="L3952" s="23">
        <f>COUNTIFS(pg_transaction_cleaned!$O:$O,A3952,pg_transaction_cleaned!$F:$F,"REFUND")</f>
        <v>0</v>
      </c>
      <c r="M3952" s="39">
        <f>SUMIFS(pg_transaction_cleaned!$H:$H,pg_transaction_cleaned!$O:$O,A3952,pg_transaction_cleaned!$F:$F,"REFUND")</f>
        <v>0</v>
      </c>
      <c r="N3952" s="23" t="str">
        <f t="shared" si="246"/>
        <v>OK</v>
      </c>
      <c r="O3952" s="24">
        <f t="shared" si="247"/>
        <v>0</v>
      </c>
    </row>
    <row r="3953" spans="1:15" ht="15" customHeight="1" x14ac:dyDescent="0.3">
      <c r="A3953" s="23" t="s">
        <v>8391</v>
      </c>
      <c r="B3953" s="38">
        <v>46279</v>
      </c>
      <c r="C3953" s="23" t="s">
        <v>8392</v>
      </c>
      <c r="D3953" s="23" t="s">
        <v>86</v>
      </c>
      <c r="E3953" s="23" t="s">
        <v>79</v>
      </c>
      <c r="F3953" s="23" t="s">
        <v>1978</v>
      </c>
      <c r="G3953" s="23" t="s">
        <v>250</v>
      </c>
      <c r="H3953" s="39">
        <f t="shared" si="244"/>
        <v>4597</v>
      </c>
      <c r="I3953" s="23" t="str">
        <f t="shared" si="245"/>
        <v>Delhi</v>
      </c>
      <c r="J3953" s="23">
        <f>COUNTIFS(pg_transaction_cleaned!$O:$O,A3953,pg_transaction_cleaned!$F:$F,"CAPTURE")</f>
        <v>1</v>
      </c>
      <c r="K3953" s="39">
        <f>SUMIFS(pg_transaction_cleaned!$H:$H,pg_transaction_cleaned!$O:$O,A3953,pg_transaction_cleaned!$F:$F,"CAPTURE")</f>
        <v>4597</v>
      </c>
      <c r="L3953" s="23">
        <f>COUNTIFS(pg_transaction_cleaned!$O:$O,A3953,pg_transaction_cleaned!$F:$F,"REFUND")</f>
        <v>0</v>
      </c>
      <c r="M3953" s="39">
        <f>SUMIFS(pg_transaction_cleaned!$H:$H,pg_transaction_cleaned!$O:$O,A3953,pg_transaction_cleaned!$F:$F,"REFUND")</f>
        <v>0</v>
      </c>
      <c r="N3953" s="23" t="str">
        <f t="shared" si="246"/>
        <v>OK</v>
      </c>
      <c r="O3953" s="24">
        <f t="shared" si="247"/>
        <v>0</v>
      </c>
    </row>
    <row r="3954" spans="1:15" ht="15" customHeight="1" x14ac:dyDescent="0.3">
      <c r="A3954" s="23" t="s">
        <v>8393</v>
      </c>
      <c r="B3954" s="38">
        <v>46290</v>
      </c>
      <c r="C3954" s="23" t="s">
        <v>8394</v>
      </c>
      <c r="D3954" s="23" t="s">
        <v>92</v>
      </c>
      <c r="E3954" s="23" t="s">
        <v>79</v>
      </c>
      <c r="F3954" s="23" t="s">
        <v>478</v>
      </c>
      <c r="G3954" s="23" t="s">
        <v>365</v>
      </c>
      <c r="H3954" s="39">
        <f t="shared" si="244"/>
        <v>9297</v>
      </c>
      <c r="I3954" s="23" t="str">
        <f t="shared" si="245"/>
        <v>Hyderabad</v>
      </c>
      <c r="J3954" s="23">
        <f>COUNTIFS(pg_transaction_cleaned!$O:$O,A3954,pg_transaction_cleaned!$F:$F,"CAPTURE")</f>
        <v>0</v>
      </c>
      <c r="K3954" s="39">
        <f>SUMIFS(pg_transaction_cleaned!$H:$H,pg_transaction_cleaned!$O:$O,A3954,pg_transaction_cleaned!$F:$F,"CAPTURE")</f>
        <v>0</v>
      </c>
      <c r="L3954" s="23">
        <f>COUNTIFS(pg_transaction_cleaned!$O:$O,A3954,pg_transaction_cleaned!$F:$F,"REFUND")</f>
        <v>0</v>
      </c>
      <c r="M3954" s="39">
        <f>SUMIFS(pg_transaction_cleaned!$H:$H,pg_transaction_cleaned!$O:$O,A3954,pg_transaction_cleaned!$F:$F,"REFUND")</f>
        <v>0</v>
      </c>
      <c r="N3954" s="23" t="str">
        <f t="shared" si="246"/>
        <v>OK</v>
      </c>
      <c r="O3954" s="24">
        <f t="shared" si="247"/>
        <v>0</v>
      </c>
    </row>
    <row r="3955" spans="1:15" ht="15" customHeight="1" x14ac:dyDescent="0.3">
      <c r="A3955" s="23" t="s">
        <v>8395</v>
      </c>
      <c r="B3955" s="38">
        <v>46272</v>
      </c>
      <c r="C3955" s="23" t="s">
        <v>8396</v>
      </c>
      <c r="D3955" s="23"/>
      <c r="E3955" s="23" t="s">
        <v>75</v>
      </c>
      <c r="F3955" s="23" t="s">
        <v>670</v>
      </c>
      <c r="G3955" s="23" t="s">
        <v>365</v>
      </c>
      <c r="H3955" s="39">
        <f t="shared" si="244"/>
        <v>7797</v>
      </c>
      <c r="I3955" s="23" t="str">
        <f t="shared" si="245"/>
        <v>Unknown</v>
      </c>
      <c r="J3955" s="23">
        <f>COUNTIFS(pg_transaction_cleaned!$O:$O,A3955,pg_transaction_cleaned!$F:$F,"CAPTURE")</f>
        <v>0</v>
      </c>
      <c r="K3955" s="39">
        <f>SUMIFS(pg_transaction_cleaned!$H:$H,pg_transaction_cleaned!$O:$O,A3955,pg_transaction_cleaned!$F:$F,"CAPTURE")</f>
        <v>0</v>
      </c>
      <c r="L3955" s="23">
        <f>COUNTIFS(pg_transaction_cleaned!$O:$O,A3955,pg_transaction_cleaned!$F:$F,"REFUND")</f>
        <v>0</v>
      </c>
      <c r="M3955" s="39">
        <f>SUMIFS(pg_transaction_cleaned!$H:$H,pg_transaction_cleaned!$O:$O,A3955,pg_transaction_cleaned!$F:$F,"REFUND")</f>
        <v>0</v>
      </c>
      <c r="N3955" s="23" t="str">
        <f t="shared" si="246"/>
        <v>OK</v>
      </c>
      <c r="O3955" s="24">
        <f t="shared" si="247"/>
        <v>0</v>
      </c>
    </row>
    <row r="3956" spans="1:15" ht="15" customHeight="1" x14ac:dyDescent="0.3">
      <c r="A3956" s="23" t="s">
        <v>8397</v>
      </c>
      <c r="B3956" s="38">
        <v>46281</v>
      </c>
      <c r="C3956" s="23" t="s">
        <v>8398</v>
      </c>
      <c r="D3956" s="23" t="s">
        <v>95</v>
      </c>
      <c r="E3956" s="23" t="s">
        <v>81</v>
      </c>
      <c r="F3956" s="23" t="s">
        <v>262</v>
      </c>
      <c r="G3956" s="23" t="s">
        <v>250</v>
      </c>
      <c r="H3956" s="39">
        <f t="shared" si="244"/>
        <v>499</v>
      </c>
      <c r="I3956" s="23" t="str">
        <f t="shared" si="245"/>
        <v>Bengaluru</v>
      </c>
      <c r="J3956" s="23">
        <f>COUNTIFS(pg_transaction_cleaned!$O:$O,A3956,pg_transaction_cleaned!$F:$F,"CAPTURE")</f>
        <v>1</v>
      </c>
      <c r="K3956" s="39">
        <f>SUMIFS(pg_transaction_cleaned!$H:$H,pg_transaction_cleaned!$O:$O,A3956,pg_transaction_cleaned!$F:$F,"CAPTURE")</f>
        <v>499</v>
      </c>
      <c r="L3956" s="23">
        <f>COUNTIFS(pg_transaction_cleaned!$O:$O,A3956,pg_transaction_cleaned!$F:$F,"REFUND")</f>
        <v>0</v>
      </c>
      <c r="M3956" s="39">
        <f>SUMIFS(pg_transaction_cleaned!$H:$H,pg_transaction_cleaned!$O:$O,A3956,pg_transaction_cleaned!$F:$F,"REFUND")</f>
        <v>0</v>
      </c>
      <c r="N3956" s="23" t="str">
        <f t="shared" si="246"/>
        <v>OK</v>
      </c>
      <c r="O3956" s="24">
        <f t="shared" si="247"/>
        <v>0</v>
      </c>
    </row>
    <row r="3957" spans="1:15" ht="15" customHeight="1" x14ac:dyDescent="0.3">
      <c r="A3957" s="23" t="s">
        <v>8399</v>
      </c>
      <c r="B3957" s="38">
        <v>46289</v>
      </c>
      <c r="C3957" s="23" t="s">
        <v>1699</v>
      </c>
      <c r="D3957" s="23" t="s">
        <v>93</v>
      </c>
      <c r="E3957" s="23" t="s">
        <v>77</v>
      </c>
      <c r="F3957" s="23" t="s">
        <v>2086</v>
      </c>
      <c r="G3957" s="23" t="s">
        <v>250</v>
      </c>
      <c r="H3957" s="39">
        <f t="shared" si="244"/>
        <v>3397</v>
      </c>
      <c r="I3957" s="23" t="str">
        <f t="shared" si="245"/>
        <v>Kolkata</v>
      </c>
      <c r="J3957" s="23">
        <f>COUNTIFS(pg_transaction_cleaned!$O:$O,A3957,pg_transaction_cleaned!$F:$F,"CAPTURE")</f>
        <v>1</v>
      </c>
      <c r="K3957" s="39">
        <f>SUMIFS(pg_transaction_cleaned!$H:$H,pg_transaction_cleaned!$O:$O,A3957,pg_transaction_cleaned!$F:$F,"CAPTURE")</f>
        <v>3397</v>
      </c>
      <c r="L3957" s="23">
        <f>COUNTIFS(pg_transaction_cleaned!$O:$O,A3957,pg_transaction_cleaned!$F:$F,"REFUND")</f>
        <v>0</v>
      </c>
      <c r="M3957" s="39">
        <f>SUMIFS(pg_transaction_cleaned!$H:$H,pg_transaction_cleaned!$O:$O,A3957,pg_transaction_cleaned!$F:$F,"REFUND")</f>
        <v>0</v>
      </c>
      <c r="N3957" s="23" t="str">
        <f t="shared" si="246"/>
        <v>OK</v>
      </c>
      <c r="O3957" s="24">
        <f t="shared" si="247"/>
        <v>0</v>
      </c>
    </row>
    <row r="3958" spans="1:15" ht="15" customHeight="1" x14ac:dyDescent="0.3">
      <c r="A3958" s="23" t="s">
        <v>8400</v>
      </c>
      <c r="B3958" s="38">
        <v>46283</v>
      </c>
      <c r="C3958" s="23" t="s">
        <v>8401</v>
      </c>
      <c r="D3958" s="23" t="s">
        <v>87</v>
      </c>
      <c r="E3958" s="23" t="s">
        <v>75</v>
      </c>
      <c r="F3958" s="23" t="s">
        <v>294</v>
      </c>
      <c r="G3958" s="23" t="s">
        <v>250</v>
      </c>
      <c r="H3958" s="39">
        <f t="shared" si="244"/>
        <v>1799</v>
      </c>
      <c r="I3958" s="23" t="str">
        <f t="shared" si="245"/>
        <v>Mumbai</v>
      </c>
      <c r="J3958" s="23">
        <f>COUNTIFS(pg_transaction_cleaned!$O:$O,A3958,pg_transaction_cleaned!$F:$F,"CAPTURE")</f>
        <v>1</v>
      </c>
      <c r="K3958" s="39">
        <f>SUMIFS(pg_transaction_cleaned!$H:$H,pg_transaction_cleaned!$O:$O,A3958,pg_transaction_cleaned!$F:$F,"CAPTURE")</f>
        <v>1799</v>
      </c>
      <c r="L3958" s="23">
        <f>COUNTIFS(pg_transaction_cleaned!$O:$O,A3958,pg_transaction_cleaned!$F:$F,"REFUND")</f>
        <v>0</v>
      </c>
      <c r="M3958" s="39">
        <f>SUMIFS(pg_transaction_cleaned!$H:$H,pg_transaction_cleaned!$O:$O,A3958,pg_transaction_cleaned!$F:$F,"REFUND")</f>
        <v>0</v>
      </c>
      <c r="N3958" s="23" t="str">
        <f t="shared" si="246"/>
        <v>OK</v>
      </c>
      <c r="O3958" s="24">
        <f t="shared" si="247"/>
        <v>0</v>
      </c>
    </row>
    <row r="3959" spans="1:15" ht="15" customHeight="1" x14ac:dyDescent="0.3">
      <c r="A3959" s="23" t="s">
        <v>8402</v>
      </c>
      <c r="B3959" s="38">
        <v>46279</v>
      </c>
      <c r="C3959" s="23" t="s">
        <v>8403</v>
      </c>
      <c r="D3959" s="23" t="s">
        <v>90</v>
      </c>
      <c r="E3959" s="23" t="s">
        <v>75</v>
      </c>
      <c r="F3959" s="23" t="s">
        <v>268</v>
      </c>
      <c r="G3959" s="23" t="s">
        <v>250</v>
      </c>
      <c r="H3959" s="39">
        <f t="shared" si="244"/>
        <v>1299</v>
      </c>
      <c r="I3959" s="23" t="str">
        <f t="shared" si="245"/>
        <v>Ahmedabad</v>
      </c>
      <c r="J3959" s="23">
        <f>COUNTIFS(pg_transaction_cleaned!$O:$O,A3959,pg_transaction_cleaned!$F:$F,"CAPTURE")</f>
        <v>1</v>
      </c>
      <c r="K3959" s="39">
        <f>SUMIFS(pg_transaction_cleaned!$H:$H,pg_transaction_cleaned!$O:$O,A3959,pg_transaction_cleaned!$F:$F,"CAPTURE")</f>
        <v>1299</v>
      </c>
      <c r="L3959" s="23">
        <f>COUNTIFS(pg_transaction_cleaned!$O:$O,A3959,pg_transaction_cleaned!$F:$F,"REFUND")</f>
        <v>0</v>
      </c>
      <c r="M3959" s="39">
        <f>SUMIFS(pg_transaction_cleaned!$H:$H,pg_transaction_cleaned!$O:$O,A3959,pg_transaction_cleaned!$F:$F,"REFUND")</f>
        <v>0</v>
      </c>
      <c r="N3959" s="23" t="str">
        <f t="shared" si="246"/>
        <v>OK</v>
      </c>
      <c r="O3959" s="24">
        <f t="shared" si="247"/>
        <v>0</v>
      </c>
    </row>
    <row r="3960" spans="1:15" ht="15" customHeight="1" x14ac:dyDescent="0.3">
      <c r="A3960" s="23" t="s">
        <v>8404</v>
      </c>
      <c r="B3960" s="38">
        <v>46284</v>
      </c>
      <c r="C3960" s="23" t="s">
        <v>8405</v>
      </c>
      <c r="D3960" s="23" t="s">
        <v>91</v>
      </c>
      <c r="E3960" s="23" t="s">
        <v>79</v>
      </c>
      <c r="F3960" s="23" t="s">
        <v>647</v>
      </c>
      <c r="G3960" s="23" t="s">
        <v>250</v>
      </c>
      <c r="H3960" s="39">
        <f t="shared" si="244"/>
        <v>5597</v>
      </c>
      <c r="I3960" s="23" t="str">
        <f t="shared" si="245"/>
        <v>Pune</v>
      </c>
      <c r="J3960" s="23">
        <f>COUNTIFS(pg_transaction_cleaned!$O:$O,A3960,pg_transaction_cleaned!$F:$F,"CAPTURE")</f>
        <v>1</v>
      </c>
      <c r="K3960" s="39">
        <f>SUMIFS(pg_transaction_cleaned!$H:$H,pg_transaction_cleaned!$O:$O,A3960,pg_transaction_cleaned!$F:$F,"CAPTURE")</f>
        <v>5597</v>
      </c>
      <c r="L3960" s="23">
        <f>COUNTIFS(pg_transaction_cleaned!$O:$O,A3960,pg_transaction_cleaned!$F:$F,"REFUND")</f>
        <v>0</v>
      </c>
      <c r="M3960" s="39">
        <f>SUMIFS(pg_transaction_cleaned!$H:$H,pg_transaction_cleaned!$O:$O,A3960,pg_transaction_cleaned!$F:$F,"REFUND")</f>
        <v>0</v>
      </c>
      <c r="N3960" s="23" t="str">
        <f t="shared" si="246"/>
        <v>OK</v>
      </c>
      <c r="O3960" s="24">
        <f t="shared" si="247"/>
        <v>0</v>
      </c>
    </row>
    <row r="3961" spans="1:15" ht="15" customHeight="1" x14ac:dyDescent="0.3">
      <c r="A3961" s="23" t="s">
        <v>8406</v>
      </c>
      <c r="B3961" s="38">
        <v>46279</v>
      </c>
      <c r="C3961" s="23" t="s">
        <v>8407</v>
      </c>
      <c r="D3961" s="23" t="s">
        <v>91</v>
      </c>
      <c r="E3961" s="23" t="s">
        <v>79</v>
      </c>
      <c r="F3961" s="23" t="s">
        <v>742</v>
      </c>
      <c r="G3961" s="23" t="s">
        <v>250</v>
      </c>
      <c r="H3961" s="39">
        <f t="shared" si="244"/>
        <v>999</v>
      </c>
      <c r="I3961" s="23" t="str">
        <f t="shared" si="245"/>
        <v>Pune</v>
      </c>
      <c r="J3961" s="23">
        <f>COUNTIFS(pg_transaction_cleaned!$O:$O,A3961,pg_transaction_cleaned!$F:$F,"CAPTURE")</f>
        <v>1</v>
      </c>
      <c r="K3961" s="39">
        <f>SUMIFS(pg_transaction_cleaned!$H:$H,pg_transaction_cleaned!$O:$O,A3961,pg_transaction_cleaned!$F:$F,"CAPTURE")</f>
        <v>999</v>
      </c>
      <c r="L3961" s="23">
        <f>COUNTIFS(pg_transaction_cleaned!$O:$O,A3961,pg_transaction_cleaned!$F:$F,"REFUND")</f>
        <v>0</v>
      </c>
      <c r="M3961" s="39">
        <f>SUMIFS(pg_transaction_cleaned!$H:$H,pg_transaction_cleaned!$O:$O,A3961,pg_transaction_cleaned!$F:$F,"REFUND")</f>
        <v>0</v>
      </c>
      <c r="N3961" s="23" t="str">
        <f t="shared" si="246"/>
        <v>OK</v>
      </c>
      <c r="O3961" s="24">
        <f t="shared" si="247"/>
        <v>0</v>
      </c>
    </row>
    <row r="3962" spans="1:15" ht="15" customHeight="1" x14ac:dyDescent="0.3">
      <c r="A3962" s="23" t="s">
        <v>8408</v>
      </c>
      <c r="B3962" s="38">
        <v>46269</v>
      </c>
      <c r="C3962" s="23" t="s">
        <v>8409</v>
      </c>
      <c r="D3962" s="23" t="s">
        <v>87</v>
      </c>
      <c r="E3962" s="23" t="s">
        <v>79</v>
      </c>
      <c r="F3962" s="23" t="s">
        <v>426</v>
      </c>
      <c r="G3962" s="23" t="s">
        <v>250</v>
      </c>
      <c r="H3962" s="39">
        <f t="shared" si="244"/>
        <v>6798</v>
      </c>
      <c r="I3962" s="23" t="str">
        <f t="shared" si="245"/>
        <v>Mumbai</v>
      </c>
      <c r="J3962" s="23">
        <f>COUNTIFS(pg_transaction_cleaned!$O:$O,A3962,pg_transaction_cleaned!$F:$F,"CAPTURE")</f>
        <v>1</v>
      </c>
      <c r="K3962" s="39">
        <f>SUMIFS(pg_transaction_cleaned!$H:$H,pg_transaction_cleaned!$O:$O,A3962,pg_transaction_cleaned!$F:$F,"CAPTURE")</f>
        <v>6798</v>
      </c>
      <c r="L3962" s="23">
        <f>COUNTIFS(pg_transaction_cleaned!$O:$O,A3962,pg_transaction_cleaned!$F:$F,"REFUND")</f>
        <v>0</v>
      </c>
      <c r="M3962" s="39">
        <f>SUMIFS(pg_transaction_cleaned!$H:$H,pg_transaction_cleaned!$O:$O,A3962,pg_transaction_cleaned!$F:$F,"REFUND")</f>
        <v>0</v>
      </c>
      <c r="N3962" s="23" t="str">
        <f t="shared" si="246"/>
        <v>OK</v>
      </c>
      <c r="O3962" s="24">
        <f t="shared" si="247"/>
        <v>0</v>
      </c>
    </row>
    <row r="3963" spans="1:15" ht="15" customHeight="1" x14ac:dyDescent="0.3">
      <c r="A3963" s="23" t="s">
        <v>8410</v>
      </c>
      <c r="B3963" s="38">
        <v>46273</v>
      </c>
      <c r="C3963" s="23" t="s">
        <v>8411</v>
      </c>
      <c r="D3963" s="23" t="s">
        <v>87</v>
      </c>
      <c r="E3963" s="23" t="s">
        <v>75</v>
      </c>
      <c r="F3963" s="23" t="s">
        <v>315</v>
      </c>
      <c r="G3963" s="23" t="s">
        <v>250</v>
      </c>
      <c r="H3963" s="39">
        <f t="shared" si="244"/>
        <v>1499</v>
      </c>
      <c r="I3963" s="23" t="str">
        <f t="shared" si="245"/>
        <v>Mumbai</v>
      </c>
      <c r="J3963" s="23">
        <f>COUNTIFS(pg_transaction_cleaned!$O:$O,A3963,pg_transaction_cleaned!$F:$F,"CAPTURE")</f>
        <v>2</v>
      </c>
      <c r="K3963" s="39">
        <f>SUMIFS(pg_transaction_cleaned!$H:$H,pg_transaction_cleaned!$O:$O,A3963,pg_transaction_cleaned!$F:$F,"CAPTURE")</f>
        <v>2998</v>
      </c>
      <c r="L3963" s="23">
        <f>COUNTIFS(pg_transaction_cleaned!$O:$O,A3963,pg_transaction_cleaned!$F:$F,"REFUND")</f>
        <v>0</v>
      </c>
      <c r="M3963" s="39">
        <f>SUMIFS(pg_transaction_cleaned!$H:$H,pg_transaction_cleaned!$O:$O,A3963,pg_transaction_cleaned!$F:$F,"REFUND")</f>
        <v>0</v>
      </c>
      <c r="N3963" s="23" t="str">
        <f t="shared" si="246"/>
        <v>Duplicate charge</v>
      </c>
      <c r="O3963" s="24">
        <f t="shared" si="247"/>
        <v>1499</v>
      </c>
    </row>
    <row r="3964" spans="1:15" ht="15" customHeight="1" x14ac:dyDescent="0.3">
      <c r="A3964" s="23" t="s">
        <v>8412</v>
      </c>
      <c r="B3964" s="38">
        <v>46281</v>
      </c>
      <c r="C3964" s="23" t="s">
        <v>8413</v>
      </c>
      <c r="D3964" s="23" t="s">
        <v>89</v>
      </c>
      <c r="E3964" s="23" t="s">
        <v>77</v>
      </c>
      <c r="F3964" s="23" t="s">
        <v>873</v>
      </c>
      <c r="G3964" s="23" t="s">
        <v>250</v>
      </c>
      <c r="H3964" s="39">
        <f t="shared" si="244"/>
        <v>13497</v>
      </c>
      <c r="I3964" s="23" t="str">
        <f t="shared" si="245"/>
        <v>Jaipur</v>
      </c>
      <c r="J3964" s="23">
        <f>COUNTIFS(pg_transaction_cleaned!$O:$O,A3964,pg_transaction_cleaned!$F:$F,"CAPTURE")</f>
        <v>1</v>
      </c>
      <c r="K3964" s="39">
        <f>SUMIFS(pg_transaction_cleaned!$H:$H,pg_transaction_cleaned!$O:$O,A3964,pg_transaction_cleaned!$F:$F,"CAPTURE")</f>
        <v>13497</v>
      </c>
      <c r="L3964" s="23">
        <f>COUNTIFS(pg_transaction_cleaned!$O:$O,A3964,pg_transaction_cleaned!$F:$F,"REFUND")</f>
        <v>0</v>
      </c>
      <c r="M3964" s="39">
        <f>SUMIFS(pg_transaction_cleaned!$H:$H,pg_transaction_cleaned!$O:$O,A3964,pg_transaction_cleaned!$F:$F,"REFUND")</f>
        <v>0</v>
      </c>
      <c r="N3964" s="23" t="str">
        <f t="shared" si="246"/>
        <v>OK</v>
      </c>
      <c r="O3964" s="24">
        <f t="shared" si="247"/>
        <v>0</v>
      </c>
    </row>
    <row r="3965" spans="1:15" ht="15" customHeight="1" x14ac:dyDescent="0.3">
      <c r="A3965" s="23" t="s">
        <v>8414</v>
      </c>
      <c r="B3965" s="38">
        <v>46285</v>
      </c>
      <c r="C3965" s="23" t="s">
        <v>8415</v>
      </c>
      <c r="D3965" s="23" t="s">
        <v>89</v>
      </c>
      <c r="E3965" s="23" t="s">
        <v>77</v>
      </c>
      <c r="F3965" s="23" t="s">
        <v>8416</v>
      </c>
      <c r="G3965" s="23" t="s">
        <v>318</v>
      </c>
      <c r="H3965" s="39">
        <f t="shared" si="244"/>
        <v>9498</v>
      </c>
      <c r="I3965" s="23" t="str">
        <f t="shared" si="245"/>
        <v>Jaipur</v>
      </c>
      <c r="J3965" s="23">
        <f>COUNTIFS(pg_transaction_cleaned!$O:$O,A3965,pg_transaction_cleaned!$F:$F,"CAPTURE")</f>
        <v>0</v>
      </c>
      <c r="K3965" s="39">
        <f>SUMIFS(pg_transaction_cleaned!$H:$H,pg_transaction_cleaned!$O:$O,A3965,pg_transaction_cleaned!$F:$F,"CAPTURE")</f>
        <v>0</v>
      </c>
      <c r="L3965" s="23">
        <f>COUNTIFS(pg_transaction_cleaned!$O:$O,A3965,pg_transaction_cleaned!$F:$F,"REFUND")</f>
        <v>0</v>
      </c>
      <c r="M3965" s="39">
        <f>SUMIFS(pg_transaction_cleaned!$H:$H,pg_transaction_cleaned!$O:$O,A3965,pg_transaction_cleaned!$F:$F,"REFUND")</f>
        <v>0</v>
      </c>
      <c r="N3965" s="23" t="str">
        <f t="shared" si="246"/>
        <v>OK</v>
      </c>
      <c r="O3965" s="24">
        <f t="shared" si="247"/>
        <v>0</v>
      </c>
    </row>
    <row r="3966" spans="1:15" ht="15" customHeight="1" x14ac:dyDescent="0.3">
      <c r="A3966" s="23" t="s">
        <v>8417</v>
      </c>
      <c r="B3966" s="38">
        <v>46294</v>
      </c>
      <c r="C3966" s="23" t="s">
        <v>8418</v>
      </c>
      <c r="D3966" s="23" t="s">
        <v>86</v>
      </c>
      <c r="E3966" s="23" t="s">
        <v>79</v>
      </c>
      <c r="F3966" s="23" t="s">
        <v>268</v>
      </c>
      <c r="G3966" s="23" t="s">
        <v>250</v>
      </c>
      <c r="H3966" s="39">
        <f t="shared" si="244"/>
        <v>1299</v>
      </c>
      <c r="I3966" s="23" t="str">
        <f t="shared" si="245"/>
        <v>Delhi</v>
      </c>
      <c r="J3966" s="23">
        <f>COUNTIFS(pg_transaction_cleaned!$O:$O,A3966,pg_transaction_cleaned!$F:$F,"CAPTURE")</f>
        <v>1</v>
      </c>
      <c r="K3966" s="39">
        <f>SUMIFS(pg_transaction_cleaned!$H:$H,pg_transaction_cleaned!$O:$O,A3966,pg_transaction_cleaned!$F:$F,"CAPTURE")</f>
        <v>1299</v>
      </c>
      <c r="L3966" s="23">
        <f>COUNTIFS(pg_transaction_cleaned!$O:$O,A3966,pg_transaction_cleaned!$F:$F,"REFUND")</f>
        <v>0</v>
      </c>
      <c r="M3966" s="39">
        <f>SUMIFS(pg_transaction_cleaned!$H:$H,pg_transaction_cleaned!$O:$O,A3966,pg_transaction_cleaned!$F:$F,"REFUND")</f>
        <v>0</v>
      </c>
      <c r="N3966" s="23" t="str">
        <f t="shared" si="246"/>
        <v>OK</v>
      </c>
      <c r="O3966" s="24">
        <f t="shared" si="247"/>
        <v>0</v>
      </c>
    </row>
    <row r="3967" spans="1:15" ht="15" customHeight="1" x14ac:dyDescent="0.3">
      <c r="A3967" s="23" t="s">
        <v>8419</v>
      </c>
      <c r="B3967" s="38">
        <v>46269</v>
      </c>
      <c r="C3967" s="23" t="s">
        <v>8420</v>
      </c>
      <c r="D3967" s="23" t="s">
        <v>90</v>
      </c>
      <c r="E3967" s="23" t="s">
        <v>79</v>
      </c>
      <c r="F3967" s="23" t="s">
        <v>268</v>
      </c>
      <c r="G3967" s="23" t="s">
        <v>250</v>
      </c>
      <c r="H3967" s="39">
        <f t="shared" si="244"/>
        <v>1299</v>
      </c>
      <c r="I3967" s="23" t="str">
        <f t="shared" si="245"/>
        <v>Ahmedabad</v>
      </c>
      <c r="J3967" s="23">
        <f>COUNTIFS(pg_transaction_cleaned!$O:$O,A3967,pg_transaction_cleaned!$F:$F,"CAPTURE")</f>
        <v>1</v>
      </c>
      <c r="K3967" s="39">
        <f>SUMIFS(pg_transaction_cleaned!$H:$H,pg_transaction_cleaned!$O:$O,A3967,pg_transaction_cleaned!$F:$F,"CAPTURE")</f>
        <v>1299</v>
      </c>
      <c r="L3967" s="23">
        <f>COUNTIFS(pg_transaction_cleaned!$O:$O,A3967,pg_transaction_cleaned!$F:$F,"REFUND")</f>
        <v>0</v>
      </c>
      <c r="M3967" s="39">
        <f>SUMIFS(pg_transaction_cleaned!$H:$H,pg_transaction_cleaned!$O:$O,A3967,pg_transaction_cleaned!$F:$F,"REFUND")</f>
        <v>0</v>
      </c>
      <c r="N3967" s="23" t="str">
        <f t="shared" si="246"/>
        <v>OK</v>
      </c>
      <c r="O3967" s="24">
        <f t="shared" si="247"/>
        <v>0</v>
      </c>
    </row>
    <row r="3968" spans="1:15" ht="15" customHeight="1" x14ac:dyDescent="0.3">
      <c r="A3968" s="23" t="s">
        <v>8421</v>
      </c>
      <c r="B3968" s="38">
        <v>46278</v>
      </c>
      <c r="C3968" s="23" t="s">
        <v>8422</v>
      </c>
      <c r="D3968" s="23" t="s">
        <v>86</v>
      </c>
      <c r="E3968" s="23" t="s">
        <v>81</v>
      </c>
      <c r="F3968" s="23" t="s">
        <v>265</v>
      </c>
      <c r="G3968" s="23" t="s">
        <v>250</v>
      </c>
      <c r="H3968" s="39">
        <f t="shared" si="244"/>
        <v>999</v>
      </c>
      <c r="I3968" s="23" t="str">
        <f t="shared" si="245"/>
        <v>Delhi</v>
      </c>
      <c r="J3968" s="23">
        <f>COUNTIFS(pg_transaction_cleaned!$O:$O,A3968,pg_transaction_cleaned!$F:$F,"CAPTURE")</f>
        <v>1</v>
      </c>
      <c r="K3968" s="39">
        <f>SUMIFS(pg_transaction_cleaned!$H:$H,pg_transaction_cleaned!$O:$O,A3968,pg_transaction_cleaned!$F:$F,"CAPTURE")</f>
        <v>999</v>
      </c>
      <c r="L3968" s="23">
        <f>COUNTIFS(pg_transaction_cleaned!$O:$O,A3968,pg_transaction_cleaned!$F:$F,"REFUND")</f>
        <v>0</v>
      </c>
      <c r="M3968" s="39">
        <f>SUMIFS(pg_transaction_cleaned!$H:$H,pg_transaction_cleaned!$O:$O,A3968,pg_transaction_cleaned!$F:$F,"REFUND")</f>
        <v>0</v>
      </c>
      <c r="N3968" s="23" t="str">
        <f t="shared" si="246"/>
        <v>OK</v>
      </c>
      <c r="O3968" s="24">
        <f t="shared" si="247"/>
        <v>0</v>
      </c>
    </row>
    <row r="3969" spans="1:15" ht="15" customHeight="1" x14ac:dyDescent="0.3">
      <c r="A3969" s="23" t="s">
        <v>8423</v>
      </c>
      <c r="B3969" s="38">
        <v>46278</v>
      </c>
      <c r="C3969" s="23" t="s">
        <v>8424</v>
      </c>
      <c r="D3969" s="23" t="s">
        <v>88</v>
      </c>
      <c r="E3969" s="23" t="s">
        <v>77</v>
      </c>
      <c r="F3969" s="23" t="s">
        <v>2304</v>
      </c>
      <c r="G3969" s="23" t="s">
        <v>250</v>
      </c>
      <c r="H3969" s="39">
        <f t="shared" si="244"/>
        <v>6797</v>
      </c>
      <c r="I3969" s="23" t="str">
        <f t="shared" si="245"/>
        <v>Lucknow</v>
      </c>
      <c r="J3969" s="23">
        <f>COUNTIFS(pg_transaction_cleaned!$O:$O,A3969,pg_transaction_cleaned!$F:$F,"CAPTURE")</f>
        <v>1</v>
      </c>
      <c r="K3969" s="39">
        <f>SUMIFS(pg_transaction_cleaned!$H:$H,pg_transaction_cleaned!$O:$O,A3969,pg_transaction_cleaned!$F:$F,"CAPTURE")</f>
        <v>6797</v>
      </c>
      <c r="L3969" s="23">
        <f>COUNTIFS(pg_transaction_cleaned!$O:$O,A3969,pg_transaction_cleaned!$F:$F,"REFUND")</f>
        <v>0</v>
      </c>
      <c r="M3969" s="39">
        <f>SUMIFS(pg_transaction_cleaned!$H:$H,pg_transaction_cleaned!$O:$O,A3969,pg_transaction_cleaned!$F:$F,"REFUND")</f>
        <v>0</v>
      </c>
      <c r="N3969" s="23" t="str">
        <f t="shared" si="246"/>
        <v>OK</v>
      </c>
      <c r="O3969" s="24">
        <f t="shared" si="247"/>
        <v>0</v>
      </c>
    </row>
    <row r="3970" spans="1:15" ht="15" customHeight="1" x14ac:dyDescent="0.3">
      <c r="A3970" s="23" t="s">
        <v>8425</v>
      </c>
      <c r="B3970" s="38">
        <v>46269</v>
      </c>
      <c r="C3970" s="23" t="s">
        <v>8426</v>
      </c>
      <c r="D3970" s="23" t="s">
        <v>92</v>
      </c>
      <c r="E3970" s="23" t="s">
        <v>81</v>
      </c>
      <c r="F3970" s="23" t="s">
        <v>337</v>
      </c>
      <c r="G3970" s="23" t="s">
        <v>318</v>
      </c>
      <c r="H3970" s="39">
        <f t="shared" ref="H3970:H4033" si="248">VALUE(SUBSTITUTE(F3970,",",""))</f>
        <v>3998</v>
      </c>
      <c r="I3970" s="23" t="str">
        <f t="shared" ref="I3970:I4033" si="249">IF(TRIM(D3970)="","Unknown",TRIM(D3970))</f>
        <v>Hyderabad</v>
      </c>
      <c r="J3970" s="23">
        <f>COUNTIFS(pg_transaction_cleaned!$O:$O,A3970,pg_transaction_cleaned!$F:$F,"CAPTURE")</f>
        <v>0</v>
      </c>
      <c r="K3970" s="39">
        <f>SUMIFS(pg_transaction_cleaned!$H:$H,pg_transaction_cleaned!$O:$O,A3970,pg_transaction_cleaned!$F:$F,"CAPTURE")</f>
        <v>0</v>
      </c>
      <c r="L3970" s="23">
        <f>COUNTIFS(pg_transaction_cleaned!$O:$O,A3970,pg_transaction_cleaned!$F:$F,"REFUND")</f>
        <v>0</v>
      </c>
      <c r="M3970" s="39">
        <f>SUMIFS(pg_transaction_cleaned!$H:$H,pg_transaction_cleaned!$O:$O,A3970,pg_transaction_cleaned!$F:$F,"REFUND")</f>
        <v>0</v>
      </c>
      <c r="N3970" s="23" t="str">
        <f t="shared" ref="N3970:N4033" si="250">IF(AND(G3970="Paid",J3970=0),"Paid, no payment",IF(AND(OR(G3970="Failed",G3970="Cancelled"),J3970&gt;0),"Payment on failed/cancelled",IF(J3970&gt;1,"Duplicate charge",IF(AND(J3970=1,ROUND(K3970-H3970,2)&lt;&gt;0),"Amount difference",IF(AND(G3970="Refunded",L3970=0),"Refunded, no refund",IF(AND(G3970&lt;&gt;"Refunded",L3970&gt;0),"Refund, order not Refunded",IF(AND(L3970&gt;0,ROUND(M3970-H3970,2)&lt;&gt;0),"Refund amount differs","OK")))))))</f>
        <v>OK</v>
      </c>
      <c r="O3970" s="24">
        <f t="shared" ref="O3970:O4033" si="251">IF(N3970="OK",0,IF(N3970="Paid, no payment",H3970,IF(N3970="Payment on failed/cancelled",K3970,IF(OR(N3970="Duplicate charge",N3970="Amount difference"),K3970-H3970,IF(N3970="Refunded, no refund",H3970,M3970)))))</f>
        <v>0</v>
      </c>
    </row>
    <row r="3971" spans="1:15" ht="15" customHeight="1" x14ac:dyDescent="0.3">
      <c r="A3971" s="23" t="s">
        <v>8427</v>
      </c>
      <c r="B3971" s="38">
        <v>46266</v>
      </c>
      <c r="C3971" s="23" t="s">
        <v>8428</v>
      </c>
      <c r="D3971" s="23" t="s">
        <v>91</v>
      </c>
      <c r="E3971" s="23" t="s">
        <v>75</v>
      </c>
      <c r="F3971" s="23" t="s">
        <v>268</v>
      </c>
      <c r="G3971" s="23" t="s">
        <v>250</v>
      </c>
      <c r="H3971" s="39">
        <f t="shared" si="248"/>
        <v>1299</v>
      </c>
      <c r="I3971" s="23" t="str">
        <f t="shared" si="249"/>
        <v>Pune</v>
      </c>
      <c r="J3971" s="23">
        <f>COUNTIFS(pg_transaction_cleaned!$O:$O,A3971,pg_transaction_cleaned!$F:$F,"CAPTURE")</f>
        <v>1</v>
      </c>
      <c r="K3971" s="39">
        <f>SUMIFS(pg_transaction_cleaned!$H:$H,pg_transaction_cleaned!$O:$O,A3971,pg_transaction_cleaned!$F:$F,"CAPTURE")</f>
        <v>1299</v>
      </c>
      <c r="L3971" s="23">
        <f>COUNTIFS(pg_transaction_cleaned!$O:$O,A3971,pg_transaction_cleaned!$F:$F,"REFUND")</f>
        <v>0</v>
      </c>
      <c r="M3971" s="39">
        <f>SUMIFS(pg_transaction_cleaned!$H:$H,pg_transaction_cleaned!$O:$O,A3971,pg_transaction_cleaned!$F:$F,"REFUND")</f>
        <v>0</v>
      </c>
      <c r="N3971" s="23" t="str">
        <f t="shared" si="250"/>
        <v>OK</v>
      </c>
      <c r="O3971" s="24">
        <f t="shared" si="251"/>
        <v>0</v>
      </c>
    </row>
    <row r="3972" spans="1:15" ht="15" customHeight="1" x14ac:dyDescent="0.3">
      <c r="A3972" s="23" t="s">
        <v>8429</v>
      </c>
      <c r="B3972" s="38">
        <v>46287</v>
      </c>
      <c r="C3972" s="23" t="s">
        <v>8430</v>
      </c>
      <c r="D3972" s="23" t="s">
        <v>92</v>
      </c>
      <c r="E3972" s="23" t="s">
        <v>79</v>
      </c>
      <c r="F3972" s="23" t="s">
        <v>262</v>
      </c>
      <c r="G3972" s="23" t="s">
        <v>250</v>
      </c>
      <c r="H3972" s="39">
        <f t="shared" si="248"/>
        <v>499</v>
      </c>
      <c r="I3972" s="23" t="str">
        <f t="shared" si="249"/>
        <v>Hyderabad</v>
      </c>
      <c r="J3972" s="23">
        <f>COUNTIFS(pg_transaction_cleaned!$O:$O,A3972,pg_transaction_cleaned!$F:$F,"CAPTURE")</f>
        <v>1</v>
      </c>
      <c r="K3972" s="39">
        <f>SUMIFS(pg_transaction_cleaned!$H:$H,pg_transaction_cleaned!$O:$O,A3972,pg_transaction_cleaned!$F:$F,"CAPTURE")</f>
        <v>499</v>
      </c>
      <c r="L3972" s="23">
        <f>COUNTIFS(pg_transaction_cleaned!$O:$O,A3972,pg_transaction_cleaned!$F:$F,"REFUND")</f>
        <v>0</v>
      </c>
      <c r="M3972" s="39">
        <f>SUMIFS(pg_transaction_cleaned!$H:$H,pg_transaction_cleaned!$O:$O,A3972,pg_transaction_cleaned!$F:$F,"REFUND")</f>
        <v>0</v>
      </c>
      <c r="N3972" s="23" t="str">
        <f t="shared" si="250"/>
        <v>OK</v>
      </c>
      <c r="O3972" s="24">
        <f t="shared" si="251"/>
        <v>0</v>
      </c>
    </row>
    <row r="3973" spans="1:15" ht="15" customHeight="1" x14ac:dyDescent="0.3">
      <c r="A3973" s="23" t="s">
        <v>8431</v>
      </c>
      <c r="B3973" s="38">
        <v>46284</v>
      </c>
      <c r="C3973" s="23" t="s">
        <v>8432</v>
      </c>
      <c r="D3973" s="23" t="s">
        <v>93</v>
      </c>
      <c r="E3973" s="23" t="s">
        <v>77</v>
      </c>
      <c r="F3973" s="23" t="s">
        <v>378</v>
      </c>
      <c r="G3973" s="23" t="s">
        <v>250</v>
      </c>
      <c r="H3973" s="39">
        <f t="shared" si="248"/>
        <v>2848</v>
      </c>
      <c r="I3973" s="23" t="str">
        <f t="shared" si="249"/>
        <v>Kolkata</v>
      </c>
      <c r="J3973" s="23">
        <f>COUNTIFS(pg_transaction_cleaned!$O:$O,A3973,pg_transaction_cleaned!$F:$F,"CAPTURE")</f>
        <v>1</v>
      </c>
      <c r="K3973" s="39">
        <f>SUMIFS(pg_transaction_cleaned!$H:$H,pg_transaction_cleaned!$O:$O,A3973,pg_transaction_cleaned!$F:$F,"CAPTURE")</f>
        <v>2848</v>
      </c>
      <c r="L3973" s="23">
        <f>COUNTIFS(pg_transaction_cleaned!$O:$O,A3973,pg_transaction_cleaned!$F:$F,"REFUND")</f>
        <v>0</v>
      </c>
      <c r="M3973" s="39">
        <f>SUMIFS(pg_transaction_cleaned!$H:$H,pg_transaction_cleaned!$O:$O,A3973,pg_transaction_cleaned!$F:$F,"REFUND")</f>
        <v>0</v>
      </c>
      <c r="N3973" s="23" t="str">
        <f t="shared" si="250"/>
        <v>OK</v>
      </c>
      <c r="O3973" s="24">
        <f t="shared" si="251"/>
        <v>0</v>
      </c>
    </row>
    <row r="3974" spans="1:15" ht="15" customHeight="1" x14ac:dyDescent="0.3">
      <c r="A3974" s="23" t="s">
        <v>8433</v>
      </c>
      <c r="B3974" s="38">
        <v>46287</v>
      </c>
      <c r="C3974" s="23" t="s">
        <v>8434</v>
      </c>
      <c r="D3974" s="23" t="s">
        <v>91</v>
      </c>
      <c r="E3974" s="23" t="s">
        <v>79</v>
      </c>
      <c r="F3974" s="23" t="s">
        <v>824</v>
      </c>
      <c r="G3974" s="23" t="s">
        <v>250</v>
      </c>
      <c r="H3974" s="39">
        <f t="shared" si="248"/>
        <v>1198</v>
      </c>
      <c r="I3974" s="23" t="str">
        <f t="shared" si="249"/>
        <v>Pune</v>
      </c>
      <c r="J3974" s="23">
        <f>COUNTIFS(pg_transaction_cleaned!$O:$O,A3974,pg_transaction_cleaned!$F:$F,"CAPTURE")</f>
        <v>1</v>
      </c>
      <c r="K3974" s="39">
        <f>SUMIFS(pg_transaction_cleaned!$H:$H,pg_transaction_cleaned!$O:$O,A3974,pg_transaction_cleaned!$F:$F,"CAPTURE")</f>
        <v>1198</v>
      </c>
      <c r="L3974" s="23">
        <f>COUNTIFS(pg_transaction_cleaned!$O:$O,A3974,pg_transaction_cleaned!$F:$F,"REFUND")</f>
        <v>0</v>
      </c>
      <c r="M3974" s="39">
        <f>SUMIFS(pg_transaction_cleaned!$H:$H,pg_transaction_cleaned!$O:$O,A3974,pg_transaction_cleaned!$F:$F,"REFUND")</f>
        <v>0</v>
      </c>
      <c r="N3974" s="23" t="str">
        <f t="shared" si="250"/>
        <v>OK</v>
      </c>
      <c r="O3974" s="24">
        <f t="shared" si="251"/>
        <v>0</v>
      </c>
    </row>
    <row r="3975" spans="1:15" ht="15" customHeight="1" x14ac:dyDescent="0.3">
      <c r="A3975" s="23" t="s">
        <v>8435</v>
      </c>
      <c r="B3975" s="38">
        <v>46278</v>
      </c>
      <c r="C3975" s="23" t="s">
        <v>8436</v>
      </c>
      <c r="D3975" s="23" t="s">
        <v>91</v>
      </c>
      <c r="E3975" s="23" t="s">
        <v>79</v>
      </c>
      <c r="F3975" s="23" t="s">
        <v>262</v>
      </c>
      <c r="G3975" s="23" t="s">
        <v>250</v>
      </c>
      <c r="H3975" s="39">
        <f t="shared" si="248"/>
        <v>499</v>
      </c>
      <c r="I3975" s="23" t="str">
        <f t="shared" si="249"/>
        <v>Pune</v>
      </c>
      <c r="J3975" s="23">
        <f>COUNTIFS(pg_transaction_cleaned!$O:$O,A3975,pg_transaction_cleaned!$F:$F,"CAPTURE")</f>
        <v>1</v>
      </c>
      <c r="K3975" s="39">
        <f>SUMIFS(pg_transaction_cleaned!$H:$H,pg_transaction_cleaned!$O:$O,A3975,pg_transaction_cleaned!$F:$F,"CAPTURE")</f>
        <v>499</v>
      </c>
      <c r="L3975" s="23">
        <f>COUNTIFS(pg_transaction_cleaned!$O:$O,A3975,pg_transaction_cleaned!$F:$F,"REFUND")</f>
        <v>0</v>
      </c>
      <c r="M3975" s="39">
        <f>SUMIFS(pg_transaction_cleaned!$H:$H,pg_transaction_cleaned!$O:$O,A3975,pg_transaction_cleaned!$F:$F,"REFUND")</f>
        <v>0</v>
      </c>
      <c r="N3975" s="23" t="str">
        <f t="shared" si="250"/>
        <v>OK</v>
      </c>
      <c r="O3975" s="24">
        <f t="shared" si="251"/>
        <v>0</v>
      </c>
    </row>
    <row r="3976" spans="1:15" ht="15" customHeight="1" x14ac:dyDescent="0.3">
      <c r="A3976" s="23" t="s">
        <v>8437</v>
      </c>
      <c r="B3976" s="38">
        <v>46278</v>
      </c>
      <c r="C3976" s="23" t="s">
        <v>8438</v>
      </c>
      <c r="D3976" s="23" t="s">
        <v>95</v>
      </c>
      <c r="E3976" s="23" t="s">
        <v>79</v>
      </c>
      <c r="F3976" s="23" t="s">
        <v>647</v>
      </c>
      <c r="G3976" s="23" t="s">
        <v>250</v>
      </c>
      <c r="H3976" s="39">
        <f t="shared" si="248"/>
        <v>5597</v>
      </c>
      <c r="I3976" s="23" t="str">
        <f t="shared" si="249"/>
        <v>Bengaluru</v>
      </c>
      <c r="J3976" s="23">
        <f>COUNTIFS(pg_transaction_cleaned!$O:$O,A3976,pg_transaction_cleaned!$F:$F,"CAPTURE")</f>
        <v>0</v>
      </c>
      <c r="K3976" s="39">
        <f>SUMIFS(pg_transaction_cleaned!$H:$H,pg_transaction_cleaned!$O:$O,A3976,pg_transaction_cleaned!$F:$F,"CAPTURE")</f>
        <v>0</v>
      </c>
      <c r="L3976" s="23">
        <f>COUNTIFS(pg_transaction_cleaned!$O:$O,A3976,pg_transaction_cleaned!$F:$F,"REFUND")</f>
        <v>0</v>
      </c>
      <c r="M3976" s="39">
        <f>SUMIFS(pg_transaction_cleaned!$H:$H,pg_transaction_cleaned!$O:$O,A3976,pg_transaction_cleaned!$F:$F,"REFUND")</f>
        <v>0</v>
      </c>
      <c r="N3976" s="23" t="str">
        <f t="shared" si="250"/>
        <v>Paid, no payment</v>
      </c>
      <c r="O3976" s="24">
        <f t="shared" si="251"/>
        <v>5597</v>
      </c>
    </row>
    <row r="3977" spans="1:15" ht="15" customHeight="1" x14ac:dyDescent="0.3">
      <c r="A3977" s="23" t="s">
        <v>8439</v>
      </c>
      <c r="B3977" s="38">
        <v>46273</v>
      </c>
      <c r="C3977" s="23" t="s">
        <v>8440</v>
      </c>
      <c r="D3977" s="23" t="s">
        <v>93</v>
      </c>
      <c r="E3977" s="23" t="s">
        <v>75</v>
      </c>
      <c r="F3977" s="23" t="s">
        <v>475</v>
      </c>
      <c r="G3977" s="23" t="s">
        <v>301</v>
      </c>
      <c r="H3977" s="39">
        <f t="shared" si="248"/>
        <v>799</v>
      </c>
      <c r="I3977" s="23" t="str">
        <f t="shared" si="249"/>
        <v>Kolkata</v>
      </c>
      <c r="J3977" s="23">
        <f>COUNTIFS(pg_transaction_cleaned!$O:$O,A3977,pg_transaction_cleaned!$F:$F,"CAPTURE")</f>
        <v>1</v>
      </c>
      <c r="K3977" s="39">
        <f>SUMIFS(pg_transaction_cleaned!$H:$H,pg_transaction_cleaned!$O:$O,A3977,pg_transaction_cleaned!$F:$F,"CAPTURE")</f>
        <v>799</v>
      </c>
      <c r="L3977" s="23">
        <f>COUNTIFS(pg_transaction_cleaned!$O:$O,A3977,pg_transaction_cleaned!$F:$F,"REFUND")</f>
        <v>1</v>
      </c>
      <c r="M3977" s="39">
        <f>SUMIFS(pg_transaction_cleaned!$H:$H,pg_transaction_cleaned!$O:$O,A3977,pg_transaction_cleaned!$F:$F,"REFUND")</f>
        <v>799</v>
      </c>
      <c r="N3977" s="23" t="str">
        <f t="shared" si="250"/>
        <v>OK</v>
      </c>
      <c r="O3977" s="24">
        <f t="shared" si="251"/>
        <v>0</v>
      </c>
    </row>
    <row r="3978" spans="1:15" ht="15" customHeight="1" x14ac:dyDescent="0.3">
      <c r="A3978" s="23" t="s">
        <v>8441</v>
      </c>
      <c r="B3978" s="38">
        <v>46292</v>
      </c>
      <c r="C3978" s="23" t="s">
        <v>8442</v>
      </c>
      <c r="D3978" s="23" t="s">
        <v>91</v>
      </c>
      <c r="E3978" s="23" t="s">
        <v>79</v>
      </c>
      <c r="F3978" s="23" t="s">
        <v>2160</v>
      </c>
      <c r="G3978" s="23" t="s">
        <v>250</v>
      </c>
      <c r="H3978" s="39">
        <f t="shared" si="248"/>
        <v>7998</v>
      </c>
      <c r="I3978" s="23" t="str">
        <f t="shared" si="249"/>
        <v>Pune</v>
      </c>
      <c r="J3978" s="23">
        <f>COUNTIFS(pg_transaction_cleaned!$O:$O,A3978,pg_transaction_cleaned!$F:$F,"CAPTURE")</f>
        <v>1</v>
      </c>
      <c r="K3978" s="39">
        <f>SUMIFS(pg_transaction_cleaned!$H:$H,pg_transaction_cleaned!$O:$O,A3978,pg_transaction_cleaned!$F:$F,"CAPTURE")</f>
        <v>7998</v>
      </c>
      <c r="L3978" s="23">
        <f>COUNTIFS(pg_transaction_cleaned!$O:$O,A3978,pg_transaction_cleaned!$F:$F,"REFUND")</f>
        <v>0</v>
      </c>
      <c r="M3978" s="39">
        <f>SUMIFS(pg_transaction_cleaned!$H:$H,pg_transaction_cleaned!$O:$O,A3978,pg_transaction_cleaned!$F:$F,"REFUND")</f>
        <v>0</v>
      </c>
      <c r="N3978" s="23" t="str">
        <f t="shared" si="250"/>
        <v>OK</v>
      </c>
      <c r="O3978" s="24">
        <f t="shared" si="251"/>
        <v>0</v>
      </c>
    </row>
    <row r="3979" spans="1:15" ht="15" customHeight="1" x14ac:dyDescent="0.3">
      <c r="A3979" s="23" t="s">
        <v>8443</v>
      </c>
      <c r="B3979" s="38">
        <v>46275</v>
      </c>
      <c r="C3979" s="23" t="s">
        <v>8444</v>
      </c>
      <c r="D3979" s="23" t="s">
        <v>91</v>
      </c>
      <c r="E3979" s="23" t="s">
        <v>79</v>
      </c>
      <c r="F3979" s="23" t="s">
        <v>310</v>
      </c>
      <c r="G3979" s="23" t="s">
        <v>250</v>
      </c>
      <c r="H3979" s="39">
        <f t="shared" si="248"/>
        <v>7999</v>
      </c>
      <c r="I3979" s="23" t="str">
        <f t="shared" si="249"/>
        <v>Pune</v>
      </c>
      <c r="J3979" s="23">
        <f>COUNTIFS(pg_transaction_cleaned!$O:$O,A3979,pg_transaction_cleaned!$F:$F,"CAPTURE")</f>
        <v>1</v>
      </c>
      <c r="K3979" s="39">
        <f>SUMIFS(pg_transaction_cleaned!$H:$H,pg_transaction_cleaned!$O:$O,A3979,pg_transaction_cleaned!$F:$F,"CAPTURE")</f>
        <v>7999</v>
      </c>
      <c r="L3979" s="23">
        <f>COUNTIFS(pg_transaction_cleaned!$O:$O,A3979,pg_transaction_cleaned!$F:$F,"REFUND")</f>
        <v>0</v>
      </c>
      <c r="M3979" s="39">
        <f>SUMIFS(pg_transaction_cleaned!$H:$H,pg_transaction_cleaned!$O:$O,A3979,pg_transaction_cleaned!$F:$F,"REFUND")</f>
        <v>0</v>
      </c>
      <c r="N3979" s="23" t="str">
        <f t="shared" si="250"/>
        <v>OK</v>
      </c>
      <c r="O3979" s="24">
        <f t="shared" si="251"/>
        <v>0</v>
      </c>
    </row>
    <row r="3980" spans="1:15" ht="15" customHeight="1" x14ac:dyDescent="0.3">
      <c r="A3980" s="23" t="s">
        <v>8445</v>
      </c>
      <c r="B3980" s="38">
        <v>46289</v>
      </c>
      <c r="C3980" s="23" t="s">
        <v>8446</v>
      </c>
      <c r="D3980" s="23" t="s">
        <v>87</v>
      </c>
      <c r="E3980" s="23" t="s">
        <v>75</v>
      </c>
      <c r="F3980" s="23" t="s">
        <v>274</v>
      </c>
      <c r="G3980" s="23" t="s">
        <v>250</v>
      </c>
      <c r="H3980" s="39">
        <f t="shared" si="248"/>
        <v>349</v>
      </c>
      <c r="I3980" s="23" t="str">
        <f t="shared" si="249"/>
        <v>Mumbai</v>
      </c>
      <c r="J3980" s="23">
        <f>COUNTIFS(pg_transaction_cleaned!$O:$O,A3980,pg_transaction_cleaned!$F:$F,"CAPTURE")</f>
        <v>1</v>
      </c>
      <c r="K3980" s="39">
        <f>SUMIFS(pg_transaction_cleaned!$H:$H,pg_transaction_cleaned!$O:$O,A3980,pg_transaction_cleaned!$F:$F,"CAPTURE")</f>
        <v>349</v>
      </c>
      <c r="L3980" s="23">
        <f>COUNTIFS(pg_transaction_cleaned!$O:$O,A3980,pg_transaction_cleaned!$F:$F,"REFUND")</f>
        <v>0</v>
      </c>
      <c r="M3980" s="39">
        <f>SUMIFS(pg_transaction_cleaned!$H:$H,pg_transaction_cleaned!$O:$O,A3980,pg_transaction_cleaned!$F:$F,"REFUND")</f>
        <v>0</v>
      </c>
      <c r="N3980" s="23" t="str">
        <f t="shared" si="250"/>
        <v>OK</v>
      </c>
      <c r="O3980" s="24">
        <f t="shared" si="251"/>
        <v>0</v>
      </c>
    </row>
    <row r="3981" spans="1:15" ht="15" customHeight="1" x14ac:dyDescent="0.3">
      <c r="A3981" s="23" t="s">
        <v>8447</v>
      </c>
      <c r="B3981" s="38">
        <v>46268</v>
      </c>
      <c r="C3981" s="23" t="s">
        <v>8448</v>
      </c>
      <c r="D3981" s="23" t="s">
        <v>88</v>
      </c>
      <c r="E3981" s="23" t="s">
        <v>75</v>
      </c>
      <c r="F3981" s="23" t="s">
        <v>294</v>
      </c>
      <c r="G3981" s="23" t="s">
        <v>250</v>
      </c>
      <c r="H3981" s="39">
        <f t="shared" si="248"/>
        <v>1799</v>
      </c>
      <c r="I3981" s="23" t="str">
        <f t="shared" si="249"/>
        <v>Lucknow</v>
      </c>
      <c r="J3981" s="23">
        <f>COUNTIFS(pg_transaction_cleaned!$O:$O,A3981,pg_transaction_cleaned!$F:$F,"CAPTURE")</f>
        <v>1</v>
      </c>
      <c r="K3981" s="39">
        <f>SUMIFS(pg_transaction_cleaned!$H:$H,pg_transaction_cleaned!$O:$O,A3981,pg_transaction_cleaned!$F:$F,"CAPTURE")</f>
        <v>1799</v>
      </c>
      <c r="L3981" s="23">
        <f>COUNTIFS(pg_transaction_cleaned!$O:$O,A3981,pg_transaction_cleaned!$F:$F,"REFUND")</f>
        <v>0</v>
      </c>
      <c r="M3981" s="39">
        <f>SUMIFS(pg_transaction_cleaned!$H:$H,pg_transaction_cleaned!$O:$O,A3981,pg_transaction_cleaned!$F:$F,"REFUND")</f>
        <v>0</v>
      </c>
      <c r="N3981" s="23" t="str">
        <f t="shared" si="250"/>
        <v>OK</v>
      </c>
      <c r="O3981" s="24">
        <f t="shared" si="251"/>
        <v>0</v>
      </c>
    </row>
    <row r="3982" spans="1:15" ht="15" customHeight="1" x14ac:dyDescent="0.3">
      <c r="A3982" s="23" t="s">
        <v>8449</v>
      </c>
      <c r="B3982" s="38">
        <v>46286</v>
      </c>
      <c r="C3982" s="23" t="s">
        <v>8450</v>
      </c>
      <c r="D3982" s="23" t="s">
        <v>86</v>
      </c>
      <c r="E3982" s="23" t="s">
        <v>75</v>
      </c>
      <c r="F3982" s="23" t="s">
        <v>1644</v>
      </c>
      <c r="G3982" s="23" t="s">
        <v>250</v>
      </c>
      <c r="H3982" s="39">
        <f t="shared" si="248"/>
        <v>8497</v>
      </c>
      <c r="I3982" s="23" t="str">
        <f t="shared" si="249"/>
        <v>Delhi</v>
      </c>
      <c r="J3982" s="23">
        <f>COUNTIFS(pg_transaction_cleaned!$O:$O,A3982,pg_transaction_cleaned!$F:$F,"CAPTURE")</f>
        <v>1</v>
      </c>
      <c r="K3982" s="39">
        <f>SUMIFS(pg_transaction_cleaned!$H:$H,pg_transaction_cleaned!$O:$O,A3982,pg_transaction_cleaned!$F:$F,"CAPTURE")</f>
        <v>8497</v>
      </c>
      <c r="L3982" s="23">
        <f>COUNTIFS(pg_transaction_cleaned!$O:$O,A3982,pg_transaction_cleaned!$F:$F,"REFUND")</f>
        <v>0</v>
      </c>
      <c r="M3982" s="39">
        <f>SUMIFS(pg_transaction_cleaned!$H:$H,pg_transaction_cleaned!$O:$O,A3982,pg_transaction_cleaned!$F:$F,"REFUND")</f>
        <v>0</v>
      </c>
      <c r="N3982" s="23" t="str">
        <f t="shared" si="250"/>
        <v>OK</v>
      </c>
      <c r="O3982" s="24">
        <f t="shared" si="251"/>
        <v>0</v>
      </c>
    </row>
    <row r="3983" spans="1:15" ht="15" customHeight="1" x14ac:dyDescent="0.3">
      <c r="A3983" s="23" t="s">
        <v>8451</v>
      </c>
      <c r="B3983" s="38">
        <v>46294</v>
      </c>
      <c r="C3983" s="23" t="s">
        <v>8452</v>
      </c>
      <c r="D3983" s="23" t="s">
        <v>93</v>
      </c>
      <c r="E3983" s="23" t="s">
        <v>81</v>
      </c>
      <c r="F3983" s="23" t="s">
        <v>262</v>
      </c>
      <c r="G3983" s="23" t="s">
        <v>250</v>
      </c>
      <c r="H3983" s="39">
        <f t="shared" si="248"/>
        <v>499</v>
      </c>
      <c r="I3983" s="23" t="str">
        <f t="shared" si="249"/>
        <v>Kolkata</v>
      </c>
      <c r="J3983" s="23">
        <f>COUNTIFS(pg_transaction_cleaned!$O:$O,A3983,pg_transaction_cleaned!$F:$F,"CAPTURE")</f>
        <v>1</v>
      </c>
      <c r="K3983" s="39">
        <f>SUMIFS(pg_transaction_cleaned!$H:$H,pg_transaction_cleaned!$O:$O,A3983,pg_transaction_cleaned!$F:$F,"CAPTURE")</f>
        <v>499</v>
      </c>
      <c r="L3983" s="23">
        <f>COUNTIFS(pg_transaction_cleaned!$O:$O,A3983,pg_transaction_cleaned!$F:$F,"REFUND")</f>
        <v>0</v>
      </c>
      <c r="M3983" s="39">
        <f>SUMIFS(pg_transaction_cleaned!$H:$H,pg_transaction_cleaned!$O:$O,A3983,pg_transaction_cleaned!$F:$F,"REFUND")</f>
        <v>0</v>
      </c>
      <c r="N3983" s="23" t="str">
        <f t="shared" si="250"/>
        <v>OK</v>
      </c>
      <c r="O3983" s="24">
        <f t="shared" si="251"/>
        <v>0</v>
      </c>
    </row>
    <row r="3984" spans="1:15" ht="15" customHeight="1" x14ac:dyDescent="0.3">
      <c r="A3984" s="23" t="s">
        <v>8453</v>
      </c>
      <c r="B3984" s="38">
        <v>46295</v>
      </c>
      <c r="C3984" s="23" t="s">
        <v>8454</v>
      </c>
      <c r="D3984" s="23" t="s">
        <v>88</v>
      </c>
      <c r="E3984" s="23" t="s">
        <v>77</v>
      </c>
      <c r="F3984" s="23" t="s">
        <v>268</v>
      </c>
      <c r="G3984" s="23" t="s">
        <v>365</v>
      </c>
      <c r="H3984" s="39">
        <f t="shared" si="248"/>
        <v>1299</v>
      </c>
      <c r="I3984" s="23" t="str">
        <f t="shared" si="249"/>
        <v>Lucknow</v>
      </c>
      <c r="J3984" s="23">
        <f>COUNTIFS(pg_transaction_cleaned!$O:$O,A3984,pg_transaction_cleaned!$F:$F,"CAPTURE")</f>
        <v>0</v>
      </c>
      <c r="K3984" s="39">
        <f>SUMIFS(pg_transaction_cleaned!$H:$H,pg_transaction_cleaned!$O:$O,A3984,pg_transaction_cleaned!$F:$F,"CAPTURE")</f>
        <v>0</v>
      </c>
      <c r="L3984" s="23">
        <f>COUNTIFS(pg_transaction_cleaned!$O:$O,A3984,pg_transaction_cleaned!$F:$F,"REFUND")</f>
        <v>0</v>
      </c>
      <c r="M3984" s="39">
        <f>SUMIFS(pg_transaction_cleaned!$H:$H,pg_transaction_cleaned!$O:$O,A3984,pg_transaction_cleaned!$F:$F,"REFUND")</f>
        <v>0</v>
      </c>
      <c r="N3984" s="23" t="str">
        <f t="shared" si="250"/>
        <v>OK</v>
      </c>
      <c r="O3984" s="24">
        <f t="shared" si="251"/>
        <v>0</v>
      </c>
    </row>
    <row r="3985" spans="1:15" ht="15" customHeight="1" x14ac:dyDescent="0.3">
      <c r="A3985" s="23" t="s">
        <v>8455</v>
      </c>
      <c r="B3985" s="38">
        <v>46285</v>
      </c>
      <c r="C3985" s="23" t="s">
        <v>8456</v>
      </c>
      <c r="D3985" s="23" t="s">
        <v>92</v>
      </c>
      <c r="E3985" s="23" t="s">
        <v>75</v>
      </c>
      <c r="F3985" s="23" t="s">
        <v>329</v>
      </c>
      <c r="G3985" s="23" t="s">
        <v>250</v>
      </c>
      <c r="H3985" s="39">
        <f t="shared" si="248"/>
        <v>599</v>
      </c>
      <c r="I3985" s="23" t="str">
        <f t="shared" si="249"/>
        <v>Hyderabad</v>
      </c>
      <c r="J3985" s="23">
        <f>COUNTIFS(pg_transaction_cleaned!$O:$O,A3985,pg_transaction_cleaned!$F:$F,"CAPTURE")</f>
        <v>1</v>
      </c>
      <c r="K3985" s="39">
        <f>SUMIFS(pg_transaction_cleaned!$H:$H,pg_transaction_cleaned!$O:$O,A3985,pg_transaction_cleaned!$F:$F,"CAPTURE")</f>
        <v>599</v>
      </c>
      <c r="L3985" s="23">
        <f>COUNTIFS(pg_transaction_cleaned!$O:$O,A3985,pg_transaction_cleaned!$F:$F,"REFUND")</f>
        <v>0</v>
      </c>
      <c r="M3985" s="39">
        <f>SUMIFS(pg_transaction_cleaned!$H:$H,pg_transaction_cleaned!$O:$O,A3985,pg_transaction_cleaned!$F:$F,"REFUND")</f>
        <v>0</v>
      </c>
      <c r="N3985" s="23" t="str">
        <f t="shared" si="250"/>
        <v>OK</v>
      </c>
      <c r="O3985" s="24">
        <f t="shared" si="251"/>
        <v>0</v>
      </c>
    </row>
    <row r="3986" spans="1:15" ht="15" customHeight="1" x14ac:dyDescent="0.3">
      <c r="A3986" s="23" t="s">
        <v>8457</v>
      </c>
      <c r="B3986" s="38">
        <v>46282</v>
      </c>
      <c r="C3986" s="23" t="s">
        <v>8458</v>
      </c>
      <c r="D3986" s="23" t="s">
        <v>95</v>
      </c>
      <c r="E3986" s="23" t="s">
        <v>75</v>
      </c>
      <c r="F3986" s="23" t="s">
        <v>1038</v>
      </c>
      <c r="G3986" s="23" t="s">
        <v>250</v>
      </c>
      <c r="H3986" s="39">
        <f t="shared" si="248"/>
        <v>3597</v>
      </c>
      <c r="I3986" s="23" t="str">
        <f t="shared" si="249"/>
        <v>Bengaluru</v>
      </c>
      <c r="J3986" s="23">
        <f>COUNTIFS(pg_transaction_cleaned!$O:$O,A3986,pg_transaction_cleaned!$F:$F,"CAPTURE")</f>
        <v>1</v>
      </c>
      <c r="K3986" s="39">
        <f>SUMIFS(pg_transaction_cleaned!$H:$H,pg_transaction_cleaned!$O:$O,A3986,pg_transaction_cleaned!$F:$F,"CAPTURE")</f>
        <v>3597</v>
      </c>
      <c r="L3986" s="23">
        <f>COUNTIFS(pg_transaction_cleaned!$O:$O,A3986,pg_transaction_cleaned!$F:$F,"REFUND")</f>
        <v>0</v>
      </c>
      <c r="M3986" s="39">
        <f>SUMIFS(pg_transaction_cleaned!$H:$H,pg_transaction_cleaned!$O:$O,A3986,pg_transaction_cleaned!$F:$F,"REFUND")</f>
        <v>0</v>
      </c>
      <c r="N3986" s="23" t="str">
        <f t="shared" si="250"/>
        <v>OK</v>
      </c>
      <c r="O3986" s="24">
        <f t="shared" si="251"/>
        <v>0</v>
      </c>
    </row>
    <row r="3987" spans="1:15" ht="15" customHeight="1" x14ac:dyDescent="0.3">
      <c r="A3987" s="23" t="s">
        <v>8459</v>
      </c>
      <c r="B3987" s="38">
        <v>46276</v>
      </c>
      <c r="C3987" s="23" t="s">
        <v>8460</v>
      </c>
      <c r="D3987" s="23" t="s">
        <v>91</v>
      </c>
      <c r="E3987" s="23" t="s">
        <v>79</v>
      </c>
      <c r="F3987" s="23" t="s">
        <v>274</v>
      </c>
      <c r="G3987" s="23" t="s">
        <v>250</v>
      </c>
      <c r="H3987" s="39">
        <f t="shared" si="248"/>
        <v>349</v>
      </c>
      <c r="I3987" s="23" t="str">
        <f t="shared" si="249"/>
        <v>Pune</v>
      </c>
      <c r="J3987" s="23">
        <f>COUNTIFS(pg_transaction_cleaned!$O:$O,A3987,pg_transaction_cleaned!$F:$F,"CAPTURE")</f>
        <v>1</v>
      </c>
      <c r="K3987" s="39">
        <f>SUMIFS(pg_transaction_cleaned!$H:$H,pg_transaction_cleaned!$O:$O,A3987,pg_transaction_cleaned!$F:$F,"CAPTURE")</f>
        <v>349</v>
      </c>
      <c r="L3987" s="23">
        <f>COUNTIFS(pg_transaction_cleaned!$O:$O,A3987,pg_transaction_cleaned!$F:$F,"REFUND")</f>
        <v>0</v>
      </c>
      <c r="M3987" s="39">
        <f>SUMIFS(pg_transaction_cleaned!$H:$H,pg_transaction_cleaned!$O:$O,A3987,pg_transaction_cleaned!$F:$F,"REFUND")</f>
        <v>0</v>
      </c>
      <c r="N3987" s="23" t="str">
        <f t="shared" si="250"/>
        <v>OK</v>
      </c>
      <c r="O3987" s="24">
        <f t="shared" si="251"/>
        <v>0</v>
      </c>
    </row>
    <row r="3988" spans="1:15" ht="15" customHeight="1" x14ac:dyDescent="0.3">
      <c r="A3988" s="23" t="s">
        <v>8461</v>
      </c>
      <c r="B3988" s="38">
        <v>46281</v>
      </c>
      <c r="C3988" s="23" t="s">
        <v>8462</v>
      </c>
      <c r="D3988" s="23" t="s">
        <v>94</v>
      </c>
      <c r="E3988" s="23" t="s">
        <v>75</v>
      </c>
      <c r="F3988" s="23" t="s">
        <v>632</v>
      </c>
      <c r="G3988" s="23" t="s">
        <v>365</v>
      </c>
      <c r="H3988" s="39">
        <f t="shared" si="248"/>
        <v>948</v>
      </c>
      <c r="I3988" s="23" t="str">
        <f t="shared" si="249"/>
        <v>Chennai</v>
      </c>
      <c r="J3988" s="23">
        <f>COUNTIFS(pg_transaction_cleaned!$O:$O,A3988,pg_transaction_cleaned!$F:$F,"CAPTURE")</f>
        <v>0</v>
      </c>
      <c r="K3988" s="39">
        <f>SUMIFS(pg_transaction_cleaned!$H:$H,pg_transaction_cleaned!$O:$O,A3988,pg_transaction_cleaned!$F:$F,"CAPTURE")</f>
        <v>0</v>
      </c>
      <c r="L3988" s="23">
        <f>COUNTIFS(pg_transaction_cleaned!$O:$O,A3988,pg_transaction_cleaned!$F:$F,"REFUND")</f>
        <v>0</v>
      </c>
      <c r="M3988" s="39">
        <f>SUMIFS(pg_transaction_cleaned!$H:$H,pg_transaction_cleaned!$O:$O,A3988,pg_transaction_cleaned!$F:$F,"REFUND")</f>
        <v>0</v>
      </c>
      <c r="N3988" s="23" t="str">
        <f t="shared" si="250"/>
        <v>OK</v>
      </c>
      <c r="O3988" s="24">
        <f t="shared" si="251"/>
        <v>0</v>
      </c>
    </row>
    <row r="3989" spans="1:15" ht="15" customHeight="1" x14ac:dyDescent="0.3">
      <c r="A3989" s="23" t="s">
        <v>8463</v>
      </c>
      <c r="B3989" s="38">
        <v>46291</v>
      </c>
      <c r="C3989" s="23" t="s">
        <v>8464</v>
      </c>
      <c r="D3989" s="23" t="s">
        <v>91</v>
      </c>
      <c r="E3989" s="23" t="s">
        <v>75</v>
      </c>
      <c r="F3989" s="23" t="s">
        <v>2730</v>
      </c>
      <c r="G3989" s="23" t="s">
        <v>250</v>
      </c>
      <c r="H3989" s="39">
        <f t="shared" si="248"/>
        <v>8348</v>
      </c>
      <c r="I3989" s="23" t="str">
        <f t="shared" si="249"/>
        <v>Pune</v>
      </c>
      <c r="J3989" s="23">
        <f>COUNTIFS(pg_transaction_cleaned!$O:$O,A3989,pg_transaction_cleaned!$F:$F,"CAPTURE")</f>
        <v>1</v>
      </c>
      <c r="K3989" s="39">
        <f>SUMIFS(pg_transaction_cleaned!$H:$H,pg_transaction_cleaned!$O:$O,A3989,pg_transaction_cleaned!$F:$F,"CAPTURE")</f>
        <v>8348</v>
      </c>
      <c r="L3989" s="23">
        <f>COUNTIFS(pg_transaction_cleaned!$O:$O,A3989,pg_transaction_cleaned!$F:$F,"REFUND")</f>
        <v>0</v>
      </c>
      <c r="M3989" s="39">
        <f>SUMIFS(pg_transaction_cleaned!$H:$H,pg_transaction_cleaned!$O:$O,A3989,pg_transaction_cleaned!$F:$F,"REFUND")</f>
        <v>0</v>
      </c>
      <c r="N3989" s="23" t="str">
        <f t="shared" si="250"/>
        <v>OK</v>
      </c>
      <c r="O3989" s="24">
        <f t="shared" si="251"/>
        <v>0</v>
      </c>
    </row>
    <row r="3990" spans="1:15" ht="15" customHeight="1" x14ac:dyDescent="0.3">
      <c r="A3990" s="23" t="s">
        <v>8465</v>
      </c>
      <c r="B3990" s="38">
        <v>46272</v>
      </c>
      <c r="C3990" s="23" t="s">
        <v>8466</v>
      </c>
      <c r="D3990" s="23" t="s">
        <v>87</v>
      </c>
      <c r="E3990" s="23" t="s">
        <v>79</v>
      </c>
      <c r="F3990" s="23" t="s">
        <v>297</v>
      </c>
      <c r="G3990" s="23" t="s">
        <v>250</v>
      </c>
      <c r="H3990" s="39">
        <f t="shared" si="248"/>
        <v>4999</v>
      </c>
      <c r="I3990" s="23" t="str">
        <f t="shared" si="249"/>
        <v>Mumbai</v>
      </c>
      <c r="J3990" s="23">
        <f>COUNTIFS(pg_transaction_cleaned!$O:$O,A3990,pg_transaction_cleaned!$F:$F,"CAPTURE")</f>
        <v>1</v>
      </c>
      <c r="K3990" s="39">
        <f>SUMIFS(pg_transaction_cleaned!$H:$H,pg_transaction_cleaned!$O:$O,A3990,pg_transaction_cleaned!$F:$F,"CAPTURE")</f>
        <v>4999</v>
      </c>
      <c r="L3990" s="23">
        <f>COUNTIFS(pg_transaction_cleaned!$O:$O,A3990,pg_transaction_cleaned!$F:$F,"REFUND")</f>
        <v>0</v>
      </c>
      <c r="M3990" s="39">
        <f>SUMIFS(pg_transaction_cleaned!$H:$H,pg_transaction_cleaned!$O:$O,A3990,pg_transaction_cleaned!$F:$F,"REFUND")</f>
        <v>0</v>
      </c>
      <c r="N3990" s="23" t="str">
        <f t="shared" si="250"/>
        <v>OK</v>
      </c>
      <c r="O3990" s="24">
        <f t="shared" si="251"/>
        <v>0</v>
      </c>
    </row>
    <row r="3991" spans="1:15" ht="15" customHeight="1" x14ac:dyDescent="0.3">
      <c r="A3991" s="23" t="s">
        <v>8467</v>
      </c>
      <c r="B3991" s="38">
        <v>46270</v>
      </c>
      <c r="C3991" s="23" t="s">
        <v>8468</v>
      </c>
      <c r="D3991" s="23" t="s">
        <v>89</v>
      </c>
      <c r="E3991" s="23" t="s">
        <v>75</v>
      </c>
      <c r="F3991" s="23" t="s">
        <v>315</v>
      </c>
      <c r="G3991" s="23" t="s">
        <v>250</v>
      </c>
      <c r="H3991" s="39">
        <f t="shared" si="248"/>
        <v>1499</v>
      </c>
      <c r="I3991" s="23" t="str">
        <f t="shared" si="249"/>
        <v>Jaipur</v>
      </c>
      <c r="J3991" s="23">
        <f>COUNTIFS(pg_transaction_cleaned!$O:$O,A3991,pg_transaction_cleaned!$F:$F,"CAPTURE")</f>
        <v>1</v>
      </c>
      <c r="K3991" s="39">
        <f>SUMIFS(pg_transaction_cleaned!$H:$H,pg_transaction_cleaned!$O:$O,A3991,pg_transaction_cleaned!$F:$F,"CAPTURE")</f>
        <v>1499</v>
      </c>
      <c r="L3991" s="23">
        <f>COUNTIFS(pg_transaction_cleaned!$O:$O,A3991,pg_transaction_cleaned!$F:$F,"REFUND")</f>
        <v>0</v>
      </c>
      <c r="M3991" s="39">
        <f>SUMIFS(pg_transaction_cleaned!$H:$H,pg_transaction_cleaned!$O:$O,A3991,pg_transaction_cleaned!$F:$F,"REFUND")</f>
        <v>0</v>
      </c>
      <c r="N3991" s="23" t="str">
        <f t="shared" si="250"/>
        <v>OK</v>
      </c>
      <c r="O3991" s="24">
        <f t="shared" si="251"/>
        <v>0</v>
      </c>
    </row>
    <row r="3992" spans="1:15" ht="15" customHeight="1" x14ac:dyDescent="0.3">
      <c r="A3992" s="23" t="s">
        <v>8469</v>
      </c>
      <c r="B3992" s="38">
        <v>46291</v>
      </c>
      <c r="C3992" s="23" t="s">
        <v>8470</v>
      </c>
      <c r="D3992" s="23" t="s">
        <v>92</v>
      </c>
      <c r="E3992" s="23" t="s">
        <v>81</v>
      </c>
      <c r="F3992" s="23" t="s">
        <v>5519</v>
      </c>
      <c r="G3992" s="23" t="s">
        <v>250</v>
      </c>
      <c r="H3992" s="39">
        <f t="shared" si="248"/>
        <v>1497</v>
      </c>
      <c r="I3992" s="23" t="str">
        <f t="shared" si="249"/>
        <v>Hyderabad</v>
      </c>
      <c r="J3992" s="23">
        <f>COUNTIFS(pg_transaction_cleaned!$O:$O,A3992,pg_transaction_cleaned!$F:$F,"CAPTURE")</f>
        <v>1</v>
      </c>
      <c r="K3992" s="39">
        <f>SUMIFS(pg_transaction_cleaned!$H:$H,pg_transaction_cleaned!$O:$O,A3992,pg_transaction_cleaned!$F:$F,"CAPTURE")</f>
        <v>1497</v>
      </c>
      <c r="L3992" s="23">
        <f>COUNTIFS(pg_transaction_cleaned!$O:$O,A3992,pg_transaction_cleaned!$F:$F,"REFUND")</f>
        <v>0</v>
      </c>
      <c r="M3992" s="39">
        <f>SUMIFS(pg_transaction_cleaned!$H:$H,pg_transaction_cleaned!$O:$O,A3992,pg_transaction_cleaned!$F:$F,"REFUND")</f>
        <v>0</v>
      </c>
      <c r="N3992" s="23" t="str">
        <f t="shared" si="250"/>
        <v>OK</v>
      </c>
      <c r="O3992" s="24">
        <f t="shared" si="251"/>
        <v>0</v>
      </c>
    </row>
    <row r="3993" spans="1:15" ht="15" customHeight="1" x14ac:dyDescent="0.3">
      <c r="A3993" s="23" t="s">
        <v>8471</v>
      </c>
      <c r="B3993" s="38">
        <v>46276</v>
      </c>
      <c r="C3993" s="23" t="s">
        <v>8472</v>
      </c>
      <c r="D3993" s="23" t="s">
        <v>95</v>
      </c>
      <c r="E3993" s="23" t="s">
        <v>75</v>
      </c>
      <c r="F3993" s="23" t="s">
        <v>315</v>
      </c>
      <c r="G3993" s="23" t="s">
        <v>318</v>
      </c>
      <c r="H3993" s="39">
        <f t="shared" si="248"/>
        <v>1499</v>
      </c>
      <c r="I3993" s="23" t="str">
        <f t="shared" si="249"/>
        <v>Bengaluru</v>
      </c>
      <c r="J3993" s="23">
        <f>COUNTIFS(pg_transaction_cleaned!$O:$O,A3993,pg_transaction_cleaned!$F:$F,"CAPTURE")</f>
        <v>0</v>
      </c>
      <c r="K3993" s="39">
        <f>SUMIFS(pg_transaction_cleaned!$H:$H,pg_transaction_cleaned!$O:$O,A3993,pg_transaction_cleaned!$F:$F,"CAPTURE")</f>
        <v>0</v>
      </c>
      <c r="L3993" s="23">
        <f>COUNTIFS(pg_transaction_cleaned!$O:$O,A3993,pg_transaction_cleaned!$F:$F,"REFUND")</f>
        <v>0</v>
      </c>
      <c r="M3993" s="39">
        <f>SUMIFS(pg_transaction_cleaned!$H:$H,pg_transaction_cleaned!$O:$O,A3993,pg_transaction_cleaned!$F:$F,"REFUND")</f>
        <v>0</v>
      </c>
      <c r="N3993" s="23" t="str">
        <f t="shared" si="250"/>
        <v>OK</v>
      </c>
      <c r="O3993" s="24">
        <f t="shared" si="251"/>
        <v>0</v>
      </c>
    </row>
    <row r="3994" spans="1:15" ht="15" customHeight="1" x14ac:dyDescent="0.3">
      <c r="A3994" s="23" t="s">
        <v>8473</v>
      </c>
      <c r="B3994" s="38">
        <v>46279</v>
      </c>
      <c r="C3994" s="23" t="s">
        <v>8474</v>
      </c>
      <c r="D3994" s="23" t="s">
        <v>95</v>
      </c>
      <c r="E3994" s="23" t="s">
        <v>75</v>
      </c>
      <c r="F3994" s="23" t="s">
        <v>737</v>
      </c>
      <c r="G3994" s="23" t="s">
        <v>250</v>
      </c>
      <c r="H3994" s="39">
        <f t="shared" si="248"/>
        <v>9798</v>
      </c>
      <c r="I3994" s="23" t="str">
        <f t="shared" si="249"/>
        <v>Bengaluru</v>
      </c>
      <c r="J3994" s="23">
        <f>COUNTIFS(pg_transaction_cleaned!$O:$O,A3994,pg_transaction_cleaned!$F:$F,"CAPTURE")</f>
        <v>1</v>
      </c>
      <c r="K3994" s="39">
        <f>SUMIFS(pg_transaction_cleaned!$H:$H,pg_transaction_cleaned!$O:$O,A3994,pg_transaction_cleaned!$F:$F,"CAPTURE")</f>
        <v>9798</v>
      </c>
      <c r="L3994" s="23">
        <f>COUNTIFS(pg_transaction_cleaned!$O:$O,A3994,pg_transaction_cleaned!$F:$F,"REFUND")</f>
        <v>0</v>
      </c>
      <c r="M3994" s="39">
        <f>SUMIFS(pg_transaction_cleaned!$H:$H,pg_transaction_cleaned!$O:$O,A3994,pg_transaction_cleaned!$F:$F,"REFUND")</f>
        <v>0</v>
      </c>
      <c r="N3994" s="23" t="str">
        <f t="shared" si="250"/>
        <v>OK</v>
      </c>
      <c r="O3994" s="24">
        <f t="shared" si="251"/>
        <v>0</v>
      </c>
    </row>
    <row r="3995" spans="1:15" ht="15" customHeight="1" x14ac:dyDescent="0.3">
      <c r="A3995" s="23" t="s">
        <v>8475</v>
      </c>
      <c r="B3995" s="38">
        <v>46285</v>
      </c>
      <c r="C3995" s="23" t="s">
        <v>8476</v>
      </c>
      <c r="D3995" s="23" t="s">
        <v>90</v>
      </c>
      <c r="E3995" s="23" t="s">
        <v>77</v>
      </c>
      <c r="F3995" s="23" t="s">
        <v>329</v>
      </c>
      <c r="G3995" s="23" t="s">
        <v>250</v>
      </c>
      <c r="H3995" s="39">
        <f t="shared" si="248"/>
        <v>599</v>
      </c>
      <c r="I3995" s="23" t="str">
        <f t="shared" si="249"/>
        <v>Ahmedabad</v>
      </c>
      <c r="J3995" s="23">
        <f>COUNTIFS(pg_transaction_cleaned!$O:$O,A3995,pg_transaction_cleaned!$F:$F,"CAPTURE")</f>
        <v>1</v>
      </c>
      <c r="K3995" s="39">
        <f>SUMIFS(pg_transaction_cleaned!$H:$H,pg_transaction_cleaned!$O:$O,A3995,pg_transaction_cleaned!$F:$F,"CAPTURE")</f>
        <v>599</v>
      </c>
      <c r="L3995" s="23">
        <f>COUNTIFS(pg_transaction_cleaned!$O:$O,A3995,pg_transaction_cleaned!$F:$F,"REFUND")</f>
        <v>0</v>
      </c>
      <c r="M3995" s="39">
        <f>SUMIFS(pg_transaction_cleaned!$H:$H,pg_transaction_cleaned!$O:$O,A3995,pg_transaction_cleaned!$F:$F,"REFUND")</f>
        <v>0</v>
      </c>
      <c r="N3995" s="23" t="str">
        <f t="shared" si="250"/>
        <v>OK</v>
      </c>
      <c r="O3995" s="24">
        <f t="shared" si="251"/>
        <v>0</v>
      </c>
    </row>
    <row r="3996" spans="1:15" ht="15" customHeight="1" x14ac:dyDescent="0.3">
      <c r="A3996" s="23" t="s">
        <v>8477</v>
      </c>
      <c r="B3996" s="38">
        <v>46275</v>
      </c>
      <c r="C3996" s="23" t="s">
        <v>8478</v>
      </c>
      <c r="D3996" s="23" t="s">
        <v>92</v>
      </c>
      <c r="E3996" s="23" t="s">
        <v>75</v>
      </c>
      <c r="F3996" s="23" t="s">
        <v>429</v>
      </c>
      <c r="G3996" s="23" t="s">
        <v>301</v>
      </c>
      <c r="H3996" s="39">
        <f t="shared" si="248"/>
        <v>3348</v>
      </c>
      <c r="I3996" s="23" t="str">
        <f t="shared" si="249"/>
        <v>Hyderabad</v>
      </c>
      <c r="J3996" s="23">
        <f>COUNTIFS(pg_transaction_cleaned!$O:$O,A3996,pg_transaction_cleaned!$F:$F,"CAPTURE")</f>
        <v>1</v>
      </c>
      <c r="K3996" s="39">
        <f>SUMIFS(pg_transaction_cleaned!$H:$H,pg_transaction_cleaned!$O:$O,A3996,pg_transaction_cleaned!$F:$F,"CAPTURE")</f>
        <v>3348</v>
      </c>
      <c r="L3996" s="23">
        <f>COUNTIFS(pg_transaction_cleaned!$O:$O,A3996,pg_transaction_cleaned!$F:$F,"REFUND")</f>
        <v>1</v>
      </c>
      <c r="M3996" s="39">
        <f>SUMIFS(pg_transaction_cleaned!$H:$H,pg_transaction_cleaned!$O:$O,A3996,pg_transaction_cleaned!$F:$F,"REFUND")</f>
        <v>3348</v>
      </c>
      <c r="N3996" s="23" t="str">
        <f t="shared" si="250"/>
        <v>OK</v>
      </c>
      <c r="O3996" s="24">
        <f t="shared" si="251"/>
        <v>0</v>
      </c>
    </row>
    <row r="3997" spans="1:15" ht="15" customHeight="1" x14ac:dyDescent="0.3">
      <c r="A3997" s="23" t="s">
        <v>8479</v>
      </c>
      <c r="B3997" s="38">
        <v>46271</v>
      </c>
      <c r="C3997" s="23" t="s">
        <v>8480</v>
      </c>
      <c r="D3997" s="23" t="s">
        <v>91</v>
      </c>
      <c r="E3997" s="23" t="s">
        <v>75</v>
      </c>
      <c r="F3997" s="23" t="s">
        <v>396</v>
      </c>
      <c r="G3997" s="23" t="s">
        <v>250</v>
      </c>
      <c r="H3997" s="39">
        <f t="shared" si="248"/>
        <v>2999</v>
      </c>
      <c r="I3997" s="23" t="str">
        <f t="shared" si="249"/>
        <v>Pune</v>
      </c>
      <c r="J3997" s="23">
        <f>COUNTIFS(pg_transaction_cleaned!$O:$O,A3997,pg_transaction_cleaned!$F:$F,"CAPTURE")</f>
        <v>1</v>
      </c>
      <c r="K3997" s="39">
        <f>SUMIFS(pg_transaction_cleaned!$H:$H,pg_transaction_cleaned!$O:$O,A3997,pg_transaction_cleaned!$F:$F,"CAPTURE")</f>
        <v>2999</v>
      </c>
      <c r="L3997" s="23">
        <f>COUNTIFS(pg_transaction_cleaned!$O:$O,A3997,pg_transaction_cleaned!$F:$F,"REFUND")</f>
        <v>0</v>
      </c>
      <c r="M3997" s="39">
        <f>SUMIFS(pg_transaction_cleaned!$H:$H,pg_transaction_cleaned!$O:$O,A3997,pg_transaction_cleaned!$F:$F,"REFUND")</f>
        <v>0</v>
      </c>
      <c r="N3997" s="23" t="str">
        <f t="shared" si="250"/>
        <v>OK</v>
      </c>
      <c r="O3997" s="24">
        <f t="shared" si="251"/>
        <v>0</v>
      </c>
    </row>
    <row r="3998" spans="1:15" ht="15" customHeight="1" x14ac:dyDescent="0.3">
      <c r="A3998" s="23" t="s">
        <v>8481</v>
      </c>
      <c r="B3998" s="38">
        <v>46288</v>
      </c>
      <c r="C3998" s="23" t="s">
        <v>8482</v>
      </c>
      <c r="D3998" s="23" t="s">
        <v>93</v>
      </c>
      <c r="E3998" s="23" t="s">
        <v>75</v>
      </c>
      <c r="F3998" s="23" t="s">
        <v>274</v>
      </c>
      <c r="G3998" s="23" t="s">
        <v>365</v>
      </c>
      <c r="H3998" s="39">
        <f t="shared" si="248"/>
        <v>349</v>
      </c>
      <c r="I3998" s="23" t="str">
        <f t="shared" si="249"/>
        <v>Kolkata</v>
      </c>
      <c r="J3998" s="23">
        <f>COUNTIFS(pg_transaction_cleaned!$O:$O,A3998,pg_transaction_cleaned!$F:$F,"CAPTURE")</f>
        <v>0</v>
      </c>
      <c r="K3998" s="39">
        <f>SUMIFS(pg_transaction_cleaned!$H:$H,pg_transaction_cleaned!$O:$O,A3998,pg_transaction_cleaned!$F:$F,"CAPTURE")</f>
        <v>0</v>
      </c>
      <c r="L3998" s="23">
        <f>COUNTIFS(pg_transaction_cleaned!$O:$O,A3998,pg_transaction_cleaned!$F:$F,"REFUND")</f>
        <v>0</v>
      </c>
      <c r="M3998" s="39">
        <f>SUMIFS(pg_transaction_cleaned!$H:$H,pg_transaction_cleaned!$O:$O,A3998,pg_transaction_cleaned!$F:$F,"REFUND")</f>
        <v>0</v>
      </c>
      <c r="N3998" s="23" t="str">
        <f t="shared" si="250"/>
        <v>OK</v>
      </c>
      <c r="O3998" s="24">
        <f t="shared" si="251"/>
        <v>0</v>
      </c>
    </row>
    <row r="3999" spans="1:15" ht="15" customHeight="1" x14ac:dyDescent="0.3">
      <c r="A3999" s="23" t="s">
        <v>8483</v>
      </c>
      <c r="B3999" s="38">
        <v>46285</v>
      </c>
      <c r="C3999" s="23" t="s">
        <v>8484</v>
      </c>
      <c r="D3999" s="23" t="s">
        <v>94</v>
      </c>
      <c r="E3999" s="23" t="s">
        <v>75</v>
      </c>
      <c r="F3999" s="23" t="s">
        <v>561</v>
      </c>
      <c r="G3999" s="23" t="s">
        <v>250</v>
      </c>
      <c r="H3999" s="39">
        <f t="shared" si="248"/>
        <v>4797</v>
      </c>
      <c r="I3999" s="23" t="str">
        <f t="shared" si="249"/>
        <v>Chennai</v>
      </c>
      <c r="J3999" s="23">
        <f>COUNTIFS(pg_transaction_cleaned!$O:$O,A3999,pg_transaction_cleaned!$F:$F,"CAPTURE")</f>
        <v>1</v>
      </c>
      <c r="K3999" s="39">
        <f>SUMIFS(pg_transaction_cleaned!$H:$H,pg_transaction_cleaned!$O:$O,A3999,pg_transaction_cleaned!$F:$F,"CAPTURE")</f>
        <v>4797</v>
      </c>
      <c r="L3999" s="23">
        <f>COUNTIFS(pg_transaction_cleaned!$O:$O,A3999,pg_transaction_cleaned!$F:$F,"REFUND")</f>
        <v>0</v>
      </c>
      <c r="M3999" s="39">
        <f>SUMIFS(pg_transaction_cleaned!$H:$H,pg_transaction_cleaned!$O:$O,A3999,pg_transaction_cleaned!$F:$F,"REFUND")</f>
        <v>0</v>
      </c>
      <c r="N3999" s="23" t="str">
        <f t="shared" si="250"/>
        <v>OK</v>
      </c>
      <c r="O3999" s="24">
        <f t="shared" si="251"/>
        <v>0</v>
      </c>
    </row>
    <row r="4000" spans="1:15" ht="15" customHeight="1" x14ac:dyDescent="0.3">
      <c r="A4000" s="23" t="s">
        <v>8485</v>
      </c>
      <c r="B4000" s="38">
        <v>46276</v>
      </c>
      <c r="C4000" s="23" t="s">
        <v>8486</v>
      </c>
      <c r="D4000" s="23" t="s">
        <v>91</v>
      </c>
      <c r="E4000" s="23" t="s">
        <v>79</v>
      </c>
      <c r="F4000" s="23" t="s">
        <v>265</v>
      </c>
      <c r="G4000" s="23" t="s">
        <v>250</v>
      </c>
      <c r="H4000" s="39">
        <f t="shared" si="248"/>
        <v>999</v>
      </c>
      <c r="I4000" s="23" t="str">
        <f t="shared" si="249"/>
        <v>Pune</v>
      </c>
      <c r="J4000" s="23">
        <f>COUNTIFS(pg_transaction_cleaned!$O:$O,A4000,pg_transaction_cleaned!$F:$F,"CAPTURE")</f>
        <v>1</v>
      </c>
      <c r="K4000" s="39">
        <f>SUMIFS(pg_transaction_cleaned!$H:$H,pg_transaction_cleaned!$O:$O,A4000,pg_transaction_cleaned!$F:$F,"CAPTURE")</f>
        <v>999</v>
      </c>
      <c r="L4000" s="23">
        <f>COUNTIFS(pg_transaction_cleaned!$O:$O,A4000,pg_transaction_cleaned!$F:$F,"REFUND")</f>
        <v>0</v>
      </c>
      <c r="M4000" s="39">
        <f>SUMIFS(pg_transaction_cleaned!$H:$H,pg_transaction_cleaned!$O:$O,A4000,pg_transaction_cleaned!$F:$F,"REFUND")</f>
        <v>0</v>
      </c>
      <c r="N4000" s="23" t="str">
        <f t="shared" si="250"/>
        <v>OK</v>
      </c>
      <c r="O4000" s="24">
        <f t="shared" si="251"/>
        <v>0</v>
      </c>
    </row>
    <row r="4001" spans="1:15" ht="15" customHeight="1" x14ac:dyDescent="0.3">
      <c r="A4001" s="23" t="s">
        <v>8487</v>
      </c>
      <c r="B4001" s="38">
        <v>46266</v>
      </c>
      <c r="C4001" s="23" t="s">
        <v>7210</v>
      </c>
      <c r="D4001" s="23" t="s">
        <v>90</v>
      </c>
      <c r="E4001" s="23" t="s">
        <v>75</v>
      </c>
      <c r="F4001" s="23" t="s">
        <v>396</v>
      </c>
      <c r="G4001" s="23" t="s">
        <v>250</v>
      </c>
      <c r="H4001" s="39">
        <f t="shared" si="248"/>
        <v>2999</v>
      </c>
      <c r="I4001" s="23" t="str">
        <f t="shared" si="249"/>
        <v>Ahmedabad</v>
      </c>
      <c r="J4001" s="23">
        <f>COUNTIFS(pg_transaction_cleaned!$O:$O,A4001,pg_transaction_cleaned!$F:$F,"CAPTURE")</f>
        <v>1</v>
      </c>
      <c r="K4001" s="39">
        <f>SUMIFS(pg_transaction_cleaned!$H:$H,pg_transaction_cleaned!$O:$O,A4001,pg_transaction_cleaned!$F:$F,"CAPTURE")</f>
        <v>2999</v>
      </c>
      <c r="L4001" s="23">
        <f>COUNTIFS(pg_transaction_cleaned!$O:$O,A4001,pg_transaction_cleaned!$F:$F,"REFUND")</f>
        <v>0</v>
      </c>
      <c r="M4001" s="39">
        <f>SUMIFS(pg_transaction_cleaned!$H:$H,pg_transaction_cleaned!$O:$O,A4001,pg_transaction_cleaned!$F:$F,"REFUND")</f>
        <v>0</v>
      </c>
      <c r="N4001" s="23" t="str">
        <f t="shared" si="250"/>
        <v>OK</v>
      </c>
      <c r="O4001" s="24">
        <f t="shared" si="251"/>
        <v>0</v>
      </c>
    </row>
    <row r="4002" spans="1:15" ht="15" customHeight="1" x14ac:dyDescent="0.3">
      <c r="A4002" s="23" t="s">
        <v>8488</v>
      </c>
      <c r="B4002" s="38">
        <v>46284</v>
      </c>
      <c r="C4002" s="23" t="s">
        <v>8489</v>
      </c>
      <c r="D4002" s="23" t="s">
        <v>93</v>
      </c>
      <c r="E4002" s="23" t="s">
        <v>75</v>
      </c>
      <c r="F4002" s="23" t="s">
        <v>2499</v>
      </c>
      <c r="G4002" s="23" t="s">
        <v>250</v>
      </c>
      <c r="H4002" s="39">
        <f t="shared" si="248"/>
        <v>5998</v>
      </c>
      <c r="I4002" s="23" t="str">
        <f t="shared" si="249"/>
        <v>Kolkata</v>
      </c>
      <c r="J4002" s="23">
        <f>COUNTIFS(pg_transaction_cleaned!$O:$O,A4002,pg_transaction_cleaned!$F:$F,"CAPTURE")</f>
        <v>1</v>
      </c>
      <c r="K4002" s="39">
        <f>SUMIFS(pg_transaction_cleaned!$H:$H,pg_transaction_cleaned!$O:$O,A4002,pg_transaction_cleaned!$F:$F,"CAPTURE")</f>
        <v>5998</v>
      </c>
      <c r="L4002" s="23">
        <f>COUNTIFS(pg_transaction_cleaned!$O:$O,A4002,pg_transaction_cleaned!$F:$F,"REFUND")</f>
        <v>0</v>
      </c>
      <c r="M4002" s="39">
        <f>SUMIFS(pg_transaction_cleaned!$H:$H,pg_transaction_cleaned!$O:$O,A4002,pg_transaction_cleaned!$F:$F,"REFUND")</f>
        <v>0</v>
      </c>
      <c r="N4002" s="23" t="str">
        <f t="shared" si="250"/>
        <v>OK</v>
      </c>
      <c r="O4002" s="24">
        <f t="shared" si="251"/>
        <v>0</v>
      </c>
    </row>
    <row r="4003" spans="1:15" ht="15" customHeight="1" x14ac:dyDescent="0.3">
      <c r="A4003" s="23" t="s">
        <v>8490</v>
      </c>
      <c r="B4003" s="38">
        <v>46278</v>
      </c>
      <c r="C4003" s="23" t="s">
        <v>8491</v>
      </c>
      <c r="D4003" s="23" t="s">
        <v>87</v>
      </c>
      <c r="E4003" s="23" t="s">
        <v>77</v>
      </c>
      <c r="F4003" s="23" t="s">
        <v>300</v>
      </c>
      <c r="G4003" s="23" t="s">
        <v>250</v>
      </c>
      <c r="H4003" s="39">
        <f t="shared" si="248"/>
        <v>2598</v>
      </c>
      <c r="I4003" s="23" t="str">
        <f t="shared" si="249"/>
        <v>Mumbai</v>
      </c>
      <c r="J4003" s="23">
        <f>COUNTIFS(pg_transaction_cleaned!$O:$O,A4003,pg_transaction_cleaned!$F:$F,"CAPTURE")</f>
        <v>1</v>
      </c>
      <c r="K4003" s="39">
        <f>SUMIFS(pg_transaction_cleaned!$H:$H,pg_transaction_cleaned!$O:$O,A4003,pg_transaction_cleaned!$F:$F,"CAPTURE")</f>
        <v>2598</v>
      </c>
      <c r="L4003" s="23">
        <f>COUNTIFS(pg_transaction_cleaned!$O:$O,A4003,pg_transaction_cleaned!$F:$F,"REFUND")</f>
        <v>0</v>
      </c>
      <c r="M4003" s="39">
        <f>SUMIFS(pg_transaction_cleaned!$H:$H,pg_transaction_cleaned!$O:$O,A4003,pg_transaction_cleaned!$F:$F,"REFUND")</f>
        <v>0</v>
      </c>
      <c r="N4003" s="23" t="str">
        <f t="shared" si="250"/>
        <v>OK</v>
      </c>
      <c r="O4003" s="24">
        <f t="shared" si="251"/>
        <v>0</v>
      </c>
    </row>
    <row r="4004" spans="1:15" ht="15" customHeight="1" x14ac:dyDescent="0.3">
      <c r="A4004" s="23" t="s">
        <v>8492</v>
      </c>
      <c r="B4004" s="38">
        <v>46266</v>
      </c>
      <c r="C4004" s="23" t="s">
        <v>8493</v>
      </c>
      <c r="D4004" s="23" t="s">
        <v>93</v>
      </c>
      <c r="E4004" s="23" t="s">
        <v>79</v>
      </c>
      <c r="F4004" s="23" t="s">
        <v>274</v>
      </c>
      <c r="G4004" s="23" t="s">
        <v>250</v>
      </c>
      <c r="H4004" s="39">
        <f t="shared" si="248"/>
        <v>349</v>
      </c>
      <c r="I4004" s="23" t="str">
        <f t="shared" si="249"/>
        <v>Kolkata</v>
      </c>
      <c r="J4004" s="23">
        <f>COUNTIFS(pg_transaction_cleaned!$O:$O,A4004,pg_transaction_cleaned!$F:$F,"CAPTURE")</f>
        <v>1</v>
      </c>
      <c r="K4004" s="39">
        <f>SUMIFS(pg_transaction_cleaned!$H:$H,pg_transaction_cleaned!$O:$O,A4004,pg_transaction_cleaned!$F:$F,"CAPTURE")</f>
        <v>349</v>
      </c>
      <c r="L4004" s="23">
        <f>COUNTIFS(pg_transaction_cleaned!$O:$O,A4004,pg_transaction_cleaned!$F:$F,"REFUND")</f>
        <v>0</v>
      </c>
      <c r="M4004" s="39">
        <f>SUMIFS(pg_transaction_cleaned!$H:$H,pg_transaction_cleaned!$O:$O,A4004,pg_transaction_cleaned!$F:$F,"REFUND")</f>
        <v>0</v>
      </c>
      <c r="N4004" s="23" t="str">
        <f t="shared" si="250"/>
        <v>OK</v>
      </c>
      <c r="O4004" s="24">
        <f t="shared" si="251"/>
        <v>0</v>
      </c>
    </row>
    <row r="4005" spans="1:15" ht="15" customHeight="1" x14ac:dyDescent="0.3">
      <c r="A4005" s="23" t="s">
        <v>8494</v>
      </c>
      <c r="B4005" s="38">
        <v>46280</v>
      </c>
      <c r="C4005" s="23" t="s">
        <v>8495</v>
      </c>
      <c r="D4005" s="23" t="s">
        <v>89</v>
      </c>
      <c r="E4005" s="23" t="s">
        <v>75</v>
      </c>
      <c r="F4005" s="23" t="s">
        <v>396</v>
      </c>
      <c r="G4005" s="23" t="s">
        <v>365</v>
      </c>
      <c r="H4005" s="39">
        <f t="shared" si="248"/>
        <v>2999</v>
      </c>
      <c r="I4005" s="23" t="str">
        <f t="shared" si="249"/>
        <v>Jaipur</v>
      </c>
      <c r="J4005" s="23">
        <f>COUNTIFS(pg_transaction_cleaned!$O:$O,A4005,pg_transaction_cleaned!$F:$F,"CAPTURE")</f>
        <v>0</v>
      </c>
      <c r="K4005" s="39">
        <f>SUMIFS(pg_transaction_cleaned!$H:$H,pg_transaction_cleaned!$O:$O,A4005,pg_transaction_cleaned!$F:$F,"CAPTURE")</f>
        <v>0</v>
      </c>
      <c r="L4005" s="23">
        <f>COUNTIFS(pg_transaction_cleaned!$O:$O,A4005,pg_transaction_cleaned!$F:$F,"REFUND")</f>
        <v>0</v>
      </c>
      <c r="M4005" s="39">
        <f>SUMIFS(pg_transaction_cleaned!$H:$H,pg_transaction_cleaned!$O:$O,A4005,pg_transaction_cleaned!$F:$F,"REFUND")</f>
        <v>0</v>
      </c>
      <c r="N4005" s="23" t="str">
        <f t="shared" si="250"/>
        <v>OK</v>
      </c>
      <c r="O4005" s="24">
        <f t="shared" si="251"/>
        <v>0</v>
      </c>
    </row>
    <row r="4006" spans="1:15" ht="15" customHeight="1" x14ac:dyDescent="0.3">
      <c r="A4006" s="23" t="s">
        <v>8496</v>
      </c>
      <c r="B4006" s="38">
        <v>46275</v>
      </c>
      <c r="C4006" s="23" t="s">
        <v>5456</v>
      </c>
      <c r="D4006" s="23" t="s">
        <v>90</v>
      </c>
      <c r="E4006" s="23" t="s">
        <v>75</v>
      </c>
      <c r="F4006" s="23" t="s">
        <v>310</v>
      </c>
      <c r="G4006" s="23" t="s">
        <v>301</v>
      </c>
      <c r="H4006" s="39">
        <f t="shared" si="248"/>
        <v>7999</v>
      </c>
      <c r="I4006" s="23" t="str">
        <f t="shared" si="249"/>
        <v>Ahmedabad</v>
      </c>
      <c r="J4006" s="23">
        <f>COUNTIFS(pg_transaction_cleaned!$O:$O,A4006,pg_transaction_cleaned!$F:$F,"CAPTURE")</f>
        <v>1</v>
      </c>
      <c r="K4006" s="39">
        <f>SUMIFS(pg_transaction_cleaned!$H:$H,pg_transaction_cleaned!$O:$O,A4006,pg_transaction_cleaned!$F:$F,"CAPTURE")</f>
        <v>7999</v>
      </c>
      <c r="L4006" s="23">
        <f>COUNTIFS(pg_transaction_cleaned!$O:$O,A4006,pg_transaction_cleaned!$F:$F,"REFUND")</f>
        <v>1</v>
      </c>
      <c r="M4006" s="39">
        <f>SUMIFS(pg_transaction_cleaned!$H:$H,pg_transaction_cleaned!$O:$O,A4006,pg_transaction_cleaned!$F:$F,"REFUND")</f>
        <v>7999</v>
      </c>
      <c r="N4006" s="23" t="str">
        <f t="shared" si="250"/>
        <v>OK</v>
      </c>
      <c r="O4006" s="24">
        <f t="shared" si="251"/>
        <v>0</v>
      </c>
    </row>
    <row r="4007" spans="1:15" ht="15" customHeight="1" x14ac:dyDescent="0.3">
      <c r="A4007" s="23" t="s">
        <v>8497</v>
      </c>
      <c r="B4007" s="38">
        <v>46270</v>
      </c>
      <c r="C4007" s="23" t="s">
        <v>8498</v>
      </c>
      <c r="D4007" s="23" t="s">
        <v>87</v>
      </c>
      <c r="E4007" s="23" t="s">
        <v>75</v>
      </c>
      <c r="F4007" s="23" t="s">
        <v>349</v>
      </c>
      <c r="G4007" s="23" t="s">
        <v>250</v>
      </c>
      <c r="H4007" s="39">
        <f t="shared" si="248"/>
        <v>1798</v>
      </c>
      <c r="I4007" s="23" t="str">
        <f t="shared" si="249"/>
        <v>Mumbai</v>
      </c>
      <c r="J4007" s="23">
        <f>COUNTIFS(pg_transaction_cleaned!$O:$O,A4007,pg_transaction_cleaned!$F:$F,"CAPTURE")</f>
        <v>1</v>
      </c>
      <c r="K4007" s="39">
        <f>SUMIFS(pg_transaction_cleaned!$H:$H,pg_transaction_cleaned!$O:$O,A4007,pg_transaction_cleaned!$F:$F,"CAPTURE")</f>
        <v>1798</v>
      </c>
      <c r="L4007" s="23">
        <f>COUNTIFS(pg_transaction_cleaned!$O:$O,A4007,pg_transaction_cleaned!$F:$F,"REFUND")</f>
        <v>0</v>
      </c>
      <c r="M4007" s="39">
        <f>SUMIFS(pg_transaction_cleaned!$H:$H,pg_transaction_cleaned!$O:$O,A4007,pg_transaction_cleaned!$F:$F,"REFUND")</f>
        <v>0</v>
      </c>
      <c r="N4007" s="23" t="str">
        <f t="shared" si="250"/>
        <v>OK</v>
      </c>
      <c r="O4007" s="24">
        <f t="shared" si="251"/>
        <v>0</v>
      </c>
    </row>
    <row r="4008" spans="1:15" ht="15" customHeight="1" x14ac:dyDescent="0.3">
      <c r="A4008" s="23" t="s">
        <v>8499</v>
      </c>
      <c r="B4008" s="38">
        <v>46274</v>
      </c>
      <c r="C4008" s="23" t="s">
        <v>8500</v>
      </c>
      <c r="D4008" s="23" t="s">
        <v>92</v>
      </c>
      <c r="E4008" s="23" t="s">
        <v>79</v>
      </c>
      <c r="F4008" s="23" t="s">
        <v>1505</v>
      </c>
      <c r="G4008" s="23" t="s">
        <v>250</v>
      </c>
      <c r="H4008" s="39">
        <f t="shared" si="248"/>
        <v>8298</v>
      </c>
      <c r="I4008" s="23" t="str">
        <f t="shared" si="249"/>
        <v>Hyderabad</v>
      </c>
      <c r="J4008" s="23">
        <f>COUNTIFS(pg_transaction_cleaned!$O:$O,A4008,pg_transaction_cleaned!$F:$F,"CAPTURE")</f>
        <v>1</v>
      </c>
      <c r="K4008" s="39">
        <f>SUMIFS(pg_transaction_cleaned!$H:$H,pg_transaction_cleaned!$O:$O,A4008,pg_transaction_cleaned!$F:$F,"CAPTURE")</f>
        <v>8298</v>
      </c>
      <c r="L4008" s="23">
        <f>COUNTIFS(pg_transaction_cleaned!$O:$O,A4008,pg_transaction_cleaned!$F:$F,"REFUND")</f>
        <v>0</v>
      </c>
      <c r="M4008" s="39">
        <f>SUMIFS(pg_transaction_cleaned!$H:$H,pg_transaction_cleaned!$O:$O,A4008,pg_transaction_cleaned!$F:$F,"REFUND")</f>
        <v>0</v>
      </c>
      <c r="N4008" s="23" t="str">
        <f t="shared" si="250"/>
        <v>OK</v>
      </c>
      <c r="O4008" s="24">
        <f t="shared" si="251"/>
        <v>0</v>
      </c>
    </row>
    <row r="4009" spans="1:15" ht="15" customHeight="1" x14ac:dyDescent="0.3">
      <c r="A4009" s="23" t="s">
        <v>8501</v>
      </c>
      <c r="B4009" s="38">
        <v>46293</v>
      </c>
      <c r="C4009" s="23" t="s">
        <v>8502</v>
      </c>
      <c r="D4009" s="23" t="s">
        <v>89</v>
      </c>
      <c r="E4009" s="23" t="s">
        <v>77</v>
      </c>
      <c r="F4009" s="23" t="s">
        <v>4191</v>
      </c>
      <c r="G4009" s="23" t="s">
        <v>250</v>
      </c>
      <c r="H4009" s="39">
        <f t="shared" si="248"/>
        <v>9147</v>
      </c>
      <c r="I4009" s="23" t="str">
        <f t="shared" si="249"/>
        <v>Jaipur</v>
      </c>
      <c r="J4009" s="23">
        <f>COUNTIFS(pg_transaction_cleaned!$O:$O,A4009,pg_transaction_cleaned!$F:$F,"CAPTURE")</f>
        <v>1</v>
      </c>
      <c r="K4009" s="39">
        <f>SUMIFS(pg_transaction_cleaned!$H:$H,pg_transaction_cleaned!$O:$O,A4009,pg_transaction_cleaned!$F:$F,"CAPTURE")</f>
        <v>9147</v>
      </c>
      <c r="L4009" s="23">
        <f>COUNTIFS(pg_transaction_cleaned!$O:$O,A4009,pg_transaction_cleaned!$F:$F,"REFUND")</f>
        <v>0</v>
      </c>
      <c r="M4009" s="39">
        <f>SUMIFS(pg_transaction_cleaned!$H:$H,pg_transaction_cleaned!$O:$O,A4009,pg_transaction_cleaned!$F:$F,"REFUND")</f>
        <v>0</v>
      </c>
      <c r="N4009" s="23" t="str">
        <f t="shared" si="250"/>
        <v>OK</v>
      </c>
      <c r="O4009" s="24">
        <f t="shared" si="251"/>
        <v>0</v>
      </c>
    </row>
    <row r="4010" spans="1:15" ht="15" customHeight="1" x14ac:dyDescent="0.3">
      <c r="A4010" s="23" t="s">
        <v>8503</v>
      </c>
      <c r="B4010" s="38">
        <v>46286</v>
      </c>
      <c r="C4010" s="23" t="s">
        <v>8504</v>
      </c>
      <c r="D4010" s="23" t="s">
        <v>90</v>
      </c>
      <c r="E4010" s="23" t="s">
        <v>79</v>
      </c>
      <c r="F4010" s="23" t="s">
        <v>612</v>
      </c>
      <c r="G4010" s="23" t="s">
        <v>250</v>
      </c>
      <c r="H4010" s="39">
        <f t="shared" si="248"/>
        <v>8498</v>
      </c>
      <c r="I4010" s="23" t="str">
        <f t="shared" si="249"/>
        <v>Ahmedabad</v>
      </c>
      <c r="J4010" s="23">
        <f>COUNTIFS(pg_transaction_cleaned!$O:$O,A4010,pg_transaction_cleaned!$F:$F,"CAPTURE")</f>
        <v>1</v>
      </c>
      <c r="K4010" s="39">
        <f>SUMIFS(pg_transaction_cleaned!$H:$H,pg_transaction_cleaned!$O:$O,A4010,pg_transaction_cleaned!$F:$F,"CAPTURE")</f>
        <v>8498</v>
      </c>
      <c r="L4010" s="23">
        <f>COUNTIFS(pg_transaction_cleaned!$O:$O,A4010,pg_transaction_cleaned!$F:$F,"REFUND")</f>
        <v>0</v>
      </c>
      <c r="M4010" s="39">
        <f>SUMIFS(pg_transaction_cleaned!$H:$H,pg_transaction_cleaned!$O:$O,A4010,pg_transaction_cleaned!$F:$F,"REFUND")</f>
        <v>0</v>
      </c>
      <c r="N4010" s="23" t="str">
        <f t="shared" si="250"/>
        <v>OK</v>
      </c>
      <c r="O4010" s="24">
        <f t="shared" si="251"/>
        <v>0</v>
      </c>
    </row>
    <row r="4011" spans="1:15" ht="15" customHeight="1" x14ac:dyDescent="0.3">
      <c r="A4011" s="23" t="s">
        <v>8505</v>
      </c>
      <c r="B4011" s="38">
        <v>46290</v>
      </c>
      <c r="C4011" s="23" t="s">
        <v>8506</v>
      </c>
      <c r="D4011" s="23" t="s">
        <v>93</v>
      </c>
      <c r="E4011" s="23" t="s">
        <v>79</v>
      </c>
      <c r="F4011" s="23" t="s">
        <v>249</v>
      </c>
      <c r="G4011" s="23" t="s">
        <v>250</v>
      </c>
      <c r="H4011" s="39">
        <f t="shared" si="248"/>
        <v>299</v>
      </c>
      <c r="I4011" s="23" t="str">
        <f t="shared" si="249"/>
        <v>Kolkata</v>
      </c>
      <c r="J4011" s="23">
        <f>COUNTIFS(pg_transaction_cleaned!$O:$O,A4011,pg_transaction_cleaned!$F:$F,"CAPTURE")</f>
        <v>1</v>
      </c>
      <c r="K4011" s="39">
        <f>SUMIFS(pg_transaction_cleaned!$H:$H,pg_transaction_cleaned!$O:$O,A4011,pg_transaction_cleaned!$F:$F,"CAPTURE")</f>
        <v>299</v>
      </c>
      <c r="L4011" s="23">
        <f>COUNTIFS(pg_transaction_cleaned!$O:$O,A4011,pg_transaction_cleaned!$F:$F,"REFUND")</f>
        <v>0</v>
      </c>
      <c r="M4011" s="39">
        <f>SUMIFS(pg_transaction_cleaned!$H:$H,pg_transaction_cleaned!$O:$O,A4011,pg_transaction_cleaned!$F:$F,"REFUND")</f>
        <v>0</v>
      </c>
      <c r="N4011" s="23" t="str">
        <f t="shared" si="250"/>
        <v>OK</v>
      </c>
      <c r="O4011" s="24">
        <f t="shared" si="251"/>
        <v>0</v>
      </c>
    </row>
    <row r="4012" spans="1:15" ht="15" customHeight="1" x14ac:dyDescent="0.3">
      <c r="A4012" s="23" t="s">
        <v>8507</v>
      </c>
      <c r="B4012" s="38">
        <v>46283</v>
      </c>
      <c r="C4012" s="23" t="s">
        <v>8508</v>
      </c>
      <c r="D4012" s="23" t="s">
        <v>90</v>
      </c>
      <c r="E4012" s="23" t="s">
        <v>77</v>
      </c>
      <c r="F4012" s="23" t="s">
        <v>259</v>
      </c>
      <c r="G4012" s="23" t="s">
        <v>250</v>
      </c>
      <c r="H4012" s="39">
        <f t="shared" si="248"/>
        <v>3298</v>
      </c>
      <c r="I4012" s="23" t="str">
        <f t="shared" si="249"/>
        <v>Ahmedabad</v>
      </c>
      <c r="J4012" s="23">
        <f>COUNTIFS(pg_transaction_cleaned!$O:$O,A4012,pg_transaction_cleaned!$F:$F,"CAPTURE")</f>
        <v>1</v>
      </c>
      <c r="K4012" s="39">
        <f>SUMIFS(pg_transaction_cleaned!$H:$H,pg_transaction_cleaned!$O:$O,A4012,pg_transaction_cleaned!$F:$F,"CAPTURE")</f>
        <v>3298</v>
      </c>
      <c r="L4012" s="23">
        <f>COUNTIFS(pg_transaction_cleaned!$O:$O,A4012,pg_transaction_cleaned!$F:$F,"REFUND")</f>
        <v>0</v>
      </c>
      <c r="M4012" s="39">
        <f>SUMIFS(pg_transaction_cleaned!$H:$H,pg_transaction_cleaned!$O:$O,A4012,pg_transaction_cleaned!$F:$F,"REFUND")</f>
        <v>0</v>
      </c>
      <c r="N4012" s="23" t="str">
        <f t="shared" si="250"/>
        <v>OK</v>
      </c>
      <c r="O4012" s="24">
        <f t="shared" si="251"/>
        <v>0</v>
      </c>
    </row>
    <row r="4013" spans="1:15" ht="15" customHeight="1" x14ac:dyDescent="0.3">
      <c r="A4013" s="23" t="s">
        <v>8509</v>
      </c>
      <c r="B4013" s="38">
        <v>46270</v>
      </c>
      <c r="C4013" s="23" t="s">
        <v>8510</v>
      </c>
      <c r="D4013" s="23" t="s">
        <v>91</v>
      </c>
      <c r="E4013" s="23" t="s">
        <v>75</v>
      </c>
      <c r="F4013" s="23" t="s">
        <v>1372</v>
      </c>
      <c r="G4013" s="23" t="s">
        <v>250</v>
      </c>
      <c r="H4013" s="39">
        <f t="shared" si="248"/>
        <v>798</v>
      </c>
      <c r="I4013" s="23" t="str">
        <f t="shared" si="249"/>
        <v>Pune</v>
      </c>
      <c r="J4013" s="23">
        <f>COUNTIFS(pg_transaction_cleaned!$O:$O,A4013,pg_transaction_cleaned!$F:$F,"CAPTURE")</f>
        <v>1</v>
      </c>
      <c r="K4013" s="39">
        <f>SUMIFS(pg_transaction_cleaned!$H:$H,pg_transaction_cleaned!$O:$O,A4013,pg_transaction_cleaned!$F:$F,"CAPTURE")</f>
        <v>798</v>
      </c>
      <c r="L4013" s="23">
        <f>COUNTIFS(pg_transaction_cleaned!$O:$O,A4013,pg_transaction_cleaned!$F:$F,"REFUND")</f>
        <v>0</v>
      </c>
      <c r="M4013" s="39">
        <f>SUMIFS(pg_transaction_cleaned!$H:$H,pg_transaction_cleaned!$O:$O,A4013,pg_transaction_cleaned!$F:$F,"REFUND")</f>
        <v>0</v>
      </c>
      <c r="N4013" s="23" t="str">
        <f t="shared" si="250"/>
        <v>OK</v>
      </c>
      <c r="O4013" s="24">
        <f t="shared" si="251"/>
        <v>0</v>
      </c>
    </row>
    <row r="4014" spans="1:15" ht="15" customHeight="1" x14ac:dyDescent="0.3">
      <c r="A4014" s="23" t="s">
        <v>8511</v>
      </c>
      <c r="B4014" s="38">
        <v>46269</v>
      </c>
      <c r="C4014" s="23" t="s">
        <v>8512</v>
      </c>
      <c r="D4014" s="23" t="s">
        <v>86</v>
      </c>
      <c r="E4014" s="23" t="s">
        <v>75</v>
      </c>
      <c r="F4014" s="23" t="s">
        <v>310</v>
      </c>
      <c r="G4014" s="23" t="s">
        <v>250</v>
      </c>
      <c r="H4014" s="39">
        <f t="shared" si="248"/>
        <v>7999</v>
      </c>
      <c r="I4014" s="23" t="str">
        <f t="shared" si="249"/>
        <v>Delhi</v>
      </c>
      <c r="J4014" s="23">
        <f>COUNTIFS(pg_transaction_cleaned!$O:$O,A4014,pg_transaction_cleaned!$F:$F,"CAPTURE")</f>
        <v>1</v>
      </c>
      <c r="K4014" s="39">
        <f>SUMIFS(pg_transaction_cleaned!$H:$H,pg_transaction_cleaned!$O:$O,A4014,pg_transaction_cleaned!$F:$F,"CAPTURE")</f>
        <v>7999</v>
      </c>
      <c r="L4014" s="23">
        <f>COUNTIFS(pg_transaction_cleaned!$O:$O,A4014,pg_transaction_cleaned!$F:$F,"REFUND")</f>
        <v>0</v>
      </c>
      <c r="M4014" s="39">
        <f>SUMIFS(pg_transaction_cleaned!$H:$H,pg_transaction_cleaned!$O:$O,A4014,pg_transaction_cleaned!$F:$F,"REFUND")</f>
        <v>0</v>
      </c>
      <c r="N4014" s="23" t="str">
        <f t="shared" si="250"/>
        <v>OK</v>
      </c>
      <c r="O4014" s="24">
        <f t="shared" si="251"/>
        <v>0</v>
      </c>
    </row>
    <row r="4015" spans="1:15" ht="15" customHeight="1" x14ac:dyDescent="0.3">
      <c r="A4015" s="23" t="s">
        <v>8513</v>
      </c>
      <c r="B4015" s="38">
        <v>46283</v>
      </c>
      <c r="C4015" s="23" t="s">
        <v>8514</v>
      </c>
      <c r="D4015" s="23" t="s">
        <v>89</v>
      </c>
      <c r="E4015" s="23" t="s">
        <v>75</v>
      </c>
      <c r="F4015" s="23" t="s">
        <v>262</v>
      </c>
      <c r="G4015" s="23" t="s">
        <v>250</v>
      </c>
      <c r="H4015" s="39">
        <f t="shared" si="248"/>
        <v>499</v>
      </c>
      <c r="I4015" s="23" t="str">
        <f t="shared" si="249"/>
        <v>Jaipur</v>
      </c>
      <c r="J4015" s="23">
        <f>COUNTIFS(pg_transaction_cleaned!$O:$O,A4015,pg_transaction_cleaned!$F:$F,"CAPTURE")</f>
        <v>1</v>
      </c>
      <c r="K4015" s="39">
        <f>SUMIFS(pg_transaction_cleaned!$H:$H,pg_transaction_cleaned!$O:$O,A4015,pg_transaction_cleaned!$F:$F,"CAPTURE")</f>
        <v>499</v>
      </c>
      <c r="L4015" s="23">
        <f>COUNTIFS(pg_transaction_cleaned!$O:$O,A4015,pg_transaction_cleaned!$F:$F,"REFUND")</f>
        <v>0</v>
      </c>
      <c r="M4015" s="39">
        <f>SUMIFS(pg_transaction_cleaned!$H:$H,pg_transaction_cleaned!$O:$O,A4015,pg_transaction_cleaned!$F:$F,"REFUND")</f>
        <v>0</v>
      </c>
      <c r="N4015" s="23" t="str">
        <f t="shared" si="250"/>
        <v>OK</v>
      </c>
      <c r="O4015" s="24">
        <f t="shared" si="251"/>
        <v>0</v>
      </c>
    </row>
    <row r="4016" spans="1:15" ht="15" customHeight="1" x14ac:dyDescent="0.3">
      <c r="A4016" s="23" t="s">
        <v>8515</v>
      </c>
      <c r="B4016" s="38">
        <v>46274</v>
      </c>
      <c r="C4016" s="23" t="s">
        <v>8516</v>
      </c>
      <c r="D4016" s="23" t="s">
        <v>88</v>
      </c>
      <c r="E4016" s="23" t="s">
        <v>75</v>
      </c>
      <c r="F4016" s="23" t="s">
        <v>622</v>
      </c>
      <c r="G4016" s="23" t="s">
        <v>250</v>
      </c>
      <c r="H4016" s="39">
        <f t="shared" si="248"/>
        <v>8998</v>
      </c>
      <c r="I4016" s="23" t="str">
        <f t="shared" si="249"/>
        <v>Lucknow</v>
      </c>
      <c r="J4016" s="23">
        <f>COUNTIFS(pg_transaction_cleaned!$O:$O,A4016,pg_transaction_cleaned!$F:$F,"CAPTURE")</f>
        <v>1</v>
      </c>
      <c r="K4016" s="39">
        <f>SUMIFS(pg_transaction_cleaned!$H:$H,pg_transaction_cleaned!$O:$O,A4016,pg_transaction_cleaned!$F:$F,"CAPTURE")</f>
        <v>8998</v>
      </c>
      <c r="L4016" s="23">
        <f>COUNTIFS(pg_transaction_cleaned!$O:$O,A4016,pg_transaction_cleaned!$F:$F,"REFUND")</f>
        <v>0</v>
      </c>
      <c r="M4016" s="39">
        <f>SUMIFS(pg_transaction_cleaned!$H:$H,pg_transaction_cleaned!$O:$O,A4016,pg_transaction_cleaned!$F:$F,"REFUND")</f>
        <v>0</v>
      </c>
      <c r="N4016" s="23" t="str">
        <f t="shared" si="250"/>
        <v>OK</v>
      </c>
      <c r="O4016" s="24">
        <f t="shared" si="251"/>
        <v>0</v>
      </c>
    </row>
    <row r="4017" spans="1:15" ht="15" customHeight="1" x14ac:dyDescent="0.3">
      <c r="A4017" s="23" t="s">
        <v>8517</v>
      </c>
      <c r="B4017" s="38">
        <v>46285</v>
      </c>
      <c r="C4017" s="23" t="s">
        <v>8518</v>
      </c>
      <c r="D4017" s="23" t="s">
        <v>92</v>
      </c>
      <c r="E4017" s="23" t="s">
        <v>75</v>
      </c>
      <c r="F4017" s="23" t="s">
        <v>763</v>
      </c>
      <c r="G4017" s="23" t="s">
        <v>250</v>
      </c>
      <c r="H4017" s="39">
        <f t="shared" si="248"/>
        <v>299</v>
      </c>
      <c r="I4017" s="23" t="str">
        <f t="shared" si="249"/>
        <v>Hyderabad</v>
      </c>
      <c r="J4017" s="23">
        <f>COUNTIFS(pg_transaction_cleaned!$O:$O,A4017,pg_transaction_cleaned!$F:$F,"CAPTURE")</f>
        <v>1</v>
      </c>
      <c r="K4017" s="39">
        <f>SUMIFS(pg_transaction_cleaned!$H:$H,pg_transaction_cleaned!$O:$O,A4017,pg_transaction_cleaned!$F:$F,"CAPTURE")</f>
        <v>299</v>
      </c>
      <c r="L4017" s="23">
        <f>COUNTIFS(pg_transaction_cleaned!$O:$O,A4017,pg_transaction_cleaned!$F:$F,"REFUND")</f>
        <v>0</v>
      </c>
      <c r="M4017" s="39">
        <f>SUMIFS(pg_transaction_cleaned!$H:$H,pg_transaction_cleaned!$O:$O,A4017,pg_transaction_cleaned!$F:$F,"REFUND")</f>
        <v>0</v>
      </c>
      <c r="N4017" s="23" t="str">
        <f t="shared" si="250"/>
        <v>OK</v>
      </c>
      <c r="O4017" s="24">
        <f t="shared" si="251"/>
        <v>0</v>
      </c>
    </row>
    <row r="4018" spans="1:15" ht="15" customHeight="1" x14ac:dyDescent="0.3">
      <c r="A4018" s="23" t="s">
        <v>8519</v>
      </c>
      <c r="B4018" s="38">
        <v>46280</v>
      </c>
      <c r="C4018" s="23" t="s">
        <v>8520</v>
      </c>
      <c r="D4018" s="23" t="s">
        <v>91</v>
      </c>
      <c r="E4018" s="23" t="s">
        <v>77</v>
      </c>
      <c r="F4018" s="23" t="s">
        <v>1463</v>
      </c>
      <c r="G4018" s="23" t="s">
        <v>250</v>
      </c>
      <c r="H4018" s="39">
        <f t="shared" si="248"/>
        <v>5348</v>
      </c>
      <c r="I4018" s="23" t="str">
        <f t="shared" si="249"/>
        <v>Pune</v>
      </c>
      <c r="J4018" s="23">
        <f>COUNTIFS(pg_transaction_cleaned!$O:$O,A4018,pg_transaction_cleaned!$F:$F,"CAPTURE")</f>
        <v>1</v>
      </c>
      <c r="K4018" s="39">
        <f>SUMIFS(pg_transaction_cleaned!$H:$H,pg_transaction_cleaned!$O:$O,A4018,pg_transaction_cleaned!$F:$F,"CAPTURE")</f>
        <v>5348</v>
      </c>
      <c r="L4018" s="23">
        <f>COUNTIFS(pg_transaction_cleaned!$O:$O,A4018,pg_transaction_cleaned!$F:$F,"REFUND")</f>
        <v>0</v>
      </c>
      <c r="M4018" s="39">
        <f>SUMIFS(pg_transaction_cleaned!$H:$H,pg_transaction_cleaned!$O:$O,A4018,pg_transaction_cleaned!$F:$F,"REFUND")</f>
        <v>0</v>
      </c>
      <c r="N4018" s="23" t="str">
        <f t="shared" si="250"/>
        <v>OK</v>
      </c>
      <c r="O4018" s="24">
        <f t="shared" si="251"/>
        <v>0</v>
      </c>
    </row>
    <row r="4019" spans="1:15" ht="15" customHeight="1" x14ac:dyDescent="0.3">
      <c r="A4019" s="23" t="s">
        <v>8521</v>
      </c>
      <c r="B4019" s="38">
        <v>46295</v>
      </c>
      <c r="C4019" s="23" t="s">
        <v>8522</v>
      </c>
      <c r="D4019" s="23" t="s">
        <v>95</v>
      </c>
      <c r="E4019" s="23" t="s">
        <v>81</v>
      </c>
      <c r="F4019" s="23" t="s">
        <v>265</v>
      </c>
      <c r="G4019" s="23" t="s">
        <v>250</v>
      </c>
      <c r="H4019" s="39">
        <f t="shared" si="248"/>
        <v>999</v>
      </c>
      <c r="I4019" s="23" t="str">
        <f t="shared" si="249"/>
        <v>Bengaluru</v>
      </c>
      <c r="J4019" s="23">
        <f>COUNTIFS(pg_transaction_cleaned!$O:$O,A4019,pg_transaction_cleaned!$F:$F,"CAPTURE")</f>
        <v>1</v>
      </c>
      <c r="K4019" s="39">
        <f>SUMIFS(pg_transaction_cleaned!$H:$H,pg_transaction_cleaned!$O:$O,A4019,pg_transaction_cleaned!$F:$F,"CAPTURE")</f>
        <v>999</v>
      </c>
      <c r="L4019" s="23">
        <f>COUNTIFS(pg_transaction_cleaned!$O:$O,A4019,pg_transaction_cleaned!$F:$F,"REFUND")</f>
        <v>0</v>
      </c>
      <c r="M4019" s="39">
        <f>SUMIFS(pg_transaction_cleaned!$H:$H,pg_transaction_cleaned!$O:$O,A4019,pg_transaction_cleaned!$F:$F,"REFUND")</f>
        <v>0</v>
      </c>
      <c r="N4019" s="23" t="str">
        <f t="shared" si="250"/>
        <v>OK</v>
      </c>
      <c r="O4019" s="24">
        <f t="shared" si="251"/>
        <v>0</v>
      </c>
    </row>
    <row r="4020" spans="1:15" ht="15" customHeight="1" x14ac:dyDescent="0.3">
      <c r="A4020" s="23" t="s">
        <v>8523</v>
      </c>
      <c r="B4020" s="38">
        <v>46276</v>
      </c>
      <c r="C4020" s="23" t="s">
        <v>8524</v>
      </c>
      <c r="D4020" s="23" t="s">
        <v>87</v>
      </c>
      <c r="E4020" s="23" t="s">
        <v>75</v>
      </c>
      <c r="F4020" s="23" t="s">
        <v>1352</v>
      </c>
      <c r="G4020" s="23" t="s">
        <v>250</v>
      </c>
      <c r="H4020" s="39">
        <f t="shared" si="248"/>
        <v>998</v>
      </c>
      <c r="I4020" s="23" t="str">
        <f t="shared" si="249"/>
        <v>Mumbai</v>
      </c>
      <c r="J4020" s="23">
        <f>COUNTIFS(pg_transaction_cleaned!$O:$O,A4020,pg_transaction_cleaned!$F:$F,"CAPTURE")</f>
        <v>1</v>
      </c>
      <c r="K4020" s="39">
        <f>SUMIFS(pg_transaction_cleaned!$H:$H,pg_transaction_cleaned!$O:$O,A4020,pg_transaction_cleaned!$F:$F,"CAPTURE")</f>
        <v>998</v>
      </c>
      <c r="L4020" s="23">
        <f>COUNTIFS(pg_transaction_cleaned!$O:$O,A4020,pg_transaction_cleaned!$F:$F,"REFUND")</f>
        <v>0</v>
      </c>
      <c r="M4020" s="39">
        <f>SUMIFS(pg_transaction_cleaned!$H:$H,pg_transaction_cleaned!$O:$O,A4020,pg_transaction_cleaned!$F:$F,"REFUND")</f>
        <v>0</v>
      </c>
      <c r="N4020" s="23" t="str">
        <f t="shared" si="250"/>
        <v>OK</v>
      </c>
      <c r="O4020" s="24">
        <f t="shared" si="251"/>
        <v>0</v>
      </c>
    </row>
    <row r="4021" spans="1:15" ht="15" customHeight="1" x14ac:dyDescent="0.3">
      <c r="A4021" s="23" t="s">
        <v>8525</v>
      </c>
      <c r="B4021" s="38">
        <v>46291</v>
      </c>
      <c r="C4021" s="23" t="s">
        <v>8526</v>
      </c>
      <c r="D4021" s="23" t="s">
        <v>90</v>
      </c>
      <c r="E4021" s="23" t="s">
        <v>77</v>
      </c>
      <c r="F4021" s="23" t="s">
        <v>1769</v>
      </c>
      <c r="G4021" s="23" t="s">
        <v>250</v>
      </c>
      <c r="H4021" s="39">
        <f t="shared" si="248"/>
        <v>1148</v>
      </c>
      <c r="I4021" s="23" t="str">
        <f t="shared" si="249"/>
        <v>Ahmedabad</v>
      </c>
      <c r="J4021" s="23">
        <f>COUNTIFS(pg_transaction_cleaned!$O:$O,A4021,pg_transaction_cleaned!$F:$F,"CAPTURE")</f>
        <v>1</v>
      </c>
      <c r="K4021" s="39">
        <f>SUMIFS(pg_transaction_cleaned!$H:$H,pg_transaction_cleaned!$O:$O,A4021,pg_transaction_cleaned!$F:$F,"CAPTURE")</f>
        <v>1148</v>
      </c>
      <c r="L4021" s="23">
        <f>COUNTIFS(pg_transaction_cleaned!$O:$O,A4021,pg_transaction_cleaned!$F:$F,"REFUND")</f>
        <v>0</v>
      </c>
      <c r="M4021" s="39">
        <f>SUMIFS(pg_transaction_cleaned!$H:$H,pg_transaction_cleaned!$O:$O,A4021,pg_transaction_cleaned!$F:$F,"REFUND")</f>
        <v>0</v>
      </c>
      <c r="N4021" s="23" t="str">
        <f t="shared" si="250"/>
        <v>OK</v>
      </c>
      <c r="O4021" s="24">
        <f t="shared" si="251"/>
        <v>0</v>
      </c>
    </row>
    <row r="4022" spans="1:15" ht="15" customHeight="1" x14ac:dyDescent="0.3">
      <c r="A4022" s="23" t="s">
        <v>8527</v>
      </c>
      <c r="B4022" s="38">
        <v>46283</v>
      </c>
      <c r="C4022" s="23" t="s">
        <v>8528</v>
      </c>
      <c r="D4022" s="23" t="s">
        <v>86</v>
      </c>
      <c r="E4022" s="23" t="s">
        <v>75</v>
      </c>
      <c r="F4022" s="23" t="s">
        <v>271</v>
      </c>
      <c r="G4022" s="23" t="s">
        <v>250</v>
      </c>
      <c r="H4022" s="39">
        <f t="shared" si="248"/>
        <v>2499</v>
      </c>
      <c r="I4022" s="23" t="str">
        <f t="shared" si="249"/>
        <v>Delhi</v>
      </c>
      <c r="J4022" s="23">
        <f>COUNTIFS(pg_transaction_cleaned!$O:$O,A4022,pg_transaction_cleaned!$F:$F,"CAPTURE")</f>
        <v>1</v>
      </c>
      <c r="K4022" s="39">
        <f>SUMIFS(pg_transaction_cleaned!$H:$H,pg_transaction_cleaned!$O:$O,A4022,pg_transaction_cleaned!$F:$F,"CAPTURE")</f>
        <v>2499</v>
      </c>
      <c r="L4022" s="23">
        <f>COUNTIFS(pg_transaction_cleaned!$O:$O,A4022,pg_transaction_cleaned!$F:$F,"REFUND")</f>
        <v>0</v>
      </c>
      <c r="M4022" s="39">
        <f>SUMIFS(pg_transaction_cleaned!$H:$H,pg_transaction_cleaned!$O:$O,A4022,pg_transaction_cleaned!$F:$F,"REFUND")</f>
        <v>0</v>
      </c>
      <c r="N4022" s="23" t="str">
        <f t="shared" si="250"/>
        <v>OK</v>
      </c>
      <c r="O4022" s="24">
        <f t="shared" si="251"/>
        <v>0</v>
      </c>
    </row>
    <row r="4023" spans="1:15" ht="15" customHeight="1" x14ac:dyDescent="0.3">
      <c r="A4023" s="23" t="s">
        <v>8529</v>
      </c>
      <c r="B4023" s="38">
        <v>46295</v>
      </c>
      <c r="C4023" s="23" t="s">
        <v>8530</v>
      </c>
      <c r="D4023" s="23" t="s">
        <v>88</v>
      </c>
      <c r="E4023" s="23" t="s">
        <v>77</v>
      </c>
      <c r="F4023" s="23" t="s">
        <v>1505</v>
      </c>
      <c r="G4023" s="23" t="s">
        <v>250</v>
      </c>
      <c r="H4023" s="39">
        <f t="shared" si="248"/>
        <v>8298</v>
      </c>
      <c r="I4023" s="23" t="str">
        <f t="shared" si="249"/>
        <v>Lucknow</v>
      </c>
      <c r="J4023" s="23">
        <f>COUNTIFS(pg_transaction_cleaned!$O:$O,A4023,pg_transaction_cleaned!$F:$F,"CAPTURE")</f>
        <v>1</v>
      </c>
      <c r="K4023" s="39">
        <f>SUMIFS(pg_transaction_cleaned!$H:$H,pg_transaction_cleaned!$O:$O,A4023,pg_transaction_cleaned!$F:$F,"CAPTURE")</f>
        <v>8298</v>
      </c>
      <c r="L4023" s="23">
        <f>COUNTIFS(pg_transaction_cleaned!$O:$O,A4023,pg_transaction_cleaned!$F:$F,"REFUND")</f>
        <v>0</v>
      </c>
      <c r="M4023" s="39">
        <f>SUMIFS(pg_transaction_cleaned!$H:$H,pg_transaction_cleaned!$O:$O,A4023,pg_transaction_cleaned!$F:$F,"REFUND")</f>
        <v>0</v>
      </c>
      <c r="N4023" s="23" t="str">
        <f t="shared" si="250"/>
        <v>OK</v>
      </c>
      <c r="O4023" s="24">
        <f t="shared" si="251"/>
        <v>0</v>
      </c>
    </row>
    <row r="4024" spans="1:15" ht="15" customHeight="1" x14ac:dyDescent="0.3">
      <c r="A4024" s="23" t="s">
        <v>8531</v>
      </c>
      <c r="B4024" s="38">
        <v>46275</v>
      </c>
      <c r="C4024" s="23" t="s">
        <v>8532</v>
      </c>
      <c r="D4024" s="23" t="s">
        <v>89</v>
      </c>
      <c r="E4024" s="23" t="s">
        <v>75</v>
      </c>
      <c r="F4024" s="23" t="s">
        <v>8533</v>
      </c>
      <c r="G4024" s="23" t="s">
        <v>250</v>
      </c>
      <c r="H4024" s="39">
        <f t="shared" si="248"/>
        <v>2397</v>
      </c>
      <c r="I4024" s="23" t="str">
        <f t="shared" si="249"/>
        <v>Jaipur</v>
      </c>
      <c r="J4024" s="23">
        <f>COUNTIFS(pg_transaction_cleaned!$O:$O,A4024,pg_transaction_cleaned!$F:$F,"CAPTURE")</f>
        <v>1</v>
      </c>
      <c r="K4024" s="39">
        <f>SUMIFS(pg_transaction_cleaned!$H:$H,pg_transaction_cleaned!$O:$O,A4024,pg_transaction_cleaned!$F:$F,"CAPTURE")</f>
        <v>2397</v>
      </c>
      <c r="L4024" s="23">
        <f>COUNTIFS(pg_transaction_cleaned!$O:$O,A4024,pg_transaction_cleaned!$F:$F,"REFUND")</f>
        <v>0</v>
      </c>
      <c r="M4024" s="39">
        <f>SUMIFS(pg_transaction_cleaned!$H:$H,pg_transaction_cleaned!$O:$O,A4024,pg_transaction_cleaned!$F:$F,"REFUND")</f>
        <v>0</v>
      </c>
      <c r="N4024" s="23" t="str">
        <f t="shared" si="250"/>
        <v>OK</v>
      </c>
      <c r="O4024" s="24">
        <f t="shared" si="251"/>
        <v>0</v>
      </c>
    </row>
    <row r="4025" spans="1:15" ht="15" customHeight="1" x14ac:dyDescent="0.3">
      <c r="A4025" s="23" t="s">
        <v>8534</v>
      </c>
      <c r="B4025" s="38">
        <v>46290</v>
      </c>
      <c r="C4025" s="23" t="s">
        <v>8535</v>
      </c>
      <c r="D4025" s="23" t="s">
        <v>90</v>
      </c>
      <c r="E4025" s="23" t="s">
        <v>75</v>
      </c>
      <c r="F4025" s="23" t="s">
        <v>396</v>
      </c>
      <c r="G4025" s="23" t="s">
        <v>250</v>
      </c>
      <c r="H4025" s="39">
        <f t="shared" si="248"/>
        <v>2999</v>
      </c>
      <c r="I4025" s="23" t="str">
        <f t="shared" si="249"/>
        <v>Ahmedabad</v>
      </c>
      <c r="J4025" s="23">
        <f>COUNTIFS(pg_transaction_cleaned!$O:$O,A4025,pg_transaction_cleaned!$F:$F,"CAPTURE")</f>
        <v>1</v>
      </c>
      <c r="K4025" s="39">
        <f>SUMIFS(pg_transaction_cleaned!$H:$H,pg_transaction_cleaned!$O:$O,A4025,pg_transaction_cleaned!$F:$F,"CAPTURE")</f>
        <v>2999</v>
      </c>
      <c r="L4025" s="23">
        <f>COUNTIFS(pg_transaction_cleaned!$O:$O,A4025,pg_transaction_cleaned!$F:$F,"REFUND")</f>
        <v>0</v>
      </c>
      <c r="M4025" s="39">
        <f>SUMIFS(pg_transaction_cleaned!$H:$H,pg_transaction_cleaned!$O:$O,A4025,pg_transaction_cleaned!$F:$F,"REFUND")</f>
        <v>0</v>
      </c>
      <c r="N4025" s="23" t="str">
        <f t="shared" si="250"/>
        <v>OK</v>
      </c>
      <c r="O4025" s="24">
        <f t="shared" si="251"/>
        <v>0</v>
      </c>
    </row>
    <row r="4026" spans="1:15" ht="15" customHeight="1" x14ac:dyDescent="0.3">
      <c r="A4026" s="23" t="s">
        <v>8536</v>
      </c>
      <c r="B4026" s="38">
        <v>46275</v>
      </c>
      <c r="C4026" s="23" t="s">
        <v>8537</v>
      </c>
      <c r="D4026" s="23" t="s">
        <v>89</v>
      </c>
      <c r="E4026" s="23" t="s">
        <v>75</v>
      </c>
      <c r="F4026" s="23" t="s">
        <v>587</v>
      </c>
      <c r="G4026" s="23" t="s">
        <v>250</v>
      </c>
      <c r="H4026" s="39">
        <f t="shared" si="248"/>
        <v>5297</v>
      </c>
      <c r="I4026" s="23" t="str">
        <f t="shared" si="249"/>
        <v>Jaipur</v>
      </c>
      <c r="J4026" s="23">
        <f>COUNTIFS(pg_transaction_cleaned!$O:$O,A4026,pg_transaction_cleaned!$F:$F,"CAPTURE")</f>
        <v>1</v>
      </c>
      <c r="K4026" s="39">
        <f>SUMIFS(pg_transaction_cleaned!$H:$H,pg_transaction_cleaned!$O:$O,A4026,pg_transaction_cleaned!$F:$F,"CAPTURE")</f>
        <v>5297</v>
      </c>
      <c r="L4026" s="23">
        <f>COUNTIFS(pg_transaction_cleaned!$O:$O,A4026,pg_transaction_cleaned!$F:$F,"REFUND")</f>
        <v>0</v>
      </c>
      <c r="M4026" s="39">
        <f>SUMIFS(pg_transaction_cleaned!$H:$H,pg_transaction_cleaned!$O:$O,A4026,pg_transaction_cleaned!$F:$F,"REFUND")</f>
        <v>0</v>
      </c>
      <c r="N4026" s="23" t="str">
        <f t="shared" si="250"/>
        <v>OK</v>
      </c>
      <c r="O4026" s="24">
        <f t="shared" si="251"/>
        <v>0</v>
      </c>
    </row>
    <row r="4027" spans="1:15" ht="15" customHeight="1" x14ac:dyDescent="0.3">
      <c r="A4027" s="23" t="s">
        <v>8538</v>
      </c>
      <c r="B4027" s="38">
        <v>46295</v>
      </c>
      <c r="C4027" s="23" t="s">
        <v>8539</v>
      </c>
      <c r="D4027" s="23" t="s">
        <v>89</v>
      </c>
      <c r="E4027" s="23" t="s">
        <v>79</v>
      </c>
      <c r="F4027" s="23" t="s">
        <v>1367</v>
      </c>
      <c r="G4027" s="23" t="s">
        <v>250</v>
      </c>
      <c r="H4027" s="39">
        <f t="shared" si="248"/>
        <v>898</v>
      </c>
      <c r="I4027" s="23" t="str">
        <f t="shared" si="249"/>
        <v>Jaipur</v>
      </c>
      <c r="J4027" s="23">
        <f>COUNTIFS(pg_transaction_cleaned!$O:$O,A4027,pg_transaction_cleaned!$F:$F,"CAPTURE")</f>
        <v>1</v>
      </c>
      <c r="K4027" s="39">
        <f>SUMIFS(pg_transaction_cleaned!$H:$H,pg_transaction_cleaned!$O:$O,A4027,pg_transaction_cleaned!$F:$F,"CAPTURE")</f>
        <v>898</v>
      </c>
      <c r="L4027" s="23">
        <f>COUNTIFS(pg_transaction_cleaned!$O:$O,A4027,pg_transaction_cleaned!$F:$F,"REFUND")</f>
        <v>0</v>
      </c>
      <c r="M4027" s="39">
        <f>SUMIFS(pg_transaction_cleaned!$H:$H,pg_transaction_cleaned!$O:$O,A4027,pg_transaction_cleaned!$F:$F,"REFUND")</f>
        <v>0</v>
      </c>
      <c r="N4027" s="23" t="str">
        <f t="shared" si="250"/>
        <v>OK</v>
      </c>
      <c r="O4027" s="24">
        <f t="shared" si="251"/>
        <v>0</v>
      </c>
    </row>
    <row r="4028" spans="1:15" ht="15" customHeight="1" x14ac:dyDescent="0.3">
      <c r="A4028" s="23" t="s">
        <v>8540</v>
      </c>
      <c r="B4028" s="38">
        <v>46286</v>
      </c>
      <c r="C4028" s="23" t="s">
        <v>1692</v>
      </c>
      <c r="D4028" s="23" t="s">
        <v>86</v>
      </c>
      <c r="E4028" s="23" t="s">
        <v>79</v>
      </c>
      <c r="F4028" s="23" t="s">
        <v>1103</v>
      </c>
      <c r="G4028" s="23" t="s">
        <v>250</v>
      </c>
      <c r="H4028" s="39">
        <f t="shared" si="248"/>
        <v>3897</v>
      </c>
      <c r="I4028" s="23" t="str">
        <f t="shared" si="249"/>
        <v>Delhi</v>
      </c>
      <c r="J4028" s="23">
        <f>COUNTIFS(pg_transaction_cleaned!$O:$O,A4028,pg_transaction_cleaned!$F:$F,"CAPTURE")</f>
        <v>1</v>
      </c>
      <c r="K4028" s="39">
        <f>SUMIFS(pg_transaction_cleaned!$H:$H,pg_transaction_cleaned!$O:$O,A4028,pg_transaction_cleaned!$F:$F,"CAPTURE")</f>
        <v>3897</v>
      </c>
      <c r="L4028" s="23">
        <f>COUNTIFS(pg_transaction_cleaned!$O:$O,A4028,pg_transaction_cleaned!$F:$F,"REFUND")</f>
        <v>0</v>
      </c>
      <c r="M4028" s="39">
        <f>SUMIFS(pg_transaction_cleaned!$H:$H,pg_transaction_cleaned!$O:$O,A4028,pg_transaction_cleaned!$F:$F,"REFUND")</f>
        <v>0</v>
      </c>
      <c r="N4028" s="23" t="str">
        <f t="shared" si="250"/>
        <v>OK</v>
      </c>
      <c r="O4028" s="24">
        <f t="shared" si="251"/>
        <v>0</v>
      </c>
    </row>
    <row r="4029" spans="1:15" ht="15" customHeight="1" x14ac:dyDescent="0.3">
      <c r="A4029" s="23" t="s">
        <v>8541</v>
      </c>
      <c r="B4029" s="38">
        <v>46269</v>
      </c>
      <c r="C4029" s="23" t="s">
        <v>8542</v>
      </c>
      <c r="D4029" s="23" t="s">
        <v>92</v>
      </c>
      <c r="E4029" s="23" t="s">
        <v>79</v>
      </c>
      <c r="F4029" s="23" t="s">
        <v>310</v>
      </c>
      <c r="G4029" s="23" t="s">
        <v>250</v>
      </c>
      <c r="H4029" s="39">
        <f t="shared" si="248"/>
        <v>7999</v>
      </c>
      <c r="I4029" s="23" t="str">
        <f t="shared" si="249"/>
        <v>Hyderabad</v>
      </c>
      <c r="J4029" s="23">
        <f>COUNTIFS(pg_transaction_cleaned!$O:$O,A4029,pg_transaction_cleaned!$F:$F,"CAPTURE")</f>
        <v>1</v>
      </c>
      <c r="K4029" s="39">
        <f>SUMIFS(pg_transaction_cleaned!$H:$H,pg_transaction_cleaned!$O:$O,A4029,pg_transaction_cleaned!$F:$F,"CAPTURE")</f>
        <v>7999</v>
      </c>
      <c r="L4029" s="23">
        <f>COUNTIFS(pg_transaction_cleaned!$O:$O,A4029,pg_transaction_cleaned!$F:$F,"REFUND")</f>
        <v>0</v>
      </c>
      <c r="M4029" s="39">
        <f>SUMIFS(pg_transaction_cleaned!$H:$H,pg_transaction_cleaned!$O:$O,A4029,pg_transaction_cleaned!$F:$F,"REFUND")</f>
        <v>0</v>
      </c>
      <c r="N4029" s="23" t="str">
        <f t="shared" si="250"/>
        <v>OK</v>
      </c>
      <c r="O4029" s="24">
        <f t="shared" si="251"/>
        <v>0</v>
      </c>
    </row>
    <row r="4030" spans="1:15" ht="15" customHeight="1" x14ac:dyDescent="0.3">
      <c r="A4030" s="23" t="s">
        <v>8543</v>
      </c>
      <c r="B4030" s="38">
        <v>46295</v>
      </c>
      <c r="C4030" s="23" t="s">
        <v>8544</v>
      </c>
      <c r="D4030" s="23"/>
      <c r="E4030" s="23" t="s">
        <v>79</v>
      </c>
      <c r="F4030" s="23" t="s">
        <v>310</v>
      </c>
      <c r="G4030" s="23" t="s">
        <v>250</v>
      </c>
      <c r="H4030" s="39">
        <f t="shared" si="248"/>
        <v>7999</v>
      </c>
      <c r="I4030" s="23" t="str">
        <f t="shared" si="249"/>
        <v>Unknown</v>
      </c>
      <c r="J4030" s="23">
        <f>COUNTIFS(pg_transaction_cleaned!$O:$O,A4030,pg_transaction_cleaned!$F:$F,"CAPTURE")</f>
        <v>1</v>
      </c>
      <c r="K4030" s="39">
        <f>SUMIFS(pg_transaction_cleaned!$H:$H,pg_transaction_cleaned!$O:$O,A4030,pg_transaction_cleaned!$F:$F,"CAPTURE")</f>
        <v>7999</v>
      </c>
      <c r="L4030" s="23">
        <f>COUNTIFS(pg_transaction_cleaned!$O:$O,A4030,pg_transaction_cleaned!$F:$F,"REFUND")</f>
        <v>0</v>
      </c>
      <c r="M4030" s="39">
        <f>SUMIFS(pg_transaction_cleaned!$H:$H,pg_transaction_cleaned!$O:$O,A4030,pg_transaction_cleaned!$F:$F,"REFUND")</f>
        <v>0</v>
      </c>
      <c r="N4030" s="23" t="str">
        <f t="shared" si="250"/>
        <v>OK</v>
      </c>
      <c r="O4030" s="24">
        <f t="shared" si="251"/>
        <v>0</v>
      </c>
    </row>
    <row r="4031" spans="1:15" ht="15" customHeight="1" x14ac:dyDescent="0.3">
      <c r="A4031" s="23" t="s">
        <v>8545</v>
      </c>
      <c r="B4031" s="38">
        <v>46292</v>
      </c>
      <c r="C4031" s="23" t="s">
        <v>8546</v>
      </c>
      <c r="D4031" s="23" t="s">
        <v>94</v>
      </c>
      <c r="E4031" s="23" t="s">
        <v>75</v>
      </c>
      <c r="F4031" s="23" t="s">
        <v>294</v>
      </c>
      <c r="G4031" s="23" t="s">
        <v>250</v>
      </c>
      <c r="H4031" s="39">
        <f t="shared" si="248"/>
        <v>1799</v>
      </c>
      <c r="I4031" s="23" t="str">
        <f t="shared" si="249"/>
        <v>Chennai</v>
      </c>
      <c r="J4031" s="23">
        <f>COUNTIFS(pg_transaction_cleaned!$O:$O,A4031,pg_transaction_cleaned!$F:$F,"CAPTURE")</f>
        <v>1</v>
      </c>
      <c r="K4031" s="39">
        <f>SUMIFS(pg_transaction_cleaned!$H:$H,pg_transaction_cleaned!$O:$O,A4031,pg_transaction_cleaned!$F:$F,"CAPTURE")</f>
        <v>1799</v>
      </c>
      <c r="L4031" s="23">
        <f>COUNTIFS(pg_transaction_cleaned!$O:$O,A4031,pg_transaction_cleaned!$F:$F,"REFUND")</f>
        <v>0</v>
      </c>
      <c r="M4031" s="39">
        <f>SUMIFS(pg_transaction_cleaned!$H:$H,pg_transaction_cleaned!$O:$O,A4031,pg_transaction_cleaned!$F:$F,"REFUND")</f>
        <v>0</v>
      </c>
      <c r="N4031" s="23" t="str">
        <f t="shared" si="250"/>
        <v>OK</v>
      </c>
      <c r="O4031" s="24">
        <f t="shared" si="251"/>
        <v>0</v>
      </c>
    </row>
    <row r="4032" spans="1:15" ht="15" customHeight="1" x14ac:dyDescent="0.3">
      <c r="A4032" s="23" t="s">
        <v>8547</v>
      </c>
      <c r="B4032" s="38">
        <v>46284</v>
      </c>
      <c r="C4032" s="23" t="s">
        <v>8548</v>
      </c>
      <c r="D4032" s="23" t="s">
        <v>86</v>
      </c>
      <c r="E4032" s="23" t="s">
        <v>75</v>
      </c>
      <c r="F4032" s="23" t="s">
        <v>288</v>
      </c>
      <c r="G4032" s="23" t="s">
        <v>250</v>
      </c>
      <c r="H4032" s="39">
        <f t="shared" si="248"/>
        <v>4298</v>
      </c>
      <c r="I4032" s="23" t="str">
        <f t="shared" si="249"/>
        <v>Delhi</v>
      </c>
      <c r="J4032" s="23">
        <f>COUNTIFS(pg_transaction_cleaned!$O:$O,A4032,pg_transaction_cleaned!$F:$F,"CAPTURE")</f>
        <v>1</v>
      </c>
      <c r="K4032" s="39">
        <f>SUMIFS(pg_transaction_cleaned!$H:$H,pg_transaction_cleaned!$O:$O,A4032,pg_transaction_cleaned!$F:$F,"CAPTURE")</f>
        <v>4298</v>
      </c>
      <c r="L4032" s="23">
        <f>COUNTIFS(pg_transaction_cleaned!$O:$O,A4032,pg_transaction_cleaned!$F:$F,"REFUND")</f>
        <v>0</v>
      </c>
      <c r="M4032" s="39">
        <f>SUMIFS(pg_transaction_cleaned!$H:$H,pg_transaction_cleaned!$O:$O,A4032,pg_transaction_cleaned!$F:$F,"REFUND")</f>
        <v>0</v>
      </c>
      <c r="N4032" s="23" t="str">
        <f t="shared" si="250"/>
        <v>OK</v>
      </c>
      <c r="O4032" s="24">
        <f t="shared" si="251"/>
        <v>0</v>
      </c>
    </row>
    <row r="4033" spans="1:15" ht="15" customHeight="1" x14ac:dyDescent="0.3">
      <c r="A4033" s="23" t="s">
        <v>8549</v>
      </c>
      <c r="B4033" s="38">
        <v>46284</v>
      </c>
      <c r="C4033" s="23" t="s">
        <v>8550</v>
      </c>
      <c r="D4033" s="23" t="s">
        <v>87</v>
      </c>
      <c r="E4033" s="23" t="s">
        <v>75</v>
      </c>
      <c r="F4033" s="23" t="s">
        <v>1085</v>
      </c>
      <c r="G4033" s="23" t="s">
        <v>250</v>
      </c>
      <c r="H4033" s="39">
        <f t="shared" si="248"/>
        <v>9597</v>
      </c>
      <c r="I4033" s="23" t="str">
        <f t="shared" si="249"/>
        <v>Mumbai</v>
      </c>
      <c r="J4033" s="23">
        <f>COUNTIFS(pg_transaction_cleaned!$O:$O,A4033,pg_transaction_cleaned!$F:$F,"CAPTURE")</f>
        <v>1</v>
      </c>
      <c r="K4033" s="39">
        <f>SUMIFS(pg_transaction_cleaned!$H:$H,pg_transaction_cleaned!$O:$O,A4033,pg_transaction_cleaned!$F:$F,"CAPTURE")</f>
        <v>9597</v>
      </c>
      <c r="L4033" s="23">
        <f>COUNTIFS(pg_transaction_cleaned!$O:$O,A4033,pg_transaction_cleaned!$F:$F,"REFUND")</f>
        <v>0</v>
      </c>
      <c r="M4033" s="39">
        <f>SUMIFS(pg_transaction_cleaned!$H:$H,pg_transaction_cleaned!$O:$O,A4033,pg_transaction_cleaned!$F:$F,"REFUND")</f>
        <v>0</v>
      </c>
      <c r="N4033" s="23" t="str">
        <f t="shared" si="250"/>
        <v>OK</v>
      </c>
      <c r="O4033" s="24">
        <f t="shared" si="251"/>
        <v>0</v>
      </c>
    </row>
    <row r="4034" spans="1:15" ht="15" customHeight="1" x14ac:dyDescent="0.3">
      <c r="A4034" s="23" t="s">
        <v>8551</v>
      </c>
      <c r="B4034" s="38">
        <v>46288</v>
      </c>
      <c r="C4034" s="23" t="s">
        <v>8552</v>
      </c>
      <c r="D4034" s="23" t="s">
        <v>93</v>
      </c>
      <c r="E4034" s="23" t="s">
        <v>75</v>
      </c>
      <c r="F4034" s="23" t="s">
        <v>265</v>
      </c>
      <c r="G4034" s="23" t="s">
        <v>365</v>
      </c>
      <c r="H4034" s="39">
        <f t="shared" ref="H4034:H4097" si="252">VALUE(SUBSTITUTE(F4034,",",""))</f>
        <v>999</v>
      </c>
      <c r="I4034" s="23" t="str">
        <f t="shared" ref="I4034:I4097" si="253">IF(TRIM(D4034)="","Unknown",TRIM(D4034))</f>
        <v>Kolkata</v>
      </c>
      <c r="J4034" s="23">
        <f>COUNTIFS(pg_transaction_cleaned!$O:$O,A4034,pg_transaction_cleaned!$F:$F,"CAPTURE")</f>
        <v>0</v>
      </c>
      <c r="K4034" s="39">
        <f>SUMIFS(pg_transaction_cleaned!$H:$H,pg_transaction_cleaned!$O:$O,A4034,pg_transaction_cleaned!$F:$F,"CAPTURE")</f>
        <v>0</v>
      </c>
      <c r="L4034" s="23">
        <f>COUNTIFS(pg_transaction_cleaned!$O:$O,A4034,pg_transaction_cleaned!$F:$F,"REFUND")</f>
        <v>0</v>
      </c>
      <c r="M4034" s="39">
        <f>SUMIFS(pg_transaction_cleaned!$H:$H,pg_transaction_cleaned!$O:$O,A4034,pg_transaction_cleaned!$F:$F,"REFUND")</f>
        <v>0</v>
      </c>
      <c r="N4034" s="23" t="str">
        <f t="shared" ref="N4034:N4097" si="254">IF(AND(G4034="Paid",J4034=0),"Paid, no payment",IF(AND(OR(G4034="Failed",G4034="Cancelled"),J4034&gt;0),"Payment on failed/cancelled",IF(J4034&gt;1,"Duplicate charge",IF(AND(J4034=1,ROUND(K4034-H4034,2)&lt;&gt;0),"Amount difference",IF(AND(G4034="Refunded",L4034=0),"Refunded, no refund",IF(AND(G4034&lt;&gt;"Refunded",L4034&gt;0),"Refund, order not Refunded",IF(AND(L4034&gt;0,ROUND(M4034-H4034,2)&lt;&gt;0),"Refund amount differs","OK")))))))</f>
        <v>OK</v>
      </c>
      <c r="O4034" s="24">
        <f t="shared" ref="O4034:O4097" si="255">IF(N4034="OK",0,IF(N4034="Paid, no payment",H4034,IF(N4034="Payment on failed/cancelled",K4034,IF(OR(N4034="Duplicate charge",N4034="Amount difference"),K4034-H4034,IF(N4034="Refunded, no refund",H4034,M4034)))))</f>
        <v>0</v>
      </c>
    </row>
    <row r="4035" spans="1:15" ht="15" customHeight="1" x14ac:dyDescent="0.3">
      <c r="A4035" s="23" t="s">
        <v>8553</v>
      </c>
      <c r="B4035" s="38">
        <v>46266</v>
      </c>
      <c r="C4035" s="23" t="s">
        <v>8554</v>
      </c>
      <c r="D4035" s="23" t="s">
        <v>95</v>
      </c>
      <c r="E4035" s="23" t="s">
        <v>75</v>
      </c>
      <c r="F4035" s="23" t="s">
        <v>724</v>
      </c>
      <c r="G4035" s="23" t="s">
        <v>250</v>
      </c>
      <c r="H4035" s="39">
        <f t="shared" si="252"/>
        <v>3848</v>
      </c>
      <c r="I4035" s="23" t="str">
        <f t="shared" si="253"/>
        <v>Bengaluru</v>
      </c>
      <c r="J4035" s="23">
        <f>COUNTIFS(pg_transaction_cleaned!$O:$O,A4035,pg_transaction_cleaned!$F:$F,"CAPTURE")</f>
        <v>1</v>
      </c>
      <c r="K4035" s="39">
        <f>SUMIFS(pg_transaction_cleaned!$H:$H,pg_transaction_cleaned!$O:$O,A4035,pg_transaction_cleaned!$F:$F,"CAPTURE")</f>
        <v>3848</v>
      </c>
      <c r="L4035" s="23">
        <f>COUNTIFS(pg_transaction_cleaned!$O:$O,A4035,pg_transaction_cleaned!$F:$F,"REFUND")</f>
        <v>0</v>
      </c>
      <c r="M4035" s="39">
        <f>SUMIFS(pg_transaction_cleaned!$H:$H,pg_transaction_cleaned!$O:$O,A4035,pg_transaction_cleaned!$F:$F,"REFUND")</f>
        <v>0</v>
      </c>
      <c r="N4035" s="23" t="str">
        <f t="shared" si="254"/>
        <v>OK</v>
      </c>
      <c r="O4035" s="24">
        <f t="shared" si="255"/>
        <v>0</v>
      </c>
    </row>
    <row r="4036" spans="1:15" ht="15" customHeight="1" x14ac:dyDescent="0.3">
      <c r="A4036" s="23" t="s">
        <v>8555</v>
      </c>
      <c r="B4036" s="38">
        <v>46273</v>
      </c>
      <c r="C4036" s="23" t="s">
        <v>8556</v>
      </c>
      <c r="D4036" s="23" t="s">
        <v>93</v>
      </c>
      <c r="E4036" s="23" t="s">
        <v>77</v>
      </c>
      <c r="F4036" s="23" t="s">
        <v>304</v>
      </c>
      <c r="G4036" s="23" t="s">
        <v>250</v>
      </c>
      <c r="H4036" s="39">
        <f t="shared" si="252"/>
        <v>5798</v>
      </c>
      <c r="I4036" s="23" t="str">
        <f t="shared" si="253"/>
        <v>Kolkata</v>
      </c>
      <c r="J4036" s="23">
        <f>COUNTIFS(pg_transaction_cleaned!$O:$O,A4036,pg_transaction_cleaned!$F:$F,"CAPTURE")</f>
        <v>1</v>
      </c>
      <c r="K4036" s="39">
        <f>SUMIFS(pg_transaction_cleaned!$H:$H,pg_transaction_cleaned!$O:$O,A4036,pg_transaction_cleaned!$F:$F,"CAPTURE")</f>
        <v>5798</v>
      </c>
      <c r="L4036" s="23">
        <f>COUNTIFS(pg_transaction_cleaned!$O:$O,A4036,pg_transaction_cleaned!$F:$F,"REFUND")</f>
        <v>0</v>
      </c>
      <c r="M4036" s="39">
        <f>SUMIFS(pg_transaction_cleaned!$H:$H,pg_transaction_cleaned!$O:$O,A4036,pg_transaction_cleaned!$F:$F,"REFUND")</f>
        <v>0</v>
      </c>
      <c r="N4036" s="23" t="str">
        <f t="shared" si="254"/>
        <v>OK</v>
      </c>
      <c r="O4036" s="24">
        <f t="shared" si="255"/>
        <v>0</v>
      </c>
    </row>
    <row r="4037" spans="1:15" ht="15" customHeight="1" x14ac:dyDescent="0.3">
      <c r="A4037" s="23" t="s">
        <v>8557</v>
      </c>
      <c r="B4037" s="38">
        <v>46276</v>
      </c>
      <c r="C4037" s="23" t="s">
        <v>8558</v>
      </c>
      <c r="D4037" s="23" t="s">
        <v>89</v>
      </c>
      <c r="E4037" s="23" t="s">
        <v>77</v>
      </c>
      <c r="F4037" s="23" t="s">
        <v>315</v>
      </c>
      <c r="G4037" s="23" t="s">
        <v>250</v>
      </c>
      <c r="H4037" s="39">
        <f t="shared" si="252"/>
        <v>1499</v>
      </c>
      <c r="I4037" s="23" t="str">
        <f t="shared" si="253"/>
        <v>Jaipur</v>
      </c>
      <c r="J4037" s="23">
        <f>COUNTIFS(pg_transaction_cleaned!$O:$O,A4037,pg_transaction_cleaned!$F:$F,"CAPTURE")</f>
        <v>1</v>
      </c>
      <c r="K4037" s="39">
        <f>SUMIFS(pg_transaction_cleaned!$H:$H,pg_transaction_cleaned!$O:$O,A4037,pg_transaction_cleaned!$F:$F,"CAPTURE")</f>
        <v>1499</v>
      </c>
      <c r="L4037" s="23">
        <f>COUNTIFS(pg_transaction_cleaned!$O:$O,A4037,pg_transaction_cleaned!$F:$F,"REFUND")</f>
        <v>0</v>
      </c>
      <c r="M4037" s="39">
        <f>SUMIFS(pg_transaction_cleaned!$H:$H,pg_transaction_cleaned!$O:$O,A4037,pg_transaction_cleaned!$F:$F,"REFUND")</f>
        <v>0</v>
      </c>
      <c r="N4037" s="23" t="str">
        <f t="shared" si="254"/>
        <v>OK</v>
      </c>
      <c r="O4037" s="24">
        <f t="shared" si="255"/>
        <v>0</v>
      </c>
    </row>
    <row r="4038" spans="1:15" ht="15" customHeight="1" x14ac:dyDescent="0.3">
      <c r="A4038" s="23" t="s">
        <v>8559</v>
      </c>
      <c r="B4038" s="38">
        <v>46268</v>
      </c>
      <c r="C4038" s="23" t="s">
        <v>8560</v>
      </c>
      <c r="D4038" s="23" t="s">
        <v>95</v>
      </c>
      <c r="E4038" s="23" t="s">
        <v>75</v>
      </c>
      <c r="F4038" s="23" t="s">
        <v>271</v>
      </c>
      <c r="G4038" s="23" t="s">
        <v>365</v>
      </c>
      <c r="H4038" s="39">
        <f t="shared" si="252"/>
        <v>2499</v>
      </c>
      <c r="I4038" s="23" t="str">
        <f t="shared" si="253"/>
        <v>Bengaluru</v>
      </c>
      <c r="J4038" s="23">
        <f>COUNTIFS(pg_transaction_cleaned!$O:$O,A4038,pg_transaction_cleaned!$F:$F,"CAPTURE")</f>
        <v>0</v>
      </c>
      <c r="K4038" s="39">
        <f>SUMIFS(pg_transaction_cleaned!$H:$H,pg_transaction_cleaned!$O:$O,A4038,pg_transaction_cleaned!$F:$F,"CAPTURE")</f>
        <v>0</v>
      </c>
      <c r="L4038" s="23">
        <f>COUNTIFS(pg_transaction_cleaned!$O:$O,A4038,pg_transaction_cleaned!$F:$F,"REFUND")</f>
        <v>0</v>
      </c>
      <c r="M4038" s="39">
        <f>SUMIFS(pg_transaction_cleaned!$H:$H,pg_transaction_cleaned!$O:$O,A4038,pg_transaction_cleaned!$F:$F,"REFUND")</f>
        <v>0</v>
      </c>
      <c r="N4038" s="23" t="str">
        <f t="shared" si="254"/>
        <v>OK</v>
      </c>
      <c r="O4038" s="24">
        <f t="shared" si="255"/>
        <v>0</v>
      </c>
    </row>
    <row r="4039" spans="1:15" ht="15" customHeight="1" x14ac:dyDescent="0.3">
      <c r="A4039" s="23" t="s">
        <v>8561</v>
      </c>
      <c r="B4039" s="38">
        <v>46286</v>
      </c>
      <c r="C4039" s="23" t="s">
        <v>3305</v>
      </c>
      <c r="D4039" s="23" t="s">
        <v>88</v>
      </c>
      <c r="E4039" s="23" t="s">
        <v>75</v>
      </c>
      <c r="F4039" s="23" t="s">
        <v>294</v>
      </c>
      <c r="G4039" s="23" t="s">
        <v>250</v>
      </c>
      <c r="H4039" s="39">
        <f t="shared" si="252"/>
        <v>1799</v>
      </c>
      <c r="I4039" s="23" t="str">
        <f t="shared" si="253"/>
        <v>Lucknow</v>
      </c>
      <c r="J4039" s="23">
        <f>COUNTIFS(pg_transaction_cleaned!$O:$O,A4039,pg_transaction_cleaned!$F:$F,"CAPTURE")</f>
        <v>1</v>
      </c>
      <c r="K4039" s="39">
        <f>SUMIFS(pg_transaction_cleaned!$H:$H,pg_transaction_cleaned!$O:$O,A4039,pg_transaction_cleaned!$F:$F,"CAPTURE")</f>
        <v>1799</v>
      </c>
      <c r="L4039" s="23">
        <f>COUNTIFS(pg_transaction_cleaned!$O:$O,A4039,pg_transaction_cleaned!$F:$F,"REFUND")</f>
        <v>0</v>
      </c>
      <c r="M4039" s="39">
        <f>SUMIFS(pg_transaction_cleaned!$H:$H,pg_transaction_cleaned!$O:$O,A4039,pg_transaction_cleaned!$F:$F,"REFUND")</f>
        <v>0</v>
      </c>
      <c r="N4039" s="23" t="str">
        <f t="shared" si="254"/>
        <v>OK</v>
      </c>
      <c r="O4039" s="24">
        <f t="shared" si="255"/>
        <v>0</v>
      </c>
    </row>
    <row r="4040" spans="1:15" ht="15" customHeight="1" x14ac:dyDescent="0.3">
      <c r="A4040" s="23" t="s">
        <v>8562</v>
      </c>
      <c r="B4040" s="38">
        <v>46285</v>
      </c>
      <c r="C4040" s="23" t="s">
        <v>8563</v>
      </c>
      <c r="D4040" s="23" t="s">
        <v>92</v>
      </c>
      <c r="E4040" s="23" t="s">
        <v>75</v>
      </c>
      <c r="F4040" s="23" t="s">
        <v>396</v>
      </c>
      <c r="G4040" s="23" t="s">
        <v>250</v>
      </c>
      <c r="H4040" s="39">
        <f t="shared" si="252"/>
        <v>2999</v>
      </c>
      <c r="I4040" s="23" t="str">
        <f t="shared" si="253"/>
        <v>Hyderabad</v>
      </c>
      <c r="J4040" s="23">
        <f>COUNTIFS(pg_transaction_cleaned!$O:$O,A4040,pg_transaction_cleaned!$F:$F,"CAPTURE")</f>
        <v>1</v>
      </c>
      <c r="K4040" s="39">
        <f>SUMIFS(pg_transaction_cleaned!$H:$H,pg_transaction_cleaned!$O:$O,A4040,pg_transaction_cleaned!$F:$F,"CAPTURE")</f>
        <v>2999</v>
      </c>
      <c r="L4040" s="23">
        <f>COUNTIFS(pg_transaction_cleaned!$O:$O,A4040,pg_transaction_cleaned!$F:$F,"REFUND")</f>
        <v>0</v>
      </c>
      <c r="M4040" s="39">
        <f>SUMIFS(pg_transaction_cleaned!$H:$H,pg_transaction_cleaned!$O:$O,A4040,pg_transaction_cleaned!$F:$F,"REFUND")</f>
        <v>0</v>
      </c>
      <c r="N4040" s="23" t="str">
        <f t="shared" si="254"/>
        <v>OK</v>
      </c>
      <c r="O4040" s="24">
        <f t="shared" si="255"/>
        <v>0</v>
      </c>
    </row>
    <row r="4041" spans="1:15" ht="15" customHeight="1" x14ac:dyDescent="0.3">
      <c r="A4041" s="23" t="s">
        <v>8564</v>
      </c>
      <c r="B4041" s="38">
        <v>46280</v>
      </c>
      <c r="C4041" s="23" t="s">
        <v>8565</v>
      </c>
      <c r="D4041" s="23" t="s">
        <v>89</v>
      </c>
      <c r="E4041" s="23" t="s">
        <v>81</v>
      </c>
      <c r="F4041" s="23" t="s">
        <v>612</v>
      </c>
      <c r="G4041" s="23" t="s">
        <v>250</v>
      </c>
      <c r="H4041" s="39">
        <f t="shared" si="252"/>
        <v>8498</v>
      </c>
      <c r="I4041" s="23" t="str">
        <f t="shared" si="253"/>
        <v>Jaipur</v>
      </c>
      <c r="J4041" s="23">
        <f>COUNTIFS(pg_transaction_cleaned!$O:$O,A4041,pg_transaction_cleaned!$F:$F,"CAPTURE")</f>
        <v>1</v>
      </c>
      <c r="K4041" s="39">
        <f>SUMIFS(pg_transaction_cleaned!$H:$H,pg_transaction_cleaned!$O:$O,A4041,pg_transaction_cleaned!$F:$F,"CAPTURE")</f>
        <v>8498</v>
      </c>
      <c r="L4041" s="23">
        <f>COUNTIFS(pg_transaction_cleaned!$O:$O,A4041,pg_transaction_cleaned!$F:$F,"REFUND")</f>
        <v>0</v>
      </c>
      <c r="M4041" s="39">
        <f>SUMIFS(pg_transaction_cleaned!$H:$H,pg_transaction_cleaned!$O:$O,A4041,pg_transaction_cleaned!$F:$F,"REFUND")</f>
        <v>0</v>
      </c>
      <c r="N4041" s="23" t="str">
        <f t="shared" si="254"/>
        <v>OK</v>
      </c>
      <c r="O4041" s="24">
        <f t="shared" si="255"/>
        <v>0</v>
      </c>
    </row>
    <row r="4042" spans="1:15" ht="15" customHeight="1" x14ac:dyDescent="0.3">
      <c r="A4042" s="23" t="s">
        <v>8566</v>
      </c>
      <c r="B4042" s="38">
        <v>46275</v>
      </c>
      <c r="C4042" s="23" t="s">
        <v>8567</v>
      </c>
      <c r="D4042" s="23" t="s">
        <v>92</v>
      </c>
      <c r="E4042" s="23" t="s">
        <v>75</v>
      </c>
      <c r="F4042" s="23" t="s">
        <v>1978</v>
      </c>
      <c r="G4042" s="23" t="s">
        <v>250</v>
      </c>
      <c r="H4042" s="39">
        <f t="shared" si="252"/>
        <v>4597</v>
      </c>
      <c r="I4042" s="23" t="str">
        <f t="shared" si="253"/>
        <v>Hyderabad</v>
      </c>
      <c r="J4042" s="23">
        <f>COUNTIFS(pg_transaction_cleaned!$O:$O,A4042,pg_transaction_cleaned!$F:$F,"CAPTURE")</f>
        <v>1</v>
      </c>
      <c r="K4042" s="39">
        <f>SUMIFS(pg_transaction_cleaned!$H:$H,pg_transaction_cleaned!$O:$O,A4042,pg_transaction_cleaned!$F:$F,"CAPTURE")</f>
        <v>4597</v>
      </c>
      <c r="L4042" s="23">
        <f>COUNTIFS(pg_transaction_cleaned!$O:$O,A4042,pg_transaction_cleaned!$F:$F,"REFUND")</f>
        <v>0</v>
      </c>
      <c r="M4042" s="39">
        <f>SUMIFS(pg_transaction_cleaned!$H:$H,pg_transaction_cleaned!$O:$O,A4042,pg_transaction_cleaned!$F:$F,"REFUND")</f>
        <v>0</v>
      </c>
      <c r="N4042" s="23" t="str">
        <f t="shared" si="254"/>
        <v>OK</v>
      </c>
      <c r="O4042" s="24">
        <f t="shared" si="255"/>
        <v>0</v>
      </c>
    </row>
    <row r="4043" spans="1:15" ht="15" customHeight="1" x14ac:dyDescent="0.3">
      <c r="A4043" s="23" t="s">
        <v>8568</v>
      </c>
      <c r="B4043" s="38">
        <v>46282</v>
      </c>
      <c r="C4043" s="23" t="s">
        <v>8569</v>
      </c>
      <c r="D4043" s="23" t="s">
        <v>92</v>
      </c>
      <c r="E4043" s="23" t="s">
        <v>75</v>
      </c>
      <c r="F4043" s="23" t="s">
        <v>297</v>
      </c>
      <c r="G4043" s="23" t="s">
        <v>250</v>
      </c>
      <c r="H4043" s="39">
        <f t="shared" si="252"/>
        <v>4999</v>
      </c>
      <c r="I4043" s="23" t="str">
        <f t="shared" si="253"/>
        <v>Hyderabad</v>
      </c>
      <c r="J4043" s="23">
        <f>COUNTIFS(pg_transaction_cleaned!$O:$O,A4043,pg_transaction_cleaned!$F:$F,"CAPTURE")</f>
        <v>1</v>
      </c>
      <c r="K4043" s="39">
        <f>SUMIFS(pg_transaction_cleaned!$H:$H,pg_transaction_cleaned!$O:$O,A4043,pg_transaction_cleaned!$F:$F,"CAPTURE")</f>
        <v>4999</v>
      </c>
      <c r="L4043" s="23">
        <f>COUNTIFS(pg_transaction_cleaned!$O:$O,A4043,pg_transaction_cleaned!$F:$F,"REFUND")</f>
        <v>0</v>
      </c>
      <c r="M4043" s="39">
        <f>SUMIFS(pg_transaction_cleaned!$H:$H,pg_transaction_cleaned!$O:$O,A4043,pg_transaction_cleaned!$F:$F,"REFUND")</f>
        <v>0</v>
      </c>
      <c r="N4043" s="23" t="str">
        <f t="shared" si="254"/>
        <v>OK</v>
      </c>
      <c r="O4043" s="24">
        <f t="shared" si="255"/>
        <v>0</v>
      </c>
    </row>
    <row r="4044" spans="1:15" ht="15" customHeight="1" x14ac:dyDescent="0.3">
      <c r="A4044" s="23" t="s">
        <v>8570</v>
      </c>
      <c r="B4044" s="38">
        <v>46269</v>
      </c>
      <c r="C4044" s="23" t="s">
        <v>8571</v>
      </c>
      <c r="D4044" s="23" t="s">
        <v>94</v>
      </c>
      <c r="E4044" s="23" t="s">
        <v>75</v>
      </c>
      <c r="F4044" s="23" t="s">
        <v>1614</v>
      </c>
      <c r="G4044" s="23" t="s">
        <v>318</v>
      </c>
      <c r="H4044" s="39">
        <f t="shared" si="252"/>
        <v>2597</v>
      </c>
      <c r="I4044" s="23" t="str">
        <f t="shared" si="253"/>
        <v>Chennai</v>
      </c>
      <c r="J4044" s="23">
        <f>COUNTIFS(pg_transaction_cleaned!$O:$O,A4044,pg_transaction_cleaned!$F:$F,"CAPTURE")</f>
        <v>0</v>
      </c>
      <c r="K4044" s="39">
        <f>SUMIFS(pg_transaction_cleaned!$H:$H,pg_transaction_cleaned!$O:$O,A4044,pg_transaction_cleaned!$F:$F,"CAPTURE")</f>
        <v>0</v>
      </c>
      <c r="L4044" s="23">
        <f>COUNTIFS(pg_transaction_cleaned!$O:$O,A4044,pg_transaction_cleaned!$F:$F,"REFUND")</f>
        <v>0</v>
      </c>
      <c r="M4044" s="39">
        <f>SUMIFS(pg_transaction_cleaned!$H:$H,pg_transaction_cleaned!$O:$O,A4044,pg_transaction_cleaned!$F:$F,"REFUND")</f>
        <v>0</v>
      </c>
      <c r="N4044" s="23" t="str">
        <f t="shared" si="254"/>
        <v>OK</v>
      </c>
      <c r="O4044" s="24">
        <f t="shared" si="255"/>
        <v>0</v>
      </c>
    </row>
    <row r="4045" spans="1:15" ht="15" customHeight="1" x14ac:dyDescent="0.3">
      <c r="A4045" s="23" t="s">
        <v>8572</v>
      </c>
      <c r="B4045" s="38">
        <v>46283</v>
      </c>
      <c r="C4045" s="23" t="s">
        <v>8573</v>
      </c>
      <c r="D4045" s="23" t="s">
        <v>87</v>
      </c>
      <c r="E4045" s="23" t="s">
        <v>81</v>
      </c>
      <c r="F4045" s="23" t="s">
        <v>265</v>
      </c>
      <c r="G4045" s="23" t="s">
        <v>250</v>
      </c>
      <c r="H4045" s="39">
        <f t="shared" si="252"/>
        <v>999</v>
      </c>
      <c r="I4045" s="23" t="str">
        <f t="shared" si="253"/>
        <v>Mumbai</v>
      </c>
      <c r="J4045" s="23">
        <f>COUNTIFS(pg_transaction_cleaned!$O:$O,A4045,pg_transaction_cleaned!$F:$F,"CAPTURE")</f>
        <v>1</v>
      </c>
      <c r="K4045" s="39">
        <f>SUMIFS(pg_transaction_cleaned!$H:$H,pg_transaction_cleaned!$O:$O,A4045,pg_transaction_cleaned!$F:$F,"CAPTURE")</f>
        <v>999</v>
      </c>
      <c r="L4045" s="23">
        <f>COUNTIFS(pg_transaction_cleaned!$O:$O,A4045,pg_transaction_cleaned!$F:$F,"REFUND")</f>
        <v>0</v>
      </c>
      <c r="M4045" s="39">
        <f>SUMIFS(pg_transaction_cleaned!$H:$H,pg_transaction_cleaned!$O:$O,A4045,pg_transaction_cleaned!$F:$F,"REFUND")</f>
        <v>0</v>
      </c>
      <c r="N4045" s="23" t="str">
        <f t="shared" si="254"/>
        <v>OK</v>
      </c>
      <c r="O4045" s="24">
        <f t="shared" si="255"/>
        <v>0</v>
      </c>
    </row>
    <row r="4046" spans="1:15" ht="15" customHeight="1" x14ac:dyDescent="0.3">
      <c r="A4046" s="23" t="s">
        <v>8574</v>
      </c>
      <c r="B4046" s="38">
        <v>46278</v>
      </c>
      <c r="C4046" s="23" t="s">
        <v>8575</v>
      </c>
      <c r="D4046" s="23" t="s">
        <v>86</v>
      </c>
      <c r="E4046" s="23" t="s">
        <v>81</v>
      </c>
      <c r="F4046" s="23" t="s">
        <v>310</v>
      </c>
      <c r="G4046" s="23" t="s">
        <v>250</v>
      </c>
      <c r="H4046" s="39">
        <f t="shared" si="252"/>
        <v>7999</v>
      </c>
      <c r="I4046" s="23" t="str">
        <f t="shared" si="253"/>
        <v>Delhi</v>
      </c>
      <c r="J4046" s="23">
        <f>COUNTIFS(pg_transaction_cleaned!$O:$O,A4046,pg_transaction_cleaned!$F:$F,"CAPTURE")</f>
        <v>1</v>
      </c>
      <c r="K4046" s="39">
        <f>SUMIFS(pg_transaction_cleaned!$H:$H,pg_transaction_cleaned!$O:$O,A4046,pg_transaction_cleaned!$F:$F,"CAPTURE")</f>
        <v>7999</v>
      </c>
      <c r="L4046" s="23">
        <f>COUNTIFS(pg_transaction_cleaned!$O:$O,A4046,pg_transaction_cleaned!$F:$F,"REFUND")</f>
        <v>0</v>
      </c>
      <c r="M4046" s="39">
        <f>SUMIFS(pg_transaction_cleaned!$H:$H,pg_transaction_cleaned!$O:$O,A4046,pg_transaction_cleaned!$F:$F,"REFUND")</f>
        <v>0</v>
      </c>
      <c r="N4046" s="23" t="str">
        <f t="shared" si="254"/>
        <v>OK</v>
      </c>
      <c r="O4046" s="24">
        <f t="shared" si="255"/>
        <v>0</v>
      </c>
    </row>
    <row r="4047" spans="1:15" ht="15" customHeight="1" x14ac:dyDescent="0.3">
      <c r="A4047" s="23" t="s">
        <v>8576</v>
      </c>
      <c r="B4047" s="38">
        <v>46274</v>
      </c>
      <c r="C4047" s="23" t="s">
        <v>8577</v>
      </c>
      <c r="D4047" s="23" t="s">
        <v>95</v>
      </c>
      <c r="E4047" s="23" t="s">
        <v>75</v>
      </c>
      <c r="F4047" s="23" t="s">
        <v>265</v>
      </c>
      <c r="G4047" s="23" t="s">
        <v>250</v>
      </c>
      <c r="H4047" s="39">
        <f t="shared" si="252"/>
        <v>999</v>
      </c>
      <c r="I4047" s="23" t="str">
        <f t="shared" si="253"/>
        <v>Bengaluru</v>
      </c>
      <c r="J4047" s="23">
        <f>COUNTIFS(pg_transaction_cleaned!$O:$O,A4047,pg_transaction_cleaned!$F:$F,"CAPTURE")</f>
        <v>1</v>
      </c>
      <c r="K4047" s="39">
        <f>SUMIFS(pg_transaction_cleaned!$H:$H,pg_transaction_cleaned!$O:$O,A4047,pg_transaction_cleaned!$F:$F,"CAPTURE")</f>
        <v>999</v>
      </c>
      <c r="L4047" s="23">
        <f>COUNTIFS(pg_transaction_cleaned!$O:$O,A4047,pg_transaction_cleaned!$F:$F,"REFUND")</f>
        <v>0</v>
      </c>
      <c r="M4047" s="39">
        <f>SUMIFS(pg_transaction_cleaned!$H:$H,pg_transaction_cleaned!$O:$O,A4047,pg_transaction_cleaned!$F:$F,"REFUND")</f>
        <v>0</v>
      </c>
      <c r="N4047" s="23" t="str">
        <f t="shared" si="254"/>
        <v>OK</v>
      </c>
      <c r="O4047" s="24">
        <f t="shared" si="255"/>
        <v>0</v>
      </c>
    </row>
    <row r="4048" spans="1:15" ht="15" customHeight="1" x14ac:dyDescent="0.3">
      <c r="A4048" s="23" t="s">
        <v>8578</v>
      </c>
      <c r="B4048" s="38">
        <v>46287</v>
      </c>
      <c r="C4048" s="23" t="s">
        <v>8579</v>
      </c>
      <c r="D4048" s="23" t="s">
        <v>94</v>
      </c>
      <c r="E4048" s="23" t="s">
        <v>79</v>
      </c>
      <c r="F4048" s="23" t="s">
        <v>4950</v>
      </c>
      <c r="G4048" s="23" t="s">
        <v>250</v>
      </c>
      <c r="H4048" s="39">
        <f t="shared" si="252"/>
        <v>2499</v>
      </c>
      <c r="I4048" s="23" t="str">
        <f t="shared" si="253"/>
        <v>Chennai</v>
      </c>
      <c r="J4048" s="23">
        <f>COUNTIFS(pg_transaction_cleaned!$O:$O,A4048,pg_transaction_cleaned!$F:$F,"CAPTURE")</f>
        <v>1</v>
      </c>
      <c r="K4048" s="39">
        <f>SUMIFS(pg_transaction_cleaned!$H:$H,pg_transaction_cleaned!$O:$O,A4048,pg_transaction_cleaned!$F:$F,"CAPTURE")</f>
        <v>2499</v>
      </c>
      <c r="L4048" s="23">
        <f>COUNTIFS(pg_transaction_cleaned!$O:$O,A4048,pg_transaction_cleaned!$F:$F,"REFUND")</f>
        <v>0</v>
      </c>
      <c r="M4048" s="39">
        <f>SUMIFS(pg_transaction_cleaned!$H:$H,pg_transaction_cleaned!$O:$O,A4048,pg_transaction_cleaned!$F:$F,"REFUND")</f>
        <v>0</v>
      </c>
      <c r="N4048" s="23" t="str">
        <f t="shared" si="254"/>
        <v>OK</v>
      </c>
      <c r="O4048" s="24">
        <f t="shared" si="255"/>
        <v>0</v>
      </c>
    </row>
    <row r="4049" spans="1:15" ht="15" customHeight="1" x14ac:dyDescent="0.3">
      <c r="A4049" s="23" t="s">
        <v>8580</v>
      </c>
      <c r="B4049" s="38">
        <v>46271</v>
      </c>
      <c r="C4049" s="23" t="s">
        <v>8581</v>
      </c>
      <c r="D4049" s="23" t="s">
        <v>89</v>
      </c>
      <c r="E4049" s="23" t="s">
        <v>79</v>
      </c>
      <c r="F4049" s="23" t="s">
        <v>310</v>
      </c>
      <c r="G4049" s="23" t="s">
        <v>250</v>
      </c>
      <c r="H4049" s="39">
        <f t="shared" si="252"/>
        <v>7999</v>
      </c>
      <c r="I4049" s="23" t="str">
        <f t="shared" si="253"/>
        <v>Jaipur</v>
      </c>
      <c r="J4049" s="23">
        <f>COUNTIFS(pg_transaction_cleaned!$O:$O,A4049,pg_transaction_cleaned!$F:$F,"CAPTURE")</f>
        <v>1</v>
      </c>
      <c r="K4049" s="39">
        <f>SUMIFS(pg_transaction_cleaned!$H:$H,pg_transaction_cleaned!$O:$O,A4049,pg_transaction_cleaned!$F:$F,"CAPTURE")</f>
        <v>7999</v>
      </c>
      <c r="L4049" s="23">
        <f>COUNTIFS(pg_transaction_cleaned!$O:$O,A4049,pg_transaction_cleaned!$F:$F,"REFUND")</f>
        <v>0</v>
      </c>
      <c r="M4049" s="39">
        <f>SUMIFS(pg_transaction_cleaned!$H:$H,pg_transaction_cleaned!$O:$O,A4049,pg_transaction_cleaned!$F:$F,"REFUND")</f>
        <v>0</v>
      </c>
      <c r="N4049" s="23" t="str">
        <f t="shared" si="254"/>
        <v>OK</v>
      </c>
      <c r="O4049" s="24">
        <f t="shared" si="255"/>
        <v>0</v>
      </c>
    </row>
    <row r="4050" spans="1:15" ht="15" customHeight="1" x14ac:dyDescent="0.3">
      <c r="A4050" s="23" t="s">
        <v>8582</v>
      </c>
      <c r="B4050" s="38">
        <v>46278</v>
      </c>
      <c r="C4050" s="23" t="s">
        <v>8583</v>
      </c>
      <c r="D4050" s="23" t="s">
        <v>88</v>
      </c>
      <c r="E4050" s="23" t="s">
        <v>77</v>
      </c>
      <c r="F4050" s="23" t="s">
        <v>249</v>
      </c>
      <c r="G4050" s="23" t="s">
        <v>250</v>
      </c>
      <c r="H4050" s="39">
        <f t="shared" si="252"/>
        <v>299</v>
      </c>
      <c r="I4050" s="23" t="str">
        <f t="shared" si="253"/>
        <v>Lucknow</v>
      </c>
      <c r="J4050" s="23">
        <f>COUNTIFS(pg_transaction_cleaned!$O:$O,A4050,pg_transaction_cleaned!$F:$F,"CAPTURE")</f>
        <v>1</v>
      </c>
      <c r="K4050" s="39">
        <f>SUMIFS(pg_transaction_cleaned!$H:$H,pg_transaction_cleaned!$O:$O,A4050,pg_transaction_cleaned!$F:$F,"CAPTURE")</f>
        <v>299</v>
      </c>
      <c r="L4050" s="23">
        <f>COUNTIFS(pg_transaction_cleaned!$O:$O,A4050,pg_transaction_cleaned!$F:$F,"REFUND")</f>
        <v>0</v>
      </c>
      <c r="M4050" s="39">
        <f>SUMIFS(pg_transaction_cleaned!$H:$H,pg_transaction_cleaned!$O:$O,A4050,pg_transaction_cleaned!$F:$F,"REFUND")</f>
        <v>0</v>
      </c>
      <c r="N4050" s="23" t="str">
        <f t="shared" si="254"/>
        <v>OK</v>
      </c>
      <c r="O4050" s="24">
        <f t="shared" si="255"/>
        <v>0</v>
      </c>
    </row>
    <row r="4051" spans="1:15" ht="15" customHeight="1" x14ac:dyDescent="0.3">
      <c r="A4051" s="23" t="s">
        <v>8584</v>
      </c>
      <c r="B4051" s="38">
        <v>46279</v>
      </c>
      <c r="C4051" s="23" t="s">
        <v>8585</v>
      </c>
      <c r="D4051" s="23" t="s">
        <v>91</v>
      </c>
      <c r="E4051" s="23" t="s">
        <v>75</v>
      </c>
      <c r="F4051" s="23" t="s">
        <v>337</v>
      </c>
      <c r="G4051" s="23" t="s">
        <v>250</v>
      </c>
      <c r="H4051" s="39">
        <f t="shared" si="252"/>
        <v>3998</v>
      </c>
      <c r="I4051" s="23" t="str">
        <f t="shared" si="253"/>
        <v>Pune</v>
      </c>
      <c r="J4051" s="23">
        <f>COUNTIFS(pg_transaction_cleaned!$O:$O,A4051,pg_transaction_cleaned!$F:$F,"CAPTURE")</f>
        <v>1</v>
      </c>
      <c r="K4051" s="39">
        <f>SUMIFS(pg_transaction_cleaned!$H:$H,pg_transaction_cleaned!$O:$O,A4051,pg_transaction_cleaned!$F:$F,"CAPTURE")</f>
        <v>3998</v>
      </c>
      <c r="L4051" s="23">
        <f>COUNTIFS(pg_transaction_cleaned!$O:$O,A4051,pg_transaction_cleaned!$F:$F,"REFUND")</f>
        <v>0</v>
      </c>
      <c r="M4051" s="39">
        <f>SUMIFS(pg_transaction_cleaned!$H:$H,pg_transaction_cleaned!$O:$O,A4051,pg_transaction_cleaned!$F:$F,"REFUND")</f>
        <v>0</v>
      </c>
      <c r="N4051" s="23" t="str">
        <f t="shared" si="254"/>
        <v>OK</v>
      </c>
      <c r="O4051" s="24">
        <f t="shared" si="255"/>
        <v>0</v>
      </c>
    </row>
    <row r="4052" spans="1:15" ht="15" customHeight="1" x14ac:dyDescent="0.3">
      <c r="A4052" s="23" t="s">
        <v>8586</v>
      </c>
      <c r="B4052" s="38">
        <v>46281</v>
      </c>
      <c r="C4052" s="23" t="s">
        <v>8587</v>
      </c>
      <c r="D4052" s="23" t="s">
        <v>92</v>
      </c>
      <c r="E4052" s="23" t="s">
        <v>81</v>
      </c>
      <c r="F4052" s="23" t="s">
        <v>262</v>
      </c>
      <c r="G4052" s="23" t="s">
        <v>250</v>
      </c>
      <c r="H4052" s="39">
        <f t="shared" si="252"/>
        <v>499</v>
      </c>
      <c r="I4052" s="23" t="str">
        <f t="shared" si="253"/>
        <v>Hyderabad</v>
      </c>
      <c r="J4052" s="23">
        <f>COUNTIFS(pg_transaction_cleaned!$O:$O,A4052,pg_transaction_cleaned!$F:$F,"CAPTURE")</f>
        <v>1</v>
      </c>
      <c r="K4052" s="39">
        <f>SUMIFS(pg_transaction_cleaned!$H:$H,pg_transaction_cleaned!$O:$O,A4052,pg_transaction_cleaned!$F:$F,"CAPTURE")</f>
        <v>499</v>
      </c>
      <c r="L4052" s="23">
        <f>COUNTIFS(pg_transaction_cleaned!$O:$O,A4052,pg_transaction_cleaned!$F:$F,"REFUND")</f>
        <v>0</v>
      </c>
      <c r="M4052" s="39">
        <f>SUMIFS(pg_transaction_cleaned!$H:$H,pg_transaction_cleaned!$O:$O,A4052,pg_transaction_cleaned!$F:$F,"REFUND")</f>
        <v>0</v>
      </c>
      <c r="N4052" s="23" t="str">
        <f t="shared" si="254"/>
        <v>OK</v>
      </c>
      <c r="O4052" s="24">
        <f t="shared" si="255"/>
        <v>0</v>
      </c>
    </row>
    <row r="4053" spans="1:15" ht="15" customHeight="1" x14ac:dyDescent="0.3">
      <c r="A4053" s="23" t="s">
        <v>8588</v>
      </c>
      <c r="B4053" s="38">
        <v>46268</v>
      </c>
      <c r="C4053" s="23" t="s">
        <v>8589</v>
      </c>
      <c r="D4053" s="23" t="s">
        <v>94</v>
      </c>
      <c r="E4053" s="23" t="s">
        <v>75</v>
      </c>
      <c r="F4053" s="23" t="s">
        <v>259</v>
      </c>
      <c r="G4053" s="23" t="s">
        <v>365</v>
      </c>
      <c r="H4053" s="39">
        <f t="shared" si="252"/>
        <v>3298</v>
      </c>
      <c r="I4053" s="23" t="str">
        <f t="shared" si="253"/>
        <v>Chennai</v>
      </c>
      <c r="J4053" s="23">
        <f>COUNTIFS(pg_transaction_cleaned!$O:$O,A4053,pg_transaction_cleaned!$F:$F,"CAPTURE")</f>
        <v>0</v>
      </c>
      <c r="K4053" s="39">
        <f>SUMIFS(pg_transaction_cleaned!$H:$H,pg_transaction_cleaned!$O:$O,A4053,pg_transaction_cleaned!$F:$F,"CAPTURE")</f>
        <v>0</v>
      </c>
      <c r="L4053" s="23">
        <f>COUNTIFS(pg_transaction_cleaned!$O:$O,A4053,pg_transaction_cleaned!$F:$F,"REFUND")</f>
        <v>0</v>
      </c>
      <c r="M4053" s="39">
        <f>SUMIFS(pg_transaction_cleaned!$H:$H,pg_transaction_cleaned!$O:$O,A4053,pg_transaction_cleaned!$F:$F,"REFUND")</f>
        <v>0</v>
      </c>
      <c r="N4053" s="23" t="str">
        <f t="shared" si="254"/>
        <v>OK</v>
      </c>
      <c r="O4053" s="24">
        <f t="shared" si="255"/>
        <v>0</v>
      </c>
    </row>
    <row r="4054" spans="1:15" ht="15" customHeight="1" x14ac:dyDescent="0.3">
      <c r="A4054" s="23" t="s">
        <v>8590</v>
      </c>
      <c r="B4054" s="38">
        <v>46287</v>
      </c>
      <c r="C4054" s="23" t="s">
        <v>8591</v>
      </c>
      <c r="D4054" s="23" t="s">
        <v>95</v>
      </c>
      <c r="E4054" s="23" t="s">
        <v>75</v>
      </c>
      <c r="F4054" s="23" t="s">
        <v>271</v>
      </c>
      <c r="G4054" s="23" t="s">
        <v>250</v>
      </c>
      <c r="H4054" s="39">
        <f t="shared" si="252"/>
        <v>2499</v>
      </c>
      <c r="I4054" s="23" t="str">
        <f t="shared" si="253"/>
        <v>Bengaluru</v>
      </c>
      <c r="J4054" s="23">
        <f>COUNTIFS(pg_transaction_cleaned!$O:$O,A4054,pg_transaction_cleaned!$F:$F,"CAPTURE")</f>
        <v>1</v>
      </c>
      <c r="K4054" s="39">
        <f>SUMIFS(pg_transaction_cleaned!$H:$H,pg_transaction_cleaned!$O:$O,A4054,pg_transaction_cleaned!$F:$F,"CAPTURE")</f>
        <v>2499</v>
      </c>
      <c r="L4054" s="23">
        <f>COUNTIFS(pg_transaction_cleaned!$O:$O,A4054,pg_transaction_cleaned!$F:$F,"REFUND")</f>
        <v>0</v>
      </c>
      <c r="M4054" s="39">
        <f>SUMIFS(pg_transaction_cleaned!$H:$H,pg_transaction_cleaned!$O:$O,A4054,pg_transaction_cleaned!$F:$F,"REFUND")</f>
        <v>0</v>
      </c>
      <c r="N4054" s="23" t="str">
        <f t="shared" si="254"/>
        <v>OK</v>
      </c>
      <c r="O4054" s="24">
        <f t="shared" si="255"/>
        <v>0</v>
      </c>
    </row>
    <row r="4055" spans="1:15" ht="15" customHeight="1" x14ac:dyDescent="0.3">
      <c r="A4055" s="23" t="s">
        <v>8592</v>
      </c>
      <c r="B4055" s="38">
        <v>46281</v>
      </c>
      <c r="C4055" s="23" t="s">
        <v>8593</v>
      </c>
      <c r="D4055" s="23" t="s">
        <v>87</v>
      </c>
      <c r="E4055" s="23" t="s">
        <v>75</v>
      </c>
      <c r="F4055" s="23" t="s">
        <v>268</v>
      </c>
      <c r="G4055" s="23" t="s">
        <v>250</v>
      </c>
      <c r="H4055" s="39">
        <f t="shared" si="252"/>
        <v>1299</v>
      </c>
      <c r="I4055" s="23" t="str">
        <f t="shared" si="253"/>
        <v>Mumbai</v>
      </c>
      <c r="J4055" s="23">
        <f>COUNTIFS(pg_transaction_cleaned!$O:$O,A4055,pg_transaction_cleaned!$F:$F,"CAPTURE")</f>
        <v>1</v>
      </c>
      <c r="K4055" s="39">
        <f>SUMIFS(pg_transaction_cleaned!$H:$H,pg_transaction_cleaned!$O:$O,A4055,pg_transaction_cleaned!$F:$F,"CAPTURE")</f>
        <v>1299</v>
      </c>
      <c r="L4055" s="23">
        <f>COUNTIFS(pg_transaction_cleaned!$O:$O,A4055,pg_transaction_cleaned!$F:$F,"REFUND")</f>
        <v>0</v>
      </c>
      <c r="M4055" s="39">
        <f>SUMIFS(pg_transaction_cleaned!$H:$H,pg_transaction_cleaned!$O:$O,A4055,pg_transaction_cleaned!$F:$F,"REFUND")</f>
        <v>0</v>
      </c>
      <c r="N4055" s="23" t="str">
        <f t="shared" si="254"/>
        <v>OK</v>
      </c>
      <c r="O4055" s="24">
        <f t="shared" si="255"/>
        <v>0</v>
      </c>
    </row>
    <row r="4056" spans="1:15" ht="15" customHeight="1" x14ac:dyDescent="0.3">
      <c r="A4056" s="23" t="s">
        <v>8594</v>
      </c>
      <c r="B4056" s="38">
        <v>46272</v>
      </c>
      <c r="C4056" s="23" t="s">
        <v>8157</v>
      </c>
      <c r="D4056" s="23" t="s">
        <v>92</v>
      </c>
      <c r="E4056" s="23" t="s">
        <v>75</v>
      </c>
      <c r="F4056" s="23" t="s">
        <v>310</v>
      </c>
      <c r="G4056" s="23" t="s">
        <v>250</v>
      </c>
      <c r="H4056" s="39">
        <f t="shared" si="252"/>
        <v>7999</v>
      </c>
      <c r="I4056" s="23" t="str">
        <f t="shared" si="253"/>
        <v>Hyderabad</v>
      </c>
      <c r="J4056" s="23">
        <f>COUNTIFS(pg_transaction_cleaned!$O:$O,A4056,pg_transaction_cleaned!$F:$F,"CAPTURE")</f>
        <v>1</v>
      </c>
      <c r="K4056" s="39">
        <f>SUMIFS(pg_transaction_cleaned!$H:$H,pg_transaction_cleaned!$O:$O,A4056,pg_transaction_cleaned!$F:$F,"CAPTURE")</f>
        <v>7999</v>
      </c>
      <c r="L4056" s="23">
        <f>COUNTIFS(pg_transaction_cleaned!$O:$O,A4056,pg_transaction_cleaned!$F:$F,"REFUND")</f>
        <v>0</v>
      </c>
      <c r="M4056" s="39">
        <f>SUMIFS(pg_transaction_cleaned!$H:$H,pg_transaction_cleaned!$O:$O,A4056,pg_transaction_cleaned!$F:$F,"REFUND")</f>
        <v>0</v>
      </c>
      <c r="N4056" s="23" t="str">
        <f t="shared" si="254"/>
        <v>OK</v>
      </c>
      <c r="O4056" s="24">
        <f t="shared" si="255"/>
        <v>0</v>
      </c>
    </row>
    <row r="4057" spans="1:15" ht="15" customHeight="1" x14ac:dyDescent="0.3">
      <c r="A4057" s="23" t="s">
        <v>8595</v>
      </c>
      <c r="B4057" s="38">
        <v>46283</v>
      </c>
      <c r="C4057" s="23" t="s">
        <v>8596</v>
      </c>
      <c r="D4057" s="23" t="s">
        <v>88</v>
      </c>
      <c r="E4057" s="23" t="s">
        <v>75</v>
      </c>
      <c r="F4057" s="23" t="s">
        <v>249</v>
      </c>
      <c r="G4057" s="23" t="s">
        <v>250</v>
      </c>
      <c r="H4057" s="39">
        <f t="shared" si="252"/>
        <v>299</v>
      </c>
      <c r="I4057" s="23" t="str">
        <f t="shared" si="253"/>
        <v>Lucknow</v>
      </c>
      <c r="J4057" s="23">
        <f>COUNTIFS(pg_transaction_cleaned!$O:$O,A4057,pg_transaction_cleaned!$F:$F,"CAPTURE")</f>
        <v>1</v>
      </c>
      <c r="K4057" s="39">
        <f>SUMIFS(pg_transaction_cleaned!$H:$H,pg_transaction_cleaned!$O:$O,A4057,pg_transaction_cleaned!$F:$F,"CAPTURE")</f>
        <v>299</v>
      </c>
      <c r="L4057" s="23">
        <f>COUNTIFS(pg_transaction_cleaned!$O:$O,A4057,pg_transaction_cleaned!$F:$F,"REFUND")</f>
        <v>0</v>
      </c>
      <c r="M4057" s="39">
        <f>SUMIFS(pg_transaction_cleaned!$H:$H,pg_transaction_cleaned!$O:$O,A4057,pg_transaction_cleaned!$F:$F,"REFUND")</f>
        <v>0</v>
      </c>
      <c r="N4057" s="23" t="str">
        <f t="shared" si="254"/>
        <v>OK</v>
      </c>
      <c r="O4057" s="24">
        <f t="shared" si="255"/>
        <v>0</v>
      </c>
    </row>
    <row r="4058" spans="1:15" ht="15" customHeight="1" x14ac:dyDescent="0.3">
      <c r="A4058" s="23" t="s">
        <v>8597</v>
      </c>
      <c r="B4058" s="38">
        <v>46267</v>
      </c>
      <c r="C4058" s="23" t="s">
        <v>8598</v>
      </c>
      <c r="D4058" s="23" t="s">
        <v>88</v>
      </c>
      <c r="E4058" s="23" t="s">
        <v>75</v>
      </c>
      <c r="F4058" s="23" t="s">
        <v>271</v>
      </c>
      <c r="G4058" s="23" t="s">
        <v>250</v>
      </c>
      <c r="H4058" s="39">
        <f t="shared" si="252"/>
        <v>2499</v>
      </c>
      <c r="I4058" s="23" t="str">
        <f t="shared" si="253"/>
        <v>Lucknow</v>
      </c>
      <c r="J4058" s="23">
        <f>COUNTIFS(pg_transaction_cleaned!$O:$O,A4058,pg_transaction_cleaned!$F:$F,"CAPTURE")</f>
        <v>1</v>
      </c>
      <c r="K4058" s="39">
        <f>SUMIFS(pg_transaction_cleaned!$H:$H,pg_transaction_cleaned!$O:$O,A4058,pg_transaction_cleaned!$F:$F,"CAPTURE")</f>
        <v>2499</v>
      </c>
      <c r="L4058" s="23">
        <f>COUNTIFS(pg_transaction_cleaned!$O:$O,A4058,pg_transaction_cleaned!$F:$F,"REFUND")</f>
        <v>0</v>
      </c>
      <c r="M4058" s="39">
        <f>SUMIFS(pg_transaction_cleaned!$H:$H,pg_transaction_cleaned!$O:$O,A4058,pg_transaction_cleaned!$F:$F,"REFUND")</f>
        <v>0</v>
      </c>
      <c r="N4058" s="23" t="str">
        <f t="shared" si="254"/>
        <v>OK</v>
      </c>
      <c r="O4058" s="24">
        <f t="shared" si="255"/>
        <v>0</v>
      </c>
    </row>
    <row r="4059" spans="1:15" ht="15" customHeight="1" x14ac:dyDescent="0.3">
      <c r="A4059" s="23" t="s">
        <v>8599</v>
      </c>
      <c r="B4059" s="38">
        <v>46273</v>
      </c>
      <c r="C4059" s="23" t="s">
        <v>8600</v>
      </c>
      <c r="D4059" s="23" t="s">
        <v>87</v>
      </c>
      <c r="E4059" s="23" t="s">
        <v>75</v>
      </c>
      <c r="F4059" s="23" t="s">
        <v>337</v>
      </c>
      <c r="G4059" s="23" t="s">
        <v>250</v>
      </c>
      <c r="H4059" s="39">
        <f t="shared" si="252"/>
        <v>3998</v>
      </c>
      <c r="I4059" s="23" t="str">
        <f t="shared" si="253"/>
        <v>Mumbai</v>
      </c>
      <c r="J4059" s="23">
        <f>COUNTIFS(pg_transaction_cleaned!$O:$O,A4059,pg_transaction_cleaned!$F:$F,"CAPTURE")</f>
        <v>1</v>
      </c>
      <c r="K4059" s="39">
        <f>SUMIFS(pg_transaction_cleaned!$H:$H,pg_transaction_cleaned!$O:$O,A4059,pg_transaction_cleaned!$F:$F,"CAPTURE")</f>
        <v>3998</v>
      </c>
      <c r="L4059" s="23">
        <f>COUNTIFS(pg_transaction_cleaned!$O:$O,A4059,pg_transaction_cleaned!$F:$F,"REFUND")</f>
        <v>0</v>
      </c>
      <c r="M4059" s="39">
        <f>SUMIFS(pg_transaction_cleaned!$H:$H,pg_transaction_cleaned!$O:$O,A4059,pg_transaction_cleaned!$F:$F,"REFUND")</f>
        <v>0</v>
      </c>
      <c r="N4059" s="23" t="str">
        <f t="shared" si="254"/>
        <v>OK</v>
      </c>
      <c r="O4059" s="24">
        <f t="shared" si="255"/>
        <v>0</v>
      </c>
    </row>
    <row r="4060" spans="1:15" ht="15" customHeight="1" x14ac:dyDescent="0.3">
      <c r="A4060" s="23" t="s">
        <v>8601</v>
      </c>
      <c r="B4060" s="38">
        <v>46271</v>
      </c>
      <c r="C4060" s="23" t="s">
        <v>8602</v>
      </c>
      <c r="D4060" s="23" t="s">
        <v>94</v>
      </c>
      <c r="E4060" s="23" t="s">
        <v>75</v>
      </c>
      <c r="F4060" s="23" t="s">
        <v>7399</v>
      </c>
      <c r="G4060" s="23" t="s">
        <v>250</v>
      </c>
      <c r="H4060" s="39">
        <f t="shared" si="252"/>
        <v>6497</v>
      </c>
      <c r="I4060" s="23" t="str">
        <f t="shared" si="253"/>
        <v>Chennai</v>
      </c>
      <c r="J4060" s="23">
        <f>COUNTIFS(pg_transaction_cleaned!$O:$O,A4060,pg_transaction_cleaned!$F:$F,"CAPTURE")</f>
        <v>1</v>
      </c>
      <c r="K4060" s="39">
        <f>SUMIFS(pg_transaction_cleaned!$H:$H,pg_transaction_cleaned!$O:$O,A4060,pg_transaction_cleaned!$F:$F,"CAPTURE")</f>
        <v>6497</v>
      </c>
      <c r="L4060" s="23">
        <f>COUNTIFS(pg_transaction_cleaned!$O:$O,A4060,pg_transaction_cleaned!$F:$F,"REFUND")</f>
        <v>0</v>
      </c>
      <c r="M4060" s="39">
        <f>SUMIFS(pg_transaction_cleaned!$H:$H,pg_transaction_cleaned!$O:$O,A4060,pg_transaction_cleaned!$F:$F,"REFUND")</f>
        <v>0</v>
      </c>
      <c r="N4060" s="23" t="str">
        <f t="shared" si="254"/>
        <v>OK</v>
      </c>
      <c r="O4060" s="24">
        <f t="shared" si="255"/>
        <v>0</v>
      </c>
    </row>
    <row r="4061" spans="1:15" ht="15" customHeight="1" x14ac:dyDescent="0.3">
      <c r="A4061" s="23" t="s">
        <v>8603</v>
      </c>
      <c r="B4061" s="38">
        <v>46278</v>
      </c>
      <c r="C4061" s="23" t="s">
        <v>8604</v>
      </c>
      <c r="D4061" s="23" t="s">
        <v>94</v>
      </c>
      <c r="E4061" s="23" t="s">
        <v>75</v>
      </c>
      <c r="F4061" s="23" t="s">
        <v>1206</v>
      </c>
      <c r="G4061" s="23" t="s">
        <v>250</v>
      </c>
      <c r="H4061" s="39">
        <f t="shared" si="252"/>
        <v>7297</v>
      </c>
      <c r="I4061" s="23" t="str">
        <f t="shared" si="253"/>
        <v>Chennai</v>
      </c>
      <c r="J4061" s="23">
        <f>COUNTIFS(pg_transaction_cleaned!$O:$O,A4061,pg_transaction_cleaned!$F:$F,"CAPTURE")</f>
        <v>1</v>
      </c>
      <c r="K4061" s="39">
        <f>SUMIFS(pg_transaction_cleaned!$H:$H,pg_transaction_cleaned!$O:$O,A4061,pg_transaction_cleaned!$F:$F,"CAPTURE")</f>
        <v>7297</v>
      </c>
      <c r="L4061" s="23">
        <f>COUNTIFS(pg_transaction_cleaned!$O:$O,A4061,pg_transaction_cleaned!$F:$F,"REFUND")</f>
        <v>0</v>
      </c>
      <c r="M4061" s="39">
        <f>SUMIFS(pg_transaction_cleaned!$H:$H,pg_transaction_cleaned!$O:$O,A4061,pg_transaction_cleaned!$F:$F,"REFUND")</f>
        <v>0</v>
      </c>
      <c r="N4061" s="23" t="str">
        <f t="shared" si="254"/>
        <v>OK</v>
      </c>
      <c r="O4061" s="24">
        <f t="shared" si="255"/>
        <v>0</v>
      </c>
    </row>
    <row r="4062" spans="1:15" ht="15" customHeight="1" x14ac:dyDescent="0.3">
      <c r="A4062" s="23" t="s">
        <v>8605</v>
      </c>
      <c r="B4062" s="38">
        <v>46285</v>
      </c>
      <c r="C4062" s="23" t="s">
        <v>8606</v>
      </c>
      <c r="D4062" s="23" t="s">
        <v>86</v>
      </c>
      <c r="E4062" s="23" t="s">
        <v>79</v>
      </c>
      <c r="F4062" s="23" t="s">
        <v>249</v>
      </c>
      <c r="G4062" s="23" t="s">
        <v>250</v>
      </c>
      <c r="H4062" s="39">
        <f t="shared" si="252"/>
        <v>299</v>
      </c>
      <c r="I4062" s="23" t="str">
        <f t="shared" si="253"/>
        <v>Delhi</v>
      </c>
      <c r="J4062" s="23">
        <f>COUNTIFS(pg_transaction_cleaned!$O:$O,A4062,pg_transaction_cleaned!$F:$F,"CAPTURE")</f>
        <v>1</v>
      </c>
      <c r="K4062" s="39">
        <f>SUMIFS(pg_transaction_cleaned!$H:$H,pg_transaction_cleaned!$O:$O,A4062,pg_transaction_cleaned!$F:$F,"CAPTURE")</f>
        <v>299</v>
      </c>
      <c r="L4062" s="23">
        <f>COUNTIFS(pg_transaction_cleaned!$O:$O,A4062,pg_transaction_cleaned!$F:$F,"REFUND")</f>
        <v>1</v>
      </c>
      <c r="M4062" s="39">
        <f>SUMIFS(pg_transaction_cleaned!$H:$H,pg_transaction_cleaned!$O:$O,A4062,pg_transaction_cleaned!$F:$F,"REFUND")</f>
        <v>299</v>
      </c>
      <c r="N4062" s="23" t="str">
        <f t="shared" si="254"/>
        <v>Refund, order not Refunded</v>
      </c>
      <c r="O4062" s="24">
        <f t="shared" si="255"/>
        <v>299</v>
      </c>
    </row>
    <row r="4063" spans="1:15" ht="15" customHeight="1" x14ac:dyDescent="0.3">
      <c r="A4063" s="23" t="s">
        <v>8607</v>
      </c>
      <c r="B4063" s="38">
        <v>46273</v>
      </c>
      <c r="C4063" s="23" t="s">
        <v>8608</v>
      </c>
      <c r="D4063" s="23" t="s">
        <v>86</v>
      </c>
      <c r="E4063" s="23" t="s">
        <v>75</v>
      </c>
      <c r="F4063" s="23" t="s">
        <v>475</v>
      </c>
      <c r="G4063" s="23" t="s">
        <v>250</v>
      </c>
      <c r="H4063" s="39">
        <f t="shared" si="252"/>
        <v>799</v>
      </c>
      <c r="I4063" s="23" t="str">
        <f t="shared" si="253"/>
        <v>Delhi</v>
      </c>
      <c r="J4063" s="23">
        <f>COUNTIFS(pg_transaction_cleaned!$O:$O,A4063,pg_transaction_cleaned!$F:$F,"CAPTURE")</f>
        <v>1</v>
      </c>
      <c r="K4063" s="39">
        <f>SUMIFS(pg_transaction_cleaned!$H:$H,pg_transaction_cleaned!$O:$O,A4063,pg_transaction_cleaned!$F:$F,"CAPTURE")</f>
        <v>799</v>
      </c>
      <c r="L4063" s="23">
        <f>COUNTIFS(pg_transaction_cleaned!$O:$O,A4063,pg_transaction_cleaned!$F:$F,"REFUND")</f>
        <v>0</v>
      </c>
      <c r="M4063" s="39">
        <f>SUMIFS(pg_transaction_cleaned!$H:$H,pg_transaction_cleaned!$O:$O,A4063,pg_transaction_cleaned!$F:$F,"REFUND")</f>
        <v>0</v>
      </c>
      <c r="N4063" s="23" t="str">
        <f t="shared" si="254"/>
        <v>OK</v>
      </c>
      <c r="O4063" s="24">
        <f t="shared" si="255"/>
        <v>0</v>
      </c>
    </row>
    <row r="4064" spans="1:15" ht="15" customHeight="1" x14ac:dyDescent="0.3">
      <c r="A4064" s="23" t="s">
        <v>8609</v>
      </c>
      <c r="B4064" s="38">
        <v>46289</v>
      </c>
      <c r="C4064" s="23" t="s">
        <v>8610</v>
      </c>
      <c r="D4064" s="23" t="s">
        <v>90</v>
      </c>
      <c r="E4064" s="23" t="s">
        <v>79</v>
      </c>
      <c r="F4064" s="23" t="s">
        <v>274</v>
      </c>
      <c r="G4064" s="23" t="s">
        <v>301</v>
      </c>
      <c r="H4064" s="39">
        <f t="shared" si="252"/>
        <v>349</v>
      </c>
      <c r="I4064" s="23" t="str">
        <f t="shared" si="253"/>
        <v>Ahmedabad</v>
      </c>
      <c r="J4064" s="23">
        <f>COUNTIFS(pg_transaction_cleaned!$O:$O,A4064,pg_transaction_cleaned!$F:$F,"CAPTURE")</f>
        <v>1</v>
      </c>
      <c r="K4064" s="39">
        <f>SUMIFS(pg_transaction_cleaned!$H:$H,pg_transaction_cleaned!$O:$O,A4064,pg_transaction_cleaned!$F:$F,"CAPTURE")</f>
        <v>349</v>
      </c>
      <c r="L4064" s="23">
        <f>COUNTIFS(pg_transaction_cleaned!$O:$O,A4064,pg_transaction_cleaned!$F:$F,"REFUND")</f>
        <v>1</v>
      </c>
      <c r="M4064" s="39">
        <f>SUMIFS(pg_transaction_cleaned!$H:$H,pg_transaction_cleaned!$O:$O,A4064,pg_transaction_cleaned!$F:$F,"REFUND")</f>
        <v>349</v>
      </c>
      <c r="N4064" s="23" t="str">
        <f t="shared" si="254"/>
        <v>OK</v>
      </c>
      <c r="O4064" s="24">
        <f t="shared" si="255"/>
        <v>0</v>
      </c>
    </row>
    <row r="4065" spans="1:15" ht="15" customHeight="1" x14ac:dyDescent="0.3">
      <c r="A4065" s="23" t="s">
        <v>8611</v>
      </c>
      <c r="B4065" s="38">
        <v>46295</v>
      </c>
      <c r="C4065" s="23" t="s">
        <v>8612</v>
      </c>
      <c r="D4065" s="23" t="s">
        <v>92</v>
      </c>
      <c r="E4065" s="23" t="s">
        <v>75</v>
      </c>
      <c r="F4065" s="23" t="s">
        <v>1463</v>
      </c>
      <c r="G4065" s="23" t="s">
        <v>250</v>
      </c>
      <c r="H4065" s="39">
        <f t="shared" si="252"/>
        <v>5348</v>
      </c>
      <c r="I4065" s="23" t="str">
        <f t="shared" si="253"/>
        <v>Hyderabad</v>
      </c>
      <c r="J4065" s="23">
        <f>COUNTIFS(pg_transaction_cleaned!$O:$O,A4065,pg_transaction_cleaned!$F:$F,"CAPTURE")</f>
        <v>1</v>
      </c>
      <c r="K4065" s="39">
        <f>SUMIFS(pg_transaction_cleaned!$H:$H,pg_transaction_cleaned!$O:$O,A4065,pg_transaction_cleaned!$F:$F,"CAPTURE")</f>
        <v>5348</v>
      </c>
      <c r="L4065" s="23">
        <f>COUNTIFS(pg_transaction_cleaned!$O:$O,A4065,pg_transaction_cleaned!$F:$F,"REFUND")</f>
        <v>0</v>
      </c>
      <c r="M4065" s="39">
        <f>SUMIFS(pg_transaction_cleaned!$H:$H,pg_transaction_cleaned!$O:$O,A4065,pg_transaction_cleaned!$F:$F,"REFUND")</f>
        <v>0</v>
      </c>
      <c r="N4065" s="23" t="str">
        <f t="shared" si="254"/>
        <v>OK</v>
      </c>
      <c r="O4065" s="24">
        <f t="shared" si="255"/>
        <v>0</v>
      </c>
    </row>
    <row r="4066" spans="1:15" ht="15" customHeight="1" x14ac:dyDescent="0.3">
      <c r="A4066" s="23" t="s">
        <v>8613</v>
      </c>
      <c r="B4066" s="38">
        <v>46292</v>
      </c>
      <c r="C4066" s="23" t="s">
        <v>8614</v>
      </c>
      <c r="D4066" s="23" t="s">
        <v>92</v>
      </c>
      <c r="E4066" s="23" t="s">
        <v>79</v>
      </c>
      <c r="F4066" s="23" t="s">
        <v>315</v>
      </c>
      <c r="G4066" s="23" t="s">
        <v>250</v>
      </c>
      <c r="H4066" s="39">
        <f t="shared" si="252"/>
        <v>1499</v>
      </c>
      <c r="I4066" s="23" t="str">
        <f t="shared" si="253"/>
        <v>Hyderabad</v>
      </c>
      <c r="J4066" s="23">
        <f>COUNTIFS(pg_transaction_cleaned!$O:$O,A4066,pg_transaction_cleaned!$F:$F,"CAPTURE")</f>
        <v>1</v>
      </c>
      <c r="K4066" s="39">
        <f>SUMIFS(pg_transaction_cleaned!$H:$H,pg_transaction_cleaned!$O:$O,A4066,pg_transaction_cleaned!$F:$F,"CAPTURE")</f>
        <v>1499</v>
      </c>
      <c r="L4066" s="23">
        <f>COUNTIFS(pg_transaction_cleaned!$O:$O,A4066,pg_transaction_cleaned!$F:$F,"REFUND")</f>
        <v>0</v>
      </c>
      <c r="M4066" s="39">
        <f>SUMIFS(pg_transaction_cleaned!$H:$H,pg_transaction_cleaned!$O:$O,A4066,pg_transaction_cleaned!$F:$F,"REFUND")</f>
        <v>0</v>
      </c>
      <c r="N4066" s="23" t="str">
        <f t="shared" si="254"/>
        <v>OK</v>
      </c>
      <c r="O4066" s="24">
        <f t="shared" si="255"/>
        <v>0</v>
      </c>
    </row>
    <row r="4067" spans="1:15" ht="15" customHeight="1" x14ac:dyDescent="0.3">
      <c r="A4067" s="23" t="s">
        <v>8615</v>
      </c>
      <c r="B4067" s="38">
        <v>46290</v>
      </c>
      <c r="C4067" s="23" t="s">
        <v>8616</v>
      </c>
      <c r="D4067" s="23" t="s">
        <v>91</v>
      </c>
      <c r="E4067" s="23" t="s">
        <v>79</v>
      </c>
      <c r="F4067" s="23" t="s">
        <v>329</v>
      </c>
      <c r="G4067" s="23" t="s">
        <v>250</v>
      </c>
      <c r="H4067" s="39">
        <f t="shared" si="252"/>
        <v>599</v>
      </c>
      <c r="I4067" s="23" t="str">
        <f t="shared" si="253"/>
        <v>Pune</v>
      </c>
      <c r="J4067" s="23">
        <f>COUNTIFS(pg_transaction_cleaned!$O:$O,A4067,pg_transaction_cleaned!$F:$F,"CAPTURE")</f>
        <v>1</v>
      </c>
      <c r="K4067" s="39">
        <f>SUMIFS(pg_transaction_cleaned!$H:$H,pg_transaction_cleaned!$O:$O,A4067,pg_transaction_cleaned!$F:$F,"CAPTURE")</f>
        <v>599</v>
      </c>
      <c r="L4067" s="23">
        <f>COUNTIFS(pg_transaction_cleaned!$O:$O,A4067,pg_transaction_cleaned!$F:$F,"REFUND")</f>
        <v>0</v>
      </c>
      <c r="M4067" s="39">
        <f>SUMIFS(pg_transaction_cleaned!$H:$H,pg_transaction_cleaned!$O:$O,A4067,pg_transaction_cleaned!$F:$F,"REFUND")</f>
        <v>0</v>
      </c>
      <c r="N4067" s="23" t="str">
        <f t="shared" si="254"/>
        <v>OK</v>
      </c>
      <c r="O4067" s="24">
        <f t="shared" si="255"/>
        <v>0</v>
      </c>
    </row>
    <row r="4068" spans="1:15" ht="15" customHeight="1" x14ac:dyDescent="0.3">
      <c r="A4068" s="23" t="s">
        <v>8617</v>
      </c>
      <c r="B4068" s="38">
        <v>46287</v>
      </c>
      <c r="C4068" s="23" t="s">
        <v>8618</v>
      </c>
      <c r="D4068" s="23" t="s">
        <v>87</v>
      </c>
      <c r="E4068" s="23" t="s">
        <v>79</v>
      </c>
      <c r="F4068" s="23" t="s">
        <v>553</v>
      </c>
      <c r="G4068" s="23" t="s">
        <v>301</v>
      </c>
      <c r="H4068" s="39">
        <f t="shared" si="252"/>
        <v>2798</v>
      </c>
      <c r="I4068" s="23" t="str">
        <f t="shared" si="253"/>
        <v>Mumbai</v>
      </c>
      <c r="J4068" s="23">
        <f>COUNTIFS(pg_transaction_cleaned!$O:$O,A4068,pg_transaction_cleaned!$F:$F,"CAPTURE")</f>
        <v>1</v>
      </c>
      <c r="K4068" s="39">
        <f>SUMIFS(pg_transaction_cleaned!$H:$H,pg_transaction_cleaned!$O:$O,A4068,pg_transaction_cleaned!$F:$F,"CAPTURE")</f>
        <v>2798</v>
      </c>
      <c r="L4068" s="23">
        <f>COUNTIFS(pg_transaction_cleaned!$O:$O,A4068,pg_transaction_cleaned!$F:$F,"REFUND")</f>
        <v>1</v>
      </c>
      <c r="M4068" s="39">
        <f>SUMIFS(pg_transaction_cleaned!$H:$H,pg_transaction_cleaned!$O:$O,A4068,pg_transaction_cleaned!$F:$F,"REFUND")</f>
        <v>2798</v>
      </c>
      <c r="N4068" s="23" t="str">
        <f t="shared" si="254"/>
        <v>OK</v>
      </c>
      <c r="O4068" s="24">
        <f t="shared" si="255"/>
        <v>0</v>
      </c>
    </row>
    <row r="4069" spans="1:15" ht="15" customHeight="1" x14ac:dyDescent="0.3">
      <c r="A4069" s="23" t="s">
        <v>8619</v>
      </c>
      <c r="B4069" s="38">
        <v>46277</v>
      </c>
      <c r="C4069" s="23" t="s">
        <v>8620</v>
      </c>
      <c r="D4069" s="23" t="s">
        <v>91</v>
      </c>
      <c r="E4069" s="23" t="s">
        <v>77</v>
      </c>
      <c r="F4069" s="23" t="s">
        <v>396</v>
      </c>
      <c r="G4069" s="23" t="s">
        <v>250</v>
      </c>
      <c r="H4069" s="39">
        <f t="shared" si="252"/>
        <v>2999</v>
      </c>
      <c r="I4069" s="23" t="str">
        <f t="shared" si="253"/>
        <v>Pune</v>
      </c>
      <c r="J4069" s="23">
        <f>COUNTIFS(pg_transaction_cleaned!$O:$O,A4069,pg_transaction_cleaned!$F:$F,"CAPTURE")</f>
        <v>1</v>
      </c>
      <c r="K4069" s="39">
        <f>SUMIFS(pg_transaction_cleaned!$H:$H,pg_transaction_cleaned!$O:$O,A4069,pg_transaction_cleaned!$F:$F,"CAPTURE")</f>
        <v>2999</v>
      </c>
      <c r="L4069" s="23">
        <f>COUNTIFS(pg_transaction_cleaned!$O:$O,A4069,pg_transaction_cleaned!$F:$F,"REFUND")</f>
        <v>0</v>
      </c>
      <c r="M4069" s="39">
        <f>SUMIFS(pg_transaction_cleaned!$H:$H,pg_transaction_cleaned!$O:$O,A4069,pg_transaction_cleaned!$F:$F,"REFUND")</f>
        <v>0</v>
      </c>
      <c r="N4069" s="23" t="str">
        <f t="shared" si="254"/>
        <v>OK</v>
      </c>
      <c r="O4069" s="24">
        <f t="shared" si="255"/>
        <v>0</v>
      </c>
    </row>
    <row r="4070" spans="1:15" ht="15" customHeight="1" x14ac:dyDescent="0.3">
      <c r="A4070" s="23" t="s">
        <v>8621</v>
      </c>
      <c r="B4070" s="38">
        <v>46270</v>
      </c>
      <c r="C4070" s="23" t="s">
        <v>8622</v>
      </c>
      <c r="D4070" s="23" t="s">
        <v>94</v>
      </c>
      <c r="E4070" s="23" t="s">
        <v>79</v>
      </c>
      <c r="F4070" s="23" t="s">
        <v>297</v>
      </c>
      <c r="G4070" s="23" t="s">
        <v>250</v>
      </c>
      <c r="H4070" s="39">
        <f t="shared" si="252"/>
        <v>4999</v>
      </c>
      <c r="I4070" s="23" t="str">
        <f t="shared" si="253"/>
        <v>Chennai</v>
      </c>
      <c r="J4070" s="23">
        <f>COUNTIFS(pg_transaction_cleaned!$O:$O,A4070,pg_transaction_cleaned!$F:$F,"CAPTURE")</f>
        <v>1</v>
      </c>
      <c r="K4070" s="39">
        <f>SUMIFS(pg_transaction_cleaned!$H:$H,pg_transaction_cleaned!$O:$O,A4070,pg_transaction_cleaned!$F:$F,"CAPTURE")</f>
        <v>4999</v>
      </c>
      <c r="L4070" s="23">
        <f>COUNTIFS(pg_transaction_cleaned!$O:$O,A4070,pg_transaction_cleaned!$F:$F,"REFUND")</f>
        <v>0</v>
      </c>
      <c r="M4070" s="39">
        <f>SUMIFS(pg_transaction_cleaned!$H:$H,pg_transaction_cleaned!$O:$O,A4070,pg_transaction_cleaned!$F:$F,"REFUND")</f>
        <v>0</v>
      </c>
      <c r="N4070" s="23" t="str">
        <f t="shared" si="254"/>
        <v>OK</v>
      </c>
      <c r="O4070" s="24">
        <f t="shared" si="255"/>
        <v>0</v>
      </c>
    </row>
    <row r="4071" spans="1:15" ht="15" customHeight="1" x14ac:dyDescent="0.3">
      <c r="A4071" s="23" t="s">
        <v>8623</v>
      </c>
      <c r="B4071" s="38">
        <v>46281</v>
      </c>
      <c r="C4071" s="23" t="s">
        <v>8624</v>
      </c>
      <c r="D4071" s="23" t="s">
        <v>87</v>
      </c>
      <c r="E4071" s="23" t="s">
        <v>79</v>
      </c>
      <c r="F4071" s="23" t="s">
        <v>3556</v>
      </c>
      <c r="G4071" s="23" t="s">
        <v>250</v>
      </c>
      <c r="H4071" s="39">
        <f t="shared" si="252"/>
        <v>1598</v>
      </c>
      <c r="I4071" s="23" t="str">
        <f t="shared" si="253"/>
        <v>Mumbai</v>
      </c>
      <c r="J4071" s="23">
        <f>COUNTIFS(pg_transaction_cleaned!$O:$O,A4071,pg_transaction_cleaned!$F:$F,"CAPTURE")</f>
        <v>1</v>
      </c>
      <c r="K4071" s="39">
        <f>SUMIFS(pg_transaction_cleaned!$H:$H,pg_transaction_cleaned!$O:$O,A4071,pg_transaction_cleaned!$F:$F,"CAPTURE")</f>
        <v>1598</v>
      </c>
      <c r="L4071" s="23">
        <f>COUNTIFS(pg_transaction_cleaned!$O:$O,A4071,pg_transaction_cleaned!$F:$F,"REFUND")</f>
        <v>0</v>
      </c>
      <c r="M4071" s="39">
        <f>SUMIFS(pg_transaction_cleaned!$H:$H,pg_transaction_cleaned!$O:$O,A4071,pg_transaction_cleaned!$F:$F,"REFUND")</f>
        <v>0</v>
      </c>
      <c r="N4071" s="23" t="str">
        <f t="shared" si="254"/>
        <v>OK</v>
      </c>
      <c r="O4071" s="24">
        <f t="shared" si="255"/>
        <v>0</v>
      </c>
    </row>
    <row r="4072" spans="1:15" ht="15" customHeight="1" x14ac:dyDescent="0.3">
      <c r="A4072" s="23" t="s">
        <v>8625</v>
      </c>
      <c r="B4072" s="38">
        <v>46270</v>
      </c>
      <c r="C4072" s="23" t="s">
        <v>8626</v>
      </c>
      <c r="D4072" s="23" t="s">
        <v>89</v>
      </c>
      <c r="E4072" s="23" t="s">
        <v>75</v>
      </c>
      <c r="F4072" s="23" t="s">
        <v>329</v>
      </c>
      <c r="G4072" s="23" t="s">
        <v>250</v>
      </c>
      <c r="H4072" s="39">
        <f t="shared" si="252"/>
        <v>599</v>
      </c>
      <c r="I4072" s="23" t="str">
        <f t="shared" si="253"/>
        <v>Jaipur</v>
      </c>
      <c r="J4072" s="23">
        <f>COUNTIFS(pg_transaction_cleaned!$O:$O,A4072,pg_transaction_cleaned!$F:$F,"CAPTURE")</f>
        <v>1</v>
      </c>
      <c r="K4072" s="39">
        <f>SUMIFS(pg_transaction_cleaned!$H:$H,pg_transaction_cleaned!$O:$O,A4072,pg_transaction_cleaned!$F:$F,"CAPTURE")</f>
        <v>599</v>
      </c>
      <c r="L4072" s="23">
        <f>COUNTIFS(pg_transaction_cleaned!$O:$O,A4072,pg_transaction_cleaned!$F:$F,"REFUND")</f>
        <v>0</v>
      </c>
      <c r="M4072" s="39">
        <f>SUMIFS(pg_transaction_cleaned!$H:$H,pg_transaction_cleaned!$O:$O,A4072,pg_transaction_cleaned!$F:$F,"REFUND")</f>
        <v>0</v>
      </c>
      <c r="N4072" s="23" t="str">
        <f t="shared" si="254"/>
        <v>OK</v>
      </c>
      <c r="O4072" s="24">
        <f t="shared" si="255"/>
        <v>0</v>
      </c>
    </row>
    <row r="4073" spans="1:15" ht="15" customHeight="1" x14ac:dyDescent="0.3">
      <c r="A4073" s="23" t="s">
        <v>8627</v>
      </c>
      <c r="B4073" s="38">
        <v>46287</v>
      </c>
      <c r="C4073" s="23" t="s">
        <v>8628</v>
      </c>
      <c r="D4073" s="23" t="s">
        <v>95</v>
      </c>
      <c r="E4073" s="23" t="s">
        <v>75</v>
      </c>
      <c r="F4073" s="23" t="s">
        <v>357</v>
      </c>
      <c r="G4073" s="23" t="s">
        <v>250</v>
      </c>
      <c r="H4073" s="39">
        <f t="shared" si="252"/>
        <v>1598</v>
      </c>
      <c r="I4073" s="23" t="str">
        <f t="shared" si="253"/>
        <v>Bengaluru</v>
      </c>
      <c r="J4073" s="23">
        <f>COUNTIFS(pg_transaction_cleaned!$O:$O,A4073,pg_transaction_cleaned!$F:$F,"CAPTURE")</f>
        <v>1</v>
      </c>
      <c r="K4073" s="39">
        <f>SUMIFS(pg_transaction_cleaned!$H:$H,pg_transaction_cleaned!$O:$O,A4073,pg_transaction_cleaned!$F:$F,"CAPTURE")</f>
        <v>1598</v>
      </c>
      <c r="L4073" s="23">
        <f>COUNTIFS(pg_transaction_cleaned!$O:$O,A4073,pg_transaction_cleaned!$F:$F,"REFUND")</f>
        <v>0</v>
      </c>
      <c r="M4073" s="39">
        <f>SUMIFS(pg_transaction_cleaned!$H:$H,pg_transaction_cleaned!$O:$O,A4073,pg_transaction_cleaned!$F:$F,"REFUND")</f>
        <v>0</v>
      </c>
      <c r="N4073" s="23" t="str">
        <f t="shared" si="254"/>
        <v>OK</v>
      </c>
      <c r="O4073" s="24">
        <f t="shared" si="255"/>
        <v>0</v>
      </c>
    </row>
    <row r="4074" spans="1:15" ht="15" customHeight="1" x14ac:dyDescent="0.3">
      <c r="A4074" s="23" t="s">
        <v>8629</v>
      </c>
      <c r="B4074" s="38">
        <v>46276</v>
      </c>
      <c r="C4074" s="23" t="s">
        <v>8630</v>
      </c>
      <c r="D4074" s="23" t="s">
        <v>89</v>
      </c>
      <c r="E4074" s="23" t="s">
        <v>79</v>
      </c>
      <c r="F4074" s="23" t="s">
        <v>262</v>
      </c>
      <c r="G4074" s="23" t="s">
        <v>250</v>
      </c>
      <c r="H4074" s="39">
        <f t="shared" si="252"/>
        <v>499</v>
      </c>
      <c r="I4074" s="23" t="str">
        <f t="shared" si="253"/>
        <v>Jaipur</v>
      </c>
      <c r="J4074" s="23">
        <f>COUNTIFS(pg_transaction_cleaned!$O:$O,A4074,pg_transaction_cleaned!$F:$F,"CAPTURE")</f>
        <v>1</v>
      </c>
      <c r="K4074" s="39">
        <f>SUMIFS(pg_transaction_cleaned!$H:$H,pg_transaction_cleaned!$O:$O,A4074,pg_transaction_cleaned!$F:$F,"CAPTURE")</f>
        <v>499</v>
      </c>
      <c r="L4074" s="23">
        <f>COUNTIFS(pg_transaction_cleaned!$O:$O,A4074,pg_transaction_cleaned!$F:$F,"REFUND")</f>
        <v>0</v>
      </c>
      <c r="M4074" s="39">
        <f>SUMIFS(pg_transaction_cleaned!$H:$H,pg_transaction_cleaned!$O:$O,A4074,pg_transaction_cleaned!$F:$F,"REFUND")</f>
        <v>0</v>
      </c>
      <c r="N4074" s="23" t="str">
        <f t="shared" si="254"/>
        <v>OK</v>
      </c>
      <c r="O4074" s="24">
        <f t="shared" si="255"/>
        <v>0</v>
      </c>
    </row>
    <row r="4075" spans="1:15" ht="15" customHeight="1" x14ac:dyDescent="0.3">
      <c r="A4075" s="23" t="s">
        <v>8631</v>
      </c>
      <c r="B4075" s="38">
        <v>46277</v>
      </c>
      <c r="C4075" s="23" t="s">
        <v>8632</v>
      </c>
      <c r="D4075" s="23" t="s">
        <v>89</v>
      </c>
      <c r="E4075" s="23" t="s">
        <v>75</v>
      </c>
      <c r="F4075" s="23" t="s">
        <v>1954</v>
      </c>
      <c r="G4075" s="23" t="s">
        <v>250</v>
      </c>
      <c r="H4075" s="39">
        <f t="shared" si="252"/>
        <v>848</v>
      </c>
      <c r="I4075" s="23" t="str">
        <f t="shared" si="253"/>
        <v>Jaipur</v>
      </c>
      <c r="J4075" s="23">
        <f>COUNTIFS(pg_transaction_cleaned!$O:$O,A4075,pg_transaction_cleaned!$F:$F,"CAPTURE")</f>
        <v>1</v>
      </c>
      <c r="K4075" s="39">
        <f>SUMIFS(pg_transaction_cleaned!$H:$H,pg_transaction_cleaned!$O:$O,A4075,pg_transaction_cleaned!$F:$F,"CAPTURE")</f>
        <v>848</v>
      </c>
      <c r="L4075" s="23">
        <f>COUNTIFS(pg_transaction_cleaned!$O:$O,A4075,pg_transaction_cleaned!$F:$F,"REFUND")</f>
        <v>0</v>
      </c>
      <c r="M4075" s="39">
        <f>SUMIFS(pg_transaction_cleaned!$H:$H,pg_transaction_cleaned!$O:$O,A4075,pg_transaction_cleaned!$F:$F,"REFUND")</f>
        <v>0</v>
      </c>
      <c r="N4075" s="23" t="str">
        <f t="shared" si="254"/>
        <v>OK</v>
      </c>
      <c r="O4075" s="24">
        <f t="shared" si="255"/>
        <v>0</v>
      </c>
    </row>
    <row r="4076" spans="1:15" ht="15" customHeight="1" x14ac:dyDescent="0.3">
      <c r="A4076" s="23" t="s">
        <v>8633</v>
      </c>
      <c r="B4076" s="38">
        <v>46289</v>
      </c>
      <c r="C4076" s="23" t="s">
        <v>8634</v>
      </c>
      <c r="D4076" s="23" t="s">
        <v>91</v>
      </c>
      <c r="E4076" s="23" t="s">
        <v>75</v>
      </c>
      <c r="F4076" s="23" t="s">
        <v>396</v>
      </c>
      <c r="G4076" s="23" t="s">
        <v>250</v>
      </c>
      <c r="H4076" s="39">
        <f t="shared" si="252"/>
        <v>2999</v>
      </c>
      <c r="I4076" s="23" t="str">
        <f t="shared" si="253"/>
        <v>Pune</v>
      </c>
      <c r="J4076" s="23">
        <f>COUNTIFS(pg_transaction_cleaned!$O:$O,A4076,pg_transaction_cleaned!$F:$F,"CAPTURE")</f>
        <v>1</v>
      </c>
      <c r="K4076" s="39">
        <f>SUMIFS(pg_transaction_cleaned!$H:$H,pg_transaction_cleaned!$O:$O,A4076,pg_transaction_cleaned!$F:$F,"CAPTURE")</f>
        <v>2999</v>
      </c>
      <c r="L4076" s="23">
        <f>COUNTIFS(pg_transaction_cleaned!$O:$O,A4076,pg_transaction_cleaned!$F:$F,"REFUND")</f>
        <v>0</v>
      </c>
      <c r="M4076" s="39">
        <f>SUMIFS(pg_transaction_cleaned!$H:$H,pg_transaction_cleaned!$O:$O,A4076,pg_transaction_cleaned!$F:$F,"REFUND")</f>
        <v>0</v>
      </c>
      <c r="N4076" s="23" t="str">
        <f t="shared" si="254"/>
        <v>OK</v>
      </c>
      <c r="O4076" s="24">
        <f t="shared" si="255"/>
        <v>0</v>
      </c>
    </row>
    <row r="4077" spans="1:15" ht="15" customHeight="1" x14ac:dyDescent="0.3">
      <c r="A4077" s="23" t="s">
        <v>8635</v>
      </c>
      <c r="B4077" s="38">
        <v>46268</v>
      </c>
      <c r="C4077" s="23" t="s">
        <v>8636</v>
      </c>
      <c r="D4077" s="23" t="s">
        <v>87</v>
      </c>
      <c r="E4077" s="23" t="s">
        <v>75</v>
      </c>
      <c r="F4077" s="23" t="s">
        <v>310</v>
      </c>
      <c r="G4077" s="23" t="s">
        <v>250</v>
      </c>
      <c r="H4077" s="39">
        <f t="shared" si="252"/>
        <v>7999</v>
      </c>
      <c r="I4077" s="23" t="str">
        <f t="shared" si="253"/>
        <v>Mumbai</v>
      </c>
      <c r="J4077" s="23">
        <f>COUNTIFS(pg_transaction_cleaned!$O:$O,A4077,pg_transaction_cleaned!$F:$F,"CAPTURE")</f>
        <v>1</v>
      </c>
      <c r="K4077" s="39">
        <f>SUMIFS(pg_transaction_cleaned!$H:$H,pg_transaction_cleaned!$O:$O,A4077,pg_transaction_cleaned!$F:$F,"CAPTURE")</f>
        <v>7999</v>
      </c>
      <c r="L4077" s="23">
        <f>COUNTIFS(pg_transaction_cleaned!$O:$O,A4077,pg_transaction_cleaned!$F:$F,"REFUND")</f>
        <v>0</v>
      </c>
      <c r="M4077" s="39">
        <f>SUMIFS(pg_transaction_cleaned!$H:$H,pg_transaction_cleaned!$O:$O,A4077,pg_transaction_cleaned!$F:$F,"REFUND")</f>
        <v>0</v>
      </c>
      <c r="N4077" s="23" t="str">
        <f t="shared" si="254"/>
        <v>OK</v>
      </c>
      <c r="O4077" s="24">
        <f t="shared" si="255"/>
        <v>0</v>
      </c>
    </row>
    <row r="4078" spans="1:15" ht="15" customHeight="1" x14ac:dyDescent="0.3">
      <c r="A4078" s="23" t="s">
        <v>8637</v>
      </c>
      <c r="B4078" s="38">
        <v>46266</v>
      </c>
      <c r="C4078" s="23" t="s">
        <v>8638</v>
      </c>
      <c r="D4078" s="23" t="s">
        <v>89</v>
      </c>
      <c r="E4078" s="23" t="s">
        <v>77</v>
      </c>
      <c r="F4078" s="23" t="s">
        <v>3464</v>
      </c>
      <c r="G4078" s="23" t="s">
        <v>250</v>
      </c>
      <c r="H4078" s="39">
        <f t="shared" si="252"/>
        <v>10097</v>
      </c>
      <c r="I4078" s="23" t="str">
        <f t="shared" si="253"/>
        <v>Jaipur</v>
      </c>
      <c r="J4078" s="23">
        <f>COUNTIFS(pg_transaction_cleaned!$O:$O,A4078,pg_transaction_cleaned!$F:$F,"CAPTURE")</f>
        <v>1</v>
      </c>
      <c r="K4078" s="39">
        <f>SUMIFS(pg_transaction_cleaned!$H:$H,pg_transaction_cleaned!$O:$O,A4078,pg_transaction_cleaned!$F:$F,"CAPTURE")</f>
        <v>10097</v>
      </c>
      <c r="L4078" s="23">
        <f>COUNTIFS(pg_transaction_cleaned!$O:$O,A4078,pg_transaction_cleaned!$F:$F,"REFUND")</f>
        <v>0</v>
      </c>
      <c r="M4078" s="39">
        <f>SUMIFS(pg_transaction_cleaned!$H:$H,pg_transaction_cleaned!$O:$O,A4078,pg_transaction_cleaned!$F:$F,"REFUND")</f>
        <v>0</v>
      </c>
      <c r="N4078" s="23" t="str">
        <f t="shared" si="254"/>
        <v>OK</v>
      </c>
      <c r="O4078" s="24">
        <f t="shared" si="255"/>
        <v>0</v>
      </c>
    </row>
    <row r="4079" spans="1:15" ht="15" customHeight="1" x14ac:dyDescent="0.3">
      <c r="A4079" s="23" t="s">
        <v>8639</v>
      </c>
      <c r="B4079" s="38">
        <v>46284</v>
      </c>
      <c r="C4079" s="23" t="s">
        <v>4124</v>
      </c>
      <c r="D4079" s="23" t="s">
        <v>92</v>
      </c>
      <c r="E4079" s="23" t="s">
        <v>75</v>
      </c>
      <c r="F4079" s="23" t="s">
        <v>1021</v>
      </c>
      <c r="G4079" s="23" t="s">
        <v>250</v>
      </c>
      <c r="H4079" s="39">
        <f t="shared" si="252"/>
        <v>9097</v>
      </c>
      <c r="I4079" s="23" t="str">
        <f t="shared" si="253"/>
        <v>Hyderabad</v>
      </c>
      <c r="J4079" s="23">
        <f>COUNTIFS(pg_transaction_cleaned!$O:$O,A4079,pg_transaction_cleaned!$F:$F,"CAPTURE")</f>
        <v>1</v>
      </c>
      <c r="K4079" s="39">
        <f>SUMIFS(pg_transaction_cleaned!$H:$H,pg_transaction_cleaned!$O:$O,A4079,pg_transaction_cleaned!$F:$F,"CAPTURE")</f>
        <v>9097</v>
      </c>
      <c r="L4079" s="23">
        <f>COUNTIFS(pg_transaction_cleaned!$O:$O,A4079,pg_transaction_cleaned!$F:$F,"REFUND")</f>
        <v>0</v>
      </c>
      <c r="M4079" s="39">
        <f>SUMIFS(pg_transaction_cleaned!$H:$H,pg_transaction_cleaned!$O:$O,A4079,pg_transaction_cleaned!$F:$F,"REFUND")</f>
        <v>0</v>
      </c>
      <c r="N4079" s="23" t="str">
        <f t="shared" si="254"/>
        <v>OK</v>
      </c>
      <c r="O4079" s="24">
        <f t="shared" si="255"/>
        <v>0</v>
      </c>
    </row>
    <row r="4080" spans="1:15" ht="15" customHeight="1" x14ac:dyDescent="0.3">
      <c r="A4080" s="23" t="s">
        <v>8640</v>
      </c>
      <c r="B4080" s="38">
        <v>46279</v>
      </c>
      <c r="C4080" s="23" t="s">
        <v>8641</v>
      </c>
      <c r="D4080" s="23" t="s">
        <v>93</v>
      </c>
      <c r="E4080" s="23" t="s">
        <v>75</v>
      </c>
      <c r="F4080" s="23" t="s">
        <v>271</v>
      </c>
      <c r="G4080" s="23" t="s">
        <v>250</v>
      </c>
      <c r="H4080" s="39">
        <f t="shared" si="252"/>
        <v>2499</v>
      </c>
      <c r="I4080" s="23" t="str">
        <f t="shared" si="253"/>
        <v>Kolkata</v>
      </c>
      <c r="J4080" s="23">
        <f>COUNTIFS(pg_transaction_cleaned!$O:$O,A4080,pg_transaction_cleaned!$F:$F,"CAPTURE")</f>
        <v>1</v>
      </c>
      <c r="K4080" s="39">
        <f>SUMIFS(pg_transaction_cleaned!$H:$H,pg_transaction_cleaned!$O:$O,A4080,pg_transaction_cleaned!$F:$F,"CAPTURE")</f>
        <v>2499</v>
      </c>
      <c r="L4080" s="23">
        <f>COUNTIFS(pg_transaction_cleaned!$O:$O,A4080,pg_transaction_cleaned!$F:$F,"REFUND")</f>
        <v>0</v>
      </c>
      <c r="M4080" s="39">
        <f>SUMIFS(pg_transaction_cleaned!$H:$H,pg_transaction_cleaned!$O:$O,A4080,pg_transaction_cleaned!$F:$F,"REFUND")</f>
        <v>0</v>
      </c>
      <c r="N4080" s="23" t="str">
        <f t="shared" si="254"/>
        <v>OK</v>
      </c>
      <c r="O4080" s="24">
        <f t="shared" si="255"/>
        <v>0</v>
      </c>
    </row>
    <row r="4081" spans="1:15" ht="15" customHeight="1" x14ac:dyDescent="0.3">
      <c r="A4081" s="23" t="s">
        <v>8642</v>
      </c>
      <c r="B4081" s="38">
        <v>46285</v>
      </c>
      <c r="C4081" s="23" t="s">
        <v>8643</v>
      </c>
      <c r="D4081" s="23" t="s">
        <v>92</v>
      </c>
      <c r="E4081" s="23" t="s">
        <v>79</v>
      </c>
      <c r="F4081" s="23" t="s">
        <v>262</v>
      </c>
      <c r="G4081" s="23" t="s">
        <v>301</v>
      </c>
      <c r="H4081" s="39">
        <f t="shared" si="252"/>
        <v>499</v>
      </c>
      <c r="I4081" s="23" t="str">
        <f t="shared" si="253"/>
        <v>Hyderabad</v>
      </c>
      <c r="J4081" s="23">
        <f>COUNTIFS(pg_transaction_cleaned!$O:$O,A4081,pg_transaction_cleaned!$F:$F,"CAPTURE")</f>
        <v>1</v>
      </c>
      <c r="K4081" s="39">
        <f>SUMIFS(pg_transaction_cleaned!$H:$H,pg_transaction_cleaned!$O:$O,A4081,pg_transaction_cleaned!$F:$F,"CAPTURE")</f>
        <v>499</v>
      </c>
      <c r="L4081" s="23">
        <f>COUNTIFS(pg_transaction_cleaned!$O:$O,A4081,pg_transaction_cleaned!$F:$F,"REFUND")</f>
        <v>1</v>
      </c>
      <c r="M4081" s="39">
        <f>SUMIFS(pg_transaction_cleaned!$H:$H,pg_transaction_cleaned!$O:$O,A4081,pg_transaction_cleaned!$F:$F,"REFUND")</f>
        <v>499</v>
      </c>
      <c r="N4081" s="23" t="str">
        <f t="shared" si="254"/>
        <v>OK</v>
      </c>
      <c r="O4081" s="24">
        <f t="shared" si="255"/>
        <v>0</v>
      </c>
    </row>
    <row r="4082" spans="1:15" ht="15" customHeight="1" x14ac:dyDescent="0.3">
      <c r="A4082" s="23" t="s">
        <v>8644</v>
      </c>
      <c r="B4082" s="38">
        <v>46269</v>
      </c>
      <c r="C4082" s="23" t="s">
        <v>8645</v>
      </c>
      <c r="D4082" s="23" t="s">
        <v>94</v>
      </c>
      <c r="E4082" s="23" t="s">
        <v>79</v>
      </c>
      <c r="F4082" s="23" t="s">
        <v>772</v>
      </c>
      <c r="G4082" s="23" t="s">
        <v>250</v>
      </c>
      <c r="H4082" s="39">
        <f t="shared" si="252"/>
        <v>4798</v>
      </c>
      <c r="I4082" s="23" t="str">
        <f t="shared" si="253"/>
        <v>Chennai</v>
      </c>
      <c r="J4082" s="23">
        <f>COUNTIFS(pg_transaction_cleaned!$O:$O,A4082,pg_transaction_cleaned!$F:$F,"CAPTURE")</f>
        <v>1</v>
      </c>
      <c r="K4082" s="39">
        <f>SUMIFS(pg_transaction_cleaned!$H:$H,pg_transaction_cleaned!$O:$O,A4082,pg_transaction_cleaned!$F:$F,"CAPTURE")</f>
        <v>4798</v>
      </c>
      <c r="L4082" s="23">
        <f>COUNTIFS(pg_transaction_cleaned!$O:$O,A4082,pg_transaction_cleaned!$F:$F,"REFUND")</f>
        <v>0</v>
      </c>
      <c r="M4082" s="39">
        <f>SUMIFS(pg_transaction_cleaned!$H:$H,pg_transaction_cleaned!$O:$O,A4082,pg_transaction_cleaned!$F:$F,"REFUND")</f>
        <v>0</v>
      </c>
      <c r="N4082" s="23" t="str">
        <f t="shared" si="254"/>
        <v>OK</v>
      </c>
      <c r="O4082" s="24">
        <f t="shared" si="255"/>
        <v>0</v>
      </c>
    </row>
    <row r="4083" spans="1:15" ht="15" customHeight="1" x14ac:dyDescent="0.3">
      <c r="A4083" s="23" t="s">
        <v>8646</v>
      </c>
      <c r="B4083" s="38">
        <v>46284</v>
      </c>
      <c r="C4083" s="23" t="s">
        <v>8647</v>
      </c>
      <c r="D4083" s="23" t="s">
        <v>87</v>
      </c>
      <c r="E4083" s="23" t="s">
        <v>77</v>
      </c>
      <c r="F4083" s="23" t="s">
        <v>265</v>
      </c>
      <c r="G4083" s="23" t="s">
        <v>365</v>
      </c>
      <c r="H4083" s="39">
        <f t="shared" si="252"/>
        <v>999</v>
      </c>
      <c r="I4083" s="23" t="str">
        <f t="shared" si="253"/>
        <v>Mumbai</v>
      </c>
      <c r="J4083" s="23">
        <f>COUNTIFS(pg_transaction_cleaned!$O:$O,A4083,pg_transaction_cleaned!$F:$F,"CAPTURE")</f>
        <v>0</v>
      </c>
      <c r="K4083" s="39">
        <f>SUMIFS(pg_transaction_cleaned!$H:$H,pg_transaction_cleaned!$O:$O,A4083,pg_transaction_cleaned!$F:$F,"CAPTURE")</f>
        <v>0</v>
      </c>
      <c r="L4083" s="23">
        <f>COUNTIFS(pg_transaction_cleaned!$O:$O,A4083,pg_transaction_cleaned!$F:$F,"REFUND")</f>
        <v>0</v>
      </c>
      <c r="M4083" s="39">
        <f>SUMIFS(pg_transaction_cleaned!$H:$H,pg_transaction_cleaned!$O:$O,A4083,pg_transaction_cleaned!$F:$F,"REFUND")</f>
        <v>0</v>
      </c>
      <c r="N4083" s="23" t="str">
        <f t="shared" si="254"/>
        <v>OK</v>
      </c>
      <c r="O4083" s="24">
        <f t="shared" si="255"/>
        <v>0</v>
      </c>
    </row>
    <row r="4084" spans="1:15" ht="15" customHeight="1" x14ac:dyDescent="0.3">
      <c r="A4084" s="23" t="s">
        <v>8648</v>
      </c>
      <c r="B4084" s="38">
        <v>46269</v>
      </c>
      <c r="C4084" s="23" t="s">
        <v>8649</v>
      </c>
      <c r="D4084" s="23" t="s">
        <v>94</v>
      </c>
      <c r="E4084" s="23" t="s">
        <v>81</v>
      </c>
      <c r="F4084" s="23" t="s">
        <v>297</v>
      </c>
      <c r="G4084" s="23" t="s">
        <v>250</v>
      </c>
      <c r="H4084" s="39">
        <f t="shared" si="252"/>
        <v>4999</v>
      </c>
      <c r="I4084" s="23" t="str">
        <f t="shared" si="253"/>
        <v>Chennai</v>
      </c>
      <c r="J4084" s="23">
        <f>COUNTIFS(pg_transaction_cleaned!$O:$O,A4084,pg_transaction_cleaned!$F:$F,"CAPTURE")</f>
        <v>1</v>
      </c>
      <c r="K4084" s="39">
        <f>SUMIFS(pg_transaction_cleaned!$H:$H,pg_transaction_cleaned!$O:$O,A4084,pg_transaction_cleaned!$F:$F,"CAPTURE")</f>
        <v>4999</v>
      </c>
      <c r="L4084" s="23">
        <f>COUNTIFS(pg_transaction_cleaned!$O:$O,A4084,pg_transaction_cleaned!$F:$F,"REFUND")</f>
        <v>0</v>
      </c>
      <c r="M4084" s="39">
        <f>SUMIFS(pg_transaction_cleaned!$H:$H,pg_transaction_cleaned!$O:$O,A4084,pg_transaction_cleaned!$F:$F,"REFUND")</f>
        <v>0</v>
      </c>
      <c r="N4084" s="23" t="str">
        <f t="shared" si="254"/>
        <v>OK</v>
      </c>
      <c r="O4084" s="24">
        <f t="shared" si="255"/>
        <v>0</v>
      </c>
    </row>
    <row r="4085" spans="1:15" ht="15" customHeight="1" x14ac:dyDescent="0.3">
      <c r="A4085" s="23" t="s">
        <v>8650</v>
      </c>
      <c r="B4085" s="38">
        <v>46271</v>
      </c>
      <c r="C4085" s="23" t="s">
        <v>8651</v>
      </c>
      <c r="D4085" s="23" t="s">
        <v>94</v>
      </c>
      <c r="E4085" s="23" t="s">
        <v>75</v>
      </c>
      <c r="F4085" s="23" t="s">
        <v>2086</v>
      </c>
      <c r="G4085" s="23" t="s">
        <v>250</v>
      </c>
      <c r="H4085" s="39">
        <f t="shared" si="252"/>
        <v>3397</v>
      </c>
      <c r="I4085" s="23" t="str">
        <f t="shared" si="253"/>
        <v>Chennai</v>
      </c>
      <c r="J4085" s="23">
        <f>COUNTIFS(pg_transaction_cleaned!$O:$O,A4085,pg_transaction_cleaned!$F:$F,"CAPTURE")</f>
        <v>1</v>
      </c>
      <c r="K4085" s="39">
        <f>SUMIFS(pg_transaction_cleaned!$H:$H,pg_transaction_cleaned!$O:$O,A4085,pg_transaction_cleaned!$F:$F,"CAPTURE")</f>
        <v>3397</v>
      </c>
      <c r="L4085" s="23">
        <f>COUNTIFS(pg_transaction_cleaned!$O:$O,A4085,pg_transaction_cleaned!$F:$F,"REFUND")</f>
        <v>0</v>
      </c>
      <c r="M4085" s="39">
        <f>SUMIFS(pg_transaction_cleaned!$H:$H,pg_transaction_cleaned!$O:$O,A4085,pg_transaction_cleaned!$F:$F,"REFUND")</f>
        <v>0</v>
      </c>
      <c r="N4085" s="23" t="str">
        <f t="shared" si="254"/>
        <v>OK</v>
      </c>
      <c r="O4085" s="24">
        <f t="shared" si="255"/>
        <v>0</v>
      </c>
    </row>
    <row r="4086" spans="1:15" ht="15" customHeight="1" x14ac:dyDescent="0.3">
      <c r="A4086" s="23" t="s">
        <v>8652</v>
      </c>
      <c r="B4086" s="38">
        <v>46268</v>
      </c>
      <c r="C4086" s="23" t="s">
        <v>8653</v>
      </c>
      <c r="D4086" s="23" t="s">
        <v>95</v>
      </c>
      <c r="E4086" s="23" t="s">
        <v>75</v>
      </c>
      <c r="F4086" s="23" t="s">
        <v>315</v>
      </c>
      <c r="G4086" s="23" t="s">
        <v>250</v>
      </c>
      <c r="H4086" s="39">
        <f t="shared" si="252"/>
        <v>1499</v>
      </c>
      <c r="I4086" s="23" t="str">
        <f t="shared" si="253"/>
        <v>Bengaluru</v>
      </c>
      <c r="J4086" s="23">
        <f>COUNTIFS(pg_transaction_cleaned!$O:$O,A4086,pg_transaction_cleaned!$F:$F,"CAPTURE")</f>
        <v>1</v>
      </c>
      <c r="K4086" s="39">
        <f>SUMIFS(pg_transaction_cleaned!$H:$H,pg_transaction_cleaned!$O:$O,A4086,pg_transaction_cleaned!$F:$F,"CAPTURE")</f>
        <v>1499</v>
      </c>
      <c r="L4086" s="23">
        <f>COUNTIFS(pg_transaction_cleaned!$O:$O,A4086,pg_transaction_cleaned!$F:$F,"REFUND")</f>
        <v>0</v>
      </c>
      <c r="M4086" s="39">
        <f>SUMIFS(pg_transaction_cleaned!$H:$H,pg_transaction_cleaned!$O:$O,A4086,pg_transaction_cleaned!$F:$F,"REFUND")</f>
        <v>0</v>
      </c>
      <c r="N4086" s="23" t="str">
        <f t="shared" si="254"/>
        <v>OK</v>
      </c>
      <c r="O4086" s="24">
        <f t="shared" si="255"/>
        <v>0</v>
      </c>
    </row>
    <row r="4087" spans="1:15" ht="15" customHeight="1" x14ac:dyDescent="0.3">
      <c r="A4087" s="23" t="s">
        <v>8654</v>
      </c>
      <c r="B4087" s="38">
        <v>46291</v>
      </c>
      <c r="C4087" s="23" t="s">
        <v>8655</v>
      </c>
      <c r="D4087" s="23" t="s">
        <v>94</v>
      </c>
      <c r="E4087" s="23" t="s">
        <v>75</v>
      </c>
      <c r="F4087" s="23" t="s">
        <v>315</v>
      </c>
      <c r="G4087" s="23" t="s">
        <v>318</v>
      </c>
      <c r="H4087" s="39">
        <f t="shared" si="252"/>
        <v>1499</v>
      </c>
      <c r="I4087" s="23" t="str">
        <f t="shared" si="253"/>
        <v>Chennai</v>
      </c>
      <c r="J4087" s="23">
        <f>COUNTIFS(pg_transaction_cleaned!$O:$O,A4087,pg_transaction_cleaned!$F:$F,"CAPTURE")</f>
        <v>0</v>
      </c>
      <c r="K4087" s="39">
        <f>SUMIFS(pg_transaction_cleaned!$H:$H,pg_transaction_cleaned!$O:$O,A4087,pg_transaction_cleaned!$F:$F,"CAPTURE")</f>
        <v>0</v>
      </c>
      <c r="L4087" s="23">
        <f>COUNTIFS(pg_transaction_cleaned!$O:$O,A4087,pg_transaction_cleaned!$F:$F,"REFUND")</f>
        <v>0</v>
      </c>
      <c r="M4087" s="39">
        <f>SUMIFS(pg_transaction_cleaned!$H:$H,pg_transaction_cleaned!$O:$O,A4087,pg_transaction_cleaned!$F:$F,"REFUND")</f>
        <v>0</v>
      </c>
      <c r="N4087" s="23" t="str">
        <f t="shared" si="254"/>
        <v>OK</v>
      </c>
      <c r="O4087" s="24">
        <f t="shared" si="255"/>
        <v>0</v>
      </c>
    </row>
    <row r="4088" spans="1:15" ht="15" customHeight="1" x14ac:dyDescent="0.3">
      <c r="A4088" s="23" t="s">
        <v>8656</v>
      </c>
      <c r="B4088" s="38">
        <v>46295</v>
      </c>
      <c r="C4088" s="23" t="s">
        <v>8657</v>
      </c>
      <c r="D4088" s="23" t="s">
        <v>89</v>
      </c>
      <c r="E4088" s="23" t="s">
        <v>75</v>
      </c>
      <c r="F4088" s="23" t="s">
        <v>337</v>
      </c>
      <c r="G4088" s="23" t="s">
        <v>301</v>
      </c>
      <c r="H4088" s="39">
        <f t="shared" si="252"/>
        <v>3998</v>
      </c>
      <c r="I4088" s="23" t="str">
        <f t="shared" si="253"/>
        <v>Jaipur</v>
      </c>
      <c r="J4088" s="23">
        <f>COUNTIFS(pg_transaction_cleaned!$O:$O,A4088,pg_transaction_cleaned!$F:$F,"CAPTURE")</f>
        <v>1</v>
      </c>
      <c r="K4088" s="39">
        <f>SUMIFS(pg_transaction_cleaned!$H:$H,pg_transaction_cleaned!$O:$O,A4088,pg_transaction_cleaned!$F:$F,"CAPTURE")</f>
        <v>3998</v>
      </c>
      <c r="L4088" s="23">
        <f>COUNTIFS(pg_transaction_cleaned!$O:$O,A4088,pg_transaction_cleaned!$F:$F,"REFUND")</f>
        <v>1</v>
      </c>
      <c r="M4088" s="39">
        <f>SUMIFS(pg_transaction_cleaned!$H:$H,pg_transaction_cleaned!$O:$O,A4088,pg_transaction_cleaned!$F:$F,"REFUND")</f>
        <v>3998</v>
      </c>
      <c r="N4088" s="23" t="str">
        <f t="shared" si="254"/>
        <v>OK</v>
      </c>
      <c r="O4088" s="24">
        <f t="shared" si="255"/>
        <v>0</v>
      </c>
    </row>
    <row r="4089" spans="1:15" ht="15" customHeight="1" x14ac:dyDescent="0.3">
      <c r="A4089" s="23" t="s">
        <v>8658</v>
      </c>
      <c r="B4089" s="38">
        <v>46275</v>
      </c>
      <c r="C4089" s="23" t="s">
        <v>8659</v>
      </c>
      <c r="D4089" s="23" t="s">
        <v>92</v>
      </c>
      <c r="E4089" s="23" t="s">
        <v>81</v>
      </c>
      <c r="F4089" s="23" t="s">
        <v>349</v>
      </c>
      <c r="G4089" s="23" t="s">
        <v>250</v>
      </c>
      <c r="H4089" s="39">
        <f t="shared" si="252"/>
        <v>1798</v>
      </c>
      <c r="I4089" s="23" t="str">
        <f t="shared" si="253"/>
        <v>Hyderabad</v>
      </c>
      <c r="J4089" s="23">
        <f>COUNTIFS(pg_transaction_cleaned!$O:$O,A4089,pg_transaction_cleaned!$F:$F,"CAPTURE")</f>
        <v>1</v>
      </c>
      <c r="K4089" s="39">
        <f>SUMIFS(pg_transaction_cleaned!$H:$H,pg_transaction_cleaned!$O:$O,A4089,pg_transaction_cleaned!$F:$F,"CAPTURE")</f>
        <v>1798</v>
      </c>
      <c r="L4089" s="23">
        <f>COUNTIFS(pg_transaction_cleaned!$O:$O,A4089,pg_transaction_cleaned!$F:$F,"REFUND")</f>
        <v>0</v>
      </c>
      <c r="M4089" s="39">
        <f>SUMIFS(pg_transaction_cleaned!$H:$H,pg_transaction_cleaned!$O:$O,A4089,pg_transaction_cleaned!$F:$F,"REFUND")</f>
        <v>0</v>
      </c>
      <c r="N4089" s="23" t="str">
        <f t="shared" si="254"/>
        <v>OK</v>
      </c>
      <c r="O4089" s="24">
        <f t="shared" si="255"/>
        <v>0</v>
      </c>
    </row>
    <row r="4090" spans="1:15" ht="15" customHeight="1" x14ac:dyDescent="0.3">
      <c r="A4090" s="23" t="s">
        <v>8660</v>
      </c>
      <c r="B4090" s="38">
        <v>46288</v>
      </c>
      <c r="C4090" s="23" t="s">
        <v>8661</v>
      </c>
      <c r="D4090" s="23" t="s">
        <v>86</v>
      </c>
      <c r="E4090" s="23" t="s">
        <v>75</v>
      </c>
      <c r="F4090" s="23" t="s">
        <v>310</v>
      </c>
      <c r="G4090" s="23" t="s">
        <v>250</v>
      </c>
      <c r="H4090" s="39">
        <f t="shared" si="252"/>
        <v>7999</v>
      </c>
      <c r="I4090" s="23" t="str">
        <f t="shared" si="253"/>
        <v>Delhi</v>
      </c>
      <c r="J4090" s="23">
        <f>COUNTIFS(pg_transaction_cleaned!$O:$O,A4090,pg_transaction_cleaned!$F:$F,"CAPTURE")</f>
        <v>1</v>
      </c>
      <c r="K4090" s="39">
        <f>SUMIFS(pg_transaction_cleaned!$H:$H,pg_transaction_cleaned!$O:$O,A4090,pg_transaction_cleaned!$F:$F,"CAPTURE")</f>
        <v>7999</v>
      </c>
      <c r="L4090" s="23">
        <f>COUNTIFS(pg_transaction_cleaned!$O:$O,A4090,pg_transaction_cleaned!$F:$F,"REFUND")</f>
        <v>0</v>
      </c>
      <c r="M4090" s="39">
        <f>SUMIFS(pg_transaction_cleaned!$H:$H,pg_transaction_cleaned!$O:$O,A4090,pg_transaction_cleaned!$F:$F,"REFUND")</f>
        <v>0</v>
      </c>
      <c r="N4090" s="23" t="str">
        <f t="shared" si="254"/>
        <v>OK</v>
      </c>
      <c r="O4090" s="24">
        <f t="shared" si="255"/>
        <v>0</v>
      </c>
    </row>
    <row r="4091" spans="1:15" ht="15" customHeight="1" x14ac:dyDescent="0.3">
      <c r="A4091" s="23" t="s">
        <v>8662</v>
      </c>
      <c r="B4091" s="38">
        <v>46276</v>
      </c>
      <c r="C4091" s="23" t="s">
        <v>8663</v>
      </c>
      <c r="D4091" s="23" t="s">
        <v>94</v>
      </c>
      <c r="E4091" s="23" t="s">
        <v>77</v>
      </c>
      <c r="F4091" s="23" t="s">
        <v>268</v>
      </c>
      <c r="G4091" s="23" t="s">
        <v>250</v>
      </c>
      <c r="H4091" s="39">
        <f t="shared" si="252"/>
        <v>1299</v>
      </c>
      <c r="I4091" s="23" t="str">
        <f t="shared" si="253"/>
        <v>Chennai</v>
      </c>
      <c r="J4091" s="23">
        <f>COUNTIFS(pg_transaction_cleaned!$O:$O,A4091,pg_transaction_cleaned!$F:$F,"CAPTURE")</f>
        <v>1</v>
      </c>
      <c r="K4091" s="39">
        <f>SUMIFS(pg_transaction_cleaned!$H:$H,pg_transaction_cleaned!$O:$O,A4091,pg_transaction_cleaned!$F:$F,"CAPTURE")</f>
        <v>1299</v>
      </c>
      <c r="L4091" s="23">
        <f>COUNTIFS(pg_transaction_cleaned!$O:$O,A4091,pg_transaction_cleaned!$F:$F,"REFUND")</f>
        <v>0</v>
      </c>
      <c r="M4091" s="39">
        <f>SUMIFS(pg_transaction_cleaned!$H:$H,pg_transaction_cleaned!$O:$O,A4091,pg_transaction_cleaned!$F:$F,"REFUND")</f>
        <v>0</v>
      </c>
      <c r="N4091" s="23" t="str">
        <f t="shared" si="254"/>
        <v>OK</v>
      </c>
      <c r="O4091" s="24">
        <f t="shared" si="255"/>
        <v>0</v>
      </c>
    </row>
    <row r="4092" spans="1:15" ht="15" customHeight="1" x14ac:dyDescent="0.3">
      <c r="A4092" s="23" t="s">
        <v>8664</v>
      </c>
      <c r="B4092" s="38">
        <v>46278</v>
      </c>
      <c r="C4092" s="23" t="s">
        <v>8665</v>
      </c>
      <c r="D4092" s="23" t="s">
        <v>93</v>
      </c>
      <c r="E4092" s="23" t="s">
        <v>81</v>
      </c>
      <c r="F4092" s="23" t="s">
        <v>622</v>
      </c>
      <c r="G4092" s="23" t="s">
        <v>250</v>
      </c>
      <c r="H4092" s="39">
        <f t="shared" si="252"/>
        <v>8998</v>
      </c>
      <c r="I4092" s="23" t="str">
        <f t="shared" si="253"/>
        <v>Kolkata</v>
      </c>
      <c r="J4092" s="23">
        <f>COUNTIFS(pg_transaction_cleaned!$O:$O,A4092,pg_transaction_cleaned!$F:$F,"CAPTURE")</f>
        <v>1</v>
      </c>
      <c r="K4092" s="39">
        <f>SUMIFS(pg_transaction_cleaned!$H:$H,pg_transaction_cleaned!$O:$O,A4092,pg_transaction_cleaned!$F:$F,"CAPTURE")</f>
        <v>8998</v>
      </c>
      <c r="L4092" s="23">
        <f>COUNTIFS(pg_transaction_cleaned!$O:$O,A4092,pg_transaction_cleaned!$F:$F,"REFUND")</f>
        <v>0</v>
      </c>
      <c r="M4092" s="39">
        <f>SUMIFS(pg_transaction_cleaned!$H:$H,pg_transaction_cleaned!$O:$O,A4092,pg_transaction_cleaned!$F:$F,"REFUND")</f>
        <v>0</v>
      </c>
      <c r="N4092" s="23" t="str">
        <f t="shared" si="254"/>
        <v>OK</v>
      </c>
      <c r="O4092" s="24">
        <f t="shared" si="255"/>
        <v>0</v>
      </c>
    </row>
    <row r="4093" spans="1:15" ht="15" customHeight="1" x14ac:dyDescent="0.3">
      <c r="A4093" s="23" t="s">
        <v>8666</v>
      </c>
      <c r="B4093" s="38">
        <v>46290</v>
      </c>
      <c r="C4093" s="23" t="s">
        <v>8667</v>
      </c>
      <c r="D4093" s="23" t="s">
        <v>86</v>
      </c>
      <c r="E4093" s="23" t="s">
        <v>75</v>
      </c>
      <c r="F4093" s="23" t="s">
        <v>297</v>
      </c>
      <c r="G4093" s="23" t="s">
        <v>250</v>
      </c>
      <c r="H4093" s="39">
        <f t="shared" si="252"/>
        <v>4999</v>
      </c>
      <c r="I4093" s="23" t="str">
        <f t="shared" si="253"/>
        <v>Delhi</v>
      </c>
      <c r="J4093" s="23">
        <f>COUNTIFS(pg_transaction_cleaned!$O:$O,A4093,pg_transaction_cleaned!$F:$F,"CAPTURE")</f>
        <v>1</v>
      </c>
      <c r="K4093" s="39">
        <f>SUMIFS(pg_transaction_cleaned!$H:$H,pg_transaction_cleaned!$O:$O,A4093,pg_transaction_cleaned!$F:$F,"CAPTURE")</f>
        <v>4999</v>
      </c>
      <c r="L4093" s="23">
        <f>COUNTIFS(pg_transaction_cleaned!$O:$O,A4093,pg_transaction_cleaned!$F:$F,"REFUND")</f>
        <v>0</v>
      </c>
      <c r="M4093" s="39">
        <f>SUMIFS(pg_transaction_cleaned!$H:$H,pg_transaction_cleaned!$O:$O,A4093,pg_transaction_cleaned!$F:$F,"REFUND")</f>
        <v>0</v>
      </c>
      <c r="N4093" s="23" t="str">
        <f t="shared" si="254"/>
        <v>OK</v>
      </c>
      <c r="O4093" s="24">
        <f t="shared" si="255"/>
        <v>0</v>
      </c>
    </row>
    <row r="4094" spans="1:15" ht="15" customHeight="1" x14ac:dyDescent="0.3">
      <c r="A4094" s="23" t="s">
        <v>8668</v>
      </c>
      <c r="B4094" s="38">
        <v>46285</v>
      </c>
      <c r="C4094" s="23" t="s">
        <v>8669</v>
      </c>
      <c r="D4094" s="23" t="s">
        <v>88</v>
      </c>
      <c r="E4094" s="23" t="s">
        <v>75</v>
      </c>
      <c r="F4094" s="23" t="s">
        <v>291</v>
      </c>
      <c r="G4094" s="23" t="s">
        <v>250</v>
      </c>
      <c r="H4094" s="39">
        <f t="shared" si="252"/>
        <v>3499</v>
      </c>
      <c r="I4094" s="23" t="str">
        <f t="shared" si="253"/>
        <v>Lucknow</v>
      </c>
      <c r="J4094" s="23">
        <f>COUNTIFS(pg_transaction_cleaned!$O:$O,A4094,pg_transaction_cleaned!$F:$F,"CAPTURE")</f>
        <v>1</v>
      </c>
      <c r="K4094" s="39">
        <f>SUMIFS(pg_transaction_cleaned!$H:$H,pg_transaction_cleaned!$O:$O,A4094,pg_transaction_cleaned!$F:$F,"CAPTURE")</f>
        <v>3499</v>
      </c>
      <c r="L4094" s="23">
        <f>COUNTIFS(pg_transaction_cleaned!$O:$O,A4094,pg_transaction_cleaned!$F:$F,"REFUND")</f>
        <v>0</v>
      </c>
      <c r="M4094" s="39">
        <f>SUMIFS(pg_transaction_cleaned!$H:$H,pg_transaction_cleaned!$O:$O,A4094,pg_transaction_cleaned!$F:$F,"REFUND")</f>
        <v>0</v>
      </c>
      <c r="N4094" s="23" t="str">
        <f t="shared" si="254"/>
        <v>OK</v>
      </c>
      <c r="O4094" s="24">
        <f t="shared" si="255"/>
        <v>0</v>
      </c>
    </row>
    <row r="4095" spans="1:15" ht="15" customHeight="1" x14ac:dyDescent="0.3">
      <c r="A4095" s="23" t="s">
        <v>8670</v>
      </c>
      <c r="B4095" s="38">
        <v>46290</v>
      </c>
      <c r="C4095" s="23" t="s">
        <v>8671</v>
      </c>
      <c r="D4095" s="23"/>
      <c r="E4095" s="23" t="s">
        <v>75</v>
      </c>
      <c r="F4095" s="23" t="s">
        <v>475</v>
      </c>
      <c r="G4095" s="23" t="s">
        <v>250</v>
      </c>
      <c r="H4095" s="39">
        <f t="shared" si="252"/>
        <v>799</v>
      </c>
      <c r="I4095" s="23" t="str">
        <f t="shared" si="253"/>
        <v>Unknown</v>
      </c>
      <c r="J4095" s="23">
        <f>COUNTIFS(pg_transaction_cleaned!$O:$O,A4095,pg_transaction_cleaned!$F:$F,"CAPTURE")</f>
        <v>1</v>
      </c>
      <c r="K4095" s="39">
        <f>SUMIFS(pg_transaction_cleaned!$H:$H,pg_transaction_cleaned!$O:$O,A4095,pg_transaction_cleaned!$F:$F,"CAPTURE")</f>
        <v>799</v>
      </c>
      <c r="L4095" s="23">
        <f>COUNTIFS(pg_transaction_cleaned!$O:$O,A4095,pg_transaction_cleaned!$F:$F,"REFUND")</f>
        <v>0</v>
      </c>
      <c r="M4095" s="39">
        <f>SUMIFS(pg_transaction_cleaned!$H:$H,pg_transaction_cleaned!$O:$O,A4095,pg_transaction_cleaned!$F:$F,"REFUND")</f>
        <v>0</v>
      </c>
      <c r="N4095" s="23" t="str">
        <f t="shared" si="254"/>
        <v>OK</v>
      </c>
      <c r="O4095" s="24">
        <f t="shared" si="255"/>
        <v>0</v>
      </c>
    </row>
    <row r="4096" spans="1:15" ht="15" customHeight="1" x14ac:dyDescent="0.3">
      <c r="A4096" s="23" t="s">
        <v>8672</v>
      </c>
      <c r="B4096" s="38">
        <v>46270</v>
      </c>
      <c r="C4096" s="23" t="s">
        <v>4229</v>
      </c>
      <c r="D4096" s="23" t="s">
        <v>87</v>
      </c>
      <c r="E4096" s="23" t="s">
        <v>79</v>
      </c>
      <c r="F4096" s="23" t="s">
        <v>1769</v>
      </c>
      <c r="G4096" s="23" t="s">
        <v>250</v>
      </c>
      <c r="H4096" s="39">
        <f t="shared" si="252"/>
        <v>1148</v>
      </c>
      <c r="I4096" s="23" t="str">
        <f t="shared" si="253"/>
        <v>Mumbai</v>
      </c>
      <c r="J4096" s="23">
        <f>COUNTIFS(pg_transaction_cleaned!$O:$O,A4096,pg_transaction_cleaned!$F:$F,"CAPTURE")</f>
        <v>1</v>
      </c>
      <c r="K4096" s="39">
        <f>SUMIFS(pg_transaction_cleaned!$H:$H,pg_transaction_cleaned!$O:$O,A4096,pg_transaction_cleaned!$F:$F,"CAPTURE")</f>
        <v>1148</v>
      </c>
      <c r="L4096" s="23">
        <f>COUNTIFS(pg_transaction_cleaned!$O:$O,A4096,pg_transaction_cleaned!$F:$F,"REFUND")</f>
        <v>0</v>
      </c>
      <c r="M4096" s="39">
        <f>SUMIFS(pg_transaction_cleaned!$H:$H,pg_transaction_cleaned!$O:$O,A4096,pg_transaction_cleaned!$F:$F,"REFUND")</f>
        <v>0</v>
      </c>
      <c r="N4096" s="23" t="str">
        <f t="shared" si="254"/>
        <v>OK</v>
      </c>
      <c r="O4096" s="24">
        <f t="shared" si="255"/>
        <v>0</v>
      </c>
    </row>
    <row r="4097" spans="1:15" ht="15" customHeight="1" x14ac:dyDescent="0.3">
      <c r="A4097" s="23" t="s">
        <v>8673</v>
      </c>
      <c r="B4097" s="38">
        <v>46271</v>
      </c>
      <c r="C4097" s="23" t="s">
        <v>6804</v>
      </c>
      <c r="D4097" s="23" t="s">
        <v>89</v>
      </c>
      <c r="E4097" s="23" t="s">
        <v>77</v>
      </c>
      <c r="F4097" s="23" t="s">
        <v>297</v>
      </c>
      <c r="G4097" s="23" t="s">
        <v>250</v>
      </c>
      <c r="H4097" s="39">
        <f t="shared" si="252"/>
        <v>4999</v>
      </c>
      <c r="I4097" s="23" t="str">
        <f t="shared" si="253"/>
        <v>Jaipur</v>
      </c>
      <c r="J4097" s="23">
        <f>COUNTIFS(pg_transaction_cleaned!$O:$O,A4097,pg_transaction_cleaned!$F:$F,"CAPTURE")</f>
        <v>1</v>
      </c>
      <c r="K4097" s="39">
        <f>SUMIFS(pg_transaction_cleaned!$H:$H,pg_transaction_cleaned!$O:$O,A4097,pg_transaction_cleaned!$F:$F,"CAPTURE")</f>
        <v>4999</v>
      </c>
      <c r="L4097" s="23">
        <f>COUNTIFS(pg_transaction_cleaned!$O:$O,A4097,pg_transaction_cleaned!$F:$F,"REFUND")</f>
        <v>0</v>
      </c>
      <c r="M4097" s="39">
        <f>SUMIFS(pg_transaction_cleaned!$H:$H,pg_transaction_cleaned!$O:$O,A4097,pg_transaction_cleaned!$F:$F,"REFUND")</f>
        <v>0</v>
      </c>
      <c r="N4097" s="23" t="str">
        <f t="shared" si="254"/>
        <v>OK</v>
      </c>
      <c r="O4097" s="24">
        <f t="shared" si="255"/>
        <v>0</v>
      </c>
    </row>
    <row r="4098" spans="1:15" ht="15" customHeight="1" x14ac:dyDescent="0.3">
      <c r="A4098" s="23" t="s">
        <v>8674</v>
      </c>
      <c r="B4098" s="38">
        <v>46293</v>
      </c>
      <c r="C4098" s="23" t="s">
        <v>8675</v>
      </c>
      <c r="D4098" s="23" t="s">
        <v>90</v>
      </c>
      <c r="E4098" s="23" t="s">
        <v>75</v>
      </c>
      <c r="F4098" s="23" t="s">
        <v>819</v>
      </c>
      <c r="G4098" s="23" t="s">
        <v>250</v>
      </c>
      <c r="H4098" s="39">
        <f t="shared" ref="H4098:H4161" si="256">VALUE(SUBSTITUTE(F4098,",",""))</f>
        <v>14497</v>
      </c>
      <c r="I4098" s="23" t="str">
        <f t="shared" ref="I4098:I4161" si="257">IF(TRIM(D4098)="","Unknown",TRIM(D4098))</f>
        <v>Ahmedabad</v>
      </c>
      <c r="J4098" s="23">
        <f>COUNTIFS(pg_transaction_cleaned!$O:$O,A4098,pg_transaction_cleaned!$F:$F,"CAPTURE")</f>
        <v>1</v>
      </c>
      <c r="K4098" s="39">
        <f>SUMIFS(pg_transaction_cleaned!$H:$H,pg_transaction_cleaned!$O:$O,A4098,pg_transaction_cleaned!$F:$F,"CAPTURE")</f>
        <v>14497</v>
      </c>
      <c r="L4098" s="23">
        <f>COUNTIFS(pg_transaction_cleaned!$O:$O,A4098,pg_transaction_cleaned!$F:$F,"REFUND")</f>
        <v>0</v>
      </c>
      <c r="M4098" s="39">
        <f>SUMIFS(pg_transaction_cleaned!$H:$H,pg_transaction_cleaned!$O:$O,A4098,pg_transaction_cleaned!$F:$F,"REFUND")</f>
        <v>0</v>
      </c>
      <c r="N4098" s="23" t="str">
        <f t="shared" ref="N4098:N4161" si="258">IF(AND(G4098="Paid",J4098=0),"Paid, no payment",IF(AND(OR(G4098="Failed",G4098="Cancelled"),J4098&gt;0),"Payment on failed/cancelled",IF(J4098&gt;1,"Duplicate charge",IF(AND(J4098=1,ROUND(K4098-H4098,2)&lt;&gt;0),"Amount difference",IF(AND(G4098="Refunded",L4098=0),"Refunded, no refund",IF(AND(G4098&lt;&gt;"Refunded",L4098&gt;0),"Refund, order not Refunded",IF(AND(L4098&gt;0,ROUND(M4098-H4098,2)&lt;&gt;0),"Refund amount differs","OK")))))))</f>
        <v>OK</v>
      </c>
      <c r="O4098" s="24">
        <f t="shared" ref="O4098:O4161" si="259">IF(N4098="OK",0,IF(N4098="Paid, no payment",H4098,IF(N4098="Payment on failed/cancelled",K4098,IF(OR(N4098="Duplicate charge",N4098="Amount difference"),K4098-H4098,IF(N4098="Refunded, no refund",H4098,M4098)))))</f>
        <v>0</v>
      </c>
    </row>
    <row r="4099" spans="1:15" ht="15" customHeight="1" x14ac:dyDescent="0.3">
      <c r="A4099" s="23" t="s">
        <v>8676</v>
      </c>
      <c r="B4099" s="38">
        <v>46289</v>
      </c>
      <c r="C4099" s="23" t="s">
        <v>8677</v>
      </c>
      <c r="D4099" s="23" t="s">
        <v>92</v>
      </c>
      <c r="E4099" s="23" t="s">
        <v>75</v>
      </c>
      <c r="F4099" s="23" t="s">
        <v>8416</v>
      </c>
      <c r="G4099" s="23" t="s">
        <v>250</v>
      </c>
      <c r="H4099" s="39">
        <f t="shared" si="256"/>
        <v>9498</v>
      </c>
      <c r="I4099" s="23" t="str">
        <f t="shared" si="257"/>
        <v>Hyderabad</v>
      </c>
      <c r="J4099" s="23">
        <f>COUNTIFS(pg_transaction_cleaned!$O:$O,A4099,pg_transaction_cleaned!$F:$F,"CAPTURE")</f>
        <v>1</v>
      </c>
      <c r="K4099" s="39">
        <f>SUMIFS(pg_transaction_cleaned!$H:$H,pg_transaction_cleaned!$O:$O,A4099,pg_transaction_cleaned!$F:$F,"CAPTURE")</f>
        <v>9498</v>
      </c>
      <c r="L4099" s="23">
        <f>COUNTIFS(pg_transaction_cleaned!$O:$O,A4099,pg_transaction_cleaned!$F:$F,"REFUND")</f>
        <v>0</v>
      </c>
      <c r="M4099" s="39">
        <f>SUMIFS(pg_transaction_cleaned!$H:$H,pg_transaction_cleaned!$O:$O,A4099,pg_transaction_cleaned!$F:$F,"REFUND")</f>
        <v>0</v>
      </c>
      <c r="N4099" s="23" t="str">
        <f t="shared" si="258"/>
        <v>OK</v>
      </c>
      <c r="O4099" s="24">
        <f t="shared" si="259"/>
        <v>0</v>
      </c>
    </row>
    <row r="4100" spans="1:15" ht="15" customHeight="1" x14ac:dyDescent="0.3">
      <c r="A4100" s="23" t="s">
        <v>8678</v>
      </c>
      <c r="B4100" s="38">
        <v>46288</v>
      </c>
      <c r="C4100" s="23" t="s">
        <v>8679</v>
      </c>
      <c r="D4100" s="23" t="s">
        <v>86</v>
      </c>
      <c r="E4100" s="23" t="s">
        <v>79</v>
      </c>
      <c r="F4100" s="23" t="s">
        <v>1299</v>
      </c>
      <c r="G4100" s="23" t="s">
        <v>250</v>
      </c>
      <c r="H4100" s="39">
        <f t="shared" si="256"/>
        <v>2097</v>
      </c>
      <c r="I4100" s="23" t="str">
        <f t="shared" si="257"/>
        <v>Delhi</v>
      </c>
      <c r="J4100" s="23">
        <f>COUNTIFS(pg_transaction_cleaned!$O:$O,A4100,pg_transaction_cleaned!$F:$F,"CAPTURE")</f>
        <v>1</v>
      </c>
      <c r="K4100" s="39">
        <f>SUMIFS(pg_transaction_cleaned!$H:$H,pg_transaction_cleaned!$O:$O,A4100,pg_transaction_cleaned!$F:$F,"CAPTURE")</f>
        <v>2097</v>
      </c>
      <c r="L4100" s="23">
        <f>COUNTIFS(pg_transaction_cleaned!$O:$O,A4100,pg_transaction_cleaned!$F:$F,"REFUND")</f>
        <v>0</v>
      </c>
      <c r="M4100" s="39">
        <f>SUMIFS(pg_transaction_cleaned!$H:$H,pg_transaction_cleaned!$O:$O,A4100,pg_transaction_cleaned!$F:$F,"REFUND")</f>
        <v>0</v>
      </c>
      <c r="N4100" s="23" t="str">
        <f t="shared" si="258"/>
        <v>OK</v>
      </c>
      <c r="O4100" s="24">
        <f t="shared" si="259"/>
        <v>0</v>
      </c>
    </row>
    <row r="4101" spans="1:15" ht="15" customHeight="1" x14ac:dyDescent="0.3">
      <c r="A4101" s="23" t="s">
        <v>8680</v>
      </c>
      <c r="B4101" s="38">
        <v>46268</v>
      </c>
      <c r="C4101" s="23" t="s">
        <v>8681</v>
      </c>
      <c r="D4101" s="23" t="s">
        <v>95</v>
      </c>
      <c r="E4101" s="23" t="s">
        <v>81</v>
      </c>
      <c r="F4101" s="23" t="s">
        <v>315</v>
      </c>
      <c r="G4101" s="23" t="s">
        <v>250</v>
      </c>
      <c r="H4101" s="39">
        <f t="shared" si="256"/>
        <v>1499</v>
      </c>
      <c r="I4101" s="23" t="str">
        <f t="shared" si="257"/>
        <v>Bengaluru</v>
      </c>
      <c r="J4101" s="23">
        <f>COUNTIFS(pg_transaction_cleaned!$O:$O,A4101,pg_transaction_cleaned!$F:$F,"CAPTURE")</f>
        <v>1</v>
      </c>
      <c r="K4101" s="39">
        <f>SUMIFS(pg_transaction_cleaned!$H:$H,pg_transaction_cleaned!$O:$O,A4101,pg_transaction_cleaned!$F:$F,"CAPTURE")</f>
        <v>1499</v>
      </c>
      <c r="L4101" s="23">
        <f>COUNTIFS(pg_transaction_cleaned!$O:$O,A4101,pg_transaction_cleaned!$F:$F,"REFUND")</f>
        <v>0</v>
      </c>
      <c r="M4101" s="39">
        <f>SUMIFS(pg_transaction_cleaned!$H:$H,pg_transaction_cleaned!$O:$O,A4101,pg_transaction_cleaned!$F:$F,"REFUND")</f>
        <v>0</v>
      </c>
      <c r="N4101" s="23" t="str">
        <f t="shared" si="258"/>
        <v>OK</v>
      </c>
      <c r="O4101" s="24">
        <f t="shared" si="259"/>
        <v>0</v>
      </c>
    </row>
    <row r="4102" spans="1:15" ht="15" customHeight="1" x14ac:dyDescent="0.3">
      <c r="A4102" s="23" t="s">
        <v>8682</v>
      </c>
      <c r="B4102" s="38">
        <v>46272</v>
      </c>
      <c r="C4102" s="23" t="s">
        <v>8683</v>
      </c>
      <c r="D4102" s="23" t="s">
        <v>92</v>
      </c>
      <c r="E4102" s="23" t="s">
        <v>79</v>
      </c>
      <c r="F4102" s="23" t="s">
        <v>514</v>
      </c>
      <c r="G4102" s="23" t="s">
        <v>365</v>
      </c>
      <c r="H4102" s="39">
        <f t="shared" si="256"/>
        <v>6498</v>
      </c>
      <c r="I4102" s="23" t="str">
        <f t="shared" si="257"/>
        <v>Hyderabad</v>
      </c>
      <c r="J4102" s="23">
        <f>COUNTIFS(pg_transaction_cleaned!$O:$O,A4102,pg_transaction_cleaned!$F:$F,"CAPTURE")</f>
        <v>0</v>
      </c>
      <c r="K4102" s="39">
        <f>SUMIFS(pg_transaction_cleaned!$H:$H,pg_transaction_cleaned!$O:$O,A4102,pg_transaction_cleaned!$F:$F,"CAPTURE")</f>
        <v>0</v>
      </c>
      <c r="L4102" s="23">
        <f>COUNTIFS(pg_transaction_cleaned!$O:$O,A4102,pg_transaction_cleaned!$F:$F,"REFUND")</f>
        <v>0</v>
      </c>
      <c r="M4102" s="39">
        <f>SUMIFS(pg_transaction_cleaned!$H:$H,pg_transaction_cleaned!$O:$O,A4102,pg_transaction_cleaned!$F:$F,"REFUND")</f>
        <v>0</v>
      </c>
      <c r="N4102" s="23" t="str">
        <f t="shared" si="258"/>
        <v>OK</v>
      </c>
      <c r="O4102" s="24">
        <f t="shared" si="259"/>
        <v>0</v>
      </c>
    </row>
    <row r="4103" spans="1:15" ht="15" customHeight="1" x14ac:dyDescent="0.3">
      <c r="A4103" s="23" t="s">
        <v>8684</v>
      </c>
      <c r="B4103" s="38">
        <v>46276</v>
      </c>
      <c r="C4103" s="23" t="s">
        <v>8685</v>
      </c>
      <c r="D4103" s="23" t="s">
        <v>87</v>
      </c>
      <c r="E4103" s="23" t="s">
        <v>75</v>
      </c>
      <c r="F4103" s="23" t="s">
        <v>291</v>
      </c>
      <c r="G4103" s="23" t="s">
        <v>365</v>
      </c>
      <c r="H4103" s="39">
        <f t="shared" si="256"/>
        <v>3499</v>
      </c>
      <c r="I4103" s="23" t="str">
        <f t="shared" si="257"/>
        <v>Mumbai</v>
      </c>
      <c r="J4103" s="23">
        <f>COUNTIFS(pg_transaction_cleaned!$O:$O,A4103,pg_transaction_cleaned!$F:$F,"CAPTURE")</f>
        <v>0</v>
      </c>
      <c r="K4103" s="39">
        <f>SUMIFS(pg_transaction_cleaned!$H:$H,pg_transaction_cleaned!$O:$O,A4103,pg_transaction_cleaned!$F:$F,"CAPTURE")</f>
        <v>0</v>
      </c>
      <c r="L4103" s="23">
        <f>COUNTIFS(pg_transaction_cleaned!$O:$O,A4103,pg_transaction_cleaned!$F:$F,"REFUND")</f>
        <v>0</v>
      </c>
      <c r="M4103" s="39">
        <f>SUMIFS(pg_transaction_cleaned!$H:$H,pg_transaction_cleaned!$O:$O,A4103,pg_transaction_cleaned!$F:$F,"REFUND")</f>
        <v>0</v>
      </c>
      <c r="N4103" s="23" t="str">
        <f t="shared" si="258"/>
        <v>OK</v>
      </c>
      <c r="O4103" s="24">
        <f t="shared" si="259"/>
        <v>0</v>
      </c>
    </row>
    <row r="4104" spans="1:15" ht="15" customHeight="1" x14ac:dyDescent="0.3">
      <c r="A4104" s="23" t="s">
        <v>8686</v>
      </c>
      <c r="B4104" s="38">
        <v>46278</v>
      </c>
      <c r="C4104" s="23" t="s">
        <v>8687</v>
      </c>
      <c r="D4104" s="23" t="s">
        <v>93</v>
      </c>
      <c r="E4104" s="23" t="s">
        <v>79</v>
      </c>
      <c r="F4104" s="23" t="s">
        <v>268</v>
      </c>
      <c r="G4104" s="23" t="s">
        <v>250</v>
      </c>
      <c r="H4104" s="39">
        <f t="shared" si="256"/>
        <v>1299</v>
      </c>
      <c r="I4104" s="23" t="str">
        <f t="shared" si="257"/>
        <v>Kolkata</v>
      </c>
      <c r="J4104" s="23">
        <f>COUNTIFS(pg_transaction_cleaned!$O:$O,A4104,pg_transaction_cleaned!$F:$F,"CAPTURE")</f>
        <v>1</v>
      </c>
      <c r="K4104" s="39">
        <f>SUMIFS(pg_transaction_cleaned!$H:$H,pg_transaction_cleaned!$O:$O,A4104,pg_transaction_cleaned!$F:$F,"CAPTURE")</f>
        <v>1299</v>
      </c>
      <c r="L4104" s="23">
        <f>COUNTIFS(pg_transaction_cleaned!$O:$O,A4104,pg_transaction_cleaned!$F:$F,"REFUND")</f>
        <v>0</v>
      </c>
      <c r="M4104" s="39">
        <f>SUMIFS(pg_transaction_cleaned!$H:$H,pg_transaction_cleaned!$O:$O,A4104,pg_transaction_cleaned!$F:$F,"REFUND")</f>
        <v>0</v>
      </c>
      <c r="N4104" s="23" t="str">
        <f t="shared" si="258"/>
        <v>OK</v>
      </c>
      <c r="O4104" s="24">
        <f t="shared" si="259"/>
        <v>0</v>
      </c>
    </row>
    <row r="4105" spans="1:15" ht="15" customHeight="1" x14ac:dyDescent="0.3">
      <c r="A4105" s="23" t="s">
        <v>8688</v>
      </c>
      <c r="B4105" s="38">
        <v>46272</v>
      </c>
      <c r="C4105" s="23" t="s">
        <v>8689</v>
      </c>
      <c r="D4105" s="23" t="s">
        <v>87</v>
      </c>
      <c r="E4105" s="23" t="s">
        <v>75</v>
      </c>
      <c r="F4105" s="23" t="s">
        <v>274</v>
      </c>
      <c r="G4105" s="23" t="s">
        <v>250</v>
      </c>
      <c r="H4105" s="39">
        <f t="shared" si="256"/>
        <v>349</v>
      </c>
      <c r="I4105" s="23" t="str">
        <f t="shared" si="257"/>
        <v>Mumbai</v>
      </c>
      <c r="J4105" s="23">
        <f>COUNTIFS(pg_transaction_cleaned!$O:$O,A4105,pg_transaction_cleaned!$F:$F,"CAPTURE")</f>
        <v>1</v>
      </c>
      <c r="K4105" s="39">
        <f>SUMIFS(pg_transaction_cleaned!$H:$H,pg_transaction_cleaned!$O:$O,A4105,pg_transaction_cleaned!$F:$F,"CAPTURE")</f>
        <v>349</v>
      </c>
      <c r="L4105" s="23">
        <f>COUNTIFS(pg_transaction_cleaned!$O:$O,A4105,pg_transaction_cleaned!$F:$F,"REFUND")</f>
        <v>0</v>
      </c>
      <c r="M4105" s="39">
        <f>SUMIFS(pg_transaction_cleaned!$H:$H,pg_transaction_cleaned!$O:$O,A4105,pg_transaction_cleaned!$F:$F,"REFUND")</f>
        <v>0</v>
      </c>
      <c r="N4105" s="23" t="str">
        <f t="shared" si="258"/>
        <v>OK</v>
      </c>
      <c r="O4105" s="24">
        <f t="shared" si="259"/>
        <v>0</v>
      </c>
    </row>
    <row r="4106" spans="1:15" ht="15" customHeight="1" x14ac:dyDescent="0.3">
      <c r="A4106" s="23" t="s">
        <v>8690</v>
      </c>
      <c r="B4106" s="38">
        <v>46292</v>
      </c>
      <c r="C4106" s="23" t="s">
        <v>8691</v>
      </c>
      <c r="D4106" s="23" t="s">
        <v>86</v>
      </c>
      <c r="E4106" s="23" t="s">
        <v>75</v>
      </c>
      <c r="F4106" s="23" t="s">
        <v>291</v>
      </c>
      <c r="G4106" s="23" t="s">
        <v>250</v>
      </c>
      <c r="H4106" s="39">
        <f t="shared" si="256"/>
        <v>3499</v>
      </c>
      <c r="I4106" s="23" t="str">
        <f t="shared" si="257"/>
        <v>Delhi</v>
      </c>
      <c r="J4106" s="23">
        <f>COUNTIFS(pg_transaction_cleaned!$O:$O,A4106,pg_transaction_cleaned!$F:$F,"CAPTURE")</f>
        <v>1</v>
      </c>
      <c r="K4106" s="39">
        <f>SUMIFS(pg_transaction_cleaned!$H:$H,pg_transaction_cleaned!$O:$O,A4106,pg_transaction_cleaned!$F:$F,"CAPTURE")</f>
        <v>3499</v>
      </c>
      <c r="L4106" s="23">
        <f>COUNTIFS(pg_transaction_cleaned!$O:$O,A4106,pg_transaction_cleaned!$F:$F,"REFUND")</f>
        <v>0</v>
      </c>
      <c r="M4106" s="39">
        <f>SUMIFS(pg_transaction_cleaned!$H:$H,pg_transaction_cleaned!$O:$O,A4106,pg_transaction_cleaned!$F:$F,"REFUND")</f>
        <v>0</v>
      </c>
      <c r="N4106" s="23" t="str">
        <f t="shared" si="258"/>
        <v>OK</v>
      </c>
      <c r="O4106" s="24">
        <f t="shared" si="259"/>
        <v>0</v>
      </c>
    </row>
    <row r="4107" spans="1:15" ht="15" customHeight="1" x14ac:dyDescent="0.3">
      <c r="A4107" s="23" t="s">
        <v>8692</v>
      </c>
      <c r="B4107" s="38">
        <v>46278</v>
      </c>
      <c r="C4107" s="23" t="s">
        <v>8693</v>
      </c>
      <c r="D4107" s="23" t="s">
        <v>95</v>
      </c>
      <c r="E4107" s="23" t="s">
        <v>75</v>
      </c>
      <c r="F4107" s="23" t="s">
        <v>297</v>
      </c>
      <c r="G4107" s="23" t="s">
        <v>301</v>
      </c>
      <c r="H4107" s="39">
        <f t="shared" si="256"/>
        <v>4999</v>
      </c>
      <c r="I4107" s="23" t="str">
        <f t="shared" si="257"/>
        <v>Bengaluru</v>
      </c>
      <c r="J4107" s="23">
        <f>COUNTIFS(pg_transaction_cleaned!$O:$O,A4107,pg_transaction_cleaned!$F:$F,"CAPTURE")</f>
        <v>1</v>
      </c>
      <c r="K4107" s="39">
        <f>SUMIFS(pg_transaction_cleaned!$H:$H,pg_transaction_cleaned!$O:$O,A4107,pg_transaction_cleaned!$F:$F,"CAPTURE")</f>
        <v>4999</v>
      </c>
      <c r="L4107" s="23">
        <f>COUNTIFS(pg_transaction_cleaned!$O:$O,A4107,pg_transaction_cleaned!$F:$F,"REFUND")</f>
        <v>1</v>
      </c>
      <c r="M4107" s="39">
        <f>SUMIFS(pg_transaction_cleaned!$H:$H,pg_transaction_cleaned!$O:$O,A4107,pg_transaction_cleaned!$F:$F,"REFUND")</f>
        <v>4999</v>
      </c>
      <c r="N4107" s="23" t="str">
        <f t="shared" si="258"/>
        <v>OK</v>
      </c>
      <c r="O4107" s="24">
        <f t="shared" si="259"/>
        <v>0</v>
      </c>
    </row>
    <row r="4108" spans="1:15" ht="15" customHeight="1" x14ac:dyDescent="0.3">
      <c r="A4108" s="23" t="s">
        <v>8694</v>
      </c>
      <c r="B4108" s="38">
        <v>46279</v>
      </c>
      <c r="C4108" s="23" t="s">
        <v>8695</v>
      </c>
      <c r="D4108" s="23" t="s">
        <v>86</v>
      </c>
      <c r="E4108" s="23" t="s">
        <v>77</v>
      </c>
      <c r="F4108" s="23" t="s">
        <v>321</v>
      </c>
      <c r="G4108" s="23" t="s">
        <v>250</v>
      </c>
      <c r="H4108" s="39">
        <f t="shared" si="256"/>
        <v>5498</v>
      </c>
      <c r="I4108" s="23" t="str">
        <f t="shared" si="257"/>
        <v>Delhi</v>
      </c>
      <c r="J4108" s="23">
        <f>COUNTIFS(pg_transaction_cleaned!$O:$O,A4108,pg_transaction_cleaned!$F:$F,"CAPTURE")</f>
        <v>1</v>
      </c>
      <c r="K4108" s="39">
        <f>SUMIFS(pg_transaction_cleaned!$H:$H,pg_transaction_cleaned!$O:$O,A4108,pg_transaction_cleaned!$F:$F,"CAPTURE")</f>
        <v>5498</v>
      </c>
      <c r="L4108" s="23">
        <f>COUNTIFS(pg_transaction_cleaned!$O:$O,A4108,pg_transaction_cleaned!$F:$F,"REFUND")</f>
        <v>0</v>
      </c>
      <c r="M4108" s="39">
        <f>SUMIFS(pg_transaction_cleaned!$H:$H,pg_transaction_cleaned!$O:$O,A4108,pg_transaction_cleaned!$F:$F,"REFUND")</f>
        <v>0</v>
      </c>
      <c r="N4108" s="23" t="str">
        <f t="shared" si="258"/>
        <v>OK</v>
      </c>
      <c r="O4108" s="24">
        <f t="shared" si="259"/>
        <v>0</v>
      </c>
    </row>
    <row r="4109" spans="1:15" ht="15" customHeight="1" x14ac:dyDescent="0.3">
      <c r="A4109" s="23" t="s">
        <v>8696</v>
      </c>
      <c r="B4109" s="38">
        <v>46288</v>
      </c>
      <c r="C4109" s="23" t="s">
        <v>8697</v>
      </c>
      <c r="D4109" s="23" t="s">
        <v>95</v>
      </c>
      <c r="E4109" s="23" t="s">
        <v>79</v>
      </c>
      <c r="F4109" s="23" t="s">
        <v>307</v>
      </c>
      <c r="G4109" s="23" t="s">
        <v>250</v>
      </c>
      <c r="H4109" s="39">
        <f t="shared" si="256"/>
        <v>3798</v>
      </c>
      <c r="I4109" s="23" t="str">
        <f t="shared" si="257"/>
        <v>Bengaluru</v>
      </c>
      <c r="J4109" s="23">
        <f>COUNTIFS(pg_transaction_cleaned!$O:$O,A4109,pg_transaction_cleaned!$F:$F,"CAPTURE")</f>
        <v>1</v>
      </c>
      <c r="K4109" s="39">
        <f>SUMIFS(pg_transaction_cleaned!$H:$H,pg_transaction_cleaned!$O:$O,A4109,pg_transaction_cleaned!$F:$F,"CAPTURE")</f>
        <v>3798</v>
      </c>
      <c r="L4109" s="23">
        <f>COUNTIFS(pg_transaction_cleaned!$O:$O,A4109,pg_transaction_cleaned!$F:$F,"REFUND")</f>
        <v>0</v>
      </c>
      <c r="M4109" s="39">
        <f>SUMIFS(pg_transaction_cleaned!$H:$H,pg_transaction_cleaned!$O:$O,A4109,pg_transaction_cleaned!$F:$F,"REFUND")</f>
        <v>0</v>
      </c>
      <c r="N4109" s="23" t="str">
        <f t="shared" si="258"/>
        <v>OK</v>
      </c>
      <c r="O4109" s="24">
        <f t="shared" si="259"/>
        <v>0</v>
      </c>
    </row>
    <row r="4110" spans="1:15" ht="15" customHeight="1" x14ac:dyDescent="0.3">
      <c r="A4110" s="23" t="s">
        <v>8698</v>
      </c>
      <c r="B4110" s="38">
        <v>46278</v>
      </c>
      <c r="C4110" s="23" t="s">
        <v>8699</v>
      </c>
      <c r="D4110" s="23" t="s">
        <v>92</v>
      </c>
      <c r="E4110" s="23" t="s">
        <v>79</v>
      </c>
      <c r="F4110" s="23" t="s">
        <v>310</v>
      </c>
      <c r="G4110" s="23" t="s">
        <v>250</v>
      </c>
      <c r="H4110" s="39">
        <f t="shared" si="256"/>
        <v>7999</v>
      </c>
      <c r="I4110" s="23" t="str">
        <f t="shared" si="257"/>
        <v>Hyderabad</v>
      </c>
      <c r="J4110" s="23">
        <f>COUNTIFS(pg_transaction_cleaned!$O:$O,A4110,pg_transaction_cleaned!$F:$F,"CAPTURE")</f>
        <v>1</v>
      </c>
      <c r="K4110" s="39">
        <f>SUMIFS(pg_transaction_cleaned!$H:$H,pg_transaction_cleaned!$O:$O,A4110,pg_transaction_cleaned!$F:$F,"CAPTURE")</f>
        <v>7999</v>
      </c>
      <c r="L4110" s="23">
        <f>COUNTIFS(pg_transaction_cleaned!$O:$O,A4110,pg_transaction_cleaned!$F:$F,"REFUND")</f>
        <v>0</v>
      </c>
      <c r="M4110" s="39">
        <f>SUMIFS(pg_transaction_cleaned!$H:$H,pg_transaction_cleaned!$O:$O,A4110,pg_transaction_cleaned!$F:$F,"REFUND")</f>
        <v>0</v>
      </c>
      <c r="N4110" s="23" t="str">
        <f t="shared" si="258"/>
        <v>OK</v>
      </c>
      <c r="O4110" s="24">
        <f t="shared" si="259"/>
        <v>0</v>
      </c>
    </row>
    <row r="4111" spans="1:15" ht="15" customHeight="1" x14ac:dyDescent="0.3">
      <c r="A4111" s="23" t="s">
        <v>8700</v>
      </c>
      <c r="B4111" s="38">
        <v>46294</v>
      </c>
      <c r="C4111" s="23" t="s">
        <v>8701</v>
      </c>
      <c r="D4111" s="23" t="s">
        <v>92</v>
      </c>
      <c r="E4111" s="23" t="s">
        <v>77</v>
      </c>
      <c r="F4111" s="23" t="s">
        <v>483</v>
      </c>
      <c r="G4111" s="23" t="s">
        <v>250</v>
      </c>
      <c r="H4111" s="39">
        <f t="shared" si="256"/>
        <v>2998</v>
      </c>
      <c r="I4111" s="23" t="str">
        <f t="shared" si="257"/>
        <v>Hyderabad</v>
      </c>
      <c r="J4111" s="23">
        <f>COUNTIFS(pg_transaction_cleaned!$O:$O,A4111,pg_transaction_cleaned!$F:$F,"CAPTURE")</f>
        <v>1</v>
      </c>
      <c r="K4111" s="39">
        <f>SUMIFS(pg_transaction_cleaned!$H:$H,pg_transaction_cleaned!$O:$O,A4111,pg_transaction_cleaned!$F:$F,"CAPTURE")</f>
        <v>2998</v>
      </c>
      <c r="L4111" s="23">
        <f>COUNTIFS(pg_transaction_cleaned!$O:$O,A4111,pg_transaction_cleaned!$F:$F,"REFUND")</f>
        <v>0</v>
      </c>
      <c r="M4111" s="39">
        <f>SUMIFS(pg_transaction_cleaned!$H:$H,pg_transaction_cleaned!$O:$O,A4111,pg_transaction_cleaned!$F:$F,"REFUND")</f>
        <v>0</v>
      </c>
      <c r="N4111" s="23" t="str">
        <f t="shared" si="258"/>
        <v>OK</v>
      </c>
      <c r="O4111" s="24">
        <f t="shared" si="259"/>
        <v>0</v>
      </c>
    </row>
    <row r="4112" spans="1:15" ht="15" customHeight="1" x14ac:dyDescent="0.3">
      <c r="A4112" s="23" t="s">
        <v>8702</v>
      </c>
      <c r="B4112" s="38">
        <v>46284</v>
      </c>
      <c r="C4112" s="23" t="s">
        <v>8703</v>
      </c>
      <c r="D4112" s="23" t="s">
        <v>94</v>
      </c>
      <c r="E4112" s="23" t="s">
        <v>75</v>
      </c>
      <c r="F4112" s="23" t="s">
        <v>8704</v>
      </c>
      <c r="G4112" s="23" t="s">
        <v>250</v>
      </c>
      <c r="H4112" s="39">
        <f t="shared" si="256"/>
        <v>8647</v>
      </c>
      <c r="I4112" s="23" t="str">
        <f t="shared" si="257"/>
        <v>Chennai</v>
      </c>
      <c r="J4112" s="23">
        <f>COUNTIFS(pg_transaction_cleaned!$O:$O,A4112,pg_transaction_cleaned!$F:$F,"CAPTURE")</f>
        <v>1</v>
      </c>
      <c r="K4112" s="39">
        <f>SUMIFS(pg_transaction_cleaned!$H:$H,pg_transaction_cleaned!$O:$O,A4112,pg_transaction_cleaned!$F:$F,"CAPTURE")</f>
        <v>8647</v>
      </c>
      <c r="L4112" s="23">
        <f>COUNTIFS(pg_transaction_cleaned!$O:$O,A4112,pg_transaction_cleaned!$F:$F,"REFUND")</f>
        <v>0</v>
      </c>
      <c r="M4112" s="39">
        <f>SUMIFS(pg_transaction_cleaned!$H:$H,pg_transaction_cleaned!$O:$O,A4112,pg_transaction_cleaned!$F:$F,"REFUND")</f>
        <v>0</v>
      </c>
      <c r="N4112" s="23" t="str">
        <f t="shared" si="258"/>
        <v>OK</v>
      </c>
      <c r="O4112" s="24">
        <f t="shared" si="259"/>
        <v>0</v>
      </c>
    </row>
    <row r="4113" spans="1:15" ht="15" customHeight="1" x14ac:dyDescent="0.3">
      <c r="A4113" s="23" t="s">
        <v>8705</v>
      </c>
      <c r="B4113" s="38">
        <v>46290</v>
      </c>
      <c r="C4113" s="23" t="s">
        <v>8706</v>
      </c>
      <c r="D4113" s="23" t="s">
        <v>87</v>
      </c>
      <c r="E4113" s="23" t="s">
        <v>75</v>
      </c>
      <c r="F4113" s="23" t="s">
        <v>271</v>
      </c>
      <c r="G4113" s="23" t="s">
        <v>318</v>
      </c>
      <c r="H4113" s="39">
        <f t="shared" si="256"/>
        <v>2499</v>
      </c>
      <c r="I4113" s="23" t="str">
        <f t="shared" si="257"/>
        <v>Mumbai</v>
      </c>
      <c r="J4113" s="23">
        <f>COUNTIFS(pg_transaction_cleaned!$O:$O,A4113,pg_transaction_cleaned!$F:$F,"CAPTURE")</f>
        <v>0</v>
      </c>
      <c r="K4113" s="39">
        <f>SUMIFS(pg_transaction_cleaned!$H:$H,pg_transaction_cleaned!$O:$O,A4113,pg_transaction_cleaned!$F:$F,"CAPTURE")</f>
        <v>0</v>
      </c>
      <c r="L4113" s="23">
        <f>COUNTIFS(pg_transaction_cleaned!$O:$O,A4113,pg_transaction_cleaned!$F:$F,"REFUND")</f>
        <v>0</v>
      </c>
      <c r="M4113" s="39">
        <f>SUMIFS(pg_transaction_cleaned!$H:$H,pg_transaction_cleaned!$O:$O,A4113,pg_transaction_cleaned!$F:$F,"REFUND")</f>
        <v>0</v>
      </c>
      <c r="N4113" s="23" t="str">
        <f t="shared" si="258"/>
        <v>OK</v>
      </c>
      <c r="O4113" s="24">
        <f t="shared" si="259"/>
        <v>0</v>
      </c>
    </row>
    <row r="4114" spans="1:15" ht="15" customHeight="1" x14ac:dyDescent="0.3">
      <c r="A4114" s="23" t="s">
        <v>8707</v>
      </c>
      <c r="B4114" s="38">
        <v>46268</v>
      </c>
      <c r="C4114" s="23" t="s">
        <v>8708</v>
      </c>
      <c r="D4114" s="23" t="s">
        <v>89</v>
      </c>
      <c r="E4114" s="23" t="s">
        <v>75</v>
      </c>
      <c r="F4114" s="23" t="s">
        <v>265</v>
      </c>
      <c r="G4114" s="23" t="s">
        <v>250</v>
      </c>
      <c r="H4114" s="39">
        <f t="shared" si="256"/>
        <v>999</v>
      </c>
      <c r="I4114" s="23" t="str">
        <f t="shared" si="257"/>
        <v>Jaipur</v>
      </c>
      <c r="J4114" s="23">
        <f>COUNTIFS(pg_transaction_cleaned!$O:$O,A4114,pg_transaction_cleaned!$F:$F,"CAPTURE")</f>
        <v>1</v>
      </c>
      <c r="K4114" s="39">
        <f>SUMIFS(pg_transaction_cleaned!$H:$H,pg_transaction_cleaned!$O:$O,A4114,pg_transaction_cleaned!$F:$F,"CAPTURE")</f>
        <v>999</v>
      </c>
      <c r="L4114" s="23">
        <f>COUNTIFS(pg_transaction_cleaned!$O:$O,A4114,pg_transaction_cleaned!$F:$F,"REFUND")</f>
        <v>0</v>
      </c>
      <c r="M4114" s="39">
        <f>SUMIFS(pg_transaction_cleaned!$H:$H,pg_transaction_cleaned!$O:$O,A4114,pg_transaction_cleaned!$F:$F,"REFUND")</f>
        <v>0</v>
      </c>
      <c r="N4114" s="23" t="str">
        <f t="shared" si="258"/>
        <v>OK</v>
      </c>
      <c r="O4114" s="24">
        <f t="shared" si="259"/>
        <v>0</v>
      </c>
    </row>
    <row r="4115" spans="1:15" ht="15" customHeight="1" x14ac:dyDescent="0.3">
      <c r="A4115" s="23" t="s">
        <v>8709</v>
      </c>
      <c r="B4115" s="38">
        <v>46288</v>
      </c>
      <c r="C4115" s="23" t="s">
        <v>8710</v>
      </c>
      <c r="D4115" s="23" t="s">
        <v>89</v>
      </c>
      <c r="E4115" s="23" t="s">
        <v>75</v>
      </c>
      <c r="F4115" s="23" t="s">
        <v>800</v>
      </c>
      <c r="G4115" s="23" t="s">
        <v>250</v>
      </c>
      <c r="H4115" s="39">
        <f t="shared" si="256"/>
        <v>6797</v>
      </c>
      <c r="I4115" s="23" t="str">
        <f t="shared" si="257"/>
        <v>Jaipur</v>
      </c>
      <c r="J4115" s="23">
        <f>COUNTIFS(pg_transaction_cleaned!$O:$O,A4115,pg_transaction_cleaned!$F:$F,"CAPTURE")</f>
        <v>1</v>
      </c>
      <c r="K4115" s="39">
        <f>SUMIFS(pg_transaction_cleaned!$H:$H,pg_transaction_cleaned!$O:$O,A4115,pg_transaction_cleaned!$F:$F,"CAPTURE")</f>
        <v>6797</v>
      </c>
      <c r="L4115" s="23">
        <f>COUNTIFS(pg_transaction_cleaned!$O:$O,A4115,pg_transaction_cleaned!$F:$F,"REFUND")</f>
        <v>0</v>
      </c>
      <c r="M4115" s="39">
        <f>SUMIFS(pg_transaction_cleaned!$H:$H,pg_transaction_cleaned!$O:$O,A4115,pg_transaction_cleaned!$F:$F,"REFUND")</f>
        <v>0</v>
      </c>
      <c r="N4115" s="23" t="str">
        <f t="shared" si="258"/>
        <v>OK</v>
      </c>
      <c r="O4115" s="24">
        <f t="shared" si="259"/>
        <v>0</v>
      </c>
    </row>
    <row r="4116" spans="1:15" ht="15" customHeight="1" x14ac:dyDescent="0.3">
      <c r="A4116" s="23" t="s">
        <v>8711</v>
      </c>
      <c r="B4116" s="38">
        <v>46284</v>
      </c>
      <c r="C4116" s="23" t="s">
        <v>8712</v>
      </c>
      <c r="D4116" s="23" t="s">
        <v>87</v>
      </c>
      <c r="E4116" s="23" t="s">
        <v>75</v>
      </c>
      <c r="F4116" s="23" t="s">
        <v>911</v>
      </c>
      <c r="G4116" s="23" t="s">
        <v>250</v>
      </c>
      <c r="H4116" s="39">
        <f t="shared" si="256"/>
        <v>11997</v>
      </c>
      <c r="I4116" s="23" t="str">
        <f t="shared" si="257"/>
        <v>Mumbai</v>
      </c>
      <c r="J4116" s="23">
        <f>COUNTIFS(pg_transaction_cleaned!$O:$O,A4116,pg_transaction_cleaned!$F:$F,"CAPTURE")</f>
        <v>1</v>
      </c>
      <c r="K4116" s="39">
        <f>SUMIFS(pg_transaction_cleaned!$H:$H,pg_transaction_cleaned!$O:$O,A4116,pg_transaction_cleaned!$F:$F,"CAPTURE")</f>
        <v>11997</v>
      </c>
      <c r="L4116" s="23">
        <f>COUNTIFS(pg_transaction_cleaned!$O:$O,A4116,pg_transaction_cleaned!$F:$F,"REFUND")</f>
        <v>0</v>
      </c>
      <c r="M4116" s="39">
        <f>SUMIFS(pg_transaction_cleaned!$H:$H,pg_transaction_cleaned!$O:$O,A4116,pg_transaction_cleaned!$F:$F,"REFUND")</f>
        <v>0</v>
      </c>
      <c r="N4116" s="23" t="str">
        <f t="shared" si="258"/>
        <v>OK</v>
      </c>
      <c r="O4116" s="24">
        <f t="shared" si="259"/>
        <v>0</v>
      </c>
    </row>
    <row r="4117" spans="1:15" ht="15" customHeight="1" x14ac:dyDescent="0.3">
      <c r="A4117" s="23" t="s">
        <v>8713</v>
      </c>
      <c r="B4117" s="38">
        <v>46275</v>
      </c>
      <c r="C4117" s="23" t="s">
        <v>8714</v>
      </c>
      <c r="D4117" s="23" t="s">
        <v>89</v>
      </c>
      <c r="E4117" s="23" t="s">
        <v>75</v>
      </c>
      <c r="F4117" s="23" t="s">
        <v>475</v>
      </c>
      <c r="G4117" s="23" t="s">
        <v>250</v>
      </c>
      <c r="H4117" s="39">
        <f t="shared" si="256"/>
        <v>799</v>
      </c>
      <c r="I4117" s="23" t="str">
        <f t="shared" si="257"/>
        <v>Jaipur</v>
      </c>
      <c r="J4117" s="23">
        <f>COUNTIFS(pg_transaction_cleaned!$O:$O,A4117,pg_transaction_cleaned!$F:$F,"CAPTURE")</f>
        <v>1</v>
      </c>
      <c r="K4117" s="39">
        <f>SUMIFS(pg_transaction_cleaned!$H:$H,pg_transaction_cleaned!$O:$O,A4117,pg_transaction_cleaned!$F:$F,"CAPTURE")</f>
        <v>799</v>
      </c>
      <c r="L4117" s="23">
        <f>COUNTIFS(pg_transaction_cleaned!$O:$O,A4117,pg_transaction_cleaned!$F:$F,"REFUND")</f>
        <v>0</v>
      </c>
      <c r="M4117" s="39">
        <f>SUMIFS(pg_transaction_cleaned!$H:$H,pg_transaction_cleaned!$O:$O,A4117,pg_transaction_cleaned!$F:$F,"REFUND")</f>
        <v>0</v>
      </c>
      <c r="N4117" s="23" t="str">
        <f t="shared" si="258"/>
        <v>OK</v>
      </c>
      <c r="O4117" s="24">
        <f t="shared" si="259"/>
        <v>0</v>
      </c>
    </row>
    <row r="4118" spans="1:15" ht="15" customHeight="1" x14ac:dyDescent="0.3">
      <c r="A4118" s="23" t="s">
        <v>8715</v>
      </c>
      <c r="B4118" s="38">
        <v>46276</v>
      </c>
      <c r="C4118" s="23" t="s">
        <v>8716</v>
      </c>
      <c r="D4118" s="23" t="s">
        <v>91</v>
      </c>
      <c r="E4118" s="23" t="s">
        <v>75</v>
      </c>
      <c r="F4118" s="23" t="s">
        <v>396</v>
      </c>
      <c r="G4118" s="23" t="s">
        <v>250</v>
      </c>
      <c r="H4118" s="39">
        <f t="shared" si="256"/>
        <v>2999</v>
      </c>
      <c r="I4118" s="23" t="str">
        <f t="shared" si="257"/>
        <v>Pune</v>
      </c>
      <c r="J4118" s="23">
        <f>COUNTIFS(pg_transaction_cleaned!$O:$O,A4118,pg_transaction_cleaned!$F:$F,"CAPTURE")</f>
        <v>1</v>
      </c>
      <c r="K4118" s="39">
        <f>SUMIFS(pg_transaction_cleaned!$H:$H,pg_transaction_cleaned!$O:$O,A4118,pg_transaction_cleaned!$F:$F,"CAPTURE")</f>
        <v>2999</v>
      </c>
      <c r="L4118" s="23">
        <f>COUNTIFS(pg_transaction_cleaned!$O:$O,A4118,pg_transaction_cleaned!$F:$F,"REFUND")</f>
        <v>0</v>
      </c>
      <c r="M4118" s="39">
        <f>SUMIFS(pg_transaction_cleaned!$H:$H,pg_transaction_cleaned!$O:$O,A4118,pg_transaction_cleaned!$F:$F,"REFUND")</f>
        <v>0</v>
      </c>
      <c r="N4118" s="23" t="str">
        <f t="shared" si="258"/>
        <v>OK</v>
      </c>
      <c r="O4118" s="24">
        <f t="shared" si="259"/>
        <v>0</v>
      </c>
    </row>
    <row r="4119" spans="1:15" ht="15" customHeight="1" x14ac:dyDescent="0.3">
      <c r="A4119" s="23" t="s">
        <v>8717</v>
      </c>
      <c r="B4119" s="38">
        <v>46274</v>
      </c>
      <c r="C4119" s="23" t="s">
        <v>8718</v>
      </c>
      <c r="D4119" s="23" t="s">
        <v>89</v>
      </c>
      <c r="E4119" s="23" t="s">
        <v>75</v>
      </c>
      <c r="F4119" s="23" t="s">
        <v>567</v>
      </c>
      <c r="G4119" s="23" t="s">
        <v>250</v>
      </c>
      <c r="H4119" s="39">
        <f t="shared" si="256"/>
        <v>3598</v>
      </c>
      <c r="I4119" s="23" t="str">
        <f t="shared" si="257"/>
        <v>Jaipur</v>
      </c>
      <c r="J4119" s="23">
        <f>COUNTIFS(pg_transaction_cleaned!$O:$O,A4119,pg_transaction_cleaned!$F:$F,"CAPTURE")</f>
        <v>1</v>
      </c>
      <c r="K4119" s="39">
        <f>SUMIFS(pg_transaction_cleaned!$H:$H,pg_transaction_cleaned!$O:$O,A4119,pg_transaction_cleaned!$F:$F,"CAPTURE")</f>
        <v>3598</v>
      </c>
      <c r="L4119" s="23">
        <f>COUNTIFS(pg_transaction_cleaned!$O:$O,A4119,pg_transaction_cleaned!$F:$F,"REFUND")</f>
        <v>0</v>
      </c>
      <c r="M4119" s="39">
        <f>SUMIFS(pg_transaction_cleaned!$H:$H,pg_transaction_cleaned!$O:$O,A4119,pg_transaction_cleaned!$F:$F,"REFUND")</f>
        <v>0</v>
      </c>
      <c r="N4119" s="23" t="str">
        <f t="shared" si="258"/>
        <v>OK</v>
      </c>
      <c r="O4119" s="24">
        <f t="shared" si="259"/>
        <v>0</v>
      </c>
    </row>
    <row r="4120" spans="1:15" ht="15" customHeight="1" x14ac:dyDescent="0.3">
      <c r="A4120" s="23" t="s">
        <v>8719</v>
      </c>
      <c r="B4120" s="38">
        <v>46267</v>
      </c>
      <c r="C4120" s="23" t="s">
        <v>8720</v>
      </c>
      <c r="D4120" s="23" t="s">
        <v>89</v>
      </c>
      <c r="E4120" s="23" t="s">
        <v>75</v>
      </c>
      <c r="F4120" s="23" t="s">
        <v>249</v>
      </c>
      <c r="G4120" s="23" t="s">
        <v>250</v>
      </c>
      <c r="H4120" s="39">
        <f t="shared" si="256"/>
        <v>299</v>
      </c>
      <c r="I4120" s="23" t="str">
        <f t="shared" si="257"/>
        <v>Jaipur</v>
      </c>
      <c r="J4120" s="23">
        <f>COUNTIFS(pg_transaction_cleaned!$O:$O,A4120,pg_transaction_cleaned!$F:$F,"CAPTURE")</f>
        <v>1</v>
      </c>
      <c r="K4120" s="39">
        <f>SUMIFS(pg_transaction_cleaned!$H:$H,pg_transaction_cleaned!$O:$O,A4120,pg_transaction_cleaned!$F:$F,"CAPTURE")</f>
        <v>299</v>
      </c>
      <c r="L4120" s="23">
        <f>COUNTIFS(pg_transaction_cleaned!$O:$O,A4120,pg_transaction_cleaned!$F:$F,"REFUND")</f>
        <v>0</v>
      </c>
      <c r="M4120" s="39">
        <f>SUMIFS(pg_transaction_cleaned!$H:$H,pg_transaction_cleaned!$O:$O,A4120,pg_transaction_cleaned!$F:$F,"REFUND")</f>
        <v>0</v>
      </c>
      <c r="N4120" s="23" t="str">
        <f t="shared" si="258"/>
        <v>OK</v>
      </c>
      <c r="O4120" s="24">
        <f t="shared" si="259"/>
        <v>0</v>
      </c>
    </row>
    <row r="4121" spans="1:15" ht="15" customHeight="1" x14ac:dyDescent="0.3">
      <c r="A4121" s="23" t="s">
        <v>8721</v>
      </c>
      <c r="B4121" s="38">
        <v>46295</v>
      </c>
      <c r="C4121" s="23" t="s">
        <v>516</v>
      </c>
      <c r="D4121" s="23" t="s">
        <v>89</v>
      </c>
      <c r="E4121" s="23" t="s">
        <v>75</v>
      </c>
      <c r="F4121" s="23" t="s">
        <v>268</v>
      </c>
      <c r="G4121" s="23" t="s">
        <v>250</v>
      </c>
      <c r="H4121" s="39">
        <f t="shared" si="256"/>
        <v>1299</v>
      </c>
      <c r="I4121" s="23" t="str">
        <f t="shared" si="257"/>
        <v>Jaipur</v>
      </c>
      <c r="J4121" s="23">
        <f>COUNTIFS(pg_transaction_cleaned!$O:$O,A4121,pg_transaction_cleaned!$F:$F,"CAPTURE")</f>
        <v>1</v>
      </c>
      <c r="K4121" s="39">
        <f>SUMIFS(pg_transaction_cleaned!$H:$H,pg_transaction_cleaned!$O:$O,A4121,pg_transaction_cleaned!$F:$F,"CAPTURE")</f>
        <v>1299</v>
      </c>
      <c r="L4121" s="23">
        <f>COUNTIFS(pg_transaction_cleaned!$O:$O,A4121,pg_transaction_cleaned!$F:$F,"REFUND")</f>
        <v>0</v>
      </c>
      <c r="M4121" s="39">
        <f>SUMIFS(pg_transaction_cleaned!$H:$H,pg_transaction_cleaned!$O:$O,A4121,pg_transaction_cleaned!$F:$F,"REFUND")</f>
        <v>0</v>
      </c>
      <c r="N4121" s="23" t="str">
        <f t="shared" si="258"/>
        <v>OK</v>
      </c>
      <c r="O4121" s="24">
        <f t="shared" si="259"/>
        <v>0</v>
      </c>
    </row>
    <row r="4122" spans="1:15" ht="15" customHeight="1" x14ac:dyDescent="0.3">
      <c r="A4122" s="23" t="s">
        <v>8722</v>
      </c>
      <c r="B4122" s="38">
        <v>46274</v>
      </c>
      <c r="C4122" s="23" t="s">
        <v>8723</v>
      </c>
      <c r="D4122" s="23" t="s">
        <v>90</v>
      </c>
      <c r="E4122" s="23" t="s">
        <v>79</v>
      </c>
      <c r="F4122" s="23" t="s">
        <v>274</v>
      </c>
      <c r="G4122" s="23" t="s">
        <v>301</v>
      </c>
      <c r="H4122" s="39">
        <f t="shared" si="256"/>
        <v>349</v>
      </c>
      <c r="I4122" s="23" t="str">
        <f t="shared" si="257"/>
        <v>Ahmedabad</v>
      </c>
      <c r="J4122" s="23">
        <f>COUNTIFS(pg_transaction_cleaned!$O:$O,A4122,pg_transaction_cleaned!$F:$F,"CAPTURE")</f>
        <v>1</v>
      </c>
      <c r="K4122" s="39">
        <f>SUMIFS(pg_transaction_cleaned!$H:$H,pg_transaction_cleaned!$O:$O,A4122,pg_transaction_cleaned!$F:$F,"CAPTURE")</f>
        <v>349</v>
      </c>
      <c r="L4122" s="23">
        <f>COUNTIFS(pg_transaction_cleaned!$O:$O,A4122,pg_transaction_cleaned!$F:$F,"REFUND")</f>
        <v>1</v>
      </c>
      <c r="M4122" s="39">
        <f>SUMIFS(pg_transaction_cleaned!$H:$H,pg_transaction_cleaned!$O:$O,A4122,pg_transaction_cleaned!$F:$F,"REFUND")</f>
        <v>349</v>
      </c>
      <c r="N4122" s="23" t="str">
        <f t="shared" si="258"/>
        <v>OK</v>
      </c>
      <c r="O4122" s="24">
        <f t="shared" si="259"/>
        <v>0</v>
      </c>
    </row>
    <row r="4123" spans="1:15" ht="15" customHeight="1" x14ac:dyDescent="0.3">
      <c r="A4123" s="23" t="s">
        <v>8724</v>
      </c>
      <c r="B4123" s="38">
        <v>46291</v>
      </c>
      <c r="C4123" s="23" t="s">
        <v>8725</v>
      </c>
      <c r="D4123" s="23" t="s">
        <v>90</v>
      </c>
      <c r="E4123" s="23" t="s">
        <v>79</v>
      </c>
      <c r="F4123" s="23" t="s">
        <v>1440</v>
      </c>
      <c r="G4123" s="23" t="s">
        <v>250</v>
      </c>
      <c r="H4123" s="39">
        <f t="shared" si="256"/>
        <v>4147</v>
      </c>
      <c r="I4123" s="23" t="str">
        <f t="shared" si="257"/>
        <v>Ahmedabad</v>
      </c>
      <c r="J4123" s="23">
        <f>COUNTIFS(pg_transaction_cleaned!$O:$O,A4123,pg_transaction_cleaned!$F:$F,"CAPTURE")</f>
        <v>1</v>
      </c>
      <c r="K4123" s="39">
        <f>SUMIFS(pg_transaction_cleaned!$H:$H,pg_transaction_cleaned!$O:$O,A4123,pg_transaction_cleaned!$F:$F,"CAPTURE")</f>
        <v>4147</v>
      </c>
      <c r="L4123" s="23">
        <f>COUNTIFS(pg_transaction_cleaned!$O:$O,A4123,pg_transaction_cleaned!$F:$F,"REFUND")</f>
        <v>0</v>
      </c>
      <c r="M4123" s="39">
        <f>SUMIFS(pg_transaction_cleaned!$H:$H,pg_transaction_cleaned!$O:$O,A4123,pg_transaction_cleaned!$F:$F,"REFUND")</f>
        <v>0</v>
      </c>
      <c r="N4123" s="23" t="str">
        <f t="shared" si="258"/>
        <v>OK</v>
      </c>
      <c r="O4123" s="24">
        <f t="shared" si="259"/>
        <v>0</v>
      </c>
    </row>
    <row r="4124" spans="1:15" ht="15" customHeight="1" x14ac:dyDescent="0.3">
      <c r="A4124" s="23" t="s">
        <v>8726</v>
      </c>
      <c r="B4124" s="38">
        <v>46288</v>
      </c>
      <c r="C4124" s="23" t="s">
        <v>8727</v>
      </c>
      <c r="D4124" s="23" t="s">
        <v>93</v>
      </c>
      <c r="E4124" s="23" t="s">
        <v>75</v>
      </c>
      <c r="F4124" s="23" t="s">
        <v>268</v>
      </c>
      <c r="G4124" s="23" t="s">
        <v>250</v>
      </c>
      <c r="H4124" s="39">
        <f t="shared" si="256"/>
        <v>1299</v>
      </c>
      <c r="I4124" s="23" t="str">
        <f t="shared" si="257"/>
        <v>Kolkata</v>
      </c>
      <c r="J4124" s="23">
        <f>COUNTIFS(pg_transaction_cleaned!$O:$O,A4124,pg_transaction_cleaned!$F:$F,"CAPTURE")</f>
        <v>1</v>
      </c>
      <c r="K4124" s="39">
        <f>SUMIFS(pg_transaction_cleaned!$H:$H,pg_transaction_cleaned!$O:$O,A4124,pg_transaction_cleaned!$F:$F,"CAPTURE")</f>
        <v>1299</v>
      </c>
      <c r="L4124" s="23">
        <f>COUNTIFS(pg_transaction_cleaned!$O:$O,A4124,pg_transaction_cleaned!$F:$F,"REFUND")</f>
        <v>0</v>
      </c>
      <c r="M4124" s="39">
        <f>SUMIFS(pg_transaction_cleaned!$H:$H,pg_transaction_cleaned!$O:$O,A4124,pg_transaction_cleaned!$F:$F,"REFUND")</f>
        <v>0</v>
      </c>
      <c r="N4124" s="23" t="str">
        <f t="shared" si="258"/>
        <v>OK</v>
      </c>
      <c r="O4124" s="24">
        <f t="shared" si="259"/>
        <v>0</v>
      </c>
    </row>
    <row r="4125" spans="1:15" ht="15" customHeight="1" x14ac:dyDescent="0.3">
      <c r="A4125" s="23" t="s">
        <v>8728</v>
      </c>
      <c r="B4125" s="38">
        <v>46291</v>
      </c>
      <c r="C4125" s="23" t="s">
        <v>8729</v>
      </c>
      <c r="D4125" s="23" t="s">
        <v>90</v>
      </c>
      <c r="E4125" s="23" t="s">
        <v>79</v>
      </c>
      <c r="F4125" s="23" t="s">
        <v>423</v>
      </c>
      <c r="G4125" s="23" t="s">
        <v>250</v>
      </c>
      <c r="H4125" s="39">
        <f t="shared" si="256"/>
        <v>1648</v>
      </c>
      <c r="I4125" s="23" t="str">
        <f t="shared" si="257"/>
        <v>Ahmedabad</v>
      </c>
      <c r="J4125" s="23">
        <f>COUNTIFS(pg_transaction_cleaned!$O:$O,A4125,pg_transaction_cleaned!$F:$F,"CAPTURE")</f>
        <v>1</v>
      </c>
      <c r="K4125" s="39">
        <f>SUMIFS(pg_transaction_cleaned!$H:$H,pg_transaction_cleaned!$O:$O,A4125,pg_transaction_cleaned!$F:$F,"CAPTURE")</f>
        <v>1648</v>
      </c>
      <c r="L4125" s="23">
        <f>COUNTIFS(pg_transaction_cleaned!$O:$O,A4125,pg_transaction_cleaned!$F:$F,"REFUND")</f>
        <v>0</v>
      </c>
      <c r="M4125" s="39">
        <f>SUMIFS(pg_transaction_cleaned!$H:$H,pg_transaction_cleaned!$O:$O,A4125,pg_transaction_cleaned!$F:$F,"REFUND")</f>
        <v>0</v>
      </c>
      <c r="N4125" s="23" t="str">
        <f t="shared" si="258"/>
        <v>OK</v>
      </c>
      <c r="O4125" s="24">
        <f t="shared" si="259"/>
        <v>0</v>
      </c>
    </row>
    <row r="4126" spans="1:15" ht="15" customHeight="1" x14ac:dyDescent="0.3">
      <c r="A4126" s="23" t="s">
        <v>8730</v>
      </c>
      <c r="B4126" s="38">
        <v>46277</v>
      </c>
      <c r="C4126" s="23" t="s">
        <v>8731</v>
      </c>
      <c r="D4126" s="23" t="s">
        <v>93</v>
      </c>
      <c r="E4126" s="23" t="s">
        <v>79</v>
      </c>
      <c r="F4126" s="23" t="s">
        <v>2205</v>
      </c>
      <c r="G4126" s="23" t="s">
        <v>250</v>
      </c>
      <c r="H4126" s="39">
        <f t="shared" si="256"/>
        <v>6998</v>
      </c>
      <c r="I4126" s="23" t="str">
        <f t="shared" si="257"/>
        <v>Kolkata</v>
      </c>
      <c r="J4126" s="23">
        <f>COUNTIFS(pg_transaction_cleaned!$O:$O,A4126,pg_transaction_cleaned!$F:$F,"CAPTURE")</f>
        <v>1</v>
      </c>
      <c r="K4126" s="39">
        <f>SUMIFS(pg_transaction_cleaned!$H:$H,pg_transaction_cleaned!$O:$O,A4126,pg_transaction_cleaned!$F:$F,"CAPTURE")</f>
        <v>6998</v>
      </c>
      <c r="L4126" s="23">
        <f>COUNTIFS(pg_transaction_cleaned!$O:$O,A4126,pg_transaction_cleaned!$F:$F,"REFUND")</f>
        <v>0</v>
      </c>
      <c r="M4126" s="39">
        <f>SUMIFS(pg_transaction_cleaned!$H:$H,pg_transaction_cleaned!$O:$O,A4126,pg_transaction_cleaned!$F:$F,"REFUND")</f>
        <v>0</v>
      </c>
      <c r="N4126" s="23" t="str">
        <f t="shared" si="258"/>
        <v>OK</v>
      </c>
      <c r="O4126" s="24">
        <f t="shared" si="259"/>
        <v>0</v>
      </c>
    </row>
    <row r="4127" spans="1:15" ht="15" customHeight="1" x14ac:dyDescent="0.3">
      <c r="A4127" s="23" t="s">
        <v>8732</v>
      </c>
      <c r="B4127" s="38">
        <v>46268</v>
      </c>
      <c r="C4127" s="23" t="s">
        <v>8733</v>
      </c>
      <c r="D4127" s="23" t="s">
        <v>89</v>
      </c>
      <c r="E4127" s="23" t="s">
        <v>81</v>
      </c>
      <c r="F4127" s="23" t="s">
        <v>1505</v>
      </c>
      <c r="G4127" s="23" t="s">
        <v>250</v>
      </c>
      <c r="H4127" s="39">
        <f t="shared" si="256"/>
        <v>8298</v>
      </c>
      <c r="I4127" s="23" t="str">
        <f t="shared" si="257"/>
        <v>Jaipur</v>
      </c>
      <c r="J4127" s="23">
        <f>COUNTIFS(pg_transaction_cleaned!$O:$O,A4127,pg_transaction_cleaned!$F:$F,"CAPTURE")</f>
        <v>1</v>
      </c>
      <c r="K4127" s="39">
        <f>SUMIFS(pg_transaction_cleaned!$H:$H,pg_transaction_cleaned!$O:$O,A4127,pg_transaction_cleaned!$F:$F,"CAPTURE")</f>
        <v>8298</v>
      </c>
      <c r="L4127" s="23">
        <f>COUNTIFS(pg_transaction_cleaned!$O:$O,A4127,pg_transaction_cleaned!$F:$F,"REFUND")</f>
        <v>0</v>
      </c>
      <c r="M4127" s="39">
        <f>SUMIFS(pg_transaction_cleaned!$H:$H,pg_transaction_cleaned!$O:$O,A4127,pg_transaction_cleaned!$F:$F,"REFUND")</f>
        <v>0</v>
      </c>
      <c r="N4127" s="23" t="str">
        <f t="shared" si="258"/>
        <v>OK</v>
      </c>
      <c r="O4127" s="24">
        <f t="shared" si="259"/>
        <v>0</v>
      </c>
    </row>
    <row r="4128" spans="1:15" ht="15" customHeight="1" x14ac:dyDescent="0.3">
      <c r="A4128" s="23" t="s">
        <v>8734</v>
      </c>
      <c r="B4128" s="38">
        <v>46272</v>
      </c>
      <c r="C4128" s="23" t="s">
        <v>8735</v>
      </c>
      <c r="D4128" s="23" t="s">
        <v>88</v>
      </c>
      <c r="E4128" s="23" t="s">
        <v>79</v>
      </c>
      <c r="F4128" s="23" t="s">
        <v>329</v>
      </c>
      <c r="G4128" s="23" t="s">
        <v>250</v>
      </c>
      <c r="H4128" s="39">
        <f t="shared" si="256"/>
        <v>599</v>
      </c>
      <c r="I4128" s="23" t="str">
        <f t="shared" si="257"/>
        <v>Lucknow</v>
      </c>
      <c r="J4128" s="23">
        <f>COUNTIFS(pg_transaction_cleaned!$O:$O,A4128,pg_transaction_cleaned!$F:$F,"CAPTURE")</f>
        <v>1</v>
      </c>
      <c r="K4128" s="39">
        <f>SUMIFS(pg_transaction_cleaned!$H:$H,pg_transaction_cleaned!$O:$O,A4128,pg_transaction_cleaned!$F:$F,"CAPTURE")</f>
        <v>599</v>
      </c>
      <c r="L4128" s="23">
        <f>COUNTIFS(pg_transaction_cleaned!$O:$O,A4128,pg_transaction_cleaned!$F:$F,"REFUND")</f>
        <v>0</v>
      </c>
      <c r="M4128" s="39">
        <f>SUMIFS(pg_transaction_cleaned!$H:$H,pg_transaction_cleaned!$O:$O,A4128,pg_transaction_cleaned!$F:$F,"REFUND")</f>
        <v>0</v>
      </c>
      <c r="N4128" s="23" t="str">
        <f t="shared" si="258"/>
        <v>OK</v>
      </c>
      <c r="O4128" s="24">
        <f t="shared" si="259"/>
        <v>0</v>
      </c>
    </row>
    <row r="4129" spans="1:15" ht="15" customHeight="1" x14ac:dyDescent="0.3">
      <c r="A4129" s="23" t="s">
        <v>8736</v>
      </c>
      <c r="B4129" s="38">
        <v>46277</v>
      </c>
      <c r="C4129" s="23" t="s">
        <v>8737</v>
      </c>
      <c r="D4129" s="23" t="s">
        <v>94</v>
      </c>
      <c r="E4129" s="23" t="s">
        <v>75</v>
      </c>
      <c r="F4129" s="23" t="s">
        <v>747</v>
      </c>
      <c r="G4129" s="23" t="s">
        <v>250</v>
      </c>
      <c r="H4129" s="39">
        <f t="shared" si="256"/>
        <v>2498</v>
      </c>
      <c r="I4129" s="23" t="str">
        <f t="shared" si="257"/>
        <v>Chennai</v>
      </c>
      <c r="J4129" s="23">
        <f>COUNTIFS(pg_transaction_cleaned!$O:$O,A4129,pg_transaction_cleaned!$F:$F,"CAPTURE")</f>
        <v>1</v>
      </c>
      <c r="K4129" s="39">
        <f>SUMIFS(pg_transaction_cleaned!$H:$H,pg_transaction_cleaned!$O:$O,A4129,pg_transaction_cleaned!$F:$F,"CAPTURE")</f>
        <v>2498</v>
      </c>
      <c r="L4129" s="23">
        <f>COUNTIFS(pg_transaction_cleaned!$O:$O,A4129,pg_transaction_cleaned!$F:$F,"REFUND")</f>
        <v>0</v>
      </c>
      <c r="M4129" s="39">
        <f>SUMIFS(pg_transaction_cleaned!$H:$H,pg_transaction_cleaned!$O:$O,A4129,pg_transaction_cleaned!$F:$F,"REFUND")</f>
        <v>0</v>
      </c>
      <c r="N4129" s="23" t="str">
        <f t="shared" si="258"/>
        <v>OK</v>
      </c>
      <c r="O4129" s="24">
        <f t="shared" si="259"/>
        <v>0</v>
      </c>
    </row>
    <row r="4130" spans="1:15" ht="15" customHeight="1" x14ac:dyDescent="0.3">
      <c r="A4130" s="23" t="s">
        <v>8738</v>
      </c>
      <c r="B4130" s="38">
        <v>46273</v>
      </c>
      <c r="C4130" s="23" t="s">
        <v>8739</v>
      </c>
      <c r="D4130" s="23" t="s">
        <v>86</v>
      </c>
      <c r="E4130" s="23" t="s">
        <v>79</v>
      </c>
      <c r="F4130" s="23" t="s">
        <v>271</v>
      </c>
      <c r="G4130" s="23" t="s">
        <v>250</v>
      </c>
      <c r="H4130" s="39">
        <f t="shared" si="256"/>
        <v>2499</v>
      </c>
      <c r="I4130" s="23" t="str">
        <f t="shared" si="257"/>
        <v>Delhi</v>
      </c>
      <c r="J4130" s="23">
        <f>COUNTIFS(pg_transaction_cleaned!$O:$O,A4130,pg_transaction_cleaned!$F:$F,"CAPTURE")</f>
        <v>1</v>
      </c>
      <c r="K4130" s="39">
        <f>SUMIFS(pg_transaction_cleaned!$H:$H,pg_transaction_cleaned!$O:$O,A4130,pg_transaction_cleaned!$F:$F,"CAPTURE")</f>
        <v>2499</v>
      </c>
      <c r="L4130" s="23">
        <f>COUNTIFS(pg_transaction_cleaned!$O:$O,A4130,pg_transaction_cleaned!$F:$F,"REFUND")</f>
        <v>0</v>
      </c>
      <c r="M4130" s="39">
        <f>SUMIFS(pg_transaction_cleaned!$H:$H,pg_transaction_cleaned!$O:$O,A4130,pg_transaction_cleaned!$F:$F,"REFUND")</f>
        <v>0</v>
      </c>
      <c r="N4130" s="23" t="str">
        <f t="shared" si="258"/>
        <v>OK</v>
      </c>
      <c r="O4130" s="24">
        <f t="shared" si="259"/>
        <v>0</v>
      </c>
    </row>
    <row r="4131" spans="1:15" ht="15" customHeight="1" x14ac:dyDescent="0.3">
      <c r="A4131" s="23" t="s">
        <v>8740</v>
      </c>
      <c r="B4131" s="38">
        <v>46275</v>
      </c>
      <c r="C4131" s="23" t="s">
        <v>8741</v>
      </c>
      <c r="D4131" s="23" t="s">
        <v>90</v>
      </c>
      <c r="E4131" s="23" t="s">
        <v>75</v>
      </c>
      <c r="F4131" s="23" t="s">
        <v>268</v>
      </c>
      <c r="G4131" s="23" t="s">
        <v>250</v>
      </c>
      <c r="H4131" s="39">
        <f t="shared" si="256"/>
        <v>1299</v>
      </c>
      <c r="I4131" s="23" t="str">
        <f t="shared" si="257"/>
        <v>Ahmedabad</v>
      </c>
      <c r="J4131" s="23">
        <f>COUNTIFS(pg_transaction_cleaned!$O:$O,A4131,pg_transaction_cleaned!$F:$F,"CAPTURE")</f>
        <v>1</v>
      </c>
      <c r="K4131" s="39">
        <f>SUMIFS(pg_transaction_cleaned!$H:$H,pg_transaction_cleaned!$O:$O,A4131,pg_transaction_cleaned!$F:$F,"CAPTURE")</f>
        <v>1299</v>
      </c>
      <c r="L4131" s="23">
        <f>COUNTIFS(pg_transaction_cleaned!$O:$O,A4131,pg_transaction_cleaned!$F:$F,"REFUND")</f>
        <v>0</v>
      </c>
      <c r="M4131" s="39">
        <f>SUMIFS(pg_transaction_cleaned!$H:$H,pg_transaction_cleaned!$O:$O,A4131,pg_transaction_cleaned!$F:$F,"REFUND")</f>
        <v>0</v>
      </c>
      <c r="N4131" s="23" t="str">
        <f t="shared" si="258"/>
        <v>OK</v>
      </c>
      <c r="O4131" s="24">
        <f t="shared" si="259"/>
        <v>0</v>
      </c>
    </row>
    <row r="4132" spans="1:15" ht="15" customHeight="1" x14ac:dyDescent="0.3">
      <c r="A4132" s="23" t="s">
        <v>8742</v>
      </c>
      <c r="B4132" s="38">
        <v>46276</v>
      </c>
      <c r="C4132" s="23" t="s">
        <v>8743</v>
      </c>
      <c r="D4132" s="23" t="s">
        <v>93</v>
      </c>
      <c r="E4132" s="23" t="s">
        <v>75</v>
      </c>
      <c r="F4132" s="23" t="s">
        <v>352</v>
      </c>
      <c r="G4132" s="23" t="s">
        <v>250</v>
      </c>
      <c r="H4132" s="39">
        <f t="shared" si="256"/>
        <v>648</v>
      </c>
      <c r="I4132" s="23" t="str">
        <f t="shared" si="257"/>
        <v>Kolkata</v>
      </c>
      <c r="J4132" s="23">
        <f>COUNTIFS(pg_transaction_cleaned!$O:$O,A4132,pg_transaction_cleaned!$F:$F,"CAPTURE")</f>
        <v>1</v>
      </c>
      <c r="K4132" s="39">
        <f>SUMIFS(pg_transaction_cleaned!$H:$H,pg_transaction_cleaned!$O:$O,A4132,pg_transaction_cleaned!$F:$F,"CAPTURE")</f>
        <v>648</v>
      </c>
      <c r="L4132" s="23">
        <f>COUNTIFS(pg_transaction_cleaned!$O:$O,A4132,pg_transaction_cleaned!$F:$F,"REFUND")</f>
        <v>0</v>
      </c>
      <c r="M4132" s="39">
        <f>SUMIFS(pg_transaction_cleaned!$H:$H,pg_transaction_cleaned!$O:$O,A4132,pg_transaction_cleaned!$F:$F,"REFUND")</f>
        <v>0</v>
      </c>
      <c r="N4132" s="23" t="str">
        <f t="shared" si="258"/>
        <v>OK</v>
      </c>
      <c r="O4132" s="24">
        <f t="shared" si="259"/>
        <v>0</v>
      </c>
    </row>
    <row r="4133" spans="1:15" ht="15" customHeight="1" x14ac:dyDescent="0.3">
      <c r="A4133" s="23" t="s">
        <v>8744</v>
      </c>
      <c r="B4133" s="38">
        <v>46279</v>
      </c>
      <c r="C4133" s="23" t="s">
        <v>8745</v>
      </c>
      <c r="D4133" s="23" t="s">
        <v>87</v>
      </c>
      <c r="E4133" s="23" t="s">
        <v>75</v>
      </c>
      <c r="F4133" s="23" t="s">
        <v>337</v>
      </c>
      <c r="G4133" s="23" t="s">
        <v>250</v>
      </c>
      <c r="H4133" s="39">
        <f t="shared" si="256"/>
        <v>3998</v>
      </c>
      <c r="I4133" s="23" t="str">
        <f t="shared" si="257"/>
        <v>Mumbai</v>
      </c>
      <c r="J4133" s="23">
        <f>COUNTIFS(pg_transaction_cleaned!$O:$O,A4133,pg_transaction_cleaned!$F:$F,"CAPTURE")</f>
        <v>1</v>
      </c>
      <c r="K4133" s="39">
        <f>SUMIFS(pg_transaction_cleaned!$H:$H,pg_transaction_cleaned!$O:$O,A4133,pg_transaction_cleaned!$F:$F,"CAPTURE")</f>
        <v>3998</v>
      </c>
      <c r="L4133" s="23">
        <f>COUNTIFS(pg_transaction_cleaned!$O:$O,A4133,pg_transaction_cleaned!$F:$F,"REFUND")</f>
        <v>0</v>
      </c>
      <c r="M4133" s="39">
        <f>SUMIFS(pg_transaction_cleaned!$H:$H,pg_transaction_cleaned!$O:$O,A4133,pg_transaction_cleaned!$F:$F,"REFUND")</f>
        <v>0</v>
      </c>
      <c r="N4133" s="23" t="str">
        <f t="shared" si="258"/>
        <v>OK</v>
      </c>
      <c r="O4133" s="24">
        <f t="shared" si="259"/>
        <v>0</v>
      </c>
    </row>
    <row r="4134" spans="1:15" ht="15" customHeight="1" x14ac:dyDescent="0.3">
      <c r="A4134" s="23" t="s">
        <v>8746</v>
      </c>
      <c r="B4134" s="38">
        <v>46270</v>
      </c>
      <c r="C4134" s="23" t="s">
        <v>7407</v>
      </c>
      <c r="D4134" s="23" t="s">
        <v>90</v>
      </c>
      <c r="E4134" s="23" t="s">
        <v>81</v>
      </c>
      <c r="F4134" s="23" t="s">
        <v>357</v>
      </c>
      <c r="G4134" s="23" t="s">
        <v>250</v>
      </c>
      <c r="H4134" s="39">
        <f t="shared" si="256"/>
        <v>1598</v>
      </c>
      <c r="I4134" s="23" t="str">
        <f t="shared" si="257"/>
        <v>Ahmedabad</v>
      </c>
      <c r="J4134" s="23">
        <f>COUNTIFS(pg_transaction_cleaned!$O:$O,A4134,pg_transaction_cleaned!$F:$F,"CAPTURE")</f>
        <v>1</v>
      </c>
      <c r="K4134" s="39">
        <f>SUMIFS(pg_transaction_cleaned!$H:$H,pg_transaction_cleaned!$O:$O,A4134,pg_transaction_cleaned!$F:$F,"CAPTURE")</f>
        <v>1598</v>
      </c>
      <c r="L4134" s="23">
        <f>COUNTIFS(pg_transaction_cleaned!$O:$O,A4134,pg_transaction_cleaned!$F:$F,"REFUND")</f>
        <v>0</v>
      </c>
      <c r="M4134" s="39">
        <f>SUMIFS(pg_transaction_cleaned!$H:$H,pg_transaction_cleaned!$O:$O,A4134,pg_transaction_cleaned!$F:$F,"REFUND")</f>
        <v>0</v>
      </c>
      <c r="N4134" s="23" t="str">
        <f t="shared" si="258"/>
        <v>OK</v>
      </c>
      <c r="O4134" s="24">
        <f t="shared" si="259"/>
        <v>0</v>
      </c>
    </row>
    <row r="4135" spans="1:15" ht="15" customHeight="1" x14ac:dyDescent="0.3">
      <c r="A4135" s="23" t="s">
        <v>8747</v>
      </c>
      <c r="B4135" s="38">
        <v>46290</v>
      </c>
      <c r="C4135" s="23" t="s">
        <v>8748</v>
      </c>
      <c r="D4135" s="23" t="s">
        <v>94</v>
      </c>
      <c r="E4135" s="23" t="s">
        <v>79</v>
      </c>
      <c r="F4135" s="23" t="s">
        <v>307</v>
      </c>
      <c r="G4135" s="23" t="s">
        <v>250</v>
      </c>
      <c r="H4135" s="39">
        <f t="shared" si="256"/>
        <v>3798</v>
      </c>
      <c r="I4135" s="23" t="str">
        <f t="shared" si="257"/>
        <v>Chennai</v>
      </c>
      <c r="J4135" s="23">
        <f>COUNTIFS(pg_transaction_cleaned!$O:$O,A4135,pg_transaction_cleaned!$F:$F,"CAPTURE")</f>
        <v>1</v>
      </c>
      <c r="K4135" s="39">
        <f>SUMIFS(pg_transaction_cleaned!$H:$H,pg_transaction_cleaned!$O:$O,A4135,pg_transaction_cleaned!$F:$F,"CAPTURE")</f>
        <v>3798</v>
      </c>
      <c r="L4135" s="23">
        <f>COUNTIFS(pg_transaction_cleaned!$O:$O,A4135,pg_transaction_cleaned!$F:$F,"REFUND")</f>
        <v>0</v>
      </c>
      <c r="M4135" s="39">
        <f>SUMIFS(pg_transaction_cleaned!$H:$H,pg_transaction_cleaned!$O:$O,A4135,pg_transaction_cleaned!$F:$F,"REFUND")</f>
        <v>0</v>
      </c>
      <c r="N4135" s="23" t="str">
        <f t="shared" si="258"/>
        <v>OK</v>
      </c>
      <c r="O4135" s="24">
        <f t="shared" si="259"/>
        <v>0</v>
      </c>
    </row>
    <row r="4136" spans="1:15" ht="15" customHeight="1" x14ac:dyDescent="0.3">
      <c r="A4136" s="23" t="s">
        <v>8749</v>
      </c>
      <c r="B4136" s="38">
        <v>46268</v>
      </c>
      <c r="C4136" s="23" t="s">
        <v>8750</v>
      </c>
      <c r="D4136" s="23" t="s">
        <v>89</v>
      </c>
      <c r="E4136" s="23" t="s">
        <v>75</v>
      </c>
      <c r="F4136" s="23" t="s">
        <v>277</v>
      </c>
      <c r="G4136" s="23" t="s">
        <v>250</v>
      </c>
      <c r="H4136" s="39">
        <f t="shared" si="256"/>
        <v>9497</v>
      </c>
      <c r="I4136" s="23" t="str">
        <f t="shared" si="257"/>
        <v>Jaipur</v>
      </c>
      <c r="J4136" s="23">
        <f>COUNTIFS(pg_transaction_cleaned!$O:$O,A4136,pg_transaction_cleaned!$F:$F,"CAPTURE")</f>
        <v>1</v>
      </c>
      <c r="K4136" s="39">
        <f>SUMIFS(pg_transaction_cleaned!$H:$H,pg_transaction_cleaned!$O:$O,A4136,pg_transaction_cleaned!$F:$F,"CAPTURE")</f>
        <v>9497</v>
      </c>
      <c r="L4136" s="23">
        <f>COUNTIFS(pg_transaction_cleaned!$O:$O,A4136,pg_transaction_cleaned!$F:$F,"REFUND")</f>
        <v>0</v>
      </c>
      <c r="M4136" s="39">
        <f>SUMIFS(pg_transaction_cleaned!$H:$H,pg_transaction_cleaned!$O:$O,A4136,pg_transaction_cleaned!$F:$F,"REFUND")</f>
        <v>0</v>
      </c>
      <c r="N4136" s="23" t="str">
        <f t="shared" si="258"/>
        <v>OK</v>
      </c>
      <c r="O4136" s="24">
        <f t="shared" si="259"/>
        <v>0</v>
      </c>
    </row>
    <row r="4137" spans="1:15" ht="15" customHeight="1" x14ac:dyDescent="0.3">
      <c r="A4137" s="23" t="s">
        <v>8751</v>
      </c>
      <c r="B4137" s="38">
        <v>46277</v>
      </c>
      <c r="C4137" s="23" t="s">
        <v>8752</v>
      </c>
      <c r="D4137" s="23" t="s">
        <v>90</v>
      </c>
      <c r="E4137" s="23" t="s">
        <v>75</v>
      </c>
      <c r="F4137" s="23" t="s">
        <v>268</v>
      </c>
      <c r="G4137" s="23" t="s">
        <v>250</v>
      </c>
      <c r="H4137" s="39">
        <f t="shared" si="256"/>
        <v>1299</v>
      </c>
      <c r="I4137" s="23" t="str">
        <f t="shared" si="257"/>
        <v>Ahmedabad</v>
      </c>
      <c r="J4137" s="23">
        <f>COUNTIFS(pg_transaction_cleaned!$O:$O,A4137,pg_transaction_cleaned!$F:$F,"CAPTURE")</f>
        <v>1</v>
      </c>
      <c r="K4137" s="39">
        <f>SUMIFS(pg_transaction_cleaned!$H:$H,pg_transaction_cleaned!$O:$O,A4137,pg_transaction_cleaned!$F:$F,"CAPTURE")</f>
        <v>1299</v>
      </c>
      <c r="L4137" s="23">
        <f>COUNTIFS(pg_transaction_cleaned!$O:$O,A4137,pg_transaction_cleaned!$F:$F,"REFUND")</f>
        <v>0</v>
      </c>
      <c r="M4137" s="39">
        <f>SUMIFS(pg_transaction_cleaned!$H:$H,pg_transaction_cleaned!$O:$O,A4137,pg_transaction_cleaned!$F:$F,"REFUND")</f>
        <v>0</v>
      </c>
      <c r="N4137" s="23" t="str">
        <f t="shared" si="258"/>
        <v>OK</v>
      </c>
      <c r="O4137" s="24">
        <f t="shared" si="259"/>
        <v>0</v>
      </c>
    </row>
    <row r="4138" spans="1:15" ht="15" customHeight="1" x14ac:dyDescent="0.3">
      <c r="A4138" s="23" t="s">
        <v>8753</v>
      </c>
      <c r="B4138" s="38">
        <v>46292</v>
      </c>
      <c r="C4138" s="23" t="s">
        <v>8754</v>
      </c>
      <c r="D4138" s="23" t="s">
        <v>86</v>
      </c>
      <c r="E4138" s="23" t="s">
        <v>79</v>
      </c>
      <c r="F4138" s="23" t="s">
        <v>249</v>
      </c>
      <c r="G4138" s="23" t="s">
        <v>250</v>
      </c>
      <c r="H4138" s="39">
        <f t="shared" si="256"/>
        <v>299</v>
      </c>
      <c r="I4138" s="23" t="str">
        <f t="shared" si="257"/>
        <v>Delhi</v>
      </c>
      <c r="J4138" s="23">
        <f>COUNTIFS(pg_transaction_cleaned!$O:$O,A4138,pg_transaction_cleaned!$F:$F,"CAPTURE")</f>
        <v>1</v>
      </c>
      <c r="K4138" s="39">
        <f>SUMIFS(pg_transaction_cleaned!$H:$H,pg_transaction_cleaned!$O:$O,A4138,pg_transaction_cleaned!$F:$F,"CAPTURE")</f>
        <v>299</v>
      </c>
      <c r="L4138" s="23">
        <f>COUNTIFS(pg_transaction_cleaned!$O:$O,A4138,pg_transaction_cleaned!$F:$F,"REFUND")</f>
        <v>0</v>
      </c>
      <c r="M4138" s="39">
        <f>SUMIFS(pg_transaction_cleaned!$H:$H,pg_transaction_cleaned!$O:$O,A4138,pg_transaction_cleaned!$F:$F,"REFUND")</f>
        <v>0</v>
      </c>
      <c r="N4138" s="23" t="str">
        <f t="shared" si="258"/>
        <v>OK</v>
      </c>
      <c r="O4138" s="24">
        <f t="shared" si="259"/>
        <v>0</v>
      </c>
    </row>
    <row r="4139" spans="1:15" ht="15" customHeight="1" x14ac:dyDescent="0.3">
      <c r="A4139" s="23" t="s">
        <v>8755</v>
      </c>
      <c r="B4139" s="38">
        <v>46294</v>
      </c>
      <c r="C4139" s="23" t="s">
        <v>8756</v>
      </c>
      <c r="D4139" s="23" t="s">
        <v>86</v>
      </c>
      <c r="E4139" s="23" t="s">
        <v>81</v>
      </c>
      <c r="F4139" s="23" t="s">
        <v>579</v>
      </c>
      <c r="G4139" s="23" t="s">
        <v>250</v>
      </c>
      <c r="H4139" s="39">
        <f t="shared" si="256"/>
        <v>11297</v>
      </c>
      <c r="I4139" s="23" t="str">
        <f t="shared" si="257"/>
        <v>Delhi</v>
      </c>
      <c r="J4139" s="23">
        <f>COUNTIFS(pg_transaction_cleaned!$O:$O,A4139,pg_transaction_cleaned!$F:$F,"CAPTURE")</f>
        <v>1</v>
      </c>
      <c r="K4139" s="39">
        <f>SUMIFS(pg_transaction_cleaned!$H:$H,pg_transaction_cleaned!$O:$O,A4139,pg_transaction_cleaned!$F:$F,"CAPTURE")</f>
        <v>11297</v>
      </c>
      <c r="L4139" s="23">
        <f>COUNTIFS(pg_transaction_cleaned!$O:$O,A4139,pg_transaction_cleaned!$F:$F,"REFUND")</f>
        <v>0</v>
      </c>
      <c r="M4139" s="39">
        <f>SUMIFS(pg_transaction_cleaned!$H:$H,pg_transaction_cleaned!$O:$O,A4139,pg_transaction_cleaned!$F:$F,"REFUND")</f>
        <v>0</v>
      </c>
      <c r="N4139" s="23" t="str">
        <f t="shared" si="258"/>
        <v>OK</v>
      </c>
      <c r="O4139" s="24">
        <f t="shared" si="259"/>
        <v>0</v>
      </c>
    </row>
    <row r="4140" spans="1:15" ht="15" customHeight="1" x14ac:dyDescent="0.3">
      <c r="A4140" s="23" t="s">
        <v>8757</v>
      </c>
      <c r="B4140" s="38">
        <v>46281</v>
      </c>
      <c r="C4140" s="23" t="s">
        <v>8758</v>
      </c>
      <c r="D4140" s="23" t="s">
        <v>91</v>
      </c>
      <c r="E4140" s="23" t="s">
        <v>77</v>
      </c>
      <c r="F4140" s="23" t="s">
        <v>483</v>
      </c>
      <c r="G4140" s="23" t="s">
        <v>365</v>
      </c>
      <c r="H4140" s="39">
        <f t="shared" si="256"/>
        <v>2998</v>
      </c>
      <c r="I4140" s="23" t="str">
        <f t="shared" si="257"/>
        <v>Pune</v>
      </c>
      <c r="J4140" s="23">
        <f>COUNTIFS(pg_transaction_cleaned!$O:$O,A4140,pg_transaction_cleaned!$F:$F,"CAPTURE")</f>
        <v>0</v>
      </c>
      <c r="K4140" s="39">
        <f>SUMIFS(pg_transaction_cleaned!$H:$H,pg_transaction_cleaned!$O:$O,A4140,pg_transaction_cleaned!$F:$F,"CAPTURE")</f>
        <v>0</v>
      </c>
      <c r="L4140" s="23">
        <f>COUNTIFS(pg_transaction_cleaned!$O:$O,A4140,pg_transaction_cleaned!$F:$F,"REFUND")</f>
        <v>0</v>
      </c>
      <c r="M4140" s="39">
        <f>SUMIFS(pg_transaction_cleaned!$H:$H,pg_transaction_cleaned!$O:$O,A4140,pg_transaction_cleaned!$F:$F,"REFUND")</f>
        <v>0</v>
      </c>
      <c r="N4140" s="23" t="str">
        <f t="shared" si="258"/>
        <v>OK</v>
      </c>
      <c r="O4140" s="24">
        <f t="shared" si="259"/>
        <v>0</v>
      </c>
    </row>
    <row r="4141" spans="1:15" ht="15" customHeight="1" x14ac:dyDescent="0.3">
      <c r="A4141" s="23" t="s">
        <v>8759</v>
      </c>
      <c r="B4141" s="38">
        <v>46294</v>
      </c>
      <c r="C4141" s="23" t="s">
        <v>8760</v>
      </c>
      <c r="D4141" s="23" t="s">
        <v>89</v>
      </c>
      <c r="E4141" s="23" t="s">
        <v>79</v>
      </c>
      <c r="F4141" s="23" t="s">
        <v>582</v>
      </c>
      <c r="G4141" s="23" t="s">
        <v>250</v>
      </c>
      <c r="H4141" s="39">
        <f t="shared" si="256"/>
        <v>1298</v>
      </c>
      <c r="I4141" s="23" t="str">
        <f t="shared" si="257"/>
        <v>Jaipur</v>
      </c>
      <c r="J4141" s="23">
        <f>COUNTIFS(pg_transaction_cleaned!$O:$O,A4141,pg_transaction_cleaned!$F:$F,"CAPTURE")</f>
        <v>1</v>
      </c>
      <c r="K4141" s="39">
        <f>SUMIFS(pg_transaction_cleaned!$H:$H,pg_transaction_cleaned!$O:$O,A4141,pg_transaction_cleaned!$F:$F,"CAPTURE")</f>
        <v>1298</v>
      </c>
      <c r="L4141" s="23">
        <f>COUNTIFS(pg_transaction_cleaned!$O:$O,A4141,pg_transaction_cleaned!$F:$F,"REFUND")</f>
        <v>0</v>
      </c>
      <c r="M4141" s="39">
        <f>SUMIFS(pg_transaction_cleaned!$H:$H,pg_transaction_cleaned!$O:$O,A4141,pg_transaction_cleaned!$F:$F,"REFUND")</f>
        <v>0</v>
      </c>
      <c r="N4141" s="23" t="str">
        <f t="shared" si="258"/>
        <v>OK</v>
      </c>
      <c r="O4141" s="24">
        <f t="shared" si="259"/>
        <v>0</v>
      </c>
    </row>
    <row r="4142" spans="1:15" ht="15" customHeight="1" x14ac:dyDescent="0.3">
      <c r="A4142" s="23" t="s">
        <v>8761</v>
      </c>
      <c r="B4142" s="38">
        <v>46295</v>
      </c>
      <c r="C4142" s="23" t="s">
        <v>8762</v>
      </c>
      <c r="D4142" s="23"/>
      <c r="E4142" s="23" t="s">
        <v>75</v>
      </c>
      <c r="F4142" s="23" t="s">
        <v>1367</v>
      </c>
      <c r="G4142" s="23" t="s">
        <v>250</v>
      </c>
      <c r="H4142" s="39">
        <f t="shared" si="256"/>
        <v>898</v>
      </c>
      <c r="I4142" s="23" t="str">
        <f t="shared" si="257"/>
        <v>Unknown</v>
      </c>
      <c r="J4142" s="23">
        <f>COUNTIFS(pg_transaction_cleaned!$O:$O,A4142,pg_transaction_cleaned!$F:$F,"CAPTURE")</f>
        <v>1</v>
      </c>
      <c r="K4142" s="39">
        <f>SUMIFS(pg_transaction_cleaned!$H:$H,pg_transaction_cleaned!$O:$O,A4142,pg_transaction_cleaned!$F:$F,"CAPTURE")</f>
        <v>898</v>
      </c>
      <c r="L4142" s="23">
        <f>COUNTIFS(pg_transaction_cleaned!$O:$O,A4142,pg_transaction_cleaned!$F:$F,"REFUND")</f>
        <v>0</v>
      </c>
      <c r="M4142" s="39">
        <f>SUMIFS(pg_transaction_cleaned!$H:$H,pg_transaction_cleaned!$O:$O,A4142,pg_transaction_cleaned!$F:$F,"REFUND")</f>
        <v>0</v>
      </c>
      <c r="N4142" s="23" t="str">
        <f t="shared" si="258"/>
        <v>OK</v>
      </c>
      <c r="O4142" s="24">
        <f t="shared" si="259"/>
        <v>0</v>
      </c>
    </row>
    <row r="4143" spans="1:15" ht="15" customHeight="1" x14ac:dyDescent="0.3">
      <c r="A4143" s="23" t="s">
        <v>8763</v>
      </c>
      <c r="B4143" s="38">
        <v>46270</v>
      </c>
      <c r="C4143" s="23" t="s">
        <v>8764</v>
      </c>
      <c r="D4143" s="23" t="s">
        <v>86</v>
      </c>
      <c r="E4143" s="23" t="s">
        <v>79</v>
      </c>
      <c r="F4143" s="23" t="s">
        <v>249</v>
      </c>
      <c r="G4143" s="23" t="s">
        <v>250</v>
      </c>
      <c r="H4143" s="39">
        <f t="shared" si="256"/>
        <v>299</v>
      </c>
      <c r="I4143" s="23" t="str">
        <f t="shared" si="257"/>
        <v>Delhi</v>
      </c>
      <c r="J4143" s="23">
        <f>COUNTIFS(pg_transaction_cleaned!$O:$O,A4143,pg_transaction_cleaned!$F:$F,"CAPTURE")</f>
        <v>1</v>
      </c>
      <c r="K4143" s="39">
        <f>SUMIFS(pg_transaction_cleaned!$H:$H,pg_transaction_cleaned!$O:$O,A4143,pg_transaction_cleaned!$F:$F,"CAPTURE")</f>
        <v>299</v>
      </c>
      <c r="L4143" s="23">
        <f>COUNTIFS(pg_transaction_cleaned!$O:$O,A4143,pg_transaction_cleaned!$F:$F,"REFUND")</f>
        <v>0</v>
      </c>
      <c r="M4143" s="39">
        <f>SUMIFS(pg_transaction_cleaned!$H:$H,pg_transaction_cleaned!$O:$O,A4143,pg_transaction_cleaned!$F:$F,"REFUND")</f>
        <v>0</v>
      </c>
      <c r="N4143" s="23" t="str">
        <f t="shared" si="258"/>
        <v>OK</v>
      </c>
      <c r="O4143" s="24">
        <f t="shared" si="259"/>
        <v>0</v>
      </c>
    </row>
    <row r="4144" spans="1:15" ht="15" customHeight="1" x14ac:dyDescent="0.3">
      <c r="A4144" s="23" t="s">
        <v>8765</v>
      </c>
      <c r="B4144" s="38">
        <v>46272</v>
      </c>
      <c r="C4144" s="23" t="s">
        <v>8766</v>
      </c>
      <c r="D4144" s="23" t="s">
        <v>87</v>
      </c>
      <c r="E4144" s="23" t="s">
        <v>75</v>
      </c>
      <c r="F4144" s="23" t="s">
        <v>396</v>
      </c>
      <c r="G4144" s="23" t="s">
        <v>250</v>
      </c>
      <c r="H4144" s="39">
        <f t="shared" si="256"/>
        <v>2999</v>
      </c>
      <c r="I4144" s="23" t="str">
        <f t="shared" si="257"/>
        <v>Mumbai</v>
      </c>
      <c r="J4144" s="23">
        <f>COUNTIFS(pg_transaction_cleaned!$O:$O,A4144,pg_transaction_cleaned!$F:$F,"CAPTURE")</f>
        <v>1</v>
      </c>
      <c r="K4144" s="39">
        <f>SUMIFS(pg_transaction_cleaned!$H:$H,pg_transaction_cleaned!$O:$O,A4144,pg_transaction_cleaned!$F:$F,"CAPTURE")</f>
        <v>2999</v>
      </c>
      <c r="L4144" s="23">
        <f>COUNTIFS(pg_transaction_cleaned!$O:$O,A4144,pg_transaction_cleaned!$F:$F,"REFUND")</f>
        <v>0</v>
      </c>
      <c r="M4144" s="39">
        <f>SUMIFS(pg_transaction_cleaned!$H:$H,pg_transaction_cleaned!$O:$O,A4144,pg_transaction_cleaned!$F:$F,"REFUND")</f>
        <v>0</v>
      </c>
      <c r="N4144" s="23" t="str">
        <f t="shared" si="258"/>
        <v>OK</v>
      </c>
      <c r="O4144" s="24">
        <f t="shared" si="259"/>
        <v>0</v>
      </c>
    </row>
    <row r="4145" spans="1:15" ht="15" customHeight="1" x14ac:dyDescent="0.3">
      <c r="A4145" s="23" t="s">
        <v>8767</v>
      </c>
      <c r="B4145" s="38">
        <v>46277</v>
      </c>
      <c r="C4145" s="23" t="s">
        <v>8768</v>
      </c>
      <c r="D4145" s="23" t="s">
        <v>91</v>
      </c>
      <c r="E4145" s="23" t="s">
        <v>79</v>
      </c>
      <c r="F4145" s="23" t="s">
        <v>6659</v>
      </c>
      <c r="G4145" s="23" t="s">
        <v>250</v>
      </c>
      <c r="H4145" s="39">
        <f t="shared" si="256"/>
        <v>12497</v>
      </c>
      <c r="I4145" s="23" t="str">
        <f t="shared" si="257"/>
        <v>Pune</v>
      </c>
      <c r="J4145" s="23">
        <f>COUNTIFS(pg_transaction_cleaned!$O:$O,A4145,pg_transaction_cleaned!$F:$F,"CAPTURE")</f>
        <v>1</v>
      </c>
      <c r="K4145" s="39">
        <f>SUMIFS(pg_transaction_cleaned!$H:$H,pg_transaction_cleaned!$O:$O,A4145,pg_transaction_cleaned!$F:$F,"CAPTURE")</f>
        <v>12497</v>
      </c>
      <c r="L4145" s="23">
        <f>COUNTIFS(pg_transaction_cleaned!$O:$O,A4145,pg_transaction_cleaned!$F:$F,"REFUND")</f>
        <v>0</v>
      </c>
      <c r="M4145" s="39">
        <f>SUMIFS(pg_transaction_cleaned!$H:$H,pg_transaction_cleaned!$O:$O,A4145,pg_transaction_cleaned!$F:$F,"REFUND")</f>
        <v>0</v>
      </c>
      <c r="N4145" s="23" t="str">
        <f t="shared" si="258"/>
        <v>OK</v>
      </c>
      <c r="O4145" s="24">
        <f t="shared" si="259"/>
        <v>0</v>
      </c>
    </row>
    <row r="4146" spans="1:15" ht="15" customHeight="1" x14ac:dyDescent="0.3">
      <c r="A4146" s="23" t="s">
        <v>8769</v>
      </c>
      <c r="B4146" s="38">
        <v>46290</v>
      </c>
      <c r="C4146" s="23" t="s">
        <v>8770</v>
      </c>
      <c r="D4146" s="23" t="s">
        <v>88</v>
      </c>
      <c r="E4146" s="23" t="s">
        <v>75</v>
      </c>
      <c r="F4146" s="23" t="s">
        <v>1735</v>
      </c>
      <c r="G4146" s="23" t="s">
        <v>250</v>
      </c>
      <c r="H4146" s="39">
        <f t="shared" si="256"/>
        <v>12998</v>
      </c>
      <c r="I4146" s="23" t="str">
        <f t="shared" si="257"/>
        <v>Lucknow</v>
      </c>
      <c r="J4146" s="23">
        <f>COUNTIFS(pg_transaction_cleaned!$O:$O,A4146,pg_transaction_cleaned!$F:$F,"CAPTURE")</f>
        <v>1</v>
      </c>
      <c r="K4146" s="39">
        <f>SUMIFS(pg_transaction_cleaned!$H:$H,pg_transaction_cleaned!$O:$O,A4146,pg_transaction_cleaned!$F:$F,"CAPTURE")</f>
        <v>12998</v>
      </c>
      <c r="L4146" s="23">
        <f>COUNTIFS(pg_transaction_cleaned!$O:$O,A4146,pg_transaction_cleaned!$F:$F,"REFUND")</f>
        <v>0</v>
      </c>
      <c r="M4146" s="39">
        <f>SUMIFS(pg_transaction_cleaned!$H:$H,pg_transaction_cleaned!$O:$O,A4146,pg_transaction_cleaned!$F:$F,"REFUND")</f>
        <v>0</v>
      </c>
      <c r="N4146" s="23" t="str">
        <f t="shared" si="258"/>
        <v>OK</v>
      </c>
      <c r="O4146" s="24">
        <f t="shared" si="259"/>
        <v>0</v>
      </c>
    </row>
    <row r="4147" spans="1:15" ht="15" customHeight="1" x14ac:dyDescent="0.3">
      <c r="A4147" s="23" t="s">
        <v>8771</v>
      </c>
      <c r="B4147" s="38">
        <v>46284</v>
      </c>
      <c r="C4147" s="23" t="s">
        <v>8772</v>
      </c>
      <c r="D4147" s="23" t="s">
        <v>93</v>
      </c>
      <c r="E4147" s="23" t="s">
        <v>79</v>
      </c>
      <c r="F4147" s="23" t="s">
        <v>2859</v>
      </c>
      <c r="G4147" s="23" t="s">
        <v>250</v>
      </c>
      <c r="H4147" s="39">
        <f t="shared" si="256"/>
        <v>3147</v>
      </c>
      <c r="I4147" s="23" t="str">
        <f t="shared" si="257"/>
        <v>Kolkata</v>
      </c>
      <c r="J4147" s="23">
        <f>COUNTIFS(pg_transaction_cleaned!$O:$O,A4147,pg_transaction_cleaned!$F:$F,"CAPTURE")</f>
        <v>1</v>
      </c>
      <c r="K4147" s="39">
        <f>SUMIFS(pg_transaction_cleaned!$H:$H,pg_transaction_cleaned!$O:$O,A4147,pg_transaction_cleaned!$F:$F,"CAPTURE")</f>
        <v>3147</v>
      </c>
      <c r="L4147" s="23">
        <f>COUNTIFS(pg_transaction_cleaned!$O:$O,A4147,pg_transaction_cleaned!$F:$F,"REFUND")</f>
        <v>0</v>
      </c>
      <c r="M4147" s="39">
        <f>SUMIFS(pg_transaction_cleaned!$H:$H,pg_transaction_cleaned!$O:$O,A4147,pg_transaction_cleaned!$F:$F,"REFUND")</f>
        <v>0</v>
      </c>
      <c r="N4147" s="23" t="str">
        <f t="shared" si="258"/>
        <v>OK</v>
      </c>
      <c r="O4147" s="24">
        <f t="shared" si="259"/>
        <v>0</v>
      </c>
    </row>
    <row r="4148" spans="1:15" ht="15" customHeight="1" x14ac:dyDescent="0.3">
      <c r="A4148" s="23" t="s">
        <v>8773</v>
      </c>
      <c r="B4148" s="38">
        <v>46278</v>
      </c>
      <c r="C4148" s="23" t="s">
        <v>8774</v>
      </c>
      <c r="D4148" s="23" t="s">
        <v>93</v>
      </c>
      <c r="E4148" s="23" t="s">
        <v>79</v>
      </c>
      <c r="F4148" s="23" t="s">
        <v>256</v>
      </c>
      <c r="G4148" s="23" t="s">
        <v>250</v>
      </c>
      <c r="H4148" s="39">
        <f t="shared" si="256"/>
        <v>2098</v>
      </c>
      <c r="I4148" s="23" t="str">
        <f t="shared" si="257"/>
        <v>Kolkata</v>
      </c>
      <c r="J4148" s="23">
        <f>COUNTIFS(pg_transaction_cleaned!$O:$O,A4148,pg_transaction_cleaned!$F:$F,"CAPTURE")</f>
        <v>1</v>
      </c>
      <c r="K4148" s="39">
        <f>SUMIFS(pg_transaction_cleaned!$H:$H,pg_transaction_cleaned!$O:$O,A4148,pg_transaction_cleaned!$F:$F,"CAPTURE")</f>
        <v>2098</v>
      </c>
      <c r="L4148" s="23">
        <f>COUNTIFS(pg_transaction_cleaned!$O:$O,A4148,pg_transaction_cleaned!$F:$F,"REFUND")</f>
        <v>0</v>
      </c>
      <c r="M4148" s="39">
        <f>SUMIFS(pg_transaction_cleaned!$H:$H,pg_transaction_cleaned!$O:$O,A4148,pg_transaction_cleaned!$F:$F,"REFUND")</f>
        <v>0</v>
      </c>
      <c r="N4148" s="23" t="str">
        <f t="shared" si="258"/>
        <v>OK</v>
      </c>
      <c r="O4148" s="24">
        <f t="shared" si="259"/>
        <v>0</v>
      </c>
    </row>
    <row r="4149" spans="1:15" ht="15" customHeight="1" x14ac:dyDescent="0.3">
      <c r="A4149" s="23" t="s">
        <v>8775</v>
      </c>
      <c r="B4149" s="38">
        <v>46282</v>
      </c>
      <c r="C4149" s="23" t="s">
        <v>8776</v>
      </c>
      <c r="D4149" s="23" t="s">
        <v>88</v>
      </c>
      <c r="E4149" s="23" t="s">
        <v>75</v>
      </c>
      <c r="F4149" s="23" t="s">
        <v>329</v>
      </c>
      <c r="G4149" s="23" t="s">
        <v>250</v>
      </c>
      <c r="H4149" s="39">
        <f t="shared" si="256"/>
        <v>599</v>
      </c>
      <c r="I4149" s="23" t="str">
        <f t="shared" si="257"/>
        <v>Lucknow</v>
      </c>
      <c r="J4149" s="23">
        <f>COUNTIFS(pg_transaction_cleaned!$O:$O,A4149,pg_transaction_cleaned!$F:$F,"CAPTURE")</f>
        <v>1</v>
      </c>
      <c r="K4149" s="39">
        <f>SUMIFS(pg_transaction_cleaned!$H:$H,pg_transaction_cleaned!$O:$O,A4149,pg_transaction_cleaned!$F:$F,"CAPTURE")</f>
        <v>599</v>
      </c>
      <c r="L4149" s="23">
        <f>COUNTIFS(pg_transaction_cleaned!$O:$O,A4149,pg_transaction_cleaned!$F:$F,"REFUND")</f>
        <v>0</v>
      </c>
      <c r="M4149" s="39">
        <f>SUMIFS(pg_transaction_cleaned!$H:$H,pg_transaction_cleaned!$O:$O,A4149,pg_transaction_cleaned!$F:$F,"REFUND")</f>
        <v>0</v>
      </c>
      <c r="N4149" s="23" t="str">
        <f t="shared" si="258"/>
        <v>OK</v>
      </c>
      <c r="O4149" s="24">
        <f t="shared" si="259"/>
        <v>0</v>
      </c>
    </row>
    <row r="4150" spans="1:15" ht="15" customHeight="1" x14ac:dyDescent="0.3">
      <c r="A4150" s="23" t="s">
        <v>8777</v>
      </c>
      <c r="B4150" s="38">
        <v>46288</v>
      </c>
      <c r="C4150" s="23" t="s">
        <v>8778</v>
      </c>
      <c r="D4150" s="23" t="s">
        <v>86</v>
      </c>
      <c r="E4150" s="23" t="s">
        <v>81</v>
      </c>
      <c r="F4150" s="23" t="s">
        <v>262</v>
      </c>
      <c r="G4150" s="23" t="s">
        <v>250</v>
      </c>
      <c r="H4150" s="39">
        <f t="shared" si="256"/>
        <v>499</v>
      </c>
      <c r="I4150" s="23" t="str">
        <f t="shared" si="257"/>
        <v>Delhi</v>
      </c>
      <c r="J4150" s="23">
        <f>COUNTIFS(pg_transaction_cleaned!$O:$O,A4150,pg_transaction_cleaned!$F:$F,"CAPTURE")</f>
        <v>1</v>
      </c>
      <c r="K4150" s="39">
        <f>SUMIFS(pg_transaction_cleaned!$H:$H,pg_transaction_cleaned!$O:$O,A4150,pg_transaction_cleaned!$F:$F,"CAPTURE")</f>
        <v>499</v>
      </c>
      <c r="L4150" s="23">
        <f>COUNTIFS(pg_transaction_cleaned!$O:$O,A4150,pg_transaction_cleaned!$F:$F,"REFUND")</f>
        <v>0</v>
      </c>
      <c r="M4150" s="39">
        <f>SUMIFS(pg_transaction_cleaned!$H:$H,pg_transaction_cleaned!$O:$O,A4150,pg_transaction_cleaned!$F:$F,"REFUND")</f>
        <v>0</v>
      </c>
      <c r="N4150" s="23" t="str">
        <f t="shared" si="258"/>
        <v>OK</v>
      </c>
      <c r="O4150" s="24">
        <f t="shared" si="259"/>
        <v>0</v>
      </c>
    </row>
    <row r="4151" spans="1:15" ht="15" customHeight="1" x14ac:dyDescent="0.3">
      <c r="A4151" s="23" t="s">
        <v>8779</v>
      </c>
      <c r="B4151" s="38">
        <v>46287</v>
      </c>
      <c r="C4151" s="23" t="s">
        <v>8780</v>
      </c>
      <c r="D4151" s="23" t="s">
        <v>95</v>
      </c>
      <c r="E4151" s="23" t="s">
        <v>79</v>
      </c>
      <c r="F4151" s="23" t="s">
        <v>514</v>
      </c>
      <c r="G4151" s="23" t="s">
        <v>250</v>
      </c>
      <c r="H4151" s="39">
        <f t="shared" si="256"/>
        <v>6498</v>
      </c>
      <c r="I4151" s="23" t="str">
        <f t="shared" si="257"/>
        <v>Bengaluru</v>
      </c>
      <c r="J4151" s="23">
        <f>COUNTIFS(pg_transaction_cleaned!$O:$O,A4151,pg_transaction_cleaned!$F:$F,"CAPTURE")</f>
        <v>1</v>
      </c>
      <c r="K4151" s="39">
        <f>SUMIFS(pg_transaction_cleaned!$H:$H,pg_transaction_cleaned!$O:$O,A4151,pg_transaction_cleaned!$F:$F,"CAPTURE")</f>
        <v>6498</v>
      </c>
      <c r="L4151" s="23">
        <f>COUNTIFS(pg_transaction_cleaned!$O:$O,A4151,pg_transaction_cleaned!$F:$F,"REFUND")</f>
        <v>0</v>
      </c>
      <c r="M4151" s="39">
        <f>SUMIFS(pg_transaction_cleaned!$H:$H,pg_transaction_cleaned!$O:$O,A4151,pg_transaction_cleaned!$F:$F,"REFUND")</f>
        <v>0</v>
      </c>
      <c r="N4151" s="23" t="str">
        <f t="shared" si="258"/>
        <v>OK</v>
      </c>
      <c r="O4151" s="24">
        <f t="shared" si="259"/>
        <v>0</v>
      </c>
    </row>
    <row r="4152" spans="1:15" ht="15" customHeight="1" x14ac:dyDescent="0.3">
      <c r="A4152" s="23" t="s">
        <v>8781</v>
      </c>
      <c r="B4152" s="38">
        <v>46288</v>
      </c>
      <c r="C4152" s="23" t="s">
        <v>8782</v>
      </c>
      <c r="D4152" s="23" t="s">
        <v>95</v>
      </c>
      <c r="E4152" s="23" t="s">
        <v>79</v>
      </c>
      <c r="F4152" s="23" t="s">
        <v>262</v>
      </c>
      <c r="G4152" s="23" t="s">
        <v>250</v>
      </c>
      <c r="H4152" s="39">
        <f t="shared" si="256"/>
        <v>499</v>
      </c>
      <c r="I4152" s="23" t="str">
        <f t="shared" si="257"/>
        <v>Bengaluru</v>
      </c>
      <c r="J4152" s="23">
        <f>COUNTIFS(pg_transaction_cleaned!$O:$O,A4152,pg_transaction_cleaned!$F:$F,"CAPTURE")</f>
        <v>1</v>
      </c>
      <c r="K4152" s="39">
        <f>SUMIFS(pg_transaction_cleaned!$H:$H,pg_transaction_cleaned!$O:$O,A4152,pg_transaction_cleaned!$F:$F,"CAPTURE")</f>
        <v>499</v>
      </c>
      <c r="L4152" s="23">
        <f>COUNTIFS(pg_transaction_cleaned!$O:$O,A4152,pg_transaction_cleaned!$F:$F,"REFUND")</f>
        <v>0</v>
      </c>
      <c r="M4152" s="39">
        <f>SUMIFS(pg_transaction_cleaned!$H:$H,pg_transaction_cleaned!$O:$O,A4152,pg_transaction_cleaned!$F:$F,"REFUND")</f>
        <v>0</v>
      </c>
      <c r="N4152" s="23" t="str">
        <f t="shared" si="258"/>
        <v>OK</v>
      </c>
      <c r="O4152" s="24">
        <f t="shared" si="259"/>
        <v>0</v>
      </c>
    </row>
    <row r="4153" spans="1:15" ht="15" customHeight="1" x14ac:dyDescent="0.3">
      <c r="A4153" s="23" t="s">
        <v>8783</v>
      </c>
      <c r="B4153" s="38">
        <v>46285</v>
      </c>
      <c r="C4153" s="23" t="s">
        <v>4916</v>
      </c>
      <c r="D4153" s="23" t="s">
        <v>95</v>
      </c>
      <c r="E4153" s="23" t="s">
        <v>75</v>
      </c>
      <c r="F4153" s="23" t="s">
        <v>1299</v>
      </c>
      <c r="G4153" s="23" t="s">
        <v>250</v>
      </c>
      <c r="H4153" s="39">
        <f t="shared" si="256"/>
        <v>2097</v>
      </c>
      <c r="I4153" s="23" t="str">
        <f t="shared" si="257"/>
        <v>Bengaluru</v>
      </c>
      <c r="J4153" s="23">
        <f>COUNTIFS(pg_transaction_cleaned!$O:$O,A4153,pg_transaction_cleaned!$F:$F,"CAPTURE")</f>
        <v>1</v>
      </c>
      <c r="K4153" s="39">
        <f>SUMIFS(pg_transaction_cleaned!$H:$H,pg_transaction_cleaned!$O:$O,A4153,pg_transaction_cleaned!$F:$F,"CAPTURE")</f>
        <v>2097</v>
      </c>
      <c r="L4153" s="23">
        <f>COUNTIFS(pg_transaction_cleaned!$O:$O,A4153,pg_transaction_cleaned!$F:$F,"REFUND")</f>
        <v>0</v>
      </c>
      <c r="M4153" s="39">
        <f>SUMIFS(pg_transaction_cleaned!$H:$H,pg_transaction_cleaned!$O:$O,A4153,pg_transaction_cleaned!$F:$F,"REFUND")</f>
        <v>0</v>
      </c>
      <c r="N4153" s="23" t="str">
        <f t="shared" si="258"/>
        <v>OK</v>
      </c>
      <c r="O4153" s="24">
        <f t="shared" si="259"/>
        <v>0</v>
      </c>
    </row>
    <row r="4154" spans="1:15" ht="15" customHeight="1" x14ac:dyDescent="0.3">
      <c r="A4154" s="23" t="s">
        <v>8784</v>
      </c>
      <c r="B4154" s="38">
        <v>46279</v>
      </c>
      <c r="C4154" s="23" t="s">
        <v>8785</v>
      </c>
      <c r="D4154" s="23" t="s">
        <v>88</v>
      </c>
      <c r="E4154" s="23" t="s">
        <v>75</v>
      </c>
      <c r="F4154" s="23" t="s">
        <v>297</v>
      </c>
      <c r="G4154" s="23" t="s">
        <v>250</v>
      </c>
      <c r="H4154" s="39">
        <f t="shared" si="256"/>
        <v>4999</v>
      </c>
      <c r="I4154" s="23" t="str">
        <f t="shared" si="257"/>
        <v>Lucknow</v>
      </c>
      <c r="J4154" s="23">
        <f>COUNTIFS(pg_transaction_cleaned!$O:$O,A4154,pg_transaction_cleaned!$F:$F,"CAPTURE")</f>
        <v>1</v>
      </c>
      <c r="K4154" s="39">
        <f>SUMIFS(pg_transaction_cleaned!$H:$H,pg_transaction_cleaned!$O:$O,A4154,pg_transaction_cleaned!$F:$F,"CAPTURE")</f>
        <v>4999</v>
      </c>
      <c r="L4154" s="23">
        <f>COUNTIFS(pg_transaction_cleaned!$O:$O,A4154,pg_transaction_cleaned!$F:$F,"REFUND")</f>
        <v>0</v>
      </c>
      <c r="M4154" s="39">
        <f>SUMIFS(pg_transaction_cleaned!$H:$H,pg_transaction_cleaned!$O:$O,A4154,pg_transaction_cleaned!$F:$F,"REFUND")</f>
        <v>0</v>
      </c>
      <c r="N4154" s="23" t="str">
        <f t="shared" si="258"/>
        <v>OK</v>
      </c>
      <c r="O4154" s="24">
        <f t="shared" si="259"/>
        <v>0</v>
      </c>
    </row>
    <row r="4155" spans="1:15" ht="15" customHeight="1" x14ac:dyDescent="0.3">
      <c r="A4155" s="23" t="s">
        <v>8786</v>
      </c>
      <c r="B4155" s="38">
        <v>46269</v>
      </c>
      <c r="C4155" s="23" t="s">
        <v>8787</v>
      </c>
      <c r="D4155" s="23" t="s">
        <v>91</v>
      </c>
      <c r="E4155" s="23" t="s">
        <v>79</v>
      </c>
      <c r="F4155" s="23" t="s">
        <v>265</v>
      </c>
      <c r="G4155" s="23" t="s">
        <v>250</v>
      </c>
      <c r="H4155" s="39">
        <f t="shared" si="256"/>
        <v>999</v>
      </c>
      <c r="I4155" s="23" t="str">
        <f t="shared" si="257"/>
        <v>Pune</v>
      </c>
      <c r="J4155" s="23">
        <f>COUNTIFS(pg_transaction_cleaned!$O:$O,A4155,pg_transaction_cleaned!$F:$F,"CAPTURE")</f>
        <v>1</v>
      </c>
      <c r="K4155" s="39">
        <f>SUMIFS(pg_transaction_cleaned!$H:$H,pg_transaction_cleaned!$O:$O,A4155,pg_transaction_cleaned!$F:$F,"CAPTURE")</f>
        <v>999</v>
      </c>
      <c r="L4155" s="23">
        <f>COUNTIFS(pg_transaction_cleaned!$O:$O,A4155,pg_transaction_cleaned!$F:$F,"REFUND")</f>
        <v>0</v>
      </c>
      <c r="M4155" s="39">
        <f>SUMIFS(pg_transaction_cleaned!$H:$H,pg_transaction_cleaned!$O:$O,A4155,pg_transaction_cleaned!$F:$F,"REFUND")</f>
        <v>0</v>
      </c>
      <c r="N4155" s="23" t="str">
        <f t="shared" si="258"/>
        <v>OK</v>
      </c>
      <c r="O4155" s="24">
        <f t="shared" si="259"/>
        <v>0</v>
      </c>
    </row>
    <row r="4156" spans="1:15" ht="15" customHeight="1" x14ac:dyDescent="0.3">
      <c r="A4156" s="23" t="s">
        <v>8788</v>
      </c>
      <c r="B4156" s="38">
        <v>46278</v>
      </c>
      <c r="C4156" s="23" t="s">
        <v>8789</v>
      </c>
      <c r="D4156" s="23" t="s">
        <v>93</v>
      </c>
      <c r="E4156" s="23" t="s">
        <v>75</v>
      </c>
      <c r="F4156" s="23" t="s">
        <v>1552</v>
      </c>
      <c r="G4156" s="23" t="s">
        <v>250</v>
      </c>
      <c r="H4156" s="39">
        <f t="shared" si="256"/>
        <v>9797</v>
      </c>
      <c r="I4156" s="23" t="str">
        <f t="shared" si="257"/>
        <v>Kolkata</v>
      </c>
      <c r="J4156" s="23">
        <f>COUNTIFS(pg_transaction_cleaned!$O:$O,A4156,pg_transaction_cleaned!$F:$F,"CAPTURE")</f>
        <v>1</v>
      </c>
      <c r="K4156" s="39">
        <f>SUMIFS(pg_transaction_cleaned!$H:$H,pg_transaction_cleaned!$O:$O,A4156,pg_transaction_cleaned!$F:$F,"CAPTURE")</f>
        <v>9797</v>
      </c>
      <c r="L4156" s="23">
        <f>COUNTIFS(pg_transaction_cleaned!$O:$O,A4156,pg_transaction_cleaned!$F:$F,"REFUND")</f>
        <v>0</v>
      </c>
      <c r="M4156" s="39">
        <f>SUMIFS(pg_transaction_cleaned!$H:$H,pg_transaction_cleaned!$O:$O,A4156,pg_transaction_cleaned!$F:$F,"REFUND")</f>
        <v>0</v>
      </c>
      <c r="N4156" s="23" t="str">
        <f t="shared" si="258"/>
        <v>OK</v>
      </c>
      <c r="O4156" s="24">
        <f t="shared" si="259"/>
        <v>0</v>
      </c>
    </row>
    <row r="4157" spans="1:15" ht="15" customHeight="1" x14ac:dyDescent="0.3">
      <c r="A4157" s="23" t="s">
        <v>8790</v>
      </c>
      <c r="B4157" s="38">
        <v>46277</v>
      </c>
      <c r="C4157" s="23" t="s">
        <v>8610</v>
      </c>
      <c r="D4157" s="23" t="s">
        <v>94</v>
      </c>
      <c r="E4157" s="23" t="s">
        <v>75</v>
      </c>
      <c r="F4157" s="23" t="s">
        <v>499</v>
      </c>
      <c r="G4157" s="23" t="s">
        <v>250</v>
      </c>
      <c r="H4157" s="39">
        <f t="shared" si="256"/>
        <v>5998</v>
      </c>
      <c r="I4157" s="23" t="str">
        <f t="shared" si="257"/>
        <v>Chennai</v>
      </c>
      <c r="J4157" s="23">
        <f>COUNTIFS(pg_transaction_cleaned!$O:$O,A4157,pg_transaction_cleaned!$F:$F,"CAPTURE")</f>
        <v>1</v>
      </c>
      <c r="K4157" s="39">
        <f>SUMIFS(pg_transaction_cleaned!$H:$H,pg_transaction_cleaned!$O:$O,A4157,pg_transaction_cleaned!$F:$F,"CAPTURE")</f>
        <v>5998</v>
      </c>
      <c r="L4157" s="23">
        <f>COUNTIFS(pg_transaction_cleaned!$O:$O,A4157,pg_transaction_cleaned!$F:$F,"REFUND")</f>
        <v>0</v>
      </c>
      <c r="M4157" s="39">
        <f>SUMIFS(pg_transaction_cleaned!$H:$H,pg_transaction_cleaned!$O:$O,A4157,pg_transaction_cleaned!$F:$F,"REFUND")</f>
        <v>0</v>
      </c>
      <c r="N4157" s="23" t="str">
        <f t="shared" si="258"/>
        <v>OK</v>
      </c>
      <c r="O4157" s="24">
        <f t="shared" si="259"/>
        <v>0</v>
      </c>
    </row>
    <row r="4158" spans="1:15" ht="15" customHeight="1" x14ac:dyDescent="0.3">
      <c r="A4158" s="23" t="s">
        <v>8791</v>
      </c>
      <c r="B4158" s="38">
        <v>46285</v>
      </c>
      <c r="C4158" s="23" t="s">
        <v>8792</v>
      </c>
      <c r="D4158" s="23" t="s">
        <v>92</v>
      </c>
      <c r="E4158" s="23" t="s">
        <v>75</v>
      </c>
      <c r="F4158" s="23" t="s">
        <v>737</v>
      </c>
      <c r="G4158" s="23" t="s">
        <v>365</v>
      </c>
      <c r="H4158" s="39">
        <f t="shared" si="256"/>
        <v>9798</v>
      </c>
      <c r="I4158" s="23" t="str">
        <f t="shared" si="257"/>
        <v>Hyderabad</v>
      </c>
      <c r="J4158" s="23">
        <f>COUNTIFS(pg_transaction_cleaned!$O:$O,A4158,pg_transaction_cleaned!$F:$F,"CAPTURE")</f>
        <v>0</v>
      </c>
      <c r="K4158" s="39">
        <f>SUMIFS(pg_transaction_cleaned!$H:$H,pg_transaction_cleaned!$O:$O,A4158,pg_transaction_cleaned!$F:$F,"CAPTURE")</f>
        <v>0</v>
      </c>
      <c r="L4158" s="23">
        <f>COUNTIFS(pg_transaction_cleaned!$O:$O,A4158,pg_transaction_cleaned!$F:$F,"REFUND")</f>
        <v>0</v>
      </c>
      <c r="M4158" s="39">
        <f>SUMIFS(pg_transaction_cleaned!$H:$H,pg_transaction_cleaned!$O:$O,A4158,pg_transaction_cleaned!$F:$F,"REFUND")</f>
        <v>0</v>
      </c>
      <c r="N4158" s="23" t="str">
        <f t="shared" si="258"/>
        <v>OK</v>
      </c>
      <c r="O4158" s="24">
        <f t="shared" si="259"/>
        <v>0</v>
      </c>
    </row>
    <row r="4159" spans="1:15" ht="15" customHeight="1" x14ac:dyDescent="0.3">
      <c r="A4159" s="23" t="s">
        <v>8793</v>
      </c>
      <c r="B4159" s="38">
        <v>46282</v>
      </c>
      <c r="C4159" s="23" t="s">
        <v>8794</v>
      </c>
      <c r="D4159" s="23" t="s">
        <v>86</v>
      </c>
      <c r="E4159" s="23" t="s">
        <v>77</v>
      </c>
      <c r="F4159" s="23" t="s">
        <v>1108</v>
      </c>
      <c r="G4159" s="23" t="s">
        <v>250</v>
      </c>
      <c r="H4159" s="39">
        <f t="shared" si="256"/>
        <v>4098</v>
      </c>
      <c r="I4159" s="23" t="str">
        <f t="shared" si="257"/>
        <v>Delhi</v>
      </c>
      <c r="J4159" s="23">
        <f>COUNTIFS(pg_transaction_cleaned!$O:$O,A4159,pg_transaction_cleaned!$F:$F,"CAPTURE")</f>
        <v>1</v>
      </c>
      <c r="K4159" s="39">
        <f>SUMIFS(pg_transaction_cleaned!$H:$H,pg_transaction_cleaned!$O:$O,A4159,pg_transaction_cleaned!$F:$F,"CAPTURE")</f>
        <v>4098</v>
      </c>
      <c r="L4159" s="23">
        <f>COUNTIFS(pg_transaction_cleaned!$O:$O,A4159,pg_transaction_cleaned!$F:$F,"REFUND")</f>
        <v>0</v>
      </c>
      <c r="M4159" s="39">
        <f>SUMIFS(pg_transaction_cleaned!$H:$H,pg_transaction_cleaned!$O:$O,A4159,pg_transaction_cleaned!$F:$F,"REFUND")</f>
        <v>0</v>
      </c>
      <c r="N4159" s="23" t="str">
        <f t="shared" si="258"/>
        <v>OK</v>
      </c>
      <c r="O4159" s="24">
        <f t="shared" si="259"/>
        <v>0</v>
      </c>
    </row>
    <row r="4160" spans="1:15" ht="15" customHeight="1" x14ac:dyDescent="0.3">
      <c r="A4160" s="23" t="s">
        <v>8795</v>
      </c>
      <c r="B4160" s="38">
        <v>46269</v>
      </c>
      <c r="C4160" s="23" t="s">
        <v>8796</v>
      </c>
      <c r="D4160" s="23" t="s">
        <v>93</v>
      </c>
      <c r="E4160" s="23" t="s">
        <v>79</v>
      </c>
      <c r="F4160" s="23" t="s">
        <v>271</v>
      </c>
      <c r="G4160" s="23" t="s">
        <v>250</v>
      </c>
      <c r="H4160" s="39">
        <f t="shared" si="256"/>
        <v>2499</v>
      </c>
      <c r="I4160" s="23" t="str">
        <f t="shared" si="257"/>
        <v>Kolkata</v>
      </c>
      <c r="J4160" s="23">
        <f>COUNTIFS(pg_transaction_cleaned!$O:$O,A4160,pg_transaction_cleaned!$F:$F,"CAPTURE")</f>
        <v>1</v>
      </c>
      <c r="K4160" s="39">
        <f>SUMIFS(pg_transaction_cleaned!$H:$H,pg_transaction_cleaned!$O:$O,A4160,pg_transaction_cleaned!$F:$F,"CAPTURE")</f>
        <v>2499</v>
      </c>
      <c r="L4160" s="23">
        <f>COUNTIFS(pg_transaction_cleaned!$O:$O,A4160,pg_transaction_cleaned!$F:$F,"REFUND")</f>
        <v>0</v>
      </c>
      <c r="M4160" s="39">
        <f>SUMIFS(pg_transaction_cleaned!$H:$H,pg_transaction_cleaned!$O:$O,A4160,pg_transaction_cleaned!$F:$F,"REFUND")</f>
        <v>0</v>
      </c>
      <c r="N4160" s="23" t="str">
        <f t="shared" si="258"/>
        <v>OK</v>
      </c>
      <c r="O4160" s="24">
        <f t="shared" si="259"/>
        <v>0</v>
      </c>
    </row>
    <row r="4161" spans="1:15" ht="15" customHeight="1" x14ac:dyDescent="0.3">
      <c r="A4161" s="23" t="s">
        <v>8797</v>
      </c>
      <c r="B4161" s="38">
        <v>46273</v>
      </c>
      <c r="C4161" s="23" t="s">
        <v>8798</v>
      </c>
      <c r="D4161" s="23" t="s">
        <v>86</v>
      </c>
      <c r="E4161" s="23" t="s">
        <v>75</v>
      </c>
      <c r="F4161" s="23" t="s">
        <v>1329</v>
      </c>
      <c r="G4161" s="23" t="s">
        <v>250</v>
      </c>
      <c r="H4161" s="39">
        <f t="shared" si="256"/>
        <v>6097</v>
      </c>
      <c r="I4161" s="23" t="str">
        <f t="shared" si="257"/>
        <v>Delhi</v>
      </c>
      <c r="J4161" s="23">
        <f>COUNTIFS(pg_transaction_cleaned!$O:$O,A4161,pg_transaction_cleaned!$F:$F,"CAPTURE")</f>
        <v>1</v>
      </c>
      <c r="K4161" s="39">
        <f>SUMIFS(pg_transaction_cleaned!$H:$H,pg_transaction_cleaned!$O:$O,A4161,pg_transaction_cleaned!$F:$F,"CAPTURE")</f>
        <v>6097</v>
      </c>
      <c r="L4161" s="23">
        <f>COUNTIFS(pg_transaction_cleaned!$O:$O,A4161,pg_transaction_cleaned!$F:$F,"REFUND")</f>
        <v>0</v>
      </c>
      <c r="M4161" s="39">
        <f>SUMIFS(pg_transaction_cleaned!$H:$H,pg_transaction_cleaned!$O:$O,A4161,pg_transaction_cleaned!$F:$F,"REFUND")</f>
        <v>0</v>
      </c>
      <c r="N4161" s="23" t="str">
        <f t="shared" si="258"/>
        <v>OK</v>
      </c>
      <c r="O4161" s="24">
        <f t="shared" si="259"/>
        <v>0</v>
      </c>
    </row>
    <row r="4162" spans="1:15" ht="15" customHeight="1" x14ac:dyDescent="0.3">
      <c r="A4162" s="23" t="s">
        <v>8799</v>
      </c>
      <c r="B4162" s="38">
        <v>46266</v>
      </c>
      <c r="C4162" s="23" t="s">
        <v>8800</v>
      </c>
      <c r="D4162" s="23" t="s">
        <v>93</v>
      </c>
      <c r="E4162" s="23" t="s">
        <v>77</v>
      </c>
      <c r="F4162" s="23" t="s">
        <v>274</v>
      </c>
      <c r="G4162" s="23" t="s">
        <v>318</v>
      </c>
      <c r="H4162" s="39">
        <f t="shared" ref="H4162:H4225" si="260">VALUE(SUBSTITUTE(F4162,",",""))</f>
        <v>349</v>
      </c>
      <c r="I4162" s="23" t="str">
        <f t="shared" ref="I4162:I4225" si="261">IF(TRIM(D4162)="","Unknown",TRIM(D4162))</f>
        <v>Kolkata</v>
      </c>
      <c r="J4162" s="23">
        <f>COUNTIFS(pg_transaction_cleaned!$O:$O,A4162,pg_transaction_cleaned!$F:$F,"CAPTURE")</f>
        <v>0</v>
      </c>
      <c r="K4162" s="39">
        <f>SUMIFS(pg_transaction_cleaned!$H:$H,pg_transaction_cleaned!$O:$O,A4162,pg_transaction_cleaned!$F:$F,"CAPTURE")</f>
        <v>0</v>
      </c>
      <c r="L4162" s="23">
        <f>COUNTIFS(pg_transaction_cleaned!$O:$O,A4162,pg_transaction_cleaned!$F:$F,"REFUND")</f>
        <v>0</v>
      </c>
      <c r="M4162" s="39">
        <f>SUMIFS(pg_transaction_cleaned!$H:$H,pg_transaction_cleaned!$O:$O,A4162,pg_transaction_cleaned!$F:$F,"REFUND")</f>
        <v>0</v>
      </c>
      <c r="N4162" s="23" t="str">
        <f t="shared" ref="N4162:N4225" si="262">IF(AND(G4162="Paid",J4162=0),"Paid, no payment",IF(AND(OR(G4162="Failed",G4162="Cancelled"),J4162&gt;0),"Payment on failed/cancelled",IF(J4162&gt;1,"Duplicate charge",IF(AND(J4162=1,ROUND(K4162-H4162,2)&lt;&gt;0),"Amount difference",IF(AND(G4162="Refunded",L4162=0),"Refunded, no refund",IF(AND(G4162&lt;&gt;"Refunded",L4162&gt;0),"Refund, order not Refunded",IF(AND(L4162&gt;0,ROUND(M4162-H4162,2)&lt;&gt;0),"Refund amount differs","OK")))))))</f>
        <v>OK</v>
      </c>
      <c r="O4162" s="24">
        <f t="shared" ref="O4162:O4225" si="263">IF(N4162="OK",0,IF(N4162="Paid, no payment",H4162,IF(N4162="Payment on failed/cancelled",K4162,IF(OR(N4162="Duplicate charge",N4162="Amount difference"),K4162-H4162,IF(N4162="Refunded, no refund",H4162,M4162)))))</f>
        <v>0</v>
      </c>
    </row>
    <row r="4163" spans="1:15" ht="15" customHeight="1" x14ac:dyDescent="0.3">
      <c r="A4163" s="23" t="s">
        <v>8801</v>
      </c>
      <c r="B4163" s="38">
        <v>46279</v>
      </c>
      <c r="C4163" s="23" t="s">
        <v>8802</v>
      </c>
      <c r="D4163" s="23" t="s">
        <v>89</v>
      </c>
      <c r="E4163" s="23" t="s">
        <v>75</v>
      </c>
      <c r="F4163" s="23" t="s">
        <v>262</v>
      </c>
      <c r="G4163" s="23" t="s">
        <v>250</v>
      </c>
      <c r="H4163" s="39">
        <f t="shared" si="260"/>
        <v>499</v>
      </c>
      <c r="I4163" s="23" t="str">
        <f t="shared" si="261"/>
        <v>Jaipur</v>
      </c>
      <c r="J4163" s="23">
        <f>COUNTIFS(pg_transaction_cleaned!$O:$O,A4163,pg_transaction_cleaned!$F:$F,"CAPTURE")</f>
        <v>1</v>
      </c>
      <c r="K4163" s="39">
        <f>SUMIFS(pg_transaction_cleaned!$H:$H,pg_transaction_cleaned!$O:$O,A4163,pg_transaction_cleaned!$F:$F,"CAPTURE")</f>
        <v>499</v>
      </c>
      <c r="L4163" s="23">
        <f>COUNTIFS(pg_transaction_cleaned!$O:$O,A4163,pg_transaction_cleaned!$F:$F,"REFUND")</f>
        <v>0</v>
      </c>
      <c r="M4163" s="39">
        <f>SUMIFS(pg_transaction_cleaned!$H:$H,pg_transaction_cleaned!$O:$O,A4163,pg_transaction_cleaned!$F:$F,"REFUND")</f>
        <v>0</v>
      </c>
      <c r="N4163" s="23" t="str">
        <f t="shared" si="262"/>
        <v>OK</v>
      </c>
      <c r="O4163" s="24">
        <f t="shared" si="263"/>
        <v>0</v>
      </c>
    </row>
    <row r="4164" spans="1:15" ht="15" customHeight="1" x14ac:dyDescent="0.3">
      <c r="A4164" s="23" t="s">
        <v>8803</v>
      </c>
      <c r="B4164" s="38">
        <v>46276</v>
      </c>
      <c r="C4164" s="23" t="s">
        <v>8804</v>
      </c>
      <c r="D4164" s="23" t="s">
        <v>86</v>
      </c>
      <c r="E4164" s="23" t="s">
        <v>77</v>
      </c>
      <c r="F4164" s="23" t="s">
        <v>310</v>
      </c>
      <c r="G4164" s="23" t="s">
        <v>365</v>
      </c>
      <c r="H4164" s="39">
        <f t="shared" si="260"/>
        <v>7999</v>
      </c>
      <c r="I4164" s="23" t="str">
        <f t="shared" si="261"/>
        <v>Delhi</v>
      </c>
      <c r="J4164" s="23">
        <f>COUNTIFS(pg_transaction_cleaned!$O:$O,A4164,pg_transaction_cleaned!$F:$F,"CAPTURE")</f>
        <v>0</v>
      </c>
      <c r="K4164" s="39">
        <f>SUMIFS(pg_transaction_cleaned!$H:$H,pg_transaction_cleaned!$O:$O,A4164,pg_transaction_cleaned!$F:$F,"CAPTURE")</f>
        <v>0</v>
      </c>
      <c r="L4164" s="23">
        <f>COUNTIFS(pg_transaction_cleaned!$O:$O,A4164,pg_transaction_cleaned!$F:$F,"REFUND")</f>
        <v>0</v>
      </c>
      <c r="M4164" s="39">
        <f>SUMIFS(pg_transaction_cleaned!$H:$H,pg_transaction_cleaned!$O:$O,A4164,pg_transaction_cleaned!$F:$F,"REFUND")</f>
        <v>0</v>
      </c>
      <c r="N4164" s="23" t="str">
        <f t="shared" si="262"/>
        <v>OK</v>
      </c>
      <c r="O4164" s="24">
        <f t="shared" si="263"/>
        <v>0</v>
      </c>
    </row>
    <row r="4165" spans="1:15" ht="15" customHeight="1" x14ac:dyDescent="0.3">
      <c r="A4165" s="23" t="s">
        <v>8805</v>
      </c>
      <c r="B4165" s="38">
        <v>46275</v>
      </c>
      <c r="C4165" s="23" t="s">
        <v>8806</v>
      </c>
      <c r="D4165" s="23" t="s">
        <v>86</v>
      </c>
      <c r="E4165" s="23" t="s">
        <v>79</v>
      </c>
      <c r="F4165" s="23" t="s">
        <v>249</v>
      </c>
      <c r="G4165" s="23" t="s">
        <v>250</v>
      </c>
      <c r="H4165" s="39">
        <f t="shared" si="260"/>
        <v>299</v>
      </c>
      <c r="I4165" s="23" t="str">
        <f t="shared" si="261"/>
        <v>Delhi</v>
      </c>
      <c r="J4165" s="23">
        <f>COUNTIFS(pg_transaction_cleaned!$O:$O,A4165,pg_transaction_cleaned!$F:$F,"CAPTURE")</f>
        <v>1</v>
      </c>
      <c r="K4165" s="39">
        <f>SUMIFS(pg_transaction_cleaned!$H:$H,pg_transaction_cleaned!$O:$O,A4165,pg_transaction_cleaned!$F:$F,"CAPTURE")</f>
        <v>299</v>
      </c>
      <c r="L4165" s="23">
        <f>COUNTIFS(pg_transaction_cleaned!$O:$O,A4165,pg_transaction_cleaned!$F:$F,"REFUND")</f>
        <v>0</v>
      </c>
      <c r="M4165" s="39">
        <f>SUMIFS(pg_transaction_cleaned!$H:$H,pg_transaction_cleaned!$O:$O,A4165,pg_transaction_cleaned!$F:$F,"REFUND")</f>
        <v>0</v>
      </c>
      <c r="N4165" s="23" t="str">
        <f t="shared" si="262"/>
        <v>OK</v>
      </c>
      <c r="O4165" s="24">
        <f t="shared" si="263"/>
        <v>0</v>
      </c>
    </row>
    <row r="4166" spans="1:15" ht="15" customHeight="1" x14ac:dyDescent="0.3">
      <c r="A4166" s="23" t="s">
        <v>8807</v>
      </c>
      <c r="B4166" s="38">
        <v>46266</v>
      </c>
      <c r="C4166" s="23" t="s">
        <v>1197</v>
      </c>
      <c r="D4166" s="23" t="s">
        <v>87</v>
      </c>
      <c r="E4166" s="23" t="s">
        <v>75</v>
      </c>
      <c r="F4166" s="23" t="s">
        <v>288</v>
      </c>
      <c r="G4166" s="23" t="s">
        <v>250</v>
      </c>
      <c r="H4166" s="39">
        <f t="shared" si="260"/>
        <v>4298</v>
      </c>
      <c r="I4166" s="23" t="str">
        <f t="shared" si="261"/>
        <v>Mumbai</v>
      </c>
      <c r="J4166" s="23">
        <f>COUNTIFS(pg_transaction_cleaned!$O:$O,A4166,pg_transaction_cleaned!$F:$F,"CAPTURE")</f>
        <v>1</v>
      </c>
      <c r="K4166" s="39">
        <f>SUMIFS(pg_transaction_cleaned!$H:$H,pg_transaction_cleaned!$O:$O,A4166,pg_transaction_cleaned!$F:$F,"CAPTURE")</f>
        <v>4298</v>
      </c>
      <c r="L4166" s="23">
        <f>COUNTIFS(pg_transaction_cleaned!$O:$O,A4166,pg_transaction_cleaned!$F:$F,"REFUND")</f>
        <v>0</v>
      </c>
      <c r="M4166" s="39">
        <f>SUMIFS(pg_transaction_cleaned!$H:$H,pg_transaction_cleaned!$O:$O,A4166,pg_transaction_cleaned!$F:$F,"REFUND")</f>
        <v>0</v>
      </c>
      <c r="N4166" s="23" t="str">
        <f t="shared" si="262"/>
        <v>OK</v>
      </c>
      <c r="O4166" s="24">
        <f t="shared" si="263"/>
        <v>0</v>
      </c>
    </row>
    <row r="4167" spans="1:15" ht="15" customHeight="1" x14ac:dyDescent="0.3">
      <c r="A4167" s="23" t="s">
        <v>8808</v>
      </c>
      <c r="B4167" s="38">
        <v>46276</v>
      </c>
      <c r="C4167" s="23" t="s">
        <v>8809</v>
      </c>
      <c r="D4167" s="23" t="s">
        <v>95</v>
      </c>
      <c r="E4167" s="23" t="s">
        <v>79</v>
      </c>
      <c r="F4167" s="23" t="s">
        <v>271</v>
      </c>
      <c r="G4167" s="23" t="s">
        <v>250</v>
      </c>
      <c r="H4167" s="39">
        <f t="shared" si="260"/>
        <v>2499</v>
      </c>
      <c r="I4167" s="23" t="str">
        <f t="shared" si="261"/>
        <v>Bengaluru</v>
      </c>
      <c r="J4167" s="23">
        <f>COUNTIFS(pg_transaction_cleaned!$O:$O,A4167,pg_transaction_cleaned!$F:$F,"CAPTURE")</f>
        <v>1</v>
      </c>
      <c r="K4167" s="39">
        <f>SUMIFS(pg_transaction_cleaned!$H:$H,pg_transaction_cleaned!$O:$O,A4167,pg_transaction_cleaned!$F:$F,"CAPTURE")</f>
        <v>2499</v>
      </c>
      <c r="L4167" s="23">
        <f>COUNTIFS(pg_transaction_cleaned!$O:$O,A4167,pg_transaction_cleaned!$F:$F,"REFUND")</f>
        <v>0</v>
      </c>
      <c r="M4167" s="39">
        <f>SUMIFS(pg_transaction_cleaned!$H:$H,pg_transaction_cleaned!$O:$O,A4167,pg_transaction_cleaned!$F:$F,"REFUND")</f>
        <v>0</v>
      </c>
      <c r="N4167" s="23" t="str">
        <f t="shared" si="262"/>
        <v>OK</v>
      </c>
      <c r="O4167" s="24">
        <f t="shared" si="263"/>
        <v>0</v>
      </c>
    </row>
    <row r="4168" spans="1:15" ht="15" customHeight="1" x14ac:dyDescent="0.3">
      <c r="A4168" s="23" t="s">
        <v>8810</v>
      </c>
      <c r="B4168" s="38">
        <v>46292</v>
      </c>
      <c r="C4168" s="23" t="s">
        <v>3390</v>
      </c>
      <c r="D4168" s="23" t="s">
        <v>95</v>
      </c>
      <c r="E4168" s="23" t="s">
        <v>75</v>
      </c>
      <c r="F4168" s="23" t="s">
        <v>315</v>
      </c>
      <c r="G4168" s="23" t="s">
        <v>250</v>
      </c>
      <c r="H4168" s="39">
        <f t="shared" si="260"/>
        <v>1499</v>
      </c>
      <c r="I4168" s="23" t="str">
        <f t="shared" si="261"/>
        <v>Bengaluru</v>
      </c>
      <c r="J4168" s="23">
        <f>COUNTIFS(pg_transaction_cleaned!$O:$O,A4168,pg_transaction_cleaned!$F:$F,"CAPTURE")</f>
        <v>1</v>
      </c>
      <c r="K4168" s="39">
        <f>SUMIFS(pg_transaction_cleaned!$H:$H,pg_transaction_cleaned!$O:$O,A4168,pg_transaction_cleaned!$F:$F,"CAPTURE")</f>
        <v>1499</v>
      </c>
      <c r="L4168" s="23">
        <f>COUNTIFS(pg_transaction_cleaned!$O:$O,A4168,pg_transaction_cleaned!$F:$F,"REFUND")</f>
        <v>0</v>
      </c>
      <c r="M4168" s="39">
        <f>SUMIFS(pg_transaction_cleaned!$H:$H,pg_transaction_cleaned!$O:$O,A4168,pg_transaction_cleaned!$F:$F,"REFUND")</f>
        <v>0</v>
      </c>
      <c r="N4168" s="23" t="str">
        <f t="shared" si="262"/>
        <v>OK</v>
      </c>
      <c r="O4168" s="24">
        <f t="shared" si="263"/>
        <v>0</v>
      </c>
    </row>
    <row r="4169" spans="1:15" ht="15" customHeight="1" x14ac:dyDescent="0.3">
      <c r="A4169" s="23" t="s">
        <v>8811</v>
      </c>
      <c r="B4169" s="38">
        <v>46289</v>
      </c>
      <c r="C4169" s="23" t="s">
        <v>8812</v>
      </c>
      <c r="D4169" s="23" t="s">
        <v>94</v>
      </c>
      <c r="E4169" s="23" t="s">
        <v>75</v>
      </c>
      <c r="F4169" s="23" t="s">
        <v>396</v>
      </c>
      <c r="G4169" s="23" t="s">
        <v>250</v>
      </c>
      <c r="H4169" s="39">
        <f t="shared" si="260"/>
        <v>2999</v>
      </c>
      <c r="I4169" s="23" t="str">
        <f t="shared" si="261"/>
        <v>Chennai</v>
      </c>
      <c r="J4169" s="23">
        <f>COUNTIFS(pg_transaction_cleaned!$O:$O,A4169,pg_transaction_cleaned!$F:$F,"CAPTURE")</f>
        <v>1</v>
      </c>
      <c r="K4169" s="39">
        <f>SUMIFS(pg_transaction_cleaned!$H:$H,pg_transaction_cleaned!$O:$O,A4169,pg_transaction_cleaned!$F:$F,"CAPTURE")</f>
        <v>2999</v>
      </c>
      <c r="L4169" s="23">
        <f>COUNTIFS(pg_transaction_cleaned!$O:$O,A4169,pg_transaction_cleaned!$F:$F,"REFUND")</f>
        <v>0</v>
      </c>
      <c r="M4169" s="39">
        <f>SUMIFS(pg_transaction_cleaned!$H:$H,pg_transaction_cleaned!$O:$O,A4169,pg_transaction_cleaned!$F:$F,"REFUND")</f>
        <v>0</v>
      </c>
      <c r="N4169" s="23" t="str">
        <f t="shared" si="262"/>
        <v>OK</v>
      </c>
      <c r="O4169" s="24">
        <f t="shared" si="263"/>
        <v>0</v>
      </c>
    </row>
    <row r="4170" spans="1:15" ht="15" customHeight="1" x14ac:dyDescent="0.3">
      <c r="A4170" s="23" t="s">
        <v>8813</v>
      </c>
      <c r="B4170" s="38">
        <v>46294</v>
      </c>
      <c r="C4170" s="23" t="s">
        <v>8814</v>
      </c>
      <c r="D4170" s="23" t="s">
        <v>87</v>
      </c>
      <c r="E4170" s="23" t="s">
        <v>75</v>
      </c>
      <c r="F4170" s="23" t="s">
        <v>675</v>
      </c>
      <c r="G4170" s="23" t="s">
        <v>365</v>
      </c>
      <c r="H4170" s="39">
        <f t="shared" si="260"/>
        <v>10998</v>
      </c>
      <c r="I4170" s="23" t="str">
        <f t="shared" si="261"/>
        <v>Mumbai</v>
      </c>
      <c r="J4170" s="23">
        <f>COUNTIFS(pg_transaction_cleaned!$O:$O,A4170,pg_transaction_cleaned!$F:$F,"CAPTURE")</f>
        <v>0</v>
      </c>
      <c r="K4170" s="39">
        <f>SUMIFS(pg_transaction_cleaned!$H:$H,pg_transaction_cleaned!$O:$O,A4170,pg_transaction_cleaned!$F:$F,"CAPTURE")</f>
        <v>0</v>
      </c>
      <c r="L4170" s="23">
        <f>COUNTIFS(pg_transaction_cleaned!$O:$O,A4170,pg_transaction_cleaned!$F:$F,"REFUND")</f>
        <v>0</v>
      </c>
      <c r="M4170" s="39">
        <f>SUMIFS(pg_transaction_cleaned!$H:$H,pg_transaction_cleaned!$O:$O,A4170,pg_transaction_cleaned!$F:$F,"REFUND")</f>
        <v>0</v>
      </c>
      <c r="N4170" s="23" t="str">
        <f t="shared" si="262"/>
        <v>OK</v>
      </c>
      <c r="O4170" s="24">
        <f t="shared" si="263"/>
        <v>0</v>
      </c>
    </row>
    <row r="4171" spans="1:15" ht="15" customHeight="1" x14ac:dyDescent="0.3">
      <c r="A4171" s="23" t="s">
        <v>8815</v>
      </c>
      <c r="B4171" s="38">
        <v>46268</v>
      </c>
      <c r="C4171" s="23" t="s">
        <v>8816</v>
      </c>
      <c r="D4171" s="23" t="s">
        <v>88</v>
      </c>
      <c r="E4171" s="23" t="s">
        <v>79</v>
      </c>
      <c r="F4171" s="23" t="s">
        <v>249</v>
      </c>
      <c r="G4171" s="23" t="s">
        <v>250</v>
      </c>
      <c r="H4171" s="39">
        <f t="shared" si="260"/>
        <v>299</v>
      </c>
      <c r="I4171" s="23" t="str">
        <f t="shared" si="261"/>
        <v>Lucknow</v>
      </c>
      <c r="J4171" s="23">
        <f>COUNTIFS(pg_transaction_cleaned!$O:$O,A4171,pg_transaction_cleaned!$F:$F,"CAPTURE")</f>
        <v>1</v>
      </c>
      <c r="K4171" s="39">
        <f>SUMIFS(pg_transaction_cleaned!$H:$H,pg_transaction_cleaned!$O:$O,A4171,pg_transaction_cleaned!$F:$F,"CAPTURE")</f>
        <v>299</v>
      </c>
      <c r="L4171" s="23">
        <f>COUNTIFS(pg_transaction_cleaned!$O:$O,A4171,pg_transaction_cleaned!$F:$F,"REFUND")</f>
        <v>0</v>
      </c>
      <c r="M4171" s="39">
        <f>SUMIFS(pg_transaction_cleaned!$H:$H,pg_transaction_cleaned!$O:$O,A4171,pg_transaction_cleaned!$F:$F,"REFUND")</f>
        <v>0</v>
      </c>
      <c r="N4171" s="23" t="str">
        <f t="shared" si="262"/>
        <v>OK</v>
      </c>
      <c r="O4171" s="24">
        <f t="shared" si="263"/>
        <v>0</v>
      </c>
    </row>
    <row r="4172" spans="1:15" ht="15" customHeight="1" x14ac:dyDescent="0.3">
      <c r="A4172" s="23" t="s">
        <v>8817</v>
      </c>
      <c r="B4172" s="38">
        <v>46284</v>
      </c>
      <c r="C4172" s="23" t="s">
        <v>8818</v>
      </c>
      <c r="D4172" s="23" t="s">
        <v>92</v>
      </c>
      <c r="E4172" s="23" t="s">
        <v>75</v>
      </c>
      <c r="F4172" s="23" t="s">
        <v>274</v>
      </c>
      <c r="G4172" s="23" t="s">
        <v>250</v>
      </c>
      <c r="H4172" s="39">
        <f t="shared" si="260"/>
        <v>349</v>
      </c>
      <c r="I4172" s="23" t="str">
        <f t="shared" si="261"/>
        <v>Hyderabad</v>
      </c>
      <c r="J4172" s="23">
        <f>COUNTIFS(pg_transaction_cleaned!$O:$O,A4172,pg_transaction_cleaned!$F:$F,"CAPTURE")</f>
        <v>1</v>
      </c>
      <c r="K4172" s="39">
        <f>SUMIFS(pg_transaction_cleaned!$H:$H,pg_transaction_cleaned!$O:$O,A4172,pg_transaction_cleaned!$F:$F,"CAPTURE")</f>
        <v>349</v>
      </c>
      <c r="L4172" s="23">
        <f>COUNTIFS(pg_transaction_cleaned!$O:$O,A4172,pg_transaction_cleaned!$F:$F,"REFUND")</f>
        <v>0</v>
      </c>
      <c r="M4172" s="39">
        <f>SUMIFS(pg_transaction_cleaned!$H:$H,pg_transaction_cleaned!$O:$O,A4172,pg_transaction_cleaned!$F:$F,"REFUND")</f>
        <v>0</v>
      </c>
      <c r="N4172" s="23" t="str">
        <f t="shared" si="262"/>
        <v>OK</v>
      </c>
      <c r="O4172" s="24">
        <f t="shared" si="263"/>
        <v>0</v>
      </c>
    </row>
    <row r="4173" spans="1:15" ht="15" customHeight="1" x14ac:dyDescent="0.3">
      <c r="A4173" s="23" t="s">
        <v>8819</v>
      </c>
      <c r="B4173" s="38">
        <v>46293</v>
      </c>
      <c r="C4173" s="23" t="s">
        <v>8820</v>
      </c>
      <c r="D4173" s="23" t="s">
        <v>94</v>
      </c>
      <c r="E4173" s="23" t="s">
        <v>77</v>
      </c>
      <c r="F4173" s="23" t="s">
        <v>1372</v>
      </c>
      <c r="G4173" s="23" t="s">
        <v>250</v>
      </c>
      <c r="H4173" s="39">
        <f t="shared" si="260"/>
        <v>798</v>
      </c>
      <c r="I4173" s="23" t="str">
        <f t="shared" si="261"/>
        <v>Chennai</v>
      </c>
      <c r="J4173" s="23">
        <f>COUNTIFS(pg_transaction_cleaned!$O:$O,A4173,pg_transaction_cleaned!$F:$F,"CAPTURE")</f>
        <v>1</v>
      </c>
      <c r="K4173" s="39">
        <f>SUMIFS(pg_transaction_cleaned!$H:$H,pg_transaction_cleaned!$O:$O,A4173,pg_transaction_cleaned!$F:$F,"CAPTURE")</f>
        <v>798</v>
      </c>
      <c r="L4173" s="23">
        <f>COUNTIFS(pg_transaction_cleaned!$O:$O,A4173,pg_transaction_cleaned!$F:$F,"REFUND")</f>
        <v>0</v>
      </c>
      <c r="M4173" s="39">
        <f>SUMIFS(pg_transaction_cleaned!$H:$H,pg_transaction_cleaned!$O:$O,A4173,pg_transaction_cleaned!$F:$F,"REFUND")</f>
        <v>0</v>
      </c>
      <c r="N4173" s="23" t="str">
        <f t="shared" si="262"/>
        <v>OK</v>
      </c>
      <c r="O4173" s="24">
        <f t="shared" si="263"/>
        <v>0</v>
      </c>
    </row>
    <row r="4174" spans="1:15" ht="15" customHeight="1" x14ac:dyDescent="0.3">
      <c r="A4174" s="23" t="s">
        <v>8821</v>
      </c>
      <c r="B4174" s="38">
        <v>46288</v>
      </c>
      <c r="C4174" s="23" t="s">
        <v>8822</v>
      </c>
      <c r="D4174" s="23" t="s">
        <v>86</v>
      </c>
      <c r="E4174" s="23" t="s">
        <v>77</v>
      </c>
      <c r="F4174" s="23" t="s">
        <v>274</v>
      </c>
      <c r="G4174" s="23" t="s">
        <v>250</v>
      </c>
      <c r="H4174" s="39">
        <f t="shared" si="260"/>
        <v>349</v>
      </c>
      <c r="I4174" s="23" t="str">
        <f t="shared" si="261"/>
        <v>Delhi</v>
      </c>
      <c r="J4174" s="23">
        <f>COUNTIFS(pg_transaction_cleaned!$O:$O,A4174,pg_transaction_cleaned!$F:$F,"CAPTURE")</f>
        <v>1</v>
      </c>
      <c r="K4174" s="39">
        <f>SUMIFS(pg_transaction_cleaned!$H:$H,pg_transaction_cleaned!$O:$O,A4174,pg_transaction_cleaned!$F:$F,"CAPTURE")</f>
        <v>349</v>
      </c>
      <c r="L4174" s="23">
        <f>COUNTIFS(pg_transaction_cleaned!$O:$O,A4174,pg_transaction_cleaned!$F:$F,"REFUND")</f>
        <v>0</v>
      </c>
      <c r="M4174" s="39">
        <f>SUMIFS(pg_transaction_cleaned!$H:$H,pg_transaction_cleaned!$O:$O,A4174,pg_transaction_cleaned!$F:$F,"REFUND")</f>
        <v>0</v>
      </c>
      <c r="N4174" s="23" t="str">
        <f t="shared" si="262"/>
        <v>OK</v>
      </c>
      <c r="O4174" s="24">
        <f t="shared" si="263"/>
        <v>0</v>
      </c>
    </row>
    <row r="4175" spans="1:15" ht="15" customHeight="1" x14ac:dyDescent="0.3">
      <c r="A4175" s="23" t="s">
        <v>8823</v>
      </c>
      <c r="B4175" s="38">
        <v>46285</v>
      </c>
      <c r="C4175" s="23" t="s">
        <v>8824</v>
      </c>
      <c r="D4175" s="23" t="s">
        <v>90</v>
      </c>
      <c r="E4175" s="23" t="s">
        <v>77</v>
      </c>
      <c r="F4175" s="23" t="s">
        <v>1448</v>
      </c>
      <c r="G4175" s="23" t="s">
        <v>250</v>
      </c>
      <c r="H4175" s="39">
        <f t="shared" si="260"/>
        <v>6297</v>
      </c>
      <c r="I4175" s="23" t="str">
        <f t="shared" si="261"/>
        <v>Ahmedabad</v>
      </c>
      <c r="J4175" s="23">
        <f>COUNTIFS(pg_transaction_cleaned!$O:$O,A4175,pg_transaction_cleaned!$F:$F,"CAPTURE")</f>
        <v>1</v>
      </c>
      <c r="K4175" s="39">
        <f>SUMIFS(pg_transaction_cleaned!$H:$H,pg_transaction_cleaned!$O:$O,A4175,pg_transaction_cleaned!$F:$F,"CAPTURE")</f>
        <v>6297</v>
      </c>
      <c r="L4175" s="23">
        <f>COUNTIFS(pg_transaction_cleaned!$O:$O,A4175,pg_transaction_cleaned!$F:$F,"REFUND")</f>
        <v>0</v>
      </c>
      <c r="M4175" s="39">
        <f>SUMIFS(pg_transaction_cleaned!$H:$H,pg_transaction_cleaned!$O:$O,A4175,pg_transaction_cleaned!$F:$F,"REFUND")</f>
        <v>0</v>
      </c>
      <c r="N4175" s="23" t="str">
        <f t="shared" si="262"/>
        <v>OK</v>
      </c>
      <c r="O4175" s="24">
        <f t="shared" si="263"/>
        <v>0</v>
      </c>
    </row>
    <row r="4176" spans="1:15" ht="15" customHeight="1" x14ac:dyDescent="0.3">
      <c r="A4176" s="23" t="s">
        <v>8825</v>
      </c>
      <c r="B4176" s="38">
        <v>46279</v>
      </c>
      <c r="C4176" s="23" t="s">
        <v>8826</v>
      </c>
      <c r="D4176" s="23" t="s">
        <v>87</v>
      </c>
      <c r="E4176" s="23" t="s">
        <v>75</v>
      </c>
      <c r="F4176" s="23" t="s">
        <v>632</v>
      </c>
      <c r="G4176" s="23" t="s">
        <v>250</v>
      </c>
      <c r="H4176" s="39">
        <f t="shared" si="260"/>
        <v>948</v>
      </c>
      <c r="I4176" s="23" t="str">
        <f t="shared" si="261"/>
        <v>Mumbai</v>
      </c>
      <c r="J4176" s="23">
        <f>COUNTIFS(pg_transaction_cleaned!$O:$O,A4176,pg_transaction_cleaned!$F:$F,"CAPTURE")</f>
        <v>1</v>
      </c>
      <c r="K4176" s="39">
        <f>SUMIFS(pg_transaction_cleaned!$H:$H,pg_transaction_cleaned!$O:$O,A4176,pg_transaction_cleaned!$F:$F,"CAPTURE")</f>
        <v>948</v>
      </c>
      <c r="L4176" s="23">
        <f>COUNTIFS(pg_transaction_cleaned!$O:$O,A4176,pg_transaction_cleaned!$F:$F,"REFUND")</f>
        <v>0</v>
      </c>
      <c r="M4176" s="39">
        <f>SUMIFS(pg_transaction_cleaned!$H:$H,pg_transaction_cleaned!$O:$O,A4176,pg_transaction_cleaned!$F:$F,"REFUND")</f>
        <v>0</v>
      </c>
      <c r="N4176" s="23" t="str">
        <f t="shared" si="262"/>
        <v>OK</v>
      </c>
      <c r="O4176" s="24">
        <f t="shared" si="263"/>
        <v>0</v>
      </c>
    </row>
    <row r="4177" spans="1:15" ht="15" customHeight="1" x14ac:dyDescent="0.3">
      <c r="A4177" s="23" t="s">
        <v>8827</v>
      </c>
      <c r="B4177" s="38">
        <v>46282</v>
      </c>
      <c r="C4177" s="23" t="s">
        <v>8828</v>
      </c>
      <c r="D4177" s="23" t="s">
        <v>89</v>
      </c>
      <c r="E4177" s="23" t="s">
        <v>79</v>
      </c>
      <c r="F4177" s="23" t="s">
        <v>262</v>
      </c>
      <c r="G4177" s="23" t="s">
        <v>301</v>
      </c>
      <c r="H4177" s="39">
        <f t="shared" si="260"/>
        <v>499</v>
      </c>
      <c r="I4177" s="23" t="str">
        <f t="shared" si="261"/>
        <v>Jaipur</v>
      </c>
      <c r="J4177" s="23">
        <f>COUNTIFS(pg_transaction_cleaned!$O:$O,A4177,pg_transaction_cleaned!$F:$F,"CAPTURE")</f>
        <v>1</v>
      </c>
      <c r="K4177" s="39">
        <f>SUMIFS(pg_transaction_cleaned!$H:$H,pg_transaction_cleaned!$O:$O,A4177,pg_transaction_cleaned!$F:$F,"CAPTURE")</f>
        <v>499</v>
      </c>
      <c r="L4177" s="23">
        <f>COUNTIFS(pg_transaction_cleaned!$O:$O,A4177,pg_transaction_cleaned!$F:$F,"REFUND")</f>
        <v>1</v>
      </c>
      <c r="M4177" s="39">
        <f>SUMIFS(pg_transaction_cleaned!$H:$H,pg_transaction_cleaned!$O:$O,A4177,pg_transaction_cleaned!$F:$F,"REFUND")</f>
        <v>499</v>
      </c>
      <c r="N4177" s="23" t="str">
        <f t="shared" si="262"/>
        <v>OK</v>
      </c>
      <c r="O4177" s="24">
        <f t="shared" si="263"/>
        <v>0</v>
      </c>
    </row>
    <row r="4178" spans="1:15" ht="15" customHeight="1" x14ac:dyDescent="0.3">
      <c r="A4178" s="23" t="s">
        <v>8829</v>
      </c>
      <c r="B4178" s="38">
        <v>46268</v>
      </c>
      <c r="C4178" s="23" t="s">
        <v>8830</v>
      </c>
      <c r="D4178" s="23" t="s">
        <v>90</v>
      </c>
      <c r="E4178" s="23" t="s">
        <v>79</v>
      </c>
      <c r="F4178" s="23" t="s">
        <v>310</v>
      </c>
      <c r="G4178" s="23" t="s">
        <v>301</v>
      </c>
      <c r="H4178" s="39">
        <f t="shared" si="260"/>
        <v>7999</v>
      </c>
      <c r="I4178" s="23" t="str">
        <f t="shared" si="261"/>
        <v>Ahmedabad</v>
      </c>
      <c r="J4178" s="23">
        <f>COUNTIFS(pg_transaction_cleaned!$O:$O,A4178,pg_transaction_cleaned!$F:$F,"CAPTURE")</f>
        <v>1</v>
      </c>
      <c r="K4178" s="39">
        <f>SUMIFS(pg_transaction_cleaned!$H:$H,pg_transaction_cleaned!$O:$O,A4178,pg_transaction_cleaned!$F:$F,"CAPTURE")</f>
        <v>7999</v>
      </c>
      <c r="L4178" s="23">
        <f>COUNTIFS(pg_transaction_cleaned!$O:$O,A4178,pg_transaction_cleaned!$F:$F,"REFUND")</f>
        <v>1</v>
      </c>
      <c r="M4178" s="39">
        <f>SUMIFS(pg_transaction_cleaned!$H:$H,pg_transaction_cleaned!$O:$O,A4178,pg_transaction_cleaned!$F:$F,"REFUND")</f>
        <v>7999</v>
      </c>
      <c r="N4178" s="23" t="str">
        <f t="shared" si="262"/>
        <v>OK</v>
      </c>
      <c r="O4178" s="24">
        <f t="shared" si="263"/>
        <v>0</v>
      </c>
    </row>
    <row r="4179" spans="1:15" ht="15" customHeight="1" x14ac:dyDescent="0.3">
      <c r="A4179" s="23" t="s">
        <v>8831</v>
      </c>
      <c r="B4179" s="38">
        <v>46294</v>
      </c>
      <c r="C4179" s="23" t="s">
        <v>8832</v>
      </c>
      <c r="D4179" s="23" t="s">
        <v>91</v>
      </c>
      <c r="E4179" s="23" t="s">
        <v>81</v>
      </c>
      <c r="F4179" s="23" t="s">
        <v>1206</v>
      </c>
      <c r="G4179" s="23" t="s">
        <v>250</v>
      </c>
      <c r="H4179" s="39">
        <f t="shared" si="260"/>
        <v>7297</v>
      </c>
      <c r="I4179" s="23" t="str">
        <f t="shared" si="261"/>
        <v>Pune</v>
      </c>
      <c r="J4179" s="23">
        <f>COUNTIFS(pg_transaction_cleaned!$O:$O,A4179,pg_transaction_cleaned!$F:$F,"CAPTURE")</f>
        <v>1</v>
      </c>
      <c r="K4179" s="39">
        <f>SUMIFS(pg_transaction_cleaned!$H:$H,pg_transaction_cleaned!$O:$O,A4179,pg_transaction_cleaned!$F:$F,"CAPTURE")</f>
        <v>7297</v>
      </c>
      <c r="L4179" s="23">
        <f>COUNTIFS(pg_transaction_cleaned!$O:$O,A4179,pg_transaction_cleaned!$F:$F,"REFUND")</f>
        <v>0</v>
      </c>
      <c r="M4179" s="39">
        <f>SUMIFS(pg_transaction_cleaned!$H:$H,pg_transaction_cleaned!$O:$O,A4179,pg_transaction_cleaned!$F:$F,"REFUND")</f>
        <v>0</v>
      </c>
      <c r="N4179" s="23" t="str">
        <f t="shared" si="262"/>
        <v>OK</v>
      </c>
      <c r="O4179" s="24">
        <f t="shared" si="263"/>
        <v>0</v>
      </c>
    </row>
    <row r="4180" spans="1:15" ht="15" customHeight="1" x14ac:dyDescent="0.3">
      <c r="A4180" s="23" t="s">
        <v>8833</v>
      </c>
      <c r="B4180" s="38">
        <v>46292</v>
      </c>
      <c r="C4180" s="23" t="s">
        <v>8834</v>
      </c>
      <c r="D4180" s="23" t="s">
        <v>95</v>
      </c>
      <c r="E4180" s="23" t="s">
        <v>79</v>
      </c>
      <c r="F4180" s="23" t="s">
        <v>763</v>
      </c>
      <c r="G4180" s="23" t="s">
        <v>301</v>
      </c>
      <c r="H4180" s="39">
        <f t="shared" si="260"/>
        <v>299</v>
      </c>
      <c r="I4180" s="23" t="str">
        <f t="shared" si="261"/>
        <v>Bengaluru</v>
      </c>
      <c r="J4180" s="23">
        <f>COUNTIFS(pg_transaction_cleaned!$O:$O,A4180,pg_transaction_cleaned!$F:$F,"CAPTURE")</f>
        <v>1</v>
      </c>
      <c r="K4180" s="39">
        <f>SUMIFS(pg_transaction_cleaned!$H:$H,pg_transaction_cleaned!$O:$O,A4180,pg_transaction_cleaned!$F:$F,"CAPTURE")</f>
        <v>299</v>
      </c>
      <c r="L4180" s="23">
        <f>COUNTIFS(pg_transaction_cleaned!$O:$O,A4180,pg_transaction_cleaned!$F:$F,"REFUND")</f>
        <v>1</v>
      </c>
      <c r="M4180" s="39">
        <f>SUMIFS(pg_transaction_cleaned!$H:$H,pg_transaction_cleaned!$O:$O,A4180,pg_transaction_cleaned!$F:$F,"REFUND")</f>
        <v>299</v>
      </c>
      <c r="N4180" s="23" t="str">
        <f t="shared" si="262"/>
        <v>OK</v>
      </c>
      <c r="O4180" s="24">
        <f t="shared" si="263"/>
        <v>0</v>
      </c>
    </row>
    <row r="4181" spans="1:15" ht="15" customHeight="1" x14ac:dyDescent="0.3">
      <c r="A4181" s="23" t="s">
        <v>8835</v>
      </c>
      <c r="B4181" s="38">
        <v>46266</v>
      </c>
      <c r="C4181" s="23" t="s">
        <v>8836</v>
      </c>
      <c r="D4181" s="23" t="s">
        <v>89</v>
      </c>
      <c r="E4181" s="23" t="s">
        <v>79</v>
      </c>
      <c r="F4181" s="23" t="s">
        <v>553</v>
      </c>
      <c r="G4181" s="23" t="s">
        <v>365</v>
      </c>
      <c r="H4181" s="39">
        <f t="shared" si="260"/>
        <v>2798</v>
      </c>
      <c r="I4181" s="23" t="str">
        <f t="shared" si="261"/>
        <v>Jaipur</v>
      </c>
      <c r="J4181" s="23">
        <f>COUNTIFS(pg_transaction_cleaned!$O:$O,A4181,pg_transaction_cleaned!$F:$F,"CAPTURE")</f>
        <v>0</v>
      </c>
      <c r="K4181" s="39">
        <f>SUMIFS(pg_transaction_cleaned!$H:$H,pg_transaction_cleaned!$O:$O,A4181,pg_transaction_cleaned!$F:$F,"CAPTURE")</f>
        <v>0</v>
      </c>
      <c r="L4181" s="23">
        <f>COUNTIFS(pg_transaction_cleaned!$O:$O,A4181,pg_transaction_cleaned!$F:$F,"REFUND")</f>
        <v>0</v>
      </c>
      <c r="M4181" s="39">
        <f>SUMIFS(pg_transaction_cleaned!$H:$H,pg_transaction_cleaned!$O:$O,A4181,pg_transaction_cleaned!$F:$F,"REFUND")</f>
        <v>0</v>
      </c>
      <c r="N4181" s="23" t="str">
        <f t="shared" si="262"/>
        <v>OK</v>
      </c>
      <c r="O4181" s="24">
        <f t="shared" si="263"/>
        <v>0</v>
      </c>
    </row>
    <row r="4182" spans="1:15" ht="15" customHeight="1" x14ac:dyDescent="0.3">
      <c r="A4182" s="23" t="s">
        <v>8837</v>
      </c>
      <c r="B4182" s="38">
        <v>46275</v>
      </c>
      <c r="C4182" s="23" t="s">
        <v>8838</v>
      </c>
      <c r="D4182" s="23" t="s">
        <v>86</v>
      </c>
      <c r="E4182" s="23" t="s">
        <v>77</v>
      </c>
      <c r="F4182" s="23" t="s">
        <v>393</v>
      </c>
      <c r="G4182" s="23" t="s">
        <v>250</v>
      </c>
      <c r="H4182" s="39">
        <f t="shared" si="260"/>
        <v>349</v>
      </c>
      <c r="I4182" s="23" t="str">
        <f t="shared" si="261"/>
        <v>Delhi</v>
      </c>
      <c r="J4182" s="23">
        <f>COUNTIFS(pg_transaction_cleaned!$O:$O,A4182,pg_transaction_cleaned!$F:$F,"CAPTURE")</f>
        <v>1</v>
      </c>
      <c r="K4182" s="39">
        <f>SUMIFS(pg_transaction_cleaned!$H:$H,pg_transaction_cleaned!$O:$O,A4182,pg_transaction_cleaned!$F:$F,"CAPTURE")</f>
        <v>349</v>
      </c>
      <c r="L4182" s="23">
        <f>COUNTIFS(pg_transaction_cleaned!$O:$O,A4182,pg_transaction_cleaned!$F:$F,"REFUND")</f>
        <v>0</v>
      </c>
      <c r="M4182" s="39">
        <f>SUMIFS(pg_transaction_cleaned!$H:$H,pg_transaction_cleaned!$O:$O,A4182,pg_transaction_cleaned!$F:$F,"REFUND")</f>
        <v>0</v>
      </c>
      <c r="N4182" s="23" t="str">
        <f t="shared" si="262"/>
        <v>OK</v>
      </c>
      <c r="O4182" s="24">
        <f t="shared" si="263"/>
        <v>0</v>
      </c>
    </row>
    <row r="4183" spans="1:15" ht="15" customHeight="1" x14ac:dyDescent="0.3">
      <c r="A4183" s="23" t="s">
        <v>8839</v>
      </c>
      <c r="B4183" s="38">
        <v>46287</v>
      </c>
      <c r="C4183" s="23" t="s">
        <v>8840</v>
      </c>
      <c r="D4183" s="23" t="s">
        <v>87</v>
      </c>
      <c r="E4183" s="23" t="s">
        <v>75</v>
      </c>
      <c r="F4183" s="23" t="s">
        <v>370</v>
      </c>
      <c r="G4183" s="23" t="s">
        <v>250</v>
      </c>
      <c r="H4183" s="39">
        <f t="shared" si="260"/>
        <v>3098</v>
      </c>
      <c r="I4183" s="23" t="str">
        <f t="shared" si="261"/>
        <v>Mumbai</v>
      </c>
      <c r="J4183" s="23">
        <f>COUNTIFS(pg_transaction_cleaned!$O:$O,A4183,pg_transaction_cleaned!$F:$F,"CAPTURE")</f>
        <v>1</v>
      </c>
      <c r="K4183" s="39">
        <f>SUMIFS(pg_transaction_cleaned!$H:$H,pg_transaction_cleaned!$O:$O,A4183,pg_transaction_cleaned!$F:$F,"CAPTURE")</f>
        <v>3098</v>
      </c>
      <c r="L4183" s="23">
        <f>COUNTIFS(pg_transaction_cleaned!$O:$O,A4183,pg_transaction_cleaned!$F:$F,"REFUND")</f>
        <v>0</v>
      </c>
      <c r="M4183" s="39">
        <f>SUMIFS(pg_transaction_cleaned!$H:$H,pg_transaction_cleaned!$O:$O,A4183,pg_transaction_cleaned!$F:$F,"REFUND")</f>
        <v>0</v>
      </c>
      <c r="N4183" s="23" t="str">
        <f t="shared" si="262"/>
        <v>OK</v>
      </c>
      <c r="O4183" s="24">
        <f t="shared" si="263"/>
        <v>0</v>
      </c>
    </row>
    <row r="4184" spans="1:15" ht="15" customHeight="1" x14ac:dyDescent="0.3">
      <c r="A4184" s="23" t="s">
        <v>8841</v>
      </c>
      <c r="B4184" s="38">
        <v>46290</v>
      </c>
      <c r="C4184" s="23" t="s">
        <v>8842</v>
      </c>
      <c r="D4184" s="23" t="s">
        <v>89</v>
      </c>
      <c r="E4184" s="23" t="s">
        <v>75</v>
      </c>
      <c r="F4184" s="23" t="s">
        <v>8843</v>
      </c>
      <c r="G4184" s="23" t="s">
        <v>250</v>
      </c>
      <c r="H4184" s="39">
        <f t="shared" si="260"/>
        <v>6647</v>
      </c>
      <c r="I4184" s="23" t="str">
        <f t="shared" si="261"/>
        <v>Jaipur</v>
      </c>
      <c r="J4184" s="23">
        <f>COUNTIFS(pg_transaction_cleaned!$O:$O,A4184,pg_transaction_cleaned!$F:$F,"CAPTURE")</f>
        <v>1</v>
      </c>
      <c r="K4184" s="39">
        <f>SUMIFS(pg_transaction_cleaned!$H:$H,pg_transaction_cleaned!$O:$O,A4184,pg_transaction_cleaned!$F:$F,"CAPTURE")</f>
        <v>6647</v>
      </c>
      <c r="L4184" s="23">
        <f>COUNTIFS(pg_transaction_cleaned!$O:$O,A4184,pg_transaction_cleaned!$F:$F,"REFUND")</f>
        <v>0</v>
      </c>
      <c r="M4184" s="39">
        <f>SUMIFS(pg_transaction_cleaned!$H:$H,pg_transaction_cleaned!$O:$O,A4184,pg_transaction_cleaned!$F:$F,"REFUND")</f>
        <v>0</v>
      </c>
      <c r="N4184" s="23" t="str">
        <f t="shared" si="262"/>
        <v>OK</v>
      </c>
      <c r="O4184" s="24">
        <f t="shared" si="263"/>
        <v>0</v>
      </c>
    </row>
    <row r="4185" spans="1:15" ht="15" customHeight="1" x14ac:dyDescent="0.3">
      <c r="A4185" s="23" t="s">
        <v>8844</v>
      </c>
      <c r="B4185" s="38">
        <v>46281</v>
      </c>
      <c r="C4185" s="23" t="s">
        <v>8845</v>
      </c>
      <c r="D4185" s="23" t="s">
        <v>95</v>
      </c>
      <c r="E4185" s="23" t="s">
        <v>79</v>
      </c>
      <c r="F4185" s="23" t="s">
        <v>405</v>
      </c>
      <c r="G4185" s="23" t="s">
        <v>365</v>
      </c>
      <c r="H4185" s="39">
        <f t="shared" si="260"/>
        <v>9298</v>
      </c>
      <c r="I4185" s="23" t="str">
        <f t="shared" si="261"/>
        <v>Bengaluru</v>
      </c>
      <c r="J4185" s="23">
        <f>COUNTIFS(pg_transaction_cleaned!$O:$O,A4185,pg_transaction_cleaned!$F:$F,"CAPTURE")</f>
        <v>0</v>
      </c>
      <c r="K4185" s="39">
        <f>SUMIFS(pg_transaction_cleaned!$H:$H,pg_transaction_cleaned!$O:$O,A4185,pg_transaction_cleaned!$F:$F,"CAPTURE")</f>
        <v>0</v>
      </c>
      <c r="L4185" s="23">
        <f>COUNTIFS(pg_transaction_cleaned!$O:$O,A4185,pg_transaction_cleaned!$F:$F,"REFUND")</f>
        <v>0</v>
      </c>
      <c r="M4185" s="39">
        <f>SUMIFS(pg_transaction_cleaned!$H:$H,pg_transaction_cleaned!$O:$O,A4185,pg_transaction_cleaned!$F:$F,"REFUND")</f>
        <v>0</v>
      </c>
      <c r="N4185" s="23" t="str">
        <f t="shared" si="262"/>
        <v>OK</v>
      </c>
      <c r="O4185" s="24">
        <f t="shared" si="263"/>
        <v>0</v>
      </c>
    </row>
    <row r="4186" spans="1:15" ht="15" customHeight="1" x14ac:dyDescent="0.3">
      <c r="A4186" s="23" t="s">
        <v>8846</v>
      </c>
      <c r="B4186" s="38">
        <v>46279</v>
      </c>
      <c r="C4186" s="23" t="s">
        <v>8847</v>
      </c>
      <c r="D4186" s="23" t="s">
        <v>94</v>
      </c>
      <c r="E4186" s="23" t="s">
        <v>77</v>
      </c>
      <c r="F4186" s="23" t="s">
        <v>268</v>
      </c>
      <c r="G4186" s="23" t="s">
        <v>250</v>
      </c>
      <c r="H4186" s="39">
        <f t="shared" si="260"/>
        <v>1299</v>
      </c>
      <c r="I4186" s="23" t="str">
        <f t="shared" si="261"/>
        <v>Chennai</v>
      </c>
      <c r="J4186" s="23">
        <f>COUNTIFS(pg_transaction_cleaned!$O:$O,A4186,pg_transaction_cleaned!$F:$F,"CAPTURE")</f>
        <v>1</v>
      </c>
      <c r="K4186" s="39">
        <f>SUMIFS(pg_transaction_cleaned!$H:$H,pg_transaction_cleaned!$O:$O,A4186,pg_transaction_cleaned!$F:$F,"CAPTURE")</f>
        <v>1299</v>
      </c>
      <c r="L4186" s="23">
        <f>COUNTIFS(pg_transaction_cleaned!$O:$O,A4186,pg_transaction_cleaned!$F:$F,"REFUND")</f>
        <v>0</v>
      </c>
      <c r="M4186" s="39">
        <f>SUMIFS(pg_transaction_cleaned!$H:$H,pg_transaction_cleaned!$O:$O,A4186,pg_transaction_cleaned!$F:$F,"REFUND")</f>
        <v>0</v>
      </c>
      <c r="N4186" s="23" t="str">
        <f t="shared" si="262"/>
        <v>OK</v>
      </c>
      <c r="O4186" s="24">
        <f t="shared" si="263"/>
        <v>0</v>
      </c>
    </row>
    <row r="4187" spans="1:15" ht="15" customHeight="1" x14ac:dyDescent="0.3">
      <c r="A4187" s="23" t="s">
        <v>8848</v>
      </c>
      <c r="B4187" s="38">
        <v>46266</v>
      </c>
      <c r="C4187" s="23" t="s">
        <v>8849</v>
      </c>
      <c r="D4187" s="23" t="s">
        <v>86</v>
      </c>
      <c r="E4187" s="23" t="s">
        <v>81</v>
      </c>
      <c r="F4187" s="23" t="s">
        <v>1596</v>
      </c>
      <c r="G4187" s="23" t="s">
        <v>250</v>
      </c>
      <c r="H4187" s="39">
        <f t="shared" si="260"/>
        <v>3499</v>
      </c>
      <c r="I4187" s="23" t="str">
        <f t="shared" si="261"/>
        <v>Delhi</v>
      </c>
      <c r="J4187" s="23">
        <f>COUNTIFS(pg_transaction_cleaned!$O:$O,A4187,pg_transaction_cleaned!$F:$F,"CAPTURE")</f>
        <v>1</v>
      </c>
      <c r="K4187" s="39">
        <f>SUMIFS(pg_transaction_cleaned!$H:$H,pg_transaction_cleaned!$O:$O,A4187,pg_transaction_cleaned!$F:$F,"CAPTURE")</f>
        <v>3499</v>
      </c>
      <c r="L4187" s="23">
        <f>COUNTIFS(pg_transaction_cleaned!$O:$O,A4187,pg_transaction_cleaned!$F:$F,"REFUND")</f>
        <v>0</v>
      </c>
      <c r="M4187" s="39">
        <f>SUMIFS(pg_transaction_cleaned!$H:$H,pg_transaction_cleaned!$O:$O,A4187,pg_transaction_cleaned!$F:$F,"REFUND")</f>
        <v>0</v>
      </c>
      <c r="N4187" s="23" t="str">
        <f t="shared" si="262"/>
        <v>OK</v>
      </c>
      <c r="O4187" s="24">
        <f t="shared" si="263"/>
        <v>0</v>
      </c>
    </row>
    <row r="4188" spans="1:15" ht="15" customHeight="1" x14ac:dyDescent="0.3">
      <c r="A4188" s="23" t="s">
        <v>8850</v>
      </c>
      <c r="B4188" s="38">
        <v>46280</v>
      </c>
      <c r="C4188" s="23" t="s">
        <v>8851</v>
      </c>
      <c r="D4188" s="23" t="s">
        <v>90</v>
      </c>
      <c r="E4188" s="23" t="s">
        <v>75</v>
      </c>
      <c r="F4188" s="23" t="s">
        <v>483</v>
      </c>
      <c r="G4188" s="23" t="s">
        <v>250</v>
      </c>
      <c r="H4188" s="39">
        <f t="shared" si="260"/>
        <v>2998</v>
      </c>
      <c r="I4188" s="23" t="str">
        <f t="shared" si="261"/>
        <v>Ahmedabad</v>
      </c>
      <c r="J4188" s="23">
        <f>COUNTIFS(pg_transaction_cleaned!$O:$O,A4188,pg_transaction_cleaned!$F:$F,"CAPTURE")</f>
        <v>1</v>
      </c>
      <c r="K4188" s="39">
        <f>SUMIFS(pg_transaction_cleaned!$H:$H,pg_transaction_cleaned!$O:$O,A4188,pg_transaction_cleaned!$F:$F,"CAPTURE")</f>
        <v>2998</v>
      </c>
      <c r="L4188" s="23">
        <f>COUNTIFS(pg_transaction_cleaned!$O:$O,A4188,pg_transaction_cleaned!$F:$F,"REFUND")</f>
        <v>0</v>
      </c>
      <c r="M4188" s="39">
        <f>SUMIFS(pg_transaction_cleaned!$H:$H,pg_transaction_cleaned!$O:$O,A4188,pg_transaction_cleaned!$F:$F,"REFUND")</f>
        <v>0</v>
      </c>
      <c r="N4188" s="23" t="str">
        <f t="shared" si="262"/>
        <v>OK</v>
      </c>
      <c r="O4188" s="24">
        <f t="shared" si="263"/>
        <v>0</v>
      </c>
    </row>
    <row r="4189" spans="1:15" ht="15" customHeight="1" x14ac:dyDescent="0.3">
      <c r="A4189" s="23" t="s">
        <v>8852</v>
      </c>
      <c r="B4189" s="38">
        <v>46282</v>
      </c>
      <c r="C4189" s="23" t="s">
        <v>8853</v>
      </c>
      <c r="D4189" s="23" t="s">
        <v>93</v>
      </c>
      <c r="E4189" s="23" t="s">
        <v>75</v>
      </c>
      <c r="F4189" s="23" t="s">
        <v>1978</v>
      </c>
      <c r="G4189" s="23" t="s">
        <v>250</v>
      </c>
      <c r="H4189" s="39">
        <f t="shared" si="260"/>
        <v>4597</v>
      </c>
      <c r="I4189" s="23" t="str">
        <f t="shared" si="261"/>
        <v>Kolkata</v>
      </c>
      <c r="J4189" s="23">
        <f>COUNTIFS(pg_transaction_cleaned!$O:$O,A4189,pg_transaction_cleaned!$F:$F,"CAPTURE")</f>
        <v>1</v>
      </c>
      <c r="K4189" s="39">
        <f>SUMIFS(pg_transaction_cleaned!$H:$H,pg_transaction_cleaned!$O:$O,A4189,pg_transaction_cleaned!$F:$F,"CAPTURE")</f>
        <v>4597</v>
      </c>
      <c r="L4189" s="23">
        <f>COUNTIFS(pg_transaction_cleaned!$O:$O,A4189,pg_transaction_cleaned!$F:$F,"REFUND")</f>
        <v>0</v>
      </c>
      <c r="M4189" s="39">
        <f>SUMIFS(pg_transaction_cleaned!$H:$H,pg_transaction_cleaned!$O:$O,A4189,pg_transaction_cleaned!$F:$F,"REFUND")</f>
        <v>0</v>
      </c>
      <c r="N4189" s="23" t="str">
        <f t="shared" si="262"/>
        <v>OK</v>
      </c>
      <c r="O4189" s="24">
        <f t="shared" si="263"/>
        <v>0</v>
      </c>
    </row>
    <row r="4190" spans="1:15" ht="15" customHeight="1" x14ac:dyDescent="0.3">
      <c r="A4190" s="23" t="s">
        <v>8854</v>
      </c>
      <c r="B4190" s="38">
        <v>46268</v>
      </c>
      <c r="C4190" s="23" t="s">
        <v>8855</v>
      </c>
      <c r="D4190" s="23" t="s">
        <v>88</v>
      </c>
      <c r="E4190" s="23" t="s">
        <v>79</v>
      </c>
      <c r="F4190" s="23" t="s">
        <v>622</v>
      </c>
      <c r="G4190" s="23" t="s">
        <v>250</v>
      </c>
      <c r="H4190" s="39">
        <f t="shared" si="260"/>
        <v>8998</v>
      </c>
      <c r="I4190" s="23" t="str">
        <f t="shared" si="261"/>
        <v>Lucknow</v>
      </c>
      <c r="J4190" s="23">
        <f>COUNTIFS(pg_transaction_cleaned!$O:$O,A4190,pg_transaction_cleaned!$F:$F,"CAPTURE")</f>
        <v>1</v>
      </c>
      <c r="K4190" s="39">
        <f>SUMIFS(pg_transaction_cleaned!$H:$H,pg_transaction_cleaned!$O:$O,A4190,pg_transaction_cleaned!$F:$F,"CAPTURE")</f>
        <v>8998</v>
      </c>
      <c r="L4190" s="23">
        <f>COUNTIFS(pg_transaction_cleaned!$O:$O,A4190,pg_transaction_cleaned!$F:$F,"REFUND")</f>
        <v>0</v>
      </c>
      <c r="M4190" s="39">
        <f>SUMIFS(pg_transaction_cleaned!$H:$H,pg_transaction_cleaned!$O:$O,A4190,pg_transaction_cleaned!$F:$F,"REFUND")</f>
        <v>0</v>
      </c>
      <c r="N4190" s="23" t="str">
        <f t="shared" si="262"/>
        <v>OK</v>
      </c>
      <c r="O4190" s="24">
        <f t="shared" si="263"/>
        <v>0</v>
      </c>
    </row>
    <row r="4191" spans="1:15" ht="15" customHeight="1" x14ac:dyDescent="0.3">
      <c r="A4191" s="23" t="s">
        <v>8856</v>
      </c>
      <c r="B4191" s="38">
        <v>46287</v>
      </c>
      <c r="C4191" s="23" t="s">
        <v>8857</v>
      </c>
      <c r="D4191" s="23" t="s">
        <v>94</v>
      </c>
      <c r="E4191" s="23" t="s">
        <v>79</v>
      </c>
      <c r="F4191" s="23" t="s">
        <v>1978</v>
      </c>
      <c r="G4191" s="23" t="s">
        <v>250</v>
      </c>
      <c r="H4191" s="39">
        <f t="shared" si="260"/>
        <v>4597</v>
      </c>
      <c r="I4191" s="23" t="str">
        <f t="shared" si="261"/>
        <v>Chennai</v>
      </c>
      <c r="J4191" s="23">
        <f>COUNTIFS(pg_transaction_cleaned!$O:$O,A4191,pg_transaction_cleaned!$F:$F,"CAPTURE")</f>
        <v>1</v>
      </c>
      <c r="K4191" s="39">
        <f>SUMIFS(pg_transaction_cleaned!$H:$H,pg_transaction_cleaned!$O:$O,A4191,pg_transaction_cleaned!$F:$F,"CAPTURE")</f>
        <v>4597</v>
      </c>
      <c r="L4191" s="23">
        <f>COUNTIFS(pg_transaction_cleaned!$O:$O,A4191,pg_transaction_cleaned!$F:$F,"REFUND")</f>
        <v>0</v>
      </c>
      <c r="M4191" s="39">
        <f>SUMIFS(pg_transaction_cleaned!$H:$H,pg_transaction_cleaned!$O:$O,A4191,pg_transaction_cleaned!$F:$F,"REFUND")</f>
        <v>0</v>
      </c>
      <c r="N4191" s="23" t="str">
        <f t="shared" si="262"/>
        <v>OK</v>
      </c>
      <c r="O4191" s="24">
        <f t="shared" si="263"/>
        <v>0</v>
      </c>
    </row>
    <row r="4192" spans="1:15" ht="15" customHeight="1" x14ac:dyDescent="0.3">
      <c r="A4192" s="23" t="s">
        <v>8858</v>
      </c>
      <c r="B4192" s="38">
        <v>46284</v>
      </c>
      <c r="C4192" s="23" t="s">
        <v>8859</v>
      </c>
      <c r="D4192" s="23" t="s">
        <v>90</v>
      </c>
      <c r="E4192" s="23" t="s">
        <v>79</v>
      </c>
      <c r="F4192" s="23" t="s">
        <v>1954</v>
      </c>
      <c r="G4192" s="23" t="s">
        <v>250</v>
      </c>
      <c r="H4192" s="39">
        <f t="shared" si="260"/>
        <v>848</v>
      </c>
      <c r="I4192" s="23" t="str">
        <f t="shared" si="261"/>
        <v>Ahmedabad</v>
      </c>
      <c r="J4192" s="23">
        <f>COUNTIFS(pg_transaction_cleaned!$O:$O,A4192,pg_transaction_cleaned!$F:$F,"CAPTURE")</f>
        <v>1</v>
      </c>
      <c r="K4192" s="39">
        <f>SUMIFS(pg_transaction_cleaned!$H:$H,pg_transaction_cleaned!$O:$O,A4192,pg_transaction_cleaned!$F:$F,"CAPTURE")</f>
        <v>848</v>
      </c>
      <c r="L4192" s="23">
        <f>COUNTIFS(pg_transaction_cleaned!$O:$O,A4192,pg_transaction_cleaned!$F:$F,"REFUND")</f>
        <v>0</v>
      </c>
      <c r="M4192" s="39">
        <f>SUMIFS(pg_transaction_cleaned!$H:$H,pg_transaction_cleaned!$O:$O,A4192,pg_transaction_cleaned!$F:$F,"REFUND")</f>
        <v>0</v>
      </c>
      <c r="N4192" s="23" t="str">
        <f t="shared" si="262"/>
        <v>OK</v>
      </c>
      <c r="O4192" s="24">
        <f t="shared" si="263"/>
        <v>0</v>
      </c>
    </row>
    <row r="4193" spans="1:15" ht="15" customHeight="1" x14ac:dyDescent="0.3">
      <c r="A4193" s="23" t="s">
        <v>8860</v>
      </c>
      <c r="B4193" s="38">
        <v>46270</v>
      </c>
      <c r="C4193" s="23" t="s">
        <v>8861</v>
      </c>
      <c r="D4193" s="23" t="s">
        <v>89</v>
      </c>
      <c r="E4193" s="23" t="s">
        <v>75</v>
      </c>
      <c r="F4193" s="23" t="s">
        <v>1193</v>
      </c>
      <c r="G4193" s="23" t="s">
        <v>250</v>
      </c>
      <c r="H4193" s="39">
        <f t="shared" si="260"/>
        <v>3498</v>
      </c>
      <c r="I4193" s="23" t="str">
        <f t="shared" si="261"/>
        <v>Jaipur</v>
      </c>
      <c r="J4193" s="23">
        <f>COUNTIFS(pg_transaction_cleaned!$O:$O,A4193,pg_transaction_cleaned!$F:$F,"CAPTURE")</f>
        <v>1</v>
      </c>
      <c r="K4193" s="39">
        <f>SUMIFS(pg_transaction_cleaned!$H:$H,pg_transaction_cleaned!$O:$O,A4193,pg_transaction_cleaned!$F:$F,"CAPTURE")</f>
        <v>3498</v>
      </c>
      <c r="L4193" s="23">
        <f>COUNTIFS(pg_transaction_cleaned!$O:$O,A4193,pg_transaction_cleaned!$F:$F,"REFUND")</f>
        <v>0</v>
      </c>
      <c r="M4193" s="39">
        <f>SUMIFS(pg_transaction_cleaned!$H:$H,pg_transaction_cleaned!$O:$O,A4193,pg_transaction_cleaned!$F:$F,"REFUND")</f>
        <v>0</v>
      </c>
      <c r="N4193" s="23" t="str">
        <f t="shared" si="262"/>
        <v>OK</v>
      </c>
      <c r="O4193" s="24">
        <f t="shared" si="263"/>
        <v>0</v>
      </c>
    </row>
    <row r="4194" spans="1:15" ht="15" customHeight="1" x14ac:dyDescent="0.3">
      <c r="A4194" s="23" t="s">
        <v>8862</v>
      </c>
      <c r="B4194" s="38">
        <v>46292</v>
      </c>
      <c r="C4194" s="23" t="s">
        <v>8863</v>
      </c>
      <c r="D4194" s="23" t="s">
        <v>94</v>
      </c>
      <c r="E4194" s="23" t="s">
        <v>79</v>
      </c>
      <c r="F4194" s="23" t="s">
        <v>294</v>
      </c>
      <c r="G4194" s="23" t="s">
        <v>250</v>
      </c>
      <c r="H4194" s="39">
        <f t="shared" si="260"/>
        <v>1799</v>
      </c>
      <c r="I4194" s="23" t="str">
        <f t="shared" si="261"/>
        <v>Chennai</v>
      </c>
      <c r="J4194" s="23">
        <f>COUNTIFS(pg_transaction_cleaned!$O:$O,A4194,pg_transaction_cleaned!$F:$F,"CAPTURE")</f>
        <v>1</v>
      </c>
      <c r="K4194" s="39">
        <f>SUMIFS(pg_transaction_cleaned!$H:$H,pg_transaction_cleaned!$O:$O,A4194,pg_transaction_cleaned!$F:$F,"CAPTURE")</f>
        <v>1799</v>
      </c>
      <c r="L4194" s="23">
        <f>COUNTIFS(pg_transaction_cleaned!$O:$O,A4194,pg_transaction_cleaned!$F:$F,"REFUND")</f>
        <v>0</v>
      </c>
      <c r="M4194" s="39">
        <f>SUMIFS(pg_transaction_cleaned!$H:$H,pg_transaction_cleaned!$O:$O,A4194,pg_transaction_cleaned!$F:$F,"REFUND")</f>
        <v>0</v>
      </c>
      <c r="N4194" s="23" t="str">
        <f t="shared" si="262"/>
        <v>OK</v>
      </c>
      <c r="O4194" s="24">
        <f t="shared" si="263"/>
        <v>0</v>
      </c>
    </row>
    <row r="4195" spans="1:15" ht="15" customHeight="1" x14ac:dyDescent="0.3">
      <c r="A4195" s="23" t="s">
        <v>8864</v>
      </c>
      <c r="B4195" s="38">
        <v>46266</v>
      </c>
      <c r="C4195" s="23" t="s">
        <v>8865</v>
      </c>
      <c r="D4195" s="23" t="s">
        <v>91</v>
      </c>
      <c r="E4195" s="23" t="s">
        <v>75</v>
      </c>
      <c r="F4195" s="23" t="s">
        <v>291</v>
      </c>
      <c r="G4195" s="23" t="s">
        <v>318</v>
      </c>
      <c r="H4195" s="39">
        <f t="shared" si="260"/>
        <v>3499</v>
      </c>
      <c r="I4195" s="23" t="str">
        <f t="shared" si="261"/>
        <v>Pune</v>
      </c>
      <c r="J4195" s="23">
        <f>COUNTIFS(pg_transaction_cleaned!$O:$O,A4195,pg_transaction_cleaned!$F:$F,"CAPTURE")</f>
        <v>0</v>
      </c>
      <c r="K4195" s="39">
        <f>SUMIFS(pg_transaction_cleaned!$H:$H,pg_transaction_cleaned!$O:$O,A4195,pg_transaction_cleaned!$F:$F,"CAPTURE")</f>
        <v>0</v>
      </c>
      <c r="L4195" s="23">
        <f>COUNTIFS(pg_transaction_cleaned!$O:$O,A4195,pg_transaction_cleaned!$F:$F,"REFUND")</f>
        <v>0</v>
      </c>
      <c r="M4195" s="39">
        <f>SUMIFS(pg_transaction_cleaned!$H:$H,pg_transaction_cleaned!$O:$O,A4195,pg_transaction_cleaned!$F:$F,"REFUND")</f>
        <v>0</v>
      </c>
      <c r="N4195" s="23" t="str">
        <f t="shared" si="262"/>
        <v>OK</v>
      </c>
      <c r="O4195" s="24">
        <f t="shared" si="263"/>
        <v>0</v>
      </c>
    </row>
    <row r="4196" spans="1:15" ht="15" customHeight="1" x14ac:dyDescent="0.3">
      <c r="A4196" s="23" t="s">
        <v>8866</v>
      </c>
      <c r="B4196" s="38">
        <v>46294</v>
      </c>
      <c r="C4196" s="23" t="s">
        <v>8867</v>
      </c>
      <c r="D4196" s="23" t="s">
        <v>86</v>
      </c>
      <c r="E4196" s="23" t="s">
        <v>75</v>
      </c>
      <c r="F4196" s="23" t="s">
        <v>747</v>
      </c>
      <c r="G4196" s="23" t="s">
        <v>250</v>
      </c>
      <c r="H4196" s="39">
        <f t="shared" si="260"/>
        <v>2498</v>
      </c>
      <c r="I4196" s="23" t="str">
        <f t="shared" si="261"/>
        <v>Delhi</v>
      </c>
      <c r="J4196" s="23">
        <f>COUNTIFS(pg_transaction_cleaned!$O:$O,A4196,pg_transaction_cleaned!$F:$F,"CAPTURE")</f>
        <v>1</v>
      </c>
      <c r="K4196" s="39">
        <f>SUMIFS(pg_transaction_cleaned!$H:$H,pg_transaction_cleaned!$O:$O,A4196,pg_transaction_cleaned!$F:$F,"CAPTURE")</f>
        <v>2498</v>
      </c>
      <c r="L4196" s="23">
        <f>COUNTIFS(pg_transaction_cleaned!$O:$O,A4196,pg_transaction_cleaned!$F:$F,"REFUND")</f>
        <v>0</v>
      </c>
      <c r="M4196" s="39">
        <f>SUMIFS(pg_transaction_cleaned!$H:$H,pg_transaction_cleaned!$O:$O,A4196,pg_transaction_cleaned!$F:$F,"REFUND")</f>
        <v>0</v>
      </c>
      <c r="N4196" s="23" t="str">
        <f t="shared" si="262"/>
        <v>OK</v>
      </c>
      <c r="O4196" s="24">
        <f t="shared" si="263"/>
        <v>0</v>
      </c>
    </row>
    <row r="4197" spans="1:15" ht="15" customHeight="1" x14ac:dyDescent="0.3">
      <c r="A4197" s="23" t="s">
        <v>8868</v>
      </c>
      <c r="B4197" s="38">
        <v>46284</v>
      </c>
      <c r="C4197" s="23" t="s">
        <v>8869</v>
      </c>
      <c r="D4197" s="23" t="s">
        <v>89</v>
      </c>
      <c r="E4197" s="23" t="s">
        <v>81</v>
      </c>
      <c r="F4197" s="23" t="s">
        <v>310</v>
      </c>
      <c r="G4197" s="23" t="s">
        <v>250</v>
      </c>
      <c r="H4197" s="39">
        <f t="shared" si="260"/>
        <v>7999</v>
      </c>
      <c r="I4197" s="23" t="str">
        <f t="shared" si="261"/>
        <v>Jaipur</v>
      </c>
      <c r="J4197" s="23">
        <f>COUNTIFS(pg_transaction_cleaned!$O:$O,A4197,pg_transaction_cleaned!$F:$F,"CAPTURE")</f>
        <v>1</v>
      </c>
      <c r="K4197" s="39">
        <f>SUMIFS(pg_transaction_cleaned!$H:$H,pg_transaction_cleaned!$O:$O,A4197,pg_transaction_cleaned!$F:$F,"CAPTURE")</f>
        <v>7999</v>
      </c>
      <c r="L4197" s="23">
        <f>COUNTIFS(pg_transaction_cleaned!$O:$O,A4197,pg_transaction_cleaned!$F:$F,"REFUND")</f>
        <v>0</v>
      </c>
      <c r="M4197" s="39">
        <f>SUMIFS(pg_transaction_cleaned!$H:$H,pg_transaction_cleaned!$O:$O,A4197,pg_transaction_cleaned!$F:$F,"REFUND")</f>
        <v>0</v>
      </c>
      <c r="N4197" s="23" t="str">
        <f t="shared" si="262"/>
        <v>OK</v>
      </c>
      <c r="O4197" s="24">
        <f t="shared" si="263"/>
        <v>0</v>
      </c>
    </row>
    <row r="4198" spans="1:15" ht="15" customHeight="1" x14ac:dyDescent="0.3">
      <c r="A4198" s="23" t="s">
        <v>8870</v>
      </c>
      <c r="B4198" s="38">
        <v>46280</v>
      </c>
      <c r="C4198" s="23" t="s">
        <v>8871</v>
      </c>
      <c r="D4198" s="23" t="s">
        <v>93</v>
      </c>
      <c r="E4198" s="23" t="s">
        <v>77</v>
      </c>
      <c r="F4198" s="23" t="s">
        <v>396</v>
      </c>
      <c r="G4198" s="23" t="s">
        <v>250</v>
      </c>
      <c r="H4198" s="39">
        <f t="shared" si="260"/>
        <v>2999</v>
      </c>
      <c r="I4198" s="23" t="str">
        <f t="shared" si="261"/>
        <v>Kolkata</v>
      </c>
      <c r="J4198" s="23">
        <f>COUNTIFS(pg_transaction_cleaned!$O:$O,A4198,pg_transaction_cleaned!$F:$F,"CAPTURE")</f>
        <v>1</v>
      </c>
      <c r="K4198" s="39">
        <f>SUMIFS(pg_transaction_cleaned!$H:$H,pg_transaction_cleaned!$O:$O,A4198,pg_transaction_cleaned!$F:$F,"CAPTURE")</f>
        <v>2999</v>
      </c>
      <c r="L4198" s="23">
        <f>COUNTIFS(pg_transaction_cleaned!$O:$O,A4198,pg_transaction_cleaned!$F:$F,"REFUND")</f>
        <v>0</v>
      </c>
      <c r="M4198" s="39">
        <f>SUMIFS(pg_transaction_cleaned!$H:$H,pg_transaction_cleaned!$O:$O,A4198,pg_transaction_cleaned!$F:$F,"REFUND")</f>
        <v>0</v>
      </c>
      <c r="N4198" s="23" t="str">
        <f t="shared" si="262"/>
        <v>OK</v>
      </c>
      <c r="O4198" s="24">
        <f t="shared" si="263"/>
        <v>0</v>
      </c>
    </row>
    <row r="4199" spans="1:15" ht="15" customHeight="1" x14ac:dyDescent="0.3">
      <c r="A4199" s="23" t="s">
        <v>8872</v>
      </c>
      <c r="B4199" s="38">
        <v>46267</v>
      </c>
      <c r="C4199" s="23" t="s">
        <v>8873</v>
      </c>
      <c r="D4199" s="23" t="s">
        <v>88</v>
      </c>
      <c r="E4199" s="23" t="s">
        <v>79</v>
      </c>
      <c r="F4199" s="23" t="s">
        <v>310</v>
      </c>
      <c r="G4199" s="23" t="s">
        <v>250</v>
      </c>
      <c r="H4199" s="39">
        <f t="shared" si="260"/>
        <v>7999</v>
      </c>
      <c r="I4199" s="23" t="str">
        <f t="shared" si="261"/>
        <v>Lucknow</v>
      </c>
      <c r="J4199" s="23">
        <f>COUNTIFS(pg_transaction_cleaned!$O:$O,A4199,pg_transaction_cleaned!$F:$F,"CAPTURE")</f>
        <v>1</v>
      </c>
      <c r="K4199" s="39">
        <f>SUMIFS(pg_transaction_cleaned!$H:$H,pg_transaction_cleaned!$O:$O,A4199,pg_transaction_cleaned!$F:$F,"CAPTURE")</f>
        <v>7999</v>
      </c>
      <c r="L4199" s="23">
        <f>COUNTIFS(pg_transaction_cleaned!$O:$O,A4199,pg_transaction_cleaned!$F:$F,"REFUND")</f>
        <v>0</v>
      </c>
      <c r="M4199" s="39">
        <f>SUMIFS(pg_transaction_cleaned!$H:$H,pg_transaction_cleaned!$O:$O,A4199,pg_transaction_cleaned!$F:$F,"REFUND")</f>
        <v>0</v>
      </c>
      <c r="N4199" s="23" t="str">
        <f t="shared" si="262"/>
        <v>OK</v>
      </c>
      <c r="O4199" s="24">
        <f t="shared" si="263"/>
        <v>0</v>
      </c>
    </row>
    <row r="4200" spans="1:15" ht="15" customHeight="1" x14ac:dyDescent="0.3">
      <c r="A4200" s="23" t="s">
        <v>8874</v>
      </c>
      <c r="B4200" s="38">
        <v>46271</v>
      </c>
      <c r="C4200" s="23" t="s">
        <v>8875</v>
      </c>
      <c r="D4200" s="23" t="s">
        <v>90</v>
      </c>
      <c r="E4200" s="23" t="s">
        <v>79</v>
      </c>
      <c r="F4200" s="23" t="s">
        <v>475</v>
      </c>
      <c r="G4200" s="23" t="s">
        <v>250</v>
      </c>
      <c r="H4200" s="39">
        <f t="shared" si="260"/>
        <v>799</v>
      </c>
      <c r="I4200" s="23" t="str">
        <f t="shared" si="261"/>
        <v>Ahmedabad</v>
      </c>
      <c r="J4200" s="23">
        <f>COUNTIFS(pg_transaction_cleaned!$O:$O,A4200,pg_transaction_cleaned!$F:$F,"CAPTURE")</f>
        <v>1</v>
      </c>
      <c r="K4200" s="39">
        <f>SUMIFS(pg_transaction_cleaned!$H:$H,pg_transaction_cleaned!$O:$O,A4200,pg_transaction_cleaned!$F:$F,"CAPTURE")</f>
        <v>799</v>
      </c>
      <c r="L4200" s="23">
        <f>COUNTIFS(pg_transaction_cleaned!$O:$O,A4200,pg_transaction_cleaned!$F:$F,"REFUND")</f>
        <v>0</v>
      </c>
      <c r="M4200" s="39">
        <f>SUMIFS(pg_transaction_cleaned!$H:$H,pg_transaction_cleaned!$O:$O,A4200,pg_transaction_cleaned!$F:$F,"REFUND")</f>
        <v>0</v>
      </c>
      <c r="N4200" s="23" t="str">
        <f t="shared" si="262"/>
        <v>OK</v>
      </c>
      <c r="O4200" s="24">
        <f t="shared" si="263"/>
        <v>0</v>
      </c>
    </row>
    <row r="4201" spans="1:15" ht="15" customHeight="1" x14ac:dyDescent="0.3">
      <c r="A4201" s="23" t="s">
        <v>8876</v>
      </c>
      <c r="B4201" s="38">
        <v>46283</v>
      </c>
      <c r="C4201" s="23" t="s">
        <v>8877</v>
      </c>
      <c r="D4201" s="23" t="s">
        <v>87</v>
      </c>
      <c r="E4201" s="23" t="s">
        <v>75</v>
      </c>
      <c r="F4201" s="23" t="s">
        <v>337</v>
      </c>
      <c r="G4201" s="23" t="s">
        <v>250</v>
      </c>
      <c r="H4201" s="39">
        <f t="shared" si="260"/>
        <v>3998</v>
      </c>
      <c r="I4201" s="23" t="str">
        <f t="shared" si="261"/>
        <v>Mumbai</v>
      </c>
      <c r="J4201" s="23">
        <f>COUNTIFS(pg_transaction_cleaned!$O:$O,A4201,pg_transaction_cleaned!$F:$F,"CAPTURE")</f>
        <v>1</v>
      </c>
      <c r="K4201" s="39">
        <f>SUMIFS(pg_transaction_cleaned!$H:$H,pg_transaction_cleaned!$O:$O,A4201,pg_transaction_cleaned!$F:$F,"CAPTURE")</f>
        <v>3998</v>
      </c>
      <c r="L4201" s="23">
        <f>COUNTIFS(pg_transaction_cleaned!$O:$O,A4201,pg_transaction_cleaned!$F:$F,"REFUND")</f>
        <v>0</v>
      </c>
      <c r="M4201" s="39">
        <f>SUMIFS(pg_transaction_cleaned!$H:$H,pg_transaction_cleaned!$O:$O,A4201,pg_transaction_cleaned!$F:$F,"REFUND")</f>
        <v>0</v>
      </c>
      <c r="N4201" s="23" t="str">
        <f t="shared" si="262"/>
        <v>OK</v>
      </c>
      <c r="O4201" s="24">
        <f t="shared" si="263"/>
        <v>0</v>
      </c>
    </row>
    <row r="4202" spans="1:15" ht="15" customHeight="1" x14ac:dyDescent="0.3">
      <c r="A4202" s="23" t="s">
        <v>8878</v>
      </c>
      <c r="B4202" s="38">
        <v>46290</v>
      </c>
      <c r="C4202" s="23" t="s">
        <v>8879</v>
      </c>
      <c r="D4202" s="23" t="s">
        <v>94</v>
      </c>
      <c r="E4202" s="23" t="s">
        <v>75</v>
      </c>
      <c r="F4202" s="23" t="s">
        <v>271</v>
      </c>
      <c r="G4202" s="23" t="s">
        <v>250</v>
      </c>
      <c r="H4202" s="39">
        <f t="shared" si="260"/>
        <v>2499</v>
      </c>
      <c r="I4202" s="23" t="str">
        <f t="shared" si="261"/>
        <v>Chennai</v>
      </c>
      <c r="J4202" s="23">
        <f>COUNTIFS(pg_transaction_cleaned!$O:$O,A4202,pg_transaction_cleaned!$F:$F,"CAPTURE")</f>
        <v>1</v>
      </c>
      <c r="K4202" s="39">
        <f>SUMIFS(pg_transaction_cleaned!$H:$H,pg_transaction_cleaned!$O:$O,A4202,pg_transaction_cleaned!$F:$F,"CAPTURE")</f>
        <v>2499</v>
      </c>
      <c r="L4202" s="23">
        <f>COUNTIFS(pg_transaction_cleaned!$O:$O,A4202,pg_transaction_cleaned!$F:$F,"REFUND")</f>
        <v>0</v>
      </c>
      <c r="M4202" s="39">
        <f>SUMIFS(pg_transaction_cleaned!$H:$H,pg_transaction_cleaned!$O:$O,A4202,pg_transaction_cleaned!$F:$F,"REFUND")</f>
        <v>0</v>
      </c>
      <c r="N4202" s="23" t="str">
        <f t="shared" si="262"/>
        <v>OK</v>
      </c>
      <c r="O4202" s="24">
        <f t="shared" si="263"/>
        <v>0</v>
      </c>
    </row>
    <row r="4203" spans="1:15" ht="15" customHeight="1" x14ac:dyDescent="0.3">
      <c r="A4203" s="23" t="s">
        <v>8880</v>
      </c>
      <c r="B4203" s="38">
        <v>46286</v>
      </c>
      <c r="C4203" s="23" t="s">
        <v>8881</v>
      </c>
      <c r="D4203" s="23" t="s">
        <v>87</v>
      </c>
      <c r="E4203" s="23" t="s">
        <v>75</v>
      </c>
      <c r="F4203" s="23" t="s">
        <v>274</v>
      </c>
      <c r="G4203" s="23" t="s">
        <v>250</v>
      </c>
      <c r="H4203" s="39">
        <f t="shared" si="260"/>
        <v>349</v>
      </c>
      <c r="I4203" s="23" t="str">
        <f t="shared" si="261"/>
        <v>Mumbai</v>
      </c>
      <c r="J4203" s="23">
        <f>COUNTIFS(pg_transaction_cleaned!$O:$O,A4203,pg_transaction_cleaned!$F:$F,"CAPTURE")</f>
        <v>1</v>
      </c>
      <c r="K4203" s="39">
        <f>SUMIFS(pg_transaction_cleaned!$H:$H,pg_transaction_cleaned!$O:$O,A4203,pg_transaction_cleaned!$F:$F,"CAPTURE")</f>
        <v>349</v>
      </c>
      <c r="L4203" s="23">
        <f>COUNTIFS(pg_transaction_cleaned!$O:$O,A4203,pg_transaction_cleaned!$F:$F,"REFUND")</f>
        <v>0</v>
      </c>
      <c r="M4203" s="39">
        <f>SUMIFS(pg_transaction_cleaned!$H:$H,pg_transaction_cleaned!$O:$O,A4203,pg_transaction_cleaned!$F:$F,"REFUND")</f>
        <v>0</v>
      </c>
      <c r="N4203" s="23" t="str">
        <f t="shared" si="262"/>
        <v>OK</v>
      </c>
      <c r="O4203" s="24">
        <f t="shared" si="263"/>
        <v>0</v>
      </c>
    </row>
    <row r="4204" spans="1:15" ht="15" customHeight="1" x14ac:dyDescent="0.3">
      <c r="A4204" s="23" t="s">
        <v>8882</v>
      </c>
      <c r="B4204" s="38">
        <v>46281</v>
      </c>
      <c r="C4204" s="23" t="s">
        <v>8883</v>
      </c>
      <c r="D4204" s="23" t="s">
        <v>88</v>
      </c>
      <c r="E4204" s="23" t="s">
        <v>77</v>
      </c>
      <c r="F4204" s="23" t="s">
        <v>262</v>
      </c>
      <c r="G4204" s="23" t="s">
        <v>250</v>
      </c>
      <c r="H4204" s="39">
        <f t="shared" si="260"/>
        <v>499</v>
      </c>
      <c r="I4204" s="23" t="str">
        <f t="shared" si="261"/>
        <v>Lucknow</v>
      </c>
      <c r="J4204" s="23">
        <f>COUNTIFS(pg_transaction_cleaned!$O:$O,A4204,pg_transaction_cleaned!$F:$F,"CAPTURE")</f>
        <v>1</v>
      </c>
      <c r="K4204" s="39">
        <f>SUMIFS(pg_transaction_cleaned!$H:$H,pg_transaction_cleaned!$O:$O,A4204,pg_transaction_cleaned!$F:$F,"CAPTURE")</f>
        <v>499</v>
      </c>
      <c r="L4204" s="23">
        <f>COUNTIFS(pg_transaction_cleaned!$O:$O,A4204,pg_transaction_cleaned!$F:$F,"REFUND")</f>
        <v>0</v>
      </c>
      <c r="M4204" s="39">
        <f>SUMIFS(pg_transaction_cleaned!$H:$H,pg_transaction_cleaned!$O:$O,A4204,pg_transaction_cleaned!$F:$F,"REFUND")</f>
        <v>0</v>
      </c>
      <c r="N4204" s="23" t="str">
        <f t="shared" si="262"/>
        <v>OK</v>
      </c>
      <c r="O4204" s="24">
        <f t="shared" si="263"/>
        <v>0</v>
      </c>
    </row>
    <row r="4205" spans="1:15" ht="15" customHeight="1" x14ac:dyDescent="0.3">
      <c r="A4205" s="23" t="s">
        <v>8884</v>
      </c>
      <c r="B4205" s="38">
        <v>46277</v>
      </c>
      <c r="C4205" s="23" t="s">
        <v>8885</v>
      </c>
      <c r="D4205" s="23" t="s">
        <v>88</v>
      </c>
      <c r="E4205" s="23" t="s">
        <v>81</v>
      </c>
      <c r="F4205" s="23" t="s">
        <v>262</v>
      </c>
      <c r="G4205" s="23" t="s">
        <v>250</v>
      </c>
      <c r="H4205" s="39">
        <f t="shared" si="260"/>
        <v>499</v>
      </c>
      <c r="I4205" s="23" t="str">
        <f t="shared" si="261"/>
        <v>Lucknow</v>
      </c>
      <c r="J4205" s="23">
        <f>COUNTIFS(pg_transaction_cleaned!$O:$O,A4205,pg_transaction_cleaned!$F:$F,"CAPTURE")</f>
        <v>1</v>
      </c>
      <c r="K4205" s="39">
        <f>SUMIFS(pg_transaction_cleaned!$H:$H,pg_transaction_cleaned!$O:$O,A4205,pg_transaction_cleaned!$F:$F,"CAPTURE")</f>
        <v>499</v>
      </c>
      <c r="L4205" s="23">
        <f>COUNTIFS(pg_transaction_cleaned!$O:$O,A4205,pg_transaction_cleaned!$F:$F,"REFUND")</f>
        <v>0</v>
      </c>
      <c r="M4205" s="39">
        <f>SUMIFS(pg_transaction_cleaned!$H:$H,pg_transaction_cleaned!$O:$O,A4205,pg_transaction_cleaned!$F:$F,"REFUND")</f>
        <v>0</v>
      </c>
      <c r="N4205" s="23" t="str">
        <f t="shared" si="262"/>
        <v>OK</v>
      </c>
      <c r="O4205" s="24">
        <f t="shared" si="263"/>
        <v>0</v>
      </c>
    </row>
    <row r="4206" spans="1:15" ht="15" customHeight="1" x14ac:dyDescent="0.3">
      <c r="A4206" s="23" t="s">
        <v>8886</v>
      </c>
      <c r="B4206" s="38">
        <v>46272</v>
      </c>
      <c r="C4206" s="23" t="s">
        <v>8887</v>
      </c>
      <c r="D4206" s="23" t="s">
        <v>87</v>
      </c>
      <c r="E4206" s="23" t="s">
        <v>75</v>
      </c>
      <c r="F4206" s="23" t="s">
        <v>396</v>
      </c>
      <c r="G4206" s="23" t="s">
        <v>250</v>
      </c>
      <c r="H4206" s="39">
        <f t="shared" si="260"/>
        <v>2999</v>
      </c>
      <c r="I4206" s="23" t="str">
        <f t="shared" si="261"/>
        <v>Mumbai</v>
      </c>
      <c r="J4206" s="23">
        <f>COUNTIFS(pg_transaction_cleaned!$O:$O,A4206,pg_transaction_cleaned!$F:$F,"CAPTURE")</f>
        <v>1</v>
      </c>
      <c r="K4206" s="39">
        <f>SUMIFS(pg_transaction_cleaned!$H:$H,pg_transaction_cleaned!$O:$O,A4206,pg_transaction_cleaned!$F:$F,"CAPTURE")</f>
        <v>2999</v>
      </c>
      <c r="L4206" s="23">
        <f>COUNTIFS(pg_transaction_cleaned!$O:$O,A4206,pg_transaction_cleaned!$F:$F,"REFUND")</f>
        <v>0</v>
      </c>
      <c r="M4206" s="39">
        <f>SUMIFS(pg_transaction_cleaned!$H:$H,pg_transaction_cleaned!$O:$O,A4206,pg_transaction_cleaned!$F:$F,"REFUND")</f>
        <v>0</v>
      </c>
      <c r="N4206" s="23" t="str">
        <f t="shared" si="262"/>
        <v>OK</v>
      </c>
      <c r="O4206" s="24">
        <f t="shared" si="263"/>
        <v>0</v>
      </c>
    </row>
    <row r="4207" spans="1:15" ht="15" customHeight="1" x14ac:dyDescent="0.3">
      <c r="A4207" s="23" t="s">
        <v>8888</v>
      </c>
      <c r="B4207" s="38">
        <v>46291</v>
      </c>
      <c r="C4207" s="23" t="s">
        <v>8889</v>
      </c>
      <c r="D4207" s="23" t="s">
        <v>86</v>
      </c>
      <c r="E4207" s="23" t="s">
        <v>75</v>
      </c>
      <c r="F4207" s="23" t="s">
        <v>567</v>
      </c>
      <c r="G4207" s="23" t="s">
        <v>250</v>
      </c>
      <c r="H4207" s="39">
        <f t="shared" si="260"/>
        <v>3598</v>
      </c>
      <c r="I4207" s="23" t="str">
        <f t="shared" si="261"/>
        <v>Delhi</v>
      </c>
      <c r="J4207" s="23">
        <f>COUNTIFS(pg_transaction_cleaned!$O:$O,A4207,pg_transaction_cleaned!$F:$F,"CAPTURE")</f>
        <v>1</v>
      </c>
      <c r="K4207" s="39">
        <f>SUMIFS(pg_transaction_cleaned!$H:$H,pg_transaction_cleaned!$O:$O,A4207,pg_transaction_cleaned!$F:$F,"CAPTURE")</f>
        <v>3598</v>
      </c>
      <c r="L4207" s="23">
        <f>COUNTIFS(pg_transaction_cleaned!$O:$O,A4207,pg_transaction_cleaned!$F:$F,"REFUND")</f>
        <v>0</v>
      </c>
      <c r="M4207" s="39">
        <f>SUMIFS(pg_transaction_cleaned!$H:$H,pg_transaction_cleaned!$O:$O,A4207,pg_transaction_cleaned!$F:$F,"REFUND")</f>
        <v>0</v>
      </c>
      <c r="N4207" s="23" t="str">
        <f t="shared" si="262"/>
        <v>OK</v>
      </c>
      <c r="O4207" s="24">
        <f t="shared" si="263"/>
        <v>0</v>
      </c>
    </row>
    <row r="4208" spans="1:15" ht="15" customHeight="1" x14ac:dyDescent="0.3">
      <c r="A4208" s="23" t="s">
        <v>8890</v>
      </c>
      <c r="B4208" s="38">
        <v>46294</v>
      </c>
      <c r="C4208" s="23" t="s">
        <v>8891</v>
      </c>
      <c r="D4208" s="23" t="s">
        <v>90</v>
      </c>
      <c r="E4208" s="23" t="s">
        <v>75</v>
      </c>
      <c r="F4208" s="23" t="s">
        <v>514</v>
      </c>
      <c r="G4208" s="23" t="s">
        <v>250</v>
      </c>
      <c r="H4208" s="39">
        <f t="shared" si="260"/>
        <v>6498</v>
      </c>
      <c r="I4208" s="23" t="str">
        <f t="shared" si="261"/>
        <v>Ahmedabad</v>
      </c>
      <c r="J4208" s="23">
        <f>COUNTIFS(pg_transaction_cleaned!$O:$O,A4208,pg_transaction_cleaned!$F:$F,"CAPTURE")</f>
        <v>1</v>
      </c>
      <c r="K4208" s="39">
        <f>SUMIFS(pg_transaction_cleaned!$H:$H,pg_transaction_cleaned!$O:$O,A4208,pg_transaction_cleaned!$F:$F,"CAPTURE")</f>
        <v>6498</v>
      </c>
      <c r="L4208" s="23">
        <f>COUNTIFS(pg_transaction_cleaned!$O:$O,A4208,pg_transaction_cleaned!$F:$F,"REFUND")</f>
        <v>0</v>
      </c>
      <c r="M4208" s="39">
        <f>SUMIFS(pg_transaction_cleaned!$H:$H,pg_transaction_cleaned!$O:$O,A4208,pg_transaction_cleaned!$F:$F,"REFUND")</f>
        <v>0</v>
      </c>
      <c r="N4208" s="23" t="str">
        <f t="shared" si="262"/>
        <v>OK</v>
      </c>
      <c r="O4208" s="24">
        <f t="shared" si="263"/>
        <v>0</v>
      </c>
    </row>
    <row r="4209" spans="1:15" ht="15" customHeight="1" x14ac:dyDescent="0.3">
      <c r="A4209" s="23" t="s">
        <v>8892</v>
      </c>
      <c r="B4209" s="38">
        <v>46277</v>
      </c>
      <c r="C4209" s="23" t="s">
        <v>8893</v>
      </c>
      <c r="D4209" s="23" t="s">
        <v>87</v>
      </c>
      <c r="E4209" s="23" t="s">
        <v>79</v>
      </c>
      <c r="F4209" s="23" t="s">
        <v>315</v>
      </c>
      <c r="G4209" s="23" t="s">
        <v>318</v>
      </c>
      <c r="H4209" s="39">
        <f t="shared" si="260"/>
        <v>1499</v>
      </c>
      <c r="I4209" s="23" t="str">
        <f t="shared" si="261"/>
        <v>Mumbai</v>
      </c>
      <c r="J4209" s="23">
        <f>COUNTIFS(pg_transaction_cleaned!$O:$O,A4209,pg_transaction_cleaned!$F:$F,"CAPTURE")</f>
        <v>0</v>
      </c>
      <c r="K4209" s="39">
        <f>SUMIFS(pg_transaction_cleaned!$H:$H,pg_transaction_cleaned!$O:$O,A4209,pg_transaction_cleaned!$F:$F,"CAPTURE")</f>
        <v>0</v>
      </c>
      <c r="L4209" s="23">
        <f>COUNTIFS(pg_transaction_cleaned!$O:$O,A4209,pg_transaction_cleaned!$F:$F,"REFUND")</f>
        <v>0</v>
      </c>
      <c r="M4209" s="39">
        <f>SUMIFS(pg_transaction_cleaned!$H:$H,pg_transaction_cleaned!$O:$O,A4209,pg_transaction_cleaned!$F:$F,"REFUND")</f>
        <v>0</v>
      </c>
      <c r="N4209" s="23" t="str">
        <f t="shared" si="262"/>
        <v>OK</v>
      </c>
      <c r="O4209" s="24">
        <f t="shared" si="263"/>
        <v>0</v>
      </c>
    </row>
    <row r="4210" spans="1:15" ht="15" customHeight="1" x14ac:dyDescent="0.3">
      <c r="A4210" s="23" t="s">
        <v>8894</v>
      </c>
      <c r="B4210" s="38">
        <v>46288</v>
      </c>
      <c r="C4210" s="23" t="s">
        <v>8895</v>
      </c>
      <c r="D4210" s="23" t="s">
        <v>92</v>
      </c>
      <c r="E4210" s="23" t="s">
        <v>79</v>
      </c>
      <c r="F4210" s="23" t="s">
        <v>315</v>
      </c>
      <c r="G4210" s="23" t="s">
        <v>365</v>
      </c>
      <c r="H4210" s="39">
        <f t="shared" si="260"/>
        <v>1499</v>
      </c>
      <c r="I4210" s="23" t="str">
        <f t="shared" si="261"/>
        <v>Hyderabad</v>
      </c>
      <c r="J4210" s="23">
        <f>COUNTIFS(pg_transaction_cleaned!$O:$O,A4210,pg_transaction_cleaned!$F:$F,"CAPTURE")</f>
        <v>0</v>
      </c>
      <c r="K4210" s="39">
        <f>SUMIFS(pg_transaction_cleaned!$H:$H,pg_transaction_cleaned!$O:$O,A4210,pg_transaction_cleaned!$F:$F,"CAPTURE")</f>
        <v>0</v>
      </c>
      <c r="L4210" s="23">
        <f>COUNTIFS(pg_transaction_cleaned!$O:$O,A4210,pg_transaction_cleaned!$F:$F,"REFUND")</f>
        <v>0</v>
      </c>
      <c r="M4210" s="39">
        <f>SUMIFS(pg_transaction_cleaned!$H:$H,pg_transaction_cleaned!$O:$O,A4210,pg_transaction_cleaned!$F:$F,"REFUND")</f>
        <v>0</v>
      </c>
      <c r="N4210" s="23" t="str">
        <f t="shared" si="262"/>
        <v>OK</v>
      </c>
      <c r="O4210" s="24">
        <f t="shared" si="263"/>
        <v>0</v>
      </c>
    </row>
    <row r="4211" spans="1:15" ht="15" customHeight="1" x14ac:dyDescent="0.3">
      <c r="A4211" s="23" t="s">
        <v>8896</v>
      </c>
      <c r="B4211" s="38">
        <v>46275</v>
      </c>
      <c r="C4211" s="23" t="s">
        <v>8897</v>
      </c>
      <c r="D4211" s="23" t="s">
        <v>92</v>
      </c>
      <c r="E4211" s="23" t="s">
        <v>75</v>
      </c>
      <c r="F4211" s="23" t="s">
        <v>438</v>
      </c>
      <c r="G4211" s="23" t="s">
        <v>250</v>
      </c>
      <c r="H4211" s="39">
        <f t="shared" si="260"/>
        <v>5498</v>
      </c>
      <c r="I4211" s="23" t="str">
        <f t="shared" si="261"/>
        <v>Hyderabad</v>
      </c>
      <c r="J4211" s="23">
        <f>COUNTIFS(pg_transaction_cleaned!$O:$O,A4211,pg_transaction_cleaned!$F:$F,"CAPTURE")</f>
        <v>1</v>
      </c>
      <c r="K4211" s="39">
        <f>SUMIFS(pg_transaction_cleaned!$H:$H,pg_transaction_cleaned!$O:$O,A4211,pg_transaction_cleaned!$F:$F,"CAPTURE")</f>
        <v>5498</v>
      </c>
      <c r="L4211" s="23">
        <f>COUNTIFS(pg_transaction_cleaned!$O:$O,A4211,pg_transaction_cleaned!$F:$F,"REFUND")</f>
        <v>0</v>
      </c>
      <c r="M4211" s="39">
        <f>SUMIFS(pg_transaction_cleaned!$H:$H,pg_transaction_cleaned!$O:$O,A4211,pg_transaction_cleaned!$F:$F,"REFUND")</f>
        <v>0</v>
      </c>
      <c r="N4211" s="23" t="str">
        <f t="shared" si="262"/>
        <v>OK</v>
      </c>
      <c r="O4211" s="24">
        <f t="shared" si="263"/>
        <v>0</v>
      </c>
    </row>
    <row r="4212" spans="1:15" ht="15" customHeight="1" x14ac:dyDescent="0.3">
      <c r="A4212" s="23" t="s">
        <v>8898</v>
      </c>
      <c r="B4212" s="38">
        <v>46267</v>
      </c>
      <c r="C4212" s="23" t="s">
        <v>8899</v>
      </c>
      <c r="D4212" s="23" t="s">
        <v>92</v>
      </c>
      <c r="E4212" s="23" t="s">
        <v>75</v>
      </c>
      <c r="F4212" s="23" t="s">
        <v>1978</v>
      </c>
      <c r="G4212" s="23" t="s">
        <v>250</v>
      </c>
      <c r="H4212" s="39">
        <f t="shared" si="260"/>
        <v>4597</v>
      </c>
      <c r="I4212" s="23" t="str">
        <f t="shared" si="261"/>
        <v>Hyderabad</v>
      </c>
      <c r="J4212" s="23">
        <f>COUNTIFS(pg_transaction_cleaned!$O:$O,A4212,pg_transaction_cleaned!$F:$F,"CAPTURE")</f>
        <v>1</v>
      </c>
      <c r="K4212" s="39">
        <f>SUMIFS(pg_transaction_cleaned!$H:$H,pg_transaction_cleaned!$O:$O,A4212,pg_transaction_cleaned!$F:$F,"CAPTURE")</f>
        <v>4597</v>
      </c>
      <c r="L4212" s="23">
        <f>COUNTIFS(pg_transaction_cleaned!$O:$O,A4212,pg_transaction_cleaned!$F:$F,"REFUND")</f>
        <v>0</v>
      </c>
      <c r="M4212" s="39">
        <f>SUMIFS(pg_transaction_cleaned!$H:$H,pg_transaction_cleaned!$O:$O,A4212,pg_transaction_cleaned!$F:$F,"REFUND")</f>
        <v>0</v>
      </c>
      <c r="N4212" s="23" t="str">
        <f t="shared" si="262"/>
        <v>OK</v>
      </c>
      <c r="O4212" s="24">
        <f t="shared" si="263"/>
        <v>0</v>
      </c>
    </row>
    <row r="4213" spans="1:15" ht="15" customHeight="1" x14ac:dyDescent="0.3">
      <c r="A4213" s="23" t="s">
        <v>8900</v>
      </c>
      <c r="B4213" s="38">
        <v>46277</v>
      </c>
      <c r="C4213" s="23" t="s">
        <v>8901</v>
      </c>
      <c r="D4213" s="23" t="s">
        <v>93</v>
      </c>
      <c r="E4213" s="23" t="s">
        <v>75</v>
      </c>
      <c r="F4213" s="23" t="s">
        <v>475</v>
      </c>
      <c r="G4213" s="23" t="s">
        <v>250</v>
      </c>
      <c r="H4213" s="39">
        <f t="shared" si="260"/>
        <v>799</v>
      </c>
      <c r="I4213" s="23" t="str">
        <f t="shared" si="261"/>
        <v>Kolkata</v>
      </c>
      <c r="J4213" s="23">
        <f>COUNTIFS(pg_transaction_cleaned!$O:$O,A4213,pg_transaction_cleaned!$F:$F,"CAPTURE")</f>
        <v>1</v>
      </c>
      <c r="K4213" s="39">
        <f>SUMIFS(pg_transaction_cleaned!$H:$H,pg_transaction_cleaned!$O:$O,A4213,pg_transaction_cleaned!$F:$F,"CAPTURE")</f>
        <v>799</v>
      </c>
      <c r="L4213" s="23">
        <f>COUNTIFS(pg_transaction_cleaned!$O:$O,A4213,pg_transaction_cleaned!$F:$F,"REFUND")</f>
        <v>0</v>
      </c>
      <c r="M4213" s="39">
        <f>SUMIFS(pg_transaction_cleaned!$H:$H,pg_transaction_cleaned!$O:$O,A4213,pg_transaction_cleaned!$F:$F,"REFUND")</f>
        <v>0</v>
      </c>
      <c r="N4213" s="23" t="str">
        <f t="shared" si="262"/>
        <v>OK</v>
      </c>
      <c r="O4213" s="24">
        <f t="shared" si="263"/>
        <v>0</v>
      </c>
    </row>
    <row r="4214" spans="1:15" ht="15" customHeight="1" x14ac:dyDescent="0.3">
      <c r="A4214" s="23" t="s">
        <v>8902</v>
      </c>
      <c r="B4214" s="38">
        <v>46294</v>
      </c>
      <c r="C4214" s="23" t="s">
        <v>8903</v>
      </c>
      <c r="D4214" s="23" t="s">
        <v>95</v>
      </c>
      <c r="E4214" s="23" t="s">
        <v>75</v>
      </c>
      <c r="F4214" s="23" t="s">
        <v>772</v>
      </c>
      <c r="G4214" s="23" t="s">
        <v>250</v>
      </c>
      <c r="H4214" s="39">
        <f t="shared" si="260"/>
        <v>4798</v>
      </c>
      <c r="I4214" s="23" t="str">
        <f t="shared" si="261"/>
        <v>Bengaluru</v>
      </c>
      <c r="J4214" s="23">
        <f>COUNTIFS(pg_transaction_cleaned!$O:$O,A4214,pg_transaction_cleaned!$F:$F,"CAPTURE")</f>
        <v>1</v>
      </c>
      <c r="K4214" s="39">
        <f>SUMIFS(pg_transaction_cleaned!$H:$H,pg_transaction_cleaned!$O:$O,A4214,pg_transaction_cleaned!$F:$F,"CAPTURE")</f>
        <v>4798</v>
      </c>
      <c r="L4214" s="23">
        <f>COUNTIFS(pg_transaction_cleaned!$O:$O,A4214,pg_transaction_cleaned!$F:$F,"REFUND")</f>
        <v>0</v>
      </c>
      <c r="M4214" s="39">
        <f>SUMIFS(pg_transaction_cleaned!$H:$H,pg_transaction_cleaned!$O:$O,A4214,pg_transaction_cleaned!$F:$F,"REFUND")</f>
        <v>0</v>
      </c>
      <c r="N4214" s="23" t="str">
        <f t="shared" si="262"/>
        <v>OK</v>
      </c>
      <c r="O4214" s="24">
        <f t="shared" si="263"/>
        <v>0</v>
      </c>
    </row>
    <row r="4215" spans="1:15" ht="15" customHeight="1" x14ac:dyDescent="0.3">
      <c r="A4215" s="23" t="s">
        <v>8904</v>
      </c>
      <c r="B4215" s="38">
        <v>46287</v>
      </c>
      <c r="C4215" s="23" t="s">
        <v>8905</v>
      </c>
      <c r="D4215" s="23" t="s">
        <v>94</v>
      </c>
      <c r="E4215" s="23" t="s">
        <v>75</v>
      </c>
      <c r="F4215" s="23" t="s">
        <v>385</v>
      </c>
      <c r="G4215" s="23" t="s">
        <v>250</v>
      </c>
      <c r="H4215" s="39">
        <f t="shared" si="260"/>
        <v>10597</v>
      </c>
      <c r="I4215" s="23" t="str">
        <f t="shared" si="261"/>
        <v>Chennai</v>
      </c>
      <c r="J4215" s="23">
        <f>COUNTIFS(pg_transaction_cleaned!$O:$O,A4215,pg_transaction_cleaned!$F:$F,"CAPTURE")</f>
        <v>1</v>
      </c>
      <c r="K4215" s="39">
        <f>SUMIFS(pg_transaction_cleaned!$H:$H,pg_transaction_cleaned!$O:$O,A4215,pg_transaction_cleaned!$F:$F,"CAPTURE")</f>
        <v>10597</v>
      </c>
      <c r="L4215" s="23">
        <f>COUNTIFS(pg_transaction_cleaned!$O:$O,A4215,pg_transaction_cleaned!$F:$F,"REFUND")</f>
        <v>0</v>
      </c>
      <c r="M4215" s="39">
        <f>SUMIFS(pg_transaction_cleaned!$H:$H,pg_transaction_cleaned!$O:$O,A4215,pg_transaction_cleaned!$F:$F,"REFUND")</f>
        <v>0</v>
      </c>
      <c r="N4215" s="23" t="str">
        <f t="shared" si="262"/>
        <v>OK</v>
      </c>
      <c r="O4215" s="24">
        <f t="shared" si="263"/>
        <v>0</v>
      </c>
    </row>
    <row r="4216" spans="1:15" ht="15" customHeight="1" x14ac:dyDescent="0.3">
      <c r="A4216" s="23" t="s">
        <v>8906</v>
      </c>
      <c r="B4216" s="38">
        <v>46286</v>
      </c>
      <c r="C4216" s="23" t="s">
        <v>8907</v>
      </c>
      <c r="D4216" s="23" t="s">
        <v>95</v>
      </c>
      <c r="E4216" s="23" t="s">
        <v>75</v>
      </c>
      <c r="F4216" s="23" t="s">
        <v>288</v>
      </c>
      <c r="G4216" s="23" t="s">
        <v>250</v>
      </c>
      <c r="H4216" s="39">
        <f t="shared" si="260"/>
        <v>4298</v>
      </c>
      <c r="I4216" s="23" t="str">
        <f t="shared" si="261"/>
        <v>Bengaluru</v>
      </c>
      <c r="J4216" s="23">
        <f>COUNTIFS(pg_transaction_cleaned!$O:$O,A4216,pg_transaction_cleaned!$F:$F,"CAPTURE")</f>
        <v>1</v>
      </c>
      <c r="K4216" s="39">
        <f>SUMIFS(pg_transaction_cleaned!$H:$H,pg_transaction_cleaned!$O:$O,A4216,pg_transaction_cleaned!$F:$F,"CAPTURE")</f>
        <v>4298</v>
      </c>
      <c r="L4216" s="23">
        <f>COUNTIFS(pg_transaction_cleaned!$O:$O,A4216,pg_transaction_cleaned!$F:$F,"REFUND")</f>
        <v>0</v>
      </c>
      <c r="M4216" s="39">
        <f>SUMIFS(pg_transaction_cleaned!$H:$H,pg_transaction_cleaned!$O:$O,A4216,pg_transaction_cleaned!$F:$F,"REFUND")</f>
        <v>0</v>
      </c>
      <c r="N4216" s="23" t="str">
        <f t="shared" si="262"/>
        <v>OK</v>
      </c>
      <c r="O4216" s="24">
        <f t="shared" si="263"/>
        <v>0</v>
      </c>
    </row>
    <row r="4217" spans="1:15" ht="15" customHeight="1" x14ac:dyDescent="0.3">
      <c r="A4217" s="23" t="s">
        <v>8908</v>
      </c>
      <c r="B4217" s="38">
        <v>46279</v>
      </c>
      <c r="C4217" s="23" t="s">
        <v>1416</v>
      </c>
      <c r="D4217" s="23" t="s">
        <v>90</v>
      </c>
      <c r="E4217" s="23" t="s">
        <v>75</v>
      </c>
      <c r="F4217" s="23" t="s">
        <v>490</v>
      </c>
      <c r="G4217" s="23" t="s">
        <v>250</v>
      </c>
      <c r="H4217" s="39">
        <f t="shared" si="260"/>
        <v>8798</v>
      </c>
      <c r="I4217" s="23" t="str">
        <f t="shared" si="261"/>
        <v>Ahmedabad</v>
      </c>
      <c r="J4217" s="23">
        <f>COUNTIFS(pg_transaction_cleaned!$O:$O,A4217,pg_transaction_cleaned!$F:$F,"CAPTURE")</f>
        <v>1</v>
      </c>
      <c r="K4217" s="39">
        <f>SUMIFS(pg_transaction_cleaned!$H:$H,pg_transaction_cleaned!$O:$O,A4217,pg_transaction_cleaned!$F:$F,"CAPTURE")</f>
        <v>8798</v>
      </c>
      <c r="L4217" s="23">
        <f>COUNTIFS(pg_transaction_cleaned!$O:$O,A4217,pg_transaction_cleaned!$F:$F,"REFUND")</f>
        <v>0</v>
      </c>
      <c r="M4217" s="39">
        <f>SUMIFS(pg_transaction_cleaned!$H:$H,pg_transaction_cleaned!$O:$O,A4217,pg_transaction_cleaned!$F:$F,"REFUND")</f>
        <v>0</v>
      </c>
      <c r="N4217" s="23" t="str">
        <f t="shared" si="262"/>
        <v>OK</v>
      </c>
      <c r="O4217" s="24">
        <f t="shared" si="263"/>
        <v>0</v>
      </c>
    </row>
    <row r="4218" spans="1:15" ht="15" customHeight="1" x14ac:dyDescent="0.3">
      <c r="A4218" s="23" t="s">
        <v>8909</v>
      </c>
      <c r="B4218" s="38">
        <v>46281</v>
      </c>
      <c r="C4218" s="23" t="s">
        <v>8910</v>
      </c>
      <c r="D4218" s="23" t="s">
        <v>92</v>
      </c>
      <c r="E4218" s="23" t="s">
        <v>77</v>
      </c>
      <c r="F4218" s="23" t="s">
        <v>294</v>
      </c>
      <c r="G4218" s="23" t="s">
        <v>250</v>
      </c>
      <c r="H4218" s="39">
        <f t="shared" si="260"/>
        <v>1799</v>
      </c>
      <c r="I4218" s="23" t="str">
        <f t="shared" si="261"/>
        <v>Hyderabad</v>
      </c>
      <c r="J4218" s="23">
        <f>COUNTIFS(pg_transaction_cleaned!$O:$O,A4218,pg_transaction_cleaned!$F:$F,"CAPTURE")</f>
        <v>1</v>
      </c>
      <c r="K4218" s="39">
        <f>SUMIFS(pg_transaction_cleaned!$H:$H,pg_transaction_cleaned!$O:$O,A4218,pg_transaction_cleaned!$F:$F,"CAPTURE")</f>
        <v>1799</v>
      </c>
      <c r="L4218" s="23">
        <f>COUNTIFS(pg_transaction_cleaned!$O:$O,A4218,pg_transaction_cleaned!$F:$F,"REFUND")</f>
        <v>0</v>
      </c>
      <c r="M4218" s="39">
        <f>SUMIFS(pg_transaction_cleaned!$H:$H,pg_transaction_cleaned!$O:$O,A4218,pg_transaction_cleaned!$F:$F,"REFUND")</f>
        <v>0</v>
      </c>
      <c r="N4218" s="23" t="str">
        <f t="shared" si="262"/>
        <v>OK</v>
      </c>
      <c r="O4218" s="24">
        <f t="shared" si="263"/>
        <v>0</v>
      </c>
    </row>
    <row r="4219" spans="1:15" ht="15" customHeight="1" x14ac:dyDescent="0.3">
      <c r="A4219" s="23" t="s">
        <v>8911</v>
      </c>
      <c r="B4219" s="38">
        <v>46273</v>
      </c>
      <c r="C4219" s="23" t="s">
        <v>8912</v>
      </c>
      <c r="D4219" s="23" t="s">
        <v>89</v>
      </c>
      <c r="E4219" s="23" t="s">
        <v>75</v>
      </c>
      <c r="F4219" s="23" t="s">
        <v>297</v>
      </c>
      <c r="G4219" s="23" t="s">
        <v>365</v>
      </c>
      <c r="H4219" s="39">
        <f t="shared" si="260"/>
        <v>4999</v>
      </c>
      <c r="I4219" s="23" t="str">
        <f t="shared" si="261"/>
        <v>Jaipur</v>
      </c>
      <c r="J4219" s="23">
        <f>COUNTIFS(pg_transaction_cleaned!$O:$O,A4219,pg_transaction_cleaned!$F:$F,"CAPTURE")</f>
        <v>0</v>
      </c>
      <c r="K4219" s="39">
        <f>SUMIFS(pg_transaction_cleaned!$H:$H,pg_transaction_cleaned!$O:$O,A4219,pg_transaction_cleaned!$F:$F,"CAPTURE")</f>
        <v>0</v>
      </c>
      <c r="L4219" s="23">
        <f>COUNTIFS(pg_transaction_cleaned!$O:$O,A4219,pg_transaction_cleaned!$F:$F,"REFUND")</f>
        <v>0</v>
      </c>
      <c r="M4219" s="39">
        <f>SUMIFS(pg_transaction_cleaned!$H:$H,pg_transaction_cleaned!$O:$O,A4219,pg_transaction_cleaned!$F:$F,"REFUND")</f>
        <v>0</v>
      </c>
      <c r="N4219" s="23" t="str">
        <f t="shared" si="262"/>
        <v>OK</v>
      </c>
      <c r="O4219" s="24">
        <f t="shared" si="263"/>
        <v>0</v>
      </c>
    </row>
    <row r="4220" spans="1:15" ht="15" customHeight="1" x14ac:dyDescent="0.3">
      <c r="A4220" s="23" t="s">
        <v>8913</v>
      </c>
      <c r="B4220" s="38">
        <v>46272</v>
      </c>
      <c r="C4220" s="23" t="s">
        <v>8914</v>
      </c>
      <c r="D4220" s="23" t="s">
        <v>88</v>
      </c>
      <c r="E4220" s="23" t="s">
        <v>81</v>
      </c>
      <c r="F4220" s="23" t="s">
        <v>1635</v>
      </c>
      <c r="G4220" s="23" t="s">
        <v>250</v>
      </c>
      <c r="H4220" s="39">
        <f t="shared" si="260"/>
        <v>11797</v>
      </c>
      <c r="I4220" s="23" t="str">
        <f t="shared" si="261"/>
        <v>Lucknow</v>
      </c>
      <c r="J4220" s="23">
        <f>COUNTIFS(pg_transaction_cleaned!$O:$O,A4220,pg_transaction_cleaned!$F:$F,"CAPTURE")</f>
        <v>1</v>
      </c>
      <c r="K4220" s="39">
        <f>SUMIFS(pg_transaction_cleaned!$H:$H,pg_transaction_cleaned!$O:$O,A4220,pg_transaction_cleaned!$F:$F,"CAPTURE")</f>
        <v>11797</v>
      </c>
      <c r="L4220" s="23">
        <f>COUNTIFS(pg_transaction_cleaned!$O:$O,A4220,pg_transaction_cleaned!$F:$F,"REFUND")</f>
        <v>0</v>
      </c>
      <c r="M4220" s="39">
        <f>SUMIFS(pg_transaction_cleaned!$H:$H,pg_transaction_cleaned!$O:$O,A4220,pg_transaction_cleaned!$F:$F,"REFUND")</f>
        <v>0</v>
      </c>
      <c r="N4220" s="23" t="str">
        <f t="shared" si="262"/>
        <v>OK</v>
      </c>
      <c r="O4220" s="24">
        <f t="shared" si="263"/>
        <v>0</v>
      </c>
    </row>
    <row r="4221" spans="1:15" ht="15" customHeight="1" x14ac:dyDescent="0.3">
      <c r="A4221" s="23" t="s">
        <v>8915</v>
      </c>
      <c r="B4221" s="38">
        <v>46288</v>
      </c>
      <c r="C4221" s="23" t="s">
        <v>8916</v>
      </c>
      <c r="D4221" s="23" t="s">
        <v>94</v>
      </c>
      <c r="E4221" s="23" t="s">
        <v>75</v>
      </c>
      <c r="F4221" s="23" t="s">
        <v>310</v>
      </c>
      <c r="G4221" s="23" t="s">
        <v>250</v>
      </c>
      <c r="H4221" s="39">
        <f t="shared" si="260"/>
        <v>7999</v>
      </c>
      <c r="I4221" s="23" t="str">
        <f t="shared" si="261"/>
        <v>Chennai</v>
      </c>
      <c r="J4221" s="23">
        <f>COUNTIFS(pg_transaction_cleaned!$O:$O,A4221,pg_transaction_cleaned!$F:$F,"CAPTURE")</f>
        <v>1</v>
      </c>
      <c r="K4221" s="39">
        <f>SUMIFS(pg_transaction_cleaned!$H:$H,pg_transaction_cleaned!$O:$O,A4221,pg_transaction_cleaned!$F:$F,"CAPTURE")</f>
        <v>7999</v>
      </c>
      <c r="L4221" s="23">
        <f>COUNTIFS(pg_transaction_cleaned!$O:$O,A4221,pg_transaction_cleaned!$F:$F,"REFUND")</f>
        <v>0</v>
      </c>
      <c r="M4221" s="39">
        <f>SUMIFS(pg_transaction_cleaned!$H:$H,pg_transaction_cleaned!$O:$O,A4221,pg_transaction_cleaned!$F:$F,"REFUND")</f>
        <v>0</v>
      </c>
      <c r="N4221" s="23" t="str">
        <f t="shared" si="262"/>
        <v>OK</v>
      </c>
      <c r="O4221" s="24">
        <f t="shared" si="263"/>
        <v>0</v>
      </c>
    </row>
    <row r="4222" spans="1:15" ht="15" customHeight="1" x14ac:dyDescent="0.3">
      <c r="A4222" s="23" t="s">
        <v>8917</v>
      </c>
      <c r="B4222" s="38">
        <v>46291</v>
      </c>
      <c r="C4222" s="23" t="s">
        <v>8918</v>
      </c>
      <c r="D4222" s="23" t="s">
        <v>89</v>
      </c>
      <c r="E4222" s="23" t="s">
        <v>75</v>
      </c>
      <c r="F4222" s="23" t="s">
        <v>265</v>
      </c>
      <c r="G4222" s="23" t="s">
        <v>301</v>
      </c>
      <c r="H4222" s="39">
        <f t="shared" si="260"/>
        <v>999</v>
      </c>
      <c r="I4222" s="23" t="str">
        <f t="shared" si="261"/>
        <v>Jaipur</v>
      </c>
      <c r="J4222" s="23">
        <f>COUNTIFS(pg_transaction_cleaned!$O:$O,A4222,pg_transaction_cleaned!$F:$F,"CAPTURE")</f>
        <v>1</v>
      </c>
      <c r="K4222" s="39">
        <f>SUMIFS(pg_transaction_cleaned!$H:$H,pg_transaction_cleaned!$O:$O,A4222,pg_transaction_cleaned!$F:$F,"CAPTURE")</f>
        <v>999</v>
      </c>
      <c r="L4222" s="23">
        <f>COUNTIFS(pg_transaction_cleaned!$O:$O,A4222,pg_transaction_cleaned!$F:$F,"REFUND")</f>
        <v>1</v>
      </c>
      <c r="M4222" s="39">
        <f>SUMIFS(pg_transaction_cleaned!$H:$H,pg_transaction_cleaned!$O:$O,A4222,pg_transaction_cleaned!$F:$F,"REFUND")</f>
        <v>999</v>
      </c>
      <c r="N4222" s="23" t="str">
        <f t="shared" si="262"/>
        <v>OK</v>
      </c>
      <c r="O4222" s="24">
        <f t="shared" si="263"/>
        <v>0</v>
      </c>
    </row>
    <row r="4223" spans="1:15" ht="15" customHeight="1" x14ac:dyDescent="0.3">
      <c r="A4223" s="23" t="s">
        <v>8919</v>
      </c>
      <c r="B4223" s="38">
        <v>46274</v>
      </c>
      <c r="C4223" s="23" t="s">
        <v>8920</v>
      </c>
      <c r="D4223" s="23" t="s">
        <v>95</v>
      </c>
      <c r="E4223" s="23" t="s">
        <v>75</v>
      </c>
      <c r="F4223" s="23" t="s">
        <v>460</v>
      </c>
      <c r="G4223" s="23" t="s">
        <v>250</v>
      </c>
      <c r="H4223" s="39">
        <f t="shared" si="260"/>
        <v>1998</v>
      </c>
      <c r="I4223" s="23" t="str">
        <f t="shared" si="261"/>
        <v>Bengaluru</v>
      </c>
      <c r="J4223" s="23">
        <f>COUNTIFS(pg_transaction_cleaned!$O:$O,A4223,pg_transaction_cleaned!$F:$F,"CAPTURE")</f>
        <v>1</v>
      </c>
      <c r="K4223" s="39">
        <f>SUMIFS(pg_transaction_cleaned!$H:$H,pg_transaction_cleaned!$O:$O,A4223,pg_transaction_cleaned!$F:$F,"CAPTURE")</f>
        <v>1998</v>
      </c>
      <c r="L4223" s="23">
        <f>COUNTIFS(pg_transaction_cleaned!$O:$O,A4223,pg_transaction_cleaned!$F:$F,"REFUND")</f>
        <v>0</v>
      </c>
      <c r="M4223" s="39">
        <f>SUMIFS(pg_transaction_cleaned!$H:$H,pg_transaction_cleaned!$O:$O,A4223,pg_transaction_cleaned!$F:$F,"REFUND")</f>
        <v>0</v>
      </c>
      <c r="N4223" s="23" t="str">
        <f t="shared" si="262"/>
        <v>OK</v>
      </c>
      <c r="O4223" s="24">
        <f t="shared" si="263"/>
        <v>0</v>
      </c>
    </row>
    <row r="4224" spans="1:15" ht="15" customHeight="1" x14ac:dyDescent="0.3">
      <c r="A4224" s="23" t="s">
        <v>8921</v>
      </c>
      <c r="B4224" s="38">
        <v>46274</v>
      </c>
      <c r="C4224" s="23" t="s">
        <v>8922</v>
      </c>
      <c r="D4224" s="23" t="s">
        <v>90</v>
      </c>
      <c r="E4224" s="23" t="s">
        <v>75</v>
      </c>
      <c r="F4224" s="23" t="s">
        <v>297</v>
      </c>
      <c r="G4224" s="23" t="s">
        <v>250</v>
      </c>
      <c r="H4224" s="39">
        <f t="shared" si="260"/>
        <v>4999</v>
      </c>
      <c r="I4224" s="23" t="str">
        <f t="shared" si="261"/>
        <v>Ahmedabad</v>
      </c>
      <c r="J4224" s="23">
        <f>COUNTIFS(pg_transaction_cleaned!$O:$O,A4224,pg_transaction_cleaned!$F:$F,"CAPTURE")</f>
        <v>1</v>
      </c>
      <c r="K4224" s="39">
        <f>SUMIFS(pg_transaction_cleaned!$H:$H,pg_transaction_cleaned!$O:$O,A4224,pg_transaction_cleaned!$F:$F,"CAPTURE")</f>
        <v>4999</v>
      </c>
      <c r="L4224" s="23">
        <f>COUNTIFS(pg_transaction_cleaned!$O:$O,A4224,pg_transaction_cleaned!$F:$F,"REFUND")</f>
        <v>0</v>
      </c>
      <c r="M4224" s="39">
        <f>SUMIFS(pg_transaction_cleaned!$H:$H,pg_transaction_cleaned!$O:$O,A4224,pg_transaction_cleaned!$F:$F,"REFUND")</f>
        <v>0</v>
      </c>
      <c r="N4224" s="23" t="str">
        <f t="shared" si="262"/>
        <v>OK</v>
      </c>
      <c r="O4224" s="24">
        <f t="shared" si="263"/>
        <v>0</v>
      </c>
    </row>
    <row r="4225" spans="1:15" ht="15" customHeight="1" x14ac:dyDescent="0.3">
      <c r="A4225" s="23" t="s">
        <v>8923</v>
      </c>
      <c r="B4225" s="38">
        <v>46280</v>
      </c>
      <c r="C4225" s="23" t="s">
        <v>8924</v>
      </c>
      <c r="D4225" s="23" t="s">
        <v>94</v>
      </c>
      <c r="E4225" s="23" t="s">
        <v>75</v>
      </c>
      <c r="F4225" s="23" t="s">
        <v>291</v>
      </c>
      <c r="G4225" s="23" t="s">
        <v>250</v>
      </c>
      <c r="H4225" s="39">
        <f t="shared" si="260"/>
        <v>3499</v>
      </c>
      <c r="I4225" s="23" t="str">
        <f t="shared" si="261"/>
        <v>Chennai</v>
      </c>
      <c r="J4225" s="23">
        <f>COUNTIFS(pg_transaction_cleaned!$O:$O,A4225,pg_transaction_cleaned!$F:$F,"CAPTURE")</f>
        <v>1</v>
      </c>
      <c r="K4225" s="39">
        <f>SUMIFS(pg_transaction_cleaned!$H:$H,pg_transaction_cleaned!$O:$O,A4225,pg_transaction_cleaned!$F:$F,"CAPTURE")</f>
        <v>3499</v>
      </c>
      <c r="L4225" s="23">
        <f>COUNTIFS(pg_transaction_cleaned!$O:$O,A4225,pg_transaction_cleaned!$F:$F,"REFUND")</f>
        <v>0</v>
      </c>
      <c r="M4225" s="39">
        <f>SUMIFS(pg_transaction_cleaned!$H:$H,pg_transaction_cleaned!$O:$O,A4225,pg_transaction_cleaned!$F:$F,"REFUND")</f>
        <v>0</v>
      </c>
      <c r="N4225" s="23" t="str">
        <f t="shared" si="262"/>
        <v>OK</v>
      </c>
      <c r="O4225" s="24">
        <f t="shared" si="263"/>
        <v>0</v>
      </c>
    </row>
    <row r="4226" spans="1:15" ht="15" customHeight="1" x14ac:dyDescent="0.3">
      <c r="A4226" s="23" t="s">
        <v>8925</v>
      </c>
      <c r="B4226" s="38">
        <v>46274</v>
      </c>
      <c r="C4226" s="23" t="s">
        <v>8926</v>
      </c>
      <c r="D4226" s="23" t="s">
        <v>89</v>
      </c>
      <c r="E4226" s="23" t="s">
        <v>79</v>
      </c>
      <c r="F4226" s="23" t="s">
        <v>2178</v>
      </c>
      <c r="G4226" s="23" t="s">
        <v>250</v>
      </c>
      <c r="H4226" s="39">
        <f t="shared" ref="H4226:H4289" si="264">VALUE(SUBSTITUTE(F4226,",",""))</f>
        <v>8997</v>
      </c>
      <c r="I4226" s="23" t="str">
        <f t="shared" ref="I4226:I4289" si="265">IF(TRIM(D4226)="","Unknown",TRIM(D4226))</f>
        <v>Jaipur</v>
      </c>
      <c r="J4226" s="23">
        <f>COUNTIFS(pg_transaction_cleaned!$O:$O,A4226,pg_transaction_cleaned!$F:$F,"CAPTURE")</f>
        <v>1</v>
      </c>
      <c r="K4226" s="39">
        <f>SUMIFS(pg_transaction_cleaned!$H:$H,pg_transaction_cleaned!$O:$O,A4226,pg_transaction_cleaned!$F:$F,"CAPTURE")</f>
        <v>8997</v>
      </c>
      <c r="L4226" s="23">
        <f>COUNTIFS(pg_transaction_cleaned!$O:$O,A4226,pg_transaction_cleaned!$F:$F,"REFUND")</f>
        <v>0</v>
      </c>
      <c r="M4226" s="39">
        <f>SUMIFS(pg_transaction_cleaned!$H:$H,pg_transaction_cleaned!$O:$O,A4226,pg_transaction_cleaned!$F:$F,"REFUND")</f>
        <v>0</v>
      </c>
      <c r="N4226" s="23" t="str">
        <f t="shared" ref="N4226:N4289" si="266">IF(AND(G4226="Paid",J4226=0),"Paid, no payment",IF(AND(OR(G4226="Failed",G4226="Cancelled"),J4226&gt;0),"Payment on failed/cancelled",IF(J4226&gt;1,"Duplicate charge",IF(AND(J4226=1,ROUND(K4226-H4226,2)&lt;&gt;0),"Amount difference",IF(AND(G4226="Refunded",L4226=0),"Refunded, no refund",IF(AND(G4226&lt;&gt;"Refunded",L4226&gt;0),"Refund, order not Refunded",IF(AND(L4226&gt;0,ROUND(M4226-H4226,2)&lt;&gt;0),"Refund amount differs","OK")))))))</f>
        <v>OK</v>
      </c>
      <c r="O4226" s="24">
        <f t="shared" ref="O4226:O4289" si="267">IF(N4226="OK",0,IF(N4226="Paid, no payment",H4226,IF(N4226="Payment on failed/cancelled",K4226,IF(OR(N4226="Duplicate charge",N4226="Amount difference"),K4226-H4226,IF(N4226="Refunded, no refund",H4226,M4226)))))</f>
        <v>0</v>
      </c>
    </row>
    <row r="4227" spans="1:15" ht="15" customHeight="1" x14ac:dyDescent="0.3">
      <c r="A4227" s="23" t="s">
        <v>8927</v>
      </c>
      <c r="B4227" s="38">
        <v>46295</v>
      </c>
      <c r="C4227" s="23" t="s">
        <v>8928</v>
      </c>
      <c r="D4227" s="23" t="s">
        <v>91</v>
      </c>
      <c r="E4227" s="23" t="s">
        <v>75</v>
      </c>
      <c r="F4227" s="23" t="s">
        <v>274</v>
      </c>
      <c r="G4227" s="23" t="s">
        <v>250</v>
      </c>
      <c r="H4227" s="39">
        <f t="shared" si="264"/>
        <v>349</v>
      </c>
      <c r="I4227" s="23" t="str">
        <f t="shared" si="265"/>
        <v>Pune</v>
      </c>
      <c r="J4227" s="23">
        <f>COUNTIFS(pg_transaction_cleaned!$O:$O,A4227,pg_transaction_cleaned!$F:$F,"CAPTURE")</f>
        <v>1</v>
      </c>
      <c r="K4227" s="39">
        <f>SUMIFS(pg_transaction_cleaned!$H:$H,pg_transaction_cleaned!$O:$O,A4227,pg_transaction_cleaned!$F:$F,"CAPTURE")</f>
        <v>349</v>
      </c>
      <c r="L4227" s="23">
        <f>COUNTIFS(pg_transaction_cleaned!$O:$O,A4227,pg_transaction_cleaned!$F:$F,"REFUND")</f>
        <v>0</v>
      </c>
      <c r="M4227" s="39">
        <f>SUMIFS(pg_transaction_cleaned!$H:$H,pg_transaction_cleaned!$O:$O,A4227,pg_transaction_cleaned!$F:$F,"REFUND")</f>
        <v>0</v>
      </c>
      <c r="N4227" s="23" t="str">
        <f t="shared" si="266"/>
        <v>OK</v>
      </c>
      <c r="O4227" s="24">
        <f t="shared" si="267"/>
        <v>0</v>
      </c>
    </row>
    <row r="4228" spans="1:15" ht="15" customHeight="1" x14ac:dyDescent="0.3">
      <c r="A4228" s="23" t="s">
        <v>8929</v>
      </c>
      <c r="B4228" s="38">
        <v>46277</v>
      </c>
      <c r="C4228" s="23" t="s">
        <v>8930</v>
      </c>
      <c r="D4228" s="23" t="s">
        <v>92</v>
      </c>
      <c r="E4228" s="23" t="s">
        <v>79</v>
      </c>
      <c r="F4228" s="23" t="s">
        <v>396</v>
      </c>
      <c r="G4228" s="23" t="s">
        <v>250</v>
      </c>
      <c r="H4228" s="39">
        <f t="shared" si="264"/>
        <v>2999</v>
      </c>
      <c r="I4228" s="23" t="str">
        <f t="shared" si="265"/>
        <v>Hyderabad</v>
      </c>
      <c r="J4228" s="23">
        <f>COUNTIFS(pg_transaction_cleaned!$O:$O,A4228,pg_transaction_cleaned!$F:$F,"CAPTURE")</f>
        <v>1</v>
      </c>
      <c r="K4228" s="39">
        <f>SUMIFS(pg_transaction_cleaned!$H:$H,pg_transaction_cleaned!$O:$O,A4228,pg_transaction_cleaned!$F:$F,"CAPTURE")</f>
        <v>2999</v>
      </c>
      <c r="L4228" s="23">
        <f>COUNTIFS(pg_transaction_cleaned!$O:$O,A4228,pg_transaction_cleaned!$F:$F,"REFUND")</f>
        <v>0</v>
      </c>
      <c r="M4228" s="39">
        <f>SUMIFS(pg_transaction_cleaned!$H:$H,pg_transaction_cleaned!$O:$O,A4228,pg_transaction_cleaned!$F:$F,"REFUND")</f>
        <v>0</v>
      </c>
      <c r="N4228" s="23" t="str">
        <f t="shared" si="266"/>
        <v>OK</v>
      </c>
      <c r="O4228" s="24">
        <f t="shared" si="267"/>
        <v>0</v>
      </c>
    </row>
    <row r="4229" spans="1:15" ht="15" customHeight="1" x14ac:dyDescent="0.3">
      <c r="A4229" s="23" t="s">
        <v>8931</v>
      </c>
      <c r="B4229" s="38">
        <v>46276</v>
      </c>
      <c r="C4229" s="23" t="s">
        <v>8932</v>
      </c>
      <c r="D4229" s="23"/>
      <c r="E4229" s="23" t="s">
        <v>79</v>
      </c>
      <c r="F4229" s="23" t="s">
        <v>396</v>
      </c>
      <c r="G4229" s="23" t="s">
        <v>250</v>
      </c>
      <c r="H4229" s="39">
        <f t="shared" si="264"/>
        <v>2999</v>
      </c>
      <c r="I4229" s="23" t="str">
        <f t="shared" si="265"/>
        <v>Unknown</v>
      </c>
      <c r="J4229" s="23">
        <f>COUNTIFS(pg_transaction_cleaned!$O:$O,A4229,pg_transaction_cleaned!$F:$F,"CAPTURE")</f>
        <v>1</v>
      </c>
      <c r="K4229" s="39">
        <f>SUMIFS(pg_transaction_cleaned!$H:$H,pg_transaction_cleaned!$O:$O,A4229,pg_transaction_cleaned!$F:$F,"CAPTURE")</f>
        <v>2999</v>
      </c>
      <c r="L4229" s="23">
        <f>COUNTIFS(pg_transaction_cleaned!$O:$O,A4229,pg_transaction_cleaned!$F:$F,"REFUND")</f>
        <v>0</v>
      </c>
      <c r="M4229" s="39">
        <f>SUMIFS(pg_transaction_cleaned!$H:$H,pg_transaction_cleaned!$O:$O,A4229,pg_transaction_cleaned!$F:$F,"REFUND")</f>
        <v>0</v>
      </c>
      <c r="N4229" s="23" t="str">
        <f t="shared" si="266"/>
        <v>OK</v>
      </c>
      <c r="O4229" s="24">
        <f t="shared" si="267"/>
        <v>0</v>
      </c>
    </row>
    <row r="4230" spans="1:15" ht="15" customHeight="1" x14ac:dyDescent="0.3">
      <c r="A4230" s="23" t="s">
        <v>8933</v>
      </c>
      <c r="B4230" s="38">
        <v>46276</v>
      </c>
      <c r="C4230" s="23" t="s">
        <v>8934</v>
      </c>
      <c r="D4230" s="23" t="s">
        <v>95</v>
      </c>
      <c r="E4230" s="23" t="s">
        <v>75</v>
      </c>
      <c r="F4230" s="23" t="s">
        <v>274</v>
      </c>
      <c r="G4230" s="23" t="s">
        <v>250</v>
      </c>
      <c r="H4230" s="39">
        <f t="shared" si="264"/>
        <v>349</v>
      </c>
      <c r="I4230" s="23" t="str">
        <f t="shared" si="265"/>
        <v>Bengaluru</v>
      </c>
      <c r="J4230" s="23">
        <f>COUNTIFS(pg_transaction_cleaned!$O:$O,A4230,pg_transaction_cleaned!$F:$F,"CAPTURE")</f>
        <v>1</v>
      </c>
      <c r="K4230" s="39">
        <f>SUMIFS(pg_transaction_cleaned!$H:$H,pg_transaction_cleaned!$O:$O,A4230,pg_transaction_cleaned!$F:$F,"CAPTURE")</f>
        <v>349</v>
      </c>
      <c r="L4230" s="23">
        <f>COUNTIFS(pg_transaction_cleaned!$O:$O,A4230,pg_transaction_cleaned!$F:$F,"REFUND")</f>
        <v>0</v>
      </c>
      <c r="M4230" s="39">
        <f>SUMIFS(pg_transaction_cleaned!$H:$H,pg_transaction_cleaned!$O:$O,A4230,pg_transaction_cleaned!$F:$F,"REFUND")</f>
        <v>0</v>
      </c>
      <c r="N4230" s="23" t="str">
        <f t="shared" si="266"/>
        <v>OK</v>
      </c>
      <c r="O4230" s="24">
        <f t="shared" si="267"/>
        <v>0</v>
      </c>
    </row>
    <row r="4231" spans="1:15" ht="15" customHeight="1" x14ac:dyDescent="0.3">
      <c r="A4231" s="23" t="s">
        <v>8935</v>
      </c>
      <c r="B4231" s="38">
        <v>46292</v>
      </c>
      <c r="C4231" s="23" t="s">
        <v>8936</v>
      </c>
      <c r="D4231" s="23" t="s">
        <v>95</v>
      </c>
      <c r="E4231" s="23" t="s">
        <v>81</v>
      </c>
      <c r="F4231" s="23" t="s">
        <v>297</v>
      </c>
      <c r="G4231" s="23" t="s">
        <v>250</v>
      </c>
      <c r="H4231" s="39">
        <f t="shared" si="264"/>
        <v>4999</v>
      </c>
      <c r="I4231" s="23" t="str">
        <f t="shared" si="265"/>
        <v>Bengaluru</v>
      </c>
      <c r="J4231" s="23">
        <f>COUNTIFS(pg_transaction_cleaned!$O:$O,A4231,pg_transaction_cleaned!$F:$F,"CAPTURE")</f>
        <v>1</v>
      </c>
      <c r="K4231" s="39">
        <f>SUMIFS(pg_transaction_cleaned!$H:$H,pg_transaction_cleaned!$O:$O,A4231,pg_transaction_cleaned!$F:$F,"CAPTURE")</f>
        <v>4999</v>
      </c>
      <c r="L4231" s="23">
        <f>COUNTIFS(pg_transaction_cleaned!$O:$O,A4231,pg_transaction_cleaned!$F:$F,"REFUND")</f>
        <v>0</v>
      </c>
      <c r="M4231" s="39">
        <f>SUMIFS(pg_transaction_cleaned!$H:$H,pg_transaction_cleaned!$O:$O,A4231,pg_transaction_cleaned!$F:$F,"REFUND")</f>
        <v>0</v>
      </c>
      <c r="N4231" s="23" t="str">
        <f t="shared" si="266"/>
        <v>OK</v>
      </c>
      <c r="O4231" s="24">
        <f t="shared" si="267"/>
        <v>0</v>
      </c>
    </row>
    <row r="4232" spans="1:15" ht="15" customHeight="1" x14ac:dyDescent="0.3">
      <c r="A4232" s="23" t="s">
        <v>8937</v>
      </c>
      <c r="B4232" s="38">
        <v>46268</v>
      </c>
      <c r="C4232" s="23" t="s">
        <v>8938</v>
      </c>
      <c r="D4232" s="23"/>
      <c r="E4232" s="23" t="s">
        <v>79</v>
      </c>
      <c r="F4232" s="23" t="s">
        <v>766</v>
      </c>
      <c r="G4232" s="23" t="s">
        <v>250</v>
      </c>
      <c r="H4232" s="39">
        <f t="shared" si="264"/>
        <v>4197</v>
      </c>
      <c r="I4232" s="23" t="str">
        <f t="shared" si="265"/>
        <v>Unknown</v>
      </c>
      <c r="J4232" s="23">
        <f>COUNTIFS(pg_transaction_cleaned!$O:$O,A4232,pg_transaction_cleaned!$F:$F,"CAPTURE")</f>
        <v>1</v>
      </c>
      <c r="K4232" s="39">
        <f>SUMIFS(pg_transaction_cleaned!$H:$H,pg_transaction_cleaned!$O:$O,A4232,pg_transaction_cleaned!$F:$F,"CAPTURE")</f>
        <v>4197</v>
      </c>
      <c r="L4232" s="23">
        <f>COUNTIFS(pg_transaction_cleaned!$O:$O,A4232,pg_transaction_cleaned!$F:$F,"REFUND")</f>
        <v>0</v>
      </c>
      <c r="M4232" s="39">
        <f>SUMIFS(pg_transaction_cleaned!$H:$H,pg_transaction_cleaned!$O:$O,A4232,pg_transaction_cleaned!$F:$F,"REFUND")</f>
        <v>0</v>
      </c>
      <c r="N4232" s="23" t="str">
        <f t="shared" si="266"/>
        <v>OK</v>
      </c>
      <c r="O4232" s="24">
        <f t="shared" si="267"/>
        <v>0</v>
      </c>
    </row>
    <row r="4233" spans="1:15" ht="15" customHeight="1" x14ac:dyDescent="0.3">
      <c r="A4233" s="23" t="s">
        <v>8939</v>
      </c>
      <c r="B4233" s="38">
        <v>46274</v>
      </c>
      <c r="C4233" s="23" t="s">
        <v>8940</v>
      </c>
      <c r="D4233" s="23" t="s">
        <v>86</v>
      </c>
      <c r="E4233" s="23" t="s">
        <v>77</v>
      </c>
      <c r="F4233" s="23" t="s">
        <v>268</v>
      </c>
      <c r="G4233" s="23" t="s">
        <v>250</v>
      </c>
      <c r="H4233" s="39">
        <f t="shared" si="264"/>
        <v>1299</v>
      </c>
      <c r="I4233" s="23" t="str">
        <f t="shared" si="265"/>
        <v>Delhi</v>
      </c>
      <c r="J4233" s="23">
        <f>COUNTIFS(pg_transaction_cleaned!$O:$O,A4233,pg_transaction_cleaned!$F:$F,"CAPTURE")</f>
        <v>1</v>
      </c>
      <c r="K4233" s="39">
        <f>SUMIFS(pg_transaction_cleaned!$H:$H,pg_transaction_cleaned!$O:$O,A4233,pg_transaction_cleaned!$F:$F,"CAPTURE")</f>
        <v>1299</v>
      </c>
      <c r="L4233" s="23">
        <f>COUNTIFS(pg_transaction_cleaned!$O:$O,A4233,pg_transaction_cleaned!$F:$F,"REFUND")</f>
        <v>0</v>
      </c>
      <c r="M4233" s="39">
        <f>SUMIFS(pg_transaction_cleaned!$H:$H,pg_transaction_cleaned!$O:$O,A4233,pg_transaction_cleaned!$F:$F,"REFUND")</f>
        <v>0</v>
      </c>
      <c r="N4233" s="23" t="str">
        <f t="shared" si="266"/>
        <v>OK</v>
      </c>
      <c r="O4233" s="24">
        <f t="shared" si="267"/>
        <v>0</v>
      </c>
    </row>
    <row r="4234" spans="1:15" ht="15" customHeight="1" x14ac:dyDescent="0.3">
      <c r="A4234" s="23" t="s">
        <v>8941</v>
      </c>
      <c r="B4234" s="38">
        <v>46283</v>
      </c>
      <c r="C4234" s="23" t="s">
        <v>8942</v>
      </c>
      <c r="D4234" s="23" t="s">
        <v>94</v>
      </c>
      <c r="E4234" s="23" t="s">
        <v>75</v>
      </c>
      <c r="F4234" s="23" t="s">
        <v>675</v>
      </c>
      <c r="G4234" s="23" t="s">
        <v>250</v>
      </c>
      <c r="H4234" s="39">
        <f t="shared" si="264"/>
        <v>10998</v>
      </c>
      <c r="I4234" s="23" t="str">
        <f t="shared" si="265"/>
        <v>Chennai</v>
      </c>
      <c r="J4234" s="23">
        <f>COUNTIFS(pg_transaction_cleaned!$O:$O,A4234,pg_transaction_cleaned!$F:$F,"CAPTURE")</f>
        <v>1</v>
      </c>
      <c r="K4234" s="39">
        <f>SUMIFS(pg_transaction_cleaned!$H:$H,pg_transaction_cleaned!$O:$O,A4234,pg_transaction_cleaned!$F:$F,"CAPTURE")</f>
        <v>10998</v>
      </c>
      <c r="L4234" s="23">
        <f>COUNTIFS(pg_transaction_cleaned!$O:$O,A4234,pg_transaction_cleaned!$F:$F,"REFUND")</f>
        <v>0</v>
      </c>
      <c r="M4234" s="39">
        <f>SUMIFS(pg_transaction_cleaned!$H:$H,pg_transaction_cleaned!$O:$O,A4234,pg_transaction_cleaned!$F:$F,"REFUND")</f>
        <v>0</v>
      </c>
      <c r="N4234" s="23" t="str">
        <f t="shared" si="266"/>
        <v>OK</v>
      </c>
      <c r="O4234" s="24">
        <f t="shared" si="267"/>
        <v>0</v>
      </c>
    </row>
    <row r="4235" spans="1:15" ht="15" customHeight="1" x14ac:dyDescent="0.3">
      <c r="A4235" s="23" t="s">
        <v>8943</v>
      </c>
      <c r="B4235" s="38">
        <v>46269</v>
      </c>
      <c r="C4235" s="23" t="s">
        <v>8944</v>
      </c>
      <c r="D4235" s="23" t="s">
        <v>94</v>
      </c>
      <c r="E4235" s="23" t="s">
        <v>75</v>
      </c>
      <c r="F4235" s="23" t="s">
        <v>534</v>
      </c>
      <c r="G4235" s="23" t="s">
        <v>250</v>
      </c>
      <c r="H4235" s="39">
        <f t="shared" si="264"/>
        <v>3097</v>
      </c>
      <c r="I4235" s="23" t="str">
        <f t="shared" si="265"/>
        <v>Chennai</v>
      </c>
      <c r="J4235" s="23">
        <f>COUNTIFS(pg_transaction_cleaned!$O:$O,A4235,pg_transaction_cleaned!$F:$F,"CAPTURE")</f>
        <v>1</v>
      </c>
      <c r="K4235" s="39">
        <f>SUMIFS(pg_transaction_cleaned!$H:$H,pg_transaction_cleaned!$O:$O,A4235,pg_transaction_cleaned!$F:$F,"CAPTURE")</f>
        <v>3097</v>
      </c>
      <c r="L4235" s="23">
        <f>COUNTIFS(pg_transaction_cleaned!$O:$O,A4235,pg_transaction_cleaned!$F:$F,"REFUND")</f>
        <v>0</v>
      </c>
      <c r="M4235" s="39">
        <f>SUMIFS(pg_transaction_cleaned!$H:$H,pg_transaction_cleaned!$O:$O,A4235,pg_transaction_cleaned!$F:$F,"REFUND")</f>
        <v>0</v>
      </c>
      <c r="N4235" s="23" t="str">
        <f t="shared" si="266"/>
        <v>OK</v>
      </c>
      <c r="O4235" s="24">
        <f t="shared" si="267"/>
        <v>0</v>
      </c>
    </row>
    <row r="4236" spans="1:15" ht="15" customHeight="1" x14ac:dyDescent="0.3">
      <c r="A4236" s="23" t="s">
        <v>8945</v>
      </c>
      <c r="B4236" s="38">
        <v>46277</v>
      </c>
      <c r="C4236" s="23" t="s">
        <v>8946</v>
      </c>
      <c r="D4236" s="23" t="s">
        <v>87</v>
      </c>
      <c r="E4236" s="23" t="s">
        <v>75</v>
      </c>
      <c r="F4236" s="23" t="s">
        <v>265</v>
      </c>
      <c r="G4236" s="23" t="s">
        <v>318</v>
      </c>
      <c r="H4236" s="39">
        <f t="shared" si="264"/>
        <v>999</v>
      </c>
      <c r="I4236" s="23" t="str">
        <f t="shared" si="265"/>
        <v>Mumbai</v>
      </c>
      <c r="J4236" s="23">
        <f>COUNTIFS(pg_transaction_cleaned!$O:$O,A4236,pg_transaction_cleaned!$F:$F,"CAPTURE")</f>
        <v>0</v>
      </c>
      <c r="K4236" s="39">
        <f>SUMIFS(pg_transaction_cleaned!$H:$H,pg_transaction_cleaned!$O:$O,A4236,pg_transaction_cleaned!$F:$F,"CAPTURE")</f>
        <v>0</v>
      </c>
      <c r="L4236" s="23">
        <f>COUNTIFS(pg_transaction_cleaned!$O:$O,A4236,pg_transaction_cleaned!$F:$F,"REFUND")</f>
        <v>0</v>
      </c>
      <c r="M4236" s="39">
        <f>SUMIFS(pg_transaction_cleaned!$H:$H,pg_transaction_cleaned!$O:$O,A4236,pg_transaction_cleaned!$F:$F,"REFUND")</f>
        <v>0</v>
      </c>
      <c r="N4236" s="23" t="str">
        <f t="shared" si="266"/>
        <v>OK</v>
      </c>
      <c r="O4236" s="24">
        <f t="shared" si="267"/>
        <v>0</v>
      </c>
    </row>
    <row r="4237" spans="1:15" ht="15" customHeight="1" x14ac:dyDescent="0.3">
      <c r="A4237" s="23" t="s">
        <v>8947</v>
      </c>
      <c r="B4237" s="38">
        <v>46291</v>
      </c>
      <c r="C4237" s="23" t="s">
        <v>8948</v>
      </c>
      <c r="D4237" s="23" t="s">
        <v>91</v>
      </c>
      <c r="E4237" s="23" t="s">
        <v>75</v>
      </c>
      <c r="F4237" s="23" t="s">
        <v>1490</v>
      </c>
      <c r="G4237" s="23" t="s">
        <v>250</v>
      </c>
      <c r="H4237" s="39">
        <f t="shared" si="264"/>
        <v>10998</v>
      </c>
      <c r="I4237" s="23" t="str">
        <f t="shared" si="265"/>
        <v>Pune</v>
      </c>
      <c r="J4237" s="23">
        <f>COUNTIFS(pg_transaction_cleaned!$O:$O,A4237,pg_transaction_cleaned!$F:$F,"CAPTURE")</f>
        <v>1</v>
      </c>
      <c r="K4237" s="39">
        <f>SUMIFS(pg_transaction_cleaned!$H:$H,pg_transaction_cleaned!$O:$O,A4237,pg_transaction_cleaned!$F:$F,"CAPTURE")</f>
        <v>10998</v>
      </c>
      <c r="L4237" s="23">
        <f>COUNTIFS(pg_transaction_cleaned!$O:$O,A4237,pg_transaction_cleaned!$F:$F,"REFUND")</f>
        <v>0</v>
      </c>
      <c r="M4237" s="39">
        <f>SUMIFS(pg_transaction_cleaned!$H:$H,pg_transaction_cleaned!$O:$O,A4237,pg_transaction_cleaned!$F:$F,"REFUND")</f>
        <v>0</v>
      </c>
      <c r="N4237" s="23" t="str">
        <f t="shared" si="266"/>
        <v>OK</v>
      </c>
      <c r="O4237" s="24">
        <f t="shared" si="267"/>
        <v>0</v>
      </c>
    </row>
    <row r="4238" spans="1:15" ht="15" customHeight="1" x14ac:dyDescent="0.3">
      <c r="A4238" s="23" t="s">
        <v>8949</v>
      </c>
      <c r="B4238" s="38">
        <v>46281</v>
      </c>
      <c r="C4238" s="23" t="s">
        <v>8950</v>
      </c>
      <c r="D4238" s="23" t="s">
        <v>90</v>
      </c>
      <c r="E4238" s="23" t="s">
        <v>79</v>
      </c>
      <c r="F4238" s="23" t="s">
        <v>1552</v>
      </c>
      <c r="G4238" s="23" t="s">
        <v>250</v>
      </c>
      <c r="H4238" s="39">
        <f t="shared" si="264"/>
        <v>9797</v>
      </c>
      <c r="I4238" s="23" t="str">
        <f t="shared" si="265"/>
        <v>Ahmedabad</v>
      </c>
      <c r="J4238" s="23">
        <f>COUNTIFS(pg_transaction_cleaned!$O:$O,A4238,pg_transaction_cleaned!$F:$F,"CAPTURE")</f>
        <v>1</v>
      </c>
      <c r="K4238" s="39">
        <f>SUMIFS(pg_transaction_cleaned!$H:$H,pg_transaction_cleaned!$O:$O,A4238,pg_transaction_cleaned!$F:$F,"CAPTURE")</f>
        <v>9797</v>
      </c>
      <c r="L4238" s="23">
        <f>COUNTIFS(pg_transaction_cleaned!$O:$O,A4238,pg_transaction_cleaned!$F:$F,"REFUND")</f>
        <v>0</v>
      </c>
      <c r="M4238" s="39">
        <f>SUMIFS(pg_transaction_cleaned!$H:$H,pg_transaction_cleaned!$O:$O,A4238,pg_transaction_cleaned!$F:$F,"REFUND")</f>
        <v>0</v>
      </c>
      <c r="N4238" s="23" t="str">
        <f t="shared" si="266"/>
        <v>OK</v>
      </c>
      <c r="O4238" s="24">
        <f t="shared" si="267"/>
        <v>0</v>
      </c>
    </row>
    <row r="4239" spans="1:15" ht="15" customHeight="1" x14ac:dyDescent="0.3">
      <c r="A4239" s="23" t="s">
        <v>8951</v>
      </c>
      <c r="B4239" s="38">
        <v>46288</v>
      </c>
      <c r="C4239" s="23" t="s">
        <v>8952</v>
      </c>
      <c r="D4239" s="23" t="s">
        <v>91</v>
      </c>
      <c r="E4239" s="23" t="s">
        <v>75</v>
      </c>
      <c r="F4239" s="23" t="s">
        <v>297</v>
      </c>
      <c r="G4239" s="23" t="s">
        <v>250</v>
      </c>
      <c r="H4239" s="39">
        <f t="shared" si="264"/>
        <v>4999</v>
      </c>
      <c r="I4239" s="23" t="str">
        <f t="shared" si="265"/>
        <v>Pune</v>
      </c>
      <c r="J4239" s="23">
        <f>COUNTIFS(pg_transaction_cleaned!$O:$O,A4239,pg_transaction_cleaned!$F:$F,"CAPTURE")</f>
        <v>1</v>
      </c>
      <c r="K4239" s="39">
        <f>SUMIFS(pg_transaction_cleaned!$H:$H,pg_transaction_cleaned!$O:$O,A4239,pg_transaction_cleaned!$F:$F,"CAPTURE")</f>
        <v>4999</v>
      </c>
      <c r="L4239" s="23">
        <f>COUNTIFS(pg_transaction_cleaned!$O:$O,A4239,pg_transaction_cleaned!$F:$F,"REFUND")</f>
        <v>0</v>
      </c>
      <c r="M4239" s="39">
        <f>SUMIFS(pg_transaction_cleaned!$H:$H,pg_transaction_cleaned!$O:$O,A4239,pg_transaction_cleaned!$F:$F,"REFUND")</f>
        <v>0</v>
      </c>
      <c r="N4239" s="23" t="str">
        <f t="shared" si="266"/>
        <v>OK</v>
      </c>
      <c r="O4239" s="24">
        <f t="shared" si="267"/>
        <v>0</v>
      </c>
    </row>
    <row r="4240" spans="1:15" ht="15" customHeight="1" x14ac:dyDescent="0.3">
      <c r="A4240" s="23" t="s">
        <v>8953</v>
      </c>
      <c r="B4240" s="38">
        <v>46279</v>
      </c>
      <c r="C4240" s="23" t="s">
        <v>8954</v>
      </c>
      <c r="D4240" s="23" t="s">
        <v>91</v>
      </c>
      <c r="E4240" s="23" t="s">
        <v>75</v>
      </c>
      <c r="F4240" s="23" t="s">
        <v>824</v>
      </c>
      <c r="G4240" s="23" t="s">
        <v>250</v>
      </c>
      <c r="H4240" s="39">
        <f t="shared" si="264"/>
        <v>1198</v>
      </c>
      <c r="I4240" s="23" t="str">
        <f t="shared" si="265"/>
        <v>Pune</v>
      </c>
      <c r="J4240" s="23">
        <f>COUNTIFS(pg_transaction_cleaned!$O:$O,A4240,pg_transaction_cleaned!$F:$F,"CAPTURE")</f>
        <v>1</v>
      </c>
      <c r="K4240" s="39">
        <f>SUMIFS(pg_transaction_cleaned!$H:$H,pg_transaction_cleaned!$O:$O,A4240,pg_transaction_cleaned!$F:$F,"CAPTURE")</f>
        <v>1198</v>
      </c>
      <c r="L4240" s="23">
        <f>COUNTIFS(pg_transaction_cleaned!$O:$O,A4240,pg_transaction_cleaned!$F:$F,"REFUND")</f>
        <v>0</v>
      </c>
      <c r="M4240" s="39">
        <f>SUMIFS(pg_transaction_cleaned!$H:$H,pg_transaction_cleaned!$O:$O,A4240,pg_transaction_cleaned!$F:$F,"REFUND")</f>
        <v>0</v>
      </c>
      <c r="N4240" s="23" t="str">
        <f t="shared" si="266"/>
        <v>OK</v>
      </c>
      <c r="O4240" s="24">
        <f t="shared" si="267"/>
        <v>0</v>
      </c>
    </row>
    <row r="4241" spans="1:15" ht="15" customHeight="1" x14ac:dyDescent="0.3">
      <c r="A4241" s="23" t="s">
        <v>8955</v>
      </c>
      <c r="B4241" s="38">
        <v>46287</v>
      </c>
      <c r="C4241" s="23" t="s">
        <v>1632</v>
      </c>
      <c r="D4241" s="23" t="s">
        <v>93</v>
      </c>
      <c r="E4241" s="23" t="s">
        <v>77</v>
      </c>
      <c r="F4241" s="23" t="s">
        <v>310</v>
      </c>
      <c r="G4241" s="23" t="s">
        <v>250</v>
      </c>
      <c r="H4241" s="39">
        <f t="shared" si="264"/>
        <v>7999</v>
      </c>
      <c r="I4241" s="23" t="str">
        <f t="shared" si="265"/>
        <v>Kolkata</v>
      </c>
      <c r="J4241" s="23">
        <f>COUNTIFS(pg_transaction_cleaned!$O:$O,A4241,pg_transaction_cleaned!$F:$F,"CAPTURE")</f>
        <v>1</v>
      </c>
      <c r="K4241" s="39">
        <f>SUMIFS(pg_transaction_cleaned!$H:$H,pg_transaction_cleaned!$O:$O,A4241,pg_transaction_cleaned!$F:$F,"CAPTURE")</f>
        <v>7999</v>
      </c>
      <c r="L4241" s="23">
        <f>COUNTIFS(pg_transaction_cleaned!$O:$O,A4241,pg_transaction_cleaned!$F:$F,"REFUND")</f>
        <v>0</v>
      </c>
      <c r="M4241" s="39">
        <f>SUMIFS(pg_transaction_cleaned!$H:$H,pg_transaction_cleaned!$O:$O,A4241,pg_transaction_cleaned!$F:$F,"REFUND")</f>
        <v>0</v>
      </c>
      <c r="N4241" s="23" t="str">
        <f t="shared" si="266"/>
        <v>OK</v>
      </c>
      <c r="O4241" s="24">
        <f t="shared" si="267"/>
        <v>0</v>
      </c>
    </row>
    <row r="4242" spans="1:15" ht="15" customHeight="1" x14ac:dyDescent="0.3">
      <c r="A4242" s="23" t="s">
        <v>8956</v>
      </c>
      <c r="B4242" s="38">
        <v>46274</v>
      </c>
      <c r="C4242" s="23" t="s">
        <v>8957</v>
      </c>
      <c r="D4242" s="23" t="s">
        <v>89</v>
      </c>
      <c r="E4242" s="23" t="s">
        <v>75</v>
      </c>
      <c r="F4242" s="23" t="s">
        <v>1520</v>
      </c>
      <c r="G4242" s="23" t="s">
        <v>250</v>
      </c>
      <c r="H4242" s="39">
        <f t="shared" si="264"/>
        <v>499</v>
      </c>
      <c r="I4242" s="23" t="str">
        <f t="shared" si="265"/>
        <v>Jaipur</v>
      </c>
      <c r="J4242" s="23">
        <f>COUNTIFS(pg_transaction_cleaned!$O:$O,A4242,pg_transaction_cleaned!$F:$F,"CAPTURE")</f>
        <v>1</v>
      </c>
      <c r="K4242" s="39">
        <f>SUMIFS(pg_transaction_cleaned!$H:$H,pg_transaction_cleaned!$O:$O,A4242,pg_transaction_cleaned!$F:$F,"CAPTURE")</f>
        <v>499</v>
      </c>
      <c r="L4242" s="23">
        <f>COUNTIFS(pg_transaction_cleaned!$O:$O,A4242,pg_transaction_cleaned!$F:$F,"REFUND")</f>
        <v>0</v>
      </c>
      <c r="M4242" s="39">
        <f>SUMIFS(pg_transaction_cleaned!$H:$H,pg_transaction_cleaned!$O:$O,A4242,pg_transaction_cleaned!$F:$F,"REFUND")</f>
        <v>0</v>
      </c>
      <c r="N4242" s="23" t="str">
        <f t="shared" si="266"/>
        <v>OK</v>
      </c>
      <c r="O4242" s="24">
        <f t="shared" si="267"/>
        <v>0</v>
      </c>
    </row>
    <row r="4243" spans="1:15" ht="15" customHeight="1" x14ac:dyDescent="0.3">
      <c r="A4243" s="23" t="s">
        <v>8958</v>
      </c>
      <c r="B4243" s="38">
        <v>46269</v>
      </c>
      <c r="C4243" s="23" t="s">
        <v>8959</v>
      </c>
      <c r="D4243" s="23" t="s">
        <v>88</v>
      </c>
      <c r="E4243" s="23" t="s">
        <v>75</v>
      </c>
      <c r="F4243" s="23" t="s">
        <v>2160</v>
      </c>
      <c r="G4243" s="23" t="s">
        <v>250</v>
      </c>
      <c r="H4243" s="39">
        <f t="shared" si="264"/>
        <v>7998</v>
      </c>
      <c r="I4243" s="23" t="str">
        <f t="shared" si="265"/>
        <v>Lucknow</v>
      </c>
      <c r="J4243" s="23">
        <f>COUNTIFS(pg_transaction_cleaned!$O:$O,A4243,pg_transaction_cleaned!$F:$F,"CAPTURE")</f>
        <v>1</v>
      </c>
      <c r="K4243" s="39">
        <f>SUMIFS(pg_transaction_cleaned!$H:$H,pg_transaction_cleaned!$O:$O,A4243,pg_transaction_cleaned!$F:$F,"CAPTURE")</f>
        <v>7998</v>
      </c>
      <c r="L4243" s="23">
        <f>COUNTIFS(pg_transaction_cleaned!$O:$O,A4243,pg_transaction_cleaned!$F:$F,"REFUND")</f>
        <v>0</v>
      </c>
      <c r="M4243" s="39">
        <f>SUMIFS(pg_transaction_cleaned!$H:$H,pg_transaction_cleaned!$O:$O,A4243,pg_transaction_cleaned!$F:$F,"REFUND")</f>
        <v>0</v>
      </c>
      <c r="N4243" s="23" t="str">
        <f t="shared" si="266"/>
        <v>OK</v>
      </c>
      <c r="O4243" s="24">
        <f t="shared" si="267"/>
        <v>0</v>
      </c>
    </row>
    <row r="4244" spans="1:15" ht="15" customHeight="1" x14ac:dyDescent="0.3">
      <c r="A4244" s="23" t="s">
        <v>8960</v>
      </c>
      <c r="B4244" s="38">
        <v>46295</v>
      </c>
      <c r="C4244" s="23" t="s">
        <v>6588</v>
      </c>
      <c r="D4244" s="23" t="s">
        <v>95</v>
      </c>
      <c r="E4244" s="23" t="s">
        <v>75</v>
      </c>
      <c r="F4244" s="23" t="s">
        <v>268</v>
      </c>
      <c r="G4244" s="23" t="s">
        <v>250</v>
      </c>
      <c r="H4244" s="39">
        <f t="shared" si="264"/>
        <v>1299</v>
      </c>
      <c r="I4244" s="23" t="str">
        <f t="shared" si="265"/>
        <v>Bengaluru</v>
      </c>
      <c r="J4244" s="23">
        <f>COUNTIFS(pg_transaction_cleaned!$O:$O,A4244,pg_transaction_cleaned!$F:$F,"CAPTURE")</f>
        <v>1</v>
      </c>
      <c r="K4244" s="39">
        <f>SUMIFS(pg_transaction_cleaned!$H:$H,pg_transaction_cleaned!$O:$O,A4244,pg_transaction_cleaned!$F:$F,"CAPTURE")</f>
        <v>1299</v>
      </c>
      <c r="L4244" s="23">
        <f>COUNTIFS(pg_transaction_cleaned!$O:$O,A4244,pg_transaction_cleaned!$F:$F,"REFUND")</f>
        <v>0</v>
      </c>
      <c r="M4244" s="39">
        <f>SUMIFS(pg_transaction_cleaned!$H:$H,pg_transaction_cleaned!$O:$O,A4244,pg_transaction_cleaned!$F:$F,"REFUND")</f>
        <v>0</v>
      </c>
      <c r="N4244" s="23" t="str">
        <f t="shared" si="266"/>
        <v>OK</v>
      </c>
      <c r="O4244" s="24">
        <f t="shared" si="267"/>
        <v>0</v>
      </c>
    </row>
    <row r="4245" spans="1:15" ht="15" customHeight="1" x14ac:dyDescent="0.3">
      <c r="A4245" s="23" t="s">
        <v>8961</v>
      </c>
      <c r="B4245" s="38">
        <v>46266</v>
      </c>
      <c r="C4245" s="23" t="s">
        <v>8962</v>
      </c>
      <c r="D4245" s="23" t="s">
        <v>90</v>
      </c>
      <c r="E4245" s="23" t="s">
        <v>77</v>
      </c>
      <c r="F4245" s="23" t="s">
        <v>271</v>
      </c>
      <c r="G4245" s="23" t="s">
        <v>250</v>
      </c>
      <c r="H4245" s="39">
        <f t="shared" si="264"/>
        <v>2499</v>
      </c>
      <c r="I4245" s="23" t="str">
        <f t="shared" si="265"/>
        <v>Ahmedabad</v>
      </c>
      <c r="J4245" s="23">
        <f>COUNTIFS(pg_transaction_cleaned!$O:$O,A4245,pg_transaction_cleaned!$F:$F,"CAPTURE")</f>
        <v>1</v>
      </c>
      <c r="K4245" s="39">
        <f>SUMIFS(pg_transaction_cleaned!$H:$H,pg_transaction_cleaned!$O:$O,A4245,pg_transaction_cleaned!$F:$F,"CAPTURE")</f>
        <v>2499</v>
      </c>
      <c r="L4245" s="23">
        <f>COUNTIFS(pg_transaction_cleaned!$O:$O,A4245,pg_transaction_cleaned!$F:$F,"REFUND")</f>
        <v>0</v>
      </c>
      <c r="M4245" s="39">
        <f>SUMIFS(pg_transaction_cleaned!$H:$H,pg_transaction_cleaned!$O:$O,A4245,pg_transaction_cleaned!$F:$F,"REFUND")</f>
        <v>0</v>
      </c>
      <c r="N4245" s="23" t="str">
        <f t="shared" si="266"/>
        <v>OK</v>
      </c>
      <c r="O4245" s="24">
        <f t="shared" si="267"/>
        <v>0</v>
      </c>
    </row>
    <row r="4246" spans="1:15" ht="15" customHeight="1" x14ac:dyDescent="0.3">
      <c r="A4246" s="23" t="s">
        <v>8963</v>
      </c>
      <c r="B4246" s="38">
        <v>46267</v>
      </c>
      <c r="C4246" s="23" t="s">
        <v>8964</v>
      </c>
      <c r="D4246" s="23" t="s">
        <v>88</v>
      </c>
      <c r="E4246" s="23" t="s">
        <v>75</v>
      </c>
      <c r="F4246" s="23" t="s">
        <v>265</v>
      </c>
      <c r="G4246" s="23" t="s">
        <v>250</v>
      </c>
      <c r="H4246" s="39">
        <f t="shared" si="264"/>
        <v>999</v>
      </c>
      <c r="I4246" s="23" t="str">
        <f t="shared" si="265"/>
        <v>Lucknow</v>
      </c>
      <c r="J4246" s="23">
        <f>COUNTIFS(pg_transaction_cleaned!$O:$O,A4246,pg_transaction_cleaned!$F:$F,"CAPTURE")</f>
        <v>1</v>
      </c>
      <c r="K4246" s="39">
        <f>SUMIFS(pg_transaction_cleaned!$H:$H,pg_transaction_cleaned!$O:$O,A4246,pg_transaction_cleaned!$F:$F,"CAPTURE")</f>
        <v>999</v>
      </c>
      <c r="L4246" s="23">
        <f>COUNTIFS(pg_transaction_cleaned!$O:$O,A4246,pg_transaction_cleaned!$F:$F,"REFUND")</f>
        <v>0</v>
      </c>
      <c r="M4246" s="39">
        <f>SUMIFS(pg_transaction_cleaned!$H:$H,pg_transaction_cleaned!$O:$O,A4246,pg_transaction_cleaned!$F:$F,"REFUND")</f>
        <v>0</v>
      </c>
      <c r="N4246" s="23" t="str">
        <f t="shared" si="266"/>
        <v>OK</v>
      </c>
      <c r="O4246" s="24">
        <f t="shared" si="267"/>
        <v>0</v>
      </c>
    </row>
    <row r="4247" spans="1:15" ht="15" customHeight="1" x14ac:dyDescent="0.3">
      <c r="A4247" s="23" t="s">
        <v>8965</v>
      </c>
      <c r="B4247" s="38">
        <v>46283</v>
      </c>
      <c r="C4247" s="23" t="s">
        <v>8966</v>
      </c>
      <c r="D4247" s="23" t="s">
        <v>90</v>
      </c>
      <c r="E4247" s="23" t="s">
        <v>79</v>
      </c>
      <c r="F4247" s="23" t="s">
        <v>310</v>
      </c>
      <c r="G4247" s="23" t="s">
        <v>250</v>
      </c>
      <c r="H4247" s="39">
        <f t="shared" si="264"/>
        <v>7999</v>
      </c>
      <c r="I4247" s="23" t="str">
        <f t="shared" si="265"/>
        <v>Ahmedabad</v>
      </c>
      <c r="J4247" s="23">
        <f>COUNTIFS(pg_transaction_cleaned!$O:$O,A4247,pg_transaction_cleaned!$F:$F,"CAPTURE")</f>
        <v>1</v>
      </c>
      <c r="K4247" s="39">
        <f>SUMIFS(pg_transaction_cleaned!$H:$H,pg_transaction_cleaned!$O:$O,A4247,pg_transaction_cleaned!$F:$F,"CAPTURE")</f>
        <v>7999</v>
      </c>
      <c r="L4247" s="23">
        <f>COUNTIFS(pg_transaction_cleaned!$O:$O,A4247,pg_transaction_cleaned!$F:$F,"REFUND")</f>
        <v>0</v>
      </c>
      <c r="M4247" s="39">
        <f>SUMIFS(pg_transaction_cleaned!$H:$H,pg_transaction_cleaned!$O:$O,A4247,pg_transaction_cleaned!$F:$F,"REFUND")</f>
        <v>0</v>
      </c>
      <c r="N4247" s="23" t="str">
        <f t="shared" si="266"/>
        <v>OK</v>
      </c>
      <c r="O4247" s="24">
        <f t="shared" si="267"/>
        <v>0</v>
      </c>
    </row>
    <row r="4248" spans="1:15" ht="15" customHeight="1" x14ac:dyDescent="0.3">
      <c r="A4248" s="23" t="s">
        <v>8967</v>
      </c>
      <c r="B4248" s="38">
        <v>46273</v>
      </c>
      <c r="C4248" s="23" t="s">
        <v>8968</v>
      </c>
      <c r="D4248" s="23" t="s">
        <v>89</v>
      </c>
      <c r="E4248" s="23" t="s">
        <v>75</v>
      </c>
      <c r="F4248" s="23" t="s">
        <v>1437</v>
      </c>
      <c r="G4248" s="23" t="s">
        <v>318</v>
      </c>
      <c r="H4248" s="39">
        <f t="shared" si="264"/>
        <v>5847</v>
      </c>
      <c r="I4248" s="23" t="str">
        <f t="shared" si="265"/>
        <v>Jaipur</v>
      </c>
      <c r="J4248" s="23">
        <f>COUNTIFS(pg_transaction_cleaned!$O:$O,A4248,pg_transaction_cleaned!$F:$F,"CAPTURE")</f>
        <v>0</v>
      </c>
      <c r="K4248" s="39">
        <f>SUMIFS(pg_transaction_cleaned!$H:$H,pg_transaction_cleaned!$O:$O,A4248,pg_transaction_cleaned!$F:$F,"CAPTURE")</f>
        <v>0</v>
      </c>
      <c r="L4248" s="23">
        <f>COUNTIFS(pg_transaction_cleaned!$O:$O,A4248,pg_transaction_cleaned!$F:$F,"REFUND")</f>
        <v>0</v>
      </c>
      <c r="M4248" s="39">
        <f>SUMIFS(pg_transaction_cleaned!$H:$H,pg_transaction_cleaned!$O:$O,A4248,pg_transaction_cleaned!$F:$F,"REFUND")</f>
        <v>0</v>
      </c>
      <c r="N4248" s="23" t="str">
        <f t="shared" si="266"/>
        <v>OK</v>
      </c>
      <c r="O4248" s="24">
        <f t="shared" si="267"/>
        <v>0</v>
      </c>
    </row>
    <row r="4249" spans="1:15" ht="15" customHeight="1" x14ac:dyDescent="0.3">
      <c r="A4249" s="23" t="s">
        <v>8969</v>
      </c>
      <c r="B4249" s="38">
        <v>46295</v>
      </c>
      <c r="C4249" s="23" t="s">
        <v>8970</v>
      </c>
      <c r="D4249" s="23" t="s">
        <v>92</v>
      </c>
      <c r="E4249" s="23" t="s">
        <v>75</v>
      </c>
      <c r="F4249" s="23" t="s">
        <v>256</v>
      </c>
      <c r="G4249" s="23" t="s">
        <v>250</v>
      </c>
      <c r="H4249" s="39">
        <f t="shared" si="264"/>
        <v>2098</v>
      </c>
      <c r="I4249" s="23" t="str">
        <f t="shared" si="265"/>
        <v>Hyderabad</v>
      </c>
      <c r="J4249" s="23">
        <f>COUNTIFS(pg_transaction_cleaned!$O:$O,A4249,pg_transaction_cleaned!$F:$F,"CAPTURE")</f>
        <v>1</v>
      </c>
      <c r="K4249" s="39">
        <f>SUMIFS(pg_transaction_cleaned!$H:$H,pg_transaction_cleaned!$O:$O,A4249,pg_transaction_cleaned!$F:$F,"CAPTURE")</f>
        <v>2098</v>
      </c>
      <c r="L4249" s="23">
        <f>COUNTIFS(pg_transaction_cleaned!$O:$O,A4249,pg_transaction_cleaned!$F:$F,"REFUND")</f>
        <v>0</v>
      </c>
      <c r="M4249" s="39">
        <f>SUMIFS(pg_transaction_cleaned!$H:$H,pg_transaction_cleaned!$O:$O,A4249,pg_transaction_cleaned!$F:$F,"REFUND")</f>
        <v>0</v>
      </c>
      <c r="N4249" s="23" t="str">
        <f t="shared" si="266"/>
        <v>OK</v>
      </c>
      <c r="O4249" s="24">
        <f t="shared" si="267"/>
        <v>0</v>
      </c>
    </row>
    <row r="4250" spans="1:15" ht="15" customHeight="1" x14ac:dyDescent="0.3">
      <c r="A4250" s="23" t="s">
        <v>8971</v>
      </c>
      <c r="B4250" s="38">
        <v>46286</v>
      </c>
      <c r="C4250" s="23" t="s">
        <v>8972</v>
      </c>
      <c r="D4250" s="23" t="s">
        <v>93</v>
      </c>
      <c r="E4250" s="23" t="s">
        <v>79</v>
      </c>
      <c r="F4250" s="23" t="s">
        <v>249</v>
      </c>
      <c r="G4250" s="23" t="s">
        <v>250</v>
      </c>
      <c r="H4250" s="39">
        <f t="shared" si="264"/>
        <v>299</v>
      </c>
      <c r="I4250" s="23" t="str">
        <f t="shared" si="265"/>
        <v>Kolkata</v>
      </c>
      <c r="J4250" s="23">
        <f>COUNTIFS(pg_transaction_cleaned!$O:$O,A4250,pg_transaction_cleaned!$F:$F,"CAPTURE")</f>
        <v>1</v>
      </c>
      <c r="K4250" s="39">
        <f>SUMIFS(pg_transaction_cleaned!$H:$H,pg_transaction_cleaned!$O:$O,A4250,pg_transaction_cleaned!$F:$F,"CAPTURE")</f>
        <v>299</v>
      </c>
      <c r="L4250" s="23">
        <f>COUNTIFS(pg_transaction_cleaned!$O:$O,A4250,pg_transaction_cleaned!$F:$F,"REFUND")</f>
        <v>0</v>
      </c>
      <c r="M4250" s="39">
        <f>SUMIFS(pg_transaction_cleaned!$H:$H,pg_transaction_cleaned!$O:$O,A4250,pg_transaction_cleaned!$F:$F,"REFUND")</f>
        <v>0</v>
      </c>
      <c r="N4250" s="23" t="str">
        <f t="shared" si="266"/>
        <v>OK</v>
      </c>
      <c r="O4250" s="24">
        <f t="shared" si="267"/>
        <v>0</v>
      </c>
    </row>
    <row r="4251" spans="1:15" ht="15" customHeight="1" x14ac:dyDescent="0.3">
      <c r="A4251" s="23" t="s">
        <v>8973</v>
      </c>
      <c r="B4251" s="38">
        <v>46275</v>
      </c>
      <c r="C4251" s="23" t="s">
        <v>8974</v>
      </c>
      <c r="D4251" s="23" t="s">
        <v>95</v>
      </c>
      <c r="E4251" s="23" t="s">
        <v>75</v>
      </c>
      <c r="F4251" s="23" t="s">
        <v>249</v>
      </c>
      <c r="G4251" s="23" t="s">
        <v>250</v>
      </c>
      <c r="H4251" s="39">
        <f t="shared" si="264"/>
        <v>299</v>
      </c>
      <c r="I4251" s="23" t="str">
        <f t="shared" si="265"/>
        <v>Bengaluru</v>
      </c>
      <c r="J4251" s="23">
        <f>COUNTIFS(pg_transaction_cleaned!$O:$O,A4251,pg_transaction_cleaned!$F:$F,"CAPTURE")</f>
        <v>1</v>
      </c>
      <c r="K4251" s="39">
        <f>SUMIFS(pg_transaction_cleaned!$H:$H,pg_transaction_cleaned!$O:$O,A4251,pg_transaction_cleaned!$F:$F,"CAPTURE")</f>
        <v>299</v>
      </c>
      <c r="L4251" s="23">
        <f>COUNTIFS(pg_transaction_cleaned!$O:$O,A4251,pg_transaction_cleaned!$F:$F,"REFUND")</f>
        <v>0</v>
      </c>
      <c r="M4251" s="39">
        <f>SUMIFS(pg_transaction_cleaned!$H:$H,pg_transaction_cleaned!$O:$O,A4251,pg_transaction_cleaned!$F:$F,"REFUND")</f>
        <v>0</v>
      </c>
      <c r="N4251" s="23" t="str">
        <f t="shared" si="266"/>
        <v>OK</v>
      </c>
      <c r="O4251" s="24">
        <f t="shared" si="267"/>
        <v>0</v>
      </c>
    </row>
    <row r="4252" spans="1:15" ht="15" customHeight="1" x14ac:dyDescent="0.3">
      <c r="A4252" s="23" t="s">
        <v>8975</v>
      </c>
      <c r="B4252" s="38">
        <v>46269</v>
      </c>
      <c r="C4252" s="23" t="s">
        <v>8976</v>
      </c>
      <c r="D4252" s="23" t="s">
        <v>90</v>
      </c>
      <c r="E4252" s="23" t="s">
        <v>75</v>
      </c>
      <c r="F4252" s="23" t="s">
        <v>475</v>
      </c>
      <c r="G4252" s="23" t="s">
        <v>250</v>
      </c>
      <c r="H4252" s="39">
        <f t="shared" si="264"/>
        <v>799</v>
      </c>
      <c r="I4252" s="23" t="str">
        <f t="shared" si="265"/>
        <v>Ahmedabad</v>
      </c>
      <c r="J4252" s="23">
        <f>COUNTIFS(pg_transaction_cleaned!$O:$O,A4252,pg_transaction_cleaned!$F:$F,"CAPTURE")</f>
        <v>1</v>
      </c>
      <c r="K4252" s="39">
        <f>SUMIFS(pg_transaction_cleaned!$H:$H,pg_transaction_cleaned!$O:$O,A4252,pg_transaction_cleaned!$F:$F,"CAPTURE")</f>
        <v>799</v>
      </c>
      <c r="L4252" s="23">
        <f>COUNTIFS(pg_transaction_cleaned!$O:$O,A4252,pg_transaction_cleaned!$F:$F,"REFUND")</f>
        <v>0</v>
      </c>
      <c r="M4252" s="39">
        <f>SUMIFS(pg_transaction_cleaned!$H:$H,pg_transaction_cleaned!$O:$O,A4252,pg_transaction_cleaned!$F:$F,"REFUND")</f>
        <v>0</v>
      </c>
      <c r="N4252" s="23" t="str">
        <f t="shared" si="266"/>
        <v>OK</v>
      </c>
      <c r="O4252" s="24">
        <f t="shared" si="267"/>
        <v>0</v>
      </c>
    </row>
    <row r="4253" spans="1:15" ht="15" customHeight="1" x14ac:dyDescent="0.3">
      <c r="A4253" s="23" t="s">
        <v>8977</v>
      </c>
      <c r="B4253" s="38">
        <v>46278</v>
      </c>
      <c r="C4253" s="23" t="s">
        <v>8978</v>
      </c>
      <c r="D4253" s="23" t="s">
        <v>92</v>
      </c>
      <c r="E4253" s="23" t="s">
        <v>75</v>
      </c>
      <c r="F4253" s="23" t="s">
        <v>483</v>
      </c>
      <c r="G4253" s="23" t="s">
        <v>250</v>
      </c>
      <c r="H4253" s="39">
        <f t="shared" si="264"/>
        <v>2998</v>
      </c>
      <c r="I4253" s="23" t="str">
        <f t="shared" si="265"/>
        <v>Hyderabad</v>
      </c>
      <c r="J4253" s="23">
        <f>COUNTIFS(pg_transaction_cleaned!$O:$O,A4253,pg_transaction_cleaned!$F:$F,"CAPTURE")</f>
        <v>1</v>
      </c>
      <c r="K4253" s="39">
        <f>SUMIFS(pg_transaction_cleaned!$H:$H,pg_transaction_cleaned!$O:$O,A4253,pg_transaction_cleaned!$F:$F,"CAPTURE")</f>
        <v>2998</v>
      </c>
      <c r="L4253" s="23">
        <f>COUNTIFS(pg_transaction_cleaned!$O:$O,A4253,pg_transaction_cleaned!$F:$F,"REFUND")</f>
        <v>0</v>
      </c>
      <c r="M4253" s="39">
        <f>SUMIFS(pg_transaction_cleaned!$H:$H,pg_transaction_cleaned!$O:$O,A4253,pg_transaction_cleaned!$F:$F,"REFUND")</f>
        <v>0</v>
      </c>
      <c r="N4253" s="23" t="str">
        <f t="shared" si="266"/>
        <v>OK</v>
      </c>
      <c r="O4253" s="24">
        <f t="shared" si="267"/>
        <v>0</v>
      </c>
    </row>
    <row r="4254" spans="1:15" ht="15" customHeight="1" x14ac:dyDescent="0.3">
      <c r="A4254" s="23" t="s">
        <v>8979</v>
      </c>
      <c r="B4254" s="38">
        <v>46284</v>
      </c>
      <c r="C4254" s="23" t="s">
        <v>8980</v>
      </c>
      <c r="D4254" s="23" t="s">
        <v>89</v>
      </c>
      <c r="E4254" s="23" t="s">
        <v>75</v>
      </c>
      <c r="F4254" s="23" t="s">
        <v>291</v>
      </c>
      <c r="G4254" s="23" t="s">
        <v>250</v>
      </c>
      <c r="H4254" s="39">
        <f t="shared" si="264"/>
        <v>3499</v>
      </c>
      <c r="I4254" s="23" t="str">
        <f t="shared" si="265"/>
        <v>Jaipur</v>
      </c>
      <c r="J4254" s="23">
        <f>COUNTIFS(pg_transaction_cleaned!$O:$O,A4254,pg_transaction_cleaned!$F:$F,"CAPTURE")</f>
        <v>1</v>
      </c>
      <c r="K4254" s="39">
        <f>SUMIFS(pg_transaction_cleaned!$H:$H,pg_transaction_cleaned!$O:$O,A4254,pg_transaction_cleaned!$F:$F,"CAPTURE")</f>
        <v>3499</v>
      </c>
      <c r="L4254" s="23">
        <f>COUNTIFS(pg_transaction_cleaned!$O:$O,A4254,pg_transaction_cleaned!$F:$F,"REFUND")</f>
        <v>0</v>
      </c>
      <c r="M4254" s="39">
        <f>SUMIFS(pg_transaction_cleaned!$H:$H,pg_transaction_cleaned!$O:$O,A4254,pg_transaction_cleaned!$F:$F,"REFUND")</f>
        <v>0</v>
      </c>
      <c r="N4254" s="23" t="str">
        <f t="shared" si="266"/>
        <v>OK</v>
      </c>
      <c r="O4254" s="24">
        <f t="shared" si="267"/>
        <v>0</v>
      </c>
    </row>
    <row r="4255" spans="1:15" ht="15" customHeight="1" x14ac:dyDescent="0.3">
      <c r="A4255" s="23" t="s">
        <v>8981</v>
      </c>
      <c r="B4255" s="38">
        <v>46293</v>
      </c>
      <c r="C4255" s="23" t="s">
        <v>8982</v>
      </c>
      <c r="D4255" s="23" t="s">
        <v>95</v>
      </c>
      <c r="E4255" s="23" t="s">
        <v>77</v>
      </c>
      <c r="F4255" s="23" t="s">
        <v>1662</v>
      </c>
      <c r="G4255" s="23" t="s">
        <v>250</v>
      </c>
      <c r="H4255" s="39">
        <f t="shared" si="264"/>
        <v>4397</v>
      </c>
      <c r="I4255" s="23" t="str">
        <f t="shared" si="265"/>
        <v>Bengaluru</v>
      </c>
      <c r="J4255" s="23">
        <f>COUNTIFS(pg_transaction_cleaned!$O:$O,A4255,pg_transaction_cleaned!$F:$F,"CAPTURE")</f>
        <v>1</v>
      </c>
      <c r="K4255" s="39">
        <f>SUMIFS(pg_transaction_cleaned!$H:$H,pg_transaction_cleaned!$O:$O,A4255,pg_transaction_cleaned!$F:$F,"CAPTURE")</f>
        <v>4397</v>
      </c>
      <c r="L4255" s="23">
        <f>COUNTIFS(pg_transaction_cleaned!$O:$O,A4255,pg_transaction_cleaned!$F:$F,"REFUND")</f>
        <v>0</v>
      </c>
      <c r="M4255" s="39">
        <f>SUMIFS(pg_transaction_cleaned!$H:$H,pg_transaction_cleaned!$O:$O,A4255,pg_transaction_cleaned!$F:$F,"REFUND")</f>
        <v>0</v>
      </c>
      <c r="N4255" s="23" t="str">
        <f t="shared" si="266"/>
        <v>OK</v>
      </c>
      <c r="O4255" s="24">
        <f t="shared" si="267"/>
        <v>0</v>
      </c>
    </row>
    <row r="4256" spans="1:15" ht="15" customHeight="1" x14ac:dyDescent="0.3">
      <c r="A4256" s="23" t="s">
        <v>8983</v>
      </c>
      <c r="B4256" s="38">
        <v>46295</v>
      </c>
      <c r="C4256" s="23" t="s">
        <v>8984</v>
      </c>
      <c r="D4256" s="23" t="s">
        <v>88</v>
      </c>
      <c r="E4256" s="23" t="s">
        <v>81</v>
      </c>
      <c r="F4256" s="23" t="s">
        <v>249</v>
      </c>
      <c r="G4256" s="23" t="s">
        <v>250</v>
      </c>
      <c r="H4256" s="39">
        <f t="shared" si="264"/>
        <v>299</v>
      </c>
      <c r="I4256" s="23" t="str">
        <f t="shared" si="265"/>
        <v>Lucknow</v>
      </c>
      <c r="J4256" s="23">
        <f>COUNTIFS(pg_transaction_cleaned!$O:$O,A4256,pg_transaction_cleaned!$F:$F,"CAPTURE")</f>
        <v>1</v>
      </c>
      <c r="K4256" s="39">
        <f>SUMIFS(pg_transaction_cleaned!$H:$H,pg_transaction_cleaned!$O:$O,A4256,pg_transaction_cleaned!$F:$F,"CAPTURE")</f>
        <v>299</v>
      </c>
      <c r="L4256" s="23">
        <f>COUNTIFS(pg_transaction_cleaned!$O:$O,A4256,pg_transaction_cleaned!$F:$F,"REFUND")</f>
        <v>0</v>
      </c>
      <c r="M4256" s="39">
        <f>SUMIFS(pg_transaction_cleaned!$H:$H,pg_transaction_cleaned!$O:$O,A4256,pg_transaction_cleaned!$F:$F,"REFUND")</f>
        <v>0</v>
      </c>
      <c r="N4256" s="23" t="str">
        <f t="shared" si="266"/>
        <v>OK</v>
      </c>
      <c r="O4256" s="24">
        <f t="shared" si="267"/>
        <v>0</v>
      </c>
    </row>
    <row r="4257" spans="1:15" ht="15" customHeight="1" x14ac:dyDescent="0.3">
      <c r="A4257" s="23" t="s">
        <v>8985</v>
      </c>
      <c r="B4257" s="38">
        <v>46281</v>
      </c>
      <c r="C4257" s="23" t="s">
        <v>8986</v>
      </c>
      <c r="D4257" s="23" t="s">
        <v>86</v>
      </c>
      <c r="E4257" s="23" t="s">
        <v>75</v>
      </c>
      <c r="F4257" s="23" t="s">
        <v>429</v>
      </c>
      <c r="G4257" s="23" t="s">
        <v>250</v>
      </c>
      <c r="H4257" s="39">
        <f t="shared" si="264"/>
        <v>3348</v>
      </c>
      <c r="I4257" s="23" t="str">
        <f t="shared" si="265"/>
        <v>Delhi</v>
      </c>
      <c r="J4257" s="23">
        <f>COUNTIFS(pg_transaction_cleaned!$O:$O,A4257,pg_transaction_cleaned!$F:$F,"CAPTURE")</f>
        <v>1</v>
      </c>
      <c r="K4257" s="39">
        <f>SUMIFS(pg_transaction_cleaned!$H:$H,pg_transaction_cleaned!$O:$O,A4257,pg_transaction_cleaned!$F:$F,"CAPTURE")</f>
        <v>3348</v>
      </c>
      <c r="L4257" s="23">
        <f>COUNTIFS(pg_transaction_cleaned!$O:$O,A4257,pg_transaction_cleaned!$F:$F,"REFUND")</f>
        <v>0</v>
      </c>
      <c r="M4257" s="39">
        <f>SUMIFS(pg_transaction_cleaned!$H:$H,pg_transaction_cleaned!$O:$O,A4257,pg_transaction_cleaned!$F:$F,"REFUND")</f>
        <v>0</v>
      </c>
      <c r="N4257" s="23" t="str">
        <f t="shared" si="266"/>
        <v>OK</v>
      </c>
      <c r="O4257" s="24">
        <f t="shared" si="267"/>
        <v>0</v>
      </c>
    </row>
    <row r="4258" spans="1:15" ht="15" customHeight="1" x14ac:dyDescent="0.3">
      <c r="A4258" s="23" t="s">
        <v>8987</v>
      </c>
      <c r="B4258" s="38">
        <v>46287</v>
      </c>
      <c r="C4258" s="23" t="s">
        <v>8988</v>
      </c>
      <c r="D4258" s="23" t="s">
        <v>94</v>
      </c>
      <c r="E4258" s="23" t="s">
        <v>79</v>
      </c>
      <c r="F4258" s="23" t="s">
        <v>429</v>
      </c>
      <c r="G4258" s="23" t="s">
        <v>318</v>
      </c>
      <c r="H4258" s="39">
        <f t="shared" si="264"/>
        <v>3348</v>
      </c>
      <c r="I4258" s="23" t="str">
        <f t="shared" si="265"/>
        <v>Chennai</v>
      </c>
      <c r="J4258" s="23">
        <f>COUNTIFS(pg_transaction_cleaned!$O:$O,A4258,pg_transaction_cleaned!$F:$F,"CAPTURE")</f>
        <v>0</v>
      </c>
      <c r="K4258" s="39">
        <f>SUMIFS(pg_transaction_cleaned!$H:$H,pg_transaction_cleaned!$O:$O,A4258,pg_transaction_cleaned!$F:$F,"CAPTURE")</f>
        <v>0</v>
      </c>
      <c r="L4258" s="23">
        <f>COUNTIFS(pg_transaction_cleaned!$O:$O,A4258,pg_transaction_cleaned!$F:$F,"REFUND")</f>
        <v>0</v>
      </c>
      <c r="M4258" s="39">
        <f>SUMIFS(pg_transaction_cleaned!$H:$H,pg_transaction_cleaned!$O:$O,A4258,pg_transaction_cleaned!$F:$F,"REFUND")</f>
        <v>0</v>
      </c>
      <c r="N4258" s="23" t="str">
        <f t="shared" si="266"/>
        <v>OK</v>
      </c>
      <c r="O4258" s="24">
        <f t="shared" si="267"/>
        <v>0</v>
      </c>
    </row>
    <row r="4259" spans="1:15" ht="15" customHeight="1" x14ac:dyDescent="0.3">
      <c r="A4259" s="23" t="s">
        <v>8989</v>
      </c>
      <c r="B4259" s="38">
        <v>46291</v>
      </c>
      <c r="C4259" s="23" t="s">
        <v>8990</v>
      </c>
      <c r="D4259" s="23" t="s">
        <v>93</v>
      </c>
      <c r="E4259" s="23" t="s">
        <v>75</v>
      </c>
      <c r="F4259" s="23" t="s">
        <v>315</v>
      </c>
      <c r="G4259" s="23" t="s">
        <v>250</v>
      </c>
      <c r="H4259" s="39">
        <f t="shared" si="264"/>
        <v>1499</v>
      </c>
      <c r="I4259" s="23" t="str">
        <f t="shared" si="265"/>
        <v>Kolkata</v>
      </c>
      <c r="J4259" s="23">
        <f>COUNTIFS(pg_transaction_cleaned!$O:$O,A4259,pg_transaction_cleaned!$F:$F,"CAPTURE")</f>
        <v>1</v>
      </c>
      <c r="K4259" s="39">
        <f>SUMIFS(pg_transaction_cleaned!$H:$H,pg_transaction_cleaned!$O:$O,A4259,pg_transaction_cleaned!$F:$F,"CAPTURE")</f>
        <v>1499</v>
      </c>
      <c r="L4259" s="23">
        <f>COUNTIFS(pg_transaction_cleaned!$O:$O,A4259,pg_transaction_cleaned!$F:$F,"REFUND")</f>
        <v>0</v>
      </c>
      <c r="M4259" s="39">
        <f>SUMIFS(pg_transaction_cleaned!$H:$H,pg_transaction_cleaned!$O:$O,A4259,pg_transaction_cleaned!$F:$F,"REFUND")</f>
        <v>0</v>
      </c>
      <c r="N4259" s="23" t="str">
        <f t="shared" si="266"/>
        <v>OK</v>
      </c>
      <c r="O4259" s="24">
        <f t="shared" si="267"/>
        <v>0</v>
      </c>
    </row>
    <row r="4260" spans="1:15" ht="15" customHeight="1" x14ac:dyDescent="0.3">
      <c r="A4260" s="23" t="s">
        <v>8991</v>
      </c>
      <c r="B4260" s="38">
        <v>46270</v>
      </c>
      <c r="C4260" s="23" t="s">
        <v>8992</v>
      </c>
      <c r="D4260" s="23" t="s">
        <v>88</v>
      </c>
      <c r="E4260" s="23" t="s">
        <v>75</v>
      </c>
      <c r="F4260" s="23" t="s">
        <v>1647</v>
      </c>
      <c r="G4260" s="23" t="s">
        <v>250</v>
      </c>
      <c r="H4260" s="39">
        <f t="shared" si="264"/>
        <v>6347</v>
      </c>
      <c r="I4260" s="23" t="str">
        <f t="shared" si="265"/>
        <v>Lucknow</v>
      </c>
      <c r="J4260" s="23">
        <f>COUNTIFS(pg_transaction_cleaned!$O:$O,A4260,pg_transaction_cleaned!$F:$F,"CAPTURE")</f>
        <v>1</v>
      </c>
      <c r="K4260" s="39">
        <f>SUMIFS(pg_transaction_cleaned!$H:$H,pg_transaction_cleaned!$O:$O,A4260,pg_transaction_cleaned!$F:$F,"CAPTURE")</f>
        <v>6347</v>
      </c>
      <c r="L4260" s="23">
        <f>COUNTIFS(pg_transaction_cleaned!$O:$O,A4260,pg_transaction_cleaned!$F:$F,"REFUND")</f>
        <v>0</v>
      </c>
      <c r="M4260" s="39">
        <f>SUMIFS(pg_transaction_cleaned!$H:$H,pg_transaction_cleaned!$O:$O,A4260,pg_transaction_cleaned!$F:$F,"REFUND")</f>
        <v>0</v>
      </c>
      <c r="N4260" s="23" t="str">
        <f t="shared" si="266"/>
        <v>OK</v>
      </c>
      <c r="O4260" s="24">
        <f t="shared" si="267"/>
        <v>0</v>
      </c>
    </row>
    <row r="4261" spans="1:15" ht="15" customHeight="1" x14ac:dyDescent="0.3">
      <c r="A4261" s="23" t="s">
        <v>8993</v>
      </c>
      <c r="B4261" s="38">
        <v>46270</v>
      </c>
      <c r="C4261" s="23" t="s">
        <v>8994</v>
      </c>
      <c r="D4261" s="23" t="s">
        <v>91</v>
      </c>
      <c r="E4261" s="23" t="s">
        <v>75</v>
      </c>
      <c r="F4261" s="23" t="s">
        <v>274</v>
      </c>
      <c r="G4261" s="23" t="s">
        <v>250</v>
      </c>
      <c r="H4261" s="39">
        <f t="shared" si="264"/>
        <v>349</v>
      </c>
      <c r="I4261" s="23" t="str">
        <f t="shared" si="265"/>
        <v>Pune</v>
      </c>
      <c r="J4261" s="23">
        <f>COUNTIFS(pg_transaction_cleaned!$O:$O,A4261,pg_transaction_cleaned!$F:$F,"CAPTURE")</f>
        <v>1</v>
      </c>
      <c r="K4261" s="39">
        <f>SUMIFS(pg_transaction_cleaned!$H:$H,pg_transaction_cleaned!$O:$O,A4261,pg_transaction_cleaned!$F:$F,"CAPTURE")</f>
        <v>349</v>
      </c>
      <c r="L4261" s="23">
        <f>COUNTIFS(pg_transaction_cleaned!$O:$O,A4261,pg_transaction_cleaned!$F:$F,"REFUND")</f>
        <v>0</v>
      </c>
      <c r="M4261" s="39">
        <f>SUMIFS(pg_transaction_cleaned!$H:$H,pg_transaction_cleaned!$O:$O,A4261,pg_transaction_cleaned!$F:$F,"REFUND")</f>
        <v>0</v>
      </c>
      <c r="N4261" s="23" t="str">
        <f t="shared" si="266"/>
        <v>OK</v>
      </c>
      <c r="O4261" s="24">
        <f t="shared" si="267"/>
        <v>0</v>
      </c>
    </row>
    <row r="4262" spans="1:15" ht="15" customHeight="1" x14ac:dyDescent="0.3">
      <c r="A4262" s="23" t="s">
        <v>8995</v>
      </c>
      <c r="B4262" s="38">
        <v>46291</v>
      </c>
      <c r="C4262" s="23" t="s">
        <v>8996</v>
      </c>
      <c r="D4262" s="23" t="s">
        <v>91</v>
      </c>
      <c r="E4262" s="23" t="s">
        <v>75</v>
      </c>
      <c r="F4262" s="23" t="s">
        <v>315</v>
      </c>
      <c r="G4262" s="23" t="s">
        <v>250</v>
      </c>
      <c r="H4262" s="39">
        <f t="shared" si="264"/>
        <v>1499</v>
      </c>
      <c r="I4262" s="23" t="str">
        <f t="shared" si="265"/>
        <v>Pune</v>
      </c>
      <c r="J4262" s="23">
        <f>COUNTIFS(pg_transaction_cleaned!$O:$O,A4262,pg_transaction_cleaned!$F:$F,"CAPTURE")</f>
        <v>1</v>
      </c>
      <c r="K4262" s="39">
        <f>SUMIFS(pg_transaction_cleaned!$H:$H,pg_transaction_cleaned!$O:$O,A4262,pg_transaction_cleaned!$F:$F,"CAPTURE")</f>
        <v>1499</v>
      </c>
      <c r="L4262" s="23">
        <f>COUNTIFS(pg_transaction_cleaned!$O:$O,A4262,pg_transaction_cleaned!$F:$F,"REFUND")</f>
        <v>0</v>
      </c>
      <c r="M4262" s="39">
        <f>SUMIFS(pg_transaction_cleaned!$H:$H,pg_transaction_cleaned!$O:$O,A4262,pg_transaction_cleaned!$F:$F,"REFUND")</f>
        <v>0</v>
      </c>
      <c r="N4262" s="23" t="str">
        <f t="shared" si="266"/>
        <v>OK</v>
      </c>
      <c r="O4262" s="24">
        <f t="shared" si="267"/>
        <v>0</v>
      </c>
    </row>
    <row r="4263" spans="1:15" ht="15" customHeight="1" x14ac:dyDescent="0.3">
      <c r="A4263" s="23" t="s">
        <v>8997</v>
      </c>
      <c r="B4263" s="38">
        <v>46290</v>
      </c>
      <c r="C4263" s="23" t="s">
        <v>8998</v>
      </c>
      <c r="D4263" s="23" t="s">
        <v>90</v>
      </c>
      <c r="E4263" s="23" t="s">
        <v>75</v>
      </c>
      <c r="F4263" s="23" t="s">
        <v>265</v>
      </c>
      <c r="G4263" s="23" t="s">
        <v>250</v>
      </c>
      <c r="H4263" s="39">
        <f t="shared" si="264"/>
        <v>999</v>
      </c>
      <c r="I4263" s="23" t="str">
        <f t="shared" si="265"/>
        <v>Ahmedabad</v>
      </c>
      <c r="J4263" s="23">
        <f>COUNTIFS(pg_transaction_cleaned!$O:$O,A4263,pg_transaction_cleaned!$F:$F,"CAPTURE")</f>
        <v>1</v>
      </c>
      <c r="K4263" s="39">
        <f>SUMIFS(pg_transaction_cleaned!$H:$H,pg_transaction_cleaned!$O:$O,A4263,pg_transaction_cleaned!$F:$F,"CAPTURE")</f>
        <v>999</v>
      </c>
      <c r="L4263" s="23">
        <f>COUNTIFS(pg_transaction_cleaned!$O:$O,A4263,pg_transaction_cleaned!$F:$F,"REFUND")</f>
        <v>0</v>
      </c>
      <c r="M4263" s="39">
        <f>SUMIFS(pg_transaction_cleaned!$H:$H,pg_transaction_cleaned!$O:$O,A4263,pg_transaction_cleaned!$F:$F,"REFUND")</f>
        <v>0</v>
      </c>
      <c r="N4263" s="23" t="str">
        <f t="shared" si="266"/>
        <v>OK</v>
      </c>
      <c r="O4263" s="24">
        <f t="shared" si="267"/>
        <v>0</v>
      </c>
    </row>
    <row r="4264" spans="1:15" ht="15" customHeight="1" x14ac:dyDescent="0.3">
      <c r="A4264" s="23" t="s">
        <v>8999</v>
      </c>
      <c r="B4264" s="38">
        <v>46266</v>
      </c>
      <c r="C4264" s="23" t="s">
        <v>9000</v>
      </c>
      <c r="D4264" s="23" t="s">
        <v>91</v>
      </c>
      <c r="E4264" s="23" t="s">
        <v>79</v>
      </c>
      <c r="F4264" s="23" t="s">
        <v>307</v>
      </c>
      <c r="G4264" s="23" t="s">
        <v>250</v>
      </c>
      <c r="H4264" s="39">
        <f t="shared" si="264"/>
        <v>3798</v>
      </c>
      <c r="I4264" s="23" t="str">
        <f t="shared" si="265"/>
        <v>Pune</v>
      </c>
      <c r="J4264" s="23">
        <f>COUNTIFS(pg_transaction_cleaned!$O:$O,A4264,pg_transaction_cleaned!$F:$F,"CAPTURE")</f>
        <v>1</v>
      </c>
      <c r="K4264" s="39">
        <f>SUMIFS(pg_transaction_cleaned!$H:$H,pg_transaction_cleaned!$O:$O,A4264,pg_transaction_cleaned!$F:$F,"CAPTURE")</f>
        <v>3798</v>
      </c>
      <c r="L4264" s="23">
        <f>COUNTIFS(pg_transaction_cleaned!$O:$O,A4264,pg_transaction_cleaned!$F:$F,"REFUND")</f>
        <v>0</v>
      </c>
      <c r="M4264" s="39">
        <f>SUMIFS(pg_transaction_cleaned!$H:$H,pg_transaction_cleaned!$O:$O,A4264,pg_transaction_cleaned!$F:$F,"REFUND")</f>
        <v>0</v>
      </c>
      <c r="N4264" s="23" t="str">
        <f t="shared" si="266"/>
        <v>OK</v>
      </c>
      <c r="O4264" s="24">
        <f t="shared" si="267"/>
        <v>0</v>
      </c>
    </row>
    <row r="4265" spans="1:15" ht="15" customHeight="1" x14ac:dyDescent="0.3">
      <c r="A4265" s="23" t="s">
        <v>9001</v>
      </c>
      <c r="B4265" s="38">
        <v>46277</v>
      </c>
      <c r="C4265" s="23" t="s">
        <v>9002</v>
      </c>
      <c r="D4265" s="23" t="s">
        <v>86</v>
      </c>
      <c r="E4265" s="23" t="s">
        <v>75</v>
      </c>
      <c r="F4265" s="23" t="s">
        <v>249</v>
      </c>
      <c r="G4265" s="23" t="s">
        <v>250</v>
      </c>
      <c r="H4265" s="39">
        <f t="shared" si="264"/>
        <v>299</v>
      </c>
      <c r="I4265" s="23" t="str">
        <f t="shared" si="265"/>
        <v>Delhi</v>
      </c>
      <c r="J4265" s="23">
        <f>COUNTIFS(pg_transaction_cleaned!$O:$O,A4265,pg_transaction_cleaned!$F:$F,"CAPTURE")</f>
        <v>1</v>
      </c>
      <c r="K4265" s="39">
        <f>SUMIFS(pg_transaction_cleaned!$H:$H,pg_transaction_cleaned!$O:$O,A4265,pg_transaction_cleaned!$F:$F,"CAPTURE")</f>
        <v>299</v>
      </c>
      <c r="L4265" s="23">
        <f>COUNTIFS(pg_transaction_cleaned!$O:$O,A4265,pg_transaction_cleaned!$F:$F,"REFUND")</f>
        <v>0</v>
      </c>
      <c r="M4265" s="39">
        <f>SUMIFS(pg_transaction_cleaned!$H:$H,pg_transaction_cleaned!$O:$O,A4265,pg_transaction_cleaned!$F:$F,"REFUND")</f>
        <v>0</v>
      </c>
      <c r="N4265" s="23" t="str">
        <f t="shared" si="266"/>
        <v>OK</v>
      </c>
      <c r="O4265" s="24">
        <f t="shared" si="267"/>
        <v>0</v>
      </c>
    </row>
    <row r="4266" spans="1:15" ht="15" customHeight="1" x14ac:dyDescent="0.3">
      <c r="A4266" s="23" t="s">
        <v>9003</v>
      </c>
      <c r="B4266" s="38">
        <v>46266</v>
      </c>
      <c r="C4266" s="23" t="s">
        <v>9004</v>
      </c>
      <c r="D4266" s="23" t="s">
        <v>95</v>
      </c>
      <c r="E4266" s="23" t="s">
        <v>79</v>
      </c>
      <c r="F4266" s="23" t="s">
        <v>297</v>
      </c>
      <c r="G4266" s="23" t="s">
        <v>250</v>
      </c>
      <c r="H4266" s="39">
        <f t="shared" si="264"/>
        <v>4999</v>
      </c>
      <c r="I4266" s="23" t="str">
        <f t="shared" si="265"/>
        <v>Bengaluru</v>
      </c>
      <c r="J4266" s="23">
        <f>COUNTIFS(pg_transaction_cleaned!$O:$O,A4266,pg_transaction_cleaned!$F:$F,"CAPTURE")</f>
        <v>1</v>
      </c>
      <c r="K4266" s="39">
        <f>SUMIFS(pg_transaction_cleaned!$H:$H,pg_transaction_cleaned!$O:$O,A4266,pg_transaction_cleaned!$F:$F,"CAPTURE")</f>
        <v>4999</v>
      </c>
      <c r="L4266" s="23">
        <f>COUNTIFS(pg_transaction_cleaned!$O:$O,A4266,pg_transaction_cleaned!$F:$F,"REFUND")</f>
        <v>0</v>
      </c>
      <c r="M4266" s="39">
        <f>SUMIFS(pg_transaction_cleaned!$H:$H,pg_transaction_cleaned!$O:$O,A4266,pg_transaction_cleaned!$F:$F,"REFUND")</f>
        <v>0</v>
      </c>
      <c r="N4266" s="23" t="str">
        <f t="shared" si="266"/>
        <v>OK</v>
      </c>
      <c r="O4266" s="24">
        <f t="shared" si="267"/>
        <v>0</v>
      </c>
    </row>
    <row r="4267" spans="1:15" ht="15" customHeight="1" x14ac:dyDescent="0.3">
      <c r="A4267" s="23" t="s">
        <v>9005</v>
      </c>
      <c r="B4267" s="38">
        <v>46283</v>
      </c>
      <c r="C4267" s="23" t="s">
        <v>9006</v>
      </c>
      <c r="D4267" s="23" t="s">
        <v>94</v>
      </c>
      <c r="E4267" s="23" t="s">
        <v>75</v>
      </c>
      <c r="F4267" s="23" t="s">
        <v>288</v>
      </c>
      <c r="G4267" s="23" t="s">
        <v>250</v>
      </c>
      <c r="H4267" s="39">
        <f t="shared" si="264"/>
        <v>4298</v>
      </c>
      <c r="I4267" s="23" t="str">
        <f t="shared" si="265"/>
        <v>Chennai</v>
      </c>
      <c r="J4267" s="23">
        <f>COUNTIFS(pg_transaction_cleaned!$O:$O,A4267,pg_transaction_cleaned!$F:$F,"CAPTURE")</f>
        <v>1</v>
      </c>
      <c r="K4267" s="39">
        <f>SUMIFS(pg_transaction_cleaned!$H:$H,pg_transaction_cleaned!$O:$O,A4267,pg_transaction_cleaned!$F:$F,"CAPTURE")</f>
        <v>4298</v>
      </c>
      <c r="L4267" s="23">
        <f>COUNTIFS(pg_transaction_cleaned!$O:$O,A4267,pg_transaction_cleaned!$F:$F,"REFUND")</f>
        <v>0</v>
      </c>
      <c r="M4267" s="39">
        <f>SUMIFS(pg_transaction_cleaned!$H:$H,pg_transaction_cleaned!$O:$O,A4267,pg_transaction_cleaned!$F:$F,"REFUND")</f>
        <v>0</v>
      </c>
      <c r="N4267" s="23" t="str">
        <f t="shared" si="266"/>
        <v>OK</v>
      </c>
      <c r="O4267" s="24">
        <f t="shared" si="267"/>
        <v>0</v>
      </c>
    </row>
    <row r="4268" spans="1:15" ht="15" customHeight="1" x14ac:dyDescent="0.3">
      <c r="A4268" s="23" t="s">
        <v>9007</v>
      </c>
      <c r="B4268" s="38">
        <v>46294</v>
      </c>
      <c r="C4268" s="23" t="s">
        <v>9008</v>
      </c>
      <c r="D4268" s="23" t="s">
        <v>93</v>
      </c>
      <c r="E4268" s="23" t="s">
        <v>75</v>
      </c>
      <c r="F4268" s="23" t="s">
        <v>262</v>
      </c>
      <c r="G4268" s="23" t="s">
        <v>250</v>
      </c>
      <c r="H4268" s="39">
        <f t="shared" si="264"/>
        <v>499</v>
      </c>
      <c r="I4268" s="23" t="str">
        <f t="shared" si="265"/>
        <v>Kolkata</v>
      </c>
      <c r="J4268" s="23">
        <f>COUNTIFS(pg_transaction_cleaned!$O:$O,A4268,pg_transaction_cleaned!$F:$F,"CAPTURE")</f>
        <v>1</v>
      </c>
      <c r="K4268" s="39">
        <f>SUMIFS(pg_transaction_cleaned!$H:$H,pg_transaction_cleaned!$O:$O,A4268,pg_transaction_cleaned!$F:$F,"CAPTURE")</f>
        <v>499</v>
      </c>
      <c r="L4268" s="23">
        <f>COUNTIFS(pg_transaction_cleaned!$O:$O,A4268,pg_transaction_cleaned!$F:$F,"REFUND")</f>
        <v>0</v>
      </c>
      <c r="M4268" s="39">
        <f>SUMIFS(pg_transaction_cleaned!$H:$H,pg_transaction_cleaned!$O:$O,A4268,pg_transaction_cleaned!$F:$F,"REFUND")</f>
        <v>0</v>
      </c>
      <c r="N4268" s="23" t="str">
        <f t="shared" si="266"/>
        <v>OK</v>
      </c>
      <c r="O4268" s="24">
        <f t="shared" si="267"/>
        <v>0</v>
      </c>
    </row>
    <row r="4269" spans="1:15" ht="15" customHeight="1" x14ac:dyDescent="0.3">
      <c r="A4269" s="23" t="s">
        <v>9009</v>
      </c>
      <c r="B4269" s="38">
        <v>46267</v>
      </c>
      <c r="C4269" s="23" t="s">
        <v>9010</v>
      </c>
      <c r="D4269" s="23" t="s">
        <v>95</v>
      </c>
      <c r="E4269" s="23" t="s">
        <v>75</v>
      </c>
      <c r="F4269" s="23" t="s">
        <v>396</v>
      </c>
      <c r="G4269" s="23" t="s">
        <v>250</v>
      </c>
      <c r="H4269" s="39">
        <f t="shared" si="264"/>
        <v>2999</v>
      </c>
      <c r="I4269" s="23" t="str">
        <f t="shared" si="265"/>
        <v>Bengaluru</v>
      </c>
      <c r="J4269" s="23">
        <f>COUNTIFS(pg_transaction_cleaned!$O:$O,A4269,pg_transaction_cleaned!$F:$F,"CAPTURE")</f>
        <v>1</v>
      </c>
      <c r="K4269" s="39">
        <f>SUMIFS(pg_transaction_cleaned!$H:$H,pg_transaction_cleaned!$O:$O,A4269,pg_transaction_cleaned!$F:$F,"CAPTURE")</f>
        <v>2999</v>
      </c>
      <c r="L4269" s="23">
        <f>COUNTIFS(pg_transaction_cleaned!$O:$O,A4269,pg_transaction_cleaned!$F:$F,"REFUND")</f>
        <v>0</v>
      </c>
      <c r="M4269" s="39">
        <f>SUMIFS(pg_transaction_cleaned!$H:$H,pg_transaction_cleaned!$O:$O,A4269,pg_transaction_cleaned!$F:$F,"REFUND")</f>
        <v>0</v>
      </c>
      <c r="N4269" s="23" t="str">
        <f t="shared" si="266"/>
        <v>OK</v>
      </c>
      <c r="O4269" s="24">
        <f t="shared" si="267"/>
        <v>0</v>
      </c>
    </row>
    <row r="4270" spans="1:15" ht="15" customHeight="1" x14ac:dyDescent="0.3">
      <c r="A4270" s="23" t="s">
        <v>9011</v>
      </c>
      <c r="B4270" s="38">
        <v>46274</v>
      </c>
      <c r="C4270" s="23" t="s">
        <v>9012</v>
      </c>
      <c r="D4270" s="23" t="s">
        <v>91</v>
      </c>
      <c r="E4270" s="23" t="s">
        <v>75</v>
      </c>
      <c r="F4270" s="23" t="s">
        <v>514</v>
      </c>
      <c r="G4270" s="23" t="s">
        <v>250</v>
      </c>
      <c r="H4270" s="39">
        <f t="shared" si="264"/>
        <v>6498</v>
      </c>
      <c r="I4270" s="23" t="str">
        <f t="shared" si="265"/>
        <v>Pune</v>
      </c>
      <c r="J4270" s="23">
        <f>COUNTIFS(pg_transaction_cleaned!$O:$O,A4270,pg_transaction_cleaned!$F:$F,"CAPTURE")</f>
        <v>1</v>
      </c>
      <c r="K4270" s="39">
        <f>SUMIFS(pg_transaction_cleaned!$H:$H,pg_transaction_cleaned!$O:$O,A4270,pg_transaction_cleaned!$F:$F,"CAPTURE")</f>
        <v>6498</v>
      </c>
      <c r="L4270" s="23">
        <f>COUNTIFS(pg_transaction_cleaned!$O:$O,A4270,pg_transaction_cleaned!$F:$F,"REFUND")</f>
        <v>0</v>
      </c>
      <c r="M4270" s="39">
        <f>SUMIFS(pg_transaction_cleaned!$H:$H,pg_transaction_cleaned!$O:$O,A4270,pg_transaction_cleaned!$F:$F,"REFUND")</f>
        <v>0</v>
      </c>
      <c r="N4270" s="23" t="str">
        <f t="shared" si="266"/>
        <v>OK</v>
      </c>
      <c r="O4270" s="24">
        <f t="shared" si="267"/>
        <v>0</v>
      </c>
    </row>
    <row r="4271" spans="1:15" ht="15" customHeight="1" x14ac:dyDescent="0.3">
      <c r="A4271" s="23" t="s">
        <v>9013</v>
      </c>
      <c r="B4271" s="38">
        <v>46283</v>
      </c>
      <c r="C4271" s="23" t="s">
        <v>9014</v>
      </c>
      <c r="D4271" s="23" t="s">
        <v>87</v>
      </c>
      <c r="E4271" s="23" t="s">
        <v>75</v>
      </c>
      <c r="F4271" s="23" t="s">
        <v>1978</v>
      </c>
      <c r="G4271" s="23" t="s">
        <v>250</v>
      </c>
      <c r="H4271" s="39">
        <f t="shared" si="264"/>
        <v>4597</v>
      </c>
      <c r="I4271" s="23" t="str">
        <f t="shared" si="265"/>
        <v>Mumbai</v>
      </c>
      <c r="J4271" s="23">
        <f>COUNTIFS(pg_transaction_cleaned!$O:$O,A4271,pg_transaction_cleaned!$F:$F,"CAPTURE")</f>
        <v>1</v>
      </c>
      <c r="K4271" s="39">
        <f>SUMIFS(pg_transaction_cleaned!$H:$H,pg_transaction_cleaned!$O:$O,A4271,pg_transaction_cleaned!$F:$F,"CAPTURE")</f>
        <v>4597</v>
      </c>
      <c r="L4271" s="23">
        <f>COUNTIFS(pg_transaction_cleaned!$O:$O,A4271,pg_transaction_cleaned!$F:$F,"REFUND")</f>
        <v>0</v>
      </c>
      <c r="M4271" s="39">
        <f>SUMIFS(pg_transaction_cleaned!$H:$H,pg_transaction_cleaned!$O:$O,A4271,pg_transaction_cleaned!$F:$F,"REFUND")</f>
        <v>0</v>
      </c>
      <c r="N4271" s="23" t="str">
        <f t="shared" si="266"/>
        <v>OK</v>
      </c>
      <c r="O4271" s="24">
        <f t="shared" si="267"/>
        <v>0</v>
      </c>
    </row>
    <row r="4272" spans="1:15" ht="15" customHeight="1" x14ac:dyDescent="0.3">
      <c r="A4272" s="23" t="s">
        <v>9015</v>
      </c>
      <c r="B4272" s="38">
        <v>46268</v>
      </c>
      <c r="C4272" s="23" t="s">
        <v>9016</v>
      </c>
      <c r="D4272" s="23" t="s">
        <v>91</v>
      </c>
      <c r="E4272" s="23" t="s">
        <v>75</v>
      </c>
      <c r="F4272" s="23" t="s">
        <v>310</v>
      </c>
      <c r="G4272" s="23" t="s">
        <v>250</v>
      </c>
      <c r="H4272" s="39">
        <f t="shared" si="264"/>
        <v>7999</v>
      </c>
      <c r="I4272" s="23" t="str">
        <f t="shared" si="265"/>
        <v>Pune</v>
      </c>
      <c r="J4272" s="23">
        <f>COUNTIFS(pg_transaction_cleaned!$O:$O,A4272,pg_transaction_cleaned!$F:$F,"CAPTURE")</f>
        <v>1</v>
      </c>
      <c r="K4272" s="39">
        <f>SUMIFS(pg_transaction_cleaned!$H:$H,pg_transaction_cleaned!$O:$O,A4272,pg_transaction_cleaned!$F:$F,"CAPTURE")</f>
        <v>7999</v>
      </c>
      <c r="L4272" s="23">
        <f>COUNTIFS(pg_transaction_cleaned!$O:$O,A4272,pg_transaction_cleaned!$F:$F,"REFUND")</f>
        <v>0</v>
      </c>
      <c r="M4272" s="39">
        <f>SUMIFS(pg_transaction_cleaned!$H:$H,pg_transaction_cleaned!$O:$O,A4272,pg_transaction_cleaned!$F:$F,"REFUND")</f>
        <v>0</v>
      </c>
      <c r="N4272" s="23" t="str">
        <f t="shared" si="266"/>
        <v>OK</v>
      </c>
      <c r="O4272" s="24">
        <f t="shared" si="267"/>
        <v>0</v>
      </c>
    </row>
    <row r="4273" spans="1:15" ht="15" customHeight="1" x14ac:dyDescent="0.3">
      <c r="A4273" s="23" t="s">
        <v>9017</v>
      </c>
      <c r="B4273" s="38">
        <v>46267</v>
      </c>
      <c r="C4273" s="23" t="s">
        <v>9018</v>
      </c>
      <c r="D4273" s="23" t="s">
        <v>91</v>
      </c>
      <c r="E4273" s="23" t="s">
        <v>75</v>
      </c>
      <c r="F4273" s="23" t="s">
        <v>274</v>
      </c>
      <c r="G4273" s="23" t="s">
        <v>250</v>
      </c>
      <c r="H4273" s="39">
        <f t="shared" si="264"/>
        <v>349</v>
      </c>
      <c r="I4273" s="23" t="str">
        <f t="shared" si="265"/>
        <v>Pune</v>
      </c>
      <c r="J4273" s="23">
        <f>COUNTIFS(pg_transaction_cleaned!$O:$O,A4273,pg_transaction_cleaned!$F:$F,"CAPTURE")</f>
        <v>1</v>
      </c>
      <c r="K4273" s="39">
        <f>SUMIFS(pg_transaction_cleaned!$H:$H,pg_transaction_cleaned!$O:$O,A4273,pg_transaction_cleaned!$F:$F,"CAPTURE")</f>
        <v>349</v>
      </c>
      <c r="L4273" s="23">
        <f>COUNTIFS(pg_transaction_cleaned!$O:$O,A4273,pg_transaction_cleaned!$F:$F,"REFUND")</f>
        <v>0</v>
      </c>
      <c r="M4273" s="39">
        <f>SUMIFS(pg_transaction_cleaned!$H:$H,pg_transaction_cleaned!$O:$O,A4273,pg_transaction_cleaned!$F:$F,"REFUND")</f>
        <v>0</v>
      </c>
      <c r="N4273" s="23" t="str">
        <f t="shared" si="266"/>
        <v>OK</v>
      </c>
      <c r="O4273" s="24">
        <f t="shared" si="267"/>
        <v>0</v>
      </c>
    </row>
    <row r="4274" spans="1:15" ht="15" customHeight="1" x14ac:dyDescent="0.3">
      <c r="A4274" s="23" t="s">
        <v>9019</v>
      </c>
      <c r="B4274" s="38">
        <v>46283</v>
      </c>
      <c r="C4274" s="23" t="s">
        <v>3749</v>
      </c>
      <c r="D4274" s="23" t="s">
        <v>89</v>
      </c>
      <c r="E4274" s="23" t="s">
        <v>75</v>
      </c>
      <c r="F4274" s="23" t="s">
        <v>262</v>
      </c>
      <c r="G4274" s="23" t="s">
        <v>250</v>
      </c>
      <c r="H4274" s="39">
        <f t="shared" si="264"/>
        <v>499</v>
      </c>
      <c r="I4274" s="23" t="str">
        <f t="shared" si="265"/>
        <v>Jaipur</v>
      </c>
      <c r="J4274" s="23">
        <f>COUNTIFS(pg_transaction_cleaned!$O:$O,A4274,pg_transaction_cleaned!$F:$F,"CAPTURE")</f>
        <v>1</v>
      </c>
      <c r="K4274" s="39">
        <f>SUMIFS(pg_transaction_cleaned!$H:$H,pg_transaction_cleaned!$O:$O,A4274,pg_transaction_cleaned!$F:$F,"CAPTURE")</f>
        <v>499</v>
      </c>
      <c r="L4274" s="23">
        <f>COUNTIFS(pg_transaction_cleaned!$O:$O,A4274,pg_transaction_cleaned!$F:$F,"REFUND")</f>
        <v>0</v>
      </c>
      <c r="M4274" s="39">
        <f>SUMIFS(pg_transaction_cleaned!$H:$H,pg_transaction_cleaned!$O:$O,A4274,pg_transaction_cleaned!$F:$F,"REFUND")</f>
        <v>0</v>
      </c>
      <c r="N4274" s="23" t="str">
        <f t="shared" si="266"/>
        <v>OK</v>
      </c>
      <c r="O4274" s="24">
        <f t="shared" si="267"/>
        <v>0</v>
      </c>
    </row>
    <row r="4275" spans="1:15" ht="15" customHeight="1" x14ac:dyDescent="0.3">
      <c r="A4275" s="23" t="s">
        <v>9020</v>
      </c>
      <c r="B4275" s="38">
        <v>46271</v>
      </c>
      <c r="C4275" s="23" t="s">
        <v>9021</v>
      </c>
      <c r="D4275" s="23" t="s">
        <v>95</v>
      </c>
      <c r="E4275" s="23" t="s">
        <v>75</v>
      </c>
      <c r="F4275" s="23" t="s">
        <v>297</v>
      </c>
      <c r="G4275" s="23" t="s">
        <v>250</v>
      </c>
      <c r="H4275" s="39">
        <f t="shared" si="264"/>
        <v>4999</v>
      </c>
      <c r="I4275" s="23" t="str">
        <f t="shared" si="265"/>
        <v>Bengaluru</v>
      </c>
      <c r="J4275" s="23">
        <f>COUNTIFS(pg_transaction_cleaned!$O:$O,A4275,pg_transaction_cleaned!$F:$F,"CAPTURE")</f>
        <v>1</v>
      </c>
      <c r="K4275" s="39">
        <f>SUMIFS(pg_transaction_cleaned!$H:$H,pg_transaction_cleaned!$O:$O,A4275,pg_transaction_cleaned!$F:$F,"CAPTURE")</f>
        <v>4999</v>
      </c>
      <c r="L4275" s="23">
        <f>COUNTIFS(pg_transaction_cleaned!$O:$O,A4275,pg_transaction_cleaned!$F:$F,"REFUND")</f>
        <v>0</v>
      </c>
      <c r="M4275" s="39">
        <f>SUMIFS(pg_transaction_cleaned!$H:$H,pg_transaction_cleaned!$O:$O,A4275,pg_transaction_cleaned!$F:$F,"REFUND")</f>
        <v>0</v>
      </c>
      <c r="N4275" s="23" t="str">
        <f t="shared" si="266"/>
        <v>OK</v>
      </c>
      <c r="O4275" s="24">
        <f t="shared" si="267"/>
        <v>0</v>
      </c>
    </row>
    <row r="4276" spans="1:15" ht="15" customHeight="1" x14ac:dyDescent="0.3">
      <c r="A4276" s="23" t="s">
        <v>9022</v>
      </c>
      <c r="B4276" s="38">
        <v>46287</v>
      </c>
      <c r="C4276" s="23" t="s">
        <v>9023</v>
      </c>
      <c r="D4276" s="23" t="s">
        <v>93</v>
      </c>
      <c r="E4276" s="23" t="s">
        <v>75</v>
      </c>
      <c r="F4276" s="23" t="s">
        <v>9024</v>
      </c>
      <c r="G4276" s="23" t="s">
        <v>250</v>
      </c>
      <c r="H4276" s="39">
        <f t="shared" si="264"/>
        <v>8347</v>
      </c>
      <c r="I4276" s="23" t="str">
        <f t="shared" si="265"/>
        <v>Kolkata</v>
      </c>
      <c r="J4276" s="23">
        <f>COUNTIFS(pg_transaction_cleaned!$O:$O,A4276,pg_transaction_cleaned!$F:$F,"CAPTURE")</f>
        <v>1</v>
      </c>
      <c r="K4276" s="39">
        <f>SUMIFS(pg_transaction_cleaned!$H:$H,pg_transaction_cleaned!$O:$O,A4276,pg_transaction_cleaned!$F:$F,"CAPTURE")</f>
        <v>8347</v>
      </c>
      <c r="L4276" s="23">
        <f>COUNTIFS(pg_transaction_cleaned!$O:$O,A4276,pg_transaction_cleaned!$F:$F,"REFUND")</f>
        <v>0</v>
      </c>
      <c r="M4276" s="39">
        <f>SUMIFS(pg_transaction_cleaned!$H:$H,pg_transaction_cleaned!$O:$O,A4276,pg_transaction_cleaned!$F:$F,"REFUND")</f>
        <v>0</v>
      </c>
      <c r="N4276" s="23" t="str">
        <f t="shared" si="266"/>
        <v>OK</v>
      </c>
      <c r="O4276" s="24">
        <f t="shared" si="267"/>
        <v>0</v>
      </c>
    </row>
    <row r="4277" spans="1:15" ht="15" customHeight="1" x14ac:dyDescent="0.3">
      <c r="A4277" s="23" t="s">
        <v>9025</v>
      </c>
      <c r="B4277" s="38">
        <v>46273</v>
      </c>
      <c r="C4277" s="23" t="s">
        <v>9026</v>
      </c>
      <c r="D4277" s="23" t="s">
        <v>91</v>
      </c>
      <c r="E4277" s="23" t="s">
        <v>79</v>
      </c>
      <c r="F4277" s="23" t="s">
        <v>1505</v>
      </c>
      <c r="G4277" s="23" t="s">
        <v>250</v>
      </c>
      <c r="H4277" s="39">
        <f t="shared" si="264"/>
        <v>8298</v>
      </c>
      <c r="I4277" s="23" t="str">
        <f t="shared" si="265"/>
        <v>Pune</v>
      </c>
      <c r="J4277" s="23">
        <f>COUNTIFS(pg_transaction_cleaned!$O:$O,A4277,pg_transaction_cleaned!$F:$F,"CAPTURE")</f>
        <v>1</v>
      </c>
      <c r="K4277" s="39">
        <f>SUMIFS(pg_transaction_cleaned!$H:$H,pg_transaction_cleaned!$O:$O,A4277,pg_transaction_cleaned!$F:$F,"CAPTURE")</f>
        <v>8298</v>
      </c>
      <c r="L4277" s="23">
        <f>COUNTIFS(pg_transaction_cleaned!$O:$O,A4277,pg_transaction_cleaned!$F:$F,"REFUND")</f>
        <v>0</v>
      </c>
      <c r="M4277" s="39">
        <f>SUMIFS(pg_transaction_cleaned!$H:$H,pg_transaction_cleaned!$O:$O,A4277,pg_transaction_cleaned!$F:$F,"REFUND")</f>
        <v>0</v>
      </c>
      <c r="N4277" s="23" t="str">
        <f t="shared" si="266"/>
        <v>OK</v>
      </c>
      <c r="O4277" s="24">
        <f t="shared" si="267"/>
        <v>0</v>
      </c>
    </row>
    <row r="4278" spans="1:15" ht="15" customHeight="1" x14ac:dyDescent="0.3">
      <c r="A4278" s="23" t="s">
        <v>9027</v>
      </c>
      <c r="B4278" s="38">
        <v>46286</v>
      </c>
      <c r="C4278" s="23" t="s">
        <v>9028</v>
      </c>
      <c r="D4278" s="23" t="s">
        <v>88</v>
      </c>
      <c r="E4278" s="23" t="s">
        <v>75</v>
      </c>
      <c r="F4278" s="23" t="s">
        <v>647</v>
      </c>
      <c r="G4278" s="23" t="s">
        <v>250</v>
      </c>
      <c r="H4278" s="39">
        <f t="shared" si="264"/>
        <v>5597</v>
      </c>
      <c r="I4278" s="23" t="str">
        <f t="shared" si="265"/>
        <v>Lucknow</v>
      </c>
      <c r="J4278" s="23">
        <f>COUNTIFS(pg_transaction_cleaned!$O:$O,A4278,pg_transaction_cleaned!$F:$F,"CAPTURE")</f>
        <v>1</v>
      </c>
      <c r="K4278" s="39">
        <f>SUMIFS(pg_transaction_cleaned!$H:$H,pg_transaction_cleaned!$O:$O,A4278,pg_transaction_cleaned!$F:$F,"CAPTURE")</f>
        <v>5597</v>
      </c>
      <c r="L4278" s="23">
        <f>COUNTIFS(pg_transaction_cleaned!$O:$O,A4278,pg_transaction_cleaned!$F:$F,"REFUND")</f>
        <v>0</v>
      </c>
      <c r="M4278" s="39">
        <f>SUMIFS(pg_transaction_cleaned!$H:$H,pg_transaction_cleaned!$O:$O,A4278,pg_transaction_cleaned!$F:$F,"REFUND")</f>
        <v>0</v>
      </c>
      <c r="N4278" s="23" t="str">
        <f t="shared" si="266"/>
        <v>OK</v>
      </c>
      <c r="O4278" s="24">
        <f t="shared" si="267"/>
        <v>0</v>
      </c>
    </row>
    <row r="4279" spans="1:15" ht="15" customHeight="1" x14ac:dyDescent="0.3">
      <c r="A4279" s="23" t="s">
        <v>9029</v>
      </c>
      <c r="B4279" s="38">
        <v>46288</v>
      </c>
      <c r="C4279" s="23" t="s">
        <v>9030</v>
      </c>
      <c r="D4279" s="23" t="s">
        <v>87</v>
      </c>
      <c r="E4279" s="23" t="s">
        <v>75</v>
      </c>
      <c r="F4279" s="23" t="s">
        <v>396</v>
      </c>
      <c r="G4279" s="23" t="s">
        <v>250</v>
      </c>
      <c r="H4279" s="39">
        <f t="shared" si="264"/>
        <v>2999</v>
      </c>
      <c r="I4279" s="23" t="str">
        <f t="shared" si="265"/>
        <v>Mumbai</v>
      </c>
      <c r="J4279" s="23">
        <f>COUNTIFS(pg_transaction_cleaned!$O:$O,A4279,pg_transaction_cleaned!$F:$F,"CAPTURE")</f>
        <v>1</v>
      </c>
      <c r="K4279" s="39">
        <f>SUMIFS(pg_transaction_cleaned!$H:$H,pg_transaction_cleaned!$O:$O,A4279,pg_transaction_cleaned!$F:$F,"CAPTURE")</f>
        <v>2999</v>
      </c>
      <c r="L4279" s="23">
        <f>COUNTIFS(pg_transaction_cleaned!$O:$O,A4279,pg_transaction_cleaned!$F:$F,"REFUND")</f>
        <v>0</v>
      </c>
      <c r="M4279" s="39">
        <f>SUMIFS(pg_transaction_cleaned!$H:$H,pg_transaction_cleaned!$O:$O,A4279,pg_transaction_cleaned!$F:$F,"REFUND")</f>
        <v>0</v>
      </c>
      <c r="N4279" s="23" t="str">
        <f t="shared" si="266"/>
        <v>OK</v>
      </c>
      <c r="O4279" s="24">
        <f t="shared" si="267"/>
        <v>0</v>
      </c>
    </row>
    <row r="4280" spans="1:15" ht="15" customHeight="1" x14ac:dyDescent="0.3">
      <c r="A4280" s="23" t="s">
        <v>9031</v>
      </c>
      <c r="B4280" s="38">
        <v>46266</v>
      </c>
      <c r="C4280" s="23" t="s">
        <v>9032</v>
      </c>
      <c r="D4280" s="23" t="s">
        <v>87</v>
      </c>
      <c r="E4280" s="23" t="s">
        <v>79</v>
      </c>
      <c r="F4280" s="23" t="s">
        <v>262</v>
      </c>
      <c r="G4280" s="23" t="s">
        <v>250</v>
      </c>
      <c r="H4280" s="39">
        <f t="shared" si="264"/>
        <v>499</v>
      </c>
      <c r="I4280" s="23" t="str">
        <f t="shared" si="265"/>
        <v>Mumbai</v>
      </c>
      <c r="J4280" s="23">
        <f>COUNTIFS(pg_transaction_cleaned!$O:$O,A4280,pg_transaction_cleaned!$F:$F,"CAPTURE")</f>
        <v>1</v>
      </c>
      <c r="K4280" s="39">
        <f>SUMIFS(pg_transaction_cleaned!$H:$H,pg_transaction_cleaned!$O:$O,A4280,pg_transaction_cleaned!$F:$F,"CAPTURE")</f>
        <v>499</v>
      </c>
      <c r="L4280" s="23">
        <f>COUNTIFS(pg_transaction_cleaned!$O:$O,A4280,pg_transaction_cleaned!$F:$F,"REFUND")</f>
        <v>0</v>
      </c>
      <c r="M4280" s="39">
        <f>SUMIFS(pg_transaction_cleaned!$H:$H,pg_transaction_cleaned!$O:$O,A4280,pg_transaction_cleaned!$F:$F,"REFUND")</f>
        <v>0</v>
      </c>
      <c r="N4280" s="23" t="str">
        <f t="shared" si="266"/>
        <v>OK</v>
      </c>
      <c r="O4280" s="24">
        <f t="shared" si="267"/>
        <v>0</v>
      </c>
    </row>
    <row r="4281" spans="1:15" ht="15" customHeight="1" x14ac:dyDescent="0.3">
      <c r="A4281" s="23" t="s">
        <v>9033</v>
      </c>
      <c r="B4281" s="38">
        <v>46281</v>
      </c>
      <c r="C4281" s="23" t="s">
        <v>9034</v>
      </c>
      <c r="D4281" s="23" t="s">
        <v>94</v>
      </c>
      <c r="E4281" s="23" t="s">
        <v>75</v>
      </c>
      <c r="F4281" s="23" t="s">
        <v>315</v>
      </c>
      <c r="G4281" s="23" t="s">
        <v>250</v>
      </c>
      <c r="H4281" s="39">
        <f t="shared" si="264"/>
        <v>1499</v>
      </c>
      <c r="I4281" s="23" t="str">
        <f t="shared" si="265"/>
        <v>Chennai</v>
      </c>
      <c r="J4281" s="23">
        <f>COUNTIFS(pg_transaction_cleaned!$O:$O,A4281,pg_transaction_cleaned!$F:$F,"CAPTURE")</f>
        <v>1</v>
      </c>
      <c r="K4281" s="39">
        <f>SUMIFS(pg_transaction_cleaned!$H:$H,pg_transaction_cleaned!$O:$O,A4281,pg_transaction_cleaned!$F:$F,"CAPTURE")</f>
        <v>1499</v>
      </c>
      <c r="L4281" s="23">
        <f>COUNTIFS(pg_transaction_cleaned!$O:$O,A4281,pg_transaction_cleaned!$F:$F,"REFUND")</f>
        <v>0</v>
      </c>
      <c r="M4281" s="39">
        <f>SUMIFS(pg_transaction_cleaned!$H:$H,pg_transaction_cleaned!$O:$O,A4281,pg_transaction_cleaned!$F:$F,"REFUND")</f>
        <v>0</v>
      </c>
      <c r="N4281" s="23" t="str">
        <f t="shared" si="266"/>
        <v>OK</v>
      </c>
      <c r="O4281" s="24">
        <f t="shared" si="267"/>
        <v>0</v>
      </c>
    </row>
    <row r="4282" spans="1:15" ht="15" customHeight="1" x14ac:dyDescent="0.3">
      <c r="A4282" s="23" t="s">
        <v>9035</v>
      </c>
      <c r="B4282" s="38">
        <v>46293</v>
      </c>
      <c r="C4282" s="23" t="s">
        <v>9036</v>
      </c>
      <c r="D4282" s="23" t="s">
        <v>94</v>
      </c>
      <c r="E4282" s="23" t="s">
        <v>75</v>
      </c>
      <c r="F4282" s="23" t="s">
        <v>297</v>
      </c>
      <c r="G4282" s="23" t="s">
        <v>250</v>
      </c>
      <c r="H4282" s="39">
        <f t="shared" si="264"/>
        <v>4999</v>
      </c>
      <c r="I4282" s="23" t="str">
        <f t="shared" si="265"/>
        <v>Chennai</v>
      </c>
      <c r="J4282" s="23">
        <f>COUNTIFS(pg_transaction_cleaned!$O:$O,A4282,pg_transaction_cleaned!$F:$F,"CAPTURE")</f>
        <v>1</v>
      </c>
      <c r="K4282" s="39">
        <f>SUMIFS(pg_transaction_cleaned!$H:$H,pg_transaction_cleaned!$O:$O,A4282,pg_transaction_cleaned!$F:$F,"CAPTURE")</f>
        <v>4999</v>
      </c>
      <c r="L4282" s="23">
        <f>COUNTIFS(pg_transaction_cleaned!$O:$O,A4282,pg_transaction_cleaned!$F:$F,"REFUND")</f>
        <v>0</v>
      </c>
      <c r="M4282" s="39">
        <f>SUMIFS(pg_transaction_cleaned!$H:$H,pg_transaction_cleaned!$O:$O,A4282,pg_transaction_cleaned!$F:$F,"REFUND")</f>
        <v>0</v>
      </c>
      <c r="N4282" s="23" t="str">
        <f t="shared" si="266"/>
        <v>OK</v>
      </c>
      <c r="O4282" s="24">
        <f t="shared" si="267"/>
        <v>0</v>
      </c>
    </row>
    <row r="4283" spans="1:15" ht="15" customHeight="1" x14ac:dyDescent="0.3">
      <c r="A4283" s="23" t="s">
        <v>9037</v>
      </c>
      <c r="B4283" s="38">
        <v>46269</v>
      </c>
      <c r="C4283" s="23" t="s">
        <v>9038</v>
      </c>
      <c r="D4283" s="23" t="s">
        <v>91</v>
      </c>
      <c r="E4283" s="23" t="s">
        <v>75</v>
      </c>
      <c r="F4283" s="23" t="s">
        <v>390</v>
      </c>
      <c r="G4283" s="23" t="s">
        <v>250</v>
      </c>
      <c r="H4283" s="39">
        <f t="shared" si="264"/>
        <v>599</v>
      </c>
      <c r="I4283" s="23" t="str">
        <f t="shared" si="265"/>
        <v>Pune</v>
      </c>
      <c r="J4283" s="23">
        <f>COUNTIFS(pg_transaction_cleaned!$O:$O,A4283,pg_transaction_cleaned!$F:$F,"CAPTURE")</f>
        <v>1</v>
      </c>
      <c r="K4283" s="39">
        <f>SUMIFS(pg_transaction_cleaned!$H:$H,pg_transaction_cleaned!$O:$O,A4283,pg_transaction_cleaned!$F:$F,"CAPTURE")</f>
        <v>599</v>
      </c>
      <c r="L4283" s="23">
        <f>COUNTIFS(pg_transaction_cleaned!$O:$O,A4283,pg_transaction_cleaned!$F:$F,"REFUND")</f>
        <v>0</v>
      </c>
      <c r="M4283" s="39">
        <f>SUMIFS(pg_transaction_cleaned!$H:$H,pg_transaction_cleaned!$O:$O,A4283,pg_transaction_cleaned!$F:$F,"REFUND")</f>
        <v>0</v>
      </c>
      <c r="N4283" s="23" t="str">
        <f t="shared" si="266"/>
        <v>OK</v>
      </c>
      <c r="O4283" s="24">
        <f t="shared" si="267"/>
        <v>0</v>
      </c>
    </row>
    <row r="4284" spans="1:15" ht="15" customHeight="1" x14ac:dyDescent="0.3">
      <c r="A4284" s="23" t="s">
        <v>9039</v>
      </c>
      <c r="B4284" s="38">
        <v>46294</v>
      </c>
      <c r="C4284" s="23" t="s">
        <v>9040</v>
      </c>
      <c r="D4284" s="23" t="s">
        <v>94</v>
      </c>
      <c r="E4284" s="23" t="s">
        <v>79</v>
      </c>
      <c r="F4284" s="23" t="s">
        <v>1463</v>
      </c>
      <c r="G4284" s="23" t="s">
        <v>250</v>
      </c>
      <c r="H4284" s="39">
        <f t="shared" si="264"/>
        <v>5348</v>
      </c>
      <c r="I4284" s="23" t="str">
        <f t="shared" si="265"/>
        <v>Chennai</v>
      </c>
      <c r="J4284" s="23">
        <f>COUNTIFS(pg_transaction_cleaned!$O:$O,A4284,pg_transaction_cleaned!$F:$F,"CAPTURE")</f>
        <v>1</v>
      </c>
      <c r="K4284" s="39">
        <f>SUMIFS(pg_transaction_cleaned!$H:$H,pg_transaction_cleaned!$O:$O,A4284,pg_transaction_cleaned!$F:$F,"CAPTURE")</f>
        <v>5348</v>
      </c>
      <c r="L4284" s="23">
        <f>COUNTIFS(pg_transaction_cleaned!$O:$O,A4284,pg_transaction_cleaned!$F:$F,"REFUND")</f>
        <v>0</v>
      </c>
      <c r="M4284" s="39">
        <f>SUMIFS(pg_transaction_cleaned!$H:$H,pg_transaction_cleaned!$O:$O,A4284,pg_transaction_cleaned!$F:$F,"REFUND")</f>
        <v>0</v>
      </c>
      <c r="N4284" s="23" t="str">
        <f t="shared" si="266"/>
        <v>OK</v>
      </c>
      <c r="O4284" s="24">
        <f t="shared" si="267"/>
        <v>0</v>
      </c>
    </row>
    <row r="4285" spans="1:15" ht="15" customHeight="1" x14ac:dyDescent="0.3">
      <c r="A4285" s="23" t="s">
        <v>9041</v>
      </c>
      <c r="B4285" s="38">
        <v>46274</v>
      </c>
      <c r="C4285" s="23" t="s">
        <v>9042</v>
      </c>
      <c r="D4285" s="23" t="s">
        <v>94</v>
      </c>
      <c r="E4285" s="23" t="s">
        <v>75</v>
      </c>
      <c r="F4285" s="23" t="s">
        <v>268</v>
      </c>
      <c r="G4285" s="23" t="s">
        <v>250</v>
      </c>
      <c r="H4285" s="39">
        <f t="shared" si="264"/>
        <v>1299</v>
      </c>
      <c r="I4285" s="23" t="str">
        <f t="shared" si="265"/>
        <v>Chennai</v>
      </c>
      <c r="J4285" s="23">
        <f>COUNTIFS(pg_transaction_cleaned!$O:$O,A4285,pg_transaction_cleaned!$F:$F,"CAPTURE")</f>
        <v>1</v>
      </c>
      <c r="K4285" s="39">
        <f>SUMIFS(pg_transaction_cleaned!$H:$H,pg_transaction_cleaned!$O:$O,A4285,pg_transaction_cleaned!$F:$F,"CAPTURE")</f>
        <v>1299</v>
      </c>
      <c r="L4285" s="23">
        <f>COUNTIFS(pg_transaction_cleaned!$O:$O,A4285,pg_transaction_cleaned!$F:$F,"REFUND")</f>
        <v>0</v>
      </c>
      <c r="M4285" s="39">
        <f>SUMIFS(pg_transaction_cleaned!$H:$H,pg_transaction_cleaned!$O:$O,A4285,pg_transaction_cleaned!$F:$F,"REFUND")</f>
        <v>0</v>
      </c>
      <c r="N4285" s="23" t="str">
        <f t="shared" si="266"/>
        <v>OK</v>
      </c>
      <c r="O4285" s="24">
        <f t="shared" si="267"/>
        <v>0</v>
      </c>
    </row>
    <row r="4286" spans="1:15" ht="15" customHeight="1" x14ac:dyDescent="0.3">
      <c r="A4286" s="23" t="s">
        <v>9043</v>
      </c>
      <c r="B4286" s="38">
        <v>46276</v>
      </c>
      <c r="C4286" s="23" t="s">
        <v>9044</v>
      </c>
      <c r="D4286" s="23" t="s">
        <v>91</v>
      </c>
      <c r="E4286" s="23" t="s">
        <v>75</v>
      </c>
      <c r="F4286" s="23" t="s">
        <v>2337</v>
      </c>
      <c r="G4286" s="23" t="s">
        <v>250</v>
      </c>
      <c r="H4286" s="39">
        <f t="shared" si="264"/>
        <v>8348</v>
      </c>
      <c r="I4286" s="23" t="str">
        <f t="shared" si="265"/>
        <v>Pune</v>
      </c>
      <c r="J4286" s="23">
        <f>COUNTIFS(pg_transaction_cleaned!$O:$O,A4286,pg_transaction_cleaned!$F:$F,"CAPTURE")</f>
        <v>1</v>
      </c>
      <c r="K4286" s="39">
        <f>SUMIFS(pg_transaction_cleaned!$H:$H,pg_transaction_cleaned!$O:$O,A4286,pg_transaction_cleaned!$F:$F,"CAPTURE")</f>
        <v>8348</v>
      </c>
      <c r="L4286" s="23">
        <f>COUNTIFS(pg_transaction_cleaned!$O:$O,A4286,pg_transaction_cleaned!$F:$F,"REFUND")</f>
        <v>0</v>
      </c>
      <c r="M4286" s="39">
        <f>SUMIFS(pg_transaction_cleaned!$H:$H,pg_transaction_cleaned!$O:$O,A4286,pg_transaction_cleaned!$F:$F,"REFUND")</f>
        <v>0</v>
      </c>
      <c r="N4286" s="23" t="str">
        <f t="shared" si="266"/>
        <v>OK</v>
      </c>
      <c r="O4286" s="24">
        <f t="shared" si="267"/>
        <v>0</v>
      </c>
    </row>
    <row r="4287" spans="1:15" ht="15" customHeight="1" x14ac:dyDescent="0.3">
      <c r="A4287" s="23" t="s">
        <v>9045</v>
      </c>
      <c r="B4287" s="38">
        <v>46273</v>
      </c>
      <c r="C4287" s="23" t="s">
        <v>9046</v>
      </c>
      <c r="D4287" s="23" t="s">
        <v>89</v>
      </c>
      <c r="E4287" s="23" t="s">
        <v>75</v>
      </c>
      <c r="F4287" s="23" t="s">
        <v>520</v>
      </c>
      <c r="G4287" s="23" t="s">
        <v>250</v>
      </c>
      <c r="H4287" s="39">
        <f t="shared" si="264"/>
        <v>4998</v>
      </c>
      <c r="I4287" s="23" t="str">
        <f t="shared" si="265"/>
        <v>Jaipur</v>
      </c>
      <c r="J4287" s="23">
        <f>COUNTIFS(pg_transaction_cleaned!$O:$O,A4287,pg_transaction_cleaned!$F:$F,"CAPTURE")</f>
        <v>1</v>
      </c>
      <c r="K4287" s="39">
        <f>SUMIFS(pg_transaction_cleaned!$H:$H,pg_transaction_cleaned!$O:$O,A4287,pg_transaction_cleaned!$F:$F,"CAPTURE")</f>
        <v>4998</v>
      </c>
      <c r="L4287" s="23">
        <f>COUNTIFS(pg_transaction_cleaned!$O:$O,A4287,pg_transaction_cleaned!$F:$F,"REFUND")</f>
        <v>0</v>
      </c>
      <c r="M4287" s="39">
        <f>SUMIFS(pg_transaction_cleaned!$H:$H,pg_transaction_cleaned!$O:$O,A4287,pg_transaction_cleaned!$F:$F,"REFUND")</f>
        <v>0</v>
      </c>
      <c r="N4287" s="23" t="str">
        <f t="shared" si="266"/>
        <v>OK</v>
      </c>
      <c r="O4287" s="24">
        <f t="shared" si="267"/>
        <v>0</v>
      </c>
    </row>
    <row r="4288" spans="1:15" ht="15" customHeight="1" x14ac:dyDescent="0.3">
      <c r="A4288" s="23" t="s">
        <v>9047</v>
      </c>
      <c r="B4288" s="38">
        <v>46282</v>
      </c>
      <c r="C4288" s="23" t="s">
        <v>9048</v>
      </c>
      <c r="D4288" s="23"/>
      <c r="E4288" s="23" t="s">
        <v>75</v>
      </c>
      <c r="F4288" s="23" t="s">
        <v>438</v>
      </c>
      <c r="G4288" s="23" t="s">
        <v>250</v>
      </c>
      <c r="H4288" s="39">
        <f t="shared" si="264"/>
        <v>5498</v>
      </c>
      <c r="I4288" s="23" t="str">
        <f t="shared" si="265"/>
        <v>Unknown</v>
      </c>
      <c r="J4288" s="23">
        <f>COUNTIFS(pg_transaction_cleaned!$O:$O,A4288,pg_transaction_cleaned!$F:$F,"CAPTURE")</f>
        <v>1</v>
      </c>
      <c r="K4288" s="39">
        <f>SUMIFS(pg_transaction_cleaned!$H:$H,pg_transaction_cleaned!$O:$O,A4288,pg_transaction_cleaned!$F:$F,"CAPTURE")</f>
        <v>5498</v>
      </c>
      <c r="L4288" s="23">
        <f>COUNTIFS(pg_transaction_cleaned!$O:$O,A4288,pg_transaction_cleaned!$F:$F,"REFUND")</f>
        <v>0</v>
      </c>
      <c r="M4288" s="39">
        <f>SUMIFS(pg_transaction_cleaned!$H:$H,pg_transaction_cleaned!$O:$O,A4288,pg_transaction_cleaned!$F:$F,"REFUND")</f>
        <v>0</v>
      </c>
      <c r="N4288" s="23" t="str">
        <f t="shared" si="266"/>
        <v>OK</v>
      </c>
      <c r="O4288" s="24">
        <f t="shared" si="267"/>
        <v>0</v>
      </c>
    </row>
    <row r="4289" spans="1:15" ht="15" customHeight="1" x14ac:dyDescent="0.3">
      <c r="A4289" s="23" t="s">
        <v>9049</v>
      </c>
      <c r="B4289" s="38">
        <v>46269</v>
      </c>
      <c r="C4289" s="23" t="s">
        <v>9050</v>
      </c>
      <c r="D4289" s="23" t="s">
        <v>89</v>
      </c>
      <c r="E4289" s="23" t="s">
        <v>81</v>
      </c>
      <c r="F4289" s="23" t="s">
        <v>291</v>
      </c>
      <c r="G4289" s="23" t="s">
        <v>250</v>
      </c>
      <c r="H4289" s="39">
        <f t="shared" si="264"/>
        <v>3499</v>
      </c>
      <c r="I4289" s="23" t="str">
        <f t="shared" si="265"/>
        <v>Jaipur</v>
      </c>
      <c r="J4289" s="23">
        <f>COUNTIFS(pg_transaction_cleaned!$O:$O,A4289,pg_transaction_cleaned!$F:$F,"CAPTURE")</f>
        <v>0</v>
      </c>
      <c r="K4289" s="39">
        <f>SUMIFS(pg_transaction_cleaned!$H:$H,pg_transaction_cleaned!$O:$O,A4289,pg_transaction_cleaned!$F:$F,"CAPTURE")</f>
        <v>0</v>
      </c>
      <c r="L4289" s="23">
        <f>COUNTIFS(pg_transaction_cleaned!$O:$O,A4289,pg_transaction_cleaned!$F:$F,"REFUND")</f>
        <v>0</v>
      </c>
      <c r="M4289" s="39">
        <f>SUMIFS(pg_transaction_cleaned!$H:$H,pg_transaction_cleaned!$O:$O,A4289,pg_transaction_cleaned!$F:$F,"REFUND")</f>
        <v>0</v>
      </c>
      <c r="N4289" s="23" t="str">
        <f t="shared" si="266"/>
        <v>Paid, no payment</v>
      </c>
      <c r="O4289" s="24">
        <f t="shared" si="267"/>
        <v>3499</v>
      </c>
    </row>
    <row r="4290" spans="1:15" ht="15" customHeight="1" x14ac:dyDescent="0.3">
      <c r="A4290" s="23" t="s">
        <v>9051</v>
      </c>
      <c r="B4290" s="38">
        <v>46273</v>
      </c>
      <c r="C4290" s="23" t="s">
        <v>9052</v>
      </c>
      <c r="D4290" s="23" t="s">
        <v>95</v>
      </c>
      <c r="E4290" s="23" t="s">
        <v>75</v>
      </c>
      <c r="F4290" s="23" t="s">
        <v>265</v>
      </c>
      <c r="G4290" s="23" t="s">
        <v>250</v>
      </c>
      <c r="H4290" s="39">
        <f t="shared" ref="H4290:H4353" si="268">VALUE(SUBSTITUTE(F4290,",",""))</f>
        <v>999</v>
      </c>
      <c r="I4290" s="23" t="str">
        <f t="shared" ref="I4290:I4353" si="269">IF(TRIM(D4290)="","Unknown",TRIM(D4290))</f>
        <v>Bengaluru</v>
      </c>
      <c r="J4290" s="23">
        <f>COUNTIFS(pg_transaction_cleaned!$O:$O,A4290,pg_transaction_cleaned!$F:$F,"CAPTURE")</f>
        <v>1</v>
      </c>
      <c r="K4290" s="39">
        <f>SUMIFS(pg_transaction_cleaned!$H:$H,pg_transaction_cleaned!$O:$O,A4290,pg_transaction_cleaned!$F:$F,"CAPTURE")</f>
        <v>999</v>
      </c>
      <c r="L4290" s="23">
        <f>COUNTIFS(pg_transaction_cleaned!$O:$O,A4290,pg_transaction_cleaned!$F:$F,"REFUND")</f>
        <v>0</v>
      </c>
      <c r="M4290" s="39">
        <f>SUMIFS(pg_transaction_cleaned!$H:$H,pg_transaction_cleaned!$O:$O,A4290,pg_transaction_cleaned!$F:$F,"REFUND")</f>
        <v>0</v>
      </c>
      <c r="N4290" s="23" t="str">
        <f t="shared" ref="N4290:N4353" si="270">IF(AND(G4290="Paid",J4290=0),"Paid, no payment",IF(AND(OR(G4290="Failed",G4290="Cancelled"),J4290&gt;0),"Payment on failed/cancelled",IF(J4290&gt;1,"Duplicate charge",IF(AND(J4290=1,ROUND(K4290-H4290,2)&lt;&gt;0),"Amount difference",IF(AND(G4290="Refunded",L4290=0),"Refunded, no refund",IF(AND(G4290&lt;&gt;"Refunded",L4290&gt;0),"Refund, order not Refunded",IF(AND(L4290&gt;0,ROUND(M4290-H4290,2)&lt;&gt;0),"Refund amount differs","OK")))))))</f>
        <v>OK</v>
      </c>
      <c r="O4290" s="24">
        <f t="shared" ref="O4290:O4353" si="271">IF(N4290="OK",0,IF(N4290="Paid, no payment",H4290,IF(N4290="Payment on failed/cancelled",K4290,IF(OR(N4290="Duplicate charge",N4290="Amount difference"),K4290-H4290,IF(N4290="Refunded, no refund",H4290,M4290)))))</f>
        <v>0</v>
      </c>
    </row>
    <row r="4291" spans="1:15" ht="15" customHeight="1" x14ac:dyDescent="0.3">
      <c r="A4291" s="23" t="s">
        <v>9053</v>
      </c>
      <c r="B4291" s="38">
        <v>46283</v>
      </c>
      <c r="C4291" s="23" t="s">
        <v>9054</v>
      </c>
      <c r="D4291" s="23" t="s">
        <v>86</v>
      </c>
      <c r="E4291" s="23" t="s">
        <v>77</v>
      </c>
      <c r="F4291" s="23" t="s">
        <v>520</v>
      </c>
      <c r="G4291" s="23" t="s">
        <v>250</v>
      </c>
      <c r="H4291" s="39">
        <f t="shared" si="268"/>
        <v>4998</v>
      </c>
      <c r="I4291" s="23" t="str">
        <f t="shared" si="269"/>
        <v>Delhi</v>
      </c>
      <c r="J4291" s="23">
        <f>COUNTIFS(pg_transaction_cleaned!$O:$O,A4291,pg_transaction_cleaned!$F:$F,"CAPTURE")</f>
        <v>1</v>
      </c>
      <c r="K4291" s="39">
        <f>SUMIFS(pg_transaction_cleaned!$H:$H,pg_transaction_cleaned!$O:$O,A4291,pg_transaction_cleaned!$F:$F,"CAPTURE")</f>
        <v>4998</v>
      </c>
      <c r="L4291" s="23">
        <f>COUNTIFS(pg_transaction_cleaned!$O:$O,A4291,pg_transaction_cleaned!$F:$F,"REFUND")</f>
        <v>0</v>
      </c>
      <c r="M4291" s="39">
        <f>SUMIFS(pg_transaction_cleaned!$H:$H,pg_transaction_cleaned!$O:$O,A4291,pg_transaction_cleaned!$F:$F,"REFUND")</f>
        <v>0</v>
      </c>
      <c r="N4291" s="23" t="str">
        <f t="shared" si="270"/>
        <v>OK</v>
      </c>
      <c r="O4291" s="24">
        <f t="shared" si="271"/>
        <v>0</v>
      </c>
    </row>
    <row r="4292" spans="1:15" ht="15" customHeight="1" x14ac:dyDescent="0.3">
      <c r="A4292" s="23" t="s">
        <v>9055</v>
      </c>
      <c r="B4292" s="38">
        <v>46272</v>
      </c>
      <c r="C4292" s="23" t="s">
        <v>9056</v>
      </c>
      <c r="D4292" s="23" t="s">
        <v>92</v>
      </c>
      <c r="E4292" s="23" t="s">
        <v>79</v>
      </c>
      <c r="F4292" s="23" t="s">
        <v>790</v>
      </c>
      <c r="G4292" s="23" t="s">
        <v>318</v>
      </c>
      <c r="H4292" s="39">
        <f t="shared" si="268"/>
        <v>11497</v>
      </c>
      <c r="I4292" s="23" t="str">
        <f t="shared" si="269"/>
        <v>Hyderabad</v>
      </c>
      <c r="J4292" s="23">
        <f>COUNTIFS(pg_transaction_cleaned!$O:$O,A4292,pg_transaction_cleaned!$F:$F,"CAPTURE")</f>
        <v>0</v>
      </c>
      <c r="K4292" s="39">
        <f>SUMIFS(pg_transaction_cleaned!$H:$H,pg_transaction_cleaned!$O:$O,A4292,pg_transaction_cleaned!$F:$F,"CAPTURE")</f>
        <v>0</v>
      </c>
      <c r="L4292" s="23">
        <f>COUNTIFS(pg_transaction_cleaned!$O:$O,A4292,pg_transaction_cleaned!$F:$F,"REFUND")</f>
        <v>0</v>
      </c>
      <c r="M4292" s="39">
        <f>SUMIFS(pg_transaction_cleaned!$H:$H,pg_transaction_cleaned!$O:$O,A4292,pg_transaction_cleaned!$F:$F,"REFUND")</f>
        <v>0</v>
      </c>
      <c r="N4292" s="23" t="str">
        <f t="shared" si="270"/>
        <v>OK</v>
      </c>
      <c r="O4292" s="24">
        <f t="shared" si="271"/>
        <v>0</v>
      </c>
    </row>
    <row r="4293" spans="1:15" ht="15" customHeight="1" x14ac:dyDescent="0.3">
      <c r="A4293" s="23" t="s">
        <v>9057</v>
      </c>
      <c r="B4293" s="38">
        <v>46275</v>
      </c>
      <c r="C4293" s="23" t="s">
        <v>9058</v>
      </c>
      <c r="D4293" s="23" t="s">
        <v>87</v>
      </c>
      <c r="E4293" s="23" t="s">
        <v>75</v>
      </c>
      <c r="F4293" s="23" t="s">
        <v>349</v>
      </c>
      <c r="G4293" s="23" t="s">
        <v>250</v>
      </c>
      <c r="H4293" s="39">
        <f t="shared" si="268"/>
        <v>1798</v>
      </c>
      <c r="I4293" s="23" t="str">
        <f t="shared" si="269"/>
        <v>Mumbai</v>
      </c>
      <c r="J4293" s="23">
        <f>COUNTIFS(pg_transaction_cleaned!$O:$O,A4293,pg_transaction_cleaned!$F:$F,"CAPTURE")</f>
        <v>1</v>
      </c>
      <c r="K4293" s="39">
        <f>SUMIFS(pg_transaction_cleaned!$H:$H,pg_transaction_cleaned!$O:$O,A4293,pg_transaction_cleaned!$F:$F,"CAPTURE")</f>
        <v>1798</v>
      </c>
      <c r="L4293" s="23">
        <f>COUNTIFS(pg_transaction_cleaned!$O:$O,A4293,pg_transaction_cleaned!$F:$F,"REFUND")</f>
        <v>0</v>
      </c>
      <c r="M4293" s="39">
        <f>SUMIFS(pg_transaction_cleaned!$H:$H,pg_transaction_cleaned!$O:$O,A4293,pg_transaction_cleaned!$F:$F,"REFUND")</f>
        <v>0</v>
      </c>
      <c r="N4293" s="23" t="str">
        <f t="shared" si="270"/>
        <v>OK</v>
      </c>
      <c r="O4293" s="24">
        <f t="shared" si="271"/>
        <v>0</v>
      </c>
    </row>
    <row r="4294" spans="1:15" ht="15" customHeight="1" x14ac:dyDescent="0.3">
      <c r="A4294" s="23" t="s">
        <v>9059</v>
      </c>
      <c r="B4294" s="38">
        <v>46275</v>
      </c>
      <c r="C4294" s="23" t="s">
        <v>9060</v>
      </c>
      <c r="D4294" s="23" t="s">
        <v>92</v>
      </c>
      <c r="E4294" s="23" t="s">
        <v>79</v>
      </c>
      <c r="F4294" s="23" t="s">
        <v>9061</v>
      </c>
      <c r="G4294" s="23" t="s">
        <v>250</v>
      </c>
      <c r="H4294" s="39">
        <f t="shared" si="268"/>
        <v>5697</v>
      </c>
      <c r="I4294" s="23" t="str">
        <f t="shared" si="269"/>
        <v>Hyderabad</v>
      </c>
      <c r="J4294" s="23">
        <f>COUNTIFS(pg_transaction_cleaned!$O:$O,A4294,pg_transaction_cleaned!$F:$F,"CAPTURE")</f>
        <v>1</v>
      </c>
      <c r="K4294" s="39">
        <f>SUMIFS(pg_transaction_cleaned!$H:$H,pg_transaction_cleaned!$O:$O,A4294,pg_transaction_cleaned!$F:$F,"CAPTURE")</f>
        <v>5697</v>
      </c>
      <c r="L4294" s="23">
        <f>COUNTIFS(pg_transaction_cleaned!$O:$O,A4294,pg_transaction_cleaned!$F:$F,"REFUND")</f>
        <v>0</v>
      </c>
      <c r="M4294" s="39">
        <f>SUMIFS(pg_transaction_cleaned!$H:$H,pg_transaction_cleaned!$O:$O,A4294,pg_transaction_cleaned!$F:$F,"REFUND")</f>
        <v>0</v>
      </c>
      <c r="N4294" s="23" t="str">
        <f t="shared" si="270"/>
        <v>OK</v>
      </c>
      <c r="O4294" s="24">
        <f t="shared" si="271"/>
        <v>0</v>
      </c>
    </row>
    <row r="4295" spans="1:15" ht="15" customHeight="1" x14ac:dyDescent="0.3">
      <c r="A4295" s="23" t="s">
        <v>9062</v>
      </c>
      <c r="B4295" s="38">
        <v>46271</v>
      </c>
      <c r="C4295" s="23" t="s">
        <v>9063</v>
      </c>
      <c r="D4295" s="23" t="s">
        <v>88</v>
      </c>
      <c r="E4295" s="23" t="s">
        <v>75</v>
      </c>
      <c r="F4295" s="23" t="s">
        <v>9064</v>
      </c>
      <c r="G4295" s="23" t="s">
        <v>250</v>
      </c>
      <c r="H4295" s="39">
        <f t="shared" si="268"/>
        <v>4347</v>
      </c>
      <c r="I4295" s="23" t="str">
        <f t="shared" si="269"/>
        <v>Lucknow</v>
      </c>
      <c r="J4295" s="23">
        <f>COUNTIFS(pg_transaction_cleaned!$O:$O,A4295,pg_transaction_cleaned!$F:$F,"CAPTURE")</f>
        <v>1</v>
      </c>
      <c r="K4295" s="39">
        <f>SUMIFS(pg_transaction_cleaned!$H:$H,pg_transaction_cleaned!$O:$O,A4295,pg_transaction_cleaned!$F:$F,"CAPTURE")</f>
        <v>4347</v>
      </c>
      <c r="L4295" s="23">
        <f>COUNTIFS(pg_transaction_cleaned!$O:$O,A4295,pg_transaction_cleaned!$F:$F,"REFUND")</f>
        <v>0</v>
      </c>
      <c r="M4295" s="39">
        <f>SUMIFS(pg_transaction_cleaned!$H:$H,pg_transaction_cleaned!$O:$O,A4295,pg_transaction_cleaned!$F:$F,"REFUND")</f>
        <v>0</v>
      </c>
      <c r="N4295" s="23" t="str">
        <f t="shared" si="270"/>
        <v>OK</v>
      </c>
      <c r="O4295" s="24">
        <f t="shared" si="271"/>
        <v>0</v>
      </c>
    </row>
    <row r="4296" spans="1:15" ht="15" customHeight="1" x14ac:dyDescent="0.3">
      <c r="A4296" s="23" t="s">
        <v>9065</v>
      </c>
      <c r="B4296" s="38">
        <v>46278</v>
      </c>
      <c r="C4296" s="23" t="s">
        <v>9066</v>
      </c>
      <c r="D4296" s="23" t="s">
        <v>90</v>
      </c>
      <c r="E4296" s="23" t="s">
        <v>77</v>
      </c>
      <c r="F4296" s="23" t="s">
        <v>772</v>
      </c>
      <c r="G4296" s="23" t="s">
        <v>250</v>
      </c>
      <c r="H4296" s="39">
        <f t="shared" si="268"/>
        <v>4798</v>
      </c>
      <c r="I4296" s="23" t="str">
        <f t="shared" si="269"/>
        <v>Ahmedabad</v>
      </c>
      <c r="J4296" s="23">
        <f>COUNTIFS(pg_transaction_cleaned!$O:$O,A4296,pg_transaction_cleaned!$F:$F,"CAPTURE")</f>
        <v>1</v>
      </c>
      <c r="K4296" s="39">
        <f>SUMIFS(pg_transaction_cleaned!$H:$H,pg_transaction_cleaned!$O:$O,A4296,pg_transaction_cleaned!$F:$F,"CAPTURE")</f>
        <v>4798</v>
      </c>
      <c r="L4296" s="23">
        <f>COUNTIFS(pg_transaction_cleaned!$O:$O,A4296,pg_transaction_cleaned!$F:$F,"REFUND")</f>
        <v>0</v>
      </c>
      <c r="M4296" s="39">
        <f>SUMIFS(pg_transaction_cleaned!$H:$H,pg_transaction_cleaned!$O:$O,A4296,pg_transaction_cleaned!$F:$F,"REFUND")</f>
        <v>0</v>
      </c>
      <c r="N4296" s="23" t="str">
        <f t="shared" si="270"/>
        <v>OK</v>
      </c>
      <c r="O4296" s="24">
        <f t="shared" si="271"/>
        <v>0</v>
      </c>
    </row>
    <row r="4297" spans="1:15" ht="15" customHeight="1" x14ac:dyDescent="0.3">
      <c r="A4297" s="23" t="s">
        <v>9067</v>
      </c>
      <c r="B4297" s="38">
        <v>46266</v>
      </c>
      <c r="C4297" s="23" t="s">
        <v>9068</v>
      </c>
      <c r="D4297" s="23" t="s">
        <v>93</v>
      </c>
      <c r="E4297" s="23" t="s">
        <v>75</v>
      </c>
      <c r="F4297" s="23" t="s">
        <v>268</v>
      </c>
      <c r="G4297" s="23" t="s">
        <v>250</v>
      </c>
      <c r="H4297" s="39">
        <f t="shared" si="268"/>
        <v>1299</v>
      </c>
      <c r="I4297" s="23" t="str">
        <f t="shared" si="269"/>
        <v>Kolkata</v>
      </c>
      <c r="J4297" s="23">
        <f>COUNTIFS(pg_transaction_cleaned!$O:$O,A4297,pg_transaction_cleaned!$F:$F,"CAPTURE")</f>
        <v>1</v>
      </c>
      <c r="K4297" s="39">
        <f>SUMIFS(pg_transaction_cleaned!$H:$H,pg_transaction_cleaned!$O:$O,A4297,pg_transaction_cleaned!$F:$F,"CAPTURE")</f>
        <v>1299</v>
      </c>
      <c r="L4297" s="23">
        <f>COUNTIFS(pg_transaction_cleaned!$O:$O,A4297,pg_transaction_cleaned!$F:$F,"REFUND")</f>
        <v>0</v>
      </c>
      <c r="M4297" s="39">
        <f>SUMIFS(pg_transaction_cleaned!$H:$H,pg_transaction_cleaned!$O:$O,A4297,pg_transaction_cleaned!$F:$F,"REFUND")</f>
        <v>0</v>
      </c>
      <c r="N4297" s="23" t="str">
        <f t="shared" si="270"/>
        <v>OK</v>
      </c>
      <c r="O4297" s="24">
        <f t="shared" si="271"/>
        <v>0</v>
      </c>
    </row>
    <row r="4298" spans="1:15" ht="15" customHeight="1" x14ac:dyDescent="0.3">
      <c r="A4298" s="23" t="s">
        <v>9069</v>
      </c>
      <c r="B4298" s="38">
        <v>46284</v>
      </c>
      <c r="C4298" s="23" t="s">
        <v>9070</v>
      </c>
      <c r="D4298" s="23" t="s">
        <v>87</v>
      </c>
      <c r="E4298" s="23" t="s">
        <v>79</v>
      </c>
      <c r="F4298" s="23" t="s">
        <v>1188</v>
      </c>
      <c r="G4298" s="23" t="s">
        <v>250</v>
      </c>
      <c r="H4298" s="39">
        <f t="shared" si="268"/>
        <v>1798</v>
      </c>
      <c r="I4298" s="23" t="str">
        <f t="shared" si="269"/>
        <v>Mumbai</v>
      </c>
      <c r="J4298" s="23">
        <f>COUNTIFS(pg_transaction_cleaned!$O:$O,A4298,pg_transaction_cleaned!$F:$F,"CAPTURE")</f>
        <v>1</v>
      </c>
      <c r="K4298" s="39">
        <f>SUMIFS(pg_transaction_cleaned!$H:$H,pg_transaction_cleaned!$O:$O,A4298,pg_transaction_cleaned!$F:$F,"CAPTURE")</f>
        <v>1798</v>
      </c>
      <c r="L4298" s="23">
        <f>COUNTIFS(pg_transaction_cleaned!$O:$O,A4298,pg_transaction_cleaned!$F:$F,"REFUND")</f>
        <v>0</v>
      </c>
      <c r="M4298" s="39">
        <f>SUMIFS(pg_transaction_cleaned!$H:$H,pg_transaction_cleaned!$O:$O,A4298,pg_transaction_cleaned!$F:$F,"REFUND")</f>
        <v>0</v>
      </c>
      <c r="N4298" s="23" t="str">
        <f t="shared" si="270"/>
        <v>OK</v>
      </c>
      <c r="O4298" s="24">
        <f t="shared" si="271"/>
        <v>0</v>
      </c>
    </row>
    <row r="4299" spans="1:15" ht="15" customHeight="1" x14ac:dyDescent="0.3">
      <c r="A4299" s="23" t="s">
        <v>9071</v>
      </c>
      <c r="B4299" s="38">
        <v>46266</v>
      </c>
      <c r="C4299" s="23" t="s">
        <v>9072</v>
      </c>
      <c r="D4299" s="23" t="s">
        <v>95</v>
      </c>
      <c r="E4299" s="23" t="s">
        <v>79</v>
      </c>
      <c r="F4299" s="23" t="s">
        <v>294</v>
      </c>
      <c r="G4299" s="23" t="s">
        <v>250</v>
      </c>
      <c r="H4299" s="39">
        <f t="shared" si="268"/>
        <v>1799</v>
      </c>
      <c r="I4299" s="23" t="str">
        <f t="shared" si="269"/>
        <v>Bengaluru</v>
      </c>
      <c r="J4299" s="23">
        <f>COUNTIFS(pg_transaction_cleaned!$O:$O,A4299,pg_transaction_cleaned!$F:$F,"CAPTURE")</f>
        <v>1</v>
      </c>
      <c r="K4299" s="39">
        <f>SUMIFS(pg_transaction_cleaned!$H:$H,pg_transaction_cleaned!$O:$O,A4299,pg_transaction_cleaned!$F:$F,"CAPTURE")</f>
        <v>1799</v>
      </c>
      <c r="L4299" s="23">
        <f>COUNTIFS(pg_transaction_cleaned!$O:$O,A4299,pg_transaction_cleaned!$F:$F,"REFUND")</f>
        <v>0</v>
      </c>
      <c r="M4299" s="39">
        <f>SUMIFS(pg_transaction_cleaned!$H:$H,pg_transaction_cleaned!$O:$O,A4299,pg_transaction_cleaned!$F:$F,"REFUND")</f>
        <v>0</v>
      </c>
      <c r="N4299" s="23" t="str">
        <f t="shared" si="270"/>
        <v>OK</v>
      </c>
      <c r="O4299" s="24">
        <f t="shared" si="271"/>
        <v>0</v>
      </c>
    </row>
    <row r="4300" spans="1:15" ht="15" customHeight="1" x14ac:dyDescent="0.3">
      <c r="A4300" s="23" t="s">
        <v>9073</v>
      </c>
      <c r="B4300" s="38">
        <v>46278</v>
      </c>
      <c r="C4300" s="23" t="s">
        <v>9074</v>
      </c>
      <c r="D4300" s="23" t="s">
        <v>86</v>
      </c>
      <c r="E4300" s="23" t="s">
        <v>75</v>
      </c>
      <c r="F4300" s="23" t="s">
        <v>3354</v>
      </c>
      <c r="G4300" s="23" t="s">
        <v>250</v>
      </c>
      <c r="H4300" s="39">
        <f t="shared" si="268"/>
        <v>12097</v>
      </c>
      <c r="I4300" s="23" t="str">
        <f t="shared" si="269"/>
        <v>Delhi</v>
      </c>
      <c r="J4300" s="23">
        <f>COUNTIFS(pg_transaction_cleaned!$O:$O,A4300,pg_transaction_cleaned!$F:$F,"CAPTURE")</f>
        <v>1</v>
      </c>
      <c r="K4300" s="39">
        <f>SUMIFS(pg_transaction_cleaned!$H:$H,pg_transaction_cleaned!$O:$O,A4300,pg_transaction_cleaned!$F:$F,"CAPTURE")</f>
        <v>12097</v>
      </c>
      <c r="L4300" s="23">
        <f>COUNTIFS(pg_transaction_cleaned!$O:$O,A4300,pg_transaction_cleaned!$F:$F,"REFUND")</f>
        <v>0</v>
      </c>
      <c r="M4300" s="39">
        <f>SUMIFS(pg_transaction_cleaned!$H:$H,pg_transaction_cleaned!$O:$O,A4300,pg_transaction_cleaned!$F:$F,"REFUND")</f>
        <v>0</v>
      </c>
      <c r="N4300" s="23" t="str">
        <f t="shared" si="270"/>
        <v>OK</v>
      </c>
      <c r="O4300" s="24">
        <f t="shared" si="271"/>
        <v>0</v>
      </c>
    </row>
    <row r="4301" spans="1:15" ht="15" customHeight="1" x14ac:dyDescent="0.3">
      <c r="A4301" s="23" t="s">
        <v>9075</v>
      </c>
      <c r="B4301" s="38">
        <v>46290</v>
      </c>
      <c r="C4301" s="23" t="s">
        <v>9076</v>
      </c>
      <c r="D4301" s="23" t="s">
        <v>93</v>
      </c>
      <c r="E4301" s="23" t="s">
        <v>75</v>
      </c>
      <c r="F4301" s="23" t="s">
        <v>9077</v>
      </c>
      <c r="G4301" s="23" t="s">
        <v>250</v>
      </c>
      <c r="H4301" s="39">
        <f t="shared" si="268"/>
        <v>5847</v>
      </c>
      <c r="I4301" s="23" t="str">
        <f t="shared" si="269"/>
        <v>Kolkata</v>
      </c>
      <c r="J4301" s="23">
        <f>COUNTIFS(pg_transaction_cleaned!$O:$O,A4301,pg_transaction_cleaned!$F:$F,"CAPTURE")</f>
        <v>1</v>
      </c>
      <c r="K4301" s="39">
        <f>SUMIFS(pg_transaction_cleaned!$H:$H,pg_transaction_cleaned!$O:$O,A4301,pg_transaction_cleaned!$F:$F,"CAPTURE")</f>
        <v>5847</v>
      </c>
      <c r="L4301" s="23">
        <f>COUNTIFS(pg_transaction_cleaned!$O:$O,A4301,pg_transaction_cleaned!$F:$F,"REFUND")</f>
        <v>0</v>
      </c>
      <c r="M4301" s="39">
        <f>SUMIFS(pg_transaction_cleaned!$H:$H,pg_transaction_cleaned!$O:$O,A4301,pg_transaction_cleaned!$F:$F,"REFUND")</f>
        <v>0</v>
      </c>
      <c r="N4301" s="23" t="str">
        <f t="shared" si="270"/>
        <v>OK</v>
      </c>
      <c r="O4301" s="24">
        <f t="shared" si="271"/>
        <v>0</v>
      </c>
    </row>
    <row r="4302" spans="1:15" ht="15" customHeight="1" x14ac:dyDescent="0.3">
      <c r="A4302" s="23" t="s">
        <v>9078</v>
      </c>
      <c r="B4302" s="38">
        <v>46276</v>
      </c>
      <c r="C4302" s="23" t="s">
        <v>9079</v>
      </c>
      <c r="D4302" s="23" t="s">
        <v>93</v>
      </c>
      <c r="E4302" s="23" t="s">
        <v>77</v>
      </c>
      <c r="F4302" s="23" t="s">
        <v>1975</v>
      </c>
      <c r="G4302" s="23" t="s">
        <v>250</v>
      </c>
      <c r="H4302" s="39">
        <f t="shared" si="268"/>
        <v>1398</v>
      </c>
      <c r="I4302" s="23" t="str">
        <f t="shared" si="269"/>
        <v>Kolkata</v>
      </c>
      <c r="J4302" s="23">
        <f>COUNTIFS(pg_transaction_cleaned!$O:$O,A4302,pg_transaction_cleaned!$F:$F,"CAPTURE")</f>
        <v>1</v>
      </c>
      <c r="K4302" s="39">
        <f>SUMIFS(pg_transaction_cleaned!$H:$H,pg_transaction_cleaned!$O:$O,A4302,pg_transaction_cleaned!$F:$F,"CAPTURE")</f>
        <v>1398</v>
      </c>
      <c r="L4302" s="23">
        <f>COUNTIFS(pg_transaction_cleaned!$O:$O,A4302,pg_transaction_cleaned!$F:$F,"REFUND")</f>
        <v>0</v>
      </c>
      <c r="M4302" s="39">
        <f>SUMIFS(pg_transaction_cleaned!$H:$H,pg_transaction_cleaned!$O:$O,A4302,pg_transaction_cleaned!$F:$F,"REFUND")</f>
        <v>0</v>
      </c>
      <c r="N4302" s="23" t="str">
        <f t="shared" si="270"/>
        <v>OK</v>
      </c>
      <c r="O4302" s="24">
        <f t="shared" si="271"/>
        <v>0</v>
      </c>
    </row>
    <row r="4303" spans="1:15" ht="15" customHeight="1" x14ac:dyDescent="0.3">
      <c r="A4303" s="23" t="s">
        <v>9080</v>
      </c>
      <c r="B4303" s="38">
        <v>46289</v>
      </c>
      <c r="C4303" s="23" t="s">
        <v>9081</v>
      </c>
      <c r="D4303" s="23" t="s">
        <v>89</v>
      </c>
      <c r="E4303" s="23" t="s">
        <v>75</v>
      </c>
      <c r="F4303" s="23" t="s">
        <v>6316</v>
      </c>
      <c r="G4303" s="23" t="s">
        <v>250</v>
      </c>
      <c r="H4303" s="39">
        <f t="shared" si="268"/>
        <v>3347</v>
      </c>
      <c r="I4303" s="23" t="str">
        <f t="shared" si="269"/>
        <v>Jaipur</v>
      </c>
      <c r="J4303" s="23">
        <f>COUNTIFS(pg_transaction_cleaned!$O:$O,A4303,pg_transaction_cleaned!$F:$F,"CAPTURE")</f>
        <v>1</v>
      </c>
      <c r="K4303" s="39">
        <f>SUMIFS(pg_transaction_cleaned!$H:$H,pg_transaction_cleaned!$O:$O,A4303,pg_transaction_cleaned!$F:$F,"CAPTURE")</f>
        <v>3347</v>
      </c>
      <c r="L4303" s="23">
        <f>COUNTIFS(pg_transaction_cleaned!$O:$O,A4303,pg_transaction_cleaned!$F:$F,"REFUND")</f>
        <v>0</v>
      </c>
      <c r="M4303" s="39">
        <f>SUMIFS(pg_transaction_cleaned!$H:$H,pg_transaction_cleaned!$O:$O,A4303,pg_transaction_cleaned!$F:$F,"REFUND")</f>
        <v>0</v>
      </c>
      <c r="N4303" s="23" t="str">
        <f t="shared" si="270"/>
        <v>OK</v>
      </c>
      <c r="O4303" s="24">
        <f t="shared" si="271"/>
        <v>0</v>
      </c>
    </row>
    <row r="4304" spans="1:15" ht="15" customHeight="1" x14ac:dyDescent="0.3">
      <c r="A4304" s="23" t="s">
        <v>9082</v>
      </c>
      <c r="B4304" s="38">
        <v>46271</v>
      </c>
      <c r="C4304" s="23" t="s">
        <v>9083</v>
      </c>
      <c r="D4304" s="23" t="s">
        <v>89</v>
      </c>
      <c r="E4304" s="23" t="s">
        <v>75</v>
      </c>
      <c r="F4304" s="23" t="s">
        <v>315</v>
      </c>
      <c r="G4304" s="23" t="s">
        <v>250</v>
      </c>
      <c r="H4304" s="39">
        <f t="shared" si="268"/>
        <v>1499</v>
      </c>
      <c r="I4304" s="23" t="str">
        <f t="shared" si="269"/>
        <v>Jaipur</v>
      </c>
      <c r="J4304" s="23">
        <f>COUNTIFS(pg_transaction_cleaned!$O:$O,A4304,pg_transaction_cleaned!$F:$F,"CAPTURE")</f>
        <v>1</v>
      </c>
      <c r="K4304" s="39">
        <f>SUMIFS(pg_transaction_cleaned!$H:$H,pg_transaction_cleaned!$O:$O,A4304,pg_transaction_cleaned!$F:$F,"CAPTURE")</f>
        <v>1499</v>
      </c>
      <c r="L4304" s="23">
        <f>COUNTIFS(pg_transaction_cleaned!$O:$O,A4304,pg_transaction_cleaned!$F:$F,"REFUND")</f>
        <v>0</v>
      </c>
      <c r="M4304" s="39">
        <f>SUMIFS(pg_transaction_cleaned!$H:$H,pg_transaction_cleaned!$O:$O,A4304,pg_transaction_cleaned!$F:$F,"REFUND")</f>
        <v>0</v>
      </c>
      <c r="N4304" s="23" t="str">
        <f t="shared" si="270"/>
        <v>OK</v>
      </c>
      <c r="O4304" s="24">
        <f t="shared" si="271"/>
        <v>0</v>
      </c>
    </row>
    <row r="4305" spans="1:15" ht="15" customHeight="1" x14ac:dyDescent="0.3">
      <c r="A4305" s="23" t="s">
        <v>9084</v>
      </c>
      <c r="B4305" s="38">
        <v>46269</v>
      </c>
      <c r="C4305" s="23" t="s">
        <v>9085</v>
      </c>
      <c r="D4305" s="23" t="s">
        <v>87</v>
      </c>
      <c r="E4305" s="23" t="s">
        <v>77</v>
      </c>
      <c r="F4305" s="23" t="s">
        <v>499</v>
      </c>
      <c r="G4305" s="23" t="s">
        <v>250</v>
      </c>
      <c r="H4305" s="39">
        <f t="shared" si="268"/>
        <v>5998</v>
      </c>
      <c r="I4305" s="23" t="str">
        <f t="shared" si="269"/>
        <v>Mumbai</v>
      </c>
      <c r="J4305" s="23">
        <f>COUNTIFS(pg_transaction_cleaned!$O:$O,A4305,pg_transaction_cleaned!$F:$F,"CAPTURE")</f>
        <v>1</v>
      </c>
      <c r="K4305" s="39">
        <f>SUMIFS(pg_transaction_cleaned!$H:$H,pg_transaction_cleaned!$O:$O,A4305,pg_transaction_cleaned!$F:$F,"CAPTURE")</f>
        <v>5998</v>
      </c>
      <c r="L4305" s="23">
        <f>COUNTIFS(pg_transaction_cleaned!$O:$O,A4305,pg_transaction_cleaned!$F:$F,"REFUND")</f>
        <v>0</v>
      </c>
      <c r="M4305" s="39">
        <f>SUMIFS(pg_transaction_cleaned!$H:$H,pg_transaction_cleaned!$O:$O,A4305,pg_transaction_cleaned!$F:$F,"REFUND")</f>
        <v>0</v>
      </c>
      <c r="N4305" s="23" t="str">
        <f t="shared" si="270"/>
        <v>OK</v>
      </c>
      <c r="O4305" s="24">
        <f t="shared" si="271"/>
        <v>0</v>
      </c>
    </row>
    <row r="4306" spans="1:15" ht="15" customHeight="1" x14ac:dyDescent="0.3">
      <c r="A4306" s="23" t="s">
        <v>9086</v>
      </c>
      <c r="B4306" s="38">
        <v>46293</v>
      </c>
      <c r="C4306" s="23" t="s">
        <v>9087</v>
      </c>
      <c r="D4306" s="23" t="s">
        <v>92</v>
      </c>
      <c r="E4306" s="23" t="s">
        <v>79</v>
      </c>
      <c r="F4306" s="23" t="s">
        <v>337</v>
      </c>
      <c r="G4306" s="23" t="s">
        <v>250</v>
      </c>
      <c r="H4306" s="39">
        <f t="shared" si="268"/>
        <v>3998</v>
      </c>
      <c r="I4306" s="23" t="str">
        <f t="shared" si="269"/>
        <v>Hyderabad</v>
      </c>
      <c r="J4306" s="23">
        <f>COUNTIFS(pg_transaction_cleaned!$O:$O,A4306,pg_transaction_cleaned!$F:$F,"CAPTURE")</f>
        <v>1</v>
      </c>
      <c r="K4306" s="39">
        <f>SUMIFS(pg_transaction_cleaned!$H:$H,pg_transaction_cleaned!$O:$O,A4306,pg_transaction_cleaned!$F:$F,"CAPTURE")</f>
        <v>3998</v>
      </c>
      <c r="L4306" s="23">
        <f>COUNTIFS(pg_transaction_cleaned!$O:$O,A4306,pg_transaction_cleaned!$F:$F,"REFUND")</f>
        <v>0</v>
      </c>
      <c r="M4306" s="39">
        <f>SUMIFS(pg_transaction_cleaned!$H:$H,pg_transaction_cleaned!$O:$O,A4306,pg_transaction_cleaned!$F:$F,"REFUND")</f>
        <v>0</v>
      </c>
      <c r="N4306" s="23" t="str">
        <f t="shared" si="270"/>
        <v>OK</v>
      </c>
      <c r="O4306" s="24">
        <f t="shared" si="271"/>
        <v>0</v>
      </c>
    </row>
    <row r="4307" spans="1:15" ht="15" customHeight="1" x14ac:dyDescent="0.3">
      <c r="A4307" s="23" t="s">
        <v>9088</v>
      </c>
      <c r="B4307" s="38">
        <v>46292</v>
      </c>
      <c r="C4307" s="23" t="s">
        <v>9089</v>
      </c>
      <c r="D4307" s="23" t="s">
        <v>87</v>
      </c>
      <c r="E4307" s="23" t="s">
        <v>75</v>
      </c>
      <c r="F4307" s="23" t="s">
        <v>880</v>
      </c>
      <c r="G4307" s="23" t="s">
        <v>250</v>
      </c>
      <c r="H4307" s="39">
        <f t="shared" si="268"/>
        <v>2298</v>
      </c>
      <c r="I4307" s="23" t="str">
        <f t="shared" si="269"/>
        <v>Mumbai</v>
      </c>
      <c r="J4307" s="23">
        <f>COUNTIFS(pg_transaction_cleaned!$O:$O,A4307,pg_transaction_cleaned!$F:$F,"CAPTURE")</f>
        <v>1</v>
      </c>
      <c r="K4307" s="39">
        <f>SUMIFS(pg_transaction_cleaned!$H:$H,pg_transaction_cleaned!$O:$O,A4307,pg_transaction_cleaned!$F:$F,"CAPTURE")</f>
        <v>2298</v>
      </c>
      <c r="L4307" s="23">
        <f>COUNTIFS(pg_transaction_cleaned!$O:$O,A4307,pg_transaction_cleaned!$F:$F,"REFUND")</f>
        <v>0</v>
      </c>
      <c r="M4307" s="39">
        <f>SUMIFS(pg_transaction_cleaned!$H:$H,pg_transaction_cleaned!$O:$O,A4307,pg_transaction_cleaned!$F:$F,"REFUND")</f>
        <v>0</v>
      </c>
      <c r="N4307" s="23" t="str">
        <f t="shared" si="270"/>
        <v>OK</v>
      </c>
      <c r="O4307" s="24">
        <f t="shared" si="271"/>
        <v>0</v>
      </c>
    </row>
    <row r="4308" spans="1:15" ht="15" customHeight="1" x14ac:dyDescent="0.3">
      <c r="A4308" s="23" t="s">
        <v>9090</v>
      </c>
      <c r="B4308" s="38">
        <v>46276</v>
      </c>
      <c r="C4308" s="23" t="s">
        <v>9091</v>
      </c>
      <c r="D4308" s="23" t="s">
        <v>92</v>
      </c>
      <c r="E4308" s="23" t="s">
        <v>75</v>
      </c>
      <c r="F4308" s="23" t="s">
        <v>310</v>
      </c>
      <c r="G4308" s="23" t="s">
        <v>250</v>
      </c>
      <c r="H4308" s="39">
        <f t="shared" si="268"/>
        <v>7999</v>
      </c>
      <c r="I4308" s="23" t="str">
        <f t="shared" si="269"/>
        <v>Hyderabad</v>
      </c>
      <c r="J4308" s="23">
        <f>COUNTIFS(pg_transaction_cleaned!$O:$O,A4308,pg_transaction_cleaned!$F:$F,"CAPTURE")</f>
        <v>1</v>
      </c>
      <c r="K4308" s="39">
        <f>SUMIFS(pg_transaction_cleaned!$H:$H,pg_transaction_cleaned!$O:$O,A4308,pg_transaction_cleaned!$F:$F,"CAPTURE")</f>
        <v>7999</v>
      </c>
      <c r="L4308" s="23">
        <f>COUNTIFS(pg_transaction_cleaned!$O:$O,A4308,pg_transaction_cleaned!$F:$F,"REFUND")</f>
        <v>0</v>
      </c>
      <c r="M4308" s="39">
        <f>SUMIFS(pg_transaction_cleaned!$H:$H,pg_transaction_cleaned!$O:$O,A4308,pg_transaction_cleaned!$F:$F,"REFUND")</f>
        <v>0</v>
      </c>
      <c r="N4308" s="23" t="str">
        <f t="shared" si="270"/>
        <v>OK</v>
      </c>
      <c r="O4308" s="24">
        <f t="shared" si="271"/>
        <v>0</v>
      </c>
    </row>
    <row r="4309" spans="1:15" ht="15" customHeight="1" x14ac:dyDescent="0.3">
      <c r="A4309" s="23" t="s">
        <v>9092</v>
      </c>
      <c r="B4309" s="38">
        <v>46283</v>
      </c>
      <c r="C4309" s="23" t="s">
        <v>9093</v>
      </c>
      <c r="D4309" s="23" t="s">
        <v>89</v>
      </c>
      <c r="E4309" s="23" t="s">
        <v>75</v>
      </c>
      <c r="F4309" s="23" t="s">
        <v>499</v>
      </c>
      <c r="G4309" s="23" t="s">
        <v>301</v>
      </c>
      <c r="H4309" s="39">
        <f t="shared" si="268"/>
        <v>5998</v>
      </c>
      <c r="I4309" s="23" t="str">
        <f t="shared" si="269"/>
        <v>Jaipur</v>
      </c>
      <c r="J4309" s="23">
        <f>COUNTIFS(pg_transaction_cleaned!$O:$O,A4309,pg_transaction_cleaned!$F:$F,"CAPTURE")</f>
        <v>1</v>
      </c>
      <c r="K4309" s="39">
        <f>SUMIFS(pg_transaction_cleaned!$H:$H,pg_transaction_cleaned!$O:$O,A4309,pg_transaction_cleaned!$F:$F,"CAPTURE")</f>
        <v>5998</v>
      </c>
      <c r="L4309" s="23">
        <f>COUNTIFS(pg_transaction_cleaned!$O:$O,A4309,pg_transaction_cleaned!$F:$F,"REFUND")</f>
        <v>1</v>
      </c>
      <c r="M4309" s="39">
        <f>SUMIFS(pg_transaction_cleaned!$H:$H,pg_transaction_cleaned!$O:$O,A4309,pg_transaction_cleaned!$F:$F,"REFUND")</f>
        <v>5998</v>
      </c>
      <c r="N4309" s="23" t="str">
        <f t="shared" si="270"/>
        <v>OK</v>
      </c>
      <c r="O4309" s="24">
        <f t="shared" si="271"/>
        <v>0</v>
      </c>
    </row>
    <row r="4310" spans="1:15" ht="15" customHeight="1" x14ac:dyDescent="0.3">
      <c r="A4310" s="23" t="s">
        <v>9094</v>
      </c>
      <c r="B4310" s="38">
        <v>46285</v>
      </c>
      <c r="C4310" s="23" t="s">
        <v>9095</v>
      </c>
      <c r="D4310" s="23" t="s">
        <v>93</v>
      </c>
      <c r="E4310" s="23" t="s">
        <v>77</v>
      </c>
      <c r="F4310" s="23" t="s">
        <v>429</v>
      </c>
      <c r="G4310" s="23" t="s">
        <v>301</v>
      </c>
      <c r="H4310" s="39">
        <f t="shared" si="268"/>
        <v>3348</v>
      </c>
      <c r="I4310" s="23" t="str">
        <f t="shared" si="269"/>
        <v>Kolkata</v>
      </c>
      <c r="J4310" s="23">
        <f>COUNTIFS(pg_transaction_cleaned!$O:$O,A4310,pg_transaction_cleaned!$F:$F,"CAPTURE")</f>
        <v>1</v>
      </c>
      <c r="K4310" s="39">
        <f>SUMIFS(pg_transaction_cleaned!$H:$H,pg_transaction_cleaned!$O:$O,A4310,pg_transaction_cleaned!$F:$F,"CAPTURE")</f>
        <v>3348</v>
      </c>
      <c r="L4310" s="23">
        <f>COUNTIFS(pg_transaction_cleaned!$O:$O,A4310,pg_transaction_cleaned!$F:$F,"REFUND")</f>
        <v>1</v>
      </c>
      <c r="M4310" s="39">
        <f>SUMIFS(pg_transaction_cleaned!$H:$H,pg_transaction_cleaned!$O:$O,A4310,pg_transaction_cleaned!$F:$F,"REFUND")</f>
        <v>3348</v>
      </c>
      <c r="N4310" s="23" t="str">
        <f t="shared" si="270"/>
        <v>OK</v>
      </c>
      <c r="O4310" s="24">
        <f t="shared" si="271"/>
        <v>0</v>
      </c>
    </row>
    <row r="4311" spans="1:15" ht="15" customHeight="1" x14ac:dyDescent="0.3">
      <c r="A4311" s="23" t="s">
        <v>9096</v>
      </c>
      <c r="B4311" s="38">
        <v>46268</v>
      </c>
      <c r="C4311" s="23" t="s">
        <v>9097</v>
      </c>
      <c r="D4311" s="23" t="s">
        <v>93</v>
      </c>
      <c r="E4311" s="23" t="s">
        <v>81</v>
      </c>
      <c r="F4311" s="23" t="s">
        <v>567</v>
      </c>
      <c r="G4311" s="23" t="s">
        <v>250</v>
      </c>
      <c r="H4311" s="39">
        <f t="shared" si="268"/>
        <v>3598</v>
      </c>
      <c r="I4311" s="23" t="str">
        <f t="shared" si="269"/>
        <v>Kolkata</v>
      </c>
      <c r="J4311" s="23">
        <f>COUNTIFS(pg_transaction_cleaned!$O:$O,A4311,pg_transaction_cleaned!$F:$F,"CAPTURE")</f>
        <v>1</v>
      </c>
      <c r="K4311" s="39">
        <f>SUMIFS(pg_transaction_cleaned!$H:$H,pg_transaction_cleaned!$O:$O,A4311,pg_transaction_cleaned!$F:$F,"CAPTURE")</f>
        <v>3598</v>
      </c>
      <c r="L4311" s="23">
        <f>COUNTIFS(pg_transaction_cleaned!$O:$O,A4311,pg_transaction_cleaned!$F:$F,"REFUND")</f>
        <v>0</v>
      </c>
      <c r="M4311" s="39">
        <f>SUMIFS(pg_transaction_cleaned!$H:$H,pg_transaction_cleaned!$O:$O,A4311,pg_transaction_cleaned!$F:$F,"REFUND")</f>
        <v>0</v>
      </c>
      <c r="N4311" s="23" t="str">
        <f t="shared" si="270"/>
        <v>OK</v>
      </c>
      <c r="O4311" s="24">
        <f t="shared" si="271"/>
        <v>0</v>
      </c>
    </row>
    <row r="4312" spans="1:15" ht="15" customHeight="1" x14ac:dyDescent="0.3">
      <c r="A4312" s="23" t="s">
        <v>9098</v>
      </c>
      <c r="B4312" s="38">
        <v>46293</v>
      </c>
      <c r="C4312" s="23" t="s">
        <v>9099</v>
      </c>
      <c r="D4312" s="23" t="s">
        <v>86</v>
      </c>
      <c r="E4312" s="23" t="s">
        <v>75</v>
      </c>
      <c r="F4312" s="23" t="s">
        <v>393</v>
      </c>
      <c r="G4312" s="23" t="s">
        <v>301</v>
      </c>
      <c r="H4312" s="39">
        <f t="shared" si="268"/>
        <v>349</v>
      </c>
      <c r="I4312" s="23" t="str">
        <f t="shared" si="269"/>
        <v>Delhi</v>
      </c>
      <c r="J4312" s="23">
        <f>COUNTIFS(pg_transaction_cleaned!$O:$O,A4312,pg_transaction_cleaned!$F:$F,"CAPTURE")</f>
        <v>1</v>
      </c>
      <c r="K4312" s="39">
        <f>SUMIFS(pg_transaction_cleaned!$H:$H,pg_transaction_cleaned!$O:$O,A4312,pg_transaction_cleaned!$F:$F,"CAPTURE")</f>
        <v>349</v>
      </c>
      <c r="L4312" s="23">
        <f>COUNTIFS(pg_transaction_cleaned!$O:$O,A4312,pg_transaction_cleaned!$F:$F,"REFUND")</f>
        <v>1</v>
      </c>
      <c r="M4312" s="39">
        <f>SUMIFS(pg_transaction_cleaned!$H:$H,pg_transaction_cleaned!$O:$O,A4312,pg_transaction_cleaned!$F:$F,"REFUND")</f>
        <v>349</v>
      </c>
      <c r="N4312" s="23" t="str">
        <f t="shared" si="270"/>
        <v>OK</v>
      </c>
      <c r="O4312" s="24">
        <f t="shared" si="271"/>
        <v>0</v>
      </c>
    </row>
    <row r="4313" spans="1:15" ht="15" customHeight="1" x14ac:dyDescent="0.3">
      <c r="A4313" s="23" t="s">
        <v>9100</v>
      </c>
      <c r="B4313" s="38">
        <v>46285</v>
      </c>
      <c r="C4313" s="23" t="s">
        <v>9101</v>
      </c>
      <c r="D4313" s="23" t="s">
        <v>91</v>
      </c>
      <c r="E4313" s="23" t="s">
        <v>81</v>
      </c>
      <c r="F4313" s="23" t="s">
        <v>622</v>
      </c>
      <c r="G4313" s="23" t="s">
        <v>250</v>
      </c>
      <c r="H4313" s="39">
        <f t="shared" si="268"/>
        <v>8998</v>
      </c>
      <c r="I4313" s="23" t="str">
        <f t="shared" si="269"/>
        <v>Pune</v>
      </c>
      <c r="J4313" s="23">
        <f>COUNTIFS(pg_transaction_cleaned!$O:$O,A4313,pg_transaction_cleaned!$F:$F,"CAPTURE")</f>
        <v>1</v>
      </c>
      <c r="K4313" s="39">
        <f>SUMIFS(pg_transaction_cleaned!$H:$H,pg_transaction_cleaned!$O:$O,A4313,pg_transaction_cleaned!$F:$F,"CAPTURE")</f>
        <v>8998</v>
      </c>
      <c r="L4313" s="23">
        <f>COUNTIFS(pg_transaction_cleaned!$O:$O,A4313,pg_transaction_cleaned!$F:$F,"REFUND")</f>
        <v>0</v>
      </c>
      <c r="M4313" s="39">
        <f>SUMIFS(pg_transaction_cleaned!$H:$H,pg_transaction_cleaned!$O:$O,A4313,pg_transaction_cleaned!$F:$F,"REFUND")</f>
        <v>0</v>
      </c>
      <c r="N4313" s="23" t="str">
        <f t="shared" si="270"/>
        <v>OK</v>
      </c>
      <c r="O4313" s="24">
        <f t="shared" si="271"/>
        <v>0</v>
      </c>
    </row>
    <row r="4314" spans="1:15" ht="15" customHeight="1" x14ac:dyDescent="0.3">
      <c r="A4314" s="23" t="s">
        <v>9102</v>
      </c>
      <c r="B4314" s="38">
        <v>46279</v>
      </c>
      <c r="C4314" s="23" t="s">
        <v>9103</v>
      </c>
      <c r="D4314" s="23" t="s">
        <v>89</v>
      </c>
      <c r="E4314" s="23" t="s">
        <v>75</v>
      </c>
      <c r="F4314" s="23" t="s">
        <v>259</v>
      </c>
      <c r="G4314" s="23" t="s">
        <v>250</v>
      </c>
      <c r="H4314" s="39">
        <f t="shared" si="268"/>
        <v>3298</v>
      </c>
      <c r="I4314" s="23" t="str">
        <f t="shared" si="269"/>
        <v>Jaipur</v>
      </c>
      <c r="J4314" s="23">
        <f>COUNTIFS(pg_transaction_cleaned!$O:$O,A4314,pg_transaction_cleaned!$F:$F,"CAPTURE")</f>
        <v>1</v>
      </c>
      <c r="K4314" s="39">
        <f>SUMIFS(pg_transaction_cleaned!$H:$H,pg_transaction_cleaned!$O:$O,A4314,pg_transaction_cleaned!$F:$F,"CAPTURE")</f>
        <v>3298</v>
      </c>
      <c r="L4314" s="23">
        <f>COUNTIFS(pg_transaction_cleaned!$O:$O,A4314,pg_transaction_cleaned!$F:$F,"REFUND")</f>
        <v>0</v>
      </c>
      <c r="M4314" s="39">
        <f>SUMIFS(pg_transaction_cleaned!$H:$H,pg_transaction_cleaned!$O:$O,A4314,pg_transaction_cleaned!$F:$F,"REFUND")</f>
        <v>0</v>
      </c>
      <c r="N4314" s="23" t="str">
        <f t="shared" si="270"/>
        <v>OK</v>
      </c>
      <c r="O4314" s="24">
        <f t="shared" si="271"/>
        <v>0</v>
      </c>
    </row>
    <row r="4315" spans="1:15" ht="15" customHeight="1" x14ac:dyDescent="0.3">
      <c r="A4315" s="23" t="s">
        <v>9104</v>
      </c>
      <c r="B4315" s="38">
        <v>46268</v>
      </c>
      <c r="C4315" s="23" t="s">
        <v>9105</v>
      </c>
      <c r="D4315" s="23" t="s">
        <v>88</v>
      </c>
      <c r="E4315" s="23" t="s">
        <v>75</v>
      </c>
      <c r="F4315" s="23" t="s">
        <v>4950</v>
      </c>
      <c r="G4315" s="23" t="s">
        <v>250</v>
      </c>
      <c r="H4315" s="39">
        <f t="shared" si="268"/>
        <v>2499</v>
      </c>
      <c r="I4315" s="23" t="str">
        <f t="shared" si="269"/>
        <v>Lucknow</v>
      </c>
      <c r="J4315" s="23">
        <f>COUNTIFS(pg_transaction_cleaned!$O:$O,A4315,pg_transaction_cleaned!$F:$F,"CAPTURE")</f>
        <v>1</v>
      </c>
      <c r="K4315" s="39">
        <f>SUMIFS(pg_transaction_cleaned!$H:$H,pg_transaction_cleaned!$O:$O,A4315,pg_transaction_cleaned!$F:$F,"CAPTURE")</f>
        <v>2499</v>
      </c>
      <c r="L4315" s="23">
        <f>COUNTIFS(pg_transaction_cleaned!$O:$O,A4315,pg_transaction_cleaned!$F:$F,"REFUND")</f>
        <v>0</v>
      </c>
      <c r="M4315" s="39">
        <f>SUMIFS(pg_transaction_cleaned!$H:$H,pg_transaction_cleaned!$O:$O,A4315,pg_transaction_cleaned!$F:$F,"REFUND")</f>
        <v>0</v>
      </c>
      <c r="N4315" s="23" t="str">
        <f t="shared" si="270"/>
        <v>OK</v>
      </c>
      <c r="O4315" s="24">
        <f t="shared" si="271"/>
        <v>0</v>
      </c>
    </row>
    <row r="4316" spans="1:15" ht="15" customHeight="1" x14ac:dyDescent="0.3">
      <c r="A4316" s="23" t="s">
        <v>9106</v>
      </c>
      <c r="B4316" s="38">
        <v>46294</v>
      </c>
      <c r="C4316" s="23" t="s">
        <v>9107</v>
      </c>
      <c r="D4316" s="23" t="s">
        <v>91</v>
      </c>
      <c r="E4316" s="23" t="s">
        <v>77</v>
      </c>
      <c r="F4316" s="23" t="s">
        <v>357</v>
      </c>
      <c r="G4316" s="23" t="s">
        <v>250</v>
      </c>
      <c r="H4316" s="39">
        <f t="shared" si="268"/>
        <v>1598</v>
      </c>
      <c r="I4316" s="23" t="str">
        <f t="shared" si="269"/>
        <v>Pune</v>
      </c>
      <c r="J4316" s="23">
        <f>COUNTIFS(pg_transaction_cleaned!$O:$O,A4316,pg_transaction_cleaned!$F:$F,"CAPTURE")</f>
        <v>1</v>
      </c>
      <c r="K4316" s="39">
        <f>SUMIFS(pg_transaction_cleaned!$H:$H,pg_transaction_cleaned!$O:$O,A4316,pg_transaction_cleaned!$F:$F,"CAPTURE")</f>
        <v>1598</v>
      </c>
      <c r="L4316" s="23">
        <f>COUNTIFS(pg_transaction_cleaned!$O:$O,A4316,pg_transaction_cleaned!$F:$F,"REFUND")</f>
        <v>0</v>
      </c>
      <c r="M4316" s="39">
        <f>SUMIFS(pg_transaction_cleaned!$H:$H,pg_transaction_cleaned!$O:$O,A4316,pg_transaction_cleaned!$F:$F,"REFUND")</f>
        <v>0</v>
      </c>
      <c r="N4316" s="23" t="str">
        <f t="shared" si="270"/>
        <v>OK</v>
      </c>
      <c r="O4316" s="24">
        <f t="shared" si="271"/>
        <v>0</v>
      </c>
    </row>
    <row r="4317" spans="1:15" ht="15" customHeight="1" x14ac:dyDescent="0.3">
      <c r="A4317" s="23" t="s">
        <v>9108</v>
      </c>
      <c r="B4317" s="38">
        <v>46290</v>
      </c>
      <c r="C4317" s="23" t="s">
        <v>9109</v>
      </c>
      <c r="D4317" s="23" t="s">
        <v>90</v>
      </c>
      <c r="E4317" s="23" t="s">
        <v>75</v>
      </c>
      <c r="F4317" s="23" t="s">
        <v>396</v>
      </c>
      <c r="G4317" s="23" t="s">
        <v>250</v>
      </c>
      <c r="H4317" s="39">
        <f t="shared" si="268"/>
        <v>2999</v>
      </c>
      <c r="I4317" s="23" t="str">
        <f t="shared" si="269"/>
        <v>Ahmedabad</v>
      </c>
      <c r="J4317" s="23">
        <f>COUNTIFS(pg_transaction_cleaned!$O:$O,A4317,pg_transaction_cleaned!$F:$F,"CAPTURE")</f>
        <v>1</v>
      </c>
      <c r="K4317" s="39">
        <f>SUMIFS(pg_transaction_cleaned!$H:$H,pg_transaction_cleaned!$O:$O,A4317,pg_transaction_cleaned!$F:$F,"CAPTURE")</f>
        <v>2999</v>
      </c>
      <c r="L4317" s="23">
        <f>COUNTIFS(pg_transaction_cleaned!$O:$O,A4317,pg_transaction_cleaned!$F:$F,"REFUND")</f>
        <v>0</v>
      </c>
      <c r="M4317" s="39">
        <f>SUMIFS(pg_transaction_cleaned!$H:$H,pg_transaction_cleaned!$O:$O,A4317,pg_transaction_cleaned!$F:$F,"REFUND")</f>
        <v>0</v>
      </c>
      <c r="N4317" s="23" t="str">
        <f t="shared" si="270"/>
        <v>OK</v>
      </c>
      <c r="O4317" s="24">
        <f t="shared" si="271"/>
        <v>0</v>
      </c>
    </row>
    <row r="4318" spans="1:15" ht="15" customHeight="1" x14ac:dyDescent="0.3">
      <c r="A4318" s="23" t="s">
        <v>9110</v>
      </c>
      <c r="B4318" s="38">
        <v>46277</v>
      </c>
      <c r="C4318" s="23" t="s">
        <v>9111</v>
      </c>
      <c r="D4318" s="23" t="s">
        <v>95</v>
      </c>
      <c r="E4318" s="23" t="s">
        <v>75</v>
      </c>
      <c r="F4318" s="23" t="s">
        <v>297</v>
      </c>
      <c r="G4318" s="23" t="s">
        <v>250</v>
      </c>
      <c r="H4318" s="39">
        <f t="shared" si="268"/>
        <v>4999</v>
      </c>
      <c r="I4318" s="23" t="str">
        <f t="shared" si="269"/>
        <v>Bengaluru</v>
      </c>
      <c r="J4318" s="23">
        <f>COUNTIFS(pg_transaction_cleaned!$O:$O,A4318,pg_transaction_cleaned!$F:$F,"CAPTURE")</f>
        <v>1</v>
      </c>
      <c r="K4318" s="39">
        <f>SUMIFS(pg_transaction_cleaned!$H:$H,pg_transaction_cleaned!$O:$O,A4318,pg_transaction_cleaned!$F:$F,"CAPTURE")</f>
        <v>4999</v>
      </c>
      <c r="L4318" s="23">
        <f>COUNTIFS(pg_transaction_cleaned!$O:$O,A4318,pg_transaction_cleaned!$F:$F,"REFUND")</f>
        <v>0</v>
      </c>
      <c r="M4318" s="39">
        <f>SUMIFS(pg_transaction_cleaned!$H:$H,pg_transaction_cleaned!$O:$O,A4318,pg_transaction_cleaned!$F:$F,"REFUND")</f>
        <v>0</v>
      </c>
      <c r="N4318" s="23" t="str">
        <f t="shared" si="270"/>
        <v>OK</v>
      </c>
      <c r="O4318" s="24">
        <f t="shared" si="271"/>
        <v>0</v>
      </c>
    </row>
    <row r="4319" spans="1:15" ht="15" customHeight="1" x14ac:dyDescent="0.3">
      <c r="A4319" s="23" t="s">
        <v>9112</v>
      </c>
      <c r="B4319" s="38">
        <v>46291</v>
      </c>
      <c r="C4319" s="23" t="s">
        <v>9113</v>
      </c>
      <c r="D4319" s="23" t="s">
        <v>88</v>
      </c>
      <c r="E4319" s="23" t="s">
        <v>75</v>
      </c>
      <c r="F4319" s="23" t="s">
        <v>3885</v>
      </c>
      <c r="G4319" s="23" t="s">
        <v>250</v>
      </c>
      <c r="H4319" s="39">
        <f t="shared" si="268"/>
        <v>2247</v>
      </c>
      <c r="I4319" s="23" t="str">
        <f t="shared" si="269"/>
        <v>Lucknow</v>
      </c>
      <c r="J4319" s="23">
        <f>COUNTIFS(pg_transaction_cleaned!$O:$O,A4319,pg_transaction_cleaned!$F:$F,"CAPTURE")</f>
        <v>1</v>
      </c>
      <c r="K4319" s="39">
        <f>SUMIFS(pg_transaction_cleaned!$H:$H,pg_transaction_cleaned!$O:$O,A4319,pg_transaction_cleaned!$F:$F,"CAPTURE")</f>
        <v>2247</v>
      </c>
      <c r="L4319" s="23">
        <f>COUNTIFS(pg_transaction_cleaned!$O:$O,A4319,pg_transaction_cleaned!$F:$F,"REFUND")</f>
        <v>0</v>
      </c>
      <c r="M4319" s="39">
        <f>SUMIFS(pg_transaction_cleaned!$H:$H,pg_transaction_cleaned!$O:$O,A4319,pg_transaction_cleaned!$F:$F,"REFUND")</f>
        <v>0</v>
      </c>
      <c r="N4319" s="23" t="str">
        <f t="shared" si="270"/>
        <v>OK</v>
      </c>
      <c r="O4319" s="24">
        <f t="shared" si="271"/>
        <v>0</v>
      </c>
    </row>
    <row r="4320" spans="1:15" ht="15" customHeight="1" x14ac:dyDescent="0.3">
      <c r="A4320" s="23" t="s">
        <v>9114</v>
      </c>
      <c r="B4320" s="38">
        <v>46293</v>
      </c>
      <c r="C4320" s="23" t="s">
        <v>9115</v>
      </c>
      <c r="D4320" s="23" t="s">
        <v>92</v>
      </c>
      <c r="E4320" s="23" t="s">
        <v>79</v>
      </c>
      <c r="F4320" s="23" t="s">
        <v>349</v>
      </c>
      <c r="G4320" s="23" t="s">
        <v>250</v>
      </c>
      <c r="H4320" s="39">
        <f t="shared" si="268"/>
        <v>1798</v>
      </c>
      <c r="I4320" s="23" t="str">
        <f t="shared" si="269"/>
        <v>Hyderabad</v>
      </c>
      <c r="J4320" s="23">
        <f>COUNTIFS(pg_transaction_cleaned!$O:$O,A4320,pg_transaction_cleaned!$F:$F,"CAPTURE")</f>
        <v>1</v>
      </c>
      <c r="K4320" s="39">
        <f>SUMIFS(pg_transaction_cleaned!$H:$H,pg_transaction_cleaned!$O:$O,A4320,pg_transaction_cleaned!$F:$F,"CAPTURE")</f>
        <v>1798</v>
      </c>
      <c r="L4320" s="23">
        <f>COUNTIFS(pg_transaction_cleaned!$O:$O,A4320,pg_transaction_cleaned!$F:$F,"REFUND")</f>
        <v>0</v>
      </c>
      <c r="M4320" s="39">
        <f>SUMIFS(pg_transaction_cleaned!$H:$H,pg_transaction_cleaned!$O:$O,A4320,pg_transaction_cleaned!$F:$F,"REFUND")</f>
        <v>0</v>
      </c>
      <c r="N4320" s="23" t="str">
        <f t="shared" si="270"/>
        <v>OK</v>
      </c>
      <c r="O4320" s="24">
        <f t="shared" si="271"/>
        <v>0</v>
      </c>
    </row>
    <row r="4321" spans="1:15" ht="15" customHeight="1" x14ac:dyDescent="0.3">
      <c r="A4321" s="23" t="s">
        <v>9116</v>
      </c>
      <c r="B4321" s="38">
        <v>46288</v>
      </c>
      <c r="C4321" s="23" t="s">
        <v>9117</v>
      </c>
      <c r="D4321" s="23" t="s">
        <v>94</v>
      </c>
      <c r="E4321" s="23" t="s">
        <v>79</v>
      </c>
      <c r="F4321" s="23" t="s">
        <v>1505</v>
      </c>
      <c r="G4321" s="23" t="s">
        <v>250</v>
      </c>
      <c r="H4321" s="39">
        <f t="shared" si="268"/>
        <v>8298</v>
      </c>
      <c r="I4321" s="23" t="str">
        <f t="shared" si="269"/>
        <v>Chennai</v>
      </c>
      <c r="J4321" s="23">
        <f>COUNTIFS(pg_transaction_cleaned!$O:$O,A4321,pg_transaction_cleaned!$F:$F,"CAPTURE")</f>
        <v>1</v>
      </c>
      <c r="K4321" s="39">
        <f>SUMIFS(pg_transaction_cleaned!$H:$H,pg_transaction_cleaned!$O:$O,A4321,pg_transaction_cleaned!$F:$F,"CAPTURE")</f>
        <v>8298</v>
      </c>
      <c r="L4321" s="23">
        <f>COUNTIFS(pg_transaction_cleaned!$O:$O,A4321,pg_transaction_cleaned!$F:$F,"REFUND")</f>
        <v>0</v>
      </c>
      <c r="M4321" s="39">
        <f>SUMIFS(pg_transaction_cleaned!$H:$H,pg_transaction_cleaned!$O:$O,A4321,pg_transaction_cleaned!$F:$F,"REFUND")</f>
        <v>0</v>
      </c>
      <c r="N4321" s="23" t="str">
        <f t="shared" si="270"/>
        <v>OK</v>
      </c>
      <c r="O4321" s="24">
        <f t="shared" si="271"/>
        <v>0</v>
      </c>
    </row>
    <row r="4322" spans="1:15" ht="15" customHeight="1" x14ac:dyDescent="0.3">
      <c r="A4322" s="23" t="s">
        <v>9118</v>
      </c>
      <c r="B4322" s="38">
        <v>46289</v>
      </c>
      <c r="C4322" s="23" t="s">
        <v>9119</v>
      </c>
      <c r="D4322" s="23" t="s">
        <v>94</v>
      </c>
      <c r="E4322" s="23" t="s">
        <v>75</v>
      </c>
      <c r="F4322" s="23" t="s">
        <v>265</v>
      </c>
      <c r="G4322" s="23" t="s">
        <v>250</v>
      </c>
      <c r="H4322" s="39">
        <f t="shared" si="268"/>
        <v>999</v>
      </c>
      <c r="I4322" s="23" t="str">
        <f t="shared" si="269"/>
        <v>Chennai</v>
      </c>
      <c r="J4322" s="23">
        <f>COUNTIFS(pg_transaction_cleaned!$O:$O,A4322,pg_transaction_cleaned!$F:$F,"CAPTURE")</f>
        <v>1</v>
      </c>
      <c r="K4322" s="39">
        <f>SUMIFS(pg_transaction_cleaned!$H:$H,pg_transaction_cleaned!$O:$O,A4322,pg_transaction_cleaned!$F:$F,"CAPTURE")</f>
        <v>999</v>
      </c>
      <c r="L4322" s="23">
        <f>COUNTIFS(pg_transaction_cleaned!$O:$O,A4322,pg_transaction_cleaned!$F:$F,"REFUND")</f>
        <v>0</v>
      </c>
      <c r="M4322" s="39">
        <f>SUMIFS(pg_transaction_cleaned!$H:$H,pg_transaction_cleaned!$O:$O,A4322,pg_transaction_cleaned!$F:$F,"REFUND")</f>
        <v>0</v>
      </c>
      <c r="N4322" s="23" t="str">
        <f t="shared" si="270"/>
        <v>OK</v>
      </c>
      <c r="O4322" s="24">
        <f t="shared" si="271"/>
        <v>0</v>
      </c>
    </row>
    <row r="4323" spans="1:15" ht="15" customHeight="1" x14ac:dyDescent="0.3">
      <c r="A4323" s="23" t="s">
        <v>9120</v>
      </c>
      <c r="B4323" s="38">
        <v>46288</v>
      </c>
      <c r="C4323" s="23" t="s">
        <v>9121</v>
      </c>
      <c r="D4323" s="23" t="s">
        <v>89</v>
      </c>
      <c r="E4323" s="23" t="s">
        <v>79</v>
      </c>
      <c r="F4323" s="23" t="s">
        <v>3378</v>
      </c>
      <c r="G4323" s="23" t="s">
        <v>250</v>
      </c>
      <c r="H4323" s="39">
        <f t="shared" si="268"/>
        <v>15998</v>
      </c>
      <c r="I4323" s="23" t="str">
        <f t="shared" si="269"/>
        <v>Jaipur</v>
      </c>
      <c r="J4323" s="23">
        <f>COUNTIFS(pg_transaction_cleaned!$O:$O,A4323,pg_transaction_cleaned!$F:$F,"CAPTURE")</f>
        <v>1</v>
      </c>
      <c r="K4323" s="39">
        <f>SUMIFS(pg_transaction_cleaned!$H:$H,pg_transaction_cleaned!$O:$O,A4323,pg_transaction_cleaned!$F:$F,"CAPTURE")</f>
        <v>15998</v>
      </c>
      <c r="L4323" s="23">
        <f>COUNTIFS(pg_transaction_cleaned!$O:$O,A4323,pg_transaction_cleaned!$F:$F,"REFUND")</f>
        <v>0</v>
      </c>
      <c r="M4323" s="39">
        <f>SUMIFS(pg_transaction_cleaned!$H:$H,pg_transaction_cleaned!$O:$O,A4323,pg_transaction_cleaned!$F:$F,"REFUND")</f>
        <v>0</v>
      </c>
      <c r="N4323" s="23" t="str">
        <f t="shared" si="270"/>
        <v>OK</v>
      </c>
      <c r="O4323" s="24">
        <f t="shared" si="271"/>
        <v>0</v>
      </c>
    </row>
    <row r="4324" spans="1:15" ht="15" customHeight="1" x14ac:dyDescent="0.3">
      <c r="A4324" s="23" t="s">
        <v>9122</v>
      </c>
      <c r="B4324" s="38">
        <v>46290</v>
      </c>
      <c r="C4324" s="23" t="s">
        <v>9123</v>
      </c>
      <c r="D4324" s="23" t="s">
        <v>88</v>
      </c>
      <c r="E4324" s="23" t="s">
        <v>75</v>
      </c>
      <c r="F4324" s="23" t="s">
        <v>262</v>
      </c>
      <c r="G4324" s="23" t="s">
        <v>250</v>
      </c>
      <c r="H4324" s="39">
        <f t="shared" si="268"/>
        <v>499</v>
      </c>
      <c r="I4324" s="23" t="str">
        <f t="shared" si="269"/>
        <v>Lucknow</v>
      </c>
      <c r="J4324" s="23">
        <f>COUNTIFS(pg_transaction_cleaned!$O:$O,A4324,pg_transaction_cleaned!$F:$F,"CAPTURE")</f>
        <v>1</v>
      </c>
      <c r="K4324" s="39">
        <f>SUMIFS(pg_transaction_cleaned!$H:$H,pg_transaction_cleaned!$O:$O,A4324,pg_transaction_cleaned!$F:$F,"CAPTURE")</f>
        <v>499</v>
      </c>
      <c r="L4324" s="23">
        <f>COUNTIFS(pg_transaction_cleaned!$O:$O,A4324,pg_transaction_cleaned!$F:$F,"REFUND")</f>
        <v>0</v>
      </c>
      <c r="M4324" s="39">
        <f>SUMIFS(pg_transaction_cleaned!$H:$H,pg_transaction_cleaned!$O:$O,A4324,pg_transaction_cleaned!$F:$F,"REFUND")</f>
        <v>0</v>
      </c>
      <c r="N4324" s="23" t="str">
        <f t="shared" si="270"/>
        <v>OK</v>
      </c>
      <c r="O4324" s="24">
        <f t="shared" si="271"/>
        <v>0</v>
      </c>
    </row>
    <row r="4325" spans="1:15" ht="15" customHeight="1" x14ac:dyDescent="0.3">
      <c r="A4325" s="23" t="s">
        <v>9124</v>
      </c>
      <c r="B4325" s="38">
        <v>46286</v>
      </c>
      <c r="C4325" s="23" t="s">
        <v>9125</v>
      </c>
      <c r="D4325" s="23" t="s">
        <v>91</v>
      </c>
      <c r="E4325" s="23" t="s">
        <v>79</v>
      </c>
      <c r="F4325" s="23" t="s">
        <v>262</v>
      </c>
      <c r="G4325" s="23" t="s">
        <v>365</v>
      </c>
      <c r="H4325" s="39">
        <f t="shared" si="268"/>
        <v>499</v>
      </c>
      <c r="I4325" s="23" t="str">
        <f t="shared" si="269"/>
        <v>Pune</v>
      </c>
      <c r="J4325" s="23">
        <f>COUNTIFS(pg_transaction_cleaned!$O:$O,A4325,pg_transaction_cleaned!$F:$F,"CAPTURE")</f>
        <v>0</v>
      </c>
      <c r="K4325" s="39">
        <f>SUMIFS(pg_transaction_cleaned!$H:$H,pg_transaction_cleaned!$O:$O,A4325,pg_transaction_cleaned!$F:$F,"CAPTURE")</f>
        <v>0</v>
      </c>
      <c r="L4325" s="23">
        <f>COUNTIFS(pg_transaction_cleaned!$O:$O,A4325,pg_transaction_cleaned!$F:$F,"REFUND")</f>
        <v>0</v>
      </c>
      <c r="M4325" s="39">
        <f>SUMIFS(pg_transaction_cleaned!$H:$H,pg_transaction_cleaned!$O:$O,A4325,pg_transaction_cleaned!$F:$F,"REFUND")</f>
        <v>0</v>
      </c>
      <c r="N4325" s="23" t="str">
        <f t="shared" si="270"/>
        <v>OK</v>
      </c>
      <c r="O4325" s="24">
        <f t="shared" si="271"/>
        <v>0</v>
      </c>
    </row>
    <row r="4326" spans="1:15" ht="15" customHeight="1" x14ac:dyDescent="0.3">
      <c r="A4326" s="23" t="s">
        <v>9126</v>
      </c>
      <c r="B4326" s="38">
        <v>46280</v>
      </c>
      <c r="C4326" s="23" t="s">
        <v>9127</v>
      </c>
      <c r="D4326" s="23" t="s">
        <v>94</v>
      </c>
      <c r="E4326" s="23" t="s">
        <v>79</v>
      </c>
      <c r="F4326" s="23" t="s">
        <v>274</v>
      </c>
      <c r="G4326" s="23" t="s">
        <v>250</v>
      </c>
      <c r="H4326" s="39">
        <f t="shared" si="268"/>
        <v>349</v>
      </c>
      <c r="I4326" s="23" t="str">
        <f t="shared" si="269"/>
        <v>Chennai</v>
      </c>
      <c r="J4326" s="23">
        <f>COUNTIFS(pg_transaction_cleaned!$O:$O,A4326,pg_transaction_cleaned!$F:$F,"CAPTURE")</f>
        <v>1</v>
      </c>
      <c r="K4326" s="39">
        <f>SUMIFS(pg_transaction_cleaned!$H:$H,pg_transaction_cleaned!$O:$O,A4326,pg_transaction_cleaned!$F:$F,"CAPTURE")</f>
        <v>349</v>
      </c>
      <c r="L4326" s="23">
        <f>COUNTIFS(pg_transaction_cleaned!$O:$O,A4326,pg_transaction_cleaned!$F:$F,"REFUND")</f>
        <v>0</v>
      </c>
      <c r="M4326" s="39">
        <f>SUMIFS(pg_transaction_cleaned!$H:$H,pg_transaction_cleaned!$O:$O,A4326,pg_transaction_cleaned!$F:$F,"REFUND")</f>
        <v>0</v>
      </c>
      <c r="N4326" s="23" t="str">
        <f t="shared" si="270"/>
        <v>OK</v>
      </c>
      <c r="O4326" s="24">
        <f t="shared" si="271"/>
        <v>0</v>
      </c>
    </row>
    <row r="4327" spans="1:15" ht="15" customHeight="1" x14ac:dyDescent="0.3">
      <c r="A4327" s="23" t="s">
        <v>9128</v>
      </c>
      <c r="B4327" s="38">
        <v>46283</v>
      </c>
      <c r="C4327" s="23" t="s">
        <v>9129</v>
      </c>
      <c r="D4327" s="23" t="s">
        <v>90</v>
      </c>
      <c r="E4327" s="23" t="s">
        <v>77</v>
      </c>
      <c r="F4327" s="23" t="s">
        <v>396</v>
      </c>
      <c r="G4327" s="23" t="s">
        <v>250</v>
      </c>
      <c r="H4327" s="39">
        <f t="shared" si="268"/>
        <v>2999</v>
      </c>
      <c r="I4327" s="23" t="str">
        <f t="shared" si="269"/>
        <v>Ahmedabad</v>
      </c>
      <c r="J4327" s="23">
        <f>COUNTIFS(pg_transaction_cleaned!$O:$O,A4327,pg_transaction_cleaned!$F:$F,"CAPTURE")</f>
        <v>1</v>
      </c>
      <c r="K4327" s="39">
        <f>SUMIFS(pg_transaction_cleaned!$H:$H,pg_transaction_cleaned!$O:$O,A4327,pg_transaction_cleaned!$F:$F,"CAPTURE")</f>
        <v>2999</v>
      </c>
      <c r="L4327" s="23">
        <f>COUNTIFS(pg_transaction_cleaned!$O:$O,A4327,pg_transaction_cleaned!$F:$F,"REFUND")</f>
        <v>0</v>
      </c>
      <c r="M4327" s="39">
        <f>SUMIFS(pg_transaction_cleaned!$H:$H,pg_transaction_cleaned!$O:$O,A4327,pg_transaction_cleaned!$F:$F,"REFUND")</f>
        <v>0</v>
      </c>
      <c r="N4327" s="23" t="str">
        <f t="shared" si="270"/>
        <v>OK</v>
      </c>
      <c r="O4327" s="24">
        <f t="shared" si="271"/>
        <v>0</v>
      </c>
    </row>
    <row r="4328" spans="1:15" ht="15" customHeight="1" x14ac:dyDescent="0.3">
      <c r="A4328" s="23" t="s">
        <v>9130</v>
      </c>
      <c r="B4328" s="38">
        <v>46293</v>
      </c>
      <c r="C4328" s="23" t="s">
        <v>9131</v>
      </c>
      <c r="D4328" s="23" t="s">
        <v>93</v>
      </c>
      <c r="E4328" s="23" t="s">
        <v>77</v>
      </c>
      <c r="F4328" s="23" t="s">
        <v>1954</v>
      </c>
      <c r="G4328" s="23" t="s">
        <v>250</v>
      </c>
      <c r="H4328" s="39">
        <f t="shared" si="268"/>
        <v>848</v>
      </c>
      <c r="I4328" s="23" t="str">
        <f t="shared" si="269"/>
        <v>Kolkata</v>
      </c>
      <c r="J4328" s="23">
        <f>COUNTIFS(pg_transaction_cleaned!$O:$O,A4328,pg_transaction_cleaned!$F:$F,"CAPTURE")</f>
        <v>1</v>
      </c>
      <c r="K4328" s="39">
        <f>SUMIFS(pg_transaction_cleaned!$H:$H,pg_transaction_cleaned!$O:$O,A4328,pg_transaction_cleaned!$F:$F,"CAPTURE")</f>
        <v>848</v>
      </c>
      <c r="L4328" s="23">
        <f>COUNTIFS(pg_transaction_cleaned!$O:$O,A4328,pg_transaction_cleaned!$F:$F,"REFUND")</f>
        <v>0</v>
      </c>
      <c r="M4328" s="39">
        <f>SUMIFS(pg_transaction_cleaned!$H:$H,pg_transaction_cleaned!$O:$O,A4328,pg_transaction_cleaned!$F:$F,"REFUND")</f>
        <v>0</v>
      </c>
      <c r="N4328" s="23" t="str">
        <f t="shared" si="270"/>
        <v>OK</v>
      </c>
      <c r="O4328" s="24">
        <f t="shared" si="271"/>
        <v>0</v>
      </c>
    </row>
    <row r="4329" spans="1:15" ht="15" customHeight="1" x14ac:dyDescent="0.3">
      <c r="A4329" s="23" t="s">
        <v>9132</v>
      </c>
      <c r="B4329" s="38">
        <v>46291</v>
      </c>
      <c r="C4329" s="23" t="s">
        <v>9133</v>
      </c>
      <c r="D4329" s="23" t="s">
        <v>88</v>
      </c>
      <c r="E4329" s="23" t="s">
        <v>75</v>
      </c>
      <c r="F4329" s="23" t="s">
        <v>274</v>
      </c>
      <c r="G4329" s="23" t="s">
        <v>250</v>
      </c>
      <c r="H4329" s="39">
        <f t="shared" si="268"/>
        <v>349</v>
      </c>
      <c r="I4329" s="23" t="str">
        <f t="shared" si="269"/>
        <v>Lucknow</v>
      </c>
      <c r="J4329" s="23">
        <f>COUNTIFS(pg_transaction_cleaned!$O:$O,A4329,pg_transaction_cleaned!$F:$F,"CAPTURE")</f>
        <v>1</v>
      </c>
      <c r="K4329" s="39">
        <f>SUMIFS(pg_transaction_cleaned!$H:$H,pg_transaction_cleaned!$O:$O,A4329,pg_transaction_cleaned!$F:$F,"CAPTURE")</f>
        <v>349</v>
      </c>
      <c r="L4329" s="23">
        <f>COUNTIFS(pg_transaction_cleaned!$O:$O,A4329,pg_transaction_cleaned!$F:$F,"REFUND")</f>
        <v>0</v>
      </c>
      <c r="M4329" s="39">
        <f>SUMIFS(pg_transaction_cleaned!$H:$H,pg_transaction_cleaned!$O:$O,A4329,pg_transaction_cleaned!$F:$F,"REFUND")</f>
        <v>0</v>
      </c>
      <c r="N4329" s="23" t="str">
        <f t="shared" si="270"/>
        <v>OK</v>
      </c>
      <c r="O4329" s="24">
        <f t="shared" si="271"/>
        <v>0</v>
      </c>
    </row>
    <row r="4330" spans="1:15" ht="15" customHeight="1" x14ac:dyDescent="0.3">
      <c r="A4330" s="23" t="s">
        <v>9134</v>
      </c>
      <c r="B4330" s="38">
        <v>46274</v>
      </c>
      <c r="C4330" s="23" t="s">
        <v>9135</v>
      </c>
      <c r="D4330" s="23" t="s">
        <v>92</v>
      </c>
      <c r="E4330" s="23" t="s">
        <v>75</v>
      </c>
      <c r="F4330" s="23" t="s">
        <v>760</v>
      </c>
      <c r="G4330" s="23" t="s">
        <v>250</v>
      </c>
      <c r="H4330" s="39">
        <f t="shared" si="268"/>
        <v>799</v>
      </c>
      <c r="I4330" s="23" t="str">
        <f t="shared" si="269"/>
        <v>Hyderabad</v>
      </c>
      <c r="J4330" s="23">
        <f>COUNTIFS(pg_transaction_cleaned!$O:$O,A4330,pg_transaction_cleaned!$F:$F,"CAPTURE")</f>
        <v>1</v>
      </c>
      <c r="K4330" s="39">
        <f>SUMIFS(pg_transaction_cleaned!$H:$H,pg_transaction_cleaned!$O:$O,A4330,pg_transaction_cleaned!$F:$F,"CAPTURE")</f>
        <v>799</v>
      </c>
      <c r="L4330" s="23">
        <f>COUNTIFS(pg_transaction_cleaned!$O:$O,A4330,pg_transaction_cleaned!$F:$F,"REFUND")</f>
        <v>0</v>
      </c>
      <c r="M4330" s="39">
        <f>SUMIFS(pg_transaction_cleaned!$H:$H,pg_transaction_cleaned!$O:$O,A4330,pg_transaction_cleaned!$F:$F,"REFUND")</f>
        <v>0</v>
      </c>
      <c r="N4330" s="23" t="str">
        <f t="shared" si="270"/>
        <v>OK</v>
      </c>
      <c r="O4330" s="24">
        <f t="shared" si="271"/>
        <v>0</v>
      </c>
    </row>
    <row r="4331" spans="1:15" ht="15" customHeight="1" x14ac:dyDescent="0.3">
      <c r="A4331" s="23" t="s">
        <v>9136</v>
      </c>
      <c r="B4331" s="38">
        <v>46276</v>
      </c>
      <c r="C4331" s="23" t="s">
        <v>9137</v>
      </c>
      <c r="D4331" s="23" t="s">
        <v>88</v>
      </c>
      <c r="E4331" s="23" t="s">
        <v>75</v>
      </c>
      <c r="F4331" s="23" t="s">
        <v>274</v>
      </c>
      <c r="G4331" s="23" t="s">
        <v>250</v>
      </c>
      <c r="H4331" s="39">
        <f t="shared" si="268"/>
        <v>349</v>
      </c>
      <c r="I4331" s="23" t="str">
        <f t="shared" si="269"/>
        <v>Lucknow</v>
      </c>
      <c r="J4331" s="23">
        <f>COUNTIFS(pg_transaction_cleaned!$O:$O,A4331,pg_transaction_cleaned!$F:$F,"CAPTURE")</f>
        <v>1</v>
      </c>
      <c r="K4331" s="39">
        <f>SUMIFS(pg_transaction_cleaned!$H:$H,pg_transaction_cleaned!$O:$O,A4331,pg_transaction_cleaned!$F:$F,"CAPTURE")</f>
        <v>349</v>
      </c>
      <c r="L4331" s="23">
        <f>COUNTIFS(pg_transaction_cleaned!$O:$O,A4331,pg_transaction_cleaned!$F:$F,"REFUND")</f>
        <v>0</v>
      </c>
      <c r="M4331" s="39">
        <f>SUMIFS(pg_transaction_cleaned!$H:$H,pg_transaction_cleaned!$O:$O,A4331,pg_transaction_cleaned!$F:$F,"REFUND")</f>
        <v>0</v>
      </c>
      <c r="N4331" s="23" t="str">
        <f t="shared" si="270"/>
        <v>OK</v>
      </c>
      <c r="O4331" s="24">
        <f t="shared" si="271"/>
        <v>0</v>
      </c>
    </row>
    <row r="4332" spans="1:15" ht="15" customHeight="1" x14ac:dyDescent="0.3">
      <c r="A4332" s="23" t="s">
        <v>9138</v>
      </c>
      <c r="B4332" s="38">
        <v>46273</v>
      </c>
      <c r="C4332" s="23" t="s">
        <v>9139</v>
      </c>
      <c r="D4332" s="23" t="s">
        <v>94</v>
      </c>
      <c r="E4332" s="23" t="s">
        <v>79</v>
      </c>
      <c r="F4332" s="23" t="s">
        <v>297</v>
      </c>
      <c r="G4332" s="23" t="s">
        <v>250</v>
      </c>
      <c r="H4332" s="39">
        <f t="shared" si="268"/>
        <v>4999</v>
      </c>
      <c r="I4332" s="23" t="str">
        <f t="shared" si="269"/>
        <v>Chennai</v>
      </c>
      <c r="J4332" s="23">
        <f>COUNTIFS(pg_transaction_cleaned!$O:$O,A4332,pg_transaction_cleaned!$F:$F,"CAPTURE")</f>
        <v>1</v>
      </c>
      <c r="K4332" s="39">
        <f>SUMIFS(pg_transaction_cleaned!$H:$H,pg_transaction_cleaned!$O:$O,A4332,pg_transaction_cleaned!$F:$F,"CAPTURE")</f>
        <v>4999</v>
      </c>
      <c r="L4332" s="23">
        <f>COUNTIFS(pg_transaction_cleaned!$O:$O,A4332,pg_transaction_cleaned!$F:$F,"REFUND")</f>
        <v>0</v>
      </c>
      <c r="M4332" s="39">
        <f>SUMIFS(pg_transaction_cleaned!$H:$H,pg_transaction_cleaned!$O:$O,A4332,pg_transaction_cleaned!$F:$F,"REFUND")</f>
        <v>0</v>
      </c>
      <c r="N4332" s="23" t="str">
        <f t="shared" si="270"/>
        <v>OK</v>
      </c>
      <c r="O4332" s="24">
        <f t="shared" si="271"/>
        <v>0</v>
      </c>
    </row>
    <row r="4333" spans="1:15" ht="15" customHeight="1" x14ac:dyDescent="0.3">
      <c r="A4333" s="23" t="s">
        <v>9140</v>
      </c>
      <c r="B4333" s="38">
        <v>46290</v>
      </c>
      <c r="C4333" s="23" t="s">
        <v>9141</v>
      </c>
      <c r="D4333" s="23" t="s">
        <v>94</v>
      </c>
      <c r="E4333" s="23" t="s">
        <v>79</v>
      </c>
      <c r="F4333" s="23" t="s">
        <v>6601</v>
      </c>
      <c r="G4333" s="23" t="s">
        <v>250</v>
      </c>
      <c r="H4333" s="39">
        <f t="shared" si="268"/>
        <v>3298</v>
      </c>
      <c r="I4333" s="23" t="str">
        <f t="shared" si="269"/>
        <v>Chennai</v>
      </c>
      <c r="J4333" s="23">
        <f>COUNTIFS(pg_transaction_cleaned!$O:$O,A4333,pg_transaction_cleaned!$F:$F,"CAPTURE")</f>
        <v>1</v>
      </c>
      <c r="K4333" s="39">
        <f>SUMIFS(pg_transaction_cleaned!$H:$H,pg_transaction_cleaned!$O:$O,A4333,pg_transaction_cleaned!$F:$F,"CAPTURE")</f>
        <v>3298</v>
      </c>
      <c r="L4333" s="23">
        <f>COUNTIFS(pg_transaction_cleaned!$O:$O,A4333,pg_transaction_cleaned!$F:$F,"REFUND")</f>
        <v>0</v>
      </c>
      <c r="M4333" s="39">
        <f>SUMIFS(pg_transaction_cleaned!$H:$H,pg_transaction_cleaned!$O:$O,A4333,pg_transaction_cleaned!$F:$F,"REFUND")</f>
        <v>0</v>
      </c>
      <c r="N4333" s="23" t="str">
        <f t="shared" si="270"/>
        <v>OK</v>
      </c>
      <c r="O4333" s="24">
        <f t="shared" si="271"/>
        <v>0</v>
      </c>
    </row>
    <row r="4334" spans="1:15" ht="15" customHeight="1" x14ac:dyDescent="0.3">
      <c r="A4334" s="23" t="s">
        <v>9142</v>
      </c>
      <c r="B4334" s="38">
        <v>46294</v>
      </c>
      <c r="C4334" s="23" t="s">
        <v>9143</v>
      </c>
      <c r="D4334" s="23" t="s">
        <v>89</v>
      </c>
      <c r="E4334" s="23" t="s">
        <v>75</v>
      </c>
      <c r="F4334" s="23" t="s">
        <v>259</v>
      </c>
      <c r="G4334" s="23" t="s">
        <v>250</v>
      </c>
      <c r="H4334" s="39">
        <f t="shared" si="268"/>
        <v>3298</v>
      </c>
      <c r="I4334" s="23" t="str">
        <f t="shared" si="269"/>
        <v>Jaipur</v>
      </c>
      <c r="J4334" s="23">
        <f>COUNTIFS(pg_transaction_cleaned!$O:$O,A4334,pg_transaction_cleaned!$F:$F,"CAPTURE")</f>
        <v>1</v>
      </c>
      <c r="K4334" s="39">
        <f>SUMIFS(pg_transaction_cleaned!$H:$H,pg_transaction_cleaned!$O:$O,A4334,pg_transaction_cleaned!$F:$F,"CAPTURE")</f>
        <v>3298</v>
      </c>
      <c r="L4334" s="23">
        <f>COUNTIFS(pg_transaction_cleaned!$O:$O,A4334,pg_transaction_cleaned!$F:$F,"REFUND")</f>
        <v>0</v>
      </c>
      <c r="M4334" s="39">
        <f>SUMIFS(pg_transaction_cleaned!$H:$H,pg_transaction_cleaned!$O:$O,A4334,pg_transaction_cleaned!$F:$F,"REFUND")</f>
        <v>0</v>
      </c>
      <c r="N4334" s="23" t="str">
        <f t="shared" si="270"/>
        <v>OK</v>
      </c>
      <c r="O4334" s="24">
        <f t="shared" si="271"/>
        <v>0</v>
      </c>
    </row>
    <row r="4335" spans="1:15" ht="15" customHeight="1" x14ac:dyDescent="0.3">
      <c r="A4335" s="23" t="s">
        <v>9144</v>
      </c>
      <c r="B4335" s="38">
        <v>46289</v>
      </c>
      <c r="C4335" s="23" t="s">
        <v>9145</v>
      </c>
      <c r="D4335" s="23" t="s">
        <v>95</v>
      </c>
      <c r="E4335" s="23" t="s">
        <v>75</v>
      </c>
      <c r="F4335" s="23" t="s">
        <v>324</v>
      </c>
      <c r="G4335" s="23" t="s">
        <v>250</v>
      </c>
      <c r="H4335" s="39">
        <f t="shared" si="268"/>
        <v>10498</v>
      </c>
      <c r="I4335" s="23" t="str">
        <f t="shared" si="269"/>
        <v>Bengaluru</v>
      </c>
      <c r="J4335" s="23">
        <f>COUNTIFS(pg_transaction_cleaned!$O:$O,A4335,pg_transaction_cleaned!$F:$F,"CAPTURE")</f>
        <v>1</v>
      </c>
      <c r="K4335" s="39">
        <f>SUMIFS(pg_transaction_cleaned!$H:$H,pg_transaction_cleaned!$O:$O,A4335,pg_transaction_cleaned!$F:$F,"CAPTURE")</f>
        <v>10498</v>
      </c>
      <c r="L4335" s="23">
        <f>COUNTIFS(pg_transaction_cleaned!$O:$O,A4335,pg_transaction_cleaned!$F:$F,"REFUND")</f>
        <v>0</v>
      </c>
      <c r="M4335" s="39">
        <f>SUMIFS(pg_transaction_cleaned!$H:$H,pg_transaction_cleaned!$O:$O,A4335,pg_transaction_cleaned!$F:$F,"REFUND")</f>
        <v>0</v>
      </c>
      <c r="N4335" s="23" t="str">
        <f t="shared" si="270"/>
        <v>OK</v>
      </c>
      <c r="O4335" s="24">
        <f t="shared" si="271"/>
        <v>0</v>
      </c>
    </row>
    <row r="4336" spans="1:15" ht="15" customHeight="1" x14ac:dyDescent="0.3">
      <c r="A4336" s="23" t="s">
        <v>9146</v>
      </c>
      <c r="B4336" s="38">
        <v>46276</v>
      </c>
      <c r="C4336" s="23" t="s">
        <v>9147</v>
      </c>
      <c r="D4336" s="23" t="s">
        <v>95</v>
      </c>
      <c r="E4336" s="23" t="s">
        <v>75</v>
      </c>
      <c r="F4336" s="23" t="s">
        <v>9148</v>
      </c>
      <c r="G4336" s="23" t="s">
        <v>250</v>
      </c>
      <c r="H4336" s="39">
        <f t="shared" si="268"/>
        <v>6647</v>
      </c>
      <c r="I4336" s="23" t="str">
        <f t="shared" si="269"/>
        <v>Bengaluru</v>
      </c>
      <c r="J4336" s="23">
        <f>COUNTIFS(pg_transaction_cleaned!$O:$O,A4336,pg_transaction_cleaned!$F:$F,"CAPTURE")</f>
        <v>1</v>
      </c>
      <c r="K4336" s="39">
        <f>SUMIFS(pg_transaction_cleaned!$H:$H,pg_transaction_cleaned!$O:$O,A4336,pg_transaction_cleaned!$F:$F,"CAPTURE")</f>
        <v>6647</v>
      </c>
      <c r="L4336" s="23">
        <f>COUNTIFS(pg_transaction_cleaned!$O:$O,A4336,pg_transaction_cleaned!$F:$F,"REFUND")</f>
        <v>0</v>
      </c>
      <c r="M4336" s="39">
        <f>SUMIFS(pg_transaction_cleaned!$H:$H,pg_transaction_cleaned!$O:$O,A4336,pg_transaction_cleaned!$F:$F,"REFUND")</f>
        <v>0</v>
      </c>
      <c r="N4336" s="23" t="str">
        <f t="shared" si="270"/>
        <v>OK</v>
      </c>
      <c r="O4336" s="24">
        <f t="shared" si="271"/>
        <v>0</v>
      </c>
    </row>
    <row r="4337" spans="1:15" ht="15" customHeight="1" x14ac:dyDescent="0.3">
      <c r="A4337" s="23" t="s">
        <v>9149</v>
      </c>
      <c r="B4337" s="38">
        <v>46285</v>
      </c>
      <c r="C4337" s="23" t="s">
        <v>9150</v>
      </c>
      <c r="D4337" s="23" t="s">
        <v>91</v>
      </c>
      <c r="E4337" s="23" t="s">
        <v>75</v>
      </c>
      <c r="F4337" s="23" t="s">
        <v>950</v>
      </c>
      <c r="G4337" s="23" t="s">
        <v>250</v>
      </c>
      <c r="H4337" s="39">
        <f t="shared" si="268"/>
        <v>1898</v>
      </c>
      <c r="I4337" s="23" t="str">
        <f t="shared" si="269"/>
        <v>Pune</v>
      </c>
      <c r="J4337" s="23">
        <f>COUNTIFS(pg_transaction_cleaned!$O:$O,A4337,pg_transaction_cleaned!$F:$F,"CAPTURE")</f>
        <v>1</v>
      </c>
      <c r="K4337" s="39">
        <f>SUMIFS(pg_transaction_cleaned!$H:$H,pg_transaction_cleaned!$O:$O,A4337,pg_transaction_cleaned!$F:$F,"CAPTURE")</f>
        <v>1898</v>
      </c>
      <c r="L4337" s="23">
        <f>COUNTIFS(pg_transaction_cleaned!$O:$O,A4337,pg_transaction_cleaned!$F:$F,"REFUND")</f>
        <v>0</v>
      </c>
      <c r="M4337" s="39">
        <f>SUMIFS(pg_transaction_cleaned!$H:$H,pg_transaction_cleaned!$O:$O,A4337,pg_transaction_cleaned!$F:$F,"REFUND")</f>
        <v>0</v>
      </c>
      <c r="N4337" s="23" t="str">
        <f t="shared" si="270"/>
        <v>OK</v>
      </c>
      <c r="O4337" s="24">
        <f t="shared" si="271"/>
        <v>0</v>
      </c>
    </row>
    <row r="4338" spans="1:15" ht="15" customHeight="1" x14ac:dyDescent="0.3">
      <c r="A4338" s="23" t="s">
        <v>9151</v>
      </c>
      <c r="B4338" s="38">
        <v>46281</v>
      </c>
      <c r="C4338" s="23" t="s">
        <v>9152</v>
      </c>
      <c r="D4338" s="23" t="s">
        <v>92</v>
      </c>
      <c r="E4338" s="23" t="s">
        <v>79</v>
      </c>
      <c r="F4338" s="23" t="s">
        <v>1072</v>
      </c>
      <c r="G4338" s="23" t="s">
        <v>301</v>
      </c>
      <c r="H4338" s="39">
        <f t="shared" si="268"/>
        <v>4897</v>
      </c>
      <c r="I4338" s="23" t="str">
        <f t="shared" si="269"/>
        <v>Hyderabad</v>
      </c>
      <c r="J4338" s="23">
        <f>COUNTIFS(pg_transaction_cleaned!$O:$O,A4338,pg_transaction_cleaned!$F:$F,"CAPTURE")</f>
        <v>1</v>
      </c>
      <c r="K4338" s="39">
        <f>SUMIFS(pg_transaction_cleaned!$H:$H,pg_transaction_cleaned!$O:$O,A4338,pg_transaction_cleaned!$F:$F,"CAPTURE")</f>
        <v>4897</v>
      </c>
      <c r="L4338" s="23">
        <f>COUNTIFS(pg_transaction_cleaned!$O:$O,A4338,pg_transaction_cleaned!$F:$F,"REFUND")</f>
        <v>1</v>
      </c>
      <c r="M4338" s="39">
        <f>SUMIFS(pg_transaction_cleaned!$H:$H,pg_transaction_cleaned!$O:$O,A4338,pg_transaction_cleaned!$F:$F,"REFUND")</f>
        <v>4897</v>
      </c>
      <c r="N4338" s="23" t="str">
        <f t="shared" si="270"/>
        <v>OK</v>
      </c>
      <c r="O4338" s="24">
        <f t="shared" si="271"/>
        <v>0</v>
      </c>
    </row>
    <row r="4339" spans="1:15" ht="15" customHeight="1" x14ac:dyDescent="0.3">
      <c r="A4339" s="23" t="s">
        <v>9153</v>
      </c>
      <c r="B4339" s="38">
        <v>46270</v>
      </c>
      <c r="C4339" s="23" t="s">
        <v>9154</v>
      </c>
      <c r="D4339" s="23" t="s">
        <v>88</v>
      </c>
      <c r="E4339" s="23" t="s">
        <v>77</v>
      </c>
      <c r="F4339" s="23" t="s">
        <v>3874</v>
      </c>
      <c r="G4339" s="23" t="s">
        <v>250</v>
      </c>
      <c r="H4339" s="39">
        <f t="shared" si="268"/>
        <v>3997</v>
      </c>
      <c r="I4339" s="23" t="str">
        <f t="shared" si="269"/>
        <v>Lucknow</v>
      </c>
      <c r="J4339" s="23">
        <f>COUNTIFS(pg_transaction_cleaned!$O:$O,A4339,pg_transaction_cleaned!$F:$F,"CAPTURE")</f>
        <v>1</v>
      </c>
      <c r="K4339" s="39">
        <f>SUMIFS(pg_transaction_cleaned!$H:$H,pg_transaction_cleaned!$O:$O,A4339,pg_transaction_cleaned!$F:$F,"CAPTURE")</f>
        <v>3997</v>
      </c>
      <c r="L4339" s="23">
        <f>COUNTIFS(pg_transaction_cleaned!$O:$O,A4339,pg_transaction_cleaned!$F:$F,"REFUND")</f>
        <v>0</v>
      </c>
      <c r="M4339" s="39">
        <f>SUMIFS(pg_transaction_cleaned!$H:$H,pg_transaction_cleaned!$O:$O,A4339,pg_transaction_cleaned!$F:$F,"REFUND")</f>
        <v>0</v>
      </c>
      <c r="N4339" s="23" t="str">
        <f t="shared" si="270"/>
        <v>OK</v>
      </c>
      <c r="O4339" s="24">
        <f t="shared" si="271"/>
        <v>0</v>
      </c>
    </row>
    <row r="4340" spans="1:15" ht="15" customHeight="1" x14ac:dyDescent="0.3">
      <c r="A4340" s="23" t="s">
        <v>9155</v>
      </c>
      <c r="B4340" s="38">
        <v>46282</v>
      </c>
      <c r="C4340" s="23" t="s">
        <v>9156</v>
      </c>
      <c r="D4340" s="23" t="s">
        <v>86</v>
      </c>
      <c r="E4340" s="23" t="s">
        <v>79</v>
      </c>
      <c r="F4340" s="23" t="s">
        <v>385</v>
      </c>
      <c r="G4340" s="23" t="s">
        <v>250</v>
      </c>
      <c r="H4340" s="39">
        <f t="shared" si="268"/>
        <v>10597</v>
      </c>
      <c r="I4340" s="23" t="str">
        <f t="shared" si="269"/>
        <v>Delhi</v>
      </c>
      <c r="J4340" s="23">
        <f>COUNTIFS(pg_transaction_cleaned!$O:$O,A4340,pg_transaction_cleaned!$F:$F,"CAPTURE")</f>
        <v>1</v>
      </c>
      <c r="K4340" s="39">
        <f>SUMIFS(pg_transaction_cleaned!$H:$H,pg_transaction_cleaned!$O:$O,A4340,pg_transaction_cleaned!$F:$F,"CAPTURE")</f>
        <v>10597</v>
      </c>
      <c r="L4340" s="23">
        <f>COUNTIFS(pg_transaction_cleaned!$O:$O,A4340,pg_transaction_cleaned!$F:$F,"REFUND")</f>
        <v>0</v>
      </c>
      <c r="M4340" s="39">
        <f>SUMIFS(pg_transaction_cleaned!$H:$H,pg_transaction_cleaned!$O:$O,A4340,pg_transaction_cleaned!$F:$F,"REFUND")</f>
        <v>0</v>
      </c>
      <c r="N4340" s="23" t="str">
        <f t="shared" si="270"/>
        <v>OK</v>
      </c>
      <c r="O4340" s="24">
        <f t="shared" si="271"/>
        <v>0</v>
      </c>
    </row>
    <row r="4341" spans="1:15" ht="15" customHeight="1" x14ac:dyDescent="0.3">
      <c r="A4341" s="23" t="s">
        <v>9157</v>
      </c>
      <c r="B4341" s="38">
        <v>46289</v>
      </c>
      <c r="C4341" s="23" t="s">
        <v>9158</v>
      </c>
      <c r="D4341" s="23" t="s">
        <v>89</v>
      </c>
      <c r="E4341" s="23" t="s">
        <v>77</v>
      </c>
      <c r="F4341" s="23" t="s">
        <v>268</v>
      </c>
      <c r="G4341" s="23" t="s">
        <v>250</v>
      </c>
      <c r="H4341" s="39">
        <f t="shared" si="268"/>
        <v>1299</v>
      </c>
      <c r="I4341" s="23" t="str">
        <f t="shared" si="269"/>
        <v>Jaipur</v>
      </c>
      <c r="J4341" s="23">
        <f>COUNTIFS(pg_transaction_cleaned!$O:$O,A4341,pg_transaction_cleaned!$F:$F,"CAPTURE")</f>
        <v>1</v>
      </c>
      <c r="K4341" s="39">
        <f>SUMIFS(pg_transaction_cleaned!$H:$H,pg_transaction_cleaned!$O:$O,A4341,pg_transaction_cleaned!$F:$F,"CAPTURE")</f>
        <v>1299</v>
      </c>
      <c r="L4341" s="23">
        <f>COUNTIFS(pg_transaction_cleaned!$O:$O,A4341,pg_transaction_cleaned!$F:$F,"REFUND")</f>
        <v>0</v>
      </c>
      <c r="M4341" s="39">
        <f>SUMIFS(pg_transaction_cleaned!$H:$H,pg_transaction_cleaned!$O:$O,A4341,pg_transaction_cleaned!$F:$F,"REFUND")</f>
        <v>0</v>
      </c>
      <c r="N4341" s="23" t="str">
        <f t="shared" si="270"/>
        <v>OK</v>
      </c>
      <c r="O4341" s="24">
        <f t="shared" si="271"/>
        <v>0</v>
      </c>
    </row>
    <row r="4342" spans="1:15" ht="15" customHeight="1" x14ac:dyDescent="0.3">
      <c r="A4342" s="23" t="s">
        <v>9159</v>
      </c>
      <c r="B4342" s="38">
        <v>46269</v>
      </c>
      <c r="C4342" s="23" t="s">
        <v>9160</v>
      </c>
      <c r="D4342" s="23" t="s">
        <v>92</v>
      </c>
      <c r="E4342" s="23" t="s">
        <v>75</v>
      </c>
      <c r="F4342" s="23" t="s">
        <v>1054</v>
      </c>
      <c r="G4342" s="23" t="s">
        <v>250</v>
      </c>
      <c r="H4342" s="39">
        <f t="shared" si="268"/>
        <v>6597</v>
      </c>
      <c r="I4342" s="23" t="str">
        <f t="shared" si="269"/>
        <v>Hyderabad</v>
      </c>
      <c r="J4342" s="23">
        <f>COUNTIFS(pg_transaction_cleaned!$O:$O,A4342,pg_transaction_cleaned!$F:$F,"CAPTURE")</f>
        <v>1</v>
      </c>
      <c r="K4342" s="39">
        <f>SUMIFS(pg_transaction_cleaned!$H:$H,pg_transaction_cleaned!$O:$O,A4342,pg_transaction_cleaned!$F:$F,"CAPTURE")</f>
        <v>6597</v>
      </c>
      <c r="L4342" s="23">
        <f>COUNTIFS(pg_transaction_cleaned!$O:$O,A4342,pg_transaction_cleaned!$F:$F,"REFUND")</f>
        <v>0</v>
      </c>
      <c r="M4342" s="39">
        <f>SUMIFS(pg_transaction_cleaned!$H:$H,pg_transaction_cleaned!$O:$O,A4342,pg_transaction_cleaned!$F:$F,"REFUND")</f>
        <v>0</v>
      </c>
      <c r="N4342" s="23" t="str">
        <f t="shared" si="270"/>
        <v>OK</v>
      </c>
      <c r="O4342" s="24">
        <f t="shared" si="271"/>
        <v>0</v>
      </c>
    </row>
    <row r="4343" spans="1:15" ht="15" customHeight="1" x14ac:dyDescent="0.3">
      <c r="A4343" s="23" t="s">
        <v>9161</v>
      </c>
      <c r="B4343" s="38">
        <v>46270</v>
      </c>
      <c r="C4343" s="23" t="s">
        <v>9162</v>
      </c>
      <c r="D4343" s="23" t="s">
        <v>87</v>
      </c>
      <c r="E4343" s="23" t="s">
        <v>75</v>
      </c>
      <c r="F4343" s="23" t="s">
        <v>1123</v>
      </c>
      <c r="G4343" s="23" t="s">
        <v>250</v>
      </c>
      <c r="H4343" s="39">
        <f t="shared" si="268"/>
        <v>3797</v>
      </c>
      <c r="I4343" s="23" t="str">
        <f t="shared" si="269"/>
        <v>Mumbai</v>
      </c>
      <c r="J4343" s="23">
        <f>COUNTIFS(pg_transaction_cleaned!$O:$O,A4343,pg_transaction_cleaned!$F:$F,"CAPTURE")</f>
        <v>1</v>
      </c>
      <c r="K4343" s="39">
        <f>SUMIFS(pg_transaction_cleaned!$H:$H,pg_transaction_cleaned!$O:$O,A4343,pg_transaction_cleaned!$F:$F,"CAPTURE")</f>
        <v>3797</v>
      </c>
      <c r="L4343" s="23">
        <f>COUNTIFS(pg_transaction_cleaned!$O:$O,A4343,pg_transaction_cleaned!$F:$F,"REFUND")</f>
        <v>0</v>
      </c>
      <c r="M4343" s="39">
        <f>SUMIFS(pg_transaction_cleaned!$H:$H,pg_transaction_cleaned!$O:$O,A4343,pg_transaction_cleaned!$F:$F,"REFUND")</f>
        <v>0</v>
      </c>
      <c r="N4343" s="23" t="str">
        <f t="shared" si="270"/>
        <v>OK</v>
      </c>
      <c r="O4343" s="24">
        <f t="shared" si="271"/>
        <v>0</v>
      </c>
    </row>
    <row r="4344" spans="1:15" ht="15" customHeight="1" x14ac:dyDescent="0.3">
      <c r="A4344" s="23" t="s">
        <v>9163</v>
      </c>
      <c r="B4344" s="38">
        <v>46288</v>
      </c>
      <c r="C4344" s="23" t="s">
        <v>9164</v>
      </c>
      <c r="D4344" s="23" t="s">
        <v>91</v>
      </c>
      <c r="E4344" s="23" t="s">
        <v>79</v>
      </c>
      <c r="F4344" s="23" t="s">
        <v>880</v>
      </c>
      <c r="G4344" s="23" t="s">
        <v>250</v>
      </c>
      <c r="H4344" s="39">
        <f t="shared" si="268"/>
        <v>2298</v>
      </c>
      <c r="I4344" s="23" t="str">
        <f t="shared" si="269"/>
        <v>Pune</v>
      </c>
      <c r="J4344" s="23">
        <f>COUNTIFS(pg_transaction_cleaned!$O:$O,A4344,pg_transaction_cleaned!$F:$F,"CAPTURE")</f>
        <v>1</v>
      </c>
      <c r="K4344" s="39">
        <f>SUMIFS(pg_transaction_cleaned!$H:$H,pg_transaction_cleaned!$O:$O,A4344,pg_transaction_cleaned!$F:$F,"CAPTURE")</f>
        <v>2298</v>
      </c>
      <c r="L4344" s="23">
        <f>COUNTIFS(pg_transaction_cleaned!$O:$O,A4344,pg_transaction_cleaned!$F:$F,"REFUND")</f>
        <v>0</v>
      </c>
      <c r="M4344" s="39">
        <f>SUMIFS(pg_transaction_cleaned!$H:$H,pg_transaction_cleaned!$O:$O,A4344,pg_transaction_cleaned!$F:$F,"REFUND")</f>
        <v>0</v>
      </c>
      <c r="N4344" s="23" t="str">
        <f t="shared" si="270"/>
        <v>OK</v>
      </c>
      <c r="O4344" s="24">
        <f t="shared" si="271"/>
        <v>0</v>
      </c>
    </row>
    <row r="4345" spans="1:15" ht="15" customHeight="1" x14ac:dyDescent="0.3">
      <c r="A4345" s="23" t="s">
        <v>9165</v>
      </c>
      <c r="B4345" s="38">
        <v>46287</v>
      </c>
      <c r="C4345" s="23" t="s">
        <v>9166</v>
      </c>
      <c r="D4345" s="23" t="s">
        <v>87</v>
      </c>
      <c r="E4345" s="23" t="s">
        <v>75</v>
      </c>
      <c r="F4345" s="23" t="s">
        <v>1329</v>
      </c>
      <c r="G4345" s="23" t="s">
        <v>250</v>
      </c>
      <c r="H4345" s="39">
        <f t="shared" si="268"/>
        <v>6097</v>
      </c>
      <c r="I4345" s="23" t="str">
        <f t="shared" si="269"/>
        <v>Mumbai</v>
      </c>
      <c r="J4345" s="23">
        <f>COUNTIFS(pg_transaction_cleaned!$O:$O,A4345,pg_transaction_cleaned!$F:$F,"CAPTURE")</f>
        <v>1</v>
      </c>
      <c r="K4345" s="39">
        <f>SUMIFS(pg_transaction_cleaned!$H:$H,pg_transaction_cleaned!$O:$O,A4345,pg_transaction_cleaned!$F:$F,"CAPTURE")</f>
        <v>6097</v>
      </c>
      <c r="L4345" s="23">
        <f>COUNTIFS(pg_transaction_cleaned!$O:$O,A4345,pg_transaction_cleaned!$F:$F,"REFUND")</f>
        <v>0</v>
      </c>
      <c r="M4345" s="39">
        <f>SUMIFS(pg_transaction_cleaned!$H:$H,pg_transaction_cleaned!$O:$O,A4345,pg_transaction_cleaned!$F:$F,"REFUND")</f>
        <v>0</v>
      </c>
      <c r="N4345" s="23" t="str">
        <f t="shared" si="270"/>
        <v>OK</v>
      </c>
      <c r="O4345" s="24">
        <f t="shared" si="271"/>
        <v>0</v>
      </c>
    </row>
    <row r="4346" spans="1:15" ht="15" customHeight="1" x14ac:dyDescent="0.3">
      <c r="A4346" s="23" t="s">
        <v>9167</v>
      </c>
      <c r="B4346" s="38">
        <v>46285</v>
      </c>
      <c r="C4346" s="23" t="s">
        <v>9168</v>
      </c>
      <c r="D4346" s="23" t="s">
        <v>89</v>
      </c>
      <c r="E4346" s="23" t="s">
        <v>75</v>
      </c>
      <c r="F4346" s="23" t="s">
        <v>1769</v>
      </c>
      <c r="G4346" s="23" t="s">
        <v>250</v>
      </c>
      <c r="H4346" s="39">
        <f t="shared" si="268"/>
        <v>1148</v>
      </c>
      <c r="I4346" s="23" t="str">
        <f t="shared" si="269"/>
        <v>Jaipur</v>
      </c>
      <c r="J4346" s="23">
        <f>COUNTIFS(pg_transaction_cleaned!$O:$O,A4346,pg_transaction_cleaned!$F:$F,"CAPTURE")</f>
        <v>1</v>
      </c>
      <c r="K4346" s="39">
        <f>SUMIFS(pg_transaction_cleaned!$H:$H,pg_transaction_cleaned!$O:$O,A4346,pg_transaction_cleaned!$F:$F,"CAPTURE")</f>
        <v>1148</v>
      </c>
      <c r="L4346" s="23">
        <f>COUNTIFS(pg_transaction_cleaned!$O:$O,A4346,pg_transaction_cleaned!$F:$F,"REFUND")</f>
        <v>0</v>
      </c>
      <c r="M4346" s="39">
        <f>SUMIFS(pg_transaction_cleaned!$H:$H,pg_transaction_cleaned!$O:$O,A4346,pg_transaction_cleaned!$F:$F,"REFUND")</f>
        <v>0</v>
      </c>
      <c r="N4346" s="23" t="str">
        <f t="shared" si="270"/>
        <v>OK</v>
      </c>
      <c r="O4346" s="24">
        <f t="shared" si="271"/>
        <v>0</v>
      </c>
    </row>
    <row r="4347" spans="1:15" ht="15" customHeight="1" x14ac:dyDescent="0.3">
      <c r="A4347" s="23" t="s">
        <v>9169</v>
      </c>
      <c r="B4347" s="38">
        <v>46285</v>
      </c>
      <c r="C4347" s="23" t="s">
        <v>9170</v>
      </c>
      <c r="D4347" s="23" t="s">
        <v>86</v>
      </c>
      <c r="E4347" s="23" t="s">
        <v>75</v>
      </c>
      <c r="F4347" s="23" t="s">
        <v>6711</v>
      </c>
      <c r="G4347" s="23" t="s">
        <v>250</v>
      </c>
      <c r="H4347" s="39">
        <f t="shared" si="268"/>
        <v>2447</v>
      </c>
      <c r="I4347" s="23" t="str">
        <f t="shared" si="269"/>
        <v>Delhi</v>
      </c>
      <c r="J4347" s="23">
        <f>COUNTIFS(pg_transaction_cleaned!$O:$O,A4347,pg_transaction_cleaned!$F:$F,"CAPTURE")</f>
        <v>1</v>
      </c>
      <c r="K4347" s="39">
        <f>SUMIFS(pg_transaction_cleaned!$H:$H,pg_transaction_cleaned!$O:$O,A4347,pg_transaction_cleaned!$F:$F,"CAPTURE")</f>
        <v>2447</v>
      </c>
      <c r="L4347" s="23">
        <f>COUNTIFS(pg_transaction_cleaned!$O:$O,A4347,pg_transaction_cleaned!$F:$F,"REFUND")</f>
        <v>0</v>
      </c>
      <c r="M4347" s="39">
        <f>SUMIFS(pg_transaction_cleaned!$H:$H,pg_transaction_cleaned!$O:$O,A4347,pg_transaction_cleaned!$F:$F,"REFUND")</f>
        <v>0</v>
      </c>
      <c r="N4347" s="23" t="str">
        <f t="shared" si="270"/>
        <v>OK</v>
      </c>
      <c r="O4347" s="24">
        <f t="shared" si="271"/>
        <v>0</v>
      </c>
    </row>
    <row r="4348" spans="1:15" ht="15" customHeight="1" x14ac:dyDescent="0.3">
      <c r="A4348" s="23" t="s">
        <v>9171</v>
      </c>
      <c r="B4348" s="38">
        <v>46275</v>
      </c>
      <c r="C4348" s="23" t="s">
        <v>9172</v>
      </c>
      <c r="D4348" s="23" t="s">
        <v>86</v>
      </c>
      <c r="E4348" s="23" t="s">
        <v>79</v>
      </c>
      <c r="F4348" s="23" t="s">
        <v>274</v>
      </c>
      <c r="G4348" s="23" t="s">
        <v>250</v>
      </c>
      <c r="H4348" s="39">
        <f t="shared" si="268"/>
        <v>349</v>
      </c>
      <c r="I4348" s="23" t="str">
        <f t="shared" si="269"/>
        <v>Delhi</v>
      </c>
      <c r="J4348" s="23">
        <f>COUNTIFS(pg_transaction_cleaned!$O:$O,A4348,pg_transaction_cleaned!$F:$F,"CAPTURE")</f>
        <v>1</v>
      </c>
      <c r="K4348" s="39">
        <f>SUMIFS(pg_transaction_cleaned!$H:$H,pg_transaction_cleaned!$O:$O,A4348,pg_transaction_cleaned!$F:$F,"CAPTURE")</f>
        <v>349</v>
      </c>
      <c r="L4348" s="23">
        <f>COUNTIFS(pg_transaction_cleaned!$O:$O,A4348,pg_transaction_cleaned!$F:$F,"REFUND")</f>
        <v>0</v>
      </c>
      <c r="M4348" s="39">
        <f>SUMIFS(pg_transaction_cleaned!$H:$H,pg_transaction_cleaned!$O:$O,A4348,pg_transaction_cleaned!$F:$F,"REFUND")</f>
        <v>0</v>
      </c>
      <c r="N4348" s="23" t="str">
        <f t="shared" si="270"/>
        <v>OK</v>
      </c>
      <c r="O4348" s="24">
        <f t="shared" si="271"/>
        <v>0</v>
      </c>
    </row>
    <row r="4349" spans="1:15" ht="15" customHeight="1" x14ac:dyDescent="0.3">
      <c r="A4349" s="23" t="s">
        <v>9173</v>
      </c>
      <c r="B4349" s="38">
        <v>46278</v>
      </c>
      <c r="C4349" s="23" t="s">
        <v>9174</v>
      </c>
      <c r="D4349" s="23" t="s">
        <v>95</v>
      </c>
      <c r="E4349" s="23" t="s">
        <v>79</v>
      </c>
      <c r="F4349" s="23" t="s">
        <v>396</v>
      </c>
      <c r="G4349" s="23" t="s">
        <v>365</v>
      </c>
      <c r="H4349" s="39">
        <f t="shared" si="268"/>
        <v>2999</v>
      </c>
      <c r="I4349" s="23" t="str">
        <f t="shared" si="269"/>
        <v>Bengaluru</v>
      </c>
      <c r="J4349" s="23">
        <f>COUNTIFS(pg_transaction_cleaned!$O:$O,A4349,pg_transaction_cleaned!$F:$F,"CAPTURE")</f>
        <v>0</v>
      </c>
      <c r="K4349" s="39">
        <f>SUMIFS(pg_transaction_cleaned!$H:$H,pg_transaction_cleaned!$O:$O,A4349,pg_transaction_cleaned!$F:$F,"CAPTURE")</f>
        <v>0</v>
      </c>
      <c r="L4349" s="23">
        <f>COUNTIFS(pg_transaction_cleaned!$O:$O,A4349,pg_transaction_cleaned!$F:$F,"REFUND")</f>
        <v>0</v>
      </c>
      <c r="M4349" s="39">
        <f>SUMIFS(pg_transaction_cleaned!$H:$H,pg_transaction_cleaned!$O:$O,A4349,pg_transaction_cleaned!$F:$F,"REFUND")</f>
        <v>0</v>
      </c>
      <c r="N4349" s="23" t="str">
        <f t="shared" si="270"/>
        <v>OK</v>
      </c>
      <c r="O4349" s="24">
        <f t="shared" si="271"/>
        <v>0</v>
      </c>
    </row>
    <row r="4350" spans="1:15" ht="15" customHeight="1" x14ac:dyDescent="0.3">
      <c r="A4350" s="23" t="s">
        <v>9175</v>
      </c>
      <c r="B4350" s="38">
        <v>46276</v>
      </c>
      <c r="C4350" s="23" t="s">
        <v>9176</v>
      </c>
      <c r="D4350" s="23" t="s">
        <v>86</v>
      </c>
      <c r="E4350" s="23" t="s">
        <v>79</v>
      </c>
      <c r="F4350" s="23" t="s">
        <v>1193</v>
      </c>
      <c r="G4350" s="23" t="s">
        <v>250</v>
      </c>
      <c r="H4350" s="39">
        <f t="shared" si="268"/>
        <v>3498</v>
      </c>
      <c r="I4350" s="23" t="str">
        <f t="shared" si="269"/>
        <v>Delhi</v>
      </c>
      <c r="J4350" s="23">
        <f>COUNTIFS(pg_transaction_cleaned!$O:$O,A4350,pg_transaction_cleaned!$F:$F,"CAPTURE")</f>
        <v>1</v>
      </c>
      <c r="K4350" s="39">
        <f>SUMIFS(pg_transaction_cleaned!$H:$H,pg_transaction_cleaned!$O:$O,A4350,pg_transaction_cleaned!$F:$F,"CAPTURE")</f>
        <v>3498</v>
      </c>
      <c r="L4350" s="23">
        <f>COUNTIFS(pg_transaction_cleaned!$O:$O,A4350,pg_transaction_cleaned!$F:$F,"REFUND")</f>
        <v>0</v>
      </c>
      <c r="M4350" s="39">
        <f>SUMIFS(pg_transaction_cleaned!$H:$H,pg_transaction_cleaned!$O:$O,A4350,pg_transaction_cleaned!$F:$F,"REFUND")</f>
        <v>0</v>
      </c>
      <c r="N4350" s="23" t="str">
        <f t="shared" si="270"/>
        <v>OK</v>
      </c>
      <c r="O4350" s="24">
        <f t="shared" si="271"/>
        <v>0</v>
      </c>
    </row>
    <row r="4351" spans="1:15" ht="15" customHeight="1" x14ac:dyDescent="0.3">
      <c r="A4351" s="23" t="s">
        <v>9177</v>
      </c>
      <c r="B4351" s="38">
        <v>46267</v>
      </c>
      <c r="C4351" s="23" t="s">
        <v>9178</v>
      </c>
      <c r="D4351" s="23" t="s">
        <v>93</v>
      </c>
      <c r="E4351" s="23" t="s">
        <v>75</v>
      </c>
      <c r="F4351" s="23" t="s">
        <v>1614</v>
      </c>
      <c r="G4351" s="23" t="s">
        <v>250</v>
      </c>
      <c r="H4351" s="39">
        <f t="shared" si="268"/>
        <v>2597</v>
      </c>
      <c r="I4351" s="23" t="str">
        <f t="shared" si="269"/>
        <v>Kolkata</v>
      </c>
      <c r="J4351" s="23">
        <f>COUNTIFS(pg_transaction_cleaned!$O:$O,A4351,pg_transaction_cleaned!$F:$F,"CAPTURE")</f>
        <v>1</v>
      </c>
      <c r="K4351" s="39">
        <f>SUMIFS(pg_transaction_cleaned!$H:$H,pg_transaction_cleaned!$O:$O,A4351,pg_transaction_cleaned!$F:$F,"CAPTURE")</f>
        <v>2597</v>
      </c>
      <c r="L4351" s="23">
        <f>COUNTIFS(pg_transaction_cleaned!$O:$O,A4351,pg_transaction_cleaned!$F:$F,"REFUND")</f>
        <v>0</v>
      </c>
      <c r="M4351" s="39">
        <f>SUMIFS(pg_transaction_cleaned!$H:$H,pg_transaction_cleaned!$O:$O,A4351,pg_transaction_cleaned!$F:$F,"REFUND")</f>
        <v>0</v>
      </c>
      <c r="N4351" s="23" t="str">
        <f t="shared" si="270"/>
        <v>OK</v>
      </c>
      <c r="O4351" s="24">
        <f t="shared" si="271"/>
        <v>0</v>
      </c>
    </row>
    <row r="4352" spans="1:15" ht="15" customHeight="1" x14ac:dyDescent="0.3">
      <c r="A4352" s="23" t="s">
        <v>9179</v>
      </c>
      <c r="B4352" s="38">
        <v>46285</v>
      </c>
      <c r="C4352" s="23" t="s">
        <v>9180</v>
      </c>
      <c r="D4352" s="23" t="s">
        <v>89</v>
      </c>
      <c r="E4352" s="23" t="s">
        <v>75</v>
      </c>
      <c r="F4352" s="23" t="s">
        <v>297</v>
      </c>
      <c r="G4352" s="23" t="s">
        <v>250</v>
      </c>
      <c r="H4352" s="39">
        <f t="shared" si="268"/>
        <v>4999</v>
      </c>
      <c r="I4352" s="23" t="str">
        <f t="shared" si="269"/>
        <v>Jaipur</v>
      </c>
      <c r="J4352" s="23">
        <f>COUNTIFS(pg_transaction_cleaned!$O:$O,A4352,pg_transaction_cleaned!$F:$F,"CAPTURE")</f>
        <v>1</v>
      </c>
      <c r="K4352" s="39">
        <f>SUMIFS(pg_transaction_cleaned!$H:$H,pg_transaction_cleaned!$O:$O,A4352,pg_transaction_cleaned!$F:$F,"CAPTURE")</f>
        <v>4999</v>
      </c>
      <c r="L4352" s="23">
        <f>COUNTIFS(pg_transaction_cleaned!$O:$O,A4352,pg_transaction_cleaned!$F:$F,"REFUND")</f>
        <v>0</v>
      </c>
      <c r="M4352" s="39">
        <f>SUMIFS(pg_transaction_cleaned!$H:$H,pg_transaction_cleaned!$O:$O,A4352,pg_transaction_cleaned!$F:$F,"REFUND")</f>
        <v>0</v>
      </c>
      <c r="N4352" s="23" t="str">
        <f t="shared" si="270"/>
        <v>OK</v>
      </c>
      <c r="O4352" s="24">
        <f t="shared" si="271"/>
        <v>0</v>
      </c>
    </row>
    <row r="4353" spans="1:15" ht="15" customHeight="1" x14ac:dyDescent="0.3">
      <c r="A4353" s="23" t="s">
        <v>9181</v>
      </c>
      <c r="B4353" s="38">
        <v>46278</v>
      </c>
      <c r="C4353" s="23" t="s">
        <v>9182</v>
      </c>
      <c r="D4353" s="23" t="s">
        <v>89</v>
      </c>
      <c r="E4353" s="23" t="s">
        <v>81</v>
      </c>
      <c r="F4353" s="23" t="s">
        <v>271</v>
      </c>
      <c r="G4353" s="23" t="s">
        <v>250</v>
      </c>
      <c r="H4353" s="39">
        <f t="shared" si="268"/>
        <v>2499</v>
      </c>
      <c r="I4353" s="23" t="str">
        <f t="shared" si="269"/>
        <v>Jaipur</v>
      </c>
      <c r="J4353" s="23">
        <f>COUNTIFS(pg_transaction_cleaned!$O:$O,A4353,pg_transaction_cleaned!$F:$F,"CAPTURE")</f>
        <v>1</v>
      </c>
      <c r="K4353" s="39">
        <f>SUMIFS(pg_transaction_cleaned!$H:$H,pg_transaction_cleaned!$O:$O,A4353,pg_transaction_cleaned!$F:$F,"CAPTURE")</f>
        <v>2499</v>
      </c>
      <c r="L4353" s="23">
        <f>COUNTIFS(pg_transaction_cleaned!$O:$O,A4353,pg_transaction_cleaned!$F:$F,"REFUND")</f>
        <v>0</v>
      </c>
      <c r="M4353" s="39">
        <f>SUMIFS(pg_transaction_cleaned!$H:$H,pg_transaction_cleaned!$O:$O,A4353,pg_transaction_cleaned!$F:$F,"REFUND")</f>
        <v>0</v>
      </c>
      <c r="N4353" s="23" t="str">
        <f t="shared" si="270"/>
        <v>OK</v>
      </c>
      <c r="O4353" s="24">
        <f t="shared" si="271"/>
        <v>0</v>
      </c>
    </row>
    <row r="4354" spans="1:15" ht="15" customHeight="1" x14ac:dyDescent="0.3">
      <c r="A4354" s="23" t="s">
        <v>9183</v>
      </c>
      <c r="B4354" s="38">
        <v>46291</v>
      </c>
      <c r="C4354" s="23" t="s">
        <v>9184</v>
      </c>
      <c r="D4354" s="23" t="s">
        <v>92</v>
      </c>
      <c r="E4354" s="23" t="s">
        <v>81</v>
      </c>
      <c r="F4354" s="23" t="s">
        <v>271</v>
      </c>
      <c r="G4354" s="23" t="s">
        <v>250</v>
      </c>
      <c r="H4354" s="39">
        <f t="shared" ref="H4354:H4417" si="272">VALUE(SUBSTITUTE(F4354,",",""))</f>
        <v>2499</v>
      </c>
      <c r="I4354" s="23" t="str">
        <f t="shared" ref="I4354:I4417" si="273">IF(TRIM(D4354)="","Unknown",TRIM(D4354))</f>
        <v>Hyderabad</v>
      </c>
      <c r="J4354" s="23">
        <f>COUNTIFS(pg_transaction_cleaned!$O:$O,A4354,pg_transaction_cleaned!$F:$F,"CAPTURE")</f>
        <v>1</v>
      </c>
      <c r="K4354" s="39">
        <f>SUMIFS(pg_transaction_cleaned!$H:$H,pg_transaction_cleaned!$O:$O,A4354,pg_transaction_cleaned!$F:$F,"CAPTURE")</f>
        <v>2499</v>
      </c>
      <c r="L4354" s="23">
        <f>COUNTIFS(pg_transaction_cleaned!$O:$O,A4354,pg_transaction_cleaned!$F:$F,"REFUND")</f>
        <v>0</v>
      </c>
      <c r="M4354" s="39">
        <f>SUMIFS(pg_transaction_cleaned!$H:$H,pg_transaction_cleaned!$O:$O,A4354,pg_transaction_cleaned!$F:$F,"REFUND")</f>
        <v>0</v>
      </c>
      <c r="N4354" s="23" t="str">
        <f t="shared" ref="N4354:N4417" si="274">IF(AND(G4354="Paid",J4354=0),"Paid, no payment",IF(AND(OR(G4354="Failed",G4354="Cancelled"),J4354&gt;0),"Payment on failed/cancelled",IF(J4354&gt;1,"Duplicate charge",IF(AND(J4354=1,ROUND(K4354-H4354,2)&lt;&gt;0),"Amount difference",IF(AND(G4354="Refunded",L4354=0),"Refunded, no refund",IF(AND(G4354&lt;&gt;"Refunded",L4354&gt;0),"Refund, order not Refunded",IF(AND(L4354&gt;0,ROUND(M4354-H4354,2)&lt;&gt;0),"Refund amount differs","OK")))))))</f>
        <v>OK</v>
      </c>
      <c r="O4354" s="24">
        <f t="shared" ref="O4354:O4417" si="275">IF(N4354="OK",0,IF(N4354="Paid, no payment",H4354,IF(N4354="Payment on failed/cancelled",K4354,IF(OR(N4354="Duplicate charge",N4354="Amount difference"),K4354-H4354,IF(N4354="Refunded, no refund",H4354,M4354)))))</f>
        <v>0</v>
      </c>
    </row>
    <row r="4355" spans="1:15" ht="15" customHeight="1" x14ac:dyDescent="0.3">
      <c r="A4355" s="23" t="s">
        <v>9185</v>
      </c>
      <c r="B4355" s="38">
        <v>46270</v>
      </c>
      <c r="C4355" s="23" t="s">
        <v>9186</v>
      </c>
      <c r="D4355" s="23" t="s">
        <v>93</v>
      </c>
      <c r="E4355" s="23" t="s">
        <v>75</v>
      </c>
      <c r="F4355" s="23" t="s">
        <v>396</v>
      </c>
      <c r="G4355" s="23" t="s">
        <v>250</v>
      </c>
      <c r="H4355" s="39">
        <f t="shared" si="272"/>
        <v>2999</v>
      </c>
      <c r="I4355" s="23" t="str">
        <f t="shared" si="273"/>
        <v>Kolkata</v>
      </c>
      <c r="J4355" s="23">
        <f>COUNTIFS(pg_transaction_cleaned!$O:$O,A4355,pg_transaction_cleaned!$F:$F,"CAPTURE")</f>
        <v>1</v>
      </c>
      <c r="K4355" s="39">
        <f>SUMIFS(pg_transaction_cleaned!$H:$H,pg_transaction_cleaned!$O:$O,A4355,pg_transaction_cleaned!$F:$F,"CAPTURE")</f>
        <v>2999</v>
      </c>
      <c r="L4355" s="23">
        <f>COUNTIFS(pg_transaction_cleaned!$O:$O,A4355,pg_transaction_cleaned!$F:$F,"REFUND")</f>
        <v>0</v>
      </c>
      <c r="M4355" s="39">
        <f>SUMIFS(pg_transaction_cleaned!$H:$H,pg_transaction_cleaned!$O:$O,A4355,pg_transaction_cleaned!$F:$F,"REFUND")</f>
        <v>0</v>
      </c>
      <c r="N4355" s="23" t="str">
        <f t="shared" si="274"/>
        <v>OK</v>
      </c>
      <c r="O4355" s="24">
        <f t="shared" si="275"/>
        <v>0</v>
      </c>
    </row>
    <row r="4356" spans="1:15" ht="15" customHeight="1" x14ac:dyDescent="0.3">
      <c r="A4356" s="23" t="s">
        <v>9187</v>
      </c>
      <c r="B4356" s="38">
        <v>46279</v>
      </c>
      <c r="C4356" s="23" t="s">
        <v>9188</v>
      </c>
      <c r="D4356" s="23" t="s">
        <v>92</v>
      </c>
      <c r="E4356" s="23" t="s">
        <v>75</v>
      </c>
      <c r="F4356" s="23" t="s">
        <v>280</v>
      </c>
      <c r="G4356" s="23" t="s">
        <v>250</v>
      </c>
      <c r="H4356" s="39">
        <f t="shared" si="272"/>
        <v>5797</v>
      </c>
      <c r="I4356" s="23" t="str">
        <f t="shared" si="273"/>
        <v>Hyderabad</v>
      </c>
      <c r="J4356" s="23">
        <f>COUNTIFS(pg_transaction_cleaned!$O:$O,A4356,pg_transaction_cleaned!$F:$F,"CAPTURE")</f>
        <v>1</v>
      </c>
      <c r="K4356" s="39">
        <f>SUMIFS(pg_transaction_cleaned!$H:$H,pg_transaction_cleaned!$O:$O,A4356,pg_transaction_cleaned!$F:$F,"CAPTURE")</f>
        <v>5797</v>
      </c>
      <c r="L4356" s="23">
        <f>COUNTIFS(pg_transaction_cleaned!$O:$O,A4356,pg_transaction_cleaned!$F:$F,"REFUND")</f>
        <v>0</v>
      </c>
      <c r="M4356" s="39">
        <f>SUMIFS(pg_transaction_cleaned!$H:$H,pg_transaction_cleaned!$O:$O,A4356,pg_transaction_cleaned!$F:$F,"REFUND")</f>
        <v>0</v>
      </c>
      <c r="N4356" s="23" t="str">
        <f t="shared" si="274"/>
        <v>OK</v>
      </c>
      <c r="O4356" s="24">
        <f t="shared" si="275"/>
        <v>0</v>
      </c>
    </row>
    <row r="4357" spans="1:15" ht="15" customHeight="1" x14ac:dyDescent="0.3">
      <c r="A4357" s="23" t="s">
        <v>9189</v>
      </c>
      <c r="B4357" s="38">
        <v>46287</v>
      </c>
      <c r="C4357" s="23" t="s">
        <v>9190</v>
      </c>
      <c r="D4357" s="23" t="s">
        <v>90</v>
      </c>
      <c r="E4357" s="23" t="s">
        <v>75</v>
      </c>
      <c r="F4357" s="23" t="s">
        <v>288</v>
      </c>
      <c r="G4357" s="23" t="s">
        <v>250</v>
      </c>
      <c r="H4357" s="39">
        <f t="shared" si="272"/>
        <v>4298</v>
      </c>
      <c r="I4357" s="23" t="str">
        <f t="shared" si="273"/>
        <v>Ahmedabad</v>
      </c>
      <c r="J4357" s="23">
        <f>COUNTIFS(pg_transaction_cleaned!$O:$O,A4357,pg_transaction_cleaned!$F:$F,"CAPTURE")</f>
        <v>1</v>
      </c>
      <c r="K4357" s="39">
        <f>SUMIFS(pg_transaction_cleaned!$H:$H,pg_transaction_cleaned!$O:$O,A4357,pg_transaction_cleaned!$F:$F,"CAPTURE")</f>
        <v>4298</v>
      </c>
      <c r="L4357" s="23">
        <f>COUNTIFS(pg_transaction_cleaned!$O:$O,A4357,pg_transaction_cleaned!$F:$F,"REFUND")</f>
        <v>0</v>
      </c>
      <c r="M4357" s="39">
        <f>SUMIFS(pg_transaction_cleaned!$H:$H,pg_transaction_cleaned!$O:$O,A4357,pg_transaction_cleaned!$F:$F,"REFUND")</f>
        <v>0</v>
      </c>
      <c r="N4357" s="23" t="str">
        <f t="shared" si="274"/>
        <v>OK</v>
      </c>
      <c r="O4357" s="24">
        <f t="shared" si="275"/>
        <v>0</v>
      </c>
    </row>
    <row r="4358" spans="1:15" ht="15" customHeight="1" x14ac:dyDescent="0.3">
      <c r="A4358" s="23" t="s">
        <v>9191</v>
      </c>
      <c r="B4358" s="38">
        <v>46277</v>
      </c>
      <c r="C4358" s="23" t="s">
        <v>9192</v>
      </c>
      <c r="D4358" s="23" t="s">
        <v>92</v>
      </c>
      <c r="E4358" s="23" t="s">
        <v>75</v>
      </c>
      <c r="F4358" s="23" t="s">
        <v>291</v>
      </c>
      <c r="G4358" s="23" t="s">
        <v>250</v>
      </c>
      <c r="H4358" s="39">
        <f t="shared" si="272"/>
        <v>3499</v>
      </c>
      <c r="I4358" s="23" t="str">
        <f t="shared" si="273"/>
        <v>Hyderabad</v>
      </c>
      <c r="J4358" s="23">
        <f>COUNTIFS(pg_transaction_cleaned!$O:$O,A4358,pg_transaction_cleaned!$F:$F,"CAPTURE")</f>
        <v>1</v>
      </c>
      <c r="K4358" s="39">
        <f>SUMIFS(pg_transaction_cleaned!$H:$H,pg_transaction_cleaned!$O:$O,A4358,pg_transaction_cleaned!$F:$F,"CAPTURE")</f>
        <v>3499</v>
      </c>
      <c r="L4358" s="23">
        <f>COUNTIFS(pg_transaction_cleaned!$O:$O,A4358,pg_transaction_cleaned!$F:$F,"REFUND")</f>
        <v>0</v>
      </c>
      <c r="M4358" s="39">
        <f>SUMIFS(pg_transaction_cleaned!$H:$H,pg_transaction_cleaned!$O:$O,A4358,pg_transaction_cleaned!$F:$F,"REFUND")</f>
        <v>0</v>
      </c>
      <c r="N4358" s="23" t="str">
        <f t="shared" si="274"/>
        <v>OK</v>
      </c>
      <c r="O4358" s="24">
        <f t="shared" si="275"/>
        <v>0</v>
      </c>
    </row>
    <row r="4359" spans="1:15" ht="15" customHeight="1" x14ac:dyDescent="0.3">
      <c r="A4359" s="23" t="s">
        <v>9193</v>
      </c>
      <c r="B4359" s="38">
        <v>46289</v>
      </c>
      <c r="C4359" s="23" t="s">
        <v>9194</v>
      </c>
      <c r="D4359" s="23" t="s">
        <v>86</v>
      </c>
      <c r="E4359" s="23" t="s">
        <v>81</v>
      </c>
      <c r="F4359" s="23" t="s">
        <v>294</v>
      </c>
      <c r="G4359" s="23" t="s">
        <v>250</v>
      </c>
      <c r="H4359" s="39">
        <f t="shared" si="272"/>
        <v>1799</v>
      </c>
      <c r="I4359" s="23" t="str">
        <f t="shared" si="273"/>
        <v>Delhi</v>
      </c>
      <c r="J4359" s="23">
        <f>COUNTIFS(pg_transaction_cleaned!$O:$O,A4359,pg_transaction_cleaned!$F:$F,"CAPTURE")</f>
        <v>1</v>
      </c>
      <c r="K4359" s="39">
        <f>SUMIFS(pg_transaction_cleaned!$H:$H,pg_transaction_cleaned!$O:$O,A4359,pg_transaction_cleaned!$F:$F,"CAPTURE")</f>
        <v>1799</v>
      </c>
      <c r="L4359" s="23">
        <f>COUNTIFS(pg_transaction_cleaned!$O:$O,A4359,pg_transaction_cleaned!$F:$F,"REFUND")</f>
        <v>0</v>
      </c>
      <c r="M4359" s="39">
        <f>SUMIFS(pg_transaction_cleaned!$H:$H,pg_transaction_cleaned!$O:$O,A4359,pg_transaction_cleaned!$F:$F,"REFUND")</f>
        <v>0</v>
      </c>
      <c r="N4359" s="23" t="str">
        <f t="shared" si="274"/>
        <v>OK</v>
      </c>
      <c r="O4359" s="24">
        <f t="shared" si="275"/>
        <v>0</v>
      </c>
    </row>
    <row r="4360" spans="1:15" ht="15" customHeight="1" x14ac:dyDescent="0.3">
      <c r="A4360" s="23" t="s">
        <v>9195</v>
      </c>
      <c r="B4360" s="38">
        <v>46275</v>
      </c>
      <c r="C4360" s="23" t="s">
        <v>8083</v>
      </c>
      <c r="D4360" s="23" t="s">
        <v>86</v>
      </c>
      <c r="E4360" s="23" t="s">
        <v>75</v>
      </c>
      <c r="F4360" s="23" t="s">
        <v>291</v>
      </c>
      <c r="G4360" s="23" t="s">
        <v>250</v>
      </c>
      <c r="H4360" s="39">
        <f t="shared" si="272"/>
        <v>3499</v>
      </c>
      <c r="I4360" s="23" t="str">
        <f t="shared" si="273"/>
        <v>Delhi</v>
      </c>
      <c r="J4360" s="23">
        <f>COUNTIFS(pg_transaction_cleaned!$O:$O,A4360,pg_transaction_cleaned!$F:$F,"CAPTURE")</f>
        <v>1</v>
      </c>
      <c r="K4360" s="39">
        <f>SUMIFS(pg_transaction_cleaned!$H:$H,pg_transaction_cleaned!$O:$O,A4360,pg_transaction_cleaned!$F:$F,"CAPTURE")</f>
        <v>3499</v>
      </c>
      <c r="L4360" s="23">
        <f>COUNTIFS(pg_transaction_cleaned!$O:$O,A4360,pg_transaction_cleaned!$F:$F,"REFUND")</f>
        <v>0</v>
      </c>
      <c r="M4360" s="39">
        <f>SUMIFS(pg_transaction_cleaned!$H:$H,pg_transaction_cleaned!$O:$O,A4360,pg_transaction_cleaned!$F:$F,"REFUND")</f>
        <v>0</v>
      </c>
      <c r="N4360" s="23" t="str">
        <f t="shared" si="274"/>
        <v>OK</v>
      </c>
      <c r="O4360" s="24">
        <f t="shared" si="275"/>
        <v>0</v>
      </c>
    </row>
    <row r="4361" spans="1:15" ht="15" customHeight="1" x14ac:dyDescent="0.3">
      <c r="A4361" s="23" t="s">
        <v>9196</v>
      </c>
      <c r="B4361" s="38">
        <v>46283</v>
      </c>
      <c r="C4361" s="23" t="s">
        <v>9197</v>
      </c>
      <c r="D4361" s="23" t="s">
        <v>87</v>
      </c>
      <c r="E4361" s="23" t="s">
        <v>75</v>
      </c>
      <c r="F4361" s="23" t="s">
        <v>265</v>
      </c>
      <c r="G4361" s="23" t="s">
        <v>250</v>
      </c>
      <c r="H4361" s="39">
        <f t="shared" si="272"/>
        <v>999</v>
      </c>
      <c r="I4361" s="23" t="str">
        <f t="shared" si="273"/>
        <v>Mumbai</v>
      </c>
      <c r="J4361" s="23">
        <f>COUNTIFS(pg_transaction_cleaned!$O:$O,A4361,pg_transaction_cleaned!$F:$F,"CAPTURE")</f>
        <v>1</v>
      </c>
      <c r="K4361" s="39">
        <f>SUMIFS(pg_transaction_cleaned!$H:$H,pg_transaction_cleaned!$O:$O,A4361,pg_transaction_cleaned!$F:$F,"CAPTURE")</f>
        <v>999</v>
      </c>
      <c r="L4361" s="23">
        <f>COUNTIFS(pg_transaction_cleaned!$O:$O,A4361,pg_transaction_cleaned!$F:$F,"REFUND")</f>
        <v>0</v>
      </c>
      <c r="M4361" s="39">
        <f>SUMIFS(pg_transaction_cleaned!$H:$H,pg_transaction_cleaned!$O:$O,A4361,pg_transaction_cleaned!$F:$F,"REFUND")</f>
        <v>0</v>
      </c>
      <c r="N4361" s="23" t="str">
        <f t="shared" si="274"/>
        <v>OK</v>
      </c>
      <c r="O4361" s="24">
        <f t="shared" si="275"/>
        <v>0</v>
      </c>
    </row>
    <row r="4362" spans="1:15" ht="15" customHeight="1" x14ac:dyDescent="0.3">
      <c r="A4362" s="23" t="s">
        <v>9198</v>
      </c>
      <c r="B4362" s="38">
        <v>46284</v>
      </c>
      <c r="C4362" s="23" t="s">
        <v>9199</v>
      </c>
      <c r="D4362" s="23" t="s">
        <v>89</v>
      </c>
      <c r="E4362" s="23" t="s">
        <v>81</v>
      </c>
      <c r="F4362" s="23" t="s">
        <v>262</v>
      </c>
      <c r="G4362" s="23" t="s">
        <v>301</v>
      </c>
      <c r="H4362" s="39">
        <f t="shared" si="272"/>
        <v>499</v>
      </c>
      <c r="I4362" s="23" t="str">
        <f t="shared" si="273"/>
        <v>Jaipur</v>
      </c>
      <c r="J4362" s="23">
        <f>COUNTIFS(pg_transaction_cleaned!$O:$O,A4362,pg_transaction_cleaned!$F:$F,"CAPTURE")</f>
        <v>1</v>
      </c>
      <c r="K4362" s="39">
        <f>SUMIFS(pg_transaction_cleaned!$H:$H,pg_transaction_cleaned!$O:$O,A4362,pg_transaction_cleaned!$F:$F,"CAPTURE")</f>
        <v>499</v>
      </c>
      <c r="L4362" s="23">
        <f>COUNTIFS(pg_transaction_cleaned!$O:$O,A4362,pg_transaction_cleaned!$F:$F,"REFUND")</f>
        <v>1</v>
      </c>
      <c r="M4362" s="39">
        <f>SUMIFS(pg_transaction_cleaned!$H:$H,pg_transaction_cleaned!$O:$O,A4362,pg_transaction_cleaned!$F:$F,"REFUND")</f>
        <v>499</v>
      </c>
      <c r="N4362" s="23" t="str">
        <f t="shared" si="274"/>
        <v>OK</v>
      </c>
      <c r="O4362" s="24">
        <f t="shared" si="275"/>
        <v>0</v>
      </c>
    </row>
    <row r="4363" spans="1:15" ht="15" customHeight="1" x14ac:dyDescent="0.3">
      <c r="A4363" s="23" t="s">
        <v>9200</v>
      </c>
      <c r="B4363" s="38">
        <v>46291</v>
      </c>
      <c r="C4363" s="23" t="s">
        <v>9201</v>
      </c>
      <c r="D4363" s="23" t="s">
        <v>87</v>
      </c>
      <c r="E4363" s="23" t="s">
        <v>77</v>
      </c>
      <c r="F4363" s="23" t="s">
        <v>1193</v>
      </c>
      <c r="G4363" s="23" t="s">
        <v>250</v>
      </c>
      <c r="H4363" s="39">
        <f t="shared" si="272"/>
        <v>3498</v>
      </c>
      <c r="I4363" s="23" t="str">
        <f t="shared" si="273"/>
        <v>Mumbai</v>
      </c>
      <c r="J4363" s="23">
        <f>COUNTIFS(pg_transaction_cleaned!$O:$O,A4363,pg_transaction_cleaned!$F:$F,"CAPTURE")</f>
        <v>1</v>
      </c>
      <c r="K4363" s="39">
        <f>SUMIFS(pg_transaction_cleaned!$H:$H,pg_transaction_cleaned!$O:$O,A4363,pg_transaction_cleaned!$F:$F,"CAPTURE")</f>
        <v>3498</v>
      </c>
      <c r="L4363" s="23">
        <f>COUNTIFS(pg_transaction_cleaned!$O:$O,A4363,pg_transaction_cleaned!$F:$F,"REFUND")</f>
        <v>0</v>
      </c>
      <c r="M4363" s="39">
        <f>SUMIFS(pg_transaction_cleaned!$H:$H,pg_transaction_cleaned!$O:$O,A4363,pg_transaction_cleaned!$F:$F,"REFUND")</f>
        <v>0</v>
      </c>
      <c r="N4363" s="23" t="str">
        <f t="shared" si="274"/>
        <v>OK</v>
      </c>
      <c r="O4363" s="24">
        <f t="shared" si="275"/>
        <v>0</v>
      </c>
    </row>
    <row r="4364" spans="1:15" ht="15" customHeight="1" x14ac:dyDescent="0.3">
      <c r="A4364" s="23" t="s">
        <v>9202</v>
      </c>
      <c r="B4364" s="38">
        <v>46273</v>
      </c>
      <c r="C4364" s="23" t="s">
        <v>9203</v>
      </c>
      <c r="D4364" s="23" t="s">
        <v>92</v>
      </c>
      <c r="E4364" s="23" t="s">
        <v>81</v>
      </c>
      <c r="F4364" s="23" t="s">
        <v>340</v>
      </c>
      <c r="G4364" s="23" t="s">
        <v>365</v>
      </c>
      <c r="H4364" s="39">
        <f t="shared" si="272"/>
        <v>6298</v>
      </c>
      <c r="I4364" s="23" t="str">
        <f t="shared" si="273"/>
        <v>Hyderabad</v>
      </c>
      <c r="J4364" s="23">
        <f>COUNTIFS(pg_transaction_cleaned!$O:$O,A4364,pg_transaction_cleaned!$F:$F,"CAPTURE")</f>
        <v>0</v>
      </c>
      <c r="K4364" s="39">
        <f>SUMIFS(pg_transaction_cleaned!$H:$H,pg_transaction_cleaned!$O:$O,A4364,pg_transaction_cleaned!$F:$F,"CAPTURE")</f>
        <v>0</v>
      </c>
      <c r="L4364" s="23">
        <f>COUNTIFS(pg_transaction_cleaned!$O:$O,A4364,pg_transaction_cleaned!$F:$F,"REFUND")</f>
        <v>0</v>
      </c>
      <c r="M4364" s="39">
        <f>SUMIFS(pg_transaction_cleaned!$H:$H,pg_transaction_cleaned!$O:$O,A4364,pg_transaction_cleaned!$F:$F,"REFUND")</f>
        <v>0</v>
      </c>
      <c r="N4364" s="23" t="str">
        <f t="shared" si="274"/>
        <v>OK</v>
      </c>
      <c r="O4364" s="24">
        <f t="shared" si="275"/>
        <v>0</v>
      </c>
    </row>
    <row r="4365" spans="1:15" ht="15" customHeight="1" x14ac:dyDescent="0.3">
      <c r="A4365" s="23" t="s">
        <v>9204</v>
      </c>
      <c r="B4365" s="38">
        <v>46276</v>
      </c>
      <c r="C4365" s="23" t="s">
        <v>9205</v>
      </c>
      <c r="D4365" s="23" t="s">
        <v>93</v>
      </c>
      <c r="E4365" s="23" t="s">
        <v>81</v>
      </c>
      <c r="F4365" s="23" t="s">
        <v>265</v>
      </c>
      <c r="G4365" s="23" t="s">
        <v>250</v>
      </c>
      <c r="H4365" s="39">
        <f t="shared" si="272"/>
        <v>999</v>
      </c>
      <c r="I4365" s="23" t="str">
        <f t="shared" si="273"/>
        <v>Kolkata</v>
      </c>
      <c r="J4365" s="23">
        <f>COUNTIFS(pg_transaction_cleaned!$O:$O,A4365,pg_transaction_cleaned!$F:$F,"CAPTURE")</f>
        <v>1</v>
      </c>
      <c r="K4365" s="39">
        <f>SUMIFS(pg_transaction_cleaned!$H:$H,pg_transaction_cleaned!$O:$O,A4365,pg_transaction_cleaned!$F:$F,"CAPTURE")</f>
        <v>999</v>
      </c>
      <c r="L4365" s="23">
        <f>COUNTIFS(pg_transaction_cleaned!$O:$O,A4365,pg_transaction_cleaned!$F:$F,"REFUND")</f>
        <v>0</v>
      </c>
      <c r="M4365" s="39">
        <f>SUMIFS(pg_transaction_cleaned!$H:$H,pg_transaction_cleaned!$O:$O,A4365,pg_transaction_cleaned!$F:$F,"REFUND")</f>
        <v>0</v>
      </c>
      <c r="N4365" s="23" t="str">
        <f t="shared" si="274"/>
        <v>OK</v>
      </c>
      <c r="O4365" s="24">
        <f t="shared" si="275"/>
        <v>0</v>
      </c>
    </row>
    <row r="4366" spans="1:15" ht="15" customHeight="1" x14ac:dyDescent="0.3">
      <c r="A4366" s="23" t="s">
        <v>9206</v>
      </c>
      <c r="B4366" s="38">
        <v>46276</v>
      </c>
      <c r="C4366" s="23" t="s">
        <v>9207</v>
      </c>
      <c r="D4366" s="23" t="s">
        <v>95</v>
      </c>
      <c r="E4366" s="23" t="s">
        <v>81</v>
      </c>
      <c r="F4366" s="23" t="s">
        <v>475</v>
      </c>
      <c r="G4366" s="23" t="s">
        <v>250</v>
      </c>
      <c r="H4366" s="39">
        <f t="shared" si="272"/>
        <v>799</v>
      </c>
      <c r="I4366" s="23" t="str">
        <f t="shared" si="273"/>
        <v>Bengaluru</v>
      </c>
      <c r="J4366" s="23">
        <f>COUNTIFS(pg_transaction_cleaned!$O:$O,A4366,pg_transaction_cleaned!$F:$F,"CAPTURE")</f>
        <v>1</v>
      </c>
      <c r="K4366" s="39">
        <f>SUMIFS(pg_transaction_cleaned!$H:$H,pg_transaction_cleaned!$O:$O,A4366,pg_transaction_cleaned!$F:$F,"CAPTURE")</f>
        <v>799</v>
      </c>
      <c r="L4366" s="23">
        <f>COUNTIFS(pg_transaction_cleaned!$O:$O,A4366,pg_transaction_cleaned!$F:$F,"REFUND")</f>
        <v>0</v>
      </c>
      <c r="M4366" s="39">
        <f>SUMIFS(pg_transaction_cleaned!$H:$H,pg_transaction_cleaned!$O:$O,A4366,pg_transaction_cleaned!$F:$F,"REFUND")</f>
        <v>0</v>
      </c>
      <c r="N4366" s="23" t="str">
        <f t="shared" si="274"/>
        <v>OK</v>
      </c>
      <c r="O4366" s="24">
        <f t="shared" si="275"/>
        <v>0</v>
      </c>
    </row>
    <row r="4367" spans="1:15" ht="15" customHeight="1" x14ac:dyDescent="0.3">
      <c r="A4367" s="23" t="s">
        <v>9208</v>
      </c>
      <c r="B4367" s="38">
        <v>46266</v>
      </c>
      <c r="C4367" s="23" t="s">
        <v>9166</v>
      </c>
      <c r="D4367" s="23" t="s">
        <v>86</v>
      </c>
      <c r="E4367" s="23" t="s">
        <v>79</v>
      </c>
      <c r="F4367" s="23" t="s">
        <v>297</v>
      </c>
      <c r="G4367" s="23" t="s">
        <v>250</v>
      </c>
      <c r="H4367" s="39">
        <f t="shared" si="272"/>
        <v>4999</v>
      </c>
      <c r="I4367" s="23" t="str">
        <f t="shared" si="273"/>
        <v>Delhi</v>
      </c>
      <c r="J4367" s="23">
        <f>COUNTIFS(pg_transaction_cleaned!$O:$O,A4367,pg_transaction_cleaned!$F:$F,"CAPTURE")</f>
        <v>1</v>
      </c>
      <c r="K4367" s="39">
        <f>SUMIFS(pg_transaction_cleaned!$H:$H,pg_transaction_cleaned!$O:$O,A4367,pg_transaction_cleaned!$F:$F,"CAPTURE")</f>
        <v>4999</v>
      </c>
      <c r="L4367" s="23">
        <f>COUNTIFS(pg_transaction_cleaned!$O:$O,A4367,pg_transaction_cleaned!$F:$F,"REFUND")</f>
        <v>0</v>
      </c>
      <c r="M4367" s="39">
        <f>SUMIFS(pg_transaction_cleaned!$H:$H,pg_transaction_cleaned!$O:$O,A4367,pg_transaction_cleaned!$F:$F,"REFUND")</f>
        <v>0</v>
      </c>
      <c r="N4367" s="23" t="str">
        <f t="shared" si="274"/>
        <v>OK</v>
      </c>
      <c r="O4367" s="24">
        <f t="shared" si="275"/>
        <v>0</v>
      </c>
    </row>
    <row r="4368" spans="1:15" ht="15" customHeight="1" x14ac:dyDescent="0.3">
      <c r="A4368" s="23" t="s">
        <v>9209</v>
      </c>
      <c r="B4368" s="38">
        <v>46283</v>
      </c>
      <c r="C4368" s="23" t="s">
        <v>9210</v>
      </c>
      <c r="D4368" s="23" t="s">
        <v>93</v>
      </c>
      <c r="E4368" s="23" t="s">
        <v>77</v>
      </c>
      <c r="F4368" s="23" t="s">
        <v>256</v>
      </c>
      <c r="G4368" s="23" t="s">
        <v>318</v>
      </c>
      <c r="H4368" s="39">
        <f t="shared" si="272"/>
        <v>2098</v>
      </c>
      <c r="I4368" s="23" t="str">
        <f t="shared" si="273"/>
        <v>Kolkata</v>
      </c>
      <c r="J4368" s="23">
        <f>COUNTIFS(pg_transaction_cleaned!$O:$O,A4368,pg_transaction_cleaned!$F:$F,"CAPTURE")</f>
        <v>0</v>
      </c>
      <c r="K4368" s="39">
        <f>SUMIFS(pg_transaction_cleaned!$H:$H,pg_transaction_cleaned!$O:$O,A4368,pg_transaction_cleaned!$F:$F,"CAPTURE")</f>
        <v>0</v>
      </c>
      <c r="L4368" s="23">
        <f>COUNTIFS(pg_transaction_cleaned!$O:$O,A4368,pg_transaction_cleaned!$F:$F,"REFUND")</f>
        <v>0</v>
      </c>
      <c r="M4368" s="39">
        <f>SUMIFS(pg_transaction_cleaned!$H:$H,pg_transaction_cleaned!$O:$O,A4368,pg_transaction_cleaned!$F:$F,"REFUND")</f>
        <v>0</v>
      </c>
      <c r="N4368" s="23" t="str">
        <f t="shared" si="274"/>
        <v>OK</v>
      </c>
      <c r="O4368" s="24">
        <f t="shared" si="275"/>
        <v>0</v>
      </c>
    </row>
    <row r="4369" spans="1:15" ht="15" customHeight="1" x14ac:dyDescent="0.3">
      <c r="A4369" s="23" t="s">
        <v>9211</v>
      </c>
      <c r="B4369" s="38">
        <v>46287</v>
      </c>
      <c r="C4369" s="23" t="s">
        <v>9212</v>
      </c>
      <c r="D4369" s="23" t="s">
        <v>88</v>
      </c>
      <c r="E4369" s="23" t="s">
        <v>79</v>
      </c>
      <c r="F4369" s="23" t="s">
        <v>370</v>
      </c>
      <c r="G4369" s="23" t="s">
        <v>250</v>
      </c>
      <c r="H4369" s="39">
        <f t="shared" si="272"/>
        <v>3098</v>
      </c>
      <c r="I4369" s="23" t="str">
        <f t="shared" si="273"/>
        <v>Lucknow</v>
      </c>
      <c r="J4369" s="23">
        <f>COUNTIFS(pg_transaction_cleaned!$O:$O,A4369,pg_transaction_cleaned!$F:$F,"CAPTURE")</f>
        <v>1</v>
      </c>
      <c r="K4369" s="39">
        <f>SUMIFS(pg_transaction_cleaned!$H:$H,pg_transaction_cleaned!$O:$O,A4369,pg_transaction_cleaned!$F:$F,"CAPTURE")</f>
        <v>3098</v>
      </c>
      <c r="L4369" s="23">
        <f>COUNTIFS(pg_transaction_cleaned!$O:$O,A4369,pg_transaction_cleaned!$F:$F,"REFUND")</f>
        <v>0</v>
      </c>
      <c r="M4369" s="39">
        <f>SUMIFS(pg_transaction_cleaned!$H:$H,pg_transaction_cleaned!$O:$O,A4369,pg_transaction_cleaned!$F:$F,"REFUND")</f>
        <v>0</v>
      </c>
      <c r="N4369" s="23" t="str">
        <f t="shared" si="274"/>
        <v>OK</v>
      </c>
      <c r="O4369" s="24">
        <f t="shared" si="275"/>
        <v>0</v>
      </c>
    </row>
    <row r="4370" spans="1:15" ht="15" customHeight="1" x14ac:dyDescent="0.3">
      <c r="A4370" s="23" t="s">
        <v>9213</v>
      </c>
      <c r="B4370" s="38">
        <v>46274</v>
      </c>
      <c r="C4370" s="23" t="s">
        <v>9214</v>
      </c>
      <c r="D4370" s="23" t="s">
        <v>87</v>
      </c>
      <c r="E4370" s="23" t="s">
        <v>75</v>
      </c>
      <c r="F4370" s="23" t="s">
        <v>357</v>
      </c>
      <c r="G4370" s="23" t="s">
        <v>250</v>
      </c>
      <c r="H4370" s="39">
        <f t="shared" si="272"/>
        <v>1598</v>
      </c>
      <c r="I4370" s="23" t="str">
        <f t="shared" si="273"/>
        <v>Mumbai</v>
      </c>
      <c r="J4370" s="23">
        <f>COUNTIFS(pg_transaction_cleaned!$O:$O,A4370,pg_transaction_cleaned!$F:$F,"CAPTURE")</f>
        <v>1</v>
      </c>
      <c r="K4370" s="39">
        <f>SUMIFS(pg_transaction_cleaned!$H:$H,pg_transaction_cleaned!$O:$O,A4370,pg_transaction_cleaned!$F:$F,"CAPTURE")</f>
        <v>1598</v>
      </c>
      <c r="L4370" s="23">
        <f>COUNTIFS(pg_transaction_cleaned!$O:$O,A4370,pg_transaction_cleaned!$F:$F,"REFUND")</f>
        <v>0</v>
      </c>
      <c r="M4370" s="39">
        <f>SUMIFS(pg_transaction_cleaned!$H:$H,pg_transaction_cleaned!$O:$O,A4370,pg_transaction_cleaned!$F:$F,"REFUND")</f>
        <v>0</v>
      </c>
      <c r="N4370" s="23" t="str">
        <f t="shared" si="274"/>
        <v>OK</v>
      </c>
      <c r="O4370" s="24">
        <f t="shared" si="275"/>
        <v>0</v>
      </c>
    </row>
    <row r="4371" spans="1:15" ht="15" customHeight="1" x14ac:dyDescent="0.3">
      <c r="A4371" s="23" t="s">
        <v>9215</v>
      </c>
      <c r="B4371" s="38">
        <v>46293</v>
      </c>
      <c r="C4371" s="23" t="s">
        <v>9216</v>
      </c>
      <c r="D4371" s="23" t="s">
        <v>91</v>
      </c>
      <c r="E4371" s="23" t="s">
        <v>75</v>
      </c>
      <c r="F4371" s="23" t="s">
        <v>553</v>
      </c>
      <c r="G4371" s="23" t="s">
        <v>250</v>
      </c>
      <c r="H4371" s="39">
        <f t="shared" si="272"/>
        <v>2798</v>
      </c>
      <c r="I4371" s="23" t="str">
        <f t="shared" si="273"/>
        <v>Pune</v>
      </c>
      <c r="J4371" s="23">
        <f>COUNTIFS(pg_transaction_cleaned!$O:$O,A4371,pg_transaction_cleaned!$F:$F,"CAPTURE")</f>
        <v>1</v>
      </c>
      <c r="K4371" s="39">
        <f>SUMIFS(pg_transaction_cleaned!$H:$H,pg_transaction_cleaned!$O:$O,A4371,pg_transaction_cleaned!$F:$F,"CAPTURE")</f>
        <v>2798</v>
      </c>
      <c r="L4371" s="23">
        <f>COUNTIFS(pg_transaction_cleaned!$O:$O,A4371,pg_transaction_cleaned!$F:$F,"REFUND")</f>
        <v>0</v>
      </c>
      <c r="M4371" s="39">
        <f>SUMIFS(pg_transaction_cleaned!$H:$H,pg_transaction_cleaned!$O:$O,A4371,pg_transaction_cleaned!$F:$F,"REFUND")</f>
        <v>0</v>
      </c>
      <c r="N4371" s="23" t="str">
        <f t="shared" si="274"/>
        <v>OK</v>
      </c>
      <c r="O4371" s="24">
        <f t="shared" si="275"/>
        <v>0</v>
      </c>
    </row>
    <row r="4372" spans="1:15" ht="15" customHeight="1" x14ac:dyDescent="0.3">
      <c r="A4372" s="23" t="s">
        <v>9217</v>
      </c>
      <c r="B4372" s="38">
        <v>46268</v>
      </c>
      <c r="C4372" s="23" t="s">
        <v>9218</v>
      </c>
      <c r="D4372" s="23" t="s">
        <v>91</v>
      </c>
      <c r="E4372" s="23" t="s">
        <v>75</v>
      </c>
      <c r="F4372" s="23" t="s">
        <v>297</v>
      </c>
      <c r="G4372" s="23" t="s">
        <v>250</v>
      </c>
      <c r="H4372" s="39">
        <f t="shared" si="272"/>
        <v>4999</v>
      </c>
      <c r="I4372" s="23" t="str">
        <f t="shared" si="273"/>
        <v>Pune</v>
      </c>
      <c r="J4372" s="23">
        <f>COUNTIFS(pg_transaction_cleaned!$O:$O,A4372,pg_transaction_cleaned!$F:$F,"CAPTURE")</f>
        <v>1</v>
      </c>
      <c r="K4372" s="39">
        <f>SUMIFS(pg_transaction_cleaned!$H:$H,pg_transaction_cleaned!$O:$O,A4372,pg_transaction_cleaned!$F:$F,"CAPTURE")</f>
        <v>4999</v>
      </c>
      <c r="L4372" s="23">
        <f>COUNTIFS(pg_transaction_cleaned!$O:$O,A4372,pg_transaction_cleaned!$F:$F,"REFUND")</f>
        <v>0</v>
      </c>
      <c r="M4372" s="39">
        <f>SUMIFS(pg_transaction_cleaned!$H:$H,pg_transaction_cleaned!$O:$O,A4372,pg_transaction_cleaned!$F:$F,"REFUND")</f>
        <v>0</v>
      </c>
      <c r="N4372" s="23" t="str">
        <f t="shared" si="274"/>
        <v>OK</v>
      </c>
      <c r="O4372" s="24">
        <f t="shared" si="275"/>
        <v>0</v>
      </c>
    </row>
    <row r="4373" spans="1:15" ht="15" customHeight="1" x14ac:dyDescent="0.3">
      <c r="A4373" s="23" t="s">
        <v>9219</v>
      </c>
      <c r="B4373" s="38">
        <v>46276</v>
      </c>
      <c r="C4373" s="23" t="s">
        <v>9220</v>
      </c>
      <c r="D4373" s="23" t="s">
        <v>87</v>
      </c>
      <c r="E4373" s="23" t="s">
        <v>75</v>
      </c>
      <c r="F4373" s="23" t="s">
        <v>343</v>
      </c>
      <c r="G4373" s="23" t="s">
        <v>250</v>
      </c>
      <c r="H4373" s="39">
        <f t="shared" si="272"/>
        <v>9498</v>
      </c>
      <c r="I4373" s="23" t="str">
        <f t="shared" si="273"/>
        <v>Mumbai</v>
      </c>
      <c r="J4373" s="23">
        <f>COUNTIFS(pg_transaction_cleaned!$O:$O,A4373,pg_transaction_cleaned!$F:$F,"CAPTURE")</f>
        <v>1</v>
      </c>
      <c r="K4373" s="39">
        <f>SUMIFS(pg_transaction_cleaned!$H:$H,pg_transaction_cleaned!$O:$O,A4373,pg_transaction_cleaned!$F:$F,"CAPTURE")</f>
        <v>9498</v>
      </c>
      <c r="L4373" s="23">
        <f>COUNTIFS(pg_transaction_cleaned!$O:$O,A4373,pg_transaction_cleaned!$F:$F,"REFUND")</f>
        <v>0</v>
      </c>
      <c r="M4373" s="39">
        <f>SUMIFS(pg_transaction_cleaned!$H:$H,pg_transaction_cleaned!$O:$O,A4373,pg_transaction_cleaned!$F:$F,"REFUND")</f>
        <v>0</v>
      </c>
      <c r="N4373" s="23" t="str">
        <f t="shared" si="274"/>
        <v>OK</v>
      </c>
      <c r="O4373" s="24">
        <f t="shared" si="275"/>
        <v>0</v>
      </c>
    </row>
    <row r="4374" spans="1:15" ht="15" customHeight="1" x14ac:dyDescent="0.3">
      <c r="A4374" s="23" t="s">
        <v>9221</v>
      </c>
      <c r="B4374" s="38">
        <v>46286</v>
      </c>
      <c r="C4374" s="23" t="s">
        <v>9222</v>
      </c>
      <c r="D4374" s="23" t="s">
        <v>91</v>
      </c>
      <c r="E4374" s="23" t="s">
        <v>75</v>
      </c>
      <c r="F4374" s="23" t="s">
        <v>274</v>
      </c>
      <c r="G4374" s="23" t="s">
        <v>250</v>
      </c>
      <c r="H4374" s="39">
        <f t="shared" si="272"/>
        <v>349</v>
      </c>
      <c r="I4374" s="23" t="str">
        <f t="shared" si="273"/>
        <v>Pune</v>
      </c>
      <c r="J4374" s="23">
        <f>COUNTIFS(pg_transaction_cleaned!$O:$O,A4374,pg_transaction_cleaned!$F:$F,"CAPTURE")</f>
        <v>1</v>
      </c>
      <c r="K4374" s="39">
        <f>SUMIFS(pg_transaction_cleaned!$H:$H,pg_transaction_cleaned!$O:$O,A4374,pg_transaction_cleaned!$F:$F,"CAPTURE")</f>
        <v>349</v>
      </c>
      <c r="L4374" s="23">
        <f>COUNTIFS(pg_transaction_cleaned!$O:$O,A4374,pg_transaction_cleaned!$F:$F,"REFUND")</f>
        <v>0</v>
      </c>
      <c r="M4374" s="39">
        <f>SUMIFS(pg_transaction_cleaned!$H:$H,pg_transaction_cleaned!$O:$O,A4374,pg_transaction_cleaned!$F:$F,"REFUND")</f>
        <v>0</v>
      </c>
      <c r="N4374" s="23" t="str">
        <f t="shared" si="274"/>
        <v>OK</v>
      </c>
      <c r="O4374" s="24">
        <f t="shared" si="275"/>
        <v>0</v>
      </c>
    </row>
    <row r="4375" spans="1:15" ht="15" customHeight="1" x14ac:dyDescent="0.3">
      <c r="A4375" s="23" t="s">
        <v>9223</v>
      </c>
      <c r="B4375" s="38">
        <v>46278</v>
      </c>
      <c r="C4375" s="23" t="s">
        <v>9224</v>
      </c>
      <c r="D4375" s="23" t="s">
        <v>86</v>
      </c>
      <c r="E4375" s="23" t="s">
        <v>77</v>
      </c>
      <c r="F4375" s="23" t="s">
        <v>307</v>
      </c>
      <c r="G4375" s="23" t="s">
        <v>250</v>
      </c>
      <c r="H4375" s="39">
        <f t="shared" si="272"/>
        <v>3798</v>
      </c>
      <c r="I4375" s="23" t="str">
        <f t="shared" si="273"/>
        <v>Delhi</v>
      </c>
      <c r="J4375" s="23">
        <f>COUNTIFS(pg_transaction_cleaned!$O:$O,A4375,pg_transaction_cleaned!$F:$F,"CAPTURE")</f>
        <v>1</v>
      </c>
      <c r="K4375" s="39">
        <f>SUMIFS(pg_transaction_cleaned!$H:$H,pg_transaction_cleaned!$O:$O,A4375,pg_transaction_cleaned!$F:$F,"CAPTURE")</f>
        <v>3798</v>
      </c>
      <c r="L4375" s="23">
        <f>COUNTIFS(pg_transaction_cleaned!$O:$O,A4375,pg_transaction_cleaned!$F:$F,"REFUND")</f>
        <v>0</v>
      </c>
      <c r="M4375" s="39">
        <f>SUMIFS(pg_transaction_cleaned!$H:$H,pg_transaction_cleaned!$O:$O,A4375,pg_transaction_cleaned!$F:$F,"REFUND")</f>
        <v>0</v>
      </c>
      <c r="N4375" s="23" t="str">
        <f t="shared" si="274"/>
        <v>OK</v>
      </c>
      <c r="O4375" s="24">
        <f t="shared" si="275"/>
        <v>0</v>
      </c>
    </row>
    <row r="4376" spans="1:15" ht="15" customHeight="1" x14ac:dyDescent="0.3">
      <c r="A4376" s="23" t="s">
        <v>9225</v>
      </c>
      <c r="B4376" s="38">
        <v>46272</v>
      </c>
      <c r="C4376" s="23" t="s">
        <v>9226</v>
      </c>
      <c r="D4376" s="23" t="s">
        <v>93</v>
      </c>
      <c r="E4376" s="23" t="s">
        <v>77</v>
      </c>
      <c r="F4376" s="23" t="s">
        <v>291</v>
      </c>
      <c r="G4376" s="23" t="s">
        <v>250</v>
      </c>
      <c r="H4376" s="39">
        <f t="shared" si="272"/>
        <v>3499</v>
      </c>
      <c r="I4376" s="23" t="str">
        <f t="shared" si="273"/>
        <v>Kolkata</v>
      </c>
      <c r="J4376" s="23">
        <f>COUNTIFS(pg_transaction_cleaned!$O:$O,A4376,pg_transaction_cleaned!$F:$F,"CAPTURE")</f>
        <v>1</v>
      </c>
      <c r="K4376" s="39">
        <f>SUMIFS(pg_transaction_cleaned!$H:$H,pg_transaction_cleaned!$O:$O,A4376,pg_transaction_cleaned!$F:$F,"CAPTURE")</f>
        <v>3499</v>
      </c>
      <c r="L4376" s="23">
        <f>COUNTIFS(pg_transaction_cleaned!$O:$O,A4376,pg_transaction_cleaned!$F:$F,"REFUND")</f>
        <v>0</v>
      </c>
      <c r="M4376" s="39">
        <f>SUMIFS(pg_transaction_cleaned!$H:$H,pg_transaction_cleaned!$O:$O,A4376,pg_transaction_cleaned!$F:$F,"REFUND")</f>
        <v>0</v>
      </c>
      <c r="N4376" s="23" t="str">
        <f t="shared" si="274"/>
        <v>OK</v>
      </c>
      <c r="O4376" s="24">
        <f t="shared" si="275"/>
        <v>0</v>
      </c>
    </row>
    <row r="4377" spans="1:15" ht="15" customHeight="1" x14ac:dyDescent="0.3">
      <c r="A4377" s="23" t="s">
        <v>9227</v>
      </c>
      <c r="B4377" s="38">
        <v>46284</v>
      </c>
      <c r="C4377" s="23" t="s">
        <v>9228</v>
      </c>
      <c r="D4377" s="23" t="s">
        <v>94</v>
      </c>
      <c r="E4377" s="23" t="s">
        <v>77</v>
      </c>
      <c r="F4377" s="23" t="s">
        <v>582</v>
      </c>
      <c r="G4377" s="23" t="s">
        <v>365</v>
      </c>
      <c r="H4377" s="39">
        <f t="shared" si="272"/>
        <v>1298</v>
      </c>
      <c r="I4377" s="23" t="str">
        <f t="shared" si="273"/>
        <v>Chennai</v>
      </c>
      <c r="J4377" s="23">
        <f>COUNTIFS(pg_transaction_cleaned!$O:$O,A4377,pg_transaction_cleaned!$F:$F,"CAPTURE")</f>
        <v>0</v>
      </c>
      <c r="K4377" s="39">
        <f>SUMIFS(pg_transaction_cleaned!$H:$H,pg_transaction_cleaned!$O:$O,A4377,pg_transaction_cleaned!$F:$F,"CAPTURE")</f>
        <v>0</v>
      </c>
      <c r="L4377" s="23">
        <f>COUNTIFS(pg_transaction_cleaned!$O:$O,A4377,pg_transaction_cleaned!$F:$F,"REFUND")</f>
        <v>0</v>
      </c>
      <c r="M4377" s="39">
        <f>SUMIFS(pg_transaction_cleaned!$H:$H,pg_transaction_cleaned!$O:$O,A4377,pg_transaction_cleaned!$F:$F,"REFUND")</f>
        <v>0</v>
      </c>
      <c r="N4377" s="23" t="str">
        <f t="shared" si="274"/>
        <v>OK</v>
      </c>
      <c r="O4377" s="24">
        <f t="shared" si="275"/>
        <v>0</v>
      </c>
    </row>
    <row r="4378" spans="1:15" ht="15" customHeight="1" x14ac:dyDescent="0.3">
      <c r="A4378" s="23" t="s">
        <v>9229</v>
      </c>
      <c r="B4378" s="38">
        <v>46290</v>
      </c>
      <c r="C4378" s="23" t="s">
        <v>9230</v>
      </c>
      <c r="D4378" s="23" t="s">
        <v>95</v>
      </c>
      <c r="E4378" s="23" t="s">
        <v>75</v>
      </c>
      <c r="F4378" s="23" t="s">
        <v>396</v>
      </c>
      <c r="G4378" s="23" t="s">
        <v>250</v>
      </c>
      <c r="H4378" s="39">
        <f t="shared" si="272"/>
        <v>2999</v>
      </c>
      <c r="I4378" s="23" t="str">
        <f t="shared" si="273"/>
        <v>Bengaluru</v>
      </c>
      <c r="J4378" s="23">
        <f>COUNTIFS(pg_transaction_cleaned!$O:$O,A4378,pg_transaction_cleaned!$F:$F,"CAPTURE")</f>
        <v>1</v>
      </c>
      <c r="K4378" s="39">
        <f>SUMIFS(pg_transaction_cleaned!$H:$H,pg_transaction_cleaned!$O:$O,A4378,pg_transaction_cleaned!$F:$F,"CAPTURE")</f>
        <v>2999</v>
      </c>
      <c r="L4378" s="23">
        <f>COUNTIFS(pg_transaction_cleaned!$O:$O,A4378,pg_transaction_cleaned!$F:$F,"REFUND")</f>
        <v>0</v>
      </c>
      <c r="M4378" s="39">
        <f>SUMIFS(pg_transaction_cleaned!$H:$H,pg_transaction_cleaned!$O:$O,A4378,pg_transaction_cleaned!$F:$F,"REFUND")</f>
        <v>0</v>
      </c>
      <c r="N4378" s="23" t="str">
        <f t="shared" si="274"/>
        <v>OK</v>
      </c>
      <c r="O4378" s="24">
        <f t="shared" si="275"/>
        <v>0</v>
      </c>
    </row>
    <row r="4379" spans="1:15" ht="15" customHeight="1" x14ac:dyDescent="0.3">
      <c r="A4379" s="23" t="s">
        <v>9231</v>
      </c>
      <c r="B4379" s="38">
        <v>46281</v>
      </c>
      <c r="C4379" s="23" t="s">
        <v>9232</v>
      </c>
      <c r="D4379" s="23" t="s">
        <v>86</v>
      </c>
      <c r="E4379" s="23" t="s">
        <v>81</v>
      </c>
      <c r="F4379" s="23" t="s">
        <v>760</v>
      </c>
      <c r="G4379" s="23" t="s">
        <v>250</v>
      </c>
      <c r="H4379" s="39">
        <f t="shared" si="272"/>
        <v>799</v>
      </c>
      <c r="I4379" s="23" t="str">
        <f t="shared" si="273"/>
        <v>Delhi</v>
      </c>
      <c r="J4379" s="23">
        <f>COUNTIFS(pg_transaction_cleaned!$O:$O,A4379,pg_transaction_cleaned!$F:$F,"CAPTURE")</f>
        <v>1</v>
      </c>
      <c r="K4379" s="39">
        <f>SUMIFS(pg_transaction_cleaned!$H:$H,pg_transaction_cleaned!$O:$O,A4379,pg_transaction_cleaned!$F:$F,"CAPTURE")</f>
        <v>799</v>
      </c>
      <c r="L4379" s="23">
        <f>COUNTIFS(pg_transaction_cleaned!$O:$O,A4379,pg_transaction_cleaned!$F:$F,"REFUND")</f>
        <v>0</v>
      </c>
      <c r="M4379" s="39">
        <f>SUMIFS(pg_transaction_cleaned!$H:$H,pg_transaction_cleaned!$O:$O,A4379,pg_transaction_cleaned!$F:$F,"REFUND")</f>
        <v>0</v>
      </c>
      <c r="N4379" s="23" t="str">
        <f t="shared" si="274"/>
        <v>OK</v>
      </c>
      <c r="O4379" s="24">
        <f t="shared" si="275"/>
        <v>0</v>
      </c>
    </row>
    <row r="4380" spans="1:15" ht="15" customHeight="1" x14ac:dyDescent="0.3">
      <c r="A4380" s="23" t="s">
        <v>9233</v>
      </c>
      <c r="B4380" s="38">
        <v>46291</v>
      </c>
      <c r="C4380" s="23" t="s">
        <v>9234</v>
      </c>
      <c r="D4380" s="23" t="s">
        <v>86</v>
      </c>
      <c r="E4380" s="23" t="s">
        <v>79</v>
      </c>
      <c r="F4380" s="23" t="s">
        <v>423</v>
      </c>
      <c r="G4380" s="23" t="s">
        <v>250</v>
      </c>
      <c r="H4380" s="39">
        <f t="shared" si="272"/>
        <v>1648</v>
      </c>
      <c r="I4380" s="23" t="str">
        <f t="shared" si="273"/>
        <v>Delhi</v>
      </c>
      <c r="J4380" s="23">
        <f>COUNTIFS(pg_transaction_cleaned!$O:$O,A4380,pg_transaction_cleaned!$F:$F,"CAPTURE")</f>
        <v>1</v>
      </c>
      <c r="K4380" s="39">
        <f>SUMIFS(pg_transaction_cleaned!$H:$H,pg_transaction_cleaned!$O:$O,A4380,pg_transaction_cleaned!$F:$F,"CAPTURE")</f>
        <v>1648</v>
      </c>
      <c r="L4380" s="23">
        <f>COUNTIFS(pg_transaction_cleaned!$O:$O,A4380,pg_transaction_cleaned!$F:$F,"REFUND")</f>
        <v>0</v>
      </c>
      <c r="M4380" s="39">
        <f>SUMIFS(pg_transaction_cleaned!$H:$H,pg_transaction_cleaned!$O:$O,A4380,pg_transaction_cleaned!$F:$F,"REFUND")</f>
        <v>0</v>
      </c>
      <c r="N4380" s="23" t="str">
        <f t="shared" si="274"/>
        <v>OK</v>
      </c>
      <c r="O4380" s="24">
        <f t="shared" si="275"/>
        <v>0</v>
      </c>
    </row>
    <row r="4381" spans="1:15" ht="15" customHeight="1" x14ac:dyDescent="0.3">
      <c r="A4381" s="23" t="s">
        <v>9235</v>
      </c>
      <c r="B4381" s="38">
        <v>46294</v>
      </c>
      <c r="C4381" s="23" t="s">
        <v>9236</v>
      </c>
      <c r="D4381" s="23" t="s">
        <v>86</v>
      </c>
      <c r="E4381" s="23" t="s">
        <v>75</v>
      </c>
      <c r="F4381" s="23" t="s">
        <v>775</v>
      </c>
      <c r="G4381" s="23" t="s">
        <v>250</v>
      </c>
      <c r="H4381" s="39">
        <f t="shared" si="272"/>
        <v>4999</v>
      </c>
      <c r="I4381" s="23" t="str">
        <f t="shared" si="273"/>
        <v>Delhi</v>
      </c>
      <c r="J4381" s="23">
        <f>COUNTIFS(pg_transaction_cleaned!$O:$O,A4381,pg_transaction_cleaned!$F:$F,"CAPTURE")</f>
        <v>1</v>
      </c>
      <c r="K4381" s="39">
        <f>SUMIFS(pg_transaction_cleaned!$H:$H,pg_transaction_cleaned!$O:$O,A4381,pg_transaction_cleaned!$F:$F,"CAPTURE")</f>
        <v>4999</v>
      </c>
      <c r="L4381" s="23">
        <f>COUNTIFS(pg_transaction_cleaned!$O:$O,A4381,pg_transaction_cleaned!$F:$F,"REFUND")</f>
        <v>0</v>
      </c>
      <c r="M4381" s="39">
        <f>SUMIFS(pg_transaction_cleaned!$H:$H,pg_transaction_cleaned!$O:$O,A4381,pg_transaction_cleaned!$F:$F,"REFUND")</f>
        <v>0</v>
      </c>
      <c r="N4381" s="23" t="str">
        <f t="shared" si="274"/>
        <v>OK</v>
      </c>
      <c r="O4381" s="24">
        <f t="shared" si="275"/>
        <v>0</v>
      </c>
    </row>
    <row r="4382" spans="1:15" ht="15" customHeight="1" x14ac:dyDescent="0.3">
      <c r="A4382" s="23" t="s">
        <v>9237</v>
      </c>
      <c r="B4382" s="38">
        <v>46276</v>
      </c>
      <c r="C4382" s="23" t="s">
        <v>9238</v>
      </c>
      <c r="D4382" s="23" t="s">
        <v>90</v>
      </c>
      <c r="E4382" s="23" t="s">
        <v>75</v>
      </c>
      <c r="F4382" s="23" t="s">
        <v>310</v>
      </c>
      <c r="G4382" s="23" t="s">
        <v>250</v>
      </c>
      <c r="H4382" s="39">
        <f t="shared" si="272"/>
        <v>7999</v>
      </c>
      <c r="I4382" s="23" t="str">
        <f t="shared" si="273"/>
        <v>Ahmedabad</v>
      </c>
      <c r="J4382" s="23">
        <f>COUNTIFS(pg_transaction_cleaned!$O:$O,A4382,pg_transaction_cleaned!$F:$F,"CAPTURE")</f>
        <v>1</v>
      </c>
      <c r="K4382" s="39">
        <f>SUMIFS(pg_transaction_cleaned!$H:$H,pg_transaction_cleaned!$O:$O,A4382,pg_transaction_cleaned!$F:$F,"CAPTURE")</f>
        <v>7999</v>
      </c>
      <c r="L4382" s="23">
        <f>COUNTIFS(pg_transaction_cleaned!$O:$O,A4382,pg_transaction_cleaned!$F:$F,"REFUND")</f>
        <v>0</v>
      </c>
      <c r="M4382" s="39">
        <f>SUMIFS(pg_transaction_cleaned!$H:$H,pg_transaction_cleaned!$O:$O,A4382,pg_transaction_cleaned!$F:$F,"REFUND")</f>
        <v>0</v>
      </c>
      <c r="N4382" s="23" t="str">
        <f t="shared" si="274"/>
        <v>OK</v>
      </c>
      <c r="O4382" s="24">
        <f t="shared" si="275"/>
        <v>0</v>
      </c>
    </row>
    <row r="4383" spans="1:15" ht="15" customHeight="1" x14ac:dyDescent="0.3">
      <c r="A4383" s="23" t="s">
        <v>9239</v>
      </c>
      <c r="B4383" s="38">
        <v>46279</v>
      </c>
      <c r="C4383" s="23" t="s">
        <v>3129</v>
      </c>
      <c r="D4383" s="23" t="s">
        <v>93</v>
      </c>
      <c r="E4383" s="23" t="s">
        <v>75</v>
      </c>
      <c r="F4383" s="23" t="s">
        <v>2304</v>
      </c>
      <c r="G4383" s="23" t="s">
        <v>250</v>
      </c>
      <c r="H4383" s="39">
        <f t="shared" si="272"/>
        <v>6797</v>
      </c>
      <c r="I4383" s="23" t="str">
        <f t="shared" si="273"/>
        <v>Kolkata</v>
      </c>
      <c r="J4383" s="23">
        <f>COUNTIFS(pg_transaction_cleaned!$O:$O,A4383,pg_transaction_cleaned!$F:$F,"CAPTURE")</f>
        <v>1</v>
      </c>
      <c r="K4383" s="39">
        <f>SUMIFS(pg_transaction_cleaned!$H:$H,pg_transaction_cleaned!$O:$O,A4383,pg_transaction_cleaned!$F:$F,"CAPTURE")</f>
        <v>6797</v>
      </c>
      <c r="L4383" s="23">
        <f>COUNTIFS(pg_transaction_cleaned!$O:$O,A4383,pg_transaction_cleaned!$F:$F,"REFUND")</f>
        <v>0</v>
      </c>
      <c r="M4383" s="39">
        <f>SUMIFS(pg_transaction_cleaned!$H:$H,pg_transaction_cleaned!$O:$O,A4383,pg_transaction_cleaned!$F:$F,"REFUND")</f>
        <v>0</v>
      </c>
      <c r="N4383" s="23" t="str">
        <f t="shared" si="274"/>
        <v>OK</v>
      </c>
      <c r="O4383" s="24">
        <f t="shared" si="275"/>
        <v>0</v>
      </c>
    </row>
    <row r="4384" spans="1:15" ht="15" customHeight="1" x14ac:dyDescent="0.3">
      <c r="A4384" s="23" t="s">
        <v>9240</v>
      </c>
      <c r="B4384" s="38">
        <v>46290</v>
      </c>
      <c r="C4384" s="23" t="s">
        <v>9241</v>
      </c>
      <c r="D4384" s="23" t="s">
        <v>89</v>
      </c>
      <c r="E4384" s="23" t="s">
        <v>79</v>
      </c>
      <c r="F4384" s="23" t="s">
        <v>294</v>
      </c>
      <c r="G4384" s="23" t="s">
        <v>250</v>
      </c>
      <c r="H4384" s="39">
        <f t="shared" si="272"/>
        <v>1799</v>
      </c>
      <c r="I4384" s="23" t="str">
        <f t="shared" si="273"/>
        <v>Jaipur</v>
      </c>
      <c r="J4384" s="23">
        <f>COUNTIFS(pg_transaction_cleaned!$O:$O,A4384,pg_transaction_cleaned!$F:$F,"CAPTURE")</f>
        <v>1</v>
      </c>
      <c r="K4384" s="39">
        <f>SUMIFS(pg_transaction_cleaned!$H:$H,pg_transaction_cleaned!$O:$O,A4384,pg_transaction_cleaned!$F:$F,"CAPTURE")</f>
        <v>1799</v>
      </c>
      <c r="L4384" s="23">
        <f>COUNTIFS(pg_transaction_cleaned!$O:$O,A4384,pg_transaction_cleaned!$F:$F,"REFUND")</f>
        <v>0</v>
      </c>
      <c r="M4384" s="39">
        <f>SUMIFS(pg_transaction_cleaned!$H:$H,pg_transaction_cleaned!$O:$O,A4384,pg_transaction_cleaned!$F:$F,"REFUND")</f>
        <v>0</v>
      </c>
      <c r="N4384" s="23" t="str">
        <f t="shared" si="274"/>
        <v>OK</v>
      </c>
      <c r="O4384" s="24">
        <f t="shared" si="275"/>
        <v>0</v>
      </c>
    </row>
    <row r="4385" spans="1:15" ht="15" customHeight="1" x14ac:dyDescent="0.3">
      <c r="A4385" s="23" t="s">
        <v>9242</v>
      </c>
      <c r="B4385" s="38">
        <v>46293</v>
      </c>
      <c r="C4385" s="23" t="s">
        <v>9243</v>
      </c>
      <c r="D4385" s="23" t="s">
        <v>95</v>
      </c>
      <c r="E4385" s="23" t="s">
        <v>75</v>
      </c>
      <c r="F4385" s="23" t="s">
        <v>396</v>
      </c>
      <c r="G4385" s="23" t="s">
        <v>250</v>
      </c>
      <c r="H4385" s="39">
        <f t="shared" si="272"/>
        <v>2999</v>
      </c>
      <c r="I4385" s="23" t="str">
        <f t="shared" si="273"/>
        <v>Bengaluru</v>
      </c>
      <c r="J4385" s="23">
        <f>COUNTIFS(pg_transaction_cleaned!$O:$O,A4385,pg_transaction_cleaned!$F:$F,"CAPTURE")</f>
        <v>1</v>
      </c>
      <c r="K4385" s="39">
        <f>SUMIFS(pg_transaction_cleaned!$H:$H,pg_transaction_cleaned!$O:$O,A4385,pg_transaction_cleaned!$F:$F,"CAPTURE")</f>
        <v>2999</v>
      </c>
      <c r="L4385" s="23">
        <f>COUNTIFS(pg_transaction_cleaned!$O:$O,A4385,pg_transaction_cleaned!$F:$F,"REFUND")</f>
        <v>0</v>
      </c>
      <c r="M4385" s="39">
        <f>SUMIFS(pg_transaction_cleaned!$H:$H,pg_transaction_cleaned!$O:$O,A4385,pg_transaction_cleaned!$F:$F,"REFUND")</f>
        <v>0</v>
      </c>
      <c r="N4385" s="23" t="str">
        <f t="shared" si="274"/>
        <v>OK</v>
      </c>
      <c r="O4385" s="24">
        <f t="shared" si="275"/>
        <v>0</v>
      </c>
    </row>
    <row r="4386" spans="1:15" ht="15" customHeight="1" x14ac:dyDescent="0.3">
      <c r="A4386" s="23" t="s">
        <v>9244</v>
      </c>
      <c r="B4386" s="38">
        <v>46266</v>
      </c>
      <c r="C4386" s="23" t="s">
        <v>9245</v>
      </c>
      <c r="D4386" s="23" t="s">
        <v>90</v>
      </c>
      <c r="E4386" s="23" t="s">
        <v>81</v>
      </c>
      <c r="F4386" s="23" t="s">
        <v>8704</v>
      </c>
      <c r="G4386" s="23" t="s">
        <v>250</v>
      </c>
      <c r="H4386" s="39">
        <f t="shared" si="272"/>
        <v>8647</v>
      </c>
      <c r="I4386" s="23" t="str">
        <f t="shared" si="273"/>
        <v>Ahmedabad</v>
      </c>
      <c r="J4386" s="23">
        <f>COUNTIFS(pg_transaction_cleaned!$O:$O,A4386,pg_transaction_cleaned!$F:$F,"CAPTURE")</f>
        <v>1</v>
      </c>
      <c r="K4386" s="39">
        <f>SUMIFS(pg_transaction_cleaned!$H:$H,pg_transaction_cleaned!$O:$O,A4386,pg_transaction_cleaned!$F:$F,"CAPTURE")</f>
        <v>8647</v>
      </c>
      <c r="L4386" s="23">
        <f>COUNTIFS(pg_transaction_cleaned!$O:$O,A4386,pg_transaction_cleaned!$F:$F,"REFUND")</f>
        <v>0</v>
      </c>
      <c r="M4386" s="39">
        <f>SUMIFS(pg_transaction_cleaned!$H:$H,pg_transaction_cleaned!$O:$O,A4386,pg_transaction_cleaned!$F:$F,"REFUND")</f>
        <v>0</v>
      </c>
      <c r="N4386" s="23" t="str">
        <f t="shared" si="274"/>
        <v>OK</v>
      </c>
      <c r="O4386" s="24">
        <f t="shared" si="275"/>
        <v>0</v>
      </c>
    </row>
    <row r="4387" spans="1:15" ht="15" customHeight="1" x14ac:dyDescent="0.3">
      <c r="A4387" s="23" t="s">
        <v>9246</v>
      </c>
      <c r="B4387" s="38">
        <v>46283</v>
      </c>
      <c r="C4387" s="23" t="s">
        <v>9247</v>
      </c>
      <c r="D4387" s="23" t="s">
        <v>95</v>
      </c>
      <c r="E4387" s="23" t="s">
        <v>77</v>
      </c>
      <c r="F4387" s="23" t="s">
        <v>307</v>
      </c>
      <c r="G4387" s="23" t="s">
        <v>250</v>
      </c>
      <c r="H4387" s="39">
        <f t="shared" si="272"/>
        <v>3798</v>
      </c>
      <c r="I4387" s="23" t="str">
        <f t="shared" si="273"/>
        <v>Bengaluru</v>
      </c>
      <c r="J4387" s="23">
        <f>COUNTIFS(pg_transaction_cleaned!$O:$O,A4387,pg_transaction_cleaned!$F:$F,"CAPTURE")</f>
        <v>1</v>
      </c>
      <c r="K4387" s="39">
        <f>SUMIFS(pg_transaction_cleaned!$H:$H,pg_transaction_cleaned!$O:$O,A4387,pg_transaction_cleaned!$F:$F,"CAPTURE")</f>
        <v>3798</v>
      </c>
      <c r="L4387" s="23">
        <f>COUNTIFS(pg_transaction_cleaned!$O:$O,A4387,pg_transaction_cleaned!$F:$F,"REFUND")</f>
        <v>0</v>
      </c>
      <c r="M4387" s="39">
        <f>SUMIFS(pg_transaction_cleaned!$H:$H,pg_transaction_cleaned!$O:$O,A4387,pg_transaction_cleaned!$F:$F,"REFUND")</f>
        <v>0</v>
      </c>
      <c r="N4387" s="23" t="str">
        <f t="shared" si="274"/>
        <v>OK</v>
      </c>
      <c r="O4387" s="24">
        <f t="shared" si="275"/>
        <v>0</v>
      </c>
    </row>
    <row r="4388" spans="1:15" ht="15" customHeight="1" x14ac:dyDescent="0.3">
      <c r="A4388" s="23" t="s">
        <v>9248</v>
      </c>
      <c r="B4388" s="38">
        <v>46266</v>
      </c>
      <c r="C4388" s="23" t="s">
        <v>9249</v>
      </c>
      <c r="D4388" s="23" t="s">
        <v>90</v>
      </c>
      <c r="E4388" s="23" t="s">
        <v>81</v>
      </c>
      <c r="F4388" s="23" t="s">
        <v>396</v>
      </c>
      <c r="G4388" s="23" t="s">
        <v>365</v>
      </c>
      <c r="H4388" s="39">
        <f t="shared" si="272"/>
        <v>2999</v>
      </c>
      <c r="I4388" s="23" t="str">
        <f t="shared" si="273"/>
        <v>Ahmedabad</v>
      </c>
      <c r="J4388" s="23">
        <f>COUNTIFS(pg_transaction_cleaned!$O:$O,A4388,pg_transaction_cleaned!$F:$F,"CAPTURE")</f>
        <v>0</v>
      </c>
      <c r="K4388" s="39">
        <f>SUMIFS(pg_transaction_cleaned!$H:$H,pg_transaction_cleaned!$O:$O,A4388,pg_transaction_cleaned!$F:$F,"CAPTURE")</f>
        <v>0</v>
      </c>
      <c r="L4388" s="23">
        <f>COUNTIFS(pg_transaction_cleaned!$O:$O,A4388,pg_transaction_cleaned!$F:$F,"REFUND")</f>
        <v>0</v>
      </c>
      <c r="M4388" s="39">
        <f>SUMIFS(pg_transaction_cleaned!$H:$H,pg_transaction_cleaned!$O:$O,A4388,pg_transaction_cleaned!$F:$F,"REFUND")</f>
        <v>0</v>
      </c>
      <c r="N4388" s="23" t="str">
        <f t="shared" si="274"/>
        <v>OK</v>
      </c>
      <c r="O4388" s="24">
        <f t="shared" si="275"/>
        <v>0</v>
      </c>
    </row>
    <row r="4389" spans="1:15" ht="15" customHeight="1" x14ac:dyDescent="0.3">
      <c r="A4389" s="23" t="s">
        <v>9250</v>
      </c>
      <c r="B4389" s="38">
        <v>46280</v>
      </c>
      <c r="C4389" s="23" t="s">
        <v>9251</v>
      </c>
      <c r="D4389" s="23"/>
      <c r="E4389" s="23" t="s">
        <v>75</v>
      </c>
      <c r="F4389" s="23" t="s">
        <v>294</v>
      </c>
      <c r="G4389" s="23" t="s">
        <v>250</v>
      </c>
      <c r="H4389" s="39">
        <f t="shared" si="272"/>
        <v>1799</v>
      </c>
      <c r="I4389" s="23" t="str">
        <f t="shared" si="273"/>
        <v>Unknown</v>
      </c>
      <c r="J4389" s="23">
        <f>COUNTIFS(pg_transaction_cleaned!$O:$O,A4389,pg_transaction_cleaned!$F:$F,"CAPTURE")</f>
        <v>1</v>
      </c>
      <c r="K4389" s="39">
        <f>SUMIFS(pg_transaction_cleaned!$H:$H,pg_transaction_cleaned!$O:$O,A4389,pg_transaction_cleaned!$F:$F,"CAPTURE")</f>
        <v>1799</v>
      </c>
      <c r="L4389" s="23">
        <f>COUNTIFS(pg_transaction_cleaned!$O:$O,A4389,pg_transaction_cleaned!$F:$F,"REFUND")</f>
        <v>0</v>
      </c>
      <c r="M4389" s="39">
        <f>SUMIFS(pg_transaction_cleaned!$H:$H,pg_transaction_cleaned!$O:$O,A4389,pg_transaction_cleaned!$F:$F,"REFUND")</f>
        <v>0</v>
      </c>
      <c r="N4389" s="23" t="str">
        <f t="shared" si="274"/>
        <v>OK</v>
      </c>
      <c r="O4389" s="24">
        <f t="shared" si="275"/>
        <v>0</v>
      </c>
    </row>
    <row r="4390" spans="1:15" ht="15" customHeight="1" x14ac:dyDescent="0.3">
      <c r="A4390" s="23" t="s">
        <v>9252</v>
      </c>
      <c r="B4390" s="38">
        <v>46276</v>
      </c>
      <c r="C4390" s="23" t="s">
        <v>9253</v>
      </c>
      <c r="D4390" s="23" t="s">
        <v>92</v>
      </c>
      <c r="E4390" s="23" t="s">
        <v>79</v>
      </c>
      <c r="F4390" s="23" t="s">
        <v>1372</v>
      </c>
      <c r="G4390" s="23" t="s">
        <v>318</v>
      </c>
      <c r="H4390" s="39">
        <f t="shared" si="272"/>
        <v>798</v>
      </c>
      <c r="I4390" s="23" t="str">
        <f t="shared" si="273"/>
        <v>Hyderabad</v>
      </c>
      <c r="J4390" s="23">
        <f>COUNTIFS(pg_transaction_cleaned!$O:$O,A4390,pg_transaction_cleaned!$F:$F,"CAPTURE")</f>
        <v>0</v>
      </c>
      <c r="K4390" s="39">
        <f>SUMIFS(pg_transaction_cleaned!$H:$H,pg_transaction_cleaned!$O:$O,A4390,pg_transaction_cleaned!$F:$F,"CAPTURE")</f>
        <v>0</v>
      </c>
      <c r="L4390" s="23">
        <f>COUNTIFS(pg_transaction_cleaned!$O:$O,A4390,pg_transaction_cleaned!$F:$F,"REFUND")</f>
        <v>0</v>
      </c>
      <c r="M4390" s="39">
        <f>SUMIFS(pg_transaction_cleaned!$H:$H,pg_transaction_cleaned!$O:$O,A4390,pg_transaction_cleaned!$F:$F,"REFUND")</f>
        <v>0</v>
      </c>
      <c r="N4390" s="23" t="str">
        <f t="shared" si="274"/>
        <v>OK</v>
      </c>
      <c r="O4390" s="24">
        <f t="shared" si="275"/>
        <v>0</v>
      </c>
    </row>
    <row r="4391" spans="1:15" ht="15" customHeight="1" x14ac:dyDescent="0.3">
      <c r="A4391" s="23" t="s">
        <v>9254</v>
      </c>
      <c r="B4391" s="38">
        <v>46275</v>
      </c>
      <c r="C4391" s="23" t="s">
        <v>9255</v>
      </c>
      <c r="D4391" s="23" t="s">
        <v>93</v>
      </c>
      <c r="E4391" s="23" t="s">
        <v>75</v>
      </c>
      <c r="F4391" s="23" t="s">
        <v>1662</v>
      </c>
      <c r="G4391" s="23" t="s">
        <v>250</v>
      </c>
      <c r="H4391" s="39">
        <f t="shared" si="272"/>
        <v>4397</v>
      </c>
      <c r="I4391" s="23" t="str">
        <f t="shared" si="273"/>
        <v>Kolkata</v>
      </c>
      <c r="J4391" s="23">
        <f>COUNTIFS(pg_transaction_cleaned!$O:$O,A4391,pg_transaction_cleaned!$F:$F,"CAPTURE")</f>
        <v>1</v>
      </c>
      <c r="K4391" s="39">
        <f>SUMIFS(pg_transaction_cleaned!$H:$H,pg_transaction_cleaned!$O:$O,A4391,pg_transaction_cleaned!$F:$F,"CAPTURE")</f>
        <v>4397</v>
      </c>
      <c r="L4391" s="23">
        <f>COUNTIFS(pg_transaction_cleaned!$O:$O,A4391,pg_transaction_cleaned!$F:$F,"REFUND")</f>
        <v>0</v>
      </c>
      <c r="M4391" s="39">
        <f>SUMIFS(pg_transaction_cleaned!$H:$H,pg_transaction_cleaned!$O:$O,A4391,pg_transaction_cleaned!$F:$F,"REFUND")</f>
        <v>0</v>
      </c>
      <c r="N4391" s="23" t="str">
        <f t="shared" si="274"/>
        <v>OK</v>
      </c>
      <c r="O4391" s="24">
        <f t="shared" si="275"/>
        <v>0</v>
      </c>
    </row>
    <row r="4392" spans="1:15" ht="15" customHeight="1" x14ac:dyDescent="0.3">
      <c r="A4392" s="23" t="s">
        <v>9256</v>
      </c>
      <c r="B4392" s="38">
        <v>46289</v>
      </c>
      <c r="C4392" s="23" t="s">
        <v>9257</v>
      </c>
      <c r="D4392" s="23" t="s">
        <v>95</v>
      </c>
      <c r="E4392" s="23" t="s">
        <v>75</v>
      </c>
      <c r="F4392" s="23" t="s">
        <v>1588</v>
      </c>
      <c r="G4392" s="23" t="s">
        <v>250</v>
      </c>
      <c r="H4392" s="39">
        <f t="shared" si="272"/>
        <v>4697</v>
      </c>
      <c r="I4392" s="23" t="str">
        <f t="shared" si="273"/>
        <v>Bengaluru</v>
      </c>
      <c r="J4392" s="23">
        <f>COUNTIFS(pg_transaction_cleaned!$O:$O,A4392,pg_transaction_cleaned!$F:$F,"CAPTURE")</f>
        <v>1</v>
      </c>
      <c r="K4392" s="39">
        <f>SUMIFS(pg_transaction_cleaned!$H:$H,pg_transaction_cleaned!$O:$O,A4392,pg_transaction_cleaned!$F:$F,"CAPTURE")</f>
        <v>4697</v>
      </c>
      <c r="L4392" s="23">
        <f>COUNTIFS(pg_transaction_cleaned!$O:$O,A4392,pg_transaction_cleaned!$F:$F,"REFUND")</f>
        <v>0</v>
      </c>
      <c r="M4392" s="39">
        <f>SUMIFS(pg_transaction_cleaned!$H:$H,pg_transaction_cleaned!$O:$O,A4392,pg_transaction_cleaned!$F:$F,"REFUND")</f>
        <v>0</v>
      </c>
      <c r="N4392" s="23" t="str">
        <f t="shared" si="274"/>
        <v>OK</v>
      </c>
      <c r="O4392" s="24">
        <f t="shared" si="275"/>
        <v>0</v>
      </c>
    </row>
    <row r="4393" spans="1:15" ht="15" customHeight="1" x14ac:dyDescent="0.3">
      <c r="A4393" s="23" t="s">
        <v>9258</v>
      </c>
      <c r="B4393" s="38">
        <v>46273</v>
      </c>
      <c r="C4393" s="23" t="s">
        <v>9259</v>
      </c>
      <c r="D4393" s="23" t="s">
        <v>90</v>
      </c>
      <c r="E4393" s="23" t="s">
        <v>75</v>
      </c>
      <c r="F4393" s="23" t="s">
        <v>315</v>
      </c>
      <c r="G4393" s="23" t="s">
        <v>250</v>
      </c>
      <c r="H4393" s="39">
        <f t="shared" si="272"/>
        <v>1499</v>
      </c>
      <c r="I4393" s="23" t="str">
        <f t="shared" si="273"/>
        <v>Ahmedabad</v>
      </c>
      <c r="J4393" s="23">
        <f>COUNTIFS(pg_transaction_cleaned!$O:$O,A4393,pg_transaction_cleaned!$F:$F,"CAPTURE")</f>
        <v>1</v>
      </c>
      <c r="K4393" s="39">
        <f>SUMIFS(pg_transaction_cleaned!$H:$H,pg_transaction_cleaned!$O:$O,A4393,pg_transaction_cleaned!$F:$F,"CAPTURE")</f>
        <v>1499</v>
      </c>
      <c r="L4393" s="23">
        <f>COUNTIFS(pg_transaction_cleaned!$O:$O,A4393,pg_transaction_cleaned!$F:$F,"REFUND")</f>
        <v>0</v>
      </c>
      <c r="M4393" s="39">
        <f>SUMIFS(pg_transaction_cleaned!$H:$H,pg_transaction_cleaned!$O:$O,A4393,pg_transaction_cleaned!$F:$F,"REFUND")</f>
        <v>0</v>
      </c>
      <c r="N4393" s="23" t="str">
        <f t="shared" si="274"/>
        <v>OK</v>
      </c>
      <c r="O4393" s="24">
        <f t="shared" si="275"/>
        <v>0</v>
      </c>
    </row>
    <row r="4394" spans="1:15" ht="15" customHeight="1" x14ac:dyDescent="0.3">
      <c r="A4394" s="23" t="s">
        <v>9260</v>
      </c>
      <c r="B4394" s="38">
        <v>46294</v>
      </c>
      <c r="C4394" s="23" t="s">
        <v>9261</v>
      </c>
      <c r="D4394" s="23" t="s">
        <v>94</v>
      </c>
      <c r="E4394" s="23" t="s">
        <v>75</v>
      </c>
      <c r="F4394" s="23" t="s">
        <v>310</v>
      </c>
      <c r="G4394" s="23" t="s">
        <v>250</v>
      </c>
      <c r="H4394" s="39">
        <f t="shared" si="272"/>
        <v>7999</v>
      </c>
      <c r="I4394" s="23" t="str">
        <f t="shared" si="273"/>
        <v>Chennai</v>
      </c>
      <c r="J4394" s="23">
        <f>COUNTIFS(pg_transaction_cleaned!$O:$O,A4394,pg_transaction_cleaned!$F:$F,"CAPTURE")</f>
        <v>1</v>
      </c>
      <c r="K4394" s="39">
        <f>SUMIFS(pg_transaction_cleaned!$H:$H,pg_transaction_cleaned!$O:$O,A4394,pg_transaction_cleaned!$F:$F,"CAPTURE")</f>
        <v>7999</v>
      </c>
      <c r="L4394" s="23">
        <f>COUNTIFS(pg_transaction_cleaned!$O:$O,A4394,pg_transaction_cleaned!$F:$F,"REFUND")</f>
        <v>0</v>
      </c>
      <c r="M4394" s="39">
        <f>SUMIFS(pg_transaction_cleaned!$H:$H,pg_transaction_cleaned!$O:$O,A4394,pg_transaction_cleaned!$F:$F,"REFUND")</f>
        <v>0</v>
      </c>
      <c r="N4394" s="23" t="str">
        <f t="shared" si="274"/>
        <v>OK</v>
      </c>
      <c r="O4394" s="24">
        <f t="shared" si="275"/>
        <v>0</v>
      </c>
    </row>
    <row r="4395" spans="1:15" ht="15" customHeight="1" x14ac:dyDescent="0.3">
      <c r="A4395" s="23" t="s">
        <v>9262</v>
      </c>
      <c r="B4395" s="38">
        <v>46280</v>
      </c>
      <c r="C4395" s="23" t="s">
        <v>9263</v>
      </c>
      <c r="D4395" s="23" t="s">
        <v>95</v>
      </c>
      <c r="E4395" s="23" t="s">
        <v>77</v>
      </c>
      <c r="F4395" s="23" t="s">
        <v>349</v>
      </c>
      <c r="G4395" s="23" t="s">
        <v>250</v>
      </c>
      <c r="H4395" s="39">
        <f t="shared" si="272"/>
        <v>1798</v>
      </c>
      <c r="I4395" s="23" t="str">
        <f t="shared" si="273"/>
        <v>Bengaluru</v>
      </c>
      <c r="J4395" s="23">
        <f>COUNTIFS(pg_transaction_cleaned!$O:$O,A4395,pg_transaction_cleaned!$F:$F,"CAPTURE")</f>
        <v>1</v>
      </c>
      <c r="K4395" s="39">
        <f>SUMIFS(pg_transaction_cleaned!$H:$H,pg_transaction_cleaned!$O:$O,A4395,pg_transaction_cleaned!$F:$F,"CAPTURE")</f>
        <v>1798</v>
      </c>
      <c r="L4395" s="23">
        <f>COUNTIFS(pg_transaction_cleaned!$O:$O,A4395,pg_transaction_cleaned!$F:$F,"REFUND")</f>
        <v>0</v>
      </c>
      <c r="M4395" s="39">
        <f>SUMIFS(pg_transaction_cleaned!$H:$H,pg_transaction_cleaned!$O:$O,A4395,pg_transaction_cleaned!$F:$F,"REFUND")</f>
        <v>0</v>
      </c>
      <c r="N4395" s="23" t="str">
        <f t="shared" si="274"/>
        <v>OK</v>
      </c>
      <c r="O4395" s="24">
        <f t="shared" si="275"/>
        <v>0</v>
      </c>
    </row>
    <row r="4396" spans="1:15" ht="15" customHeight="1" x14ac:dyDescent="0.3">
      <c r="A4396" s="23" t="s">
        <v>9264</v>
      </c>
      <c r="B4396" s="38">
        <v>46278</v>
      </c>
      <c r="C4396" s="23" t="s">
        <v>9265</v>
      </c>
      <c r="D4396" s="23" t="s">
        <v>88</v>
      </c>
      <c r="E4396" s="23" t="s">
        <v>75</v>
      </c>
      <c r="F4396" s="23" t="s">
        <v>553</v>
      </c>
      <c r="G4396" s="23" t="s">
        <v>250</v>
      </c>
      <c r="H4396" s="39">
        <f t="shared" si="272"/>
        <v>2798</v>
      </c>
      <c r="I4396" s="23" t="str">
        <f t="shared" si="273"/>
        <v>Lucknow</v>
      </c>
      <c r="J4396" s="23">
        <f>COUNTIFS(pg_transaction_cleaned!$O:$O,A4396,pg_transaction_cleaned!$F:$F,"CAPTURE")</f>
        <v>1</v>
      </c>
      <c r="K4396" s="39">
        <f>SUMIFS(pg_transaction_cleaned!$H:$H,pg_transaction_cleaned!$O:$O,A4396,pg_transaction_cleaned!$F:$F,"CAPTURE")</f>
        <v>2798</v>
      </c>
      <c r="L4396" s="23">
        <f>COUNTIFS(pg_transaction_cleaned!$O:$O,A4396,pg_transaction_cleaned!$F:$F,"REFUND")</f>
        <v>0</v>
      </c>
      <c r="M4396" s="39">
        <f>SUMIFS(pg_transaction_cleaned!$H:$H,pg_transaction_cleaned!$O:$O,A4396,pg_transaction_cleaned!$F:$F,"REFUND")</f>
        <v>0</v>
      </c>
      <c r="N4396" s="23" t="str">
        <f t="shared" si="274"/>
        <v>OK</v>
      </c>
      <c r="O4396" s="24">
        <f t="shared" si="275"/>
        <v>0</v>
      </c>
    </row>
    <row r="4397" spans="1:15" ht="15" customHeight="1" x14ac:dyDescent="0.3">
      <c r="A4397" s="23" t="s">
        <v>9266</v>
      </c>
      <c r="B4397" s="38">
        <v>46281</v>
      </c>
      <c r="C4397" s="23" t="s">
        <v>9267</v>
      </c>
      <c r="D4397" s="23" t="s">
        <v>88</v>
      </c>
      <c r="E4397" s="23" t="s">
        <v>79</v>
      </c>
      <c r="F4397" s="23" t="s">
        <v>304</v>
      </c>
      <c r="G4397" s="23" t="s">
        <v>250</v>
      </c>
      <c r="H4397" s="39">
        <f t="shared" si="272"/>
        <v>5798</v>
      </c>
      <c r="I4397" s="23" t="str">
        <f t="shared" si="273"/>
        <v>Lucknow</v>
      </c>
      <c r="J4397" s="23">
        <f>COUNTIFS(pg_transaction_cleaned!$O:$O,A4397,pg_transaction_cleaned!$F:$F,"CAPTURE")</f>
        <v>1</v>
      </c>
      <c r="K4397" s="39">
        <f>SUMIFS(pg_transaction_cleaned!$H:$H,pg_transaction_cleaned!$O:$O,A4397,pg_transaction_cleaned!$F:$F,"CAPTURE")</f>
        <v>5798</v>
      </c>
      <c r="L4397" s="23">
        <f>COUNTIFS(pg_transaction_cleaned!$O:$O,A4397,pg_transaction_cleaned!$F:$F,"REFUND")</f>
        <v>0</v>
      </c>
      <c r="M4397" s="39">
        <f>SUMIFS(pg_transaction_cleaned!$H:$H,pg_transaction_cleaned!$O:$O,A4397,pg_transaction_cleaned!$F:$F,"REFUND")</f>
        <v>0</v>
      </c>
      <c r="N4397" s="23" t="str">
        <f t="shared" si="274"/>
        <v>OK</v>
      </c>
      <c r="O4397" s="24">
        <f t="shared" si="275"/>
        <v>0</v>
      </c>
    </row>
    <row r="4398" spans="1:15" ht="15" customHeight="1" x14ac:dyDescent="0.3">
      <c r="A4398" s="23" t="s">
        <v>9268</v>
      </c>
      <c r="B4398" s="38">
        <v>46274</v>
      </c>
      <c r="C4398" s="23" t="s">
        <v>9269</v>
      </c>
      <c r="D4398" s="23" t="s">
        <v>86</v>
      </c>
      <c r="E4398" s="23" t="s">
        <v>81</v>
      </c>
      <c r="F4398" s="23" t="s">
        <v>1662</v>
      </c>
      <c r="G4398" s="23" t="s">
        <v>318</v>
      </c>
      <c r="H4398" s="39">
        <f t="shared" si="272"/>
        <v>4397</v>
      </c>
      <c r="I4398" s="23" t="str">
        <f t="shared" si="273"/>
        <v>Delhi</v>
      </c>
      <c r="J4398" s="23">
        <f>COUNTIFS(pg_transaction_cleaned!$O:$O,A4398,pg_transaction_cleaned!$F:$F,"CAPTURE")</f>
        <v>0</v>
      </c>
      <c r="K4398" s="39">
        <f>SUMIFS(pg_transaction_cleaned!$H:$H,pg_transaction_cleaned!$O:$O,A4398,pg_transaction_cleaned!$F:$F,"CAPTURE")</f>
        <v>0</v>
      </c>
      <c r="L4398" s="23">
        <f>COUNTIFS(pg_transaction_cleaned!$O:$O,A4398,pg_transaction_cleaned!$F:$F,"REFUND")</f>
        <v>0</v>
      </c>
      <c r="M4398" s="39">
        <f>SUMIFS(pg_transaction_cleaned!$H:$H,pg_transaction_cleaned!$O:$O,A4398,pg_transaction_cleaned!$F:$F,"REFUND")</f>
        <v>0</v>
      </c>
      <c r="N4398" s="23" t="str">
        <f t="shared" si="274"/>
        <v>OK</v>
      </c>
      <c r="O4398" s="24">
        <f t="shared" si="275"/>
        <v>0</v>
      </c>
    </row>
    <row r="4399" spans="1:15" ht="15" customHeight="1" x14ac:dyDescent="0.3">
      <c r="A4399" s="23" t="s">
        <v>9270</v>
      </c>
      <c r="B4399" s="38">
        <v>46284</v>
      </c>
      <c r="C4399" s="23" t="s">
        <v>9271</v>
      </c>
      <c r="D4399" s="23" t="s">
        <v>87</v>
      </c>
      <c r="E4399" s="23" t="s">
        <v>79</v>
      </c>
      <c r="F4399" s="23" t="s">
        <v>310</v>
      </c>
      <c r="G4399" s="23" t="s">
        <v>250</v>
      </c>
      <c r="H4399" s="39">
        <f t="shared" si="272"/>
        <v>7999</v>
      </c>
      <c r="I4399" s="23" t="str">
        <f t="shared" si="273"/>
        <v>Mumbai</v>
      </c>
      <c r="J4399" s="23">
        <f>COUNTIFS(pg_transaction_cleaned!$O:$O,A4399,pg_transaction_cleaned!$F:$F,"CAPTURE")</f>
        <v>1</v>
      </c>
      <c r="K4399" s="39">
        <f>SUMIFS(pg_transaction_cleaned!$H:$H,pg_transaction_cleaned!$O:$O,A4399,pg_transaction_cleaned!$F:$F,"CAPTURE")</f>
        <v>7999</v>
      </c>
      <c r="L4399" s="23">
        <f>COUNTIFS(pg_transaction_cleaned!$O:$O,A4399,pg_transaction_cleaned!$F:$F,"REFUND")</f>
        <v>0</v>
      </c>
      <c r="M4399" s="39">
        <f>SUMIFS(pg_transaction_cleaned!$H:$H,pg_transaction_cleaned!$O:$O,A4399,pg_transaction_cleaned!$F:$F,"REFUND")</f>
        <v>0</v>
      </c>
      <c r="N4399" s="23" t="str">
        <f t="shared" si="274"/>
        <v>OK</v>
      </c>
      <c r="O4399" s="24">
        <f t="shared" si="275"/>
        <v>0</v>
      </c>
    </row>
    <row r="4400" spans="1:15" ht="15" customHeight="1" x14ac:dyDescent="0.3">
      <c r="A4400" s="23" t="s">
        <v>9272</v>
      </c>
      <c r="B4400" s="38">
        <v>46290</v>
      </c>
      <c r="C4400" s="23" t="s">
        <v>9273</v>
      </c>
      <c r="D4400" s="23" t="s">
        <v>92</v>
      </c>
      <c r="E4400" s="23" t="s">
        <v>75</v>
      </c>
      <c r="F4400" s="23" t="s">
        <v>315</v>
      </c>
      <c r="G4400" s="23" t="s">
        <v>250</v>
      </c>
      <c r="H4400" s="39">
        <f t="shared" si="272"/>
        <v>1499</v>
      </c>
      <c r="I4400" s="23" t="str">
        <f t="shared" si="273"/>
        <v>Hyderabad</v>
      </c>
      <c r="J4400" s="23">
        <f>COUNTIFS(pg_transaction_cleaned!$O:$O,A4400,pg_transaction_cleaned!$F:$F,"CAPTURE")</f>
        <v>1</v>
      </c>
      <c r="K4400" s="39">
        <f>SUMIFS(pg_transaction_cleaned!$H:$H,pg_transaction_cleaned!$O:$O,A4400,pg_transaction_cleaned!$F:$F,"CAPTURE")</f>
        <v>1499</v>
      </c>
      <c r="L4400" s="23">
        <f>COUNTIFS(pg_transaction_cleaned!$O:$O,A4400,pg_transaction_cleaned!$F:$F,"REFUND")</f>
        <v>0</v>
      </c>
      <c r="M4400" s="39">
        <f>SUMIFS(pg_transaction_cleaned!$H:$H,pg_transaction_cleaned!$O:$O,A4400,pg_transaction_cleaned!$F:$F,"REFUND")</f>
        <v>0</v>
      </c>
      <c r="N4400" s="23" t="str">
        <f t="shared" si="274"/>
        <v>OK</v>
      </c>
      <c r="O4400" s="24">
        <f t="shared" si="275"/>
        <v>0</v>
      </c>
    </row>
    <row r="4401" spans="1:15" ht="15" customHeight="1" x14ac:dyDescent="0.3">
      <c r="A4401" s="23" t="s">
        <v>9274</v>
      </c>
      <c r="B4401" s="38">
        <v>46266</v>
      </c>
      <c r="C4401" s="23" t="s">
        <v>9275</v>
      </c>
      <c r="D4401" s="23" t="s">
        <v>93</v>
      </c>
      <c r="E4401" s="23" t="s">
        <v>77</v>
      </c>
      <c r="F4401" s="23" t="s">
        <v>310</v>
      </c>
      <c r="G4401" s="23" t="s">
        <v>250</v>
      </c>
      <c r="H4401" s="39">
        <f t="shared" si="272"/>
        <v>7999</v>
      </c>
      <c r="I4401" s="23" t="str">
        <f t="shared" si="273"/>
        <v>Kolkata</v>
      </c>
      <c r="J4401" s="23">
        <f>COUNTIFS(pg_transaction_cleaned!$O:$O,A4401,pg_transaction_cleaned!$F:$F,"CAPTURE")</f>
        <v>1</v>
      </c>
      <c r="K4401" s="39">
        <f>SUMIFS(pg_transaction_cleaned!$H:$H,pg_transaction_cleaned!$O:$O,A4401,pg_transaction_cleaned!$F:$F,"CAPTURE")</f>
        <v>7999</v>
      </c>
      <c r="L4401" s="23">
        <f>COUNTIFS(pg_transaction_cleaned!$O:$O,A4401,pg_transaction_cleaned!$F:$F,"REFUND")</f>
        <v>0</v>
      </c>
      <c r="M4401" s="39">
        <f>SUMIFS(pg_transaction_cleaned!$H:$H,pg_transaction_cleaned!$O:$O,A4401,pg_transaction_cleaned!$F:$F,"REFUND")</f>
        <v>0</v>
      </c>
      <c r="N4401" s="23" t="str">
        <f t="shared" si="274"/>
        <v>OK</v>
      </c>
      <c r="O4401" s="24">
        <f t="shared" si="275"/>
        <v>0</v>
      </c>
    </row>
    <row r="4402" spans="1:15" ht="15" customHeight="1" x14ac:dyDescent="0.3">
      <c r="A4402" s="23" t="s">
        <v>9276</v>
      </c>
      <c r="B4402" s="38">
        <v>46280</v>
      </c>
      <c r="C4402" s="23" t="s">
        <v>9277</v>
      </c>
      <c r="D4402" s="23"/>
      <c r="E4402" s="23" t="s">
        <v>75</v>
      </c>
      <c r="F4402" s="23" t="s">
        <v>274</v>
      </c>
      <c r="G4402" s="23" t="s">
        <v>250</v>
      </c>
      <c r="H4402" s="39">
        <f t="shared" si="272"/>
        <v>349</v>
      </c>
      <c r="I4402" s="23" t="str">
        <f t="shared" si="273"/>
        <v>Unknown</v>
      </c>
      <c r="J4402" s="23">
        <f>COUNTIFS(pg_transaction_cleaned!$O:$O,A4402,pg_transaction_cleaned!$F:$F,"CAPTURE")</f>
        <v>1</v>
      </c>
      <c r="K4402" s="39">
        <f>SUMIFS(pg_transaction_cleaned!$H:$H,pg_transaction_cleaned!$O:$O,A4402,pg_transaction_cleaned!$F:$F,"CAPTURE")</f>
        <v>349</v>
      </c>
      <c r="L4402" s="23">
        <f>COUNTIFS(pg_transaction_cleaned!$O:$O,A4402,pg_transaction_cleaned!$F:$F,"REFUND")</f>
        <v>0</v>
      </c>
      <c r="M4402" s="39">
        <f>SUMIFS(pg_transaction_cleaned!$H:$H,pg_transaction_cleaned!$O:$O,A4402,pg_transaction_cleaned!$F:$F,"REFUND")</f>
        <v>0</v>
      </c>
      <c r="N4402" s="23" t="str">
        <f t="shared" si="274"/>
        <v>OK</v>
      </c>
      <c r="O4402" s="24">
        <f t="shared" si="275"/>
        <v>0</v>
      </c>
    </row>
    <row r="4403" spans="1:15" ht="15" customHeight="1" x14ac:dyDescent="0.3">
      <c r="A4403" s="23" t="s">
        <v>9278</v>
      </c>
      <c r="B4403" s="38">
        <v>46268</v>
      </c>
      <c r="C4403" s="23" t="s">
        <v>9279</v>
      </c>
      <c r="D4403" s="23" t="s">
        <v>95</v>
      </c>
      <c r="E4403" s="23" t="s">
        <v>79</v>
      </c>
      <c r="F4403" s="23" t="s">
        <v>265</v>
      </c>
      <c r="G4403" s="23" t="s">
        <v>250</v>
      </c>
      <c r="H4403" s="39">
        <f t="shared" si="272"/>
        <v>999</v>
      </c>
      <c r="I4403" s="23" t="str">
        <f t="shared" si="273"/>
        <v>Bengaluru</v>
      </c>
      <c r="J4403" s="23">
        <f>COUNTIFS(pg_transaction_cleaned!$O:$O,A4403,pg_transaction_cleaned!$F:$F,"CAPTURE")</f>
        <v>1</v>
      </c>
      <c r="K4403" s="39">
        <f>SUMIFS(pg_transaction_cleaned!$H:$H,pg_transaction_cleaned!$O:$O,A4403,pg_transaction_cleaned!$F:$F,"CAPTURE")</f>
        <v>999</v>
      </c>
      <c r="L4403" s="23">
        <f>COUNTIFS(pg_transaction_cleaned!$O:$O,A4403,pg_transaction_cleaned!$F:$F,"REFUND")</f>
        <v>0</v>
      </c>
      <c r="M4403" s="39">
        <f>SUMIFS(pg_transaction_cleaned!$H:$H,pg_transaction_cleaned!$O:$O,A4403,pg_transaction_cleaned!$F:$F,"REFUND")</f>
        <v>0</v>
      </c>
      <c r="N4403" s="23" t="str">
        <f t="shared" si="274"/>
        <v>OK</v>
      </c>
      <c r="O4403" s="24">
        <f t="shared" si="275"/>
        <v>0</v>
      </c>
    </row>
    <row r="4404" spans="1:15" ht="15" customHeight="1" x14ac:dyDescent="0.3">
      <c r="A4404" s="23" t="s">
        <v>9280</v>
      </c>
      <c r="B4404" s="38">
        <v>46267</v>
      </c>
      <c r="C4404" s="23" t="s">
        <v>9281</v>
      </c>
      <c r="D4404" s="23" t="s">
        <v>88</v>
      </c>
      <c r="E4404" s="23" t="s">
        <v>79</v>
      </c>
      <c r="F4404" s="23" t="s">
        <v>553</v>
      </c>
      <c r="G4404" s="23" t="s">
        <v>250</v>
      </c>
      <c r="H4404" s="39">
        <f t="shared" si="272"/>
        <v>2798</v>
      </c>
      <c r="I4404" s="23" t="str">
        <f t="shared" si="273"/>
        <v>Lucknow</v>
      </c>
      <c r="J4404" s="23">
        <f>COUNTIFS(pg_transaction_cleaned!$O:$O,A4404,pg_transaction_cleaned!$F:$F,"CAPTURE")</f>
        <v>1</v>
      </c>
      <c r="K4404" s="39">
        <f>SUMIFS(pg_transaction_cleaned!$H:$H,pg_transaction_cleaned!$O:$O,A4404,pg_transaction_cleaned!$F:$F,"CAPTURE")</f>
        <v>2798</v>
      </c>
      <c r="L4404" s="23">
        <f>COUNTIFS(pg_transaction_cleaned!$O:$O,A4404,pg_transaction_cleaned!$F:$F,"REFUND")</f>
        <v>0</v>
      </c>
      <c r="M4404" s="39">
        <f>SUMIFS(pg_transaction_cleaned!$H:$H,pg_transaction_cleaned!$O:$O,A4404,pg_transaction_cleaned!$F:$F,"REFUND")</f>
        <v>0</v>
      </c>
      <c r="N4404" s="23" t="str">
        <f t="shared" si="274"/>
        <v>OK</v>
      </c>
      <c r="O4404" s="24">
        <f t="shared" si="275"/>
        <v>0</v>
      </c>
    </row>
    <row r="4405" spans="1:15" ht="15" customHeight="1" x14ac:dyDescent="0.3">
      <c r="A4405" s="23" t="s">
        <v>9282</v>
      </c>
      <c r="B4405" s="38">
        <v>46293</v>
      </c>
      <c r="C4405" s="23" t="s">
        <v>9283</v>
      </c>
      <c r="D4405" s="23" t="s">
        <v>94</v>
      </c>
      <c r="E4405" s="23" t="s">
        <v>75</v>
      </c>
      <c r="F4405" s="23" t="s">
        <v>291</v>
      </c>
      <c r="G4405" s="23" t="s">
        <v>250</v>
      </c>
      <c r="H4405" s="39">
        <f t="shared" si="272"/>
        <v>3499</v>
      </c>
      <c r="I4405" s="23" t="str">
        <f t="shared" si="273"/>
        <v>Chennai</v>
      </c>
      <c r="J4405" s="23">
        <f>COUNTIFS(pg_transaction_cleaned!$O:$O,A4405,pg_transaction_cleaned!$F:$F,"CAPTURE")</f>
        <v>1</v>
      </c>
      <c r="K4405" s="39">
        <f>SUMIFS(pg_transaction_cleaned!$H:$H,pg_transaction_cleaned!$O:$O,A4405,pg_transaction_cleaned!$F:$F,"CAPTURE")</f>
        <v>3499</v>
      </c>
      <c r="L4405" s="23">
        <f>COUNTIFS(pg_transaction_cleaned!$O:$O,A4405,pg_transaction_cleaned!$F:$F,"REFUND")</f>
        <v>0</v>
      </c>
      <c r="M4405" s="39">
        <f>SUMIFS(pg_transaction_cleaned!$H:$H,pg_transaction_cleaned!$O:$O,A4405,pg_transaction_cleaned!$F:$F,"REFUND")</f>
        <v>0</v>
      </c>
      <c r="N4405" s="23" t="str">
        <f t="shared" si="274"/>
        <v>OK</v>
      </c>
      <c r="O4405" s="24">
        <f t="shared" si="275"/>
        <v>0</v>
      </c>
    </row>
    <row r="4406" spans="1:15" ht="15" customHeight="1" x14ac:dyDescent="0.3">
      <c r="A4406" s="23" t="s">
        <v>9284</v>
      </c>
      <c r="B4406" s="38">
        <v>46289</v>
      </c>
      <c r="C4406" s="23" t="s">
        <v>9285</v>
      </c>
      <c r="D4406" s="23" t="s">
        <v>95</v>
      </c>
      <c r="E4406" s="23" t="s">
        <v>79</v>
      </c>
      <c r="F4406" s="23" t="s">
        <v>451</v>
      </c>
      <c r="G4406" s="23" t="s">
        <v>250</v>
      </c>
      <c r="H4406" s="39">
        <f t="shared" si="272"/>
        <v>1098</v>
      </c>
      <c r="I4406" s="23" t="str">
        <f t="shared" si="273"/>
        <v>Bengaluru</v>
      </c>
      <c r="J4406" s="23">
        <f>COUNTIFS(pg_transaction_cleaned!$O:$O,A4406,pg_transaction_cleaned!$F:$F,"CAPTURE")</f>
        <v>1</v>
      </c>
      <c r="K4406" s="39">
        <f>SUMIFS(pg_transaction_cleaned!$H:$H,pg_transaction_cleaned!$O:$O,A4406,pg_transaction_cleaned!$F:$F,"CAPTURE")</f>
        <v>1098</v>
      </c>
      <c r="L4406" s="23">
        <f>COUNTIFS(pg_transaction_cleaned!$O:$O,A4406,pg_transaction_cleaned!$F:$F,"REFUND")</f>
        <v>0</v>
      </c>
      <c r="M4406" s="39">
        <f>SUMIFS(pg_transaction_cleaned!$H:$H,pg_transaction_cleaned!$O:$O,A4406,pg_transaction_cleaned!$F:$F,"REFUND")</f>
        <v>0</v>
      </c>
      <c r="N4406" s="23" t="str">
        <f t="shared" si="274"/>
        <v>OK</v>
      </c>
      <c r="O4406" s="24">
        <f t="shared" si="275"/>
        <v>0</v>
      </c>
    </row>
    <row r="4407" spans="1:15" ht="15" customHeight="1" x14ac:dyDescent="0.3">
      <c r="A4407" s="23" t="s">
        <v>9286</v>
      </c>
      <c r="B4407" s="38">
        <v>46282</v>
      </c>
      <c r="C4407" s="23" t="s">
        <v>9287</v>
      </c>
      <c r="D4407" s="23" t="s">
        <v>86</v>
      </c>
      <c r="E4407" s="23" t="s">
        <v>75</v>
      </c>
      <c r="F4407" s="23" t="s">
        <v>396</v>
      </c>
      <c r="G4407" s="23" t="s">
        <v>250</v>
      </c>
      <c r="H4407" s="39">
        <f t="shared" si="272"/>
        <v>2999</v>
      </c>
      <c r="I4407" s="23" t="str">
        <f t="shared" si="273"/>
        <v>Delhi</v>
      </c>
      <c r="J4407" s="23">
        <f>COUNTIFS(pg_transaction_cleaned!$O:$O,A4407,pg_transaction_cleaned!$F:$F,"CAPTURE")</f>
        <v>1</v>
      </c>
      <c r="K4407" s="39">
        <f>SUMIFS(pg_transaction_cleaned!$H:$H,pg_transaction_cleaned!$O:$O,A4407,pg_transaction_cleaned!$F:$F,"CAPTURE")</f>
        <v>2999</v>
      </c>
      <c r="L4407" s="23">
        <f>COUNTIFS(pg_transaction_cleaned!$O:$O,A4407,pg_transaction_cleaned!$F:$F,"REFUND")</f>
        <v>0</v>
      </c>
      <c r="M4407" s="39">
        <f>SUMIFS(pg_transaction_cleaned!$H:$H,pg_transaction_cleaned!$O:$O,A4407,pg_transaction_cleaned!$F:$F,"REFUND")</f>
        <v>0</v>
      </c>
      <c r="N4407" s="23" t="str">
        <f t="shared" si="274"/>
        <v>OK</v>
      </c>
      <c r="O4407" s="24">
        <f t="shared" si="275"/>
        <v>0</v>
      </c>
    </row>
    <row r="4408" spans="1:15" ht="15" customHeight="1" x14ac:dyDescent="0.3">
      <c r="A4408" s="23" t="s">
        <v>9288</v>
      </c>
      <c r="B4408" s="38">
        <v>46295</v>
      </c>
      <c r="C4408" s="23" t="s">
        <v>9289</v>
      </c>
      <c r="D4408" s="23" t="s">
        <v>87</v>
      </c>
      <c r="E4408" s="23" t="s">
        <v>77</v>
      </c>
      <c r="F4408" s="23" t="s">
        <v>310</v>
      </c>
      <c r="G4408" s="23" t="s">
        <v>250</v>
      </c>
      <c r="H4408" s="39">
        <f t="shared" si="272"/>
        <v>7999</v>
      </c>
      <c r="I4408" s="23" t="str">
        <f t="shared" si="273"/>
        <v>Mumbai</v>
      </c>
      <c r="J4408" s="23">
        <f>COUNTIFS(pg_transaction_cleaned!$O:$O,A4408,pg_transaction_cleaned!$F:$F,"CAPTURE")</f>
        <v>1</v>
      </c>
      <c r="K4408" s="39">
        <f>SUMIFS(pg_transaction_cleaned!$H:$H,pg_transaction_cleaned!$O:$O,A4408,pg_transaction_cleaned!$F:$F,"CAPTURE")</f>
        <v>7999</v>
      </c>
      <c r="L4408" s="23">
        <f>COUNTIFS(pg_transaction_cleaned!$O:$O,A4408,pg_transaction_cleaned!$F:$F,"REFUND")</f>
        <v>0</v>
      </c>
      <c r="M4408" s="39">
        <f>SUMIFS(pg_transaction_cleaned!$H:$H,pg_transaction_cleaned!$O:$O,A4408,pg_transaction_cleaned!$F:$F,"REFUND")</f>
        <v>0</v>
      </c>
      <c r="N4408" s="23" t="str">
        <f t="shared" si="274"/>
        <v>OK</v>
      </c>
      <c r="O4408" s="24">
        <f t="shared" si="275"/>
        <v>0</v>
      </c>
    </row>
    <row r="4409" spans="1:15" ht="15" customHeight="1" x14ac:dyDescent="0.3">
      <c r="A4409" s="23" t="s">
        <v>9290</v>
      </c>
      <c r="B4409" s="38">
        <v>46286</v>
      </c>
      <c r="C4409" s="23" t="s">
        <v>9291</v>
      </c>
      <c r="D4409" s="23" t="s">
        <v>87</v>
      </c>
      <c r="E4409" s="23" t="s">
        <v>75</v>
      </c>
      <c r="F4409" s="23" t="s">
        <v>1315</v>
      </c>
      <c r="G4409" s="23" t="s">
        <v>250</v>
      </c>
      <c r="H4409" s="39">
        <f t="shared" si="272"/>
        <v>8297</v>
      </c>
      <c r="I4409" s="23" t="str">
        <f t="shared" si="273"/>
        <v>Mumbai</v>
      </c>
      <c r="J4409" s="23">
        <f>COUNTIFS(pg_transaction_cleaned!$O:$O,A4409,pg_transaction_cleaned!$F:$F,"CAPTURE")</f>
        <v>1</v>
      </c>
      <c r="K4409" s="39">
        <f>SUMIFS(pg_transaction_cleaned!$H:$H,pg_transaction_cleaned!$O:$O,A4409,pg_transaction_cleaned!$F:$F,"CAPTURE")</f>
        <v>8297</v>
      </c>
      <c r="L4409" s="23">
        <f>COUNTIFS(pg_transaction_cleaned!$O:$O,A4409,pg_transaction_cleaned!$F:$F,"REFUND")</f>
        <v>0</v>
      </c>
      <c r="M4409" s="39">
        <f>SUMIFS(pg_transaction_cleaned!$H:$H,pg_transaction_cleaned!$O:$O,A4409,pg_transaction_cleaned!$F:$F,"REFUND")</f>
        <v>0</v>
      </c>
      <c r="N4409" s="23" t="str">
        <f t="shared" si="274"/>
        <v>OK</v>
      </c>
      <c r="O4409" s="24">
        <f t="shared" si="275"/>
        <v>0</v>
      </c>
    </row>
    <row r="4410" spans="1:15" ht="15" customHeight="1" x14ac:dyDescent="0.3">
      <c r="A4410" s="23" t="s">
        <v>9292</v>
      </c>
      <c r="B4410" s="38">
        <v>46293</v>
      </c>
      <c r="C4410" s="23" t="s">
        <v>9293</v>
      </c>
      <c r="D4410" s="23" t="s">
        <v>88</v>
      </c>
      <c r="E4410" s="23" t="s">
        <v>79</v>
      </c>
      <c r="F4410" s="23" t="s">
        <v>724</v>
      </c>
      <c r="G4410" s="23" t="s">
        <v>250</v>
      </c>
      <c r="H4410" s="39">
        <f t="shared" si="272"/>
        <v>3848</v>
      </c>
      <c r="I4410" s="23" t="str">
        <f t="shared" si="273"/>
        <v>Lucknow</v>
      </c>
      <c r="J4410" s="23">
        <f>COUNTIFS(pg_transaction_cleaned!$O:$O,A4410,pg_transaction_cleaned!$F:$F,"CAPTURE")</f>
        <v>1</v>
      </c>
      <c r="K4410" s="39">
        <f>SUMIFS(pg_transaction_cleaned!$H:$H,pg_transaction_cleaned!$O:$O,A4410,pg_transaction_cleaned!$F:$F,"CAPTURE")</f>
        <v>3848</v>
      </c>
      <c r="L4410" s="23">
        <f>COUNTIFS(pg_transaction_cleaned!$O:$O,A4410,pg_transaction_cleaned!$F:$F,"REFUND")</f>
        <v>0</v>
      </c>
      <c r="M4410" s="39">
        <f>SUMIFS(pg_transaction_cleaned!$H:$H,pg_transaction_cleaned!$O:$O,A4410,pg_transaction_cleaned!$F:$F,"REFUND")</f>
        <v>0</v>
      </c>
      <c r="N4410" s="23" t="str">
        <f t="shared" si="274"/>
        <v>OK</v>
      </c>
      <c r="O4410" s="24">
        <f t="shared" si="275"/>
        <v>0</v>
      </c>
    </row>
    <row r="4411" spans="1:15" ht="15" customHeight="1" x14ac:dyDescent="0.3">
      <c r="A4411" s="23" t="s">
        <v>9294</v>
      </c>
      <c r="B4411" s="38">
        <v>46290</v>
      </c>
      <c r="C4411" s="23" t="s">
        <v>9295</v>
      </c>
      <c r="D4411" s="23" t="s">
        <v>89</v>
      </c>
      <c r="E4411" s="23" t="s">
        <v>79</v>
      </c>
      <c r="F4411" s="23" t="s">
        <v>360</v>
      </c>
      <c r="G4411" s="23" t="s">
        <v>250</v>
      </c>
      <c r="H4411" s="39">
        <f t="shared" si="272"/>
        <v>10297</v>
      </c>
      <c r="I4411" s="23" t="str">
        <f t="shared" si="273"/>
        <v>Jaipur</v>
      </c>
      <c r="J4411" s="23">
        <f>COUNTIFS(pg_transaction_cleaned!$O:$O,A4411,pg_transaction_cleaned!$F:$F,"CAPTURE")</f>
        <v>1</v>
      </c>
      <c r="K4411" s="39">
        <f>SUMIFS(pg_transaction_cleaned!$H:$H,pg_transaction_cleaned!$O:$O,A4411,pg_transaction_cleaned!$F:$F,"CAPTURE")</f>
        <v>10297</v>
      </c>
      <c r="L4411" s="23">
        <f>COUNTIFS(pg_transaction_cleaned!$O:$O,A4411,pg_transaction_cleaned!$F:$F,"REFUND")</f>
        <v>0</v>
      </c>
      <c r="M4411" s="39">
        <f>SUMIFS(pg_transaction_cleaned!$H:$H,pg_transaction_cleaned!$O:$O,A4411,pg_transaction_cleaned!$F:$F,"REFUND")</f>
        <v>0</v>
      </c>
      <c r="N4411" s="23" t="str">
        <f t="shared" si="274"/>
        <v>OK</v>
      </c>
      <c r="O4411" s="24">
        <f t="shared" si="275"/>
        <v>0</v>
      </c>
    </row>
    <row r="4412" spans="1:15" ht="15" customHeight="1" x14ac:dyDescent="0.3">
      <c r="A4412" s="23" t="s">
        <v>9296</v>
      </c>
      <c r="B4412" s="38">
        <v>46284</v>
      </c>
      <c r="C4412" s="23" t="s">
        <v>9297</v>
      </c>
      <c r="D4412" s="23" t="s">
        <v>89</v>
      </c>
      <c r="E4412" s="23" t="s">
        <v>77</v>
      </c>
      <c r="F4412" s="23" t="s">
        <v>772</v>
      </c>
      <c r="G4412" s="23" t="s">
        <v>250</v>
      </c>
      <c r="H4412" s="39">
        <f t="shared" si="272"/>
        <v>4798</v>
      </c>
      <c r="I4412" s="23" t="str">
        <f t="shared" si="273"/>
        <v>Jaipur</v>
      </c>
      <c r="J4412" s="23">
        <f>COUNTIFS(pg_transaction_cleaned!$O:$O,A4412,pg_transaction_cleaned!$F:$F,"CAPTURE")</f>
        <v>1</v>
      </c>
      <c r="K4412" s="39">
        <f>SUMIFS(pg_transaction_cleaned!$H:$H,pg_transaction_cleaned!$O:$O,A4412,pg_transaction_cleaned!$F:$F,"CAPTURE")</f>
        <v>4798</v>
      </c>
      <c r="L4412" s="23">
        <f>COUNTIFS(pg_transaction_cleaned!$O:$O,A4412,pg_transaction_cleaned!$F:$F,"REFUND")</f>
        <v>0</v>
      </c>
      <c r="M4412" s="39">
        <f>SUMIFS(pg_transaction_cleaned!$H:$H,pg_transaction_cleaned!$O:$O,A4412,pg_transaction_cleaned!$F:$F,"REFUND")</f>
        <v>0</v>
      </c>
      <c r="N4412" s="23" t="str">
        <f t="shared" si="274"/>
        <v>OK</v>
      </c>
      <c r="O4412" s="24">
        <f t="shared" si="275"/>
        <v>0</v>
      </c>
    </row>
    <row r="4413" spans="1:15" ht="15" customHeight="1" x14ac:dyDescent="0.3">
      <c r="A4413" s="23" t="s">
        <v>9298</v>
      </c>
      <c r="B4413" s="38">
        <v>46269</v>
      </c>
      <c r="C4413" s="23" t="s">
        <v>9299</v>
      </c>
      <c r="D4413" s="23" t="s">
        <v>93</v>
      </c>
      <c r="E4413" s="23" t="s">
        <v>75</v>
      </c>
      <c r="F4413" s="23" t="s">
        <v>2086</v>
      </c>
      <c r="G4413" s="23" t="s">
        <v>250</v>
      </c>
      <c r="H4413" s="39">
        <f t="shared" si="272"/>
        <v>3397</v>
      </c>
      <c r="I4413" s="23" t="str">
        <f t="shared" si="273"/>
        <v>Kolkata</v>
      </c>
      <c r="J4413" s="23">
        <f>COUNTIFS(pg_transaction_cleaned!$O:$O,A4413,pg_transaction_cleaned!$F:$F,"CAPTURE")</f>
        <v>1</v>
      </c>
      <c r="K4413" s="39">
        <f>SUMIFS(pg_transaction_cleaned!$H:$H,pg_transaction_cleaned!$O:$O,A4413,pg_transaction_cleaned!$F:$F,"CAPTURE")</f>
        <v>3397</v>
      </c>
      <c r="L4413" s="23">
        <f>COUNTIFS(pg_transaction_cleaned!$O:$O,A4413,pg_transaction_cleaned!$F:$F,"REFUND")</f>
        <v>0</v>
      </c>
      <c r="M4413" s="39">
        <f>SUMIFS(pg_transaction_cleaned!$H:$H,pg_transaction_cleaned!$O:$O,A4413,pg_transaction_cleaned!$F:$F,"REFUND")</f>
        <v>0</v>
      </c>
      <c r="N4413" s="23" t="str">
        <f t="shared" si="274"/>
        <v>OK</v>
      </c>
      <c r="O4413" s="24">
        <f t="shared" si="275"/>
        <v>0</v>
      </c>
    </row>
    <row r="4414" spans="1:15" ht="15" customHeight="1" x14ac:dyDescent="0.3">
      <c r="A4414" s="23" t="s">
        <v>9300</v>
      </c>
      <c r="B4414" s="38">
        <v>46279</v>
      </c>
      <c r="C4414" s="23" t="s">
        <v>9301</v>
      </c>
      <c r="D4414" s="23" t="s">
        <v>91</v>
      </c>
      <c r="E4414" s="23" t="s">
        <v>75</v>
      </c>
      <c r="F4414" s="23" t="s">
        <v>475</v>
      </c>
      <c r="G4414" s="23" t="s">
        <v>250</v>
      </c>
      <c r="H4414" s="39">
        <f t="shared" si="272"/>
        <v>799</v>
      </c>
      <c r="I4414" s="23" t="str">
        <f t="shared" si="273"/>
        <v>Pune</v>
      </c>
      <c r="J4414" s="23">
        <f>COUNTIFS(pg_transaction_cleaned!$O:$O,A4414,pg_transaction_cleaned!$F:$F,"CAPTURE")</f>
        <v>1</v>
      </c>
      <c r="K4414" s="39">
        <f>SUMIFS(pg_transaction_cleaned!$H:$H,pg_transaction_cleaned!$O:$O,A4414,pg_transaction_cleaned!$F:$F,"CAPTURE")</f>
        <v>799</v>
      </c>
      <c r="L4414" s="23">
        <f>COUNTIFS(pg_transaction_cleaned!$O:$O,A4414,pg_transaction_cleaned!$F:$F,"REFUND")</f>
        <v>0</v>
      </c>
      <c r="M4414" s="39">
        <f>SUMIFS(pg_transaction_cleaned!$H:$H,pg_transaction_cleaned!$O:$O,A4414,pg_transaction_cleaned!$F:$F,"REFUND")</f>
        <v>0</v>
      </c>
      <c r="N4414" s="23" t="str">
        <f t="shared" si="274"/>
        <v>OK</v>
      </c>
      <c r="O4414" s="24">
        <f t="shared" si="275"/>
        <v>0</v>
      </c>
    </row>
    <row r="4415" spans="1:15" ht="15" customHeight="1" x14ac:dyDescent="0.3">
      <c r="A4415" s="23" t="s">
        <v>9302</v>
      </c>
      <c r="B4415" s="38">
        <v>46282</v>
      </c>
      <c r="C4415" s="23" t="s">
        <v>9303</v>
      </c>
      <c r="D4415" s="23" t="s">
        <v>90</v>
      </c>
      <c r="E4415" s="23" t="s">
        <v>79</v>
      </c>
      <c r="F4415" s="23" t="s">
        <v>478</v>
      </c>
      <c r="G4415" s="23" t="s">
        <v>250</v>
      </c>
      <c r="H4415" s="39">
        <f t="shared" si="272"/>
        <v>9297</v>
      </c>
      <c r="I4415" s="23" t="str">
        <f t="shared" si="273"/>
        <v>Ahmedabad</v>
      </c>
      <c r="J4415" s="23">
        <f>COUNTIFS(pg_transaction_cleaned!$O:$O,A4415,pg_transaction_cleaned!$F:$F,"CAPTURE")</f>
        <v>1</v>
      </c>
      <c r="K4415" s="39">
        <f>SUMIFS(pg_transaction_cleaned!$H:$H,pg_transaction_cleaned!$O:$O,A4415,pg_transaction_cleaned!$F:$F,"CAPTURE")</f>
        <v>9297</v>
      </c>
      <c r="L4415" s="23">
        <f>COUNTIFS(pg_transaction_cleaned!$O:$O,A4415,pg_transaction_cleaned!$F:$F,"REFUND")</f>
        <v>0</v>
      </c>
      <c r="M4415" s="39">
        <f>SUMIFS(pg_transaction_cleaned!$H:$H,pg_transaction_cleaned!$O:$O,A4415,pg_transaction_cleaned!$F:$F,"REFUND")</f>
        <v>0</v>
      </c>
      <c r="N4415" s="23" t="str">
        <f t="shared" si="274"/>
        <v>OK</v>
      </c>
      <c r="O4415" s="24">
        <f t="shared" si="275"/>
        <v>0</v>
      </c>
    </row>
    <row r="4416" spans="1:15" ht="15" customHeight="1" x14ac:dyDescent="0.3">
      <c r="A4416" s="23" t="s">
        <v>9304</v>
      </c>
      <c r="B4416" s="38">
        <v>46289</v>
      </c>
      <c r="C4416" s="23" t="s">
        <v>9305</v>
      </c>
      <c r="D4416" s="23" t="s">
        <v>89</v>
      </c>
      <c r="E4416" s="23" t="s">
        <v>81</v>
      </c>
      <c r="F4416" s="23" t="s">
        <v>300</v>
      </c>
      <c r="G4416" s="23" t="s">
        <v>250</v>
      </c>
      <c r="H4416" s="39">
        <f t="shared" si="272"/>
        <v>2598</v>
      </c>
      <c r="I4416" s="23" t="str">
        <f t="shared" si="273"/>
        <v>Jaipur</v>
      </c>
      <c r="J4416" s="23">
        <f>COUNTIFS(pg_transaction_cleaned!$O:$O,A4416,pg_transaction_cleaned!$F:$F,"CAPTURE")</f>
        <v>1</v>
      </c>
      <c r="K4416" s="39">
        <f>SUMIFS(pg_transaction_cleaned!$H:$H,pg_transaction_cleaned!$O:$O,A4416,pg_transaction_cleaned!$F:$F,"CAPTURE")</f>
        <v>2598</v>
      </c>
      <c r="L4416" s="23">
        <f>COUNTIFS(pg_transaction_cleaned!$O:$O,A4416,pg_transaction_cleaned!$F:$F,"REFUND")</f>
        <v>0</v>
      </c>
      <c r="M4416" s="39">
        <f>SUMIFS(pg_transaction_cleaned!$H:$H,pg_transaction_cleaned!$O:$O,A4416,pg_transaction_cleaned!$F:$F,"REFUND")</f>
        <v>0</v>
      </c>
      <c r="N4416" s="23" t="str">
        <f t="shared" si="274"/>
        <v>OK</v>
      </c>
      <c r="O4416" s="24">
        <f t="shared" si="275"/>
        <v>0</v>
      </c>
    </row>
    <row r="4417" spans="1:15" ht="15" customHeight="1" x14ac:dyDescent="0.3">
      <c r="A4417" s="23" t="s">
        <v>9306</v>
      </c>
      <c r="B4417" s="38">
        <v>46294</v>
      </c>
      <c r="C4417" s="23" t="s">
        <v>9307</v>
      </c>
      <c r="D4417" s="23" t="s">
        <v>94</v>
      </c>
      <c r="E4417" s="23" t="s">
        <v>79</v>
      </c>
      <c r="F4417" s="23" t="s">
        <v>291</v>
      </c>
      <c r="G4417" s="23" t="s">
        <v>250</v>
      </c>
      <c r="H4417" s="39">
        <f t="shared" si="272"/>
        <v>3499</v>
      </c>
      <c r="I4417" s="23" t="str">
        <f t="shared" si="273"/>
        <v>Chennai</v>
      </c>
      <c r="J4417" s="23">
        <f>COUNTIFS(pg_transaction_cleaned!$O:$O,A4417,pg_transaction_cleaned!$F:$F,"CAPTURE")</f>
        <v>1</v>
      </c>
      <c r="K4417" s="39">
        <f>SUMIFS(pg_transaction_cleaned!$H:$H,pg_transaction_cleaned!$O:$O,A4417,pg_transaction_cleaned!$F:$F,"CAPTURE")</f>
        <v>3499</v>
      </c>
      <c r="L4417" s="23">
        <f>COUNTIFS(pg_transaction_cleaned!$O:$O,A4417,pg_transaction_cleaned!$F:$F,"REFUND")</f>
        <v>0</v>
      </c>
      <c r="M4417" s="39">
        <f>SUMIFS(pg_transaction_cleaned!$H:$H,pg_transaction_cleaned!$O:$O,A4417,pg_transaction_cleaned!$F:$F,"REFUND")</f>
        <v>0</v>
      </c>
      <c r="N4417" s="23" t="str">
        <f t="shared" si="274"/>
        <v>OK</v>
      </c>
      <c r="O4417" s="24">
        <f t="shared" si="275"/>
        <v>0</v>
      </c>
    </row>
    <row r="4418" spans="1:15" ht="15" customHeight="1" x14ac:dyDescent="0.3">
      <c r="A4418" s="23" t="s">
        <v>9308</v>
      </c>
      <c r="B4418" s="38">
        <v>46278</v>
      </c>
      <c r="C4418" s="23" t="s">
        <v>9309</v>
      </c>
      <c r="D4418" s="23" t="s">
        <v>88</v>
      </c>
      <c r="E4418" s="23" t="s">
        <v>75</v>
      </c>
      <c r="F4418" s="23" t="s">
        <v>271</v>
      </c>
      <c r="G4418" s="23" t="s">
        <v>250</v>
      </c>
      <c r="H4418" s="39">
        <f t="shared" ref="H4418:H4481" si="276">VALUE(SUBSTITUTE(F4418,",",""))</f>
        <v>2499</v>
      </c>
      <c r="I4418" s="23" t="str">
        <f t="shared" ref="I4418:I4481" si="277">IF(TRIM(D4418)="","Unknown",TRIM(D4418))</f>
        <v>Lucknow</v>
      </c>
      <c r="J4418" s="23">
        <f>COUNTIFS(pg_transaction_cleaned!$O:$O,A4418,pg_transaction_cleaned!$F:$F,"CAPTURE")</f>
        <v>1</v>
      </c>
      <c r="K4418" s="39">
        <f>SUMIFS(pg_transaction_cleaned!$H:$H,pg_transaction_cleaned!$O:$O,A4418,pg_transaction_cleaned!$F:$F,"CAPTURE")</f>
        <v>2499</v>
      </c>
      <c r="L4418" s="23">
        <f>COUNTIFS(pg_transaction_cleaned!$O:$O,A4418,pg_transaction_cleaned!$F:$F,"REFUND")</f>
        <v>0</v>
      </c>
      <c r="M4418" s="39">
        <f>SUMIFS(pg_transaction_cleaned!$H:$H,pg_transaction_cleaned!$O:$O,A4418,pg_transaction_cleaned!$F:$F,"REFUND")</f>
        <v>0</v>
      </c>
      <c r="N4418" s="23" t="str">
        <f t="shared" ref="N4418:N4481" si="278">IF(AND(G4418="Paid",J4418=0),"Paid, no payment",IF(AND(OR(G4418="Failed",G4418="Cancelled"),J4418&gt;0),"Payment on failed/cancelled",IF(J4418&gt;1,"Duplicate charge",IF(AND(J4418=1,ROUND(K4418-H4418,2)&lt;&gt;0),"Amount difference",IF(AND(G4418="Refunded",L4418=0),"Refunded, no refund",IF(AND(G4418&lt;&gt;"Refunded",L4418&gt;0),"Refund, order not Refunded",IF(AND(L4418&gt;0,ROUND(M4418-H4418,2)&lt;&gt;0),"Refund amount differs","OK")))))))</f>
        <v>OK</v>
      </c>
      <c r="O4418" s="24">
        <f t="shared" ref="O4418:O4481" si="279">IF(N4418="OK",0,IF(N4418="Paid, no payment",H4418,IF(N4418="Payment on failed/cancelled",K4418,IF(OR(N4418="Duplicate charge",N4418="Amount difference"),K4418-H4418,IF(N4418="Refunded, no refund",H4418,M4418)))))</f>
        <v>0</v>
      </c>
    </row>
    <row r="4419" spans="1:15" ht="15" customHeight="1" x14ac:dyDescent="0.3">
      <c r="A4419" s="23" t="s">
        <v>9310</v>
      </c>
      <c r="B4419" s="38">
        <v>46268</v>
      </c>
      <c r="C4419" s="23" t="s">
        <v>9311</v>
      </c>
      <c r="D4419" s="23" t="s">
        <v>87</v>
      </c>
      <c r="E4419" s="23" t="s">
        <v>75</v>
      </c>
      <c r="F4419" s="23" t="s">
        <v>291</v>
      </c>
      <c r="G4419" s="23" t="s">
        <v>250</v>
      </c>
      <c r="H4419" s="39">
        <f t="shared" si="276"/>
        <v>3499</v>
      </c>
      <c r="I4419" s="23" t="str">
        <f t="shared" si="277"/>
        <v>Mumbai</v>
      </c>
      <c r="J4419" s="23">
        <f>COUNTIFS(pg_transaction_cleaned!$O:$O,A4419,pg_transaction_cleaned!$F:$F,"CAPTURE")</f>
        <v>1</v>
      </c>
      <c r="K4419" s="39">
        <f>SUMIFS(pg_transaction_cleaned!$H:$H,pg_transaction_cleaned!$O:$O,A4419,pg_transaction_cleaned!$F:$F,"CAPTURE")</f>
        <v>3499</v>
      </c>
      <c r="L4419" s="23">
        <f>COUNTIFS(pg_transaction_cleaned!$O:$O,A4419,pg_transaction_cleaned!$F:$F,"REFUND")</f>
        <v>0</v>
      </c>
      <c r="M4419" s="39">
        <f>SUMIFS(pg_transaction_cleaned!$H:$H,pg_transaction_cleaned!$O:$O,A4419,pg_transaction_cleaned!$F:$F,"REFUND")</f>
        <v>0</v>
      </c>
      <c r="N4419" s="23" t="str">
        <f t="shared" si="278"/>
        <v>OK</v>
      </c>
      <c r="O4419" s="24">
        <f t="shared" si="279"/>
        <v>0</v>
      </c>
    </row>
    <row r="4420" spans="1:15" ht="15" customHeight="1" x14ac:dyDescent="0.3">
      <c r="A4420" s="23" t="s">
        <v>9312</v>
      </c>
      <c r="B4420" s="38">
        <v>46289</v>
      </c>
      <c r="C4420" s="23" t="s">
        <v>9313</v>
      </c>
      <c r="D4420" s="23" t="s">
        <v>87</v>
      </c>
      <c r="E4420" s="23" t="s">
        <v>75</v>
      </c>
      <c r="F4420" s="23" t="s">
        <v>271</v>
      </c>
      <c r="G4420" s="23" t="s">
        <v>250</v>
      </c>
      <c r="H4420" s="39">
        <f t="shared" si="276"/>
        <v>2499</v>
      </c>
      <c r="I4420" s="23" t="str">
        <f t="shared" si="277"/>
        <v>Mumbai</v>
      </c>
      <c r="J4420" s="23">
        <f>COUNTIFS(pg_transaction_cleaned!$O:$O,A4420,pg_transaction_cleaned!$F:$F,"CAPTURE")</f>
        <v>1</v>
      </c>
      <c r="K4420" s="39">
        <f>SUMIFS(pg_transaction_cleaned!$H:$H,pg_transaction_cleaned!$O:$O,A4420,pg_transaction_cleaned!$F:$F,"CAPTURE")</f>
        <v>2499</v>
      </c>
      <c r="L4420" s="23">
        <f>COUNTIFS(pg_transaction_cleaned!$O:$O,A4420,pg_transaction_cleaned!$F:$F,"REFUND")</f>
        <v>0</v>
      </c>
      <c r="M4420" s="39">
        <f>SUMIFS(pg_transaction_cleaned!$H:$H,pg_transaction_cleaned!$O:$O,A4420,pg_transaction_cleaned!$F:$F,"REFUND")</f>
        <v>0</v>
      </c>
      <c r="N4420" s="23" t="str">
        <f t="shared" si="278"/>
        <v>OK</v>
      </c>
      <c r="O4420" s="24">
        <f t="shared" si="279"/>
        <v>0</v>
      </c>
    </row>
    <row r="4421" spans="1:15" ht="15" customHeight="1" x14ac:dyDescent="0.3">
      <c r="A4421" s="23" t="s">
        <v>9314</v>
      </c>
      <c r="B4421" s="38">
        <v>46276</v>
      </c>
      <c r="C4421" s="23" t="s">
        <v>9315</v>
      </c>
      <c r="D4421" s="23" t="s">
        <v>93</v>
      </c>
      <c r="E4421" s="23" t="s">
        <v>75</v>
      </c>
      <c r="F4421" s="23" t="s">
        <v>517</v>
      </c>
      <c r="G4421" s="23" t="s">
        <v>250</v>
      </c>
      <c r="H4421" s="39">
        <f t="shared" si="276"/>
        <v>7999</v>
      </c>
      <c r="I4421" s="23" t="str">
        <f t="shared" si="277"/>
        <v>Kolkata</v>
      </c>
      <c r="J4421" s="23">
        <f>COUNTIFS(pg_transaction_cleaned!$O:$O,A4421,pg_transaction_cleaned!$F:$F,"CAPTURE")</f>
        <v>1</v>
      </c>
      <c r="K4421" s="39">
        <f>SUMIFS(pg_transaction_cleaned!$H:$H,pg_transaction_cleaned!$O:$O,A4421,pg_transaction_cleaned!$F:$F,"CAPTURE")</f>
        <v>7999</v>
      </c>
      <c r="L4421" s="23">
        <f>COUNTIFS(pg_transaction_cleaned!$O:$O,A4421,pg_transaction_cleaned!$F:$F,"REFUND")</f>
        <v>0</v>
      </c>
      <c r="M4421" s="39">
        <f>SUMIFS(pg_transaction_cleaned!$H:$H,pg_transaction_cleaned!$O:$O,A4421,pg_transaction_cleaned!$F:$F,"REFUND")</f>
        <v>0</v>
      </c>
      <c r="N4421" s="23" t="str">
        <f t="shared" si="278"/>
        <v>OK</v>
      </c>
      <c r="O4421" s="24">
        <f t="shared" si="279"/>
        <v>0</v>
      </c>
    </row>
    <row r="4422" spans="1:15" ht="15" customHeight="1" x14ac:dyDescent="0.3">
      <c r="A4422" s="23" t="s">
        <v>9316</v>
      </c>
      <c r="B4422" s="38">
        <v>46271</v>
      </c>
      <c r="C4422" s="23" t="s">
        <v>9317</v>
      </c>
      <c r="D4422" s="23" t="s">
        <v>91</v>
      </c>
      <c r="E4422" s="23" t="s">
        <v>75</v>
      </c>
      <c r="F4422" s="23" t="s">
        <v>274</v>
      </c>
      <c r="G4422" s="23" t="s">
        <v>250</v>
      </c>
      <c r="H4422" s="39">
        <f t="shared" si="276"/>
        <v>349</v>
      </c>
      <c r="I4422" s="23" t="str">
        <f t="shared" si="277"/>
        <v>Pune</v>
      </c>
      <c r="J4422" s="23">
        <f>COUNTIFS(pg_transaction_cleaned!$O:$O,A4422,pg_transaction_cleaned!$F:$F,"CAPTURE")</f>
        <v>1</v>
      </c>
      <c r="K4422" s="39">
        <f>SUMIFS(pg_transaction_cleaned!$H:$H,pg_transaction_cleaned!$O:$O,A4422,pg_transaction_cleaned!$F:$F,"CAPTURE")</f>
        <v>349</v>
      </c>
      <c r="L4422" s="23">
        <f>COUNTIFS(pg_transaction_cleaned!$O:$O,A4422,pg_transaction_cleaned!$F:$F,"REFUND")</f>
        <v>0</v>
      </c>
      <c r="M4422" s="39">
        <f>SUMIFS(pg_transaction_cleaned!$H:$H,pg_transaction_cleaned!$O:$O,A4422,pg_transaction_cleaned!$F:$F,"REFUND")</f>
        <v>0</v>
      </c>
      <c r="N4422" s="23" t="str">
        <f t="shared" si="278"/>
        <v>OK</v>
      </c>
      <c r="O4422" s="24">
        <f t="shared" si="279"/>
        <v>0</v>
      </c>
    </row>
    <row r="4423" spans="1:15" ht="15" customHeight="1" x14ac:dyDescent="0.3">
      <c r="A4423" s="23" t="s">
        <v>9318</v>
      </c>
      <c r="B4423" s="38">
        <v>46283</v>
      </c>
      <c r="C4423" s="23" t="s">
        <v>6489</v>
      </c>
      <c r="D4423" s="23" t="s">
        <v>95</v>
      </c>
      <c r="E4423" s="23" t="s">
        <v>75</v>
      </c>
      <c r="F4423" s="23" t="s">
        <v>357</v>
      </c>
      <c r="G4423" s="23" t="s">
        <v>250</v>
      </c>
      <c r="H4423" s="39">
        <f t="shared" si="276"/>
        <v>1598</v>
      </c>
      <c r="I4423" s="23" t="str">
        <f t="shared" si="277"/>
        <v>Bengaluru</v>
      </c>
      <c r="J4423" s="23">
        <f>COUNTIFS(pg_transaction_cleaned!$O:$O,A4423,pg_transaction_cleaned!$F:$F,"CAPTURE")</f>
        <v>1</v>
      </c>
      <c r="K4423" s="39">
        <f>SUMIFS(pg_transaction_cleaned!$H:$H,pg_transaction_cleaned!$O:$O,A4423,pg_transaction_cleaned!$F:$F,"CAPTURE")</f>
        <v>1598</v>
      </c>
      <c r="L4423" s="23">
        <f>COUNTIFS(pg_transaction_cleaned!$O:$O,A4423,pg_transaction_cleaned!$F:$F,"REFUND")</f>
        <v>0</v>
      </c>
      <c r="M4423" s="39">
        <f>SUMIFS(pg_transaction_cleaned!$H:$H,pg_transaction_cleaned!$O:$O,A4423,pg_transaction_cleaned!$F:$F,"REFUND")</f>
        <v>0</v>
      </c>
      <c r="N4423" s="23" t="str">
        <f t="shared" si="278"/>
        <v>OK</v>
      </c>
      <c r="O4423" s="24">
        <f t="shared" si="279"/>
        <v>0</v>
      </c>
    </row>
    <row r="4424" spans="1:15" ht="15" customHeight="1" x14ac:dyDescent="0.3">
      <c r="A4424" s="23" t="s">
        <v>9319</v>
      </c>
      <c r="B4424" s="38">
        <v>46283</v>
      </c>
      <c r="C4424" s="23" t="s">
        <v>9320</v>
      </c>
      <c r="D4424" s="23" t="s">
        <v>94</v>
      </c>
      <c r="E4424" s="23" t="s">
        <v>79</v>
      </c>
      <c r="F4424" s="23" t="s">
        <v>2337</v>
      </c>
      <c r="G4424" s="23" t="s">
        <v>250</v>
      </c>
      <c r="H4424" s="39">
        <f t="shared" si="276"/>
        <v>8348</v>
      </c>
      <c r="I4424" s="23" t="str">
        <f t="shared" si="277"/>
        <v>Chennai</v>
      </c>
      <c r="J4424" s="23">
        <f>COUNTIFS(pg_transaction_cleaned!$O:$O,A4424,pg_transaction_cleaned!$F:$F,"CAPTURE")</f>
        <v>1</v>
      </c>
      <c r="K4424" s="39">
        <f>SUMIFS(pg_transaction_cleaned!$H:$H,pg_transaction_cleaned!$O:$O,A4424,pg_transaction_cleaned!$F:$F,"CAPTURE")</f>
        <v>8348</v>
      </c>
      <c r="L4424" s="23">
        <f>COUNTIFS(pg_transaction_cleaned!$O:$O,A4424,pg_transaction_cleaned!$F:$F,"REFUND")</f>
        <v>0</v>
      </c>
      <c r="M4424" s="39">
        <f>SUMIFS(pg_transaction_cleaned!$H:$H,pg_transaction_cleaned!$O:$O,A4424,pg_transaction_cleaned!$F:$F,"REFUND")</f>
        <v>0</v>
      </c>
      <c r="N4424" s="23" t="str">
        <f t="shared" si="278"/>
        <v>OK</v>
      </c>
      <c r="O4424" s="24">
        <f t="shared" si="279"/>
        <v>0</v>
      </c>
    </row>
    <row r="4425" spans="1:15" ht="15" customHeight="1" x14ac:dyDescent="0.3">
      <c r="A4425" s="23" t="s">
        <v>9321</v>
      </c>
      <c r="B4425" s="38">
        <v>46271</v>
      </c>
      <c r="C4425" s="23" t="s">
        <v>6061</v>
      </c>
      <c r="D4425" s="23" t="s">
        <v>87</v>
      </c>
      <c r="E4425" s="23" t="s">
        <v>75</v>
      </c>
      <c r="F4425" s="23" t="s">
        <v>315</v>
      </c>
      <c r="G4425" s="23" t="s">
        <v>250</v>
      </c>
      <c r="H4425" s="39">
        <f t="shared" si="276"/>
        <v>1499</v>
      </c>
      <c r="I4425" s="23" t="str">
        <f t="shared" si="277"/>
        <v>Mumbai</v>
      </c>
      <c r="J4425" s="23">
        <f>COUNTIFS(pg_transaction_cleaned!$O:$O,A4425,pg_transaction_cleaned!$F:$F,"CAPTURE")</f>
        <v>1</v>
      </c>
      <c r="K4425" s="39">
        <f>SUMIFS(pg_transaction_cleaned!$H:$H,pg_transaction_cleaned!$O:$O,A4425,pg_transaction_cleaned!$F:$F,"CAPTURE")</f>
        <v>1499</v>
      </c>
      <c r="L4425" s="23">
        <f>COUNTIFS(pg_transaction_cleaned!$O:$O,A4425,pg_transaction_cleaned!$F:$F,"REFUND")</f>
        <v>0</v>
      </c>
      <c r="M4425" s="39">
        <f>SUMIFS(pg_transaction_cleaned!$H:$H,pg_transaction_cleaned!$O:$O,A4425,pg_transaction_cleaned!$F:$F,"REFUND")</f>
        <v>0</v>
      </c>
      <c r="N4425" s="23" t="str">
        <f t="shared" si="278"/>
        <v>OK</v>
      </c>
      <c r="O4425" s="24">
        <f t="shared" si="279"/>
        <v>0</v>
      </c>
    </row>
    <row r="4426" spans="1:15" ht="15" customHeight="1" x14ac:dyDescent="0.3">
      <c r="A4426" s="23" t="s">
        <v>9322</v>
      </c>
      <c r="B4426" s="38">
        <v>46272</v>
      </c>
      <c r="C4426" s="23" t="s">
        <v>9323</v>
      </c>
      <c r="D4426" s="23" t="s">
        <v>86</v>
      </c>
      <c r="E4426" s="23" t="s">
        <v>75</v>
      </c>
      <c r="F4426" s="23" t="s">
        <v>271</v>
      </c>
      <c r="G4426" s="23" t="s">
        <v>250</v>
      </c>
      <c r="H4426" s="39">
        <f t="shared" si="276"/>
        <v>2499</v>
      </c>
      <c r="I4426" s="23" t="str">
        <f t="shared" si="277"/>
        <v>Delhi</v>
      </c>
      <c r="J4426" s="23">
        <f>COUNTIFS(pg_transaction_cleaned!$O:$O,A4426,pg_transaction_cleaned!$F:$F,"CAPTURE")</f>
        <v>1</v>
      </c>
      <c r="K4426" s="39">
        <f>SUMIFS(pg_transaction_cleaned!$H:$H,pg_transaction_cleaned!$O:$O,A4426,pg_transaction_cleaned!$F:$F,"CAPTURE")</f>
        <v>2499</v>
      </c>
      <c r="L4426" s="23">
        <f>COUNTIFS(pg_transaction_cleaned!$O:$O,A4426,pg_transaction_cleaned!$F:$F,"REFUND")</f>
        <v>0</v>
      </c>
      <c r="M4426" s="39">
        <f>SUMIFS(pg_transaction_cleaned!$H:$H,pg_transaction_cleaned!$O:$O,A4426,pg_transaction_cleaned!$F:$F,"REFUND")</f>
        <v>0</v>
      </c>
      <c r="N4426" s="23" t="str">
        <f t="shared" si="278"/>
        <v>OK</v>
      </c>
      <c r="O4426" s="24">
        <f t="shared" si="279"/>
        <v>0</v>
      </c>
    </row>
    <row r="4427" spans="1:15" ht="15" customHeight="1" x14ac:dyDescent="0.3">
      <c r="A4427" s="23" t="s">
        <v>9324</v>
      </c>
      <c r="B4427" s="38">
        <v>46295</v>
      </c>
      <c r="C4427" s="23" t="s">
        <v>9325</v>
      </c>
      <c r="D4427" s="23" t="s">
        <v>91</v>
      </c>
      <c r="E4427" s="23" t="s">
        <v>75</v>
      </c>
      <c r="F4427" s="23" t="s">
        <v>1412</v>
      </c>
      <c r="G4427" s="23" t="s">
        <v>250</v>
      </c>
      <c r="H4427" s="39">
        <f t="shared" si="276"/>
        <v>7397</v>
      </c>
      <c r="I4427" s="23" t="str">
        <f t="shared" si="277"/>
        <v>Pune</v>
      </c>
      <c r="J4427" s="23">
        <f>COUNTIFS(pg_transaction_cleaned!$O:$O,A4427,pg_transaction_cleaned!$F:$F,"CAPTURE")</f>
        <v>1</v>
      </c>
      <c r="K4427" s="39">
        <f>SUMIFS(pg_transaction_cleaned!$H:$H,pg_transaction_cleaned!$O:$O,A4427,pg_transaction_cleaned!$F:$F,"CAPTURE")</f>
        <v>7397</v>
      </c>
      <c r="L4427" s="23">
        <f>COUNTIFS(pg_transaction_cleaned!$O:$O,A4427,pg_transaction_cleaned!$F:$F,"REFUND")</f>
        <v>0</v>
      </c>
      <c r="M4427" s="39">
        <f>SUMIFS(pg_transaction_cleaned!$H:$H,pg_transaction_cleaned!$O:$O,A4427,pg_transaction_cleaned!$F:$F,"REFUND")</f>
        <v>0</v>
      </c>
      <c r="N4427" s="23" t="str">
        <f t="shared" si="278"/>
        <v>OK</v>
      </c>
      <c r="O4427" s="24">
        <f t="shared" si="279"/>
        <v>0</v>
      </c>
    </row>
    <row r="4428" spans="1:15" ht="15" customHeight="1" x14ac:dyDescent="0.3">
      <c r="A4428" s="23" t="s">
        <v>9326</v>
      </c>
      <c r="B4428" s="38">
        <v>46283</v>
      </c>
      <c r="C4428" s="23" t="s">
        <v>9327</v>
      </c>
      <c r="D4428" s="23" t="s">
        <v>90</v>
      </c>
      <c r="E4428" s="23" t="s">
        <v>75</v>
      </c>
      <c r="F4428" s="23" t="s">
        <v>790</v>
      </c>
      <c r="G4428" s="23" t="s">
        <v>250</v>
      </c>
      <c r="H4428" s="39">
        <f t="shared" si="276"/>
        <v>11497</v>
      </c>
      <c r="I4428" s="23" t="str">
        <f t="shared" si="277"/>
        <v>Ahmedabad</v>
      </c>
      <c r="J4428" s="23">
        <f>COUNTIFS(pg_transaction_cleaned!$O:$O,A4428,pg_transaction_cleaned!$F:$F,"CAPTURE")</f>
        <v>1</v>
      </c>
      <c r="K4428" s="39">
        <f>SUMIFS(pg_transaction_cleaned!$H:$H,pg_transaction_cleaned!$O:$O,A4428,pg_transaction_cleaned!$F:$F,"CAPTURE")</f>
        <v>11497</v>
      </c>
      <c r="L4428" s="23">
        <f>COUNTIFS(pg_transaction_cleaned!$O:$O,A4428,pg_transaction_cleaned!$F:$F,"REFUND")</f>
        <v>0</v>
      </c>
      <c r="M4428" s="39">
        <f>SUMIFS(pg_transaction_cleaned!$H:$H,pg_transaction_cleaned!$O:$O,A4428,pg_transaction_cleaned!$F:$F,"REFUND")</f>
        <v>0</v>
      </c>
      <c r="N4428" s="23" t="str">
        <f t="shared" si="278"/>
        <v>OK</v>
      </c>
      <c r="O4428" s="24">
        <f t="shared" si="279"/>
        <v>0</v>
      </c>
    </row>
    <row r="4429" spans="1:15" ht="15" customHeight="1" x14ac:dyDescent="0.3">
      <c r="A4429" s="23" t="s">
        <v>9328</v>
      </c>
      <c r="B4429" s="38">
        <v>46275</v>
      </c>
      <c r="C4429" s="23" t="s">
        <v>9329</v>
      </c>
      <c r="D4429" s="23" t="s">
        <v>91</v>
      </c>
      <c r="E4429" s="23" t="s">
        <v>75</v>
      </c>
      <c r="F4429" s="23" t="s">
        <v>329</v>
      </c>
      <c r="G4429" s="23" t="s">
        <v>250</v>
      </c>
      <c r="H4429" s="39">
        <f t="shared" si="276"/>
        <v>599</v>
      </c>
      <c r="I4429" s="23" t="str">
        <f t="shared" si="277"/>
        <v>Pune</v>
      </c>
      <c r="J4429" s="23">
        <f>COUNTIFS(pg_transaction_cleaned!$O:$O,A4429,pg_transaction_cleaned!$F:$F,"CAPTURE")</f>
        <v>1</v>
      </c>
      <c r="K4429" s="39">
        <f>SUMIFS(pg_transaction_cleaned!$H:$H,pg_transaction_cleaned!$O:$O,A4429,pg_transaction_cleaned!$F:$F,"CAPTURE")</f>
        <v>599</v>
      </c>
      <c r="L4429" s="23">
        <f>COUNTIFS(pg_transaction_cleaned!$O:$O,A4429,pg_transaction_cleaned!$F:$F,"REFUND")</f>
        <v>0</v>
      </c>
      <c r="M4429" s="39">
        <f>SUMIFS(pg_transaction_cleaned!$H:$H,pg_transaction_cleaned!$O:$O,A4429,pg_transaction_cleaned!$F:$F,"REFUND")</f>
        <v>0</v>
      </c>
      <c r="N4429" s="23" t="str">
        <f t="shared" si="278"/>
        <v>OK</v>
      </c>
      <c r="O4429" s="24">
        <f t="shared" si="279"/>
        <v>0</v>
      </c>
    </row>
    <row r="4430" spans="1:15" ht="15" customHeight="1" x14ac:dyDescent="0.3">
      <c r="A4430" s="23" t="s">
        <v>9330</v>
      </c>
      <c r="B4430" s="38">
        <v>46282</v>
      </c>
      <c r="C4430" s="23" t="s">
        <v>9331</v>
      </c>
      <c r="D4430" s="23" t="s">
        <v>93</v>
      </c>
      <c r="E4430" s="23" t="s">
        <v>75</v>
      </c>
      <c r="F4430" s="23" t="s">
        <v>805</v>
      </c>
      <c r="G4430" s="23" t="s">
        <v>250</v>
      </c>
      <c r="H4430" s="39">
        <f t="shared" si="276"/>
        <v>1397</v>
      </c>
      <c r="I4430" s="23" t="str">
        <f t="shared" si="277"/>
        <v>Kolkata</v>
      </c>
      <c r="J4430" s="23">
        <f>COUNTIFS(pg_transaction_cleaned!$O:$O,A4430,pg_transaction_cleaned!$F:$F,"CAPTURE")</f>
        <v>1</v>
      </c>
      <c r="K4430" s="39">
        <f>SUMIFS(pg_transaction_cleaned!$H:$H,pg_transaction_cleaned!$O:$O,A4430,pg_transaction_cleaned!$F:$F,"CAPTURE")</f>
        <v>1397</v>
      </c>
      <c r="L4430" s="23">
        <f>COUNTIFS(pg_transaction_cleaned!$O:$O,A4430,pg_transaction_cleaned!$F:$F,"REFUND")</f>
        <v>0</v>
      </c>
      <c r="M4430" s="39">
        <f>SUMIFS(pg_transaction_cleaned!$H:$H,pg_transaction_cleaned!$O:$O,A4430,pg_transaction_cleaned!$F:$F,"REFUND")</f>
        <v>0</v>
      </c>
      <c r="N4430" s="23" t="str">
        <f t="shared" si="278"/>
        <v>OK</v>
      </c>
      <c r="O4430" s="24">
        <f t="shared" si="279"/>
        <v>0</v>
      </c>
    </row>
    <row r="4431" spans="1:15" ht="15" customHeight="1" x14ac:dyDescent="0.3">
      <c r="A4431" s="23" t="s">
        <v>9332</v>
      </c>
      <c r="B4431" s="38">
        <v>46290</v>
      </c>
      <c r="C4431" s="23" t="s">
        <v>9333</v>
      </c>
      <c r="D4431" s="23" t="s">
        <v>89</v>
      </c>
      <c r="E4431" s="23" t="s">
        <v>75</v>
      </c>
      <c r="F4431" s="23" t="s">
        <v>294</v>
      </c>
      <c r="G4431" s="23" t="s">
        <v>250</v>
      </c>
      <c r="H4431" s="39">
        <f t="shared" si="276"/>
        <v>1799</v>
      </c>
      <c r="I4431" s="23" t="str">
        <f t="shared" si="277"/>
        <v>Jaipur</v>
      </c>
      <c r="J4431" s="23">
        <f>COUNTIFS(pg_transaction_cleaned!$O:$O,A4431,pg_transaction_cleaned!$F:$F,"CAPTURE")</f>
        <v>1</v>
      </c>
      <c r="K4431" s="39">
        <f>SUMIFS(pg_transaction_cleaned!$H:$H,pg_transaction_cleaned!$O:$O,A4431,pg_transaction_cleaned!$F:$F,"CAPTURE")</f>
        <v>1799</v>
      </c>
      <c r="L4431" s="23">
        <f>COUNTIFS(pg_transaction_cleaned!$O:$O,A4431,pg_transaction_cleaned!$F:$F,"REFUND")</f>
        <v>0</v>
      </c>
      <c r="M4431" s="39">
        <f>SUMIFS(pg_transaction_cleaned!$H:$H,pg_transaction_cleaned!$O:$O,A4431,pg_transaction_cleaned!$F:$F,"REFUND")</f>
        <v>0</v>
      </c>
      <c r="N4431" s="23" t="str">
        <f t="shared" si="278"/>
        <v>OK</v>
      </c>
      <c r="O4431" s="24">
        <f t="shared" si="279"/>
        <v>0</v>
      </c>
    </row>
    <row r="4432" spans="1:15" ht="15" customHeight="1" x14ac:dyDescent="0.3">
      <c r="A4432" s="23" t="s">
        <v>9334</v>
      </c>
      <c r="B4432" s="38">
        <v>46290</v>
      </c>
      <c r="C4432" s="23" t="s">
        <v>9335</v>
      </c>
      <c r="D4432" s="23" t="s">
        <v>88</v>
      </c>
      <c r="E4432" s="23" t="s">
        <v>75</v>
      </c>
      <c r="F4432" s="23" t="s">
        <v>337</v>
      </c>
      <c r="G4432" s="23" t="s">
        <v>250</v>
      </c>
      <c r="H4432" s="39">
        <f t="shared" si="276"/>
        <v>3998</v>
      </c>
      <c r="I4432" s="23" t="str">
        <f t="shared" si="277"/>
        <v>Lucknow</v>
      </c>
      <c r="J4432" s="23">
        <f>COUNTIFS(pg_transaction_cleaned!$O:$O,A4432,pg_transaction_cleaned!$F:$F,"CAPTURE")</f>
        <v>1</v>
      </c>
      <c r="K4432" s="39">
        <f>SUMIFS(pg_transaction_cleaned!$H:$H,pg_transaction_cleaned!$O:$O,A4432,pg_transaction_cleaned!$F:$F,"CAPTURE")</f>
        <v>3998</v>
      </c>
      <c r="L4432" s="23">
        <f>COUNTIFS(pg_transaction_cleaned!$O:$O,A4432,pg_transaction_cleaned!$F:$F,"REFUND")</f>
        <v>0</v>
      </c>
      <c r="M4432" s="39">
        <f>SUMIFS(pg_transaction_cleaned!$H:$H,pg_transaction_cleaned!$O:$O,A4432,pg_transaction_cleaned!$F:$F,"REFUND")</f>
        <v>0</v>
      </c>
      <c r="N4432" s="23" t="str">
        <f t="shared" si="278"/>
        <v>OK</v>
      </c>
      <c r="O4432" s="24">
        <f t="shared" si="279"/>
        <v>0</v>
      </c>
    </row>
    <row r="4433" spans="1:15" ht="15" customHeight="1" x14ac:dyDescent="0.3">
      <c r="A4433" s="23" t="s">
        <v>9336</v>
      </c>
      <c r="B4433" s="38">
        <v>46276</v>
      </c>
      <c r="C4433" s="23" t="s">
        <v>9337</v>
      </c>
      <c r="D4433" s="23" t="s">
        <v>89</v>
      </c>
      <c r="E4433" s="23" t="s">
        <v>75</v>
      </c>
      <c r="F4433" s="23" t="s">
        <v>271</v>
      </c>
      <c r="G4433" s="23" t="s">
        <v>250</v>
      </c>
      <c r="H4433" s="39">
        <f t="shared" si="276"/>
        <v>2499</v>
      </c>
      <c r="I4433" s="23" t="str">
        <f t="shared" si="277"/>
        <v>Jaipur</v>
      </c>
      <c r="J4433" s="23">
        <f>COUNTIFS(pg_transaction_cleaned!$O:$O,A4433,pg_transaction_cleaned!$F:$F,"CAPTURE")</f>
        <v>1</v>
      </c>
      <c r="K4433" s="39">
        <f>SUMIFS(pg_transaction_cleaned!$H:$H,pg_transaction_cleaned!$O:$O,A4433,pg_transaction_cleaned!$F:$F,"CAPTURE")</f>
        <v>2499</v>
      </c>
      <c r="L4433" s="23">
        <f>COUNTIFS(pg_transaction_cleaned!$O:$O,A4433,pg_transaction_cleaned!$F:$F,"REFUND")</f>
        <v>0</v>
      </c>
      <c r="M4433" s="39">
        <f>SUMIFS(pg_transaction_cleaned!$H:$H,pg_transaction_cleaned!$O:$O,A4433,pg_transaction_cleaned!$F:$F,"REFUND")</f>
        <v>0</v>
      </c>
      <c r="N4433" s="23" t="str">
        <f t="shared" si="278"/>
        <v>OK</v>
      </c>
      <c r="O4433" s="24">
        <f t="shared" si="279"/>
        <v>0</v>
      </c>
    </row>
    <row r="4434" spans="1:15" ht="15" customHeight="1" x14ac:dyDescent="0.3">
      <c r="A4434" s="23" t="s">
        <v>9338</v>
      </c>
      <c r="B4434" s="38">
        <v>46275</v>
      </c>
      <c r="C4434" s="23" t="s">
        <v>9339</v>
      </c>
      <c r="D4434" s="23" t="s">
        <v>93</v>
      </c>
      <c r="E4434" s="23" t="s">
        <v>77</v>
      </c>
      <c r="F4434" s="23" t="s">
        <v>9024</v>
      </c>
      <c r="G4434" s="23" t="s">
        <v>365</v>
      </c>
      <c r="H4434" s="39">
        <f t="shared" si="276"/>
        <v>8347</v>
      </c>
      <c r="I4434" s="23" t="str">
        <f t="shared" si="277"/>
        <v>Kolkata</v>
      </c>
      <c r="J4434" s="23">
        <f>COUNTIFS(pg_transaction_cleaned!$O:$O,A4434,pg_transaction_cleaned!$F:$F,"CAPTURE")</f>
        <v>0</v>
      </c>
      <c r="K4434" s="39">
        <f>SUMIFS(pg_transaction_cleaned!$H:$H,pg_transaction_cleaned!$O:$O,A4434,pg_transaction_cleaned!$F:$F,"CAPTURE")</f>
        <v>0</v>
      </c>
      <c r="L4434" s="23">
        <f>COUNTIFS(pg_transaction_cleaned!$O:$O,A4434,pg_transaction_cleaned!$F:$F,"REFUND")</f>
        <v>0</v>
      </c>
      <c r="M4434" s="39">
        <f>SUMIFS(pg_transaction_cleaned!$H:$H,pg_transaction_cleaned!$O:$O,A4434,pg_transaction_cleaned!$F:$F,"REFUND")</f>
        <v>0</v>
      </c>
      <c r="N4434" s="23" t="str">
        <f t="shared" si="278"/>
        <v>OK</v>
      </c>
      <c r="O4434" s="24">
        <f t="shared" si="279"/>
        <v>0</v>
      </c>
    </row>
    <row r="4435" spans="1:15" ht="15" customHeight="1" x14ac:dyDescent="0.3">
      <c r="A4435" s="23" t="s">
        <v>9340</v>
      </c>
      <c r="B4435" s="38">
        <v>46276</v>
      </c>
      <c r="C4435" s="23" t="s">
        <v>9341</v>
      </c>
      <c r="D4435" s="23" t="s">
        <v>93</v>
      </c>
      <c r="E4435" s="23" t="s">
        <v>77</v>
      </c>
      <c r="F4435" s="23" t="s">
        <v>297</v>
      </c>
      <c r="G4435" s="23" t="s">
        <v>250</v>
      </c>
      <c r="H4435" s="39">
        <f t="shared" si="276"/>
        <v>4999</v>
      </c>
      <c r="I4435" s="23" t="str">
        <f t="shared" si="277"/>
        <v>Kolkata</v>
      </c>
      <c r="J4435" s="23">
        <f>COUNTIFS(pg_transaction_cleaned!$O:$O,A4435,pg_transaction_cleaned!$F:$F,"CAPTURE")</f>
        <v>1</v>
      </c>
      <c r="K4435" s="39">
        <f>SUMIFS(pg_transaction_cleaned!$H:$H,pg_transaction_cleaned!$O:$O,A4435,pg_transaction_cleaned!$F:$F,"CAPTURE")</f>
        <v>4999</v>
      </c>
      <c r="L4435" s="23">
        <f>COUNTIFS(pg_transaction_cleaned!$O:$O,A4435,pg_transaction_cleaned!$F:$F,"REFUND")</f>
        <v>0</v>
      </c>
      <c r="M4435" s="39">
        <f>SUMIFS(pg_transaction_cleaned!$H:$H,pg_transaction_cleaned!$O:$O,A4435,pg_transaction_cleaned!$F:$F,"REFUND")</f>
        <v>0</v>
      </c>
      <c r="N4435" s="23" t="str">
        <f t="shared" si="278"/>
        <v>OK</v>
      </c>
      <c r="O4435" s="24">
        <f t="shared" si="279"/>
        <v>0</v>
      </c>
    </row>
    <row r="4436" spans="1:15" ht="15" customHeight="1" x14ac:dyDescent="0.3">
      <c r="A4436" s="23" t="s">
        <v>9342</v>
      </c>
      <c r="B4436" s="38">
        <v>46280</v>
      </c>
      <c r="C4436" s="23" t="s">
        <v>9343</v>
      </c>
      <c r="D4436" s="23" t="s">
        <v>91</v>
      </c>
      <c r="E4436" s="23" t="s">
        <v>75</v>
      </c>
      <c r="F4436" s="23" t="s">
        <v>297</v>
      </c>
      <c r="G4436" s="23" t="s">
        <v>250</v>
      </c>
      <c r="H4436" s="39">
        <f t="shared" si="276"/>
        <v>4999</v>
      </c>
      <c r="I4436" s="23" t="str">
        <f t="shared" si="277"/>
        <v>Pune</v>
      </c>
      <c r="J4436" s="23">
        <f>COUNTIFS(pg_transaction_cleaned!$O:$O,A4436,pg_transaction_cleaned!$F:$F,"CAPTURE")</f>
        <v>1</v>
      </c>
      <c r="K4436" s="39">
        <f>SUMIFS(pg_transaction_cleaned!$H:$H,pg_transaction_cleaned!$O:$O,A4436,pg_transaction_cleaned!$F:$F,"CAPTURE")</f>
        <v>4999</v>
      </c>
      <c r="L4436" s="23">
        <f>COUNTIFS(pg_transaction_cleaned!$O:$O,A4436,pg_transaction_cleaned!$F:$F,"REFUND")</f>
        <v>0</v>
      </c>
      <c r="M4436" s="39">
        <f>SUMIFS(pg_transaction_cleaned!$H:$H,pg_transaction_cleaned!$O:$O,A4436,pg_transaction_cleaned!$F:$F,"REFUND")</f>
        <v>0</v>
      </c>
      <c r="N4436" s="23" t="str">
        <f t="shared" si="278"/>
        <v>OK</v>
      </c>
      <c r="O4436" s="24">
        <f t="shared" si="279"/>
        <v>0</v>
      </c>
    </row>
    <row r="4437" spans="1:15" ht="15" customHeight="1" x14ac:dyDescent="0.3">
      <c r="A4437" s="23" t="s">
        <v>9344</v>
      </c>
      <c r="B4437" s="38">
        <v>46284</v>
      </c>
      <c r="C4437" s="23" t="s">
        <v>9345</v>
      </c>
      <c r="D4437" s="23" t="s">
        <v>89</v>
      </c>
      <c r="E4437" s="23" t="s">
        <v>77</v>
      </c>
      <c r="F4437" s="23" t="s">
        <v>475</v>
      </c>
      <c r="G4437" s="23" t="s">
        <v>250</v>
      </c>
      <c r="H4437" s="39">
        <f t="shared" si="276"/>
        <v>799</v>
      </c>
      <c r="I4437" s="23" t="str">
        <f t="shared" si="277"/>
        <v>Jaipur</v>
      </c>
      <c r="J4437" s="23">
        <f>COUNTIFS(pg_transaction_cleaned!$O:$O,A4437,pg_transaction_cleaned!$F:$F,"CAPTURE")</f>
        <v>1</v>
      </c>
      <c r="K4437" s="39">
        <f>SUMIFS(pg_transaction_cleaned!$H:$H,pg_transaction_cleaned!$O:$O,A4437,pg_transaction_cleaned!$F:$F,"CAPTURE")</f>
        <v>799</v>
      </c>
      <c r="L4437" s="23">
        <f>COUNTIFS(pg_transaction_cleaned!$O:$O,A4437,pg_transaction_cleaned!$F:$F,"REFUND")</f>
        <v>0</v>
      </c>
      <c r="M4437" s="39">
        <f>SUMIFS(pg_transaction_cleaned!$H:$H,pg_transaction_cleaned!$O:$O,A4437,pg_transaction_cleaned!$F:$F,"REFUND")</f>
        <v>0</v>
      </c>
      <c r="N4437" s="23" t="str">
        <f t="shared" si="278"/>
        <v>OK</v>
      </c>
      <c r="O4437" s="24">
        <f t="shared" si="279"/>
        <v>0</v>
      </c>
    </row>
    <row r="4438" spans="1:15" ht="15" customHeight="1" x14ac:dyDescent="0.3">
      <c r="A4438" s="23" t="s">
        <v>9346</v>
      </c>
      <c r="B4438" s="38">
        <v>46294</v>
      </c>
      <c r="C4438" s="23" t="s">
        <v>9347</v>
      </c>
      <c r="D4438" s="23" t="s">
        <v>91</v>
      </c>
      <c r="E4438" s="23" t="s">
        <v>75</v>
      </c>
      <c r="F4438" s="23" t="s">
        <v>685</v>
      </c>
      <c r="G4438" s="23" t="s">
        <v>250</v>
      </c>
      <c r="H4438" s="39">
        <f t="shared" si="276"/>
        <v>8797</v>
      </c>
      <c r="I4438" s="23" t="str">
        <f t="shared" si="277"/>
        <v>Pune</v>
      </c>
      <c r="J4438" s="23">
        <f>COUNTIFS(pg_transaction_cleaned!$O:$O,A4438,pg_transaction_cleaned!$F:$F,"CAPTURE")</f>
        <v>1</v>
      </c>
      <c r="K4438" s="39">
        <f>SUMIFS(pg_transaction_cleaned!$H:$H,pg_transaction_cleaned!$O:$O,A4438,pg_transaction_cleaned!$F:$F,"CAPTURE")</f>
        <v>8797</v>
      </c>
      <c r="L4438" s="23">
        <f>COUNTIFS(pg_transaction_cleaned!$O:$O,A4438,pg_transaction_cleaned!$F:$F,"REFUND")</f>
        <v>0</v>
      </c>
      <c r="M4438" s="39">
        <f>SUMIFS(pg_transaction_cleaned!$H:$H,pg_transaction_cleaned!$O:$O,A4438,pg_transaction_cleaned!$F:$F,"REFUND")</f>
        <v>0</v>
      </c>
      <c r="N4438" s="23" t="str">
        <f t="shared" si="278"/>
        <v>OK</v>
      </c>
      <c r="O4438" s="24">
        <f t="shared" si="279"/>
        <v>0</v>
      </c>
    </row>
    <row r="4439" spans="1:15" ht="15" customHeight="1" x14ac:dyDescent="0.3">
      <c r="A4439" s="23" t="s">
        <v>9348</v>
      </c>
      <c r="B4439" s="38">
        <v>46292</v>
      </c>
      <c r="C4439" s="23" t="s">
        <v>9349</v>
      </c>
      <c r="D4439" s="23" t="s">
        <v>86</v>
      </c>
      <c r="E4439" s="23" t="s">
        <v>75</v>
      </c>
      <c r="F4439" s="23" t="s">
        <v>310</v>
      </c>
      <c r="G4439" s="23" t="s">
        <v>250</v>
      </c>
      <c r="H4439" s="39">
        <f t="shared" si="276"/>
        <v>7999</v>
      </c>
      <c r="I4439" s="23" t="str">
        <f t="shared" si="277"/>
        <v>Delhi</v>
      </c>
      <c r="J4439" s="23">
        <f>COUNTIFS(pg_transaction_cleaned!$O:$O,A4439,pg_transaction_cleaned!$F:$F,"CAPTURE")</f>
        <v>1</v>
      </c>
      <c r="K4439" s="39">
        <f>SUMIFS(pg_transaction_cleaned!$H:$H,pg_transaction_cleaned!$O:$O,A4439,pg_transaction_cleaned!$F:$F,"CAPTURE")</f>
        <v>7999</v>
      </c>
      <c r="L4439" s="23">
        <f>COUNTIFS(pg_transaction_cleaned!$O:$O,A4439,pg_transaction_cleaned!$F:$F,"REFUND")</f>
        <v>0</v>
      </c>
      <c r="M4439" s="39">
        <f>SUMIFS(pg_transaction_cleaned!$H:$H,pg_transaction_cleaned!$O:$O,A4439,pg_transaction_cleaned!$F:$F,"REFUND")</f>
        <v>0</v>
      </c>
      <c r="N4439" s="23" t="str">
        <f t="shared" si="278"/>
        <v>OK</v>
      </c>
      <c r="O4439" s="24">
        <f t="shared" si="279"/>
        <v>0</v>
      </c>
    </row>
    <row r="4440" spans="1:15" ht="15" customHeight="1" x14ac:dyDescent="0.3">
      <c r="A4440" s="23" t="s">
        <v>9350</v>
      </c>
      <c r="B4440" s="38">
        <v>46275</v>
      </c>
      <c r="C4440" s="23" t="s">
        <v>9351</v>
      </c>
      <c r="D4440" s="23" t="s">
        <v>90</v>
      </c>
      <c r="E4440" s="23" t="s">
        <v>81</v>
      </c>
      <c r="F4440" s="23" t="s">
        <v>274</v>
      </c>
      <c r="G4440" s="23" t="s">
        <v>250</v>
      </c>
      <c r="H4440" s="39">
        <f t="shared" si="276"/>
        <v>349</v>
      </c>
      <c r="I4440" s="23" t="str">
        <f t="shared" si="277"/>
        <v>Ahmedabad</v>
      </c>
      <c r="J4440" s="23">
        <f>COUNTIFS(pg_transaction_cleaned!$O:$O,A4440,pg_transaction_cleaned!$F:$F,"CAPTURE")</f>
        <v>1</v>
      </c>
      <c r="K4440" s="39">
        <f>SUMIFS(pg_transaction_cleaned!$H:$H,pg_transaction_cleaned!$O:$O,A4440,pg_transaction_cleaned!$F:$F,"CAPTURE")</f>
        <v>349</v>
      </c>
      <c r="L4440" s="23">
        <f>COUNTIFS(pg_transaction_cleaned!$O:$O,A4440,pg_transaction_cleaned!$F:$F,"REFUND")</f>
        <v>0</v>
      </c>
      <c r="M4440" s="39">
        <f>SUMIFS(pg_transaction_cleaned!$H:$H,pg_transaction_cleaned!$O:$O,A4440,pg_transaction_cleaned!$F:$F,"REFUND")</f>
        <v>0</v>
      </c>
      <c r="N4440" s="23" t="str">
        <f t="shared" si="278"/>
        <v>OK</v>
      </c>
      <c r="O4440" s="24">
        <f t="shared" si="279"/>
        <v>0</v>
      </c>
    </row>
    <row r="4441" spans="1:15" ht="15" customHeight="1" x14ac:dyDescent="0.3">
      <c r="A4441" s="23" t="s">
        <v>9352</v>
      </c>
      <c r="B4441" s="38">
        <v>46289</v>
      </c>
      <c r="C4441" s="23" t="s">
        <v>9353</v>
      </c>
      <c r="D4441" s="23" t="s">
        <v>86</v>
      </c>
      <c r="E4441" s="23" t="s">
        <v>81</v>
      </c>
      <c r="F4441" s="23" t="s">
        <v>297</v>
      </c>
      <c r="G4441" s="23" t="s">
        <v>250</v>
      </c>
      <c r="H4441" s="39">
        <f t="shared" si="276"/>
        <v>4999</v>
      </c>
      <c r="I4441" s="23" t="str">
        <f t="shared" si="277"/>
        <v>Delhi</v>
      </c>
      <c r="J4441" s="23">
        <f>COUNTIFS(pg_transaction_cleaned!$O:$O,A4441,pg_transaction_cleaned!$F:$F,"CAPTURE")</f>
        <v>1</v>
      </c>
      <c r="K4441" s="39">
        <f>SUMIFS(pg_transaction_cleaned!$H:$H,pg_transaction_cleaned!$O:$O,A4441,pg_transaction_cleaned!$F:$F,"CAPTURE")</f>
        <v>4999</v>
      </c>
      <c r="L4441" s="23">
        <f>COUNTIFS(pg_transaction_cleaned!$O:$O,A4441,pg_transaction_cleaned!$F:$F,"REFUND")</f>
        <v>0</v>
      </c>
      <c r="M4441" s="39">
        <f>SUMIFS(pg_transaction_cleaned!$H:$H,pg_transaction_cleaned!$O:$O,A4441,pg_transaction_cleaned!$F:$F,"REFUND")</f>
        <v>0</v>
      </c>
      <c r="N4441" s="23" t="str">
        <f t="shared" si="278"/>
        <v>OK</v>
      </c>
      <c r="O4441" s="24">
        <f t="shared" si="279"/>
        <v>0</v>
      </c>
    </row>
    <row r="4442" spans="1:15" ht="15" customHeight="1" x14ac:dyDescent="0.3">
      <c r="A4442" s="23" t="s">
        <v>9354</v>
      </c>
      <c r="B4442" s="38">
        <v>46268</v>
      </c>
      <c r="C4442" s="23" t="s">
        <v>9355</v>
      </c>
      <c r="D4442" s="23" t="s">
        <v>91</v>
      </c>
      <c r="E4442" s="23" t="s">
        <v>75</v>
      </c>
      <c r="F4442" s="23" t="s">
        <v>974</v>
      </c>
      <c r="G4442" s="23" t="s">
        <v>250</v>
      </c>
      <c r="H4442" s="39">
        <f t="shared" si="276"/>
        <v>1498</v>
      </c>
      <c r="I4442" s="23" t="str">
        <f t="shared" si="277"/>
        <v>Pune</v>
      </c>
      <c r="J4442" s="23">
        <f>COUNTIFS(pg_transaction_cleaned!$O:$O,A4442,pg_transaction_cleaned!$F:$F,"CAPTURE")</f>
        <v>1</v>
      </c>
      <c r="K4442" s="39">
        <f>SUMIFS(pg_transaction_cleaned!$H:$H,pg_transaction_cleaned!$O:$O,A4442,pg_transaction_cleaned!$F:$F,"CAPTURE")</f>
        <v>1498</v>
      </c>
      <c r="L4442" s="23">
        <f>COUNTIFS(pg_transaction_cleaned!$O:$O,A4442,pg_transaction_cleaned!$F:$F,"REFUND")</f>
        <v>0</v>
      </c>
      <c r="M4442" s="39">
        <f>SUMIFS(pg_transaction_cleaned!$H:$H,pg_transaction_cleaned!$O:$O,A4442,pg_transaction_cleaned!$F:$F,"REFUND")</f>
        <v>0</v>
      </c>
      <c r="N4442" s="23" t="str">
        <f t="shared" si="278"/>
        <v>OK</v>
      </c>
      <c r="O4442" s="24">
        <f t="shared" si="279"/>
        <v>0</v>
      </c>
    </row>
    <row r="4443" spans="1:15" ht="15" customHeight="1" x14ac:dyDescent="0.3">
      <c r="A4443" s="23" t="s">
        <v>9356</v>
      </c>
      <c r="B4443" s="38">
        <v>46275</v>
      </c>
      <c r="C4443" s="23" t="s">
        <v>9357</v>
      </c>
      <c r="D4443" s="23" t="s">
        <v>94</v>
      </c>
      <c r="E4443" s="23" t="s">
        <v>75</v>
      </c>
      <c r="F4443" s="23" t="s">
        <v>3885</v>
      </c>
      <c r="G4443" s="23" t="s">
        <v>250</v>
      </c>
      <c r="H4443" s="39">
        <f t="shared" si="276"/>
        <v>2247</v>
      </c>
      <c r="I4443" s="23" t="str">
        <f t="shared" si="277"/>
        <v>Chennai</v>
      </c>
      <c r="J4443" s="23">
        <f>COUNTIFS(pg_transaction_cleaned!$O:$O,A4443,pg_transaction_cleaned!$F:$F,"CAPTURE")</f>
        <v>1</v>
      </c>
      <c r="K4443" s="39">
        <f>SUMIFS(pg_transaction_cleaned!$H:$H,pg_transaction_cleaned!$O:$O,A4443,pg_transaction_cleaned!$F:$F,"CAPTURE")</f>
        <v>2247</v>
      </c>
      <c r="L4443" s="23">
        <f>COUNTIFS(pg_transaction_cleaned!$O:$O,A4443,pg_transaction_cleaned!$F:$F,"REFUND")</f>
        <v>0</v>
      </c>
      <c r="M4443" s="39">
        <f>SUMIFS(pg_transaction_cleaned!$H:$H,pg_transaction_cleaned!$O:$O,A4443,pg_transaction_cleaned!$F:$F,"REFUND")</f>
        <v>0</v>
      </c>
      <c r="N4443" s="23" t="str">
        <f t="shared" si="278"/>
        <v>OK</v>
      </c>
      <c r="O4443" s="24">
        <f t="shared" si="279"/>
        <v>0</v>
      </c>
    </row>
    <row r="4444" spans="1:15" ht="15" customHeight="1" x14ac:dyDescent="0.3">
      <c r="A4444" s="23" t="s">
        <v>9358</v>
      </c>
      <c r="B4444" s="38">
        <v>46277</v>
      </c>
      <c r="C4444" s="23" t="s">
        <v>9359</v>
      </c>
      <c r="D4444" s="23"/>
      <c r="E4444" s="23" t="s">
        <v>75</v>
      </c>
      <c r="F4444" s="23" t="s">
        <v>517</v>
      </c>
      <c r="G4444" s="23" t="s">
        <v>250</v>
      </c>
      <c r="H4444" s="39">
        <f t="shared" si="276"/>
        <v>7999</v>
      </c>
      <c r="I4444" s="23" t="str">
        <f t="shared" si="277"/>
        <v>Unknown</v>
      </c>
      <c r="J4444" s="23">
        <f>COUNTIFS(pg_transaction_cleaned!$O:$O,A4444,pg_transaction_cleaned!$F:$F,"CAPTURE")</f>
        <v>1</v>
      </c>
      <c r="K4444" s="39">
        <f>SUMIFS(pg_transaction_cleaned!$H:$H,pg_transaction_cleaned!$O:$O,A4444,pg_transaction_cleaned!$F:$F,"CAPTURE")</f>
        <v>7999</v>
      </c>
      <c r="L4444" s="23">
        <f>COUNTIFS(pg_transaction_cleaned!$O:$O,A4444,pg_transaction_cleaned!$F:$F,"REFUND")</f>
        <v>0</v>
      </c>
      <c r="M4444" s="39">
        <f>SUMIFS(pg_transaction_cleaned!$H:$H,pg_transaction_cleaned!$O:$O,A4444,pg_transaction_cleaned!$F:$F,"REFUND")</f>
        <v>0</v>
      </c>
      <c r="N4444" s="23" t="str">
        <f t="shared" si="278"/>
        <v>OK</v>
      </c>
      <c r="O4444" s="24">
        <f t="shared" si="279"/>
        <v>0</v>
      </c>
    </row>
    <row r="4445" spans="1:15" ht="15" customHeight="1" x14ac:dyDescent="0.3">
      <c r="A4445" s="23" t="s">
        <v>9360</v>
      </c>
      <c r="B4445" s="38">
        <v>46272</v>
      </c>
      <c r="C4445" s="23" t="s">
        <v>9361</v>
      </c>
      <c r="D4445" s="23" t="s">
        <v>89</v>
      </c>
      <c r="E4445" s="23" t="s">
        <v>75</v>
      </c>
      <c r="F4445" s="23" t="s">
        <v>297</v>
      </c>
      <c r="G4445" s="23" t="s">
        <v>250</v>
      </c>
      <c r="H4445" s="39">
        <f t="shared" si="276"/>
        <v>4999</v>
      </c>
      <c r="I4445" s="23" t="str">
        <f t="shared" si="277"/>
        <v>Jaipur</v>
      </c>
      <c r="J4445" s="23">
        <f>COUNTIFS(pg_transaction_cleaned!$O:$O,A4445,pg_transaction_cleaned!$F:$F,"CAPTURE")</f>
        <v>1</v>
      </c>
      <c r="K4445" s="39">
        <f>SUMIFS(pg_transaction_cleaned!$H:$H,pg_transaction_cleaned!$O:$O,A4445,pg_transaction_cleaned!$F:$F,"CAPTURE")</f>
        <v>4999</v>
      </c>
      <c r="L4445" s="23">
        <f>COUNTIFS(pg_transaction_cleaned!$O:$O,A4445,pg_transaction_cleaned!$F:$F,"REFUND")</f>
        <v>0</v>
      </c>
      <c r="M4445" s="39">
        <f>SUMIFS(pg_transaction_cleaned!$H:$H,pg_transaction_cleaned!$O:$O,A4445,pg_transaction_cleaned!$F:$F,"REFUND")</f>
        <v>0</v>
      </c>
      <c r="N4445" s="23" t="str">
        <f t="shared" si="278"/>
        <v>OK</v>
      </c>
      <c r="O4445" s="24">
        <f t="shared" si="279"/>
        <v>0</v>
      </c>
    </row>
    <row r="4446" spans="1:15" ht="15" customHeight="1" x14ac:dyDescent="0.3">
      <c r="A4446" s="23" t="s">
        <v>9362</v>
      </c>
      <c r="B4446" s="38">
        <v>46268</v>
      </c>
      <c r="C4446" s="23" t="s">
        <v>9363</v>
      </c>
      <c r="D4446" s="23" t="s">
        <v>94</v>
      </c>
      <c r="E4446" s="23" t="s">
        <v>77</v>
      </c>
      <c r="F4446" s="23" t="s">
        <v>9364</v>
      </c>
      <c r="G4446" s="23" t="s">
        <v>250</v>
      </c>
      <c r="H4446" s="39">
        <f t="shared" si="276"/>
        <v>4147</v>
      </c>
      <c r="I4446" s="23" t="str">
        <f t="shared" si="277"/>
        <v>Chennai</v>
      </c>
      <c r="J4446" s="23">
        <f>COUNTIFS(pg_transaction_cleaned!$O:$O,A4446,pg_transaction_cleaned!$F:$F,"CAPTURE")</f>
        <v>1</v>
      </c>
      <c r="K4446" s="39">
        <f>SUMIFS(pg_transaction_cleaned!$H:$H,pg_transaction_cleaned!$O:$O,A4446,pg_transaction_cleaned!$F:$F,"CAPTURE")</f>
        <v>4147</v>
      </c>
      <c r="L4446" s="23">
        <f>COUNTIFS(pg_transaction_cleaned!$O:$O,A4446,pg_transaction_cleaned!$F:$F,"REFUND")</f>
        <v>0</v>
      </c>
      <c r="M4446" s="39">
        <f>SUMIFS(pg_transaction_cleaned!$H:$H,pg_transaction_cleaned!$O:$O,A4446,pg_transaction_cleaned!$F:$F,"REFUND")</f>
        <v>0</v>
      </c>
      <c r="N4446" s="23" t="str">
        <f t="shared" si="278"/>
        <v>OK</v>
      </c>
      <c r="O4446" s="24">
        <f t="shared" si="279"/>
        <v>0</v>
      </c>
    </row>
    <row r="4447" spans="1:15" ht="15" customHeight="1" x14ac:dyDescent="0.3">
      <c r="A4447" s="23" t="s">
        <v>9365</v>
      </c>
      <c r="B4447" s="38">
        <v>46285</v>
      </c>
      <c r="C4447" s="23" t="s">
        <v>9366</v>
      </c>
      <c r="D4447" s="23" t="s">
        <v>93</v>
      </c>
      <c r="E4447" s="23" t="s">
        <v>75</v>
      </c>
      <c r="F4447" s="23" t="s">
        <v>307</v>
      </c>
      <c r="G4447" s="23" t="s">
        <v>250</v>
      </c>
      <c r="H4447" s="39">
        <f t="shared" si="276"/>
        <v>3798</v>
      </c>
      <c r="I4447" s="23" t="str">
        <f t="shared" si="277"/>
        <v>Kolkata</v>
      </c>
      <c r="J4447" s="23">
        <f>COUNTIFS(pg_transaction_cleaned!$O:$O,A4447,pg_transaction_cleaned!$F:$F,"CAPTURE")</f>
        <v>1</v>
      </c>
      <c r="K4447" s="39">
        <f>SUMIFS(pg_transaction_cleaned!$H:$H,pg_transaction_cleaned!$O:$O,A4447,pg_transaction_cleaned!$F:$F,"CAPTURE")</f>
        <v>3798</v>
      </c>
      <c r="L4447" s="23">
        <f>COUNTIFS(pg_transaction_cleaned!$O:$O,A4447,pg_transaction_cleaned!$F:$F,"REFUND")</f>
        <v>0</v>
      </c>
      <c r="M4447" s="39">
        <f>SUMIFS(pg_transaction_cleaned!$H:$H,pg_transaction_cleaned!$O:$O,A4447,pg_transaction_cleaned!$F:$F,"REFUND")</f>
        <v>0</v>
      </c>
      <c r="N4447" s="23" t="str">
        <f t="shared" si="278"/>
        <v>OK</v>
      </c>
      <c r="O4447" s="24">
        <f t="shared" si="279"/>
        <v>0</v>
      </c>
    </row>
    <row r="4448" spans="1:15" ht="15" customHeight="1" x14ac:dyDescent="0.3">
      <c r="A4448" s="23" t="s">
        <v>9367</v>
      </c>
      <c r="B4448" s="38">
        <v>46273</v>
      </c>
      <c r="C4448" s="23" t="s">
        <v>9368</v>
      </c>
      <c r="D4448" s="23" t="s">
        <v>86</v>
      </c>
      <c r="E4448" s="23" t="s">
        <v>75</v>
      </c>
      <c r="F4448" s="23" t="s">
        <v>2304</v>
      </c>
      <c r="G4448" s="23" t="s">
        <v>301</v>
      </c>
      <c r="H4448" s="39">
        <f t="shared" si="276"/>
        <v>6797</v>
      </c>
      <c r="I4448" s="23" t="str">
        <f t="shared" si="277"/>
        <v>Delhi</v>
      </c>
      <c r="J4448" s="23">
        <f>COUNTIFS(pg_transaction_cleaned!$O:$O,A4448,pg_transaction_cleaned!$F:$F,"CAPTURE")</f>
        <v>1</v>
      </c>
      <c r="K4448" s="39">
        <f>SUMIFS(pg_transaction_cleaned!$H:$H,pg_transaction_cleaned!$O:$O,A4448,pg_transaction_cleaned!$F:$F,"CAPTURE")</f>
        <v>6797</v>
      </c>
      <c r="L4448" s="23">
        <f>COUNTIFS(pg_transaction_cleaned!$O:$O,A4448,pg_transaction_cleaned!$F:$F,"REFUND")</f>
        <v>1</v>
      </c>
      <c r="M4448" s="39">
        <f>SUMIFS(pg_transaction_cleaned!$H:$H,pg_transaction_cleaned!$O:$O,A4448,pg_transaction_cleaned!$F:$F,"REFUND")</f>
        <v>6797</v>
      </c>
      <c r="N4448" s="23" t="str">
        <f t="shared" si="278"/>
        <v>OK</v>
      </c>
      <c r="O4448" s="24">
        <f t="shared" si="279"/>
        <v>0</v>
      </c>
    </row>
    <row r="4449" spans="1:15" ht="15" customHeight="1" x14ac:dyDescent="0.3">
      <c r="A4449" s="23" t="s">
        <v>9369</v>
      </c>
      <c r="B4449" s="38">
        <v>46285</v>
      </c>
      <c r="C4449" s="23" t="s">
        <v>9370</v>
      </c>
      <c r="D4449" s="23" t="s">
        <v>92</v>
      </c>
      <c r="E4449" s="23" t="s">
        <v>79</v>
      </c>
      <c r="F4449" s="23" t="s">
        <v>1954</v>
      </c>
      <c r="G4449" s="23" t="s">
        <v>250</v>
      </c>
      <c r="H4449" s="39">
        <f t="shared" si="276"/>
        <v>848</v>
      </c>
      <c r="I4449" s="23" t="str">
        <f t="shared" si="277"/>
        <v>Hyderabad</v>
      </c>
      <c r="J4449" s="23">
        <f>COUNTIFS(pg_transaction_cleaned!$O:$O,A4449,pg_transaction_cleaned!$F:$F,"CAPTURE")</f>
        <v>1</v>
      </c>
      <c r="K4449" s="39">
        <f>SUMIFS(pg_transaction_cleaned!$H:$H,pg_transaction_cleaned!$O:$O,A4449,pg_transaction_cleaned!$F:$F,"CAPTURE")</f>
        <v>848</v>
      </c>
      <c r="L4449" s="23">
        <f>COUNTIFS(pg_transaction_cleaned!$O:$O,A4449,pg_transaction_cleaned!$F:$F,"REFUND")</f>
        <v>0</v>
      </c>
      <c r="M4449" s="39">
        <f>SUMIFS(pg_transaction_cleaned!$H:$H,pg_transaction_cleaned!$O:$O,A4449,pg_transaction_cleaned!$F:$F,"REFUND")</f>
        <v>0</v>
      </c>
      <c r="N4449" s="23" t="str">
        <f t="shared" si="278"/>
        <v>OK</v>
      </c>
      <c r="O4449" s="24">
        <f t="shared" si="279"/>
        <v>0</v>
      </c>
    </row>
    <row r="4450" spans="1:15" ht="15" customHeight="1" x14ac:dyDescent="0.3">
      <c r="A4450" s="23" t="s">
        <v>9371</v>
      </c>
      <c r="B4450" s="38">
        <v>46276</v>
      </c>
      <c r="C4450" s="23" t="s">
        <v>9372</v>
      </c>
      <c r="D4450" s="23" t="s">
        <v>91</v>
      </c>
      <c r="E4450" s="23" t="s">
        <v>79</v>
      </c>
      <c r="F4450" s="23" t="s">
        <v>249</v>
      </c>
      <c r="G4450" s="23" t="s">
        <v>250</v>
      </c>
      <c r="H4450" s="39">
        <f t="shared" si="276"/>
        <v>299</v>
      </c>
      <c r="I4450" s="23" t="str">
        <f t="shared" si="277"/>
        <v>Pune</v>
      </c>
      <c r="J4450" s="23">
        <f>COUNTIFS(pg_transaction_cleaned!$O:$O,A4450,pg_transaction_cleaned!$F:$F,"CAPTURE")</f>
        <v>1</v>
      </c>
      <c r="K4450" s="39">
        <f>SUMIFS(pg_transaction_cleaned!$H:$H,pg_transaction_cleaned!$O:$O,A4450,pg_transaction_cleaned!$F:$F,"CAPTURE")</f>
        <v>299</v>
      </c>
      <c r="L4450" s="23">
        <f>COUNTIFS(pg_transaction_cleaned!$O:$O,A4450,pg_transaction_cleaned!$F:$F,"REFUND")</f>
        <v>0</v>
      </c>
      <c r="M4450" s="39">
        <f>SUMIFS(pg_transaction_cleaned!$H:$H,pg_transaction_cleaned!$O:$O,A4450,pg_transaction_cleaned!$F:$F,"REFUND")</f>
        <v>0</v>
      </c>
      <c r="N4450" s="23" t="str">
        <f t="shared" si="278"/>
        <v>OK</v>
      </c>
      <c r="O4450" s="24">
        <f t="shared" si="279"/>
        <v>0</v>
      </c>
    </row>
    <row r="4451" spans="1:15" ht="15" customHeight="1" x14ac:dyDescent="0.3">
      <c r="A4451" s="23" t="s">
        <v>9373</v>
      </c>
      <c r="B4451" s="38">
        <v>46266</v>
      </c>
      <c r="C4451" s="23" t="s">
        <v>9374</v>
      </c>
      <c r="D4451" s="23" t="s">
        <v>88</v>
      </c>
      <c r="E4451" s="23" t="s">
        <v>77</v>
      </c>
      <c r="F4451" s="23" t="s">
        <v>9375</v>
      </c>
      <c r="G4451" s="23" t="s">
        <v>250</v>
      </c>
      <c r="H4451" s="39">
        <f t="shared" si="276"/>
        <v>3848</v>
      </c>
      <c r="I4451" s="23" t="str">
        <f t="shared" si="277"/>
        <v>Lucknow</v>
      </c>
      <c r="J4451" s="23">
        <f>COUNTIFS(pg_transaction_cleaned!$O:$O,A4451,pg_transaction_cleaned!$F:$F,"CAPTURE")</f>
        <v>1</v>
      </c>
      <c r="K4451" s="39">
        <f>SUMIFS(pg_transaction_cleaned!$H:$H,pg_transaction_cleaned!$O:$O,A4451,pg_transaction_cleaned!$F:$F,"CAPTURE")</f>
        <v>3848</v>
      </c>
      <c r="L4451" s="23">
        <f>COUNTIFS(pg_transaction_cleaned!$O:$O,A4451,pg_transaction_cleaned!$F:$F,"REFUND")</f>
        <v>0</v>
      </c>
      <c r="M4451" s="39">
        <f>SUMIFS(pg_transaction_cleaned!$H:$H,pg_transaction_cleaned!$O:$O,A4451,pg_transaction_cleaned!$F:$F,"REFUND")</f>
        <v>0</v>
      </c>
      <c r="N4451" s="23" t="str">
        <f t="shared" si="278"/>
        <v>OK</v>
      </c>
      <c r="O4451" s="24">
        <f t="shared" si="279"/>
        <v>0</v>
      </c>
    </row>
    <row r="4452" spans="1:15" ht="15" customHeight="1" x14ac:dyDescent="0.3">
      <c r="A4452" s="23" t="s">
        <v>9376</v>
      </c>
      <c r="B4452" s="38">
        <v>46268</v>
      </c>
      <c r="C4452" s="23" t="s">
        <v>9377</v>
      </c>
      <c r="D4452" s="23" t="s">
        <v>86</v>
      </c>
      <c r="E4452" s="23" t="s">
        <v>77</v>
      </c>
      <c r="F4452" s="23" t="s">
        <v>249</v>
      </c>
      <c r="G4452" s="23" t="s">
        <v>365</v>
      </c>
      <c r="H4452" s="39">
        <f t="shared" si="276"/>
        <v>299</v>
      </c>
      <c r="I4452" s="23" t="str">
        <f t="shared" si="277"/>
        <v>Delhi</v>
      </c>
      <c r="J4452" s="23">
        <f>COUNTIFS(pg_transaction_cleaned!$O:$O,A4452,pg_transaction_cleaned!$F:$F,"CAPTURE")</f>
        <v>0</v>
      </c>
      <c r="K4452" s="39">
        <f>SUMIFS(pg_transaction_cleaned!$H:$H,pg_transaction_cleaned!$O:$O,A4452,pg_transaction_cleaned!$F:$F,"CAPTURE")</f>
        <v>0</v>
      </c>
      <c r="L4452" s="23">
        <f>COUNTIFS(pg_transaction_cleaned!$O:$O,A4452,pg_transaction_cleaned!$F:$F,"REFUND")</f>
        <v>0</v>
      </c>
      <c r="M4452" s="39">
        <f>SUMIFS(pg_transaction_cleaned!$H:$H,pg_transaction_cleaned!$O:$O,A4452,pg_transaction_cleaned!$F:$F,"REFUND")</f>
        <v>0</v>
      </c>
      <c r="N4452" s="23" t="str">
        <f t="shared" si="278"/>
        <v>OK</v>
      </c>
      <c r="O4452" s="24">
        <f t="shared" si="279"/>
        <v>0</v>
      </c>
    </row>
    <row r="4453" spans="1:15" ht="15" customHeight="1" x14ac:dyDescent="0.3">
      <c r="A4453" s="23" t="s">
        <v>9378</v>
      </c>
      <c r="B4453" s="38">
        <v>46271</v>
      </c>
      <c r="C4453" s="23" t="s">
        <v>9379</v>
      </c>
      <c r="D4453" s="23" t="s">
        <v>93</v>
      </c>
      <c r="E4453" s="23" t="s">
        <v>75</v>
      </c>
      <c r="F4453" s="23" t="s">
        <v>1448</v>
      </c>
      <c r="G4453" s="23" t="s">
        <v>250</v>
      </c>
      <c r="H4453" s="39">
        <f t="shared" si="276"/>
        <v>6297</v>
      </c>
      <c r="I4453" s="23" t="str">
        <f t="shared" si="277"/>
        <v>Kolkata</v>
      </c>
      <c r="J4453" s="23">
        <f>COUNTIFS(pg_transaction_cleaned!$O:$O,A4453,pg_transaction_cleaned!$F:$F,"CAPTURE")</f>
        <v>1</v>
      </c>
      <c r="K4453" s="39">
        <f>SUMIFS(pg_transaction_cleaned!$H:$H,pg_transaction_cleaned!$O:$O,A4453,pg_transaction_cleaned!$F:$F,"CAPTURE")</f>
        <v>6297</v>
      </c>
      <c r="L4453" s="23">
        <f>COUNTIFS(pg_transaction_cleaned!$O:$O,A4453,pg_transaction_cleaned!$F:$F,"REFUND")</f>
        <v>0</v>
      </c>
      <c r="M4453" s="39">
        <f>SUMIFS(pg_transaction_cleaned!$H:$H,pg_transaction_cleaned!$O:$O,A4453,pg_transaction_cleaned!$F:$F,"REFUND")</f>
        <v>0</v>
      </c>
      <c r="N4453" s="23" t="str">
        <f t="shared" si="278"/>
        <v>OK</v>
      </c>
      <c r="O4453" s="24">
        <f t="shared" si="279"/>
        <v>0</v>
      </c>
    </row>
    <row r="4454" spans="1:15" ht="15" customHeight="1" x14ac:dyDescent="0.3">
      <c r="A4454" s="23" t="s">
        <v>9380</v>
      </c>
      <c r="B4454" s="38">
        <v>46292</v>
      </c>
      <c r="C4454" s="23" t="s">
        <v>9381</v>
      </c>
      <c r="D4454" s="23" t="s">
        <v>94</v>
      </c>
      <c r="E4454" s="23" t="s">
        <v>79</v>
      </c>
      <c r="F4454" s="23" t="s">
        <v>1352</v>
      </c>
      <c r="G4454" s="23" t="s">
        <v>250</v>
      </c>
      <c r="H4454" s="39">
        <f t="shared" si="276"/>
        <v>998</v>
      </c>
      <c r="I4454" s="23" t="str">
        <f t="shared" si="277"/>
        <v>Chennai</v>
      </c>
      <c r="J4454" s="23">
        <f>COUNTIFS(pg_transaction_cleaned!$O:$O,A4454,pg_transaction_cleaned!$F:$F,"CAPTURE")</f>
        <v>1</v>
      </c>
      <c r="K4454" s="39">
        <f>SUMIFS(pg_transaction_cleaned!$H:$H,pg_transaction_cleaned!$O:$O,A4454,pg_transaction_cleaned!$F:$F,"CAPTURE")</f>
        <v>998</v>
      </c>
      <c r="L4454" s="23">
        <f>COUNTIFS(pg_transaction_cleaned!$O:$O,A4454,pg_transaction_cleaned!$F:$F,"REFUND")</f>
        <v>0</v>
      </c>
      <c r="M4454" s="39">
        <f>SUMIFS(pg_transaction_cleaned!$H:$H,pg_transaction_cleaned!$O:$O,A4454,pg_transaction_cleaned!$F:$F,"REFUND")</f>
        <v>0</v>
      </c>
      <c r="N4454" s="23" t="str">
        <f t="shared" si="278"/>
        <v>OK</v>
      </c>
      <c r="O4454" s="24">
        <f t="shared" si="279"/>
        <v>0</v>
      </c>
    </row>
    <row r="4455" spans="1:15" ht="15" customHeight="1" x14ac:dyDescent="0.3">
      <c r="A4455" s="23" t="s">
        <v>9382</v>
      </c>
      <c r="B4455" s="38">
        <v>46295</v>
      </c>
      <c r="C4455" s="23" t="s">
        <v>9383</v>
      </c>
      <c r="D4455" s="23" t="s">
        <v>93</v>
      </c>
      <c r="E4455" s="23" t="s">
        <v>81</v>
      </c>
      <c r="F4455" s="23" t="s">
        <v>561</v>
      </c>
      <c r="G4455" s="23" t="s">
        <v>250</v>
      </c>
      <c r="H4455" s="39">
        <f t="shared" si="276"/>
        <v>4797</v>
      </c>
      <c r="I4455" s="23" t="str">
        <f t="shared" si="277"/>
        <v>Kolkata</v>
      </c>
      <c r="J4455" s="23">
        <f>COUNTIFS(pg_transaction_cleaned!$O:$O,A4455,pg_transaction_cleaned!$F:$F,"CAPTURE")</f>
        <v>1</v>
      </c>
      <c r="K4455" s="39">
        <f>SUMIFS(pg_transaction_cleaned!$H:$H,pg_transaction_cleaned!$O:$O,A4455,pg_transaction_cleaned!$F:$F,"CAPTURE")</f>
        <v>4797</v>
      </c>
      <c r="L4455" s="23">
        <f>COUNTIFS(pg_transaction_cleaned!$O:$O,A4455,pg_transaction_cleaned!$F:$F,"REFUND")</f>
        <v>0</v>
      </c>
      <c r="M4455" s="39">
        <f>SUMIFS(pg_transaction_cleaned!$H:$H,pg_transaction_cleaned!$O:$O,A4455,pg_transaction_cleaned!$F:$F,"REFUND")</f>
        <v>0</v>
      </c>
      <c r="N4455" s="23" t="str">
        <f t="shared" si="278"/>
        <v>OK</v>
      </c>
      <c r="O4455" s="24">
        <f t="shared" si="279"/>
        <v>0</v>
      </c>
    </row>
    <row r="4456" spans="1:15" ht="15" customHeight="1" x14ac:dyDescent="0.3">
      <c r="A4456" s="23" t="s">
        <v>9384</v>
      </c>
      <c r="B4456" s="38">
        <v>46270</v>
      </c>
      <c r="C4456" s="23" t="s">
        <v>9385</v>
      </c>
      <c r="D4456" s="23" t="s">
        <v>91</v>
      </c>
      <c r="E4456" s="23" t="s">
        <v>75</v>
      </c>
      <c r="F4456" s="23" t="s">
        <v>294</v>
      </c>
      <c r="G4456" s="23" t="s">
        <v>250</v>
      </c>
      <c r="H4456" s="39">
        <f t="shared" si="276"/>
        <v>1799</v>
      </c>
      <c r="I4456" s="23" t="str">
        <f t="shared" si="277"/>
        <v>Pune</v>
      </c>
      <c r="J4456" s="23">
        <f>COUNTIFS(pg_transaction_cleaned!$O:$O,A4456,pg_transaction_cleaned!$F:$F,"CAPTURE")</f>
        <v>1</v>
      </c>
      <c r="K4456" s="39">
        <f>SUMIFS(pg_transaction_cleaned!$H:$H,pg_transaction_cleaned!$O:$O,A4456,pg_transaction_cleaned!$F:$F,"CAPTURE")</f>
        <v>1799</v>
      </c>
      <c r="L4456" s="23">
        <f>COUNTIFS(pg_transaction_cleaned!$O:$O,A4456,pg_transaction_cleaned!$F:$F,"REFUND")</f>
        <v>0</v>
      </c>
      <c r="M4456" s="39">
        <f>SUMIFS(pg_transaction_cleaned!$H:$H,pg_transaction_cleaned!$O:$O,A4456,pg_transaction_cleaned!$F:$F,"REFUND")</f>
        <v>0</v>
      </c>
      <c r="N4456" s="23" t="str">
        <f t="shared" si="278"/>
        <v>OK</v>
      </c>
      <c r="O4456" s="24">
        <f t="shared" si="279"/>
        <v>0</v>
      </c>
    </row>
    <row r="4457" spans="1:15" ht="15" customHeight="1" x14ac:dyDescent="0.3">
      <c r="A4457" s="23" t="s">
        <v>9386</v>
      </c>
      <c r="B4457" s="38">
        <v>46289</v>
      </c>
      <c r="C4457" s="23" t="s">
        <v>9387</v>
      </c>
      <c r="D4457" s="23" t="s">
        <v>94</v>
      </c>
      <c r="E4457" s="23" t="s">
        <v>75</v>
      </c>
      <c r="F4457" s="23" t="s">
        <v>249</v>
      </c>
      <c r="G4457" s="23" t="s">
        <v>250</v>
      </c>
      <c r="H4457" s="39">
        <f t="shared" si="276"/>
        <v>299</v>
      </c>
      <c r="I4457" s="23" t="str">
        <f t="shared" si="277"/>
        <v>Chennai</v>
      </c>
      <c r="J4457" s="23">
        <f>COUNTIFS(pg_transaction_cleaned!$O:$O,A4457,pg_transaction_cleaned!$F:$F,"CAPTURE")</f>
        <v>1</v>
      </c>
      <c r="K4457" s="39">
        <f>SUMIFS(pg_transaction_cleaned!$H:$H,pg_transaction_cleaned!$O:$O,A4457,pg_transaction_cleaned!$F:$F,"CAPTURE")</f>
        <v>299</v>
      </c>
      <c r="L4457" s="23">
        <f>COUNTIFS(pg_transaction_cleaned!$O:$O,A4457,pg_transaction_cleaned!$F:$F,"REFUND")</f>
        <v>0</v>
      </c>
      <c r="M4457" s="39">
        <f>SUMIFS(pg_transaction_cleaned!$H:$H,pg_transaction_cleaned!$O:$O,A4457,pg_transaction_cleaned!$F:$F,"REFUND")</f>
        <v>0</v>
      </c>
      <c r="N4457" s="23" t="str">
        <f t="shared" si="278"/>
        <v>OK</v>
      </c>
      <c r="O4457" s="24">
        <f t="shared" si="279"/>
        <v>0</v>
      </c>
    </row>
    <row r="4458" spans="1:15" ht="15" customHeight="1" x14ac:dyDescent="0.3">
      <c r="A4458" s="23" t="s">
        <v>9388</v>
      </c>
      <c r="B4458" s="38">
        <v>46281</v>
      </c>
      <c r="C4458" s="23" t="s">
        <v>9389</v>
      </c>
      <c r="D4458" s="23" t="s">
        <v>95</v>
      </c>
      <c r="E4458" s="23" t="s">
        <v>79</v>
      </c>
      <c r="F4458" s="23" t="s">
        <v>775</v>
      </c>
      <c r="G4458" s="23" t="s">
        <v>250</v>
      </c>
      <c r="H4458" s="39">
        <f t="shared" si="276"/>
        <v>4999</v>
      </c>
      <c r="I4458" s="23" t="str">
        <f t="shared" si="277"/>
        <v>Bengaluru</v>
      </c>
      <c r="J4458" s="23">
        <f>COUNTIFS(pg_transaction_cleaned!$O:$O,A4458,pg_transaction_cleaned!$F:$F,"CAPTURE")</f>
        <v>1</v>
      </c>
      <c r="K4458" s="39">
        <f>SUMIFS(pg_transaction_cleaned!$H:$H,pg_transaction_cleaned!$O:$O,A4458,pg_transaction_cleaned!$F:$F,"CAPTURE")</f>
        <v>4999</v>
      </c>
      <c r="L4458" s="23">
        <f>COUNTIFS(pg_transaction_cleaned!$O:$O,A4458,pg_transaction_cleaned!$F:$F,"REFUND")</f>
        <v>0</v>
      </c>
      <c r="M4458" s="39">
        <f>SUMIFS(pg_transaction_cleaned!$H:$H,pg_transaction_cleaned!$O:$O,A4458,pg_transaction_cleaned!$F:$F,"REFUND")</f>
        <v>0</v>
      </c>
      <c r="N4458" s="23" t="str">
        <f t="shared" si="278"/>
        <v>OK</v>
      </c>
      <c r="O4458" s="24">
        <f t="shared" si="279"/>
        <v>0</v>
      </c>
    </row>
    <row r="4459" spans="1:15" ht="15" customHeight="1" x14ac:dyDescent="0.3">
      <c r="A4459" s="23" t="s">
        <v>9390</v>
      </c>
      <c r="B4459" s="38">
        <v>46271</v>
      </c>
      <c r="C4459" s="23" t="s">
        <v>5321</v>
      </c>
      <c r="D4459" s="23"/>
      <c r="E4459" s="23" t="s">
        <v>79</v>
      </c>
      <c r="F4459" s="23" t="s">
        <v>249</v>
      </c>
      <c r="G4459" s="23" t="s">
        <v>250</v>
      </c>
      <c r="H4459" s="39">
        <f t="shared" si="276"/>
        <v>299</v>
      </c>
      <c r="I4459" s="23" t="str">
        <f t="shared" si="277"/>
        <v>Unknown</v>
      </c>
      <c r="J4459" s="23">
        <f>COUNTIFS(pg_transaction_cleaned!$O:$O,A4459,pg_transaction_cleaned!$F:$F,"CAPTURE")</f>
        <v>1</v>
      </c>
      <c r="K4459" s="39">
        <f>SUMIFS(pg_transaction_cleaned!$H:$H,pg_transaction_cleaned!$O:$O,A4459,pg_transaction_cleaned!$F:$F,"CAPTURE")</f>
        <v>299</v>
      </c>
      <c r="L4459" s="23">
        <f>COUNTIFS(pg_transaction_cleaned!$O:$O,A4459,pg_transaction_cleaned!$F:$F,"REFUND")</f>
        <v>0</v>
      </c>
      <c r="M4459" s="39">
        <f>SUMIFS(pg_transaction_cleaned!$H:$H,pg_transaction_cleaned!$O:$O,A4459,pg_transaction_cleaned!$F:$F,"REFUND")</f>
        <v>0</v>
      </c>
      <c r="N4459" s="23" t="str">
        <f t="shared" si="278"/>
        <v>OK</v>
      </c>
      <c r="O4459" s="24">
        <f t="shared" si="279"/>
        <v>0</v>
      </c>
    </row>
    <row r="4460" spans="1:15" ht="15" customHeight="1" x14ac:dyDescent="0.3">
      <c r="A4460" s="23" t="s">
        <v>9391</v>
      </c>
      <c r="B4460" s="38">
        <v>46283</v>
      </c>
      <c r="C4460" s="23" t="s">
        <v>9392</v>
      </c>
      <c r="D4460" s="23" t="s">
        <v>89</v>
      </c>
      <c r="E4460" s="23" t="s">
        <v>75</v>
      </c>
      <c r="F4460" s="23" t="s">
        <v>271</v>
      </c>
      <c r="G4460" s="23" t="s">
        <v>250</v>
      </c>
      <c r="H4460" s="39">
        <f t="shared" si="276"/>
        <v>2499</v>
      </c>
      <c r="I4460" s="23" t="str">
        <f t="shared" si="277"/>
        <v>Jaipur</v>
      </c>
      <c r="J4460" s="23">
        <f>COUNTIFS(pg_transaction_cleaned!$O:$O,A4460,pg_transaction_cleaned!$F:$F,"CAPTURE")</f>
        <v>1</v>
      </c>
      <c r="K4460" s="39">
        <f>SUMIFS(pg_transaction_cleaned!$H:$H,pg_transaction_cleaned!$O:$O,A4460,pg_transaction_cleaned!$F:$F,"CAPTURE")</f>
        <v>2499</v>
      </c>
      <c r="L4460" s="23">
        <f>COUNTIFS(pg_transaction_cleaned!$O:$O,A4460,pg_transaction_cleaned!$F:$F,"REFUND")</f>
        <v>0</v>
      </c>
      <c r="M4460" s="39">
        <f>SUMIFS(pg_transaction_cleaned!$H:$H,pg_transaction_cleaned!$O:$O,A4460,pg_transaction_cleaned!$F:$F,"REFUND")</f>
        <v>0</v>
      </c>
      <c r="N4460" s="23" t="str">
        <f t="shared" si="278"/>
        <v>OK</v>
      </c>
      <c r="O4460" s="24">
        <f t="shared" si="279"/>
        <v>0</v>
      </c>
    </row>
    <row r="4461" spans="1:15" ht="15" customHeight="1" x14ac:dyDescent="0.3">
      <c r="A4461" s="23" t="s">
        <v>9393</v>
      </c>
      <c r="B4461" s="38">
        <v>46280</v>
      </c>
      <c r="C4461" s="23" t="s">
        <v>9394</v>
      </c>
      <c r="D4461" s="23" t="s">
        <v>86</v>
      </c>
      <c r="E4461" s="23" t="s">
        <v>75</v>
      </c>
      <c r="F4461" s="23" t="s">
        <v>262</v>
      </c>
      <c r="G4461" s="23" t="s">
        <v>250</v>
      </c>
      <c r="H4461" s="39">
        <f t="shared" si="276"/>
        <v>499</v>
      </c>
      <c r="I4461" s="23" t="str">
        <f t="shared" si="277"/>
        <v>Delhi</v>
      </c>
      <c r="J4461" s="23">
        <f>COUNTIFS(pg_transaction_cleaned!$O:$O,A4461,pg_transaction_cleaned!$F:$F,"CAPTURE")</f>
        <v>1</v>
      </c>
      <c r="K4461" s="39">
        <f>SUMIFS(pg_transaction_cleaned!$H:$H,pg_transaction_cleaned!$O:$O,A4461,pg_transaction_cleaned!$F:$F,"CAPTURE")</f>
        <v>499</v>
      </c>
      <c r="L4461" s="23">
        <f>COUNTIFS(pg_transaction_cleaned!$O:$O,A4461,pg_transaction_cleaned!$F:$F,"REFUND")</f>
        <v>0</v>
      </c>
      <c r="M4461" s="39">
        <f>SUMIFS(pg_transaction_cleaned!$H:$H,pg_transaction_cleaned!$O:$O,A4461,pg_transaction_cleaned!$F:$F,"REFUND")</f>
        <v>0</v>
      </c>
      <c r="N4461" s="23" t="str">
        <f t="shared" si="278"/>
        <v>OK</v>
      </c>
      <c r="O4461" s="24">
        <f t="shared" si="279"/>
        <v>0</v>
      </c>
    </row>
    <row r="4462" spans="1:15" ht="15" customHeight="1" x14ac:dyDescent="0.3">
      <c r="A4462" s="23" t="s">
        <v>9395</v>
      </c>
      <c r="B4462" s="38">
        <v>46294</v>
      </c>
      <c r="C4462" s="23" t="s">
        <v>9396</v>
      </c>
      <c r="D4462" s="23" t="s">
        <v>87</v>
      </c>
      <c r="E4462" s="23" t="s">
        <v>75</v>
      </c>
      <c r="F4462" s="23" t="s">
        <v>1448</v>
      </c>
      <c r="G4462" s="23" t="s">
        <v>250</v>
      </c>
      <c r="H4462" s="39">
        <f t="shared" si="276"/>
        <v>6297</v>
      </c>
      <c r="I4462" s="23" t="str">
        <f t="shared" si="277"/>
        <v>Mumbai</v>
      </c>
      <c r="J4462" s="23">
        <f>COUNTIFS(pg_transaction_cleaned!$O:$O,A4462,pg_transaction_cleaned!$F:$F,"CAPTURE")</f>
        <v>1</v>
      </c>
      <c r="K4462" s="39">
        <f>SUMIFS(pg_transaction_cleaned!$H:$H,pg_transaction_cleaned!$O:$O,A4462,pg_transaction_cleaned!$F:$F,"CAPTURE")</f>
        <v>6297</v>
      </c>
      <c r="L4462" s="23">
        <f>COUNTIFS(pg_transaction_cleaned!$O:$O,A4462,pg_transaction_cleaned!$F:$F,"REFUND")</f>
        <v>0</v>
      </c>
      <c r="M4462" s="39">
        <f>SUMIFS(pg_transaction_cleaned!$H:$H,pg_transaction_cleaned!$O:$O,A4462,pg_transaction_cleaned!$F:$F,"REFUND")</f>
        <v>0</v>
      </c>
      <c r="N4462" s="23" t="str">
        <f t="shared" si="278"/>
        <v>OK</v>
      </c>
      <c r="O4462" s="24">
        <f t="shared" si="279"/>
        <v>0</v>
      </c>
    </row>
    <row r="4463" spans="1:15" ht="15" customHeight="1" x14ac:dyDescent="0.3">
      <c r="A4463" s="23" t="s">
        <v>9397</v>
      </c>
      <c r="B4463" s="38">
        <v>46288</v>
      </c>
      <c r="C4463" s="23" t="s">
        <v>8641</v>
      </c>
      <c r="D4463" s="23" t="s">
        <v>87</v>
      </c>
      <c r="E4463" s="23" t="s">
        <v>75</v>
      </c>
      <c r="F4463" s="23" t="s">
        <v>396</v>
      </c>
      <c r="G4463" s="23" t="s">
        <v>318</v>
      </c>
      <c r="H4463" s="39">
        <f t="shared" si="276"/>
        <v>2999</v>
      </c>
      <c r="I4463" s="23" t="str">
        <f t="shared" si="277"/>
        <v>Mumbai</v>
      </c>
      <c r="J4463" s="23">
        <f>COUNTIFS(pg_transaction_cleaned!$O:$O,A4463,pg_transaction_cleaned!$F:$F,"CAPTURE")</f>
        <v>0</v>
      </c>
      <c r="K4463" s="39">
        <f>SUMIFS(pg_transaction_cleaned!$H:$H,pg_transaction_cleaned!$O:$O,A4463,pg_transaction_cleaned!$F:$F,"CAPTURE")</f>
        <v>0</v>
      </c>
      <c r="L4463" s="23">
        <f>COUNTIFS(pg_transaction_cleaned!$O:$O,A4463,pg_transaction_cleaned!$F:$F,"REFUND")</f>
        <v>0</v>
      </c>
      <c r="M4463" s="39">
        <f>SUMIFS(pg_transaction_cleaned!$H:$H,pg_transaction_cleaned!$O:$O,A4463,pg_transaction_cleaned!$F:$F,"REFUND")</f>
        <v>0</v>
      </c>
      <c r="N4463" s="23" t="str">
        <f t="shared" si="278"/>
        <v>OK</v>
      </c>
      <c r="O4463" s="24">
        <f t="shared" si="279"/>
        <v>0</v>
      </c>
    </row>
    <row r="4464" spans="1:15" ht="15" customHeight="1" x14ac:dyDescent="0.3">
      <c r="A4464" s="23" t="s">
        <v>9398</v>
      </c>
      <c r="B4464" s="38">
        <v>46275</v>
      </c>
      <c r="C4464" s="23" t="s">
        <v>9399</v>
      </c>
      <c r="D4464" s="23" t="s">
        <v>87</v>
      </c>
      <c r="E4464" s="23" t="s">
        <v>81</v>
      </c>
      <c r="F4464" s="23" t="s">
        <v>1372</v>
      </c>
      <c r="G4464" s="23" t="s">
        <v>250</v>
      </c>
      <c r="H4464" s="39">
        <f t="shared" si="276"/>
        <v>798</v>
      </c>
      <c r="I4464" s="23" t="str">
        <f t="shared" si="277"/>
        <v>Mumbai</v>
      </c>
      <c r="J4464" s="23">
        <f>COUNTIFS(pg_transaction_cleaned!$O:$O,A4464,pg_transaction_cleaned!$F:$F,"CAPTURE")</f>
        <v>1</v>
      </c>
      <c r="K4464" s="39">
        <f>SUMIFS(pg_transaction_cleaned!$H:$H,pg_transaction_cleaned!$O:$O,A4464,pg_transaction_cleaned!$F:$F,"CAPTURE")</f>
        <v>798</v>
      </c>
      <c r="L4464" s="23">
        <f>COUNTIFS(pg_transaction_cleaned!$O:$O,A4464,pg_transaction_cleaned!$F:$F,"REFUND")</f>
        <v>0</v>
      </c>
      <c r="M4464" s="39">
        <f>SUMIFS(pg_transaction_cleaned!$H:$H,pg_transaction_cleaned!$O:$O,A4464,pg_transaction_cleaned!$F:$F,"REFUND")</f>
        <v>0</v>
      </c>
      <c r="N4464" s="23" t="str">
        <f t="shared" si="278"/>
        <v>OK</v>
      </c>
      <c r="O4464" s="24">
        <f t="shared" si="279"/>
        <v>0</v>
      </c>
    </row>
    <row r="4465" spans="1:15" ht="15" customHeight="1" x14ac:dyDescent="0.3">
      <c r="A4465" s="23" t="s">
        <v>9400</v>
      </c>
      <c r="B4465" s="38">
        <v>46279</v>
      </c>
      <c r="C4465" s="23" t="s">
        <v>9401</v>
      </c>
      <c r="D4465" s="23" t="s">
        <v>93</v>
      </c>
      <c r="E4465" s="23" t="s">
        <v>75</v>
      </c>
      <c r="F4465" s="23" t="s">
        <v>310</v>
      </c>
      <c r="G4465" s="23" t="s">
        <v>250</v>
      </c>
      <c r="H4465" s="39">
        <f t="shared" si="276"/>
        <v>7999</v>
      </c>
      <c r="I4465" s="23" t="str">
        <f t="shared" si="277"/>
        <v>Kolkata</v>
      </c>
      <c r="J4465" s="23">
        <f>COUNTIFS(pg_transaction_cleaned!$O:$O,A4465,pg_transaction_cleaned!$F:$F,"CAPTURE")</f>
        <v>1</v>
      </c>
      <c r="K4465" s="39">
        <f>SUMIFS(pg_transaction_cleaned!$H:$H,pg_transaction_cleaned!$O:$O,A4465,pg_transaction_cleaned!$F:$F,"CAPTURE")</f>
        <v>7999</v>
      </c>
      <c r="L4465" s="23">
        <f>COUNTIFS(pg_transaction_cleaned!$O:$O,A4465,pg_transaction_cleaned!$F:$F,"REFUND")</f>
        <v>0</v>
      </c>
      <c r="M4465" s="39">
        <f>SUMIFS(pg_transaction_cleaned!$H:$H,pg_transaction_cleaned!$O:$O,A4465,pg_transaction_cleaned!$F:$F,"REFUND")</f>
        <v>0</v>
      </c>
      <c r="N4465" s="23" t="str">
        <f t="shared" si="278"/>
        <v>OK</v>
      </c>
      <c r="O4465" s="24">
        <f t="shared" si="279"/>
        <v>0</v>
      </c>
    </row>
    <row r="4466" spans="1:15" ht="15" customHeight="1" x14ac:dyDescent="0.3">
      <c r="A4466" s="23" t="s">
        <v>9402</v>
      </c>
      <c r="B4466" s="38">
        <v>46288</v>
      </c>
      <c r="C4466" s="23" t="s">
        <v>9403</v>
      </c>
      <c r="D4466" s="23" t="s">
        <v>89</v>
      </c>
      <c r="E4466" s="23" t="s">
        <v>75</v>
      </c>
      <c r="F4466" s="23" t="s">
        <v>582</v>
      </c>
      <c r="G4466" s="23" t="s">
        <v>250</v>
      </c>
      <c r="H4466" s="39">
        <f t="shared" si="276"/>
        <v>1298</v>
      </c>
      <c r="I4466" s="23" t="str">
        <f t="shared" si="277"/>
        <v>Jaipur</v>
      </c>
      <c r="J4466" s="23">
        <f>COUNTIFS(pg_transaction_cleaned!$O:$O,A4466,pg_transaction_cleaned!$F:$F,"CAPTURE")</f>
        <v>1</v>
      </c>
      <c r="K4466" s="39">
        <f>SUMIFS(pg_transaction_cleaned!$H:$H,pg_transaction_cleaned!$O:$O,A4466,pg_transaction_cleaned!$F:$F,"CAPTURE")</f>
        <v>1298</v>
      </c>
      <c r="L4466" s="23">
        <f>COUNTIFS(pg_transaction_cleaned!$O:$O,A4466,pg_transaction_cleaned!$F:$F,"REFUND")</f>
        <v>0</v>
      </c>
      <c r="M4466" s="39">
        <f>SUMIFS(pg_transaction_cleaned!$H:$H,pg_transaction_cleaned!$O:$O,A4466,pg_transaction_cleaned!$F:$F,"REFUND")</f>
        <v>0</v>
      </c>
      <c r="N4466" s="23" t="str">
        <f t="shared" si="278"/>
        <v>OK</v>
      </c>
      <c r="O4466" s="24">
        <f t="shared" si="279"/>
        <v>0</v>
      </c>
    </row>
    <row r="4467" spans="1:15" ht="15" customHeight="1" x14ac:dyDescent="0.3">
      <c r="A4467" s="23" t="s">
        <v>9404</v>
      </c>
      <c r="B4467" s="38">
        <v>46289</v>
      </c>
      <c r="C4467" s="23" t="s">
        <v>9405</v>
      </c>
      <c r="D4467" s="23" t="s">
        <v>95</v>
      </c>
      <c r="E4467" s="23" t="s">
        <v>77</v>
      </c>
      <c r="F4467" s="23" t="s">
        <v>553</v>
      </c>
      <c r="G4467" s="23" t="s">
        <v>250</v>
      </c>
      <c r="H4467" s="39">
        <f t="shared" si="276"/>
        <v>2798</v>
      </c>
      <c r="I4467" s="23" t="str">
        <f t="shared" si="277"/>
        <v>Bengaluru</v>
      </c>
      <c r="J4467" s="23">
        <f>COUNTIFS(pg_transaction_cleaned!$O:$O,A4467,pg_transaction_cleaned!$F:$F,"CAPTURE")</f>
        <v>1</v>
      </c>
      <c r="K4467" s="39">
        <f>SUMIFS(pg_transaction_cleaned!$H:$H,pg_transaction_cleaned!$O:$O,A4467,pg_transaction_cleaned!$F:$F,"CAPTURE")</f>
        <v>2798</v>
      </c>
      <c r="L4467" s="23">
        <f>COUNTIFS(pg_transaction_cleaned!$O:$O,A4467,pg_transaction_cleaned!$F:$F,"REFUND")</f>
        <v>0</v>
      </c>
      <c r="M4467" s="39">
        <f>SUMIFS(pg_transaction_cleaned!$H:$H,pg_transaction_cleaned!$O:$O,A4467,pg_transaction_cleaned!$F:$F,"REFUND")</f>
        <v>0</v>
      </c>
      <c r="N4467" s="23" t="str">
        <f t="shared" si="278"/>
        <v>OK</v>
      </c>
      <c r="O4467" s="24">
        <f t="shared" si="279"/>
        <v>0</v>
      </c>
    </row>
    <row r="4468" spans="1:15" ht="15" customHeight="1" x14ac:dyDescent="0.3">
      <c r="A4468" s="23" t="s">
        <v>9406</v>
      </c>
      <c r="B4468" s="38">
        <v>46267</v>
      </c>
      <c r="C4468" s="23" t="s">
        <v>9407</v>
      </c>
      <c r="D4468" s="23" t="s">
        <v>86</v>
      </c>
      <c r="E4468" s="23" t="s">
        <v>81</v>
      </c>
      <c r="F4468" s="23" t="s">
        <v>268</v>
      </c>
      <c r="G4468" s="23" t="s">
        <v>250</v>
      </c>
      <c r="H4468" s="39">
        <f t="shared" si="276"/>
        <v>1299</v>
      </c>
      <c r="I4468" s="23" t="str">
        <f t="shared" si="277"/>
        <v>Delhi</v>
      </c>
      <c r="J4468" s="23">
        <f>COUNTIFS(pg_transaction_cleaned!$O:$O,A4468,pg_transaction_cleaned!$F:$F,"CAPTURE")</f>
        <v>1</v>
      </c>
      <c r="K4468" s="39">
        <f>SUMIFS(pg_transaction_cleaned!$H:$H,pg_transaction_cleaned!$O:$O,A4468,pg_transaction_cleaned!$F:$F,"CAPTURE")</f>
        <v>1299</v>
      </c>
      <c r="L4468" s="23">
        <f>COUNTIFS(pg_transaction_cleaned!$O:$O,A4468,pg_transaction_cleaned!$F:$F,"REFUND")</f>
        <v>0</v>
      </c>
      <c r="M4468" s="39">
        <f>SUMIFS(pg_transaction_cleaned!$H:$H,pg_transaction_cleaned!$O:$O,A4468,pg_transaction_cleaned!$F:$F,"REFUND")</f>
        <v>0</v>
      </c>
      <c r="N4468" s="23" t="str">
        <f t="shared" si="278"/>
        <v>OK</v>
      </c>
      <c r="O4468" s="24">
        <f t="shared" si="279"/>
        <v>0</v>
      </c>
    </row>
    <row r="4469" spans="1:15" ht="15" customHeight="1" x14ac:dyDescent="0.3">
      <c r="A4469" s="23" t="s">
        <v>9408</v>
      </c>
      <c r="B4469" s="38">
        <v>46273</v>
      </c>
      <c r="C4469" s="23" t="s">
        <v>9409</v>
      </c>
      <c r="D4469" s="23" t="s">
        <v>93</v>
      </c>
      <c r="E4469" s="23" t="s">
        <v>77</v>
      </c>
      <c r="F4469" s="23" t="s">
        <v>259</v>
      </c>
      <c r="G4469" s="23" t="s">
        <v>250</v>
      </c>
      <c r="H4469" s="39">
        <f t="shared" si="276"/>
        <v>3298</v>
      </c>
      <c r="I4469" s="23" t="str">
        <f t="shared" si="277"/>
        <v>Kolkata</v>
      </c>
      <c r="J4469" s="23">
        <f>COUNTIFS(pg_transaction_cleaned!$O:$O,A4469,pg_transaction_cleaned!$F:$F,"CAPTURE")</f>
        <v>1</v>
      </c>
      <c r="K4469" s="39">
        <f>SUMIFS(pg_transaction_cleaned!$H:$H,pg_transaction_cleaned!$O:$O,A4469,pg_transaction_cleaned!$F:$F,"CAPTURE")</f>
        <v>3298</v>
      </c>
      <c r="L4469" s="23">
        <f>COUNTIFS(pg_transaction_cleaned!$O:$O,A4469,pg_transaction_cleaned!$F:$F,"REFUND")</f>
        <v>0</v>
      </c>
      <c r="M4469" s="39">
        <f>SUMIFS(pg_transaction_cleaned!$H:$H,pg_transaction_cleaned!$O:$O,A4469,pg_transaction_cleaned!$F:$F,"REFUND")</f>
        <v>0</v>
      </c>
      <c r="N4469" s="23" t="str">
        <f t="shared" si="278"/>
        <v>OK</v>
      </c>
      <c r="O4469" s="24">
        <f t="shared" si="279"/>
        <v>0</v>
      </c>
    </row>
    <row r="4470" spans="1:15" ht="15" customHeight="1" x14ac:dyDescent="0.3">
      <c r="A4470" s="23" t="s">
        <v>9410</v>
      </c>
      <c r="B4470" s="38">
        <v>46277</v>
      </c>
      <c r="C4470" s="23" t="s">
        <v>9411</v>
      </c>
      <c r="D4470" s="23" t="s">
        <v>93</v>
      </c>
      <c r="E4470" s="23" t="s">
        <v>75</v>
      </c>
      <c r="F4470" s="23" t="s">
        <v>499</v>
      </c>
      <c r="G4470" s="23" t="s">
        <v>250</v>
      </c>
      <c r="H4470" s="39">
        <f t="shared" si="276"/>
        <v>5998</v>
      </c>
      <c r="I4470" s="23" t="str">
        <f t="shared" si="277"/>
        <v>Kolkata</v>
      </c>
      <c r="J4470" s="23">
        <f>COUNTIFS(pg_transaction_cleaned!$O:$O,A4470,pg_transaction_cleaned!$F:$F,"CAPTURE")</f>
        <v>1</v>
      </c>
      <c r="K4470" s="39">
        <f>SUMIFS(pg_transaction_cleaned!$H:$H,pg_transaction_cleaned!$O:$O,A4470,pg_transaction_cleaned!$F:$F,"CAPTURE")</f>
        <v>5998</v>
      </c>
      <c r="L4470" s="23">
        <f>COUNTIFS(pg_transaction_cleaned!$O:$O,A4470,pg_transaction_cleaned!$F:$F,"REFUND")</f>
        <v>0</v>
      </c>
      <c r="M4470" s="39">
        <f>SUMIFS(pg_transaction_cleaned!$H:$H,pg_transaction_cleaned!$O:$O,A4470,pg_transaction_cleaned!$F:$F,"REFUND")</f>
        <v>0</v>
      </c>
      <c r="N4470" s="23" t="str">
        <f t="shared" si="278"/>
        <v>OK</v>
      </c>
      <c r="O4470" s="24">
        <f t="shared" si="279"/>
        <v>0</v>
      </c>
    </row>
    <row r="4471" spans="1:15" ht="15" customHeight="1" x14ac:dyDescent="0.3">
      <c r="A4471" s="23" t="s">
        <v>9412</v>
      </c>
      <c r="B4471" s="38">
        <v>46287</v>
      </c>
      <c r="C4471" s="23" t="s">
        <v>7755</v>
      </c>
      <c r="D4471" s="23" t="s">
        <v>88</v>
      </c>
      <c r="E4471" s="23" t="s">
        <v>77</v>
      </c>
      <c r="F4471" s="23" t="s">
        <v>268</v>
      </c>
      <c r="G4471" s="23" t="s">
        <v>250</v>
      </c>
      <c r="H4471" s="39">
        <f t="shared" si="276"/>
        <v>1299</v>
      </c>
      <c r="I4471" s="23" t="str">
        <f t="shared" si="277"/>
        <v>Lucknow</v>
      </c>
      <c r="J4471" s="23">
        <f>COUNTIFS(pg_transaction_cleaned!$O:$O,A4471,pg_transaction_cleaned!$F:$F,"CAPTURE")</f>
        <v>1</v>
      </c>
      <c r="K4471" s="39">
        <f>SUMIFS(pg_transaction_cleaned!$H:$H,pg_transaction_cleaned!$O:$O,A4471,pg_transaction_cleaned!$F:$F,"CAPTURE")</f>
        <v>1299</v>
      </c>
      <c r="L4471" s="23">
        <f>COUNTIFS(pg_transaction_cleaned!$O:$O,A4471,pg_transaction_cleaned!$F:$F,"REFUND")</f>
        <v>0</v>
      </c>
      <c r="M4471" s="39">
        <f>SUMIFS(pg_transaction_cleaned!$H:$H,pg_transaction_cleaned!$O:$O,A4471,pg_transaction_cleaned!$F:$F,"REFUND")</f>
        <v>0</v>
      </c>
      <c r="N4471" s="23" t="str">
        <f t="shared" si="278"/>
        <v>OK</v>
      </c>
      <c r="O4471" s="24">
        <f t="shared" si="279"/>
        <v>0</v>
      </c>
    </row>
    <row r="4472" spans="1:15" ht="15" customHeight="1" x14ac:dyDescent="0.3">
      <c r="A4472" s="23" t="s">
        <v>9413</v>
      </c>
      <c r="B4472" s="38">
        <v>46266</v>
      </c>
      <c r="C4472" s="23" t="s">
        <v>9414</v>
      </c>
      <c r="D4472" s="23" t="s">
        <v>93</v>
      </c>
      <c r="E4472" s="23" t="s">
        <v>81</v>
      </c>
      <c r="F4472" s="23" t="s">
        <v>274</v>
      </c>
      <c r="G4472" s="23" t="s">
        <v>250</v>
      </c>
      <c r="H4472" s="39">
        <f t="shared" si="276"/>
        <v>349</v>
      </c>
      <c r="I4472" s="23" t="str">
        <f t="shared" si="277"/>
        <v>Kolkata</v>
      </c>
      <c r="J4472" s="23">
        <f>COUNTIFS(pg_transaction_cleaned!$O:$O,A4472,pg_transaction_cleaned!$F:$F,"CAPTURE")</f>
        <v>1</v>
      </c>
      <c r="K4472" s="39">
        <f>SUMIFS(pg_transaction_cleaned!$H:$H,pg_transaction_cleaned!$O:$O,A4472,pg_transaction_cleaned!$F:$F,"CAPTURE")</f>
        <v>349</v>
      </c>
      <c r="L4472" s="23">
        <f>COUNTIFS(pg_transaction_cleaned!$O:$O,A4472,pg_transaction_cleaned!$F:$F,"REFUND")</f>
        <v>0</v>
      </c>
      <c r="M4472" s="39">
        <f>SUMIFS(pg_transaction_cleaned!$H:$H,pg_transaction_cleaned!$O:$O,A4472,pg_transaction_cleaned!$F:$F,"REFUND")</f>
        <v>0</v>
      </c>
      <c r="N4472" s="23" t="str">
        <f t="shared" si="278"/>
        <v>OK</v>
      </c>
      <c r="O4472" s="24">
        <f t="shared" si="279"/>
        <v>0</v>
      </c>
    </row>
    <row r="4473" spans="1:15" ht="15" customHeight="1" x14ac:dyDescent="0.3">
      <c r="A4473" s="23" t="s">
        <v>9415</v>
      </c>
      <c r="B4473" s="38">
        <v>46266</v>
      </c>
      <c r="C4473" s="23" t="s">
        <v>9416</v>
      </c>
      <c r="D4473" s="23" t="s">
        <v>91</v>
      </c>
      <c r="E4473" s="23" t="s">
        <v>75</v>
      </c>
      <c r="F4473" s="23" t="s">
        <v>315</v>
      </c>
      <c r="G4473" s="23" t="s">
        <v>250</v>
      </c>
      <c r="H4473" s="39">
        <f t="shared" si="276"/>
        <v>1499</v>
      </c>
      <c r="I4473" s="23" t="str">
        <f t="shared" si="277"/>
        <v>Pune</v>
      </c>
      <c r="J4473" s="23">
        <f>COUNTIFS(pg_transaction_cleaned!$O:$O,A4473,pg_transaction_cleaned!$F:$F,"CAPTURE")</f>
        <v>1</v>
      </c>
      <c r="K4473" s="39">
        <f>SUMIFS(pg_transaction_cleaned!$H:$H,pg_transaction_cleaned!$O:$O,A4473,pg_transaction_cleaned!$F:$F,"CAPTURE")</f>
        <v>1499</v>
      </c>
      <c r="L4473" s="23">
        <f>COUNTIFS(pg_transaction_cleaned!$O:$O,A4473,pg_transaction_cleaned!$F:$F,"REFUND")</f>
        <v>0</v>
      </c>
      <c r="M4473" s="39">
        <f>SUMIFS(pg_transaction_cleaned!$H:$H,pg_transaction_cleaned!$O:$O,A4473,pg_transaction_cleaned!$F:$F,"REFUND")</f>
        <v>0</v>
      </c>
      <c r="N4473" s="23" t="str">
        <f t="shared" si="278"/>
        <v>OK</v>
      </c>
      <c r="O4473" s="24">
        <f t="shared" si="279"/>
        <v>0</v>
      </c>
    </row>
    <row r="4474" spans="1:15" ht="15" customHeight="1" x14ac:dyDescent="0.3">
      <c r="A4474" s="23" t="s">
        <v>9417</v>
      </c>
      <c r="B4474" s="38">
        <v>46290</v>
      </c>
      <c r="C4474" s="23" t="s">
        <v>9418</v>
      </c>
      <c r="D4474" s="23" t="s">
        <v>91</v>
      </c>
      <c r="E4474" s="23" t="s">
        <v>75</v>
      </c>
      <c r="F4474" s="23" t="s">
        <v>553</v>
      </c>
      <c r="G4474" s="23" t="s">
        <v>250</v>
      </c>
      <c r="H4474" s="39">
        <f t="shared" si="276"/>
        <v>2798</v>
      </c>
      <c r="I4474" s="23" t="str">
        <f t="shared" si="277"/>
        <v>Pune</v>
      </c>
      <c r="J4474" s="23">
        <f>COUNTIFS(pg_transaction_cleaned!$O:$O,A4474,pg_transaction_cleaned!$F:$F,"CAPTURE")</f>
        <v>1</v>
      </c>
      <c r="K4474" s="39">
        <f>SUMIFS(pg_transaction_cleaned!$H:$H,pg_transaction_cleaned!$O:$O,A4474,pg_transaction_cleaned!$F:$F,"CAPTURE")</f>
        <v>2798</v>
      </c>
      <c r="L4474" s="23">
        <f>COUNTIFS(pg_transaction_cleaned!$O:$O,A4474,pg_transaction_cleaned!$F:$F,"REFUND")</f>
        <v>0</v>
      </c>
      <c r="M4474" s="39">
        <f>SUMIFS(pg_transaction_cleaned!$H:$H,pg_transaction_cleaned!$O:$O,A4474,pg_transaction_cleaned!$F:$F,"REFUND")</f>
        <v>0</v>
      </c>
      <c r="N4474" s="23" t="str">
        <f t="shared" si="278"/>
        <v>OK</v>
      </c>
      <c r="O4474" s="24">
        <f t="shared" si="279"/>
        <v>0</v>
      </c>
    </row>
    <row r="4475" spans="1:15" ht="15" customHeight="1" x14ac:dyDescent="0.3">
      <c r="A4475" s="23" t="s">
        <v>9419</v>
      </c>
      <c r="B4475" s="38">
        <v>46290</v>
      </c>
      <c r="C4475" s="23" t="s">
        <v>9420</v>
      </c>
      <c r="D4475" s="23" t="s">
        <v>95</v>
      </c>
      <c r="E4475" s="23" t="s">
        <v>79</v>
      </c>
      <c r="F4475" s="23" t="s">
        <v>2837</v>
      </c>
      <c r="G4475" s="23" t="s">
        <v>301</v>
      </c>
      <c r="H4475" s="39">
        <f t="shared" si="276"/>
        <v>12297</v>
      </c>
      <c r="I4475" s="23" t="str">
        <f t="shared" si="277"/>
        <v>Bengaluru</v>
      </c>
      <c r="J4475" s="23">
        <f>COUNTIFS(pg_transaction_cleaned!$O:$O,A4475,pg_transaction_cleaned!$F:$F,"CAPTURE")</f>
        <v>1</v>
      </c>
      <c r="K4475" s="39">
        <f>SUMIFS(pg_transaction_cleaned!$H:$H,pg_transaction_cleaned!$O:$O,A4475,pg_transaction_cleaned!$F:$F,"CAPTURE")</f>
        <v>12297</v>
      </c>
      <c r="L4475" s="23">
        <f>COUNTIFS(pg_transaction_cleaned!$O:$O,A4475,pg_transaction_cleaned!$F:$F,"REFUND")</f>
        <v>1</v>
      </c>
      <c r="M4475" s="39">
        <f>SUMIFS(pg_transaction_cleaned!$H:$H,pg_transaction_cleaned!$O:$O,A4475,pg_transaction_cleaned!$F:$F,"REFUND")</f>
        <v>12297</v>
      </c>
      <c r="N4475" s="23" t="str">
        <f t="shared" si="278"/>
        <v>OK</v>
      </c>
      <c r="O4475" s="24">
        <f t="shared" si="279"/>
        <v>0</v>
      </c>
    </row>
    <row r="4476" spans="1:15" ht="15" customHeight="1" x14ac:dyDescent="0.3">
      <c r="A4476" s="23" t="s">
        <v>9421</v>
      </c>
      <c r="B4476" s="38">
        <v>46283</v>
      </c>
      <c r="C4476" s="23" t="s">
        <v>9422</v>
      </c>
      <c r="D4476" s="23" t="s">
        <v>91</v>
      </c>
      <c r="E4476" s="23" t="s">
        <v>75</v>
      </c>
      <c r="F4476" s="23" t="s">
        <v>291</v>
      </c>
      <c r="G4476" s="23" t="s">
        <v>250</v>
      </c>
      <c r="H4476" s="39">
        <f t="shared" si="276"/>
        <v>3499</v>
      </c>
      <c r="I4476" s="23" t="str">
        <f t="shared" si="277"/>
        <v>Pune</v>
      </c>
      <c r="J4476" s="23">
        <f>COUNTIFS(pg_transaction_cleaned!$O:$O,A4476,pg_transaction_cleaned!$F:$F,"CAPTURE")</f>
        <v>1</v>
      </c>
      <c r="K4476" s="39">
        <f>SUMIFS(pg_transaction_cleaned!$H:$H,pg_transaction_cleaned!$O:$O,A4476,pg_transaction_cleaned!$F:$F,"CAPTURE")</f>
        <v>3499</v>
      </c>
      <c r="L4476" s="23">
        <f>COUNTIFS(pg_transaction_cleaned!$O:$O,A4476,pg_transaction_cleaned!$F:$F,"REFUND")</f>
        <v>0</v>
      </c>
      <c r="M4476" s="39">
        <f>SUMIFS(pg_transaction_cleaned!$H:$H,pg_transaction_cleaned!$O:$O,A4476,pg_transaction_cleaned!$F:$F,"REFUND")</f>
        <v>0</v>
      </c>
      <c r="N4476" s="23" t="str">
        <f t="shared" si="278"/>
        <v>OK</v>
      </c>
      <c r="O4476" s="24">
        <f t="shared" si="279"/>
        <v>0</v>
      </c>
    </row>
    <row r="4477" spans="1:15" ht="15" customHeight="1" x14ac:dyDescent="0.3">
      <c r="A4477" s="23" t="s">
        <v>9423</v>
      </c>
      <c r="B4477" s="38">
        <v>46274</v>
      </c>
      <c r="C4477" s="23" t="s">
        <v>9424</v>
      </c>
      <c r="D4477" s="23" t="s">
        <v>92</v>
      </c>
      <c r="E4477" s="23" t="s">
        <v>77</v>
      </c>
      <c r="F4477" s="23" t="s">
        <v>1495</v>
      </c>
      <c r="G4477" s="23" t="s">
        <v>250</v>
      </c>
      <c r="H4477" s="39">
        <f t="shared" si="276"/>
        <v>7498</v>
      </c>
      <c r="I4477" s="23" t="str">
        <f t="shared" si="277"/>
        <v>Hyderabad</v>
      </c>
      <c r="J4477" s="23">
        <f>COUNTIFS(pg_transaction_cleaned!$O:$O,A4477,pg_transaction_cleaned!$F:$F,"CAPTURE")</f>
        <v>1</v>
      </c>
      <c r="K4477" s="39">
        <f>SUMIFS(pg_transaction_cleaned!$H:$H,pg_transaction_cleaned!$O:$O,A4477,pg_transaction_cleaned!$F:$F,"CAPTURE")</f>
        <v>7498</v>
      </c>
      <c r="L4477" s="23">
        <f>COUNTIFS(pg_transaction_cleaned!$O:$O,A4477,pg_transaction_cleaned!$F:$F,"REFUND")</f>
        <v>0</v>
      </c>
      <c r="M4477" s="39">
        <f>SUMIFS(pg_transaction_cleaned!$H:$H,pg_transaction_cleaned!$O:$O,A4477,pg_transaction_cleaned!$F:$F,"REFUND")</f>
        <v>0</v>
      </c>
      <c r="N4477" s="23" t="str">
        <f t="shared" si="278"/>
        <v>OK</v>
      </c>
      <c r="O4477" s="24">
        <f t="shared" si="279"/>
        <v>0</v>
      </c>
    </row>
    <row r="4478" spans="1:15" ht="15" customHeight="1" x14ac:dyDescent="0.3">
      <c r="A4478" s="23" t="s">
        <v>9425</v>
      </c>
      <c r="B4478" s="38">
        <v>46280</v>
      </c>
      <c r="C4478" s="23" t="s">
        <v>9426</v>
      </c>
      <c r="D4478" s="23" t="s">
        <v>93</v>
      </c>
      <c r="E4478" s="23" t="s">
        <v>75</v>
      </c>
      <c r="F4478" s="23" t="s">
        <v>294</v>
      </c>
      <c r="G4478" s="23" t="s">
        <v>250</v>
      </c>
      <c r="H4478" s="39">
        <f t="shared" si="276"/>
        <v>1799</v>
      </c>
      <c r="I4478" s="23" t="str">
        <f t="shared" si="277"/>
        <v>Kolkata</v>
      </c>
      <c r="J4478" s="23">
        <f>COUNTIFS(pg_transaction_cleaned!$O:$O,A4478,pg_transaction_cleaned!$F:$F,"CAPTURE")</f>
        <v>1</v>
      </c>
      <c r="K4478" s="39">
        <f>SUMIFS(pg_transaction_cleaned!$H:$H,pg_transaction_cleaned!$O:$O,A4478,pg_transaction_cleaned!$F:$F,"CAPTURE")</f>
        <v>1799</v>
      </c>
      <c r="L4478" s="23">
        <f>COUNTIFS(pg_transaction_cleaned!$O:$O,A4478,pg_transaction_cleaned!$F:$F,"REFUND")</f>
        <v>0</v>
      </c>
      <c r="M4478" s="39">
        <f>SUMIFS(pg_transaction_cleaned!$H:$H,pg_transaction_cleaned!$O:$O,A4478,pg_transaction_cleaned!$F:$F,"REFUND")</f>
        <v>0</v>
      </c>
      <c r="N4478" s="23" t="str">
        <f t="shared" si="278"/>
        <v>OK</v>
      </c>
      <c r="O4478" s="24">
        <f t="shared" si="279"/>
        <v>0</v>
      </c>
    </row>
    <row r="4479" spans="1:15" ht="15" customHeight="1" x14ac:dyDescent="0.3">
      <c r="A4479" s="23" t="s">
        <v>9427</v>
      </c>
      <c r="B4479" s="38">
        <v>46281</v>
      </c>
      <c r="C4479" s="23" t="s">
        <v>9428</v>
      </c>
      <c r="D4479" s="23" t="s">
        <v>86</v>
      </c>
      <c r="E4479" s="23" t="s">
        <v>79</v>
      </c>
      <c r="F4479" s="23" t="s">
        <v>396</v>
      </c>
      <c r="G4479" s="23" t="s">
        <v>250</v>
      </c>
      <c r="H4479" s="39">
        <f t="shared" si="276"/>
        <v>2999</v>
      </c>
      <c r="I4479" s="23" t="str">
        <f t="shared" si="277"/>
        <v>Delhi</v>
      </c>
      <c r="J4479" s="23">
        <f>COUNTIFS(pg_transaction_cleaned!$O:$O,A4479,pg_transaction_cleaned!$F:$F,"CAPTURE")</f>
        <v>1</v>
      </c>
      <c r="K4479" s="39">
        <f>SUMIFS(pg_transaction_cleaned!$H:$H,pg_transaction_cleaned!$O:$O,A4479,pg_transaction_cleaned!$F:$F,"CAPTURE")</f>
        <v>2999</v>
      </c>
      <c r="L4479" s="23">
        <f>COUNTIFS(pg_transaction_cleaned!$O:$O,A4479,pg_transaction_cleaned!$F:$F,"REFUND")</f>
        <v>0</v>
      </c>
      <c r="M4479" s="39">
        <f>SUMIFS(pg_transaction_cleaned!$H:$H,pg_transaction_cleaned!$O:$O,A4479,pg_transaction_cleaned!$F:$F,"REFUND")</f>
        <v>0</v>
      </c>
      <c r="N4479" s="23" t="str">
        <f t="shared" si="278"/>
        <v>OK</v>
      </c>
      <c r="O4479" s="24">
        <f t="shared" si="279"/>
        <v>0</v>
      </c>
    </row>
    <row r="4480" spans="1:15" ht="15" customHeight="1" x14ac:dyDescent="0.3">
      <c r="A4480" s="23" t="s">
        <v>9429</v>
      </c>
      <c r="B4480" s="38">
        <v>46287</v>
      </c>
      <c r="C4480" s="23" t="s">
        <v>9430</v>
      </c>
      <c r="D4480" s="23" t="s">
        <v>89</v>
      </c>
      <c r="E4480" s="23" t="s">
        <v>75</v>
      </c>
      <c r="F4480" s="23" t="s">
        <v>534</v>
      </c>
      <c r="G4480" s="23" t="s">
        <v>250</v>
      </c>
      <c r="H4480" s="39">
        <f t="shared" si="276"/>
        <v>3097</v>
      </c>
      <c r="I4480" s="23" t="str">
        <f t="shared" si="277"/>
        <v>Jaipur</v>
      </c>
      <c r="J4480" s="23">
        <f>COUNTIFS(pg_transaction_cleaned!$O:$O,A4480,pg_transaction_cleaned!$F:$F,"CAPTURE")</f>
        <v>1</v>
      </c>
      <c r="K4480" s="39">
        <f>SUMIFS(pg_transaction_cleaned!$H:$H,pg_transaction_cleaned!$O:$O,A4480,pg_transaction_cleaned!$F:$F,"CAPTURE")</f>
        <v>3097</v>
      </c>
      <c r="L4480" s="23">
        <f>COUNTIFS(pg_transaction_cleaned!$O:$O,A4480,pg_transaction_cleaned!$F:$F,"REFUND")</f>
        <v>0</v>
      </c>
      <c r="M4480" s="39">
        <f>SUMIFS(pg_transaction_cleaned!$H:$H,pg_transaction_cleaned!$O:$O,A4480,pg_transaction_cleaned!$F:$F,"REFUND")</f>
        <v>0</v>
      </c>
      <c r="N4480" s="23" t="str">
        <f t="shared" si="278"/>
        <v>OK</v>
      </c>
      <c r="O4480" s="24">
        <f t="shared" si="279"/>
        <v>0</v>
      </c>
    </row>
    <row r="4481" spans="1:15" ht="15" customHeight="1" x14ac:dyDescent="0.3">
      <c r="A4481" s="23" t="s">
        <v>9431</v>
      </c>
      <c r="B4481" s="38">
        <v>46278</v>
      </c>
      <c r="C4481" s="23" t="s">
        <v>9432</v>
      </c>
      <c r="D4481" s="23" t="s">
        <v>86</v>
      </c>
      <c r="E4481" s="23" t="s">
        <v>79</v>
      </c>
      <c r="F4481" s="23" t="s">
        <v>360</v>
      </c>
      <c r="G4481" s="23" t="s">
        <v>250</v>
      </c>
      <c r="H4481" s="39">
        <f t="shared" si="276"/>
        <v>10297</v>
      </c>
      <c r="I4481" s="23" t="str">
        <f t="shared" si="277"/>
        <v>Delhi</v>
      </c>
      <c r="J4481" s="23">
        <f>COUNTIFS(pg_transaction_cleaned!$O:$O,A4481,pg_transaction_cleaned!$F:$F,"CAPTURE")</f>
        <v>1</v>
      </c>
      <c r="K4481" s="39">
        <f>SUMIFS(pg_transaction_cleaned!$H:$H,pg_transaction_cleaned!$O:$O,A4481,pg_transaction_cleaned!$F:$F,"CAPTURE")</f>
        <v>10297</v>
      </c>
      <c r="L4481" s="23">
        <f>COUNTIFS(pg_transaction_cleaned!$O:$O,A4481,pg_transaction_cleaned!$F:$F,"REFUND")</f>
        <v>0</v>
      </c>
      <c r="M4481" s="39">
        <f>SUMIFS(pg_transaction_cleaned!$H:$H,pg_transaction_cleaned!$O:$O,A4481,pg_transaction_cleaned!$F:$F,"REFUND")</f>
        <v>0</v>
      </c>
      <c r="N4481" s="23" t="str">
        <f t="shared" si="278"/>
        <v>OK</v>
      </c>
      <c r="O4481" s="24">
        <f t="shared" si="279"/>
        <v>0</v>
      </c>
    </row>
    <row r="4482" spans="1:15" ht="15" customHeight="1" x14ac:dyDescent="0.3">
      <c r="A4482" s="23" t="s">
        <v>9433</v>
      </c>
      <c r="B4482" s="38">
        <v>46284</v>
      </c>
      <c r="C4482" s="23" t="s">
        <v>9434</v>
      </c>
      <c r="D4482" s="23" t="s">
        <v>86</v>
      </c>
      <c r="E4482" s="23" t="s">
        <v>77</v>
      </c>
      <c r="F4482" s="23" t="s">
        <v>265</v>
      </c>
      <c r="G4482" s="23" t="s">
        <v>250</v>
      </c>
      <c r="H4482" s="39">
        <f t="shared" ref="H4482:H4545" si="280">VALUE(SUBSTITUTE(F4482,",",""))</f>
        <v>999</v>
      </c>
      <c r="I4482" s="23" t="str">
        <f t="shared" ref="I4482:I4545" si="281">IF(TRIM(D4482)="","Unknown",TRIM(D4482))</f>
        <v>Delhi</v>
      </c>
      <c r="J4482" s="23">
        <f>COUNTIFS(pg_transaction_cleaned!$O:$O,A4482,pg_transaction_cleaned!$F:$F,"CAPTURE")</f>
        <v>1</v>
      </c>
      <c r="K4482" s="39">
        <f>SUMIFS(pg_transaction_cleaned!$H:$H,pg_transaction_cleaned!$O:$O,A4482,pg_transaction_cleaned!$F:$F,"CAPTURE")</f>
        <v>999</v>
      </c>
      <c r="L4482" s="23">
        <f>COUNTIFS(pg_transaction_cleaned!$O:$O,A4482,pg_transaction_cleaned!$F:$F,"REFUND")</f>
        <v>0</v>
      </c>
      <c r="M4482" s="39">
        <f>SUMIFS(pg_transaction_cleaned!$H:$H,pg_transaction_cleaned!$O:$O,A4482,pg_transaction_cleaned!$F:$F,"REFUND")</f>
        <v>0</v>
      </c>
      <c r="N4482" s="23" t="str">
        <f t="shared" ref="N4482:N4545" si="282">IF(AND(G4482="Paid",J4482=0),"Paid, no payment",IF(AND(OR(G4482="Failed",G4482="Cancelled"),J4482&gt;0),"Payment on failed/cancelled",IF(J4482&gt;1,"Duplicate charge",IF(AND(J4482=1,ROUND(K4482-H4482,2)&lt;&gt;0),"Amount difference",IF(AND(G4482="Refunded",L4482=0),"Refunded, no refund",IF(AND(G4482&lt;&gt;"Refunded",L4482&gt;0),"Refund, order not Refunded",IF(AND(L4482&gt;0,ROUND(M4482-H4482,2)&lt;&gt;0),"Refund amount differs","OK")))))))</f>
        <v>OK</v>
      </c>
      <c r="O4482" s="24">
        <f t="shared" ref="O4482:O4545" si="283">IF(N4482="OK",0,IF(N4482="Paid, no payment",H4482,IF(N4482="Payment on failed/cancelled",K4482,IF(OR(N4482="Duplicate charge",N4482="Amount difference"),K4482-H4482,IF(N4482="Refunded, no refund",H4482,M4482)))))</f>
        <v>0</v>
      </c>
    </row>
    <row r="4483" spans="1:15" ht="15" customHeight="1" x14ac:dyDescent="0.3">
      <c r="A4483" s="23" t="s">
        <v>9435</v>
      </c>
      <c r="B4483" s="38">
        <v>46293</v>
      </c>
      <c r="C4483" s="23" t="s">
        <v>9436</v>
      </c>
      <c r="D4483" s="23" t="s">
        <v>91</v>
      </c>
      <c r="E4483" s="23" t="s">
        <v>79</v>
      </c>
      <c r="F4483" s="23" t="s">
        <v>294</v>
      </c>
      <c r="G4483" s="23" t="s">
        <v>365</v>
      </c>
      <c r="H4483" s="39">
        <f t="shared" si="280"/>
        <v>1799</v>
      </c>
      <c r="I4483" s="23" t="str">
        <f t="shared" si="281"/>
        <v>Pune</v>
      </c>
      <c r="J4483" s="23">
        <f>COUNTIFS(pg_transaction_cleaned!$O:$O,A4483,pg_transaction_cleaned!$F:$F,"CAPTURE")</f>
        <v>0</v>
      </c>
      <c r="K4483" s="39">
        <f>SUMIFS(pg_transaction_cleaned!$H:$H,pg_transaction_cleaned!$O:$O,A4483,pg_transaction_cleaned!$F:$F,"CAPTURE")</f>
        <v>0</v>
      </c>
      <c r="L4483" s="23">
        <f>COUNTIFS(pg_transaction_cleaned!$O:$O,A4483,pg_transaction_cleaned!$F:$F,"REFUND")</f>
        <v>0</v>
      </c>
      <c r="M4483" s="39">
        <f>SUMIFS(pg_transaction_cleaned!$H:$H,pg_transaction_cleaned!$O:$O,A4483,pg_transaction_cleaned!$F:$F,"REFUND")</f>
        <v>0</v>
      </c>
      <c r="N4483" s="23" t="str">
        <f t="shared" si="282"/>
        <v>OK</v>
      </c>
      <c r="O4483" s="24">
        <f t="shared" si="283"/>
        <v>0</v>
      </c>
    </row>
    <row r="4484" spans="1:15" ht="15" customHeight="1" x14ac:dyDescent="0.3">
      <c r="A4484" s="23" t="s">
        <v>9437</v>
      </c>
      <c r="B4484" s="38">
        <v>46282</v>
      </c>
      <c r="C4484" s="23" t="s">
        <v>9438</v>
      </c>
      <c r="D4484" s="23" t="s">
        <v>89</v>
      </c>
      <c r="E4484" s="23" t="s">
        <v>75</v>
      </c>
      <c r="F4484" s="23" t="s">
        <v>262</v>
      </c>
      <c r="G4484" s="23" t="s">
        <v>250</v>
      </c>
      <c r="H4484" s="39">
        <f t="shared" si="280"/>
        <v>499</v>
      </c>
      <c r="I4484" s="23" t="str">
        <f t="shared" si="281"/>
        <v>Jaipur</v>
      </c>
      <c r="J4484" s="23">
        <f>COUNTIFS(pg_transaction_cleaned!$O:$O,A4484,pg_transaction_cleaned!$F:$F,"CAPTURE")</f>
        <v>1</v>
      </c>
      <c r="K4484" s="39">
        <f>SUMIFS(pg_transaction_cleaned!$H:$H,pg_transaction_cleaned!$O:$O,A4484,pg_transaction_cleaned!$F:$F,"CAPTURE")</f>
        <v>499</v>
      </c>
      <c r="L4484" s="23">
        <f>COUNTIFS(pg_transaction_cleaned!$O:$O,A4484,pg_transaction_cleaned!$F:$F,"REFUND")</f>
        <v>0</v>
      </c>
      <c r="M4484" s="39">
        <f>SUMIFS(pg_transaction_cleaned!$H:$H,pg_transaction_cleaned!$O:$O,A4484,pg_transaction_cleaned!$F:$F,"REFUND")</f>
        <v>0</v>
      </c>
      <c r="N4484" s="23" t="str">
        <f t="shared" si="282"/>
        <v>OK</v>
      </c>
      <c r="O4484" s="24">
        <f t="shared" si="283"/>
        <v>0</v>
      </c>
    </row>
    <row r="4485" spans="1:15" ht="15" customHeight="1" x14ac:dyDescent="0.3">
      <c r="A4485" s="23" t="s">
        <v>9439</v>
      </c>
      <c r="B4485" s="38">
        <v>46282</v>
      </c>
      <c r="C4485" s="23" t="s">
        <v>9440</v>
      </c>
      <c r="D4485" s="23" t="s">
        <v>90</v>
      </c>
      <c r="E4485" s="23" t="s">
        <v>75</v>
      </c>
      <c r="F4485" s="23" t="s">
        <v>268</v>
      </c>
      <c r="G4485" s="23" t="s">
        <v>250</v>
      </c>
      <c r="H4485" s="39">
        <f t="shared" si="280"/>
        <v>1299</v>
      </c>
      <c r="I4485" s="23" t="str">
        <f t="shared" si="281"/>
        <v>Ahmedabad</v>
      </c>
      <c r="J4485" s="23">
        <f>COUNTIFS(pg_transaction_cleaned!$O:$O,A4485,pg_transaction_cleaned!$F:$F,"CAPTURE")</f>
        <v>1</v>
      </c>
      <c r="K4485" s="39">
        <f>SUMIFS(pg_transaction_cleaned!$H:$H,pg_transaction_cleaned!$O:$O,A4485,pg_transaction_cleaned!$F:$F,"CAPTURE")</f>
        <v>1299</v>
      </c>
      <c r="L4485" s="23">
        <f>COUNTIFS(pg_transaction_cleaned!$O:$O,A4485,pg_transaction_cleaned!$F:$F,"REFUND")</f>
        <v>0</v>
      </c>
      <c r="M4485" s="39">
        <f>SUMIFS(pg_transaction_cleaned!$H:$H,pg_transaction_cleaned!$O:$O,A4485,pg_transaction_cleaned!$F:$F,"REFUND")</f>
        <v>0</v>
      </c>
      <c r="N4485" s="23" t="str">
        <f t="shared" si="282"/>
        <v>OK</v>
      </c>
      <c r="O4485" s="24">
        <f t="shared" si="283"/>
        <v>0</v>
      </c>
    </row>
    <row r="4486" spans="1:15" ht="15" customHeight="1" x14ac:dyDescent="0.3">
      <c r="A4486" s="23" t="s">
        <v>9441</v>
      </c>
      <c r="B4486" s="38">
        <v>46295</v>
      </c>
      <c r="C4486" s="23" t="s">
        <v>9442</v>
      </c>
      <c r="D4486" s="23" t="s">
        <v>92</v>
      </c>
      <c r="E4486" s="23" t="s">
        <v>79</v>
      </c>
      <c r="F4486" s="23" t="s">
        <v>346</v>
      </c>
      <c r="G4486" s="23" t="s">
        <v>250</v>
      </c>
      <c r="H4486" s="39">
        <f t="shared" si="280"/>
        <v>4498</v>
      </c>
      <c r="I4486" s="23" t="str">
        <f t="shared" si="281"/>
        <v>Hyderabad</v>
      </c>
      <c r="J4486" s="23">
        <f>COUNTIFS(pg_transaction_cleaned!$O:$O,A4486,pg_transaction_cleaned!$F:$F,"CAPTURE")</f>
        <v>1</v>
      </c>
      <c r="K4486" s="39">
        <f>SUMIFS(pg_transaction_cleaned!$H:$H,pg_transaction_cleaned!$O:$O,A4486,pg_transaction_cleaned!$F:$F,"CAPTURE")</f>
        <v>4498</v>
      </c>
      <c r="L4486" s="23">
        <f>COUNTIFS(pg_transaction_cleaned!$O:$O,A4486,pg_transaction_cleaned!$F:$F,"REFUND")</f>
        <v>0</v>
      </c>
      <c r="M4486" s="39">
        <f>SUMIFS(pg_transaction_cleaned!$H:$H,pg_transaction_cleaned!$O:$O,A4486,pg_transaction_cleaned!$F:$F,"REFUND")</f>
        <v>0</v>
      </c>
      <c r="N4486" s="23" t="str">
        <f t="shared" si="282"/>
        <v>OK</v>
      </c>
      <c r="O4486" s="24">
        <f t="shared" si="283"/>
        <v>0</v>
      </c>
    </row>
    <row r="4487" spans="1:15" ht="15" customHeight="1" x14ac:dyDescent="0.3">
      <c r="A4487" s="23" t="s">
        <v>9443</v>
      </c>
      <c r="B4487" s="38">
        <v>46276</v>
      </c>
      <c r="C4487" s="23" t="s">
        <v>9444</v>
      </c>
      <c r="D4487" s="23" t="s">
        <v>94</v>
      </c>
      <c r="E4487" s="23" t="s">
        <v>79</v>
      </c>
      <c r="F4487" s="23" t="s">
        <v>256</v>
      </c>
      <c r="G4487" s="23" t="s">
        <v>301</v>
      </c>
      <c r="H4487" s="39">
        <f t="shared" si="280"/>
        <v>2098</v>
      </c>
      <c r="I4487" s="23" t="str">
        <f t="shared" si="281"/>
        <v>Chennai</v>
      </c>
      <c r="J4487" s="23">
        <f>COUNTIFS(pg_transaction_cleaned!$O:$O,A4487,pg_transaction_cleaned!$F:$F,"CAPTURE")</f>
        <v>1</v>
      </c>
      <c r="K4487" s="39">
        <f>SUMIFS(pg_transaction_cleaned!$H:$H,pg_transaction_cleaned!$O:$O,A4487,pg_transaction_cleaned!$F:$F,"CAPTURE")</f>
        <v>2098</v>
      </c>
      <c r="L4487" s="23">
        <f>COUNTIFS(pg_transaction_cleaned!$O:$O,A4487,pg_transaction_cleaned!$F:$F,"REFUND")</f>
        <v>1</v>
      </c>
      <c r="M4487" s="39">
        <f>SUMIFS(pg_transaction_cleaned!$H:$H,pg_transaction_cleaned!$O:$O,A4487,pg_transaction_cleaned!$F:$F,"REFUND")</f>
        <v>2098</v>
      </c>
      <c r="N4487" s="23" t="str">
        <f t="shared" si="282"/>
        <v>OK</v>
      </c>
      <c r="O4487" s="24">
        <f t="shared" si="283"/>
        <v>0</v>
      </c>
    </row>
    <row r="4488" spans="1:15" ht="15" customHeight="1" x14ac:dyDescent="0.3">
      <c r="A4488" s="23" t="s">
        <v>9445</v>
      </c>
      <c r="B4488" s="38">
        <v>46292</v>
      </c>
      <c r="C4488" s="23" t="s">
        <v>9446</v>
      </c>
      <c r="D4488" s="23" t="s">
        <v>95</v>
      </c>
      <c r="E4488" s="23" t="s">
        <v>75</v>
      </c>
      <c r="F4488" s="23" t="s">
        <v>9447</v>
      </c>
      <c r="G4488" s="23" t="s">
        <v>250</v>
      </c>
      <c r="H4488" s="39">
        <f t="shared" si="280"/>
        <v>2498</v>
      </c>
      <c r="I4488" s="23" t="str">
        <f t="shared" si="281"/>
        <v>Bengaluru</v>
      </c>
      <c r="J4488" s="23">
        <f>COUNTIFS(pg_transaction_cleaned!$O:$O,A4488,pg_transaction_cleaned!$F:$F,"CAPTURE")</f>
        <v>1</v>
      </c>
      <c r="K4488" s="39">
        <f>SUMIFS(pg_transaction_cleaned!$H:$H,pg_transaction_cleaned!$O:$O,A4488,pg_transaction_cleaned!$F:$F,"CAPTURE")</f>
        <v>2498</v>
      </c>
      <c r="L4488" s="23">
        <f>COUNTIFS(pg_transaction_cleaned!$O:$O,A4488,pg_transaction_cleaned!$F:$F,"REFUND")</f>
        <v>0</v>
      </c>
      <c r="M4488" s="39">
        <f>SUMIFS(pg_transaction_cleaned!$H:$H,pg_transaction_cleaned!$O:$O,A4488,pg_transaction_cleaned!$F:$F,"REFUND")</f>
        <v>0</v>
      </c>
      <c r="N4488" s="23" t="str">
        <f t="shared" si="282"/>
        <v>OK</v>
      </c>
      <c r="O4488" s="24">
        <f t="shared" si="283"/>
        <v>0</v>
      </c>
    </row>
    <row r="4489" spans="1:15" ht="15" customHeight="1" x14ac:dyDescent="0.3">
      <c r="A4489" s="23" t="s">
        <v>9448</v>
      </c>
      <c r="B4489" s="38">
        <v>46268</v>
      </c>
      <c r="C4489" s="23" t="s">
        <v>9449</v>
      </c>
      <c r="D4489" s="23" t="s">
        <v>86</v>
      </c>
      <c r="E4489" s="23" t="s">
        <v>79</v>
      </c>
      <c r="F4489" s="23" t="s">
        <v>460</v>
      </c>
      <c r="G4489" s="23" t="s">
        <v>250</v>
      </c>
      <c r="H4489" s="39">
        <f t="shared" si="280"/>
        <v>1998</v>
      </c>
      <c r="I4489" s="23" t="str">
        <f t="shared" si="281"/>
        <v>Delhi</v>
      </c>
      <c r="J4489" s="23">
        <f>COUNTIFS(pg_transaction_cleaned!$O:$O,A4489,pg_transaction_cleaned!$F:$F,"CAPTURE")</f>
        <v>1</v>
      </c>
      <c r="K4489" s="39">
        <f>SUMIFS(pg_transaction_cleaned!$H:$H,pg_transaction_cleaned!$O:$O,A4489,pg_transaction_cleaned!$F:$F,"CAPTURE")</f>
        <v>1998</v>
      </c>
      <c r="L4489" s="23">
        <f>COUNTIFS(pg_transaction_cleaned!$O:$O,A4489,pg_transaction_cleaned!$F:$F,"REFUND")</f>
        <v>0</v>
      </c>
      <c r="M4489" s="39">
        <f>SUMIFS(pg_transaction_cleaned!$H:$H,pg_transaction_cleaned!$O:$O,A4489,pg_transaction_cleaned!$F:$F,"REFUND")</f>
        <v>0</v>
      </c>
      <c r="N4489" s="23" t="str">
        <f t="shared" si="282"/>
        <v>OK</v>
      </c>
      <c r="O4489" s="24">
        <f t="shared" si="283"/>
        <v>0</v>
      </c>
    </row>
    <row r="4490" spans="1:15" ht="15" customHeight="1" x14ac:dyDescent="0.3">
      <c r="A4490" s="23" t="s">
        <v>9450</v>
      </c>
      <c r="B4490" s="38">
        <v>46295</v>
      </c>
      <c r="C4490" s="23" t="s">
        <v>9451</v>
      </c>
      <c r="D4490" s="23" t="s">
        <v>92</v>
      </c>
      <c r="E4490" s="23" t="s">
        <v>75</v>
      </c>
      <c r="F4490" s="23" t="s">
        <v>499</v>
      </c>
      <c r="G4490" s="23" t="s">
        <v>250</v>
      </c>
      <c r="H4490" s="39">
        <f t="shared" si="280"/>
        <v>5998</v>
      </c>
      <c r="I4490" s="23" t="str">
        <f t="shared" si="281"/>
        <v>Hyderabad</v>
      </c>
      <c r="J4490" s="23">
        <f>COUNTIFS(pg_transaction_cleaned!$O:$O,A4490,pg_transaction_cleaned!$F:$F,"CAPTURE")</f>
        <v>1</v>
      </c>
      <c r="K4490" s="39">
        <f>SUMIFS(pg_transaction_cleaned!$H:$H,pg_transaction_cleaned!$O:$O,A4490,pg_transaction_cleaned!$F:$F,"CAPTURE")</f>
        <v>5998</v>
      </c>
      <c r="L4490" s="23">
        <f>COUNTIFS(pg_transaction_cleaned!$O:$O,A4490,pg_transaction_cleaned!$F:$F,"REFUND")</f>
        <v>0</v>
      </c>
      <c r="M4490" s="39">
        <f>SUMIFS(pg_transaction_cleaned!$H:$H,pg_transaction_cleaned!$O:$O,A4490,pg_transaction_cleaned!$F:$F,"REFUND")</f>
        <v>0</v>
      </c>
      <c r="N4490" s="23" t="str">
        <f t="shared" si="282"/>
        <v>OK</v>
      </c>
      <c r="O4490" s="24">
        <f t="shared" si="283"/>
        <v>0</v>
      </c>
    </row>
    <row r="4491" spans="1:15" ht="15" customHeight="1" x14ac:dyDescent="0.3">
      <c r="A4491" s="23" t="s">
        <v>9452</v>
      </c>
      <c r="B4491" s="38">
        <v>46268</v>
      </c>
      <c r="C4491" s="23" t="s">
        <v>9453</v>
      </c>
      <c r="D4491" s="23" t="s">
        <v>86</v>
      </c>
      <c r="E4491" s="23" t="s">
        <v>75</v>
      </c>
      <c r="F4491" s="23" t="s">
        <v>9454</v>
      </c>
      <c r="G4491" s="23" t="s">
        <v>250</v>
      </c>
      <c r="H4491" s="39">
        <f t="shared" si="280"/>
        <v>6847</v>
      </c>
      <c r="I4491" s="23" t="str">
        <f t="shared" si="281"/>
        <v>Delhi</v>
      </c>
      <c r="J4491" s="23">
        <f>COUNTIFS(pg_transaction_cleaned!$O:$O,A4491,pg_transaction_cleaned!$F:$F,"CAPTURE")</f>
        <v>1</v>
      </c>
      <c r="K4491" s="39">
        <f>SUMIFS(pg_transaction_cleaned!$H:$H,pg_transaction_cleaned!$O:$O,A4491,pg_transaction_cleaned!$F:$F,"CAPTURE")</f>
        <v>6847</v>
      </c>
      <c r="L4491" s="23">
        <f>COUNTIFS(pg_transaction_cleaned!$O:$O,A4491,pg_transaction_cleaned!$F:$F,"REFUND")</f>
        <v>0</v>
      </c>
      <c r="M4491" s="39">
        <f>SUMIFS(pg_transaction_cleaned!$H:$H,pg_transaction_cleaned!$O:$O,A4491,pg_transaction_cleaned!$F:$F,"REFUND")</f>
        <v>0</v>
      </c>
      <c r="N4491" s="23" t="str">
        <f t="shared" si="282"/>
        <v>OK</v>
      </c>
      <c r="O4491" s="24">
        <f t="shared" si="283"/>
        <v>0</v>
      </c>
    </row>
    <row r="4492" spans="1:15" ht="15" customHeight="1" x14ac:dyDescent="0.3">
      <c r="A4492" s="23" t="s">
        <v>9455</v>
      </c>
      <c r="B4492" s="38">
        <v>46279</v>
      </c>
      <c r="C4492" s="23" t="s">
        <v>4645</v>
      </c>
      <c r="D4492" s="23" t="s">
        <v>88</v>
      </c>
      <c r="E4492" s="23" t="s">
        <v>79</v>
      </c>
      <c r="F4492" s="23" t="s">
        <v>499</v>
      </c>
      <c r="G4492" s="23" t="s">
        <v>250</v>
      </c>
      <c r="H4492" s="39">
        <f t="shared" si="280"/>
        <v>5998</v>
      </c>
      <c r="I4492" s="23" t="str">
        <f t="shared" si="281"/>
        <v>Lucknow</v>
      </c>
      <c r="J4492" s="23">
        <f>COUNTIFS(pg_transaction_cleaned!$O:$O,A4492,pg_transaction_cleaned!$F:$F,"CAPTURE")</f>
        <v>1</v>
      </c>
      <c r="K4492" s="39">
        <f>SUMIFS(pg_transaction_cleaned!$H:$H,pg_transaction_cleaned!$O:$O,A4492,pg_transaction_cleaned!$F:$F,"CAPTURE")</f>
        <v>5998</v>
      </c>
      <c r="L4492" s="23">
        <f>COUNTIFS(pg_transaction_cleaned!$O:$O,A4492,pg_transaction_cleaned!$F:$F,"REFUND")</f>
        <v>0</v>
      </c>
      <c r="M4492" s="39">
        <f>SUMIFS(pg_transaction_cleaned!$H:$H,pg_transaction_cleaned!$O:$O,A4492,pg_transaction_cleaned!$F:$F,"REFUND")</f>
        <v>0</v>
      </c>
      <c r="N4492" s="23" t="str">
        <f t="shared" si="282"/>
        <v>OK</v>
      </c>
      <c r="O4492" s="24">
        <f t="shared" si="283"/>
        <v>0</v>
      </c>
    </row>
    <row r="4493" spans="1:15" ht="15" customHeight="1" x14ac:dyDescent="0.3">
      <c r="A4493" s="23" t="s">
        <v>9456</v>
      </c>
      <c r="B4493" s="38">
        <v>46285</v>
      </c>
      <c r="C4493" s="23" t="s">
        <v>9457</v>
      </c>
      <c r="D4493" s="23" t="s">
        <v>94</v>
      </c>
      <c r="E4493" s="23" t="s">
        <v>75</v>
      </c>
      <c r="F4493" s="23" t="s">
        <v>256</v>
      </c>
      <c r="G4493" s="23" t="s">
        <v>250</v>
      </c>
      <c r="H4493" s="39">
        <f t="shared" si="280"/>
        <v>2098</v>
      </c>
      <c r="I4493" s="23" t="str">
        <f t="shared" si="281"/>
        <v>Chennai</v>
      </c>
      <c r="J4493" s="23">
        <f>COUNTIFS(pg_transaction_cleaned!$O:$O,A4493,pg_transaction_cleaned!$F:$F,"CAPTURE")</f>
        <v>1</v>
      </c>
      <c r="K4493" s="39">
        <f>SUMIFS(pg_transaction_cleaned!$H:$H,pg_transaction_cleaned!$O:$O,A4493,pg_transaction_cleaned!$F:$F,"CAPTURE")</f>
        <v>2098</v>
      </c>
      <c r="L4493" s="23">
        <f>COUNTIFS(pg_transaction_cleaned!$O:$O,A4493,pg_transaction_cleaned!$F:$F,"REFUND")</f>
        <v>0</v>
      </c>
      <c r="M4493" s="39">
        <f>SUMIFS(pg_transaction_cleaned!$H:$H,pg_transaction_cleaned!$O:$O,A4493,pg_transaction_cleaned!$F:$F,"REFUND")</f>
        <v>0</v>
      </c>
      <c r="N4493" s="23" t="str">
        <f t="shared" si="282"/>
        <v>OK</v>
      </c>
      <c r="O4493" s="24">
        <f t="shared" si="283"/>
        <v>0</v>
      </c>
    </row>
    <row r="4494" spans="1:15" ht="15" customHeight="1" x14ac:dyDescent="0.3">
      <c r="A4494" s="23" t="s">
        <v>9458</v>
      </c>
      <c r="B4494" s="38">
        <v>46291</v>
      </c>
      <c r="C4494" s="23" t="s">
        <v>9459</v>
      </c>
      <c r="D4494" s="23" t="s">
        <v>92</v>
      </c>
      <c r="E4494" s="23" t="s">
        <v>79</v>
      </c>
      <c r="F4494" s="23" t="s">
        <v>274</v>
      </c>
      <c r="G4494" s="23" t="s">
        <v>250</v>
      </c>
      <c r="H4494" s="39">
        <f t="shared" si="280"/>
        <v>349</v>
      </c>
      <c r="I4494" s="23" t="str">
        <f t="shared" si="281"/>
        <v>Hyderabad</v>
      </c>
      <c r="J4494" s="23">
        <f>COUNTIFS(pg_transaction_cleaned!$O:$O,A4494,pg_transaction_cleaned!$F:$F,"CAPTURE")</f>
        <v>1</v>
      </c>
      <c r="K4494" s="39">
        <f>SUMIFS(pg_transaction_cleaned!$H:$H,pg_transaction_cleaned!$O:$O,A4494,pg_transaction_cleaned!$F:$F,"CAPTURE")</f>
        <v>349</v>
      </c>
      <c r="L4494" s="23">
        <f>COUNTIFS(pg_transaction_cleaned!$O:$O,A4494,pg_transaction_cleaned!$F:$F,"REFUND")</f>
        <v>0</v>
      </c>
      <c r="M4494" s="39">
        <f>SUMIFS(pg_transaction_cleaned!$H:$H,pg_transaction_cleaned!$O:$O,A4494,pg_transaction_cleaned!$F:$F,"REFUND")</f>
        <v>0</v>
      </c>
      <c r="N4494" s="23" t="str">
        <f t="shared" si="282"/>
        <v>OK</v>
      </c>
      <c r="O4494" s="24">
        <f t="shared" si="283"/>
        <v>0</v>
      </c>
    </row>
    <row r="4495" spans="1:15" ht="15" customHeight="1" x14ac:dyDescent="0.3">
      <c r="A4495" s="23" t="s">
        <v>9460</v>
      </c>
      <c r="B4495" s="38">
        <v>46294</v>
      </c>
      <c r="C4495" s="23" t="s">
        <v>9461</v>
      </c>
      <c r="D4495" s="23" t="s">
        <v>95</v>
      </c>
      <c r="E4495" s="23" t="s">
        <v>75</v>
      </c>
      <c r="F4495" s="23" t="s">
        <v>271</v>
      </c>
      <c r="G4495" s="23" t="s">
        <v>250</v>
      </c>
      <c r="H4495" s="39">
        <f t="shared" si="280"/>
        <v>2499</v>
      </c>
      <c r="I4495" s="23" t="str">
        <f t="shared" si="281"/>
        <v>Bengaluru</v>
      </c>
      <c r="J4495" s="23">
        <f>COUNTIFS(pg_transaction_cleaned!$O:$O,A4495,pg_transaction_cleaned!$F:$F,"CAPTURE")</f>
        <v>1</v>
      </c>
      <c r="K4495" s="39">
        <f>SUMIFS(pg_transaction_cleaned!$H:$H,pg_transaction_cleaned!$O:$O,A4495,pg_transaction_cleaned!$F:$F,"CAPTURE")</f>
        <v>2499</v>
      </c>
      <c r="L4495" s="23">
        <f>COUNTIFS(pg_transaction_cleaned!$O:$O,A4495,pg_transaction_cleaned!$F:$F,"REFUND")</f>
        <v>0</v>
      </c>
      <c r="M4495" s="39">
        <f>SUMIFS(pg_transaction_cleaned!$H:$H,pg_transaction_cleaned!$O:$O,A4495,pg_transaction_cleaned!$F:$F,"REFUND")</f>
        <v>0</v>
      </c>
      <c r="N4495" s="23" t="str">
        <f t="shared" si="282"/>
        <v>OK</v>
      </c>
      <c r="O4495" s="24">
        <f t="shared" si="283"/>
        <v>0</v>
      </c>
    </row>
    <row r="4496" spans="1:15" ht="15" customHeight="1" x14ac:dyDescent="0.3">
      <c r="A4496" s="23" t="s">
        <v>9462</v>
      </c>
      <c r="B4496" s="38">
        <v>46295</v>
      </c>
      <c r="C4496" s="23" t="s">
        <v>9463</v>
      </c>
      <c r="D4496" s="23" t="s">
        <v>86</v>
      </c>
      <c r="E4496" s="23" t="s">
        <v>75</v>
      </c>
      <c r="F4496" s="23" t="s">
        <v>9464</v>
      </c>
      <c r="G4496" s="23" t="s">
        <v>250</v>
      </c>
      <c r="H4496" s="39">
        <f t="shared" si="280"/>
        <v>5597</v>
      </c>
      <c r="I4496" s="23" t="str">
        <f t="shared" si="281"/>
        <v>Delhi</v>
      </c>
      <c r="J4496" s="23">
        <f>COUNTIFS(pg_transaction_cleaned!$O:$O,A4496,pg_transaction_cleaned!$F:$F,"CAPTURE")</f>
        <v>1</v>
      </c>
      <c r="K4496" s="39">
        <f>SUMIFS(pg_transaction_cleaned!$H:$H,pg_transaction_cleaned!$O:$O,A4496,pg_transaction_cleaned!$F:$F,"CAPTURE")</f>
        <v>5597</v>
      </c>
      <c r="L4496" s="23">
        <f>COUNTIFS(pg_transaction_cleaned!$O:$O,A4496,pg_transaction_cleaned!$F:$F,"REFUND")</f>
        <v>0</v>
      </c>
      <c r="M4496" s="39">
        <f>SUMIFS(pg_transaction_cleaned!$H:$H,pg_transaction_cleaned!$O:$O,A4496,pg_transaction_cleaned!$F:$F,"REFUND")</f>
        <v>0</v>
      </c>
      <c r="N4496" s="23" t="str">
        <f t="shared" si="282"/>
        <v>OK</v>
      </c>
      <c r="O4496" s="24">
        <f t="shared" si="283"/>
        <v>0</v>
      </c>
    </row>
    <row r="4497" spans="1:15" ht="15" customHeight="1" x14ac:dyDescent="0.3">
      <c r="A4497" s="23" t="s">
        <v>9465</v>
      </c>
      <c r="B4497" s="38">
        <v>46267</v>
      </c>
      <c r="C4497" s="23" t="s">
        <v>9466</v>
      </c>
      <c r="D4497" s="23" t="s">
        <v>94</v>
      </c>
      <c r="E4497" s="23" t="s">
        <v>81</v>
      </c>
      <c r="F4497" s="23" t="s">
        <v>1035</v>
      </c>
      <c r="G4497" s="23" t="s">
        <v>250</v>
      </c>
      <c r="H4497" s="39">
        <f t="shared" si="280"/>
        <v>1299</v>
      </c>
      <c r="I4497" s="23" t="str">
        <f t="shared" si="281"/>
        <v>Chennai</v>
      </c>
      <c r="J4497" s="23">
        <f>COUNTIFS(pg_transaction_cleaned!$O:$O,A4497,pg_transaction_cleaned!$F:$F,"CAPTURE")</f>
        <v>1</v>
      </c>
      <c r="K4497" s="39">
        <f>SUMIFS(pg_transaction_cleaned!$H:$H,pg_transaction_cleaned!$O:$O,A4497,pg_transaction_cleaned!$F:$F,"CAPTURE")</f>
        <v>1299</v>
      </c>
      <c r="L4497" s="23">
        <f>COUNTIFS(pg_transaction_cleaned!$O:$O,A4497,pg_transaction_cleaned!$F:$F,"REFUND")</f>
        <v>0</v>
      </c>
      <c r="M4497" s="39">
        <f>SUMIFS(pg_transaction_cleaned!$H:$H,pg_transaction_cleaned!$O:$O,A4497,pg_transaction_cleaned!$F:$F,"REFUND")</f>
        <v>0</v>
      </c>
      <c r="N4497" s="23" t="str">
        <f t="shared" si="282"/>
        <v>OK</v>
      </c>
      <c r="O4497" s="24">
        <f t="shared" si="283"/>
        <v>0</v>
      </c>
    </row>
    <row r="4498" spans="1:15" ht="15" customHeight="1" x14ac:dyDescent="0.3">
      <c r="A4498" s="23" t="s">
        <v>9467</v>
      </c>
      <c r="B4498" s="38">
        <v>46284</v>
      </c>
      <c r="C4498" s="23" t="s">
        <v>9468</v>
      </c>
      <c r="D4498" s="23" t="s">
        <v>86</v>
      </c>
      <c r="E4498" s="23" t="s">
        <v>77</v>
      </c>
      <c r="F4498" s="23" t="s">
        <v>499</v>
      </c>
      <c r="G4498" s="23" t="s">
        <v>250</v>
      </c>
      <c r="H4498" s="39">
        <f t="shared" si="280"/>
        <v>5998</v>
      </c>
      <c r="I4498" s="23" t="str">
        <f t="shared" si="281"/>
        <v>Delhi</v>
      </c>
      <c r="J4498" s="23">
        <f>COUNTIFS(pg_transaction_cleaned!$O:$O,A4498,pg_transaction_cleaned!$F:$F,"CAPTURE")</f>
        <v>1</v>
      </c>
      <c r="K4498" s="39">
        <f>SUMIFS(pg_transaction_cleaned!$H:$H,pg_transaction_cleaned!$O:$O,A4498,pg_transaction_cleaned!$F:$F,"CAPTURE")</f>
        <v>5998</v>
      </c>
      <c r="L4498" s="23">
        <f>COUNTIFS(pg_transaction_cleaned!$O:$O,A4498,pg_transaction_cleaned!$F:$F,"REFUND")</f>
        <v>0</v>
      </c>
      <c r="M4498" s="39">
        <f>SUMIFS(pg_transaction_cleaned!$H:$H,pg_transaction_cleaned!$O:$O,A4498,pg_transaction_cleaned!$F:$F,"REFUND")</f>
        <v>0</v>
      </c>
      <c r="N4498" s="23" t="str">
        <f t="shared" si="282"/>
        <v>OK</v>
      </c>
      <c r="O4498" s="24">
        <f t="shared" si="283"/>
        <v>0</v>
      </c>
    </row>
    <row r="4499" spans="1:15" ht="15" customHeight="1" x14ac:dyDescent="0.3">
      <c r="A4499" s="23" t="s">
        <v>9469</v>
      </c>
      <c r="B4499" s="38">
        <v>46282</v>
      </c>
      <c r="C4499" s="23" t="s">
        <v>9470</v>
      </c>
      <c r="D4499" s="23" t="s">
        <v>88</v>
      </c>
      <c r="E4499" s="23" t="s">
        <v>79</v>
      </c>
      <c r="F4499" s="23" t="s">
        <v>297</v>
      </c>
      <c r="G4499" s="23" t="s">
        <v>250</v>
      </c>
      <c r="H4499" s="39">
        <f t="shared" si="280"/>
        <v>4999</v>
      </c>
      <c r="I4499" s="23" t="str">
        <f t="shared" si="281"/>
        <v>Lucknow</v>
      </c>
      <c r="J4499" s="23">
        <f>COUNTIFS(pg_transaction_cleaned!$O:$O,A4499,pg_transaction_cleaned!$F:$F,"CAPTURE")</f>
        <v>1</v>
      </c>
      <c r="K4499" s="39">
        <f>SUMIFS(pg_transaction_cleaned!$H:$H,pg_transaction_cleaned!$O:$O,A4499,pg_transaction_cleaned!$F:$F,"CAPTURE")</f>
        <v>4999</v>
      </c>
      <c r="L4499" s="23">
        <f>COUNTIFS(pg_transaction_cleaned!$O:$O,A4499,pg_transaction_cleaned!$F:$F,"REFUND")</f>
        <v>0</v>
      </c>
      <c r="M4499" s="39">
        <f>SUMIFS(pg_transaction_cleaned!$H:$H,pg_transaction_cleaned!$O:$O,A4499,pg_transaction_cleaned!$F:$F,"REFUND")</f>
        <v>0</v>
      </c>
      <c r="N4499" s="23" t="str">
        <f t="shared" si="282"/>
        <v>OK</v>
      </c>
      <c r="O4499" s="24">
        <f t="shared" si="283"/>
        <v>0</v>
      </c>
    </row>
    <row r="4500" spans="1:15" ht="15" customHeight="1" x14ac:dyDescent="0.3">
      <c r="A4500" s="23" t="s">
        <v>9471</v>
      </c>
      <c r="B4500" s="38">
        <v>46271</v>
      </c>
      <c r="C4500" s="23" t="s">
        <v>9472</v>
      </c>
      <c r="D4500" s="23" t="s">
        <v>92</v>
      </c>
      <c r="E4500" s="23" t="s">
        <v>79</v>
      </c>
      <c r="F4500" s="23" t="s">
        <v>300</v>
      </c>
      <c r="G4500" s="23" t="s">
        <v>250</v>
      </c>
      <c r="H4500" s="39">
        <f t="shared" si="280"/>
        <v>2598</v>
      </c>
      <c r="I4500" s="23" t="str">
        <f t="shared" si="281"/>
        <v>Hyderabad</v>
      </c>
      <c r="J4500" s="23">
        <f>COUNTIFS(pg_transaction_cleaned!$O:$O,A4500,pg_transaction_cleaned!$F:$F,"CAPTURE")</f>
        <v>1</v>
      </c>
      <c r="K4500" s="39">
        <f>SUMIFS(pg_transaction_cleaned!$H:$H,pg_transaction_cleaned!$O:$O,A4500,pg_transaction_cleaned!$F:$F,"CAPTURE")</f>
        <v>2598</v>
      </c>
      <c r="L4500" s="23">
        <f>COUNTIFS(pg_transaction_cleaned!$O:$O,A4500,pg_transaction_cleaned!$F:$F,"REFUND")</f>
        <v>0</v>
      </c>
      <c r="M4500" s="39">
        <f>SUMIFS(pg_transaction_cleaned!$H:$H,pg_transaction_cleaned!$O:$O,A4500,pg_transaction_cleaned!$F:$F,"REFUND")</f>
        <v>0</v>
      </c>
      <c r="N4500" s="23" t="str">
        <f t="shared" si="282"/>
        <v>OK</v>
      </c>
      <c r="O4500" s="24">
        <f t="shared" si="283"/>
        <v>0</v>
      </c>
    </row>
    <row r="4501" spans="1:15" ht="15" customHeight="1" x14ac:dyDescent="0.3">
      <c r="A4501" s="23" t="s">
        <v>9473</v>
      </c>
      <c r="B4501" s="38">
        <v>46279</v>
      </c>
      <c r="C4501" s="23" t="s">
        <v>9474</v>
      </c>
      <c r="D4501" s="23" t="s">
        <v>92</v>
      </c>
      <c r="E4501" s="23" t="s">
        <v>81</v>
      </c>
      <c r="F4501" s="23" t="s">
        <v>9364</v>
      </c>
      <c r="G4501" s="23" t="s">
        <v>250</v>
      </c>
      <c r="H4501" s="39">
        <f t="shared" si="280"/>
        <v>4147</v>
      </c>
      <c r="I4501" s="23" t="str">
        <f t="shared" si="281"/>
        <v>Hyderabad</v>
      </c>
      <c r="J4501" s="23">
        <f>COUNTIFS(pg_transaction_cleaned!$O:$O,A4501,pg_transaction_cleaned!$F:$F,"CAPTURE")</f>
        <v>1</v>
      </c>
      <c r="K4501" s="39">
        <f>SUMIFS(pg_transaction_cleaned!$H:$H,pg_transaction_cleaned!$O:$O,A4501,pg_transaction_cleaned!$F:$F,"CAPTURE")</f>
        <v>4147</v>
      </c>
      <c r="L4501" s="23">
        <f>COUNTIFS(pg_transaction_cleaned!$O:$O,A4501,pg_transaction_cleaned!$F:$F,"REFUND")</f>
        <v>0</v>
      </c>
      <c r="M4501" s="39">
        <f>SUMIFS(pg_transaction_cleaned!$H:$H,pg_transaction_cleaned!$O:$O,A4501,pg_transaction_cleaned!$F:$F,"REFUND")</f>
        <v>0</v>
      </c>
      <c r="N4501" s="23" t="str">
        <f t="shared" si="282"/>
        <v>OK</v>
      </c>
      <c r="O4501" s="24">
        <f t="shared" si="283"/>
        <v>0</v>
      </c>
    </row>
    <row r="4502" spans="1:15" ht="15" customHeight="1" x14ac:dyDescent="0.3">
      <c r="A4502" s="23" t="s">
        <v>9475</v>
      </c>
      <c r="B4502" s="38">
        <v>46266</v>
      </c>
      <c r="C4502" s="23" t="s">
        <v>9476</v>
      </c>
      <c r="D4502" s="23" t="s">
        <v>94</v>
      </c>
      <c r="E4502" s="23" t="s">
        <v>79</v>
      </c>
      <c r="F4502" s="23" t="s">
        <v>329</v>
      </c>
      <c r="G4502" s="23" t="s">
        <v>365</v>
      </c>
      <c r="H4502" s="39">
        <f t="shared" si="280"/>
        <v>599</v>
      </c>
      <c r="I4502" s="23" t="str">
        <f t="shared" si="281"/>
        <v>Chennai</v>
      </c>
      <c r="J4502" s="23">
        <f>COUNTIFS(pg_transaction_cleaned!$O:$O,A4502,pg_transaction_cleaned!$F:$F,"CAPTURE")</f>
        <v>0</v>
      </c>
      <c r="K4502" s="39">
        <f>SUMIFS(pg_transaction_cleaned!$H:$H,pg_transaction_cleaned!$O:$O,A4502,pg_transaction_cleaned!$F:$F,"CAPTURE")</f>
        <v>0</v>
      </c>
      <c r="L4502" s="23">
        <f>COUNTIFS(pg_transaction_cleaned!$O:$O,A4502,pg_transaction_cleaned!$F:$F,"REFUND")</f>
        <v>0</v>
      </c>
      <c r="M4502" s="39">
        <f>SUMIFS(pg_transaction_cleaned!$H:$H,pg_transaction_cleaned!$O:$O,A4502,pg_transaction_cleaned!$F:$F,"REFUND")</f>
        <v>0</v>
      </c>
      <c r="N4502" s="23" t="str">
        <f t="shared" si="282"/>
        <v>OK</v>
      </c>
      <c r="O4502" s="24">
        <f t="shared" si="283"/>
        <v>0</v>
      </c>
    </row>
    <row r="4503" spans="1:15" ht="15" customHeight="1" x14ac:dyDescent="0.3">
      <c r="A4503" s="23" t="s">
        <v>9477</v>
      </c>
      <c r="B4503" s="38">
        <v>46293</v>
      </c>
      <c r="C4503" s="23" t="s">
        <v>9478</v>
      </c>
      <c r="D4503" s="23" t="s">
        <v>93</v>
      </c>
      <c r="E4503" s="23" t="s">
        <v>75</v>
      </c>
      <c r="F4503" s="23" t="s">
        <v>315</v>
      </c>
      <c r="G4503" s="23" t="s">
        <v>250</v>
      </c>
      <c r="H4503" s="39">
        <f t="shared" si="280"/>
        <v>1499</v>
      </c>
      <c r="I4503" s="23" t="str">
        <f t="shared" si="281"/>
        <v>Kolkata</v>
      </c>
      <c r="J4503" s="23">
        <f>COUNTIFS(pg_transaction_cleaned!$O:$O,A4503,pg_transaction_cleaned!$F:$F,"CAPTURE")</f>
        <v>1</v>
      </c>
      <c r="K4503" s="39">
        <f>SUMIFS(pg_transaction_cleaned!$H:$H,pg_transaction_cleaned!$O:$O,A4503,pg_transaction_cleaned!$F:$F,"CAPTURE")</f>
        <v>1499</v>
      </c>
      <c r="L4503" s="23">
        <f>COUNTIFS(pg_transaction_cleaned!$O:$O,A4503,pg_transaction_cleaned!$F:$F,"REFUND")</f>
        <v>0</v>
      </c>
      <c r="M4503" s="39">
        <f>SUMIFS(pg_transaction_cleaned!$H:$H,pg_transaction_cleaned!$O:$O,A4503,pg_transaction_cleaned!$F:$F,"REFUND")</f>
        <v>0</v>
      </c>
      <c r="N4503" s="23" t="str">
        <f t="shared" si="282"/>
        <v>OK</v>
      </c>
      <c r="O4503" s="24">
        <f t="shared" si="283"/>
        <v>0</v>
      </c>
    </row>
    <row r="4504" spans="1:15" ht="15" customHeight="1" x14ac:dyDescent="0.3">
      <c r="A4504" s="23" t="s">
        <v>9479</v>
      </c>
      <c r="B4504" s="38">
        <v>46278</v>
      </c>
      <c r="C4504" s="23" t="s">
        <v>9480</v>
      </c>
      <c r="D4504" s="23" t="s">
        <v>94</v>
      </c>
      <c r="E4504" s="23" t="s">
        <v>75</v>
      </c>
      <c r="F4504" s="23" t="s">
        <v>1220</v>
      </c>
      <c r="G4504" s="23" t="s">
        <v>250</v>
      </c>
      <c r="H4504" s="39">
        <f t="shared" si="280"/>
        <v>2847</v>
      </c>
      <c r="I4504" s="23" t="str">
        <f t="shared" si="281"/>
        <v>Chennai</v>
      </c>
      <c r="J4504" s="23">
        <f>COUNTIFS(pg_transaction_cleaned!$O:$O,A4504,pg_transaction_cleaned!$F:$F,"CAPTURE")</f>
        <v>1</v>
      </c>
      <c r="K4504" s="39">
        <f>SUMIFS(pg_transaction_cleaned!$H:$H,pg_transaction_cleaned!$O:$O,A4504,pg_transaction_cleaned!$F:$F,"CAPTURE")</f>
        <v>2847</v>
      </c>
      <c r="L4504" s="23">
        <f>COUNTIFS(pg_transaction_cleaned!$O:$O,A4504,pg_transaction_cleaned!$F:$F,"REFUND")</f>
        <v>0</v>
      </c>
      <c r="M4504" s="39">
        <f>SUMIFS(pg_transaction_cleaned!$H:$H,pg_transaction_cleaned!$O:$O,A4504,pg_transaction_cleaned!$F:$F,"REFUND")</f>
        <v>0</v>
      </c>
      <c r="N4504" s="23" t="str">
        <f t="shared" si="282"/>
        <v>OK</v>
      </c>
      <c r="O4504" s="24">
        <f t="shared" si="283"/>
        <v>0</v>
      </c>
    </row>
    <row r="4505" spans="1:15" ht="15" customHeight="1" x14ac:dyDescent="0.3">
      <c r="A4505" s="23" t="s">
        <v>9481</v>
      </c>
      <c r="B4505" s="38">
        <v>46273</v>
      </c>
      <c r="C4505" s="23" t="s">
        <v>7813</v>
      </c>
      <c r="D4505" s="23" t="s">
        <v>92</v>
      </c>
      <c r="E4505" s="23" t="s">
        <v>77</v>
      </c>
      <c r="F4505" s="23" t="s">
        <v>349</v>
      </c>
      <c r="G4505" s="23" t="s">
        <v>250</v>
      </c>
      <c r="H4505" s="39">
        <f t="shared" si="280"/>
        <v>1798</v>
      </c>
      <c r="I4505" s="23" t="str">
        <f t="shared" si="281"/>
        <v>Hyderabad</v>
      </c>
      <c r="J4505" s="23">
        <f>COUNTIFS(pg_transaction_cleaned!$O:$O,A4505,pg_transaction_cleaned!$F:$F,"CAPTURE")</f>
        <v>1</v>
      </c>
      <c r="K4505" s="39">
        <f>SUMIFS(pg_transaction_cleaned!$H:$H,pg_transaction_cleaned!$O:$O,A4505,pg_transaction_cleaned!$F:$F,"CAPTURE")</f>
        <v>1798</v>
      </c>
      <c r="L4505" s="23">
        <f>COUNTIFS(pg_transaction_cleaned!$O:$O,A4505,pg_transaction_cleaned!$F:$F,"REFUND")</f>
        <v>0</v>
      </c>
      <c r="M4505" s="39">
        <f>SUMIFS(pg_transaction_cleaned!$H:$H,pg_transaction_cleaned!$O:$O,A4505,pg_transaction_cleaned!$F:$F,"REFUND")</f>
        <v>0</v>
      </c>
      <c r="N4505" s="23" t="str">
        <f t="shared" si="282"/>
        <v>OK</v>
      </c>
      <c r="O4505" s="24">
        <f t="shared" si="283"/>
        <v>0</v>
      </c>
    </row>
    <row r="4506" spans="1:15" ht="15" customHeight="1" x14ac:dyDescent="0.3">
      <c r="A4506" s="23" t="s">
        <v>9482</v>
      </c>
      <c r="B4506" s="38">
        <v>46295</v>
      </c>
      <c r="C4506" s="23" t="s">
        <v>9483</v>
      </c>
      <c r="D4506" s="23" t="s">
        <v>94</v>
      </c>
      <c r="E4506" s="23" t="s">
        <v>75</v>
      </c>
      <c r="F4506" s="23" t="s">
        <v>2837</v>
      </c>
      <c r="G4506" s="23" t="s">
        <v>250</v>
      </c>
      <c r="H4506" s="39">
        <f t="shared" si="280"/>
        <v>12297</v>
      </c>
      <c r="I4506" s="23" t="str">
        <f t="shared" si="281"/>
        <v>Chennai</v>
      </c>
      <c r="J4506" s="23">
        <f>COUNTIFS(pg_transaction_cleaned!$O:$O,A4506,pg_transaction_cleaned!$F:$F,"CAPTURE")</f>
        <v>1</v>
      </c>
      <c r="K4506" s="39">
        <f>SUMIFS(pg_transaction_cleaned!$H:$H,pg_transaction_cleaned!$O:$O,A4506,pg_transaction_cleaned!$F:$F,"CAPTURE")</f>
        <v>12297</v>
      </c>
      <c r="L4506" s="23">
        <f>COUNTIFS(pg_transaction_cleaned!$O:$O,A4506,pg_transaction_cleaned!$F:$F,"REFUND")</f>
        <v>0</v>
      </c>
      <c r="M4506" s="39">
        <f>SUMIFS(pg_transaction_cleaned!$H:$H,pg_transaction_cleaned!$O:$O,A4506,pg_transaction_cleaned!$F:$F,"REFUND")</f>
        <v>0</v>
      </c>
      <c r="N4506" s="23" t="str">
        <f t="shared" si="282"/>
        <v>OK</v>
      </c>
      <c r="O4506" s="24">
        <f t="shared" si="283"/>
        <v>0</v>
      </c>
    </row>
    <row r="4507" spans="1:15" ht="15" customHeight="1" x14ac:dyDescent="0.3">
      <c r="A4507" s="23" t="s">
        <v>9484</v>
      </c>
      <c r="B4507" s="38">
        <v>46289</v>
      </c>
      <c r="C4507" s="23" t="s">
        <v>9485</v>
      </c>
      <c r="D4507" s="23" t="s">
        <v>88</v>
      </c>
      <c r="E4507" s="23" t="s">
        <v>81</v>
      </c>
      <c r="F4507" s="23" t="s">
        <v>268</v>
      </c>
      <c r="G4507" s="23" t="s">
        <v>365</v>
      </c>
      <c r="H4507" s="39">
        <f t="shared" si="280"/>
        <v>1299</v>
      </c>
      <c r="I4507" s="23" t="str">
        <f t="shared" si="281"/>
        <v>Lucknow</v>
      </c>
      <c r="J4507" s="23">
        <f>COUNTIFS(pg_transaction_cleaned!$O:$O,A4507,pg_transaction_cleaned!$F:$F,"CAPTURE")</f>
        <v>0</v>
      </c>
      <c r="K4507" s="39">
        <f>SUMIFS(pg_transaction_cleaned!$H:$H,pg_transaction_cleaned!$O:$O,A4507,pg_transaction_cleaned!$F:$F,"CAPTURE")</f>
        <v>0</v>
      </c>
      <c r="L4507" s="23">
        <f>COUNTIFS(pg_transaction_cleaned!$O:$O,A4507,pg_transaction_cleaned!$F:$F,"REFUND")</f>
        <v>0</v>
      </c>
      <c r="M4507" s="39">
        <f>SUMIFS(pg_transaction_cleaned!$H:$H,pg_transaction_cleaned!$O:$O,A4507,pg_transaction_cleaned!$F:$F,"REFUND")</f>
        <v>0</v>
      </c>
      <c r="N4507" s="23" t="str">
        <f t="shared" si="282"/>
        <v>OK</v>
      </c>
      <c r="O4507" s="24">
        <f t="shared" si="283"/>
        <v>0</v>
      </c>
    </row>
    <row r="4508" spans="1:15" ht="15" customHeight="1" x14ac:dyDescent="0.3">
      <c r="A4508" s="23" t="s">
        <v>9486</v>
      </c>
      <c r="B4508" s="38">
        <v>46284</v>
      </c>
      <c r="C4508" s="23" t="s">
        <v>9487</v>
      </c>
      <c r="D4508" s="23" t="s">
        <v>94</v>
      </c>
      <c r="E4508" s="23" t="s">
        <v>75</v>
      </c>
      <c r="F4508" s="23" t="s">
        <v>274</v>
      </c>
      <c r="G4508" s="23" t="s">
        <v>250</v>
      </c>
      <c r="H4508" s="39">
        <f t="shared" si="280"/>
        <v>349</v>
      </c>
      <c r="I4508" s="23" t="str">
        <f t="shared" si="281"/>
        <v>Chennai</v>
      </c>
      <c r="J4508" s="23">
        <f>COUNTIFS(pg_transaction_cleaned!$O:$O,A4508,pg_transaction_cleaned!$F:$F,"CAPTURE")</f>
        <v>1</v>
      </c>
      <c r="K4508" s="39">
        <f>SUMIFS(pg_transaction_cleaned!$H:$H,pg_transaction_cleaned!$O:$O,A4508,pg_transaction_cleaned!$F:$F,"CAPTURE")</f>
        <v>349</v>
      </c>
      <c r="L4508" s="23">
        <f>COUNTIFS(pg_transaction_cleaned!$O:$O,A4508,pg_transaction_cleaned!$F:$F,"REFUND")</f>
        <v>0</v>
      </c>
      <c r="M4508" s="39">
        <f>SUMIFS(pg_transaction_cleaned!$H:$H,pg_transaction_cleaned!$O:$O,A4508,pg_transaction_cleaned!$F:$F,"REFUND")</f>
        <v>0</v>
      </c>
      <c r="N4508" s="23" t="str">
        <f t="shared" si="282"/>
        <v>OK</v>
      </c>
      <c r="O4508" s="24">
        <f t="shared" si="283"/>
        <v>0</v>
      </c>
    </row>
    <row r="4509" spans="1:15" ht="15" customHeight="1" x14ac:dyDescent="0.3">
      <c r="A4509" s="23" t="s">
        <v>9488</v>
      </c>
      <c r="B4509" s="38">
        <v>46279</v>
      </c>
      <c r="C4509" s="23" t="s">
        <v>9489</v>
      </c>
      <c r="D4509" s="23" t="s">
        <v>94</v>
      </c>
      <c r="E4509" s="23" t="s">
        <v>75</v>
      </c>
      <c r="F4509" s="23" t="s">
        <v>514</v>
      </c>
      <c r="G4509" s="23" t="s">
        <v>365</v>
      </c>
      <c r="H4509" s="39">
        <f t="shared" si="280"/>
        <v>6498</v>
      </c>
      <c r="I4509" s="23" t="str">
        <f t="shared" si="281"/>
        <v>Chennai</v>
      </c>
      <c r="J4509" s="23">
        <f>COUNTIFS(pg_transaction_cleaned!$O:$O,A4509,pg_transaction_cleaned!$F:$F,"CAPTURE")</f>
        <v>0</v>
      </c>
      <c r="K4509" s="39">
        <f>SUMIFS(pg_transaction_cleaned!$H:$H,pg_transaction_cleaned!$O:$O,A4509,pg_transaction_cleaned!$F:$F,"CAPTURE")</f>
        <v>0</v>
      </c>
      <c r="L4509" s="23">
        <f>COUNTIFS(pg_transaction_cleaned!$O:$O,A4509,pg_transaction_cleaned!$F:$F,"REFUND")</f>
        <v>0</v>
      </c>
      <c r="M4509" s="39">
        <f>SUMIFS(pg_transaction_cleaned!$H:$H,pg_transaction_cleaned!$O:$O,A4509,pg_transaction_cleaned!$F:$F,"REFUND")</f>
        <v>0</v>
      </c>
      <c r="N4509" s="23" t="str">
        <f t="shared" si="282"/>
        <v>OK</v>
      </c>
      <c r="O4509" s="24">
        <f t="shared" si="283"/>
        <v>0</v>
      </c>
    </row>
    <row r="4510" spans="1:15" ht="15" customHeight="1" x14ac:dyDescent="0.3">
      <c r="A4510" s="23" t="s">
        <v>9490</v>
      </c>
      <c r="B4510" s="38">
        <v>46289</v>
      </c>
      <c r="C4510" s="23" t="s">
        <v>9491</v>
      </c>
      <c r="D4510" s="23" t="s">
        <v>94</v>
      </c>
      <c r="E4510" s="23" t="s">
        <v>81</v>
      </c>
      <c r="F4510" s="23" t="s">
        <v>262</v>
      </c>
      <c r="G4510" s="23" t="s">
        <v>301</v>
      </c>
      <c r="H4510" s="39">
        <f t="shared" si="280"/>
        <v>499</v>
      </c>
      <c r="I4510" s="23" t="str">
        <f t="shared" si="281"/>
        <v>Chennai</v>
      </c>
      <c r="J4510" s="23">
        <f>COUNTIFS(pg_transaction_cleaned!$O:$O,A4510,pg_transaction_cleaned!$F:$F,"CAPTURE")</f>
        <v>1</v>
      </c>
      <c r="K4510" s="39">
        <f>SUMIFS(pg_transaction_cleaned!$H:$H,pg_transaction_cleaned!$O:$O,A4510,pg_transaction_cleaned!$F:$F,"CAPTURE")</f>
        <v>499</v>
      </c>
      <c r="L4510" s="23">
        <f>COUNTIFS(pg_transaction_cleaned!$O:$O,A4510,pg_transaction_cleaned!$F:$F,"REFUND")</f>
        <v>1</v>
      </c>
      <c r="M4510" s="39">
        <f>SUMIFS(pg_transaction_cleaned!$H:$H,pg_transaction_cleaned!$O:$O,A4510,pg_transaction_cleaned!$F:$F,"REFUND")</f>
        <v>499</v>
      </c>
      <c r="N4510" s="23" t="str">
        <f t="shared" si="282"/>
        <v>OK</v>
      </c>
      <c r="O4510" s="24">
        <f t="shared" si="283"/>
        <v>0</v>
      </c>
    </row>
    <row r="4511" spans="1:15" ht="15" customHeight="1" x14ac:dyDescent="0.3">
      <c r="A4511" s="23" t="s">
        <v>9492</v>
      </c>
      <c r="B4511" s="38">
        <v>46289</v>
      </c>
      <c r="C4511" s="23" t="s">
        <v>9493</v>
      </c>
      <c r="D4511" s="23" t="s">
        <v>90</v>
      </c>
      <c r="E4511" s="23" t="s">
        <v>81</v>
      </c>
      <c r="F4511" s="23" t="s">
        <v>3533</v>
      </c>
      <c r="G4511" s="23" t="s">
        <v>250</v>
      </c>
      <c r="H4511" s="39">
        <f t="shared" si="280"/>
        <v>11597</v>
      </c>
      <c r="I4511" s="23" t="str">
        <f t="shared" si="281"/>
        <v>Ahmedabad</v>
      </c>
      <c r="J4511" s="23">
        <f>COUNTIFS(pg_transaction_cleaned!$O:$O,A4511,pg_transaction_cleaned!$F:$F,"CAPTURE")</f>
        <v>1</v>
      </c>
      <c r="K4511" s="39">
        <f>SUMIFS(pg_transaction_cleaned!$H:$H,pg_transaction_cleaned!$O:$O,A4511,pg_transaction_cleaned!$F:$F,"CAPTURE")</f>
        <v>11597</v>
      </c>
      <c r="L4511" s="23">
        <f>COUNTIFS(pg_transaction_cleaned!$O:$O,A4511,pg_transaction_cleaned!$F:$F,"REFUND")</f>
        <v>0</v>
      </c>
      <c r="M4511" s="39">
        <f>SUMIFS(pg_transaction_cleaned!$H:$H,pg_transaction_cleaned!$O:$O,A4511,pg_transaction_cleaned!$F:$F,"REFUND")</f>
        <v>0</v>
      </c>
      <c r="N4511" s="23" t="str">
        <f t="shared" si="282"/>
        <v>OK</v>
      </c>
      <c r="O4511" s="24">
        <f t="shared" si="283"/>
        <v>0</v>
      </c>
    </row>
    <row r="4512" spans="1:15" ht="15" customHeight="1" x14ac:dyDescent="0.3">
      <c r="A4512" s="23" t="s">
        <v>9494</v>
      </c>
      <c r="B4512" s="38">
        <v>46280</v>
      </c>
      <c r="C4512" s="23" t="s">
        <v>9495</v>
      </c>
      <c r="D4512" s="23" t="s">
        <v>93</v>
      </c>
      <c r="E4512" s="23" t="s">
        <v>75</v>
      </c>
      <c r="F4512" s="23" t="s">
        <v>310</v>
      </c>
      <c r="G4512" s="23" t="s">
        <v>250</v>
      </c>
      <c r="H4512" s="39">
        <f t="shared" si="280"/>
        <v>7999</v>
      </c>
      <c r="I4512" s="23" t="str">
        <f t="shared" si="281"/>
        <v>Kolkata</v>
      </c>
      <c r="J4512" s="23">
        <f>COUNTIFS(pg_transaction_cleaned!$O:$O,A4512,pg_transaction_cleaned!$F:$F,"CAPTURE")</f>
        <v>1</v>
      </c>
      <c r="K4512" s="39">
        <f>SUMIFS(pg_transaction_cleaned!$H:$H,pg_transaction_cleaned!$O:$O,A4512,pg_transaction_cleaned!$F:$F,"CAPTURE")</f>
        <v>7999</v>
      </c>
      <c r="L4512" s="23">
        <f>COUNTIFS(pg_transaction_cleaned!$O:$O,A4512,pg_transaction_cleaned!$F:$F,"REFUND")</f>
        <v>0</v>
      </c>
      <c r="M4512" s="39">
        <f>SUMIFS(pg_transaction_cleaned!$H:$H,pg_transaction_cleaned!$O:$O,A4512,pg_transaction_cleaned!$F:$F,"REFUND")</f>
        <v>0</v>
      </c>
      <c r="N4512" s="23" t="str">
        <f t="shared" si="282"/>
        <v>OK</v>
      </c>
      <c r="O4512" s="24">
        <f t="shared" si="283"/>
        <v>0</v>
      </c>
    </row>
    <row r="4513" spans="1:15" ht="15" customHeight="1" x14ac:dyDescent="0.3">
      <c r="A4513" s="23" t="s">
        <v>9496</v>
      </c>
      <c r="B4513" s="38">
        <v>46271</v>
      </c>
      <c r="C4513" s="23" t="s">
        <v>9497</v>
      </c>
      <c r="D4513" s="23" t="s">
        <v>89</v>
      </c>
      <c r="E4513" s="23" t="s">
        <v>75</v>
      </c>
      <c r="F4513" s="23" t="s">
        <v>1975</v>
      </c>
      <c r="G4513" s="23" t="s">
        <v>318</v>
      </c>
      <c r="H4513" s="39">
        <f t="shared" si="280"/>
        <v>1398</v>
      </c>
      <c r="I4513" s="23" t="str">
        <f t="shared" si="281"/>
        <v>Jaipur</v>
      </c>
      <c r="J4513" s="23">
        <f>COUNTIFS(pg_transaction_cleaned!$O:$O,A4513,pg_transaction_cleaned!$F:$F,"CAPTURE")</f>
        <v>0</v>
      </c>
      <c r="K4513" s="39">
        <f>SUMIFS(pg_transaction_cleaned!$H:$H,pg_transaction_cleaned!$O:$O,A4513,pg_transaction_cleaned!$F:$F,"CAPTURE")</f>
        <v>0</v>
      </c>
      <c r="L4513" s="23">
        <f>COUNTIFS(pg_transaction_cleaned!$O:$O,A4513,pg_transaction_cleaned!$F:$F,"REFUND")</f>
        <v>0</v>
      </c>
      <c r="M4513" s="39">
        <f>SUMIFS(pg_transaction_cleaned!$H:$H,pg_transaction_cleaned!$O:$O,A4513,pg_transaction_cleaned!$F:$F,"REFUND")</f>
        <v>0</v>
      </c>
      <c r="N4513" s="23" t="str">
        <f t="shared" si="282"/>
        <v>OK</v>
      </c>
      <c r="O4513" s="24">
        <f t="shared" si="283"/>
        <v>0</v>
      </c>
    </row>
    <row r="4514" spans="1:15" ht="15" customHeight="1" x14ac:dyDescent="0.3">
      <c r="A4514" s="23" t="s">
        <v>9498</v>
      </c>
      <c r="B4514" s="38">
        <v>46274</v>
      </c>
      <c r="C4514" s="23" t="s">
        <v>9499</v>
      </c>
      <c r="D4514" s="23" t="s">
        <v>87</v>
      </c>
      <c r="E4514" s="23" t="s">
        <v>75</v>
      </c>
      <c r="F4514" s="23" t="s">
        <v>291</v>
      </c>
      <c r="G4514" s="23" t="s">
        <v>250</v>
      </c>
      <c r="H4514" s="39">
        <f t="shared" si="280"/>
        <v>3499</v>
      </c>
      <c r="I4514" s="23" t="str">
        <f t="shared" si="281"/>
        <v>Mumbai</v>
      </c>
      <c r="J4514" s="23">
        <f>COUNTIFS(pg_transaction_cleaned!$O:$O,A4514,pg_transaction_cleaned!$F:$F,"CAPTURE")</f>
        <v>1</v>
      </c>
      <c r="K4514" s="39">
        <f>SUMIFS(pg_transaction_cleaned!$H:$H,pg_transaction_cleaned!$O:$O,A4514,pg_transaction_cleaned!$F:$F,"CAPTURE")</f>
        <v>3499</v>
      </c>
      <c r="L4514" s="23">
        <f>COUNTIFS(pg_transaction_cleaned!$O:$O,A4514,pg_transaction_cleaned!$F:$F,"REFUND")</f>
        <v>0</v>
      </c>
      <c r="M4514" s="39">
        <f>SUMIFS(pg_transaction_cleaned!$H:$H,pg_transaction_cleaned!$O:$O,A4514,pg_transaction_cleaned!$F:$F,"REFUND")</f>
        <v>0</v>
      </c>
      <c r="N4514" s="23" t="str">
        <f t="shared" si="282"/>
        <v>OK</v>
      </c>
      <c r="O4514" s="24">
        <f t="shared" si="283"/>
        <v>0</v>
      </c>
    </row>
    <row r="4515" spans="1:15" ht="15" customHeight="1" x14ac:dyDescent="0.3">
      <c r="A4515" s="23" t="s">
        <v>9500</v>
      </c>
      <c r="B4515" s="38">
        <v>46292</v>
      </c>
      <c r="C4515" s="23" t="s">
        <v>9501</v>
      </c>
      <c r="D4515" s="23" t="s">
        <v>88</v>
      </c>
      <c r="E4515" s="23" t="s">
        <v>79</v>
      </c>
      <c r="F4515" s="23" t="s">
        <v>622</v>
      </c>
      <c r="G4515" s="23" t="s">
        <v>250</v>
      </c>
      <c r="H4515" s="39">
        <f t="shared" si="280"/>
        <v>8998</v>
      </c>
      <c r="I4515" s="23" t="str">
        <f t="shared" si="281"/>
        <v>Lucknow</v>
      </c>
      <c r="J4515" s="23">
        <f>COUNTIFS(pg_transaction_cleaned!$O:$O,A4515,pg_transaction_cleaned!$F:$F,"CAPTURE")</f>
        <v>1</v>
      </c>
      <c r="K4515" s="39">
        <f>SUMIFS(pg_transaction_cleaned!$H:$H,pg_transaction_cleaned!$O:$O,A4515,pg_transaction_cleaned!$F:$F,"CAPTURE")</f>
        <v>8998</v>
      </c>
      <c r="L4515" s="23">
        <f>COUNTIFS(pg_transaction_cleaned!$O:$O,A4515,pg_transaction_cleaned!$F:$F,"REFUND")</f>
        <v>0</v>
      </c>
      <c r="M4515" s="39">
        <f>SUMIFS(pg_transaction_cleaned!$H:$H,pg_transaction_cleaned!$O:$O,A4515,pg_transaction_cleaned!$F:$F,"REFUND")</f>
        <v>0</v>
      </c>
      <c r="N4515" s="23" t="str">
        <f t="shared" si="282"/>
        <v>OK</v>
      </c>
      <c r="O4515" s="24">
        <f t="shared" si="283"/>
        <v>0</v>
      </c>
    </row>
    <row r="4516" spans="1:15" ht="15" customHeight="1" x14ac:dyDescent="0.3">
      <c r="A4516" s="23" t="s">
        <v>9502</v>
      </c>
      <c r="B4516" s="38">
        <v>46269</v>
      </c>
      <c r="C4516" s="23" t="s">
        <v>9503</v>
      </c>
      <c r="D4516" s="23" t="s">
        <v>86</v>
      </c>
      <c r="E4516" s="23" t="s">
        <v>75</v>
      </c>
      <c r="F4516" s="23" t="s">
        <v>1762</v>
      </c>
      <c r="G4516" s="23" t="s">
        <v>250</v>
      </c>
      <c r="H4516" s="39">
        <f t="shared" si="280"/>
        <v>2148</v>
      </c>
      <c r="I4516" s="23" t="str">
        <f t="shared" si="281"/>
        <v>Delhi</v>
      </c>
      <c r="J4516" s="23">
        <f>COUNTIFS(pg_transaction_cleaned!$O:$O,A4516,pg_transaction_cleaned!$F:$F,"CAPTURE")</f>
        <v>1</v>
      </c>
      <c r="K4516" s="39">
        <f>SUMIFS(pg_transaction_cleaned!$H:$H,pg_transaction_cleaned!$O:$O,A4516,pg_transaction_cleaned!$F:$F,"CAPTURE")</f>
        <v>2148</v>
      </c>
      <c r="L4516" s="23">
        <f>COUNTIFS(pg_transaction_cleaned!$O:$O,A4516,pg_transaction_cleaned!$F:$F,"REFUND")</f>
        <v>0</v>
      </c>
      <c r="M4516" s="39">
        <f>SUMIFS(pg_transaction_cleaned!$H:$H,pg_transaction_cleaned!$O:$O,A4516,pg_transaction_cleaned!$F:$F,"REFUND")</f>
        <v>0</v>
      </c>
      <c r="N4516" s="23" t="str">
        <f t="shared" si="282"/>
        <v>OK</v>
      </c>
      <c r="O4516" s="24">
        <f t="shared" si="283"/>
        <v>0</v>
      </c>
    </row>
    <row r="4517" spans="1:15" ht="15" customHeight="1" x14ac:dyDescent="0.3">
      <c r="A4517" s="23" t="s">
        <v>9504</v>
      </c>
      <c r="B4517" s="38">
        <v>46284</v>
      </c>
      <c r="C4517" s="23" t="s">
        <v>9505</v>
      </c>
      <c r="D4517" s="23" t="s">
        <v>94</v>
      </c>
      <c r="E4517" s="23" t="s">
        <v>75</v>
      </c>
      <c r="F4517" s="23" t="s">
        <v>680</v>
      </c>
      <c r="G4517" s="23" t="s">
        <v>250</v>
      </c>
      <c r="H4517" s="39">
        <f t="shared" si="280"/>
        <v>5097</v>
      </c>
      <c r="I4517" s="23" t="str">
        <f t="shared" si="281"/>
        <v>Chennai</v>
      </c>
      <c r="J4517" s="23">
        <f>COUNTIFS(pg_transaction_cleaned!$O:$O,A4517,pg_transaction_cleaned!$F:$F,"CAPTURE")</f>
        <v>1</v>
      </c>
      <c r="K4517" s="39">
        <f>SUMIFS(pg_transaction_cleaned!$H:$H,pg_transaction_cleaned!$O:$O,A4517,pg_transaction_cleaned!$F:$F,"CAPTURE")</f>
        <v>5097</v>
      </c>
      <c r="L4517" s="23">
        <f>COUNTIFS(pg_transaction_cleaned!$O:$O,A4517,pg_transaction_cleaned!$F:$F,"REFUND")</f>
        <v>0</v>
      </c>
      <c r="M4517" s="39">
        <f>SUMIFS(pg_transaction_cleaned!$H:$H,pg_transaction_cleaned!$O:$O,A4517,pg_transaction_cleaned!$F:$F,"REFUND")</f>
        <v>0</v>
      </c>
      <c r="N4517" s="23" t="str">
        <f t="shared" si="282"/>
        <v>OK</v>
      </c>
      <c r="O4517" s="24">
        <f t="shared" si="283"/>
        <v>0</v>
      </c>
    </row>
    <row r="4518" spans="1:15" ht="15" customHeight="1" x14ac:dyDescent="0.3">
      <c r="A4518" s="23" t="s">
        <v>9506</v>
      </c>
      <c r="B4518" s="38">
        <v>46272</v>
      </c>
      <c r="C4518" s="23" t="s">
        <v>9507</v>
      </c>
      <c r="D4518" s="23" t="s">
        <v>95</v>
      </c>
      <c r="E4518" s="23" t="s">
        <v>75</v>
      </c>
      <c r="F4518" s="23" t="s">
        <v>6711</v>
      </c>
      <c r="G4518" s="23" t="s">
        <v>250</v>
      </c>
      <c r="H4518" s="39">
        <f t="shared" si="280"/>
        <v>2447</v>
      </c>
      <c r="I4518" s="23" t="str">
        <f t="shared" si="281"/>
        <v>Bengaluru</v>
      </c>
      <c r="J4518" s="23">
        <f>COUNTIFS(pg_transaction_cleaned!$O:$O,A4518,pg_transaction_cleaned!$F:$F,"CAPTURE")</f>
        <v>1</v>
      </c>
      <c r="K4518" s="39">
        <f>SUMIFS(pg_transaction_cleaned!$H:$H,pg_transaction_cleaned!$O:$O,A4518,pg_transaction_cleaned!$F:$F,"CAPTURE")</f>
        <v>2447</v>
      </c>
      <c r="L4518" s="23">
        <f>COUNTIFS(pg_transaction_cleaned!$O:$O,A4518,pg_transaction_cleaned!$F:$F,"REFUND")</f>
        <v>0</v>
      </c>
      <c r="M4518" s="39">
        <f>SUMIFS(pg_transaction_cleaned!$H:$H,pg_transaction_cleaned!$O:$O,A4518,pg_transaction_cleaned!$F:$F,"REFUND")</f>
        <v>0</v>
      </c>
      <c r="N4518" s="23" t="str">
        <f t="shared" si="282"/>
        <v>OK</v>
      </c>
      <c r="O4518" s="24">
        <f t="shared" si="283"/>
        <v>0</v>
      </c>
    </row>
    <row r="4519" spans="1:15" ht="15" customHeight="1" x14ac:dyDescent="0.3">
      <c r="A4519" s="23" t="s">
        <v>9508</v>
      </c>
      <c r="B4519" s="38">
        <v>46282</v>
      </c>
      <c r="C4519" s="23" t="s">
        <v>9509</v>
      </c>
      <c r="D4519" s="23" t="s">
        <v>94</v>
      </c>
      <c r="E4519" s="23" t="s">
        <v>75</v>
      </c>
      <c r="F4519" s="23" t="s">
        <v>7399</v>
      </c>
      <c r="G4519" s="23" t="s">
        <v>250</v>
      </c>
      <c r="H4519" s="39">
        <f t="shared" si="280"/>
        <v>6497</v>
      </c>
      <c r="I4519" s="23" t="str">
        <f t="shared" si="281"/>
        <v>Chennai</v>
      </c>
      <c r="J4519" s="23">
        <f>COUNTIFS(pg_transaction_cleaned!$O:$O,A4519,pg_transaction_cleaned!$F:$F,"CAPTURE")</f>
        <v>1</v>
      </c>
      <c r="K4519" s="39">
        <f>SUMIFS(pg_transaction_cleaned!$H:$H,pg_transaction_cleaned!$O:$O,A4519,pg_transaction_cleaned!$F:$F,"CAPTURE")</f>
        <v>6497</v>
      </c>
      <c r="L4519" s="23">
        <f>COUNTIFS(pg_transaction_cleaned!$O:$O,A4519,pg_transaction_cleaned!$F:$F,"REFUND")</f>
        <v>0</v>
      </c>
      <c r="M4519" s="39">
        <f>SUMIFS(pg_transaction_cleaned!$H:$H,pg_transaction_cleaned!$O:$O,A4519,pg_transaction_cleaned!$F:$F,"REFUND")</f>
        <v>0</v>
      </c>
      <c r="N4519" s="23" t="str">
        <f t="shared" si="282"/>
        <v>OK</v>
      </c>
      <c r="O4519" s="24">
        <f t="shared" si="283"/>
        <v>0</v>
      </c>
    </row>
    <row r="4520" spans="1:15" ht="15" customHeight="1" x14ac:dyDescent="0.3">
      <c r="A4520" s="23" t="s">
        <v>9510</v>
      </c>
      <c r="B4520" s="38">
        <v>46278</v>
      </c>
      <c r="C4520" s="23" t="s">
        <v>9511</v>
      </c>
      <c r="D4520" s="23" t="s">
        <v>94</v>
      </c>
      <c r="E4520" s="23" t="s">
        <v>75</v>
      </c>
      <c r="F4520" s="23" t="s">
        <v>271</v>
      </c>
      <c r="G4520" s="23" t="s">
        <v>365</v>
      </c>
      <c r="H4520" s="39">
        <f t="shared" si="280"/>
        <v>2499</v>
      </c>
      <c r="I4520" s="23" t="str">
        <f t="shared" si="281"/>
        <v>Chennai</v>
      </c>
      <c r="J4520" s="23">
        <f>COUNTIFS(pg_transaction_cleaned!$O:$O,A4520,pg_transaction_cleaned!$F:$F,"CAPTURE")</f>
        <v>0</v>
      </c>
      <c r="K4520" s="39">
        <f>SUMIFS(pg_transaction_cleaned!$H:$H,pg_transaction_cleaned!$O:$O,A4520,pg_transaction_cleaned!$F:$F,"CAPTURE")</f>
        <v>0</v>
      </c>
      <c r="L4520" s="23">
        <f>COUNTIFS(pg_transaction_cleaned!$O:$O,A4520,pg_transaction_cleaned!$F:$F,"REFUND")</f>
        <v>0</v>
      </c>
      <c r="M4520" s="39">
        <f>SUMIFS(pg_transaction_cleaned!$H:$H,pg_transaction_cleaned!$O:$O,A4520,pg_transaction_cleaned!$F:$F,"REFUND")</f>
        <v>0</v>
      </c>
      <c r="N4520" s="23" t="str">
        <f t="shared" si="282"/>
        <v>OK</v>
      </c>
      <c r="O4520" s="24">
        <f t="shared" si="283"/>
        <v>0</v>
      </c>
    </row>
    <row r="4521" spans="1:15" ht="15" customHeight="1" x14ac:dyDescent="0.3">
      <c r="A4521" s="23" t="s">
        <v>9512</v>
      </c>
      <c r="B4521" s="38">
        <v>46275</v>
      </c>
      <c r="C4521" s="23" t="s">
        <v>9513</v>
      </c>
      <c r="D4521" s="23" t="s">
        <v>95</v>
      </c>
      <c r="E4521" s="23" t="s">
        <v>75</v>
      </c>
      <c r="F4521" s="23" t="s">
        <v>1448</v>
      </c>
      <c r="G4521" s="23" t="s">
        <v>250</v>
      </c>
      <c r="H4521" s="39">
        <f t="shared" si="280"/>
        <v>6297</v>
      </c>
      <c r="I4521" s="23" t="str">
        <f t="shared" si="281"/>
        <v>Bengaluru</v>
      </c>
      <c r="J4521" s="23">
        <f>COUNTIFS(pg_transaction_cleaned!$O:$O,A4521,pg_transaction_cleaned!$F:$F,"CAPTURE")</f>
        <v>1</v>
      </c>
      <c r="K4521" s="39">
        <f>SUMIFS(pg_transaction_cleaned!$H:$H,pg_transaction_cleaned!$O:$O,A4521,pg_transaction_cleaned!$F:$F,"CAPTURE")</f>
        <v>6297</v>
      </c>
      <c r="L4521" s="23">
        <f>COUNTIFS(pg_transaction_cleaned!$O:$O,A4521,pg_transaction_cleaned!$F:$F,"REFUND")</f>
        <v>0</v>
      </c>
      <c r="M4521" s="39">
        <f>SUMIFS(pg_transaction_cleaned!$H:$H,pg_transaction_cleaned!$O:$O,A4521,pg_transaction_cleaned!$F:$F,"REFUND")</f>
        <v>0</v>
      </c>
      <c r="N4521" s="23" t="str">
        <f t="shared" si="282"/>
        <v>OK</v>
      </c>
      <c r="O4521" s="24">
        <f t="shared" si="283"/>
        <v>0</v>
      </c>
    </row>
    <row r="4522" spans="1:15" ht="15" customHeight="1" x14ac:dyDescent="0.3">
      <c r="A4522" s="23" t="s">
        <v>9514</v>
      </c>
      <c r="B4522" s="38">
        <v>46290</v>
      </c>
      <c r="C4522" s="23" t="s">
        <v>9515</v>
      </c>
      <c r="D4522" s="23" t="s">
        <v>88</v>
      </c>
      <c r="E4522" s="23" t="s">
        <v>75</v>
      </c>
      <c r="F4522" s="23" t="s">
        <v>259</v>
      </c>
      <c r="G4522" s="23" t="s">
        <v>250</v>
      </c>
      <c r="H4522" s="39">
        <f t="shared" si="280"/>
        <v>3298</v>
      </c>
      <c r="I4522" s="23" t="str">
        <f t="shared" si="281"/>
        <v>Lucknow</v>
      </c>
      <c r="J4522" s="23">
        <f>COUNTIFS(pg_transaction_cleaned!$O:$O,A4522,pg_transaction_cleaned!$F:$F,"CAPTURE")</f>
        <v>1</v>
      </c>
      <c r="K4522" s="39">
        <f>SUMIFS(pg_transaction_cleaned!$H:$H,pg_transaction_cleaned!$O:$O,A4522,pg_transaction_cleaned!$F:$F,"CAPTURE")</f>
        <v>3298</v>
      </c>
      <c r="L4522" s="23">
        <f>COUNTIFS(pg_transaction_cleaned!$O:$O,A4522,pg_transaction_cleaned!$F:$F,"REFUND")</f>
        <v>0</v>
      </c>
      <c r="M4522" s="39">
        <f>SUMIFS(pg_transaction_cleaned!$H:$H,pg_transaction_cleaned!$O:$O,A4522,pg_transaction_cleaned!$F:$F,"REFUND")</f>
        <v>0</v>
      </c>
      <c r="N4522" s="23" t="str">
        <f t="shared" si="282"/>
        <v>OK</v>
      </c>
      <c r="O4522" s="24">
        <f t="shared" si="283"/>
        <v>0</v>
      </c>
    </row>
    <row r="4523" spans="1:15" ht="15" customHeight="1" x14ac:dyDescent="0.3">
      <c r="A4523" s="23" t="s">
        <v>9516</v>
      </c>
      <c r="B4523" s="38">
        <v>46271</v>
      </c>
      <c r="C4523" s="23" t="s">
        <v>9517</v>
      </c>
      <c r="D4523" s="23" t="s">
        <v>87</v>
      </c>
      <c r="E4523" s="23" t="s">
        <v>79</v>
      </c>
      <c r="F4523" s="23" t="s">
        <v>291</v>
      </c>
      <c r="G4523" s="23" t="s">
        <v>250</v>
      </c>
      <c r="H4523" s="39">
        <f t="shared" si="280"/>
        <v>3499</v>
      </c>
      <c r="I4523" s="23" t="str">
        <f t="shared" si="281"/>
        <v>Mumbai</v>
      </c>
      <c r="J4523" s="23">
        <f>COUNTIFS(pg_transaction_cleaned!$O:$O,A4523,pg_transaction_cleaned!$F:$F,"CAPTURE")</f>
        <v>1</v>
      </c>
      <c r="K4523" s="39">
        <f>SUMIFS(pg_transaction_cleaned!$H:$H,pg_transaction_cleaned!$O:$O,A4523,pg_transaction_cleaned!$F:$F,"CAPTURE")</f>
        <v>3499</v>
      </c>
      <c r="L4523" s="23">
        <f>COUNTIFS(pg_transaction_cleaned!$O:$O,A4523,pg_transaction_cleaned!$F:$F,"REFUND")</f>
        <v>0</v>
      </c>
      <c r="M4523" s="39">
        <f>SUMIFS(pg_transaction_cleaned!$H:$H,pg_transaction_cleaned!$O:$O,A4523,pg_transaction_cleaned!$F:$F,"REFUND")</f>
        <v>0</v>
      </c>
      <c r="N4523" s="23" t="str">
        <f t="shared" si="282"/>
        <v>OK</v>
      </c>
      <c r="O4523" s="24">
        <f t="shared" si="283"/>
        <v>0</v>
      </c>
    </row>
    <row r="4524" spans="1:15" ht="15" customHeight="1" x14ac:dyDescent="0.3">
      <c r="A4524" s="23" t="s">
        <v>9518</v>
      </c>
      <c r="B4524" s="38">
        <v>46281</v>
      </c>
      <c r="C4524" s="23" t="s">
        <v>9519</v>
      </c>
      <c r="D4524" s="23" t="s">
        <v>94</v>
      </c>
      <c r="E4524" s="23" t="s">
        <v>75</v>
      </c>
      <c r="F4524" s="23" t="s">
        <v>1108</v>
      </c>
      <c r="G4524" s="23" t="s">
        <v>250</v>
      </c>
      <c r="H4524" s="39">
        <f t="shared" si="280"/>
        <v>4098</v>
      </c>
      <c r="I4524" s="23" t="str">
        <f t="shared" si="281"/>
        <v>Chennai</v>
      </c>
      <c r="J4524" s="23">
        <f>COUNTIFS(pg_transaction_cleaned!$O:$O,A4524,pg_transaction_cleaned!$F:$F,"CAPTURE")</f>
        <v>1</v>
      </c>
      <c r="K4524" s="39">
        <f>SUMIFS(pg_transaction_cleaned!$H:$H,pg_transaction_cleaned!$O:$O,A4524,pg_transaction_cleaned!$F:$F,"CAPTURE")</f>
        <v>4098</v>
      </c>
      <c r="L4524" s="23">
        <f>COUNTIFS(pg_transaction_cleaned!$O:$O,A4524,pg_transaction_cleaned!$F:$F,"REFUND")</f>
        <v>0</v>
      </c>
      <c r="M4524" s="39">
        <f>SUMIFS(pg_transaction_cleaned!$H:$H,pg_transaction_cleaned!$O:$O,A4524,pg_transaction_cleaned!$F:$F,"REFUND")</f>
        <v>0</v>
      </c>
      <c r="N4524" s="23" t="str">
        <f t="shared" si="282"/>
        <v>OK</v>
      </c>
      <c r="O4524" s="24">
        <f t="shared" si="283"/>
        <v>0</v>
      </c>
    </row>
    <row r="4525" spans="1:15" ht="15" customHeight="1" x14ac:dyDescent="0.3">
      <c r="A4525" s="23" t="s">
        <v>9520</v>
      </c>
      <c r="B4525" s="38">
        <v>46284</v>
      </c>
      <c r="C4525" s="23" t="s">
        <v>9521</v>
      </c>
      <c r="D4525" s="23" t="s">
        <v>91</v>
      </c>
      <c r="E4525" s="23" t="s">
        <v>79</v>
      </c>
      <c r="F4525" s="23" t="s">
        <v>574</v>
      </c>
      <c r="G4525" s="23" t="s">
        <v>301</v>
      </c>
      <c r="H4525" s="39">
        <f t="shared" si="280"/>
        <v>1848</v>
      </c>
      <c r="I4525" s="23" t="str">
        <f t="shared" si="281"/>
        <v>Pune</v>
      </c>
      <c r="J4525" s="23">
        <f>COUNTIFS(pg_transaction_cleaned!$O:$O,A4525,pg_transaction_cleaned!$F:$F,"CAPTURE")</f>
        <v>1</v>
      </c>
      <c r="K4525" s="39">
        <f>SUMIFS(pg_transaction_cleaned!$H:$H,pg_transaction_cleaned!$O:$O,A4525,pg_transaction_cleaned!$F:$F,"CAPTURE")</f>
        <v>1848</v>
      </c>
      <c r="L4525" s="23">
        <f>COUNTIFS(pg_transaction_cleaned!$O:$O,A4525,pg_transaction_cleaned!$F:$F,"REFUND")</f>
        <v>1</v>
      </c>
      <c r="M4525" s="39">
        <f>SUMIFS(pg_transaction_cleaned!$H:$H,pg_transaction_cleaned!$O:$O,A4525,pg_transaction_cleaned!$F:$F,"REFUND")</f>
        <v>1848</v>
      </c>
      <c r="N4525" s="23" t="str">
        <f t="shared" si="282"/>
        <v>OK</v>
      </c>
      <c r="O4525" s="24">
        <f t="shared" si="283"/>
        <v>0</v>
      </c>
    </row>
    <row r="4526" spans="1:15" ht="15" customHeight="1" x14ac:dyDescent="0.3">
      <c r="A4526" s="23" t="s">
        <v>9522</v>
      </c>
      <c r="B4526" s="38">
        <v>46276</v>
      </c>
      <c r="C4526" s="23" t="s">
        <v>9523</v>
      </c>
      <c r="D4526" s="23"/>
      <c r="E4526" s="23" t="s">
        <v>79</v>
      </c>
      <c r="F4526" s="23" t="s">
        <v>1123</v>
      </c>
      <c r="G4526" s="23" t="s">
        <v>250</v>
      </c>
      <c r="H4526" s="39">
        <f t="shared" si="280"/>
        <v>3797</v>
      </c>
      <c r="I4526" s="23" t="str">
        <f t="shared" si="281"/>
        <v>Unknown</v>
      </c>
      <c r="J4526" s="23">
        <f>COUNTIFS(pg_transaction_cleaned!$O:$O,A4526,pg_transaction_cleaned!$F:$F,"CAPTURE")</f>
        <v>1</v>
      </c>
      <c r="K4526" s="39">
        <f>SUMIFS(pg_transaction_cleaned!$H:$H,pg_transaction_cleaned!$O:$O,A4526,pg_transaction_cleaned!$F:$F,"CAPTURE")</f>
        <v>3797</v>
      </c>
      <c r="L4526" s="23">
        <f>COUNTIFS(pg_transaction_cleaned!$O:$O,A4526,pg_transaction_cleaned!$F:$F,"REFUND")</f>
        <v>0</v>
      </c>
      <c r="M4526" s="39">
        <f>SUMIFS(pg_transaction_cleaned!$H:$H,pg_transaction_cleaned!$O:$O,A4526,pg_transaction_cleaned!$F:$F,"REFUND")</f>
        <v>0</v>
      </c>
      <c r="N4526" s="23" t="str">
        <f t="shared" si="282"/>
        <v>OK</v>
      </c>
      <c r="O4526" s="24">
        <f t="shared" si="283"/>
        <v>0</v>
      </c>
    </row>
    <row r="4527" spans="1:15" ht="15" customHeight="1" x14ac:dyDescent="0.3">
      <c r="A4527" s="23" t="s">
        <v>9524</v>
      </c>
      <c r="B4527" s="38">
        <v>46273</v>
      </c>
      <c r="C4527" s="23" t="s">
        <v>9525</v>
      </c>
      <c r="D4527" s="23" t="s">
        <v>86</v>
      </c>
      <c r="E4527" s="23" t="s">
        <v>75</v>
      </c>
      <c r="F4527" s="23" t="s">
        <v>9526</v>
      </c>
      <c r="G4527" s="23" t="s">
        <v>250</v>
      </c>
      <c r="H4527" s="39">
        <f t="shared" si="280"/>
        <v>11347</v>
      </c>
      <c r="I4527" s="23" t="str">
        <f t="shared" si="281"/>
        <v>Delhi</v>
      </c>
      <c r="J4527" s="23">
        <f>COUNTIFS(pg_transaction_cleaned!$O:$O,A4527,pg_transaction_cleaned!$F:$F,"CAPTURE")</f>
        <v>1</v>
      </c>
      <c r="K4527" s="39">
        <f>SUMIFS(pg_transaction_cleaned!$H:$H,pg_transaction_cleaned!$O:$O,A4527,pg_transaction_cleaned!$F:$F,"CAPTURE")</f>
        <v>11347</v>
      </c>
      <c r="L4527" s="23">
        <f>COUNTIFS(pg_transaction_cleaned!$O:$O,A4527,pg_transaction_cleaned!$F:$F,"REFUND")</f>
        <v>0</v>
      </c>
      <c r="M4527" s="39">
        <f>SUMIFS(pg_transaction_cleaned!$H:$H,pg_transaction_cleaned!$O:$O,A4527,pg_transaction_cleaned!$F:$F,"REFUND")</f>
        <v>0</v>
      </c>
      <c r="N4527" s="23" t="str">
        <f t="shared" si="282"/>
        <v>OK</v>
      </c>
      <c r="O4527" s="24">
        <f t="shared" si="283"/>
        <v>0</v>
      </c>
    </row>
    <row r="4528" spans="1:15" ht="15" customHeight="1" x14ac:dyDescent="0.3">
      <c r="A4528" s="23" t="s">
        <v>9527</v>
      </c>
      <c r="B4528" s="38">
        <v>46277</v>
      </c>
      <c r="C4528" s="23" t="s">
        <v>9528</v>
      </c>
      <c r="D4528" s="23" t="s">
        <v>91</v>
      </c>
      <c r="E4528" s="23" t="s">
        <v>75</v>
      </c>
      <c r="F4528" s="23" t="s">
        <v>315</v>
      </c>
      <c r="G4528" s="23" t="s">
        <v>301</v>
      </c>
      <c r="H4528" s="39">
        <f t="shared" si="280"/>
        <v>1499</v>
      </c>
      <c r="I4528" s="23" t="str">
        <f t="shared" si="281"/>
        <v>Pune</v>
      </c>
      <c r="J4528" s="23">
        <f>COUNTIFS(pg_transaction_cleaned!$O:$O,A4528,pg_transaction_cleaned!$F:$F,"CAPTURE")</f>
        <v>1</v>
      </c>
      <c r="K4528" s="39">
        <f>SUMIFS(pg_transaction_cleaned!$H:$H,pg_transaction_cleaned!$O:$O,A4528,pg_transaction_cleaned!$F:$F,"CAPTURE")</f>
        <v>1499</v>
      </c>
      <c r="L4528" s="23">
        <f>COUNTIFS(pg_transaction_cleaned!$O:$O,A4528,pg_transaction_cleaned!$F:$F,"REFUND")</f>
        <v>1</v>
      </c>
      <c r="M4528" s="39">
        <f>SUMIFS(pg_transaction_cleaned!$H:$H,pg_transaction_cleaned!$O:$O,A4528,pg_transaction_cleaned!$F:$F,"REFUND")</f>
        <v>1499</v>
      </c>
      <c r="N4528" s="23" t="str">
        <f t="shared" si="282"/>
        <v>OK</v>
      </c>
      <c r="O4528" s="24">
        <f t="shared" si="283"/>
        <v>0</v>
      </c>
    </row>
    <row r="4529" spans="1:15" ht="15" customHeight="1" x14ac:dyDescent="0.3">
      <c r="A4529" s="23" t="s">
        <v>9529</v>
      </c>
      <c r="B4529" s="38">
        <v>46273</v>
      </c>
      <c r="C4529" s="23" t="s">
        <v>9530</v>
      </c>
      <c r="D4529" s="23" t="s">
        <v>92</v>
      </c>
      <c r="E4529" s="23" t="s">
        <v>79</v>
      </c>
      <c r="F4529" s="23" t="s">
        <v>475</v>
      </c>
      <c r="G4529" s="23" t="s">
        <v>250</v>
      </c>
      <c r="H4529" s="39">
        <f t="shared" si="280"/>
        <v>799</v>
      </c>
      <c r="I4529" s="23" t="str">
        <f t="shared" si="281"/>
        <v>Hyderabad</v>
      </c>
      <c r="J4529" s="23">
        <f>COUNTIFS(pg_transaction_cleaned!$O:$O,A4529,pg_transaction_cleaned!$F:$F,"CAPTURE")</f>
        <v>1</v>
      </c>
      <c r="K4529" s="39">
        <f>SUMIFS(pg_transaction_cleaned!$H:$H,pg_transaction_cleaned!$O:$O,A4529,pg_transaction_cleaned!$F:$F,"CAPTURE")</f>
        <v>799</v>
      </c>
      <c r="L4529" s="23">
        <f>COUNTIFS(pg_transaction_cleaned!$O:$O,A4529,pg_transaction_cleaned!$F:$F,"REFUND")</f>
        <v>0</v>
      </c>
      <c r="M4529" s="39">
        <f>SUMIFS(pg_transaction_cleaned!$H:$H,pg_transaction_cleaned!$O:$O,A4529,pg_transaction_cleaned!$F:$F,"REFUND")</f>
        <v>0</v>
      </c>
      <c r="N4529" s="23" t="str">
        <f t="shared" si="282"/>
        <v>OK</v>
      </c>
      <c r="O4529" s="24">
        <f t="shared" si="283"/>
        <v>0</v>
      </c>
    </row>
    <row r="4530" spans="1:15" ht="15" customHeight="1" x14ac:dyDescent="0.3">
      <c r="A4530" s="23" t="s">
        <v>9531</v>
      </c>
      <c r="B4530" s="38">
        <v>46269</v>
      </c>
      <c r="C4530" s="23" t="s">
        <v>9532</v>
      </c>
      <c r="D4530" s="23" t="s">
        <v>88</v>
      </c>
      <c r="E4530" s="23" t="s">
        <v>75</v>
      </c>
      <c r="F4530" s="23" t="s">
        <v>553</v>
      </c>
      <c r="G4530" s="23" t="s">
        <v>250</v>
      </c>
      <c r="H4530" s="39">
        <f t="shared" si="280"/>
        <v>2798</v>
      </c>
      <c r="I4530" s="23" t="str">
        <f t="shared" si="281"/>
        <v>Lucknow</v>
      </c>
      <c r="J4530" s="23">
        <f>COUNTIFS(pg_transaction_cleaned!$O:$O,A4530,pg_transaction_cleaned!$F:$F,"CAPTURE")</f>
        <v>1</v>
      </c>
      <c r="K4530" s="39">
        <f>SUMIFS(pg_transaction_cleaned!$H:$H,pg_transaction_cleaned!$O:$O,A4530,pg_transaction_cleaned!$F:$F,"CAPTURE")</f>
        <v>2798</v>
      </c>
      <c r="L4530" s="23">
        <f>COUNTIFS(pg_transaction_cleaned!$O:$O,A4530,pg_transaction_cleaned!$F:$F,"REFUND")</f>
        <v>0</v>
      </c>
      <c r="M4530" s="39">
        <f>SUMIFS(pg_transaction_cleaned!$H:$H,pg_transaction_cleaned!$O:$O,A4530,pg_transaction_cleaned!$F:$F,"REFUND")</f>
        <v>0</v>
      </c>
      <c r="N4530" s="23" t="str">
        <f t="shared" si="282"/>
        <v>OK</v>
      </c>
      <c r="O4530" s="24">
        <f t="shared" si="283"/>
        <v>0</v>
      </c>
    </row>
    <row r="4531" spans="1:15" ht="15" customHeight="1" x14ac:dyDescent="0.3">
      <c r="A4531" s="23" t="s">
        <v>9533</v>
      </c>
      <c r="B4531" s="38">
        <v>46287</v>
      </c>
      <c r="C4531" s="23" t="s">
        <v>9534</v>
      </c>
      <c r="D4531" s="23" t="s">
        <v>94</v>
      </c>
      <c r="E4531" s="23" t="s">
        <v>75</v>
      </c>
      <c r="F4531" s="23" t="s">
        <v>262</v>
      </c>
      <c r="G4531" s="23" t="s">
        <v>250</v>
      </c>
      <c r="H4531" s="39">
        <f t="shared" si="280"/>
        <v>499</v>
      </c>
      <c r="I4531" s="23" t="str">
        <f t="shared" si="281"/>
        <v>Chennai</v>
      </c>
      <c r="J4531" s="23">
        <f>COUNTIFS(pg_transaction_cleaned!$O:$O,A4531,pg_transaction_cleaned!$F:$F,"CAPTURE")</f>
        <v>1</v>
      </c>
      <c r="K4531" s="39">
        <f>SUMIFS(pg_transaction_cleaned!$H:$H,pg_transaction_cleaned!$O:$O,A4531,pg_transaction_cleaned!$F:$F,"CAPTURE")</f>
        <v>499</v>
      </c>
      <c r="L4531" s="23">
        <f>COUNTIFS(pg_transaction_cleaned!$O:$O,A4531,pg_transaction_cleaned!$F:$F,"REFUND")</f>
        <v>0</v>
      </c>
      <c r="M4531" s="39">
        <f>SUMIFS(pg_transaction_cleaned!$H:$H,pg_transaction_cleaned!$O:$O,A4531,pg_transaction_cleaned!$F:$F,"REFUND")</f>
        <v>0</v>
      </c>
      <c r="N4531" s="23" t="str">
        <f t="shared" si="282"/>
        <v>OK</v>
      </c>
      <c r="O4531" s="24">
        <f t="shared" si="283"/>
        <v>0</v>
      </c>
    </row>
    <row r="4532" spans="1:15" ht="15" customHeight="1" x14ac:dyDescent="0.3">
      <c r="A4532" s="23" t="s">
        <v>9535</v>
      </c>
      <c r="B4532" s="38">
        <v>46277</v>
      </c>
      <c r="C4532" s="23" t="s">
        <v>9536</v>
      </c>
      <c r="D4532" s="23" t="s">
        <v>90</v>
      </c>
      <c r="E4532" s="23" t="s">
        <v>79</v>
      </c>
      <c r="F4532" s="23" t="s">
        <v>1505</v>
      </c>
      <c r="G4532" s="23" t="s">
        <v>250</v>
      </c>
      <c r="H4532" s="39">
        <f t="shared" si="280"/>
        <v>8298</v>
      </c>
      <c r="I4532" s="23" t="str">
        <f t="shared" si="281"/>
        <v>Ahmedabad</v>
      </c>
      <c r="J4532" s="23">
        <f>COUNTIFS(pg_transaction_cleaned!$O:$O,A4532,pg_transaction_cleaned!$F:$F,"CAPTURE")</f>
        <v>1</v>
      </c>
      <c r="K4532" s="39">
        <f>SUMIFS(pg_transaction_cleaned!$H:$H,pg_transaction_cleaned!$O:$O,A4532,pg_transaction_cleaned!$F:$F,"CAPTURE")</f>
        <v>8298</v>
      </c>
      <c r="L4532" s="23">
        <f>COUNTIFS(pg_transaction_cleaned!$O:$O,A4532,pg_transaction_cleaned!$F:$F,"REFUND")</f>
        <v>0</v>
      </c>
      <c r="M4532" s="39">
        <f>SUMIFS(pg_transaction_cleaned!$H:$H,pg_transaction_cleaned!$O:$O,A4532,pg_transaction_cleaned!$F:$F,"REFUND")</f>
        <v>0</v>
      </c>
      <c r="N4532" s="23" t="str">
        <f t="shared" si="282"/>
        <v>OK</v>
      </c>
      <c r="O4532" s="24">
        <f t="shared" si="283"/>
        <v>0</v>
      </c>
    </row>
    <row r="4533" spans="1:15" ht="15" customHeight="1" x14ac:dyDescent="0.3">
      <c r="A4533" s="23" t="s">
        <v>9537</v>
      </c>
      <c r="B4533" s="38">
        <v>46289</v>
      </c>
      <c r="C4533" s="23" t="s">
        <v>9538</v>
      </c>
      <c r="D4533" s="23" t="s">
        <v>93</v>
      </c>
      <c r="E4533" s="23" t="s">
        <v>77</v>
      </c>
      <c r="F4533" s="23" t="s">
        <v>490</v>
      </c>
      <c r="G4533" s="23" t="s">
        <v>250</v>
      </c>
      <c r="H4533" s="39">
        <f t="shared" si="280"/>
        <v>8798</v>
      </c>
      <c r="I4533" s="23" t="str">
        <f t="shared" si="281"/>
        <v>Kolkata</v>
      </c>
      <c r="J4533" s="23">
        <f>COUNTIFS(pg_transaction_cleaned!$O:$O,A4533,pg_transaction_cleaned!$F:$F,"CAPTURE")</f>
        <v>1</v>
      </c>
      <c r="K4533" s="39">
        <f>SUMIFS(pg_transaction_cleaned!$H:$H,pg_transaction_cleaned!$O:$O,A4533,pg_transaction_cleaned!$F:$F,"CAPTURE")</f>
        <v>8798</v>
      </c>
      <c r="L4533" s="23">
        <f>COUNTIFS(pg_transaction_cleaned!$O:$O,A4533,pg_transaction_cleaned!$F:$F,"REFUND")</f>
        <v>0</v>
      </c>
      <c r="M4533" s="39">
        <f>SUMIFS(pg_transaction_cleaned!$H:$H,pg_transaction_cleaned!$O:$O,A4533,pg_transaction_cleaned!$F:$F,"REFUND")</f>
        <v>0</v>
      </c>
      <c r="N4533" s="23" t="str">
        <f t="shared" si="282"/>
        <v>OK</v>
      </c>
      <c r="O4533" s="24">
        <f t="shared" si="283"/>
        <v>0</v>
      </c>
    </row>
    <row r="4534" spans="1:15" ht="15" customHeight="1" x14ac:dyDescent="0.3">
      <c r="A4534" s="23" t="s">
        <v>9539</v>
      </c>
      <c r="B4534" s="38">
        <v>46278</v>
      </c>
      <c r="C4534" s="23" t="s">
        <v>9540</v>
      </c>
      <c r="D4534" s="23" t="s">
        <v>91</v>
      </c>
      <c r="E4534" s="23" t="s">
        <v>77</v>
      </c>
      <c r="F4534" s="23" t="s">
        <v>262</v>
      </c>
      <c r="G4534" s="23" t="s">
        <v>250</v>
      </c>
      <c r="H4534" s="39">
        <f t="shared" si="280"/>
        <v>499</v>
      </c>
      <c r="I4534" s="23" t="str">
        <f t="shared" si="281"/>
        <v>Pune</v>
      </c>
      <c r="J4534" s="23">
        <f>COUNTIFS(pg_transaction_cleaned!$O:$O,A4534,pg_transaction_cleaned!$F:$F,"CAPTURE")</f>
        <v>1</v>
      </c>
      <c r="K4534" s="39">
        <f>SUMIFS(pg_transaction_cleaned!$H:$H,pg_transaction_cleaned!$O:$O,A4534,pg_transaction_cleaned!$F:$F,"CAPTURE")</f>
        <v>499</v>
      </c>
      <c r="L4534" s="23">
        <f>COUNTIFS(pg_transaction_cleaned!$O:$O,A4534,pg_transaction_cleaned!$F:$F,"REFUND")</f>
        <v>0</v>
      </c>
      <c r="M4534" s="39">
        <f>SUMIFS(pg_transaction_cleaned!$H:$H,pg_transaction_cleaned!$O:$O,A4534,pg_transaction_cleaned!$F:$F,"REFUND")</f>
        <v>0</v>
      </c>
      <c r="N4534" s="23" t="str">
        <f t="shared" si="282"/>
        <v>OK</v>
      </c>
      <c r="O4534" s="24">
        <f t="shared" si="283"/>
        <v>0</v>
      </c>
    </row>
    <row r="4535" spans="1:15" ht="15" customHeight="1" x14ac:dyDescent="0.3">
      <c r="A4535" s="23" t="s">
        <v>9541</v>
      </c>
      <c r="B4535" s="38">
        <v>46290</v>
      </c>
      <c r="C4535" s="23" t="s">
        <v>9542</v>
      </c>
      <c r="D4535" s="23" t="s">
        <v>92</v>
      </c>
      <c r="E4535" s="23" t="s">
        <v>75</v>
      </c>
      <c r="F4535" s="23" t="s">
        <v>268</v>
      </c>
      <c r="G4535" s="23" t="s">
        <v>250</v>
      </c>
      <c r="H4535" s="39">
        <f t="shared" si="280"/>
        <v>1299</v>
      </c>
      <c r="I4535" s="23" t="str">
        <f t="shared" si="281"/>
        <v>Hyderabad</v>
      </c>
      <c r="J4535" s="23">
        <f>COUNTIFS(pg_transaction_cleaned!$O:$O,A4535,pg_transaction_cleaned!$F:$F,"CAPTURE")</f>
        <v>1</v>
      </c>
      <c r="K4535" s="39">
        <f>SUMIFS(pg_transaction_cleaned!$H:$H,pg_transaction_cleaned!$O:$O,A4535,pg_transaction_cleaned!$F:$F,"CAPTURE")</f>
        <v>1299</v>
      </c>
      <c r="L4535" s="23">
        <f>COUNTIFS(pg_transaction_cleaned!$O:$O,A4535,pg_transaction_cleaned!$F:$F,"REFUND")</f>
        <v>0</v>
      </c>
      <c r="M4535" s="39">
        <f>SUMIFS(pg_transaction_cleaned!$H:$H,pg_transaction_cleaned!$O:$O,A4535,pg_transaction_cleaned!$F:$F,"REFUND")</f>
        <v>0</v>
      </c>
      <c r="N4535" s="23" t="str">
        <f t="shared" si="282"/>
        <v>OK</v>
      </c>
      <c r="O4535" s="24">
        <f t="shared" si="283"/>
        <v>0</v>
      </c>
    </row>
    <row r="4536" spans="1:15" ht="15" customHeight="1" x14ac:dyDescent="0.3">
      <c r="A4536" s="23" t="s">
        <v>9543</v>
      </c>
      <c r="B4536" s="38">
        <v>46280</v>
      </c>
      <c r="C4536" s="23" t="s">
        <v>9544</v>
      </c>
      <c r="D4536" s="23" t="s">
        <v>88</v>
      </c>
      <c r="E4536" s="23" t="s">
        <v>75</v>
      </c>
      <c r="F4536" s="23" t="s">
        <v>475</v>
      </c>
      <c r="G4536" s="23" t="s">
        <v>250</v>
      </c>
      <c r="H4536" s="39">
        <f t="shared" si="280"/>
        <v>799</v>
      </c>
      <c r="I4536" s="23" t="str">
        <f t="shared" si="281"/>
        <v>Lucknow</v>
      </c>
      <c r="J4536" s="23">
        <f>COUNTIFS(pg_transaction_cleaned!$O:$O,A4536,pg_transaction_cleaned!$F:$F,"CAPTURE")</f>
        <v>1</v>
      </c>
      <c r="K4536" s="39">
        <f>SUMIFS(pg_transaction_cleaned!$H:$H,pg_transaction_cleaned!$O:$O,A4536,pg_transaction_cleaned!$F:$F,"CAPTURE")</f>
        <v>799</v>
      </c>
      <c r="L4536" s="23">
        <f>COUNTIFS(pg_transaction_cleaned!$O:$O,A4536,pg_transaction_cleaned!$F:$F,"REFUND")</f>
        <v>0</v>
      </c>
      <c r="M4536" s="39">
        <f>SUMIFS(pg_transaction_cleaned!$H:$H,pg_transaction_cleaned!$O:$O,A4536,pg_transaction_cleaned!$F:$F,"REFUND")</f>
        <v>0</v>
      </c>
      <c r="N4536" s="23" t="str">
        <f t="shared" si="282"/>
        <v>OK</v>
      </c>
      <c r="O4536" s="24">
        <f t="shared" si="283"/>
        <v>0</v>
      </c>
    </row>
    <row r="4537" spans="1:15" ht="15" customHeight="1" x14ac:dyDescent="0.3">
      <c r="A4537" s="23" t="s">
        <v>9545</v>
      </c>
      <c r="B4537" s="38">
        <v>46280</v>
      </c>
      <c r="C4537" s="23" t="s">
        <v>9546</v>
      </c>
      <c r="D4537" s="23" t="s">
        <v>90</v>
      </c>
      <c r="E4537" s="23" t="s">
        <v>75</v>
      </c>
      <c r="F4537" s="23" t="s">
        <v>253</v>
      </c>
      <c r="G4537" s="23" t="s">
        <v>250</v>
      </c>
      <c r="H4537" s="39">
        <f t="shared" si="280"/>
        <v>4647</v>
      </c>
      <c r="I4537" s="23" t="str">
        <f t="shared" si="281"/>
        <v>Ahmedabad</v>
      </c>
      <c r="J4537" s="23">
        <f>COUNTIFS(pg_transaction_cleaned!$O:$O,A4537,pg_transaction_cleaned!$F:$F,"CAPTURE")</f>
        <v>1</v>
      </c>
      <c r="K4537" s="39">
        <f>SUMIFS(pg_transaction_cleaned!$H:$H,pg_transaction_cleaned!$O:$O,A4537,pg_transaction_cleaned!$F:$F,"CAPTURE")</f>
        <v>4647</v>
      </c>
      <c r="L4537" s="23">
        <f>COUNTIFS(pg_transaction_cleaned!$O:$O,A4537,pg_transaction_cleaned!$F:$F,"REFUND")</f>
        <v>0</v>
      </c>
      <c r="M4537" s="39">
        <f>SUMIFS(pg_transaction_cleaned!$H:$H,pg_transaction_cleaned!$O:$O,A4537,pg_transaction_cleaned!$F:$F,"REFUND")</f>
        <v>0</v>
      </c>
      <c r="N4537" s="23" t="str">
        <f t="shared" si="282"/>
        <v>OK</v>
      </c>
      <c r="O4537" s="24">
        <f t="shared" si="283"/>
        <v>0</v>
      </c>
    </row>
    <row r="4538" spans="1:15" ht="15" customHeight="1" x14ac:dyDescent="0.3">
      <c r="A4538" s="23" t="s">
        <v>9547</v>
      </c>
      <c r="B4538" s="38">
        <v>46289</v>
      </c>
      <c r="C4538" s="23" t="s">
        <v>9548</v>
      </c>
      <c r="D4538" s="23" t="s">
        <v>94</v>
      </c>
      <c r="E4538" s="23" t="s">
        <v>79</v>
      </c>
      <c r="F4538" s="23" t="s">
        <v>7627</v>
      </c>
      <c r="G4538" s="23" t="s">
        <v>250</v>
      </c>
      <c r="H4538" s="39">
        <f t="shared" si="280"/>
        <v>1747</v>
      </c>
      <c r="I4538" s="23" t="str">
        <f t="shared" si="281"/>
        <v>Chennai</v>
      </c>
      <c r="J4538" s="23">
        <f>COUNTIFS(pg_transaction_cleaned!$O:$O,A4538,pg_transaction_cleaned!$F:$F,"CAPTURE")</f>
        <v>1</v>
      </c>
      <c r="K4538" s="39">
        <f>SUMIFS(pg_transaction_cleaned!$H:$H,pg_transaction_cleaned!$O:$O,A4538,pg_transaction_cleaned!$F:$F,"CAPTURE")</f>
        <v>1747</v>
      </c>
      <c r="L4538" s="23">
        <f>COUNTIFS(pg_transaction_cleaned!$O:$O,A4538,pg_transaction_cleaned!$F:$F,"REFUND")</f>
        <v>0</v>
      </c>
      <c r="M4538" s="39">
        <f>SUMIFS(pg_transaction_cleaned!$H:$H,pg_transaction_cleaned!$O:$O,A4538,pg_transaction_cleaned!$F:$F,"REFUND")</f>
        <v>0</v>
      </c>
      <c r="N4538" s="23" t="str">
        <f t="shared" si="282"/>
        <v>OK</v>
      </c>
      <c r="O4538" s="24">
        <f t="shared" si="283"/>
        <v>0</v>
      </c>
    </row>
    <row r="4539" spans="1:15" ht="15" customHeight="1" x14ac:dyDescent="0.3">
      <c r="A4539" s="23" t="s">
        <v>9549</v>
      </c>
      <c r="B4539" s="38">
        <v>46267</v>
      </c>
      <c r="C4539" s="23" t="s">
        <v>9550</v>
      </c>
      <c r="D4539" s="23" t="s">
        <v>87</v>
      </c>
      <c r="E4539" s="23" t="s">
        <v>75</v>
      </c>
      <c r="F4539" s="23" t="s">
        <v>1108</v>
      </c>
      <c r="G4539" s="23" t="s">
        <v>250</v>
      </c>
      <c r="H4539" s="39">
        <f t="shared" si="280"/>
        <v>4098</v>
      </c>
      <c r="I4539" s="23" t="str">
        <f t="shared" si="281"/>
        <v>Mumbai</v>
      </c>
      <c r="J4539" s="23">
        <f>COUNTIFS(pg_transaction_cleaned!$O:$O,A4539,pg_transaction_cleaned!$F:$F,"CAPTURE")</f>
        <v>1</v>
      </c>
      <c r="K4539" s="39">
        <f>SUMIFS(pg_transaction_cleaned!$H:$H,pg_transaction_cleaned!$O:$O,A4539,pg_transaction_cleaned!$F:$F,"CAPTURE")</f>
        <v>4098</v>
      </c>
      <c r="L4539" s="23">
        <f>COUNTIFS(pg_transaction_cleaned!$O:$O,A4539,pg_transaction_cleaned!$F:$F,"REFUND")</f>
        <v>0</v>
      </c>
      <c r="M4539" s="39">
        <f>SUMIFS(pg_transaction_cleaned!$H:$H,pg_transaction_cleaned!$O:$O,A4539,pg_transaction_cleaned!$F:$F,"REFUND")</f>
        <v>0</v>
      </c>
      <c r="N4539" s="23" t="str">
        <f t="shared" si="282"/>
        <v>OK</v>
      </c>
      <c r="O4539" s="24">
        <f t="shared" si="283"/>
        <v>0</v>
      </c>
    </row>
    <row r="4540" spans="1:15" ht="15" customHeight="1" x14ac:dyDescent="0.3">
      <c r="A4540" s="23" t="s">
        <v>9551</v>
      </c>
      <c r="B4540" s="38">
        <v>46269</v>
      </c>
      <c r="C4540" s="23" t="s">
        <v>9552</v>
      </c>
      <c r="D4540" s="23" t="s">
        <v>91</v>
      </c>
      <c r="E4540" s="23" t="s">
        <v>75</v>
      </c>
      <c r="F4540" s="23" t="s">
        <v>1367</v>
      </c>
      <c r="G4540" s="23" t="s">
        <v>250</v>
      </c>
      <c r="H4540" s="39">
        <f t="shared" si="280"/>
        <v>898</v>
      </c>
      <c r="I4540" s="23" t="str">
        <f t="shared" si="281"/>
        <v>Pune</v>
      </c>
      <c r="J4540" s="23">
        <f>COUNTIFS(pg_transaction_cleaned!$O:$O,A4540,pg_transaction_cleaned!$F:$F,"CAPTURE")</f>
        <v>1</v>
      </c>
      <c r="K4540" s="39">
        <f>SUMIFS(pg_transaction_cleaned!$H:$H,pg_transaction_cleaned!$O:$O,A4540,pg_transaction_cleaned!$F:$F,"CAPTURE")</f>
        <v>898</v>
      </c>
      <c r="L4540" s="23">
        <f>COUNTIFS(pg_transaction_cleaned!$O:$O,A4540,pg_transaction_cleaned!$F:$F,"REFUND")</f>
        <v>0</v>
      </c>
      <c r="M4540" s="39">
        <f>SUMIFS(pg_transaction_cleaned!$H:$H,pg_transaction_cleaned!$O:$O,A4540,pg_transaction_cleaned!$F:$F,"REFUND")</f>
        <v>0</v>
      </c>
      <c r="N4540" s="23" t="str">
        <f t="shared" si="282"/>
        <v>OK</v>
      </c>
      <c r="O4540" s="24">
        <f t="shared" si="283"/>
        <v>0</v>
      </c>
    </row>
    <row r="4541" spans="1:15" ht="15" customHeight="1" x14ac:dyDescent="0.3">
      <c r="A4541" s="23" t="s">
        <v>9553</v>
      </c>
      <c r="B4541" s="38">
        <v>46280</v>
      </c>
      <c r="C4541" s="23" t="s">
        <v>9554</v>
      </c>
      <c r="D4541" s="23" t="s">
        <v>91</v>
      </c>
      <c r="E4541" s="23" t="s">
        <v>79</v>
      </c>
      <c r="F4541" s="23" t="s">
        <v>271</v>
      </c>
      <c r="G4541" s="23" t="s">
        <v>250</v>
      </c>
      <c r="H4541" s="39">
        <f t="shared" si="280"/>
        <v>2499</v>
      </c>
      <c r="I4541" s="23" t="str">
        <f t="shared" si="281"/>
        <v>Pune</v>
      </c>
      <c r="J4541" s="23">
        <f>COUNTIFS(pg_transaction_cleaned!$O:$O,A4541,pg_transaction_cleaned!$F:$F,"CAPTURE")</f>
        <v>1</v>
      </c>
      <c r="K4541" s="39">
        <f>SUMIFS(pg_transaction_cleaned!$H:$H,pg_transaction_cleaned!$O:$O,A4541,pg_transaction_cleaned!$F:$F,"CAPTURE")</f>
        <v>2499</v>
      </c>
      <c r="L4541" s="23">
        <f>COUNTIFS(pg_transaction_cleaned!$O:$O,A4541,pg_transaction_cleaned!$F:$F,"REFUND")</f>
        <v>0</v>
      </c>
      <c r="M4541" s="39">
        <f>SUMIFS(pg_transaction_cleaned!$H:$H,pg_transaction_cleaned!$O:$O,A4541,pg_transaction_cleaned!$F:$F,"REFUND")</f>
        <v>0</v>
      </c>
      <c r="N4541" s="23" t="str">
        <f t="shared" si="282"/>
        <v>OK</v>
      </c>
      <c r="O4541" s="24">
        <f t="shared" si="283"/>
        <v>0</v>
      </c>
    </row>
    <row r="4542" spans="1:15" ht="15" customHeight="1" x14ac:dyDescent="0.3">
      <c r="A4542" s="23" t="s">
        <v>9555</v>
      </c>
      <c r="B4542" s="38">
        <v>46280</v>
      </c>
      <c r="C4542" s="23" t="s">
        <v>9556</v>
      </c>
      <c r="D4542" s="23" t="s">
        <v>87</v>
      </c>
      <c r="E4542" s="23" t="s">
        <v>79</v>
      </c>
      <c r="F4542" s="23" t="s">
        <v>534</v>
      </c>
      <c r="G4542" s="23" t="s">
        <v>250</v>
      </c>
      <c r="H4542" s="39">
        <f t="shared" si="280"/>
        <v>3097</v>
      </c>
      <c r="I4542" s="23" t="str">
        <f t="shared" si="281"/>
        <v>Mumbai</v>
      </c>
      <c r="J4542" s="23">
        <f>COUNTIFS(pg_transaction_cleaned!$O:$O,A4542,pg_transaction_cleaned!$F:$F,"CAPTURE")</f>
        <v>1</v>
      </c>
      <c r="K4542" s="39">
        <f>SUMIFS(pg_transaction_cleaned!$H:$H,pg_transaction_cleaned!$O:$O,A4542,pg_transaction_cleaned!$F:$F,"CAPTURE")</f>
        <v>3097</v>
      </c>
      <c r="L4542" s="23">
        <f>COUNTIFS(pg_transaction_cleaned!$O:$O,A4542,pg_transaction_cleaned!$F:$F,"REFUND")</f>
        <v>0</v>
      </c>
      <c r="M4542" s="39">
        <f>SUMIFS(pg_transaction_cleaned!$H:$H,pg_transaction_cleaned!$O:$O,A4542,pg_transaction_cleaned!$F:$F,"REFUND")</f>
        <v>0</v>
      </c>
      <c r="N4542" s="23" t="str">
        <f t="shared" si="282"/>
        <v>OK</v>
      </c>
      <c r="O4542" s="24">
        <f t="shared" si="283"/>
        <v>0</v>
      </c>
    </row>
    <row r="4543" spans="1:15" ht="15" customHeight="1" x14ac:dyDescent="0.3">
      <c r="A4543" s="23" t="s">
        <v>9557</v>
      </c>
      <c r="B4543" s="38">
        <v>46281</v>
      </c>
      <c r="C4543" s="23" t="s">
        <v>9558</v>
      </c>
      <c r="D4543" s="23" t="s">
        <v>94</v>
      </c>
      <c r="E4543" s="23" t="s">
        <v>77</v>
      </c>
      <c r="F4543" s="23" t="s">
        <v>772</v>
      </c>
      <c r="G4543" s="23" t="s">
        <v>250</v>
      </c>
      <c r="H4543" s="39">
        <f t="shared" si="280"/>
        <v>4798</v>
      </c>
      <c r="I4543" s="23" t="str">
        <f t="shared" si="281"/>
        <v>Chennai</v>
      </c>
      <c r="J4543" s="23">
        <f>COUNTIFS(pg_transaction_cleaned!$O:$O,A4543,pg_transaction_cleaned!$F:$F,"CAPTURE")</f>
        <v>1</v>
      </c>
      <c r="K4543" s="39">
        <f>SUMIFS(pg_transaction_cleaned!$H:$H,pg_transaction_cleaned!$O:$O,A4543,pg_transaction_cleaned!$F:$F,"CAPTURE")</f>
        <v>4798</v>
      </c>
      <c r="L4543" s="23">
        <f>COUNTIFS(pg_transaction_cleaned!$O:$O,A4543,pg_transaction_cleaned!$F:$F,"REFUND")</f>
        <v>0</v>
      </c>
      <c r="M4543" s="39">
        <f>SUMIFS(pg_transaction_cleaned!$H:$H,pg_transaction_cleaned!$O:$O,A4543,pg_transaction_cleaned!$F:$F,"REFUND")</f>
        <v>0</v>
      </c>
      <c r="N4543" s="23" t="str">
        <f t="shared" si="282"/>
        <v>OK</v>
      </c>
      <c r="O4543" s="24">
        <f t="shared" si="283"/>
        <v>0</v>
      </c>
    </row>
    <row r="4544" spans="1:15" ht="15" customHeight="1" x14ac:dyDescent="0.3">
      <c r="A4544" s="23" t="s">
        <v>9559</v>
      </c>
      <c r="B4544" s="38">
        <v>46287</v>
      </c>
      <c r="C4544" s="23" t="s">
        <v>9560</v>
      </c>
      <c r="D4544" s="23" t="s">
        <v>88</v>
      </c>
      <c r="E4544" s="23" t="s">
        <v>75</v>
      </c>
      <c r="F4544" s="23" t="s">
        <v>268</v>
      </c>
      <c r="G4544" s="23" t="s">
        <v>365</v>
      </c>
      <c r="H4544" s="39">
        <f t="shared" si="280"/>
        <v>1299</v>
      </c>
      <c r="I4544" s="23" t="str">
        <f t="shared" si="281"/>
        <v>Lucknow</v>
      </c>
      <c r="J4544" s="23">
        <f>COUNTIFS(pg_transaction_cleaned!$O:$O,A4544,pg_transaction_cleaned!$F:$F,"CAPTURE")</f>
        <v>0</v>
      </c>
      <c r="K4544" s="39">
        <f>SUMIFS(pg_transaction_cleaned!$H:$H,pg_transaction_cleaned!$O:$O,A4544,pg_transaction_cleaned!$F:$F,"CAPTURE")</f>
        <v>0</v>
      </c>
      <c r="L4544" s="23">
        <f>COUNTIFS(pg_transaction_cleaned!$O:$O,A4544,pg_transaction_cleaned!$F:$F,"REFUND")</f>
        <v>0</v>
      </c>
      <c r="M4544" s="39">
        <f>SUMIFS(pg_transaction_cleaned!$H:$H,pg_transaction_cleaned!$O:$O,A4544,pg_transaction_cleaned!$F:$F,"REFUND")</f>
        <v>0</v>
      </c>
      <c r="N4544" s="23" t="str">
        <f t="shared" si="282"/>
        <v>OK</v>
      </c>
      <c r="O4544" s="24">
        <f t="shared" si="283"/>
        <v>0</v>
      </c>
    </row>
    <row r="4545" spans="1:15" ht="15" customHeight="1" x14ac:dyDescent="0.3">
      <c r="A4545" s="23" t="s">
        <v>9561</v>
      </c>
      <c r="B4545" s="38">
        <v>46291</v>
      </c>
      <c r="C4545" s="23" t="s">
        <v>9562</v>
      </c>
      <c r="D4545" s="23" t="s">
        <v>93</v>
      </c>
      <c r="E4545" s="23" t="s">
        <v>79</v>
      </c>
      <c r="F4545" s="23" t="s">
        <v>396</v>
      </c>
      <c r="G4545" s="23" t="s">
        <v>250</v>
      </c>
      <c r="H4545" s="39">
        <f t="shared" si="280"/>
        <v>2999</v>
      </c>
      <c r="I4545" s="23" t="str">
        <f t="shared" si="281"/>
        <v>Kolkata</v>
      </c>
      <c r="J4545" s="23">
        <f>COUNTIFS(pg_transaction_cleaned!$O:$O,A4545,pg_transaction_cleaned!$F:$F,"CAPTURE")</f>
        <v>1</v>
      </c>
      <c r="K4545" s="39">
        <f>SUMIFS(pg_transaction_cleaned!$H:$H,pg_transaction_cleaned!$O:$O,A4545,pg_transaction_cleaned!$F:$F,"CAPTURE")</f>
        <v>2999</v>
      </c>
      <c r="L4545" s="23">
        <f>COUNTIFS(pg_transaction_cleaned!$O:$O,A4545,pg_transaction_cleaned!$F:$F,"REFUND")</f>
        <v>0</v>
      </c>
      <c r="M4545" s="39">
        <f>SUMIFS(pg_transaction_cleaned!$H:$H,pg_transaction_cleaned!$O:$O,A4545,pg_transaction_cleaned!$F:$F,"REFUND")</f>
        <v>0</v>
      </c>
      <c r="N4545" s="23" t="str">
        <f t="shared" si="282"/>
        <v>OK</v>
      </c>
      <c r="O4545" s="24">
        <f t="shared" si="283"/>
        <v>0</v>
      </c>
    </row>
    <row r="4546" spans="1:15" ht="15" customHeight="1" x14ac:dyDescent="0.3">
      <c r="A4546" s="23" t="s">
        <v>9563</v>
      </c>
      <c r="B4546" s="38">
        <v>46280</v>
      </c>
      <c r="C4546" s="23" t="s">
        <v>9564</v>
      </c>
      <c r="D4546" s="23" t="s">
        <v>90</v>
      </c>
      <c r="E4546" s="23" t="s">
        <v>75</v>
      </c>
      <c r="F4546" s="23" t="s">
        <v>567</v>
      </c>
      <c r="G4546" s="23" t="s">
        <v>250</v>
      </c>
      <c r="H4546" s="39">
        <f t="shared" ref="H4546:H4609" si="284">VALUE(SUBSTITUTE(F4546,",",""))</f>
        <v>3598</v>
      </c>
      <c r="I4546" s="23" t="str">
        <f t="shared" ref="I4546:I4609" si="285">IF(TRIM(D4546)="","Unknown",TRIM(D4546))</f>
        <v>Ahmedabad</v>
      </c>
      <c r="J4546" s="23">
        <f>COUNTIFS(pg_transaction_cleaned!$O:$O,A4546,pg_transaction_cleaned!$F:$F,"CAPTURE")</f>
        <v>1</v>
      </c>
      <c r="K4546" s="39">
        <f>SUMIFS(pg_transaction_cleaned!$H:$H,pg_transaction_cleaned!$O:$O,A4546,pg_transaction_cleaned!$F:$F,"CAPTURE")</f>
        <v>3598</v>
      </c>
      <c r="L4546" s="23">
        <f>COUNTIFS(pg_transaction_cleaned!$O:$O,A4546,pg_transaction_cleaned!$F:$F,"REFUND")</f>
        <v>0</v>
      </c>
      <c r="M4546" s="39">
        <f>SUMIFS(pg_transaction_cleaned!$H:$H,pg_transaction_cleaned!$O:$O,A4546,pg_transaction_cleaned!$F:$F,"REFUND")</f>
        <v>0</v>
      </c>
      <c r="N4546" s="23" t="str">
        <f t="shared" ref="N4546:N4609" si="286">IF(AND(G4546="Paid",J4546=0),"Paid, no payment",IF(AND(OR(G4546="Failed",G4546="Cancelled"),J4546&gt;0),"Payment on failed/cancelled",IF(J4546&gt;1,"Duplicate charge",IF(AND(J4546=1,ROUND(K4546-H4546,2)&lt;&gt;0),"Amount difference",IF(AND(G4546="Refunded",L4546=0),"Refunded, no refund",IF(AND(G4546&lt;&gt;"Refunded",L4546&gt;0),"Refund, order not Refunded",IF(AND(L4546&gt;0,ROUND(M4546-H4546,2)&lt;&gt;0),"Refund amount differs","OK")))))))</f>
        <v>OK</v>
      </c>
      <c r="O4546" s="24">
        <f t="shared" ref="O4546:O4609" si="287">IF(N4546="OK",0,IF(N4546="Paid, no payment",H4546,IF(N4546="Payment on failed/cancelled",K4546,IF(OR(N4546="Duplicate charge",N4546="Amount difference"),K4546-H4546,IF(N4546="Refunded, no refund",H4546,M4546)))))</f>
        <v>0</v>
      </c>
    </row>
    <row r="4547" spans="1:15" ht="15" customHeight="1" x14ac:dyDescent="0.3">
      <c r="A4547" s="23" t="s">
        <v>9565</v>
      </c>
      <c r="B4547" s="38">
        <v>46273</v>
      </c>
      <c r="C4547" s="23" t="s">
        <v>9566</v>
      </c>
      <c r="D4547" s="23"/>
      <c r="E4547" s="23" t="s">
        <v>79</v>
      </c>
      <c r="F4547" s="23" t="s">
        <v>396</v>
      </c>
      <c r="G4547" s="23" t="s">
        <v>250</v>
      </c>
      <c r="H4547" s="39">
        <f t="shared" si="284"/>
        <v>2999</v>
      </c>
      <c r="I4547" s="23" t="str">
        <f t="shared" si="285"/>
        <v>Unknown</v>
      </c>
      <c r="J4547" s="23">
        <f>COUNTIFS(pg_transaction_cleaned!$O:$O,A4547,pg_transaction_cleaned!$F:$F,"CAPTURE")</f>
        <v>1</v>
      </c>
      <c r="K4547" s="39">
        <f>SUMIFS(pg_transaction_cleaned!$H:$H,pg_transaction_cleaned!$O:$O,A4547,pg_transaction_cleaned!$F:$F,"CAPTURE")</f>
        <v>2999</v>
      </c>
      <c r="L4547" s="23">
        <f>COUNTIFS(pg_transaction_cleaned!$O:$O,A4547,pg_transaction_cleaned!$F:$F,"REFUND")</f>
        <v>0</v>
      </c>
      <c r="M4547" s="39">
        <f>SUMIFS(pg_transaction_cleaned!$H:$H,pg_transaction_cleaned!$O:$O,A4547,pg_transaction_cleaned!$F:$F,"REFUND")</f>
        <v>0</v>
      </c>
      <c r="N4547" s="23" t="str">
        <f t="shared" si="286"/>
        <v>OK</v>
      </c>
      <c r="O4547" s="24">
        <f t="shared" si="287"/>
        <v>0</v>
      </c>
    </row>
    <row r="4548" spans="1:15" ht="15" customHeight="1" x14ac:dyDescent="0.3">
      <c r="A4548" s="23" t="s">
        <v>9567</v>
      </c>
      <c r="B4548" s="38">
        <v>46267</v>
      </c>
      <c r="C4548" s="23" t="s">
        <v>9568</v>
      </c>
      <c r="D4548" s="23"/>
      <c r="E4548" s="23" t="s">
        <v>75</v>
      </c>
      <c r="F4548" s="23" t="s">
        <v>349</v>
      </c>
      <c r="G4548" s="23" t="s">
        <v>250</v>
      </c>
      <c r="H4548" s="39">
        <f t="shared" si="284"/>
        <v>1798</v>
      </c>
      <c r="I4548" s="23" t="str">
        <f t="shared" si="285"/>
        <v>Unknown</v>
      </c>
      <c r="J4548" s="23">
        <f>COUNTIFS(pg_transaction_cleaned!$O:$O,A4548,pg_transaction_cleaned!$F:$F,"CAPTURE")</f>
        <v>1</v>
      </c>
      <c r="K4548" s="39">
        <f>SUMIFS(pg_transaction_cleaned!$H:$H,pg_transaction_cleaned!$O:$O,A4548,pg_transaction_cleaned!$F:$F,"CAPTURE")</f>
        <v>1798</v>
      </c>
      <c r="L4548" s="23">
        <f>COUNTIFS(pg_transaction_cleaned!$O:$O,A4548,pg_transaction_cleaned!$F:$F,"REFUND")</f>
        <v>0</v>
      </c>
      <c r="M4548" s="39">
        <f>SUMIFS(pg_transaction_cleaned!$H:$H,pg_transaction_cleaned!$O:$O,A4548,pg_transaction_cleaned!$F:$F,"REFUND")</f>
        <v>0</v>
      </c>
      <c r="N4548" s="23" t="str">
        <f t="shared" si="286"/>
        <v>OK</v>
      </c>
      <c r="O4548" s="24">
        <f t="shared" si="287"/>
        <v>0</v>
      </c>
    </row>
    <row r="4549" spans="1:15" ht="15" customHeight="1" x14ac:dyDescent="0.3">
      <c r="A4549" s="23" t="s">
        <v>9569</v>
      </c>
      <c r="B4549" s="38">
        <v>46290</v>
      </c>
      <c r="C4549" s="23" t="s">
        <v>9570</v>
      </c>
      <c r="D4549" s="23" t="s">
        <v>95</v>
      </c>
      <c r="E4549" s="23" t="s">
        <v>75</v>
      </c>
      <c r="F4549" s="23" t="s">
        <v>329</v>
      </c>
      <c r="G4549" s="23" t="s">
        <v>250</v>
      </c>
      <c r="H4549" s="39">
        <f t="shared" si="284"/>
        <v>599</v>
      </c>
      <c r="I4549" s="23" t="str">
        <f t="shared" si="285"/>
        <v>Bengaluru</v>
      </c>
      <c r="J4549" s="23">
        <f>COUNTIFS(pg_transaction_cleaned!$O:$O,A4549,pg_transaction_cleaned!$F:$F,"CAPTURE")</f>
        <v>1</v>
      </c>
      <c r="K4549" s="39">
        <f>SUMIFS(pg_transaction_cleaned!$H:$H,pg_transaction_cleaned!$O:$O,A4549,pg_transaction_cleaned!$F:$F,"CAPTURE")</f>
        <v>599</v>
      </c>
      <c r="L4549" s="23">
        <f>COUNTIFS(pg_transaction_cleaned!$O:$O,A4549,pg_transaction_cleaned!$F:$F,"REFUND")</f>
        <v>0</v>
      </c>
      <c r="M4549" s="39">
        <f>SUMIFS(pg_transaction_cleaned!$H:$H,pg_transaction_cleaned!$O:$O,A4549,pg_transaction_cleaned!$F:$F,"REFUND")</f>
        <v>0</v>
      </c>
      <c r="N4549" s="23" t="str">
        <f t="shared" si="286"/>
        <v>OK</v>
      </c>
      <c r="O4549" s="24">
        <f t="shared" si="287"/>
        <v>0</v>
      </c>
    </row>
    <row r="4550" spans="1:15" ht="15" customHeight="1" x14ac:dyDescent="0.3">
      <c r="A4550" s="23" t="s">
        <v>9571</v>
      </c>
      <c r="B4550" s="38">
        <v>46285</v>
      </c>
      <c r="C4550" s="23" t="s">
        <v>9572</v>
      </c>
      <c r="D4550" s="23" t="s">
        <v>92</v>
      </c>
      <c r="E4550" s="23" t="s">
        <v>75</v>
      </c>
      <c r="F4550" s="23" t="s">
        <v>393</v>
      </c>
      <c r="G4550" s="23" t="s">
        <v>250</v>
      </c>
      <c r="H4550" s="39">
        <f t="shared" si="284"/>
        <v>349</v>
      </c>
      <c r="I4550" s="23" t="str">
        <f t="shared" si="285"/>
        <v>Hyderabad</v>
      </c>
      <c r="J4550" s="23">
        <f>COUNTIFS(pg_transaction_cleaned!$O:$O,A4550,pg_transaction_cleaned!$F:$F,"CAPTURE")</f>
        <v>1</v>
      </c>
      <c r="K4550" s="39">
        <f>SUMIFS(pg_transaction_cleaned!$H:$H,pg_transaction_cleaned!$O:$O,A4550,pg_transaction_cleaned!$F:$F,"CAPTURE")</f>
        <v>349</v>
      </c>
      <c r="L4550" s="23">
        <f>COUNTIFS(pg_transaction_cleaned!$O:$O,A4550,pg_transaction_cleaned!$F:$F,"REFUND")</f>
        <v>0</v>
      </c>
      <c r="M4550" s="39">
        <f>SUMIFS(pg_transaction_cleaned!$H:$H,pg_transaction_cleaned!$O:$O,A4550,pg_transaction_cleaned!$F:$F,"REFUND")</f>
        <v>0</v>
      </c>
      <c r="N4550" s="23" t="str">
        <f t="shared" si="286"/>
        <v>OK</v>
      </c>
      <c r="O4550" s="24">
        <f t="shared" si="287"/>
        <v>0</v>
      </c>
    </row>
    <row r="4551" spans="1:15" ht="15" customHeight="1" x14ac:dyDescent="0.3">
      <c r="A4551" s="23" t="s">
        <v>9573</v>
      </c>
      <c r="B4551" s="38">
        <v>46271</v>
      </c>
      <c r="C4551" s="23" t="s">
        <v>9574</v>
      </c>
      <c r="D4551" s="23" t="s">
        <v>95</v>
      </c>
      <c r="E4551" s="23" t="s">
        <v>75</v>
      </c>
      <c r="F4551" s="23" t="s">
        <v>307</v>
      </c>
      <c r="G4551" s="23" t="s">
        <v>301</v>
      </c>
      <c r="H4551" s="39">
        <f t="shared" si="284"/>
        <v>3798</v>
      </c>
      <c r="I4551" s="23" t="str">
        <f t="shared" si="285"/>
        <v>Bengaluru</v>
      </c>
      <c r="J4551" s="23">
        <f>COUNTIFS(pg_transaction_cleaned!$O:$O,A4551,pg_transaction_cleaned!$F:$F,"CAPTURE")</f>
        <v>1</v>
      </c>
      <c r="K4551" s="39">
        <f>SUMIFS(pg_transaction_cleaned!$H:$H,pg_transaction_cleaned!$O:$O,A4551,pg_transaction_cleaned!$F:$F,"CAPTURE")</f>
        <v>3798</v>
      </c>
      <c r="L4551" s="23">
        <f>COUNTIFS(pg_transaction_cleaned!$O:$O,A4551,pg_transaction_cleaned!$F:$F,"REFUND")</f>
        <v>1</v>
      </c>
      <c r="M4551" s="39">
        <f>SUMIFS(pg_transaction_cleaned!$H:$H,pg_transaction_cleaned!$O:$O,A4551,pg_transaction_cleaned!$F:$F,"REFUND")</f>
        <v>3798</v>
      </c>
      <c r="N4551" s="23" t="str">
        <f t="shared" si="286"/>
        <v>OK</v>
      </c>
      <c r="O4551" s="24">
        <f t="shared" si="287"/>
        <v>0</v>
      </c>
    </row>
    <row r="4552" spans="1:15" ht="15" customHeight="1" x14ac:dyDescent="0.3">
      <c r="A4552" s="23" t="s">
        <v>9575</v>
      </c>
      <c r="B4552" s="38">
        <v>46276</v>
      </c>
      <c r="C4552" s="23" t="s">
        <v>9576</v>
      </c>
      <c r="D4552" s="23" t="s">
        <v>92</v>
      </c>
      <c r="E4552" s="23" t="s">
        <v>75</v>
      </c>
      <c r="F4552" s="23" t="s">
        <v>612</v>
      </c>
      <c r="G4552" s="23" t="s">
        <v>250</v>
      </c>
      <c r="H4552" s="39">
        <f t="shared" si="284"/>
        <v>8498</v>
      </c>
      <c r="I4552" s="23" t="str">
        <f t="shared" si="285"/>
        <v>Hyderabad</v>
      </c>
      <c r="J4552" s="23">
        <f>COUNTIFS(pg_transaction_cleaned!$O:$O,A4552,pg_transaction_cleaned!$F:$F,"CAPTURE")</f>
        <v>1</v>
      </c>
      <c r="K4552" s="39">
        <f>SUMIFS(pg_transaction_cleaned!$H:$H,pg_transaction_cleaned!$O:$O,A4552,pg_transaction_cleaned!$F:$F,"CAPTURE")</f>
        <v>8498</v>
      </c>
      <c r="L4552" s="23">
        <f>COUNTIFS(pg_transaction_cleaned!$O:$O,A4552,pg_transaction_cleaned!$F:$F,"REFUND")</f>
        <v>0</v>
      </c>
      <c r="M4552" s="39">
        <f>SUMIFS(pg_transaction_cleaned!$H:$H,pg_transaction_cleaned!$O:$O,A4552,pg_transaction_cleaned!$F:$F,"REFUND")</f>
        <v>0</v>
      </c>
      <c r="N4552" s="23" t="str">
        <f t="shared" si="286"/>
        <v>OK</v>
      </c>
      <c r="O4552" s="24">
        <f t="shared" si="287"/>
        <v>0</v>
      </c>
    </row>
    <row r="4553" spans="1:15" ht="15" customHeight="1" x14ac:dyDescent="0.3">
      <c r="A4553" s="23" t="s">
        <v>9577</v>
      </c>
      <c r="B4553" s="38">
        <v>46282</v>
      </c>
      <c r="C4553" s="23" t="s">
        <v>9578</v>
      </c>
      <c r="D4553" s="23" t="s">
        <v>87</v>
      </c>
      <c r="E4553" s="23" t="s">
        <v>81</v>
      </c>
      <c r="F4553" s="23" t="s">
        <v>329</v>
      </c>
      <c r="G4553" s="23" t="s">
        <v>250</v>
      </c>
      <c r="H4553" s="39">
        <f t="shared" si="284"/>
        <v>599</v>
      </c>
      <c r="I4553" s="23" t="str">
        <f t="shared" si="285"/>
        <v>Mumbai</v>
      </c>
      <c r="J4553" s="23">
        <f>COUNTIFS(pg_transaction_cleaned!$O:$O,A4553,pg_transaction_cleaned!$F:$F,"CAPTURE")</f>
        <v>1</v>
      </c>
      <c r="K4553" s="39">
        <f>SUMIFS(pg_transaction_cleaned!$H:$H,pg_transaction_cleaned!$O:$O,A4553,pg_transaction_cleaned!$F:$F,"CAPTURE")</f>
        <v>599</v>
      </c>
      <c r="L4553" s="23">
        <f>COUNTIFS(pg_transaction_cleaned!$O:$O,A4553,pg_transaction_cleaned!$F:$F,"REFUND")</f>
        <v>0</v>
      </c>
      <c r="M4553" s="39">
        <f>SUMIFS(pg_transaction_cleaned!$H:$H,pg_transaction_cleaned!$O:$O,A4553,pg_transaction_cleaned!$F:$F,"REFUND")</f>
        <v>0</v>
      </c>
      <c r="N4553" s="23" t="str">
        <f t="shared" si="286"/>
        <v>OK</v>
      </c>
      <c r="O4553" s="24">
        <f t="shared" si="287"/>
        <v>0</v>
      </c>
    </row>
    <row r="4554" spans="1:15" ht="15" customHeight="1" x14ac:dyDescent="0.3">
      <c r="A4554" s="23" t="s">
        <v>9579</v>
      </c>
      <c r="B4554" s="38">
        <v>46287</v>
      </c>
      <c r="C4554" s="23" t="s">
        <v>9580</v>
      </c>
      <c r="D4554" s="23" t="s">
        <v>93</v>
      </c>
      <c r="E4554" s="23" t="s">
        <v>75</v>
      </c>
      <c r="F4554" s="23" t="s">
        <v>315</v>
      </c>
      <c r="G4554" s="23" t="s">
        <v>250</v>
      </c>
      <c r="H4554" s="39">
        <f t="shared" si="284"/>
        <v>1499</v>
      </c>
      <c r="I4554" s="23" t="str">
        <f t="shared" si="285"/>
        <v>Kolkata</v>
      </c>
      <c r="J4554" s="23">
        <f>COUNTIFS(pg_transaction_cleaned!$O:$O,A4554,pg_transaction_cleaned!$F:$F,"CAPTURE")</f>
        <v>1</v>
      </c>
      <c r="K4554" s="39">
        <f>SUMIFS(pg_transaction_cleaned!$H:$H,pg_transaction_cleaned!$O:$O,A4554,pg_transaction_cleaned!$F:$F,"CAPTURE")</f>
        <v>1499</v>
      </c>
      <c r="L4554" s="23">
        <f>COUNTIFS(pg_transaction_cleaned!$O:$O,A4554,pg_transaction_cleaned!$F:$F,"REFUND")</f>
        <v>0</v>
      </c>
      <c r="M4554" s="39">
        <f>SUMIFS(pg_transaction_cleaned!$H:$H,pg_transaction_cleaned!$O:$O,A4554,pg_transaction_cleaned!$F:$F,"REFUND")</f>
        <v>0</v>
      </c>
      <c r="N4554" s="23" t="str">
        <f t="shared" si="286"/>
        <v>OK</v>
      </c>
      <c r="O4554" s="24">
        <f t="shared" si="287"/>
        <v>0</v>
      </c>
    </row>
    <row r="4555" spans="1:15" ht="15" customHeight="1" x14ac:dyDescent="0.3">
      <c r="A4555" s="23" t="s">
        <v>9581</v>
      </c>
      <c r="B4555" s="38">
        <v>46292</v>
      </c>
      <c r="C4555" s="23" t="s">
        <v>9582</v>
      </c>
      <c r="D4555" s="23" t="s">
        <v>89</v>
      </c>
      <c r="E4555" s="23" t="s">
        <v>75</v>
      </c>
      <c r="F4555" s="23" t="s">
        <v>294</v>
      </c>
      <c r="G4555" s="23" t="s">
        <v>250</v>
      </c>
      <c r="H4555" s="39">
        <f t="shared" si="284"/>
        <v>1799</v>
      </c>
      <c r="I4555" s="23" t="str">
        <f t="shared" si="285"/>
        <v>Jaipur</v>
      </c>
      <c r="J4555" s="23">
        <f>COUNTIFS(pg_transaction_cleaned!$O:$O,A4555,pg_transaction_cleaned!$F:$F,"CAPTURE")</f>
        <v>1</v>
      </c>
      <c r="K4555" s="39">
        <f>SUMIFS(pg_transaction_cleaned!$H:$H,pg_transaction_cleaned!$O:$O,A4555,pg_transaction_cleaned!$F:$F,"CAPTURE")</f>
        <v>1799</v>
      </c>
      <c r="L4555" s="23">
        <f>COUNTIFS(pg_transaction_cleaned!$O:$O,A4555,pg_transaction_cleaned!$F:$F,"REFUND")</f>
        <v>0</v>
      </c>
      <c r="M4555" s="39">
        <f>SUMIFS(pg_transaction_cleaned!$H:$H,pg_transaction_cleaned!$O:$O,A4555,pg_transaction_cleaned!$F:$F,"REFUND")</f>
        <v>0</v>
      </c>
      <c r="N4555" s="23" t="str">
        <f t="shared" si="286"/>
        <v>OK</v>
      </c>
      <c r="O4555" s="24">
        <f t="shared" si="287"/>
        <v>0</v>
      </c>
    </row>
    <row r="4556" spans="1:15" ht="15" customHeight="1" x14ac:dyDescent="0.3">
      <c r="A4556" s="23" t="s">
        <v>9583</v>
      </c>
      <c r="B4556" s="38">
        <v>46271</v>
      </c>
      <c r="C4556" s="23" t="s">
        <v>9584</v>
      </c>
      <c r="D4556" s="23" t="s">
        <v>90</v>
      </c>
      <c r="E4556" s="23" t="s">
        <v>79</v>
      </c>
      <c r="F4556" s="23" t="s">
        <v>262</v>
      </c>
      <c r="G4556" s="23" t="s">
        <v>318</v>
      </c>
      <c r="H4556" s="39">
        <f t="shared" si="284"/>
        <v>499</v>
      </c>
      <c r="I4556" s="23" t="str">
        <f t="shared" si="285"/>
        <v>Ahmedabad</v>
      </c>
      <c r="J4556" s="23">
        <f>COUNTIFS(pg_transaction_cleaned!$O:$O,A4556,pg_transaction_cleaned!$F:$F,"CAPTURE")</f>
        <v>0</v>
      </c>
      <c r="K4556" s="39">
        <f>SUMIFS(pg_transaction_cleaned!$H:$H,pg_transaction_cleaned!$O:$O,A4556,pg_transaction_cleaned!$F:$F,"CAPTURE")</f>
        <v>0</v>
      </c>
      <c r="L4556" s="23">
        <f>COUNTIFS(pg_transaction_cleaned!$O:$O,A4556,pg_transaction_cleaned!$F:$F,"REFUND")</f>
        <v>0</v>
      </c>
      <c r="M4556" s="39">
        <f>SUMIFS(pg_transaction_cleaned!$H:$H,pg_transaction_cleaned!$O:$O,A4556,pg_transaction_cleaned!$F:$F,"REFUND")</f>
        <v>0</v>
      </c>
      <c r="N4556" s="23" t="str">
        <f t="shared" si="286"/>
        <v>OK</v>
      </c>
      <c r="O4556" s="24">
        <f t="shared" si="287"/>
        <v>0</v>
      </c>
    </row>
    <row r="4557" spans="1:15" ht="15" customHeight="1" x14ac:dyDescent="0.3">
      <c r="A4557" s="23" t="s">
        <v>9585</v>
      </c>
      <c r="B4557" s="38">
        <v>46291</v>
      </c>
      <c r="C4557" s="23" t="s">
        <v>9586</v>
      </c>
      <c r="D4557" s="23" t="s">
        <v>89</v>
      </c>
      <c r="E4557" s="23" t="s">
        <v>75</v>
      </c>
      <c r="F4557" s="23" t="s">
        <v>288</v>
      </c>
      <c r="G4557" s="23" t="s">
        <v>250</v>
      </c>
      <c r="H4557" s="39">
        <f t="shared" si="284"/>
        <v>4298</v>
      </c>
      <c r="I4557" s="23" t="str">
        <f t="shared" si="285"/>
        <v>Jaipur</v>
      </c>
      <c r="J4557" s="23">
        <f>COUNTIFS(pg_transaction_cleaned!$O:$O,A4557,pg_transaction_cleaned!$F:$F,"CAPTURE")</f>
        <v>1</v>
      </c>
      <c r="K4557" s="39">
        <f>SUMIFS(pg_transaction_cleaned!$H:$H,pg_transaction_cleaned!$O:$O,A4557,pg_transaction_cleaned!$F:$F,"CAPTURE")</f>
        <v>4298</v>
      </c>
      <c r="L4557" s="23">
        <f>COUNTIFS(pg_transaction_cleaned!$O:$O,A4557,pg_transaction_cleaned!$F:$F,"REFUND")</f>
        <v>0</v>
      </c>
      <c r="M4557" s="39">
        <f>SUMIFS(pg_transaction_cleaned!$H:$H,pg_transaction_cleaned!$O:$O,A4557,pg_transaction_cleaned!$F:$F,"REFUND")</f>
        <v>0</v>
      </c>
      <c r="N4557" s="23" t="str">
        <f t="shared" si="286"/>
        <v>OK</v>
      </c>
      <c r="O4557" s="24">
        <f t="shared" si="287"/>
        <v>0</v>
      </c>
    </row>
    <row r="4558" spans="1:15" ht="15" customHeight="1" x14ac:dyDescent="0.3">
      <c r="A4558" s="23" t="s">
        <v>9587</v>
      </c>
      <c r="B4558" s="38">
        <v>46278</v>
      </c>
      <c r="C4558" s="23" t="s">
        <v>9588</v>
      </c>
      <c r="D4558" s="23" t="s">
        <v>95</v>
      </c>
      <c r="E4558" s="23" t="s">
        <v>75</v>
      </c>
      <c r="F4558" s="23" t="s">
        <v>378</v>
      </c>
      <c r="G4558" s="23" t="s">
        <v>250</v>
      </c>
      <c r="H4558" s="39">
        <f t="shared" si="284"/>
        <v>2848</v>
      </c>
      <c r="I4558" s="23" t="str">
        <f t="shared" si="285"/>
        <v>Bengaluru</v>
      </c>
      <c r="J4558" s="23">
        <f>COUNTIFS(pg_transaction_cleaned!$O:$O,A4558,pg_transaction_cleaned!$F:$F,"CAPTURE")</f>
        <v>1</v>
      </c>
      <c r="K4558" s="39">
        <f>SUMIFS(pg_transaction_cleaned!$H:$H,pg_transaction_cleaned!$O:$O,A4558,pg_transaction_cleaned!$F:$F,"CAPTURE")</f>
        <v>2848</v>
      </c>
      <c r="L4558" s="23">
        <f>COUNTIFS(pg_transaction_cleaned!$O:$O,A4558,pg_transaction_cleaned!$F:$F,"REFUND")</f>
        <v>0</v>
      </c>
      <c r="M4558" s="39">
        <f>SUMIFS(pg_transaction_cleaned!$H:$H,pg_transaction_cleaned!$O:$O,A4558,pg_transaction_cleaned!$F:$F,"REFUND")</f>
        <v>0</v>
      </c>
      <c r="N4558" s="23" t="str">
        <f t="shared" si="286"/>
        <v>OK</v>
      </c>
      <c r="O4558" s="24">
        <f t="shared" si="287"/>
        <v>0</v>
      </c>
    </row>
    <row r="4559" spans="1:15" ht="15" customHeight="1" x14ac:dyDescent="0.3">
      <c r="A4559" s="23" t="s">
        <v>9589</v>
      </c>
      <c r="B4559" s="38">
        <v>46291</v>
      </c>
      <c r="C4559" s="23" t="s">
        <v>9590</v>
      </c>
      <c r="D4559" s="23" t="s">
        <v>86</v>
      </c>
      <c r="E4559" s="23" t="s">
        <v>79</v>
      </c>
      <c r="F4559" s="23" t="s">
        <v>274</v>
      </c>
      <c r="G4559" s="23" t="s">
        <v>250</v>
      </c>
      <c r="H4559" s="39">
        <f t="shared" si="284"/>
        <v>349</v>
      </c>
      <c r="I4559" s="23" t="str">
        <f t="shared" si="285"/>
        <v>Delhi</v>
      </c>
      <c r="J4559" s="23">
        <f>COUNTIFS(pg_transaction_cleaned!$O:$O,A4559,pg_transaction_cleaned!$F:$F,"CAPTURE")</f>
        <v>1</v>
      </c>
      <c r="K4559" s="39">
        <f>SUMIFS(pg_transaction_cleaned!$H:$H,pg_transaction_cleaned!$O:$O,A4559,pg_transaction_cleaned!$F:$F,"CAPTURE")</f>
        <v>349</v>
      </c>
      <c r="L4559" s="23">
        <f>COUNTIFS(pg_transaction_cleaned!$O:$O,A4559,pg_transaction_cleaned!$F:$F,"REFUND")</f>
        <v>0</v>
      </c>
      <c r="M4559" s="39">
        <f>SUMIFS(pg_transaction_cleaned!$H:$H,pg_transaction_cleaned!$O:$O,A4559,pg_transaction_cleaned!$F:$F,"REFUND")</f>
        <v>0</v>
      </c>
      <c r="N4559" s="23" t="str">
        <f t="shared" si="286"/>
        <v>OK</v>
      </c>
      <c r="O4559" s="24">
        <f t="shared" si="287"/>
        <v>0</v>
      </c>
    </row>
    <row r="4560" spans="1:15" ht="15" customHeight="1" x14ac:dyDescent="0.3">
      <c r="A4560" s="23" t="s">
        <v>9591</v>
      </c>
      <c r="B4560" s="38">
        <v>46291</v>
      </c>
      <c r="C4560" s="23" t="s">
        <v>9592</v>
      </c>
      <c r="D4560" s="23" t="s">
        <v>88</v>
      </c>
      <c r="E4560" s="23" t="s">
        <v>79</v>
      </c>
      <c r="F4560" s="23" t="s">
        <v>2045</v>
      </c>
      <c r="G4560" s="23" t="s">
        <v>250</v>
      </c>
      <c r="H4560" s="39">
        <f t="shared" si="284"/>
        <v>698</v>
      </c>
      <c r="I4560" s="23" t="str">
        <f t="shared" si="285"/>
        <v>Lucknow</v>
      </c>
      <c r="J4560" s="23">
        <f>COUNTIFS(pg_transaction_cleaned!$O:$O,A4560,pg_transaction_cleaned!$F:$F,"CAPTURE")</f>
        <v>1</v>
      </c>
      <c r="K4560" s="39">
        <f>SUMIFS(pg_transaction_cleaned!$H:$H,pg_transaction_cleaned!$O:$O,A4560,pg_transaction_cleaned!$F:$F,"CAPTURE")</f>
        <v>698</v>
      </c>
      <c r="L4560" s="23">
        <f>COUNTIFS(pg_transaction_cleaned!$O:$O,A4560,pg_transaction_cleaned!$F:$F,"REFUND")</f>
        <v>0</v>
      </c>
      <c r="M4560" s="39">
        <f>SUMIFS(pg_transaction_cleaned!$H:$H,pg_transaction_cleaned!$O:$O,A4560,pg_transaction_cleaned!$F:$F,"REFUND")</f>
        <v>0</v>
      </c>
      <c r="N4560" s="23" t="str">
        <f t="shared" si="286"/>
        <v>OK</v>
      </c>
      <c r="O4560" s="24">
        <f t="shared" si="287"/>
        <v>0</v>
      </c>
    </row>
    <row r="4561" spans="1:15" ht="15" customHeight="1" x14ac:dyDescent="0.3">
      <c r="A4561" s="23" t="s">
        <v>9593</v>
      </c>
      <c r="B4561" s="38">
        <v>46291</v>
      </c>
      <c r="C4561" s="23" t="s">
        <v>9594</v>
      </c>
      <c r="D4561" s="23" t="s">
        <v>93</v>
      </c>
      <c r="E4561" s="23" t="s">
        <v>79</v>
      </c>
      <c r="F4561" s="23" t="s">
        <v>310</v>
      </c>
      <c r="G4561" s="23" t="s">
        <v>250</v>
      </c>
      <c r="H4561" s="39">
        <f t="shared" si="284"/>
        <v>7999</v>
      </c>
      <c r="I4561" s="23" t="str">
        <f t="shared" si="285"/>
        <v>Kolkata</v>
      </c>
      <c r="J4561" s="23">
        <f>COUNTIFS(pg_transaction_cleaned!$O:$O,A4561,pg_transaction_cleaned!$F:$F,"CAPTURE")</f>
        <v>1</v>
      </c>
      <c r="K4561" s="39">
        <f>SUMIFS(pg_transaction_cleaned!$H:$H,pg_transaction_cleaned!$O:$O,A4561,pg_transaction_cleaned!$F:$F,"CAPTURE")</f>
        <v>7999</v>
      </c>
      <c r="L4561" s="23">
        <f>COUNTIFS(pg_transaction_cleaned!$O:$O,A4561,pg_transaction_cleaned!$F:$F,"REFUND")</f>
        <v>0</v>
      </c>
      <c r="M4561" s="39">
        <f>SUMIFS(pg_transaction_cleaned!$H:$H,pg_transaction_cleaned!$O:$O,A4561,pg_transaction_cleaned!$F:$F,"REFUND")</f>
        <v>0</v>
      </c>
      <c r="N4561" s="23" t="str">
        <f t="shared" si="286"/>
        <v>OK</v>
      </c>
      <c r="O4561" s="24">
        <f t="shared" si="287"/>
        <v>0</v>
      </c>
    </row>
    <row r="4562" spans="1:15" ht="15" customHeight="1" x14ac:dyDescent="0.3">
      <c r="A4562" s="23" t="s">
        <v>9595</v>
      </c>
      <c r="B4562" s="38">
        <v>46290</v>
      </c>
      <c r="C4562" s="23" t="s">
        <v>9596</v>
      </c>
      <c r="D4562" s="23" t="s">
        <v>93</v>
      </c>
      <c r="E4562" s="23" t="s">
        <v>79</v>
      </c>
      <c r="F4562" s="23" t="s">
        <v>315</v>
      </c>
      <c r="G4562" s="23" t="s">
        <v>301</v>
      </c>
      <c r="H4562" s="39">
        <f t="shared" si="284"/>
        <v>1499</v>
      </c>
      <c r="I4562" s="23" t="str">
        <f t="shared" si="285"/>
        <v>Kolkata</v>
      </c>
      <c r="J4562" s="23">
        <f>COUNTIFS(pg_transaction_cleaned!$O:$O,A4562,pg_transaction_cleaned!$F:$F,"CAPTURE")</f>
        <v>1</v>
      </c>
      <c r="K4562" s="39">
        <f>SUMIFS(pg_transaction_cleaned!$H:$H,pg_transaction_cleaned!$O:$O,A4562,pg_transaction_cleaned!$F:$F,"CAPTURE")</f>
        <v>1499</v>
      </c>
      <c r="L4562" s="23">
        <f>COUNTIFS(pg_transaction_cleaned!$O:$O,A4562,pg_transaction_cleaned!$F:$F,"REFUND")</f>
        <v>1</v>
      </c>
      <c r="M4562" s="39">
        <f>SUMIFS(pg_transaction_cleaned!$H:$H,pg_transaction_cleaned!$O:$O,A4562,pg_transaction_cleaned!$F:$F,"REFUND")</f>
        <v>1499</v>
      </c>
      <c r="N4562" s="23" t="str">
        <f t="shared" si="286"/>
        <v>OK</v>
      </c>
      <c r="O4562" s="24">
        <f t="shared" si="287"/>
        <v>0</v>
      </c>
    </row>
    <row r="4563" spans="1:15" ht="15" customHeight="1" x14ac:dyDescent="0.3">
      <c r="A4563" s="23" t="s">
        <v>9597</v>
      </c>
      <c r="B4563" s="38">
        <v>46295</v>
      </c>
      <c r="C4563" s="23" t="s">
        <v>9598</v>
      </c>
      <c r="D4563" s="23" t="s">
        <v>92</v>
      </c>
      <c r="E4563" s="23" t="s">
        <v>75</v>
      </c>
      <c r="F4563" s="23" t="s">
        <v>291</v>
      </c>
      <c r="G4563" s="23" t="s">
        <v>250</v>
      </c>
      <c r="H4563" s="39">
        <f t="shared" si="284"/>
        <v>3499</v>
      </c>
      <c r="I4563" s="23" t="str">
        <f t="shared" si="285"/>
        <v>Hyderabad</v>
      </c>
      <c r="J4563" s="23">
        <f>COUNTIFS(pg_transaction_cleaned!$O:$O,A4563,pg_transaction_cleaned!$F:$F,"CAPTURE")</f>
        <v>1</v>
      </c>
      <c r="K4563" s="39">
        <f>SUMIFS(pg_transaction_cleaned!$H:$H,pg_transaction_cleaned!$O:$O,A4563,pg_transaction_cleaned!$F:$F,"CAPTURE")</f>
        <v>3499</v>
      </c>
      <c r="L4563" s="23">
        <f>COUNTIFS(pg_transaction_cleaned!$O:$O,A4563,pg_transaction_cleaned!$F:$F,"REFUND")</f>
        <v>0</v>
      </c>
      <c r="M4563" s="39">
        <f>SUMIFS(pg_transaction_cleaned!$H:$H,pg_transaction_cleaned!$O:$O,A4563,pg_transaction_cleaned!$F:$F,"REFUND")</f>
        <v>0</v>
      </c>
      <c r="N4563" s="23" t="str">
        <f t="shared" si="286"/>
        <v>OK</v>
      </c>
      <c r="O4563" s="24">
        <f t="shared" si="287"/>
        <v>0</v>
      </c>
    </row>
    <row r="4564" spans="1:15" ht="15" customHeight="1" x14ac:dyDescent="0.3">
      <c r="A4564" s="23" t="s">
        <v>9599</v>
      </c>
      <c r="B4564" s="38">
        <v>46275</v>
      </c>
      <c r="C4564" s="23" t="s">
        <v>9600</v>
      </c>
      <c r="D4564" s="23" t="s">
        <v>94</v>
      </c>
      <c r="E4564" s="23" t="s">
        <v>79</v>
      </c>
      <c r="F4564" s="23" t="s">
        <v>274</v>
      </c>
      <c r="G4564" s="23" t="s">
        <v>250</v>
      </c>
      <c r="H4564" s="39">
        <f t="shared" si="284"/>
        <v>349</v>
      </c>
      <c r="I4564" s="23" t="str">
        <f t="shared" si="285"/>
        <v>Chennai</v>
      </c>
      <c r="J4564" s="23">
        <f>COUNTIFS(pg_transaction_cleaned!$O:$O,A4564,pg_transaction_cleaned!$F:$F,"CAPTURE")</f>
        <v>1</v>
      </c>
      <c r="K4564" s="39">
        <f>SUMIFS(pg_transaction_cleaned!$H:$H,pg_transaction_cleaned!$O:$O,A4564,pg_transaction_cleaned!$F:$F,"CAPTURE")</f>
        <v>349</v>
      </c>
      <c r="L4564" s="23">
        <f>COUNTIFS(pg_transaction_cleaned!$O:$O,A4564,pg_transaction_cleaned!$F:$F,"REFUND")</f>
        <v>0</v>
      </c>
      <c r="M4564" s="39">
        <f>SUMIFS(pg_transaction_cleaned!$H:$H,pg_transaction_cleaned!$O:$O,A4564,pg_transaction_cleaned!$F:$F,"REFUND")</f>
        <v>0</v>
      </c>
      <c r="N4564" s="23" t="str">
        <f t="shared" si="286"/>
        <v>OK</v>
      </c>
      <c r="O4564" s="24">
        <f t="shared" si="287"/>
        <v>0</v>
      </c>
    </row>
    <row r="4565" spans="1:15" ht="15" customHeight="1" x14ac:dyDescent="0.3">
      <c r="A4565" s="23" t="s">
        <v>9601</v>
      </c>
      <c r="B4565" s="38">
        <v>46268</v>
      </c>
      <c r="C4565" s="23" t="s">
        <v>9602</v>
      </c>
      <c r="D4565" s="23" t="s">
        <v>94</v>
      </c>
      <c r="E4565" s="23" t="s">
        <v>75</v>
      </c>
      <c r="F4565" s="23" t="s">
        <v>268</v>
      </c>
      <c r="G4565" s="23" t="s">
        <v>365</v>
      </c>
      <c r="H4565" s="39">
        <f t="shared" si="284"/>
        <v>1299</v>
      </c>
      <c r="I4565" s="23" t="str">
        <f t="shared" si="285"/>
        <v>Chennai</v>
      </c>
      <c r="J4565" s="23">
        <f>COUNTIFS(pg_transaction_cleaned!$O:$O,A4565,pg_transaction_cleaned!$F:$F,"CAPTURE")</f>
        <v>0</v>
      </c>
      <c r="K4565" s="39">
        <f>SUMIFS(pg_transaction_cleaned!$H:$H,pg_transaction_cleaned!$O:$O,A4565,pg_transaction_cleaned!$F:$F,"CAPTURE")</f>
        <v>0</v>
      </c>
      <c r="L4565" s="23">
        <f>COUNTIFS(pg_transaction_cleaned!$O:$O,A4565,pg_transaction_cleaned!$F:$F,"REFUND")</f>
        <v>0</v>
      </c>
      <c r="M4565" s="39">
        <f>SUMIFS(pg_transaction_cleaned!$H:$H,pg_transaction_cleaned!$O:$O,A4565,pg_transaction_cleaned!$F:$F,"REFUND")</f>
        <v>0</v>
      </c>
      <c r="N4565" s="23" t="str">
        <f t="shared" si="286"/>
        <v>OK</v>
      </c>
      <c r="O4565" s="24">
        <f t="shared" si="287"/>
        <v>0</v>
      </c>
    </row>
    <row r="4566" spans="1:15" ht="15" customHeight="1" x14ac:dyDescent="0.3">
      <c r="A4566" s="23" t="s">
        <v>9603</v>
      </c>
      <c r="B4566" s="38">
        <v>46270</v>
      </c>
      <c r="C4566" s="23" t="s">
        <v>9604</v>
      </c>
      <c r="D4566" s="23" t="s">
        <v>91</v>
      </c>
      <c r="E4566" s="23" t="s">
        <v>79</v>
      </c>
      <c r="F4566" s="23" t="s">
        <v>329</v>
      </c>
      <c r="G4566" s="23" t="s">
        <v>250</v>
      </c>
      <c r="H4566" s="39">
        <f t="shared" si="284"/>
        <v>599</v>
      </c>
      <c r="I4566" s="23" t="str">
        <f t="shared" si="285"/>
        <v>Pune</v>
      </c>
      <c r="J4566" s="23">
        <f>COUNTIFS(pg_transaction_cleaned!$O:$O,A4566,pg_transaction_cleaned!$F:$F,"CAPTURE")</f>
        <v>1</v>
      </c>
      <c r="K4566" s="39">
        <f>SUMIFS(pg_transaction_cleaned!$H:$H,pg_transaction_cleaned!$O:$O,A4566,pg_transaction_cleaned!$F:$F,"CAPTURE")</f>
        <v>599</v>
      </c>
      <c r="L4566" s="23">
        <f>COUNTIFS(pg_transaction_cleaned!$O:$O,A4566,pg_transaction_cleaned!$F:$F,"REFUND")</f>
        <v>0</v>
      </c>
      <c r="M4566" s="39">
        <f>SUMIFS(pg_transaction_cleaned!$H:$H,pg_transaction_cleaned!$O:$O,A4566,pg_transaction_cleaned!$F:$F,"REFUND")</f>
        <v>0</v>
      </c>
      <c r="N4566" s="23" t="str">
        <f t="shared" si="286"/>
        <v>OK</v>
      </c>
      <c r="O4566" s="24">
        <f t="shared" si="287"/>
        <v>0</v>
      </c>
    </row>
    <row r="4567" spans="1:15" ht="15" customHeight="1" x14ac:dyDescent="0.3">
      <c r="A4567" s="23" t="s">
        <v>9605</v>
      </c>
      <c r="B4567" s="38">
        <v>46288</v>
      </c>
      <c r="C4567" s="23" t="s">
        <v>9606</v>
      </c>
      <c r="D4567" s="23" t="s">
        <v>92</v>
      </c>
      <c r="E4567" s="23" t="s">
        <v>79</v>
      </c>
      <c r="F4567" s="23" t="s">
        <v>1211</v>
      </c>
      <c r="G4567" s="23" t="s">
        <v>250</v>
      </c>
      <c r="H4567" s="39">
        <f t="shared" si="284"/>
        <v>2098</v>
      </c>
      <c r="I4567" s="23" t="str">
        <f t="shared" si="285"/>
        <v>Hyderabad</v>
      </c>
      <c r="J4567" s="23">
        <f>COUNTIFS(pg_transaction_cleaned!$O:$O,A4567,pg_transaction_cleaned!$F:$F,"CAPTURE")</f>
        <v>1</v>
      </c>
      <c r="K4567" s="39">
        <f>SUMIFS(pg_transaction_cleaned!$H:$H,pg_transaction_cleaned!$O:$O,A4567,pg_transaction_cleaned!$F:$F,"CAPTURE")</f>
        <v>2098</v>
      </c>
      <c r="L4567" s="23">
        <f>COUNTIFS(pg_transaction_cleaned!$O:$O,A4567,pg_transaction_cleaned!$F:$F,"REFUND")</f>
        <v>0</v>
      </c>
      <c r="M4567" s="39">
        <f>SUMIFS(pg_transaction_cleaned!$H:$H,pg_transaction_cleaned!$O:$O,A4567,pg_transaction_cleaned!$F:$F,"REFUND")</f>
        <v>0</v>
      </c>
      <c r="N4567" s="23" t="str">
        <f t="shared" si="286"/>
        <v>OK</v>
      </c>
      <c r="O4567" s="24">
        <f t="shared" si="287"/>
        <v>0</v>
      </c>
    </row>
    <row r="4568" spans="1:15" ht="15" customHeight="1" x14ac:dyDescent="0.3">
      <c r="A4568" s="23" t="s">
        <v>9607</v>
      </c>
      <c r="B4568" s="38">
        <v>46290</v>
      </c>
      <c r="C4568" s="23" t="s">
        <v>9608</v>
      </c>
      <c r="D4568" s="23" t="s">
        <v>91</v>
      </c>
      <c r="E4568" s="23" t="s">
        <v>75</v>
      </c>
      <c r="F4568" s="23" t="s">
        <v>294</v>
      </c>
      <c r="G4568" s="23" t="s">
        <v>250</v>
      </c>
      <c r="H4568" s="39">
        <f t="shared" si="284"/>
        <v>1799</v>
      </c>
      <c r="I4568" s="23" t="str">
        <f t="shared" si="285"/>
        <v>Pune</v>
      </c>
      <c r="J4568" s="23">
        <f>COUNTIFS(pg_transaction_cleaned!$O:$O,A4568,pg_transaction_cleaned!$F:$F,"CAPTURE")</f>
        <v>1</v>
      </c>
      <c r="K4568" s="39">
        <f>SUMIFS(pg_transaction_cleaned!$H:$H,pg_transaction_cleaned!$O:$O,A4568,pg_transaction_cleaned!$F:$F,"CAPTURE")</f>
        <v>1799</v>
      </c>
      <c r="L4568" s="23">
        <f>COUNTIFS(pg_transaction_cleaned!$O:$O,A4568,pg_transaction_cleaned!$F:$F,"REFUND")</f>
        <v>0</v>
      </c>
      <c r="M4568" s="39">
        <f>SUMIFS(pg_transaction_cleaned!$H:$H,pg_transaction_cleaned!$O:$O,A4568,pg_transaction_cleaned!$F:$F,"REFUND")</f>
        <v>0</v>
      </c>
      <c r="N4568" s="23" t="str">
        <f t="shared" si="286"/>
        <v>OK</v>
      </c>
      <c r="O4568" s="24">
        <f t="shared" si="287"/>
        <v>0</v>
      </c>
    </row>
    <row r="4569" spans="1:15" ht="15" customHeight="1" x14ac:dyDescent="0.3">
      <c r="A4569" s="23" t="s">
        <v>9609</v>
      </c>
      <c r="B4569" s="38">
        <v>46274</v>
      </c>
      <c r="C4569" s="23" t="s">
        <v>9610</v>
      </c>
      <c r="D4569" s="23" t="s">
        <v>89</v>
      </c>
      <c r="E4569" s="23" t="s">
        <v>77</v>
      </c>
      <c r="F4569" s="23" t="s">
        <v>1193</v>
      </c>
      <c r="G4569" s="23" t="s">
        <v>250</v>
      </c>
      <c r="H4569" s="39">
        <f t="shared" si="284"/>
        <v>3498</v>
      </c>
      <c r="I4569" s="23" t="str">
        <f t="shared" si="285"/>
        <v>Jaipur</v>
      </c>
      <c r="J4569" s="23">
        <f>COUNTIFS(pg_transaction_cleaned!$O:$O,A4569,pg_transaction_cleaned!$F:$F,"CAPTURE")</f>
        <v>1</v>
      </c>
      <c r="K4569" s="39">
        <f>SUMIFS(pg_transaction_cleaned!$H:$H,pg_transaction_cleaned!$O:$O,A4569,pg_transaction_cleaned!$F:$F,"CAPTURE")</f>
        <v>3498</v>
      </c>
      <c r="L4569" s="23">
        <f>COUNTIFS(pg_transaction_cleaned!$O:$O,A4569,pg_transaction_cleaned!$F:$F,"REFUND")</f>
        <v>0</v>
      </c>
      <c r="M4569" s="39">
        <f>SUMIFS(pg_transaction_cleaned!$H:$H,pg_transaction_cleaned!$O:$O,A4569,pg_transaction_cleaned!$F:$F,"REFUND")</f>
        <v>0</v>
      </c>
      <c r="N4569" s="23" t="str">
        <f t="shared" si="286"/>
        <v>OK</v>
      </c>
      <c r="O4569" s="24">
        <f t="shared" si="287"/>
        <v>0</v>
      </c>
    </row>
    <row r="4570" spans="1:15" ht="15" customHeight="1" x14ac:dyDescent="0.3">
      <c r="A4570" s="23" t="s">
        <v>9611</v>
      </c>
      <c r="B4570" s="38">
        <v>46273</v>
      </c>
      <c r="C4570" s="23" t="s">
        <v>9612</v>
      </c>
      <c r="D4570" s="23" t="s">
        <v>91</v>
      </c>
      <c r="E4570" s="23" t="s">
        <v>77</v>
      </c>
      <c r="F4570" s="23" t="s">
        <v>390</v>
      </c>
      <c r="G4570" s="23" t="s">
        <v>250</v>
      </c>
      <c r="H4570" s="39">
        <f t="shared" si="284"/>
        <v>599</v>
      </c>
      <c r="I4570" s="23" t="str">
        <f t="shared" si="285"/>
        <v>Pune</v>
      </c>
      <c r="J4570" s="23">
        <f>COUNTIFS(pg_transaction_cleaned!$O:$O,A4570,pg_transaction_cleaned!$F:$F,"CAPTURE")</f>
        <v>1</v>
      </c>
      <c r="K4570" s="39">
        <f>SUMIFS(pg_transaction_cleaned!$H:$H,pg_transaction_cleaned!$O:$O,A4570,pg_transaction_cleaned!$F:$F,"CAPTURE")</f>
        <v>599</v>
      </c>
      <c r="L4570" s="23">
        <f>COUNTIFS(pg_transaction_cleaned!$O:$O,A4570,pg_transaction_cleaned!$F:$F,"REFUND")</f>
        <v>0</v>
      </c>
      <c r="M4570" s="39">
        <f>SUMIFS(pg_transaction_cleaned!$H:$H,pg_transaction_cleaned!$O:$O,A4570,pg_transaction_cleaned!$F:$F,"REFUND")</f>
        <v>0</v>
      </c>
      <c r="N4570" s="23" t="str">
        <f t="shared" si="286"/>
        <v>OK</v>
      </c>
      <c r="O4570" s="24">
        <f t="shared" si="287"/>
        <v>0</v>
      </c>
    </row>
    <row r="4571" spans="1:15" ht="15" customHeight="1" x14ac:dyDescent="0.3">
      <c r="A4571" s="23" t="s">
        <v>9613</v>
      </c>
      <c r="B4571" s="38">
        <v>46271</v>
      </c>
      <c r="C4571" s="23" t="s">
        <v>9614</v>
      </c>
      <c r="D4571" s="23" t="s">
        <v>87</v>
      </c>
      <c r="E4571" s="23" t="s">
        <v>75</v>
      </c>
      <c r="F4571" s="23" t="s">
        <v>880</v>
      </c>
      <c r="G4571" s="23" t="s">
        <v>250</v>
      </c>
      <c r="H4571" s="39">
        <f t="shared" si="284"/>
        <v>2298</v>
      </c>
      <c r="I4571" s="23" t="str">
        <f t="shared" si="285"/>
        <v>Mumbai</v>
      </c>
      <c r="J4571" s="23">
        <f>COUNTIFS(pg_transaction_cleaned!$O:$O,A4571,pg_transaction_cleaned!$F:$F,"CAPTURE")</f>
        <v>1</v>
      </c>
      <c r="K4571" s="39">
        <f>SUMIFS(pg_transaction_cleaned!$H:$H,pg_transaction_cleaned!$O:$O,A4571,pg_transaction_cleaned!$F:$F,"CAPTURE")</f>
        <v>2298</v>
      </c>
      <c r="L4571" s="23">
        <f>COUNTIFS(pg_transaction_cleaned!$O:$O,A4571,pg_transaction_cleaned!$F:$F,"REFUND")</f>
        <v>0</v>
      </c>
      <c r="M4571" s="39">
        <f>SUMIFS(pg_transaction_cleaned!$H:$H,pg_transaction_cleaned!$O:$O,A4571,pg_transaction_cleaned!$F:$F,"REFUND")</f>
        <v>0</v>
      </c>
      <c r="N4571" s="23" t="str">
        <f t="shared" si="286"/>
        <v>OK</v>
      </c>
      <c r="O4571" s="24">
        <f t="shared" si="287"/>
        <v>0</v>
      </c>
    </row>
    <row r="4572" spans="1:15" ht="15" customHeight="1" x14ac:dyDescent="0.3">
      <c r="A4572" s="23" t="s">
        <v>9615</v>
      </c>
      <c r="B4572" s="38">
        <v>46282</v>
      </c>
      <c r="C4572" s="23" t="s">
        <v>9616</v>
      </c>
      <c r="D4572" s="23" t="s">
        <v>87</v>
      </c>
      <c r="E4572" s="23" t="s">
        <v>75</v>
      </c>
      <c r="F4572" s="23" t="s">
        <v>340</v>
      </c>
      <c r="G4572" s="23" t="s">
        <v>365</v>
      </c>
      <c r="H4572" s="39">
        <f t="shared" si="284"/>
        <v>6298</v>
      </c>
      <c r="I4572" s="23" t="str">
        <f t="shared" si="285"/>
        <v>Mumbai</v>
      </c>
      <c r="J4572" s="23">
        <f>COUNTIFS(pg_transaction_cleaned!$O:$O,A4572,pg_transaction_cleaned!$F:$F,"CAPTURE")</f>
        <v>0</v>
      </c>
      <c r="K4572" s="39">
        <f>SUMIFS(pg_transaction_cleaned!$H:$H,pg_transaction_cleaned!$O:$O,A4572,pg_transaction_cleaned!$F:$F,"CAPTURE")</f>
        <v>0</v>
      </c>
      <c r="L4572" s="23">
        <f>COUNTIFS(pg_transaction_cleaned!$O:$O,A4572,pg_transaction_cleaned!$F:$F,"REFUND")</f>
        <v>0</v>
      </c>
      <c r="M4572" s="39">
        <f>SUMIFS(pg_transaction_cleaned!$H:$H,pg_transaction_cleaned!$O:$O,A4572,pg_transaction_cleaned!$F:$F,"REFUND")</f>
        <v>0</v>
      </c>
      <c r="N4572" s="23" t="str">
        <f t="shared" si="286"/>
        <v>OK</v>
      </c>
      <c r="O4572" s="24">
        <f t="shared" si="287"/>
        <v>0</v>
      </c>
    </row>
    <row r="4573" spans="1:15" ht="15" customHeight="1" x14ac:dyDescent="0.3">
      <c r="A4573" s="23" t="s">
        <v>9617</v>
      </c>
      <c r="B4573" s="38">
        <v>46289</v>
      </c>
      <c r="C4573" s="23" t="s">
        <v>9618</v>
      </c>
      <c r="D4573" s="23" t="s">
        <v>89</v>
      </c>
      <c r="E4573" s="23" t="s">
        <v>75</v>
      </c>
      <c r="F4573" s="23" t="s">
        <v>357</v>
      </c>
      <c r="G4573" s="23" t="s">
        <v>250</v>
      </c>
      <c r="H4573" s="39">
        <f t="shared" si="284"/>
        <v>1598</v>
      </c>
      <c r="I4573" s="23" t="str">
        <f t="shared" si="285"/>
        <v>Jaipur</v>
      </c>
      <c r="J4573" s="23">
        <f>COUNTIFS(pg_transaction_cleaned!$O:$O,A4573,pg_transaction_cleaned!$F:$F,"CAPTURE")</f>
        <v>1</v>
      </c>
      <c r="K4573" s="39">
        <f>SUMIFS(pg_transaction_cleaned!$H:$H,pg_transaction_cleaned!$O:$O,A4573,pg_transaction_cleaned!$F:$F,"CAPTURE")</f>
        <v>1598</v>
      </c>
      <c r="L4573" s="23">
        <f>COUNTIFS(pg_transaction_cleaned!$O:$O,A4573,pg_transaction_cleaned!$F:$F,"REFUND")</f>
        <v>0</v>
      </c>
      <c r="M4573" s="39">
        <f>SUMIFS(pg_transaction_cleaned!$H:$H,pg_transaction_cleaned!$O:$O,A4573,pg_transaction_cleaned!$F:$F,"REFUND")</f>
        <v>0</v>
      </c>
      <c r="N4573" s="23" t="str">
        <f t="shared" si="286"/>
        <v>OK</v>
      </c>
      <c r="O4573" s="24">
        <f t="shared" si="287"/>
        <v>0</v>
      </c>
    </row>
    <row r="4574" spans="1:15" ht="15" customHeight="1" x14ac:dyDescent="0.3">
      <c r="A4574" s="23" t="s">
        <v>9619</v>
      </c>
      <c r="B4574" s="38">
        <v>46273</v>
      </c>
      <c r="C4574" s="23" t="s">
        <v>9620</v>
      </c>
      <c r="D4574" s="23" t="s">
        <v>93</v>
      </c>
      <c r="E4574" s="23" t="s">
        <v>75</v>
      </c>
      <c r="F4574" s="23" t="s">
        <v>349</v>
      </c>
      <c r="G4574" s="23" t="s">
        <v>250</v>
      </c>
      <c r="H4574" s="39">
        <f t="shared" si="284"/>
        <v>1798</v>
      </c>
      <c r="I4574" s="23" t="str">
        <f t="shared" si="285"/>
        <v>Kolkata</v>
      </c>
      <c r="J4574" s="23">
        <f>COUNTIFS(pg_transaction_cleaned!$O:$O,A4574,pg_transaction_cleaned!$F:$F,"CAPTURE")</f>
        <v>1</v>
      </c>
      <c r="K4574" s="39">
        <f>SUMIFS(pg_transaction_cleaned!$H:$H,pg_transaction_cleaned!$O:$O,A4574,pg_transaction_cleaned!$F:$F,"CAPTURE")</f>
        <v>1798</v>
      </c>
      <c r="L4574" s="23">
        <f>COUNTIFS(pg_transaction_cleaned!$O:$O,A4574,pg_transaction_cleaned!$F:$F,"REFUND")</f>
        <v>0</v>
      </c>
      <c r="M4574" s="39">
        <f>SUMIFS(pg_transaction_cleaned!$H:$H,pg_transaction_cleaned!$O:$O,A4574,pg_transaction_cleaned!$F:$F,"REFUND")</f>
        <v>0</v>
      </c>
      <c r="N4574" s="23" t="str">
        <f t="shared" si="286"/>
        <v>OK</v>
      </c>
      <c r="O4574" s="24">
        <f t="shared" si="287"/>
        <v>0</v>
      </c>
    </row>
    <row r="4575" spans="1:15" ht="15" customHeight="1" x14ac:dyDescent="0.3">
      <c r="A4575" s="23" t="s">
        <v>9621</v>
      </c>
      <c r="B4575" s="38">
        <v>46286</v>
      </c>
      <c r="C4575" s="23" t="s">
        <v>9622</v>
      </c>
      <c r="D4575" s="23" t="s">
        <v>90</v>
      </c>
      <c r="E4575" s="23" t="s">
        <v>75</v>
      </c>
      <c r="F4575" s="23" t="s">
        <v>827</v>
      </c>
      <c r="G4575" s="23" t="s">
        <v>250</v>
      </c>
      <c r="H4575" s="39">
        <f t="shared" si="284"/>
        <v>11498</v>
      </c>
      <c r="I4575" s="23" t="str">
        <f t="shared" si="285"/>
        <v>Ahmedabad</v>
      </c>
      <c r="J4575" s="23">
        <f>COUNTIFS(pg_transaction_cleaned!$O:$O,A4575,pg_transaction_cleaned!$F:$F,"CAPTURE")</f>
        <v>1</v>
      </c>
      <c r="K4575" s="39">
        <f>SUMIFS(pg_transaction_cleaned!$H:$H,pg_transaction_cleaned!$O:$O,A4575,pg_transaction_cleaned!$F:$F,"CAPTURE")</f>
        <v>11498</v>
      </c>
      <c r="L4575" s="23">
        <f>COUNTIFS(pg_transaction_cleaned!$O:$O,A4575,pg_transaction_cleaned!$F:$F,"REFUND")</f>
        <v>0</v>
      </c>
      <c r="M4575" s="39">
        <f>SUMIFS(pg_transaction_cleaned!$H:$H,pg_transaction_cleaned!$O:$O,A4575,pg_transaction_cleaned!$F:$F,"REFUND")</f>
        <v>0</v>
      </c>
      <c r="N4575" s="23" t="str">
        <f t="shared" si="286"/>
        <v>OK</v>
      </c>
      <c r="O4575" s="24">
        <f t="shared" si="287"/>
        <v>0</v>
      </c>
    </row>
    <row r="4576" spans="1:15" ht="15" customHeight="1" x14ac:dyDescent="0.3">
      <c r="A4576" s="23" t="s">
        <v>9623</v>
      </c>
      <c r="B4576" s="38">
        <v>46270</v>
      </c>
      <c r="C4576" s="23" t="s">
        <v>9624</v>
      </c>
      <c r="D4576" s="23" t="s">
        <v>89</v>
      </c>
      <c r="E4576" s="23" t="s">
        <v>81</v>
      </c>
      <c r="F4576" s="23" t="s">
        <v>475</v>
      </c>
      <c r="G4576" s="23" t="s">
        <v>250</v>
      </c>
      <c r="H4576" s="39">
        <f t="shared" si="284"/>
        <v>799</v>
      </c>
      <c r="I4576" s="23" t="str">
        <f t="shared" si="285"/>
        <v>Jaipur</v>
      </c>
      <c r="J4576" s="23">
        <f>COUNTIFS(pg_transaction_cleaned!$O:$O,A4576,pg_transaction_cleaned!$F:$F,"CAPTURE")</f>
        <v>1</v>
      </c>
      <c r="K4576" s="39">
        <f>SUMIFS(pg_transaction_cleaned!$H:$H,pg_transaction_cleaned!$O:$O,A4576,pg_transaction_cleaned!$F:$F,"CAPTURE")</f>
        <v>799</v>
      </c>
      <c r="L4576" s="23">
        <f>COUNTIFS(pg_transaction_cleaned!$O:$O,A4576,pg_transaction_cleaned!$F:$F,"REFUND")</f>
        <v>0</v>
      </c>
      <c r="M4576" s="39">
        <f>SUMIFS(pg_transaction_cleaned!$H:$H,pg_transaction_cleaned!$O:$O,A4576,pg_transaction_cleaned!$F:$F,"REFUND")</f>
        <v>0</v>
      </c>
      <c r="N4576" s="23" t="str">
        <f t="shared" si="286"/>
        <v>OK</v>
      </c>
      <c r="O4576" s="24">
        <f t="shared" si="287"/>
        <v>0</v>
      </c>
    </row>
    <row r="4577" spans="1:15" ht="15" customHeight="1" x14ac:dyDescent="0.3">
      <c r="A4577" s="23" t="s">
        <v>9625</v>
      </c>
      <c r="B4577" s="38">
        <v>46267</v>
      </c>
      <c r="C4577" s="23" t="s">
        <v>4818</v>
      </c>
      <c r="D4577" s="23" t="s">
        <v>95</v>
      </c>
      <c r="E4577" s="23" t="s">
        <v>79</v>
      </c>
      <c r="F4577" s="23" t="s">
        <v>2534</v>
      </c>
      <c r="G4577" s="23" t="s">
        <v>250</v>
      </c>
      <c r="H4577" s="39">
        <f t="shared" si="284"/>
        <v>2947</v>
      </c>
      <c r="I4577" s="23" t="str">
        <f t="shared" si="285"/>
        <v>Bengaluru</v>
      </c>
      <c r="J4577" s="23">
        <f>COUNTIFS(pg_transaction_cleaned!$O:$O,A4577,pg_transaction_cleaned!$F:$F,"CAPTURE")</f>
        <v>1</v>
      </c>
      <c r="K4577" s="39">
        <f>SUMIFS(pg_transaction_cleaned!$H:$H,pg_transaction_cleaned!$O:$O,A4577,pg_transaction_cleaned!$F:$F,"CAPTURE")</f>
        <v>2947</v>
      </c>
      <c r="L4577" s="23">
        <f>COUNTIFS(pg_transaction_cleaned!$O:$O,A4577,pg_transaction_cleaned!$F:$F,"REFUND")</f>
        <v>0</v>
      </c>
      <c r="M4577" s="39">
        <f>SUMIFS(pg_transaction_cleaned!$H:$H,pg_transaction_cleaned!$O:$O,A4577,pg_transaction_cleaned!$F:$F,"REFUND")</f>
        <v>0</v>
      </c>
      <c r="N4577" s="23" t="str">
        <f t="shared" si="286"/>
        <v>OK</v>
      </c>
      <c r="O4577" s="24">
        <f t="shared" si="287"/>
        <v>0</v>
      </c>
    </row>
    <row r="4578" spans="1:15" ht="15" customHeight="1" x14ac:dyDescent="0.3">
      <c r="A4578" s="23" t="s">
        <v>9626</v>
      </c>
      <c r="B4578" s="38">
        <v>46294</v>
      </c>
      <c r="C4578" s="23" t="s">
        <v>9627</v>
      </c>
      <c r="D4578" s="23" t="s">
        <v>92</v>
      </c>
      <c r="E4578" s="23" t="s">
        <v>75</v>
      </c>
      <c r="F4578" s="23" t="s">
        <v>1552</v>
      </c>
      <c r="G4578" s="23" t="s">
        <v>250</v>
      </c>
      <c r="H4578" s="39">
        <f t="shared" si="284"/>
        <v>9797</v>
      </c>
      <c r="I4578" s="23" t="str">
        <f t="shared" si="285"/>
        <v>Hyderabad</v>
      </c>
      <c r="J4578" s="23">
        <f>COUNTIFS(pg_transaction_cleaned!$O:$O,A4578,pg_transaction_cleaned!$F:$F,"CAPTURE")</f>
        <v>1</v>
      </c>
      <c r="K4578" s="39">
        <f>SUMIFS(pg_transaction_cleaned!$H:$H,pg_transaction_cleaned!$O:$O,A4578,pg_transaction_cleaned!$F:$F,"CAPTURE")</f>
        <v>9797</v>
      </c>
      <c r="L4578" s="23">
        <f>COUNTIFS(pg_transaction_cleaned!$O:$O,A4578,pg_transaction_cleaned!$F:$F,"REFUND")</f>
        <v>0</v>
      </c>
      <c r="M4578" s="39">
        <f>SUMIFS(pg_transaction_cleaned!$H:$H,pg_transaction_cleaned!$O:$O,A4578,pg_transaction_cleaned!$F:$F,"REFUND")</f>
        <v>0</v>
      </c>
      <c r="N4578" s="23" t="str">
        <f t="shared" si="286"/>
        <v>OK</v>
      </c>
      <c r="O4578" s="24">
        <f t="shared" si="287"/>
        <v>0</v>
      </c>
    </row>
    <row r="4579" spans="1:15" ht="15" customHeight="1" x14ac:dyDescent="0.3">
      <c r="A4579" s="23" t="s">
        <v>9628</v>
      </c>
      <c r="B4579" s="38">
        <v>46285</v>
      </c>
      <c r="C4579" s="23" t="s">
        <v>9629</v>
      </c>
      <c r="D4579" s="23" t="s">
        <v>87</v>
      </c>
      <c r="E4579" s="23" t="s">
        <v>79</v>
      </c>
      <c r="F4579" s="23" t="s">
        <v>880</v>
      </c>
      <c r="G4579" s="23" t="s">
        <v>250</v>
      </c>
      <c r="H4579" s="39">
        <f t="shared" si="284"/>
        <v>2298</v>
      </c>
      <c r="I4579" s="23" t="str">
        <f t="shared" si="285"/>
        <v>Mumbai</v>
      </c>
      <c r="J4579" s="23">
        <f>COUNTIFS(pg_transaction_cleaned!$O:$O,A4579,pg_transaction_cleaned!$F:$F,"CAPTURE")</f>
        <v>1</v>
      </c>
      <c r="K4579" s="39">
        <f>SUMIFS(pg_transaction_cleaned!$H:$H,pg_transaction_cleaned!$O:$O,A4579,pg_transaction_cleaned!$F:$F,"CAPTURE")</f>
        <v>2298</v>
      </c>
      <c r="L4579" s="23">
        <f>COUNTIFS(pg_transaction_cleaned!$O:$O,A4579,pg_transaction_cleaned!$F:$F,"REFUND")</f>
        <v>0</v>
      </c>
      <c r="M4579" s="39">
        <f>SUMIFS(pg_transaction_cleaned!$H:$H,pg_transaction_cleaned!$O:$O,A4579,pg_transaction_cleaned!$F:$F,"REFUND")</f>
        <v>0</v>
      </c>
      <c r="N4579" s="23" t="str">
        <f t="shared" si="286"/>
        <v>OK</v>
      </c>
      <c r="O4579" s="24">
        <f t="shared" si="287"/>
        <v>0</v>
      </c>
    </row>
    <row r="4580" spans="1:15" ht="15" customHeight="1" x14ac:dyDescent="0.3">
      <c r="A4580" s="23" t="s">
        <v>9630</v>
      </c>
      <c r="B4580" s="38">
        <v>46276</v>
      </c>
      <c r="C4580" s="23" t="s">
        <v>9631</v>
      </c>
      <c r="D4580" s="23" t="s">
        <v>88</v>
      </c>
      <c r="E4580" s="23" t="s">
        <v>75</v>
      </c>
      <c r="F4580" s="23" t="s">
        <v>4580</v>
      </c>
      <c r="G4580" s="23" t="s">
        <v>250</v>
      </c>
      <c r="H4580" s="39">
        <f t="shared" si="284"/>
        <v>8597</v>
      </c>
      <c r="I4580" s="23" t="str">
        <f t="shared" si="285"/>
        <v>Lucknow</v>
      </c>
      <c r="J4580" s="23">
        <f>COUNTIFS(pg_transaction_cleaned!$O:$O,A4580,pg_transaction_cleaned!$F:$F,"CAPTURE")</f>
        <v>1</v>
      </c>
      <c r="K4580" s="39">
        <f>SUMIFS(pg_transaction_cleaned!$H:$H,pg_transaction_cleaned!$O:$O,A4580,pg_transaction_cleaned!$F:$F,"CAPTURE")</f>
        <v>8597</v>
      </c>
      <c r="L4580" s="23">
        <f>COUNTIFS(pg_transaction_cleaned!$O:$O,A4580,pg_transaction_cleaned!$F:$F,"REFUND")</f>
        <v>0</v>
      </c>
      <c r="M4580" s="39">
        <f>SUMIFS(pg_transaction_cleaned!$H:$H,pg_transaction_cleaned!$O:$O,A4580,pg_transaction_cleaned!$F:$F,"REFUND")</f>
        <v>0</v>
      </c>
      <c r="N4580" s="23" t="str">
        <f t="shared" si="286"/>
        <v>OK</v>
      </c>
      <c r="O4580" s="24">
        <f t="shared" si="287"/>
        <v>0</v>
      </c>
    </row>
    <row r="4581" spans="1:15" ht="15" customHeight="1" x14ac:dyDescent="0.3">
      <c r="A4581" s="23" t="s">
        <v>9632</v>
      </c>
      <c r="B4581" s="38">
        <v>46267</v>
      </c>
      <c r="C4581" s="23" t="s">
        <v>9633</v>
      </c>
      <c r="D4581" s="23" t="s">
        <v>92</v>
      </c>
      <c r="E4581" s="23" t="s">
        <v>79</v>
      </c>
      <c r="F4581" s="23" t="s">
        <v>2205</v>
      </c>
      <c r="G4581" s="23" t="s">
        <v>250</v>
      </c>
      <c r="H4581" s="39">
        <f t="shared" si="284"/>
        <v>6998</v>
      </c>
      <c r="I4581" s="23" t="str">
        <f t="shared" si="285"/>
        <v>Hyderabad</v>
      </c>
      <c r="J4581" s="23">
        <f>COUNTIFS(pg_transaction_cleaned!$O:$O,A4581,pg_transaction_cleaned!$F:$F,"CAPTURE")</f>
        <v>1</v>
      </c>
      <c r="K4581" s="39">
        <f>SUMIFS(pg_transaction_cleaned!$H:$H,pg_transaction_cleaned!$O:$O,A4581,pg_transaction_cleaned!$F:$F,"CAPTURE")</f>
        <v>6998</v>
      </c>
      <c r="L4581" s="23">
        <f>COUNTIFS(pg_transaction_cleaned!$O:$O,A4581,pg_transaction_cleaned!$F:$F,"REFUND")</f>
        <v>0</v>
      </c>
      <c r="M4581" s="39">
        <f>SUMIFS(pg_transaction_cleaned!$H:$H,pg_transaction_cleaned!$O:$O,A4581,pg_transaction_cleaned!$F:$F,"REFUND")</f>
        <v>0</v>
      </c>
      <c r="N4581" s="23" t="str">
        <f t="shared" si="286"/>
        <v>OK</v>
      </c>
      <c r="O4581" s="24">
        <f t="shared" si="287"/>
        <v>0</v>
      </c>
    </row>
    <row r="4582" spans="1:15" ht="15" customHeight="1" x14ac:dyDescent="0.3">
      <c r="A4582" s="23" t="s">
        <v>9634</v>
      </c>
      <c r="B4582" s="38">
        <v>46270</v>
      </c>
      <c r="C4582" s="23" t="s">
        <v>9635</v>
      </c>
      <c r="D4582" s="23" t="s">
        <v>90</v>
      </c>
      <c r="E4582" s="23" t="s">
        <v>75</v>
      </c>
      <c r="F4582" s="23" t="s">
        <v>310</v>
      </c>
      <c r="G4582" s="23" t="s">
        <v>250</v>
      </c>
      <c r="H4582" s="39">
        <f t="shared" si="284"/>
        <v>7999</v>
      </c>
      <c r="I4582" s="23" t="str">
        <f t="shared" si="285"/>
        <v>Ahmedabad</v>
      </c>
      <c r="J4582" s="23">
        <f>COUNTIFS(pg_transaction_cleaned!$O:$O,A4582,pg_transaction_cleaned!$F:$F,"CAPTURE")</f>
        <v>1</v>
      </c>
      <c r="K4582" s="39">
        <f>SUMIFS(pg_transaction_cleaned!$H:$H,pg_transaction_cleaned!$O:$O,A4582,pg_transaction_cleaned!$F:$F,"CAPTURE")</f>
        <v>7999</v>
      </c>
      <c r="L4582" s="23">
        <f>COUNTIFS(pg_transaction_cleaned!$O:$O,A4582,pg_transaction_cleaned!$F:$F,"REFUND")</f>
        <v>0</v>
      </c>
      <c r="M4582" s="39">
        <f>SUMIFS(pg_transaction_cleaned!$H:$H,pg_transaction_cleaned!$O:$O,A4582,pg_transaction_cleaned!$F:$F,"REFUND")</f>
        <v>0</v>
      </c>
      <c r="N4582" s="23" t="str">
        <f t="shared" si="286"/>
        <v>OK</v>
      </c>
      <c r="O4582" s="24">
        <f t="shared" si="287"/>
        <v>0</v>
      </c>
    </row>
    <row r="4583" spans="1:15" ht="15" customHeight="1" x14ac:dyDescent="0.3">
      <c r="A4583" s="23" t="s">
        <v>9636</v>
      </c>
      <c r="B4583" s="38">
        <v>46287</v>
      </c>
      <c r="C4583" s="23" t="s">
        <v>9637</v>
      </c>
      <c r="D4583" s="23" t="s">
        <v>89</v>
      </c>
      <c r="E4583" s="23" t="s">
        <v>79</v>
      </c>
      <c r="F4583" s="23" t="s">
        <v>274</v>
      </c>
      <c r="G4583" s="23" t="s">
        <v>250</v>
      </c>
      <c r="H4583" s="39">
        <f t="shared" si="284"/>
        <v>349</v>
      </c>
      <c r="I4583" s="23" t="str">
        <f t="shared" si="285"/>
        <v>Jaipur</v>
      </c>
      <c r="J4583" s="23">
        <f>COUNTIFS(pg_transaction_cleaned!$O:$O,A4583,pg_transaction_cleaned!$F:$F,"CAPTURE")</f>
        <v>1</v>
      </c>
      <c r="K4583" s="39">
        <f>SUMIFS(pg_transaction_cleaned!$H:$H,pg_transaction_cleaned!$O:$O,A4583,pg_transaction_cleaned!$F:$F,"CAPTURE")</f>
        <v>349</v>
      </c>
      <c r="L4583" s="23">
        <f>COUNTIFS(pg_transaction_cleaned!$O:$O,A4583,pg_transaction_cleaned!$F:$F,"REFUND")</f>
        <v>0</v>
      </c>
      <c r="M4583" s="39">
        <f>SUMIFS(pg_transaction_cleaned!$H:$H,pg_transaction_cleaned!$O:$O,A4583,pg_transaction_cleaned!$F:$F,"REFUND")</f>
        <v>0</v>
      </c>
      <c r="N4583" s="23" t="str">
        <f t="shared" si="286"/>
        <v>OK</v>
      </c>
      <c r="O4583" s="24">
        <f t="shared" si="287"/>
        <v>0</v>
      </c>
    </row>
    <row r="4584" spans="1:15" ht="15" customHeight="1" x14ac:dyDescent="0.3">
      <c r="A4584" s="23" t="s">
        <v>9638</v>
      </c>
      <c r="B4584" s="38">
        <v>46284</v>
      </c>
      <c r="C4584" s="23" t="s">
        <v>9639</v>
      </c>
      <c r="D4584" s="23" t="s">
        <v>93</v>
      </c>
      <c r="E4584" s="23" t="s">
        <v>75</v>
      </c>
      <c r="F4584" s="23" t="s">
        <v>329</v>
      </c>
      <c r="G4584" s="23" t="s">
        <v>250</v>
      </c>
      <c r="H4584" s="39">
        <f t="shared" si="284"/>
        <v>599</v>
      </c>
      <c r="I4584" s="23" t="str">
        <f t="shared" si="285"/>
        <v>Kolkata</v>
      </c>
      <c r="J4584" s="23">
        <f>COUNTIFS(pg_transaction_cleaned!$O:$O,A4584,pg_transaction_cleaned!$F:$F,"CAPTURE")</f>
        <v>1</v>
      </c>
      <c r="K4584" s="39">
        <f>SUMIFS(pg_transaction_cleaned!$H:$H,pg_transaction_cleaned!$O:$O,A4584,pg_transaction_cleaned!$F:$F,"CAPTURE")</f>
        <v>599</v>
      </c>
      <c r="L4584" s="23">
        <f>COUNTIFS(pg_transaction_cleaned!$O:$O,A4584,pg_transaction_cleaned!$F:$F,"REFUND")</f>
        <v>0</v>
      </c>
      <c r="M4584" s="39">
        <f>SUMIFS(pg_transaction_cleaned!$H:$H,pg_transaction_cleaned!$O:$O,A4584,pg_transaction_cleaned!$F:$F,"REFUND")</f>
        <v>0</v>
      </c>
      <c r="N4584" s="23" t="str">
        <f t="shared" si="286"/>
        <v>OK</v>
      </c>
      <c r="O4584" s="24">
        <f t="shared" si="287"/>
        <v>0</v>
      </c>
    </row>
    <row r="4585" spans="1:15" ht="15" customHeight="1" x14ac:dyDescent="0.3">
      <c r="A4585" s="23" t="s">
        <v>9640</v>
      </c>
      <c r="B4585" s="38">
        <v>46280</v>
      </c>
      <c r="C4585" s="23" t="s">
        <v>9641</v>
      </c>
      <c r="D4585" s="23" t="s">
        <v>95</v>
      </c>
      <c r="E4585" s="23" t="s">
        <v>75</v>
      </c>
      <c r="F4585" s="23" t="s">
        <v>315</v>
      </c>
      <c r="G4585" s="23" t="s">
        <v>250</v>
      </c>
      <c r="H4585" s="39">
        <f t="shared" si="284"/>
        <v>1499</v>
      </c>
      <c r="I4585" s="23" t="str">
        <f t="shared" si="285"/>
        <v>Bengaluru</v>
      </c>
      <c r="J4585" s="23">
        <f>COUNTIFS(pg_transaction_cleaned!$O:$O,A4585,pg_transaction_cleaned!$F:$F,"CAPTURE")</f>
        <v>1</v>
      </c>
      <c r="K4585" s="39">
        <f>SUMIFS(pg_transaction_cleaned!$H:$H,pg_transaction_cleaned!$O:$O,A4585,pg_transaction_cleaned!$F:$F,"CAPTURE")</f>
        <v>1499</v>
      </c>
      <c r="L4585" s="23">
        <f>COUNTIFS(pg_transaction_cleaned!$O:$O,A4585,pg_transaction_cleaned!$F:$F,"REFUND")</f>
        <v>0</v>
      </c>
      <c r="M4585" s="39">
        <f>SUMIFS(pg_transaction_cleaned!$H:$H,pg_transaction_cleaned!$O:$O,A4585,pg_transaction_cleaned!$F:$F,"REFUND")</f>
        <v>0</v>
      </c>
      <c r="N4585" s="23" t="str">
        <f t="shared" si="286"/>
        <v>OK</v>
      </c>
      <c r="O4585" s="24">
        <f t="shared" si="287"/>
        <v>0</v>
      </c>
    </row>
    <row r="4586" spans="1:15" ht="15" customHeight="1" x14ac:dyDescent="0.3">
      <c r="A4586" s="23" t="s">
        <v>9642</v>
      </c>
      <c r="B4586" s="38">
        <v>46268</v>
      </c>
      <c r="C4586" s="23" t="s">
        <v>9643</v>
      </c>
      <c r="D4586" s="23" t="s">
        <v>86</v>
      </c>
      <c r="E4586" s="23" t="s">
        <v>79</v>
      </c>
      <c r="F4586" s="23" t="s">
        <v>567</v>
      </c>
      <c r="G4586" s="23" t="s">
        <v>365</v>
      </c>
      <c r="H4586" s="39">
        <f t="shared" si="284"/>
        <v>3598</v>
      </c>
      <c r="I4586" s="23" t="str">
        <f t="shared" si="285"/>
        <v>Delhi</v>
      </c>
      <c r="J4586" s="23">
        <f>COUNTIFS(pg_transaction_cleaned!$O:$O,A4586,pg_transaction_cleaned!$F:$F,"CAPTURE")</f>
        <v>0</v>
      </c>
      <c r="K4586" s="39">
        <f>SUMIFS(pg_transaction_cleaned!$H:$H,pg_transaction_cleaned!$O:$O,A4586,pg_transaction_cleaned!$F:$F,"CAPTURE")</f>
        <v>0</v>
      </c>
      <c r="L4586" s="23">
        <f>COUNTIFS(pg_transaction_cleaned!$O:$O,A4586,pg_transaction_cleaned!$F:$F,"REFUND")</f>
        <v>0</v>
      </c>
      <c r="M4586" s="39">
        <f>SUMIFS(pg_transaction_cleaned!$H:$H,pg_transaction_cleaned!$O:$O,A4586,pg_transaction_cleaned!$F:$F,"REFUND")</f>
        <v>0</v>
      </c>
      <c r="N4586" s="23" t="str">
        <f t="shared" si="286"/>
        <v>OK</v>
      </c>
      <c r="O4586" s="24">
        <f t="shared" si="287"/>
        <v>0</v>
      </c>
    </row>
    <row r="4587" spans="1:15" ht="15" customHeight="1" x14ac:dyDescent="0.3">
      <c r="A4587" s="23" t="s">
        <v>9644</v>
      </c>
      <c r="B4587" s="38">
        <v>46278</v>
      </c>
      <c r="C4587" s="23" t="s">
        <v>9645</v>
      </c>
      <c r="D4587" s="23"/>
      <c r="E4587" s="23" t="s">
        <v>75</v>
      </c>
      <c r="F4587" s="23" t="s">
        <v>262</v>
      </c>
      <c r="G4587" s="23" t="s">
        <v>250</v>
      </c>
      <c r="H4587" s="39">
        <f t="shared" si="284"/>
        <v>499</v>
      </c>
      <c r="I4587" s="23" t="str">
        <f t="shared" si="285"/>
        <v>Unknown</v>
      </c>
      <c r="J4587" s="23">
        <f>COUNTIFS(pg_transaction_cleaned!$O:$O,A4587,pg_transaction_cleaned!$F:$F,"CAPTURE")</f>
        <v>1</v>
      </c>
      <c r="K4587" s="39">
        <f>SUMIFS(pg_transaction_cleaned!$H:$H,pg_transaction_cleaned!$O:$O,A4587,pg_transaction_cleaned!$F:$F,"CAPTURE")</f>
        <v>499</v>
      </c>
      <c r="L4587" s="23">
        <f>COUNTIFS(pg_transaction_cleaned!$O:$O,A4587,pg_transaction_cleaned!$F:$F,"REFUND")</f>
        <v>0</v>
      </c>
      <c r="M4587" s="39">
        <f>SUMIFS(pg_transaction_cleaned!$H:$H,pg_transaction_cleaned!$O:$O,A4587,pg_transaction_cleaned!$F:$F,"REFUND")</f>
        <v>0</v>
      </c>
      <c r="N4587" s="23" t="str">
        <f t="shared" si="286"/>
        <v>OK</v>
      </c>
      <c r="O4587" s="24">
        <f t="shared" si="287"/>
        <v>0</v>
      </c>
    </row>
    <row r="4588" spans="1:15" ht="15" customHeight="1" x14ac:dyDescent="0.3">
      <c r="A4588" s="23" t="s">
        <v>9646</v>
      </c>
      <c r="B4588" s="38">
        <v>46288</v>
      </c>
      <c r="C4588" s="23" t="s">
        <v>9647</v>
      </c>
      <c r="D4588" s="23"/>
      <c r="E4588" s="23" t="s">
        <v>75</v>
      </c>
      <c r="F4588" s="23" t="s">
        <v>747</v>
      </c>
      <c r="G4588" s="23" t="s">
        <v>250</v>
      </c>
      <c r="H4588" s="39">
        <f t="shared" si="284"/>
        <v>2498</v>
      </c>
      <c r="I4588" s="23" t="str">
        <f t="shared" si="285"/>
        <v>Unknown</v>
      </c>
      <c r="J4588" s="23">
        <f>COUNTIFS(pg_transaction_cleaned!$O:$O,A4588,pg_transaction_cleaned!$F:$F,"CAPTURE")</f>
        <v>1</v>
      </c>
      <c r="K4588" s="39">
        <f>SUMIFS(pg_transaction_cleaned!$H:$H,pg_transaction_cleaned!$O:$O,A4588,pg_transaction_cleaned!$F:$F,"CAPTURE")</f>
        <v>2498</v>
      </c>
      <c r="L4588" s="23">
        <f>COUNTIFS(pg_transaction_cleaned!$O:$O,A4588,pg_transaction_cleaned!$F:$F,"REFUND")</f>
        <v>0</v>
      </c>
      <c r="M4588" s="39">
        <f>SUMIFS(pg_transaction_cleaned!$H:$H,pg_transaction_cleaned!$O:$O,A4588,pg_transaction_cleaned!$F:$F,"REFUND")</f>
        <v>0</v>
      </c>
      <c r="N4588" s="23" t="str">
        <f t="shared" si="286"/>
        <v>OK</v>
      </c>
      <c r="O4588" s="24">
        <f t="shared" si="287"/>
        <v>0</v>
      </c>
    </row>
    <row r="4589" spans="1:15" ht="15" customHeight="1" x14ac:dyDescent="0.3">
      <c r="A4589" s="23" t="s">
        <v>9648</v>
      </c>
      <c r="B4589" s="38">
        <v>46273</v>
      </c>
      <c r="C4589" s="23" t="s">
        <v>9649</v>
      </c>
      <c r="D4589" s="23" t="s">
        <v>92</v>
      </c>
      <c r="E4589" s="23" t="s">
        <v>75</v>
      </c>
      <c r="F4589" s="23" t="s">
        <v>297</v>
      </c>
      <c r="G4589" s="23" t="s">
        <v>301</v>
      </c>
      <c r="H4589" s="39">
        <f t="shared" si="284"/>
        <v>4999</v>
      </c>
      <c r="I4589" s="23" t="str">
        <f t="shared" si="285"/>
        <v>Hyderabad</v>
      </c>
      <c r="J4589" s="23">
        <f>COUNTIFS(pg_transaction_cleaned!$O:$O,A4589,pg_transaction_cleaned!$F:$F,"CAPTURE")</f>
        <v>1</v>
      </c>
      <c r="K4589" s="39">
        <f>SUMIFS(pg_transaction_cleaned!$H:$H,pg_transaction_cleaned!$O:$O,A4589,pg_transaction_cleaned!$F:$F,"CAPTURE")</f>
        <v>4999</v>
      </c>
      <c r="L4589" s="23">
        <f>COUNTIFS(pg_transaction_cleaned!$O:$O,A4589,pg_transaction_cleaned!$F:$F,"REFUND")</f>
        <v>1</v>
      </c>
      <c r="M4589" s="39">
        <f>SUMIFS(pg_transaction_cleaned!$H:$H,pg_transaction_cleaned!$O:$O,A4589,pg_transaction_cleaned!$F:$F,"REFUND")</f>
        <v>4999</v>
      </c>
      <c r="N4589" s="23" t="str">
        <f t="shared" si="286"/>
        <v>OK</v>
      </c>
      <c r="O4589" s="24">
        <f t="shared" si="287"/>
        <v>0</v>
      </c>
    </row>
    <row r="4590" spans="1:15" ht="15" customHeight="1" x14ac:dyDescent="0.3">
      <c r="A4590" s="23" t="s">
        <v>9650</v>
      </c>
      <c r="B4590" s="38">
        <v>46272</v>
      </c>
      <c r="C4590" s="23" t="s">
        <v>9651</v>
      </c>
      <c r="D4590" s="23" t="s">
        <v>95</v>
      </c>
      <c r="E4590" s="23" t="s">
        <v>75</v>
      </c>
      <c r="F4590" s="23" t="s">
        <v>9652</v>
      </c>
      <c r="G4590" s="23" t="s">
        <v>250</v>
      </c>
      <c r="H4590" s="39">
        <f t="shared" si="284"/>
        <v>13497</v>
      </c>
      <c r="I4590" s="23" t="str">
        <f t="shared" si="285"/>
        <v>Bengaluru</v>
      </c>
      <c r="J4590" s="23">
        <f>COUNTIFS(pg_transaction_cleaned!$O:$O,A4590,pg_transaction_cleaned!$F:$F,"CAPTURE")</f>
        <v>1</v>
      </c>
      <c r="K4590" s="39">
        <f>SUMIFS(pg_transaction_cleaned!$H:$H,pg_transaction_cleaned!$O:$O,A4590,pg_transaction_cleaned!$F:$F,"CAPTURE")</f>
        <v>13497</v>
      </c>
      <c r="L4590" s="23">
        <f>COUNTIFS(pg_transaction_cleaned!$O:$O,A4590,pg_transaction_cleaned!$F:$F,"REFUND")</f>
        <v>0</v>
      </c>
      <c r="M4590" s="39">
        <f>SUMIFS(pg_transaction_cleaned!$H:$H,pg_transaction_cleaned!$O:$O,A4590,pg_transaction_cleaned!$F:$F,"REFUND")</f>
        <v>0</v>
      </c>
      <c r="N4590" s="23" t="str">
        <f t="shared" si="286"/>
        <v>OK</v>
      </c>
      <c r="O4590" s="24">
        <f t="shared" si="287"/>
        <v>0</v>
      </c>
    </row>
    <row r="4591" spans="1:15" ht="15" customHeight="1" x14ac:dyDescent="0.3">
      <c r="A4591" s="23" t="s">
        <v>9653</v>
      </c>
      <c r="B4591" s="38">
        <v>46294</v>
      </c>
      <c r="C4591" s="23" t="s">
        <v>9654</v>
      </c>
      <c r="D4591" s="23" t="s">
        <v>93</v>
      </c>
      <c r="E4591" s="23" t="s">
        <v>75</v>
      </c>
      <c r="F4591" s="23" t="s">
        <v>310</v>
      </c>
      <c r="G4591" s="23" t="s">
        <v>250</v>
      </c>
      <c r="H4591" s="39">
        <f t="shared" si="284"/>
        <v>7999</v>
      </c>
      <c r="I4591" s="23" t="str">
        <f t="shared" si="285"/>
        <v>Kolkata</v>
      </c>
      <c r="J4591" s="23">
        <f>COUNTIFS(pg_transaction_cleaned!$O:$O,A4591,pg_transaction_cleaned!$F:$F,"CAPTURE")</f>
        <v>1</v>
      </c>
      <c r="K4591" s="39">
        <f>SUMIFS(pg_transaction_cleaned!$H:$H,pg_transaction_cleaned!$O:$O,A4591,pg_transaction_cleaned!$F:$F,"CAPTURE")</f>
        <v>7999</v>
      </c>
      <c r="L4591" s="23">
        <f>COUNTIFS(pg_transaction_cleaned!$O:$O,A4591,pg_transaction_cleaned!$F:$F,"REFUND")</f>
        <v>0</v>
      </c>
      <c r="M4591" s="39">
        <f>SUMIFS(pg_transaction_cleaned!$H:$H,pg_transaction_cleaned!$O:$O,A4591,pg_transaction_cleaned!$F:$F,"REFUND")</f>
        <v>0</v>
      </c>
      <c r="N4591" s="23" t="str">
        <f t="shared" si="286"/>
        <v>OK</v>
      </c>
      <c r="O4591" s="24">
        <f t="shared" si="287"/>
        <v>0</v>
      </c>
    </row>
    <row r="4592" spans="1:15" ht="15" customHeight="1" x14ac:dyDescent="0.3">
      <c r="A4592" s="23" t="s">
        <v>9655</v>
      </c>
      <c r="B4592" s="38">
        <v>46284</v>
      </c>
      <c r="C4592" s="23" t="s">
        <v>9656</v>
      </c>
      <c r="D4592" s="23" t="s">
        <v>86</v>
      </c>
      <c r="E4592" s="23" t="s">
        <v>75</v>
      </c>
      <c r="F4592" s="23" t="s">
        <v>297</v>
      </c>
      <c r="G4592" s="23" t="s">
        <v>250</v>
      </c>
      <c r="H4592" s="39">
        <f t="shared" si="284"/>
        <v>4999</v>
      </c>
      <c r="I4592" s="23" t="str">
        <f t="shared" si="285"/>
        <v>Delhi</v>
      </c>
      <c r="J4592" s="23">
        <f>COUNTIFS(pg_transaction_cleaned!$O:$O,A4592,pg_transaction_cleaned!$F:$F,"CAPTURE")</f>
        <v>1</v>
      </c>
      <c r="K4592" s="39">
        <f>SUMIFS(pg_transaction_cleaned!$H:$H,pg_transaction_cleaned!$O:$O,A4592,pg_transaction_cleaned!$F:$F,"CAPTURE")</f>
        <v>4999</v>
      </c>
      <c r="L4592" s="23">
        <f>COUNTIFS(pg_transaction_cleaned!$O:$O,A4592,pg_transaction_cleaned!$F:$F,"REFUND")</f>
        <v>0</v>
      </c>
      <c r="M4592" s="39">
        <f>SUMIFS(pg_transaction_cleaned!$H:$H,pg_transaction_cleaned!$O:$O,A4592,pg_transaction_cleaned!$F:$F,"REFUND")</f>
        <v>0</v>
      </c>
      <c r="N4592" s="23" t="str">
        <f t="shared" si="286"/>
        <v>OK</v>
      </c>
      <c r="O4592" s="24">
        <f t="shared" si="287"/>
        <v>0</v>
      </c>
    </row>
    <row r="4593" spans="1:15" ht="15" customHeight="1" x14ac:dyDescent="0.3">
      <c r="A4593" s="23" t="s">
        <v>9657</v>
      </c>
      <c r="B4593" s="38">
        <v>46289</v>
      </c>
      <c r="C4593" s="23" t="s">
        <v>9658</v>
      </c>
      <c r="D4593" s="23" t="s">
        <v>86</v>
      </c>
      <c r="E4593" s="23" t="s">
        <v>81</v>
      </c>
      <c r="F4593" s="23" t="s">
        <v>475</v>
      </c>
      <c r="G4593" s="23" t="s">
        <v>250</v>
      </c>
      <c r="H4593" s="39">
        <f t="shared" si="284"/>
        <v>799</v>
      </c>
      <c r="I4593" s="23" t="str">
        <f t="shared" si="285"/>
        <v>Delhi</v>
      </c>
      <c r="J4593" s="23">
        <f>COUNTIFS(pg_transaction_cleaned!$O:$O,A4593,pg_transaction_cleaned!$F:$F,"CAPTURE")</f>
        <v>1</v>
      </c>
      <c r="K4593" s="39">
        <f>SUMIFS(pg_transaction_cleaned!$H:$H,pg_transaction_cleaned!$O:$O,A4593,pg_transaction_cleaned!$F:$F,"CAPTURE")</f>
        <v>799</v>
      </c>
      <c r="L4593" s="23">
        <f>COUNTIFS(pg_transaction_cleaned!$O:$O,A4593,pg_transaction_cleaned!$F:$F,"REFUND")</f>
        <v>0</v>
      </c>
      <c r="M4593" s="39">
        <f>SUMIFS(pg_transaction_cleaned!$H:$H,pg_transaction_cleaned!$O:$O,A4593,pg_transaction_cleaned!$F:$F,"REFUND")</f>
        <v>0</v>
      </c>
      <c r="N4593" s="23" t="str">
        <f t="shared" si="286"/>
        <v>OK</v>
      </c>
      <c r="O4593" s="24">
        <f t="shared" si="287"/>
        <v>0</v>
      </c>
    </row>
    <row r="4594" spans="1:15" ht="15" customHeight="1" x14ac:dyDescent="0.3">
      <c r="A4594" s="23" t="s">
        <v>9659</v>
      </c>
      <c r="B4594" s="38">
        <v>46295</v>
      </c>
      <c r="C4594" s="23" t="s">
        <v>9660</v>
      </c>
      <c r="D4594" s="23" t="s">
        <v>88</v>
      </c>
      <c r="E4594" s="23" t="s">
        <v>75</v>
      </c>
      <c r="F4594" s="23" t="s">
        <v>824</v>
      </c>
      <c r="G4594" s="23" t="s">
        <v>250</v>
      </c>
      <c r="H4594" s="39">
        <f t="shared" si="284"/>
        <v>1198</v>
      </c>
      <c r="I4594" s="23" t="str">
        <f t="shared" si="285"/>
        <v>Lucknow</v>
      </c>
      <c r="J4594" s="23">
        <f>COUNTIFS(pg_transaction_cleaned!$O:$O,A4594,pg_transaction_cleaned!$F:$F,"CAPTURE")</f>
        <v>1</v>
      </c>
      <c r="K4594" s="39">
        <f>SUMIFS(pg_transaction_cleaned!$H:$H,pg_transaction_cleaned!$O:$O,A4594,pg_transaction_cleaned!$F:$F,"CAPTURE")</f>
        <v>1198</v>
      </c>
      <c r="L4594" s="23">
        <f>COUNTIFS(pg_transaction_cleaned!$O:$O,A4594,pg_transaction_cleaned!$F:$F,"REFUND")</f>
        <v>0</v>
      </c>
      <c r="M4594" s="39">
        <f>SUMIFS(pg_transaction_cleaned!$H:$H,pg_transaction_cleaned!$O:$O,A4594,pg_transaction_cleaned!$F:$F,"REFUND")</f>
        <v>0</v>
      </c>
      <c r="N4594" s="23" t="str">
        <f t="shared" si="286"/>
        <v>OK</v>
      </c>
      <c r="O4594" s="24">
        <f t="shared" si="287"/>
        <v>0</v>
      </c>
    </row>
    <row r="4595" spans="1:15" ht="15" customHeight="1" x14ac:dyDescent="0.3">
      <c r="A4595" s="23" t="s">
        <v>9661</v>
      </c>
      <c r="B4595" s="38">
        <v>46288</v>
      </c>
      <c r="C4595" s="23" t="s">
        <v>9662</v>
      </c>
      <c r="D4595" s="23" t="s">
        <v>90</v>
      </c>
      <c r="E4595" s="23" t="s">
        <v>75</v>
      </c>
      <c r="F4595" s="23" t="s">
        <v>520</v>
      </c>
      <c r="G4595" s="23" t="s">
        <v>250</v>
      </c>
      <c r="H4595" s="39">
        <f t="shared" si="284"/>
        <v>4998</v>
      </c>
      <c r="I4595" s="23" t="str">
        <f t="shared" si="285"/>
        <v>Ahmedabad</v>
      </c>
      <c r="J4595" s="23">
        <f>COUNTIFS(pg_transaction_cleaned!$O:$O,A4595,pg_transaction_cleaned!$F:$F,"CAPTURE")</f>
        <v>1</v>
      </c>
      <c r="K4595" s="39">
        <f>SUMIFS(pg_transaction_cleaned!$H:$H,pg_transaction_cleaned!$O:$O,A4595,pg_transaction_cleaned!$F:$F,"CAPTURE")</f>
        <v>4998</v>
      </c>
      <c r="L4595" s="23">
        <f>COUNTIFS(pg_transaction_cleaned!$O:$O,A4595,pg_transaction_cleaned!$F:$F,"REFUND")</f>
        <v>0</v>
      </c>
      <c r="M4595" s="39">
        <f>SUMIFS(pg_transaction_cleaned!$H:$H,pg_transaction_cleaned!$O:$O,A4595,pg_transaction_cleaned!$F:$F,"REFUND")</f>
        <v>0</v>
      </c>
      <c r="N4595" s="23" t="str">
        <f t="shared" si="286"/>
        <v>OK</v>
      </c>
      <c r="O4595" s="24">
        <f t="shared" si="287"/>
        <v>0</v>
      </c>
    </row>
    <row r="4596" spans="1:15" ht="15" customHeight="1" x14ac:dyDescent="0.3">
      <c r="A4596" s="23" t="s">
        <v>9663</v>
      </c>
      <c r="B4596" s="38">
        <v>46269</v>
      </c>
      <c r="C4596" s="23" t="s">
        <v>5382</v>
      </c>
      <c r="D4596" s="23" t="s">
        <v>87</v>
      </c>
      <c r="E4596" s="23" t="s">
        <v>79</v>
      </c>
      <c r="F4596" s="23" t="s">
        <v>574</v>
      </c>
      <c r="G4596" s="23" t="s">
        <v>250</v>
      </c>
      <c r="H4596" s="39">
        <f t="shared" si="284"/>
        <v>1848</v>
      </c>
      <c r="I4596" s="23" t="str">
        <f t="shared" si="285"/>
        <v>Mumbai</v>
      </c>
      <c r="J4596" s="23">
        <f>COUNTIFS(pg_transaction_cleaned!$O:$O,A4596,pg_transaction_cleaned!$F:$F,"CAPTURE")</f>
        <v>1</v>
      </c>
      <c r="K4596" s="39">
        <f>SUMIFS(pg_transaction_cleaned!$H:$H,pg_transaction_cleaned!$O:$O,A4596,pg_transaction_cleaned!$F:$F,"CAPTURE")</f>
        <v>1848</v>
      </c>
      <c r="L4596" s="23">
        <f>COUNTIFS(pg_transaction_cleaned!$O:$O,A4596,pg_transaction_cleaned!$F:$F,"REFUND")</f>
        <v>0</v>
      </c>
      <c r="M4596" s="39">
        <f>SUMIFS(pg_transaction_cleaned!$H:$H,pg_transaction_cleaned!$O:$O,A4596,pg_transaction_cleaned!$F:$F,"REFUND")</f>
        <v>0</v>
      </c>
      <c r="N4596" s="23" t="str">
        <f t="shared" si="286"/>
        <v>OK</v>
      </c>
      <c r="O4596" s="24">
        <f t="shared" si="287"/>
        <v>0</v>
      </c>
    </row>
    <row r="4597" spans="1:15" ht="15" customHeight="1" x14ac:dyDescent="0.3">
      <c r="A4597" s="23" t="s">
        <v>9664</v>
      </c>
      <c r="B4597" s="38">
        <v>46277</v>
      </c>
      <c r="C4597" s="23" t="s">
        <v>9665</v>
      </c>
      <c r="D4597" s="23" t="s">
        <v>91</v>
      </c>
      <c r="E4597" s="23" t="s">
        <v>77</v>
      </c>
      <c r="F4597" s="23" t="s">
        <v>259</v>
      </c>
      <c r="G4597" s="23" t="s">
        <v>365</v>
      </c>
      <c r="H4597" s="39">
        <f t="shared" si="284"/>
        <v>3298</v>
      </c>
      <c r="I4597" s="23" t="str">
        <f t="shared" si="285"/>
        <v>Pune</v>
      </c>
      <c r="J4597" s="23">
        <f>COUNTIFS(pg_transaction_cleaned!$O:$O,A4597,pg_transaction_cleaned!$F:$F,"CAPTURE")</f>
        <v>0</v>
      </c>
      <c r="K4597" s="39">
        <f>SUMIFS(pg_transaction_cleaned!$H:$H,pg_transaction_cleaned!$O:$O,A4597,pg_transaction_cleaned!$F:$F,"CAPTURE")</f>
        <v>0</v>
      </c>
      <c r="L4597" s="23">
        <f>COUNTIFS(pg_transaction_cleaned!$O:$O,A4597,pg_transaction_cleaned!$F:$F,"REFUND")</f>
        <v>0</v>
      </c>
      <c r="M4597" s="39">
        <f>SUMIFS(pg_transaction_cleaned!$H:$H,pg_transaction_cleaned!$O:$O,A4597,pg_transaction_cleaned!$F:$F,"REFUND")</f>
        <v>0</v>
      </c>
      <c r="N4597" s="23" t="str">
        <f t="shared" si="286"/>
        <v>OK</v>
      </c>
      <c r="O4597" s="24">
        <f t="shared" si="287"/>
        <v>0</v>
      </c>
    </row>
    <row r="4598" spans="1:15" ht="15" customHeight="1" x14ac:dyDescent="0.3">
      <c r="A4598" s="23" t="s">
        <v>9666</v>
      </c>
      <c r="B4598" s="38">
        <v>46270</v>
      </c>
      <c r="C4598" s="23" t="s">
        <v>9667</v>
      </c>
      <c r="D4598" s="23" t="s">
        <v>92</v>
      </c>
      <c r="E4598" s="23" t="s">
        <v>75</v>
      </c>
      <c r="F4598" s="23" t="s">
        <v>291</v>
      </c>
      <c r="G4598" s="23" t="s">
        <v>250</v>
      </c>
      <c r="H4598" s="39">
        <f t="shared" si="284"/>
        <v>3499</v>
      </c>
      <c r="I4598" s="23" t="str">
        <f t="shared" si="285"/>
        <v>Hyderabad</v>
      </c>
      <c r="J4598" s="23">
        <f>COUNTIFS(pg_transaction_cleaned!$O:$O,A4598,pg_transaction_cleaned!$F:$F,"CAPTURE")</f>
        <v>1</v>
      </c>
      <c r="K4598" s="39">
        <f>SUMIFS(pg_transaction_cleaned!$H:$H,pg_transaction_cleaned!$O:$O,A4598,pg_transaction_cleaned!$F:$F,"CAPTURE")</f>
        <v>3499</v>
      </c>
      <c r="L4598" s="23">
        <f>COUNTIFS(pg_transaction_cleaned!$O:$O,A4598,pg_transaction_cleaned!$F:$F,"REFUND")</f>
        <v>0</v>
      </c>
      <c r="M4598" s="39">
        <f>SUMIFS(pg_transaction_cleaned!$H:$H,pg_transaction_cleaned!$O:$O,A4598,pg_transaction_cleaned!$F:$F,"REFUND")</f>
        <v>0</v>
      </c>
      <c r="N4598" s="23" t="str">
        <f t="shared" si="286"/>
        <v>OK</v>
      </c>
      <c r="O4598" s="24">
        <f t="shared" si="287"/>
        <v>0</v>
      </c>
    </row>
    <row r="4599" spans="1:15" ht="15" customHeight="1" x14ac:dyDescent="0.3">
      <c r="A4599" s="23" t="s">
        <v>9668</v>
      </c>
      <c r="B4599" s="38">
        <v>46283</v>
      </c>
      <c r="C4599" s="23" t="s">
        <v>9669</v>
      </c>
      <c r="D4599" s="23" t="s">
        <v>95</v>
      </c>
      <c r="E4599" s="23" t="s">
        <v>79</v>
      </c>
      <c r="F4599" s="23" t="s">
        <v>297</v>
      </c>
      <c r="G4599" s="23" t="s">
        <v>250</v>
      </c>
      <c r="H4599" s="39">
        <f t="shared" si="284"/>
        <v>4999</v>
      </c>
      <c r="I4599" s="23" t="str">
        <f t="shared" si="285"/>
        <v>Bengaluru</v>
      </c>
      <c r="J4599" s="23">
        <f>COUNTIFS(pg_transaction_cleaned!$O:$O,A4599,pg_transaction_cleaned!$F:$F,"CAPTURE")</f>
        <v>1</v>
      </c>
      <c r="K4599" s="39">
        <f>SUMIFS(pg_transaction_cleaned!$H:$H,pg_transaction_cleaned!$O:$O,A4599,pg_transaction_cleaned!$F:$F,"CAPTURE")</f>
        <v>4999</v>
      </c>
      <c r="L4599" s="23">
        <f>COUNTIFS(pg_transaction_cleaned!$O:$O,A4599,pg_transaction_cleaned!$F:$F,"REFUND")</f>
        <v>0</v>
      </c>
      <c r="M4599" s="39">
        <f>SUMIFS(pg_transaction_cleaned!$H:$H,pg_transaction_cleaned!$O:$O,A4599,pg_transaction_cleaned!$F:$F,"REFUND")</f>
        <v>0</v>
      </c>
      <c r="N4599" s="23" t="str">
        <f t="shared" si="286"/>
        <v>OK</v>
      </c>
      <c r="O4599" s="24">
        <f t="shared" si="287"/>
        <v>0</v>
      </c>
    </row>
    <row r="4600" spans="1:15" ht="15" customHeight="1" x14ac:dyDescent="0.3">
      <c r="A4600" s="23" t="s">
        <v>9670</v>
      </c>
      <c r="B4600" s="38">
        <v>46273</v>
      </c>
      <c r="C4600" s="23" t="s">
        <v>9671</v>
      </c>
      <c r="D4600" s="23" t="s">
        <v>93</v>
      </c>
      <c r="E4600" s="23" t="s">
        <v>79</v>
      </c>
      <c r="F4600" s="23" t="s">
        <v>370</v>
      </c>
      <c r="G4600" s="23" t="s">
        <v>250</v>
      </c>
      <c r="H4600" s="39">
        <f t="shared" si="284"/>
        <v>3098</v>
      </c>
      <c r="I4600" s="23" t="str">
        <f t="shared" si="285"/>
        <v>Kolkata</v>
      </c>
      <c r="J4600" s="23">
        <f>COUNTIFS(pg_transaction_cleaned!$O:$O,A4600,pg_transaction_cleaned!$F:$F,"CAPTURE")</f>
        <v>1</v>
      </c>
      <c r="K4600" s="39">
        <f>SUMIFS(pg_transaction_cleaned!$H:$H,pg_transaction_cleaned!$O:$O,A4600,pg_transaction_cleaned!$F:$F,"CAPTURE")</f>
        <v>3098</v>
      </c>
      <c r="L4600" s="23">
        <f>COUNTIFS(pg_transaction_cleaned!$O:$O,A4600,pg_transaction_cleaned!$F:$F,"REFUND")</f>
        <v>0</v>
      </c>
      <c r="M4600" s="39">
        <f>SUMIFS(pg_transaction_cleaned!$H:$H,pg_transaction_cleaned!$O:$O,A4600,pg_transaction_cleaned!$F:$F,"REFUND")</f>
        <v>0</v>
      </c>
      <c r="N4600" s="23" t="str">
        <f t="shared" si="286"/>
        <v>OK</v>
      </c>
      <c r="O4600" s="24">
        <f t="shared" si="287"/>
        <v>0</v>
      </c>
    </row>
    <row r="4601" spans="1:15" ht="15" customHeight="1" x14ac:dyDescent="0.3">
      <c r="A4601" s="23" t="s">
        <v>9672</v>
      </c>
      <c r="B4601" s="38">
        <v>46280</v>
      </c>
      <c r="C4601" s="23" t="s">
        <v>9673</v>
      </c>
      <c r="D4601" s="23" t="s">
        <v>92</v>
      </c>
      <c r="E4601" s="23" t="s">
        <v>75</v>
      </c>
      <c r="F4601" s="23" t="s">
        <v>675</v>
      </c>
      <c r="G4601" s="23" t="s">
        <v>250</v>
      </c>
      <c r="H4601" s="39">
        <f t="shared" si="284"/>
        <v>10998</v>
      </c>
      <c r="I4601" s="23" t="str">
        <f t="shared" si="285"/>
        <v>Hyderabad</v>
      </c>
      <c r="J4601" s="23">
        <f>COUNTIFS(pg_transaction_cleaned!$O:$O,A4601,pg_transaction_cleaned!$F:$F,"CAPTURE")</f>
        <v>1</v>
      </c>
      <c r="K4601" s="39">
        <f>SUMIFS(pg_transaction_cleaned!$H:$H,pg_transaction_cleaned!$O:$O,A4601,pg_transaction_cleaned!$F:$F,"CAPTURE")</f>
        <v>10998</v>
      </c>
      <c r="L4601" s="23">
        <f>COUNTIFS(pg_transaction_cleaned!$O:$O,A4601,pg_transaction_cleaned!$F:$F,"REFUND")</f>
        <v>0</v>
      </c>
      <c r="M4601" s="39">
        <f>SUMIFS(pg_transaction_cleaned!$H:$H,pg_transaction_cleaned!$O:$O,A4601,pg_transaction_cleaned!$F:$F,"REFUND")</f>
        <v>0</v>
      </c>
      <c r="N4601" s="23" t="str">
        <f t="shared" si="286"/>
        <v>OK</v>
      </c>
      <c r="O4601" s="24">
        <f t="shared" si="287"/>
        <v>0</v>
      </c>
    </row>
    <row r="4602" spans="1:15" ht="15" customHeight="1" x14ac:dyDescent="0.3">
      <c r="A4602" s="23" t="s">
        <v>9674</v>
      </c>
      <c r="B4602" s="38">
        <v>46273</v>
      </c>
      <c r="C4602" s="23" t="s">
        <v>9675</v>
      </c>
      <c r="D4602" s="23" t="s">
        <v>90</v>
      </c>
      <c r="E4602" s="23" t="s">
        <v>79</v>
      </c>
      <c r="F4602" s="23" t="s">
        <v>265</v>
      </c>
      <c r="G4602" s="23" t="s">
        <v>318</v>
      </c>
      <c r="H4602" s="39">
        <f t="shared" si="284"/>
        <v>999</v>
      </c>
      <c r="I4602" s="23" t="str">
        <f t="shared" si="285"/>
        <v>Ahmedabad</v>
      </c>
      <c r="J4602" s="23">
        <f>COUNTIFS(pg_transaction_cleaned!$O:$O,A4602,pg_transaction_cleaned!$F:$F,"CAPTURE")</f>
        <v>0</v>
      </c>
      <c r="K4602" s="39">
        <f>SUMIFS(pg_transaction_cleaned!$H:$H,pg_transaction_cleaned!$O:$O,A4602,pg_transaction_cleaned!$F:$F,"CAPTURE")</f>
        <v>0</v>
      </c>
      <c r="L4602" s="23">
        <f>COUNTIFS(pg_transaction_cleaned!$O:$O,A4602,pg_transaction_cleaned!$F:$F,"REFUND")</f>
        <v>0</v>
      </c>
      <c r="M4602" s="39">
        <f>SUMIFS(pg_transaction_cleaned!$H:$H,pg_transaction_cleaned!$O:$O,A4602,pg_transaction_cleaned!$F:$F,"REFUND")</f>
        <v>0</v>
      </c>
      <c r="N4602" s="23" t="str">
        <f t="shared" si="286"/>
        <v>OK</v>
      </c>
      <c r="O4602" s="24">
        <f t="shared" si="287"/>
        <v>0</v>
      </c>
    </row>
    <row r="4603" spans="1:15" ht="15" customHeight="1" x14ac:dyDescent="0.3">
      <c r="A4603" s="23" t="s">
        <v>9676</v>
      </c>
      <c r="B4603" s="38">
        <v>46287</v>
      </c>
      <c r="C4603" s="23" t="s">
        <v>9677</v>
      </c>
      <c r="D4603" s="23" t="s">
        <v>95</v>
      </c>
      <c r="E4603" s="23" t="s">
        <v>79</v>
      </c>
      <c r="F4603" s="23" t="s">
        <v>3533</v>
      </c>
      <c r="G4603" s="23" t="s">
        <v>250</v>
      </c>
      <c r="H4603" s="39">
        <f t="shared" si="284"/>
        <v>11597</v>
      </c>
      <c r="I4603" s="23" t="str">
        <f t="shared" si="285"/>
        <v>Bengaluru</v>
      </c>
      <c r="J4603" s="23">
        <f>COUNTIFS(pg_transaction_cleaned!$O:$O,A4603,pg_transaction_cleaned!$F:$F,"CAPTURE")</f>
        <v>1</v>
      </c>
      <c r="K4603" s="39">
        <f>SUMIFS(pg_transaction_cleaned!$H:$H,pg_transaction_cleaned!$O:$O,A4603,pg_transaction_cleaned!$F:$F,"CAPTURE")</f>
        <v>11597</v>
      </c>
      <c r="L4603" s="23">
        <f>COUNTIFS(pg_transaction_cleaned!$O:$O,A4603,pg_transaction_cleaned!$F:$F,"REFUND")</f>
        <v>0</v>
      </c>
      <c r="M4603" s="39">
        <f>SUMIFS(pg_transaction_cleaned!$H:$H,pg_transaction_cleaned!$O:$O,A4603,pg_transaction_cleaned!$F:$F,"REFUND")</f>
        <v>0</v>
      </c>
      <c r="N4603" s="23" t="str">
        <f t="shared" si="286"/>
        <v>OK</v>
      </c>
      <c r="O4603" s="24">
        <f t="shared" si="287"/>
        <v>0</v>
      </c>
    </row>
    <row r="4604" spans="1:15" ht="15" customHeight="1" x14ac:dyDescent="0.3">
      <c r="A4604" s="23" t="s">
        <v>9678</v>
      </c>
      <c r="B4604" s="38">
        <v>46267</v>
      </c>
      <c r="C4604" s="23" t="s">
        <v>9679</v>
      </c>
      <c r="D4604" s="23" t="s">
        <v>90</v>
      </c>
      <c r="E4604" s="23" t="s">
        <v>79</v>
      </c>
      <c r="F4604" s="23" t="s">
        <v>329</v>
      </c>
      <c r="G4604" s="23" t="s">
        <v>250</v>
      </c>
      <c r="H4604" s="39">
        <f t="shared" si="284"/>
        <v>599</v>
      </c>
      <c r="I4604" s="23" t="str">
        <f t="shared" si="285"/>
        <v>Ahmedabad</v>
      </c>
      <c r="J4604" s="23">
        <f>COUNTIFS(pg_transaction_cleaned!$O:$O,A4604,pg_transaction_cleaned!$F:$F,"CAPTURE")</f>
        <v>1</v>
      </c>
      <c r="K4604" s="39">
        <f>SUMIFS(pg_transaction_cleaned!$H:$H,pg_transaction_cleaned!$O:$O,A4604,pg_transaction_cleaned!$F:$F,"CAPTURE")</f>
        <v>599</v>
      </c>
      <c r="L4604" s="23">
        <f>COUNTIFS(pg_transaction_cleaned!$O:$O,A4604,pg_transaction_cleaned!$F:$F,"REFUND")</f>
        <v>0</v>
      </c>
      <c r="M4604" s="39">
        <f>SUMIFS(pg_transaction_cleaned!$H:$H,pg_transaction_cleaned!$O:$O,A4604,pg_transaction_cleaned!$F:$F,"REFUND")</f>
        <v>0</v>
      </c>
      <c r="N4604" s="23" t="str">
        <f t="shared" si="286"/>
        <v>OK</v>
      </c>
      <c r="O4604" s="24">
        <f t="shared" si="287"/>
        <v>0</v>
      </c>
    </row>
    <row r="4605" spans="1:15" ht="15" customHeight="1" x14ac:dyDescent="0.3">
      <c r="A4605" s="23" t="s">
        <v>9680</v>
      </c>
      <c r="B4605" s="38">
        <v>46276</v>
      </c>
      <c r="C4605" s="23" t="s">
        <v>9681</v>
      </c>
      <c r="D4605" s="23" t="s">
        <v>89</v>
      </c>
      <c r="E4605" s="23" t="s">
        <v>79</v>
      </c>
      <c r="F4605" s="23" t="s">
        <v>490</v>
      </c>
      <c r="G4605" s="23" t="s">
        <v>250</v>
      </c>
      <c r="H4605" s="39">
        <f t="shared" si="284"/>
        <v>8798</v>
      </c>
      <c r="I4605" s="23" t="str">
        <f t="shared" si="285"/>
        <v>Jaipur</v>
      </c>
      <c r="J4605" s="23">
        <f>COUNTIFS(pg_transaction_cleaned!$O:$O,A4605,pg_transaction_cleaned!$F:$F,"CAPTURE")</f>
        <v>1</v>
      </c>
      <c r="K4605" s="39">
        <f>SUMIFS(pg_transaction_cleaned!$H:$H,pg_transaction_cleaned!$O:$O,A4605,pg_transaction_cleaned!$F:$F,"CAPTURE")</f>
        <v>8798</v>
      </c>
      <c r="L4605" s="23">
        <f>COUNTIFS(pg_transaction_cleaned!$O:$O,A4605,pg_transaction_cleaned!$F:$F,"REFUND")</f>
        <v>0</v>
      </c>
      <c r="M4605" s="39">
        <f>SUMIFS(pg_transaction_cleaned!$H:$H,pg_transaction_cleaned!$O:$O,A4605,pg_transaction_cleaned!$F:$F,"REFUND")</f>
        <v>0</v>
      </c>
      <c r="N4605" s="23" t="str">
        <f t="shared" si="286"/>
        <v>OK</v>
      </c>
      <c r="O4605" s="24">
        <f t="shared" si="287"/>
        <v>0</v>
      </c>
    </row>
    <row r="4606" spans="1:15" ht="15" customHeight="1" x14ac:dyDescent="0.3">
      <c r="A4606" s="23" t="s">
        <v>9682</v>
      </c>
      <c r="B4606" s="38">
        <v>46274</v>
      </c>
      <c r="C4606" s="23" t="s">
        <v>9683</v>
      </c>
      <c r="D4606" s="23" t="s">
        <v>95</v>
      </c>
      <c r="E4606" s="23" t="s">
        <v>79</v>
      </c>
      <c r="F4606" s="23" t="s">
        <v>1505</v>
      </c>
      <c r="G4606" s="23" t="s">
        <v>250</v>
      </c>
      <c r="H4606" s="39">
        <f t="shared" si="284"/>
        <v>8298</v>
      </c>
      <c r="I4606" s="23" t="str">
        <f t="shared" si="285"/>
        <v>Bengaluru</v>
      </c>
      <c r="J4606" s="23">
        <f>COUNTIFS(pg_transaction_cleaned!$O:$O,A4606,pg_transaction_cleaned!$F:$F,"CAPTURE")</f>
        <v>1</v>
      </c>
      <c r="K4606" s="39">
        <f>SUMIFS(pg_transaction_cleaned!$H:$H,pg_transaction_cleaned!$O:$O,A4606,pg_transaction_cleaned!$F:$F,"CAPTURE")</f>
        <v>8298</v>
      </c>
      <c r="L4606" s="23">
        <f>COUNTIFS(pg_transaction_cleaned!$O:$O,A4606,pg_transaction_cleaned!$F:$F,"REFUND")</f>
        <v>0</v>
      </c>
      <c r="M4606" s="39">
        <f>SUMIFS(pg_transaction_cleaned!$H:$H,pg_transaction_cleaned!$O:$O,A4606,pg_transaction_cleaned!$F:$F,"REFUND")</f>
        <v>0</v>
      </c>
      <c r="N4606" s="23" t="str">
        <f t="shared" si="286"/>
        <v>OK</v>
      </c>
      <c r="O4606" s="24">
        <f t="shared" si="287"/>
        <v>0</v>
      </c>
    </row>
    <row r="4607" spans="1:15" ht="15" customHeight="1" x14ac:dyDescent="0.3">
      <c r="A4607" s="23" t="s">
        <v>9684</v>
      </c>
      <c r="B4607" s="38">
        <v>46292</v>
      </c>
      <c r="C4607" s="23" t="s">
        <v>9685</v>
      </c>
      <c r="D4607" s="23" t="s">
        <v>94</v>
      </c>
      <c r="E4607" s="23" t="s">
        <v>75</v>
      </c>
      <c r="F4607" s="23" t="s">
        <v>294</v>
      </c>
      <c r="G4607" s="23" t="s">
        <v>250</v>
      </c>
      <c r="H4607" s="39">
        <f t="shared" si="284"/>
        <v>1799</v>
      </c>
      <c r="I4607" s="23" t="str">
        <f t="shared" si="285"/>
        <v>Chennai</v>
      </c>
      <c r="J4607" s="23">
        <f>COUNTIFS(pg_transaction_cleaned!$O:$O,A4607,pg_transaction_cleaned!$F:$F,"CAPTURE")</f>
        <v>1</v>
      </c>
      <c r="K4607" s="39">
        <f>SUMIFS(pg_transaction_cleaned!$H:$H,pg_transaction_cleaned!$O:$O,A4607,pg_transaction_cleaned!$F:$F,"CAPTURE")</f>
        <v>1799</v>
      </c>
      <c r="L4607" s="23">
        <f>COUNTIFS(pg_transaction_cleaned!$O:$O,A4607,pg_transaction_cleaned!$F:$F,"REFUND")</f>
        <v>0</v>
      </c>
      <c r="M4607" s="39">
        <f>SUMIFS(pg_transaction_cleaned!$H:$H,pg_transaction_cleaned!$O:$O,A4607,pg_transaction_cleaned!$F:$F,"REFUND")</f>
        <v>0</v>
      </c>
      <c r="N4607" s="23" t="str">
        <f t="shared" si="286"/>
        <v>OK</v>
      </c>
      <c r="O4607" s="24">
        <f t="shared" si="287"/>
        <v>0</v>
      </c>
    </row>
    <row r="4608" spans="1:15" ht="15" customHeight="1" x14ac:dyDescent="0.3">
      <c r="A4608" s="23" t="s">
        <v>9686</v>
      </c>
      <c r="B4608" s="38">
        <v>46293</v>
      </c>
      <c r="C4608" s="23" t="s">
        <v>9687</v>
      </c>
      <c r="D4608" s="23" t="s">
        <v>94</v>
      </c>
      <c r="E4608" s="23" t="s">
        <v>75</v>
      </c>
      <c r="F4608" s="23" t="s">
        <v>262</v>
      </c>
      <c r="G4608" s="23" t="s">
        <v>250</v>
      </c>
      <c r="H4608" s="39">
        <f t="shared" si="284"/>
        <v>499</v>
      </c>
      <c r="I4608" s="23" t="str">
        <f t="shared" si="285"/>
        <v>Chennai</v>
      </c>
      <c r="J4608" s="23">
        <f>COUNTIFS(pg_transaction_cleaned!$O:$O,A4608,pg_transaction_cleaned!$F:$F,"CAPTURE")</f>
        <v>1</v>
      </c>
      <c r="K4608" s="39">
        <f>SUMIFS(pg_transaction_cleaned!$H:$H,pg_transaction_cleaned!$O:$O,A4608,pg_transaction_cleaned!$F:$F,"CAPTURE")</f>
        <v>499</v>
      </c>
      <c r="L4608" s="23">
        <f>COUNTIFS(pg_transaction_cleaned!$O:$O,A4608,pg_transaction_cleaned!$F:$F,"REFUND")</f>
        <v>0</v>
      </c>
      <c r="M4608" s="39">
        <f>SUMIFS(pg_transaction_cleaned!$H:$H,pg_transaction_cleaned!$O:$O,A4608,pg_transaction_cleaned!$F:$F,"REFUND")</f>
        <v>0</v>
      </c>
      <c r="N4608" s="23" t="str">
        <f t="shared" si="286"/>
        <v>OK</v>
      </c>
      <c r="O4608" s="24">
        <f t="shared" si="287"/>
        <v>0</v>
      </c>
    </row>
    <row r="4609" spans="1:15" ht="15" customHeight="1" x14ac:dyDescent="0.3">
      <c r="A4609" s="23" t="s">
        <v>9688</v>
      </c>
      <c r="B4609" s="38">
        <v>46292</v>
      </c>
      <c r="C4609" s="23" t="s">
        <v>9689</v>
      </c>
      <c r="D4609" s="23" t="s">
        <v>91</v>
      </c>
      <c r="E4609" s="23" t="s">
        <v>75</v>
      </c>
      <c r="F4609" s="23" t="s">
        <v>288</v>
      </c>
      <c r="G4609" s="23" t="s">
        <v>250</v>
      </c>
      <c r="H4609" s="39">
        <f t="shared" si="284"/>
        <v>4298</v>
      </c>
      <c r="I4609" s="23" t="str">
        <f t="shared" si="285"/>
        <v>Pune</v>
      </c>
      <c r="J4609" s="23">
        <f>COUNTIFS(pg_transaction_cleaned!$O:$O,A4609,pg_transaction_cleaned!$F:$F,"CAPTURE")</f>
        <v>1</v>
      </c>
      <c r="K4609" s="39">
        <f>SUMIFS(pg_transaction_cleaned!$H:$H,pg_transaction_cleaned!$O:$O,A4609,pg_transaction_cleaned!$F:$F,"CAPTURE")</f>
        <v>4298</v>
      </c>
      <c r="L4609" s="23">
        <f>COUNTIFS(pg_transaction_cleaned!$O:$O,A4609,pg_transaction_cleaned!$F:$F,"REFUND")</f>
        <v>0</v>
      </c>
      <c r="M4609" s="39">
        <f>SUMIFS(pg_transaction_cleaned!$H:$H,pg_transaction_cleaned!$O:$O,A4609,pg_transaction_cleaned!$F:$F,"REFUND")</f>
        <v>0</v>
      </c>
      <c r="N4609" s="23" t="str">
        <f t="shared" si="286"/>
        <v>OK</v>
      </c>
      <c r="O4609" s="24">
        <f t="shared" si="287"/>
        <v>0</v>
      </c>
    </row>
    <row r="4610" spans="1:15" ht="15" customHeight="1" x14ac:dyDescent="0.3">
      <c r="A4610" s="23" t="s">
        <v>9690</v>
      </c>
      <c r="B4610" s="38">
        <v>46269</v>
      </c>
      <c r="C4610" s="23" t="s">
        <v>9691</v>
      </c>
      <c r="D4610" s="23" t="s">
        <v>92</v>
      </c>
      <c r="E4610" s="23" t="s">
        <v>79</v>
      </c>
      <c r="F4610" s="23" t="s">
        <v>315</v>
      </c>
      <c r="G4610" s="23" t="s">
        <v>318</v>
      </c>
      <c r="H4610" s="39">
        <f t="shared" ref="H4610:H4673" si="288">VALUE(SUBSTITUTE(F4610,",",""))</f>
        <v>1499</v>
      </c>
      <c r="I4610" s="23" t="str">
        <f t="shared" ref="I4610:I4673" si="289">IF(TRIM(D4610)="","Unknown",TRIM(D4610))</f>
        <v>Hyderabad</v>
      </c>
      <c r="J4610" s="23">
        <f>COUNTIFS(pg_transaction_cleaned!$O:$O,A4610,pg_transaction_cleaned!$F:$F,"CAPTURE")</f>
        <v>0</v>
      </c>
      <c r="K4610" s="39">
        <f>SUMIFS(pg_transaction_cleaned!$H:$H,pg_transaction_cleaned!$O:$O,A4610,pg_transaction_cleaned!$F:$F,"CAPTURE")</f>
        <v>0</v>
      </c>
      <c r="L4610" s="23">
        <f>COUNTIFS(pg_transaction_cleaned!$O:$O,A4610,pg_transaction_cleaned!$F:$F,"REFUND")</f>
        <v>0</v>
      </c>
      <c r="M4610" s="39">
        <f>SUMIFS(pg_transaction_cleaned!$H:$H,pg_transaction_cleaned!$O:$O,A4610,pg_transaction_cleaned!$F:$F,"REFUND")</f>
        <v>0</v>
      </c>
      <c r="N4610" s="23" t="str">
        <f t="shared" ref="N4610:N4673" si="290">IF(AND(G4610="Paid",J4610=0),"Paid, no payment",IF(AND(OR(G4610="Failed",G4610="Cancelled"),J4610&gt;0),"Payment on failed/cancelled",IF(J4610&gt;1,"Duplicate charge",IF(AND(J4610=1,ROUND(K4610-H4610,2)&lt;&gt;0),"Amount difference",IF(AND(G4610="Refunded",L4610=0),"Refunded, no refund",IF(AND(G4610&lt;&gt;"Refunded",L4610&gt;0),"Refund, order not Refunded",IF(AND(L4610&gt;0,ROUND(M4610-H4610,2)&lt;&gt;0),"Refund amount differs","OK")))))))</f>
        <v>OK</v>
      </c>
      <c r="O4610" s="24">
        <f t="shared" ref="O4610:O4673" si="291">IF(N4610="OK",0,IF(N4610="Paid, no payment",H4610,IF(N4610="Payment on failed/cancelled",K4610,IF(OR(N4610="Duplicate charge",N4610="Amount difference"),K4610-H4610,IF(N4610="Refunded, no refund",H4610,M4610)))))</f>
        <v>0</v>
      </c>
    </row>
    <row r="4611" spans="1:15" ht="15" customHeight="1" x14ac:dyDescent="0.3">
      <c r="A4611" s="23" t="s">
        <v>9692</v>
      </c>
      <c r="B4611" s="38">
        <v>46294</v>
      </c>
      <c r="C4611" s="23" t="s">
        <v>9693</v>
      </c>
      <c r="D4611" s="23" t="s">
        <v>90</v>
      </c>
      <c r="E4611" s="23" t="s">
        <v>75</v>
      </c>
      <c r="F4611" s="23" t="s">
        <v>349</v>
      </c>
      <c r="G4611" s="23" t="s">
        <v>250</v>
      </c>
      <c r="H4611" s="39">
        <f t="shared" si="288"/>
        <v>1798</v>
      </c>
      <c r="I4611" s="23" t="str">
        <f t="shared" si="289"/>
        <v>Ahmedabad</v>
      </c>
      <c r="J4611" s="23">
        <f>COUNTIFS(pg_transaction_cleaned!$O:$O,A4611,pg_transaction_cleaned!$F:$F,"CAPTURE")</f>
        <v>1</v>
      </c>
      <c r="K4611" s="39">
        <f>SUMIFS(pg_transaction_cleaned!$H:$H,pg_transaction_cleaned!$O:$O,A4611,pg_transaction_cleaned!$F:$F,"CAPTURE")</f>
        <v>1798</v>
      </c>
      <c r="L4611" s="23">
        <f>COUNTIFS(pg_transaction_cleaned!$O:$O,A4611,pg_transaction_cleaned!$F:$F,"REFUND")</f>
        <v>0</v>
      </c>
      <c r="M4611" s="39">
        <f>SUMIFS(pg_transaction_cleaned!$H:$H,pg_transaction_cleaned!$O:$O,A4611,pg_transaction_cleaned!$F:$F,"REFUND")</f>
        <v>0</v>
      </c>
      <c r="N4611" s="23" t="str">
        <f t="shared" si="290"/>
        <v>OK</v>
      </c>
      <c r="O4611" s="24">
        <f t="shared" si="291"/>
        <v>0</v>
      </c>
    </row>
    <row r="4612" spans="1:15" ht="15" customHeight="1" x14ac:dyDescent="0.3">
      <c r="A4612" s="23" t="s">
        <v>9694</v>
      </c>
      <c r="B4612" s="38">
        <v>46270</v>
      </c>
      <c r="C4612" s="23" t="s">
        <v>9695</v>
      </c>
      <c r="D4612" s="23" t="s">
        <v>88</v>
      </c>
      <c r="E4612" s="23" t="s">
        <v>75</v>
      </c>
      <c r="F4612" s="23" t="s">
        <v>9696</v>
      </c>
      <c r="G4612" s="23" t="s">
        <v>250</v>
      </c>
      <c r="H4612" s="39">
        <f t="shared" si="288"/>
        <v>7498</v>
      </c>
      <c r="I4612" s="23" t="str">
        <f t="shared" si="289"/>
        <v>Lucknow</v>
      </c>
      <c r="J4612" s="23">
        <f>COUNTIFS(pg_transaction_cleaned!$O:$O,A4612,pg_transaction_cleaned!$F:$F,"CAPTURE")</f>
        <v>1</v>
      </c>
      <c r="K4612" s="39">
        <f>SUMIFS(pg_transaction_cleaned!$H:$H,pg_transaction_cleaned!$O:$O,A4612,pg_transaction_cleaned!$F:$F,"CAPTURE")</f>
        <v>7498</v>
      </c>
      <c r="L4612" s="23">
        <f>COUNTIFS(pg_transaction_cleaned!$O:$O,A4612,pg_transaction_cleaned!$F:$F,"REFUND")</f>
        <v>0</v>
      </c>
      <c r="M4612" s="39">
        <f>SUMIFS(pg_transaction_cleaned!$H:$H,pg_transaction_cleaned!$O:$O,A4612,pg_transaction_cleaned!$F:$F,"REFUND")</f>
        <v>0</v>
      </c>
      <c r="N4612" s="23" t="str">
        <f t="shared" si="290"/>
        <v>OK</v>
      </c>
      <c r="O4612" s="24">
        <f t="shared" si="291"/>
        <v>0</v>
      </c>
    </row>
    <row r="4613" spans="1:15" ht="15" customHeight="1" x14ac:dyDescent="0.3">
      <c r="A4613" s="23" t="s">
        <v>9697</v>
      </c>
      <c r="B4613" s="38">
        <v>46272</v>
      </c>
      <c r="C4613" s="23" t="s">
        <v>9698</v>
      </c>
      <c r="D4613" s="23" t="s">
        <v>87</v>
      </c>
      <c r="E4613" s="23" t="s">
        <v>77</v>
      </c>
      <c r="F4613" s="23" t="s">
        <v>294</v>
      </c>
      <c r="G4613" s="23" t="s">
        <v>250</v>
      </c>
      <c r="H4613" s="39">
        <f t="shared" si="288"/>
        <v>1799</v>
      </c>
      <c r="I4613" s="23" t="str">
        <f t="shared" si="289"/>
        <v>Mumbai</v>
      </c>
      <c r="J4613" s="23">
        <f>COUNTIFS(pg_transaction_cleaned!$O:$O,A4613,pg_transaction_cleaned!$F:$F,"CAPTURE")</f>
        <v>1</v>
      </c>
      <c r="K4613" s="39">
        <f>SUMIFS(pg_transaction_cleaned!$H:$H,pg_transaction_cleaned!$O:$O,A4613,pg_transaction_cleaned!$F:$F,"CAPTURE")</f>
        <v>1799</v>
      </c>
      <c r="L4613" s="23">
        <f>COUNTIFS(pg_transaction_cleaned!$O:$O,A4613,pg_transaction_cleaned!$F:$F,"REFUND")</f>
        <v>0</v>
      </c>
      <c r="M4613" s="39">
        <f>SUMIFS(pg_transaction_cleaned!$H:$H,pg_transaction_cleaned!$O:$O,A4613,pg_transaction_cleaned!$F:$F,"REFUND")</f>
        <v>0</v>
      </c>
      <c r="N4613" s="23" t="str">
        <f t="shared" si="290"/>
        <v>OK</v>
      </c>
      <c r="O4613" s="24">
        <f t="shared" si="291"/>
        <v>0</v>
      </c>
    </row>
    <row r="4614" spans="1:15" ht="15" customHeight="1" x14ac:dyDescent="0.3">
      <c r="A4614" s="23" t="s">
        <v>9699</v>
      </c>
      <c r="B4614" s="38">
        <v>46290</v>
      </c>
      <c r="C4614" s="23" t="s">
        <v>9700</v>
      </c>
      <c r="D4614" s="23" t="s">
        <v>93</v>
      </c>
      <c r="E4614" s="23" t="s">
        <v>75</v>
      </c>
      <c r="F4614" s="23" t="s">
        <v>271</v>
      </c>
      <c r="G4614" s="23" t="s">
        <v>250</v>
      </c>
      <c r="H4614" s="39">
        <f t="shared" si="288"/>
        <v>2499</v>
      </c>
      <c r="I4614" s="23" t="str">
        <f t="shared" si="289"/>
        <v>Kolkata</v>
      </c>
      <c r="J4614" s="23">
        <f>COUNTIFS(pg_transaction_cleaned!$O:$O,A4614,pg_transaction_cleaned!$F:$F,"CAPTURE")</f>
        <v>1</v>
      </c>
      <c r="K4614" s="39">
        <f>SUMIFS(pg_transaction_cleaned!$H:$H,pg_transaction_cleaned!$O:$O,A4614,pg_transaction_cleaned!$F:$F,"CAPTURE")</f>
        <v>2499</v>
      </c>
      <c r="L4614" s="23">
        <f>COUNTIFS(pg_transaction_cleaned!$O:$O,A4614,pg_transaction_cleaned!$F:$F,"REFUND")</f>
        <v>0</v>
      </c>
      <c r="M4614" s="39">
        <f>SUMIFS(pg_transaction_cleaned!$H:$H,pg_transaction_cleaned!$O:$O,A4614,pg_transaction_cleaned!$F:$F,"REFUND")</f>
        <v>0</v>
      </c>
      <c r="N4614" s="23" t="str">
        <f t="shared" si="290"/>
        <v>OK</v>
      </c>
      <c r="O4614" s="24">
        <f t="shared" si="291"/>
        <v>0</v>
      </c>
    </row>
    <row r="4615" spans="1:15" ht="15" customHeight="1" x14ac:dyDescent="0.3">
      <c r="A4615" s="23" t="s">
        <v>9701</v>
      </c>
      <c r="B4615" s="38">
        <v>46282</v>
      </c>
      <c r="C4615" s="23" t="s">
        <v>9702</v>
      </c>
      <c r="D4615" s="23" t="s">
        <v>88</v>
      </c>
      <c r="E4615" s="23" t="s">
        <v>81</v>
      </c>
      <c r="F4615" s="23" t="s">
        <v>291</v>
      </c>
      <c r="G4615" s="23" t="s">
        <v>250</v>
      </c>
      <c r="H4615" s="39">
        <f t="shared" si="288"/>
        <v>3499</v>
      </c>
      <c r="I4615" s="23" t="str">
        <f t="shared" si="289"/>
        <v>Lucknow</v>
      </c>
      <c r="J4615" s="23">
        <f>COUNTIFS(pg_transaction_cleaned!$O:$O,A4615,pg_transaction_cleaned!$F:$F,"CAPTURE")</f>
        <v>1</v>
      </c>
      <c r="K4615" s="39">
        <f>SUMIFS(pg_transaction_cleaned!$H:$H,pg_transaction_cleaned!$O:$O,A4615,pg_transaction_cleaned!$F:$F,"CAPTURE")</f>
        <v>3499</v>
      </c>
      <c r="L4615" s="23">
        <f>COUNTIFS(pg_transaction_cleaned!$O:$O,A4615,pg_transaction_cleaned!$F:$F,"REFUND")</f>
        <v>0</v>
      </c>
      <c r="M4615" s="39">
        <f>SUMIFS(pg_transaction_cleaned!$H:$H,pg_transaction_cleaned!$O:$O,A4615,pg_transaction_cleaned!$F:$F,"REFUND")</f>
        <v>0</v>
      </c>
      <c r="N4615" s="23" t="str">
        <f t="shared" si="290"/>
        <v>OK</v>
      </c>
      <c r="O4615" s="24">
        <f t="shared" si="291"/>
        <v>0</v>
      </c>
    </row>
    <row r="4616" spans="1:15" ht="15" customHeight="1" x14ac:dyDescent="0.3">
      <c r="A4616" s="23" t="s">
        <v>9703</v>
      </c>
      <c r="B4616" s="38">
        <v>46289</v>
      </c>
      <c r="C4616" s="23" t="s">
        <v>9704</v>
      </c>
      <c r="D4616" s="23" t="s">
        <v>91</v>
      </c>
      <c r="E4616" s="23" t="s">
        <v>79</v>
      </c>
      <c r="F4616" s="23" t="s">
        <v>612</v>
      </c>
      <c r="G4616" s="23" t="s">
        <v>318</v>
      </c>
      <c r="H4616" s="39">
        <f t="shared" si="288"/>
        <v>8498</v>
      </c>
      <c r="I4616" s="23" t="str">
        <f t="shared" si="289"/>
        <v>Pune</v>
      </c>
      <c r="J4616" s="23">
        <f>COUNTIFS(pg_transaction_cleaned!$O:$O,A4616,pg_transaction_cleaned!$F:$F,"CAPTURE")</f>
        <v>0</v>
      </c>
      <c r="K4616" s="39">
        <f>SUMIFS(pg_transaction_cleaned!$H:$H,pg_transaction_cleaned!$O:$O,A4616,pg_transaction_cleaned!$F:$F,"CAPTURE")</f>
        <v>0</v>
      </c>
      <c r="L4616" s="23">
        <f>COUNTIFS(pg_transaction_cleaned!$O:$O,A4616,pg_transaction_cleaned!$F:$F,"REFUND")</f>
        <v>0</v>
      </c>
      <c r="M4616" s="39">
        <f>SUMIFS(pg_transaction_cleaned!$H:$H,pg_transaction_cleaned!$O:$O,A4616,pg_transaction_cleaned!$F:$F,"REFUND")</f>
        <v>0</v>
      </c>
      <c r="N4616" s="23" t="str">
        <f t="shared" si="290"/>
        <v>OK</v>
      </c>
      <c r="O4616" s="24">
        <f t="shared" si="291"/>
        <v>0</v>
      </c>
    </row>
    <row r="4617" spans="1:15" ht="15" customHeight="1" x14ac:dyDescent="0.3">
      <c r="A4617" s="23" t="s">
        <v>9705</v>
      </c>
      <c r="B4617" s="38">
        <v>46272</v>
      </c>
      <c r="C4617" s="23" t="s">
        <v>9706</v>
      </c>
      <c r="D4617" s="23" t="s">
        <v>90</v>
      </c>
      <c r="E4617" s="23" t="s">
        <v>75</v>
      </c>
      <c r="F4617" s="23" t="s">
        <v>349</v>
      </c>
      <c r="G4617" s="23" t="s">
        <v>250</v>
      </c>
      <c r="H4617" s="39">
        <f t="shared" si="288"/>
        <v>1798</v>
      </c>
      <c r="I4617" s="23" t="str">
        <f t="shared" si="289"/>
        <v>Ahmedabad</v>
      </c>
      <c r="J4617" s="23">
        <f>COUNTIFS(pg_transaction_cleaned!$O:$O,A4617,pg_transaction_cleaned!$F:$F,"CAPTURE")</f>
        <v>1</v>
      </c>
      <c r="K4617" s="39">
        <f>SUMIFS(pg_transaction_cleaned!$H:$H,pg_transaction_cleaned!$O:$O,A4617,pg_transaction_cleaned!$F:$F,"CAPTURE")</f>
        <v>1798</v>
      </c>
      <c r="L4617" s="23">
        <f>COUNTIFS(pg_transaction_cleaned!$O:$O,A4617,pg_transaction_cleaned!$F:$F,"REFUND")</f>
        <v>0</v>
      </c>
      <c r="M4617" s="39">
        <f>SUMIFS(pg_transaction_cleaned!$H:$H,pg_transaction_cleaned!$O:$O,A4617,pg_transaction_cleaned!$F:$F,"REFUND")</f>
        <v>0</v>
      </c>
      <c r="N4617" s="23" t="str">
        <f t="shared" si="290"/>
        <v>OK</v>
      </c>
      <c r="O4617" s="24">
        <f t="shared" si="291"/>
        <v>0</v>
      </c>
    </row>
    <row r="4618" spans="1:15" ht="15" customHeight="1" x14ac:dyDescent="0.3">
      <c r="A4618" s="23" t="s">
        <v>9707</v>
      </c>
      <c r="B4618" s="38">
        <v>46294</v>
      </c>
      <c r="C4618" s="23" t="s">
        <v>9708</v>
      </c>
      <c r="D4618" s="23" t="s">
        <v>95</v>
      </c>
      <c r="E4618" s="23" t="s">
        <v>75</v>
      </c>
      <c r="F4618" s="23" t="s">
        <v>483</v>
      </c>
      <c r="G4618" s="23" t="s">
        <v>250</v>
      </c>
      <c r="H4618" s="39">
        <f t="shared" si="288"/>
        <v>2998</v>
      </c>
      <c r="I4618" s="23" t="str">
        <f t="shared" si="289"/>
        <v>Bengaluru</v>
      </c>
      <c r="J4618" s="23">
        <f>COUNTIFS(pg_transaction_cleaned!$O:$O,A4618,pg_transaction_cleaned!$F:$F,"CAPTURE")</f>
        <v>1</v>
      </c>
      <c r="K4618" s="39">
        <f>SUMIFS(pg_transaction_cleaned!$H:$H,pg_transaction_cleaned!$O:$O,A4618,pg_transaction_cleaned!$F:$F,"CAPTURE")</f>
        <v>2998</v>
      </c>
      <c r="L4618" s="23">
        <f>COUNTIFS(pg_transaction_cleaned!$O:$O,A4618,pg_transaction_cleaned!$F:$F,"REFUND")</f>
        <v>0</v>
      </c>
      <c r="M4618" s="39">
        <f>SUMIFS(pg_transaction_cleaned!$H:$H,pg_transaction_cleaned!$O:$O,A4618,pg_transaction_cleaned!$F:$F,"REFUND")</f>
        <v>0</v>
      </c>
      <c r="N4618" s="23" t="str">
        <f t="shared" si="290"/>
        <v>OK</v>
      </c>
      <c r="O4618" s="24">
        <f t="shared" si="291"/>
        <v>0</v>
      </c>
    </row>
    <row r="4619" spans="1:15" ht="15" customHeight="1" x14ac:dyDescent="0.3">
      <c r="A4619" s="23" t="s">
        <v>9709</v>
      </c>
      <c r="B4619" s="38">
        <v>46284</v>
      </c>
      <c r="C4619" s="23" t="s">
        <v>9710</v>
      </c>
      <c r="D4619" s="23"/>
      <c r="E4619" s="23" t="s">
        <v>75</v>
      </c>
      <c r="F4619" s="23" t="s">
        <v>405</v>
      </c>
      <c r="G4619" s="23" t="s">
        <v>250</v>
      </c>
      <c r="H4619" s="39">
        <f t="shared" si="288"/>
        <v>9298</v>
      </c>
      <c r="I4619" s="23" t="str">
        <f t="shared" si="289"/>
        <v>Unknown</v>
      </c>
      <c r="J4619" s="23">
        <f>COUNTIFS(pg_transaction_cleaned!$O:$O,A4619,pg_transaction_cleaned!$F:$F,"CAPTURE")</f>
        <v>1</v>
      </c>
      <c r="K4619" s="39">
        <f>SUMIFS(pg_transaction_cleaned!$H:$H,pg_transaction_cleaned!$O:$O,A4619,pg_transaction_cleaned!$F:$F,"CAPTURE")</f>
        <v>9298</v>
      </c>
      <c r="L4619" s="23">
        <f>COUNTIFS(pg_transaction_cleaned!$O:$O,A4619,pg_transaction_cleaned!$F:$F,"REFUND")</f>
        <v>0</v>
      </c>
      <c r="M4619" s="39">
        <f>SUMIFS(pg_transaction_cleaned!$H:$H,pg_transaction_cleaned!$O:$O,A4619,pg_transaction_cleaned!$F:$F,"REFUND")</f>
        <v>0</v>
      </c>
      <c r="N4619" s="23" t="str">
        <f t="shared" si="290"/>
        <v>OK</v>
      </c>
      <c r="O4619" s="24">
        <f t="shared" si="291"/>
        <v>0</v>
      </c>
    </row>
    <row r="4620" spans="1:15" ht="15" customHeight="1" x14ac:dyDescent="0.3">
      <c r="A4620" s="23" t="s">
        <v>9711</v>
      </c>
      <c r="B4620" s="38">
        <v>46271</v>
      </c>
      <c r="C4620" s="23" t="s">
        <v>9712</v>
      </c>
      <c r="D4620" s="23" t="s">
        <v>90</v>
      </c>
      <c r="E4620" s="23" t="s">
        <v>79</v>
      </c>
      <c r="F4620" s="23" t="s">
        <v>790</v>
      </c>
      <c r="G4620" s="23" t="s">
        <v>250</v>
      </c>
      <c r="H4620" s="39">
        <f t="shared" si="288"/>
        <v>11497</v>
      </c>
      <c r="I4620" s="23" t="str">
        <f t="shared" si="289"/>
        <v>Ahmedabad</v>
      </c>
      <c r="J4620" s="23">
        <f>COUNTIFS(pg_transaction_cleaned!$O:$O,A4620,pg_transaction_cleaned!$F:$F,"CAPTURE")</f>
        <v>1</v>
      </c>
      <c r="K4620" s="39">
        <f>SUMIFS(pg_transaction_cleaned!$H:$H,pg_transaction_cleaned!$O:$O,A4620,pg_transaction_cleaned!$F:$F,"CAPTURE")</f>
        <v>11497</v>
      </c>
      <c r="L4620" s="23">
        <f>COUNTIFS(pg_transaction_cleaned!$O:$O,A4620,pg_transaction_cleaned!$F:$F,"REFUND")</f>
        <v>0</v>
      </c>
      <c r="M4620" s="39">
        <f>SUMIFS(pg_transaction_cleaned!$H:$H,pg_transaction_cleaned!$O:$O,A4620,pg_transaction_cleaned!$F:$F,"REFUND")</f>
        <v>0</v>
      </c>
      <c r="N4620" s="23" t="str">
        <f t="shared" si="290"/>
        <v>OK</v>
      </c>
      <c r="O4620" s="24">
        <f t="shared" si="291"/>
        <v>0</v>
      </c>
    </row>
    <row r="4621" spans="1:15" ht="15" customHeight="1" x14ac:dyDescent="0.3">
      <c r="A4621" s="23" t="s">
        <v>9713</v>
      </c>
      <c r="B4621" s="38">
        <v>46290</v>
      </c>
      <c r="C4621" s="23" t="s">
        <v>9714</v>
      </c>
      <c r="D4621" s="23" t="s">
        <v>86</v>
      </c>
      <c r="E4621" s="23" t="s">
        <v>79</v>
      </c>
      <c r="F4621" s="23" t="s">
        <v>265</v>
      </c>
      <c r="G4621" s="23" t="s">
        <v>250</v>
      </c>
      <c r="H4621" s="39">
        <f t="shared" si="288"/>
        <v>999</v>
      </c>
      <c r="I4621" s="23" t="str">
        <f t="shared" si="289"/>
        <v>Delhi</v>
      </c>
      <c r="J4621" s="23">
        <f>COUNTIFS(pg_transaction_cleaned!$O:$O,A4621,pg_transaction_cleaned!$F:$F,"CAPTURE")</f>
        <v>1</v>
      </c>
      <c r="K4621" s="39">
        <f>SUMIFS(pg_transaction_cleaned!$H:$H,pg_transaction_cleaned!$O:$O,A4621,pg_transaction_cleaned!$F:$F,"CAPTURE")</f>
        <v>999</v>
      </c>
      <c r="L4621" s="23">
        <f>COUNTIFS(pg_transaction_cleaned!$O:$O,A4621,pg_transaction_cleaned!$F:$F,"REFUND")</f>
        <v>0</v>
      </c>
      <c r="M4621" s="39">
        <f>SUMIFS(pg_transaction_cleaned!$H:$H,pg_transaction_cleaned!$O:$O,A4621,pg_transaction_cleaned!$F:$F,"REFUND")</f>
        <v>0</v>
      </c>
      <c r="N4621" s="23" t="str">
        <f t="shared" si="290"/>
        <v>OK</v>
      </c>
      <c r="O4621" s="24">
        <f t="shared" si="291"/>
        <v>0</v>
      </c>
    </row>
    <row r="4622" spans="1:15" ht="15" customHeight="1" x14ac:dyDescent="0.3">
      <c r="A4622" s="23" t="s">
        <v>9715</v>
      </c>
      <c r="B4622" s="38">
        <v>46271</v>
      </c>
      <c r="C4622" s="23" t="s">
        <v>9716</v>
      </c>
      <c r="D4622" s="23" t="s">
        <v>92</v>
      </c>
      <c r="E4622" s="23" t="s">
        <v>77</v>
      </c>
      <c r="F4622" s="23" t="s">
        <v>1054</v>
      </c>
      <c r="G4622" s="23" t="s">
        <v>250</v>
      </c>
      <c r="H4622" s="39">
        <f t="shared" si="288"/>
        <v>6597</v>
      </c>
      <c r="I4622" s="23" t="str">
        <f t="shared" si="289"/>
        <v>Hyderabad</v>
      </c>
      <c r="J4622" s="23">
        <f>COUNTIFS(pg_transaction_cleaned!$O:$O,A4622,pg_transaction_cleaned!$F:$F,"CAPTURE")</f>
        <v>1</v>
      </c>
      <c r="K4622" s="39">
        <f>SUMIFS(pg_transaction_cleaned!$H:$H,pg_transaction_cleaned!$O:$O,A4622,pg_transaction_cleaned!$F:$F,"CAPTURE")</f>
        <v>6597</v>
      </c>
      <c r="L4622" s="23">
        <f>COUNTIFS(pg_transaction_cleaned!$O:$O,A4622,pg_transaction_cleaned!$F:$F,"REFUND")</f>
        <v>0</v>
      </c>
      <c r="M4622" s="39">
        <f>SUMIFS(pg_transaction_cleaned!$H:$H,pg_transaction_cleaned!$O:$O,A4622,pg_transaction_cleaned!$F:$F,"REFUND")</f>
        <v>0</v>
      </c>
      <c r="N4622" s="23" t="str">
        <f t="shared" si="290"/>
        <v>OK</v>
      </c>
      <c r="O4622" s="24">
        <f t="shared" si="291"/>
        <v>0</v>
      </c>
    </row>
    <row r="4623" spans="1:15" ht="15" customHeight="1" x14ac:dyDescent="0.3">
      <c r="A4623" s="23" t="s">
        <v>9717</v>
      </c>
      <c r="B4623" s="38">
        <v>46272</v>
      </c>
      <c r="C4623" s="23" t="s">
        <v>9718</v>
      </c>
      <c r="D4623" s="23" t="s">
        <v>87</v>
      </c>
      <c r="E4623" s="23" t="s">
        <v>77</v>
      </c>
      <c r="F4623" s="23" t="s">
        <v>329</v>
      </c>
      <c r="G4623" s="23" t="s">
        <v>250</v>
      </c>
      <c r="H4623" s="39">
        <f t="shared" si="288"/>
        <v>599</v>
      </c>
      <c r="I4623" s="23" t="str">
        <f t="shared" si="289"/>
        <v>Mumbai</v>
      </c>
      <c r="J4623" s="23">
        <f>COUNTIFS(pg_transaction_cleaned!$O:$O,A4623,pg_transaction_cleaned!$F:$F,"CAPTURE")</f>
        <v>1</v>
      </c>
      <c r="K4623" s="39">
        <f>SUMIFS(pg_transaction_cleaned!$H:$H,pg_transaction_cleaned!$O:$O,A4623,pg_transaction_cleaned!$F:$F,"CAPTURE")</f>
        <v>599</v>
      </c>
      <c r="L4623" s="23">
        <f>COUNTIFS(pg_transaction_cleaned!$O:$O,A4623,pg_transaction_cleaned!$F:$F,"REFUND")</f>
        <v>0</v>
      </c>
      <c r="M4623" s="39">
        <f>SUMIFS(pg_transaction_cleaned!$H:$H,pg_transaction_cleaned!$O:$O,A4623,pg_transaction_cleaned!$F:$F,"REFUND")</f>
        <v>0</v>
      </c>
      <c r="N4623" s="23" t="str">
        <f t="shared" si="290"/>
        <v>OK</v>
      </c>
      <c r="O4623" s="24">
        <f t="shared" si="291"/>
        <v>0</v>
      </c>
    </row>
    <row r="4624" spans="1:15" ht="15" customHeight="1" x14ac:dyDescent="0.3">
      <c r="A4624" s="23" t="s">
        <v>9719</v>
      </c>
      <c r="B4624" s="38">
        <v>46291</v>
      </c>
      <c r="C4624" s="23" t="s">
        <v>9720</v>
      </c>
      <c r="D4624" s="23" t="s">
        <v>92</v>
      </c>
      <c r="E4624" s="23" t="s">
        <v>77</v>
      </c>
      <c r="F4624" s="23" t="s">
        <v>329</v>
      </c>
      <c r="G4624" s="23" t="s">
        <v>250</v>
      </c>
      <c r="H4624" s="39">
        <f t="shared" si="288"/>
        <v>599</v>
      </c>
      <c r="I4624" s="23" t="str">
        <f t="shared" si="289"/>
        <v>Hyderabad</v>
      </c>
      <c r="J4624" s="23">
        <f>COUNTIFS(pg_transaction_cleaned!$O:$O,A4624,pg_transaction_cleaned!$F:$F,"CAPTURE")</f>
        <v>1</v>
      </c>
      <c r="K4624" s="39">
        <f>SUMIFS(pg_transaction_cleaned!$H:$H,pg_transaction_cleaned!$O:$O,A4624,pg_transaction_cleaned!$F:$F,"CAPTURE")</f>
        <v>599</v>
      </c>
      <c r="L4624" s="23">
        <f>COUNTIFS(pg_transaction_cleaned!$O:$O,A4624,pg_transaction_cleaned!$F:$F,"REFUND")</f>
        <v>0</v>
      </c>
      <c r="M4624" s="39">
        <f>SUMIFS(pg_transaction_cleaned!$H:$H,pg_transaction_cleaned!$O:$O,A4624,pg_transaction_cleaned!$F:$F,"REFUND")</f>
        <v>0</v>
      </c>
      <c r="N4624" s="23" t="str">
        <f t="shared" si="290"/>
        <v>OK</v>
      </c>
      <c r="O4624" s="24">
        <f t="shared" si="291"/>
        <v>0</v>
      </c>
    </row>
    <row r="4625" spans="1:15" ht="15" customHeight="1" x14ac:dyDescent="0.3">
      <c r="A4625" s="23" t="s">
        <v>9721</v>
      </c>
      <c r="B4625" s="38">
        <v>46278</v>
      </c>
      <c r="C4625" s="23" t="s">
        <v>9722</v>
      </c>
      <c r="D4625" s="23" t="s">
        <v>93</v>
      </c>
      <c r="E4625" s="23" t="s">
        <v>79</v>
      </c>
      <c r="F4625" s="23" t="s">
        <v>297</v>
      </c>
      <c r="G4625" s="23" t="s">
        <v>250</v>
      </c>
      <c r="H4625" s="39">
        <f t="shared" si="288"/>
        <v>4999</v>
      </c>
      <c r="I4625" s="23" t="str">
        <f t="shared" si="289"/>
        <v>Kolkata</v>
      </c>
      <c r="J4625" s="23">
        <f>COUNTIFS(pg_transaction_cleaned!$O:$O,A4625,pg_transaction_cleaned!$F:$F,"CAPTURE")</f>
        <v>1</v>
      </c>
      <c r="K4625" s="39">
        <f>SUMIFS(pg_transaction_cleaned!$H:$H,pg_transaction_cleaned!$O:$O,A4625,pg_transaction_cleaned!$F:$F,"CAPTURE")</f>
        <v>4999</v>
      </c>
      <c r="L4625" s="23">
        <f>COUNTIFS(pg_transaction_cleaned!$O:$O,A4625,pg_transaction_cleaned!$F:$F,"REFUND")</f>
        <v>0</v>
      </c>
      <c r="M4625" s="39">
        <f>SUMIFS(pg_transaction_cleaned!$H:$H,pg_transaction_cleaned!$O:$O,A4625,pg_transaction_cleaned!$F:$F,"REFUND")</f>
        <v>0</v>
      </c>
      <c r="N4625" s="23" t="str">
        <f t="shared" si="290"/>
        <v>OK</v>
      </c>
      <c r="O4625" s="24">
        <f t="shared" si="291"/>
        <v>0</v>
      </c>
    </row>
    <row r="4626" spans="1:15" ht="15" customHeight="1" x14ac:dyDescent="0.3">
      <c r="A4626" s="23" t="s">
        <v>9723</v>
      </c>
      <c r="B4626" s="38">
        <v>46284</v>
      </c>
      <c r="C4626" s="23" t="s">
        <v>9724</v>
      </c>
      <c r="D4626" s="23" t="s">
        <v>88</v>
      </c>
      <c r="E4626" s="23" t="s">
        <v>77</v>
      </c>
      <c r="F4626" s="23" t="s">
        <v>291</v>
      </c>
      <c r="G4626" s="23" t="s">
        <v>250</v>
      </c>
      <c r="H4626" s="39">
        <f t="shared" si="288"/>
        <v>3499</v>
      </c>
      <c r="I4626" s="23" t="str">
        <f t="shared" si="289"/>
        <v>Lucknow</v>
      </c>
      <c r="J4626" s="23">
        <f>COUNTIFS(pg_transaction_cleaned!$O:$O,A4626,pg_transaction_cleaned!$F:$F,"CAPTURE")</f>
        <v>1</v>
      </c>
      <c r="K4626" s="39">
        <f>SUMIFS(pg_transaction_cleaned!$H:$H,pg_transaction_cleaned!$O:$O,A4626,pg_transaction_cleaned!$F:$F,"CAPTURE")</f>
        <v>3499</v>
      </c>
      <c r="L4626" s="23">
        <f>COUNTIFS(pg_transaction_cleaned!$O:$O,A4626,pg_transaction_cleaned!$F:$F,"REFUND")</f>
        <v>0</v>
      </c>
      <c r="M4626" s="39">
        <f>SUMIFS(pg_transaction_cleaned!$H:$H,pg_transaction_cleaned!$O:$O,A4626,pg_transaction_cleaned!$F:$F,"REFUND")</f>
        <v>0</v>
      </c>
      <c r="N4626" s="23" t="str">
        <f t="shared" si="290"/>
        <v>OK</v>
      </c>
      <c r="O4626" s="24">
        <f t="shared" si="291"/>
        <v>0</v>
      </c>
    </row>
    <row r="4627" spans="1:15" ht="15" customHeight="1" x14ac:dyDescent="0.3">
      <c r="A4627" s="23" t="s">
        <v>9725</v>
      </c>
      <c r="B4627" s="38">
        <v>46277</v>
      </c>
      <c r="C4627" s="23" t="s">
        <v>9726</v>
      </c>
      <c r="D4627" s="23" t="s">
        <v>86</v>
      </c>
      <c r="E4627" s="23" t="s">
        <v>81</v>
      </c>
      <c r="F4627" s="23" t="s">
        <v>1299</v>
      </c>
      <c r="G4627" s="23" t="s">
        <v>250</v>
      </c>
      <c r="H4627" s="39">
        <f t="shared" si="288"/>
        <v>2097</v>
      </c>
      <c r="I4627" s="23" t="str">
        <f t="shared" si="289"/>
        <v>Delhi</v>
      </c>
      <c r="J4627" s="23">
        <f>COUNTIFS(pg_transaction_cleaned!$O:$O,A4627,pg_transaction_cleaned!$F:$F,"CAPTURE")</f>
        <v>1</v>
      </c>
      <c r="K4627" s="39">
        <f>SUMIFS(pg_transaction_cleaned!$H:$H,pg_transaction_cleaned!$O:$O,A4627,pg_transaction_cleaned!$F:$F,"CAPTURE")</f>
        <v>2097</v>
      </c>
      <c r="L4627" s="23">
        <f>COUNTIFS(pg_transaction_cleaned!$O:$O,A4627,pg_transaction_cleaned!$F:$F,"REFUND")</f>
        <v>0</v>
      </c>
      <c r="M4627" s="39">
        <f>SUMIFS(pg_transaction_cleaned!$H:$H,pg_transaction_cleaned!$O:$O,A4627,pg_transaction_cleaned!$F:$F,"REFUND")</f>
        <v>0</v>
      </c>
      <c r="N4627" s="23" t="str">
        <f t="shared" si="290"/>
        <v>OK</v>
      </c>
      <c r="O4627" s="24">
        <f t="shared" si="291"/>
        <v>0</v>
      </c>
    </row>
    <row r="4628" spans="1:15" ht="15" customHeight="1" x14ac:dyDescent="0.3">
      <c r="A4628" s="23" t="s">
        <v>9727</v>
      </c>
      <c r="B4628" s="38">
        <v>46285</v>
      </c>
      <c r="C4628" s="23" t="s">
        <v>9728</v>
      </c>
      <c r="D4628" s="23" t="s">
        <v>87</v>
      </c>
      <c r="E4628" s="23" t="s">
        <v>75</v>
      </c>
      <c r="F4628" s="23" t="s">
        <v>274</v>
      </c>
      <c r="G4628" s="23" t="s">
        <v>250</v>
      </c>
      <c r="H4628" s="39">
        <f t="shared" si="288"/>
        <v>349</v>
      </c>
      <c r="I4628" s="23" t="str">
        <f t="shared" si="289"/>
        <v>Mumbai</v>
      </c>
      <c r="J4628" s="23">
        <f>COUNTIFS(pg_transaction_cleaned!$O:$O,A4628,pg_transaction_cleaned!$F:$F,"CAPTURE")</f>
        <v>1</v>
      </c>
      <c r="K4628" s="39">
        <f>SUMIFS(pg_transaction_cleaned!$H:$H,pg_transaction_cleaned!$O:$O,A4628,pg_transaction_cleaned!$F:$F,"CAPTURE")</f>
        <v>349</v>
      </c>
      <c r="L4628" s="23">
        <f>COUNTIFS(pg_transaction_cleaned!$O:$O,A4628,pg_transaction_cleaned!$F:$F,"REFUND")</f>
        <v>0</v>
      </c>
      <c r="M4628" s="39">
        <f>SUMIFS(pg_transaction_cleaned!$H:$H,pg_transaction_cleaned!$O:$O,A4628,pg_transaction_cleaned!$F:$F,"REFUND")</f>
        <v>0</v>
      </c>
      <c r="N4628" s="23" t="str">
        <f t="shared" si="290"/>
        <v>OK</v>
      </c>
      <c r="O4628" s="24">
        <f t="shared" si="291"/>
        <v>0</v>
      </c>
    </row>
    <row r="4629" spans="1:15" ht="15" customHeight="1" x14ac:dyDescent="0.3">
      <c r="A4629" s="23" t="s">
        <v>9729</v>
      </c>
      <c r="B4629" s="38">
        <v>46267</v>
      </c>
      <c r="C4629" s="23" t="s">
        <v>9730</v>
      </c>
      <c r="D4629" s="23" t="s">
        <v>94</v>
      </c>
      <c r="E4629" s="23" t="s">
        <v>77</v>
      </c>
      <c r="F4629" s="23" t="s">
        <v>490</v>
      </c>
      <c r="G4629" s="23" t="s">
        <v>250</v>
      </c>
      <c r="H4629" s="39">
        <f t="shared" si="288"/>
        <v>8798</v>
      </c>
      <c r="I4629" s="23" t="str">
        <f t="shared" si="289"/>
        <v>Chennai</v>
      </c>
      <c r="J4629" s="23">
        <f>COUNTIFS(pg_transaction_cleaned!$O:$O,A4629,pg_transaction_cleaned!$F:$F,"CAPTURE")</f>
        <v>1</v>
      </c>
      <c r="K4629" s="39">
        <f>SUMIFS(pg_transaction_cleaned!$H:$H,pg_transaction_cleaned!$O:$O,A4629,pg_transaction_cleaned!$F:$F,"CAPTURE")</f>
        <v>8798</v>
      </c>
      <c r="L4629" s="23">
        <f>COUNTIFS(pg_transaction_cleaned!$O:$O,A4629,pg_transaction_cleaned!$F:$F,"REFUND")</f>
        <v>0</v>
      </c>
      <c r="M4629" s="39">
        <f>SUMIFS(pg_transaction_cleaned!$H:$H,pg_transaction_cleaned!$O:$O,A4629,pg_transaction_cleaned!$F:$F,"REFUND")</f>
        <v>0</v>
      </c>
      <c r="N4629" s="23" t="str">
        <f t="shared" si="290"/>
        <v>OK</v>
      </c>
      <c r="O4629" s="24">
        <f t="shared" si="291"/>
        <v>0</v>
      </c>
    </row>
    <row r="4630" spans="1:15" ht="15" customHeight="1" x14ac:dyDescent="0.3">
      <c r="A4630" s="23" t="s">
        <v>9731</v>
      </c>
      <c r="B4630" s="38">
        <v>46275</v>
      </c>
      <c r="C4630" s="23" t="s">
        <v>9732</v>
      </c>
      <c r="D4630" s="23" t="s">
        <v>88</v>
      </c>
      <c r="E4630" s="23" t="s">
        <v>75</v>
      </c>
      <c r="F4630" s="23" t="s">
        <v>514</v>
      </c>
      <c r="G4630" s="23" t="s">
        <v>318</v>
      </c>
      <c r="H4630" s="39">
        <f t="shared" si="288"/>
        <v>6498</v>
      </c>
      <c r="I4630" s="23" t="str">
        <f t="shared" si="289"/>
        <v>Lucknow</v>
      </c>
      <c r="J4630" s="23">
        <f>COUNTIFS(pg_transaction_cleaned!$O:$O,A4630,pg_transaction_cleaned!$F:$F,"CAPTURE")</f>
        <v>0</v>
      </c>
      <c r="K4630" s="39">
        <f>SUMIFS(pg_transaction_cleaned!$H:$H,pg_transaction_cleaned!$O:$O,A4630,pg_transaction_cleaned!$F:$F,"CAPTURE")</f>
        <v>0</v>
      </c>
      <c r="L4630" s="23">
        <f>COUNTIFS(pg_transaction_cleaned!$O:$O,A4630,pg_transaction_cleaned!$F:$F,"REFUND")</f>
        <v>0</v>
      </c>
      <c r="M4630" s="39">
        <f>SUMIFS(pg_transaction_cleaned!$H:$H,pg_transaction_cleaned!$O:$O,A4630,pg_transaction_cleaned!$F:$F,"REFUND")</f>
        <v>0</v>
      </c>
      <c r="N4630" s="23" t="str">
        <f t="shared" si="290"/>
        <v>OK</v>
      </c>
      <c r="O4630" s="24">
        <f t="shared" si="291"/>
        <v>0</v>
      </c>
    </row>
    <row r="4631" spans="1:15" ht="15" customHeight="1" x14ac:dyDescent="0.3">
      <c r="A4631" s="23" t="s">
        <v>9733</v>
      </c>
      <c r="B4631" s="38">
        <v>46286</v>
      </c>
      <c r="C4631" s="23" t="s">
        <v>9734</v>
      </c>
      <c r="D4631" s="23"/>
      <c r="E4631" s="23" t="s">
        <v>75</v>
      </c>
      <c r="F4631" s="23" t="s">
        <v>717</v>
      </c>
      <c r="G4631" s="23" t="s">
        <v>250</v>
      </c>
      <c r="H4631" s="39">
        <f t="shared" si="288"/>
        <v>5298</v>
      </c>
      <c r="I4631" s="23" t="str">
        <f t="shared" si="289"/>
        <v>Unknown</v>
      </c>
      <c r="J4631" s="23">
        <f>COUNTIFS(pg_transaction_cleaned!$O:$O,A4631,pg_transaction_cleaned!$F:$F,"CAPTURE")</f>
        <v>1</v>
      </c>
      <c r="K4631" s="39">
        <f>SUMIFS(pg_transaction_cleaned!$H:$H,pg_transaction_cleaned!$O:$O,A4631,pg_transaction_cleaned!$F:$F,"CAPTURE")</f>
        <v>5298</v>
      </c>
      <c r="L4631" s="23">
        <f>COUNTIFS(pg_transaction_cleaned!$O:$O,A4631,pg_transaction_cleaned!$F:$F,"REFUND")</f>
        <v>0</v>
      </c>
      <c r="M4631" s="39">
        <f>SUMIFS(pg_transaction_cleaned!$H:$H,pg_transaction_cleaned!$O:$O,A4631,pg_transaction_cleaned!$F:$F,"REFUND")</f>
        <v>0</v>
      </c>
      <c r="N4631" s="23" t="str">
        <f t="shared" si="290"/>
        <v>OK</v>
      </c>
      <c r="O4631" s="24">
        <f t="shared" si="291"/>
        <v>0</v>
      </c>
    </row>
    <row r="4632" spans="1:15" ht="15" customHeight="1" x14ac:dyDescent="0.3">
      <c r="A4632" s="23" t="s">
        <v>9735</v>
      </c>
      <c r="B4632" s="38">
        <v>46282</v>
      </c>
      <c r="C4632" s="23" t="s">
        <v>9736</v>
      </c>
      <c r="D4632" s="23" t="s">
        <v>86</v>
      </c>
      <c r="E4632" s="23" t="s">
        <v>75</v>
      </c>
      <c r="F4632" s="23" t="s">
        <v>265</v>
      </c>
      <c r="G4632" s="23" t="s">
        <v>250</v>
      </c>
      <c r="H4632" s="39">
        <f t="shared" si="288"/>
        <v>999</v>
      </c>
      <c r="I4632" s="23" t="str">
        <f t="shared" si="289"/>
        <v>Delhi</v>
      </c>
      <c r="J4632" s="23">
        <f>COUNTIFS(pg_transaction_cleaned!$O:$O,A4632,pg_transaction_cleaned!$F:$F,"CAPTURE")</f>
        <v>1</v>
      </c>
      <c r="K4632" s="39">
        <f>SUMIFS(pg_transaction_cleaned!$H:$H,pg_transaction_cleaned!$O:$O,A4632,pg_transaction_cleaned!$F:$F,"CAPTURE")</f>
        <v>999</v>
      </c>
      <c r="L4632" s="23">
        <f>COUNTIFS(pg_transaction_cleaned!$O:$O,A4632,pg_transaction_cleaned!$F:$F,"REFUND")</f>
        <v>0</v>
      </c>
      <c r="M4632" s="39">
        <f>SUMIFS(pg_transaction_cleaned!$H:$H,pg_transaction_cleaned!$O:$O,A4632,pg_transaction_cleaned!$F:$F,"REFUND")</f>
        <v>0</v>
      </c>
      <c r="N4632" s="23" t="str">
        <f t="shared" si="290"/>
        <v>OK</v>
      </c>
      <c r="O4632" s="24">
        <f t="shared" si="291"/>
        <v>0</v>
      </c>
    </row>
    <row r="4633" spans="1:15" ht="15" customHeight="1" x14ac:dyDescent="0.3">
      <c r="A4633" s="23" t="s">
        <v>9737</v>
      </c>
      <c r="B4633" s="38">
        <v>46277</v>
      </c>
      <c r="C4633" s="23" t="s">
        <v>9738</v>
      </c>
      <c r="D4633" s="23" t="s">
        <v>89</v>
      </c>
      <c r="E4633" s="23" t="s">
        <v>79</v>
      </c>
      <c r="F4633" s="23" t="s">
        <v>297</v>
      </c>
      <c r="G4633" s="23" t="s">
        <v>250</v>
      </c>
      <c r="H4633" s="39">
        <f t="shared" si="288"/>
        <v>4999</v>
      </c>
      <c r="I4633" s="23" t="str">
        <f t="shared" si="289"/>
        <v>Jaipur</v>
      </c>
      <c r="J4633" s="23">
        <f>COUNTIFS(pg_transaction_cleaned!$O:$O,A4633,pg_transaction_cleaned!$F:$F,"CAPTURE")</f>
        <v>1</v>
      </c>
      <c r="K4633" s="39">
        <f>SUMIFS(pg_transaction_cleaned!$H:$H,pg_transaction_cleaned!$O:$O,A4633,pg_transaction_cleaned!$F:$F,"CAPTURE")</f>
        <v>4999</v>
      </c>
      <c r="L4633" s="23">
        <f>COUNTIFS(pg_transaction_cleaned!$O:$O,A4633,pg_transaction_cleaned!$F:$F,"REFUND")</f>
        <v>0</v>
      </c>
      <c r="M4633" s="39">
        <f>SUMIFS(pg_transaction_cleaned!$H:$H,pg_transaction_cleaned!$O:$O,A4633,pg_transaction_cleaned!$F:$F,"REFUND")</f>
        <v>0</v>
      </c>
      <c r="N4633" s="23" t="str">
        <f t="shared" si="290"/>
        <v>OK</v>
      </c>
      <c r="O4633" s="24">
        <f t="shared" si="291"/>
        <v>0</v>
      </c>
    </row>
    <row r="4634" spans="1:15" ht="15" customHeight="1" x14ac:dyDescent="0.3">
      <c r="A4634" s="23" t="s">
        <v>9739</v>
      </c>
      <c r="B4634" s="38">
        <v>46282</v>
      </c>
      <c r="C4634" s="23" t="s">
        <v>9740</v>
      </c>
      <c r="D4634" s="23" t="s">
        <v>88</v>
      </c>
      <c r="E4634" s="23" t="s">
        <v>75</v>
      </c>
      <c r="F4634" s="23" t="s">
        <v>1978</v>
      </c>
      <c r="G4634" s="23" t="s">
        <v>250</v>
      </c>
      <c r="H4634" s="39">
        <f t="shared" si="288"/>
        <v>4597</v>
      </c>
      <c r="I4634" s="23" t="str">
        <f t="shared" si="289"/>
        <v>Lucknow</v>
      </c>
      <c r="J4634" s="23">
        <f>COUNTIFS(pg_transaction_cleaned!$O:$O,A4634,pg_transaction_cleaned!$F:$F,"CAPTURE")</f>
        <v>1</v>
      </c>
      <c r="K4634" s="39">
        <f>SUMIFS(pg_transaction_cleaned!$H:$H,pg_transaction_cleaned!$O:$O,A4634,pg_transaction_cleaned!$F:$F,"CAPTURE")</f>
        <v>4597</v>
      </c>
      <c r="L4634" s="23">
        <f>COUNTIFS(pg_transaction_cleaned!$O:$O,A4634,pg_transaction_cleaned!$F:$F,"REFUND")</f>
        <v>0</v>
      </c>
      <c r="M4634" s="39">
        <f>SUMIFS(pg_transaction_cleaned!$H:$H,pg_transaction_cleaned!$O:$O,A4634,pg_transaction_cleaned!$F:$F,"REFUND")</f>
        <v>0</v>
      </c>
      <c r="N4634" s="23" t="str">
        <f t="shared" si="290"/>
        <v>OK</v>
      </c>
      <c r="O4634" s="24">
        <f t="shared" si="291"/>
        <v>0</v>
      </c>
    </row>
    <row r="4635" spans="1:15" ht="15" customHeight="1" x14ac:dyDescent="0.3">
      <c r="A4635" s="23" t="s">
        <v>9741</v>
      </c>
      <c r="B4635" s="38">
        <v>46270</v>
      </c>
      <c r="C4635" s="23" t="s">
        <v>9742</v>
      </c>
      <c r="D4635" s="23" t="s">
        <v>87</v>
      </c>
      <c r="E4635" s="23" t="s">
        <v>75</v>
      </c>
      <c r="F4635" s="23" t="s">
        <v>274</v>
      </c>
      <c r="G4635" s="23" t="s">
        <v>250</v>
      </c>
      <c r="H4635" s="39">
        <f t="shared" si="288"/>
        <v>349</v>
      </c>
      <c r="I4635" s="23" t="str">
        <f t="shared" si="289"/>
        <v>Mumbai</v>
      </c>
      <c r="J4635" s="23">
        <f>COUNTIFS(pg_transaction_cleaned!$O:$O,A4635,pg_transaction_cleaned!$F:$F,"CAPTURE")</f>
        <v>1</v>
      </c>
      <c r="K4635" s="39">
        <f>SUMIFS(pg_transaction_cleaned!$H:$H,pg_transaction_cleaned!$O:$O,A4635,pg_transaction_cleaned!$F:$F,"CAPTURE")</f>
        <v>349</v>
      </c>
      <c r="L4635" s="23">
        <f>COUNTIFS(pg_transaction_cleaned!$O:$O,A4635,pg_transaction_cleaned!$F:$F,"REFUND")</f>
        <v>0</v>
      </c>
      <c r="M4635" s="39">
        <f>SUMIFS(pg_transaction_cleaned!$H:$H,pg_transaction_cleaned!$O:$O,A4635,pg_transaction_cleaned!$F:$F,"REFUND")</f>
        <v>0</v>
      </c>
      <c r="N4635" s="23" t="str">
        <f t="shared" si="290"/>
        <v>OK</v>
      </c>
      <c r="O4635" s="24">
        <f t="shared" si="291"/>
        <v>0</v>
      </c>
    </row>
    <row r="4636" spans="1:15" ht="15" customHeight="1" x14ac:dyDescent="0.3">
      <c r="A4636" s="23" t="s">
        <v>9743</v>
      </c>
      <c r="B4636" s="38">
        <v>46294</v>
      </c>
      <c r="C4636" s="23" t="s">
        <v>5214</v>
      </c>
      <c r="D4636" s="23" t="s">
        <v>93</v>
      </c>
      <c r="E4636" s="23" t="s">
        <v>77</v>
      </c>
      <c r="F4636" s="23" t="s">
        <v>271</v>
      </c>
      <c r="G4636" s="23" t="s">
        <v>301</v>
      </c>
      <c r="H4636" s="39">
        <f t="shared" si="288"/>
        <v>2499</v>
      </c>
      <c r="I4636" s="23" t="str">
        <f t="shared" si="289"/>
        <v>Kolkata</v>
      </c>
      <c r="J4636" s="23">
        <f>COUNTIFS(pg_transaction_cleaned!$O:$O,A4636,pg_transaction_cleaned!$F:$F,"CAPTURE")</f>
        <v>1</v>
      </c>
      <c r="K4636" s="39">
        <f>SUMIFS(pg_transaction_cleaned!$H:$H,pg_transaction_cleaned!$O:$O,A4636,pg_transaction_cleaned!$F:$F,"CAPTURE")</f>
        <v>2499</v>
      </c>
      <c r="L4636" s="23">
        <f>COUNTIFS(pg_transaction_cleaned!$O:$O,A4636,pg_transaction_cleaned!$F:$F,"REFUND")</f>
        <v>1</v>
      </c>
      <c r="M4636" s="39">
        <f>SUMIFS(pg_transaction_cleaned!$H:$H,pg_transaction_cleaned!$O:$O,A4636,pg_transaction_cleaned!$F:$F,"REFUND")</f>
        <v>2499</v>
      </c>
      <c r="N4636" s="23" t="str">
        <f t="shared" si="290"/>
        <v>OK</v>
      </c>
      <c r="O4636" s="24">
        <f t="shared" si="291"/>
        <v>0</v>
      </c>
    </row>
    <row r="4637" spans="1:15" ht="15" customHeight="1" x14ac:dyDescent="0.3">
      <c r="A4637" s="23" t="s">
        <v>9744</v>
      </c>
      <c r="B4637" s="38">
        <v>46279</v>
      </c>
      <c r="C4637" s="23" t="s">
        <v>9745</v>
      </c>
      <c r="D4637" s="23" t="s">
        <v>90</v>
      </c>
      <c r="E4637" s="23" t="s">
        <v>79</v>
      </c>
      <c r="F4637" s="23" t="s">
        <v>271</v>
      </c>
      <c r="G4637" s="23" t="s">
        <v>250</v>
      </c>
      <c r="H4637" s="39">
        <f t="shared" si="288"/>
        <v>2499</v>
      </c>
      <c r="I4637" s="23" t="str">
        <f t="shared" si="289"/>
        <v>Ahmedabad</v>
      </c>
      <c r="J4637" s="23">
        <f>COUNTIFS(pg_transaction_cleaned!$O:$O,A4637,pg_transaction_cleaned!$F:$F,"CAPTURE")</f>
        <v>1</v>
      </c>
      <c r="K4637" s="39">
        <f>SUMIFS(pg_transaction_cleaned!$H:$H,pg_transaction_cleaned!$O:$O,A4637,pg_transaction_cleaned!$F:$F,"CAPTURE")</f>
        <v>2499</v>
      </c>
      <c r="L4637" s="23">
        <f>COUNTIFS(pg_transaction_cleaned!$O:$O,A4637,pg_transaction_cleaned!$F:$F,"REFUND")</f>
        <v>0</v>
      </c>
      <c r="M4637" s="39">
        <f>SUMIFS(pg_transaction_cleaned!$H:$H,pg_transaction_cleaned!$O:$O,A4637,pg_transaction_cleaned!$F:$F,"REFUND")</f>
        <v>0</v>
      </c>
      <c r="N4637" s="23" t="str">
        <f t="shared" si="290"/>
        <v>OK</v>
      </c>
      <c r="O4637" s="24">
        <f t="shared" si="291"/>
        <v>0</v>
      </c>
    </row>
    <row r="4638" spans="1:15" ht="15" customHeight="1" x14ac:dyDescent="0.3">
      <c r="A4638" s="23" t="s">
        <v>9746</v>
      </c>
      <c r="B4638" s="38">
        <v>46284</v>
      </c>
      <c r="C4638" s="23" t="s">
        <v>9747</v>
      </c>
      <c r="D4638" s="23" t="s">
        <v>95</v>
      </c>
      <c r="E4638" s="23" t="s">
        <v>77</v>
      </c>
      <c r="F4638" s="23" t="s">
        <v>514</v>
      </c>
      <c r="G4638" s="23" t="s">
        <v>250</v>
      </c>
      <c r="H4638" s="39">
        <f t="shared" si="288"/>
        <v>6498</v>
      </c>
      <c r="I4638" s="23" t="str">
        <f t="shared" si="289"/>
        <v>Bengaluru</v>
      </c>
      <c r="J4638" s="23">
        <f>COUNTIFS(pg_transaction_cleaned!$O:$O,A4638,pg_transaction_cleaned!$F:$F,"CAPTURE")</f>
        <v>1</v>
      </c>
      <c r="K4638" s="39">
        <f>SUMIFS(pg_transaction_cleaned!$H:$H,pg_transaction_cleaned!$O:$O,A4638,pg_transaction_cleaned!$F:$F,"CAPTURE")</f>
        <v>6498</v>
      </c>
      <c r="L4638" s="23">
        <f>COUNTIFS(pg_transaction_cleaned!$O:$O,A4638,pg_transaction_cleaned!$F:$F,"REFUND")</f>
        <v>0</v>
      </c>
      <c r="M4638" s="39">
        <f>SUMIFS(pg_transaction_cleaned!$H:$H,pg_transaction_cleaned!$O:$O,A4638,pg_transaction_cleaned!$F:$F,"REFUND")</f>
        <v>0</v>
      </c>
      <c r="N4638" s="23" t="str">
        <f t="shared" si="290"/>
        <v>OK</v>
      </c>
      <c r="O4638" s="24">
        <f t="shared" si="291"/>
        <v>0</v>
      </c>
    </row>
    <row r="4639" spans="1:15" ht="15" customHeight="1" x14ac:dyDescent="0.3">
      <c r="A4639" s="23" t="s">
        <v>9748</v>
      </c>
      <c r="B4639" s="38">
        <v>46292</v>
      </c>
      <c r="C4639" s="23" t="s">
        <v>4096</v>
      </c>
      <c r="D4639" s="23" t="s">
        <v>93</v>
      </c>
      <c r="E4639" s="23" t="s">
        <v>75</v>
      </c>
      <c r="F4639" s="23" t="s">
        <v>2279</v>
      </c>
      <c r="G4639" s="23" t="s">
        <v>250</v>
      </c>
      <c r="H4639" s="39">
        <f t="shared" si="288"/>
        <v>6147</v>
      </c>
      <c r="I4639" s="23" t="str">
        <f t="shared" si="289"/>
        <v>Kolkata</v>
      </c>
      <c r="J4639" s="23">
        <f>COUNTIFS(pg_transaction_cleaned!$O:$O,A4639,pg_transaction_cleaned!$F:$F,"CAPTURE")</f>
        <v>1</v>
      </c>
      <c r="K4639" s="39">
        <f>SUMIFS(pg_transaction_cleaned!$H:$H,pg_transaction_cleaned!$O:$O,A4639,pg_transaction_cleaned!$F:$F,"CAPTURE")</f>
        <v>6147</v>
      </c>
      <c r="L4639" s="23">
        <f>COUNTIFS(pg_transaction_cleaned!$O:$O,A4639,pg_transaction_cleaned!$F:$F,"REFUND")</f>
        <v>0</v>
      </c>
      <c r="M4639" s="39">
        <f>SUMIFS(pg_transaction_cleaned!$H:$H,pg_transaction_cleaned!$O:$O,A4639,pg_transaction_cleaned!$F:$F,"REFUND")</f>
        <v>0</v>
      </c>
      <c r="N4639" s="23" t="str">
        <f t="shared" si="290"/>
        <v>OK</v>
      </c>
      <c r="O4639" s="24">
        <f t="shared" si="291"/>
        <v>0</v>
      </c>
    </row>
    <row r="4640" spans="1:15" ht="15" customHeight="1" x14ac:dyDescent="0.3">
      <c r="A4640" s="23" t="s">
        <v>9749</v>
      </c>
      <c r="B4640" s="38">
        <v>46271</v>
      </c>
      <c r="C4640" s="23" t="s">
        <v>9750</v>
      </c>
      <c r="D4640" s="23" t="s">
        <v>92</v>
      </c>
      <c r="E4640" s="23" t="s">
        <v>79</v>
      </c>
      <c r="F4640" s="23" t="s">
        <v>2337</v>
      </c>
      <c r="G4640" s="23" t="s">
        <v>250</v>
      </c>
      <c r="H4640" s="39">
        <f t="shared" si="288"/>
        <v>8348</v>
      </c>
      <c r="I4640" s="23" t="str">
        <f t="shared" si="289"/>
        <v>Hyderabad</v>
      </c>
      <c r="J4640" s="23">
        <f>COUNTIFS(pg_transaction_cleaned!$O:$O,A4640,pg_transaction_cleaned!$F:$F,"CAPTURE")</f>
        <v>1</v>
      </c>
      <c r="K4640" s="39">
        <f>SUMIFS(pg_transaction_cleaned!$H:$H,pg_transaction_cleaned!$O:$O,A4640,pg_transaction_cleaned!$F:$F,"CAPTURE")</f>
        <v>8348</v>
      </c>
      <c r="L4640" s="23">
        <f>COUNTIFS(pg_transaction_cleaned!$O:$O,A4640,pg_transaction_cleaned!$F:$F,"REFUND")</f>
        <v>0</v>
      </c>
      <c r="M4640" s="39">
        <f>SUMIFS(pg_transaction_cleaned!$H:$H,pg_transaction_cleaned!$O:$O,A4640,pg_transaction_cleaned!$F:$F,"REFUND")</f>
        <v>0</v>
      </c>
      <c r="N4640" s="23" t="str">
        <f t="shared" si="290"/>
        <v>OK</v>
      </c>
      <c r="O4640" s="24">
        <f t="shared" si="291"/>
        <v>0</v>
      </c>
    </row>
    <row r="4641" spans="1:15" ht="15" customHeight="1" x14ac:dyDescent="0.3">
      <c r="A4641" s="23" t="s">
        <v>9751</v>
      </c>
      <c r="B4641" s="38">
        <v>46275</v>
      </c>
      <c r="C4641" s="23" t="s">
        <v>7699</v>
      </c>
      <c r="D4641" s="23" t="s">
        <v>89</v>
      </c>
      <c r="E4641" s="23" t="s">
        <v>75</v>
      </c>
      <c r="F4641" s="23" t="s">
        <v>268</v>
      </c>
      <c r="G4641" s="23" t="s">
        <v>250</v>
      </c>
      <c r="H4641" s="39">
        <f t="shared" si="288"/>
        <v>1299</v>
      </c>
      <c r="I4641" s="23" t="str">
        <f t="shared" si="289"/>
        <v>Jaipur</v>
      </c>
      <c r="J4641" s="23">
        <f>COUNTIFS(pg_transaction_cleaned!$O:$O,A4641,pg_transaction_cleaned!$F:$F,"CAPTURE")</f>
        <v>1</v>
      </c>
      <c r="K4641" s="39">
        <f>SUMIFS(pg_transaction_cleaned!$H:$H,pg_transaction_cleaned!$O:$O,A4641,pg_transaction_cleaned!$F:$F,"CAPTURE")</f>
        <v>1299</v>
      </c>
      <c r="L4641" s="23">
        <f>COUNTIFS(pg_transaction_cleaned!$O:$O,A4641,pg_transaction_cleaned!$F:$F,"REFUND")</f>
        <v>0</v>
      </c>
      <c r="M4641" s="39">
        <f>SUMIFS(pg_transaction_cleaned!$H:$H,pg_transaction_cleaned!$O:$O,A4641,pg_transaction_cleaned!$F:$F,"REFUND")</f>
        <v>0</v>
      </c>
      <c r="N4641" s="23" t="str">
        <f t="shared" si="290"/>
        <v>OK</v>
      </c>
      <c r="O4641" s="24">
        <f t="shared" si="291"/>
        <v>0</v>
      </c>
    </row>
    <row r="4642" spans="1:15" ht="15" customHeight="1" x14ac:dyDescent="0.3">
      <c r="A4642" s="23" t="s">
        <v>9752</v>
      </c>
      <c r="B4642" s="38">
        <v>46283</v>
      </c>
      <c r="C4642" s="23" t="s">
        <v>9753</v>
      </c>
      <c r="D4642" s="23" t="s">
        <v>86</v>
      </c>
      <c r="E4642" s="23" t="s">
        <v>75</v>
      </c>
      <c r="F4642" s="23" t="s">
        <v>1188</v>
      </c>
      <c r="G4642" s="23" t="s">
        <v>250</v>
      </c>
      <c r="H4642" s="39">
        <f t="shared" si="288"/>
        <v>1798</v>
      </c>
      <c r="I4642" s="23" t="str">
        <f t="shared" si="289"/>
        <v>Delhi</v>
      </c>
      <c r="J4642" s="23">
        <f>COUNTIFS(pg_transaction_cleaned!$O:$O,A4642,pg_transaction_cleaned!$F:$F,"CAPTURE")</f>
        <v>1</v>
      </c>
      <c r="K4642" s="39">
        <f>SUMIFS(pg_transaction_cleaned!$H:$H,pg_transaction_cleaned!$O:$O,A4642,pg_transaction_cleaned!$F:$F,"CAPTURE")</f>
        <v>1798</v>
      </c>
      <c r="L4642" s="23">
        <f>COUNTIFS(pg_transaction_cleaned!$O:$O,A4642,pg_transaction_cleaned!$F:$F,"REFUND")</f>
        <v>0</v>
      </c>
      <c r="M4642" s="39">
        <f>SUMIFS(pg_transaction_cleaned!$H:$H,pg_transaction_cleaned!$O:$O,A4642,pg_transaction_cleaned!$F:$F,"REFUND")</f>
        <v>0</v>
      </c>
      <c r="N4642" s="23" t="str">
        <f t="shared" si="290"/>
        <v>OK</v>
      </c>
      <c r="O4642" s="24">
        <f t="shared" si="291"/>
        <v>0</v>
      </c>
    </row>
    <row r="4643" spans="1:15" ht="15" customHeight="1" x14ac:dyDescent="0.3">
      <c r="A4643" s="23" t="s">
        <v>9754</v>
      </c>
      <c r="B4643" s="38">
        <v>46282</v>
      </c>
      <c r="C4643" s="23" t="s">
        <v>9755</v>
      </c>
      <c r="D4643" s="23" t="s">
        <v>86</v>
      </c>
      <c r="E4643" s="23" t="s">
        <v>75</v>
      </c>
      <c r="F4643" s="23" t="s">
        <v>349</v>
      </c>
      <c r="G4643" s="23" t="s">
        <v>250</v>
      </c>
      <c r="H4643" s="39">
        <f t="shared" si="288"/>
        <v>1798</v>
      </c>
      <c r="I4643" s="23" t="str">
        <f t="shared" si="289"/>
        <v>Delhi</v>
      </c>
      <c r="J4643" s="23">
        <f>COUNTIFS(pg_transaction_cleaned!$O:$O,A4643,pg_transaction_cleaned!$F:$F,"CAPTURE")</f>
        <v>1</v>
      </c>
      <c r="K4643" s="39">
        <f>SUMIFS(pg_transaction_cleaned!$H:$H,pg_transaction_cleaned!$O:$O,A4643,pg_transaction_cleaned!$F:$F,"CAPTURE")</f>
        <v>1798</v>
      </c>
      <c r="L4643" s="23">
        <f>COUNTIFS(pg_transaction_cleaned!$O:$O,A4643,pg_transaction_cleaned!$F:$F,"REFUND")</f>
        <v>0</v>
      </c>
      <c r="M4643" s="39">
        <f>SUMIFS(pg_transaction_cleaned!$H:$H,pg_transaction_cleaned!$O:$O,A4643,pg_transaction_cleaned!$F:$F,"REFUND")</f>
        <v>0</v>
      </c>
      <c r="N4643" s="23" t="str">
        <f t="shared" si="290"/>
        <v>OK</v>
      </c>
      <c r="O4643" s="24">
        <f t="shared" si="291"/>
        <v>0</v>
      </c>
    </row>
    <row r="4644" spans="1:15" ht="15" customHeight="1" x14ac:dyDescent="0.3">
      <c r="A4644" s="23" t="s">
        <v>9756</v>
      </c>
      <c r="B4644" s="38">
        <v>46287</v>
      </c>
      <c r="C4644" s="23" t="s">
        <v>9757</v>
      </c>
      <c r="D4644" s="23" t="s">
        <v>90</v>
      </c>
      <c r="E4644" s="23" t="s">
        <v>79</v>
      </c>
      <c r="F4644" s="23" t="s">
        <v>291</v>
      </c>
      <c r="G4644" s="23" t="s">
        <v>250</v>
      </c>
      <c r="H4644" s="39">
        <f t="shared" si="288"/>
        <v>3499</v>
      </c>
      <c r="I4644" s="23" t="str">
        <f t="shared" si="289"/>
        <v>Ahmedabad</v>
      </c>
      <c r="J4644" s="23">
        <f>COUNTIFS(pg_transaction_cleaned!$O:$O,A4644,pg_transaction_cleaned!$F:$F,"CAPTURE")</f>
        <v>1</v>
      </c>
      <c r="K4644" s="39">
        <f>SUMIFS(pg_transaction_cleaned!$H:$H,pg_transaction_cleaned!$O:$O,A4644,pg_transaction_cleaned!$F:$F,"CAPTURE")</f>
        <v>3499</v>
      </c>
      <c r="L4644" s="23">
        <f>COUNTIFS(pg_transaction_cleaned!$O:$O,A4644,pg_transaction_cleaned!$F:$F,"REFUND")</f>
        <v>0</v>
      </c>
      <c r="M4644" s="39">
        <f>SUMIFS(pg_transaction_cleaned!$H:$H,pg_transaction_cleaned!$O:$O,A4644,pg_transaction_cleaned!$F:$F,"REFUND")</f>
        <v>0</v>
      </c>
      <c r="N4644" s="23" t="str">
        <f t="shared" si="290"/>
        <v>OK</v>
      </c>
      <c r="O4644" s="24">
        <f t="shared" si="291"/>
        <v>0</v>
      </c>
    </row>
    <row r="4645" spans="1:15" ht="15" customHeight="1" x14ac:dyDescent="0.3">
      <c r="A4645" s="23" t="s">
        <v>9758</v>
      </c>
      <c r="B4645" s="38">
        <v>46277</v>
      </c>
      <c r="C4645" s="23" t="s">
        <v>9759</v>
      </c>
      <c r="D4645" s="23" t="s">
        <v>89</v>
      </c>
      <c r="E4645" s="23" t="s">
        <v>75</v>
      </c>
      <c r="F4645" s="23" t="s">
        <v>265</v>
      </c>
      <c r="G4645" s="23" t="s">
        <v>318</v>
      </c>
      <c r="H4645" s="39">
        <f t="shared" si="288"/>
        <v>999</v>
      </c>
      <c r="I4645" s="23" t="str">
        <f t="shared" si="289"/>
        <v>Jaipur</v>
      </c>
      <c r="J4645" s="23">
        <f>COUNTIFS(pg_transaction_cleaned!$O:$O,A4645,pg_transaction_cleaned!$F:$F,"CAPTURE")</f>
        <v>0</v>
      </c>
      <c r="K4645" s="39">
        <f>SUMIFS(pg_transaction_cleaned!$H:$H,pg_transaction_cleaned!$O:$O,A4645,pg_transaction_cleaned!$F:$F,"CAPTURE")</f>
        <v>0</v>
      </c>
      <c r="L4645" s="23">
        <f>COUNTIFS(pg_transaction_cleaned!$O:$O,A4645,pg_transaction_cleaned!$F:$F,"REFUND")</f>
        <v>0</v>
      </c>
      <c r="M4645" s="39">
        <f>SUMIFS(pg_transaction_cleaned!$H:$H,pg_transaction_cleaned!$O:$O,A4645,pg_transaction_cleaned!$F:$F,"REFUND")</f>
        <v>0</v>
      </c>
      <c r="N4645" s="23" t="str">
        <f t="shared" si="290"/>
        <v>OK</v>
      </c>
      <c r="O4645" s="24">
        <f t="shared" si="291"/>
        <v>0</v>
      </c>
    </row>
    <row r="4646" spans="1:15" ht="15" customHeight="1" x14ac:dyDescent="0.3">
      <c r="A4646" s="23" t="s">
        <v>9760</v>
      </c>
      <c r="B4646" s="38">
        <v>46281</v>
      </c>
      <c r="C4646" s="23" t="s">
        <v>9761</v>
      </c>
      <c r="D4646" s="23" t="s">
        <v>93</v>
      </c>
      <c r="E4646" s="23" t="s">
        <v>75</v>
      </c>
      <c r="F4646" s="23" t="s">
        <v>1193</v>
      </c>
      <c r="G4646" s="23" t="s">
        <v>250</v>
      </c>
      <c r="H4646" s="39">
        <f t="shared" si="288"/>
        <v>3498</v>
      </c>
      <c r="I4646" s="23" t="str">
        <f t="shared" si="289"/>
        <v>Kolkata</v>
      </c>
      <c r="J4646" s="23">
        <f>COUNTIFS(pg_transaction_cleaned!$O:$O,A4646,pg_transaction_cleaned!$F:$F,"CAPTURE")</f>
        <v>1</v>
      </c>
      <c r="K4646" s="39">
        <f>SUMIFS(pg_transaction_cleaned!$H:$H,pg_transaction_cleaned!$O:$O,A4646,pg_transaction_cleaned!$F:$F,"CAPTURE")</f>
        <v>3498</v>
      </c>
      <c r="L4646" s="23">
        <f>COUNTIFS(pg_transaction_cleaned!$O:$O,A4646,pg_transaction_cleaned!$F:$F,"REFUND")</f>
        <v>0</v>
      </c>
      <c r="M4646" s="39">
        <f>SUMIFS(pg_transaction_cleaned!$H:$H,pg_transaction_cleaned!$O:$O,A4646,pg_transaction_cleaned!$F:$F,"REFUND")</f>
        <v>0</v>
      </c>
      <c r="N4646" s="23" t="str">
        <f t="shared" si="290"/>
        <v>OK</v>
      </c>
      <c r="O4646" s="24">
        <f t="shared" si="291"/>
        <v>0</v>
      </c>
    </row>
    <row r="4647" spans="1:15" ht="15" customHeight="1" x14ac:dyDescent="0.3">
      <c r="A4647" s="23" t="s">
        <v>9762</v>
      </c>
      <c r="B4647" s="38">
        <v>46279</v>
      </c>
      <c r="C4647" s="23" t="s">
        <v>9763</v>
      </c>
      <c r="D4647" s="23" t="s">
        <v>91</v>
      </c>
      <c r="E4647" s="23" t="s">
        <v>79</v>
      </c>
      <c r="F4647" s="23" t="s">
        <v>310</v>
      </c>
      <c r="G4647" s="23" t="s">
        <v>250</v>
      </c>
      <c r="H4647" s="39">
        <f t="shared" si="288"/>
        <v>7999</v>
      </c>
      <c r="I4647" s="23" t="str">
        <f t="shared" si="289"/>
        <v>Pune</v>
      </c>
      <c r="J4647" s="23">
        <f>COUNTIFS(pg_transaction_cleaned!$O:$O,A4647,pg_transaction_cleaned!$F:$F,"CAPTURE")</f>
        <v>1</v>
      </c>
      <c r="K4647" s="39">
        <f>SUMIFS(pg_transaction_cleaned!$H:$H,pg_transaction_cleaned!$O:$O,A4647,pg_transaction_cleaned!$F:$F,"CAPTURE")</f>
        <v>7999</v>
      </c>
      <c r="L4647" s="23">
        <f>COUNTIFS(pg_transaction_cleaned!$O:$O,A4647,pg_transaction_cleaned!$F:$F,"REFUND")</f>
        <v>0</v>
      </c>
      <c r="M4647" s="39">
        <f>SUMIFS(pg_transaction_cleaned!$H:$H,pg_transaction_cleaned!$O:$O,A4647,pg_transaction_cleaned!$F:$F,"REFUND")</f>
        <v>0</v>
      </c>
      <c r="N4647" s="23" t="str">
        <f t="shared" si="290"/>
        <v>OK</v>
      </c>
      <c r="O4647" s="24">
        <f t="shared" si="291"/>
        <v>0</v>
      </c>
    </row>
    <row r="4648" spans="1:15" ht="15" customHeight="1" x14ac:dyDescent="0.3">
      <c r="A4648" s="23" t="s">
        <v>9764</v>
      </c>
      <c r="B4648" s="38">
        <v>46277</v>
      </c>
      <c r="C4648" s="23" t="s">
        <v>9765</v>
      </c>
      <c r="D4648" s="23" t="s">
        <v>92</v>
      </c>
      <c r="E4648" s="23" t="s">
        <v>79</v>
      </c>
      <c r="F4648" s="23" t="s">
        <v>268</v>
      </c>
      <c r="G4648" s="23" t="s">
        <v>250</v>
      </c>
      <c r="H4648" s="39">
        <f t="shared" si="288"/>
        <v>1299</v>
      </c>
      <c r="I4648" s="23" t="str">
        <f t="shared" si="289"/>
        <v>Hyderabad</v>
      </c>
      <c r="J4648" s="23">
        <f>COUNTIFS(pg_transaction_cleaned!$O:$O,A4648,pg_transaction_cleaned!$F:$F,"CAPTURE")</f>
        <v>1</v>
      </c>
      <c r="K4648" s="39">
        <f>SUMIFS(pg_transaction_cleaned!$H:$H,pg_transaction_cleaned!$O:$O,A4648,pg_transaction_cleaned!$F:$F,"CAPTURE")</f>
        <v>1299</v>
      </c>
      <c r="L4648" s="23">
        <f>COUNTIFS(pg_transaction_cleaned!$O:$O,A4648,pg_transaction_cleaned!$F:$F,"REFUND")</f>
        <v>0</v>
      </c>
      <c r="M4648" s="39">
        <f>SUMIFS(pg_transaction_cleaned!$H:$H,pg_transaction_cleaned!$O:$O,A4648,pg_transaction_cleaned!$F:$F,"REFUND")</f>
        <v>0</v>
      </c>
      <c r="N4648" s="23" t="str">
        <f t="shared" si="290"/>
        <v>OK</v>
      </c>
      <c r="O4648" s="24">
        <f t="shared" si="291"/>
        <v>0</v>
      </c>
    </row>
    <row r="4649" spans="1:15" ht="15" customHeight="1" x14ac:dyDescent="0.3">
      <c r="A4649" s="23" t="s">
        <v>9766</v>
      </c>
      <c r="B4649" s="38">
        <v>46271</v>
      </c>
      <c r="C4649" s="23" t="s">
        <v>9767</v>
      </c>
      <c r="D4649" s="23" t="s">
        <v>89</v>
      </c>
      <c r="E4649" s="23" t="s">
        <v>75</v>
      </c>
      <c r="F4649" s="23" t="s">
        <v>329</v>
      </c>
      <c r="G4649" s="23" t="s">
        <v>250</v>
      </c>
      <c r="H4649" s="39">
        <f t="shared" si="288"/>
        <v>599</v>
      </c>
      <c r="I4649" s="23" t="str">
        <f t="shared" si="289"/>
        <v>Jaipur</v>
      </c>
      <c r="J4649" s="23">
        <f>COUNTIFS(pg_transaction_cleaned!$O:$O,A4649,pg_transaction_cleaned!$F:$F,"CAPTURE")</f>
        <v>1</v>
      </c>
      <c r="K4649" s="39">
        <f>SUMIFS(pg_transaction_cleaned!$H:$H,pg_transaction_cleaned!$O:$O,A4649,pg_transaction_cleaned!$F:$F,"CAPTURE")</f>
        <v>599</v>
      </c>
      <c r="L4649" s="23">
        <f>COUNTIFS(pg_transaction_cleaned!$O:$O,A4649,pg_transaction_cleaned!$F:$F,"REFUND")</f>
        <v>0</v>
      </c>
      <c r="M4649" s="39">
        <f>SUMIFS(pg_transaction_cleaned!$H:$H,pg_transaction_cleaned!$O:$O,A4649,pg_transaction_cleaned!$F:$F,"REFUND")</f>
        <v>0</v>
      </c>
      <c r="N4649" s="23" t="str">
        <f t="shared" si="290"/>
        <v>OK</v>
      </c>
      <c r="O4649" s="24">
        <f t="shared" si="291"/>
        <v>0</v>
      </c>
    </row>
    <row r="4650" spans="1:15" ht="15" customHeight="1" x14ac:dyDescent="0.3">
      <c r="A4650" s="23" t="s">
        <v>9768</v>
      </c>
      <c r="B4650" s="38">
        <v>46295</v>
      </c>
      <c r="C4650" s="23" t="s">
        <v>9769</v>
      </c>
      <c r="D4650" s="23" t="s">
        <v>95</v>
      </c>
      <c r="E4650" s="23" t="s">
        <v>77</v>
      </c>
      <c r="F4650" s="23" t="s">
        <v>475</v>
      </c>
      <c r="G4650" s="23" t="s">
        <v>250</v>
      </c>
      <c r="H4650" s="39">
        <f t="shared" si="288"/>
        <v>799</v>
      </c>
      <c r="I4650" s="23" t="str">
        <f t="shared" si="289"/>
        <v>Bengaluru</v>
      </c>
      <c r="J4650" s="23">
        <f>COUNTIFS(pg_transaction_cleaned!$O:$O,A4650,pg_transaction_cleaned!$F:$F,"CAPTURE")</f>
        <v>1</v>
      </c>
      <c r="K4650" s="39">
        <f>SUMIFS(pg_transaction_cleaned!$H:$H,pg_transaction_cleaned!$O:$O,A4650,pg_transaction_cleaned!$F:$F,"CAPTURE")</f>
        <v>799</v>
      </c>
      <c r="L4650" s="23">
        <f>COUNTIFS(pg_transaction_cleaned!$O:$O,A4650,pg_transaction_cleaned!$F:$F,"REFUND")</f>
        <v>0</v>
      </c>
      <c r="M4650" s="39">
        <f>SUMIFS(pg_transaction_cleaned!$H:$H,pg_transaction_cleaned!$O:$O,A4650,pg_transaction_cleaned!$F:$F,"REFUND")</f>
        <v>0</v>
      </c>
      <c r="N4650" s="23" t="str">
        <f t="shared" si="290"/>
        <v>OK</v>
      </c>
      <c r="O4650" s="24">
        <f t="shared" si="291"/>
        <v>0</v>
      </c>
    </row>
    <row r="4651" spans="1:15" ht="15" customHeight="1" x14ac:dyDescent="0.3">
      <c r="A4651" s="23" t="s">
        <v>9770</v>
      </c>
      <c r="B4651" s="38">
        <v>46266</v>
      </c>
      <c r="C4651" s="23" t="s">
        <v>9771</v>
      </c>
      <c r="D4651" s="23" t="s">
        <v>89</v>
      </c>
      <c r="E4651" s="23" t="s">
        <v>75</v>
      </c>
      <c r="F4651" s="23" t="s">
        <v>553</v>
      </c>
      <c r="G4651" s="23" t="s">
        <v>318</v>
      </c>
      <c r="H4651" s="39">
        <f t="shared" si="288"/>
        <v>2798</v>
      </c>
      <c r="I4651" s="23" t="str">
        <f t="shared" si="289"/>
        <v>Jaipur</v>
      </c>
      <c r="J4651" s="23">
        <f>COUNTIFS(pg_transaction_cleaned!$O:$O,A4651,pg_transaction_cleaned!$F:$F,"CAPTURE")</f>
        <v>0</v>
      </c>
      <c r="K4651" s="39">
        <f>SUMIFS(pg_transaction_cleaned!$H:$H,pg_transaction_cleaned!$O:$O,A4651,pg_transaction_cleaned!$F:$F,"CAPTURE")</f>
        <v>0</v>
      </c>
      <c r="L4651" s="23">
        <f>COUNTIFS(pg_transaction_cleaned!$O:$O,A4651,pg_transaction_cleaned!$F:$F,"REFUND")</f>
        <v>0</v>
      </c>
      <c r="M4651" s="39">
        <f>SUMIFS(pg_transaction_cleaned!$H:$H,pg_transaction_cleaned!$O:$O,A4651,pg_transaction_cleaned!$F:$F,"REFUND")</f>
        <v>0</v>
      </c>
      <c r="N4651" s="23" t="str">
        <f t="shared" si="290"/>
        <v>OK</v>
      </c>
      <c r="O4651" s="24">
        <f t="shared" si="291"/>
        <v>0</v>
      </c>
    </row>
    <row r="4652" spans="1:15" ht="15" customHeight="1" x14ac:dyDescent="0.3">
      <c r="A4652" s="23" t="s">
        <v>9772</v>
      </c>
      <c r="B4652" s="38">
        <v>46272</v>
      </c>
      <c r="C4652" s="23" t="s">
        <v>9773</v>
      </c>
      <c r="D4652" s="23" t="s">
        <v>92</v>
      </c>
      <c r="E4652" s="23" t="s">
        <v>75</v>
      </c>
      <c r="F4652" s="23" t="s">
        <v>4621</v>
      </c>
      <c r="G4652" s="23" t="s">
        <v>250</v>
      </c>
      <c r="H4652" s="39">
        <f t="shared" si="288"/>
        <v>5298</v>
      </c>
      <c r="I4652" s="23" t="str">
        <f t="shared" si="289"/>
        <v>Hyderabad</v>
      </c>
      <c r="J4652" s="23">
        <f>COUNTIFS(pg_transaction_cleaned!$O:$O,A4652,pg_transaction_cleaned!$F:$F,"CAPTURE")</f>
        <v>1</v>
      </c>
      <c r="K4652" s="39">
        <f>SUMIFS(pg_transaction_cleaned!$H:$H,pg_transaction_cleaned!$O:$O,A4652,pg_transaction_cleaned!$F:$F,"CAPTURE")</f>
        <v>5298</v>
      </c>
      <c r="L4652" s="23">
        <f>COUNTIFS(pg_transaction_cleaned!$O:$O,A4652,pg_transaction_cleaned!$F:$F,"REFUND")</f>
        <v>0</v>
      </c>
      <c r="M4652" s="39">
        <f>SUMIFS(pg_transaction_cleaned!$H:$H,pg_transaction_cleaned!$O:$O,A4652,pg_transaction_cleaned!$F:$F,"REFUND")</f>
        <v>0</v>
      </c>
      <c r="N4652" s="23" t="str">
        <f t="shared" si="290"/>
        <v>OK</v>
      </c>
      <c r="O4652" s="24">
        <f t="shared" si="291"/>
        <v>0</v>
      </c>
    </row>
    <row r="4653" spans="1:15" ht="15" customHeight="1" x14ac:dyDescent="0.3">
      <c r="A4653" s="23" t="s">
        <v>9774</v>
      </c>
      <c r="B4653" s="38">
        <v>46276</v>
      </c>
      <c r="C4653" s="23" t="s">
        <v>9775</v>
      </c>
      <c r="D4653" s="23" t="s">
        <v>92</v>
      </c>
      <c r="E4653" s="23" t="s">
        <v>75</v>
      </c>
      <c r="F4653" s="23" t="s">
        <v>483</v>
      </c>
      <c r="G4653" s="23" t="s">
        <v>250</v>
      </c>
      <c r="H4653" s="39">
        <f t="shared" si="288"/>
        <v>2998</v>
      </c>
      <c r="I4653" s="23" t="str">
        <f t="shared" si="289"/>
        <v>Hyderabad</v>
      </c>
      <c r="J4653" s="23">
        <f>COUNTIFS(pg_transaction_cleaned!$O:$O,A4653,pg_transaction_cleaned!$F:$F,"CAPTURE")</f>
        <v>1</v>
      </c>
      <c r="K4653" s="39">
        <f>SUMIFS(pg_transaction_cleaned!$H:$H,pg_transaction_cleaned!$O:$O,A4653,pg_transaction_cleaned!$F:$F,"CAPTURE")</f>
        <v>2998</v>
      </c>
      <c r="L4653" s="23">
        <f>COUNTIFS(pg_transaction_cleaned!$O:$O,A4653,pg_transaction_cleaned!$F:$F,"REFUND")</f>
        <v>0</v>
      </c>
      <c r="M4653" s="39">
        <f>SUMIFS(pg_transaction_cleaned!$H:$H,pg_transaction_cleaned!$O:$O,A4653,pg_transaction_cleaned!$F:$F,"REFUND")</f>
        <v>0</v>
      </c>
      <c r="N4653" s="23" t="str">
        <f t="shared" si="290"/>
        <v>OK</v>
      </c>
      <c r="O4653" s="24">
        <f t="shared" si="291"/>
        <v>0</v>
      </c>
    </row>
    <row r="4654" spans="1:15" ht="15" customHeight="1" x14ac:dyDescent="0.3">
      <c r="A4654" s="23" t="s">
        <v>9776</v>
      </c>
      <c r="B4654" s="38">
        <v>46289</v>
      </c>
      <c r="C4654" s="23" t="s">
        <v>412</v>
      </c>
      <c r="D4654" s="23" t="s">
        <v>87</v>
      </c>
      <c r="E4654" s="23" t="s">
        <v>79</v>
      </c>
      <c r="F4654" s="23" t="s">
        <v>1978</v>
      </c>
      <c r="G4654" s="23" t="s">
        <v>250</v>
      </c>
      <c r="H4654" s="39">
        <f t="shared" si="288"/>
        <v>4597</v>
      </c>
      <c r="I4654" s="23" t="str">
        <f t="shared" si="289"/>
        <v>Mumbai</v>
      </c>
      <c r="J4654" s="23">
        <f>COUNTIFS(pg_transaction_cleaned!$O:$O,A4654,pg_transaction_cleaned!$F:$F,"CAPTURE")</f>
        <v>1</v>
      </c>
      <c r="K4654" s="39">
        <f>SUMIFS(pg_transaction_cleaned!$H:$H,pg_transaction_cleaned!$O:$O,A4654,pg_transaction_cleaned!$F:$F,"CAPTURE")</f>
        <v>4597</v>
      </c>
      <c r="L4654" s="23">
        <f>COUNTIFS(pg_transaction_cleaned!$O:$O,A4654,pg_transaction_cleaned!$F:$F,"REFUND")</f>
        <v>0</v>
      </c>
      <c r="M4654" s="39">
        <f>SUMIFS(pg_transaction_cleaned!$H:$H,pg_transaction_cleaned!$O:$O,A4654,pg_transaction_cleaned!$F:$F,"REFUND")</f>
        <v>0</v>
      </c>
      <c r="N4654" s="23" t="str">
        <f t="shared" si="290"/>
        <v>OK</v>
      </c>
      <c r="O4654" s="24">
        <f t="shared" si="291"/>
        <v>0</v>
      </c>
    </row>
    <row r="4655" spans="1:15" ht="15" customHeight="1" x14ac:dyDescent="0.3">
      <c r="A4655" s="23" t="s">
        <v>9777</v>
      </c>
      <c r="B4655" s="38">
        <v>46269</v>
      </c>
      <c r="C4655" s="23" t="s">
        <v>9778</v>
      </c>
      <c r="D4655" s="23" t="s">
        <v>88</v>
      </c>
      <c r="E4655" s="23" t="s">
        <v>79</v>
      </c>
      <c r="F4655" s="23" t="s">
        <v>249</v>
      </c>
      <c r="G4655" s="23" t="s">
        <v>250</v>
      </c>
      <c r="H4655" s="39">
        <f t="shared" si="288"/>
        <v>299</v>
      </c>
      <c r="I4655" s="23" t="str">
        <f t="shared" si="289"/>
        <v>Lucknow</v>
      </c>
      <c r="J4655" s="23">
        <f>COUNTIFS(pg_transaction_cleaned!$O:$O,A4655,pg_transaction_cleaned!$F:$F,"CAPTURE")</f>
        <v>1</v>
      </c>
      <c r="K4655" s="39">
        <f>SUMIFS(pg_transaction_cleaned!$H:$H,pg_transaction_cleaned!$O:$O,A4655,pg_transaction_cleaned!$F:$F,"CAPTURE")</f>
        <v>299</v>
      </c>
      <c r="L4655" s="23">
        <f>COUNTIFS(pg_transaction_cleaned!$O:$O,A4655,pg_transaction_cleaned!$F:$F,"REFUND")</f>
        <v>0</v>
      </c>
      <c r="M4655" s="39">
        <f>SUMIFS(pg_transaction_cleaned!$H:$H,pg_transaction_cleaned!$O:$O,A4655,pg_transaction_cleaned!$F:$F,"REFUND")</f>
        <v>0</v>
      </c>
      <c r="N4655" s="23" t="str">
        <f t="shared" si="290"/>
        <v>OK</v>
      </c>
      <c r="O4655" s="24">
        <f t="shared" si="291"/>
        <v>0</v>
      </c>
    </row>
    <row r="4656" spans="1:15" ht="15" customHeight="1" x14ac:dyDescent="0.3">
      <c r="A4656" s="23" t="s">
        <v>9779</v>
      </c>
      <c r="B4656" s="38">
        <v>46293</v>
      </c>
      <c r="C4656" s="23" t="s">
        <v>9780</v>
      </c>
      <c r="D4656" s="23" t="s">
        <v>88</v>
      </c>
      <c r="E4656" s="23" t="s">
        <v>75</v>
      </c>
      <c r="F4656" s="23" t="s">
        <v>1193</v>
      </c>
      <c r="G4656" s="23" t="s">
        <v>250</v>
      </c>
      <c r="H4656" s="39">
        <f t="shared" si="288"/>
        <v>3498</v>
      </c>
      <c r="I4656" s="23" t="str">
        <f t="shared" si="289"/>
        <v>Lucknow</v>
      </c>
      <c r="J4656" s="23">
        <f>COUNTIFS(pg_transaction_cleaned!$O:$O,A4656,pg_transaction_cleaned!$F:$F,"CAPTURE")</f>
        <v>1</v>
      </c>
      <c r="K4656" s="39">
        <f>SUMIFS(pg_transaction_cleaned!$H:$H,pg_transaction_cleaned!$O:$O,A4656,pg_transaction_cleaned!$F:$F,"CAPTURE")</f>
        <v>3498</v>
      </c>
      <c r="L4656" s="23">
        <f>COUNTIFS(pg_transaction_cleaned!$O:$O,A4656,pg_transaction_cleaned!$F:$F,"REFUND")</f>
        <v>0</v>
      </c>
      <c r="M4656" s="39">
        <f>SUMIFS(pg_transaction_cleaned!$H:$H,pg_transaction_cleaned!$O:$O,A4656,pg_transaction_cleaned!$F:$F,"REFUND")</f>
        <v>0</v>
      </c>
      <c r="N4656" s="23" t="str">
        <f t="shared" si="290"/>
        <v>OK</v>
      </c>
      <c r="O4656" s="24">
        <f t="shared" si="291"/>
        <v>0</v>
      </c>
    </row>
    <row r="4657" spans="1:15" ht="15" customHeight="1" x14ac:dyDescent="0.3">
      <c r="A4657" s="23" t="s">
        <v>9781</v>
      </c>
      <c r="B4657" s="38">
        <v>46270</v>
      </c>
      <c r="C4657" s="23" t="s">
        <v>9782</v>
      </c>
      <c r="D4657" s="23" t="s">
        <v>86</v>
      </c>
      <c r="E4657" s="23" t="s">
        <v>75</v>
      </c>
      <c r="F4657" s="23" t="s">
        <v>393</v>
      </c>
      <c r="G4657" s="23" t="s">
        <v>250</v>
      </c>
      <c r="H4657" s="39">
        <f t="shared" si="288"/>
        <v>349</v>
      </c>
      <c r="I4657" s="23" t="str">
        <f t="shared" si="289"/>
        <v>Delhi</v>
      </c>
      <c r="J4657" s="23">
        <f>COUNTIFS(pg_transaction_cleaned!$O:$O,A4657,pg_transaction_cleaned!$F:$F,"CAPTURE")</f>
        <v>1</v>
      </c>
      <c r="K4657" s="39">
        <f>SUMIFS(pg_transaction_cleaned!$H:$H,pg_transaction_cleaned!$O:$O,A4657,pg_transaction_cleaned!$F:$F,"CAPTURE")</f>
        <v>349</v>
      </c>
      <c r="L4657" s="23">
        <f>COUNTIFS(pg_transaction_cleaned!$O:$O,A4657,pg_transaction_cleaned!$F:$F,"REFUND")</f>
        <v>0</v>
      </c>
      <c r="M4657" s="39">
        <f>SUMIFS(pg_transaction_cleaned!$H:$H,pg_transaction_cleaned!$O:$O,A4657,pg_transaction_cleaned!$F:$F,"REFUND")</f>
        <v>0</v>
      </c>
      <c r="N4657" s="23" t="str">
        <f t="shared" si="290"/>
        <v>OK</v>
      </c>
      <c r="O4657" s="24">
        <f t="shared" si="291"/>
        <v>0</v>
      </c>
    </row>
    <row r="4658" spans="1:15" ht="15" customHeight="1" x14ac:dyDescent="0.3">
      <c r="A4658" s="23" t="s">
        <v>9783</v>
      </c>
      <c r="B4658" s="38">
        <v>46273</v>
      </c>
      <c r="C4658" s="23" t="s">
        <v>9784</v>
      </c>
      <c r="D4658" s="23" t="s">
        <v>92</v>
      </c>
      <c r="E4658" s="23" t="s">
        <v>79</v>
      </c>
      <c r="F4658" s="23" t="s">
        <v>291</v>
      </c>
      <c r="G4658" s="23" t="s">
        <v>250</v>
      </c>
      <c r="H4658" s="39">
        <f t="shared" si="288"/>
        <v>3499</v>
      </c>
      <c r="I4658" s="23" t="str">
        <f t="shared" si="289"/>
        <v>Hyderabad</v>
      </c>
      <c r="J4658" s="23">
        <f>COUNTIFS(pg_transaction_cleaned!$O:$O,A4658,pg_transaction_cleaned!$F:$F,"CAPTURE")</f>
        <v>1</v>
      </c>
      <c r="K4658" s="39">
        <f>SUMIFS(pg_transaction_cleaned!$H:$H,pg_transaction_cleaned!$O:$O,A4658,pg_transaction_cleaned!$F:$F,"CAPTURE")</f>
        <v>3499</v>
      </c>
      <c r="L4658" s="23">
        <f>COUNTIFS(pg_transaction_cleaned!$O:$O,A4658,pg_transaction_cleaned!$F:$F,"REFUND")</f>
        <v>0</v>
      </c>
      <c r="M4658" s="39">
        <f>SUMIFS(pg_transaction_cleaned!$H:$H,pg_transaction_cleaned!$O:$O,A4658,pg_transaction_cleaned!$F:$F,"REFUND")</f>
        <v>0</v>
      </c>
      <c r="N4658" s="23" t="str">
        <f t="shared" si="290"/>
        <v>OK</v>
      </c>
      <c r="O4658" s="24">
        <f t="shared" si="291"/>
        <v>0</v>
      </c>
    </row>
    <row r="4659" spans="1:15" ht="15" customHeight="1" x14ac:dyDescent="0.3">
      <c r="A4659" s="23" t="s">
        <v>9785</v>
      </c>
      <c r="B4659" s="38">
        <v>46284</v>
      </c>
      <c r="C4659" s="23" t="s">
        <v>9786</v>
      </c>
      <c r="D4659" s="23" t="s">
        <v>88</v>
      </c>
      <c r="E4659" s="23" t="s">
        <v>75</v>
      </c>
      <c r="F4659" s="23" t="s">
        <v>1047</v>
      </c>
      <c r="G4659" s="23" t="s">
        <v>250</v>
      </c>
      <c r="H4659" s="39">
        <f t="shared" si="288"/>
        <v>13597</v>
      </c>
      <c r="I4659" s="23" t="str">
        <f t="shared" si="289"/>
        <v>Lucknow</v>
      </c>
      <c r="J4659" s="23">
        <f>COUNTIFS(pg_transaction_cleaned!$O:$O,A4659,pg_transaction_cleaned!$F:$F,"CAPTURE")</f>
        <v>1</v>
      </c>
      <c r="K4659" s="39">
        <f>SUMIFS(pg_transaction_cleaned!$H:$H,pg_transaction_cleaned!$O:$O,A4659,pg_transaction_cleaned!$F:$F,"CAPTURE")</f>
        <v>13597</v>
      </c>
      <c r="L4659" s="23">
        <f>COUNTIFS(pg_transaction_cleaned!$O:$O,A4659,pg_transaction_cleaned!$F:$F,"REFUND")</f>
        <v>0</v>
      </c>
      <c r="M4659" s="39">
        <f>SUMIFS(pg_transaction_cleaned!$H:$H,pg_transaction_cleaned!$O:$O,A4659,pg_transaction_cleaned!$F:$F,"REFUND")</f>
        <v>0</v>
      </c>
      <c r="N4659" s="23" t="str">
        <f t="shared" si="290"/>
        <v>OK</v>
      </c>
      <c r="O4659" s="24">
        <f t="shared" si="291"/>
        <v>0</v>
      </c>
    </row>
    <row r="4660" spans="1:15" ht="15" customHeight="1" x14ac:dyDescent="0.3">
      <c r="A4660" s="23" t="s">
        <v>9787</v>
      </c>
      <c r="B4660" s="38">
        <v>46295</v>
      </c>
      <c r="C4660" s="23" t="s">
        <v>9788</v>
      </c>
      <c r="D4660" s="23" t="s">
        <v>94</v>
      </c>
      <c r="E4660" s="23" t="s">
        <v>77</v>
      </c>
      <c r="F4660" s="23" t="s">
        <v>265</v>
      </c>
      <c r="G4660" s="23" t="s">
        <v>250</v>
      </c>
      <c r="H4660" s="39">
        <f t="shared" si="288"/>
        <v>999</v>
      </c>
      <c r="I4660" s="23" t="str">
        <f t="shared" si="289"/>
        <v>Chennai</v>
      </c>
      <c r="J4660" s="23">
        <f>COUNTIFS(pg_transaction_cleaned!$O:$O,A4660,pg_transaction_cleaned!$F:$F,"CAPTURE")</f>
        <v>1</v>
      </c>
      <c r="K4660" s="39">
        <f>SUMIFS(pg_transaction_cleaned!$H:$H,pg_transaction_cleaned!$O:$O,A4660,pg_transaction_cleaned!$F:$F,"CAPTURE")</f>
        <v>999</v>
      </c>
      <c r="L4660" s="23">
        <f>COUNTIFS(pg_transaction_cleaned!$O:$O,A4660,pg_transaction_cleaned!$F:$F,"REFUND")</f>
        <v>0</v>
      </c>
      <c r="M4660" s="39">
        <f>SUMIFS(pg_transaction_cleaned!$H:$H,pg_transaction_cleaned!$O:$O,A4660,pg_transaction_cleaned!$F:$F,"REFUND")</f>
        <v>0</v>
      </c>
      <c r="N4660" s="23" t="str">
        <f t="shared" si="290"/>
        <v>OK</v>
      </c>
      <c r="O4660" s="24">
        <f t="shared" si="291"/>
        <v>0</v>
      </c>
    </row>
    <row r="4661" spans="1:15" ht="15" customHeight="1" x14ac:dyDescent="0.3">
      <c r="A4661" s="23" t="s">
        <v>9789</v>
      </c>
      <c r="B4661" s="38">
        <v>46291</v>
      </c>
      <c r="C4661" s="23" t="s">
        <v>9790</v>
      </c>
      <c r="D4661" s="23" t="s">
        <v>90</v>
      </c>
      <c r="E4661" s="23" t="s">
        <v>75</v>
      </c>
      <c r="F4661" s="23" t="s">
        <v>274</v>
      </c>
      <c r="G4661" s="23" t="s">
        <v>250</v>
      </c>
      <c r="H4661" s="39">
        <f t="shared" si="288"/>
        <v>349</v>
      </c>
      <c r="I4661" s="23" t="str">
        <f t="shared" si="289"/>
        <v>Ahmedabad</v>
      </c>
      <c r="J4661" s="23">
        <f>COUNTIFS(pg_transaction_cleaned!$O:$O,A4661,pg_transaction_cleaned!$F:$F,"CAPTURE")</f>
        <v>1</v>
      </c>
      <c r="K4661" s="39">
        <f>SUMIFS(pg_transaction_cleaned!$H:$H,pg_transaction_cleaned!$O:$O,A4661,pg_transaction_cleaned!$F:$F,"CAPTURE")</f>
        <v>349</v>
      </c>
      <c r="L4661" s="23">
        <f>COUNTIFS(pg_transaction_cleaned!$O:$O,A4661,pg_transaction_cleaned!$F:$F,"REFUND")</f>
        <v>0</v>
      </c>
      <c r="M4661" s="39">
        <f>SUMIFS(pg_transaction_cleaned!$H:$H,pg_transaction_cleaned!$O:$O,A4661,pg_transaction_cleaned!$F:$F,"REFUND")</f>
        <v>0</v>
      </c>
      <c r="N4661" s="23" t="str">
        <f t="shared" si="290"/>
        <v>OK</v>
      </c>
      <c r="O4661" s="24">
        <f t="shared" si="291"/>
        <v>0</v>
      </c>
    </row>
    <row r="4662" spans="1:15" ht="15" customHeight="1" x14ac:dyDescent="0.3">
      <c r="A4662" s="23" t="s">
        <v>9791</v>
      </c>
      <c r="B4662" s="38">
        <v>46268</v>
      </c>
      <c r="C4662" s="23" t="s">
        <v>9792</v>
      </c>
      <c r="D4662" s="23" t="s">
        <v>94</v>
      </c>
      <c r="E4662" s="23" t="s">
        <v>75</v>
      </c>
      <c r="F4662" s="23" t="s">
        <v>271</v>
      </c>
      <c r="G4662" s="23" t="s">
        <v>250</v>
      </c>
      <c r="H4662" s="39">
        <f t="shared" si="288"/>
        <v>2499</v>
      </c>
      <c r="I4662" s="23" t="str">
        <f t="shared" si="289"/>
        <v>Chennai</v>
      </c>
      <c r="J4662" s="23">
        <f>COUNTIFS(pg_transaction_cleaned!$O:$O,A4662,pg_transaction_cleaned!$F:$F,"CAPTURE")</f>
        <v>1</v>
      </c>
      <c r="K4662" s="39">
        <f>SUMIFS(pg_transaction_cleaned!$H:$H,pg_transaction_cleaned!$O:$O,A4662,pg_transaction_cleaned!$F:$F,"CAPTURE")</f>
        <v>2499</v>
      </c>
      <c r="L4662" s="23">
        <f>COUNTIFS(pg_transaction_cleaned!$O:$O,A4662,pg_transaction_cleaned!$F:$F,"REFUND")</f>
        <v>0</v>
      </c>
      <c r="M4662" s="39">
        <f>SUMIFS(pg_transaction_cleaned!$H:$H,pg_transaction_cleaned!$O:$O,A4662,pg_transaction_cleaned!$F:$F,"REFUND")</f>
        <v>0</v>
      </c>
      <c r="N4662" s="23" t="str">
        <f t="shared" si="290"/>
        <v>OK</v>
      </c>
      <c r="O4662" s="24">
        <f t="shared" si="291"/>
        <v>0</v>
      </c>
    </row>
    <row r="4663" spans="1:15" ht="15" customHeight="1" x14ac:dyDescent="0.3">
      <c r="A4663" s="23" t="s">
        <v>9793</v>
      </c>
      <c r="B4663" s="38">
        <v>46292</v>
      </c>
      <c r="C4663" s="23" t="s">
        <v>9794</v>
      </c>
      <c r="D4663" s="23" t="s">
        <v>86</v>
      </c>
      <c r="E4663" s="23" t="s">
        <v>77</v>
      </c>
      <c r="F4663" s="23" t="s">
        <v>288</v>
      </c>
      <c r="G4663" s="23" t="s">
        <v>250</v>
      </c>
      <c r="H4663" s="39">
        <f t="shared" si="288"/>
        <v>4298</v>
      </c>
      <c r="I4663" s="23" t="str">
        <f t="shared" si="289"/>
        <v>Delhi</v>
      </c>
      <c r="J4663" s="23">
        <f>COUNTIFS(pg_transaction_cleaned!$O:$O,A4663,pg_transaction_cleaned!$F:$F,"CAPTURE")</f>
        <v>1</v>
      </c>
      <c r="K4663" s="39">
        <f>SUMIFS(pg_transaction_cleaned!$H:$H,pg_transaction_cleaned!$O:$O,A4663,pg_transaction_cleaned!$F:$F,"CAPTURE")</f>
        <v>4298</v>
      </c>
      <c r="L4663" s="23">
        <f>COUNTIFS(pg_transaction_cleaned!$O:$O,A4663,pg_transaction_cleaned!$F:$F,"REFUND")</f>
        <v>0</v>
      </c>
      <c r="M4663" s="39">
        <f>SUMIFS(pg_transaction_cleaned!$H:$H,pg_transaction_cleaned!$O:$O,A4663,pg_transaction_cleaned!$F:$F,"REFUND")</f>
        <v>0</v>
      </c>
      <c r="N4663" s="23" t="str">
        <f t="shared" si="290"/>
        <v>OK</v>
      </c>
      <c r="O4663" s="24">
        <f t="shared" si="291"/>
        <v>0</v>
      </c>
    </row>
    <row r="4664" spans="1:15" ht="15" customHeight="1" x14ac:dyDescent="0.3">
      <c r="A4664" s="23" t="s">
        <v>9795</v>
      </c>
      <c r="B4664" s="38">
        <v>46275</v>
      </c>
      <c r="C4664" s="23" t="s">
        <v>9796</v>
      </c>
      <c r="D4664" s="23" t="s">
        <v>93</v>
      </c>
      <c r="E4664" s="23" t="s">
        <v>79</v>
      </c>
      <c r="F4664" s="23" t="s">
        <v>514</v>
      </c>
      <c r="G4664" s="23" t="s">
        <v>250</v>
      </c>
      <c r="H4664" s="39">
        <f t="shared" si="288"/>
        <v>6498</v>
      </c>
      <c r="I4664" s="23" t="str">
        <f t="shared" si="289"/>
        <v>Kolkata</v>
      </c>
      <c r="J4664" s="23">
        <f>COUNTIFS(pg_transaction_cleaned!$O:$O,A4664,pg_transaction_cleaned!$F:$F,"CAPTURE")</f>
        <v>1</v>
      </c>
      <c r="K4664" s="39">
        <f>SUMIFS(pg_transaction_cleaned!$H:$H,pg_transaction_cleaned!$O:$O,A4664,pg_transaction_cleaned!$F:$F,"CAPTURE")</f>
        <v>6498</v>
      </c>
      <c r="L4664" s="23">
        <f>COUNTIFS(pg_transaction_cleaned!$O:$O,A4664,pg_transaction_cleaned!$F:$F,"REFUND")</f>
        <v>0</v>
      </c>
      <c r="M4664" s="39">
        <f>SUMIFS(pg_transaction_cleaned!$H:$H,pg_transaction_cleaned!$O:$O,A4664,pg_transaction_cleaned!$F:$F,"REFUND")</f>
        <v>0</v>
      </c>
      <c r="N4664" s="23" t="str">
        <f t="shared" si="290"/>
        <v>OK</v>
      </c>
      <c r="O4664" s="24">
        <f t="shared" si="291"/>
        <v>0</v>
      </c>
    </row>
    <row r="4665" spans="1:15" ht="15" customHeight="1" x14ac:dyDescent="0.3">
      <c r="A4665" s="23" t="s">
        <v>9797</v>
      </c>
      <c r="B4665" s="38">
        <v>46270</v>
      </c>
      <c r="C4665" s="23" t="s">
        <v>9798</v>
      </c>
      <c r="D4665" s="23" t="s">
        <v>91</v>
      </c>
      <c r="E4665" s="23" t="s">
        <v>77</v>
      </c>
      <c r="F4665" s="23" t="s">
        <v>271</v>
      </c>
      <c r="G4665" s="23" t="s">
        <v>250</v>
      </c>
      <c r="H4665" s="39">
        <f t="shared" si="288"/>
        <v>2499</v>
      </c>
      <c r="I4665" s="23" t="str">
        <f t="shared" si="289"/>
        <v>Pune</v>
      </c>
      <c r="J4665" s="23">
        <f>COUNTIFS(pg_transaction_cleaned!$O:$O,A4665,pg_transaction_cleaned!$F:$F,"CAPTURE")</f>
        <v>1</v>
      </c>
      <c r="K4665" s="39">
        <f>SUMIFS(pg_transaction_cleaned!$H:$H,pg_transaction_cleaned!$O:$O,A4665,pg_transaction_cleaned!$F:$F,"CAPTURE")</f>
        <v>2499</v>
      </c>
      <c r="L4665" s="23">
        <f>COUNTIFS(pg_transaction_cleaned!$O:$O,A4665,pg_transaction_cleaned!$F:$F,"REFUND")</f>
        <v>0</v>
      </c>
      <c r="M4665" s="39">
        <f>SUMIFS(pg_transaction_cleaned!$H:$H,pg_transaction_cleaned!$O:$O,A4665,pg_transaction_cleaned!$F:$F,"REFUND")</f>
        <v>0</v>
      </c>
      <c r="N4665" s="23" t="str">
        <f t="shared" si="290"/>
        <v>OK</v>
      </c>
      <c r="O4665" s="24">
        <f t="shared" si="291"/>
        <v>0</v>
      </c>
    </row>
    <row r="4666" spans="1:15" ht="15" customHeight="1" x14ac:dyDescent="0.3">
      <c r="A4666" s="23" t="s">
        <v>9799</v>
      </c>
      <c r="B4666" s="38">
        <v>46271</v>
      </c>
      <c r="C4666" s="23" t="s">
        <v>9800</v>
      </c>
      <c r="D4666" s="23" t="s">
        <v>90</v>
      </c>
      <c r="E4666" s="23" t="s">
        <v>77</v>
      </c>
      <c r="F4666" s="23" t="s">
        <v>396</v>
      </c>
      <c r="G4666" s="23" t="s">
        <v>250</v>
      </c>
      <c r="H4666" s="39">
        <f t="shared" si="288"/>
        <v>2999</v>
      </c>
      <c r="I4666" s="23" t="str">
        <f t="shared" si="289"/>
        <v>Ahmedabad</v>
      </c>
      <c r="J4666" s="23">
        <f>COUNTIFS(pg_transaction_cleaned!$O:$O,A4666,pg_transaction_cleaned!$F:$F,"CAPTURE")</f>
        <v>1</v>
      </c>
      <c r="K4666" s="39">
        <f>SUMIFS(pg_transaction_cleaned!$H:$H,pg_transaction_cleaned!$O:$O,A4666,pg_transaction_cleaned!$F:$F,"CAPTURE")</f>
        <v>2999</v>
      </c>
      <c r="L4666" s="23">
        <f>COUNTIFS(pg_transaction_cleaned!$O:$O,A4666,pg_transaction_cleaned!$F:$F,"REFUND")</f>
        <v>0</v>
      </c>
      <c r="M4666" s="39">
        <f>SUMIFS(pg_transaction_cleaned!$H:$H,pg_transaction_cleaned!$O:$O,A4666,pg_transaction_cleaned!$F:$F,"REFUND")</f>
        <v>0</v>
      </c>
      <c r="N4666" s="23" t="str">
        <f t="shared" si="290"/>
        <v>OK</v>
      </c>
      <c r="O4666" s="24">
        <f t="shared" si="291"/>
        <v>0</v>
      </c>
    </row>
    <row r="4667" spans="1:15" ht="15" customHeight="1" x14ac:dyDescent="0.3">
      <c r="A4667" s="23" t="s">
        <v>9801</v>
      </c>
      <c r="B4667" s="38">
        <v>46273</v>
      </c>
      <c r="C4667" s="23" t="s">
        <v>1499</v>
      </c>
      <c r="D4667" s="23" t="s">
        <v>92</v>
      </c>
      <c r="E4667" s="23" t="s">
        <v>75</v>
      </c>
      <c r="F4667" s="23" t="s">
        <v>1552</v>
      </c>
      <c r="G4667" s="23" t="s">
        <v>250</v>
      </c>
      <c r="H4667" s="39">
        <f t="shared" si="288"/>
        <v>9797</v>
      </c>
      <c r="I4667" s="23" t="str">
        <f t="shared" si="289"/>
        <v>Hyderabad</v>
      </c>
      <c r="J4667" s="23">
        <f>COUNTIFS(pg_transaction_cleaned!$O:$O,A4667,pg_transaction_cleaned!$F:$F,"CAPTURE")</f>
        <v>1</v>
      </c>
      <c r="K4667" s="39">
        <f>SUMIFS(pg_transaction_cleaned!$H:$H,pg_transaction_cleaned!$O:$O,A4667,pg_transaction_cleaned!$F:$F,"CAPTURE")</f>
        <v>9797</v>
      </c>
      <c r="L4667" s="23">
        <f>COUNTIFS(pg_transaction_cleaned!$O:$O,A4667,pg_transaction_cleaned!$F:$F,"REFUND")</f>
        <v>0</v>
      </c>
      <c r="M4667" s="39">
        <f>SUMIFS(pg_transaction_cleaned!$H:$H,pg_transaction_cleaned!$O:$O,A4667,pg_transaction_cleaned!$F:$F,"REFUND")</f>
        <v>0</v>
      </c>
      <c r="N4667" s="23" t="str">
        <f t="shared" si="290"/>
        <v>OK</v>
      </c>
      <c r="O4667" s="24">
        <f t="shared" si="291"/>
        <v>0</v>
      </c>
    </row>
    <row r="4668" spans="1:15" ht="15" customHeight="1" x14ac:dyDescent="0.3">
      <c r="A4668" s="23" t="s">
        <v>9802</v>
      </c>
      <c r="B4668" s="38">
        <v>46272</v>
      </c>
      <c r="C4668" s="23" t="s">
        <v>9803</v>
      </c>
      <c r="D4668" s="23" t="s">
        <v>90</v>
      </c>
      <c r="E4668" s="23" t="s">
        <v>81</v>
      </c>
      <c r="F4668" s="23" t="s">
        <v>1662</v>
      </c>
      <c r="G4668" s="23" t="s">
        <v>365</v>
      </c>
      <c r="H4668" s="39">
        <f t="shared" si="288"/>
        <v>4397</v>
      </c>
      <c r="I4668" s="23" t="str">
        <f t="shared" si="289"/>
        <v>Ahmedabad</v>
      </c>
      <c r="J4668" s="23">
        <f>COUNTIFS(pg_transaction_cleaned!$O:$O,A4668,pg_transaction_cleaned!$F:$F,"CAPTURE")</f>
        <v>0</v>
      </c>
      <c r="K4668" s="39">
        <f>SUMIFS(pg_transaction_cleaned!$H:$H,pg_transaction_cleaned!$O:$O,A4668,pg_transaction_cleaned!$F:$F,"CAPTURE")</f>
        <v>0</v>
      </c>
      <c r="L4668" s="23">
        <f>COUNTIFS(pg_transaction_cleaned!$O:$O,A4668,pg_transaction_cleaned!$F:$F,"REFUND")</f>
        <v>0</v>
      </c>
      <c r="M4668" s="39">
        <f>SUMIFS(pg_transaction_cleaned!$H:$H,pg_transaction_cleaned!$O:$O,A4668,pg_transaction_cleaned!$F:$F,"REFUND")</f>
        <v>0</v>
      </c>
      <c r="N4668" s="23" t="str">
        <f t="shared" si="290"/>
        <v>OK</v>
      </c>
      <c r="O4668" s="24">
        <f t="shared" si="291"/>
        <v>0</v>
      </c>
    </row>
    <row r="4669" spans="1:15" ht="15" customHeight="1" x14ac:dyDescent="0.3">
      <c r="A4669" s="23" t="s">
        <v>9804</v>
      </c>
      <c r="B4669" s="38">
        <v>46282</v>
      </c>
      <c r="C4669" s="23" t="s">
        <v>9805</v>
      </c>
      <c r="D4669" s="23" t="s">
        <v>91</v>
      </c>
      <c r="E4669" s="23" t="s">
        <v>75</v>
      </c>
      <c r="F4669" s="23" t="s">
        <v>483</v>
      </c>
      <c r="G4669" s="23" t="s">
        <v>301</v>
      </c>
      <c r="H4669" s="39">
        <f t="shared" si="288"/>
        <v>2998</v>
      </c>
      <c r="I4669" s="23" t="str">
        <f t="shared" si="289"/>
        <v>Pune</v>
      </c>
      <c r="J4669" s="23">
        <f>COUNTIFS(pg_transaction_cleaned!$O:$O,A4669,pg_transaction_cleaned!$F:$F,"CAPTURE")</f>
        <v>1</v>
      </c>
      <c r="K4669" s="39">
        <f>SUMIFS(pg_transaction_cleaned!$H:$H,pg_transaction_cleaned!$O:$O,A4669,pg_transaction_cleaned!$F:$F,"CAPTURE")</f>
        <v>2998</v>
      </c>
      <c r="L4669" s="23">
        <f>COUNTIFS(pg_transaction_cleaned!$O:$O,A4669,pg_transaction_cleaned!$F:$F,"REFUND")</f>
        <v>1</v>
      </c>
      <c r="M4669" s="39">
        <f>SUMIFS(pg_transaction_cleaned!$H:$H,pg_transaction_cleaned!$O:$O,A4669,pg_transaction_cleaned!$F:$F,"REFUND")</f>
        <v>2998</v>
      </c>
      <c r="N4669" s="23" t="str">
        <f t="shared" si="290"/>
        <v>OK</v>
      </c>
      <c r="O4669" s="24">
        <f t="shared" si="291"/>
        <v>0</v>
      </c>
    </row>
    <row r="4670" spans="1:15" ht="15" customHeight="1" x14ac:dyDescent="0.3">
      <c r="A4670" s="23" t="s">
        <v>9806</v>
      </c>
      <c r="B4670" s="38">
        <v>46276</v>
      </c>
      <c r="C4670" s="23" t="s">
        <v>9807</v>
      </c>
      <c r="D4670" s="23" t="s">
        <v>87</v>
      </c>
      <c r="E4670" s="23" t="s">
        <v>75</v>
      </c>
      <c r="F4670" s="23" t="s">
        <v>612</v>
      </c>
      <c r="G4670" s="23" t="s">
        <v>250</v>
      </c>
      <c r="H4670" s="39">
        <f t="shared" si="288"/>
        <v>8498</v>
      </c>
      <c r="I4670" s="23" t="str">
        <f t="shared" si="289"/>
        <v>Mumbai</v>
      </c>
      <c r="J4670" s="23">
        <f>COUNTIFS(pg_transaction_cleaned!$O:$O,A4670,pg_transaction_cleaned!$F:$F,"CAPTURE")</f>
        <v>1</v>
      </c>
      <c r="K4670" s="39">
        <f>SUMIFS(pg_transaction_cleaned!$H:$H,pg_transaction_cleaned!$O:$O,A4670,pg_transaction_cleaned!$F:$F,"CAPTURE")</f>
        <v>8498</v>
      </c>
      <c r="L4670" s="23">
        <f>COUNTIFS(pg_transaction_cleaned!$O:$O,A4670,pg_transaction_cleaned!$F:$F,"REFUND")</f>
        <v>0</v>
      </c>
      <c r="M4670" s="39">
        <f>SUMIFS(pg_transaction_cleaned!$H:$H,pg_transaction_cleaned!$O:$O,A4670,pg_transaction_cleaned!$F:$F,"REFUND")</f>
        <v>0</v>
      </c>
      <c r="N4670" s="23" t="str">
        <f t="shared" si="290"/>
        <v>OK</v>
      </c>
      <c r="O4670" s="24">
        <f t="shared" si="291"/>
        <v>0</v>
      </c>
    </row>
    <row r="4671" spans="1:15" ht="15" customHeight="1" x14ac:dyDescent="0.3">
      <c r="A4671" s="23" t="s">
        <v>9808</v>
      </c>
      <c r="B4671" s="38">
        <v>46292</v>
      </c>
      <c r="C4671" s="23" t="s">
        <v>9809</v>
      </c>
      <c r="D4671" s="23" t="s">
        <v>92</v>
      </c>
      <c r="E4671" s="23" t="s">
        <v>75</v>
      </c>
      <c r="F4671" s="23" t="s">
        <v>271</v>
      </c>
      <c r="G4671" s="23" t="s">
        <v>365</v>
      </c>
      <c r="H4671" s="39">
        <f t="shared" si="288"/>
        <v>2499</v>
      </c>
      <c r="I4671" s="23" t="str">
        <f t="shared" si="289"/>
        <v>Hyderabad</v>
      </c>
      <c r="J4671" s="23">
        <f>COUNTIFS(pg_transaction_cleaned!$O:$O,A4671,pg_transaction_cleaned!$F:$F,"CAPTURE")</f>
        <v>0</v>
      </c>
      <c r="K4671" s="39">
        <f>SUMIFS(pg_transaction_cleaned!$H:$H,pg_transaction_cleaned!$O:$O,A4671,pg_transaction_cleaned!$F:$F,"CAPTURE")</f>
        <v>0</v>
      </c>
      <c r="L4671" s="23">
        <f>COUNTIFS(pg_transaction_cleaned!$O:$O,A4671,pg_transaction_cleaned!$F:$F,"REFUND")</f>
        <v>0</v>
      </c>
      <c r="M4671" s="39">
        <f>SUMIFS(pg_transaction_cleaned!$H:$H,pg_transaction_cleaned!$O:$O,A4671,pg_transaction_cleaned!$F:$F,"REFUND")</f>
        <v>0</v>
      </c>
      <c r="N4671" s="23" t="str">
        <f t="shared" si="290"/>
        <v>OK</v>
      </c>
      <c r="O4671" s="24">
        <f t="shared" si="291"/>
        <v>0</v>
      </c>
    </row>
    <row r="4672" spans="1:15" ht="15" customHeight="1" x14ac:dyDescent="0.3">
      <c r="A4672" s="23" t="s">
        <v>9810</v>
      </c>
      <c r="B4672" s="38">
        <v>46295</v>
      </c>
      <c r="C4672" s="23" t="s">
        <v>9811</v>
      </c>
      <c r="D4672" s="23" t="s">
        <v>88</v>
      </c>
      <c r="E4672" s="23" t="s">
        <v>75</v>
      </c>
      <c r="F4672" s="23" t="s">
        <v>259</v>
      </c>
      <c r="G4672" s="23" t="s">
        <v>250</v>
      </c>
      <c r="H4672" s="39">
        <f t="shared" si="288"/>
        <v>3298</v>
      </c>
      <c r="I4672" s="23" t="str">
        <f t="shared" si="289"/>
        <v>Lucknow</v>
      </c>
      <c r="J4672" s="23">
        <f>COUNTIFS(pg_transaction_cleaned!$O:$O,A4672,pg_transaction_cleaned!$F:$F,"CAPTURE")</f>
        <v>1</v>
      </c>
      <c r="K4672" s="39">
        <f>SUMIFS(pg_transaction_cleaned!$H:$H,pg_transaction_cleaned!$O:$O,A4672,pg_transaction_cleaned!$F:$F,"CAPTURE")</f>
        <v>3298</v>
      </c>
      <c r="L4672" s="23">
        <f>COUNTIFS(pg_transaction_cleaned!$O:$O,A4672,pg_transaction_cleaned!$F:$F,"REFUND")</f>
        <v>0</v>
      </c>
      <c r="M4672" s="39">
        <f>SUMIFS(pg_transaction_cleaned!$H:$H,pg_transaction_cleaned!$O:$O,A4672,pg_transaction_cleaned!$F:$F,"REFUND")</f>
        <v>0</v>
      </c>
      <c r="N4672" s="23" t="str">
        <f t="shared" si="290"/>
        <v>OK</v>
      </c>
      <c r="O4672" s="24">
        <f t="shared" si="291"/>
        <v>0</v>
      </c>
    </row>
    <row r="4673" spans="1:15" ht="15" customHeight="1" x14ac:dyDescent="0.3">
      <c r="A4673" s="23" t="s">
        <v>9812</v>
      </c>
      <c r="B4673" s="38">
        <v>46293</v>
      </c>
      <c r="C4673" s="23" t="s">
        <v>9813</v>
      </c>
      <c r="D4673" s="23" t="s">
        <v>87</v>
      </c>
      <c r="E4673" s="23" t="s">
        <v>75</v>
      </c>
      <c r="F4673" s="23" t="s">
        <v>259</v>
      </c>
      <c r="G4673" s="23" t="s">
        <v>250</v>
      </c>
      <c r="H4673" s="39">
        <f t="shared" si="288"/>
        <v>3298</v>
      </c>
      <c r="I4673" s="23" t="str">
        <f t="shared" si="289"/>
        <v>Mumbai</v>
      </c>
      <c r="J4673" s="23">
        <f>COUNTIFS(pg_transaction_cleaned!$O:$O,A4673,pg_transaction_cleaned!$F:$F,"CAPTURE")</f>
        <v>1</v>
      </c>
      <c r="K4673" s="39">
        <f>SUMIFS(pg_transaction_cleaned!$H:$H,pg_transaction_cleaned!$O:$O,A4673,pg_transaction_cleaned!$F:$F,"CAPTURE")</f>
        <v>3298</v>
      </c>
      <c r="L4673" s="23">
        <f>COUNTIFS(pg_transaction_cleaned!$O:$O,A4673,pg_transaction_cleaned!$F:$F,"REFUND")</f>
        <v>0</v>
      </c>
      <c r="M4673" s="39">
        <f>SUMIFS(pg_transaction_cleaned!$H:$H,pg_transaction_cleaned!$O:$O,A4673,pg_transaction_cleaned!$F:$F,"REFUND")</f>
        <v>0</v>
      </c>
      <c r="N4673" s="23" t="str">
        <f t="shared" si="290"/>
        <v>OK</v>
      </c>
      <c r="O4673" s="24">
        <f t="shared" si="291"/>
        <v>0</v>
      </c>
    </row>
    <row r="4674" spans="1:15" ht="15" customHeight="1" x14ac:dyDescent="0.3">
      <c r="A4674" s="23" t="s">
        <v>9814</v>
      </c>
      <c r="B4674" s="38">
        <v>46285</v>
      </c>
      <c r="C4674" s="23" t="s">
        <v>9815</v>
      </c>
      <c r="D4674" s="23" t="s">
        <v>93</v>
      </c>
      <c r="E4674" s="23" t="s">
        <v>75</v>
      </c>
      <c r="F4674" s="23" t="s">
        <v>268</v>
      </c>
      <c r="G4674" s="23" t="s">
        <v>250</v>
      </c>
      <c r="H4674" s="39">
        <f t="shared" ref="H4674:H4737" si="292">VALUE(SUBSTITUTE(F4674,",",""))</f>
        <v>1299</v>
      </c>
      <c r="I4674" s="23" t="str">
        <f t="shared" ref="I4674:I4737" si="293">IF(TRIM(D4674)="","Unknown",TRIM(D4674))</f>
        <v>Kolkata</v>
      </c>
      <c r="J4674" s="23">
        <f>COUNTIFS(pg_transaction_cleaned!$O:$O,A4674,pg_transaction_cleaned!$F:$F,"CAPTURE")</f>
        <v>1</v>
      </c>
      <c r="K4674" s="39">
        <f>SUMIFS(pg_transaction_cleaned!$H:$H,pg_transaction_cleaned!$O:$O,A4674,pg_transaction_cleaned!$F:$F,"CAPTURE")</f>
        <v>1299</v>
      </c>
      <c r="L4674" s="23">
        <f>COUNTIFS(pg_transaction_cleaned!$O:$O,A4674,pg_transaction_cleaned!$F:$F,"REFUND")</f>
        <v>0</v>
      </c>
      <c r="M4674" s="39">
        <f>SUMIFS(pg_transaction_cleaned!$H:$H,pg_transaction_cleaned!$O:$O,A4674,pg_transaction_cleaned!$F:$F,"REFUND")</f>
        <v>0</v>
      </c>
      <c r="N4674" s="23" t="str">
        <f t="shared" ref="N4674:N4737" si="294">IF(AND(G4674="Paid",J4674=0),"Paid, no payment",IF(AND(OR(G4674="Failed",G4674="Cancelled"),J4674&gt;0),"Payment on failed/cancelled",IF(J4674&gt;1,"Duplicate charge",IF(AND(J4674=1,ROUND(K4674-H4674,2)&lt;&gt;0),"Amount difference",IF(AND(G4674="Refunded",L4674=0),"Refunded, no refund",IF(AND(G4674&lt;&gt;"Refunded",L4674&gt;0),"Refund, order not Refunded",IF(AND(L4674&gt;0,ROUND(M4674-H4674,2)&lt;&gt;0),"Refund amount differs","OK")))))))</f>
        <v>OK</v>
      </c>
      <c r="O4674" s="24">
        <f t="shared" ref="O4674:O4737" si="295">IF(N4674="OK",0,IF(N4674="Paid, no payment",H4674,IF(N4674="Payment on failed/cancelled",K4674,IF(OR(N4674="Duplicate charge",N4674="Amount difference"),K4674-H4674,IF(N4674="Refunded, no refund",H4674,M4674)))))</f>
        <v>0</v>
      </c>
    </row>
    <row r="4675" spans="1:15" ht="15" customHeight="1" x14ac:dyDescent="0.3">
      <c r="A4675" s="23" t="s">
        <v>9816</v>
      </c>
      <c r="B4675" s="38">
        <v>46270</v>
      </c>
      <c r="C4675" s="23" t="s">
        <v>9817</v>
      </c>
      <c r="D4675" s="23" t="s">
        <v>86</v>
      </c>
      <c r="E4675" s="23" t="s">
        <v>79</v>
      </c>
      <c r="F4675" s="23" t="s">
        <v>262</v>
      </c>
      <c r="G4675" s="23" t="s">
        <v>250</v>
      </c>
      <c r="H4675" s="39">
        <f t="shared" si="292"/>
        <v>499</v>
      </c>
      <c r="I4675" s="23" t="str">
        <f t="shared" si="293"/>
        <v>Delhi</v>
      </c>
      <c r="J4675" s="23">
        <f>COUNTIFS(pg_transaction_cleaned!$O:$O,A4675,pg_transaction_cleaned!$F:$F,"CAPTURE")</f>
        <v>1</v>
      </c>
      <c r="K4675" s="39">
        <f>SUMIFS(pg_transaction_cleaned!$H:$H,pg_transaction_cleaned!$O:$O,A4675,pg_transaction_cleaned!$F:$F,"CAPTURE")</f>
        <v>499</v>
      </c>
      <c r="L4675" s="23">
        <f>COUNTIFS(pg_transaction_cleaned!$O:$O,A4675,pg_transaction_cleaned!$F:$F,"REFUND")</f>
        <v>0</v>
      </c>
      <c r="M4675" s="39">
        <f>SUMIFS(pg_transaction_cleaned!$H:$H,pg_transaction_cleaned!$O:$O,A4675,pg_transaction_cleaned!$F:$F,"REFUND")</f>
        <v>0</v>
      </c>
      <c r="N4675" s="23" t="str">
        <f t="shared" si="294"/>
        <v>OK</v>
      </c>
      <c r="O4675" s="24">
        <f t="shared" si="295"/>
        <v>0</v>
      </c>
    </row>
    <row r="4676" spans="1:15" ht="15" customHeight="1" x14ac:dyDescent="0.3">
      <c r="A4676" s="23" t="s">
        <v>9818</v>
      </c>
      <c r="B4676" s="38">
        <v>46277</v>
      </c>
      <c r="C4676" s="23" t="s">
        <v>9819</v>
      </c>
      <c r="D4676" s="23" t="s">
        <v>88</v>
      </c>
      <c r="E4676" s="23" t="s">
        <v>75</v>
      </c>
      <c r="F4676" s="23" t="s">
        <v>271</v>
      </c>
      <c r="G4676" s="23" t="s">
        <v>250</v>
      </c>
      <c r="H4676" s="39">
        <f t="shared" si="292"/>
        <v>2499</v>
      </c>
      <c r="I4676" s="23" t="str">
        <f t="shared" si="293"/>
        <v>Lucknow</v>
      </c>
      <c r="J4676" s="23">
        <f>COUNTIFS(pg_transaction_cleaned!$O:$O,A4676,pg_transaction_cleaned!$F:$F,"CAPTURE")</f>
        <v>1</v>
      </c>
      <c r="K4676" s="39">
        <f>SUMIFS(pg_transaction_cleaned!$H:$H,pg_transaction_cleaned!$O:$O,A4676,pg_transaction_cleaned!$F:$F,"CAPTURE")</f>
        <v>2499</v>
      </c>
      <c r="L4676" s="23">
        <f>COUNTIFS(pg_transaction_cleaned!$O:$O,A4676,pg_transaction_cleaned!$F:$F,"REFUND")</f>
        <v>0</v>
      </c>
      <c r="M4676" s="39">
        <f>SUMIFS(pg_transaction_cleaned!$H:$H,pg_transaction_cleaned!$O:$O,A4676,pg_transaction_cleaned!$F:$F,"REFUND")</f>
        <v>0</v>
      </c>
      <c r="N4676" s="23" t="str">
        <f t="shared" si="294"/>
        <v>OK</v>
      </c>
      <c r="O4676" s="24">
        <f t="shared" si="295"/>
        <v>0</v>
      </c>
    </row>
    <row r="4677" spans="1:15" ht="15" customHeight="1" x14ac:dyDescent="0.3">
      <c r="A4677" s="23" t="s">
        <v>9820</v>
      </c>
      <c r="B4677" s="38">
        <v>46273</v>
      </c>
      <c r="C4677" s="23" t="s">
        <v>9821</v>
      </c>
      <c r="D4677" s="23" t="s">
        <v>87</v>
      </c>
      <c r="E4677" s="23" t="s">
        <v>79</v>
      </c>
      <c r="F4677" s="23" t="s">
        <v>271</v>
      </c>
      <c r="G4677" s="23" t="s">
        <v>250</v>
      </c>
      <c r="H4677" s="39">
        <f t="shared" si="292"/>
        <v>2499</v>
      </c>
      <c r="I4677" s="23" t="str">
        <f t="shared" si="293"/>
        <v>Mumbai</v>
      </c>
      <c r="J4677" s="23">
        <f>COUNTIFS(pg_transaction_cleaned!$O:$O,A4677,pg_transaction_cleaned!$F:$F,"CAPTURE")</f>
        <v>1</v>
      </c>
      <c r="K4677" s="39">
        <f>SUMIFS(pg_transaction_cleaned!$H:$H,pg_transaction_cleaned!$O:$O,A4677,pg_transaction_cleaned!$F:$F,"CAPTURE")</f>
        <v>2499</v>
      </c>
      <c r="L4677" s="23">
        <f>COUNTIFS(pg_transaction_cleaned!$O:$O,A4677,pg_transaction_cleaned!$F:$F,"REFUND")</f>
        <v>0</v>
      </c>
      <c r="M4677" s="39">
        <f>SUMIFS(pg_transaction_cleaned!$H:$H,pg_transaction_cleaned!$O:$O,A4677,pg_transaction_cleaned!$F:$F,"REFUND")</f>
        <v>0</v>
      </c>
      <c r="N4677" s="23" t="str">
        <f t="shared" si="294"/>
        <v>OK</v>
      </c>
      <c r="O4677" s="24">
        <f t="shared" si="295"/>
        <v>0</v>
      </c>
    </row>
    <row r="4678" spans="1:15" ht="15" customHeight="1" x14ac:dyDescent="0.3">
      <c r="A4678" s="23" t="s">
        <v>9822</v>
      </c>
      <c r="B4678" s="38">
        <v>46295</v>
      </c>
      <c r="C4678" s="23" t="s">
        <v>9823</v>
      </c>
      <c r="D4678" s="23" t="s">
        <v>91</v>
      </c>
      <c r="E4678" s="23" t="s">
        <v>75</v>
      </c>
      <c r="F4678" s="23" t="s">
        <v>396</v>
      </c>
      <c r="G4678" s="23" t="s">
        <v>250</v>
      </c>
      <c r="H4678" s="39">
        <f t="shared" si="292"/>
        <v>2999</v>
      </c>
      <c r="I4678" s="23" t="str">
        <f t="shared" si="293"/>
        <v>Pune</v>
      </c>
      <c r="J4678" s="23">
        <f>COUNTIFS(pg_transaction_cleaned!$O:$O,A4678,pg_transaction_cleaned!$F:$F,"CAPTURE")</f>
        <v>1</v>
      </c>
      <c r="K4678" s="39">
        <f>SUMIFS(pg_transaction_cleaned!$H:$H,pg_transaction_cleaned!$O:$O,A4678,pg_transaction_cleaned!$F:$F,"CAPTURE")</f>
        <v>2999</v>
      </c>
      <c r="L4678" s="23">
        <f>COUNTIFS(pg_transaction_cleaned!$O:$O,A4678,pg_transaction_cleaned!$F:$F,"REFUND")</f>
        <v>0</v>
      </c>
      <c r="M4678" s="39">
        <f>SUMIFS(pg_transaction_cleaned!$H:$H,pg_transaction_cleaned!$O:$O,A4678,pg_transaction_cleaned!$F:$F,"REFUND")</f>
        <v>0</v>
      </c>
      <c r="N4678" s="23" t="str">
        <f t="shared" si="294"/>
        <v>OK</v>
      </c>
      <c r="O4678" s="24">
        <f t="shared" si="295"/>
        <v>0</v>
      </c>
    </row>
    <row r="4679" spans="1:15" ht="15" customHeight="1" x14ac:dyDescent="0.3">
      <c r="A4679" s="23" t="s">
        <v>9824</v>
      </c>
      <c r="B4679" s="38">
        <v>46290</v>
      </c>
      <c r="C4679" s="23" t="s">
        <v>9825</v>
      </c>
      <c r="D4679" s="23" t="s">
        <v>92</v>
      </c>
      <c r="E4679" s="23" t="s">
        <v>75</v>
      </c>
      <c r="F4679" s="23" t="s">
        <v>612</v>
      </c>
      <c r="G4679" s="23" t="s">
        <v>250</v>
      </c>
      <c r="H4679" s="39">
        <f t="shared" si="292"/>
        <v>8498</v>
      </c>
      <c r="I4679" s="23" t="str">
        <f t="shared" si="293"/>
        <v>Hyderabad</v>
      </c>
      <c r="J4679" s="23">
        <f>COUNTIFS(pg_transaction_cleaned!$O:$O,A4679,pg_transaction_cleaned!$F:$F,"CAPTURE")</f>
        <v>1</v>
      </c>
      <c r="K4679" s="39">
        <f>SUMIFS(pg_transaction_cleaned!$H:$H,pg_transaction_cleaned!$O:$O,A4679,pg_transaction_cleaned!$F:$F,"CAPTURE")</f>
        <v>8498</v>
      </c>
      <c r="L4679" s="23">
        <f>COUNTIFS(pg_transaction_cleaned!$O:$O,A4679,pg_transaction_cleaned!$F:$F,"REFUND")</f>
        <v>0</v>
      </c>
      <c r="M4679" s="39">
        <f>SUMIFS(pg_transaction_cleaned!$H:$H,pg_transaction_cleaned!$O:$O,A4679,pg_transaction_cleaned!$F:$F,"REFUND")</f>
        <v>0</v>
      </c>
      <c r="N4679" s="23" t="str">
        <f t="shared" si="294"/>
        <v>OK</v>
      </c>
      <c r="O4679" s="24">
        <f t="shared" si="295"/>
        <v>0</v>
      </c>
    </row>
    <row r="4680" spans="1:15" ht="15" customHeight="1" x14ac:dyDescent="0.3">
      <c r="A4680" s="23" t="s">
        <v>9826</v>
      </c>
      <c r="B4680" s="38">
        <v>46281</v>
      </c>
      <c r="C4680" s="23" t="s">
        <v>9827</v>
      </c>
      <c r="D4680" s="23" t="s">
        <v>91</v>
      </c>
      <c r="E4680" s="23" t="s">
        <v>79</v>
      </c>
      <c r="F4680" s="23" t="s">
        <v>268</v>
      </c>
      <c r="G4680" s="23" t="s">
        <v>250</v>
      </c>
      <c r="H4680" s="39">
        <f t="shared" si="292"/>
        <v>1299</v>
      </c>
      <c r="I4680" s="23" t="str">
        <f t="shared" si="293"/>
        <v>Pune</v>
      </c>
      <c r="J4680" s="23">
        <f>COUNTIFS(pg_transaction_cleaned!$O:$O,A4680,pg_transaction_cleaned!$F:$F,"CAPTURE")</f>
        <v>1</v>
      </c>
      <c r="K4680" s="39">
        <f>SUMIFS(pg_transaction_cleaned!$H:$H,pg_transaction_cleaned!$O:$O,A4680,pg_transaction_cleaned!$F:$F,"CAPTURE")</f>
        <v>1299</v>
      </c>
      <c r="L4680" s="23">
        <f>COUNTIFS(pg_transaction_cleaned!$O:$O,A4680,pg_transaction_cleaned!$F:$F,"REFUND")</f>
        <v>0</v>
      </c>
      <c r="M4680" s="39">
        <f>SUMIFS(pg_transaction_cleaned!$H:$H,pg_transaction_cleaned!$O:$O,A4680,pg_transaction_cleaned!$F:$F,"REFUND")</f>
        <v>0</v>
      </c>
      <c r="N4680" s="23" t="str">
        <f t="shared" si="294"/>
        <v>OK</v>
      </c>
      <c r="O4680" s="24">
        <f t="shared" si="295"/>
        <v>0</v>
      </c>
    </row>
    <row r="4681" spans="1:15" ht="15" customHeight="1" x14ac:dyDescent="0.3">
      <c r="A4681" s="23" t="s">
        <v>9828</v>
      </c>
      <c r="B4681" s="38">
        <v>46282</v>
      </c>
      <c r="C4681" s="23" t="s">
        <v>9829</v>
      </c>
      <c r="D4681" s="23" t="s">
        <v>94</v>
      </c>
      <c r="E4681" s="23" t="s">
        <v>79</v>
      </c>
      <c r="F4681" s="23" t="s">
        <v>262</v>
      </c>
      <c r="G4681" s="23" t="s">
        <v>365</v>
      </c>
      <c r="H4681" s="39">
        <f t="shared" si="292"/>
        <v>499</v>
      </c>
      <c r="I4681" s="23" t="str">
        <f t="shared" si="293"/>
        <v>Chennai</v>
      </c>
      <c r="J4681" s="23">
        <f>COUNTIFS(pg_transaction_cleaned!$O:$O,A4681,pg_transaction_cleaned!$F:$F,"CAPTURE")</f>
        <v>0</v>
      </c>
      <c r="K4681" s="39">
        <f>SUMIFS(pg_transaction_cleaned!$H:$H,pg_transaction_cleaned!$O:$O,A4681,pg_transaction_cleaned!$F:$F,"CAPTURE")</f>
        <v>0</v>
      </c>
      <c r="L4681" s="23">
        <f>COUNTIFS(pg_transaction_cleaned!$O:$O,A4681,pg_transaction_cleaned!$F:$F,"REFUND")</f>
        <v>0</v>
      </c>
      <c r="M4681" s="39">
        <f>SUMIFS(pg_transaction_cleaned!$H:$H,pg_transaction_cleaned!$O:$O,A4681,pg_transaction_cleaned!$F:$F,"REFUND")</f>
        <v>0</v>
      </c>
      <c r="N4681" s="23" t="str">
        <f t="shared" si="294"/>
        <v>OK</v>
      </c>
      <c r="O4681" s="24">
        <f t="shared" si="295"/>
        <v>0</v>
      </c>
    </row>
    <row r="4682" spans="1:15" ht="15" customHeight="1" x14ac:dyDescent="0.3">
      <c r="A4682" s="23" t="s">
        <v>9830</v>
      </c>
      <c r="B4682" s="38">
        <v>46285</v>
      </c>
      <c r="C4682" s="23" t="s">
        <v>9831</v>
      </c>
      <c r="D4682" s="23" t="s">
        <v>88</v>
      </c>
      <c r="E4682" s="23" t="s">
        <v>75</v>
      </c>
      <c r="F4682" s="23" t="s">
        <v>288</v>
      </c>
      <c r="G4682" s="23" t="s">
        <v>250</v>
      </c>
      <c r="H4682" s="39">
        <f t="shared" si="292"/>
        <v>4298</v>
      </c>
      <c r="I4682" s="23" t="str">
        <f t="shared" si="293"/>
        <v>Lucknow</v>
      </c>
      <c r="J4682" s="23">
        <f>COUNTIFS(pg_transaction_cleaned!$O:$O,A4682,pg_transaction_cleaned!$F:$F,"CAPTURE")</f>
        <v>1</v>
      </c>
      <c r="K4682" s="39">
        <f>SUMIFS(pg_transaction_cleaned!$H:$H,pg_transaction_cleaned!$O:$O,A4682,pg_transaction_cleaned!$F:$F,"CAPTURE")</f>
        <v>4298</v>
      </c>
      <c r="L4682" s="23">
        <f>COUNTIFS(pg_transaction_cleaned!$O:$O,A4682,pg_transaction_cleaned!$F:$F,"REFUND")</f>
        <v>0</v>
      </c>
      <c r="M4682" s="39">
        <f>SUMIFS(pg_transaction_cleaned!$H:$H,pg_transaction_cleaned!$O:$O,A4682,pg_transaction_cleaned!$F:$F,"REFUND")</f>
        <v>0</v>
      </c>
      <c r="N4682" s="23" t="str">
        <f t="shared" si="294"/>
        <v>OK</v>
      </c>
      <c r="O4682" s="24">
        <f t="shared" si="295"/>
        <v>0</v>
      </c>
    </row>
    <row r="4683" spans="1:15" ht="15" customHeight="1" x14ac:dyDescent="0.3">
      <c r="A4683" s="23" t="s">
        <v>9832</v>
      </c>
      <c r="B4683" s="38">
        <v>46283</v>
      </c>
      <c r="C4683" s="23" t="s">
        <v>9833</v>
      </c>
      <c r="D4683" s="23" t="s">
        <v>88</v>
      </c>
      <c r="E4683" s="23" t="s">
        <v>79</v>
      </c>
      <c r="F4683" s="23" t="s">
        <v>1047</v>
      </c>
      <c r="G4683" s="23" t="s">
        <v>301</v>
      </c>
      <c r="H4683" s="39">
        <f t="shared" si="292"/>
        <v>13597</v>
      </c>
      <c r="I4683" s="23" t="str">
        <f t="shared" si="293"/>
        <v>Lucknow</v>
      </c>
      <c r="J4683" s="23">
        <f>COUNTIFS(pg_transaction_cleaned!$O:$O,A4683,pg_transaction_cleaned!$F:$F,"CAPTURE")</f>
        <v>1</v>
      </c>
      <c r="K4683" s="39">
        <f>SUMIFS(pg_transaction_cleaned!$H:$H,pg_transaction_cleaned!$O:$O,A4683,pg_transaction_cleaned!$F:$F,"CAPTURE")</f>
        <v>13597</v>
      </c>
      <c r="L4683" s="23">
        <f>COUNTIFS(pg_transaction_cleaned!$O:$O,A4683,pg_transaction_cleaned!$F:$F,"REFUND")</f>
        <v>1</v>
      </c>
      <c r="M4683" s="39">
        <f>SUMIFS(pg_transaction_cleaned!$H:$H,pg_transaction_cleaned!$O:$O,A4683,pg_transaction_cleaned!$F:$F,"REFUND")</f>
        <v>13597</v>
      </c>
      <c r="N4683" s="23" t="str">
        <f t="shared" si="294"/>
        <v>OK</v>
      </c>
      <c r="O4683" s="24">
        <f t="shared" si="295"/>
        <v>0</v>
      </c>
    </row>
    <row r="4684" spans="1:15" ht="15" customHeight="1" x14ac:dyDescent="0.3">
      <c r="A4684" s="23" t="s">
        <v>9834</v>
      </c>
      <c r="B4684" s="38">
        <v>46279</v>
      </c>
      <c r="C4684" s="23" t="s">
        <v>9835</v>
      </c>
      <c r="D4684" s="23" t="s">
        <v>94</v>
      </c>
      <c r="E4684" s="23" t="s">
        <v>79</v>
      </c>
      <c r="F4684" s="23" t="s">
        <v>1448</v>
      </c>
      <c r="G4684" s="23" t="s">
        <v>250</v>
      </c>
      <c r="H4684" s="39">
        <f t="shared" si="292"/>
        <v>6297</v>
      </c>
      <c r="I4684" s="23" t="str">
        <f t="shared" si="293"/>
        <v>Chennai</v>
      </c>
      <c r="J4684" s="23">
        <f>COUNTIFS(pg_transaction_cleaned!$O:$O,A4684,pg_transaction_cleaned!$F:$F,"CAPTURE")</f>
        <v>1</v>
      </c>
      <c r="K4684" s="39">
        <f>SUMIFS(pg_transaction_cleaned!$H:$H,pg_transaction_cleaned!$O:$O,A4684,pg_transaction_cleaned!$F:$F,"CAPTURE")</f>
        <v>6297</v>
      </c>
      <c r="L4684" s="23">
        <f>COUNTIFS(pg_transaction_cleaned!$O:$O,A4684,pg_transaction_cleaned!$F:$F,"REFUND")</f>
        <v>0</v>
      </c>
      <c r="M4684" s="39">
        <f>SUMIFS(pg_transaction_cleaned!$H:$H,pg_transaction_cleaned!$O:$O,A4684,pg_transaction_cleaned!$F:$F,"REFUND")</f>
        <v>0</v>
      </c>
      <c r="N4684" s="23" t="str">
        <f t="shared" si="294"/>
        <v>OK</v>
      </c>
      <c r="O4684" s="24">
        <f t="shared" si="295"/>
        <v>0</v>
      </c>
    </row>
    <row r="4685" spans="1:15" ht="15" customHeight="1" x14ac:dyDescent="0.3">
      <c r="A4685" s="23" t="s">
        <v>9836</v>
      </c>
      <c r="B4685" s="38">
        <v>46273</v>
      </c>
      <c r="C4685" s="23" t="s">
        <v>9837</v>
      </c>
      <c r="D4685" s="23" t="s">
        <v>92</v>
      </c>
      <c r="E4685" s="23" t="s">
        <v>75</v>
      </c>
      <c r="F4685" s="23" t="s">
        <v>717</v>
      </c>
      <c r="G4685" s="23" t="s">
        <v>250</v>
      </c>
      <c r="H4685" s="39">
        <f t="shared" si="292"/>
        <v>5298</v>
      </c>
      <c r="I4685" s="23" t="str">
        <f t="shared" si="293"/>
        <v>Hyderabad</v>
      </c>
      <c r="J4685" s="23">
        <f>COUNTIFS(pg_transaction_cleaned!$O:$O,A4685,pg_transaction_cleaned!$F:$F,"CAPTURE")</f>
        <v>1</v>
      </c>
      <c r="K4685" s="39">
        <f>SUMIFS(pg_transaction_cleaned!$H:$H,pg_transaction_cleaned!$O:$O,A4685,pg_transaction_cleaned!$F:$F,"CAPTURE")</f>
        <v>5298</v>
      </c>
      <c r="L4685" s="23">
        <f>COUNTIFS(pg_transaction_cleaned!$O:$O,A4685,pg_transaction_cleaned!$F:$F,"REFUND")</f>
        <v>0</v>
      </c>
      <c r="M4685" s="39">
        <f>SUMIFS(pg_transaction_cleaned!$H:$H,pg_transaction_cleaned!$O:$O,A4685,pg_transaction_cleaned!$F:$F,"REFUND")</f>
        <v>0</v>
      </c>
      <c r="N4685" s="23" t="str">
        <f t="shared" si="294"/>
        <v>OK</v>
      </c>
      <c r="O4685" s="24">
        <f t="shared" si="295"/>
        <v>0</v>
      </c>
    </row>
    <row r="4686" spans="1:15" ht="15" customHeight="1" x14ac:dyDescent="0.3">
      <c r="A4686" s="23" t="s">
        <v>9838</v>
      </c>
      <c r="B4686" s="38">
        <v>46280</v>
      </c>
      <c r="C4686" s="23" t="s">
        <v>9839</v>
      </c>
      <c r="D4686" s="23" t="s">
        <v>86</v>
      </c>
      <c r="E4686" s="23" t="s">
        <v>75</v>
      </c>
      <c r="F4686" s="23" t="s">
        <v>1995</v>
      </c>
      <c r="G4686" s="23" t="s">
        <v>250</v>
      </c>
      <c r="H4686" s="39">
        <f t="shared" si="292"/>
        <v>6897</v>
      </c>
      <c r="I4686" s="23" t="str">
        <f t="shared" si="293"/>
        <v>Delhi</v>
      </c>
      <c r="J4686" s="23">
        <f>COUNTIFS(pg_transaction_cleaned!$O:$O,A4686,pg_transaction_cleaned!$F:$F,"CAPTURE")</f>
        <v>1</v>
      </c>
      <c r="K4686" s="39">
        <f>SUMIFS(pg_transaction_cleaned!$H:$H,pg_transaction_cleaned!$O:$O,A4686,pg_transaction_cleaned!$F:$F,"CAPTURE")</f>
        <v>6897</v>
      </c>
      <c r="L4686" s="23">
        <f>COUNTIFS(pg_transaction_cleaned!$O:$O,A4686,pg_transaction_cleaned!$F:$F,"REFUND")</f>
        <v>0</v>
      </c>
      <c r="M4686" s="39">
        <f>SUMIFS(pg_transaction_cleaned!$H:$H,pg_transaction_cleaned!$O:$O,A4686,pg_transaction_cleaned!$F:$F,"REFUND")</f>
        <v>0</v>
      </c>
      <c r="N4686" s="23" t="str">
        <f t="shared" si="294"/>
        <v>OK</v>
      </c>
      <c r="O4686" s="24">
        <f t="shared" si="295"/>
        <v>0</v>
      </c>
    </row>
    <row r="4687" spans="1:15" ht="15" customHeight="1" x14ac:dyDescent="0.3">
      <c r="A4687" s="23" t="s">
        <v>9840</v>
      </c>
      <c r="B4687" s="38">
        <v>46285</v>
      </c>
      <c r="C4687" s="23" t="s">
        <v>9841</v>
      </c>
      <c r="D4687" s="23" t="s">
        <v>93</v>
      </c>
      <c r="E4687" s="23" t="s">
        <v>77</v>
      </c>
      <c r="F4687" s="23" t="s">
        <v>553</v>
      </c>
      <c r="G4687" s="23" t="s">
        <v>250</v>
      </c>
      <c r="H4687" s="39">
        <f t="shared" si="292"/>
        <v>2798</v>
      </c>
      <c r="I4687" s="23" t="str">
        <f t="shared" si="293"/>
        <v>Kolkata</v>
      </c>
      <c r="J4687" s="23">
        <f>COUNTIFS(pg_transaction_cleaned!$O:$O,A4687,pg_transaction_cleaned!$F:$F,"CAPTURE")</f>
        <v>1</v>
      </c>
      <c r="K4687" s="39">
        <f>SUMIFS(pg_transaction_cleaned!$H:$H,pg_transaction_cleaned!$O:$O,A4687,pg_transaction_cleaned!$F:$F,"CAPTURE")</f>
        <v>2798</v>
      </c>
      <c r="L4687" s="23">
        <f>COUNTIFS(pg_transaction_cleaned!$O:$O,A4687,pg_transaction_cleaned!$F:$F,"REFUND")</f>
        <v>0</v>
      </c>
      <c r="M4687" s="39">
        <f>SUMIFS(pg_transaction_cleaned!$H:$H,pg_transaction_cleaned!$O:$O,A4687,pg_transaction_cleaned!$F:$F,"REFUND")</f>
        <v>0</v>
      </c>
      <c r="N4687" s="23" t="str">
        <f t="shared" si="294"/>
        <v>OK</v>
      </c>
      <c r="O4687" s="24">
        <f t="shared" si="295"/>
        <v>0</v>
      </c>
    </row>
    <row r="4688" spans="1:15" ht="15" customHeight="1" x14ac:dyDescent="0.3">
      <c r="A4688" s="23" t="s">
        <v>9842</v>
      </c>
      <c r="B4688" s="38">
        <v>46275</v>
      </c>
      <c r="C4688" s="23" t="s">
        <v>9843</v>
      </c>
      <c r="D4688" s="23" t="s">
        <v>86</v>
      </c>
      <c r="E4688" s="23" t="s">
        <v>79</v>
      </c>
      <c r="F4688" s="23" t="s">
        <v>423</v>
      </c>
      <c r="G4688" s="23" t="s">
        <v>250</v>
      </c>
      <c r="H4688" s="39">
        <f t="shared" si="292"/>
        <v>1648</v>
      </c>
      <c r="I4688" s="23" t="str">
        <f t="shared" si="293"/>
        <v>Delhi</v>
      </c>
      <c r="J4688" s="23">
        <f>COUNTIFS(pg_transaction_cleaned!$O:$O,A4688,pg_transaction_cleaned!$F:$F,"CAPTURE")</f>
        <v>1</v>
      </c>
      <c r="K4688" s="39">
        <f>SUMIFS(pg_transaction_cleaned!$H:$H,pg_transaction_cleaned!$O:$O,A4688,pg_transaction_cleaned!$F:$F,"CAPTURE")</f>
        <v>1648</v>
      </c>
      <c r="L4688" s="23">
        <f>COUNTIFS(pg_transaction_cleaned!$O:$O,A4688,pg_transaction_cleaned!$F:$F,"REFUND")</f>
        <v>0</v>
      </c>
      <c r="M4688" s="39">
        <f>SUMIFS(pg_transaction_cleaned!$H:$H,pg_transaction_cleaned!$O:$O,A4688,pg_transaction_cleaned!$F:$F,"REFUND")</f>
        <v>0</v>
      </c>
      <c r="N4688" s="23" t="str">
        <f t="shared" si="294"/>
        <v>OK</v>
      </c>
      <c r="O4688" s="24">
        <f t="shared" si="295"/>
        <v>0</v>
      </c>
    </row>
    <row r="4689" spans="1:15" ht="15" customHeight="1" x14ac:dyDescent="0.3">
      <c r="A4689" s="23" t="s">
        <v>9844</v>
      </c>
      <c r="B4689" s="38">
        <v>46280</v>
      </c>
      <c r="C4689" s="23" t="s">
        <v>9845</v>
      </c>
      <c r="D4689" s="23" t="s">
        <v>92</v>
      </c>
      <c r="E4689" s="23" t="s">
        <v>79</v>
      </c>
      <c r="F4689" s="23" t="s">
        <v>256</v>
      </c>
      <c r="G4689" s="23" t="s">
        <v>250</v>
      </c>
      <c r="H4689" s="39">
        <f t="shared" si="292"/>
        <v>2098</v>
      </c>
      <c r="I4689" s="23" t="str">
        <f t="shared" si="293"/>
        <v>Hyderabad</v>
      </c>
      <c r="J4689" s="23">
        <f>COUNTIFS(pg_transaction_cleaned!$O:$O,A4689,pg_transaction_cleaned!$F:$F,"CAPTURE")</f>
        <v>1</v>
      </c>
      <c r="K4689" s="39">
        <f>SUMIFS(pg_transaction_cleaned!$H:$H,pg_transaction_cleaned!$O:$O,A4689,pg_transaction_cleaned!$F:$F,"CAPTURE")</f>
        <v>2098</v>
      </c>
      <c r="L4689" s="23">
        <f>COUNTIFS(pg_transaction_cleaned!$O:$O,A4689,pg_transaction_cleaned!$F:$F,"REFUND")</f>
        <v>0</v>
      </c>
      <c r="M4689" s="39">
        <f>SUMIFS(pg_transaction_cleaned!$H:$H,pg_transaction_cleaned!$O:$O,A4689,pg_transaction_cleaned!$F:$F,"REFUND")</f>
        <v>0</v>
      </c>
      <c r="N4689" s="23" t="str">
        <f t="shared" si="294"/>
        <v>OK</v>
      </c>
      <c r="O4689" s="24">
        <f t="shared" si="295"/>
        <v>0</v>
      </c>
    </row>
    <row r="4690" spans="1:15" ht="15" customHeight="1" x14ac:dyDescent="0.3">
      <c r="A4690" s="23" t="s">
        <v>9846</v>
      </c>
      <c r="B4690" s="38">
        <v>46287</v>
      </c>
      <c r="C4690" s="23" t="s">
        <v>9847</v>
      </c>
      <c r="D4690" s="23" t="s">
        <v>91</v>
      </c>
      <c r="E4690" s="23" t="s">
        <v>75</v>
      </c>
      <c r="F4690" s="23" t="s">
        <v>291</v>
      </c>
      <c r="G4690" s="23" t="s">
        <v>365</v>
      </c>
      <c r="H4690" s="39">
        <f t="shared" si="292"/>
        <v>3499</v>
      </c>
      <c r="I4690" s="23" t="str">
        <f t="shared" si="293"/>
        <v>Pune</v>
      </c>
      <c r="J4690" s="23">
        <f>COUNTIFS(pg_transaction_cleaned!$O:$O,A4690,pg_transaction_cleaned!$F:$F,"CAPTURE")</f>
        <v>0</v>
      </c>
      <c r="K4690" s="39">
        <f>SUMIFS(pg_transaction_cleaned!$H:$H,pg_transaction_cleaned!$O:$O,A4690,pg_transaction_cleaned!$F:$F,"CAPTURE")</f>
        <v>0</v>
      </c>
      <c r="L4690" s="23">
        <f>COUNTIFS(pg_transaction_cleaned!$O:$O,A4690,pg_transaction_cleaned!$F:$F,"REFUND")</f>
        <v>0</v>
      </c>
      <c r="M4690" s="39">
        <f>SUMIFS(pg_transaction_cleaned!$H:$H,pg_transaction_cleaned!$O:$O,A4690,pg_transaction_cleaned!$F:$F,"REFUND")</f>
        <v>0</v>
      </c>
      <c r="N4690" s="23" t="str">
        <f t="shared" si="294"/>
        <v>OK</v>
      </c>
      <c r="O4690" s="24">
        <f t="shared" si="295"/>
        <v>0</v>
      </c>
    </row>
    <row r="4691" spans="1:15" ht="15" customHeight="1" x14ac:dyDescent="0.3">
      <c r="A4691" s="23" t="s">
        <v>9848</v>
      </c>
      <c r="B4691" s="38">
        <v>46278</v>
      </c>
      <c r="C4691" s="23" t="s">
        <v>9849</v>
      </c>
      <c r="D4691" s="23" t="s">
        <v>93</v>
      </c>
      <c r="E4691" s="23" t="s">
        <v>79</v>
      </c>
      <c r="F4691" s="23" t="s">
        <v>337</v>
      </c>
      <c r="G4691" s="23" t="s">
        <v>250</v>
      </c>
      <c r="H4691" s="39">
        <f t="shared" si="292"/>
        <v>3998</v>
      </c>
      <c r="I4691" s="23" t="str">
        <f t="shared" si="293"/>
        <v>Kolkata</v>
      </c>
      <c r="J4691" s="23">
        <f>COUNTIFS(pg_transaction_cleaned!$O:$O,A4691,pg_transaction_cleaned!$F:$F,"CAPTURE")</f>
        <v>1</v>
      </c>
      <c r="K4691" s="39">
        <f>SUMIFS(pg_transaction_cleaned!$H:$H,pg_transaction_cleaned!$O:$O,A4691,pg_transaction_cleaned!$F:$F,"CAPTURE")</f>
        <v>3998</v>
      </c>
      <c r="L4691" s="23">
        <f>COUNTIFS(pg_transaction_cleaned!$O:$O,A4691,pg_transaction_cleaned!$F:$F,"REFUND")</f>
        <v>0</v>
      </c>
      <c r="M4691" s="39">
        <f>SUMIFS(pg_transaction_cleaned!$H:$H,pg_transaction_cleaned!$O:$O,A4691,pg_transaction_cleaned!$F:$F,"REFUND")</f>
        <v>0</v>
      </c>
      <c r="N4691" s="23" t="str">
        <f t="shared" si="294"/>
        <v>OK</v>
      </c>
      <c r="O4691" s="24">
        <f t="shared" si="295"/>
        <v>0</v>
      </c>
    </row>
    <row r="4692" spans="1:15" ht="15" customHeight="1" x14ac:dyDescent="0.3">
      <c r="A4692" s="23" t="s">
        <v>9850</v>
      </c>
      <c r="B4692" s="38">
        <v>46280</v>
      </c>
      <c r="C4692" s="23" t="s">
        <v>9851</v>
      </c>
      <c r="D4692" s="23" t="s">
        <v>88</v>
      </c>
      <c r="E4692" s="23" t="s">
        <v>77</v>
      </c>
      <c r="F4692" s="23" t="s">
        <v>297</v>
      </c>
      <c r="G4692" s="23" t="s">
        <v>250</v>
      </c>
      <c r="H4692" s="39">
        <f t="shared" si="292"/>
        <v>4999</v>
      </c>
      <c r="I4692" s="23" t="str">
        <f t="shared" si="293"/>
        <v>Lucknow</v>
      </c>
      <c r="J4692" s="23">
        <f>COUNTIFS(pg_transaction_cleaned!$O:$O,A4692,pg_transaction_cleaned!$F:$F,"CAPTURE")</f>
        <v>1</v>
      </c>
      <c r="K4692" s="39">
        <f>SUMIFS(pg_transaction_cleaned!$H:$H,pg_transaction_cleaned!$O:$O,A4692,pg_transaction_cleaned!$F:$F,"CAPTURE")</f>
        <v>4999</v>
      </c>
      <c r="L4692" s="23">
        <f>COUNTIFS(pg_transaction_cleaned!$O:$O,A4692,pg_transaction_cleaned!$F:$F,"REFUND")</f>
        <v>0</v>
      </c>
      <c r="M4692" s="39">
        <f>SUMIFS(pg_transaction_cleaned!$H:$H,pg_transaction_cleaned!$O:$O,A4692,pg_transaction_cleaned!$F:$F,"REFUND")</f>
        <v>0</v>
      </c>
      <c r="N4692" s="23" t="str">
        <f t="shared" si="294"/>
        <v>OK</v>
      </c>
      <c r="O4692" s="24">
        <f t="shared" si="295"/>
        <v>0</v>
      </c>
    </row>
    <row r="4693" spans="1:15" ht="15" customHeight="1" x14ac:dyDescent="0.3">
      <c r="A4693" s="23" t="s">
        <v>9852</v>
      </c>
      <c r="B4693" s="38">
        <v>46272</v>
      </c>
      <c r="C4693" s="23" t="s">
        <v>9853</v>
      </c>
      <c r="D4693" s="23" t="s">
        <v>92</v>
      </c>
      <c r="E4693" s="23" t="s">
        <v>75</v>
      </c>
      <c r="F4693" s="23" t="s">
        <v>329</v>
      </c>
      <c r="G4693" s="23" t="s">
        <v>250</v>
      </c>
      <c r="H4693" s="39">
        <f t="shared" si="292"/>
        <v>599</v>
      </c>
      <c r="I4693" s="23" t="str">
        <f t="shared" si="293"/>
        <v>Hyderabad</v>
      </c>
      <c r="J4693" s="23">
        <f>COUNTIFS(pg_transaction_cleaned!$O:$O,A4693,pg_transaction_cleaned!$F:$F,"CAPTURE")</f>
        <v>1</v>
      </c>
      <c r="K4693" s="39">
        <f>SUMIFS(pg_transaction_cleaned!$H:$H,pg_transaction_cleaned!$O:$O,A4693,pg_transaction_cleaned!$F:$F,"CAPTURE")</f>
        <v>599</v>
      </c>
      <c r="L4693" s="23">
        <f>COUNTIFS(pg_transaction_cleaned!$O:$O,A4693,pg_transaction_cleaned!$F:$F,"REFUND")</f>
        <v>0</v>
      </c>
      <c r="M4693" s="39">
        <f>SUMIFS(pg_transaction_cleaned!$H:$H,pg_transaction_cleaned!$O:$O,A4693,pg_transaction_cleaned!$F:$F,"REFUND")</f>
        <v>0</v>
      </c>
      <c r="N4693" s="23" t="str">
        <f t="shared" si="294"/>
        <v>OK</v>
      </c>
      <c r="O4693" s="24">
        <f t="shared" si="295"/>
        <v>0</v>
      </c>
    </row>
    <row r="4694" spans="1:15" ht="15" customHeight="1" x14ac:dyDescent="0.3">
      <c r="A4694" s="23" t="s">
        <v>9854</v>
      </c>
      <c r="B4694" s="38">
        <v>46276</v>
      </c>
      <c r="C4694" s="23" t="s">
        <v>9855</v>
      </c>
      <c r="D4694" s="23" t="s">
        <v>94</v>
      </c>
      <c r="E4694" s="23" t="s">
        <v>79</v>
      </c>
      <c r="F4694" s="23" t="s">
        <v>291</v>
      </c>
      <c r="G4694" s="23" t="s">
        <v>250</v>
      </c>
      <c r="H4694" s="39">
        <f t="shared" si="292"/>
        <v>3499</v>
      </c>
      <c r="I4694" s="23" t="str">
        <f t="shared" si="293"/>
        <v>Chennai</v>
      </c>
      <c r="J4694" s="23">
        <f>COUNTIFS(pg_transaction_cleaned!$O:$O,A4694,pg_transaction_cleaned!$F:$F,"CAPTURE")</f>
        <v>1</v>
      </c>
      <c r="K4694" s="39">
        <f>SUMIFS(pg_transaction_cleaned!$H:$H,pg_transaction_cleaned!$O:$O,A4694,pg_transaction_cleaned!$F:$F,"CAPTURE")</f>
        <v>3499</v>
      </c>
      <c r="L4694" s="23">
        <f>COUNTIFS(pg_transaction_cleaned!$O:$O,A4694,pg_transaction_cleaned!$F:$F,"REFUND")</f>
        <v>0</v>
      </c>
      <c r="M4694" s="39">
        <f>SUMIFS(pg_transaction_cleaned!$H:$H,pg_transaction_cleaned!$O:$O,A4694,pg_transaction_cleaned!$F:$F,"REFUND")</f>
        <v>0</v>
      </c>
      <c r="N4694" s="23" t="str">
        <f t="shared" si="294"/>
        <v>OK</v>
      </c>
      <c r="O4694" s="24">
        <f t="shared" si="295"/>
        <v>0</v>
      </c>
    </row>
    <row r="4695" spans="1:15" ht="15" customHeight="1" x14ac:dyDescent="0.3">
      <c r="A4695" s="23" t="s">
        <v>9856</v>
      </c>
      <c r="B4695" s="38">
        <v>46271</v>
      </c>
      <c r="C4695" s="23" t="s">
        <v>9857</v>
      </c>
      <c r="D4695" s="23" t="s">
        <v>95</v>
      </c>
      <c r="E4695" s="23" t="s">
        <v>75</v>
      </c>
      <c r="F4695" s="23" t="s">
        <v>259</v>
      </c>
      <c r="G4695" s="23" t="s">
        <v>250</v>
      </c>
      <c r="H4695" s="39">
        <f t="shared" si="292"/>
        <v>3298</v>
      </c>
      <c r="I4695" s="23" t="str">
        <f t="shared" si="293"/>
        <v>Bengaluru</v>
      </c>
      <c r="J4695" s="23">
        <f>COUNTIFS(pg_transaction_cleaned!$O:$O,A4695,pg_transaction_cleaned!$F:$F,"CAPTURE")</f>
        <v>1</v>
      </c>
      <c r="K4695" s="39">
        <f>SUMIFS(pg_transaction_cleaned!$H:$H,pg_transaction_cleaned!$O:$O,A4695,pg_transaction_cleaned!$F:$F,"CAPTURE")</f>
        <v>3298</v>
      </c>
      <c r="L4695" s="23">
        <f>COUNTIFS(pg_transaction_cleaned!$O:$O,A4695,pg_transaction_cleaned!$F:$F,"REFUND")</f>
        <v>0</v>
      </c>
      <c r="M4695" s="39">
        <f>SUMIFS(pg_transaction_cleaned!$H:$H,pg_transaction_cleaned!$O:$O,A4695,pg_transaction_cleaned!$F:$F,"REFUND")</f>
        <v>0</v>
      </c>
      <c r="N4695" s="23" t="str">
        <f t="shared" si="294"/>
        <v>OK</v>
      </c>
      <c r="O4695" s="24">
        <f t="shared" si="295"/>
        <v>0</v>
      </c>
    </row>
    <row r="4696" spans="1:15" ht="15" customHeight="1" x14ac:dyDescent="0.3">
      <c r="A4696" s="23" t="s">
        <v>9858</v>
      </c>
      <c r="B4696" s="38">
        <v>46292</v>
      </c>
      <c r="C4696" s="23" t="s">
        <v>9859</v>
      </c>
      <c r="D4696" s="23" t="s">
        <v>92</v>
      </c>
      <c r="E4696" s="23" t="s">
        <v>77</v>
      </c>
      <c r="F4696" s="23" t="s">
        <v>632</v>
      </c>
      <c r="G4696" s="23" t="s">
        <v>250</v>
      </c>
      <c r="H4696" s="39">
        <f t="shared" si="292"/>
        <v>948</v>
      </c>
      <c r="I4696" s="23" t="str">
        <f t="shared" si="293"/>
        <v>Hyderabad</v>
      </c>
      <c r="J4696" s="23">
        <f>COUNTIFS(pg_transaction_cleaned!$O:$O,A4696,pg_transaction_cleaned!$F:$F,"CAPTURE")</f>
        <v>1</v>
      </c>
      <c r="K4696" s="39">
        <f>SUMIFS(pg_transaction_cleaned!$H:$H,pg_transaction_cleaned!$O:$O,A4696,pg_transaction_cleaned!$F:$F,"CAPTURE")</f>
        <v>948</v>
      </c>
      <c r="L4696" s="23">
        <f>COUNTIFS(pg_transaction_cleaned!$O:$O,A4696,pg_transaction_cleaned!$F:$F,"REFUND")</f>
        <v>0</v>
      </c>
      <c r="M4696" s="39">
        <f>SUMIFS(pg_transaction_cleaned!$H:$H,pg_transaction_cleaned!$O:$O,A4696,pg_transaction_cleaned!$F:$F,"REFUND")</f>
        <v>0</v>
      </c>
      <c r="N4696" s="23" t="str">
        <f t="shared" si="294"/>
        <v>OK</v>
      </c>
      <c r="O4696" s="24">
        <f t="shared" si="295"/>
        <v>0</v>
      </c>
    </row>
    <row r="4697" spans="1:15" ht="15" customHeight="1" x14ac:dyDescent="0.3">
      <c r="A4697" s="23" t="s">
        <v>9860</v>
      </c>
      <c r="B4697" s="38">
        <v>46276</v>
      </c>
      <c r="C4697" s="23" t="s">
        <v>9861</v>
      </c>
      <c r="D4697" s="23" t="s">
        <v>86</v>
      </c>
      <c r="E4697" s="23" t="s">
        <v>79</v>
      </c>
      <c r="F4697" s="23" t="s">
        <v>396</v>
      </c>
      <c r="G4697" s="23" t="s">
        <v>365</v>
      </c>
      <c r="H4697" s="39">
        <f t="shared" si="292"/>
        <v>2999</v>
      </c>
      <c r="I4697" s="23" t="str">
        <f t="shared" si="293"/>
        <v>Delhi</v>
      </c>
      <c r="J4697" s="23">
        <f>COUNTIFS(pg_transaction_cleaned!$O:$O,A4697,pg_transaction_cleaned!$F:$F,"CAPTURE")</f>
        <v>0</v>
      </c>
      <c r="K4697" s="39">
        <f>SUMIFS(pg_transaction_cleaned!$H:$H,pg_transaction_cleaned!$O:$O,A4697,pg_transaction_cleaned!$F:$F,"CAPTURE")</f>
        <v>0</v>
      </c>
      <c r="L4697" s="23">
        <f>COUNTIFS(pg_transaction_cleaned!$O:$O,A4697,pg_transaction_cleaned!$F:$F,"REFUND")</f>
        <v>0</v>
      </c>
      <c r="M4697" s="39">
        <f>SUMIFS(pg_transaction_cleaned!$H:$H,pg_transaction_cleaned!$O:$O,A4697,pg_transaction_cleaned!$F:$F,"REFUND")</f>
        <v>0</v>
      </c>
      <c r="N4697" s="23" t="str">
        <f t="shared" si="294"/>
        <v>OK</v>
      </c>
      <c r="O4697" s="24">
        <f t="shared" si="295"/>
        <v>0</v>
      </c>
    </row>
    <row r="4698" spans="1:15" ht="15" customHeight="1" x14ac:dyDescent="0.3">
      <c r="A4698" s="23" t="s">
        <v>9862</v>
      </c>
      <c r="B4698" s="38">
        <v>46273</v>
      </c>
      <c r="C4698" s="23" t="s">
        <v>9863</v>
      </c>
      <c r="D4698" s="23" t="s">
        <v>92</v>
      </c>
      <c r="E4698" s="23" t="s">
        <v>75</v>
      </c>
      <c r="F4698" s="23" t="s">
        <v>1769</v>
      </c>
      <c r="G4698" s="23" t="s">
        <v>250</v>
      </c>
      <c r="H4698" s="39">
        <f t="shared" si="292"/>
        <v>1148</v>
      </c>
      <c r="I4698" s="23" t="str">
        <f t="shared" si="293"/>
        <v>Hyderabad</v>
      </c>
      <c r="J4698" s="23">
        <f>COUNTIFS(pg_transaction_cleaned!$O:$O,A4698,pg_transaction_cleaned!$F:$F,"CAPTURE")</f>
        <v>1</v>
      </c>
      <c r="K4698" s="39">
        <f>SUMIFS(pg_transaction_cleaned!$H:$H,pg_transaction_cleaned!$O:$O,A4698,pg_transaction_cleaned!$F:$F,"CAPTURE")</f>
        <v>1148</v>
      </c>
      <c r="L4698" s="23">
        <f>COUNTIFS(pg_transaction_cleaned!$O:$O,A4698,pg_transaction_cleaned!$F:$F,"REFUND")</f>
        <v>0</v>
      </c>
      <c r="M4698" s="39">
        <f>SUMIFS(pg_transaction_cleaned!$H:$H,pg_transaction_cleaned!$O:$O,A4698,pg_transaction_cleaned!$F:$F,"REFUND")</f>
        <v>0</v>
      </c>
      <c r="N4698" s="23" t="str">
        <f t="shared" si="294"/>
        <v>OK</v>
      </c>
      <c r="O4698" s="24">
        <f t="shared" si="295"/>
        <v>0</v>
      </c>
    </row>
    <row r="4699" spans="1:15" ht="15" customHeight="1" x14ac:dyDescent="0.3">
      <c r="A4699" s="23" t="s">
        <v>9864</v>
      </c>
      <c r="B4699" s="38">
        <v>46266</v>
      </c>
      <c r="C4699" s="23" t="s">
        <v>9865</v>
      </c>
      <c r="D4699" s="23" t="s">
        <v>87</v>
      </c>
      <c r="E4699" s="23" t="s">
        <v>81</v>
      </c>
      <c r="F4699" s="23" t="s">
        <v>587</v>
      </c>
      <c r="G4699" s="23" t="s">
        <v>250</v>
      </c>
      <c r="H4699" s="39">
        <f t="shared" si="292"/>
        <v>5297</v>
      </c>
      <c r="I4699" s="23" t="str">
        <f t="shared" si="293"/>
        <v>Mumbai</v>
      </c>
      <c r="J4699" s="23">
        <f>COUNTIFS(pg_transaction_cleaned!$O:$O,A4699,pg_transaction_cleaned!$F:$F,"CAPTURE")</f>
        <v>1</v>
      </c>
      <c r="K4699" s="39">
        <f>SUMIFS(pg_transaction_cleaned!$H:$H,pg_transaction_cleaned!$O:$O,A4699,pg_transaction_cleaned!$F:$F,"CAPTURE")</f>
        <v>5297</v>
      </c>
      <c r="L4699" s="23">
        <f>COUNTIFS(pg_transaction_cleaned!$O:$O,A4699,pg_transaction_cleaned!$F:$F,"REFUND")</f>
        <v>0</v>
      </c>
      <c r="M4699" s="39">
        <f>SUMIFS(pg_transaction_cleaned!$H:$H,pg_transaction_cleaned!$O:$O,A4699,pg_transaction_cleaned!$F:$F,"REFUND")</f>
        <v>0</v>
      </c>
      <c r="N4699" s="23" t="str">
        <f t="shared" si="294"/>
        <v>OK</v>
      </c>
      <c r="O4699" s="24">
        <f t="shared" si="295"/>
        <v>0</v>
      </c>
    </row>
    <row r="4700" spans="1:15" ht="15" customHeight="1" x14ac:dyDescent="0.3">
      <c r="A4700" s="23" t="s">
        <v>9866</v>
      </c>
      <c r="B4700" s="38">
        <v>46273</v>
      </c>
      <c r="C4700" s="23" t="s">
        <v>9867</v>
      </c>
      <c r="D4700" s="23" t="s">
        <v>87</v>
      </c>
      <c r="E4700" s="23" t="s">
        <v>77</v>
      </c>
      <c r="F4700" s="23" t="s">
        <v>265</v>
      </c>
      <c r="G4700" s="23" t="s">
        <v>250</v>
      </c>
      <c r="H4700" s="39">
        <f t="shared" si="292"/>
        <v>999</v>
      </c>
      <c r="I4700" s="23" t="str">
        <f t="shared" si="293"/>
        <v>Mumbai</v>
      </c>
      <c r="J4700" s="23">
        <f>COUNTIFS(pg_transaction_cleaned!$O:$O,A4700,pg_transaction_cleaned!$F:$F,"CAPTURE")</f>
        <v>1</v>
      </c>
      <c r="K4700" s="39">
        <f>SUMIFS(pg_transaction_cleaned!$H:$H,pg_transaction_cleaned!$O:$O,A4700,pg_transaction_cleaned!$F:$F,"CAPTURE")</f>
        <v>999</v>
      </c>
      <c r="L4700" s="23">
        <f>COUNTIFS(pg_transaction_cleaned!$O:$O,A4700,pg_transaction_cleaned!$F:$F,"REFUND")</f>
        <v>0</v>
      </c>
      <c r="M4700" s="39">
        <f>SUMIFS(pg_transaction_cleaned!$H:$H,pg_transaction_cleaned!$O:$O,A4700,pg_transaction_cleaned!$F:$F,"REFUND")</f>
        <v>0</v>
      </c>
      <c r="N4700" s="23" t="str">
        <f t="shared" si="294"/>
        <v>OK</v>
      </c>
      <c r="O4700" s="24">
        <f t="shared" si="295"/>
        <v>0</v>
      </c>
    </row>
    <row r="4701" spans="1:15" ht="15" customHeight="1" x14ac:dyDescent="0.3">
      <c r="A4701" s="23" t="s">
        <v>9868</v>
      </c>
      <c r="B4701" s="38">
        <v>46270</v>
      </c>
      <c r="C4701" s="23" t="s">
        <v>9869</v>
      </c>
      <c r="D4701" s="23" t="s">
        <v>90</v>
      </c>
      <c r="E4701" s="23" t="s">
        <v>75</v>
      </c>
      <c r="F4701" s="23" t="s">
        <v>310</v>
      </c>
      <c r="G4701" s="23" t="s">
        <v>250</v>
      </c>
      <c r="H4701" s="39">
        <f t="shared" si="292"/>
        <v>7999</v>
      </c>
      <c r="I4701" s="23" t="str">
        <f t="shared" si="293"/>
        <v>Ahmedabad</v>
      </c>
      <c r="J4701" s="23">
        <f>COUNTIFS(pg_transaction_cleaned!$O:$O,A4701,pg_transaction_cleaned!$F:$F,"CAPTURE")</f>
        <v>1</v>
      </c>
      <c r="K4701" s="39">
        <f>SUMIFS(pg_transaction_cleaned!$H:$H,pg_transaction_cleaned!$O:$O,A4701,pg_transaction_cleaned!$F:$F,"CAPTURE")</f>
        <v>7999</v>
      </c>
      <c r="L4701" s="23">
        <f>COUNTIFS(pg_transaction_cleaned!$O:$O,A4701,pg_transaction_cleaned!$F:$F,"REFUND")</f>
        <v>0</v>
      </c>
      <c r="M4701" s="39">
        <f>SUMIFS(pg_transaction_cleaned!$H:$H,pg_transaction_cleaned!$O:$O,A4701,pg_transaction_cleaned!$F:$F,"REFUND")</f>
        <v>0</v>
      </c>
      <c r="N4701" s="23" t="str">
        <f t="shared" si="294"/>
        <v>OK</v>
      </c>
      <c r="O4701" s="24">
        <f t="shared" si="295"/>
        <v>0</v>
      </c>
    </row>
    <row r="4702" spans="1:15" ht="15" customHeight="1" x14ac:dyDescent="0.3">
      <c r="A4702" s="23" t="s">
        <v>9870</v>
      </c>
      <c r="B4702" s="38">
        <v>46288</v>
      </c>
      <c r="C4702" s="23" t="s">
        <v>9871</v>
      </c>
      <c r="D4702" s="23" t="s">
        <v>87</v>
      </c>
      <c r="E4702" s="23" t="s">
        <v>75</v>
      </c>
      <c r="F4702" s="23" t="s">
        <v>265</v>
      </c>
      <c r="G4702" s="23" t="s">
        <v>318</v>
      </c>
      <c r="H4702" s="39">
        <f t="shared" si="292"/>
        <v>999</v>
      </c>
      <c r="I4702" s="23" t="str">
        <f t="shared" si="293"/>
        <v>Mumbai</v>
      </c>
      <c r="J4702" s="23">
        <f>COUNTIFS(pg_transaction_cleaned!$O:$O,A4702,pg_transaction_cleaned!$F:$F,"CAPTURE")</f>
        <v>0</v>
      </c>
      <c r="K4702" s="39">
        <f>SUMIFS(pg_transaction_cleaned!$H:$H,pg_transaction_cleaned!$O:$O,A4702,pg_transaction_cleaned!$F:$F,"CAPTURE")</f>
        <v>0</v>
      </c>
      <c r="L4702" s="23">
        <f>COUNTIFS(pg_transaction_cleaned!$O:$O,A4702,pg_transaction_cleaned!$F:$F,"REFUND")</f>
        <v>0</v>
      </c>
      <c r="M4702" s="39">
        <f>SUMIFS(pg_transaction_cleaned!$H:$H,pg_transaction_cleaned!$O:$O,A4702,pg_transaction_cleaned!$F:$F,"REFUND")</f>
        <v>0</v>
      </c>
      <c r="N4702" s="23" t="str">
        <f t="shared" si="294"/>
        <v>OK</v>
      </c>
      <c r="O4702" s="24">
        <f t="shared" si="295"/>
        <v>0</v>
      </c>
    </row>
    <row r="4703" spans="1:15" ht="15" customHeight="1" x14ac:dyDescent="0.3">
      <c r="A4703" s="23" t="s">
        <v>9872</v>
      </c>
      <c r="B4703" s="38">
        <v>46291</v>
      </c>
      <c r="C4703" s="23" t="s">
        <v>9873</v>
      </c>
      <c r="D4703" s="23" t="s">
        <v>86</v>
      </c>
      <c r="E4703" s="23" t="s">
        <v>75</v>
      </c>
      <c r="F4703" s="23" t="s">
        <v>307</v>
      </c>
      <c r="G4703" s="23" t="s">
        <v>301</v>
      </c>
      <c r="H4703" s="39">
        <f t="shared" si="292"/>
        <v>3798</v>
      </c>
      <c r="I4703" s="23" t="str">
        <f t="shared" si="293"/>
        <v>Delhi</v>
      </c>
      <c r="J4703" s="23">
        <f>COUNTIFS(pg_transaction_cleaned!$O:$O,A4703,pg_transaction_cleaned!$F:$F,"CAPTURE")</f>
        <v>1</v>
      </c>
      <c r="K4703" s="39">
        <f>SUMIFS(pg_transaction_cleaned!$H:$H,pg_transaction_cleaned!$O:$O,A4703,pg_transaction_cleaned!$F:$F,"CAPTURE")</f>
        <v>3798</v>
      </c>
      <c r="L4703" s="23">
        <f>COUNTIFS(pg_transaction_cleaned!$O:$O,A4703,pg_transaction_cleaned!$F:$F,"REFUND")</f>
        <v>1</v>
      </c>
      <c r="M4703" s="39">
        <f>SUMIFS(pg_transaction_cleaned!$H:$H,pg_transaction_cleaned!$O:$O,A4703,pg_transaction_cleaned!$F:$F,"REFUND")</f>
        <v>3798</v>
      </c>
      <c r="N4703" s="23" t="str">
        <f t="shared" si="294"/>
        <v>OK</v>
      </c>
      <c r="O4703" s="24">
        <f t="shared" si="295"/>
        <v>0</v>
      </c>
    </row>
    <row r="4704" spans="1:15" ht="15" customHeight="1" x14ac:dyDescent="0.3">
      <c r="A4704" s="23" t="s">
        <v>9874</v>
      </c>
      <c r="B4704" s="38">
        <v>46294</v>
      </c>
      <c r="C4704" s="23" t="s">
        <v>9875</v>
      </c>
      <c r="D4704" s="23" t="s">
        <v>91</v>
      </c>
      <c r="E4704" s="23" t="s">
        <v>75</v>
      </c>
      <c r="F4704" s="23" t="s">
        <v>283</v>
      </c>
      <c r="G4704" s="23" t="s">
        <v>250</v>
      </c>
      <c r="H4704" s="39">
        <f t="shared" si="292"/>
        <v>13997</v>
      </c>
      <c r="I4704" s="23" t="str">
        <f t="shared" si="293"/>
        <v>Pune</v>
      </c>
      <c r="J4704" s="23">
        <f>COUNTIFS(pg_transaction_cleaned!$O:$O,A4704,pg_transaction_cleaned!$F:$F,"CAPTURE")</f>
        <v>1</v>
      </c>
      <c r="K4704" s="39">
        <f>SUMIFS(pg_transaction_cleaned!$H:$H,pg_transaction_cleaned!$O:$O,A4704,pg_transaction_cleaned!$F:$F,"CAPTURE")</f>
        <v>13997</v>
      </c>
      <c r="L4704" s="23">
        <f>COUNTIFS(pg_transaction_cleaned!$O:$O,A4704,pg_transaction_cleaned!$F:$F,"REFUND")</f>
        <v>0</v>
      </c>
      <c r="M4704" s="39">
        <f>SUMIFS(pg_transaction_cleaned!$H:$H,pg_transaction_cleaned!$O:$O,A4704,pg_transaction_cleaned!$F:$F,"REFUND")</f>
        <v>0</v>
      </c>
      <c r="N4704" s="23" t="str">
        <f t="shared" si="294"/>
        <v>OK</v>
      </c>
      <c r="O4704" s="24">
        <f t="shared" si="295"/>
        <v>0</v>
      </c>
    </row>
    <row r="4705" spans="1:15" ht="15" customHeight="1" x14ac:dyDescent="0.3">
      <c r="A4705" s="23" t="s">
        <v>9876</v>
      </c>
      <c r="B4705" s="38">
        <v>46268</v>
      </c>
      <c r="C4705" s="23" t="s">
        <v>9877</v>
      </c>
      <c r="D4705" s="23" t="s">
        <v>86</v>
      </c>
      <c r="E4705" s="23" t="s">
        <v>75</v>
      </c>
      <c r="F4705" s="23" t="s">
        <v>483</v>
      </c>
      <c r="G4705" s="23" t="s">
        <v>250</v>
      </c>
      <c r="H4705" s="39">
        <f t="shared" si="292"/>
        <v>2998</v>
      </c>
      <c r="I4705" s="23" t="str">
        <f t="shared" si="293"/>
        <v>Delhi</v>
      </c>
      <c r="J4705" s="23">
        <f>COUNTIFS(pg_transaction_cleaned!$O:$O,A4705,pg_transaction_cleaned!$F:$F,"CAPTURE")</f>
        <v>1</v>
      </c>
      <c r="K4705" s="39">
        <f>SUMIFS(pg_transaction_cleaned!$H:$H,pg_transaction_cleaned!$O:$O,A4705,pg_transaction_cleaned!$F:$F,"CAPTURE")</f>
        <v>2998</v>
      </c>
      <c r="L4705" s="23">
        <f>COUNTIFS(pg_transaction_cleaned!$O:$O,A4705,pg_transaction_cleaned!$F:$F,"REFUND")</f>
        <v>0</v>
      </c>
      <c r="M4705" s="39">
        <f>SUMIFS(pg_transaction_cleaned!$H:$H,pg_transaction_cleaned!$O:$O,A4705,pg_transaction_cleaned!$F:$F,"REFUND")</f>
        <v>0</v>
      </c>
      <c r="N4705" s="23" t="str">
        <f t="shared" si="294"/>
        <v>OK</v>
      </c>
      <c r="O4705" s="24">
        <f t="shared" si="295"/>
        <v>0</v>
      </c>
    </row>
    <row r="4706" spans="1:15" ht="15" customHeight="1" x14ac:dyDescent="0.3">
      <c r="A4706" s="23" t="s">
        <v>9878</v>
      </c>
      <c r="B4706" s="38">
        <v>46276</v>
      </c>
      <c r="C4706" s="23" t="s">
        <v>9879</v>
      </c>
      <c r="D4706" s="23" t="s">
        <v>89</v>
      </c>
      <c r="E4706" s="23" t="s">
        <v>75</v>
      </c>
      <c r="F4706" s="23" t="s">
        <v>294</v>
      </c>
      <c r="G4706" s="23" t="s">
        <v>250</v>
      </c>
      <c r="H4706" s="39">
        <f t="shared" si="292"/>
        <v>1799</v>
      </c>
      <c r="I4706" s="23" t="str">
        <f t="shared" si="293"/>
        <v>Jaipur</v>
      </c>
      <c r="J4706" s="23">
        <f>COUNTIFS(pg_transaction_cleaned!$O:$O,A4706,pg_transaction_cleaned!$F:$F,"CAPTURE")</f>
        <v>1</v>
      </c>
      <c r="K4706" s="39">
        <f>SUMIFS(pg_transaction_cleaned!$H:$H,pg_transaction_cleaned!$O:$O,A4706,pg_transaction_cleaned!$F:$F,"CAPTURE")</f>
        <v>1799</v>
      </c>
      <c r="L4706" s="23">
        <f>COUNTIFS(pg_transaction_cleaned!$O:$O,A4706,pg_transaction_cleaned!$F:$F,"REFUND")</f>
        <v>0</v>
      </c>
      <c r="M4706" s="39">
        <f>SUMIFS(pg_transaction_cleaned!$H:$H,pg_transaction_cleaned!$O:$O,A4706,pg_transaction_cleaned!$F:$F,"REFUND")</f>
        <v>0</v>
      </c>
      <c r="N4706" s="23" t="str">
        <f t="shared" si="294"/>
        <v>OK</v>
      </c>
      <c r="O4706" s="24">
        <f t="shared" si="295"/>
        <v>0</v>
      </c>
    </row>
    <row r="4707" spans="1:15" ht="15" customHeight="1" x14ac:dyDescent="0.3">
      <c r="A4707" s="23" t="s">
        <v>9880</v>
      </c>
      <c r="B4707" s="38">
        <v>46268</v>
      </c>
      <c r="C4707" s="23" t="s">
        <v>9881</v>
      </c>
      <c r="D4707" s="23" t="s">
        <v>87</v>
      </c>
      <c r="E4707" s="23" t="s">
        <v>77</v>
      </c>
      <c r="F4707" s="23" t="s">
        <v>2730</v>
      </c>
      <c r="G4707" s="23" t="s">
        <v>250</v>
      </c>
      <c r="H4707" s="39">
        <f t="shared" si="292"/>
        <v>8348</v>
      </c>
      <c r="I4707" s="23" t="str">
        <f t="shared" si="293"/>
        <v>Mumbai</v>
      </c>
      <c r="J4707" s="23">
        <f>COUNTIFS(pg_transaction_cleaned!$O:$O,A4707,pg_transaction_cleaned!$F:$F,"CAPTURE")</f>
        <v>1</v>
      </c>
      <c r="K4707" s="39">
        <f>SUMIFS(pg_transaction_cleaned!$H:$H,pg_transaction_cleaned!$O:$O,A4707,pg_transaction_cleaned!$F:$F,"CAPTURE")</f>
        <v>8348</v>
      </c>
      <c r="L4707" s="23">
        <f>COUNTIFS(pg_transaction_cleaned!$O:$O,A4707,pg_transaction_cleaned!$F:$F,"REFUND")</f>
        <v>0</v>
      </c>
      <c r="M4707" s="39">
        <f>SUMIFS(pg_transaction_cleaned!$H:$H,pg_transaction_cleaned!$O:$O,A4707,pg_transaction_cleaned!$F:$F,"REFUND")</f>
        <v>0</v>
      </c>
      <c r="N4707" s="23" t="str">
        <f t="shared" si="294"/>
        <v>OK</v>
      </c>
      <c r="O4707" s="24">
        <f t="shared" si="295"/>
        <v>0</v>
      </c>
    </row>
    <row r="4708" spans="1:15" ht="15" customHeight="1" x14ac:dyDescent="0.3">
      <c r="A4708" s="23" t="s">
        <v>9882</v>
      </c>
      <c r="B4708" s="38">
        <v>46277</v>
      </c>
      <c r="C4708" s="23" t="s">
        <v>9883</v>
      </c>
      <c r="D4708" s="23" t="s">
        <v>91</v>
      </c>
      <c r="E4708" s="23" t="s">
        <v>79</v>
      </c>
      <c r="F4708" s="23" t="s">
        <v>1601</v>
      </c>
      <c r="G4708" s="23" t="s">
        <v>250</v>
      </c>
      <c r="H4708" s="39">
        <f t="shared" si="292"/>
        <v>7597</v>
      </c>
      <c r="I4708" s="23" t="str">
        <f t="shared" si="293"/>
        <v>Pune</v>
      </c>
      <c r="J4708" s="23">
        <f>COUNTIFS(pg_transaction_cleaned!$O:$O,A4708,pg_transaction_cleaned!$F:$F,"CAPTURE")</f>
        <v>1</v>
      </c>
      <c r="K4708" s="39">
        <f>SUMIFS(pg_transaction_cleaned!$H:$H,pg_transaction_cleaned!$O:$O,A4708,pg_transaction_cleaned!$F:$F,"CAPTURE")</f>
        <v>7597</v>
      </c>
      <c r="L4708" s="23">
        <f>COUNTIFS(pg_transaction_cleaned!$O:$O,A4708,pg_transaction_cleaned!$F:$F,"REFUND")</f>
        <v>0</v>
      </c>
      <c r="M4708" s="39">
        <f>SUMIFS(pg_transaction_cleaned!$H:$H,pg_transaction_cleaned!$O:$O,A4708,pg_transaction_cleaned!$F:$F,"REFUND")</f>
        <v>0</v>
      </c>
      <c r="N4708" s="23" t="str">
        <f t="shared" si="294"/>
        <v>OK</v>
      </c>
      <c r="O4708" s="24">
        <f t="shared" si="295"/>
        <v>0</v>
      </c>
    </row>
    <row r="4709" spans="1:15" ht="15" customHeight="1" x14ac:dyDescent="0.3">
      <c r="A4709" s="23" t="s">
        <v>9884</v>
      </c>
      <c r="B4709" s="38">
        <v>46285</v>
      </c>
      <c r="C4709" s="23" t="s">
        <v>9885</v>
      </c>
      <c r="D4709" s="23" t="s">
        <v>94</v>
      </c>
      <c r="E4709" s="23" t="s">
        <v>75</v>
      </c>
      <c r="F4709" s="23" t="s">
        <v>1098</v>
      </c>
      <c r="G4709" s="23" t="s">
        <v>250</v>
      </c>
      <c r="H4709" s="39">
        <f t="shared" si="292"/>
        <v>9847</v>
      </c>
      <c r="I4709" s="23" t="str">
        <f t="shared" si="293"/>
        <v>Chennai</v>
      </c>
      <c r="J4709" s="23">
        <f>COUNTIFS(pg_transaction_cleaned!$O:$O,A4709,pg_transaction_cleaned!$F:$F,"CAPTURE")</f>
        <v>1</v>
      </c>
      <c r="K4709" s="39">
        <f>SUMIFS(pg_transaction_cleaned!$H:$H,pg_transaction_cleaned!$O:$O,A4709,pg_transaction_cleaned!$F:$F,"CAPTURE")</f>
        <v>9847</v>
      </c>
      <c r="L4709" s="23">
        <f>COUNTIFS(pg_transaction_cleaned!$O:$O,A4709,pg_transaction_cleaned!$F:$F,"REFUND")</f>
        <v>0</v>
      </c>
      <c r="M4709" s="39">
        <f>SUMIFS(pg_transaction_cleaned!$H:$H,pg_transaction_cleaned!$O:$O,A4709,pg_transaction_cleaned!$F:$F,"REFUND")</f>
        <v>0</v>
      </c>
      <c r="N4709" s="23" t="str">
        <f t="shared" si="294"/>
        <v>OK</v>
      </c>
      <c r="O4709" s="24">
        <f t="shared" si="295"/>
        <v>0</v>
      </c>
    </row>
    <row r="4710" spans="1:15" ht="15" customHeight="1" x14ac:dyDescent="0.3">
      <c r="A4710" s="23" t="s">
        <v>9886</v>
      </c>
      <c r="B4710" s="38">
        <v>46281</v>
      </c>
      <c r="C4710" s="23" t="s">
        <v>9887</v>
      </c>
      <c r="D4710" s="23" t="s">
        <v>86</v>
      </c>
      <c r="E4710" s="23" t="s">
        <v>75</v>
      </c>
      <c r="F4710" s="23" t="s">
        <v>268</v>
      </c>
      <c r="G4710" s="23" t="s">
        <v>250</v>
      </c>
      <c r="H4710" s="39">
        <f t="shared" si="292"/>
        <v>1299</v>
      </c>
      <c r="I4710" s="23" t="str">
        <f t="shared" si="293"/>
        <v>Delhi</v>
      </c>
      <c r="J4710" s="23">
        <f>COUNTIFS(pg_transaction_cleaned!$O:$O,A4710,pg_transaction_cleaned!$F:$F,"CAPTURE")</f>
        <v>1</v>
      </c>
      <c r="K4710" s="39">
        <f>SUMIFS(pg_transaction_cleaned!$H:$H,pg_transaction_cleaned!$O:$O,A4710,pg_transaction_cleaned!$F:$F,"CAPTURE")</f>
        <v>1299</v>
      </c>
      <c r="L4710" s="23">
        <f>COUNTIFS(pg_transaction_cleaned!$O:$O,A4710,pg_transaction_cleaned!$F:$F,"REFUND")</f>
        <v>0</v>
      </c>
      <c r="M4710" s="39">
        <f>SUMIFS(pg_transaction_cleaned!$H:$H,pg_transaction_cleaned!$O:$O,A4710,pg_transaction_cleaned!$F:$F,"REFUND")</f>
        <v>0</v>
      </c>
      <c r="N4710" s="23" t="str">
        <f t="shared" si="294"/>
        <v>OK</v>
      </c>
      <c r="O4710" s="24">
        <f t="shared" si="295"/>
        <v>0</v>
      </c>
    </row>
    <row r="4711" spans="1:15" ht="15" customHeight="1" x14ac:dyDescent="0.3">
      <c r="A4711" s="23" t="s">
        <v>9888</v>
      </c>
      <c r="B4711" s="38">
        <v>46274</v>
      </c>
      <c r="C4711" s="23" t="s">
        <v>9889</v>
      </c>
      <c r="D4711" s="23" t="s">
        <v>86</v>
      </c>
      <c r="E4711" s="23" t="s">
        <v>75</v>
      </c>
      <c r="F4711" s="23" t="s">
        <v>1367</v>
      </c>
      <c r="G4711" s="23" t="s">
        <v>250</v>
      </c>
      <c r="H4711" s="39">
        <f t="shared" si="292"/>
        <v>898</v>
      </c>
      <c r="I4711" s="23" t="str">
        <f t="shared" si="293"/>
        <v>Delhi</v>
      </c>
      <c r="J4711" s="23">
        <f>COUNTIFS(pg_transaction_cleaned!$O:$O,A4711,pg_transaction_cleaned!$F:$F,"CAPTURE")</f>
        <v>1</v>
      </c>
      <c r="K4711" s="39">
        <f>SUMIFS(pg_transaction_cleaned!$H:$H,pg_transaction_cleaned!$O:$O,A4711,pg_transaction_cleaned!$F:$F,"CAPTURE")</f>
        <v>898</v>
      </c>
      <c r="L4711" s="23">
        <f>COUNTIFS(pg_transaction_cleaned!$O:$O,A4711,pg_transaction_cleaned!$F:$F,"REFUND")</f>
        <v>0</v>
      </c>
      <c r="M4711" s="39">
        <f>SUMIFS(pg_transaction_cleaned!$H:$H,pg_transaction_cleaned!$O:$O,A4711,pg_transaction_cleaned!$F:$F,"REFUND")</f>
        <v>0</v>
      </c>
      <c r="N4711" s="23" t="str">
        <f t="shared" si="294"/>
        <v>OK</v>
      </c>
      <c r="O4711" s="24">
        <f t="shared" si="295"/>
        <v>0</v>
      </c>
    </row>
    <row r="4712" spans="1:15" ht="15" customHeight="1" x14ac:dyDescent="0.3">
      <c r="A4712" s="23" t="s">
        <v>9890</v>
      </c>
      <c r="B4712" s="38">
        <v>46293</v>
      </c>
      <c r="C4712" s="23" t="s">
        <v>9891</v>
      </c>
      <c r="D4712" s="23" t="s">
        <v>93</v>
      </c>
      <c r="E4712" s="23" t="s">
        <v>75</v>
      </c>
      <c r="F4712" s="23" t="s">
        <v>396</v>
      </c>
      <c r="G4712" s="23" t="s">
        <v>250</v>
      </c>
      <c r="H4712" s="39">
        <f t="shared" si="292"/>
        <v>2999</v>
      </c>
      <c r="I4712" s="23" t="str">
        <f t="shared" si="293"/>
        <v>Kolkata</v>
      </c>
      <c r="J4712" s="23">
        <f>COUNTIFS(pg_transaction_cleaned!$O:$O,A4712,pg_transaction_cleaned!$F:$F,"CAPTURE")</f>
        <v>0</v>
      </c>
      <c r="K4712" s="39">
        <f>SUMIFS(pg_transaction_cleaned!$H:$H,pg_transaction_cleaned!$O:$O,A4712,pg_transaction_cleaned!$F:$F,"CAPTURE")</f>
        <v>0</v>
      </c>
      <c r="L4712" s="23">
        <f>COUNTIFS(pg_transaction_cleaned!$O:$O,A4712,pg_transaction_cleaned!$F:$F,"REFUND")</f>
        <v>0</v>
      </c>
      <c r="M4712" s="39">
        <f>SUMIFS(pg_transaction_cleaned!$H:$H,pg_transaction_cleaned!$O:$O,A4712,pg_transaction_cleaned!$F:$F,"REFUND")</f>
        <v>0</v>
      </c>
      <c r="N4712" s="23" t="str">
        <f t="shared" si="294"/>
        <v>Paid, no payment</v>
      </c>
      <c r="O4712" s="24">
        <f t="shared" si="295"/>
        <v>2999</v>
      </c>
    </row>
    <row r="4713" spans="1:15" ht="15" customHeight="1" x14ac:dyDescent="0.3">
      <c r="A4713" s="23" t="s">
        <v>9892</v>
      </c>
      <c r="B4713" s="38">
        <v>46273</v>
      </c>
      <c r="C4713" s="23" t="s">
        <v>4712</v>
      </c>
      <c r="D4713" s="23" t="s">
        <v>93</v>
      </c>
      <c r="E4713" s="23" t="s">
        <v>79</v>
      </c>
      <c r="F4713" s="23" t="s">
        <v>262</v>
      </c>
      <c r="G4713" s="23" t="s">
        <v>250</v>
      </c>
      <c r="H4713" s="39">
        <f t="shared" si="292"/>
        <v>499</v>
      </c>
      <c r="I4713" s="23" t="str">
        <f t="shared" si="293"/>
        <v>Kolkata</v>
      </c>
      <c r="J4713" s="23">
        <f>COUNTIFS(pg_transaction_cleaned!$O:$O,A4713,pg_transaction_cleaned!$F:$F,"CAPTURE")</f>
        <v>1</v>
      </c>
      <c r="K4713" s="39">
        <f>SUMIFS(pg_transaction_cleaned!$H:$H,pg_transaction_cleaned!$O:$O,A4713,pg_transaction_cleaned!$F:$F,"CAPTURE")</f>
        <v>499</v>
      </c>
      <c r="L4713" s="23">
        <f>COUNTIFS(pg_transaction_cleaned!$O:$O,A4713,pg_transaction_cleaned!$F:$F,"REFUND")</f>
        <v>0</v>
      </c>
      <c r="M4713" s="39">
        <f>SUMIFS(pg_transaction_cleaned!$H:$H,pg_transaction_cleaned!$O:$O,A4713,pg_transaction_cleaned!$F:$F,"REFUND")</f>
        <v>0</v>
      </c>
      <c r="N4713" s="23" t="str">
        <f t="shared" si="294"/>
        <v>OK</v>
      </c>
      <c r="O4713" s="24">
        <f t="shared" si="295"/>
        <v>0</v>
      </c>
    </row>
    <row r="4714" spans="1:15" ht="15" customHeight="1" x14ac:dyDescent="0.3">
      <c r="A4714" s="23" t="s">
        <v>9893</v>
      </c>
      <c r="B4714" s="38">
        <v>46268</v>
      </c>
      <c r="C4714" s="23" t="s">
        <v>9894</v>
      </c>
      <c r="D4714" s="23" t="s">
        <v>89</v>
      </c>
      <c r="E4714" s="23" t="s">
        <v>75</v>
      </c>
      <c r="F4714" s="23" t="s">
        <v>249</v>
      </c>
      <c r="G4714" s="23" t="s">
        <v>250</v>
      </c>
      <c r="H4714" s="39">
        <f t="shared" si="292"/>
        <v>299</v>
      </c>
      <c r="I4714" s="23" t="str">
        <f t="shared" si="293"/>
        <v>Jaipur</v>
      </c>
      <c r="J4714" s="23">
        <f>COUNTIFS(pg_transaction_cleaned!$O:$O,A4714,pg_transaction_cleaned!$F:$F,"CAPTURE")</f>
        <v>1</v>
      </c>
      <c r="K4714" s="39">
        <f>SUMIFS(pg_transaction_cleaned!$H:$H,pg_transaction_cleaned!$O:$O,A4714,pg_transaction_cleaned!$F:$F,"CAPTURE")</f>
        <v>299</v>
      </c>
      <c r="L4714" s="23">
        <f>COUNTIFS(pg_transaction_cleaned!$O:$O,A4714,pg_transaction_cleaned!$F:$F,"REFUND")</f>
        <v>0</v>
      </c>
      <c r="M4714" s="39">
        <f>SUMIFS(pg_transaction_cleaned!$H:$H,pg_transaction_cleaned!$O:$O,A4714,pg_transaction_cleaned!$F:$F,"REFUND")</f>
        <v>0</v>
      </c>
      <c r="N4714" s="23" t="str">
        <f t="shared" si="294"/>
        <v>OK</v>
      </c>
      <c r="O4714" s="24">
        <f t="shared" si="295"/>
        <v>0</v>
      </c>
    </row>
    <row r="4715" spans="1:15" ht="15" customHeight="1" x14ac:dyDescent="0.3">
      <c r="A4715" s="23" t="s">
        <v>9895</v>
      </c>
      <c r="B4715" s="38">
        <v>46287</v>
      </c>
      <c r="C4715" s="23" t="s">
        <v>9896</v>
      </c>
      <c r="D4715" s="23" t="s">
        <v>90</v>
      </c>
      <c r="E4715" s="23" t="s">
        <v>79</v>
      </c>
      <c r="F4715" s="23" t="s">
        <v>426</v>
      </c>
      <c r="G4715" s="23" t="s">
        <v>250</v>
      </c>
      <c r="H4715" s="39">
        <f t="shared" si="292"/>
        <v>6798</v>
      </c>
      <c r="I4715" s="23" t="str">
        <f t="shared" si="293"/>
        <v>Ahmedabad</v>
      </c>
      <c r="J4715" s="23">
        <f>COUNTIFS(pg_transaction_cleaned!$O:$O,A4715,pg_transaction_cleaned!$F:$F,"CAPTURE")</f>
        <v>1</v>
      </c>
      <c r="K4715" s="39">
        <f>SUMIFS(pg_transaction_cleaned!$H:$H,pg_transaction_cleaned!$O:$O,A4715,pg_transaction_cleaned!$F:$F,"CAPTURE")</f>
        <v>6798</v>
      </c>
      <c r="L4715" s="23">
        <f>COUNTIFS(pg_transaction_cleaned!$O:$O,A4715,pg_transaction_cleaned!$F:$F,"REFUND")</f>
        <v>0</v>
      </c>
      <c r="M4715" s="39">
        <f>SUMIFS(pg_transaction_cleaned!$H:$H,pg_transaction_cleaned!$O:$O,A4715,pg_transaction_cleaned!$F:$F,"REFUND")</f>
        <v>0</v>
      </c>
      <c r="N4715" s="23" t="str">
        <f t="shared" si="294"/>
        <v>OK</v>
      </c>
      <c r="O4715" s="24">
        <f t="shared" si="295"/>
        <v>0</v>
      </c>
    </row>
    <row r="4716" spans="1:15" ht="15" customHeight="1" x14ac:dyDescent="0.3">
      <c r="A4716" s="23" t="s">
        <v>9897</v>
      </c>
      <c r="B4716" s="38">
        <v>46280</v>
      </c>
      <c r="C4716" s="23" t="s">
        <v>2162</v>
      </c>
      <c r="D4716" s="23" t="s">
        <v>87</v>
      </c>
      <c r="E4716" s="23" t="s">
        <v>75</v>
      </c>
      <c r="F4716" s="23" t="s">
        <v>475</v>
      </c>
      <c r="G4716" s="23" t="s">
        <v>250</v>
      </c>
      <c r="H4716" s="39">
        <f t="shared" si="292"/>
        <v>799</v>
      </c>
      <c r="I4716" s="23" t="str">
        <f t="shared" si="293"/>
        <v>Mumbai</v>
      </c>
      <c r="J4716" s="23">
        <f>COUNTIFS(pg_transaction_cleaned!$O:$O,A4716,pg_transaction_cleaned!$F:$F,"CAPTURE")</f>
        <v>1</v>
      </c>
      <c r="K4716" s="39">
        <f>SUMIFS(pg_transaction_cleaned!$H:$H,pg_transaction_cleaned!$O:$O,A4716,pg_transaction_cleaned!$F:$F,"CAPTURE")</f>
        <v>799</v>
      </c>
      <c r="L4716" s="23">
        <f>COUNTIFS(pg_transaction_cleaned!$O:$O,A4716,pg_transaction_cleaned!$F:$F,"REFUND")</f>
        <v>0</v>
      </c>
      <c r="M4716" s="39">
        <f>SUMIFS(pg_transaction_cleaned!$H:$H,pg_transaction_cleaned!$O:$O,A4716,pg_transaction_cleaned!$F:$F,"REFUND")</f>
        <v>0</v>
      </c>
      <c r="N4716" s="23" t="str">
        <f t="shared" si="294"/>
        <v>OK</v>
      </c>
      <c r="O4716" s="24">
        <f t="shared" si="295"/>
        <v>0</v>
      </c>
    </row>
    <row r="4717" spans="1:15" ht="15" customHeight="1" x14ac:dyDescent="0.3">
      <c r="A4717" s="23" t="s">
        <v>9898</v>
      </c>
      <c r="B4717" s="38">
        <v>46295</v>
      </c>
      <c r="C4717" s="23" t="s">
        <v>9899</v>
      </c>
      <c r="D4717" s="23" t="s">
        <v>91</v>
      </c>
      <c r="E4717" s="23" t="s">
        <v>75</v>
      </c>
      <c r="F4717" s="23" t="s">
        <v>307</v>
      </c>
      <c r="G4717" s="23" t="s">
        <v>250</v>
      </c>
      <c r="H4717" s="39">
        <f t="shared" si="292"/>
        <v>3798</v>
      </c>
      <c r="I4717" s="23" t="str">
        <f t="shared" si="293"/>
        <v>Pune</v>
      </c>
      <c r="J4717" s="23">
        <f>COUNTIFS(pg_transaction_cleaned!$O:$O,A4717,pg_transaction_cleaned!$F:$F,"CAPTURE")</f>
        <v>1</v>
      </c>
      <c r="K4717" s="39">
        <f>SUMIFS(pg_transaction_cleaned!$H:$H,pg_transaction_cleaned!$O:$O,A4717,pg_transaction_cleaned!$F:$F,"CAPTURE")</f>
        <v>3798</v>
      </c>
      <c r="L4717" s="23">
        <f>COUNTIFS(pg_transaction_cleaned!$O:$O,A4717,pg_transaction_cleaned!$F:$F,"REFUND")</f>
        <v>0</v>
      </c>
      <c r="M4717" s="39">
        <f>SUMIFS(pg_transaction_cleaned!$H:$H,pg_transaction_cleaned!$O:$O,A4717,pg_transaction_cleaned!$F:$F,"REFUND")</f>
        <v>0</v>
      </c>
      <c r="N4717" s="23" t="str">
        <f t="shared" si="294"/>
        <v>OK</v>
      </c>
      <c r="O4717" s="24">
        <f t="shared" si="295"/>
        <v>0</v>
      </c>
    </row>
    <row r="4718" spans="1:15" ht="15" customHeight="1" x14ac:dyDescent="0.3">
      <c r="A4718" s="23" t="s">
        <v>9900</v>
      </c>
      <c r="B4718" s="38">
        <v>46295</v>
      </c>
      <c r="C4718" s="23" t="s">
        <v>9901</v>
      </c>
      <c r="D4718" s="23" t="s">
        <v>95</v>
      </c>
      <c r="E4718" s="23" t="s">
        <v>79</v>
      </c>
      <c r="F4718" s="23" t="s">
        <v>297</v>
      </c>
      <c r="G4718" s="23" t="s">
        <v>250</v>
      </c>
      <c r="H4718" s="39">
        <f t="shared" si="292"/>
        <v>4999</v>
      </c>
      <c r="I4718" s="23" t="str">
        <f t="shared" si="293"/>
        <v>Bengaluru</v>
      </c>
      <c r="J4718" s="23">
        <f>COUNTIFS(pg_transaction_cleaned!$O:$O,A4718,pg_transaction_cleaned!$F:$F,"CAPTURE")</f>
        <v>1</v>
      </c>
      <c r="K4718" s="39">
        <f>SUMIFS(pg_transaction_cleaned!$H:$H,pg_transaction_cleaned!$O:$O,A4718,pg_transaction_cleaned!$F:$F,"CAPTURE")</f>
        <v>4999</v>
      </c>
      <c r="L4718" s="23">
        <f>COUNTIFS(pg_transaction_cleaned!$O:$O,A4718,pg_transaction_cleaned!$F:$F,"REFUND")</f>
        <v>0</v>
      </c>
      <c r="M4718" s="39">
        <f>SUMIFS(pg_transaction_cleaned!$H:$H,pg_transaction_cleaned!$O:$O,A4718,pg_transaction_cleaned!$F:$F,"REFUND")</f>
        <v>0</v>
      </c>
      <c r="N4718" s="23" t="str">
        <f t="shared" si="294"/>
        <v>OK</v>
      </c>
      <c r="O4718" s="24">
        <f t="shared" si="295"/>
        <v>0</v>
      </c>
    </row>
    <row r="4719" spans="1:15" ht="15" customHeight="1" x14ac:dyDescent="0.3">
      <c r="A4719" s="23" t="s">
        <v>9902</v>
      </c>
      <c r="B4719" s="38">
        <v>46285</v>
      </c>
      <c r="C4719" s="23" t="s">
        <v>9903</v>
      </c>
      <c r="D4719" s="23" t="s">
        <v>91</v>
      </c>
      <c r="E4719" s="23" t="s">
        <v>75</v>
      </c>
      <c r="F4719" s="23" t="s">
        <v>315</v>
      </c>
      <c r="G4719" s="23" t="s">
        <v>250</v>
      </c>
      <c r="H4719" s="39">
        <f t="shared" si="292"/>
        <v>1499</v>
      </c>
      <c r="I4719" s="23" t="str">
        <f t="shared" si="293"/>
        <v>Pune</v>
      </c>
      <c r="J4719" s="23">
        <f>COUNTIFS(pg_transaction_cleaned!$O:$O,A4719,pg_transaction_cleaned!$F:$F,"CAPTURE")</f>
        <v>1</v>
      </c>
      <c r="K4719" s="39">
        <f>SUMIFS(pg_transaction_cleaned!$H:$H,pg_transaction_cleaned!$O:$O,A4719,pg_transaction_cleaned!$F:$F,"CAPTURE")</f>
        <v>1499</v>
      </c>
      <c r="L4719" s="23">
        <f>COUNTIFS(pg_transaction_cleaned!$O:$O,A4719,pg_transaction_cleaned!$F:$F,"REFUND")</f>
        <v>0</v>
      </c>
      <c r="M4719" s="39">
        <f>SUMIFS(pg_transaction_cleaned!$H:$H,pg_transaction_cleaned!$O:$O,A4719,pg_transaction_cleaned!$F:$F,"REFUND")</f>
        <v>0</v>
      </c>
      <c r="N4719" s="23" t="str">
        <f t="shared" si="294"/>
        <v>OK</v>
      </c>
      <c r="O4719" s="24">
        <f t="shared" si="295"/>
        <v>0</v>
      </c>
    </row>
    <row r="4720" spans="1:15" ht="15" customHeight="1" x14ac:dyDescent="0.3">
      <c r="A4720" s="23" t="s">
        <v>9904</v>
      </c>
      <c r="B4720" s="38">
        <v>46283</v>
      </c>
      <c r="C4720" s="23" t="s">
        <v>9905</v>
      </c>
      <c r="D4720" s="23" t="s">
        <v>91</v>
      </c>
      <c r="E4720" s="23" t="s">
        <v>77</v>
      </c>
      <c r="F4720" s="23" t="s">
        <v>1367</v>
      </c>
      <c r="G4720" s="23" t="s">
        <v>250</v>
      </c>
      <c r="H4720" s="39">
        <f t="shared" si="292"/>
        <v>898</v>
      </c>
      <c r="I4720" s="23" t="str">
        <f t="shared" si="293"/>
        <v>Pune</v>
      </c>
      <c r="J4720" s="23">
        <f>COUNTIFS(pg_transaction_cleaned!$O:$O,A4720,pg_transaction_cleaned!$F:$F,"CAPTURE")</f>
        <v>1</v>
      </c>
      <c r="K4720" s="39">
        <f>SUMIFS(pg_transaction_cleaned!$H:$H,pg_transaction_cleaned!$O:$O,A4720,pg_transaction_cleaned!$F:$F,"CAPTURE")</f>
        <v>898</v>
      </c>
      <c r="L4720" s="23">
        <f>COUNTIFS(pg_transaction_cleaned!$O:$O,A4720,pg_transaction_cleaned!$F:$F,"REFUND")</f>
        <v>0</v>
      </c>
      <c r="M4720" s="39">
        <f>SUMIFS(pg_transaction_cleaned!$H:$H,pg_transaction_cleaned!$O:$O,A4720,pg_transaction_cleaned!$F:$F,"REFUND")</f>
        <v>0</v>
      </c>
      <c r="N4720" s="23" t="str">
        <f t="shared" si="294"/>
        <v>OK</v>
      </c>
      <c r="O4720" s="24">
        <f t="shared" si="295"/>
        <v>0</v>
      </c>
    </row>
    <row r="4721" spans="1:15" ht="15" customHeight="1" x14ac:dyDescent="0.3">
      <c r="A4721" s="23" t="s">
        <v>9906</v>
      </c>
      <c r="B4721" s="38">
        <v>46278</v>
      </c>
      <c r="C4721" s="23" t="s">
        <v>9907</v>
      </c>
      <c r="D4721" s="23" t="s">
        <v>90</v>
      </c>
      <c r="E4721" s="23" t="s">
        <v>75</v>
      </c>
      <c r="F4721" s="23" t="s">
        <v>294</v>
      </c>
      <c r="G4721" s="23" t="s">
        <v>250</v>
      </c>
      <c r="H4721" s="39">
        <f t="shared" si="292"/>
        <v>1799</v>
      </c>
      <c r="I4721" s="23" t="str">
        <f t="shared" si="293"/>
        <v>Ahmedabad</v>
      </c>
      <c r="J4721" s="23">
        <f>COUNTIFS(pg_transaction_cleaned!$O:$O,A4721,pg_transaction_cleaned!$F:$F,"CAPTURE")</f>
        <v>1</v>
      </c>
      <c r="K4721" s="39">
        <f>SUMIFS(pg_transaction_cleaned!$H:$H,pg_transaction_cleaned!$O:$O,A4721,pg_transaction_cleaned!$F:$F,"CAPTURE")</f>
        <v>1799</v>
      </c>
      <c r="L4721" s="23">
        <f>COUNTIFS(pg_transaction_cleaned!$O:$O,A4721,pg_transaction_cleaned!$F:$F,"REFUND")</f>
        <v>0</v>
      </c>
      <c r="M4721" s="39">
        <f>SUMIFS(pg_transaction_cleaned!$H:$H,pg_transaction_cleaned!$O:$O,A4721,pg_transaction_cleaned!$F:$F,"REFUND")</f>
        <v>0</v>
      </c>
      <c r="N4721" s="23" t="str">
        <f t="shared" si="294"/>
        <v>OK</v>
      </c>
      <c r="O4721" s="24">
        <f t="shared" si="295"/>
        <v>0</v>
      </c>
    </row>
    <row r="4722" spans="1:15" ht="15" customHeight="1" x14ac:dyDescent="0.3">
      <c r="A4722" s="23" t="s">
        <v>9908</v>
      </c>
      <c r="B4722" s="38">
        <v>46288</v>
      </c>
      <c r="C4722" s="23" t="s">
        <v>9909</v>
      </c>
      <c r="D4722" s="23" t="s">
        <v>93</v>
      </c>
      <c r="E4722" s="23" t="s">
        <v>81</v>
      </c>
      <c r="F4722" s="23" t="s">
        <v>1010</v>
      </c>
      <c r="G4722" s="23" t="s">
        <v>250</v>
      </c>
      <c r="H4722" s="39">
        <f t="shared" si="292"/>
        <v>4498</v>
      </c>
      <c r="I4722" s="23" t="str">
        <f t="shared" si="293"/>
        <v>Kolkata</v>
      </c>
      <c r="J4722" s="23">
        <f>COUNTIFS(pg_transaction_cleaned!$O:$O,A4722,pg_transaction_cleaned!$F:$F,"CAPTURE")</f>
        <v>1</v>
      </c>
      <c r="K4722" s="39">
        <f>SUMIFS(pg_transaction_cleaned!$H:$H,pg_transaction_cleaned!$O:$O,A4722,pg_transaction_cleaned!$F:$F,"CAPTURE")</f>
        <v>4498</v>
      </c>
      <c r="L4722" s="23">
        <f>COUNTIFS(pg_transaction_cleaned!$O:$O,A4722,pg_transaction_cleaned!$F:$F,"REFUND")</f>
        <v>0</v>
      </c>
      <c r="M4722" s="39">
        <f>SUMIFS(pg_transaction_cleaned!$H:$H,pg_transaction_cleaned!$O:$O,A4722,pg_transaction_cleaned!$F:$F,"REFUND")</f>
        <v>0</v>
      </c>
      <c r="N4722" s="23" t="str">
        <f t="shared" si="294"/>
        <v>OK</v>
      </c>
      <c r="O4722" s="24">
        <f t="shared" si="295"/>
        <v>0</v>
      </c>
    </row>
    <row r="4723" spans="1:15" ht="15" customHeight="1" x14ac:dyDescent="0.3">
      <c r="A4723" s="23" t="s">
        <v>9910</v>
      </c>
      <c r="B4723" s="38">
        <v>46295</v>
      </c>
      <c r="C4723" s="23" t="s">
        <v>9911</v>
      </c>
      <c r="D4723" s="23" t="s">
        <v>94</v>
      </c>
      <c r="E4723" s="23" t="s">
        <v>79</v>
      </c>
      <c r="F4723" s="23" t="s">
        <v>582</v>
      </c>
      <c r="G4723" s="23" t="s">
        <v>250</v>
      </c>
      <c r="H4723" s="39">
        <f t="shared" si="292"/>
        <v>1298</v>
      </c>
      <c r="I4723" s="23" t="str">
        <f t="shared" si="293"/>
        <v>Chennai</v>
      </c>
      <c r="J4723" s="23">
        <f>COUNTIFS(pg_transaction_cleaned!$O:$O,A4723,pg_transaction_cleaned!$F:$F,"CAPTURE")</f>
        <v>1</v>
      </c>
      <c r="K4723" s="39">
        <f>SUMIFS(pg_transaction_cleaned!$H:$H,pg_transaction_cleaned!$O:$O,A4723,pg_transaction_cleaned!$F:$F,"CAPTURE")</f>
        <v>1298</v>
      </c>
      <c r="L4723" s="23">
        <f>COUNTIFS(pg_transaction_cleaned!$O:$O,A4723,pg_transaction_cleaned!$F:$F,"REFUND")</f>
        <v>0</v>
      </c>
      <c r="M4723" s="39">
        <f>SUMIFS(pg_transaction_cleaned!$H:$H,pg_transaction_cleaned!$O:$O,A4723,pg_transaction_cleaned!$F:$F,"REFUND")</f>
        <v>0</v>
      </c>
      <c r="N4723" s="23" t="str">
        <f t="shared" si="294"/>
        <v>OK</v>
      </c>
      <c r="O4723" s="24">
        <f t="shared" si="295"/>
        <v>0</v>
      </c>
    </row>
    <row r="4724" spans="1:15" ht="15" customHeight="1" x14ac:dyDescent="0.3">
      <c r="A4724" s="23" t="s">
        <v>9912</v>
      </c>
      <c r="B4724" s="38">
        <v>46278</v>
      </c>
      <c r="C4724" s="23" t="s">
        <v>9913</v>
      </c>
      <c r="D4724" s="23" t="s">
        <v>87</v>
      </c>
      <c r="E4724" s="23" t="s">
        <v>75</v>
      </c>
      <c r="F4724" s="23" t="s">
        <v>426</v>
      </c>
      <c r="G4724" s="23" t="s">
        <v>250</v>
      </c>
      <c r="H4724" s="39">
        <f t="shared" si="292"/>
        <v>6798</v>
      </c>
      <c r="I4724" s="23" t="str">
        <f t="shared" si="293"/>
        <v>Mumbai</v>
      </c>
      <c r="J4724" s="23">
        <f>COUNTIFS(pg_transaction_cleaned!$O:$O,A4724,pg_transaction_cleaned!$F:$F,"CAPTURE")</f>
        <v>1</v>
      </c>
      <c r="K4724" s="39">
        <f>SUMIFS(pg_transaction_cleaned!$H:$H,pg_transaction_cleaned!$O:$O,A4724,pg_transaction_cleaned!$F:$F,"CAPTURE")</f>
        <v>6798</v>
      </c>
      <c r="L4724" s="23">
        <f>COUNTIFS(pg_transaction_cleaned!$O:$O,A4724,pg_transaction_cleaned!$F:$F,"REFUND")</f>
        <v>0</v>
      </c>
      <c r="M4724" s="39">
        <f>SUMIFS(pg_transaction_cleaned!$H:$H,pg_transaction_cleaned!$O:$O,A4724,pg_transaction_cleaned!$F:$F,"REFUND")</f>
        <v>0</v>
      </c>
      <c r="N4724" s="23" t="str">
        <f t="shared" si="294"/>
        <v>OK</v>
      </c>
      <c r="O4724" s="24">
        <f t="shared" si="295"/>
        <v>0</v>
      </c>
    </row>
    <row r="4725" spans="1:15" ht="15" customHeight="1" x14ac:dyDescent="0.3">
      <c r="A4725" s="23" t="s">
        <v>9914</v>
      </c>
      <c r="B4725" s="38">
        <v>46266</v>
      </c>
      <c r="C4725" s="23" t="s">
        <v>9915</v>
      </c>
      <c r="D4725" s="23" t="s">
        <v>89</v>
      </c>
      <c r="E4725" s="23" t="s">
        <v>81</v>
      </c>
      <c r="F4725" s="23" t="s">
        <v>337</v>
      </c>
      <c r="G4725" s="23" t="s">
        <v>250</v>
      </c>
      <c r="H4725" s="39">
        <f t="shared" si="292"/>
        <v>3998</v>
      </c>
      <c r="I4725" s="23" t="str">
        <f t="shared" si="293"/>
        <v>Jaipur</v>
      </c>
      <c r="J4725" s="23">
        <f>COUNTIFS(pg_transaction_cleaned!$O:$O,A4725,pg_transaction_cleaned!$F:$F,"CAPTURE")</f>
        <v>1</v>
      </c>
      <c r="K4725" s="39">
        <f>SUMIFS(pg_transaction_cleaned!$H:$H,pg_transaction_cleaned!$O:$O,A4725,pg_transaction_cleaned!$F:$F,"CAPTURE")</f>
        <v>3998</v>
      </c>
      <c r="L4725" s="23">
        <f>COUNTIFS(pg_transaction_cleaned!$O:$O,A4725,pg_transaction_cleaned!$F:$F,"REFUND")</f>
        <v>0</v>
      </c>
      <c r="M4725" s="39">
        <f>SUMIFS(pg_transaction_cleaned!$H:$H,pg_transaction_cleaned!$O:$O,A4725,pg_transaction_cleaned!$F:$F,"REFUND")</f>
        <v>0</v>
      </c>
      <c r="N4725" s="23" t="str">
        <f t="shared" si="294"/>
        <v>OK</v>
      </c>
      <c r="O4725" s="24">
        <f t="shared" si="295"/>
        <v>0</v>
      </c>
    </row>
    <row r="4726" spans="1:15" ht="15" customHeight="1" x14ac:dyDescent="0.3">
      <c r="A4726" s="23" t="s">
        <v>9916</v>
      </c>
      <c r="B4726" s="38">
        <v>46269</v>
      </c>
      <c r="C4726" s="23" t="s">
        <v>9917</v>
      </c>
      <c r="D4726" s="23" t="s">
        <v>95</v>
      </c>
      <c r="E4726" s="23" t="s">
        <v>79</v>
      </c>
      <c r="F4726" s="23" t="s">
        <v>1635</v>
      </c>
      <c r="G4726" s="23" t="s">
        <v>250</v>
      </c>
      <c r="H4726" s="39">
        <f t="shared" si="292"/>
        <v>11797</v>
      </c>
      <c r="I4726" s="23" t="str">
        <f t="shared" si="293"/>
        <v>Bengaluru</v>
      </c>
      <c r="J4726" s="23">
        <f>COUNTIFS(pg_transaction_cleaned!$O:$O,A4726,pg_transaction_cleaned!$F:$F,"CAPTURE")</f>
        <v>1</v>
      </c>
      <c r="K4726" s="39">
        <f>SUMIFS(pg_transaction_cleaned!$H:$H,pg_transaction_cleaned!$O:$O,A4726,pg_transaction_cleaned!$F:$F,"CAPTURE")</f>
        <v>11797</v>
      </c>
      <c r="L4726" s="23">
        <f>COUNTIFS(pg_transaction_cleaned!$O:$O,A4726,pg_transaction_cleaned!$F:$F,"REFUND")</f>
        <v>0</v>
      </c>
      <c r="M4726" s="39">
        <f>SUMIFS(pg_transaction_cleaned!$H:$H,pg_transaction_cleaned!$O:$O,A4726,pg_transaction_cleaned!$F:$F,"REFUND")</f>
        <v>0</v>
      </c>
      <c r="N4726" s="23" t="str">
        <f t="shared" si="294"/>
        <v>OK</v>
      </c>
      <c r="O4726" s="24">
        <f t="shared" si="295"/>
        <v>0</v>
      </c>
    </row>
    <row r="4727" spans="1:15" ht="15" customHeight="1" x14ac:dyDescent="0.3">
      <c r="A4727" s="23" t="s">
        <v>9918</v>
      </c>
      <c r="B4727" s="38">
        <v>46277</v>
      </c>
      <c r="C4727" s="23" t="s">
        <v>9919</v>
      </c>
      <c r="D4727" s="23" t="s">
        <v>89</v>
      </c>
      <c r="E4727" s="23" t="s">
        <v>75</v>
      </c>
      <c r="F4727" s="23" t="s">
        <v>451</v>
      </c>
      <c r="G4727" s="23" t="s">
        <v>250</v>
      </c>
      <c r="H4727" s="39">
        <f t="shared" si="292"/>
        <v>1098</v>
      </c>
      <c r="I4727" s="23" t="str">
        <f t="shared" si="293"/>
        <v>Jaipur</v>
      </c>
      <c r="J4727" s="23">
        <f>COUNTIFS(pg_transaction_cleaned!$O:$O,A4727,pg_transaction_cleaned!$F:$F,"CAPTURE")</f>
        <v>1</v>
      </c>
      <c r="K4727" s="39">
        <f>SUMIFS(pg_transaction_cleaned!$H:$H,pg_transaction_cleaned!$O:$O,A4727,pg_transaction_cleaned!$F:$F,"CAPTURE")</f>
        <v>1098</v>
      </c>
      <c r="L4727" s="23">
        <f>COUNTIFS(pg_transaction_cleaned!$O:$O,A4727,pg_transaction_cleaned!$F:$F,"REFUND")</f>
        <v>0</v>
      </c>
      <c r="M4727" s="39">
        <f>SUMIFS(pg_transaction_cleaned!$H:$H,pg_transaction_cleaned!$O:$O,A4727,pg_transaction_cleaned!$F:$F,"REFUND")</f>
        <v>0</v>
      </c>
      <c r="N4727" s="23" t="str">
        <f t="shared" si="294"/>
        <v>OK</v>
      </c>
      <c r="O4727" s="24">
        <f t="shared" si="295"/>
        <v>0</v>
      </c>
    </row>
    <row r="4728" spans="1:15" ht="15" customHeight="1" x14ac:dyDescent="0.3">
      <c r="A4728" s="23" t="s">
        <v>9920</v>
      </c>
      <c r="B4728" s="38">
        <v>46273</v>
      </c>
      <c r="C4728" s="23" t="s">
        <v>9921</v>
      </c>
      <c r="D4728" s="23" t="s">
        <v>88</v>
      </c>
      <c r="E4728" s="23" t="s">
        <v>75</v>
      </c>
      <c r="F4728" s="23" t="s">
        <v>297</v>
      </c>
      <c r="G4728" s="23" t="s">
        <v>250</v>
      </c>
      <c r="H4728" s="39">
        <f t="shared" si="292"/>
        <v>4999</v>
      </c>
      <c r="I4728" s="23" t="str">
        <f t="shared" si="293"/>
        <v>Lucknow</v>
      </c>
      <c r="J4728" s="23">
        <f>COUNTIFS(pg_transaction_cleaned!$O:$O,A4728,pg_transaction_cleaned!$F:$F,"CAPTURE")</f>
        <v>1</v>
      </c>
      <c r="K4728" s="39">
        <f>SUMIFS(pg_transaction_cleaned!$H:$H,pg_transaction_cleaned!$O:$O,A4728,pg_transaction_cleaned!$F:$F,"CAPTURE")</f>
        <v>4999</v>
      </c>
      <c r="L4728" s="23">
        <f>COUNTIFS(pg_transaction_cleaned!$O:$O,A4728,pg_transaction_cleaned!$F:$F,"REFUND")</f>
        <v>0</v>
      </c>
      <c r="M4728" s="39">
        <f>SUMIFS(pg_transaction_cleaned!$H:$H,pg_transaction_cleaned!$O:$O,A4728,pg_transaction_cleaned!$F:$F,"REFUND")</f>
        <v>0</v>
      </c>
      <c r="N4728" s="23" t="str">
        <f t="shared" si="294"/>
        <v>OK</v>
      </c>
      <c r="O4728" s="24">
        <f t="shared" si="295"/>
        <v>0</v>
      </c>
    </row>
    <row r="4729" spans="1:15" ht="15" customHeight="1" x14ac:dyDescent="0.3">
      <c r="A4729" s="23" t="s">
        <v>9922</v>
      </c>
      <c r="B4729" s="38">
        <v>46284</v>
      </c>
      <c r="C4729" s="23" t="s">
        <v>9923</v>
      </c>
      <c r="D4729" s="23" t="s">
        <v>88</v>
      </c>
      <c r="E4729" s="23" t="s">
        <v>75</v>
      </c>
      <c r="F4729" s="23" t="s">
        <v>444</v>
      </c>
      <c r="G4729" s="23" t="s">
        <v>250</v>
      </c>
      <c r="H4729" s="39">
        <f t="shared" si="292"/>
        <v>3847</v>
      </c>
      <c r="I4729" s="23" t="str">
        <f t="shared" si="293"/>
        <v>Lucknow</v>
      </c>
      <c r="J4729" s="23">
        <f>COUNTIFS(pg_transaction_cleaned!$O:$O,A4729,pg_transaction_cleaned!$F:$F,"CAPTURE")</f>
        <v>1</v>
      </c>
      <c r="K4729" s="39">
        <f>SUMIFS(pg_transaction_cleaned!$H:$H,pg_transaction_cleaned!$O:$O,A4729,pg_transaction_cleaned!$F:$F,"CAPTURE")</f>
        <v>3847</v>
      </c>
      <c r="L4729" s="23">
        <f>COUNTIFS(pg_transaction_cleaned!$O:$O,A4729,pg_transaction_cleaned!$F:$F,"REFUND")</f>
        <v>0</v>
      </c>
      <c r="M4729" s="39">
        <f>SUMIFS(pg_transaction_cleaned!$H:$H,pg_transaction_cleaned!$O:$O,A4729,pg_transaction_cleaned!$F:$F,"REFUND")</f>
        <v>0</v>
      </c>
      <c r="N4729" s="23" t="str">
        <f t="shared" si="294"/>
        <v>OK</v>
      </c>
      <c r="O4729" s="24">
        <f t="shared" si="295"/>
        <v>0</v>
      </c>
    </row>
    <row r="4730" spans="1:15" ht="15" customHeight="1" x14ac:dyDescent="0.3">
      <c r="A4730" s="23" t="s">
        <v>9924</v>
      </c>
      <c r="B4730" s="38">
        <v>46283</v>
      </c>
      <c r="C4730" s="23" t="s">
        <v>9925</v>
      </c>
      <c r="D4730" s="23" t="s">
        <v>90</v>
      </c>
      <c r="E4730" s="23" t="s">
        <v>75</v>
      </c>
      <c r="F4730" s="23" t="s">
        <v>268</v>
      </c>
      <c r="G4730" s="23" t="s">
        <v>250</v>
      </c>
      <c r="H4730" s="39">
        <f t="shared" si="292"/>
        <v>1299</v>
      </c>
      <c r="I4730" s="23" t="str">
        <f t="shared" si="293"/>
        <v>Ahmedabad</v>
      </c>
      <c r="J4730" s="23">
        <f>COUNTIFS(pg_transaction_cleaned!$O:$O,A4730,pg_transaction_cleaned!$F:$F,"CAPTURE")</f>
        <v>1</v>
      </c>
      <c r="K4730" s="39">
        <f>SUMIFS(pg_transaction_cleaned!$H:$H,pg_transaction_cleaned!$O:$O,A4730,pg_transaction_cleaned!$F:$F,"CAPTURE")</f>
        <v>1299</v>
      </c>
      <c r="L4730" s="23">
        <f>COUNTIFS(pg_transaction_cleaned!$O:$O,A4730,pg_transaction_cleaned!$F:$F,"REFUND")</f>
        <v>0</v>
      </c>
      <c r="M4730" s="39">
        <f>SUMIFS(pg_transaction_cleaned!$H:$H,pg_transaction_cleaned!$O:$O,A4730,pg_transaction_cleaned!$F:$F,"REFUND")</f>
        <v>0</v>
      </c>
      <c r="N4730" s="23" t="str">
        <f t="shared" si="294"/>
        <v>OK</v>
      </c>
      <c r="O4730" s="24">
        <f t="shared" si="295"/>
        <v>0</v>
      </c>
    </row>
    <row r="4731" spans="1:15" ht="15" customHeight="1" x14ac:dyDescent="0.3">
      <c r="A4731" s="23" t="s">
        <v>9926</v>
      </c>
      <c r="B4731" s="38">
        <v>46274</v>
      </c>
      <c r="C4731" s="23" t="s">
        <v>9927</v>
      </c>
      <c r="D4731" s="23" t="s">
        <v>90</v>
      </c>
      <c r="E4731" s="23" t="s">
        <v>75</v>
      </c>
      <c r="F4731" s="23" t="s">
        <v>357</v>
      </c>
      <c r="G4731" s="23" t="s">
        <v>250</v>
      </c>
      <c r="H4731" s="39">
        <f t="shared" si="292"/>
        <v>1598</v>
      </c>
      <c r="I4731" s="23" t="str">
        <f t="shared" si="293"/>
        <v>Ahmedabad</v>
      </c>
      <c r="J4731" s="23">
        <f>COUNTIFS(pg_transaction_cleaned!$O:$O,A4731,pg_transaction_cleaned!$F:$F,"CAPTURE")</f>
        <v>1</v>
      </c>
      <c r="K4731" s="39">
        <f>SUMIFS(pg_transaction_cleaned!$H:$H,pg_transaction_cleaned!$O:$O,A4731,pg_transaction_cleaned!$F:$F,"CAPTURE")</f>
        <v>1598</v>
      </c>
      <c r="L4731" s="23">
        <f>COUNTIFS(pg_transaction_cleaned!$O:$O,A4731,pg_transaction_cleaned!$F:$F,"REFUND")</f>
        <v>0</v>
      </c>
      <c r="M4731" s="39">
        <f>SUMIFS(pg_transaction_cleaned!$H:$H,pg_transaction_cleaned!$O:$O,A4731,pg_transaction_cleaned!$F:$F,"REFUND")</f>
        <v>0</v>
      </c>
      <c r="N4731" s="23" t="str">
        <f t="shared" si="294"/>
        <v>OK</v>
      </c>
      <c r="O4731" s="24">
        <f t="shared" si="295"/>
        <v>0</v>
      </c>
    </row>
    <row r="4732" spans="1:15" ht="15" customHeight="1" x14ac:dyDescent="0.3">
      <c r="A4732" s="23" t="s">
        <v>9928</v>
      </c>
      <c r="B4732" s="38">
        <v>46277</v>
      </c>
      <c r="C4732" s="23" t="s">
        <v>9929</v>
      </c>
      <c r="D4732" s="23" t="s">
        <v>91</v>
      </c>
      <c r="E4732" s="23" t="s">
        <v>79</v>
      </c>
      <c r="F4732" s="23" t="s">
        <v>310</v>
      </c>
      <c r="G4732" s="23" t="s">
        <v>250</v>
      </c>
      <c r="H4732" s="39">
        <f t="shared" si="292"/>
        <v>7999</v>
      </c>
      <c r="I4732" s="23" t="str">
        <f t="shared" si="293"/>
        <v>Pune</v>
      </c>
      <c r="J4732" s="23">
        <f>COUNTIFS(pg_transaction_cleaned!$O:$O,A4732,pg_transaction_cleaned!$F:$F,"CAPTURE")</f>
        <v>1</v>
      </c>
      <c r="K4732" s="39">
        <f>SUMIFS(pg_transaction_cleaned!$H:$H,pg_transaction_cleaned!$O:$O,A4732,pg_transaction_cleaned!$F:$F,"CAPTURE")</f>
        <v>7999</v>
      </c>
      <c r="L4732" s="23">
        <f>COUNTIFS(pg_transaction_cleaned!$O:$O,A4732,pg_transaction_cleaned!$F:$F,"REFUND")</f>
        <v>0</v>
      </c>
      <c r="M4732" s="39">
        <f>SUMIFS(pg_transaction_cleaned!$H:$H,pg_transaction_cleaned!$O:$O,A4732,pg_transaction_cleaned!$F:$F,"REFUND")</f>
        <v>0</v>
      </c>
      <c r="N4732" s="23" t="str">
        <f t="shared" si="294"/>
        <v>OK</v>
      </c>
      <c r="O4732" s="24">
        <f t="shared" si="295"/>
        <v>0</v>
      </c>
    </row>
    <row r="4733" spans="1:15" ht="15" customHeight="1" x14ac:dyDescent="0.3">
      <c r="A4733" s="23" t="s">
        <v>9930</v>
      </c>
      <c r="B4733" s="38">
        <v>46279</v>
      </c>
      <c r="C4733" s="23" t="s">
        <v>5064</v>
      </c>
      <c r="D4733" s="23" t="s">
        <v>94</v>
      </c>
      <c r="E4733" s="23" t="s">
        <v>75</v>
      </c>
      <c r="F4733" s="23" t="s">
        <v>265</v>
      </c>
      <c r="G4733" s="23" t="s">
        <v>250</v>
      </c>
      <c r="H4733" s="39">
        <f t="shared" si="292"/>
        <v>999</v>
      </c>
      <c r="I4733" s="23" t="str">
        <f t="shared" si="293"/>
        <v>Chennai</v>
      </c>
      <c r="J4733" s="23">
        <f>COUNTIFS(pg_transaction_cleaned!$O:$O,A4733,pg_transaction_cleaned!$F:$F,"CAPTURE")</f>
        <v>1</v>
      </c>
      <c r="K4733" s="39">
        <f>SUMIFS(pg_transaction_cleaned!$H:$H,pg_transaction_cleaned!$O:$O,A4733,pg_transaction_cleaned!$F:$F,"CAPTURE")</f>
        <v>999</v>
      </c>
      <c r="L4733" s="23">
        <f>COUNTIFS(pg_transaction_cleaned!$O:$O,A4733,pg_transaction_cleaned!$F:$F,"REFUND")</f>
        <v>0</v>
      </c>
      <c r="M4733" s="39">
        <f>SUMIFS(pg_transaction_cleaned!$H:$H,pg_transaction_cleaned!$O:$O,A4733,pg_transaction_cleaned!$F:$F,"REFUND")</f>
        <v>0</v>
      </c>
      <c r="N4733" s="23" t="str">
        <f t="shared" si="294"/>
        <v>OK</v>
      </c>
      <c r="O4733" s="24">
        <f t="shared" si="295"/>
        <v>0</v>
      </c>
    </row>
    <row r="4734" spans="1:15" ht="15" customHeight="1" x14ac:dyDescent="0.3">
      <c r="A4734" s="23" t="s">
        <v>9931</v>
      </c>
      <c r="B4734" s="38">
        <v>46292</v>
      </c>
      <c r="C4734" s="23" t="s">
        <v>9932</v>
      </c>
      <c r="D4734" s="23" t="s">
        <v>87</v>
      </c>
      <c r="E4734" s="23" t="s">
        <v>79</v>
      </c>
      <c r="F4734" s="23" t="s">
        <v>1975</v>
      </c>
      <c r="G4734" s="23" t="s">
        <v>250</v>
      </c>
      <c r="H4734" s="39">
        <f t="shared" si="292"/>
        <v>1398</v>
      </c>
      <c r="I4734" s="23" t="str">
        <f t="shared" si="293"/>
        <v>Mumbai</v>
      </c>
      <c r="J4734" s="23">
        <f>COUNTIFS(pg_transaction_cleaned!$O:$O,A4734,pg_transaction_cleaned!$F:$F,"CAPTURE")</f>
        <v>1</v>
      </c>
      <c r="K4734" s="39">
        <f>SUMIFS(pg_transaction_cleaned!$H:$H,pg_transaction_cleaned!$O:$O,A4734,pg_transaction_cleaned!$F:$F,"CAPTURE")</f>
        <v>1398</v>
      </c>
      <c r="L4734" s="23">
        <f>COUNTIFS(pg_transaction_cleaned!$O:$O,A4734,pg_transaction_cleaned!$F:$F,"REFUND")</f>
        <v>0</v>
      </c>
      <c r="M4734" s="39">
        <f>SUMIFS(pg_transaction_cleaned!$H:$H,pg_transaction_cleaned!$O:$O,A4734,pg_transaction_cleaned!$F:$F,"REFUND")</f>
        <v>0</v>
      </c>
      <c r="N4734" s="23" t="str">
        <f t="shared" si="294"/>
        <v>OK</v>
      </c>
      <c r="O4734" s="24">
        <f t="shared" si="295"/>
        <v>0</v>
      </c>
    </row>
    <row r="4735" spans="1:15" ht="15" customHeight="1" x14ac:dyDescent="0.3">
      <c r="A4735" s="23" t="s">
        <v>9933</v>
      </c>
      <c r="B4735" s="38">
        <v>46295</v>
      </c>
      <c r="C4735" s="23" t="s">
        <v>9934</v>
      </c>
      <c r="D4735" s="23" t="s">
        <v>86</v>
      </c>
      <c r="E4735" s="23" t="s">
        <v>75</v>
      </c>
      <c r="F4735" s="23" t="s">
        <v>9935</v>
      </c>
      <c r="G4735" s="23" t="s">
        <v>250</v>
      </c>
      <c r="H4735" s="39">
        <f t="shared" si="292"/>
        <v>5097</v>
      </c>
      <c r="I4735" s="23" t="str">
        <f t="shared" si="293"/>
        <v>Delhi</v>
      </c>
      <c r="J4735" s="23">
        <f>COUNTIFS(pg_transaction_cleaned!$O:$O,A4735,pg_transaction_cleaned!$F:$F,"CAPTURE")</f>
        <v>1</v>
      </c>
      <c r="K4735" s="39">
        <f>SUMIFS(pg_transaction_cleaned!$H:$H,pg_transaction_cleaned!$O:$O,A4735,pg_transaction_cleaned!$F:$F,"CAPTURE")</f>
        <v>5097</v>
      </c>
      <c r="L4735" s="23">
        <f>COUNTIFS(pg_transaction_cleaned!$O:$O,A4735,pg_transaction_cleaned!$F:$F,"REFUND")</f>
        <v>0</v>
      </c>
      <c r="M4735" s="39">
        <f>SUMIFS(pg_transaction_cleaned!$H:$H,pg_transaction_cleaned!$O:$O,A4735,pg_transaction_cleaned!$F:$F,"REFUND")</f>
        <v>0</v>
      </c>
      <c r="N4735" s="23" t="str">
        <f t="shared" si="294"/>
        <v>OK</v>
      </c>
      <c r="O4735" s="24">
        <f t="shared" si="295"/>
        <v>0</v>
      </c>
    </row>
    <row r="4736" spans="1:15" ht="15" customHeight="1" x14ac:dyDescent="0.3">
      <c r="A4736" s="23" t="s">
        <v>9936</v>
      </c>
      <c r="B4736" s="38">
        <v>46277</v>
      </c>
      <c r="C4736" s="23" t="s">
        <v>9937</v>
      </c>
      <c r="D4736" s="23" t="s">
        <v>95</v>
      </c>
      <c r="E4736" s="23" t="s">
        <v>79</v>
      </c>
      <c r="F4736" s="23" t="s">
        <v>622</v>
      </c>
      <c r="G4736" s="23" t="s">
        <v>250</v>
      </c>
      <c r="H4736" s="39">
        <f t="shared" si="292"/>
        <v>8998</v>
      </c>
      <c r="I4736" s="23" t="str">
        <f t="shared" si="293"/>
        <v>Bengaluru</v>
      </c>
      <c r="J4736" s="23">
        <f>COUNTIFS(pg_transaction_cleaned!$O:$O,A4736,pg_transaction_cleaned!$F:$F,"CAPTURE")</f>
        <v>1</v>
      </c>
      <c r="K4736" s="39">
        <f>SUMIFS(pg_transaction_cleaned!$H:$H,pg_transaction_cleaned!$O:$O,A4736,pg_transaction_cleaned!$F:$F,"CAPTURE")</f>
        <v>8998</v>
      </c>
      <c r="L4736" s="23">
        <f>COUNTIFS(pg_transaction_cleaned!$O:$O,A4736,pg_transaction_cleaned!$F:$F,"REFUND")</f>
        <v>0</v>
      </c>
      <c r="M4736" s="39">
        <f>SUMIFS(pg_transaction_cleaned!$H:$H,pg_transaction_cleaned!$O:$O,A4736,pg_transaction_cleaned!$F:$F,"REFUND")</f>
        <v>0</v>
      </c>
      <c r="N4736" s="23" t="str">
        <f t="shared" si="294"/>
        <v>OK</v>
      </c>
      <c r="O4736" s="24">
        <f t="shared" si="295"/>
        <v>0</v>
      </c>
    </row>
    <row r="4737" spans="1:15" ht="15" customHeight="1" x14ac:dyDescent="0.3">
      <c r="A4737" s="23" t="s">
        <v>9938</v>
      </c>
      <c r="B4737" s="38">
        <v>46290</v>
      </c>
      <c r="C4737" s="23" t="s">
        <v>9939</v>
      </c>
      <c r="D4737" s="23"/>
      <c r="E4737" s="23" t="s">
        <v>75</v>
      </c>
      <c r="F4737" s="23" t="s">
        <v>520</v>
      </c>
      <c r="G4737" s="23" t="s">
        <v>250</v>
      </c>
      <c r="H4737" s="39">
        <f t="shared" si="292"/>
        <v>4998</v>
      </c>
      <c r="I4737" s="23" t="str">
        <f t="shared" si="293"/>
        <v>Unknown</v>
      </c>
      <c r="J4737" s="23">
        <f>COUNTIFS(pg_transaction_cleaned!$O:$O,A4737,pg_transaction_cleaned!$F:$F,"CAPTURE")</f>
        <v>1</v>
      </c>
      <c r="K4737" s="39">
        <f>SUMIFS(pg_transaction_cleaned!$H:$H,pg_transaction_cleaned!$O:$O,A4737,pg_transaction_cleaned!$F:$F,"CAPTURE")</f>
        <v>4998</v>
      </c>
      <c r="L4737" s="23">
        <f>COUNTIFS(pg_transaction_cleaned!$O:$O,A4737,pg_transaction_cleaned!$F:$F,"REFUND")</f>
        <v>0</v>
      </c>
      <c r="M4737" s="39">
        <f>SUMIFS(pg_transaction_cleaned!$H:$H,pg_transaction_cleaned!$O:$O,A4737,pg_transaction_cleaned!$F:$F,"REFUND")</f>
        <v>0</v>
      </c>
      <c r="N4737" s="23" t="str">
        <f t="shared" si="294"/>
        <v>OK</v>
      </c>
      <c r="O4737" s="24">
        <f t="shared" si="295"/>
        <v>0</v>
      </c>
    </row>
    <row r="4738" spans="1:15" ht="15" customHeight="1" x14ac:dyDescent="0.3">
      <c r="A4738" s="23" t="s">
        <v>9940</v>
      </c>
      <c r="B4738" s="38">
        <v>46269</v>
      </c>
      <c r="C4738" s="23" t="s">
        <v>6950</v>
      </c>
      <c r="D4738" s="23" t="s">
        <v>93</v>
      </c>
      <c r="E4738" s="23" t="s">
        <v>75</v>
      </c>
      <c r="F4738" s="23" t="s">
        <v>520</v>
      </c>
      <c r="G4738" s="23" t="s">
        <v>250</v>
      </c>
      <c r="H4738" s="39">
        <f t="shared" ref="H4738:H4801" si="296">VALUE(SUBSTITUTE(F4738,",",""))</f>
        <v>4998</v>
      </c>
      <c r="I4738" s="23" t="str">
        <f t="shared" ref="I4738:I4801" si="297">IF(TRIM(D4738)="","Unknown",TRIM(D4738))</f>
        <v>Kolkata</v>
      </c>
      <c r="J4738" s="23">
        <f>COUNTIFS(pg_transaction_cleaned!$O:$O,A4738,pg_transaction_cleaned!$F:$F,"CAPTURE")</f>
        <v>1</v>
      </c>
      <c r="K4738" s="39">
        <f>SUMIFS(pg_transaction_cleaned!$H:$H,pg_transaction_cleaned!$O:$O,A4738,pg_transaction_cleaned!$F:$F,"CAPTURE")</f>
        <v>4998</v>
      </c>
      <c r="L4738" s="23">
        <f>COUNTIFS(pg_transaction_cleaned!$O:$O,A4738,pg_transaction_cleaned!$F:$F,"REFUND")</f>
        <v>0</v>
      </c>
      <c r="M4738" s="39">
        <f>SUMIFS(pg_transaction_cleaned!$H:$H,pg_transaction_cleaned!$O:$O,A4738,pg_transaction_cleaned!$F:$F,"REFUND")</f>
        <v>0</v>
      </c>
      <c r="N4738" s="23" t="str">
        <f t="shared" ref="N4738:N4801" si="298">IF(AND(G4738="Paid",J4738=0),"Paid, no payment",IF(AND(OR(G4738="Failed",G4738="Cancelled"),J4738&gt;0),"Payment on failed/cancelled",IF(J4738&gt;1,"Duplicate charge",IF(AND(J4738=1,ROUND(K4738-H4738,2)&lt;&gt;0),"Amount difference",IF(AND(G4738="Refunded",L4738=0),"Refunded, no refund",IF(AND(G4738&lt;&gt;"Refunded",L4738&gt;0),"Refund, order not Refunded",IF(AND(L4738&gt;0,ROUND(M4738-H4738,2)&lt;&gt;0),"Refund amount differs","OK")))))))</f>
        <v>OK</v>
      </c>
      <c r="O4738" s="24">
        <f t="shared" ref="O4738:O4801" si="299">IF(N4738="OK",0,IF(N4738="Paid, no payment",H4738,IF(N4738="Payment on failed/cancelled",K4738,IF(OR(N4738="Duplicate charge",N4738="Amount difference"),K4738-H4738,IF(N4738="Refunded, no refund",H4738,M4738)))))</f>
        <v>0</v>
      </c>
    </row>
    <row r="4739" spans="1:15" ht="15" customHeight="1" x14ac:dyDescent="0.3">
      <c r="A4739" s="23" t="s">
        <v>9941</v>
      </c>
      <c r="B4739" s="38">
        <v>46269</v>
      </c>
      <c r="C4739" s="23" t="s">
        <v>6295</v>
      </c>
      <c r="D4739" s="23" t="s">
        <v>91</v>
      </c>
      <c r="E4739" s="23" t="s">
        <v>79</v>
      </c>
      <c r="F4739" s="23" t="s">
        <v>475</v>
      </c>
      <c r="G4739" s="23" t="s">
        <v>250</v>
      </c>
      <c r="H4739" s="39">
        <f t="shared" si="296"/>
        <v>799</v>
      </c>
      <c r="I4739" s="23" t="str">
        <f t="shared" si="297"/>
        <v>Pune</v>
      </c>
      <c r="J4739" s="23">
        <f>COUNTIFS(pg_transaction_cleaned!$O:$O,A4739,pg_transaction_cleaned!$F:$F,"CAPTURE")</f>
        <v>1</v>
      </c>
      <c r="K4739" s="39">
        <f>SUMIFS(pg_transaction_cleaned!$H:$H,pg_transaction_cleaned!$O:$O,A4739,pg_transaction_cleaned!$F:$F,"CAPTURE")</f>
        <v>799</v>
      </c>
      <c r="L4739" s="23">
        <f>COUNTIFS(pg_transaction_cleaned!$O:$O,A4739,pg_transaction_cleaned!$F:$F,"REFUND")</f>
        <v>0</v>
      </c>
      <c r="M4739" s="39">
        <f>SUMIFS(pg_transaction_cleaned!$H:$H,pg_transaction_cleaned!$O:$O,A4739,pg_transaction_cleaned!$F:$F,"REFUND")</f>
        <v>0</v>
      </c>
      <c r="N4739" s="23" t="str">
        <f t="shared" si="298"/>
        <v>OK</v>
      </c>
      <c r="O4739" s="24">
        <f t="shared" si="299"/>
        <v>0</v>
      </c>
    </row>
    <row r="4740" spans="1:15" ht="15" customHeight="1" x14ac:dyDescent="0.3">
      <c r="A4740" s="23" t="s">
        <v>9942</v>
      </c>
      <c r="B4740" s="38">
        <v>46270</v>
      </c>
      <c r="C4740" s="23" t="s">
        <v>9943</v>
      </c>
      <c r="D4740" s="23" t="s">
        <v>94</v>
      </c>
      <c r="E4740" s="23" t="s">
        <v>77</v>
      </c>
      <c r="F4740" s="23" t="s">
        <v>396</v>
      </c>
      <c r="G4740" s="23" t="s">
        <v>250</v>
      </c>
      <c r="H4740" s="39">
        <f t="shared" si="296"/>
        <v>2999</v>
      </c>
      <c r="I4740" s="23" t="str">
        <f t="shared" si="297"/>
        <v>Chennai</v>
      </c>
      <c r="J4740" s="23">
        <f>COUNTIFS(pg_transaction_cleaned!$O:$O,A4740,pg_transaction_cleaned!$F:$F,"CAPTURE")</f>
        <v>1</v>
      </c>
      <c r="K4740" s="39">
        <f>SUMIFS(pg_transaction_cleaned!$H:$H,pg_transaction_cleaned!$O:$O,A4740,pg_transaction_cleaned!$F:$F,"CAPTURE")</f>
        <v>2999</v>
      </c>
      <c r="L4740" s="23">
        <f>COUNTIFS(pg_transaction_cleaned!$O:$O,A4740,pg_transaction_cleaned!$F:$F,"REFUND")</f>
        <v>0</v>
      </c>
      <c r="M4740" s="39">
        <f>SUMIFS(pg_transaction_cleaned!$H:$H,pg_transaction_cleaned!$O:$O,A4740,pg_transaction_cleaned!$F:$F,"REFUND")</f>
        <v>0</v>
      </c>
      <c r="N4740" s="23" t="str">
        <f t="shared" si="298"/>
        <v>OK</v>
      </c>
      <c r="O4740" s="24">
        <f t="shared" si="299"/>
        <v>0</v>
      </c>
    </row>
    <row r="4741" spans="1:15" ht="15" customHeight="1" x14ac:dyDescent="0.3">
      <c r="A4741" s="23" t="s">
        <v>9944</v>
      </c>
      <c r="B4741" s="38">
        <v>46276</v>
      </c>
      <c r="C4741" s="23" t="s">
        <v>9945</v>
      </c>
      <c r="D4741" s="23" t="s">
        <v>87</v>
      </c>
      <c r="E4741" s="23" t="s">
        <v>75</v>
      </c>
      <c r="F4741" s="23" t="s">
        <v>396</v>
      </c>
      <c r="G4741" s="23" t="s">
        <v>250</v>
      </c>
      <c r="H4741" s="39">
        <f t="shared" si="296"/>
        <v>2999</v>
      </c>
      <c r="I4741" s="23" t="str">
        <f t="shared" si="297"/>
        <v>Mumbai</v>
      </c>
      <c r="J4741" s="23">
        <f>COUNTIFS(pg_transaction_cleaned!$O:$O,A4741,pg_transaction_cleaned!$F:$F,"CAPTURE")</f>
        <v>1</v>
      </c>
      <c r="K4741" s="39">
        <f>SUMIFS(pg_transaction_cleaned!$H:$H,pg_transaction_cleaned!$O:$O,A4741,pg_transaction_cleaned!$F:$F,"CAPTURE")</f>
        <v>2999</v>
      </c>
      <c r="L4741" s="23">
        <f>COUNTIFS(pg_transaction_cleaned!$O:$O,A4741,pg_transaction_cleaned!$F:$F,"REFUND")</f>
        <v>0</v>
      </c>
      <c r="M4741" s="39">
        <f>SUMIFS(pg_transaction_cleaned!$H:$H,pg_transaction_cleaned!$O:$O,A4741,pg_transaction_cleaned!$F:$F,"REFUND")</f>
        <v>0</v>
      </c>
      <c r="N4741" s="23" t="str">
        <f t="shared" si="298"/>
        <v>OK</v>
      </c>
      <c r="O4741" s="24">
        <f t="shared" si="299"/>
        <v>0</v>
      </c>
    </row>
    <row r="4742" spans="1:15" ht="15" customHeight="1" x14ac:dyDescent="0.3">
      <c r="A4742" s="23" t="s">
        <v>9946</v>
      </c>
      <c r="B4742" s="38">
        <v>46282</v>
      </c>
      <c r="C4742" s="23" t="s">
        <v>9947</v>
      </c>
      <c r="D4742" s="23" t="s">
        <v>88</v>
      </c>
      <c r="E4742" s="23" t="s">
        <v>77</v>
      </c>
      <c r="F4742" s="23" t="s">
        <v>2304</v>
      </c>
      <c r="G4742" s="23" t="s">
        <v>250</v>
      </c>
      <c r="H4742" s="39">
        <f t="shared" si="296"/>
        <v>6797</v>
      </c>
      <c r="I4742" s="23" t="str">
        <f t="shared" si="297"/>
        <v>Lucknow</v>
      </c>
      <c r="J4742" s="23">
        <f>COUNTIFS(pg_transaction_cleaned!$O:$O,A4742,pg_transaction_cleaned!$F:$F,"CAPTURE")</f>
        <v>1</v>
      </c>
      <c r="K4742" s="39">
        <f>SUMIFS(pg_transaction_cleaned!$H:$H,pg_transaction_cleaned!$O:$O,A4742,pg_transaction_cleaned!$F:$F,"CAPTURE")</f>
        <v>6797</v>
      </c>
      <c r="L4742" s="23">
        <f>COUNTIFS(pg_transaction_cleaned!$O:$O,A4742,pg_transaction_cleaned!$F:$F,"REFUND")</f>
        <v>0</v>
      </c>
      <c r="M4742" s="39">
        <f>SUMIFS(pg_transaction_cleaned!$H:$H,pg_transaction_cleaned!$O:$O,A4742,pg_transaction_cleaned!$F:$F,"REFUND")</f>
        <v>0</v>
      </c>
      <c r="N4742" s="23" t="str">
        <f t="shared" si="298"/>
        <v>OK</v>
      </c>
      <c r="O4742" s="24">
        <f t="shared" si="299"/>
        <v>0</v>
      </c>
    </row>
    <row r="4743" spans="1:15" ht="15" customHeight="1" x14ac:dyDescent="0.3">
      <c r="A4743" s="23" t="s">
        <v>9948</v>
      </c>
      <c r="B4743" s="38">
        <v>46293</v>
      </c>
      <c r="C4743" s="23" t="s">
        <v>9949</v>
      </c>
      <c r="D4743" s="23" t="s">
        <v>86</v>
      </c>
      <c r="E4743" s="23" t="s">
        <v>75</v>
      </c>
      <c r="F4743" s="23" t="s">
        <v>288</v>
      </c>
      <c r="G4743" s="23" t="s">
        <v>250</v>
      </c>
      <c r="H4743" s="39">
        <f t="shared" si="296"/>
        <v>4298</v>
      </c>
      <c r="I4743" s="23" t="str">
        <f t="shared" si="297"/>
        <v>Delhi</v>
      </c>
      <c r="J4743" s="23">
        <f>COUNTIFS(pg_transaction_cleaned!$O:$O,A4743,pg_transaction_cleaned!$F:$F,"CAPTURE")</f>
        <v>1</v>
      </c>
      <c r="K4743" s="39">
        <f>SUMIFS(pg_transaction_cleaned!$H:$H,pg_transaction_cleaned!$O:$O,A4743,pg_transaction_cleaned!$F:$F,"CAPTURE")</f>
        <v>4298</v>
      </c>
      <c r="L4743" s="23">
        <f>COUNTIFS(pg_transaction_cleaned!$O:$O,A4743,pg_transaction_cleaned!$F:$F,"REFUND")</f>
        <v>0</v>
      </c>
      <c r="M4743" s="39">
        <f>SUMIFS(pg_transaction_cleaned!$H:$H,pg_transaction_cleaned!$O:$O,A4743,pg_transaction_cleaned!$F:$F,"REFUND")</f>
        <v>0</v>
      </c>
      <c r="N4743" s="23" t="str">
        <f t="shared" si="298"/>
        <v>OK</v>
      </c>
      <c r="O4743" s="24">
        <f t="shared" si="299"/>
        <v>0</v>
      </c>
    </row>
    <row r="4744" spans="1:15" ht="15" customHeight="1" x14ac:dyDescent="0.3">
      <c r="A4744" s="23" t="s">
        <v>9950</v>
      </c>
      <c r="B4744" s="38">
        <v>46275</v>
      </c>
      <c r="C4744" s="23" t="s">
        <v>9951</v>
      </c>
      <c r="D4744" s="23" t="s">
        <v>95</v>
      </c>
      <c r="E4744" s="23" t="s">
        <v>75</v>
      </c>
      <c r="F4744" s="23" t="s">
        <v>423</v>
      </c>
      <c r="G4744" s="23" t="s">
        <v>250</v>
      </c>
      <c r="H4744" s="39">
        <f t="shared" si="296"/>
        <v>1648</v>
      </c>
      <c r="I4744" s="23" t="str">
        <f t="shared" si="297"/>
        <v>Bengaluru</v>
      </c>
      <c r="J4744" s="23">
        <f>COUNTIFS(pg_transaction_cleaned!$O:$O,A4744,pg_transaction_cleaned!$F:$F,"CAPTURE")</f>
        <v>1</v>
      </c>
      <c r="K4744" s="39">
        <f>SUMIFS(pg_transaction_cleaned!$H:$H,pg_transaction_cleaned!$O:$O,A4744,pg_transaction_cleaned!$F:$F,"CAPTURE")</f>
        <v>1648</v>
      </c>
      <c r="L4744" s="23">
        <f>COUNTIFS(pg_transaction_cleaned!$O:$O,A4744,pg_transaction_cleaned!$F:$F,"REFUND")</f>
        <v>0</v>
      </c>
      <c r="M4744" s="39">
        <f>SUMIFS(pg_transaction_cleaned!$H:$H,pg_transaction_cleaned!$O:$O,A4744,pg_transaction_cleaned!$F:$F,"REFUND")</f>
        <v>0</v>
      </c>
      <c r="N4744" s="23" t="str">
        <f t="shared" si="298"/>
        <v>OK</v>
      </c>
      <c r="O4744" s="24">
        <f t="shared" si="299"/>
        <v>0</v>
      </c>
    </row>
    <row r="4745" spans="1:15" ht="15" customHeight="1" x14ac:dyDescent="0.3">
      <c r="A4745" s="23" t="s">
        <v>9952</v>
      </c>
      <c r="B4745" s="38">
        <v>46282</v>
      </c>
      <c r="C4745" s="23" t="s">
        <v>9953</v>
      </c>
      <c r="D4745" s="23" t="s">
        <v>91</v>
      </c>
      <c r="E4745" s="23" t="s">
        <v>75</v>
      </c>
      <c r="F4745" s="23" t="s">
        <v>297</v>
      </c>
      <c r="G4745" s="23" t="s">
        <v>250</v>
      </c>
      <c r="H4745" s="39">
        <f t="shared" si="296"/>
        <v>4999</v>
      </c>
      <c r="I4745" s="23" t="str">
        <f t="shared" si="297"/>
        <v>Pune</v>
      </c>
      <c r="J4745" s="23">
        <f>COUNTIFS(pg_transaction_cleaned!$O:$O,A4745,pg_transaction_cleaned!$F:$F,"CAPTURE")</f>
        <v>1</v>
      </c>
      <c r="K4745" s="39">
        <f>SUMIFS(pg_transaction_cleaned!$H:$H,pg_transaction_cleaned!$O:$O,A4745,pg_transaction_cleaned!$F:$F,"CAPTURE")</f>
        <v>4999</v>
      </c>
      <c r="L4745" s="23">
        <f>COUNTIFS(pg_transaction_cleaned!$O:$O,A4745,pg_transaction_cleaned!$F:$F,"REFUND")</f>
        <v>0</v>
      </c>
      <c r="M4745" s="39">
        <f>SUMIFS(pg_transaction_cleaned!$H:$H,pg_transaction_cleaned!$O:$O,A4745,pg_transaction_cleaned!$F:$F,"REFUND")</f>
        <v>0</v>
      </c>
      <c r="N4745" s="23" t="str">
        <f t="shared" si="298"/>
        <v>OK</v>
      </c>
      <c r="O4745" s="24">
        <f t="shared" si="299"/>
        <v>0</v>
      </c>
    </row>
    <row r="4746" spans="1:15" ht="15" customHeight="1" x14ac:dyDescent="0.3">
      <c r="A4746" s="23" t="s">
        <v>9954</v>
      </c>
      <c r="B4746" s="38">
        <v>46275</v>
      </c>
      <c r="C4746" s="23" t="s">
        <v>9955</v>
      </c>
      <c r="D4746" s="23" t="s">
        <v>87</v>
      </c>
      <c r="E4746" s="23" t="s">
        <v>75</v>
      </c>
      <c r="F4746" s="23" t="s">
        <v>265</v>
      </c>
      <c r="G4746" s="23" t="s">
        <v>250</v>
      </c>
      <c r="H4746" s="39">
        <f t="shared" si="296"/>
        <v>999</v>
      </c>
      <c r="I4746" s="23" t="str">
        <f t="shared" si="297"/>
        <v>Mumbai</v>
      </c>
      <c r="J4746" s="23">
        <f>COUNTIFS(pg_transaction_cleaned!$O:$O,A4746,pg_transaction_cleaned!$F:$F,"CAPTURE")</f>
        <v>1</v>
      </c>
      <c r="K4746" s="39">
        <f>SUMIFS(pg_transaction_cleaned!$H:$H,pg_transaction_cleaned!$O:$O,A4746,pg_transaction_cleaned!$F:$F,"CAPTURE")</f>
        <v>999</v>
      </c>
      <c r="L4746" s="23">
        <f>COUNTIFS(pg_transaction_cleaned!$O:$O,A4746,pg_transaction_cleaned!$F:$F,"REFUND")</f>
        <v>0</v>
      </c>
      <c r="M4746" s="39">
        <f>SUMIFS(pg_transaction_cleaned!$H:$H,pg_transaction_cleaned!$O:$O,A4746,pg_transaction_cleaned!$F:$F,"REFUND")</f>
        <v>0</v>
      </c>
      <c r="N4746" s="23" t="str">
        <f t="shared" si="298"/>
        <v>OK</v>
      </c>
      <c r="O4746" s="24">
        <f t="shared" si="299"/>
        <v>0</v>
      </c>
    </row>
    <row r="4747" spans="1:15" ht="15" customHeight="1" x14ac:dyDescent="0.3">
      <c r="A4747" s="23" t="s">
        <v>9956</v>
      </c>
      <c r="B4747" s="38">
        <v>46281</v>
      </c>
      <c r="C4747" s="23" t="s">
        <v>9957</v>
      </c>
      <c r="D4747" s="23" t="s">
        <v>93</v>
      </c>
      <c r="E4747" s="23" t="s">
        <v>79</v>
      </c>
      <c r="F4747" s="23" t="s">
        <v>253</v>
      </c>
      <c r="G4747" s="23" t="s">
        <v>250</v>
      </c>
      <c r="H4747" s="39">
        <f t="shared" si="296"/>
        <v>4647</v>
      </c>
      <c r="I4747" s="23" t="str">
        <f t="shared" si="297"/>
        <v>Kolkata</v>
      </c>
      <c r="J4747" s="23">
        <f>COUNTIFS(pg_transaction_cleaned!$O:$O,A4747,pg_transaction_cleaned!$F:$F,"CAPTURE")</f>
        <v>1</v>
      </c>
      <c r="K4747" s="39">
        <f>SUMIFS(pg_transaction_cleaned!$H:$H,pg_transaction_cleaned!$O:$O,A4747,pg_transaction_cleaned!$F:$F,"CAPTURE")</f>
        <v>4647</v>
      </c>
      <c r="L4747" s="23">
        <f>COUNTIFS(pg_transaction_cleaned!$O:$O,A4747,pg_transaction_cleaned!$F:$F,"REFUND")</f>
        <v>0</v>
      </c>
      <c r="M4747" s="39">
        <f>SUMIFS(pg_transaction_cleaned!$H:$H,pg_transaction_cleaned!$O:$O,A4747,pg_transaction_cleaned!$F:$F,"REFUND")</f>
        <v>0</v>
      </c>
      <c r="N4747" s="23" t="str">
        <f t="shared" si="298"/>
        <v>OK</v>
      </c>
      <c r="O4747" s="24">
        <f t="shared" si="299"/>
        <v>0</v>
      </c>
    </row>
    <row r="4748" spans="1:15" ht="15" customHeight="1" x14ac:dyDescent="0.3">
      <c r="A4748" s="23" t="s">
        <v>9958</v>
      </c>
      <c r="B4748" s="38">
        <v>46276</v>
      </c>
      <c r="C4748" s="23" t="s">
        <v>9959</v>
      </c>
      <c r="D4748" s="23" t="s">
        <v>90</v>
      </c>
      <c r="E4748" s="23" t="s">
        <v>75</v>
      </c>
      <c r="F4748" s="23" t="s">
        <v>268</v>
      </c>
      <c r="G4748" s="23" t="s">
        <v>250</v>
      </c>
      <c r="H4748" s="39">
        <f t="shared" si="296"/>
        <v>1299</v>
      </c>
      <c r="I4748" s="23" t="str">
        <f t="shared" si="297"/>
        <v>Ahmedabad</v>
      </c>
      <c r="J4748" s="23">
        <f>COUNTIFS(pg_transaction_cleaned!$O:$O,A4748,pg_transaction_cleaned!$F:$F,"CAPTURE")</f>
        <v>1</v>
      </c>
      <c r="K4748" s="39">
        <f>SUMIFS(pg_transaction_cleaned!$H:$H,pg_transaction_cleaned!$O:$O,A4748,pg_transaction_cleaned!$F:$F,"CAPTURE")</f>
        <v>1299</v>
      </c>
      <c r="L4748" s="23">
        <f>COUNTIFS(pg_transaction_cleaned!$O:$O,A4748,pg_transaction_cleaned!$F:$F,"REFUND")</f>
        <v>0</v>
      </c>
      <c r="M4748" s="39">
        <f>SUMIFS(pg_transaction_cleaned!$H:$H,pg_transaction_cleaned!$O:$O,A4748,pg_transaction_cleaned!$F:$F,"REFUND")</f>
        <v>0</v>
      </c>
      <c r="N4748" s="23" t="str">
        <f t="shared" si="298"/>
        <v>OK</v>
      </c>
      <c r="O4748" s="24">
        <f t="shared" si="299"/>
        <v>0</v>
      </c>
    </row>
    <row r="4749" spans="1:15" ht="15" customHeight="1" x14ac:dyDescent="0.3">
      <c r="A4749" s="23" t="s">
        <v>9960</v>
      </c>
      <c r="B4749" s="38">
        <v>46288</v>
      </c>
      <c r="C4749" s="23" t="s">
        <v>9961</v>
      </c>
      <c r="D4749" s="23" t="s">
        <v>86</v>
      </c>
      <c r="E4749" s="23" t="s">
        <v>79</v>
      </c>
      <c r="F4749" s="23" t="s">
        <v>742</v>
      </c>
      <c r="G4749" s="23" t="s">
        <v>250</v>
      </c>
      <c r="H4749" s="39">
        <f t="shared" si="296"/>
        <v>999</v>
      </c>
      <c r="I4749" s="23" t="str">
        <f t="shared" si="297"/>
        <v>Delhi</v>
      </c>
      <c r="J4749" s="23">
        <f>COUNTIFS(pg_transaction_cleaned!$O:$O,A4749,pg_transaction_cleaned!$F:$F,"CAPTURE")</f>
        <v>1</v>
      </c>
      <c r="K4749" s="39">
        <f>SUMIFS(pg_transaction_cleaned!$H:$H,pg_transaction_cleaned!$O:$O,A4749,pg_transaction_cleaned!$F:$F,"CAPTURE")</f>
        <v>999</v>
      </c>
      <c r="L4749" s="23">
        <f>COUNTIFS(pg_transaction_cleaned!$O:$O,A4749,pg_transaction_cleaned!$F:$F,"REFUND")</f>
        <v>0</v>
      </c>
      <c r="M4749" s="39">
        <f>SUMIFS(pg_transaction_cleaned!$H:$H,pg_transaction_cleaned!$O:$O,A4749,pg_transaction_cleaned!$F:$F,"REFUND")</f>
        <v>0</v>
      </c>
      <c r="N4749" s="23" t="str">
        <f t="shared" si="298"/>
        <v>OK</v>
      </c>
      <c r="O4749" s="24">
        <f t="shared" si="299"/>
        <v>0</v>
      </c>
    </row>
    <row r="4750" spans="1:15" ht="15" customHeight="1" x14ac:dyDescent="0.3">
      <c r="A4750" s="23" t="s">
        <v>9962</v>
      </c>
      <c r="B4750" s="38">
        <v>46270</v>
      </c>
      <c r="C4750" s="23" t="s">
        <v>9963</v>
      </c>
      <c r="D4750" s="23" t="s">
        <v>87</v>
      </c>
      <c r="E4750" s="23" t="s">
        <v>75</v>
      </c>
      <c r="F4750" s="23" t="s">
        <v>262</v>
      </c>
      <c r="G4750" s="23" t="s">
        <v>250</v>
      </c>
      <c r="H4750" s="39">
        <f t="shared" si="296"/>
        <v>499</v>
      </c>
      <c r="I4750" s="23" t="str">
        <f t="shared" si="297"/>
        <v>Mumbai</v>
      </c>
      <c r="J4750" s="23">
        <f>COUNTIFS(pg_transaction_cleaned!$O:$O,A4750,pg_transaction_cleaned!$F:$F,"CAPTURE")</f>
        <v>1</v>
      </c>
      <c r="K4750" s="39">
        <f>SUMIFS(pg_transaction_cleaned!$H:$H,pg_transaction_cleaned!$O:$O,A4750,pg_transaction_cleaned!$F:$F,"CAPTURE")</f>
        <v>499</v>
      </c>
      <c r="L4750" s="23">
        <f>COUNTIFS(pg_transaction_cleaned!$O:$O,A4750,pg_transaction_cleaned!$F:$F,"REFUND")</f>
        <v>0</v>
      </c>
      <c r="M4750" s="39">
        <f>SUMIFS(pg_transaction_cleaned!$H:$H,pg_transaction_cleaned!$O:$O,A4750,pg_transaction_cleaned!$F:$F,"REFUND")</f>
        <v>0</v>
      </c>
      <c r="N4750" s="23" t="str">
        <f t="shared" si="298"/>
        <v>OK</v>
      </c>
      <c r="O4750" s="24">
        <f t="shared" si="299"/>
        <v>0</v>
      </c>
    </row>
    <row r="4751" spans="1:15" ht="15" customHeight="1" x14ac:dyDescent="0.3">
      <c r="A4751" s="23" t="s">
        <v>9964</v>
      </c>
      <c r="B4751" s="38">
        <v>46266</v>
      </c>
      <c r="C4751" s="23" t="s">
        <v>9965</v>
      </c>
      <c r="D4751" s="23" t="s">
        <v>87</v>
      </c>
      <c r="E4751" s="23" t="s">
        <v>75</v>
      </c>
      <c r="F4751" s="23" t="s">
        <v>262</v>
      </c>
      <c r="G4751" s="23" t="s">
        <v>250</v>
      </c>
      <c r="H4751" s="39">
        <f t="shared" si="296"/>
        <v>499</v>
      </c>
      <c r="I4751" s="23" t="str">
        <f t="shared" si="297"/>
        <v>Mumbai</v>
      </c>
      <c r="J4751" s="23">
        <f>COUNTIFS(pg_transaction_cleaned!$O:$O,A4751,pg_transaction_cleaned!$F:$F,"CAPTURE")</f>
        <v>1</v>
      </c>
      <c r="K4751" s="39">
        <f>SUMIFS(pg_transaction_cleaned!$H:$H,pg_transaction_cleaned!$O:$O,A4751,pg_transaction_cleaned!$F:$F,"CAPTURE")</f>
        <v>499</v>
      </c>
      <c r="L4751" s="23">
        <f>COUNTIFS(pg_transaction_cleaned!$O:$O,A4751,pg_transaction_cleaned!$F:$F,"REFUND")</f>
        <v>0</v>
      </c>
      <c r="M4751" s="39">
        <f>SUMIFS(pg_transaction_cleaned!$H:$H,pg_transaction_cleaned!$O:$O,A4751,pg_transaction_cleaned!$F:$F,"REFUND")</f>
        <v>0</v>
      </c>
      <c r="N4751" s="23" t="str">
        <f t="shared" si="298"/>
        <v>OK</v>
      </c>
      <c r="O4751" s="24">
        <f t="shared" si="299"/>
        <v>0</v>
      </c>
    </row>
    <row r="4752" spans="1:15" ht="15" customHeight="1" x14ac:dyDescent="0.3">
      <c r="A4752" s="23" t="s">
        <v>9966</v>
      </c>
      <c r="B4752" s="38">
        <v>46277</v>
      </c>
      <c r="C4752" s="23" t="s">
        <v>9967</v>
      </c>
      <c r="D4752" s="23" t="s">
        <v>86</v>
      </c>
      <c r="E4752" s="23" t="s">
        <v>81</v>
      </c>
      <c r="F4752" s="23" t="s">
        <v>520</v>
      </c>
      <c r="G4752" s="23" t="s">
        <v>250</v>
      </c>
      <c r="H4752" s="39">
        <f t="shared" si="296"/>
        <v>4998</v>
      </c>
      <c r="I4752" s="23" t="str">
        <f t="shared" si="297"/>
        <v>Delhi</v>
      </c>
      <c r="J4752" s="23">
        <f>COUNTIFS(pg_transaction_cleaned!$O:$O,A4752,pg_transaction_cleaned!$F:$F,"CAPTURE")</f>
        <v>1</v>
      </c>
      <c r="K4752" s="39">
        <f>SUMIFS(pg_transaction_cleaned!$H:$H,pg_transaction_cleaned!$O:$O,A4752,pg_transaction_cleaned!$F:$F,"CAPTURE")</f>
        <v>4998</v>
      </c>
      <c r="L4752" s="23">
        <f>COUNTIFS(pg_transaction_cleaned!$O:$O,A4752,pg_transaction_cleaned!$F:$F,"REFUND")</f>
        <v>0</v>
      </c>
      <c r="M4752" s="39">
        <f>SUMIFS(pg_transaction_cleaned!$H:$H,pg_transaction_cleaned!$O:$O,A4752,pg_transaction_cleaned!$F:$F,"REFUND")</f>
        <v>0</v>
      </c>
      <c r="N4752" s="23" t="str">
        <f t="shared" si="298"/>
        <v>OK</v>
      </c>
      <c r="O4752" s="24">
        <f t="shared" si="299"/>
        <v>0</v>
      </c>
    </row>
    <row r="4753" spans="1:15" ht="15" customHeight="1" x14ac:dyDescent="0.3">
      <c r="A4753" s="23" t="s">
        <v>9968</v>
      </c>
      <c r="B4753" s="38">
        <v>46277</v>
      </c>
      <c r="C4753" s="23" t="s">
        <v>9969</v>
      </c>
      <c r="D4753" s="23" t="s">
        <v>92</v>
      </c>
      <c r="E4753" s="23" t="s">
        <v>79</v>
      </c>
      <c r="F4753" s="23" t="s">
        <v>396</v>
      </c>
      <c r="G4753" s="23" t="s">
        <v>250</v>
      </c>
      <c r="H4753" s="39">
        <f t="shared" si="296"/>
        <v>2999</v>
      </c>
      <c r="I4753" s="23" t="str">
        <f t="shared" si="297"/>
        <v>Hyderabad</v>
      </c>
      <c r="J4753" s="23">
        <f>COUNTIFS(pg_transaction_cleaned!$O:$O,A4753,pg_transaction_cleaned!$F:$F,"CAPTURE")</f>
        <v>1</v>
      </c>
      <c r="K4753" s="39">
        <f>SUMIFS(pg_transaction_cleaned!$H:$H,pg_transaction_cleaned!$O:$O,A4753,pg_transaction_cleaned!$F:$F,"CAPTURE")</f>
        <v>2999</v>
      </c>
      <c r="L4753" s="23">
        <f>COUNTIFS(pg_transaction_cleaned!$O:$O,A4753,pg_transaction_cleaned!$F:$F,"REFUND")</f>
        <v>0</v>
      </c>
      <c r="M4753" s="39">
        <f>SUMIFS(pg_transaction_cleaned!$H:$H,pg_transaction_cleaned!$O:$O,A4753,pg_transaction_cleaned!$F:$F,"REFUND")</f>
        <v>0</v>
      </c>
      <c r="N4753" s="23" t="str">
        <f t="shared" si="298"/>
        <v>OK</v>
      </c>
      <c r="O4753" s="24">
        <f t="shared" si="299"/>
        <v>0</v>
      </c>
    </row>
    <row r="4754" spans="1:15" ht="15" customHeight="1" x14ac:dyDescent="0.3">
      <c r="A4754" s="23" t="s">
        <v>9970</v>
      </c>
      <c r="B4754" s="38">
        <v>46269</v>
      </c>
      <c r="C4754" s="23" t="s">
        <v>9971</v>
      </c>
      <c r="D4754" s="23" t="s">
        <v>94</v>
      </c>
      <c r="E4754" s="23" t="s">
        <v>81</v>
      </c>
      <c r="F4754" s="23" t="s">
        <v>675</v>
      </c>
      <c r="G4754" s="23" t="s">
        <v>250</v>
      </c>
      <c r="H4754" s="39">
        <f t="shared" si="296"/>
        <v>10998</v>
      </c>
      <c r="I4754" s="23" t="str">
        <f t="shared" si="297"/>
        <v>Chennai</v>
      </c>
      <c r="J4754" s="23">
        <f>COUNTIFS(pg_transaction_cleaned!$O:$O,A4754,pg_transaction_cleaned!$F:$F,"CAPTURE")</f>
        <v>1</v>
      </c>
      <c r="K4754" s="39">
        <f>SUMIFS(pg_transaction_cleaned!$H:$H,pg_transaction_cleaned!$O:$O,A4754,pg_transaction_cleaned!$F:$F,"CAPTURE")</f>
        <v>10998</v>
      </c>
      <c r="L4754" s="23">
        <f>COUNTIFS(pg_transaction_cleaned!$O:$O,A4754,pg_transaction_cleaned!$F:$F,"REFUND")</f>
        <v>0</v>
      </c>
      <c r="M4754" s="39">
        <f>SUMIFS(pg_transaction_cleaned!$H:$H,pg_transaction_cleaned!$O:$O,A4754,pg_transaction_cleaned!$F:$F,"REFUND")</f>
        <v>0</v>
      </c>
      <c r="N4754" s="23" t="str">
        <f t="shared" si="298"/>
        <v>OK</v>
      </c>
      <c r="O4754" s="24">
        <f t="shared" si="299"/>
        <v>0</v>
      </c>
    </row>
    <row r="4755" spans="1:15" ht="15" customHeight="1" x14ac:dyDescent="0.3">
      <c r="A4755" s="23" t="s">
        <v>9972</v>
      </c>
      <c r="B4755" s="38">
        <v>46268</v>
      </c>
      <c r="C4755" s="23" t="s">
        <v>9973</v>
      </c>
      <c r="D4755" s="23" t="s">
        <v>86</v>
      </c>
      <c r="E4755" s="23" t="s">
        <v>75</v>
      </c>
      <c r="F4755" s="23" t="s">
        <v>9974</v>
      </c>
      <c r="G4755" s="23" t="s">
        <v>250</v>
      </c>
      <c r="H4755" s="39">
        <f t="shared" si="296"/>
        <v>2598</v>
      </c>
      <c r="I4755" s="23" t="str">
        <f t="shared" si="297"/>
        <v>Delhi</v>
      </c>
      <c r="J4755" s="23">
        <f>COUNTIFS(pg_transaction_cleaned!$O:$O,A4755,pg_transaction_cleaned!$F:$F,"CAPTURE")</f>
        <v>1</v>
      </c>
      <c r="K4755" s="39">
        <f>SUMIFS(pg_transaction_cleaned!$H:$H,pg_transaction_cleaned!$O:$O,A4755,pg_transaction_cleaned!$F:$F,"CAPTURE")</f>
        <v>2598</v>
      </c>
      <c r="L4755" s="23">
        <f>COUNTIFS(pg_transaction_cleaned!$O:$O,A4755,pg_transaction_cleaned!$F:$F,"REFUND")</f>
        <v>0</v>
      </c>
      <c r="M4755" s="39">
        <f>SUMIFS(pg_transaction_cleaned!$H:$H,pg_transaction_cleaned!$O:$O,A4755,pg_transaction_cleaned!$F:$F,"REFUND")</f>
        <v>0</v>
      </c>
      <c r="N4755" s="23" t="str">
        <f t="shared" si="298"/>
        <v>OK</v>
      </c>
      <c r="O4755" s="24">
        <f t="shared" si="299"/>
        <v>0</v>
      </c>
    </row>
    <row r="4756" spans="1:15" ht="15" customHeight="1" x14ac:dyDescent="0.3">
      <c r="A4756" s="23" t="s">
        <v>9975</v>
      </c>
      <c r="B4756" s="38">
        <v>46272</v>
      </c>
      <c r="C4756" s="23" t="s">
        <v>9976</v>
      </c>
      <c r="D4756" s="23"/>
      <c r="E4756" s="23" t="s">
        <v>75</v>
      </c>
      <c r="F4756" s="23" t="s">
        <v>460</v>
      </c>
      <c r="G4756" s="23" t="s">
        <v>250</v>
      </c>
      <c r="H4756" s="39">
        <f t="shared" si="296"/>
        <v>1998</v>
      </c>
      <c r="I4756" s="23" t="str">
        <f t="shared" si="297"/>
        <v>Unknown</v>
      </c>
      <c r="J4756" s="23">
        <f>COUNTIFS(pg_transaction_cleaned!$O:$O,A4756,pg_transaction_cleaned!$F:$F,"CAPTURE")</f>
        <v>1</v>
      </c>
      <c r="K4756" s="39">
        <f>SUMIFS(pg_transaction_cleaned!$H:$H,pg_transaction_cleaned!$O:$O,A4756,pg_transaction_cleaned!$F:$F,"CAPTURE")</f>
        <v>1998</v>
      </c>
      <c r="L4756" s="23">
        <f>COUNTIFS(pg_transaction_cleaned!$O:$O,A4756,pg_transaction_cleaned!$F:$F,"REFUND")</f>
        <v>0</v>
      </c>
      <c r="M4756" s="39">
        <f>SUMIFS(pg_transaction_cleaned!$H:$H,pg_transaction_cleaned!$O:$O,A4756,pg_transaction_cleaned!$F:$F,"REFUND")</f>
        <v>0</v>
      </c>
      <c r="N4756" s="23" t="str">
        <f t="shared" si="298"/>
        <v>OK</v>
      </c>
      <c r="O4756" s="24">
        <f t="shared" si="299"/>
        <v>0</v>
      </c>
    </row>
    <row r="4757" spans="1:15" ht="15" customHeight="1" x14ac:dyDescent="0.3">
      <c r="A4757" s="23" t="s">
        <v>9977</v>
      </c>
      <c r="B4757" s="38">
        <v>46286</v>
      </c>
      <c r="C4757" s="23" t="s">
        <v>9978</v>
      </c>
      <c r="D4757" s="23" t="s">
        <v>91</v>
      </c>
      <c r="E4757" s="23" t="s">
        <v>79</v>
      </c>
      <c r="F4757" s="23" t="s">
        <v>553</v>
      </c>
      <c r="G4757" s="23" t="s">
        <v>250</v>
      </c>
      <c r="H4757" s="39">
        <f t="shared" si="296"/>
        <v>2798</v>
      </c>
      <c r="I4757" s="23" t="str">
        <f t="shared" si="297"/>
        <v>Pune</v>
      </c>
      <c r="J4757" s="23">
        <f>COUNTIFS(pg_transaction_cleaned!$O:$O,A4757,pg_transaction_cleaned!$F:$F,"CAPTURE")</f>
        <v>1</v>
      </c>
      <c r="K4757" s="39">
        <f>SUMIFS(pg_transaction_cleaned!$H:$H,pg_transaction_cleaned!$O:$O,A4757,pg_transaction_cleaned!$F:$F,"CAPTURE")</f>
        <v>2798</v>
      </c>
      <c r="L4757" s="23">
        <f>COUNTIFS(pg_transaction_cleaned!$O:$O,A4757,pg_transaction_cleaned!$F:$F,"REFUND")</f>
        <v>0</v>
      </c>
      <c r="M4757" s="39">
        <f>SUMIFS(pg_transaction_cleaned!$H:$H,pg_transaction_cleaned!$O:$O,A4757,pg_transaction_cleaned!$F:$F,"REFUND")</f>
        <v>0</v>
      </c>
      <c r="N4757" s="23" t="str">
        <f t="shared" si="298"/>
        <v>OK</v>
      </c>
      <c r="O4757" s="24">
        <f t="shared" si="299"/>
        <v>0</v>
      </c>
    </row>
    <row r="4758" spans="1:15" ht="15" customHeight="1" x14ac:dyDescent="0.3">
      <c r="A4758" s="23" t="s">
        <v>9979</v>
      </c>
      <c r="B4758" s="38">
        <v>46276</v>
      </c>
      <c r="C4758" s="23" t="s">
        <v>9980</v>
      </c>
      <c r="D4758" s="23" t="s">
        <v>92</v>
      </c>
      <c r="E4758" s="23" t="s">
        <v>75</v>
      </c>
      <c r="F4758" s="23" t="s">
        <v>315</v>
      </c>
      <c r="G4758" s="23" t="s">
        <v>250</v>
      </c>
      <c r="H4758" s="39">
        <f t="shared" si="296"/>
        <v>1499</v>
      </c>
      <c r="I4758" s="23" t="str">
        <f t="shared" si="297"/>
        <v>Hyderabad</v>
      </c>
      <c r="J4758" s="23">
        <f>COUNTIFS(pg_transaction_cleaned!$O:$O,A4758,pg_transaction_cleaned!$F:$F,"CAPTURE")</f>
        <v>1</v>
      </c>
      <c r="K4758" s="39">
        <f>SUMIFS(pg_transaction_cleaned!$H:$H,pg_transaction_cleaned!$O:$O,A4758,pg_transaction_cleaned!$F:$F,"CAPTURE")</f>
        <v>1499</v>
      </c>
      <c r="L4758" s="23">
        <f>COUNTIFS(pg_transaction_cleaned!$O:$O,A4758,pg_transaction_cleaned!$F:$F,"REFUND")</f>
        <v>0</v>
      </c>
      <c r="M4758" s="39">
        <f>SUMIFS(pg_transaction_cleaned!$H:$H,pg_transaction_cleaned!$O:$O,A4758,pg_transaction_cleaned!$F:$F,"REFUND")</f>
        <v>0</v>
      </c>
      <c r="N4758" s="23" t="str">
        <f t="shared" si="298"/>
        <v>OK</v>
      </c>
      <c r="O4758" s="24">
        <f t="shared" si="299"/>
        <v>0</v>
      </c>
    </row>
    <row r="4759" spans="1:15" ht="15" customHeight="1" x14ac:dyDescent="0.3">
      <c r="A4759" s="23" t="s">
        <v>9981</v>
      </c>
      <c r="B4759" s="38">
        <v>46275</v>
      </c>
      <c r="C4759" s="23" t="s">
        <v>9982</v>
      </c>
      <c r="D4759" s="23" t="s">
        <v>89</v>
      </c>
      <c r="E4759" s="23" t="s">
        <v>75</v>
      </c>
      <c r="F4759" s="23" t="s">
        <v>262</v>
      </c>
      <c r="G4759" s="23" t="s">
        <v>250</v>
      </c>
      <c r="H4759" s="39">
        <f t="shared" si="296"/>
        <v>499</v>
      </c>
      <c r="I4759" s="23" t="str">
        <f t="shared" si="297"/>
        <v>Jaipur</v>
      </c>
      <c r="J4759" s="23">
        <f>COUNTIFS(pg_transaction_cleaned!$O:$O,A4759,pg_transaction_cleaned!$F:$F,"CAPTURE")</f>
        <v>1</v>
      </c>
      <c r="K4759" s="39">
        <f>SUMIFS(pg_transaction_cleaned!$H:$H,pg_transaction_cleaned!$O:$O,A4759,pg_transaction_cleaned!$F:$F,"CAPTURE")</f>
        <v>499</v>
      </c>
      <c r="L4759" s="23">
        <f>COUNTIFS(pg_transaction_cleaned!$O:$O,A4759,pg_transaction_cleaned!$F:$F,"REFUND")</f>
        <v>0</v>
      </c>
      <c r="M4759" s="39">
        <f>SUMIFS(pg_transaction_cleaned!$H:$H,pg_transaction_cleaned!$O:$O,A4759,pg_transaction_cleaned!$F:$F,"REFUND")</f>
        <v>0</v>
      </c>
      <c r="N4759" s="23" t="str">
        <f t="shared" si="298"/>
        <v>OK</v>
      </c>
      <c r="O4759" s="24">
        <f t="shared" si="299"/>
        <v>0</v>
      </c>
    </row>
    <row r="4760" spans="1:15" ht="15" customHeight="1" x14ac:dyDescent="0.3">
      <c r="A4760" s="23" t="s">
        <v>9983</v>
      </c>
      <c r="B4760" s="38">
        <v>46270</v>
      </c>
      <c r="C4760" s="23" t="s">
        <v>9984</v>
      </c>
      <c r="D4760" s="23" t="s">
        <v>95</v>
      </c>
      <c r="E4760" s="23" t="s">
        <v>75</v>
      </c>
      <c r="F4760" s="23" t="s">
        <v>294</v>
      </c>
      <c r="G4760" s="23" t="s">
        <v>250</v>
      </c>
      <c r="H4760" s="39">
        <f t="shared" si="296"/>
        <v>1799</v>
      </c>
      <c r="I4760" s="23" t="str">
        <f t="shared" si="297"/>
        <v>Bengaluru</v>
      </c>
      <c r="J4760" s="23">
        <f>COUNTIFS(pg_transaction_cleaned!$O:$O,A4760,pg_transaction_cleaned!$F:$F,"CAPTURE")</f>
        <v>1</v>
      </c>
      <c r="K4760" s="39">
        <f>SUMIFS(pg_transaction_cleaned!$H:$H,pg_transaction_cleaned!$O:$O,A4760,pg_transaction_cleaned!$F:$F,"CAPTURE")</f>
        <v>1799</v>
      </c>
      <c r="L4760" s="23">
        <f>COUNTIFS(pg_transaction_cleaned!$O:$O,A4760,pg_transaction_cleaned!$F:$F,"REFUND")</f>
        <v>0</v>
      </c>
      <c r="M4760" s="39">
        <f>SUMIFS(pg_transaction_cleaned!$H:$H,pg_transaction_cleaned!$O:$O,A4760,pg_transaction_cleaned!$F:$F,"REFUND")</f>
        <v>0</v>
      </c>
      <c r="N4760" s="23" t="str">
        <f t="shared" si="298"/>
        <v>OK</v>
      </c>
      <c r="O4760" s="24">
        <f t="shared" si="299"/>
        <v>0</v>
      </c>
    </row>
    <row r="4761" spans="1:15" ht="15" customHeight="1" x14ac:dyDescent="0.3">
      <c r="A4761" s="23" t="s">
        <v>9985</v>
      </c>
      <c r="B4761" s="38">
        <v>46293</v>
      </c>
      <c r="C4761" s="23" t="s">
        <v>9986</v>
      </c>
      <c r="D4761" s="23" t="s">
        <v>91</v>
      </c>
      <c r="E4761" s="23" t="s">
        <v>75</v>
      </c>
      <c r="F4761" s="23" t="s">
        <v>256</v>
      </c>
      <c r="G4761" s="23" t="s">
        <v>250</v>
      </c>
      <c r="H4761" s="39">
        <f t="shared" si="296"/>
        <v>2098</v>
      </c>
      <c r="I4761" s="23" t="str">
        <f t="shared" si="297"/>
        <v>Pune</v>
      </c>
      <c r="J4761" s="23">
        <f>COUNTIFS(pg_transaction_cleaned!$O:$O,A4761,pg_transaction_cleaned!$F:$F,"CAPTURE")</f>
        <v>1</v>
      </c>
      <c r="K4761" s="39">
        <f>SUMIFS(pg_transaction_cleaned!$H:$H,pg_transaction_cleaned!$O:$O,A4761,pg_transaction_cleaned!$F:$F,"CAPTURE")</f>
        <v>2098</v>
      </c>
      <c r="L4761" s="23">
        <f>COUNTIFS(pg_transaction_cleaned!$O:$O,A4761,pg_transaction_cleaned!$F:$F,"REFUND")</f>
        <v>0</v>
      </c>
      <c r="M4761" s="39">
        <f>SUMIFS(pg_transaction_cleaned!$H:$H,pg_transaction_cleaned!$O:$O,A4761,pg_transaction_cleaned!$F:$F,"REFUND")</f>
        <v>0</v>
      </c>
      <c r="N4761" s="23" t="str">
        <f t="shared" si="298"/>
        <v>OK</v>
      </c>
      <c r="O4761" s="24">
        <f t="shared" si="299"/>
        <v>0</v>
      </c>
    </row>
    <row r="4762" spans="1:15" ht="15" customHeight="1" x14ac:dyDescent="0.3">
      <c r="A4762" s="23" t="s">
        <v>9987</v>
      </c>
      <c r="B4762" s="38">
        <v>46292</v>
      </c>
      <c r="C4762" s="23" t="s">
        <v>9988</v>
      </c>
      <c r="D4762" s="23" t="s">
        <v>93</v>
      </c>
      <c r="E4762" s="23" t="s">
        <v>75</v>
      </c>
      <c r="F4762" s="23" t="s">
        <v>2954</v>
      </c>
      <c r="G4762" s="23" t="s">
        <v>250</v>
      </c>
      <c r="H4762" s="39">
        <f t="shared" si="296"/>
        <v>1799</v>
      </c>
      <c r="I4762" s="23" t="str">
        <f t="shared" si="297"/>
        <v>Kolkata</v>
      </c>
      <c r="J4762" s="23">
        <f>COUNTIFS(pg_transaction_cleaned!$O:$O,A4762,pg_transaction_cleaned!$F:$F,"CAPTURE")</f>
        <v>1</v>
      </c>
      <c r="K4762" s="39">
        <f>SUMIFS(pg_transaction_cleaned!$H:$H,pg_transaction_cleaned!$O:$O,A4762,pg_transaction_cleaned!$F:$F,"CAPTURE")</f>
        <v>1799</v>
      </c>
      <c r="L4762" s="23">
        <f>COUNTIFS(pg_transaction_cleaned!$O:$O,A4762,pg_transaction_cleaned!$F:$F,"REFUND")</f>
        <v>0</v>
      </c>
      <c r="M4762" s="39">
        <f>SUMIFS(pg_transaction_cleaned!$H:$H,pg_transaction_cleaned!$O:$O,A4762,pg_transaction_cleaned!$F:$F,"REFUND")</f>
        <v>0</v>
      </c>
      <c r="N4762" s="23" t="str">
        <f t="shared" si="298"/>
        <v>OK</v>
      </c>
      <c r="O4762" s="24">
        <f t="shared" si="299"/>
        <v>0</v>
      </c>
    </row>
    <row r="4763" spans="1:15" ht="15" customHeight="1" x14ac:dyDescent="0.3">
      <c r="A4763" s="23" t="s">
        <v>9989</v>
      </c>
      <c r="B4763" s="38">
        <v>46286</v>
      </c>
      <c r="C4763" s="23" t="s">
        <v>9990</v>
      </c>
      <c r="D4763" s="23" t="s">
        <v>95</v>
      </c>
      <c r="E4763" s="23" t="s">
        <v>79</v>
      </c>
      <c r="F4763" s="23" t="s">
        <v>1463</v>
      </c>
      <c r="G4763" s="23" t="s">
        <v>365</v>
      </c>
      <c r="H4763" s="39">
        <f t="shared" si="296"/>
        <v>5348</v>
      </c>
      <c r="I4763" s="23" t="str">
        <f t="shared" si="297"/>
        <v>Bengaluru</v>
      </c>
      <c r="J4763" s="23">
        <f>COUNTIFS(pg_transaction_cleaned!$O:$O,A4763,pg_transaction_cleaned!$F:$F,"CAPTURE")</f>
        <v>0</v>
      </c>
      <c r="K4763" s="39">
        <f>SUMIFS(pg_transaction_cleaned!$H:$H,pg_transaction_cleaned!$O:$O,A4763,pg_transaction_cleaned!$F:$F,"CAPTURE")</f>
        <v>0</v>
      </c>
      <c r="L4763" s="23">
        <f>COUNTIFS(pg_transaction_cleaned!$O:$O,A4763,pg_transaction_cleaned!$F:$F,"REFUND")</f>
        <v>0</v>
      </c>
      <c r="M4763" s="39">
        <f>SUMIFS(pg_transaction_cleaned!$H:$H,pg_transaction_cleaned!$O:$O,A4763,pg_transaction_cleaned!$F:$F,"REFUND")</f>
        <v>0</v>
      </c>
      <c r="N4763" s="23" t="str">
        <f t="shared" si="298"/>
        <v>OK</v>
      </c>
      <c r="O4763" s="24">
        <f t="shared" si="299"/>
        <v>0</v>
      </c>
    </row>
    <row r="4764" spans="1:15" ht="15" customHeight="1" x14ac:dyDescent="0.3">
      <c r="A4764" s="23" t="s">
        <v>9991</v>
      </c>
      <c r="B4764" s="38">
        <v>46287</v>
      </c>
      <c r="C4764" s="23" t="s">
        <v>9992</v>
      </c>
      <c r="D4764" s="23" t="s">
        <v>91</v>
      </c>
      <c r="E4764" s="23" t="s">
        <v>75</v>
      </c>
      <c r="F4764" s="23" t="s">
        <v>357</v>
      </c>
      <c r="G4764" s="23" t="s">
        <v>250</v>
      </c>
      <c r="H4764" s="39">
        <f t="shared" si="296"/>
        <v>1598</v>
      </c>
      <c r="I4764" s="23" t="str">
        <f t="shared" si="297"/>
        <v>Pune</v>
      </c>
      <c r="J4764" s="23">
        <f>COUNTIFS(pg_transaction_cleaned!$O:$O,A4764,pg_transaction_cleaned!$F:$F,"CAPTURE")</f>
        <v>1</v>
      </c>
      <c r="K4764" s="39">
        <f>SUMIFS(pg_transaction_cleaned!$H:$H,pg_transaction_cleaned!$O:$O,A4764,pg_transaction_cleaned!$F:$F,"CAPTURE")</f>
        <v>1598</v>
      </c>
      <c r="L4764" s="23">
        <f>COUNTIFS(pg_transaction_cleaned!$O:$O,A4764,pg_transaction_cleaned!$F:$F,"REFUND")</f>
        <v>0</v>
      </c>
      <c r="M4764" s="39">
        <f>SUMIFS(pg_transaction_cleaned!$H:$H,pg_transaction_cleaned!$O:$O,A4764,pg_transaction_cleaned!$F:$F,"REFUND")</f>
        <v>0</v>
      </c>
      <c r="N4764" s="23" t="str">
        <f t="shared" si="298"/>
        <v>OK</v>
      </c>
      <c r="O4764" s="24">
        <f t="shared" si="299"/>
        <v>0</v>
      </c>
    </row>
    <row r="4765" spans="1:15" ht="15" customHeight="1" x14ac:dyDescent="0.3">
      <c r="A4765" s="23" t="s">
        <v>9993</v>
      </c>
      <c r="B4765" s="38">
        <v>46293</v>
      </c>
      <c r="C4765" s="23" t="s">
        <v>4432</v>
      </c>
      <c r="D4765" s="23" t="s">
        <v>88</v>
      </c>
      <c r="E4765" s="23" t="s">
        <v>81</v>
      </c>
      <c r="F4765" s="23" t="s">
        <v>324</v>
      </c>
      <c r="G4765" s="23" t="s">
        <v>250</v>
      </c>
      <c r="H4765" s="39">
        <f t="shared" si="296"/>
        <v>10498</v>
      </c>
      <c r="I4765" s="23" t="str">
        <f t="shared" si="297"/>
        <v>Lucknow</v>
      </c>
      <c r="J4765" s="23">
        <f>COUNTIFS(pg_transaction_cleaned!$O:$O,A4765,pg_transaction_cleaned!$F:$F,"CAPTURE")</f>
        <v>1</v>
      </c>
      <c r="K4765" s="39">
        <f>SUMIFS(pg_transaction_cleaned!$H:$H,pg_transaction_cleaned!$O:$O,A4765,pg_transaction_cleaned!$F:$F,"CAPTURE")</f>
        <v>10498</v>
      </c>
      <c r="L4765" s="23">
        <f>COUNTIFS(pg_transaction_cleaned!$O:$O,A4765,pg_transaction_cleaned!$F:$F,"REFUND")</f>
        <v>0</v>
      </c>
      <c r="M4765" s="39">
        <f>SUMIFS(pg_transaction_cleaned!$H:$H,pg_transaction_cleaned!$O:$O,A4765,pg_transaction_cleaned!$F:$F,"REFUND")</f>
        <v>0</v>
      </c>
      <c r="N4765" s="23" t="str">
        <f t="shared" si="298"/>
        <v>OK</v>
      </c>
      <c r="O4765" s="24">
        <f t="shared" si="299"/>
        <v>0</v>
      </c>
    </row>
    <row r="4766" spans="1:15" ht="15" customHeight="1" x14ac:dyDescent="0.3">
      <c r="A4766" s="23" t="s">
        <v>9994</v>
      </c>
      <c r="B4766" s="38">
        <v>46270</v>
      </c>
      <c r="C4766" s="23" t="s">
        <v>9995</v>
      </c>
      <c r="D4766" s="23" t="s">
        <v>92</v>
      </c>
      <c r="E4766" s="23" t="s">
        <v>79</v>
      </c>
      <c r="F4766" s="23" t="s">
        <v>360</v>
      </c>
      <c r="G4766" s="23" t="s">
        <v>318</v>
      </c>
      <c r="H4766" s="39">
        <f t="shared" si="296"/>
        <v>10297</v>
      </c>
      <c r="I4766" s="23" t="str">
        <f t="shared" si="297"/>
        <v>Hyderabad</v>
      </c>
      <c r="J4766" s="23">
        <f>COUNTIFS(pg_transaction_cleaned!$O:$O,A4766,pg_transaction_cleaned!$F:$F,"CAPTURE")</f>
        <v>0</v>
      </c>
      <c r="K4766" s="39">
        <f>SUMIFS(pg_transaction_cleaned!$H:$H,pg_transaction_cleaned!$O:$O,A4766,pg_transaction_cleaned!$F:$F,"CAPTURE")</f>
        <v>0</v>
      </c>
      <c r="L4766" s="23">
        <f>COUNTIFS(pg_transaction_cleaned!$O:$O,A4766,pg_transaction_cleaned!$F:$F,"REFUND")</f>
        <v>0</v>
      </c>
      <c r="M4766" s="39">
        <f>SUMIFS(pg_transaction_cleaned!$H:$H,pg_transaction_cleaned!$O:$O,A4766,pg_transaction_cleaned!$F:$F,"REFUND")</f>
        <v>0</v>
      </c>
      <c r="N4766" s="23" t="str">
        <f t="shared" si="298"/>
        <v>OK</v>
      </c>
      <c r="O4766" s="24">
        <f t="shared" si="299"/>
        <v>0</v>
      </c>
    </row>
    <row r="4767" spans="1:15" ht="15" customHeight="1" x14ac:dyDescent="0.3">
      <c r="A4767" s="23" t="s">
        <v>9996</v>
      </c>
      <c r="B4767" s="38">
        <v>46289</v>
      </c>
      <c r="C4767" s="23" t="s">
        <v>9997</v>
      </c>
      <c r="D4767" s="23" t="s">
        <v>91</v>
      </c>
      <c r="E4767" s="23" t="s">
        <v>79</v>
      </c>
      <c r="F4767" s="23" t="s">
        <v>370</v>
      </c>
      <c r="G4767" s="23" t="s">
        <v>250</v>
      </c>
      <c r="H4767" s="39">
        <f t="shared" si="296"/>
        <v>3098</v>
      </c>
      <c r="I4767" s="23" t="str">
        <f t="shared" si="297"/>
        <v>Pune</v>
      </c>
      <c r="J4767" s="23">
        <f>COUNTIFS(pg_transaction_cleaned!$O:$O,A4767,pg_transaction_cleaned!$F:$F,"CAPTURE")</f>
        <v>1</v>
      </c>
      <c r="K4767" s="39">
        <f>SUMIFS(pg_transaction_cleaned!$H:$H,pg_transaction_cleaned!$O:$O,A4767,pg_transaction_cleaned!$F:$F,"CAPTURE")</f>
        <v>3098</v>
      </c>
      <c r="L4767" s="23">
        <f>COUNTIFS(pg_transaction_cleaned!$O:$O,A4767,pg_transaction_cleaned!$F:$F,"REFUND")</f>
        <v>0</v>
      </c>
      <c r="M4767" s="39">
        <f>SUMIFS(pg_transaction_cleaned!$H:$H,pg_transaction_cleaned!$O:$O,A4767,pg_transaction_cleaned!$F:$F,"REFUND")</f>
        <v>0</v>
      </c>
      <c r="N4767" s="23" t="str">
        <f t="shared" si="298"/>
        <v>OK</v>
      </c>
      <c r="O4767" s="24">
        <f t="shared" si="299"/>
        <v>0</v>
      </c>
    </row>
    <row r="4768" spans="1:15" ht="15" customHeight="1" x14ac:dyDescent="0.3">
      <c r="A4768" s="23" t="s">
        <v>9998</v>
      </c>
      <c r="B4768" s="38">
        <v>46267</v>
      </c>
      <c r="C4768" s="23" t="s">
        <v>9999</v>
      </c>
      <c r="D4768" s="23" t="s">
        <v>89</v>
      </c>
      <c r="E4768" s="23" t="s">
        <v>75</v>
      </c>
      <c r="F4768" s="23" t="s">
        <v>475</v>
      </c>
      <c r="G4768" s="23" t="s">
        <v>250</v>
      </c>
      <c r="H4768" s="39">
        <f t="shared" si="296"/>
        <v>799</v>
      </c>
      <c r="I4768" s="23" t="str">
        <f t="shared" si="297"/>
        <v>Jaipur</v>
      </c>
      <c r="J4768" s="23">
        <f>COUNTIFS(pg_transaction_cleaned!$O:$O,A4768,pg_transaction_cleaned!$F:$F,"CAPTURE")</f>
        <v>1</v>
      </c>
      <c r="K4768" s="39">
        <f>SUMIFS(pg_transaction_cleaned!$H:$H,pg_transaction_cleaned!$O:$O,A4768,pg_transaction_cleaned!$F:$F,"CAPTURE")</f>
        <v>799</v>
      </c>
      <c r="L4768" s="23">
        <f>COUNTIFS(pg_transaction_cleaned!$O:$O,A4768,pg_transaction_cleaned!$F:$F,"REFUND")</f>
        <v>0</v>
      </c>
      <c r="M4768" s="39">
        <f>SUMIFS(pg_transaction_cleaned!$H:$H,pg_transaction_cleaned!$O:$O,A4768,pg_transaction_cleaned!$F:$F,"REFUND")</f>
        <v>0</v>
      </c>
      <c r="N4768" s="23" t="str">
        <f t="shared" si="298"/>
        <v>OK</v>
      </c>
      <c r="O4768" s="24">
        <f t="shared" si="299"/>
        <v>0</v>
      </c>
    </row>
    <row r="4769" spans="1:15" ht="15" customHeight="1" x14ac:dyDescent="0.3">
      <c r="A4769" s="23" t="s">
        <v>10000</v>
      </c>
      <c r="B4769" s="38">
        <v>46269</v>
      </c>
      <c r="C4769" s="23" t="s">
        <v>10001</v>
      </c>
      <c r="D4769" s="23" t="s">
        <v>92</v>
      </c>
      <c r="E4769" s="23" t="s">
        <v>79</v>
      </c>
      <c r="F4769" s="23" t="s">
        <v>310</v>
      </c>
      <c r="G4769" s="23" t="s">
        <v>301</v>
      </c>
      <c r="H4769" s="39">
        <f t="shared" si="296"/>
        <v>7999</v>
      </c>
      <c r="I4769" s="23" t="str">
        <f t="shared" si="297"/>
        <v>Hyderabad</v>
      </c>
      <c r="J4769" s="23">
        <f>COUNTIFS(pg_transaction_cleaned!$O:$O,A4769,pg_transaction_cleaned!$F:$F,"CAPTURE")</f>
        <v>1</v>
      </c>
      <c r="K4769" s="39">
        <f>SUMIFS(pg_transaction_cleaned!$H:$H,pg_transaction_cleaned!$O:$O,A4769,pg_transaction_cleaned!$F:$F,"CAPTURE")</f>
        <v>7999</v>
      </c>
      <c r="L4769" s="23">
        <f>COUNTIFS(pg_transaction_cleaned!$O:$O,A4769,pg_transaction_cleaned!$F:$F,"REFUND")</f>
        <v>1</v>
      </c>
      <c r="M4769" s="39">
        <f>SUMIFS(pg_transaction_cleaned!$H:$H,pg_transaction_cleaned!$O:$O,A4769,pg_transaction_cleaned!$F:$F,"REFUND")</f>
        <v>7999</v>
      </c>
      <c r="N4769" s="23" t="str">
        <f t="shared" si="298"/>
        <v>OK</v>
      </c>
      <c r="O4769" s="24">
        <f t="shared" si="299"/>
        <v>0</v>
      </c>
    </row>
    <row r="4770" spans="1:15" ht="15" customHeight="1" x14ac:dyDescent="0.3">
      <c r="A4770" s="23" t="s">
        <v>10002</v>
      </c>
      <c r="B4770" s="38">
        <v>46266</v>
      </c>
      <c r="C4770" s="23" t="s">
        <v>10003</v>
      </c>
      <c r="D4770" s="23" t="s">
        <v>91</v>
      </c>
      <c r="E4770" s="23" t="s">
        <v>75</v>
      </c>
      <c r="F4770" s="23" t="s">
        <v>274</v>
      </c>
      <c r="G4770" s="23" t="s">
        <v>250</v>
      </c>
      <c r="H4770" s="39">
        <f t="shared" si="296"/>
        <v>349</v>
      </c>
      <c r="I4770" s="23" t="str">
        <f t="shared" si="297"/>
        <v>Pune</v>
      </c>
      <c r="J4770" s="23">
        <f>COUNTIFS(pg_transaction_cleaned!$O:$O,A4770,pg_transaction_cleaned!$F:$F,"CAPTURE")</f>
        <v>1</v>
      </c>
      <c r="K4770" s="39">
        <f>SUMIFS(pg_transaction_cleaned!$H:$H,pg_transaction_cleaned!$O:$O,A4770,pg_transaction_cleaned!$F:$F,"CAPTURE")</f>
        <v>349</v>
      </c>
      <c r="L4770" s="23">
        <f>COUNTIFS(pg_transaction_cleaned!$O:$O,A4770,pg_transaction_cleaned!$F:$F,"REFUND")</f>
        <v>0</v>
      </c>
      <c r="M4770" s="39">
        <f>SUMIFS(pg_transaction_cleaned!$H:$H,pg_transaction_cleaned!$O:$O,A4770,pg_transaction_cleaned!$F:$F,"REFUND")</f>
        <v>0</v>
      </c>
      <c r="N4770" s="23" t="str">
        <f t="shared" si="298"/>
        <v>OK</v>
      </c>
      <c r="O4770" s="24">
        <f t="shared" si="299"/>
        <v>0</v>
      </c>
    </row>
    <row r="4771" spans="1:15" ht="15" customHeight="1" x14ac:dyDescent="0.3">
      <c r="A4771" s="23" t="s">
        <v>10004</v>
      </c>
      <c r="B4771" s="38">
        <v>46280</v>
      </c>
      <c r="C4771" s="23" t="s">
        <v>3495</v>
      </c>
      <c r="D4771" s="23" t="s">
        <v>94</v>
      </c>
      <c r="E4771" s="23" t="s">
        <v>75</v>
      </c>
      <c r="F4771" s="23" t="s">
        <v>259</v>
      </c>
      <c r="G4771" s="23" t="s">
        <v>250</v>
      </c>
      <c r="H4771" s="39">
        <f t="shared" si="296"/>
        <v>3298</v>
      </c>
      <c r="I4771" s="23" t="str">
        <f t="shared" si="297"/>
        <v>Chennai</v>
      </c>
      <c r="J4771" s="23">
        <f>COUNTIFS(pg_transaction_cleaned!$O:$O,A4771,pg_transaction_cleaned!$F:$F,"CAPTURE")</f>
        <v>1</v>
      </c>
      <c r="K4771" s="39">
        <f>SUMIFS(pg_transaction_cleaned!$H:$H,pg_transaction_cleaned!$O:$O,A4771,pg_transaction_cleaned!$F:$F,"CAPTURE")</f>
        <v>3298</v>
      </c>
      <c r="L4771" s="23">
        <f>COUNTIFS(pg_transaction_cleaned!$O:$O,A4771,pg_transaction_cleaned!$F:$F,"REFUND")</f>
        <v>0</v>
      </c>
      <c r="M4771" s="39">
        <f>SUMIFS(pg_transaction_cleaned!$H:$H,pg_transaction_cleaned!$O:$O,A4771,pg_transaction_cleaned!$F:$F,"REFUND")</f>
        <v>0</v>
      </c>
      <c r="N4771" s="23" t="str">
        <f t="shared" si="298"/>
        <v>OK</v>
      </c>
      <c r="O4771" s="24">
        <f t="shared" si="299"/>
        <v>0</v>
      </c>
    </row>
    <row r="4772" spans="1:15" ht="15" customHeight="1" x14ac:dyDescent="0.3">
      <c r="A4772" s="23" t="s">
        <v>10005</v>
      </c>
      <c r="B4772" s="38">
        <v>46279</v>
      </c>
      <c r="C4772" s="23" t="s">
        <v>10006</v>
      </c>
      <c r="D4772" s="23" t="s">
        <v>90</v>
      </c>
      <c r="E4772" s="23" t="s">
        <v>79</v>
      </c>
      <c r="F4772" s="23" t="s">
        <v>271</v>
      </c>
      <c r="G4772" s="23" t="s">
        <v>250</v>
      </c>
      <c r="H4772" s="39">
        <f t="shared" si="296"/>
        <v>2499</v>
      </c>
      <c r="I4772" s="23" t="str">
        <f t="shared" si="297"/>
        <v>Ahmedabad</v>
      </c>
      <c r="J4772" s="23">
        <f>COUNTIFS(pg_transaction_cleaned!$O:$O,A4772,pg_transaction_cleaned!$F:$F,"CAPTURE")</f>
        <v>1</v>
      </c>
      <c r="K4772" s="39">
        <f>SUMIFS(pg_transaction_cleaned!$H:$H,pg_transaction_cleaned!$O:$O,A4772,pg_transaction_cleaned!$F:$F,"CAPTURE")</f>
        <v>2499</v>
      </c>
      <c r="L4772" s="23">
        <f>COUNTIFS(pg_transaction_cleaned!$O:$O,A4772,pg_transaction_cleaned!$F:$F,"REFUND")</f>
        <v>0</v>
      </c>
      <c r="M4772" s="39">
        <f>SUMIFS(pg_transaction_cleaned!$H:$H,pg_transaction_cleaned!$O:$O,A4772,pg_transaction_cleaned!$F:$F,"REFUND")</f>
        <v>0</v>
      </c>
      <c r="N4772" s="23" t="str">
        <f t="shared" si="298"/>
        <v>OK</v>
      </c>
      <c r="O4772" s="24">
        <f t="shared" si="299"/>
        <v>0</v>
      </c>
    </row>
    <row r="4773" spans="1:15" ht="15" customHeight="1" x14ac:dyDescent="0.3">
      <c r="A4773" s="23" t="s">
        <v>10007</v>
      </c>
      <c r="B4773" s="38">
        <v>46269</v>
      </c>
      <c r="C4773" s="23" t="s">
        <v>10008</v>
      </c>
      <c r="D4773" s="23" t="s">
        <v>91</v>
      </c>
      <c r="E4773" s="23" t="s">
        <v>75</v>
      </c>
      <c r="F4773" s="23" t="s">
        <v>396</v>
      </c>
      <c r="G4773" s="23" t="s">
        <v>250</v>
      </c>
      <c r="H4773" s="39">
        <f t="shared" si="296"/>
        <v>2999</v>
      </c>
      <c r="I4773" s="23" t="str">
        <f t="shared" si="297"/>
        <v>Pune</v>
      </c>
      <c r="J4773" s="23">
        <f>COUNTIFS(pg_transaction_cleaned!$O:$O,A4773,pg_transaction_cleaned!$F:$F,"CAPTURE")</f>
        <v>1</v>
      </c>
      <c r="K4773" s="39">
        <f>SUMIFS(pg_transaction_cleaned!$H:$H,pg_transaction_cleaned!$O:$O,A4773,pg_transaction_cleaned!$F:$F,"CAPTURE")</f>
        <v>2999</v>
      </c>
      <c r="L4773" s="23">
        <f>COUNTIFS(pg_transaction_cleaned!$O:$O,A4773,pg_transaction_cleaned!$F:$F,"REFUND")</f>
        <v>0</v>
      </c>
      <c r="M4773" s="39">
        <f>SUMIFS(pg_transaction_cleaned!$H:$H,pg_transaction_cleaned!$O:$O,A4773,pg_transaction_cleaned!$F:$F,"REFUND")</f>
        <v>0</v>
      </c>
      <c r="N4773" s="23" t="str">
        <f t="shared" si="298"/>
        <v>OK</v>
      </c>
      <c r="O4773" s="24">
        <f t="shared" si="299"/>
        <v>0</v>
      </c>
    </row>
    <row r="4774" spans="1:15" ht="15" customHeight="1" x14ac:dyDescent="0.3">
      <c r="A4774" s="23" t="s">
        <v>10009</v>
      </c>
      <c r="B4774" s="38">
        <v>46266</v>
      </c>
      <c r="C4774" s="23" t="s">
        <v>10010</v>
      </c>
      <c r="D4774" s="23" t="s">
        <v>92</v>
      </c>
      <c r="E4774" s="23" t="s">
        <v>81</v>
      </c>
      <c r="F4774" s="23" t="s">
        <v>274</v>
      </c>
      <c r="G4774" s="23" t="s">
        <v>250</v>
      </c>
      <c r="H4774" s="39">
        <f t="shared" si="296"/>
        <v>349</v>
      </c>
      <c r="I4774" s="23" t="str">
        <f t="shared" si="297"/>
        <v>Hyderabad</v>
      </c>
      <c r="J4774" s="23">
        <f>COUNTIFS(pg_transaction_cleaned!$O:$O,A4774,pg_transaction_cleaned!$F:$F,"CAPTURE")</f>
        <v>1</v>
      </c>
      <c r="K4774" s="39">
        <f>SUMIFS(pg_transaction_cleaned!$H:$H,pg_transaction_cleaned!$O:$O,A4774,pg_transaction_cleaned!$F:$F,"CAPTURE")</f>
        <v>349</v>
      </c>
      <c r="L4774" s="23">
        <f>COUNTIFS(pg_transaction_cleaned!$O:$O,A4774,pg_transaction_cleaned!$F:$F,"REFUND")</f>
        <v>0</v>
      </c>
      <c r="M4774" s="39">
        <f>SUMIFS(pg_transaction_cleaned!$H:$H,pg_transaction_cleaned!$O:$O,A4774,pg_transaction_cleaned!$F:$F,"REFUND")</f>
        <v>0</v>
      </c>
      <c r="N4774" s="23" t="str">
        <f t="shared" si="298"/>
        <v>OK</v>
      </c>
      <c r="O4774" s="24">
        <f t="shared" si="299"/>
        <v>0</v>
      </c>
    </row>
    <row r="4775" spans="1:15" ht="15" customHeight="1" x14ac:dyDescent="0.3">
      <c r="A4775" s="23" t="s">
        <v>10011</v>
      </c>
      <c r="B4775" s="38">
        <v>46276</v>
      </c>
      <c r="C4775" s="23" t="s">
        <v>10012</v>
      </c>
      <c r="D4775" s="23" t="s">
        <v>88</v>
      </c>
      <c r="E4775" s="23" t="s">
        <v>75</v>
      </c>
      <c r="F4775" s="23" t="s">
        <v>438</v>
      </c>
      <c r="G4775" s="23" t="s">
        <v>250</v>
      </c>
      <c r="H4775" s="39">
        <f t="shared" si="296"/>
        <v>5498</v>
      </c>
      <c r="I4775" s="23" t="str">
        <f t="shared" si="297"/>
        <v>Lucknow</v>
      </c>
      <c r="J4775" s="23">
        <f>COUNTIFS(pg_transaction_cleaned!$O:$O,A4775,pg_transaction_cleaned!$F:$F,"CAPTURE")</f>
        <v>1</v>
      </c>
      <c r="K4775" s="39">
        <f>SUMIFS(pg_transaction_cleaned!$H:$H,pg_transaction_cleaned!$O:$O,A4775,pg_transaction_cleaned!$F:$F,"CAPTURE")</f>
        <v>5498</v>
      </c>
      <c r="L4775" s="23">
        <f>COUNTIFS(pg_transaction_cleaned!$O:$O,A4775,pg_transaction_cleaned!$F:$F,"REFUND")</f>
        <v>0</v>
      </c>
      <c r="M4775" s="39">
        <f>SUMIFS(pg_transaction_cleaned!$H:$H,pg_transaction_cleaned!$O:$O,A4775,pg_transaction_cleaned!$F:$F,"REFUND")</f>
        <v>0</v>
      </c>
      <c r="N4775" s="23" t="str">
        <f t="shared" si="298"/>
        <v>OK</v>
      </c>
      <c r="O4775" s="24">
        <f t="shared" si="299"/>
        <v>0</v>
      </c>
    </row>
    <row r="4776" spans="1:15" ht="15" customHeight="1" x14ac:dyDescent="0.3">
      <c r="A4776" s="23" t="s">
        <v>10013</v>
      </c>
      <c r="B4776" s="38">
        <v>46274</v>
      </c>
      <c r="C4776" s="23" t="s">
        <v>1228</v>
      </c>
      <c r="D4776" s="23" t="s">
        <v>90</v>
      </c>
      <c r="E4776" s="23" t="s">
        <v>75</v>
      </c>
      <c r="F4776" s="23" t="s">
        <v>315</v>
      </c>
      <c r="G4776" s="23" t="s">
        <v>250</v>
      </c>
      <c r="H4776" s="39">
        <f t="shared" si="296"/>
        <v>1499</v>
      </c>
      <c r="I4776" s="23" t="str">
        <f t="shared" si="297"/>
        <v>Ahmedabad</v>
      </c>
      <c r="J4776" s="23">
        <f>COUNTIFS(pg_transaction_cleaned!$O:$O,A4776,pg_transaction_cleaned!$F:$F,"CAPTURE")</f>
        <v>1</v>
      </c>
      <c r="K4776" s="39">
        <f>SUMIFS(pg_transaction_cleaned!$H:$H,pg_transaction_cleaned!$O:$O,A4776,pg_transaction_cleaned!$F:$F,"CAPTURE")</f>
        <v>1499</v>
      </c>
      <c r="L4776" s="23">
        <f>COUNTIFS(pg_transaction_cleaned!$O:$O,A4776,pg_transaction_cleaned!$F:$F,"REFUND")</f>
        <v>0</v>
      </c>
      <c r="M4776" s="39">
        <f>SUMIFS(pg_transaction_cleaned!$H:$H,pg_transaction_cleaned!$O:$O,A4776,pg_transaction_cleaned!$F:$F,"REFUND")</f>
        <v>0</v>
      </c>
      <c r="N4776" s="23" t="str">
        <f t="shared" si="298"/>
        <v>OK</v>
      </c>
      <c r="O4776" s="24">
        <f t="shared" si="299"/>
        <v>0</v>
      </c>
    </row>
    <row r="4777" spans="1:15" ht="15" customHeight="1" x14ac:dyDescent="0.3">
      <c r="A4777" s="23" t="s">
        <v>10014</v>
      </c>
      <c r="B4777" s="38">
        <v>46274</v>
      </c>
      <c r="C4777" s="23" t="s">
        <v>10015</v>
      </c>
      <c r="D4777" s="23" t="s">
        <v>90</v>
      </c>
      <c r="E4777" s="23" t="s">
        <v>79</v>
      </c>
      <c r="F4777" s="23" t="s">
        <v>271</v>
      </c>
      <c r="G4777" s="23" t="s">
        <v>250</v>
      </c>
      <c r="H4777" s="39">
        <f t="shared" si="296"/>
        <v>2499</v>
      </c>
      <c r="I4777" s="23" t="str">
        <f t="shared" si="297"/>
        <v>Ahmedabad</v>
      </c>
      <c r="J4777" s="23">
        <f>COUNTIFS(pg_transaction_cleaned!$O:$O,A4777,pg_transaction_cleaned!$F:$F,"CAPTURE")</f>
        <v>1</v>
      </c>
      <c r="K4777" s="39">
        <f>SUMIFS(pg_transaction_cleaned!$H:$H,pg_transaction_cleaned!$O:$O,A4777,pg_transaction_cleaned!$F:$F,"CAPTURE")</f>
        <v>2499</v>
      </c>
      <c r="L4777" s="23">
        <f>COUNTIFS(pg_transaction_cleaned!$O:$O,A4777,pg_transaction_cleaned!$F:$F,"REFUND")</f>
        <v>0</v>
      </c>
      <c r="M4777" s="39">
        <f>SUMIFS(pg_transaction_cleaned!$H:$H,pg_transaction_cleaned!$O:$O,A4777,pg_transaction_cleaned!$F:$F,"REFUND")</f>
        <v>0</v>
      </c>
      <c r="N4777" s="23" t="str">
        <f t="shared" si="298"/>
        <v>OK</v>
      </c>
      <c r="O4777" s="24">
        <f t="shared" si="299"/>
        <v>0</v>
      </c>
    </row>
    <row r="4778" spans="1:15" ht="15" customHeight="1" x14ac:dyDescent="0.3">
      <c r="A4778" s="23" t="s">
        <v>10016</v>
      </c>
      <c r="B4778" s="38">
        <v>46266</v>
      </c>
      <c r="C4778" s="23" t="s">
        <v>10017</v>
      </c>
      <c r="D4778" s="23" t="s">
        <v>88</v>
      </c>
      <c r="E4778" s="23" t="s">
        <v>79</v>
      </c>
      <c r="F4778" s="23" t="s">
        <v>824</v>
      </c>
      <c r="G4778" s="23" t="s">
        <v>250</v>
      </c>
      <c r="H4778" s="39">
        <f t="shared" si="296"/>
        <v>1198</v>
      </c>
      <c r="I4778" s="23" t="str">
        <f t="shared" si="297"/>
        <v>Lucknow</v>
      </c>
      <c r="J4778" s="23">
        <f>COUNTIFS(pg_transaction_cleaned!$O:$O,A4778,pg_transaction_cleaned!$F:$F,"CAPTURE")</f>
        <v>1</v>
      </c>
      <c r="K4778" s="39">
        <f>SUMIFS(pg_transaction_cleaned!$H:$H,pg_transaction_cleaned!$O:$O,A4778,pg_transaction_cleaned!$F:$F,"CAPTURE")</f>
        <v>1198</v>
      </c>
      <c r="L4778" s="23">
        <f>COUNTIFS(pg_transaction_cleaned!$O:$O,A4778,pg_transaction_cleaned!$F:$F,"REFUND")</f>
        <v>0</v>
      </c>
      <c r="M4778" s="39">
        <f>SUMIFS(pg_transaction_cleaned!$H:$H,pg_transaction_cleaned!$O:$O,A4778,pg_transaction_cleaned!$F:$F,"REFUND")</f>
        <v>0</v>
      </c>
      <c r="N4778" s="23" t="str">
        <f t="shared" si="298"/>
        <v>OK</v>
      </c>
      <c r="O4778" s="24">
        <f t="shared" si="299"/>
        <v>0</v>
      </c>
    </row>
    <row r="4779" spans="1:15" ht="15" customHeight="1" x14ac:dyDescent="0.3">
      <c r="A4779" s="23" t="s">
        <v>10018</v>
      </c>
      <c r="B4779" s="38">
        <v>46275</v>
      </c>
      <c r="C4779" s="23" t="s">
        <v>10019</v>
      </c>
      <c r="D4779" s="23" t="s">
        <v>91</v>
      </c>
      <c r="E4779" s="23" t="s">
        <v>75</v>
      </c>
      <c r="F4779" s="23" t="s">
        <v>262</v>
      </c>
      <c r="G4779" s="23" t="s">
        <v>250</v>
      </c>
      <c r="H4779" s="39">
        <f t="shared" si="296"/>
        <v>499</v>
      </c>
      <c r="I4779" s="23" t="str">
        <f t="shared" si="297"/>
        <v>Pune</v>
      </c>
      <c r="J4779" s="23">
        <f>COUNTIFS(pg_transaction_cleaned!$O:$O,A4779,pg_transaction_cleaned!$F:$F,"CAPTURE")</f>
        <v>1</v>
      </c>
      <c r="K4779" s="39">
        <f>SUMIFS(pg_transaction_cleaned!$H:$H,pg_transaction_cleaned!$O:$O,A4779,pg_transaction_cleaned!$F:$F,"CAPTURE")</f>
        <v>499</v>
      </c>
      <c r="L4779" s="23">
        <f>COUNTIFS(pg_transaction_cleaned!$O:$O,A4779,pg_transaction_cleaned!$F:$F,"REFUND")</f>
        <v>0</v>
      </c>
      <c r="M4779" s="39">
        <f>SUMIFS(pg_transaction_cleaned!$H:$H,pg_transaction_cleaned!$O:$O,A4779,pg_transaction_cleaned!$F:$F,"REFUND")</f>
        <v>0</v>
      </c>
      <c r="N4779" s="23" t="str">
        <f t="shared" si="298"/>
        <v>OK</v>
      </c>
      <c r="O4779" s="24">
        <f t="shared" si="299"/>
        <v>0</v>
      </c>
    </row>
    <row r="4780" spans="1:15" ht="15" customHeight="1" x14ac:dyDescent="0.3">
      <c r="A4780" s="23" t="s">
        <v>10020</v>
      </c>
      <c r="B4780" s="38">
        <v>46266</v>
      </c>
      <c r="C4780" s="23" t="s">
        <v>10021</v>
      </c>
      <c r="D4780" s="23" t="s">
        <v>94</v>
      </c>
      <c r="E4780" s="23" t="s">
        <v>79</v>
      </c>
      <c r="F4780" s="23" t="s">
        <v>1367</v>
      </c>
      <c r="G4780" s="23" t="s">
        <v>250</v>
      </c>
      <c r="H4780" s="39">
        <f t="shared" si="296"/>
        <v>898</v>
      </c>
      <c r="I4780" s="23" t="str">
        <f t="shared" si="297"/>
        <v>Chennai</v>
      </c>
      <c r="J4780" s="23">
        <f>COUNTIFS(pg_transaction_cleaned!$O:$O,A4780,pg_transaction_cleaned!$F:$F,"CAPTURE")</f>
        <v>1</v>
      </c>
      <c r="K4780" s="39">
        <f>SUMIFS(pg_transaction_cleaned!$H:$H,pg_transaction_cleaned!$O:$O,A4780,pg_transaction_cleaned!$F:$F,"CAPTURE")</f>
        <v>898</v>
      </c>
      <c r="L4780" s="23">
        <f>COUNTIFS(pg_transaction_cleaned!$O:$O,A4780,pg_transaction_cleaned!$F:$F,"REFUND")</f>
        <v>0</v>
      </c>
      <c r="M4780" s="39">
        <f>SUMIFS(pg_transaction_cleaned!$H:$H,pg_transaction_cleaned!$O:$O,A4780,pg_transaction_cleaned!$F:$F,"REFUND")</f>
        <v>0</v>
      </c>
      <c r="N4780" s="23" t="str">
        <f t="shared" si="298"/>
        <v>OK</v>
      </c>
      <c r="O4780" s="24">
        <f t="shared" si="299"/>
        <v>0</v>
      </c>
    </row>
    <row r="4781" spans="1:15" ht="15" customHeight="1" x14ac:dyDescent="0.3">
      <c r="A4781" s="23" t="s">
        <v>10022</v>
      </c>
      <c r="B4781" s="38">
        <v>46273</v>
      </c>
      <c r="C4781" s="23" t="s">
        <v>10023</v>
      </c>
      <c r="D4781" s="23" t="s">
        <v>93</v>
      </c>
      <c r="E4781" s="23" t="s">
        <v>75</v>
      </c>
      <c r="F4781" s="23" t="s">
        <v>291</v>
      </c>
      <c r="G4781" s="23" t="s">
        <v>250</v>
      </c>
      <c r="H4781" s="39">
        <f t="shared" si="296"/>
        <v>3499</v>
      </c>
      <c r="I4781" s="23" t="str">
        <f t="shared" si="297"/>
        <v>Kolkata</v>
      </c>
      <c r="J4781" s="23">
        <f>COUNTIFS(pg_transaction_cleaned!$O:$O,A4781,pg_transaction_cleaned!$F:$F,"CAPTURE")</f>
        <v>1</v>
      </c>
      <c r="K4781" s="39">
        <f>SUMIFS(pg_transaction_cleaned!$H:$H,pg_transaction_cleaned!$O:$O,A4781,pg_transaction_cleaned!$F:$F,"CAPTURE")</f>
        <v>3499</v>
      </c>
      <c r="L4781" s="23">
        <f>COUNTIFS(pg_transaction_cleaned!$O:$O,A4781,pg_transaction_cleaned!$F:$F,"REFUND")</f>
        <v>0</v>
      </c>
      <c r="M4781" s="39">
        <f>SUMIFS(pg_transaction_cleaned!$H:$H,pg_transaction_cleaned!$O:$O,A4781,pg_transaction_cleaned!$F:$F,"REFUND")</f>
        <v>0</v>
      </c>
      <c r="N4781" s="23" t="str">
        <f t="shared" si="298"/>
        <v>OK</v>
      </c>
      <c r="O4781" s="24">
        <f t="shared" si="299"/>
        <v>0</v>
      </c>
    </row>
    <row r="4782" spans="1:15" ht="15" customHeight="1" x14ac:dyDescent="0.3">
      <c r="A4782" s="23" t="s">
        <v>10024</v>
      </c>
      <c r="B4782" s="38">
        <v>46273</v>
      </c>
      <c r="C4782" s="23" t="s">
        <v>10025</v>
      </c>
      <c r="D4782" s="23" t="s">
        <v>88</v>
      </c>
      <c r="E4782" s="23" t="s">
        <v>75</v>
      </c>
      <c r="F4782" s="23" t="s">
        <v>396</v>
      </c>
      <c r="G4782" s="23" t="s">
        <v>250</v>
      </c>
      <c r="H4782" s="39">
        <f t="shared" si="296"/>
        <v>2999</v>
      </c>
      <c r="I4782" s="23" t="str">
        <f t="shared" si="297"/>
        <v>Lucknow</v>
      </c>
      <c r="J4782" s="23">
        <f>COUNTIFS(pg_transaction_cleaned!$O:$O,A4782,pg_transaction_cleaned!$F:$F,"CAPTURE")</f>
        <v>1</v>
      </c>
      <c r="K4782" s="39">
        <f>SUMIFS(pg_transaction_cleaned!$H:$H,pg_transaction_cleaned!$O:$O,A4782,pg_transaction_cleaned!$F:$F,"CAPTURE")</f>
        <v>2999</v>
      </c>
      <c r="L4782" s="23">
        <f>COUNTIFS(pg_transaction_cleaned!$O:$O,A4782,pg_transaction_cleaned!$F:$F,"REFUND")</f>
        <v>0</v>
      </c>
      <c r="M4782" s="39">
        <f>SUMIFS(pg_transaction_cleaned!$H:$H,pg_transaction_cleaned!$O:$O,A4782,pg_transaction_cleaned!$F:$F,"REFUND")</f>
        <v>0</v>
      </c>
      <c r="N4782" s="23" t="str">
        <f t="shared" si="298"/>
        <v>OK</v>
      </c>
      <c r="O4782" s="24">
        <f t="shared" si="299"/>
        <v>0</v>
      </c>
    </row>
    <row r="4783" spans="1:15" ht="15" customHeight="1" x14ac:dyDescent="0.3">
      <c r="A4783" s="23" t="s">
        <v>10026</v>
      </c>
      <c r="B4783" s="38">
        <v>46278</v>
      </c>
      <c r="C4783" s="23" t="s">
        <v>10027</v>
      </c>
      <c r="D4783" s="23" t="s">
        <v>93</v>
      </c>
      <c r="E4783" s="23" t="s">
        <v>75</v>
      </c>
      <c r="F4783" s="23" t="s">
        <v>534</v>
      </c>
      <c r="G4783" s="23" t="s">
        <v>250</v>
      </c>
      <c r="H4783" s="39">
        <f t="shared" si="296"/>
        <v>3097</v>
      </c>
      <c r="I4783" s="23" t="str">
        <f t="shared" si="297"/>
        <v>Kolkata</v>
      </c>
      <c r="J4783" s="23">
        <f>COUNTIFS(pg_transaction_cleaned!$O:$O,A4783,pg_transaction_cleaned!$F:$F,"CAPTURE")</f>
        <v>1</v>
      </c>
      <c r="K4783" s="39">
        <f>SUMIFS(pg_transaction_cleaned!$H:$H,pg_transaction_cleaned!$O:$O,A4783,pg_transaction_cleaned!$F:$F,"CAPTURE")</f>
        <v>3097</v>
      </c>
      <c r="L4783" s="23">
        <f>COUNTIFS(pg_transaction_cleaned!$O:$O,A4783,pg_transaction_cleaned!$F:$F,"REFUND")</f>
        <v>0</v>
      </c>
      <c r="M4783" s="39">
        <f>SUMIFS(pg_transaction_cleaned!$H:$H,pg_transaction_cleaned!$O:$O,A4783,pg_transaction_cleaned!$F:$F,"REFUND")</f>
        <v>0</v>
      </c>
      <c r="N4783" s="23" t="str">
        <f t="shared" si="298"/>
        <v>OK</v>
      </c>
      <c r="O4783" s="24">
        <f t="shared" si="299"/>
        <v>0</v>
      </c>
    </row>
    <row r="4784" spans="1:15" ht="15" customHeight="1" x14ac:dyDescent="0.3">
      <c r="A4784" s="23" t="s">
        <v>10028</v>
      </c>
      <c r="B4784" s="38">
        <v>46267</v>
      </c>
      <c r="C4784" s="23" t="s">
        <v>10029</v>
      </c>
      <c r="D4784" s="23" t="s">
        <v>93</v>
      </c>
      <c r="E4784" s="23" t="s">
        <v>75</v>
      </c>
      <c r="F4784" s="23" t="s">
        <v>451</v>
      </c>
      <c r="G4784" s="23" t="s">
        <v>250</v>
      </c>
      <c r="H4784" s="39">
        <f t="shared" si="296"/>
        <v>1098</v>
      </c>
      <c r="I4784" s="23" t="str">
        <f t="shared" si="297"/>
        <v>Kolkata</v>
      </c>
      <c r="J4784" s="23">
        <f>COUNTIFS(pg_transaction_cleaned!$O:$O,A4784,pg_transaction_cleaned!$F:$F,"CAPTURE")</f>
        <v>1</v>
      </c>
      <c r="K4784" s="39">
        <f>SUMIFS(pg_transaction_cleaned!$H:$H,pg_transaction_cleaned!$O:$O,A4784,pg_transaction_cleaned!$F:$F,"CAPTURE")</f>
        <v>1098</v>
      </c>
      <c r="L4784" s="23">
        <f>COUNTIFS(pg_transaction_cleaned!$O:$O,A4784,pg_transaction_cleaned!$F:$F,"REFUND")</f>
        <v>0</v>
      </c>
      <c r="M4784" s="39">
        <f>SUMIFS(pg_transaction_cleaned!$H:$H,pg_transaction_cleaned!$O:$O,A4784,pg_transaction_cleaned!$F:$F,"REFUND")</f>
        <v>0</v>
      </c>
      <c r="N4784" s="23" t="str">
        <f t="shared" si="298"/>
        <v>OK</v>
      </c>
      <c r="O4784" s="24">
        <f t="shared" si="299"/>
        <v>0</v>
      </c>
    </row>
    <row r="4785" spans="1:15" ht="15" customHeight="1" x14ac:dyDescent="0.3">
      <c r="A4785" s="23" t="s">
        <v>10030</v>
      </c>
      <c r="B4785" s="38">
        <v>46280</v>
      </c>
      <c r="C4785" s="23" t="s">
        <v>10031</v>
      </c>
      <c r="D4785" s="23" t="s">
        <v>89</v>
      </c>
      <c r="E4785" s="23" t="s">
        <v>79</v>
      </c>
      <c r="F4785" s="23" t="s">
        <v>300</v>
      </c>
      <c r="G4785" s="23" t="s">
        <v>250</v>
      </c>
      <c r="H4785" s="39">
        <f t="shared" si="296"/>
        <v>2598</v>
      </c>
      <c r="I4785" s="23" t="str">
        <f t="shared" si="297"/>
        <v>Jaipur</v>
      </c>
      <c r="J4785" s="23">
        <f>COUNTIFS(pg_transaction_cleaned!$O:$O,A4785,pg_transaction_cleaned!$F:$F,"CAPTURE")</f>
        <v>1</v>
      </c>
      <c r="K4785" s="39">
        <f>SUMIFS(pg_transaction_cleaned!$H:$H,pg_transaction_cleaned!$O:$O,A4785,pg_transaction_cleaned!$F:$F,"CAPTURE")</f>
        <v>2598</v>
      </c>
      <c r="L4785" s="23">
        <f>COUNTIFS(pg_transaction_cleaned!$O:$O,A4785,pg_transaction_cleaned!$F:$F,"REFUND")</f>
        <v>0</v>
      </c>
      <c r="M4785" s="39">
        <f>SUMIFS(pg_transaction_cleaned!$H:$H,pg_transaction_cleaned!$O:$O,A4785,pg_transaction_cleaned!$F:$F,"REFUND")</f>
        <v>0</v>
      </c>
      <c r="N4785" s="23" t="str">
        <f t="shared" si="298"/>
        <v>OK</v>
      </c>
      <c r="O4785" s="24">
        <f t="shared" si="299"/>
        <v>0</v>
      </c>
    </row>
    <row r="4786" spans="1:15" ht="15" customHeight="1" x14ac:dyDescent="0.3">
      <c r="A4786" s="23" t="s">
        <v>10032</v>
      </c>
      <c r="B4786" s="38">
        <v>46284</v>
      </c>
      <c r="C4786" s="23" t="s">
        <v>10033</v>
      </c>
      <c r="D4786" s="23" t="s">
        <v>95</v>
      </c>
      <c r="E4786" s="23" t="s">
        <v>75</v>
      </c>
      <c r="F4786" s="23" t="s">
        <v>294</v>
      </c>
      <c r="G4786" s="23" t="s">
        <v>250</v>
      </c>
      <c r="H4786" s="39">
        <f t="shared" si="296"/>
        <v>1799</v>
      </c>
      <c r="I4786" s="23" t="str">
        <f t="shared" si="297"/>
        <v>Bengaluru</v>
      </c>
      <c r="J4786" s="23">
        <f>COUNTIFS(pg_transaction_cleaned!$O:$O,A4786,pg_transaction_cleaned!$F:$F,"CAPTURE")</f>
        <v>1</v>
      </c>
      <c r="K4786" s="39">
        <f>SUMIFS(pg_transaction_cleaned!$H:$H,pg_transaction_cleaned!$O:$O,A4786,pg_transaction_cleaned!$F:$F,"CAPTURE")</f>
        <v>1799</v>
      </c>
      <c r="L4786" s="23">
        <f>COUNTIFS(pg_transaction_cleaned!$O:$O,A4786,pg_transaction_cleaned!$F:$F,"REFUND")</f>
        <v>0</v>
      </c>
      <c r="M4786" s="39">
        <f>SUMIFS(pg_transaction_cleaned!$H:$H,pg_transaction_cleaned!$O:$O,A4786,pg_transaction_cleaned!$F:$F,"REFUND")</f>
        <v>0</v>
      </c>
      <c r="N4786" s="23" t="str">
        <f t="shared" si="298"/>
        <v>OK</v>
      </c>
      <c r="O4786" s="24">
        <f t="shared" si="299"/>
        <v>0</v>
      </c>
    </row>
    <row r="4787" spans="1:15" ht="15" customHeight="1" x14ac:dyDescent="0.3">
      <c r="A4787" s="23" t="s">
        <v>10034</v>
      </c>
      <c r="B4787" s="38">
        <v>46278</v>
      </c>
      <c r="C4787" s="23" t="s">
        <v>10035</v>
      </c>
      <c r="D4787" s="23" t="s">
        <v>90</v>
      </c>
      <c r="E4787" s="23" t="s">
        <v>77</v>
      </c>
      <c r="F4787" s="23" t="s">
        <v>249</v>
      </c>
      <c r="G4787" s="23" t="s">
        <v>301</v>
      </c>
      <c r="H4787" s="39">
        <f t="shared" si="296"/>
        <v>299</v>
      </c>
      <c r="I4787" s="23" t="str">
        <f t="shared" si="297"/>
        <v>Ahmedabad</v>
      </c>
      <c r="J4787" s="23">
        <f>COUNTIFS(pg_transaction_cleaned!$O:$O,A4787,pg_transaction_cleaned!$F:$F,"CAPTURE")</f>
        <v>1</v>
      </c>
      <c r="K4787" s="39">
        <f>SUMIFS(pg_transaction_cleaned!$H:$H,pg_transaction_cleaned!$O:$O,A4787,pg_transaction_cleaned!$F:$F,"CAPTURE")</f>
        <v>299</v>
      </c>
      <c r="L4787" s="23">
        <f>COUNTIFS(pg_transaction_cleaned!$O:$O,A4787,pg_transaction_cleaned!$F:$F,"REFUND")</f>
        <v>1</v>
      </c>
      <c r="M4787" s="39">
        <f>SUMIFS(pg_transaction_cleaned!$H:$H,pg_transaction_cleaned!$O:$O,A4787,pg_transaction_cleaned!$F:$F,"REFUND")</f>
        <v>299</v>
      </c>
      <c r="N4787" s="23" t="str">
        <f t="shared" si="298"/>
        <v>OK</v>
      </c>
      <c r="O4787" s="24">
        <f t="shared" si="299"/>
        <v>0</v>
      </c>
    </row>
    <row r="4788" spans="1:15" ht="15" customHeight="1" x14ac:dyDescent="0.3">
      <c r="A4788" s="23" t="s">
        <v>10036</v>
      </c>
      <c r="B4788" s="38">
        <v>46266</v>
      </c>
      <c r="C4788" s="23" t="s">
        <v>10037</v>
      </c>
      <c r="D4788" s="23" t="s">
        <v>90</v>
      </c>
      <c r="E4788" s="23" t="s">
        <v>77</v>
      </c>
      <c r="F4788" s="23" t="s">
        <v>315</v>
      </c>
      <c r="G4788" s="23" t="s">
        <v>250</v>
      </c>
      <c r="H4788" s="39">
        <f t="shared" si="296"/>
        <v>1499</v>
      </c>
      <c r="I4788" s="23" t="str">
        <f t="shared" si="297"/>
        <v>Ahmedabad</v>
      </c>
      <c r="J4788" s="23">
        <f>COUNTIFS(pg_transaction_cleaned!$O:$O,A4788,pg_transaction_cleaned!$F:$F,"CAPTURE")</f>
        <v>1</v>
      </c>
      <c r="K4788" s="39">
        <f>SUMIFS(pg_transaction_cleaned!$H:$H,pg_transaction_cleaned!$O:$O,A4788,pg_transaction_cleaned!$F:$F,"CAPTURE")</f>
        <v>1499</v>
      </c>
      <c r="L4788" s="23">
        <f>COUNTIFS(pg_transaction_cleaned!$O:$O,A4788,pg_transaction_cleaned!$F:$F,"REFUND")</f>
        <v>0</v>
      </c>
      <c r="M4788" s="39">
        <f>SUMIFS(pg_transaction_cleaned!$H:$H,pg_transaction_cleaned!$O:$O,A4788,pg_transaction_cleaned!$F:$F,"REFUND")</f>
        <v>0</v>
      </c>
      <c r="N4788" s="23" t="str">
        <f t="shared" si="298"/>
        <v>OK</v>
      </c>
      <c r="O4788" s="24">
        <f t="shared" si="299"/>
        <v>0</v>
      </c>
    </row>
    <row r="4789" spans="1:15" ht="15" customHeight="1" x14ac:dyDescent="0.3">
      <c r="A4789" s="23" t="s">
        <v>10038</v>
      </c>
      <c r="B4789" s="38">
        <v>46276</v>
      </c>
      <c r="C4789" s="23" t="s">
        <v>10039</v>
      </c>
      <c r="D4789" s="23" t="s">
        <v>90</v>
      </c>
      <c r="E4789" s="23" t="s">
        <v>75</v>
      </c>
      <c r="F4789" s="23" t="s">
        <v>259</v>
      </c>
      <c r="G4789" s="23" t="s">
        <v>250</v>
      </c>
      <c r="H4789" s="39">
        <f t="shared" si="296"/>
        <v>3298</v>
      </c>
      <c r="I4789" s="23" t="str">
        <f t="shared" si="297"/>
        <v>Ahmedabad</v>
      </c>
      <c r="J4789" s="23">
        <f>COUNTIFS(pg_transaction_cleaned!$O:$O,A4789,pg_transaction_cleaned!$F:$F,"CAPTURE")</f>
        <v>1</v>
      </c>
      <c r="K4789" s="39">
        <f>SUMIFS(pg_transaction_cleaned!$H:$H,pg_transaction_cleaned!$O:$O,A4789,pg_transaction_cleaned!$F:$F,"CAPTURE")</f>
        <v>3298</v>
      </c>
      <c r="L4789" s="23">
        <f>COUNTIFS(pg_transaction_cleaned!$O:$O,A4789,pg_transaction_cleaned!$F:$F,"REFUND")</f>
        <v>0</v>
      </c>
      <c r="M4789" s="39">
        <f>SUMIFS(pg_transaction_cleaned!$H:$H,pg_transaction_cleaned!$O:$O,A4789,pg_transaction_cleaned!$F:$F,"REFUND")</f>
        <v>0</v>
      </c>
      <c r="N4789" s="23" t="str">
        <f t="shared" si="298"/>
        <v>OK</v>
      </c>
      <c r="O4789" s="24">
        <f t="shared" si="299"/>
        <v>0</v>
      </c>
    </row>
    <row r="4790" spans="1:15" ht="15" customHeight="1" x14ac:dyDescent="0.3">
      <c r="A4790" s="23" t="s">
        <v>10040</v>
      </c>
      <c r="B4790" s="38">
        <v>46282</v>
      </c>
      <c r="C4790" s="23" t="s">
        <v>10041</v>
      </c>
      <c r="D4790" s="23" t="s">
        <v>88</v>
      </c>
      <c r="E4790" s="23" t="s">
        <v>75</v>
      </c>
      <c r="F4790" s="23" t="s">
        <v>274</v>
      </c>
      <c r="G4790" s="23" t="s">
        <v>318</v>
      </c>
      <c r="H4790" s="39">
        <f t="shared" si="296"/>
        <v>349</v>
      </c>
      <c r="I4790" s="23" t="str">
        <f t="shared" si="297"/>
        <v>Lucknow</v>
      </c>
      <c r="J4790" s="23">
        <f>COUNTIFS(pg_transaction_cleaned!$O:$O,A4790,pg_transaction_cleaned!$F:$F,"CAPTURE")</f>
        <v>0</v>
      </c>
      <c r="K4790" s="39">
        <f>SUMIFS(pg_transaction_cleaned!$H:$H,pg_transaction_cleaned!$O:$O,A4790,pg_transaction_cleaned!$F:$F,"CAPTURE")</f>
        <v>0</v>
      </c>
      <c r="L4790" s="23">
        <f>COUNTIFS(pg_transaction_cleaned!$O:$O,A4790,pg_transaction_cleaned!$F:$F,"REFUND")</f>
        <v>0</v>
      </c>
      <c r="M4790" s="39">
        <f>SUMIFS(pg_transaction_cleaned!$H:$H,pg_transaction_cleaned!$O:$O,A4790,pg_transaction_cleaned!$F:$F,"REFUND")</f>
        <v>0</v>
      </c>
      <c r="N4790" s="23" t="str">
        <f t="shared" si="298"/>
        <v>OK</v>
      </c>
      <c r="O4790" s="24">
        <f t="shared" si="299"/>
        <v>0</v>
      </c>
    </row>
    <row r="4791" spans="1:15" ht="15" customHeight="1" x14ac:dyDescent="0.3">
      <c r="A4791" s="23" t="s">
        <v>10042</v>
      </c>
      <c r="B4791" s="38">
        <v>46288</v>
      </c>
      <c r="C4791" s="23" t="s">
        <v>10043</v>
      </c>
      <c r="D4791" s="23" t="s">
        <v>86</v>
      </c>
      <c r="E4791" s="23" t="s">
        <v>75</v>
      </c>
      <c r="F4791" s="23" t="s">
        <v>1505</v>
      </c>
      <c r="G4791" s="23" t="s">
        <v>301</v>
      </c>
      <c r="H4791" s="39">
        <f t="shared" si="296"/>
        <v>8298</v>
      </c>
      <c r="I4791" s="23" t="str">
        <f t="shared" si="297"/>
        <v>Delhi</v>
      </c>
      <c r="J4791" s="23">
        <f>COUNTIFS(pg_transaction_cleaned!$O:$O,A4791,pg_transaction_cleaned!$F:$F,"CAPTURE")</f>
        <v>1</v>
      </c>
      <c r="K4791" s="39">
        <f>SUMIFS(pg_transaction_cleaned!$H:$H,pg_transaction_cleaned!$O:$O,A4791,pg_transaction_cleaned!$F:$F,"CAPTURE")</f>
        <v>8298</v>
      </c>
      <c r="L4791" s="23">
        <f>COUNTIFS(pg_transaction_cleaned!$O:$O,A4791,pg_transaction_cleaned!$F:$F,"REFUND")</f>
        <v>1</v>
      </c>
      <c r="M4791" s="39">
        <f>SUMIFS(pg_transaction_cleaned!$H:$H,pg_transaction_cleaned!$O:$O,A4791,pg_transaction_cleaned!$F:$F,"REFUND")</f>
        <v>8298</v>
      </c>
      <c r="N4791" s="23" t="str">
        <f t="shared" si="298"/>
        <v>OK</v>
      </c>
      <c r="O4791" s="24">
        <f t="shared" si="299"/>
        <v>0</v>
      </c>
    </row>
    <row r="4792" spans="1:15" ht="15" customHeight="1" x14ac:dyDescent="0.3">
      <c r="A4792" s="23" t="s">
        <v>10044</v>
      </c>
      <c r="B4792" s="38">
        <v>46295</v>
      </c>
      <c r="C4792" s="23" t="s">
        <v>10045</v>
      </c>
      <c r="D4792" s="23" t="s">
        <v>94</v>
      </c>
      <c r="E4792" s="23" t="s">
        <v>75</v>
      </c>
      <c r="F4792" s="23" t="s">
        <v>475</v>
      </c>
      <c r="G4792" s="23" t="s">
        <v>250</v>
      </c>
      <c r="H4792" s="39">
        <f t="shared" si="296"/>
        <v>799</v>
      </c>
      <c r="I4792" s="23" t="str">
        <f t="shared" si="297"/>
        <v>Chennai</v>
      </c>
      <c r="J4792" s="23">
        <f>COUNTIFS(pg_transaction_cleaned!$O:$O,A4792,pg_transaction_cleaned!$F:$F,"CAPTURE")</f>
        <v>1</v>
      </c>
      <c r="K4792" s="39">
        <f>SUMIFS(pg_transaction_cleaned!$H:$H,pg_transaction_cleaned!$O:$O,A4792,pg_transaction_cleaned!$F:$F,"CAPTURE")</f>
        <v>799</v>
      </c>
      <c r="L4792" s="23">
        <f>COUNTIFS(pg_transaction_cleaned!$O:$O,A4792,pg_transaction_cleaned!$F:$F,"REFUND")</f>
        <v>0</v>
      </c>
      <c r="M4792" s="39">
        <f>SUMIFS(pg_transaction_cleaned!$H:$H,pg_transaction_cleaned!$O:$O,A4792,pg_transaction_cleaned!$F:$F,"REFUND")</f>
        <v>0</v>
      </c>
      <c r="N4792" s="23" t="str">
        <f t="shared" si="298"/>
        <v>OK</v>
      </c>
      <c r="O4792" s="24">
        <f t="shared" si="299"/>
        <v>0</v>
      </c>
    </row>
    <row r="4793" spans="1:15" ht="15" customHeight="1" x14ac:dyDescent="0.3">
      <c r="A4793" s="23" t="s">
        <v>10046</v>
      </c>
      <c r="B4793" s="38">
        <v>46293</v>
      </c>
      <c r="C4793" s="23" t="s">
        <v>10047</v>
      </c>
      <c r="D4793" s="23" t="s">
        <v>89</v>
      </c>
      <c r="E4793" s="23" t="s">
        <v>75</v>
      </c>
      <c r="F4793" s="23" t="s">
        <v>553</v>
      </c>
      <c r="G4793" s="23" t="s">
        <v>250</v>
      </c>
      <c r="H4793" s="39">
        <f t="shared" si="296"/>
        <v>2798</v>
      </c>
      <c r="I4793" s="23" t="str">
        <f t="shared" si="297"/>
        <v>Jaipur</v>
      </c>
      <c r="J4793" s="23">
        <f>COUNTIFS(pg_transaction_cleaned!$O:$O,A4793,pg_transaction_cleaned!$F:$F,"CAPTURE")</f>
        <v>1</v>
      </c>
      <c r="K4793" s="39">
        <f>SUMIFS(pg_transaction_cleaned!$H:$H,pg_transaction_cleaned!$O:$O,A4793,pg_transaction_cleaned!$F:$F,"CAPTURE")</f>
        <v>2798</v>
      </c>
      <c r="L4793" s="23">
        <f>COUNTIFS(pg_transaction_cleaned!$O:$O,A4793,pg_transaction_cleaned!$F:$F,"REFUND")</f>
        <v>0</v>
      </c>
      <c r="M4793" s="39">
        <f>SUMIFS(pg_transaction_cleaned!$H:$H,pg_transaction_cleaned!$O:$O,A4793,pg_transaction_cleaned!$F:$F,"REFUND")</f>
        <v>0</v>
      </c>
      <c r="N4793" s="23" t="str">
        <f t="shared" si="298"/>
        <v>OK</v>
      </c>
      <c r="O4793" s="24">
        <f t="shared" si="299"/>
        <v>0</v>
      </c>
    </row>
    <row r="4794" spans="1:15" ht="15" customHeight="1" x14ac:dyDescent="0.3">
      <c r="A4794" s="23" t="s">
        <v>10048</v>
      </c>
      <c r="B4794" s="38">
        <v>46275</v>
      </c>
      <c r="C4794" s="23" t="s">
        <v>10049</v>
      </c>
      <c r="D4794" s="23" t="s">
        <v>86</v>
      </c>
      <c r="E4794" s="23" t="s">
        <v>77</v>
      </c>
      <c r="F4794" s="23" t="s">
        <v>1206</v>
      </c>
      <c r="G4794" s="23" t="s">
        <v>301</v>
      </c>
      <c r="H4794" s="39">
        <f t="shared" si="296"/>
        <v>7297</v>
      </c>
      <c r="I4794" s="23" t="str">
        <f t="shared" si="297"/>
        <v>Delhi</v>
      </c>
      <c r="J4794" s="23">
        <f>COUNTIFS(pg_transaction_cleaned!$O:$O,A4794,pg_transaction_cleaned!$F:$F,"CAPTURE")</f>
        <v>1</v>
      </c>
      <c r="K4794" s="39">
        <f>SUMIFS(pg_transaction_cleaned!$H:$H,pg_transaction_cleaned!$O:$O,A4794,pg_transaction_cleaned!$F:$F,"CAPTURE")</f>
        <v>7297</v>
      </c>
      <c r="L4794" s="23">
        <f>COUNTIFS(pg_transaction_cleaned!$O:$O,A4794,pg_transaction_cleaned!$F:$F,"REFUND")</f>
        <v>1</v>
      </c>
      <c r="M4794" s="39">
        <f>SUMIFS(pg_transaction_cleaned!$H:$H,pg_transaction_cleaned!$O:$O,A4794,pg_transaction_cleaned!$F:$F,"REFUND")</f>
        <v>7297</v>
      </c>
      <c r="N4794" s="23" t="str">
        <f t="shared" si="298"/>
        <v>OK</v>
      </c>
      <c r="O4794" s="24">
        <f t="shared" si="299"/>
        <v>0</v>
      </c>
    </row>
    <row r="4795" spans="1:15" ht="15" customHeight="1" x14ac:dyDescent="0.3">
      <c r="A4795" s="23" t="s">
        <v>10050</v>
      </c>
      <c r="B4795" s="38">
        <v>46273</v>
      </c>
      <c r="C4795" s="23" t="s">
        <v>10051</v>
      </c>
      <c r="D4795" s="23" t="s">
        <v>95</v>
      </c>
      <c r="E4795" s="23" t="s">
        <v>75</v>
      </c>
      <c r="F4795" s="23" t="s">
        <v>574</v>
      </c>
      <c r="G4795" s="23" t="s">
        <v>250</v>
      </c>
      <c r="H4795" s="39">
        <f t="shared" si="296"/>
        <v>1848</v>
      </c>
      <c r="I4795" s="23" t="str">
        <f t="shared" si="297"/>
        <v>Bengaluru</v>
      </c>
      <c r="J4795" s="23">
        <f>COUNTIFS(pg_transaction_cleaned!$O:$O,A4795,pg_transaction_cleaned!$F:$F,"CAPTURE")</f>
        <v>1</v>
      </c>
      <c r="K4795" s="39">
        <f>SUMIFS(pg_transaction_cleaned!$H:$H,pg_transaction_cleaned!$O:$O,A4795,pg_transaction_cleaned!$F:$F,"CAPTURE")</f>
        <v>1848</v>
      </c>
      <c r="L4795" s="23">
        <f>COUNTIFS(pg_transaction_cleaned!$O:$O,A4795,pg_transaction_cleaned!$F:$F,"REFUND")</f>
        <v>0</v>
      </c>
      <c r="M4795" s="39">
        <f>SUMIFS(pg_transaction_cleaned!$H:$H,pg_transaction_cleaned!$O:$O,A4795,pg_transaction_cleaned!$F:$F,"REFUND")</f>
        <v>0</v>
      </c>
      <c r="N4795" s="23" t="str">
        <f t="shared" si="298"/>
        <v>OK</v>
      </c>
      <c r="O4795" s="24">
        <f t="shared" si="299"/>
        <v>0</v>
      </c>
    </row>
    <row r="4796" spans="1:15" ht="15" customHeight="1" x14ac:dyDescent="0.3">
      <c r="A4796" s="23" t="s">
        <v>10052</v>
      </c>
      <c r="B4796" s="38">
        <v>46277</v>
      </c>
      <c r="C4796" s="23" t="s">
        <v>10053</v>
      </c>
      <c r="D4796" s="23" t="s">
        <v>88</v>
      </c>
      <c r="E4796" s="23" t="s">
        <v>79</v>
      </c>
      <c r="F4796" s="23" t="s">
        <v>249</v>
      </c>
      <c r="G4796" s="23" t="s">
        <v>250</v>
      </c>
      <c r="H4796" s="39">
        <f t="shared" si="296"/>
        <v>299</v>
      </c>
      <c r="I4796" s="23" t="str">
        <f t="shared" si="297"/>
        <v>Lucknow</v>
      </c>
      <c r="J4796" s="23">
        <f>COUNTIFS(pg_transaction_cleaned!$O:$O,A4796,pg_transaction_cleaned!$F:$F,"CAPTURE")</f>
        <v>1</v>
      </c>
      <c r="K4796" s="39">
        <f>SUMIFS(pg_transaction_cleaned!$H:$H,pg_transaction_cleaned!$O:$O,A4796,pg_transaction_cleaned!$F:$F,"CAPTURE")</f>
        <v>299</v>
      </c>
      <c r="L4796" s="23">
        <f>COUNTIFS(pg_transaction_cleaned!$O:$O,A4796,pg_transaction_cleaned!$F:$F,"REFUND")</f>
        <v>0</v>
      </c>
      <c r="M4796" s="39">
        <f>SUMIFS(pg_transaction_cleaned!$H:$H,pg_transaction_cleaned!$O:$O,A4796,pg_transaction_cleaned!$F:$F,"REFUND")</f>
        <v>0</v>
      </c>
      <c r="N4796" s="23" t="str">
        <f t="shared" si="298"/>
        <v>OK</v>
      </c>
      <c r="O4796" s="24">
        <f t="shared" si="299"/>
        <v>0</v>
      </c>
    </row>
    <row r="4797" spans="1:15" ht="15" customHeight="1" x14ac:dyDescent="0.3">
      <c r="A4797" s="23" t="s">
        <v>10054</v>
      </c>
      <c r="B4797" s="38">
        <v>46288</v>
      </c>
      <c r="C4797" s="23" t="s">
        <v>10055</v>
      </c>
      <c r="D4797" s="23" t="s">
        <v>95</v>
      </c>
      <c r="E4797" s="23" t="s">
        <v>75</v>
      </c>
      <c r="F4797" s="23" t="s">
        <v>483</v>
      </c>
      <c r="G4797" s="23" t="s">
        <v>250</v>
      </c>
      <c r="H4797" s="39">
        <f t="shared" si="296"/>
        <v>2998</v>
      </c>
      <c r="I4797" s="23" t="str">
        <f t="shared" si="297"/>
        <v>Bengaluru</v>
      </c>
      <c r="J4797" s="23">
        <f>COUNTIFS(pg_transaction_cleaned!$O:$O,A4797,pg_transaction_cleaned!$F:$F,"CAPTURE")</f>
        <v>1</v>
      </c>
      <c r="K4797" s="39">
        <f>SUMIFS(pg_transaction_cleaned!$H:$H,pg_transaction_cleaned!$O:$O,A4797,pg_transaction_cleaned!$F:$F,"CAPTURE")</f>
        <v>2998</v>
      </c>
      <c r="L4797" s="23">
        <f>COUNTIFS(pg_transaction_cleaned!$O:$O,A4797,pg_transaction_cleaned!$F:$F,"REFUND")</f>
        <v>0</v>
      </c>
      <c r="M4797" s="39">
        <f>SUMIFS(pg_transaction_cleaned!$H:$H,pg_transaction_cleaned!$O:$O,A4797,pg_transaction_cleaned!$F:$F,"REFUND")</f>
        <v>0</v>
      </c>
      <c r="N4797" s="23" t="str">
        <f t="shared" si="298"/>
        <v>OK</v>
      </c>
      <c r="O4797" s="24">
        <f t="shared" si="299"/>
        <v>0</v>
      </c>
    </row>
    <row r="4798" spans="1:15" ht="15" customHeight="1" x14ac:dyDescent="0.3">
      <c r="A4798" s="23" t="s">
        <v>10056</v>
      </c>
      <c r="B4798" s="38">
        <v>46289</v>
      </c>
      <c r="C4798" s="23" t="s">
        <v>10057</v>
      </c>
      <c r="D4798" s="23" t="s">
        <v>90</v>
      </c>
      <c r="E4798" s="23" t="s">
        <v>79</v>
      </c>
      <c r="F4798" s="23" t="s">
        <v>724</v>
      </c>
      <c r="G4798" s="23" t="s">
        <v>318</v>
      </c>
      <c r="H4798" s="39">
        <f t="shared" si="296"/>
        <v>3848</v>
      </c>
      <c r="I4798" s="23" t="str">
        <f t="shared" si="297"/>
        <v>Ahmedabad</v>
      </c>
      <c r="J4798" s="23">
        <f>COUNTIFS(pg_transaction_cleaned!$O:$O,A4798,pg_transaction_cleaned!$F:$F,"CAPTURE")</f>
        <v>0</v>
      </c>
      <c r="K4798" s="39">
        <f>SUMIFS(pg_transaction_cleaned!$H:$H,pg_transaction_cleaned!$O:$O,A4798,pg_transaction_cleaned!$F:$F,"CAPTURE")</f>
        <v>0</v>
      </c>
      <c r="L4798" s="23">
        <f>COUNTIFS(pg_transaction_cleaned!$O:$O,A4798,pg_transaction_cleaned!$F:$F,"REFUND")</f>
        <v>0</v>
      </c>
      <c r="M4798" s="39">
        <f>SUMIFS(pg_transaction_cleaned!$H:$H,pg_transaction_cleaned!$O:$O,A4798,pg_transaction_cleaned!$F:$F,"REFUND")</f>
        <v>0</v>
      </c>
      <c r="N4798" s="23" t="str">
        <f t="shared" si="298"/>
        <v>OK</v>
      </c>
      <c r="O4798" s="24">
        <f t="shared" si="299"/>
        <v>0</v>
      </c>
    </row>
    <row r="4799" spans="1:15" ht="15" customHeight="1" x14ac:dyDescent="0.3">
      <c r="A4799" s="23" t="s">
        <v>10058</v>
      </c>
      <c r="B4799" s="38">
        <v>46273</v>
      </c>
      <c r="C4799" s="23" t="s">
        <v>10059</v>
      </c>
      <c r="D4799" s="23" t="s">
        <v>93</v>
      </c>
      <c r="E4799" s="23" t="s">
        <v>79</v>
      </c>
      <c r="F4799" s="23" t="s">
        <v>315</v>
      </c>
      <c r="G4799" s="23" t="s">
        <v>250</v>
      </c>
      <c r="H4799" s="39">
        <f t="shared" si="296"/>
        <v>1499</v>
      </c>
      <c r="I4799" s="23" t="str">
        <f t="shared" si="297"/>
        <v>Kolkata</v>
      </c>
      <c r="J4799" s="23">
        <f>COUNTIFS(pg_transaction_cleaned!$O:$O,A4799,pg_transaction_cleaned!$F:$F,"CAPTURE")</f>
        <v>1</v>
      </c>
      <c r="K4799" s="39">
        <f>SUMIFS(pg_transaction_cleaned!$H:$H,pg_transaction_cleaned!$O:$O,A4799,pg_transaction_cleaned!$F:$F,"CAPTURE")</f>
        <v>1499</v>
      </c>
      <c r="L4799" s="23">
        <f>COUNTIFS(pg_transaction_cleaned!$O:$O,A4799,pg_transaction_cleaned!$F:$F,"REFUND")</f>
        <v>0</v>
      </c>
      <c r="M4799" s="39">
        <f>SUMIFS(pg_transaction_cleaned!$H:$H,pg_transaction_cleaned!$O:$O,A4799,pg_transaction_cleaned!$F:$F,"REFUND")</f>
        <v>0</v>
      </c>
      <c r="N4799" s="23" t="str">
        <f t="shared" si="298"/>
        <v>OK</v>
      </c>
      <c r="O4799" s="24">
        <f t="shared" si="299"/>
        <v>0</v>
      </c>
    </row>
    <row r="4800" spans="1:15" ht="15" customHeight="1" x14ac:dyDescent="0.3">
      <c r="A4800" s="23" t="s">
        <v>10060</v>
      </c>
      <c r="B4800" s="38">
        <v>46288</v>
      </c>
      <c r="C4800" s="23" t="s">
        <v>10061</v>
      </c>
      <c r="D4800" s="23" t="s">
        <v>95</v>
      </c>
      <c r="E4800" s="23" t="s">
        <v>79</v>
      </c>
      <c r="F4800" s="23" t="s">
        <v>475</v>
      </c>
      <c r="G4800" s="23" t="s">
        <v>250</v>
      </c>
      <c r="H4800" s="39">
        <f t="shared" si="296"/>
        <v>799</v>
      </c>
      <c r="I4800" s="23" t="str">
        <f t="shared" si="297"/>
        <v>Bengaluru</v>
      </c>
      <c r="J4800" s="23">
        <f>COUNTIFS(pg_transaction_cleaned!$O:$O,A4800,pg_transaction_cleaned!$F:$F,"CAPTURE")</f>
        <v>1</v>
      </c>
      <c r="K4800" s="39">
        <f>SUMIFS(pg_transaction_cleaned!$H:$H,pg_transaction_cleaned!$O:$O,A4800,pg_transaction_cleaned!$F:$F,"CAPTURE")</f>
        <v>799</v>
      </c>
      <c r="L4800" s="23">
        <f>COUNTIFS(pg_transaction_cleaned!$O:$O,A4800,pg_transaction_cleaned!$F:$F,"REFUND")</f>
        <v>0</v>
      </c>
      <c r="M4800" s="39">
        <f>SUMIFS(pg_transaction_cleaned!$H:$H,pg_transaction_cleaned!$O:$O,A4800,pg_transaction_cleaned!$F:$F,"REFUND")</f>
        <v>0</v>
      </c>
      <c r="N4800" s="23" t="str">
        <f t="shared" si="298"/>
        <v>OK</v>
      </c>
      <c r="O4800" s="24">
        <f t="shared" si="299"/>
        <v>0</v>
      </c>
    </row>
    <row r="4801" spans="1:15" ht="15" customHeight="1" x14ac:dyDescent="0.3">
      <c r="A4801" s="23" t="s">
        <v>10062</v>
      </c>
      <c r="B4801" s="38">
        <v>46291</v>
      </c>
      <c r="C4801" s="23" t="s">
        <v>10063</v>
      </c>
      <c r="D4801" s="23" t="s">
        <v>95</v>
      </c>
      <c r="E4801" s="23" t="s">
        <v>75</v>
      </c>
      <c r="F4801" s="23" t="s">
        <v>2322</v>
      </c>
      <c r="G4801" s="23" t="s">
        <v>250</v>
      </c>
      <c r="H4801" s="39">
        <f t="shared" si="296"/>
        <v>14797</v>
      </c>
      <c r="I4801" s="23" t="str">
        <f t="shared" si="297"/>
        <v>Bengaluru</v>
      </c>
      <c r="J4801" s="23">
        <f>COUNTIFS(pg_transaction_cleaned!$O:$O,A4801,pg_transaction_cleaned!$F:$F,"CAPTURE")</f>
        <v>1</v>
      </c>
      <c r="K4801" s="39">
        <f>SUMIFS(pg_transaction_cleaned!$H:$H,pg_transaction_cleaned!$O:$O,A4801,pg_transaction_cleaned!$F:$F,"CAPTURE")</f>
        <v>14797</v>
      </c>
      <c r="L4801" s="23">
        <f>COUNTIFS(pg_transaction_cleaned!$O:$O,A4801,pg_transaction_cleaned!$F:$F,"REFUND")</f>
        <v>0</v>
      </c>
      <c r="M4801" s="39">
        <f>SUMIFS(pg_transaction_cleaned!$H:$H,pg_transaction_cleaned!$O:$O,A4801,pg_transaction_cleaned!$F:$F,"REFUND")</f>
        <v>0</v>
      </c>
      <c r="N4801" s="23" t="str">
        <f t="shared" si="298"/>
        <v>OK</v>
      </c>
      <c r="O4801" s="24">
        <f t="shared" si="299"/>
        <v>0</v>
      </c>
    </row>
    <row r="4802" spans="1:15" ht="15" customHeight="1" x14ac:dyDescent="0.3">
      <c r="A4802" s="23" t="s">
        <v>10064</v>
      </c>
      <c r="B4802" s="38">
        <v>46292</v>
      </c>
      <c r="C4802" s="23" t="s">
        <v>10065</v>
      </c>
      <c r="D4802" s="23" t="s">
        <v>90</v>
      </c>
      <c r="E4802" s="23" t="s">
        <v>81</v>
      </c>
      <c r="F4802" s="23" t="s">
        <v>612</v>
      </c>
      <c r="G4802" s="23" t="s">
        <v>250</v>
      </c>
      <c r="H4802" s="39">
        <f t="shared" ref="H4802:H4865" si="300">VALUE(SUBSTITUTE(F4802,",",""))</f>
        <v>8498</v>
      </c>
      <c r="I4802" s="23" t="str">
        <f t="shared" ref="I4802:I4865" si="301">IF(TRIM(D4802)="","Unknown",TRIM(D4802))</f>
        <v>Ahmedabad</v>
      </c>
      <c r="J4802" s="23">
        <f>COUNTIFS(pg_transaction_cleaned!$O:$O,A4802,pg_transaction_cleaned!$F:$F,"CAPTURE")</f>
        <v>1</v>
      </c>
      <c r="K4802" s="39">
        <f>SUMIFS(pg_transaction_cleaned!$H:$H,pg_transaction_cleaned!$O:$O,A4802,pg_transaction_cleaned!$F:$F,"CAPTURE")</f>
        <v>8498</v>
      </c>
      <c r="L4802" s="23">
        <f>COUNTIFS(pg_transaction_cleaned!$O:$O,A4802,pg_transaction_cleaned!$F:$F,"REFUND")</f>
        <v>0</v>
      </c>
      <c r="M4802" s="39">
        <f>SUMIFS(pg_transaction_cleaned!$H:$H,pg_transaction_cleaned!$O:$O,A4802,pg_transaction_cleaned!$F:$F,"REFUND")</f>
        <v>0</v>
      </c>
      <c r="N4802" s="23" t="str">
        <f t="shared" ref="N4802:N4865" si="302">IF(AND(G4802="Paid",J4802=0),"Paid, no payment",IF(AND(OR(G4802="Failed",G4802="Cancelled"),J4802&gt;0),"Payment on failed/cancelled",IF(J4802&gt;1,"Duplicate charge",IF(AND(J4802=1,ROUND(K4802-H4802,2)&lt;&gt;0),"Amount difference",IF(AND(G4802="Refunded",L4802=0),"Refunded, no refund",IF(AND(G4802&lt;&gt;"Refunded",L4802&gt;0),"Refund, order not Refunded",IF(AND(L4802&gt;0,ROUND(M4802-H4802,2)&lt;&gt;0),"Refund amount differs","OK")))))))</f>
        <v>OK</v>
      </c>
      <c r="O4802" s="24">
        <f t="shared" ref="O4802:O4865" si="303">IF(N4802="OK",0,IF(N4802="Paid, no payment",H4802,IF(N4802="Payment on failed/cancelled",K4802,IF(OR(N4802="Duplicate charge",N4802="Amount difference"),K4802-H4802,IF(N4802="Refunded, no refund",H4802,M4802)))))</f>
        <v>0</v>
      </c>
    </row>
    <row r="4803" spans="1:15" ht="15" customHeight="1" x14ac:dyDescent="0.3">
      <c r="A4803" s="23" t="s">
        <v>10066</v>
      </c>
      <c r="B4803" s="38">
        <v>46287</v>
      </c>
      <c r="C4803" s="23" t="s">
        <v>10067</v>
      </c>
      <c r="D4803" s="23" t="s">
        <v>92</v>
      </c>
      <c r="E4803" s="23" t="s">
        <v>77</v>
      </c>
      <c r="F4803" s="23" t="s">
        <v>475</v>
      </c>
      <c r="G4803" s="23" t="s">
        <v>250</v>
      </c>
      <c r="H4803" s="39">
        <f t="shared" si="300"/>
        <v>799</v>
      </c>
      <c r="I4803" s="23" t="str">
        <f t="shared" si="301"/>
        <v>Hyderabad</v>
      </c>
      <c r="J4803" s="23">
        <f>COUNTIFS(pg_transaction_cleaned!$O:$O,A4803,pg_transaction_cleaned!$F:$F,"CAPTURE")</f>
        <v>1</v>
      </c>
      <c r="K4803" s="39">
        <f>SUMIFS(pg_transaction_cleaned!$H:$H,pg_transaction_cleaned!$O:$O,A4803,pg_transaction_cleaned!$F:$F,"CAPTURE")</f>
        <v>799</v>
      </c>
      <c r="L4803" s="23">
        <f>COUNTIFS(pg_transaction_cleaned!$O:$O,A4803,pg_transaction_cleaned!$F:$F,"REFUND")</f>
        <v>0</v>
      </c>
      <c r="M4803" s="39">
        <f>SUMIFS(pg_transaction_cleaned!$H:$H,pg_transaction_cleaned!$O:$O,A4803,pg_transaction_cleaned!$F:$F,"REFUND")</f>
        <v>0</v>
      </c>
      <c r="N4803" s="23" t="str">
        <f t="shared" si="302"/>
        <v>OK</v>
      </c>
      <c r="O4803" s="24">
        <f t="shared" si="303"/>
        <v>0</v>
      </c>
    </row>
    <row r="4804" spans="1:15" ht="15" customHeight="1" x14ac:dyDescent="0.3">
      <c r="A4804" s="23" t="s">
        <v>10068</v>
      </c>
      <c r="B4804" s="38">
        <v>46284</v>
      </c>
      <c r="C4804" s="23" t="s">
        <v>10069</v>
      </c>
      <c r="D4804" s="23" t="s">
        <v>93</v>
      </c>
      <c r="E4804" s="23" t="s">
        <v>79</v>
      </c>
      <c r="F4804" s="23" t="s">
        <v>297</v>
      </c>
      <c r="G4804" s="23" t="s">
        <v>250</v>
      </c>
      <c r="H4804" s="39">
        <f t="shared" si="300"/>
        <v>4999</v>
      </c>
      <c r="I4804" s="23" t="str">
        <f t="shared" si="301"/>
        <v>Kolkata</v>
      </c>
      <c r="J4804" s="23">
        <f>COUNTIFS(pg_transaction_cleaned!$O:$O,A4804,pg_transaction_cleaned!$F:$F,"CAPTURE")</f>
        <v>1</v>
      </c>
      <c r="K4804" s="39">
        <f>SUMIFS(pg_transaction_cleaned!$H:$H,pg_transaction_cleaned!$O:$O,A4804,pg_transaction_cleaned!$F:$F,"CAPTURE")</f>
        <v>4999</v>
      </c>
      <c r="L4804" s="23">
        <f>COUNTIFS(pg_transaction_cleaned!$O:$O,A4804,pg_transaction_cleaned!$F:$F,"REFUND")</f>
        <v>0</v>
      </c>
      <c r="M4804" s="39">
        <f>SUMIFS(pg_transaction_cleaned!$H:$H,pg_transaction_cleaned!$O:$O,A4804,pg_transaction_cleaned!$F:$F,"REFUND")</f>
        <v>0</v>
      </c>
      <c r="N4804" s="23" t="str">
        <f t="shared" si="302"/>
        <v>OK</v>
      </c>
      <c r="O4804" s="24">
        <f t="shared" si="303"/>
        <v>0</v>
      </c>
    </row>
    <row r="4805" spans="1:15" ht="15" customHeight="1" x14ac:dyDescent="0.3">
      <c r="A4805" s="23" t="s">
        <v>10070</v>
      </c>
      <c r="B4805" s="38">
        <v>46280</v>
      </c>
      <c r="C4805" s="23" t="s">
        <v>10071</v>
      </c>
      <c r="D4805" s="23" t="s">
        <v>91</v>
      </c>
      <c r="E4805" s="23" t="s">
        <v>75</v>
      </c>
      <c r="F4805" s="23" t="s">
        <v>268</v>
      </c>
      <c r="G4805" s="23" t="s">
        <v>250</v>
      </c>
      <c r="H4805" s="39">
        <f t="shared" si="300"/>
        <v>1299</v>
      </c>
      <c r="I4805" s="23" t="str">
        <f t="shared" si="301"/>
        <v>Pune</v>
      </c>
      <c r="J4805" s="23">
        <f>COUNTIFS(pg_transaction_cleaned!$O:$O,A4805,pg_transaction_cleaned!$F:$F,"CAPTURE")</f>
        <v>1</v>
      </c>
      <c r="K4805" s="39">
        <f>SUMIFS(pg_transaction_cleaned!$H:$H,pg_transaction_cleaned!$O:$O,A4805,pg_transaction_cleaned!$F:$F,"CAPTURE")</f>
        <v>1299</v>
      </c>
      <c r="L4805" s="23">
        <f>COUNTIFS(pg_transaction_cleaned!$O:$O,A4805,pg_transaction_cleaned!$F:$F,"REFUND")</f>
        <v>0</v>
      </c>
      <c r="M4805" s="39">
        <f>SUMIFS(pg_transaction_cleaned!$H:$H,pg_transaction_cleaned!$O:$O,A4805,pg_transaction_cleaned!$F:$F,"REFUND")</f>
        <v>0</v>
      </c>
      <c r="N4805" s="23" t="str">
        <f t="shared" si="302"/>
        <v>OK</v>
      </c>
      <c r="O4805" s="24">
        <f t="shared" si="303"/>
        <v>0</v>
      </c>
    </row>
    <row r="4806" spans="1:15" ht="15" customHeight="1" x14ac:dyDescent="0.3">
      <c r="A4806" s="23" t="s">
        <v>10072</v>
      </c>
      <c r="B4806" s="38">
        <v>46281</v>
      </c>
      <c r="C4806" s="23" t="s">
        <v>10073</v>
      </c>
      <c r="D4806" s="23" t="s">
        <v>91</v>
      </c>
      <c r="E4806" s="23" t="s">
        <v>79</v>
      </c>
      <c r="F4806" s="23" t="s">
        <v>310</v>
      </c>
      <c r="G4806" s="23" t="s">
        <v>250</v>
      </c>
      <c r="H4806" s="39">
        <f t="shared" si="300"/>
        <v>7999</v>
      </c>
      <c r="I4806" s="23" t="str">
        <f t="shared" si="301"/>
        <v>Pune</v>
      </c>
      <c r="J4806" s="23">
        <f>COUNTIFS(pg_transaction_cleaned!$O:$O,A4806,pg_transaction_cleaned!$F:$F,"CAPTURE")</f>
        <v>1</v>
      </c>
      <c r="K4806" s="39">
        <f>SUMIFS(pg_transaction_cleaned!$H:$H,pg_transaction_cleaned!$O:$O,A4806,pg_transaction_cleaned!$F:$F,"CAPTURE")</f>
        <v>7999</v>
      </c>
      <c r="L4806" s="23">
        <f>COUNTIFS(pg_transaction_cleaned!$O:$O,A4806,pg_transaction_cleaned!$F:$F,"REFUND")</f>
        <v>0</v>
      </c>
      <c r="M4806" s="39">
        <f>SUMIFS(pg_transaction_cleaned!$H:$H,pg_transaction_cleaned!$O:$O,A4806,pg_transaction_cleaned!$F:$F,"REFUND")</f>
        <v>0</v>
      </c>
      <c r="N4806" s="23" t="str">
        <f t="shared" si="302"/>
        <v>OK</v>
      </c>
      <c r="O4806" s="24">
        <f t="shared" si="303"/>
        <v>0</v>
      </c>
    </row>
    <row r="4807" spans="1:15" ht="15" customHeight="1" x14ac:dyDescent="0.3">
      <c r="A4807" s="23" t="s">
        <v>10074</v>
      </c>
      <c r="B4807" s="38">
        <v>46278</v>
      </c>
      <c r="C4807" s="23" t="s">
        <v>4765</v>
      </c>
      <c r="D4807" s="23" t="s">
        <v>89</v>
      </c>
      <c r="E4807" s="23" t="s">
        <v>79</v>
      </c>
      <c r="F4807" s="23" t="s">
        <v>265</v>
      </c>
      <c r="G4807" s="23" t="s">
        <v>250</v>
      </c>
      <c r="H4807" s="39">
        <f t="shared" si="300"/>
        <v>999</v>
      </c>
      <c r="I4807" s="23" t="str">
        <f t="shared" si="301"/>
        <v>Jaipur</v>
      </c>
      <c r="J4807" s="23">
        <f>COUNTIFS(pg_transaction_cleaned!$O:$O,A4807,pg_transaction_cleaned!$F:$F,"CAPTURE")</f>
        <v>1</v>
      </c>
      <c r="K4807" s="39">
        <f>SUMIFS(pg_transaction_cleaned!$H:$H,pg_transaction_cleaned!$O:$O,A4807,pg_transaction_cleaned!$F:$F,"CAPTURE")</f>
        <v>999</v>
      </c>
      <c r="L4807" s="23">
        <f>COUNTIFS(pg_transaction_cleaned!$O:$O,A4807,pg_transaction_cleaned!$F:$F,"REFUND")</f>
        <v>0</v>
      </c>
      <c r="M4807" s="39">
        <f>SUMIFS(pg_transaction_cleaned!$H:$H,pg_transaction_cleaned!$O:$O,A4807,pg_transaction_cleaned!$F:$F,"REFUND")</f>
        <v>0</v>
      </c>
      <c r="N4807" s="23" t="str">
        <f t="shared" si="302"/>
        <v>OK</v>
      </c>
      <c r="O4807" s="24">
        <f t="shared" si="303"/>
        <v>0</v>
      </c>
    </row>
    <row r="4808" spans="1:15" ht="15" customHeight="1" x14ac:dyDescent="0.3">
      <c r="A4808" s="23" t="s">
        <v>10075</v>
      </c>
      <c r="B4808" s="38">
        <v>46285</v>
      </c>
      <c r="C4808" s="23" t="s">
        <v>10076</v>
      </c>
      <c r="D4808" s="23" t="s">
        <v>95</v>
      </c>
      <c r="E4808" s="23" t="s">
        <v>75</v>
      </c>
      <c r="F4808" s="23" t="s">
        <v>265</v>
      </c>
      <c r="G4808" s="23" t="s">
        <v>250</v>
      </c>
      <c r="H4808" s="39">
        <f t="shared" si="300"/>
        <v>999</v>
      </c>
      <c r="I4808" s="23" t="str">
        <f t="shared" si="301"/>
        <v>Bengaluru</v>
      </c>
      <c r="J4808" s="23">
        <f>COUNTIFS(pg_transaction_cleaned!$O:$O,A4808,pg_transaction_cleaned!$F:$F,"CAPTURE")</f>
        <v>1</v>
      </c>
      <c r="K4808" s="39">
        <f>SUMIFS(pg_transaction_cleaned!$H:$H,pg_transaction_cleaned!$O:$O,A4808,pg_transaction_cleaned!$F:$F,"CAPTURE")</f>
        <v>999</v>
      </c>
      <c r="L4808" s="23">
        <f>COUNTIFS(pg_transaction_cleaned!$O:$O,A4808,pg_transaction_cleaned!$F:$F,"REFUND")</f>
        <v>0</v>
      </c>
      <c r="M4808" s="39">
        <f>SUMIFS(pg_transaction_cleaned!$H:$H,pg_transaction_cleaned!$O:$O,A4808,pg_transaction_cleaned!$F:$F,"REFUND")</f>
        <v>0</v>
      </c>
      <c r="N4808" s="23" t="str">
        <f t="shared" si="302"/>
        <v>OK</v>
      </c>
      <c r="O4808" s="24">
        <f t="shared" si="303"/>
        <v>0</v>
      </c>
    </row>
    <row r="4809" spans="1:15" ht="15" customHeight="1" x14ac:dyDescent="0.3">
      <c r="A4809" s="23" t="s">
        <v>10077</v>
      </c>
      <c r="B4809" s="38">
        <v>46292</v>
      </c>
      <c r="C4809" s="23" t="s">
        <v>10078</v>
      </c>
      <c r="D4809" s="23" t="s">
        <v>94</v>
      </c>
      <c r="E4809" s="23" t="s">
        <v>75</v>
      </c>
      <c r="F4809" s="23" t="s">
        <v>717</v>
      </c>
      <c r="G4809" s="23" t="s">
        <v>250</v>
      </c>
      <c r="H4809" s="39">
        <f t="shared" si="300"/>
        <v>5298</v>
      </c>
      <c r="I4809" s="23" t="str">
        <f t="shared" si="301"/>
        <v>Chennai</v>
      </c>
      <c r="J4809" s="23">
        <f>COUNTIFS(pg_transaction_cleaned!$O:$O,A4809,pg_transaction_cleaned!$F:$F,"CAPTURE")</f>
        <v>1</v>
      </c>
      <c r="K4809" s="39">
        <f>SUMIFS(pg_transaction_cleaned!$H:$H,pg_transaction_cleaned!$O:$O,A4809,pg_transaction_cleaned!$F:$F,"CAPTURE")</f>
        <v>5298</v>
      </c>
      <c r="L4809" s="23">
        <f>COUNTIFS(pg_transaction_cleaned!$O:$O,A4809,pg_transaction_cleaned!$F:$F,"REFUND")</f>
        <v>0</v>
      </c>
      <c r="M4809" s="39">
        <f>SUMIFS(pg_transaction_cleaned!$H:$H,pg_transaction_cleaned!$O:$O,A4809,pg_transaction_cleaned!$F:$F,"REFUND")</f>
        <v>0</v>
      </c>
      <c r="N4809" s="23" t="str">
        <f t="shared" si="302"/>
        <v>OK</v>
      </c>
      <c r="O4809" s="24">
        <f t="shared" si="303"/>
        <v>0</v>
      </c>
    </row>
    <row r="4810" spans="1:15" ht="15" customHeight="1" x14ac:dyDescent="0.3">
      <c r="A4810" s="23" t="s">
        <v>10079</v>
      </c>
      <c r="B4810" s="38">
        <v>46277</v>
      </c>
      <c r="C4810" s="23" t="s">
        <v>10080</v>
      </c>
      <c r="D4810" s="23" t="s">
        <v>92</v>
      </c>
      <c r="E4810" s="23" t="s">
        <v>79</v>
      </c>
      <c r="F4810" s="23" t="s">
        <v>1505</v>
      </c>
      <c r="G4810" s="23" t="s">
        <v>250</v>
      </c>
      <c r="H4810" s="39">
        <f t="shared" si="300"/>
        <v>8298</v>
      </c>
      <c r="I4810" s="23" t="str">
        <f t="shared" si="301"/>
        <v>Hyderabad</v>
      </c>
      <c r="J4810" s="23">
        <f>COUNTIFS(pg_transaction_cleaned!$O:$O,A4810,pg_transaction_cleaned!$F:$F,"CAPTURE")</f>
        <v>1</v>
      </c>
      <c r="K4810" s="39">
        <f>SUMIFS(pg_transaction_cleaned!$H:$H,pg_transaction_cleaned!$O:$O,A4810,pg_transaction_cleaned!$F:$F,"CAPTURE")</f>
        <v>8298</v>
      </c>
      <c r="L4810" s="23">
        <f>COUNTIFS(pg_transaction_cleaned!$O:$O,A4810,pg_transaction_cleaned!$F:$F,"REFUND")</f>
        <v>0</v>
      </c>
      <c r="M4810" s="39">
        <f>SUMIFS(pg_transaction_cleaned!$H:$H,pg_transaction_cleaned!$O:$O,A4810,pg_transaction_cleaned!$F:$F,"REFUND")</f>
        <v>0</v>
      </c>
      <c r="N4810" s="23" t="str">
        <f t="shared" si="302"/>
        <v>OK</v>
      </c>
      <c r="O4810" s="24">
        <f t="shared" si="303"/>
        <v>0</v>
      </c>
    </row>
    <row r="4811" spans="1:15" ht="15" customHeight="1" x14ac:dyDescent="0.3">
      <c r="A4811" s="23" t="s">
        <v>10081</v>
      </c>
      <c r="B4811" s="38">
        <v>46287</v>
      </c>
      <c r="C4811" s="23" t="s">
        <v>10082</v>
      </c>
      <c r="D4811" s="23" t="s">
        <v>93</v>
      </c>
      <c r="E4811" s="23" t="s">
        <v>77</v>
      </c>
      <c r="F4811" s="23" t="s">
        <v>315</v>
      </c>
      <c r="G4811" s="23" t="s">
        <v>250</v>
      </c>
      <c r="H4811" s="39">
        <f t="shared" si="300"/>
        <v>1499</v>
      </c>
      <c r="I4811" s="23" t="str">
        <f t="shared" si="301"/>
        <v>Kolkata</v>
      </c>
      <c r="J4811" s="23">
        <f>COUNTIFS(pg_transaction_cleaned!$O:$O,A4811,pg_transaction_cleaned!$F:$F,"CAPTURE")</f>
        <v>1</v>
      </c>
      <c r="K4811" s="39">
        <f>SUMIFS(pg_transaction_cleaned!$H:$H,pg_transaction_cleaned!$O:$O,A4811,pg_transaction_cleaned!$F:$F,"CAPTURE")</f>
        <v>1499</v>
      </c>
      <c r="L4811" s="23">
        <f>COUNTIFS(pg_transaction_cleaned!$O:$O,A4811,pg_transaction_cleaned!$F:$F,"REFUND")</f>
        <v>0</v>
      </c>
      <c r="M4811" s="39">
        <f>SUMIFS(pg_transaction_cleaned!$H:$H,pg_transaction_cleaned!$O:$O,A4811,pg_transaction_cleaned!$F:$F,"REFUND")</f>
        <v>0</v>
      </c>
      <c r="N4811" s="23" t="str">
        <f t="shared" si="302"/>
        <v>OK</v>
      </c>
      <c r="O4811" s="24">
        <f t="shared" si="303"/>
        <v>0</v>
      </c>
    </row>
    <row r="4812" spans="1:15" ht="15" customHeight="1" x14ac:dyDescent="0.3">
      <c r="A4812" s="23" t="s">
        <v>10083</v>
      </c>
      <c r="B4812" s="38">
        <v>46278</v>
      </c>
      <c r="C4812" s="23" t="s">
        <v>10084</v>
      </c>
      <c r="D4812" s="23" t="s">
        <v>87</v>
      </c>
      <c r="E4812" s="23" t="s">
        <v>79</v>
      </c>
      <c r="F4812" s="23" t="s">
        <v>3874</v>
      </c>
      <c r="G4812" s="23" t="s">
        <v>250</v>
      </c>
      <c r="H4812" s="39">
        <f t="shared" si="300"/>
        <v>3997</v>
      </c>
      <c r="I4812" s="23" t="str">
        <f t="shared" si="301"/>
        <v>Mumbai</v>
      </c>
      <c r="J4812" s="23">
        <f>COUNTIFS(pg_transaction_cleaned!$O:$O,A4812,pg_transaction_cleaned!$F:$F,"CAPTURE")</f>
        <v>1</v>
      </c>
      <c r="K4812" s="39">
        <f>SUMIFS(pg_transaction_cleaned!$H:$H,pg_transaction_cleaned!$O:$O,A4812,pg_transaction_cleaned!$F:$F,"CAPTURE")</f>
        <v>3997</v>
      </c>
      <c r="L4812" s="23">
        <f>COUNTIFS(pg_transaction_cleaned!$O:$O,A4812,pg_transaction_cleaned!$F:$F,"REFUND")</f>
        <v>0</v>
      </c>
      <c r="M4812" s="39">
        <f>SUMIFS(pg_transaction_cleaned!$H:$H,pg_transaction_cleaned!$O:$O,A4812,pg_transaction_cleaned!$F:$F,"REFUND")</f>
        <v>0</v>
      </c>
      <c r="N4812" s="23" t="str">
        <f t="shared" si="302"/>
        <v>OK</v>
      </c>
      <c r="O4812" s="24">
        <f t="shared" si="303"/>
        <v>0</v>
      </c>
    </row>
    <row r="4813" spans="1:15" ht="15" customHeight="1" x14ac:dyDescent="0.3">
      <c r="A4813" s="23" t="s">
        <v>10085</v>
      </c>
      <c r="B4813" s="38">
        <v>46276</v>
      </c>
      <c r="C4813" s="23" t="s">
        <v>10086</v>
      </c>
      <c r="D4813" s="23" t="s">
        <v>87</v>
      </c>
      <c r="E4813" s="23" t="s">
        <v>75</v>
      </c>
      <c r="F4813" s="23" t="s">
        <v>271</v>
      </c>
      <c r="G4813" s="23" t="s">
        <v>365</v>
      </c>
      <c r="H4813" s="39">
        <f t="shared" si="300"/>
        <v>2499</v>
      </c>
      <c r="I4813" s="23" t="str">
        <f t="shared" si="301"/>
        <v>Mumbai</v>
      </c>
      <c r="J4813" s="23">
        <f>COUNTIFS(pg_transaction_cleaned!$O:$O,A4813,pg_transaction_cleaned!$F:$F,"CAPTURE")</f>
        <v>0</v>
      </c>
      <c r="K4813" s="39">
        <f>SUMIFS(pg_transaction_cleaned!$H:$H,pg_transaction_cleaned!$O:$O,A4813,pg_transaction_cleaned!$F:$F,"CAPTURE")</f>
        <v>0</v>
      </c>
      <c r="L4813" s="23">
        <f>COUNTIFS(pg_transaction_cleaned!$O:$O,A4813,pg_transaction_cleaned!$F:$F,"REFUND")</f>
        <v>0</v>
      </c>
      <c r="M4813" s="39">
        <f>SUMIFS(pg_transaction_cleaned!$H:$H,pg_transaction_cleaned!$O:$O,A4813,pg_transaction_cleaned!$F:$F,"REFUND")</f>
        <v>0</v>
      </c>
      <c r="N4813" s="23" t="str">
        <f t="shared" si="302"/>
        <v>OK</v>
      </c>
      <c r="O4813" s="24">
        <f t="shared" si="303"/>
        <v>0</v>
      </c>
    </row>
    <row r="4814" spans="1:15" ht="15" customHeight="1" x14ac:dyDescent="0.3">
      <c r="A4814" s="23" t="s">
        <v>10087</v>
      </c>
      <c r="B4814" s="38">
        <v>46267</v>
      </c>
      <c r="C4814" s="23" t="s">
        <v>10088</v>
      </c>
      <c r="D4814" s="23" t="s">
        <v>91</v>
      </c>
      <c r="E4814" s="23" t="s">
        <v>79</v>
      </c>
      <c r="F4814" s="23" t="s">
        <v>1231</v>
      </c>
      <c r="G4814" s="23" t="s">
        <v>250</v>
      </c>
      <c r="H4814" s="39">
        <f t="shared" si="300"/>
        <v>10347</v>
      </c>
      <c r="I4814" s="23" t="str">
        <f t="shared" si="301"/>
        <v>Pune</v>
      </c>
      <c r="J4814" s="23">
        <f>COUNTIFS(pg_transaction_cleaned!$O:$O,A4814,pg_transaction_cleaned!$F:$F,"CAPTURE")</f>
        <v>1</v>
      </c>
      <c r="K4814" s="39">
        <f>SUMIFS(pg_transaction_cleaned!$H:$H,pg_transaction_cleaned!$O:$O,A4814,pg_transaction_cleaned!$F:$F,"CAPTURE")</f>
        <v>10347</v>
      </c>
      <c r="L4814" s="23">
        <f>COUNTIFS(pg_transaction_cleaned!$O:$O,A4814,pg_transaction_cleaned!$F:$F,"REFUND")</f>
        <v>0</v>
      </c>
      <c r="M4814" s="39">
        <f>SUMIFS(pg_transaction_cleaned!$H:$H,pg_transaction_cleaned!$O:$O,A4814,pg_transaction_cleaned!$F:$F,"REFUND")</f>
        <v>0</v>
      </c>
      <c r="N4814" s="23" t="str">
        <f t="shared" si="302"/>
        <v>OK</v>
      </c>
      <c r="O4814" s="24">
        <f t="shared" si="303"/>
        <v>0</v>
      </c>
    </row>
    <row r="4815" spans="1:15" ht="15" customHeight="1" x14ac:dyDescent="0.3">
      <c r="A4815" s="23" t="s">
        <v>10089</v>
      </c>
      <c r="B4815" s="38">
        <v>46292</v>
      </c>
      <c r="C4815" s="23" t="s">
        <v>10090</v>
      </c>
      <c r="D4815" s="23" t="s">
        <v>90</v>
      </c>
      <c r="E4815" s="23" t="s">
        <v>75</v>
      </c>
      <c r="F4815" s="23" t="s">
        <v>268</v>
      </c>
      <c r="G4815" s="23" t="s">
        <v>250</v>
      </c>
      <c r="H4815" s="39">
        <f t="shared" si="300"/>
        <v>1299</v>
      </c>
      <c r="I4815" s="23" t="str">
        <f t="shared" si="301"/>
        <v>Ahmedabad</v>
      </c>
      <c r="J4815" s="23">
        <f>COUNTIFS(pg_transaction_cleaned!$O:$O,A4815,pg_transaction_cleaned!$F:$F,"CAPTURE")</f>
        <v>1</v>
      </c>
      <c r="K4815" s="39">
        <f>SUMIFS(pg_transaction_cleaned!$H:$H,pg_transaction_cleaned!$O:$O,A4815,pg_transaction_cleaned!$F:$F,"CAPTURE")</f>
        <v>1299</v>
      </c>
      <c r="L4815" s="23">
        <f>COUNTIFS(pg_transaction_cleaned!$O:$O,A4815,pg_transaction_cleaned!$F:$F,"REFUND")</f>
        <v>0</v>
      </c>
      <c r="M4815" s="39">
        <f>SUMIFS(pg_transaction_cleaned!$H:$H,pg_transaction_cleaned!$O:$O,A4815,pg_transaction_cleaned!$F:$F,"REFUND")</f>
        <v>0</v>
      </c>
      <c r="N4815" s="23" t="str">
        <f t="shared" si="302"/>
        <v>OK</v>
      </c>
      <c r="O4815" s="24">
        <f t="shared" si="303"/>
        <v>0</v>
      </c>
    </row>
    <row r="4816" spans="1:15" ht="15" customHeight="1" x14ac:dyDescent="0.3">
      <c r="A4816" s="23" t="s">
        <v>10091</v>
      </c>
      <c r="B4816" s="38">
        <v>46272</v>
      </c>
      <c r="C4816" s="23" t="s">
        <v>10092</v>
      </c>
      <c r="D4816" s="23" t="s">
        <v>89</v>
      </c>
      <c r="E4816" s="23" t="s">
        <v>79</v>
      </c>
      <c r="F4816" s="23" t="s">
        <v>304</v>
      </c>
      <c r="G4816" s="23" t="s">
        <v>250</v>
      </c>
      <c r="H4816" s="39">
        <f t="shared" si="300"/>
        <v>5798</v>
      </c>
      <c r="I4816" s="23" t="str">
        <f t="shared" si="301"/>
        <v>Jaipur</v>
      </c>
      <c r="J4816" s="23">
        <f>COUNTIFS(pg_transaction_cleaned!$O:$O,A4816,pg_transaction_cleaned!$F:$F,"CAPTURE")</f>
        <v>1</v>
      </c>
      <c r="K4816" s="39">
        <f>SUMIFS(pg_transaction_cleaned!$H:$H,pg_transaction_cleaned!$O:$O,A4816,pg_transaction_cleaned!$F:$F,"CAPTURE")</f>
        <v>5798</v>
      </c>
      <c r="L4816" s="23">
        <f>COUNTIFS(pg_transaction_cleaned!$O:$O,A4816,pg_transaction_cleaned!$F:$F,"REFUND")</f>
        <v>0</v>
      </c>
      <c r="M4816" s="39">
        <f>SUMIFS(pg_transaction_cleaned!$H:$H,pg_transaction_cleaned!$O:$O,A4816,pg_transaction_cleaned!$F:$F,"REFUND")</f>
        <v>0</v>
      </c>
      <c r="N4816" s="23" t="str">
        <f t="shared" si="302"/>
        <v>OK</v>
      </c>
      <c r="O4816" s="24">
        <f t="shared" si="303"/>
        <v>0</v>
      </c>
    </row>
    <row r="4817" spans="1:15" ht="15" customHeight="1" x14ac:dyDescent="0.3">
      <c r="A4817" s="23" t="s">
        <v>10093</v>
      </c>
      <c r="B4817" s="38">
        <v>46268</v>
      </c>
      <c r="C4817" s="23" t="s">
        <v>10094</v>
      </c>
      <c r="D4817" s="23" t="s">
        <v>89</v>
      </c>
      <c r="E4817" s="23" t="s">
        <v>75</v>
      </c>
      <c r="F4817" s="23" t="s">
        <v>274</v>
      </c>
      <c r="G4817" s="23" t="s">
        <v>250</v>
      </c>
      <c r="H4817" s="39">
        <f t="shared" si="300"/>
        <v>349</v>
      </c>
      <c r="I4817" s="23" t="str">
        <f t="shared" si="301"/>
        <v>Jaipur</v>
      </c>
      <c r="J4817" s="23">
        <f>COUNTIFS(pg_transaction_cleaned!$O:$O,A4817,pg_transaction_cleaned!$F:$F,"CAPTURE")</f>
        <v>1</v>
      </c>
      <c r="K4817" s="39">
        <f>SUMIFS(pg_transaction_cleaned!$H:$H,pg_transaction_cleaned!$O:$O,A4817,pg_transaction_cleaned!$F:$F,"CAPTURE")</f>
        <v>349</v>
      </c>
      <c r="L4817" s="23">
        <f>COUNTIFS(pg_transaction_cleaned!$O:$O,A4817,pg_transaction_cleaned!$F:$F,"REFUND")</f>
        <v>0</v>
      </c>
      <c r="M4817" s="39">
        <f>SUMIFS(pg_transaction_cleaned!$H:$H,pg_transaction_cleaned!$O:$O,A4817,pg_transaction_cleaned!$F:$F,"REFUND")</f>
        <v>0</v>
      </c>
      <c r="N4817" s="23" t="str">
        <f t="shared" si="302"/>
        <v>OK</v>
      </c>
      <c r="O4817" s="24">
        <f t="shared" si="303"/>
        <v>0</v>
      </c>
    </row>
    <row r="4818" spans="1:15" ht="15" customHeight="1" x14ac:dyDescent="0.3">
      <c r="A4818" s="23" t="s">
        <v>10095</v>
      </c>
      <c r="B4818" s="38">
        <v>46282</v>
      </c>
      <c r="C4818" s="23" t="s">
        <v>10096</v>
      </c>
      <c r="D4818" s="23" t="s">
        <v>93</v>
      </c>
      <c r="E4818" s="23" t="s">
        <v>75</v>
      </c>
      <c r="F4818" s="23" t="s">
        <v>396</v>
      </c>
      <c r="G4818" s="23" t="s">
        <v>250</v>
      </c>
      <c r="H4818" s="39">
        <f t="shared" si="300"/>
        <v>2999</v>
      </c>
      <c r="I4818" s="23" t="str">
        <f t="shared" si="301"/>
        <v>Kolkata</v>
      </c>
      <c r="J4818" s="23">
        <f>COUNTIFS(pg_transaction_cleaned!$O:$O,A4818,pg_transaction_cleaned!$F:$F,"CAPTURE")</f>
        <v>1</v>
      </c>
      <c r="K4818" s="39">
        <f>SUMIFS(pg_transaction_cleaned!$H:$H,pg_transaction_cleaned!$O:$O,A4818,pg_transaction_cleaned!$F:$F,"CAPTURE")</f>
        <v>2999</v>
      </c>
      <c r="L4818" s="23">
        <f>COUNTIFS(pg_transaction_cleaned!$O:$O,A4818,pg_transaction_cleaned!$F:$F,"REFUND")</f>
        <v>0</v>
      </c>
      <c r="M4818" s="39">
        <f>SUMIFS(pg_transaction_cleaned!$H:$H,pg_transaction_cleaned!$O:$O,A4818,pg_transaction_cleaned!$F:$F,"REFUND")</f>
        <v>0</v>
      </c>
      <c r="N4818" s="23" t="str">
        <f t="shared" si="302"/>
        <v>OK</v>
      </c>
      <c r="O4818" s="24">
        <f t="shared" si="303"/>
        <v>0</v>
      </c>
    </row>
    <row r="4819" spans="1:15" ht="15" customHeight="1" x14ac:dyDescent="0.3">
      <c r="A4819" s="23" t="s">
        <v>10097</v>
      </c>
      <c r="B4819" s="38">
        <v>46292</v>
      </c>
      <c r="C4819" s="23" t="s">
        <v>10098</v>
      </c>
      <c r="D4819" s="23" t="s">
        <v>93</v>
      </c>
      <c r="E4819" s="23" t="s">
        <v>79</v>
      </c>
      <c r="F4819" s="23" t="s">
        <v>553</v>
      </c>
      <c r="G4819" s="23" t="s">
        <v>250</v>
      </c>
      <c r="H4819" s="39">
        <f t="shared" si="300"/>
        <v>2798</v>
      </c>
      <c r="I4819" s="23" t="str">
        <f t="shared" si="301"/>
        <v>Kolkata</v>
      </c>
      <c r="J4819" s="23">
        <f>COUNTIFS(pg_transaction_cleaned!$O:$O,A4819,pg_transaction_cleaned!$F:$F,"CAPTURE")</f>
        <v>1</v>
      </c>
      <c r="K4819" s="39">
        <f>SUMIFS(pg_transaction_cleaned!$H:$H,pg_transaction_cleaned!$O:$O,A4819,pg_transaction_cleaned!$F:$F,"CAPTURE")</f>
        <v>2798</v>
      </c>
      <c r="L4819" s="23">
        <f>COUNTIFS(pg_transaction_cleaned!$O:$O,A4819,pg_transaction_cleaned!$F:$F,"REFUND")</f>
        <v>0</v>
      </c>
      <c r="M4819" s="39">
        <f>SUMIFS(pg_transaction_cleaned!$H:$H,pg_transaction_cleaned!$O:$O,A4819,pg_transaction_cleaned!$F:$F,"REFUND")</f>
        <v>0</v>
      </c>
      <c r="N4819" s="23" t="str">
        <f t="shared" si="302"/>
        <v>OK</v>
      </c>
      <c r="O4819" s="24">
        <f t="shared" si="303"/>
        <v>0</v>
      </c>
    </row>
    <row r="4820" spans="1:15" ht="15" customHeight="1" x14ac:dyDescent="0.3">
      <c r="A4820" s="23" t="s">
        <v>10099</v>
      </c>
      <c r="B4820" s="38">
        <v>46281</v>
      </c>
      <c r="C4820" s="23" t="s">
        <v>10100</v>
      </c>
      <c r="D4820" s="23" t="s">
        <v>92</v>
      </c>
      <c r="E4820" s="23" t="s">
        <v>75</v>
      </c>
      <c r="F4820" s="23" t="s">
        <v>329</v>
      </c>
      <c r="G4820" s="23" t="s">
        <v>250</v>
      </c>
      <c r="H4820" s="39">
        <f t="shared" si="300"/>
        <v>599</v>
      </c>
      <c r="I4820" s="23" t="str">
        <f t="shared" si="301"/>
        <v>Hyderabad</v>
      </c>
      <c r="J4820" s="23">
        <f>COUNTIFS(pg_transaction_cleaned!$O:$O,A4820,pg_transaction_cleaned!$F:$F,"CAPTURE")</f>
        <v>1</v>
      </c>
      <c r="K4820" s="39">
        <f>SUMIFS(pg_transaction_cleaned!$H:$H,pg_transaction_cleaned!$O:$O,A4820,pg_transaction_cleaned!$F:$F,"CAPTURE")</f>
        <v>599</v>
      </c>
      <c r="L4820" s="23">
        <f>COUNTIFS(pg_transaction_cleaned!$O:$O,A4820,pg_transaction_cleaned!$F:$F,"REFUND")</f>
        <v>0</v>
      </c>
      <c r="M4820" s="39">
        <f>SUMIFS(pg_transaction_cleaned!$H:$H,pg_transaction_cleaned!$O:$O,A4820,pg_transaction_cleaned!$F:$F,"REFUND")</f>
        <v>0</v>
      </c>
      <c r="N4820" s="23" t="str">
        <f t="shared" si="302"/>
        <v>OK</v>
      </c>
      <c r="O4820" s="24">
        <f t="shared" si="303"/>
        <v>0</v>
      </c>
    </row>
    <row r="4821" spans="1:15" ht="15" customHeight="1" x14ac:dyDescent="0.3">
      <c r="A4821" s="23" t="s">
        <v>10101</v>
      </c>
      <c r="B4821" s="38">
        <v>46287</v>
      </c>
      <c r="C4821" s="23" t="s">
        <v>10102</v>
      </c>
      <c r="D4821" s="23" t="s">
        <v>95</v>
      </c>
      <c r="E4821" s="23" t="s">
        <v>79</v>
      </c>
      <c r="F4821" s="23" t="s">
        <v>294</v>
      </c>
      <c r="G4821" s="23" t="s">
        <v>250</v>
      </c>
      <c r="H4821" s="39">
        <f t="shared" si="300"/>
        <v>1799</v>
      </c>
      <c r="I4821" s="23" t="str">
        <f t="shared" si="301"/>
        <v>Bengaluru</v>
      </c>
      <c r="J4821" s="23">
        <f>COUNTIFS(pg_transaction_cleaned!$O:$O,A4821,pg_transaction_cleaned!$F:$F,"CAPTURE")</f>
        <v>1</v>
      </c>
      <c r="K4821" s="39">
        <f>SUMIFS(pg_transaction_cleaned!$H:$H,pg_transaction_cleaned!$O:$O,A4821,pg_transaction_cleaned!$F:$F,"CAPTURE")</f>
        <v>1799</v>
      </c>
      <c r="L4821" s="23">
        <f>COUNTIFS(pg_transaction_cleaned!$O:$O,A4821,pg_transaction_cleaned!$F:$F,"REFUND")</f>
        <v>0</v>
      </c>
      <c r="M4821" s="39">
        <f>SUMIFS(pg_transaction_cleaned!$H:$H,pg_transaction_cleaned!$O:$O,A4821,pg_transaction_cleaned!$F:$F,"REFUND")</f>
        <v>0</v>
      </c>
      <c r="N4821" s="23" t="str">
        <f t="shared" si="302"/>
        <v>OK</v>
      </c>
      <c r="O4821" s="24">
        <f t="shared" si="303"/>
        <v>0</v>
      </c>
    </row>
    <row r="4822" spans="1:15" ht="15" customHeight="1" x14ac:dyDescent="0.3">
      <c r="A4822" s="23" t="s">
        <v>10103</v>
      </c>
      <c r="B4822" s="38">
        <v>46286</v>
      </c>
      <c r="C4822" s="23" t="s">
        <v>10104</v>
      </c>
      <c r="D4822" s="23" t="s">
        <v>88</v>
      </c>
      <c r="E4822" s="23" t="s">
        <v>79</v>
      </c>
      <c r="F4822" s="23" t="s">
        <v>622</v>
      </c>
      <c r="G4822" s="23" t="s">
        <v>301</v>
      </c>
      <c r="H4822" s="39">
        <f t="shared" si="300"/>
        <v>8998</v>
      </c>
      <c r="I4822" s="23" t="str">
        <f t="shared" si="301"/>
        <v>Lucknow</v>
      </c>
      <c r="J4822" s="23">
        <f>COUNTIFS(pg_transaction_cleaned!$O:$O,A4822,pg_transaction_cleaned!$F:$F,"CAPTURE")</f>
        <v>1</v>
      </c>
      <c r="K4822" s="39">
        <f>SUMIFS(pg_transaction_cleaned!$H:$H,pg_transaction_cleaned!$O:$O,A4822,pg_transaction_cleaned!$F:$F,"CAPTURE")</f>
        <v>8998</v>
      </c>
      <c r="L4822" s="23">
        <f>COUNTIFS(pg_transaction_cleaned!$O:$O,A4822,pg_transaction_cleaned!$F:$F,"REFUND")</f>
        <v>1</v>
      </c>
      <c r="M4822" s="39">
        <f>SUMIFS(pg_transaction_cleaned!$H:$H,pg_transaction_cleaned!$O:$O,A4822,pg_transaction_cleaned!$F:$F,"REFUND")</f>
        <v>8998</v>
      </c>
      <c r="N4822" s="23" t="str">
        <f t="shared" si="302"/>
        <v>OK</v>
      </c>
      <c r="O4822" s="24">
        <f t="shared" si="303"/>
        <v>0</v>
      </c>
    </row>
    <row r="4823" spans="1:15" ht="15" customHeight="1" x14ac:dyDescent="0.3">
      <c r="A4823" s="23" t="s">
        <v>10105</v>
      </c>
      <c r="B4823" s="38">
        <v>46270</v>
      </c>
      <c r="C4823" s="23" t="s">
        <v>10106</v>
      </c>
      <c r="D4823" s="23" t="s">
        <v>86</v>
      </c>
      <c r="E4823" s="23" t="s">
        <v>75</v>
      </c>
      <c r="F4823" s="23" t="s">
        <v>274</v>
      </c>
      <c r="G4823" s="23" t="s">
        <v>250</v>
      </c>
      <c r="H4823" s="39">
        <f t="shared" si="300"/>
        <v>349</v>
      </c>
      <c r="I4823" s="23" t="str">
        <f t="shared" si="301"/>
        <v>Delhi</v>
      </c>
      <c r="J4823" s="23">
        <f>COUNTIFS(pg_transaction_cleaned!$O:$O,A4823,pg_transaction_cleaned!$F:$F,"CAPTURE")</f>
        <v>1</v>
      </c>
      <c r="K4823" s="39">
        <f>SUMIFS(pg_transaction_cleaned!$H:$H,pg_transaction_cleaned!$O:$O,A4823,pg_transaction_cleaned!$F:$F,"CAPTURE")</f>
        <v>349</v>
      </c>
      <c r="L4823" s="23">
        <f>COUNTIFS(pg_transaction_cleaned!$O:$O,A4823,pg_transaction_cleaned!$F:$F,"REFUND")</f>
        <v>0</v>
      </c>
      <c r="M4823" s="39">
        <f>SUMIFS(pg_transaction_cleaned!$H:$H,pg_transaction_cleaned!$O:$O,A4823,pg_transaction_cleaned!$F:$F,"REFUND")</f>
        <v>0</v>
      </c>
      <c r="N4823" s="23" t="str">
        <f t="shared" si="302"/>
        <v>OK</v>
      </c>
      <c r="O4823" s="24">
        <f t="shared" si="303"/>
        <v>0</v>
      </c>
    </row>
    <row r="4824" spans="1:15" ht="15" customHeight="1" x14ac:dyDescent="0.3">
      <c r="A4824" s="23" t="s">
        <v>10107</v>
      </c>
      <c r="B4824" s="38">
        <v>46266</v>
      </c>
      <c r="C4824" s="23" t="s">
        <v>10108</v>
      </c>
      <c r="D4824" s="23" t="s">
        <v>92</v>
      </c>
      <c r="E4824" s="23" t="s">
        <v>79</v>
      </c>
      <c r="F4824" s="23" t="s">
        <v>598</v>
      </c>
      <c r="G4824" s="23" t="s">
        <v>250</v>
      </c>
      <c r="H4824" s="39">
        <f t="shared" si="300"/>
        <v>5598</v>
      </c>
      <c r="I4824" s="23" t="str">
        <f t="shared" si="301"/>
        <v>Hyderabad</v>
      </c>
      <c r="J4824" s="23">
        <f>COUNTIFS(pg_transaction_cleaned!$O:$O,A4824,pg_transaction_cleaned!$F:$F,"CAPTURE")</f>
        <v>1</v>
      </c>
      <c r="K4824" s="39">
        <f>SUMIFS(pg_transaction_cleaned!$H:$H,pg_transaction_cleaned!$O:$O,A4824,pg_transaction_cleaned!$F:$F,"CAPTURE")</f>
        <v>5598</v>
      </c>
      <c r="L4824" s="23">
        <f>COUNTIFS(pg_transaction_cleaned!$O:$O,A4824,pg_transaction_cleaned!$F:$F,"REFUND")</f>
        <v>0</v>
      </c>
      <c r="M4824" s="39">
        <f>SUMIFS(pg_transaction_cleaned!$H:$H,pg_transaction_cleaned!$O:$O,A4824,pg_transaction_cleaned!$F:$F,"REFUND")</f>
        <v>0</v>
      </c>
      <c r="N4824" s="23" t="str">
        <f t="shared" si="302"/>
        <v>OK</v>
      </c>
      <c r="O4824" s="24">
        <f t="shared" si="303"/>
        <v>0</v>
      </c>
    </row>
    <row r="4825" spans="1:15" ht="15" customHeight="1" x14ac:dyDescent="0.3">
      <c r="A4825" s="23" t="s">
        <v>10109</v>
      </c>
      <c r="B4825" s="38">
        <v>46269</v>
      </c>
      <c r="C4825" s="23" t="s">
        <v>10110</v>
      </c>
      <c r="D4825" s="23" t="s">
        <v>87</v>
      </c>
      <c r="E4825" s="23" t="s">
        <v>79</v>
      </c>
      <c r="F4825" s="23" t="s">
        <v>423</v>
      </c>
      <c r="G4825" s="23" t="s">
        <v>250</v>
      </c>
      <c r="H4825" s="39">
        <f t="shared" si="300"/>
        <v>1648</v>
      </c>
      <c r="I4825" s="23" t="str">
        <f t="shared" si="301"/>
        <v>Mumbai</v>
      </c>
      <c r="J4825" s="23">
        <f>COUNTIFS(pg_transaction_cleaned!$O:$O,A4825,pg_transaction_cleaned!$F:$F,"CAPTURE")</f>
        <v>1</v>
      </c>
      <c r="K4825" s="39">
        <f>SUMIFS(pg_transaction_cleaned!$H:$H,pg_transaction_cleaned!$O:$O,A4825,pg_transaction_cleaned!$F:$F,"CAPTURE")</f>
        <v>1648</v>
      </c>
      <c r="L4825" s="23">
        <f>COUNTIFS(pg_transaction_cleaned!$O:$O,A4825,pg_transaction_cleaned!$F:$F,"REFUND")</f>
        <v>0</v>
      </c>
      <c r="M4825" s="39">
        <f>SUMIFS(pg_transaction_cleaned!$H:$H,pg_transaction_cleaned!$O:$O,A4825,pg_transaction_cleaned!$F:$F,"REFUND")</f>
        <v>0</v>
      </c>
      <c r="N4825" s="23" t="str">
        <f t="shared" si="302"/>
        <v>OK</v>
      </c>
      <c r="O4825" s="24">
        <f t="shared" si="303"/>
        <v>0</v>
      </c>
    </row>
    <row r="4826" spans="1:15" ht="15" customHeight="1" x14ac:dyDescent="0.3">
      <c r="A4826" s="23" t="s">
        <v>10111</v>
      </c>
      <c r="B4826" s="38">
        <v>46270</v>
      </c>
      <c r="C4826" s="23" t="s">
        <v>10112</v>
      </c>
      <c r="D4826" s="23" t="s">
        <v>93</v>
      </c>
      <c r="E4826" s="23" t="s">
        <v>75</v>
      </c>
      <c r="F4826" s="23" t="s">
        <v>268</v>
      </c>
      <c r="G4826" s="23" t="s">
        <v>250</v>
      </c>
      <c r="H4826" s="39">
        <f t="shared" si="300"/>
        <v>1299</v>
      </c>
      <c r="I4826" s="23" t="str">
        <f t="shared" si="301"/>
        <v>Kolkata</v>
      </c>
      <c r="J4826" s="23">
        <f>COUNTIFS(pg_transaction_cleaned!$O:$O,A4826,pg_transaction_cleaned!$F:$F,"CAPTURE")</f>
        <v>1</v>
      </c>
      <c r="K4826" s="39">
        <f>SUMIFS(pg_transaction_cleaned!$H:$H,pg_transaction_cleaned!$O:$O,A4826,pg_transaction_cleaned!$F:$F,"CAPTURE")</f>
        <v>1299</v>
      </c>
      <c r="L4826" s="23">
        <f>COUNTIFS(pg_transaction_cleaned!$O:$O,A4826,pg_transaction_cleaned!$F:$F,"REFUND")</f>
        <v>0</v>
      </c>
      <c r="M4826" s="39">
        <f>SUMIFS(pg_transaction_cleaned!$H:$H,pg_transaction_cleaned!$O:$O,A4826,pg_transaction_cleaned!$F:$F,"REFUND")</f>
        <v>0</v>
      </c>
      <c r="N4826" s="23" t="str">
        <f t="shared" si="302"/>
        <v>OK</v>
      </c>
      <c r="O4826" s="24">
        <f t="shared" si="303"/>
        <v>0</v>
      </c>
    </row>
    <row r="4827" spans="1:15" ht="15" customHeight="1" x14ac:dyDescent="0.3">
      <c r="A4827" s="23" t="s">
        <v>10113</v>
      </c>
      <c r="B4827" s="38">
        <v>46285</v>
      </c>
      <c r="C4827" s="23" t="s">
        <v>10114</v>
      </c>
      <c r="D4827" s="23" t="s">
        <v>88</v>
      </c>
      <c r="E4827" s="23" t="s">
        <v>75</v>
      </c>
      <c r="F4827" s="23" t="s">
        <v>268</v>
      </c>
      <c r="G4827" s="23" t="s">
        <v>250</v>
      </c>
      <c r="H4827" s="39">
        <f t="shared" si="300"/>
        <v>1299</v>
      </c>
      <c r="I4827" s="23" t="str">
        <f t="shared" si="301"/>
        <v>Lucknow</v>
      </c>
      <c r="J4827" s="23">
        <f>COUNTIFS(pg_transaction_cleaned!$O:$O,A4827,pg_transaction_cleaned!$F:$F,"CAPTURE")</f>
        <v>1</v>
      </c>
      <c r="K4827" s="39">
        <f>SUMIFS(pg_transaction_cleaned!$H:$H,pg_transaction_cleaned!$O:$O,A4827,pg_transaction_cleaned!$F:$F,"CAPTURE")</f>
        <v>1299</v>
      </c>
      <c r="L4827" s="23">
        <f>COUNTIFS(pg_transaction_cleaned!$O:$O,A4827,pg_transaction_cleaned!$F:$F,"REFUND")</f>
        <v>0</v>
      </c>
      <c r="M4827" s="39">
        <f>SUMIFS(pg_transaction_cleaned!$H:$H,pg_transaction_cleaned!$O:$O,A4827,pg_transaction_cleaned!$F:$F,"REFUND")</f>
        <v>0</v>
      </c>
      <c r="N4827" s="23" t="str">
        <f t="shared" si="302"/>
        <v>OK</v>
      </c>
      <c r="O4827" s="24">
        <f t="shared" si="303"/>
        <v>0</v>
      </c>
    </row>
    <row r="4828" spans="1:15" ht="15" customHeight="1" x14ac:dyDescent="0.3">
      <c r="A4828" s="23" t="s">
        <v>10115</v>
      </c>
      <c r="B4828" s="38">
        <v>46284</v>
      </c>
      <c r="C4828" s="23" t="s">
        <v>8575</v>
      </c>
      <c r="D4828" s="23" t="s">
        <v>95</v>
      </c>
      <c r="E4828" s="23" t="s">
        <v>75</v>
      </c>
      <c r="F4828" s="23" t="s">
        <v>268</v>
      </c>
      <c r="G4828" s="23" t="s">
        <v>250</v>
      </c>
      <c r="H4828" s="39">
        <f t="shared" si="300"/>
        <v>1299</v>
      </c>
      <c r="I4828" s="23" t="str">
        <f t="shared" si="301"/>
        <v>Bengaluru</v>
      </c>
      <c r="J4828" s="23">
        <f>COUNTIFS(pg_transaction_cleaned!$O:$O,A4828,pg_transaction_cleaned!$F:$F,"CAPTURE")</f>
        <v>1</v>
      </c>
      <c r="K4828" s="39">
        <f>SUMIFS(pg_transaction_cleaned!$H:$H,pg_transaction_cleaned!$O:$O,A4828,pg_transaction_cleaned!$F:$F,"CAPTURE")</f>
        <v>1299</v>
      </c>
      <c r="L4828" s="23">
        <f>COUNTIFS(pg_transaction_cleaned!$O:$O,A4828,pg_transaction_cleaned!$F:$F,"REFUND")</f>
        <v>0</v>
      </c>
      <c r="M4828" s="39">
        <f>SUMIFS(pg_transaction_cleaned!$H:$H,pg_transaction_cleaned!$O:$O,A4828,pg_transaction_cleaned!$F:$F,"REFUND")</f>
        <v>0</v>
      </c>
      <c r="N4828" s="23" t="str">
        <f t="shared" si="302"/>
        <v>OK</v>
      </c>
      <c r="O4828" s="24">
        <f t="shared" si="303"/>
        <v>0</v>
      </c>
    </row>
    <row r="4829" spans="1:15" ht="15" customHeight="1" x14ac:dyDescent="0.3">
      <c r="A4829" s="23" t="s">
        <v>10116</v>
      </c>
      <c r="B4829" s="38">
        <v>46270</v>
      </c>
      <c r="C4829" s="23" t="s">
        <v>10117</v>
      </c>
      <c r="D4829" s="23" t="s">
        <v>95</v>
      </c>
      <c r="E4829" s="23" t="s">
        <v>75</v>
      </c>
      <c r="F4829" s="23" t="s">
        <v>775</v>
      </c>
      <c r="G4829" s="23" t="s">
        <v>250</v>
      </c>
      <c r="H4829" s="39">
        <f t="shared" si="300"/>
        <v>4999</v>
      </c>
      <c r="I4829" s="23" t="str">
        <f t="shared" si="301"/>
        <v>Bengaluru</v>
      </c>
      <c r="J4829" s="23">
        <f>COUNTIFS(pg_transaction_cleaned!$O:$O,A4829,pg_transaction_cleaned!$F:$F,"CAPTURE")</f>
        <v>1</v>
      </c>
      <c r="K4829" s="39">
        <f>SUMIFS(pg_transaction_cleaned!$H:$H,pg_transaction_cleaned!$O:$O,A4829,pg_transaction_cleaned!$F:$F,"CAPTURE")</f>
        <v>4999</v>
      </c>
      <c r="L4829" s="23">
        <f>COUNTIFS(pg_transaction_cleaned!$O:$O,A4829,pg_transaction_cleaned!$F:$F,"REFUND")</f>
        <v>0</v>
      </c>
      <c r="M4829" s="39">
        <f>SUMIFS(pg_transaction_cleaned!$H:$H,pg_transaction_cleaned!$O:$O,A4829,pg_transaction_cleaned!$F:$F,"REFUND")</f>
        <v>0</v>
      </c>
      <c r="N4829" s="23" t="str">
        <f t="shared" si="302"/>
        <v>OK</v>
      </c>
      <c r="O4829" s="24">
        <f t="shared" si="303"/>
        <v>0</v>
      </c>
    </row>
    <row r="4830" spans="1:15" ht="15" customHeight="1" x14ac:dyDescent="0.3">
      <c r="A4830" s="23" t="s">
        <v>10118</v>
      </c>
      <c r="B4830" s="38">
        <v>46287</v>
      </c>
      <c r="C4830" s="23" t="s">
        <v>10119</v>
      </c>
      <c r="D4830" s="23" t="s">
        <v>93</v>
      </c>
      <c r="E4830" s="23" t="s">
        <v>77</v>
      </c>
      <c r="F4830" s="23" t="s">
        <v>265</v>
      </c>
      <c r="G4830" s="23" t="s">
        <v>250</v>
      </c>
      <c r="H4830" s="39">
        <f t="shared" si="300"/>
        <v>999</v>
      </c>
      <c r="I4830" s="23" t="str">
        <f t="shared" si="301"/>
        <v>Kolkata</v>
      </c>
      <c r="J4830" s="23">
        <f>COUNTIFS(pg_transaction_cleaned!$O:$O,A4830,pg_transaction_cleaned!$F:$F,"CAPTURE")</f>
        <v>1</v>
      </c>
      <c r="K4830" s="39">
        <f>SUMIFS(pg_transaction_cleaned!$H:$H,pg_transaction_cleaned!$O:$O,A4830,pg_transaction_cleaned!$F:$F,"CAPTURE")</f>
        <v>999</v>
      </c>
      <c r="L4830" s="23">
        <f>COUNTIFS(pg_transaction_cleaned!$O:$O,A4830,pg_transaction_cleaned!$F:$F,"REFUND")</f>
        <v>0</v>
      </c>
      <c r="M4830" s="39">
        <f>SUMIFS(pg_transaction_cleaned!$H:$H,pg_transaction_cleaned!$O:$O,A4830,pg_transaction_cleaned!$F:$F,"REFUND")</f>
        <v>0</v>
      </c>
      <c r="N4830" s="23" t="str">
        <f t="shared" si="302"/>
        <v>OK</v>
      </c>
      <c r="O4830" s="24">
        <f t="shared" si="303"/>
        <v>0</v>
      </c>
    </row>
    <row r="4831" spans="1:15" ht="15" customHeight="1" x14ac:dyDescent="0.3">
      <c r="A4831" s="23" t="s">
        <v>10120</v>
      </c>
      <c r="B4831" s="38">
        <v>46291</v>
      </c>
      <c r="C4831" s="23" t="s">
        <v>10121</v>
      </c>
      <c r="D4831" s="23" t="s">
        <v>88</v>
      </c>
      <c r="E4831" s="23" t="s">
        <v>79</v>
      </c>
      <c r="F4831" s="23" t="s">
        <v>1954</v>
      </c>
      <c r="G4831" s="23" t="s">
        <v>250</v>
      </c>
      <c r="H4831" s="39">
        <f t="shared" si="300"/>
        <v>848</v>
      </c>
      <c r="I4831" s="23" t="str">
        <f t="shared" si="301"/>
        <v>Lucknow</v>
      </c>
      <c r="J4831" s="23">
        <f>COUNTIFS(pg_transaction_cleaned!$O:$O,A4831,pg_transaction_cleaned!$F:$F,"CAPTURE")</f>
        <v>1</v>
      </c>
      <c r="K4831" s="39">
        <f>SUMIFS(pg_transaction_cleaned!$H:$H,pg_transaction_cleaned!$O:$O,A4831,pg_transaction_cleaned!$F:$F,"CAPTURE")</f>
        <v>848</v>
      </c>
      <c r="L4831" s="23">
        <f>COUNTIFS(pg_transaction_cleaned!$O:$O,A4831,pg_transaction_cleaned!$F:$F,"REFUND")</f>
        <v>0</v>
      </c>
      <c r="M4831" s="39">
        <f>SUMIFS(pg_transaction_cleaned!$H:$H,pg_transaction_cleaned!$O:$O,A4831,pg_transaction_cleaned!$F:$F,"REFUND")</f>
        <v>0</v>
      </c>
      <c r="N4831" s="23" t="str">
        <f t="shared" si="302"/>
        <v>OK</v>
      </c>
      <c r="O4831" s="24">
        <f t="shared" si="303"/>
        <v>0</v>
      </c>
    </row>
    <row r="4832" spans="1:15" ht="15" customHeight="1" x14ac:dyDescent="0.3">
      <c r="A4832" s="23" t="s">
        <v>10122</v>
      </c>
      <c r="B4832" s="38">
        <v>46274</v>
      </c>
      <c r="C4832" s="23" t="s">
        <v>10123</v>
      </c>
      <c r="D4832" s="23" t="s">
        <v>86</v>
      </c>
      <c r="E4832" s="23" t="s">
        <v>81</v>
      </c>
      <c r="F4832" s="23" t="s">
        <v>324</v>
      </c>
      <c r="G4832" s="23" t="s">
        <v>250</v>
      </c>
      <c r="H4832" s="39">
        <f t="shared" si="300"/>
        <v>10498</v>
      </c>
      <c r="I4832" s="23" t="str">
        <f t="shared" si="301"/>
        <v>Delhi</v>
      </c>
      <c r="J4832" s="23">
        <f>COUNTIFS(pg_transaction_cleaned!$O:$O,A4832,pg_transaction_cleaned!$F:$F,"CAPTURE")</f>
        <v>1</v>
      </c>
      <c r="K4832" s="39">
        <f>SUMIFS(pg_transaction_cleaned!$H:$H,pg_transaction_cleaned!$O:$O,A4832,pg_transaction_cleaned!$F:$F,"CAPTURE")</f>
        <v>10498</v>
      </c>
      <c r="L4832" s="23">
        <f>COUNTIFS(pg_transaction_cleaned!$O:$O,A4832,pg_transaction_cleaned!$F:$F,"REFUND")</f>
        <v>0</v>
      </c>
      <c r="M4832" s="39">
        <f>SUMIFS(pg_transaction_cleaned!$H:$H,pg_transaction_cleaned!$O:$O,A4832,pg_transaction_cleaned!$F:$F,"REFUND")</f>
        <v>0</v>
      </c>
      <c r="N4832" s="23" t="str">
        <f t="shared" si="302"/>
        <v>OK</v>
      </c>
      <c r="O4832" s="24">
        <f t="shared" si="303"/>
        <v>0</v>
      </c>
    </row>
    <row r="4833" spans="1:15" ht="15" customHeight="1" x14ac:dyDescent="0.3">
      <c r="A4833" s="23" t="s">
        <v>10124</v>
      </c>
      <c r="B4833" s="38">
        <v>46276</v>
      </c>
      <c r="C4833" s="23" t="s">
        <v>10125</v>
      </c>
      <c r="D4833" s="23" t="s">
        <v>89</v>
      </c>
      <c r="E4833" s="23" t="s">
        <v>75</v>
      </c>
      <c r="F4833" s="23" t="s">
        <v>271</v>
      </c>
      <c r="G4833" s="23" t="s">
        <v>250</v>
      </c>
      <c r="H4833" s="39">
        <f t="shared" si="300"/>
        <v>2499</v>
      </c>
      <c r="I4833" s="23" t="str">
        <f t="shared" si="301"/>
        <v>Jaipur</v>
      </c>
      <c r="J4833" s="23">
        <f>COUNTIFS(pg_transaction_cleaned!$O:$O,A4833,pg_transaction_cleaned!$F:$F,"CAPTURE")</f>
        <v>1</v>
      </c>
      <c r="K4833" s="39">
        <f>SUMIFS(pg_transaction_cleaned!$H:$H,pg_transaction_cleaned!$O:$O,A4833,pg_transaction_cleaned!$F:$F,"CAPTURE")</f>
        <v>2499</v>
      </c>
      <c r="L4833" s="23">
        <f>COUNTIFS(pg_transaction_cleaned!$O:$O,A4833,pg_transaction_cleaned!$F:$F,"REFUND")</f>
        <v>0</v>
      </c>
      <c r="M4833" s="39">
        <f>SUMIFS(pg_transaction_cleaned!$H:$H,pg_transaction_cleaned!$O:$O,A4833,pg_transaction_cleaned!$F:$F,"REFUND")</f>
        <v>0</v>
      </c>
      <c r="N4833" s="23" t="str">
        <f t="shared" si="302"/>
        <v>OK</v>
      </c>
      <c r="O4833" s="24">
        <f t="shared" si="303"/>
        <v>0</v>
      </c>
    </row>
    <row r="4834" spans="1:15" ht="15" customHeight="1" x14ac:dyDescent="0.3">
      <c r="A4834" s="23" t="s">
        <v>10126</v>
      </c>
      <c r="B4834" s="38">
        <v>46274</v>
      </c>
      <c r="C4834" s="23" t="s">
        <v>10127</v>
      </c>
      <c r="D4834" s="23" t="s">
        <v>93</v>
      </c>
      <c r="E4834" s="23" t="s">
        <v>79</v>
      </c>
      <c r="F4834" s="23" t="s">
        <v>297</v>
      </c>
      <c r="G4834" s="23" t="s">
        <v>365</v>
      </c>
      <c r="H4834" s="39">
        <f t="shared" si="300"/>
        <v>4999</v>
      </c>
      <c r="I4834" s="23" t="str">
        <f t="shared" si="301"/>
        <v>Kolkata</v>
      </c>
      <c r="J4834" s="23">
        <f>COUNTIFS(pg_transaction_cleaned!$O:$O,A4834,pg_transaction_cleaned!$F:$F,"CAPTURE")</f>
        <v>0</v>
      </c>
      <c r="K4834" s="39">
        <f>SUMIFS(pg_transaction_cleaned!$H:$H,pg_transaction_cleaned!$O:$O,A4834,pg_transaction_cleaned!$F:$F,"CAPTURE")</f>
        <v>0</v>
      </c>
      <c r="L4834" s="23">
        <f>COUNTIFS(pg_transaction_cleaned!$O:$O,A4834,pg_transaction_cleaned!$F:$F,"REFUND")</f>
        <v>0</v>
      </c>
      <c r="M4834" s="39">
        <f>SUMIFS(pg_transaction_cleaned!$H:$H,pg_transaction_cleaned!$O:$O,A4834,pg_transaction_cleaned!$F:$F,"REFUND")</f>
        <v>0</v>
      </c>
      <c r="N4834" s="23" t="str">
        <f t="shared" si="302"/>
        <v>OK</v>
      </c>
      <c r="O4834" s="24">
        <f t="shared" si="303"/>
        <v>0</v>
      </c>
    </row>
    <row r="4835" spans="1:15" ht="15" customHeight="1" x14ac:dyDescent="0.3">
      <c r="A4835" s="23" t="s">
        <v>10128</v>
      </c>
      <c r="B4835" s="38">
        <v>46282</v>
      </c>
      <c r="C4835" s="23" t="s">
        <v>10129</v>
      </c>
      <c r="D4835" s="23" t="s">
        <v>95</v>
      </c>
      <c r="E4835" s="23" t="s">
        <v>75</v>
      </c>
      <c r="F4835" s="23" t="s">
        <v>310</v>
      </c>
      <c r="G4835" s="23" t="s">
        <v>301</v>
      </c>
      <c r="H4835" s="39">
        <f t="shared" si="300"/>
        <v>7999</v>
      </c>
      <c r="I4835" s="23" t="str">
        <f t="shared" si="301"/>
        <v>Bengaluru</v>
      </c>
      <c r="J4835" s="23">
        <f>COUNTIFS(pg_transaction_cleaned!$O:$O,A4835,pg_transaction_cleaned!$F:$F,"CAPTURE")</f>
        <v>1</v>
      </c>
      <c r="K4835" s="39">
        <f>SUMIFS(pg_transaction_cleaned!$H:$H,pg_transaction_cleaned!$O:$O,A4835,pg_transaction_cleaned!$F:$F,"CAPTURE")</f>
        <v>7999</v>
      </c>
      <c r="L4835" s="23">
        <f>COUNTIFS(pg_transaction_cleaned!$O:$O,A4835,pg_transaction_cleaned!$F:$F,"REFUND")</f>
        <v>1</v>
      </c>
      <c r="M4835" s="39">
        <f>SUMIFS(pg_transaction_cleaned!$H:$H,pg_transaction_cleaned!$O:$O,A4835,pg_transaction_cleaned!$F:$F,"REFUND")</f>
        <v>7999</v>
      </c>
      <c r="N4835" s="23" t="str">
        <f t="shared" si="302"/>
        <v>OK</v>
      </c>
      <c r="O4835" s="24">
        <f t="shared" si="303"/>
        <v>0</v>
      </c>
    </row>
    <row r="4836" spans="1:15" ht="15" customHeight="1" x14ac:dyDescent="0.3">
      <c r="A4836" s="23" t="s">
        <v>10130</v>
      </c>
      <c r="B4836" s="38">
        <v>46273</v>
      </c>
      <c r="C4836" s="23" t="s">
        <v>10131</v>
      </c>
      <c r="D4836" s="23" t="s">
        <v>87</v>
      </c>
      <c r="E4836" s="23" t="s">
        <v>79</v>
      </c>
      <c r="F4836" s="23" t="s">
        <v>268</v>
      </c>
      <c r="G4836" s="23" t="s">
        <v>250</v>
      </c>
      <c r="H4836" s="39">
        <f t="shared" si="300"/>
        <v>1299</v>
      </c>
      <c r="I4836" s="23" t="str">
        <f t="shared" si="301"/>
        <v>Mumbai</v>
      </c>
      <c r="J4836" s="23">
        <f>COUNTIFS(pg_transaction_cleaned!$O:$O,A4836,pg_transaction_cleaned!$F:$F,"CAPTURE")</f>
        <v>1</v>
      </c>
      <c r="K4836" s="39">
        <f>SUMIFS(pg_transaction_cleaned!$H:$H,pg_transaction_cleaned!$O:$O,A4836,pg_transaction_cleaned!$F:$F,"CAPTURE")</f>
        <v>1299</v>
      </c>
      <c r="L4836" s="23">
        <f>COUNTIFS(pg_transaction_cleaned!$O:$O,A4836,pg_transaction_cleaned!$F:$F,"REFUND")</f>
        <v>0</v>
      </c>
      <c r="M4836" s="39">
        <f>SUMIFS(pg_transaction_cleaned!$H:$H,pg_transaction_cleaned!$O:$O,A4836,pg_transaction_cleaned!$F:$F,"REFUND")</f>
        <v>0</v>
      </c>
      <c r="N4836" s="23" t="str">
        <f t="shared" si="302"/>
        <v>OK</v>
      </c>
      <c r="O4836" s="24">
        <f t="shared" si="303"/>
        <v>0</v>
      </c>
    </row>
    <row r="4837" spans="1:15" ht="15" customHeight="1" x14ac:dyDescent="0.3">
      <c r="A4837" s="23" t="s">
        <v>10132</v>
      </c>
      <c r="B4837" s="38">
        <v>46276</v>
      </c>
      <c r="C4837" s="23" t="s">
        <v>10133</v>
      </c>
      <c r="D4837" s="23" t="s">
        <v>88</v>
      </c>
      <c r="E4837" s="23" t="s">
        <v>75</v>
      </c>
      <c r="F4837" s="23" t="s">
        <v>483</v>
      </c>
      <c r="G4837" s="23" t="s">
        <v>250</v>
      </c>
      <c r="H4837" s="39">
        <f t="shared" si="300"/>
        <v>2998</v>
      </c>
      <c r="I4837" s="23" t="str">
        <f t="shared" si="301"/>
        <v>Lucknow</v>
      </c>
      <c r="J4837" s="23">
        <f>COUNTIFS(pg_transaction_cleaned!$O:$O,A4837,pg_transaction_cleaned!$F:$F,"CAPTURE")</f>
        <v>1</v>
      </c>
      <c r="K4837" s="39">
        <f>SUMIFS(pg_transaction_cleaned!$H:$H,pg_transaction_cleaned!$O:$O,A4837,pg_transaction_cleaned!$F:$F,"CAPTURE")</f>
        <v>2998</v>
      </c>
      <c r="L4837" s="23">
        <f>COUNTIFS(pg_transaction_cleaned!$O:$O,A4837,pg_transaction_cleaned!$F:$F,"REFUND")</f>
        <v>0</v>
      </c>
      <c r="M4837" s="39">
        <f>SUMIFS(pg_transaction_cleaned!$H:$H,pg_transaction_cleaned!$O:$O,A4837,pg_transaction_cleaned!$F:$F,"REFUND")</f>
        <v>0</v>
      </c>
      <c r="N4837" s="23" t="str">
        <f t="shared" si="302"/>
        <v>OK</v>
      </c>
      <c r="O4837" s="24">
        <f t="shared" si="303"/>
        <v>0</v>
      </c>
    </row>
    <row r="4838" spans="1:15" ht="15" customHeight="1" x14ac:dyDescent="0.3">
      <c r="A4838" s="23" t="s">
        <v>10134</v>
      </c>
      <c r="B4838" s="38">
        <v>46287</v>
      </c>
      <c r="C4838" s="23" t="s">
        <v>10135</v>
      </c>
      <c r="D4838" s="23" t="s">
        <v>90</v>
      </c>
      <c r="E4838" s="23" t="s">
        <v>77</v>
      </c>
      <c r="F4838" s="23" t="s">
        <v>685</v>
      </c>
      <c r="G4838" s="23" t="s">
        <v>250</v>
      </c>
      <c r="H4838" s="39">
        <f t="shared" si="300"/>
        <v>8797</v>
      </c>
      <c r="I4838" s="23" t="str">
        <f t="shared" si="301"/>
        <v>Ahmedabad</v>
      </c>
      <c r="J4838" s="23">
        <f>COUNTIFS(pg_transaction_cleaned!$O:$O,A4838,pg_transaction_cleaned!$F:$F,"CAPTURE")</f>
        <v>1</v>
      </c>
      <c r="K4838" s="39">
        <f>SUMIFS(pg_transaction_cleaned!$H:$H,pg_transaction_cleaned!$O:$O,A4838,pg_transaction_cleaned!$F:$F,"CAPTURE")</f>
        <v>8797</v>
      </c>
      <c r="L4838" s="23">
        <f>COUNTIFS(pg_transaction_cleaned!$O:$O,A4838,pg_transaction_cleaned!$F:$F,"REFUND")</f>
        <v>0</v>
      </c>
      <c r="M4838" s="39">
        <f>SUMIFS(pg_transaction_cleaned!$H:$H,pg_transaction_cleaned!$O:$O,A4838,pg_transaction_cleaned!$F:$F,"REFUND")</f>
        <v>0</v>
      </c>
      <c r="N4838" s="23" t="str">
        <f t="shared" si="302"/>
        <v>OK</v>
      </c>
      <c r="O4838" s="24">
        <f t="shared" si="303"/>
        <v>0</v>
      </c>
    </row>
    <row r="4839" spans="1:15" ht="15" customHeight="1" x14ac:dyDescent="0.3">
      <c r="A4839" s="23" t="s">
        <v>10136</v>
      </c>
      <c r="B4839" s="38">
        <v>46282</v>
      </c>
      <c r="C4839" s="23" t="s">
        <v>10137</v>
      </c>
      <c r="D4839" s="23" t="s">
        <v>86</v>
      </c>
      <c r="E4839" s="23" t="s">
        <v>75</v>
      </c>
      <c r="F4839" s="23" t="s">
        <v>553</v>
      </c>
      <c r="G4839" s="23" t="s">
        <v>250</v>
      </c>
      <c r="H4839" s="39">
        <f t="shared" si="300"/>
        <v>2798</v>
      </c>
      <c r="I4839" s="23" t="str">
        <f t="shared" si="301"/>
        <v>Delhi</v>
      </c>
      <c r="J4839" s="23">
        <f>COUNTIFS(pg_transaction_cleaned!$O:$O,A4839,pg_transaction_cleaned!$F:$F,"CAPTURE")</f>
        <v>1</v>
      </c>
      <c r="K4839" s="39">
        <f>SUMIFS(pg_transaction_cleaned!$H:$H,pg_transaction_cleaned!$O:$O,A4839,pg_transaction_cleaned!$F:$F,"CAPTURE")</f>
        <v>2798</v>
      </c>
      <c r="L4839" s="23">
        <f>COUNTIFS(pg_transaction_cleaned!$O:$O,A4839,pg_transaction_cleaned!$F:$F,"REFUND")</f>
        <v>0</v>
      </c>
      <c r="M4839" s="39">
        <f>SUMIFS(pg_transaction_cleaned!$H:$H,pg_transaction_cleaned!$O:$O,A4839,pg_transaction_cleaned!$F:$F,"REFUND")</f>
        <v>0</v>
      </c>
      <c r="N4839" s="23" t="str">
        <f t="shared" si="302"/>
        <v>OK</v>
      </c>
      <c r="O4839" s="24">
        <f t="shared" si="303"/>
        <v>0</v>
      </c>
    </row>
    <row r="4840" spans="1:15" ht="15" customHeight="1" x14ac:dyDescent="0.3">
      <c r="A4840" s="23" t="s">
        <v>10138</v>
      </c>
      <c r="B4840" s="38">
        <v>46266</v>
      </c>
      <c r="C4840" s="23" t="s">
        <v>10139</v>
      </c>
      <c r="D4840" s="23" t="s">
        <v>93</v>
      </c>
      <c r="E4840" s="23" t="s">
        <v>75</v>
      </c>
      <c r="F4840" s="23" t="s">
        <v>647</v>
      </c>
      <c r="G4840" s="23" t="s">
        <v>318</v>
      </c>
      <c r="H4840" s="39">
        <f t="shared" si="300"/>
        <v>5597</v>
      </c>
      <c r="I4840" s="23" t="str">
        <f t="shared" si="301"/>
        <v>Kolkata</v>
      </c>
      <c r="J4840" s="23">
        <f>COUNTIFS(pg_transaction_cleaned!$O:$O,A4840,pg_transaction_cleaned!$F:$F,"CAPTURE")</f>
        <v>0</v>
      </c>
      <c r="K4840" s="39">
        <f>SUMIFS(pg_transaction_cleaned!$H:$H,pg_transaction_cleaned!$O:$O,A4840,pg_transaction_cleaned!$F:$F,"CAPTURE")</f>
        <v>0</v>
      </c>
      <c r="L4840" s="23">
        <f>COUNTIFS(pg_transaction_cleaned!$O:$O,A4840,pg_transaction_cleaned!$F:$F,"REFUND")</f>
        <v>0</v>
      </c>
      <c r="M4840" s="39">
        <f>SUMIFS(pg_transaction_cleaned!$H:$H,pg_transaction_cleaned!$O:$O,A4840,pg_transaction_cleaned!$F:$F,"REFUND")</f>
        <v>0</v>
      </c>
      <c r="N4840" s="23" t="str">
        <f t="shared" si="302"/>
        <v>OK</v>
      </c>
      <c r="O4840" s="24">
        <f t="shared" si="303"/>
        <v>0</v>
      </c>
    </row>
    <row r="4841" spans="1:15" ht="15" customHeight="1" x14ac:dyDescent="0.3">
      <c r="A4841" s="23" t="s">
        <v>10140</v>
      </c>
      <c r="B4841" s="38">
        <v>46271</v>
      </c>
      <c r="C4841" s="23" t="s">
        <v>10141</v>
      </c>
      <c r="D4841" s="23" t="s">
        <v>89</v>
      </c>
      <c r="E4841" s="23" t="s">
        <v>75</v>
      </c>
      <c r="F4841" s="23" t="s">
        <v>1329</v>
      </c>
      <c r="G4841" s="23" t="s">
        <v>250</v>
      </c>
      <c r="H4841" s="39">
        <f t="shared" si="300"/>
        <v>6097</v>
      </c>
      <c r="I4841" s="23" t="str">
        <f t="shared" si="301"/>
        <v>Jaipur</v>
      </c>
      <c r="J4841" s="23">
        <f>COUNTIFS(pg_transaction_cleaned!$O:$O,A4841,pg_transaction_cleaned!$F:$F,"CAPTURE")</f>
        <v>1</v>
      </c>
      <c r="K4841" s="39">
        <f>SUMIFS(pg_transaction_cleaned!$H:$H,pg_transaction_cleaned!$O:$O,A4841,pg_transaction_cleaned!$F:$F,"CAPTURE")</f>
        <v>6097</v>
      </c>
      <c r="L4841" s="23">
        <f>COUNTIFS(pg_transaction_cleaned!$O:$O,A4841,pg_transaction_cleaned!$F:$F,"REFUND")</f>
        <v>0</v>
      </c>
      <c r="M4841" s="39">
        <f>SUMIFS(pg_transaction_cleaned!$H:$H,pg_transaction_cleaned!$O:$O,A4841,pg_transaction_cleaned!$F:$F,"REFUND")</f>
        <v>0</v>
      </c>
      <c r="N4841" s="23" t="str">
        <f t="shared" si="302"/>
        <v>OK</v>
      </c>
      <c r="O4841" s="24">
        <f t="shared" si="303"/>
        <v>0</v>
      </c>
    </row>
    <row r="4842" spans="1:15" ht="15" customHeight="1" x14ac:dyDescent="0.3">
      <c r="A4842" s="23" t="s">
        <v>10142</v>
      </c>
      <c r="B4842" s="38">
        <v>46275</v>
      </c>
      <c r="C4842" s="23" t="s">
        <v>10143</v>
      </c>
      <c r="D4842" s="23" t="s">
        <v>94</v>
      </c>
      <c r="E4842" s="23" t="s">
        <v>75</v>
      </c>
      <c r="F4842" s="23" t="s">
        <v>294</v>
      </c>
      <c r="G4842" s="23" t="s">
        <v>250</v>
      </c>
      <c r="H4842" s="39">
        <f t="shared" si="300"/>
        <v>1799</v>
      </c>
      <c r="I4842" s="23" t="str">
        <f t="shared" si="301"/>
        <v>Chennai</v>
      </c>
      <c r="J4842" s="23">
        <f>COUNTIFS(pg_transaction_cleaned!$O:$O,A4842,pg_transaction_cleaned!$F:$F,"CAPTURE")</f>
        <v>1</v>
      </c>
      <c r="K4842" s="39">
        <f>SUMIFS(pg_transaction_cleaned!$H:$H,pg_transaction_cleaned!$O:$O,A4842,pg_transaction_cleaned!$F:$F,"CAPTURE")</f>
        <v>1799</v>
      </c>
      <c r="L4842" s="23">
        <f>COUNTIFS(pg_transaction_cleaned!$O:$O,A4842,pg_transaction_cleaned!$F:$F,"REFUND")</f>
        <v>0</v>
      </c>
      <c r="M4842" s="39">
        <f>SUMIFS(pg_transaction_cleaned!$H:$H,pg_transaction_cleaned!$O:$O,A4842,pg_transaction_cleaned!$F:$F,"REFUND")</f>
        <v>0</v>
      </c>
      <c r="N4842" s="23" t="str">
        <f t="shared" si="302"/>
        <v>OK</v>
      </c>
      <c r="O4842" s="24">
        <f t="shared" si="303"/>
        <v>0</v>
      </c>
    </row>
    <row r="4843" spans="1:15" ht="15" customHeight="1" x14ac:dyDescent="0.3">
      <c r="A4843" s="23" t="s">
        <v>10144</v>
      </c>
      <c r="B4843" s="38">
        <v>46287</v>
      </c>
      <c r="C4843" s="23" t="s">
        <v>10145</v>
      </c>
      <c r="D4843" s="23" t="s">
        <v>90</v>
      </c>
      <c r="E4843" s="23" t="s">
        <v>75</v>
      </c>
      <c r="F4843" s="23" t="s">
        <v>520</v>
      </c>
      <c r="G4843" s="23" t="s">
        <v>318</v>
      </c>
      <c r="H4843" s="39">
        <f t="shared" si="300"/>
        <v>4998</v>
      </c>
      <c r="I4843" s="23" t="str">
        <f t="shared" si="301"/>
        <v>Ahmedabad</v>
      </c>
      <c r="J4843" s="23">
        <f>COUNTIFS(pg_transaction_cleaned!$O:$O,A4843,pg_transaction_cleaned!$F:$F,"CAPTURE")</f>
        <v>0</v>
      </c>
      <c r="K4843" s="39">
        <f>SUMIFS(pg_transaction_cleaned!$H:$H,pg_transaction_cleaned!$O:$O,A4843,pg_transaction_cleaned!$F:$F,"CAPTURE")</f>
        <v>0</v>
      </c>
      <c r="L4843" s="23">
        <f>COUNTIFS(pg_transaction_cleaned!$O:$O,A4843,pg_transaction_cleaned!$F:$F,"REFUND")</f>
        <v>0</v>
      </c>
      <c r="M4843" s="39">
        <f>SUMIFS(pg_transaction_cleaned!$H:$H,pg_transaction_cleaned!$O:$O,A4843,pg_transaction_cleaned!$F:$F,"REFUND")</f>
        <v>0</v>
      </c>
      <c r="N4843" s="23" t="str">
        <f t="shared" si="302"/>
        <v>OK</v>
      </c>
      <c r="O4843" s="24">
        <f t="shared" si="303"/>
        <v>0</v>
      </c>
    </row>
    <row r="4844" spans="1:15" ht="15" customHeight="1" x14ac:dyDescent="0.3">
      <c r="A4844" s="23" t="s">
        <v>10146</v>
      </c>
      <c r="B4844" s="38">
        <v>46295</v>
      </c>
      <c r="C4844" s="23" t="s">
        <v>10147</v>
      </c>
      <c r="D4844" s="23" t="s">
        <v>94</v>
      </c>
      <c r="E4844" s="23" t="s">
        <v>77</v>
      </c>
      <c r="F4844" s="23" t="s">
        <v>370</v>
      </c>
      <c r="G4844" s="23" t="s">
        <v>250</v>
      </c>
      <c r="H4844" s="39">
        <f t="shared" si="300"/>
        <v>3098</v>
      </c>
      <c r="I4844" s="23" t="str">
        <f t="shared" si="301"/>
        <v>Chennai</v>
      </c>
      <c r="J4844" s="23">
        <f>COUNTIFS(pg_transaction_cleaned!$O:$O,A4844,pg_transaction_cleaned!$F:$F,"CAPTURE")</f>
        <v>1</v>
      </c>
      <c r="K4844" s="39">
        <f>SUMIFS(pg_transaction_cleaned!$H:$H,pg_transaction_cleaned!$O:$O,A4844,pg_transaction_cleaned!$F:$F,"CAPTURE")</f>
        <v>3098</v>
      </c>
      <c r="L4844" s="23">
        <f>COUNTIFS(pg_transaction_cleaned!$O:$O,A4844,pg_transaction_cleaned!$F:$F,"REFUND")</f>
        <v>0</v>
      </c>
      <c r="M4844" s="39">
        <f>SUMIFS(pg_transaction_cleaned!$H:$H,pg_transaction_cleaned!$O:$O,A4844,pg_transaction_cleaned!$F:$F,"REFUND")</f>
        <v>0</v>
      </c>
      <c r="N4844" s="23" t="str">
        <f t="shared" si="302"/>
        <v>OK</v>
      </c>
      <c r="O4844" s="24">
        <f t="shared" si="303"/>
        <v>0</v>
      </c>
    </row>
    <row r="4845" spans="1:15" ht="15" customHeight="1" x14ac:dyDescent="0.3">
      <c r="A4845" s="23" t="s">
        <v>10148</v>
      </c>
      <c r="B4845" s="38">
        <v>46290</v>
      </c>
      <c r="C4845" s="23" t="s">
        <v>850</v>
      </c>
      <c r="D4845" s="23" t="s">
        <v>92</v>
      </c>
      <c r="E4845" s="23" t="s">
        <v>79</v>
      </c>
      <c r="F4845" s="23" t="s">
        <v>274</v>
      </c>
      <c r="G4845" s="23" t="s">
        <v>250</v>
      </c>
      <c r="H4845" s="39">
        <f t="shared" si="300"/>
        <v>349</v>
      </c>
      <c r="I4845" s="23" t="str">
        <f t="shared" si="301"/>
        <v>Hyderabad</v>
      </c>
      <c r="J4845" s="23">
        <f>COUNTIFS(pg_transaction_cleaned!$O:$O,A4845,pg_transaction_cleaned!$F:$F,"CAPTURE")</f>
        <v>1</v>
      </c>
      <c r="K4845" s="39">
        <f>SUMIFS(pg_transaction_cleaned!$H:$H,pg_transaction_cleaned!$O:$O,A4845,pg_transaction_cleaned!$F:$F,"CAPTURE")</f>
        <v>349</v>
      </c>
      <c r="L4845" s="23">
        <f>COUNTIFS(pg_transaction_cleaned!$O:$O,A4845,pg_transaction_cleaned!$F:$F,"REFUND")</f>
        <v>0</v>
      </c>
      <c r="M4845" s="39">
        <f>SUMIFS(pg_transaction_cleaned!$H:$H,pg_transaction_cleaned!$O:$O,A4845,pg_transaction_cleaned!$F:$F,"REFUND")</f>
        <v>0</v>
      </c>
      <c r="N4845" s="23" t="str">
        <f t="shared" si="302"/>
        <v>OK</v>
      </c>
      <c r="O4845" s="24">
        <f t="shared" si="303"/>
        <v>0</v>
      </c>
    </row>
    <row r="4846" spans="1:15" ht="15" customHeight="1" x14ac:dyDescent="0.3">
      <c r="A4846" s="23" t="s">
        <v>10149</v>
      </c>
      <c r="B4846" s="38">
        <v>46289</v>
      </c>
      <c r="C4846" s="23" t="s">
        <v>10150</v>
      </c>
      <c r="D4846" s="23" t="s">
        <v>95</v>
      </c>
      <c r="E4846" s="23" t="s">
        <v>75</v>
      </c>
      <c r="F4846" s="23" t="s">
        <v>307</v>
      </c>
      <c r="G4846" s="23" t="s">
        <v>250</v>
      </c>
      <c r="H4846" s="39">
        <f t="shared" si="300"/>
        <v>3798</v>
      </c>
      <c r="I4846" s="23" t="str">
        <f t="shared" si="301"/>
        <v>Bengaluru</v>
      </c>
      <c r="J4846" s="23">
        <f>COUNTIFS(pg_transaction_cleaned!$O:$O,A4846,pg_transaction_cleaned!$F:$F,"CAPTURE")</f>
        <v>1</v>
      </c>
      <c r="K4846" s="39">
        <f>SUMIFS(pg_transaction_cleaned!$H:$H,pg_transaction_cleaned!$O:$O,A4846,pg_transaction_cleaned!$F:$F,"CAPTURE")</f>
        <v>3798</v>
      </c>
      <c r="L4846" s="23">
        <f>COUNTIFS(pg_transaction_cleaned!$O:$O,A4846,pg_transaction_cleaned!$F:$F,"REFUND")</f>
        <v>0</v>
      </c>
      <c r="M4846" s="39">
        <f>SUMIFS(pg_transaction_cleaned!$H:$H,pg_transaction_cleaned!$O:$O,A4846,pg_transaction_cleaned!$F:$F,"REFUND")</f>
        <v>0</v>
      </c>
      <c r="N4846" s="23" t="str">
        <f t="shared" si="302"/>
        <v>OK</v>
      </c>
      <c r="O4846" s="24">
        <f t="shared" si="303"/>
        <v>0</v>
      </c>
    </row>
    <row r="4847" spans="1:15" ht="15" customHeight="1" x14ac:dyDescent="0.3">
      <c r="A4847" s="23" t="s">
        <v>10151</v>
      </c>
      <c r="B4847" s="38">
        <v>46278</v>
      </c>
      <c r="C4847" s="23" t="s">
        <v>10152</v>
      </c>
      <c r="D4847" s="23" t="s">
        <v>93</v>
      </c>
      <c r="E4847" s="23" t="s">
        <v>75</v>
      </c>
      <c r="F4847" s="23" t="s">
        <v>1367</v>
      </c>
      <c r="G4847" s="23" t="s">
        <v>250</v>
      </c>
      <c r="H4847" s="39">
        <f t="shared" si="300"/>
        <v>898</v>
      </c>
      <c r="I4847" s="23" t="str">
        <f t="shared" si="301"/>
        <v>Kolkata</v>
      </c>
      <c r="J4847" s="23">
        <f>COUNTIFS(pg_transaction_cleaned!$O:$O,A4847,pg_transaction_cleaned!$F:$F,"CAPTURE")</f>
        <v>1</v>
      </c>
      <c r="K4847" s="39">
        <f>SUMIFS(pg_transaction_cleaned!$H:$H,pg_transaction_cleaned!$O:$O,A4847,pg_transaction_cleaned!$F:$F,"CAPTURE")</f>
        <v>898</v>
      </c>
      <c r="L4847" s="23">
        <f>COUNTIFS(pg_transaction_cleaned!$O:$O,A4847,pg_transaction_cleaned!$F:$F,"REFUND")</f>
        <v>0</v>
      </c>
      <c r="M4847" s="39">
        <f>SUMIFS(pg_transaction_cleaned!$H:$H,pg_transaction_cleaned!$O:$O,A4847,pg_transaction_cleaned!$F:$F,"REFUND")</f>
        <v>0</v>
      </c>
      <c r="N4847" s="23" t="str">
        <f t="shared" si="302"/>
        <v>OK</v>
      </c>
      <c r="O4847" s="24">
        <f t="shared" si="303"/>
        <v>0</v>
      </c>
    </row>
    <row r="4848" spans="1:15" ht="15" customHeight="1" x14ac:dyDescent="0.3">
      <c r="A4848" s="23" t="s">
        <v>10153</v>
      </c>
      <c r="B4848" s="38">
        <v>46286</v>
      </c>
      <c r="C4848" s="23" t="s">
        <v>10154</v>
      </c>
      <c r="D4848" s="23" t="s">
        <v>92</v>
      </c>
      <c r="E4848" s="23" t="s">
        <v>75</v>
      </c>
      <c r="F4848" s="23" t="s">
        <v>10155</v>
      </c>
      <c r="G4848" s="23" t="s">
        <v>250</v>
      </c>
      <c r="H4848" s="39">
        <f t="shared" si="300"/>
        <v>9298</v>
      </c>
      <c r="I4848" s="23" t="str">
        <f t="shared" si="301"/>
        <v>Hyderabad</v>
      </c>
      <c r="J4848" s="23">
        <f>COUNTIFS(pg_transaction_cleaned!$O:$O,A4848,pg_transaction_cleaned!$F:$F,"CAPTURE")</f>
        <v>1</v>
      </c>
      <c r="K4848" s="39">
        <f>SUMIFS(pg_transaction_cleaned!$H:$H,pg_transaction_cleaned!$O:$O,A4848,pg_transaction_cleaned!$F:$F,"CAPTURE")</f>
        <v>9298</v>
      </c>
      <c r="L4848" s="23">
        <f>COUNTIFS(pg_transaction_cleaned!$O:$O,A4848,pg_transaction_cleaned!$F:$F,"REFUND")</f>
        <v>0</v>
      </c>
      <c r="M4848" s="39">
        <f>SUMIFS(pg_transaction_cleaned!$H:$H,pg_transaction_cleaned!$O:$O,A4848,pg_transaction_cleaned!$F:$F,"REFUND")</f>
        <v>0</v>
      </c>
      <c r="N4848" s="23" t="str">
        <f t="shared" si="302"/>
        <v>OK</v>
      </c>
      <c r="O4848" s="24">
        <f t="shared" si="303"/>
        <v>0</v>
      </c>
    </row>
    <row r="4849" spans="1:15" ht="15" customHeight="1" x14ac:dyDescent="0.3">
      <c r="A4849" s="23" t="s">
        <v>10156</v>
      </c>
      <c r="B4849" s="38">
        <v>46289</v>
      </c>
      <c r="C4849" s="23" t="s">
        <v>10157</v>
      </c>
      <c r="D4849" s="23" t="s">
        <v>87</v>
      </c>
      <c r="E4849" s="23" t="s">
        <v>79</v>
      </c>
      <c r="F4849" s="23" t="s">
        <v>329</v>
      </c>
      <c r="G4849" s="23" t="s">
        <v>250</v>
      </c>
      <c r="H4849" s="39">
        <f t="shared" si="300"/>
        <v>599</v>
      </c>
      <c r="I4849" s="23" t="str">
        <f t="shared" si="301"/>
        <v>Mumbai</v>
      </c>
      <c r="J4849" s="23">
        <f>COUNTIFS(pg_transaction_cleaned!$O:$O,A4849,pg_transaction_cleaned!$F:$F,"CAPTURE")</f>
        <v>1</v>
      </c>
      <c r="K4849" s="39">
        <f>SUMIFS(pg_transaction_cleaned!$H:$H,pg_transaction_cleaned!$O:$O,A4849,pg_transaction_cleaned!$F:$F,"CAPTURE")</f>
        <v>599</v>
      </c>
      <c r="L4849" s="23">
        <f>COUNTIFS(pg_transaction_cleaned!$O:$O,A4849,pg_transaction_cleaned!$F:$F,"REFUND")</f>
        <v>0</v>
      </c>
      <c r="M4849" s="39">
        <f>SUMIFS(pg_transaction_cleaned!$H:$H,pg_transaction_cleaned!$O:$O,A4849,pg_transaction_cleaned!$F:$F,"REFUND")</f>
        <v>0</v>
      </c>
      <c r="N4849" s="23" t="str">
        <f t="shared" si="302"/>
        <v>OK</v>
      </c>
      <c r="O4849" s="24">
        <f t="shared" si="303"/>
        <v>0</v>
      </c>
    </row>
    <row r="4850" spans="1:15" ht="15" customHeight="1" x14ac:dyDescent="0.3">
      <c r="A4850" s="23" t="s">
        <v>10158</v>
      </c>
      <c r="B4850" s="38">
        <v>46277</v>
      </c>
      <c r="C4850" s="23" t="s">
        <v>10159</v>
      </c>
      <c r="D4850" s="23"/>
      <c r="E4850" s="23" t="s">
        <v>75</v>
      </c>
      <c r="F4850" s="23" t="s">
        <v>1367</v>
      </c>
      <c r="G4850" s="23" t="s">
        <v>250</v>
      </c>
      <c r="H4850" s="39">
        <f t="shared" si="300"/>
        <v>898</v>
      </c>
      <c r="I4850" s="23" t="str">
        <f t="shared" si="301"/>
        <v>Unknown</v>
      </c>
      <c r="J4850" s="23">
        <f>COUNTIFS(pg_transaction_cleaned!$O:$O,A4850,pg_transaction_cleaned!$F:$F,"CAPTURE")</f>
        <v>1</v>
      </c>
      <c r="K4850" s="39">
        <f>SUMIFS(pg_transaction_cleaned!$H:$H,pg_transaction_cleaned!$O:$O,A4850,pg_transaction_cleaned!$F:$F,"CAPTURE")</f>
        <v>898</v>
      </c>
      <c r="L4850" s="23">
        <f>COUNTIFS(pg_transaction_cleaned!$O:$O,A4850,pg_transaction_cleaned!$F:$F,"REFUND")</f>
        <v>0</v>
      </c>
      <c r="M4850" s="39">
        <f>SUMIFS(pg_transaction_cleaned!$H:$H,pg_transaction_cleaned!$O:$O,A4850,pg_transaction_cleaned!$F:$F,"REFUND")</f>
        <v>0</v>
      </c>
      <c r="N4850" s="23" t="str">
        <f t="shared" si="302"/>
        <v>OK</v>
      </c>
      <c r="O4850" s="24">
        <f t="shared" si="303"/>
        <v>0</v>
      </c>
    </row>
    <row r="4851" spans="1:15" ht="15" customHeight="1" x14ac:dyDescent="0.3">
      <c r="A4851" s="23" t="s">
        <v>10160</v>
      </c>
      <c r="B4851" s="38">
        <v>46271</v>
      </c>
      <c r="C4851" s="23" t="s">
        <v>10161</v>
      </c>
      <c r="D4851" s="23" t="s">
        <v>91</v>
      </c>
      <c r="E4851" s="23" t="s">
        <v>75</v>
      </c>
      <c r="F4851" s="23" t="s">
        <v>647</v>
      </c>
      <c r="G4851" s="23" t="s">
        <v>250</v>
      </c>
      <c r="H4851" s="39">
        <f t="shared" si="300"/>
        <v>5597</v>
      </c>
      <c r="I4851" s="23" t="str">
        <f t="shared" si="301"/>
        <v>Pune</v>
      </c>
      <c r="J4851" s="23">
        <f>COUNTIFS(pg_transaction_cleaned!$O:$O,A4851,pg_transaction_cleaned!$F:$F,"CAPTURE")</f>
        <v>1</v>
      </c>
      <c r="K4851" s="39">
        <f>SUMIFS(pg_transaction_cleaned!$H:$H,pg_transaction_cleaned!$O:$O,A4851,pg_transaction_cleaned!$F:$F,"CAPTURE")</f>
        <v>5597</v>
      </c>
      <c r="L4851" s="23">
        <f>COUNTIFS(pg_transaction_cleaned!$O:$O,A4851,pg_transaction_cleaned!$F:$F,"REFUND")</f>
        <v>0</v>
      </c>
      <c r="M4851" s="39">
        <f>SUMIFS(pg_transaction_cleaned!$H:$H,pg_transaction_cleaned!$O:$O,A4851,pg_transaction_cleaned!$F:$F,"REFUND")</f>
        <v>0</v>
      </c>
      <c r="N4851" s="23" t="str">
        <f t="shared" si="302"/>
        <v>OK</v>
      </c>
      <c r="O4851" s="24">
        <f t="shared" si="303"/>
        <v>0</v>
      </c>
    </row>
    <row r="4852" spans="1:15" ht="15" customHeight="1" x14ac:dyDescent="0.3">
      <c r="A4852" s="23" t="s">
        <v>10162</v>
      </c>
      <c r="B4852" s="38">
        <v>46267</v>
      </c>
      <c r="C4852" s="23" t="s">
        <v>10163</v>
      </c>
      <c r="D4852" s="23" t="s">
        <v>90</v>
      </c>
      <c r="E4852" s="23" t="s">
        <v>75</v>
      </c>
      <c r="F4852" s="23" t="s">
        <v>514</v>
      </c>
      <c r="G4852" s="23" t="s">
        <v>250</v>
      </c>
      <c r="H4852" s="39">
        <f t="shared" si="300"/>
        <v>6498</v>
      </c>
      <c r="I4852" s="23" t="str">
        <f t="shared" si="301"/>
        <v>Ahmedabad</v>
      </c>
      <c r="J4852" s="23">
        <f>COUNTIFS(pg_transaction_cleaned!$O:$O,A4852,pg_transaction_cleaned!$F:$F,"CAPTURE")</f>
        <v>1</v>
      </c>
      <c r="K4852" s="39">
        <f>SUMIFS(pg_transaction_cleaned!$H:$H,pg_transaction_cleaned!$O:$O,A4852,pg_transaction_cleaned!$F:$F,"CAPTURE")</f>
        <v>6498</v>
      </c>
      <c r="L4852" s="23">
        <f>COUNTIFS(pg_transaction_cleaned!$O:$O,A4852,pg_transaction_cleaned!$F:$F,"REFUND")</f>
        <v>0</v>
      </c>
      <c r="M4852" s="39">
        <f>SUMIFS(pg_transaction_cleaned!$H:$H,pg_transaction_cleaned!$O:$O,A4852,pg_transaction_cleaned!$F:$F,"REFUND")</f>
        <v>0</v>
      </c>
      <c r="N4852" s="23" t="str">
        <f t="shared" si="302"/>
        <v>OK</v>
      </c>
      <c r="O4852" s="24">
        <f t="shared" si="303"/>
        <v>0</v>
      </c>
    </row>
    <row r="4853" spans="1:15" ht="15" customHeight="1" x14ac:dyDescent="0.3">
      <c r="A4853" s="23" t="s">
        <v>10164</v>
      </c>
      <c r="B4853" s="38">
        <v>46273</v>
      </c>
      <c r="C4853" s="23" t="s">
        <v>10165</v>
      </c>
      <c r="D4853" s="23" t="s">
        <v>86</v>
      </c>
      <c r="E4853" s="23" t="s">
        <v>75</v>
      </c>
      <c r="F4853" s="23" t="s">
        <v>1206</v>
      </c>
      <c r="G4853" s="23" t="s">
        <v>365</v>
      </c>
      <c r="H4853" s="39">
        <f t="shared" si="300"/>
        <v>7297</v>
      </c>
      <c r="I4853" s="23" t="str">
        <f t="shared" si="301"/>
        <v>Delhi</v>
      </c>
      <c r="J4853" s="23">
        <f>COUNTIFS(pg_transaction_cleaned!$O:$O,A4853,pg_transaction_cleaned!$F:$F,"CAPTURE")</f>
        <v>0</v>
      </c>
      <c r="K4853" s="39">
        <f>SUMIFS(pg_transaction_cleaned!$H:$H,pg_transaction_cleaned!$O:$O,A4853,pg_transaction_cleaned!$F:$F,"CAPTURE")</f>
        <v>0</v>
      </c>
      <c r="L4853" s="23">
        <f>COUNTIFS(pg_transaction_cleaned!$O:$O,A4853,pg_transaction_cleaned!$F:$F,"REFUND")</f>
        <v>0</v>
      </c>
      <c r="M4853" s="39">
        <f>SUMIFS(pg_transaction_cleaned!$H:$H,pg_transaction_cleaned!$O:$O,A4853,pg_transaction_cleaned!$F:$F,"REFUND")</f>
        <v>0</v>
      </c>
      <c r="N4853" s="23" t="str">
        <f t="shared" si="302"/>
        <v>OK</v>
      </c>
      <c r="O4853" s="24">
        <f t="shared" si="303"/>
        <v>0</v>
      </c>
    </row>
    <row r="4854" spans="1:15" ht="15" customHeight="1" x14ac:dyDescent="0.3">
      <c r="A4854" s="23" t="s">
        <v>10166</v>
      </c>
      <c r="B4854" s="38">
        <v>46266</v>
      </c>
      <c r="C4854" s="23" t="s">
        <v>10167</v>
      </c>
      <c r="D4854" s="23" t="s">
        <v>89</v>
      </c>
      <c r="E4854" s="23" t="s">
        <v>75</v>
      </c>
      <c r="F4854" s="23" t="s">
        <v>1372</v>
      </c>
      <c r="G4854" s="23" t="s">
        <v>250</v>
      </c>
      <c r="H4854" s="39">
        <f t="shared" si="300"/>
        <v>798</v>
      </c>
      <c r="I4854" s="23" t="str">
        <f t="shared" si="301"/>
        <v>Jaipur</v>
      </c>
      <c r="J4854" s="23">
        <f>COUNTIFS(pg_transaction_cleaned!$O:$O,A4854,pg_transaction_cleaned!$F:$F,"CAPTURE")</f>
        <v>1</v>
      </c>
      <c r="K4854" s="39">
        <f>SUMIFS(pg_transaction_cleaned!$H:$H,pg_transaction_cleaned!$O:$O,A4854,pg_transaction_cleaned!$F:$F,"CAPTURE")</f>
        <v>798</v>
      </c>
      <c r="L4854" s="23">
        <f>COUNTIFS(pg_transaction_cleaned!$O:$O,A4854,pg_transaction_cleaned!$F:$F,"REFUND")</f>
        <v>0</v>
      </c>
      <c r="M4854" s="39">
        <f>SUMIFS(pg_transaction_cleaned!$H:$H,pg_transaction_cleaned!$O:$O,A4854,pg_transaction_cleaned!$F:$F,"REFUND")</f>
        <v>0</v>
      </c>
      <c r="N4854" s="23" t="str">
        <f t="shared" si="302"/>
        <v>OK</v>
      </c>
      <c r="O4854" s="24">
        <f t="shared" si="303"/>
        <v>0</v>
      </c>
    </row>
    <row r="4855" spans="1:15" ht="15" customHeight="1" x14ac:dyDescent="0.3">
      <c r="A4855" s="23" t="s">
        <v>10168</v>
      </c>
      <c r="B4855" s="38">
        <v>46275</v>
      </c>
      <c r="C4855" s="23" t="s">
        <v>10169</v>
      </c>
      <c r="D4855" s="23" t="s">
        <v>93</v>
      </c>
      <c r="E4855" s="23" t="s">
        <v>81</v>
      </c>
      <c r="F4855" s="23" t="s">
        <v>294</v>
      </c>
      <c r="G4855" s="23" t="s">
        <v>250</v>
      </c>
      <c r="H4855" s="39">
        <f t="shared" si="300"/>
        <v>1799</v>
      </c>
      <c r="I4855" s="23" t="str">
        <f t="shared" si="301"/>
        <v>Kolkata</v>
      </c>
      <c r="J4855" s="23">
        <f>COUNTIFS(pg_transaction_cleaned!$O:$O,A4855,pg_transaction_cleaned!$F:$F,"CAPTURE")</f>
        <v>1</v>
      </c>
      <c r="K4855" s="39">
        <f>SUMIFS(pg_transaction_cleaned!$H:$H,pg_transaction_cleaned!$O:$O,A4855,pg_transaction_cleaned!$F:$F,"CAPTURE")</f>
        <v>1799</v>
      </c>
      <c r="L4855" s="23">
        <f>COUNTIFS(pg_transaction_cleaned!$O:$O,A4855,pg_transaction_cleaned!$F:$F,"REFUND")</f>
        <v>0</v>
      </c>
      <c r="M4855" s="39">
        <f>SUMIFS(pg_transaction_cleaned!$H:$H,pg_transaction_cleaned!$O:$O,A4855,pg_transaction_cleaned!$F:$F,"REFUND")</f>
        <v>0</v>
      </c>
      <c r="N4855" s="23" t="str">
        <f t="shared" si="302"/>
        <v>OK</v>
      </c>
      <c r="O4855" s="24">
        <f t="shared" si="303"/>
        <v>0</v>
      </c>
    </row>
    <row r="4856" spans="1:15" ht="15" customHeight="1" x14ac:dyDescent="0.3">
      <c r="A4856" s="23" t="s">
        <v>10170</v>
      </c>
      <c r="B4856" s="38">
        <v>46287</v>
      </c>
      <c r="C4856" s="23" t="s">
        <v>10171</v>
      </c>
      <c r="D4856" s="23" t="s">
        <v>93</v>
      </c>
      <c r="E4856" s="23" t="s">
        <v>79</v>
      </c>
      <c r="F4856" s="23" t="s">
        <v>3066</v>
      </c>
      <c r="G4856" s="23" t="s">
        <v>250</v>
      </c>
      <c r="H4856" s="39">
        <f t="shared" si="300"/>
        <v>4497</v>
      </c>
      <c r="I4856" s="23" t="str">
        <f t="shared" si="301"/>
        <v>Kolkata</v>
      </c>
      <c r="J4856" s="23">
        <f>COUNTIFS(pg_transaction_cleaned!$O:$O,A4856,pg_transaction_cleaned!$F:$F,"CAPTURE")</f>
        <v>1</v>
      </c>
      <c r="K4856" s="39">
        <f>SUMIFS(pg_transaction_cleaned!$H:$H,pg_transaction_cleaned!$O:$O,A4856,pg_transaction_cleaned!$F:$F,"CAPTURE")</f>
        <v>4497</v>
      </c>
      <c r="L4856" s="23">
        <f>COUNTIFS(pg_transaction_cleaned!$O:$O,A4856,pg_transaction_cleaned!$F:$F,"REFUND")</f>
        <v>0</v>
      </c>
      <c r="M4856" s="39">
        <f>SUMIFS(pg_transaction_cleaned!$H:$H,pg_transaction_cleaned!$O:$O,A4856,pg_transaction_cleaned!$F:$F,"REFUND")</f>
        <v>0</v>
      </c>
      <c r="N4856" s="23" t="str">
        <f t="shared" si="302"/>
        <v>OK</v>
      </c>
      <c r="O4856" s="24">
        <f t="shared" si="303"/>
        <v>0</v>
      </c>
    </row>
    <row r="4857" spans="1:15" ht="15" customHeight="1" x14ac:dyDescent="0.3">
      <c r="A4857" s="23" t="s">
        <v>10172</v>
      </c>
      <c r="B4857" s="38">
        <v>46276</v>
      </c>
      <c r="C4857" s="23" t="s">
        <v>10173</v>
      </c>
      <c r="D4857" s="23" t="s">
        <v>94</v>
      </c>
      <c r="E4857" s="23" t="s">
        <v>79</v>
      </c>
      <c r="F4857" s="23" t="s">
        <v>262</v>
      </c>
      <c r="G4857" s="23" t="s">
        <v>250</v>
      </c>
      <c r="H4857" s="39">
        <f t="shared" si="300"/>
        <v>499</v>
      </c>
      <c r="I4857" s="23" t="str">
        <f t="shared" si="301"/>
        <v>Chennai</v>
      </c>
      <c r="J4857" s="23">
        <f>COUNTIFS(pg_transaction_cleaned!$O:$O,A4857,pg_transaction_cleaned!$F:$F,"CAPTURE")</f>
        <v>1</v>
      </c>
      <c r="K4857" s="39">
        <f>SUMIFS(pg_transaction_cleaned!$H:$H,pg_transaction_cleaned!$O:$O,A4857,pg_transaction_cleaned!$F:$F,"CAPTURE")</f>
        <v>499</v>
      </c>
      <c r="L4857" s="23">
        <f>COUNTIFS(pg_transaction_cleaned!$O:$O,A4857,pg_transaction_cleaned!$F:$F,"REFUND")</f>
        <v>0</v>
      </c>
      <c r="M4857" s="39">
        <f>SUMIFS(pg_transaction_cleaned!$H:$H,pg_transaction_cleaned!$O:$O,A4857,pg_transaction_cleaned!$F:$F,"REFUND")</f>
        <v>0</v>
      </c>
      <c r="N4857" s="23" t="str">
        <f t="shared" si="302"/>
        <v>OK</v>
      </c>
      <c r="O4857" s="24">
        <f t="shared" si="303"/>
        <v>0</v>
      </c>
    </row>
    <row r="4858" spans="1:15" ht="15" customHeight="1" x14ac:dyDescent="0.3">
      <c r="A4858" s="23" t="s">
        <v>10174</v>
      </c>
      <c r="B4858" s="38">
        <v>46268</v>
      </c>
      <c r="C4858" s="23" t="s">
        <v>10175</v>
      </c>
      <c r="D4858" s="23" t="s">
        <v>89</v>
      </c>
      <c r="E4858" s="23" t="s">
        <v>77</v>
      </c>
      <c r="F4858" s="23" t="s">
        <v>1693</v>
      </c>
      <c r="G4858" s="23" t="s">
        <v>318</v>
      </c>
      <c r="H4858" s="39">
        <f t="shared" si="300"/>
        <v>4097</v>
      </c>
      <c r="I4858" s="23" t="str">
        <f t="shared" si="301"/>
        <v>Jaipur</v>
      </c>
      <c r="J4858" s="23">
        <f>COUNTIFS(pg_transaction_cleaned!$O:$O,A4858,pg_transaction_cleaned!$F:$F,"CAPTURE")</f>
        <v>0</v>
      </c>
      <c r="K4858" s="39">
        <f>SUMIFS(pg_transaction_cleaned!$H:$H,pg_transaction_cleaned!$O:$O,A4858,pg_transaction_cleaned!$F:$F,"CAPTURE")</f>
        <v>0</v>
      </c>
      <c r="L4858" s="23">
        <f>COUNTIFS(pg_transaction_cleaned!$O:$O,A4858,pg_transaction_cleaned!$F:$F,"REFUND")</f>
        <v>0</v>
      </c>
      <c r="M4858" s="39">
        <f>SUMIFS(pg_transaction_cleaned!$H:$H,pg_transaction_cleaned!$O:$O,A4858,pg_transaction_cleaned!$F:$F,"REFUND")</f>
        <v>0</v>
      </c>
      <c r="N4858" s="23" t="str">
        <f t="shared" si="302"/>
        <v>OK</v>
      </c>
      <c r="O4858" s="24">
        <f t="shared" si="303"/>
        <v>0</v>
      </c>
    </row>
    <row r="4859" spans="1:15" ht="15" customHeight="1" x14ac:dyDescent="0.3">
      <c r="A4859" s="23" t="s">
        <v>10176</v>
      </c>
      <c r="B4859" s="38">
        <v>46269</v>
      </c>
      <c r="C4859" s="23" t="s">
        <v>10177</v>
      </c>
      <c r="D4859" s="23" t="s">
        <v>86</v>
      </c>
      <c r="E4859" s="23" t="s">
        <v>75</v>
      </c>
      <c r="F4859" s="23" t="s">
        <v>288</v>
      </c>
      <c r="G4859" s="23" t="s">
        <v>250</v>
      </c>
      <c r="H4859" s="39">
        <f t="shared" si="300"/>
        <v>4298</v>
      </c>
      <c r="I4859" s="23" t="str">
        <f t="shared" si="301"/>
        <v>Delhi</v>
      </c>
      <c r="J4859" s="23">
        <f>COUNTIFS(pg_transaction_cleaned!$O:$O,A4859,pg_transaction_cleaned!$F:$F,"CAPTURE")</f>
        <v>1</v>
      </c>
      <c r="K4859" s="39">
        <f>SUMIFS(pg_transaction_cleaned!$H:$H,pg_transaction_cleaned!$O:$O,A4859,pg_transaction_cleaned!$F:$F,"CAPTURE")</f>
        <v>4298</v>
      </c>
      <c r="L4859" s="23">
        <f>COUNTIFS(pg_transaction_cleaned!$O:$O,A4859,pg_transaction_cleaned!$F:$F,"REFUND")</f>
        <v>0</v>
      </c>
      <c r="M4859" s="39">
        <f>SUMIFS(pg_transaction_cleaned!$H:$H,pg_transaction_cleaned!$O:$O,A4859,pg_transaction_cleaned!$F:$F,"REFUND")</f>
        <v>0</v>
      </c>
      <c r="N4859" s="23" t="str">
        <f t="shared" si="302"/>
        <v>OK</v>
      </c>
      <c r="O4859" s="24">
        <f t="shared" si="303"/>
        <v>0</v>
      </c>
    </row>
    <row r="4860" spans="1:15" ht="15" customHeight="1" x14ac:dyDescent="0.3">
      <c r="A4860" s="23" t="s">
        <v>10178</v>
      </c>
      <c r="B4860" s="38">
        <v>46279</v>
      </c>
      <c r="C4860" s="23" t="s">
        <v>10179</v>
      </c>
      <c r="D4860" s="23" t="s">
        <v>87</v>
      </c>
      <c r="E4860" s="23" t="s">
        <v>75</v>
      </c>
      <c r="F4860" s="23" t="s">
        <v>329</v>
      </c>
      <c r="G4860" s="23" t="s">
        <v>250</v>
      </c>
      <c r="H4860" s="39">
        <f t="shared" si="300"/>
        <v>599</v>
      </c>
      <c r="I4860" s="23" t="str">
        <f t="shared" si="301"/>
        <v>Mumbai</v>
      </c>
      <c r="J4860" s="23">
        <f>COUNTIFS(pg_transaction_cleaned!$O:$O,A4860,pg_transaction_cleaned!$F:$F,"CAPTURE")</f>
        <v>1</v>
      </c>
      <c r="K4860" s="39">
        <f>SUMIFS(pg_transaction_cleaned!$H:$H,pg_transaction_cleaned!$O:$O,A4860,pg_transaction_cleaned!$F:$F,"CAPTURE")</f>
        <v>599</v>
      </c>
      <c r="L4860" s="23">
        <f>COUNTIFS(pg_transaction_cleaned!$O:$O,A4860,pg_transaction_cleaned!$F:$F,"REFUND")</f>
        <v>0</v>
      </c>
      <c r="M4860" s="39">
        <f>SUMIFS(pg_transaction_cleaned!$H:$H,pg_transaction_cleaned!$O:$O,A4860,pg_transaction_cleaned!$F:$F,"REFUND")</f>
        <v>0</v>
      </c>
      <c r="N4860" s="23" t="str">
        <f t="shared" si="302"/>
        <v>OK</v>
      </c>
      <c r="O4860" s="24">
        <f t="shared" si="303"/>
        <v>0</v>
      </c>
    </row>
    <row r="4861" spans="1:15" ht="15" customHeight="1" x14ac:dyDescent="0.3">
      <c r="A4861" s="23" t="s">
        <v>10180</v>
      </c>
      <c r="B4861" s="38">
        <v>46280</v>
      </c>
      <c r="C4861" s="23" t="s">
        <v>10181</v>
      </c>
      <c r="D4861" s="23" t="s">
        <v>89</v>
      </c>
      <c r="E4861" s="23" t="s">
        <v>75</v>
      </c>
      <c r="F4861" s="23" t="s">
        <v>262</v>
      </c>
      <c r="G4861" s="23" t="s">
        <v>250</v>
      </c>
      <c r="H4861" s="39">
        <f t="shared" si="300"/>
        <v>499</v>
      </c>
      <c r="I4861" s="23" t="str">
        <f t="shared" si="301"/>
        <v>Jaipur</v>
      </c>
      <c r="J4861" s="23">
        <f>COUNTIFS(pg_transaction_cleaned!$O:$O,A4861,pg_transaction_cleaned!$F:$F,"CAPTURE")</f>
        <v>1</v>
      </c>
      <c r="K4861" s="39">
        <f>SUMIFS(pg_transaction_cleaned!$H:$H,pg_transaction_cleaned!$O:$O,A4861,pg_transaction_cleaned!$F:$F,"CAPTURE")</f>
        <v>499</v>
      </c>
      <c r="L4861" s="23">
        <f>COUNTIFS(pg_transaction_cleaned!$O:$O,A4861,pg_transaction_cleaned!$F:$F,"REFUND")</f>
        <v>0</v>
      </c>
      <c r="M4861" s="39">
        <f>SUMIFS(pg_transaction_cleaned!$H:$H,pg_transaction_cleaned!$O:$O,A4861,pg_transaction_cleaned!$F:$F,"REFUND")</f>
        <v>0</v>
      </c>
      <c r="N4861" s="23" t="str">
        <f t="shared" si="302"/>
        <v>OK</v>
      </c>
      <c r="O4861" s="24">
        <f t="shared" si="303"/>
        <v>0</v>
      </c>
    </row>
    <row r="4862" spans="1:15" ht="15" customHeight="1" x14ac:dyDescent="0.3">
      <c r="A4862" s="23" t="s">
        <v>10182</v>
      </c>
      <c r="B4862" s="38">
        <v>46273</v>
      </c>
      <c r="C4862" s="23" t="s">
        <v>10183</v>
      </c>
      <c r="D4862" s="23" t="s">
        <v>86</v>
      </c>
      <c r="E4862" s="23" t="s">
        <v>79</v>
      </c>
      <c r="F4862" s="23" t="s">
        <v>291</v>
      </c>
      <c r="G4862" s="23" t="s">
        <v>365</v>
      </c>
      <c r="H4862" s="39">
        <f t="shared" si="300"/>
        <v>3499</v>
      </c>
      <c r="I4862" s="23" t="str">
        <f t="shared" si="301"/>
        <v>Delhi</v>
      </c>
      <c r="J4862" s="23">
        <f>COUNTIFS(pg_transaction_cleaned!$O:$O,A4862,pg_transaction_cleaned!$F:$F,"CAPTURE")</f>
        <v>0</v>
      </c>
      <c r="K4862" s="39">
        <f>SUMIFS(pg_transaction_cleaned!$H:$H,pg_transaction_cleaned!$O:$O,A4862,pg_transaction_cleaned!$F:$F,"CAPTURE")</f>
        <v>0</v>
      </c>
      <c r="L4862" s="23">
        <f>COUNTIFS(pg_transaction_cleaned!$O:$O,A4862,pg_transaction_cleaned!$F:$F,"REFUND")</f>
        <v>0</v>
      </c>
      <c r="M4862" s="39">
        <f>SUMIFS(pg_transaction_cleaned!$H:$H,pg_transaction_cleaned!$O:$O,A4862,pg_transaction_cleaned!$F:$F,"REFUND")</f>
        <v>0</v>
      </c>
      <c r="N4862" s="23" t="str">
        <f t="shared" si="302"/>
        <v>OK</v>
      </c>
      <c r="O4862" s="24">
        <f t="shared" si="303"/>
        <v>0</v>
      </c>
    </row>
    <row r="4863" spans="1:15" ht="15" customHeight="1" x14ac:dyDescent="0.3">
      <c r="A4863" s="23" t="s">
        <v>10184</v>
      </c>
      <c r="B4863" s="38">
        <v>46294</v>
      </c>
      <c r="C4863" s="23" t="s">
        <v>10185</v>
      </c>
      <c r="D4863" s="23" t="s">
        <v>93</v>
      </c>
      <c r="E4863" s="23" t="s">
        <v>75</v>
      </c>
      <c r="F4863" s="23" t="s">
        <v>1391</v>
      </c>
      <c r="G4863" s="23" t="s">
        <v>250</v>
      </c>
      <c r="H4863" s="39">
        <f t="shared" si="300"/>
        <v>2897</v>
      </c>
      <c r="I4863" s="23" t="str">
        <f t="shared" si="301"/>
        <v>Kolkata</v>
      </c>
      <c r="J4863" s="23">
        <f>COUNTIFS(pg_transaction_cleaned!$O:$O,A4863,pg_transaction_cleaned!$F:$F,"CAPTURE")</f>
        <v>1</v>
      </c>
      <c r="K4863" s="39">
        <f>SUMIFS(pg_transaction_cleaned!$H:$H,pg_transaction_cleaned!$O:$O,A4863,pg_transaction_cleaned!$F:$F,"CAPTURE")</f>
        <v>2897</v>
      </c>
      <c r="L4863" s="23">
        <f>COUNTIFS(pg_transaction_cleaned!$O:$O,A4863,pg_transaction_cleaned!$F:$F,"REFUND")</f>
        <v>0</v>
      </c>
      <c r="M4863" s="39">
        <f>SUMIFS(pg_transaction_cleaned!$H:$H,pg_transaction_cleaned!$O:$O,A4863,pg_transaction_cleaned!$F:$F,"REFUND")</f>
        <v>0</v>
      </c>
      <c r="N4863" s="23" t="str">
        <f t="shared" si="302"/>
        <v>OK</v>
      </c>
      <c r="O4863" s="24">
        <f t="shared" si="303"/>
        <v>0</v>
      </c>
    </row>
    <row r="4864" spans="1:15" ht="15" customHeight="1" x14ac:dyDescent="0.3">
      <c r="A4864" s="23" t="s">
        <v>10186</v>
      </c>
      <c r="B4864" s="38">
        <v>46290</v>
      </c>
      <c r="C4864" s="23" t="s">
        <v>10187</v>
      </c>
      <c r="D4864" s="23" t="s">
        <v>91</v>
      </c>
      <c r="E4864" s="23" t="s">
        <v>75</v>
      </c>
      <c r="F4864" s="23" t="s">
        <v>612</v>
      </c>
      <c r="G4864" s="23" t="s">
        <v>318</v>
      </c>
      <c r="H4864" s="39">
        <f t="shared" si="300"/>
        <v>8498</v>
      </c>
      <c r="I4864" s="23" t="str">
        <f t="shared" si="301"/>
        <v>Pune</v>
      </c>
      <c r="J4864" s="23">
        <f>COUNTIFS(pg_transaction_cleaned!$O:$O,A4864,pg_transaction_cleaned!$F:$F,"CAPTURE")</f>
        <v>0</v>
      </c>
      <c r="K4864" s="39">
        <f>SUMIFS(pg_transaction_cleaned!$H:$H,pg_transaction_cleaned!$O:$O,A4864,pg_transaction_cleaned!$F:$F,"CAPTURE")</f>
        <v>0</v>
      </c>
      <c r="L4864" s="23">
        <f>COUNTIFS(pg_transaction_cleaned!$O:$O,A4864,pg_transaction_cleaned!$F:$F,"REFUND")</f>
        <v>0</v>
      </c>
      <c r="M4864" s="39">
        <f>SUMIFS(pg_transaction_cleaned!$H:$H,pg_transaction_cleaned!$O:$O,A4864,pg_transaction_cleaned!$F:$F,"REFUND")</f>
        <v>0</v>
      </c>
      <c r="N4864" s="23" t="str">
        <f t="shared" si="302"/>
        <v>OK</v>
      </c>
      <c r="O4864" s="24">
        <f t="shared" si="303"/>
        <v>0</v>
      </c>
    </row>
    <row r="4865" spans="1:15" ht="15" customHeight="1" x14ac:dyDescent="0.3">
      <c r="A4865" s="23" t="s">
        <v>10188</v>
      </c>
      <c r="B4865" s="38">
        <v>46293</v>
      </c>
      <c r="C4865" s="23" t="s">
        <v>10189</v>
      </c>
      <c r="D4865" s="23" t="s">
        <v>88</v>
      </c>
      <c r="E4865" s="23" t="s">
        <v>75</v>
      </c>
      <c r="F4865" s="23" t="s">
        <v>772</v>
      </c>
      <c r="G4865" s="23" t="s">
        <v>250</v>
      </c>
      <c r="H4865" s="39">
        <f t="shared" si="300"/>
        <v>4798</v>
      </c>
      <c r="I4865" s="23" t="str">
        <f t="shared" si="301"/>
        <v>Lucknow</v>
      </c>
      <c r="J4865" s="23">
        <f>COUNTIFS(pg_transaction_cleaned!$O:$O,A4865,pg_transaction_cleaned!$F:$F,"CAPTURE")</f>
        <v>1</v>
      </c>
      <c r="K4865" s="39">
        <f>SUMIFS(pg_transaction_cleaned!$H:$H,pg_transaction_cleaned!$O:$O,A4865,pg_transaction_cleaned!$F:$F,"CAPTURE")</f>
        <v>4798</v>
      </c>
      <c r="L4865" s="23">
        <f>COUNTIFS(pg_transaction_cleaned!$O:$O,A4865,pg_transaction_cleaned!$F:$F,"REFUND")</f>
        <v>0</v>
      </c>
      <c r="M4865" s="39">
        <f>SUMIFS(pg_transaction_cleaned!$H:$H,pg_transaction_cleaned!$O:$O,A4865,pg_transaction_cleaned!$F:$F,"REFUND")</f>
        <v>0</v>
      </c>
      <c r="N4865" s="23" t="str">
        <f t="shared" si="302"/>
        <v>OK</v>
      </c>
      <c r="O4865" s="24">
        <f t="shared" si="303"/>
        <v>0</v>
      </c>
    </row>
    <row r="4866" spans="1:15" ht="15" customHeight="1" x14ac:dyDescent="0.3">
      <c r="A4866" s="23" t="s">
        <v>10190</v>
      </c>
      <c r="B4866" s="38">
        <v>46278</v>
      </c>
      <c r="C4866" s="23" t="s">
        <v>10191</v>
      </c>
      <c r="D4866" s="23" t="s">
        <v>87</v>
      </c>
      <c r="E4866" s="23" t="s">
        <v>75</v>
      </c>
      <c r="F4866" s="23" t="s">
        <v>520</v>
      </c>
      <c r="G4866" s="23" t="s">
        <v>250</v>
      </c>
      <c r="H4866" s="39">
        <f t="shared" ref="H4866:H4929" si="304">VALUE(SUBSTITUTE(F4866,",",""))</f>
        <v>4998</v>
      </c>
      <c r="I4866" s="23" t="str">
        <f t="shared" ref="I4866:I4929" si="305">IF(TRIM(D4866)="","Unknown",TRIM(D4866))</f>
        <v>Mumbai</v>
      </c>
      <c r="J4866" s="23">
        <f>COUNTIFS(pg_transaction_cleaned!$O:$O,A4866,pg_transaction_cleaned!$F:$F,"CAPTURE")</f>
        <v>1</v>
      </c>
      <c r="K4866" s="39">
        <f>SUMIFS(pg_transaction_cleaned!$H:$H,pg_transaction_cleaned!$O:$O,A4866,pg_transaction_cleaned!$F:$F,"CAPTURE")</f>
        <v>4998</v>
      </c>
      <c r="L4866" s="23">
        <f>COUNTIFS(pg_transaction_cleaned!$O:$O,A4866,pg_transaction_cleaned!$F:$F,"REFUND")</f>
        <v>0</v>
      </c>
      <c r="M4866" s="39">
        <f>SUMIFS(pg_transaction_cleaned!$H:$H,pg_transaction_cleaned!$O:$O,A4866,pg_transaction_cleaned!$F:$F,"REFUND")</f>
        <v>0</v>
      </c>
      <c r="N4866" s="23" t="str">
        <f t="shared" ref="N4866:N4929" si="306">IF(AND(G4866="Paid",J4866=0),"Paid, no payment",IF(AND(OR(G4866="Failed",G4866="Cancelled"),J4866&gt;0),"Payment on failed/cancelled",IF(J4866&gt;1,"Duplicate charge",IF(AND(J4866=1,ROUND(K4866-H4866,2)&lt;&gt;0),"Amount difference",IF(AND(G4866="Refunded",L4866=0),"Refunded, no refund",IF(AND(G4866&lt;&gt;"Refunded",L4866&gt;0),"Refund, order not Refunded",IF(AND(L4866&gt;0,ROUND(M4866-H4866,2)&lt;&gt;0),"Refund amount differs","OK")))))))</f>
        <v>OK</v>
      </c>
      <c r="O4866" s="24">
        <f t="shared" ref="O4866:O4929" si="307">IF(N4866="OK",0,IF(N4866="Paid, no payment",H4866,IF(N4866="Payment on failed/cancelled",K4866,IF(OR(N4866="Duplicate charge",N4866="Amount difference"),K4866-H4866,IF(N4866="Refunded, no refund",H4866,M4866)))))</f>
        <v>0</v>
      </c>
    </row>
    <row r="4867" spans="1:15" ht="15" customHeight="1" x14ac:dyDescent="0.3">
      <c r="A4867" s="23" t="s">
        <v>10192</v>
      </c>
      <c r="B4867" s="38">
        <v>46274</v>
      </c>
      <c r="C4867" s="23" t="s">
        <v>8350</v>
      </c>
      <c r="D4867" s="23" t="s">
        <v>93</v>
      </c>
      <c r="E4867" s="23" t="s">
        <v>75</v>
      </c>
      <c r="F4867" s="23" t="s">
        <v>475</v>
      </c>
      <c r="G4867" s="23" t="s">
        <v>365</v>
      </c>
      <c r="H4867" s="39">
        <f t="shared" si="304"/>
        <v>799</v>
      </c>
      <c r="I4867" s="23" t="str">
        <f t="shared" si="305"/>
        <v>Kolkata</v>
      </c>
      <c r="J4867" s="23">
        <f>COUNTIFS(pg_transaction_cleaned!$O:$O,A4867,pg_transaction_cleaned!$F:$F,"CAPTURE")</f>
        <v>0</v>
      </c>
      <c r="K4867" s="39">
        <f>SUMIFS(pg_transaction_cleaned!$H:$H,pg_transaction_cleaned!$O:$O,A4867,pg_transaction_cleaned!$F:$F,"CAPTURE")</f>
        <v>0</v>
      </c>
      <c r="L4867" s="23">
        <f>COUNTIFS(pg_transaction_cleaned!$O:$O,A4867,pg_transaction_cleaned!$F:$F,"REFUND")</f>
        <v>0</v>
      </c>
      <c r="M4867" s="39">
        <f>SUMIFS(pg_transaction_cleaned!$H:$H,pg_transaction_cleaned!$O:$O,A4867,pg_transaction_cleaned!$F:$F,"REFUND")</f>
        <v>0</v>
      </c>
      <c r="N4867" s="23" t="str">
        <f t="shared" si="306"/>
        <v>OK</v>
      </c>
      <c r="O4867" s="24">
        <f t="shared" si="307"/>
        <v>0</v>
      </c>
    </row>
    <row r="4868" spans="1:15" ht="15" customHeight="1" x14ac:dyDescent="0.3">
      <c r="A4868" s="23" t="s">
        <v>10193</v>
      </c>
      <c r="B4868" s="38">
        <v>46269</v>
      </c>
      <c r="C4868" s="23" t="s">
        <v>10194</v>
      </c>
      <c r="D4868" s="23" t="s">
        <v>89</v>
      </c>
      <c r="E4868" s="23" t="s">
        <v>75</v>
      </c>
      <c r="F4868" s="23" t="s">
        <v>256</v>
      </c>
      <c r="G4868" s="23" t="s">
        <v>250</v>
      </c>
      <c r="H4868" s="39">
        <f t="shared" si="304"/>
        <v>2098</v>
      </c>
      <c r="I4868" s="23" t="str">
        <f t="shared" si="305"/>
        <v>Jaipur</v>
      </c>
      <c r="J4868" s="23">
        <f>COUNTIFS(pg_transaction_cleaned!$O:$O,A4868,pg_transaction_cleaned!$F:$F,"CAPTURE")</f>
        <v>1</v>
      </c>
      <c r="K4868" s="39">
        <f>SUMIFS(pg_transaction_cleaned!$H:$H,pg_transaction_cleaned!$O:$O,A4868,pg_transaction_cleaned!$F:$F,"CAPTURE")</f>
        <v>2098</v>
      </c>
      <c r="L4868" s="23">
        <f>COUNTIFS(pg_transaction_cleaned!$O:$O,A4868,pg_transaction_cleaned!$F:$F,"REFUND")</f>
        <v>0</v>
      </c>
      <c r="M4868" s="39">
        <f>SUMIFS(pg_transaction_cleaned!$H:$H,pg_transaction_cleaned!$O:$O,A4868,pg_transaction_cleaned!$F:$F,"REFUND")</f>
        <v>0</v>
      </c>
      <c r="N4868" s="23" t="str">
        <f t="shared" si="306"/>
        <v>OK</v>
      </c>
      <c r="O4868" s="24">
        <f t="shared" si="307"/>
        <v>0</v>
      </c>
    </row>
    <row r="4869" spans="1:15" ht="15" customHeight="1" x14ac:dyDescent="0.3">
      <c r="A4869" s="23" t="s">
        <v>10195</v>
      </c>
      <c r="B4869" s="38">
        <v>46275</v>
      </c>
      <c r="C4869" s="23" t="s">
        <v>10196</v>
      </c>
      <c r="D4869" s="23" t="s">
        <v>94</v>
      </c>
      <c r="E4869" s="23" t="s">
        <v>79</v>
      </c>
      <c r="F4869" s="23" t="s">
        <v>297</v>
      </c>
      <c r="G4869" s="23" t="s">
        <v>250</v>
      </c>
      <c r="H4869" s="39">
        <f t="shared" si="304"/>
        <v>4999</v>
      </c>
      <c r="I4869" s="23" t="str">
        <f t="shared" si="305"/>
        <v>Chennai</v>
      </c>
      <c r="J4869" s="23">
        <f>COUNTIFS(pg_transaction_cleaned!$O:$O,A4869,pg_transaction_cleaned!$F:$F,"CAPTURE")</f>
        <v>1</v>
      </c>
      <c r="K4869" s="39">
        <f>SUMIFS(pg_transaction_cleaned!$H:$H,pg_transaction_cleaned!$O:$O,A4869,pg_transaction_cleaned!$F:$F,"CAPTURE")</f>
        <v>4999</v>
      </c>
      <c r="L4869" s="23">
        <f>COUNTIFS(pg_transaction_cleaned!$O:$O,A4869,pg_transaction_cleaned!$F:$F,"REFUND")</f>
        <v>0</v>
      </c>
      <c r="M4869" s="39">
        <f>SUMIFS(pg_transaction_cleaned!$H:$H,pg_transaction_cleaned!$O:$O,A4869,pg_transaction_cleaned!$F:$F,"REFUND")</f>
        <v>0</v>
      </c>
      <c r="N4869" s="23" t="str">
        <f t="shared" si="306"/>
        <v>OK</v>
      </c>
      <c r="O4869" s="24">
        <f t="shared" si="307"/>
        <v>0</v>
      </c>
    </row>
    <row r="4870" spans="1:15" ht="15" customHeight="1" x14ac:dyDescent="0.3">
      <c r="A4870" s="23" t="s">
        <v>10197</v>
      </c>
      <c r="B4870" s="38">
        <v>46289</v>
      </c>
      <c r="C4870" s="23" t="s">
        <v>7334</v>
      </c>
      <c r="D4870" s="23" t="s">
        <v>86</v>
      </c>
      <c r="E4870" s="23" t="s">
        <v>79</v>
      </c>
      <c r="F4870" s="23" t="s">
        <v>2859</v>
      </c>
      <c r="G4870" s="23" t="s">
        <v>250</v>
      </c>
      <c r="H4870" s="39">
        <f t="shared" si="304"/>
        <v>3147</v>
      </c>
      <c r="I4870" s="23" t="str">
        <f t="shared" si="305"/>
        <v>Delhi</v>
      </c>
      <c r="J4870" s="23">
        <f>COUNTIFS(pg_transaction_cleaned!$O:$O,A4870,pg_transaction_cleaned!$F:$F,"CAPTURE")</f>
        <v>1</v>
      </c>
      <c r="K4870" s="39">
        <f>SUMIFS(pg_transaction_cleaned!$H:$H,pg_transaction_cleaned!$O:$O,A4870,pg_transaction_cleaned!$F:$F,"CAPTURE")</f>
        <v>3147</v>
      </c>
      <c r="L4870" s="23">
        <f>COUNTIFS(pg_transaction_cleaned!$O:$O,A4870,pg_transaction_cleaned!$F:$F,"REFUND")</f>
        <v>0</v>
      </c>
      <c r="M4870" s="39">
        <f>SUMIFS(pg_transaction_cleaned!$H:$H,pg_transaction_cleaned!$O:$O,A4870,pg_transaction_cleaned!$F:$F,"REFUND")</f>
        <v>0</v>
      </c>
      <c r="N4870" s="23" t="str">
        <f t="shared" si="306"/>
        <v>OK</v>
      </c>
      <c r="O4870" s="24">
        <f t="shared" si="307"/>
        <v>0</v>
      </c>
    </row>
    <row r="4871" spans="1:15" ht="15" customHeight="1" x14ac:dyDescent="0.3">
      <c r="A4871" s="23" t="s">
        <v>10198</v>
      </c>
      <c r="B4871" s="38">
        <v>46282</v>
      </c>
      <c r="C4871" s="23" t="s">
        <v>10199</v>
      </c>
      <c r="D4871" s="23" t="s">
        <v>87</v>
      </c>
      <c r="E4871" s="23" t="s">
        <v>75</v>
      </c>
      <c r="F4871" s="23" t="s">
        <v>271</v>
      </c>
      <c r="G4871" s="23" t="s">
        <v>250</v>
      </c>
      <c r="H4871" s="39">
        <f t="shared" si="304"/>
        <v>2499</v>
      </c>
      <c r="I4871" s="23" t="str">
        <f t="shared" si="305"/>
        <v>Mumbai</v>
      </c>
      <c r="J4871" s="23">
        <f>COUNTIFS(pg_transaction_cleaned!$O:$O,A4871,pg_transaction_cleaned!$F:$F,"CAPTURE")</f>
        <v>1</v>
      </c>
      <c r="K4871" s="39">
        <f>SUMIFS(pg_transaction_cleaned!$H:$H,pg_transaction_cleaned!$O:$O,A4871,pg_transaction_cleaned!$F:$F,"CAPTURE")</f>
        <v>2499</v>
      </c>
      <c r="L4871" s="23">
        <f>COUNTIFS(pg_transaction_cleaned!$O:$O,A4871,pg_transaction_cleaned!$F:$F,"REFUND")</f>
        <v>0</v>
      </c>
      <c r="M4871" s="39">
        <f>SUMIFS(pg_transaction_cleaned!$H:$H,pg_transaction_cleaned!$O:$O,A4871,pg_transaction_cleaned!$F:$F,"REFUND")</f>
        <v>0</v>
      </c>
      <c r="N4871" s="23" t="str">
        <f t="shared" si="306"/>
        <v>OK</v>
      </c>
      <c r="O4871" s="24">
        <f t="shared" si="307"/>
        <v>0</v>
      </c>
    </row>
    <row r="4872" spans="1:15" ht="15" customHeight="1" x14ac:dyDescent="0.3">
      <c r="A4872" s="23" t="s">
        <v>10200</v>
      </c>
      <c r="B4872" s="38">
        <v>46276</v>
      </c>
      <c r="C4872" s="23" t="s">
        <v>10201</v>
      </c>
      <c r="D4872" s="23" t="s">
        <v>88</v>
      </c>
      <c r="E4872" s="23" t="s">
        <v>81</v>
      </c>
      <c r="F4872" s="23" t="s">
        <v>396</v>
      </c>
      <c r="G4872" s="23" t="s">
        <v>250</v>
      </c>
      <c r="H4872" s="39">
        <f t="shared" si="304"/>
        <v>2999</v>
      </c>
      <c r="I4872" s="23" t="str">
        <f t="shared" si="305"/>
        <v>Lucknow</v>
      </c>
      <c r="J4872" s="23">
        <f>COUNTIFS(pg_transaction_cleaned!$O:$O,A4872,pg_transaction_cleaned!$F:$F,"CAPTURE")</f>
        <v>1</v>
      </c>
      <c r="K4872" s="39">
        <f>SUMIFS(pg_transaction_cleaned!$H:$H,pg_transaction_cleaned!$O:$O,A4872,pg_transaction_cleaned!$F:$F,"CAPTURE")</f>
        <v>2999</v>
      </c>
      <c r="L4872" s="23">
        <f>COUNTIFS(pg_transaction_cleaned!$O:$O,A4872,pg_transaction_cleaned!$F:$F,"REFUND")</f>
        <v>0</v>
      </c>
      <c r="M4872" s="39">
        <f>SUMIFS(pg_transaction_cleaned!$H:$H,pg_transaction_cleaned!$O:$O,A4872,pg_transaction_cleaned!$F:$F,"REFUND")</f>
        <v>0</v>
      </c>
      <c r="N4872" s="23" t="str">
        <f t="shared" si="306"/>
        <v>OK</v>
      </c>
      <c r="O4872" s="24">
        <f t="shared" si="307"/>
        <v>0</v>
      </c>
    </row>
    <row r="4873" spans="1:15" ht="15" customHeight="1" x14ac:dyDescent="0.3">
      <c r="A4873" s="23" t="s">
        <v>10202</v>
      </c>
      <c r="B4873" s="38">
        <v>46288</v>
      </c>
      <c r="C4873" s="23" t="s">
        <v>10203</v>
      </c>
      <c r="D4873" s="23" t="s">
        <v>86</v>
      </c>
      <c r="E4873" s="23" t="s">
        <v>75</v>
      </c>
      <c r="F4873" s="23" t="s">
        <v>724</v>
      </c>
      <c r="G4873" s="23" t="s">
        <v>250</v>
      </c>
      <c r="H4873" s="39">
        <f t="shared" si="304"/>
        <v>3848</v>
      </c>
      <c r="I4873" s="23" t="str">
        <f t="shared" si="305"/>
        <v>Delhi</v>
      </c>
      <c r="J4873" s="23">
        <f>COUNTIFS(pg_transaction_cleaned!$O:$O,A4873,pg_transaction_cleaned!$F:$F,"CAPTURE")</f>
        <v>1</v>
      </c>
      <c r="K4873" s="39">
        <f>SUMIFS(pg_transaction_cleaned!$H:$H,pg_transaction_cleaned!$O:$O,A4873,pg_transaction_cleaned!$F:$F,"CAPTURE")</f>
        <v>3848</v>
      </c>
      <c r="L4873" s="23">
        <f>COUNTIFS(pg_transaction_cleaned!$O:$O,A4873,pg_transaction_cleaned!$F:$F,"REFUND")</f>
        <v>0</v>
      </c>
      <c r="M4873" s="39">
        <f>SUMIFS(pg_transaction_cleaned!$H:$H,pg_transaction_cleaned!$O:$O,A4873,pg_transaction_cleaned!$F:$F,"REFUND")</f>
        <v>0</v>
      </c>
      <c r="N4873" s="23" t="str">
        <f t="shared" si="306"/>
        <v>OK</v>
      </c>
      <c r="O4873" s="24">
        <f t="shared" si="307"/>
        <v>0</v>
      </c>
    </row>
    <row r="4874" spans="1:15" ht="15" customHeight="1" x14ac:dyDescent="0.3">
      <c r="A4874" s="23" t="s">
        <v>10204</v>
      </c>
      <c r="B4874" s="38">
        <v>46288</v>
      </c>
      <c r="C4874" s="23" t="s">
        <v>10205</v>
      </c>
      <c r="D4874" s="23" t="s">
        <v>86</v>
      </c>
      <c r="E4874" s="23" t="s">
        <v>75</v>
      </c>
      <c r="F4874" s="23" t="s">
        <v>265</v>
      </c>
      <c r="G4874" s="23" t="s">
        <v>250</v>
      </c>
      <c r="H4874" s="39">
        <f t="shared" si="304"/>
        <v>999</v>
      </c>
      <c r="I4874" s="23" t="str">
        <f t="shared" si="305"/>
        <v>Delhi</v>
      </c>
      <c r="J4874" s="23">
        <f>COUNTIFS(pg_transaction_cleaned!$O:$O,A4874,pg_transaction_cleaned!$F:$F,"CAPTURE")</f>
        <v>1</v>
      </c>
      <c r="K4874" s="39">
        <f>SUMIFS(pg_transaction_cleaned!$H:$H,pg_transaction_cleaned!$O:$O,A4874,pg_transaction_cleaned!$F:$F,"CAPTURE")</f>
        <v>999</v>
      </c>
      <c r="L4874" s="23">
        <f>COUNTIFS(pg_transaction_cleaned!$O:$O,A4874,pg_transaction_cleaned!$F:$F,"REFUND")</f>
        <v>0</v>
      </c>
      <c r="M4874" s="39">
        <f>SUMIFS(pg_transaction_cleaned!$H:$H,pg_transaction_cleaned!$O:$O,A4874,pg_transaction_cleaned!$F:$F,"REFUND")</f>
        <v>0</v>
      </c>
      <c r="N4874" s="23" t="str">
        <f t="shared" si="306"/>
        <v>OK</v>
      </c>
      <c r="O4874" s="24">
        <f t="shared" si="307"/>
        <v>0</v>
      </c>
    </row>
    <row r="4875" spans="1:15" ht="15" customHeight="1" x14ac:dyDescent="0.3">
      <c r="A4875" s="23" t="s">
        <v>10206</v>
      </c>
      <c r="B4875" s="38">
        <v>46287</v>
      </c>
      <c r="C4875" s="23" t="s">
        <v>2312</v>
      </c>
      <c r="D4875" s="23" t="s">
        <v>90</v>
      </c>
      <c r="E4875" s="23" t="s">
        <v>75</v>
      </c>
      <c r="F4875" s="23" t="s">
        <v>582</v>
      </c>
      <c r="G4875" s="23" t="s">
        <v>250</v>
      </c>
      <c r="H4875" s="39">
        <f t="shared" si="304"/>
        <v>1298</v>
      </c>
      <c r="I4875" s="23" t="str">
        <f t="shared" si="305"/>
        <v>Ahmedabad</v>
      </c>
      <c r="J4875" s="23">
        <f>COUNTIFS(pg_transaction_cleaned!$O:$O,A4875,pg_transaction_cleaned!$F:$F,"CAPTURE")</f>
        <v>1</v>
      </c>
      <c r="K4875" s="39">
        <f>SUMIFS(pg_transaction_cleaned!$H:$H,pg_transaction_cleaned!$O:$O,A4875,pg_transaction_cleaned!$F:$F,"CAPTURE")</f>
        <v>1298</v>
      </c>
      <c r="L4875" s="23">
        <f>COUNTIFS(pg_transaction_cleaned!$O:$O,A4875,pg_transaction_cleaned!$F:$F,"REFUND")</f>
        <v>0</v>
      </c>
      <c r="M4875" s="39">
        <f>SUMIFS(pg_transaction_cleaned!$H:$H,pg_transaction_cleaned!$O:$O,A4875,pg_transaction_cleaned!$F:$F,"REFUND")</f>
        <v>0</v>
      </c>
      <c r="N4875" s="23" t="str">
        <f t="shared" si="306"/>
        <v>OK</v>
      </c>
      <c r="O4875" s="24">
        <f t="shared" si="307"/>
        <v>0</v>
      </c>
    </row>
    <row r="4876" spans="1:15" ht="15" customHeight="1" x14ac:dyDescent="0.3">
      <c r="A4876" s="23" t="s">
        <v>10207</v>
      </c>
      <c r="B4876" s="38">
        <v>46286</v>
      </c>
      <c r="C4876" s="23" t="s">
        <v>10208</v>
      </c>
      <c r="D4876" s="23" t="s">
        <v>92</v>
      </c>
      <c r="E4876" s="23" t="s">
        <v>75</v>
      </c>
      <c r="F4876" s="23" t="s">
        <v>329</v>
      </c>
      <c r="G4876" s="23" t="s">
        <v>250</v>
      </c>
      <c r="H4876" s="39">
        <f t="shared" si="304"/>
        <v>599</v>
      </c>
      <c r="I4876" s="23" t="str">
        <f t="shared" si="305"/>
        <v>Hyderabad</v>
      </c>
      <c r="J4876" s="23">
        <f>COUNTIFS(pg_transaction_cleaned!$O:$O,A4876,pg_transaction_cleaned!$F:$F,"CAPTURE")</f>
        <v>1</v>
      </c>
      <c r="K4876" s="39">
        <f>SUMIFS(pg_transaction_cleaned!$H:$H,pg_transaction_cleaned!$O:$O,A4876,pg_transaction_cleaned!$F:$F,"CAPTURE")</f>
        <v>599</v>
      </c>
      <c r="L4876" s="23">
        <f>COUNTIFS(pg_transaction_cleaned!$O:$O,A4876,pg_transaction_cleaned!$F:$F,"REFUND")</f>
        <v>0</v>
      </c>
      <c r="M4876" s="39">
        <f>SUMIFS(pg_transaction_cleaned!$H:$H,pg_transaction_cleaned!$O:$O,A4876,pg_transaction_cleaned!$F:$F,"REFUND")</f>
        <v>0</v>
      </c>
      <c r="N4876" s="23" t="str">
        <f t="shared" si="306"/>
        <v>OK</v>
      </c>
      <c r="O4876" s="24">
        <f t="shared" si="307"/>
        <v>0</v>
      </c>
    </row>
    <row r="4877" spans="1:15" ht="15" customHeight="1" x14ac:dyDescent="0.3">
      <c r="A4877" s="23" t="s">
        <v>10209</v>
      </c>
      <c r="B4877" s="38">
        <v>46281</v>
      </c>
      <c r="C4877" s="23" t="s">
        <v>10210</v>
      </c>
      <c r="D4877" s="23" t="s">
        <v>94</v>
      </c>
      <c r="E4877" s="23" t="s">
        <v>79</v>
      </c>
      <c r="F4877" s="23" t="s">
        <v>10211</v>
      </c>
      <c r="G4877" s="23" t="s">
        <v>250</v>
      </c>
      <c r="H4877" s="39">
        <f t="shared" si="304"/>
        <v>1498</v>
      </c>
      <c r="I4877" s="23" t="str">
        <f t="shared" si="305"/>
        <v>Chennai</v>
      </c>
      <c r="J4877" s="23">
        <f>COUNTIFS(pg_transaction_cleaned!$O:$O,A4877,pg_transaction_cleaned!$F:$F,"CAPTURE")</f>
        <v>1</v>
      </c>
      <c r="K4877" s="39">
        <f>SUMIFS(pg_transaction_cleaned!$H:$H,pg_transaction_cleaned!$O:$O,A4877,pg_transaction_cleaned!$F:$F,"CAPTURE")</f>
        <v>1498</v>
      </c>
      <c r="L4877" s="23">
        <f>COUNTIFS(pg_transaction_cleaned!$O:$O,A4877,pg_transaction_cleaned!$F:$F,"REFUND")</f>
        <v>0</v>
      </c>
      <c r="M4877" s="39">
        <f>SUMIFS(pg_transaction_cleaned!$H:$H,pg_transaction_cleaned!$O:$O,A4877,pg_transaction_cleaned!$F:$F,"REFUND")</f>
        <v>0</v>
      </c>
      <c r="N4877" s="23" t="str">
        <f t="shared" si="306"/>
        <v>OK</v>
      </c>
      <c r="O4877" s="24">
        <f t="shared" si="307"/>
        <v>0</v>
      </c>
    </row>
    <row r="4878" spans="1:15" ht="15" customHeight="1" x14ac:dyDescent="0.3">
      <c r="A4878" s="23" t="s">
        <v>10212</v>
      </c>
      <c r="B4878" s="38">
        <v>46267</v>
      </c>
      <c r="C4878" s="23" t="s">
        <v>10213</v>
      </c>
      <c r="D4878" s="23" t="s">
        <v>94</v>
      </c>
      <c r="E4878" s="23" t="s">
        <v>75</v>
      </c>
      <c r="F4878" s="23" t="s">
        <v>274</v>
      </c>
      <c r="G4878" s="23" t="s">
        <v>250</v>
      </c>
      <c r="H4878" s="39">
        <f t="shared" si="304"/>
        <v>349</v>
      </c>
      <c r="I4878" s="23" t="str">
        <f t="shared" si="305"/>
        <v>Chennai</v>
      </c>
      <c r="J4878" s="23">
        <f>COUNTIFS(pg_transaction_cleaned!$O:$O,A4878,pg_transaction_cleaned!$F:$F,"CAPTURE")</f>
        <v>1</v>
      </c>
      <c r="K4878" s="39">
        <f>SUMIFS(pg_transaction_cleaned!$H:$H,pg_transaction_cleaned!$O:$O,A4878,pg_transaction_cleaned!$F:$F,"CAPTURE")</f>
        <v>349</v>
      </c>
      <c r="L4878" s="23">
        <f>COUNTIFS(pg_transaction_cleaned!$O:$O,A4878,pg_transaction_cleaned!$F:$F,"REFUND")</f>
        <v>0</v>
      </c>
      <c r="M4878" s="39">
        <f>SUMIFS(pg_transaction_cleaned!$H:$H,pg_transaction_cleaned!$O:$O,A4878,pg_transaction_cleaned!$F:$F,"REFUND")</f>
        <v>0</v>
      </c>
      <c r="N4878" s="23" t="str">
        <f t="shared" si="306"/>
        <v>OK</v>
      </c>
      <c r="O4878" s="24">
        <f t="shared" si="307"/>
        <v>0</v>
      </c>
    </row>
    <row r="4879" spans="1:15" ht="15" customHeight="1" x14ac:dyDescent="0.3">
      <c r="A4879" s="23" t="s">
        <v>10214</v>
      </c>
      <c r="B4879" s="38">
        <v>46276</v>
      </c>
      <c r="C4879" s="23" t="s">
        <v>10215</v>
      </c>
      <c r="D4879" s="23" t="s">
        <v>89</v>
      </c>
      <c r="E4879" s="23" t="s">
        <v>75</v>
      </c>
      <c r="F4879" s="23" t="s">
        <v>288</v>
      </c>
      <c r="G4879" s="23" t="s">
        <v>250</v>
      </c>
      <c r="H4879" s="39">
        <f t="shared" si="304"/>
        <v>4298</v>
      </c>
      <c r="I4879" s="23" t="str">
        <f t="shared" si="305"/>
        <v>Jaipur</v>
      </c>
      <c r="J4879" s="23">
        <f>COUNTIFS(pg_transaction_cleaned!$O:$O,A4879,pg_transaction_cleaned!$F:$F,"CAPTURE")</f>
        <v>1</v>
      </c>
      <c r="K4879" s="39">
        <f>SUMIFS(pg_transaction_cleaned!$H:$H,pg_transaction_cleaned!$O:$O,A4879,pg_transaction_cleaned!$F:$F,"CAPTURE")</f>
        <v>4298</v>
      </c>
      <c r="L4879" s="23">
        <f>COUNTIFS(pg_transaction_cleaned!$O:$O,A4879,pg_transaction_cleaned!$F:$F,"REFUND")</f>
        <v>0</v>
      </c>
      <c r="M4879" s="39">
        <f>SUMIFS(pg_transaction_cleaned!$H:$H,pg_transaction_cleaned!$O:$O,A4879,pg_transaction_cleaned!$F:$F,"REFUND")</f>
        <v>0</v>
      </c>
      <c r="N4879" s="23" t="str">
        <f t="shared" si="306"/>
        <v>OK</v>
      </c>
      <c r="O4879" s="24">
        <f t="shared" si="307"/>
        <v>0</v>
      </c>
    </row>
    <row r="4880" spans="1:15" ht="15" customHeight="1" x14ac:dyDescent="0.3">
      <c r="A4880" s="23" t="s">
        <v>10216</v>
      </c>
      <c r="B4880" s="38">
        <v>46283</v>
      </c>
      <c r="C4880" s="23" t="s">
        <v>10217</v>
      </c>
      <c r="D4880" s="23" t="s">
        <v>92</v>
      </c>
      <c r="E4880" s="23" t="s">
        <v>75</v>
      </c>
      <c r="F4880" s="23" t="s">
        <v>268</v>
      </c>
      <c r="G4880" s="23" t="s">
        <v>250</v>
      </c>
      <c r="H4880" s="39">
        <f t="shared" si="304"/>
        <v>1299</v>
      </c>
      <c r="I4880" s="23" t="str">
        <f t="shared" si="305"/>
        <v>Hyderabad</v>
      </c>
      <c r="J4880" s="23">
        <f>COUNTIFS(pg_transaction_cleaned!$O:$O,A4880,pg_transaction_cleaned!$F:$F,"CAPTURE")</f>
        <v>1</v>
      </c>
      <c r="K4880" s="39">
        <f>SUMIFS(pg_transaction_cleaned!$H:$H,pg_transaction_cleaned!$O:$O,A4880,pg_transaction_cleaned!$F:$F,"CAPTURE")</f>
        <v>1299</v>
      </c>
      <c r="L4880" s="23">
        <f>COUNTIFS(pg_transaction_cleaned!$O:$O,A4880,pg_transaction_cleaned!$F:$F,"REFUND")</f>
        <v>0</v>
      </c>
      <c r="M4880" s="39">
        <f>SUMIFS(pg_transaction_cleaned!$H:$H,pg_transaction_cleaned!$O:$O,A4880,pg_transaction_cleaned!$F:$F,"REFUND")</f>
        <v>0</v>
      </c>
      <c r="N4880" s="23" t="str">
        <f t="shared" si="306"/>
        <v>OK</v>
      </c>
      <c r="O4880" s="24">
        <f t="shared" si="307"/>
        <v>0</v>
      </c>
    </row>
    <row r="4881" spans="1:15" ht="15" customHeight="1" x14ac:dyDescent="0.3">
      <c r="A4881" s="23" t="s">
        <v>10218</v>
      </c>
      <c r="B4881" s="38">
        <v>46283</v>
      </c>
      <c r="C4881" s="23" t="s">
        <v>10219</v>
      </c>
      <c r="D4881" s="23" t="s">
        <v>89</v>
      </c>
      <c r="E4881" s="23" t="s">
        <v>77</v>
      </c>
      <c r="F4881" s="23" t="s">
        <v>1367</v>
      </c>
      <c r="G4881" s="23" t="s">
        <v>250</v>
      </c>
      <c r="H4881" s="39">
        <f t="shared" si="304"/>
        <v>898</v>
      </c>
      <c r="I4881" s="23" t="str">
        <f t="shared" si="305"/>
        <v>Jaipur</v>
      </c>
      <c r="J4881" s="23">
        <f>COUNTIFS(pg_transaction_cleaned!$O:$O,A4881,pg_transaction_cleaned!$F:$F,"CAPTURE")</f>
        <v>1</v>
      </c>
      <c r="K4881" s="39">
        <f>SUMIFS(pg_transaction_cleaned!$H:$H,pg_transaction_cleaned!$O:$O,A4881,pg_transaction_cleaned!$F:$F,"CAPTURE")</f>
        <v>898</v>
      </c>
      <c r="L4881" s="23">
        <f>COUNTIFS(pg_transaction_cleaned!$O:$O,A4881,pg_transaction_cleaned!$F:$F,"REFUND")</f>
        <v>0</v>
      </c>
      <c r="M4881" s="39">
        <f>SUMIFS(pg_transaction_cleaned!$H:$H,pg_transaction_cleaned!$O:$O,A4881,pg_transaction_cleaned!$F:$F,"REFUND")</f>
        <v>0</v>
      </c>
      <c r="N4881" s="23" t="str">
        <f t="shared" si="306"/>
        <v>OK</v>
      </c>
      <c r="O4881" s="24">
        <f t="shared" si="307"/>
        <v>0</v>
      </c>
    </row>
    <row r="4882" spans="1:15" ht="15" customHeight="1" x14ac:dyDescent="0.3">
      <c r="A4882" s="23" t="s">
        <v>10220</v>
      </c>
      <c r="B4882" s="38">
        <v>46294</v>
      </c>
      <c r="C4882" s="23" t="s">
        <v>10221</v>
      </c>
      <c r="D4882" s="23" t="s">
        <v>93</v>
      </c>
      <c r="E4882" s="23" t="s">
        <v>75</v>
      </c>
      <c r="F4882" s="23" t="s">
        <v>307</v>
      </c>
      <c r="G4882" s="23" t="s">
        <v>250</v>
      </c>
      <c r="H4882" s="39">
        <f t="shared" si="304"/>
        <v>3798</v>
      </c>
      <c r="I4882" s="23" t="str">
        <f t="shared" si="305"/>
        <v>Kolkata</v>
      </c>
      <c r="J4882" s="23">
        <f>COUNTIFS(pg_transaction_cleaned!$O:$O,A4882,pg_transaction_cleaned!$F:$F,"CAPTURE")</f>
        <v>1</v>
      </c>
      <c r="K4882" s="39">
        <f>SUMIFS(pg_transaction_cleaned!$H:$H,pg_transaction_cleaned!$O:$O,A4882,pg_transaction_cleaned!$F:$F,"CAPTURE")</f>
        <v>3798</v>
      </c>
      <c r="L4882" s="23">
        <f>COUNTIFS(pg_transaction_cleaned!$O:$O,A4882,pg_transaction_cleaned!$F:$F,"REFUND")</f>
        <v>0</v>
      </c>
      <c r="M4882" s="39">
        <f>SUMIFS(pg_transaction_cleaned!$H:$H,pg_transaction_cleaned!$O:$O,A4882,pg_transaction_cleaned!$F:$F,"REFUND")</f>
        <v>0</v>
      </c>
      <c r="N4882" s="23" t="str">
        <f t="shared" si="306"/>
        <v>OK</v>
      </c>
      <c r="O4882" s="24">
        <f t="shared" si="307"/>
        <v>0</v>
      </c>
    </row>
    <row r="4883" spans="1:15" ht="15" customHeight="1" x14ac:dyDescent="0.3">
      <c r="A4883" s="23" t="s">
        <v>10222</v>
      </c>
      <c r="B4883" s="38">
        <v>46268</v>
      </c>
      <c r="C4883" s="23" t="s">
        <v>10223</v>
      </c>
      <c r="D4883" s="23" t="s">
        <v>94</v>
      </c>
      <c r="E4883" s="23" t="s">
        <v>75</v>
      </c>
      <c r="F4883" s="23" t="s">
        <v>310</v>
      </c>
      <c r="G4883" s="23" t="s">
        <v>365</v>
      </c>
      <c r="H4883" s="39">
        <f t="shared" si="304"/>
        <v>7999</v>
      </c>
      <c r="I4883" s="23" t="str">
        <f t="shared" si="305"/>
        <v>Chennai</v>
      </c>
      <c r="J4883" s="23">
        <f>COUNTIFS(pg_transaction_cleaned!$O:$O,A4883,pg_transaction_cleaned!$F:$F,"CAPTURE")</f>
        <v>0</v>
      </c>
      <c r="K4883" s="39">
        <f>SUMIFS(pg_transaction_cleaned!$H:$H,pg_transaction_cleaned!$O:$O,A4883,pg_transaction_cleaned!$F:$F,"CAPTURE")</f>
        <v>0</v>
      </c>
      <c r="L4883" s="23">
        <f>COUNTIFS(pg_transaction_cleaned!$O:$O,A4883,pg_transaction_cleaned!$F:$F,"REFUND")</f>
        <v>0</v>
      </c>
      <c r="M4883" s="39">
        <f>SUMIFS(pg_transaction_cleaned!$H:$H,pg_transaction_cleaned!$O:$O,A4883,pg_transaction_cleaned!$F:$F,"REFUND")</f>
        <v>0</v>
      </c>
      <c r="N4883" s="23" t="str">
        <f t="shared" si="306"/>
        <v>OK</v>
      </c>
      <c r="O4883" s="24">
        <f t="shared" si="307"/>
        <v>0</v>
      </c>
    </row>
    <row r="4884" spans="1:15" ht="15" customHeight="1" x14ac:dyDescent="0.3">
      <c r="A4884" s="23" t="s">
        <v>10224</v>
      </c>
      <c r="B4884" s="38">
        <v>46288</v>
      </c>
      <c r="C4884" s="23" t="s">
        <v>10225</v>
      </c>
      <c r="D4884" s="23" t="s">
        <v>88</v>
      </c>
      <c r="E4884" s="23" t="s">
        <v>79</v>
      </c>
      <c r="F4884" s="23" t="s">
        <v>291</v>
      </c>
      <c r="G4884" s="23" t="s">
        <v>250</v>
      </c>
      <c r="H4884" s="39">
        <f t="shared" si="304"/>
        <v>3499</v>
      </c>
      <c r="I4884" s="23" t="str">
        <f t="shared" si="305"/>
        <v>Lucknow</v>
      </c>
      <c r="J4884" s="23">
        <f>COUNTIFS(pg_transaction_cleaned!$O:$O,A4884,pg_transaction_cleaned!$F:$F,"CAPTURE")</f>
        <v>1</v>
      </c>
      <c r="K4884" s="39">
        <f>SUMIFS(pg_transaction_cleaned!$H:$H,pg_transaction_cleaned!$O:$O,A4884,pg_transaction_cleaned!$F:$F,"CAPTURE")</f>
        <v>3499</v>
      </c>
      <c r="L4884" s="23">
        <f>COUNTIFS(pg_transaction_cleaned!$O:$O,A4884,pg_transaction_cleaned!$F:$F,"REFUND")</f>
        <v>0</v>
      </c>
      <c r="M4884" s="39">
        <f>SUMIFS(pg_transaction_cleaned!$H:$H,pg_transaction_cleaned!$O:$O,A4884,pg_transaction_cleaned!$F:$F,"REFUND")</f>
        <v>0</v>
      </c>
      <c r="N4884" s="23" t="str">
        <f t="shared" si="306"/>
        <v>OK</v>
      </c>
      <c r="O4884" s="24">
        <f t="shared" si="307"/>
        <v>0</v>
      </c>
    </row>
    <row r="4885" spans="1:15" ht="15" customHeight="1" x14ac:dyDescent="0.3">
      <c r="A4885" s="23" t="s">
        <v>10226</v>
      </c>
      <c r="B4885" s="38">
        <v>46294</v>
      </c>
      <c r="C4885" s="23" t="s">
        <v>10227</v>
      </c>
      <c r="D4885" s="23" t="s">
        <v>93</v>
      </c>
      <c r="E4885" s="23" t="s">
        <v>79</v>
      </c>
      <c r="F4885" s="23" t="s">
        <v>249</v>
      </c>
      <c r="G4885" s="23" t="s">
        <v>250</v>
      </c>
      <c r="H4885" s="39">
        <f t="shared" si="304"/>
        <v>299</v>
      </c>
      <c r="I4885" s="23" t="str">
        <f t="shared" si="305"/>
        <v>Kolkata</v>
      </c>
      <c r="J4885" s="23">
        <f>COUNTIFS(pg_transaction_cleaned!$O:$O,A4885,pg_transaction_cleaned!$F:$F,"CAPTURE")</f>
        <v>1</v>
      </c>
      <c r="K4885" s="39">
        <f>SUMIFS(pg_transaction_cleaned!$H:$H,pg_transaction_cleaned!$O:$O,A4885,pg_transaction_cleaned!$F:$F,"CAPTURE")</f>
        <v>299</v>
      </c>
      <c r="L4885" s="23">
        <f>COUNTIFS(pg_transaction_cleaned!$O:$O,A4885,pg_transaction_cleaned!$F:$F,"REFUND")</f>
        <v>0</v>
      </c>
      <c r="M4885" s="39">
        <f>SUMIFS(pg_transaction_cleaned!$H:$H,pg_transaction_cleaned!$O:$O,A4885,pg_transaction_cleaned!$F:$F,"REFUND")</f>
        <v>0</v>
      </c>
      <c r="N4885" s="23" t="str">
        <f t="shared" si="306"/>
        <v>OK</v>
      </c>
      <c r="O4885" s="24">
        <f t="shared" si="307"/>
        <v>0</v>
      </c>
    </row>
    <row r="4886" spans="1:15" ht="15" customHeight="1" x14ac:dyDescent="0.3">
      <c r="A4886" s="23" t="s">
        <v>10228</v>
      </c>
      <c r="B4886" s="38">
        <v>46280</v>
      </c>
      <c r="C4886" s="23" t="s">
        <v>10229</v>
      </c>
      <c r="D4886" s="23" t="s">
        <v>91</v>
      </c>
      <c r="E4886" s="23" t="s">
        <v>79</v>
      </c>
      <c r="F4886" s="23" t="s">
        <v>315</v>
      </c>
      <c r="G4886" s="23" t="s">
        <v>250</v>
      </c>
      <c r="H4886" s="39">
        <f t="shared" si="304"/>
        <v>1499</v>
      </c>
      <c r="I4886" s="23" t="str">
        <f t="shared" si="305"/>
        <v>Pune</v>
      </c>
      <c r="J4886" s="23">
        <f>COUNTIFS(pg_transaction_cleaned!$O:$O,A4886,pg_transaction_cleaned!$F:$F,"CAPTURE")</f>
        <v>1</v>
      </c>
      <c r="K4886" s="39">
        <f>SUMIFS(pg_transaction_cleaned!$H:$H,pg_transaction_cleaned!$O:$O,A4886,pg_transaction_cleaned!$F:$F,"CAPTURE")</f>
        <v>1499</v>
      </c>
      <c r="L4886" s="23">
        <f>COUNTIFS(pg_transaction_cleaned!$O:$O,A4886,pg_transaction_cleaned!$F:$F,"REFUND")</f>
        <v>0</v>
      </c>
      <c r="M4886" s="39">
        <f>SUMIFS(pg_transaction_cleaned!$H:$H,pg_transaction_cleaned!$O:$O,A4886,pg_transaction_cleaned!$F:$F,"REFUND")</f>
        <v>0</v>
      </c>
      <c r="N4886" s="23" t="str">
        <f t="shared" si="306"/>
        <v>OK</v>
      </c>
      <c r="O4886" s="24">
        <f t="shared" si="307"/>
        <v>0</v>
      </c>
    </row>
    <row r="4887" spans="1:15" ht="15" customHeight="1" x14ac:dyDescent="0.3">
      <c r="A4887" s="23" t="s">
        <v>10230</v>
      </c>
      <c r="B4887" s="38">
        <v>46287</v>
      </c>
      <c r="C4887" s="23" t="s">
        <v>10231</v>
      </c>
      <c r="D4887" s="23" t="s">
        <v>95</v>
      </c>
      <c r="E4887" s="23" t="s">
        <v>79</v>
      </c>
      <c r="F4887" s="23" t="s">
        <v>775</v>
      </c>
      <c r="G4887" s="23" t="s">
        <v>250</v>
      </c>
      <c r="H4887" s="39">
        <f t="shared" si="304"/>
        <v>4999</v>
      </c>
      <c r="I4887" s="23" t="str">
        <f t="shared" si="305"/>
        <v>Bengaluru</v>
      </c>
      <c r="J4887" s="23">
        <f>COUNTIFS(pg_transaction_cleaned!$O:$O,A4887,pg_transaction_cleaned!$F:$F,"CAPTURE")</f>
        <v>1</v>
      </c>
      <c r="K4887" s="39">
        <f>SUMIFS(pg_transaction_cleaned!$H:$H,pg_transaction_cleaned!$O:$O,A4887,pg_transaction_cleaned!$F:$F,"CAPTURE")</f>
        <v>4999</v>
      </c>
      <c r="L4887" s="23">
        <f>COUNTIFS(pg_transaction_cleaned!$O:$O,A4887,pg_transaction_cleaned!$F:$F,"REFUND")</f>
        <v>0</v>
      </c>
      <c r="M4887" s="39">
        <f>SUMIFS(pg_transaction_cleaned!$H:$H,pg_transaction_cleaned!$O:$O,A4887,pg_transaction_cleaned!$F:$F,"REFUND")</f>
        <v>0</v>
      </c>
      <c r="N4887" s="23" t="str">
        <f t="shared" si="306"/>
        <v>OK</v>
      </c>
      <c r="O4887" s="24">
        <f t="shared" si="307"/>
        <v>0</v>
      </c>
    </row>
    <row r="4888" spans="1:15" ht="15" customHeight="1" x14ac:dyDescent="0.3">
      <c r="A4888" s="23" t="s">
        <v>10232</v>
      </c>
      <c r="B4888" s="38">
        <v>46266</v>
      </c>
      <c r="C4888" s="23" t="s">
        <v>10233</v>
      </c>
      <c r="D4888" s="23" t="s">
        <v>92</v>
      </c>
      <c r="E4888" s="23" t="s">
        <v>77</v>
      </c>
      <c r="F4888" s="23" t="s">
        <v>2304</v>
      </c>
      <c r="G4888" s="23" t="s">
        <v>250</v>
      </c>
      <c r="H4888" s="39">
        <f t="shared" si="304"/>
        <v>6797</v>
      </c>
      <c r="I4888" s="23" t="str">
        <f t="shared" si="305"/>
        <v>Hyderabad</v>
      </c>
      <c r="J4888" s="23">
        <f>COUNTIFS(pg_transaction_cleaned!$O:$O,A4888,pg_transaction_cleaned!$F:$F,"CAPTURE")</f>
        <v>1</v>
      </c>
      <c r="K4888" s="39">
        <f>SUMIFS(pg_transaction_cleaned!$H:$H,pg_transaction_cleaned!$O:$O,A4888,pg_transaction_cleaned!$F:$F,"CAPTURE")</f>
        <v>6797</v>
      </c>
      <c r="L4888" s="23">
        <f>COUNTIFS(pg_transaction_cleaned!$O:$O,A4888,pg_transaction_cleaned!$F:$F,"REFUND")</f>
        <v>0</v>
      </c>
      <c r="M4888" s="39">
        <f>SUMIFS(pg_transaction_cleaned!$H:$H,pg_transaction_cleaned!$O:$O,A4888,pg_transaction_cleaned!$F:$F,"REFUND")</f>
        <v>0</v>
      </c>
      <c r="N4888" s="23" t="str">
        <f t="shared" si="306"/>
        <v>OK</v>
      </c>
      <c r="O4888" s="24">
        <f t="shared" si="307"/>
        <v>0</v>
      </c>
    </row>
    <row r="4889" spans="1:15" ht="15" customHeight="1" x14ac:dyDescent="0.3">
      <c r="A4889" s="23" t="s">
        <v>10234</v>
      </c>
      <c r="B4889" s="38">
        <v>46276</v>
      </c>
      <c r="C4889" s="23" t="s">
        <v>3642</v>
      </c>
      <c r="D4889" s="23" t="s">
        <v>89</v>
      </c>
      <c r="E4889" s="23" t="s">
        <v>79</v>
      </c>
      <c r="F4889" s="23" t="s">
        <v>3224</v>
      </c>
      <c r="G4889" s="23" t="s">
        <v>250</v>
      </c>
      <c r="H4889" s="39">
        <f t="shared" si="304"/>
        <v>1997</v>
      </c>
      <c r="I4889" s="23" t="str">
        <f t="shared" si="305"/>
        <v>Jaipur</v>
      </c>
      <c r="J4889" s="23">
        <f>COUNTIFS(pg_transaction_cleaned!$O:$O,A4889,pg_transaction_cleaned!$F:$F,"CAPTURE")</f>
        <v>1</v>
      </c>
      <c r="K4889" s="39">
        <f>SUMIFS(pg_transaction_cleaned!$H:$H,pg_transaction_cleaned!$O:$O,A4889,pg_transaction_cleaned!$F:$F,"CAPTURE")</f>
        <v>1997</v>
      </c>
      <c r="L4889" s="23">
        <f>COUNTIFS(pg_transaction_cleaned!$O:$O,A4889,pg_transaction_cleaned!$F:$F,"REFUND")</f>
        <v>0</v>
      </c>
      <c r="M4889" s="39">
        <f>SUMIFS(pg_transaction_cleaned!$H:$H,pg_transaction_cleaned!$O:$O,A4889,pg_transaction_cleaned!$F:$F,"REFUND")</f>
        <v>0</v>
      </c>
      <c r="N4889" s="23" t="str">
        <f t="shared" si="306"/>
        <v>OK</v>
      </c>
      <c r="O4889" s="24">
        <f t="shared" si="307"/>
        <v>0</v>
      </c>
    </row>
    <row r="4890" spans="1:15" ht="15" customHeight="1" x14ac:dyDescent="0.3">
      <c r="A4890" s="23" t="s">
        <v>10235</v>
      </c>
      <c r="B4890" s="38">
        <v>46284</v>
      </c>
      <c r="C4890" s="23" t="s">
        <v>10236</v>
      </c>
      <c r="D4890" s="23" t="s">
        <v>86</v>
      </c>
      <c r="E4890" s="23" t="s">
        <v>81</v>
      </c>
      <c r="F4890" s="23" t="s">
        <v>717</v>
      </c>
      <c r="G4890" s="23" t="s">
        <v>250</v>
      </c>
      <c r="H4890" s="39">
        <f t="shared" si="304"/>
        <v>5298</v>
      </c>
      <c r="I4890" s="23" t="str">
        <f t="shared" si="305"/>
        <v>Delhi</v>
      </c>
      <c r="J4890" s="23">
        <f>COUNTIFS(pg_transaction_cleaned!$O:$O,A4890,pg_transaction_cleaned!$F:$F,"CAPTURE")</f>
        <v>1</v>
      </c>
      <c r="K4890" s="39">
        <f>SUMIFS(pg_transaction_cleaned!$H:$H,pg_transaction_cleaned!$O:$O,A4890,pg_transaction_cleaned!$F:$F,"CAPTURE")</f>
        <v>5298</v>
      </c>
      <c r="L4890" s="23">
        <f>COUNTIFS(pg_transaction_cleaned!$O:$O,A4890,pg_transaction_cleaned!$F:$F,"REFUND")</f>
        <v>0</v>
      </c>
      <c r="M4890" s="39">
        <f>SUMIFS(pg_transaction_cleaned!$H:$H,pg_transaction_cleaned!$O:$O,A4890,pg_transaction_cleaned!$F:$F,"REFUND")</f>
        <v>0</v>
      </c>
      <c r="N4890" s="23" t="str">
        <f t="shared" si="306"/>
        <v>OK</v>
      </c>
      <c r="O4890" s="24">
        <f t="shared" si="307"/>
        <v>0</v>
      </c>
    </row>
    <row r="4891" spans="1:15" ht="15" customHeight="1" x14ac:dyDescent="0.3">
      <c r="A4891" s="23" t="s">
        <v>10237</v>
      </c>
      <c r="B4891" s="38">
        <v>46271</v>
      </c>
      <c r="C4891" s="23" t="s">
        <v>10238</v>
      </c>
      <c r="D4891" s="23" t="s">
        <v>88</v>
      </c>
      <c r="E4891" s="23" t="s">
        <v>75</v>
      </c>
      <c r="F4891" s="23" t="s">
        <v>297</v>
      </c>
      <c r="G4891" s="23" t="s">
        <v>250</v>
      </c>
      <c r="H4891" s="39">
        <f t="shared" si="304"/>
        <v>4999</v>
      </c>
      <c r="I4891" s="23" t="str">
        <f t="shared" si="305"/>
        <v>Lucknow</v>
      </c>
      <c r="J4891" s="23">
        <f>COUNTIFS(pg_transaction_cleaned!$O:$O,A4891,pg_transaction_cleaned!$F:$F,"CAPTURE")</f>
        <v>1</v>
      </c>
      <c r="K4891" s="39">
        <f>SUMIFS(pg_transaction_cleaned!$H:$H,pg_transaction_cleaned!$O:$O,A4891,pg_transaction_cleaned!$F:$F,"CAPTURE")</f>
        <v>4999</v>
      </c>
      <c r="L4891" s="23">
        <f>COUNTIFS(pg_transaction_cleaned!$O:$O,A4891,pg_transaction_cleaned!$F:$F,"REFUND")</f>
        <v>0</v>
      </c>
      <c r="M4891" s="39">
        <f>SUMIFS(pg_transaction_cleaned!$H:$H,pg_transaction_cleaned!$O:$O,A4891,pg_transaction_cleaned!$F:$F,"REFUND")</f>
        <v>0</v>
      </c>
      <c r="N4891" s="23" t="str">
        <f t="shared" si="306"/>
        <v>OK</v>
      </c>
      <c r="O4891" s="24">
        <f t="shared" si="307"/>
        <v>0</v>
      </c>
    </row>
    <row r="4892" spans="1:15" ht="15" customHeight="1" x14ac:dyDescent="0.3">
      <c r="A4892" s="23" t="s">
        <v>10239</v>
      </c>
      <c r="B4892" s="38">
        <v>46290</v>
      </c>
      <c r="C4892" s="23" t="s">
        <v>10240</v>
      </c>
      <c r="D4892" s="23" t="s">
        <v>93</v>
      </c>
      <c r="E4892" s="23" t="s">
        <v>75</v>
      </c>
      <c r="F4892" s="23" t="s">
        <v>1804</v>
      </c>
      <c r="G4892" s="23" t="s">
        <v>365</v>
      </c>
      <c r="H4892" s="39">
        <f t="shared" si="304"/>
        <v>598</v>
      </c>
      <c r="I4892" s="23" t="str">
        <f t="shared" si="305"/>
        <v>Kolkata</v>
      </c>
      <c r="J4892" s="23">
        <f>COUNTIFS(pg_transaction_cleaned!$O:$O,A4892,pg_transaction_cleaned!$F:$F,"CAPTURE")</f>
        <v>0</v>
      </c>
      <c r="K4892" s="39">
        <f>SUMIFS(pg_transaction_cleaned!$H:$H,pg_transaction_cleaned!$O:$O,A4892,pg_transaction_cleaned!$F:$F,"CAPTURE")</f>
        <v>0</v>
      </c>
      <c r="L4892" s="23">
        <f>COUNTIFS(pg_transaction_cleaned!$O:$O,A4892,pg_transaction_cleaned!$F:$F,"REFUND")</f>
        <v>0</v>
      </c>
      <c r="M4892" s="39">
        <f>SUMIFS(pg_transaction_cleaned!$H:$H,pg_transaction_cleaned!$O:$O,A4892,pg_transaction_cleaned!$F:$F,"REFUND")</f>
        <v>0</v>
      </c>
      <c r="N4892" s="23" t="str">
        <f t="shared" si="306"/>
        <v>OK</v>
      </c>
      <c r="O4892" s="24">
        <f t="shared" si="307"/>
        <v>0</v>
      </c>
    </row>
    <row r="4893" spans="1:15" ht="15" customHeight="1" x14ac:dyDescent="0.3">
      <c r="A4893" s="23" t="s">
        <v>10241</v>
      </c>
      <c r="B4893" s="38">
        <v>46287</v>
      </c>
      <c r="C4893" s="23" t="s">
        <v>10242</v>
      </c>
      <c r="D4893" s="23" t="s">
        <v>88</v>
      </c>
      <c r="E4893" s="23" t="s">
        <v>79</v>
      </c>
      <c r="F4893" s="23" t="s">
        <v>444</v>
      </c>
      <c r="G4893" s="23" t="s">
        <v>250</v>
      </c>
      <c r="H4893" s="39">
        <f t="shared" si="304"/>
        <v>3847</v>
      </c>
      <c r="I4893" s="23" t="str">
        <f t="shared" si="305"/>
        <v>Lucknow</v>
      </c>
      <c r="J4893" s="23">
        <f>COUNTIFS(pg_transaction_cleaned!$O:$O,A4893,pg_transaction_cleaned!$F:$F,"CAPTURE")</f>
        <v>1</v>
      </c>
      <c r="K4893" s="39">
        <f>SUMIFS(pg_transaction_cleaned!$H:$H,pg_transaction_cleaned!$O:$O,A4893,pg_transaction_cleaned!$F:$F,"CAPTURE")</f>
        <v>3847</v>
      </c>
      <c r="L4893" s="23">
        <f>COUNTIFS(pg_transaction_cleaned!$O:$O,A4893,pg_transaction_cleaned!$F:$F,"REFUND")</f>
        <v>0</v>
      </c>
      <c r="M4893" s="39">
        <f>SUMIFS(pg_transaction_cleaned!$H:$H,pg_transaction_cleaned!$O:$O,A4893,pg_transaction_cleaned!$F:$F,"REFUND")</f>
        <v>0</v>
      </c>
      <c r="N4893" s="23" t="str">
        <f t="shared" si="306"/>
        <v>OK</v>
      </c>
      <c r="O4893" s="24">
        <f t="shared" si="307"/>
        <v>0</v>
      </c>
    </row>
    <row r="4894" spans="1:15" ht="15" customHeight="1" x14ac:dyDescent="0.3">
      <c r="A4894" s="23" t="s">
        <v>10243</v>
      </c>
      <c r="B4894" s="38">
        <v>46285</v>
      </c>
      <c r="C4894" s="23" t="s">
        <v>10244</v>
      </c>
      <c r="D4894" s="23" t="s">
        <v>91</v>
      </c>
      <c r="E4894" s="23" t="s">
        <v>75</v>
      </c>
      <c r="F4894" s="23" t="s">
        <v>1103</v>
      </c>
      <c r="G4894" s="23" t="s">
        <v>301</v>
      </c>
      <c r="H4894" s="39">
        <f t="shared" si="304"/>
        <v>3897</v>
      </c>
      <c r="I4894" s="23" t="str">
        <f t="shared" si="305"/>
        <v>Pune</v>
      </c>
      <c r="J4894" s="23">
        <f>COUNTIFS(pg_transaction_cleaned!$O:$O,A4894,pg_transaction_cleaned!$F:$F,"CAPTURE")</f>
        <v>1</v>
      </c>
      <c r="K4894" s="39">
        <f>SUMIFS(pg_transaction_cleaned!$H:$H,pg_transaction_cleaned!$O:$O,A4894,pg_transaction_cleaned!$F:$F,"CAPTURE")</f>
        <v>3897</v>
      </c>
      <c r="L4894" s="23">
        <f>COUNTIFS(pg_transaction_cleaned!$O:$O,A4894,pg_transaction_cleaned!$F:$F,"REFUND")</f>
        <v>1</v>
      </c>
      <c r="M4894" s="39">
        <f>SUMIFS(pg_transaction_cleaned!$H:$H,pg_transaction_cleaned!$O:$O,A4894,pg_transaction_cleaned!$F:$F,"REFUND")</f>
        <v>3897</v>
      </c>
      <c r="N4894" s="23" t="str">
        <f t="shared" si="306"/>
        <v>OK</v>
      </c>
      <c r="O4894" s="24">
        <f t="shared" si="307"/>
        <v>0</v>
      </c>
    </row>
    <row r="4895" spans="1:15" ht="15" customHeight="1" x14ac:dyDescent="0.3">
      <c r="A4895" s="23" t="s">
        <v>10245</v>
      </c>
      <c r="B4895" s="38">
        <v>46289</v>
      </c>
      <c r="C4895" s="23" t="s">
        <v>10246</v>
      </c>
      <c r="D4895" s="23" t="s">
        <v>90</v>
      </c>
      <c r="E4895" s="23" t="s">
        <v>81</v>
      </c>
      <c r="F4895" s="23" t="s">
        <v>291</v>
      </c>
      <c r="G4895" s="23" t="s">
        <v>250</v>
      </c>
      <c r="H4895" s="39">
        <f t="shared" si="304"/>
        <v>3499</v>
      </c>
      <c r="I4895" s="23" t="str">
        <f t="shared" si="305"/>
        <v>Ahmedabad</v>
      </c>
      <c r="J4895" s="23">
        <f>COUNTIFS(pg_transaction_cleaned!$O:$O,A4895,pg_transaction_cleaned!$F:$F,"CAPTURE")</f>
        <v>1</v>
      </c>
      <c r="K4895" s="39">
        <f>SUMIFS(pg_transaction_cleaned!$H:$H,pg_transaction_cleaned!$O:$O,A4895,pg_transaction_cleaned!$F:$F,"CAPTURE")</f>
        <v>3499</v>
      </c>
      <c r="L4895" s="23">
        <f>COUNTIFS(pg_transaction_cleaned!$O:$O,A4895,pg_transaction_cleaned!$F:$F,"REFUND")</f>
        <v>0</v>
      </c>
      <c r="M4895" s="39">
        <f>SUMIFS(pg_transaction_cleaned!$H:$H,pg_transaction_cleaned!$O:$O,A4895,pg_transaction_cleaned!$F:$F,"REFUND")</f>
        <v>0</v>
      </c>
      <c r="N4895" s="23" t="str">
        <f t="shared" si="306"/>
        <v>OK</v>
      </c>
      <c r="O4895" s="24">
        <f t="shared" si="307"/>
        <v>0</v>
      </c>
    </row>
    <row r="4896" spans="1:15" ht="15" customHeight="1" x14ac:dyDescent="0.3">
      <c r="A4896" s="23" t="s">
        <v>10247</v>
      </c>
      <c r="B4896" s="38">
        <v>46284</v>
      </c>
      <c r="C4896" s="23" t="s">
        <v>10248</v>
      </c>
      <c r="D4896" s="23" t="s">
        <v>93</v>
      </c>
      <c r="E4896" s="23" t="s">
        <v>77</v>
      </c>
      <c r="F4896" s="23" t="s">
        <v>460</v>
      </c>
      <c r="G4896" s="23" t="s">
        <v>250</v>
      </c>
      <c r="H4896" s="39">
        <f t="shared" si="304"/>
        <v>1998</v>
      </c>
      <c r="I4896" s="23" t="str">
        <f t="shared" si="305"/>
        <v>Kolkata</v>
      </c>
      <c r="J4896" s="23">
        <f>COUNTIFS(pg_transaction_cleaned!$O:$O,A4896,pg_transaction_cleaned!$F:$F,"CAPTURE")</f>
        <v>1</v>
      </c>
      <c r="K4896" s="39">
        <f>SUMIFS(pg_transaction_cleaned!$H:$H,pg_transaction_cleaned!$O:$O,A4896,pg_transaction_cleaned!$F:$F,"CAPTURE")</f>
        <v>1998</v>
      </c>
      <c r="L4896" s="23">
        <f>COUNTIFS(pg_transaction_cleaned!$O:$O,A4896,pg_transaction_cleaned!$F:$F,"REFUND")</f>
        <v>0</v>
      </c>
      <c r="M4896" s="39">
        <f>SUMIFS(pg_transaction_cleaned!$H:$H,pg_transaction_cleaned!$O:$O,A4896,pg_transaction_cleaned!$F:$F,"REFUND")</f>
        <v>0</v>
      </c>
      <c r="N4896" s="23" t="str">
        <f t="shared" si="306"/>
        <v>OK</v>
      </c>
      <c r="O4896" s="24">
        <f t="shared" si="307"/>
        <v>0</v>
      </c>
    </row>
    <row r="4897" spans="1:15" ht="15" customHeight="1" x14ac:dyDescent="0.3">
      <c r="A4897" s="23" t="s">
        <v>10249</v>
      </c>
      <c r="B4897" s="38">
        <v>46295</v>
      </c>
      <c r="C4897" s="23" t="s">
        <v>10250</v>
      </c>
      <c r="D4897" s="23" t="s">
        <v>90</v>
      </c>
      <c r="E4897" s="23" t="s">
        <v>75</v>
      </c>
      <c r="F4897" s="23" t="s">
        <v>297</v>
      </c>
      <c r="G4897" s="23" t="s">
        <v>250</v>
      </c>
      <c r="H4897" s="39">
        <f t="shared" si="304"/>
        <v>4999</v>
      </c>
      <c r="I4897" s="23" t="str">
        <f t="shared" si="305"/>
        <v>Ahmedabad</v>
      </c>
      <c r="J4897" s="23">
        <f>COUNTIFS(pg_transaction_cleaned!$O:$O,A4897,pg_transaction_cleaned!$F:$F,"CAPTURE")</f>
        <v>1</v>
      </c>
      <c r="K4897" s="39">
        <f>SUMIFS(pg_transaction_cleaned!$H:$H,pg_transaction_cleaned!$O:$O,A4897,pg_transaction_cleaned!$F:$F,"CAPTURE")</f>
        <v>4999</v>
      </c>
      <c r="L4897" s="23">
        <f>COUNTIFS(pg_transaction_cleaned!$O:$O,A4897,pg_transaction_cleaned!$F:$F,"REFUND")</f>
        <v>0</v>
      </c>
      <c r="M4897" s="39">
        <f>SUMIFS(pg_transaction_cleaned!$H:$H,pg_transaction_cleaned!$O:$O,A4897,pg_transaction_cleaned!$F:$F,"REFUND")</f>
        <v>0</v>
      </c>
      <c r="N4897" s="23" t="str">
        <f t="shared" si="306"/>
        <v>OK</v>
      </c>
      <c r="O4897" s="24">
        <f t="shared" si="307"/>
        <v>0</v>
      </c>
    </row>
    <row r="4898" spans="1:15" ht="15" customHeight="1" x14ac:dyDescent="0.3">
      <c r="A4898" s="23" t="s">
        <v>10251</v>
      </c>
      <c r="B4898" s="38">
        <v>46289</v>
      </c>
      <c r="C4898" s="23" t="s">
        <v>10252</v>
      </c>
      <c r="D4898" s="23" t="s">
        <v>94</v>
      </c>
      <c r="E4898" s="23" t="s">
        <v>81</v>
      </c>
      <c r="F4898" s="23" t="s">
        <v>772</v>
      </c>
      <c r="G4898" s="23" t="s">
        <v>250</v>
      </c>
      <c r="H4898" s="39">
        <f t="shared" si="304"/>
        <v>4798</v>
      </c>
      <c r="I4898" s="23" t="str">
        <f t="shared" si="305"/>
        <v>Chennai</v>
      </c>
      <c r="J4898" s="23">
        <f>COUNTIFS(pg_transaction_cleaned!$O:$O,A4898,pg_transaction_cleaned!$F:$F,"CAPTURE")</f>
        <v>1</v>
      </c>
      <c r="K4898" s="39">
        <f>SUMIFS(pg_transaction_cleaned!$H:$H,pg_transaction_cleaned!$O:$O,A4898,pg_transaction_cleaned!$F:$F,"CAPTURE")</f>
        <v>4798</v>
      </c>
      <c r="L4898" s="23">
        <f>COUNTIFS(pg_transaction_cleaned!$O:$O,A4898,pg_transaction_cleaned!$F:$F,"REFUND")</f>
        <v>0</v>
      </c>
      <c r="M4898" s="39">
        <f>SUMIFS(pg_transaction_cleaned!$H:$H,pg_transaction_cleaned!$O:$O,A4898,pg_transaction_cleaned!$F:$F,"REFUND")</f>
        <v>0</v>
      </c>
      <c r="N4898" s="23" t="str">
        <f t="shared" si="306"/>
        <v>OK</v>
      </c>
      <c r="O4898" s="24">
        <f t="shared" si="307"/>
        <v>0</v>
      </c>
    </row>
    <row r="4899" spans="1:15" ht="15" customHeight="1" x14ac:dyDescent="0.3">
      <c r="A4899" s="23" t="s">
        <v>10253</v>
      </c>
      <c r="B4899" s="38">
        <v>46289</v>
      </c>
      <c r="C4899" s="23" t="s">
        <v>10254</v>
      </c>
      <c r="D4899" s="23" t="s">
        <v>89</v>
      </c>
      <c r="E4899" s="23" t="s">
        <v>75</v>
      </c>
      <c r="F4899" s="23" t="s">
        <v>2837</v>
      </c>
      <c r="G4899" s="23" t="s">
        <v>250</v>
      </c>
      <c r="H4899" s="39">
        <f t="shared" si="304"/>
        <v>12297</v>
      </c>
      <c r="I4899" s="23" t="str">
        <f t="shared" si="305"/>
        <v>Jaipur</v>
      </c>
      <c r="J4899" s="23">
        <f>COUNTIFS(pg_transaction_cleaned!$O:$O,A4899,pg_transaction_cleaned!$F:$F,"CAPTURE")</f>
        <v>1</v>
      </c>
      <c r="K4899" s="39">
        <f>SUMIFS(pg_transaction_cleaned!$H:$H,pg_transaction_cleaned!$O:$O,A4899,pg_transaction_cleaned!$F:$F,"CAPTURE")</f>
        <v>12297</v>
      </c>
      <c r="L4899" s="23">
        <f>COUNTIFS(pg_transaction_cleaned!$O:$O,A4899,pg_transaction_cleaned!$F:$F,"REFUND")</f>
        <v>0</v>
      </c>
      <c r="M4899" s="39">
        <f>SUMIFS(pg_transaction_cleaned!$H:$H,pg_transaction_cleaned!$O:$O,A4899,pg_transaction_cleaned!$F:$F,"REFUND")</f>
        <v>0</v>
      </c>
      <c r="N4899" s="23" t="str">
        <f t="shared" si="306"/>
        <v>OK</v>
      </c>
      <c r="O4899" s="24">
        <f t="shared" si="307"/>
        <v>0</v>
      </c>
    </row>
    <row r="4900" spans="1:15" ht="15" customHeight="1" x14ac:dyDescent="0.3">
      <c r="A4900" s="23" t="s">
        <v>10255</v>
      </c>
      <c r="B4900" s="38">
        <v>46290</v>
      </c>
      <c r="C4900" s="23" t="s">
        <v>10256</v>
      </c>
      <c r="D4900" s="23" t="s">
        <v>95</v>
      </c>
      <c r="E4900" s="23" t="s">
        <v>79</v>
      </c>
      <c r="F4900" s="23" t="s">
        <v>297</v>
      </c>
      <c r="G4900" s="23" t="s">
        <v>250</v>
      </c>
      <c r="H4900" s="39">
        <f t="shared" si="304"/>
        <v>4999</v>
      </c>
      <c r="I4900" s="23" t="str">
        <f t="shared" si="305"/>
        <v>Bengaluru</v>
      </c>
      <c r="J4900" s="23">
        <f>COUNTIFS(pg_transaction_cleaned!$O:$O,A4900,pg_transaction_cleaned!$F:$F,"CAPTURE")</f>
        <v>1</v>
      </c>
      <c r="K4900" s="39">
        <f>SUMIFS(pg_transaction_cleaned!$H:$H,pg_transaction_cleaned!$O:$O,A4900,pg_transaction_cleaned!$F:$F,"CAPTURE")</f>
        <v>4999</v>
      </c>
      <c r="L4900" s="23">
        <f>COUNTIFS(pg_transaction_cleaned!$O:$O,A4900,pg_transaction_cleaned!$F:$F,"REFUND")</f>
        <v>0</v>
      </c>
      <c r="M4900" s="39">
        <f>SUMIFS(pg_transaction_cleaned!$H:$H,pg_transaction_cleaned!$O:$O,A4900,pg_transaction_cleaned!$F:$F,"REFUND")</f>
        <v>0</v>
      </c>
      <c r="N4900" s="23" t="str">
        <f t="shared" si="306"/>
        <v>OK</v>
      </c>
      <c r="O4900" s="24">
        <f t="shared" si="307"/>
        <v>0</v>
      </c>
    </row>
    <row r="4901" spans="1:15" ht="15" customHeight="1" x14ac:dyDescent="0.3">
      <c r="A4901" s="23" t="s">
        <v>10257</v>
      </c>
      <c r="B4901" s="38">
        <v>46267</v>
      </c>
      <c r="C4901" s="23" t="s">
        <v>10258</v>
      </c>
      <c r="D4901" s="23" t="s">
        <v>92</v>
      </c>
      <c r="E4901" s="23" t="s">
        <v>75</v>
      </c>
      <c r="F4901" s="23" t="s">
        <v>280</v>
      </c>
      <c r="G4901" s="23" t="s">
        <v>250</v>
      </c>
      <c r="H4901" s="39">
        <f t="shared" si="304"/>
        <v>5797</v>
      </c>
      <c r="I4901" s="23" t="str">
        <f t="shared" si="305"/>
        <v>Hyderabad</v>
      </c>
      <c r="J4901" s="23">
        <f>COUNTIFS(pg_transaction_cleaned!$O:$O,A4901,pg_transaction_cleaned!$F:$F,"CAPTURE")</f>
        <v>1</v>
      </c>
      <c r="K4901" s="39">
        <f>SUMIFS(pg_transaction_cleaned!$H:$H,pg_transaction_cleaned!$O:$O,A4901,pg_transaction_cleaned!$F:$F,"CAPTURE")</f>
        <v>5797</v>
      </c>
      <c r="L4901" s="23">
        <f>COUNTIFS(pg_transaction_cleaned!$O:$O,A4901,pg_transaction_cleaned!$F:$F,"REFUND")</f>
        <v>0</v>
      </c>
      <c r="M4901" s="39">
        <f>SUMIFS(pg_transaction_cleaned!$H:$H,pg_transaction_cleaned!$O:$O,A4901,pg_transaction_cleaned!$F:$F,"REFUND")</f>
        <v>0</v>
      </c>
      <c r="N4901" s="23" t="str">
        <f t="shared" si="306"/>
        <v>OK</v>
      </c>
      <c r="O4901" s="24">
        <f t="shared" si="307"/>
        <v>0</v>
      </c>
    </row>
    <row r="4902" spans="1:15" ht="15" customHeight="1" x14ac:dyDescent="0.3">
      <c r="A4902" s="23" t="s">
        <v>10259</v>
      </c>
      <c r="B4902" s="38">
        <v>46285</v>
      </c>
      <c r="C4902" s="23" t="s">
        <v>10260</v>
      </c>
      <c r="D4902" s="23" t="s">
        <v>92</v>
      </c>
      <c r="E4902" s="23" t="s">
        <v>79</v>
      </c>
      <c r="F4902" s="23" t="s">
        <v>324</v>
      </c>
      <c r="G4902" s="23" t="s">
        <v>250</v>
      </c>
      <c r="H4902" s="39">
        <f t="shared" si="304"/>
        <v>10498</v>
      </c>
      <c r="I4902" s="23" t="str">
        <f t="shared" si="305"/>
        <v>Hyderabad</v>
      </c>
      <c r="J4902" s="23">
        <f>COUNTIFS(pg_transaction_cleaned!$O:$O,A4902,pg_transaction_cleaned!$F:$F,"CAPTURE")</f>
        <v>1</v>
      </c>
      <c r="K4902" s="39">
        <f>SUMIFS(pg_transaction_cleaned!$H:$H,pg_transaction_cleaned!$O:$O,A4902,pg_transaction_cleaned!$F:$F,"CAPTURE")</f>
        <v>10498</v>
      </c>
      <c r="L4902" s="23">
        <f>COUNTIFS(pg_transaction_cleaned!$O:$O,A4902,pg_transaction_cleaned!$F:$F,"REFUND")</f>
        <v>0</v>
      </c>
      <c r="M4902" s="39">
        <f>SUMIFS(pg_transaction_cleaned!$H:$H,pg_transaction_cleaned!$O:$O,A4902,pg_transaction_cleaned!$F:$F,"REFUND")</f>
        <v>0</v>
      </c>
      <c r="N4902" s="23" t="str">
        <f t="shared" si="306"/>
        <v>OK</v>
      </c>
      <c r="O4902" s="24">
        <f t="shared" si="307"/>
        <v>0</v>
      </c>
    </row>
    <row r="4903" spans="1:15" ht="15" customHeight="1" x14ac:dyDescent="0.3">
      <c r="A4903" s="23" t="s">
        <v>10261</v>
      </c>
      <c r="B4903" s="38">
        <v>46276</v>
      </c>
      <c r="C4903" s="23" t="s">
        <v>10262</v>
      </c>
      <c r="D4903" s="23" t="s">
        <v>92</v>
      </c>
      <c r="E4903" s="23" t="s">
        <v>81</v>
      </c>
      <c r="F4903" s="23" t="s">
        <v>499</v>
      </c>
      <c r="G4903" s="23" t="s">
        <v>250</v>
      </c>
      <c r="H4903" s="39">
        <f t="shared" si="304"/>
        <v>5998</v>
      </c>
      <c r="I4903" s="23" t="str">
        <f t="shared" si="305"/>
        <v>Hyderabad</v>
      </c>
      <c r="J4903" s="23">
        <f>COUNTIFS(pg_transaction_cleaned!$O:$O,A4903,pg_transaction_cleaned!$F:$F,"CAPTURE")</f>
        <v>1</v>
      </c>
      <c r="K4903" s="39">
        <f>SUMIFS(pg_transaction_cleaned!$H:$H,pg_transaction_cleaned!$O:$O,A4903,pg_transaction_cleaned!$F:$F,"CAPTURE")</f>
        <v>5998</v>
      </c>
      <c r="L4903" s="23">
        <f>COUNTIFS(pg_transaction_cleaned!$O:$O,A4903,pg_transaction_cleaned!$F:$F,"REFUND")</f>
        <v>0</v>
      </c>
      <c r="M4903" s="39">
        <f>SUMIFS(pg_transaction_cleaned!$H:$H,pg_transaction_cleaned!$O:$O,A4903,pg_transaction_cleaned!$F:$F,"REFUND")</f>
        <v>0</v>
      </c>
      <c r="N4903" s="23" t="str">
        <f t="shared" si="306"/>
        <v>OK</v>
      </c>
      <c r="O4903" s="24">
        <f t="shared" si="307"/>
        <v>0</v>
      </c>
    </row>
    <row r="4904" spans="1:15" ht="15" customHeight="1" x14ac:dyDescent="0.3">
      <c r="A4904" s="23" t="s">
        <v>10263</v>
      </c>
      <c r="B4904" s="38">
        <v>46269</v>
      </c>
      <c r="C4904" s="23" t="s">
        <v>10264</v>
      </c>
      <c r="D4904" s="23" t="s">
        <v>93</v>
      </c>
      <c r="E4904" s="23" t="s">
        <v>77</v>
      </c>
      <c r="F4904" s="23" t="s">
        <v>315</v>
      </c>
      <c r="G4904" s="23" t="s">
        <v>250</v>
      </c>
      <c r="H4904" s="39">
        <f t="shared" si="304"/>
        <v>1499</v>
      </c>
      <c r="I4904" s="23" t="str">
        <f t="shared" si="305"/>
        <v>Kolkata</v>
      </c>
      <c r="J4904" s="23">
        <f>COUNTIFS(pg_transaction_cleaned!$O:$O,A4904,pg_transaction_cleaned!$F:$F,"CAPTURE")</f>
        <v>1</v>
      </c>
      <c r="K4904" s="39">
        <f>SUMIFS(pg_transaction_cleaned!$H:$H,pg_transaction_cleaned!$O:$O,A4904,pg_transaction_cleaned!$F:$F,"CAPTURE")</f>
        <v>1499</v>
      </c>
      <c r="L4904" s="23">
        <f>COUNTIFS(pg_transaction_cleaned!$O:$O,A4904,pg_transaction_cleaned!$F:$F,"REFUND")</f>
        <v>0</v>
      </c>
      <c r="M4904" s="39">
        <f>SUMIFS(pg_transaction_cleaned!$H:$H,pg_transaction_cleaned!$O:$O,A4904,pg_transaction_cleaned!$F:$F,"REFUND")</f>
        <v>0</v>
      </c>
      <c r="N4904" s="23" t="str">
        <f t="shared" si="306"/>
        <v>OK</v>
      </c>
      <c r="O4904" s="24">
        <f t="shared" si="307"/>
        <v>0</v>
      </c>
    </row>
    <row r="4905" spans="1:15" ht="15" customHeight="1" x14ac:dyDescent="0.3">
      <c r="A4905" s="23" t="s">
        <v>10265</v>
      </c>
      <c r="B4905" s="38">
        <v>46270</v>
      </c>
      <c r="C4905" s="23" t="s">
        <v>10266</v>
      </c>
      <c r="D4905" s="23" t="s">
        <v>92</v>
      </c>
      <c r="E4905" s="23" t="s">
        <v>75</v>
      </c>
      <c r="F4905" s="23" t="s">
        <v>10267</v>
      </c>
      <c r="G4905" s="23" t="s">
        <v>365</v>
      </c>
      <c r="H4905" s="39">
        <f t="shared" si="304"/>
        <v>7998</v>
      </c>
      <c r="I4905" s="23" t="str">
        <f t="shared" si="305"/>
        <v>Hyderabad</v>
      </c>
      <c r="J4905" s="23">
        <f>COUNTIFS(pg_transaction_cleaned!$O:$O,A4905,pg_transaction_cleaned!$F:$F,"CAPTURE")</f>
        <v>0</v>
      </c>
      <c r="K4905" s="39">
        <f>SUMIFS(pg_transaction_cleaned!$H:$H,pg_transaction_cleaned!$O:$O,A4905,pg_transaction_cleaned!$F:$F,"CAPTURE")</f>
        <v>0</v>
      </c>
      <c r="L4905" s="23">
        <f>COUNTIFS(pg_transaction_cleaned!$O:$O,A4905,pg_transaction_cleaned!$F:$F,"REFUND")</f>
        <v>0</v>
      </c>
      <c r="M4905" s="39">
        <f>SUMIFS(pg_transaction_cleaned!$H:$H,pg_transaction_cleaned!$O:$O,A4905,pg_transaction_cleaned!$F:$F,"REFUND")</f>
        <v>0</v>
      </c>
      <c r="N4905" s="23" t="str">
        <f t="shared" si="306"/>
        <v>OK</v>
      </c>
      <c r="O4905" s="24">
        <f t="shared" si="307"/>
        <v>0</v>
      </c>
    </row>
    <row r="4906" spans="1:15" ht="15" customHeight="1" x14ac:dyDescent="0.3">
      <c r="A4906" s="23" t="s">
        <v>10268</v>
      </c>
      <c r="B4906" s="38">
        <v>46290</v>
      </c>
      <c r="C4906" s="23" t="s">
        <v>4671</v>
      </c>
      <c r="D4906" s="23" t="s">
        <v>87</v>
      </c>
      <c r="E4906" s="23" t="s">
        <v>75</v>
      </c>
      <c r="F4906" s="23" t="s">
        <v>622</v>
      </c>
      <c r="G4906" s="23" t="s">
        <v>301</v>
      </c>
      <c r="H4906" s="39">
        <f t="shared" si="304"/>
        <v>8998</v>
      </c>
      <c r="I4906" s="23" t="str">
        <f t="shared" si="305"/>
        <v>Mumbai</v>
      </c>
      <c r="J4906" s="23">
        <f>COUNTIFS(pg_transaction_cleaned!$O:$O,A4906,pg_transaction_cleaned!$F:$F,"CAPTURE")</f>
        <v>1</v>
      </c>
      <c r="K4906" s="39">
        <f>SUMIFS(pg_transaction_cleaned!$H:$H,pg_transaction_cleaned!$O:$O,A4906,pg_transaction_cleaned!$F:$F,"CAPTURE")</f>
        <v>8998</v>
      </c>
      <c r="L4906" s="23">
        <f>COUNTIFS(pg_transaction_cleaned!$O:$O,A4906,pg_transaction_cleaned!$F:$F,"REFUND")</f>
        <v>1</v>
      </c>
      <c r="M4906" s="39">
        <f>SUMIFS(pg_transaction_cleaned!$H:$H,pg_transaction_cleaned!$O:$O,A4906,pg_transaction_cleaned!$F:$F,"REFUND")</f>
        <v>8998</v>
      </c>
      <c r="N4906" s="23" t="str">
        <f t="shared" si="306"/>
        <v>OK</v>
      </c>
      <c r="O4906" s="24">
        <f t="shared" si="307"/>
        <v>0</v>
      </c>
    </row>
    <row r="4907" spans="1:15" ht="15" customHeight="1" x14ac:dyDescent="0.3">
      <c r="A4907" s="23" t="s">
        <v>10269</v>
      </c>
      <c r="B4907" s="38">
        <v>46295</v>
      </c>
      <c r="C4907" s="23" t="s">
        <v>10270</v>
      </c>
      <c r="D4907" s="23" t="s">
        <v>88</v>
      </c>
      <c r="E4907" s="23" t="s">
        <v>77</v>
      </c>
      <c r="F4907" s="23" t="s">
        <v>652</v>
      </c>
      <c r="G4907" s="23" t="s">
        <v>250</v>
      </c>
      <c r="H4907" s="39">
        <f t="shared" si="304"/>
        <v>2397</v>
      </c>
      <c r="I4907" s="23" t="str">
        <f t="shared" si="305"/>
        <v>Lucknow</v>
      </c>
      <c r="J4907" s="23">
        <f>COUNTIFS(pg_transaction_cleaned!$O:$O,A4907,pg_transaction_cleaned!$F:$F,"CAPTURE")</f>
        <v>1</v>
      </c>
      <c r="K4907" s="39">
        <f>SUMIFS(pg_transaction_cleaned!$H:$H,pg_transaction_cleaned!$O:$O,A4907,pg_transaction_cleaned!$F:$F,"CAPTURE")</f>
        <v>2397</v>
      </c>
      <c r="L4907" s="23">
        <f>COUNTIFS(pg_transaction_cleaned!$O:$O,A4907,pg_transaction_cleaned!$F:$F,"REFUND")</f>
        <v>0</v>
      </c>
      <c r="M4907" s="39">
        <f>SUMIFS(pg_transaction_cleaned!$H:$H,pg_transaction_cleaned!$O:$O,A4907,pg_transaction_cleaned!$F:$F,"REFUND")</f>
        <v>0</v>
      </c>
      <c r="N4907" s="23" t="str">
        <f t="shared" si="306"/>
        <v>OK</v>
      </c>
      <c r="O4907" s="24">
        <f t="shared" si="307"/>
        <v>0</v>
      </c>
    </row>
    <row r="4908" spans="1:15" ht="15" customHeight="1" x14ac:dyDescent="0.3">
      <c r="A4908" s="23" t="s">
        <v>10271</v>
      </c>
      <c r="B4908" s="38">
        <v>46282</v>
      </c>
      <c r="C4908" s="23" t="s">
        <v>10272</v>
      </c>
      <c r="D4908" s="23"/>
      <c r="E4908" s="23" t="s">
        <v>81</v>
      </c>
      <c r="F4908" s="23" t="s">
        <v>396</v>
      </c>
      <c r="G4908" s="23" t="s">
        <v>250</v>
      </c>
      <c r="H4908" s="39">
        <f t="shared" si="304"/>
        <v>2999</v>
      </c>
      <c r="I4908" s="23" t="str">
        <f t="shared" si="305"/>
        <v>Unknown</v>
      </c>
      <c r="J4908" s="23">
        <f>COUNTIFS(pg_transaction_cleaned!$O:$O,A4908,pg_transaction_cleaned!$F:$F,"CAPTURE")</f>
        <v>1</v>
      </c>
      <c r="K4908" s="39">
        <f>SUMIFS(pg_transaction_cleaned!$H:$H,pg_transaction_cleaned!$O:$O,A4908,pg_transaction_cleaned!$F:$F,"CAPTURE")</f>
        <v>2999</v>
      </c>
      <c r="L4908" s="23">
        <f>COUNTIFS(pg_transaction_cleaned!$O:$O,A4908,pg_transaction_cleaned!$F:$F,"REFUND")</f>
        <v>0</v>
      </c>
      <c r="M4908" s="39">
        <f>SUMIFS(pg_transaction_cleaned!$H:$H,pg_transaction_cleaned!$O:$O,A4908,pg_transaction_cleaned!$F:$F,"REFUND")</f>
        <v>0</v>
      </c>
      <c r="N4908" s="23" t="str">
        <f t="shared" si="306"/>
        <v>OK</v>
      </c>
      <c r="O4908" s="24">
        <f t="shared" si="307"/>
        <v>0</v>
      </c>
    </row>
    <row r="4909" spans="1:15" ht="15" customHeight="1" x14ac:dyDescent="0.3">
      <c r="A4909" s="23" t="s">
        <v>10273</v>
      </c>
      <c r="B4909" s="38">
        <v>46291</v>
      </c>
      <c r="C4909" s="23" t="s">
        <v>10274</v>
      </c>
      <c r="D4909" s="23" t="s">
        <v>94</v>
      </c>
      <c r="E4909" s="23" t="s">
        <v>75</v>
      </c>
      <c r="F4909" s="23" t="s">
        <v>612</v>
      </c>
      <c r="G4909" s="23" t="s">
        <v>250</v>
      </c>
      <c r="H4909" s="39">
        <f t="shared" si="304"/>
        <v>8498</v>
      </c>
      <c r="I4909" s="23" t="str">
        <f t="shared" si="305"/>
        <v>Chennai</v>
      </c>
      <c r="J4909" s="23">
        <f>COUNTIFS(pg_transaction_cleaned!$O:$O,A4909,pg_transaction_cleaned!$F:$F,"CAPTURE")</f>
        <v>1</v>
      </c>
      <c r="K4909" s="39">
        <f>SUMIFS(pg_transaction_cleaned!$H:$H,pg_transaction_cleaned!$O:$O,A4909,pg_transaction_cleaned!$F:$F,"CAPTURE")</f>
        <v>8498</v>
      </c>
      <c r="L4909" s="23">
        <f>COUNTIFS(pg_transaction_cleaned!$O:$O,A4909,pg_transaction_cleaned!$F:$F,"REFUND")</f>
        <v>0</v>
      </c>
      <c r="M4909" s="39">
        <f>SUMIFS(pg_transaction_cleaned!$H:$H,pg_transaction_cleaned!$O:$O,A4909,pg_transaction_cleaned!$F:$F,"REFUND")</f>
        <v>0</v>
      </c>
      <c r="N4909" s="23" t="str">
        <f t="shared" si="306"/>
        <v>OK</v>
      </c>
      <c r="O4909" s="24">
        <f t="shared" si="307"/>
        <v>0</v>
      </c>
    </row>
    <row r="4910" spans="1:15" ht="15" customHeight="1" x14ac:dyDescent="0.3">
      <c r="A4910" s="23" t="s">
        <v>10275</v>
      </c>
      <c r="B4910" s="38">
        <v>46280</v>
      </c>
      <c r="C4910" s="23" t="s">
        <v>10276</v>
      </c>
      <c r="D4910" s="23" t="s">
        <v>89</v>
      </c>
      <c r="E4910" s="23" t="s">
        <v>75</v>
      </c>
      <c r="F4910" s="23" t="s">
        <v>598</v>
      </c>
      <c r="G4910" s="23" t="s">
        <v>365</v>
      </c>
      <c r="H4910" s="39">
        <f t="shared" si="304"/>
        <v>5598</v>
      </c>
      <c r="I4910" s="23" t="str">
        <f t="shared" si="305"/>
        <v>Jaipur</v>
      </c>
      <c r="J4910" s="23">
        <f>COUNTIFS(pg_transaction_cleaned!$O:$O,A4910,pg_transaction_cleaned!$F:$F,"CAPTURE")</f>
        <v>0</v>
      </c>
      <c r="K4910" s="39">
        <f>SUMIFS(pg_transaction_cleaned!$H:$H,pg_transaction_cleaned!$O:$O,A4910,pg_transaction_cleaned!$F:$F,"CAPTURE")</f>
        <v>0</v>
      </c>
      <c r="L4910" s="23">
        <f>COUNTIFS(pg_transaction_cleaned!$O:$O,A4910,pg_transaction_cleaned!$F:$F,"REFUND")</f>
        <v>0</v>
      </c>
      <c r="M4910" s="39">
        <f>SUMIFS(pg_transaction_cleaned!$H:$H,pg_transaction_cleaned!$O:$O,A4910,pg_transaction_cleaned!$F:$F,"REFUND")</f>
        <v>0</v>
      </c>
      <c r="N4910" s="23" t="str">
        <f t="shared" si="306"/>
        <v>OK</v>
      </c>
      <c r="O4910" s="24">
        <f t="shared" si="307"/>
        <v>0</v>
      </c>
    </row>
    <row r="4911" spans="1:15" ht="15" customHeight="1" x14ac:dyDescent="0.3">
      <c r="A4911" s="23" t="s">
        <v>10277</v>
      </c>
      <c r="B4911" s="38">
        <v>46268</v>
      </c>
      <c r="C4911" s="23" t="s">
        <v>10278</v>
      </c>
      <c r="D4911" s="23" t="s">
        <v>87</v>
      </c>
      <c r="E4911" s="23" t="s">
        <v>81</v>
      </c>
      <c r="F4911" s="23" t="s">
        <v>259</v>
      </c>
      <c r="G4911" s="23" t="s">
        <v>250</v>
      </c>
      <c r="H4911" s="39">
        <f t="shared" si="304"/>
        <v>3298</v>
      </c>
      <c r="I4911" s="23" t="str">
        <f t="shared" si="305"/>
        <v>Mumbai</v>
      </c>
      <c r="J4911" s="23">
        <f>COUNTIFS(pg_transaction_cleaned!$O:$O,A4911,pg_transaction_cleaned!$F:$F,"CAPTURE")</f>
        <v>1</v>
      </c>
      <c r="K4911" s="39">
        <f>SUMIFS(pg_transaction_cleaned!$H:$H,pg_transaction_cleaned!$O:$O,A4911,pg_transaction_cleaned!$F:$F,"CAPTURE")</f>
        <v>3298</v>
      </c>
      <c r="L4911" s="23">
        <f>COUNTIFS(pg_transaction_cleaned!$O:$O,A4911,pg_transaction_cleaned!$F:$F,"REFUND")</f>
        <v>0</v>
      </c>
      <c r="M4911" s="39">
        <f>SUMIFS(pg_transaction_cleaned!$H:$H,pg_transaction_cleaned!$O:$O,A4911,pg_transaction_cleaned!$F:$F,"REFUND")</f>
        <v>0</v>
      </c>
      <c r="N4911" s="23" t="str">
        <f t="shared" si="306"/>
        <v>OK</v>
      </c>
      <c r="O4911" s="24">
        <f t="shared" si="307"/>
        <v>0</v>
      </c>
    </row>
    <row r="4912" spans="1:15" ht="15" customHeight="1" x14ac:dyDescent="0.3">
      <c r="A4912" s="23" t="s">
        <v>10279</v>
      </c>
      <c r="B4912" s="38">
        <v>46281</v>
      </c>
      <c r="C4912" s="23" t="s">
        <v>10280</v>
      </c>
      <c r="D4912" s="23" t="s">
        <v>90</v>
      </c>
      <c r="E4912" s="23" t="s">
        <v>75</v>
      </c>
      <c r="F4912" s="23" t="s">
        <v>652</v>
      </c>
      <c r="G4912" s="23" t="s">
        <v>250</v>
      </c>
      <c r="H4912" s="39">
        <f t="shared" si="304"/>
        <v>2397</v>
      </c>
      <c r="I4912" s="23" t="str">
        <f t="shared" si="305"/>
        <v>Ahmedabad</v>
      </c>
      <c r="J4912" s="23">
        <f>COUNTIFS(pg_transaction_cleaned!$O:$O,A4912,pg_transaction_cleaned!$F:$F,"CAPTURE")</f>
        <v>1</v>
      </c>
      <c r="K4912" s="39">
        <f>SUMIFS(pg_transaction_cleaned!$H:$H,pg_transaction_cleaned!$O:$O,A4912,pg_transaction_cleaned!$F:$F,"CAPTURE")</f>
        <v>2397</v>
      </c>
      <c r="L4912" s="23">
        <f>COUNTIFS(pg_transaction_cleaned!$O:$O,A4912,pg_transaction_cleaned!$F:$F,"REFUND")</f>
        <v>0</v>
      </c>
      <c r="M4912" s="39">
        <f>SUMIFS(pg_transaction_cleaned!$H:$H,pg_transaction_cleaned!$O:$O,A4912,pg_transaction_cleaned!$F:$F,"REFUND")</f>
        <v>0</v>
      </c>
      <c r="N4912" s="23" t="str">
        <f t="shared" si="306"/>
        <v>OK</v>
      </c>
      <c r="O4912" s="24">
        <f t="shared" si="307"/>
        <v>0</v>
      </c>
    </row>
    <row r="4913" spans="1:15" ht="15" customHeight="1" x14ac:dyDescent="0.3">
      <c r="A4913" s="23" t="s">
        <v>10281</v>
      </c>
      <c r="B4913" s="38">
        <v>46278</v>
      </c>
      <c r="C4913" s="23" t="s">
        <v>10282</v>
      </c>
      <c r="D4913" s="23"/>
      <c r="E4913" s="23" t="s">
        <v>75</v>
      </c>
      <c r="F4913" s="23" t="s">
        <v>396</v>
      </c>
      <c r="G4913" s="23" t="s">
        <v>250</v>
      </c>
      <c r="H4913" s="39">
        <f t="shared" si="304"/>
        <v>2999</v>
      </c>
      <c r="I4913" s="23" t="str">
        <f t="shared" si="305"/>
        <v>Unknown</v>
      </c>
      <c r="J4913" s="23">
        <f>COUNTIFS(pg_transaction_cleaned!$O:$O,A4913,pg_transaction_cleaned!$F:$F,"CAPTURE")</f>
        <v>1</v>
      </c>
      <c r="K4913" s="39">
        <f>SUMIFS(pg_transaction_cleaned!$H:$H,pg_transaction_cleaned!$O:$O,A4913,pg_transaction_cleaned!$F:$F,"CAPTURE")</f>
        <v>2999</v>
      </c>
      <c r="L4913" s="23">
        <f>COUNTIFS(pg_transaction_cleaned!$O:$O,A4913,pg_transaction_cleaned!$F:$F,"REFUND")</f>
        <v>0</v>
      </c>
      <c r="M4913" s="39">
        <f>SUMIFS(pg_transaction_cleaned!$H:$H,pg_transaction_cleaned!$O:$O,A4913,pg_transaction_cleaned!$F:$F,"REFUND")</f>
        <v>0</v>
      </c>
      <c r="N4913" s="23" t="str">
        <f t="shared" si="306"/>
        <v>OK</v>
      </c>
      <c r="O4913" s="24">
        <f t="shared" si="307"/>
        <v>0</v>
      </c>
    </row>
    <row r="4914" spans="1:15" ht="15" customHeight="1" x14ac:dyDescent="0.3">
      <c r="A4914" s="23" t="s">
        <v>10283</v>
      </c>
      <c r="B4914" s="38">
        <v>46286</v>
      </c>
      <c r="C4914" s="23" t="s">
        <v>4890</v>
      </c>
      <c r="D4914" s="23" t="s">
        <v>86</v>
      </c>
      <c r="E4914" s="23" t="s">
        <v>75</v>
      </c>
      <c r="F4914" s="23" t="s">
        <v>1038</v>
      </c>
      <c r="G4914" s="23" t="s">
        <v>250</v>
      </c>
      <c r="H4914" s="39">
        <f t="shared" si="304"/>
        <v>3597</v>
      </c>
      <c r="I4914" s="23" t="str">
        <f t="shared" si="305"/>
        <v>Delhi</v>
      </c>
      <c r="J4914" s="23">
        <f>COUNTIFS(pg_transaction_cleaned!$O:$O,A4914,pg_transaction_cleaned!$F:$F,"CAPTURE")</f>
        <v>1</v>
      </c>
      <c r="K4914" s="39">
        <f>SUMIFS(pg_transaction_cleaned!$H:$H,pg_transaction_cleaned!$O:$O,A4914,pg_transaction_cleaned!$F:$F,"CAPTURE")</f>
        <v>3597</v>
      </c>
      <c r="L4914" s="23">
        <f>COUNTIFS(pg_transaction_cleaned!$O:$O,A4914,pg_transaction_cleaned!$F:$F,"REFUND")</f>
        <v>0</v>
      </c>
      <c r="M4914" s="39">
        <f>SUMIFS(pg_transaction_cleaned!$H:$H,pg_transaction_cleaned!$O:$O,A4914,pg_transaction_cleaned!$F:$F,"REFUND")</f>
        <v>0</v>
      </c>
      <c r="N4914" s="23" t="str">
        <f t="shared" si="306"/>
        <v>OK</v>
      </c>
      <c r="O4914" s="24">
        <f t="shared" si="307"/>
        <v>0</v>
      </c>
    </row>
    <row r="4915" spans="1:15" ht="15" customHeight="1" x14ac:dyDescent="0.3">
      <c r="A4915" s="23" t="s">
        <v>10284</v>
      </c>
      <c r="B4915" s="38">
        <v>46272</v>
      </c>
      <c r="C4915" s="23" t="s">
        <v>10285</v>
      </c>
      <c r="D4915" s="23" t="s">
        <v>95</v>
      </c>
      <c r="E4915" s="23" t="s">
        <v>75</v>
      </c>
      <c r="F4915" s="23" t="s">
        <v>291</v>
      </c>
      <c r="G4915" s="23" t="s">
        <v>250</v>
      </c>
      <c r="H4915" s="39">
        <f t="shared" si="304"/>
        <v>3499</v>
      </c>
      <c r="I4915" s="23" t="str">
        <f t="shared" si="305"/>
        <v>Bengaluru</v>
      </c>
      <c r="J4915" s="23">
        <f>COUNTIFS(pg_transaction_cleaned!$O:$O,A4915,pg_transaction_cleaned!$F:$F,"CAPTURE")</f>
        <v>1</v>
      </c>
      <c r="K4915" s="39">
        <f>SUMIFS(pg_transaction_cleaned!$H:$H,pg_transaction_cleaned!$O:$O,A4915,pg_transaction_cleaned!$F:$F,"CAPTURE")</f>
        <v>3499</v>
      </c>
      <c r="L4915" s="23">
        <f>COUNTIFS(pg_transaction_cleaned!$O:$O,A4915,pg_transaction_cleaned!$F:$F,"REFUND")</f>
        <v>0</v>
      </c>
      <c r="M4915" s="39">
        <f>SUMIFS(pg_transaction_cleaned!$H:$H,pg_transaction_cleaned!$O:$O,A4915,pg_transaction_cleaned!$F:$F,"REFUND")</f>
        <v>0</v>
      </c>
      <c r="N4915" s="23" t="str">
        <f t="shared" si="306"/>
        <v>OK</v>
      </c>
      <c r="O4915" s="24">
        <f t="shared" si="307"/>
        <v>0</v>
      </c>
    </row>
    <row r="4916" spans="1:15" ht="15" customHeight="1" x14ac:dyDescent="0.3">
      <c r="A4916" s="23" t="s">
        <v>10286</v>
      </c>
      <c r="B4916" s="38">
        <v>46294</v>
      </c>
      <c r="C4916" s="23" t="s">
        <v>10287</v>
      </c>
      <c r="D4916" s="23" t="s">
        <v>89</v>
      </c>
      <c r="E4916" s="23" t="s">
        <v>79</v>
      </c>
      <c r="F4916" s="23" t="s">
        <v>268</v>
      </c>
      <c r="G4916" s="23" t="s">
        <v>250</v>
      </c>
      <c r="H4916" s="39">
        <f t="shared" si="304"/>
        <v>1299</v>
      </c>
      <c r="I4916" s="23" t="str">
        <f t="shared" si="305"/>
        <v>Jaipur</v>
      </c>
      <c r="J4916" s="23">
        <f>COUNTIFS(pg_transaction_cleaned!$O:$O,A4916,pg_transaction_cleaned!$F:$F,"CAPTURE")</f>
        <v>1</v>
      </c>
      <c r="K4916" s="39">
        <f>SUMIFS(pg_transaction_cleaned!$H:$H,pg_transaction_cleaned!$O:$O,A4916,pg_transaction_cleaned!$F:$F,"CAPTURE")</f>
        <v>1299</v>
      </c>
      <c r="L4916" s="23">
        <f>COUNTIFS(pg_transaction_cleaned!$O:$O,A4916,pg_transaction_cleaned!$F:$F,"REFUND")</f>
        <v>0</v>
      </c>
      <c r="M4916" s="39">
        <f>SUMIFS(pg_transaction_cleaned!$H:$H,pg_transaction_cleaned!$O:$O,A4916,pg_transaction_cleaned!$F:$F,"REFUND")</f>
        <v>0</v>
      </c>
      <c r="N4916" s="23" t="str">
        <f t="shared" si="306"/>
        <v>OK</v>
      </c>
      <c r="O4916" s="24">
        <f t="shared" si="307"/>
        <v>0</v>
      </c>
    </row>
    <row r="4917" spans="1:15" ht="15" customHeight="1" x14ac:dyDescent="0.3">
      <c r="A4917" s="23" t="s">
        <v>10288</v>
      </c>
      <c r="B4917" s="38">
        <v>46276</v>
      </c>
      <c r="C4917" s="23" t="s">
        <v>10289</v>
      </c>
      <c r="D4917" s="23" t="s">
        <v>93</v>
      </c>
      <c r="E4917" s="23" t="s">
        <v>75</v>
      </c>
      <c r="F4917" s="23" t="s">
        <v>685</v>
      </c>
      <c r="G4917" s="23" t="s">
        <v>250</v>
      </c>
      <c r="H4917" s="39">
        <f t="shared" si="304"/>
        <v>8797</v>
      </c>
      <c r="I4917" s="23" t="str">
        <f t="shared" si="305"/>
        <v>Kolkata</v>
      </c>
      <c r="J4917" s="23">
        <f>COUNTIFS(pg_transaction_cleaned!$O:$O,A4917,pg_transaction_cleaned!$F:$F,"CAPTURE")</f>
        <v>1</v>
      </c>
      <c r="K4917" s="39">
        <f>SUMIFS(pg_transaction_cleaned!$H:$H,pg_transaction_cleaned!$O:$O,A4917,pg_transaction_cleaned!$F:$F,"CAPTURE")</f>
        <v>8797</v>
      </c>
      <c r="L4917" s="23">
        <f>COUNTIFS(pg_transaction_cleaned!$O:$O,A4917,pg_transaction_cleaned!$F:$F,"REFUND")</f>
        <v>0</v>
      </c>
      <c r="M4917" s="39">
        <f>SUMIFS(pg_transaction_cleaned!$H:$H,pg_transaction_cleaned!$O:$O,A4917,pg_transaction_cleaned!$F:$F,"REFUND")</f>
        <v>0</v>
      </c>
      <c r="N4917" s="23" t="str">
        <f t="shared" si="306"/>
        <v>OK</v>
      </c>
      <c r="O4917" s="24">
        <f t="shared" si="307"/>
        <v>0</v>
      </c>
    </row>
    <row r="4918" spans="1:15" ht="15" customHeight="1" x14ac:dyDescent="0.3">
      <c r="A4918" s="23" t="s">
        <v>10290</v>
      </c>
      <c r="B4918" s="38">
        <v>46276</v>
      </c>
      <c r="C4918" s="23" t="s">
        <v>10291</v>
      </c>
      <c r="D4918" s="23"/>
      <c r="E4918" s="23" t="s">
        <v>75</v>
      </c>
      <c r="F4918" s="23" t="s">
        <v>262</v>
      </c>
      <c r="G4918" s="23" t="s">
        <v>250</v>
      </c>
      <c r="H4918" s="39">
        <f t="shared" si="304"/>
        <v>499</v>
      </c>
      <c r="I4918" s="23" t="str">
        <f t="shared" si="305"/>
        <v>Unknown</v>
      </c>
      <c r="J4918" s="23">
        <f>COUNTIFS(pg_transaction_cleaned!$O:$O,A4918,pg_transaction_cleaned!$F:$F,"CAPTURE")</f>
        <v>1</v>
      </c>
      <c r="K4918" s="39">
        <f>SUMIFS(pg_transaction_cleaned!$H:$H,pg_transaction_cleaned!$O:$O,A4918,pg_transaction_cleaned!$F:$F,"CAPTURE")</f>
        <v>499</v>
      </c>
      <c r="L4918" s="23">
        <f>COUNTIFS(pg_transaction_cleaned!$O:$O,A4918,pg_transaction_cleaned!$F:$F,"REFUND")</f>
        <v>0</v>
      </c>
      <c r="M4918" s="39">
        <f>SUMIFS(pg_transaction_cleaned!$H:$H,pg_transaction_cleaned!$O:$O,A4918,pg_transaction_cleaned!$F:$F,"REFUND")</f>
        <v>0</v>
      </c>
      <c r="N4918" s="23" t="str">
        <f t="shared" si="306"/>
        <v>OK</v>
      </c>
      <c r="O4918" s="24">
        <f t="shared" si="307"/>
        <v>0</v>
      </c>
    </row>
    <row r="4919" spans="1:15" ht="15" customHeight="1" x14ac:dyDescent="0.3">
      <c r="A4919" s="23" t="s">
        <v>10292</v>
      </c>
      <c r="B4919" s="38">
        <v>46291</v>
      </c>
      <c r="C4919" s="23" t="s">
        <v>10293</v>
      </c>
      <c r="D4919" s="23" t="s">
        <v>87</v>
      </c>
      <c r="E4919" s="23" t="s">
        <v>75</v>
      </c>
      <c r="F4919" s="23" t="s">
        <v>475</v>
      </c>
      <c r="G4919" s="23" t="s">
        <v>250</v>
      </c>
      <c r="H4919" s="39">
        <f t="shared" si="304"/>
        <v>799</v>
      </c>
      <c r="I4919" s="23" t="str">
        <f t="shared" si="305"/>
        <v>Mumbai</v>
      </c>
      <c r="J4919" s="23">
        <f>COUNTIFS(pg_transaction_cleaned!$O:$O,A4919,pg_transaction_cleaned!$F:$F,"CAPTURE")</f>
        <v>1</v>
      </c>
      <c r="K4919" s="39">
        <f>SUMIFS(pg_transaction_cleaned!$H:$H,pg_transaction_cleaned!$O:$O,A4919,pg_transaction_cleaned!$F:$F,"CAPTURE")</f>
        <v>799</v>
      </c>
      <c r="L4919" s="23">
        <f>COUNTIFS(pg_transaction_cleaned!$O:$O,A4919,pg_transaction_cleaned!$F:$F,"REFUND")</f>
        <v>0</v>
      </c>
      <c r="M4919" s="39">
        <f>SUMIFS(pg_transaction_cleaned!$H:$H,pg_transaction_cleaned!$O:$O,A4919,pg_transaction_cleaned!$F:$F,"REFUND")</f>
        <v>0</v>
      </c>
      <c r="N4919" s="23" t="str">
        <f t="shared" si="306"/>
        <v>OK</v>
      </c>
      <c r="O4919" s="24">
        <f t="shared" si="307"/>
        <v>0</v>
      </c>
    </row>
    <row r="4920" spans="1:15" ht="15" customHeight="1" x14ac:dyDescent="0.3">
      <c r="A4920" s="23" t="s">
        <v>10294</v>
      </c>
      <c r="B4920" s="38">
        <v>46272</v>
      </c>
      <c r="C4920" s="23" t="s">
        <v>10295</v>
      </c>
      <c r="D4920" s="23" t="s">
        <v>92</v>
      </c>
      <c r="E4920" s="23" t="s">
        <v>75</v>
      </c>
      <c r="F4920" s="23" t="s">
        <v>262</v>
      </c>
      <c r="G4920" s="23" t="s">
        <v>250</v>
      </c>
      <c r="H4920" s="39">
        <f t="shared" si="304"/>
        <v>499</v>
      </c>
      <c r="I4920" s="23" t="str">
        <f t="shared" si="305"/>
        <v>Hyderabad</v>
      </c>
      <c r="J4920" s="23">
        <f>COUNTIFS(pg_transaction_cleaned!$O:$O,A4920,pg_transaction_cleaned!$F:$F,"CAPTURE")</f>
        <v>1</v>
      </c>
      <c r="K4920" s="39">
        <f>SUMIFS(pg_transaction_cleaned!$H:$H,pg_transaction_cleaned!$O:$O,A4920,pg_transaction_cleaned!$F:$F,"CAPTURE")</f>
        <v>499</v>
      </c>
      <c r="L4920" s="23">
        <f>COUNTIFS(pg_transaction_cleaned!$O:$O,A4920,pg_transaction_cleaned!$F:$F,"REFUND")</f>
        <v>0</v>
      </c>
      <c r="M4920" s="39">
        <f>SUMIFS(pg_transaction_cleaned!$H:$H,pg_transaction_cleaned!$O:$O,A4920,pg_transaction_cleaned!$F:$F,"REFUND")</f>
        <v>0</v>
      </c>
      <c r="N4920" s="23" t="str">
        <f t="shared" si="306"/>
        <v>OK</v>
      </c>
      <c r="O4920" s="24">
        <f t="shared" si="307"/>
        <v>0</v>
      </c>
    </row>
    <row r="4921" spans="1:15" ht="15" customHeight="1" x14ac:dyDescent="0.3">
      <c r="A4921" s="23" t="s">
        <v>10296</v>
      </c>
      <c r="B4921" s="38">
        <v>46279</v>
      </c>
      <c r="C4921" s="23" t="s">
        <v>10297</v>
      </c>
      <c r="D4921" s="23" t="s">
        <v>94</v>
      </c>
      <c r="E4921" s="23" t="s">
        <v>79</v>
      </c>
      <c r="F4921" s="23" t="s">
        <v>582</v>
      </c>
      <c r="G4921" s="23" t="s">
        <v>250</v>
      </c>
      <c r="H4921" s="39">
        <f t="shared" si="304"/>
        <v>1298</v>
      </c>
      <c r="I4921" s="23" t="str">
        <f t="shared" si="305"/>
        <v>Chennai</v>
      </c>
      <c r="J4921" s="23">
        <f>COUNTIFS(pg_transaction_cleaned!$O:$O,A4921,pg_transaction_cleaned!$F:$F,"CAPTURE")</f>
        <v>1</v>
      </c>
      <c r="K4921" s="39">
        <f>SUMIFS(pg_transaction_cleaned!$H:$H,pg_transaction_cleaned!$O:$O,A4921,pg_transaction_cleaned!$F:$F,"CAPTURE")</f>
        <v>1298</v>
      </c>
      <c r="L4921" s="23">
        <f>COUNTIFS(pg_transaction_cleaned!$O:$O,A4921,pg_transaction_cleaned!$F:$F,"REFUND")</f>
        <v>0</v>
      </c>
      <c r="M4921" s="39">
        <f>SUMIFS(pg_transaction_cleaned!$H:$H,pg_transaction_cleaned!$O:$O,A4921,pg_transaction_cleaned!$F:$F,"REFUND")</f>
        <v>0</v>
      </c>
      <c r="N4921" s="23" t="str">
        <f t="shared" si="306"/>
        <v>OK</v>
      </c>
      <c r="O4921" s="24">
        <f t="shared" si="307"/>
        <v>0</v>
      </c>
    </row>
    <row r="4922" spans="1:15" ht="15" customHeight="1" x14ac:dyDescent="0.3">
      <c r="A4922" s="23" t="s">
        <v>10298</v>
      </c>
      <c r="B4922" s="38">
        <v>46277</v>
      </c>
      <c r="C4922" s="23" t="s">
        <v>10299</v>
      </c>
      <c r="D4922" s="23"/>
      <c r="E4922" s="23" t="s">
        <v>75</v>
      </c>
      <c r="F4922" s="23" t="s">
        <v>1341</v>
      </c>
      <c r="G4922" s="23" t="s">
        <v>250</v>
      </c>
      <c r="H4922" s="39">
        <f t="shared" si="304"/>
        <v>2297</v>
      </c>
      <c r="I4922" s="23" t="str">
        <f t="shared" si="305"/>
        <v>Unknown</v>
      </c>
      <c r="J4922" s="23">
        <f>COUNTIFS(pg_transaction_cleaned!$O:$O,A4922,pg_transaction_cleaned!$F:$F,"CAPTURE")</f>
        <v>1</v>
      </c>
      <c r="K4922" s="39">
        <f>SUMIFS(pg_transaction_cleaned!$H:$H,pg_transaction_cleaned!$O:$O,A4922,pg_transaction_cleaned!$F:$F,"CAPTURE")</f>
        <v>2297</v>
      </c>
      <c r="L4922" s="23">
        <f>COUNTIFS(pg_transaction_cleaned!$O:$O,A4922,pg_transaction_cleaned!$F:$F,"REFUND")</f>
        <v>0</v>
      </c>
      <c r="M4922" s="39">
        <f>SUMIFS(pg_transaction_cleaned!$H:$H,pg_transaction_cleaned!$O:$O,A4922,pg_transaction_cleaned!$F:$F,"REFUND")</f>
        <v>0</v>
      </c>
      <c r="N4922" s="23" t="str">
        <f t="shared" si="306"/>
        <v>OK</v>
      </c>
      <c r="O4922" s="24">
        <f t="shared" si="307"/>
        <v>0</v>
      </c>
    </row>
    <row r="4923" spans="1:15" ht="15" customHeight="1" x14ac:dyDescent="0.3">
      <c r="A4923" s="23" t="s">
        <v>10300</v>
      </c>
      <c r="B4923" s="38">
        <v>46268</v>
      </c>
      <c r="C4923" s="23" t="s">
        <v>10301</v>
      </c>
      <c r="D4923" s="23" t="s">
        <v>88</v>
      </c>
      <c r="E4923" s="23" t="s">
        <v>75</v>
      </c>
      <c r="F4923" s="23" t="s">
        <v>1035</v>
      </c>
      <c r="G4923" s="23" t="s">
        <v>301</v>
      </c>
      <c r="H4923" s="39">
        <f t="shared" si="304"/>
        <v>1299</v>
      </c>
      <c r="I4923" s="23" t="str">
        <f t="shared" si="305"/>
        <v>Lucknow</v>
      </c>
      <c r="J4923" s="23">
        <f>COUNTIFS(pg_transaction_cleaned!$O:$O,A4923,pg_transaction_cleaned!$F:$F,"CAPTURE")</f>
        <v>1</v>
      </c>
      <c r="K4923" s="39">
        <f>SUMIFS(pg_transaction_cleaned!$H:$H,pg_transaction_cleaned!$O:$O,A4923,pg_transaction_cleaned!$F:$F,"CAPTURE")</f>
        <v>1299</v>
      </c>
      <c r="L4923" s="23">
        <f>COUNTIFS(pg_transaction_cleaned!$O:$O,A4923,pg_transaction_cleaned!$F:$F,"REFUND")</f>
        <v>1</v>
      </c>
      <c r="M4923" s="39">
        <f>SUMIFS(pg_transaction_cleaned!$H:$H,pg_transaction_cleaned!$O:$O,A4923,pg_transaction_cleaned!$F:$F,"REFUND")</f>
        <v>1299</v>
      </c>
      <c r="N4923" s="23" t="str">
        <f t="shared" si="306"/>
        <v>OK</v>
      </c>
      <c r="O4923" s="24">
        <f t="shared" si="307"/>
        <v>0</v>
      </c>
    </row>
    <row r="4924" spans="1:15" ht="15" customHeight="1" x14ac:dyDescent="0.3">
      <c r="A4924" s="23" t="s">
        <v>10302</v>
      </c>
      <c r="B4924" s="38">
        <v>46274</v>
      </c>
      <c r="C4924" s="23" t="s">
        <v>10303</v>
      </c>
      <c r="D4924" s="23" t="s">
        <v>88</v>
      </c>
      <c r="E4924" s="23" t="s">
        <v>75</v>
      </c>
      <c r="F4924" s="23" t="s">
        <v>340</v>
      </c>
      <c r="G4924" s="23" t="s">
        <v>250</v>
      </c>
      <c r="H4924" s="39">
        <f t="shared" si="304"/>
        <v>6298</v>
      </c>
      <c r="I4924" s="23" t="str">
        <f t="shared" si="305"/>
        <v>Lucknow</v>
      </c>
      <c r="J4924" s="23">
        <f>COUNTIFS(pg_transaction_cleaned!$O:$O,A4924,pg_transaction_cleaned!$F:$F,"CAPTURE")</f>
        <v>1</v>
      </c>
      <c r="K4924" s="39">
        <f>SUMIFS(pg_transaction_cleaned!$H:$H,pg_transaction_cleaned!$O:$O,A4924,pg_transaction_cleaned!$F:$F,"CAPTURE")</f>
        <v>6298</v>
      </c>
      <c r="L4924" s="23">
        <f>COUNTIFS(pg_transaction_cleaned!$O:$O,A4924,pg_transaction_cleaned!$F:$F,"REFUND")</f>
        <v>0</v>
      </c>
      <c r="M4924" s="39">
        <f>SUMIFS(pg_transaction_cleaned!$H:$H,pg_transaction_cleaned!$O:$O,A4924,pg_transaction_cleaned!$F:$F,"REFUND")</f>
        <v>0</v>
      </c>
      <c r="N4924" s="23" t="str">
        <f t="shared" si="306"/>
        <v>OK</v>
      </c>
      <c r="O4924" s="24">
        <f t="shared" si="307"/>
        <v>0</v>
      </c>
    </row>
    <row r="4925" spans="1:15" ht="15" customHeight="1" x14ac:dyDescent="0.3">
      <c r="A4925" s="23" t="s">
        <v>10304</v>
      </c>
      <c r="B4925" s="38">
        <v>46273</v>
      </c>
      <c r="C4925" s="23" t="s">
        <v>10305</v>
      </c>
      <c r="D4925" s="23" t="s">
        <v>93</v>
      </c>
      <c r="E4925" s="23" t="s">
        <v>79</v>
      </c>
      <c r="F4925" s="23" t="s">
        <v>1437</v>
      </c>
      <c r="G4925" s="23" t="s">
        <v>250</v>
      </c>
      <c r="H4925" s="39">
        <f t="shared" si="304"/>
        <v>5847</v>
      </c>
      <c r="I4925" s="23" t="str">
        <f t="shared" si="305"/>
        <v>Kolkata</v>
      </c>
      <c r="J4925" s="23">
        <f>COUNTIFS(pg_transaction_cleaned!$O:$O,A4925,pg_transaction_cleaned!$F:$F,"CAPTURE")</f>
        <v>1</v>
      </c>
      <c r="K4925" s="39">
        <f>SUMIFS(pg_transaction_cleaned!$H:$H,pg_transaction_cleaned!$O:$O,A4925,pg_transaction_cleaned!$F:$F,"CAPTURE")</f>
        <v>5847</v>
      </c>
      <c r="L4925" s="23">
        <f>COUNTIFS(pg_transaction_cleaned!$O:$O,A4925,pg_transaction_cleaned!$F:$F,"REFUND")</f>
        <v>0</v>
      </c>
      <c r="M4925" s="39">
        <f>SUMIFS(pg_transaction_cleaned!$H:$H,pg_transaction_cleaned!$O:$O,A4925,pg_transaction_cleaned!$F:$F,"REFUND")</f>
        <v>0</v>
      </c>
      <c r="N4925" s="23" t="str">
        <f t="shared" si="306"/>
        <v>OK</v>
      </c>
      <c r="O4925" s="24">
        <f t="shared" si="307"/>
        <v>0</v>
      </c>
    </row>
    <row r="4926" spans="1:15" ht="15" customHeight="1" x14ac:dyDescent="0.3">
      <c r="A4926" s="23" t="s">
        <v>10306</v>
      </c>
      <c r="B4926" s="38">
        <v>46276</v>
      </c>
      <c r="C4926" s="23" t="s">
        <v>10307</v>
      </c>
      <c r="D4926" s="23" t="s">
        <v>86</v>
      </c>
      <c r="E4926" s="23" t="s">
        <v>75</v>
      </c>
      <c r="F4926" s="23" t="s">
        <v>795</v>
      </c>
      <c r="G4926" s="23" t="s">
        <v>250</v>
      </c>
      <c r="H4926" s="39">
        <f t="shared" si="304"/>
        <v>1499</v>
      </c>
      <c r="I4926" s="23" t="str">
        <f t="shared" si="305"/>
        <v>Delhi</v>
      </c>
      <c r="J4926" s="23">
        <f>COUNTIFS(pg_transaction_cleaned!$O:$O,A4926,pg_transaction_cleaned!$F:$F,"CAPTURE")</f>
        <v>1</v>
      </c>
      <c r="K4926" s="39">
        <f>SUMIFS(pg_transaction_cleaned!$H:$H,pg_transaction_cleaned!$O:$O,A4926,pg_transaction_cleaned!$F:$F,"CAPTURE")</f>
        <v>1499</v>
      </c>
      <c r="L4926" s="23">
        <f>COUNTIFS(pg_transaction_cleaned!$O:$O,A4926,pg_transaction_cleaned!$F:$F,"REFUND")</f>
        <v>0</v>
      </c>
      <c r="M4926" s="39">
        <f>SUMIFS(pg_transaction_cleaned!$H:$H,pg_transaction_cleaned!$O:$O,A4926,pg_transaction_cleaned!$F:$F,"REFUND")</f>
        <v>0</v>
      </c>
      <c r="N4926" s="23" t="str">
        <f t="shared" si="306"/>
        <v>OK</v>
      </c>
      <c r="O4926" s="24">
        <f t="shared" si="307"/>
        <v>0</v>
      </c>
    </row>
    <row r="4927" spans="1:15" ht="15" customHeight="1" x14ac:dyDescent="0.3">
      <c r="A4927" s="23" t="s">
        <v>10308</v>
      </c>
      <c r="B4927" s="38">
        <v>46293</v>
      </c>
      <c r="C4927" s="23" t="s">
        <v>10309</v>
      </c>
      <c r="D4927" s="23" t="s">
        <v>87</v>
      </c>
      <c r="E4927" s="23" t="s">
        <v>79</v>
      </c>
      <c r="F4927" s="23" t="s">
        <v>2954</v>
      </c>
      <c r="G4927" s="23" t="s">
        <v>250</v>
      </c>
      <c r="H4927" s="39">
        <f t="shared" si="304"/>
        <v>1799</v>
      </c>
      <c r="I4927" s="23" t="str">
        <f t="shared" si="305"/>
        <v>Mumbai</v>
      </c>
      <c r="J4927" s="23">
        <f>COUNTIFS(pg_transaction_cleaned!$O:$O,A4927,pg_transaction_cleaned!$F:$F,"CAPTURE")</f>
        <v>1</v>
      </c>
      <c r="K4927" s="39">
        <f>SUMIFS(pg_transaction_cleaned!$H:$H,pg_transaction_cleaned!$O:$O,A4927,pg_transaction_cleaned!$F:$F,"CAPTURE")</f>
        <v>1799</v>
      </c>
      <c r="L4927" s="23">
        <f>COUNTIFS(pg_transaction_cleaned!$O:$O,A4927,pg_transaction_cleaned!$F:$F,"REFUND")</f>
        <v>0</v>
      </c>
      <c r="M4927" s="39">
        <f>SUMIFS(pg_transaction_cleaned!$H:$H,pg_transaction_cleaned!$O:$O,A4927,pg_transaction_cleaned!$F:$F,"REFUND")</f>
        <v>0</v>
      </c>
      <c r="N4927" s="23" t="str">
        <f t="shared" si="306"/>
        <v>OK</v>
      </c>
      <c r="O4927" s="24">
        <f t="shared" si="307"/>
        <v>0</v>
      </c>
    </row>
    <row r="4928" spans="1:15" ht="15" customHeight="1" x14ac:dyDescent="0.3">
      <c r="A4928" s="23" t="s">
        <v>10310</v>
      </c>
      <c r="B4928" s="38">
        <v>46277</v>
      </c>
      <c r="C4928" s="23" t="s">
        <v>10311</v>
      </c>
      <c r="D4928" s="23" t="s">
        <v>87</v>
      </c>
      <c r="E4928" s="23" t="s">
        <v>79</v>
      </c>
      <c r="F4928" s="23" t="s">
        <v>357</v>
      </c>
      <c r="G4928" s="23" t="s">
        <v>250</v>
      </c>
      <c r="H4928" s="39">
        <f t="shared" si="304"/>
        <v>1598</v>
      </c>
      <c r="I4928" s="23" t="str">
        <f t="shared" si="305"/>
        <v>Mumbai</v>
      </c>
      <c r="J4928" s="23">
        <f>COUNTIFS(pg_transaction_cleaned!$O:$O,A4928,pg_transaction_cleaned!$F:$F,"CAPTURE")</f>
        <v>1</v>
      </c>
      <c r="K4928" s="39">
        <f>SUMIFS(pg_transaction_cleaned!$H:$H,pg_transaction_cleaned!$O:$O,A4928,pg_transaction_cleaned!$F:$F,"CAPTURE")</f>
        <v>1598</v>
      </c>
      <c r="L4928" s="23">
        <f>COUNTIFS(pg_transaction_cleaned!$O:$O,A4928,pg_transaction_cleaned!$F:$F,"REFUND")</f>
        <v>0</v>
      </c>
      <c r="M4928" s="39">
        <f>SUMIFS(pg_transaction_cleaned!$H:$H,pg_transaction_cleaned!$O:$O,A4928,pg_transaction_cleaned!$F:$F,"REFUND")</f>
        <v>0</v>
      </c>
      <c r="N4928" s="23" t="str">
        <f t="shared" si="306"/>
        <v>OK</v>
      </c>
      <c r="O4928" s="24">
        <f t="shared" si="307"/>
        <v>0</v>
      </c>
    </row>
    <row r="4929" spans="1:15" ht="15" customHeight="1" x14ac:dyDescent="0.3">
      <c r="A4929" s="23" t="s">
        <v>10312</v>
      </c>
      <c r="B4929" s="38">
        <v>46295</v>
      </c>
      <c r="C4929" s="23" t="s">
        <v>10313</v>
      </c>
      <c r="D4929" s="23" t="s">
        <v>88</v>
      </c>
      <c r="E4929" s="23" t="s">
        <v>81</v>
      </c>
      <c r="F4929" s="23" t="s">
        <v>265</v>
      </c>
      <c r="G4929" s="23" t="s">
        <v>250</v>
      </c>
      <c r="H4929" s="39">
        <f t="shared" si="304"/>
        <v>999</v>
      </c>
      <c r="I4929" s="23" t="str">
        <f t="shared" si="305"/>
        <v>Lucknow</v>
      </c>
      <c r="J4929" s="23">
        <f>COUNTIFS(pg_transaction_cleaned!$O:$O,A4929,pg_transaction_cleaned!$F:$F,"CAPTURE")</f>
        <v>1</v>
      </c>
      <c r="K4929" s="39">
        <f>SUMIFS(pg_transaction_cleaned!$H:$H,pg_transaction_cleaned!$O:$O,A4929,pg_transaction_cleaned!$F:$F,"CAPTURE")</f>
        <v>999</v>
      </c>
      <c r="L4929" s="23">
        <f>COUNTIFS(pg_transaction_cleaned!$O:$O,A4929,pg_transaction_cleaned!$F:$F,"REFUND")</f>
        <v>0</v>
      </c>
      <c r="M4929" s="39">
        <f>SUMIFS(pg_transaction_cleaned!$H:$H,pg_transaction_cleaned!$O:$O,A4929,pg_transaction_cleaned!$F:$F,"REFUND")</f>
        <v>0</v>
      </c>
      <c r="N4929" s="23" t="str">
        <f t="shared" si="306"/>
        <v>OK</v>
      </c>
      <c r="O4929" s="24">
        <f t="shared" si="307"/>
        <v>0</v>
      </c>
    </row>
    <row r="4930" spans="1:15" ht="15" customHeight="1" x14ac:dyDescent="0.3">
      <c r="A4930" s="23" t="s">
        <v>10314</v>
      </c>
      <c r="B4930" s="38">
        <v>46276</v>
      </c>
      <c r="C4930" s="23" t="s">
        <v>10315</v>
      </c>
      <c r="D4930" s="23" t="s">
        <v>93</v>
      </c>
      <c r="E4930" s="23" t="s">
        <v>75</v>
      </c>
      <c r="F4930" s="23" t="s">
        <v>262</v>
      </c>
      <c r="G4930" s="23" t="s">
        <v>301</v>
      </c>
      <c r="H4930" s="39">
        <f t="shared" ref="H4930:H4993" si="308">VALUE(SUBSTITUTE(F4930,",",""))</f>
        <v>499</v>
      </c>
      <c r="I4930" s="23" t="str">
        <f t="shared" ref="I4930:I4993" si="309">IF(TRIM(D4930)="","Unknown",TRIM(D4930))</f>
        <v>Kolkata</v>
      </c>
      <c r="J4930" s="23">
        <f>COUNTIFS(pg_transaction_cleaned!$O:$O,A4930,pg_transaction_cleaned!$F:$F,"CAPTURE")</f>
        <v>1</v>
      </c>
      <c r="K4930" s="39">
        <f>SUMIFS(pg_transaction_cleaned!$H:$H,pg_transaction_cleaned!$O:$O,A4930,pg_transaction_cleaned!$F:$F,"CAPTURE")</f>
        <v>499</v>
      </c>
      <c r="L4930" s="23">
        <f>COUNTIFS(pg_transaction_cleaned!$O:$O,A4930,pg_transaction_cleaned!$F:$F,"REFUND")</f>
        <v>1</v>
      </c>
      <c r="M4930" s="39">
        <f>SUMIFS(pg_transaction_cleaned!$H:$H,pg_transaction_cleaned!$O:$O,A4930,pg_transaction_cleaned!$F:$F,"REFUND")</f>
        <v>499</v>
      </c>
      <c r="N4930" s="23" t="str">
        <f t="shared" ref="N4930:N4993" si="310">IF(AND(G4930="Paid",J4930=0),"Paid, no payment",IF(AND(OR(G4930="Failed",G4930="Cancelled"),J4930&gt;0),"Payment on failed/cancelled",IF(J4930&gt;1,"Duplicate charge",IF(AND(J4930=1,ROUND(K4930-H4930,2)&lt;&gt;0),"Amount difference",IF(AND(G4930="Refunded",L4930=0),"Refunded, no refund",IF(AND(G4930&lt;&gt;"Refunded",L4930&gt;0),"Refund, order not Refunded",IF(AND(L4930&gt;0,ROUND(M4930-H4930,2)&lt;&gt;0),"Refund amount differs","OK")))))))</f>
        <v>OK</v>
      </c>
      <c r="O4930" s="24">
        <f t="shared" ref="O4930:O4993" si="311">IF(N4930="OK",0,IF(N4930="Paid, no payment",H4930,IF(N4930="Payment on failed/cancelled",K4930,IF(OR(N4930="Duplicate charge",N4930="Amount difference"),K4930-H4930,IF(N4930="Refunded, no refund",H4930,M4930)))))</f>
        <v>0</v>
      </c>
    </row>
    <row r="4931" spans="1:15" ht="15" customHeight="1" x14ac:dyDescent="0.3">
      <c r="A4931" s="23" t="s">
        <v>10316</v>
      </c>
      <c r="B4931" s="38">
        <v>46266</v>
      </c>
      <c r="C4931" s="23" t="s">
        <v>10317</v>
      </c>
      <c r="D4931" s="23" t="s">
        <v>92</v>
      </c>
      <c r="E4931" s="23" t="s">
        <v>79</v>
      </c>
      <c r="F4931" s="23" t="s">
        <v>483</v>
      </c>
      <c r="G4931" s="23" t="s">
        <v>250</v>
      </c>
      <c r="H4931" s="39">
        <f t="shared" si="308"/>
        <v>2998</v>
      </c>
      <c r="I4931" s="23" t="str">
        <f t="shared" si="309"/>
        <v>Hyderabad</v>
      </c>
      <c r="J4931" s="23">
        <f>COUNTIFS(pg_transaction_cleaned!$O:$O,A4931,pg_transaction_cleaned!$F:$F,"CAPTURE")</f>
        <v>1</v>
      </c>
      <c r="K4931" s="39">
        <f>SUMIFS(pg_transaction_cleaned!$H:$H,pg_transaction_cleaned!$O:$O,A4931,pg_transaction_cleaned!$F:$F,"CAPTURE")</f>
        <v>2998</v>
      </c>
      <c r="L4931" s="23">
        <f>COUNTIFS(pg_transaction_cleaned!$O:$O,A4931,pg_transaction_cleaned!$F:$F,"REFUND")</f>
        <v>0</v>
      </c>
      <c r="M4931" s="39">
        <f>SUMIFS(pg_transaction_cleaned!$H:$H,pg_transaction_cleaned!$O:$O,A4931,pg_transaction_cleaned!$F:$F,"REFUND")</f>
        <v>0</v>
      </c>
      <c r="N4931" s="23" t="str">
        <f t="shared" si="310"/>
        <v>OK</v>
      </c>
      <c r="O4931" s="24">
        <f t="shared" si="311"/>
        <v>0</v>
      </c>
    </row>
    <row r="4932" spans="1:15" ht="15" customHeight="1" x14ac:dyDescent="0.3">
      <c r="A4932" s="23" t="s">
        <v>10318</v>
      </c>
      <c r="B4932" s="38">
        <v>46295</v>
      </c>
      <c r="C4932" s="23" t="s">
        <v>10319</v>
      </c>
      <c r="D4932" s="23" t="s">
        <v>88</v>
      </c>
      <c r="E4932" s="23" t="s">
        <v>75</v>
      </c>
      <c r="F4932" s="23" t="s">
        <v>329</v>
      </c>
      <c r="G4932" s="23" t="s">
        <v>250</v>
      </c>
      <c r="H4932" s="39">
        <f t="shared" si="308"/>
        <v>599</v>
      </c>
      <c r="I4932" s="23" t="str">
        <f t="shared" si="309"/>
        <v>Lucknow</v>
      </c>
      <c r="J4932" s="23">
        <f>COUNTIFS(pg_transaction_cleaned!$O:$O,A4932,pg_transaction_cleaned!$F:$F,"CAPTURE")</f>
        <v>1</v>
      </c>
      <c r="K4932" s="39">
        <f>SUMIFS(pg_transaction_cleaned!$H:$H,pg_transaction_cleaned!$O:$O,A4932,pg_transaction_cleaned!$F:$F,"CAPTURE")</f>
        <v>599</v>
      </c>
      <c r="L4932" s="23">
        <f>COUNTIFS(pg_transaction_cleaned!$O:$O,A4932,pg_transaction_cleaned!$F:$F,"REFUND")</f>
        <v>0</v>
      </c>
      <c r="M4932" s="39">
        <f>SUMIFS(pg_transaction_cleaned!$H:$H,pg_transaction_cleaned!$O:$O,A4932,pg_transaction_cleaned!$F:$F,"REFUND")</f>
        <v>0</v>
      </c>
      <c r="N4932" s="23" t="str">
        <f t="shared" si="310"/>
        <v>OK</v>
      </c>
      <c r="O4932" s="24">
        <f t="shared" si="311"/>
        <v>0</v>
      </c>
    </row>
    <row r="4933" spans="1:15" ht="15" customHeight="1" x14ac:dyDescent="0.3">
      <c r="A4933" s="23" t="s">
        <v>10320</v>
      </c>
      <c r="B4933" s="38">
        <v>46289</v>
      </c>
      <c r="C4933" s="23" t="s">
        <v>10321</v>
      </c>
      <c r="D4933" s="23" t="s">
        <v>89</v>
      </c>
      <c r="E4933" s="23" t="s">
        <v>75</v>
      </c>
      <c r="F4933" s="23" t="s">
        <v>451</v>
      </c>
      <c r="G4933" s="23" t="s">
        <v>250</v>
      </c>
      <c r="H4933" s="39">
        <f t="shared" si="308"/>
        <v>1098</v>
      </c>
      <c r="I4933" s="23" t="str">
        <f t="shared" si="309"/>
        <v>Jaipur</v>
      </c>
      <c r="J4933" s="23">
        <f>COUNTIFS(pg_transaction_cleaned!$O:$O,A4933,pg_transaction_cleaned!$F:$F,"CAPTURE")</f>
        <v>1</v>
      </c>
      <c r="K4933" s="39">
        <f>SUMIFS(pg_transaction_cleaned!$H:$H,pg_transaction_cleaned!$O:$O,A4933,pg_transaction_cleaned!$F:$F,"CAPTURE")</f>
        <v>1098</v>
      </c>
      <c r="L4933" s="23">
        <f>COUNTIFS(pg_transaction_cleaned!$O:$O,A4933,pg_transaction_cleaned!$F:$F,"REFUND")</f>
        <v>0</v>
      </c>
      <c r="M4933" s="39">
        <f>SUMIFS(pg_transaction_cleaned!$H:$H,pg_transaction_cleaned!$O:$O,A4933,pg_transaction_cleaned!$F:$F,"REFUND")</f>
        <v>0</v>
      </c>
      <c r="N4933" s="23" t="str">
        <f t="shared" si="310"/>
        <v>OK</v>
      </c>
      <c r="O4933" s="24">
        <f t="shared" si="311"/>
        <v>0</v>
      </c>
    </row>
    <row r="4934" spans="1:15" ht="15" customHeight="1" x14ac:dyDescent="0.3">
      <c r="A4934" s="23" t="s">
        <v>10322</v>
      </c>
      <c r="B4934" s="38">
        <v>46271</v>
      </c>
      <c r="C4934" s="23" t="s">
        <v>10323</v>
      </c>
      <c r="D4934" s="23" t="s">
        <v>86</v>
      </c>
      <c r="E4934" s="23" t="s">
        <v>75</v>
      </c>
      <c r="F4934" s="23" t="s">
        <v>3354</v>
      </c>
      <c r="G4934" s="23" t="s">
        <v>250</v>
      </c>
      <c r="H4934" s="39">
        <f t="shared" si="308"/>
        <v>12097</v>
      </c>
      <c r="I4934" s="23" t="str">
        <f t="shared" si="309"/>
        <v>Delhi</v>
      </c>
      <c r="J4934" s="23">
        <f>COUNTIFS(pg_transaction_cleaned!$O:$O,A4934,pg_transaction_cleaned!$F:$F,"CAPTURE")</f>
        <v>1</v>
      </c>
      <c r="K4934" s="39">
        <f>SUMIFS(pg_transaction_cleaned!$H:$H,pg_transaction_cleaned!$O:$O,A4934,pg_transaction_cleaned!$F:$F,"CAPTURE")</f>
        <v>12097</v>
      </c>
      <c r="L4934" s="23">
        <f>COUNTIFS(pg_transaction_cleaned!$O:$O,A4934,pg_transaction_cleaned!$F:$F,"REFUND")</f>
        <v>0</v>
      </c>
      <c r="M4934" s="39">
        <f>SUMIFS(pg_transaction_cleaned!$H:$H,pg_transaction_cleaned!$O:$O,A4934,pg_transaction_cleaned!$F:$F,"REFUND")</f>
        <v>0</v>
      </c>
      <c r="N4934" s="23" t="str">
        <f t="shared" si="310"/>
        <v>OK</v>
      </c>
      <c r="O4934" s="24">
        <f t="shared" si="311"/>
        <v>0</v>
      </c>
    </row>
    <row r="4935" spans="1:15" ht="15" customHeight="1" x14ac:dyDescent="0.3">
      <c r="A4935" s="23" t="s">
        <v>10324</v>
      </c>
      <c r="B4935" s="38">
        <v>46279</v>
      </c>
      <c r="C4935" s="23" t="s">
        <v>10325</v>
      </c>
      <c r="D4935" s="23" t="s">
        <v>88</v>
      </c>
      <c r="E4935" s="23" t="s">
        <v>75</v>
      </c>
      <c r="F4935" s="23" t="s">
        <v>1372</v>
      </c>
      <c r="G4935" s="23" t="s">
        <v>318</v>
      </c>
      <c r="H4935" s="39">
        <f t="shared" si="308"/>
        <v>798</v>
      </c>
      <c r="I4935" s="23" t="str">
        <f t="shared" si="309"/>
        <v>Lucknow</v>
      </c>
      <c r="J4935" s="23">
        <f>COUNTIFS(pg_transaction_cleaned!$O:$O,A4935,pg_transaction_cleaned!$F:$F,"CAPTURE")</f>
        <v>0</v>
      </c>
      <c r="K4935" s="39">
        <f>SUMIFS(pg_transaction_cleaned!$H:$H,pg_transaction_cleaned!$O:$O,A4935,pg_transaction_cleaned!$F:$F,"CAPTURE")</f>
        <v>0</v>
      </c>
      <c r="L4935" s="23">
        <f>COUNTIFS(pg_transaction_cleaned!$O:$O,A4935,pg_transaction_cleaned!$F:$F,"REFUND")</f>
        <v>0</v>
      </c>
      <c r="M4935" s="39">
        <f>SUMIFS(pg_transaction_cleaned!$H:$H,pg_transaction_cleaned!$O:$O,A4935,pg_transaction_cleaned!$F:$F,"REFUND")</f>
        <v>0</v>
      </c>
      <c r="N4935" s="23" t="str">
        <f t="shared" si="310"/>
        <v>OK</v>
      </c>
      <c r="O4935" s="24">
        <f t="shared" si="311"/>
        <v>0</v>
      </c>
    </row>
    <row r="4936" spans="1:15" ht="15" customHeight="1" x14ac:dyDescent="0.3">
      <c r="A4936" s="23" t="s">
        <v>10326</v>
      </c>
      <c r="B4936" s="38">
        <v>46280</v>
      </c>
      <c r="C4936" s="23" t="s">
        <v>10327</v>
      </c>
      <c r="D4936" s="23" t="s">
        <v>88</v>
      </c>
      <c r="E4936" s="23" t="s">
        <v>75</v>
      </c>
      <c r="F4936" s="23" t="s">
        <v>265</v>
      </c>
      <c r="G4936" s="23" t="s">
        <v>250</v>
      </c>
      <c r="H4936" s="39">
        <f t="shared" si="308"/>
        <v>999</v>
      </c>
      <c r="I4936" s="23" t="str">
        <f t="shared" si="309"/>
        <v>Lucknow</v>
      </c>
      <c r="J4936" s="23">
        <f>COUNTIFS(pg_transaction_cleaned!$O:$O,A4936,pg_transaction_cleaned!$F:$F,"CAPTURE")</f>
        <v>1</v>
      </c>
      <c r="K4936" s="39">
        <f>SUMIFS(pg_transaction_cleaned!$H:$H,pg_transaction_cleaned!$O:$O,A4936,pg_transaction_cleaned!$F:$F,"CAPTURE")</f>
        <v>999</v>
      </c>
      <c r="L4936" s="23">
        <f>COUNTIFS(pg_transaction_cleaned!$O:$O,A4936,pg_transaction_cleaned!$F:$F,"REFUND")</f>
        <v>0</v>
      </c>
      <c r="M4936" s="39">
        <f>SUMIFS(pg_transaction_cleaned!$H:$H,pg_transaction_cleaned!$O:$O,A4936,pg_transaction_cleaned!$F:$F,"REFUND")</f>
        <v>0</v>
      </c>
      <c r="N4936" s="23" t="str">
        <f t="shared" si="310"/>
        <v>OK</v>
      </c>
      <c r="O4936" s="24">
        <f t="shared" si="311"/>
        <v>0</v>
      </c>
    </row>
    <row r="4937" spans="1:15" ht="15" customHeight="1" x14ac:dyDescent="0.3">
      <c r="A4937" s="23" t="s">
        <v>10328</v>
      </c>
      <c r="B4937" s="38">
        <v>46267</v>
      </c>
      <c r="C4937" s="23" t="s">
        <v>10329</v>
      </c>
      <c r="D4937" s="23" t="s">
        <v>91</v>
      </c>
      <c r="E4937" s="23" t="s">
        <v>79</v>
      </c>
      <c r="F4937" s="23" t="s">
        <v>346</v>
      </c>
      <c r="G4937" s="23" t="s">
        <v>250</v>
      </c>
      <c r="H4937" s="39">
        <f t="shared" si="308"/>
        <v>4498</v>
      </c>
      <c r="I4937" s="23" t="str">
        <f t="shared" si="309"/>
        <v>Pune</v>
      </c>
      <c r="J4937" s="23">
        <f>COUNTIFS(pg_transaction_cleaned!$O:$O,A4937,pg_transaction_cleaned!$F:$F,"CAPTURE")</f>
        <v>1</v>
      </c>
      <c r="K4937" s="39">
        <f>SUMIFS(pg_transaction_cleaned!$H:$H,pg_transaction_cleaned!$O:$O,A4937,pg_transaction_cleaned!$F:$F,"CAPTURE")</f>
        <v>4498</v>
      </c>
      <c r="L4937" s="23">
        <f>COUNTIFS(pg_transaction_cleaned!$O:$O,A4937,pg_transaction_cleaned!$F:$F,"REFUND")</f>
        <v>0</v>
      </c>
      <c r="M4937" s="39">
        <f>SUMIFS(pg_transaction_cleaned!$H:$H,pg_transaction_cleaned!$O:$O,A4937,pg_transaction_cleaned!$F:$F,"REFUND")</f>
        <v>0</v>
      </c>
      <c r="N4937" s="23" t="str">
        <f t="shared" si="310"/>
        <v>OK</v>
      </c>
      <c r="O4937" s="24">
        <f t="shared" si="311"/>
        <v>0</v>
      </c>
    </row>
    <row r="4938" spans="1:15" ht="15" customHeight="1" x14ac:dyDescent="0.3">
      <c r="A4938" s="23" t="s">
        <v>10330</v>
      </c>
      <c r="B4938" s="38">
        <v>46271</v>
      </c>
      <c r="C4938" s="23" t="s">
        <v>10331</v>
      </c>
      <c r="D4938" s="23" t="s">
        <v>92</v>
      </c>
      <c r="E4938" s="23" t="s">
        <v>81</v>
      </c>
      <c r="F4938" s="23" t="s">
        <v>249</v>
      </c>
      <c r="G4938" s="23" t="s">
        <v>250</v>
      </c>
      <c r="H4938" s="39">
        <f t="shared" si="308"/>
        <v>299</v>
      </c>
      <c r="I4938" s="23" t="str">
        <f t="shared" si="309"/>
        <v>Hyderabad</v>
      </c>
      <c r="J4938" s="23">
        <f>COUNTIFS(pg_transaction_cleaned!$O:$O,A4938,pg_transaction_cleaned!$F:$F,"CAPTURE")</f>
        <v>1</v>
      </c>
      <c r="K4938" s="39">
        <f>SUMIFS(pg_transaction_cleaned!$H:$H,pg_transaction_cleaned!$O:$O,A4938,pg_transaction_cleaned!$F:$F,"CAPTURE")</f>
        <v>299</v>
      </c>
      <c r="L4938" s="23">
        <f>COUNTIFS(pg_transaction_cleaned!$O:$O,A4938,pg_transaction_cleaned!$F:$F,"REFUND")</f>
        <v>0</v>
      </c>
      <c r="M4938" s="39">
        <f>SUMIFS(pg_transaction_cleaned!$H:$H,pg_transaction_cleaned!$O:$O,A4938,pg_transaction_cleaned!$F:$F,"REFUND")</f>
        <v>0</v>
      </c>
      <c r="N4938" s="23" t="str">
        <f t="shared" si="310"/>
        <v>OK</v>
      </c>
      <c r="O4938" s="24">
        <f t="shared" si="311"/>
        <v>0</v>
      </c>
    </row>
    <row r="4939" spans="1:15" ht="15" customHeight="1" x14ac:dyDescent="0.3">
      <c r="A4939" s="23" t="s">
        <v>10332</v>
      </c>
      <c r="B4939" s="38">
        <v>46285</v>
      </c>
      <c r="C4939" s="23" t="s">
        <v>10333</v>
      </c>
      <c r="D4939" s="23" t="s">
        <v>91</v>
      </c>
      <c r="E4939" s="23" t="s">
        <v>75</v>
      </c>
      <c r="F4939" s="23" t="s">
        <v>795</v>
      </c>
      <c r="G4939" s="23" t="s">
        <v>250</v>
      </c>
      <c r="H4939" s="39">
        <f t="shared" si="308"/>
        <v>1499</v>
      </c>
      <c r="I4939" s="23" t="str">
        <f t="shared" si="309"/>
        <v>Pune</v>
      </c>
      <c r="J4939" s="23">
        <f>COUNTIFS(pg_transaction_cleaned!$O:$O,A4939,pg_transaction_cleaned!$F:$F,"CAPTURE")</f>
        <v>1</v>
      </c>
      <c r="K4939" s="39">
        <f>SUMIFS(pg_transaction_cleaned!$H:$H,pg_transaction_cleaned!$O:$O,A4939,pg_transaction_cleaned!$F:$F,"CAPTURE")</f>
        <v>1499</v>
      </c>
      <c r="L4939" s="23">
        <f>COUNTIFS(pg_transaction_cleaned!$O:$O,A4939,pg_transaction_cleaned!$F:$F,"REFUND")</f>
        <v>0</v>
      </c>
      <c r="M4939" s="39">
        <f>SUMIFS(pg_transaction_cleaned!$H:$H,pg_transaction_cleaned!$O:$O,A4939,pg_transaction_cleaned!$F:$F,"REFUND")</f>
        <v>0</v>
      </c>
      <c r="N4939" s="23" t="str">
        <f t="shared" si="310"/>
        <v>OK</v>
      </c>
      <c r="O4939" s="24">
        <f t="shared" si="311"/>
        <v>0</v>
      </c>
    </row>
    <row r="4940" spans="1:15" ht="15" customHeight="1" x14ac:dyDescent="0.3">
      <c r="A4940" s="23" t="s">
        <v>10334</v>
      </c>
      <c r="B4940" s="38">
        <v>46278</v>
      </c>
      <c r="C4940" s="23" t="s">
        <v>10335</v>
      </c>
      <c r="D4940" s="23" t="s">
        <v>95</v>
      </c>
      <c r="E4940" s="23" t="s">
        <v>79</v>
      </c>
      <c r="F4940" s="23" t="s">
        <v>291</v>
      </c>
      <c r="G4940" s="23" t="s">
        <v>250</v>
      </c>
      <c r="H4940" s="39">
        <f t="shared" si="308"/>
        <v>3499</v>
      </c>
      <c r="I4940" s="23" t="str">
        <f t="shared" si="309"/>
        <v>Bengaluru</v>
      </c>
      <c r="J4940" s="23">
        <f>COUNTIFS(pg_transaction_cleaned!$O:$O,A4940,pg_transaction_cleaned!$F:$F,"CAPTURE")</f>
        <v>1</v>
      </c>
      <c r="K4940" s="39">
        <f>SUMIFS(pg_transaction_cleaned!$H:$H,pg_transaction_cleaned!$O:$O,A4940,pg_transaction_cleaned!$F:$F,"CAPTURE")</f>
        <v>3499</v>
      </c>
      <c r="L4940" s="23">
        <f>COUNTIFS(pg_transaction_cleaned!$O:$O,A4940,pg_transaction_cleaned!$F:$F,"REFUND")</f>
        <v>0</v>
      </c>
      <c r="M4940" s="39">
        <f>SUMIFS(pg_transaction_cleaned!$H:$H,pg_transaction_cleaned!$O:$O,A4940,pg_transaction_cleaned!$F:$F,"REFUND")</f>
        <v>0</v>
      </c>
      <c r="N4940" s="23" t="str">
        <f t="shared" si="310"/>
        <v>OK</v>
      </c>
      <c r="O4940" s="24">
        <f t="shared" si="311"/>
        <v>0</v>
      </c>
    </row>
    <row r="4941" spans="1:15" ht="15" customHeight="1" x14ac:dyDescent="0.3">
      <c r="A4941" s="23" t="s">
        <v>10336</v>
      </c>
      <c r="B4941" s="38">
        <v>46290</v>
      </c>
      <c r="C4941" s="23" t="s">
        <v>10337</v>
      </c>
      <c r="D4941" s="23" t="s">
        <v>88</v>
      </c>
      <c r="E4941" s="23" t="s">
        <v>81</v>
      </c>
      <c r="F4941" s="23" t="s">
        <v>2998</v>
      </c>
      <c r="G4941" s="23" t="s">
        <v>250</v>
      </c>
      <c r="H4941" s="39">
        <f t="shared" si="308"/>
        <v>11097</v>
      </c>
      <c r="I4941" s="23" t="str">
        <f t="shared" si="309"/>
        <v>Lucknow</v>
      </c>
      <c r="J4941" s="23">
        <f>COUNTIFS(pg_transaction_cleaned!$O:$O,A4941,pg_transaction_cleaned!$F:$F,"CAPTURE")</f>
        <v>1</v>
      </c>
      <c r="K4941" s="39">
        <f>SUMIFS(pg_transaction_cleaned!$H:$H,pg_transaction_cleaned!$O:$O,A4941,pg_transaction_cleaned!$F:$F,"CAPTURE")</f>
        <v>11097</v>
      </c>
      <c r="L4941" s="23">
        <f>COUNTIFS(pg_transaction_cleaned!$O:$O,A4941,pg_transaction_cleaned!$F:$F,"REFUND")</f>
        <v>0</v>
      </c>
      <c r="M4941" s="39">
        <f>SUMIFS(pg_transaction_cleaned!$H:$H,pg_transaction_cleaned!$O:$O,A4941,pg_transaction_cleaned!$F:$F,"REFUND")</f>
        <v>0</v>
      </c>
      <c r="N4941" s="23" t="str">
        <f t="shared" si="310"/>
        <v>OK</v>
      </c>
      <c r="O4941" s="24">
        <f t="shared" si="311"/>
        <v>0</v>
      </c>
    </row>
    <row r="4942" spans="1:15" ht="15" customHeight="1" x14ac:dyDescent="0.3">
      <c r="A4942" s="23" t="s">
        <v>10338</v>
      </c>
      <c r="B4942" s="38">
        <v>46271</v>
      </c>
      <c r="C4942" s="23" t="s">
        <v>2556</v>
      </c>
      <c r="D4942" s="23" t="s">
        <v>94</v>
      </c>
      <c r="E4942" s="23" t="s">
        <v>75</v>
      </c>
      <c r="F4942" s="23" t="s">
        <v>340</v>
      </c>
      <c r="G4942" s="23" t="s">
        <v>250</v>
      </c>
      <c r="H4942" s="39">
        <f t="shared" si="308"/>
        <v>6298</v>
      </c>
      <c r="I4942" s="23" t="str">
        <f t="shared" si="309"/>
        <v>Chennai</v>
      </c>
      <c r="J4942" s="23">
        <f>COUNTIFS(pg_transaction_cleaned!$O:$O,A4942,pg_transaction_cleaned!$F:$F,"CAPTURE")</f>
        <v>1</v>
      </c>
      <c r="K4942" s="39">
        <f>SUMIFS(pg_transaction_cleaned!$H:$H,pg_transaction_cleaned!$O:$O,A4942,pg_transaction_cleaned!$F:$F,"CAPTURE")</f>
        <v>6298</v>
      </c>
      <c r="L4942" s="23">
        <f>COUNTIFS(pg_transaction_cleaned!$O:$O,A4942,pg_transaction_cleaned!$F:$F,"REFUND")</f>
        <v>0</v>
      </c>
      <c r="M4942" s="39">
        <f>SUMIFS(pg_transaction_cleaned!$H:$H,pg_transaction_cleaned!$O:$O,A4942,pg_transaction_cleaned!$F:$F,"REFUND")</f>
        <v>0</v>
      </c>
      <c r="N4942" s="23" t="str">
        <f t="shared" si="310"/>
        <v>OK</v>
      </c>
      <c r="O4942" s="24">
        <f t="shared" si="311"/>
        <v>0</v>
      </c>
    </row>
    <row r="4943" spans="1:15" ht="15" customHeight="1" x14ac:dyDescent="0.3">
      <c r="A4943" s="23" t="s">
        <v>10339</v>
      </c>
      <c r="B4943" s="38">
        <v>46273</v>
      </c>
      <c r="C4943" s="23" t="s">
        <v>10340</v>
      </c>
      <c r="D4943" s="23" t="s">
        <v>87</v>
      </c>
      <c r="E4943" s="23" t="s">
        <v>75</v>
      </c>
      <c r="F4943" s="23" t="s">
        <v>315</v>
      </c>
      <c r="G4943" s="23" t="s">
        <v>250</v>
      </c>
      <c r="H4943" s="39">
        <f t="shared" si="308"/>
        <v>1499</v>
      </c>
      <c r="I4943" s="23" t="str">
        <f t="shared" si="309"/>
        <v>Mumbai</v>
      </c>
      <c r="J4943" s="23">
        <f>COUNTIFS(pg_transaction_cleaned!$O:$O,A4943,pg_transaction_cleaned!$F:$F,"CAPTURE")</f>
        <v>1</v>
      </c>
      <c r="K4943" s="39">
        <f>SUMIFS(pg_transaction_cleaned!$H:$H,pg_transaction_cleaned!$O:$O,A4943,pg_transaction_cleaned!$F:$F,"CAPTURE")</f>
        <v>1499</v>
      </c>
      <c r="L4943" s="23">
        <f>COUNTIFS(pg_transaction_cleaned!$O:$O,A4943,pg_transaction_cleaned!$F:$F,"REFUND")</f>
        <v>0</v>
      </c>
      <c r="M4943" s="39">
        <f>SUMIFS(pg_transaction_cleaned!$H:$H,pg_transaction_cleaned!$O:$O,A4943,pg_transaction_cleaned!$F:$F,"REFUND")</f>
        <v>0</v>
      </c>
      <c r="N4943" s="23" t="str">
        <f t="shared" si="310"/>
        <v>OK</v>
      </c>
      <c r="O4943" s="24">
        <f t="shared" si="311"/>
        <v>0</v>
      </c>
    </row>
    <row r="4944" spans="1:15" ht="15" customHeight="1" x14ac:dyDescent="0.3">
      <c r="A4944" s="23" t="s">
        <v>10341</v>
      </c>
      <c r="B4944" s="38">
        <v>46293</v>
      </c>
      <c r="C4944" s="23" t="s">
        <v>10342</v>
      </c>
      <c r="D4944" s="23"/>
      <c r="E4944" s="23" t="s">
        <v>75</v>
      </c>
      <c r="F4944" s="23" t="s">
        <v>294</v>
      </c>
      <c r="G4944" s="23" t="s">
        <v>250</v>
      </c>
      <c r="H4944" s="39">
        <f t="shared" si="308"/>
        <v>1799</v>
      </c>
      <c r="I4944" s="23" t="str">
        <f t="shared" si="309"/>
        <v>Unknown</v>
      </c>
      <c r="J4944" s="23">
        <f>COUNTIFS(pg_transaction_cleaned!$O:$O,A4944,pg_transaction_cleaned!$F:$F,"CAPTURE")</f>
        <v>1</v>
      </c>
      <c r="K4944" s="39">
        <f>SUMIFS(pg_transaction_cleaned!$H:$H,pg_transaction_cleaned!$O:$O,A4944,pg_transaction_cleaned!$F:$F,"CAPTURE")</f>
        <v>1799</v>
      </c>
      <c r="L4944" s="23">
        <f>COUNTIFS(pg_transaction_cleaned!$O:$O,A4944,pg_transaction_cleaned!$F:$F,"REFUND")</f>
        <v>0</v>
      </c>
      <c r="M4944" s="39">
        <f>SUMIFS(pg_transaction_cleaned!$H:$H,pg_transaction_cleaned!$O:$O,A4944,pg_transaction_cleaned!$F:$F,"REFUND")</f>
        <v>0</v>
      </c>
      <c r="N4944" s="23" t="str">
        <f t="shared" si="310"/>
        <v>OK</v>
      </c>
      <c r="O4944" s="24">
        <f t="shared" si="311"/>
        <v>0</v>
      </c>
    </row>
    <row r="4945" spans="1:15" ht="15" customHeight="1" x14ac:dyDescent="0.3">
      <c r="A4945" s="23" t="s">
        <v>10343</v>
      </c>
      <c r="B4945" s="38">
        <v>46280</v>
      </c>
      <c r="C4945" s="23" t="s">
        <v>10344</v>
      </c>
      <c r="D4945" s="23" t="s">
        <v>89</v>
      </c>
      <c r="E4945" s="23" t="s">
        <v>75</v>
      </c>
      <c r="F4945" s="23" t="s">
        <v>1799</v>
      </c>
      <c r="G4945" s="23" t="s">
        <v>250</v>
      </c>
      <c r="H4945" s="39">
        <f t="shared" si="308"/>
        <v>2797</v>
      </c>
      <c r="I4945" s="23" t="str">
        <f t="shared" si="309"/>
        <v>Jaipur</v>
      </c>
      <c r="J4945" s="23">
        <f>COUNTIFS(pg_transaction_cleaned!$O:$O,A4945,pg_transaction_cleaned!$F:$F,"CAPTURE")</f>
        <v>1</v>
      </c>
      <c r="K4945" s="39">
        <f>SUMIFS(pg_transaction_cleaned!$H:$H,pg_transaction_cleaned!$O:$O,A4945,pg_transaction_cleaned!$F:$F,"CAPTURE")</f>
        <v>2797</v>
      </c>
      <c r="L4945" s="23">
        <f>COUNTIFS(pg_transaction_cleaned!$O:$O,A4945,pg_transaction_cleaned!$F:$F,"REFUND")</f>
        <v>0</v>
      </c>
      <c r="M4945" s="39">
        <f>SUMIFS(pg_transaction_cleaned!$H:$H,pg_transaction_cleaned!$O:$O,A4945,pg_transaction_cleaned!$F:$F,"REFUND")</f>
        <v>0</v>
      </c>
      <c r="N4945" s="23" t="str">
        <f t="shared" si="310"/>
        <v>OK</v>
      </c>
      <c r="O4945" s="24">
        <f t="shared" si="311"/>
        <v>0</v>
      </c>
    </row>
    <row r="4946" spans="1:15" ht="15" customHeight="1" x14ac:dyDescent="0.3">
      <c r="A4946" s="23" t="s">
        <v>10345</v>
      </c>
      <c r="B4946" s="38">
        <v>46276</v>
      </c>
      <c r="C4946" s="23" t="s">
        <v>10346</v>
      </c>
      <c r="D4946" s="23" t="s">
        <v>89</v>
      </c>
      <c r="E4946" s="23" t="s">
        <v>75</v>
      </c>
      <c r="F4946" s="23" t="s">
        <v>717</v>
      </c>
      <c r="G4946" s="23" t="s">
        <v>250</v>
      </c>
      <c r="H4946" s="39">
        <f t="shared" si="308"/>
        <v>5298</v>
      </c>
      <c r="I4946" s="23" t="str">
        <f t="shared" si="309"/>
        <v>Jaipur</v>
      </c>
      <c r="J4946" s="23">
        <f>COUNTIFS(pg_transaction_cleaned!$O:$O,A4946,pg_transaction_cleaned!$F:$F,"CAPTURE")</f>
        <v>1</v>
      </c>
      <c r="K4946" s="39">
        <f>SUMIFS(pg_transaction_cleaned!$H:$H,pg_transaction_cleaned!$O:$O,A4946,pg_transaction_cleaned!$F:$F,"CAPTURE")</f>
        <v>5298</v>
      </c>
      <c r="L4946" s="23">
        <f>COUNTIFS(pg_transaction_cleaned!$O:$O,A4946,pg_transaction_cleaned!$F:$F,"REFUND")</f>
        <v>0</v>
      </c>
      <c r="M4946" s="39">
        <f>SUMIFS(pg_transaction_cleaned!$H:$H,pg_transaction_cleaned!$O:$O,A4946,pg_transaction_cleaned!$F:$F,"REFUND")</f>
        <v>0</v>
      </c>
      <c r="N4946" s="23" t="str">
        <f t="shared" si="310"/>
        <v>OK</v>
      </c>
      <c r="O4946" s="24">
        <f t="shared" si="311"/>
        <v>0</v>
      </c>
    </row>
    <row r="4947" spans="1:15" ht="15" customHeight="1" x14ac:dyDescent="0.3">
      <c r="A4947" s="23" t="s">
        <v>10347</v>
      </c>
      <c r="B4947" s="38">
        <v>46295</v>
      </c>
      <c r="C4947" s="23" t="s">
        <v>10348</v>
      </c>
      <c r="D4947" s="23" t="s">
        <v>89</v>
      </c>
      <c r="E4947" s="23" t="s">
        <v>75</v>
      </c>
      <c r="F4947" s="23" t="s">
        <v>249</v>
      </c>
      <c r="G4947" s="23" t="s">
        <v>250</v>
      </c>
      <c r="H4947" s="39">
        <f t="shared" si="308"/>
        <v>299</v>
      </c>
      <c r="I4947" s="23" t="str">
        <f t="shared" si="309"/>
        <v>Jaipur</v>
      </c>
      <c r="J4947" s="23">
        <f>COUNTIFS(pg_transaction_cleaned!$O:$O,A4947,pg_transaction_cleaned!$F:$F,"CAPTURE")</f>
        <v>1</v>
      </c>
      <c r="K4947" s="39">
        <f>SUMIFS(pg_transaction_cleaned!$H:$H,pg_transaction_cleaned!$O:$O,A4947,pg_transaction_cleaned!$F:$F,"CAPTURE")</f>
        <v>299</v>
      </c>
      <c r="L4947" s="23">
        <f>COUNTIFS(pg_transaction_cleaned!$O:$O,A4947,pg_transaction_cleaned!$F:$F,"REFUND")</f>
        <v>0</v>
      </c>
      <c r="M4947" s="39">
        <f>SUMIFS(pg_transaction_cleaned!$H:$H,pg_transaction_cleaned!$O:$O,A4947,pg_transaction_cleaned!$F:$F,"REFUND")</f>
        <v>0</v>
      </c>
      <c r="N4947" s="23" t="str">
        <f t="shared" si="310"/>
        <v>OK</v>
      </c>
      <c r="O4947" s="24">
        <f t="shared" si="311"/>
        <v>0</v>
      </c>
    </row>
    <row r="4948" spans="1:15" ht="15" customHeight="1" x14ac:dyDescent="0.3">
      <c r="A4948" s="23" t="s">
        <v>10349</v>
      </c>
      <c r="B4948" s="38">
        <v>46292</v>
      </c>
      <c r="C4948" s="23" t="s">
        <v>10350</v>
      </c>
      <c r="D4948" s="23" t="s">
        <v>93</v>
      </c>
      <c r="E4948" s="23" t="s">
        <v>77</v>
      </c>
      <c r="F4948" s="23" t="s">
        <v>1206</v>
      </c>
      <c r="G4948" s="23" t="s">
        <v>318</v>
      </c>
      <c r="H4948" s="39">
        <f t="shared" si="308"/>
        <v>7297</v>
      </c>
      <c r="I4948" s="23" t="str">
        <f t="shared" si="309"/>
        <v>Kolkata</v>
      </c>
      <c r="J4948" s="23">
        <f>COUNTIFS(pg_transaction_cleaned!$O:$O,A4948,pg_transaction_cleaned!$F:$F,"CAPTURE")</f>
        <v>0</v>
      </c>
      <c r="K4948" s="39">
        <f>SUMIFS(pg_transaction_cleaned!$H:$H,pg_transaction_cleaned!$O:$O,A4948,pg_transaction_cleaned!$F:$F,"CAPTURE")</f>
        <v>0</v>
      </c>
      <c r="L4948" s="23">
        <f>COUNTIFS(pg_transaction_cleaned!$O:$O,A4948,pg_transaction_cleaned!$F:$F,"REFUND")</f>
        <v>0</v>
      </c>
      <c r="M4948" s="39">
        <f>SUMIFS(pg_transaction_cleaned!$H:$H,pg_transaction_cleaned!$O:$O,A4948,pg_transaction_cleaned!$F:$F,"REFUND")</f>
        <v>0</v>
      </c>
      <c r="N4948" s="23" t="str">
        <f t="shared" si="310"/>
        <v>OK</v>
      </c>
      <c r="O4948" s="24">
        <f t="shared" si="311"/>
        <v>0</v>
      </c>
    </row>
    <row r="4949" spans="1:15" ht="15" customHeight="1" x14ac:dyDescent="0.3">
      <c r="A4949" s="23" t="s">
        <v>10351</v>
      </c>
      <c r="B4949" s="38">
        <v>46284</v>
      </c>
      <c r="C4949" s="23" t="s">
        <v>10352</v>
      </c>
      <c r="D4949" s="23" t="s">
        <v>89</v>
      </c>
      <c r="E4949" s="23" t="s">
        <v>79</v>
      </c>
      <c r="F4949" s="23" t="s">
        <v>451</v>
      </c>
      <c r="G4949" s="23" t="s">
        <v>250</v>
      </c>
      <c r="H4949" s="39">
        <f t="shared" si="308"/>
        <v>1098</v>
      </c>
      <c r="I4949" s="23" t="str">
        <f t="shared" si="309"/>
        <v>Jaipur</v>
      </c>
      <c r="J4949" s="23">
        <f>COUNTIFS(pg_transaction_cleaned!$O:$O,A4949,pg_transaction_cleaned!$F:$F,"CAPTURE")</f>
        <v>1</v>
      </c>
      <c r="K4949" s="39">
        <f>SUMIFS(pg_transaction_cleaned!$H:$H,pg_transaction_cleaned!$O:$O,A4949,pg_transaction_cleaned!$F:$F,"CAPTURE")</f>
        <v>1098</v>
      </c>
      <c r="L4949" s="23">
        <f>COUNTIFS(pg_transaction_cleaned!$O:$O,A4949,pg_transaction_cleaned!$F:$F,"REFUND")</f>
        <v>0</v>
      </c>
      <c r="M4949" s="39">
        <f>SUMIFS(pg_transaction_cleaned!$H:$H,pg_transaction_cleaned!$O:$O,A4949,pg_transaction_cleaned!$F:$F,"REFUND")</f>
        <v>0</v>
      </c>
      <c r="N4949" s="23" t="str">
        <f t="shared" si="310"/>
        <v>OK</v>
      </c>
      <c r="O4949" s="24">
        <f t="shared" si="311"/>
        <v>0</v>
      </c>
    </row>
    <row r="4950" spans="1:15" ht="15" customHeight="1" x14ac:dyDescent="0.3">
      <c r="A4950" s="23" t="s">
        <v>10353</v>
      </c>
      <c r="B4950" s="38">
        <v>46284</v>
      </c>
      <c r="C4950" s="23" t="s">
        <v>10354</v>
      </c>
      <c r="D4950" s="23" t="s">
        <v>87</v>
      </c>
      <c r="E4950" s="23" t="s">
        <v>75</v>
      </c>
      <c r="F4950" s="23" t="s">
        <v>262</v>
      </c>
      <c r="G4950" s="23" t="s">
        <v>250</v>
      </c>
      <c r="H4950" s="39">
        <f t="shared" si="308"/>
        <v>499</v>
      </c>
      <c r="I4950" s="23" t="str">
        <f t="shared" si="309"/>
        <v>Mumbai</v>
      </c>
      <c r="J4950" s="23">
        <f>COUNTIFS(pg_transaction_cleaned!$O:$O,A4950,pg_transaction_cleaned!$F:$F,"CAPTURE")</f>
        <v>1</v>
      </c>
      <c r="K4950" s="39">
        <f>SUMIFS(pg_transaction_cleaned!$H:$H,pg_transaction_cleaned!$O:$O,A4950,pg_transaction_cleaned!$F:$F,"CAPTURE")</f>
        <v>499</v>
      </c>
      <c r="L4950" s="23">
        <f>COUNTIFS(pg_transaction_cleaned!$O:$O,A4950,pg_transaction_cleaned!$F:$F,"REFUND")</f>
        <v>0</v>
      </c>
      <c r="M4950" s="39">
        <f>SUMIFS(pg_transaction_cleaned!$H:$H,pg_transaction_cleaned!$O:$O,A4950,pg_transaction_cleaned!$F:$F,"REFUND")</f>
        <v>0</v>
      </c>
      <c r="N4950" s="23" t="str">
        <f t="shared" si="310"/>
        <v>OK</v>
      </c>
      <c r="O4950" s="24">
        <f t="shared" si="311"/>
        <v>0</v>
      </c>
    </row>
    <row r="4951" spans="1:15" ht="15" customHeight="1" x14ac:dyDescent="0.3">
      <c r="A4951" s="23" t="s">
        <v>10355</v>
      </c>
      <c r="B4951" s="38">
        <v>46293</v>
      </c>
      <c r="C4951" s="23" t="s">
        <v>10356</v>
      </c>
      <c r="D4951" s="23" t="s">
        <v>92</v>
      </c>
      <c r="E4951" s="23" t="s">
        <v>75</v>
      </c>
      <c r="F4951" s="23" t="s">
        <v>405</v>
      </c>
      <c r="G4951" s="23" t="s">
        <v>250</v>
      </c>
      <c r="H4951" s="39">
        <f t="shared" si="308"/>
        <v>9298</v>
      </c>
      <c r="I4951" s="23" t="str">
        <f t="shared" si="309"/>
        <v>Hyderabad</v>
      </c>
      <c r="J4951" s="23">
        <f>COUNTIFS(pg_transaction_cleaned!$O:$O,A4951,pg_transaction_cleaned!$F:$F,"CAPTURE")</f>
        <v>1</v>
      </c>
      <c r="K4951" s="39">
        <f>SUMIFS(pg_transaction_cleaned!$H:$H,pg_transaction_cleaned!$O:$O,A4951,pg_transaction_cleaned!$F:$F,"CAPTURE")</f>
        <v>9298</v>
      </c>
      <c r="L4951" s="23">
        <f>COUNTIFS(pg_transaction_cleaned!$O:$O,A4951,pg_transaction_cleaned!$F:$F,"REFUND")</f>
        <v>0</v>
      </c>
      <c r="M4951" s="39">
        <f>SUMIFS(pg_transaction_cleaned!$H:$H,pg_transaction_cleaned!$O:$O,A4951,pg_transaction_cleaned!$F:$F,"REFUND")</f>
        <v>0</v>
      </c>
      <c r="N4951" s="23" t="str">
        <f t="shared" si="310"/>
        <v>OK</v>
      </c>
      <c r="O4951" s="24">
        <f t="shared" si="311"/>
        <v>0</v>
      </c>
    </row>
    <row r="4952" spans="1:15" ht="15" customHeight="1" x14ac:dyDescent="0.3">
      <c r="A4952" s="23" t="s">
        <v>10357</v>
      </c>
      <c r="B4952" s="38">
        <v>46280</v>
      </c>
      <c r="C4952" s="23" t="s">
        <v>10358</v>
      </c>
      <c r="D4952" s="23" t="s">
        <v>86</v>
      </c>
      <c r="E4952" s="23" t="s">
        <v>77</v>
      </c>
      <c r="F4952" s="23" t="s">
        <v>291</v>
      </c>
      <c r="G4952" s="23" t="s">
        <v>250</v>
      </c>
      <c r="H4952" s="39">
        <f t="shared" si="308"/>
        <v>3499</v>
      </c>
      <c r="I4952" s="23" t="str">
        <f t="shared" si="309"/>
        <v>Delhi</v>
      </c>
      <c r="J4952" s="23">
        <f>COUNTIFS(pg_transaction_cleaned!$O:$O,A4952,pg_transaction_cleaned!$F:$F,"CAPTURE")</f>
        <v>1</v>
      </c>
      <c r="K4952" s="39">
        <f>SUMIFS(pg_transaction_cleaned!$H:$H,pg_transaction_cleaned!$O:$O,A4952,pg_transaction_cleaned!$F:$F,"CAPTURE")</f>
        <v>3499</v>
      </c>
      <c r="L4952" s="23">
        <f>COUNTIFS(pg_transaction_cleaned!$O:$O,A4952,pg_transaction_cleaned!$F:$F,"REFUND")</f>
        <v>0</v>
      </c>
      <c r="M4952" s="39">
        <f>SUMIFS(pg_transaction_cleaned!$H:$H,pg_transaction_cleaned!$O:$O,A4952,pg_transaction_cleaned!$F:$F,"REFUND")</f>
        <v>0</v>
      </c>
      <c r="N4952" s="23" t="str">
        <f t="shared" si="310"/>
        <v>OK</v>
      </c>
      <c r="O4952" s="24">
        <f t="shared" si="311"/>
        <v>0</v>
      </c>
    </row>
    <row r="4953" spans="1:15" ht="15" customHeight="1" x14ac:dyDescent="0.3">
      <c r="A4953" s="23" t="s">
        <v>10359</v>
      </c>
      <c r="B4953" s="38">
        <v>46277</v>
      </c>
      <c r="C4953" s="23" t="s">
        <v>10360</v>
      </c>
      <c r="D4953" s="23" t="s">
        <v>90</v>
      </c>
      <c r="E4953" s="23" t="s">
        <v>79</v>
      </c>
      <c r="F4953" s="23" t="s">
        <v>256</v>
      </c>
      <c r="G4953" s="23" t="s">
        <v>250</v>
      </c>
      <c r="H4953" s="39">
        <f t="shared" si="308"/>
        <v>2098</v>
      </c>
      <c r="I4953" s="23" t="str">
        <f t="shared" si="309"/>
        <v>Ahmedabad</v>
      </c>
      <c r="J4953" s="23">
        <f>COUNTIFS(pg_transaction_cleaned!$O:$O,A4953,pg_transaction_cleaned!$F:$F,"CAPTURE")</f>
        <v>1</v>
      </c>
      <c r="K4953" s="39">
        <f>SUMIFS(pg_transaction_cleaned!$H:$H,pg_transaction_cleaned!$O:$O,A4953,pg_transaction_cleaned!$F:$F,"CAPTURE")</f>
        <v>2098</v>
      </c>
      <c r="L4953" s="23">
        <f>COUNTIFS(pg_transaction_cleaned!$O:$O,A4953,pg_transaction_cleaned!$F:$F,"REFUND")</f>
        <v>0</v>
      </c>
      <c r="M4953" s="39">
        <f>SUMIFS(pg_transaction_cleaned!$H:$H,pg_transaction_cleaned!$O:$O,A4953,pg_transaction_cleaned!$F:$F,"REFUND")</f>
        <v>0</v>
      </c>
      <c r="N4953" s="23" t="str">
        <f t="shared" si="310"/>
        <v>OK</v>
      </c>
      <c r="O4953" s="24">
        <f t="shared" si="311"/>
        <v>0</v>
      </c>
    </row>
    <row r="4954" spans="1:15" ht="15" customHeight="1" x14ac:dyDescent="0.3">
      <c r="A4954" s="23" t="s">
        <v>10361</v>
      </c>
      <c r="B4954" s="38">
        <v>46283</v>
      </c>
      <c r="C4954" s="23" t="s">
        <v>8516</v>
      </c>
      <c r="D4954" s="23" t="s">
        <v>92</v>
      </c>
      <c r="E4954" s="23" t="s">
        <v>81</v>
      </c>
      <c r="F4954" s="23" t="s">
        <v>451</v>
      </c>
      <c r="G4954" s="23" t="s">
        <v>250</v>
      </c>
      <c r="H4954" s="39">
        <f t="shared" si="308"/>
        <v>1098</v>
      </c>
      <c r="I4954" s="23" t="str">
        <f t="shared" si="309"/>
        <v>Hyderabad</v>
      </c>
      <c r="J4954" s="23">
        <f>COUNTIFS(pg_transaction_cleaned!$O:$O,A4954,pg_transaction_cleaned!$F:$F,"CAPTURE")</f>
        <v>1</v>
      </c>
      <c r="K4954" s="39">
        <f>SUMIFS(pg_transaction_cleaned!$H:$H,pg_transaction_cleaned!$O:$O,A4954,pg_transaction_cleaned!$F:$F,"CAPTURE")</f>
        <v>1098</v>
      </c>
      <c r="L4954" s="23">
        <f>COUNTIFS(pg_transaction_cleaned!$O:$O,A4954,pg_transaction_cleaned!$F:$F,"REFUND")</f>
        <v>0</v>
      </c>
      <c r="M4954" s="39">
        <f>SUMIFS(pg_transaction_cleaned!$H:$H,pg_transaction_cleaned!$O:$O,A4954,pg_transaction_cleaned!$F:$F,"REFUND")</f>
        <v>0</v>
      </c>
      <c r="N4954" s="23" t="str">
        <f t="shared" si="310"/>
        <v>OK</v>
      </c>
      <c r="O4954" s="24">
        <f t="shared" si="311"/>
        <v>0</v>
      </c>
    </row>
    <row r="4955" spans="1:15" ht="15" customHeight="1" x14ac:dyDescent="0.3">
      <c r="A4955" s="23" t="s">
        <v>10362</v>
      </c>
      <c r="B4955" s="38">
        <v>46279</v>
      </c>
      <c r="C4955" s="23" t="s">
        <v>10363</v>
      </c>
      <c r="D4955" s="23" t="s">
        <v>93</v>
      </c>
      <c r="E4955" s="23" t="s">
        <v>79</v>
      </c>
      <c r="F4955" s="23" t="s">
        <v>315</v>
      </c>
      <c r="G4955" s="23" t="s">
        <v>250</v>
      </c>
      <c r="H4955" s="39">
        <f t="shared" si="308"/>
        <v>1499</v>
      </c>
      <c r="I4955" s="23" t="str">
        <f t="shared" si="309"/>
        <v>Kolkata</v>
      </c>
      <c r="J4955" s="23">
        <f>COUNTIFS(pg_transaction_cleaned!$O:$O,A4955,pg_transaction_cleaned!$F:$F,"CAPTURE")</f>
        <v>1</v>
      </c>
      <c r="K4955" s="39">
        <f>SUMIFS(pg_transaction_cleaned!$H:$H,pg_transaction_cleaned!$O:$O,A4955,pg_transaction_cleaned!$F:$F,"CAPTURE")</f>
        <v>1499</v>
      </c>
      <c r="L4955" s="23">
        <f>COUNTIFS(pg_transaction_cleaned!$O:$O,A4955,pg_transaction_cleaned!$F:$F,"REFUND")</f>
        <v>0</v>
      </c>
      <c r="M4955" s="39">
        <f>SUMIFS(pg_transaction_cleaned!$H:$H,pg_transaction_cleaned!$O:$O,A4955,pg_transaction_cleaned!$F:$F,"REFUND")</f>
        <v>0</v>
      </c>
      <c r="N4955" s="23" t="str">
        <f t="shared" si="310"/>
        <v>OK</v>
      </c>
      <c r="O4955" s="24">
        <f t="shared" si="311"/>
        <v>0</v>
      </c>
    </row>
    <row r="4956" spans="1:15" ht="15" customHeight="1" x14ac:dyDescent="0.3">
      <c r="A4956" s="23" t="s">
        <v>10364</v>
      </c>
      <c r="B4956" s="38">
        <v>46268</v>
      </c>
      <c r="C4956" s="23" t="s">
        <v>10365</v>
      </c>
      <c r="D4956" s="23" t="s">
        <v>89</v>
      </c>
      <c r="E4956" s="23" t="s">
        <v>79</v>
      </c>
      <c r="F4956" s="23" t="s">
        <v>271</v>
      </c>
      <c r="G4956" s="23" t="s">
        <v>250</v>
      </c>
      <c r="H4956" s="39">
        <f t="shared" si="308"/>
        <v>2499</v>
      </c>
      <c r="I4956" s="23" t="str">
        <f t="shared" si="309"/>
        <v>Jaipur</v>
      </c>
      <c r="J4956" s="23">
        <f>COUNTIFS(pg_transaction_cleaned!$O:$O,A4956,pg_transaction_cleaned!$F:$F,"CAPTURE")</f>
        <v>1</v>
      </c>
      <c r="K4956" s="39">
        <f>SUMIFS(pg_transaction_cleaned!$H:$H,pg_transaction_cleaned!$O:$O,A4956,pg_transaction_cleaned!$F:$F,"CAPTURE")</f>
        <v>2499</v>
      </c>
      <c r="L4956" s="23">
        <f>COUNTIFS(pg_transaction_cleaned!$O:$O,A4956,pg_transaction_cleaned!$F:$F,"REFUND")</f>
        <v>0</v>
      </c>
      <c r="M4956" s="39">
        <f>SUMIFS(pg_transaction_cleaned!$H:$H,pg_transaction_cleaned!$O:$O,A4956,pg_transaction_cleaned!$F:$F,"REFUND")</f>
        <v>0</v>
      </c>
      <c r="N4956" s="23" t="str">
        <f t="shared" si="310"/>
        <v>OK</v>
      </c>
      <c r="O4956" s="24">
        <f t="shared" si="311"/>
        <v>0</v>
      </c>
    </row>
    <row r="4957" spans="1:15" ht="15" customHeight="1" x14ac:dyDescent="0.3">
      <c r="A4957" s="23" t="s">
        <v>10366</v>
      </c>
      <c r="B4957" s="38">
        <v>46275</v>
      </c>
      <c r="C4957" s="23" t="s">
        <v>10367</v>
      </c>
      <c r="D4957" s="23" t="s">
        <v>89</v>
      </c>
      <c r="E4957" s="23" t="s">
        <v>79</v>
      </c>
      <c r="F4957" s="23" t="s">
        <v>268</v>
      </c>
      <c r="G4957" s="23" t="s">
        <v>250</v>
      </c>
      <c r="H4957" s="39">
        <f t="shared" si="308"/>
        <v>1299</v>
      </c>
      <c r="I4957" s="23" t="str">
        <f t="shared" si="309"/>
        <v>Jaipur</v>
      </c>
      <c r="J4957" s="23">
        <f>COUNTIFS(pg_transaction_cleaned!$O:$O,A4957,pg_transaction_cleaned!$F:$F,"CAPTURE")</f>
        <v>1</v>
      </c>
      <c r="K4957" s="39">
        <f>SUMIFS(pg_transaction_cleaned!$H:$H,pg_transaction_cleaned!$O:$O,A4957,pg_transaction_cleaned!$F:$F,"CAPTURE")</f>
        <v>1299</v>
      </c>
      <c r="L4957" s="23">
        <f>COUNTIFS(pg_transaction_cleaned!$O:$O,A4957,pg_transaction_cleaned!$F:$F,"REFUND")</f>
        <v>0</v>
      </c>
      <c r="M4957" s="39">
        <f>SUMIFS(pg_transaction_cleaned!$H:$H,pg_transaction_cleaned!$O:$O,A4957,pg_transaction_cleaned!$F:$F,"REFUND")</f>
        <v>0</v>
      </c>
      <c r="N4957" s="23" t="str">
        <f t="shared" si="310"/>
        <v>OK</v>
      </c>
      <c r="O4957" s="24">
        <f t="shared" si="311"/>
        <v>0</v>
      </c>
    </row>
    <row r="4958" spans="1:15" ht="15" customHeight="1" x14ac:dyDescent="0.3">
      <c r="A4958" s="23" t="s">
        <v>10368</v>
      </c>
      <c r="B4958" s="38">
        <v>46291</v>
      </c>
      <c r="C4958" s="23" t="s">
        <v>10369</v>
      </c>
      <c r="D4958" s="23" t="s">
        <v>93</v>
      </c>
      <c r="E4958" s="23" t="s">
        <v>75</v>
      </c>
      <c r="F4958" s="23" t="s">
        <v>1035</v>
      </c>
      <c r="G4958" s="23" t="s">
        <v>250</v>
      </c>
      <c r="H4958" s="39">
        <f t="shared" si="308"/>
        <v>1299</v>
      </c>
      <c r="I4958" s="23" t="str">
        <f t="shared" si="309"/>
        <v>Kolkata</v>
      </c>
      <c r="J4958" s="23">
        <f>COUNTIFS(pg_transaction_cleaned!$O:$O,A4958,pg_transaction_cleaned!$F:$F,"CAPTURE")</f>
        <v>1</v>
      </c>
      <c r="K4958" s="39">
        <f>SUMIFS(pg_transaction_cleaned!$H:$H,pg_transaction_cleaned!$O:$O,A4958,pg_transaction_cleaned!$F:$F,"CAPTURE")</f>
        <v>1299</v>
      </c>
      <c r="L4958" s="23">
        <f>COUNTIFS(pg_transaction_cleaned!$O:$O,A4958,pg_transaction_cleaned!$F:$F,"REFUND")</f>
        <v>0</v>
      </c>
      <c r="M4958" s="39">
        <f>SUMIFS(pg_transaction_cleaned!$H:$H,pg_transaction_cleaned!$O:$O,A4958,pg_transaction_cleaned!$F:$F,"REFUND")</f>
        <v>0</v>
      </c>
      <c r="N4958" s="23" t="str">
        <f t="shared" si="310"/>
        <v>OK</v>
      </c>
      <c r="O4958" s="24">
        <f t="shared" si="311"/>
        <v>0</v>
      </c>
    </row>
    <row r="4959" spans="1:15" ht="15" customHeight="1" x14ac:dyDescent="0.3">
      <c r="A4959" s="23" t="s">
        <v>10370</v>
      </c>
      <c r="B4959" s="38">
        <v>46274</v>
      </c>
      <c r="C4959" s="23" t="s">
        <v>10371</v>
      </c>
      <c r="D4959" s="23" t="s">
        <v>91</v>
      </c>
      <c r="E4959" s="23" t="s">
        <v>75</v>
      </c>
      <c r="F4959" s="23" t="s">
        <v>315</v>
      </c>
      <c r="G4959" s="23" t="s">
        <v>250</v>
      </c>
      <c r="H4959" s="39">
        <f t="shared" si="308"/>
        <v>1499</v>
      </c>
      <c r="I4959" s="23" t="str">
        <f t="shared" si="309"/>
        <v>Pune</v>
      </c>
      <c r="J4959" s="23">
        <f>COUNTIFS(pg_transaction_cleaned!$O:$O,A4959,pg_transaction_cleaned!$F:$F,"CAPTURE")</f>
        <v>1</v>
      </c>
      <c r="K4959" s="39">
        <f>SUMIFS(pg_transaction_cleaned!$H:$H,pg_transaction_cleaned!$O:$O,A4959,pg_transaction_cleaned!$F:$F,"CAPTURE")</f>
        <v>1499</v>
      </c>
      <c r="L4959" s="23">
        <f>COUNTIFS(pg_transaction_cleaned!$O:$O,A4959,pg_transaction_cleaned!$F:$F,"REFUND")</f>
        <v>0</v>
      </c>
      <c r="M4959" s="39">
        <f>SUMIFS(pg_transaction_cleaned!$H:$H,pg_transaction_cleaned!$O:$O,A4959,pg_transaction_cleaned!$F:$F,"REFUND")</f>
        <v>0</v>
      </c>
      <c r="N4959" s="23" t="str">
        <f t="shared" si="310"/>
        <v>OK</v>
      </c>
      <c r="O4959" s="24">
        <f t="shared" si="311"/>
        <v>0</v>
      </c>
    </row>
    <row r="4960" spans="1:15" ht="15" customHeight="1" x14ac:dyDescent="0.3">
      <c r="A4960" s="23" t="s">
        <v>10372</v>
      </c>
      <c r="B4960" s="38">
        <v>46286</v>
      </c>
      <c r="C4960" s="23" t="s">
        <v>10373</v>
      </c>
      <c r="D4960" s="23" t="s">
        <v>89</v>
      </c>
      <c r="E4960" s="23" t="s">
        <v>79</v>
      </c>
      <c r="F4960" s="23" t="s">
        <v>357</v>
      </c>
      <c r="G4960" s="23" t="s">
        <v>250</v>
      </c>
      <c r="H4960" s="39">
        <f t="shared" si="308"/>
        <v>1598</v>
      </c>
      <c r="I4960" s="23" t="str">
        <f t="shared" si="309"/>
        <v>Jaipur</v>
      </c>
      <c r="J4960" s="23">
        <f>COUNTIFS(pg_transaction_cleaned!$O:$O,A4960,pg_transaction_cleaned!$F:$F,"CAPTURE")</f>
        <v>1</v>
      </c>
      <c r="K4960" s="39">
        <f>SUMIFS(pg_transaction_cleaned!$H:$H,pg_transaction_cleaned!$O:$O,A4960,pg_transaction_cleaned!$F:$F,"CAPTURE")</f>
        <v>1598</v>
      </c>
      <c r="L4960" s="23">
        <f>COUNTIFS(pg_transaction_cleaned!$O:$O,A4960,pg_transaction_cleaned!$F:$F,"REFUND")</f>
        <v>0</v>
      </c>
      <c r="M4960" s="39">
        <f>SUMIFS(pg_transaction_cleaned!$H:$H,pg_transaction_cleaned!$O:$O,A4960,pg_transaction_cleaned!$F:$F,"REFUND")</f>
        <v>0</v>
      </c>
      <c r="N4960" s="23" t="str">
        <f t="shared" si="310"/>
        <v>OK</v>
      </c>
      <c r="O4960" s="24">
        <f t="shared" si="311"/>
        <v>0</v>
      </c>
    </row>
    <row r="4961" spans="1:15" ht="15" customHeight="1" x14ac:dyDescent="0.3">
      <c r="A4961" s="23" t="s">
        <v>10374</v>
      </c>
      <c r="B4961" s="38">
        <v>46282</v>
      </c>
      <c r="C4961" s="23" t="s">
        <v>10375</v>
      </c>
      <c r="D4961" s="23" t="s">
        <v>93</v>
      </c>
      <c r="E4961" s="23" t="s">
        <v>79</v>
      </c>
      <c r="F4961" s="23" t="s">
        <v>297</v>
      </c>
      <c r="G4961" s="23" t="s">
        <v>250</v>
      </c>
      <c r="H4961" s="39">
        <f t="shared" si="308"/>
        <v>4999</v>
      </c>
      <c r="I4961" s="23" t="str">
        <f t="shared" si="309"/>
        <v>Kolkata</v>
      </c>
      <c r="J4961" s="23">
        <f>COUNTIFS(pg_transaction_cleaned!$O:$O,A4961,pg_transaction_cleaned!$F:$F,"CAPTURE")</f>
        <v>1</v>
      </c>
      <c r="K4961" s="39">
        <f>SUMIFS(pg_transaction_cleaned!$H:$H,pg_transaction_cleaned!$O:$O,A4961,pg_transaction_cleaned!$F:$F,"CAPTURE")</f>
        <v>4999</v>
      </c>
      <c r="L4961" s="23">
        <f>COUNTIFS(pg_transaction_cleaned!$O:$O,A4961,pg_transaction_cleaned!$F:$F,"REFUND")</f>
        <v>0</v>
      </c>
      <c r="M4961" s="39">
        <f>SUMIFS(pg_transaction_cleaned!$H:$H,pg_transaction_cleaned!$O:$O,A4961,pg_transaction_cleaned!$F:$F,"REFUND")</f>
        <v>0</v>
      </c>
      <c r="N4961" s="23" t="str">
        <f t="shared" si="310"/>
        <v>OK</v>
      </c>
      <c r="O4961" s="24">
        <f t="shared" si="311"/>
        <v>0</v>
      </c>
    </row>
    <row r="4962" spans="1:15" ht="15" customHeight="1" x14ac:dyDescent="0.3">
      <c r="A4962" s="23" t="s">
        <v>10376</v>
      </c>
      <c r="B4962" s="38">
        <v>46278</v>
      </c>
      <c r="C4962" s="23" t="s">
        <v>10377</v>
      </c>
      <c r="D4962" s="23" t="s">
        <v>91</v>
      </c>
      <c r="E4962" s="23" t="s">
        <v>79</v>
      </c>
      <c r="F4962" s="23" t="s">
        <v>315</v>
      </c>
      <c r="G4962" s="23" t="s">
        <v>301</v>
      </c>
      <c r="H4962" s="39">
        <f t="shared" si="308"/>
        <v>1499</v>
      </c>
      <c r="I4962" s="23" t="str">
        <f t="shared" si="309"/>
        <v>Pune</v>
      </c>
      <c r="J4962" s="23">
        <f>COUNTIFS(pg_transaction_cleaned!$O:$O,A4962,pg_transaction_cleaned!$F:$F,"CAPTURE")</f>
        <v>1</v>
      </c>
      <c r="K4962" s="39">
        <f>SUMIFS(pg_transaction_cleaned!$H:$H,pg_transaction_cleaned!$O:$O,A4962,pg_transaction_cleaned!$F:$F,"CAPTURE")</f>
        <v>1499</v>
      </c>
      <c r="L4962" s="23">
        <f>COUNTIFS(pg_transaction_cleaned!$O:$O,A4962,pg_transaction_cleaned!$F:$F,"REFUND")</f>
        <v>1</v>
      </c>
      <c r="M4962" s="39">
        <f>SUMIFS(pg_transaction_cleaned!$H:$H,pg_transaction_cleaned!$O:$O,A4962,pg_transaction_cleaned!$F:$F,"REFUND")</f>
        <v>1499</v>
      </c>
      <c r="N4962" s="23" t="str">
        <f t="shared" si="310"/>
        <v>OK</v>
      </c>
      <c r="O4962" s="24">
        <f t="shared" si="311"/>
        <v>0</v>
      </c>
    </row>
    <row r="4963" spans="1:15" ht="15" customHeight="1" x14ac:dyDescent="0.3">
      <c r="A4963" s="23" t="s">
        <v>10378</v>
      </c>
      <c r="B4963" s="38">
        <v>46270</v>
      </c>
      <c r="C4963" s="23" t="s">
        <v>10379</v>
      </c>
      <c r="D4963" s="23" t="s">
        <v>92</v>
      </c>
      <c r="E4963" s="23" t="s">
        <v>75</v>
      </c>
      <c r="F4963" s="23" t="s">
        <v>288</v>
      </c>
      <c r="G4963" s="23" t="s">
        <v>250</v>
      </c>
      <c r="H4963" s="39">
        <f t="shared" si="308"/>
        <v>4298</v>
      </c>
      <c r="I4963" s="23" t="str">
        <f t="shared" si="309"/>
        <v>Hyderabad</v>
      </c>
      <c r="J4963" s="23">
        <f>COUNTIFS(pg_transaction_cleaned!$O:$O,A4963,pg_transaction_cleaned!$F:$F,"CAPTURE")</f>
        <v>1</v>
      </c>
      <c r="K4963" s="39">
        <f>SUMIFS(pg_transaction_cleaned!$H:$H,pg_transaction_cleaned!$O:$O,A4963,pg_transaction_cleaned!$F:$F,"CAPTURE")</f>
        <v>4298</v>
      </c>
      <c r="L4963" s="23">
        <f>COUNTIFS(pg_transaction_cleaned!$O:$O,A4963,pg_transaction_cleaned!$F:$F,"REFUND")</f>
        <v>0</v>
      </c>
      <c r="M4963" s="39">
        <f>SUMIFS(pg_transaction_cleaned!$H:$H,pg_transaction_cleaned!$O:$O,A4963,pg_transaction_cleaned!$F:$F,"REFUND")</f>
        <v>0</v>
      </c>
      <c r="N4963" s="23" t="str">
        <f t="shared" si="310"/>
        <v>OK</v>
      </c>
      <c r="O4963" s="24">
        <f t="shared" si="311"/>
        <v>0</v>
      </c>
    </row>
    <row r="4964" spans="1:15" ht="15" customHeight="1" x14ac:dyDescent="0.3">
      <c r="A4964" s="23" t="s">
        <v>10380</v>
      </c>
      <c r="B4964" s="38">
        <v>46270</v>
      </c>
      <c r="C4964" s="23" t="s">
        <v>5781</v>
      </c>
      <c r="D4964" s="23" t="s">
        <v>92</v>
      </c>
      <c r="E4964" s="23" t="s">
        <v>75</v>
      </c>
      <c r="F4964" s="23" t="s">
        <v>337</v>
      </c>
      <c r="G4964" s="23" t="s">
        <v>250</v>
      </c>
      <c r="H4964" s="39">
        <f t="shared" si="308"/>
        <v>3998</v>
      </c>
      <c r="I4964" s="23" t="str">
        <f t="shared" si="309"/>
        <v>Hyderabad</v>
      </c>
      <c r="J4964" s="23">
        <f>COUNTIFS(pg_transaction_cleaned!$O:$O,A4964,pg_transaction_cleaned!$F:$F,"CAPTURE")</f>
        <v>1</v>
      </c>
      <c r="K4964" s="39">
        <f>SUMIFS(pg_transaction_cleaned!$H:$H,pg_transaction_cleaned!$O:$O,A4964,pg_transaction_cleaned!$F:$F,"CAPTURE")</f>
        <v>3998</v>
      </c>
      <c r="L4964" s="23">
        <f>COUNTIFS(pg_transaction_cleaned!$O:$O,A4964,pg_transaction_cleaned!$F:$F,"REFUND")</f>
        <v>0</v>
      </c>
      <c r="M4964" s="39">
        <f>SUMIFS(pg_transaction_cleaned!$H:$H,pg_transaction_cleaned!$O:$O,A4964,pg_transaction_cleaned!$F:$F,"REFUND")</f>
        <v>0</v>
      </c>
      <c r="N4964" s="23" t="str">
        <f t="shared" si="310"/>
        <v>OK</v>
      </c>
      <c r="O4964" s="24">
        <f t="shared" si="311"/>
        <v>0</v>
      </c>
    </row>
    <row r="4965" spans="1:15" ht="15" customHeight="1" x14ac:dyDescent="0.3">
      <c r="A4965" s="23" t="s">
        <v>10381</v>
      </c>
      <c r="B4965" s="38">
        <v>46268</v>
      </c>
      <c r="C4965" s="23" t="s">
        <v>10382</v>
      </c>
      <c r="D4965" s="23" t="s">
        <v>89</v>
      </c>
      <c r="E4965" s="23" t="s">
        <v>79</v>
      </c>
      <c r="F4965" s="23" t="s">
        <v>717</v>
      </c>
      <c r="G4965" s="23" t="s">
        <v>250</v>
      </c>
      <c r="H4965" s="39">
        <f t="shared" si="308"/>
        <v>5298</v>
      </c>
      <c r="I4965" s="23" t="str">
        <f t="shared" si="309"/>
        <v>Jaipur</v>
      </c>
      <c r="J4965" s="23">
        <f>COUNTIFS(pg_transaction_cleaned!$O:$O,A4965,pg_transaction_cleaned!$F:$F,"CAPTURE")</f>
        <v>1</v>
      </c>
      <c r="K4965" s="39">
        <f>SUMIFS(pg_transaction_cleaned!$H:$H,pg_transaction_cleaned!$O:$O,A4965,pg_transaction_cleaned!$F:$F,"CAPTURE")</f>
        <v>5298</v>
      </c>
      <c r="L4965" s="23">
        <f>COUNTIFS(pg_transaction_cleaned!$O:$O,A4965,pg_transaction_cleaned!$F:$F,"REFUND")</f>
        <v>0</v>
      </c>
      <c r="M4965" s="39">
        <f>SUMIFS(pg_transaction_cleaned!$H:$H,pg_transaction_cleaned!$O:$O,A4965,pg_transaction_cleaned!$F:$F,"REFUND")</f>
        <v>0</v>
      </c>
      <c r="N4965" s="23" t="str">
        <f t="shared" si="310"/>
        <v>OK</v>
      </c>
      <c r="O4965" s="24">
        <f t="shared" si="311"/>
        <v>0</v>
      </c>
    </row>
    <row r="4966" spans="1:15" ht="15" customHeight="1" x14ac:dyDescent="0.3">
      <c r="A4966" s="23" t="s">
        <v>10383</v>
      </c>
      <c r="B4966" s="38">
        <v>46287</v>
      </c>
      <c r="C4966" s="23" t="s">
        <v>10384</v>
      </c>
      <c r="D4966" s="23" t="s">
        <v>90</v>
      </c>
      <c r="E4966" s="23" t="s">
        <v>75</v>
      </c>
      <c r="F4966" s="23" t="s">
        <v>294</v>
      </c>
      <c r="G4966" s="23" t="s">
        <v>250</v>
      </c>
      <c r="H4966" s="39">
        <f t="shared" si="308"/>
        <v>1799</v>
      </c>
      <c r="I4966" s="23" t="str">
        <f t="shared" si="309"/>
        <v>Ahmedabad</v>
      </c>
      <c r="J4966" s="23">
        <f>COUNTIFS(pg_transaction_cleaned!$O:$O,A4966,pg_transaction_cleaned!$F:$F,"CAPTURE")</f>
        <v>1</v>
      </c>
      <c r="K4966" s="39">
        <f>SUMIFS(pg_transaction_cleaned!$H:$H,pg_transaction_cleaned!$O:$O,A4966,pg_transaction_cleaned!$F:$F,"CAPTURE")</f>
        <v>1799</v>
      </c>
      <c r="L4966" s="23">
        <f>COUNTIFS(pg_transaction_cleaned!$O:$O,A4966,pg_transaction_cleaned!$F:$F,"REFUND")</f>
        <v>0</v>
      </c>
      <c r="M4966" s="39">
        <f>SUMIFS(pg_transaction_cleaned!$H:$H,pg_transaction_cleaned!$O:$O,A4966,pg_transaction_cleaned!$F:$F,"REFUND")</f>
        <v>0</v>
      </c>
      <c r="N4966" s="23" t="str">
        <f t="shared" si="310"/>
        <v>OK</v>
      </c>
      <c r="O4966" s="24">
        <f t="shared" si="311"/>
        <v>0</v>
      </c>
    </row>
    <row r="4967" spans="1:15" ht="15" customHeight="1" x14ac:dyDescent="0.3">
      <c r="A4967" s="23" t="s">
        <v>10385</v>
      </c>
      <c r="B4967" s="38">
        <v>46266</v>
      </c>
      <c r="C4967" s="23" t="s">
        <v>10386</v>
      </c>
      <c r="D4967" s="23" t="s">
        <v>94</v>
      </c>
      <c r="E4967" s="23" t="s">
        <v>75</v>
      </c>
      <c r="F4967" s="23" t="s">
        <v>360</v>
      </c>
      <c r="G4967" s="23" t="s">
        <v>250</v>
      </c>
      <c r="H4967" s="39">
        <f t="shared" si="308"/>
        <v>10297</v>
      </c>
      <c r="I4967" s="23" t="str">
        <f t="shared" si="309"/>
        <v>Chennai</v>
      </c>
      <c r="J4967" s="23">
        <f>COUNTIFS(pg_transaction_cleaned!$O:$O,A4967,pg_transaction_cleaned!$F:$F,"CAPTURE")</f>
        <v>1</v>
      </c>
      <c r="K4967" s="39">
        <f>SUMIFS(pg_transaction_cleaned!$H:$H,pg_transaction_cleaned!$O:$O,A4967,pg_transaction_cleaned!$F:$F,"CAPTURE")</f>
        <v>10297</v>
      </c>
      <c r="L4967" s="23">
        <f>COUNTIFS(pg_transaction_cleaned!$O:$O,A4967,pg_transaction_cleaned!$F:$F,"REFUND")</f>
        <v>0</v>
      </c>
      <c r="M4967" s="39">
        <f>SUMIFS(pg_transaction_cleaned!$H:$H,pg_transaction_cleaned!$O:$O,A4967,pg_transaction_cleaned!$F:$F,"REFUND")</f>
        <v>0</v>
      </c>
      <c r="N4967" s="23" t="str">
        <f t="shared" si="310"/>
        <v>OK</v>
      </c>
      <c r="O4967" s="24">
        <f t="shared" si="311"/>
        <v>0</v>
      </c>
    </row>
    <row r="4968" spans="1:15" ht="15" customHeight="1" x14ac:dyDescent="0.3">
      <c r="A4968" s="23" t="s">
        <v>10387</v>
      </c>
      <c r="B4968" s="38">
        <v>46271</v>
      </c>
      <c r="C4968" s="23" t="s">
        <v>10388</v>
      </c>
      <c r="D4968" s="23" t="s">
        <v>90</v>
      </c>
      <c r="E4968" s="23" t="s">
        <v>75</v>
      </c>
      <c r="F4968" s="23" t="s">
        <v>315</v>
      </c>
      <c r="G4968" s="23" t="s">
        <v>250</v>
      </c>
      <c r="H4968" s="39">
        <f t="shared" si="308"/>
        <v>1499</v>
      </c>
      <c r="I4968" s="23" t="str">
        <f t="shared" si="309"/>
        <v>Ahmedabad</v>
      </c>
      <c r="J4968" s="23">
        <f>COUNTIFS(pg_transaction_cleaned!$O:$O,A4968,pg_transaction_cleaned!$F:$F,"CAPTURE")</f>
        <v>1</v>
      </c>
      <c r="K4968" s="39">
        <f>SUMIFS(pg_transaction_cleaned!$H:$H,pg_transaction_cleaned!$O:$O,A4968,pg_transaction_cleaned!$F:$F,"CAPTURE")</f>
        <v>1499</v>
      </c>
      <c r="L4968" s="23">
        <f>COUNTIFS(pg_transaction_cleaned!$O:$O,A4968,pg_transaction_cleaned!$F:$F,"REFUND")</f>
        <v>0</v>
      </c>
      <c r="M4968" s="39">
        <f>SUMIFS(pg_transaction_cleaned!$H:$H,pg_transaction_cleaned!$O:$O,A4968,pg_transaction_cleaned!$F:$F,"REFUND")</f>
        <v>0</v>
      </c>
      <c r="N4968" s="23" t="str">
        <f t="shared" si="310"/>
        <v>OK</v>
      </c>
      <c r="O4968" s="24">
        <f t="shared" si="311"/>
        <v>0</v>
      </c>
    </row>
    <row r="4969" spans="1:15" ht="15" customHeight="1" x14ac:dyDescent="0.3">
      <c r="A4969" s="23" t="s">
        <v>10389</v>
      </c>
      <c r="B4969" s="38">
        <v>46292</v>
      </c>
      <c r="C4969" s="23" t="s">
        <v>10390</v>
      </c>
      <c r="D4969" s="23" t="s">
        <v>88</v>
      </c>
      <c r="E4969" s="23" t="s">
        <v>75</v>
      </c>
      <c r="F4969" s="23" t="s">
        <v>249</v>
      </c>
      <c r="G4969" s="23" t="s">
        <v>250</v>
      </c>
      <c r="H4969" s="39">
        <f t="shared" si="308"/>
        <v>299</v>
      </c>
      <c r="I4969" s="23" t="str">
        <f t="shared" si="309"/>
        <v>Lucknow</v>
      </c>
      <c r="J4969" s="23">
        <f>COUNTIFS(pg_transaction_cleaned!$O:$O,A4969,pg_transaction_cleaned!$F:$F,"CAPTURE")</f>
        <v>1</v>
      </c>
      <c r="K4969" s="39">
        <f>SUMIFS(pg_transaction_cleaned!$H:$H,pg_transaction_cleaned!$O:$O,A4969,pg_transaction_cleaned!$F:$F,"CAPTURE")</f>
        <v>299</v>
      </c>
      <c r="L4969" s="23">
        <f>COUNTIFS(pg_transaction_cleaned!$O:$O,A4969,pg_transaction_cleaned!$F:$F,"REFUND")</f>
        <v>0</v>
      </c>
      <c r="M4969" s="39">
        <f>SUMIFS(pg_transaction_cleaned!$H:$H,pg_transaction_cleaned!$O:$O,A4969,pg_transaction_cleaned!$F:$F,"REFUND")</f>
        <v>0</v>
      </c>
      <c r="N4969" s="23" t="str">
        <f t="shared" si="310"/>
        <v>OK</v>
      </c>
      <c r="O4969" s="24">
        <f t="shared" si="311"/>
        <v>0</v>
      </c>
    </row>
    <row r="4970" spans="1:15" ht="15" customHeight="1" x14ac:dyDescent="0.3">
      <c r="A4970" s="23" t="s">
        <v>10391</v>
      </c>
      <c r="B4970" s="38">
        <v>46277</v>
      </c>
      <c r="C4970" s="23" t="s">
        <v>10392</v>
      </c>
      <c r="D4970" s="23" t="s">
        <v>93</v>
      </c>
      <c r="E4970" s="23" t="s">
        <v>75</v>
      </c>
      <c r="F4970" s="23" t="s">
        <v>587</v>
      </c>
      <c r="G4970" s="23" t="s">
        <v>250</v>
      </c>
      <c r="H4970" s="39">
        <f t="shared" si="308"/>
        <v>5297</v>
      </c>
      <c r="I4970" s="23" t="str">
        <f t="shared" si="309"/>
        <v>Kolkata</v>
      </c>
      <c r="J4970" s="23">
        <f>COUNTIFS(pg_transaction_cleaned!$O:$O,A4970,pg_transaction_cleaned!$F:$F,"CAPTURE")</f>
        <v>1</v>
      </c>
      <c r="K4970" s="39">
        <f>SUMIFS(pg_transaction_cleaned!$H:$H,pg_transaction_cleaned!$O:$O,A4970,pg_transaction_cleaned!$F:$F,"CAPTURE")</f>
        <v>5297</v>
      </c>
      <c r="L4970" s="23">
        <f>COUNTIFS(pg_transaction_cleaned!$O:$O,A4970,pg_transaction_cleaned!$F:$F,"REFUND")</f>
        <v>0</v>
      </c>
      <c r="M4970" s="39">
        <f>SUMIFS(pg_transaction_cleaned!$H:$H,pg_transaction_cleaned!$O:$O,A4970,pg_transaction_cleaned!$F:$F,"REFUND")</f>
        <v>0</v>
      </c>
      <c r="N4970" s="23" t="str">
        <f t="shared" si="310"/>
        <v>OK</v>
      </c>
      <c r="O4970" s="24">
        <f t="shared" si="311"/>
        <v>0</v>
      </c>
    </row>
    <row r="4971" spans="1:15" ht="15" customHeight="1" x14ac:dyDescent="0.3">
      <c r="A4971" s="23" t="s">
        <v>10393</v>
      </c>
      <c r="B4971" s="38">
        <v>46268</v>
      </c>
      <c r="C4971" s="23" t="s">
        <v>10394</v>
      </c>
      <c r="D4971" s="23" t="s">
        <v>87</v>
      </c>
      <c r="E4971" s="23" t="s">
        <v>77</v>
      </c>
      <c r="F4971" s="23" t="s">
        <v>2486</v>
      </c>
      <c r="G4971" s="23" t="s">
        <v>250</v>
      </c>
      <c r="H4971" s="39">
        <f t="shared" si="308"/>
        <v>1647</v>
      </c>
      <c r="I4971" s="23" t="str">
        <f t="shared" si="309"/>
        <v>Mumbai</v>
      </c>
      <c r="J4971" s="23">
        <f>COUNTIFS(pg_transaction_cleaned!$O:$O,A4971,pg_transaction_cleaned!$F:$F,"CAPTURE")</f>
        <v>1</v>
      </c>
      <c r="K4971" s="39">
        <f>SUMIFS(pg_transaction_cleaned!$H:$H,pg_transaction_cleaned!$O:$O,A4971,pg_transaction_cleaned!$F:$F,"CAPTURE")</f>
        <v>1647</v>
      </c>
      <c r="L4971" s="23">
        <f>COUNTIFS(pg_transaction_cleaned!$O:$O,A4971,pg_transaction_cleaned!$F:$F,"REFUND")</f>
        <v>0</v>
      </c>
      <c r="M4971" s="39">
        <f>SUMIFS(pg_transaction_cleaned!$H:$H,pg_transaction_cleaned!$O:$O,A4971,pg_transaction_cleaned!$F:$F,"REFUND")</f>
        <v>0</v>
      </c>
      <c r="N4971" s="23" t="str">
        <f t="shared" si="310"/>
        <v>OK</v>
      </c>
      <c r="O4971" s="24">
        <f t="shared" si="311"/>
        <v>0</v>
      </c>
    </row>
    <row r="4972" spans="1:15" ht="15" customHeight="1" x14ac:dyDescent="0.3">
      <c r="A4972" s="23" t="s">
        <v>10395</v>
      </c>
      <c r="B4972" s="38">
        <v>46267</v>
      </c>
      <c r="C4972" s="23" t="s">
        <v>10396</v>
      </c>
      <c r="D4972" s="23" t="s">
        <v>87</v>
      </c>
      <c r="E4972" s="23" t="s">
        <v>79</v>
      </c>
      <c r="F4972" s="23" t="s">
        <v>1552</v>
      </c>
      <c r="G4972" s="23" t="s">
        <v>250</v>
      </c>
      <c r="H4972" s="39">
        <f t="shared" si="308"/>
        <v>9797</v>
      </c>
      <c r="I4972" s="23" t="str">
        <f t="shared" si="309"/>
        <v>Mumbai</v>
      </c>
      <c r="J4972" s="23">
        <f>COUNTIFS(pg_transaction_cleaned!$O:$O,A4972,pg_transaction_cleaned!$F:$F,"CAPTURE")</f>
        <v>1</v>
      </c>
      <c r="K4972" s="39">
        <f>SUMIFS(pg_transaction_cleaned!$H:$H,pg_transaction_cleaned!$O:$O,A4972,pg_transaction_cleaned!$F:$F,"CAPTURE")</f>
        <v>9797</v>
      </c>
      <c r="L4972" s="23">
        <f>COUNTIFS(pg_transaction_cleaned!$O:$O,A4972,pg_transaction_cleaned!$F:$F,"REFUND")</f>
        <v>0</v>
      </c>
      <c r="M4972" s="39">
        <f>SUMIFS(pg_transaction_cleaned!$H:$H,pg_transaction_cleaned!$O:$O,A4972,pg_transaction_cleaned!$F:$F,"REFUND")</f>
        <v>0</v>
      </c>
      <c r="N4972" s="23" t="str">
        <f t="shared" si="310"/>
        <v>OK</v>
      </c>
      <c r="O4972" s="24">
        <f t="shared" si="311"/>
        <v>0</v>
      </c>
    </row>
    <row r="4973" spans="1:15" ht="15" customHeight="1" x14ac:dyDescent="0.3">
      <c r="A4973" s="23" t="s">
        <v>10397</v>
      </c>
      <c r="B4973" s="38">
        <v>46289</v>
      </c>
      <c r="C4973" s="23" t="s">
        <v>10398</v>
      </c>
      <c r="D4973" s="23" t="s">
        <v>92</v>
      </c>
      <c r="E4973" s="23" t="s">
        <v>75</v>
      </c>
      <c r="F4973" s="23" t="s">
        <v>249</v>
      </c>
      <c r="G4973" s="23" t="s">
        <v>250</v>
      </c>
      <c r="H4973" s="39">
        <f t="shared" si="308"/>
        <v>299</v>
      </c>
      <c r="I4973" s="23" t="str">
        <f t="shared" si="309"/>
        <v>Hyderabad</v>
      </c>
      <c r="J4973" s="23">
        <f>COUNTIFS(pg_transaction_cleaned!$O:$O,A4973,pg_transaction_cleaned!$F:$F,"CAPTURE")</f>
        <v>1</v>
      </c>
      <c r="K4973" s="39">
        <f>SUMIFS(pg_transaction_cleaned!$H:$H,pg_transaction_cleaned!$O:$O,A4973,pg_transaction_cleaned!$F:$F,"CAPTURE")</f>
        <v>299</v>
      </c>
      <c r="L4973" s="23">
        <f>COUNTIFS(pg_transaction_cleaned!$O:$O,A4973,pg_transaction_cleaned!$F:$F,"REFUND")</f>
        <v>0</v>
      </c>
      <c r="M4973" s="39">
        <f>SUMIFS(pg_transaction_cleaned!$H:$H,pg_transaction_cleaned!$O:$O,A4973,pg_transaction_cleaned!$F:$F,"REFUND")</f>
        <v>0</v>
      </c>
      <c r="N4973" s="23" t="str">
        <f t="shared" si="310"/>
        <v>OK</v>
      </c>
      <c r="O4973" s="24">
        <f t="shared" si="311"/>
        <v>0</v>
      </c>
    </row>
    <row r="4974" spans="1:15" ht="15" customHeight="1" x14ac:dyDescent="0.3">
      <c r="A4974" s="23" t="s">
        <v>10399</v>
      </c>
      <c r="B4974" s="38">
        <v>46284</v>
      </c>
      <c r="C4974" s="23" t="s">
        <v>10400</v>
      </c>
      <c r="D4974" s="23" t="s">
        <v>88</v>
      </c>
      <c r="E4974" s="23" t="s">
        <v>79</v>
      </c>
      <c r="F4974" s="23" t="s">
        <v>1193</v>
      </c>
      <c r="G4974" s="23" t="s">
        <v>250</v>
      </c>
      <c r="H4974" s="39">
        <f t="shared" si="308"/>
        <v>3498</v>
      </c>
      <c r="I4974" s="23" t="str">
        <f t="shared" si="309"/>
        <v>Lucknow</v>
      </c>
      <c r="J4974" s="23">
        <f>COUNTIFS(pg_transaction_cleaned!$O:$O,A4974,pg_transaction_cleaned!$F:$F,"CAPTURE")</f>
        <v>1</v>
      </c>
      <c r="K4974" s="39">
        <f>SUMIFS(pg_transaction_cleaned!$H:$H,pg_transaction_cleaned!$O:$O,A4974,pg_transaction_cleaned!$F:$F,"CAPTURE")</f>
        <v>3498</v>
      </c>
      <c r="L4974" s="23">
        <f>COUNTIFS(pg_transaction_cleaned!$O:$O,A4974,pg_transaction_cleaned!$F:$F,"REFUND")</f>
        <v>0</v>
      </c>
      <c r="M4974" s="39">
        <f>SUMIFS(pg_transaction_cleaned!$H:$H,pg_transaction_cleaned!$O:$O,A4974,pg_transaction_cleaned!$F:$F,"REFUND")</f>
        <v>0</v>
      </c>
      <c r="N4974" s="23" t="str">
        <f t="shared" si="310"/>
        <v>OK</v>
      </c>
      <c r="O4974" s="24">
        <f t="shared" si="311"/>
        <v>0</v>
      </c>
    </row>
    <row r="4975" spans="1:15" ht="15" customHeight="1" x14ac:dyDescent="0.3">
      <c r="A4975" s="23" t="s">
        <v>10401</v>
      </c>
      <c r="B4975" s="38">
        <v>46271</v>
      </c>
      <c r="C4975" s="23" t="s">
        <v>10402</v>
      </c>
      <c r="D4975" s="23" t="s">
        <v>90</v>
      </c>
      <c r="E4975" s="23" t="s">
        <v>79</v>
      </c>
      <c r="F4975" s="23" t="s">
        <v>274</v>
      </c>
      <c r="G4975" s="23" t="s">
        <v>250</v>
      </c>
      <c r="H4975" s="39">
        <f t="shared" si="308"/>
        <v>349</v>
      </c>
      <c r="I4975" s="23" t="str">
        <f t="shared" si="309"/>
        <v>Ahmedabad</v>
      </c>
      <c r="J4975" s="23">
        <f>COUNTIFS(pg_transaction_cleaned!$O:$O,A4975,pg_transaction_cleaned!$F:$F,"CAPTURE")</f>
        <v>1</v>
      </c>
      <c r="K4975" s="39">
        <f>SUMIFS(pg_transaction_cleaned!$H:$H,pg_transaction_cleaned!$O:$O,A4975,pg_transaction_cleaned!$F:$F,"CAPTURE")</f>
        <v>349</v>
      </c>
      <c r="L4975" s="23">
        <f>COUNTIFS(pg_transaction_cleaned!$O:$O,A4975,pg_transaction_cleaned!$F:$F,"REFUND")</f>
        <v>0</v>
      </c>
      <c r="M4975" s="39">
        <f>SUMIFS(pg_transaction_cleaned!$H:$H,pg_transaction_cleaned!$O:$O,A4975,pg_transaction_cleaned!$F:$F,"REFUND")</f>
        <v>0</v>
      </c>
      <c r="N4975" s="23" t="str">
        <f t="shared" si="310"/>
        <v>OK</v>
      </c>
      <c r="O4975" s="24">
        <f t="shared" si="311"/>
        <v>0</v>
      </c>
    </row>
    <row r="4976" spans="1:15" ht="15" customHeight="1" x14ac:dyDescent="0.3">
      <c r="A4976" s="23" t="s">
        <v>10403</v>
      </c>
      <c r="B4976" s="38">
        <v>46277</v>
      </c>
      <c r="C4976" s="23" t="s">
        <v>10404</v>
      </c>
      <c r="D4976" s="23" t="s">
        <v>94</v>
      </c>
      <c r="E4976" s="23" t="s">
        <v>79</v>
      </c>
      <c r="F4976" s="23" t="s">
        <v>1495</v>
      </c>
      <c r="G4976" s="23" t="s">
        <v>250</v>
      </c>
      <c r="H4976" s="39">
        <f t="shared" si="308"/>
        <v>7498</v>
      </c>
      <c r="I4976" s="23" t="str">
        <f t="shared" si="309"/>
        <v>Chennai</v>
      </c>
      <c r="J4976" s="23">
        <f>COUNTIFS(pg_transaction_cleaned!$O:$O,A4976,pg_transaction_cleaned!$F:$F,"CAPTURE")</f>
        <v>1</v>
      </c>
      <c r="K4976" s="39">
        <f>SUMIFS(pg_transaction_cleaned!$H:$H,pg_transaction_cleaned!$O:$O,A4976,pg_transaction_cleaned!$F:$F,"CAPTURE")</f>
        <v>7498</v>
      </c>
      <c r="L4976" s="23">
        <f>COUNTIFS(pg_transaction_cleaned!$O:$O,A4976,pg_transaction_cleaned!$F:$F,"REFUND")</f>
        <v>0</v>
      </c>
      <c r="M4976" s="39">
        <f>SUMIFS(pg_transaction_cleaned!$H:$H,pg_transaction_cleaned!$O:$O,A4976,pg_transaction_cleaned!$F:$F,"REFUND")</f>
        <v>0</v>
      </c>
      <c r="N4976" s="23" t="str">
        <f t="shared" si="310"/>
        <v>OK</v>
      </c>
      <c r="O4976" s="24">
        <f t="shared" si="311"/>
        <v>0</v>
      </c>
    </row>
    <row r="4977" spans="1:15" ht="15" customHeight="1" x14ac:dyDescent="0.3">
      <c r="A4977" s="23" t="s">
        <v>10405</v>
      </c>
      <c r="B4977" s="38">
        <v>46286</v>
      </c>
      <c r="C4977" s="23" t="s">
        <v>10406</v>
      </c>
      <c r="D4977" s="23" t="s">
        <v>92</v>
      </c>
      <c r="E4977" s="23" t="s">
        <v>75</v>
      </c>
      <c r="F4977" s="23" t="s">
        <v>310</v>
      </c>
      <c r="G4977" s="23" t="s">
        <v>250</v>
      </c>
      <c r="H4977" s="39">
        <f t="shared" si="308"/>
        <v>7999</v>
      </c>
      <c r="I4977" s="23" t="str">
        <f t="shared" si="309"/>
        <v>Hyderabad</v>
      </c>
      <c r="J4977" s="23">
        <f>COUNTIFS(pg_transaction_cleaned!$O:$O,A4977,pg_transaction_cleaned!$F:$F,"CAPTURE")</f>
        <v>1</v>
      </c>
      <c r="K4977" s="39">
        <f>SUMIFS(pg_transaction_cleaned!$H:$H,pg_transaction_cleaned!$O:$O,A4977,pg_transaction_cleaned!$F:$F,"CAPTURE")</f>
        <v>7999</v>
      </c>
      <c r="L4977" s="23">
        <f>COUNTIFS(pg_transaction_cleaned!$O:$O,A4977,pg_transaction_cleaned!$F:$F,"REFUND")</f>
        <v>0</v>
      </c>
      <c r="M4977" s="39">
        <f>SUMIFS(pg_transaction_cleaned!$H:$H,pg_transaction_cleaned!$O:$O,A4977,pg_transaction_cleaned!$F:$F,"REFUND")</f>
        <v>0</v>
      </c>
      <c r="N4977" s="23" t="str">
        <f t="shared" si="310"/>
        <v>OK</v>
      </c>
      <c r="O4977" s="24">
        <f t="shared" si="311"/>
        <v>0</v>
      </c>
    </row>
    <row r="4978" spans="1:15" ht="15" customHeight="1" x14ac:dyDescent="0.3">
      <c r="A4978" s="23" t="s">
        <v>10407</v>
      </c>
      <c r="B4978" s="38">
        <v>46274</v>
      </c>
      <c r="C4978" s="23" t="s">
        <v>10408</v>
      </c>
      <c r="D4978" s="23" t="s">
        <v>88</v>
      </c>
      <c r="E4978" s="23" t="s">
        <v>79</v>
      </c>
      <c r="F4978" s="23" t="s">
        <v>265</v>
      </c>
      <c r="G4978" s="23" t="s">
        <v>250</v>
      </c>
      <c r="H4978" s="39">
        <f t="shared" si="308"/>
        <v>999</v>
      </c>
      <c r="I4978" s="23" t="str">
        <f t="shared" si="309"/>
        <v>Lucknow</v>
      </c>
      <c r="J4978" s="23">
        <f>COUNTIFS(pg_transaction_cleaned!$O:$O,A4978,pg_transaction_cleaned!$F:$F,"CAPTURE")</f>
        <v>1</v>
      </c>
      <c r="K4978" s="39">
        <f>SUMIFS(pg_transaction_cleaned!$H:$H,pg_transaction_cleaned!$O:$O,A4978,pg_transaction_cleaned!$F:$F,"CAPTURE")</f>
        <v>999</v>
      </c>
      <c r="L4978" s="23">
        <f>COUNTIFS(pg_transaction_cleaned!$O:$O,A4978,pg_transaction_cleaned!$F:$F,"REFUND")</f>
        <v>0</v>
      </c>
      <c r="M4978" s="39">
        <f>SUMIFS(pg_transaction_cleaned!$H:$H,pg_transaction_cleaned!$O:$O,A4978,pg_transaction_cleaned!$F:$F,"REFUND")</f>
        <v>0</v>
      </c>
      <c r="N4978" s="23" t="str">
        <f t="shared" si="310"/>
        <v>OK</v>
      </c>
      <c r="O4978" s="24">
        <f t="shared" si="311"/>
        <v>0</v>
      </c>
    </row>
    <row r="4979" spans="1:15" ht="15" customHeight="1" x14ac:dyDescent="0.3">
      <c r="A4979" s="23" t="s">
        <v>10409</v>
      </c>
      <c r="B4979" s="38">
        <v>46290</v>
      </c>
      <c r="C4979" s="23" t="s">
        <v>10410</v>
      </c>
      <c r="D4979" s="23" t="s">
        <v>92</v>
      </c>
      <c r="E4979" s="23" t="s">
        <v>75</v>
      </c>
      <c r="F4979" s="23" t="s">
        <v>2304</v>
      </c>
      <c r="G4979" s="23" t="s">
        <v>250</v>
      </c>
      <c r="H4979" s="39">
        <f t="shared" si="308"/>
        <v>6797</v>
      </c>
      <c r="I4979" s="23" t="str">
        <f t="shared" si="309"/>
        <v>Hyderabad</v>
      </c>
      <c r="J4979" s="23">
        <f>COUNTIFS(pg_transaction_cleaned!$O:$O,A4979,pg_transaction_cleaned!$F:$F,"CAPTURE")</f>
        <v>1</v>
      </c>
      <c r="K4979" s="39">
        <f>SUMIFS(pg_transaction_cleaned!$H:$H,pg_transaction_cleaned!$O:$O,A4979,pg_transaction_cleaned!$F:$F,"CAPTURE")</f>
        <v>6797</v>
      </c>
      <c r="L4979" s="23">
        <f>COUNTIFS(pg_transaction_cleaned!$O:$O,A4979,pg_transaction_cleaned!$F:$F,"REFUND")</f>
        <v>0</v>
      </c>
      <c r="M4979" s="39">
        <f>SUMIFS(pg_transaction_cleaned!$H:$H,pg_transaction_cleaned!$O:$O,A4979,pg_transaction_cleaned!$F:$F,"REFUND")</f>
        <v>0</v>
      </c>
      <c r="N4979" s="23" t="str">
        <f t="shared" si="310"/>
        <v>OK</v>
      </c>
      <c r="O4979" s="24">
        <f t="shared" si="311"/>
        <v>0</v>
      </c>
    </row>
    <row r="4980" spans="1:15" ht="15" customHeight="1" x14ac:dyDescent="0.3">
      <c r="A4980" s="23" t="s">
        <v>10411</v>
      </c>
      <c r="B4980" s="38">
        <v>46269</v>
      </c>
      <c r="C4980" s="23" t="s">
        <v>10412</v>
      </c>
      <c r="D4980" s="23" t="s">
        <v>94</v>
      </c>
      <c r="E4980" s="23" t="s">
        <v>75</v>
      </c>
      <c r="F4980" s="23" t="s">
        <v>297</v>
      </c>
      <c r="G4980" s="23" t="s">
        <v>250</v>
      </c>
      <c r="H4980" s="39">
        <f t="shared" si="308"/>
        <v>4999</v>
      </c>
      <c r="I4980" s="23" t="str">
        <f t="shared" si="309"/>
        <v>Chennai</v>
      </c>
      <c r="J4980" s="23">
        <f>COUNTIFS(pg_transaction_cleaned!$O:$O,A4980,pg_transaction_cleaned!$F:$F,"CAPTURE")</f>
        <v>1</v>
      </c>
      <c r="K4980" s="39">
        <f>SUMIFS(pg_transaction_cleaned!$H:$H,pg_transaction_cleaned!$O:$O,A4980,pg_transaction_cleaned!$F:$F,"CAPTURE")</f>
        <v>4999</v>
      </c>
      <c r="L4980" s="23">
        <f>COUNTIFS(pg_transaction_cleaned!$O:$O,A4980,pg_transaction_cleaned!$F:$F,"REFUND")</f>
        <v>0</v>
      </c>
      <c r="M4980" s="39">
        <f>SUMIFS(pg_transaction_cleaned!$H:$H,pg_transaction_cleaned!$O:$O,A4980,pg_transaction_cleaned!$F:$F,"REFUND")</f>
        <v>0</v>
      </c>
      <c r="N4980" s="23" t="str">
        <f t="shared" si="310"/>
        <v>OK</v>
      </c>
      <c r="O4980" s="24">
        <f t="shared" si="311"/>
        <v>0</v>
      </c>
    </row>
    <row r="4981" spans="1:15" ht="15" customHeight="1" x14ac:dyDescent="0.3">
      <c r="A4981" s="23" t="s">
        <v>10413</v>
      </c>
      <c r="B4981" s="38">
        <v>46268</v>
      </c>
      <c r="C4981" s="23" t="s">
        <v>10414</v>
      </c>
      <c r="D4981" s="23" t="s">
        <v>95</v>
      </c>
      <c r="E4981" s="23" t="s">
        <v>79</v>
      </c>
      <c r="F4981" s="23" t="s">
        <v>329</v>
      </c>
      <c r="G4981" s="23" t="s">
        <v>250</v>
      </c>
      <c r="H4981" s="39">
        <f t="shared" si="308"/>
        <v>599</v>
      </c>
      <c r="I4981" s="23" t="str">
        <f t="shared" si="309"/>
        <v>Bengaluru</v>
      </c>
      <c r="J4981" s="23">
        <f>COUNTIFS(pg_transaction_cleaned!$O:$O,A4981,pg_transaction_cleaned!$F:$F,"CAPTURE")</f>
        <v>1</v>
      </c>
      <c r="K4981" s="39">
        <f>SUMIFS(pg_transaction_cleaned!$H:$H,pg_transaction_cleaned!$O:$O,A4981,pg_transaction_cleaned!$F:$F,"CAPTURE")</f>
        <v>599</v>
      </c>
      <c r="L4981" s="23">
        <f>COUNTIFS(pg_transaction_cleaned!$O:$O,A4981,pg_transaction_cleaned!$F:$F,"REFUND")</f>
        <v>0</v>
      </c>
      <c r="M4981" s="39">
        <f>SUMIFS(pg_transaction_cleaned!$H:$H,pg_transaction_cleaned!$O:$O,A4981,pg_transaction_cleaned!$F:$F,"REFUND")</f>
        <v>0</v>
      </c>
      <c r="N4981" s="23" t="str">
        <f t="shared" si="310"/>
        <v>OK</v>
      </c>
      <c r="O4981" s="24">
        <f t="shared" si="311"/>
        <v>0</v>
      </c>
    </row>
    <row r="4982" spans="1:15" ht="15" customHeight="1" x14ac:dyDescent="0.3">
      <c r="A4982" s="23" t="s">
        <v>10415</v>
      </c>
      <c r="B4982" s="38">
        <v>46293</v>
      </c>
      <c r="C4982" s="23" t="s">
        <v>10416</v>
      </c>
      <c r="D4982" s="23" t="s">
        <v>88</v>
      </c>
      <c r="E4982" s="23" t="s">
        <v>75</v>
      </c>
      <c r="F4982" s="23" t="s">
        <v>340</v>
      </c>
      <c r="G4982" s="23" t="s">
        <v>250</v>
      </c>
      <c r="H4982" s="39">
        <f t="shared" si="308"/>
        <v>6298</v>
      </c>
      <c r="I4982" s="23" t="str">
        <f t="shared" si="309"/>
        <v>Lucknow</v>
      </c>
      <c r="J4982" s="23">
        <f>COUNTIFS(pg_transaction_cleaned!$O:$O,A4982,pg_transaction_cleaned!$F:$F,"CAPTURE")</f>
        <v>1</v>
      </c>
      <c r="K4982" s="39">
        <f>SUMIFS(pg_transaction_cleaned!$H:$H,pg_transaction_cleaned!$O:$O,A4982,pg_transaction_cleaned!$F:$F,"CAPTURE")</f>
        <v>6298</v>
      </c>
      <c r="L4982" s="23">
        <f>COUNTIFS(pg_transaction_cleaned!$O:$O,A4982,pg_transaction_cleaned!$F:$F,"REFUND")</f>
        <v>0</v>
      </c>
      <c r="M4982" s="39">
        <f>SUMIFS(pg_transaction_cleaned!$H:$H,pg_transaction_cleaned!$O:$O,A4982,pg_transaction_cleaned!$F:$F,"REFUND")</f>
        <v>0</v>
      </c>
      <c r="N4982" s="23" t="str">
        <f t="shared" si="310"/>
        <v>OK</v>
      </c>
      <c r="O4982" s="24">
        <f t="shared" si="311"/>
        <v>0</v>
      </c>
    </row>
    <row r="4983" spans="1:15" ht="15" customHeight="1" x14ac:dyDescent="0.3">
      <c r="A4983" s="23" t="s">
        <v>10417</v>
      </c>
      <c r="B4983" s="38">
        <v>46280</v>
      </c>
      <c r="C4983" s="23" t="s">
        <v>10418</v>
      </c>
      <c r="D4983" s="23" t="s">
        <v>89</v>
      </c>
      <c r="E4983" s="23" t="s">
        <v>77</v>
      </c>
      <c r="F4983" s="23" t="s">
        <v>1762</v>
      </c>
      <c r="G4983" s="23" t="s">
        <v>250</v>
      </c>
      <c r="H4983" s="39">
        <f t="shared" si="308"/>
        <v>2148</v>
      </c>
      <c r="I4983" s="23" t="str">
        <f t="shared" si="309"/>
        <v>Jaipur</v>
      </c>
      <c r="J4983" s="23">
        <f>COUNTIFS(pg_transaction_cleaned!$O:$O,A4983,pg_transaction_cleaned!$F:$F,"CAPTURE")</f>
        <v>1</v>
      </c>
      <c r="K4983" s="39">
        <f>SUMIFS(pg_transaction_cleaned!$H:$H,pg_transaction_cleaned!$O:$O,A4983,pg_transaction_cleaned!$F:$F,"CAPTURE")</f>
        <v>2148</v>
      </c>
      <c r="L4983" s="23">
        <f>COUNTIFS(pg_transaction_cleaned!$O:$O,A4983,pg_transaction_cleaned!$F:$F,"REFUND")</f>
        <v>0</v>
      </c>
      <c r="M4983" s="39">
        <f>SUMIFS(pg_transaction_cleaned!$H:$H,pg_transaction_cleaned!$O:$O,A4983,pg_transaction_cleaned!$F:$F,"REFUND")</f>
        <v>0</v>
      </c>
      <c r="N4983" s="23" t="str">
        <f t="shared" si="310"/>
        <v>OK</v>
      </c>
      <c r="O4983" s="24">
        <f t="shared" si="311"/>
        <v>0</v>
      </c>
    </row>
    <row r="4984" spans="1:15" ht="15" customHeight="1" x14ac:dyDescent="0.3">
      <c r="A4984" s="23" t="s">
        <v>10419</v>
      </c>
      <c r="B4984" s="38">
        <v>46276</v>
      </c>
      <c r="C4984" s="23" t="s">
        <v>10420</v>
      </c>
      <c r="D4984" s="23" t="s">
        <v>92</v>
      </c>
      <c r="E4984" s="23" t="s">
        <v>81</v>
      </c>
      <c r="F4984" s="23" t="s">
        <v>315</v>
      </c>
      <c r="G4984" s="23" t="s">
        <v>250</v>
      </c>
      <c r="H4984" s="39">
        <f t="shared" si="308"/>
        <v>1499</v>
      </c>
      <c r="I4984" s="23" t="str">
        <f t="shared" si="309"/>
        <v>Hyderabad</v>
      </c>
      <c r="J4984" s="23">
        <f>COUNTIFS(pg_transaction_cleaned!$O:$O,A4984,pg_transaction_cleaned!$F:$F,"CAPTURE")</f>
        <v>1</v>
      </c>
      <c r="K4984" s="39">
        <f>SUMIFS(pg_transaction_cleaned!$H:$H,pg_transaction_cleaned!$O:$O,A4984,pg_transaction_cleaned!$F:$F,"CAPTURE")</f>
        <v>1499</v>
      </c>
      <c r="L4984" s="23">
        <f>COUNTIFS(pg_transaction_cleaned!$O:$O,A4984,pg_transaction_cleaned!$F:$F,"REFUND")</f>
        <v>0</v>
      </c>
      <c r="M4984" s="39">
        <f>SUMIFS(pg_transaction_cleaned!$H:$H,pg_transaction_cleaned!$O:$O,A4984,pg_transaction_cleaned!$F:$F,"REFUND")</f>
        <v>0</v>
      </c>
      <c r="N4984" s="23" t="str">
        <f t="shared" si="310"/>
        <v>OK</v>
      </c>
      <c r="O4984" s="24">
        <f t="shared" si="311"/>
        <v>0</v>
      </c>
    </row>
    <row r="4985" spans="1:15" ht="15" customHeight="1" x14ac:dyDescent="0.3">
      <c r="A4985" s="23" t="s">
        <v>10421</v>
      </c>
      <c r="B4985" s="38">
        <v>46285</v>
      </c>
      <c r="C4985" s="23" t="s">
        <v>10422</v>
      </c>
      <c r="D4985" s="23" t="s">
        <v>89</v>
      </c>
      <c r="E4985" s="23" t="s">
        <v>79</v>
      </c>
      <c r="F4985" s="23" t="s">
        <v>1448</v>
      </c>
      <c r="G4985" s="23" t="s">
        <v>250</v>
      </c>
      <c r="H4985" s="39">
        <f t="shared" si="308"/>
        <v>6297</v>
      </c>
      <c r="I4985" s="23" t="str">
        <f t="shared" si="309"/>
        <v>Jaipur</v>
      </c>
      <c r="J4985" s="23">
        <f>COUNTIFS(pg_transaction_cleaned!$O:$O,A4985,pg_transaction_cleaned!$F:$F,"CAPTURE")</f>
        <v>1</v>
      </c>
      <c r="K4985" s="39">
        <f>SUMIFS(pg_transaction_cleaned!$H:$H,pg_transaction_cleaned!$O:$O,A4985,pg_transaction_cleaned!$F:$F,"CAPTURE")</f>
        <v>6297</v>
      </c>
      <c r="L4985" s="23">
        <f>COUNTIFS(pg_transaction_cleaned!$O:$O,A4985,pg_transaction_cleaned!$F:$F,"REFUND")</f>
        <v>0</v>
      </c>
      <c r="M4985" s="39">
        <f>SUMIFS(pg_transaction_cleaned!$H:$H,pg_transaction_cleaned!$O:$O,A4985,pg_transaction_cleaned!$F:$F,"REFUND")</f>
        <v>0</v>
      </c>
      <c r="N4985" s="23" t="str">
        <f t="shared" si="310"/>
        <v>OK</v>
      </c>
      <c r="O4985" s="24">
        <f t="shared" si="311"/>
        <v>0</v>
      </c>
    </row>
    <row r="4986" spans="1:15" ht="15" customHeight="1" x14ac:dyDescent="0.3">
      <c r="A4986" s="23" t="s">
        <v>10423</v>
      </c>
      <c r="B4986" s="38">
        <v>46282</v>
      </c>
      <c r="C4986" s="23" t="s">
        <v>10424</v>
      </c>
      <c r="D4986" s="23" t="s">
        <v>87</v>
      </c>
      <c r="E4986" s="23" t="s">
        <v>79</v>
      </c>
      <c r="F4986" s="23" t="s">
        <v>475</v>
      </c>
      <c r="G4986" s="23" t="s">
        <v>250</v>
      </c>
      <c r="H4986" s="39">
        <f t="shared" si="308"/>
        <v>799</v>
      </c>
      <c r="I4986" s="23" t="str">
        <f t="shared" si="309"/>
        <v>Mumbai</v>
      </c>
      <c r="J4986" s="23">
        <f>COUNTIFS(pg_transaction_cleaned!$O:$O,A4986,pg_transaction_cleaned!$F:$F,"CAPTURE")</f>
        <v>1</v>
      </c>
      <c r="K4986" s="39">
        <f>SUMIFS(pg_transaction_cleaned!$H:$H,pg_transaction_cleaned!$O:$O,A4986,pg_transaction_cleaned!$F:$F,"CAPTURE")</f>
        <v>799</v>
      </c>
      <c r="L4986" s="23">
        <f>COUNTIFS(pg_transaction_cleaned!$O:$O,A4986,pg_transaction_cleaned!$F:$F,"REFUND")</f>
        <v>0</v>
      </c>
      <c r="M4986" s="39">
        <f>SUMIFS(pg_transaction_cleaned!$H:$H,pg_transaction_cleaned!$O:$O,A4986,pg_transaction_cleaned!$F:$F,"REFUND")</f>
        <v>0</v>
      </c>
      <c r="N4986" s="23" t="str">
        <f t="shared" si="310"/>
        <v>OK</v>
      </c>
      <c r="O4986" s="24">
        <f t="shared" si="311"/>
        <v>0</v>
      </c>
    </row>
    <row r="4987" spans="1:15" ht="15" customHeight="1" x14ac:dyDescent="0.3">
      <c r="A4987" s="23" t="s">
        <v>10425</v>
      </c>
      <c r="B4987" s="38">
        <v>46272</v>
      </c>
      <c r="C4987" s="23" t="s">
        <v>10426</v>
      </c>
      <c r="D4987" s="23" t="s">
        <v>94</v>
      </c>
      <c r="E4987" s="23" t="s">
        <v>75</v>
      </c>
      <c r="F4987" s="23" t="s">
        <v>2954</v>
      </c>
      <c r="G4987" s="23" t="s">
        <v>250</v>
      </c>
      <c r="H4987" s="39">
        <f t="shared" si="308"/>
        <v>1799</v>
      </c>
      <c r="I4987" s="23" t="str">
        <f t="shared" si="309"/>
        <v>Chennai</v>
      </c>
      <c r="J4987" s="23">
        <f>COUNTIFS(pg_transaction_cleaned!$O:$O,A4987,pg_transaction_cleaned!$F:$F,"CAPTURE")</f>
        <v>1</v>
      </c>
      <c r="K4987" s="39">
        <f>SUMIFS(pg_transaction_cleaned!$H:$H,pg_transaction_cleaned!$O:$O,A4987,pg_transaction_cleaned!$F:$F,"CAPTURE")</f>
        <v>1799</v>
      </c>
      <c r="L4987" s="23">
        <f>COUNTIFS(pg_transaction_cleaned!$O:$O,A4987,pg_transaction_cleaned!$F:$F,"REFUND")</f>
        <v>0</v>
      </c>
      <c r="M4987" s="39">
        <f>SUMIFS(pg_transaction_cleaned!$H:$H,pg_transaction_cleaned!$O:$O,A4987,pg_transaction_cleaned!$F:$F,"REFUND")</f>
        <v>0</v>
      </c>
      <c r="N4987" s="23" t="str">
        <f t="shared" si="310"/>
        <v>OK</v>
      </c>
      <c r="O4987" s="24">
        <f t="shared" si="311"/>
        <v>0</v>
      </c>
    </row>
    <row r="4988" spans="1:15" ht="15" customHeight="1" x14ac:dyDescent="0.3">
      <c r="A4988" s="23" t="s">
        <v>10427</v>
      </c>
      <c r="B4988" s="38">
        <v>46280</v>
      </c>
      <c r="C4988" s="23" t="s">
        <v>10428</v>
      </c>
      <c r="D4988" s="23" t="s">
        <v>89</v>
      </c>
      <c r="E4988" s="23" t="s">
        <v>79</v>
      </c>
      <c r="F4988" s="23" t="s">
        <v>475</v>
      </c>
      <c r="G4988" s="23" t="s">
        <v>250</v>
      </c>
      <c r="H4988" s="39">
        <f t="shared" si="308"/>
        <v>799</v>
      </c>
      <c r="I4988" s="23" t="str">
        <f t="shared" si="309"/>
        <v>Jaipur</v>
      </c>
      <c r="J4988" s="23">
        <f>COUNTIFS(pg_transaction_cleaned!$O:$O,A4988,pg_transaction_cleaned!$F:$F,"CAPTURE")</f>
        <v>1</v>
      </c>
      <c r="K4988" s="39">
        <f>SUMIFS(pg_transaction_cleaned!$H:$H,pg_transaction_cleaned!$O:$O,A4988,pg_transaction_cleaned!$F:$F,"CAPTURE")</f>
        <v>799</v>
      </c>
      <c r="L4988" s="23">
        <f>COUNTIFS(pg_transaction_cleaned!$O:$O,A4988,pg_transaction_cleaned!$F:$F,"REFUND")</f>
        <v>0</v>
      </c>
      <c r="M4988" s="39">
        <f>SUMIFS(pg_transaction_cleaned!$H:$H,pg_transaction_cleaned!$O:$O,A4988,pg_transaction_cleaned!$F:$F,"REFUND")</f>
        <v>0</v>
      </c>
      <c r="N4988" s="23" t="str">
        <f t="shared" si="310"/>
        <v>OK</v>
      </c>
      <c r="O4988" s="24">
        <f t="shared" si="311"/>
        <v>0</v>
      </c>
    </row>
    <row r="4989" spans="1:15" ht="15" customHeight="1" x14ac:dyDescent="0.3">
      <c r="A4989" s="23" t="s">
        <v>10429</v>
      </c>
      <c r="B4989" s="38">
        <v>46279</v>
      </c>
      <c r="C4989" s="23" t="s">
        <v>10430</v>
      </c>
      <c r="D4989" s="23" t="s">
        <v>86</v>
      </c>
      <c r="E4989" s="23" t="s">
        <v>79</v>
      </c>
      <c r="F4989" s="23" t="s">
        <v>262</v>
      </c>
      <c r="G4989" s="23" t="s">
        <v>250</v>
      </c>
      <c r="H4989" s="39">
        <f t="shared" si="308"/>
        <v>499</v>
      </c>
      <c r="I4989" s="23" t="str">
        <f t="shared" si="309"/>
        <v>Delhi</v>
      </c>
      <c r="J4989" s="23">
        <f>COUNTIFS(pg_transaction_cleaned!$O:$O,A4989,pg_transaction_cleaned!$F:$F,"CAPTURE")</f>
        <v>1</v>
      </c>
      <c r="K4989" s="39">
        <f>SUMIFS(pg_transaction_cleaned!$H:$H,pg_transaction_cleaned!$O:$O,A4989,pg_transaction_cleaned!$F:$F,"CAPTURE")</f>
        <v>499</v>
      </c>
      <c r="L4989" s="23">
        <f>COUNTIFS(pg_transaction_cleaned!$O:$O,A4989,pg_transaction_cleaned!$F:$F,"REFUND")</f>
        <v>0</v>
      </c>
      <c r="M4989" s="39">
        <f>SUMIFS(pg_transaction_cleaned!$H:$H,pg_transaction_cleaned!$O:$O,A4989,pg_transaction_cleaned!$F:$F,"REFUND")</f>
        <v>0</v>
      </c>
      <c r="N4989" s="23" t="str">
        <f t="shared" si="310"/>
        <v>OK</v>
      </c>
      <c r="O4989" s="24">
        <f t="shared" si="311"/>
        <v>0</v>
      </c>
    </row>
    <row r="4990" spans="1:15" ht="15" customHeight="1" x14ac:dyDescent="0.3">
      <c r="A4990" s="23" t="s">
        <v>10431</v>
      </c>
      <c r="B4990" s="38">
        <v>46280</v>
      </c>
      <c r="C4990" s="23" t="s">
        <v>10432</v>
      </c>
      <c r="D4990" s="23" t="s">
        <v>89</v>
      </c>
      <c r="E4990" s="23" t="s">
        <v>75</v>
      </c>
      <c r="F4990" s="23" t="s">
        <v>1421</v>
      </c>
      <c r="G4990" s="23" t="s">
        <v>365</v>
      </c>
      <c r="H4990" s="39">
        <f t="shared" si="308"/>
        <v>3197</v>
      </c>
      <c r="I4990" s="23" t="str">
        <f t="shared" si="309"/>
        <v>Jaipur</v>
      </c>
      <c r="J4990" s="23">
        <f>COUNTIFS(pg_transaction_cleaned!$O:$O,A4990,pg_transaction_cleaned!$F:$F,"CAPTURE")</f>
        <v>0</v>
      </c>
      <c r="K4990" s="39">
        <f>SUMIFS(pg_transaction_cleaned!$H:$H,pg_transaction_cleaned!$O:$O,A4990,pg_transaction_cleaned!$F:$F,"CAPTURE")</f>
        <v>0</v>
      </c>
      <c r="L4990" s="23">
        <f>COUNTIFS(pg_transaction_cleaned!$O:$O,A4990,pg_transaction_cleaned!$F:$F,"REFUND")</f>
        <v>0</v>
      </c>
      <c r="M4990" s="39">
        <f>SUMIFS(pg_transaction_cleaned!$H:$H,pg_transaction_cleaned!$O:$O,A4990,pg_transaction_cleaned!$F:$F,"REFUND")</f>
        <v>0</v>
      </c>
      <c r="N4990" s="23" t="str">
        <f t="shared" si="310"/>
        <v>OK</v>
      </c>
      <c r="O4990" s="24">
        <f t="shared" si="311"/>
        <v>0</v>
      </c>
    </row>
    <row r="4991" spans="1:15" ht="15" customHeight="1" x14ac:dyDescent="0.3">
      <c r="A4991" s="23" t="s">
        <v>10433</v>
      </c>
      <c r="B4991" s="38">
        <v>46277</v>
      </c>
      <c r="C4991" s="23" t="s">
        <v>10434</v>
      </c>
      <c r="D4991" s="23" t="s">
        <v>88</v>
      </c>
      <c r="E4991" s="23" t="s">
        <v>79</v>
      </c>
      <c r="F4991" s="23" t="s">
        <v>1809</v>
      </c>
      <c r="G4991" s="23" t="s">
        <v>250</v>
      </c>
      <c r="H4991" s="39">
        <f t="shared" si="308"/>
        <v>10147</v>
      </c>
      <c r="I4991" s="23" t="str">
        <f t="shared" si="309"/>
        <v>Lucknow</v>
      </c>
      <c r="J4991" s="23">
        <f>COUNTIFS(pg_transaction_cleaned!$O:$O,A4991,pg_transaction_cleaned!$F:$F,"CAPTURE")</f>
        <v>1</v>
      </c>
      <c r="K4991" s="39">
        <f>SUMIFS(pg_transaction_cleaned!$H:$H,pg_transaction_cleaned!$O:$O,A4991,pg_transaction_cleaned!$F:$F,"CAPTURE")</f>
        <v>10147</v>
      </c>
      <c r="L4991" s="23">
        <f>COUNTIFS(pg_transaction_cleaned!$O:$O,A4991,pg_transaction_cleaned!$F:$F,"REFUND")</f>
        <v>0</v>
      </c>
      <c r="M4991" s="39">
        <f>SUMIFS(pg_transaction_cleaned!$H:$H,pg_transaction_cleaned!$O:$O,A4991,pg_transaction_cleaned!$F:$F,"REFUND")</f>
        <v>0</v>
      </c>
      <c r="N4991" s="23" t="str">
        <f t="shared" si="310"/>
        <v>OK</v>
      </c>
      <c r="O4991" s="24">
        <f t="shared" si="311"/>
        <v>0</v>
      </c>
    </row>
    <row r="4992" spans="1:15" ht="15" customHeight="1" x14ac:dyDescent="0.3">
      <c r="A4992" s="23" t="s">
        <v>10435</v>
      </c>
      <c r="B4992" s="38">
        <v>46283</v>
      </c>
      <c r="C4992" s="23" t="s">
        <v>10436</v>
      </c>
      <c r="D4992" s="23" t="s">
        <v>94</v>
      </c>
      <c r="E4992" s="23" t="s">
        <v>75</v>
      </c>
      <c r="F4992" s="23" t="s">
        <v>1265</v>
      </c>
      <c r="G4992" s="23" t="s">
        <v>250</v>
      </c>
      <c r="H4992" s="39">
        <f t="shared" si="308"/>
        <v>6997</v>
      </c>
      <c r="I4992" s="23" t="str">
        <f t="shared" si="309"/>
        <v>Chennai</v>
      </c>
      <c r="J4992" s="23">
        <f>COUNTIFS(pg_transaction_cleaned!$O:$O,A4992,pg_transaction_cleaned!$F:$F,"CAPTURE")</f>
        <v>1</v>
      </c>
      <c r="K4992" s="39">
        <f>SUMIFS(pg_transaction_cleaned!$H:$H,pg_transaction_cleaned!$O:$O,A4992,pg_transaction_cleaned!$F:$F,"CAPTURE")</f>
        <v>6997</v>
      </c>
      <c r="L4992" s="23">
        <f>COUNTIFS(pg_transaction_cleaned!$O:$O,A4992,pg_transaction_cleaned!$F:$F,"REFUND")</f>
        <v>0</v>
      </c>
      <c r="M4992" s="39">
        <f>SUMIFS(pg_transaction_cleaned!$H:$H,pg_transaction_cleaned!$O:$O,A4992,pg_transaction_cleaned!$F:$F,"REFUND")</f>
        <v>0</v>
      </c>
      <c r="N4992" s="23" t="str">
        <f t="shared" si="310"/>
        <v>OK</v>
      </c>
      <c r="O4992" s="24">
        <f t="shared" si="311"/>
        <v>0</v>
      </c>
    </row>
    <row r="4993" spans="1:15" ht="15" customHeight="1" x14ac:dyDescent="0.3">
      <c r="A4993" s="23" t="s">
        <v>10437</v>
      </c>
      <c r="B4993" s="38">
        <v>46292</v>
      </c>
      <c r="C4993" s="23" t="s">
        <v>10438</v>
      </c>
      <c r="D4993" s="23" t="s">
        <v>90</v>
      </c>
      <c r="E4993" s="23" t="s">
        <v>75</v>
      </c>
      <c r="F4993" s="23" t="s">
        <v>423</v>
      </c>
      <c r="G4993" s="23" t="s">
        <v>250</v>
      </c>
      <c r="H4993" s="39">
        <f t="shared" si="308"/>
        <v>1648</v>
      </c>
      <c r="I4993" s="23" t="str">
        <f t="shared" si="309"/>
        <v>Ahmedabad</v>
      </c>
      <c r="J4993" s="23">
        <f>COUNTIFS(pg_transaction_cleaned!$O:$O,A4993,pg_transaction_cleaned!$F:$F,"CAPTURE")</f>
        <v>1</v>
      </c>
      <c r="K4993" s="39">
        <f>SUMIFS(pg_transaction_cleaned!$H:$H,pg_transaction_cleaned!$O:$O,A4993,pg_transaction_cleaned!$F:$F,"CAPTURE")</f>
        <v>1648</v>
      </c>
      <c r="L4993" s="23">
        <f>COUNTIFS(pg_transaction_cleaned!$O:$O,A4993,pg_transaction_cleaned!$F:$F,"REFUND")</f>
        <v>0</v>
      </c>
      <c r="M4993" s="39">
        <f>SUMIFS(pg_transaction_cleaned!$H:$H,pg_transaction_cleaned!$O:$O,A4993,pg_transaction_cleaned!$F:$F,"REFUND")</f>
        <v>0</v>
      </c>
      <c r="N4993" s="23" t="str">
        <f t="shared" si="310"/>
        <v>OK</v>
      </c>
      <c r="O4993" s="24">
        <f t="shared" si="311"/>
        <v>0</v>
      </c>
    </row>
    <row r="4994" spans="1:15" ht="15" customHeight="1" x14ac:dyDescent="0.3">
      <c r="A4994" s="23" t="s">
        <v>10439</v>
      </c>
      <c r="B4994" s="38">
        <v>46289</v>
      </c>
      <c r="C4994" s="23" t="s">
        <v>10440</v>
      </c>
      <c r="D4994" s="23" t="s">
        <v>87</v>
      </c>
      <c r="E4994" s="23" t="s">
        <v>81</v>
      </c>
      <c r="F4994" s="23" t="s">
        <v>1662</v>
      </c>
      <c r="G4994" s="23" t="s">
        <v>250</v>
      </c>
      <c r="H4994" s="39">
        <f t="shared" ref="H4994:H5057" si="312">VALUE(SUBSTITUTE(F4994,",",""))</f>
        <v>4397</v>
      </c>
      <c r="I4994" s="23" t="str">
        <f t="shared" ref="I4994:I5057" si="313">IF(TRIM(D4994)="","Unknown",TRIM(D4994))</f>
        <v>Mumbai</v>
      </c>
      <c r="J4994" s="23">
        <f>COUNTIFS(pg_transaction_cleaned!$O:$O,A4994,pg_transaction_cleaned!$F:$F,"CAPTURE")</f>
        <v>1</v>
      </c>
      <c r="K4994" s="39">
        <f>SUMIFS(pg_transaction_cleaned!$H:$H,pg_transaction_cleaned!$O:$O,A4994,pg_transaction_cleaned!$F:$F,"CAPTURE")</f>
        <v>4397</v>
      </c>
      <c r="L4994" s="23">
        <f>COUNTIFS(pg_transaction_cleaned!$O:$O,A4994,pg_transaction_cleaned!$F:$F,"REFUND")</f>
        <v>0</v>
      </c>
      <c r="M4994" s="39">
        <f>SUMIFS(pg_transaction_cleaned!$H:$H,pg_transaction_cleaned!$O:$O,A4994,pg_transaction_cleaned!$F:$F,"REFUND")</f>
        <v>0</v>
      </c>
      <c r="N4994" s="23" t="str">
        <f t="shared" ref="N4994:N5057" si="314">IF(AND(G4994="Paid",J4994=0),"Paid, no payment",IF(AND(OR(G4994="Failed",G4994="Cancelled"),J4994&gt;0),"Payment on failed/cancelled",IF(J4994&gt;1,"Duplicate charge",IF(AND(J4994=1,ROUND(K4994-H4994,2)&lt;&gt;0),"Amount difference",IF(AND(G4994="Refunded",L4994=0),"Refunded, no refund",IF(AND(G4994&lt;&gt;"Refunded",L4994&gt;0),"Refund, order not Refunded",IF(AND(L4994&gt;0,ROUND(M4994-H4994,2)&lt;&gt;0),"Refund amount differs","OK")))))))</f>
        <v>OK</v>
      </c>
      <c r="O4994" s="24">
        <f t="shared" ref="O4994:O5057" si="315">IF(N4994="OK",0,IF(N4994="Paid, no payment",H4994,IF(N4994="Payment on failed/cancelled",K4994,IF(OR(N4994="Duplicate charge",N4994="Amount difference"),K4994-H4994,IF(N4994="Refunded, no refund",H4994,M4994)))))</f>
        <v>0</v>
      </c>
    </row>
    <row r="4995" spans="1:15" ht="15" customHeight="1" x14ac:dyDescent="0.3">
      <c r="A4995" s="23" t="s">
        <v>10441</v>
      </c>
      <c r="B4995" s="38">
        <v>46294</v>
      </c>
      <c r="C4995" s="23" t="s">
        <v>10442</v>
      </c>
      <c r="D4995" s="23" t="s">
        <v>94</v>
      </c>
      <c r="E4995" s="23" t="s">
        <v>75</v>
      </c>
      <c r="F4995" s="23" t="s">
        <v>262</v>
      </c>
      <c r="G4995" s="23" t="s">
        <v>250</v>
      </c>
      <c r="H4995" s="39">
        <f t="shared" si="312"/>
        <v>499</v>
      </c>
      <c r="I4995" s="23" t="str">
        <f t="shared" si="313"/>
        <v>Chennai</v>
      </c>
      <c r="J4995" s="23">
        <f>COUNTIFS(pg_transaction_cleaned!$O:$O,A4995,pg_transaction_cleaned!$F:$F,"CAPTURE")</f>
        <v>1</v>
      </c>
      <c r="K4995" s="39">
        <f>SUMIFS(pg_transaction_cleaned!$H:$H,pg_transaction_cleaned!$O:$O,A4995,pg_transaction_cleaned!$F:$F,"CAPTURE")</f>
        <v>499</v>
      </c>
      <c r="L4995" s="23">
        <f>COUNTIFS(pg_transaction_cleaned!$O:$O,A4995,pg_transaction_cleaned!$F:$F,"REFUND")</f>
        <v>0</v>
      </c>
      <c r="M4995" s="39">
        <f>SUMIFS(pg_transaction_cleaned!$H:$H,pg_transaction_cleaned!$O:$O,A4995,pg_transaction_cleaned!$F:$F,"REFUND")</f>
        <v>0</v>
      </c>
      <c r="N4995" s="23" t="str">
        <f t="shared" si="314"/>
        <v>OK</v>
      </c>
      <c r="O4995" s="24">
        <f t="shared" si="315"/>
        <v>0</v>
      </c>
    </row>
    <row r="4996" spans="1:15" ht="15" customHeight="1" x14ac:dyDescent="0.3">
      <c r="A4996" s="23" t="s">
        <v>10443</v>
      </c>
      <c r="B4996" s="38">
        <v>46285</v>
      </c>
      <c r="C4996" s="23" t="s">
        <v>10444</v>
      </c>
      <c r="D4996" s="23" t="s">
        <v>89</v>
      </c>
      <c r="E4996" s="23" t="s">
        <v>81</v>
      </c>
      <c r="F4996" s="23" t="s">
        <v>1193</v>
      </c>
      <c r="G4996" s="23" t="s">
        <v>250</v>
      </c>
      <c r="H4996" s="39">
        <f t="shared" si="312"/>
        <v>3498</v>
      </c>
      <c r="I4996" s="23" t="str">
        <f t="shared" si="313"/>
        <v>Jaipur</v>
      </c>
      <c r="J4996" s="23">
        <f>COUNTIFS(pg_transaction_cleaned!$O:$O,A4996,pg_transaction_cleaned!$F:$F,"CAPTURE")</f>
        <v>1</v>
      </c>
      <c r="K4996" s="39">
        <f>SUMIFS(pg_transaction_cleaned!$H:$H,pg_transaction_cleaned!$O:$O,A4996,pg_transaction_cleaned!$F:$F,"CAPTURE")</f>
        <v>3498</v>
      </c>
      <c r="L4996" s="23">
        <f>COUNTIFS(pg_transaction_cleaned!$O:$O,A4996,pg_transaction_cleaned!$F:$F,"REFUND")</f>
        <v>0</v>
      </c>
      <c r="M4996" s="39">
        <f>SUMIFS(pg_transaction_cleaned!$H:$H,pg_transaction_cleaned!$O:$O,A4996,pg_transaction_cleaned!$F:$F,"REFUND")</f>
        <v>0</v>
      </c>
      <c r="N4996" s="23" t="str">
        <f t="shared" si="314"/>
        <v>OK</v>
      </c>
      <c r="O4996" s="24">
        <f t="shared" si="315"/>
        <v>0</v>
      </c>
    </row>
    <row r="4997" spans="1:15" ht="15" customHeight="1" x14ac:dyDescent="0.3">
      <c r="A4997" s="23" t="s">
        <v>10445</v>
      </c>
      <c r="B4997" s="38">
        <v>46292</v>
      </c>
      <c r="C4997" s="23" t="s">
        <v>10446</v>
      </c>
      <c r="D4997" s="23" t="s">
        <v>89</v>
      </c>
      <c r="E4997" s="23" t="s">
        <v>81</v>
      </c>
      <c r="F4997" s="23" t="s">
        <v>310</v>
      </c>
      <c r="G4997" s="23" t="s">
        <v>250</v>
      </c>
      <c r="H4997" s="39">
        <f t="shared" si="312"/>
        <v>7999</v>
      </c>
      <c r="I4997" s="23" t="str">
        <f t="shared" si="313"/>
        <v>Jaipur</v>
      </c>
      <c r="J4997" s="23">
        <f>COUNTIFS(pg_transaction_cleaned!$O:$O,A4997,pg_transaction_cleaned!$F:$F,"CAPTURE")</f>
        <v>1</v>
      </c>
      <c r="K4997" s="39">
        <f>SUMIFS(pg_transaction_cleaned!$H:$H,pg_transaction_cleaned!$O:$O,A4997,pg_transaction_cleaned!$F:$F,"CAPTURE")</f>
        <v>7999</v>
      </c>
      <c r="L4997" s="23">
        <f>COUNTIFS(pg_transaction_cleaned!$O:$O,A4997,pg_transaction_cleaned!$F:$F,"REFUND")</f>
        <v>0</v>
      </c>
      <c r="M4997" s="39">
        <f>SUMIFS(pg_transaction_cleaned!$H:$H,pg_transaction_cleaned!$O:$O,A4997,pg_transaction_cleaned!$F:$F,"REFUND")</f>
        <v>0</v>
      </c>
      <c r="N4997" s="23" t="str">
        <f t="shared" si="314"/>
        <v>OK</v>
      </c>
      <c r="O4997" s="24">
        <f t="shared" si="315"/>
        <v>0</v>
      </c>
    </row>
    <row r="4998" spans="1:15" ht="15" customHeight="1" x14ac:dyDescent="0.3">
      <c r="A4998" s="23" t="s">
        <v>10447</v>
      </c>
      <c r="B4998" s="38">
        <v>46293</v>
      </c>
      <c r="C4998" s="23" t="s">
        <v>10448</v>
      </c>
      <c r="D4998" s="23" t="s">
        <v>90</v>
      </c>
      <c r="E4998" s="23" t="s">
        <v>77</v>
      </c>
      <c r="F4998" s="23" t="s">
        <v>291</v>
      </c>
      <c r="G4998" s="23" t="s">
        <v>250</v>
      </c>
      <c r="H4998" s="39">
        <f t="shared" si="312"/>
        <v>3499</v>
      </c>
      <c r="I4998" s="23" t="str">
        <f t="shared" si="313"/>
        <v>Ahmedabad</v>
      </c>
      <c r="J4998" s="23">
        <f>COUNTIFS(pg_transaction_cleaned!$O:$O,A4998,pg_transaction_cleaned!$F:$F,"CAPTURE")</f>
        <v>1</v>
      </c>
      <c r="K4998" s="39">
        <f>SUMIFS(pg_transaction_cleaned!$H:$H,pg_transaction_cleaned!$O:$O,A4998,pg_transaction_cleaned!$F:$F,"CAPTURE")</f>
        <v>3499</v>
      </c>
      <c r="L4998" s="23">
        <f>COUNTIFS(pg_transaction_cleaned!$O:$O,A4998,pg_transaction_cleaned!$F:$F,"REFUND")</f>
        <v>0</v>
      </c>
      <c r="M4998" s="39">
        <f>SUMIFS(pg_transaction_cleaned!$H:$H,pg_transaction_cleaned!$O:$O,A4998,pg_transaction_cleaned!$F:$F,"REFUND")</f>
        <v>0</v>
      </c>
      <c r="N4998" s="23" t="str">
        <f t="shared" si="314"/>
        <v>OK</v>
      </c>
      <c r="O4998" s="24">
        <f t="shared" si="315"/>
        <v>0</v>
      </c>
    </row>
    <row r="4999" spans="1:15" ht="15" customHeight="1" x14ac:dyDescent="0.3">
      <c r="A4999" s="23" t="s">
        <v>10449</v>
      </c>
      <c r="B4999" s="38">
        <v>46287</v>
      </c>
      <c r="C4999" s="23" t="s">
        <v>10450</v>
      </c>
      <c r="D4999" s="23" t="s">
        <v>93</v>
      </c>
      <c r="E4999" s="23" t="s">
        <v>75</v>
      </c>
      <c r="F4999" s="23" t="s">
        <v>271</v>
      </c>
      <c r="G4999" s="23" t="s">
        <v>250</v>
      </c>
      <c r="H4999" s="39">
        <f t="shared" si="312"/>
        <v>2499</v>
      </c>
      <c r="I4999" s="23" t="str">
        <f t="shared" si="313"/>
        <v>Kolkata</v>
      </c>
      <c r="J4999" s="23">
        <f>COUNTIFS(pg_transaction_cleaned!$O:$O,A4999,pg_transaction_cleaned!$F:$F,"CAPTURE")</f>
        <v>1</v>
      </c>
      <c r="K4999" s="39">
        <f>SUMIFS(pg_transaction_cleaned!$H:$H,pg_transaction_cleaned!$O:$O,A4999,pg_transaction_cleaned!$F:$F,"CAPTURE")</f>
        <v>2499</v>
      </c>
      <c r="L4999" s="23">
        <f>COUNTIFS(pg_transaction_cleaned!$O:$O,A4999,pg_transaction_cleaned!$F:$F,"REFUND")</f>
        <v>0</v>
      </c>
      <c r="M4999" s="39">
        <f>SUMIFS(pg_transaction_cleaned!$H:$H,pg_transaction_cleaned!$O:$O,A4999,pg_transaction_cleaned!$F:$F,"REFUND")</f>
        <v>0</v>
      </c>
      <c r="N4999" s="23" t="str">
        <f t="shared" si="314"/>
        <v>OK</v>
      </c>
      <c r="O4999" s="24">
        <f t="shared" si="315"/>
        <v>0</v>
      </c>
    </row>
    <row r="5000" spans="1:15" ht="15" customHeight="1" x14ac:dyDescent="0.3">
      <c r="A5000" s="23" t="s">
        <v>10451</v>
      </c>
      <c r="B5000" s="38">
        <v>46266</v>
      </c>
      <c r="C5000" s="23" t="s">
        <v>10452</v>
      </c>
      <c r="D5000" s="23" t="s">
        <v>90</v>
      </c>
      <c r="E5000" s="23" t="s">
        <v>77</v>
      </c>
      <c r="F5000" s="23" t="s">
        <v>262</v>
      </c>
      <c r="G5000" s="23" t="s">
        <v>250</v>
      </c>
      <c r="H5000" s="39">
        <f t="shared" si="312"/>
        <v>499</v>
      </c>
      <c r="I5000" s="23" t="str">
        <f t="shared" si="313"/>
        <v>Ahmedabad</v>
      </c>
      <c r="J5000" s="23">
        <f>COUNTIFS(pg_transaction_cleaned!$O:$O,A5000,pg_transaction_cleaned!$F:$F,"CAPTURE")</f>
        <v>1</v>
      </c>
      <c r="K5000" s="39">
        <f>SUMIFS(pg_transaction_cleaned!$H:$H,pg_transaction_cleaned!$O:$O,A5000,pg_transaction_cleaned!$F:$F,"CAPTURE")</f>
        <v>499</v>
      </c>
      <c r="L5000" s="23">
        <f>COUNTIFS(pg_transaction_cleaned!$O:$O,A5000,pg_transaction_cleaned!$F:$F,"REFUND")</f>
        <v>0</v>
      </c>
      <c r="M5000" s="39">
        <f>SUMIFS(pg_transaction_cleaned!$H:$H,pg_transaction_cleaned!$O:$O,A5000,pg_transaction_cleaned!$F:$F,"REFUND")</f>
        <v>0</v>
      </c>
      <c r="N5000" s="23" t="str">
        <f t="shared" si="314"/>
        <v>OK</v>
      </c>
      <c r="O5000" s="24">
        <f t="shared" si="315"/>
        <v>0</v>
      </c>
    </row>
    <row r="5001" spans="1:15" ht="15" customHeight="1" x14ac:dyDescent="0.3">
      <c r="A5001" s="23" t="s">
        <v>10453</v>
      </c>
      <c r="B5001" s="38">
        <v>46289</v>
      </c>
      <c r="C5001" s="23" t="s">
        <v>10454</v>
      </c>
      <c r="D5001" s="23" t="s">
        <v>91</v>
      </c>
      <c r="E5001" s="23" t="s">
        <v>79</v>
      </c>
      <c r="F5001" s="23" t="s">
        <v>307</v>
      </c>
      <c r="G5001" s="23" t="s">
        <v>250</v>
      </c>
      <c r="H5001" s="39">
        <f t="shared" si="312"/>
        <v>3798</v>
      </c>
      <c r="I5001" s="23" t="str">
        <f t="shared" si="313"/>
        <v>Pune</v>
      </c>
      <c r="J5001" s="23">
        <f>COUNTIFS(pg_transaction_cleaned!$O:$O,A5001,pg_transaction_cleaned!$F:$F,"CAPTURE")</f>
        <v>1</v>
      </c>
      <c r="K5001" s="39">
        <f>SUMIFS(pg_transaction_cleaned!$H:$H,pg_transaction_cleaned!$O:$O,A5001,pg_transaction_cleaned!$F:$F,"CAPTURE")</f>
        <v>3798</v>
      </c>
      <c r="L5001" s="23">
        <f>COUNTIFS(pg_transaction_cleaned!$O:$O,A5001,pg_transaction_cleaned!$F:$F,"REFUND")</f>
        <v>0</v>
      </c>
      <c r="M5001" s="39">
        <f>SUMIFS(pg_transaction_cleaned!$H:$H,pg_transaction_cleaned!$O:$O,A5001,pg_transaction_cleaned!$F:$F,"REFUND")</f>
        <v>0</v>
      </c>
      <c r="N5001" s="23" t="str">
        <f t="shared" si="314"/>
        <v>OK</v>
      </c>
      <c r="O5001" s="24">
        <f t="shared" si="315"/>
        <v>0</v>
      </c>
    </row>
    <row r="5002" spans="1:15" ht="15" customHeight="1" x14ac:dyDescent="0.3">
      <c r="A5002" s="23" t="s">
        <v>10455</v>
      </c>
      <c r="B5002" s="38">
        <v>46274</v>
      </c>
      <c r="C5002" s="23" t="s">
        <v>10456</v>
      </c>
      <c r="D5002" s="23" t="s">
        <v>92</v>
      </c>
      <c r="E5002" s="23" t="s">
        <v>75</v>
      </c>
      <c r="F5002" s="23" t="s">
        <v>574</v>
      </c>
      <c r="G5002" s="23" t="s">
        <v>250</v>
      </c>
      <c r="H5002" s="39">
        <f t="shared" si="312"/>
        <v>1848</v>
      </c>
      <c r="I5002" s="23" t="str">
        <f t="shared" si="313"/>
        <v>Hyderabad</v>
      </c>
      <c r="J5002" s="23">
        <f>COUNTIFS(pg_transaction_cleaned!$O:$O,A5002,pg_transaction_cleaned!$F:$F,"CAPTURE")</f>
        <v>1</v>
      </c>
      <c r="K5002" s="39">
        <f>SUMIFS(pg_transaction_cleaned!$H:$H,pg_transaction_cleaned!$O:$O,A5002,pg_transaction_cleaned!$F:$F,"CAPTURE")</f>
        <v>1848</v>
      </c>
      <c r="L5002" s="23">
        <f>COUNTIFS(pg_transaction_cleaned!$O:$O,A5002,pg_transaction_cleaned!$F:$F,"REFUND")</f>
        <v>0</v>
      </c>
      <c r="M5002" s="39">
        <f>SUMIFS(pg_transaction_cleaned!$H:$H,pg_transaction_cleaned!$O:$O,A5002,pg_transaction_cleaned!$F:$F,"REFUND")</f>
        <v>0</v>
      </c>
      <c r="N5002" s="23" t="str">
        <f t="shared" si="314"/>
        <v>OK</v>
      </c>
      <c r="O5002" s="24">
        <f t="shared" si="315"/>
        <v>0</v>
      </c>
    </row>
    <row r="5003" spans="1:15" ht="15" customHeight="1" x14ac:dyDescent="0.3">
      <c r="A5003" s="23" t="s">
        <v>10457</v>
      </c>
      <c r="B5003" s="38">
        <v>46277</v>
      </c>
      <c r="C5003" s="23" t="s">
        <v>10458</v>
      </c>
      <c r="D5003" s="23" t="s">
        <v>93</v>
      </c>
      <c r="E5003" s="23" t="s">
        <v>75</v>
      </c>
      <c r="F5003" s="23" t="s">
        <v>271</v>
      </c>
      <c r="G5003" s="23" t="s">
        <v>250</v>
      </c>
      <c r="H5003" s="39">
        <f t="shared" si="312"/>
        <v>2499</v>
      </c>
      <c r="I5003" s="23" t="str">
        <f t="shared" si="313"/>
        <v>Kolkata</v>
      </c>
      <c r="J5003" s="23">
        <f>COUNTIFS(pg_transaction_cleaned!$O:$O,A5003,pg_transaction_cleaned!$F:$F,"CAPTURE")</f>
        <v>1</v>
      </c>
      <c r="K5003" s="39">
        <f>SUMIFS(pg_transaction_cleaned!$H:$H,pg_transaction_cleaned!$O:$O,A5003,pg_transaction_cleaned!$F:$F,"CAPTURE")</f>
        <v>2499</v>
      </c>
      <c r="L5003" s="23">
        <f>COUNTIFS(pg_transaction_cleaned!$O:$O,A5003,pg_transaction_cleaned!$F:$F,"REFUND")</f>
        <v>0</v>
      </c>
      <c r="M5003" s="39">
        <f>SUMIFS(pg_transaction_cleaned!$H:$H,pg_transaction_cleaned!$O:$O,A5003,pg_transaction_cleaned!$F:$F,"REFUND")</f>
        <v>0</v>
      </c>
      <c r="N5003" s="23" t="str">
        <f t="shared" si="314"/>
        <v>OK</v>
      </c>
      <c r="O5003" s="24">
        <f t="shared" si="315"/>
        <v>0</v>
      </c>
    </row>
    <row r="5004" spans="1:15" ht="15" customHeight="1" x14ac:dyDescent="0.3">
      <c r="A5004" s="23" t="s">
        <v>10459</v>
      </c>
      <c r="B5004" s="38">
        <v>46285</v>
      </c>
      <c r="C5004" s="23" t="s">
        <v>7999</v>
      </c>
      <c r="D5004" s="23" t="s">
        <v>89</v>
      </c>
      <c r="E5004" s="23" t="s">
        <v>79</v>
      </c>
      <c r="F5004" s="23" t="s">
        <v>772</v>
      </c>
      <c r="G5004" s="23" t="s">
        <v>250</v>
      </c>
      <c r="H5004" s="39">
        <f t="shared" si="312"/>
        <v>4798</v>
      </c>
      <c r="I5004" s="23" t="str">
        <f t="shared" si="313"/>
        <v>Jaipur</v>
      </c>
      <c r="J5004" s="23">
        <f>COUNTIFS(pg_transaction_cleaned!$O:$O,A5004,pg_transaction_cleaned!$F:$F,"CAPTURE")</f>
        <v>1</v>
      </c>
      <c r="K5004" s="39">
        <f>SUMIFS(pg_transaction_cleaned!$H:$H,pg_transaction_cleaned!$O:$O,A5004,pg_transaction_cleaned!$F:$F,"CAPTURE")</f>
        <v>4798</v>
      </c>
      <c r="L5004" s="23">
        <f>COUNTIFS(pg_transaction_cleaned!$O:$O,A5004,pg_transaction_cleaned!$F:$F,"REFUND")</f>
        <v>0</v>
      </c>
      <c r="M5004" s="39">
        <f>SUMIFS(pg_transaction_cleaned!$H:$H,pg_transaction_cleaned!$O:$O,A5004,pg_transaction_cleaned!$F:$F,"REFUND")</f>
        <v>0</v>
      </c>
      <c r="N5004" s="23" t="str">
        <f t="shared" si="314"/>
        <v>OK</v>
      </c>
      <c r="O5004" s="24">
        <f t="shared" si="315"/>
        <v>0</v>
      </c>
    </row>
    <row r="5005" spans="1:15" ht="15" customHeight="1" x14ac:dyDescent="0.3">
      <c r="A5005" s="23" t="s">
        <v>10460</v>
      </c>
      <c r="B5005" s="38">
        <v>46280</v>
      </c>
      <c r="C5005" s="23" t="s">
        <v>3311</v>
      </c>
      <c r="D5005" s="23" t="s">
        <v>92</v>
      </c>
      <c r="E5005" s="23" t="s">
        <v>75</v>
      </c>
      <c r="F5005" s="23" t="s">
        <v>349</v>
      </c>
      <c r="G5005" s="23" t="s">
        <v>250</v>
      </c>
      <c r="H5005" s="39">
        <f t="shared" si="312"/>
        <v>1798</v>
      </c>
      <c r="I5005" s="23" t="str">
        <f t="shared" si="313"/>
        <v>Hyderabad</v>
      </c>
      <c r="J5005" s="23">
        <f>COUNTIFS(pg_transaction_cleaned!$O:$O,A5005,pg_transaction_cleaned!$F:$F,"CAPTURE")</f>
        <v>1</v>
      </c>
      <c r="K5005" s="39">
        <f>SUMIFS(pg_transaction_cleaned!$H:$H,pg_transaction_cleaned!$O:$O,A5005,pg_transaction_cleaned!$F:$F,"CAPTURE")</f>
        <v>1798</v>
      </c>
      <c r="L5005" s="23">
        <f>COUNTIFS(pg_transaction_cleaned!$O:$O,A5005,pg_transaction_cleaned!$F:$F,"REFUND")</f>
        <v>0</v>
      </c>
      <c r="M5005" s="39">
        <f>SUMIFS(pg_transaction_cleaned!$H:$H,pg_transaction_cleaned!$O:$O,A5005,pg_transaction_cleaned!$F:$F,"REFUND")</f>
        <v>0</v>
      </c>
      <c r="N5005" s="23" t="str">
        <f t="shared" si="314"/>
        <v>OK</v>
      </c>
      <c r="O5005" s="24">
        <f t="shared" si="315"/>
        <v>0</v>
      </c>
    </row>
    <row r="5006" spans="1:15" ht="15" customHeight="1" x14ac:dyDescent="0.3">
      <c r="A5006" s="23" t="s">
        <v>10461</v>
      </c>
      <c r="B5006" s="38">
        <v>46268</v>
      </c>
      <c r="C5006" s="23" t="s">
        <v>10462</v>
      </c>
      <c r="D5006" s="23" t="s">
        <v>88</v>
      </c>
      <c r="E5006" s="23" t="s">
        <v>77</v>
      </c>
      <c r="F5006" s="23" t="s">
        <v>475</v>
      </c>
      <c r="G5006" s="23" t="s">
        <v>250</v>
      </c>
      <c r="H5006" s="39">
        <f t="shared" si="312"/>
        <v>799</v>
      </c>
      <c r="I5006" s="23" t="str">
        <f t="shared" si="313"/>
        <v>Lucknow</v>
      </c>
      <c r="J5006" s="23">
        <f>COUNTIFS(pg_transaction_cleaned!$O:$O,A5006,pg_transaction_cleaned!$F:$F,"CAPTURE")</f>
        <v>1</v>
      </c>
      <c r="K5006" s="39">
        <f>SUMIFS(pg_transaction_cleaned!$H:$H,pg_transaction_cleaned!$O:$O,A5006,pg_transaction_cleaned!$F:$F,"CAPTURE")</f>
        <v>799</v>
      </c>
      <c r="L5006" s="23">
        <f>COUNTIFS(pg_transaction_cleaned!$O:$O,A5006,pg_transaction_cleaned!$F:$F,"REFUND")</f>
        <v>0</v>
      </c>
      <c r="M5006" s="39">
        <f>SUMIFS(pg_transaction_cleaned!$H:$H,pg_transaction_cleaned!$O:$O,A5006,pg_transaction_cleaned!$F:$F,"REFUND")</f>
        <v>0</v>
      </c>
      <c r="N5006" s="23" t="str">
        <f t="shared" si="314"/>
        <v>OK</v>
      </c>
      <c r="O5006" s="24">
        <f t="shared" si="315"/>
        <v>0</v>
      </c>
    </row>
    <row r="5007" spans="1:15" ht="15" customHeight="1" x14ac:dyDescent="0.3">
      <c r="A5007" s="23" t="s">
        <v>10463</v>
      </c>
      <c r="B5007" s="38">
        <v>46288</v>
      </c>
      <c r="C5007" s="23" t="s">
        <v>10464</v>
      </c>
      <c r="D5007" s="23" t="s">
        <v>88</v>
      </c>
      <c r="E5007" s="23" t="s">
        <v>77</v>
      </c>
      <c r="F5007" s="23" t="s">
        <v>1035</v>
      </c>
      <c r="G5007" s="23" t="s">
        <v>301</v>
      </c>
      <c r="H5007" s="39">
        <f t="shared" si="312"/>
        <v>1299</v>
      </c>
      <c r="I5007" s="23" t="str">
        <f t="shared" si="313"/>
        <v>Lucknow</v>
      </c>
      <c r="J5007" s="23">
        <f>COUNTIFS(pg_transaction_cleaned!$O:$O,A5007,pg_transaction_cleaned!$F:$F,"CAPTURE")</f>
        <v>1</v>
      </c>
      <c r="K5007" s="39">
        <f>SUMIFS(pg_transaction_cleaned!$H:$H,pg_transaction_cleaned!$O:$O,A5007,pg_transaction_cleaned!$F:$F,"CAPTURE")</f>
        <v>1299</v>
      </c>
      <c r="L5007" s="23">
        <f>COUNTIFS(pg_transaction_cleaned!$O:$O,A5007,pg_transaction_cleaned!$F:$F,"REFUND")</f>
        <v>1</v>
      </c>
      <c r="M5007" s="39">
        <f>SUMIFS(pg_transaction_cleaned!$H:$H,pg_transaction_cleaned!$O:$O,A5007,pg_transaction_cleaned!$F:$F,"REFUND")</f>
        <v>1299</v>
      </c>
      <c r="N5007" s="23" t="str">
        <f t="shared" si="314"/>
        <v>OK</v>
      </c>
      <c r="O5007" s="24">
        <f t="shared" si="315"/>
        <v>0</v>
      </c>
    </row>
    <row r="5008" spans="1:15" ht="15" customHeight="1" x14ac:dyDescent="0.3">
      <c r="A5008" s="23" t="s">
        <v>10465</v>
      </c>
      <c r="B5008" s="38">
        <v>46279</v>
      </c>
      <c r="C5008" s="23" t="s">
        <v>10466</v>
      </c>
      <c r="D5008" s="23" t="s">
        <v>88</v>
      </c>
      <c r="E5008" s="23" t="s">
        <v>79</v>
      </c>
      <c r="F5008" s="23" t="s">
        <v>291</v>
      </c>
      <c r="G5008" s="23" t="s">
        <v>250</v>
      </c>
      <c r="H5008" s="39">
        <f t="shared" si="312"/>
        <v>3499</v>
      </c>
      <c r="I5008" s="23" t="str">
        <f t="shared" si="313"/>
        <v>Lucknow</v>
      </c>
      <c r="J5008" s="23">
        <f>COUNTIFS(pg_transaction_cleaned!$O:$O,A5008,pg_transaction_cleaned!$F:$F,"CAPTURE")</f>
        <v>1</v>
      </c>
      <c r="K5008" s="39">
        <f>SUMIFS(pg_transaction_cleaned!$H:$H,pg_transaction_cleaned!$O:$O,A5008,pg_transaction_cleaned!$F:$F,"CAPTURE")</f>
        <v>3499</v>
      </c>
      <c r="L5008" s="23">
        <f>COUNTIFS(pg_transaction_cleaned!$O:$O,A5008,pg_transaction_cleaned!$F:$F,"REFUND")</f>
        <v>0</v>
      </c>
      <c r="M5008" s="39">
        <f>SUMIFS(pg_transaction_cleaned!$H:$H,pg_transaction_cleaned!$O:$O,A5008,pg_transaction_cleaned!$F:$F,"REFUND")</f>
        <v>0</v>
      </c>
      <c r="N5008" s="23" t="str">
        <f t="shared" si="314"/>
        <v>OK</v>
      </c>
      <c r="O5008" s="24">
        <f t="shared" si="315"/>
        <v>0</v>
      </c>
    </row>
    <row r="5009" spans="1:15" ht="15" customHeight="1" x14ac:dyDescent="0.3">
      <c r="A5009" s="23" t="s">
        <v>10467</v>
      </c>
      <c r="B5009" s="38">
        <v>46272</v>
      </c>
      <c r="C5009" s="23" t="s">
        <v>10468</v>
      </c>
      <c r="D5009" s="23" t="s">
        <v>91</v>
      </c>
      <c r="E5009" s="23" t="s">
        <v>75</v>
      </c>
      <c r="F5009" s="23" t="s">
        <v>268</v>
      </c>
      <c r="G5009" s="23" t="s">
        <v>365</v>
      </c>
      <c r="H5009" s="39">
        <f t="shared" si="312"/>
        <v>1299</v>
      </c>
      <c r="I5009" s="23" t="str">
        <f t="shared" si="313"/>
        <v>Pune</v>
      </c>
      <c r="J5009" s="23">
        <f>COUNTIFS(pg_transaction_cleaned!$O:$O,A5009,pg_transaction_cleaned!$F:$F,"CAPTURE")</f>
        <v>0</v>
      </c>
      <c r="K5009" s="39">
        <f>SUMIFS(pg_transaction_cleaned!$H:$H,pg_transaction_cleaned!$O:$O,A5009,pg_transaction_cleaned!$F:$F,"CAPTURE")</f>
        <v>0</v>
      </c>
      <c r="L5009" s="23">
        <f>COUNTIFS(pg_transaction_cleaned!$O:$O,A5009,pg_transaction_cleaned!$F:$F,"REFUND")</f>
        <v>0</v>
      </c>
      <c r="M5009" s="39">
        <f>SUMIFS(pg_transaction_cleaned!$H:$H,pg_transaction_cleaned!$O:$O,A5009,pg_transaction_cleaned!$F:$F,"REFUND")</f>
        <v>0</v>
      </c>
      <c r="N5009" s="23" t="str">
        <f t="shared" si="314"/>
        <v>OK</v>
      </c>
      <c r="O5009" s="24">
        <f t="shared" si="315"/>
        <v>0</v>
      </c>
    </row>
    <row r="5010" spans="1:15" ht="15" customHeight="1" x14ac:dyDescent="0.3">
      <c r="A5010" s="23" t="s">
        <v>10469</v>
      </c>
      <c r="B5010" s="38">
        <v>46270</v>
      </c>
      <c r="C5010" s="23" t="s">
        <v>10470</v>
      </c>
      <c r="D5010" s="23" t="s">
        <v>90</v>
      </c>
      <c r="E5010" s="23" t="s">
        <v>75</v>
      </c>
      <c r="F5010" s="23" t="s">
        <v>310</v>
      </c>
      <c r="G5010" s="23" t="s">
        <v>301</v>
      </c>
      <c r="H5010" s="39">
        <f t="shared" si="312"/>
        <v>7999</v>
      </c>
      <c r="I5010" s="23" t="str">
        <f t="shared" si="313"/>
        <v>Ahmedabad</v>
      </c>
      <c r="J5010" s="23">
        <f>COUNTIFS(pg_transaction_cleaned!$O:$O,A5010,pg_transaction_cleaned!$F:$F,"CAPTURE")</f>
        <v>1</v>
      </c>
      <c r="K5010" s="39">
        <f>SUMIFS(pg_transaction_cleaned!$H:$H,pg_transaction_cleaned!$O:$O,A5010,pg_transaction_cleaned!$F:$F,"CAPTURE")</f>
        <v>7999</v>
      </c>
      <c r="L5010" s="23">
        <f>COUNTIFS(pg_transaction_cleaned!$O:$O,A5010,pg_transaction_cleaned!$F:$F,"REFUND")</f>
        <v>1</v>
      </c>
      <c r="M5010" s="39">
        <f>SUMIFS(pg_transaction_cleaned!$H:$H,pg_transaction_cleaned!$O:$O,A5010,pg_transaction_cleaned!$F:$F,"REFUND")</f>
        <v>7999</v>
      </c>
      <c r="N5010" s="23" t="str">
        <f t="shared" si="314"/>
        <v>OK</v>
      </c>
      <c r="O5010" s="24">
        <f t="shared" si="315"/>
        <v>0</v>
      </c>
    </row>
    <row r="5011" spans="1:15" ht="15" customHeight="1" x14ac:dyDescent="0.3">
      <c r="A5011" s="23" t="s">
        <v>10471</v>
      </c>
      <c r="B5011" s="38">
        <v>46285</v>
      </c>
      <c r="C5011" s="23" t="s">
        <v>10472</v>
      </c>
      <c r="D5011" s="23" t="s">
        <v>91</v>
      </c>
      <c r="E5011" s="23" t="s">
        <v>79</v>
      </c>
      <c r="F5011" s="23" t="s">
        <v>1035</v>
      </c>
      <c r="G5011" s="23" t="s">
        <v>250</v>
      </c>
      <c r="H5011" s="39">
        <f t="shared" si="312"/>
        <v>1299</v>
      </c>
      <c r="I5011" s="23" t="str">
        <f t="shared" si="313"/>
        <v>Pune</v>
      </c>
      <c r="J5011" s="23">
        <f>COUNTIFS(pg_transaction_cleaned!$O:$O,A5011,pg_transaction_cleaned!$F:$F,"CAPTURE")</f>
        <v>1</v>
      </c>
      <c r="K5011" s="39">
        <f>SUMIFS(pg_transaction_cleaned!$H:$H,pg_transaction_cleaned!$O:$O,A5011,pg_transaction_cleaned!$F:$F,"CAPTURE")</f>
        <v>1299</v>
      </c>
      <c r="L5011" s="23">
        <f>COUNTIFS(pg_transaction_cleaned!$O:$O,A5011,pg_transaction_cleaned!$F:$F,"REFUND")</f>
        <v>0</v>
      </c>
      <c r="M5011" s="39">
        <f>SUMIFS(pg_transaction_cleaned!$H:$H,pg_transaction_cleaned!$O:$O,A5011,pg_transaction_cleaned!$F:$F,"REFUND")</f>
        <v>0</v>
      </c>
      <c r="N5011" s="23" t="str">
        <f t="shared" si="314"/>
        <v>OK</v>
      </c>
      <c r="O5011" s="24">
        <f t="shared" si="315"/>
        <v>0</v>
      </c>
    </row>
    <row r="5012" spans="1:15" ht="15" customHeight="1" x14ac:dyDescent="0.3">
      <c r="A5012" s="23" t="s">
        <v>10473</v>
      </c>
      <c r="B5012" s="38">
        <v>46295</v>
      </c>
      <c r="C5012" s="23" t="s">
        <v>10474</v>
      </c>
      <c r="D5012" s="23" t="s">
        <v>86</v>
      </c>
      <c r="E5012" s="23" t="s">
        <v>81</v>
      </c>
      <c r="F5012" s="23" t="s">
        <v>265</v>
      </c>
      <c r="G5012" s="23" t="s">
        <v>250</v>
      </c>
      <c r="H5012" s="39">
        <f t="shared" si="312"/>
        <v>999</v>
      </c>
      <c r="I5012" s="23" t="str">
        <f t="shared" si="313"/>
        <v>Delhi</v>
      </c>
      <c r="J5012" s="23">
        <f>COUNTIFS(pg_transaction_cleaned!$O:$O,A5012,pg_transaction_cleaned!$F:$F,"CAPTURE")</f>
        <v>1</v>
      </c>
      <c r="K5012" s="39">
        <f>SUMIFS(pg_transaction_cleaned!$H:$H,pg_transaction_cleaned!$O:$O,A5012,pg_transaction_cleaned!$F:$F,"CAPTURE")</f>
        <v>999</v>
      </c>
      <c r="L5012" s="23">
        <f>COUNTIFS(pg_transaction_cleaned!$O:$O,A5012,pg_transaction_cleaned!$F:$F,"REFUND")</f>
        <v>0</v>
      </c>
      <c r="M5012" s="39">
        <f>SUMIFS(pg_transaction_cleaned!$H:$H,pg_transaction_cleaned!$O:$O,A5012,pg_transaction_cleaned!$F:$F,"REFUND")</f>
        <v>0</v>
      </c>
      <c r="N5012" s="23" t="str">
        <f t="shared" si="314"/>
        <v>OK</v>
      </c>
      <c r="O5012" s="24">
        <f t="shared" si="315"/>
        <v>0</v>
      </c>
    </row>
    <row r="5013" spans="1:15" ht="15" customHeight="1" x14ac:dyDescent="0.3">
      <c r="A5013" s="23" t="s">
        <v>10475</v>
      </c>
      <c r="B5013" s="38">
        <v>46288</v>
      </c>
      <c r="C5013" s="23" t="s">
        <v>10476</v>
      </c>
      <c r="D5013" s="23" t="s">
        <v>87</v>
      </c>
      <c r="E5013" s="23" t="s">
        <v>77</v>
      </c>
      <c r="F5013" s="23" t="s">
        <v>310</v>
      </c>
      <c r="G5013" s="23" t="s">
        <v>365</v>
      </c>
      <c r="H5013" s="39">
        <f t="shared" si="312"/>
        <v>7999</v>
      </c>
      <c r="I5013" s="23" t="str">
        <f t="shared" si="313"/>
        <v>Mumbai</v>
      </c>
      <c r="J5013" s="23">
        <f>COUNTIFS(pg_transaction_cleaned!$O:$O,A5013,pg_transaction_cleaned!$F:$F,"CAPTURE")</f>
        <v>0</v>
      </c>
      <c r="K5013" s="39">
        <f>SUMIFS(pg_transaction_cleaned!$H:$H,pg_transaction_cleaned!$O:$O,A5013,pg_transaction_cleaned!$F:$F,"CAPTURE")</f>
        <v>0</v>
      </c>
      <c r="L5013" s="23">
        <f>COUNTIFS(pg_transaction_cleaned!$O:$O,A5013,pg_transaction_cleaned!$F:$F,"REFUND")</f>
        <v>0</v>
      </c>
      <c r="M5013" s="39">
        <f>SUMIFS(pg_transaction_cleaned!$H:$H,pg_transaction_cleaned!$O:$O,A5013,pg_transaction_cleaned!$F:$F,"REFUND")</f>
        <v>0</v>
      </c>
      <c r="N5013" s="23" t="str">
        <f t="shared" si="314"/>
        <v>OK</v>
      </c>
      <c r="O5013" s="24">
        <f t="shared" si="315"/>
        <v>0</v>
      </c>
    </row>
    <row r="5014" spans="1:15" ht="15" customHeight="1" x14ac:dyDescent="0.3">
      <c r="A5014" s="23" t="s">
        <v>10477</v>
      </c>
      <c r="B5014" s="38">
        <v>46287</v>
      </c>
      <c r="C5014" s="23" t="s">
        <v>10478</v>
      </c>
      <c r="D5014" s="23" t="s">
        <v>95</v>
      </c>
      <c r="E5014" s="23" t="s">
        <v>75</v>
      </c>
      <c r="F5014" s="23" t="s">
        <v>1193</v>
      </c>
      <c r="G5014" s="23" t="s">
        <v>250</v>
      </c>
      <c r="H5014" s="39">
        <f t="shared" si="312"/>
        <v>3498</v>
      </c>
      <c r="I5014" s="23" t="str">
        <f t="shared" si="313"/>
        <v>Bengaluru</v>
      </c>
      <c r="J5014" s="23">
        <f>COUNTIFS(pg_transaction_cleaned!$O:$O,A5014,pg_transaction_cleaned!$F:$F,"CAPTURE")</f>
        <v>1</v>
      </c>
      <c r="K5014" s="39">
        <f>SUMIFS(pg_transaction_cleaned!$H:$H,pg_transaction_cleaned!$O:$O,A5014,pg_transaction_cleaned!$F:$F,"CAPTURE")</f>
        <v>3498</v>
      </c>
      <c r="L5014" s="23">
        <f>COUNTIFS(pg_transaction_cleaned!$O:$O,A5014,pg_transaction_cleaned!$F:$F,"REFUND")</f>
        <v>0</v>
      </c>
      <c r="M5014" s="39">
        <f>SUMIFS(pg_transaction_cleaned!$H:$H,pg_transaction_cleaned!$O:$O,A5014,pg_transaction_cleaned!$F:$F,"REFUND")</f>
        <v>0</v>
      </c>
      <c r="N5014" s="23" t="str">
        <f t="shared" si="314"/>
        <v>OK</v>
      </c>
      <c r="O5014" s="24">
        <f t="shared" si="315"/>
        <v>0</v>
      </c>
    </row>
    <row r="5015" spans="1:15" ht="15" customHeight="1" x14ac:dyDescent="0.3">
      <c r="A5015" s="23" t="s">
        <v>10479</v>
      </c>
      <c r="B5015" s="38">
        <v>46269</v>
      </c>
      <c r="C5015" s="23" t="s">
        <v>3618</v>
      </c>
      <c r="D5015" s="23" t="s">
        <v>95</v>
      </c>
      <c r="E5015" s="23" t="s">
        <v>75</v>
      </c>
      <c r="F5015" s="23" t="s">
        <v>1372</v>
      </c>
      <c r="G5015" s="23" t="s">
        <v>250</v>
      </c>
      <c r="H5015" s="39">
        <f t="shared" si="312"/>
        <v>798</v>
      </c>
      <c r="I5015" s="23" t="str">
        <f t="shared" si="313"/>
        <v>Bengaluru</v>
      </c>
      <c r="J5015" s="23">
        <f>COUNTIFS(pg_transaction_cleaned!$O:$O,A5015,pg_transaction_cleaned!$F:$F,"CAPTURE")</f>
        <v>1</v>
      </c>
      <c r="K5015" s="39">
        <f>SUMIFS(pg_transaction_cleaned!$H:$H,pg_transaction_cleaned!$O:$O,A5015,pg_transaction_cleaned!$F:$F,"CAPTURE")</f>
        <v>798</v>
      </c>
      <c r="L5015" s="23">
        <f>COUNTIFS(pg_transaction_cleaned!$O:$O,A5015,pg_transaction_cleaned!$F:$F,"REFUND")</f>
        <v>0</v>
      </c>
      <c r="M5015" s="39">
        <f>SUMIFS(pg_transaction_cleaned!$H:$H,pg_transaction_cleaned!$O:$O,A5015,pg_transaction_cleaned!$F:$F,"REFUND")</f>
        <v>0</v>
      </c>
      <c r="N5015" s="23" t="str">
        <f t="shared" si="314"/>
        <v>OK</v>
      </c>
      <c r="O5015" s="24">
        <f t="shared" si="315"/>
        <v>0</v>
      </c>
    </row>
    <row r="5016" spans="1:15" ht="15" customHeight="1" x14ac:dyDescent="0.3">
      <c r="A5016" s="23" t="s">
        <v>10480</v>
      </c>
      <c r="B5016" s="38">
        <v>46273</v>
      </c>
      <c r="C5016" s="23" t="s">
        <v>10481</v>
      </c>
      <c r="D5016" s="23" t="s">
        <v>90</v>
      </c>
      <c r="E5016" s="23" t="s">
        <v>77</v>
      </c>
      <c r="F5016" s="23" t="s">
        <v>329</v>
      </c>
      <c r="G5016" s="23" t="s">
        <v>250</v>
      </c>
      <c r="H5016" s="39">
        <f t="shared" si="312"/>
        <v>599</v>
      </c>
      <c r="I5016" s="23" t="str">
        <f t="shared" si="313"/>
        <v>Ahmedabad</v>
      </c>
      <c r="J5016" s="23">
        <f>COUNTIFS(pg_transaction_cleaned!$O:$O,A5016,pg_transaction_cleaned!$F:$F,"CAPTURE")</f>
        <v>1</v>
      </c>
      <c r="K5016" s="39">
        <f>SUMIFS(pg_transaction_cleaned!$H:$H,pg_transaction_cleaned!$O:$O,A5016,pg_transaction_cleaned!$F:$F,"CAPTURE")</f>
        <v>599</v>
      </c>
      <c r="L5016" s="23">
        <f>COUNTIFS(pg_transaction_cleaned!$O:$O,A5016,pg_transaction_cleaned!$F:$F,"REFUND")</f>
        <v>0</v>
      </c>
      <c r="M5016" s="39">
        <f>SUMIFS(pg_transaction_cleaned!$H:$H,pg_transaction_cleaned!$O:$O,A5016,pg_transaction_cleaned!$F:$F,"REFUND")</f>
        <v>0</v>
      </c>
      <c r="N5016" s="23" t="str">
        <f t="shared" si="314"/>
        <v>OK</v>
      </c>
      <c r="O5016" s="24">
        <f t="shared" si="315"/>
        <v>0</v>
      </c>
    </row>
    <row r="5017" spans="1:15" ht="15" customHeight="1" x14ac:dyDescent="0.3">
      <c r="A5017" s="23" t="s">
        <v>10482</v>
      </c>
      <c r="B5017" s="38">
        <v>46268</v>
      </c>
      <c r="C5017" s="23" t="s">
        <v>10483</v>
      </c>
      <c r="D5017" s="23" t="s">
        <v>94</v>
      </c>
      <c r="E5017" s="23" t="s">
        <v>75</v>
      </c>
      <c r="F5017" s="23" t="s">
        <v>288</v>
      </c>
      <c r="G5017" s="23" t="s">
        <v>250</v>
      </c>
      <c r="H5017" s="39">
        <f t="shared" si="312"/>
        <v>4298</v>
      </c>
      <c r="I5017" s="23" t="str">
        <f t="shared" si="313"/>
        <v>Chennai</v>
      </c>
      <c r="J5017" s="23">
        <f>COUNTIFS(pg_transaction_cleaned!$O:$O,A5017,pg_transaction_cleaned!$F:$F,"CAPTURE")</f>
        <v>1</v>
      </c>
      <c r="K5017" s="39">
        <f>SUMIFS(pg_transaction_cleaned!$H:$H,pg_transaction_cleaned!$O:$O,A5017,pg_transaction_cleaned!$F:$F,"CAPTURE")</f>
        <v>4298</v>
      </c>
      <c r="L5017" s="23">
        <f>COUNTIFS(pg_transaction_cleaned!$O:$O,A5017,pg_transaction_cleaned!$F:$F,"REFUND")</f>
        <v>0</v>
      </c>
      <c r="M5017" s="39">
        <f>SUMIFS(pg_transaction_cleaned!$H:$H,pg_transaction_cleaned!$O:$O,A5017,pg_transaction_cleaned!$F:$F,"REFUND")</f>
        <v>0</v>
      </c>
      <c r="N5017" s="23" t="str">
        <f t="shared" si="314"/>
        <v>OK</v>
      </c>
      <c r="O5017" s="24">
        <f t="shared" si="315"/>
        <v>0</v>
      </c>
    </row>
    <row r="5018" spans="1:15" ht="15" customHeight="1" x14ac:dyDescent="0.3">
      <c r="A5018" s="23" t="s">
        <v>10484</v>
      </c>
      <c r="B5018" s="38">
        <v>46279</v>
      </c>
      <c r="C5018" s="23" t="s">
        <v>10485</v>
      </c>
      <c r="D5018" s="23" t="s">
        <v>91</v>
      </c>
      <c r="E5018" s="23" t="s">
        <v>81</v>
      </c>
      <c r="F5018" s="23" t="s">
        <v>310</v>
      </c>
      <c r="G5018" s="23" t="s">
        <v>250</v>
      </c>
      <c r="H5018" s="39">
        <f t="shared" si="312"/>
        <v>7999</v>
      </c>
      <c r="I5018" s="23" t="str">
        <f t="shared" si="313"/>
        <v>Pune</v>
      </c>
      <c r="J5018" s="23">
        <f>COUNTIFS(pg_transaction_cleaned!$O:$O,A5018,pg_transaction_cleaned!$F:$F,"CAPTURE")</f>
        <v>1</v>
      </c>
      <c r="K5018" s="39">
        <f>SUMIFS(pg_transaction_cleaned!$H:$H,pg_transaction_cleaned!$O:$O,A5018,pg_transaction_cleaned!$F:$F,"CAPTURE")</f>
        <v>7999</v>
      </c>
      <c r="L5018" s="23">
        <f>COUNTIFS(pg_transaction_cleaned!$O:$O,A5018,pg_transaction_cleaned!$F:$F,"REFUND")</f>
        <v>0</v>
      </c>
      <c r="M5018" s="39">
        <f>SUMIFS(pg_transaction_cleaned!$H:$H,pg_transaction_cleaned!$O:$O,A5018,pg_transaction_cleaned!$F:$F,"REFUND")</f>
        <v>0</v>
      </c>
      <c r="N5018" s="23" t="str">
        <f t="shared" si="314"/>
        <v>OK</v>
      </c>
      <c r="O5018" s="24">
        <f t="shared" si="315"/>
        <v>0</v>
      </c>
    </row>
    <row r="5019" spans="1:15" ht="15" customHeight="1" x14ac:dyDescent="0.3">
      <c r="A5019" s="23" t="s">
        <v>10486</v>
      </c>
      <c r="B5019" s="38">
        <v>46272</v>
      </c>
      <c r="C5019" s="23" t="s">
        <v>10487</v>
      </c>
      <c r="D5019" s="23" t="s">
        <v>90</v>
      </c>
      <c r="E5019" s="23" t="s">
        <v>81</v>
      </c>
      <c r="F5019" s="23" t="s">
        <v>307</v>
      </c>
      <c r="G5019" s="23" t="s">
        <v>250</v>
      </c>
      <c r="H5019" s="39">
        <f t="shared" si="312"/>
        <v>3798</v>
      </c>
      <c r="I5019" s="23" t="str">
        <f t="shared" si="313"/>
        <v>Ahmedabad</v>
      </c>
      <c r="J5019" s="23">
        <f>COUNTIFS(pg_transaction_cleaned!$O:$O,A5019,pg_transaction_cleaned!$F:$F,"CAPTURE")</f>
        <v>1</v>
      </c>
      <c r="K5019" s="39">
        <f>SUMIFS(pg_transaction_cleaned!$H:$H,pg_transaction_cleaned!$O:$O,A5019,pg_transaction_cleaned!$F:$F,"CAPTURE")</f>
        <v>3798</v>
      </c>
      <c r="L5019" s="23">
        <f>COUNTIFS(pg_transaction_cleaned!$O:$O,A5019,pg_transaction_cleaned!$F:$F,"REFUND")</f>
        <v>0</v>
      </c>
      <c r="M5019" s="39">
        <f>SUMIFS(pg_transaction_cleaned!$H:$H,pg_transaction_cleaned!$O:$O,A5019,pg_transaction_cleaned!$F:$F,"REFUND")</f>
        <v>0</v>
      </c>
      <c r="N5019" s="23" t="str">
        <f t="shared" si="314"/>
        <v>OK</v>
      </c>
      <c r="O5019" s="24">
        <f t="shared" si="315"/>
        <v>0</v>
      </c>
    </row>
    <row r="5020" spans="1:15" ht="15" customHeight="1" x14ac:dyDescent="0.3">
      <c r="A5020" s="23" t="s">
        <v>10488</v>
      </c>
      <c r="B5020" s="38">
        <v>46283</v>
      </c>
      <c r="C5020" s="23" t="s">
        <v>10489</v>
      </c>
      <c r="D5020" s="23" t="s">
        <v>94</v>
      </c>
      <c r="E5020" s="23" t="s">
        <v>75</v>
      </c>
      <c r="F5020" s="23" t="s">
        <v>268</v>
      </c>
      <c r="G5020" s="23" t="s">
        <v>250</v>
      </c>
      <c r="H5020" s="39">
        <f t="shared" si="312"/>
        <v>1299</v>
      </c>
      <c r="I5020" s="23" t="str">
        <f t="shared" si="313"/>
        <v>Chennai</v>
      </c>
      <c r="J5020" s="23">
        <f>COUNTIFS(pg_transaction_cleaned!$O:$O,A5020,pg_transaction_cleaned!$F:$F,"CAPTURE")</f>
        <v>1</v>
      </c>
      <c r="K5020" s="39">
        <f>SUMIFS(pg_transaction_cleaned!$H:$H,pg_transaction_cleaned!$O:$O,A5020,pg_transaction_cleaned!$F:$F,"CAPTURE")</f>
        <v>1299</v>
      </c>
      <c r="L5020" s="23">
        <f>COUNTIFS(pg_transaction_cleaned!$O:$O,A5020,pg_transaction_cleaned!$F:$F,"REFUND")</f>
        <v>0</v>
      </c>
      <c r="M5020" s="39">
        <f>SUMIFS(pg_transaction_cleaned!$H:$H,pg_transaction_cleaned!$O:$O,A5020,pg_transaction_cleaned!$F:$F,"REFUND")</f>
        <v>0</v>
      </c>
      <c r="N5020" s="23" t="str">
        <f t="shared" si="314"/>
        <v>OK</v>
      </c>
      <c r="O5020" s="24">
        <f t="shared" si="315"/>
        <v>0</v>
      </c>
    </row>
    <row r="5021" spans="1:15" ht="15" customHeight="1" x14ac:dyDescent="0.3">
      <c r="A5021" s="23" t="s">
        <v>10490</v>
      </c>
      <c r="B5021" s="38">
        <v>46285</v>
      </c>
      <c r="C5021" s="23" t="s">
        <v>10491</v>
      </c>
      <c r="D5021" s="23" t="s">
        <v>94</v>
      </c>
      <c r="E5021" s="23" t="s">
        <v>75</v>
      </c>
      <c r="F5021" s="23" t="s">
        <v>553</v>
      </c>
      <c r="G5021" s="23" t="s">
        <v>250</v>
      </c>
      <c r="H5021" s="39">
        <f t="shared" si="312"/>
        <v>2798</v>
      </c>
      <c r="I5021" s="23" t="str">
        <f t="shared" si="313"/>
        <v>Chennai</v>
      </c>
      <c r="J5021" s="23">
        <f>COUNTIFS(pg_transaction_cleaned!$O:$O,A5021,pg_transaction_cleaned!$F:$F,"CAPTURE")</f>
        <v>1</v>
      </c>
      <c r="K5021" s="39">
        <f>SUMIFS(pg_transaction_cleaned!$H:$H,pg_transaction_cleaned!$O:$O,A5021,pg_transaction_cleaned!$F:$F,"CAPTURE")</f>
        <v>2798</v>
      </c>
      <c r="L5021" s="23">
        <f>COUNTIFS(pg_transaction_cleaned!$O:$O,A5021,pg_transaction_cleaned!$F:$F,"REFUND")</f>
        <v>0</v>
      </c>
      <c r="M5021" s="39">
        <f>SUMIFS(pg_transaction_cleaned!$H:$H,pg_transaction_cleaned!$O:$O,A5021,pg_transaction_cleaned!$F:$F,"REFUND")</f>
        <v>0</v>
      </c>
      <c r="N5021" s="23" t="str">
        <f t="shared" si="314"/>
        <v>OK</v>
      </c>
      <c r="O5021" s="24">
        <f t="shared" si="315"/>
        <v>0</v>
      </c>
    </row>
    <row r="5022" spans="1:15" ht="15" customHeight="1" x14ac:dyDescent="0.3">
      <c r="A5022" s="23" t="s">
        <v>10492</v>
      </c>
      <c r="B5022" s="38">
        <v>46288</v>
      </c>
      <c r="C5022" s="23" t="s">
        <v>10493</v>
      </c>
      <c r="D5022" s="23" t="s">
        <v>89</v>
      </c>
      <c r="E5022" s="23" t="s">
        <v>75</v>
      </c>
      <c r="F5022" s="23" t="s">
        <v>274</v>
      </c>
      <c r="G5022" s="23" t="s">
        <v>250</v>
      </c>
      <c r="H5022" s="39">
        <f t="shared" si="312"/>
        <v>349</v>
      </c>
      <c r="I5022" s="23" t="str">
        <f t="shared" si="313"/>
        <v>Jaipur</v>
      </c>
      <c r="J5022" s="23">
        <f>COUNTIFS(pg_transaction_cleaned!$O:$O,A5022,pg_transaction_cleaned!$F:$F,"CAPTURE")</f>
        <v>1</v>
      </c>
      <c r="K5022" s="39">
        <f>SUMIFS(pg_transaction_cleaned!$H:$H,pg_transaction_cleaned!$O:$O,A5022,pg_transaction_cleaned!$F:$F,"CAPTURE")</f>
        <v>349</v>
      </c>
      <c r="L5022" s="23">
        <f>COUNTIFS(pg_transaction_cleaned!$O:$O,A5022,pg_transaction_cleaned!$F:$F,"REFUND")</f>
        <v>0</v>
      </c>
      <c r="M5022" s="39">
        <f>SUMIFS(pg_transaction_cleaned!$H:$H,pg_transaction_cleaned!$O:$O,A5022,pg_transaction_cleaned!$F:$F,"REFUND")</f>
        <v>0</v>
      </c>
      <c r="N5022" s="23" t="str">
        <f t="shared" si="314"/>
        <v>OK</v>
      </c>
      <c r="O5022" s="24">
        <f t="shared" si="315"/>
        <v>0</v>
      </c>
    </row>
    <row r="5023" spans="1:15" ht="15" customHeight="1" x14ac:dyDescent="0.3">
      <c r="A5023" s="23" t="s">
        <v>10494</v>
      </c>
      <c r="B5023" s="38">
        <v>46287</v>
      </c>
      <c r="C5023" s="23" t="s">
        <v>10495</v>
      </c>
      <c r="D5023" s="23" t="s">
        <v>89</v>
      </c>
      <c r="E5023" s="23" t="s">
        <v>77</v>
      </c>
      <c r="F5023" s="23" t="s">
        <v>974</v>
      </c>
      <c r="G5023" s="23" t="s">
        <v>250</v>
      </c>
      <c r="H5023" s="39">
        <f t="shared" si="312"/>
        <v>1498</v>
      </c>
      <c r="I5023" s="23" t="str">
        <f t="shared" si="313"/>
        <v>Jaipur</v>
      </c>
      <c r="J5023" s="23">
        <f>COUNTIFS(pg_transaction_cleaned!$O:$O,A5023,pg_transaction_cleaned!$F:$F,"CAPTURE")</f>
        <v>1</v>
      </c>
      <c r="K5023" s="39">
        <f>SUMIFS(pg_transaction_cleaned!$H:$H,pg_transaction_cleaned!$O:$O,A5023,pg_transaction_cleaned!$F:$F,"CAPTURE")</f>
        <v>1498</v>
      </c>
      <c r="L5023" s="23">
        <f>COUNTIFS(pg_transaction_cleaned!$O:$O,A5023,pg_transaction_cleaned!$F:$F,"REFUND")</f>
        <v>0</v>
      </c>
      <c r="M5023" s="39">
        <f>SUMIFS(pg_transaction_cleaned!$H:$H,pg_transaction_cleaned!$O:$O,A5023,pg_transaction_cleaned!$F:$F,"REFUND")</f>
        <v>0</v>
      </c>
      <c r="N5023" s="23" t="str">
        <f t="shared" si="314"/>
        <v>OK</v>
      </c>
      <c r="O5023" s="24">
        <f t="shared" si="315"/>
        <v>0</v>
      </c>
    </row>
    <row r="5024" spans="1:15" ht="15" customHeight="1" x14ac:dyDescent="0.3">
      <c r="A5024" s="23" t="s">
        <v>10496</v>
      </c>
      <c r="B5024" s="38">
        <v>46288</v>
      </c>
      <c r="C5024" s="23" t="s">
        <v>10497</v>
      </c>
      <c r="D5024" s="23" t="s">
        <v>88</v>
      </c>
      <c r="E5024" s="23" t="s">
        <v>77</v>
      </c>
      <c r="F5024" s="23" t="s">
        <v>300</v>
      </c>
      <c r="G5024" s="23" t="s">
        <v>250</v>
      </c>
      <c r="H5024" s="39">
        <f t="shared" si="312"/>
        <v>2598</v>
      </c>
      <c r="I5024" s="23" t="str">
        <f t="shared" si="313"/>
        <v>Lucknow</v>
      </c>
      <c r="J5024" s="23">
        <f>COUNTIFS(pg_transaction_cleaned!$O:$O,A5024,pg_transaction_cleaned!$F:$F,"CAPTURE")</f>
        <v>1</v>
      </c>
      <c r="K5024" s="39">
        <f>SUMIFS(pg_transaction_cleaned!$H:$H,pg_transaction_cleaned!$O:$O,A5024,pg_transaction_cleaned!$F:$F,"CAPTURE")</f>
        <v>2598</v>
      </c>
      <c r="L5024" s="23">
        <f>COUNTIFS(pg_transaction_cleaned!$O:$O,A5024,pg_transaction_cleaned!$F:$F,"REFUND")</f>
        <v>0</v>
      </c>
      <c r="M5024" s="39">
        <f>SUMIFS(pg_transaction_cleaned!$H:$H,pg_transaction_cleaned!$O:$O,A5024,pg_transaction_cleaned!$F:$F,"REFUND")</f>
        <v>0</v>
      </c>
      <c r="N5024" s="23" t="str">
        <f t="shared" si="314"/>
        <v>OK</v>
      </c>
      <c r="O5024" s="24">
        <f t="shared" si="315"/>
        <v>0</v>
      </c>
    </row>
    <row r="5025" spans="1:15" ht="15" customHeight="1" x14ac:dyDescent="0.3">
      <c r="A5025" s="23" t="s">
        <v>10498</v>
      </c>
      <c r="B5025" s="38">
        <v>46274</v>
      </c>
      <c r="C5025" s="23" t="s">
        <v>10499</v>
      </c>
      <c r="D5025" s="23" t="s">
        <v>89</v>
      </c>
      <c r="E5025" s="23" t="s">
        <v>79</v>
      </c>
      <c r="F5025" s="23" t="s">
        <v>499</v>
      </c>
      <c r="G5025" s="23" t="s">
        <v>250</v>
      </c>
      <c r="H5025" s="39">
        <f t="shared" si="312"/>
        <v>5998</v>
      </c>
      <c r="I5025" s="23" t="str">
        <f t="shared" si="313"/>
        <v>Jaipur</v>
      </c>
      <c r="J5025" s="23">
        <f>COUNTIFS(pg_transaction_cleaned!$O:$O,A5025,pg_transaction_cleaned!$F:$F,"CAPTURE")</f>
        <v>1</v>
      </c>
      <c r="K5025" s="39">
        <f>SUMIFS(pg_transaction_cleaned!$H:$H,pg_transaction_cleaned!$O:$O,A5025,pg_transaction_cleaned!$F:$F,"CAPTURE")</f>
        <v>5998</v>
      </c>
      <c r="L5025" s="23">
        <f>COUNTIFS(pg_transaction_cleaned!$O:$O,A5025,pg_transaction_cleaned!$F:$F,"REFUND")</f>
        <v>0</v>
      </c>
      <c r="M5025" s="39">
        <f>SUMIFS(pg_transaction_cleaned!$H:$H,pg_transaction_cleaned!$O:$O,A5025,pg_transaction_cleaned!$F:$F,"REFUND")</f>
        <v>0</v>
      </c>
      <c r="N5025" s="23" t="str">
        <f t="shared" si="314"/>
        <v>OK</v>
      </c>
      <c r="O5025" s="24">
        <f t="shared" si="315"/>
        <v>0</v>
      </c>
    </row>
    <row r="5026" spans="1:15" ht="15" customHeight="1" x14ac:dyDescent="0.3">
      <c r="A5026" s="23" t="s">
        <v>10500</v>
      </c>
      <c r="B5026" s="38">
        <v>46282</v>
      </c>
      <c r="C5026" s="23" t="s">
        <v>10501</v>
      </c>
      <c r="D5026" s="23" t="s">
        <v>87</v>
      </c>
      <c r="E5026" s="23" t="s">
        <v>77</v>
      </c>
      <c r="F5026" s="23" t="s">
        <v>291</v>
      </c>
      <c r="G5026" s="23" t="s">
        <v>250</v>
      </c>
      <c r="H5026" s="39">
        <f t="shared" si="312"/>
        <v>3499</v>
      </c>
      <c r="I5026" s="23" t="str">
        <f t="shared" si="313"/>
        <v>Mumbai</v>
      </c>
      <c r="J5026" s="23">
        <f>COUNTIFS(pg_transaction_cleaned!$O:$O,A5026,pg_transaction_cleaned!$F:$F,"CAPTURE")</f>
        <v>1</v>
      </c>
      <c r="K5026" s="39">
        <f>SUMIFS(pg_transaction_cleaned!$H:$H,pg_transaction_cleaned!$O:$O,A5026,pg_transaction_cleaned!$F:$F,"CAPTURE")</f>
        <v>3499</v>
      </c>
      <c r="L5026" s="23">
        <f>COUNTIFS(pg_transaction_cleaned!$O:$O,A5026,pg_transaction_cleaned!$F:$F,"REFUND")</f>
        <v>0</v>
      </c>
      <c r="M5026" s="39">
        <f>SUMIFS(pg_transaction_cleaned!$H:$H,pg_transaction_cleaned!$O:$O,A5026,pg_transaction_cleaned!$F:$F,"REFUND")</f>
        <v>0</v>
      </c>
      <c r="N5026" s="23" t="str">
        <f t="shared" si="314"/>
        <v>OK</v>
      </c>
      <c r="O5026" s="24">
        <f t="shared" si="315"/>
        <v>0</v>
      </c>
    </row>
    <row r="5027" spans="1:15" ht="15" customHeight="1" x14ac:dyDescent="0.3">
      <c r="A5027" s="23" t="s">
        <v>10502</v>
      </c>
      <c r="B5027" s="38">
        <v>46276</v>
      </c>
      <c r="C5027" s="23" t="s">
        <v>10503</v>
      </c>
      <c r="D5027" s="23" t="s">
        <v>86</v>
      </c>
      <c r="E5027" s="23" t="s">
        <v>79</v>
      </c>
      <c r="F5027" s="23" t="s">
        <v>249</v>
      </c>
      <c r="G5027" s="23" t="s">
        <v>250</v>
      </c>
      <c r="H5027" s="39">
        <f t="shared" si="312"/>
        <v>299</v>
      </c>
      <c r="I5027" s="23" t="str">
        <f t="shared" si="313"/>
        <v>Delhi</v>
      </c>
      <c r="J5027" s="23">
        <f>COUNTIFS(pg_transaction_cleaned!$O:$O,A5027,pg_transaction_cleaned!$F:$F,"CAPTURE")</f>
        <v>1</v>
      </c>
      <c r="K5027" s="39">
        <f>SUMIFS(pg_transaction_cleaned!$H:$H,pg_transaction_cleaned!$O:$O,A5027,pg_transaction_cleaned!$F:$F,"CAPTURE")</f>
        <v>299</v>
      </c>
      <c r="L5027" s="23">
        <f>COUNTIFS(pg_transaction_cleaned!$O:$O,A5027,pg_transaction_cleaned!$F:$F,"REFUND")</f>
        <v>0</v>
      </c>
      <c r="M5027" s="39">
        <f>SUMIFS(pg_transaction_cleaned!$H:$H,pg_transaction_cleaned!$O:$O,A5027,pg_transaction_cleaned!$F:$F,"REFUND")</f>
        <v>0</v>
      </c>
      <c r="N5027" s="23" t="str">
        <f t="shared" si="314"/>
        <v>OK</v>
      </c>
      <c r="O5027" s="24">
        <f t="shared" si="315"/>
        <v>0</v>
      </c>
    </row>
    <row r="5028" spans="1:15" ht="15" customHeight="1" x14ac:dyDescent="0.3">
      <c r="A5028" s="23" t="s">
        <v>10504</v>
      </c>
      <c r="B5028" s="38">
        <v>46292</v>
      </c>
      <c r="C5028" s="23" t="s">
        <v>10505</v>
      </c>
      <c r="D5028" s="23" t="s">
        <v>95</v>
      </c>
      <c r="E5028" s="23" t="s">
        <v>75</v>
      </c>
      <c r="F5028" s="23" t="s">
        <v>567</v>
      </c>
      <c r="G5028" s="23" t="s">
        <v>250</v>
      </c>
      <c r="H5028" s="39">
        <f t="shared" si="312"/>
        <v>3598</v>
      </c>
      <c r="I5028" s="23" t="str">
        <f t="shared" si="313"/>
        <v>Bengaluru</v>
      </c>
      <c r="J5028" s="23">
        <f>COUNTIFS(pg_transaction_cleaned!$O:$O,A5028,pg_transaction_cleaned!$F:$F,"CAPTURE")</f>
        <v>1</v>
      </c>
      <c r="K5028" s="39">
        <f>SUMIFS(pg_transaction_cleaned!$H:$H,pg_transaction_cleaned!$O:$O,A5028,pg_transaction_cleaned!$F:$F,"CAPTURE")</f>
        <v>3598</v>
      </c>
      <c r="L5028" s="23">
        <f>COUNTIFS(pg_transaction_cleaned!$O:$O,A5028,pg_transaction_cleaned!$F:$F,"REFUND")</f>
        <v>0</v>
      </c>
      <c r="M5028" s="39">
        <f>SUMIFS(pg_transaction_cleaned!$H:$H,pg_transaction_cleaned!$O:$O,A5028,pg_transaction_cleaned!$F:$F,"REFUND")</f>
        <v>0</v>
      </c>
      <c r="N5028" s="23" t="str">
        <f t="shared" si="314"/>
        <v>OK</v>
      </c>
      <c r="O5028" s="24">
        <f t="shared" si="315"/>
        <v>0</v>
      </c>
    </row>
    <row r="5029" spans="1:15" ht="15" customHeight="1" x14ac:dyDescent="0.3">
      <c r="A5029" s="23" t="s">
        <v>10506</v>
      </c>
      <c r="B5029" s="38">
        <v>46289</v>
      </c>
      <c r="C5029" s="23" t="s">
        <v>10507</v>
      </c>
      <c r="D5029" s="23" t="s">
        <v>89</v>
      </c>
      <c r="E5029" s="23" t="s">
        <v>75</v>
      </c>
      <c r="F5029" s="23" t="s">
        <v>249</v>
      </c>
      <c r="G5029" s="23" t="s">
        <v>250</v>
      </c>
      <c r="H5029" s="39">
        <f t="shared" si="312"/>
        <v>299</v>
      </c>
      <c r="I5029" s="23" t="str">
        <f t="shared" si="313"/>
        <v>Jaipur</v>
      </c>
      <c r="J5029" s="23">
        <f>COUNTIFS(pg_transaction_cleaned!$O:$O,A5029,pg_transaction_cleaned!$F:$F,"CAPTURE")</f>
        <v>1</v>
      </c>
      <c r="K5029" s="39">
        <f>SUMIFS(pg_transaction_cleaned!$H:$H,pg_transaction_cleaned!$O:$O,A5029,pg_transaction_cleaned!$F:$F,"CAPTURE")</f>
        <v>299</v>
      </c>
      <c r="L5029" s="23">
        <f>COUNTIFS(pg_transaction_cleaned!$O:$O,A5029,pg_transaction_cleaned!$F:$F,"REFUND")</f>
        <v>0</v>
      </c>
      <c r="M5029" s="39">
        <f>SUMIFS(pg_transaction_cleaned!$H:$H,pg_transaction_cleaned!$O:$O,A5029,pg_transaction_cleaned!$F:$F,"REFUND")</f>
        <v>0</v>
      </c>
      <c r="N5029" s="23" t="str">
        <f t="shared" si="314"/>
        <v>OK</v>
      </c>
      <c r="O5029" s="24">
        <f t="shared" si="315"/>
        <v>0</v>
      </c>
    </row>
    <row r="5030" spans="1:15" ht="15" customHeight="1" x14ac:dyDescent="0.3">
      <c r="A5030" s="23" t="s">
        <v>10508</v>
      </c>
      <c r="B5030" s="38">
        <v>46279</v>
      </c>
      <c r="C5030" s="23" t="s">
        <v>9742</v>
      </c>
      <c r="D5030" s="23" t="s">
        <v>89</v>
      </c>
      <c r="E5030" s="23" t="s">
        <v>77</v>
      </c>
      <c r="F5030" s="23" t="s">
        <v>262</v>
      </c>
      <c r="G5030" s="23" t="s">
        <v>250</v>
      </c>
      <c r="H5030" s="39">
        <f t="shared" si="312"/>
        <v>499</v>
      </c>
      <c r="I5030" s="23" t="str">
        <f t="shared" si="313"/>
        <v>Jaipur</v>
      </c>
      <c r="J5030" s="23">
        <f>COUNTIFS(pg_transaction_cleaned!$O:$O,A5030,pg_transaction_cleaned!$F:$F,"CAPTURE")</f>
        <v>1</v>
      </c>
      <c r="K5030" s="39">
        <f>SUMIFS(pg_transaction_cleaned!$H:$H,pg_transaction_cleaned!$O:$O,A5030,pg_transaction_cleaned!$F:$F,"CAPTURE")</f>
        <v>499</v>
      </c>
      <c r="L5030" s="23">
        <f>COUNTIFS(pg_transaction_cleaned!$O:$O,A5030,pg_transaction_cleaned!$F:$F,"REFUND")</f>
        <v>0</v>
      </c>
      <c r="M5030" s="39">
        <f>SUMIFS(pg_transaction_cleaned!$H:$H,pg_transaction_cleaned!$O:$O,A5030,pg_transaction_cleaned!$F:$F,"REFUND")</f>
        <v>0</v>
      </c>
      <c r="N5030" s="23" t="str">
        <f t="shared" si="314"/>
        <v>OK</v>
      </c>
      <c r="O5030" s="24">
        <f t="shared" si="315"/>
        <v>0</v>
      </c>
    </row>
    <row r="5031" spans="1:15" ht="15" customHeight="1" x14ac:dyDescent="0.3">
      <c r="A5031" s="23" t="s">
        <v>10509</v>
      </c>
      <c r="B5031" s="38">
        <v>46278</v>
      </c>
      <c r="C5031" s="23" t="s">
        <v>10510</v>
      </c>
      <c r="D5031" s="23" t="s">
        <v>86</v>
      </c>
      <c r="E5031" s="23" t="s">
        <v>79</v>
      </c>
      <c r="F5031" s="23" t="s">
        <v>268</v>
      </c>
      <c r="G5031" s="23" t="s">
        <v>318</v>
      </c>
      <c r="H5031" s="39">
        <f t="shared" si="312"/>
        <v>1299</v>
      </c>
      <c r="I5031" s="23" t="str">
        <f t="shared" si="313"/>
        <v>Delhi</v>
      </c>
      <c r="J5031" s="23">
        <f>COUNTIFS(pg_transaction_cleaned!$O:$O,A5031,pg_transaction_cleaned!$F:$F,"CAPTURE")</f>
        <v>0</v>
      </c>
      <c r="K5031" s="39">
        <f>SUMIFS(pg_transaction_cleaned!$H:$H,pg_transaction_cleaned!$O:$O,A5031,pg_transaction_cleaned!$F:$F,"CAPTURE")</f>
        <v>0</v>
      </c>
      <c r="L5031" s="23">
        <f>COUNTIFS(pg_transaction_cleaned!$O:$O,A5031,pg_transaction_cleaned!$F:$F,"REFUND")</f>
        <v>0</v>
      </c>
      <c r="M5031" s="39">
        <f>SUMIFS(pg_transaction_cleaned!$H:$H,pg_transaction_cleaned!$O:$O,A5031,pg_transaction_cleaned!$F:$F,"REFUND")</f>
        <v>0</v>
      </c>
      <c r="N5031" s="23" t="str">
        <f t="shared" si="314"/>
        <v>OK</v>
      </c>
      <c r="O5031" s="24">
        <f t="shared" si="315"/>
        <v>0</v>
      </c>
    </row>
    <row r="5032" spans="1:15" ht="15" customHeight="1" x14ac:dyDescent="0.3">
      <c r="A5032" s="23" t="s">
        <v>10511</v>
      </c>
      <c r="B5032" s="38">
        <v>46281</v>
      </c>
      <c r="C5032" s="23" t="s">
        <v>10512</v>
      </c>
      <c r="D5032" s="23" t="s">
        <v>95</v>
      </c>
      <c r="E5032" s="23" t="s">
        <v>75</v>
      </c>
      <c r="F5032" s="23" t="s">
        <v>2954</v>
      </c>
      <c r="G5032" s="23" t="s">
        <v>250</v>
      </c>
      <c r="H5032" s="39">
        <f t="shared" si="312"/>
        <v>1799</v>
      </c>
      <c r="I5032" s="23" t="str">
        <f t="shared" si="313"/>
        <v>Bengaluru</v>
      </c>
      <c r="J5032" s="23">
        <f>COUNTIFS(pg_transaction_cleaned!$O:$O,A5032,pg_transaction_cleaned!$F:$F,"CAPTURE")</f>
        <v>1</v>
      </c>
      <c r="K5032" s="39">
        <f>SUMIFS(pg_transaction_cleaned!$H:$H,pg_transaction_cleaned!$O:$O,A5032,pg_transaction_cleaned!$F:$F,"CAPTURE")</f>
        <v>1799</v>
      </c>
      <c r="L5032" s="23">
        <f>COUNTIFS(pg_transaction_cleaned!$O:$O,A5032,pg_transaction_cleaned!$F:$F,"REFUND")</f>
        <v>0</v>
      </c>
      <c r="M5032" s="39">
        <f>SUMIFS(pg_transaction_cleaned!$H:$H,pg_transaction_cleaned!$O:$O,A5032,pg_transaction_cleaned!$F:$F,"REFUND")</f>
        <v>0</v>
      </c>
      <c r="N5032" s="23" t="str">
        <f t="shared" si="314"/>
        <v>OK</v>
      </c>
      <c r="O5032" s="24">
        <f t="shared" si="315"/>
        <v>0</v>
      </c>
    </row>
    <row r="5033" spans="1:15" ht="15" customHeight="1" x14ac:dyDescent="0.3">
      <c r="A5033" s="23" t="s">
        <v>10513</v>
      </c>
      <c r="B5033" s="38">
        <v>46270</v>
      </c>
      <c r="C5033" s="23" t="s">
        <v>10514</v>
      </c>
      <c r="D5033" s="23" t="s">
        <v>95</v>
      </c>
      <c r="E5033" s="23" t="s">
        <v>75</v>
      </c>
      <c r="F5033" s="23" t="s">
        <v>294</v>
      </c>
      <c r="G5033" s="23" t="s">
        <v>301</v>
      </c>
      <c r="H5033" s="39">
        <f t="shared" si="312"/>
        <v>1799</v>
      </c>
      <c r="I5033" s="23" t="str">
        <f t="shared" si="313"/>
        <v>Bengaluru</v>
      </c>
      <c r="J5033" s="23">
        <f>COUNTIFS(pg_transaction_cleaned!$O:$O,A5033,pg_transaction_cleaned!$F:$F,"CAPTURE")</f>
        <v>1</v>
      </c>
      <c r="K5033" s="39">
        <f>SUMIFS(pg_transaction_cleaned!$H:$H,pg_transaction_cleaned!$O:$O,A5033,pg_transaction_cleaned!$F:$F,"CAPTURE")</f>
        <v>1799</v>
      </c>
      <c r="L5033" s="23">
        <f>COUNTIFS(pg_transaction_cleaned!$O:$O,A5033,pg_transaction_cleaned!$F:$F,"REFUND")</f>
        <v>1</v>
      </c>
      <c r="M5033" s="39">
        <f>SUMIFS(pg_transaction_cleaned!$H:$H,pg_transaction_cleaned!$O:$O,A5033,pg_transaction_cleaned!$F:$F,"REFUND")</f>
        <v>1799</v>
      </c>
      <c r="N5033" s="23" t="str">
        <f t="shared" si="314"/>
        <v>OK</v>
      </c>
      <c r="O5033" s="24">
        <f t="shared" si="315"/>
        <v>0</v>
      </c>
    </row>
    <row r="5034" spans="1:15" ht="15" customHeight="1" x14ac:dyDescent="0.3">
      <c r="A5034" s="23" t="s">
        <v>10515</v>
      </c>
      <c r="B5034" s="38">
        <v>46292</v>
      </c>
      <c r="C5034" s="23" t="s">
        <v>10516</v>
      </c>
      <c r="D5034" s="23" t="s">
        <v>93</v>
      </c>
      <c r="E5034" s="23" t="s">
        <v>77</v>
      </c>
      <c r="F5034" s="23" t="s">
        <v>315</v>
      </c>
      <c r="G5034" s="23" t="s">
        <v>301</v>
      </c>
      <c r="H5034" s="39">
        <f t="shared" si="312"/>
        <v>1499</v>
      </c>
      <c r="I5034" s="23" t="str">
        <f t="shared" si="313"/>
        <v>Kolkata</v>
      </c>
      <c r="J5034" s="23">
        <f>COUNTIFS(pg_transaction_cleaned!$O:$O,A5034,pg_transaction_cleaned!$F:$F,"CAPTURE")</f>
        <v>1</v>
      </c>
      <c r="K5034" s="39">
        <f>SUMIFS(pg_transaction_cleaned!$H:$H,pg_transaction_cleaned!$O:$O,A5034,pg_transaction_cleaned!$F:$F,"CAPTURE")</f>
        <v>1499</v>
      </c>
      <c r="L5034" s="23">
        <f>COUNTIFS(pg_transaction_cleaned!$O:$O,A5034,pg_transaction_cleaned!$F:$F,"REFUND")</f>
        <v>1</v>
      </c>
      <c r="M5034" s="39">
        <f>SUMIFS(pg_transaction_cleaned!$H:$H,pg_transaction_cleaned!$O:$O,A5034,pg_transaction_cleaned!$F:$F,"REFUND")</f>
        <v>1499</v>
      </c>
      <c r="N5034" s="23" t="str">
        <f t="shared" si="314"/>
        <v>OK</v>
      </c>
      <c r="O5034" s="24">
        <f t="shared" si="315"/>
        <v>0</v>
      </c>
    </row>
    <row r="5035" spans="1:15" ht="15" customHeight="1" x14ac:dyDescent="0.3">
      <c r="A5035" s="23" t="s">
        <v>10517</v>
      </c>
      <c r="B5035" s="38">
        <v>46271</v>
      </c>
      <c r="C5035" s="23" t="s">
        <v>10518</v>
      </c>
      <c r="D5035" s="23" t="s">
        <v>94</v>
      </c>
      <c r="E5035" s="23" t="s">
        <v>79</v>
      </c>
      <c r="F5035" s="23" t="s">
        <v>5801</v>
      </c>
      <c r="G5035" s="23" t="s">
        <v>250</v>
      </c>
      <c r="H5035" s="39">
        <f t="shared" si="312"/>
        <v>10397</v>
      </c>
      <c r="I5035" s="23" t="str">
        <f t="shared" si="313"/>
        <v>Chennai</v>
      </c>
      <c r="J5035" s="23">
        <f>COUNTIFS(pg_transaction_cleaned!$O:$O,A5035,pg_transaction_cleaned!$F:$F,"CAPTURE")</f>
        <v>1</v>
      </c>
      <c r="K5035" s="39">
        <f>SUMIFS(pg_transaction_cleaned!$H:$H,pg_transaction_cleaned!$O:$O,A5035,pg_transaction_cleaned!$F:$F,"CAPTURE")</f>
        <v>10397</v>
      </c>
      <c r="L5035" s="23">
        <f>COUNTIFS(pg_transaction_cleaned!$O:$O,A5035,pg_transaction_cleaned!$F:$F,"REFUND")</f>
        <v>0</v>
      </c>
      <c r="M5035" s="39">
        <f>SUMIFS(pg_transaction_cleaned!$H:$H,pg_transaction_cleaned!$O:$O,A5035,pg_transaction_cleaned!$F:$F,"REFUND")</f>
        <v>0</v>
      </c>
      <c r="N5035" s="23" t="str">
        <f t="shared" si="314"/>
        <v>OK</v>
      </c>
      <c r="O5035" s="24">
        <f t="shared" si="315"/>
        <v>0</v>
      </c>
    </row>
    <row r="5036" spans="1:15" ht="15" customHeight="1" x14ac:dyDescent="0.3">
      <c r="A5036" s="23" t="s">
        <v>10519</v>
      </c>
      <c r="B5036" s="38">
        <v>46281</v>
      </c>
      <c r="C5036" s="23" t="s">
        <v>10520</v>
      </c>
      <c r="D5036" s="23" t="s">
        <v>86</v>
      </c>
      <c r="E5036" s="23" t="s">
        <v>75</v>
      </c>
      <c r="F5036" s="23" t="s">
        <v>265</v>
      </c>
      <c r="G5036" s="23" t="s">
        <v>365</v>
      </c>
      <c r="H5036" s="39">
        <f t="shared" si="312"/>
        <v>999</v>
      </c>
      <c r="I5036" s="23" t="str">
        <f t="shared" si="313"/>
        <v>Delhi</v>
      </c>
      <c r="J5036" s="23">
        <f>COUNTIFS(pg_transaction_cleaned!$O:$O,A5036,pg_transaction_cleaned!$F:$F,"CAPTURE")</f>
        <v>0</v>
      </c>
      <c r="K5036" s="39">
        <f>SUMIFS(pg_transaction_cleaned!$H:$H,pg_transaction_cleaned!$O:$O,A5036,pg_transaction_cleaned!$F:$F,"CAPTURE")</f>
        <v>0</v>
      </c>
      <c r="L5036" s="23">
        <f>COUNTIFS(pg_transaction_cleaned!$O:$O,A5036,pg_transaction_cleaned!$F:$F,"REFUND")</f>
        <v>0</v>
      </c>
      <c r="M5036" s="39">
        <f>SUMIFS(pg_transaction_cleaned!$H:$H,pg_transaction_cleaned!$O:$O,A5036,pg_transaction_cleaned!$F:$F,"REFUND")</f>
        <v>0</v>
      </c>
      <c r="N5036" s="23" t="str">
        <f t="shared" si="314"/>
        <v>OK</v>
      </c>
      <c r="O5036" s="24">
        <f t="shared" si="315"/>
        <v>0</v>
      </c>
    </row>
    <row r="5037" spans="1:15" ht="15" customHeight="1" x14ac:dyDescent="0.3">
      <c r="A5037" s="23" t="s">
        <v>10521</v>
      </c>
      <c r="B5037" s="38">
        <v>46293</v>
      </c>
      <c r="C5037" s="23" t="s">
        <v>10522</v>
      </c>
      <c r="D5037" s="23" t="s">
        <v>94</v>
      </c>
      <c r="E5037" s="23" t="s">
        <v>75</v>
      </c>
      <c r="F5037" s="23" t="s">
        <v>346</v>
      </c>
      <c r="G5037" s="23" t="s">
        <v>250</v>
      </c>
      <c r="H5037" s="39">
        <f t="shared" si="312"/>
        <v>4498</v>
      </c>
      <c r="I5037" s="23" t="str">
        <f t="shared" si="313"/>
        <v>Chennai</v>
      </c>
      <c r="J5037" s="23">
        <f>COUNTIFS(pg_transaction_cleaned!$O:$O,A5037,pg_transaction_cleaned!$F:$F,"CAPTURE")</f>
        <v>1</v>
      </c>
      <c r="K5037" s="39">
        <f>SUMIFS(pg_transaction_cleaned!$H:$H,pg_transaction_cleaned!$O:$O,A5037,pg_transaction_cleaned!$F:$F,"CAPTURE")</f>
        <v>4498</v>
      </c>
      <c r="L5037" s="23">
        <f>COUNTIFS(pg_transaction_cleaned!$O:$O,A5037,pg_transaction_cleaned!$F:$F,"REFUND")</f>
        <v>0</v>
      </c>
      <c r="M5037" s="39">
        <f>SUMIFS(pg_transaction_cleaned!$H:$H,pg_transaction_cleaned!$O:$O,A5037,pg_transaction_cleaned!$F:$F,"REFUND")</f>
        <v>0</v>
      </c>
      <c r="N5037" s="23" t="str">
        <f t="shared" si="314"/>
        <v>OK</v>
      </c>
      <c r="O5037" s="24">
        <f t="shared" si="315"/>
        <v>0</v>
      </c>
    </row>
    <row r="5038" spans="1:15" ht="15" customHeight="1" x14ac:dyDescent="0.3">
      <c r="A5038" s="23" t="s">
        <v>10523</v>
      </c>
      <c r="B5038" s="38">
        <v>46272</v>
      </c>
      <c r="C5038" s="23" t="s">
        <v>10524</v>
      </c>
      <c r="D5038" s="23" t="s">
        <v>87</v>
      </c>
      <c r="E5038" s="23" t="s">
        <v>79</v>
      </c>
      <c r="F5038" s="23" t="s">
        <v>2954</v>
      </c>
      <c r="G5038" s="23" t="s">
        <v>250</v>
      </c>
      <c r="H5038" s="39">
        <f t="shared" si="312"/>
        <v>1799</v>
      </c>
      <c r="I5038" s="23" t="str">
        <f t="shared" si="313"/>
        <v>Mumbai</v>
      </c>
      <c r="J5038" s="23">
        <f>COUNTIFS(pg_transaction_cleaned!$O:$O,A5038,pg_transaction_cleaned!$F:$F,"CAPTURE")</f>
        <v>1</v>
      </c>
      <c r="K5038" s="39">
        <f>SUMIFS(pg_transaction_cleaned!$H:$H,pg_transaction_cleaned!$O:$O,A5038,pg_transaction_cleaned!$F:$F,"CAPTURE")</f>
        <v>1799</v>
      </c>
      <c r="L5038" s="23">
        <f>COUNTIFS(pg_transaction_cleaned!$O:$O,A5038,pg_transaction_cleaned!$F:$F,"REFUND")</f>
        <v>0</v>
      </c>
      <c r="M5038" s="39">
        <f>SUMIFS(pg_transaction_cleaned!$H:$H,pg_transaction_cleaned!$O:$O,A5038,pg_transaction_cleaned!$F:$F,"REFUND")</f>
        <v>0</v>
      </c>
      <c r="N5038" s="23" t="str">
        <f t="shared" si="314"/>
        <v>OK</v>
      </c>
      <c r="O5038" s="24">
        <f t="shared" si="315"/>
        <v>0</v>
      </c>
    </row>
    <row r="5039" spans="1:15" ht="15" customHeight="1" x14ac:dyDescent="0.3">
      <c r="A5039" s="23" t="s">
        <v>10525</v>
      </c>
      <c r="B5039" s="38">
        <v>46270</v>
      </c>
      <c r="C5039" s="23" t="s">
        <v>10526</v>
      </c>
      <c r="D5039" s="23" t="s">
        <v>89</v>
      </c>
      <c r="E5039" s="23" t="s">
        <v>81</v>
      </c>
      <c r="F5039" s="23" t="s">
        <v>1108</v>
      </c>
      <c r="G5039" s="23" t="s">
        <v>250</v>
      </c>
      <c r="H5039" s="39">
        <f t="shared" si="312"/>
        <v>4098</v>
      </c>
      <c r="I5039" s="23" t="str">
        <f t="shared" si="313"/>
        <v>Jaipur</v>
      </c>
      <c r="J5039" s="23">
        <f>COUNTIFS(pg_transaction_cleaned!$O:$O,A5039,pg_transaction_cleaned!$F:$F,"CAPTURE")</f>
        <v>1</v>
      </c>
      <c r="K5039" s="39">
        <f>SUMIFS(pg_transaction_cleaned!$H:$H,pg_transaction_cleaned!$O:$O,A5039,pg_transaction_cleaned!$F:$F,"CAPTURE")</f>
        <v>4098</v>
      </c>
      <c r="L5039" s="23">
        <f>COUNTIFS(pg_transaction_cleaned!$O:$O,A5039,pg_transaction_cleaned!$F:$F,"REFUND")</f>
        <v>0</v>
      </c>
      <c r="M5039" s="39">
        <f>SUMIFS(pg_transaction_cleaned!$H:$H,pg_transaction_cleaned!$O:$O,A5039,pg_transaction_cleaned!$F:$F,"REFUND")</f>
        <v>0</v>
      </c>
      <c r="N5039" s="23" t="str">
        <f t="shared" si="314"/>
        <v>OK</v>
      </c>
      <c r="O5039" s="24">
        <f t="shared" si="315"/>
        <v>0</v>
      </c>
    </row>
    <row r="5040" spans="1:15" ht="15" customHeight="1" x14ac:dyDescent="0.3">
      <c r="A5040" s="23" t="s">
        <v>10527</v>
      </c>
      <c r="B5040" s="38">
        <v>46277</v>
      </c>
      <c r="C5040" s="23" t="s">
        <v>10528</v>
      </c>
      <c r="D5040" s="23" t="s">
        <v>86</v>
      </c>
      <c r="E5040" s="23" t="s">
        <v>79</v>
      </c>
      <c r="F5040" s="23" t="s">
        <v>4250</v>
      </c>
      <c r="G5040" s="23" t="s">
        <v>250</v>
      </c>
      <c r="H5040" s="39">
        <f t="shared" si="312"/>
        <v>1098</v>
      </c>
      <c r="I5040" s="23" t="str">
        <f t="shared" si="313"/>
        <v>Delhi</v>
      </c>
      <c r="J5040" s="23">
        <f>COUNTIFS(pg_transaction_cleaned!$O:$O,A5040,pg_transaction_cleaned!$F:$F,"CAPTURE")</f>
        <v>1</v>
      </c>
      <c r="K5040" s="39">
        <f>SUMIFS(pg_transaction_cleaned!$H:$H,pg_transaction_cleaned!$O:$O,A5040,pg_transaction_cleaned!$F:$F,"CAPTURE")</f>
        <v>1098</v>
      </c>
      <c r="L5040" s="23">
        <f>COUNTIFS(pg_transaction_cleaned!$O:$O,A5040,pg_transaction_cleaned!$F:$F,"REFUND")</f>
        <v>0</v>
      </c>
      <c r="M5040" s="39">
        <f>SUMIFS(pg_transaction_cleaned!$H:$H,pg_transaction_cleaned!$O:$O,A5040,pg_transaction_cleaned!$F:$F,"REFUND")</f>
        <v>0</v>
      </c>
      <c r="N5040" s="23" t="str">
        <f t="shared" si="314"/>
        <v>OK</v>
      </c>
      <c r="O5040" s="24">
        <f t="shared" si="315"/>
        <v>0</v>
      </c>
    </row>
    <row r="5041" spans="1:15" ht="15" customHeight="1" x14ac:dyDescent="0.3">
      <c r="A5041" s="23" t="s">
        <v>10529</v>
      </c>
      <c r="B5041" s="38">
        <v>46276</v>
      </c>
      <c r="C5041" s="23" t="s">
        <v>2459</v>
      </c>
      <c r="D5041" s="23" t="s">
        <v>95</v>
      </c>
      <c r="E5041" s="23" t="s">
        <v>75</v>
      </c>
      <c r="F5041" s="23" t="s">
        <v>265</v>
      </c>
      <c r="G5041" s="23" t="s">
        <v>250</v>
      </c>
      <c r="H5041" s="39">
        <f t="shared" si="312"/>
        <v>999</v>
      </c>
      <c r="I5041" s="23" t="str">
        <f t="shared" si="313"/>
        <v>Bengaluru</v>
      </c>
      <c r="J5041" s="23">
        <f>COUNTIFS(pg_transaction_cleaned!$O:$O,A5041,pg_transaction_cleaned!$F:$F,"CAPTURE")</f>
        <v>1</v>
      </c>
      <c r="K5041" s="39">
        <f>SUMIFS(pg_transaction_cleaned!$H:$H,pg_transaction_cleaned!$O:$O,A5041,pg_transaction_cleaned!$F:$F,"CAPTURE")</f>
        <v>999</v>
      </c>
      <c r="L5041" s="23">
        <f>COUNTIFS(pg_transaction_cleaned!$O:$O,A5041,pg_transaction_cleaned!$F:$F,"REFUND")</f>
        <v>0</v>
      </c>
      <c r="M5041" s="39">
        <f>SUMIFS(pg_transaction_cleaned!$H:$H,pg_transaction_cleaned!$O:$O,A5041,pg_transaction_cleaned!$F:$F,"REFUND")</f>
        <v>0</v>
      </c>
      <c r="N5041" s="23" t="str">
        <f t="shared" si="314"/>
        <v>OK</v>
      </c>
      <c r="O5041" s="24">
        <f t="shared" si="315"/>
        <v>0</v>
      </c>
    </row>
    <row r="5042" spans="1:15" ht="15" customHeight="1" x14ac:dyDescent="0.3">
      <c r="A5042" s="23" t="s">
        <v>10530</v>
      </c>
      <c r="B5042" s="38">
        <v>46284</v>
      </c>
      <c r="C5042" s="23" t="s">
        <v>10531</v>
      </c>
      <c r="D5042" s="23" t="s">
        <v>90</v>
      </c>
      <c r="E5042" s="23" t="s">
        <v>75</v>
      </c>
      <c r="F5042" s="23" t="s">
        <v>346</v>
      </c>
      <c r="G5042" s="23" t="s">
        <v>250</v>
      </c>
      <c r="H5042" s="39">
        <f t="shared" si="312"/>
        <v>4498</v>
      </c>
      <c r="I5042" s="23" t="str">
        <f t="shared" si="313"/>
        <v>Ahmedabad</v>
      </c>
      <c r="J5042" s="23">
        <f>COUNTIFS(pg_transaction_cleaned!$O:$O,A5042,pg_transaction_cleaned!$F:$F,"CAPTURE")</f>
        <v>1</v>
      </c>
      <c r="K5042" s="39">
        <f>SUMIFS(pg_transaction_cleaned!$H:$H,pg_transaction_cleaned!$O:$O,A5042,pg_transaction_cleaned!$F:$F,"CAPTURE")</f>
        <v>4498</v>
      </c>
      <c r="L5042" s="23">
        <f>COUNTIFS(pg_transaction_cleaned!$O:$O,A5042,pg_transaction_cleaned!$F:$F,"REFUND")</f>
        <v>0</v>
      </c>
      <c r="M5042" s="39">
        <f>SUMIFS(pg_transaction_cleaned!$H:$H,pg_transaction_cleaned!$O:$O,A5042,pg_transaction_cleaned!$F:$F,"REFUND")</f>
        <v>0</v>
      </c>
      <c r="N5042" s="23" t="str">
        <f t="shared" si="314"/>
        <v>OK</v>
      </c>
      <c r="O5042" s="24">
        <f t="shared" si="315"/>
        <v>0</v>
      </c>
    </row>
    <row r="5043" spans="1:15" ht="15" customHeight="1" x14ac:dyDescent="0.3">
      <c r="A5043" s="23" t="s">
        <v>10532</v>
      </c>
      <c r="B5043" s="38">
        <v>46283</v>
      </c>
      <c r="C5043" s="23" t="s">
        <v>8550</v>
      </c>
      <c r="D5043" s="23" t="s">
        <v>92</v>
      </c>
      <c r="E5043" s="23" t="s">
        <v>79</v>
      </c>
      <c r="F5043" s="23" t="s">
        <v>2337</v>
      </c>
      <c r="G5043" s="23" t="s">
        <v>250</v>
      </c>
      <c r="H5043" s="39">
        <f t="shared" si="312"/>
        <v>8348</v>
      </c>
      <c r="I5043" s="23" t="str">
        <f t="shared" si="313"/>
        <v>Hyderabad</v>
      </c>
      <c r="J5043" s="23">
        <f>COUNTIFS(pg_transaction_cleaned!$O:$O,A5043,pg_transaction_cleaned!$F:$F,"CAPTURE")</f>
        <v>1</v>
      </c>
      <c r="K5043" s="39">
        <f>SUMIFS(pg_transaction_cleaned!$H:$H,pg_transaction_cleaned!$O:$O,A5043,pg_transaction_cleaned!$F:$F,"CAPTURE")</f>
        <v>8348</v>
      </c>
      <c r="L5043" s="23">
        <f>COUNTIFS(pg_transaction_cleaned!$O:$O,A5043,pg_transaction_cleaned!$F:$F,"REFUND")</f>
        <v>0</v>
      </c>
      <c r="M5043" s="39">
        <f>SUMIFS(pg_transaction_cleaned!$H:$H,pg_transaction_cleaned!$O:$O,A5043,pg_transaction_cleaned!$F:$F,"REFUND")</f>
        <v>0</v>
      </c>
      <c r="N5043" s="23" t="str">
        <f t="shared" si="314"/>
        <v>OK</v>
      </c>
      <c r="O5043" s="24">
        <f t="shared" si="315"/>
        <v>0</v>
      </c>
    </row>
    <row r="5044" spans="1:15" ht="15" customHeight="1" x14ac:dyDescent="0.3">
      <c r="A5044" s="23" t="s">
        <v>10533</v>
      </c>
      <c r="B5044" s="38">
        <v>46278</v>
      </c>
      <c r="C5044" s="23" t="s">
        <v>2100</v>
      </c>
      <c r="D5044" s="23" t="s">
        <v>93</v>
      </c>
      <c r="E5044" s="23" t="s">
        <v>79</v>
      </c>
      <c r="F5044" s="23" t="s">
        <v>1103</v>
      </c>
      <c r="G5044" s="23" t="s">
        <v>250</v>
      </c>
      <c r="H5044" s="39">
        <f t="shared" si="312"/>
        <v>3897</v>
      </c>
      <c r="I5044" s="23" t="str">
        <f t="shared" si="313"/>
        <v>Kolkata</v>
      </c>
      <c r="J5044" s="23">
        <f>COUNTIFS(pg_transaction_cleaned!$O:$O,A5044,pg_transaction_cleaned!$F:$F,"CAPTURE")</f>
        <v>1</v>
      </c>
      <c r="K5044" s="39">
        <f>SUMIFS(pg_transaction_cleaned!$H:$H,pg_transaction_cleaned!$O:$O,A5044,pg_transaction_cleaned!$F:$F,"CAPTURE")</f>
        <v>3897</v>
      </c>
      <c r="L5044" s="23">
        <f>COUNTIFS(pg_transaction_cleaned!$O:$O,A5044,pg_transaction_cleaned!$F:$F,"REFUND")</f>
        <v>0</v>
      </c>
      <c r="M5044" s="39">
        <f>SUMIFS(pg_transaction_cleaned!$H:$H,pg_transaction_cleaned!$O:$O,A5044,pg_transaction_cleaned!$F:$F,"REFUND")</f>
        <v>0</v>
      </c>
      <c r="N5044" s="23" t="str">
        <f t="shared" si="314"/>
        <v>OK</v>
      </c>
      <c r="O5044" s="24">
        <f t="shared" si="315"/>
        <v>0</v>
      </c>
    </row>
    <row r="5045" spans="1:15" ht="15" customHeight="1" x14ac:dyDescent="0.3">
      <c r="A5045" s="23" t="s">
        <v>10534</v>
      </c>
      <c r="B5045" s="38">
        <v>46285</v>
      </c>
      <c r="C5045" s="23" t="s">
        <v>10535</v>
      </c>
      <c r="D5045" s="23" t="s">
        <v>92</v>
      </c>
      <c r="E5045" s="23" t="s">
        <v>75</v>
      </c>
      <c r="F5045" s="23" t="s">
        <v>475</v>
      </c>
      <c r="G5045" s="23" t="s">
        <v>301</v>
      </c>
      <c r="H5045" s="39">
        <f t="shared" si="312"/>
        <v>799</v>
      </c>
      <c r="I5045" s="23" t="str">
        <f t="shared" si="313"/>
        <v>Hyderabad</v>
      </c>
      <c r="J5045" s="23">
        <f>COUNTIFS(pg_transaction_cleaned!$O:$O,A5045,pg_transaction_cleaned!$F:$F,"CAPTURE")</f>
        <v>1</v>
      </c>
      <c r="K5045" s="39">
        <f>SUMIFS(pg_transaction_cleaned!$H:$H,pg_transaction_cleaned!$O:$O,A5045,pg_transaction_cleaned!$F:$F,"CAPTURE")</f>
        <v>799</v>
      </c>
      <c r="L5045" s="23">
        <f>COUNTIFS(pg_transaction_cleaned!$O:$O,A5045,pg_transaction_cleaned!$F:$F,"REFUND")</f>
        <v>1</v>
      </c>
      <c r="M5045" s="39">
        <f>SUMIFS(pg_transaction_cleaned!$H:$H,pg_transaction_cleaned!$O:$O,A5045,pg_transaction_cleaned!$F:$F,"REFUND")</f>
        <v>799</v>
      </c>
      <c r="N5045" s="23" t="str">
        <f t="shared" si="314"/>
        <v>OK</v>
      </c>
      <c r="O5045" s="24">
        <f t="shared" si="315"/>
        <v>0</v>
      </c>
    </row>
    <row r="5046" spans="1:15" ht="15" customHeight="1" x14ac:dyDescent="0.3">
      <c r="A5046" s="23" t="s">
        <v>10536</v>
      </c>
      <c r="B5046" s="38">
        <v>46289</v>
      </c>
      <c r="C5046" s="23" t="s">
        <v>10537</v>
      </c>
      <c r="D5046" s="23" t="s">
        <v>88</v>
      </c>
      <c r="E5046" s="23" t="s">
        <v>75</v>
      </c>
      <c r="F5046" s="23" t="s">
        <v>1448</v>
      </c>
      <c r="G5046" s="23" t="s">
        <v>250</v>
      </c>
      <c r="H5046" s="39">
        <f t="shared" si="312"/>
        <v>6297</v>
      </c>
      <c r="I5046" s="23" t="str">
        <f t="shared" si="313"/>
        <v>Lucknow</v>
      </c>
      <c r="J5046" s="23">
        <f>COUNTIFS(pg_transaction_cleaned!$O:$O,A5046,pg_transaction_cleaned!$F:$F,"CAPTURE")</f>
        <v>1</v>
      </c>
      <c r="K5046" s="39">
        <f>SUMIFS(pg_transaction_cleaned!$H:$H,pg_transaction_cleaned!$O:$O,A5046,pg_transaction_cleaned!$F:$F,"CAPTURE")</f>
        <v>6297</v>
      </c>
      <c r="L5046" s="23">
        <f>COUNTIFS(pg_transaction_cleaned!$O:$O,A5046,pg_transaction_cleaned!$F:$F,"REFUND")</f>
        <v>0</v>
      </c>
      <c r="M5046" s="39">
        <f>SUMIFS(pg_transaction_cleaned!$H:$H,pg_transaction_cleaned!$O:$O,A5046,pg_transaction_cleaned!$F:$F,"REFUND")</f>
        <v>0</v>
      </c>
      <c r="N5046" s="23" t="str">
        <f t="shared" si="314"/>
        <v>OK</v>
      </c>
      <c r="O5046" s="24">
        <f t="shared" si="315"/>
        <v>0</v>
      </c>
    </row>
    <row r="5047" spans="1:15" ht="15" customHeight="1" x14ac:dyDescent="0.3">
      <c r="A5047" s="23" t="s">
        <v>10538</v>
      </c>
      <c r="B5047" s="38">
        <v>46293</v>
      </c>
      <c r="C5047" s="23" t="s">
        <v>10539</v>
      </c>
      <c r="D5047" s="23" t="s">
        <v>94</v>
      </c>
      <c r="E5047" s="23" t="s">
        <v>75</v>
      </c>
      <c r="F5047" s="23" t="s">
        <v>291</v>
      </c>
      <c r="G5047" s="23" t="s">
        <v>250</v>
      </c>
      <c r="H5047" s="39">
        <f t="shared" si="312"/>
        <v>3499</v>
      </c>
      <c r="I5047" s="23" t="str">
        <f t="shared" si="313"/>
        <v>Chennai</v>
      </c>
      <c r="J5047" s="23">
        <f>COUNTIFS(pg_transaction_cleaned!$O:$O,A5047,pg_transaction_cleaned!$F:$F,"CAPTURE")</f>
        <v>1</v>
      </c>
      <c r="K5047" s="39">
        <f>SUMIFS(pg_transaction_cleaned!$H:$H,pg_transaction_cleaned!$O:$O,A5047,pg_transaction_cleaned!$F:$F,"CAPTURE")</f>
        <v>3499</v>
      </c>
      <c r="L5047" s="23">
        <f>COUNTIFS(pg_transaction_cleaned!$O:$O,A5047,pg_transaction_cleaned!$F:$F,"REFUND")</f>
        <v>0</v>
      </c>
      <c r="M5047" s="39">
        <f>SUMIFS(pg_transaction_cleaned!$H:$H,pg_transaction_cleaned!$O:$O,A5047,pg_transaction_cleaned!$F:$F,"REFUND")</f>
        <v>0</v>
      </c>
      <c r="N5047" s="23" t="str">
        <f t="shared" si="314"/>
        <v>OK</v>
      </c>
      <c r="O5047" s="24">
        <f t="shared" si="315"/>
        <v>0</v>
      </c>
    </row>
    <row r="5048" spans="1:15" ht="15" customHeight="1" x14ac:dyDescent="0.3">
      <c r="A5048" s="23" t="s">
        <v>10540</v>
      </c>
      <c r="B5048" s="38">
        <v>46283</v>
      </c>
      <c r="C5048" s="23" t="s">
        <v>10541</v>
      </c>
      <c r="D5048" s="23" t="s">
        <v>86</v>
      </c>
      <c r="E5048" s="23" t="s">
        <v>79</v>
      </c>
      <c r="F5048" s="23" t="s">
        <v>520</v>
      </c>
      <c r="G5048" s="23" t="s">
        <v>250</v>
      </c>
      <c r="H5048" s="39">
        <f t="shared" si="312"/>
        <v>4998</v>
      </c>
      <c r="I5048" s="23" t="str">
        <f t="shared" si="313"/>
        <v>Delhi</v>
      </c>
      <c r="J5048" s="23">
        <f>COUNTIFS(pg_transaction_cleaned!$O:$O,A5048,pg_transaction_cleaned!$F:$F,"CAPTURE")</f>
        <v>1</v>
      </c>
      <c r="K5048" s="39">
        <f>SUMIFS(pg_transaction_cleaned!$H:$H,pg_transaction_cleaned!$O:$O,A5048,pg_transaction_cleaned!$F:$F,"CAPTURE")</f>
        <v>4998</v>
      </c>
      <c r="L5048" s="23">
        <f>COUNTIFS(pg_transaction_cleaned!$O:$O,A5048,pg_transaction_cleaned!$F:$F,"REFUND")</f>
        <v>0</v>
      </c>
      <c r="M5048" s="39">
        <f>SUMIFS(pg_transaction_cleaned!$H:$H,pg_transaction_cleaned!$O:$O,A5048,pg_transaction_cleaned!$F:$F,"REFUND")</f>
        <v>0</v>
      </c>
      <c r="N5048" s="23" t="str">
        <f t="shared" si="314"/>
        <v>OK</v>
      </c>
      <c r="O5048" s="24">
        <f t="shared" si="315"/>
        <v>0</v>
      </c>
    </row>
    <row r="5049" spans="1:15" ht="15" customHeight="1" x14ac:dyDescent="0.3">
      <c r="A5049" s="23" t="s">
        <v>10542</v>
      </c>
      <c r="B5049" s="38">
        <v>46273</v>
      </c>
      <c r="C5049" s="23" t="s">
        <v>10543</v>
      </c>
      <c r="D5049" s="23" t="s">
        <v>86</v>
      </c>
      <c r="E5049" s="23" t="s">
        <v>79</v>
      </c>
      <c r="F5049" s="23" t="s">
        <v>1308</v>
      </c>
      <c r="G5049" s="23" t="s">
        <v>250</v>
      </c>
      <c r="H5049" s="39">
        <f t="shared" si="312"/>
        <v>4297</v>
      </c>
      <c r="I5049" s="23" t="str">
        <f t="shared" si="313"/>
        <v>Delhi</v>
      </c>
      <c r="J5049" s="23">
        <f>COUNTIFS(pg_transaction_cleaned!$O:$O,A5049,pg_transaction_cleaned!$F:$F,"CAPTURE")</f>
        <v>1</v>
      </c>
      <c r="K5049" s="39">
        <f>SUMIFS(pg_transaction_cleaned!$H:$H,pg_transaction_cleaned!$O:$O,A5049,pg_transaction_cleaned!$F:$F,"CAPTURE")</f>
        <v>4297</v>
      </c>
      <c r="L5049" s="23">
        <f>COUNTIFS(pg_transaction_cleaned!$O:$O,A5049,pg_transaction_cleaned!$F:$F,"REFUND")</f>
        <v>0</v>
      </c>
      <c r="M5049" s="39">
        <f>SUMIFS(pg_transaction_cleaned!$H:$H,pg_transaction_cleaned!$O:$O,A5049,pg_transaction_cleaned!$F:$F,"REFUND")</f>
        <v>0</v>
      </c>
      <c r="N5049" s="23" t="str">
        <f t="shared" si="314"/>
        <v>OK</v>
      </c>
      <c r="O5049" s="24">
        <f t="shared" si="315"/>
        <v>0</v>
      </c>
    </row>
    <row r="5050" spans="1:15" ht="15" customHeight="1" x14ac:dyDescent="0.3">
      <c r="A5050" s="23" t="s">
        <v>10544</v>
      </c>
      <c r="B5050" s="38">
        <v>46279</v>
      </c>
      <c r="C5050" s="23" t="s">
        <v>10545</v>
      </c>
      <c r="D5050" s="23" t="s">
        <v>88</v>
      </c>
      <c r="E5050" s="23" t="s">
        <v>75</v>
      </c>
      <c r="F5050" s="23" t="s">
        <v>763</v>
      </c>
      <c r="G5050" s="23" t="s">
        <v>250</v>
      </c>
      <c r="H5050" s="39">
        <f t="shared" si="312"/>
        <v>299</v>
      </c>
      <c r="I5050" s="23" t="str">
        <f t="shared" si="313"/>
        <v>Lucknow</v>
      </c>
      <c r="J5050" s="23">
        <f>COUNTIFS(pg_transaction_cleaned!$O:$O,A5050,pg_transaction_cleaned!$F:$F,"CAPTURE")</f>
        <v>1</v>
      </c>
      <c r="K5050" s="39">
        <f>SUMIFS(pg_transaction_cleaned!$H:$H,pg_transaction_cleaned!$O:$O,A5050,pg_transaction_cleaned!$F:$F,"CAPTURE")</f>
        <v>299</v>
      </c>
      <c r="L5050" s="23">
        <f>COUNTIFS(pg_transaction_cleaned!$O:$O,A5050,pg_transaction_cleaned!$F:$F,"REFUND")</f>
        <v>0</v>
      </c>
      <c r="M5050" s="39">
        <f>SUMIFS(pg_transaction_cleaned!$H:$H,pg_transaction_cleaned!$O:$O,A5050,pg_transaction_cleaned!$F:$F,"REFUND")</f>
        <v>0</v>
      </c>
      <c r="N5050" s="23" t="str">
        <f t="shared" si="314"/>
        <v>OK</v>
      </c>
      <c r="O5050" s="24">
        <f t="shared" si="315"/>
        <v>0</v>
      </c>
    </row>
    <row r="5051" spans="1:15" ht="15" customHeight="1" x14ac:dyDescent="0.3">
      <c r="A5051" s="23" t="s">
        <v>10546</v>
      </c>
      <c r="B5051" s="38">
        <v>46276</v>
      </c>
      <c r="C5051" s="23" t="s">
        <v>10547</v>
      </c>
      <c r="D5051" s="23" t="s">
        <v>95</v>
      </c>
      <c r="E5051" s="23" t="s">
        <v>77</v>
      </c>
      <c r="F5051" s="23" t="s">
        <v>249</v>
      </c>
      <c r="G5051" s="23" t="s">
        <v>250</v>
      </c>
      <c r="H5051" s="39">
        <f t="shared" si="312"/>
        <v>299</v>
      </c>
      <c r="I5051" s="23" t="str">
        <f t="shared" si="313"/>
        <v>Bengaluru</v>
      </c>
      <c r="J5051" s="23">
        <f>COUNTIFS(pg_transaction_cleaned!$O:$O,A5051,pg_transaction_cleaned!$F:$F,"CAPTURE")</f>
        <v>1</v>
      </c>
      <c r="K5051" s="39">
        <f>SUMIFS(pg_transaction_cleaned!$H:$H,pg_transaction_cleaned!$O:$O,A5051,pg_transaction_cleaned!$F:$F,"CAPTURE")</f>
        <v>299</v>
      </c>
      <c r="L5051" s="23">
        <f>COUNTIFS(pg_transaction_cleaned!$O:$O,A5051,pg_transaction_cleaned!$F:$F,"REFUND")</f>
        <v>0</v>
      </c>
      <c r="M5051" s="39">
        <f>SUMIFS(pg_transaction_cleaned!$H:$H,pg_transaction_cleaned!$O:$O,A5051,pg_transaction_cleaned!$F:$F,"REFUND")</f>
        <v>0</v>
      </c>
      <c r="N5051" s="23" t="str">
        <f t="shared" si="314"/>
        <v>OK</v>
      </c>
      <c r="O5051" s="24">
        <f t="shared" si="315"/>
        <v>0</v>
      </c>
    </row>
    <row r="5052" spans="1:15" ht="15" customHeight="1" x14ac:dyDescent="0.3">
      <c r="A5052" s="23" t="s">
        <v>10548</v>
      </c>
      <c r="B5052" s="38">
        <v>46293</v>
      </c>
      <c r="C5052" s="23" t="s">
        <v>10549</v>
      </c>
      <c r="D5052" s="23" t="s">
        <v>89</v>
      </c>
      <c r="E5052" s="23" t="s">
        <v>79</v>
      </c>
      <c r="F5052" s="23" t="s">
        <v>271</v>
      </c>
      <c r="G5052" s="23" t="s">
        <v>250</v>
      </c>
      <c r="H5052" s="39">
        <f t="shared" si="312"/>
        <v>2499</v>
      </c>
      <c r="I5052" s="23" t="str">
        <f t="shared" si="313"/>
        <v>Jaipur</v>
      </c>
      <c r="J5052" s="23">
        <f>COUNTIFS(pg_transaction_cleaned!$O:$O,A5052,pg_transaction_cleaned!$F:$F,"CAPTURE")</f>
        <v>1</v>
      </c>
      <c r="K5052" s="39">
        <f>SUMIFS(pg_transaction_cleaned!$H:$H,pg_transaction_cleaned!$O:$O,A5052,pg_transaction_cleaned!$F:$F,"CAPTURE")</f>
        <v>2499</v>
      </c>
      <c r="L5052" s="23">
        <f>COUNTIFS(pg_transaction_cleaned!$O:$O,A5052,pg_transaction_cleaned!$F:$F,"REFUND")</f>
        <v>0</v>
      </c>
      <c r="M5052" s="39">
        <f>SUMIFS(pg_transaction_cleaned!$H:$H,pg_transaction_cleaned!$O:$O,A5052,pg_transaction_cleaned!$F:$F,"REFUND")</f>
        <v>0</v>
      </c>
      <c r="N5052" s="23" t="str">
        <f t="shared" si="314"/>
        <v>OK</v>
      </c>
      <c r="O5052" s="24">
        <f t="shared" si="315"/>
        <v>0</v>
      </c>
    </row>
    <row r="5053" spans="1:15" ht="15" customHeight="1" x14ac:dyDescent="0.3">
      <c r="A5053" s="23" t="s">
        <v>10550</v>
      </c>
      <c r="B5053" s="38">
        <v>46281</v>
      </c>
      <c r="C5053" s="23" t="s">
        <v>10551</v>
      </c>
      <c r="D5053" s="23" t="s">
        <v>95</v>
      </c>
      <c r="E5053" s="23" t="s">
        <v>75</v>
      </c>
      <c r="F5053" s="23" t="s">
        <v>310</v>
      </c>
      <c r="G5053" s="23" t="s">
        <v>250</v>
      </c>
      <c r="H5053" s="39">
        <f t="shared" si="312"/>
        <v>7999</v>
      </c>
      <c r="I5053" s="23" t="str">
        <f t="shared" si="313"/>
        <v>Bengaluru</v>
      </c>
      <c r="J5053" s="23">
        <f>COUNTIFS(pg_transaction_cleaned!$O:$O,A5053,pg_transaction_cleaned!$F:$F,"CAPTURE")</f>
        <v>1</v>
      </c>
      <c r="K5053" s="39">
        <f>SUMIFS(pg_transaction_cleaned!$H:$H,pg_transaction_cleaned!$O:$O,A5053,pg_transaction_cleaned!$F:$F,"CAPTURE")</f>
        <v>7999</v>
      </c>
      <c r="L5053" s="23">
        <f>COUNTIFS(pg_transaction_cleaned!$O:$O,A5053,pg_transaction_cleaned!$F:$F,"REFUND")</f>
        <v>0</v>
      </c>
      <c r="M5053" s="39">
        <f>SUMIFS(pg_transaction_cleaned!$H:$H,pg_transaction_cleaned!$O:$O,A5053,pg_transaction_cleaned!$F:$F,"REFUND")</f>
        <v>0</v>
      </c>
      <c r="N5053" s="23" t="str">
        <f t="shared" si="314"/>
        <v>OK</v>
      </c>
      <c r="O5053" s="24">
        <f t="shared" si="315"/>
        <v>0</v>
      </c>
    </row>
    <row r="5054" spans="1:15" ht="15" customHeight="1" x14ac:dyDescent="0.3">
      <c r="A5054" s="23" t="s">
        <v>10552</v>
      </c>
      <c r="B5054" s="38">
        <v>46277</v>
      </c>
      <c r="C5054" s="23" t="s">
        <v>10553</v>
      </c>
      <c r="D5054" s="23" t="s">
        <v>91</v>
      </c>
      <c r="E5054" s="23" t="s">
        <v>77</v>
      </c>
      <c r="F5054" s="23" t="s">
        <v>288</v>
      </c>
      <c r="G5054" s="23" t="s">
        <v>250</v>
      </c>
      <c r="H5054" s="39">
        <f t="shared" si="312"/>
        <v>4298</v>
      </c>
      <c r="I5054" s="23" t="str">
        <f t="shared" si="313"/>
        <v>Pune</v>
      </c>
      <c r="J5054" s="23">
        <f>COUNTIFS(pg_transaction_cleaned!$O:$O,A5054,pg_transaction_cleaned!$F:$F,"CAPTURE")</f>
        <v>1</v>
      </c>
      <c r="K5054" s="39">
        <f>SUMIFS(pg_transaction_cleaned!$H:$H,pg_transaction_cleaned!$O:$O,A5054,pg_transaction_cleaned!$F:$F,"CAPTURE")</f>
        <v>4298</v>
      </c>
      <c r="L5054" s="23">
        <f>COUNTIFS(pg_transaction_cleaned!$O:$O,A5054,pg_transaction_cleaned!$F:$F,"REFUND")</f>
        <v>0</v>
      </c>
      <c r="M5054" s="39">
        <f>SUMIFS(pg_transaction_cleaned!$H:$H,pg_transaction_cleaned!$O:$O,A5054,pg_transaction_cleaned!$F:$F,"REFUND")</f>
        <v>0</v>
      </c>
      <c r="N5054" s="23" t="str">
        <f t="shared" si="314"/>
        <v>OK</v>
      </c>
      <c r="O5054" s="24">
        <f t="shared" si="315"/>
        <v>0</v>
      </c>
    </row>
    <row r="5055" spans="1:15" ht="15" customHeight="1" x14ac:dyDescent="0.3">
      <c r="A5055" s="23" t="s">
        <v>10554</v>
      </c>
      <c r="B5055" s="38">
        <v>46267</v>
      </c>
      <c r="C5055" s="23" t="s">
        <v>10555</v>
      </c>
      <c r="D5055" s="23" t="s">
        <v>95</v>
      </c>
      <c r="E5055" s="23" t="s">
        <v>75</v>
      </c>
      <c r="F5055" s="23" t="s">
        <v>259</v>
      </c>
      <c r="G5055" s="23" t="s">
        <v>318</v>
      </c>
      <c r="H5055" s="39">
        <f t="shared" si="312"/>
        <v>3298</v>
      </c>
      <c r="I5055" s="23" t="str">
        <f t="shared" si="313"/>
        <v>Bengaluru</v>
      </c>
      <c r="J5055" s="23">
        <f>COUNTIFS(pg_transaction_cleaned!$O:$O,A5055,pg_transaction_cleaned!$F:$F,"CAPTURE")</f>
        <v>0</v>
      </c>
      <c r="K5055" s="39">
        <f>SUMIFS(pg_transaction_cleaned!$H:$H,pg_transaction_cleaned!$O:$O,A5055,pg_transaction_cleaned!$F:$F,"CAPTURE")</f>
        <v>0</v>
      </c>
      <c r="L5055" s="23">
        <f>COUNTIFS(pg_transaction_cleaned!$O:$O,A5055,pg_transaction_cleaned!$F:$F,"REFUND")</f>
        <v>0</v>
      </c>
      <c r="M5055" s="39">
        <f>SUMIFS(pg_transaction_cleaned!$H:$H,pg_transaction_cleaned!$O:$O,A5055,pg_transaction_cleaned!$F:$F,"REFUND")</f>
        <v>0</v>
      </c>
      <c r="N5055" s="23" t="str">
        <f t="shared" si="314"/>
        <v>OK</v>
      </c>
      <c r="O5055" s="24">
        <f t="shared" si="315"/>
        <v>0</v>
      </c>
    </row>
    <row r="5056" spans="1:15" ht="15" customHeight="1" x14ac:dyDescent="0.3">
      <c r="A5056" s="23" t="s">
        <v>10556</v>
      </c>
      <c r="B5056" s="38">
        <v>46280</v>
      </c>
      <c r="C5056" s="23" t="s">
        <v>10557</v>
      </c>
      <c r="D5056" s="23" t="s">
        <v>87</v>
      </c>
      <c r="E5056" s="23" t="s">
        <v>75</v>
      </c>
      <c r="F5056" s="23" t="s">
        <v>310</v>
      </c>
      <c r="G5056" s="23" t="s">
        <v>250</v>
      </c>
      <c r="H5056" s="39">
        <f t="shared" si="312"/>
        <v>7999</v>
      </c>
      <c r="I5056" s="23" t="str">
        <f t="shared" si="313"/>
        <v>Mumbai</v>
      </c>
      <c r="J5056" s="23">
        <f>COUNTIFS(pg_transaction_cleaned!$O:$O,A5056,pg_transaction_cleaned!$F:$F,"CAPTURE")</f>
        <v>1</v>
      </c>
      <c r="K5056" s="39">
        <f>SUMIFS(pg_transaction_cleaned!$H:$H,pg_transaction_cleaned!$O:$O,A5056,pg_transaction_cleaned!$F:$F,"CAPTURE")</f>
        <v>7999</v>
      </c>
      <c r="L5056" s="23">
        <f>COUNTIFS(pg_transaction_cleaned!$O:$O,A5056,pg_transaction_cleaned!$F:$F,"REFUND")</f>
        <v>0</v>
      </c>
      <c r="M5056" s="39">
        <f>SUMIFS(pg_transaction_cleaned!$H:$H,pg_transaction_cleaned!$O:$O,A5056,pg_transaction_cleaned!$F:$F,"REFUND")</f>
        <v>0</v>
      </c>
      <c r="N5056" s="23" t="str">
        <f t="shared" si="314"/>
        <v>OK</v>
      </c>
      <c r="O5056" s="24">
        <f t="shared" si="315"/>
        <v>0</v>
      </c>
    </row>
    <row r="5057" spans="1:15" ht="15" customHeight="1" x14ac:dyDescent="0.3">
      <c r="A5057" s="23" t="s">
        <v>10558</v>
      </c>
      <c r="B5057" s="38">
        <v>46270</v>
      </c>
      <c r="C5057" s="23" t="s">
        <v>10559</v>
      </c>
      <c r="D5057" s="23" t="s">
        <v>94</v>
      </c>
      <c r="E5057" s="23" t="s">
        <v>79</v>
      </c>
      <c r="F5057" s="23" t="s">
        <v>1375</v>
      </c>
      <c r="G5057" s="23" t="s">
        <v>250</v>
      </c>
      <c r="H5057" s="39">
        <f t="shared" si="312"/>
        <v>5997</v>
      </c>
      <c r="I5057" s="23" t="str">
        <f t="shared" si="313"/>
        <v>Chennai</v>
      </c>
      <c r="J5057" s="23">
        <f>COUNTIFS(pg_transaction_cleaned!$O:$O,A5057,pg_transaction_cleaned!$F:$F,"CAPTURE")</f>
        <v>1</v>
      </c>
      <c r="K5057" s="39">
        <f>SUMIFS(pg_transaction_cleaned!$H:$H,pg_transaction_cleaned!$O:$O,A5057,pg_transaction_cleaned!$F:$F,"CAPTURE")</f>
        <v>5997</v>
      </c>
      <c r="L5057" s="23">
        <f>COUNTIFS(pg_transaction_cleaned!$O:$O,A5057,pg_transaction_cleaned!$F:$F,"REFUND")</f>
        <v>0</v>
      </c>
      <c r="M5057" s="39">
        <f>SUMIFS(pg_transaction_cleaned!$H:$H,pg_transaction_cleaned!$O:$O,A5057,pg_transaction_cleaned!$F:$F,"REFUND")</f>
        <v>0</v>
      </c>
      <c r="N5057" s="23" t="str">
        <f t="shared" si="314"/>
        <v>OK</v>
      </c>
      <c r="O5057" s="24">
        <f t="shared" si="315"/>
        <v>0</v>
      </c>
    </row>
    <row r="5058" spans="1:15" ht="15" customHeight="1" x14ac:dyDescent="0.3">
      <c r="A5058" s="23" t="s">
        <v>10560</v>
      </c>
      <c r="B5058" s="38">
        <v>46295</v>
      </c>
      <c r="C5058" s="23" t="s">
        <v>10561</v>
      </c>
      <c r="D5058" s="23" t="s">
        <v>88</v>
      </c>
      <c r="E5058" s="23" t="s">
        <v>79</v>
      </c>
      <c r="F5058" s="23" t="s">
        <v>1193</v>
      </c>
      <c r="G5058" s="23" t="s">
        <v>250</v>
      </c>
      <c r="H5058" s="39">
        <f t="shared" ref="H5058:H5121" si="316">VALUE(SUBSTITUTE(F5058,",",""))</f>
        <v>3498</v>
      </c>
      <c r="I5058" s="23" t="str">
        <f t="shared" ref="I5058:I5121" si="317">IF(TRIM(D5058)="","Unknown",TRIM(D5058))</f>
        <v>Lucknow</v>
      </c>
      <c r="J5058" s="23">
        <f>COUNTIFS(pg_transaction_cleaned!$O:$O,A5058,pg_transaction_cleaned!$F:$F,"CAPTURE")</f>
        <v>1</v>
      </c>
      <c r="K5058" s="39">
        <f>SUMIFS(pg_transaction_cleaned!$H:$H,pg_transaction_cleaned!$O:$O,A5058,pg_transaction_cleaned!$F:$F,"CAPTURE")</f>
        <v>3498</v>
      </c>
      <c r="L5058" s="23">
        <f>COUNTIFS(pg_transaction_cleaned!$O:$O,A5058,pg_transaction_cleaned!$F:$F,"REFUND")</f>
        <v>0</v>
      </c>
      <c r="M5058" s="39">
        <f>SUMIFS(pg_transaction_cleaned!$H:$H,pg_transaction_cleaned!$O:$O,A5058,pg_transaction_cleaned!$F:$F,"REFUND")</f>
        <v>0</v>
      </c>
      <c r="N5058" s="23" t="str">
        <f t="shared" ref="N5058:N5121" si="318">IF(AND(G5058="Paid",J5058=0),"Paid, no payment",IF(AND(OR(G5058="Failed",G5058="Cancelled"),J5058&gt;0),"Payment on failed/cancelled",IF(J5058&gt;1,"Duplicate charge",IF(AND(J5058=1,ROUND(K5058-H5058,2)&lt;&gt;0),"Amount difference",IF(AND(G5058="Refunded",L5058=0),"Refunded, no refund",IF(AND(G5058&lt;&gt;"Refunded",L5058&gt;0),"Refund, order not Refunded",IF(AND(L5058&gt;0,ROUND(M5058-H5058,2)&lt;&gt;0),"Refund amount differs","OK")))))))</f>
        <v>OK</v>
      </c>
      <c r="O5058" s="24">
        <f t="shared" ref="O5058:O5121" si="319">IF(N5058="OK",0,IF(N5058="Paid, no payment",H5058,IF(N5058="Payment on failed/cancelled",K5058,IF(OR(N5058="Duplicate charge",N5058="Amount difference"),K5058-H5058,IF(N5058="Refunded, no refund",H5058,M5058)))))</f>
        <v>0</v>
      </c>
    </row>
    <row r="5059" spans="1:15" ht="15" customHeight="1" x14ac:dyDescent="0.3">
      <c r="A5059" s="23" t="s">
        <v>10562</v>
      </c>
      <c r="B5059" s="38">
        <v>46287</v>
      </c>
      <c r="C5059" s="23" t="s">
        <v>10563</v>
      </c>
      <c r="D5059" s="23" t="s">
        <v>88</v>
      </c>
      <c r="E5059" s="23" t="s">
        <v>75</v>
      </c>
      <c r="F5059" s="23" t="s">
        <v>265</v>
      </c>
      <c r="G5059" s="23" t="s">
        <v>301</v>
      </c>
      <c r="H5059" s="39">
        <f t="shared" si="316"/>
        <v>999</v>
      </c>
      <c r="I5059" s="23" t="str">
        <f t="shared" si="317"/>
        <v>Lucknow</v>
      </c>
      <c r="J5059" s="23">
        <f>COUNTIFS(pg_transaction_cleaned!$O:$O,A5059,pg_transaction_cleaned!$F:$F,"CAPTURE")</f>
        <v>1</v>
      </c>
      <c r="K5059" s="39">
        <f>SUMIFS(pg_transaction_cleaned!$H:$H,pg_transaction_cleaned!$O:$O,A5059,pg_transaction_cleaned!$F:$F,"CAPTURE")</f>
        <v>999</v>
      </c>
      <c r="L5059" s="23">
        <f>COUNTIFS(pg_transaction_cleaned!$O:$O,A5059,pg_transaction_cleaned!$F:$F,"REFUND")</f>
        <v>1</v>
      </c>
      <c r="M5059" s="39">
        <f>SUMIFS(pg_transaction_cleaned!$H:$H,pg_transaction_cleaned!$O:$O,A5059,pg_transaction_cleaned!$F:$F,"REFUND")</f>
        <v>999</v>
      </c>
      <c r="N5059" s="23" t="str">
        <f t="shared" si="318"/>
        <v>OK</v>
      </c>
      <c r="O5059" s="24">
        <f t="shared" si="319"/>
        <v>0</v>
      </c>
    </row>
    <row r="5060" spans="1:15" ht="15" customHeight="1" x14ac:dyDescent="0.3">
      <c r="A5060" s="23" t="s">
        <v>10564</v>
      </c>
      <c r="B5060" s="38">
        <v>46284</v>
      </c>
      <c r="C5060" s="23" t="s">
        <v>10565</v>
      </c>
      <c r="D5060" s="23" t="s">
        <v>95</v>
      </c>
      <c r="E5060" s="23" t="s">
        <v>75</v>
      </c>
      <c r="F5060" s="23" t="s">
        <v>742</v>
      </c>
      <c r="G5060" s="23" t="s">
        <v>250</v>
      </c>
      <c r="H5060" s="39">
        <f t="shared" si="316"/>
        <v>999</v>
      </c>
      <c r="I5060" s="23" t="str">
        <f t="shared" si="317"/>
        <v>Bengaluru</v>
      </c>
      <c r="J5060" s="23">
        <f>COUNTIFS(pg_transaction_cleaned!$O:$O,A5060,pg_transaction_cleaned!$F:$F,"CAPTURE")</f>
        <v>1</v>
      </c>
      <c r="K5060" s="39">
        <f>SUMIFS(pg_transaction_cleaned!$H:$H,pg_transaction_cleaned!$O:$O,A5060,pg_transaction_cleaned!$F:$F,"CAPTURE")</f>
        <v>999</v>
      </c>
      <c r="L5060" s="23">
        <f>COUNTIFS(pg_transaction_cleaned!$O:$O,A5060,pg_transaction_cleaned!$F:$F,"REFUND")</f>
        <v>0</v>
      </c>
      <c r="M5060" s="39">
        <f>SUMIFS(pg_transaction_cleaned!$H:$H,pg_transaction_cleaned!$O:$O,A5060,pg_transaction_cleaned!$F:$F,"REFUND")</f>
        <v>0</v>
      </c>
      <c r="N5060" s="23" t="str">
        <f t="shared" si="318"/>
        <v>OK</v>
      </c>
      <c r="O5060" s="24">
        <f t="shared" si="319"/>
        <v>0</v>
      </c>
    </row>
    <row r="5061" spans="1:15" ht="15" customHeight="1" x14ac:dyDescent="0.3">
      <c r="A5061" s="23" t="s">
        <v>10566</v>
      </c>
      <c r="B5061" s="38">
        <v>46288</v>
      </c>
      <c r="C5061" s="23" t="s">
        <v>10567</v>
      </c>
      <c r="D5061" s="23" t="s">
        <v>92</v>
      </c>
      <c r="E5061" s="23" t="s">
        <v>75</v>
      </c>
      <c r="F5061" s="23" t="s">
        <v>1308</v>
      </c>
      <c r="G5061" s="23" t="s">
        <v>250</v>
      </c>
      <c r="H5061" s="39">
        <f t="shared" si="316"/>
        <v>4297</v>
      </c>
      <c r="I5061" s="23" t="str">
        <f t="shared" si="317"/>
        <v>Hyderabad</v>
      </c>
      <c r="J5061" s="23">
        <f>COUNTIFS(pg_transaction_cleaned!$O:$O,A5061,pg_transaction_cleaned!$F:$F,"CAPTURE")</f>
        <v>1</v>
      </c>
      <c r="K5061" s="39">
        <f>SUMIFS(pg_transaction_cleaned!$H:$H,pg_transaction_cleaned!$O:$O,A5061,pg_transaction_cleaned!$F:$F,"CAPTURE")</f>
        <v>4297</v>
      </c>
      <c r="L5061" s="23">
        <f>COUNTIFS(pg_transaction_cleaned!$O:$O,A5061,pg_transaction_cleaned!$F:$F,"REFUND")</f>
        <v>0</v>
      </c>
      <c r="M5061" s="39">
        <f>SUMIFS(pg_transaction_cleaned!$H:$H,pg_transaction_cleaned!$O:$O,A5061,pg_transaction_cleaned!$F:$F,"REFUND")</f>
        <v>0</v>
      </c>
      <c r="N5061" s="23" t="str">
        <f t="shared" si="318"/>
        <v>OK</v>
      </c>
      <c r="O5061" s="24">
        <f t="shared" si="319"/>
        <v>0</v>
      </c>
    </row>
    <row r="5062" spans="1:15" ht="15" customHeight="1" x14ac:dyDescent="0.3">
      <c r="A5062" s="23" t="s">
        <v>10568</v>
      </c>
      <c r="B5062" s="38">
        <v>46282</v>
      </c>
      <c r="C5062" s="23" t="s">
        <v>10569</v>
      </c>
      <c r="D5062" s="23" t="s">
        <v>88</v>
      </c>
      <c r="E5062" s="23" t="s">
        <v>75</v>
      </c>
      <c r="F5062" s="23" t="s">
        <v>310</v>
      </c>
      <c r="G5062" s="23" t="s">
        <v>250</v>
      </c>
      <c r="H5062" s="39">
        <f t="shared" si="316"/>
        <v>7999</v>
      </c>
      <c r="I5062" s="23" t="str">
        <f t="shared" si="317"/>
        <v>Lucknow</v>
      </c>
      <c r="J5062" s="23">
        <f>COUNTIFS(pg_transaction_cleaned!$O:$O,A5062,pg_transaction_cleaned!$F:$F,"CAPTURE")</f>
        <v>1</v>
      </c>
      <c r="K5062" s="39">
        <f>SUMIFS(pg_transaction_cleaned!$H:$H,pg_transaction_cleaned!$O:$O,A5062,pg_transaction_cleaned!$F:$F,"CAPTURE")</f>
        <v>7999</v>
      </c>
      <c r="L5062" s="23">
        <f>COUNTIFS(pg_transaction_cleaned!$O:$O,A5062,pg_transaction_cleaned!$F:$F,"REFUND")</f>
        <v>0</v>
      </c>
      <c r="M5062" s="39">
        <f>SUMIFS(pg_transaction_cleaned!$H:$H,pg_transaction_cleaned!$O:$O,A5062,pg_transaction_cleaned!$F:$F,"REFUND")</f>
        <v>0</v>
      </c>
      <c r="N5062" s="23" t="str">
        <f t="shared" si="318"/>
        <v>OK</v>
      </c>
      <c r="O5062" s="24">
        <f t="shared" si="319"/>
        <v>0</v>
      </c>
    </row>
    <row r="5063" spans="1:15" ht="15" customHeight="1" x14ac:dyDescent="0.3">
      <c r="A5063" s="23" t="s">
        <v>10570</v>
      </c>
      <c r="B5063" s="38">
        <v>46277</v>
      </c>
      <c r="C5063" s="23" t="s">
        <v>10571</v>
      </c>
      <c r="D5063" s="23" t="s">
        <v>94</v>
      </c>
      <c r="E5063" s="23" t="s">
        <v>79</v>
      </c>
      <c r="F5063" s="23" t="s">
        <v>291</v>
      </c>
      <c r="G5063" s="23" t="s">
        <v>250</v>
      </c>
      <c r="H5063" s="39">
        <f t="shared" si="316"/>
        <v>3499</v>
      </c>
      <c r="I5063" s="23" t="str">
        <f t="shared" si="317"/>
        <v>Chennai</v>
      </c>
      <c r="J5063" s="23">
        <f>COUNTIFS(pg_transaction_cleaned!$O:$O,A5063,pg_transaction_cleaned!$F:$F,"CAPTURE")</f>
        <v>1</v>
      </c>
      <c r="K5063" s="39">
        <f>SUMIFS(pg_transaction_cleaned!$H:$H,pg_transaction_cleaned!$O:$O,A5063,pg_transaction_cleaned!$F:$F,"CAPTURE")</f>
        <v>3499</v>
      </c>
      <c r="L5063" s="23">
        <f>COUNTIFS(pg_transaction_cleaned!$O:$O,A5063,pg_transaction_cleaned!$F:$F,"REFUND")</f>
        <v>0</v>
      </c>
      <c r="M5063" s="39">
        <f>SUMIFS(pg_transaction_cleaned!$H:$H,pg_transaction_cleaned!$O:$O,A5063,pg_transaction_cleaned!$F:$F,"REFUND")</f>
        <v>0</v>
      </c>
      <c r="N5063" s="23" t="str">
        <f t="shared" si="318"/>
        <v>OK</v>
      </c>
      <c r="O5063" s="24">
        <f t="shared" si="319"/>
        <v>0</v>
      </c>
    </row>
    <row r="5064" spans="1:15" ht="15" customHeight="1" x14ac:dyDescent="0.3">
      <c r="A5064" s="23" t="s">
        <v>10572</v>
      </c>
      <c r="B5064" s="38">
        <v>46270</v>
      </c>
      <c r="C5064" s="23" t="s">
        <v>10573</v>
      </c>
      <c r="D5064" s="23" t="s">
        <v>89</v>
      </c>
      <c r="E5064" s="23" t="s">
        <v>79</v>
      </c>
      <c r="F5064" s="23" t="s">
        <v>795</v>
      </c>
      <c r="G5064" s="23" t="s">
        <v>365</v>
      </c>
      <c r="H5064" s="39">
        <f t="shared" si="316"/>
        <v>1499</v>
      </c>
      <c r="I5064" s="23" t="str">
        <f t="shared" si="317"/>
        <v>Jaipur</v>
      </c>
      <c r="J5064" s="23">
        <f>COUNTIFS(pg_transaction_cleaned!$O:$O,A5064,pg_transaction_cleaned!$F:$F,"CAPTURE")</f>
        <v>0</v>
      </c>
      <c r="K5064" s="39">
        <f>SUMIFS(pg_transaction_cleaned!$H:$H,pg_transaction_cleaned!$O:$O,A5064,pg_transaction_cleaned!$F:$F,"CAPTURE")</f>
        <v>0</v>
      </c>
      <c r="L5064" s="23">
        <f>COUNTIFS(pg_transaction_cleaned!$O:$O,A5064,pg_transaction_cleaned!$F:$F,"REFUND")</f>
        <v>0</v>
      </c>
      <c r="M5064" s="39">
        <f>SUMIFS(pg_transaction_cleaned!$H:$H,pg_transaction_cleaned!$O:$O,A5064,pg_transaction_cleaned!$F:$F,"REFUND")</f>
        <v>0</v>
      </c>
      <c r="N5064" s="23" t="str">
        <f t="shared" si="318"/>
        <v>OK</v>
      </c>
      <c r="O5064" s="24">
        <f t="shared" si="319"/>
        <v>0</v>
      </c>
    </row>
    <row r="5065" spans="1:15" ht="15" customHeight="1" x14ac:dyDescent="0.3">
      <c r="A5065" s="23" t="s">
        <v>10574</v>
      </c>
      <c r="B5065" s="38">
        <v>46271</v>
      </c>
      <c r="C5065" s="23" t="s">
        <v>10575</v>
      </c>
      <c r="D5065" s="23" t="s">
        <v>88</v>
      </c>
      <c r="E5065" s="23" t="s">
        <v>75</v>
      </c>
      <c r="F5065" s="23" t="s">
        <v>268</v>
      </c>
      <c r="G5065" s="23" t="s">
        <v>250</v>
      </c>
      <c r="H5065" s="39">
        <f t="shared" si="316"/>
        <v>1299</v>
      </c>
      <c r="I5065" s="23" t="str">
        <f t="shared" si="317"/>
        <v>Lucknow</v>
      </c>
      <c r="J5065" s="23">
        <f>COUNTIFS(pg_transaction_cleaned!$O:$O,A5065,pg_transaction_cleaned!$F:$F,"CAPTURE")</f>
        <v>1</v>
      </c>
      <c r="K5065" s="39">
        <f>SUMIFS(pg_transaction_cleaned!$H:$H,pg_transaction_cleaned!$O:$O,A5065,pg_transaction_cleaned!$F:$F,"CAPTURE")</f>
        <v>1299</v>
      </c>
      <c r="L5065" s="23">
        <f>COUNTIFS(pg_transaction_cleaned!$O:$O,A5065,pg_transaction_cleaned!$F:$F,"REFUND")</f>
        <v>0</v>
      </c>
      <c r="M5065" s="39">
        <f>SUMIFS(pg_transaction_cleaned!$H:$H,pg_transaction_cleaned!$O:$O,A5065,pg_transaction_cleaned!$F:$F,"REFUND")</f>
        <v>0</v>
      </c>
      <c r="N5065" s="23" t="str">
        <f t="shared" si="318"/>
        <v>OK</v>
      </c>
      <c r="O5065" s="24">
        <f t="shared" si="319"/>
        <v>0</v>
      </c>
    </row>
    <row r="5066" spans="1:15" ht="15" customHeight="1" x14ac:dyDescent="0.3">
      <c r="A5066" s="23" t="s">
        <v>10576</v>
      </c>
      <c r="B5066" s="38">
        <v>46286</v>
      </c>
      <c r="C5066" s="23" t="s">
        <v>10577</v>
      </c>
      <c r="D5066" s="23" t="s">
        <v>92</v>
      </c>
      <c r="E5066" s="23" t="s">
        <v>75</v>
      </c>
      <c r="F5066" s="23" t="s">
        <v>2486</v>
      </c>
      <c r="G5066" s="23" t="s">
        <v>250</v>
      </c>
      <c r="H5066" s="39">
        <f t="shared" si="316"/>
        <v>1647</v>
      </c>
      <c r="I5066" s="23" t="str">
        <f t="shared" si="317"/>
        <v>Hyderabad</v>
      </c>
      <c r="J5066" s="23">
        <f>COUNTIFS(pg_transaction_cleaned!$O:$O,A5066,pg_transaction_cleaned!$F:$F,"CAPTURE")</f>
        <v>1</v>
      </c>
      <c r="K5066" s="39">
        <f>SUMIFS(pg_transaction_cleaned!$H:$H,pg_transaction_cleaned!$O:$O,A5066,pg_transaction_cleaned!$F:$F,"CAPTURE")</f>
        <v>1647</v>
      </c>
      <c r="L5066" s="23">
        <f>COUNTIFS(pg_transaction_cleaned!$O:$O,A5066,pg_transaction_cleaned!$F:$F,"REFUND")</f>
        <v>0</v>
      </c>
      <c r="M5066" s="39">
        <f>SUMIFS(pg_transaction_cleaned!$H:$H,pg_transaction_cleaned!$O:$O,A5066,pg_transaction_cleaned!$F:$F,"REFUND")</f>
        <v>0</v>
      </c>
      <c r="N5066" s="23" t="str">
        <f t="shared" si="318"/>
        <v>OK</v>
      </c>
      <c r="O5066" s="24">
        <f t="shared" si="319"/>
        <v>0</v>
      </c>
    </row>
    <row r="5067" spans="1:15" ht="15" customHeight="1" x14ac:dyDescent="0.3">
      <c r="A5067" s="23" t="s">
        <v>10578</v>
      </c>
      <c r="B5067" s="38">
        <v>46276</v>
      </c>
      <c r="C5067" s="23" t="s">
        <v>10579</v>
      </c>
      <c r="D5067" s="23" t="s">
        <v>86</v>
      </c>
      <c r="E5067" s="23" t="s">
        <v>75</v>
      </c>
      <c r="F5067" s="23" t="s">
        <v>249</v>
      </c>
      <c r="G5067" s="23" t="s">
        <v>250</v>
      </c>
      <c r="H5067" s="39">
        <f t="shared" si="316"/>
        <v>299</v>
      </c>
      <c r="I5067" s="23" t="str">
        <f t="shared" si="317"/>
        <v>Delhi</v>
      </c>
      <c r="J5067" s="23">
        <f>COUNTIFS(pg_transaction_cleaned!$O:$O,A5067,pg_transaction_cleaned!$F:$F,"CAPTURE")</f>
        <v>1</v>
      </c>
      <c r="K5067" s="39">
        <f>SUMIFS(pg_transaction_cleaned!$H:$H,pg_transaction_cleaned!$O:$O,A5067,pg_transaction_cleaned!$F:$F,"CAPTURE")</f>
        <v>299</v>
      </c>
      <c r="L5067" s="23">
        <f>COUNTIFS(pg_transaction_cleaned!$O:$O,A5067,pg_transaction_cleaned!$F:$F,"REFUND")</f>
        <v>0</v>
      </c>
      <c r="M5067" s="39">
        <f>SUMIFS(pg_transaction_cleaned!$H:$H,pg_transaction_cleaned!$O:$O,A5067,pg_transaction_cleaned!$F:$F,"REFUND")</f>
        <v>0</v>
      </c>
      <c r="N5067" s="23" t="str">
        <f t="shared" si="318"/>
        <v>OK</v>
      </c>
      <c r="O5067" s="24">
        <f t="shared" si="319"/>
        <v>0</v>
      </c>
    </row>
    <row r="5068" spans="1:15" ht="15" customHeight="1" x14ac:dyDescent="0.3">
      <c r="A5068" s="23" t="s">
        <v>10580</v>
      </c>
      <c r="B5068" s="38">
        <v>46281</v>
      </c>
      <c r="C5068" s="23" t="s">
        <v>10581</v>
      </c>
      <c r="D5068" s="23" t="s">
        <v>89</v>
      </c>
      <c r="E5068" s="23" t="s">
        <v>75</v>
      </c>
      <c r="F5068" s="23" t="s">
        <v>685</v>
      </c>
      <c r="G5068" s="23" t="s">
        <v>365</v>
      </c>
      <c r="H5068" s="39">
        <f t="shared" si="316"/>
        <v>8797</v>
      </c>
      <c r="I5068" s="23" t="str">
        <f t="shared" si="317"/>
        <v>Jaipur</v>
      </c>
      <c r="J5068" s="23">
        <f>COUNTIFS(pg_transaction_cleaned!$O:$O,A5068,pg_transaction_cleaned!$F:$F,"CAPTURE")</f>
        <v>0</v>
      </c>
      <c r="K5068" s="39">
        <f>SUMIFS(pg_transaction_cleaned!$H:$H,pg_transaction_cleaned!$O:$O,A5068,pg_transaction_cleaned!$F:$F,"CAPTURE")</f>
        <v>0</v>
      </c>
      <c r="L5068" s="23">
        <f>COUNTIFS(pg_transaction_cleaned!$O:$O,A5068,pg_transaction_cleaned!$F:$F,"REFUND")</f>
        <v>0</v>
      </c>
      <c r="M5068" s="39">
        <f>SUMIFS(pg_transaction_cleaned!$H:$H,pg_transaction_cleaned!$O:$O,A5068,pg_transaction_cleaned!$F:$F,"REFUND")</f>
        <v>0</v>
      </c>
      <c r="N5068" s="23" t="str">
        <f t="shared" si="318"/>
        <v>OK</v>
      </c>
      <c r="O5068" s="24">
        <f t="shared" si="319"/>
        <v>0</v>
      </c>
    </row>
    <row r="5069" spans="1:15" ht="15" customHeight="1" x14ac:dyDescent="0.3">
      <c r="A5069" s="23" t="s">
        <v>10582</v>
      </c>
      <c r="B5069" s="38">
        <v>46289</v>
      </c>
      <c r="C5069" s="23" t="s">
        <v>10583</v>
      </c>
      <c r="D5069" s="23" t="s">
        <v>95</v>
      </c>
      <c r="E5069" s="23" t="s">
        <v>75</v>
      </c>
      <c r="F5069" s="23" t="s">
        <v>582</v>
      </c>
      <c r="G5069" s="23" t="s">
        <v>318</v>
      </c>
      <c r="H5069" s="39">
        <f t="shared" si="316"/>
        <v>1298</v>
      </c>
      <c r="I5069" s="23" t="str">
        <f t="shared" si="317"/>
        <v>Bengaluru</v>
      </c>
      <c r="J5069" s="23">
        <f>COUNTIFS(pg_transaction_cleaned!$O:$O,A5069,pg_transaction_cleaned!$F:$F,"CAPTURE")</f>
        <v>0</v>
      </c>
      <c r="K5069" s="39">
        <f>SUMIFS(pg_transaction_cleaned!$H:$H,pg_transaction_cleaned!$O:$O,A5069,pg_transaction_cleaned!$F:$F,"CAPTURE")</f>
        <v>0</v>
      </c>
      <c r="L5069" s="23">
        <f>COUNTIFS(pg_transaction_cleaned!$O:$O,A5069,pg_transaction_cleaned!$F:$F,"REFUND")</f>
        <v>0</v>
      </c>
      <c r="M5069" s="39">
        <f>SUMIFS(pg_transaction_cleaned!$H:$H,pg_transaction_cleaned!$O:$O,A5069,pg_transaction_cleaned!$F:$F,"REFUND")</f>
        <v>0</v>
      </c>
      <c r="N5069" s="23" t="str">
        <f t="shared" si="318"/>
        <v>OK</v>
      </c>
      <c r="O5069" s="24">
        <f t="shared" si="319"/>
        <v>0</v>
      </c>
    </row>
    <row r="5070" spans="1:15" ht="15" customHeight="1" x14ac:dyDescent="0.3">
      <c r="A5070" s="23" t="s">
        <v>10584</v>
      </c>
      <c r="B5070" s="38">
        <v>46271</v>
      </c>
      <c r="C5070" s="23" t="s">
        <v>10585</v>
      </c>
      <c r="D5070" s="23" t="s">
        <v>87</v>
      </c>
      <c r="E5070" s="23" t="s">
        <v>75</v>
      </c>
      <c r="F5070" s="23" t="s">
        <v>1437</v>
      </c>
      <c r="G5070" s="23" t="s">
        <v>250</v>
      </c>
      <c r="H5070" s="39">
        <f t="shared" si="316"/>
        <v>5847</v>
      </c>
      <c r="I5070" s="23" t="str">
        <f t="shared" si="317"/>
        <v>Mumbai</v>
      </c>
      <c r="J5070" s="23">
        <f>COUNTIFS(pg_transaction_cleaned!$O:$O,A5070,pg_transaction_cleaned!$F:$F,"CAPTURE")</f>
        <v>1</v>
      </c>
      <c r="K5070" s="39">
        <f>SUMIFS(pg_transaction_cleaned!$H:$H,pg_transaction_cleaned!$O:$O,A5070,pg_transaction_cleaned!$F:$F,"CAPTURE")</f>
        <v>5847</v>
      </c>
      <c r="L5070" s="23">
        <f>COUNTIFS(pg_transaction_cleaned!$O:$O,A5070,pg_transaction_cleaned!$F:$F,"REFUND")</f>
        <v>0</v>
      </c>
      <c r="M5070" s="39">
        <f>SUMIFS(pg_transaction_cleaned!$H:$H,pg_transaction_cleaned!$O:$O,A5070,pg_transaction_cleaned!$F:$F,"REFUND")</f>
        <v>0</v>
      </c>
      <c r="N5070" s="23" t="str">
        <f t="shared" si="318"/>
        <v>OK</v>
      </c>
      <c r="O5070" s="24">
        <f t="shared" si="319"/>
        <v>0</v>
      </c>
    </row>
    <row r="5071" spans="1:15" ht="15" customHeight="1" x14ac:dyDescent="0.3">
      <c r="A5071" s="23" t="s">
        <v>10586</v>
      </c>
      <c r="B5071" s="38">
        <v>46289</v>
      </c>
      <c r="C5071" s="23" t="s">
        <v>10587</v>
      </c>
      <c r="D5071" s="23" t="s">
        <v>87</v>
      </c>
      <c r="E5071" s="23" t="s">
        <v>75</v>
      </c>
      <c r="F5071" s="23" t="s">
        <v>1038</v>
      </c>
      <c r="G5071" s="23" t="s">
        <v>301</v>
      </c>
      <c r="H5071" s="39">
        <f t="shared" si="316"/>
        <v>3597</v>
      </c>
      <c r="I5071" s="23" t="str">
        <f t="shared" si="317"/>
        <v>Mumbai</v>
      </c>
      <c r="J5071" s="23">
        <f>COUNTIFS(pg_transaction_cleaned!$O:$O,A5071,pg_transaction_cleaned!$F:$F,"CAPTURE")</f>
        <v>1</v>
      </c>
      <c r="K5071" s="39">
        <f>SUMIFS(pg_transaction_cleaned!$H:$H,pg_transaction_cleaned!$O:$O,A5071,pg_transaction_cleaned!$F:$F,"CAPTURE")</f>
        <v>3597</v>
      </c>
      <c r="L5071" s="23">
        <f>COUNTIFS(pg_transaction_cleaned!$O:$O,A5071,pg_transaction_cleaned!$F:$F,"REFUND")</f>
        <v>1</v>
      </c>
      <c r="M5071" s="39">
        <f>SUMIFS(pg_transaction_cleaned!$H:$H,pg_transaction_cleaned!$O:$O,A5071,pg_transaction_cleaned!$F:$F,"REFUND")</f>
        <v>3597</v>
      </c>
      <c r="N5071" s="23" t="str">
        <f t="shared" si="318"/>
        <v>OK</v>
      </c>
      <c r="O5071" s="24">
        <f t="shared" si="319"/>
        <v>0</v>
      </c>
    </row>
    <row r="5072" spans="1:15" ht="15" customHeight="1" x14ac:dyDescent="0.3">
      <c r="A5072" s="23" t="s">
        <v>10588</v>
      </c>
      <c r="B5072" s="38">
        <v>46284</v>
      </c>
      <c r="C5072" s="23" t="s">
        <v>10589</v>
      </c>
      <c r="D5072" s="23" t="s">
        <v>87</v>
      </c>
      <c r="E5072" s="23" t="s">
        <v>79</v>
      </c>
      <c r="F5072" s="23" t="s">
        <v>274</v>
      </c>
      <c r="G5072" s="23" t="s">
        <v>250</v>
      </c>
      <c r="H5072" s="39">
        <f t="shared" si="316"/>
        <v>349</v>
      </c>
      <c r="I5072" s="23" t="str">
        <f t="shared" si="317"/>
        <v>Mumbai</v>
      </c>
      <c r="J5072" s="23">
        <f>COUNTIFS(pg_transaction_cleaned!$O:$O,A5072,pg_transaction_cleaned!$F:$F,"CAPTURE")</f>
        <v>1</v>
      </c>
      <c r="K5072" s="39">
        <f>SUMIFS(pg_transaction_cleaned!$H:$H,pg_transaction_cleaned!$O:$O,A5072,pg_transaction_cleaned!$F:$F,"CAPTURE")</f>
        <v>349</v>
      </c>
      <c r="L5072" s="23">
        <f>COUNTIFS(pg_transaction_cleaned!$O:$O,A5072,pg_transaction_cleaned!$F:$F,"REFUND")</f>
        <v>0</v>
      </c>
      <c r="M5072" s="39">
        <f>SUMIFS(pg_transaction_cleaned!$H:$H,pg_transaction_cleaned!$O:$O,A5072,pg_transaction_cleaned!$F:$F,"REFUND")</f>
        <v>0</v>
      </c>
      <c r="N5072" s="23" t="str">
        <f t="shared" si="318"/>
        <v>OK</v>
      </c>
      <c r="O5072" s="24">
        <f t="shared" si="319"/>
        <v>0</v>
      </c>
    </row>
    <row r="5073" spans="1:15" ht="15" customHeight="1" x14ac:dyDescent="0.3">
      <c r="A5073" s="23" t="s">
        <v>10590</v>
      </c>
      <c r="B5073" s="38">
        <v>46277</v>
      </c>
      <c r="C5073" s="23" t="s">
        <v>10591</v>
      </c>
      <c r="D5073" s="23" t="s">
        <v>88</v>
      </c>
      <c r="E5073" s="23" t="s">
        <v>79</v>
      </c>
      <c r="F5073" s="23" t="s">
        <v>790</v>
      </c>
      <c r="G5073" s="23" t="s">
        <v>250</v>
      </c>
      <c r="H5073" s="39">
        <f t="shared" si="316"/>
        <v>11497</v>
      </c>
      <c r="I5073" s="23" t="str">
        <f t="shared" si="317"/>
        <v>Lucknow</v>
      </c>
      <c r="J5073" s="23">
        <f>COUNTIFS(pg_transaction_cleaned!$O:$O,A5073,pg_transaction_cleaned!$F:$F,"CAPTURE")</f>
        <v>1</v>
      </c>
      <c r="K5073" s="39">
        <f>SUMIFS(pg_transaction_cleaned!$H:$H,pg_transaction_cleaned!$O:$O,A5073,pg_transaction_cleaned!$F:$F,"CAPTURE")</f>
        <v>11497</v>
      </c>
      <c r="L5073" s="23">
        <f>COUNTIFS(pg_transaction_cleaned!$O:$O,A5073,pg_transaction_cleaned!$F:$F,"REFUND")</f>
        <v>0</v>
      </c>
      <c r="M5073" s="39">
        <f>SUMIFS(pg_transaction_cleaned!$H:$H,pg_transaction_cleaned!$O:$O,A5073,pg_transaction_cleaned!$F:$F,"REFUND")</f>
        <v>0</v>
      </c>
      <c r="N5073" s="23" t="str">
        <f t="shared" si="318"/>
        <v>OK</v>
      </c>
      <c r="O5073" s="24">
        <f t="shared" si="319"/>
        <v>0</v>
      </c>
    </row>
    <row r="5074" spans="1:15" ht="15" customHeight="1" x14ac:dyDescent="0.3">
      <c r="A5074" s="23" t="s">
        <v>10592</v>
      </c>
      <c r="B5074" s="38">
        <v>46267</v>
      </c>
      <c r="C5074" s="23" t="s">
        <v>10593</v>
      </c>
      <c r="D5074" s="23" t="s">
        <v>86</v>
      </c>
      <c r="E5074" s="23" t="s">
        <v>77</v>
      </c>
      <c r="F5074" s="23" t="s">
        <v>1021</v>
      </c>
      <c r="G5074" s="23" t="s">
        <v>250</v>
      </c>
      <c r="H5074" s="39">
        <f t="shared" si="316"/>
        <v>9097</v>
      </c>
      <c r="I5074" s="23" t="str">
        <f t="shared" si="317"/>
        <v>Delhi</v>
      </c>
      <c r="J5074" s="23">
        <f>COUNTIFS(pg_transaction_cleaned!$O:$O,A5074,pg_transaction_cleaned!$F:$F,"CAPTURE")</f>
        <v>1</v>
      </c>
      <c r="K5074" s="39">
        <f>SUMIFS(pg_transaction_cleaned!$H:$H,pg_transaction_cleaned!$O:$O,A5074,pg_transaction_cleaned!$F:$F,"CAPTURE")</f>
        <v>9097</v>
      </c>
      <c r="L5074" s="23">
        <f>COUNTIFS(pg_transaction_cleaned!$O:$O,A5074,pg_transaction_cleaned!$F:$F,"REFUND")</f>
        <v>0</v>
      </c>
      <c r="M5074" s="39">
        <f>SUMIFS(pg_transaction_cleaned!$H:$H,pg_transaction_cleaned!$O:$O,A5074,pg_transaction_cleaned!$F:$F,"REFUND")</f>
        <v>0</v>
      </c>
      <c r="N5074" s="23" t="str">
        <f t="shared" si="318"/>
        <v>OK</v>
      </c>
      <c r="O5074" s="24">
        <f t="shared" si="319"/>
        <v>0</v>
      </c>
    </row>
    <row r="5075" spans="1:15" ht="15" customHeight="1" x14ac:dyDescent="0.3">
      <c r="A5075" s="23" t="s">
        <v>10594</v>
      </c>
      <c r="B5075" s="38">
        <v>46291</v>
      </c>
      <c r="C5075" s="23" t="s">
        <v>10595</v>
      </c>
      <c r="D5075" s="23" t="s">
        <v>88</v>
      </c>
      <c r="E5075" s="23" t="s">
        <v>75</v>
      </c>
      <c r="F5075" s="23" t="s">
        <v>1299</v>
      </c>
      <c r="G5075" s="23" t="s">
        <v>250</v>
      </c>
      <c r="H5075" s="39">
        <f t="shared" si="316"/>
        <v>2097</v>
      </c>
      <c r="I5075" s="23" t="str">
        <f t="shared" si="317"/>
        <v>Lucknow</v>
      </c>
      <c r="J5075" s="23">
        <f>COUNTIFS(pg_transaction_cleaned!$O:$O,A5075,pg_transaction_cleaned!$F:$F,"CAPTURE")</f>
        <v>1</v>
      </c>
      <c r="K5075" s="39">
        <f>SUMIFS(pg_transaction_cleaned!$H:$H,pg_transaction_cleaned!$O:$O,A5075,pg_transaction_cleaned!$F:$F,"CAPTURE")</f>
        <v>2097</v>
      </c>
      <c r="L5075" s="23">
        <f>COUNTIFS(pg_transaction_cleaned!$O:$O,A5075,pg_transaction_cleaned!$F:$F,"REFUND")</f>
        <v>0</v>
      </c>
      <c r="M5075" s="39">
        <f>SUMIFS(pg_transaction_cleaned!$H:$H,pg_transaction_cleaned!$O:$O,A5075,pg_transaction_cleaned!$F:$F,"REFUND")</f>
        <v>0</v>
      </c>
      <c r="N5075" s="23" t="str">
        <f t="shared" si="318"/>
        <v>OK</v>
      </c>
      <c r="O5075" s="24">
        <f t="shared" si="319"/>
        <v>0</v>
      </c>
    </row>
    <row r="5076" spans="1:15" ht="15" customHeight="1" x14ac:dyDescent="0.3">
      <c r="A5076" s="23" t="s">
        <v>10596</v>
      </c>
      <c r="B5076" s="38">
        <v>46268</v>
      </c>
      <c r="C5076" s="23" t="s">
        <v>10597</v>
      </c>
      <c r="D5076" s="23" t="s">
        <v>92</v>
      </c>
      <c r="E5076" s="23" t="s">
        <v>79</v>
      </c>
      <c r="F5076" s="23" t="s">
        <v>329</v>
      </c>
      <c r="G5076" s="23" t="s">
        <v>250</v>
      </c>
      <c r="H5076" s="39">
        <f t="shared" si="316"/>
        <v>599</v>
      </c>
      <c r="I5076" s="23" t="str">
        <f t="shared" si="317"/>
        <v>Hyderabad</v>
      </c>
      <c r="J5076" s="23">
        <f>COUNTIFS(pg_transaction_cleaned!$O:$O,A5076,pg_transaction_cleaned!$F:$F,"CAPTURE")</f>
        <v>1</v>
      </c>
      <c r="K5076" s="39">
        <f>SUMIFS(pg_transaction_cleaned!$H:$H,pg_transaction_cleaned!$O:$O,A5076,pg_transaction_cleaned!$F:$F,"CAPTURE")</f>
        <v>599</v>
      </c>
      <c r="L5076" s="23">
        <f>COUNTIFS(pg_transaction_cleaned!$O:$O,A5076,pg_transaction_cleaned!$F:$F,"REFUND")</f>
        <v>0</v>
      </c>
      <c r="M5076" s="39">
        <f>SUMIFS(pg_transaction_cleaned!$H:$H,pg_transaction_cleaned!$O:$O,A5076,pg_transaction_cleaned!$F:$F,"REFUND")</f>
        <v>0</v>
      </c>
      <c r="N5076" s="23" t="str">
        <f t="shared" si="318"/>
        <v>OK</v>
      </c>
      <c r="O5076" s="24">
        <f t="shared" si="319"/>
        <v>0</v>
      </c>
    </row>
    <row r="5077" spans="1:15" ht="15" customHeight="1" x14ac:dyDescent="0.3">
      <c r="A5077" s="23" t="s">
        <v>10598</v>
      </c>
      <c r="B5077" s="38">
        <v>46291</v>
      </c>
      <c r="C5077" s="23" t="s">
        <v>10599</v>
      </c>
      <c r="D5077" s="23" t="s">
        <v>88</v>
      </c>
      <c r="E5077" s="23" t="s">
        <v>75</v>
      </c>
      <c r="F5077" s="23" t="s">
        <v>346</v>
      </c>
      <c r="G5077" s="23" t="s">
        <v>250</v>
      </c>
      <c r="H5077" s="39">
        <f t="shared" si="316"/>
        <v>4498</v>
      </c>
      <c r="I5077" s="23" t="str">
        <f t="shared" si="317"/>
        <v>Lucknow</v>
      </c>
      <c r="J5077" s="23">
        <f>COUNTIFS(pg_transaction_cleaned!$O:$O,A5077,pg_transaction_cleaned!$F:$F,"CAPTURE")</f>
        <v>1</v>
      </c>
      <c r="K5077" s="39">
        <f>SUMIFS(pg_transaction_cleaned!$H:$H,pg_transaction_cleaned!$O:$O,A5077,pg_transaction_cleaned!$F:$F,"CAPTURE")</f>
        <v>4498</v>
      </c>
      <c r="L5077" s="23">
        <f>COUNTIFS(pg_transaction_cleaned!$O:$O,A5077,pg_transaction_cleaned!$F:$F,"REFUND")</f>
        <v>0</v>
      </c>
      <c r="M5077" s="39">
        <f>SUMIFS(pg_transaction_cleaned!$H:$H,pg_transaction_cleaned!$O:$O,A5077,pg_transaction_cleaned!$F:$F,"REFUND")</f>
        <v>0</v>
      </c>
      <c r="N5077" s="23" t="str">
        <f t="shared" si="318"/>
        <v>OK</v>
      </c>
      <c r="O5077" s="24">
        <f t="shared" si="319"/>
        <v>0</v>
      </c>
    </row>
    <row r="5078" spans="1:15" ht="15" customHeight="1" x14ac:dyDescent="0.3">
      <c r="A5078" s="23" t="s">
        <v>10600</v>
      </c>
      <c r="B5078" s="38">
        <v>46279</v>
      </c>
      <c r="C5078" s="23" t="s">
        <v>10601</v>
      </c>
      <c r="D5078" s="23" t="s">
        <v>95</v>
      </c>
      <c r="E5078" s="23" t="s">
        <v>75</v>
      </c>
      <c r="F5078" s="23" t="s">
        <v>2364</v>
      </c>
      <c r="G5078" s="23" t="s">
        <v>250</v>
      </c>
      <c r="H5078" s="39">
        <f t="shared" si="316"/>
        <v>3297</v>
      </c>
      <c r="I5078" s="23" t="str">
        <f t="shared" si="317"/>
        <v>Bengaluru</v>
      </c>
      <c r="J5078" s="23">
        <f>COUNTIFS(pg_transaction_cleaned!$O:$O,A5078,pg_transaction_cleaned!$F:$F,"CAPTURE")</f>
        <v>1</v>
      </c>
      <c r="K5078" s="39">
        <f>SUMIFS(pg_transaction_cleaned!$H:$H,pg_transaction_cleaned!$O:$O,A5078,pg_transaction_cleaned!$F:$F,"CAPTURE")</f>
        <v>3297</v>
      </c>
      <c r="L5078" s="23">
        <f>COUNTIFS(pg_transaction_cleaned!$O:$O,A5078,pg_transaction_cleaned!$F:$F,"REFUND")</f>
        <v>0</v>
      </c>
      <c r="M5078" s="39">
        <f>SUMIFS(pg_transaction_cleaned!$H:$H,pg_transaction_cleaned!$O:$O,A5078,pg_transaction_cleaned!$F:$F,"REFUND")</f>
        <v>0</v>
      </c>
      <c r="N5078" s="23" t="str">
        <f t="shared" si="318"/>
        <v>OK</v>
      </c>
      <c r="O5078" s="24">
        <f t="shared" si="319"/>
        <v>0</v>
      </c>
    </row>
    <row r="5079" spans="1:15" ht="15" customHeight="1" x14ac:dyDescent="0.3">
      <c r="A5079" s="23" t="s">
        <v>10602</v>
      </c>
      <c r="B5079" s="38">
        <v>46275</v>
      </c>
      <c r="C5079" s="23" t="s">
        <v>10603</v>
      </c>
      <c r="D5079" s="23" t="s">
        <v>88</v>
      </c>
      <c r="E5079" s="23" t="s">
        <v>75</v>
      </c>
      <c r="F5079" s="23" t="s">
        <v>274</v>
      </c>
      <c r="G5079" s="23" t="s">
        <v>250</v>
      </c>
      <c r="H5079" s="39">
        <f t="shared" si="316"/>
        <v>349</v>
      </c>
      <c r="I5079" s="23" t="str">
        <f t="shared" si="317"/>
        <v>Lucknow</v>
      </c>
      <c r="J5079" s="23">
        <f>COUNTIFS(pg_transaction_cleaned!$O:$O,A5079,pg_transaction_cleaned!$F:$F,"CAPTURE")</f>
        <v>1</v>
      </c>
      <c r="K5079" s="39">
        <f>SUMIFS(pg_transaction_cleaned!$H:$H,pg_transaction_cleaned!$O:$O,A5079,pg_transaction_cleaned!$F:$F,"CAPTURE")</f>
        <v>349</v>
      </c>
      <c r="L5079" s="23">
        <f>COUNTIFS(pg_transaction_cleaned!$O:$O,A5079,pg_transaction_cleaned!$F:$F,"REFUND")</f>
        <v>0</v>
      </c>
      <c r="M5079" s="39">
        <f>SUMIFS(pg_transaction_cleaned!$H:$H,pg_transaction_cleaned!$O:$O,A5079,pg_transaction_cleaned!$F:$F,"REFUND")</f>
        <v>0</v>
      </c>
      <c r="N5079" s="23" t="str">
        <f t="shared" si="318"/>
        <v>OK</v>
      </c>
      <c r="O5079" s="24">
        <f t="shared" si="319"/>
        <v>0</v>
      </c>
    </row>
    <row r="5080" spans="1:15" ht="15" customHeight="1" x14ac:dyDescent="0.3">
      <c r="A5080" s="23" t="s">
        <v>10604</v>
      </c>
      <c r="B5080" s="38">
        <v>46268</v>
      </c>
      <c r="C5080" s="23" t="s">
        <v>10605</v>
      </c>
      <c r="D5080" s="23" t="s">
        <v>92</v>
      </c>
      <c r="E5080" s="23" t="s">
        <v>75</v>
      </c>
      <c r="F5080" s="23" t="s">
        <v>3945</v>
      </c>
      <c r="G5080" s="23" t="s">
        <v>250</v>
      </c>
      <c r="H5080" s="39">
        <f t="shared" si="316"/>
        <v>5897</v>
      </c>
      <c r="I5080" s="23" t="str">
        <f t="shared" si="317"/>
        <v>Hyderabad</v>
      </c>
      <c r="J5080" s="23">
        <f>COUNTIFS(pg_transaction_cleaned!$O:$O,A5080,pg_transaction_cleaned!$F:$F,"CAPTURE")</f>
        <v>1</v>
      </c>
      <c r="K5080" s="39">
        <f>SUMIFS(pg_transaction_cleaned!$H:$H,pg_transaction_cleaned!$O:$O,A5080,pg_transaction_cleaned!$F:$F,"CAPTURE")</f>
        <v>5897</v>
      </c>
      <c r="L5080" s="23">
        <f>COUNTIFS(pg_transaction_cleaned!$O:$O,A5080,pg_transaction_cleaned!$F:$F,"REFUND")</f>
        <v>0</v>
      </c>
      <c r="M5080" s="39">
        <f>SUMIFS(pg_transaction_cleaned!$H:$H,pg_transaction_cleaned!$O:$O,A5080,pg_transaction_cleaned!$F:$F,"REFUND")</f>
        <v>0</v>
      </c>
      <c r="N5080" s="23" t="str">
        <f t="shared" si="318"/>
        <v>OK</v>
      </c>
      <c r="O5080" s="24">
        <f t="shared" si="319"/>
        <v>0</v>
      </c>
    </row>
    <row r="5081" spans="1:15" ht="15" customHeight="1" x14ac:dyDescent="0.3">
      <c r="A5081" s="23" t="s">
        <v>10606</v>
      </c>
      <c r="B5081" s="38">
        <v>46284</v>
      </c>
      <c r="C5081" s="23" t="s">
        <v>10607</v>
      </c>
      <c r="D5081" s="23" t="s">
        <v>87</v>
      </c>
      <c r="E5081" s="23" t="s">
        <v>79</v>
      </c>
      <c r="F5081" s="23" t="s">
        <v>294</v>
      </c>
      <c r="G5081" s="23" t="s">
        <v>250</v>
      </c>
      <c r="H5081" s="39">
        <f t="shared" si="316"/>
        <v>1799</v>
      </c>
      <c r="I5081" s="23" t="str">
        <f t="shared" si="317"/>
        <v>Mumbai</v>
      </c>
      <c r="J5081" s="23">
        <f>COUNTIFS(pg_transaction_cleaned!$O:$O,A5081,pg_transaction_cleaned!$F:$F,"CAPTURE")</f>
        <v>1</v>
      </c>
      <c r="K5081" s="39">
        <f>SUMIFS(pg_transaction_cleaned!$H:$H,pg_transaction_cleaned!$O:$O,A5081,pg_transaction_cleaned!$F:$F,"CAPTURE")</f>
        <v>1799</v>
      </c>
      <c r="L5081" s="23">
        <f>COUNTIFS(pg_transaction_cleaned!$O:$O,A5081,pg_transaction_cleaned!$F:$F,"REFUND")</f>
        <v>0</v>
      </c>
      <c r="M5081" s="39">
        <f>SUMIFS(pg_transaction_cleaned!$H:$H,pg_transaction_cleaned!$O:$O,A5081,pg_transaction_cleaned!$F:$F,"REFUND")</f>
        <v>0</v>
      </c>
      <c r="N5081" s="23" t="str">
        <f t="shared" si="318"/>
        <v>OK</v>
      </c>
      <c r="O5081" s="24">
        <f t="shared" si="319"/>
        <v>0</v>
      </c>
    </row>
    <row r="5082" spans="1:15" ht="15" customHeight="1" x14ac:dyDescent="0.3">
      <c r="A5082" s="23" t="s">
        <v>10608</v>
      </c>
      <c r="B5082" s="38">
        <v>46283</v>
      </c>
      <c r="C5082" s="23" t="s">
        <v>10609</v>
      </c>
      <c r="D5082" s="23" t="s">
        <v>93</v>
      </c>
      <c r="E5082" s="23" t="s">
        <v>79</v>
      </c>
      <c r="F5082" s="23" t="s">
        <v>772</v>
      </c>
      <c r="G5082" s="23" t="s">
        <v>250</v>
      </c>
      <c r="H5082" s="39">
        <f t="shared" si="316"/>
        <v>4798</v>
      </c>
      <c r="I5082" s="23" t="str">
        <f t="shared" si="317"/>
        <v>Kolkata</v>
      </c>
      <c r="J5082" s="23">
        <f>COUNTIFS(pg_transaction_cleaned!$O:$O,A5082,pg_transaction_cleaned!$F:$F,"CAPTURE")</f>
        <v>1</v>
      </c>
      <c r="K5082" s="39">
        <f>SUMIFS(pg_transaction_cleaned!$H:$H,pg_transaction_cleaned!$O:$O,A5082,pg_transaction_cleaned!$F:$F,"CAPTURE")</f>
        <v>4798</v>
      </c>
      <c r="L5082" s="23">
        <f>COUNTIFS(pg_transaction_cleaned!$O:$O,A5082,pg_transaction_cleaned!$F:$F,"REFUND")</f>
        <v>0</v>
      </c>
      <c r="M5082" s="39">
        <f>SUMIFS(pg_transaction_cleaned!$H:$H,pg_transaction_cleaned!$O:$O,A5082,pg_transaction_cleaned!$F:$F,"REFUND")</f>
        <v>0</v>
      </c>
      <c r="N5082" s="23" t="str">
        <f t="shared" si="318"/>
        <v>OK</v>
      </c>
      <c r="O5082" s="24">
        <f t="shared" si="319"/>
        <v>0</v>
      </c>
    </row>
    <row r="5083" spans="1:15" ht="15" customHeight="1" x14ac:dyDescent="0.3">
      <c r="A5083" s="23" t="s">
        <v>10610</v>
      </c>
      <c r="B5083" s="38">
        <v>46275</v>
      </c>
      <c r="C5083" s="23" t="s">
        <v>10611</v>
      </c>
      <c r="D5083" s="23" t="s">
        <v>88</v>
      </c>
      <c r="E5083" s="23" t="s">
        <v>81</v>
      </c>
      <c r="F5083" s="23" t="s">
        <v>262</v>
      </c>
      <c r="G5083" s="23" t="s">
        <v>250</v>
      </c>
      <c r="H5083" s="39">
        <f t="shared" si="316"/>
        <v>499</v>
      </c>
      <c r="I5083" s="23" t="str">
        <f t="shared" si="317"/>
        <v>Lucknow</v>
      </c>
      <c r="J5083" s="23">
        <f>COUNTIFS(pg_transaction_cleaned!$O:$O,A5083,pg_transaction_cleaned!$F:$F,"CAPTURE")</f>
        <v>1</v>
      </c>
      <c r="K5083" s="39">
        <f>SUMIFS(pg_transaction_cleaned!$H:$H,pg_transaction_cleaned!$O:$O,A5083,pg_transaction_cleaned!$F:$F,"CAPTURE")</f>
        <v>499</v>
      </c>
      <c r="L5083" s="23">
        <f>COUNTIFS(pg_transaction_cleaned!$O:$O,A5083,pg_transaction_cleaned!$F:$F,"REFUND")</f>
        <v>0</v>
      </c>
      <c r="M5083" s="39">
        <f>SUMIFS(pg_transaction_cleaned!$H:$H,pg_transaction_cleaned!$O:$O,A5083,pg_transaction_cleaned!$F:$F,"REFUND")</f>
        <v>0</v>
      </c>
      <c r="N5083" s="23" t="str">
        <f t="shared" si="318"/>
        <v>OK</v>
      </c>
      <c r="O5083" s="24">
        <f t="shared" si="319"/>
        <v>0</v>
      </c>
    </row>
    <row r="5084" spans="1:15" ht="15" customHeight="1" x14ac:dyDescent="0.3">
      <c r="A5084" s="23" t="s">
        <v>10612</v>
      </c>
      <c r="B5084" s="38">
        <v>46293</v>
      </c>
      <c r="C5084" s="23" t="s">
        <v>10613</v>
      </c>
      <c r="D5084" s="23" t="s">
        <v>94</v>
      </c>
      <c r="E5084" s="23" t="s">
        <v>79</v>
      </c>
      <c r="F5084" s="23" t="s">
        <v>256</v>
      </c>
      <c r="G5084" s="23" t="s">
        <v>250</v>
      </c>
      <c r="H5084" s="39">
        <f t="shared" si="316"/>
        <v>2098</v>
      </c>
      <c r="I5084" s="23" t="str">
        <f t="shared" si="317"/>
        <v>Chennai</v>
      </c>
      <c r="J5084" s="23">
        <f>COUNTIFS(pg_transaction_cleaned!$O:$O,A5084,pg_transaction_cleaned!$F:$F,"CAPTURE")</f>
        <v>1</v>
      </c>
      <c r="K5084" s="39">
        <f>SUMIFS(pg_transaction_cleaned!$H:$H,pg_transaction_cleaned!$O:$O,A5084,pg_transaction_cleaned!$F:$F,"CAPTURE")</f>
        <v>2098</v>
      </c>
      <c r="L5084" s="23">
        <f>COUNTIFS(pg_transaction_cleaned!$O:$O,A5084,pg_transaction_cleaned!$F:$F,"REFUND")</f>
        <v>0</v>
      </c>
      <c r="M5084" s="39">
        <f>SUMIFS(pg_transaction_cleaned!$H:$H,pg_transaction_cleaned!$O:$O,A5084,pg_transaction_cleaned!$F:$F,"REFUND")</f>
        <v>0</v>
      </c>
      <c r="N5084" s="23" t="str">
        <f t="shared" si="318"/>
        <v>OK</v>
      </c>
      <c r="O5084" s="24">
        <f t="shared" si="319"/>
        <v>0</v>
      </c>
    </row>
    <row r="5085" spans="1:15" ht="15" customHeight="1" x14ac:dyDescent="0.3">
      <c r="A5085" s="23" t="s">
        <v>10614</v>
      </c>
      <c r="B5085" s="38">
        <v>46278</v>
      </c>
      <c r="C5085" s="23" t="s">
        <v>10615</v>
      </c>
      <c r="D5085" s="23" t="s">
        <v>95</v>
      </c>
      <c r="E5085" s="23" t="s">
        <v>75</v>
      </c>
      <c r="F5085" s="23" t="s">
        <v>827</v>
      </c>
      <c r="G5085" s="23" t="s">
        <v>250</v>
      </c>
      <c r="H5085" s="39">
        <f t="shared" si="316"/>
        <v>11498</v>
      </c>
      <c r="I5085" s="23" t="str">
        <f t="shared" si="317"/>
        <v>Bengaluru</v>
      </c>
      <c r="J5085" s="23">
        <f>COUNTIFS(pg_transaction_cleaned!$O:$O,A5085,pg_transaction_cleaned!$F:$F,"CAPTURE")</f>
        <v>1</v>
      </c>
      <c r="K5085" s="39">
        <f>SUMIFS(pg_transaction_cleaned!$H:$H,pg_transaction_cleaned!$O:$O,A5085,pg_transaction_cleaned!$F:$F,"CAPTURE")</f>
        <v>11498</v>
      </c>
      <c r="L5085" s="23">
        <f>COUNTIFS(pg_transaction_cleaned!$O:$O,A5085,pg_transaction_cleaned!$F:$F,"REFUND")</f>
        <v>0</v>
      </c>
      <c r="M5085" s="39">
        <f>SUMIFS(pg_transaction_cleaned!$H:$H,pg_transaction_cleaned!$O:$O,A5085,pg_transaction_cleaned!$F:$F,"REFUND")</f>
        <v>0</v>
      </c>
      <c r="N5085" s="23" t="str">
        <f t="shared" si="318"/>
        <v>OK</v>
      </c>
      <c r="O5085" s="24">
        <f t="shared" si="319"/>
        <v>0</v>
      </c>
    </row>
    <row r="5086" spans="1:15" ht="15" customHeight="1" x14ac:dyDescent="0.3">
      <c r="A5086" s="23" t="s">
        <v>10616</v>
      </c>
      <c r="B5086" s="38">
        <v>46290</v>
      </c>
      <c r="C5086" s="23" t="s">
        <v>2070</v>
      </c>
      <c r="D5086" s="23" t="s">
        <v>91</v>
      </c>
      <c r="E5086" s="23" t="s">
        <v>75</v>
      </c>
      <c r="F5086" s="23" t="s">
        <v>675</v>
      </c>
      <c r="G5086" s="23" t="s">
        <v>250</v>
      </c>
      <c r="H5086" s="39">
        <f t="shared" si="316"/>
        <v>10998</v>
      </c>
      <c r="I5086" s="23" t="str">
        <f t="shared" si="317"/>
        <v>Pune</v>
      </c>
      <c r="J5086" s="23">
        <f>COUNTIFS(pg_transaction_cleaned!$O:$O,A5086,pg_transaction_cleaned!$F:$F,"CAPTURE")</f>
        <v>1</v>
      </c>
      <c r="K5086" s="39">
        <f>SUMIFS(pg_transaction_cleaned!$H:$H,pg_transaction_cleaned!$O:$O,A5086,pg_transaction_cleaned!$F:$F,"CAPTURE")</f>
        <v>10998</v>
      </c>
      <c r="L5086" s="23">
        <f>COUNTIFS(pg_transaction_cleaned!$O:$O,A5086,pg_transaction_cleaned!$F:$F,"REFUND")</f>
        <v>0</v>
      </c>
      <c r="M5086" s="39">
        <f>SUMIFS(pg_transaction_cleaned!$H:$H,pg_transaction_cleaned!$O:$O,A5086,pg_transaction_cleaned!$F:$F,"REFUND")</f>
        <v>0</v>
      </c>
      <c r="N5086" s="23" t="str">
        <f t="shared" si="318"/>
        <v>OK</v>
      </c>
      <c r="O5086" s="24">
        <f t="shared" si="319"/>
        <v>0</v>
      </c>
    </row>
    <row r="5087" spans="1:15" ht="15" customHeight="1" x14ac:dyDescent="0.3">
      <c r="A5087" s="23" t="s">
        <v>10617</v>
      </c>
      <c r="B5087" s="38">
        <v>46295</v>
      </c>
      <c r="C5087" s="23" t="s">
        <v>10618</v>
      </c>
      <c r="D5087" s="23" t="s">
        <v>88</v>
      </c>
      <c r="E5087" s="23" t="s">
        <v>75</v>
      </c>
      <c r="F5087" s="23" t="s">
        <v>352</v>
      </c>
      <c r="G5087" s="23" t="s">
        <v>250</v>
      </c>
      <c r="H5087" s="39">
        <f t="shared" si="316"/>
        <v>648</v>
      </c>
      <c r="I5087" s="23" t="str">
        <f t="shared" si="317"/>
        <v>Lucknow</v>
      </c>
      <c r="J5087" s="23">
        <f>COUNTIFS(pg_transaction_cleaned!$O:$O,A5087,pg_transaction_cleaned!$F:$F,"CAPTURE")</f>
        <v>1</v>
      </c>
      <c r="K5087" s="39">
        <f>SUMIFS(pg_transaction_cleaned!$H:$H,pg_transaction_cleaned!$O:$O,A5087,pg_transaction_cleaned!$F:$F,"CAPTURE")</f>
        <v>648</v>
      </c>
      <c r="L5087" s="23">
        <f>COUNTIFS(pg_transaction_cleaned!$O:$O,A5087,pg_transaction_cleaned!$F:$F,"REFUND")</f>
        <v>0</v>
      </c>
      <c r="M5087" s="39">
        <f>SUMIFS(pg_transaction_cleaned!$H:$H,pg_transaction_cleaned!$O:$O,A5087,pg_transaction_cleaned!$F:$F,"REFUND")</f>
        <v>0</v>
      </c>
      <c r="N5087" s="23" t="str">
        <f t="shared" si="318"/>
        <v>OK</v>
      </c>
      <c r="O5087" s="24">
        <f t="shared" si="319"/>
        <v>0</v>
      </c>
    </row>
    <row r="5088" spans="1:15" ht="15" customHeight="1" x14ac:dyDescent="0.3">
      <c r="A5088" s="23" t="s">
        <v>10619</v>
      </c>
      <c r="B5088" s="38">
        <v>46268</v>
      </c>
      <c r="C5088" s="23" t="s">
        <v>10620</v>
      </c>
      <c r="D5088" s="23" t="s">
        <v>94</v>
      </c>
      <c r="E5088" s="23" t="s">
        <v>75</v>
      </c>
      <c r="F5088" s="23" t="s">
        <v>1762</v>
      </c>
      <c r="G5088" s="23" t="s">
        <v>250</v>
      </c>
      <c r="H5088" s="39">
        <f t="shared" si="316"/>
        <v>2148</v>
      </c>
      <c r="I5088" s="23" t="str">
        <f t="shared" si="317"/>
        <v>Chennai</v>
      </c>
      <c r="J5088" s="23">
        <f>COUNTIFS(pg_transaction_cleaned!$O:$O,A5088,pg_transaction_cleaned!$F:$F,"CAPTURE")</f>
        <v>1</v>
      </c>
      <c r="K5088" s="39">
        <f>SUMIFS(pg_transaction_cleaned!$H:$H,pg_transaction_cleaned!$O:$O,A5088,pg_transaction_cleaned!$F:$F,"CAPTURE")</f>
        <v>2148</v>
      </c>
      <c r="L5088" s="23">
        <f>COUNTIFS(pg_transaction_cleaned!$O:$O,A5088,pg_transaction_cleaned!$F:$F,"REFUND")</f>
        <v>0</v>
      </c>
      <c r="M5088" s="39">
        <f>SUMIFS(pg_transaction_cleaned!$H:$H,pg_transaction_cleaned!$O:$O,A5088,pg_transaction_cleaned!$F:$F,"REFUND")</f>
        <v>0</v>
      </c>
      <c r="N5088" s="23" t="str">
        <f t="shared" si="318"/>
        <v>OK</v>
      </c>
      <c r="O5088" s="24">
        <f t="shared" si="319"/>
        <v>0</v>
      </c>
    </row>
    <row r="5089" spans="1:15" ht="15" customHeight="1" x14ac:dyDescent="0.3">
      <c r="A5089" s="23" t="s">
        <v>10621</v>
      </c>
      <c r="B5089" s="38">
        <v>46292</v>
      </c>
      <c r="C5089" s="23" t="s">
        <v>10622</v>
      </c>
      <c r="D5089" s="23" t="s">
        <v>87</v>
      </c>
      <c r="E5089" s="23" t="s">
        <v>75</v>
      </c>
      <c r="F5089" s="23" t="s">
        <v>274</v>
      </c>
      <c r="G5089" s="23" t="s">
        <v>250</v>
      </c>
      <c r="H5089" s="39">
        <f t="shared" si="316"/>
        <v>349</v>
      </c>
      <c r="I5089" s="23" t="str">
        <f t="shared" si="317"/>
        <v>Mumbai</v>
      </c>
      <c r="J5089" s="23">
        <f>COUNTIFS(pg_transaction_cleaned!$O:$O,A5089,pg_transaction_cleaned!$F:$F,"CAPTURE")</f>
        <v>1</v>
      </c>
      <c r="K5089" s="39">
        <f>SUMIFS(pg_transaction_cleaned!$H:$H,pg_transaction_cleaned!$O:$O,A5089,pg_transaction_cleaned!$F:$F,"CAPTURE")</f>
        <v>349</v>
      </c>
      <c r="L5089" s="23">
        <f>COUNTIFS(pg_transaction_cleaned!$O:$O,A5089,pg_transaction_cleaned!$F:$F,"REFUND")</f>
        <v>0</v>
      </c>
      <c r="M5089" s="39">
        <f>SUMIFS(pg_transaction_cleaned!$H:$H,pg_transaction_cleaned!$O:$O,A5089,pg_transaction_cleaned!$F:$F,"REFUND")</f>
        <v>0</v>
      </c>
      <c r="N5089" s="23" t="str">
        <f t="shared" si="318"/>
        <v>OK</v>
      </c>
      <c r="O5089" s="24">
        <f t="shared" si="319"/>
        <v>0</v>
      </c>
    </row>
    <row r="5090" spans="1:15" ht="15" customHeight="1" x14ac:dyDescent="0.3">
      <c r="A5090" s="23" t="s">
        <v>10623</v>
      </c>
      <c r="B5090" s="38">
        <v>46290</v>
      </c>
      <c r="C5090" s="23" t="s">
        <v>10624</v>
      </c>
      <c r="D5090" s="23" t="s">
        <v>93</v>
      </c>
      <c r="E5090" s="23" t="s">
        <v>75</v>
      </c>
      <c r="F5090" s="23" t="s">
        <v>475</v>
      </c>
      <c r="G5090" s="23" t="s">
        <v>318</v>
      </c>
      <c r="H5090" s="39">
        <f t="shared" si="316"/>
        <v>799</v>
      </c>
      <c r="I5090" s="23" t="str">
        <f t="shared" si="317"/>
        <v>Kolkata</v>
      </c>
      <c r="J5090" s="23">
        <f>COUNTIFS(pg_transaction_cleaned!$O:$O,A5090,pg_transaction_cleaned!$F:$F,"CAPTURE")</f>
        <v>0</v>
      </c>
      <c r="K5090" s="39">
        <f>SUMIFS(pg_transaction_cleaned!$H:$H,pg_transaction_cleaned!$O:$O,A5090,pg_transaction_cleaned!$F:$F,"CAPTURE")</f>
        <v>0</v>
      </c>
      <c r="L5090" s="23">
        <f>COUNTIFS(pg_transaction_cleaned!$O:$O,A5090,pg_transaction_cleaned!$F:$F,"REFUND")</f>
        <v>0</v>
      </c>
      <c r="M5090" s="39">
        <f>SUMIFS(pg_transaction_cleaned!$H:$H,pg_transaction_cleaned!$O:$O,A5090,pg_transaction_cleaned!$F:$F,"REFUND")</f>
        <v>0</v>
      </c>
      <c r="N5090" s="23" t="str">
        <f t="shared" si="318"/>
        <v>OK</v>
      </c>
      <c r="O5090" s="24">
        <f t="shared" si="319"/>
        <v>0</v>
      </c>
    </row>
    <row r="5091" spans="1:15" ht="15" customHeight="1" x14ac:dyDescent="0.3">
      <c r="A5091" s="23" t="s">
        <v>10625</v>
      </c>
      <c r="B5091" s="38">
        <v>46266</v>
      </c>
      <c r="C5091" s="23" t="s">
        <v>10626</v>
      </c>
      <c r="D5091" s="23" t="s">
        <v>94</v>
      </c>
      <c r="E5091" s="23" t="s">
        <v>75</v>
      </c>
      <c r="F5091" s="23" t="s">
        <v>1769</v>
      </c>
      <c r="G5091" s="23" t="s">
        <v>365</v>
      </c>
      <c r="H5091" s="39">
        <f t="shared" si="316"/>
        <v>1148</v>
      </c>
      <c r="I5091" s="23" t="str">
        <f t="shared" si="317"/>
        <v>Chennai</v>
      </c>
      <c r="J5091" s="23">
        <f>COUNTIFS(pg_transaction_cleaned!$O:$O,A5091,pg_transaction_cleaned!$F:$F,"CAPTURE")</f>
        <v>0</v>
      </c>
      <c r="K5091" s="39">
        <f>SUMIFS(pg_transaction_cleaned!$H:$H,pg_transaction_cleaned!$O:$O,A5091,pg_transaction_cleaned!$F:$F,"CAPTURE")</f>
        <v>0</v>
      </c>
      <c r="L5091" s="23">
        <f>COUNTIFS(pg_transaction_cleaned!$O:$O,A5091,pg_transaction_cleaned!$F:$F,"REFUND")</f>
        <v>0</v>
      </c>
      <c r="M5091" s="39">
        <f>SUMIFS(pg_transaction_cleaned!$H:$H,pg_transaction_cleaned!$O:$O,A5091,pg_transaction_cleaned!$F:$F,"REFUND")</f>
        <v>0</v>
      </c>
      <c r="N5091" s="23" t="str">
        <f t="shared" si="318"/>
        <v>OK</v>
      </c>
      <c r="O5091" s="24">
        <f t="shared" si="319"/>
        <v>0</v>
      </c>
    </row>
    <row r="5092" spans="1:15" ht="15" customHeight="1" x14ac:dyDescent="0.3">
      <c r="A5092" s="23" t="s">
        <v>10627</v>
      </c>
      <c r="B5092" s="38">
        <v>46267</v>
      </c>
      <c r="C5092" s="23" t="s">
        <v>10628</v>
      </c>
      <c r="D5092" s="23"/>
      <c r="E5092" s="23" t="s">
        <v>75</v>
      </c>
      <c r="F5092" s="23" t="s">
        <v>3874</v>
      </c>
      <c r="G5092" s="23" t="s">
        <v>250</v>
      </c>
      <c r="H5092" s="39">
        <f t="shared" si="316"/>
        <v>3997</v>
      </c>
      <c r="I5092" s="23" t="str">
        <f t="shared" si="317"/>
        <v>Unknown</v>
      </c>
      <c r="J5092" s="23">
        <f>COUNTIFS(pg_transaction_cleaned!$O:$O,A5092,pg_transaction_cleaned!$F:$F,"CAPTURE")</f>
        <v>1</v>
      </c>
      <c r="K5092" s="39">
        <f>SUMIFS(pg_transaction_cleaned!$H:$H,pg_transaction_cleaned!$O:$O,A5092,pg_transaction_cleaned!$F:$F,"CAPTURE")</f>
        <v>3997</v>
      </c>
      <c r="L5092" s="23">
        <f>COUNTIFS(pg_transaction_cleaned!$O:$O,A5092,pg_transaction_cleaned!$F:$F,"REFUND")</f>
        <v>0</v>
      </c>
      <c r="M5092" s="39">
        <f>SUMIFS(pg_transaction_cleaned!$H:$H,pg_transaction_cleaned!$O:$O,A5092,pg_transaction_cleaned!$F:$F,"REFUND")</f>
        <v>0</v>
      </c>
      <c r="N5092" s="23" t="str">
        <f t="shared" si="318"/>
        <v>OK</v>
      </c>
      <c r="O5092" s="24">
        <f t="shared" si="319"/>
        <v>0</v>
      </c>
    </row>
    <row r="5093" spans="1:15" ht="15" customHeight="1" x14ac:dyDescent="0.3">
      <c r="A5093" s="23" t="s">
        <v>10629</v>
      </c>
      <c r="B5093" s="38">
        <v>46270</v>
      </c>
      <c r="C5093" s="23" t="s">
        <v>10630</v>
      </c>
      <c r="D5093" s="23" t="s">
        <v>91</v>
      </c>
      <c r="E5093" s="23" t="s">
        <v>79</v>
      </c>
      <c r="F5093" s="23" t="s">
        <v>274</v>
      </c>
      <c r="G5093" s="23" t="s">
        <v>250</v>
      </c>
      <c r="H5093" s="39">
        <f t="shared" si="316"/>
        <v>349</v>
      </c>
      <c r="I5093" s="23" t="str">
        <f t="shared" si="317"/>
        <v>Pune</v>
      </c>
      <c r="J5093" s="23">
        <f>COUNTIFS(pg_transaction_cleaned!$O:$O,A5093,pg_transaction_cleaned!$F:$F,"CAPTURE")</f>
        <v>1</v>
      </c>
      <c r="K5093" s="39">
        <f>SUMIFS(pg_transaction_cleaned!$H:$H,pg_transaction_cleaned!$O:$O,A5093,pg_transaction_cleaned!$F:$F,"CAPTURE")</f>
        <v>349</v>
      </c>
      <c r="L5093" s="23">
        <f>COUNTIFS(pg_transaction_cleaned!$O:$O,A5093,pg_transaction_cleaned!$F:$F,"REFUND")</f>
        <v>0</v>
      </c>
      <c r="M5093" s="39">
        <f>SUMIFS(pg_transaction_cleaned!$H:$H,pg_transaction_cleaned!$O:$O,A5093,pg_transaction_cleaned!$F:$F,"REFUND")</f>
        <v>0</v>
      </c>
      <c r="N5093" s="23" t="str">
        <f t="shared" si="318"/>
        <v>OK</v>
      </c>
      <c r="O5093" s="24">
        <f t="shared" si="319"/>
        <v>0</v>
      </c>
    </row>
    <row r="5094" spans="1:15" ht="15" customHeight="1" x14ac:dyDescent="0.3">
      <c r="A5094" s="23" t="s">
        <v>10631</v>
      </c>
      <c r="B5094" s="38">
        <v>46278</v>
      </c>
      <c r="C5094" s="23" t="s">
        <v>10632</v>
      </c>
      <c r="D5094" s="23" t="s">
        <v>89</v>
      </c>
      <c r="E5094" s="23" t="s">
        <v>75</v>
      </c>
      <c r="F5094" s="23" t="s">
        <v>310</v>
      </c>
      <c r="G5094" s="23" t="s">
        <v>250</v>
      </c>
      <c r="H5094" s="39">
        <f t="shared" si="316"/>
        <v>7999</v>
      </c>
      <c r="I5094" s="23" t="str">
        <f t="shared" si="317"/>
        <v>Jaipur</v>
      </c>
      <c r="J5094" s="23">
        <f>COUNTIFS(pg_transaction_cleaned!$O:$O,A5094,pg_transaction_cleaned!$F:$F,"CAPTURE")</f>
        <v>1</v>
      </c>
      <c r="K5094" s="39">
        <f>SUMIFS(pg_transaction_cleaned!$H:$H,pg_transaction_cleaned!$O:$O,A5094,pg_transaction_cleaned!$F:$F,"CAPTURE")</f>
        <v>7999</v>
      </c>
      <c r="L5094" s="23">
        <f>COUNTIFS(pg_transaction_cleaned!$O:$O,A5094,pg_transaction_cleaned!$F:$F,"REFUND")</f>
        <v>0</v>
      </c>
      <c r="M5094" s="39">
        <f>SUMIFS(pg_transaction_cleaned!$H:$H,pg_transaction_cleaned!$O:$O,A5094,pg_transaction_cleaned!$F:$F,"REFUND")</f>
        <v>0</v>
      </c>
      <c r="N5094" s="23" t="str">
        <f t="shared" si="318"/>
        <v>OK</v>
      </c>
      <c r="O5094" s="24">
        <f t="shared" si="319"/>
        <v>0</v>
      </c>
    </row>
    <row r="5095" spans="1:15" ht="15" customHeight="1" x14ac:dyDescent="0.3">
      <c r="A5095" s="23" t="s">
        <v>10633</v>
      </c>
      <c r="B5095" s="38">
        <v>46289</v>
      </c>
      <c r="C5095" s="23" t="s">
        <v>10634</v>
      </c>
      <c r="D5095" s="23" t="s">
        <v>94</v>
      </c>
      <c r="E5095" s="23" t="s">
        <v>81</v>
      </c>
      <c r="F5095" s="23" t="s">
        <v>274</v>
      </c>
      <c r="G5095" s="23" t="s">
        <v>250</v>
      </c>
      <c r="H5095" s="39">
        <f t="shared" si="316"/>
        <v>349</v>
      </c>
      <c r="I5095" s="23" t="str">
        <f t="shared" si="317"/>
        <v>Chennai</v>
      </c>
      <c r="J5095" s="23">
        <f>COUNTIFS(pg_transaction_cleaned!$O:$O,A5095,pg_transaction_cleaned!$F:$F,"CAPTURE")</f>
        <v>1</v>
      </c>
      <c r="K5095" s="39">
        <f>SUMIFS(pg_transaction_cleaned!$H:$H,pg_transaction_cleaned!$O:$O,A5095,pg_transaction_cleaned!$F:$F,"CAPTURE")</f>
        <v>349</v>
      </c>
      <c r="L5095" s="23">
        <f>COUNTIFS(pg_transaction_cleaned!$O:$O,A5095,pg_transaction_cleaned!$F:$F,"REFUND")</f>
        <v>0</v>
      </c>
      <c r="M5095" s="39">
        <f>SUMIFS(pg_transaction_cleaned!$H:$H,pg_transaction_cleaned!$O:$O,A5095,pg_transaction_cleaned!$F:$F,"REFUND")</f>
        <v>0</v>
      </c>
      <c r="N5095" s="23" t="str">
        <f t="shared" si="318"/>
        <v>OK</v>
      </c>
      <c r="O5095" s="24">
        <f t="shared" si="319"/>
        <v>0</v>
      </c>
    </row>
    <row r="5096" spans="1:15" ht="15" customHeight="1" x14ac:dyDescent="0.3">
      <c r="A5096" s="23" t="s">
        <v>10635</v>
      </c>
      <c r="B5096" s="38">
        <v>46290</v>
      </c>
      <c r="C5096" s="23" t="s">
        <v>7330</v>
      </c>
      <c r="D5096" s="23" t="s">
        <v>88</v>
      </c>
      <c r="E5096" s="23" t="s">
        <v>77</v>
      </c>
      <c r="F5096" s="23" t="s">
        <v>10636</v>
      </c>
      <c r="G5096" s="23" t="s">
        <v>301</v>
      </c>
      <c r="H5096" s="39">
        <f t="shared" si="316"/>
        <v>14497</v>
      </c>
      <c r="I5096" s="23" t="str">
        <f t="shared" si="317"/>
        <v>Lucknow</v>
      </c>
      <c r="J5096" s="23">
        <f>COUNTIFS(pg_transaction_cleaned!$O:$O,A5096,pg_transaction_cleaned!$F:$F,"CAPTURE")</f>
        <v>1</v>
      </c>
      <c r="K5096" s="39">
        <f>SUMIFS(pg_transaction_cleaned!$H:$H,pg_transaction_cleaned!$O:$O,A5096,pg_transaction_cleaned!$F:$F,"CAPTURE")</f>
        <v>14497</v>
      </c>
      <c r="L5096" s="23">
        <f>COUNTIFS(pg_transaction_cleaned!$O:$O,A5096,pg_transaction_cleaned!$F:$F,"REFUND")</f>
        <v>1</v>
      </c>
      <c r="M5096" s="39">
        <f>SUMIFS(pg_transaction_cleaned!$H:$H,pg_transaction_cleaned!$O:$O,A5096,pg_transaction_cleaned!$F:$F,"REFUND")</f>
        <v>14497</v>
      </c>
      <c r="N5096" s="23" t="str">
        <f t="shared" si="318"/>
        <v>OK</v>
      </c>
      <c r="O5096" s="24">
        <f t="shared" si="319"/>
        <v>0</v>
      </c>
    </row>
    <row r="5097" spans="1:15" ht="15" customHeight="1" x14ac:dyDescent="0.3">
      <c r="A5097" s="23" t="s">
        <v>10637</v>
      </c>
      <c r="B5097" s="38">
        <v>46278</v>
      </c>
      <c r="C5097" s="23" t="s">
        <v>10638</v>
      </c>
      <c r="D5097" s="23" t="s">
        <v>87</v>
      </c>
      <c r="E5097" s="23" t="s">
        <v>81</v>
      </c>
      <c r="F5097" s="23" t="s">
        <v>249</v>
      </c>
      <c r="G5097" s="23" t="s">
        <v>250</v>
      </c>
      <c r="H5097" s="39">
        <f t="shared" si="316"/>
        <v>299</v>
      </c>
      <c r="I5097" s="23" t="str">
        <f t="shared" si="317"/>
        <v>Mumbai</v>
      </c>
      <c r="J5097" s="23">
        <f>COUNTIFS(pg_transaction_cleaned!$O:$O,A5097,pg_transaction_cleaned!$F:$F,"CAPTURE")</f>
        <v>1</v>
      </c>
      <c r="K5097" s="39">
        <f>SUMIFS(pg_transaction_cleaned!$H:$H,pg_transaction_cleaned!$O:$O,A5097,pg_transaction_cleaned!$F:$F,"CAPTURE")</f>
        <v>299</v>
      </c>
      <c r="L5097" s="23">
        <f>COUNTIFS(pg_transaction_cleaned!$O:$O,A5097,pg_transaction_cleaned!$F:$F,"REFUND")</f>
        <v>0</v>
      </c>
      <c r="M5097" s="39">
        <f>SUMIFS(pg_transaction_cleaned!$H:$H,pg_transaction_cleaned!$O:$O,A5097,pg_transaction_cleaned!$F:$F,"REFUND")</f>
        <v>0</v>
      </c>
      <c r="N5097" s="23" t="str">
        <f t="shared" si="318"/>
        <v>OK</v>
      </c>
      <c r="O5097" s="24">
        <f t="shared" si="319"/>
        <v>0</v>
      </c>
    </row>
    <row r="5098" spans="1:15" ht="15" customHeight="1" x14ac:dyDescent="0.3">
      <c r="A5098" s="23" t="s">
        <v>10639</v>
      </c>
      <c r="B5098" s="38">
        <v>46277</v>
      </c>
      <c r="C5098" s="23" t="s">
        <v>10640</v>
      </c>
      <c r="D5098" s="23" t="s">
        <v>93</v>
      </c>
      <c r="E5098" s="23" t="s">
        <v>79</v>
      </c>
      <c r="F5098" s="23" t="s">
        <v>259</v>
      </c>
      <c r="G5098" s="23" t="s">
        <v>250</v>
      </c>
      <c r="H5098" s="39">
        <f t="shared" si="316"/>
        <v>3298</v>
      </c>
      <c r="I5098" s="23" t="str">
        <f t="shared" si="317"/>
        <v>Kolkata</v>
      </c>
      <c r="J5098" s="23">
        <f>COUNTIFS(pg_transaction_cleaned!$O:$O,A5098,pg_transaction_cleaned!$F:$F,"CAPTURE")</f>
        <v>1</v>
      </c>
      <c r="K5098" s="39">
        <f>SUMIFS(pg_transaction_cleaned!$H:$H,pg_transaction_cleaned!$O:$O,A5098,pg_transaction_cleaned!$F:$F,"CAPTURE")</f>
        <v>3298</v>
      </c>
      <c r="L5098" s="23">
        <f>COUNTIFS(pg_transaction_cleaned!$O:$O,A5098,pg_transaction_cleaned!$F:$F,"REFUND")</f>
        <v>0</v>
      </c>
      <c r="M5098" s="39">
        <f>SUMIFS(pg_transaction_cleaned!$H:$H,pg_transaction_cleaned!$O:$O,A5098,pg_transaction_cleaned!$F:$F,"REFUND")</f>
        <v>0</v>
      </c>
      <c r="N5098" s="23" t="str">
        <f t="shared" si="318"/>
        <v>OK</v>
      </c>
      <c r="O5098" s="24">
        <f t="shared" si="319"/>
        <v>0</v>
      </c>
    </row>
    <row r="5099" spans="1:15" ht="15" customHeight="1" x14ac:dyDescent="0.3">
      <c r="A5099" s="23" t="s">
        <v>10641</v>
      </c>
      <c r="B5099" s="38">
        <v>46287</v>
      </c>
      <c r="C5099" s="23" t="s">
        <v>10642</v>
      </c>
      <c r="D5099" s="23" t="s">
        <v>95</v>
      </c>
      <c r="E5099" s="23" t="s">
        <v>77</v>
      </c>
      <c r="F5099" s="23" t="s">
        <v>1428</v>
      </c>
      <c r="G5099" s="23" t="s">
        <v>250</v>
      </c>
      <c r="H5099" s="39">
        <f t="shared" si="316"/>
        <v>8598</v>
      </c>
      <c r="I5099" s="23" t="str">
        <f t="shared" si="317"/>
        <v>Bengaluru</v>
      </c>
      <c r="J5099" s="23">
        <f>COUNTIFS(pg_transaction_cleaned!$O:$O,A5099,pg_transaction_cleaned!$F:$F,"CAPTURE")</f>
        <v>1</v>
      </c>
      <c r="K5099" s="39">
        <f>SUMIFS(pg_transaction_cleaned!$H:$H,pg_transaction_cleaned!$O:$O,A5099,pg_transaction_cleaned!$F:$F,"CAPTURE")</f>
        <v>8598</v>
      </c>
      <c r="L5099" s="23">
        <f>COUNTIFS(pg_transaction_cleaned!$O:$O,A5099,pg_transaction_cleaned!$F:$F,"REFUND")</f>
        <v>0</v>
      </c>
      <c r="M5099" s="39">
        <f>SUMIFS(pg_transaction_cleaned!$H:$H,pg_transaction_cleaned!$O:$O,A5099,pg_transaction_cleaned!$F:$F,"REFUND")</f>
        <v>0</v>
      </c>
      <c r="N5099" s="23" t="str">
        <f t="shared" si="318"/>
        <v>OK</v>
      </c>
      <c r="O5099" s="24">
        <f t="shared" si="319"/>
        <v>0</v>
      </c>
    </row>
    <row r="5100" spans="1:15" ht="15" customHeight="1" x14ac:dyDescent="0.3">
      <c r="A5100" s="23" t="s">
        <v>10643</v>
      </c>
      <c r="B5100" s="38">
        <v>46288</v>
      </c>
      <c r="C5100" s="23" t="s">
        <v>8135</v>
      </c>
      <c r="D5100" s="23" t="s">
        <v>89</v>
      </c>
      <c r="E5100" s="23" t="s">
        <v>79</v>
      </c>
      <c r="F5100" s="23" t="s">
        <v>1804</v>
      </c>
      <c r="G5100" s="23" t="s">
        <v>250</v>
      </c>
      <c r="H5100" s="39">
        <f t="shared" si="316"/>
        <v>598</v>
      </c>
      <c r="I5100" s="23" t="str">
        <f t="shared" si="317"/>
        <v>Jaipur</v>
      </c>
      <c r="J5100" s="23">
        <f>COUNTIFS(pg_transaction_cleaned!$O:$O,A5100,pg_transaction_cleaned!$F:$F,"CAPTURE")</f>
        <v>1</v>
      </c>
      <c r="K5100" s="39">
        <f>SUMIFS(pg_transaction_cleaned!$H:$H,pg_transaction_cleaned!$O:$O,A5100,pg_transaction_cleaned!$F:$F,"CAPTURE")</f>
        <v>598</v>
      </c>
      <c r="L5100" s="23">
        <f>COUNTIFS(pg_transaction_cleaned!$O:$O,A5100,pg_transaction_cleaned!$F:$F,"REFUND")</f>
        <v>0</v>
      </c>
      <c r="M5100" s="39">
        <f>SUMIFS(pg_transaction_cleaned!$H:$H,pg_transaction_cleaned!$O:$O,A5100,pg_transaction_cleaned!$F:$F,"REFUND")</f>
        <v>0</v>
      </c>
      <c r="N5100" s="23" t="str">
        <f t="shared" si="318"/>
        <v>OK</v>
      </c>
      <c r="O5100" s="24">
        <f t="shared" si="319"/>
        <v>0</v>
      </c>
    </row>
    <row r="5101" spans="1:15" ht="15" customHeight="1" x14ac:dyDescent="0.3">
      <c r="A5101" s="23" t="s">
        <v>10644</v>
      </c>
      <c r="B5101" s="38">
        <v>46292</v>
      </c>
      <c r="C5101" s="23" t="s">
        <v>10645</v>
      </c>
      <c r="D5101" s="23" t="s">
        <v>92</v>
      </c>
      <c r="E5101" s="23" t="s">
        <v>75</v>
      </c>
      <c r="F5101" s="23" t="s">
        <v>297</v>
      </c>
      <c r="G5101" s="23" t="s">
        <v>250</v>
      </c>
      <c r="H5101" s="39">
        <f t="shared" si="316"/>
        <v>4999</v>
      </c>
      <c r="I5101" s="23" t="str">
        <f t="shared" si="317"/>
        <v>Hyderabad</v>
      </c>
      <c r="J5101" s="23">
        <f>COUNTIFS(pg_transaction_cleaned!$O:$O,A5101,pg_transaction_cleaned!$F:$F,"CAPTURE")</f>
        <v>1</v>
      </c>
      <c r="K5101" s="39">
        <f>SUMIFS(pg_transaction_cleaned!$H:$H,pg_transaction_cleaned!$O:$O,A5101,pg_transaction_cleaned!$F:$F,"CAPTURE")</f>
        <v>4999</v>
      </c>
      <c r="L5101" s="23">
        <f>COUNTIFS(pg_transaction_cleaned!$O:$O,A5101,pg_transaction_cleaned!$F:$F,"REFUND")</f>
        <v>0</v>
      </c>
      <c r="M5101" s="39">
        <f>SUMIFS(pg_transaction_cleaned!$H:$H,pg_transaction_cleaned!$O:$O,A5101,pg_transaction_cleaned!$F:$F,"REFUND")</f>
        <v>0</v>
      </c>
      <c r="N5101" s="23" t="str">
        <f t="shared" si="318"/>
        <v>OK</v>
      </c>
      <c r="O5101" s="24">
        <f t="shared" si="319"/>
        <v>0</v>
      </c>
    </row>
    <row r="5102" spans="1:15" ht="15" customHeight="1" x14ac:dyDescent="0.3">
      <c r="A5102" s="23" t="s">
        <v>10646</v>
      </c>
      <c r="B5102" s="38">
        <v>46286</v>
      </c>
      <c r="C5102" s="23" t="s">
        <v>10647</v>
      </c>
      <c r="D5102" s="23" t="s">
        <v>92</v>
      </c>
      <c r="E5102" s="23" t="s">
        <v>75</v>
      </c>
      <c r="F5102" s="23" t="s">
        <v>294</v>
      </c>
      <c r="G5102" s="23" t="s">
        <v>250</v>
      </c>
      <c r="H5102" s="39">
        <f t="shared" si="316"/>
        <v>1799</v>
      </c>
      <c r="I5102" s="23" t="str">
        <f t="shared" si="317"/>
        <v>Hyderabad</v>
      </c>
      <c r="J5102" s="23">
        <f>COUNTIFS(pg_transaction_cleaned!$O:$O,A5102,pg_transaction_cleaned!$F:$F,"CAPTURE")</f>
        <v>1</v>
      </c>
      <c r="K5102" s="39">
        <f>SUMIFS(pg_transaction_cleaned!$H:$H,pg_transaction_cleaned!$O:$O,A5102,pg_transaction_cleaned!$F:$F,"CAPTURE")</f>
        <v>1799</v>
      </c>
      <c r="L5102" s="23">
        <f>COUNTIFS(pg_transaction_cleaned!$O:$O,A5102,pg_transaction_cleaned!$F:$F,"REFUND")</f>
        <v>0</v>
      </c>
      <c r="M5102" s="39">
        <f>SUMIFS(pg_transaction_cleaned!$H:$H,pg_transaction_cleaned!$O:$O,A5102,pg_transaction_cleaned!$F:$F,"REFUND")</f>
        <v>0</v>
      </c>
      <c r="N5102" s="23" t="str">
        <f t="shared" si="318"/>
        <v>OK</v>
      </c>
      <c r="O5102" s="24">
        <f t="shared" si="319"/>
        <v>0</v>
      </c>
    </row>
    <row r="5103" spans="1:15" ht="15" customHeight="1" x14ac:dyDescent="0.3">
      <c r="A5103" s="23" t="s">
        <v>10648</v>
      </c>
      <c r="B5103" s="38">
        <v>46272</v>
      </c>
      <c r="C5103" s="23" t="s">
        <v>10649</v>
      </c>
      <c r="D5103" s="23" t="s">
        <v>90</v>
      </c>
      <c r="E5103" s="23" t="s">
        <v>75</v>
      </c>
      <c r="F5103" s="23" t="s">
        <v>297</v>
      </c>
      <c r="G5103" s="23" t="s">
        <v>250</v>
      </c>
      <c r="H5103" s="39">
        <f t="shared" si="316"/>
        <v>4999</v>
      </c>
      <c r="I5103" s="23" t="str">
        <f t="shared" si="317"/>
        <v>Ahmedabad</v>
      </c>
      <c r="J5103" s="23">
        <f>COUNTIFS(pg_transaction_cleaned!$O:$O,A5103,pg_transaction_cleaned!$F:$F,"CAPTURE")</f>
        <v>1</v>
      </c>
      <c r="K5103" s="39">
        <f>SUMIFS(pg_transaction_cleaned!$H:$H,pg_transaction_cleaned!$O:$O,A5103,pg_transaction_cleaned!$F:$F,"CAPTURE")</f>
        <v>4999</v>
      </c>
      <c r="L5103" s="23">
        <f>COUNTIFS(pg_transaction_cleaned!$O:$O,A5103,pg_transaction_cleaned!$F:$F,"REFUND")</f>
        <v>0</v>
      </c>
      <c r="M5103" s="39">
        <f>SUMIFS(pg_transaction_cleaned!$H:$H,pg_transaction_cleaned!$O:$O,A5103,pg_transaction_cleaned!$F:$F,"REFUND")</f>
        <v>0</v>
      </c>
      <c r="N5103" s="23" t="str">
        <f t="shared" si="318"/>
        <v>OK</v>
      </c>
      <c r="O5103" s="24">
        <f t="shared" si="319"/>
        <v>0</v>
      </c>
    </row>
    <row r="5104" spans="1:15" ht="15" customHeight="1" x14ac:dyDescent="0.3">
      <c r="A5104" s="23" t="s">
        <v>10650</v>
      </c>
      <c r="B5104" s="38">
        <v>46275</v>
      </c>
      <c r="C5104" s="23" t="s">
        <v>10651</v>
      </c>
      <c r="D5104" s="23" t="s">
        <v>88</v>
      </c>
      <c r="E5104" s="23" t="s">
        <v>75</v>
      </c>
      <c r="F5104" s="23" t="s">
        <v>291</v>
      </c>
      <c r="G5104" s="23" t="s">
        <v>250</v>
      </c>
      <c r="H5104" s="39">
        <f t="shared" si="316"/>
        <v>3499</v>
      </c>
      <c r="I5104" s="23" t="str">
        <f t="shared" si="317"/>
        <v>Lucknow</v>
      </c>
      <c r="J5104" s="23">
        <f>COUNTIFS(pg_transaction_cleaned!$O:$O,A5104,pg_transaction_cleaned!$F:$F,"CAPTURE")</f>
        <v>1</v>
      </c>
      <c r="K5104" s="39">
        <f>SUMIFS(pg_transaction_cleaned!$H:$H,pg_transaction_cleaned!$O:$O,A5104,pg_transaction_cleaned!$F:$F,"CAPTURE")</f>
        <v>3499</v>
      </c>
      <c r="L5104" s="23">
        <f>COUNTIFS(pg_transaction_cleaned!$O:$O,A5104,pg_transaction_cleaned!$F:$F,"REFUND")</f>
        <v>0</v>
      </c>
      <c r="M5104" s="39">
        <f>SUMIFS(pg_transaction_cleaned!$H:$H,pg_transaction_cleaned!$O:$O,A5104,pg_transaction_cleaned!$F:$F,"REFUND")</f>
        <v>0</v>
      </c>
      <c r="N5104" s="23" t="str">
        <f t="shared" si="318"/>
        <v>OK</v>
      </c>
      <c r="O5104" s="24">
        <f t="shared" si="319"/>
        <v>0</v>
      </c>
    </row>
    <row r="5105" spans="1:15" ht="15" customHeight="1" x14ac:dyDescent="0.3">
      <c r="A5105" s="23" t="s">
        <v>10652</v>
      </c>
      <c r="B5105" s="38">
        <v>46294</v>
      </c>
      <c r="C5105" s="23" t="s">
        <v>10653</v>
      </c>
      <c r="D5105" s="23" t="s">
        <v>90</v>
      </c>
      <c r="E5105" s="23" t="s">
        <v>79</v>
      </c>
      <c r="F5105" s="23" t="s">
        <v>1614</v>
      </c>
      <c r="G5105" s="23" t="s">
        <v>250</v>
      </c>
      <c r="H5105" s="39">
        <f t="shared" si="316"/>
        <v>2597</v>
      </c>
      <c r="I5105" s="23" t="str">
        <f t="shared" si="317"/>
        <v>Ahmedabad</v>
      </c>
      <c r="J5105" s="23">
        <f>COUNTIFS(pg_transaction_cleaned!$O:$O,A5105,pg_transaction_cleaned!$F:$F,"CAPTURE")</f>
        <v>1</v>
      </c>
      <c r="K5105" s="39">
        <f>SUMIFS(pg_transaction_cleaned!$H:$H,pg_transaction_cleaned!$O:$O,A5105,pg_transaction_cleaned!$F:$F,"CAPTURE")</f>
        <v>2597</v>
      </c>
      <c r="L5105" s="23">
        <f>COUNTIFS(pg_transaction_cleaned!$O:$O,A5105,pg_transaction_cleaned!$F:$F,"REFUND")</f>
        <v>0</v>
      </c>
      <c r="M5105" s="39">
        <f>SUMIFS(pg_transaction_cleaned!$H:$H,pg_transaction_cleaned!$O:$O,A5105,pg_transaction_cleaned!$F:$F,"REFUND")</f>
        <v>0</v>
      </c>
      <c r="N5105" s="23" t="str">
        <f t="shared" si="318"/>
        <v>OK</v>
      </c>
      <c r="O5105" s="24">
        <f t="shared" si="319"/>
        <v>0</v>
      </c>
    </row>
    <row r="5106" spans="1:15" ht="15" customHeight="1" x14ac:dyDescent="0.3">
      <c r="A5106" s="23" t="s">
        <v>10654</v>
      </c>
      <c r="B5106" s="38">
        <v>46271</v>
      </c>
      <c r="C5106" s="23" t="s">
        <v>10655</v>
      </c>
      <c r="D5106" s="23" t="s">
        <v>86</v>
      </c>
      <c r="E5106" s="23" t="s">
        <v>75</v>
      </c>
      <c r="F5106" s="23" t="s">
        <v>294</v>
      </c>
      <c r="G5106" s="23" t="s">
        <v>250</v>
      </c>
      <c r="H5106" s="39">
        <f t="shared" si="316"/>
        <v>1799</v>
      </c>
      <c r="I5106" s="23" t="str">
        <f t="shared" si="317"/>
        <v>Delhi</v>
      </c>
      <c r="J5106" s="23">
        <f>COUNTIFS(pg_transaction_cleaned!$O:$O,A5106,pg_transaction_cleaned!$F:$F,"CAPTURE")</f>
        <v>1</v>
      </c>
      <c r="K5106" s="39">
        <f>SUMIFS(pg_transaction_cleaned!$H:$H,pg_transaction_cleaned!$O:$O,A5106,pg_transaction_cleaned!$F:$F,"CAPTURE")</f>
        <v>1799</v>
      </c>
      <c r="L5106" s="23">
        <f>COUNTIFS(pg_transaction_cleaned!$O:$O,A5106,pg_transaction_cleaned!$F:$F,"REFUND")</f>
        <v>0</v>
      </c>
      <c r="M5106" s="39">
        <f>SUMIFS(pg_transaction_cleaned!$H:$H,pg_transaction_cleaned!$O:$O,A5106,pg_transaction_cleaned!$F:$F,"REFUND")</f>
        <v>0</v>
      </c>
      <c r="N5106" s="23" t="str">
        <f t="shared" si="318"/>
        <v>OK</v>
      </c>
      <c r="O5106" s="24">
        <f t="shared" si="319"/>
        <v>0</v>
      </c>
    </row>
    <row r="5107" spans="1:15" ht="15" customHeight="1" x14ac:dyDescent="0.3">
      <c r="A5107" s="23" t="s">
        <v>10656</v>
      </c>
      <c r="B5107" s="38">
        <v>46287</v>
      </c>
      <c r="C5107" s="23" t="s">
        <v>10657</v>
      </c>
      <c r="D5107" s="23" t="s">
        <v>94</v>
      </c>
      <c r="E5107" s="23" t="s">
        <v>79</v>
      </c>
      <c r="F5107" s="23" t="s">
        <v>294</v>
      </c>
      <c r="G5107" s="23" t="s">
        <v>318</v>
      </c>
      <c r="H5107" s="39">
        <f t="shared" si="316"/>
        <v>1799</v>
      </c>
      <c r="I5107" s="23" t="str">
        <f t="shared" si="317"/>
        <v>Chennai</v>
      </c>
      <c r="J5107" s="23">
        <f>COUNTIFS(pg_transaction_cleaned!$O:$O,A5107,pg_transaction_cleaned!$F:$F,"CAPTURE")</f>
        <v>0</v>
      </c>
      <c r="K5107" s="39">
        <f>SUMIFS(pg_transaction_cleaned!$H:$H,pg_transaction_cleaned!$O:$O,A5107,pg_transaction_cleaned!$F:$F,"CAPTURE")</f>
        <v>0</v>
      </c>
      <c r="L5107" s="23">
        <f>COUNTIFS(pg_transaction_cleaned!$O:$O,A5107,pg_transaction_cleaned!$F:$F,"REFUND")</f>
        <v>0</v>
      </c>
      <c r="M5107" s="39">
        <f>SUMIFS(pg_transaction_cleaned!$H:$H,pg_transaction_cleaned!$O:$O,A5107,pg_transaction_cleaned!$F:$F,"REFUND")</f>
        <v>0</v>
      </c>
      <c r="N5107" s="23" t="str">
        <f t="shared" si="318"/>
        <v>OK</v>
      </c>
      <c r="O5107" s="24">
        <f t="shared" si="319"/>
        <v>0</v>
      </c>
    </row>
    <row r="5108" spans="1:15" ht="15" customHeight="1" x14ac:dyDescent="0.3">
      <c r="A5108" s="23" t="s">
        <v>10658</v>
      </c>
      <c r="B5108" s="38">
        <v>46293</v>
      </c>
      <c r="C5108" s="23" t="s">
        <v>8938</v>
      </c>
      <c r="D5108" s="23" t="s">
        <v>93</v>
      </c>
      <c r="E5108" s="23" t="s">
        <v>75</v>
      </c>
      <c r="F5108" s="23" t="s">
        <v>329</v>
      </c>
      <c r="G5108" s="23" t="s">
        <v>250</v>
      </c>
      <c r="H5108" s="39">
        <f t="shared" si="316"/>
        <v>599</v>
      </c>
      <c r="I5108" s="23" t="str">
        <f t="shared" si="317"/>
        <v>Kolkata</v>
      </c>
      <c r="J5108" s="23">
        <f>COUNTIFS(pg_transaction_cleaned!$O:$O,A5108,pg_transaction_cleaned!$F:$F,"CAPTURE")</f>
        <v>1</v>
      </c>
      <c r="K5108" s="39">
        <f>SUMIFS(pg_transaction_cleaned!$H:$H,pg_transaction_cleaned!$O:$O,A5108,pg_transaction_cleaned!$F:$F,"CAPTURE")</f>
        <v>599</v>
      </c>
      <c r="L5108" s="23">
        <f>COUNTIFS(pg_transaction_cleaned!$O:$O,A5108,pg_transaction_cleaned!$F:$F,"REFUND")</f>
        <v>0</v>
      </c>
      <c r="M5108" s="39">
        <f>SUMIFS(pg_transaction_cleaned!$H:$H,pg_transaction_cleaned!$O:$O,A5108,pg_transaction_cleaned!$F:$F,"REFUND")</f>
        <v>0</v>
      </c>
      <c r="N5108" s="23" t="str">
        <f t="shared" si="318"/>
        <v>OK</v>
      </c>
      <c r="O5108" s="24">
        <f t="shared" si="319"/>
        <v>0</v>
      </c>
    </row>
    <row r="5109" spans="1:15" ht="15" customHeight="1" x14ac:dyDescent="0.3">
      <c r="A5109" s="23" t="s">
        <v>10659</v>
      </c>
      <c r="B5109" s="38">
        <v>46291</v>
      </c>
      <c r="C5109" s="23" t="s">
        <v>10660</v>
      </c>
      <c r="D5109" s="23" t="s">
        <v>95</v>
      </c>
      <c r="E5109" s="23" t="s">
        <v>75</v>
      </c>
      <c r="F5109" s="23" t="s">
        <v>329</v>
      </c>
      <c r="G5109" s="23" t="s">
        <v>365</v>
      </c>
      <c r="H5109" s="39">
        <f t="shared" si="316"/>
        <v>599</v>
      </c>
      <c r="I5109" s="23" t="str">
        <f t="shared" si="317"/>
        <v>Bengaluru</v>
      </c>
      <c r="J5109" s="23">
        <f>COUNTIFS(pg_transaction_cleaned!$O:$O,A5109,pg_transaction_cleaned!$F:$F,"CAPTURE")</f>
        <v>0</v>
      </c>
      <c r="K5109" s="39">
        <f>SUMIFS(pg_transaction_cleaned!$H:$H,pg_transaction_cleaned!$O:$O,A5109,pg_transaction_cleaned!$F:$F,"CAPTURE")</f>
        <v>0</v>
      </c>
      <c r="L5109" s="23">
        <f>COUNTIFS(pg_transaction_cleaned!$O:$O,A5109,pg_transaction_cleaned!$F:$F,"REFUND")</f>
        <v>0</v>
      </c>
      <c r="M5109" s="39">
        <f>SUMIFS(pg_transaction_cleaned!$H:$H,pg_transaction_cleaned!$O:$O,A5109,pg_transaction_cleaned!$F:$F,"REFUND")</f>
        <v>0</v>
      </c>
      <c r="N5109" s="23" t="str">
        <f t="shared" si="318"/>
        <v>OK</v>
      </c>
      <c r="O5109" s="24">
        <f t="shared" si="319"/>
        <v>0</v>
      </c>
    </row>
    <row r="5110" spans="1:15" ht="15" customHeight="1" x14ac:dyDescent="0.3">
      <c r="A5110" s="23" t="s">
        <v>10661</v>
      </c>
      <c r="B5110" s="38">
        <v>46279</v>
      </c>
      <c r="C5110" s="23" t="s">
        <v>10662</v>
      </c>
      <c r="D5110" s="23" t="s">
        <v>95</v>
      </c>
      <c r="E5110" s="23" t="s">
        <v>75</v>
      </c>
      <c r="F5110" s="23" t="s">
        <v>567</v>
      </c>
      <c r="G5110" s="23" t="s">
        <v>365</v>
      </c>
      <c r="H5110" s="39">
        <f t="shared" si="316"/>
        <v>3598</v>
      </c>
      <c r="I5110" s="23" t="str">
        <f t="shared" si="317"/>
        <v>Bengaluru</v>
      </c>
      <c r="J5110" s="23">
        <f>COUNTIFS(pg_transaction_cleaned!$O:$O,A5110,pg_transaction_cleaned!$F:$F,"CAPTURE")</f>
        <v>0</v>
      </c>
      <c r="K5110" s="39">
        <f>SUMIFS(pg_transaction_cleaned!$H:$H,pg_transaction_cleaned!$O:$O,A5110,pg_transaction_cleaned!$F:$F,"CAPTURE")</f>
        <v>0</v>
      </c>
      <c r="L5110" s="23">
        <f>COUNTIFS(pg_transaction_cleaned!$O:$O,A5110,pg_transaction_cleaned!$F:$F,"REFUND")</f>
        <v>0</v>
      </c>
      <c r="M5110" s="39">
        <f>SUMIFS(pg_transaction_cleaned!$H:$H,pg_transaction_cleaned!$O:$O,A5110,pg_transaction_cleaned!$F:$F,"REFUND")</f>
        <v>0</v>
      </c>
      <c r="N5110" s="23" t="str">
        <f t="shared" si="318"/>
        <v>OK</v>
      </c>
      <c r="O5110" s="24">
        <f t="shared" si="319"/>
        <v>0</v>
      </c>
    </row>
    <row r="5111" spans="1:15" ht="15" customHeight="1" x14ac:dyDescent="0.3">
      <c r="A5111" s="23" t="s">
        <v>10663</v>
      </c>
      <c r="B5111" s="38">
        <v>46278</v>
      </c>
      <c r="C5111" s="23" t="s">
        <v>10664</v>
      </c>
      <c r="D5111" s="23" t="s">
        <v>87</v>
      </c>
      <c r="E5111" s="23" t="s">
        <v>77</v>
      </c>
      <c r="F5111" s="23" t="s">
        <v>675</v>
      </c>
      <c r="G5111" s="23" t="s">
        <v>250</v>
      </c>
      <c r="H5111" s="39">
        <f t="shared" si="316"/>
        <v>10998</v>
      </c>
      <c r="I5111" s="23" t="str">
        <f t="shared" si="317"/>
        <v>Mumbai</v>
      </c>
      <c r="J5111" s="23">
        <f>COUNTIFS(pg_transaction_cleaned!$O:$O,A5111,pg_transaction_cleaned!$F:$F,"CAPTURE")</f>
        <v>1</v>
      </c>
      <c r="K5111" s="39">
        <f>SUMIFS(pg_transaction_cleaned!$H:$H,pg_transaction_cleaned!$O:$O,A5111,pg_transaction_cleaned!$F:$F,"CAPTURE")</f>
        <v>10998</v>
      </c>
      <c r="L5111" s="23">
        <f>COUNTIFS(pg_transaction_cleaned!$O:$O,A5111,pg_transaction_cleaned!$F:$F,"REFUND")</f>
        <v>0</v>
      </c>
      <c r="M5111" s="39">
        <f>SUMIFS(pg_transaction_cleaned!$H:$H,pg_transaction_cleaned!$O:$O,A5111,pg_transaction_cleaned!$F:$F,"REFUND")</f>
        <v>0</v>
      </c>
      <c r="N5111" s="23" t="str">
        <f t="shared" si="318"/>
        <v>OK</v>
      </c>
      <c r="O5111" s="24">
        <f t="shared" si="319"/>
        <v>0</v>
      </c>
    </row>
    <row r="5112" spans="1:15" ht="15" customHeight="1" x14ac:dyDescent="0.3">
      <c r="A5112" s="23" t="s">
        <v>10665</v>
      </c>
      <c r="B5112" s="38">
        <v>46267</v>
      </c>
      <c r="C5112" s="23" t="s">
        <v>10666</v>
      </c>
      <c r="D5112" s="23" t="s">
        <v>89</v>
      </c>
      <c r="E5112" s="23" t="s">
        <v>75</v>
      </c>
      <c r="F5112" s="23" t="s">
        <v>291</v>
      </c>
      <c r="G5112" s="23" t="s">
        <v>250</v>
      </c>
      <c r="H5112" s="39">
        <f t="shared" si="316"/>
        <v>3499</v>
      </c>
      <c r="I5112" s="23" t="str">
        <f t="shared" si="317"/>
        <v>Jaipur</v>
      </c>
      <c r="J5112" s="23">
        <f>COUNTIFS(pg_transaction_cleaned!$O:$O,A5112,pg_transaction_cleaned!$F:$F,"CAPTURE")</f>
        <v>1</v>
      </c>
      <c r="K5112" s="39">
        <f>SUMIFS(pg_transaction_cleaned!$H:$H,pg_transaction_cleaned!$O:$O,A5112,pg_transaction_cleaned!$F:$F,"CAPTURE")</f>
        <v>3499</v>
      </c>
      <c r="L5112" s="23">
        <f>COUNTIFS(pg_transaction_cleaned!$O:$O,A5112,pg_transaction_cleaned!$F:$F,"REFUND")</f>
        <v>0</v>
      </c>
      <c r="M5112" s="39">
        <f>SUMIFS(pg_transaction_cleaned!$H:$H,pg_transaction_cleaned!$O:$O,A5112,pg_transaction_cleaned!$F:$F,"REFUND")</f>
        <v>0</v>
      </c>
      <c r="N5112" s="23" t="str">
        <f t="shared" si="318"/>
        <v>OK</v>
      </c>
      <c r="O5112" s="24">
        <f t="shared" si="319"/>
        <v>0</v>
      </c>
    </row>
    <row r="5113" spans="1:15" ht="15" customHeight="1" x14ac:dyDescent="0.3">
      <c r="A5113" s="23" t="s">
        <v>10667</v>
      </c>
      <c r="B5113" s="38">
        <v>46275</v>
      </c>
      <c r="C5113" s="23" t="s">
        <v>10668</v>
      </c>
      <c r="D5113" s="23" t="s">
        <v>92</v>
      </c>
      <c r="E5113" s="23" t="s">
        <v>75</v>
      </c>
      <c r="F5113" s="23" t="s">
        <v>340</v>
      </c>
      <c r="G5113" s="23" t="s">
        <v>250</v>
      </c>
      <c r="H5113" s="39">
        <f t="shared" si="316"/>
        <v>6298</v>
      </c>
      <c r="I5113" s="23" t="str">
        <f t="shared" si="317"/>
        <v>Hyderabad</v>
      </c>
      <c r="J5113" s="23">
        <f>COUNTIFS(pg_transaction_cleaned!$O:$O,A5113,pg_transaction_cleaned!$F:$F,"CAPTURE")</f>
        <v>1</v>
      </c>
      <c r="K5113" s="39">
        <f>SUMIFS(pg_transaction_cleaned!$H:$H,pg_transaction_cleaned!$O:$O,A5113,pg_transaction_cleaned!$F:$F,"CAPTURE")</f>
        <v>6298</v>
      </c>
      <c r="L5113" s="23">
        <f>COUNTIFS(pg_transaction_cleaned!$O:$O,A5113,pg_transaction_cleaned!$F:$F,"REFUND")</f>
        <v>0</v>
      </c>
      <c r="M5113" s="39">
        <f>SUMIFS(pg_transaction_cleaned!$H:$H,pg_transaction_cleaned!$O:$O,A5113,pg_transaction_cleaned!$F:$F,"REFUND")</f>
        <v>0</v>
      </c>
      <c r="N5113" s="23" t="str">
        <f t="shared" si="318"/>
        <v>OK</v>
      </c>
      <c r="O5113" s="24">
        <f t="shared" si="319"/>
        <v>0</v>
      </c>
    </row>
    <row r="5114" spans="1:15" ht="15" customHeight="1" x14ac:dyDescent="0.3">
      <c r="A5114" s="23" t="s">
        <v>10669</v>
      </c>
      <c r="B5114" s="38">
        <v>46269</v>
      </c>
      <c r="C5114" s="23" t="s">
        <v>10670</v>
      </c>
      <c r="D5114" s="23" t="s">
        <v>95</v>
      </c>
      <c r="E5114" s="23" t="s">
        <v>75</v>
      </c>
      <c r="F5114" s="23" t="s">
        <v>256</v>
      </c>
      <c r="G5114" s="23" t="s">
        <v>250</v>
      </c>
      <c r="H5114" s="39">
        <f t="shared" si="316"/>
        <v>2098</v>
      </c>
      <c r="I5114" s="23" t="str">
        <f t="shared" si="317"/>
        <v>Bengaluru</v>
      </c>
      <c r="J5114" s="23">
        <f>COUNTIFS(pg_transaction_cleaned!$O:$O,A5114,pg_transaction_cleaned!$F:$F,"CAPTURE")</f>
        <v>1</v>
      </c>
      <c r="K5114" s="39">
        <f>SUMIFS(pg_transaction_cleaned!$H:$H,pg_transaction_cleaned!$O:$O,A5114,pg_transaction_cleaned!$F:$F,"CAPTURE")</f>
        <v>2098</v>
      </c>
      <c r="L5114" s="23">
        <f>COUNTIFS(pg_transaction_cleaned!$O:$O,A5114,pg_transaction_cleaned!$F:$F,"REFUND")</f>
        <v>0</v>
      </c>
      <c r="M5114" s="39">
        <f>SUMIFS(pg_transaction_cleaned!$H:$H,pg_transaction_cleaned!$O:$O,A5114,pg_transaction_cleaned!$F:$F,"REFUND")</f>
        <v>0</v>
      </c>
      <c r="N5114" s="23" t="str">
        <f t="shared" si="318"/>
        <v>OK</v>
      </c>
      <c r="O5114" s="24">
        <f t="shared" si="319"/>
        <v>0</v>
      </c>
    </row>
    <row r="5115" spans="1:15" ht="15" customHeight="1" x14ac:dyDescent="0.3">
      <c r="A5115" s="23" t="s">
        <v>10671</v>
      </c>
      <c r="B5115" s="38">
        <v>46269</v>
      </c>
      <c r="C5115" s="23" t="s">
        <v>10672</v>
      </c>
      <c r="D5115" s="23" t="s">
        <v>93</v>
      </c>
      <c r="E5115" s="23" t="s">
        <v>79</v>
      </c>
      <c r="F5115" s="23" t="s">
        <v>460</v>
      </c>
      <c r="G5115" s="23" t="s">
        <v>365</v>
      </c>
      <c r="H5115" s="39">
        <f t="shared" si="316"/>
        <v>1998</v>
      </c>
      <c r="I5115" s="23" t="str">
        <f t="shared" si="317"/>
        <v>Kolkata</v>
      </c>
      <c r="J5115" s="23">
        <f>COUNTIFS(pg_transaction_cleaned!$O:$O,A5115,pg_transaction_cleaned!$F:$F,"CAPTURE")</f>
        <v>0</v>
      </c>
      <c r="K5115" s="39">
        <f>SUMIFS(pg_transaction_cleaned!$H:$H,pg_transaction_cleaned!$O:$O,A5115,pg_transaction_cleaned!$F:$F,"CAPTURE")</f>
        <v>0</v>
      </c>
      <c r="L5115" s="23">
        <f>COUNTIFS(pg_transaction_cleaned!$O:$O,A5115,pg_transaction_cleaned!$F:$F,"REFUND")</f>
        <v>0</v>
      </c>
      <c r="M5115" s="39">
        <f>SUMIFS(pg_transaction_cleaned!$H:$H,pg_transaction_cleaned!$O:$O,A5115,pg_transaction_cleaned!$F:$F,"REFUND")</f>
        <v>0</v>
      </c>
      <c r="N5115" s="23" t="str">
        <f t="shared" si="318"/>
        <v>OK</v>
      </c>
      <c r="O5115" s="24">
        <f t="shared" si="319"/>
        <v>0</v>
      </c>
    </row>
    <row r="5116" spans="1:15" ht="15" customHeight="1" x14ac:dyDescent="0.3">
      <c r="A5116" s="23" t="s">
        <v>10673</v>
      </c>
      <c r="B5116" s="38">
        <v>46267</v>
      </c>
      <c r="C5116" s="23" t="s">
        <v>10674</v>
      </c>
      <c r="D5116" s="23" t="s">
        <v>91</v>
      </c>
      <c r="E5116" s="23" t="s">
        <v>75</v>
      </c>
      <c r="F5116" s="23" t="s">
        <v>475</v>
      </c>
      <c r="G5116" s="23" t="s">
        <v>250</v>
      </c>
      <c r="H5116" s="39">
        <f t="shared" si="316"/>
        <v>799</v>
      </c>
      <c r="I5116" s="23" t="str">
        <f t="shared" si="317"/>
        <v>Pune</v>
      </c>
      <c r="J5116" s="23">
        <f>COUNTIFS(pg_transaction_cleaned!$O:$O,A5116,pg_transaction_cleaned!$F:$F,"CAPTURE")</f>
        <v>1</v>
      </c>
      <c r="K5116" s="39">
        <f>SUMIFS(pg_transaction_cleaned!$H:$H,pg_transaction_cleaned!$O:$O,A5116,pg_transaction_cleaned!$F:$F,"CAPTURE")</f>
        <v>799</v>
      </c>
      <c r="L5116" s="23">
        <f>COUNTIFS(pg_transaction_cleaned!$O:$O,A5116,pg_transaction_cleaned!$F:$F,"REFUND")</f>
        <v>0</v>
      </c>
      <c r="M5116" s="39">
        <f>SUMIFS(pg_transaction_cleaned!$H:$H,pg_transaction_cleaned!$O:$O,A5116,pg_transaction_cleaned!$F:$F,"REFUND")</f>
        <v>0</v>
      </c>
      <c r="N5116" s="23" t="str">
        <f t="shared" si="318"/>
        <v>OK</v>
      </c>
      <c r="O5116" s="24">
        <f t="shared" si="319"/>
        <v>0</v>
      </c>
    </row>
    <row r="5117" spans="1:15" ht="15" customHeight="1" x14ac:dyDescent="0.3">
      <c r="A5117" s="23" t="s">
        <v>10675</v>
      </c>
      <c r="B5117" s="38">
        <v>46269</v>
      </c>
      <c r="C5117" s="23" t="s">
        <v>10676</v>
      </c>
      <c r="D5117" s="23" t="s">
        <v>89</v>
      </c>
      <c r="E5117" s="23" t="s">
        <v>75</v>
      </c>
      <c r="F5117" s="23" t="s">
        <v>1054</v>
      </c>
      <c r="G5117" s="23" t="s">
        <v>250</v>
      </c>
      <c r="H5117" s="39">
        <f t="shared" si="316"/>
        <v>6597</v>
      </c>
      <c r="I5117" s="23" t="str">
        <f t="shared" si="317"/>
        <v>Jaipur</v>
      </c>
      <c r="J5117" s="23">
        <f>COUNTIFS(pg_transaction_cleaned!$O:$O,A5117,pg_transaction_cleaned!$F:$F,"CAPTURE")</f>
        <v>1</v>
      </c>
      <c r="K5117" s="39">
        <f>SUMIFS(pg_transaction_cleaned!$H:$H,pg_transaction_cleaned!$O:$O,A5117,pg_transaction_cleaned!$F:$F,"CAPTURE")</f>
        <v>6597</v>
      </c>
      <c r="L5117" s="23">
        <f>COUNTIFS(pg_transaction_cleaned!$O:$O,A5117,pg_transaction_cleaned!$F:$F,"REFUND")</f>
        <v>0</v>
      </c>
      <c r="M5117" s="39">
        <f>SUMIFS(pg_transaction_cleaned!$H:$H,pg_transaction_cleaned!$O:$O,A5117,pg_transaction_cleaned!$F:$F,"REFUND")</f>
        <v>0</v>
      </c>
      <c r="N5117" s="23" t="str">
        <f t="shared" si="318"/>
        <v>OK</v>
      </c>
      <c r="O5117" s="24">
        <f t="shared" si="319"/>
        <v>0</v>
      </c>
    </row>
    <row r="5118" spans="1:15" ht="15" customHeight="1" x14ac:dyDescent="0.3">
      <c r="A5118" s="23" t="s">
        <v>10677</v>
      </c>
      <c r="B5118" s="38">
        <v>46269</v>
      </c>
      <c r="C5118" s="23" t="s">
        <v>10678</v>
      </c>
      <c r="D5118" s="23" t="s">
        <v>93</v>
      </c>
      <c r="E5118" s="23" t="s">
        <v>77</v>
      </c>
      <c r="F5118" s="23" t="s">
        <v>1072</v>
      </c>
      <c r="G5118" s="23" t="s">
        <v>250</v>
      </c>
      <c r="H5118" s="39">
        <f t="shared" si="316"/>
        <v>4897</v>
      </c>
      <c r="I5118" s="23" t="str">
        <f t="shared" si="317"/>
        <v>Kolkata</v>
      </c>
      <c r="J5118" s="23">
        <f>COUNTIFS(pg_transaction_cleaned!$O:$O,A5118,pg_transaction_cleaned!$F:$F,"CAPTURE")</f>
        <v>1</v>
      </c>
      <c r="K5118" s="39">
        <f>SUMIFS(pg_transaction_cleaned!$H:$H,pg_transaction_cleaned!$O:$O,A5118,pg_transaction_cleaned!$F:$F,"CAPTURE")</f>
        <v>4897</v>
      </c>
      <c r="L5118" s="23">
        <f>COUNTIFS(pg_transaction_cleaned!$O:$O,A5118,pg_transaction_cleaned!$F:$F,"REFUND")</f>
        <v>0</v>
      </c>
      <c r="M5118" s="39">
        <f>SUMIFS(pg_transaction_cleaned!$H:$H,pg_transaction_cleaned!$O:$O,A5118,pg_transaction_cleaned!$F:$F,"REFUND")</f>
        <v>0</v>
      </c>
      <c r="N5118" s="23" t="str">
        <f t="shared" si="318"/>
        <v>OK</v>
      </c>
      <c r="O5118" s="24">
        <f t="shared" si="319"/>
        <v>0</v>
      </c>
    </row>
    <row r="5119" spans="1:15" ht="15" customHeight="1" x14ac:dyDescent="0.3">
      <c r="A5119" s="23" t="s">
        <v>10679</v>
      </c>
      <c r="B5119" s="38">
        <v>46283</v>
      </c>
      <c r="C5119" s="23" t="s">
        <v>10680</v>
      </c>
      <c r="D5119" s="23" t="s">
        <v>93</v>
      </c>
      <c r="E5119" s="23" t="s">
        <v>77</v>
      </c>
      <c r="F5119" s="23" t="s">
        <v>2045</v>
      </c>
      <c r="G5119" s="23" t="s">
        <v>250</v>
      </c>
      <c r="H5119" s="39">
        <f t="shared" si="316"/>
        <v>698</v>
      </c>
      <c r="I5119" s="23" t="str">
        <f t="shared" si="317"/>
        <v>Kolkata</v>
      </c>
      <c r="J5119" s="23">
        <f>COUNTIFS(pg_transaction_cleaned!$O:$O,A5119,pg_transaction_cleaned!$F:$F,"CAPTURE")</f>
        <v>1</v>
      </c>
      <c r="K5119" s="39">
        <f>SUMIFS(pg_transaction_cleaned!$H:$H,pg_transaction_cleaned!$O:$O,A5119,pg_transaction_cleaned!$F:$F,"CAPTURE")</f>
        <v>698</v>
      </c>
      <c r="L5119" s="23">
        <f>COUNTIFS(pg_transaction_cleaned!$O:$O,A5119,pg_transaction_cleaned!$F:$F,"REFUND")</f>
        <v>0</v>
      </c>
      <c r="M5119" s="39">
        <f>SUMIFS(pg_transaction_cleaned!$H:$H,pg_transaction_cleaned!$O:$O,A5119,pg_transaction_cleaned!$F:$F,"REFUND")</f>
        <v>0</v>
      </c>
      <c r="N5119" s="23" t="str">
        <f t="shared" si="318"/>
        <v>OK</v>
      </c>
      <c r="O5119" s="24">
        <f t="shared" si="319"/>
        <v>0</v>
      </c>
    </row>
    <row r="5120" spans="1:15" ht="15" customHeight="1" x14ac:dyDescent="0.3">
      <c r="A5120" s="23" t="s">
        <v>10681</v>
      </c>
      <c r="B5120" s="38">
        <v>46268</v>
      </c>
      <c r="C5120" s="23" t="s">
        <v>10682</v>
      </c>
      <c r="D5120" s="23" t="s">
        <v>94</v>
      </c>
      <c r="E5120" s="23" t="s">
        <v>75</v>
      </c>
      <c r="F5120" s="23" t="s">
        <v>294</v>
      </c>
      <c r="G5120" s="23" t="s">
        <v>250</v>
      </c>
      <c r="H5120" s="39">
        <f t="shared" si="316"/>
        <v>1799</v>
      </c>
      <c r="I5120" s="23" t="str">
        <f t="shared" si="317"/>
        <v>Chennai</v>
      </c>
      <c r="J5120" s="23">
        <f>COUNTIFS(pg_transaction_cleaned!$O:$O,A5120,pg_transaction_cleaned!$F:$F,"CAPTURE")</f>
        <v>1</v>
      </c>
      <c r="K5120" s="39">
        <f>SUMIFS(pg_transaction_cleaned!$H:$H,pg_transaction_cleaned!$O:$O,A5120,pg_transaction_cleaned!$F:$F,"CAPTURE")</f>
        <v>1799</v>
      </c>
      <c r="L5120" s="23">
        <f>COUNTIFS(pg_transaction_cleaned!$O:$O,A5120,pg_transaction_cleaned!$F:$F,"REFUND")</f>
        <v>0</v>
      </c>
      <c r="M5120" s="39">
        <f>SUMIFS(pg_transaction_cleaned!$H:$H,pg_transaction_cleaned!$O:$O,A5120,pg_transaction_cleaned!$F:$F,"REFUND")</f>
        <v>0</v>
      </c>
      <c r="N5120" s="23" t="str">
        <f t="shared" si="318"/>
        <v>OK</v>
      </c>
      <c r="O5120" s="24">
        <f t="shared" si="319"/>
        <v>0</v>
      </c>
    </row>
    <row r="5121" spans="1:15" ht="15" customHeight="1" x14ac:dyDescent="0.3">
      <c r="A5121" s="23" t="s">
        <v>10683</v>
      </c>
      <c r="B5121" s="38">
        <v>46276</v>
      </c>
      <c r="C5121" s="23" t="s">
        <v>10684</v>
      </c>
      <c r="D5121" s="23" t="s">
        <v>92</v>
      </c>
      <c r="E5121" s="23" t="s">
        <v>75</v>
      </c>
      <c r="F5121" s="23" t="s">
        <v>291</v>
      </c>
      <c r="G5121" s="23" t="s">
        <v>250</v>
      </c>
      <c r="H5121" s="39">
        <f t="shared" si="316"/>
        <v>3499</v>
      </c>
      <c r="I5121" s="23" t="str">
        <f t="shared" si="317"/>
        <v>Hyderabad</v>
      </c>
      <c r="J5121" s="23">
        <f>COUNTIFS(pg_transaction_cleaned!$O:$O,A5121,pg_transaction_cleaned!$F:$F,"CAPTURE")</f>
        <v>1</v>
      </c>
      <c r="K5121" s="39">
        <f>SUMIFS(pg_transaction_cleaned!$H:$H,pg_transaction_cleaned!$O:$O,A5121,pg_transaction_cleaned!$F:$F,"CAPTURE")</f>
        <v>3499</v>
      </c>
      <c r="L5121" s="23">
        <f>COUNTIFS(pg_transaction_cleaned!$O:$O,A5121,pg_transaction_cleaned!$F:$F,"REFUND")</f>
        <v>0</v>
      </c>
      <c r="M5121" s="39">
        <f>SUMIFS(pg_transaction_cleaned!$H:$H,pg_transaction_cleaned!$O:$O,A5121,pg_transaction_cleaned!$F:$F,"REFUND")</f>
        <v>0</v>
      </c>
      <c r="N5121" s="23" t="str">
        <f t="shared" si="318"/>
        <v>OK</v>
      </c>
      <c r="O5121" s="24">
        <f t="shared" si="319"/>
        <v>0</v>
      </c>
    </row>
    <row r="5122" spans="1:15" ht="15" customHeight="1" x14ac:dyDescent="0.3">
      <c r="A5122" s="23" t="s">
        <v>10685</v>
      </c>
      <c r="B5122" s="38">
        <v>46271</v>
      </c>
      <c r="C5122" s="23" t="s">
        <v>1371</v>
      </c>
      <c r="D5122" s="23" t="s">
        <v>90</v>
      </c>
      <c r="E5122" s="23" t="s">
        <v>79</v>
      </c>
      <c r="F5122" s="23" t="s">
        <v>5505</v>
      </c>
      <c r="G5122" s="23" t="s">
        <v>250</v>
      </c>
      <c r="H5122" s="39">
        <f t="shared" ref="H5122:H5185" si="320">VALUE(SUBSTITUTE(F5122,",",""))</f>
        <v>3697</v>
      </c>
      <c r="I5122" s="23" t="str">
        <f t="shared" ref="I5122:I5185" si="321">IF(TRIM(D5122)="","Unknown",TRIM(D5122))</f>
        <v>Ahmedabad</v>
      </c>
      <c r="J5122" s="23">
        <f>COUNTIFS(pg_transaction_cleaned!$O:$O,A5122,pg_transaction_cleaned!$F:$F,"CAPTURE")</f>
        <v>1</v>
      </c>
      <c r="K5122" s="39">
        <f>SUMIFS(pg_transaction_cleaned!$H:$H,pg_transaction_cleaned!$O:$O,A5122,pg_transaction_cleaned!$F:$F,"CAPTURE")</f>
        <v>3697</v>
      </c>
      <c r="L5122" s="23">
        <f>COUNTIFS(pg_transaction_cleaned!$O:$O,A5122,pg_transaction_cleaned!$F:$F,"REFUND")</f>
        <v>0</v>
      </c>
      <c r="M5122" s="39">
        <f>SUMIFS(pg_transaction_cleaned!$H:$H,pg_transaction_cleaned!$O:$O,A5122,pg_transaction_cleaned!$F:$F,"REFUND")</f>
        <v>0</v>
      </c>
      <c r="N5122" s="23" t="str">
        <f t="shared" ref="N5122:N5185" si="322">IF(AND(G5122="Paid",J5122=0),"Paid, no payment",IF(AND(OR(G5122="Failed",G5122="Cancelled"),J5122&gt;0),"Payment on failed/cancelled",IF(J5122&gt;1,"Duplicate charge",IF(AND(J5122=1,ROUND(K5122-H5122,2)&lt;&gt;0),"Amount difference",IF(AND(G5122="Refunded",L5122=0),"Refunded, no refund",IF(AND(G5122&lt;&gt;"Refunded",L5122&gt;0),"Refund, order not Refunded",IF(AND(L5122&gt;0,ROUND(M5122-H5122,2)&lt;&gt;0),"Refund amount differs","OK")))))))</f>
        <v>OK</v>
      </c>
      <c r="O5122" s="24">
        <f t="shared" ref="O5122:O5185" si="323">IF(N5122="OK",0,IF(N5122="Paid, no payment",H5122,IF(N5122="Payment on failed/cancelled",K5122,IF(OR(N5122="Duplicate charge",N5122="Amount difference"),K5122-H5122,IF(N5122="Refunded, no refund",H5122,M5122)))))</f>
        <v>0</v>
      </c>
    </row>
    <row r="5123" spans="1:15" ht="15" customHeight="1" x14ac:dyDescent="0.3">
      <c r="A5123" s="23" t="s">
        <v>10686</v>
      </c>
      <c r="B5123" s="38">
        <v>46280</v>
      </c>
      <c r="C5123" s="23" t="s">
        <v>10687</v>
      </c>
      <c r="D5123" s="23" t="s">
        <v>92</v>
      </c>
      <c r="E5123" s="23" t="s">
        <v>75</v>
      </c>
      <c r="F5123" s="23" t="s">
        <v>475</v>
      </c>
      <c r="G5123" s="23" t="s">
        <v>250</v>
      </c>
      <c r="H5123" s="39">
        <f t="shared" si="320"/>
        <v>799</v>
      </c>
      <c r="I5123" s="23" t="str">
        <f t="shared" si="321"/>
        <v>Hyderabad</v>
      </c>
      <c r="J5123" s="23">
        <f>COUNTIFS(pg_transaction_cleaned!$O:$O,A5123,pg_transaction_cleaned!$F:$F,"CAPTURE")</f>
        <v>1</v>
      </c>
      <c r="K5123" s="39">
        <f>SUMIFS(pg_transaction_cleaned!$H:$H,pg_transaction_cleaned!$O:$O,A5123,pg_transaction_cleaned!$F:$F,"CAPTURE")</f>
        <v>799</v>
      </c>
      <c r="L5123" s="23">
        <f>COUNTIFS(pg_transaction_cleaned!$O:$O,A5123,pg_transaction_cleaned!$F:$F,"REFUND")</f>
        <v>0</v>
      </c>
      <c r="M5123" s="39">
        <f>SUMIFS(pg_transaction_cleaned!$H:$H,pg_transaction_cleaned!$O:$O,A5123,pg_transaction_cleaned!$F:$F,"REFUND")</f>
        <v>0</v>
      </c>
      <c r="N5123" s="23" t="str">
        <f t="shared" si="322"/>
        <v>OK</v>
      </c>
      <c r="O5123" s="24">
        <f t="shared" si="323"/>
        <v>0</v>
      </c>
    </row>
    <row r="5124" spans="1:15" ht="15" customHeight="1" x14ac:dyDescent="0.3">
      <c r="A5124" s="23" t="s">
        <v>10688</v>
      </c>
      <c r="B5124" s="38">
        <v>46286</v>
      </c>
      <c r="C5124" s="23" t="s">
        <v>10689</v>
      </c>
      <c r="D5124" s="23" t="s">
        <v>93</v>
      </c>
      <c r="E5124" s="23" t="s">
        <v>75</v>
      </c>
      <c r="F5124" s="23" t="s">
        <v>10690</v>
      </c>
      <c r="G5124" s="23" t="s">
        <v>250</v>
      </c>
      <c r="H5124" s="39">
        <f t="shared" si="320"/>
        <v>2797</v>
      </c>
      <c r="I5124" s="23" t="str">
        <f t="shared" si="321"/>
        <v>Kolkata</v>
      </c>
      <c r="J5124" s="23">
        <f>COUNTIFS(pg_transaction_cleaned!$O:$O,A5124,pg_transaction_cleaned!$F:$F,"CAPTURE")</f>
        <v>1</v>
      </c>
      <c r="K5124" s="39">
        <f>SUMIFS(pg_transaction_cleaned!$H:$H,pg_transaction_cleaned!$O:$O,A5124,pg_transaction_cleaned!$F:$F,"CAPTURE")</f>
        <v>2797</v>
      </c>
      <c r="L5124" s="23">
        <f>COUNTIFS(pg_transaction_cleaned!$O:$O,A5124,pg_transaction_cleaned!$F:$F,"REFUND")</f>
        <v>0</v>
      </c>
      <c r="M5124" s="39">
        <f>SUMIFS(pg_transaction_cleaned!$H:$H,pg_transaction_cleaned!$O:$O,A5124,pg_transaction_cleaned!$F:$F,"REFUND")</f>
        <v>0</v>
      </c>
      <c r="N5124" s="23" t="str">
        <f t="shared" si="322"/>
        <v>OK</v>
      </c>
      <c r="O5124" s="24">
        <f t="shared" si="323"/>
        <v>0</v>
      </c>
    </row>
    <row r="5125" spans="1:15" ht="15" customHeight="1" x14ac:dyDescent="0.3">
      <c r="A5125" s="23" t="s">
        <v>10691</v>
      </c>
      <c r="B5125" s="38">
        <v>46266</v>
      </c>
      <c r="C5125" s="23" t="s">
        <v>10692</v>
      </c>
      <c r="D5125" s="23" t="s">
        <v>88</v>
      </c>
      <c r="E5125" s="23" t="s">
        <v>81</v>
      </c>
      <c r="F5125" s="23" t="s">
        <v>329</v>
      </c>
      <c r="G5125" s="23" t="s">
        <v>301</v>
      </c>
      <c r="H5125" s="39">
        <f t="shared" si="320"/>
        <v>599</v>
      </c>
      <c r="I5125" s="23" t="str">
        <f t="shared" si="321"/>
        <v>Lucknow</v>
      </c>
      <c r="J5125" s="23">
        <f>COUNTIFS(pg_transaction_cleaned!$O:$O,A5125,pg_transaction_cleaned!$F:$F,"CAPTURE")</f>
        <v>1</v>
      </c>
      <c r="K5125" s="39">
        <f>SUMIFS(pg_transaction_cleaned!$H:$H,pg_transaction_cleaned!$O:$O,A5125,pg_transaction_cleaned!$F:$F,"CAPTURE")</f>
        <v>599</v>
      </c>
      <c r="L5125" s="23">
        <f>COUNTIFS(pg_transaction_cleaned!$O:$O,A5125,pg_transaction_cleaned!$F:$F,"REFUND")</f>
        <v>1</v>
      </c>
      <c r="M5125" s="39">
        <f>SUMIFS(pg_transaction_cleaned!$H:$H,pg_transaction_cleaned!$O:$O,A5125,pg_transaction_cleaned!$F:$F,"REFUND")</f>
        <v>599</v>
      </c>
      <c r="N5125" s="23" t="str">
        <f t="shared" si="322"/>
        <v>OK</v>
      </c>
      <c r="O5125" s="24">
        <f t="shared" si="323"/>
        <v>0</v>
      </c>
    </row>
    <row r="5126" spans="1:15" ht="15" customHeight="1" x14ac:dyDescent="0.3">
      <c r="A5126" s="23" t="s">
        <v>10693</v>
      </c>
      <c r="B5126" s="38">
        <v>46279</v>
      </c>
      <c r="C5126" s="23" t="s">
        <v>10694</v>
      </c>
      <c r="D5126" s="23" t="s">
        <v>93</v>
      </c>
      <c r="E5126" s="23" t="s">
        <v>77</v>
      </c>
      <c r="F5126" s="23" t="s">
        <v>1879</v>
      </c>
      <c r="G5126" s="23" t="s">
        <v>250</v>
      </c>
      <c r="H5126" s="39">
        <f t="shared" si="320"/>
        <v>2497</v>
      </c>
      <c r="I5126" s="23" t="str">
        <f t="shared" si="321"/>
        <v>Kolkata</v>
      </c>
      <c r="J5126" s="23">
        <f>COUNTIFS(pg_transaction_cleaned!$O:$O,A5126,pg_transaction_cleaned!$F:$F,"CAPTURE")</f>
        <v>1</v>
      </c>
      <c r="K5126" s="39">
        <f>SUMIFS(pg_transaction_cleaned!$H:$H,pg_transaction_cleaned!$O:$O,A5126,pg_transaction_cleaned!$F:$F,"CAPTURE")</f>
        <v>2497</v>
      </c>
      <c r="L5126" s="23">
        <f>COUNTIFS(pg_transaction_cleaned!$O:$O,A5126,pg_transaction_cleaned!$F:$F,"REFUND")</f>
        <v>0</v>
      </c>
      <c r="M5126" s="39">
        <f>SUMIFS(pg_transaction_cleaned!$H:$H,pg_transaction_cleaned!$O:$O,A5126,pg_transaction_cleaned!$F:$F,"REFUND")</f>
        <v>0</v>
      </c>
      <c r="N5126" s="23" t="str">
        <f t="shared" si="322"/>
        <v>OK</v>
      </c>
      <c r="O5126" s="24">
        <f t="shared" si="323"/>
        <v>0</v>
      </c>
    </row>
    <row r="5127" spans="1:15" ht="15" customHeight="1" x14ac:dyDescent="0.3">
      <c r="A5127" s="23" t="s">
        <v>10695</v>
      </c>
      <c r="B5127" s="38">
        <v>46291</v>
      </c>
      <c r="C5127" s="23" t="s">
        <v>10696</v>
      </c>
      <c r="D5127" s="23" t="s">
        <v>90</v>
      </c>
      <c r="E5127" s="23" t="s">
        <v>79</v>
      </c>
      <c r="F5127" s="23" t="s">
        <v>880</v>
      </c>
      <c r="G5127" s="23" t="s">
        <v>250</v>
      </c>
      <c r="H5127" s="39">
        <f t="shared" si="320"/>
        <v>2298</v>
      </c>
      <c r="I5127" s="23" t="str">
        <f t="shared" si="321"/>
        <v>Ahmedabad</v>
      </c>
      <c r="J5127" s="23">
        <f>COUNTIFS(pg_transaction_cleaned!$O:$O,A5127,pg_transaction_cleaned!$F:$F,"CAPTURE")</f>
        <v>1</v>
      </c>
      <c r="K5127" s="39">
        <f>SUMIFS(pg_transaction_cleaned!$H:$H,pg_transaction_cleaned!$O:$O,A5127,pg_transaction_cleaned!$F:$F,"CAPTURE")</f>
        <v>2298</v>
      </c>
      <c r="L5127" s="23">
        <f>COUNTIFS(pg_transaction_cleaned!$O:$O,A5127,pg_transaction_cleaned!$F:$F,"REFUND")</f>
        <v>0</v>
      </c>
      <c r="M5127" s="39">
        <f>SUMIFS(pg_transaction_cleaned!$H:$H,pg_transaction_cleaned!$O:$O,A5127,pg_transaction_cleaned!$F:$F,"REFUND")</f>
        <v>0</v>
      </c>
      <c r="N5127" s="23" t="str">
        <f t="shared" si="322"/>
        <v>OK</v>
      </c>
      <c r="O5127" s="24">
        <f t="shared" si="323"/>
        <v>0</v>
      </c>
    </row>
    <row r="5128" spans="1:15" ht="15" customHeight="1" x14ac:dyDescent="0.3">
      <c r="A5128" s="23" t="s">
        <v>10697</v>
      </c>
      <c r="B5128" s="38">
        <v>46289</v>
      </c>
      <c r="C5128" s="23" t="s">
        <v>10698</v>
      </c>
      <c r="D5128" s="23" t="s">
        <v>87</v>
      </c>
      <c r="E5128" s="23" t="s">
        <v>75</v>
      </c>
      <c r="F5128" s="23" t="s">
        <v>268</v>
      </c>
      <c r="G5128" s="23" t="s">
        <v>250</v>
      </c>
      <c r="H5128" s="39">
        <f t="shared" si="320"/>
        <v>1299</v>
      </c>
      <c r="I5128" s="23" t="str">
        <f t="shared" si="321"/>
        <v>Mumbai</v>
      </c>
      <c r="J5128" s="23">
        <f>COUNTIFS(pg_transaction_cleaned!$O:$O,A5128,pg_transaction_cleaned!$F:$F,"CAPTURE")</f>
        <v>1</v>
      </c>
      <c r="K5128" s="39">
        <f>SUMIFS(pg_transaction_cleaned!$H:$H,pg_transaction_cleaned!$O:$O,A5128,pg_transaction_cleaned!$F:$F,"CAPTURE")</f>
        <v>1299</v>
      </c>
      <c r="L5128" s="23">
        <f>COUNTIFS(pg_transaction_cleaned!$O:$O,A5128,pg_transaction_cleaned!$F:$F,"REFUND")</f>
        <v>0</v>
      </c>
      <c r="M5128" s="39">
        <f>SUMIFS(pg_transaction_cleaned!$H:$H,pg_transaction_cleaned!$O:$O,A5128,pg_transaction_cleaned!$F:$F,"REFUND")</f>
        <v>0</v>
      </c>
      <c r="N5128" s="23" t="str">
        <f t="shared" si="322"/>
        <v>OK</v>
      </c>
      <c r="O5128" s="24">
        <f t="shared" si="323"/>
        <v>0</v>
      </c>
    </row>
    <row r="5129" spans="1:15" ht="15" customHeight="1" x14ac:dyDescent="0.3">
      <c r="A5129" s="23" t="s">
        <v>10699</v>
      </c>
      <c r="B5129" s="38">
        <v>46284</v>
      </c>
      <c r="C5129" s="23" t="s">
        <v>10700</v>
      </c>
      <c r="D5129" s="23" t="s">
        <v>95</v>
      </c>
      <c r="E5129" s="23" t="s">
        <v>75</v>
      </c>
      <c r="F5129" s="23" t="s">
        <v>310</v>
      </c>
      <c r="G5129" s="23" t="s">
        <v>250</v>
      </c>
      <c r="H5129" s="39">
        <f t="shared" si="320"/>
        <v>7999</v>
      </c>
      <c r="I5129" s="23" t="str">
        <f t="shared" si="321"/>
        <v>Bengaluru</v>
      </c>
      <c r="J5129" s="23">
        <f>COUNTIFS(pg_transaction_cleaned!$O:$O,A5129,pg_transaction_cleaned!$F:$F,"CAPTURE")</f>
        <v>1</v>
      </c>
      <c r="K5129" s="39">
        <f>SUMIFS(pg_transaction_cleaned!$H:$H,pg_transaction_cleaned!$O:$O,A5129,pg_transaction_cleaned!$F:$F,"CAPTURE")</f>
        <v>7999</v>
      </c>
      <c r="L5129" s="23">
        <f>COUNTIFS(pg_transaction_cleaned!$O:$O,A5129,pg_transaction_cleaned!$F:$F,"REFUND")</f>
        <v>0</v>
      </c>
      <c r="M5129" s="39">
        <f>SUMIFS(pg_transaction_cleaned!$H:$H,pg_transaction_cleaned!$O:$O,A5129,pg_transaction_cleaned!$F:$F,"REFUND")</f>
        <v>0</v>
      </c>
      <c r="N5129" s="23" t="str">
        <f t="shared" si="322"/>
        <v>OK</v>
      </c>
      <c r="O5129" s="24">
        <f t="shared" si="323"/>
        <v>0</v>
      </c>
    </row>
    <row r="5130" spans="1:15" ht="15" customHeight="1" x14ac:dyDescent="0.3">
      <c r="A5130" s="23" t="s">
        <v>10701</v>
      </c>
      <c r="B5130" s="38">
        <v>46274</v>
      </c>
      <c r="C5130" s="23" t="s">
        <v>10702</v>
      </c>
      <c r="D5130" s="23" t="s">
        <v>94</v>
      </c>
      <c r="E5130" s="23" t="s">
        <v>79</v>
      </c>
      <c r="F5130" s="23" t="s">
        <v>297</v>
      </c>
      <c r="G5130" s="23" t="s">
        <v>250</v>
      </c>
      <c r="H5130" s="39">
        <f t="shared" si="320"/>
        <v>4999</v>
      </c>
      <c r="I5130" s="23" t="str">
        <f t="shared" si="321"/>
        <v>Chennai</v>
      </c>
      <c r="J5130" s="23">
        <f>COUNTIFS(pg_transaction_cleaned!$O:$O,A5130,pg_transaction_cleaned!$F:$F,"CAPTURE")</f>
        <v>1</v>
      </c>
      <c r="K5130" s="39">
        <f>SUMIFS(pg_transaction_cleaned!$H:$H,pg_transaction_cleaned!$O:$O,A5130,pg_transaction_cleaned!$F:$F,"CAPTURE")</f>
        <v>4999</v>
      </c>
      <c r="L5130" s="23">
        <f>COUNTIFS(pg_transaction_cleaned!$O:$O,A5130,pg_transaction_cleaned!$F:$F,"REFUND")</f>
        <v>0</v>
      </c>
      <c r="M5130" s="39">
        <f>SUMIFS(pg_transaction_cleaned!$H:$H,pg_transaction_cleaned!$O:$O,A5130,pg_transaction_cleaned!$F:$F,"REFUND")</f>
        <v>0</v>
      </c>
      <c r="N5130" s="23" t="str">
        <f t="shared" si="322"/>
        <v>OK</v>
      </c>
      <c r="O5130" s="24">
        <f t="shared" si="323"/>
        <v>0</v>
      </c>
    </row>
    <row r="5131" spans="1:15" ht="15" customHeight="1" x14ac:dyDescent="0.3">
      <c r="A5131" s="23" t="s">
        <v>10703</v>
      </c>
      <c r="B5131" s="38">
        <v>46267</v>
      </c>
      <c r="C5131" s="23" t="s">
        <v>10704</v>
      </c>
      <c r="D5131" s="23" t="s">
        <v>87</v>
      </c>
      <c r="E5131" s="23" t="s">
        <v>81</v>
      </c>
      <c r="F5131" s="23" t="s">
        <v>2045</v>
      </c>
      <c r="G5131" s="23" t="s">
        <v>250</v>
      </c>
      <c r="H5131" s="39">
        <f t="shared" si="320"/>
        <v>698</v>
      </c>
      <c r="I5131" s="23" t="str">
        <f t="shared" si="321"/>
        <v>Mumbai</v>
      </c>
      <c r="J5131" s="23">
        <f>COUNTIFS(pg_transaction_cleaned!$O:$O,A5131,pg_transaction_cleaned!$F:$F,"CAPTURE")</f>
        <v>1</v>
      </c>
      <c r="K5131" s="39">
        <f>SUMIFS(pg_transaction_cleaned!$H:$H,pg_transaction_cleaned!$O:$O,A5131,pg_transaction_cleaned!$F:$F,"CAPTURE")</f>
        <v>698</v>
      </c>
      <c r="L5131" s="23">
        <f>COUNTIFS(pg_transaction_cleaned!$O:$O,A5131,pg_transaction_cleaned!$F:$F,"REFUND")</f>
        <v>0</v>
      </c>
      <c r="M5131" s="39">
        <f>SUMIFS(pg_transaction_cleaned!$H:$H,pg_transaction_cleaned!$O:$O,A5131,pg_transaction_cleaned!$F:$F,"REFUND")</f>
        <v>0</v>
      </c>
      <c r="N5131" s="23" t="str">
        <f t="shared" si="322"/>
        <v>OK</v>
      </c>
      <c r="O5131" s="24">
        <f t="shared" si="323"/>
        <v>0</v>
      </c>
    </row>
    <row r="5132" spans="1:15" ht="15" customHeight="1" x14ac:dyDescent="0.3">
      <c r="A5132" s="23" t="s">
        <v>10705</v>
      </c>
      <c r="B5132" s="38">
        <v>46273</v>
      </c>
      <c r="C5132" s="23" t="s">
        <v>10706</v>
      </c>
      <c r="D5132" s="23" t="s">
        <v>95</v>
      </c>
      <c r="E5132" s="23" t="s">
        <v>75</v>
      </c>
      <c r="F5132" s="23" t="s">
        <v>310</v>
      </c>
      <c r="G5132" s="23" t="s">
        <v>250</v>
      </c>
      <c r="H5132" s="39">
        <f t="shared" si="320"/>
        <v>7999</v>
      </c>
      <c r="I5132" s="23" t="str">
        <f t="shared" si="321"/>
        <v>Bengaluru</v>
      </c>
      <c r="J5132" s="23">
        <f>COUNTIFS(pg_transaction_cleaned!$O:$O,A5132,pg_transaction_cleaned!$F:$F,"CAPTURE")</f>
        <v>1</v>
      </c>
      <c r="K5132" s="39">
        <f>SUMIFS(pg_transaction_cleaned!$H:$H,pg_transaction_cleaned!$O:$O,A5132,pg_transaction_cleaned!$F:$F,"CAPTURE")</f>
        <v>7999</v>
      </c>
      <c r="L5132" s="23">
        <f>COUNTIFS(pg_transaction_cleaned!$O:$O,A5132,pg_transaction_cleaned!$F:$F,"REFUND")</f>
        <v>0</v>
      </c>
      <c r="M5132" s="39">
        <f>SUMIFS(pg_transaction_cleaned!$H:$H,pg_transaction_cleaned!$O:$O,A5132,pg_transaction_cleaned!$F:$F,"REFUND")</f>
        <v>0</v>
      </c>
      <c r="N5132" s="23" t="str">
        <f t="shared" si="322"/>
        <v>OK</v>
      </c>
      <c r="O5132" s="24">
        <f t="shared" si="323"/>
        <v>0</v>
      </c>
    </row>
    <row r="5133" spans="1:15" ht="15" customHeight="1" x14ac:dyDescent="0.3">
      <c r="A5133" s="23" t="s">
        <v>10707</v>
      </c>
      <c r="B5133" s="38">
        <v>46293</v>
      </c>
      <c r="C5133" s="23" t="s">
        <v>10708</v>
      </c>
      <c r="D5133" s="23" t="s">
        <v>90</v>
      </c>
      <c r="E5133" s="23" t="s">
        <v>79</v>
      </c>
      <c r="F5133" s="23" t="s">
        <v>1445</v>
      </c>
      <c r="G5133" s="23" t="s">
        <v>250</v>
      </c>
      <c r="H5133" s="39">
        <f t="shared" si="320"/>
        <v>10997</v>
      </c>
      <c r="I5133" s="23" t="str">
        <f t="shared" si="321"/>
        <v>Ahmedabad</v>
      </c>
      <c r="J5133" s="23">
        <f>COUNTIFS(pg_transaction_cleaned!$O:$O,A5133,pg_transaction_cleaned!$F:$F,"CAPTURE")</f>
        <v>1</v>
      </c>
      <c r="K5133" s="39">
        <f>SUMIFS(pg_transaction_cleaned!$H:$H,pg_transaction_cleaned!$O:$O,A5133,pg_transaction_cleaned!$F:$F,"CAPTURE")</f>
        <v>10997</v>
      </c>
      <c r="L5133" s="23">
        <f>COUNTIFS(pg_transaction_cleaned!$O:$O,A5133,pg_transaction_cleaned!$F:$F,"REFUND")</f>
        <v>0</v>
      </c>
      <c r="M5133" s="39">
        <f>SUMIFS(pg_transaction_cleaned!$H:$H,pg_transaction_cleaned!$O:$O,A5133,pg_transaction_cleaned!$F:$F,"REFUND")</f>
        <v>0</v>
      </c>
      <c r="N5133" s="23" t="str">
        <f t="shared" si="322"/>
        <v>OK</v>
      </c>
      <c r="O5133" s="24">
        <f t="shared" si="323"/>
        <v>0</v>
      </c>
    </row>
    <row r="5134" spans="1:15" ht="15" customHeight="1" x14ac:dyDescent="0.3">
      <c r="A5134" s="23" t="s">
        <v>10709</v>
      </c>
      <c r="B5134" s="38">
        <v>46295</v>
      </c>
      <c r="C5134" s="23" t="s">
        <v>10710</v>
      </c>
      <c r="D5134" s="23" t="s">
        <v>92</v>
      </c>
      <c r="E5134" s="23" t="s">
        <v>75</v>
      </c>
      <c r="F5134" s="23" t="s">
        <v>346</v>
      </c>
      <c r="G5134" s="23" t="s">
        <v>250</v>
      </c>
      <c r="H5134" s="39">
        <f t="shared" si="320"/>
        <v>4498</v>
      </c>
      <c r="I5134" s="23" t="str">
        <f t="shared" si="321"/>
        <v>Hyderabad</v>
      </c>
      <c r="J5134" s="23">
        <f>COUNTIFS(pg_transaction_cleaned!$O:$O,A5134,pg_transaction_cleaned!$F:$F,"CAPTURE")</f>
        <v>1</v>
      </c>
      <c r="K5134" s="39">
        <f>SUMIFS(pg_transaction_cleaned!$H:$H,pg_transaction_cleaned!$O:$O,A5134,pg_transaction_cleaned!$F:$F,"CAPTURE")</f>
        <v>4498</v>
      </c>
      <c r="L5134" s="23">
        <f>COUNTIFS(pg_transaction_cleaned!$O:$O,A5134,pg_transaction_cleaned!$F:$F,"REFUND")</f>
        <v>0</v>
      </c>
      <c r="M5134" s="39">
        <f>SUMIFS(pg_transaction_cleaned!$H:$H,pg_transaction_cleaned!$O:$O,A5134,pg_transaction_cleaned!$F:$F,"REFUND")</f>
        <v>0</v>
      </c>
      <c r="N5134" s="23" t="str">
        <f t="shared" si="322"/>
        <v>OK</v>
      </c>
      <c r="O5134" s="24">
        <f t="shared" si="323"/>
        <v>0</v>
      </c>
    </row>
    <row r="5135" spans="1:15" ht="15" customHeight="1" x14ac:dyDescent="0.3">
      <c r="A5135" s="23" t="s">
        <v>10711</v>
      </c>
      <c r="B5135" s="38">
        <v>46291</v>
      </c>
      <c r="C5135" s="23" t="s">
        <v>5224</v>
      </c>
      <c r="D5135" s="23" t="s">
        <v>93</v>
      </c>
      <c r="E5135" s="23" t="s">
        <v>75</v>
      </c>
      <c r="F5135" s="23" t="s">
        <v>271</v>
      </c>
      <c r="G5135" s="23" t="s">
        <v>318</v>
      </c>
      <c r="H5135" s="39">
        <f t="shared" si="320"/>
        <v>2499</v>
      </c>
      <c r="I5135" s="23" t="str">
        <f t="shared" si="321"/>
        <v>Kolkata</v>
      </c>
      <c r="J5135" s="23">
        <f>COUNTIFS(pg_transaction_cleaned!$O:$O,A5135,pg_transaction_cleaned!$F:$F,"CAPTURE")</f>
        <v>0</v>
      </c>
      <c r="K5135" s="39">
        <f>SUMIFS(pg_transaction_cleaned!$H:$H,pg_transaction_cleaned!$O:$O,A5135,pg_transaction_cleaned!$F:$F,"CAPTURE")</f>
        <v>0</v>
      </c>
      <c r="L5135" s="23">
        <f>COUNTIFS(pg_transaction_cleaned!$O:$O,A5135,pg_transaction_cleaned!$F:$F,"REFUND")</f>
        <v>0</v>
      </c>
      <c r="M5135" s="39">
        <f>SUMIFS(pg_transaction_cleaned!$H:$H,pg_transaction_cleaned!$O:$O,A5135,pg_transaction_cleaned!$F:$F,"REFUND")</f>
        <v>0</v>
      </c>
      <c r="N5135" s="23" t="str">
        <f t="shared" si="322"/>
        <v>OK</v>
      </c>
      <c r="O5135" s="24">
        <f t="shared" si="323"/>
        <v>0</v>
      </c>
    </row>
    <row r="5136" spans="1:15" ht="15" customHeight="1" x14ac:dyDescent="0.3">
      <c r="A5136" s="23" t="s">
        <v>10712</v>
      </c>
      <c r="B5136" s="38">
        <v>46279</v>
      </c>
      <c r="C5136" s="23" t="s">
        <v>10713</v>
      </c>
      <c r="D5136" s="23" t="s">
        <v>94</v>
      </c>
      <c r="E5136" s="23" t="s">
        <v>75</v>
      </c>
      <c r="F5136" s="23" t="s">
        <v>349</v>
      </c>
      <c r="G5136" s="23" t="s">
        <v>250</v>
      </c>
      <c r="H5136" s="39">
        <f t="shared" si="320"/>
        <v>1798</v>
      </c>
      <c r="I5136" s="23" t="str">
        <f t="shared" si="321"/>
        <v>Chennai</v>
      </c>
      <c r="J5136" s="23">
        <f>COUNTIFS(pg_transaction_cleaned!$O:$O,A5136,pg_transaction_cleaned!$F:$F,"CAPTURE")</f>
        <v>1</v>
      </c>
      <c r="K5136" s="39">
        <f>SUMIFS(pg_transaction_cleaned!$H:$H,pg_transaction_cleaned!$O:$O,A5136,pg_transaction_cleaned!$F:$F,"CAPTURE")</f>
        <v>1798</v>
      </c>
      <c r="L5136" s="23">
        <f>COUNTIFS(pg_transaction_cleaned!$O:$O,A5136,pg_transaction_cleaned!$F:$F,"REFUND")</f>
        <v>0</v>
      </c>
      <c r="M5136" s="39">
        <f>SUMIFS(pg_transaction_cleaned!$H:$H,pg_transaction_cleaned!$O:$O,A5136,pg_transaction_cleaned!$F:$F,"REFUND")</f>
        <v>0</v>
      </c>
      <c r="N5136" s="23" t="str">
        <f t="shared" si="322"/>
        <v>OK</v>
      </c>
      <c r="O5136" s="24">
        <f t="shared" si="323"/>
        <v>0</v>
      </c>
    </row>
    <row r="5137" spans="1:15" ht="15" customHeight="1" x14ac:dyDescent="0.3">
      <c r="A5137" s="23" t="s">
        <v>10714</v>
      </c>
      <c r="B5137" s="38">
        <v>46293</v>
      </c>
      <c r="C5137" s="23" t="s">
        <v>10715</v>
      </c>
      <c r="D5137" s="23" t="s">
        <v>91</v>
      </c>
      <c r="E5137" s="23" t="s">
        <v>75</v>
      </c>
      <c r="F5137" s="23" t="s">
        <v>10716</v>
      </c>
      <c r="G5137" s="23" t="s">
        <v>250</v>
      </c>
      <c r="H5137" s="39">
        <f t="shared" si="320"/>
        <v>1998</v>
      </c>
      <c r="I5137" s="23" t="str">
        <f t="shared" si="321"/>
        <v>Pune</v>
      </c>
      <c r="J5137" s="23">
        <f>COUNTIFS(pg_transaction_cleaned!$O:$O,A5137,pg_transaction_cleaned!$F:$F,"CAPTURE")</f>
        <v>1</v>
      </c>
      <c r="K5137" s="39">
        <f>SUMIFS(pg_transaction_cleaned!$H:$H,pg_transaction_cleaned!$O:$O,A5137,pg_transaction_cleaned!$F:$F,"CAPTURE")</f>
        <v>1998</v>
      </c>
      <c r="L5137" s="23">
        <f>COUNTIFS(pg_transaction_cleaned!$O:$O,A5137,pg_transaction_cleaned!$F:$F,"REFUND")</f>
        <v>0</v>
      </c>
      <c r="M5137" s="39">
        <f>SUMIFS(pg_transaction_cleaned!$H:$H,pg_transaction_cleaned!$O:$O,A5137,pg_transaction_cleaned!$F:$F,"REFUND")</f>
        <v>0</v>
      </c>
      <c r="N5137" s="23" t="str">
        <f t="shared" si="322"/>
        <v>OK</v>
      </c>
      <c r="O5137" s="24">
        <f t="shared" si="323"/>
        <v>0</v>
      </c>
    </row>
    <row r="5138" spans="1:15" ht="15" customHeight="1" x14ac:dyDescent="0.3">
      <c r="A5138" s="23" t="s">
        <v>10717</v>
      </c>
      <c r="B5138" s="38">
        <v>46279</v>
      </c>
      <c r="C5138" s="23" t="s">
        <v>10718</v>
      </c>
      <c r="D5138" s="23" t="s">
        <v>92</v>
      </c>
      <c r="E5138" s="23" t="s">
        <v>75</v>
      </c>
      <c r="F5138" s="23" t="s">
        <v>10719</v>
      </c>
      <c r="G5138" s="23" t="s">
        <v>250</v>
      </c>
      <c r="H5138" s="39">
        <f t="shared" si="320"/>
        <v>11847</v>
      </c>
      <c r="I5138" s="23" t="str">
        <f t="shared" si="321"/>
        <v>Hyderabad</v>
      </c>
      <c r="J5138" s="23">
        <f>COUNTIFS(pg_transaction_cleaned!$O:$O,A5138,pg_transaction_cleaned!$F:$F,"CAPTURE")</f>
        <v>1</v>
      </c>
      <c r="K5138" s="39">
        <f>SUMIFS(pg_transaction_cleaned!$H:$H,pg_transaction_cleaned!$O:$O,A5138,pg_transaction_cleaned!$F:$F,"CAPTURE")</f>
        <v>11847</v>
      </c>
      <c r="L5138" s="23">
        <f>COUNTIFS(pg_transaction_cleaned!$O:$O,A5138,pg_transaction_cleaned!$F:$F,"REFUND")</f>
        <v>0</v>
      </c>
      <c r="M5138" s="39">
        <f>SUMIFS(pg_transaction_cleaned!$H:$H,pg_transaction_cleaned!$O:$O,A5138,pg_transaction_cleaned!$F:$F,"REFUND")</f>
        <v>0</v>
      </c>
      <c r="N5138" s="23" t="str">
        <f t="shared" si="322"/>
        <v>OK</v>
      </c>
      <c r="O5138" s="24">
        <f t="shared" si="323"/>
        <v>0</v>
      </c>
    </row>
    <row r="5139" spans="1:15" ht="15" customHeight="1" x14ac:dyDescent="0.3">
      <c r="A5139" s="23" t="s">
        <v>10720</v>
      </c>
      <c r="B5139" s="38">
        <v>46280</v>
      </c>
      <c r="C5139" s="23" t="s">
        <v>7454</v>
      </c>
      <c r="D5139" s="23" t="s">
        <v>86</v>
      </c>
      <c r="E5139" s="23" t="s">
        <v>79</v>
      </c>
      <c r="F5139" s="23" t="s">
        <v>2160</v>
      </c>
      <c r="G5139" s="23" t="s">
        <v>250</v>
      </c>
      <c r="H5139" s="39">
        <f t="shared" si="320"/>
        <v>7998</v>
      </c>
      <c r="I5139" s="23" t="str">
        <f t="shared" si="321"/>
        <v>Delhi</v>
      </c>
      <c r="J5139" s="23">
        <f>COUNTIFS(pg_transaction_cleaned!$O:$O,A5139,pg_transaction_cleaned!$F:$F,"CAPTURE")</f>
        <v>1</v>
      </c>
      <c r="K5139" s="39">
        <f>SUMIFS(pg_transaction_cleaned!$H:$H,pg_transaction_cleaned!$O:$O,A5139,pg_transaction_cleaned!$F:$F,"CAPTURE")</f>
        <v>7998</v>
      </c>
      <c r="L5139" s="23">
        <f>COUNTIFS(pg_transaction_cleaned!$O:$O,A5139,pg_transaction_cleaned!$F:$F,"REFUND")</f>
        <v>0</v>
      </c>
      <c r="M5139" s="39">
        <f>SUMIFS(pg_transaction_cleaned!$H:$H,pg_transaction_cleaned!$O:$O,A5139,pg_transaction_cleaned!$F:$F,"REFUND")</f>
        <v>0</v>
      </c>
      <c r="N5139" s="23" t="str">
        <f t="shared" si="322"/>
        <v>OK</v>
      </c>
      <c r="O5139" s="24">
        <f t="shared" si="323"/>
        <v>0</v>
      </c>
    </row>
    <row r="5140" spans="1:15" ht="15" customHeight="1" x14ac:dyDescent="0.3">
      <c r="A5140" s="23" t="s">
        <v>10721</v>
      </c>
      <c r="B5140" s="38">
        <v>46273</v>
      </c>
      <c r="C5140" s="23" t="s">
        <v>10722</v>
      </c>
      <c r="D5140" s="23" t="s">
        <v>89</v>
      </c>
      <c r="E5140" s="23" t="s">
        <v>75</v>
      </c>
      <c r="F5140" s="23" t="s">
        <v>396</v>
      </c>
      <c r="G5140" s="23" t="s">
        <v>250</v>
      </c>
      <c r="H5140" s="39">
        <f t="shared" si="320"/>
        <v>2999</v>
      </c>
      <c r="I5140" s="23" t="str">
        <f t="shared" si="321"/>
        <v>Jaipur</v>
      </c>
      <c r="J5140" s="23">
        <f>COUNTIFS(pg_transaction_cleaned!$O:$O,A5140,pg_transaction_cleaned!$F:$F,"CAPTURE")</f>
        <v>1</v>
      </c>
      <c r="K5140" s="39">
        <f>SUMIFS(pg_transaction_cleaned!$H:$H,pg_transaction_cleaned!$O:$O,A5140,pg_transaction_cleaned!$F:$F,"CAPTURE")</f>
        <v>2999</v>
      </c>
      <c r="L5140" s="23">
        <f>COUNTIFS(pg_transaction_cleaned!$O:$O,A5140,pg_transaction_cleaned!$F:$F,"REFUND")</f>
        <v>0</v>
      </c>
      <c r="M5140" s="39">
        <f>SUMIFS(pg_transaction_cleaned!$H:$H,pg_transaction_cleaned!$O:$O,A5140,pg_transaction_cleaned!$F:$F,"REFUND")</f>
        <v>0</v>
      </c>
      <c r="N5140" s="23" t="str">
        <f t="shared" si="322"/>
        <v>OK</v>
      </c>
      <c r="O5140" s="24">
        <f t="shared" si="323"/>
        <v>0</v>
      </c>
    </row>
    <row r="5141" spans="1:15" ht="15" customHeight="1" x14ac:dyDescent="0.3">
      <c r="A5141" s="23" t="s">
        <v>10723</v>
      </c>
      <c r="B5141" s="38">
        <v>46273</v>
      </c>
      <c r="C5141" s="23" t="s">
        <v>10724</v>
      </c>
      <c r="D5141" s="23" t="s">
        <v>90</v>
      </c>
      <c r="E5141" s="23" t="s">
        <v>79</v>
      </c>
      <c r="F5141" s="23" t="s">
        <v>268</v>
      </c>
      <c r="G5141" s="23" t="s">
        <v>250</v>
      </c>
      <c r="H5141" s="39">
        <f t="shared" si="320"/>
        <v>1299</v>
      </c>
      <c r="I5141" s="23" t="str">
        <f t="shared" si="321"/>
        <v>Ahmedabad</v>
      </c>
      <c r="J5141" s="23">
        <f>COUNTIFS(pg_transaction_cleaned!$O:$O,A5141,pg_transaction_cleaned!$F:$F,"CAPTURE")</f>
        <v>1</v>
      </c>
      <c r="K5141" s="39">
        <f>SUMIFS(pg_transaction_cleaned!$H:$H,pg_transaction_cleaned!$O:$O,A5141,pg_transaction_cleaned!$F:$F,"CAPTURE")</f>
        <v>1299</v>
      </c>
      <c r="L5141" s="23">
        <f>COUNTIFS(pg_transaction_cleaned!$O:$O,A5141,pg_transaction_cleaned!$F:$F,"REFUND")</f>
        <v>0</v>
      </c>
      <c r="M5141" s="39">
        <f>SUMIFS(pg_transaction_cleaned!$H:$H,pg_transaction_cleaned!$O:$O,A5141,pg_transaction_cleaned!$F:$F,"REFUND")</f>
        <v>0</v>
      </c>
      <c r="N5141" s="23" t="str">
        <f t="shared" si="322"/>
        <v>OK</v>
      </c>
      <c r="O5141" s="24">
        <f t="shared" si="323"/>
        <v>0</v>
      </c>
    </row>
    <row r="5142" spans="1:15" ht="15" customHeight="1" x14ac:dyDescent="0.3">
      <c r="A5142" s="23" t="s">
        <v>10725</v>
      </c>
      <c r="B5142" s="38">
        <v>46288</v>
      </c>
      <c r="C5142" s="23" t="s">
        <v>10726</v>
      </c>
      <c r="D5142" s="23" t="s">
        <v>91</v>
      </c>
      <c r="E5142" s="23" t="s">
        <v>81</v>
      </c>
      <c r="F5142" s="23" t="s">
        <v>396</v>
      </c>
      <c r="G5142" s="23" t="s">
        <v>318</v>
      </c>
      <c r="H5142" s="39">
        <f t="shared" si="320"/>
        <v>2999</v>
      </c>
      <c r="I5142" s="23" t="str">
        <f t="shared" si="321"/>
        <v>Pune</v>
      </c>
      <c r="J5142" s="23">
        <f>COUNTIFS(pg_transaction_cleaned!$O:$O,A5142,pg_transaction_cleaned!$F:$F,"CAPTURE")</f>
        <v>0</v>
      </c>
      <c r="K5142" s="39">
        <f>SUMIFS(pg_transaction_cleaned!$H:$H,pg_transaction_cleaned!$O:$O,A5142,pg_transaction_cleaned!$F:$F,"CAPTURE")</f>
        <v>0</v>
      </c>
      <c r="L5142" s="23">
        <f>COUNTIFS(pg_transaction_cleaned!$O:$O,A5142,pg_transaction_cleaned!$F:$F,"REFUND")</f>
        <v>0</v>
      </c>
      <c r="M5142" s="39">
        <f>SUMIFS(pg_transaction_cleaned!$H:$H,pg_transaction_cleaned!$O:$O,A5142,pg_transaction_cleaned!$F:$F,"REFUND")</f>
        <v>0</v>
      </c>
      <c r="N5142" s="23" t="str">
        <f t="shared" si="322"/>
        <v>OK</v>
      </c>
      <c r="O5142" s="24">
        <f t="shared" si="323"/>
        <v>0</v>
      </c>
    </row>
    <row r="5143" spans="1:15" ht="15" customHeight="1" x14ac:dyDescent="0.3">
      <c r="A5143" s="23" t="s">
        <v>10727</v>
      </c>
      <c r="B5143" s="38">
        <v>46280</v>
      </c>
      <c r="C5143" s="23" t="s">
        <v>10728</v>
      </c>
      <c r="D5143" s="23" t="s">
        <v>88</v>
      </c>
      <c r="E5143" s="23" t="s">
        <v>77</v>
      </c>
      <c r="F5143" s="23" t="s">
        <v>315</v>
      </c>
      <c r="G5143" s="23" t="s">
        <v>250</v>
      </c>
      <c r="H5143" s="39">
        <f t="shared" si="320"/>
        <v>1499</v>
      </c>
      <c r="I5143" s="23" t="str">
        <f t="shared" si="321"/>
        <v>Lucknow</v>
      </c>
      <c r="J5143" s="23">
        <f>COUNTIFS(pg_transaction_cleaned!$O:$O,A5143,pg_transaction_cleaned!$F:$F,"CAPTURE")</f>
        <v>1</v>
      </c>
      <c r="K5143" s="39">
        <f>SUMIFS(pg_transaction_cleaned!$H:$H,pg_transaction_cleaned!$O:$O,A5143,pg_transaction_cleaned!$F:$F,"CAPTURE")</f>
        <v>1499</v>
      </c>
      <c r="L5143" s="23">
        <f>COUNTIFS(pg_transaction_cleaned!$O:$O,A5143,pg_transaction_cleaned!$F:$F,"REFUND")</f>
        <v>0</v>
      </c>
      <c r="M5143" s="39">
        <f>SUMIFS(pg_transaction_cleaned!$H:$H,pg_transaction_cleaned!$O:$O,A5143,pg_transaction_cleaned!$F:$F,"REFUND")</f>
        <v>0</v>
      </c>
      <c r="N5143" s="23" t="str">
        <f t="shared" si="322"/>
        <v>OK</v>
      </c>
      <c r="O5143" s="24">
        <f t="shared" si="323"/>
        <v>0</v>
      </c>
    </row>
    <row r="5144" spans="1:15" ht="15" customHeight="1" x14ac:dyDescent="0.3">
      <c r="A5144" s="23" t="s">
        <v>10729</v>
      </c>
      <c r="B5144" s="38">
        <v>46275</v>
      </c>
      <c r="C5144" s="23" t="s">
        <v>10730</v>
      </c>
      <c r="D5144" s="23" t="s">
        <v>87</v>
      </c>
      <c r="E5144" s="23" t="s">
        <v>75</v>
      </c>
      <c r="F5144" s="23" t="s">
        <v>837</v>
      </c>
      <c r="G5144" s="23" t="s">
        <v>250</v>
      </c>
      <c r="H5144" s="39">
        <f t="shared" si="320"/>
        <v>5497</v>
      </c>
      <c r="I5144" s="23" t="str">
        <f t="shared" si="321"/>
        <v>Mumbai</v>
      </c>
      <c r="J5144" s="23">
        <f>COUNTIFS(pg_transaction_cleaned!$O:$O,A5144,pg_transaction_cleaned!$F:$F,"CAPTURE")</f>
        <v>0</v>
      </c>
      <c r="K5144" s="39">
        <f>SUMIFS(pg_transaction_cleaned!$H:$H,pg_transaction_cleaned!$O:$O,A5144,pg_transaction_cleaned!$F:$F,"CAPTURE")</f>
        <v>0</v>
      </c>
      <c r="L5144" s="23">
        <f>COUNTIFS(pg_transaction_cleaned!$O:$O,A5144,pg_transaction_cleaned!$F:$F,"REFUND")</f>
        <v>0</v>
      </c>
      <c r="M5144" s="39">
        <f>SUMIFS(pg_transaction_cleaned!$H:$H,pg_transaction_cleaned!$O:$O,A5144,pg_transaction_cleaned!$F:$F,"REFUND")</f>
        <v>0</v>
      </c>
      <c r="N5144" s="23" t="str">
        <f t="shared" si="322"/>
        <v>Paid, no payment</v>
      </c>
      <c r="O5144" s="24">
        <f t="shared" si="323"/>
        <v>5497</v>
      </c>
    </row>
    <row r="5145" spans="1:15" ht="15" customHeight="1" x14ac:dyDescent="0.3">
      <c r="A5145" s="23" t="s">
        <v>10731</v>
      </c>
      <c r="B5145" s="38">
        <v>46293</v>
      </c>
      <c r="C5145" s="23" t="s">
        <v>10732</v>
      </c>
      <c r="D5145" s="23" t="s">
        <v>92</v>
      </c>
      <c r="E5145" s="23" t="s">
        <v>77</v>
      </c>
      <c r="F5145" s="23" t="s">
        <v>310</v>
      </c>
      <c r="G5145" s="23" t="s">
        <v>301</v>
      </c>
      <c r="H5145" s="39">
        <f t="shared" si="320"/>
        <v>7999</v>
      </c>
      <c r="I5145" s="23" t="str">
        <f t="shared" si="321"/>
        <v>Hyderabad</v>
      </c>
      <c r="J5145" s="23">
        <f>COUNTIFS(pg_transaction_cleaned!$O:$O,A5145,pg_transaction_cleaned!$F:$F,"CAPTURE")</f>
        <v>1</v>
      </c>
      <c r="K5145" s="39">
        <f>SUMIFS(pg_transaction_cleaned!$H:$H,pg_transaction_cleaned!$O:$O,A5145,pg_transaction_cleaned!$F:$F,"CAPTURE")</f>
        <v>7999</v>
      </c>
      <c r="L5145" s="23">
        <f>COUNTIFS(pg_transaction_cleaned!$O:$O,A5145,pg_transaction_cleaned!$F:$F,"REFUND")</f>
        <v>1</v>
      </c>
      <c r="M5145" s="39">
        <f>SUMIFS(pg_transaction_cleaned!$H:$H,pg_transaction_cleaned!$O:$O,A5145,pg_transaction_cleaned!$F:$F,"REFUND")</f>
        <v>7999</v>
      </c>
      <c r="N5145" s="23" t="str">
        <f t="shared" si="322"/>
        <v>OK</v>
      </c>
      <c r="O5145" s="24">
        <f t="shared" si="323"/>
        <v>0</v>
      </c>
    </row>
    <row r="5146" spans="1:15" ht="15" customHeight="1" x14ac:dyDescent="0.3">
      <c r="A5146" s="23" t="s">
        <v>10733</v>
      </c>
      <c r="B5146" s="38">
        <v>46283</v>
      </c>
      <c r="C5146" s="23" t="s">
        <v>10734</v>
      </c>
      <c r="D5146" s="23" t="s">
        <v>95</v>
      </c>
      <c r="E5146" s="23" t="s">
        <v>81</v>
      </c>
      <c r="F5146" s="23" t="s">
        <v>274</v>
      </c>
      <c r="G5146" s="23" t="s">
        <v>250</v>
      </c>
      <c r="H5146" s="39">
        <f t="shared" si="320"/>
        <v>349</v>
      </c>
      <c r="I5146" s="23" t="str">
        <f t="shared" si="321"/>
        <v>Bengaluru</v>
      </c>
      <c r="J5146" s="23">
        <f>COUNTIFS(pg_transaction_cleaned!$O:$O,A5146,pg_transaction_cleaned!$F:$F,"CAPTURE")</f>
        <v>1</v>
      </c>
      <c r="K5146" s="39">
        <f>SUMIFS(pg_transaction_cleaned!$H:$H,pg_transaction_cleaned!$O:$O,A5146,pg_transaction_cleaned!$F:$F,"CAPTURE")</f>
        <v>349</v>
      </c>
      <c r="L5146" s="23">
        <f>COUNTIFS(pg_transaction_cleaned!$O:$O,A5146,pg_transaction_cleaned!$F:$F,"REFUND")</f>
        <v>0</v>
      </c>
      <c r="M5146" s="39">
        <f>SUMIFS(pg_transaction_cleaned!$H:$H,pg_transaction_cleaned!$O:$O,A5146,pg_transaction_cleaned!$F:$F,"REFUND")</f>
        <v>0</v>
      </c>
      <c r="N5146" s="23" t="str">
        <f t="shared" si="322"/>
        <v>OK</v>
      </c>
      <c r="O5146" s="24">
        <f t="shared" si="323"/>
        <v>0</v>
      </c>
    </row>
    <row r="5147" spans="1:15" ht="15" customHeight="1" x14ac:dyDescent="0.3">
      <c r="A5147" s="23" t="s">
        <v>10735</v>
      </c>
      <c r="B5147" s="38">
        <v>46276</v>
      </c>
      <c r="C5147" s="23" t="s">
        <v>10736</v>
      </c>
      <c r="D5147" s="23" t="s">
        <v>95</v>
      </c>
      <c r="E5147" s="23" t="s">
        <v>77</v>
      </c>
      <c r="F5147" s="23" t="s">
        <v>7399</v>
      </c>
      <c r="G5147" s="23" t="s">
        <v>250</v>
      </c>
      <c r="H5147" s="39">
        <f t="shared" si="320"/>
        <v>6497</v>
      </c>
      <c r="I5147" s="23" t="str">
        <f t="shared" si="321"/>
        <v>Bengaluru</v>
      </c>
      <c r="J5147" s="23">
        <f>COUNTIFS(pg_transaction_cleaned!$O:$O,A5147,pg_transaction_cleaned!$F:$F,"CAPTURE")</f>
        <v>1</v>
      </c>
      <c r="K5147" s="39">
        <f>SUMIFS(pg_transaction_cleaned!$H:$H,pg_transaction_cleaned!$O:$O,A5147,pg_transaction_cleaned!$F:$F,"CAPTURE")</f>
        <v>6497</v>
      </c>
      <c r="L5147" s="23">
        <f>COUNTIFS(pg_transaction_cleaned!$O:$O,A5147,pg_transaction_cleaned!$F:$F,"REFUND")</f>
        <v>0</v>
      </c>
      <c r="M5147" s="39">
        <f>SUMIFS(pg_transaction_cleaned!$H:$H,pg_transaction_cleaned!$O:$O,A5147,pg_transaction_cleaned!$F:$F,"REFUND")</f>
        <v>0</v>
      </c>
      <c r="N5147" s="23" t="str">
        <f t="shared" si="322"/>
        <v>OK</v>
      </c>
      <c r="O5147" s="24">
        <f t="shared" si="323"/>
        <v>0</v>
      </c>
    </row>
    <row r="5148" spans="1:15" ht="15" customHeight="1" x14ac:dyDescent="0.3">
      <c r="A5148" s="23" t="s">
        <v>10737</v>
      </c>
      <c r="B5148" s="38">
        <v>46286</v>
      </c>
      <c r="C5148" s="23" t="s">
        <v>10738</v>
      </c>
      <c r="D5148" s="23" t="s">
        <v>94</v>
      </c>
      <c r="E5148" s="23" t="s">
        <v>75</v>
      </c>
      <c r="F5148" s="23" t="s">
        <v>315</v>
      </c>
      <c r="G5148" s="23" t="s">
        <v>250</v>
      </c>
      <c r="H5148" s="39">
        <f t="shared" si="320"/>
        <v>1499</v>
      </c>
      <c r="I5148" s="23" t="str">
        <f t="shared" si="321"/>
        <v>Chennai</v>
      </c>
      <c r="J5148" s="23">
        <f>COUNTIFS(pg_transaction_cleaned!$O:$O,A5148,pg_transaction_cleaned!$F:$F,"CAPTURE")</f>
        <v>1</v>
      </c>
      <c r="K5148" s="39">
        <f>SUMIFS(pg_transaction_cleaned!$H:$H,pg_transaction_cleaned!$O:$O,A5148,pg_transaction_cleaned!$F:$F,"CAPTURE")</f>
        <v>1499</v>
      </c>
      <c r="L5148" s="23">
        <f>COUNTIFS(pg_transaction_cleaned!$O:$O,A5148,pg_transaction_cleaned!$F:$F,"REFUND")</f>
        <v>0</v>
      </c>
      <c r="M5148" s="39">
        <f>SUMIFS(pg_transaction_cleaned!$H:$H,pg_transaction_cleaned!$O:$O,A5148,pg_transaction_cleaned!$F:$F,"REFUND")</f>
        <v>0</v>
      </c>
      <c r="N5148" s="23" t="str">
        <f t="shared" si="322"/>
        <v>OK</v>
      </c>
      <c r="O5148" s="24">
        <f t="shared" si="323"/>
        <v>0</v>
      </c>
    </row>
    <row r="5149" spans="1:15" ht="15" customHeight="1" x14ac:dyDescent="0.3">
      <c r="A5149" s="23" t="s">
        <v>10739</v>
      </c>
      <c r="B5149" s="38">
        <v>46293</v>
      </c>
      <c r="C5149" s="23" t="s">
        <v>10740</v>
      </c>
      <c r="D5149" s="23" t="s">
        <v>95</v>
      </c>
      <c r="E5149" s="23" t="s">
        <v>79</v>
      </c>
      <c r="F5149" s="23" t="s">
        <v>346</v>
      </c>
      <c r="G5149" s="23" t="s">
        <v>250</v>
      </c>
      <c r="H5149" s="39">
        <f t="shared" si="320"/>
        <v>4498</v>
      </c>
      <c r="I5149" s="23" t="str">
        <f t="shared" si="321"/>
        <v>Bengaluru</v>
      </c>
      <c r="J5149" s="23">
        <f>COUNTIFS(pg_transaction_cleaned!$O:$O,A5149,pg_transaction_cleaned!$F:$F,"CAPTURE")</f>
        <v>1</v>
      </c>
      <c r="K5149" s="39">
        <f>SUMIFS(pg_transaction_cleaned!$H:$H,pg_transaction_cleaned!$O:$O,A5149,pg_transaction_cleaned!$F:$F,"CAPTURE")</f>
        <v>4498</v>
      </c>
      <c r="L5149" s="23">
        <f>COUNTIFS(pg_transaction_cleaned!$O:$O,A5149,pg_transaction_cleaned!$F:$F,"REFUND")</f>
        <v>0</v>
      </c>
      <c r="M5149" s="39">
        <f>SUMIFS(pg_transaction_cleaned!$H:$H,pg_transaction_cleaned!$O:$O,A5149,pg_transaction_cleaned!$F:$F,"REFUND")</f>
        <v>0</v>
      </c>
      <c r="N5149" s="23" t="str">
        <f t="shared" si="322"/>
        <v>OK</v>
      </c>
      <c r="O5149" s="24">
        <f t="shared" si="323"/>
        <v>0</v>
      </c>
    </row>
    <row r="5150" spans="1:15" ht="15" customHeight="1" x14ac:dyDescent="0.3">
      <c r="A5150" s="23" t="s">
        <v>10741</v>
      </c>
      <c r="B5150" s="38">
        <v>46267</v>
      </c>
      <c r="C5150" s="23" t="s">
        <v>10742</v>
      </c>
      <c r="D5150" s="23" t="s">
        <v>90</v>
      </c>
      <c r="E5150" s="23" t="s">
        <v>75</v>
      </c>
      <c r="F5150" s="23" t="s">
        <v>268</v>
      </c>
      <c r="G5150" s="23" t="s">
        <v>365</v>
      </c>
      <c r="H5150" s="39">
        <f t="shared" si="320"/>
        <v>1299</v>
      </c>
      <c r="I5150" s="23" t="str">
        <f t="shared" si="321"/>
        <v>Ahmedabad</v>
      </c>
      <c r="J5150" s="23">
        <f>COUNTIFS(pg_transaction_cleaned!$O:$O,A5150,pg_transaction_cleaned!$F:$F,"CAPTURE")</f>
        <v>0</v>
      </c>
      <c r="K5150" s="39">
        <f>SUMIFS(pg_transaction_cleaned!$H:$H,pg_transaction_cleaned!$O:$O,A5150,pg_transaction_cleaned!$F:$F,"CAPTURE")</f>
        <v>0</v>
      </c>
      <c r="L5150" s="23">
        <f>COUNTIFS(pg_transaction_cleaned!$O:$O,A5150,pg_transaction_cleaned!$F:$F,"REFUND")</f>
        <v>0</v>
      </c>
      <c r="M5150" s="39">
        <f>SUMIFS(pg_transaction_cleaned!$H:$H,pg_transaction_cleaned!$O:$O,A5150,pg_transaction_cleaned!$F:$F,"REFUND")</f>
        <v>0</v>
      </c>
      <c r="N5150" s="23" t="str">
        <f t="shared" si="322"/>
        <v>OK</v>
      </c>
      <c r="O5150" s="24">
        <f t="shared" si="323"/>
        <v>0</v>
      </c>
    </row>
    <row r="5151" spans="1:15" ht="15" customHeight="1" x14ac:dyDescent="0.3">
      <c r="A5151" s="23" t="s">
        <v>10743</v>
      </c>
      <c r="B5151" s="38">
        <v>46288</v>
      </c>
      <c r="C5151" s="23" t="s">
        <v>10287</v>
      </c>
      <c r="D5151" s="23" t="s">
        <v>91</v>
      </c>
      <c r="E5151" s="23" t="s">
        <v>75</v>
      </c>
      <c r="F5151" s="23" t="s">
        <v>2337</v>
      </c>
      <c r="G5151" s="23" t="s">
        <v>250</v>
      </c>
      <c r="H5151" s="39">
        <f t="shared" si="320"/>
        <v>8348</v>
      </c>
      <c r="I5151" s="23" t="str">
        <f t="shared" si="321"/>
        <v>Pune</v>
      </c>
      <c r="J5151" s="23">
        <f>COUNTIFS(pg_transaction_cleaned!$O:$O,A5151,pg_transaction_cleaned!$F:$F,"CAPTURE")</f>
        <v>1</v>
      </c>
      <c r="K5151" s="39">
        <f>SUMIFS(pg_transaction_cleaned!$H:$H,pg_transaction_cleaned!$O:$O,A5151,pg_transaction_cleaned!$F:$F,"CAPTURE")</f>
        <v>8348</v>
      </c>
      <c r="L5151" s="23">
        <f>COUNTIFS(pg_transaction_cleaned!$O:$O,A5151,pg_transaction_cleaned!$F:$F,"REFUND")</f>
        <v>0</v>
      </c>
      <c r="M5151" s="39">
        <f>SUMIFS(pg_transaction_cleaned!$H:$H,pg_transaction_cleaned!$O:$O,A5151,pg_transaction_cleaned!$F:$F,"REFUND")</f>
        <v>0</v>
      </c>
      <c r="N5151" s="23" t="str">
        <f t="shared" si="322"/>
        <v>OK</v>
      </c>
      <c r="O5151" s="24">
        <f t="shared" si="323"/>
        <v>0</v>
      </c>
    </row>
    <row r="5152" spans="1:15" ht="15" customHeight="1" x14ac:dyDescent="0.3">
      <c r="A5152" s="23" t="s">
        <v>10744</v>
      </c>
      <c r="B5152" s="38">
        <v>46292</v>
      </c>
      <c r="C5152" s="23" t="s">
        <v>10745</v>
      </c>
      <c r="D5152" s="23" t="s">
        <v>88</v>
      </c>
      <c r="E5152" s="23" t="s">
        <v>79</v>
      </c>
      <c r="F5152" s="23" t="s">
        <v>343</v>
      </c>
      <c r="G5152" s="23" t="s">
        <v>318</v>
      </c>
      <c r="H5152" s="39">
        <f t="shared" si="320"/>
        <v>9498</v>
      </c>
      <c r="I5152" s="23" t="str">
        <f t="shared" si="321"/>
        <v>Lucknow</v>
      </c>
      <c r="J5152" s="23">
        <f>COUNTIFS(pg_transaction_cleaned!$O:$O,A5152,pg_transaction_cleaned!$F:$F,"CAPTURE")</f>
        <v>0</v>
      </c>
      <c r="K5152" s="39">
        <f>SUMIFS(pg_transaction_cleaned!$H:$H,pg_transaction_cleaned!$O:$O,A5152,pg_transaction_cleaned!$F:$F,"CAPTURE")</f>
        <v>0</v>
      </c>
      <c r="L5152" s="23">
        <f>COUNTIFS(pg_transaction_cleaned!$O:$O,A5152,pg_transaction_cleaned!$F:$F,"REFUND")</f>
        <v>0</v>
      </c>
      <c r="M5152" s="39">
        <f>SUMIFS(pg_transaction_cleaned!$H:$H,pg_transaction_cleaned!$O:$O,A5152,pg_transaction_cleaned!$F:$F,"REFUND")</f>
        <v>0</v>
      </c>
      <c r="N5152" s="23" t="str">
        <f t="shared" si="322"/>
        <v>OK</v>
      </c>
      <c r="O5152" s="24">
        <f t="shared" si="323"/>
        <v>0</v>
      </c>
    </row>
    <row r="5153" spans="1:15" ht="15" customHeight="1" x14ac:dyDescent="0.3">
      <c r="A5153" s="23" t="s">
        <v>10746</v>
      </c>
      <c r="B5153" s="38">
        <v>46274</v>
      </c>
      <c r="C5153" s="23" t="s">
        <v>4579</v>
      </c>
      <c r="D5153" s="23" t="s">
        <v>91</v>
      </c>
      <c r="E5153" s="23" t="s">
        <v>75</v>
      </c>
      <c r="F5153" s="23" t="s">
        <v>291</v>
      </c>
      <c r="G5153" s="23" t="s">
        <v>318</v>
      </c>
      <c r="H5153" s="39">
        <f t="shared" si="320"/>
        <v>3499</v>
      </c>
      <c r="I5153" s="23" t="str">
        <f t="shared" si="321"/>
        <v>Pune</v>
      </c>
      <c r="J5153" s="23">
        <f>COUNTIFS(pg_transaction_cleaned!$O:$O,A5153,pg_transaction_cleaned!$F:$F,"CAPTURE")</f>
        <v>0</v>
      </c>
      <c r="K5153" s="39">
        <f>SUMIFS(pg_transaction_cleaned!$H:$H,pg_transaction_cleaned!$O:$O,A5153,pg_transaction_cleaned!$F:$F,"CAPTURE")</f>
        <v>0</v>
      </c>
      <c r="L5153" s="23">
        <f>COUNTIFS(pg_transaction_cleaned!$O:$O,A5153,pg_transaction_cleaned!$F:$F,"REFUND")</f>
        <v>0</v>
      </c>
      <c r="M5153" s="39">
        <f>SUMIFS(pg_transaction_cleaned!$H:$H,pg_transaction_cleaned!$O:$O,A5153,pg_transaction_cleaned!$F:$F,"REFUND")</f>
        <v>0</v>
      </c>
      <c r="N5153" s="23" t="str">
        <f t="shared" si="322"/>
        <v>OK</v>
      </c>
      <c r="O5153" s="24">
        <f t="shared" si="323"/>
        <v>0</v>
      </c>
    </row>
    <row r="5154" spans="1:15" ht="15" customHeight="1" x14ac:dyDescent="0.3">
      <c r="A5154" s="23" t="s">
        <v>10747</v>
      </c>
      <c r="B5154" s="38">
        <v>46269</v>
      </c>
      <c r="C5154" s="23" t="s">
        <v>10748</v>
      </c>
      <c r="D5154" s="23" t="s">
        <v>93</v>
      </c>
      <c r="E5154" s="23" t="s">
        <v>75</v>
      </c>
      <c r="F5154" s="23" t="s">
        <v>2045</v>
      </c>
      <c r="G5154" s="23" t="s">
        <v>250</v>
      </c>
      <c r="H5154" s="39">
        <f t="shared" si="320"/>
        <v>698</v>
      </c>
      <c r="I5154" s="23" t="str">
        <f t="shared" si="321"/>
        <v>Kolkata</v>
      </c>
      <c r="J5154" s="23">
        <f>COUNTIFS(pg_transaction_cleaned!$O:$O,A5154,pg_transaction_cleaned!$F:$F,"CAPTURE")</f>
        <v>1</v>
      </c>
      <c r="K5154" s="39">
        <f>SUMIFS(pg_transaction_cleaned!$H:$H,pg_transaction_cleaned!$O:$O,A5154,pg_transaction_cleaned!$F:$F,"CAPTURE")</f>
        <v>698</v>
      </c>
      <c r="L5154" s="23">
        <f>COUNTIFS(pg_transaction_cleaned!$O:$O,A5154,pg_transaction_cleaned!$F:$F,"REFUND")</f>
        <v>0</v>
      </c>
      <c r="M5154" s="39">
        <f>SUMIFS(pg_transaction_cleaned!$H:$H,pg_transaction_cleaned!$O:$O,A5154,pg_transaction_cleaned!$F:$F,"REFUND")</f>
        <v>0</v>
      </c>
      <c r="N5154" s="23" t="str">
        <f t="shared" si="322"/>
        <v>OK</v>
      </c>
      <c r="O5154" s="24">
        <f t="shared" si="323"/>
        <v>0</v>
      </c>
    </row>
    <row r="5155" spans="1:15" ht="15" customHeight="1" x14ac:dyDescent="0.3">
      <c r="A5155" s="23" t="s">
        <v>10749</v>
      </c>
      <c r="B5155" s="38">
        <v>46288</v>
      </c>
      <c r="C5155" s="23" t="s">
        <v>10750</v>
      </c>
      <c r="D5155" s="23" t="s">
        <v>90</v>
      </c>
      <c r="E5155" s="23" t="s">
        <v>75</v>
      </c>
      <c r="F5155" s="23" t="s">
        <v>1421</v>
      </c>
      <c r="G5155" s="23" t="s">
        <v>250</v>
      </c>
      <c r="H5155" s="39">
        <f t="shared" si="320"/>
        <v>3197</v>
      </c>
      <c r="I5155" s="23" t="str">
        <f t="shared" si="321"/>
        <v>Ahmedabad</v>
      </c>
      <c r="J5155" s="23">
        <f>COUNTIFS(pg_transaction_cleaned!$O:$O,A5155,pg_transaction_cleaned!$F:$F,"CAPTURE")</f>
        <v>1</v>
      </c>
      <c r="K5155" s="39">
        <f>SUMIFS(pg_transaction_cleaned!$H:$H,pg_transaction_cleaned!$O:$O,A5155,pg_transaction_cleaned!$F:$F,"CAPTURE")</f>
        <v>3197</v>
      </c>
      <c r="L5155" s="23">
        <f>COUNTIFS(pg_transaction_cleaned!$O:$O,A5155,pg_transaction_cleaned!$F:$F,"REFUND")</f>
        <v>0</v>
      </c>
      <c r="M5155" s="39">
        <f>SUMIFS(pg_transaction_cleaned!$H:$H,pg_transaction_cleaned!$O:$O,A5155,pg_transaction_cleaned!$F:$F,"REFUND")</f>
        <v>0</v>
      </c>
      <c r="N5155" s="23" t="str">
        <f t="shared" si="322"/>
        <v>OK</v>
      </c>
      <c r="O5155" s="24">
        <f t="shared" si="323"/>
        <v>0</v>
      </c>
    </row>
    <row r="5156" spans="1:15" ht="15" customHeight="1" x14ac:dyDescent="0.3">
      <c r="A5156" s="23" t="s">
        <v>10751</v>
      </c>
      <c r="B5156" s="38">
        <v>46277</v>
      </c>
      <c r="C5156" s="23" t="s">
        <v>10752</v>
      </c>
      <c r="D5156" s="23" t="s">
        <v>95</v>
      </c>
      <c r="E5156" s="23" t="s">
        <v>75</v>
      </c>
      <c r="F5156" s="23" t="s">
        <v>262</v>
      </c>
      <c r="G5156" s="23" t="s">
        <v>250</v>
      </c>
      <c r="H5156" s="39">
        <f t="shared" si="320"/>
        <v>499</v>
      </c>
      <c r="I5156" s="23" t="str">
        <f t="shared" si="321"/>
        <v>Bengaluru</v>
      </c>
      <c r="J5156" s="23">
        <f>COUNTIFS(pg_transaction_cleaned!$O:$O,A5156,pg_transaction_cleaned!$F:$F,"CAPTURE")</f>
        <v>1</v>
      </c>
      <c r="K5156" s="39">
        <f>SUMIFS(pg_transaction_cleaned!$H:$H,pg_transaction_cleaned!$O:$O,A5156,pg_transaction_cleaned!$F:$F,"CAPTURE")</f>
        <v>499</v>
      </c>
      <c r="L5156" s="23">
        <f>COUNTIFS(pg_transaction_cleaned!$O:$O,A5156,pg_transaction_cleaned!$F:$F,"REFUND")</f>
        <v>0</v>
      </c>
      <c r="M5156" s="39">
        <f>SUMIFS(pg_transaction_cleaned!$H:$H,pg_transaction_cleaned!$O:$O,A5156,pg_transaction_cleaned!$F:$F,"REFUND")</f>
        <v>0</v>
      </c>
      <c r="N5156" s="23" t="str">
        <f t="shared" si="322"/>
        <v>OK</v>
      </c>
      <c r="O5156" s="24">
        <f t="shared" si="323"/>
        <v>0</v>
      </c>
    </row>
    <row r="5157" spans="1:15" ht="15" customHeight="1" x14ac:dyDescent="0.3">
      <c r="A5157" s="23" t="s">
        <v>10753</v>
      </c>
      <c r="B5157" s="38">
        <v>46289</v>
      </c>
      <c r="C5157" s="23" t="s">
        <v>10754</v>
      </c>
      <c r="D5157" s="23" t="s">
        <v>95</v>
      </c>
      <c r="E5157" s="23" t="s">
        <v>75</v>
      </c>
      <c r="F5157" s="23" t="s">
        <v>3533</v>
      </c>
      <c r="G5157" s="23" t="s">
        <v>250</v>
      </c>
      <c r="H5157" s="39">
        <f t="shared" si="320"/>
        <v>11597</v>
      </c>
      <c r="I5157" s="23" t="str">
        <f t="shared" si="321"/>
        <v>Bengaluru</v>
      </c>
      <c r="J5157" s="23">
        <f>COUNTIFS(pg_transaction_cleaned!$O:$O,A5157,pg_transaction_cleaned!$F:$F,"CAPTURE")</f>
        <v>1</v>
      </c>
      <c r="K5157" s="39">
        <f>SUMIFS(pg_transaction_cleaned!$H:$H,pg_transaction_cleaned!$O:$O,A5157,pg_transaction_cleaned!$F:$F,"CAPTURE")</f>
        <v>11597</v>
      </c>
      <c r="L5157" s="23">
        <f>COUNTIFS(pg_transaction_cleaned!$O:$O,A5157,pg_transaction_cleaned!$F:$F,"REFUND")</f>
        <v>0</v>
      </c>
      <c r="M5157" s="39">
        <f>SUMIFS(pg_transaction_cleaned!$H:$H,pg_transaction_cleaned!$O:$O,A5157,pg_transaction_cleaned!$F:$F,"REFUND")</f>
        <v>0</v>
      </c>
      <c r="N5157" s="23" t="str">
        <f t="shared" si="322"/>
        <v>OK</v>
      </c>
      <c r="O5157" s="24">
        <f t="shared" si="323"/>
        <v>0</v>
      </c>
    </row>
    <row r="5158" spans="1:15" ht="15" customHeight="1" x14ac:dyDescent="0.3">
      <c r="A5158" s="23" t="s">
        <v>10755</v>
      </c>
      <c r="B5158" s="38">
        <v>46281</v>
      </c>
      <c r="C5158" s="23" t="s">
        <v>10756</v>
      </c>
      <c r="D5158" s="23" t="s">
        <v>90</v>
      </c>
      <c r="E5158" s="23" t="s">
        <v>81</v>
      </c>
      <c r="F5158" s="23" t="s">
        <v>587</v>
      </c>
      <c r="G5158" s="23" t="s">
        <v>250</v>
      </c>
      <c r="H5158" s="39">
        <f t="shared" si="320"/>
        <v>5297</v>
      </c>
      <c r="I5158" s="23" t="str">
        <f t="shared" si="321"/>
        <v>Ahmedabad</v>
      </c>
      <c r="J5158" s="23">
        <f>COUNTIFS(pg_transaction_cleaned!$O:$O,A5158,pg_transaction_cleaned!$F:$F,"CAPTURE")</f>
        <v>1</v>
      </c>
      <c r="K5158" s="39">
        <f>SUMIFS(pg_transaction_cleaned!$H:$H,pg_transaction_cleaned!$O:$O,A5158,pg_transaction_cleaned!$F:$F,"CAPTURE")</f>
        <v>5297</v>
      </c>
      <c r="L5158" s="23">
        <f>COUNTIFS(pg_transaction_cleaned!$O:$O,A5158,pg_transaction_cleaned!$F:$F,"REFUND")</f>
        <v>0</v>
      </c>
      <c r="M5158" s="39">
        <f>SUMIFS(pg_transaction_cleaned!$H:$H,pg_transaction_cleaned!$O:$O,A5158,pg_transaction_cleaned!$F:$F,"REFUND")</f>
        <v>0</v>
      </c>
      <c r="N5158" s="23" t="str">
        <f t="shared" si="322"/>
        <v>OK</v>
      </c>
      <c r="O5158" s="24">
        <f t="shared" si="323"/>
        <v>0</v>
      </c>
    </row>
    <row r="5159" spans="1:15" ht="15" customHeight="1" x14ac:dyDescent="0.3">
      <c r="A5159" s="23" t="s">
        <v>10757</v>
      </c>
      <c r="B5159" s="38">
        <v>46266</v>
      </c>
      <c r="C5159" s="23" t="s">
        <v>10758</v>
      </c>
      <c r="D5159" s="23" t="s">
        <v>86</v>
      </c>
      <c r="E5159" s="23" t="s">
        <v>77</v>
      </c>
      <c r="F5159" s="23" t="s">
        <v>315</v>
      </c>
      <c r="G5159" s="23" t="s">
        <v>250</v>
      </c>
      <c r="H5159" s="39">
        <f t="shared" si="320"/>
        <v>1499</v>
      </c>
      <c r="I5159" s="23" t="str">
        <f t="shared" si="321"/>
        <v>Delhi</v>
      </c>
      <c r="J5159" s="23">
        <f>COUNTIFS(pg_transaction_cleaned!$O:$O,A5159,pg_transaction_cleaned!$F:$F,"CAPTURE")</f>
        <v>1</v>
      </c>
      <c r="K5159" s="39">
        <f>SUMIFS(pg_transaction_cleaned!$H:$H,pg_transaction_cleaned!$O:$O,A5159,pg_transaction_cleaned!$F:$F,"CAPTURE")</f>
        <v>1499</v>
      </c>
      <c r="L5159" s="23">
        <f>COUNTIFS(pg_transaction_cleaned!$O:$O,A5159,pg_transaction_cleaned!$F:$F,"REFUND")</f>
        <v>0</v>
      </c>
      <c r="M5159" s="39">
        <f>SUMIFS(pg_transaction_cleaned!$H:$H,pg_transaction_cleaned!$O:$O,A5159,pg_transaction_cleaned!$F:$F,"REFUND")</f>
        <v>0</v>
      </c>
      <c r="N5159" s="23" t="str">
        <f t="shared" si="322"/>
        <v>OK</v>
      </c>
      <c r="O5159" s="24">
        <f t="shared" si="323"/>
        <v>0</v>
      </c>
    </row>
    <row r="5160" spans="1:15" ht="15" customHeight="1" x14ac:dyDescent="0.3">
      <c r="A5160" s="23" t="s">
        <v>10759</v>
      </c>
      <c r="B5160" s="38">
        <v>46276</v>
      </c>
      <c r="C5160" s="23" t="s">
        <v>10760</v>
      </c>
      <c r="D5160" s="23" t="s">
        <v>89</v>
      </c>
      <c r="E5160" s="23" t="s">
        <v>75</v>
      </c>
      <c r="F5160" s="23" t="s">
        <v>262</v>
      </c>
      <c r="G5160" s="23" t="s">
        <v>250</v>
      </c>
      <c r="H5160" s="39">
        <f t="shared" si="320"/>
        <v>499</v>
      </c>
      <c r="I5160" s="23" t="str">
        <f t="shared" si="321"/>
        <v>Jaipur</v>
      </c>
      <c r="J5160" s="23">
        <f>COUNTIFS(pg_transaction_cleaned!$O:$O,A5160,pg_transaction_cleaned!$F:$F,"CAPTURE")</f>
        <v>1</v>
      </c>
      <c r="K5160" s="39">
        <f>SUMIFS(pg_transaction_cleaned!$H:$H,pg_transaction_cleaned!$O:$O,A5160,pg_transaction_cleaned!$F:$F,"CAPTURE")</f>
        <v>499</v>
      </c>
      <c r="L5160" s="23">
        <f>COUNTIFS(pg_transaction_cleaned!$O:$O,A5160,pg_transaction_cleaned!$F:$F,"REFUND")</f>
        <v>0</v>
      </c>
      <c r="M5160" s="39">
        <f>SUMIFS(pg_transaction_cleaned!$H:$H,pg_transaction_cleaned!$O:$O,A5160,pg_transaction_cleaned!$F:$F,"REFUND")</f>
        <v>0</v>
      </c>
      <c r="N5160" s="23" t="str">
        <f t="shared" si="322"/>
        <v>OK</v>
      </c>
      <c r="O5160" s="24">
        <f t="shared" si="323"/>
        <v>0</v>
      </c>
    </row>
    <row r="5161" spans="1:15" ht="15" customHeight="1" x14ac:dyDescent="0.3">
      <c r="A5161" s="23" t="s">
        <v>10761</v>
      </c>
      <c r="B5161" s="38">
        <v>46292</v>
      </c>
      <c r="C5161" s="23" t="s">
        <v>10762</v>
      </c>
      <c r="D5161" s="23" t="s">
        <v>90</v>
      </c>
      <c r="E5161" s="23" t="s">
        <v>79</v>
      </c>
      <c r="F5161" s="23" t="s">
        <v>294</v>
      </c>
      <c r="G5161" s="23" t="s">
        <v>301</v>
      </c>
      <c r="H5161" s="39">
        <f t="shared" si="320"/>
        <v>1799</v>
      </c>
      <c r="I5161" s="23" t="str">
        <f t="shared" si="321"/>
        <v>Ahmedabad</v>
      </c>
      <c r="J5161" s="23">
        <f>COUNTIFS(pg_transaction_cleaned!$O:$O,A5161,pg_transaction_cleaned!$F:$F,"CAPTURE")</f>
        <v>1</v>
      </c>
      <c r="K5161" s="39">
        <f>SUMIFS(pg_transaction_cleaned!$H:$H,pg_transaction_cleaned!$O:$O,A5161,pg_transaction_cleaned!$F:$F,"CAPTURE")</f>
        <v>1799</v>
      </c>
      <c r="L5161" s="23">
        <f>COUNTIFS(pg_transaction_cleaned!$O:$O,A5161,pg_transaction_cleaned!$F:$F,"REFUND")</f>
        <v>1</v>
      </c>
      <c r="M5161" s="39">
        <f>SUMIFS(pg_transaction_cleaned!$H:$H,pg_transaction_cleaned!$O:$O,A5161,pg_transaction_cleaned!$F:$F,"REFUND")</f>
        <v>1799</v>
      </c>
      <c r="N5161" s="23" t="str">
        <f t="shared" si="322"/>
        <v>OK</v>
      </c>
      <c r="O5161" s="24">
        <f t="shared" si="323"/>
        <v>0</v>
      </c>
    </row>
    <row r="5162" spans="1:15" ht="15" customHeight="1" x14ac:dyDescent="0.3">
      <c r="A5162" s="23" t="s">
        <v>10763</v>
      </c>
      <c r="B5162" s="38">
        <v>46284</v>
      </c>
      <c r="C5162" s="23" t="s">
        <v>1411</v>
      </c>
      <c r="D5162" s="23" t="s">
        <v>86</v>
      </c>
      <c r="E5162" s="23" t="s">
        <v>75</v>
      </c>
      <c r="F5162" s="23" t="s">
        <v>553</v>
      </c>
      <c r="G5162" s="23" t="s">
        <v>250</v>
      </c>
      <c r="H5162" s="39">
        <f t="shared" si="320"/>
        <v>2798</v>
      </c>
      <c r="I5162" s="23" t="str">
        <f t="shared" si="321"/>
        <v>Delhi</v>
      </c>
      <c r="J5162" s="23">
        <f>COUNTIFS(pg_transaction_cleaned!$O:$O,A5162,pg_transaction_cleaned!$F:$F,"CAPTURE")</f>
        <v>1</v>
      </c>
      <c r="K5162" s="39">
        <f>SUMIFS(pg_transaction_cleaned!$H:$H,pg_transaction_cleaned!$O:$O,A5162,pg_transaction_cleaned!$F:$F,"CAPTURE")</f>
        <v>2798</v>
      </c>
      <c r="L5162" s="23">
        <f>COUNTIFS(pg_transaction_cleaned!$O:$O,A5162,pg_transaction_cleaned!$F:$F,"REFUND")</f>
        <v>0</v>
      </c>
      <c r="M5162" s="39">
        <f>SUMIFS(pg_transaction_cleaned!$H:$H,pg_transaction_cleaned!$O:$O,A5162,pg_transaction_cleaned!$F:$F,"REFUND")</f>
        <v>0</v>
      </c>
      <c r="N5162" s="23" t="str">
        <f t="shared" si="322"/>
        <v>OK</v>
      </c>
      <c r="O5162" s="24">
        <f t="shared" si="323"/>
        <v>0</v>
      </c>
    </row>
    <row r="5163" spans="1:15" ht="15" customHeight="1" x14ac:dyDescent="0.3">
      <c r="A5163" s="23" t="s">
        <v>10764</v>
      </c>
      <c r="B5163" s="38">
        <v>46283</v>
      </c>
      <c r="C5163" s="23" t="s">
        <v>10765</v>
      </c>
      <c r="D5163" s="23" t="s">
        <v>88</v>
      </c>
      <c r="E5163" s="23" t="s">
        <v>75</v>
      </c>
      <c r="F5163" s="23" t="s">
        <v>346</v>
      </c>
      <c r="G5163" s="23" t="s">
        <v>250</v>
      </c>
      <c r="H5163" s="39">
        <f t="shared" si="320"/>
        <v>4498</v>
      </c>
      <c r="I5163" s="23" t="str">
        <f t="shared" si="321"/>
        <v>Lucknow</v>
      </c>
      <c r="J5163" s="23">
        <f>COUNTIFS(pg_transaction_cleaned!$O:$O,A5163,pg_transaction_cleaned!$F:$F,"CAPTURE")</f>
        <v>1</v>
      </c>
      <c r="K5163" s="39">
        <f>SUMIFS(pg_transaction_cleaned!$H:$H,pg_transaction_cleaned!$O:$O,A5163,pg_transaction_cleaned!$F:$F,"CAPTURE")</f>
        <v>4498</v>
      </c>
      <c r="L5163" s="23">
        <f>COUNTIFS(pg_transaction_cleaned!$O:$O,A5163,pg_transaction_cleaned!$F:$F,"REFUND")</f>
        <v>0</v>
      </c>
      <c r="M5163" s="39">
        <f>SUMIFS(pg_transaction_cleaned!$H:$H,pg_transaction_cleaned!$O:$O,A5163,pg_transaction_cleaned!$F:$F,"REFUND")</f>
        <v>0</v>
      </c>
      <c r="N5163" s="23" t="str">
        <f t="shared" si="322"/>
        <v>OK</v>
      </c>
      <c r="O5163" s="24">
        <f t="shared" si="323"/>
        <v>0</v>
      </c>
    </row>
    <row r="5164" spans="1:15" ht="15" customHeight="1" x14ac:dyDescent="0.3">
      <c r="A5164" s="23" t="s">
        <v>10766</v>
      </c>
      <c r="B5164" s="38">
        <v>46286</v>
      </c>
      <c r="C5164" s="23" t="s">
        <v>10767</v>
      </c>
      <c r="D5164" s="23" t="s">
        <v>89</v>
      </c>
      <c r="E5164" s="23" t="s">
        <v>75</v>
      </c>
      <c r="F5164" s="23" t="s">
        <v>315</v>
      </c>
      <c r="G5164" s="23" t="s">
        <v>250</v>
      </c>
      <c r="H5164" s="39">
        <f t="shared" si="320"/>
        <v>1499</v>
      </c>
      <c r="I5164" s="23" t="str">
        <f t="shared" si="321"/>
        <v>Jaipur</v>
      </c>
      <c r="J5164" s="23">
        <f>COUNTIFS(pg_transaction_cleaned!$O:$O,A5164,pg_transaction_cleaned!$F:$F,"CAPTURE")</f>
        <v>1</v>
      </c>
      <c r="K5164" s="39">
        <f>SUMIFS(pg_transaction_cleaned!$H:$H,pg_transaction_cleaned!$O:$O,A5164,pg_transaction_cleaned!$F:$F,"CAPTURE")</f>
        <v>1499</v>
      </c>
      <c r="L5164" s="23">
        <f>COUNTIFS(pg_transaction_cleaned!$O:$O,A5164,pg_transaction_cleaned!$F:$F,"REFUND")</f>
        <v>0</v>
      </c>
      <c r="M5164" s="39">
        <f>SUMIFS(pg_transaction_cleaned!$H:$H,pg_transaction_cleaned!$O:$O,A5164,pg_transaction_cleaned!$F:$F,"REFUND")</f>
        <v>0</v>
      </c>
      <c r="N5164" s="23" t="str">
        <f t="shared" si="322"/>
        <v>OK</v>
      </c>
      <c r="O5164" s="24">
        <f t="shared" si="323"/>
        <v>0</v>
      </c>
    </row>
    <row r="5165" spans="1:15" ht="15" customHeight="1" x14ac:dyDescent="0.3">
      <c r="A5165" s="23" t="s">
        <v>10768</v>
      </c>
      <c r="B5165" s="38">
        <v>46270</v>
      </c>
      <c r="C5165" s="23" t="s">
        <v>6165</v>
      </c>
      <c r="D5165" s="23" t="s">
        <v>90</v>
      </c>
      <c r="E5165" s="23" t="s">
        <v>81</v>
      </c>
      <c r="F5165" s="23" t="s">
        <v>297</v>
      </c>
      <c r="G5165" s="23" t="s">
        <v>250</v>
      </c>
      <c r="H5165" s="39">
        <f t="shared" si="320"/>
        <v>4999</v>
      </c>
      <c r="I5165" s="23" t="str">
        <f t="shared" si="321"/>
        <v>Ahmedabad</v>
      </c>
      <c r="J5165" s="23">
        <f>COUNTIFS(pg_transaction_cleaned!$O:$O,A5165,pg_transaction_cleaned!$F:$F,"CAPTURE")</f>
        <v>1</v>
      </c>
      <c r="K5165" s="39">
        <f>SUMIFS(pg_transaction_cleaned!$H:$H,pg_transaction_cleaned!$O:$O,A5165,pg_transaction_cleaned!$F:$F,"CAPTURE")</f>
        <v>4999</v>
      </c>
      <c r="L5165" s="23">
        <f>COUNTIFS(pg_transaction_cleaned!$O:$O,A5165,pg_transaction_cleaned!$F:$F,"REFUND")</f>
        <v>0</v>
      </c>
      <c r="M5165" s="39">
        <f>SUMIFS(pg_transaction_cleaned!$H:$H,pg_transaction_cleaned!$O:$O,A5165,pg_transaction_cleaned!$F:$F,"REFUND")</f>
        <v>0</v>
      </c>
      <c r="N5165" s="23" t="str">
        <f t="shared" si="322"/>
        <v>OK</v>
      </c>
      <c r="O5165" s="24">
        <f t="shared" si="323"/>
        <v>0</v>
      </c>
    </row>
    <row r="5166" spans="1:15" ht="15" customHeight="1" x14ac:dyDescent="0.3">
      <c r="A5166" s="23" t="s">
        <v>10769</v>
      </c>
      <c r="B5166" s="38">
        <v>46266</v>
      </c>
      <c r="C5166" s="23" t="s">
        <v>10770</v>
      </c>
      <c r="D5166" s="23"/>
      <c r="E5166" s="23" t="s">
        <v>81</v>
      </c>
      <c r="F5166" s="23" t="s">
        <v>463</v>
      </c>
      <c r="G5166" s="23" t="s">
        <v>250</v>
      </c>
      <c r="H5166" s="39">
        <f t="shared" si="320"/>
        <v>10797</v>
      </c>
      <c r="I5166" s="23" t="str">
        <f t="shared" si="321"/>
        <v>Unknown</v>
      </c>
      <c r="J5166" s="23">
        <f>COUNTIFS(pg_transaction_cleaned!$O:$O,A5166,pg_transaction_cleaned!$F:$F,"CAPTURE")</f>
        <v>1</v>
      </c>
      <c r="K5166" s="39">
        <f>SUMIFS(pg_transaction_cleaned!$H:$H,pg_transaction_cleaned!$O:$O,A5166,pg_transaction_cleaned!$F:$F,"CAPTURE")</f>
        <v>10797</v>
      </c>
      <c r="L5166" s="23">
        <f>COUNTIFS(pg_transaction_cleaned!$O:$O,A5166,pg_transaction_cleaned!$F:$F,"REFUND")</f>
        <v>0</v>
      </c>
      <c r="M5166" s="39">
        <f>SUMIFS(pg_transaction_cleaned!$H:$H,pg_transaction_cleaned!$O:$O,A5166,pg_transaction_cleaned!$F:$F,"REFUND")</f>
        <v>0</v>
      </c>
      <c r="N5166" s="23" t="str">
        <f t="shared" si="322"/>
        <v>OK</v>
      </c>
      <c r="O5166" s="24">
        <f t="shared" si="323"/>
        <v>0</v>
      </c>
    </row>
    <row r="5167" spans="1:15" ht="15" customHeight="1" x14ac:dyDescent="0.3">
      <c r="A5167" s="23" t="s">
        <v>10771</v>
      </c>
      <c r="B5167" s="38">
        <v>46290</v>
      </c>
      <c r="C5167" s="23" t="s">
        <v>10772</v>
      </c>
      <c r="D5167" s="23" t="s">
        <v>93</v>
      </c>
      <c r="E5167" s="23" t="s">
        <v>79</v>
      </c>
      <c r="F5167" s="23" t="s">
        <v>294</v>
      </c>
      <c r="G5167" s="23" t="s">
        <v>250</v>
      </c>
      <c r="H5167" s="39">
        <f t="shared" si="320"/>
        <v>1799</v>
      </c>
      <c r="I5167" s="23" t="str">
        <f t="shared" si="321"/>
        <v>Kolkata</v>
      </c>
      <c r="J5167" s="23">
        <f>COUNTIFS(pg_transaction_cleaned!$O:$O,A5167,pg_transaction_cleaned!$F:$F,"CAPTURE")</f>
        <v>1</v>
      </c>
      <c r="K5167" s="39">
        <f>SUMIFS(pg_transaction_cleaned!$H:$H,pg_transaction_cleaned!$O:$O,A5167,pg_transaction_cleaned!$F:$F,"CAPTURE")</f>
        <v>1799</v>
      </c>
      <c r="L5167" s="23">
        <f>COUNTIFS(pg_transaction_cleaned!$O:$O,A5167,pg_transaction_cleaned!$F:$F,"REFUND")</f>
        <v>0</v>
      </c>
      <c r="M5167" s="39">
        <f>SUMIFS(pg_transaction_cleaned!$H:$H,pg_transaction_cleaned!$O:$O,A5167,pg_transaction_cleaned!$F:$F,"REFUND")</f>
        <v>0</v>
      </c>
      <c r="N5167" s="23" t="str">
        <f t="shared" si="322"/>
        <v>OK</v>
      </c>
      <c r="O5167" s="24">
        <f t="shared" si="323"/>
        <v>0</v>
      </c>
    </row>
    <row r="5168" spans="1:15" ht="15" customHeight="1" x14ac:dyDescent="0.3">
      <c r="A5168" s="23" t="s">
        <v>10773</v>
      </c>
      <c r="B5168" s="38">
        <v>46290</v>
      </c>
      <c r="C5168" s="23" t="s">
        <v>10774</v>
      </c>
      <c r="D5168" s="23" t="s">
        <v>88</v>
      </c>
      <c r="E5168" s="23" t="s">
        <v>81</v>
      </c>
      <c r="F5168" s="23" t="s">
        <v>451</v>
      </c>
      <c r="G5168" s="23" t="s">
        <v>250</v>
      </c>
      <c r="H5168" s="39">
        <f t="shared" si="320"/>
        <v>1098</v>
      </c>
      <c r="I5168" s="23" t="str">
        <f t="shared" si="321"/>
        <v>Lucknow</v>
      </c>
      <c r="J5168" s="23">
        <f>COUNTIFS(pg_transaction_cleaned!$O:$O,A5168,pg_transaction_cleaned!$F:$F,"CAPTURE")</f>
        <v>1</v>
      </c>
      <c r="K5168" s="39">
        <f>SUMIFS(pg_transaction_cleaned!$H:$H,pg_transaction_cleaned!$O:$O,A5168,pg_transaction_cleaned!$F:$F,"CAPTURE")</f>
        <v>1098</v>
      </c>
      <c r="L5168" s="23">
        <f>COUNTIFS(pg_transaction_cleaned!$O:$O,A5168,pg_transaction_cleaned!$F:$F,"REFUND")</f>
        <v>0</v>
      </c>
      <c r="M5168" s="39">
        <f>SUMIFS(pg_transaction_cleaned!$H:$H,pg_transaction_cleaned!$O:$O,A5168,pg_transaction_cleaned!$F:$F,"REFUND")</f>
        <v>0</v>
      </c>
      <c r="N5168" s="23" t="str">
        <f t="shared" si="322"/>
        <v>OK</v>
      </c>
      <c r="O5168" s="24">
        <f t="shared" si="323"/>
        <v>0</v>
      </c>
    </row>
    <row r="5169" spans="1:15" ht="15" customHeight="1" x14ac:dyDescent="0.3">
      <c r="A5169" s="23" t="s">
        <v>10775</v>
      </c>
      <c r="B5169" s="38">
        <v>46294</v>
      </c>
      <c r="C5169" s="23" t="s">
        <v>10776</v>
      </c>
      <c r="D5169" s="23" t="s">
        <v>93</v>
      </c>
      <c r="E5169" s="23" t="s">
        <v>79</v>
      </c>
      <c r="F5169" s="23" t="s">
        <v>1975</v>
      </c>
      <c r="G5169" s="23" t="s">
        <v>250</v>
      </c>
      <c r="H5169" s="39">
        <f t="shared" si="320"/>
        <v>1398</v>
      </c>
      <c r="I5169" s="23" t="str">
        <f t="shared" si="321"/>
        <v>Kolkata</v>
      </c>
      <c r="J5169" s="23">
        <f>COUNTIFS(pg_transaction_cleaned!$O:$O,A5169,pg_transaction_cleaned!$F:$F,"CAPTURE")</f>
        <v>1</v>
      </c>
      <c r="K5169" s="39">
        <f>SUMIFS(pg_transaction_cleaned!$H:$H,pg_transaction_cleaned!$O:$O,A5169,pg_transaction_cleaned!$F:$F,"CAPTURE")</f>
        <v>1398</v>
      </c>
      <c r="L5169" s="23">
        <f>COUNTIFS(pg_transaction_cleaned!$O:$O,A5169,pg_transaction_cleaned!$F:$F,"REFUND")</f>
        <v>0</v>
      </c>
      <c r="M5169" s="39">
        <f>SUMIFS(pg_transaction_cleaned!$H:$H,pg_transaction_cleaned!$O:$O,A5169,pg_transaction_cleaned!$F:$F,"REFUND")</f>
        <v>0</v>
      </c>
      <c r="N5169" s="23" t="str">
        <f t="shared" si="322"/>
        <v>OK</v>
      </c>
      <c r="O5169" s="24">
        <f t="shared" si="323"/>
        <v>0</v>
      </c>
    </row>
    <row r="5170" spans="1:15" ht="15" customHeight="1" x14ac:dyDescent="0.3">
      <c r="A5170" s="23" t="s">
        <v>10777</v>
      </c>
      <c r="B5170" s="38">
        <v>46281</v>
      </c>
      <c r="C5170" s="23" t="s">
        <v>10778</v>
      </c>
      <c r="D5170" s="23" t="s">
        <v>88</v>
      </c>
      <c r="E5170" s="23" t="s">
        <v>77</v>
      </c>
      <c r="F5170" s="23" t="s">
        <v>1693</v>
      </c>
      <c r="G5170" s="23" t="s">
        <v>250</v>
      </c>
      <c r="H5170" s="39">
        <f t="shared" si="320"/>
        <v>4097</v>
      </c>
      <c r="I5170" s="23" t="str">
        <f t="shared" si="321"/>
        <v>Lucknow</v>
      </c>
      <c r="J5170" s="23">
        <f>COUNTIFS(pg_transaction_cleaned!$O:$O,A5170,pg_transaction_cleaned!$F:$F,"CAPTURE")</f>
        <v>1</v>
      </c>
      <c r="K5170" s="39">
        <f>SUMIFS(pg_transaction_cleaned!$H:$H,pg_transaction_cleaned!$O:$O,A5170,pg_transaction_cleaned!$F:$F,"CAPTURE")</f>
        <v>4097</v>
      </c>
      <c r="L5170" s="23">
        <f>COUNTIFS(pg_transaction_cleaned!$O:$O,A5170,pg_transaction_cleaned!$F:$F,"REFUND")</f>
        <v>0</v>
      </c>
      <c r="M5170" s="39">
        <f>SUMIFS(pg_transaction_cleaned!$H:$H,pg_transaction_cleaned!$O:$O,A5170,pg_transaction_cleaned!$F:$F,"REFUND")</f>
        <v>0</v>
      </c>
      <c r="N5170" s="23" t="str">
        <f t="shared" si="322"/>
        <v>OK</v>
      </c>
      <c r="O5170" s="24">
        <f t="shared" si="323"/>
        <v>0</v>
      </c>
    </row>
    <row r="5171" spans="1:15" ht="15" customHeight="1" x14ac:dyDescent="0.3">
      <c r="A5171" s="23" t="s">
        <v>10779</v>
      </c>
      <c r="B5171" s="38">
        <v>46279</v>
      </c>
      <c r="C5171" s="23" t="s">
        <v>10780</v>
      </c>
      <c r="D5171" s="23" t="s">
        <v>92</v>
      </c>
      <c r="E5171" s="23" t="s">
        <v>79</v>
      </c>
      <c r="F5171" s="23" t="s">
        <v>249</v>
      </c>
      <c r="G5171" s="23" t="s">
        <v>250</v>
      </c>
      <c r="H5171" s="39">
        <f t="shared" si="320"/>
        <v>299</v>
      </c>
      <c r="I5171" s="23" t="str">
        <f t="shared" si="321"/>
        <v>Hyderabad</v>
      </c>
      <c r="J5171" s="23">
        <f>COUNTIFS(pg_transaction_cleaned!$O:$O,A5171,pg_transaction_cleaned!$F:$F,"CAPTURE")</f>
        <v>1</v>
      </c>
      <c r="K5171" s="39">
        <f>SUMIFS(pg_transaction_cleaned!$H:$H,pg_transaction_cleaned!$O:$O,A5171,pg_transaction_cleaned!$F:$F,"CAPTURE")</f>
        <v>299</v>
      </c>
      <c r="L5171" s="23">
        <f>COUNTIFS(pg_transaction_cleaned!$O:$O,A5171,pg_transaction_cleaned!$F:$F,"REFUND")</f>
        <v>0</v>
      </c>
      <c r="M5171" s="39">
        <f>SUMIFS(pg_transaction_cleaned!$H:$H,pg_transaction_cleaned!$O:$O,A5171,pg_transaction_cleaned!$F:$F,"REFUND")</f>
        <v>0</v>
      </c>
      <c r="N5171" s="23" t="str">
        <f t="shared" si="322"/>
        <v>OK</v>
      </c>
      <c r="O5171" s="24">
        <f t="shared" si="323"/>
        <v>0</v>
      </c>
    </row>
    <row r="5172" spans="1:15" ht="15" customHeight="1" x14ac:dyDescent="0.3">
      <c r="A5172" s="23" t="s">
        <v>10781</v>
      </c>
      <c r="B5172" s="38">
        <v>46291</v>
      </c>
      <c r="C5172" s="23" t="s">
        <v>10782</v>
      </c>
      <c r="D5172" s="23" t="s">
        <v>93</v>
      </c>
      <c r="E5172" s="23" t="s">
        <v>75</v>
      </c>
      <c r="F5172" s="23" t="s">
        <v>268</v>
      </c>
      <c r="G5172" s="23" t="s">
        <v>250</v>
      </c>
      <c r="H5172" s="39">
        <f t="shared" si="320"/>
        <v>1299</v>
      </c>
      <c r="I5172" s="23" t="str">
        <f t="shared" si="321"/>
        <v>Kolkata</v>
      </c>
      <c r="J5172" s="23">
        <f>COUNTIFS(pg_transaction_cleaned!$O:$O,A5172,pg_transaction_cleaned!$F:$F,"CAPTURE")</f>
        <v>1</v>
      </c>
      <c r="K5172" s="39">
        <f>SUMIFS(pg_transaction_cleaned!$H:$H,pg_transaction_cleaned!$O:$O,A5172,pg_transaction_cleaned!$F:$F,"CAPTURE")</f>
        <v>1299</v>
      </c>
      <c r="L5172" s="23">
        <f>COUNTIFS(pg_transaction_cleaned!$O:$O,A5172,pg_transaction_cleaned!$F:$F,"REFUND")</f>
        <v>0</v>
      </c>
      <c r="M5172" s="39">
        <f>SUMIFS(pg_transaction_cleaned!$H:$H,pg_transaction_cleaned!$O:$O,A5172,pg_transaction_cleaned!$F:$F,"REFUND")</f>
        <v>0</v>
      </c>
      <c r="N5172" s="23" t="str">
        <f t="shared" si="322"/>
        <v>OK</v>
      </c>
      <c r="O5172" s="24">
        <f t="shared" si="323"/>
        <v>0</v>
      </c>
    </row>
    <row r="5173" spans="1:15" ht="15" customHeight="1" x14ac:dyDescent="0.3">
      <c r="A5173" s="23" t="s">
        <v>10783</v>
      </c>
      <c r="B5173" s="38">
        <v>46277</v>
      </c>
      <c r="C5173" s="23" t="s">
        <v>10784</v>
      </c>
      <c r="D5173" s="23" t="s">
        <v>90</v>
      </c>
      <c r="E5173" s="23" t="s">
        <v>75</v>
      </c>
      <c r="F5173" s="23" t="s">
        <v>10785</v>
      </c>
      <c r="G5173" s="23" t="s">
        <v>250</v>
      </c>
      <c r="H5173" s="39">
        <f t="shared" si="320"/>
        <v>6147</v>
      </c>
      <c r="I5173" s="23" t="str">
        <f t="shared" si="321"/>
        <v>Ahmedabad</v>
      </c>
      <c r="J5173" s="23">
        <f>COUNTIFS(pg_transaction_cleaned!$O:$O,A5173,pg_transaction_cleaned!$F:$F,"CAPTURE")</f>
        <v>1</v>
      </c>
      <c r="K5173" s="39">
        <f>SUMIFS(pg_transaction_cleaned!$H:$H,pg_transaction_cleaned!$O:$O,A5173,pg_transaction_cleaned!$F:$F,"CAPTURE")</f>
        <v>6147</v>
      </c>
      <c r="L5173" s="23">
        <f>COUNTIFS(pg_transaction_cleaned!$O:$O,A5173,pg_transaction_cleaned!$F:$F,"REFUND")</f>
        <v>0</v>
      </c>
      <c r="M5173" s="39">
        <f>SUMIFS(pg_transaction_cleaned!$H:$H,pg_transaction_cleaned!$O:$O,A5173,pg_transaction_cleaned!$F:$F,"REFUND")</f>
        <v>0</v>
      </c>
      <c r="N5173" s="23" t="str">
        <f t="shared" si="322"/>
        <v>OK</v>
      </c>
      <c r="O5173" s="24">
        <f t="shared" si="323"/>
        <v>0</v>
      </c>
    </row>
    <row r="5174" spans="1:15" ht="15" customHeight="1" x14ac:dyDescent="0.3">
      <c r="A5174" s="23" t="s">
        <v>10786</v>
      </c>
      <c r="B5174" s="38">
        <v>46284</v>
      </c>
      <c r="C5174" s="23" t="s">
        <v>10787</v>
      </c>
      <c r="D5174" s="23" t="s">
        <v>95</v>
      </c>
      <c r="E5174" s="23" t="s">
        <v>75</v>
      </c>
      <c r="F5174" s="23" t="s">
        <v>315</v>
      </c>
      <c r="G5174" s="23" t="s">
        <v>250</v>
      </c>
      <c r="H5174" s="39">
        <f t="shared" si="320"/>
        <v>1499</v>
      </c>
      <c r="I5174" s="23" t="str">
        <f t="shared" si="321"/>
        <v>Bengaluru</v>
      </c>
      <c r="J5174" s="23">
        <f>COUNTIFS(pg_transaction_cleaned!$O:$O,A5174,pg_transaction_cleaned!$F:$F,"CAPTURE")</f>
        <v>1</v>
      </c>
      <c r="K5174" s="39">
        <f>SUMIFS(pg_transaction_cleaned!$H:$H,pg_transaction_cleaned!$O:$O,A5174,pg_transaction_cleaned!$F:$F,"CAPTURE")</f>
        <v>1499</v>
      </c>
      <c r="L5174" s="23">
        <f>COUNTIFS(pg_transaction_cleaned!$O:$O,A5174,pg_transaction_cleaned!$F:$F,"REFUND")</f>
        <v>0</v>
      </c>
      <c r="M5174" s="39">
        <f>SUMIFS(pg_transaction_cleaned!$H:$H,pg_transaction_cleaned!$O:$O,A5174,pg_transaction_cleaned!$F:$F,"REFUND")</f>
        <v>0</v>
      </c>
      <c r="N5174" s="23" t="str">
        <f t="shared" si="322"/>
        <v>OK</v>
      </c>
      <c r="O5174" s="24">
        <f t="shared" si="323"/>
        <v>0</v>
      </c>
    </row>
    <row r="5175" spans="1:15" ht="15" customHeight="1" x14ac:dyDescent="0.3">
      <c r="A5175" s="23" t="s">
        <v>10788</v>
      </c>
      <c r="B5175" s="38">
        <v>46275</v>
      </c>
      <c r="C5175" s="23" t="s">
        <v>10789</v>
      </c>
      <c r="D5175" s="23" t="s">
        <v>93</v>
      </c>
      <c r="E5175" s="23" t="s">
        <v>75</v>
      </c>
      <c r="F5175" s="23" t="s">
        <v>297</v>
      </c>
      <c r="G5175" s="23" t="s">
        <v>250</v>
      </c>
      <c r="H5175" s="39">
        <f t="shared" si="320"/>
        <v>4999</v>
      </c>
      <c r="I5175" s="23" t="str">
        <f t="shared" si="321"/>
        <v>Kolkata</v>
      </c>
      <c r="J5175" s="23">
        <f>COUNTIFS(pg_transaction_cleaned!$O:$O,A5175,pg_transaction_cleaned!$F:$F,"CAPTURE")</f>
        <v>1</v>
      </c>
      <c r="K5175" s="39">
        <f>SUMIFS(pg_transaction_cleaned!$H:$H,pg_transaction_cleaned!$O:$O,A5175,pg_transaction_cleaned!$F:$F,"CAPTURE")</f>
        <v>4999</v>
      </c>
      <c r="L5175" s="23">
        <f>COUNTIFS(pg_transaction_cleaned!$O:$O,A5175,pg_transaction_cleaned!$F:$F,"REFUND")</f>
        <v>0</v>
      </c>
      <c r="M5175" s="39">
        <f>SUMIFS(pg_transaction_cleaned!$H:$H,pg_transaction_cleaned!$O:$O,A5175,pg_transaction_cleaned!$F:$F,"REFUND")</f>
        <v>0</v>
      </c>
      <c r="N5175" s="23" t="str">
        <f t="shared" si="322"/>
        <v>OK</v>
      </c>
      <c r="O5175" s="24">
        <f t="shared" si="323"/>
        <v>0</v>
      </c>
    </row>
    <row r="5176" spans="1:15" ht="15" customHeight="1" x14ac:dyDescent="0.3">
      <c r="A5176" s="23" t="s">
        <v>10790</v>
      </c>
      <c r="B5176" s="38">
        <v>46271</v>
      </c>
      <c r="C5176" s="23" t="s">
        <v>10791</v>
      </c>
      <c r="D5176" s="23" t="s">
        <v>92</v>
      </c>
      <c r="E5176" s="23" t="s">
        <v>75</v>
      </c>
      <c r="F5176" s="23" t="s">
        <v>370</v>
      </c>
      <c r="G5176" s="23" t="s">
        <v>250</v>
      </c>
      <c r="H5176" s="39">
        <f t="shared" si="320"/>
        <v>3098</v>
      </c>
      <c r="I5176" s="23" t="str">
        <f t="shared" si="321"/>
        <v>Hyderabad</v>
      </c>
      <c r="J5176" s="23">
        <f>COUNTIFS(pg_transaction_cleaned!$O:$O,A5176,pg_transaction_cleaned!$F:$F,"CAPTURE")</f>
        <v>1</v>
      </c>
      <c r="K5176" s="39">
        <f>SUMIFS(pg_transaction_cleaned!$H:$H,pg_transaction_cleaned!$O:$O,A5176,pg_transaction_cleaned!$F:$F,"CAPTURE")</f>
        <v>3098</v>
      </c>
      <c r="L5176" s="23">
        <f>COUNTIFS(pg_transaction_cleaned!$O:$O,A5176,pg_transaction_cleaned!$F:$F,"REFUND")</f>
        <v>0</v>
      </c>
      <c r="M5176" s="39">
        <f>SUMIFS(pg_transaction_cleaned!$H:$H,pg_transaction_cleaned!$O:$O,A5176,pg_transaction_cleaned!$F:$F,"REFUND")</f>
        <v>0</v>
      </c>
      <c r="N5176" s="23" t="str">
        <f t="shared" si="322"/>
        <v>OK</v>
      </c>
      <c r="O5176" s="24">
        <f t="shared" si="323"/>
        <v>0</v>
      </c>
    </row>
    <row r="5177" spans="1:15" ht="15" customHeight="1" x14ac:dyDescent="0.3">
      <c r="A5177" s="23" t="s">
        <v>10792</v>
      </c>
      <c r="B5177" s="38">
        <v>46277</v>
      </c>
      <c r="C5177" s="23" t="s">
        <v>10793</v>
      </c>
      <c r="D5177" s="23" t="s">
        <v>88</v>
      </c>
      <c r="E5177" s="23" t="s">
        <v>75</v>
      </c>
      <c r="F5177" s="23" t="s">
        <v>265</v>
      </c>
      <c r="G5177" s="23" t="s">
        <v>318</v>
      </c>
      <c r="H5177" s="39">
        <f t="shared" si="320"/>
        <v>999</v>
      </c>
      <c r="I5177" s="23" t="str">
        <f t="shared" si="321"/>
        <v>Lucknow</v>
      </c>
      <c r="J5177" s="23">
        <f>COUNTIFS(pg_transaction_cleaned!$O:$O,A5177,pg_transaction_cleaned!$F:$F,"CAPTURE")</f>
        <v>0</v>
      </c>
      <c r="K5177" s="39">
        <f>SUMIFS(pg_transaction_cleaned!$H:$H,pg_transaction_cleaned!$O:$O,A5177,pg_transaction_cleaned!$F:$F,"CAPTURE")</f>
        <v>0</v>
      </c>
      <c r="L5177" s="23">
        <f>COUNTIFS(pg_transaction_cleaned!$O:$O,A5177,pg_transaction_cleaned!$F:$F,"REFUND")</f>
        <v>0</v>
      </c>
      <c r="M5177" s="39">
        <f>SUMIFS(pg_transaction_cleaned!$H:$H,pg_transaction_cleaned!$O:$O,A5177,pg_transaction_cleaned!$F:$F,"REFUND")</f>
        <v>0</v>
      </c>
      <c r="N5177" s="23" t="str">
        <f t="shared" si="322"/>
        <v>OK</v>
      </c>
      <c r="O5177" s="24">
        <f t="shared" si="323"/>
        <v>0</v>
      </c>
    </row>
    <row r="5178" spans="1:15" ht="15" customHeight="1" x14ac:dyDescent="0.3">
      <c r="A5178" s="23" t="s">
        <v>10794</v>
      </c>
      <c r="B5178" s="38">
        <v>46295</v>
      </c>
      <c r="C5178" s="23" t="s">
        <v>10795</v>
      </c>
      <c r="D5178" s="23" t="s">
        <v>93</v>
      </c>
      <c r="E5178" s="23" t="s">
        <v>81</v>
      </c>
      <c r="F5178" s="23" t="s">
        <v>800</v>
      </c>
      <c r="G5178" s="23" t="s">
        <v>250</v>
      </c>
      <c r="H5178" s="39">
        <f t="shared" si="320"/>
        <v>6797</v>
      </c>
      <c r="I5178" s="23" t="str">
        <f t="shared" si="321"/>
        <v>Kolkata</v>
      </c>
      <c r="J5178" s="23">
        <f>COUNTIFS(pg_transaction_cleaned!$O:$O,A5178,pg_transaction_cleaned!$F:$F,"CAPTURE")</f>
        <v>1</v>
      </c>
      <c r="K5178" s="39">
        <f>SUMIFS(pg_transaction_cleaned!$H:$H,pg_transaction_cleaned!$O:$O,A5178,pg_transaction_cleaned!$F:$F,"CAPTURE")</f>
        <v>6797</v>
      </c>
      <c r="L5178" s="23">
        <f>COUNTIFS(pg_transaction_cleaned!$O:$O,A5178,pg_transaction_cleaned!$F:$F,"REFUND")</f>
        <v>0</v>
      </c>
      <c r="M5178" s="39">
        <f>SUMIFS(pg_transaction_cleaned!$H:$H,pg_transaction_cleaned!$O:$O,A5178,pg_transaction_cleaned!$F:$F,"REFUND")</f>
        <v>0</v>
      </c>
      <c r="N5178" s="23" t="str">
        <f t="shared" si="322"/>
        <v>OK</v>
      </c>
      <c r="O5178" s="24">
        <f t="shared" si="323"/>
        <v>0</v>
      </c>
    </row>
    <row r="5179" spans="1:15" ht="15" customHeight="1" x14ac:dyDescent="0.3">
      <c r="A5179" s="23" t="s">
        <v>10796</v>
      </c>
      <c r="B5179" s="38">
        <v>46273</v>
      </c>
      <c r="C5179" s="23" t="s">
        <v>10797</v>
      </c>
      <c r="D5179" s="23" t="s">
        <v>86</v>
      </c>
      <c r="E5179" s="23" t="s">
        <v>75</v>
      </c>
      <c r="F5179" s="23" t="s">
        <v>274</v>
      </c>
      <c r="G5179" s="23" t="s">
        <v>250</v>
      </c>
      <c r="H5179" s="39">
        <f t="shared" si="320"/>
        <v>349</v>
      </c>
      <c r="I5179" s="23" t="str">
        <f t="shared" si="321"/>
        <v>Delhi</v>
      </c>
      <c r="J5179" s="23">
        <f>COUNTIFS(pg_transaction_cleaned!$O:$O,A5179,pg_transaction_cleaned!$F:$F,"CAPTURE")</f>
        <v>1</v>
      </c>
      <c r="K5179" s="39">
        <f>SUMIFS(pg_transaction_cleaned!$H:$H,pg_transaction_cleaned!$O:$O,A5179,pg_transaction_cleaned!$F:$F,"CAPTURE")</f>
        <v>349</v>
      </c>
      <c r="L5179" s="23">
        <f>COUNTIFS(pg_transaction_cleaned!$O:$O,A5179,pg_transaction_cleaned!$F:$F,"REFUND")</f>
        <v>0</v>
      </c>
      <c r="M5179" s="39">
        <f>SUMIFS(pg_transaction_cleaned!$H:$H,pg_transaction_cleaned!$O:$O,A5179,pg_transaction_cleaned!$F:$F,"REFUND")</f>
        <v>0</v>
      </c>
      <c r="N5179" s="23" t="str">
        <f t="shared" si="322"/>
        <v>OK</v>
      </c>
      <c r="O5179" s="24">
        <f t="shared" si="323"/>
        <v>0</v>
      </c>
    </row>
    <row r="5180" spans="1:15" ht="15" customHeight="1" x14ac:dyDescent="0.3">
      <c r="A5180" s="23" t="s">
        <v>10798</v>
      </c>
      <c r="B5180" s="38">
        <v>46274</v>
      </c>
      <c r="C5180" s="23" t="s">
        <v>10799</v>
      </c>
      <c r="D5180" s="23" t="s">
        <v>89</v>
      </c>
      <c r="E5180" s="23" t="s">
        <v>75</v>
      </c>
      <c r="F5180" s="23" t="s">
        <v>772</v>
      </c>
      <c r="G5180" s="23" t="s">
        <v>250</v>
      </c>
      <c r="H5180" s="39">
        <f t="shared" si="320"/>
        <v>4798</v>
      </c>
      <c r="I5180" s="23" t="str">
        <f t="shared" si="321"/>
        <v>Jaipur</v>
      </c>
      <c r="J5180" s="23">
        <f>COUNTIFS(pg_transaction_cleaned!$O:$O,A5180,pg_transaction_cleaned!$F:$F,"CAPTURE")</f>
        <v>1</v>
      </c>
      <c r="K5180" s="39">
        <f>SUMIFS(pg_transaction_cleaned!$H:$H,pg_transaction_cleaned!$O:$O,A5180,pg_transaction_cleaned!$F:$F,"CAPTURE")</f>
        <v>4798</v>
      </c>
      <c r="L5180" s="23">
        <f>COUNTIFS(pg_transaction_cleaned!$O:$O,A5180,pg_transaction_cleaned!$F:$F,"REFUND")</f>
        <v>0</v>
      </c>
      <c r="M5180" s="39">
        <f>SUMIFS(pg_transaction_cleaned!$H:$H,pg_transaction_cleaned!$O:$O,A5180,pg_transaction_cleaned!$F:$F,"REFUND")</f>
        <v>0</v>
      </c>
      <c r="N5180" s="23" t="str">
        <f t="shared" si="322"/>
        <v>OK</v>
      </c>
      <c r="O5180" s="24">
        <f t="shared" si="323"/>
        <v>0</v>
      </c>
    </row>
    <row r="5181" spans="1:15" ht="15" customHeight="1" x14ac:dyDescent="0.3">
      <c r="A5181" s="23" t="s">
        <v>10800</v>
      </c>
      <c r="B5181" s="38">
        <v>46272</v>
      </c>
      <c r="C5181" s="23" t="s">
        <v>10801</v>
      </c>
      <c r="D5181" s="23" t="s">
        <v>94</v>
      </c>
      <c r="E5181" s="23" t="s">
        <v>77</v>
      </c>
      <c r="F5181" s="23" t="s">
        <v>2160</v>
      </c>
      <c r="G5181" s="23" t="s">
        <v>250</v>
      </c>
      <c r="H5181" s="39">
        <f t="shared" si="320"/>
        <v>7998</v>
      </c>
      <c r="I5181" s="23" t="str">
        <f t="shared" si="321"/>
        <v>Chennai</v>
      </c>
      <c r="J5181" s="23">
        <f>COUNTIFS(pg_transaction_cleaned!$O:$O,A5181,pg_transaction_cleaned!$F:$F,"CAPTURE")</f>
        <v>1</v>
      </c>
      <c r="K5181" s="39">
        <f>SUMIFS(pg_transaction_cleaned!$H:$H,pg_transaction_cleaned!$O:$O,A5181,pg_transaction_cleaned!$F:$F,"CAPTURE")</f>
        <v>7998</v>
      </c>
      <c r="L5181" s="23">
        <f>COUNTIFS(pg_transaction_cleaned!$O:$O,A5181,pg_transaction_cleaned!$F:$F,"REFUND")</f>
        <v>0</v>
      </c>
      <c r="M5181" s="39">
        <f>SUMIFS(pg_transaction_cleaned!$H:$H,pg_transaction_cleaned!$O:$O,A5181,pg_transaction_cleaned!$F:$F,"REFUND")</f>
        <v>0</v>
      </c>
      <c r="N5181" s="23" t="str">
        <f t="shared" si="322"/>
        <v>OK</v>
      </c>
      <c r="O5181" s="24">
        <f t="shared" si="323"/>
        <v>0</v>
      </c>
    </row>
    <row r="5182" spans="1:15" ht="15" customHeight="1" x14ac:dyDescent="0.3">
      <c r="A5182" s="23" t="s">
        <v>10802</v>
      </c>
      <c r="B5182" s="38">
        <v>46292</v>
      </c>
      <c r="C5182" s="23" t="s">
        <v>10803</v>
      </c>
      <c r="D5182" s="23" t="s">
        <v>95</v>
      </c>
      <c r="E5182" s="23" t="s">
        <v>79</v>
      </c>
      <c r="F5182" s="23" t="s">
        <v>268</v>
      </c>
      <c r="G5182" s="23" t="s">
        <v>250</v>
      </c>
      <c r="H5182" s="39">
        <f t="shared" si="320"/>
        <v>1299</v>
      </c>
      <c r="I5182" s="23" t="str">
        <f t="shared" si="321"/>
        <v>Bengaluru</v>
      </c>
      <c r="J5182" s="23">
        <f>COUNTIFS(pg_transaction_cleaned!$O:$O,A5182,pg_transaction_cleaned!$F:$F,"CAPTURE")</f>
        <v>1</v>
      </c>
      <c r="K5182" s="39">
        <f>SUMIFS(pg_transaction_cleaned!$H:$H,pg_transaction_cleaned!$O:$O,A5182,pg_transaction_cleaned!$F:$F,"CAPTURE")</f>
        <v>1299</v>
      </c>
      <c r="L5182" s="23">
        <f>COUNTIFS(pg_transaction_cleaned!$O:$O,A5182,pg_transaction_cleaned!$F:$F,"REFUND")</f>
        <v>0</v>
      </c>
      <c r="M5182" s="39">
        <f>SUMIFS(pg_transaction_cleaned!$H:$H,pg_transaction_cleaned!$O:$O,A5182,pg_transaction_cleaned!$F:$F,"REFUND")</f>
        <v>0</v>
      </c>
      <c r="N5182" s="23" t="str">
        <f t="shared" si="322"/>
        <v>OK</v>
      </c>
      <c r="O5182" s="24">
        <f t="shared" si="323"/>
        <v>0</v>
      </c>
    </row>
    <row r="5183" spans="1:15" ht="15" customHeight="1" x14ac:dyDescent="0.3">
      <c r="A5183" s="23" t="s">
        <v>10804</v>
      </c>
      <c r="B5183" s="38">
        <v>46272</v>
      </c>
      <c r="C5183" s="23" t="s">
        <v>10805</v>
      </c>
      <c r="D5183" s="23" t="s">
        <v>86</v>
      </c>
      <c r="E5183" s="23" t="s">
        <v>75</v>
      </c>
      <c r="F5183" s="23" t="s">
        <v>315</v>
      </c>
      <c r="G5183" s="23" t="s">
        <v>250</v>
      </c>
      <c r="H5183" s="39">
        <f t="shared" si="320"/>
        <v>1499</v>
      </c>
      <c r="I5183" s="23" t="str">
        <f t="shared" si="321"/>
        <v>Delhi</v>
      </c>
      <c r="J5183" s="23">
        <f>COUNTIFS(pg_transaction_cleaned!$O:$O,A5183,pg_transaction_cleaned!$F:$F,"CAPTURE")</f>
        <v>1</v>
      </c>
      <c r="K5183" s="39">
        <f>SUMIFS(pg_transaction_cleaned!$H:$H,pg_transaction_cleaned!$O:$O,A5183,pg_transaction_cleaned!$F:$F,"CAPTURE")</f>
        <v>1499</v>
      </c>
      <c r="L5183" s="23">
        <f>COUNTIFS(pg_transaction_cleaned!$O:$O,A5183,pg_transaction_cleaned!$F:$F,"REFUND")</f>
        <v>0</v>
      </c>
      <c r="M5183" s="39">
        <f>SUMIFS(pg_transaction_cleaned!$H:$H,pg_transaction_cleaned!$O:$O,A5183,pg_transaction_cleaned!$F:$F,"REFUND")</f>
        <v>0</v>
      </c>
      <c r="N5183" s="23" t="str">
        <f t="shared" si="322"/>
        <v>OK</v>
      </c>
      <c r="O5183" s="24">
        <f t="shared" si="323"/>
        <v>0</v>
      </c>
    </row>
    <row r="5184" spans="1:15" ht="15" customHeight="1" x14ac:dyDescent="0.3">
      <c r="A5184" s="23" t="s">
        <v>10806</v>
      </c>
      <c r="B5184" s="38">
        <v>46270</v>
      </c>
      <c r="C5184" s="23" t="s">
        <v>10807</v>
      </c>
      <c r="D5184" s="23" t="s">
        <v>95</v>
      </c>
      <c r="E5184" s="23" t="s">
        <v>79</v>
      </c>
      <c r="F5184" s="23" t="s">
        <v>346</v>
      </c>
      <c r="G5184" s="23" t="s">
        <v>250</v>
      </c>
      <c r="H5184" s="39">
        <f t="shared" si="320"/>
        <v>4498</v>
      </c>
      <c r="I5184" s="23" t="str">
        <f t="shared" si="321"/>
        <v>Bengaluru</v>
      </c>
      <c r="J5184" s="23">
        <f>COUNTIFS(pg_transaction_cleaned!$O:$O,A5184,pg_transaction_cleaned!$F:$F,"CAPTURE")</f>
        <v>1</v>
      </c>
      <c r="K5184" s="39">
        <f>SUMIFS(pg_transaction_cleaned!$H:$H,pg_transaction_cleaned!$O:$O,A5184,pg_transaction_cleaned!$F:$F,"CAPTURE")</f>
        <v>4498</v>
      </c>
      <c r="L5184" s="23">
        <f>COUNTIFS(pg_transaction_cleaned!$O:$O,A5184,pg_transaction_cleaned!$F:$F,"REFUND")</f>
        <v>0</v>
      </c>
      <c r="M5184" s="39">
        <f>SUMIFS(pg_transaction_cleaned!$H:$H,pg_transaction_cleaned!$O:$O,A5184,pg_transaction_cleaned!$F:$F,"REFUND")</f>
        <v>0</v>
      </c>
      <c r="N5184" s="23" t="str">
        <f t="shared" si="322"/>
        <v>OK</v>
      </c>
      <c r="O5184" s="24">
        <f t="shared" si="323"/>
        <v>0</v>
      </c>
    </row>
    <row r="5185" spans="1:15" ht="15" customHeight="1" x14ac:dyDescent="0.3">
      <c r="A5185" s="23" t="s">
        <v>10808</v>
      </c>
      <c r="B5185" s="38">
        <v>46280</v>
      </c>
      <c r="C5185" s="23" t="s">
        <v>10809</v>
      </c>
      <c r="D5185" s="23" t="s">
        <v>86</v>
      </c>
      <c r="E5185" s="23" t="s">
        <v>81</v>
      </c>
      <c r="F5185" s="23" t="s">
        <v>297</v>
      </c>
      <c r="G5185" s="23" t="s">
        <v>250</v>
      </c>
      <c r="H5185" s="39">
        <f t="shared" si="320"/>
        <v>4999</v>
      </c>
      <c r="I5185" s="23" t="str">
        <f t="shared" si="321"/>
        <v>Delhi</v>
      </c>
      <c r="J5185" s="23">
        <f>COUNTIFS(pg_transaction_cleaned!$O:$O,A5185,pg_transaction_cleaned!$F:$F,"CAPTURE")</f>
        <v>1</v>
      </c>
      <c r="K5185" s="39">
        <f>SUMIFS(pg_transaction_cleaned!$H:$H,pg_transaction_cleaned!$O:$O,A5185,pg_transaction_cleaned!$F:$F,"CAPTURE")</f>
        <v>4999</v>
      </c>
      <c r="L5185" s="23">
        <f>COUNTIFS(pg_transaction_cleaned!$O:$O,A5185,pg_transaction_cleaned!$F:$F,"REFUND")</f>
        <v>0</v>
      </c>
      <c r="M5185" s="39">
        <f>SUMIFS(pg_transaction_cleaned!$H:$H,pg_transaction_cleaned!$O:$O,A5185,pg_transaction_cleaned!$F:$F,"REFUND")</f>
        <v>0</v>
      </c>
      <c r="N5185" s="23" t="str">
        <f t="shared" si="322"/>
        <v>OK</v>
      </c>
      <c r="O5185" s="24">
        <f t="shared" si="323"/>
        <v>0</v>
      </c>
    </row>
    <row r="5186" spans="1:15" ht="15" customHeight="1" x14ac:dyDescent="0.3">
      <c r="A5186" s="23" t="s">
        <v>10810</v>
      </c>
      <c r="B5186" s="38">
        <v>46271</v>
      </c>
      <c r="C5186" s="23" t="s">
        <v>10811</v>
      </c>
      <c r="D5186" s="23" t="s">
        <v>95</v>
      </c>
      <c r="E5186" s="23" t="s">
        <v>75</v>
      </c>
      <c r="F5186" s="23" t="s">
        <v>297</v>
      </c>
      <c r="G5186" s="23" t="s">
        <v>250</v>
      </c>
      <c r="H5186" s="39">
        <f t="shared" ref="H5186:H5249" si="324">VALUE(SUBSTITUTE(F5186,",",""))</f>
        <v>4999</v>
      </c>
      <c r="I5186" s="23" t="str">
        <f t="shared" ref="I5186:I5249" si="325">IF(TRIM(D5186)="","Unknown",TRIM(D5186))</f>
        <v>Bengaluru</v>
      </c>
      <c r="J5186" s="23">
        <f>COUNTIFS(pg_transaction_cleaned!$O:$O,A5186,pg_transaction_cleaned!$F:$F,"CAPTURE")</f>
        <v>1</v>
      </c>
      <c r="K5186" s="39">
        <f>SUMIFS(pg_transaction_cleaned!$H:$H,pg_transaction_cleaned!$O:$O,A5186,pg_transaction_cleaned!$F:$F,"CAPTURE")</f>
        <v>4999</v>
      </c>
      <c r="L5186" s="23">
        <f>COUNTIFS(pg_transaction_cleaned!$O:$O,A5186,pg_transaction_cleaned!$F:$F,"REFUND")</f>
        <v>0</v>
      </c>
      <c r="M5186" s="39">
        <f>SUMIFS(pg_transaction_cleaned!$H:$H,pg_transaction_cleaned!$O:$O,A5186,pg_transaction_cleaned!$F:$F,"REFUND")</f>
        <v>0</v>
      </c>
      <c r="N5186" s="23" t="str">
        <f t="shared" ref="N5186:N5249" si="326">IF(AND(G5186="Paid",J5186=0),"Paid, no payment",IF(AND(OR(G5186="Failed",G5186="Cancelled"),J5186&gt;0),"Payment on failed/cancelled",IF(J5186&gt;1,"Duplicate charge",IF(AND(J5186=1,ROUND(K5186-H5186,2)&lt;&gt;0),"Amount difference",IF(AND(G5186="Refunded",L5186=0),"Refunded, no refund",IF(AND(G5186&lt;&gt;"Refunded",L5186&gt;0),"Refund, order not Refunded",IF(AND(L5186&gt;0,ROUND(M5186-H5186,2)&lt;&gt;0),"Refund amount differs","OK")))))))</f>
        <v>OK</v>
      </c>
      <c r="O5186" s="24">
        <f t="shared" ref="O5186:O5249" si="327">IF(N5186="OK",0,IF(N5186="Paid, no payment",H5186,IF(N5186="Payment on failed/cancelled",K5186,IF(OR(N5186="Duplicate charge",N5186="Amount difference"),K5186-H5186,IF(N5186="Refunded, no refund",H5186,M5186)))))</f>
        <v>0</v>
      </c>
    </row>
    <row r="5187" spans="1:15" ht="15" customHeight="1" x14ac:dyDescent="0.3">
      <c r="A5187" s="23" t="s">
        <v>10812</v>
      </c>
      <c r="B5187" s="38">
        <v>46288</v>
      </c>
      <c r="C5187" s="23" t="s">
        <v>10813</v>
      </c>
      <c r="D5187" s="23" t="s">
        <v>87</v>
      </c>
      <c r="E5187" s="23" t="s">
        <v>79</v>
      </c>
      <c r="F5187" s="23" t="s">
        <v>1735</v>
      </c>
      <c r="G5187" s="23" t="s">
        <v>250</v>
      </c>
      <c r="H5187" s="39">
        <f t="shared" si="324"/>
        <v>12998</v>
      </c>
      <c r="I5187" s="23" t="str">
        <f t="shared" si="325"/>
        <v>Mumbai</v>
      </c>
      <c r="J5187" s="23">
        <f>COUNTIFS(pg_transaction_cleaned!$O:$O,A5187,pg_transaction_cleaned!$F:$F,"CAPTURE")</f>
        <v>1</v>
      </c>
      <c r="K5187" s="39">
        <f>SUMIFS(pg_transaction_cleaned!$H:$H,pg_transaction_cleaned!$O:$O,A5187,pg_transaction_cleaned!$F:$F,"CAPTURE")</f>
        <v>12998</v>
      </c>
      <c r="L5187" s="23">
        <f>COUNTIFS(pg_transaction_cleaned!$O:$O,A5187,pg_transaction_cleaned!$F:$F,"REFUND")</f>
        <v>0</v>
      </c>
      <c r="M5187" s="39">
        <f>SUMIFS(pg_transaction_cleaned!$H:$H,pg_transaction_cleaned!$O:$O,A5187,pg_transaction_cleaned!$F:$F,"REFUND")</f>
        <v>0</v>
      </c>
      <c r="N5187" s="23" t="str">
        <f t="shared" si="326"/>
        <v>OK</v>
      </c>
      <c r="O5187" s="24">
        <f t="shared" si="327"/>
        <v>0</v>
      </c>
    </row>
    <row r="5188" spans="1:15" ht="15" customHeight="1" x14ac:dyDescent="0.3">
      <c r="A5188" s="23" t="s">
        <v>10814</v>
      </c>
      <c r="B5188" s="38">
        <v>46283</v>
      </c>
      <c r="C5188" s="23" t="s">
        <v>10815</v>
      </c>
      <c r="D5188" s="23" t="s">
        <v>95</v>
      </c>
      <c r="E5188" s="23" t="s">
        <v>75</v>
      </c>
      <c r="F5188" s="23" t="s">
        <v>1123</v>
      </c>
      <c r="G5188" s="23" t="s">
        <v>250</v>
      </c>
      <c r="H5188" s="39">
        <f t="shared" si="324"/>
        <v>3797</v>
      </c>
      <c r="I5188" s="23" t="str">
        <f t="shared" si="325"/>
        <v>Bengaluru</v>
      </c>
      <c r="J5188" s="23">
        <f>COUNTIFS(pg_transaction_cleaned!$O:$O,A5188,pg_transaction_cleaned!$F:$F,"CAPTURE")</f>
        <v>1</v>
      </c>
      <c r="K5188" s="39">
        <f>SUMIFS(pg_transaction_cleaned!$H:$H,pg_transaction_cleaned!$O:$O,A5188,pg_transaction_cleaned!$F:$F,"CAPTURE")</f>
        <v>3797</v>
      </c>
      <c r="L5188" s="23">
        <f>COUNTIFS(pg_transaction_cleaned!$O:$O,A5188,pg_transaction_cleaned!$F:$F,"REFUND")</f>
        <v>0</v>
      </c>
      <c r="M5188" s="39">
        <f>SUMIFS(pg_transaction_cleaned!$H:$H,pg_transaction_cleaned!$O:$O,A5188,pg_transaction_cleaned!$F:$F,"REFUND")</f>
        <v>0</v>
      </c>
      <c r="N5188" s="23" t="str">
        <f t="shared" si="326"/>
        <v>OK</v>
      </c>
      <c r="O5188" s="24">
        <f t="shared" si="327"/>
        <v>0</v>
      </c>
    </row>
    <row r="5189" spans="1:15" ht="15" customHeight="1" x14ac:dyDescent="0.3">
      <c r="A5189" s="23" t="s">
        <v>10816</v>
      </c>
      <c r="B5189" s="38">
        <v>46289</v>
      </c>
      <c r="C5189" s="23" t="s">
        <v>10817</v>
      </c>
      <c r="D5189" s="23" t="s">
        <v>91</v>
      </c>
      <c r="E5189" s="23" t="s">
        <v>75</v>
      </c>
      <c r="F5189" s="23" t="s">
        <v>451</v>
      </c>
      <c r="G5189" s="23" t="s">
        <v>250</v>
      </c>
      <c r="H5189" s="39">
        <f t="shared" si="324"/>
        <v>1098</v>
      </c>
      <c r="I5189" s="23" t="str">
        <f t="shared" si="325"/>
        <v>Pune</v>
      </c>
      <c r="J5189" s="23">
        <f>COUNTIFS(pg_transaction_cleaned!$O:$O,A5189,pg_transaction_cleaned!$F:$F,"CAPTURE")</f>
        <v>1</v>
      </c>
      <c r="K5189" s="39">
        <f>SUMIFS(pg_transaction_cleaned!$H:$H,pg_transaction_cleaned!$O:$O,A5189,pg_transaction_cleaned!$F:$F,"CAPTURE")</f>
        <v>1098</v>
      </c>
      <c r="L5189" s="23">
        <f>COUNTIFS(pg_transaction_cleaned!$O:$O,A5189,pg_transaction_cleaned!$F:$F,"REFUND")</f>
        <v>0</v>
      </c>
      <c r="M5189" s="39">
        <f>SUMIFS(pg_transaction_cleaned!$H:$H,pg_transaction_cleaned!$O:$O,A5189,pg_transaction_cleaned!$F:$F,"REFUND")</f>
        <v>0</v>
      </c>
      <c r="N5189" s="23" t="str">
        <f t="shared" si="326"/>
        <v>OK</v>
      </c>
      <c r="O5189" s="24">
        <f t="shared" si="327"/>
        <v>0</v>
      </c>
    </row>
    <row r="5190" spans="1:15" ht="15" customHeight="1" x14ac:dyDescent="0.3">
      <c r="A5190" s="23" t="s">
        <v>10818</v>
      </c>
      <c r="B5190" s="38">
        <v>46286</v>
      </c>
      <c r="C5190" s="23" t="s">
        <v>10819</v>
      </c>
      <c r="D5190" s="23" t="s">
        <v>91</v>
      </c>
      <c r="E5190" s="23" t="s">
        <v>75</v>
      </c>
      <c r="F5190" s="23" t="s">
        <v>4580</v>
      </c>
      <c r="G5190" s="23" t="s">
        <v>250</v>
      </c>
      <c r="H5190" s="39">
        <f t="shared" si="324"/>
        <v>8597</v>
      </c>
      <c r="I5190" s="23" t="str">
        <f t="shared" si="325"/>
        <v>Pune</v>
      </c>
      <c r="J5190" s="23">
        <f>COUNTIFS(pg_transaction_cleaned!$O:$O,A5190,pg_transaction_cleaned!$F:$F,"CAPTURE")</f>
        <v>1</v>
      </c>
      <c r="K5190" s="39">
        <f>SUMIFS(pg_transaction_cleaned!$H:$H,pg_transaction_cleaned!$O:$O,A5190,pg_transaction_cleaned!$F:$F,"CAPTURE")</f>
        <v>8597</v>
      </c>
      <c r="L5190" s="23">
        <f>COUNTIFS(pg_transaction_cleaned!$O:$O,A5190,pg_transaction_cleaned!$F:$F,"REFUND")</f>
        <v>0</v>
      </c>
      <c r="M5190" s="39">
        <f>SUMIFS(pg_transaction_cleaned!$H:$H,pg_transaction_cleaned!$O:$O,A5190,pg_transaction_cleaned!$F:$F,"REFUND")</f>
        <v>0</v>
      </c>
      <c r="N5190" s="23" t="str">
        <f t="shared" si="326"/>
        <v>OK</v>
      </c>
      <c r="O5190" s="24">
        <f t="shared" si="327"/>
        <v>0</v>
      </c>
    </row>
    <row r="5191" spans="1:15" ht="15" customHeight="1" x14ac:dyDescent="0.3">
      <c r="A5191" s="23" t="s">
        <v>10820</v>
      </c>
      <c r="B5191" s="38">
        <v>46270</v>
      </c>
      <c r="C5191" s="23" t="s">
        <v>10821</v>
      </c>
      <c r="D5191" s="23" t="s">
        <v>92</v>
      </c>
      <c r="E5191" s="23" t="s">
        <v>75</v>
      </c>
      <c r="F5191" s="23" t="s">
        <v>396</v>
      </c>
      <c r="G5191" s="23" t="s">
        <v>250</v>
      </c>
      <c r="H5191" s="39">
        <f t="shared" si="324"/>
        <v>2999</v>
      </c>
      <c r="I5191" s="23" t="str">
        <f t="shared" si="325"/>
        <v>Hyderabad</v>
      </c>
      <c r="J5191" s="23">
        <f>COUNTIFS(pg_transaction_cleaned!$O:$O,A5191,pg_transaction_cleaned!$F:$F,"CAPTURE")</f>
        <v>1</v>
      </c>
      <c r="K5191" s="39">
        <f>SUMIFS(pg_transaction_cleaned!$H:$H,pg_transaction_cleaned!$O:$O,A5191,pg_transaction_cleaned!$F:$F,"CAPTURE")</f>
        <v>2999</v>
      </c>
      <c r="L5191" s="23">
        <f>COUNTIFS(pg_transaction_cleaned!$O:$O,A5191,pg_transaction_cleaned!$F:$F,"REFUND")</f>
        <v>0</v>
      </c>
      <c r="M5191" s="39">
        <f>SUMIFS(pg_transaction_cleaned!$H:$H,pg_transaction_cleaned!$O:$O,A5191,pg_transaction_cleaned!$F:$F,"REFUND")</f>
        <v>0</v>
      </c>
      <c r="N5191" s="23" t="str">
        <f t="shared" si="326"/>
        <v>OK</v>
      </c>
      <c r="O5191" s="24">
        <f t="shared" si="327"/>
        <v>0</v>
      </c>
    </row>
    <row r="5192" spans="1:15" ht="15" customHeight="1" x14ac:dyDescent="0.3">
      <c r="A5192" s="23" t="s">
        <v>10822</v>
      </c>
      <c r="B5192" s="38">
        <v>46280</v>
      </c>
      <c r="C5192" s="23" t="s">
        <v>10823</v>
      </c>
      <c r="D5192" s="23" t="s">
        <v>94</v>
      </c>
      <c r="E5192" s="23" t="s">
        <v>75</v>
      </c>
      <c r="F5192" s="23" t="s">
        <v>315</v>
      </c>
      <c r="G5192" s="23" t="s">
        <v>250</v>
      </c>
      <c r="H5192" s="39">
        <f t="shared" si="324"/>
        <v>1499</v>
      </c>
      <c r="I5192" s="23" t="str">
        <f t="shared" si="325"/>
        <v>Chennai</v>
      </c>
      <c r="J5192" s="23">
        <f>COUNTIFS(pg_transaction_cleaned!$O:$O,A5192,pg_transaction_cleaned!$F:$F,"CAPTURE")</f>
        <v>1</v>
      </c>
      <c r="K5192" s="39">
        <f>SUMIFS(pg_transaction_cleaned!$H:$H,pg_transaction_cleaned!$O:$O,A5192,pg_transaction_cleaned!$F:$F,"CAPTURE")</f>
        <v>1499</v>
      </c>
      <c r="L5192" s="23">
        <f>COUNTIFS(pg_transaction_cleaned!$O:$O,A5192,pg_transaction_cleaned!$F:$F,"REFUND")</f>
        <v>0</v>
      </c>
      <c r="M5192" s="39">
        <f>SUMIFS(pg_transaction_cleaned!$H:$H,pg_transaction_cleaned!$O:$O,A5192,pg_transaction_cleaned!$F:$F,"REFUND")</f>
        <v>0</v>
      </c>
      <c r="N5192" s="23" t="str">
        <f t="shared" si="326"/>
        <v>OK</v>
      </c>
      <c r="O5192" s="24">
        <f t="shared" si="327"/>
        <v>0</v>
      </c>
    </row>
    <row r="5193" spans="1:15" ht="15" customHeight="1" x14ac:dyDescent="0.3">
      <c r="A5193" s="23" t="s">
        <v>10824</v>
      </c>
      <c r="B5193" s="38">
        <v>46290</v>
      </c>
      <c r="C5193" s="23" t="s">
        <v>10825</v>
      </c>
      <c r="D5193" s="23" t="s">
        <v>89</v>
      </c>
      <c r="E5193" s="23" t="s">
        <v>79</v>
      </c>
      <c r="F5193" s="23" t="s">
        <v>3013</v>
      </c>
      <c r="G5193" s="23" t="s">
        <v>318</v>
      </c>
      <c r="H5193" s="39">
        <f t="shared" si="324"/>
        <v>4847</v>
      </c>
      <c r="I5193" s="23" t="str">
        <f t="shared" si="325"/>
        <v>Jaipur</v>
      </c>
      <c r="J5193" s="23">
        <f>COUNTIFS(pg_transaction_cleaned!$O:$O,A5193,pg_transaction_cleaned!$F:$F,"CAPTURE")</f>
        <v>0</v>
      </c>
      <c r="K5193" s="39">
        <f>SUMIFS(pg_transaction_cleaned!$H:$H,pg_transaction_cleaned!$O:$O,A5193,pg_transaction_cleaned!$F:$F,"CAPTURE")</f>
        <v>0</v>
      </c>
      <c r="L5193" s="23">
        <f>COUNTIFS(pg_transaction_cleaned!$O:$O,A5193,pg_transaction_cleaned!$F:$F,"REFUND")</f>
        <v>0</v>
      </c>
      <c r="M5193" s="39">
        <f>SUMIFS(pg_transaction_cleaned!$H:$H,pg_transaction_cleaned!$O:$O,A5193,pg_transaction_cleaned!$F:$F,"REFUND")</f>
        <v>0</v>
      </c>
      <c r="N5193" s="23" t="str">
        <f t="shared" si="326"/>
        <v>OK</v>
      </c>
      <c r="O5193" s="24">
        <f t="shared" si="327"/>
        <v>0</v>
      </c>
    </row>
    <row r="5194" spans="1:15" ht="15" customHeight="1" x14ac:dyDescent="0.3">
      <c r="A5194" s="23" t="s">
        <v>10826</v>
      </c>
      <c r="B5194" s="38">
        <v>46266</v>
      </c>
      <c r="C5194" s="23" t="s">
        <v>10827</v>
      </c>
      <c r="D5194" s="23" t="s">
        <v>92</v>
      </c>
      <c r="E5194" s="23" t="s">
        <v>79</v>
      </c>
      <c r="F5194" s="23" t="s">
        <v>680</v>
      </c>
      <c r="G5194" s="23" t="s">
        <v>250</v>
      </c>
      <c r="H5194" s="39">
        <f t="shared" si="324"/>
        <v>5097</v>
      </c>
      <c r="I5194" s="23" t="str">
        <f t="shared" si="325"/>
        <v>Hyderabad</v>
      </c>
      <c r="J5194" s="23">
        <f>COUNTIFS(pg_transaction_cleaned!$O:$O,A5194,pg_transaction_cleaned!$F:$F,"CAPTURE")</f>
        <v>1</v>
      </c>
      <c r="K5194" s="39">
        <f>SUMIFS(pg_transaction_cleaned!$H:$H,pg_transaction_cleaned!$O:$O,A5194,pg_transaction_cleaned!$F:$F,"CAPTURE")</f>
        <v>5097</v>
      </c>
      <c r="L5194" s="23">
        <f>COUNTIFS(pg_transaction_cleaned!$O:$O,A5194,pg_transaction_cleaned!$F:$F,"REFUND")</f>
        <v>0</v>
      </c>
      <c r="M5194" s="39">
        <f>SUMIFS(pg_transaction_cleaned!$H:$H,pg_transaction_cleaned!$O:$O,A5194,pg_transaction_cleaned!$F:$F,"REFUND")</f>
        <v>0</v>
      </c>
      <c r="N5194" s="23" t="str">
        <f t="shared" si="326"/>
        <v>OK</v>
      </c>
      <c r="O5194" s="24">
        <f t="shared" si="327"/>
        <v>0</v>
      </c>
    </row>
    <row r="5195" spans="1:15" ht="15" customHeight="1" x14ac:dyDescent="0.3">
      <c r="A5195" s="23" t="s">
        <v>10828</v>
      </c>
      <c r="B5195" s="38">
        <v>46289</v>
      </c>
      <c r="C5195" s="23" t="s">
        <v>10829</v>
      </c>
      <c r="D5195" s="23" t="s">
        <v>90</v>
      </c>
      <c r="E5195" s="23" t="s">
        <v>79</v>
      </c>
      <c r="F5195" s="23" t="s">
        <v>10830</v>
      </c>
      <c r="G5195" s="23" t="s">
        <v>250</v>
      </c>
      <c r="H5195" s="39">
        <f t="shared" si="324"/>
        <v>1847</v>
      </c>
      <c r="I5195" s="23" t="str">
        <f t="shared" si="325"/>
        <v>Ahmedabad</v>
      </c>
      <c r="J5195" s="23">
        <f>COUNTIFS(pg_transaction_cleaned!$O:$O,A5195,pg_transaction_cleaned!$F:$F,"CAPTURE")</f>
        <v>1</v>
      </c>
      <c r="K5195" s="39">
        <f>SUMIFS(pg_transaction_cleaned!$H:$H,pg_transaction_cleaned!$O:$O,A5195,pg_transaction_cleaned!$F:$F,"CAPTURE")</f>
        <v>1847</v>
      </c>
      <c r="L5195" s="23">
        <f>COUNTIFS(pg_transaction_cleaned!$O:$O,A5195,pg_transaction_cleaned!$F:$F,"REFUND")</f>
        <v>0</v>
      </c>
      <c r="M5195" s="39">
        <f>SUMIFS(pg_transaction_cleaned!$H:$H,pg_transaction_cleaned!$O:$O,A5195,pg_transaction_cleaned!$F:$F,"REFUND")</f>
        <v>0</v>
      </c>
      <c r="N5195" s="23" t="str">
        <f t="shared" si="326"/>
        <v>OK</v>
      </c>
      <c r="O5195" s="24">
        <f t="shared" si="327"/>
        <v>0</v>
      </c>
    </row>
    <row r="5196" spans="1:15" ht="15" customHeight="1" x14ac:dyDescent="0.3">
      <c r="A5196" s="23" t="s">
        <v>10831</v>
      </c>
      <c r="B5196" s="38">
        <v>46285</v>
      </c>
      <c r="C5196" s="23" t="s">
        <v>10832</v>
      </c>
      <c r="D5196" s="23" t="s">
        <v>90</v>
      </c>
      <c r="E5196" s="23" t="s">
        <v>75</v>
      </c>
      <c r="F5196" s="23" t="s">
        <v>1614</v>
      </c>
      <c r="G5196" s="23" t="s">
        <v>250</v>
      </c>
      <c r="H5196" s="39">
        <f t="shared" si="324"/>
        <v>2597</v>
      </c>
      <c r="I5196" s="23" t="str">
        <f t="shared" si="325"/>
        <v>Ahmedabad</v>
      </c>
      <c r="J5196" s="23">
        <f>COUNTIFS(pg_transaction_cleaned!$O:$O,A5196,pg_transaction_cleaned!$F:$F,"CAPTURE")</f>
        <v>1</v>
      </c>
      <c r="K5196" s="39">
        <f>SUMIFS(pg_transaction_cleaned!$H:$H,pg_transaction_cleaned!$O:$O,A5196,pg_transaction_cleaned!$F:$F,"CAPTURE")</f>
        <v>2597</v>
      </c>
      <c r="L5196" s="23">
        <f>COUNTIFS(pg_transaction_cleaned!$O:$O,A5196,pg_transaction_cleaned!$F:$F,"REFUND")</f>
        <v>0</v>
      </c>
      <c r="M5196" s="39">
        <f>SUMIFS(pg_transaction_cleaned!$H:$H,pg_transaction_cleaned!$O:$O,A5196,pg_transaction_cleaned!$F:$F,"REFUND")</f>
        <v>0</v>
      </c>
      <c r="N5196" s="23" t="str">
        <f t="shared" si="326"/>
        <v>OK</v>
      </c>
      <c r="O5196" s="24">
        <f t="shared" si="327"/>
        <v>0</v>
      </c>
    </row>
    <row r="5197" spans="1:15" ht="15" customHeight="1" x14ac:dyDescent="0.3">
      <c r="A5197" s="23" t="s">
        <v>10833</v>
      </c>
      <c r="B5197" s="38">
        <v>46272</v>
      </c>
      <c r="C5197" s="23" t="s">
        <v>4157</v>
      </c>
      <c r="D5197" s="23" t="s">
        <v>86</v>
      </c>
      <c r="E5197" s="23" t="s">
        <v>79</v>
      </c>
      <c r="F5197" s="23" t="s">
        <v>647</v>
      </c>
      <c r="G5197" s="23" t="s">
        <v>250</v>
      </c>
      <c r="H5197" s="39">
        <f t="shared" si="324"/>
        <v>5597</v>
      </c>
      <c r="I5197" s="23" t="str">
        <f t="shared" si="325"/>
        <v>Delhi</v>
      </c>
      <c r="J5197" s="23">
        <f>COUNTIFS(pg_transaction_cleaned!$O:$O,A5197,pg_transaction_cleaned!$F:$F,"CAPTURE")</f>
        <v>1</v>
      </c>
      <c r="K5197" s="39">
        <f>SUMIFS(pg_transaction_cleaned!$H:$H,pg_transaction_cleaned!$O:$O,A5197,pg_transaction_cleaned!$F:$F,"CAPTURE")</f>
        <v>5597</v>
      </c>
      <c r="L5197" s="23">
        <f>COUNTIFS(pg_transaction_cleaned!$O:$O,A5197,pg_transaction_cleaned!$F:$F,"REFUND")</f>
        <v>0</v>
      </c>
      <c r="M5197" s="39">
        <f>SUMIFS(pg_transaction_cleaned!$H:$H,pg_transaction_cleaned!$O:$O,A5197,pg_transaction_cleaned!$F:$F,"REFUND")</f>
        <v>0</v>
      </c>
      <c r="N5197" s="23" t="str">
        <f t="shared" si="326"/>
        <v>OK</v>
      </c>
      <c r="O5197" s="24">
        <f t="shared" si="327"/>
        <v>0</v>
      </c>
    </row>
    <row r="5198" spans="1:15" ht="15" customHeight="1" x14ac:dyDescent="0.3">
      <c r="A5198" s="23" t="s">
        <v>10834</v>
      </c>
      <c r="B5198" s="38">
        <v>46282</v>
      </c>
      <c r="C5198" s="23" t="s">
        <v>10835</v>
      </c>
      <c r="D5198" s="23" t="s">
        <v>90</v>
      </c>
      <c r="E5198" s="23" t="s">
        <v>75</v>
      </c>
      <c r="F5198" s="23" t="s">
        <v>567</v>
      </c>
      <c r="G5198" s="23" t="s">
        <v>250</v>
      </c>
      <c r="H5198" s="39">
        <f t="shared" si="324"/>
        <v>3598</v>
      </c>
      <c r="I5198" s="23" t="str">
        <f t="shared" si="325"/>
        <v>Ahmedabad</v>
      </c>
      <c r="J5198" s="23">
        <f>COUNTIFS(pg_transaction_cleaned!$O:$O,A5198,pg_transaction_cleaned!$F:$F,"CAPTURE")</f>
        <v>1</v>
      </c>
      <c r="K5198" s="39">
        <f>SUMIFS(pg_transaction_cleaned!$H:$H,pg_transaction_cleaned!$O:$O,A5198,pg_transaction_cleaned!$F:$F,"CAPTURE")</f>
        <v>3598</v>
      </c>
      <c r="L5198" s="23">
        <f>COUNTIFS(pg_transaction_cleaned!$O:$O,A5198,pg_transaction_cleaned!$F:$F,"REFUND")</f>
        <v>0</v>
      </c>
      <c r="M5198" s="39">
        <f>SUMIFS(pg_transaction_cleaned!$H:$H,pg_transaction_cleaned!$O:$O,A5198,pg_transaction_cleaned!$F:$F,"REFUND")</f>
        <v>0</v>
      </c>
      <c r="N5198" s="23" t="str">
        <f t="shared" si="326"/>
        <v>OK</v>
      </c>
      <c r="O5198" s="24">
        <f t="shared" si="327"/>
        <v>0</v>
      </c>
    </row>
    <row r="5199" spans="1:15" ht="15" customHeight="1" x14ac:dyDescent="0.3">
      <c r="A5199" s="23" t="s">
        <v>10836</v>
      </c>
      <c r="B5199" s="38">
        <v>46285</v>
      </c>
      <c r="C5199" s="23" t="s">
        <v>10837</v>
      </c>
      <c r="D5199" s="23" t="s">
        <v>95</v>
      </c>
      <c r="E5199" s="23" t="s">
        <v>81</v>
      </c>
      <c r="F5199" s="23" t="s">
        <v>346</v>
      </c>
      <c r="G5199" s="23" t="s">
        <v>250</v>
      </c>
      <c r="H5199" s="39">
        <f t="shared" si="324"/>
        <v>4498</v>
      </c>
      <c r="I5199" s="23" t="str">
        <f t="shared" si="325"/>
        <v>Bengaluru</v>
      </c>
      <c r="J5199" s="23">
        <f>COUNTIFS(pg_transaction_cleaned!$O:$O,A5199,pg_transaction_cleaned!$F:$F,"CAPTURE")</f>
        <v>1</v>
      </c>
      <c r="K5199" s="39">
        <f>SUMIFS(pg_transaction_cleaned!$H:$H,pg_transaction_cleaned!$O:$O,A5199,pg_transaction_cleaned!$F:$F,"CAPTURE")</f>
        <v>4498</v>
      </c>
      <c r="L5199" s="23">
        <f>COUNTIFS(pg_transaction_cleaned!$O:$O,A5199,pg_transaction_cleaned!$F:$F,"REFUND")</f>
        <v>0</v>
      </c>
      <c r="M5199" s="39">
        <f>SUMIFS(pg_transaction_cleaned!$H:$H,pg_transaction_cleaned!$O:$O,A5199,pg_transaction_cleaned!$F:$F,"REFUND")</f>
        <v>0</v>
      </c>
      <c r="N5199" s="23" t="str">
        <f t="shared" si="326"/>
        <v>OK</v>
      </c>
      <c r="O5199" s="24">
        <f t="shared" si="327"/>
        <v>0</v>
      </c>
    </row>
    <row r="5200" spans="1:15" ht="15" customHeight="1" x14ac:dyDescent="0.3">
      <c r="A5200" s="23" t="s">
        <v>10838</v>
      </c>
      <c r="B5200" s="38">
        <v>46268</v>
      </c>
      <c r="C5200" s="23" t="s">
        <v>10839</v>
      </c>
      <c r="D5200" s="23" t="s">
        <v>88</v>
      </c>
      <c r="E5200" s="23" t="s">
        <v>79</v>
      </c>
      <c r="F5200" s="23" t="s">
        <v>769</v>
      </c>
      <c r="G5200" s="23" t="s">
        <v>250</v>
      </c>
      <c r="H5200" s="39">
        <f t="shared" si="324"/>
        <v>1897</v>
      </c>
      <c r="I5200" s="23" t="str">
        <f t="shared" si="325"/>
        <v>Lucknow</v>
      </c>
      <c r="J5200" s="23">
        <f>COUNTIFS(pg_transaction_cleaned!$O:$O,A5200,pg_transaction_cleaned!$F:$F,"CAPTURE")</f>
        <v>1</v>
      </c>
      <c r="K5200" s="39">
        <f>SUMIFS(pg_transaction_cleaned!$H:$H,pg_transaction_cleaned!$O:$O,A5200,pg_transaction_cleaned!$F:$F,"CAPTURE")</f>
        <v>1897</v>
      </c>
      <c r="L5200" s="23">
        <f>COUNTIFS(pg_transaction_cleaned!$O:$O,A5200,pg_transaction_cleaned!$F:$F,"REFUND")</f>
        <v>0</v>
      </c>
      <c r="M5200" s="39">
        <f>SUMIFS(pg_transaction_cleaned!$H:$H,pg_transaction_cleaned!$O:$O,A5200,pg_transaction_cleaned!$F:$F,"REFUND")</f>
        <v>0</v>
      </c>
      <c r="N5200" s="23" t="str">
        <f t="shared" si="326"/>
        <v>OK</v>
      </c>
      <c r="O5200" s="24">
        <f t="shared" si="327"/>
        <v>0</v>
      </c>
    </row>
    <row r="5201" spans="1:15" ht="15" customHeight="1" x14ac:dyDescent="0.3">
      <c r="A5201" s="23" t="s">
        <v>10840</v>
      </c>
      <c r="B5201" s="38">
        <v>46292</v>
      </c>
      <c r="C5201" s="23" t="s">
        <v>10841</v>
      </c>
      <c r="D5201" s="23" t="s">
        <v>87</v>
      </c>
      <c r="E5201" s="23" t="s">
        <v>75</v>
      </c>
      <c r="F5201" s="23" t="s">
        <v>1206</v>
      </c>
      <c r="G5201" s="23" t="s">
        <v>250</v>
      </c>
      <c r="H5201" s="39">
        <f t="shared" si="324"/>
        <v>7297</v>
      </c>
      <c r="I5201" s="23" t="str">
        <f t="shared" si="325"/>
        <v>Mumbai</v>
      </c>
      <c r="J5201" s="23">
        <f>COUNTIFS(pg_transaction_cleaned!$O:$O,A5201,pg_transaction_cleaned!$F:$F,"CAPTURE")</f>
        <v>1</v>
      </c>
      <c r="K5201" s="39">
        <f>SUMIFS(pg_transaction_cleaned!$H:$H,pg_transaction_cleaned!$O:$O,A5201,pg_transaction_cleaned!$F:$F,"CAPTURE")</f>
        <v>7297</v>
      </c>
      <c r="L5201" s="23">
        <f>COUNTIFS(pg_transaction_cleaned!$O:$O,A5201,pg_transaction_cleaned!$F:$F,"REFUND")</f>
        <v>0</v>
      </c>
      <c r="M5201" s="39">
        <f>SUMIFS(pg_transaction_cleaned!$H:$H,pg_transaction_cleaned!$O:$O,A5201,pg_transaction_cleaned!$F:$F,"REFUND")</f>
        <v>0</v>
      </c>
      <c r="N5201" s="23" t="str">
        <f t="shared" si="326"/>
        <v>OK</v>
      </c>
      <c r="O5201" s="24">
        <f t="shared" si="327"/>
        <v>0</v>
      </c>
    </row>
    <row r="5202" spans="1:15" ht="15" customHeight="1" x14ac:dyDescent="0.3">
      <c r="A5202" s="23" t="s">
        <v>10842</v>
      </c>
      <c r="B5202" s="38">
        <v>46270</v>
      </c>
      <c r="C5202" s="23" t="s">
        <v>10843</v>
      </c>
      <c r="D5202" s="23" t="s">
        <v>89</v>
      </c>
      <c r="E5202" s="23" t="s">
        <v>75</v>
      </c>
      <c r="F5202" s="23" t="s">
        <v>249</v>
      </c>
      <c r="G5202" s="23" t="s">
        <v>250</v>
      </c>
      <c r="H5202" s="39">
        <f t="shared" si="324"/>
        <v>299</v>
      </c>
      <c r="I5202" s="23" t="str">
        <f t="shared" si="325"/>
        <v>Jaipur</v>
      </c>
      <c r="J5202" s="23">
        <f>COUNTIFS(pg_transaction_cleaned!$O:$O,A5202,pg_transaction_cleaned!$F:$F,"CAPTURE")</f>
        <v>1</v>
      </c>
      <c r="K5202" s="39">
        <f>SUMIFS(pg_transaction_cleaned!$H:$H,pg_transaction_cleaned!$O:$O,A5202,pg_transaction_cleaned!$F:$F,"CAPTURE")</f>
        <v>299</v>
      </c>
      <c r="L5202" s="23">
        <f>COUNTIFS(pg_transaction_cleaned!$O:$O,A5202,pg_transaction_cleaned!$F:$F,"REFUND")</f>
        <v>0</v>
      </c>
      <c r="M5202" s="39">
        <f>SUMIFS(pg_transaction_cleaned!$H:$H,pg_transaction_cleaned!$O:$O,A5202,pg_transaction_cleaned!$F:$F,"REFUND")</f>
        <v>0</v>
      </c>
      <c r="N5202" s="23" t="str">
        <f t="shared" si="326"/>
        <v>OK</v>
      </c>
      <c r="O5202" s="24">
        <f t="shared" si="327"/>
        <v>0</v>
      </c>
    </row>
    <row r="5203" spans="1:15" ht="15" customHeight="1" x14ac:dyDescent="0.3">
      <c r="A5203" s="23" t="s">
        <v>10844</v>
      </c>
      <c r="B5203" s="38">
        <v>46278</v>
      </c>
      <c r="C5203" s="23" t="s">
        <v>10845</v>
      </c>
      <c r="D5203" s="23" t="s">
        <v>90</v>
      </c>
      <c r="E5203" s="23" t="s">
        <v>75</v>
      </c>
      <c r="F5203" s="23" t="s">
        <v>1315</v>
      </c>
      <c r="G5203" s="23" t="s">
        <v>250</v>
      </c>
      <c r="H5203" s="39">
        <f t="shared" si="324"/>
        <v>8297</v>
      </c>
      <c r="I5203" s="23" t="str">
        <f t="shared" si="325"/>
        <v>Ahmedabad</v>
      </c>
      <c r="J5203" s="23">
        <f>COUNTIFS(pg_transaction_cleaned!$O:$O,A5203,pg_transaction_cleaned!$F:$F,"CAPTURE")</f>
        <v>1</v>
      </c>
      <c r="K5203" s="39">
        <f>SUMIFS(pg_transaction_cleaned!$H:$H,pg_transaction_cleaned!$O:$O,A5203,pg_transaction_cleaned!$F:$F,"CAPTURE")</f>
        <v>8297</v>
      </c>
      <c r="L5203" s="23">
        <f>COUNTIFS(pg_transaction_cleaned!$O:$O,A5203,pg_transaction_cleaned!$F:$F,"REFUND")</f>
        <v>0</v>
      </c>
      <c r="M5203" s="39">
        <f>SUMIFS(pg_transaction_cleaned!$H:$H,pg_transaction_cleaned!$O:$O,A5203,pg_transaction_cleaned!$F:$F,"REFUND")</f>
        <v>0</v>
      </c>
      <c r="N5203" s="23" t="str">
        <f t="shared" si="326"/>
        <v>OK</v>
      </c>
      <c r="O5203" s="24">
        <f t="shared" si="327"/>
        <v>0</v>
      </c>
    </row>
    <row r="5204" spans="1:15" ht="15" customHeight="1" x14ac:dyDescent="0.3">
      <c r="A5204" s="23" t="s">
        <v>10846</v>
      </c>
      <c r="B5204" s="38">
        <v>46279</v>
      </c>
      <c r="C5204" s="23" t="s">
        <v>10847</v>
      </c>
      <c r="D5204" s="23" t="s">
        <v>89</v>
      </c>
      <c r="E5204" s="23" t="s">
        <v>79</v>
      </c>
      <c r="F5204" s="23" t="s">
        <v>2337</v>
      </c>
      <c r="G5204" s="23" t="s">
        <v>250</v>
      </c>
      <c r="H5204" s="39">
        <f t="shared" si="324"/>
        <v>8348</v>
      </c>
      <c r="I5204" s="23" t="str">
        <f t="shared" si="325"/>
        <v>Jaipur</v>
      </c>
      <c r="J5204" s="23">
        <f>COUNTIFS(pg_transaction_cleaned!$O:$O,A5204,pg_transaction_cleaned!$F:$F,"CAPTURE")</f>
        <v>1</v>
      </c>
      <c r="K5204" s="39">
        <f>SUMIFS(pg_transaction_cleaned!$H:$H,pg_transaction_cleaned!$O:$O,A5204,pg_transaction_cleaned!$F:$F,"CAPTURE")</f>
        <v>8348</v>
      </c>
      <c r="L5204" s="23">
        <f>COUNTIFS(pg_transaction_cleaned!$O:$O,A5204,pg_transaction_cleaned!$F:$F,"REFUND")</f>
        <v>0</v>
      </c>
      <c r="M5204" s="39">
        <f>SUMIFS(pg_transaction_cleaned!$H:$H,pg_transaction_cleaned!$O:$O,A5204,pg_transaction_cleaned!$F:$F,"REFUND")</f>
        <v>0</v>
      </c>
      <c r="N5204" s="23" t="str">
        <f t="shared" si="326"/>
        <v>OK</v>
      </c>
      <c r="O5204" s="24">
        <f t="shared" si="327"/>
        <v>0</v>
      </c>
    </row>
    <row r="5205" spans="1:15" ht="15" customHeight="1" x14ac:dyDescent="0.3">
      <c r="A5205" s="23" t="s">
        <v>10848</v>
      </c>
      <c r="B5205" s="38">
        <v>46279</v>
      </c>
      <c r="C5205" s="23" t="s">
        <v>10849</v>
      </c>
      <c r="D5205" s="23" t="s">
        <v>91</v>
      </c>
      <c r="E5205" s="23" t="s">
        <v>75</v>
      </c>
      <c r="F5205" s="23" t="s">
        <v>262</v>
      </c>
      <c r="G5205" s="23" t="s">
        <v>250</v>
      </c>
      <c r="H5205" s="39">
        <f t="shared" si="324"/>
        <v>499</v>
      </c>
      <c r="I5205" s="23" t="str">
        <f t="shared" si="325"/>
        <v>Pune</v>
      </c>
      <c r="J5205" s="23">
        <f>COUNTIFS(pg_transaction_cleaned!$O:$O,A5205,pg_transaction_cleaned!$F:$F,"CAPTURE")</f>
        <v>1</v>
      </c>
      <c r="K5205" s="39">
        <f>SUMIFS(pg_transaction_cleaned!$H:$H,pg_transaction_cleaned!$O:$O,A5205,pg_transaction_cleaned!$F:$F,"CAPTURE")</f>
        <v>499</v>
      </c>
      <c r="L5205" s="23">
        <f>COUNTIFS(pg_transaction_cleaned!$O:$O,A5205,pg_transaction_cleaned!$F:$F,"REFUND")</f>
        <v>0</v>
      </c>
      <c r="M5205" s="39">
        <f>SUMIFS(pg_transaction_cleaned!$H:$H,pg_transaction_cleaned!$O:$O,A5205,pg_transaction_cleaned!$F:$F,"REFUND")</f>
        <v>0</v>
      </c>
      <c r="N5205" s="23" t="str">
        <f t="shared" si="326"/>
        <v>OK</v>
      </c>
      <c r="O5205" s="24">
        <f t="shared" si="327"/>
        <v>0</v>
      </c>
    </row>
    <row r="5206" spans="1:15" ht="15" customHeight="1" x14ac:dyDescent="0.3">
      <c r="A5206" s="23" t="s">
        <v>10850</v>
      </c>
      <c r="B5206" s="38">
        <v>46294</v>
      </c>
      <c r="C5206" s="23" t="s">
        <v>10851</v>
      </c>
      <c r="D5206" s="23" t="s">
        <v>93</v>
      </c>
      <c r="E5206" s="23" t="s">
        <v>75</v>
      </c>
      <c r="F5206" s="23" t="s">
        <v>6606</v>
      </c>
      <c r="G5206" s="23" t="s">
        <v>250</v>
      </c>
      <c r="H5206" s="39">
        <f t="shared" si="324"/>
        <v>2697</v>
      </c>
      <c r="I5206" s="23" t="str">
        <f t="shared" si="325"/>
        <v>Kolkata</v>
      </c>
      <c r="J5206" s="23">
        <f>COUNTIFS(pg_transaction_cleaned!$O:$O,A5206,pg_transaction_cleaned!$F:$F,"CAPTURE")</f>
        <v>1</v>
      </c>
      <c r="K5206" s="39">
        <f>SUMIFS(pg_transaction_cleaned!$H:$H,pg_transaction_cleaned!$O:$O,A5206,pg_transaction_cleaned!$F:$F,"CAPTURE")</f>
        <v>2697</v>
      </c>
      <c r="L5206" s="23">
        <f>COUNTIFS(pg_transaction_cleaned!$O:$O,A5206,pg_transaction_cleaned!$F:$F,"REFUND")</f>
        <v>1</v>
      </c>
      <c r="M5206" s="39">
        <f>SUMIFS(pg_transaction_cleaned!$H:$H,pg_transaction_cleaned!$O:$O,A5206,pg_transaction_cleaned!$F:$F,"REFUND")</f>
        <v>2697</v>
      </c>
      <c r="N5206" s="23" t="str">
        <f t="shared" si="326"/>
        <v>Refund, order not Refunded</v>
      </c>
      <c r="O5206" s="24">
        <f t="shared" si="327"/>
        <v>2697</v>
      </c>
    </row>
    <row r="5207" spans="1:15" ht="15" customHeight="1" x14ac:dyDescent="0.3">
      <c r="A5207" s="23" t="s">
        <v>10852</v>
      </c>
      <c r="B5207" s="38">
        <v>46271</v>
      </c>
      <c r="C5207" s="23" t="s">
        <v>10853</v>
      </c>
      <c r="D5207" s="23" t="s">
        <v>95</v>
      </c>
      <c r="E5207" s="23" t="s">
        <v>79</v>
      </c>
      <c r="F5207" s="23" t="s">
        <v>274</v>
      </c>
      <c r="G5207" s="23" t="s">
        <v>250</v>
      </c>
      <c r="H5207" s="39">
        <f t="shared" si="324"/>
        <v>349</v>
      </c>
      <c r="I5207" s="23" t="str">
        <f t="shared" si="325"/>
        <v>Bengaluru</v>
      </c>
      <c r="J5207" s="23">
        <f>COUNTIFS(pg_transaction_cleaned!$O:$O,A5207,pg_transaction_cleaned!$F:$F,"CAPTURE")</f>
        <v>1</v>
      </c>
      <c r="K5207" s="39">
        <f>SUMIFS(pg_transaction_cleaned!$H:$H,pg_transaction_cleaned!$O:$O,A5207,pg_transaction_cleaned!$F:$F,"CAPTURE")</f>
        <v>349</v>
      </c>
      <c r="L5207" s="23">
        <f>COUNTIFS(pg_transaction_cleaned!$O:$O,A5207,pg_transaction_cleaned!$F:$F,"REFUND")</f>
        <v>0</v>
      </c>
      <c r="M5207" s="39">
        <f>SUMIFS(pg_transaction_cleaned!$H:$H,pg_transaction_cleaned!$O:$O,A5207,pg_transaction_cleaned!$F:$F,"REFUND")</f>
        <v>0</v>
      </c>
      <c r="N5207" s="23" t="str">
        <f t="shared" si="326"/>
        <v>OK</v>
      </c>
      <c r="O5207" s="24">
        <f t="shared" si="327"/>
        <v>0</v>
      </c>
    </row>
    <row r="5208" spans="1:15" ht="15" customHeight="1" x14ac:dyDescent="0.3">
      <c r="A5208" s="23" t="s">
        <v>10854</v>
      </c>
      <c r="B5208" s="38">
        <v>46295</v>
      </c>
      <c r="C5208" s="23" t="s">
        <v>10855</v>
      </c>
      <c r="D5208" s="23" t="s">
        <v>88</v>
      </c>
      <c r="E5208" s="23" t="s">
        <v>77</v>
      </c>
      <c r="F5208" s="23" t="s">
        <v>1391</v>
      </c>
      <c r="G5208" s="23" t="s">
        <v>250</v>
      </c>
      <c r="H5208" s="39">
        <f t="shared" si="324"/>
        <v>2897</v>
      </c>
      <c r="I5208" s="23" t="str">
        <f t="shared" si="325"/>
        <v>Lucknow</v>
      </c>
      <c r="J5208" s="23">
        <f>COUNTIFS(pg_transaction_cleaned!$O:$O,A5208,pg_transaction_cleaned!$F:$F,"CAPTURE")</f>
        <v>1</v>
      </c>
      <c r="K5208" s="39">
        <f>SUMIFS(pg_transaction_cleaned!$H:$H,pg_transaction_cleaned!$O:$O,A5208,pg_transaction_cleaned!$F:$F,"CAPTURE")</f>
        <v>2897</v>
      </c>
      <c r="L5208" s="23">
        <f>COUNTIFS(pg_transaction_cleaned!$O:$O,A5208,pg_transaction_cleaned!$F:$F,"REFUND")</f>
        <v>0</v>
      </c>
      <c r="M5208" s="39">
        <f>SUMIFS(pg_transaction_cleaned!$H:$H,pg_transaction_cleaned!$O:$O,A5208,pg_transaction_cleaned!$F:$F,"REFUND")</f>
        <v>0</v>
      </c>
      <c r="N5208" s="23" t="str">
        <f t="shared" si="326"/>
        <v>OK</v>
      </c>
      <c r="O5208" s="24">
        <f t="shared" si="327"/>
        <v>0</v>
      </c>
    </row>
    <row r="5209" spans="1:15" ht="15" customHeight="1" x14ac:dyDescent="0.3">
      <c r="A5209" s="23" t="s">
        <v>10856</v>
      </c>
      <c r="B5209" s="38">
        <v>46285</v>
      </c>
      <c r="C5209" s="23" t="s">
        <v>10857</v>
      </c>
      <c r="D5209" s="23" t="s">
        <v>95</v>
      </c>
      <c r="E5209" s="23" t="s">
        <v>79</v>
      </c>
      <c r="F5209" s="23" t="s">
        <v>271</v>
      </c>
      <c r="G5209" s="23" t="s">
        <v>250</v>
      </c>
      <c r="H5209" s="39">
        <f t="shared" si="324"/>
        <v>2499</v>
      </c>
      <c r="I5209" s="23" t="str">
        <f t="shared" si="325"/>
        <v>Bengaluru</v>
      </c>
      <c r="J5209" s="23">
        <f>COUNTIFS(pg_transaction_cleaned!$O:$O,A5209,pg_transaction_cleaned!$F:$F,"CAPTURE")</f>
        <v>1</v>
      </c>
      <c r="K5209" s="39">
        <f>SUMIFS(pg_transaction_cleaned!$H:$H,pg_transaction_cleaned!$O:$O,A5209,pg_transaction_cleaned!$F:$F,"CAPTURE")</f>
        <v>2499</v>
      </c>
      <c r="L5209" s="23">
        <f>COUNTIFS(pg_transaction_cleaned!$O:$O,A5209,pg_transaction_cleaned!$F:$F,"REFUND")</f>
        <v>0</v>
      </c>
      <c r="M5209" s="39">
        <f>SUMIFS(pg_transaction_cleaned!$H:$H,pg_transaction_cleaned!$O:$O,A5209,pg_transaction_cleaned!$F:$F,"REFUND")</f>
        <v>0</v>
      </c>
      <c r="N5209" s="23" t="str">
        <f t="shared" si="326"/>
        <v>OK</v>
      </c>
      <c r="O5209" s="24">
        <f t="shared" si="327"/>
        <v>0</v>
      </c>
    </row>
    <row r="5210" spans="1:15" ht="15" customHeight="1" x14ac:dyDescent="0.3">
      <c r="A5210" s="23" t="s">
        <v>10858</v>
      </c>
      <c r="B5210" s="38">
        <v>46283</v>
      </c>
      <c r="C5210" s="23" t="s">
        <v>4096</v>
      </c>
      <c r="D5210" s="23" t="s">
        <v>93</v>
      </c>
      <c r="E5210" s="23" t="s">
        <v>75</v>
      </c>
      <c r="F5210" s="23" t="s">
        <v>460</v>
      </c>
      <c r="G5210" s="23" t="s">
        <v>250</v>
      </c>
      <c r="H5210" s="39">
        <f t="shared" si="324"/>
        <v>1998</v>
      </c>
      <c r="I5210" s="23" t="str">
        <f t="shared" si="325"/>
        <v>Kolkata</v>
      </c>
      <c r="J5210" s="23">
        <f>COUNTIFS(pg_transaction_cleaned!$O:$O,A5210,pg_transaction_cleaned!$F:$F,"CAPTURE")</f>
        <v>1</v>
      </c>
      <c r="K5210" s="39">
        <f>SUMIFS(pg_transaction_cleaned!$H:$H,pg_transaction_cleaned!$O:$O,A5210,pg_transaction_cleaned!$F:$F,"CAPTURE")</f>
        <v>1998</v>
      </c>
      <c r="L5210" s="23">
        <f>COUNTIFS(pg_transaction_cleaned!$O:$O,A5210,pg_transaction_cleaned!$F:$F,"REFUND")</f>
        <v>0</v>
      </c>
      <c r="M5210" s="39">
        <f>SUMIFS(pg_transaction_cleaned!$H:$H,pg_transaction_cleaned!$O:$O,A5210,pg_transaction_cleaned!$F:$F,"REFUND")</f>
        <v>0</v>
      </c>
      <c r="N5210" s="23" t="str">
        <f t="shared" si="326"/>
        <v>OK</v>
      </c>
      <c r="O5210" s="24">
        <f t="shared" si="327"/>
        <v>0</v>
      </c>
    </row>
    <row r="5211" spans="1:15" ht="15" customHeight="1" x14ac:dyDescent="0.3">
      <c r="A5211" s="23" t="s">
        <v>10859</v>
      </c>
      <c r="B5211" s="38">
        <v>46290</v>
      </c>
      <c r="C5211" s="23" t="s">
        <v>10860</v>
      </c>
      <c r="D5211" s="23" t="s">
        <v>95</v>
      </c>
      <c r="E5211" s="23" t="s">
        <v>75</v>
      </c>
      <c r="F5211" s="23" t="s">
        <v>1978</v>
      </c>
      <c r="G5211" s="23" t="s">
        <v>250</v>
      </c>
      <c r="H5211" s="39">
        <f t="shared" si="324"/>
        <v>4597</v>
      </c>
      <c r="I5211" s="23" t="str">
        <f t="shared" si="325"/>
        <v>Bengaluru</v>
      </c>
      <c r="J5211" s="23">
        <f>COUNTIFS(pg_transaction_cleaned!$O:$O,A5211,pg_transaction_cleaned!$F:$F,"CAPTURE")</f>
        <v>1</v>
      </c>
      <c r="K5211" s="39">
        <f>SUMIFS(pg_transaction_cleaned!$H:$H,pg_transaction_cleaned!$O:$O,A5211,pg_transaction_cleaned!$F:$F,"CAPTURE")</f>
        <v>4597</v>
      </c>
      <c r="L5211" s="23">
        <f>COUNTIFS(pg_transaction_cleaned!$O:$O,A5211,pg_transaction_cleaned!$F:$F,"REFUND")</f>
        <v>0</v>
      </c>
      <c r="M5211" s="39">
        <f>SUMIFS(pg_transaction_cleaned!$H:$H,pg_transaction_cleaned!$O:$O,A5211,pg_transaction_cleaned!$F:$F,"REFUND")</f>
        <v>0</v>
      </c>
      <c r="N5211" s="23" t="str">
        <f t="shared" si="326"/>
        <v>OK</v>
      </c>
      <c r="O5211" s="24">
        <f t="shared" si="327"/>
        <v>0</v>
      </c>
    </row>
    <row r="5212" spans="1:15" ht="15" customHeight="1" x14ac:dyDescent="0.3">
      <c r="A5212" s="23" t="s">
        <v>10861</v>
      </c>
      <c r="B5212" s="38">
        <v>46267</v>
      </c>
      <c r="C5212" s="23" t="s">
        <v>10862</v>
      </c>
      <c r="D5212" s="23" t="s">
        <v>86</v>
      </c>
      <c r="E5212" s="23" t="s">
        <v>75</v>
      </c>
      <c r="F5212" s="23" t="s">
        <v>262</v>
      </c>
      <c r="G5212" s="23" t="s">
        <v>250</v>
      </c>
      <c r="H5212" s="39">
        <f t="shared" si="324"/>
        <v>499</v>
      </c>
      <c r="I5212" s="23" t="str">
        <f t="shared" si="325"/>
        <v>Delhi</v>
      </c>
      <c r="J5212" s="23">
        <f>COUNTIFS(pg_transaction_cleaned!$O:$O,A5212,pg_transaction_cleaned!$F:$F,"CAPTURE")</f>
        <v>1</v>
      </c>
      <c r="K5212" s="39">
        <f>SUMIFS(pg_transaction_cleaned!$H:$H,pg_transaction_cleaned!$O:$O,A5212,pg_transaction_cleaned!$F:$F,"CAPTURE")</f>
        <v>499</v>
      </c>
      <c r="L5212" s="23">
        <f>COUNTIFS(pg_transaction_cleaned!$O:$O,A5212,pg_transaction_cleaned!$F:$F,"REFUND")</f>
        <v>0</v>
      </c>
      <c r="M5212" s="39">
        <f>SUMIFS(pg_transaction_cleaned!$H:$H,pg_transaction_cleaned!$O:$O,A5212,pg_transaction_cleaned!$F:$F,"REFUND")</f>
        <v>0</v>
      </c>
      <c r="N5212" s="23" t="str">
        <f t="shared" si="326"/>
        <v>OK</v>
      </c>
      <c r="O5212" s="24">
        <f t="shared" si="327"/>
        <v>0</v>
      </c>
    </row>
    <row r="5213" spans="1:15" ht="15" customHeight="1" x14ac:dyDescent="0.3">
      <c r="A5213" s="23" t="s">
        <v>10863</v>
      </c>
      <c r="B5213" s="38">
        <v>46289</v>
      </c>
      <c r="C5213" s="23" t="s">
        <v>10864</v>
      </c>
      <c r="D5213" s="23" t="s">
        <v>94</v>
      </c>
      <c r="E5213" s="23" t="s">
        <v>75</v>
      </c>
      <c r="F5213" s="23" t="s">
        <v>950</v>
      </c>
      <c r="G5213" s="23" t="s">
        <v>250</v>
      </c>
      <c r="H5213" s="39">
        <f t="shared" si="324"/>
        <v>1898</v>
      </c>
      <c r="I5213" s="23" t="str">
        <f t="shared" si="325"/>
        <v>Chennai</v>
      </c>
      <c r="J5213" s="23">
        <f>COUNTIFS(pg_transaction_cleaned!$O:$O,A5213,pg_transaction_cleaned!$F:$F,"CAPTURE")</f>
        <v>1</v>
      </c>
      <c r="K5213" s="39">
        <f>SUMIFS(pg_transaction_cleaned!$H:$H,pg_transaction_cleaned!$O:$O,A5213,pg_transaction_cleaned!$F:$F,"CAPTURE")</f>
        <v>1898</v>
      </c>
      <c r="L5213" s="23">
        <f>COUNTIFS(pg_transaction_cleaned!$O:$O,A5213,pg_transaction_cleaned!$F:$F,"REFUND")</f>
        <v>0</v>
      </c>
      <c r="M5213" s="39">
        <f>SUMIFS(pg_transaction_cleaned!$H:$H,pg_transaction_cleaned!$O:$O,A5213,pg_transaction_cleaned!$F:$F,"REFUND")</f>
        <v>0</v>
      </c>
      <c r="N5213" s="23" t="str">
        <f t="shared" si="326"/>
        <v>OK</v>
      </c>
      <c r="O5213" s="24">
        <f t="shared" si="327"/>
        <v>0</v>
      </c>
    </row>
    <row r="5214" spans="1:15" ht="15" customHeight="1" x14ac:dyDescent="0.3">
      <c r="A5214" s="23" t="s">
        <v>10865</v>
      </c>
      <c r="B5214" s="38">
        <v>46289</v>
      </c>
      <c r="C5214" s="23" t="s">
        <v>10866</v>
      </c>
      <c r="D5214" s="23" t="s">
        <v>86</v>
      </c>
      <c r="E5214" s="23" t="s">
        <v>79</v>
      </c>
      <c r="F5214" s="23" t="s">
        <v>2160</v>
      </c>
      <c r="G5214" s="23" t="s">
        <v>250</v>
      </c>
      <c r="H5214" s="39">
        <f t="shared" si="324"/>
        <v>7998</v>
      </c>
      <c r="I5214" s="23" t="str">
        <f t="shared" si="325"/>
        <v>Delhi</v>
      </c>
      <c r="J5214" s="23">
        <f>COUNTIFS(pg_transaction_cleaned!$O:$O,A5214,pg_transaction_cleaned!$F:$F,"CAPTURE")</f>
        <v>1</v>
      </c>
      <c r="K5214" s="39">
        <f>SUMIFS(pg_transaction_cleaned!$H:$H,pg_transaction_cleaned!$O:$O,A5214,pg_transaction_cleaned!$F:$F,"CAPTURE")</f>
        <v>7998</v>
      </c>
      <c r="L5214" s="23">
        <f>COUNTIFS(pg_transaction_cleaned!$O:$O,A5214,pg_transaction_cleaned!$F:$F,"REFUND")</f>
        <v>0</v>
      </c>
      <c r="M5214" s="39">
        <f>SUMIFS(pg_transaction_cleaned!$H:$H,pg_transaction_cleaned!$O:$O,A5214,pg_transaction_cleaned!$F:$F,"REFUND")</f>
        <v>0</v>
      </c>
      <c r="N5214" s="23" t="str">
        <f t="shared" si="326"/>
        <v>OK</v>
      </c>
      <c r="O5214" s="24">
        <f t="shared" si="327"/>
        <v>0</v>
      </c>
    </row>
    <row r="5215" spans="1:15" ht="15" customHeight="1" x14ac:dyDescent="0.3">
      <c r="A5215" s="23" t="s">
        <v>10867</v>
      </c>
      <c r="B5215" s="38">
        <v>46289</v>
      </c>
      <c r="C5215" s="23" t="s">
        <v>10868</v>
      </c>
      <c r="D5215" s="23" t="s">
        <v>95</v>
      </c>
      <c r="E5215" s="23" t="s">
        <v>75</v>
      </c>
      <c r="F5215" s="23" t="s">
        <v>475</v>
      </c>
      <c r="G5215" s="23" t="s">
        <v>365</v>
      </c>
      <c r="H5215" s="39">
        <f t="shared" si="324"/>
        <v>799</v>
      </c>
      <c r="I5215" s="23" t="str">
        <f t="shared" si="325"/>
        <v>Bengaluru</v>
      </c>
      <c r="J5215" s="23">
        <f>COUNTIFS(pg_transaction_cleaned!$O:$O,A5215,pg_transaction_cleaned!$F:$F,"CAPTURE")</f>
        <v>0</v>
      </c>
      <c r="K5215" s="39">
        <f>SUMIFS(pg_transaction_cleaned!$H:$H,pg_transaction_cleaned!$O:$O,A5215,pg_transaction_cleaned!$F:$F,"CAPTURE")</f>
        <v>0</v>
      </c>
      <c r="L5215" s="23">
        <f>COUNTIFS(pg_transaction_cleaned!$O:$O,A5215,pg_transaction_cleaned!$F:$F,"REFUND")</f>
        <v>0</v>
      </c>
      <c r="M5215" s="39">
        <f>SUMIFS(pg_transaction_cleaned!$H:$H,pg_transaction_cleaned!$O:$O,A5215,pg_transaction_cleaned!$F:$F,"REFUND")</f>
        <v>0</v>
      </c>
      <c r="N5215" s="23" t="str">
        <f t="shared" si="326"/>
        <v>OK</v>
      </c>
      <c r="O5215" s="24">
        <f t="shared" si="327"/>
        <v>0</v>
      </c>
    </row>
    <row r="5216" spans="1:15" ht="15" customHeight="1" x14ac:dyDescent="0.3">
      <c r="A5216" s="23" t="s">
        <v>10869</v>
      </c>
      <c r="B5216" s="38">
        <v>46285</v>
      </c>
      <c r="C5216" s="23" t="s">
        <v>10870</v>
      </c>
      <c r="D5216" s="23" t="s">
        <v>88</v>
      </c>
      <c r="E5216" s="23" t="s">
        <v>75</v>
      </c>
      <c r="F5216" s="23" t="s">
        <v>268</v>
      </c>
      <c r="G5216" s="23" t="s">
        <v>250</v>
      </c>
      <c r="H5216" s="39">
        <f t="shared" si="324"/>
        <v>1299</v>
      </c>
      <c r="I5216" s="23" t="str">
        <f t="shared" si="325"/>
        <v>Lucknow</v>
      </c>
      <c r="J5216" s="23">
        <f>COUNTIFS(pg_transaction_cleaned!$O:$O,A5216,pg_transaction_cleaned!$F:$F,"CAPTURE")</f>
        <v>1</v>
      </c>
      <c r="K5216" s="39">
        <f>SUMIFS(pg_transaction_cleaned!$H:$H,pg_transaction_cleaned!$O:$O,A5216,pg_transaction_cleaned!$F:$F,"CAPTURE")</f>
        <v>1299</v>
      </c>
      <c r="L5216" s="23">
        <f>COUNTIFS(pg_transaction_cleaned!$O:$O,A5216,pg_transaction_cleaned!$F:$F,"REFUND")</f>
        <v>0</v>
      </c>
      <c r="M5216" s="39">
        <f>SUMIFS(pg_transaction_cleaned!$H:$H,pg_transaction_cleaned!$O:$O,A5216,pg_transaction_cleaned!$F:$F,"REFUND")</f>
        <v>0</v>
      </c>
      <c r="N5216" s="23" t="str">
        <f t="shared" si="326"/>
        <v>OK</v>
      </c>
      <c r="O5216" s="24">
        <f t="shared" si="327"/>
        <v>0</v>
      </c>
    </row>
    <row r="5217" spans="1:15" ht="15" customHeight="1" x14ac:dyDescent="0.3">
      <c r="A5217" s="23" t="s">
        <v>10871</v>
      </c>
      <c r="B5217" s="38">
        <v>46269</v>
      </c>
      <c r="C5217" s="23" t="s">
        <v>10872</v>
      </c>
      <c r="D5217" s="23" t="s">
        <v>93</v>
      </c>
      <c r="E5217" s="23" t="s">
        <v>75</v>
      </c>
      <c r="F5217" s="23" t="s">
        <v>271</v>
      </c>
      <c r="G5217" s="23" t="s">
        <v>250</v>
      </c>
      <c r="H5217" s="39">
        <f t="shared" si="324"/>
        <v>2499</v>
      </c>
      <c r="I5217" s="23" t="str">
        <f t="shared" si="325"/>
        <v>Kolkata</v>
      </c>
      <c r="J5217" s="23">
        <f>COUNTIFS(pg_transaction_cleaned!$O:$O,A5217,pg_transaction_cleaned!$F:$F,"CAPTURE")</f>
        <v>1</v>
      </c>
      <c r="K5217" s="39">
        <f>SUMIFS(pg_transaction_cleaned!$H:$H,pg_transaction_cleaned!$O:$O,A5217,pg_transaction_cleaned!$F:$F,"CAPTURE")</f>
        <v>2499</v>
      </c>
      <c r="L5217" s="23">
        <f>COUNTIFS(pg_transaction_cleaned!$O:$O,A5217,pg_transaction_cleaned!$F:$F,"REFUND")</f>
        <v>0</v>
      </c>
      <c r="M5217" s="39">
        <f>SUMIFS(pg_transaction_cleaned!$H:$H,pg_transaction_cleaned!$O:$O,A5217,pg_transaction_cleaned!$F:$F,"REFUND")</f>
        <v>0</v>
      </c>
      <c r="N5217" s="23" t="str">
        <f t="shared" si="326"/>
        <v>OK</v>
      </c>
      <c r="O5217" s="24">
        <f t="shared" si="327"/>
        <v>0</v>
      </c>
    </row>
    <row r="5218" spans="1:15" ht="15" customHeight="1" x14ac:dyDescent="0.3">
      <c r="A5218" s="23" t="s">
        <v>10873</v>
      </c>
      <c r="B5218" s="38">
        <v>46289</v>
      </c>
      <c r="C5218" s="23" t="s">
        <v>10874</v>
      </c>
      <c r="D5218" s="23" t="s">
        <v>93</v>
      </c>
      <c r="E5218" s="23" t="s">
        <v>81</v>
      </c>
      <c r="F5218" s="23" t="s">
        <v>587</v>
      </c>
      <c r="G5218" s="23" t="s">
        <v>250</v>
      </c>
      <c r="H5218" s="39">
        <f t="shared" si="324"/>
        <v>5297</v>
      </c>
      <c r="I5218" s="23" t="str">
        <f t="shared" si="325"/>
        <v>Kolkata</v>
      </c>
      <c r="J5218" s="23">
        <f>COUNTIFS(pg_transaction_cleaned!$O:$O,A5218,pg_transaction_cleaned!$F:$F,"CAPTURE")</f>
        <v>1</v>
      </c>
      <c r="K5218" s="39">
        <f>SUMIFS(pg_transaction_cleaned!$H:$H,pg_transaction_cleaned!$O:$O,A5218,pg_transaction_cleaned!$F:$F,"CAPTURE")</f>
        <v>5297</v>
      </c>
      <c r="L5218" s="23">
        <f>COUNTIFS(pg_transaction_cleaned!$O:$O,A5218,pg_transaction_cleaned!$F:$F,"REFUND")</f>
        <v>0</v>
      </c>
      <c r="M5218" s="39">
        <f>SUMIFS(pg_transaction_cleaned!$H:$H,pg_transaction_cleaned!$O:$O,A5218,pg_transaction_cleaned!$F:$F,"REFUND")</f>
        <v>0</v>
      </c>
      <c r="N5218" s="23" t="str">
        <f t="shared" si="326"/>
        <v>OK</v>
      </c>
      <c r="O5218" s="24">
        <f t="shared" si="327"/>
        <v>0</v>
      </c>
    </row>
    <row r="5219" spans="1:15" ht="15" customHeight="1" x14ac:dyDescent="0.3">
      <c r="A5219" s="23" t="s">
        <v>10875</v>
      </c>
      <c r="B5219" s="38">
        <v>46275</v>
      </c>
      <c r="C5219" s="23" t="s">
        <v>10876</v>
      </c>
      <c r="D5219" s="23" t="s">
        <v>95</v>
      </c>
      <c r="E5219" s="23" t="s">
        <v>79</v>
      </c>
      <c r="F5219" s="23" t="s">
        <v>297</v>
      </c>
      <c r="G5219" s="23" t="s">
        <v>250</v>
      </c>
      <c r="H5219" s="39">
        <f t="shared" si="324"/>
        <v>4999</v>
      </c>
      <c r="I5219" s="23" t="str">
        <f t="shared" si="325"/>
        <v>Bengaluru</v>
      </c>
      <c r="J5219" s="23">
        <f>COUNTIFS(pg_transaction_cleaned!$O:$O,A5219,pg_transaction_cleaned!$F:$F,"CAPTURE")</f>
        <v>1</v>
      </c>
      <c r="K5219" s="39">
        <f>SUMIFS(pg_transaction_cleaned!$H:$H,pg_transaction_cleaned!$O:$O,A5219,pg_transaction_cleaned!$F:$F,"CAPTURE")</f>
        <v>4999</v>
      </c>
      <c r="L5219" s="23">
        <f>COUNTIFS(pg_transaction_cleaned!$O:$O,A5219,pg_transaction_cleaned!$F:$F,"REFUND")</f>
        <v>0</v>
      </c>
      <c r="M5219" s="39">
        <f>SUMIFS(pg_transaction_cleaned!$H:$H,pg_transaction_cleaned!$O:$O,A5219,pg_transaction_cleaned!$F:$F,"REFUND")</f>
        <v>0</v>
      </c>
      <c r="N5219" s="23" t="str">
        <f t="shared" si="326"/>
        <v>OK</v>
      </c>
      <c r="O5219" s="24">
        <f t="shared" si="327"/>
        <v>0</v>
      </c>
    </row>
    <row r="5220" spans="1:15" ht="15" customHeight="1" x14ac:dyDescent="0.3">
      <c r="A5220" s="23" t="s">
        <v>10877</v>
      </c>
      <c r="B5220" s="38">
        <v>46287</v>
      </c>
      <c r="C5220" s="23" t="s">
        <v>10878</v>
      </c>
      <c r="D5220" s="23" t="s">
        <v>91</v>
      </c>
      <c r="E5220" s="23" t="s">
        <v>79</v>
      </c>
      <c r="F5220" s="23" t="s">
        <v>5639</v>
      </c>
      <c r="G5220" s="23" t="s">
        <v>250</v>
      </c>
      <c r="H5220" s="39">
        <f t="shared" si="324"/>
        <v>2798</v>
      </c>
      <c r="I5220" s="23" t="str">
        <f t="shared" si="325"/>
        <v>Pune</v>
      </c>
      <c r="J5220" s="23">
        <f>COUNTIFS(pg_transaction_cleaned!$O:$O,A5220,pg_transaction_cleaned!$F:$F,"CAPTURE")</f>
        <v>1</v>
      </c>
      <c r="K5220" s="39">
        <f>SUMIFS(pg_transaction_cleaned!$H:$H,pg_transaction_cleaned!$O:$O,A5220,pg_transaction_cleaned!$F:$F,"CAPTURE")</f>
        <v>2798</v>
      </c>
      <c r="L5220" s="23">
        <f>COUNTIFS(pg_transaction_cleaned!$O:$O,A5220,pg_transaction_cleaned!$F:$F,"REFUND")</f>
        <v>0</v>
      </c>
      <c r="M5220" s="39">
        <f>SUMIFS(pg_transaction_cleaned!$H:$H,pg_transaction_cleaned!$O:$O,A5220,pg_transaction_cleaned!$F:$F,"REFUND")</f>
        <v>0</v>
      </c>
      <c r="N5220" s="23" t="str">
        <f t="shared" si="326"/>
        <v>OK</v>
      </c>
      <c r="O5220" s="24">
        <f t="shared" si="327"/>
        <v>0</v>
      </c>
    </row>
    <row r="5221" spans="1:15" ht="15" customHeight="1" x14ac:dyDescent="0.3">
      <c r="A5221" s="23" t="s">
        <v>10879</v>
      </c>
      <c r="B5221" s="38">
        <v>46281</v>
      </c>
      <c r="C5221" s="23" t="s">
        <v>10880</v>
      </c>
      <c r="D5221" s="23" t="s">
        <v>88</v>
      </c>
      <c r="E5221" s="23" t="s">
        <v>79</v>
      </c>
      <c r="F5221" s="23" t="s">
        <v>717</v>
      </c>
      <c r="G5221" s="23" t="s">
        <v>250</v>
      </c>
      <c r="H5221" s="39">
        <f t="shared" si="324"/>
        <v>5298</v>
      </c>
      <c r="I5221" s="23" t="str">
        <f t="shared" si="325"/>
        <v>Lucknow</v>
      </c>
      <c r="J5221" s="23">
        <f>COUNTIFS(pg_transaction_cleaned!$O:$O,A5221,pg_transaction_cleaned!$F:$F,"CAPTURE")</f>
        <v>1</v>
      </c>
      <c r="K5221" s="39">
        <f>SUMIFS(pg_transaction_cleaned!$H:$H,pg_transaction_cleaned!$O:$O,A5221,pg_transaction_cleaned!$F:$F,"CAPTURE")</f>
        <v>5298</v>
      </c>
      <c r="L5221" s="23">
        <f>COUNTIFS(pg_transaction_cleaned!$O:$O,A5221,pg_transaction_cleaned!$F:$F,"REFUND")</f>
        <v>0</v>
      </c>
      <c r="M5221" s="39">
        <f>SUMIFS(pg_transaction_cleaned!$H:$H,pg_transaction_cleaned!$O:$O,A5221,pg_transaction_cleaned!$F:$F,"REFUND")</f>
        <v>0</v>
      </c>
      <c r="N5221" s="23" t="str">
        <f t="shared" si="326"/>
        <v>OK</v>
      </c>
      <c r="O5221" s="24">
        <f t="shared" si="327"/>
        <v>0</v>
      </c>
    </row>
    <row r="5222" spans="1:15" ht="15" customHeight="1" x14ac:dyDescent="0.3">
      <c r="A5222" s="23" t="s">
        <v>10881</v>
      </c>
      <c r="B5222" s="38">
        <v>46272</v>
      </c>
      <c r="C5222" s="23" t="s">
        <v>2123</v>
      </c>
      <c r="D5222" s="23" t="s">
        <v>94</v>
      </c>
      <c r="E5222" s="23" t="s">
        <v>77</v>
      </c>
      <c r="F5222" s="23" t="s">
        <v>423</v>
      </c>
      <c r="G5222" s="23" t="s">
        <v>250</v>
      </c>
      <c r="H5222" s="39">
        <f t="shared" si="324"/>
        <v>1648</v>
      </c>
      <c r="I5222" s="23" t="str">
        <f t="shared" si="325"/>
        <v>Chennai</v>
      </c>
      <c r="J5222" s="23">
        <f>COUNTIFS(pg_transaction_cleaned!$O:$O,A5222,pg_transaction_cleaned!$F:$F,"CAPTURE")</f>
        <v>1</v>
      </c>
      <c r="K5222" s="39">
        <f>SUMIFS(pg_transaction_cleaned!$H:$H,pg_transaction_cleaned!$O:$O,A5222,pg_transaction_cleaned!$F:$F,"CAPTURE")</f>
        <v>1648</v>
      </c>
      <c r="L5222" s="23">
        <f>COUNTIFS(pg_transaction_cleaned!$O:$O,A5222,pg_transaction_cleaned!$F:$F,"REFUND")</f>
        <v>0</v>
      </c>
      <c r="M5222" s="39">
        <f>SUMIFS(pg_transaction_cleaned!$H:$H,pg_transaction_cleaned!$O:$O,A5222,pg_transaction_cleaned!$F:$F,"REFUND")</f>
        <v>0</v>
      </c>
      <c r="N5222" s="23" t="str">
        <f t="shared" si="326"/>
        <v>OK</v>
      </c>
      <c r="O5222" s="24">
        <f t="shared" si="327"/>
        <v>0</v>
      </c>
    </row>
    <row r="5223" spans="1:15" ht="15" customHeight="1" x14ac:dyDescent="0.3">
      <c r="A5223" s="23" t="s">
        <v>10882</v>
      </c>
      <c r="B5223" s="38">
        <v>46286</v>
      </c>
      <c r="C5223" s="23" t="s">
        <v>10883</v>
      </c>
      <c r="D5223" s="23" t="s">
        <v>92</v>
      </c>
      <c r="E5223" s="23" t="s">
        <v>79</v>
      </c>
      <c r="F5223" s="23" t="s">
        <v>352</v>
      </c>
      <c r="G5223" s="23" t="s">
        <v>250</v>
      </c>
      <c r="H5223" s="39">
        <f t="shared" si="324"/>
        <v>648</v>
      </c>
      <c r="I5223" s="23" t="str">
        <f t="shared" si="325"/>
        <v>Hyderabad</v>
      </c>
      <c r="J5223" s="23">
        <f>COUNTIFS(pg_transaction_cleaned!$O:$O,A5223,pg_transaction_cleaned!$F:$F,"CAPTURE")</f>
        <v>1</v>
      </c>
      <c r="K5223" s="39">
        <f>SUMIFS(pg_transaction_cleaned!$H:$H,pg_transaction_cleaned!$O:$O,A5223,pg_transaction_cleaned!$F:$F,"CAPTURE")</f>
        <v>648</v>
      </c>
      <c r="L5223" s="23">
        <f>COUNTIFS(pg_transaction_cleaned!$O:$O,A5223,pg_transaction_cleaned!$F:$F,"REFUND")</f>
        <v>0</v>
      </c>
      <c r="M5223" s="39">
        <f>SUMIFS(pg_transaction_cleaned!$H:$H,pg_transaction_cleaned!$O:$O,A5223,pg_transaction_cleaned!$F:$F,"REFUND")</f>
        <v>0</v>
      </c>
      <c r="N5223" s="23" t="str">
        <f t="shared" si="326"/>
        <v>OK</v>
      </c>
      <c r="O5223" s="24">
        <f t="shared" si="327"/>
        <v>0</v>
      </c>
    </row>
    <row r="5224" spans="1:15" ht="15" customHeight="1" x14ac:dyDescent="0.3">
      <c r="A5224" s="23" t="s">
        <v>10884</v>
      </c>
      <c r="B5224" s="38">
        <v>46279</v>
      </c>
      <c r="C5224" s="23" t="s">
        <v>10885</v>
      </c>
      <c r="D5224" s="23" t="s">
        <v>95</v>
      </c>
      <c r="E5224" s="23" t="s">
        <v>77</v>
      </c>
      <c r="F5224" s="23" t="s">
        <v>10886</v>
      </c>
      <c r="G5224" s="23" t="s">
        <v>250</v>
      </c>
      <c r="H5224" s="39">
        <f t="shared" si="324"/>
        <v>10498</v>
      </c>
      <c r="I5224" s="23" t="str">
        <f t="shared" si="325"/>
        <v>Bengaluru</v>
      </c>
      <c r="J5224" s="23">
        <f>COUNTIFS(pg_transaction_cleaned!$O:$O,A5224,pg_transaction_cleaned!$F:$F,"CAPTURE")</f>
        <v>1</v>
      </c>
      <c r="K5224" s="39">
        <f>SUMIFS(pg_transaction_cleaned!$H:$H,pg_transaction_cleaned!$O:$O,A5224,pg_transaction_cleaned!$F:$F,"CAPTURE")</f>
        <v>10498</v>
      </c>
      <c r="L5224" s="23">
        <f>COUNTIFS(pg_transaction_cleaned!$O:$O,A5224,pg_transaction_cleaned!$F:$F,"REFUND")</f>
        <v>0</v>
      </c>
      <c r="M5224" s="39">
        <f>SUMIFS(pg_transaction_cleaned!$H:$H,pg_transaction_cleaned!$O:$O,A5224,pg_transaction_cleaned!$F:$F,"REFUND")</f>
        <v>0</v>
      </c>
      <c r="N5224" s="23" t="str">
        <f t="shared" si="326"/>
        <v>OK</v>
      </c>
      <c r="O5224" s="24">
        <f t="shared" si="327"/>
        <v>0</v>
      </c>
    </row>
    <row r="5225" spans="1:15" ht="15" customHeight="1" x14ac:dyDescent="0.3">
      <c r="A5225" s="23" t="s">
        <v>10887</v>
      </c>
      <c r="B5225" s="38">
        <v>46283</v>
      </c>
      <c r="C5225" s="23" t="s">
        <v>10888</v>
      </c>
      <c r="D5225" s="23" t="s">
        <v>86</v>
      </c>
      <c r="E5225" s="23" t="s">
        <v>79</v>
      </c>
      <c r="F5225" s="23" t="s">
        <v>426</v>
      </c>
      <c r="G5225" s="23" t="s">
        <v>365</v>
      </c>
      <c r="H5225" s="39">
        <f t="shared" si="324"/>
        <v>6798</v>
      </c>
      <c r="I5225" s="23" t="str">
        <f t="shared" si="325"/>
        <v>Delhi</v>
      </c>
      <c r="J5225" s="23">
        <f>COUNTIFS(pg_transaction_cleaned!$O:$O,A5225,pg_transaction_cleaned!$F:$F,"CAPTURE")</f>
        <v>0</v>
      </c>
      <c r="K5225" s="39">
        <f>SUMIFS(pg_transaction_cleaned!$H:$H,pg_transaction_cleaned!$O:$O,A5225,pg_transaction_cleaned!$F:$F,"CAPTURE")</f>
        <v>0</v>
      </c>
      <c r="L5225" s="23">
        <f>COUNTIFS(pg_transaction_cleaned!$O:$O,A5225,pg_transaction_cleaned!$F:$F,"REFUND")</f>
        <v>0</v>
      </c>
      <c r="M5225" s="39">
        <f>SUMIFS(pg_transaction_cleaned!$H:$H,pg_transaction_cleaned!$O:$O,A5225,pg_transaction_cleaned!$F:$F,"REFUND")</f>
        <v>0</v>
      </c>
      <c r="N5225" s="23" t="str">
        <f t="shared" si="326"/>
        <v>OK</v>
      </c>
      <c r="O5225" s="24">
        <f t="shared" si="327"/>
        <v>0</v>
      </c>
    </row>
    <row r="5226" spans="1:15" ht="15" customHeight="1" x14ac:dyDescent="0.3">
      <c r="A5226" s="23" t="s">
        <v>10889</v>
      </c>
      <c r="B5226" s="38">
        <v>46282</v>
      </c>
      <c r="C5226" s="23" t="s">
        <v>10890</v>
      </c>
      <c r="D5226" s="23" t="s">
        <v>89</v>
      </c>
      <c r="E5226" s="23" t="s">
        <v>75</v>
      </c>
      <c r="F5226" s="23" t="s">
        <v>259</v>
      </c>
      <c r="G5226" s="23" t="s">
        <v>250</v>
      </c>
      <c r="H5226" s="39">
        <f t="shared" si="324"/>
        <v>3298</v>
      </c>
      <c r="I5226" s="23" t="str">
        <f t="shared" si="325"/>
        <v>Jaipur</v>
      </c>
      <c r="J5226" s="23">
        <f>COUNTIFS(pg_transaction_cleaned!$O:$O,A5226,pg_transaction_cleaned!$F:$F,"CAPTURE")</f>
        <v>1</v>
      </c>
      <c r="K5226" s="39">
        <f>SUMIFS(pg_transaction_cleaned!$H:$H,pg_transaction_cleaned!$O:$O,A5226,pg_transaction_cleaned!$F:$F,"CAPTURE")</f>
        <v>3298</v>
      </c>
      <c r="L5226" s="23">
        <f>COUNTIFS(pg_transaction_cleaned!$O:$O,A5226,pg_transaction_cleaned!$F:$F,"REFUND")</f>
        <v>0</v>
      </c>
      <c r="M5226" s="39">
        <f>SUMIFS(pg_transaction_cleaned!$H:$H,pg_transaction_cleaned!$O:$O,A5226,pg_transaction_cleaned!$F:$F,"REFUND")</f>
        <v>0</v>
      </c>
      <c r="N5226" s="23" t="str">
        <f t="shared" si="326"/>
        <v>OK</v>
      </c>
      <c r="O5226" s="24">
        <f t="shared" si="327"/>
        <v>0</v>
      </c>
    </row>
    <row r="5227" spans="1:15" ht="15" customHeight="1" x14ac:dyDescent="0.3">
      <c r="A5227" s="23" t="s">
        <v>10891</v>
      </c>
      <c r="B5227" s="38">
        <v>46272</v>
      </c>
      <c r="C5227" s="23" t="s">
        <v>10892</v>
      </c>
      <c r="D5227" s="23" t="s">
        <v>91</v>
      </c>
      <c r="E5227" s="23" t="s">
        <v>79</v>
      </c>
      <c r="F5227" s="23" t="s">
        <v>426</v>
      </c>
      <c r="G5227" s="23" t="s">
        <v>365</v>
      </c>
      <c r="H5227" s="39">
        <f t="shared" si="324"/>
        <v>6798</v>
      </c>
      <c r="I5227" s="23" t="str">
        <f t="shared" si="325"/>
        <v>Pune</v>
      </c>
      <c r="J5227" s="23">
        <f>COUNTIFS(pg_transaction_cleaned!$O:$O,A5227,pg_transaction_cleaned!$F:$F,"CAPTURE")</f>
        <v>0</v>
      </c>
      <c r="K5227" s="39">
        <f>SUMIFS(pg_transaction_cleaned!$H:$H,pg_transaction_cleaned!$O:$O,A5227,pg_transaction_cleaned!$F:$F,"CAPTURE")</f>
        <v>0</v>
      </c>
      <c r="L5227" s="23">
        <f>COUNTIFS(pg_transaction_cleaned!$O:$O,A5227,pg_transaction_cleaned!$F:$F,"REFUND")</f>
        <v>0</v>
      </c>
      <c r="M5227" s="39">
        <f>SUMIFS(pg_transaction_cleaned!$H:$H,pg_transaction_cleaned!$O:$O,A5227,pg_transaction_cleaned!$F:$F,"REFUND")</f>
        <v>0</v>
      </c>
      <c r="N5227" s="23" t="str">
        <f t="shared" si="326"/>
        <v>OK</v>
      </c>
      <c r="O5227" s="24">
        <f t="shared" si="327"/>
        <v>0</v>
      </c>
    </row>
    <row r="5228" spans="1:15" ht="15" customHeight="1" x14ac:dyDescent="0.3">
      <c r="A5228" s="23" t="s">
        <v>10893</v>
      </c>
      <c r="B5228" s="38">
        <v>46284</v>
      </c>
      <c r="C5228" s="23" t="s">
        <v>10894</v>
      </c>
      <c r="D5228" s="23" t="s">
        <v>95</v>
      </c>
      <c r="E5228" s="23" t="s">
        <v>77</v>
      </c>
      <c r="F5228" s="23" t="s">
        <v>426</v>
      </c>
      <c r="G5228" s="23" t="s">
        <v>250</v>
      </c>
      <c r="H5228" s="39">
        <f t="shared" si="324"/>
        <v>6798</v>
      </c>
      <c r="I5228" s="23" t="str">
        <f t="shared" si="325"/>
        <v>Bengaluru</v>
      </c>
      <c r="J5228" s="23">
        <f>COUNTIFS(pg_transaction_cleaned!$O:$O,A5228,pg_transaction_cleaned!$F:$F,"CAPTURE")</f>
        <v>1</v>
      </c>
      <c r="K5228" s="39">
        <f>SUMIFS(pg_transaction_cleaned!$H:$H,pg_transaction_cleaned!$O:$O,A5228,pg_transaction_cleaned!$F:$F,"CAPTURE")</f>
        <v>6798</v>
      </c>
      <c r="L5228" s="23">
        <f>COUNTIFS(pg_transaction_cleaned!$O:$O,A5228,pg_transaction_cleaned!$F:$F,"REFUND")</f>
        <v>0</v>
      </c>
      <c r="M5228" s="39">
        <f>SUMIFS(pg_transaction_cleaned!$H:$H,pg_transaction_cleaned!$O:$O,A5228,pg_transaction_cleaned!$F:$F,"REFUND")</f>
        <v>0</v>
      </c>
      <c r="N5228" s="23" t="str">
        <f t="shared" si="326"/>
        <v>OK</v>
      </c>
      <c r="O5228" s="24">
        <f t="shared" si="327"/>
        <v>0</v>
      </c>
    </row>
    <row r="5229" spans="1:15" ht="15" customHeight="1" x14ac:dyDescent="0.3">
      <c r="A5229" s="23" t="s">
        <v>10895</v>
      </c>
      <c r="B5229" s="38">
        <v>46292</v>
      </c>
      <c r="C5229" s="23" t="s">
        <v>10896</v>
      </c>
      <c r="D5229" s="23" t="s">
        <v>94</v>
      </c>
      <c r="E5229" s="23" t="s">
        <v>81</v>
      </c>
      <c r="F5229" s="23" t="s">
        <v>265</v>
      </c>
      <c r="G5229" s="23" t="s">
        <v>250</v>
      </c>
      <c r="H5229" s="39">
        <f t="shared" si="324"/>
        <v>999</v>
      </c>
      <c r="I5229" s="23" t="str">
        <f t="shared" si="325"/>
        <v>Chennai</v>
      </c>
      <c r="J5229" s="23">
        <f>COUNTIFS(pg_transaction_cleaned!$O:$O,A5229,pg_transaction_cleaned!$F:$F,"CAPTURE")</f>
        <v>1</v>
      </c>
      <c r="K5229" s="39">
        <f>SUMIFS(pg_transaction_cleaned!$H:$H,pg_transaction_cleaned!$O:$O,A5229,pg_transaction_cleaned!$F:$F,"CAPTURE")</f>
        <v>999</v>
      </c>
      <c r="L5229" s="23">
        <f>COUNTIFS(pg_transaction_cleaned!$O:$O,A5229,pg_transaction_cleaned!$F:$F,"REFUND")</f>
        <v>0</v>
      </c>
      <c r="M5229" s="39">
        <f>SUMIFS(pg_transaction_cleaned!$H:$H,pg_transaction_cleaned!$O:$O,A5229,pg_transaction_cleaned!$F:$F,"REFUND")</f>
        <v>0</v>
      </c>
      <c r="N5229" s="23" t="str">
        <f t="shared" si="326"/>
        <v>OK</v>
      </c>
      <c r="O5229" s="24">
        <f t="shared" si="327"/>
        <v>0</v>
      </c>
    </row>
    <row r="5230" spans="1:15" ht="15" customHeight="1" x14ac:dyDescent="0.3">
      <c r="A5230" s="23" t="s">
        <v>10897</v>
      </c>
      <c r="B5230" s="38">
        <v>46285</v>
      </c>
      <c r="C5230" s="23" t="s">
        <v>10898</v>
      </c>
      <c r="D5230" s="23" t="s">
        <v>87</v>
      </c>
      <c r="E5230" s="23" t="s">
        <v>75</v>
      </c>
      <c r="F5230" s="23" t="s">
        <v>294</v>
      </c>
      <c r="G5230" s="23" t="s">
        <v>250</v>
      </c>
      <c r="H5230" s="39">
        <f t="shared" si="324"/>
        <v>1799</v>
      </c>
      <c r="I5230" s="23" t="str">
        <f t="shared" si="325"/>
        <v>Mumbai</v>
      </c>
      <c r="J5230" s="23">
        <f>COUNTIFS(pg_transaction_cleaned!$O:$O,A5230,pg_transaction_cleaned!$F:$F,"CAPTURE")</f>
        <v>1</v>
      </c>
      <c r="K5230" s="39">
        <f>SUMIFS(pg_transaction_cleaned!$H:$H,pg_transaction_cleaned!$O:$O,A5230,pg_transaction_cleaned!$F:$F,"CAPTURE")</f>
        <v>1799</v>
      </c>
      <c r="L5230" s="23">
        <f>COUNTIFS(pg_transaction_cleaned!$O:$O,A5230,pg_transaction_cleaned!$F:$F,"REFUND")</f>
        <v>0</v>
      </c>
      <c r="M5230" s="39">
        <f>SUMIFS(pg_transaction_cleaned!$H:$H,pg_transaction_cleaned!$O:$O,A5230,pg_transaction_cleaned!$F:$F,"REFUND")</f>
        <v>0</v>
      </c>
      <c r="N5230" s="23" t="str">
        <f t="shared" si="326"/>
        <v>OK</v>
      </c>
      <c r="O5230" s="24">
        <f t="shared" si="327"/>
        <v>0</v>
      </c>
    </row>
    <row r="5231" spans="1:15" ht="15" customHeight="1" x14ac:dyDescent="0.3">
      <c r="A5231" s="23" t="s">
        <v>10899</v>
      </c>
      <c r="B5231" s="38">
        <v>46270</v>
      </c>
      <c r="C5231" s="23" t="s">
        <v>1362</v>
      </c>
      <c r="D5231" s="23" t="s">
        <v>93</v>
      </c>
      <c r="E5231" s="23" t="s">
        <v>79</v>
      </c>
      <c r="F5231" s="23" t="s">
        <v>249</v>
      </c>
      <c r="G5231" s="23" t="s">
        <v>250</v>
      </c>
      <c r="H5231" s="39">
        <f t="shared" si="324"/>
        <v>299</v>
      </c>
      <c r="I5231" s="23" t="str">
        <f t="shared" si="325"/>
        <v>Kolkata</v>
      </c>
      <c r="J5231" s="23">
        <f>COUNTIFS(pg_transaction_cleaned!$O:$O,A5231,pg_transaction_cleaned!$F:$F,"CAPTURE")</f>
        <v>1</v>
      </c>
      <c r="K5231" s="39">
        <f>SUMIFS(pg_transaction_cleaned!$H:$H,pg_transaction_cleaned!$O:$O,A5231,pg_transaction_cleaned!$F:$F,"CAPTURE")</f>
        <v>299</v>
      </c>
      <c r="L5231" s="23">
        <f>COUNTIFS(pg_transaction_cleaned!$O:$O,A5231,pg_transaction_cleaned!$F:$F,"REFUND")</f>
        <v>0</v>
      </c>
      <c r="M5231" s="39">
        <f>SUMIFS(pg_transaction_cleaned!$H:$H,pg_transaction_cleaned!$O:$O,A5231,pg_transaction_cleaned!$F:$F,"REFUND")</f>
        <v>0</v>
      </c>
      <c r="N5231" s="23" t="str">
        <f t="shared" si="326"/>
        <v>OK</v>
      </c>
      <c r="O5231" s="24">
        <f t="shared" si="327"/>
        <v>0</v>
      </c>
    </row>
    <row r="5232" spans="1:15" ht="15" customHeight="1" x14ac:dyDescent="0.3">
      <c r="A5232" s="23" t="s">
        <v>10900</v>
      </c>
      <c r="B5232" s="38">
        <v>46274</v>
      </c>
      <c r="C5232" s="23" t="s">
        <v>10901</v>
      </c>
      <c r="D5232" s="23" t="s">
        <v>92</v>
      </c>
      <c r="E5232" s="23" t="s">
        <v>75</v>
      </c>
      <c r="F5232" s="23" t="s">
        <v>1495</v>
      </c>
      <c r="G5232" s="23" t="s">
        <v>318</v>
      </c>
      <c r="H5232" s="39">
        <f t="shared" si="324"/>
        <v>7498</v>
      </c>
      <c r="I5232" s="23" t="str">
        <f t="shared" si="325"/>
        <v>Hyderabad</v>
      </c>
      <c r="J5232" s="23">
        <f>COUNTIFS(pg_transaction_cleaned!$O:$O,A5232,pg_transaction_cleaned!$F:$F,"CAPTURE")</f>
        <v>0</v>
      </c>
      <c r="K5232" s="39">
        <f>SUMIFS(pg_transaction_cleaned!$H:$H,pg_transaction_cleaned!$O:$O,A5232,pg_transaction_cleaned!$F:$F,"CAPTURE")</f>
        <v>0</v>
      </c>
      <c r="L5232" s="23">
        <f>COUNTIFS(pg_transaction_cleaned!$O:$O,A5232,pg_transaction_cleaned!$F:$F,"REFUND")</f>
        <v>0</v>
      </c>
      <c r="M5232" s="39">
        <f>SUMIFS(pg_transaction_cleaned!$H:$H,pg_transaction_cleaned!$O:$O,A5232,pg_transaction_cleaned!$F:$F,"REFUND")</f>
        <v>0</v>
      </c>
      <c r="N5232" s="23" t="str">
        <f t="shared" si="326"/>
        <v>OK</v>
      </c>
      <c r="O5232" s="24">
        <f t="shared" si="327"/>
        <v>0</v>
      </c>
    </row>
    <row r="5233" spans="1:15" ht="15" customHeight="1" x14ac:dyDescent="0.3">
      <c r="A5233" s="23" t="s">
        <v>10902</v>
      </c>
      <c r="B5233" s="38">
        <v>46290</v>
      </c>
      <c r="C5233" s="23" t="s">
        <v>10903</v>
      </c>
      <c r="D5233" s="23" t="s">
        <v>86</v>
      </c>
      <c r="E5233" s="23" t="s">
        <v>75</v>
      </c>
      <c r="F5233" s="23" t="s">
        <v>265</v>
      </c>
      <c r="G5233" s="23" t="s">
        <v>250</v>
      </c>
      <c r="H5233" s="39">
        <f t="shared" si="324"/>
        <v>999</v>
      </c>
      <c r="I5233" s="23" t="str">
        <f t="shared" si="325"/>
        <v>Delhi</v>
      </c>
      <c r="J5233" s="23">
        <f>COUNTIFS(pg_transaction_cleaned!$O:$O,A5233,pg_transaction_cleaned!$F:$F,"CAPTURE")</f>
        <v>1</v>
      </c>
      <c r="K5233" s="39">
        <f>SUMIFS(pg_transaction_cleaned!$H:$H,pg_transaction_cleaned!$O:$O,A5233,pg_transaction_cleaned!$F:$F,"CAPTURE")</f>
        <v>999</v>
      </c>
      <c r="L5233" s="23">
        <f>COUNTIFS(pg_transaction_cleaned!$O:$O,A5233,pg_transaction_cleaned!$F:$F,"REFUND")</f>
        <v>0</v>
      </c>
      <c r="M5233" s="39">
        <f>SUMIFS(pg_transaction_cleaned!$H:$H,pg_transaction_cleaned!$O:$O,A5233,pg_transaction_cleaned!$F:$F,"REFUND")</f>
        <v>0</v>
      </c>
      <c r="N5233" s="23" t="str">
        <f t="shared" si="326"/>
        <v>OK</v>
      </c>
      <c r="O5233" s="24">
        <f t="shared" si="327"/>
        <v>0</v>
      </c>
    </row>
    <row r="5234" spans="1:15" ht="15" customHeight="1" x14ac:dyDescent="0.3">
      <c r="A5234" s="23" t="s">
        <v>10904</v>
      </c>
      <c r="B5234" s="38">
        <v>46269</v>
      </c>
      <c r="C5234" s="23" t="s">
        <v>10905</v>
      </c>
      <c r="D5234" s="23" t="s">
        <v>95</v>
      </c>
      <c r="E5234" s="23" t="s">
        <v>75</v>
      </c>
      <c r="F5234" s="23" t="s">
        <v>310</v>
      </c>
      <c r="G5234" s="23" t="s">
        <v>250</v>
      </c>
      <c r="H5234" s="39">
        <f t="shared" si="324"/>
        <v>7999</v>
      </c>
      <c r="I5234" s="23" t="str">
        <f t="shared" si="325"/>
        <v>Bengaluru</v>
      </c>
      <c r="J5234" s="23">
        <f>COUNTIFS(pg_transaction_cleaned!$O:$O,A5234,pg_transaction_cleaned!$F:$F,"CAPTURE")</f>
        <v>1</v>
      </c>
      <c r="K5234" s="39">
        <f>SUMIFS(pg_transaction_cleaned!$H:$H,pg_transaction_cleaned!$O:$O,A5234,pg_transaction_cleaned!$F:$F,"CAPTURE")</f>
        <v>7999</v>
      </c>
      <c r="L5234" s="23">
        <f>COUNTIFS(pg_transaction_cleaned!$O:$O,A5234,pg_transaction_cleaned!$F:$F,"REFUND")</f>
        <v>0</v>
      </c>
      <c r="M5234" s="39">
        <f>SUMIFS(pg_transaction_cleaned!$H:$H,pg_transaction_cleaned!$O:$O,A5234,pg_transaction_cleaned!$F:$F,"REFUND")</f>
        <v>0</v>
      </c>
      <c r="N5234" s="23" t="str">
        <f t="shared" si="326"/>
        <v>OK</v>
      </c>
      <c r="O5234" s="24">
        <f t="shared" si="327"/>
        <v>0</v>
      </c>
    </row>
    <row r="5235" spans="1:15" ht="15" customHeight="1" x14ac:dyDescent="0.3">
      <c r="A5235" s="23" t="s">
        <v>10906</v>
      </c>
      <c r="B5235" s="38">
        <v>46282</v>
      </c>
      <c r="C5235" s="23" t="s">
        <v>10907</v>
      </c>
      <c r="D5235" s="23" t="s">
        <v>92</v>
      </c>
      <c r="E5235" s="23" t="s">
        <v>75</v>
      </c>
      <c r="F5235" s="23" t="s">
        <v>352</v>
      </c>
      <c r="G5235" s="23" t="s">
        <v>250</v>
      </c>
      <c r="H5235" s="39">
        <f t="shared" si="324"/>
        <v>648</v>
      </c>
      <c r="I5235" s="23" t="str">
        <f t="shared" si="325"/>
        <v>Hyderabad</v>
      </c>
      <c r="J5235" s="23">
        <f>COUNTIFS(pg_transaction_cleaned!$O:$O,A5235,pg_transaction_cleaned!$F:$F,"CAPTURE")</f>
        <v>1</v>
      </c>
      <c r="K5235" s="39">
        <f>SUMIFS(pg_transaction_cleaned!$H:$H,pg_transaction_cleaned!$O:$O,A5235,pg_transaction_cleaned!$F:$F,"CAPTURE")</f>
        <v>648</v>
      </c>
      <c r="L5235" s="23">
        <f>COUNTIFS(pg_transaction_cleaned!$O:$O,A5235,pg_transaction_cleaned!$F:$F,"REFUND")</f>
        <v>0</v>
      </c>
      <c r="M5235" s="39">
        <f>SUMIFS(pg_transaction_cleaned!$H:$H,pg_transaction_cleaned!$O:$O,A5235,pg_transaction_cleaned!$F:$F,"REFUND")</f>
        <v>0</v>
      </c>
      <c r="N5235" s="23" t="str">
        <f t="shared" si="326"/>
        <v>OK</v>
      </c>
      <c r="O5235" s="24">
        <f t="shared" si="327"/>
        <v>0</v>
      </c>
    </row>
    <row r="5236" spans="1:15" ht="15" customHeight="1" x14ac:dyDescent="0.3">
      <c r="A5236" s="23" t="s">
        <v>10908</v>
      </c>
      <c r="B5236" s="38">
        <v>46279</v>
      </c>
      <c r="C5236" s="23" t="s">
        <v>10909</v>
      </c>
      <c r="D5236" s="23" t="s">
        <v>87</v>
      </c>
      <c r="E5236" s="23" t="s">
        <v>77</v>
      </c>
      <c r="F5236" s="23" t="s">
        <v>256</v>
      </c>
      <c r="G5236" s="23" t="s">
        <v>250</v>
      </c>
      <c r="H5236" s="39">
        <f t="shared" si="324"/>
        <v>2098</v>
      </c>
      <c r="I5236" s="23" t="str">
        <f t="shared" si="325"/>
        <v>Mumbai</v>
      </c>
      <c r="J5236" s="23">
        <f>COUNTIFS(pg_transaction_cleaned!$O:$O,A5236,pg_transaction_cleaned!$F:$F,"CAPTURE")</f>
        <v>1</v>
      </c>
      <c r="K5236" s="39">
        <f>SUMIFS(pg_transaction_cleaned!$H:$H,pg_transaction_cleaned!$O:$O,A5236,pg_transaction_cleaned!$F:$F,"CAPTURE")</f>
        <v>2098</v>
      </c>
      <c r="L5236" s="23">
        <f>COUNTIFS(pg_transaction_cleaned!$O:$O,A5236,pg_transaction_cleaned!$F:$F,"REFUND")</f>
        <v>0</v>
      </c>
      <c r="M5236" s="39">
        <f>SUMIFS(pg_transaction_cleaned!$H:$H,pg_transaction_cleaned!$O:$O,A5236,pg_transaction_cleaned!$F:$F,"REFUND")</f>
        <v>0</v>
      </c>
      <c r="N5236" s="23" t="str">
        <f t="shared" si="326"/>
        <v>OK</v>
      </c>
      <c r="O5236" s="24">
        <f t="shared" si="327"/>
        <v>0</v>
      </c>
    </row>
    <row r="5237" spans="1:15" ht="15" customHeight="1" x14ac:dyDescent="0.3">
      <c r="A5237" s="23" t="s">
        <v>10910</v>
      </c>
      <c r="B5237" s="38">
        <v>46272</v>
      </c>
      <c r="C5237" s="23" t="s">
        <v>10911</v>
      </c>
      <c r="D5237" s="23" t="s">
        <v>91</v>
      </c>
      <c r="E5237" s="23" t="s">
        <v>75</v>
      </c>
      <c r="F5237" s="23" t="s">
        <v>256</v>
      </c>
      <c r="G5237" s="23" t="s">
        <v>250</v>
      </c>
      <c r="H5237" s="39">
        <f t="shared" si="324"/>
        <v>2098</v>
      </c>
      <c r="I5237" s="23" t="str">
        <f t="shared" si="325"/>
        <v>Pune</v>
      </c>
      <c r="J5237" s="23">
        <f>COUNTIFS(pg_transaction_cleaned!$O:$O,A5237,pg_transaction_cleaned!$F:$F,"CAPTURE")</f>
        <v>1</v>
      </c>
      <c r="K5237" s="39">
        <f>SUMIFS(pg_transaction_cleaned!$H:$H,pg_transaction_cleaned!$O:$O,A5237,pg_transaction_cleaned!$F:$F,"CAPTURE")</f>
        <v>2098</v>
      </c>
      <c r="L5237" s="23">
        <f>COUNTIFS(pg_transaction_cleaned!$O:$O,A5237,pg_transaction_cleaned!$F:$F,"REFUND")</f>
        <v>0</v>
      </c>
      <c r="M5237" s="39">
        <f>SUMIFS(pg_transaction_cleaned!$H:$H,pg_transaction_cleaned!$O:$O,A5237,pg_transaction_cleaned!$F:$F,"REFUND")</f>
        <v>0</v>
      </c>
      <c r="N5237" s="23" t="str">
        <f t="shared" si="326"/>
        <v>OK</v>
      </c>
      <c r="O5237" s="24">
        <f t="shared" si="327"/>
        <v>0</v>
      </c>
    </row>
    <row r="5238" spans="1:15" ht="15" customHeight="1" x14ac:dyDescent="0.3">
      <c r="A5238" s="23" t="s">
        <v>10912</v>
      </c>
      <c r="B5238" s="38">
        <v>46287</v>
      </c>
      <c r="C5238" s="23" t="s">
        <v>10913</v>
      </c>
      <c r="D5238" s="23" t="s">
        <v>87</v>
      </c>
      <c r="E5238" s="23" t="s">
        <v>75</v>
      </c>
      <c r="F5238" s="23" t="s">
        <v>3224</v>
      </c>
      <c r="G5238" s="23" t="s">
        <v>250</v>
      </c>
      <c r="H5238" s="39">
        <f t="shared" si="324"/>
        <v>1997</v>
      </c>
      <c r="I5238" s="23" t="str">
        <f t="shared" si="325"/>
        <v>Mumbai</v>
      </c>
      <c r="J5238" s="23">
        <f>COUNTIFS(pg_transaction_cleaned!$O:$O,A5238,pg_transaction_cleaned!$F:$F,"CAPTURE")</f>
        <v>1</v>
      </c>
      <c r="K5238" s="39">
        <f>SUMIFS(pg_transaction_cleaned!$H:$H,pg_transaction_cleaned!$O:$O,A5238,pg_transaction_cleaned!$F:$F,"CAPTURE")</f>
        <v>1997</v>
      </c>
      <c r="L5238" s="23">
        <f>COUNTIFS(pg_transaction_cleaned!$O:$O,A5238,pg_transaction_cleaned!$F:$F,"REFUND")</f>
        <v>0</v>
      </c>
      <c r="M5238" s="39">
        <f>SUMIFS(pg_transaction_cleaned!$H:$H,pg_transaction_cleaned!$O:$O,A5238,pg_transaction_cleaned!$F:$F,"REFUND")</f>
        <v>0</v>
      </c>
      <c r="N5238" s="23" t="str">
        <f t="shared" si="326"/>
        <v>OK</v>
      </c>
      <c r="O5238" s="24">
        <f t="shared" si="327"/>
        <v>0</v>
      </c>
    </row>
    <row r="5239" spans="1:15" ht="15" customHeight="1" x14ac:dyDescent="0.3">
      <c r="A5239" s="23" t="s">
        <v>10914</v>
      </c>
      <c r="B5239" s="38">
        <v>46290</v>
      </c>
      <c r="C5239" s="23" t="s">
        <v>10915</v>
      </c>
      <c r="D5239" s="23" t="s">
        <v>94</v>
      </c>
      <c r="E5239" s="23" t="s">
        <v>79</v>
      </c>
      <c r="F5239" s="23" t="s">
        <v>291</v>
      </c>
      <c r="G5239" s="23" t="s">
        <v>250</v>
      </c>
      <c r="H5239" s="39">
        <f t="shared" si="324"/>
        <v>3499</v>
      </c>
      <c r="I5239" s="23" t="str">
        <f t="shared" si="325"/>
        <v>Chennai</v>
      </c>
      <c r="J5239" s="23">
        <f>COUNTIFS(pg_transaction_cleaned!$O:$O,A5239,pg_transaction_cleaned!$F:$F,"CAPTURE")</f>
        <v>1</v>
      </c>
      <c r="K5239" s="39">
        <f>SUMIFS(pg_transaction_cleaned!$H:$H,pg_transaction_cleaned!$O:$O,A5239,pg_transaction_cleaned!$F:$F,"CAPTURE")</f>
        <v>3499</v>
      </c>
      <c r="L5239" s="23">
        <f>COUNTIFS(pg_transaction_cleaned!$O:$O,A5239,pg_transaction_cleaned!$F:$F,"REFUND")</f>
        <v>0</v>
      </c>
      <c r="M5239" s="39">
        <f>SUMIFS(pg_transaction_cleaned!$H:$H,pg_transaction_cleaned!$O:$O,A5239,pg_transaction_cleaned!$F:$F,"REFUND")</f>
        <v>0</v>
      </c>
      <c r="N5239" s="23" t="str">
        <f t="shared" si="326"/>
        <v>OK</v>
      </c>
      <c r="O5239" s="24">
        <f t="shared" si="327"/>
        <v>0</v>
      </c>
    </row>
    <row r="5240" spans="1:15" ht="15" customHeight="1" x14ac:dyDescent="0.3">
      <c r="A5240" s="23" t="s">
        <v>10916</v>
      </c>
      <c r="B5240" s="38">
        <v>46283</v>
      </c>
      <c r="C5240" s="23" t="s">
        <v>10917</v>
      </c>
      <c r="D5240" s="23" t="s">
        <v>88</v>
      </c>
      <c r="E5240" s="23" t="s">
        <v>79</v>
      </c>
      <c r="F5240" s="23" t="s">
        <v>717</v>
      </c>
      <c r="G5240" s="23" t="s">
        <v>250</v>
      </c>
      <c r="H5240" s="39">
        <f t="shared" si="324"/>
        <v>5298</v>
      </c>
      <c r="I5240" s="23" t="str">
        <f t="shared" si="325"/>
        <v>Lucknow</v>
      </c>
      <c r="J5240" s="23">
        <f>COUNTIFS(pg_transaction_cleaned!$O:$O,A5240,pg_transaction_cleaned!$F:$F,"CAPTURE")</f>
        <v>1</v>
      </c>
      <c r="K5240" s="39">
        <f>SUMIFS(pg_transaction_cleaned!$H:$H,pg_transaction_cleaned!$O:$O,A5240,pg_transaction_cleaned!$F:$F,"CAPTURE")</f>
        <v>5298</v>
      </c>
      <c r="L5240" s="23">
        <f>COUNTIFS(pg_transaction_cleaned!$O:$O,A5240,pg_transaction_cleaned!$F:$F,"REFUND")</f>
        <v>0</v>
      </c>
      <c r="M5240" s="39">
        <f>SUMIFS(pg_transaction_cleaned!$H:$H,pg_transaction_cleaned!$O:$O,A5240,pg_transaction_cleaned!$F:$F,"REFUND")</f>
        <v>0</v>
      </c>
      <c r="N5240" s="23" t="str">
        <f t="shared" si="326"/>
        <v>OK</v>
      </c>
      <c r="O5240" s="24">
        <f t="shared" si="327"/>
        <v>0</v>
      </c>
    </row>
    <row r="5241" spans="1:15" ht="15" customHeight="1" x14ac:dyDescent="0.3">
      <c r="A5241" s="23" t="s">
        <v>10918</v>
      </c>
      <c r="B5241" s="38">
        <v>46294</v>
      </c>
      <c r="C5241" s="23" t="s">
        <v>10919</v>
      </c>
      <c r="D5241" s="23" t="s">
        <v>88</v>
      </c>
      <c r="E5241" s="23" t="s">
        <v>75</v>
      </c>
      <c r="F5241" s="23" t="s">
        <v>647</v>
      </c>
      <c r="G5241" s="23" t="s">
        <v>250</v>
      </c>
      <c r="H5241" s="39">
        <f t="shared" si="324"/>
        <v>5597</v>
      </c>
      <c r="I5241" s="23" t="str">
        <f t="shared" si="325"/>
        <v>Lucknow</v>
      </c>
      <c r="J5241" s="23">
        <f>COUNTIFS(pg_transaction_cleaned!$O:$O,A5241,pg_transaction_cleaned!$F:$F,"CAPTURE")</f>
        <v>1</v>
      </c>
      <c r="K5241" s="39">
        <f>SUMIFS(pg_transaction_cleaned!$H:$H,pg_transaction_cleaned!$O:$O,A5241,pg_transaction_cleaned!$F:$F,"CAPTURE")</f>
        <v>5597</v>
      </c>
      <c r="L5241" s="23">
        <f>COUNTIFS(pg_transaction_cleaned!$O:$O,A5241,pg_transaction_cleaned!$F:$F,"REFUND")</f>
        <v>0</v>
      </c>
      <c r="M5241" s="39">
        <f>SUMIFS(pg_transaction_cleaned!$H:$H,pg_transaction_cleaned!$O:$O,A5241,pg_transaction_cleaned!$F:$F,"REFUND")</f>
        <v>0</v>
      </c>
      <c r="N5241" s="23" t="str">
        <f t="shared" si="326"/>
        <v>OK</v>
      </c>
      <c r="O5241" s="24">
        <f t="shared" si="327"/>
        <v>0</v>
      </c>
    </row>
    <row r="5242" spans="1:15" ht="15" customHeight="1" x14ac:dyDescent="0.3">
      <c r="A5242" s="23" t="s">
        <v>10920</v>
      </c>
      <c r="B5242" s="38">
        <v>46273</v>
      </c>
      <c r="C5242" s="23" t="s">
        <v>2869</v>
      </c>
      <c r="D5242" s="23" t="s">
        <v>93</v>
      </c>
      <c r="E5242" s="23" t="s">
        <v>81</v>
      </c>
      <c r="F5242" s="23" t="s">
        <v>329</v>
      </c>
      <c r="G5242" s="23" t="s">
        <v>250</v>
      </c>
      <c r="H5242" s="39">
        <f t="shared" si="324"/>
        <v>599</v>
      </c>
      <c r="I5242" s="23" t="str">
        <f t="shared" si="325"/>
        <v>Kolkata</v>
      </c>
      <c r="J5242" s="23">
        <f>COUNTIFS(pg_transaction_cleaned!$O:$O,A5242,pg_transaction_cleaned!$F:$F,"CAPTURE")</f>
        <v>1</v>
      </c>
      <c r="K5242" s="39">
        <f>SUMIFS(pg_transaction_cleaned!$H:$H,pg_transaction_cleaned!$O:$O,A5242,pg_transaction_cleaned!$F:$F,"CAPTURE")</f>
        <v>599</v>
      </c>
      <c r="L5242" s="23">
        <f>COUNTIFS(pg_transaction_cleaned!$O:$O,A5242,pg_transaction_cleaned!$F:$F,"REFUND")</f>
        <v>0</v>
      </c>
      <c r="M5242" s="39">
        <f>SUMIFS(pg_transaction_cleaned!$H:$H,pg_transaction_cleaned!$O:$O,A5242,pg_transaction_cleaned!$F:$F,"REFUND")</f>
        <v>0</v>
      </c>
      <c r="N5242" s="23" t="str">
        <f t="shared" si="326"/>
        <v>OK</v>
      </c>
      <c r="O5242" s="24">
        <f t="shared" si="327"/>
        <v>0</v>
      </c>
    </row>
    <row r="5243" spans="1:15" ht="15" customHeight="1" x14ac:dyDescent="0.3">
      <c r="A5243" s="23" t="s">
        <v>10921</v>
      </c>
      <c r="B5243" s="38">
        <v>46266</v>
      </c>
      <c r="C5243" s="23" t="s">
        <v>10922</v>
      </c>
      <c r="D5243" s="23" t="s">
        <v>87</v>
      </c>
      <c r="E5243" s="23" t="s">
        <v>75</v>
      </c>
      <c r="F5243" s="23" t="s">
        <v>310</v>
      </c>
      <c r="G5243" s="23" t="s">
        <v>250</v>
      </c>
      <c r="H5243" s="39">
        <f t="shared" si="324"/>
        <v>7999</v>
      </c>
      <c r="I5243" s="23" t="str">
        <f t="shared" si="325"/>
        <v>Mumbai</v>
      </c>
      <c r="J5243" s="23">
        <f>COUNTIFS(pg_transaction_cleaned!$O:$O,A5243,pg_transaction_cleaned!$F:$F,"CAPTURE")</f>
        <v>1</v>
      </c>
      <c r="K5243" s="39">
        <f>SUMIFS(pg_transaction_cleaned!$H:$H,pg_transaction_cleaned!$O:$O,A5243,pg_transaction_cleaned!$F:$F,"CAPTURE")</f>
        <v>7999</v>
      </c>
      <c r="L5243" s="23">
        <f>COUNTIFS(pg_transaction_cleaned!$O:$O,A5243,pg_transaction_cleaned!$F:$F,"REFUND")</f>
        <v>0</v>
      </c>
      <c r="M5243" s="39">
        <f>SUMIFS(pg_transaction_cleaned!$H:$H,pg_transaction_cleaned!$O:$O,A5243,pg_transaction_cleaned!$F:$F,"REFUND")</f>
        <v>0</v>
      </c>
      <c r="N5243" s="23" t="str">
        <f t="shared" si="326"/>
        <v>OK</v>
      </c>
      <c r="O5243" s="24">
        <f t="shared" si="327"/>
        <v>0</v>
      </c>
    </row>
    <row r="5244" spans="1:15" ht="15" customHeight="1" x14ac:dyDescent="0.3">
      <c r="A5244" s="23" t="s">
        <v>10923</v>
      </c>
      <c r="B5244" s="38">
        <v>46271</v>
      </c>
      <c r="C5244" s="23" t="s">
        <v>10924</v>
      </c>
      <c r="D5244" s="23" t="s">
        <v>87</v>
      </c>
      <c r="E5244" s="23" t="s">
        <v>75</v>
      </c>
      <c r="F5244" s="23" t="s">
        <v>499</v>
      </c>
      <c r="G5244" s="23" t="s">
        <v>250</v>
      </c>
      <c r="H5244" s="39">
        <f t="shared" si="324"/>
        <v>5998</v>
      </c>
      <c r="I5244" s="23" t="str">
        <f t="shared" si="325"/>
        <v>Mumbai</v>
      </c>
      <c r="J5244" s="23">
        <f>COUNTIFS(pg_transaction_cleaned!$O:$O,A5244,pg_transaction_cleaned!$F:$F,"CAPTURE")</f>
        <v>1</v>
      </c>
      <c r="K5244" s="39">
        <f>SUMIFS(pg_transaction_cleaned!$H:$H,pg_transaction_cleaned!$O:$O,A5244,pg_transaction_cleaned!$F:$F,"CAPTURE")</f>
        <v>5998</v>
      </c>
      <c r="L5244" s="23">
        <f>COUNTIFS(pg_transaction_cleaned!$O:$O,A5244,pg_transaction_cleaned!$F:$F,"REFUND")</f>
        <v>0</v>
      </c>
      <c r="M5244" s="39">
        <f>SUMIFS(pg_transaction_cleaned!$H:$H,pg_transaction_cleaned!$O:$O,A5244,pg_transaction_cleaned!$F:$F,"REFUND")</f>
        <v>0</v>
      </c>
      <c r="N5244" s="23" t="str">
        <f t="shared" si="326"/>
        <v>OK</v>
      </c>
      <c r="O5244" s="24">
        <f t="shared" si="327"/>
        <v>0</v>
      </c>
    </row>
    <row r="5245" spans="1:15" ht="15" customHeight="1" x14ac:dyDescent="0.3">
      <c r="A5245" s="23" t="s">
        <v>10925</v>
      </c>
      <c r="B5245" s="38">
        <v>46269</v>
      </c>
      <c r="C5245" s="23" t="s">
        <v>10926</v>
      </c>
      <c r="D5245" s="23" t="s">
        <v>90</v>
      </c>
      <c r="E5245" s="23" t="s">
        <v>75</v>
      </c>
      <c r="F5245" s="23" t="s">
        <v>274</v>
      </c>
      <c r="G5245" s="23" t="s">
        <v>250</v>
      </c>
      <c r="H5245" s="39">
        <f t="shared" si="324"/>
        <v>349</v>
      </c>
      <c r="I5245" s="23" t="str">
        <f t="shared" si="325"/>
        <v>Ahmedabad</v>
      </c>
      <c r="J5245" s="23">
        <f>COUNTIFS(pg_transaction_cleaned!$O:$O,A5245,pg_transaction_cleaned!$F:$F,"CAPTURE")</f>
        <v>1</v>
      </c>
      <c r="K5245" s="39">
        <f>SUMIFS(pg_transaction_cleaned!$H:$H,pg_transaction_cleaned!$O:$O,A5245,pg_transaction_cleaned!$F:$F,"CAPTURE")</f>
        <v>349</v>
      </c>
      <c r="L5245" s="23">
        <f>COUNTIFS(pg_transaction_cleaned!$O:$O,A5245,pg_transaction_cleaned!$F:$F,"REFUND")</f>
        <v>0</v>
      </c>
      <c r="M5245" s="39">
        <f>SUMIFS(pg_transaction_cleaned!$H:$H,pg_transaction_cleaned!$O:$O,A5245,pg_transaction_cleaned!$F:$F,"REFUND")</f>
        <v>0</v>
      </c>
      <c r="N5245" s="23" t="str">
        <f t="shared" si="326"/>
        <v>OK</v>
      </c>
      <c r="O5245" s="24">
        <f t="shared" si="327"/>
        <v>0</v>
      </c>
    </row>
    <row r="5246" spans="1:15" ht="15" customHeight="1" x14ac:dyDescent="0.3">
      <c r="A5246" s="23" t="s">
        <v>10927</v>
      </c>
      <c r="B5246" s="38">
        <v>46269</v>
      </c>
      <c r="C5246" s="23" t="s">
        <v>10928</v>
      </c>
      <c r="D5246" s="23" t="s">
        <v>91</v>
      </c>
      <c r="E5246" s="23" t="s">
        <v>75</v>
      </c>
      <c r="F5246" s="23" t="s">
        <v>754</v>
      </c>
      <c r="G5246" s="23" t="s">
        <v>250</v>
      </c>
      <c r="H5246" s="39">
        <f t="shared" si="324"/>
        <v>1348</v>
      </c>
      <c r="I5246" s="23" t="str">
        <f t="shared" si="325"/>
        <v>Pune</v>
      </c>
      <c r="J5246" s="23">
        <f>COUNTIFS(pg_transaction_cleaned!$O:$O,A5246,pg_transaction_cleaned!$F:$F,"CAPTURE")</f>
        <v>1</v>
      </c>
      <c r="K5246" s="39">
        <f>SUMIFS(pg_transaction_cleaned!$H:$H,pg_transaction_cleaned!$O:$O,A5246,pg_transaction_cleaned!$F:$F,"CAPTURE")</f>
        <v>1348</v>
      </c>
      <c r="L5246" s="23">
        <f>COUNTIFS(pg_transaction_cleaned!$O:$O,A5246,pg_transaction_cleaned!$F:$F,"REFUND")</f>
        <v>0</v>
      </c>
      <c r="M5246" s="39">
        <f>SUMIFS(pg_transaction_cleaned!$H:$H,pg_transaction_cleaned!$O:$O,A5246,pg_transaction_cleaned!$F:$F,"REFUND")</f>
        <v>0</v>
      </c>
      <c r="N5246" s="23" t="str">
        <f t="shared" si="326"/>
        <v>OK</v>
      </c>
      <c r="O5246" s="24">
        <f t="shared" si="327"/>
        <v>0</v>
      </c>
    </row>
    <row r="5247" spans="1:15" ht="15" customHeight="1" x14ac:dyDescent="0.3">
      <c r="A5247" s="23" t="s">
        <v>10929</v>
      </c>
      <c r="B5247" s="38">
        <v>46285</v>
      </c>
      <c r="C5247" s="23" t="s">
        <v>10930</v>
      </c>
      <c r="D5247" s="23" t="s">
        <v>93</v>
      </c>
      <c r="E5247" s="23" t="s">
        <v>79</v>
      </c>
      <c r="F5247" s="23" t="s">
        <v>271</v>
      </c>
      <c r="G5247" s="23" t="s">
        <v>250</v>
      </c>
      <c r="H5247" s="39">
        <f t="shared" si="324"/>
        <v>2499</v>
      </c>
      <c r="I5247" s="23" t="str">
        <f t="shared" si="325"/>
        <v>Kolkata</v>
      </c>
      <c r="J5247" s="23">
        <f>COUNTIFS(pg_transaction_cleaned!$O:$O,A5247,pg_transaction_cleaned!$F:$F,"CAPTURE")</f>
        <v>1</v>
      </c>
      <c r="K5247" s="39">
        <f>SUMIFS(pg_transaction_cleaned!$H:$H,pg_transaction_cleaned!$O:$O,A5247,pg_transaction_cleaned!$F:$F,"CAPTURE")</f>
        <v>2499</v>
      </c>
      <c r="L5247" s="23">
        <f>COUNTIFS(pg_transaction_cleaned!$O:$O,A5247,pg_transaction_cleaned!$F:$F,"REFUND")</f>
        <v>0</v>
      </c>
      <c r="M5247" s="39">
        <f>SUMIFS(pg_transaction_cleaned!$H:$H,pg_transaction_cleaned!$O:$O,A5247,pg_transaction_cleaned!$F:$F,"REFUND")</f>
        <v>0</v>
      </c>
      <c r="N5247" s="23" t="str">
        <f t="shared" si="326"/>
        <v>OK</v>
      </c>
      <c r="O5247" s="24">
        <f t="shared" si="327"/>
        <v>0</v>
      </c>
    </row>
    <row r="5248" spans="1:15" ht="15" customHeight="1" x14ac:dyDescent="0.3">
      <c r="A5248" s="23" t="s">
        <v>10931</v>
      </c>
      <c r="B5248" s="38">
        <v>46286</v>
      </c>
      <c r="C5248" s="23" t="s">
        <v>10932</v>
      </c>
      <c r="D5248" s="23" t="s">
        <v>88</v>
      </c>
      <c r="E5248" s="23" t="s">
        <v>79</v>
      </c>
      <c r="F5248" s="23" t="s">
        <v>1341</v>
      </c>
      <c r="G5248" s="23" t="s">
        <v>250</v>
      </c>
      <c r="H5248" s="39">
        <f t="shared" si="324"/>
        <v>2297</v>
      </c>
      <c r="I5248" s="23" t="str">
        <f t="shared" si="325"/>
        <v>Lucknow</v>
      </c>
      <c r="J5248" s="23">
        <f>COUNTIFS(pg_transaction_cleaned!$O:$O,A5248,pg_transaction_cleaned!$F:$F,"CAPTURE")</f>
        <v>1</v>
      </c>
      <c r="K5248" s="39">
        <f>SUMIFS(pg_transaction_cleaned!$H:$H,pg_transaction_cleaned!$O:$O,A5248,pg_transaction_cleaned!$F:$F,"CAPTURE")</f>
        <v>2297</v>
      </c>
      <c r="L5248" s="23">
        <f>COUNTIFS(pg_transaction_cleaned!$O:$O,A5248,pg_transaction_cleaned!$F:$F,"REFUND")</f>
        <v>0</v>
      </c>
      <c r="M5248" s="39">
        <f>SUMIFS(pg_transaction_cleaned!$H:$H,pg_transaction_cleaned!$O:$O,A5248,pg_transaction_cleaned!$F:$F,"REFUND")</f>
        <v>0</v>
      </c>
      <c r="N5248" s="23" t="str">
        <f t="shared" si="326"/>
        <v>OK</v>
      </c>
      <c r="O5248" s="24">
        <f t="shared" si="327"/>
        <v>0</v>
      </c>
    </row>
    <row r="5249" spans="1:15" ht="15" customHeight="1" x14ac:dyDescent="0.3">
      <c r="A5249" s="23" t="s">
        <v>10933</v>
      </c>
      <c r="B5249" s="38">
        <v>46273</v>
      </c>
      <c r="C5249" s="23" t="s">
        <v>10934</v>
      </c>
      <c r="D5249" s="23" t="s">
        <v>90</v>
      </c>
      <c r="E5249" s="23" t="s">
        <v>75</v>
      </c>
      <c r="F5249" s="23" t="s">
        <v>370</v>
      </c>
      <c r="G5249" s="23" t="s">
        <v>250</v>
      </c>
      <c r="H5249" s="39">
        <f t="shared" si="324"/>
        <v>3098</v>
      </c>
      <c r="I5249" s="23" t="str">
        <f t="shared" si="325"/>
        <v>Ahmedabad</v>
      </c>
      <c r="J5249" s="23">
        <f>COUNTIFS(pg_transaction_cleaned!$O:$O,A5249,pg_transaction_cleaned!$F:$F,"CAPTURE")</f>
        <v>1</v>
      </c>
      <c r="K5249" s="39">
        <f>SUMIFS(pg_transaction_cleaned!$H:$H,pg_transaction_cleaned!$O:$O,A5249,pg_transaction_cleaned!$F:$F,"CAPTURE")</f>
        <v>3098</v>
      </c>
      <c r="L5249" s="23">
        <f>COUNTIFS(pg_transaction_cleaned!$O:$O,A5249,pg_transaction_cleaned!$F:$F,"REFUND")</f>
        <v>0</v>
      </c>
      <c r="M5249" s="39">
        <f>SUMIFS(pg_transaction_cleaned!$H:$H,pg_transaction_cleaned!$O:$O,A5249,pg_transaction_cleaned!$F:$F,"REFUND")</f>
        <v>0</v>
      </c>
      <c r="N5249" s="23" t="str">
        <f t="shared" si="326"/>
        <v>OK</v>
      </c>
      <c r="O5249" s="24">
        <f t="shared" si="327"/>
        <v>0</v>
      </c>
    </row>
    <row r="5250" spans="1:15" ht="15" customHeight="1" x14ac:dyDescent="0.3">
      <c r="A5250" s="23" t="s">
        <v>10935</v>
      </c>
      <c r="B5250" s="38">
        <v>46268</v>
      </c>
      <c r="C5250" s="23" t="s">
        <v>10936</v>
      </c>
      <c r="D5250" s="23" t="s">
        <v>88</v>
      </c>
      <c r="E5250" s="23" t="s">
        <v>75</v>
      </c>
      <c r="F5250" s="23" t="s">
        <v>256</v>
      </c>
      <c r="G5250" s="23" t="s">
        <v>250</v>
      </c>
      <c r="H5250" s="39">
        <f t="shared" ref="H5250:H5313" si="328">VALUE(SUBSTITUTE(F5250,",",""))</f>
        <v>2098</v>
      </c>
      <c r="I5250" s="23" t="str">
        <f t="shared" ref="I5250:I5313" si="329">IF(TRIM(D5250)="","Unknown",TRIM(D5250))</f>
        <v>Lucknow</v>
      </c>
      <c r="J5250" s="23">
        <f>COUNTIFS(pg_transaction_cleaned!$O:$O,A5250,pg_transaction_cleaned!$F:$F,"CAPTURE")</f>
        <v>1</v>
      </c>
      <c r="K5250" s="39">
        <f>SUMIFS(pg_transaction_cleaned!$H:$H,pg_transaction_cleaned!$O:$O,A5250,pg_transaction_cleaned!$F:$F,"CAPTURE")</f>
        <v>2098</v>
      </c>
      <c r="L5250" s="23">
        <f>COUNTIFS(pg_transaction_cleaned!$O:$O,A5250,pg_transaction_cleaned!$F:$F,"REFUND")</f>
        <v>0</v>
      </c>
      <c r="M5250" s="39">
        <f>SUMIFS(pg_transaction_cleaned!$H:$H,pg_transaction_cleaned!$O:$O,A5250,pg_transaction_cleaned!$F:$F,"REFUND")</f>
        <v>0</v>
      </c>
      <c r="N5250" s="23" t="str">
        <f t="shared" ref="N5250:N5313" si="330">IF(AND(G5250="Paid",J5250=0),"Paid, no payment",IF(AND(OR(G5250="Failed",G5250="Cancelled"),J5250&gt;0),"Payment on failed/cancelled",IF(J5250&gt;1,"Duplicate charge",IF(AND(J5250=1,ROUND(K5250-H5250,2)&lt;&gt;0),"Amount difference",IF(AND(G5250="Refunded",L5250=0),"Refunded, no refund",IF(AND(G5250&lt;&gt;"Refunded",L5250&gt;0),"Refund, order not Refunded",IF(AND(L5250&gt;0,ROUND(M5250-H5250,2)&lt;&gt;0),"Refund amount differs","OK")))))))</f>
        <v>OK</v>
      </c>
      <c r="O5250" s="24">
        <f t="shared" ref="O5250:O5313" si="331">IF(N5250="OK",0,IF(N5250="Paid, no payment",H5250,IF(N5250="Payment on failed/cancelled",K5250,IF(OR(N5250="Duplicate charge",N5250="Amount difference"),K5250-H5250,IF(N5250="Refunded, no refund",H5250,M5250)))))</f>
        <v>0</v>
      </c>
    </row>
    <row r="5251" spans="1:15" ht="15" customHeight="1" x14ac:dyDescent="0.3">
      <c r="A5251" s="23" t="s">
        <v>10937</v>
      </c>
      <c r="B5251" s="38">
        <v>46293</v>
      </c>
      <c r="C5251" s="23" t="s">
        <v>10938</v>
      </c>
      <c r="D5251" s="23" t="s">
        <v>94</v>
      </c>
      <c r="E5251" s="23" t="s">
        <v>81</v>
      </c>
      <c r="F5251" s="23" t="s">
        <v>291</v>
      </c>
      <c r="G5251" s="23" t="s">
        <v>250</v>
      </c>
      <c r="H5251" s="39">
        <f t="shared" si="328"/>
        <v>3499</v>
      </c>
      <c r="I5251" s="23" t="str">
        <f t="shared" si="329"/>
        <v>Chennai</v>
      </c>
      <c r="J5251" s="23">
        <f>COUNTIFS(pg_transaction_cleaned!$O:$O,A5251,pg_transaction_cleaned!$F:$F,"CAPTURE")</f>
        <v>1</v>
      </c>
      <c r="K5251" s="39">
        <f>SUMIFS(pg_transaction_cleaned!$H:$H,pg_transaction_cleaned!$O:$O,A5251,pg_transaction_cleaned!$F:$F,"CAPTURE")</f>
        <v>3499</v>
      </c>
      <c r="L5251" s="23">
        <f>COUNTIFS(pg_transaction_cleaned!$O:$O,A5251,pg_transaction_cleaned!$F:$F,"REFUND")</f>
        <v>0</v>
      </c>
      <c r="M5251" s="39">
        <f>SUMIFS(pg_transaction_cleaned!$H:$H,pg_transaction_cleaned!$O:$O,A5251,pg_transaction_cleaned!$F:$F,"REFUND")</f>
        <v>0</v>
      </c>
      <c r="N5251" s="23" t="str">
        <f t="shared" si="330"/>
        <v>OK</v>
      </c>
      <c r="O5251" s="24">
        <f t="shared" si="331"/>
        <v>0</v>
      </c>
    </row>
    <row r="5252" spans="1:15" ht="15" customHeight="1" x14ac:dyDescent="0.3">
      <c r="A5252" s="23" t="s">
        <v>10939</v>
      </c>
      <c r="B5252" s="38">
        <v>46266</v>
      </c>
      <c r="C5252" s="23" t="s">
        <v>10940</v>
      </c>
      <c r="D5252" s="23" t="s">
        <v>95</v>
      </c>
      <c r="E5252" s="23" t="s">
        <v>75</v>
      </c>
      <c r="F5252" s="23" t="s">
        <v>724</v>
      </c>
      <c r="G5252" s="23" t="s">
        <v>250</v>
      </c>
      <c r="H5252" s="39">
        <f t="shared" si="328"/>
        <v>3848</v>
      </c>
      <c r="I5252" s="23" t="str">
        <f t="shared" si="329"/>
        <v>Bengaluru</v>
      </c>
      <c r="J5252" s="23">
        <f>COUNTIFS(pg_transaction_cleaned!$O:$O,A5252,pg_transaction_cleaned!$F:$F,"CAPTURE")</f>
        <v>1</v>
      </c>
      <c r="K5252" s="39">
        <f>SUMIFS(pg_transaction_cleaned!$H:$H,pg_transaction_cleaned!$O:$O,A5252,pg_transaction_cleaned!$F:$F,"CAPTURE")</f>
        <v>3848</v>
      </c>
      <c r="L5252" s="23">
        <f>COUNTIFS(pg_transaction_cleaned!$O:$O,A5252,pg_transaction_cleaned!$F:$F,"REFUND")</f>
        <v>0</v>
      </c>
      <c r="M5252" s="39">
        <f>SUMIFS(pg_transaction_cleaned!$H:$H,pg_transaction_cleaned!$O:$O,A5252,pg_transaction_cleaned!$F:$F,"REFUND")</f>
        <v>0</v>
      </c>
      <c r="N5252" s="23" t="str">
        <f t="shared" si="330"/>
        <v>OK</v>
      </c>
      <c r="O5252" s="24">
        <f t="shared" si="331"/>
        <v>0</v>
      </c>
    </row>
    <row r="5253" spans="1:15" ht="15" customHeight="1" x14ac:dyDescent="0.3">
      <c r="A5253" s="23" t="s">
        <v>10941</v>
      </c>
      <c r="B5253" s="38">
        <v>46272</v>
      </c>
      <c r="C5253" s="23" t="s">
        <v>10942</v>
      </c>
      <c r="D5253" s="23" t="s">
        <v>86</v>
      </c>
      <c r="E5253" s="23" t="s">
        <v>75</v>
      </c>
      <c r="F5253" s="23" t="s">
        <v>393</v>
      </c>
      <c r="G5253" s="23" t="s">
        <v>250</v>
      </c>
      <c r="H5253" s="39">
        <f t="shared" si="328"/>
        <v>349</v>
      </c>
      <c r="I5253" s="23" t="str">
        <f t="shared" si="329"/>
        <v>Delhi</v>
      </c>
      <c r="J5253" s="23">
        <f>COUNTIFS(pg_transaction_cleaned!$O:$O,A5253,pg_transaction_cleaned!$F:$F,"CAPTURE")</f>
        <v>1</v>
      </c>
      <c r="K5253" s="39">
        <f>SUMIFS(pg_transaction_cleaned!$H:$H,pg_transaction_cleaned!$O:$O,A5253,pg_transaction_cleaned!$F:$F,"CAPTURE")</f>
        <v>349</v>
      </c>
      <c r="L5253" s="23">
        <f>COUNTIFS(pg_transaction_cleaned!$O:$O,A5253,pg_transaction_cleaned!$F:$F,"REFUND")</f>
        <v>0</v>
      </c>
      <c r="M5253" s="39">
        <f>SUMIFS(pg_transaction_cleaned!$H:$H,pg_transaction_cleaned!$O:$O,A5253,pg_transaction_cleaned!$F:$F,"REFUND")</f>
        <v>0</v>
      </c>
      <c r="N5253" s="23" t="str">
        <f t="shared" si="330"/>
        <v>OK</v>
      </c>
      <c r="O5253" s="24">
        <f t="shared" si="331"/>
        <v>0</v>
      </c>
    </row>
    <row r="5254" spans="1:15" ht="15" customHeight="1" x14ac:dyDescent="0.3">
      <c r="A5254" s="23" t="s">
        <v>10943</v>
      </c>
      <c r="B5254" s="38">
        <v>46270</v>
      </c>
      <c r="C5254" s="23" t="s">
        <v>10944</v>
      </c>
      <c r="D5254" s="23" t="s">
        <v>87</v>
      </c>
      <c r="E5254" s="23" t="s">
        <v>81</v>
      </c>
      <c r="F5254" s="23" t="s">
        <v>271</v>
      </c>
      <c r="G5254" s="23" t="s">
        <v>250</v>
      </c>
      <c r="H5254" s="39">
        <f t="shared" si="328"/>
        <v>2499</v>
      </c>
      <c r="I5254" s="23" t="str">
        <f t="shared" si="329"/>
        <v>Mumbai</v>
      </c>
      <c r="J5254" s="23">
        <f>COUNTIFS(pg_transaction_cleaned!$O:$O,A5254,pg_transaction_cleaned!$F:$F,"CAPTURE")</f>
        <v>1</v>
      </c>
      <c r="K5254" s="39">
        <f>SUMIFS(pg_transaction_cleaned!$H:$H,pg_transaction_cleaned!$O:$O,A5254,pg_transaction_cleaned!$F:$F,"CAPTURE")</f>
        <v>2499</v>
      </c>
      <c r="L5254" s="23">
        <f>COUNTIFS(pg_transaction_cleaned!$O:$O,A5254,pg_transaction_cleaned!$F:$F,"REFUND")</f>
        <v>0</v>
      </c>
      <c r="M5254" s="39">
        <f>SUMIFS(pg_transaction_cleaned!$H:$H,pg_transaction_cleaned!$O:$O,A5254,pg_transaction_cleaned!$F:$F,"REFUND")</f>
        <v>0</v>
      </c>
      <c r="N5254" s="23" t="str">
        <f t="shared" si="330"/>
        <v>OK</v>
      </c>
      <c r="O5254" s="24">
        <f t="shared" si="331"/>
        <v>0</v>
      </c>
    </row>
    <row r="5255" spans="1:15" ht="15" customHeight="1" x14ac:dyDescent="0.3">
      <c r="A5255" s="23" t="s">
        <v>10945</v>
      </c>
      <c r="B5255" s="38">
        <v>46287</v>
      </c>
      <c r="C5255" s="23" t="s">
        <v>10946</v>
      </c>
      <c r="D5255" s="23" t="s">
        <v>90</v>
      </c>
      <c r="E5255" s="23" t="s">
        <v>81</v>
      </c>
      <c r="F5255" s="23" t="s">
        <v>310</v>
      </c>
      <c r="G5255" s="23" t="s">
        <v>250</v>
      </c>
      <c r="H5255" s="39">
        <f t="shared" si="328"/>
        <v>7999</v>
      </c>
      <c r="I5255" s="23" t="str">
        <f t="shared" si="329"/>
        <v>Ahmedabad</v>
      </c>
      <c r="J5255" s="23">
        <f>COUNTIFS(pg_transaction_cleaned!$O:$O,A5255,pg_transaction_cleaned!$F:$F,"CAPTURE")</f>
        <v>1</v>
      </c>
      <c r="K5255" s="39">
        <f>SUMIFS(pg_transaction_cleaned!$H:$H,pg_transaction_cleaned!$O:$O,A5255,pg_transaction_cleaned!$F:$F,"CAPTURE")</f>
        <v>7999</v>
      </c>
      <c r="L5255" s="23">
        <f>COUNTIFS(pg_transaction_cleaned!$O:$O,A5255,pg_transaction_cleaned!$F:$F,"REFUND")</f>
        <v>0</v>
      </c>
      <c r="M5255" s="39">
        <f>SUMIFS(pg_transaction_cleaned!$H:$H,pg_transaction_cleaned!$O:$O,A5255,pg_transaction_cleaned!$F:$F,"REFUND")</f>
        <v>0</v>
      </c>
      <c r="N5255" s="23" t="str">
        <f t="shared" si="330"/>
        <v>OK</v>
      </c>
      <c r="O5255" s="24">
        <f t="shared" si="331"/>
        <v>0</v>
      </c>
    </row>
    <row r="5256" spans="1:15" ht="15" customHeight="1" x14ac:dyDescent="0.3">
      <c r="A5256" s="23" t="s">
        <v>10947</v>
      </c>
      <c r="B5256" s="38">
        <v>46281</v>
      </c>
      <c r="C5256" s="23" t="s">
        <v>10948</v>
      </c>
      <c r="D5256" s="23" t="s">
        <v>92</v>
      </c>
      <c r="E5256" s="23" t="s">
        <v>75</v>
      </c>
      <c r="F5256" s="23" t="s">
        <v>294</v>
      </c>
      <c r="G5256" s="23" t="s">
        <v>250</v>
      </c>
      <c r="H5256" s="39">
        <f t="shared" si="328"/>
        <v>1799</v>
      </c>
      <c r="I5256" s="23" t="str">
        <f t="shared" si="329"/>
        <v>Hyderabad</v>
      </c>
      <c r="J5256" s="23">
        <f>COUNTIFS(pg_transaction_cleaned!$O:$O,A5256,pg_transaction_cleaned!$F:$F,"CAPTURE")</f>
        <v>1</v>
      </c>
      <c r="K5256" s="39">
        <f>SUMIFS(pg_transaction_cleaned!$H:$H,pg_transaction_cleaned!$O:$O,A5256,pg_transaction_cleaned!$F:$F,"CAPTURE")</f>
        <v>1799</v>
      </c>
      <c r="L5256" s="23">
        <f>COUNTIFS(pg_transaction_cleaned!$O:$O,A5256,pg_transaction_cleaned!$F:$F,"REFUND")</f>
        <v>0</v>
      </c>
      <c r="M5256" s="39">
        <f>SUMIFS(pg_transaction_cleaned!$H:$H,pg_transaction_cleaned!$O:$O,A5256,pg_transaction_cleaned!$F:$F,"REFUND")</f>
        <v>0</v>
      </c>
      <c r="N5256" s="23" t="str">
        <f t="shared" si="330"/>
        <v>OK</v>
      </c>
      <c r="O5256" s="24">
        <f t="shared" si="331"/>
        <v>0</v>
      </c>
    </row>
    <row r="5257" spans="1:15" ht="15" customHeight="1" x14ac:dyDescent="0.3">
      <c r="A5257" s="23" t="s">
        <v>10949</v>
      </c>
      <c r="B5257" s="38">
        <v>46283</v>
      </c>
      <c r="C5257" s="23" t="s">
        <v>10950</v>
      </c>
      <c r="D5257" s="23" t="s">
        <v>93</v>
      </c>
      <c r="E5257" s="23" t="s">
        <v>75</v>
      </c>
      <c r="F5257" s="23" t="s">
        <v>268</v>
      </c>
      <c r="G5257" s="23" t="s">
        <v>250</v>
      </c>
      <c r="H5257" s="39">
        <f t="shared" si="328"/>
        <v>1299</v>
      </c>
      <c r="I5257" s="23" t="str">
        <f t="shared" si="329"/>
        <v>Kolkata</v>
      </c>
      <c r="J5257" s="23">
        <f>COUNTIFS(pg_transaction_cleaned!$O:$O,A5257,pg_transaction_cleaned!$F:$F,"CAPTURE")</f>
        <v>1</v>
      </c>
      <c r="K5257" s="39">
        <f>SUMIFS(pg_transaction_cleaned!$H:$H,pg_transaction_cleaned!$O:$O,A5257,pg_transaction_cleaned!$F:$F,"CAPTURE")</f>
        <v>1299</v>
      </c>
      <c r="L5257" s="23">
        <f>COUNTIFS(pg_transaction_cleaned!$O:$O,A5257,pg_transaction_cleaned!$F:$F,"REFUND")</f>
        <v>0</v>
      </c>
      <c r="M5257" s="39">
        <f>SUMIFS(pg_transaction_cleaned!$H:$H,pg_transaction_cleaned!$O:$O,A5257,pg_transaction_cleaned!$F:$F,"REFUND")</f>
        <v>0</v>
      </c>
      <c r="N5257" s="23" t="str">
        <f t="shared" si="330"/>
        <v>OK</v>
      </c>
      <c r="O5257" s="24">
        <f t="shared" si="331"/>
        <v>0</v>
      </c>
    </row>
    <row r="5258" spans="1:15" ht="15" customHeight="1" x14ac:dyDescent="0.3">
      <c r="A5258" s="23" t="s">
        <v>10951</v>
      </c>
      <c r="B5258" s="38">
        <v>46291</v>
      </c>
      <c r="C5258" s="23" t="s">
        <v>10952</v>
      </c>
      <c r="D5258" s="23" t="s">
        <v>88</v>
      </c>
      <c r="E5258" s="23" t="s">
        <v>77</v>
      </c>
      <c r="F5258" s="23" t="s">
        <v>10953</v>
      </c>
      <c r="G5258" s="23" t="s">
        <v>250</v>
      </c>
      <c r="H5258" s="39">
        <f t="shared" si="328"/>
        <v>4297</v>
      </c>
      <c r="I5258" s="23" t="str">
        <f t="shared" si="329"/>
        <v>Lucknow</v>
      </c>
      <c r="J5258" s="23">
        <f>COUNTIFS(pg_transaction_cleaned!$O:$O,A5258,pg_transaction_cleaned!$F:$F,"CAPTURE")</f>
        <v>1</v>
      </c>
      <c r="K5258" s="39">
        <f>SUMIFS(pg_transaction_cleaned!$H:$H,pg_transaction_cleaned!$O:$O,A5258,pg_transaction_cleaned!$F:$F,"CAPTURE")</f>
        <v>4297</v>
      </c>
      <c r="L5258" s="23">
        <f>COUNTIFS(pg_transaction_cleaned!$O:$O,A5258,pg_transaction_cleaned!$F:$F,"REFUND")</f>
        <v>0</v>
      </c>
      <c r="M5258" s="39">
        <f>SUMIFS(pg_transaction_cleaned!$H:$H,pg_transaction_cleaned!$O:$O,A5258,pg_transaction_cleaned!$F:$F,"REFUND")</f>
        <v>0</v>
      </c>
      <c r="N5258" s="23" t="str">
        <f t="shared" si="330"/>
        <v>OK</v>
      </c>
      <c r="O5258" s="24">
        <f t="shared" si="331"/>
        <v>0</v>
      </c>
    </row>
    <row r="5259" spans="1:15" ht="15" customHeight="1" x14ac:dyDescent="0.3">
      <c r="A5259" s="23" t="s">
        <v>10954</v>
      </c>
      <c r="B5259" s="38">
        <v>46292</v>
      </c>
      <c r="C5259" s="23" t="s">
        <v>10955</v>
      </c>
      <c r="D5259" s="23" t="s">
        <v>86</v>
      </c>
      <c r="E5259" s="23" t="s">
        <v>75</v>
      </c>
      <c r="F5259" s="23" t="s">
        <v>274</v>
      </c>
      <c r="G5259" s="23" t="s">
        <v>250</v>
      </c>
      <c r="H5259" s="39">
        <f t="shared" si="328"/>
        <v>349</v>
      </c>
      <c r="I5259" s="23" t="str">
        <f t="shared" si="329"/>
        <v>Delhi</v>
      </c>
      <c r="J5259" s="23">
        <f>COUNTIFS(pg_transaction_cleaned!$O:$O,A5259,pg_transaction_cleaned!$F:$F,"CAPTURE")</f>
        <v>1</v>
      </c>
      <c r="K5259" s="39">
        <f>SUMIFS(pg_transaction_cleaned!$H:$H,pg_transaction_cleaned!$O:$O,A5259,pg_transaction_cleaned!$F:$F,"CAPTURE")</f>
        <v>349</v>
      </c>
      <c r="L5259" s="23">
        <f>COUNTIFS(pg_transaction_cleaned!$O:$O,A5259,pg_transaction_cleaned!$F:$F,"REFUND")</f>
        <v>0</v>
      </c>
      <c r="M5259" s="39">
        <f>SUMIFS(pg_transaction_cleaned!$H:$H,pg_transaction_cleaned!$O:$O,A5259,pg_transaction_cleaned!$F:$F,"REFUND")</f>
        <v>0</v>
      </c>
      <c r="N5259" s="23" t="str">
        <f t="shared" si="330"/>
        <v>OK</v>
      </c>
      <c r="O5259" s="24">
        <f t="shared" si="331"/>
        <v>0</v>
      </c>
    </row>
    <row r="5260" spans="1:15" ht="15" customHeight="1" x14ac:dyDescent="0.3">
      <c r="A5260" s="23" t="s">
        <v>10956</v>
      </c>
      <c r="B5260" s="38">
        <v>46269</v>
      </c>
      <c r="C5260" s="23" t="s">
        <v>10957</v>
      </c>
      <c r="D5260" s="23" t="s">
        <v>89</v>
      </c>
      <c r="E5260" s="23" t="s">
        <v>81</v>
      </c>
      <c r="F5260" s="23" t="s">
        <v>294</v>
      </c>
      <c r="G5260" s="23" t="s">
        <v>250</v>
      </c>
      <c r="H5260" s="39">
        <f t="shared" si="328"/>
        <v>1799</v>
      </c>
      <c r="I5260" s="23" t="str">
        <f t="shared" si="329"/>
        <v>Jaipur</v>
      </c>
      <c r="J5260" s="23">
        <f>COUNTIFS(pg_transaction_cleaned!$O:$O,A5260,pg_transaction_cleaned!$F:$F,"CAPTURE")</f>
        <v>1</v>
      </c>
      <c r="K5260" s="39">
        <f>SUMIFS(pg_transaction_cleaned!$H:$H,pg_transaction_cleaned!$O:$O,A5260,pg_transaction_cleaned!$F:$F,"CAPTURE")</f>
        <v>1799</v>
      </c>
      <c r="L5260" s="23">
        <f>COUNTIFS(pg_transaction_cleaned!$O:$O,A5260,pg_transaction_cleaned!$F:$F,"REFUND")</f>
        <v>0</v>
      </c>
      <c r="M5260" s="39">
        <f>SUMIFS(pg_transaction_cleaned!$H:$H,pg_transaction_cleaned!$O:$O,A5260,pg_transaction_cleaned!$F:$F,"REFUND")</f>
        <v>0</v>
      </c>
      <c r="N5260" s="23" t="str">
        <f t="shared" si="330"/>
        <v>OK</v>
      </c>
      <c r="O5260" s="24">
        <f t="shared" si="331"/>
        <v>0</v>
      </c>
    </row>
    <row r="5261" spans="1:15" ht="15" customHeight="1" x14ac:dyDescent="0.3">
      <c r="A5261" s="23" t="s">
        <v>10958</v>
      </c>
      <c r="B5261" s="38">
        <v>46268</v>
      </c>
      <c r="C5261" s="23" t="s">
        <v>10959</v>
      </c>
      <c r="D5261" s="23" t="s">
        <v>95</v>
      </c>
      <c r="E5261" s="23" t="s">
        <v>81</v>
      </c>
      <c r="F5261" s="23" t="s">
        <v>375</v>
      </c>
      <c r="G5261" s="23" t="s">
        <v>250</v>
      </c>
      <c r="H5261" s="39">
        <f t="shared" si="328"/>
        <v>2999</v>
      </c>
      <c r="I5261" s="23" t="str">
        <f t="shared" si="329"/>
        <v>Bengaluru</v>
      </c>
      <c r="J5261" s="23">
        <f>COUNTIFS(pg_transaction_cleaned!$O:$O,A5261,pg_transaction_cleaned!$F:$F,"CAPTURE")</f>
        <v>1</v>
      </c>
      <c r="K5261" s="39">
        <f>SUMIFS(pg_transaction_cleaned!$H:$H,pg_transaction_cleaned!$O:$O,A5261,pg_transaction_cleaned!$F:$F,"CAPTURE")</f>
        <v>2999</v>
      </c>
      <c r="L5261" s="23">
        <f>COUNTIFS(pg_transaction_cleaned!$O:$O,A5261,pg_transaction_cleaned!$F:$F,"REFUND")</f>
        <v>0</v>
      </c>
      <c r="M5261" s="39">
        <f>SUMIFS(pg_transaction_cleaned!$H:$H,pg_transaction_cleaned!$O:$O,A5261,pg_transaction_cleaned!$F:$F,"REFUND")</f>
        <v>0</v>
      </c>
      <c r="N5261" s="23" t="str">
        <f t="shared" si="330"/>
        <v>OK</v>
      </c>
      <c r="O5261" s="24">
        <f t="shared" si="331"/>
        <v>0</v>
      </c>
    </row>
    <row r="5262" spans="1:15" ht="15" customHeight="1" x14ac:dyDescent="0.3">
      <c r="A5262" s="23" t="s">
        <v>10960</v>
      </c>
      <c r="B5262" s="38">
        <v>46293</v>
      </c>
      <c r="C5262" s="23" t="s">
        <v>10961</v>
      </c>
      <c r="D5262" s="23" t="s">
        <v>94</v>
      </c>
      <c r="E5262" s="23" t="s">
        <v>75</v>
      </c>
      <c r="F5262" s="23" t="s">
        <v>4690</v>
      </c>
      <c r="G5262" s="23" t="s">
        <v>365</v>
      </c>
      <c r="H5262" s="39">
        <f t="shared" si="328"/>
        <v>12997</v>
      </c>
      <c r="I5262" s="23" t="str">
        <f t="shared" si="329"/>
        <v>Chennai</v>
      </c>
      <c r="J5262" s="23">
        <f>COUNTIFS(pg_transaction_cleaned!$O:$O,A5262,pg_transaction_cleaned!$F:$F,"CAPTURE")</f>
        <v>0</v>
      </c>
      <c r="K5262" s="39">
        <f>SUMIFS(pg_transaction_cleaned!$H:$H,pg_transaction_cleaned!$O:$O,A5262,pg_transaction_cleaned!$F:$F,"CAPTURE")</f>
        <v>0</v>
      </c>
      <c r="L5262" s="23">
        <f>COUNTIFS(pg_transaction_cleaned!$O:$O,A5262,pg_transaction_cleaned!$F:$F,"REFUND")</f>
        <v>0</v>
      </c>
      <c r="M5262" s="39">
        <f>SUMIFS(pg_transaction_cleaned!$H:$H,pg_transaction_cleaned!$O:$O,A5262,pg_transaction_cleaned!$F:$F,"REFUND")</f>
        <v>0</v>
      </c>
      <c r="N5262" s="23" t="str">
        <f t="shared" si="330"/>
        <v>OK</v>
      </c>
      <c r="O5262" s="24">
        <f t="shared" si="331"/>
        <v>0</v>
      </c>
    </row>
    <row r="5263" spans="1:15" ht="15" customHeight="1" x14ac:dyDescent="0.3">
      <c r="A5263" s="23" t="s">
        <v>10962</v>
      </c>
      <c r="B5263" s="38">
        <v>46277</v>
      </c>
      <c r="C5263" s="23" t="s">
        <v>10963</v>
      </c>
      <c r="D5263" s="23" t="s">
        <v>87</v>
      </c>
      <c r="E5263" s="23" t="s">
        <v>75</v>
      </c>
      <c r="F5263" s="23" t="s">
        <v>827</v>
      </c>
      <c r="G5263" s="23" t="s">
        <v>250</v>
      </c>
      <c r="H5263" s="39">
        <f t="shared" si="328"/>
        <v>11498</v>
      </c>
      <c r="I5263" s="23" t="str">
        <f t="shared" si="329"/>
        <v>Mumbai</v>
      </c>
      <c r="J5263" s="23">
        <f>COUNTIFS(pg_transaction_cleaned!$O:$O,A5263,pg_transaction_cleaned!$F:$F,"CAPTURE")</f>
        <v>1</v>
      </c>
      <c r="K5263" s="39">
        <f>SUMIFS(pg_transaction_cleaned!$H:$H,pg_transaction_cleaned!$O:$O,A5263,pg_transaction_cleaned!$F:$F,"CAPTURE")</f>
        <v>11498</v>
      </c>
      <c r="L5263" s="23">
        <f>COUNTIFS(pg_transaction_cleaned!$O:$O,A5263,pg_transaction_cleaned!$F:$F,"REFUND")</f>
        <v>0</v>
      </c>
      <c r="M5263" s="39">
        <f>SUMIFS(pg_transaction_cleaned!$H:$H,pg_transaction_cleaned!$O:$O,A5263,pg_transaction_cleaned!$F:$F,"REFUND")</f>
        <v>0</v>
      </c>
      <c r="N5263" s="23" t="str">
        <f t="shared" si="330"/>
        <v>OK</v>
      </c>
      <c r="O5263" s="24">
        <f t="shared" si="331"/>
        <v>0</v>
      </c>
    </row>
    <row r="5264" spans="1:15" ht="15" customHeight="1" x14ac:dyDescent="0.3">
      <c r="A5264" s="23" t="s">
        <v>10964</v>
      </c>
      <c r="B5264" s="38">
        <v>46279</v>
      </c>
      <c r="C5264" s="23" t="s">
        <v>10965</v>
      </c>
      <c r="D5264" s="23" t="s">
        <v>94</v>
      </c>
      <c r="E5264" s="23" t="s">
        <v>75</v>
      </c>
      <c r="F5264" s="23" t="s">
        <v>329</v>
      </c>
      <c r="G5264" s="23" t="s">
        <v>250</v>
      </c>
      <c r="H5264" s="39">
        <f t="shared" si="328"/>
        <v>599</v>
      </c>
      <c r="I5264" s="23" t="str">
        <f t="shared" si="329"/>
        <v>Chennai</v>
      </c>
      <c r="J5264" s="23">
        <f>COUNTIFS(pg_transaction_cleaned!$O:$O,A5264,pg_transaction_cleaned!$F:$F,"CAPTURE")</f>
        <v>1</v>
      </c>
      <c r="K5264" s="39">
        <f>SUMIFS(pg_transaction_cleaned!$H:$H,pg_transaction_cleaned!$O:$O,A5264,pg_transaction_cleaned!$F:$F,"CAPTURE")</f>
        <v>599</v>
      </c>
      <c r="L5264" s="23">
        <f>COUNTIFS(pg_transaction_cleaned!$O:$O,A5264,pg_transaction_cleaned!$F:$F,"REFUND")</f>
        <v>0</v>
      </c>
      <c r="M5264" s="39">
        <f>SUMIFS(pg_transaction_cleaned!$H:$H,pg_transaction_cleaned!$O:$O,A5264,pg_transaction_cleaned!$F:$F,"REFUND")</f>
        <v>0</v>
      </c>
      <c r="N5264" s="23" t="str">
        <f t="shared" si="330"/>
        <v>OK</v>
      </c>
      <c r="O5264" s="24">
        <f t="shared" si="331"/>
        <v>0</v>
      </c>
    </row>
    <row r="5265" spans="1:15" ht="15" customHeight="1" x14ac:dyDescent="0.3">
      <c r="A5265" s="23" t="s">
        <v>10966</v>
      </c>
      <c r="B5265" s="38">
        <v>46285</v>
      </c>
      <c r="C5265" s="23" t="s">
        <v>10967</v>
      </c>
      <c r="D5265" s="23" t="s">
        <v>87</v>
      </c>
      <c r="E5265" s="23" t="s">
        <v>79</v>
      </c>
      <c r="F5265" s="23" t="s">
        <v>772</v>
      </c>
      <c r="G5265" s="23" t="s">
        <v>250</v>
      </c>
      <c r="H5265" s="39">
        <f t="shared" si="328"/>
        <v>4798</v>
      </c>
      <c r="I5265" s="23" t="str">
        <f t="shared" si="329"/>
        <v>Mumbai</v>
      </c>
      <c r="J5265" s="23">
        <f>COUNTIFS(pg_transaction_cleaned!$O:$O,A5265,pg_transaction_cleaned!$F:$F,"CAPTURE")</f>
        <v>1</v>
      </c>
      <c r="K5265" s="39">
        <f>SUMIFS(pg_transaction_cleaned!$H:$H,pg_transaction_cleaned!$O:$O,A5265,pg_transaction_cleaned!$F:$F,"CAPTURE")</f>
        <v>4798</v>
      </c>
      <c r="L5265" s="23">
        <f>COUNTIFS(pg_transaction_cleaned!$O:$O,A5265,pg_transaction_cleaned!$F:$F,"REFUND")</f>
        <v>0</v>
      </c>
      <c r="M5265" s="39">
        <f>SUMIFS(pg_transaction_cleaned!$H:$H,pg_transaction_cleaned!$O:$O,A5265,pg_transaction_cleaned!$F:$F,"REFUND")</f>
        <v>0</v>
      </c>
      <c r="N5265" s="23" t="str">
        <f t="shared" si="330"/>
        <v>OK</v>
      </c>
      <c r="O5265" s="24">
        <f t="shared" si="331"/>
        <v>0</v>
      </c>
    </row>
    <row r="5266" spans="1:15" ht="15" customHeight="1" x14ac:dyDescent="0.3">
      <c r="A5266" s="23" t="s">
        <v>10968</v>
      </c>
      <c r="B5266" s="38">
        <v>46294</v>
      </c>
      <c r="C5266" s="23" t="s">
        <v>10969</v>
      </c>
      <c r="D5266" s="23" t="s">
        <v>89</v>
      </c>
      <c r="E5266" s="23" t="s">
        <v>79</v>
      </c>
      <c r="F5266" s="23" t="s">
        <v>772</v>
      </c>
      <c r="G5266" s="23" t="s">
        <v>250</v>
      </c>
      <c r="H5266" s="39">
        <f t="shared" si="328"/>
        <v>4798</v>
      </c>
      <c r="I5266" s="23" t="str">
        <f t="shared" si="329"/>
        <v>Jaipur</v>
      </c>
      <c r="J5266" s="23">
        <f>COUNTIFS(pg_transaction_cleaned!$O:$O,A5266,pg_transaction_cleaned!$F:$F,"CAPTURE")</f>
        <v>1</v>
      </c>
      <c r="K5266" s="39">
        <f>SUMIFS(pg_transaction_cleaned!$H:$H,pg_transaction_cleaned!$O:$O,A5266,pg_transaction_cleaned!$F:$F,"CAPTURE")</f>
        <v>4798</v>
      </c>
      <c r="L5266" s="23">
        <f>COUNTIFS(pg_transaction_cleaned!$O:$O,A5266,pg_transaction_cleaned!$F:$F,"REFUND")</f>
        <v>0</v>
      </c>
      <c r="M5266" s="39">
        <f>SUMIFS(pg_transaction_cleaned!$H:$H,pg_transaction_cleaned!$O:$O,A5266,pg_transaction_cleaned!$F:$F,"REFUND")</f>
        <v>0</v>
      </c>
      <c r="N5266" s="23" t="str">
        <f t="shared" si="330"/>
        <v>OK</v>
      </c>
      <c r="O5266" s="24">
        <f t="shared" si="331"/>
        <v>0</v>
      </c>
    </row>
    <row r="5267" spans="1:15" ht="15" customHeight="1" x14ac:dyDescent="0.3">
      <c r="A5267" s="23" t="s">
        <v>10970</v>
      </c>
      <c r="B5267" s="38">
        <v>46267</v>
      </c>
      <c r="C5267" s="23" t="s">
        <v>10971</v>
      </c>
      <c r="D5267" s="23"/>
      <c r="E5267" s="23" t="s">
        <v>75</v>
      </c>
      <c r="F5267" s="23" t="s">
        <v>265</v>
      </c>
      <c r="G5267" s="23" t="s">
        <v>250</v>
      </c>
      <c r="H5267" s="39">
        <f t="shared" si="328"/>
        <v>999</v>
      </c>
      <c r="I5267" s="23" t="str">
        <f t="shared" si="329"/>
        <v>Unknown</v>
      </c>
      <c r="J5267" s="23">
        <f>COUNTIFS(pg_transaction_cleaned!$O:$O,A5267,pg_transaction_cleaned!$F:$F,"CAPTURE")</f>
        <v>1</v>
      </c>
      <c r="K5267" s="39">
        <f>SUMIFS(pg_transaction_cleaned!$H:$H,pg_transaction_cleaned!$O:$O,A5267,pg_transaction_cleaned!$F:$F,"CAPTURE")</f>
        <v>999</v>
      </c>
      <c r="L5267" s="23">
        <f>COUNTIFS(pg_transaction_cleaned!$O:$O,A5267,pg_transaction_cleaned!$F:$F,"REFUND")</f>
        <v>0</v>
      </c>
      <c r="M5267" s="39">
        <f>SUMIFS(pg_transaction_cleaned!$H:$H,pg_transaction_cleaned!$O:$O,A5267,pg_transaction_cleaned!$F:$F,"REFUND")</f>
        <v>0</v>
      </c>
      <c r="N5267" s="23" t="str">
        <f t="shared" si="330"/>
        <v>OK</v>
      </c>
      <c r="O5267" s="24">
        <f t="shared" si="331"/>
        <v>0</v>
      </c>
    </row>
    <row r="5268" spans="1:15" ht="15" customHeight="1" x14ac:dyDescent="0.3">
      <c r="A5268" s="23" t="s">
        <v>10972</v>
      </c>
      <c r="B5268" s="38">
        <v>46290</v>
      </c>
      <c r="C5268" s="23" t="s">
        <v>10973</v>
      </c>
      <c r="D5268" s="23" t="s">
        <v>91</v>
      </c>
      <c r="E5268" s="23" t="s">
        <v>75</v>
      </c>
      <c r="F5268" s="23" t="s">
        <v>310</v>
      </c>
      <c r="G5268" s="23" t="s">
        <v>250</v>
      </c>
      <c r="H5268" s="39">
        <f t="shared" si="328"/>
        <v>7999</v>
      </c>
      <c r="I5268" s="23" t="str">
        <f t="shared" si="329"/>
        <v>Pune</v>
      </c>
      <c r="J5268" s="23">
        <f>COUNTIFS(pg_transaction_cleaned!$O:$O,A5268,pg_transaction_cleaned!$F:$F,"CAPTURE")</f>
        <v>1</v>
      </c>
      <c r="K5268" s="39">
        <f>SUMIFS(pg_transaction_cleaned!$H:$H,pg_transaction_cleaned!$O:$O,A5268,pg_transaction_cleaned!$F:$F,"CAPTURE")</f>
        <v>7999</v>
      </c>
      <c r="L5268" s="23">
        <f>COUNTIFS(pg_transaction_cleaned!$O:$O,A5268,pg_transaction_cleaned!$F:$F,"REFUND")</f>
        <v>0</v>
      </c>
      <c r="M5268" s="39">
        <f>SUMIFS(pg_transaction_cleaned!$H:$H,pg_transaction_cleaned!$O:$O,A5268,pg_transaction_cleaned!$F:$F,"REFUND")</f>
        <v>0</v>
      </c>
      <c r="N5268" s="23" t="str">
        <f t="shared" si="330"/>
        <v>OK</v>
      </c>
      <c r="O5268" s="24">
        <f t="shared" si="331"/>
        <v>0</v>
      </c>
    </row>
    <row r="5269" spans="1:15" ht="15" customHeight="1" x14ac:dyDescent="0.3">
      <c r="A5269" s="23" t="s">
        <v>10974</v>
      </c>
      <c r="B5269" s="38">
        <v>46278</v>
      </c>
      <c r="C5269" s="23" t="s">
        <v>10975</v>
      </c>
      <c r="D5269" s="23" t="s">
        <v>87</v>
      </c>
      <c r="E5269" s="23" t="s">
        <v>79</v>
      </c>
      <c r="F5269" s="23" t="s">
        <v>297</v>
      </c>
      <c r="G5269" s="23" t="s">
        <v>250</v>
      </c>
      <c r="H5269" s="39">
        <f t="shared" si="328"/>
        <v>4999</v>
      </c>
      <c r="I5269" s="23" t="str">
        <f t="shared" si="329"/>
        <v>Mumbai</v>
      </c>
      <c r="J5269" s="23">
        <f>COUNTIFS(pg_transaction_cleaned!$O:$O,A5269,pg_transaction_cleaned!$F:$F,"CAPTURE")</f>
        <v>1</v>
      </c>
      <c r="K5269" s="39">
        <f>SUMIFS(pg_transaction_cleaned!$H:$H,pg_transaction_cleaned!$O:$O,A5269,pg_transaction_cleaned!$F:$F,"CAPTURE")</f>
        <v>4999</v>
      </c>
      <c r="L5269" s="23">
        <f>COUNTIFS(pg_transaction_cleaned!$O:$O,A5269,pg_transaction_cleaned!$F:$F,"REFUND")</f>
        <v>0</v>
      </c>
      <c r="M5269" s="39">
        <f>SUMIFS(pg_transaction_cleaned!$H:$H,pg_transaction_cleaned!$O:$O,A5269,pg_transaction_cleaned!$F:$F,"REFUND")</f>
        <v>0</v>
      </c>
      <c r="N5269" s="23" t="str">
        <f t="shared" si="330"/>
        <v>OK</v>
      </c>
      <c r="O5269" s="24">
        <f t="shared" si="331"/>
        <v>0</v>
      </c>
    </row>
    <row r="5270" spans="1:15" ht="15" customHeight="1" x14ac:dyDescent="0.3">
      <c r="A5270" s="23" t="s">
        <v>10976</v>
      </c>
      <c r="B5270" s="38">
        <v>46274</v>
      </c>
      <c r="C5270" s="23" t="s">
        <v>10977</v>
      </c>
      <c r="D5270" s="23" t="s">
        <v>89</v>
      </c>
      <c r="E5270" s="23" t="s">
        <v>75</v>
      </c>
      <c r="F5270" s="23" t="s">
        <v>291</v>
      </c>
      <c r="G5270" s="23" t="s">
        <v>250</v>
      </c>
      <c r="H5270" s="39">
        <f t="shared" si="328"/>
        <v>3499</v>
      </c>
      <c r="I5270" s="23" t="str">
        <f t="shared" si="329"/>
        <v>Jaipur</v>
      </c>
      <c r="J5270" s="23">
        <f>COUNTIFS(pg_transaction_cleaned!$O:$O,A5270,pg_transaction_cleaned!$F:$F,"CAPTURE")</f>
        <v>1</v>
      </c>
      <c r="K5270" s="39">
        <f>SUMIFS(pg_transaction_cleaned!$H:$H,pg_transaction_cleaned!$O:$O,A5270,pg_transaction_cleaned!$F:$F,"CAPTURE")</f>
        <v>3499</v>
      </c>
      <c r="L5270" s="23">
        <f>COUNTIFS(pg_transaction_cleaned!$O:$O,A5270,pg_transaction_cleaned!$F:$F,"REFUND")</f>
        <v>0</v>
      </c>
      <c r="M5270" s="39">
        <f>SUMIFS(pg_transaction_cleaned!$H:$H,pg_transaction_cleaned!$O:$O,A5270,pg_transaction_cleaned!$F:$F,"REFUND")</f>
        <v>0</v>
      </c>
      <c r="N5270" s="23" t="str">
        <f t="shared" si="330"/>
        <v>OK</v>
      </c>
      <c r="O5270" s="24">
        <f t="shared" si="331"/>
        <v>0</v>
      </c>
    </row>
    <row r="5271" spans="1:15" ht="15" customHeight="1" x14ac:dyDescent="0.3">
      <c r="A5271" s="23" t="s">
        <v>10978</v>
      </c>
      <c r="B5271" s="38">
        <v>46288</v>
      </c>
      <c r="C5271" s="23" t="s">
        <v>1456</v>
      </c>
      <c r="D5271" s="23" t="s">
        <v>87</v>
      </c>
      <c r="E5271" s="23" t="s">
        <v>77</v>
      </c>
      <c r="F5271" s="23" t="s">
        <v>291</v>
      </c>
      <c r="G5271" s="23" t="s">
        <v>250</v>
      </c>
      <c r="H5271" s="39">
        <f t="shared" si="328"/>
        <v>3499</v>
      </c>
      <c r="I5271" s="23" t="str">
        <f t="shared" si="329"/>
        <v>Mumbai</v>
      </c>
      <c r="J5271" s="23">
        <f>COUNTIFS(pg_transaction_cleaned!$O:$O,A5271,pg_transaction_cleaned!$F:$F,"CAPTURE")</f>
        <v>1</v>
      </c>
      <c r="K5271" s="39">
        <f>SUMIFS(pg_transaction_cleaned!$H:$H,pg_transaction_cleaned!$O:$O,A5271,pg_transaction_cleaned!$F:$F,"CAPTURE")</f>
        <v>3499</v>
      </c>
      <c r="L5271" s="23">
        <f>COUNTIFS(pg_transaction_cleaned!$O:$O,A5271,pg_transaction_cleaned!$F:$F,"REFUND")</f>
        <v>0</v>
      </c>
      <c r="M5271" s="39">
        <f>SUMIFS(pg_transaction_cleaned!$H:$H,pg_transaction_cleaned!$O:$O,A5271,pg_transaction_cleaned!$F:$F,"REFUND")</f>
        <v>0</v>
      </c>
      <c r="N5271" s="23" t="str">
        <f t="shared" si="330"/>
        <v>OK</v>
      </c>
      <c r="O5271" s="24">
        <f t="shared" si="331"/>
        <v>0</v>
      </c>
    </row>
    <row r="5272" spans="1:15" ht="15" customHeight="1" x14ac:dyDescent="0.3">
      <c r="A5272" s="23" t="s">
        <v>10979</v>
      </c>
      <c r="B5272" s="38">
        <v>46291</v>
      </c>
      <c r="C5272" s="23" t="s">
        <v>10980</v>
      </c>
      <c r="D5272" s="23" t="s">
        <v>92</v>
      </c>
      <c r="E5272" s="23" t="s">
        <v>79</v>
      </c>
      <c r="F5272" s="23" t="s">
        <v>1428</v>
      </c>
      <c r="G5272" s="23" t="s">
        <v>250</v>
      </c>
      <c r="H5272" s="39">
        <f t="shared" si="328"/>
        <v>8598</v>
      </c>
      <c r="I5272" s="23" t="str">
        <f t="shared" si="329"/>
        <v>Hyderabad</v>
      </c>
      <c r="J5272" s="23">
        <f>COUNTIFS(pg_transaction_cleaned!$O:$O,A5272,pg_transaction_cleaned!$F:$F,"CAPTURE")</f>
        <v>1</v>
      </c>
      <c r="K5272" s="39">
        <f>SUMIFS(pg_transaction_cleaned!$H:$H,pg_transaction_cleaned!$O:$O,A5272,pg_transaction_cleaned!$F:$F,"CAPTURE")</f>
        <v>8598</v>
      </c>
      <c r="L5272" s="23">
        <f>COUNTIFS(pg_transaction_cleaned!$O:$O,A5272,pg_transaction_cleaned!$F:$F,"REFUND")</f>
        <v>0</v>
      </c>
      <c r="M5272" s="39">
        <f>SUMIFS(pg_transaction_cleaned!$H:$H,pg_transaction_cleaned!$O:$O,A5272,pg_transaction_cleaned!$F:$F,"REFUND")</f>
        <v>0</v>
      </c>
      <c r="N5272" s="23" t="str">
        <f t="shared" si="330"/>
        <v>OK</v>
      </c>
      <c r="O5272" s="24">
        <f t="shared" si="331"/>
        <v>0</v>
      </c>
    </row>
    <row r="5273" spans="1:15" ht="15" customHeight="1" x14ac:dyDescent="0.3">
      <c r="A5273" s="23" t="s">
        <v>10981</v>
      </c>
      <c r="B5273" s="38">
        <v>46284</v>
      </c>
      <c r="C5273" s="23" t="s">
        <v>5911</v>
      </c>
      <c r="D5273" s="23" t="s">
        <v>94</v>
      </c>
      <c r="E5273" s="23" t="s">
        <v>75</v>
      </c>
      <c r="F5273" s="23" t="s">
        <v>249</v>
      </c>
      <c r="G5273" s="23" t="s">
        <v>250</v>
      </c>
      <c r="H5273" s="39">
        <f t="shared" si="328"/>
        <v>299</v>
      </c>
      <c r="I5273" s="23" t="str">
        <f t="shared" si="329"/>
        <v>Chennai</v>
      </c>
      <c r="J5273" s="23">
        <f>COUNTIFS(pg_transaction_cleaned!$O:$O,A5273,pg_transaction_cleaned!$F:$F,"CAPTURE")</f>
        <v>1</v>
      </c>
      <c r="K5273" s="39">
        <f>SUMIFS(pg_transaction_cleaned!$H:$H,pg_transaction_cleaned!$O:$O,A5273,pg_transaction_cleaned!$F:$F,"CAPTURE")</f>
        <v>299</v>
      </c>
      <c r="L5273" s="23">
        <f>COUNTIFS(pg_transaction_cleaned!$O:$O,A5273,pg_transaction_cleaned!$F:$F,"REFUND")</f>
        <v>0</v>
      </c>
      <c r="M5273" s="39">
        <f>SUMIFS(pg_transaction_cleaned!$H:$H,pg_transaction_cleaned!$O:$O,A5273,pg_transaction_cleaned!$F:$F,"REFUND")</f>
        <v>0</v>
      </c>
      <c r="N5273" s="23" t="str">
        <f t="shared" si="330"/>
        <v>OK</v>
      </c>
      <c r="O5273" s="24">
        <f t="shared" si="331"/>
        <v>0</v>
      </c>
    </row>
    <row r="5274" spans="1:15" ht="15" customHeight="1" x14ac:dyDescent="0.3">
      <c r="A5274" s="23" t="s">
        <v>10982</v>
      </c>
      <c r="B5274" s="38">
        <v>46292</v>
      </c>
      <c r="C5274" s="23" t="s">
        <v>10983</v>
      </c>
      <c r="D5274" s="23" t="s">
        <v>92</v>
      </c>
      <c r="E5274" s="23" t="s">
        <v>79</v>
      </c>
      <c r="F5274" s="23" t="s">
        <v>357</v>
      </c>
      <c r="G5274" s="23" t="s">
        <v>250</v>
      </c>
      <c r="H5274" s="39">
        <f t="shared" si="328"/>
        <v>1598</v>
      </c>
      <c r="I5274" s="23" t="str">
        <f t="shared" si="329"/>
        <v>Hyderabad</v>
      </c>
      <c r="J5274" s="23">
        <f>COUNTIFS(pg_transaction_cleaned!$O:$O,A5274,pg_transaction_cleaned!$F:$F,"CAPTURE")</f>
        <v>1</v>
      </c>
      <c r="K5274" s="39">
        <f>SUMIFS(pg_transaction_cleaned!$H:$H,pg_transaction_cleaned!$O:$O,A5274,pg_transaction_cleaned!$F:$F,"CAPTURE")</f>
        <v>1598</v>
      </c>
      <c r="L5274" s="23">
        <f>COUNTIFS(pg_transaction_cleaned!$O:$O,A5274,pg_transaction_cleaned!$F:$F,"REFUND")</f>
        <v>0</v>
      </c>
      <c r="M5274" s="39">
        <f>SUMIFS(pg_transaction_cleaned!$H:$H,pg_transaction_cleaned!$O:$O,A5274,pg_transaction_cleaned!$F:$F,"REFUND")</f>
        <v>0</v>
      </c>
      <c r="N5274" s="23" t="str">
        <f t="shared" si="330"/>
        <v>OK</v>
      </c>
      <c r="O5274" s="24">
        <f t="shared" si="331"/>
        <v>0</v>
      </c>
    </row>
    <row r="5275" spans="1:15" ht="15" customHeight="1" x14ac:dyDescent="0.3">
      <c r="A5275" s="23" t="s">
        <v>10984</v>
      </c>
      <c r="B5275" s="38">
        <v>46276</v>
      </c>
      <c r="C5275" s="23" t="s">
        <v>10985</v>
      </c>
      <c r="D5275" s="23" t="s">
        <v>89</v>
      </c>
      <c r="E5275" s="23" t="s">
        <v>79</v>
      </c>
      <c r="F5275" s="23" t="s">
        <v>307</v>
      </c>
      <c r="G5275" s="23" t="s">
        <v>250</v>
      </c>
      <c r="H5275" s="39">
        <f t="shared" si="328"/>
        <v>3798</v>
      </c>
      <c r="I5275" s="23" t="str">
        <f t="shared" si="329"/>
        <v>Jaipur</v>
      </c>
      <c r="J5275" s="23">
        <f>COUNTIFS(pg_transaction_cleaned!$O:$O,A5275,pg_transaction_cleaned!$F:$F,"CAPTURE")</f>
        <v>1</v>
      </c>
      <c r="K5275" s="39">
        <f>SUMIFS(pg_transaction_cleaned!$H:$H,pg_transaction_cleaned!$O:$O,A5275,pg_transaction_cleaned!$F:$F,"CAPTURE")</f>
        <v>3798</v>
      </c>
      <c r="L5275" s="23">
        <f>COUNTIFS(pg_transaction_cleaned!$O:$O,A5275,pg_transaction_cleaned!$F:$F,"REFUND")</f>
        <v>0</v>
      </c>
      <c r="M5275" s="39">
        <f>SUMIFS(pg_transaction_cleaned!$H:$H,pg_transaction_cleaned!$O:$O,A5275,pg_transaction_cleaned!$F:$F,"REFUND")</f>
        <v>0</v>
      </c>
      <c r="N5275" s="23" t="str">
        <f t="shared" si="330"/>
        <v>OK</v>
      </c>
      <c r="O5275" s="24">
        <f t="shared" si="331"/>
        <v>0</v>
      </c>
    </row>
    <row r="5276" spans="1:15" ht="15" customHeight="1" x14ac:dyDescent="0.3">
      <c r="A5276" s="23" t="s">
        <v>10986</v>
      </c>
      <c r="B5276" s="38">
        <v>46295</v>
      </c>
      <c r="C5276" s="23" t="s">
        <v>10987</v>
      </c>
      <c r="D5276" s="23" t="s">
        <v>88</v>
      </c>
      <c r="E5276" s="23" t="s">
        <v>75</v>
      </c>
      <c r="F5276" s="23" t="s">
        <v>271</v>
      </c>
      <c r="G5276" s="23" t="s">
        <v>250</v>
      </c>
      <c r="H5276" s="39">
        <f t="shared" si="328"/>
        <v>2499</v>
      </c>
      <c r="I5276" s="23" t="str">
        <f t="shared" si="329"/>
        <v>Lucknow</v>
      </c>
      <c r="J5276" s="23">
        <f>COUNTIFS(pg_transaction_cleaned!$O:$O,A5276,pg_transaction_cleaned!$F:$F,"CAPTURE")</f>
        <v>1</v>
      </c>
      <c r="K5276" s="39">
        <f>SUMIFS(pg_transaction_cleaned!$H:$H,pg_transaction_cleaned!$O:$O,A5276,pg_transaction_cleaned!$F:$F,"CAPTURE")</f>
        <v>2499</v>
      </c>
      <c r="L5276" s="23">
        <f>COUNTIFS(pg_transaction_cleaned!$O:$O,A5276,pg_transaction_cleaned!$F:$F,"REFUND")</f>
        <v>0</v>
      </c>
      <c r="M5276" s="39">
        <f>SUMIFS(pg_transaction_cleaned!$H:$H,pg_transaction_cleaned!$O:$O,A5276,pg_transaction_cleaned!$F:$F,"REFUND")</f>
        <v>0</v>
      </c>
      <c r="N5276" s="23" t="str">
        <f t="shared" si="330"/>
        <v>OK</v>
      </c>
      <c r="O5276" s="24">
        <f t="shared" si="331"/>
        <v>0</v>
      </c>
    </row>
    <row r="5277" spans="1:15" ht="15" customHeight="1" x14ac:dyDescent="0.3">
      <c r="A5277" s="23" t="s">
        <v>10988</v>
      </c>
      <c r="B5277" s="38">
        <v>46274</v>
      </c>
      <c r="C5277" s="23" t="s">
        <v>10989</v>
      </c>
      <c r="D5277" s="23" t="s">
        <v>92</v>
      </c>
      <c r="E5277" s="23" t="s">
        <v>79</v>
      </c>
      <c r="F5277" s="23" t="s">
        <v>475</v>
      </c>
      <c r="G5277" s="23" t="s">
        <v>250</v>
      </c>
      <c r="H5277" s="39">
        <f t="shared" si="328"/>
        <v>799</v>
      </c>
      <c r="I5277" s="23" t="str">
        <f t="shared" si="329"/>
        <v>Hyderabad</v>
      </c>
      <c r="J5277" s="23">
        <f>COUNTIFS(pg_transaction_cleaned!$O:$O,A5277,pg_transaction_cleaned!$F:$F,"CAPTURE")</f>
        <v>1</v>
      </c>
      <c r="K5277" s="39">
        <f>SUMIFS(pg_transaction_cleaned!$H:$H,pg_transaction_cleaned!$O:$O,A5277,pg_transaction_cleaned!$F:$F,"CAPTURE")</f>
        <v>799</v>
      </c>
      <c r="L5277" s="23">
        <f>COUNTIFS(pg_transaction_cleaned!$O:$O,A5277,pg_transaction_cleaned!$F:$F,"REFUND")</f>
        <v>0</v>
      </c>
      <c r="M5277" s="39">
        <f>SUMIFS(pg_transaction_cleaned!$H:$H,pg_transaction_cleaned!$O:$O,A5277,pg_transaction_cleaned!$F:$F,"REFUND")</f>
        <v>0</v>
      </c>
      <c r="N5277" s="23" t="str">
        <f t="shared" si="330"/>
        <v>OK</v>
      </c>
      <c r="O5277" s="24">
        <f t="shared" si="331"/>
        <v>0</v>
      </c>
    </row>
    <row r="5278" spans="1:15" ht="15" customHeight="1" x14ac:dyDescent="0.3">
      <c r="A5278" s="23" t="s">
        <v>10990</v>
      </c>
      <c r="B5278" s="38">
        <v>46285</v>
      </c>
      <c r="C5278" s="23" t="s">
        <v>1709</v>
      </c>
      <c r="D5278" s="23" t="s">
        <v>93</v>
      </c>
      <c r="E5278" s="23" t="s">
        <v>77</v>
      </c>
      <c r="F5278" s="23" t="s">
        <v>315</v>
      </c>
      <c r="G5278" s="23" t="s">
        <v>365</v>
      </c>
      <c r="H5278" s="39">
        <f t="shared" si="328"/>
        <v>1499</v>
      </c>
      <c r="I5278" s="23" t="str">
        <f t="shared" si="329"/>
        <v>Kolkata</v>
      </c>
      <c r="J5278" s="23">
        <f>COUNTIFS(pg_transaction_cleaned!$O:$O,A5278,pg_transaction_cleaned!$F:$F,"CAPTURE")</f>
        <v>0</v>
      </c>
      <c r="K5278" s="39">
        <f>SUMIFS(pg_transaction_cleaned!$H:$H,pg_transaction_cleaned!$O:$O,A5278,pg_transaction_cleaned!$F:$F,"CAPTURE")</f>
        <v>0</v>
      </c>
      <c r="L5278" s="23">
        <f>COUNTIFS(pg_transaction_cleaned!$O:$O,A5278,pg_transaction_cleaned!$F:$F,"REFUND")</f>
        <v>0</v>
      </c>
      <c r="M5278" s="39">
        <f>SUMIFS(pg_transaction_cleaned!$H:$H,pg_transaction_cleaned!$O:$O,A5278,pg_transaction_cleaned!$F:$F,"REFUND")</f>
        <v>0</v>
      </c>
      <c r="N5278" s="23" t="str">
        <f t="shared" si="330"/>
        <v>OK</v>
      </c>
      <c r="O5278" s="24">
        <f t="shared" si="331"/>
        <v>0</v>
      </c>
    </row>
    <row r="5279" spans="1:15" ht="15" customHeight="1" x14ac:dyDescent="0.3">
      <c r="A5279" s="23" t="s">
        <v>10991</v>
      </c>
      <c r="B5279" s="38">
        <v>46271</v>
      </c>
      <c r="C5279" s="23" t="s">
        <v>5296</v>
      </c>
      <c r="D5279" s="23" t="s">
        <v>92</v>
      </c>
      <c r="E5279" s="23" t="s">
        <v>79</v>
      </c>
      <c r="F5279" s="23" t="s">
        <v>310</v>
      </c>
      <c r="G5279" s="23" t="s">
        <v>250</v>
      </c>
      <c r="H5279" s="39">
        <f t="shared" si="328"/>
        <v>7999</v>
      </c>
      <c r="I5279" s="23" t="str">
        <f t="shared" si="329"/>
        <v>Hyderabad</v>
      </c>
      <c r="J5279" s="23">
        <f>COUNTIFS(pg_transaction_cleaned!$O:$O,A5279,pg_transaction_cleaned!$F:$F,"CAPTURE")</f>
        <v>1</v>
      </c>
      <c r="K5279" s="39">
        <f>SUMIFS(pg_transaction_cleaned!$H:$H,pg_transaction_cleaned!$O:$O,A5279,pg_transaction_cleaned!$F:$F,"CAPTURE")</f>
        <v>7999</v>
      </c>
      <c r="L5279" s="23">
        <f>COUNTIFS(pg_transaction_cleaned!$O:$O,A5279,pg_transaction_cleaned!$F:$F,"REFUND")</f>
        <v>0</v>
      </c>
      <c r="M5279" s="39">
        <f>SUMIFS(pg_transaction_cleaned!$H:$H,pg_transaction_cleaned!$O:$O,A5279,pg_transaction_cleaned!$F:$F,"REFUND")</f>
        <v>0</v>
      </c>
      <c r="N5279" s="23" t="str">
        <f t="shared" si="330"/>
        <v>OK</v>
      </c>
      <c r="O5279" s="24">
        <f t="shared" si="331"/>
        <v>0</v>
      </c>
    </row>
    <row r="5280" spans="1:15" ht="15" customHeight="1" x14ac:dyDescent="0.3">
      <c r="A5280" s="23" t="s">
        <v>10992</v>
      </c>
      <c r="B5280" s="38">
        <v>46280</v>
      </c>
      <c r="C5280" s="23" t="s">
        <v>10993</v>
      </c>
      <c r="D5280" s="23" t="s">
        <v>95</v>
      </c>
      <c r="E5280" s="23" t="s">
        <v>81</v>
      </c>
      <c r="F5280" s="23" t="s">
        <v>340</v>
      </c>
      <c r="G5280" s="23" t="s">
        <v>250</v>
      </c>
      <c r="H5280" s="39">
        <f t="shared" si="328"/>
        <v>6298</v>
      </c>
      <c r="I5280" s="23" t="str">
        <f t="shared" si="329"/>
        <v>Bengaluru</v>
      </c>
      <c r="J5280" s="23">
        <f>COUNTIFS(pg_transaction_cleaned!$O:$O,A5280,pg_transaction_cleaned!$F:$F,"CAPTURE")</f>
        <v>1</v>
      </c>
      <c r="K5280" s="39">
        <f>SUMIFS(pg_transaction_cleaned!$H:$H,pg_transaction_cleaned!$O:$O,A5280,pg_transaction_cleaned!$F:$F,"CAPTURE")</f>
        <v>6298</v>
      </c>
      <c r="L5280" s="23">
        <f>COUNTIFS(pg_transaction_cleaned!$O:$O,A5280,pg_transaction_cleaned!$F:$F,"REFUND")</f>
        <v>0</v>
      </c>
      <c r="M5280" s="39">
        <f>SUMIFS(pg_transaction_cleaned!$H:$H,pg_transaction_cleaned!$O:$O,A5280,pg_transaction_cleaned!$F:$F,"REFUND")</f>
        <v>0</v>
      </c>
      <c r="N5280" s="23" t="str">
        <f t="shared" si="330"/>
        <v>OK</v>
      </c>
      <c r="O5280" s="24">
        <f t="shared" si="331"/>
        <v>0</v>
      </c>
    </row>
    <row r="5281" spans="1:15" ht="15" customHeight="1" x14ac:dyDescent="0.3">
      <c r="A5281" s="23" t="s">
        <v>10994</v>
      </c>
      <c r="B5281" s="38">
        <v>46267</v>
      </c>
      <c r="C5281" s="23" t="s">
        <v>10995</v>
      </c>
      <c r="D5281" s="23" t="s">
        <v>86</v>
      </c>
      <c r="E5281" s="23" t="s">
        <v>77</v>
      </c>
      <c r="F5281" s="23" t="s">
        <v>268</v>
      </c>
      <c r="G5281" s="23" t="s">
        <v>318</v>
      </c>
      <c r="H5281" s="39">
        <f t="shared" si="328"/>
        <v>1299</v>
      </c>
      <c r="I5281" s="23" t="str">
        <f t="shared" si="329"/>
        <v>Delhi</v>
      </c>
      <c r="J5281" s="23">
        <f>COUNTIFS(pg_transaction_cleaned!$O:$O,A5281,pg_transaction_cleaned!$F:$F,"CAPTURE")</f>
        <v>0</v>
      </c>
      <c r="K5281" s="39">
        <f>SUMIFS(pg_transaction_cleaned!$H:$H,pg_transaction_cleaned!$O:$O,A5281,pg_transaction_cleaned!$F:$F,"CAPTURE")</f>
        <v>0</v>
      </c>
      <c r="L5281" s="23">
        <f>COUNTIFS(pg_transaction_cleaned!$O:$O,A5281,pg_transaction_cleaned!$F:$F,"REFUND")</f>
        <v>0</v>
      </c>
      <c r="M5281" s="39">
        <f>SUMIFS(pg_transaction_cleaned!$H:$H,pg_transaction_cleaned!$O:$O,A5281,pg_transaction_cleaned!$F:$F,"REFUND")</f>
        <v>0</v>
      </c>
      <c r="N5281" s="23" t="str">
        <f t="shared" si="330"/>
        <v>OK</v>
      </c>
      <c r="O5281" s="24">
        <f t="shared" si="331"/>
        <v>0</v>
      </c>
    </row>
    <row r="5282" spans="1:15" ht="15" customHeight="1" x14ac:dyDescent="0.3">
      <c r="A5282" s="23" t="s">
        <v>10996</v>
      </c>
      <c r="B5282" s="38">
        <v>46282</v>
      </c>
      <c r="C5282" s="23" t="s">
        <v>10997</v>
      </c>
      <c r="D5282" s="23" t="s">
        <v>89</v>
      </c>
      <c r="E5282" s="23" t="s">
        <v>79</v>
      </c>
      <c r="F5282" s="23" t="s">
        <v>2859</v>
      </c>
      <c r="G5282" s="23" t="s">
        <v>301</v>
      </c>
      <c r="H5282" s="39">
        <f t="shared" si="328"/>
        <v>3147</v>
      </c>
      <c r="I5282" s="23" t="str">
        <f t="shared" si="329"/>
        <v>Jaipur</v>
      </c>
      <c r="J5282" s="23">
        <f>COUNTIFS(pg_transaction_cleaned!$O:$O,A5282,pg_transaction_cleaned!$F:$F,"CAPTURE")</f>
        <v>1</v>
      </c>
      <c r="K5282" s="39">
        <f>SUMIFS(pg_transaction_cleaned!$H:$H,pg_transaction_cleaned!$O:$O,A5282,pg_transaction_cleaned!$F:$F,"CAPTURE")</f>
        <v>3147</v>
      </c>
      <c r="L5282" s="23">
        <f>COUNTIFS(pg_transaction_cleaned!$O:$O,A5282,pg_transaction_cleaned!$F:$F,"REFUND")</f>
        <v>1</v>
      </c>
      <c r="M5282" s="39">
        <f>SUMIFS(pg_transaction_cleaned!$H:$H,pg_transaction_cleaned!$O:$O,A5282,pg_transaction_cleaned!$F:$F,"REFUND")</f>
        <v>3147</v>
      </c>
      <c r="N5282" s="23" t="str">
        <f t="shared" si="330"/>
        <v>OK</v>
      </c>
      <c r="O5282" s="24">
        <f t="shared" si="331"/>
        <v>0</v>
      </c>
    </row>
    <row r="5283" spans="1:15" ht="15" customHeight="1" x14ac:dyDescent="0.3">
      <c r="A5283" s="23" t="s">
        <v>10998</v>
      </c>
      <c r="B5283" s="38">
        <v>46276</v>
      </c>
      <c r="C5283" s="23" t="s">
        <v>10999</v>
      </c>
      <c r="D5283" s="23" t="s">
        <v>86</v>
      </c>
      <c r="E5283" s="23" t="s">
        <v>77</v>
      </c>
      <c r="F5283" s="23" t="s">
        <v>1372</v>
      </c>
      <c r="G5283" s="23" t="s">
        <v>301</v>
      </c>
      <c r="H5283" s="39">
        <f t="shared" si="328"/>
        <v>798</v>
      </c>
      <c r="I5283" s="23" t="str">
        <f t="shared" si="329"/>
        <v>Delhi</v>
      </c>
      <c r="J5283" s="23">
        <f>COUNTIFS(pg_transaction_cleaned!$O:$O,A5283,pg_transaction_cleaned!$F:$F,"CAPTURE")</f>
        <v>1</v>
      </c>
      <c r="K5283" s="39">
        <f>SUMIFS(pg_transaction_cleaned!$H:$H,pg_transaction_cleaned!$O:$O,A5283,pg_transaction_cleaned!$F:$F,"CAPTURE")</f>
        <v>798</v>
      </c>
      <c r="L5283" s="23">
        <f>COUNTIFS(pg_transaction_cleaned!$O:$O,A5283,pg_transaction_cleaned!$F:$F,"REFUND")</f>
        <v>1</v>
      </c>
      <c r="M5283" s="39">
        <f>SUMIFS(pg_transaction_cleaned!$H:$H,pg_transaction_cleaned!$O:$O,A5283,pg_transaction_cleaned!$F:$F,"REFUND")</f>
        <v>798</v>
      </c>
      <c r="N5283" s="23" t="str">
        <f t="shared" si="330"/>
        <v>OK</v>
      </c>
      <c r="O5283" s="24">
        <f t="shared" si="331"/>
        <v>0</v>
      </c>
    </row>
    <row r="5284" spans="1:15" ht="15" customHeight="1" x14ac:dyDescent="0.3">
      <c r="A5284" s="23" t="s">
        <v>11000</v>
      </c>
      <c r="B5284" s="38">
        <v>46285</v>
      </c>
      <c r="C5284" s="23" t="s">
        <v>11001</v>
      </c>
      <c r="D5284" s="23" t="s">
        <v>89</v>
      </c>
      <c r="E5284" s="23" t="s">
        <v>75</v>
      </c>
      <c r="F5284" s="23" t="s">
        <v>423</v>
      </c>
      <c r="G5284" s="23" t="s">
        <v>250</v>
      </c>
      <c r="H5284" s="39">
        <f t="shared" si="328"/>
        <v>1648</v>
      </c>
      <c r="I5284" s="23" t="str">
        <f t="shared" si="329"/>
        <v>Jaipur</v>
      </c>
      <c r="J5284" s="23">
        <f>COUNTIFS(pg_transaction_cleaned!$O:$O,A5284,pg_transaction_cleaned!$F:$F,"CAPTURE")</f>
        <v>1</v>
      </c>
      <c r="K5284" s="39">
        <f>SUMIFS(pg_transaction_cleaned!$H:$H,pg_transaction_cleaned!$O:$O,A5284,pg_transaction_cleaned!$F:$F,"CAPTURE")</f>
        <v>1648</v>
      </c>
      <c r="L5284" s="23">
        <f>COUNTIFS(pg_transaction_cleaned!$O:$O,A5284,pg_transaction_cleaned!$F:$F,"REFUND")</f>
        <v>0</v>
      </c>
      <c r="M5284" s="39">
        <f>SUMIFS(pg_transaction_cleaned!$H:$H,pg_transaction_cleaned!$O:$O,A5284,pg_transaction_cleaned!$F:$F,"REFUND")</f>
        <v>0</v>
      </c>
      <c r="N5284" s="23" t="str">
        <f t="shared" si="330"/>
        <v>OK</v>
      </c>
      <c r="O5284" s="24">
        <f t="shared" si="331"/>
        <v>0</v>
      </c>
    </row>
    <row r="5285" spans="1:15" ht="15" customHeight="1" x14ac:dyDescent="0.3">
      <c r="A5285" s="23" t="s">
        <v>11002</v>
      </c>
      <c r="B5285" s="38">
        <v>46278</v>
      </c>
      <c r="C5285" s="23" t="s">
        <v>11003</v>
      </c>
      <c r="D5285" s="23" t="s">
        <v>92</v>
      </c>
      <c r="E5285" s="23" t="s">
        <v>79</v>
      </c>
      <c r="F5285" s="23" t="s">
        <v>4621</v>
      </c>
      <c r="G5285" s="23" t="s">
        <v>250</v>
      </c>
      <c r="H5285" s="39">
        <f t="shared" si="328"/>
        <v>5298</v>
      </c>
      <c r="I5285" s="23" t="str">
        <f t="shared" si="329"/>
        <v>Hyderabad</v>
      </c>
      <c r="J5285" s="23">
        <f>COUNTIFS(pg_transaction_cleaned!$O:$O,A5285,pg_transaction_cleaned!$F:$F,"CAPTURE")</f>
        <v>1</v>
      </c>
      <c r="K5285" s="39">
        <f>SUMIFS(pg_transaction_cleaned!$H:$H,pg_transaction_cleaned!$O:$O,A5285,pg_transaction_cleaned!$F:$F,"CAPTURE")</f>
        <v>5298</v>
      </c>
      <c r="L5285" s="23">
        <f>COUNTIFS(pg_transaction_cleaned!$O:$O,A5285,pg_transaction_cleaned!$F:$F,"REFUND")</f>
        <v>0</v>
      </c>
      <c r="M5285" s="39">
        <f>SUMIFS(pg_transaction_cleaned!$H:$H,pg_transaction_cleaned!$O:$O,A5285,pg_transaction_cleaned!$F:$F,"REFUND")</f>
        <v>0</v>
      </c>
      <c r="N5285" s="23" t="str">
        <f t="shared" si="330"/>
        <v>OK</v>
      </c>
      <c r="O5285" s="24">
        <f t="shared" si="331"/>
        <v>0</v>
      </c>
    </row>
    <row r="5286" spans="1:15" ht="15" customHeight="1" x14ac:dyDescent="0.3">
      <c r="A5286" s="23" t="s">
        <v>11004</v>
      </c>
      <c r="B5286" s="38">
        <v>46291</v>
      </c>
      <c r="C5286" s="23" t="s">
        <v>11005</v>
      </c>
      <c r="D5286" s="23" t="s">
        <v>93</v>
      </c>
      <c r="E5286" s="23" t="s">
        <v>77</v>
      </c>
      <c r="F5286" s="23" t="s">
        <v>288</v>
      </c>
      <c r="G5286" s="23" t="s">
        <v>365</v>
      </c>
      <c r="H5286" s="39">
        <f t="shared" si="328"/>
        <v>4298</v>
      </c>
      <c r="I5286" s="23" t="str">
        <f t="shared" si="329"/>
        <v>Kolkata</v>
      </c>
      <c r="J5286" s="23">
        <f>COUNTIFS(pg_transaction_cleaned!$O:$O,A5286,pg_transaction_cleaned!$F:$F,"CAPTURE")</f>
        <v>0</v>
      </c>
      <c r="K5286" s="39">
        <f>SUMIFS(pg_transaction_cleaned!$H:$H,pg_transaction_cleaned!$O:$O,A5286,pg_transaction_cleaned!$F:$F,"CAPTURE")</f>
        <v>0</v>
      </c>
      <c r="L5286" s="23">
        <f>COUNTIFS(pg_transaction_cleaned!$O:$O,A5286,pg_transaction_cleaned!$F:$F,"REFUND")</f>
        <v>0</v>
      </c>
      <c r="M5286" s="39">
        <f>SUMIFS(pg_transaction_cleaned!$H:$H,pg_transaction_cleaned!$O:$O,A5286,pg_transaction_cleaned!$F:$F,"REFUND")</f>
        <v>0</v>
      </c>
      <c r="N5286" s="23" t="str">
        <f t="shared" si="330"/>
        <v>OK</v>
      </c>
      <c r="O5286" s="24">
        <f t="shared" si="331"/>
        <v>0</v>
      </c>
    </row>
    <row r="5287" spans="1:15" ht="15" customHeight="1" x14ac:dyDescent="0.3">
      <c r="A5287" s="23" t="s">
        <v>11006</v>
      </c>
      <c r="B5287" s="38">
        <v>46281</v>
      </c>
      <c r="C5287" s="23" t="s">
        <v>11007</v>
      </c>
      <c r="D5287" s="23" t="s">
        <v>90</v>
      </c>
      <c r="E5287" s="23" t="s">
        <v>75</v>
      </c>
      <c r="F5287" s="23" t="s">
        <v>999</v>
      </c>
      <c r="G5287" s="23" t="s">
        <v>250</v>
      </c>
      <c r="H5287" s="39">
        <f t="shared" si="328"/>
        <v>1947</v>
      </c>
      <c r="I5287" s="23" t="str">
        <f t="shared" si="329"/>
        <v>Ahmedabad</v>
      </c>
      <c r="J5287" s="23">
        <f>COUNTIFS(pg_transaction_cleaned!$O:$O,A5287,pg_transaction_cleaned!$F:$F,"CAPTURE")</f>
        <v>1</v>
      </c>
      <c r="K5287" s="39">
        <f>SUMIFS(pg_transaction_cleaned!$H:$H,pg_transaction_cleaned!$O:$O,A5287,pg_transaction_cleaned!$F:$F,"CAPTURE")</f>
        <v>1947</v>
      </c>
      <c r="L5287" s="23">
        <f>COUNTIFS(pg_transaction_cleaned!$O:$O,A5287,pg_transaction_cleaned!$F:$F,"REFUND")</f>
        <v>0</v>
      </c>
      <c r="M5287" s="39">
        <f>SUMIFS(pg_transaction_cleaned!$H:$H,pg_transaction_cleaned!$O:$O,A5287,pg_transaction_cleaned!$F:$F,"REFUND")</f>
        <v>0</v>
      </c>
      <c r="N5287" s="23" t="str">
        <f t="shared" si="330"/>
        <v>OK</v>
      </c>
      <c r="O5287" s="24">
        <f t="shared" si="331"/>
        <v>0</v>
      </c>
    </row>
    <row r="5288" spans="1:15" ht="15" customHeight="1" x14ac:dyDescent="0.3">
      <c r="A5288" s="23" t="s">
        <v>11008</v>
      </c>
      <c r="B5288" s="38">
        <v>46292</v>
      </c>
      <c r="C5288" s="23" t="s">
        <v>11009</v>
      </c>
      <c r="D5288" s="23" t="s">
        <v>86</v>
      </c>
      <c r="E5288" s="23" t="s">
        <v>75</v>
      </c>
      <c r="F5288" s="23" t="s">
        <v>2012</v>
      </c>
      <c r="G5288" s="23" t="s">
        <v>250</v>
      </c>
      <c r="H5288" s="39">
        <f t="shared" si="328"/>
        <v>1597</v>
      </c>
      <c r="I5288" s="23" t="str">
        <f t="shared" si="329"/>
        <v>Delhi</v>
      </c>
      <c r="J5288" s="23">
        <f>COUNTIFS(pg_transaction_cleaned!$O:$O,A5288,pg_transaction_cleaned!$F:$F,"CAPTURE")</f>
        <v>1</v>
      </c>
      <c r="K5288" s="39">
        <f>SUMIFS(pg_transaction_cleaned!$H:$H,pg_transaction_cleaned!$O:$O,A5288,pg_transaction_cleaned!$F:$F,"CAPTURE")</f>
        <v>1597</v>
      </c>
      <c r="L5288" s="23">
        <f>COUNTIFS(pg_transaction_cleaned!$O:$O,A5288,pg_transaction_cleaned!$F:$F,"REFUND")</f>
        <v>0</v>
      </c>
      <c r="M5288" s="39">
        <f>SUMIFS(pg_transaction_cleaned!$H:$H,pg_transaction_cleaned!$O:$O,A5288,pg_transaction_cleaned!$F:$F,"REFUND")</f>
        <v>0</v>
      </c>
      <c r="N5288" s="23" t="str">
        <f t="shared" si="330"/>
        <v>OK</v>
      </c>
      <c r="O5288" s="24">
        <f t="shared" si="331"/>
        <v>0</v>
      </c>
    </row>
    <row r="5289" spans="1:15" ht="15" customHeight="1" x14ac:dyDescent="0.3">
      <c r="A5289" s="23" t="s">
        <v>11010</v>
      </c>
      <c r="B5289" s="38">
        <v>46272</v>
      </c>
      <c r="C5289" s="23" t="s">
        <v>11011</v>
      </c>
      <c r="D5289" s="23" t="s">
        <v>86</v>
      </c>
      <c r="E5289" s="23" t="s">
        <v>75</v>
      </c>
      <c r="F5289" s="23" t="s">
        <v>291</v>
      </c>
      <c r="G5289" s="23" t="s">
        <v>318</v>
      </c>
      <c r="H5289" s="39">
        <f t="shared" si="328"/>
        <v>3499</v>
      </c>
      <c r="I5289" s="23" t="str">
        <f t="shared" si="329"/>
        <v>Delhi</v>
      </c>
      <c r="J5289" s="23">
        <f>COUNTIFS(pg_transaction_cleaned!$O:$O,A5289,pg_transaction_cleaned!$F:$F,"CAPTURE")</f>
        <v>0</v>
      </c>
      <c r="K5289" s="39">
        <f>SUMIFS(pg_transaction_cleaned!$H:$H,pg_transaction_cleaned!$O:$O,A5289,pg_transaction_cleaned!$F:$F,"CAPTURE")</f>
        <v>0</v>
      </c>
      <c r="L5289" s="23">
        <f>COUNTIFS(pg_transaction_cleaned!$O:$O,A5289,pg_transaction_cleaned!$F:$F,"REFUND")</f>
        <v>0</v>
      </c>
      <c r="M5289" s="39">
        <f>SUMIFS(pg_transaction_cleaned!$H:$H,pg_transaction_cleaned!$O:$O,A5289,pg_transaction_cleaned!$F:$F,"REFUND")</f>
        <v>0</v>
      </c>
      <c r="N5289" s="23" t="str">
        <f t="shared" si="330"/>
        <v>OK</v>
      </c>
      <c r="O5289" s="24">
        <f t="shared" si="331"/>
        <v>0</v>
      </c>
    </row>
    <row r="5290" spans="1:15" ht="15" customHeight="1" x14ac:dyDescent="0.3">
      <c r="A5290" s="23" t="s">
        <v>11012</v>
      </c>
      <c r="B5290" s="38">
        <v>46272</v>
      </c>
      <c r="C5290" s="23" t="s">
        <v>11013</v>
      </c>
      <c r="D5290" s="23" t="s">
        <v>87</v>
      </c>
      <c r="E5290" s="23" t="s">
        <v>79</v>
      </c>
      <c r="F5290" s="23" t="s">
        <v>262</v>
      </c>
      <c r="G5290" s="23" t="s">
        <v>250</v>
      </c>
      <c r="H5290" s="39">
        <f t="shared" si="328"/>
        <v>499</v>
      </c>
      <c r="I5290" s="23" t="str">
        <f t="shared" si="329"/>
        <v>Mumbai</v>
      </c>
      <c r="J5290" s="23">
        <f>COUNTIFS(pg_transaction_cleaned!$O:$O,A5290,pg_transaction_cleaned!$F:$F,"CAPTURE")</f>
        <v>1</v>
      </c>
      <c r="K5290" s="39">
        <f>SUMIFS(pg_transaction_cleaned!$H:$H,pg_transaction_cleaned!$O:$O,A5290,pg_transaction_cleaned!$F:$F,"CAPTURE")</f>
        <v>499</v>
      </c>
      <c r="L5290" s="23">
        <f>COUNTIFS(pg_transaction_cleaned!$O:$O,A5290,pg_transaction_cleaned!$F:$F,"REFUND")</f>
        <v>0</v>
      </c>
      <c r="M5290" s="39">
        <f>SUMIFS(pg_transaction_cleaned!$H:$H,pg_transaction_cleaned!$O:$O,A5290,pg_transaction_cleaned!$F:$F,"REFUND")</f>
        <v>0</v>
      </c>
      <c r="N5290" s="23" t="str">
        <f t="shared" si="330"/>
        <v>OK</v>
      </c>
      <c r="O5290" s="24">
        <f t="shared" si="331"/>
        <v>0</v>
      </c>
    </row>
    <row r="5291" spans="1:15" ht="15" customHeight="1" x14ac:dyDescent="0.3">
      <c r="A5291" s="23" t="s">
        <v>11014</v>
      </c>
      <c r="B5291" s="38">
        <v>46282</v>
      </c>
      <c r="C5291" s="23" t="s">
        <v>11015</v>
      </c>
      <c r="D5291" s="23" t="s">
        <v>88</v>
      </c>
      <c r="E5291" s="23" t="s">
        <v>81</v>
      </c>
      <c r="F5291" s="23" t="s">
        <v>291</v>
      </c>
      <c r="G5291" s="23" t="s">
        <v>250</v>
      </c>
      <c r="H5291" s="39">
        <f t="shared" si="328"/>
        <v>3499</v>
      </c>
      <c r="I5291" s="23" t="str">
        <f t="shared" si="329"/>
        <v>Lucknow</v>
      </c>
      <c r="J5291" s="23">
        <f>COUNTIFS(pg_transaction_cleaned!$O:$O,A5291,pg_transaction_cleaned!$F:$F,"CAPTURE")</f>
        <v>1</v>
      </c>
      <c r="K5291" s="39">
        <f>SUMIFS(pg_transaction_cleaned!$H:$H,pg_transaction_cleaned!$O:$O,A5291,pg_transaction_cleaned!$F:$F,"CAPTURE")</f>
        <v>3499</v>
      </c>
      <c r="L5291" s="23">
        <f>COUNTIFS(pg_transaction_cleaned!$O:$O,A5291,pg_transaction_cleaned!$F:$F,"REFUND")</f>
        <v>0</v>
      </c>
      <c r="M5291" s="39">
        <f>SUMIFS(pg_transaction_cleaned!$H:$H,pg_transaction_cleaned!$O:$O,A5291,pg_transaction_cleaned!$F:$F,"REFUND")</f>
        <v>0</v>
      </c>
      <c r="N5291" s="23" t="str">
        <f t="shared" si="330"/>
        <v>OK</v>
      </c>
      <c r="O5291" s="24">
        <f t="shared" si="331"/>
        <v>0</v>
      </c>
    </row>
    <row r="5292" spans="1:15" ht="15" customHeight="1" x14ac:dyDescent="0.3">
      <c r="A5292" s="23" t="s">
        <v>11016</v>
      </c>
      <c r="B5292" s="38">
        <v>46278</v>
      </c>
      <c r="C5292" s="23" t="s">
        <v>11017</v>
      </c>
      <c r="D5292" s="23" t="s">
        <v>94</v>
      </c>
      <c r="E5292" s="23" t="s">
        <v>75</v>
      </c>
      <c r="F5292" s="23" t="s">
        <v>315</v>
      </c>
      <c r="G5292" s="23" t="s">
        <v>250</v>
      </c>
      <c r="H5292" s="39">
        <f t="shared" si="328"/>
        <v>1499</v>
      </c>
      <c r="I5292" s="23" t="str">
        <f t="shared" si="329"/>
        <v>Chennai</v>
      </c>
      <c r="J5292" s="23">
        <f>COUNTIFS(pg_transaction_cleaned!$O:$O,A5292,pg_transaction_cleaned!$F:$F,"CAPTURE")</f>
        <v>1</v>
      </c>
      <c r="K5292" s="39">
        <f>SUMIFS(pg_transaction_cleaned!$H:$H,pg_transaction_cleaned!$O:$O,A5292,pg_transaction_cleaned!$F:$F,"CAPTURE")</f>
        <v>1499</v>
      </c>
      <c r="L5292" s="23">
        <f>COUNTIFS(pg_transaction_cleaned!$O:$O,A5292,pg_transaction_cleaned!$F:$F,"REFUND")</f>
        <v>0</v>
      </c>
      <c r="M5292" s="39">
        <f>SUMIFS(pg_transaction_cleaned!$H:$H,pg_transaction_cleaned!$O:$O,A5292,pg_transaction_cleaned!$F:$F,"REFUND")</f>
        <v>0</v>
      </c>
      <c r="N5292" s="23" t="str">
        <f t="shared" si="330"/>
        <v>OK</v>
      </c>
      <c r="O5292" s="24">
        <f t="shared" si="331"/>
        <v>0</v>
      </c>
    </row>
    <row r="5293" spans="1:15" ht="15" customHeight="1" x14ac:dyDescent="0.3">
      <c r="A5293" s="23" t="s">
        <v>11018</v>
      </c>
      <c r="B5293" s="38">
        <v>46290</v>
      </c>
      <c r="C5293" s="23" t="s">
        <v>11019</v>
      </c>
      <c r="D5293" s="23" t="s">
        <v>94</v>
      </c>
      <c r="E5293" s="23" t="s">
        <v>77</v>
      </c>
      <c r="F5293" s="23" t="s">
        <v>249</v>
      </c>
      <c r="G5293" s="23" t="s">
        <v>250</v>
      </c>
      <c r="H5293" s="39">
        <f t="shared" si="328"/>
        <v>299</v>
      </c>
      <c r="I5293" s="23" t="str">
        <f t="shared" si="329"/>
        <v>Chennai</v>
      </c>
      <c r="J5293" s="23">
        <f>COUNTIFS(pg_transaction_cleaned!$O:$O,A5293,pg_transaction_cleaned!$F:$F,"CAPTURE")</f>
        <v>1</v>
      </c>
      <c r="K5293" s="39">
        <f>SUMIFS(pg_transaction_cleaned!$H:$H,pg_transaction_cleaned!$O:$O,A5293,pg_transaction_cleaned!$F:$F,"CAPTURE")</f>
        <v>299</v>
      </c>
      <c r="L5293" s="23">
        <f>COUNTIFS(pg_transaction_cleaned!$O:$O,A5293,pg_transaction_cleaned!$F:$F,"REFUND")</f>
        <v>0</v>
      </c>
      <c r="M5293" s="39">
        <f>SUMIFS(pg_transaction_cleaned!$H:$H,pg_transaction_cleaned!$O:$O,A5293,pg_transaction_cleaned!$F:$F,"REFUND")</f>
        <v>0</v>
      </c>
      <c r="N5293" s="23" t="str">
        <f t="shared" si="330"/>
        <v>OK</v>
      </c>
      <c r="O5293" s="24">
        <f t="shared" si="331"/>
        <v>0</v>
      </c>
    </row>
    <row r="5294" spans="1:15" ht="15" customHeight="1" x14ac:dyDescent="0.3">
      <c r="A5294" s="23" t="s">
        <v>11020</v>
      </c>
      <c r="B5294" s="38">
        <v>46272</v>
      </c>
      <c r="C5294" s="23" t="s">
        <v>11021</v>
      </c>
      <c r="D5294" s="23"/>
      <c r="E5294" s="23" t="s">
        <v>75</v>
      </c>
      <c r="F5294" s="23" t="s">
        <v>329</v>
      </c>
      <c r="G5294" s="23" t="s">
        <v>250</v>
      </c>
      <c r="H5294" s="39">
        <f t="shared" si="328"/>
        <v>599</v>
      </c>
      <c r="I5294" s="23" t="str">
        <f t="shared" si="329"/>
        <v>Unknown</v>
      </c>
      <c r="J5294" s="23">
        <f>COUNTIFS(pg_transaction_cleaned!$O:$O,A5294,pg_transaction_cleaned!$F:$F,"CAPTURE")</f>
        <v>1</v>
      </c>
      <c r="K5294" s="39">
        <f>SUMIFS(pg_transaction_cleaned!$H:$H,pg_transaction_cleaned!$O:$O,A5294,pg_transaction_cleaned!$F:$F,"CAPTURE")</f>
        <v>599</v>
      </c>
      <c r="L5294" s="23">
        <f>COUNTIFS(pg_transaction_cleaned!$O:$O,A5294,pg_transaction_cleaned!$F:$F,"REFUND")</f>
        <v>0</v>
      </c>
      <c r="M5294" s="39">
        <f>SUMIFS(pg_transaction_cleaned!$H:$H,pg_transaction_cleaned!$O:$O,A5294,pg_transaction_cleaned!$F:$F,"REFUND")</f>
        <v>0</v>
      </c>
      <c r="N5294" s="23" t="str">
        <f t="shared" si="330"/>
        <v>OK</v>
      </c>
      <c r="O5294" s="24">
        <f t="shared" si="331"/>
        <v>0</v>
      </c>
    </row>
    <row r="5295" spans="1:15" ht="15" customHeight="1" x14ac:dyDescent="0.3">
      <c r="A5295" s="23" t="s">
        <v>11022</v>
      </c>
      <c r="B5295" s="38">
        <v>46266</v>
      </c>
      <c r="C5295" s="23" t="s">
        <v>11023</v>
      </c>
      <c r="D5295" s="23" t="s">
        <v>86</v>
      </c>
      <c r="E5295" s="23" t="s">
        <v>79</v>
      </c>
      <c r="F5295" s="23" t="s">
        <v>271</v>
      </c>
      <c r="G5295" s="23" t="s">
        <v>301</v>
      </c>
      <c r="H5295" s="39">
        <f t="shared" si="328"/>
        <v>2499</v>
      </c>
      <c r="I5295" s="23" t="str">
        <f t="shared" si="329"/>
        <v>Delhi</v>
      </c>
      <c r="J5295" s="23">
        <f>COUNTIFS(pg_transaction_cleaned!$O:$O,A5295,pg_transaction_cleaned!$F:$F,"CAPTURE")</f>
        <v>1</v>
      </c>
      <c r="K5295" s="39">
        <f>SUMIFS(pg_transaction_cleaned!$H:$H,pg_transaction_cleaned!$O:$O,A5295,pg_transaction_cleaned!$F:$F,"CAPTURE")</f>
        <v>2499</v>
      </c>
      <c r="L5295" s="23">
        <f>COUNTIFS(pg_transaction_cleaned!$O:$O,A5295,pg_transaction_cleaned!$F:$F,"REFUND")</f>
        <v>1</v>
      </c>
      <c r="M5295" s="39">
        <f>SUMIFS(pg_transaction_cleaned!$H:$H,pg_transaction_cleaned!$O:$O,A5295,pg_transaction_cleaned!$F:$F,"REFUND")</f>
        <v>2499</v>
      </c>
      <c r="N5295" s="23" t="str">
        <f t="shared" si="330"/>
        <v>OK</v>
      </c>
      <c r="O5295" s="24">
        <f t="shared" si="331"/>
        <v>0</v>
      </c>
    </row>
    <row r="5296" spans="1:15" ht="15" customHeight="1" x14ac:dyDescent="0.3">
      <c r="A5296" s="23" t="s">
        <v>11024</v>
      </c>
      <c r="B5296" s="38">
        <v>46273</v>
      </c>
      <c r="C5296" s="23" t="s">
        <v>1903</v>
      </c>
      <c r="D5296" s="23" t="s">
        <v>88</v>
      </c>
      <c r="E5296" s="23" t="s">
        <v>79</v>
      </c>
      <c r="F5296" s="23" t="s">
        <v>262</v>
      </c>
      <c r="G5296" s="23" t="s">
        <v>250</v>
      </c>
      <c r="H5296" s="39">
        <f t="shared" si="328"/>
        <v>499</v>
      </c>
      <c r="I5296" s="23" t="str">
        <f t="shared" si="329"/>
        <v>Lucknow</v>
      </c>
      <c r="J5296" s="23">
        <f>COUNTIFS(pg_transaction_cleaned!$O:$O,A5296,pg_transaction_cleaned!$F:$F,"CAPTURE")</f>
        <v>1</v>
      </c>
      <c r="K5296" s="39">
        <f>SUMIFS(pg_transaction_cleaned!$H:$H,pg_transaction_cleaned!$O:$O,A5296,pg_transaction_cleaned!$F:$F,"CAPTURE")</f>
        <v>499</v>
      </c>
      <c r="L5296" s="23">
        <f>COUNTIFS(pg_transaction_cleaned!$O:$O,A5296,pg_transaction_cleaned!$F:$F,"REFUND")</f>
        <v>0</v>
      </c>
      <c r="M5296" s="39">
        <f>SUMIFS(pg_transaction_cleaned!$H:$H,pg_transaction_cleaned!$O:$O,A5296,pg_transaction_cleaned!$F:$F,"REFUND")</f>
        <v>0</v>
      </c>
      <c r="N5296" s="23" t="str">
        <f t="shared" si="330"/>
        <v>OK</v>
      </c>
      <c r="O5296" s="24">
        <f t="shared" si="331"/>
        <v>0</v>
      </c>
    </row>
    <row r="5297" spans="1:15" ht="15" customHeight="1" x14ac:dyDescent="0.3">
      <c r="A5297" s="23" t="s">
        <v>11025</v>
      </c>
      <c r="B5297" s="38">
        <v>46268</v>
      </c>
      <c r="C5297" s="23" t="s">
        <v>11026</v>
      </c>
      <c r="D5297" s="23" t="s">
        <v>91</v>
      </c>
      <c r="E5297" s="23" t="s">
        <v>75</v>
      </c>
      <c r="F5297" s="23" t="s">
        <v>271</v>
      </c>
      <c r="G5297" s="23" t="s">
        <v>250</v>
      </c>
      <c r="H5297" s="39">
        <f t="shared" si="328"/>
        <v>2499</v>
      </c>
      <c r="I5297" s="23" t="str">
        <f t="shared" si="329"/>
        <v>Pune</v>
      </c>
      <c r="J5297" s="23">
        <f>COUNTIFS(pg_transaction_cleaned!$O:$O,A5297,pg_transaction_cleaned!$F:$F,"CAPTURE")</f>
        <v>1</v>
      </c>
      <c r="K5297" s="39">
        <f>SUMIFS(pg_transaction_cleaned!$H:$H,pg_transaction_cleaned!$O:$O,A5297,pg_transaction_cleaned!$F:$F,"CAPTURE")</f>
        <v>2499</v>
      </c>
      <c r="L5297" s="23">
        <f>COUNTIFS(pg_transaction_cleaned!$O:$O,A5297,pg_transaction_cleaned!$F:$F,"REFUND")</f>
        <v>0</v>
      </c>
      <c r="M5297" s="39">
        <f>SUMIFS(pg_transaction_cleaned!$H:$H,pg_transaction_cleaned!$O:$O,A5297,pg_transaction_cleaned!$F:$F,"REFUND")</f>
        <v>0</v>
      </c>
      <c r="N5297" s="23" t="str">
        <f t="shared" si="330"/>
        <v>OK</v>
      </c>
      <c r="O5297" s="24">
        <f t="shared" si="331"/>
        <v>0</v>
      </c>
    </row>
    <row r="5298" spans="1:15" ht="15" customHeight="1" x14ac:dyDescent="0.3">
      <c r="A5298" s="23" t="s">
        <v>11027</v>
      </c>
      <c r="B5298" s="38">
        <v>46291</v>
      </c>
      <c r="C5298" s="23" t="s">
        <v>11028</v>
      </c>
      <c r="D5298" s="23" t="s">
        <v>89</v>
      </c>
      <c r="E5298" s="23" t="s">
        <v>75</v>
      </c>
      <c r="F5298" s="23" t="s">
        <v>291</v>
      </c>
      <c r="G5298" s="23" t="s">
        <v>250</v>
      </c>
      <c r="H5298" s="39">
        <f t="shared" si="328"/>
        <v>3499</v>
      </c>
      <c r="I5298" s="23" t="str">
        <f t="shared" si="329"/>
        <v>Jaipur</v>
      </c>
      <c r="J5298" s="23">
        <f>COUNTIFS(pg_transaction_cleaned!$O:$O,A5298,pg_transaction_cleaned!$F:$F,"CAPTURE")</f>
        <v>1</v>
      </c>
      <c r="K5298" s="39">
        <f>SUMIFS(pg_transaction_cleaned!$H:$H,pg_transaction_cleaned!$O:$O,A5298,pg_transaction_cleaned!$F:$F,"CAPTURE")</f>
        <v>3499</v>
      </c>
      <c r="L5298" s="23">
        <f>COUNTIFS(pg_transaction_cleaned!$O:$O,A5298,pg_transaction_cleaned!$F:$F,"REFUND")</f>
        <v>0</v>
      </c>
      <c r="M5298" s="39">
        <f>SUMIFS(pg_transaction_cleaned!$H:$H,pg_transaction_cleaned!$O:$O,A5298,pg_transaction_cleaned!$F:$F,"REFUND")</f>
        <v>0</v>
      </c>
      <c r="N5298" s="23" t="str">
        <f t="shared" si="330"/>
        <v>OK</v>
      </c>
      <c r="O5298" s="24">
        <f t="shared" si="331"/>
        <v>0</v>
      </c>
    </row>
    <row r="5299" spans="1:15" ht="15" customHeight="1" x14ac:dyDescent="0.3">
      <c r="A5299" s="23" t="s">
        <v>11029</v>
      </c>
      <c r="B5299" s="38">
        <v>46295</v>
      </c>
      <c r="C5299" s="23" t="s">
        <v>11030</v>
      </c>
      <c r="D5299" s="23" t="s">
        <v>90</v>
      </c>
      <c r="E5299" s="23" t="s">
        <v>77</v>
      </c>
      <c r="F5299" s="23" t="s">
        <v>963</v>
      </c>
      <c r="G5299" s="23" t="s">
        <v>250</v>
      </c>
      <c r="H5299" s="39">
        <f t="shared" si="328"/>
        <v>2398</v>
      </c>
      <c r="I5299" s="23" t="str">
        <f t="shared" si="329"/>
        <v>Ahmedabad</v>
      </c>
      <c r="J5299" s="23">
        <f>COUNTIFS(pg_transaction_cleaned!$O:$O,A5299,pg_transaction_cleaned!$F:$F,"CAPTURE")</f>
        <v>1</v>
      </c>
      <c r="K5299" s="39">
        <f>SUMIFS(pg_transaction_cleaned!$H:$H,pg_transaction_cleaned!$O:$O,A5299,pg_transaction_cleaned!$F:$F,"CAPTURE")</f>
        <v>2398</v>
      </c>
      <c r="L5299" s="23">
        <f>COUNTIFS(pg_transaction_cleaned!$O:$O,A5299,pg_transaction_cleaned!$F:$F,"REFUND")</f>
        <v>0</v>
      </c>
      <c r="M5299" s="39">
        <f>SUMIFS(pg_transaction_cleaned!$H:$H,pg_transaction_cleaned!$O:$O,A5299,pg_transaction_cleaned!$F:$F,"REFUND")</f>
        <v>0</v>
      </c>
      <c r="N5299" s="23" t="str">
        <f t="shared" si="330"/>
        <v>OK</v>
      </c>
      <c r="O5299" s="24">
        <f t="shared" si="331"/>
        <v>0</v>
      </c>
    </row>
    <row r="5300" spans="1:15" ht="15" customHeight="1" x14ac:dyDescent="0.3">
      <c r="A5300" s="23" t="s">
        <v>11031</v>
      </c>
      <c r="B5300" s="38">
        <v>46294</v>
      </c>
      <c r="C5300" s="23" t="s">
        <v>11032</v>
      </c>
      <c r="D5300" s="23" t="s">
        <v>87</v>
      </c>
      <c r="E5300" s="23" t="s">
        <v>79</v>
      </c>
      <c r="F5300" s="23" t="s">
        <v>1495</v>
      </c>
      <c r="G5300" s="23" t="s">
        <v>250</v>
      </c>
      <c r="H5300" s="39">
        <f t="shared" si="328"/>
        <v>7498</v>
      </c>
      <c r="I5300" s="23" t="str">
        <f t="shared" si="329"/>
        <v>Mumbai</v>
      </c>
      <c r="J5300" s="23">
        <f>COUNTIFS(pg_transaction_cleaned!$O:$O,A5300,pg_transaction_cleaned!$F:$F,"CAPTURE")</f>
        <v>1</v>
      </c>
      <c r="K5300" s="39">
        <f>SUMIFS(pg_transaction_cleaned!$H:$H,pg_transaction_cleaned!$O:$O,A5300,pg_transaction_cleaned!$F:$F,"CAPTURE")</f>
        <v>7498</v>
      </c>
      <c r="L5300" s="23">
        <f>COUNTIFS(pg_transaction_cleaned!$O:$O,A5300,pg_transaction_cleaned!$F:$F,"REFUND")</f>
        <v>0</v>
      </c>
      <c r="M5300" s="39">
        <f>SUMIFS(pg_transaction_cleaned!$H:$H,pg_transaction_cleaned!$O:$O,A5300,pg_transaction_cleaned!$F:$F,"REFUND")</f>
        <v>0</v>
      </c>
      <c r="N5300" s="23" t="str">
        <f t="shared" si="330"/>
        <v>OK</v>
      </c>
      <c r="O5300" s="24">
        <f t="shared" si="331"/>
        <v>0</v>
      </c>
    </row>
    <row r="5301" spans="1:15" ht="15" customHeight="1" x14ac:dyDescent="0.3">
      <c r="A5301" s="23" t="s">
        <v>11033</v>
      </c>
      <c r="B5301" s="38">
        <v>46290</v>
      </c>
      <c r="C5301" s="23" t="s">
        <v>11034</v>
      </c>
      <c r="D5301" s="23" t="s">
        <v>86</v>
      </c>
      <c r="E5301" s="23" t="s">
        <v>75</v>
      </c>
      <c r="F5301" s="23" t="s">
        <v>274</v>
      </c>
      <c r="G5301" s="23" t="s">
        <v>365</v>
      </c>
      <c r="H5301" s="39">
        <f t="shared" si="328"/>
        <v>349</v>
      </c>
      <c r="I5301" s="23" t="str">
        <f t="shared" si="329"/>
        <v>Delhi</v>
      </c>
      <c r="J5301" s="23">
        <f>COUNTIFS(pg_transaction_cleaned!$O:$O,A5301,pg_transaction_cleaned!$F:$F,"CAPTURE")</f>
        <v>0</v>
      </c>
      <c r="K5301" s="39">
        <f>SUMIFS(pg_transaction_cleaned!$H:$H,pg_transaction_cleaned!$O:$O,A5301,pg_transaction_cleaned!$F:$F,"CAPTURE")</f>
        <v>0</v>
      </c>
      <c r="L5301" s="23">
        <f>COUNTIFS(pg_transaction_cleaned!$O:$O,A5301,pg_transaction_cleaned!$F:$F,"REFUND")</f>
        <v>0</v>
      </c>
      <c r="M5301" s="39">
        <f>SUMIFS(pg_transaction_cleaned!$H:$H,pg_transaction_cleaned!$O:$O,A5301,pg_transaction_cleaned!$F:$F,"REFUND")</f>
        <v>0</v>
      </c>
      <c r="N5301" s="23" t="str">
        <f t="shared" si="330"/>
        <v>OK</v>
      </c>
      <c r="O5301" s="24">
        <f t="shared" si="331"/>
        <v>0</v>
      </c>
    </row>
    <row r="5302" spans="1:15" ht="15" customHeight="1" x14ac:dyDescent="0.3">
      <c r="A5302" s="23" t="s">
        <v>11035</v>
      </c>
      <c r="B5302" s="38">
        <v>46273</v>
      </c>
      <c r="C5302" s="23" t="s">
        <v>11036</v>
      </c>
      <c r="D5302" s="23"/>
      <c r="E5302" s="23" t="s">
        <v>77</v>
      </c>
      <c r="F5302" s="23" t="s">
        <v>329</v>
      </c>
      <c r="G5302" s="23" t="s">
        <v>250</v>
      </c>
      <c r="H5302" s="39">
        <f t="shared" si="328"/>
        <v>599</v>
      </c>
      <c r="I5302" s="23" t="str">
        <f t="shared" si="329"/>
        <v>Unknown</v>
      </c>
      <c r="J5302" s="23">
        <f>COUNTIFS(pg_transaction_cleaned!$O:$O,A5302,pg_transaction_cleaned!$F:$F,"CAPTURE")</f>
        <v>1</v>
      </c>
      <c r="K5302" s="39">
        <f>SUMIFS(pg_transaction_cleaned!$H:$H,pg_transaction_cleaned!$O:$O,A5302,pg_transaction_cleaned!$F:$F,"CAPTURE")</f>
        <v>599</v>
      </c>
      <c r="L5302" s="23">
        <f>COUNTIFS(pg_transaction_cleaned!$O:$O,A5302,pg_transaction_cleaned!$F:$F,"REFUND")</f>
        <v>0</v>
      </c>
      <c r="M5302" s="39">
        <f>SUMIFS(pg_transaction_cleaned!$H:$H,pg_transaction_cleaned!$O:$O,A5302,pg_transaction_cleaned!$F:$F,"REFUND")</f>
        <v>0</v>
      </c>
      <c r="N5302" s="23" t="str">
        <f t="shared" si="330"/>
        <v>OK</v>
      </c>
      <c r="O5302" s="24">
        <f t="shared" si="331"/>
        <v>0</v>
      </c>
    </row>
    <row r="5303" spans="1:15" ht="15" customHeight="1" x14ac:dyDescent="0.3">
      <c r="A5303" s="23" t="s">
        <v>11037</v>
      </c>
      <c r="B5303" s="38">
        <v>46268</v>
      </c>
      <c r="C5303" s="23" t="s">
        <v>11038</v>
      </c>
      <c r="D5303" s="23" t="s">
        <v>88</v>
      </c>
      <c r="E5303" s="23" t="s">
        <v>75</v>
      </c>
      <c r="F5303" s="23" t="s">
        <v>429</v>
      </c>
      <c r="G5303" s="23" t="s">
        <v>250</v>
      </c>
      <c r="H5303" s="39">
        <f t="shared" si="328"/>
        <v>3348</v>
      </c>
      <c r="I5303" s="23" t="str">
        <f t="shared" si="329"/>
        <v>Lucknow</v>
      </c>
      <c r="J5303" s="23">
        <f>COUNTIFS(pg_transaction_cleaned!$O:$O,A5303,pg_transaction_cleaned!$F:$F,"CAPTURE")</f>
        <v>1</v>
      </c>
      <c r="K5303" s="39">
        <f>SUMIFS(pg_transaction_cleaned!$H:$H,pg_transaction_cleaned!$O:$O,A5303,pg_transaction_cleaned!$F:$F,"CAPTURE")</f>
        <v>3348</v>
      </c>
      <c r="L5303" s="23">
        <f>COUNTIFS(pg_transaction_cleaned!$O:$O,A5303,pg_transaction_cleaned!$F:$F,"REFUND")</f>
        <v>0</v>
      </c>
      <c r="M5303" s="39">
        <f>SUMIFS(pg_transaction_cleaned!$H:$H,pg_transaction_cleaned!$O:$O,A5303,pg_transaction_cleaned!$F:$F,"REFUND")</f>
        <v>0</v>
      </c>
      <c r="N5303" s="23" t="str">
        <f t="shared" si="330"/>
        <v>OK</v>
      </c>
      <c r="O5303" s="24">
        <f t="shared" si="331"/>
        <v>0</v>
      </c>
    </row>
    <row r="5304" spans="1:15" ht="15" customHeight="1" x14ac:dyDescent="0.3">
      <c r="A5304" s="23" t="s">
        <v>11039</v>
      </c>
      <c r="B5304" s="38">
        <v>46278</v>
      </c>
      <c r="C5304" s="23" t="s">
        <v>11040</v>
      </c>
      <c r="D5304" s="23" t="s">
        <v>90</v>
      </c>
      <c r="E5304" s="23" t="s">
        <v>77</v>
      </c>
      <c r="F5304" s="23" t="s">
        <v>310</v>
      </c>
      <c r="G5304" s="23" t="s">
        <v>250</v>
      </c>
      <c r="H5304" s="39">
        <f t="shared" si="328"/>
        <v>7999</v>
      </c>
      <c r="I5304" s="23" t="str">
        <f t="shared" si="329"/>
        <v>Ahmedabad</v>
      </c>
      <c r="J5304" s="23">
        <f>COUNTIFS(pg_transaction_cleaned!$O:$O,A5304,pg_transaction_cleaned!$F:$F,"CAPTURE")</f>
        <v>1</v>
      </c>
      <c r="K5304" s="39">
        <f>SUMIFS(pg_transaction_cleaned!$H:$H,pg_transaction_cleaned!$O:$O,A5304,pg_transaction_cleaned!$F:$F,"CAPTURE")</f>
        <v>7999</v>
      </c>
      <c r="L5304" s="23">
        <f>COUNTIFS(pg_transaction_cleaned!$O:$O,A5304,pg_transaction_cleaned!$F:$F,"REFUND")</f>
        <v>0</v>
      </c>
      <c r="M5304" s="39">
        <f>SUMIFS(pg_transaction_cleaned!$H:$H,pg_transaction_cleaned!$O:$O,A5304,pg_transaction_cleaned!$F:$F,"REFUND")</f>
        <v>0</v>
      </c>
      <c r="N5304" s="23" t="str">
        <f t="shared" si="330"/>
        <v>OK</v>
      </c>
      <c r="O5304" s="24">
        <f t="shared" si="331"/>
        <v>0</v>
      </c>
    </row>
    <row r="5305" spans="1:15" ht="15" customHeight="1" x14ac:dyDescent="0.3">
      <c r="A5305" s="23" t="s">
        <v>11041</v>
      </c>
      <c r="B5305" s="38">
        <v>46282</v>
      </c>
      <c r="C5305" s="23" t="s">
        <v>11042</v>
      </c>
      <c r="D5305" s="23" t="s">
        <v>94</v>
      </c>
      <c r="E5305" s="23" t="s">
        <v>75</v>
      </c>
      <c r="F5305" s="23" t="s">
        <v>441</v>
      </c>
      <c r="G5305" s="23" t="s">
        <v>250</v>
      </c>
      <c r="H5305" s="39">
        <f t="shared" si="328"/>
        <v>9998</v>
      </c>
      <c r="I5305" s="23" t="str">
        <f t="shared" si="329"/>
        <v>Chennai</v>
      </c>
      <c r="J5305" s="23">
        <f>COUNTIFS(pg_transaction_cleaned!$O:$O,A5305,pg_transaction_cleaned!$F:$F,"CAPTURE")</f>
        <v>1</v>
      </c>
      <c r="K5305" s="39">
        <f>SUMIFS(pg_transaction_cleaned!$H:$H,pg_transaction_cleaned!$O:$O,A5305,pg_transaction_cleaned!$F:$F,"CAPTURE")</f>
        <v>9998</v>
      </c>
      <c r="L5305" s="23">
        <f>COUNTIFS(pg_transaction_cleaned!$O:$O,A5305,pg_transaction_cleaned!$F:$F,"REFUND")</f>
        <v>0</v>
      </c>
      <c r="M5305" s="39">
        <f>SUMIFS(pg_transaction_cleaned!$H:$H,pg_transaction_cleaned!$O:$O,A5305,pg_transaction_cleaned!$F:$F,"REFUND")</f>
        <v>0</v>
      </c>
      <c r="N5305" s="23" t="str">
        <f t="shared" si="330"/>
        <v>OK</v>
      </c>
      <c r="O5305" s="24">
        <f t="shared" si="331"/>
        <v>0</v>
      </c>
    </row>
    <row r="5306" spans="1:15" ht="15" customHeight="1" x14ac:dyDescent="0.3">
      <c r="A5306" s="23" t="s">
        <v>11043</v>
      </c>
      <c r="B5306" s="38">
        <v>46282</v>
      </c>
      <c r="C5306" s="23" t="s">
        <v>11044</v>
      </c>
      <c r="D5306" s="23" t="s">
        <v>93</v>
      </c>
      <c r="E5306" s="23" t="s">
        <v>81</v>
      </c>
      <c r="F5306" s="23" t="s">
        <v>880</v>
      </c>
      <c r="G5306" s="23" t="s">
        <v>250</v>
      </c>
      <c r="H5306" s="39">
        <f t="shared" si="328"/>
        <v>2298</v>
      </c>
      <c r="I5306" s="23" t="str">
        <f t="shared" si="329"/>
        <v>Kolkata</v>
      </c>
      <c r="J5306" s="23">
        <f>COUNTIFS(pg_transaction_cleaned!$O:$O,A5306,pg_transaction_cleaned!$F:$F,"CAPTURE")</f>
        <v>1</v>
      </c>
      <c r="K5306" s="39">
        <f>SUMIFS(pg_transaction_cleaned!$H:$H,pg_transaction_cleaned!$O:$O,A5306,pg_transaction_cleaned!$F:$F,"CAPTURE")</f>
        <v>2298</v>
      </c>
      <c r="L5306" s="23">
        <f>COUNTIFS(pg_transaction_cleaned!$O:$O,A5306,pg_transaction_cleaned!$F:$F,"REFUND")</f>
        <v>0</v>
      </c>
      <c r="M5306" s="39">
        <f>SUMIFS(pg_transaction_cleaned!$H:$H,pg_transaction_cleaned!$O:$O,A5306,pg_transaction_cleaned!$F:$F,"REFUND")</f>
        <v>0</v>
      </c>
      <c r="N5306" s="23" t="str">
        <f t="shared" si="330"/>
        <v>OK</v>
      </c>
      <c r="O5306" s="24">
        <f t="shared" si="331"/>
        <v>0</v>
      </c>
    </row>
    <row r="5307" spans="1:15" ht="15" customHeight="1" x14ac:dyDescent="0.3">
      <c r="A5307" s="23" t="s">
        <v>11045</v>
      </c>
      <c r="B5307" s="38">
        <v>46272</v>
      </c>
      <c r="C5307" s="23" t="s">
        <v>11046</v>
      </c>
      <c r="D5307" s="23" t="s">
        <v>86</v>
      </c>
      <c r="E5307" s="23" t="s">
        <v>75</v>
      </c>
      <c r="F5307" s="23" t="s">
        <v>1662</v>
      </c>
      <c r="G5307" s="23" t="s">
        <v>318</v>
      </c>
      <c r="H5307" s="39">
        <f t="shared" si="328"/>
        <v>4397</v>
      </c>
      <c r="I5307" s="23" t="str">
        <f t="shared" si="329"/>
        <v>Delhi</v>
      </c>
      <c r="J5307" s="23">
        <f>COUNTIFS(pg_transaction_cleaned!$O:$O,A5307,pg_transaction_cleaned!$F:$F,"CAPTURE")</f>
        <v>0</v>
      </c>
      <c r="K5307" s="39">
        <f>SUMIFS(pg_transaction_cleaned!$H:$H,pg_transaction_cleaned!$O:$O,A5307,pg_transaction_cleaned!$F:$F,"CAPTURE")</f>
        <v>0</v>
      </c>
      <c r="L5307" s="23">
        <f>COUNTIFS(pg_transaction_cleaned!$O:$O,A5307,pg_transaction_cleaned!$F:$F,"REFUND")</f>
        <v>0</v>
      </c>
      <c r="M5307" s="39">
        <f>SUMIFS(pg_transaction_cleaned!$H:$H,pg_transaction_cleaned!$O:$O,A5307,pg_transaction_cleaned!$F:$F,"REFUND")</f>
        <v>0</v>
      </c>
      <c r="N5307" s="23" t="str">
        <f t="shared" si="330"/>
        <v>OK</v>
      </c>
      <c r="O5307" s="24">
        <f t="shared" si="331"/>
        <v>0</v>
      </c>
    </row>
    <row r="5308" spans="1:15" ht="15" customHeight="1" x14ac:dyDescent="0.3">
      <c r="A5308" s="23" t="s">
        <v>11047</v>
      </c>
      <c r="B5308" s="38">
        <v>46276</v>
      </c>
      <c r="C5308" s="23" t="s">
        <v>11048</v>
      </c>
      <c r="D5308" s="23" t="s">
        <v>95</v>
      </c>
      <c r="E5308" s="23" t="s">
        <v>75</v>
      </c>
      <c r="F5308" s="23" t="s">
        <v>760</v>
      </c>
      <c r="G5308" s="23" t="s">
        <v>250</v>
      </c>
      <c r="H5308" s="39">
        <f t="shared" si="328"/>
        <v>799</v>
      </c>
      <c r="I5308" s="23" t="str">
        <f t="shared" si="329"/>
        <v>Bengaluru</v>
      </c>
      <c r="J5308" s="23">
        <f>COUNTIFS(pg_transaction_cleaned!$O:$O,A5308,pg_transaction_cleaned!$F:$F,"CAPTURE")</f>
        <v>1</v>
      </c>
      <c r="K5308" s="39">
        <f>SUMIFS(pg_transaction_cleaned!$H:$H,pg_transaction_cleaned!$O:$O,A5308,pg_transaction_cleaned!$F:$F,"CAPTURE")</f>
        <v>799</v>
      </c>
      <c r="L5308" s="23">
        <f>COUNTIFS(pg_transaction_cleaned!$O:$O,A5308,pg_transaction_cleaned!$F:$F,"REFUND")</f>
        <v>0</v>
      </c>
      <c r="M5308" s="39">
        <f>SUMIFS(pg_transaction_cleaned!$H:$H,pg_transaction_cleaned!$O:$O,A5308,pg_transaction_cleaned!$F:$F,"REFUND")</f>
        <v>0</v>
      </c>
      <c r="N5308" s="23" t="str">
        <f t="shared" si="330"/>
        <v>OK</v>
      </c>
      <c r="O5308" s="24">
        <f t="shared" si="331"/>
        <v>0</v>
      </c>
    </row>
    <row r="5309" spans="1:15" ht="15" customHeight="1" x14ac:dyDescent="0.3">
      <c r="A5309" s="23" t="s">
        <v>11049</v>
      </c>
      <c r="B5309" s="38">
        <v>46276</v>
      </c>
      <c r="C5309" s="23" t="s">
        <v>11050</v>
      </c>
      <c r="D5309" s="23" t="s">
        <v>89</v>
      </c>
      <c r="E5309" s="23" t="s">
        <v>77</v>
      </c>
      <c r="F5309" s="23" t="s">
        <v>274</v>
      </c>
      <c r="G5309" s="23" t="s">
        <v>365</v>
      </c>
      <c r="H5309" s="39">
        <f t="shared" si="328"/>
        <v>349</v>
      </c>
      <c r="I5309" s="23" t="str">
        <f t="shared" si="329"/>
        <v>Jaipur</v>
      </c>
      <c r="J5309" s="23">
        <f>COUNTIFS(pg_transaction_cleaned!$O:$O,A5309,pg_transaction_cleaned!$F:$F,"CAPTURE")</f>
        <v>0</v>
      </c>
      <c r="K5309" s="39">
        <f>SUMIFS(pg_transaction_cleaned!$H:$H,pg_transaction_cleaned!$O:$O,A5309,pg_transaction_cleaned!$F:$F,"CAPTURE")</f>
        <v>0</v>
      </c>
      <c r="L5309" s="23">
        <f>COUNTIFS(pg_transaction_cleaned!$O:$O,A5309,pg_transaction_cleaned!$F:$F,"REFUND")</f>
        <v>0</v>
      </c>
      <c r="M5309" s="39">
        <f>SUMIFS(pg_transaction_cleaned!$H:$H,pg_transaction_cleaned!$O:$O,A5309,pg_transaction_cleaned!$F:$F,"REFUND")</f>
        <v>0</v>
      </c>
      <c r="N5309" s="23" t="str">
        <f t="shared" si="330"/>
        <v>OK</v>
      </c>
      <c r="O5309" s="24">
        <f t="shared" si="331"/>
        <v>0</v>
      </c>
    </row>
    <row r="5310" spans="1:15" ht="15" customHeight="1" x14ac:dyDescent="0.3">
      <c r="A5310" s="23" t="s">
        <v>11051</v>
      </c>
      <c r="B5310" s="38">
        <v>46290</v>
      </c>
      <c r="C5310" s="23" t="s">
        <v>11052</v>
      </c>
      <c r="D5310" s="23" t="s">
        <v>92</v>
      </c>
      <c r="E5310" s="23" t="s">
        <v>75</v>
      </c>
      <c r="F5310" s="23" t="s">
        <v>294</v>
      </c>
      <c r="G5310" s="23" t="s">
        <v>250</v>
      </c>
      <c r="H5310" s="39">
        <f t="shared" si="328"/>
        <v>1799</v>
      </c>
      <c r="I5310" s="23" t="str">
        <f t="shared" si="329"/>
        <v>Hyderabad</v>
      </c>
      <c r="J5310" s="23">
        <f>COUNTIFS(pg_transaction_cleaned!$O:$O,A5310,pg_transaction_cleaned!$F:$F,"CAPTURE")</f>
        <v>1</v>
      </c>
      <c r="K5310" s="39">
        <f>SUMIFS(pg_transaction_cleaned!$H:$H,pg_transaction_cleaned!$O:$O,A5310,pg_transaction_cleaned!$F:$F,"CAPTURE")</f>
        <v>1799</v>
      </c>
      <c r="L5310" s="23">
        <f>COUNTIFS(pg_transaction_cleaned!$O:$O,A5310,pg_transaction_cleaned!$F:$F,"REFUND")</f>
        <v>0</v>
      </c>
      <c r="M5310" s="39">
        <f>SUMIFS(pg_transaction_cleaned!$H:$H,pg_transaction_cleaned!$O:$O,A5310,pg_transaction_cleaned!$F:$F,"REFUND")</f>
        <v>0</v>
      </c>
      <c r="N5310" s="23" t="str">
        <f t="shared" si="330"/>
        <v>OK</v>
      </c>
      <c r="O5310" s="24">
        <f t="shared" si="331"/>
        <v>0</v>
      </c>
    </row>
    <row r="5311" spans="1:15" ht="15" customHeight="1" x14ac:dyDescent="0.3">
      <c r="A5311" s="23" t="s">
        <v>11053</v>
      </c>
      <c r="B5311" s="38">
        <v>46276</v>
      </c>
      <c r="C5311" s="23" t="s">
        <v>11054</v>
      </c>
      <c r="D5311" s="23" t="s">
        <v>90</v>
      </c>
      <c r="E5311" s="23" t="s">
        <v>75</v>
      </c>
      <c r="F5311" s="23" t="s">
        <v>329</v>
      </c>
      <c r="G5311" s="23" t="s">
        <v>250</v>
      </c>
      <c r="H5311" s="39">
        <f t="shared" si="328"/>
        <v>599</v>
      </c>
      <c r="I5311" s="23" t="str">
        <f t="shared" si="329"/>
        <v>Ahmedabad</v>
      </c>
      <c r="J5311" s="23">
        <f>COUNTIFS(pg_transaction_cleaned!$O:$O,A5311,pg_transaction_cleaned!$F:$F,"CAPTURE")</f>
        <v>1</v>
      </c>
      <c r="K5311" s="39">
        <f>SUMIFS(pg_transaction_cleaned!$H:$H,pg_transaction_cleaned!$O:$O,A5311,pg_transaction_cleaned!$F:$F,"CAPTURE")</f>
        <v>599</v>
      </c>
      <c r="L5311" s="23">
        <f>COUNTIFS(pg_transaction_cleaned!$O:$O,A5311,pg_transaction_cleaned!$F:$F,"REFUND")</f>
        <v>0</v>
      </c>
      <c r="M5311" s="39">
        <f>SUMIFS(pg_transaction_cleaned!$H:$H,pg_transaction_cleaned!$O:$O,A5311,pg_transaction_cleaned!$F:$F,"REFUND")</f>
        <v>0</v>
      </c>
      <c r="N5311" s="23" t="str">
        <f t="shared" si="330"/>
        <v>OK</v>
      </c>
      <c r="O5311" s="24">
        <f t="shared" si="331"/>
        <v>0</v>
      </c>
    </row>
    <row r="5312" spans="1:15" ht="15" customHeight="1" x14ac:dyDescent="0.3">
      <c r="A5312" s="23" t="s">
        <v>11055</v>
      </c>
      <c r="B5312" s="38">
        <v>46271</v>
      </c>
      <c r="C5312" s="23" t="s">
        <v>11056</v>
      </c>
      <c r="D5312" s="23" t="s">
        <v>93</v>
      </c>
      <c r="E5312" s="23" t="s">
        <v>75</v>
      </c>
      <c r="F5312" s="23" t="s">
        <v>475</v>
      </c>
      <c r="G5312" s="23" t="s">
        <v>250</v>
      </c>
      <c r="H5312" s="39">
        <f t="shared" si="328"/>
        <v>799</v>
      </c>
      <c r="I5312" s="23" t="str">
        <f t="shared" si="329"/>
        <v>Kolkata</v>
      </c>
      <c r="J5312" s="23">
        <f>COUNTIFS(pg_transaction_cleaned!$O:$O,A5312,pg_transaction_cleaned!$F:$F,"CAPTURE")</f>
        <v>1</v>
      </c>
      <c r="K5312" s="39">
        <f>SUMIFS(pg_transaction_cleaned!$H:$H,pg_transaction_cleaned!$O:$O,A5312,pg_transaction_cleaned!$F:$F,"CAPTURE")</f>
        <v>799</v>
      </c>
      <c r="L5312" s="23">
        <f>COUNTIFS(pg_transaction_cleaned!$O:$O,A5312,pg_transaction_cleaned!$F:$F,"REFUND")</f>
        <v>0</v>
      </c>
      <c r="M5312" s="39">
        <f>SUMIFS(pg_transaction_cleaned!$H:$H,pg_transaction_cleaned!$O:$O,A5312,pg_transaction_cleaned!$F:$F,"REFUND")</f>
        <v>0</v>
      </c>
      <c r="N5312" s="23" t="str">
        <f t="shared" si="330"/>
        <v>OK</v>
      </c>
      <c r="O5312" s="24">
        <f t="shared" si="331"/>
        <v>0</v>
      </c>
    </row>
    <row r="5313" spans="1:15" ht="15" customHeight="1" x14ac:dyDescent="0.3">
      <c r="A5313" s="23" t="s">
        <v>11057</v>
      </c>
      <c r="B5313" s="38">
        <v>46288</v>
      </c>
      <c r="C5313" s="23" t="s">
        <v>11058</v>
      </c>
      <c r="D5313" s="23" t="s">
        <v>92</v>
      </c>
      <c r="E5313" s="23" t="s">
        <v>75</v>
      </c>
      <c r="F5313" s="23" t="s">
        <v>294</v>
      </c>
      <c r="G5313" s="23" t="s">
        <v>250</v>
      </c>
      <c r="H5313" s="39">
        <f t="shared" si="328"/>
        <v>1799</v>
      </c>
      <c r="I5313" s="23" t="str">
        <f t="shared" si="329"/>
        <v>Hyderabad</v>
      </c>
      <c r="J5313" s="23">
        <f>COUNTIFS(pg_transaction_cleaned!$O:$O,A5313,pg_transaction_cleaned!$F:$F,"CAPTURE")</f>
        <v>1</v>
      </c>
      <c r="K5313" s="39">
        <f>SUMIFS(pg_transaction_cleaned!$H:$H,pg_transaction_cleaned!$O:$O,A5313,pg_transaction_cleaned!$F:$F,"CAPTURE")</f>
        <v>1799</v>
      </c>
      <c r="L5313" s="23">
        <f>COUNTIFS(pg_transaction_cleaned!$O:$O,A5313,pg_transaction_cleaned!$F:$F,"REFUND")</f>
        <v>0</v>
      </c>
      <c r="M5313" s="39">
        <f>SUMIFS(pg_transaction_cleaned!$H:$H,pg_transaction_cleaned!$O:$O,A5313,pg_transaction_cleaned!$F:$F,"REFUND")</f>
        <v>0</v>
      </c>
      <c r="N5313" s="23" t="str">
        <f t="shared" si="330"/>
        <v>OK</v>
      </c>
      <c r="O5313" s="24">
        <f t="shared" si="331"/>
        <v>0</v>
      </c>
    </row>
    <row r="5314" spans="1:15" ht="15" customHeight="1" x14ac:dyDescent="0.3">
      <c r="A5314" s="23" t="s">
        <v>11059</v>
      </c>
      <c r="B5314" s="38">
        <v>46276</v>
      </c>
      <c r="C5314" s="23" t="s">
        <v>11060</v>
      </c>
      <c r="D5314" s="23" t="s">
        <v>87</v>
      </c>
      <c r="E5314" s="23" t="s">
        <v>79</v>
      </c>
      <c r="F5314" s="23" t="s">
        <v>6033</v>
      </c>
      <c r="G5314" s="23" t="s">
        <v>250</v>
      </c>
      <c r="H5314" s="39">
        <f t="shared" ref="H5314:H5377" si="332">VALUE(SUBSTITUTE(F5314,",",""))</f>
        <v>13297</v>
      </c>
      <c r="I5314" s="23" t="str">
        <f t="shared" ref="I5314:I5377" si="333">IF(TRIM(D5314)="","Unknown",TRIM(D5314))</f>
        <v>Mumbai</v>
      </c>
      <c r="J5314" s="23">
        <f>COUNTIFS(pg_transaction_cleaned!$O:$O,A5314,pg_transaction_cleaned!$F:$F,"CAPTURE")</f>
        <v>1</v>
      </c>
      <c r="K5314" s="39">
        <f>SUMIFS(pg_transaction_cleaned!$H:$H,pg_transaction_cleaned!$O:$O,A5314,pg_transaction_cleaned!$F:$F,"CAPTURE")</f>
        <v>13297</v>
      </c>
      <c r="L5314" s="23">
        <f>COUNTIFS(pg_transaction_cleaned!$O:$O,A5314,pg_transaction_cleaned!$F:$F,"REFUND")</f>
        <v>0</v>
      </c>
      <c r="M5314" s="39">
        <f>SUMIFS(pg_transaction_cleaned!$H:$H,pg_transaction_cleaned!$O:$O,A5314,pg_transaction_cleaned!$F:$F,"REFUND")</f>
        <v>0</v>
      </c>
      <c r="N5314" s="23" t="str">
        <f t="shared" ref="N5314:N5377" si="334">IF(AND(G5314="Paid",J5314=0),"Paid, no payment",IF(AND(OR(G5314="Failed",G5314="Cancelled"),J5314&gt;0),"Payment on failed/cancelled",IF(J5314&gt;1,"Duplicate charge",IF(AND(J5314=1,ROUND(K5314-H5314,2)&lt;&gt;0),"Amount difference",IF(AND(G5314="Refunded",L5314=0),"Refunded, no refund",IF(AND(G5314&lt;&gt;"Refunded",L5314&gt;0),"Refund, order not Refunded",IF(AND(L5314&gt;0,ROUND(M5314-H5314,2)&lt;&gt;0),"Refund amount differs","OK")))))))</f>
        <v>OK</v>
      </c>
      <c r="O5314" s="24">
        <f t="shared" ref="O5314:O5377" si="335">IF(N5314="OK",0,IF(N5314="Paid, no payment",H5314,IF(N5314="Payment on failed/cancelled",K5314,IF(OR(N5314="Duplicate charge",N5314="Amount difference"),K5314-H5314,IF(N5314="Refunded, no refund",H5314,M5314)))))</f>
        <v>0</v>
      </c>
    </row>
    <row r="5315" spans="1:15" ht="15" customHeight="1" x14ac:dyDescent="0.3">
      <c r="A5315" s="23" t="s">
        <v>11061</v>
      </c>
      <c r="B5315" s="38">
        <v>46286</v>
      </c>
      <c r="C5315" s="23" t="s">
        <v>11062</v>
      </c>
      <c r="D5315" s="23" t="s">
        <v>93</v>
      </c>
      <c r="E5315" s="23" t="s">
        <v>81</v>
      </c>
      <c r="F5315" s="23" t="s">
        <v>357</v>
      </c>
      <c r="G5315" s="23" t="s">
        <v>250</v>
      </c>
      <c r="H5315" s="39">
        <f t="shared" si="332"/>
        <v>1598</v>
      </c>
      <c r="I5315" s="23" t="str">
        <f t="shared" si="333"/>
        <v>Kolkata</v>
      </c>
      <c r="J5315" s="23">
        <f>COUNTIFS(pg_transaction_cleaned!$O:$O,A5315,pg_transaction_cleaned!$F:$F,"CAPTURE")</f>
        <v>1</v>
      </c>
      <c r="K5315" s="39">
        <f>SUMIFS(pg_transaction_cleaned!$H:$H,pg_transaction_cleaned!$O:$O,A5315,pg_transaction_cleaned!$F:$F,"CAPTURE")</f>
        <v>1598</v>
      </c>
      <c r="L5315" s="23">
        <f>COUNTIFS(pg_transaction_cleaned!$O:$O,A5315,pg_transaction_cleaned!$F:$F,"REFUND")</f>
        <v>0</v>
      </c>
      <c r="M5315" s="39">
        <f>SUMIFS(pg_transaction_cleaned!$H:$H,pg_transaction_cleaned!$O:$O,A5315,pg_transaction_cleaned!$F:$F,"REFUND")</f>
        <v>0</v>
      </c>
      <c r="N5315" s="23" t="str">
        <f t="shared" si="334"/>
        <v>OK</v>
      </c>
      <c r="O5315" s="24">
        <f t="shared" si="335"/>
        <v>0</v>
      </c>
    </row>
    <row r="5316" spans="1:15" ht="15" customHeight="1" x14ac:dyDescent="0.3">
      <c r="A5316" s="23" t="s">
        <v>11063</v>
      </c>
      <c r="B5316" s="38">
        <v>46283</v>
      </c>
      <c r="C5316" s="23" t="s">
        <v>11064</v>
      </c>
      <c r="D5316" s="23" t="s">
        <v>93</v>
      </c>
      <c r="E5316" s="23" t="s">
        <v>75</v>
      </c>
      <c r="F5316" s="23" t="s">
        <v>271</v>
      </c>
      <c r="G5316" s="23" t="s">
        <v>250</v>
      </c>
      <c r="H5316" s="39">
        <f t="shared" si="332"/>
        <v>2499</v>
      </c>
      <c r="I5316" s="23" t="str">
        <f t="shared" si="333"/>
        <v>Kolkata</v>
      </c>
      <c r="J5316" s="23">
        <f>COUNTIFS(pg_transaction_cleaned!$O:$O,A5316,pg_transaction_cleaned!$F:$F,"CAPTURE")</f>
        <v>1</v>
      </c>
      <c r="K5316" s="39">
        <f>SUMIFS(pg_transaction_cleaned!$H:$H,pg_transaction_cleaned!$O:$O,A5316,pg_transaction_cleaned!$F:$F,"CAPTURE")</f>
        <v>2499</v>
      </c>
      <c r="L5316" s="23">
        <f>COUNTIFS(pg_transaction_cleaned!$O:$O,A5316,pg_transaction_cleaned!$F:$F,"REFUND")</f>
        <v>0</v>
      </c>
      <c r="M5316" s="39">
        <f>SUMIFS(pg_transaction_cleaned!$H:$H,pg_transaction_cleaned!$O:$O,A5316,pg_transaction_cleaned!$F:$F,"REFUND")</f>
        <v>0</v>
      </c>
      <c r="N5316" s="23" t="str">
        <f t="shared" si="334"/>
        <v>OK</v>
      </c>
      <c r="O5316" s="24">
        <f t="shared" si="335"/>
        <v>0</v>
      </c>
    </row>
    <row r="5317" spans="1:15" ht="15" customHeight="1" x14ac:dyDescent="0.3">
      <c r="A5317" s="23" t="s">
        <v>11065</v>
      </c>
      <c r="B5317" s="38">
        <v>46270</v>
      </c>
      <c r="C5317" s="23" t="s">
        <v>11066</v>
      </c>
      <c r="D5317" s="23" t="s">
        <v>91</v>
      </c>
      <c r="E5317" s="23" t="s">
        <v>75</v>
      </c>
      <c r="F5317" s="23" t="s">
        <v>396</v>
      </c>
      <c r="G5317" s="23" t="s">
        <v>250</v>
      </c>
      <c r="H5317" s="39">
        <f t="shared" si="332"/>
        <v>2999</v>
      </c>
      <c r="I5317" s="23" t="str">
        <f t="shared" si="333"/>
        <v>Pune</v>
      </c>
      <c r="J5317" s="23">
        <f>COUNTIFS(pg_transaction_cleaned!$O:$O,A5317,pg_transaction_cleaned!$F:$F,"CAPTURE")</f>
        <v>1</v>
      </c>
      <c r="K5317" s="39">
        <f>SUMIFS(pg_transaction_cleaned!$H:$H,pg_transaction_cleaned!$O:$O,A5317,pg_transaction_cleaned!$F:$F,"CAPTURE")</f>
        <v>2999</v>
      </c>
      <c r="L5317" s="23">
        <f>COUNTIFS(pg_transaction_cleaned!$O:$O,A5317,pg_transaction_cleaned!$F:$F,"REFUND")</f>
        <v>0</v>
      </c>
      <c r="M5317" s="39">
        <f>SUMIFS(pg_transaction_cleaned!$H:$H,pg_transaction_cleaned!$O:$O,A5317,pg_transaction_cleaned!$F:$F,"REFUND")</f>
        <v>0</v>
      </c>
      <c r="N5317" s="23" t="str">
        <f t="shared" si="334"/>
        <v>OK</v>
      </c>
      <c r="O5317" s="24">
        <f t="shared" si="335"/>
        <v>0</v>
      </c>
    </row>
    <row r="5318" spans="1:15" ht="15" customHeight="1" x14ac:dyDescent="0.3">
      <c r="A5318" s="23" t="s">
        <v>11067</v>
      </c>
      <c r="B5318" s="38">
        <v>46274</v>
      </c>
      <c r="C5318" s="23" t="s">
        <v>11068</v>
      </c>
      <c r="D5318" s="23" t="s">
        <v>93</v>
      </c>
      <c r="E5318" s="23" t="s">
        <v>81</v>
      </c>
      <c r="F5318" s="23" t="s">
        <v>329</v>
      </c>
      <c r="G5318" s="23" t="s">
        <v>250</v>
      </c>
      <c r="H5318" s="39">
        <f t="shared" si="332"/>
        <v>599</v>
      </c>
      <c r="I5318" s="23" t="str">
        <f t="shared" si="333"/>
        <v>Kolkata</v>
      </c>
      <c r="J5318" s="23">
        <f>COUNTIFS(pg_transaction_cleaned!$O:$O,A5318,pg_transaction_cleaned!$F:$F,"CAPTURE")</f>
        <v>1</v>
      </c>
      <c r="K5318" s="39">
        <f>SUMIFS(pg_transaction_cleaned!$H:$H,pg_transaction_cleaned!$O:$O,A5318,pg_transaction_cleaned!$F:$F,"CAPTURE")</f>
        <v>599</v>
      </c>
      <c r="L5318" s="23">
        <f>COUNTIFS(pg_transaction_cleaned!$O:$O,A5318,pg_transaction_cleaned!$F:$F,"REFUND")</f>
        <v>0</v>
      </c>
      <c r="M5318" s="39">
        <f>SUMIFS(pg_transaction_cleaned!$H:$H,pg_transaction_cleaned!$O:$O,A5318,pg_transaction_cleaned!$F:$F,"REFUND")</f>
        <v>0</v>
      </c>
      <c r="N5318" s="23" t="str">
        <f t="shared" si="334"/>
        <v>OK</v>
      </c>
      <c r="O5318" s="24">
        <f t="shared" si="335"/>
        <v>0</v>
      </c>
    </row>
    <row r="5319" spans="1:15" ht="15" customHeight="1" x14ac:dyDescent="0.3">
      <c r="A5319" s="23" t="s">
        <v>11069</v>
      </c>
      <c r="B5319" s="38">
        <v>46268</v>
      </c>
      <c r="C5319" s="23" t="s">
        <v>11070</v>
      </c>
      <c r="D5319" s="23" t="s">
        <v>93</v>
      </c>
      <c r="E5319" s="23" t="s">
        <v>79</v>
      </c>
      <c r="F5319" s="23" t="s">
        <v>475</v>
      </c>
      <c r="G5319" s="23" t="s">
        <v>250</v>
      </c>
      <c r="H5319" s="39">
        <f t="shared" si="332"/>
        <v>799</v>
      </c>
      <c r="I5319" s="23" t="str">
        <f t="shared" si="333"/>
        <v>Kolkata</v>
      </c>
      <c r="J5319" s="23">
        <f>COUNTIFS(pg_transaction_cleaned!$O:$O,A5319,pg_transaction_cleaned!$F:$F,"CAPTURE")</f>
        <v>1</v>
      </c>
      <c r="K5319" s="39">
        <f>SUMIFS(pg_transaction_cleaned!$H:$H,pg_transaction_cleaned!$O:$O,A5319,pg_transaction_cleaned!$F:$F,"CAPTURE")</f>
        <v>799</v>
      </c>
      <c r="L5319" s="23">
        <f>COUNTIFS(pg_transaction_cleaned!$O:$O,A5319,pg_transaction_cleaned!$F:$F,"REFUND")</f>
        <v>0</v>
      </c>
      <c r="M5319" s="39">
        <f>SUMIFS(pg_transaction_cleaned!$H:$H,pg_transaction_cleaned!$O:$O,A5319,pg_transaction_cleaned!$F:$F,"REFUND")</f>
        <v>0</v>
      </c>
      <c r="N5319" s="23" t="str">
        <f t="shared" si="334"/>
        <v>OK</v>
      </c>
      <c r="O5319" s="24">
        <f t="shared" si="335"/>
        <v>0</v>
      </c>
    </row>
    <row r="5320" spans="1:15" ht="15" customHeight="1" x14ac:dyDescent="0.3">
      <c r="A5320" s="23" t="s">
        <v>11071</v>
      </c>
      <c r="B5320" s="38">
        <v>46295</v>
      </c>
      <c r="C5320" s="23" t="s">
        <v>11072</v>
      </c>
      <c r="D5320" s="23" t="s">
        <v>95</v>
      </c>
      <c r="E5320" s="23" t="s">
        <v>75</v>
      </c>
      <c r="F5320" s="23" t="s">
        <v>265</v>
      </c>
      <c r="G5320" s="23" t="s">
        <v>250</v>
      </c>
      <c r="H5320" s="39">
        <f t="shared" si="332"/>
        <v>999</v>
      </c>
      <c r="I5320" s="23" t="str">
        <f t="shared" si="333"/>
        <v>Bengaluru</v>
      </c>
      <c r="J5320" s="23">
        <f>COUNTIFS(pg_transaction_cleaned!$O:$O,A5320,pg_transaction_cleaned!$F:$F,"CAPTURE")</f>
        <v>1</v>
      </c>
      <c r="K5320" s="39">
        <f>SUMIFS(pg_transaction_cleaned!$H:$H,pg_transaction_cleaned!$O:$O,A5320,pg_transaction_cleaned!$F:$F,"CAPTURE")</f>
        <v>999</v>
      </c>
      <c r="L5320" s="23">
        <f>COUNTIFS(pg_transaction_cleaned!$O:$O,A5320,pg_transaction_cleaned!$F:$F,"REFUND")</f>
        <v>0</v>
      </c>
      <c r="M5320" s="39">
        <f>SUMIFS(pg_transaction_cleaned!$H:$H,pg_transaction_cleaned!$O:$O,A5320,pg_transaction_cleaned!$F:$F,"REFUND")</f>
        <v>0</v>
      </c>
      <c r="N5320" s="23" t="str">
        <f t="shared" si="334"/>
        <v>OK</v>
      </c>
      <c r="O5320" s="24">
        <f t="shared" si="335"/>
        <v>0</v>
      </c>
    </row>
    <row r="5321" spans="1:15" ht="15" customHeight="1" x14ac:dyDescent="0.3">
      <c r="A5321" s="23" t="s">
        <v>11073</v>
      </c>
      <c r="B5321" s="38">
        <v>46268</v>
      </c>
      <c r="C5321" s="23" t="s">
        <v>11074</v>
      </c>
      <c r="D5321" s="23" t="s">
        <v>94</v>
      </c>
      <c r="E5321" s="23" t="s">
        <v>75</v>
      </c>
      <c r="F5321" s="23" t="s">
        <v>1495</v>
      </c>
      <c r="G5321" s="23" t="s">
        <v>250</v>
      </c>
      <c r="H5321" s="39">
        <f t="shared" si="332"/>
        <v>7498</v>
      </c>
      <c r="I5321" s="23" t="str">
        <f t="shared" si="333"/>
        <v>Chennai</v>
      </c>
      <c r="J5321" s="23">
        <f>COUNTIFS(pg_transaction_cleaned!$O:$O,A5321,pg_transaction_cleaned!$F:$F,"CAPTURE")</f>
        <v>1</v>
      </c>
      <c r="K5321" s="39">
        <f>SUMIFS(pg_transaction_cleaned!$H:$H,pg_transaction_cleaned!$O:$O,A5321,pg_transaction_cleaned!$F:$F,"CAPTURE")</f>
        <v>7498</v>
      </c>
      <c r="L5321" s="23">
        <f>COUNTIFS(pg_transaction_cleaned!$O:$O,A5321,pg_transaction_cleaned!$F:$F,"REFUND")</f>
        <v>0</v>
      </c>
      <c r="M5321" s="39">
        <f>SUMIFS(pg_transaction_cleaned!$H:$H,pg_transaction_cleaned!$O:$O,A5321,pg_transaction_cleaned!$F:$F,"REFUND")</f>
        <v>0</v>
      </c>
      <c r="N5321" s="23" t="str">
        <f t="shared" si="334"/>
        <v>OK</v>
      </c>
      <c r="O5321" s="24">
        <f t="shared" si="335"/>
        <v>0</v>
      </c>
    </row>
    <row r="5322" spans="1:15" ht="15" customHeight="1" x14ac:dyDescent="0.3">
      <c r="A5322" s="23" t="s">
        <v>11075</v>
      </c>
      <c r="B5322" s="38">
        <v>46273</v>
      </c>
      <c r="C5322" s="23" t="s">
        <v>11076</v>
      </c>
      <c r="D5322" s="23" t="s">
        <v>90</v>
      </c>
      <c r="E5322" s="23" t="s">
        <v>75</v>
      </c>
      <c r="F5322" s="23" t="s">
        <v>310</v>
      </c>
      <c r="G5322" s="23" t="s">
        <v>250</v>
      </c>
      <c r="H5322" s="39">
        <f t="shared" si="332"/>
        <v>7999</v>
      </c>
      <c r="I5322" s="23" t="str">
        <f t="shared" si="333"/>
        <v>Ahmedabad</v>
      </c>
      <c r="J5322" s="23">
        <f>COUNTIFS(pg_transaction_cleaned!$O:$O,A5322,pg_transaction_cleaned!$F:$F,"CAPTURE")</f>
        <v>1</v>
      </c>
      <c r="K5322" s="39">
        <f>SUMIFS(pg_transaction_cleaned!$H:$H,pg_transaction_cleaned!$O:$O,A5322,pg_transaction_cleaned!$F:$F,"CAPTURE")</f>
        <v>7999</v>
      </c>
      <c r="L5322" s="23">
        <f>COUNTIFS(pg_transaction_cleaned!$O:$O,A5322,pg_transaction_cleaned!$F:$F,"REFUND")</f>
        <v>0</v>
      </c>
      <c r="M5322" s="39">
        <f>SUMIFS(pg_transaction_cleaned!$H:$H,pg_transaction_cleaned!$O:$O,A5322,pg_transaction_cleaned!$F:$F,"REFUND")</f>
        <v>0</v>
      </c>
      <c r="N5322" s="23" t="str">
        <f t="shared" si="334"/>
        <v>OK</v>
      </c>
      <c r="O5322" s="24">
        <f t="shared" si="335"/>
        <v>0</v>
      </c>
    </row>
    <row r="5323" spans="1:15" ht="15" customHeight="1" x14ac:dyDescent="0.3">
      <c r="A5323" s="23" t="s">
        <v>11077</v>
      </c>
      <c r="B5323" s="38">
        <v>46271</v>
      </c>
      <c r="C5323" s="23" t="s">
        <v>11078</v>
      </c>
      <c r="D5323" s="23" t="s">
        <v>87</v>
      </c>
      <c r="E5323" s="23" t="s">
        <v>75</v>
      </c>
      <c r="F5323" s="23" t="s">
        <v>405</v>
      </c>
      <c r="G5323" s="23" t="s">
        <v>250</v>
      </c>
      <c r="H5323" s="39">
        <f t="shared" si="332"/>
        <v>9298</v>
      </c>
      <c r="I5323" s="23" t="str">
        <f t="shared" si="333"/>
        <v>Mumbai</v>
      </c>
      <c r="J5323" s="23">
        <f>COUNTIFS(pg_transaction_cleaned!$O:$O,A5323,pg_transaction_cleaned!$F:$F,"CAPTURE")</f>
        <v>1</v>
      </c>
      <c r="K5323" s="39">
        <f>SUMIFS(pg_transaction_cleaned!$H:$H,pg_transaction_cleaned!$O:$O,A5323,pg_transaction_cleaned!$F:$F,"CAPTURE")</f>
        <v>9298</v>
      </c>
      <c r="L5323" s="23">
        <f>COUNTIFS(pg_transaction_cleaned!$O:$O,A5323,pg_transaction_cleaned!$F:$F,"REFUND")</f>
        <v>0</v>
      </c>
      <c r="M5323" s="39">
        <f>SUMIFS(pg_transaction_cleaned!$H:$H,pg_transaction_cleaned!$O:$O,A5323,pg_transaction_cleaned!$F:$F,"REFUND")</f>
        <v>0</v>
      </c>
      <c r="N5323" s="23" t="str">
        <f t="shared" si="334"/>
        <v>OK</v>
      </c>
      <c r="O5323" s="24">
        <f t="shared" si="335"/>
        <v>0</v>
      </c>
    </row>
    <row r="5324" spans="1:15" ht="15" customHeight="1" x14ac:dyDescent="0.3">
      <c r="A5324" s="23" t="s">
        <v>11079</v>
      </c>
      <c r="B5324" s="38">
        <v>46289</v>
      </c>
      <c r="C5324" s="23" t="s">
        <v>11080</v>
      </c>
      <c r="D5324" s="23" t="s">
        <v>88</v>
      </c>
      <c r="E5324" s="23" t="s">
        <v>75</v>
      </c>
      <c r="F5324" s="23" t="s">
        <v>297</v>
      </c>
      <c r="G5324" s="23" t="s">
        <v>250</v>
      </c>
      <c r="H5324" s="39">
        <f t="shared" si="332"/>
        <v>4999</v>
      </c>
      <c r="I5324" s="23" t="str">
        <f t="shared" si="333"/>
        <v>Lucknow</v>
      </c>
      <c r="J5324" s="23">
        <f>COUNTIFS(pg_transaction_cleaned!$O:$O,A5324,pg_transaction_cleaned!$F:$F,"CAPTURE")</f>
        <v>1</v>
      </c>
      <c r="K5324" s="39">
        <f>SUMIFS(pg_transaction_cleaned!$H:$H,pg_transaction_cleaned!$O:$O,A5324,pg_transaction_cleaned!$F:$F,"CAPTURE")</f>
        <v>4999</v>
      </c>
      <c r="L5324" s="23">
        <f>COUNTIFS(pg_transaction_cleaned!$O:$O,A5324,pg_transaction_cleaned!$F:$F,"REFUND")</f>
        <v>0</v>
      </c>
      <c r="M5324" s="39">
        <f>SUMIFS(pg_transaction_cleaned!$H:$H,pg_transaction_cleaned!$O:$O,A5324,pg_transaction_cleaned!$F:$F,"REFUND")</f>
        <v>0</v>
      </c>
      <c r="N5324" s="23" t="str">
        <f t="shared" si="334"/>
        <v>OK</v>
      </c>
      <c r="O5324" s="24">
        <f t="shared" si="335"/>
        <v>0</v>
      </c>
    </row>
    <row r="5325" spans="1:15" ht="15" customHeight="1" x14ac:dyDescent="0.3">
      <c r="A5325" s="23" t="s">
        <v>11081</v>
      </c>
      <c r="B5325" s="38">
        <v>46285</v>
      </c>
      <c r="C5325" s="23" t="s">
        <v>11082</v>
      </c>
      <c r="D5325" s="23" t="s">
        <v>93</v>
      </c>
      <c r="E5325" s="23" t="s">
        <v>79</v>
      </c>
      <c r="F5325" s="23" t="s">
        <v>346</v>
      </c>
      <c r="G5325" s="23" t="s">
        <v>250</v>
      </c>
      <c r="H5325" s="39">
        <f t="shared" si="332"/>
        <v>4498</v>
      </c>
      <c r="I5325" s="23" t="str">
        <f t="shared" si="333"/>
        <v>Kolkata</v>
      </c>
      <c r="J5325" s="23">
        <f>COUNTIFS(pg_transaction_cleaned!$O:$O,A5325,pg_transaction_cleaned!$F:$F,"CAPTURE")</f>
        <v>1</v>
      </c>
      <c r="K5325" s="39">
        <f>SUMIFS(pg_transaction_cleaned!$H:$H,pg_transaction_cleaned!$O:$O,A5325,pg_transaction_cleaned!$F:$F,"CAPTURE")</f>
        <v>4498</v>
      </c>
      <c r="L5325" s="23">
        <f>COUNTIFS(pg_transaction_cleaned!$O:$O,A5325,pg_transaction_cleaned!$F:$F,"REFUND")</f>
        <v>0</v>
      </c>
      <c r="M5325" s="39">
        <f>SUMIFS(pg_transaction_cleaned!$H:$H,pg_transaction_cleaned!$O:$O,A5325,pg_transaction_cleaned!$F:$F,"REFUND")</f>
        <v>0</v>
      </c>
      <c r="N5325" s="23" t="str">
        <f t="shared" si="334"/>
        <v>OK</v>
      </c>
      <c r="O5325" s="24">
        <f t="shared" si="335"/>
        <v>0</v>
      </c>
    </row>
    <row r="5326" spans="1:15" ht="15" customHeight="1" x14ac:dyDescent="0.3">
      <c r="A5326" s="23" t="s">
        <v>11083</v>
      </c>
      <c r="B5326" s="38">
        <v>46286</v>
      </c>
      <c r="C5326" s="23" t="s">
        <v>11084</v>
      </c>
      <c r="D5326" s="23" t="s">
        <v>89</v>
      </c>
      <c r="E5326" s="23" t="s">
        <v>75</v>
      </c>
      <c r="F5326" s="23" t="s">
        <v>291</v>
      </c>
      <c r="G5326" s="23" t="s">
        <v>250</v>
      </c>
      <c r="H5326" s="39">
        <f t="shared" si="332"/>
        <v>3499</v>
      </c>
      <c r="I5326" s="23" t="str">
        <f t="shared" si="333"/>
        <v>Jaipur</v>
      </c>
      <c r="J5326" s="23">
        <f>COUNTIFS(pg_transaction_cleaned!$O:$O,A5326,pg_transaction_cleaned!$F:$F,"CAPTURE")</f>
        <v>1</v>
      </c>
      <c r="K5326" s="39">
        <f>SUMIFS(pg_transaction_cleaned!$H:$H,pg_transaction_cleaned!$O:$O,A5326,pg_transaction_cleaned!$F:$F,"CAPTURE")</f>
        <v>3499</v>
      </c>
      <c r="L5326" s="23">
        <f>COUNTIFS(pg_transaction_cleaned!$O:$O,A5326,pg_transaction_cleaned!$F:$F,"REFUND")</f>
        <v>0</v>
      </c>
      <c r="M5326" s="39">
        <f>SUMIFS(pg_transaction_cleaned!$H:$H,pg_transaction_cleaned!$O:$O,A5326,pg_transaction_cleaned!$F:$F,"REFUND")</f>
        <v>0</v>
      </c>
      <c r="N5326" s="23" t="str">
        <f t="shared" si="334"/>
        <v>OK</v>
      </c>
      <c r="O5326" s="24">
        <f t="shared" si="335"/>
        <v>0</v>
      </c>
    </row>
    <row r="5327" spans="1:15" ht="15" customHeight="1" x14ac:dyDescent="0.3">
      <c r="A5327" s="23" t="s">
        <v>11085</v>
      </c>
      <c r="B5327" s="38">
        <v>46278</v>
      </c>
      <c r="C5327" s="23" t="s">
        <v>11086</v>
      </c>
      <c r="D5327" s="23" t="s">
        <v>91</v>
      </c>
      <c r="E5327" s="23" t="s">
        <v>81</v>
      </c>
      <c r="F5327" s="23" t="s">
        <v>291</v>
      </c>
      <c r="G5327" s="23" t="s">
        <v>301</v>
      </c>
      <c r="H5327" s="39">
        <f t="shared" si="332"/>
        <v>3499</v>
      </c>
      <c r="I5327" s="23" t="str">
        <f t="shared" si="333"/>
        <v>Pune</v>
      </c>
      <c r="J5327" s="23">
        <f>COUNTIFS(pg_transaction_cleaned!$O:$O,A5327,pg_transaction_cleaned!$F:$F,"CAPTURE")</f>
        <v>1</v>
      </c>
      <c r="K5327" s="39">
        <f>SUMIFS(pg_transaction_cleaned!$H:$H,pg_transaction_cleaned!$O:$O,A5327,pg_transaction_cleaned!$F:$F,"CAPTURE")</f>
        <v>3499</v>
      </c>
      <c r="L5327" s="23">
        <f>COUNTIFS(pg_transaction_cleaned!$O:$O,A5327,pg_transaction_cleaned!$F:$F,"REFUND")</f>
        <v>1</v>
      </c>
      <c r="M5327" s="39">
        <f>SUMIFS(pg_transaction_cleaned!$H:$H,pg_transaction_cleaned!$O:$O,A5327,pg_transaction_cleaned!$F:$F,"REFUND")</f>
        <v>3499</v>
      </c>
      <c r="N5327" s="23" t="str">
        <f t="shared" si="334"/>
        <v>OK</v>
      </c>
      <c r="O5327" s="24">
        <f t="shared" si="335"/>
        <v>0</v>
      </c>
    </row>
    <row r="5328" spans="1:15" ht="15" customHeight="1" x14ac:dyDescent="0.3">
      <c r="A5328" s="23" t="s">
        <v>11087</v>
      </c>
      <c r="B5328" s="38">
        <v>46277</v>
      </c>
      <c r="C5328" s="23" t="s">
        <v>11088</v>
      </c>
      <c r="D5328" s="23" t="s">
        <v>93</v>
      </c>
      <c r="E5328" s="23" t="s">
        <v>75</v>
      </c>
      <c r="F5328" s="23" t="s">
        <v>1238</v>
      </c>
      <c r="G5328" s="23" t="s">
        <v>250</v>
      </c>
      <c r="H5328" s="39">
        <f t="shared" si="332"/>
        <v>2998</v>
      </c>
      <c r="I5328" s="23" t="str">
        <f t="shared" si="333"/>
        <v>Kolkata</v>
      </c>
      <c r="J5328" s="23">
        <f>COUNTIFS(pg_transaction_cleaned!$O:$O,A5328,pg_transaction_cleaned!$F:$F,"CAPTURE")</f>
        <v>1</v>
      </c>
      <c r="K5328" s="39">
        <f>SUMIFS(pg_transaction_cleaned!$H:$H,pg_transaction_cleaned!$O:$O,A5328,pg_transaction_cleaned!$F:$F,"CAPTURE")</f>
        <v>2998</v>
      </c>
      <c r="L5328" s="23">
        <f>COUNTIFS(pg_transaction_cleaned!$O:$O,A5328,pg_transaction_cleaned!$F:$F,"REFUND")</f>
        <v>0</v>
      </c>
      <c r="M5328" s="39">
        <f>SUMIFS(pg_transaction_cleaned!$H:$H,pg_transaction_cleaned!$O:$O,A5328,pg_transaction_cleaned!$F:$F,"REFUND")</f>
        <v>0</v>
      </c>
      <c r="N5328" s="23" t="str">
        <f t="shared" si="334"/>
        <v>OK</v>
      </c>
      <c r="O5328" s="24">
        <f t="shared" si="335"/>
        <v>0</v>
      </c>
    </row>
    <row r="5329" spans="1:15" ht="15" customHeight="1" x14ac:dyDescent="0.3">
      <c r="A5329" s="23" t="s">
        <v>11089</v>
      </c>
      <c r="B5329" s="38">
        <v>46295</v>
      </c>
      <c r="C5329" s="23" t="s">
        <v>11090</v>
      </c>
      <c r="D5329" s="23" t="s">
        <v>87</v>
      </c>
      <c r="E5329" s="23" t="s">
        <v>77</v>
      </c>
      <c r="F5329" s="23" t="s">
        <v>294</v>
      </c>
      <c r="G5329" s="23" t="s">
        <v>250</v>
      </c>
      <c r="H5329" s="39">
        <f t="shared" si="332"/>
        <v>1799</v>
      </c>
      <c r="I5329" s="23" t="str">
        <f t="shared" si="333"/>
        <v>Mumbai</v>
      </c>
      <c r="J5329" s="23">
        <f>COUNTIFS(pg_transaction_cleaned!$O:$O,A5329,pg_transaction_cleaned!$F:$F,"CAPTURE")</f>
        <v>1</v>
      </c>
      <c r="K5329" s="39">
        <f>SUMIFS(pg_transaction_cleaned!$H:$H,pg_transaction_cleaned!$O:$O,A5329,pg_transaction_cleaned!$F:$F,"CAPTURE")</f>
        <v>1799</v>
      </c>
      <c r="L5329" s="23">
        <f>COUNTIFS(pg_transaction_cleaned!$O:$O,A5329,pg_transaction_cleaned!$F:$F,"REFUND")</f>
        <v>0</v>
      </c>
      <c r="M5329" s="39">
        <f>SUMIFS(pg_transaction_cleaned!$H:$H,pg_transaction_cleaned!$O:$O,A5329,pg_transaction_cleaned!$F:$F,"REFUND")</f>
        <v>0</v>
      </c>
      <c r="N5329" s="23" t="str">
        <f t="shared" si="334"/>
        <v>OK</v>
      </c>
      <c r="O5329" s="24">
        <f t="shared" si="335"/>
        <v>0</v>
      </c>
    </row>
    <row r="5330" spans="1:15" ht="15" customHeight="1" x14ac:dyDescent="0.3">
      <c r="A5330" s="23" t="s">
        <v>11091</v>
      </c>
      <c r="B5330" s="38">
        <v>46295</v>
      </c>
      <c r="C5330" s="23" t="s">
        <v>11092</v>
      </c>
      <c r="D5330" s="23" t="s">
        <v>88</v>
      </c>
      <c r="E5330" s="23" t="s">
        <v>75</v>
      </c>
      <c r="F5330" s="23" t="s">
        <v>329</v>
      </c>
      <c r="G5330" s="23" t="s">
        <v>250</v>
      </c>
      <c r="H5330" s="39">
        <f t="shared" si="332"/>
        <v>599</v>
      </c>
      <c r="I5330" s="23" t="str">
        <f t="shared" si="333"/>
        <v>Lucknow</v>
      </c>
      <c r="J5330" s="23">
        <f>COUNTIFS(pg_transaction_cleaned!$O:$O,A5330,pg_transaction_cleaned!$F:$F,"CAPTURE")</f>
        <v>1</v>
      </c>
      <c r="K5330" s="39">
        <f>SUMIFS(pg_transaction_cleaned!$H:$H,pg_transaction_cleaned!$O:$O,A5330,pg_transaction_cleaned!$F:$F,"CAPTURE")</f>
        <v>599</v>
      </c>
      <c r="L5330" s="23">
        <f>COUNTIFS(pg_transaction_cleaned!$O:$O,A5330,pg_transaction_cleaned!$F:$F,"REFUND")</f>
        <v>0</v>
      </c>
      <c r="M5330" s="39">
        <f>SUMIFS(pg_transaction_cleaned!$H:$H,pg_transaction_cleaned!$O:$O,A5330,pg_transaction_cleaned!$F:$F,"REFUND")</f>
        <v>0</v>
      </c>
      <c r="N5330" s="23" t="str">
        <f t="shared" si="334"/>
        <v>OK</v>
      </c>
      <c r="O5330" s="24">
        <f t="shared" si="335"/>
        <v>0</v>
      </c>
    </row>
    <row r="5331" spans="1:15" ht="15" customHeight="1" x14ac:dyDescent="0.3">
      <c r="A5331" s="23" t="s">
        <v>11093</v>
      </c>
      <c r="B5331" s="38">
        <v>46276</v>
      </c>
      <c r="C5331" s="23" t="s">
        <v>11094</v>
      </c>
      <c r="D5331" s="23" t="s">
        <v>92</v>
      </c>
      <c r="E5331" s="23" t="s">
        <v>81</v>
      </c>
      <c r="F5331" s="23" t="s">
        <v>294</v>
      </c>
      <c r="G5331" s="23" t="s">
        <v>250</v>
      </c>
      <c r="H5331" s="39">
        <f t="shared" si="332"/>
        <v>1799</v>
      </c>
      <c r="I5331" s="23" t="str">
        <f t="shared" si="333"/>
        <v>Hyderabad</v>
      </c>
      <c r="J5331" s="23">
        <f>COUNTIFS(pg_transaction_cleaned!$O:$O,A5331,pg_transaction_cleaned!$F:$F,"CAPTURE")</f>
        <v>1</v>
      </c>
      <c r="K5331" s="39">
        <f>SUMIFS(pg_transaction_cleaned!$H:$H,pg_transaction_cleaned!$O:$O,A5331,pg_transaction_cleaned!$F:$F,"CAPTURE")</f>
        <v>1799</v>
      </c>
      <c r="L5331" s="23">
        <f>COUNTIFS(pg_transaction_cleaned!$O:$O,A5331,pg_transaction_cleaned!$F:$F,"REFUND")</f>
        <v>0</v>
      </c>
      <c r="M5331" s="39">
        <f>SUMIFS(pg_transaction_cleaned!$H:$H,pg_transaction_cleaned!$O:$O,A5331,pg_transaction_cleaned!$F:$F,"REFUND")</f>
        <v>0</v>
      </c>
      <c r="N5331" s="23" t="str">
        <f t="shared" si="334"/>
        <v>OK</v>
      </c>
      <c r="O5331" s="24">
        <f t="shared" si="335"/>
        <v>0</v>
      </c>
    </row>
    <row r="5332" spans="1:15" ht="15" customHeight="1" x14ac:dyDescent="0.3">
      <c r="A5332" s="23" t="s">
        <v>11095</v>
      </c>
      <c r="B5332" s="38">
        <v>46280</v>
      </c>
      <c r="C5332" s="23" t="s">
        <v>11096</v>
      </c>
      <c r="D5332" s="23" t="s">
        <v>95</v>
      </c>
      <c r="E5332" s="23" t="s">
        <v>75</v>
      </c>
      <c r="F5332" s="23" t="s">
        <v>396</v>
      </c>
      <c r="G5332" s="23" t="s">
        <v>250</v>
      </c>
      <c r="H5332" s="39">
        <f t="shared" si="332"/>
        <v>2999</v>
      </c>
      <c r="I5332" s="23" t="str">
        <f t="shared" si="333"/>
        <v>Bengaluru</v>
      </c>
      <c r="J5332" s="23">
        <f>COUNTIFS(pg_transaction_cleaned!$O:$O,A5332,pg_transaction_cleaned!$F:$F,"CAPTURE")</f>
        <v>1</v>
      </c>
      <c r="K5332" s="39">
        <f>SUMIFS(pg_transaction_cleaned!$H:$H,pg_transaction_cleaned!$O:$O,A5332,pg_transaction_cleaned!$F:$F,"CAPTURE")</f>
        <v>2999</v>
      </c>
      <c r="L5332" s="23">
        <f>COUNTIFS(pg_transaction_cleaned!$O:$O,A5332,pg_transaction_cleaned!$F:$F,"REFUND")</f>
        <v>0</v>
      </c>
      <c r="M5332" s="39">
        <f>SUMIFS(pg_transaction_cleaned!$H:$H,pg_transaction_cleaned!$O:$O,A5332,pg_transaction_cleaned!$F:$F,"REFUND")</f>
        <v>0</v>
      </c>
      <c r="N5332" s="23" t="str">
        <f t="shared" si="334"/>
        <v>OK</v>
      </c>
      <c r="O5332" s="24">
        <f t="shared" si="335"/>
        <v>0</v>
      </c>
    </row>
    <row r="5333" spans="1:15" ht="15" customHeight="1" x14ac:dyDescent="0.3">
      <c r="A5333" s="23" t="s">
        <v>11097</v>
      </c>
      <c r="B5333" s="38">
        <v>46291</v>
      </c>
      <c r="C5333" s="23" t="s">
        <v>11098</v>
      </c>
      <c r="D5333" s="23" t="s">
        <v>92</v>
      </c>
      <c r="E5333" s="23" t="s">
        <v>75</v>
      </c>
      <c r="F5333" s="23" t="s">
        <v>259</v>
      </c>
      <c r="G5333" s="23" t="s">
        <v>250</v>
      </c>
      <c r="H5333" s="39">
        <f t="shared" si="332"/>
        <v>3298</v>
      </c>
      <c r="I5333" s="23" t="str">
        <f t="shared" si="333"/>
        <v>Hyderabad</v>
      </c>
      <c r="J5333" s="23">
        <f>COUNTIFS(pg_transaction_cleaned!$O:$O,A5333,pg_transaction_cleaned!$F:$F,"CAPTURE")</f>
        <v>1</v>
      </c>
      <c r="K5333" s="39">
        <f>SUMIFS(pg_transaction_cleaned!$H:$H,pg_transaction_cleaned!$O:$O,A5333,pg_transaction_cleaned!$F:$F,"CAPTURE")</f>
        <v>3298</v>
      </c>
      <c r="L5333" s="23">
        <f>COUNTIFS(pg_transaction_cleaned!$O:$O,A5333,pg_transaction_cleaned!$F:$F,"REFUND")</f>
        <v>0</v>
      </c>
      <c r="M5333" s="39">
        <f>SUMIFS(pg_transaction_cleaned!$H:$H,pg_transaction_cleaned!$O:$O,A5333,pg_transaction_cleaned!$F:$F,"REFUND")</f>
        <v>0</v>
      </c>
      <c r="N5333" s="23" t="str">
        <f t="shared" si="334"/>
        <v>OK</v>
      </c>
      <c r="O5333" s="24">
        <f t="shared" si="335"/>
        <v>0</v>
      </c>
    </row>
    <row r="5334" spans="1:15" ht="15" customHeight="1" x14ac:dyDescent="0.3">
      <c r="A5334" s="23" t="s">
        <v>11099</v>
      </c>
      <c r="B5334" s="38">
        <v>46266</v>
      </c>
      <c r="C5334" s="23" t="s">
        <v>11100</v>
      </c>
      <c r="D5334" s="23" t="s">
        <v>93</v>
      </c>
      <c r="E5334" s="23" t="s">
        <v>75</v>
      </c>
      <c r="F5334" s="23" t="s">
        <v>1367</v>
      </c>
      <c r="G5334" s="23" t="s">
        <v>250</v>
      </c>
      <c r="H5334" s="39">
        <f t="shared" si="332"/>
        <v>898</v>
      </c>
      <c r="I5334" s="23" t="str">
        <f t="shared" si="333"/>
        <v>Kolkata</v>
      </c>
      <c r="J5334" s="23">
        <f>COUNTIFS(pg_transaction_cleaned!$O:$O,A5334,pg_transaction_cleaned!$F:$F,"CAPTURE")</f>
        <v>1</v>
      </c>
      <c r="K5334" s="39">
        <f>SUMIFS(pg_transaction_cleaned!$H:$H,pg_transaction_cleaned!$O:$O,A5334,pg_transaction_cleaned!$F:$F,"CAPTURE")</f>
        <v>898</v>
      </c>
      <c r="L5334" s="23">
        <f>COUNTIFS(pg_transaction_cleaned!$O:$O,A5334,pg_transaction_cleaned!$F:$F,"REFUND")</f>
        <v>0</v>
      </c>
      <c r="M5334" s="39">
        <f>SUMIFS(pg_transaction_cleaned!$H:$H,pg_transaction_cleaned!$O:$O,A5334,pg_transaction_cleaned!$F:$F,"REFUND")</f>
        <v>0</v>
      </c>
      <c r="N5334" s="23" t="str">
        <f t="shared" si="334"/>
        <v>OK</v>
      </c>
      <c r="O5334" s="24">
        <f t="shared" si="335"/>
        <v>0</v>
      </c>
    </row>
    <row r="5335" spans="1:15" ht="15" customHeight="1" x14ac:dyDescent="0.3">
      <c r="A5335" s="23" t="s">
        <v>11101</v>
      </c>
      <c r="B5335" s="38">
        <v>46266</v>
      </c>
      <c r="C5335" s="23" t="s">
        <v>11102</v>
      </c>
      <c r="D5335" s="23" t="s">
        <v>86</v>
      </c>
      <c r="E5335" s="23" t="s">
        <v>75</v>
      </c>
      <c r="F5335" s="23" t="s">
        <v>396</v>
      </c>
      <c r="G5335" s="23" t="s">
        <v>301</v>
      </c>
      <c r="H5335" s="39">
        <f t="shared" si="332"/>
        <v>2999</v>
      </c>
      <c r="I5335" s="23" t="str">
        <f t="shared" si="333"/>
        <v>Delhi</v>
      </c>
      <c r="J5335" s="23">
        <f>COUNTIFS(pg_transaction_cleaned!$O:$O,A5335,pg_transaction_cleaned!$F:$F,"CAPTURE")</f>
        <v>1</v>
      </c>
      <c r="K5335" s="39">
        <f>SUMIFS(pg_transaction_cleaned!$H:$H,pg_transaction_cleaned!$O:$O,A5335,pg_transaction_cleaned!$F:$F,"CAPTURE")</f>
        <v>2999</v>
      </c>
      <c r="L5335" s="23">
        <f>COUNTIFS(pg_transaction_cleaned!$O:$O,A5335,pg_transaction_cleaned!$F:$F,"REFUND")</f>
        <v>1</v>
      </c>
      <c r="M5335" s="39">
        <f>SUMIFS(pg_transaction_cleaned!$H:$H,pg_transaction_cleaned!$O:$O,A5335,pg_transaction_cleaned!$F:$F,"REFUND")</f>
        <v>2999</v>
      </c>
      <c r="N5335" s="23" t="str">
        <f t="shared" si="334"/>
        <v>OK</v>
      </c>
      <c r="O5335" s="24">
        <f t="shared" si="335"/>
        <v>0</v>
      </c>
    </row>
    <row r="5336" spans="1:15" ht="15" customHeight="1" x14ac:dyDescent="0.3">
      <c r="A5336" s="23" t="s">
        <v>11103</v>
      </c>
      <c r="B5336" s="38">
        <v>46293</v>
      </c>
      <c r="C5336" s="23" t="s">
        <v>11104</v>
      </c>
      <c r="D5336" s="23" t="s">
        <v>89</v>
      </c>
      <c r="E5336" s="23" t="s">
        <v>77</v>
      </c>
      <c r="F5336" s="23" t="s">
        <v>612</v>
      </c>
      <c r="G5336" s="23" t="s">
        <v>250</v>
      </c>
      <c r="H5336" s="39">
        <f t="shared" si="332"/>
        <v>8498</v>
      </c>
      <c r="I5336" s="23" t="str">
        <f t="shared" si="333"/>
        <v>Jaipur</v>
      </c>
      <c r="J5336" s="23">
        <f>COUNTIFS(pg_transaction_cleaned!$O:$O,A5336,pg_transaction_cleaned!$F:$F,"CAPTURE")</f>
        <v>1</v>
      </c>
      <c r="K5336" s="39">
        <f>SUMIFS(pg_transaction_cleaned!$H:$H,pg_transaction_cleaned!$O:$O,A5336,pg_transaction_cleaned!$F:$F,"CAPTURE")</f>
        <v>8498</v>
      </c>
      <c r="L5336" s="23">
        <f>COUNTIFS(pg_transaction_cleaned!$O:$O,A5336,pg_transaction_cleaned!$F:$F,"REFUND")</f>
        <v>0</v>
      </c>
      <c r="M5336" s="39">
        <f>SUMIFS(pg_transaction_cleaned!$H:$H,pg_transaction_cleaned!$O:$O,A5336,pg_transaction_cleaned!$F:$F,"REFUND")</f>
        <v>0</v>
      </c>
      <c r="N5336" s="23" t="str">
        <f t="shared" si="334"/>
        <v>OK</v>
      </c>
      <c r="O5336" s="24">
        <f t="shared" si="335"/>
        <v>0</v>
      </c>
    </row>
    <row r="5337" spans="1:15" ht="15" customHeight="1" x14ac:dyDescent="0.3">
      <c r="A5337" s="23" t="s">
        <v>11105</v>
      </c>
      <c r="B5337" s="38">
        <v>46270</v>
      </c>
      <c r="C5337" s="23" t="s">
        <v>11106</v>
      </c>
      <c r="D5337" s="23" t="s">
        <v>93</v>
      </c>
      <c r="E5337" s="23" t="s">
        <v>75</v>
      </c>
      <c r="F5337" s="23" t="s">
        <v>271</v>
      </c>
      <c r="G5337" s="23" t="s">
        <v>250</v>
      </c>
      <c r="H5337" s="39">
        <f t="shared" si="332"/>
        <v>2499</v>
      </c>
      <c r="I5337" s="23" t="str">
        <f t="shared" si="333"/>
        <v>Kolkata</v>
      </c>
      <c r="J5337" s="23">
        <f>COUNTIFS(pg_transaction_cleaned!$O:$O,A5337,pg_transaction_cleaned!$F:$F,"CAPTURE")</f>
        <v>1</v>
      </c>
      <c r="K5337" s="39">
        <f>SUMIFS(pg_transaction_cleaned!$H:$H,pg_transaction_cleaned!$O:$O,A5337,pg_transaction_cleaned!$F:$F,"CAPTURE")</f>
        <v>2499</v>
      </c>
      <c r="L5337" s="23">
        <f>COUNTIFS(pg_transaction_cleaned!$O:$O,A5337,pg_transaction_cleaned!$F:$F,"REFUND")</f>
        <v>0</v>
      </c>
      <c r="M5337" s="39">
        <f>SUMIFS(pg_transaction_cleaned!$H:$H,pg_transaction_cleaned!$O:$O,A5337,pg_transaction_cleaned!$F:$F,"REFUND")</f>
        <v>0</v>
      </c>
      <c r="N5337" s="23" t="str">
        <f t="shared" si="334"/>
        <v>OK</v>
      </c>
      <c r="O5337" s="24">
        <f t="shared" si="335"/>
        <v>0</v>
      </c>
    </row>
    <row r="5338" spans="1:15" ht="15" customHeight="1" x14ac:dyDescent="0.3">
      <c r="A5338" s="23" t="s">
        <v>11107</v>
      </c>
      <c r="B5338" s="38">
        <v>46293</v>
      </c>
      <c r="C5338" s="23" t="s">
        <v>11108</v>
      </c>
      <c r="D5338" s="23" t="s">
        <v>86</v>
      </c>
      <c r="E5338" s="23" t="s">
        <v>75</v>
      </c>
      <c r="F5338" s="23" t="s">
        <v>460</v>
      </c>
      <c r="G5338" s="23" t="s">
        <v>250</v>
      </c>
      <c r="H5338" s="39">
        <f t="shared" si="332"/>
        <v>1998</v>
      </c>
      <c r="I5338" s="23" t="str">
        <f t="shared" si="333"/>
        <v>Delhi</v>
      </c>
      <c r="J5338" s="23">
        <f>COUNTIFS(pg_transaction_cleaned!$O:$O,A5338,pg_transaction_cleaned!$F:$F,"CAPTURE")</f>
        <v>1</v>
      </c>
      <c r="K5338" s="39">
        <f>SUMIFS(pg_transaction_cleaned!$H:$H,pg_transaction_cleaned!$O:$O,A5338,pg_transaction_cleaned!$F:$F,"CAPTURE")</f>
        <v>1998</v>
      </c>
      <c r="L5338" s="23">
        <f>COUNTIFS(pg_transaction_cleaned!$O:$O,A5338,pg_transaction_cleaned!$F:$F,"REFUND")</f>
        <v>0</v>
      </c>
      <c r="M5338" s="39">
        <f>SUMIFS(pg_transaction_cleaned!$H:$H,pg_transaction_cleaned!$O:$O,A5338,pg_transaction_cleaned!$F:$F,"REFUND")</f>
        <v>0</v>
      </c>
      <c r="N5338" s="23" t="str">
        <f t="shared" si="334"/>
        <v>OK</v>
      </c>
      <c r="O5338" s="24">
        <f t="shared" si="335"/>
        <v>0</v>
      </c>
    </row>
    <row r="5339" spans="1:15" ht="15" customHeight="1" x14ac:dyDescent="0.3">
      <c r="A5339" s="23" t="s">
        <v>11109</v>
      </c>
      <c r="B5339" s="38">
        <v>46279</v>
      </c>
      <c r="C5339" s="23" t="s">
        <v>11110</v>
      </c>
      <c r="D5339" s="23" t="s">
        <v>87</v>
      </c>
      <c r="E5339" s="23" t="s">
        <v>79</v>
      </c>
      <c r="F5339" s="23" t="s">
        <v>1596</v>
      </c>
      <c r="G5339" s="23" t="s">
        <v>250</v>
      </c>
      <c r="H5339" s="39">
        <f t="shared" si="332"/>
        <v>3499</v>
      </c>
      <c r="I5339" s="23" t="str">
        <f t="shared" si="333"/>
        <v>Mumbai</v>
      </c>
      <c r="J5339" s="23">
        <f>COUNTIFS(pg_transaction_cleaned!$O:$O,A5339,pg_transaction_cleaned!$F:$F,"CAPTURE")</f>
        <v>1</v>
      </c>
      <c r="K5339" s="39">
        <f>SUMIFS(pg_transaction_cleaned!$H:$H,pg_transaction_cleaned!$O:$O,A5339,pg_transaction_cleaned!$F:$F,"CAPTURE")</f>
        <v>3499</v>
      </c>
      <c r="L5339" s="23">
        <f>COUNTIFS(pg_transaction_cleaned!$O:$O,A5339,pg_transaction_cleaned!$F:$F,"REFUND")</f>
        <v>0</v>
      </c>
      <c r="M5339" s="39">
        <f>SUMIFS(pg_transaction_cleaned!$H:$H,pg_transaction_cleaned!$O:$O,A5339,pg_transaction_cleaned!$F:$F,"REFUND")</f>
        <v>0</v>
      </c>
      <c r="N5339" s="23" t="str">
        <f t="shared" si="334"/>
        <v>OK</v>
      </c>
      <c r="O5339" s="24">
        <f t="shared" si="335"/>
        <v>0</v>
      </c>
    </row>
    <row r="5340" spans="1:15" ht="15" customHeight="1" x14ac:dyDescent="0.3">
      <c r="A5340" s="23" t="s">
        <v>11111</v>
      </c>
      <c r="B5340" s="38">
        <v>46295</v>
      </c>
      <c r="C5340" s="23" t="s">
        <v>11112</v>
      </c>
      <c r="D5340" s="23" t="s">
        <v>88</v>
      </c>
      <c r="E5340" s="23" t="s">
        <v>79</v>
      </c>
      <c r="F5340" s="23" t="s">
        <v>291</v>
      </c>
      <c r="G5340" s="23" t="s">
        <v>250</v>
      </c>
      <c r="H5340" s="39">
        <f t="shared" si="332"/>
        <v>3499</v>
      </c>
      <c r="I5340" s="23" t="str">
        <f t="shared" si="333"/>
        <v>Lucknow</v>
      </c>
      <c r="J5340" s="23">
        <f>COUNTIFS(pg_transaction_cleaned!$O:$O,A5340,pg_transaction_cleaned!$F:$F,"CAPTURE")</f>
        <v>1</v>
      </c>
      <c r="K5340" s="39">
        <f>SUMIFS(pg_transaction_cleaned!$H:$H,pg_transaction_cleaned!$O:$O,A5340,pg_transaction_cleaned!$F:$F,"CAPTURE")</f>
        <v>3499</v>
      </c>
      <c r="L5340" s="23">
        <f>COUNTIFS(pg_transaction_cleaned!$O:$O,A5340,pg_transaction_cleaned!$F:$F,"REFUND")</f>
        <v>0</v>
      </c>
      <c r="M5340" s="39">
        <f>SUMIFS(pg_transaction_cleaned!$H:$H,pg_transaction_cleaned!$O:$O,A5340,pg_transaction_cleaned!$F:$F,"REFUND")</f>
        <v>0</v>
      </c>
      <c r="N5340" s="23" t="str">
        <f t="shared" si="334"/>
        <v>OK</v>
      </c>
      <c r="O5340" s="24">
        <f t="shared" si="335"/>
        <v>0</v>
      </c>
    </row>
    <row r="5341" spans="1:15" ht="15" customHeight="1" x14ac:dyDescent="0.3">
      <c r="A5341" s="23" t="s">
        <v>11113</v>
      </c>
      <c r="B5341" s="38">
        <v>46271</v>
      </c>
      <c r="C5341" s="23" t="s">
        <v>11114</v>
      </c>
      <c r="D5341" s="23" t="s">
        <v>92</v>
      </c>
      <c r="E5341" s="23" t="s">
        <v>77</v>
      </c>
      <c r="F5341" s="23" t="s">
        <v>1054</v>
      </c>
      <c r="G5341" s="23" t="s">
        <v>250</v>
      </c>
      <c r="H5341" s="39">
        <f t="shared" si="332"/>
        <v>6597</v>
      </c>
      <c r="I5341" s="23" t="str">
        <f t="shared" si="333"/>
        <v>Hyderabad</v>
      </c>
      <c r="J5341" s="23">
        <f>COUNTIFS(pg_transaction_cleaned!$O:$O,A5341,pg_transaction_cleaned!$F:$F,"CAPTURE")</f>
        <v>1</v>
      </c>
      <c r="K5341" s="39">
        <f>SUMIFS(pg_transaction_cleaned!$H:$H,pg_transaction_cleaned!$O:$O,A5341,pg_transaction_cleaned!$F:$F,"CAPTURE")</f>
        <v>6597</v>
      </c>
      <c r="L5341" s="23">
        <f>COUNTIFS(pg_transaction_cleaned!$O:$O,A5341,pg_transaction_cleaned!$F:$F,"REFUND")</f>
        <v>0</v>
      </c>
      <c r="M5341" s="39">
        <f>SUMIFS(pg_transaction_cleaned!$H:$H,pg_transaction_cleaned!$O:$O,A5341,pg_transaction_cleaned!$F:$F,"REFUND")</f>
        <v>0</v>
      </c>
      <c r="N5341" s="23" t="str">
        <f t="shared" si="334"/>
        <v>OK</v>
      </c>
      <c r="O5341" s="24">
        <f t="shared" si="335"/>
        <v>0</v>
      </c>
    </row>
    <row r="5342" spans="1:15" ht="15" customHeight="1" x14ac:dyDescent="0.3">
      <c r="A5342" s="23" t="s">
        <v>11115</v>
      </c>
      <c r="B5342" s="38">
        <v>46283</v>
      </c>
      <c r="C5342" s="23" t="s">
        <v>5325</v>
      </c>
      <c r="D5342" s="23" t="s">
        <v>92</v>
      </c>
      <c r="E5342" s="23" t="s">
        <v>75</v>
      </c>
      <c r="F5342" s="23" t="s">
        <v>329</v>
      </c>
      <c r="G5342" s="23" t="s">
        <v>250</v>
      </c>
      <c r="H5342" s="39">
        <f t="shared" si="332"/>
        <v>599</v>
      </c>
      <c r="I5342" s="23" t="str">
        <f t="shared" si="333"/>
        <v>Hyderabad</v>
      </c>
      <c r="J5342" s="23">
        <f>COUNTIFS(pg_transaction_cleaned!$O:$O,A5342,pg_transaction_cleaned!$F:$F,"CAPTURE")</f>
        <v>1</v>
      </c>
      <c r="K5342" s="39">
        <f>SUMIFS(pg_transaction_cleaned!$H:$H,pg_transaction_cleaned!$O:$O,A5342,pg_transaction_cleaned!$F:$F,"CAPTURE")</f>
        <v>599</v>
      </c>
      <c r="L5342" s="23">
        <f>COUNTIFS(pg_transaction_cleaned!$O:$O,A5342,pg_transaction_cleaned!$F:$F,"REFUND")</f>
        <v>0</v>
      </c>
      <c r="M5342" s="39">
        <f>SUMIFS(pg_transaction_cleaned!$H:$H,pg_transaction_cleaned!$O:$O,A5342,pg_transaction_cleaned!$F:$F,"REFUND")</f>
        <v>0</v>
      </c>
      <c r="N5342" s="23" t="str">
        <f t="shared" si="334"/>
        <v>OK</v>
      </c>
      <c r="O5342" s="24">
        <f t="shared" si="335"/>
        <v>0</v>
      </c>
    </row>
    <row r="5343" spans="1:15" ht="15" customHeight="1" x14ac:dyDescent="0.3">
      <c r="A5343" s="23" t="s">
        <v>11116</v>
      </c>
      <c r="B5343" s="38">
        <v>46272</v>
      </c>
      <c r="C5343" s="23" t="s">
        <v>11117</v>
      </c>
      <c r="D5343" s="23" t="s">
        <v>91</v>
      </c>
      <c r="E5343" s="23" t="s">
        <v>75</v>
      </c>
      <c r="F5343" s="23" t="s">
        <v>294</v>
      </c>
      <c r="G5343" s="23" t="s">
        <v>250</v>
      </c>
      <c r="H5343" s="39">
        <f t="shared" si="332"/>
        <v>1799</v>
      </c>
      <c r="I5343" s="23" t="str">
        <f t="shared" si="333"/>
        <v>Pune</v>
      </c>
      <c r="J5343" s="23">
        <f>COUNTIFS(pg_transaction_cleaned!$O:$O,A5343,pg_transaction_cleaned!$F:$F,"CAPTURE")</f>
        <v>1</v>
      </c>
      <c r="K5343" s="39">
        <f>SUMIFS(pg_transaction_cleaned!$H:$H,pg_transaction_cleaned!$O:$O,A5343,pg_transaction_cleaned!$F:$F,"CAPTURE")</f>
        <v>1799</v>
      </c>
      <c r="L5343" s="23">
        <f>COUNTIFS(pg_transaction_cleaned!$O:$O,A5343,pg_transaction_cleaned!$F:$F,"REFUND")</f>
        <v>0</v>
      </c>
      <c r="M5343" s="39">
        <f>SUMIFS(pg_transaction_cleaned!$H:$H,pg_transaction_cleaned!$O:$O,A5343,pg_transaction_cleaned!$F:$F,"REFUND")</f>
        <v>0</v>
      </c>
      <c r="N5343" s="23" t="str">
        <f t="shared" si="334"/>
        <v>OK</v>
      </c>
      <c r="O5343" s="24">
        <f t="shared" si="335"/>
        <v>0</v>
      </c>
    </row>
    <row r="5344" spans="1:15" ht="15" customHeight="1" x14ac:dyDescent="0.3">
      <c r="A5344" s="23" t="s">
        <v>11118</v>
      </c>
      <c r="B5344" s="38">
        <v>46269</v>
      </c>
      <c r="C5344" s="23" t="s">
        <v>11119</v>
      </c>
      <c r="D5344" s="23" t="s">
        <v>91</v>
      </c>
      <c r="E5344" s="23" t="s">
        <v>79</v>
      </c>
      <c r="F5344" s="23" t="s">
        <v>307</v>
      </c>
      <c r="G5344" s="23" t="s">
        <v>301</v>
      </c>
      <c r="H5344" s="39">
        <f t="shared" si="332"/>
        <v>3798</v>
      </c>
      <c r="I5344" s="23" t="str">
        <f t="shared" si="333"/>
        <v>Pune</v>
      </c>
      <c r="J5344" s="23">
        <f>COUNTIFS(pg_transaction_cleaned!$O:$O,A5344,pg_transaction_cleaned!$F:$F,"CAPTURE")</f>
        <v>1</v>
      </c>
      <c r="K5344" s="39">
        <f>SUMIFS(pg_transaction_cleaned!$H:$H,pg_transaction_cleaned!$O:$O,A5344,pg_transaction_cleaned!$F:$F,"CAPTURE")</f>
        <v>3798</v>
      </c>
      <c r="L5344" s="23">
        <f>COUNTIFS(pg_transaction_cleaned!$O:$O,A5344,pg_transaction_cleaned!$F:$F,"REFUND")</f>
        <v>1</v>
      </c>
      <c r="M5344" s="39">
        <f>SUMIFS(pg_transaction_cleaned!$H:$H,pg_transaction_cleaned!$O:$O,A5344,pg_transaction_cleaned!$F:$F,"REFUND")</f>
        <v>3798</v>
      </c>
      <c r="N5344" s="23" t="str">
        <f t="shared" si="334"/>
        <v>OK</v>
      </c>
      <c r="O5344" s="24">
        <f t="shared" si="335"/>
        <v>0</v>
      </c>
    </row>
    <row r="5345" spans="1:15" ht="15" customHeight="1" x14ac:dyDescent="0.3">
      <c r="A5345" s="23" t="s">
        <v>11120</v>
      </c>
      <c r="B5345" s="38">
        <v>46270</v>
      </c>
      <c r="C5345" s="23" t="s">
        <v>11121</v>
      </c>
      <c r="D5345" s="23" t="s">
        <v>90</v>
      </c>
      <c r="E5345" s="23" t="s">
        <v>81</v>
      </c>
      <c r="F5345" s="23" t="s">
        <v>262</v>
      </c>
      <c r="G5345" s="23" t="s">
        <v>250</v>
      </c>
      <c r="H5345" s="39">
        <f t="shared" si="332"/>
        <v>499</v>
      </c>
      <c r="I5345" s="23" t="str">
        <f t="shared" si="333"/>
        <v>Ahmedabad</v>
      </c>
      <c r="J5345" s="23">
        <f>COUNTIFS(pg_transaction_cleaned!$O:$O,A5345,pg_transaction_cleaned!$F:$F,"CAPTURE")</f>
        <v>1</v>
      </c>
      <c r="K5345" s="39">
        <f>SUMIFS(pg_transaction_cleaned!$H:$H,pg_transaction_cleaned!$O:$O,A5345,pg_transaction_cleaned!$F:$F,"CAPTURE")</f>
        <v>499</v>
      </c>
      <c r="L5345" s="23">
        <f>COUNTIFS(pg_transaction_cleaned!$O:$O,A5345,pg_transaction_cleaned!$F:$F,"REFUND")</f>
        <v>0</v>
      </c>
      <c r="M5345" s="39">
        <f>SUMIFS(pg_transaction_cleaned!$H:$H,pg_transaction_cleaned!$O:$O,A5345,pg_transaction_cleaned!$F:$F,"REFUND")</f>
        <v>0</v>
      </c>
      <c r="N5345" s="23" t="str">
        <f t="shared" si="334"/>
        <v>OK</v>
      </c>
      <c r="O5345" s="24">
        <f t="shared" si="335"/>
        <v>0</v>
      </c>
    </row>
    <row r="5346" spans="1:15" ht="15" customHeight="1" x14ac:dyDescent="0.3">
      <c r="A5346" s="23" t="s">
        <v>11122</v>
      </c>
      <c r="B5346" s="38">
        <v>46283</v>
      </c>
      <c r="C5346" s="23" t="s">
        <v>11123</v>
      </c>
      <c r="D5346" s="23" t="s">
        <v>93</v>
      </c>
      <c r="E5346" s="23" t="s">
        <v>75</v>
      </c>
      <c r="F5346" s="23" t="s">
        <v>9454</v>
      </c>
      <c r="G5346" s="23" t="s">
        <v>250</v>
      </c>
      <c r="H5346" s="39">
        <f t="shared" si="332"/>
        <v>6847</v>
      </c>
      <c r="I5346" s="23" t="str">
        <f t="shared" si="333"/>
        <v>Kolkata</v>
      </c>
      <c r="J5346" s="23">
        <f>COUNTIFS(pg_transaction_cleaned!$O:$O,A5346,pg_transaction_cleaned!$F:$F,"CAPTURE")</f>
        <v>1</v>
      </c>
      <c r="K5346" s="39">
        <f>SUMIFS(pg_transaction_cleaned!$H:$H,pg_transaction_cleaned!$O:$O,A5346,pg_transaction_cleaned!$F:$F,"CAPTURE")</f>
        <v>6847</v>
      </c>
      <c r="L5346" s="23">
        <f>COUNTIFS(pg_transaction_cleaned!$O:$O,A5346,pg_transaction_cleaned!$F:$F,"REFUND")</f>
        <v>0</v>
      </c>
      <c r="M5346" s="39">
        <f>SUMIFS(pg_transaction_cleaned!$H:$H,pg_transaction_cleaned!$O:$O,A5346,pg_transaction_cleaned!$F:$F,"REFUND")</f>
        <v>0</v>
      </c>
      <c r="N5346" s="23" t="str">
        <f t="shared" si="334"/>
        <v>OK</v>
      </c>
      <c r="O5346" s="24">
        <f t="shared" si="335"/>
        <v>0</v>
      </c>
    </row>
    <row r="5347" spans="1:15" ht="15" customHeight="1" x14ac:dyDescent="0.3">
      <c r="A5347" s="23" t="s">
        <v>11124</v>
      </c>
      <c r="B5347" s="38">
        <v>46274</v>
      </c>
      <c r="C5347" s="23" t="s">
        <v>11125</v>
      </c>
      <c r="D5347" s="23" t="s">
        <v>94</v>
      </c>
      <c r="E5347" s="23" t="s">
        <v>79</v>
      </c>
      <c r="F5347" s="23" t="s">
        <v>1879</v>
      </c>
      <c r="G5347" s="23" t="s">
        <v>250</v>
      </c>
      <c r="H5347" s="39">
        <f t="shared" si="332"/>
        <v>2497</v>
      </c>
      <c r="I5347" s="23" t="str">
        <f t="shared" si="333"/>
        <v>Chennai</v>
      </c>
      <c r="J5347" s="23">
        <f>COUNTIFS(pg_transaction_cleaned!$O:$O,A5347,pg_transaction_cleaned!$F:$F,"CAPTURE")</f>
        <v>1</v>
      </c>
      <c r="K5347" s="39">
        <f>SUMIFS(pg_transaction_cleaned!$H:$H,pg_transaction_cleaned!$O:$O,A5347,pg_transaction_cleaned!$F:$F,"CAPTURE")</f>
        <v>2497</v>
      </c>
      <c r="L5347" s="23">
        <f>COUNTIFS(pg_transaction_cleaned!$O:$O,A5347,pg_transaction_cleaned!$F:$F,"REFUND")</f>
        <v>0</v>
      </c>
      <c r="M5347" s="39">
        <f>SUMIFS(pg_transaction_cleaned!$H:$H,pg_transaction_cleaned!$O:$O,A5347,pg_transaction_cleaned!$F:$F,"REFUND")</f>
        <v>0</v>
      </c>
      <c r="N5347" s="23" t="str">
        <f t="shared" si="334"/>
        <v>OK</v>
      </c>
      <c r="O5347" s="24">
        <f t="shared" si="335"/>
        <v>0</v>
      </c>
    </row>
    <row r="5348" spans="1:15" ht="15" customHeight="1" x14ac:dyDescent="0.3">
      <c r="A5348" s="23" t="s">
        <v>11126</v>
      </c>
      <c r="B5348" s="38">
        <v>46295</v>
      </c>
      <c r="C5348" s="23" t="s">
        <v>11127</v>
      </c>
      <c r="D5348" s="23" t="s">
        <v>94</v>
      </c>
      <c r="E5348" s="23" t="s">
        <v>79</v>
      </c>
      <c r="F5348" s="23" t="s">
        <v>291</v>
      </c>
      <c r="G5348" s="23" t="s">
        <v>301</v>
      </c>
      <c r="H5348" s="39">
        <f t="shared" si="332"/>
        <v>3499</v>
      </c>
      <c r="I5348" s="23" t="str">
        <f t="shared" si="333"/>
        <v>Chennai</v>
      </c>
      <c r="J5348" s="23">
        <f>COUNTIFS(pg_transaction_cleaned!$O:$O,A5348,pg_transaction_cleaned!$F:$F,"CAPTURE")</f>
        <v>1</v>
      </c>
      <c r="K5348" s="39">
        <f>SUMIFS(pg_transaction_cleaned!$H:$H,pg_transaction_cleaned!$O:$O,A5348,pg_transaction_cleaned!$F:$F,"CAPTURE")</f>
        <v>3499</v>
      </c>
      <c r="L5348" s="23">
        <f>COUNTIFS(pg_transaction_cleaned!$O:$O,A5348,pg_transaction_cleaned!$F:$F,"REFUND")</f>
        <v>1</v>
      </c>
      <c r="M5348" s="39">
        <f>SUMIFS(pg_transaction_cleaned!$H:$H,pg_transaction_cleaned!$O:$O,A5348,pg_transaction_cleaned!$F:$F,"REFUND")</f>
        <v>3499</v>
      </c>
      <c r="N5348" s="23" t="str">
        <f t="shared" si="334"/>
        <v>OK</v>
      </c>
      <c r="O5348" s="24">
        <f t="shared" si="335"/>
        <v>0</v>
      </c>
    </row>
    <row r="5349" spans="1:15" ht="15" customHeight="1" x14ac:dyDescent="0.3">
      <c r="A5349" s="23" t="s">
        <v>11128</v>
      </c>
      <c r="B5349" s="38">
        <v>46284</v>
      </c>
      <c r="C5349" s="23" t="s">
        <v>11129</v>
      </c>
      <c r="D5349" s="23" t="s">
        <v>95</v>
      </c>
      <c r="E5349" s="23" t="s">
        <v>75</v>
      </c>
      <c r="F5349" s="23" t="s">
        <v>262</v>
      </c>
      <c r="G5349" s="23" t="s">
        <v>250</v>
      </c>
      <c r="H5349" s="39">
        <f t="shared" si="332"/>
        <v>499</v>
      </c>
      <c r="I5349" s="23" t="str">
        <f t="shared" si="333"/>
        <v>Bengaluru</v>
      </c>
      <c r="J5349" s="23">
        <f>COUNTIFS(pg_transaction_cleaned!$O:$O,A5349,pg_transaction_cleaned!$F:$F,"CAPTURE")</f>
        <v>1</v>
      </c>
      <c r="K5349" s="39">
        <f>SUMIFS(pg_transaction_cleaned!$H:$H,pg_transaction_cleaned!$O:$O,A5349,pg_transaction_cleaned!$F:$F,"CAPTURE")</f>
        <v>499</v>
      </c>
      <c r="L5349" s="23">
        <f>COUNTIFS(pg_transaction_cleaned!$O:$O,A5349,pg_transaction_cleaned!$F:$F,"REFUND")</f>
        <v>0</v>
      </c>
      <c r="M5349" s="39">
        <f>SUMIFS(pg_transaction_cleaned!$H:$H,pg_transaction_cleaned!$O:$O,A5349,pg_transaction_cleaned!$F:$F,"REFUND")</f>
        <v>0</v>
      </c>
      <c r="N5349" s="23" t="str">
        <f t="shared" si="334"/>
        <v>OK</v>
      </c>
      <c r="O5349" s="24">
        <f t="shared" si="335"/>
        <v>0</v>
      </c>
    </row>
    <row r="5350" spans="1:15" ht="15" customHeight="1" x14ac:dyDescent="0.3">
      <c r="A5350" s="23" t="s">
        <v>11130</v>
      </c>
      <c r="B5350" s="38">
        <v>46295</v>
      </c>
      <c r="C5350" s="23" t="s">
        <v>11131</v>
      </c>
      <c r="D5350" s="23" t="s">
        <v>94</v>
      </c>
      <c r="E5350" s="23" t="s">
        <v>75</v>
      </c>
      <c r="F5350" s="23" t="s">
        <v>329</v>
      </c>
      <c r="G5350" s="23" t="s">
        <v>250</v>
      </c>
      <c r="H5350" s="39">
        <f t="shared" si="332"/>
        <v>599</v>
      </c>
      <c r="I5350" s="23" t="str">
        <f t="shared" si="333"/>
        <v>Chennai</v>
      </c>
      <c r="J5350" s="23">
        <f>COUNTIFS(pg_transaction_cleaned!$O:$O,A5350,pg_transaction_cleaned!$F:$F,"CAPTURE")</f>
        <v>1</v>
      </c>
      <c r="K5350" s="39">
        <f>SUMIFS(pg_transaction_cleaned!$H:$H,pg_transaction_cleaned!$O:$O,A5350,pg_transaction_cleaned!$F:$F,"CAPTURE")</f>
        <v>599</v>
      </c>
      <c r="L5350" s="23">
        <f>COUNTIFS(pg_transaction_cleaned!$O:$O,A5350,pg_transaction_cleaned!$F:$F,"REFUND")</f>
        <v>0</v>
      </c>
      <c r="M5350" s="39">
        <f>SUMIFS(pg_transaction_cleaned!$H:$H,pg_transaction_cleaned!$O:$O,A5350,pg_transaction_cleaned!$F:$F,"REFUND")</f>
        <v>0</v>
      </c>
      <c r="N5350" s="23" t="str">
        <f t="shared" si="334"/>
        <v>OK</v>
      </c>
      <c r="O5350" s="24">
        <f t="shared" si="335"/>
        <v>0</v>
      </c>
    </row>
    <row r="5351" spans="1:15" ht="15" customHeight="1" x14ac:dyDescent="0.3">
      <c r="A5351" s="23" t="s">
        <v>11132</v>
      </c>
      <c r="B5351" s="38">
        <v>46284</v>
      </c>
      <c r="C5351" s="23" t="s">
        <v>11133</v>
      </c>
      <c r="D5351" s="23" t="s">
        <v>90</v>
      </c>
      <c r="E5351" s="23" t="s">
        <v>75</v>
      </c>
      <c r="F5351" s="23" t="s">
        <v>10716</v>
      </c>
      <c r="G5351" s="23" t="s">
        <v>250</v>
      </c>
      <c r="H5351" s="39">
        <f t="shared" si="332"/>
        <v>1998</v>
      </c>
      <c r="I5351" s="23" t="str">
        <f t="shared" si="333"/>
        <v>Ahmedabad</v>
      </c>
      <c r="J5351" s="23">
        <f>COUNTIFS(pg_transaction_cleaned!$O:$O,A5351,pg_transaction_cleaned!$F:$F,"CAPTURE")</f>
        <v>1</v>
      </c>
      <c r="K5351" s="39">
        <f>SUMIFS(pg_transaction_cleaned!$H:$H,pg_transaction_cleaned!$O:$O,A5351,pg_transaction_cleaned!$F:$F,"CAPTURE")</f>
        <v>1998</v>
      </c>
      <c r="L5351" s="23">
        <f>COUNTIFS(pg_transaction_cleaned!$O:$O,A5351,pg_transaction_cleaned!$F:$F,"REFUND")</f>
        <v>0</v>
      </c>
      <c r="M5351" s="39">
        <f>SUMIFS(pg_transaction_cleaned!$H:$H,pg_transaction_cleaned!$O:$O,A5351,pg_transaction_cleaned!$F:$F,"REFUND")</f>
        <v>0</v>
      </c>
      <c r="N5351" s="23" t="str">
        <f t="shared" si="334"/>
        <v>OK</v>
      </c>
      <c r="O5351" s="24">
        <f t="shared" si="335"/>
        <v>0</v>
      </c>
    </row>
    <row r="5352" spans="1:15" ht="15" customHeight="1" x14ac:dyDescent="0.3">
      <c r="A5352" s="23" t="s">
        <v>11134</v>
      </c>
      <c r="B5352" s="38">
        <v>46281</v>
      </c>
      <c r="C5352" s="23" t="s">
        <v>11135</v>
      </c>
      <c r="D5352" s="23" t="s">
        <v>91</v>
      </c>
      <c r="E5352" s="23" t="s">
        <v>79</v>
      </c>
      <c r="F5352" s="23" t="s">
        <v>271</v>
      </c>
      <c r="G5352" s="23" t="s">
        <v>250</v>
      </c>
      <c r="H5352" s="39">
        <f t="shared" si="332"/>
        <v>2499</v>
      </c>
      <c r="I5352" s="23" t="str">
        <f t="shared" si="333"/>
        <v>Pune</v>
      </c>
      <c r="J5352" s="23">
        <f>COUNTIFS(pg_transaction_cleaned!$O:$O,A5352,pg_transaction_cleaned!$F:$F,"CAPTURE")</f>
        <v>1</v>
      </c>
      <c r="K5352" s="39">
        <f>SUMIFS(pg_transaction_cleaned!$H:$H,pg_transaction_cleaned!$O:$O,A5352,pg_transaction_cleaned!$F:$F,"CAPTURE")</f>
        <v>2499</v>
      </c>
      <c r="L5352" s="23">
        <f>COUNTIFS(pg_transaction_cleaned!$O:$O,A5352,pg_transaction_cleaned!$F:$F,"REFUND")</f>
        <v>0</v>
      </c>
      <c r="M5352" s="39">
        <f>SUMIFS(pg_transaction_cleaned!$H:$H,pg_transaction_cleaned!$O:$O,A5352,pg_transaction_cleaned!$F:$F,"REFUND")</f>
        <v>0</v>
      </c>
      <c r="N5352" s="23" t="str">
        <f t="shared" si="334"/>
        <v>OK</v>
      </c>
      <c r="O5352" s="24">
        <f t="shared" si="335"/>
        <v>0</v>
      </c>
    </row>
    <row r="5353" spans="1:15" ht="15" customHeight="1" x14ac:dyDescent="0.3">
      <c r="A5353" s="23" t="s">
        <v>11136</v>
      </c>
      <c r="B5353" s="38">
        <v>46272</v>
      </c>
      <c r="C5353" s="23" t="s">
        <v>11137</v>
      </c>
      <c r="D5353" s="23" t="s">
        <v>88</v>
      </c>
      <c r="E5353" s="23" t="s">
        <v>77</v>
      </c>
      <c r="F5353" s="23" t="s">
        <v>274</v>
      </c>
      <c r="G5353" s="23" t="s">
        <v>250</v>
      </c>
      <c r="H5353" s="39">
        <f t="shared" si="332"/>
        <v>349</v>
      </c>
      <c r="I5353" s="23" t="str">
        <f t="shared" si="333"/>
        <v>Lucknow</v>
      </c>
      <c r="J5353" s="23">
        <f>COUNTIFS(pg_transaction_cleaned!$O:$O,A5353,pg_transaction_cleaned!$F:$F,"CAPTURE")</f>
        <v>1</v>
      </c>
      <c r="K5353" s="39">
        <f>SUMIFS(pg_transaction_cleaned!$H:$H,pg_transaction_cleaned!$O:$O,A5353,pg_transaction_cleaned!$F:$F,"CAPTURE")</f>
        <v>349</v>
      </c>
      <c r="L5353" s="23">
        <f>COUNTIFS(pg_transaction_cleaned!$O:$O,A5353,pg_transaction_cleaned!$F:$F,"REFUND")</f>
        <v>0</v>
      </c>
      <c r="M5353" s="39">
        <f>SUMIFS(pg_transaction_cleaned!$H:$H,pg_transaction_cleaned!$O:$O,A5353,pg_transaction_cleaned!$F:$F,"REFUND")</f>
        <v>0</v>
      </c>
      <c r="N5353" s="23" t="str">
        <f t="shared" si="334"/>
        <v>OK</v>
      </c>
      <c r="O5353" s="24">
        <f t="shared" si="335"/>
        <v>0</v>
      </c>
    </row>
    <row r="5354" spans="1:15" ht="15" customHeight="1" x14ac:dyDescent="0.3">
      <c r="A5354" s="23" t="s">
        <v>11138</v>
      </c>
      <c r="B5354" s="38">
        <v>46277</v>
      </c>
      <c r="C5354" s="23" t="s">
        <v>11139</v>
      </c>
      <c r="D5354" s="23" t="s">
        <v>89</v>
      </c>
      <c r="E5354" s="23" t="s">
        <v>79</v>
      </c>
      <c r="F5354" s="23" t="s">
        <v>297</v>
      </c>
      <c r="G5354" s="23" t="s">
        <v>250</v>
      </c>
      <c r="H5354" s="39">
        <f t="shared" si="332"/>
        <v>4999</v>
      </c>
      <c r="I5354" s="23" t="str">
        <f t="shared" si="333"/>
        <v>Jaipur</v>
      </c>
      <c r="J5354" s="23">
        <f>COUNTIFS(pg_transaction_cleaned!$O:$O,A5354,pg_transaction_cleaned!$F:$F,"CAPTURE")</f>
        <v>1</v>
      </c>
      <c r="K5354" s="39">
        <f>SUMIFS(pg_transaction_cleaned!$H:$H,pg_transaction_cleaned!$O:$O,A5354,pg_transaction_cleaned!$F:$F,"CAPTURE")</f>
        <v>4999</v>
      </c>
      <c r="L5354" s="23">
        <f>COUNTIFS(pg_transaction_cleaned!$O:$O,A5354,pg_transaction_cleaned!$F:$F,"REFUND")</f>
        <v>0</v>
      </c>
      <c r="M5354" s="39">
        <f>SUMIFS(pg_transaction_cleaned!$H:$H,pg_transaction_cleaned!$O:$O,A5354,pg_transaction_cleaned!$F:$F,"REFUND")</f>
        <v>0</v>
      </c>
      <c r="N5354" s="23" t="str">
        <f t="shared" si="334"/>
        <v>OK</v>
      </c>
      <c r="O5354" s="24">
        <f t="shared" si="335"/>
        <v>0</v>
      </c>
    </row>
    <row r="5355" spans="1:15" ht="15" customHeight="1" x14ac:dyDescent="0.3">
      <c r="A5355" s="23" t="s">
        <v>11140</v>
      </c>
      <c r="B5355" s="38">
        <v>46291</v>
      </c>
      <c r="C5355" s="23" t="s">
        <v>11141</v>
      </c>
      <c r="D5355" s="23" t="s">
        <v>95</v>
      </c>
      <c r="E5355" s="23" t="s">
        <v>75</v>
      </c>
      <c r="F5355" s="23" t="s">
        <v>262</v>
      </c>
      <c r="G5355" s="23" t="s">
        <v>250</v>
      </c>
      <c r="H5355" s="39">
        <f t="shared" si="332"/>
        <v>499</v>
      </c>
      <c r="I5355" s="23" t="str">
        <f t="shared" si="333"/>
        <v>Bengaluru</v>
      </c>
      <c r="J5355" s="23">
        <f>COUNTIFS(pg_transaction_cleaned!$O:$O,A5355,pg_transaction_cleaned!$F:$F,"CAPTURE")</f>
        <v>1</v>
      </c>
      <c r="K5355" s="39">
        <f>SUMIFS(pg_transaction_cleaned!$H:$H,pg_transaction_cleaned!$O:$O,A5355,pg_transaction_cleaned!$F:$F,"CAPTURE")</f>
        <v>499</v>
      </c>
      <c r="L5355" s="23">
        <f>COUNTIFS(pg_transaction_cleaned!$O:$O,A5355,pg_transaction_cleaned!$F:$F,"REFUND")</f>
        <v>0</v>
      </c>
      <c r="M5355" s="39">
        <f>SUMIFS(pg_transaction_cleaned!$H:$H,pg_transaction_cleaned!$O:$O,A5355,pg_transaction_cleaned!$F:$F,"REFUND")</f>
        <v>0</v>
      </c>
      <c r="N5355" s="23" t="str">
        <f t="shared" si="334"/>
        <v>OK</v>
      </c>
      <c r="O5355" s="24">
        <f t="shared" si="335"/>
        <v>0</v>
      </c>
    </row>
    <row r="5356" spans="1:15" ht="15" customHeight="1" x14ac:dyDescent="0.3">
      <c r="A5356" s="23" t="s">
        <v>11142</v>
      </c>
      <c r="B5356" s="38">
        <v>46272</v>
      </c>
      <c r="C5356" s="23" t="s">
        <v>11143</v>
      </c>
      <c r="D5356" s="23" t="s">
        <v>91</v>
      </c>
      <c r="E5356" s="23" t="s">
        <v>75</v>
      </c>
      <c r="F5356" s="23" t="s">
        <v>553</v>
      </c>
      <c r="G5356" s="23" t="s">
        <v>250</v>
      </c>
      <c r="H5356" s="39">
        <f t="shared" si="332"/>
        <v>2798</v>
      </c>
      <c r="I5356" s="23" t="str">
        <f t="shared" si="333"/>
        <v>Pune</v>
      </c>
      <c r="J5356" s="23">
        <f>COUNTIFS(pg_transaction_cleaned!$O:$O,A5356,pg_transaction_cleaned!$F:$F,"CAPTURE")</f>
        <v>1</v>
      </c>
      <c r="K5356" s="39">
        <f>SUMIFS(pg_transaction_cleaned!$H:$H,pg_transaction_cleaned!$O:$O,A5356,pg_transaction_cleaned!$F:$F,"CAPTURE")</f>
        <v>2798</v>
      </c>
      <c r="L5356" s="23">
        <f>COUNTIFS(pg_transaction_cleaned!$O:$O,A5356,pg_transaction_cleaned!$F:$F,"REFUND")</f>
        <v>0</v>
      </c>
      <c r="M5356" s="39">
        <f>SUMIFS(pg_transaction_cleaned!$H:$H,pg_transaction_cleaned!$O:$O,A5356,pg_transaction_cleaned!$F:$F,"REFUND")</f>
        <v>0</v>
      </c>
      <c r="N5356" s="23" t="str">
        <f t="shared" si="334"/>
        <v>OK</v>
      </c>
      <c r="O5356" s="24">
        <f t="shared" si="335"/>
        <v>0</v>
      </c>
    </row>
    <row r="5357" spans="1:15" ht="15" customHeight="1" x14ac:dyDescent="0.3">
      <c r="A5357" s="23" t="s">
        <v>11144</v>
      </c>
      <c r="B5357" s="38">
        <v>46277</v>
      </c>
      <c r="C5357" s="23" t="s">
        <v>11145</v>
      </c>
      <c r="D5357" s="23" t="s">
        <v>91</v>
      </c>
      <c r="E5357" s="23" t="s">
        <v>75</v>
      </c>
      <c r="F5357" s="23" t="s">
        <v>249</v>
      </c>
      <c r="G5357" s="23" t="s">
        <v>250</v>
      </c>
      <c r="H5357" s="39">
        <f t="shared" si="332"/>
        <v>299</v>
      </c>
      <c r="I5357" s="23" t="str">
        <f t="shared" si="333"/>
        <v>Pune</v>
      </c>
      <c r="J5357" s="23">
        <f>COUNTIFS(pg_transaction_cleaned!$O:$O,A5357,pg_transaction_cleaned!$F:$F,"CAPTURE")</f>
        <v>1</v>
      </c>
      <c r="K5357" s="39">
        <f>SUMIFS(pg_transaction_cleaned!$H:$H,pg_transaction_cleaned!$O:$O,A5357,pg_transaction_cleaned!$F:$F,"CAPTURE")</f>
        <v>299</v>
      </c>
      <c r="L5357" s="23">
        <f>COUNTIFS(pg_transaction_cleaned!$O:$O,A5357,pg_transaction_cleaned!$F:$F,"REFUND")</f>
        <v>0</v>
      </c>
      <c r="M5357" s="39">
        <f>SUMIFS(pg_transaction_cleaned!$H:$H,pg_transaction_cleaned!$O:$O,A5357,pg_transaction_cleaned!$F:$F,"REFUND")</f>
        <v>0</v>
      </c>
      <c r="N5357" s="23" t="str">
        <f t="shared" si="334"/>
        <v>OK</v>
      </c>
      <c r="O5357" s="24">
        <f t="shared" si="335"/>
        <v>0</v>
      </c>
    </row>
    <row r="5358" spans="1:15" ht="15" customHeight="1" x14ac:dyDescent="0.3">
      <c r="A5358" s="23" t="s">
        <v>11146</v>
      </c>
      <c r="B5358" s="38">
        <v>46276</v>
      </c>
      <c r="C5358" s="23" t="s">
        <v>11147</v>
      </c>
      <c r="D5358" s="23" t="s">
        <v>95</v>
      </c>
      <c r="E5358" s="23" t="s">
        <v>75</v>
      </c>
      <c r="F5358" s="23" t="s">
        <v>294</v>
      </c>
      <c r="G5358" s="23" t="s">
        <v>301</v>
      </c>
      <c r="H5358" s="39">
        <f t="shared" si="332"/>
        <v>1799</v>
      </c>
      <c r="I5358" s="23" t="str">
        <f t="shared" si="333"/>
        <v>Bengaluru</v>
      </c>
      <c r="J5358" s="23">
        <f>COUNTIFS(pg_transaction_cleaned!$O:$O,A5358,pg_transaction_cleaned!$F:$F,"CAPTURE")</f>
        <v>1</v>
      </c>
      <c r="K5358" s="39">
        <f>SUMIFS(pg_transaction_cleaned!$H:$H,pg_transaction_cleaned!$O:$O,A5358,pg_transaction_cleaned!$F:$F,"CAPTURE")</f>
        <v>1799</v>
      </c>
      <c r="L5358" s="23">
        <f>COUNTIFS(pg_transaction_cleaned!$O:$O,A5358,pg_transaction_cleaned!$F:$F,"REFUND")</f>
        <v>1</v>
      </c>
      <c r="M5358" s="39">
        <f>SUMIFS(pg_transaction_cleaned!$H:$H,pg_transaction_cleaned!$O:$O,A5358,pg_transaction_cleaned!$F:$F,"REFUND")</f>
        <v>1799</v>
      </c>
      <c r="N5358" s="23" t="str">
        <f t="shared" si="334"/>
        <v>OK</v>
      </c>
      <c r="O5358" s="24">
        <f t="shared" si="335"/>
        <v>0</v>
      </c>
    </row>
    <row r="5359" spans="1:15" ht="15" customHeight="1" x14ac:dyDescent="0.3">
      <c r="A5359" s="23" t="s">
        <v>11148</v>
      </c>
      <c r="B5359" s="38">
        <v>46279</v>
      </c>
      <c r="C5359" s="23" t="s">
        <v>11149</v>
      </c>
      <c r="D5359" s="23" t="s">
        <v>88</v>
      </c>
      <c r="E5359" s="23" t="s">
        <v>79</v>
      </c>
      <c r="F5359" s="23" t="s">
        <v>315</v>
      </c>
      <c r="G5359" s="23" t="s">
        <v>250</v>
      </c>
      <c r="H5359" s="39">
        <f t="shared" si="332"/>
        <v>1499</v>
      </c>
      <c r="I5359" s="23" t="str">
        <f t="shared" si="333"/>
        <v>Lucknow</v>
      </c>
      <c r="J5359" s="23">
        <f>COUNTIFS(pg_transaction_cleaned!$O:$O,A5359,pg_transaction_cleaned!$F:$F,"CAPTURE")</f>
        <v>1</v>
      </c>
      <c r="K5359" s="39">
        <f>SUMIFS(pg_transaction_cleaned!$H:$H,pg_transaction_cleaned!$O:$O,A5359,pg_transaction_cleaned!$F:$F,"CAPTURE")</f>
        <v>1499</v>
      </c>
      <c r="L5359" s="23">
        <f>COUNTIFS(pg_transaction_cleaned!$O:$O,A5359,pg_transaction_cleaned!$F:$F,"REFUND")</f>
        <v>0</v>
      </c>
      <c r="M5359" s="39">
        <f>SUMIFS(pg_transaction_cleaned!$H:$H,pg_transaction_cleaned!$O:$O,A5359,pg_transaction_cleaned!$F:$F,"REFUND")</f>
        <v>0</v>
      </c>
      <c r="N5359" s="23" t="str">
        <f t="shared" si="334"/>
        <v>OK</v>
      </c>
      <c r="O5359" s="24">
        <f t="shared" si="335"/>
        <v>0</v>
      </c>
    </row>
    <row r="5360" spans="1:15" ht="15" customHeight="1" x14ac:dyDescent="0.3">
      <c r="A5360" s="23" t="s">
        <v>11150</v>
      </c>
      <c r="B5360" s="38">
        <v>46285</v>
      </c>
      <c r="C5360" s="23" t="s">
        <v>11151</v>
      </c>
      <c r="D5360" s="23" t="s">
        <v>91</v>
      </c>
      <c r="E5360" s="23" t="s">
        <v>79</v>
      </c>
      <c r="F5360" s="23" t="s">
        <v>274</v>
      </c>
      <c r="G5360" s="23" t="s">
        <v>250</v>
      </c>
      <c r="H5360" s="39">
        <f t="shared" si="332"/>
        <v>349</v>
      </c>
      <c r="I5360" s="23" t="str">
        <f t="shared" si="333"/>
        <v>Pune</v>
      </c>
      <c r="J5360" s="23">
        <f>COUNTIFS(pg_transaction_cleaned!$O:$O,A5360,pg_transaction_cleaned!$F:$F,"CAPTURE")</f>
        <v>1</v>
      </c>
      <c r="K5360" s="39">
        <f>SUMIFS(pg_transaction_cleaned!$H:$H,pg_transaction_cleaned!$O:$O,A5360,pg_transaction_cleaned!$F:$F,"CAPTURE")</f>
        <v>349</v>
      </c>
      <c r="L5360" s="23">
        <f>COUNTIFS(pg_transaction_cleaned!$O:$O,A5360,pg_transaction_cleaned!$F:$F,"REFUND")</f>
        <v>0</v>
      </c>
      <c r="M5360" s="39">
        <f>SUMIFS(pg_transaction_cleaned!$H:$H,pg_transaction_cleaned!$O:$O,A5360,pg_transaction_cleaned!$F:$F,"REFUND")</f>
        <v>0</v>
      </c>
      <c r="N5360" s="23" t="str">
        <f t="shared" si="334"/>
        <v>OK</v>
      </c>
      <c r="O5360" s="24">
        <f t="shared" si="335"/>
        <v>0</v>
      </c>
    </row>
    <row r="5361" spans="1:15" ht="15" customHeight="1" x14ac:dyDescent="0.3">
      <c r="A5361" s="23" t="s">
        <v>11152</v>
      </c>
      <c r="B5361" s="38">
        <v>46291</v>
      </c>
      <c r="C5361" s="23" t="s">
        <v>11153</v>
      </c>
      <c r="D5361" s="23" t="s">
        <v>88</v>
      </c>
      <c r="E5361" s="23" t="s">
        <v>75</v>
      </c>
      <c r="F5361" s="23" t="s">
        <v>1735</v>
      </c>
      <c r="G5361" s="23" t="s">
        <v>365</v>
      </c>
      <c r="H5361" s="39">
        <f t="shared" si="332"/>
        <v>12998</v>
      </c>
      <c r="I5361" s="23" t="str">
        <f t="shared" si="333"/>
        <v>Lucknow</v>
      </c>
      <c r="J5361" s="23">
        <f>COUNTIFS(pg_transaction_cleaned!$O:$O,A5361,pg_transaction_cleaned!$F:$F,"CAPTURE")</f>
        <v>0</v>
      </c>
      <c r="K5361" s="39">
        <f>SUMIFS(pg_transaction_cleaned!$H:$H,pg_transaction_cleaned!$O:$O,A5361,pg_transaction_cleaned!$F:$F,"CAPTURE")</f>
        <v>0</v>
      </c>
      <c r="L5361" s="23">
        <f>COUNTIFS(pg_transaction_cleaned!$O:$O,A5361,pg_transaction_cleaned!$F:$F,"REFUND")</f>
        <v>0</v>
      </c>
      <c r="M5361" s="39">
        <f>SUMIFS(pg_transaction_cleaned!$H:$H,pg_transaction_cleaned!$O:$O,A5361,pg_transaction_cleaned!$F:$F,"REFUND")</f>
        <v>0</v>
      </c>
      <c r="N5361" s="23" t="str">
        <f t="shared" si="334"/>
        <v>OK</v>
      </c>
      <c r="O5361" s="24">
        <f t="shared" si="335"/>
        <v>0</v>
      </c>
    </row>
    <row r="5362" spans="1:15" ht="15" customHeight="1" x14ac:dyDescent="0.3">
      <c r="A5362" s="23" t="s">
        <v>11154</v>
      </c>
      <c r="B5362" s="38">
        <v>46266</v>
      </c>
      <c r="C5362" s="23" t="s">
        <v>11155</v>
      </c>
      <c r="D5362" s="23" t="s">
        <v>88</v>
      </c>
      <c r="E5362" s="23" t="s">
        <v>81</v>
      </c>
      <c r="F5362" s="23" t="s">
        <v>310</v>
      </c>
      <c r="G5362" s="23" t="s">
        <v>250</v>
      </c>
      <c r="H5362" s="39">
        <f t="shared" si="332"/>
        <v>7999</v>
      </c>
      <c r="I5362" s="23" t="str">
        <f t="shared" si="333"/>
        <v>Lucknow</v>
      </c>
      <c r="J5362" s="23">
        <f>COUNTIFS(pg_transaction_cleaned!$O:$O,A5362,pg_transaction_cleaned!$F:$F,"CAPTURE")</f>
        <v>1</v>
      </c>
      <c r="K5362" s="39">
        <f>SUMIFS(pg_transaction_cleaned!$H:$H,pg_transaction_cleaned!$O:$O,A5362,pg_transaction_cleaned!$F:$F,"CAPTURE")</f>
        <v>7999</v>
      </c>
      <c r="L5362" s="23">
        <f>COUNTIFS(pg_transaction_cleaned!$O:$O,A5362,pg_transaction_cleaned!$F:$F,"REFUND")</f>
        <v>0</v>
      </c>
      <c r="M5362" s="39">
        <f>SUMIFS(pg_transaction_cleaned!$H:$H,pg_transaction_cleaned!$O:$O,A5362,pg_transaction_cleaned!$F:$F,"REFUND")</f>
        <v>0</v>
      </c>
      <c r="N5362" s="23" t="str">
        <f t="shared" si="334"/>
        <v>OK</v>
      </c>
      <c r="O5362" s="24">
        <f t="shared" si="335"/>
        <v>0</v>
      </c>
    </row>
    <row r="5363" spans="1:15" ht="15" customHeight="1" x14ac:dyDescent="0.3">
      <c r="A5363" s="23" t="s">
        <v>11156</v>
      </c>
      <c r="B5363" s="38">
        <v>46268</v>
      </c>
      <c r="C5363" s="23" t="s">
        <v>11157</v>
      </c>
      <c r="D5363" s="23" t="s">
        <v>93</v>
      </c>
      <c r="E5363" s="23" t="s">
        <v>79</v>
      </c>
      <c r="F5363" s="23" t="s">
        <v>315</v>
      </c>
      <c r="G5363" s="23" t="s">
        <v>250</v>
      </c>
      <c r="H5363" s="39">
        <f t="shared" si="332"/>
        <v>1499</v>
      </c>
      <c r="I5363" s="23" t="str">
        <f t="shared" si="333"/>
        <v>Kolkata</v>
      </c>
      <c r="J5363" s="23">
        <f>COUNTIFS(pg_transaction_cleaned!$O:$O,A5363,pg_transaction_cleaned!$F:$F,"CAPTURE")</f>
        <v>1</v>
      </c>
      <c r="K5363" s="39">
        <f>SUMIFS(pg_transaction_cleaned!$H:$H,pg_transaction_cleaned!$O:$O,A5363,pg_transaction_cleaned!$F:$F,"CAPTURE")</f>
        <v>1499</v>
      </c>
      <c r="L5363" s="23">
        <f>COUNTIFS(pg_transaction_cleaned!$O:$O,A5363,pg_transaction_cleaned!$F:$F,"REFUND")</f>
        <v>0</v>
      </c>
      <c r="M5363" s="39">
        <f>SUMIFS(pg_transaction_cleaned!$H:$H,pg_transaction_cleaned!$O:$O,A5363,pg_transaction_cleaned!$F:$F,"REFUND")</f>
        <v>0</v>
      </c>
      <c r="N5363" s="23" t="str">
        <f t="shared" si="334"/>
        <v>OK</v>
      </c>
      <c r="O5363" s="24">
        <f t="shared" si="335"/>
        <v>0</v>
      </c>
    </row>
    <row r="5364" spans="1:15" ht="15" customHeight="1" x14ac:dyDescent="0.3">
      <c r="A5364" s="23" t="s">
        <v>11158</v>
      </c>
      <c r="B5364" s="38">
        <v>46280</v>
      </c>
      <c r="C5364" s="23" t="s">
        <v>11159</v>
      </c>
      <c r="D5364" s="23" t="s">
        <v>86</v>
      </c>
      <c r="E5364" s="23" t="s">
        <v>75</v>
      </c>
      <c r="F5364" s="23" t="s">
        <v>307</v>
      </c>
      <c r="G5364" s="23" t="s">
        <v>250</v>
      </c>
      <c r="H5364" s="39">
        <f t="shared" si="332"/>
        <v>3798</v>
      </c>
      <c r="I5364" s="23" t="str">
        <f t="shared" si="333"/>
        <v>Delhi</v>
      </c>
      <c r="J5364" s="23">
        <f>COUNTIFS(pg_transaction_cleaned!$O:$O,A5364,pg_transaction_cleaned!$F:$F,"CAPTURE")</f>
        <v>1</v>
      </c>
      <c r="K5364" s="39">
        <f>SUMIFS(pg_transaction_cleaned!$H:$H,pg_transaction_cleaned!$O:$O,A5364,pg_transaction_cleaned!$F:$F,"CAPTURE")</f>
        <v>3798</v>
      </c>
      <c r="L5364" s="23">
        <f>COUNTIFS(pg_transaction_cleaned!$O:$O,A5364,pg_transaction_cleaned!$F:$F,"REFUND")</f>
        <v>0</v>
      </c>
      <c r="M5364" s="39">
        <f>SUMIFS(pg_transaction_cleaned!$H:$H,pg_transaction_cleaned!$O:$O,A5364,pg_transaction_cleaned!$F:$F,"REFUND")</f>
        <v>0</v>
      </c>
      <c r="N5364" s="23" t="str">
        <f t="shared" si="334"/>
        <v>OK</v>
      </c>
      <c r="O5364" s="24">
        <f t="shared" si="335"/>
        <v>0</v>
      </c>
    </row>
    <row r="5365" spans="1:15" ht="15" customHeight="1" x14ac:dyDescent="0.3">
      <c r="A5365" s="23" t="s">
        <v>11160</v>
      </c>
      <c r="B5365" s="38">
        <v>46267</v>
      </c>
      <c r="C5365" s="23" t="s">
        <v>11161</v>
      </c>
      <c r="D5365" s="23" t="s">
        <v>90</v>
      </c>
      <c r="E5365" s="23" t="s">
        <v>81</v>
      </c>
      <c r="F5365" s="23" t="s">
        <v>288</v>
      </c>
      <c r="G5365" s="23" t="s">
        <v>250</v>
      </c>
      <c r="H5365" s="39">
        <f t="shared" si="332"/>
        <v>4298</v>
      </c>
      <c r="I5365" s="23" t="str">
        <f t="shared" si="333"/>
        <v>Ahmedabad</v>
      </c>
      <c r="J5365" s="23">
        <f>COUNTIFS(pg_transaction_cleaned!$O:$O,A5365,pg_transaction_cleaned!$F:$F,"CAPTURE")</f>
        <v>1</v>
      </c>
      <c r="K5365" s="39">
        <f>SUMIFS(pg_transaction_cleaned!$H:$H,pg_transaction_cleaned!$O:$O,A5365,pg_transaction_cleaned!$F:$F,"CAPTURE")</f>
        <v>4298</v>
      </c>
      <c r="L5365" s="23">
        <f>COUNTIFS(pg_transaction_cleaned!$O:$O,A5365,pg_transaction_cleaned!$F:$F,"REFUND")</f>
        <v>0</v>
      </c>
      <c r="M5365" s="39">
        <f>SUMIFS(pg_transaction_cleaned!$H:$H,pg_transaction_cleaned!$O:$O,A5365,pg_transaction_cleaned!$F:$F,"REFUND")</f>
        <v>0</v>
      </c>
      <c r="N5365" s="23" t="str">
        <f t="shared" si="334"/>
        <v>OK</v>
      </c>
      <c r="O5365" s="24">
        <f t="shared" si="335"/>
        <v>0</v>
      </c>
    </row>
    <row r="5366" spans="1:15" ht="15" customHeight="1" x14ac:dyDescent="0.3">
      <c r="A5366" s="23" t="s">
        <v>11162</v>
      </c>
      <c r="B5366" s="38">
        <v>46271</v>
      </c>
      <c r="C5366" s="23" t="s">
        <v>11163</v>
      </c>
      <c r="D5366" s="23" t="s">
        <v>93</v>
      </c>
      <c r="E5366" s="23" t="s">
        <v>75</v>
      </c>
      <c r="F5366" s="23" t="s">
        <v>1975</v>
      </c>
      <c r="G5366" s="23" t="s">
        <v>250</v>
      </c>
      <c r="H5366" s="39">
        <f t="shared" si="332"/>
        <v>1398</v>
      </c>
      <c r="I5366" s="23" t="str">
        <f t="shared" si="333"/>
        <v>Kolkata</v>
      </c>
      <c r="J5366" s="23">
        <f>COUNTIFS(pg_transaction_cleaned!$O:$O,A5366,pg_transaction_cleaned!$F:$F,"CAPTURE")</f>
        <v>1</v>
      </c>
      <c r="K5366" s="39">
        <f>SUMIFS(pg_transaction_cleaned!$H:$H,pg_transaction_cleaned!$O:$O,A5366,pg_transaction_cleaned!$F:$F,"CAPTURE")</f>
        <v>1398</v>
      </c>
      <c r="L5366" s="23">
        <f>COUNTIFS(pg_transaction_cleaned!$O:$O,A5366,pg_transaction_cleaned!$F:$F,"REFUND")</f>
        <v>0</v>
      </c>
      <c r="M5366" s="39">
        <f>SUMIFS(pg_transaction_cleaned!$H:$H,pg_transaction_cleaned!$O:$O,A5366,pg_transaction_cleaned!$F:$F,"REFUND")</f>
        <v>0</v>
      </c>
      <c r="N5366" s="23" t="str">
        <f t="shared" si="334"/>
        <v>OK</v>
      </c>
      <c r="O5366" s="24">
        <f t="shared" si="335"/>
        <v>0</v>
      </c>
    </row>
    <row r="5367" spans="1:15" ht="15" customHeight="1" x14ac:dyDescent="0.3">
      <c r="A5367" s="23" t="s">
        <v>11164</v>
      </c>
      <c r="B5367" s="38">
        <v>46284</v>
      </c>
      <c r="C5367" s="23" t="s">
        <v>11165</v>
      </c>
      <c r="D5367" s="23" t="s">
        <v>90</v>
      </c>
      <c r="E5367" s="23" t="s">
        <v>77</v>
      </c>
      <c r="F5367" s="23" t="s">
        <v>460</v>
      </c>
      <c r="G5367" s="23" t="s">
        <v>365</v>
      </c>
      <c r="H5367" s="39">
        <f t="shared" si="332"/>
        <v>1998</v>
      </c>
      <c r="I5367" s="23" t="str">
        <f t="shared" si="333"/>
        <v>Ahmedabad</v>
      </c>
      <c r="J5367" s="23">
        <f>COUNTIFS(pg_transaction_cleaned!$O:$O,A5367,pg_transaction_cleaned!$F:$F,"CAPTURE")</f>
        <v>0</v>
      </c>
      <c r="K5367" s="39">
        <f>SUMIFS(pg_transaction_cleaned!$H:$H,pg_transaction_cleaned!$O:$O,A5367,pg_transaction_cleaned!$F:$F,"CAPTURE")</f>
        <v>0</v>
      </c>
      <c r="L5367" s="23">
        <f>COUNTIFS(pg_transaction_cleaned!$O:$O,A5367,pg_transaction_cleaned!$F:$F,"REFUND")</f>
        <v>0</v>
      </c>
      <c r="M5367" s="39">
        <f>SUMIFS(pg_transaction_cleaned!$H:$H,pg_transaction_cleaned!$O:$O,A5367,pg_transaction_cleaned!$F:$F,"REFUND")</f>
        <v>0</v>
      </c>
      <c r="N5367" s="23" t="str">
        <f t="shared" si="334"/>
        <v>OK</v>
      </c>
      <c r="O5367" s="24">
        <f t="shared" si="335"/>
        <v>0</v>
      </c>
    </row>
    <row r="5368" spans="1:15" ht="15" customHeight="1" x14ac:dyDescent="0.3">
      <c r="A5368" s="23" t="s">
        <v>11166</v>
      </c>
      <c r="B5368" s="38">
        <v>46269</v>
      </c>
      <c r="C5368" s="23" t="s">
        <v>11167</v>
      </c>
      <c r="D5368" s="23" t="s">
        <v>88</v>
      </c>
      <c r="E5368" s="23" t="s">
        <v>77</v>
      </c>
      <c r="F5368" s="23" t="s">
        <v>11168</v>
      </c>
      <c r="G5368" s="23" t="s">
        <v>250</v>
      </c>
      <c r="H5368" s="39">
        <f t="shared" si="332"/>
        <v>15997</v>
      </c>
      <c r="I5368" s="23" t="str">
        <f t="shared" si="333"/>
        <v>Lucknow</v>
      </c>
      <c r="J5368" s="23">
        <f>COUNTIFS(pg_transaction_cleaned!$O:$O,A5368,pg_transaction_cleaned!$F:$F,"CAPTURE")</f>
        <v>1</v>
      </c>
      <c r="K5368" s="39">
        <f>SUMIFS(pg_transaction_cleaned!$H:$H,pg_transaction_cleaned!$O:$O,A5368,pg_transaction_cleaned!$F:$F,"CAPTURE")</f>
        <v>15997</v>
      </c>
      <c r="L5368" s="23">
        <f>COUNTIFS(pg_transaction_cleaned!$O:$O,A5368,pg_transaction_cleaned!$F:$F,"REFUND")</f>
        <v>0</v>
      </c>
      <c r="M5368" s="39">
        <f>SUMIFS(pg_transaction_cleaned!$H:$H,pg_transaction_cleaned!$O:$O,A5368,pg_transaction_cleaned!$F:$F,"REFUND")</f>
        <v>0</v>
      </c>
      <c r="N5368" s="23" t="str">
        <f t="shared" si="334"/>
        <v>OK</v>
      </c>
      <c r="O5368" s="24">
        <f t="shared" si="335"/>
        <v>0</v>
      </c>
    </row>
    <row r="5369" spans="1:15" ht="15" customHeight="1" x14ac:dyDescent="0.3">
      <c r="A5369" s="23" t="s">
        <v>11169</v>
      </c>
      <c r="B5369" s="38">
        <v>46272</v>
      </c>
      <c r="C5369" s="23" t="s">
        <v>11170</v>
      </c>
      <c r="D5369" s="23" t="s">
        <v>91</v>
      </c>
      <c r="E5369" s="23" t="s">
        <v>75</v>
      </c>
      <c r="F5369" s="23" t="s">
        <v>297</v>
      </c>
      <c r="G5369" s="23" t="s">
        <v>250</v>
      </c>
      <c r="H5369" s="39">
        <f t="shared" si="332"/>
        <v>4999</v>
      </c>
      <c r="I5369" s="23" t="str">
        <f t="shared" si="333"/>
        <v>Pune</v>
      </c>
      <c r="J5369" s="23">
        <f>COUNTIFS(pg_transaction_cleaned!$O:$O,A5369,pg_transaction_cleaned!$F:$F,"CAPTURE")</f>
        <v>1</v>
      </c>
      <c r="K5369" s="39">
        <f>SUMIFS(pg_transaction_cleaned!$H:$H,pg_transaction_cleaned!$O:$O,A5369,pg_transaction_cleaned!$F:$F,"CAPTURE")</f>
        <v>4999</v>
      </c>
      <c r="L5369" s="23">
        <f>COUNTIFS(pg_transaction_cleaned!$O:$O,A5369,pg_transaction_cleaned!$F:$F,"REFUND")</f>
        <v>0</v>
      </c>
      <c r="M5369" s="39">
        <f>SUMIFS(pg_transaction_cleaned!$H:$H,pg_transaction_cleaned!$O:$O,A5369,pg_transaction_cleaned!$F:$F,"REFUND")</f>
        <v>0</v>
      </c>
      <c r="N5369" s="23" t="str">
        <f t="shared" si="334"/>
        <v>OK</v>
      </c>
      <c r="O5369" s="24">
        <f t="shared" si="335"/>
        <v>0</v>
      </c>
    </row>
    <row r="5370" spans="1:15" ht="15" customHeight="1" x14ac:dyDescent="0.3">
      <c r="A5370" s="23" t="s">
        <v>11171</v>
      </c>
      <c r="B5370" s="38">
        <v>46287</v>
      </c>
      <c r="C5370" s="23" t="s">
        <v>11172</v>
      </c>
      <c r="D5370" s="23" t="s">
        <v>90</v>
      </c>
      <c r="E5370" s="23" t="s">
        <v>75</v>
      </c>
      <c r="F5370" s="23" t="s">
        <v>475</v>
      </c>
      <c r="G5370" s="23" t="s">
        <v>250</v>
      </c>
      <c r="H5370" s="39">
        <f t="shared" si="332"/>
        <v>799</v>
      </c>
      <c r="I5370" s="23" t="str">
        <f t="shared" si="333"/>
        <v>Ahmedabad</v>
      </c>
      <c r="J5370" s="23">
        <f>COUNTIFS(pg_transaction_cleaned!$O:$O,A5370,pg_transaction_cleaned!$F:$F,"CAPTURE")</f>
        <v>1</v>
      </c>
      <c r="K5370" s="39">
        <f>SUMIFS(pg_transaction_cleaned!$H:$H,pg_transaction_cleaned!$O:$O,A5370,pg_transaction_cleaned!$F:$F,"CAPTURE")</f>
        <v>799</v>
      </c>
      <c r="L5370" s="23">
        <f>COUNTIFS(pg_transaction_cleaned!$O:$O,A5370,pg_transaction_cleaned!$F:$F,"REFUND")</f>
        <v>0</v>
      </c>
      <c r="M5370" s="39">
        <f>SUMIFS(pg_transaction_cleaned!$H:$H,pg_transaction_cleaned!$O:$O,A5370,pg_transaction_cleaned!$F:$F,"REFUND")</f>
        <v>0</v>
      </c>
      <c r="N5370" s="23" t="str">
        <f t="shared" si="334"/>
        <v>OK</v>
      </c>
      <c r="O5370" s="24">
        <f t="shared" si="335"/>
        <v>0</v>
      </c>
    </row>
    <row r="5371" spans="1:15" ht="15" customHeight="1" x14ac:dyDescent="0.3">
      <c r="A5371" s="23" t="s">
        <v>11173</v>
      </c>
      <c r="B5371" s="38">
        <v>46272</v>
      </c>
      <c r="C5371" s="23" t="s">
        <v>11174</v>
      </c>
      <c r="D5371" s="23" t="s">
        <v>93</v>
      </c>
      <c r="E5371" s="23" t="s">
        <v>75</v>
      </c>
      <c r="F5371" s="23" t="s">
        <v>11175</v>
      </c>
      <c r="G5371" s="23" t="s">
        <v>250</v>
      </c>
      <c r="H5371" s="39">
        <f t="shared" si="332"/>
        <v>8997</v>
      </c>
      <c r="I5371" s="23" t="str">
        <f t="shared" si="333"/>
        <v>Kolkata</v>
      </c>
      <c r="J5371" s="23">
        <f>COUNTIFS(pg_transaction_cleaned!$O:$O,A5371,pg_transaction_cleaned!$F:$F,"CAPTURE")</f>
        <v>1</v>
      </c>
      <c r="K5371" s="39">
        <f>SUMIFS(pg_transaction_cleaned!$H:$H,pg_transaction_cleaned!$O:$O,A5371,pg_transaction_cleaned!$F:$F,"CAPTURE")</f>
        <v>8997</v>
      </c>
      <c r="L5371" s="23">
        <f>COUNTIFS(pg_transaction_cleaned!$O:$O,A5371,pg_transaction_cleaned!$F:$F,"REFUND")</f>
        <v>0</v>
      </c>
      <c r="M5371" s="39">
        <f>SUMIFS(pg_transaction_cleaned!$H:$H,pg_transaction_cleaned!$O:$O,A5371,pg_transaction_cleaned!$F:$F,"REFUND")</f>
        <v>0</v>
      </c>
      <c r="N5371" s="23" t="str">
        <f t="shared" si="334"/>
        <v>OK</v>
      </c>
      <c r="O5371" s="24">
        <f t="shared" si="335"/>
        <v>0</v>
      </c>
    </row>
    <row r="5372" spans="1:15" ht="15" customHeight="1" x14ac:dyDescent="0.3">
      <c r="A5372" s="23" t="s">
        <v>11176</v>
      </c>
      <c r="B5372" s="38">
        <v>46282</v>
      </c>
      <c r="C5372" s="23" t="s">
        <v>11177</v>
      </c>
      <c r="D5372" s="23" t="s">
        <v>89</v>
      </c>
      <c r="E5372" s="23" t="s">
        <v>79</v>
      </c>
      <c r="F5372" s="23" t="s">
        <v>268</v>
      </c>
      <c r="G5372" s="23" t="s">
        <v>250</v>
      </c>
      <c r="H5372" s="39">
        <f t="shared" si="332"/>
        <v>1299</v>
      </c>
      <c r="I5372" s="23" t="str">
        <f t="shared" si="333"/>
        <v>Jaipur</v>
      </c>
      <c r="J5372" s="23">
        <f>COUNTIFS(pg_transaction_cleaned!$O:$O,A5372,pg_transaction_cleaned!$F:$F,"CAPTURE")</f>
        <v>1</v>
      </c>
      <c r="K5372" s="39">
        <f>SUMIFS(pg_transaction_cleaned!$H:$H,pg_transaction_cleaned!$O:$O,A5372,pg_transaction_cleaned!$F:$F,"CAPTURE")</f>
        <v>1299</v>
      </c>
      <c r="L5372" s="23">
        <f>COUNTIFS(pg_transaction_cleaned!$O:$O,A5372,pg_transaction_cleaned!$F:$F,"REFUND")</f>
        <v>0</v>
      </c>
      <c r="M5372" s="39">
        <f>SUMIFS(pg_transaction_cleaned!$H:$H,pg_transaction_cleaned!$O:$O,A5372,pg_transaction_cleaned!$F:$F,"REFUND")</f>
        <v>0</v>
      </c>
      <c r="N5372" s="23" t="str">
        <f t="shared" si="334"/>
        <v>OK</v>
      </c>
      <c r="O5372" s="24">
        <f t="shared" si="335"/>
        <v>0</v>
      </c>
    </row>
    <row r="5373" spans="1:15" ht="15" customHeight="1" x14ac:dyDescent="0.3">
      <c r="A5373" s="23" t="s">
        <v>11178</v>
      </c>
      <c r="B5373" s="38">
        <v>46279</v>
      </c>
      <c r="C5373" s="23" t="s">
        <v>11179</v>
      </c>
      <c r="D5373" s="23" t="s">
        <v>88</v>
      </c>
      <c r="E5373" s="23" t="s">
        <v>75</v>
      </c>
      <c r="F5373" s="23" t="s">
        <v>249</v>
      </c>
      <c r="G5373" s="23" t="s">
        <v>365</v>
      </c>
      <c r="H5373" s="39">
        <f t="shared" si="332"/>
        <v>299</v>
      </c>
      <c r="I5373" s="23" t="str">
        <f t="shared" si="333"/>
        <v>Lucknow</v>
      </c>
      <c r="J5373" s="23">
        <f>COUNTIFS(pg_transaction_cleaned!$O:$O,A5373,pg_transaction_cleaned!$F:$F,"CAPTURE")</f>
        <v>0</v>
      </c>
      <c r="K5373" s="39">
        <f>SUMIFS(pg_transaction_cleaned!$H:$H,pg_transaction_cleaned!$O:$O,A5373,pg_transaction_cleaned!$F:$F,"CAPTURE")</f>
        <v>0</v>
      </c>
      <c r="L5373" s="23">
        <f>COUNTIFS(pg_transaction_cleaned!$O:$O,A5373,pg_transaction_cleaned!$F:$F,"REFUND")</f>
        <v>0</v>
      </c>
      <c r="M5373" s="39">
        <f>SUMIFS(pg_transaction_cleaned!$H:$H,pg_transaction_cleaned!$O:$O,A5373,pg_transaction_cleaned!$F:$F,"REFUND")</f>
        <v>0</v>
      </c>
      <c r="N5373" s="23" t="str">
        <f t="shared" si="334"/>
        <v>OK</v>
      </c>
      <c r="O5373" s="24">
        <f t="shared" si="335"/>
        <v>0</v>
      </c>
    </row>
    <row r="5374" spans="1:15" ht="15" customHeight="1" x14ac:dyDescent="0.3">
      <c r="A5374" s="23" t="s">
        <v>11180</v>
      </c>
      <c r="B5374" s="38">
        <v>46281</v>
      </c>
      <c r="C5374" s="23" t="s">
        <v>11181</v>
      </c>
      <c r="D5374" s="23" t="s">
        <v>88</v>
      </c>
      <c r="E5374" s="23" t="s">
        <v>77</v>
      </c>
      <c r="F5374" s="23" t="s">
        <v>265</v>
      </c>
      <c r="G5374" s="23" t="s">
        <v>250</v>
      </c>
      <c r="H5374" s="39">
        <f t="shared" si="332"/>
        <v>999</v>
      </c>
      <c r="I5374" s="23" t="str">
        <f t="shared" si="333"/>
        <v>Lucknow</v>
      </c>
      <c r="J5374" s="23">
        <f>COUNTIFS(pg_transaction_cleaned!$O:$O,A5374,pg_transaction_cleaned!$F:$F,"CAPTURE")</f>
        <v>1</v>
      </c>
      <c r="K5374" s="39">
        <f>SUMIFS(pg_transaction_cleaned!$H:$H,pg_transaction_cleaned!$O:$O,A5374,pg_transaction_cleaned!$F:$F,"CAPTURE")</f>
        <v>999</v>
      </c>
      <c r="L5374" s="23">
        <f>COUNTIFS(pg_transaction_cleaned!$O:$O,A5374,pg_transaction_cleaned!$F:$F,"REFUND")</f>
        <v>0</v>
      </c>
      <c r="M5374" s="39">
        <f>SUMIFS(pg_transaction_cleaned!$H:$H,pg_transaction_cleaned!$O:$O,A5374,pg_transaction_cleaned!$F:$F,"REFUND")</f>
        <v>0</v>
      </c>
      <c r="N5374" s="23" t="str">
        <f t="shared" si="334"/>
        <v>OK</v>
      </c>
      <c r="O5374" s="24">
        <f t="shared" si="335"/>
        <v>0</v>
      </c>
    </row>
    <row r="5375" spans="1:15" ht="15" customHeight="1" x14ac:dyDescent="0.3">
      <c r="A5375" s="23" t="s">
        <v>11182</v>
      </c>
      <c r="B5375" s="38">
        <v>46275</v>
      </c>
      <c r="C5375" s="23" t="s">
        <v>11183</v>
      </c>
      <c r="D5375" s="23" t="s">
        <v>92</v>
      </c>
      <c r="E5375" s="23" t="s">
        <v>77</v>
      </c>
      <c r="F5375" s="23" t="s">
        <v>291</v>
      </c>
      <c r="G5375" s="23" t="s">
        <v>365</v>
      </c>
      <c r="H5375" s="39">
        <f t="shared" si="332"/>
        <v>3499</v>
      </c>
      <c r="I5375" s="23" t="str">
        <f t="shared" si="333"/>
        <v>Hyderabad</v>
      </c>
      <c r="J5375" s="23">
        <f>COUNTIFS(pg_transaction_cleaned!$O:$O,A5375,pg_transaction_cleaned!$F:$F,"CAPTURE")</f>
        <v>0</v>
      </c>
      <c r="K5375" s="39">
        <f>SUMIFS(pg_transaction_cleaned!$H:$H,pg_transaction_cleaned!$O:$O,A5375,pg_transaction_cleaned!$F:$F,"CAPTURE")</f>
        <v>0</v>
      </c>
      <c r="L5375" s="23">
        <f>COUNTIFS(pg_transaction_cleaned!$O:$O,A5375,pg_transaction_cleaned!$F:$F,"REFUND")</f>
        <v>0</v>
      </c>
      <c r="M5375" s="39">
        <f>SUMIFS(pg_transaction_cleaned!$H:$H,pg_transaction_cleaned!$O:$O,A5375,pg_transaction_cleaned!$F:$F,"REFUND")</f>
        <v>0</v>
      </c>
      <c r="N5375" s="23" t="str">
        <f t="shared" si="334"/>
        <v>OK</v>
      </c>
      <c r="O5375" s="24">
        <f t="shared" si="335"/>
        <v>0</v>
      </c>
    </row>
    <row r="5376" spans="1:15" ht="15" customHeight="1" x14ac:dyDescent="0.3">
      <c r="A5376" s="23" t="s">
        <v>11184</v>
      </c>
      <c r="B5376" s="38">
        <v>46274</v>
      </c>
      <c r="C5376" s="23" t="s">
        <v>11185</v>
      </c>
      <c r="D5376" s="23" t="s">
        <v>90</v>
      </c>
      <c r="E5376" s="23" t="s">
        <v>75</v>
      </c>
      <c r="F5376" s="23" t="s">
        <v>1372</v>
      </c>
      <c r="G5376" s="23" t="s">
        <v>250</v>
      </c>
      <c r="H5376" s="39">
        <f t="shared" si="332"/>
        <v>798</v>
      </c>
      <c r="I5376" s="23" t="str">
        <f t="shared" si="333"/>
        <v>Ahmedabad</v>
      </c>
      <c r="J5376" s="23">
        <f>COUNTIFS(pg_transaction_cleaned!$O:$O,A5376,pg_transaction_cleaned!$F:$F,"CAPTURE")</f>
        <v>1</v>
      </c>
      <c r="K5376" s="39">
        <f>SUMIFS(pg_transaction_cleaned!$H:$H,pg_transaction_cleaned!$O:$O,A5376,pg_transaction_cleaned!$F:$F,"CAPTURE")</f>
        <v>798</v>
      </c>
      <c r="L5376" s="23">
        <f>COUNTIFS(pg_transaction_cleaned!$O:$O,A5376,pg_transaction_cleaned!$F:$F,"REFUND")</f>
        <v>0</v>
      </c>
      <c r="M5376" s="39">
        <f>SUMIFS(pg_transaction_cleaned!$H:$H,pg_transaction_cleaned!$O:$O,A5376,pg_transaction_cleaned!$F:$F,"REFUND")</f>
        <v>0</v>
      </c>
      <c r="N5376" s="23" t="str">
        <f t="shared" si="334"/>
        <v>OK</v>
      </c>
      <c r="O5376" s="24">
        <f t="shared" si="335"/>
        <v>0</v>
      </c>
    </row>
    <row r="5377" spans="1:15" ht="15" customHeight="1" x14ac:dyDescent="0.3">
      <c r="A5377" s="23" t="s">
        <v>11186</v>
      </c>
      <c r="B5377" s="38">
        <v>46287</v>
      </c>
      <c r="C5377" s="23" t="s">
        <v>11187</v>
      </c>
      <c r="D5377" s="23" t="s">
        <v>94</v>
      </c>
      <c r="E5377" s="23" t="s">
        <v>79</v>
      </c>
      <c r="F5377" s="23" t="s">
        <v>441</v>
      </c>
      <c r="G5377" s="23" t="s">
        <v>250</v>
      </c>
      <c r="H5377" s="39">
        <f t="shared" si="332"/>
        <v>9998</v>
      </c>
      <c r="I5377" s="23" t="str">
        <f t="shared" si="333"/>
        <v>Chennai</v>
      </c>
      <c r="J5377" s="23">
        <f>COUNTIFS(pg_transaction_cleaned!$O:$O,A5377,pg_transaction_cleaned!$F:$F,"CAPTURE")</f>
        <v>1</v>
      </c>
      <c r="K5377" s="39">
        <f>SUMIFS(pg_transaction_cleaned!$H:$H,pg_transaction_cleaned!$O:$O,A5377,pg_transaction_cleaned!$F:$F,"CAPTURE")</f>
        <v>9998</v>
      </c>
      <c r="L5377" s="23">
        <f>COUNTIFS(pg_transaction_cleaned!$O:$O,A5377,pg_transaction_cleaned!$F:$F,"REFUND")</f>
        <v>0</v>
      </c>
      <c r="M5377" s="39">
        <f>SUMIFS(pg_transaction_cleaned!$H:$H,pg_transaction_cleaned!$O:$O,A5377,pg_transaction_cleaned!$F:$F,"REFUND")</f>
        <v>0</v>
      </c>
      <c r="N5377" s="23" t="str">
        <f t="shared" si="334"/>
        <v>OK</v>
      </c>
      <c r="O5377" s="24">
        <f t="shared" si="335"/>
        <v>0</v>
      </c>
    </row>
    <row r="5378" spans="1:15" ht="15" customHeight="1" x14ac:dyDescent="0.3">
      <c r="A5378" s="23" t="s">
        <v>11188</v>
      </c>
      <c r="B5378" s="38">
        <v>46282</v>
      </c>
      <c r="C5378" s="23" t="s">
        <v>11090</v>
      </c>
      <c r="D5378" s="23" t="s">
        <v>92</v>
      </c>
      <c r="E5378" s="23" t="s">
        <v>79</v>
      </c>
      <c r="F5378" s="23" t="s">
        <v>2904</v>
      </c>
      <c r="G5378" s="23" t="s">
        <v>250</v>
      </c>
      <c r="H5378" s="39">
        <f t="shared" ref="H5378:H5441" si="336">VALUE(SUBSTITUTE(F5378,",",""))</f>
        <v>6498</v>
      </c>
      <c r="I5378" s="23" t="str">
        <f t="shared" ref="I5378:I5441" si="337">IF(TRIM(D5378)="","Unknown",TRIM(D5378))</f>
        <v>Hyderabad</v>
      </c>
      <c r="J5378" s="23">
        <f>COUNTIFS(pg_transaction_cleaned!$O:$O,A5378,pg_transaction_cleaned!$F:$F,"CAPTURE")</f>
        <v>1</v>
      </c>
      <c r="K5378" s="39">
        <f>SUMIFS(pg_transaction_cleaned!$H:$H,pg_transaction_cleaned!$O:$O,A5378,pg_transaction_cleaned!$F:$F,"CAPTURE")</f>
        <v>6498</v>
      </c>
      <c r="L5378" s="23">
        <f>COUNTIFS(pg_transaction_cleaned!$O:$O,A5378,pg_transaction_cleaned!$F:$F,"REFUND")</f>
        <v>0</v>
      </c>
      <c r="M5378" s="39">
        <f>SUMIFS(pg_transaction_cleaned!$H:$H,pg_transaction_cleaned!$O:$O,A5378,pg_transaction_cleaned!$F:$F,"REFUND")</f>
        <v>0</v>
      </c>
      <c r="N5378" s="23" t="str">
        <f t="shared" ref="N5378:N5441" si="338">IF(AND(G5378="Paid",J5378=0),"Paid, no payment",IF(AND(OR(G5378="Failed",G5378="Cancelled"),J5378&gt;0),"Payment on failed/cancelled",IF(J5378&gt;1,"Duplicate charge",IF(AND(J5378=1,ROUND(K5378-H5378,2)&lt;&gt;0),"Amount difference",IF(AND(G5378="Refunded",L5378=0),"Refunded, no refund",IF(AND(G5378&lt;&gt;"Refunded",L5378&gt;0),"Refund, order not Refunded",IF(AND(L5378&gt;0,ROUND(M5378-H5378,2)&lt;&gt;0),"Refund amount differs","OK")))))))</f>
        <v>OK</v>
      </c>
      <c r="O5378" s="24">
        <f t="shared" ref="O5378:O5441" si="339">IF(N5378="OK",0,IF(N5378="Paid, no payment",H5378,IF(N5378="Payment on failed/cancelled",K5378,IF(OR(N5378="Duplicate charge",N5378="Amount difference"),K5378-H5378,IF(N5378="Refunded, no refund",H5378,M5378)))))</f>
        <v>0</v>
      </c>
    </row>
    <row r="5379" spans="1:15" ht="15" customHeight="1" x14ac:dyDescent="0.3">
      <c r="A5379" s="23" t="s">
        <v>11189</v>
      </c>
      <c r="B5379" s="38">
        <v>46280</v>
      </c>
      <c r="C5379" s="23" t="s">
        <v>11190</v>
      </c>
      <c r="D5379" s="23" t="s">
        <v>92</v>
      </c>
      <c r="E5379" s="23" t="s">
        <v>81</v>
      </c>
      <c r="F5379" s="23" t="s">
        <v>6005</v>
      </c>
      <c r="G5379" s="23" t="s">
        <v>250</v>
      </c>
      <c r="H5379" s="39">
        <f t="shared" si="336"/>
        <v>2347</v>
      </c>
      <c r="I5379" s="23" t="str">
        <f t="shared" si="337"/>
        <v>Hyderabad</v>
      </c>
      <c r="J5379" s="23">
        <f>COUNTIFS(pg_transaction_cleaned!$O:$O,A5379,pg_transaction_cleaned!$F:$F,"CAPTURE")</f>
        <v>1</v>
      </c>
      <c r="K5379" s="39">
        <f>SUMIFS(pg_transaction_cleaned!$H:$H,pg_transaction_cleaned!$O:$O,A5379,pg_transaction_cleaned!$F:$F,"CAPTURE")</f>
        <v>2347</v>
      </c>
      <c r="L5379" s="23">
        <f>COUNTIFS(pg_transaction_cleaned!$O:$O,A5379,pg_transaction_cleaned!$F:$F,"REFUND")</f>
        <v>0</v>
      </c>
      <c r="M5379" s="39">
        <f>SUMIFS(pg_transaction_cleaned!$H:$H,pg_transaction_cleaned!$O:$O,A5379,pg_transaction_cleaned!$F:$F,"REFUND")</f>
        <v>0</v>
      </c>
      <c r="N5379" s="23" t="str">
        <f t="shared" si="338"/>
        <v>OK</v>
      </c>
      <c r="O5379" s="24">
        <f t="shared" si="339"/>
        <v>0</v>
      </c>
    </row>
    <row r="5380" spans="1:15" ht="15" customHeight="1" x14ac:dyDescent="0.3">
      <c r="A5380" s="23" t="s">
        <v>11191</v>
      </c>
      <c r="B5380" s="38">
        <v>46293</v>
      </c>
      <c r="C5380" s="23" t="s">
        <v>11192</v>
      </c>
      <c r="D5380" s="23" t="s">
        <v>86</v>
      </c>
      <c r="E5380" s="23" t="s">
        <v>75</v>
      </c>
      <c r="F5380" s="23" t="s">
        <v>490</v>
      </c>
      <c r="G5380" s="23" t="s">
        <v>250</v>
      </c>
      <c r="H5380" s="39">
        <f t="shared" si="336"/>
        <v>8798</v>
      </c>
      <c r="I5380" s="23" t="str">
        <f t="shared" si="337"/>
        <v>Delhi</v>
      </c>
      <c r="J5380" s="23">
        <f>COUNTIFS(pg_transaction_cleaned!$O:$O,A5380,pg_transaction_cleaned!$F:$F,"CAPTURE")</f>
        <v>1</v>
      </c>
      <c r="K5380" s="39">
        <f>SUMIFS(pg_transaction_cleaned!$H:$H,pg_transaction_cleaned!$O:$O,A5380,pg_transaction_cleaned!$F:$F,"CAPTURE")</f>
        <v>8798</v>
      </c>
      <c r="L5380" s="23">
        <f>COUNTIFS(pg_transaction_cleaned!$O:$O,A5380,pg_transaction_cleaned!$F:$F,"REFUND")</f>
        <v>0</v>
      </c>
      <c r="M5380" s="39">
        <f>SUMIFS(pg_transaction_cleaned!$H:$H,pg_transaction_cleaned!$O:$O,A5380,pg_transaction_cleaned!$F:$F,"REFUND")</f>
        <v>0</v>
      </c>
      <c r="N5380" s="23" t="str">
        <f t="shared" si="338"/>
        <v>OK</v>
      </c>
      <c r="O5380" s="24">
        <f t="shared" si="339"/>
        <v>0</v>
      </c>
    </row>
    <row r="5381" spans="1:15" ht="15" customHeight="1" x14ac:dyDescent="0.3">
      <c r="A5381" s="23" t="s">
        <v>11193</v>
      </c>
      <c r="B5381" s="38">
        <v>46274</v>
      </c>
      <c r="C5381" s="23" t="s">
        <v>11194</v>
      </c>
      <c r="D5381" s="23" t="s">
        <v>88</v>
      </c>
      <c r="E5381" s="23" t="s">
        <v>75</v>
      </c>
      <c r="F5381" s="23" t="s">
        <v>297</v>
      </c>
      <c r="G5381" s="23" t="s">
        <v>250</v>
      </c>
      <c r="H5381" s="39">
        <f t="shared" si="336"/>
        <v>4999</v>
      </c>
      <c r="I5381" s="23" t="str">
        <f t="shared" si="337"/>
        <v>Lucknow</v>
      </c>
      <c r="J5381" s="23">
        <f>COUNTIFS(pg_transaction_cleaned!$O:$O,A5381,pg_transaction_cleaned!$F:$F,"CAPTURE")</f>
        <v>1</v>
      </c>
      <c r="K5381" s="39">
        <f>SUMIFS(pg_transaction_cleaned!$H:$H,pg_transaction_cleaned!$O:$O,A5381,pg_transaction_cleaned!$F:$F,"CAPTURE")</f>
        <v>4999</v>
      </c>
      <c r="L5381" s="23">
        <f>COUNTIFS(pg_transaction_cleaned!$O:$O,A5381,pg_transaction_cleaned!$F:$F,"REFUND")</f>
        <v>0</v>
      </c>
      <c r="M5381" s="39">
        <f>SUMIFS(pg_transaction_cleaned!$H:$H,pg_transaction_cleaned!$O:$O,A5381,pg_transaction_cleaned!$F:$F,"REFUND")</f>
        <v>0</v>
      </c>
      <c r="N5381" s="23" t="str">
        <f t="shared" si="338"/>
        <v>OK</v>
      </c>
      <c r="O5381" s="24">
        <f t="shared" si="339"/>
        <v>0</v>
      </c>
    </row>
    <row r="5382" spans="1:15" ht="15" customHeight="1" x14ac:dyDescent="0.3">
      <c r="A5382" s="23" t="s">
        <v>11195</v>
      </c>
      <c r="B5382" s="38">
        <v>46286</v>
      </c>
      <c r="C5382" s="23" t="s">
        <v>11196</v>
      </c>
      <c r="D5382" s="23" t="s">
        <v>88</v>
      </c>
      <c r="E5382" s="23" t="s">
        <v>79</v>
      </c>
      <c r="F5382" s="23" t="s">
        <v>294</v>
      </c>
      <c r="G5382" s="23" t="s">
        <v>250</v>
      </c>
      <c r="H5382" s="39">
        <f t="shared" si="336"/>
        <v>1799</v>
      </c>
      <c r="I5382" s="23" t="str">
        <f t="shared" si="337"/>
        <v>Lucknow</v>
      </c>
      <c r="J5382" s="23">
        <f>COUNTIFS(pg_transaction_cleaned!$O:$O,A5382,pg_transaction_cleaned!$F:$F,"CAPTURE")</f>
        <v>1</v>
      </c>
      <c r="K5382" s="39">
        <f>SUMIFS(pg_transaction_cleaned!$H:$H,pg_transaction_cleaned!$O:$O,A5382,pg_transaction_cleaned!$F:$F,"CAPTURE")</f>
        <v>1799</v>
      </c>
      <c r="L5382" s="23">
        <f>COUNTIFS(pg_transaction_cleaned!$O:$O,A5382,pg_transaction_cleaned!$F:$F,"REFUND")</f>
        <v>0</v>
      </c>
      <c r="M5382" s="39">
        <f>SUMIFS(pg_transaction_cleaned!$H:$H,pg_transaction_cleaned!$O:$O,A5382,pg_transaction_cleaned!$F:$F,"REFUND")</f>
        <v>0</v>
      </c>
      <c r="N5382" s="23" t="str">
        <f t="shared" si="338"/>
        <v>OK</v>
      </c>
      <c r="O5382" s="24">
        <f t="shared" si="339"/>
        <v>0</v>
      </c>
    </row>
    <row r="5383" spans="1:15" ht="15" customHeight="1" x14ac:dyDescent="0.3">
      <c r="A5383" s="23" t="s">
        <v>11197</v>
      </c>
      <c r="B5383" s="38">
        <v>46278</v>
      </c>
      <c r="C5383" s="23" t="s">
        <v>11198</v>
      </c>
      <c r="D5383" s="23" t="s">
        <v>95</v>
      </c>
      <c r="E5383" s="23" t="s">
        <v>75</v>
      </c>
      <c r="F5383" s="23" t="s">
        <v>329</v>
      </c>
      <c r="G5383" s="23" t="s">
        <v>250</v>
      </c>
      <c r="H5383" s="39">
        <f t="shared" si="336"/>
        <v>599</v>
      </c>
      <c r="I5383" s="23" t="str">
        <f t="shared" si="337"/>
        <v>Bengaluru</v>
      </c>
      <c r="J5383" s="23">
        <f>COUNTIFS(pg_transaction_cleaned!$O:$O,A5383,pg_transaction_cleaned!$F:$F,"CAPTURE")</f>
        <v>1</v>
      </c>
      <c r="K5383" s="39">
        <f>SUMIFS(pg_transaction_cleaned!$H:$H,pg_transaction_cleaned!$O:$O,A5383,pg_transaction_cleaned!$F:$F,"CAPTURE")</f>
        <v>599</v>
      </c>
      <c r="L5383" s="23">
        <f>COUNTIFS(pg_transaction_cleaned!$O:$O,A5383,pg_transaction_cleaned!$F:$F,"REFUND")</f>
        <v>0</v>
      </c>
      <c r="M5383" s="39">
        <f>SUMIFS(pg_transaction_cleaned!$H:$H,pg_transaction_cleaned!$O:$O,A5383,pg_transaction_cleaned!$F:$F,"REFUND")</f>
        <v>0</v>
      </c>
      <c r="N5383" s="23" t="str">
        <f t="shared" si="338"/>
        <v>OK</v>
      </c>
      <c r="O5383" s="24">
        <f t="shared" si="339"/>
        <v>0</v>
      </c>
    </row>
    <row r="5384" spans="1:15" ht="15" customHeight="1" x14ac:dyDescent="0.3">
      <c r="A5384" s="23" t="s">
        <v>11199</v>
      </c>
      <c r="B5384" s="38">
        <v>46280</v>
      </c>
      <c r="C5384" s="23" t="s">
        <v>11200</v>
      </c>
      <c r="D5384" s="23" t="s">
        <v>89</v>
      </c>
      <c r="E5384" s="23" t="s">
        <v>77</v>
      </c>
      <c r="F5384" s="23" t="s">
        <v>475</v>
      </c>
      <c r="G5384" s="23" t="s">
        <v>250</v>
      </c>
      <c r="H5384" s="39">
        <f t="shared" si="336"/>
        <v>799</v>
      </c>
      <c r="I5384" s="23" t="str">
        <f t="shared" si="337"/>
        <v>Jaipur</v>
      </c>
      <c r="J5384" s="23">
        <f>COUNTIFS(pg_transaction_cleaned!$O:$O,A5384,pg_transaction_cleaned!$F:$F,"CAPTURE")</f>
        <v>1</v>
      </c>
      <c r="K5384" s="39">
        <f>SUMIFS(pg_transaction_cleaned!$H:$H,pg_transaction_cleaned!$O:$O,A5384,pg_transaction_cleaned!$F:$F,"CAPTURE")</f>
        <v>799</v>
      </c>
      <c r="L5384" s="23">
        <f>COUNTIFS(pg_transaction_cleaned!$O:$O,A5384,pg_transaction_cleaned!$F:$F,"REFUND")</f>
        <v>0</v>
      </c>
      <c r="M5384" s="39">
        <f>SUMIFS(pg_transaction_cleaned!$H:$H,pg_transaction_cleaned!$O:$O,A5384,pg_transaction_cleaned!$F:$F,"REFUND")</f>
        <v>0</v>
      </c>
      <c r="N5384" s="23" t="str">
        <f t="shared" si="338"/>
        <v>OK</v>
      </c>
      <c r="O5384" s="24">
        <f t="shared" si="339"/>
        <v>0</v>
      </c>
    </row>
    <row r="5385" spans="1:15" ht="15" customHeight="1" x14ac:dyDescent="0.3">
      <c r="A5385" s="23" t="s">
        <v>11201</v>
      </c>
      <c r="B5385" s="38">
        <v>46266</v>
      </c>
      <c r="C5385" s="23" t="s">
        <v>11202</v>
      </c>
      <c r="D5385" s="23" t="s">
        <v>94</v>
      </c>
      <c r="E5385" s="23" t="s">
        <v>75</v>
      </c>
      <c r="F5385" s="23" t="s">
        <v>329</v>
      </c>
      <c r="G5385" s="23" t="s">
        <v>250</v>
      </c>
      <c r="H5385" s="39">
        <f t="shared" si="336"/>
        <v>599</v>
      </c>
      <c r="I5385" s="23" t="str">
        <f t="shared" si="337"/>
        <v>Chennai</v>
      </c>
      <c r="J5385" s="23">
        <f>COUNTIFS(pg_transaction_cleaned!$O:$O,A5385,pg_transaction_cleaned!$F:$F,"CAPTURE")</f>
        <v>1</v>
      </c>
      <c r="K5385" s="39">
        <f>SUMIFS(pg_transaction_cleaned!$H:$H,pg_transaction_cleaned!$O:$O,A5385,pg_transaction_cleaned!$F:$F,"CAPTURE")</f>
        <v>599</v>
      </c>
      <c r="L5385" s="23">
        <f>COUNTIFS(pg_transaction_cleaned!$O:$O,A5385,pg_transaction_cleaned!$F:$F,"REFUND")</f>
        <v>0</v>
      </c>
      <c r="M5385" s="39">
        <f>SUMIFS(pg_transaction_cleaned!$H:$H,pg_transaction_cleaned!$O:$O,A5385,pg_transaction_cleaned!$F:$F,"REFUND")</f>
        <v>0</v>
      </c>
      <c r="N5385" s="23" t="str">
        <f t="shared" si="338"/>
        <v>OK</v>
      </c>
      <c r="O5385" s="24">
        <f t="shared" si="339"/>
        <v>0</v>
      </c>
    </row>
    <row r="5386" spans="1:15" ht="15" customHeight="1" x14ac:dyDescent="0.3">
      <c r="A5386" s="23" t="s">
        <v>11203</v>
      </c>
      <c r="B5386" s="38">
        <v>46295</v>
      </c>
      <c r="C5386" s="23" t="s">
        <v>11204</v>
      </c>
      <c r="D5386" s="23" t="s">
        <v>93</v>
      </c>
      <c r="E5386" s="23" t="s">
        <v>79</v>
      </c>
      <c r="F5386" s="23" t="s">
        <v>6372</v>
      </c>
      <c r="G5386" s="23" t="s">
        <v>250</v>
      </c>
      <c r="H5386" s="39">
        <f t="shared" si="336"/>
        <v>3098</v>
      </c>
      <c r="I5386" s="23" t="str">
        <f t="shared" si="337"/>
        <v>Kolkata</v>
      </c>
      <c r="J5386" s="23">
        <f>COUNTIFS(pg_transaction_cleaned!$O:$O,A5386,pg_transaction_cleaned!$F:$F,"CAPTURE")</f>
        <v>1</v>
      </c>
      <c r="K5386" s="39">
        <f>SUMIFS(pg_transaction_cleaned!$H:$H,pg_transaction_cleaned!$O:$O,A5386,pg_transaction_cleaned!$F:$F,"CAPTURE")</f>
        <v>3098</v>
      </c>
      <c r="L5386" s="23">
        <f>COUNTIFS(pg_transaction_cleaned!$O:$O,A5386,pg_transaction_cleaned!$F:$F,"REFUND")</f>
        <v>0</v>
      </c>
      <c r="M5386" s="39">
        <f>SUMIFS(pg_transaction_cleaned!$H:$H,pg_transaction_cleaned!$O:$O,A5386,pg_transaction_cleaned!$F:$F,"REFUND")</f>
        <v>0</v>
      </c>
      <c r="N5386" s="23" t="str">
        <f t="shared" si="338"/>
        <v>OK</v>
      </c>
      <c r="O5386" s="24">
        <f t="shared" si="339"/>
        <v>0</v>
      </c>
    </row>
    <row r="5387" spans="1:15" ht="15" customHeight="1" x14ac:dyDescent="0.3">
      <c r="A5387" s="23" t="s">
        <v>11205</v>
      </c>
      <c r="B5387" s="38">
        <v>46285</v>
      </c>
      <c r="C5387" s="23" t="s">
        <v>11206</v>
      </c>
      <c r="D5387" s="23" t="s">
        <v>87</v>
      </c>
      <c r="E5387" s="23" t="s">
        <v>79</v>
      </c>
      <c r="F5387" s="23" t="s">
        <v>288</v>
      </c>
      <c r="G5387" s="23" t="s">
        <v>250</v>
      </c>
      <c r="H5387" s="39">
        <f t="shared" si="336"/>
        <v>4298</v>
      </c>
      <c r="I5387" s="23" t="str">
        <f t="shared" si="337"/>
        <v>Mumbai</v>
      </c>
      <c r="J5387" s="23">
        <f>COUNTIFS(pg_transaction_cleaned!$O:$O,A5387,pg_transaction_cleaned!$F:$F,"CAPTURE")</f>
        <v>1</v>
      </c>
      <c r="K5387" s="39">
        <f>SUMIFS(pg_transaction_cleaned!$H:$H,pg_transaction_cleaned!$O:$O,A5387,pg_transaction_cleaned!$F:$F,"CAPTURE")</f>
        <v>4298</v>
      </c>
      <c r="L5387" s="23">
        <f>COUNTIFS(pg_transaction_cleaned!$O:$O,A5387,pg_transaction_cleaned!$F:$F,"REFUND")</f>
        <v>0</v>
      </c>
      <c r="M5387" s="39">
        <f>SUMIFS(pg_transaction_cleaned!$H:$H,pg_transaction_cleaned!$O:$O,A5387,pg_transaction_cleaned!$F:$F,"REFUND")</f>
        <v>0</v>
      </c>
      <c r="N5387" s="23" t="str">
        <f t="shared" si="338"/>
        <v>OK</v>
      </c>
      <c r="O5387" s="24">
        <f t="shared" si="339"/>
        <v>0</v>
      </c>
    </row>
    <row r="5388" spans="1:15" ht="15" customHeight="1" x14ac:dyDescent="0.3">
      <c r="A5388" s="23" t="s">
        <v>11207</v>
      </c>
      <c r="B5388" s="38">
        <v>46281</v>
      </c>
      <c r="C5388" s="23" t="s">
        <v>11208</v>
      </c>
      <c r="D5388" s="23" t="s">
        <v>91</v>
      </c>
      <c r="E5388" s="23" t="s">
        <v>77</v>
      </c>
      <c r="F5388" s="23" t="s">
        <v>315</v>
      </c>
      <c r="G5388" s="23" t="s">
        <v>250</v>
      </c>
      <c r="H5388" s="39">
        <f t="shared" si="336"/>
        <v>1499</v>
      </c>
      <c r="I5388" s="23" t="str">
        <f t="shared" si="337"/>
        <v>Pune</v>
      </c>
      <c r="J5388" s="23">
        <f>COUNTIFS(pg_transaction_cleaned!$O:$O,A5388,pg_transaction_cleaned!$F:$F,"CAPTURE")</f>
        <v>1</v>
      </c>
      <c r="K5388" s="39">
        <f>SUMIFS(pg_transaction_cleaned!$H:$H,pg_transaction_cleaned!$O:$O,A5388,pg_transaction_cleaned!$F:$F,"CAPTURE")</f>
        <v>1499</v>
      </c>
      <c r="L5388" s="23">
        <f>COUNTIFS(pg_transaction_cleaned!$O:$O,A5388,pg_transaction_cleaned!$F:$F,"REFUND")</f>
        <v>0</v>
      </c>
      <c r="M5388" s="39">
        <f>SUMIFS(pg_transaction_cleaned!$H:$H,pg_transaction_cleaned!$O:$O,A5388,pg_transaction_cleaned!$F:$F,"REFUND")</f>
        <v>0</v>
      </c>
      <c r="N5388" s="23" t="str">
        <f t="shared" si="338"/>
        <v>OK</v>
      </c>
      <c r="O5388" s="24">
        <f t="shared" si="339"/>
        <v>0</v>
      </c>
    </row>
    <row r="5389" spans="1:15" ht="15" customHeight="1" x14ac:dyDescent="0.3">
      <c r="A5389" s="23" t="s">
        <v>11209</v>
      </c>
      <c r="B5389" s="38">
        <v>46277</v>
      </c>
      <c r="C5389" s="23" t="s">
        <v>11210</v>
      </c>
      <c r="D5389" s="23" t="s">
        <v>87</v>
      </c>
      <c r="E5389" s="23" t="s">
        <v>75</v>
      </c>
      <c r="F5389" s="23" t="s">
        <v>291</v>
      </c>
      <c r="G5389" s="23" t="s">
        <v>250</v>
      </c>
      <c r="H5389" s="39">
        <f t="shared" si="336"/>
        <v>3499</v>
      </c>
      <c r="I5389" s="23" t="str">
        <f t="shared" si="337"/>
        <v>Mumbai</v>
      </c>
      <c r="J5389" s="23">
        <f>COUNTIFS(pg_transaction_cleaned!$O:$O,A5389,pg_transaction_cleaned!$F:$F,"CAPTURE")</f>
        <v>1</v>
      </c>
      <c r="K5389" s="39">
        <f>SUMIFS(pg_transaction_cleaned!$H:$H,pg_transaction_cleaned!$O:$O,A5389,pg_transaction_cleaned!$F:$F,"CAPTURE")</f>
        <v>3499</v>
      </c>
      <c r="L5389" s="23">
        <f>COUNTIFS(pg_transaction_cleaned!$O:$O,A5389,pg_transaction_cleaned!$F:$F,"REFUND")</f>
        <v>0</v>
      </c>
      <c r="M5389" s="39">
        <f>SUMIFS(pg_transaction_cleaned!$H:$H,pg_transaction_cleaned!$O:$O,A5389,pg_transaction_cleaned!$F:$F,"REFUND")</f>
        <v>0</v>
      </c>
      <c r="N5389" s="23" t="str">
        <f t="shared" si="338"/>
        <v>OK</v>
      </c>
      <c r="O5389" s="24">
        <f t="shared" si="339"/>
        <v>0</v>
      </c>
    </row>
    <row r="5390" spans="1:15" ht="15" customHeight="1" x14ac:dyDescent="0.3">
      <c r="A5390" s="23" t="s">
        <v>11211</v>
      </c>
      <c r="B5390" s="38">
        <v>46276</v>
      </c>
      <c r="C5390" s="23" t="s">
        <v>11212</v>
      </c>
      <c r="D5390" s="23" t="s">
        <v>94</v>
      </c>
      <c r="E5390" s="23" t="s">
        <v>81</v>
      </c>
      <c r="F5390" s="23" t="s">
        <v>249</v>
      </c>
      <c r="G5390" s="23" t="s">
        <v>250</v>
      </c>
      <c r="H5390" s="39">
        <f t="shared" si="336"/>
        <v>299</v>
      </c>
      <c r="I5390" s="23" t="str">
        <f t="shared" si="337"/>
        <v>Chennai</v>
      </c>
      <c r="J5390" s="23">
        <f>COUNTIFS(pg_transaction_cleaned!$O:$O,A5390,pg_transaction_cleaned!$F:$F,"CAPTURE")</f>
        <v>1</v>
      </c>
      <c r="K5390" s="39">
        <f>SUMIFS(pg_transaction_cleaned!$H:$H,pg_transaction_cleaned!$O:$O,A5390,pg_transaction_cleaned!$F:$F,"CAPTURE")</f>
        <v>299</v>
      </c>
      <c r="L5390" s="23">
        <f>COUNTIFS(pg_transaction_cleaned!$O:$O,A5390,pg_transaction_cleaned!$F:$F,"REFUND")</f>
        <v>0</v>
      </c>
      <c r="M5390" s="39">
        <f>SUMIFS(pg_transaction_cleaned!$H:$H,pg_transaction_cleaned!$O:$O,A5390,pg_transaction_cleaned!$F:$F,"REFUND")</f>
        <v>0</v>
      </c>
      <c r="N5390" s="23" t="str">
        <f t="shared" si="338"/>
        <v>OK</v>
      </c>
      <c r="O5390" s="24">
        <f t="shared" si="339"/>
        <v>0</v>
      </c>
    </row>
    <row r="5391" spans="1:15" ht="15" customHeight="1" x14ac:dyDescent="0.3">
      <c r="A5391" s="23" t="s">
        <v>11213</v>
      </c>
      <c r="B5391" s="38">
        <v>46282</v>
      </c>
      <c r="C5391" s="23" t="s">
        <v>11214</v>
      </c>
      <c r="D5391" s="23" t="s">
        <v>95</v>
      </c>
      <c r="E5391" s="23" t="s">
        <v>79</v>
      </c>
      <c r="F5391" s="23" t="s">
        <v>310</v>
      </c>
      <c r="G5391" s="23" t="s">
        <v>250</v>
      </c>
      <c r="H5391" s="39">
        <f t="shared" si="336"/>
        <v>7999</v>
      </c>
      <c r="I5391" s="23" t="str">
        <f t="shared" si="337"/>
        <v>Bengaluru</v>
      </c>
      <c r="J5391" s="23">
        <f>COUNTIFS(pg_transaction_cleaned!$O:$O,A5391,pg_transaction_cleaned!$F:$F,"CAPTURE")</f>
        <v>1</v>
      </c>
      <c r="K5391" s="39">
        <f>SUMIFS(pg_transaction_cleaned!$H:$H,pg_transaction_cleaned!$O:$O,A5391,pg_transaction_cleaned!$F:$F,"CAPTURE")</f>
        <v>7999</v>
      </c>
      <c r="L5391" s="23">
        <f>COUNTIFS(pg_transaction_cleaned!$O:$O,A5391,pg_transaction_cleaned!$F:$F,"REFUND")</f>
        <v>0</v>
      </c>
      <c r="M5391" s="39">
        <f>SUMIFS(pg_transaction_cleaned!$H:$H,pg_transaction_cleaned!$O:$O,A5391,pg_transaction_cleaned!$F:$F,"REFUND")</f>
        <v>0</v>
      </c>
      <c r="N5391" s="23" t="str">
        <f t="shared" si="338"/>
        <v>OK</v>
      </c>
      <c r="O5391" s="24">
        <f t="shared" si="339"/>
        <v>0</v>
      </c>
    </row>
    <row r="5392" spans="1:15" ht="15" customHeight="1" x14ac:dyDescent="0.3">
      <c r="A5392" s="23" t="s">
        <v>11215</v>
      </c>
      <c r="B5392" s="38">
        <v>46272</v>
      </c>
      <c r="C5392" s="23" t="s">
        <v>11216</v>
      </c>
      <c r="D5392" s="23" t="s">
        <v>93</v>
      </c>
      <c r="E5392" s="23" t="s">
        <v>79</v>
      </c>
      <c r="F5392" s="23" t="s">
        <v>268</v>
      </c>
      <c r="G5392" s="23" t="s">
        <v>250</v>
      </c>
      <c r="H5392" s="39">
        <f t="shared" si="336"/>
        <v>1299</v>
      </c>
      <c r="I5392" s="23" t="str">
        <f t="shared" si="337"/>
        <v>Kolkata</v>
      </c>
      <c r="J5392" s="23">
        <f>COUNTIFS(pg_transaction_cleaned!$O:$O,A5392,pg_transaction_cleaned!$F:$F,"CAPTURE")</f>
        <v>1</v>
      </c>
      <c r="K5392" s="39">
        <f>SUMIFS(pg_transaction_cleaned!$H:$H,pg_transaction_cleaned!$O:$O,A5392,pg_transaction_cleaned!$F:$F,"CAPTURE")</f>
        <v>1299</v>
      </c>
      <c r="L5392" s="23">
        <f>COUNTIFS(pg_transaction_cleaned!$O:$O,A5392,pg_transaction_cleaned!$F:$F,"REFUND")</f>
        <v>0</v>
      </c>
      <c r="M5392" s="39">
        <f>SUMIFS(pg_transaction_cleaned!$H:$H,pg_transaction_cleaned!$O:$O,A5392,pg_transaction_cleaned!$F:$F,"REFUND")</f>
        <v>0</v>
      </c>
      <c r="N5392" s="23" t="str">
        <f t="shared" si="338"/>
        <v>OK</v>
      </c>
      <c r="O5392" s="24">
        <f t="shared" si="339"/>
        <v>0</v>
      </c>
    </row>
    <row r="5393" spans="1:15" ht="15" customHeight="1" x14ac:dyDescent="0.3">
      <c r="A5393" s="23" t="s">
        <v>11217</v>
      </c>
      <c r="B5393" s="38">
        <v>46293</v>
      </c>
      <c r="C5393" s="23" t="s">
        <v>11218</v>
      </c>
      <c r="D5393" s="23" t="s">
        <v>90</v>
      </c>
      <c r="E5393" s="23" t="s">
        <v>81</v>
      </c>
      <c r="F5393" s="23" t="s">
        <v>307</v>
      </c>
      <c r="G5393" s="23" t="s">
        <v>250</v>
      </c>
      <c r="H5393" s="39">
        <f t="shared" si="336"/>
        <v>3798</v>
      </c>
      <c r="I5393" s="23" t="str">
        <f t="shared" si="337"/>
        <v>Ahmedabad</v>
      </c>
      <c r="J5393" s="23">
        <f>COUNTIFS(pg_transaction_cleaned!$O:$O,A5393,pg_transaction_cleaned!$F:$F,"CAPTURE")</f>
        <v>1</v>
      </c>
      <c r="K5393" s="39">
        <f>SUMIFS(pg_transaction_cleaned!$H:$H,pg_transaction_cleaned!$O:$O,A5393,pg_transaction_cleaned!$F:$F,"CAPTURE")</f>
        <v>3798</v>
      </c>
      <c r="L5393" s="23">
        <f>COUNTIFS(pg_transaction_cleaned!$O:$O,A5393,pg_transaction_cleaned!$F:$F,"REFUND")</f>
        <v>0</v>
      </c>
      <c r="M5393" s="39">
        <f>SUMIFS(pg_transaction_cleaned!$H:$H,pg_transaction_cleaned!$O:$O,A5393,pg_transaction_cleaned!$F:$F,"REFUND")</f>
        <v>0</v>
      </c>
      <c r="N5393" s="23" t="str">
        <f t="shared" si="338"/>
        <v>OK</v>
      </c>
      <c r="O5393" s="24">
        <f t="shared" si="339"/>
        <v>0</v>
      </c>
    </row>
    <row r="5394" spans="1:15" ht="15" customHeight="1" x14ac:dyDescent="0.3">
      <c r="A5394" s="23" t="s">
        <v>11219</v>
      </c>
      <c r="B5394" s="38">
        <v>46272</v>
      </c>
      <c r="C5394" s="23" t="s">
        <v>11220</v>
      </c>
      <c r="D5394" s="23" t="s">
        <v>87</v>
      </c>
      <c r="E5394" s="23" t="s">
        <v>75</v>
      </c>
      <c r="F5394" s="23" t="s">
        <v>337</v>
      </c>
      <c r="G5394" s="23" t="s">
        <v>250</v>
      </c>
      <c r="H5394" s="39">
        <f t="shared" si="336"/>
        <v>3998</v>
      </c>
      <c r="I5394" s="23" t="str">
        <f t="shared" si="337"/>
        <v>Mumbai</v>
      </c>
      <c r="J5394" s="23">
        <f>COUNTIFS(pg_transaction_cleaned!$O:$O,A5394,pg_transaction_cleaned!$F:$F,"CAPTURE")</f>
        <v>1</v>
      </c>
      <c r="K5394" s="39">
        <f>SUMIFS(pg_transaction_cleaned!$H:$H,pg_transaction_cleaned!$O:$O,A5394,pg_transaction_cleaned!$F:$F,"CAPTURE")</f>
        <v>3998</v>
      </c>
      <c r="L5394" s="23">
        <f>COUNTIFS(pg_transaction_cleaned!$O:$O,A5394,pg_transaction_cleaned!$F:$F,"REFUND")</f>
        <v>0</v>
      </c>
      <c r="M5394" s="39">
        <f>SUMIFS(pg_transaction_cleaned!$H:$H,pg_transaction_cleaned!$O:$O,A5394,pg_transaction_cleaned!$F:$F,"REFUND")</f>
        <v>0</v>
      </c>
      <c r="N5394" s="23" t="str">
        <f t="shared" si="338"/>
        <v>OK</v>
      </c>
      <c r="O5394" s="24">
        <f t="shared" si="339"/>
        <v>0</v>
      </c>
    </row>
    <row r="5395" spans="1:15" ht="15" customHeight="1" x14ac:dyDescent="0.3">
      <c r="A5395" s="23" t="s">
        <v>11221</v>
      </c>
      <c r="B5395" s="38">
        <v>46288</v>
      </c>
      <c r="C5395" s="23" t="s">
        <v>11222</v>
      </c>
      <c r="D5395" s="23" t="s">
        <v>87</v>
      </c>
      <c r="E5395" s="23" t="s">
        <v>75</v>
      </c>
      <c r="F5395" s="23" t="s">
        <v>490</v>
      </c>
      <c r="G5395" s="23" t="s">
        <v>250</v>
      </c>
      <c r="H5395" s="39">
        <f t="shared" si="336"/>
        <v>8798</v>
      </c>
      <c r="I5395" s="23" t="str">
        <f t="shared" si="337"/>
        <v>Mumbai</v>
      </c>
      <c r="J5395" s="23">
        <f>COUNTIFS(pg_transaction_cleaned!$O:$O,A5395,pg_transaction_cleaned!$F:$F,"CAPTURE")</f>
        <v>1</v>
      </c>
      <c r="K5395" s="39">
        <f>SUMIFS(pg_transaction_cleaned!$H:$H,pg_transaction_cleaned!$O:$O,A5395,pg_transaction_cleaned!$F:$F,"CAPTURE")</f>
        <v>8798</v>
      </c>
      <c r="L5395" s="23">
        <f>COUNTIFS(pg_transaction_cleaned!$O:$O,A5395,pg_transaction_cleaned!$F:$F,"REFUND")</f>
        <v>0</v>
      </c>
      <c r="M5395" s="39">
        <f>SUMIFS(pg_transaction_cleaned!$H:$H,pg_transaction_cleaned!$O:$O,A5395,pg_transaction_cleaned!$F:$F,"REFUND")</f>
        <v>0</v>
      </c>
      <c r="N5395" s="23" t="str">
        <f t="shared" si="338"/>
        <v>OK</v>
      </c>
      <c r="O5395" s="24">
        <f t="shared" si="339"/>
        <v>0</v>
      </c>
    </row>
    <row r="5396" spans="1:15" ht="15" customHeight="1" x14ac:dyDescent="0.3">
      <c r="A5396" s="23" t="s">
        <v>11223</v>
      </c>
      <c r="B5396" s="38">
        <v>46271</v>
      </c>
      <c r="C5396" s="23" t="s">
        <v>11224</v>
      </c>
      <c r="D5396" s="23" t="s">
        <v>88</v>
      </c>
      <c r="E5396" s="23" t="s">
        <v>75</v>
      </c>
      <c r="F5396" s="23" t="s">
        <v>534</v>
      </c>
      <c r="G5396" s="23" t="s">
        <v>250</v>
      </c>
      <c r="H5396" s="39">
        <f t="shared" si="336"/>
        <v>3097</v>
      </c>
      <c r="I5396" s="23" t="str">
        <f t="shared" si="337"/>
        <v>Lucknow</v>
      </c>
      <c r="J5396" s="23">
        <f>COUNTIFS(pg_transaction_cleaned!$O:$O,A5396,pg_transaction_cleaned!$F:$F,"CAPTURE")</f>
        <v>1</v>
      </c>
      <c r="K5396" s="39">
        <f>SUMIFS(pg_transaction_cleaned!$H:$H,pg_transaction_cleaned!$O:$O,A5396,pg_transaction_cleaned!$F:$F,"CAPTURE")</f>
        <v>3097</v>
      </c>
      <c r="L5396" s="23">
        <f>COUNTIFS(pg_transaction_cleaned!$O:$O,A5396,pg_transaction_cleaned!$F:$F,"REFUND")</f>
        <v>0</v>
      </c>
      <c r="M5396" s="39">
        <f>SUMIFS(pg_transaction_cleaned!$H:$H,pg_transaction_cleaned!$O:$O,A5396,pg_transaction_cleaned!$F:$F,"REFUND")</f>
        <v>0</v>
      </c>
      <c r="N5396" s="23" t="str">
        <f t="shared" si="338"/>
        <v>OK</v>
      </c>
      <c r="O5396" s="24">
        <f t="shared" si="339"/>
        <v>0</v>
      </c>
    </row>
    <row r="5397" spans="1:15" ht="15" customHeight="1" x14ac:dyDescent="0.3">
      <c r="A5397" s="23" t="s">
        <v>11225</v>
      </c>
      <c r="B5397" s="38">
        <v>46276</v>
      </c>
      <c r="C5397" s="23" t="s">
        <v>11226</v>
      </c>
      <c r="D5397" s="23" t="s">
        <v>90</v>
      </c>
      <c r="E5397" s="23" t="s">
        <v>75</v>
      </c>
      <c r="F5397" s="23" t="s">
        <v>268</v>
      </c>
      <c r="G5397" s="23" t="s">
        <v>250</v>
      </c>
      <c r="H5397" s="39">
        <f t="shared" si="336"/>
        <v>1299</v>
      </c>
      <c r="I5397" s="23" t="str">
        <f t="shared" si="337"/>
        <v>Ahmedabad</v>
      </c>
      <c r="J5397" s="23">
        <f>COUNTIFS(pg_transaction_cleaned!$O:$O,A5397,pg_transaction_cleaned!$F:$F,"CAPTURE")</f>
        <v>1</v>
      </c>
      <c r="K5397" s="39">
        <f>SUMIFS(pg_transaction_cleaned!$H:$H,pg_transaction_cleaned!$O:$O,A5397,pg_transaction_cleaned!$F:$F,"CAPTURE")</f>
        <v>1299</v>
      </c>
      <c r="L5397" s="23">
        <f>COUNTIFS(pg_transaction_cleaned!$O:$O,A5397,pg_transaction_cleaned!$F:$F,"REFUND")</f>
        <v>0</v>
      </c>
      <c r="M5397" s="39">
        <f>SUMIFS(pg_transaction_cleaned!$H:$H,pg_transaction_cleaned!$O:$O,A5397,pg_transaction_cleaned!$F:$F,"REFUND")</f>
        <v>0</v>
      </c>
      <c r="N5397" s="23" t="str">
        <f t="shared" si="338"/>
        <v>OK</v>
      </c>
      <c r="O5397" s="24">
        <f t="shared" si="339"/>
        <v>0</v>
      </c>
    </row>
    <row r="5398" spans="1:15" ht="15" customHeight="1" x14ac:dyDescent="0.3">
      <c r="A5398" s="23" t="s">
        <v>11227</v>
      </c>
      <c r="B5398" s="38">
        <v>46281</v>
      </c>
      <c r="C5398" s="23" t="s">
        <v>11228</v>
      </c>
      <c r="D5398" s="23" t="s">
        <v>87</v>
      </c>
      <c r="E5398" s="23" t="s">
        <v>75</v>
      </c>
      <c r="F5398" s="23" t="s">
        <v>346</v>
      </c>
      <c r="G5398" s="23" t="s">
        <v>250</v>
      </c>
      <c r="H5398" s="39">
        <f t="shared" si="336"/>
        <v>4498</v>
      </c>
      <c r="I5398" s="23" t="str">
        <f t="shared" si="337"/>
        <v>Mumbai</v>
      </c>
      <c r="J5398" s="23">
        <f>COUNTIFS(pg_transaction_cleaned!$O:$O,A5398,pg_transaction_cleaned!$F:$F,"CAPTURE")</f>
        <v>1</v>
      </c>
      <c r="K5398" s="39">
        <f>SUMIFS(pg_transaction_cleaned!$H:$H,pg_transaction_cleaned!$O:$O,A5398,pg_transaction_cleaned!$F:$F,"CAPTURE")</f>
        <v>4498</v>
      </c>
      <c r="L5398" s="23">
        <f>COUNTIFS(pg_transaction_cleaned!$O:$O,A5398,pg_transaction_cleaned!$F:$F,"REFUND")</f>
        <v>0</v>
      </c>
      <c r="M5398" s="39">
        <f>SUMIFS(pg_transaction_cleaned!$H:$H,pg_transaction_cleaned!$O:$O,A5398,pg_transaction_cleaned!$F:$F,"REFUND")</f>
        <v>0</v>
      </c>
      <c r="N5398" s="23" t="str">
        <f t="shared" si="338"/>
        <v>OK</v>
      </c>
      <c r="O5398" s="24">
        <f t="shared" si="339"/>
        <v>0</v>
      </c>
    </row>
    <row r="5399" spans="1:15" ht="15" customHeight="1" x14ac:dyDescent="0.3">
      <c r="A5399" s="23" t="s">
        <v>11229</v>
      </c>
      <c r="B5399" s="38">
        <v>46279</v>
      </c>
      <c r="C5399" s="23" t="s">
        <v>11230</v>
      </c>
      <c r="D5399" s="23" t="s">
        <v>94</v>
      </c>
      <c r="E5399" s="23" t="s">
        <v>77</v>
      </c>
      <c r="F5399" s="23" t="s">
        <v>475</v>
      </c>
      <c r="G5399" s="23" t="s">
        <v>250</v>
      </c>
      <c r="H5399" s="39">
        <f t="shared" si="336"/>
        <v>799</v>
      </c>
      <c r="I5399" s="23" t="str">
        <f t="shared" si="337"/>
        <v>Chennai</v>
      </c>
      <c r="J5399" s="23">
        <f>COUNTIFS(pg_transaction_cleaned!$O:$O,A5399,pg_transaction_cleaned!$F:$F,"CAPTURE")</f>
        <v>1</v>
      </c>
      <c r="K5399" s="39">
        <f>SUMIFS(pg_transaction_cleaned!$H:$H,pg_transaction_cleaned!$O:$O,A5399,pg_transaction_cleaned!$F:$F,"CAPTURE")</f>
        <v>799</v>
      </c>
      <c r="L5399" s="23">
        <f>COUNTIFS(pg_transaction_cleaned!$O:$O,A5399,pg_transaction_cleaned!$F:$F,"REFUND")</f>
        <v>0</v>
      </c>
      <c r="M5399" s="39">
        <f>SUMIFS(pg_transaction_cleaned!$H:$H,pg_transaction_cleaned!$O:$O,A5399,pg_transaction_cleaned!$F:$F,"REFUND")</f>
        <v>0</v>
      </c>
      <c r="N5399" s="23" t="str">
        <f t="shared" si="338"/>
        <v>OK</v>
      </c>
      <c r="O5399" s="24">
        <f t="shared" si="339"/>
        <v>0</v>
      </c>
    </row>
    <row r="5400" spans="1:15" ht="15" customHeight="1" x14ac:dyDescent="0.3">
      <c r="A5400" s="23" t="s">
        <v>11231</v>
      </c>
      <c r="B5400" s="38">
        <v>46274</v>
      </c>
      <c r="C5400" s="23" t="s">
        <v>11232</v>
      </c>
      <c r="D5400" s="23" t="s">
        <v>86</v>
      </c>
      <c r="E5400" s="23" t="s">
        <v>75</v>
      </c>
      <c r="F5400" s="23" t="s">
        <v>280</v>
      </c>
      <c r="G5400" s="23" t="s">
        <v>250</v>
      </c>
      <c r="H5400" s="39">
        <f t="shared" si="336"/>
        <v>5797</v>
      </c>
      <c r="I5400" s="23" t="str">
        <f t="shared" si="337"/>
        <v>Delhi</v>
      </c>
      <c r="J5400" s="23">
        <f>COUNTIFS(pg_transaction_cleaned!$O:$O,A5400,pg_transaction_cleaned!$F:$F,"CAPTURE")</f>
        <v>1</v>
      </c>
      <c r="K5400" s="39">
        <f>SUMIFS(pg_transaction_cleaned!$H:$H,pg_transaction_cleaned!$O:$O,A5400,pg_transaction_cleaned!$F:$F,"CAPTURE")</f>
        <v>5797</v>
      </c>
      <c r="L5400" s="23">
        <f>COUNTIFS(pg_transaction_cleaned!$O:$O,A5400,pg_transaction_cleaned!$F:$F,"REFUND")</f>
        <v>0</v>
      </c>
      <c r="M5400" s="39">
        <f>SUMIFS(pg_transaction_cleaned!$H:$H,pg_transaction_cleaned!$O:$O,A5400,pg_transaction_cleaned!$F:$F,"REFUND")</f>
        <v>0</v>
      </c>
      <c r="N5400" s="23" t="str">
        <f t="shared" si="338"/>
        <v>OK</v>
      </c>
      <c r="O5400" s="24">
        <f t="shared" si="339"/>
        <v>0</v>
      </c>
    </row>
    <row r="5401" spans="1:15" ht="15" customHeight="1" x14ac:dyDescent="0.3">
      <c r="A5401" s="23" t="s">
        <v>11233</v>
      </c>
      <c r="B5401" s="38">
        <v>46279</v>
      </c>
      <c r="C5401" s="23" t="s">
        <v>11234</v>
      </c>
      <c r="D5401" s="23" t="s">
        <v>89</v>
      </c>
      <c r="E5401" s="23" t="s">
        <v>75</v>
      </c>
      <c r="F5401" s="23" t="s">
        <v>262</v>
      </c>
      <c r="G5401" s="23" t="s">
        <v>250</v>
      </c>
      <c r="H5401" s="39">
        <f t="shared" si="336"/>
        <v>499</v>
      </c>
      <c r="I5401" s="23" t="str">
        <f t="shared" si="337"/>
        <v>Jaipur</v>
      </c>
      <c r="J5401" s="23">
        <f>COUNTIFS(pg_transaction_cleaned!$O:$O,A5401,pg_transaction_cleaned!$F:$F,"CAPTURE")</f>
        <v>1</v>
      </c>
      <c r="K5401" s="39">
        <f>SUMIFS(pg_transaction_cleaned!$H:$H,pg_transaction_cleaned!$O:$O,A5401,pg_transaction_cleaned!$F:$F,"CAPTURE")</f>
        <v>499</v>
      </c>
      <c r="L5401" s="23">
        <f>COUNTIFS(pg_transaction_cleaned!$O:$O,A5401,pg_transaction_cleaned!$F:$F,"REFUND")</f>
        <v>0</v>
      </c>
      <c r="M5401" s="39">
        <f>SUMIFS(pg_transaction_cleaned!$H:$H,pg_transaction_cleaned!$O:$O,A5401,pg_transaction_cleaned!$F:$F,"REFUND")</f>
        <v>0</v>
      </c>
      <c r="N5401" s="23" t="str">
        <f t="shared" si="338"/>
        <v>OK</v>
      </c>
      <c r="O5401" s="24">
        <f t="shared" si="339"/>
        <v>0</v>
      </c>
    </row>
    <row r="5402" spans="1:15" ht="15" customHeight="1" x14ac:dyDescent="0.3">
      <c r="A5402" s="23" t="s">
        <v>11235</v>
      </c>
      <c r="B5402" s="38">
        <v>46281</v>
      </c>
      <c r="C5402" s="23" t="s">
        <v>11236</v>
      </c>
      <c r="D5402" s="23" t="s">
        <v>89</v>
      </c>
      <c r="E5402" s="23" t="s">
        <v>75</v>
      </c>
      <c r="F5402" s="23" t="s">
        <v>268</v>
      </c>
      <c r="G5402" s="23" t="s">
        <v>250</v>
      </c>
      <c r="H5402" s="39">
        <f t="shared" si="336"/>
        <v>1299</v>
      </c>
      <c r="I5402" s="23" t="str">
        <f t="shared" si="337"/>
        <v>Jaipur</v>
      </c>
      <c r="J5402" s="23">
        <f>COUNTIFS(pg_transaction_cleaned!$O:$O,A5402,pg_transaction_cleaned!$F:$F,"CAPTURE")</f>
        <v>1</v>
      </c>
      <c r="K5402" s="39">
        <f>SUMIFS(pg_transaction_cleaned!$H:$H,pg_transaction_cleaned!$O:$O,A5402,pg_transaction_cleaned!$F:$F,"CAPTURE")</f>
        <v>1299</v>
      </c>
      <c r="L5402" s="23">
        <f>COUNTIFS(pg_transaction_cleaned!$O:$O,A5402,pg_transaction_cleaned!$F:$F,"REFUND")</f>
        <v>0</v>
      </c>
      <c r="M5402" s="39">
        <f>SUMIFS(pg_transaction_cleaned!$H:$H,pg_transaction_cleaned!$O:$O,A5402,pg_transaction_cleaned!$F:$F,"REFUND")</f>
        <v>0</v>
      </c>
      <c r="N5402" s="23" t="str">
        <f t="shared" si="338"/>
        <v>OK</v>
      </c>
      <c r="O5402" s="24">
        <f t="shared" si="339"/>
        <v>0</v>
      </c>
    </row>
    <row r="5403" spans="1:15" ht="15" customHeight="1" x14ac:dyDescent="0.3">
      <c r="A5403" s="23" t="s">
        <v>11237</v>
      </c>
      <c r="B5403" s="38">
        <v>46287</v>
      </c>
      <c r="C5403" s="23" t="s">
        <v>11238</v>
      </c>
      <c r="D5403" s="23" t="s">
        <v>91</v>
      </c>
      <c r="E5403" s="23" t="s">
        <v>75</v>
      </c>
      <c r="F5403" s="23" t="s">
        <v>262</v>
      </c>
      <c r="G5403" s="23" t="s">
        <v>250</v>
      </c>
      <c r="H5403" s="39">
        <f t="shared" si="336"/>
        <v>499</v>
      </c>
      <c r="I5403" s="23" t="str">
        <f t="shared" si="337"/>
        <v>Pune</v>
      </c>
      <c r="J5403" s="23">
        <f>COUNTIFS(pg_transaction_cleaned!$O:$O,A5403,pg_transaction_cleaned!$F:$F,"CAPTURE")</f>
        <v>1</v>
      </c>
      <c r="K5403" s="39">
        <f>SUMIFS(pg_transaction_cleaned!$H:$H,pg_transaction_cleaned!$O:$O,A5403,pg_transaction_cleaned!$F:$F,"CAPTURE")</f>
        <v>499</v>
      </c>
      <c r="L5403" s="23">
        <f>COUNTIFS(pg_transaction_cleaned!$O:$O,A5403,pg_transaction_cleaned!$F:$F,"REFUND")</f>
        <v>0</v>
      </c>
      <c r="M5403" s="39">
        <f>SUMIFS(pg_transaction_cleaned!$H:$H,pg_transaction_cleaned!$O:$O,A5403,pg_transaction_cleaned!$F:$F,"REFUND")</f>
        <v>0</v>
      </c>
      <c r="N5403" s="23" t="str">
        <f t="shared" si="338"/>
        <v>OK</v>
      </c>
      <c r="O5403" s="24">
        <f t="shared" si="339"/>
        <v>0</v>
      </c>
    </row>
    <row r="5404" spans="1:15" ht="15" customHeight="1" x14ac:dyDescent="0.3">
      <c r="A5404" s="23" t="s">
        <v>11239</v>
      </c>
      <c r="B5404" s="38">
        <v>46293</v>
      </c>
      <c r="C5404" s="23" t="s">
        <v>11240</v>
      </c>
      <c r="D5404" s="23" t="s">
        <v>92</v>
      </c>
      <c r="E5404" s="23" t="s">
        <v>75</v>
      </c>
      <c r="F5404" s="23" t="s">
        <v>271</v>
      </c>
      <c r="G5404" s="23" t="s">
        <v>250</v>
      </c>
      <c r="H5404" s="39">
        <f t="shared" si="336"/>
        <v>2499</v>
      </c>
      <c r="I5404" s="23" t="str">
        <f t="shared" si="337"/>
        <v>Hyderabad</v>
      </c>
      <c r="J5404" s="23">
        <f>COUNTIFS(pg_transaction_cleaned!$O:$O,A5404,pg_transaction_cleaned!$F:$F,"CAPTURE")</f>
        <v>1</v>
      </c>
      <c r="K5404" s="39">
        <f>SUMIFS(pg_transaction_cleaned!$H:$H,pg_transaction_cleaned!$O:$O,A5404,pg_transaction_cleaned!$F:$F,"CAPTURE")</f>
        <v>2499</v>
      </c>
      <c r="L5404" s="23">
        <f>COUNTIFS(pg_transaction_cleaned!$O:$O,A5404,pg_transaction_cleaned!$F:$F,"REFUND")</f>
        <v>0</v>
      </c>
      <c r="M5404" s="39">
        <f>SUMIFS(pg_transaction_cleaned!$H:$H,pg_transaction_cleaned!$O:$O,A5404,pg_transaction_cleaned!$F:$F,"REFUND")</f>
        <v>0</v>
      </c>
      <c r="N5404" s="23" t="str">
        <f t="shared" si="338"/>
        <v>OK</v>
      </c>
      <c r="O5404" s="24">
        <f t="shared" si="339"/>
        <v>0</v>
      </c>
    </row>
    <row r="5405" spans="1:15" ht="15" customHeight="1" x14ac:dyDescent="0.3">
      <c r="A5405" s="23" t="s">
        <v>11241</v>
      </c>
      <c r="B5405" s="38">
        <v>46277</v>
      </c>
      <c r="C5405" s="23" t="s">
        <v>11242</v>
      </c>
      <c r="D5405" s="23" t="s">
        <v>91</v>
      </c>
      <c r="E5405" s="23" t="s">
        <v>75</v>
      </c>
      <c r="F5405" s="23" t="s">
        <v>438</v>
      </c>
      <c r="G5405" s="23" t="s">
        <v>250</v>
      </c>
      <c r="H5405" s="39">
        <f t="shared" si="336"/>
        <v>5498</v>
      </c>
      <c r="I5405" s="23" t="str">
        <f t="shared" si="337"/>
        <v>Pune</v>
      </c>
      <c r="J5405" s="23">
        <f>COUNTIFS(pg_transaction_cleaned!$O:$O,A5405,pg_transaction_cleaned!$F:$F,"CAPTURE")</f>
        <v>1</v>
      </c>
      <c r="K5405" s="39">
        <f>SUMIFS(pg_transaction_cleaned!$H:$H,pg_transaction_cleaned!$O:$O,A5405,pg_transaction_cleaned!$F:$F,"CAPTURE")</f>
        <v>5498</v>
      </c>
      <c r="L5405" s="23">
        <f>COUNTIFS(pg_transaction_cleaned!$O:$O,A5405,pg_transaction_cleaned!$F:$F,"REFUND")</f>
        <v>0</v>
      </c>
      <c r="M5405" s="39">
        <f>SUMIFS(pg_transaction_cleaned!$H:$H,pg_transaction_cleaned!$O:$O,A5405,pg_transaction_cleaned!$F:$F,"REFUND")</f>
        <v>0</v>
      </c>
      <c r="N5405" s="23" t="str">
        <f t="shared" si="338"/>
        <v>OK</v>
      </c>
      <c r="O5405" s="24">
        <f t="shared" si="339"/>
        <v>0</v>
      </c>
    </row>
    <row r="5406" spans="1:15" ht="15" customHeight="1" x14ac:dyDescent="0.3">
      <c r="A5406" s="23" t="s">
        <v>11243</v>
      </c>
      <c r="B5406" s="38">
        <v>46288</v>
      </c>
      <c r="C5406" s="23" t="s">
        <v>11244</v>
      </c>
      <c r="D5406" s="23" t="s">
        <v>94</v>
      </c>
      <c r="E5406" s="23" t="s">
        <v>75</v>
      </c>
      <c r="F5406" s="23" t="s">
        <v>6606</v>
      </c>
      <c r="G5406" s="23" t="s">
        <v>250</v>
      </c>
      <c r="H5406" s="39">
        <f t="shared" si="336"/>
        <v>2697</v>
      </c>
      <c r="I5406" s="23" t="str">
        <f t="shared" si="337"/>
        <v>Chennai</v>
      </c>
      <c r="J5406" s="23">
        <f>COUNTIFS(pg_transaction_cleaned!$O:$O,A5406,pg_transaction_cleaned!$F:$F,"CAPTURE")</f>
        <v>1</v>
      </c>
      <c r="K5406" s="39">
        <f>SUMIFS(pg_transaction_cleaned!$H:$H,pg_transaction_cleaned!$O:$O,A5406,pg_transaction_cleaned!$F:$F,"CAPTURE")</f>
        <v>2697</v>
      </c>
      <c r="L5406" s="23">
        <f>COUNTIFS(pg_transaction_cleaned!$O:$O,A5406,pg_transaction_cleaned!$F:$F,"REFUND")</f>
        <v>0</v>
      </c>
      <c r="M5406" s="39">
        <f>SUMIFS(pg_transaction_cleaned!$H:$H,pg_transaction_cleaned!$O:$O,A5406,pg_transaction_cleaned!$F:$F,"REFUND")</f>
        <v>0</v>
      </c>
      <c r="N5406" s="23" t="str">
        <f t="shared" si="338"/>
        <v>OK</v>
      </c>
      <c r="O5406" s="24">
        <f t="shared" si="339"/>
        <v>0</v>
      </c>
    </row>
    <row r="5407" spans="1:15" ht="15" customHeight="1" x14ac:dyDescent="0.3">
      <c r="A5407" s="23" t="s">
        <v>11245</v>
      </c>
      <c r="B5407" s="38">
        <v>46295</v>
      </c>
      <c r="C5407" s="23" t="s">
        <v>11246</v>
      </c>
      <c r="D5407" s="23" t="s">
        <v>93</v>
      </c>
      <c r="E5407" s="23" t="s">
        <v>75</v>
      </c>
      <c r="F5407" s="23" t="s">
        <v>834</v>
      </c>
      <c r="G5407" s="23" t="s">
        <v>250</v>
      </c>
      <c r="H5407" s="39">
        <f t="shared" si="336"/>
        <v>7097</v>
      </c>
      <c r="I5407" s="23" t="str">
        <f t="shared" si="337"/>
        <v>Kolkata</v>
      </c>
      <c r="J5407" s="23">
        <f>COUNTIFS(pg_transaction_cleaned!$O:$O,A5407,pg_transaction_cleaned!$F:$F,"CAPTURE")</f>
        <v>1</v>
      </c>
      <c r="K5407" s="39">
        <f>SUMIFS(pg_transaction_cleaned!$H:$H,pg_transaction_cleaned!$O:$O,A5407,pg_transaction_cleaned!$F:$F,"CAPTURE")</f>
        <v>7097</v>
      </c>
      <c r="L5407" s="23">
        <f>COUNTIFS(pg_transaction_cleaned!$O:$O,A5407,pg_transaction_cleaned!$F:$F,"REFUND")</f>
        <v>0</v>
      </c>
      <c r="M5407" s="39">
        <f>SUMIFS(pg_transaction_cleaned!$H:$H,pg_transaction_cleaned!$O:$O,A5407,pg_transaction_cleaned!$F:$F,"REFUND")</f>
        <v>0</v>
      </c>
      <c r="N5407" s="23" t="str">
        <f t="shared" si="338"/>
        <v>OK</v>
      </c>
      <c r="O5407" s="24">
        <f t="shared" si="339"/>
        <v>0</v>
      </c>
    </row>
    <row r="5408" spans="1:15" ht="15" customHeight="1" x14ac:dyDescent="0.3">
      <c r="A5408" s="23" t="s">
        <v>11247</v>
      </c>
      <c r="B5408" s="38">
        <v>46293</v>
      </c>
      <c r="C5408" s="23" t="s">
        <v>11248</v>
      </c>
      <c r="D5408" s="23" t="s">
        <v>87</v>
      </c>
      <c r="E5408" s="23" t="s">
        <v>75</v>
      </c>
      <c r="F5408" s="23" t="s">
        <v>2486</v>
      </c>
      <c r="G5408" s="23" t="s">
        <v>250</v>
      </c>
      <c r="H5408" s="39">
        <f t="shared" si="336"/>
        <v>1647</v>
      </c>
      <c r="I5408" s="23" t="str">
        <f t="shared" si="337"/>
        <v>Mumbai</v>
      </c>
      <c r="J5408" s="23">
        <f>COUNTIFS(pg_transaction_cleaned!$O:$O,A5408,pg_transaction_cleaned!$F:$F,"CAPTURE")</f>
        <v>1</v>
      </c>
      <c r="K5408" s="39">
        <f>SUMIFS(pg_transaction_cleaned!$H:$H,pg_transaction_cleaned!$O:$O,A5408,pg_transaction_cleaned!$F:$F,"CAPTURE")</f>
        <v>1647</v>
      </c>
      <c r="L5408" s="23">
        <f>COUNTIFS(pg_transaction_cleaned!$O:$O,A5408,pg_transaction_cleaned!$F:$F,"REFUND")</f>
        <v>0</v>
      </c>
      <c r="M5408" s="39">
        <f>SUMIFS(pg_transaction_cleaned!$H:$H,pg_transaction_cleaned!$O:$O,A5408,pg_transaction_cleaned!$F:$F,"REFUND")</f>
        <v>0</v>
      </c>
      <c r="N5408" s="23" t="str">
        <f t="shared" si="338"/>
        <v>OK</v>
      </c>
      <c r="O5408" s="24">
        <f t="shared" si="339"/>
        <v>0</v>
      </c>
    </row>
    <row r="5409" spans="1:15" ht="15" customHeight="1" x14ac:dyDescent="0.3">
      <c r="A5409" s="23" t="s">
        <v>11249</v>
      </c>
      <c r="B5409" s="38">
        <v>46280</v>
      </c>
      <c r="C5409" s="23" t="s">
        <v>11250</v>
      </c>
      <c r="D5409" s="23" t="s">
        <v>89</v>
      </c>
      <c r="E5409" s="23" t="s">
        <v>79</v>
      </c>
      <c r="F5409" s="23" t="s">
        <v>598</v>
      </c>
      <c r="G5409" s="23" t="s">
        <v>250</v>
      </c>
      <c r="H5409" s="39">
        <f t="shared" si="336"/>
        <v>5598</v>
      </c>
      <c r="I5409" s="23" t="str">
        <f t="shared" si="337"/>
        <v>Jaipur</v>
      </c>
      <c r="J5409" s="23">
        <f>COUNTIFS(pg_transaction_cleaned!$O:$O,A5409,pg_transaction_cleaned!$F:$F,"CAPTURE")</f>
        <v>1</v>
      </c>
      <c r="K5409" s="39">
        <f>SUMIFS(pg_transaction_cleaned!$H:$H,pg_transaction_cleaned!$O:$O,A5409,pg_transaction_cleaned!$F:$F,"CAPTURE")</f>
        <v>5598</v>
      </c>
      <c r="L5409" s="23">
        <f>COUNTIFS(pg_transaction_cleaned!$O:$O,A5409,pg_transaction_cleaned!$F:$F,"REFUND")</f>
        <v>0</v>
      </c>
      <c r="M5409" s="39">
        <f>SUMIFS(pg_transaction_cleaned!$H:$H,pg_transaction_cleaned!$O:$O,A5409,pg_transaction_cleaned!$F:$F,"REFUND")</f>
        <v>0</v>
      </c>
      <c r="N5409" s="23" t="str">
        <f t="shared" si="338"/>
        <v>OK</v>
      </c>
      <c r="O5409" s="24">
        <f t="shared" si="339"/>
        <v>0</v>
      </c>
    </row>
    <row r="5410" spans="1:15" ht="15" customHeight="1" x14ac:dyDescent="0.3">
      <c r="A5410" s="23" t="s">
        <v>11251</v>
      </c>
      <c r="B5410" s="38">
        <v>46289</v>
      </c>
      <c r="C5410" s="23" t="s">
        <v>11252</v>
      </c>
      <c r="D5410" s="23" t="s">
        <v>92</v>
      </c>
      <c r="E5410" s="23" t="s">
        <v>81</v>
      </c>
      <c r="F5410" s="23" t="s">
        <v>294</v>
      </c>
      <c r="G5410" s="23" t="s">
        <v>301</v>
      </c>
      <c r="H5410" s="39">
        <f t="shared" si="336"/>
        <v>1799</v>
      </c>
      <c r="I5410" s="23" t="str">
        <f t="shared" si="337"/>
        <v>Hyderabad</v>
      </c>
      <c r="J5410" s="23">
        <f>COUNTIFS(pg_transaction_cleaned!$O:$O,A5410,pg_transaction_cleaned!$F:$F,"CAPTURE")</f>
        <v>1</v>
      </c>
      <c r="K5410" s="39">
        <f>SUMIFS(pg_transaction_cleaned!$H:$H,pg_transaction_cleaned!$O:$O,A5410,pg_transaction_cleaned!$F:$F,"CAPTURE")</f>
        <v>1799</v>
      </c>
      <c r="L5410" s="23">
        <f>COUNTIFS(pg_transaction_cleaned!$O:$O,A5410,pg_transaction_cleaned!$F:$F,"REFUND")</f>
        <v>1</v>
      </c>
      <c r="M5410" s="39">
        <f>SUMIFS(pg_transaction_cleaned!$H:$H,pg_transaction_cleaned!$O:$O,A5410,pg_transaction_cleaned!$F:$F,"REFUND")</f>
        <v>1799</v>
      </c>
      <c r="N5410" s="23" t="str">
        <f t="shared" si="338"/>
        <v>OK</v>
      </c>
      <c r="O5410" s="24">
        <f t="shared" si="339"/>
        <v>0</v>
      </c>
    </row>
    <row r="5411" spans="1:15" ht="15" customHeight="1" x14ac:dyDescent="0.3">
      <c r="A5411" s="23" t="s">
        <v>11253</v>
      </c>
      <c r="B5411" s="38">
        <v>46282</v>
      </c>
      <c r="C5411" s="23" t="s">
        <v>11254</v>
      </c>
      <c r="D5411" s="23" t="s">
        <v>92</v>
      </c>
      <c r="E5411" s="23" t="s">
        <v>77</v>
      </c>
      <c r="F5411" s="23" t="s">
        <v>315</v>
      </c>
      <c r="G5411" s="23" t="s">
        <v>250</v>
      </c>
      <c r="H5411" s="39">
        <f t="shared" si="336"/>
        <v>1499</v>
      </c>
      <c r="I5411" s="23" t="str">
        <f t="shared" si="337"/>
        <v>Hyderabad</v>
      </c>
      <c r="J5411" s="23">
        <f>COUNTIFS(pg_transaction_cleaned!$O:$O,A5411,pg_transaction_cleaned!$F:$F,"CAPTURE")</f>
        <v>1</v>
      </c>
      <c r="K5411" s="39">
        <f>SUMIFS(pg_transaction_cleaned!$H:$H,pg_transaction_cleaned!$O:$O,A5411,pg_transaction_cleaned!$F:$F,"CAPTURE")</f>
        <v>1499</v>
      </c>
      <c r="L5411" s="23">
        <f>COUNTIFS(pg_transaction_cleaned!$O:$O,A5411,pg_transaction_cleaned!$F:$F,"REFUND")</f>
        <v>0</v>
      </c>
      <c r="M5411" s="39">
        <f>SUMIFS(pg_transaction_cleaned!$H:$H,pg_transaction_cleaned!$O:$O,A5411,pg_transaction_cleaned!$F:$F,"REFUND")</f>
        <v>0</v>
      </c>
      <c r="N5411" s="23" t="str">
        <f t="shared" si="338"/>
        <v>OK</v>
      </c>
      <c r="O5411" s="24">
        <f t="shared" si="339"/>
        <v>0</v>
      </c>
    </row>
    <row r="5412" spans="1:15" ht="15" customHeight="1" x14ac:dyDescent="0.3">
      <c r="A5412" s="23" t="s">
        <v>11255</v>
      </c>
      <c r="B5412" s="38">
        <v>46288</v>
      </c>
      <c r="C5412" s="23" t="s">
        <v>11256</v>
      </c>
      <c r="D5412" s="23" t="s">
        <v>86</v>
      </c>
      <c r="E5412" s="23" t="s">
        <v>79</v>
      </c>
      <c r="F5412" s="23" t="s">
        <v>1021</v>
      </c>
      <c r="G5412" s="23" t="s">
        <v>250</v>
      </c>
      <c r="H5412" s="39">
        <f t="shared" si="336"/>
        <v>9097</v>
      </c>
      <c r="I5412" s="23" t="str">
        <f t="shared" si="337"/>
        <v>Delhi</v>
      </c>
      <c r="J5412" s="23">
        <f>COUNTIFS(pg_transaction_cleaned!$O:$O,A5412,pg_transaction_cleaned!$F:$F,"CAPTURE")</f>
        <v>1</v>
      </c>
      <c r="K5412" s="39">
        <f>SUMIFS(pg_transaction_cleaned!$H:$H,pg_transaction_cleaned!$O:$O,A5412,pg_transaction_cleaned!$F:$F,"CAPTURE")</f>
        <v>9097</v>
      </c>
      <c r="L5412" s="23">
        <f>COUNTIFS(pg_transaction_cleaned!$O:$O,A5412,pg_transaction_cleaned!$F:$F,"REFUND")</f>
        <v>0</v>
      </c>
      <c r="M5412" s="39">
        <f>SUMIFS(pg_transaction_cleaned!$H:$H,pg_transaction_cleaned!$O:$O,A5412,pg_transaction_cleaned!$F:$F,"REFUND")</f>
        <v>0</v>
      </c>
      <c r="N5412" s="23" t="str">
        <f t="shared" si="338"/>
        <v>OK</v>
      </c>
      <c r="O5412" s="24">
        <f t="shared" si="339"/>
        <v>0</v>
      </c>
    </row>
    <row r="5413" spans="1:15" ht="15" customHeight="1" x14ac:dyDescent="0.3">
      <c r="A5413" s="23" t="s">
        <v>11257</v>
      </c>
      <c r="B5413" s="38">
        <v>46282</v>
      </c>
      <c r="C5413" s="23" t="s">
        <v>11258</v>
      </c>
      <c r="D5413" s="23" t="s">
        <v>89</v>
      </c>
      <c r="E5413" s="23" t="s">
        <v>75</v>
      </c>
      <c r="F5413" s="23" t="s">
        <v>271</v>
      </c>
      <c r="G5413" s="23" t="s">
        <v>250</v>
      </c>
      <c r="H5413" s="39">
        <f t="shared" si="336"/>
        <v>2499</v>
      </c>
      <c r="I5413" s="23" t="str">
        <f t="shared" si="337"/>
        <v>Jaipur</v>
      </c>
      <c r="J5413" s="23">
        <f>COUNTIFS(pg_transaction_cleaned!$O:$O,A5413,pg_transaction_cleaned!$F:$F,"CAPTURE")</f>
        <v>1</v>
      </c>
      <c r="K5413" s="39">
        <f>SUMIFS(pg_transaction_cleaned!$H:$H,pg_transaction_cleaned!$O:$O,A5413,pg_transaction_cleaned!$F:$F,"CAPTURE")</f>
        <v>2499</v>
      </c>
      <c r="L5413" s="23">
        <f>COUNTIFS(pg_transaction_cleaned!$O:$O,A5413,pg_transaction_cleaned!$F:$F,"REFUND")</f>
        <v>0</v>
      </c>
      <c r="M5413" s="39">
        <f>SUMIFS(pg_transaction_cleaned!$H:$H,pg_transaction_cleaned!$O:$O,A5413,pg_transaction_cleaned!$F:$F,"REFUND")</f>
        <v>0</v>
      </c>
      <c r="N5413" s="23" t="str">
        <f t="shared" si="338"/>
        <v>OK</v>
      </c>
      <c r="O5413" s="24">
        <f t="shared" si="339"/>
        <v>0</v>
      </c>
    </row>
    <row r="5414" spans="1:15" ht="15" customHeight="1" x14ac:dyDescent="0.3">
      <c r="A5414" s="23" t="s">
        <v>11259</v>
      </c>
      <c r="B5414" s="38">
        <v>46293</v>
      </c>
      <c r="C5414" s="23" t="s">
        <v>11260</v>
      </c>
      <c r="D5414" s="23" t="s">
        <v>95</v>
      </c>
      <c r="E5414" s="23" t="s">
        <v>75</v>
      </c>
      <c r="F5414" s="23" t="s">
        <v>2007</v>
      </c>
      <c r="G5414" s="23" t="s">
        <v>250</v>
      </c>
      <c r="H5414" s="39">
        <f t="shared" si="336"/>
        <v>5598</v>
      </c>
      <c r="I5414" s="23" t="str">
        <f t="shared" si="337"/>
        <v>Bengaluru</v>
      </c>
      <c r="J5414" s="23">
        <f>COUNTIFS(pg_transaction_cleaned!$O:$O,A5414,pg_transaction_cleaned!$F:$F,"CAPTURE")</f>
        <v>1</v>
      </c>
      <c r="K5414" s="39">
        <f>SUMIFS(pg_transaction_cleaned!$H:$H,pg_transaction_cleaned!$O:$O,A5414,pg_transaction_cleaned!$F:$F,"CAPTURE")</f>
        <v>5598</v>
      </c>
      <c r="L5414" s="23">
        <f>COUNTIFS(pg_transaction_cleaned!$O:$O,A5414,pg_transaction_cleaned!$F:$F,"REFUND")</f>
        <v>0</v>
      </c>
      <c r="M5414" s="39">
        <f>SUMIFS(pg_transaction_cleaned!$H:$H,pg_transaction_cleaned!$O:$O,A5414,pg_transaction_cleaned!$F:$F,"REFUND")</f>
        <v>0</v>
      </c>
      <c r="N5414" s="23" t="str">
        <f t="shared" si="338"/>
        <v>OK</v>
      </c>
      <c r="O5414" s="24">
        <f t="shared" si="339"/>
        <v>0</v>
      </c>
    </row>
    <row r="5415" spans="1:15" ht="15" customHeight="1" x14ac:dyDescent="0.3">
      <c r="A5415" s="23" t="s">
        <v>11261</v>
      </c>
      <c r="B5415" s="38">
        <v>46289</v>
      </c>
      <c r="C5415" s="23" t="s">
        <v>4933</v>
      </c>
      <c r="D5415" s="23" t="s">
        <v>89</v>
      </c>
      <c r="E5415" s="23" t="s">
        <v>75</v>
      </c>
      <c r="F5415" s="23" t="s">
        <v>268</v>
      </c>
      <c r="G5415" s="23" t="s">
        <v>250</v>
      </c>
      <c r="H5415" s="39">
        <f t="shared" si="336"/>
        <v>1299</v>
      </c>
      <c r="I5415" s="23" t="str">
        <f t="shared" si="337"/>
        <v>Jaipur</v>
      </c>
      <c r="J5415" s="23">
        <f>COUNTIFS(pg_transaction_cleaned!$O:$O,A5415,pg_transaction_cleaned!$F:$F,"CAPTURE")</f>
        <v>1</v>
      </c>
      <c r="K5415" s="39">
        <f>SUMIFS(pg_transaction_cleaned!$H:$H,pg_transaction_cleaned!$O:$O,A5415,pg_transaction_cleaned!$F:$F,"CAPTURE")</f>
        <v>1299</v>
      </c>
      <c r="L5415" s="23">
        <f>COUNTIFS(pg_transaction_cleaned!$O:$O,A5415,pg_transaction_cleaned!$F:$F,"REFUND")</f>
        <v>0</v>
      </c>
      <c r="M5415" s="39">
        <f>SUMIFS(pg_transaction_cleaned!$H:$H,pg_transaction_cleaned!$O:$O,A5415,pg_transaction_cleaned!$F:$F,"REFUND")</f>
        <v>0</v>
      </c>
      <c r="N5415" s="23" t="str">
        <f t="shared" si="338"/>
        <v>OK</v>
      </c>
      <c r="O5415" s="24">
        <f t="shared" si="339"/>
        <v>0</v>
      </c>
    </row>
    <row r="5416" spans="1:15" ht="15" customHeight="1" x14ac:dyDescent="0.3">
      <c r="A5416" s="23" t="s">
        <v>11262</v>
      </c>
      <c r="B5416" s="38">
        <v>46292</v>
      </c>
      <c r="C5416" s="23" t="s">
        <v>11263</v>
      </c>
      <c r="D5416" s="23" t="s">
        <v>89</v>
      </c>
      <c r="E5416" s="23" t="s">
        <v>77</v>
      </c>
      <c r="F5416" s="23" t="s">
        <v>475</v>
      </c>
      <c r="G5416" s="23" t="s">
        <v>301</v>
      </c>
      <c r="H5416" s="39">
        <f t="shared" si="336"/>
        <v>799</v>
      </c>
      <c r="I5416" s="23" t="str">
        <f t="shared" si="337"/>
        <v>Jaipur</v>
      </c>
      <c r="J5416" s="23">
        <f>COUNTIFS(pg_transaction_cleaned!$O:$O,A5416,pg_transaction_cleaned!$F:$F,"CAPTURE")</f>
        <v>1</v>
      </c>
      <c r="K5416" s="39">
        <f>SUMIFS(pg_transaction_cleaned!$H:$H,pg_transaction_cleaned!$O:$O,A5416,pg_transaction_cleaned!$F:$F,"CAPTURE")</f>
        <v>799</v>
      </c>
      <c r="L5416" s="23">
        <f>COUNTIFS(pg_transaction_cleaned!$O:$O,A5416,pg_transaction_cleaned!$F:$F,"REFUND")</f>
        <v>1</v>
      </c>
      <c r="M5416" s="39">
        <f>SUMIFS(pg_transaction_cleaned!$H:$H,pg_transaction_cleaned!$O:$O,A5416,pg_transaction_cleaned!$F:$F,"REFUND")</f>
        <v>799</v>
      </c>
      <c r="N5416" s="23" t="str">
        <f t="shared" si="338"/>
        <v>OK</v>
      </c>
      <c r="O5416" s="24">
        <f t="shared" si="339"/>
        <v>0</v>
      </c>
    </row>
    <row r="5417" spans="1:15" ht="15" customHeight="1" x14ac:dyDescent="0.3">
      <c r="A5417" s="23" t="s">
        <v>11264</v>
      </c>
      <c r="B5417" s="38">
        <v>46287</v>
      </c>
      <c r="C5417" s="23" t="s">
        <v>11265</v>
      </c>
      <c r="D5417" s="23" t="s">
        <v>87</v>
      </c>
      <c r="E5417" s="23" t="s">
        <v>75</v>
      </c>
      <c r="F5417" s="23" t="s">
        <v>346</v>
      </c>
      <c r="G5417" s="23" t="s">
        <v>250</v>
      </c>
      <c r="H5417" s="39">
        <f t="shared" si="336"/>
        <v>4498</v>
      </c>
      <c r="I5417" s="23" t="str">
        <f t="shared" si="337"/>
        <v>Mumbai</v>
      </c>
      <c r="J5417" s="23">
        <f>COUNTIFS(pg_transaction_cleaned!$O:$O,A5417,pg_transaction_cleaned!$F:$F,"CAPTURE")</f>
        <v>1</v>
      </c>
      <c r="K5417" s="39">
        <f>SUMIFS(pg_transaction_cleaned!$H:$H,pg_transaction_cleaned!$O:$O,A5417,pg_transaction_cleaned!$F:$F,"CAPTURE")</f>
        <v>4498</v>
      </c>
      <c r="L5417" s="23">
        <f>COUNTIFS(pg_transaction_cleaned!$O:$O,A5417,pg_transaction_cleaned!$F:$F,"REFUND")</f>
        <v>0</v>
      </c>
      <c r="M5417" s="39">
        <f>SUMIFS(pg_transaction_cleaned!$H:$H,pg_transaction_cleaned!$O:$O,A5417,pg_transaction_cleaned!$F:$F,"REFUND")</f>
        <v>0</v>
      </c>
      <c r="N5417" s="23" t="str">
        <f t="shared" si="338"/>
        <v>OK</v>
      </c>
      <c r="O5417" s="24">
        <f t="shared" si="339"/>
        <v>0</v>
      </c>
    </row>
    <row r="5418" spans="1:15" ht="15" customHeight="1" x14ac:dyDescent="0.3">
      <c r="A5418" s="23" t="s">
        <v>11266</v>
      </c>
      <c r="B5418" s="38">
        <v>46280</v>
      </c>
      <c r="C5418" s="23" t="s">
        <v>11267</v>
      </c>
      <c r="D5418" s="23" t="s">
        <v>93</v>
      </c>
      <c r="E5418" s="23" t="s">
        <v>81</v>
      </c>
      <c r="F5418" s="23" t="s">
        <v>1614</v>
      </c>
      <c r="G5418" s="23" t="s">
        <v>250</v>
      </c>
      <c r="H5418" s="39">
        <f t="shared" si="336"/>
        <v>2597</v>
      </c>
      <c r="I5418" s="23" t="str">
        <f t="shared" si="337"/>
        <v>Kolkata</v>
      </c>
      <c r="J5418" s="23">
        <f>COUNTIFS(pg_transaction_cleaned!$O:$O,A5418,pg_transaction_cleaned!$F:$F,"CAPTURE")</f>
        <v>1</v>
      </c>
      <c r="K5418" s="39">
        <f>SUMIFS(pg_transaction_cleaned!$H:$H,pg_transaction_cleaned!$O:$O,A5418,pg_transaction_cleaned!$F:$F,"CAPTURE")</f>
        <v>2597</v>
      </c>
      <c r="L5418" s="23">
        <f>COUNTIFS(pg_transaction_cleaned!$O:$O,A5418,pg_transaction_cleaned!$F:$F,"REFUND")</f>
        <v>0</v>
      </c>
      <c r="M5418" s="39">
        <f>SUMIFS(pg_transaction_cleaned!$H:$H,pg_transaction_cleaned!$O:$O,A5418,pg_transaction_cleaned!$F:$F,"REFUND")</f>
        <v>0</v>
      </c>
      <c r="N5418" s="23" t="str">
        <f t="shared" si="338"/>
        <v>OK</v>
      </c>
      <c r="O5418" s="24">
        <f t="shared" si="339"/>
        <v>0</v>
      </c>
    </row>
    <row r="5419" spans="1:15" ht="15" customHeight="1" x14ac:dyDescent="0.3">
      <c r="A5419" s="23" t="s">
        <v>11268</v>
      </c>
      <c r="B5419" s="38">
        <v>46285</v>
      </c>
      <c r="C5419" s="23" t="s">
        <v>11269</v>
      </c>
      <c r="D5419" s="23" t="s">
        <v>87</v>
      </c>
      <c r="E5419" s="23" t="s">
        <v>75</v>
      </c>
      <c r="F5419" s="23" t="s">
        <v>717</v>
      </c>
      <c r="G5419" s="23" t="s">
        <v>250</v>
      </c>
      <c r="H5419" s="39">
        <f t="shared" si="336"/>
        <v>5298</v>
      </c>
      <c r="I5419" s="23" t="str">
        <f t="shared" si="337"/>
        <v>Mumbai</v>
      </c>
      <c r="J5419" s="23">
        <f>COUNTIFS(pg_transaction_cleaned!$O:$O,A5419,pg_transaction_cleaned!$F:$F,"CAPTURE")</f>
        <v>1</v>
      </c>
      <c r="K5419" s="39">
        <f>SUMIFS(pg_transaction_cleaned!$H:$H,pg_transaction_cleaned!$O:$O,A5419,pg_transaction_cleaned!$F:$F,"CAPTURE")</f>
        <v>5298</v>
      </c>
      <c r="L5419" s="23">
        <f>COUNTIFS(pg_transaction_cleaned!$O:$O,A5419,pg_transaction_cleaned!$F:$F,"REFUND")</f>
        <v>0</v>
      </c>
      <c r="M5419" s="39">
        <f>SUMIFS(pg_transaction_cleaned!$H:$H,pg_transaction_cleaned!$O:$O,A5419,pg_transaction_cleaned!$F:$F,"REFUND")</f>
        <v>0</v>
      </c>
      <c r="N5419" s="23" t="str">
        <f t="shared" si="338"/>
        <v>OK</v>
      </c>
      <c r="O5419" s="24">
        <f t="shared" si="339"/>
        <v>0</v>
      </c>
    </row>
    <row r="5420" spans="1:15" ht="15" customHeight="1" x14ac:dyDescent="0.3">
      <c r="A5420" s="23" t="s">
        <v>11270</v>
      </c>
      <c r="B5420" s="38">
        <v>46294</v>
      </c>
      <c r="C5420" s="23" t="s">
        <v>11271</v>
      </c>
      <c r="D5420" s="23" t="s">
        <v>93</v>
      </c>
      <c r="E5420" s="23" t="s">
        <v>79</v>
      </c>
      <c r="F5420" s="23" t="s">
        <v>271</v>
      </c>
      <c r="G5420" s="23" t="s">
        <v>318</v>
      </c>
      <c r="H5420" s="39">
        <f t="shared" si="336"/>
        <v>2499</v>
      </c>
      <c r="I5420" s="23" t="str">
        <f t="shared" si="337"/>
        <v>Kolkata</v>
      </c>
      <c r="J5420" s="23">
        <f>COUNTIFS(pg_transaction_cleaned!$O:$O,A5420,pg_transaction_cleaned!$F:$F,"CAPTURE")</f>
        <v>0</v>
      </c>
      <c r="K5420" s="39">
        <f>SUMIFS(pg_transaction_cleaned!$H:$H,pg_transaction_cleaned!$O:$O,A5420,pg_transaction_cleaned!$F:$F,"CAPTURE")</f>
        <v>0</v>
      </c>
      <c r="L5420" s="23">
        <f>COUNTIFS(pg_transaction_cleaned!$O:$O,A5420,pg_transaction_cleaned!$F:$F,"REFUND")</f>
        <v>0</v>
      </c>
      <c r="M5420" s="39">
        <f>SUMIFS(pg_transaction_cleaned!$H:$H,pg_transaction_cleaned!$O:$O,A5420,pg_transaction_cleaned!$F:$F,"REFUND")</f>
        <v>0</v>
      </c>
      <c r="N5420" s="23" t="str">
        <f t="shared" si="338"/>
        <v>OK</v>
      </c>
      <c r="O5420" s="24">
        <f t="shared" si="339"/>
        <v>0</v>
      </c>
    </row>
    <row r="5421" spans="1:15" ht="15" customHeight="1" x14ac:dyDescent="0.3">
      <c r="A5421" s="23" t="s">
        <v>11272</v>
      </c>
      <c r="B5421" s="38">
        <v>46272</v>
      </c>
      <c r="C5421" s="23" t="s">
        <v>11273</v>
      </c>
      <c r="D5421" s="23" t="s">
        <v>95</v>
      </c>
      <c r="E5421" s="23" t="s">
        <v>81</v>
      </c>
      <c r="F5421" s="23" t="s">
        <v>249</v>
      </c>
      <c r="G5421" s="23" t="s">
        <v>318</v>
      </c>
      <c r="H5421" s="39">
        <f t="shared" si="336"/>
        <v>299</v>
      </c>
      <c r="I5421" s="23" t="str">
        <f t="shared" si="337"/>
        <v>Bengaluru</v>
      </c>
      <c r="J5421" s="23">
        <f>COUNTIFS(pg_transaction_cleaned!$O:$O,A5421,pg_transaction_cleaned!$F:$F,"CAPTURE")</f>
        <v>0</v>
      </c>
      <c r="K5421" s="39">
        <f>SUMIFS(pg_transaction_cleaned!$H:$H,pg_transaction_cleaned!$O:$O,A5421,pg_transaction_cleaned!$F:$F,"CAPTURE")</f>
        <v>0</v>
      </c>
      <c r="L5421" s="23">
        <f>COUNTIFS(pg_transaction_cleaned!$O:$O,A5421,pg_transaction_cleaned!$F:$F,"REFUND")</f>
        <v>0</v>
      </c>
      <c r="M5421" s="39">
        <f>SUMIFS(pg_transaction_cleaned!$H:$H,pg_transaction_cleaned!$O:$O,A5421,pg_transaction_cleaned!$F:$F,"REFUND")</f>
        <v>0</v>
      </c>
      <c r="N5421" s="23" t="str">
        <f t="shared" si="338"/>
        <v>OK</v>
      </c>
      <c r="O5421" s="24">
        <f t="shared" si="339"/>
        <v>0</v>
      </c>
    </row>
    <row r="5422" spans="1:15" ht="15" customHeight="1" x14ac:dyDescent="0.3">
      <c r="A5422" s="23" t="s">
        <v>11274</v>
      </c>
      <c r="B5422" s="38">
        <v>46277</v>
      </c>
      <c r="C5422" s="23" t="s">
        <v>11275</v>
      </c>
      <c r="D5422" s="23" t="s">
        <v>90</v>
      </c>
      <c r="E5422" s="23" t="s">
        <v>77</v>
      </c>
      <c r="F5422" s="23" t="s">
        <v>349</v>
      </c>
      <c r="G5422" s="23" t="s">
        <v>301</v>
      </c>
      <c r="H5422" s="39">
        <f t="shared" si="336"/>
        <v>1798</v>
      </c>
      <c r="I5422" s="23" t="str">
        <f t="shared" si="337"/>
        <v>Ahmedabad</v>
      </c>
      <c r="J5422" s="23">
        <f>COUNTIFS(pg_transaction_cleaned!$O:$O,A5422,pg_transaction_cleaned!$F:$F,"CAPTURE")</f>
        <v>1</v>
      </c>
      <c r="K5422" s="39">
        <f>SUMIFS(pg_transaction_cleaned!$H:$H,pg_transaction_cleaned!$O:$O,A5422,pg_transaction_cleaned!$F:$F,"CAPTURE")</f>
        <v>1798</v>
      </c>
      <c r="L5422" s="23">
        <f>COUNTIFS(pg_transaction_cleaned!$O:$O,A5422,pg_transaction_cleaned!$F:$F,"REFUND")</f>
        <v>1</v>
      </c>
      <c r="M5422" s="39">
        <f>SUMIFS(pg_transaction_cleaned!$H:$H,pg_transaction_cleaned!$O:$O,A5422,pg_transaction_cleaned!$F:$F,"REFUND")</f>
        <v>1798</v>
      </c>
      <c r="N5422" s="23" t="str">
        <f t="shared" si="338"/>
        <v>OK</v>
      </c>
      <c r="O5422" s="24">
        <f t="shared" si="339"/>
        <v>0</v>
      </c>
    </row>
    <row r="5423" spans="1:15" ht="15" customHeight="1" x14ac:dyDescent="0.3">
      <c r="A5423" s="23" t="s">
        <v>11276</v>
      </c>
      <c r="B5423" s="38">
        <v>46285</v>
      </c>
      <c r="C5423" s="23" t="s">
        <v>11277</v>
      </c>
      <c r="D5423" s="23" t="s">
        <v>86</v>
      </c>
      <c r="E5423" s="23" t="s">
        <v>81</v>
      </c>
      <c r="F5423" s="23" t="s">
        <v>6431</v>
      </c>
      <c r="G5423" s="23" t="s">
        <v>250</v>
      </c>
      <c r="H5423" s="39">
        <f t="shared" si="336"/>
        <v>7847</v>
      </c>
      <c r="I5423" s="23" t="str">
        <f t="shared" si="337"/>
        <v>Delhi</v>
      </c>
      <c r="J5423" s="23">
        <f>COUNTIFS(pg_transaction_cleaned!$O:$O,A5423,pg_transaction_cleaned!$F:$F,"CAPTURE")</f>
        <v>1</v>
      </c>
      <c r="K5423" s="39">
        <f>SUMIFS(pg_transaction_cleaned!$H:$H,pg_transaction_cleaned!$O:$O,A5423,pg_transaction_cleaned!$F:$F,"CAPTURE")</f>
        <v>7847</v>
      </c>
      <c r="L5423" s="23">
        <f>COUNTIFS(pg_transaction_cleaned!$O:$O,A5423,pg_transaction_cleaned!$F:$F,"REFUND")</f>
        <v>0</v>
      </c>
      <c r="M5423" s="39">
        <f>SUMIFS(pg_transaction_cleaned!$H:$H,pg_transaction_cleaned!$O:$O,A5423,pg_transaction_cleaned!$F:$F,"REFUND")</f>
        <v>0</v>
      </c>
      <c r="N5423" s="23" t="str">
        <f t="shared" si="338"/>
        <v>OK</v>
      </c>
      <c r="O5423" s="24">
        <f t="shared" si="339"/>
        <v>0</v>
      </c>
    </row>
    <row r="5424" spans="1:15" ht="15" customHeight="1" x14ac:dyDescent="0.3">
      <c r="A5424" s="23" t="s">
        <v>11278</v>
      </c>
      <c r="B5424" s="38">
        <v>46287</v>
      </c>
      <c r="C5424" s="23" t="s">
        <v>11279</v>
      </c>
      <c r="D5424" s="23" t="s">
        <v>88</v>
      </c>
      <c r="E5424" s="23" t="s">
        <v>75</v>
      </c>
      <c r="F5424" s="23" t="s">
        <v>451</v>
      </c>
      <c r="G5424" s="23" t="s">
        <v>250</v>
      </c>
      <c r="H5424" s="39">
        <f t="shared" si="336"/>
        <v>1098</v>
      </c>
      <c r="I5424" s="23" t="str">
        <f t="shared" si="337"/>
        <v>Lucknow</v>
      </c>
      <c r="J5424" s="23">
        <f>COUNTIFS(pg_transaction_cleaned!$O:$O,A5424,pg_transaction_cleaned!$F:$F,"CAPTURE")</f>
        <v>1</v>
      </c>
      <c r="K5424" s="39">
        <f>SUMIFS(pg_transaction_cleaned!$H:$H,pg_transaction_cleaned!$O:$O,A5424,pg_transaction_cleaned!$F:$F,"CAPTURE")</f>
        <v>1098</v>
      </c>
      <c r="L5424" s="23">
        <f>COUNTIFS(pg_transaction_cleaned!$O:$O,A5424,pg_transaction_cleaned!$F:$F,"REFUND")</f>
        <v>0</v>
      </c>
      <c r="M5424" s="39">
        <f>SUMIFS(pg_transaction_cleaned!$H:$H,pg_transaction_cleaned!$O:$O,A5424,pg_transaction_cleaned!$F:$F,"REFUND")</f>
        <v>0</v>
      </c>
      <c r="N5424" s="23" t="str">
        <f t="shared" si="338"/>
        <v>OK</v>
      </c>
      <c r="O5424" s="24">
        <f t="shared" si="339"/>
        <v>0</v>
      </c>
    </row>
    <row r="5425" spans="1:15" ht="15" customHeight="1" x14ac:dyDescent="0.3">
      <c r="A5425" s="23" t="s">
        <v>11280</v>
      </c>
      <c r="B5425" s="38">
        <v>46277</v>
      </c>
      <c r="C5425" s="23" t="s">
        <v>11281</v>
      </c>
      <c r="D5425" s="23" t="s">
        <v>87</v>
      </c>
      <c r="E5425" s="23" t="s">
        <v>77</v>
      </c>
      <c r="F5425" s="23" t="s">
        <v>274</v>
      </c>
      <c r="G5425" s="23" t="s">
        <v>250</v>
      </c>
      <c r="H5425" s="39">
        <f t="shared" si="336"/>
        <v>349</v>
      </c>
      <c r="I5425" s="23" t="str">
        <f t="shared" si="337"/>
        <v>Mumbai</v>
      </c>
      <c r="J5425" s="23">
        <f>COUNTIFS(pg_transaction_cleaned!$O:$O,A5425,pg_transaction_cleaned!$F:$F,"CAPTURE")</f>
        <v>1</v>
      </c>
      <c r="K5425" s="39">
        <f>SUMIFS(pg_transaction_cleaned!$H:$H,pg_transaction_cleaned!$O:$O,A5425,pg_transaction_cleaned!$F:$F,"CAPTURE")</f>
        <v>349</v>
      </c>
      <c r="L5425" s="23">
        <f>COUNTIFS(pg_transaction_cleaned!$O:$O,A5425,pg_transaction_cleaned!$F:$F,"REFUND")</f>
        <v>0</v>
      </c>
      <c r="M5425" s="39">
        <f>SUMIFS(pg_transaction_cleaned!$H:$H,pg_transaction_cleaned!$O:$O,A5425,pg_transaction_cleaned!$F:$F,"REFUND")</f>
        <v>0</v>
      </c>
      <c r="N5425" s="23" t="str">
        <f t="shared" si="338"/>
        <v>OK</v>
      </c>
      <c r="O5425" s="24">
        <f t="shared" si="339"/>
        <v>0</v>
      </c>
    </row>
    <row r="5426" spans="1:15" ht="15" customHeight="1" x14ac:dyDescent="0.3">
      <c r="A5426" s="23" t="s">
        <v>11282</v>
      </c>
      <c r="B5426" s="38">
        <v>46275</v>
      </c>
      <c r="C5426" s="23" t="s">
        <v>11283</v>
      </c>
      <c r="D5426" s="23" t="s">
        <v>87</v>
      </c>
      <c r="E5426" s="23" t="s">
        <v>77</v>
      </c>
      <c r="F5426" s="23" t="s">
        <v>329</v>
      </c>
      <c r="G5426" s="23" t="s">
        <v>250</v>
      </c>
      <c r="H5426" s="39">
        <f t="shared" si="336"/>
        <v>599</v>
      </c>
      <c r="I5426" s="23" t="str">
        <f t="shared" si="337"/>
        <v>Mumbai</v>
      </c>
      <c r="J5426" s="23">
        <f>COUNTIFS(pg_transaction_cleaned!$O:$O,A5426,pg_transaction_cleaned!$F:$F,"CAPTURE")</f>
        <v>1</v>
      </c>
      <c r="K5426" s="39">
        <f>SUMIFS(pg_transaction_cleaned!$H:$H,pg_transaction_cleaned!$O:$O,A5426,pg_transaction_cleaned!$F:$F,"CAPTURE")</f>
        <v>599</v>
      </c>
      <c r="L5426" s="23">
        <f>COUNTIFS(pg_transaction_cleaned!$O:$O,A5426,pg_transaction_cleaned!$F:$F,"REFUND")</f>
        <v>0</v>
      </c>
      <c r="M5426" s="39">
        <f>SUMIFS(pg_transaction_cleaned!$H:$H,pg_transaction_cleaned!$O:$O,A5426,pg_transaction_cleaned!$F:$F,"REFUND")</f>
        <v>0</v>
      </c>
      <c r="N5426" s="23" t="str">
        <f t="shared" si="338"/>
        <v>OK</v>
      </c>
      <c r="O5426" s="24">
        <f t="shared" si="339"/>
        <v>0</v>
      </c>
    </row>
    <row r="5427" spans="1:15" ht="15" customHeight="1" x14ac:dyDescent="0.3">
      <c r="A5427" s="23" t="s">
        <v>11284</v>
      </c>
      <c r="B5427" s="38">
        <v>46290</v>
      </c>
      <c r="C5427" s="23" t="s">
        <v>11285</v>
      </c>
      <c r="D5427" s="23" t="s">
        <v>89</v>
      </c>
      <c r="E5427" s="23" t="s">
        <v>77</v>
      </c>
      <c r="F5427" s="23" t="s">
        <v>2998</v>
      </c>
      <c r="G5427" s="23" t="s">
        <v>250</v>
      </c>
      <c r="H5427" s="39">
        <f t="shared" si="336"/>
        <v>11097</v>
      </c>
      <c r="I5427" s="23" t="str">
        <f t="shared" si="337"/>
        <v>Jaipur</v>
      </c>
      <c r="J5427" s="23">
        <f>COUNTIFS(pg_transaction_cleaned!$O:$O,A5427,pg_transaction_cleaned!$F:$F,"CAPTURE")</f>
        <v>1</v>
      </c>
      <c r="K5427" s="39">
        <f>SUMIFS(pg_transaction_cleaned!$H:$H,pg_transaction_cleaned!$O:$O,A5427,pg_transaction_cleaned!$F:$F,"CAPTURE")</f>
        <v>11097</v>
      </c>
      <c r="L5427" s="23">
        <f>COUNTIFS(pg_transaction_cleaned!$O:$O,A5427,pg_transaction_cleaned!$F:$F,"REFUND")</f>
        <v>0</v>
      </c>
      <c r="M5427" s="39">
        <f>SUMIFS(pg_transaction_cleaned!$H:$H,pg_transaction_cleaned!$O:$O,A5427,pg_transaction_cleaned!$F:$F,"REFUND")</f>
        <v>0</v>
      </c>
      <c r="N5427" s="23" t="str">
        <f t="shared" si="338"/>
        <v>OK</v>
      </c>
      <c r="O5427" s="24">
        <f t="shared" si="339"/>
        <v>0</v>
      </c>
    </row>
    <row r="5428" spans="1:15" ht="15" customHeight="1" x14ac:dyDescent="0.3">
      <c r="A5428" s="23" t="s">
        <v>11286</v>
      </c>
      <c r="B5428" s="38">
        <v>46293</v>
      </c>
      <c r="C5428" s="23" t="s">
        <v>1420</v>
      </c>
      <c r="D5428" s="23" t="s">
        <v>94</v>
      </c>
      <c r="E5428" s="23" t="s">
        <v>79</v>
      </c>
      <c r="F5428" s="23" t="s">
        <v>297</v>
      </c>
      <c r="G5428" s="23" t="s">
        <v>250</v>
      </c>
      <c r="H5428" s="39">
        <f t="shared" si="336"/>
        <v>4999</v>
      </c>
      <c r="I5428" s="23" t="str">
        <f t="shared" si="337"/>
        <v>Chennai</v>
      </c>
      <c r="J5428" s="23">
        <f>COUNTIFS(pg_transaction_cleaned!$O:$O,A5428,pg_transaction_cleaned!$F:$F,"CAPTURE")</f>
        <v>1</v>
      </c>
      <c r="K5428" s="39">
        <f>SUMIFS(pg_transaction_cleaned!$H:$H,pg_transaction_cleaned!$O:$O,A5428,pg_transaction_cleaned!$F:$F,"CAPTURE")</f>
        <v>4999</v>
      </c>
      <c r="L5428" s="23">
        <f>COUNTIFS(pg_transaction_cleaned!$O:$O,A5428,pg_transaction_cleaned!$F:$F,"REFUND")</f>
        <v>0</v>
      </c>
      <c r="M5428" s="39">
        <f>SUMIFS(pg_transaction_cleaned!$H:$H,pg_transaction_cleaned!$O:$O,A5428,pg_transaction_cleaned!$F:$F,"REFUND")</f>
        <v>0</v>
      </c>
      <c r="N5428" s="23" t="str">
        <f t="shared" si="338"/>
        <v>OK</v>
      </c>
      <c r="O5428" s="24">
        <f t="shared" si="339"/>
        <v>0</v>
      </c>
    </row>
    <row r="5429" spans="1:15" ht="15" customHeight="1" x14ac:dyDescent="0.3">
      <c r="A5429" s="23" t="s">
        <v>11287</v>
      </c>
      <c r="B5429" s="38">
        <v>46275</v>
      </c>
      <c r="C5429" s="23" t="s">
        <v>11288</v>
      </c>
      <c r="D5429" s="23" t="s">
        <v>90</v>
      </c>
      <c r="E5429" s="23" t="s">
        <v>77</v>
      </c>
      <c r="F5429" s="23" t="s">
        <v>288</v>
      </c>
      <c r="G5429" s="23" t="s">
        <v>250</v>
      </c>
      <c r="H5429" s="39">
        <f t="shared" si="336"/>
        <v>4298</v>
      </c>
      <c r="I5429" s="23" t="str">
        <f t="shared" si="337"/>
        <v>Ahmedabad</v>
      </c>
      <c r="J5429" s="23">
        <f>COUNTIFS(pg_transaction_cleaned!$O:$O,A5429,pg_transaction_cleaned!$F:$F,"CAPTURE")</f>
        <v>1</v>
      </c>
      <c r="K5429" s="39">
        <f>SUMIFS(pg_transaction_cleaned!$H:$H,pg_transaction_cleaned!$O:$O,A5429,pg_transaction_cleaned!$F:$F,"CAPTURE")</f>
        <v>4298</v>
      </c>
      <c r="L5429" s="23">
        <f>COUNTIFS(pg_transaction_cleaned!$O:$O,A5429,pg_transaction_cleaned!$F:$F,"REFUND")</f>
        <v>0</v>
      </c>
      <c r="M5429" s="39">
        <f>SUMIFS(pg_transaction_cleaned!$H:$H,pg_transaction_cleaned!$O:$O,A5429,pg_transaction_cleaned!$F:$F,"REFUND")</f>
        <v>0</v>
      </c>
      <c r="N5429" s="23" t="str">
        <f t="shared" si="338"/>
        <v>OK</v>
      </c>
      <c r="O5429" s="24">
        <f t="shared" si="339"/>
        <v>0</v>
      </c>
    </row>
    <row r="5430" spans="1:15" ht="15" customHeight="1" x14ac:dyDescent="0.3">
      <c r="A5430" s="23" t="s">
        <v>11289</v>
      </c>
      <c r="B5430" s="38">
        <v>46290</v>
      </c>
      <c r="C5430" s="23" t="s">
        <v>11290</v>
      </c>
      <c r="D5430" s="23" t="s">
        <v>86</v>
      </c>
      <c r="E5430" s="23" t="s">
        <v>79</v>
      </c>
      <c r="F5430" s="23" t="s">
        <v>337</v>
      </c>
      <c r="G5430" s="23" t="s">
        <v>365</v>
      </c>
      <c r="H5430" s="39">
        <f t="shared" si="336"/>
        <v>3998</v>
      </c>
      <c r="I5430" s="23" t="str">
        <f t="shared" si="337"/>
        <v>Delhi</v>
      </c>
      <c r="J5430" s="23">
        <f>COUNTIFS(pg_transaction_cleaned!$O:$O,A5430,pg_transaction_cleaned!$F:$F,"CAPTURE")</f>
        <v>0</v>
      </c>
      <c r="K5430" s="39">
        <f>SUMIFS(pg_transaction_cleaned!$H:$H,pg_transaction_cleaned!$O:$O,A5430,pg_transaction_cleaned!$F:$F,"CAPTURE")</f>
        <v>0</v>
      </c>
      <c r="L5430" s="23">
        <f>COUNTIFS(pg_transaction_cleaned!$O:$O,A5430,pg_transaction_cleaned!$F:$F,"REFUND")</f>
        <v>0</v>
      </c>
      <c r="M5430" s="39">
        <f>SUMIFS(pg_transaction_cleaned!$H:$H,pg_transaction_cleaned!$O:$O,A5430,pg_transaction_cleaned!$F:$F,"REFUND")</f>
        <v>0</v>
      </c>
      <c r="N5430" s="23" t="str">
        <f t="shared" si="338"/>
        <v>OK</v>
      </c>
      <c r="O5430" s="24">
        <f t="shared" si="339"/>
        <v>0</v>
      </c>
    </row>
    <row r="5431" spans="1:15" ht="15" customHeight="1" x14ac:dyDescent="0.3">
      <c r="A5431" s="23" t="s">
        <v>11291</v>
      </c>
      <c r="B5431" s="38">
        <v>46274</v>
      </c>
      <c r="C5431" s="23" t="s">
        <v>11292</v>
      </c>
      <c r="D5431" s="23" t="s">
        <v>94</v>
      </c>
      <c r="E5431" s="23" t="s">
        <v>75</v>
      </c>
      <c r="F5431" s="23" t="s">
        <v>1265</v>
      </c>
      <c r="G5431" s="23" t="s">
        <v>250</v>
      </c>
      <c r="H5431" s="39">
        <f t="shared" si="336"/>
        <v>6997</v>
      </c>
      <c r="I5431" s="23" t="str">
        <f t="shared" si="337"/>
        <v>Chennai</v>
      </c>
      <c r="J5431" s="23">
        <f>COUNTIFS(pg_transaction_cleaned!$O:$O,A5431,pg_transaction_cleaned!$F:$F,"CAPTURE")</f>
        <v>1</v>
      </c>
      <c r="K5431" s="39">
        <f>SUMIFS(pg_transaction_cleaned!$H:$H,pg_transaction_cleaned!$O:$O,A5431,pg_transaction_cleaned!$F:$F,"CAPTURE")</f>
        <v>6997</v>
      </c>
      <c r="L5431" s="23">
        <f>COUNTIFS(pg_transaction_cleaned!$O:$O,A5431,pg_transaction_cleaned!$F:$F,"REFUND")</f>
        <v>0</v>
      </c>
      <c r="M5431" s="39">
        <f>SUMIFS(pg_transaction_cleaned!$H:$H,pg_transaction_cleaned!$O:$O,A5431,pg_transaction_cleaned!$F:$F,"REFUND")</f>
        <v>0</v>
      </c>
      <c r="N5431" s="23" t="str">
        <f t="shared" si="338"/>
        <v>OK</v>
      </c>
      <c r="O5431" s="24">
        <f t="shared" si="339"/>
        <v>0</v>
      </c>
    </row>
    <row r="5432" spans="1:15" ht="15" customHeight="1" x14ac:dyDescent="0.3">
      <c r="A5432" s="23" t="s">
        <v>11293</v>
      </c>
      <c r="B5432" s="38">
        <v>46293</v>
      </c>
      <c r="C5432" s="23" t="s">
        <v>11294</v>
      </c>
      <c r="D5432" s="23" t="s">
        <v>95</v>
      </c>
      <c r="E5432" s="23" t="s">
        <v>75</v>
      </c>
      <c r="F5432" s="23" t="s">
        <v>294</v>
      </c>
      <c r="G5432" s="23" t="s">
        <v>250</v>
      </c>
      <c r="H5432" s="39">
        <f t="shared" si="336"/>
        <v>1799</v>
      </c>
      <c r="I5432" s="23" t="str">
        <f t="shared" si="337"/>
        <v>Bengaluru</v>
      </c>
      <c r="J5432" s="23">
        <f>COUNTIFS(pg_transaction_cleaned!$O:$O,A5432,pg_transaction_cleaned!$F:$F,"CAPTURE")</f>
        <v>1</v>
      </c>
      <c r="K5432" s="39">
        <f>SUMIFS(pg_transaction_cleaned!$H:$H,pg_transaction_cleaned!$O:$O,A5432,pg_transaction_cleaned!$F:$F,"CAPTURE")</f>
        <v>1799</v>
      </c>
      <c r="L5432" s="23">
        <f>COUNTIFS(pg_transaction_cleaned!$O:$O,A5432,pg_transaction_cleaned!$F:$F,"REFUND")</f>
        <v>0</v>
      </c>
      <c r="M5432" s="39">
        <f>SUMIFS(pg_transaction_cleaned!$H:$H,pg_transaction_cleaned!$O:$O,A5432,pg_transaction_cleaned!$F:$F,"REFUND")</f>
        <v>0</v>
      </c>
      <c r="N5432" s="23" t="str">
        <f t="shared" si="338"/>
        <v>OK</v>
      </c>
      <c r="O5432" s="24">
        <f t="shared" si="339"/>
        <v>0</v>
      </c>
    </row>
    <row r="5433" spans="1:15" ht="15" customHeight="1" x14ac:dyDescent="0.3">
      <c r="A5433" s="23" t="s">
        <v>11295</v>
      </c>
      <c r="B5433" s="38">
        <v>46290</v>
      </c>
      <c r="C5433" s="23" t="s">
        <v>11296</v>
      </c>
      <c r="D5433" s="23" t="s">
        <v>88</v>
      </c>
      <c r="E5433" s="23" t="s">
        <v>75</v>
      </c>
      <c r="F5433" s="23" t="s">
        <v>612</v>
      </c>
      <c r="G5433" s="23" t="s">
        <v>250</v>
      </c>
      <c r="H5433" s="39">
        <f t="shared" si="336"/>
        <v>8498</v>
      </c>
      <c r="I5433" s="23" t="str">
        <f t="shared" si="337"/>
        <v>Lucknow</v>
      </c>
      <c r="J5433" s="23">
        <f>COUNTIFS(pg_transaction_cleaned!$O:$O,A5433,pg_transaction_cleaned!$F:$F,"CAPTURE")</f>
        <v>1</v>
      </c>
      <c r="K5433" s="39">
        <f>SUMIFS(pg_transaction_cleaned!$H:$H,pg_transaction_cleaned!$O:$O,A5433,pg_transaction_cleaned!$F:$F,"CAPTURE")</f>
        <v>8498</v>
      </c>
      <c r="L5433" s="23">
        <f>COUNTIFS(pg_transaction_cleaned!$O:$O,A5433,pg_transaction_cleaned!$F:$F,"REFUND")</f>
        <v>0</v>
      </c>
      <c r="M5433" s="39">
        <f>SUMIFS(pg_transaction_cleaned!$H:$H,pg_transaction_cleaned!$O:$O,A5433,pg_transaction_cleaned!$F:$F,"REFUND")</f>
        <v>0</v>
      </c>
      <c r="N5433" s="23" t="str">
        <f t="shared" si="338"/>
        <v>OK</v>
      </c>
      <c r="O5433" s="24">
        <f t="shared" si="339"/>
        <v>0</v>
      </c>
    </row>
    <row r="5434" spans="1:15" ht="15" customHeight="1" x14ac:dyDescent="0.3">
      <c r="A5434" s="23" t="s">
        <v>11297</v>
      </c>
      <c r="B5434" s="38">
        <v>46277</v>
      </c>
      <c r="C5434" s="23" t="s">
        <v>11298</v>
      </c>
      <c r="D5434" s="23" t="s">
        <v>90</v>
      </c>
      <c r="E5434" s="23" t="s">
        <v>81</v>
      </c>
      <c r="F5434" s="23" t="s">
        <v>294</v>
      </c>
      <c r="G5434" s="23" t="s">
        <v>250</v>
      </c>
      <c r="H5434" s="39">
        <f t="shared" si="336"/>
        <v>1799</v>
      </c>
      <c r="I5434" s="23" t="str">
        <f t="shared" si="337"/>
        <v>Ahmedabad</v>
      </c>
      <c r="J5434" s="23">
        <f>COUNTIFS(pg_transaction_cleaned!$O:$O,A5434,pg_transaction_cleaned!$F:$F,"CAPTURE")</f>
        <v>1</v>
      </c>
      <c r="K5434" s="39">
        <f>SUMIFS(pg_transaction_cleaned!$H:$H,pg_transaction_cleaned!$O:$O,A5434,pg_transaction_cleaned!$F:$F,"CAPTURE")</f>
        <v>1799</v>
      </c>
      <c r="L5434" s="23">
        <f>COUNTIFS(pg_transaction_cleaned!$O:$O,A5434,pg_transaction_cleaned!$F:$F,"REFUND")</f>
        <v>0</v>
      </c>
      <c r="M5434" s="39">
        <f>SUMIFS(pg_transaction_cleaned!$H:$H,pg_transaction_cleaned!$O:$O,A5434,pg_transaction_cleaned!$F:$F,"REFUND")</f>
        <v>0</v>
      </c>
      <c r="N5434" s="23" t="str">
        <f t="shared" si="338"/>
        <v>OK</v>
      </c>
      <c r="O5434" s="24">
        <f t="shared" si="339"/>
        <v>0</v>
      </c>
    </row>
    <row r="5435" spans="1:15" ht="15" customHeight="1" x14ac:dyDescent="0.3">
      <c r="A5435" s="23" t="s">
        <v>11299</v>
      </c>
      <c r="B5435" s="38">
        <v>46287</v>
      </c>
      <c r="C5435" s="23" t="s">
        <v>11300</v>
      </c>
      <c r="D5435" s="23"/>
      <c r="E5435" s="23" t="s">
        <v>79</v>
      </c>
      <c r="F5435" s="23" t="s">
        <v>426</v>
      </c>
      <c r="G5435" s="23" t="s">
        <v>250</v>
      </c>
      <c r="H5435" s="39">
        <f t="shared" si="336"/>
        <v>6798</v>
      </c>
      <c r="I5435" s="23" t="str">
        <f t="shared" si="337"/>
        <v>Unknown</v>
      </c>
      <c r="J5435" s="23">
        <f>COUNTIFS(pg_transaction_cleaned!$O:$O,A5435,pg_transaction_cleaned!$F:$F,"CAPTURE")</f>
        <v>1</v>
      </c>
      <c r="K5435" s="39">
        <f>SUMIFS(pg_transaction_cleaned!$H:$H,pg_transaction_cleaned!$O:$O,A5435,pg_transaction_cleaned!$F:$F,"CAPTURE")</f>
        <v>6798</v>
      </c>
      <c r="L5435" s="23">
        <f>COUNTIFS(pg_transaction_cleaned!$O:$O,A5435,pg_transaction_cleaned!$F:$F,"REFUND")</f>
        <v>0</v>
      </c>
      <c r="M5435" s="39">
        <f>SUMIFS(pg_transaction_cleaned!$H:$H,pg_transaction_cleaned!$O:$O,A5435,pg_transaction_cleaned!$F:$F,"REFUND")</f>
        <v>0</v>
      </c>
      <c r="N5435" s="23" t="str">
        <f t="shared" si="338"/>
        <v>OK</v>
      </c>
      <c r="O5435" s="24">
        <f t="shared" si="339"/>
        <v>0</v>
      </c>
    </row>
    <row r="5436" spans="1:15" ht="15" customHeight="1" x14ac:dyDescent="0.3">
      <c r="A5436" s="23" t="s">
        <v>11301</v>
      </c>
      <c r="B5436" s="38">
        <v>46294</v>
      </c>
      <c r="C5436" s="23" t="s">
        <v>11302</v>
      </c>
      <c r="D5436" s="23" t="s">
        <v>91</v>
      </c>
      <c r="E5436" s="23" t="s">
        <v>75</v>
      </c>
      <c r="F5436" s="23" t="s">
        <v>271</v>
      </c>
      <c r="G5436" s="23" t="s">
        <v>250</v>
      </c>
      <c r="H5436" s="39">
        <f t="shared" si="336"/>
        <v>2499</v>
      </c>
      <c r="I5436" s="23" t="str">
        <f t="shared" si="337"/>
        <v>Pune</v>
      </c>
      <c r="J5436" s="23">
        <f>COUNTIFS(pg_transaction_cleaned!$O:$O,A5436,pg_transaction_cleaned!$F:$F,"CAPTURE")</f>
        <v>1</v>
      </c>
      <c r="K5436" s="39">
        <f>SUMIFS(pg_transaction_cleaned!$H:$H,pg_transaction_cleaned!$O:$O,A5436,pg_transaction_cleaned!$F:$F,"CAPTURE")</f>
        <v>2499</v>
      </c>
      <c r="L5436" s="23">
        <f>COUNTIFS(pg_transaction_cleaned!$O:$O,A5436,pg_transaction_cleaned!$F:$F,"REFUND")</f>
        <v>0</v>
      </c>
      <c r="M5436" s="39">
        <f>SUMIFS(pg_transaction_cleaned!$H:$H,pg_transaction_cleaned!$O:$O,A5436,pg_transaction_cleaned!$F:$F,"REFUND")</f>
        <v>0</v>
      </c>
      <c r="N5436" s="23" t="str">
        <f t="shared" si="338"/>
        <v>OK</v>
      </c>
      <c r="O5436" s="24">
        <f t="shared" si="339"/>
        <v>0</v>
      </c>
    </row>
    <row r="5437" spans="1:15" ht="15" customHeight="1" x14ac:dyDescent="0.3">
      <c r="A5437" s="23" t="s">
        <v>11303</v>
      </c>
      <c r="B5437" s="38">
        <v>46284</v>
      </c>
      <c r="C5437" s="23" t="s">
        <v>11304</v>
      </c>
      <c r="D5437" s="23" t="s">
        <v>92</v>
      </c>
      <c r="E5437" s="23" t="s">
        <v>79</v>
      </c>
      <c r="F5437" s="23" t="s">
        <v>2205</v>
      </c>
      <c r="G5437" s="23" t="s">
        <v>250</v>
      </c>
      <c r="H5437" s="39">
        <f t="shared" si="336"/>
        <v>6998</v>
      </c>
      <c r="I5437" s="23" t="str">
        <f t="shared" si="337"/>
        <v>Hyderabad</v>
      </c>
      <c r="J5437" s="23">
        <f>COUNTIFS(pg_transaction_cleaned!$O:$O,A5437,pg_transaction_cleaned!$F:$F,"CAPTURE")</f>
        <v>1</v>
      </c>
      <c r="K5437" s="39">
        <f>SUMIFS(pg_transaction_cleaned!$H:$H,pg_transaction_cleaned!$O:$O,A5437,pg_transaction_cleaned!$F:$F,"CAPTURE")</f>
        <v>6998</v>
      </c>
      <c r="L5437" s="23">
        <f>COUNTIFS(pg_transaction_cleaned!$O:$O,A5437,pg_transaction_cleaned!$F:$F,"REFUND")</f>
        <v>0</v>
      </c>
      <c r="M5437" s="39">
        <f>SUMIFS(pg_transaction_cleaned!$H:$H,pg_transaction_cleaned!$O:$O,A5437,pg_transaction_cleaned!$F:$F,"REFUND")</f>
        <v>0</v>
      </c>
      <c r="N5437" s="23" t="str">
        <f t="shared" si="338"/>
        <v>OK</v>
      </c>
      <c r="O5437" s="24">
        <f t="shared" si="339"/>
        <v>0</v>
      </c>
    </row>
    <row r="5438" spans="1:15" ht="15" customHeight="1" x14ac:dyDescent="0.3">
      <c r="A5438" s="23" t="s">
        <v>11305</v>
      </c>
      <c r="B5438" s="38">
        <v>46289</v>
      </c>
      <c r="C5438" s="23" t="s">
        <v>11306</v>
      </c>
      <c r="D5438" s="23" t="s">
        <v>92</v>
      </c>
      <c r="E5438" s="23" t="s">
        <v>79</v>
      </c>
      <c r="F5438" s="23" t="s">
        <v>5639</v>
      </c>
      <c r="G5438" s="23" t="s">
        <v>250</v>
      </c>
      <c r="H5438" s="39">
        <f t="shared" si="336"/>
        <v>2798</v>
      </c>
      <c r="I5438" s="23" t="str">
        <f t="shared" si="337"/>
        <v>Hyderabad</v>
      </c>
      <c r="J5438" s="23">
        <f>COUNTIFS(pg_transaction_cleaned!$O:$O,A5438,pg_transaction_cleaned!$F:$F,"CAPTURE")</f>
        <v>1</v>
      </c>
      <c r="K5438" s="39">
        <f>SUMIFS(pg_transaction_cleaned!$H:$H,pg_transaction_cleaned!$O:$O,A5438,pg_transaction_cleaned!$F:$F,"CAPTURE")</f>
        <v>2798</v>
      </c>
      <c r="L5438" s="23">
        <f>COUNTIFS(pg_transaction_cleaned!$O:$O,A5438,pg_transaction_cleaned!$F:$F,"REFUND")</f>
        <v>0</v>
      </c>
      <c r="M5438" s="39">
        <f>SUMIFS(pg_transaction_cleaned!$H:$H,pg_transaction_cleaned!$O:$O,A5438,pg_transaction_cleaned!$F:$F,"REFUND")</f>
        <v>0</v>
      </c>
      <c r="N5438" s="23" t="str">
        <f t="shared" si="338"/>
        <v>OK</v>
      </c>
      <c r="O5438" s="24">
        <f t="shared" si="339"/>
        <v>0</v>
      </c>
    </row>
    <row r="5439" spans="1:15" ht="15" customHeight="1" x14ac:dyDescent="0.3">
      <c r="A5439" s="23" t="s">
        <v>11307</v>
      </c>
      <c r="B5439" s="38">
        <v>46282</v>
      </c>
      <c r="C5439" s="23" t="s">
        <v>11308</v>
      </c>
      <c r="D5439" s="23" t="s">
        <v>87</v>
      </c>
      <c r="E5439" s="23" t="s">
        <v>77</v>
      </c>
      <c r="F5439" s="23" t="s">
        <v>259</v>
      </c>
      <c r="G5439" s="23" t="s">
        <v>250</v>
      </c>
      <c r="H5439" s="39">
        <f t="shared" si="336"/>
        <v>3298</v>
      </c>
      <c r="I5439" s="23" t="str">
        <f t="shared" si="337"/>
        <v>Mumbai</v>
      </c>
      <c r="J5439" s="23">
        <f>COUNTIFS(pg_transaction_cleaned!$O:$O,A5439,pg_transaction_cleaned!$F:$F,"CAPTURE")</f>
        <v>1</v>
      </c>
      <c r="K5439" s="39">
        <f>SUMIFS(pg_transaction_cleaned!$H:$H,pg_transaction_cleaned!$O:$O,A5439,pg_transaction_cleaned!$F:$F,"CAPTURE")</f>
        <v>3298</v>
      </c>
      <c r="L5439" s="23">
        <f>COUNTIFS(pg_transaction_cleaned!$O:$O,A5439,pg_transaction_cleaned!$F:$F,"REFUND")</f>
        <v>0</v>
      </c>
      <c r="M5439" s="39">
        <f>SUMIFS(pg_transaction_cleaned!$H:$H,pg_transaction_cleaned!$O:$O,A5439,pg_transaction_cleaned!$F:$F,"REFUND")</f>
        <v>0</v>
      </c>
      <c r="N5439" s="23" t="str">
        <f t="shared" si="338"/>
        <v>OK</v>
      </c>
      <c r="O5439" s="24">
        <f t="shared" si="339"/>
        <v>0</v>
      </c>
    </row>
    <row r="5440" spans="1:15" ht="15" customHeight="1" x14ac:dyDescent="0.3">
      <c r="A5440" s="23" t="s">
        <v>11309</v>
      </c>
      <c r="B5440" s="38">
        <v>46282</v>
      </c>
      <c r="C5440" s="23" t="s">
        <v>11310</v>
      </c>
      <c r="D5440" s="23" t="s">
        <v>87</v>
      </c>
      <c r="E5440" s="23" t="s">
        <v>75</v>
      </c>
      <c r="F5440" s="23" t="s">
        <v>1193</v>
      </c>
      <c r="G5440" s="23" t="s">
        <v>250</v>
      </c>
      <c r="H5440" s="39">
        <f t="shared" si="336"/>
        <v>3498</v>
      </c>
      <c r="I5440" s="23" t="str">
        <f t="shared" si="337"/>
        <v>Mumbai</v>
      </c>
      <c r="J5440" s="23">
        <f>COUNTIFS(pg_transaction_cleaned!$O:$O,A5440,pg_transaction_cleaned!$F:$F,"CAPTURE")</f>
        <v>1</v>
      </c>
      <c r="K5440" s="39">
        <f>SUMIFS(pg_transaction_cleaned!$H:$H,pg_transaction_cleaned!$O:$O,A5440,pg_transaction_cleaned!$F:$F,"CAPTURE")</f>
        <v>3498</v>
      </c>
      <c r="L5440" s="23">
        <f>COUNTIFS(pg_transaction_cleaned!$O:$O,A5440,pg_transaction_cleaned!$F:$F,"REFUND")</f>
        <v>0</v>
      </c>
      <c r="M5440" s="39">
        <f>SUMIFS(pg_transaction_cleaned!$H:$H,pg_transaction_cleaned!$O:$O,A5440,pg_transaction_cleaned!$F:$F,"REFUND")</f>
        <v>0</v>
      </c>
      <c r="N5440" s="23" t="str">
        <f t="shared" si="338"/>
        <v>OK</v>
      </c>
      <c r="O5440" s="24">
        <f t="shared" si="339"/>
        <v>0</v>
      </c>
    </row>
    <row r="5441" spans="1:15" ht="15" customHeight="1" x14ac:dyDescent="0.3">
      <c r="A5441" s="23" t="s">
        <v>11311</v>
      </c>
      <c r="B5441" s="38">
        <v>46273</v>
      </c>
      <c r="C5441" s="23" t="s">
        <v>11312</v>
      </c>
      <c r="D5441" s="23" t="s">
        <v>94</v>
      </c>
      <c r="E5441" s="23" t="s">
        <v>81</v>
      </c>
      <c r="F5441" s="23" t="s">
        <v>249</v>
      </c>
      <c r="G5441" s="23" t="s">
        <v>250</v>
      </c>
      <c r="H5441" s="39">
        <f t="shared" si="336"/>
        <v>299</v>
      </c>
      <c r="I5441" s="23" t="str">
        <f t="shared" si="337"/>
        <v>Chennai</v>
      </c>
      <c r="J5441" s="23">
        <f>COUNTIFS(pg_transaction_cleaned!$O:$O,A5441,pg_transaction_cleaned!$F:$F,"CAPTURE")</f>
        <v>1</v>
      </c>
      <c r="K5441" s="39">
        <f>SUMIFS(pg_transaction_cleaned!$H:$H,pg_transaction_cleaned!$O:$O,A5441,pg_transaction_cleaned!$F:$F,"CAPTURE")</f>
        <v>299</v>
      </c>
      <c r="L5441" s="23">
        <f>COUNTIFS(pg_transaction_cleaned!$O:$O,A5441,pg_transaction_cleaned!$F:$F,"REFUND")</f>
        <v>0</v>
      </c>
      <c r="M5441" s="39">
        <f>SUMIFS(pg_transaction_cleaned!$H:$H,pg_transaction_cleaned!$O:$O,A5441,pg_transaction_cleaned!$F:$F,"REFUND")</f>
        <v>0</v>
      </c>
      <c r="N5441" s="23" t="str">
        <f t="shared" si="338"/>
        <v>OK</v>
      </c>
      <c r="O5441" s="24">
        <f t="shared" si="339"/>
        <v>0</v>
      </c>
    </row>
    <row r="5442" spans="1:15" ht="15" customHeight="1" x14ac:dyDescent="0.3">
      <c r="A5442" s="23" t="s">
        <v>11313</v>
      </c>
      <c r="B5442" s="38">
        <v>46277</v>
      </c>
      <c r="C5442" s="23" t="s">
        <v>11314</v>
      </c>
      <c r="D5442" s="23" t="s">
        <v>94</v>
      </c>
      <c r="E5442" s="23" t="s">
        <v>79</v>
      </c>
      <c r="F5442" s="23" t="s">
        <v>271</v>
      </c>
      <c r="G5442" s="23" t="s">
        <v>250</v>
      </c>
      <c r="H5442" s="39">
        <f t="shared" ref="H5442:H5505" si="340">VALUE(SUBSTITUTE(F5442,",",""))</f>
        <v>2499</v>
      </c>
      <c r="I5442" s="23" t="str">
        <f t="shared" ref="I5442:I5505" si="341">IF(TRIM(D5442)="","Unknown",TRIM(D5442))</f>
        <v>Chennai</v>
      </c>
      <c r="J5442" s="23">
        <f>COUNTIFS(pg_transaction_cleaned!$O:$O,A5442,pg_transaction_cleaned!$F:$F,"CAPTURE")</f>
        <v>1</v>
      </c>
      <c r="K5442" s="39">
        <f>SUMIFS(pg_transaction_cleaned!$H:$H,pg_transaction_cleaned!$O:$O,A5442,pg_transaction_cleaned!$F:$F,"CAPTURE")</f>
        <v>2499</v>
      </c>
      <c r="L5442" s="23">
        <f>COUNTIFS(pg_transaction_cleaned!$O:$O,A5442,pg_transaction_cleaned!$F:$F,"REFUND")</f>
        <v>0</v>
      </c>
      <c r="M5442" s="39">
        <f>SUMIFS(pg_transaction_cleaned!$H:$H,pg_transaction_cleaned!$O:$O,A5442,pg_transaction_cleaned!$F:$F,"REFUND")</f>
        <v>0</v>
      </c>
      <c r="N5442" s="23" t="str">
        <f t="shared" ref="N5442:N5505" si="342">IF(AND(G5442="Paid",J5442=0),"Paid, no payment",IF(AND(OR(G5442="Failed",G5442="Cancelled"),J5442&gt;0),"Payment on failed/cancelled",IF(J5442&gt;1,"Duplicate charge",IF(AND(J5442=1,ROUND(K5442-H5442,2)&lt;&gt;0),"Amount difference",IF(AND(G5442="Refunded",L5442=0),"Refunded, no refund",IF(AND(G5442&lt;&gt;"Refunded",L5442&gt;0),"Refund, order not Refunded",IF(AND(L5442&gt;0,ROUND(M5442-H5442,2)&lt;&gt;0),"Refund amount differs","OK")))))))</f>
        <v>OK</v>
      </c>
      <c r="O5442" s="24">
        <f t="shared" ref="O5442:O5505" si="343">IF(N5442="OK",0,IF(N5442="Paid, no payment",H5442,IF(N5442="Payment on failed/cancelled",K5442,IF(OR(N5442="Duplicate charge",N5442="Amount difference"),K5442-H5442,IF(N5442="Refunded, no refund",H5442,M5442)))))</f>
        <v>0</v>
      </c>
    </row>
    <row r="5443" spans="1:15" ht="15" customHeight="1" x14ac:dyDescent="0.3">
      <c r="A5443" s="23" t="s">
        <v>11315</v>
      </c>
      <c r="B5443" s="38">
        <v>46293</v>
      </c>
      <c r="C5443" s="23" t="s">
        <v>11316</v>
      </c>
      <c r="D5443" s="23" t="s">
        <v>86</v>
      </c>
      <c r="E5443" s="23" t="s">
        <v>81</v>
      </c>
      <c r="F5443" s="23" t="s">
        <v>294</v>
      </c>
      <c r="G5443" s="23" t="s">
        <v>250</v>
      </c>
      <c r="H5443" s="39">
        <f t="shared" si="340"/>
        <v>1799</v>
      </c>
      <c r="I5443" s="23" t="str">
        <f t="shared" si="341"/>
        <v>Delhi</v>
      </c>
      <c r="J5443" s="23">
        <f>COUNTIFS(pg_transaction_cleaned!$O:$O,A5443,pg_transaction_cleaned!$F:$F,"CAPTURE")</f>
        <v>1</v>
      </c>
      <c r="K5443" s="39">
        <f>SUMIFS(pg_transaction_cleaned!$H:$H,pg_transaction_cleaned!$O:$O,A5443,pg_transaction_cleaned!$F:$F,"CAPTURE")</f>
        <v>1799</v>
      </c>
      <c r="L5443" s="23">
        <f>COUNTIFS(pg_transaction_cleaned!$O:$O,A5443,pg_transaction_cleaned!$F:$F,"REFUND")</f>
        <v>0</v>
      </c>
      <c r="M5443" s="39">
        <f>SUMIFS(pg_transaction_cleaned!$H:$H,pg_transaction_cleaned!$O:$O,A5443,pg_transaction_cleaned!$F:$F,"REFUND")</f>
        <v>0</v>
      </c>
      <c r="N5443" s="23" t="str">
        <f t="shared" si="342"/>
        <v>OK</v>
      </c>
      <c r="O5443" s="24">
        <f t="shared" si="343"/>
        <v>0</v>
      </c>
    </row>
    <row r="5444" spans="1:15" ht="15" customHeight="1" x14ac:dyDescent="0.3">
      <c r="A5444" s="23" t="s">
        <v>11317</v>
      </c>
      <c r="B5444" s="38">
        <v>46287</v>
      </c>
      <c r="C5444" s="23" t="s">
        <v>11318</v>
      </c>
      <c r="D5444" s="23" t="s">
        <v>90</v>
      </c>
      <c r="E5444" s="23" t="s">
        <v>75</v>
      </c>
      <c r="F5444" s="23" t="s">
        <v>315</v>
      </c>
      <c r="G5444" s="23" t="s">
        <v>250</v>
      </c>
      <c r="H5444" s="39">
        <f t="shared" si="340"/>
        <v>1499</v>
      </c>
      <c r="I5444" s="23" t="str">
        <f t="shared" si="341"/>
        <v>Ahmedabad</v>
      </c>
      <c r="J5444" s="23">
        <f>COUNTIFS(pg_transaction_cleaned!$O:$O,A5444,pg_transaction_cleaned!$F:$F,"CAPTURE")</f>
        <v>1</v>
      </c>
      <c r="K5444" s="39">
        <f>SUMIFS(pg_transaction_cleaned!$H:$H,pg_transaction_cleaned!$O:$O,A5444,pg_transaction_cleaned!$F:$F,"CAPTURE")</f>
        <v>1499</v>
      </c>
      <c r="L5444" s="23">
        <f>COUNTIFS(pg_transaction_cleaned!$O:$O,A5444,pg_transaction_cleaned!$F:$F,"REFUND")</f>
        <v>0</v>
      </c>
      <c r="M5444" s="39">
        <f>SUMIFS(pg_transaction_cleaned!$H:$H,pg_transaction_cleaned!$O:$O,A5444,pg_transaction_cleaned!$F:$F,"REFUND")</f>
        <v>0</v>
      </c>
      <c r="N5444" s="23" t="str">
        <f t="shared" si="342"/>
        <v>OK</v>
      </c>
      <c r="O5444" s="24">
        <f t="shared" si="343"/>
        <v>0</v>
      </c>
    </row>
    <row r="5445" spans="1:15" ht="15" customHeight="1" x14ac:dyDescent="0.3">
      <c r="A5445" s="23" t="s">
        <v>11319</v>
      </c>
      <c r="B5445" s="38">
        <v>46286</v>
      </c>
      <c r="C5445" s="23" t="s">
        <v>6625</v>
      </c>
      <c r="D5445" s="23" t="s">
        <v>92</v>
      </c>
      <c r="E5445" s="23" t="s">
        <v>81</v>
      </c>
      <c r="F5445" s="23" t="s">
        <v>880</v>
      </c>
      <c r="G5445" s="23" t="s">
        <v>250</v>
      </c>
      <c r="H5445" s="39">
        <f t="shared" si="340"/>
        <v>2298</v>
      </c>
      <c r="I5445" s="23" t="str">
        <f t="shared" si="341"/>
        <v>Hyderabad</v>
      </c>
      <c r="J5445" s="23">
        <f>COUNTIFS(pg_transaction_cleaned!$O:$O,A5445,pg_transaction_cleaned!$F:$F,"CAPTURE")</f>
        <v>1</v>
      </c>
      <c r="K5445" s="39">
        <f>SUMIFS(pg_transaction_cleaned!$H:$H,pg_transaction_cleaned!$O:$O,A5445,pg_transaction_cleaned!$F:$F,"CAPTURE")</f>
        <v>2298</v>
      </c>
      <c r="L5445" s="23">
        <f>COUNTIFS(pg_transaction_cleaned!$O:$O,A5445,pg_transaction_cleaned!$F:$F,"REFUND")</f>
        <v>0</v>
      </c>
      <c r="M5445" s="39">
        <f>SUMIFS(pg_transaction_cleaned!$H:$H,pg_transaction_cleaned!$O:$O,A5445,pg_transaction_cleaned!$F:$F,"REFUND")</f>
        <v>0</v>
      </c>
      <c r="N5445" s="23" t="str">
        <f t="shared" si="342"/>
        <v>OK</v>
      </c>
      <c r="O5445" s="24">
        <f t="shared" si="343"/>
        <v>0</v>
      </c>
    </row>
    <row r="5446" spans="1:15" ht="15" customHeight="1" x14ac:dyDescent="0.3">
      <c r="A5446" s="23" t="s">
        <v>11320</v>
      </c>
      <c r="B5446" s="38">
        <v>46294</v>
      </c>
      <c r="C5446" s="23" t="s">
        <v>11321</v>
      </c>
      <c r="D5446" s="23" t="s">
        <v>88</v>
      </c>
      <c r="E5446" s="23" t="s">
        <v>75</v>
      </c>
      <c r="F5446" s="23" t="s">
        <v>558</v>
      </c>
      <c r="G5446" s="23" t="s">
        <v>250</v>
      </c>
      <c r="H5446" s="39">
        <f t="shared" si="340"/>
        <v>1447</v>
      </c>
      <c r="I5446" s="23" t="str">
        <f t="shared" si="341"/>
        <v>Lucknow</v>
      </c>
      <c r="J5446" s="23">
        <f>COUNTIFS(pg_transaction_cleaned!$O:$O,A5446,pg_transaction_cleaned!$F:$F,"CAPTURE")</f>
        <v>1</v>
      </c>
      <c r="K5446" s="39">
        <f>SUMIFS(pg_transaction_cleaned!$H:$H,pg_transaction_cleaned!$O:$O,A5446,pg_transaction_cleaned!$F:$F,"CAPTURE")</f>
        <v>1447</v>
      </c>
      <c r="L5446" s="23">
        <f>COUNTIFS(pg_transaction_cleaned!$O:$O,A5446,pg_transaction_cleaned!$F:$F,"REFUND")</f>
        <v>0</v>
      </c>
      <c r="M5446" s="39">
        <f>SUMIFS(pg_transaction_cleaned!$H:$H,pg_transaction_cleaned!$O:$O,A5446,pg_transaction_cleaned!$F:$F,"REFUND")</f>
        <v>0</v>
      </c>
      <c r="N5446" s="23" t="str">
        <f t="shared" si="342"/>
        <v>OK</v>
      </c>
      <c r="O5446" s="24">
        <f t="shared" si="343"/>
        <v>0</v>
      </c>
    </row>
    <row r="5447" spans="1:15" ht="15" customHeight="1" x14ac:dyDescent="0.3">
      <c r="A5447" s="23" t="s">
        <v>11322</v>
      </c>
      <c r="B5447" s="38">
        <v>46291</v>
      </c>
      <c r="C5447" s="23" t="s">
        <v>11323</v>
      </c>
      <c r="D5447" s="23" t="s">
        <v>90</v>
      </c>
      <c r="E5447" s="23" t="s">
        <v>79</v>
      </c>
      <c r="F5447" s="23" t="s">
        <v>315</v>
      </c>
      <c r="G5447" s="23" t="s">
        <v>250</v>
      </c>
      <c r="H5447" s="39">
        <f t="shared" si="340"/>
        <v>1499</v>
      </c>
      <c r="I5447" s="23" t="str">
        <f t="shared" si="341"/>
        <v>Ahmedabad</v>
      </c>
      <c r="J5447" s="23">
        <f>COUNTIFS(pg_transaction_cleaned!$O:$O,A5447,pg_transaction_cleaned!$F:$F,"CAPTURE")</f>
        <v>1</v>
      </c>
      <c r="K5447" s="39">
        <f>SUMIFS(pg_transaction_cleaned!$H:$H,pg_transaction_cleaned!$O:$O,A5447,pg_transaction_cleaned!$F:$F,"CAPTURE")</f>
        <v>1499</v>
      </c>
      <c r="L5447" s="23">
        <f>COUNTIFS(pg_transaction_cleaned!$O:$O,A5447,pg_transaction_cleaned!$F:$F,"REFUND")</f>
        <v>0</v>
      </c>
      <c r="M5447" s="39">
        <f>SUMIFS(pg_transaction_cleaned!$H:$H,pg_transaction_cleaned!$O:$O,A5447,pg_transaction_cleaned!$F:$F,"REFUND")</f>
        <v>0</v>
      </c>
      <c r="N5447" s="23" t="str">
        <f t="shared" si="342"/>
        <v>OK</v>
      </c>
      <c r="O5447" s="24">
        <f t="shared" si="343"/>
        <v>0</v>
      </c>
    </row>
    <row r="5448" spans="1:15" ht="15" customHeight="1" x14ac:dyDescent="0.3">
      <c r="A5448" s="23" t="s">
        <v>11324</v>
      </c>
      <c r="B5448" s="38">
        <v>46267</v>
      </c>
      <c r="C5448" s="23" t="s">
        <v>11325</v>
      </c>
      <c r="D5448" s="23" t="s">
        <v>89</v>
      </c>
      <c r="E5448" s="23" t="s">
        <v>79</v>
      </c>
      <c r="F5448" s="23" t="s">
        <v>1552</v>
      </c>
      <c r="G5448" s="23" t="s">
        <v>365</v>
      </c>
      <c r="H5448" s="39">
        <f t="shared" si="340"/>
        <v>9797</v>
      </c>
      <c r="I5448" s="23" t="str">
        <f t="shared" si="341"/>
        <v>Jaipur</v>
      </c>
      <c r="J5448" s="23">
        <f>COUNTIFS(pg_transaction_cleaned!$O:$O,A5448,pg_transaction_cleaned!$F:$F,"CAPTURE")</f>
        <v>0</v>
      </c>
      <c r="K5448" s="39">
        <f>SUMIFS(pg_transaction_cleaned!$H:$H,pg_transaction_cleaned!$O:$O,A5448,pg_transaction_cleaned!$F:$F,"CAPTURE")</f>
        <v>0</v>
      </c>
      <c r="L5448" s="23">
        <f>COUNTIFS(pg_transaction_cleaned!$O:$O,A5448,pg_transaction_cleaned!$F:$F,"REFUND")</f>
        <v>0</v>
      </c>
      <c r="M5448" s="39">
        <f>SUMIFS(pg_transaction_cleaned!$H:$H,pg_transaction_cleaned!$O:$O,A5448,pg_transaction_cleaned!$F:$F,"REFUND")</f>
        <v>0</v>
      </c>
      <c r="N5448" s="23" t="str">
        <f t="shared" si="342"/>
        <v>OK</v>
      </c>
      <c r="O5448" s="24">
        <f t="shared" si="343"/>
        <v>0</v>
      </c>
    </row>
    <row r="5449" spans="1:15" ht="15" customHeight="1" x14ac:dyDescent="0.3">
      <c r="A5449" s="23" t="s">
        <v>11326</v>
      </c>
      <c r="B5449" s="38">
        <v>46292</v>
      </c>
      <c r="C5449" s="23" t="s">
        <v>11327</v>
      </c>
      <c r="D5449" s="23" t="s">
        <v>91</v>
      </c>
      <c r="E5449" s="23" t="s">
        <v>75</v>
      </c>
      <c r="F5449" s="23" t="s">
        <v>271</v>
      </c>
      <c r="G5449" s="23" t="s">
        <v>250</v>
      </c>
      <c r="H5449" s="39">
        <f t="shared" si="340"/>
        <v>2499</v>
      </c>
      <c r="I5449" s="23" t="str">
        <f t="shared" si="341"/>
        <v>Pune</v>
      </c>
      <c r="J5449" s="23">
        <f>COUNTIFS(pg_transaction_cleaned!$O:$O,A5449,pg_transaction_cleaned!$F:$F,"CAPTURE")</f>
        <v>1</v>
      </c>
      <c r="K5449" s="39">
        <f>SUMIFS(pg_transaction_cleaned!$H:$H,pg_transaction_cleaned!$O:$O,A5449,pg_transaction_cleaned!$F:$F,"CAPTURE")</f>
        <v>2499</v>
      </c>
      <c r="L5449" s="23">
        <f>COUNTIFS(pg_transaction_cleaned!$O:$O,A5449,pg_transaction_cleaned!$F:$F,"REFUND")</f>
        <v>0</v>
      </c>
      <c r="M5449" s="39">
        <f>SUMIFS(pg_transaction_cleaned!$H:$H,pg_transaction_cleaned!$O:$O,A5449,pg_transaction_cleaned!$F:$F,"REFUND")</f>
        <v>0</v>
      </c>
      <c r="N5449" s="23" t="str">
        <f t="shared" si="342"/>
        <v>OK</v>
      </c>
      <c r="O5449" s="24">
        <f t="shared" si="343"/>
        <v>0</v>
      </c>
    </row>
    <row r="5450" spans="1:15" ht="15" customHeight="1" x14ac:dyDescent="0.3">
      <c r="A5450" s="23" t="s">
        <v>11328</v>
      </c>
      <c r="B5450" s="38">
        <v>46279</v>
      </c>
      <c r="C5450" s="23" t="s">
        <v>11329</v>
      </c>
      <c r="D5450" s="23" t="s">
        <v>90</v>
      </c>
      <c r="E5450" s="23" t="s">
        <v>75</v>
      </c>
      <c r="F5450" s="23" t="s">
        <v>451</v>
      </c>
      <c r="G5450" s="23" t="s">
        <v>250</v>
      </c>
      <c r="H5450" s="39">
        <f t="shared" si="340"/>
        <v>1098</v>
      </c>
      <c r="I5450" s="23" t="str">
        <f t="shared" si="341"/>
        <v>Ahmedabad</v>
      </c>
      <c r="J5450" s="23">
        <f>COUNTIFS(pg_transaction_cleaned!$O:$O,A5450,pg_transaction_cleaned!$F:$F,"CAPTURE")</f>
        <v>1</v>
      </c>
      <c r="K5450" s="39">
        <f>SUMIFS(pg_transaction_cleaned!$H:$H,pg_transaction_cleaned!$O:$O,A5450,pg_transaction_cleaned!$F:$F,"CAPTURE")</f>
        <v>1098</v>
      </c>
      <c r="L5450" s="23">
        <f>COUNTIFS(pg_transaction_cleaned!$O:$O,A5450,pg_transaction_cleaned!$F:$F,"REFUND")</f>
        <v>0</v>
      </c>
      <c r="M5450" s="39">
        <f>SUMIFS(pg_transaction_cleaned!$H:$H,pg_transaction_cleaned!$O:$O,A5450,pg_transaction_cleaned!$F:$F,"REFUND")</f>
        <v>0</v>
      </c>
      <c r="N5450" s="23" t="str">
        <f t="shared" si="342"/>
        <v>OK</v>
      </c>
      <c r="O5450" s="24">
        <f t="shared" si="343"/>
        <v>0</v>
      </c>
    </row>
    <row r="5451" spans="1:15" ht="15" customHeight="1" x14ac:dyDescent="0.3">
      <c r="A5451" s="23" t="s">
        <v>11330</v>
      </c>
      <c r="B5451" s="38">
        <v>46269</v>
      </c>
      <c r="C5451" s="23" t="s">
        <v>11331</v>
      </c>
      <c r="D5451" s="23" t="s">
        <v>86</v>
      </c>
      <c r="E5451" s="23" t="s">
        <v>75</v>
      </c>
      <c r="F5451" s="23" t="s">
        <v>265</v>
      </c>
      <c r="G5451" s="23" t="s">
        <v>250</v>
      </c>
      <c r="H5451" s="39">
        <f t="shared" si="340"/>
        <v>999</v>
      </c>
      <c r="I5451" s="23" t="str">
        <f t="shared" si="341"/>
        <v>Delhi</v>
      </c>
      <c r="J5451" s="23">
        <f>COUNTIFS(pg_transaction_cleaned!$O:$O,A5451,pg_transaction_cleaned!$F:$F,"CAPTURE")</f>
        <v>1</v>
      </c>
      <c r="K5451" s="39">
        <f>SUMIFS(pg_transaction_cleaned!$H:$H,pg_transaction_cleaned!$O:$O,A5451,pg_transaction_cleaned!$F:$F,"CAPTURE")</f>
        <v>999</v>
      </c>
      <c r="L5451" s="23">
        <f>COUNTIFS(pg_transaction_cleaned!$O:$O,A5451,pg_transaction_cleaned!$F:$F,"REFUND")</f>
        <v>0</v>
      </c>
      <c r="M5451" s="39">
        <f>SUMIFS(pg_transaction_cleaned!$H:$H,pg_transaction_cleaned!$O:$O,A5451,pg_transaction_cleaned!$F:$F,"REFUND")</f>
        <v>0</v>
      </c>
      <c r="N5451" s="23" t="str">
        <f t="shared" si="342"/>
        <v>OK</v>
      </c>
      <c r="O5451" s="24">
        <f t="shared" si="343"/>
        <v>0</v>
      </c>
    </row>
    <row r="5452" spans="1:15" ht="15" customHeight="1" x14ac:dyDescent="0.3">
      <c r="A5452" s="23" t="s">
        <v>11332</v>
      </c>
      <c r="B5452" s="38">
        <v>46290</v>
      </c>
      <c r="C5452" s="23" t="s">
        <v>11333</v>
      </c>
      <c r="D5452" s="23" t="s">
        <v>93</v>
      </c>
      <c r="E5452" s="23" t="s">
        <v>79</v>
      </c>
      <c r="F5452" s="23" t="s">
        <v>553</v>
      </c>
      <c r="G5452" s="23" t="s">
        <v>250</v>
      </c>
      <c r="H5452" s="39">
        <f t="shared" si="340"/>
        <v>2798</v>
      </c>
      <c r="I5452" s="23" t="str">
        <f t="shared" si="341"/>
        <v>Kolkata</v>
      </c>
      <c r="J5452" s="23">
        <f>COUNTIFS(pg_transaction_cleaned!$O:$O,A5452,pg_transaction_cleaned!$F:$F,"CAPTURE")</f>
        <v>1</v>
      </c>
      <c r="K5452" s="39">
        <f>SUMIFS(pg_transaction_cleaned!$H:$H,pg_transaction_cleaned!$O:$O,A5452,pg_transaction_cleaned!$F:$F,"CAPTURE")</f>
        <v>2798</v>
      </c>
      <c r="L5452" s="23">
        <f>COUNTIFS(pg_transaction_cleaned!$O:$O,A5452,pg_transaction_cleaned!$F:$F,"REFUND")</f>
        <v>0</v>
      </c>
      <c r="M5452" s="39">
        <f>SUMIFS(pg_transaction_cleaned!$H:$H,pg_transaction_cleaned!$O:$O,A5452,pg_transaction_cleaned!$F:$F,"REFUND")</f>
        <v>0</v>
      </c>
      <c r="N5452" s="23" t="str">
        <f t="shared" si="342"/>
        <v>OK</v>
      </c>
      <c r="O5452" s="24">
        <f t="shared" si="343"/>
        <v>0</v>
      </c>
    </row>
    <row r="5453" spans="1:15" ht="15" customHeight="1" x14ac:dyDescent="0.3">
      <c r="A5453" s="23" t="s">
        <v>11334</v>
      </c>
      <c r="B5453" s="38">
        <v>46275</v>
      </c>
      <c r="C5453" s="23" t="s">
        <v>11335</v>
      </c>
      <c r="D5453" s="23" t="s">
        <v>90</v>
      </c>
      <c r="E5453" s="23" t="s">
        <v>79</v>
      </c>
      <c r="F5453" s="23" t="s">
        <v>297</v>
      </c>
      <c r="G5453" s="23" t="s">
        <v>250</v>
      </c>
      <c r="H5453" s="39">
        <f t="shared" si="340"/>
        <v>4999</v>
      </c>
      <c r="I5453" s="23" t="str">
        <f t="shared" si="341"/>
        <v>Ahmedabad</v>
      </c>
      <c r="J5453" s="23">
        <f>COUNTIFS(pg_transaction_cleaned!$O:$O,A5453,pg_transaction_cleaned!$F:$F,"CAPTURE")</f>
        <v>1</v>
      </c>
      <c r="K5453" s="39">
        <f>SUMIFS(pg_transaction_cleaned!$H:$H,pg_transaction_cleaned!$O:$O,A5453,pg_transaction_cleaned!$F:$F,"CAPTURE")</f>
        <v>4999</v>
      </c>
      <c r="L5453" s="23">
        <f>COUNTIFS(pg_transaction_cleaned!$O:$O,A5453,pg_transaction_cleaned!$F:$F,"REFUND")</f>
        <v>0</v>
      </c>
      <c r="M5453" s="39">
        <f>SUMIFS(pg_transaction_cleaned!$H:$H,pg_transaction_cleaned!$O:$O,A5453,pg_transaction_cleaned!$F:$F,"REFUND")</f>
        <v>0</v>
      </c>
      <c r="N5453" s="23" t="str">
        <f t="shared" si="342"/>
        <v>OK</v>
      </c>
      <c r="O5453" s="24">
        <f t="shared" si="343"/>
        <v>0</v>
      </c>
    </row>
    <row r="5454" spans="1:15" ht="15" customHeight="1" x14ac:dyDescent="0.3">
      <c r="A5454" s="23" t="s">
        <v>11336</v>
      </c>
      <c r="B5454" s="38">
        <v>46270</v>
      </c>
      <c r="C5454" s="23" t="s">
        <v>11337</v>
      </c>
      <c r="D5454" s="23" t="s">
        <v>94</v>
      </c>
      <c r="E5454" s="23" t="s">
        <v>75</v>
      </c>
      <c r="F5454" s="23" t="s">
        <v>1123</v>
      </c>
      <c r="G5454" s="23" t="s">
        <v>250</v>
      </c>
      <c r="H5454" s="39">
        <f t="shared" si="340"/>
        <v>3797</v>
      </c>
      <c r="I5454" s="23" t="str">
        <f t="shared" si="341"/>
        <v>Chennai</v>
      </c>
      <c r="J5454" s="23">
        <f>COUNTIFS(pg_transaction_cleaned!$O:$O,A5454,pg_transaction_cleaned!$F:$F,"CAPTURE")</f>
        <v>1</v>
      </c>
      <c r="K5454" s="39">
        <f>SUMIFS(pg_transaction_cleaned!$H:$H,pg_transaction_cleaned!$O:$O,A5454,pg_transaction_cleaned!$F:$F,"CAPTURE")</f>
        <v>3797</v>
      </c>
      <c r="L5454" s="23">
        <f>COUNTIFS(pg_transaction_cleaned!$O:$O,A5454,pg_transaction_cleaned!$F:$F,"REFUND")</f>
        <v>0</v>
      </c>
      <c r="M5454" s="39">
        <f>SUMIFS(pg_transaction_cleaned!$H:$H,pg_transaction_cleaned!$O:$O,A5454,pg_transaction_cleaned!$F:$F,"REFUND")</f>
        <v>0</v>
      </c>
      <c r="N5454" s="23" t="str">
        <f t="shared" si="342"/>
        <v>OK</v>
      </c>
      <c r="O5454" s="24">
        <f t="shared" si="343"/>
        <v>0</v>
      </c>
    </row>
    <row r="5455" spans="1:15" ht="15" customHeight="1" x14ac:dyDescent="0.3">
      <c r="A5455" s="23" t="s">
        <v>11338</v>
      </c>
      <c r="B5455" s="38">
        <v>46269</v>
      </c>
      <c r="C5455" s="23" t="s">
        <v>11339</v>
      </c>
      <c r="D5455" s="23" t="s">
        <v>87</v>
      </c>
      <c r="E5455" s="23" t="s">
        <v>77</v>
      </c>
      <c r="F5455" s="23" t="s">
        <v>1662</v>
      </c>
      <c r="G5455" s="23" t="s">
        <v>250</v>
      </c>
      <c r="H5455" s="39">
        <f t="shared" si="340"/>
        <v>4397</v>
      </c>
      <c r="I5455" s="23" t="str">
        <f t="shared" si="341"/>
        <v>Mumbai</v>
      </c>
      <c r="J5455" s="23">
        <f>COUNTIFS(pg_transaction_cleaned!$O:$O,A5455,pg_transaction_cleaned!$F:$F,"CAPTURE")</f>
        <v>1</v>
      </c>
      <c r="K5455" s="39">
        <f>SUMIFS(pg_transaction_cleaned!$H:$H,pg_transaction_cleaned!$O:$O,A5455,pg_transaction_cleaned!$F:$F,"CAPTURE")</f>
        <v>4397</v>
      </c>
      <c r="L5455" s="23">
        <f>COUNTIFS(pg_transaction_cleaned!$O:$O,A5455,pg_transaction_cleaned!$F:$F,"REFUND")</f>
        <v>0</v>
      </c>
      <c r="M5455" s="39">
        <f>SUMIFS(pg_transaction_cleaned!$H:$H,pg_transaction_cleaned!$O:$O,A5455,pg_transaction_cleaned!$F:$F,"REFUND")</f>
        <v>0</v>
      </c>
      <c r="N5455" s="23" t="str">
        <f t="shared" si="342"/>
        <v>OK</v>
      </c>
      <c r="O5455" s="24">
        <f t="shared" si="343"/>
        <v>0</v>
      </c>
    </row>
    <row r="5456" spans="1:15" ht="15" customHeight="1" x14ac:dyDescent="0.3">
      <c r="A5456" s="23" t="s">
        <v>11340</v>
      </c>
      <c r="B5456" s="38">
        <v>46267</v>
      </c>
      <c r="C5456" s="23" t="s">
        <v>11341</v>
      </c>
      <c r="D5456" s="23" t="s">
        <v>92</v>
      </c>
      <c r="E5456" s="23" t="s">
        <v>75</v>
      </c>
      <c r="F5456" s="23" t="s">
        <v>475</v>
      </c>
      <c r="G5456" s="23" t="s">
        <v>301</v>
      </c>
      <c r="H5456" s="39">
        <f t="shared" si="340"/>
        <v>799</v>
      </c>
      <c r="I5456" s="23" t="str">
        <f t="shared" si="341"/>
        <v>Hyderabad</v>
      </c>
      <c r="J5456" s="23">
        <f>COUNTIFS(pg_transaction_cleaned!$O:$O,A5456,pg_transaction_cleaned!$F:$F,"CAPTURE")</f>
        <v>1</v>
      </c>
      <c r="K5456" s="39">
        <f>SUMIFS(pg_transaction_cleaned!$H:$H,pg_transaction_cleaned!$O:$O,A5456,pg_transaction_cleaned!$F:$F,"CAPTURE")</f>
        <v>799</v>
      </c>
      <c r="L5456" s="23">
        <f>COUNTIFS(pg_transaction_cleaned!$O:$O,A5456,pg_transaction_cleaned!$F:$F,"REFUND")</f>
        <v>1</v>
      </c>
      <c r="M5456" s="39">
        <f>SUMIFS(pg_transaction_cleaned!$H:$H,pg_transaction_cleaned!$O:$O,A5456,pg_transaction_cleaned!$F:$F,"REFUND")</f>
        <v>799</v>
      </c>
      <c r="N5456" s="23" t="str">
        <f t="shared" si="342"/>
        <v>OK</v>
      </c>
      <c r="O5456" s="24">
        <f t="shared" si="343"/>
        <v>0</v>
      </c>
    </row>
    <row r="5457" spans="1:15" ht="15" customHeight="1" x14ac:dyDescent="0.3">
      <c r="A5457" s="23" t="s">
        <v>11342</v>
      </c>
      <c r="B5457" s="38">
        <v>46277</v>
      </c>
      <c r="C5457" s="23" t="s">
        <v>11343</v>
      </c>
      <c r="D5457" s="23" t="s">
        <v>93</v>
      </c>
      <c r="E5457" s="23" t="s">
        <v>77</v>
      </c>
      <c r="F5457" s="23" t="s">
        <v>271</v>
      </c>
      <c r="G5457" s="23" t="s">
        <v>301</v>
      </c>
      <c r="H5457" s="39">
        <f t="shared" si="340"/>
        <v>2499</v>
      </c>
      <c r="I5457" s="23" t="str">
        <f t="shared" si="341"/>
        <v>Kolkata</v>
      </c>
      <c r="J5457" s="23">
        <f>COUNTIFS(pg_transaction_cleaned!$O:$O,A5457,pg_transaction_cleaned!$F:$F,"CAPTURE")</f>
        <v>1</v>
      </c>
      <c r="K5457" s="39">
        <f>SUMIFS(pg_transaction_cleaned!$H:$H,pg_transaction_cleaned!$O:$O,A5457,pg_transaction_cleaned!$F:$F,"CAPTURE")</f>
        <v>2499</v>
      </c>
      <c r="L5457" s="23">
        <f>COUNTIFS(pg_transaction_cleaned!$O:$O,A5457,pg_transaction_cleaned!$F:$F,"REFUND")</f>
        <v>1</v>
      </c>
      <c r="M5457" s="39">
        <f>SUMIFS(pg_transaction_cleaned!$H:$H,pg_transaction_cleaned!$O:$O,A5457,pg_transaction_cleaned!$F:$F,"REFUND")</f>
        <v>2499</v>
      </c>
      <c r="N5457" s="23" t="str">
        <f t="shared" si="342"/>
        <v>OK</v>
      </c>
      <c r="O5457" s="24">
        <f t="shared" si="343"/>
        <v>0</v>
      </c>
    </row>
    <row r="5458" spans="1:15" ht="15" customHeight="1" x14ac:dyDescent="0.3">
      <c r="A5458" s="23" t="s">
        <v>11344</v>
      </c>
      <c r="B5458" s="38">
        <v>46291</v>
      </c>
      <c r="C5458" s="23" t="s">
        <v>11345</v>
      </c>
      <c r="D5458" s="23" t="s">
        <v>95</v>
      </c>
      <c r="E5458" s="23" t="s">
        <v>79</v>
      </c>
      <c r="F5458" s="23" t="s">
        <v>274</v>
      </c>
      <c r="G5458" s="23" t="s">
        <v>250</v>
      </c>
      <c r="H5458" s="39">
        <f t="shared" si="340"/>
        <v>349</v>
      </c>
      <c r="I5458" s="23" t="str">
        <f t="shared" si="341"/>
        <v>Bengaluru</v>
      </c>
      <c r="J5458" s="23">
        <f>COUNTIFS(pg_transaction_cleaned!$O:$O,A5458,pg_transaction_cleaned!$F:$F,"CAPTURE")</f>
        <v>1</v>
      </c>
      <c r="K5458" s="39">
        <f>SUMIFS(pg_transaction_cleaned!$H:$H,pg_transaction_cleaned!$O:$O,A5458,pg_transaction_cleaned!$F:$F,"CAPTURE")</f>
        <v>349</v>
      </c>
      <c r="L5458" s="23">
        <f>COUNTIFS(pg_transaction_cleaned!$O:$O,A5458,pg_transaction_cleaned!$F:$F,"REFUND")</f>
        <v>0</v>
      </c>
      <c r="M5458" s="39">
        <f>SUMIFS(pg_transaction_cleaned!$H:$H,pg_transaction_cleaned!$O:$O,A5458,pg_transaction_cleaned!$F:$F,"REFUND")</f>
        <v>0</v>
      </c>
      <c r="N5458" s="23" t="str">
        <f t="shared" si="342"/>
        <v>OK</v>
      </c>
      <c r="O5458" s="24">
        <f t="shared" si="343"/>
        <v>0</v>
      </c>
    </row>
    <row r="5459" spans="1:15" ht="15" customHeight="1" x14ac:dyDescent="0.3">
      <c r="A5459" s="23" t="s">
        <v>11346</v>
      </c>
      <c r="B5459" s="38">
        <v>46272</v>
      </c>
      <c r="C5459" s="23" t="s">
        <v>11347</v>
      </c>
      <c r="D5459" s="23" t="s">
        <v>93</v>
      </c>
      <c r="E5459" s="23" t="s">
        <v>79</v>
      </c>
      <c r="F5459" s="23" t="s">
        <v>297</v>
      </c>
      <c r="G5459" s="23" t="s">
        <v>301</v>
      </c>
      <c r="H5459" s="39">
        <f t="shared" si="340"/>
        <v>4999</v>
      </c>
      <c r="I5459" s="23" t="str">
        <f t="shared" si="341"/>
        <v>Kolkata</v>
      </c>
      <c r="J5459" s="23">
        <f>COUNTIFS(pg_transaction_cleaned!$O:$O,A5459,pg_transaction_cleaned!$F:$F,"CAPTURE")</f>
        <v>1</v>
      </c>
      <c r="K5459" s="39">
        <f>SUMIFS(pg_transaction_cleaned!$H:$H,pg_transaction_cleaned!$O:$O,A5459,pg_transaction_cleaned!$F:$F,"CAPTURE")</f>
        <v>4999</v>
      </c>
      <c r="L5459" s="23">
        <f>COUNTIFS(pg_transaction_cleaned!$O:$O,A5459,pg_transaction_cleaned!$F:$F,"REFUND")</f>
        <v>1</v>
      </c>
      <c r="M5459" s="39">
        <f>SUMIFS(pg_transaction_cleaned!$H:$H,pg_transaction_cleaned!$O:$O,A5459,pg_transaction_cleaned!$F:$F,"REFUND")</f>
        <v>4999</v>
      </c>
      <c r="N5459" s="23" t="str">
        <f t="shared" si="342"/>
        <v>OK</v>
      </c>
      <c r="O5459" s="24">
        <f t="shared" si="343"/>
        <v>0</v>
      </c>
    </row>
    <row r="5460" spans="1:15" ht="15" customHeight="1" x14ac:dyDescent="0.3">
      <c r="A5460" s="23" t="s">
        <v>11348</v>
      </c>
      <c r="B5460" s="38">
        <v>46282</v>
      </c>
      <c r="C5460" s="23" t="s">
        <v>11349</v>
      </c>
      <c r="D5460" s="23" t="s">
        <v>92</v>
      </c>
      <c r="E5460" s="23" t="s">
        <v>79</v>
      </c>
      <c r="F5460" s="23" t="s">
        <v>294</v>
      </c>
      <c r="G5460" s="23" t="s">
        <v>250</v>
      </c>
      <c r="H5460" s="39">
        <f t="shared" si="340"/>
        <v>1799</v>
      </c>
      <c r="I5460" s="23" t="str">
        <f t="shared" si="341"/>
        <v>Hyderabad</v>
      </c>
      <c r="J5460" s="23">
        <f>COUNTIFS(pg_transaction_cleaned!$O:$O,A5460,pg_transaction_cleaned!$F:$F,"CAPTURE")</f>
        <v>1</v>
      </c>
      <c r="K5460" s="39">
        <f>SUMIFS(pg_transaction_cleaned!$H:$H,pg_transaction_cleaned!$O:$O,A5460,pg_transaction_cleaned!$F:$F,"CAPTURE")</f>
        <v>1799</v>
      </c>
      <c r="L5460" s="23">
        <f>COUNTIFS(pg_transaction_cleaned!$O:$O,A5460,pg_transaction_cleaned!$F:$F,"REFUND")</f>
        <v>0</v>
      </c>
      <c r="M5460" s="39">
        <f>SUMIFS(pg_transaction_cleaned!$H:$H,pg_transaction_cleaned!$O:$O,A5460,pg_transaction_cleaned!$F:$F,"REFUND")</f>
        <v>0</v>
      </c>
      <c r="N5460" s="23" t="str">
        <f t="shared" si="342"/>
        <v>OK</v>
      </c>
      <c r="O5460" s="24">
        <f t="shared" si="343"/>
        <v>0</v>
      </c>
    </row>
    <row r="5461" spans="1:15" ht="15" customHeight="1" x14ac:dyDescent="0.3">
      <c r="A5461" s="23" t="s">
        <v>11350</v>
      </c>
      <c r="B5461" s="38">
        <v>46291</v>
      </c>
      <c r="C5461" s="23" t="s">
        <v>11351</v>
      </c>
      <c r="D5461" s="23" t="s">
        <v>92</v>
      </c>
      <c r="E5461" s="23" t="s">
        <v>79</v>
      </c>
      <c r="F5461" s="23" t="s">
        <v>2859</v>
      </c>
      <c r="G5461" s="23" t="s">
        <v>250</v>
      </c>
      <c r="H5461" s="39">
        <f t="shared" si="340"/>
        <v>3147</v>
      </c>
      <c r="I5461" s="23" t="str">
        <f t="shared" si="341"/>
        <v>Hyderabad</v>
      </c>
      <c r="J5461" s="23">
        <f>COUNTIFS(pg_transaction_cleaned!$O:$O,A5461,pg_transaction_cleaned!$F:$F,"CAPTURE")</f>
        <v>1</v>
      </c>
      <c r="K5461" s="39">
        <f>SUMIFS(pg_transaction_cleaned!$H:$H,pg_transaction_cleaned!$O:$O,A5461,pg_transaction_cleaned!$F:$F,"CAPTURE")</f>
        <v>3147</v>
      </c>
      <c r="L5461" s="23">
        <f>COUNTIFS(pg_transaction_cleaned!$O:$O,A5461,pg_transaction_cleaned!$F:$F,"REFUND")</f>
        <v>0</v>
      </c>
      <c r="M5461" s="39">
        <f>SUMIFS(pg_transaction_cleaned!$H:$H,pg_transaction_cleaned!$O:$O,A5461,pg_transaction_cleaned!$F:$F,"REFUND")</f>
        <v>0</v>
      </c>
      <c r="N5461" s="23" t="str">
        <f t="shared" si="342"/>
        <v>OK</v>
      </c>
      <c r="O5461" s="24">
        <f t="shared" si="343"/>
        <v>0</v>
      </c>
    </row>
    <row r="5462" spans="1:15" ht="15" customHeight="1" x14ac:dyDescent="0.3">
      <c r="A5462" s="23" t="s">
        <v>11352</v>
      </c>
      <c r="B5462" s="38">
        <v>46272</v>
      </c>
      <c r="C5462" s="23" t="s">
        <v>11353</v>
      </c>
      <c r="D5462" s="23" t="s">
        <v>90</v>
      </c>
      <c r="E5462" s="23" t="s">
        <v>77</v>
      </c>
      <c r="F5462" s="23" t="s">
        <v>315</v>
      </c>
      <c r="G5462" s="23" t="s">
        <v>250</v>
      </c>
      <c r="H5462" s="39">
        <f t="shared" si="340"/>
        <v>1499</v>
      </c>
      <c r="I5462" s="23" t="str">
        <f t="shared" si="341"/>
        <v>Ahmedabad</v>
      </c>
      <c r="J5462" s="23">
        <f>COUNTIFS(pg_transaction_cleaned!$O:$O,A5462,pg_transaction_cleaned!$F:$F,"CAPTURE")</f>
        <v>1</v>
      </c>
      <c r="K5462" s="39">
        <f>SUMIFS(pg_transaction_cleaned!$H:$H,pg_transaction_cleaned!$O:$O,A5462,pg_transaction_cleaned!$F:$F,"CAPTURE")</f>
        <v>1499</v>
      </c>
      <c r="L5462" s="23">
        <f>COUNTIFS(pg_transaction_cleaned!$O:$O,A5462,pg_transaction_cleaned!$F:$F,"REFUND")</f>
        <v>0</v>
      </c>
      <c r="M5462" s="39">
        <f>SUMIFS(pg_transaction_cleaned!$H:$H,pg_transaction_cleaned!$O:$O,A5462,pg_transaction_cleaned!$F:$F,"REFUND")</f>
        <v>0</v>
      </c>
      <c r="N5462" s="23" t="str">
        <f t="shared" si="342"/>
        <v>OK</v>
      </c>
      <c r="O5462" s="24">
        <f t="shared" si="343"/>
        <v>0</v>
      </c>
    </row>
    <row r="5463" spans="1:15" ht="15" customHeight="1" x14ac:dyDescent="0.3">
      <c r="A5463" s="23" t="s">
        <v>11354</v>
      </c>
      <c r="B5463" s="38">
        <v>46283</v>
      </c>
      <c r="C5463" s="23" t="s">
        <v>11355</v>
      </c>
      <c r="D5463" s="23"/>
      <c r="E5463" s="23" t="s">
        <v>79</v>
      </c>
      <c r="F5463" s="23" t="s">
        <v>297</v>
      </c>
      <c r="G5463" s="23" t="s">
        <v>250</v>
      </c>
      <c r="H5463" s="39">
        <f t="shared" si="340"/>
        <v>4999</v>
      </c>
      <c r="I5463" s="23" t="str">
        <f t="shared" si="341"/>
        <v>Unknown</v>
      </c>
      <c r="J5463" s="23">
        <f>COUNTIFS(pg_transaction_cleaned!$O:$O,A5463,pg_transaction_cleaned!$F:$F,"CAPTURE")</f>
        <v>1</v>
      </c>
      <c r="K5463" s="39">
        <f>SUMIFS(pg_transaction_cleaned!$H:$H,pg_transaction_cleaned!$O:$O,A5463,pg_transaction_cleaned!$F:$F,"CAPTURE")</f>
        <v>4999</v>
      </c>
      <c r="L5463" s="23">
        <f>COUNTIFS(pg_transaction_cleaned!$O:$O,A5463,pg_transaction_cleaned!$F:$F,"REFUND")</f>
        <v>0</v>
      </c>
      <c r="M5463" s="39">
        <f>SUMIFS(pg_transaction_cleaned!$H:$H,pg_transaction_cleaned!$O:$O,A5463,pg_transaction_cleaned!$F:$F,"REFUND")</f>
        <v>0</v>
      </c>
      <c r="N5463" s="23" t="str">
        <f t="shared" si="342"/>
        <v>OK</v>
      </c>
      <c r="O5463" s="24">
        <f t="shared" si="343"/>
        <v>0</v>
      </c>
    </row>
    <row r="5464" spans="1:15" ht="15" customHeight="1" x14ac:dyDescent="0.3">
      <c r="A5464" s="23" t="s">
        <v>11356</v>
      </c>
      <c r="B5464" s="38">
        <v>46284</v>
      </c>
      <c r="C5464" s="23" t="s">
        <v>11357</v>
      </c>
      <c r="D5464" s="23" t="s">
        <v>88</v>
      </c>
      <c r="E5464" s="23" t="s">
        <v>75</v>
      </c>
      <c r="F5464" s="23" t="s">
        <v>329</v>
      </c>
      <c r="G5464" s="23" t="s">
        <v>250</v>
      </c>
      <c r="H5464" s="39">
        <f t="shared" si="340"/>
        <v>599</v>
      </c>
      <c r="I5464" s="23" t="str">
        <f t="shared" si="341"/>
        <v>Lucknow</v>
      </c>
      <c r="J5464" s="23">
        <f>COUNTIFS(pg_transaction_cleaned!$O:$O,A5464,pg_transaction_cleaned!$F:$F,"CAPTURE")</f>
        <v>1</v>
      </c>
      <c r="K5464" s="39">
        <f>SUMIFS(pg_transaction_cleaned!$H:$H,pg_transaction_cleaned!$O:$O,A5464,pg_transaction_cleaned!$F:$F,"CAPTURE")</f>
        <v>599</v>
      </c>
      <c r="L5464" s="23">
        <f>COUNTIFS(pg_transaction_cleaned!$O:$O,A5464,pg_transaction_cleaned!$F:$F,"REFUND")</f>
        <v>0</v>
      </c>
      <c r="M5464" s="39">
        <f>SUMIFS(pg_transaction_cleaned!$H:$H,pg_transaction_cleaned!$O:$O,A5464,pg_transaction_cleaned!$F:$F,"REFUND")</f>
        <v>0</v>
      </c>
      <c r="N5464" s="23" t="str">
        <f t="shared" si="342"/>
        <v>OK</v>
      </c>
      <c r="O5464" s="24">
        <f t="shared" si="343"/>
        <v>0</v>
      </c>
    </row>
    <row r="5465" spans="1:15" ht="15" customHeight="1" x14ac:dyDescent="0.3">
      <c r="A5465" s="23" t="s">
        <v>11358</v>
      </c>
      <c r="B5465" s="38">
        <v>46287</v>
      </c>
      <c r="C5465" s="23" t="s">
        <v>11359</v>
      </c>
      <c r="D5465" s="23" t="s">
        <v>89</v>
      </c>
      <c r="E5465" s="23" t="s">
        <v>79</v>
      </c>
      <c r="F5465" s="23" t="s">
        <v>310</v>
      </c>
      <c r="G5465" s="23" t="s">
        <v>250</v>
      </c>
      <c r="H5465" s="39">
        <f t="shared" si="340"/>
        <v>7999</v>
      </c>
      <c r="I5465" s="23" t="str">
        <f t="shared" si="341"/>
        <v>Jaipur</v>
      </c>
      <c r="J5465" s="23">
        <f>COUNTIFS(pg_transaction_cleaned!$O:$O,A5465,pg_transaction_cleaned!$F:$F,"CAPTURE")</f>
        <v>1</v>
      </c>
      <c r="K5465" s="39">
        <f>SUMIFS(pg_transaction_cleaned!$H:$H,pg_transaction_cleaned!$O:$O,A5465,pg_transaction_cleaned!$F:$F,"CAPTURE")</f>
        <v>7999</v>
      </c>
      <c r="L5465" s="23">
        <f>COUNTIFS(pg_transaction_cleaned!$O:$O,A5465,pg_transaction_cleaned!$F:$F,"REFUND")</f>
        <v>0</v>
      </c>
      <c r="M5465" s="39">
        <f>SUMIFS(pg_transaction_cleaned!$H:$H,pg_transaction_cleaned!$O:$O,A5465,pg_transaction_cleaned!$F:$F,"REFUND")</f>
        <v>0</v>
      </c>
      <c r="N5465" s="23" t="str">
        <f t="shared" si="342"/>
        <v>OK</v>
      </c>
      <c r="O5465" s="24">
        <f t="shared" si="343"/>
        <v>0</v>
      </c>
    </row>
    <row r="5466" spans="1:15" ht="15" customHeight="1" x14ac:dyDescent="0.3">
      <c r="A5466" s="23" t="s">
        <v>11360</v>
      </c>
      <c r="B5466" s="38">
        <v>46284</v>
      </c>
      <c r="C5466" s="23" t="s">
        <v>11361</v>
      </c>
      <c r="D5466" s="23" t="s">
        <v>87</v>
      </c>
      <c r="E5466" s="23" t="s">
        <v>79</v>
      </c>
      <c r="F5466" s="23" t="s">
        <v>567</v>
      </c>
      <c r="G5466" s="23" t="s">
        <v>250</v>
      </c>
      <c r="H5466" s="39">
        <f t="shared" si="340"/>
        <v>3598</v>
      </c>
      <c r="I5466" s="23" t="str">
        <f t="shared" si="341"/>
        <v>Mumbai</v>
      </c>
      <c r="J5466" s="23">
        <f>COUNTIFS(pg_transaction_cleaned!$O:$O,A5466,pg_transaction_cleaned!$F:$F,"CAPTURE")</f>
        <v>1</v>
      </c>
      <c r="K5466" s="39">
        <f>SUMIFS(pg_transaction_cleaned!$H:$H,pg_transaction_cleaned!$O:$O,A5466,pg_transaction_cleaned!$F:$F,"CAPTURE")</f>
        <v>3598</v>
      </c>
      <c r="L5466" s="23">
        <f>COUNTIFS(pg_transaction_cleaned!$O:$O,A5466,pg_transaction_cleaned!$F:$F,"REFUND")</f>
        <v>0</v>
      </c>
      <c r="M5466" s="39">
        <f>SUMIFS(pg_transaction_cleaned!$H:$H,pg_transaction_cleaned!$O:$O,A5466,pg_transaction_cleaned!$F:$F,"REFUND")</f>
        <v>0</v>
      </c>
      <c r="N5466" s="23" t="str">
        <f t="shared" si="342"/>
        <v>OK</v>
      </c>
      <c r="O5466" s="24">
        <f t="shared" si="343"/>
        <v>0</v>
      </c>
    </row>
    <row r="5467" spans="1:15" ht="15" customHeight="1" x14ac:dyDescent="0.3">
      <c r="A5467" s="23" t="s">
        <v>11362</v>
      </c>
      <c r="B5467" s="38">
        <v>46277</v>
      </c>
      <c r="C5467" s="23" t="s">
        <v>11363</v>
      </c>
      <c r="D5467" s="23" t="s">
        <v>91</v>
      </c>
      <c r="E5467" s="23" t="s">
        <v>75</v>
      </c>
      <c r="F5467" s="23" t="s">
        <v>297</v>
      </c>
      <c r="G5467" s="23" t="s">
        <v>250</v>
      </c>
      <c r="H5467" s="39">
        <f t="shared" si="340"/>
        <v>4999</v>
      </c>
      <c r="I5467" s="23" t="str">
        <f t="shared" si="341"/>
        <v>Pune</v>
      </c>
      <c r="J5467" s="23">
        <f>COUNTIFS(pg_transaction_cleaned!$O:$O,A5467,pg_transaction_cleaned!$F:$F,"CAPTURE")</f>
        <v>1</v>
      </c>
      <c r="K5467" s="39">
        <f>SUMIFS(pg_transaction_cleaned!$H:$H,pg_transaction_cleaned!$O:$O,A5467,pg_transaction_cleaned!$F:$F,"CAPTURE")</f>
        <v>4999</v>
      </c>
      <c r="L5467" s="23">
        <f>COUNTIFS(pg_transaction_cleaned!$O:$O,A5467,pg_transaction_cleaned!$F:$F,"REFUND")</f>
        <v>0</v>
      </c>
      <c r="M5467" s="39">
        <f>SUMIFS(pg_transaction_cleaned!$H:$H,pg_transaction_cleaned!$O:$O,A5467,pg_transaction_cleaned!$F:$F,"REFUND")</f>
        <v>0</v>
      </c>
      <c r="N5467" s="23" t="str">
        <f t="shared" si="342"/>
        <v>OK</v>
      </c>
      <c r="O5467" s="24">
        <f t="shared" si="343"/>
        <v>0</v>
      </c>
    </row>
    <row r="5468" spans="1:15" ht="15" customHeight="1" x14ac:dyDescent="0.3">
      <c r="A5468" s="23" t="s">
        <v>11364</v>
      </c>
      <c r="B5468" s="38">
        <v>46269</v>
      </c>
      <c r="C5468" s="23" t="s">
        <v>11365</v>
      </c>
      <c r="D5468" s="23" t="s">
        <v>92</v>
      </c>
      <c r="E5468" s="23" t="s">
        <v>75</v>
      </c>
      <c r="F5468" s="23" t="s">
        <v>310</v>
      </c>
      <c r="G5468" s="23" t="s">
        <v>250</v>
      </c>
      <c r="H5468" s="39">
        <f t="shared" si="340"/>
        <v>7999</v>
      </c>
      <c r="I5468" s="23" t="str">
        <f t="shared" si="341"/>
        <v>Hyderabad</v>
      </c>
      <c r="J5468" s="23">
        <f>COUNTIFS(pg_transaction_cleaned!$O:$O,A5468,pg_transaction_cleaned!$F:$F,"CAPTURE")</f>
        <v>1</v>
      </c>
      <c r="K5468" s="39">
        <f>SUMIFS(pg_transaction_cleaned!$H:$H,pg_transaction_cleaned!$O:$O,A5468,pg_transaction_cleaned!$F:$F,"CAPTURE")</f>
        <v>7999</v>
      </c>
      <c r="L5468" s="23">
        <f>COUNTIFS(pg_transaction_cleaned!$O:$O,A5468,pg_transaction_cleaned!$F:$F,"REFUND")</f>
        <v>0</v>
      </c>
      <c r="M5468" s="39">
        <f>SUMIFS(pg_transaction_cleaned!$H:$H,pg_transaction_cleaned!$O:$O,A5468,pg_transaction_cleaned!$F:$F,"REFUND")</f>
        <v>0</v>
      </c>
      <c r="N5468" s="23" t="str">
        <f t="shared" si="342"/>
        <v>OK</v>
      </c>
      <c r="O5468" s="24">
        <f t="shared" si="343"/>
        <v>0</v>
      </c>
    </row>
    <row r="5469" spans="1:15" ht="15" customHeight="1" x14ac:dyDescent="0.3">
      <c r="A5469" s="23" t="s">
        <v>11366</v>
      </c>
      <c r="B5469" s="38">
        <v>46267</v>
      </c>
      <c r="C5469" s="23" t="s">
        <v>11367</v>
      </c>
      <c r="D5469" s="23" t="s">
        <v>95</v>
      </c>
      <c r="E5469" s="23" t="s">
        <v>79</v>
      </c>
      <c r="F5469" s="23" t="s">
        <v>271</v>
      </c>
      <c r="G5469" s="23" t="s">
        <v>250</v>
      </c>
      <c r="H5469" s="39">
        <f t="shared" si="340"/>
        <v>2499</v>
      </c>
      <c r="I5469" s="23" t="str">
        <f t="shared" si="341"/>
        <v>Bengaluru</v>
      </c>
      <c r="J5469" s="23">
        <f>COUNTIFS(pg_transaction_cleaned!$O:$O,A5469,pg_transaction_cleaned!$F:$F,"CAPTURE")</f>
        <v>1</v>
      </c>
      <c r="K5469" s="39">
        <f>SUMIFS(pg_transaction_cleaned!$H:$H,pg_transaction_cleaned!$O:$O,A5469,pg_transaction_cleaned!$F:$F,"CAPTURE")</f>
        <v>2499</v>
      </c>
      <c r="L5469" s="23">
        <f>COUNTIFS(pg_transaction_cleaned!$O:$O,A5469,pg_transaction_cleaned!$F:$F,"REFUND")</f>
        <v>0</v>
      </c>
      <c r="M5469" s="39">
        <f>SUMIFS(pg_transaction_cleaned!$H:$H,pg_transaction_cleaned!$O:$O,A5469,pg_transaction_cleaned!$F:$F,"REFUND")</f>
        <v>0</v>
      </c>
      <c r="N5469" s="23" t="str">
        <f t="shared" si="342"/>
        <v>OK</v>
      </c>
      <c r="O5469" s="24">
        <f t="shared" si="343"/>
        <v>0</v>
      </c>
    </row>
    <row r="5470" spans="1:15" ht="15" customHeight="1" x14ac:dyDescent="0.3">
      <c r="A5470" s="23" t="s">
        <v>11368</v>
      </c>
      <c r="B5470" s="38">
        <v>46284</v>
      </c>
      <c r="C5470" s="23" t="s">
        <v>11369</v>
      </c>
      <c r="D5470" s="23" t="s">
        <v>95</v>
      </c>
      <c r="E5470" s="23" t="s">
        <v>75</v>
      </c>
      <c r="F5470" s="23" t="s">
        <v>256</v>
      </c>
      <c r="G5470" s="23" t="s">
        <v>250</v>
      </c>
      <c r="H5470" s="39">
        <f t="shared" si="340"/>
        <v>2098</v>
      </c>
      <c r="I5470" s="23" t="str">
        <f t="shared" si="341"/>
        <v>Bengaluru</v>
      </c>
      <c r="J5470" s="23">
        <f>COUNTIFS(pg_transaction_cleaned!$O:$O,A5470,pg_transaction_cleaned!$F:$F,"CAPTURE")</f>
        <v>1</v>
      </c>
      <c r="K5470" s="39">
        <f>SUMIFS(pg_transaction_cleaned!$H:$H,pg_transaction_cleaned!$O:$O,A5470,pg_transaction_cleaned!$F:$F,"CAPTURE")</f>
        <v>2098</v>
      </c>
      <c r="L5470" s="23">
        <f>COUNTIFS(pg_transaction_cleaned!$O:$O,A5470,pg_transaction_cleaned!$F:$F,"REFUND")</f>
        <v>0</v>
      </c>
      <c r="M5470" s="39">
        <f>SUMIFS(pg_transaction_cleaned!$H:$H,pg_transaction_cleaned!$O:$O,A5470,pg_transaction_cleaned!$F:$F,"REFUND")</f>
        <v>0</v>
      </c>
      <c r="N5470" s="23" t="str">
        <f t="shared" si="342"/>
        <v>OK</v>
      </c>
      <c r="O5470" s="24">
        <f t="shared" si="343"/>
        <v>0</v>
      </c>
    </row>
    <row r="5471" spans="1:15" ht="15" customHeight="1" x14ac:dyDescent="0.3">
      <c r="A5471" s="23" t="s">
        <v>11370</v>
      </c>
      <c r="B5471" s="38">
        <v>46283</v>
      </c>
      <c r="C5471" s="23" t="s">
        <v>11371</v>
      </c>
      <c r="D5471" s="23" t="s">
        <v>89</v>
      </c>
      <c r="E5471" s="23" t="s">
        <v>77</v>
      </c>
      <c r="F5471" s="23" t="s">
        <v>346</v>
      </c>
      <c r="G5471" s="23" t="s">
        <v>250</v>
      </c>
      <c r="H5471" s="39">
        <f t="shared" si="340"/>
        <v>4498</v>
      </c>
      <c r="I5471" s="23" t="str">
        <f t="shared" si="341"/>
        <v>Jaipur</v>
      </c>
      <c r="J5471" s="23">
        <f>COUNTIFS(pg_transaction_cleaned!$O:$O,A5471,pg_transaction_cleaned!$F:$F,"CAPTURE")</f>
        <v>1</v>
      </c>
      <c r="K5471" s="39">
        <f>SUMIFS(pg_transaction_cleaned!$H:$H,pg_transaction_cleaned!$O:$O,A5471,pg_transaction_cleaned!$F:$F,"CAPTURE")</f>
        <v>4498</v>
      </c>
      <c r="L5471" s="23">
        <f>COUNTIFS(pg_transaction_cleaned!$O:$O,A5471,pg_transaction_cleaned!$F:$F,"REFUND")</f>
        <v>0</v>
      </c>
      <c r="M5471" s="39">
        <f>SUMIFS(pg_transaction_cleaned!$H:$H,pg_transaction_cleaned!$O:$O,A5471,pg_transaction_cleaned!$F:$F,"REFUND")</f>
        <v>0</v>
      </c>
      <c r="N5471" s="23" t="str">
        <f t="shared" si="342"/>
        <v>OK</v>
      </c>
      <c r="O5471" s="24">
        <f t="shared" si="343"/>
        <v>0</v>
      </c>
    </row>
    <row r="5472" spans="1:15" ht="15" customHeight="1" x14ac:dyDescent="0.3">
      <c r="A5472" s="23" t="s">
        <v>11372</v>
      </c>
      <c r="B5472" s="38">
        <v>46283</v>
      </c>
      <c r="C5472" s="23" t="s">
        <v>11373</v>
      </c>
      <c r="D5472" s="23" t="s">
        <v>89</v>
      </c>
      <c r="E5472" s="23" t="s">
        <v>77</v>
      </c>
      <c r="F5472" s="23" t="s">
        <v>963</v>
      </c>
      <c r="G5472" s="23" t="s">
        <v>250</v>
      </c>
      <c r="H5472" s="39">
        <f t="shared" si="340"/>
        <v>2398</v>
      </c>
      <c r="I5472" s="23" t="str">
        <f t="shared" si="341"/>
        <v>Jaipur</v>
      </c>
      <c r="J5472" s="23">
        <f>COUNTIFS(pg_transaction_cleaned!$O:$O,A5472,pg_transaction_cleaned!$F:$F,"CAPTURE")</f>
        <v>1</v>
      </c>
      <c r="K5472" s="39">
        <f>SUMIFS(pg_transaction_cleaned!$H:$H,pg_transaction_cleaned!$O:$O,A5472,pg_transaction_cleaned!$F:$F,"CAPTURE")</f>
        <v>2398</v>
      </c>
      <c r="L5472" s="23">
        <f>COUNTIFS(pg_transaction_cleaned!$O:$O,A5472,pg_transaction_cleaned!$F:$F,"REFUND")</f>
        <v>0</v>
      </c>
      <c r="M5472" s="39">
        <f>SUMIFS(pg_transaction_cleaned!$H:$H,pg_transaction_cleaned!$O:$O,A5472,pg_transaction_cleaned!$F:$F,"REFUND")</f>
        <v>0</v>
      </c>
      <c r="N5472" s="23" t="str">
        <f t="shared" si="342"/>
        <v>OK</v>
      </c>
      <c r="O5472" s="24">
        <f t="shared" si="343"/>
        <v>0</v>
      </c>
    </row>
    <row r="5473" spans="1:15" ht="15" customHeight="1" x14ac:dyDescent="0.3">
      <c r="A5473" s="23" t="s">
        <v>11374</v>
      </c>
      <c r="B5473" s="38">
        <v>46269</v>
      </c>
      <c r="C5473" s="23" t="s">
        <v>11375</v>
      </c>
      <c r="D5473" s="23" t="s">
        <v>86</v>
      </c>
      <c r="E5473" s="23" t="s">
        <v>75</v>
      </c>
      <c r="F5473" s="23" t="s">
        <v>514</v>
      </c>
      <c r="G5473" s="23" t="s">
        <v>250</v>
      </c>
      <c r="H5473" s="39">
        <f t="shared" si="340"/>
        <v>6498</v>
      </c>
      <c r="I5473" s="23" t="str">
        <f t="shared" si="341"/>
        <v>Delhi</v>
      </c>
      <c r="J5473" s="23">
        <f>COUNTIFS(pg_transaction_cleaned!$O:$O,A5473,pg_transaction_cleaned!$F:$F,"CAPTURE")</f>
        <v>1</v>
      </c>
      <c r="K5473" s="39">
        <f>SUMIFS(pg_transaction_cleaned!$H:$H,pg_transaction_cleaned!$O:$O,A5473,pg_transaction_cleaned!$F:$F,"CAPTURE")</f>
        <v>6498</v>
      </c>
      <c r="L5473" s="23">
        <f>COUNTIFS(pg_transaction_cleaned!$O:$O,A5473,pg_transaction_cleaned!$F:$F,"REFUND")</f>
        <v>0</v>
      </c>
      <c r="M5473" s="39">
        <f>SUMIFS(pg_transaction_cleaned!$H:$H,pg_transaction_cleaned!$O:$O,A5473,pg_transaction_cleaned!$F:$F,"REFUND")</f>
        <v>0</v>
      </c>
      <c r="N5473" s="23" t="str">
        <f t="shared" si="342"/>
        <v>OK</v>
      </c>
      <c r="O5473" s="24">
        <f t="shared" si="343"/>
        <v>0</v>
      </c>
    </row>
    <row r="5474" spans="1:15" ht="15" customHeight="1" x14ac:dyDescent="0.3">
      <c r="A5474" s="23" t="s">
        <v>11376</v>
      </c>
      <c r="B5474" s="38">
        <v>46289</v>
      </c>
      <c r="C5474" s="23" t="s">
        <v>11377</v>
      </c>
      <c r="D5474" s="23" t="s">
        <v>86</v>
      </c>
      <c r="E5474" s="23" t="s">
        <v>75</v>
      </c>
      <c r="F5474" s="23" t="s">
        <v>294</v>
      </c>
      <c r="G5474" s="23" t="s">
        <v>250</v>
      </c>
      <c r="H5474" s="39">
        <f t="shared" si="340"/>
        <v>1799</v>
      </c>
      <c r="I5474" s="23" t="str">
        <f t="shared" si="341"/>
        <v>Delhi</v>
      </c>
      <c r="J5474" s="23">
        <f>COUNTIFS(pg_transaction_cleaned!$O:$O,A5474,pg_transaction_cleaned!$F:$F,"CAPTURE")</f>
        <v>1</v>
      </c>
      <c r="K5474" s="39">
        <f>SUMIFS(pg_transaction_cleaned!$H:$H,pg_transaction_cleaned!$O:$O,A5474,pg_transaction_cleaned!$F:$F,"CAPTURE")</f>
        <v>1799</v>
      </c>
      <c r="L5474" s="23">
        <f>COUNTIFS(pg_transaction_cleaned!$O:$O,A5474,pg_transaction_cleaned!$F:$F,"REFUND")</f>
        <v>0</v>
      </c>
      <c r="M5474" s="39">
        <f>SUMIFS(pg_transaction_cleaned!$H:$H,pg_transaction_cleaned!$O:$O,A5474,pg_transaction_cleaned!$F:$F,"REFUND")</f>
        <v>0</v>
      </c>
      <c r="N5474" s="23" t="str">
        <f t="shared" si="342"/>
        <v>OK</v>
      </c>
      <c r="O5474" s="24">
        <f t="shared" si="343"/>
        <v>0</v>
      </c>
    </row>
    <row r="5475" spans="1:15" ht="15" customHeight="1" x14ac:dyDescent="0.3">
      <c r="A5475" s="23" t="s">
        <v>11378</v>
      </c>
      <c r="B5475" s="38">
        <v>46275</v>
      </c>
      <c r="C5475" s="23" t="s">
        <v>8760</v>
      </c>
      <c r="D5475" s="23" t="s">
        <v>92</v>
      </c>
      <c r="E5475" s="23" t="s">
        <v>75</v>
      </c>
      <c r="F5475" s="23" t="s">
        <v>1596</v>
      </c>
      <c r="G5475" s="23" t="s">
        <v>250</v>
      </c>
      <c r="H5475" s="39">
        <f t="shared" si="340"/>
        <v>3499</v>
      </c>
      <c r="I5475" s="23" t="str">
        <f t="shared" si="341"/>
        <v>Hyderabad</v>
      </c>
      <c r="J5475" s="23">
        <f>COUNTIFS(pg_transaction_cleaned!$O:$O,A5475,pg_transaction_cleaned!$F:$F,"CAPTURE")</f>
        <v>1</v>
      </c>
      <c r="K5475" s="39">
        <f>SUMIFS(pg_transaction_cleaned!$H:$H,pg_transaction_cleaned!$O:$O,A5475,pg_transaction_cleaned!$F:$F,"CAPTURE")</f>
        <v>3499</v>
      </c>
      <c r="L5475" s="23">
        <f>COUNTIFS(pg_transaction_cleaned!$O:$O,A5475,pg_transaction_cleaned!$F:$F,"REFUND")</f>
        <v>0</v>
      </c>
      <c r="M5475" s="39">
        <f>SUMIFS(pg_transaction_cleaned!$H:$H,pg_transaction_cleaned!$O:$O,A5475,pg_transaction_cleaned!$F:$F,"REFUND")</f>
        <v>0</v>
      </c>
      <c r="N5475" s="23" t="str">
        <f t="shared" si="342"/>
        <v>OK</v>
      </c>
      <c r="O5475" s="24">
        <f t="shared" si="343"/>
        <v>0</v>
      </c>
    </row>
    <row r="5476" spans="1:15" ht="15" customHeight="1" x14ac:dyDescent="0.3">
      <c r="A5476" s="23" t="s">
        <v>11379</v>
      </c>
      <c r="B5476" s="38">
        <v>46270</v>
      </c>
      <c r="C5476" s="23" t="s">
        <v>11380</v>
      </c>
      <c r="D5476" s="23" t="s">
        <v>89</v>
      </c>
      <c r="E5476" s="23" t="s">
        <v>75</v>
      </c>
      <c r="F5476" s="23" t="s">
        <v>3464</v>
      </c>
      <c r="G5476" s="23" t="s">
        <v>250</v>
      </c>
      <c r="H5476" s="39">
        <f t="shared" si="340"/>
        <v>10097</v>
      </c>
      <c r="I5476" s="23" t="str">
        <f t="shared" si="341"/>
        <v>Jaipur</v>
      </c>
      <c r="J5476" s="23">
        <f>COUNTIFS(pg_transaction_cleaned!$O:$O,A5476,pg_transaction_cleaned!$F:$F,"CAPTURE")</f>
        <v>1</v>
      </c>
      <c r="K5476" s="39">
        <f>SUMIFS(pg_transaction_cleaned!$H:$H,pg_transaction_cleaned!$O:$O,A5476,pg_transaction_cleaned!$F:$F,"CAPTURE")</f>
        <v>10097</v>
      </c>
      <c r="L5476" s="23">
        <f>COUNTIFS(pg_transaction_cleaned!$O:$O,A5476,pg_transaction_cleaned!$F:$F,"REFUND")</f>
        <v>0</v>
      </c>
      <c r="M5476" s="39">
        <f>SUMIFS(pg_transaction_cleaned!$H:$H,pg_transaction_cleaned!$O:$O,A5476,pg_transaction_cleaned!$F:$F,"REFUND")</f>
        <v>0</v>
      </c>
      <c r="N5476" s="23" t="str">
        <f t="shared" si="342"/>
        <v>OK</v>
      </c>
      <c r="O5476" s="24">
        <f t="shared" si="343"/>
        <v>0</v>
      </c>
    </row>
    <row r="5477" spans="1:15" ht="15" customHeight="1" x14ac:dyDescent="0.3">
      <c r="A5477" s="23" t="s">
        <v>11381</v>
      </c>
      <c r="B5477" s="38">
        <v>46272</v>
      </c>
      <c r="C5477" s="23" t="s">
        <v>11382</v>
      </c>
      <c r="D5477" s="23" t="s">
        <v>95</v>
      </c>
      <c r="E5477" s="23" t="s">
        <v>81</v>
      </c>
      <c r="F5477" s="23" t="s">
        <v>2151</v>
      </c>
      <c r="G5477" s="23" t="s">
        <v>250</v>
      </c>
      <c r="H5477" s="39">
        <f t="shared" si="340"/>
        <v>10497</v>
      </c>
      <c r="I5477" s="23" t="str">
        <f t="shared" si="341"/>
        <v>Bengaluru</v>
      </c>
      <c r="J5477" s="23">
        <f>COUNTIFS(pg_transaction_cleaned!$O:$O,A5477,pg_transaction_cleaned!$F:$F,"CAPTURE")</f>
        <v>1</v>
      </c>
      <c r="K5477" s="39">
        <f>SUMIFS(pg_transaction_cleaned!$H:$H,pg_transaction_cleaned!$O:$O,A5477,pg_transaction_cleaned!$F:$F,"CAPTURE")</f>
        <v>10497</v>
      </c>
      <c r="L5477" s="23">
        <f>COUNTIFS(pg_transaction_cleaned!$O:$O,A5477,pg_transaction_cleaned!$F:$F,"REFUND")</f>
        <v>0</v>
      </c>
      <c r="M5477" s="39">
        <f>SUMIFS(pg_transaction_cleaned!$H:$H,pg_transaction_cleaned!$O:$O,A5477,pg_transaction_cleaned!$F:$F,"REFUND")</f>
        <v>0</v>
      </c>
      <c r="N5477" s="23" t="str">
        <f t="shared" si="342"/>
        <v>OK</v>
      </c>
      <c r="O5477" s="24">
        <f t="shared" si="343"/>
        <v>0</v>
      </c>
    </row>
    <row r="5478" spans="1:15" ht="15" customHeight="1" x14ac:dyDescent="0.3">
      <c r="A5478" s="23" t="s">
        <v>11383</v>
      </c>
      <c r="B5478" s="38">
        <v>46280</v>
      </c>
      <c r="C5478" s="23" t="s">
        <v>11384</v>
      </c>
      <c r="D5478" s="23" t="s">
        <v>90</v>
      </c>
      <c r="E5478" s="23" t="s">
        <v>75</v>
      </c>
      <c r="F5478" s="23" t="s">
        <v>2160</v>
      </c>
      <c r="G5478" s="23" t="s">
        <v>250</v>
      </c>
      <c r="H5478" s="39">
        <f t="shared" si="340"/>
        <v>7998</v>
      </c>
      <c r="I5478" s="23" t="str">
        <f t="shared" si="341"/>
        <v>Ahmedabad</v>
      </c>
      <c r="J5478" s="23">
        <f>COUNTIFS(pg_transaction_cleaned!$O:$O,A5478,pg_transaction_cleaned!$F:$F,"CAPTURE")</f>
        <v>1</v>
      </c>
      <c r="K5478" s="39">
        <f>SUMIFS(pg_transaction_cleaned!$H:$H,pg_transaction_cleaned!$O:$O,A5478,pg_transaction_cleaned!$F:$F,"CAPTURE")</f>
        <v>7998</v>
      </c>
      <c r="L5478" s="23">
        <f>COUNTIFS(pg_transaction_cleaned!$O:$O,A5478,pg_transaction_cleaned!$F:$F,"REFUND")</f>
        <v>0</v>
      </c>
      <c r="M5478" s="39">
        <f>SUMIFS(pg_transaction_cleaned!$H:$H,pg_transaction_cleaned!$O:$O,A5478,pg_transaction_cleaned!$F:$F,"REFUND")</f>
        <v>0</v>
      </c>
      <c r="N5478" s="23" t="str">
        <f t="shared" si="342"/>
        <v>OK</v>
      </c>
      <c r="O5478" s="24">
        <f t="shared" si="343"/>
        <v>0</v>
      </c>
    </row>
    <row r="5479" spans="1:15" ht="15" customHeight="1" x14ac:dyDescent="0.3">
      <c r="A5479" s="23" t="s">
        <v>11385</v>
      </c>
      <c r="B5479" s="38">
        <v>46280</v>
      </c>
      <c r="C5479" s="23" t="s">
        <v>11386</v>
      </c>
      <c r="D5479" s="23"/>
      <c r="E5479" s="23" t="s">
        <v>75</v>
      </c>
      <c r="F5479" s="23" t="s">
        <v>475</v>
      </c>
      <c r="G5479" s="23" t="s">
        <v>250</v>
      </c>
      <c r="H5479" s="39">
        <f t="shared" si="340"/>
        <v>799</v>
      </c>
      <c r="I5479" s="23" t="str">
        <f t="shared" si="341"/>
        <v>Unknown</v>
      </c>
      <c r="J5479" s="23">
        <f>COUNTIFS(pg_transaction_cleaned!$O:$O,A5479,pg_transaction_cleaned!$F:$F,"CAPTURE")</f>
        <v>1</v>
      </c>
      <c r="K5479" s="39">
        <f>SUMIFS(pg_transaction_cleaned!$H:$H,pg_transaction_cleaned!$O:$O,A5479,pg_transaction_cleaned!$F:$F,"CAPTURE")</f>
        <v>799</v>
      </c>
      <c r="L5479" s="23">
        <f>COUNTIFS(pg_transaction_cleaned!$O:$O,A5479,pg_transaction_cleaned!$F:$F,"REFUND")</f>
        <v>0</v>
      </c>
      <c r="M5479" s="39">
        <f>SUMIFS(pg_transaction_cleaned!$H:$H,pg_transaction_cleaned!$O:$O,A5479,pg_transaction_cleaned!$F:$F,"REFUND")</f>
        <v>0</v>
      </c>
      <c r="N5479" s="23" t="str">
        <f t="shared" si="342"/>
        <v>OK</v>
      </c>
      <c r="O5479" s="24">
        <f t="shared" si="343"/>
        <v>0</v>
      </c>
    </row>
    <row r="5480" spans="1:15" ht="15" customHeight="1" x14ac:dyDescent="0.3">
      <c r="A5480" s="23" t="s">
        <v>11387</v>
      </c>
      <c r="B5480" s="38">
        <v>46280</v>
      </c>
      <c r="C5480" s="23" t="s">
        <v>11388</v>
      </c>
      <c r="D5480" s="23" t="s">
        <v>88</v>
      </c>
      <c r="E5480" s="23" t="s">
        <v>79</v>
      </c>
      <c r="F5480" s="23" t="s">
        <v>999</v>
      </c>
      <c r="G5480" s="23" t="s">
        <v>250</v>
      </c>
      <c r="H5480" s="39">
        <f t="shared" si="340"/>
        <v>1947</v>
      </c>
      <c r="I5480" s="23" t="str">
        <f t="shared" si="341"/>
        <v>Lucknow</v>
      </c>
      <c r="J5480" s="23">
        <f>COUNTIFS(pg_transaction_cleaned!$O:$O,A5480,pg_transaction_cleaned!$F:$F,"CAPTURE")</f>
        <v>1</v>
      </c>
      <c r="K5480" s="39">
        <f>SUMIFS(pg_transaction_cleaned!$H:$H,pg_transaction_cleaned!$O:$O,A5480,pg_transaction_cleaned!$F:$F,"CAPTURE")</f>
        <v>1947</v>
      </c>
      <c r="L5480" s="23">
        <f>COUNTIFS(pg_transaction_cleaned!$O:$O,A5480,pg_transaction_cleaned!$F:$F,"REFUND")</f>
        <v>0</v>
      </c>
      <c r="M5480" s="39">
        <f>SUMIFS(pg_transaction_cleaned!$H:$H,pg_transaction_cleaned!$O:$O,A5480,pg_transaction_cleaned!$F:$F,"REFUND")</f>
        <v>0</v>
      </c>
      <c r="N5480" s="23" t="str">
        <f t="shared" si="342"/>
        <v>OK</v>
      </c>
      <c r="O5480" s="24">
        <f t="shared" si="343"/>
        <v>0</v>
      </c>
    </row>
    <row r="5481" spans="1:15" ht="15" customHeight="1" x14ac:dyDescent="0.3">
      <c r="A5481" s="23" t="s">
        <v>11389</v>
      </c>
      <c r="B5481" s="38">
        <v>46288</v>
      </c>
      <c r="C5481" s="23" t="s">
        <v>11390</v>
      </c>
      <c r="D5481" s="23" t="s">
        <v>93</v>
      </c>
      <c r="E5481" s="23" t="s">
        <v>75</v>
      </c>
      <c r="F5481" s="23" t="s">
        <v>329</v>
      </c>
      <c r="G5481" s="23" t="s">
        <v>250</v>
      </c>
      <c r="H5481" s="39">
        <f t="shared" si="340"/>
        <v>599</v>
      </c>
      <c r="I5481" s="23" t="str">
        <f t="shared" si="341"/>
        <v>Kolkata</v>
      </c>
      <c r="J5481" s="23">
        <f>COUNTIFS(pg_transaction_cleaned!$O:$O,A5481,pg_transaction_cleaned!$F:$F,"CAPTURE")</f>
        <v>1</v>
      </c>
      <c r="K5481" s="39">
        <f>SUMIFS(pg_transaction_cleaned!$H:$H,pg_transaction_cleaned!$O:$O,A5481,pg_transaction_cleaned!$F:$F,"CAPTURE")</f>
        <v>599</v>
      </c>
      <c r="L5481" s="23">
        <f>COUNTIFS(pg_transaction_cleaned!$O:$O,A5481,pg_transaction_cleaned!$F:$F,"REFUND")</f>
        <v>0</v>
      </c>
      <c r="M5481" s="39">
        <f>SUMIFS(pg_transaction_cleaned!$H:$H,pg_transaction_cleaned!$O:$O,A5481,pg_transaction_cleaned!$F:$F,"REFUND")</f>
        <v>0</v>
      </c>
      <c r="N5481" s="23" t="str">
        <f t="shared" si="342"/>
        <v>OK</v>
      </c>
      <c r="O5481" s="24">
        <f t="shared" si="343"/>
        <v>0</v>
      </c>
    </row>
    <row r="5482" spans="1:15" ht="15" customHeight="1" x14ac:dyDescent="0.3">
      <c r="A5482" s="23" t="s">
        <v>11391</v>
      </c>
      <c r="B5482" s="38">
        <v>46275</v>
      </c>
      <c r="C5482" s="23" t="s">
        <v>11392</v>
      </c>
      <c r="D5482" s="23" t="s">
        <v>93</v>
      </c>
      <c r="E5482" s="23" t="s">
        <v>77</v>
      </c>
      <c r="F5482" s="23" t="s">
        <v>1038</v>
      </c>
      <c r="G5482" s="23" t="s">
        <v>250</v>
      </c>
      <c r="H5482" s="39">
        <f t="shared" si="340"/>
        <v>3597</v>
      </c>
      <c r="I5482" s="23" t="str">
        <f t="shared" si="341"/>
        <v>Kolkata</v>
      </c>
      <c r="J5482" s="23">
        <f>COUNTIFS(pg_transaction_cleaned!$O:$O,A5482,pg_transaction_cleaned!$F:$F,"CAPTURE")</f>
        <v>1</v>
      </c>
      <c r="K5482" s="39">
        <f>SUMIFS(pg_transaction_cleaned!$H:$H,pg_transaction_cleaned!$O:$O,A5482,pg_transaction_cleaned!$F:$F,"CAPTURE")</f>
        <v>3597</v>
      </c>
      <c r="L5482" s="23">
        <f>COUNTIFS(pg_transaction_cleaned!$O:$O,A5482,pg_transaction_cleaned!$F:$F,"REFUND")</f>
        <v>0</v>
      </c>
      <c r="M5482" s="39">
        <f>SUMIFS(pg_transaction_cleaned!$H:$H,pg_transaction_cleaned!$O:$O,A5482,pg_transaction_cleaned!$F:$F,"REFUND")</f>
        <v>0</v>
      </c>
      <c r="N5482" s="23" t="str">
        <f t="shared" si="342"/>
        <v>OK</v>
      </c>
      <c r="O5482" s="24">
        <f t="shared" si="343"/>
        <v>0</v>
      </c>
    </row>
    <row r="5483" spans="1:15" ht="15" customHeight="1" x14ac:dyDescent="0.3">
      <c r="A5483" s="23" t="s">
        <v>11393</v>
      </c>
      <c r="B5483" s="38">
        <v>46291</v>
      </c>
      <c r="C5483" s="23" t="s">
        <v>11394</v>
      </c>
      <c r="D5483" s="23" t="s">
        <v>92</v>
      </c>
      <c r="E5483" s="23" t="s">
        <v>77</v>
      </c>
      <c r="F5483" s="23" t="s">
        <v>717</v>
      </c>
      <c r="G5483" s="23" t="s">
        <v>250</v>
      </c>
      <c r="H5483" s="39">
        <f t="shared" si="340"/>
        <v>5298</v>
      </c>
      <c r="I5483" s="23" t="str">
        <f t="shared" si="341"/>
        <v>Hyderabad</v>
      </c>
      <c r="J5483" s="23">
        <f>COUNTIFS(pg_transaction_cleaned!$O:$O,A5483,pg_transaction_cleaned!$F:$F,"CAPTURE")</f>
        <v>1</v>
      </c>
      <c r="K5483" s="39">
        <f>SUMIFS(pg_transaction_cleaned!$H:$H,pg_transaction_cleaned!$O:$O,A5483,pg_transaction_cleaned!$F:$F,"CAPTURE")</f>
        <v>5298</v>
      </c>
      <c r="L5483" s="23">
        <f>COUNTIFS(pg_transaction_cleaned!$O:$O,A5483,pg_transaction_cleaned!$F:$F,"REFUND")</f>
        <v>0</v>
      </c>
      <c r="M5483" s="39">
        <f>SUMIFS(pg_transaction_cleaned!$H:$H,pg_transaction_cleaned!$O:$O,A5483,pg_transaction_cleaned!$F:$F,"REFUND")</f>
        <v>0</v>
      </c>
      <c r="N5483" s="23" t="str">
        <f t="shared" si="342"/>
        <v>OK</v>
      </c>
      <c r="O5483" s="24">
        <f t="shared" si="343"/>
        <v>0</v>
      </c>
    </row>
    <row r="5484" spans="1:15" ht="15" customHeight="1" x14ac:dyDescent="0.3">
      <c r="A5484" s="23" t="s">
        <v>11395</v>
      </c>
      <c r="B5484" s="38">
        <v>46290</v>
      </c>
      <c r="C5484" s="23" t="s">
        <v>11396</v>
      </c>
      <c r="D5484" s="23"/>
      <c r="E5484" s="23" t="s">
        <v>77</v>
      </c>
      <c r="F5484" s="23" t="s">
        <v>300</v>
      </c>
      <c r="G5484" s="23" t="s">
        <v>250</v>
      </c>
      <c r="H5484" s="39">
        <f t="shared" si="340"/>
        <v>2598</v>
      </c>
      <c r="I5484" s="23" t="str">
        <f t="shared" si="341"/>
        <v>Unknown</v>
      </c>
      <c r="J5484" s="23">
        <f>COUNTIFS(pg_transaction_cleaned!$O:$O,A5484,pg_transaction_cleaned!$F:$F,"CAPTURE")</f>
        <v>1</v>
      </c>
      <c r="K5484" s="39">
        <f>SUMIFS(pg_transaction_cleaned!$H:$H,pg_transaction_cleaned!$O:$O,A5484,pg_transaction_cleaned!$F:$F,"CAPTURE")</f>
        <v>2598</v>
      </c>
      <c r="L5484" s="23">
        <f>COUNTIFS(pg_transaction_cleaned!$O:$O,A5484,pg_transaction_cleaned!$F:$F,"REFUND")</f>
        <v>0</v>
      </c>
      <c r="M5484" s="39">
        <f>SUMIFS(pg_transaction_cleaned!$H:$H,pg_transaction_cleaned!$O:$O,A5484,pg_transaction_cleaned!$F:$F,"REFUND")</f>
        <v>0</v>
      </c>
      <c r="N5484" s="23" t="str">
        <f t="shared" si="342"/>
        <v>OK</v>
      </c>
      <c r="O5484" s="24">
        <f t="shared" si="343"/>
        <v>0</v>
      </c>
    </row>
    <row r="5485" spans="1:15" ht="15" customHeight="1" x14ac:dyDescent="0.3">
      <c r="A5485" s="23" t="s">
        <v>11397</v>
      </c>
      <c r="B5485" s="38">
        <v>46294</v>
      </c>
      <c r="C5485" s="23" t="s">
        <v>11398</v>
      </c>
      <c r="D5485" s="23" t="s">
        <v>88</v>
      </c>
      <c r="E5485" s="23" t="s">
        <v>75</v>
      </c>
      <c r="F5485" s="23" t="s">
        <v>396</v>
      </c>
      <c r="G5485" s="23" t="s">
        <v>301</v>
      </c>
      <c r="H5485" s="39">
        <f t="shared" si="340"/>
        <v>2999</v>
      </c>
      <c r="I5485" s="23" t="str">
        <f t="shared" si="341"/>
        <v>Lucknow</v>
      </c>
      <c r="J5485" s="23">
        <f>COUNTIFS(pg_transaction_cleaned!$O:$O,A5485,pg_transaction_cleaned!$F:$F,"CAPTURE")</f>
        <v>1</v>
      </c>
      <c r="K5485" s="39">
        <f>SUMIFS(pg_transaction_cleaned!$H:$H,pg_transaction_cleaned!$O:$O,A5485,pg_transaction_cleaned!$F:$F,"CAPTURE")</f>
        <v>2999</v>
      </c>
      <c r="L5485" s="23">
        <f>COUNTIFS(pg_transaction_cleaned!$O:$O,A5485,pg_transaction_cleaned!$F:$F,"REFUND")</f>
        <v>1</v>
      </c>
      <c r="M5485" s="39">
        <f>SUMIFS(pg_transaction_cleaned!$H:$H,pg_transaction_cleaned!$O:$O,A5485,pg_transaction_cleaned!$F:$F,"REFUND")</f>
        <v>2999</v>
      </c>
      <c r="N5485" s="23" t="str">
        <f t="shared" si="342"/>
        <v>OK</v>
      </c>
      <c r="O5485" s="24">
        <f t="shared" si="343"/>
        <v>0</v>
      </c>
    </row>
    <row r="5486" spans="1:15" ht="15" customHeight="1" x14ac:dyDescent="0.3">
      <c r="A5486" s="23" t="s">
        <v>11399</v>
      </c>
      <c r="B5486" s="38">
        <v>46291</v>
      </c>
      <c r="C5486" s="23" t="s">
        <v>11400</v>
      </c>
      <c r="D5486" s="23" t="s">
        <v>86</v>
      </c>
      <c r="E5486" s="23" t="s">
        <v>79</v>
      </c>
      <c r="F5486" s="23" t="s">
        <v>329</v>
      </c>
      <c r="G5486" s="23" t="s">
        <v>250</v>
      </c>
      <c r="H5486" s="39">
        <f t="shared" si="340"/>
        <v>599</v>
      </c>
      <c r="I5486" s="23" t="str">
        <f t="shared" si="341"/>
        <v>Delhi</v>
      </c>
      <c r="J5486" s="23">
        <f>COUNTIFS(pg_transaction_cleaned!$O:$O,A5486,pg_transaction_cleaned!$F:$F,"CAPTURE")</f>
        <v>1</v>
      </c>
      <c r="K5486" s="39">
        <f>SUMIFS(pg_transaction_cleaned!$H:$H,pg_transaction_cleaned!$O:$O,A5486,pg_transaction_cleaned!$F:$F,"CAPTURE")</f>
        <v>599</v>
      </c>
      <c r="L5486" s="23">
        <f>COUNTIFS(pg_transaction_cleaned!$O:$O,A5486,pg_transaction_cleaned!$F:$F,"REFUND")</f>
        <v>0</v>
      </c>
      <c r="M5486" s="39">
        <f>SUMIFS(pg_transaction_cleaned!$H:$H,pg_transaction_cleaned!$O:$O,A5486,pg_transaction_cleaned!$F:$F,"REFUND")</f>
        <v>0</v>
      </c>
      <c r="N5486" s="23" t="str">
        <f t="shared" si="342"/>
        <v>OK</v>
      </c>
      <c r="O5486" s="24">
        <f t="shared" si="343"/>
        <v>0</v>
      </c>
    </row>
    <row r="5487" spans="1:15" ht="15" customHeight="1" x14ac:dyDescent="0.3">
      <c r="A5487" s="23" t="s">
        <v>11401</v>
      </c>
      <c r="B5487" s="38">
        <v>46274</v>
      </c>
      <c r="C5487" s="23" t="s">
        <v>11402</v>
      </c>
      <c r="D5487" s="23" t="s">
        <v>90</v>
      </c>
      <c r="E5487" s="23" t="s">
        <v>77</v>
      </c>
      <c r="F5487" s="23" t="s">
        <v>259</v>
      </c>
      <c r="G5487" s="23" t="s">
        <v>250</v>
      </c>
      <c r="H5487" s="39">
        <f t="shared" si="340"/>
        <v>3298</v>
      </c>
      <c r="I5487" s="23" t="str">
        <f t="shared" si="341"/>
        <v>Ahmedabad</v>
      </c>
      <c r="J5487" s="23">
        <f>COUNTIFS(pg_transaction_cleaned!$O:$O,A5487,pg_transaction_cleaned!$F:$F,"CAPTURE")</f>
        <v>1</v>
      </c>
      <c r="K5487" s="39">
        <f>SUMIFS(pg_transaction_cleaned!$H:$H,pg_transaction_cleaned!$O:$O,A5487,pg_transaction_cleaned!$F:$F,"CAPTURE")</f>
        <v>3298</v>
      </c>
      <c r="L5487" s="23">
        <f>COUNTIFS(pg_transaction_cleaned!$O:$O,A5487,pg_transaction_cleaned!$F:$F,"REFUND")</f>
        <v>0</v>
      </c>
      <c r="M5487" s="39">
        <f>SUMIFS(pg_transaction_cleaned!$H:$H,pg_transaction_cleaned!$O:$O,A5487,pg_transaction_cleaned!$F:$F,"REFUND")</f>
        <v>0</v>
      </c>
      <c r="N5487" s="23" t="str">
        <f t="shared" si="342"/>
        <v>OK</v>
      </c>
      <c r="O5487" s="24">
        <f t="shared" si="343"/>
        <v>0</v>
      </c>
    </row>
    <row r="5488" spans="1:15" ht="15" customHeight="1" x14ac:dyDescent="0.3">
      <c r="A5488" s="23" t="s">
        <v>11403</v>
      </c>
      <c r="B5488" s="38">
        <v>46272</v>
      </c>
      <c r="C5488" s="23" t="s">
        <v>11404</v>
      </c>
      <c r="D5488" s="23" t="s">
        <v>93</v>
      </c>
      <c r="E5488" s="23" t="s">
        <v>79</v>
      </c>
      <c r="F5488" s="23" t="s">
        <v>315</v>
      </c>
      <c r="G5488" s="23" t="s">
        <v>250</v>
      </c>
      <c r="H5488" s="39">
        <f t="shared" si="340"/>
        <v>1499</v>
      </c>
      <c r="I5488" s="23" t="str">
        <f t="shared" si="341"/>
        <v>Kolkata</v>
      </c>
      <c r="J5488" s="23">
        <f>COUNTIFS(pg_transaction_cleaned!$O:$O,A5488,pg_transaction_cleaned!$F:$F,"CAPTURE")</f>
        <v>1</v>
      </c>
      <c r="K5488" s="39">
        <f>SUMIFS(pg_transaction_cleaned!$H:$H,pg_transaction_cleaned!$O:$O,A5488,pg_transaction_cleaned!$F:$F,"CAPTURE")</f>
        <v>1499</v>
      </c>
      <c r="L5488" s="23">
        <f>COUNTIFS(pg_transaction_cleaned!$O:$O,A5488,pg_transaction_cleaned!$F:$F,"REFUND")</f>
        <v>0</v>
      </c>
      <c r="M5488" s="39">
        <f>SUMIFS(pg_transaction_cleaned!$H:$H,pg_transaction_cleaned!$O:$O,A5488,pg_transaction_cleaned!$F:$F,"REFUND")</f>
        <v>0</v>
      </c>
      <c r="N5488" s="23" t="str">
        <f t="shared" si="342"/>
        <v>OK</v>
      </c>
      <c r="O5488" s="24">
        <f t="shared" si="343"/>
        <v>0</v>
      </c>
    </row>
    <row r="5489" spans="1:15" ht="15" customHeight="1" x14ac:dyDescent="0.3">
      <c r="A5489" s="23" t="s">
        <v>11405</v>
      </c>
      <c r="B5489" s="38">
        <v>46287</v>
      </c>
      <c r="C5489" s="23" t="s">
        <v>11406</v>
      </c>
      <c r="D5489" s="23" t="s">
        <v>94</v>
      </c>
      <c r="E5489" s="23" t="s">
        <v>77</v>
      </c>
      <c r="F5489" s="23" t="s">
        <v>11407</v>
      </c>
      <c r="G5489" s="23" t="s">
        <v>250</v>
      </c>
      <c r="H5489" s="39">
        <f t="shared" si="340"/>
        <v>2747</v>
      </c>
      <c r="I5489" s="23" t="str">
        <f t="shared" si="341"/>
        <v>Chennai</v>
      </c>
      <c r="J5489" s="23">
        <f>COUNTIFS(pg_transaction_cleaned!$O:$O,A5489,pg_transaction_cleaned!$F:$F,"CAPTURE")</f>
        <v>1</v>
      </c>
      <c r="K5489" s="39">
        <f>SUMIFS(pg_transaction_cleaned!$H:$H,pg_transaction_cleaned!$O:$O,A5489,pg_transaction_cleaned!$F:$F,"CAPTURE")</f>
        <v>2747</v>
      </c>
      <c r="L5489" s="23">
        <f>COUNTIFS(pg_transaction_cleaned!$O:$O,A5489,pg_transaction_cleaned!$F:$F,"REFUND")</f>
        <v>0</v>
      </c>
      <c r="M5489" s="39">
        <f>SUMIFS(pg_transaction_cleaned!$H:$H,pg_transaction_cleaned!$O:$O,A5489,pg_transaction_cleaned!$F:$F,"REFUND")</f>
        <v>0</v>
      </c>
      <c r="N5489" s="23" t="str">
        <f t="shared" si="342"/>
        <v>OK</v>
      </c>
      <c r="O5489" s="24">
        <f t="shared" si="343"/>
        <v>0</v>
      </c>
    </row>
    <row r="5490" spans="1:15" ht="15" customHeight="1" x14ac:dyDescent="0.3">
      <c r="A5490" s="23" t="s">
        <v>11408</v>
      </c>
      <c r="B5490" s="38">
        <v>46281</v>
      </c>
      <c r="C5490" s="23" t="s">
        <v>11409</v>
      </c>
      <c r="D5490" s="23" t="s">
        <v>88</v>
      </c>
      <c r="E5490" s="23" t="s">
        <v>79</v>
      </c>
      <c r="F5490" s="23" t="s">
        <v>1367</v>
      </c>
      <c r="G5490" s="23" t="s">
        <v>365</v>
      </c>
      <c r="H5490" s="39">
        <f t="shared" si="340"/>
        <v>898</v>
      </c>
      <c r="I5490" s="23" t="str">
        <f t="shared" si="341"/>
        <v>Lucknow</v>
      </c>
      <c r="J5490" s="23">
        <f>COUNTIFS(pg_transaction_cleaned!$O:$O,A5490,pg_transaction_cleaned!$F:$F,"CAPTURE")</f>
        <v>0</v>
      </c>
      <c r="K5490" s="39">
        <f>SUMIFS(pg_transaction_cleaned!$H:$H,pg_transaction_cleaned!$O:$O,A5490,pg_transaction_cleaned!$F:$F,"CAPTURE")</f>
        <v>0</v>
      </c>
      <c r="L5490" s="23">
        <f>COUNTIFS(pg_transaction_cleaned!$O:$O,A5490,pg_transaction_cleaned!$F:$F,"REFUND")</f>
        <v>0</v>
      </c>
      <c r="M5490" s="39">
        <f>SUMIFS(pg_transaction_cleaned!$H:$H,pg_transaction_cleaned!$O:$O,A5490,pg_transaction_cleaned!$F:$F,"REFUND")</f>
        <v>0</v>
      </c>
      <c r="N5490" s="23" t="str">
        <f t="shared" si="342"/>
        <v>OK</v>
      </c>
      <c r="O5490" s="24">
        <f t="shared" si="343"/>
        <v>0</v>
      </c>
    </row>
    <row r="5491" spans="1:15" ht="15" customHeight="1" x14ac:dyDescent="0.3">
      <c r="A5491" s="23" t="s">
        <v>11410</v>
      </c>
      <c r="B5491" s="38">
        <v>46278</v>
      </c>
      <c r="C5491" s="23" t="s">
        <v>11411</v>
      </c>
      <c r="D5491" s="23" t="s">
        <v>94</v>
      </c>
      <c r="E5491" s="23" t="s">
        <v>79</v>
      </c>
      <c r="F5491" s="23" t="s">
        <v>2178</v>
      </c>
      <c r="G5491" s="23" t="s">
        <v>250</v>
      </c>
      <c r="H5491" s="39">
        <f t="shared" si="340"/>
        <v>8997</v>
      </c>
      <c r="I5491" s="23" t="str">
        <f t="shared" si="341"/>
        <v>Chennai</v>
      </c>
      <c r="J5491" s="23">
        <f>COUNTIFS(pg_transaction_cleaned!$O:$O,A5491,pg_transaction_cleaned!$F:$F,"CAPTURE")</f>
        <v>1</v>
      </c>
      <c r="K5491" s="39">
        <f>SUMIFS(pg_transaction_cleaned!$H:$H,pg_transaction_cleaned!$O:$O,A5491,pg_transaction_cleaned!$F:$F,"CAPTURE")</f>
        <v>8997</v>
      </c>
      <c r="L5491" s="23">
        <f>COUNTIFS(pg_transaction_cleaned!$O:$O,A5491,pg_transaction_cleaned!$F:$F,"REFUND")</f>
        <v>0</v>
      </c>
      <c r="M5491" s="39">
        <f>SUMIFS(pg_transaction_cleaned!$H:$H,pg_transaction_cleaned!$O:$O,A5491,pg_transaction_cleaned!$F:$F,"REFUND")</f>
        <v>0</v>
      </c>
      <c r="N5491" s="23" t="str">
        <f t="shared" si="342"/>
        <v>OK</v>
      </c>
      <c r="O5491" s="24">
        <f t="shared" si="343"/>
        <v>0</v>
      </c>
    </row>
    <row r="5492" spans="1:15" ht="15" customHeight="1" x14ac:dyDescent="0.3">
      <c r="A5492" s="23" t="s">
        <v>11412</v>
      </c>
      <c r="B5492" s="38">
        <v>46292</v>
      </c>
      <c r="C5492" s="23" t="s">
        <v>11413</v>
      </c>
      <c r="D5492" s="23" t="s">
        <v>94</v>
      </c>
      <c r="E5492" s="23" t="s">
        <v>75</v>
      </c>
      <c r="F5492" s="23" t="s">
        <v>370</v>
      </c>
      <c r="G5492" s="23" t="s">
        <v>250</v>
      </c>
      <c r="H5492" s="39">
        <f t="shared" si="340"/>
        <v>3098</v>
      </c>
      <c r="I5492" s="23" t="str">
        <f t="shared" si="341"/>
        <v>Chennai</v>
      </c>
      <c r="J5492" s="23">
        <f>COUNTIFS(pg_transaction_cleaned!$O:$O,A5492,pg_transaction_cleaned!$F:$F,"CAPTURE")</f>
        <v>1</v>
      </c>
      <c r="K5492" s="39">
        <f>SUMIFS(pg_transaction_cleaned!$H:$H,pg_transaction_cleaned!$O:$O,A5492,pg_transaction_cleaned!$F:$F,"CAPTURE")</f>
        <v>3098</v>
      </c>
      <c r="L5492" s="23">
        <f>COUNTIFS(pg_transaction_cleaned!$O:$O,A5492,pg_transaction_cleaned!$F:$F,"REFUND")</f>
        <v>0</v>
      </c>
      <c r="M5492" s="39">
        <f>SUMIFS(pg_transaction_cleaned!$H:$H,pg_transaction_cleaned!$O:$O,A5492,pg_transaction_cleaned!$F:$F,"REFUND")</f>
        <v>0</v>
      </c>
      <c r="N5492" s="23" t="str">
        <f t="shared" si="342"/>
        <v>OK</v>
      </c>
      <c r="O5492" s="24">
        <f t="shared" si="343"/>
        <v>0</v>
      </c>
    </row>
    <row r="5493" spans="1:15" ht="15" customHeight="1" x14ac:dyDescent="0.3">
      <c r="A5493" s="23" t="s">
        <v>11414</v>
      </c>
      <c r="B5493" s="38">
        <v>46268</v>
      </c>
      <c r="C5493" s="23" t="s">
        <v>3133</v>
      </c>
      <c r="D5493" s="23" t="s">
        <v>92</v>
      </c>
      <c r="E5493" s="23" t="s">
        <v>79</v>
      </c>
      <c r="F5493" s="23" t="s">
        <v>561</v>
      </c>
      <c r="G5493" s="23" t="s">
        <v>250</v>
      </c>
      <c r="H5493" s="39">
        <f t="shared" si="340"/>
        <v>4797</v>
      </c>
      <c r="I5493" s="23" t="str">
        <f t="shared" si="341"/>
        <v>Hyderabad</v>
      </c>
      <c r="J5493" s="23">
        <f>COUNTIFS(pg_transaction_cleaned!$O:$O,A5493,pg_transaction_cleaned!$F:$F,"CAPTURE")</f>
        <v>1</v>
      </c>
      <c r="K5493" s="39">
        <f>SUMIFS(pg_transaction_cleaned!$H:$H,pg_transaction_cleaned!$O:$O,A5493,pg_transaction_cleaned!$F:$F,"CAPTURE")</f>
        <v>4797</v>
      </c>
      <c r="L5493" s="23">
        <f>COUNTIFS(pg_transaction_cleaned!$O:$O,A5493,pg_transaction_cleaned!$F:$F,"REFUND")</f>
        <v>0</v>
      </c>
      <c r="M5493" s="39">
        <f>SUMIFS(pg_transaction_cleaned!$H:$H,pg_transaction_cleaned!$O:$O,A5493,pg_transaction_cleaned!$F:$F,"REFUND")</f>
        <v>0</v>
      </c>
      <c r="N5493" s="23" t="str">
        <f t="shared" si="342"/>
        <v>OK</v>
      </c>
      <c r="O5493" s="24">
        <f t="shared" si="343"/>
        <v>0</v>
      </c>
    </row>
    <row r="5494" spans="1:15" ht="15" customHeight="1" x14ac:dyDescent="0.3">
      <c r="A5494" s="23" t="s">
        <v>11415</v>
      </c>
      <c r="B5494" s="38">
        <v>46285</v>
      </c>
      <c r="C5494" s="23" t="s">
        <v>5348</v>
      </c>
      <c r="D5494" s="23"/>
      <c r="E5494" s="23" t="s">
        <v>77</v>
      </c>
      <c r="F5494" s="23" t="s">
        <v>390</v>
      </c>
      <c r="G5494" s="23" t="s">
        <v>301</v>
      </c>
      <c r="H5494" s="39">
        <f t="shared" si="340"/>
        <v>599</v>
      </c>
      <c r="I5494" s="23" t="str">
        <f t="shared" si="341"/>
        <v>Unknown</v>
      </c>
      <c r="J5494" s="23">
        <f>COUNTIFS(pg_transaction_cleaned!$O:$O,A5494,pg_transaction_cleaned!$F:$F,"CAPTURE")</f>
        <v>1</v>
      </c>
      <c r="K5494" s="39">
        <f>SUMIFS(pg_transaction_cleaned!$H:$H,pg_transaction_cleaned!$O:$O,A5494,pg_transaction_cleaned!$F:$F,"CAPTURE")</f>
        <v>599</v>
      </c>
      <c r="L5494" s="23">
        <f>COUNTIFS(pg_transaction_cleaned!$O:$O,A5494,pg_transaction_cleaned!$F:$F,"REFUND")</f>
        <v>1</v>
      </c>
      <c r="M5494" s="39">
        <f>SUMIFS(pg_transaction_cleaned!$H:$H,pg_transaction_cleaned!$O:$O,A5494,pg_transaction_cleaned!$F:$F,"REFUND")</f>
        <v>599</v>
      </c>
      <c r="N5494" s="23" t="str">
        <f t="shared" si="342"/>
        <v>OK</v>
      </c>
      <c r="O5494" s="24">
        <f t="shared" si="343"/>
        <v>0</v>
      </c>
    </row>
    <row r="5495" spans="1:15" ht="15" customHeight="1" x14ac:dyDescent="0.3">
      <c r="A5495" s="23" t="s">
        <v>11416</v>
      </c>
      <c r="B5495" s="38">
        <v>46267</v>
      </c>
      <c r="C5495" s="23" t="s">
        <v>11417</v>
      </c>
      <c r="D5495" s="23" t="s">
        <v>95</v>
      </c>
      <c r="E5495" s="23" t="s">
        <v>77</v>
      </c>
      <c r="F5495" s="23" t="s">
        <v>268</v>
      </c>
      <c r="G5495" s="23" t="s">
        <v>250</v>
      </c>
      <c r="H5495" s="39">
        <f t="shared" si="340"/>
        <v>1299</v>
      </c>
      <c r="I5495" s="23" t="str">
        <f t="shared" si="341"/>
        <v>Bengaluru</v>
      </c>
      <c r="J5495" s="23">
        <f>COUNTIFS(pg_transaction_cleaned!$O:$O,A5495,pg_transaction_cleaned!$F:$F,"CAPTURE")</f>
        <v>1</v>
      </c>
      <c r="K5495" s="39">
        <f>SUMIFS(pg_transaction_cleaned!$H:$H,pg_transaction_cleaned!$O:$O,A5495,pg_transaction_cleaned!$F:$F,"CAPTURE")</f>
        <v>1299</v>
      </c>
      <c r="L5495" s="23">
        <f>COUNTIFS(pg_transaction_cleaned!$O:$O,A5495,pg_transaction_cleaned!$F:$F,"REFUND")</f>
        <v>0</v>
      </c>
      <c r="M5495" s="39">
        <f>SUMIFS(pg_transaction_cleaned!$H:$H,pg_transaction_cleaned!$O:$O,A5495,pg_transaction_cleaned!$F:$F,"REFUND")</f>
        <v>0</v>
      </c>
      <c r="N5495" s="23" t="str">
        <f t="shared" si="342"/>
        <v>OK</v>
      </c>
      <c r="O5495" s="24">
        <f t="shared" si="343"/>
        <v>0</v>
      </c>
    </row>
    <row r="5496" spans="1:15" ht="15" customHeight="1" x14ac:dyDescent="0.3">
      <c r="A5496" s="23" t="s">
        <v>11418</v>
      </c>
      <c r="B5496" s="38">
        <v>46294</v>
      </c>
      <c r="C5496" s="23" t="s">
        <v>11419</v>
      </c>
      <c r="D5496" s="23" t="s">
        <v>86</v>
      </c>
      <c r="E5496" s="23" t="s">
        <v>75</v>
      </c>
      <c r="F5496" s="23" t="s">
        <v>297</v>
      </c>
      <c r="G5496" s="23" t="s">
        <v>250</v>
      </c>
      <c r="H5496" s="39">
        <f t="shared" si="340"/>
        <v>4999</v>
      </c>
      <c r="I5496" s="23" t="str">
        <f t="shared" si="341"/>
        <v>Delhi</v>
      </c>
      <c r="J5496" s="23">
        <f>COUNTIFS(pg_transaction_cleaned!$O:$O,A5496,pg_transaction_cleaned!$F:$F,"CAPTURE")</f>
        <v>1</v>
      </c>
      <c r="K5496" s="39">
        <f>SUMIFS(pg_transaction_cleaned!$H:$H,pg_transaction_cleaned!$O:$O,A5496,pg_transaction_cleaned!$F:$F,"CAPTURE")</f>
        <v>4999</v>
      </c>
      <c r="L5496" s="23">
        <f>COUNTIFS(pg_transaction_cleaned!$O:$O,A5496,pg_transaction_cleaned!$F:$F,"REFUND")</f>
        <v>0</v>
      </c>
      <c r="M5496" s="39">
        <f>SUMIFS(pg_transaction_cleaned!$H:$H,pg_transaction_cleaned!$O:$O,A5496,pg_transaction_cleaned!$F:$F,"REFUND")</f>
        <v>0</v>
      </c>
      <c r="N5496" s="23" t="str">
        <f t="shared" si="342"/>
        <v>OK</v>
      </c>
      <c r="O5496" s="24">
        <f t="shared" si="343"/>
        <v>0</v>
      </c>
    </row>
    <row r="5497" spans="1:15" ht="15" customHeight="1" x14ac:dyDescent="0.3">
      <c r="A5497" s="23" t="s">
        <v>11420</v>
      </c>
      <c r="B5497" s="38">
        <v>46268</v>
      </c>
      <c r="C5497" s="23" t="s">
        <v>11421</v>
      </c>
      <c r="D5497" s="23" t="s">
        <v>86</v>
      </c>
      <c r="E5497" s="23" t="s">
        <v>79</v>
      </c>
      <c r="F5497" s="23" t="s">
        <v>1978</v>
      </c>
      <c r="G5497" s="23" t="s">
        <v>250</v>
      </c>
      <c r="H5497" s="39">
        <f t="shared" si="340"/>
        <v>4597</v>
      </c>
      <c r="I5497" s="23" t="str">
        <f t="shared" si="341"/>
        <v>Delhi</v>
      </c>
      <c r="J5497" s="23">
        <f>COUNTIFS(pg_transaction_cleaned!$O:$O,A5497,pg_transaction_cleaned!$F:$F,"CAPTURE")</f>
        <v>1</v>
      </c>
      <c r="K5497" s="39">
        <f>SUMIFS(pg_transaction_cleaned!$H:$H,pg_transaction_cleaned!$O:$O,A5497,pg_transaction_cleaned!$F:$F,"CAPTURE")</f>
        <v>4597</v>
      </c>
      <c r="L5497" s="23">
        <f>COUNTIFS(pg_transaction_cleaned!$O:$O,A5497,pg_transaction_cleaned!$F:$F,"REFUND")</f>
        <v>0</v>
      </c>
      <c r="M5497" s="39">
        <f>SUMIFS(pg_transaction_cleaned!$H:$H,pg_transaction_cleaned!$O:$O,A5497,pg_transaction_cleaned!$F:$F,"REFUND")</f>
        <v>0</v>
      </c>
      <c r="N5497" s="23" t="str">
        <f t="shared" si="342"/>
        <v>OK</v>
      </c>
      <c r="O5497" s="24">
        <f t="shared" si="343"/>
        <v>0</v>
      </c>
    </row>
    <row r="5498" spans="1:15" ht="15" customHeight="1" x14ac:dyDescent="0.3">
      <c r="A5498" s="23" t="s">
        <v>11422</v>
      </c>
      <c r="B5498" s="38">
        <v>46267</v>
      </c>
      <c r="C5498" s="23" t="s">
        <v>11423</v>
      </c>
      <c r="D5498" s="23" t="s">
        <v>89</v>
      </c>
      <c r="E5498" s="23" t="s">
        <v>79</v>
      </c>
      <c r="F5498" s="23" t="s">
        <v>265</v>
      </c>
      <c r="G5498" s="23" t="s">
        <v>250</v>
      </c>
      <c r="H5498" s="39">
        <f t="shared" si="340"/>
        <v>999</v>
      </c>
      <c r="I5498" s="23" t="str">
        <f t="shared" si="341"/>
        <v>Jaipur</v>
      </c>
      <c r="J5498" s="23">
        <f>COUNTIFS(pg_transaction_cleaned!$O:$O,A5498,pg_transaction_cleaned!$F:$F,"CAPTURE")</f>
        <v>1</v>
      </c>
      <c r="K5498" s="39">
        <f>SUMIFS(pg_transaction_cleaned!$H:$H,pg_transaction_cleaned!$O:$O,A5498,pg_transaction_cleaned!$F:$F,"CAPTURE")</f>
        <v>999</v>
      </c>
      <c r="L5498" s="23">
        <f>COUNTIFS(pg_transaction_cleaned!$O:$O,A5498,pg_transaction_cleaned!$F:$F,"REFUND")</f>
        <v>0</v>
      </c>
      <c r="M5498" s="39">
        <f>SUMIFS(pg_transaction_cleaned!$H:$H,pg_transaction_cleaned!$O:$O,A5498,pg_transaction_cleaned!$F:$F,"REFUND")</f>
        <v>0</v>
      </c>
      <c r="N5498" s="23" t="str">
        <f t="shared" si="342"/>
        <v>OK</v>
      </c>
      <c r="O5498" s="24">
        <f t="shared" si="343"/>
        <v>0</v>
      </c>
    </row>
    <row r="5499" spans="1:15" ht="15" customHeight="1" x14ac:dyDescent="0.3">
      <c r="A5499" s="23" t="s">
        <v>11424</v>
      </c>
      <c r="B5499" s="38">
        <v>46277</v>
      </c>
      <c r="C5499" s="23" t="s">
        <v>5323</v>
      </c>
      <c r="D5499" s="23" t="s">
        <v>95</v>
      </c>
      <c r="E5499" s="23" t="s">
        <v>75</v>
      </c>
      <c r="F5499" s="23" t="s">
        <v>1315</v>
      </c>
      <c r="G5499" s="23" t="s">
        <v>250</v>
      </c>
      <c r="H5499" s="39">
        <f t="shared" si="340"/>
        <v>8297</v>
      </c>
      <c r="I5499" s="23" t="str">
        <f t="shared" si="341"/>
        <v>Bengaluru</v>
      </c>
      <c r="J5499" s="23">
        <f>COUNTIFS(pg_transaction_cleaned!$O:$O,A5499,pg_transaction_cleaned!$F:$F,"CAPTURE")</f>
        <v>1</v>
      </c>
      <c r="K5499" s="39">
        <f>SUMIFS(pg_transaction_cleaned!$H:$H,pg_transaction_cleaned!$O:$O,A5499,pg_transaction_cleaned!$F:$F,"CAPTURE")</f>
        <v>8297</v>
      </c>
      <c r="L5499" s="23">
        <f>COUNTIFS(pg_transaction_cleaned!$O:$O,A5499,pg_transaction_cleaned!$F:$F,"REFUND")</f>
        <v>0</v>
      </c>
      <c r="M5499" s="39">
        <f>SUMIFS(pg_transaction_cleaned!$H:$H,pg_transaction_cleaned!$O:$O,A5499,pg_transaction_cleaned!$F:$F,"REFUND")</f>
        <v>0</v>
      </c>
      <c r="N5499" s="23" t="str">
        <f t="shared" si="342"/>
        <v>OK</v>
      </c>
      <c r="O5499" s="24">
        <f t="shared" si="343"/>
        <v>0</v>
      </c>
    </row>
    <row r="5500" spans="1:15" ht="15" customHeight="1" x14ac:dyDescent="0.3">
      <c r="A5500" s="23" t="s">
        <v>11425</v>
      </c>
      <c r="B5500" s="38">
        <v>46273</v>
      </c>
      <c r="C5500" s="23" t="s">
        <v>11426</v>
      </c>
      <c r="D5500" s="23" t="s">
        <v>92</v>
      </c>
      <c r="E5500" s="23" t="s">
        <v>75</v>
      </c>
      <c r="F5500" s="23" t="s">
        <v>310</v>
      </c>
      <c r="G5500" s="23" t="s">
        <v>250</v>
      </c>
      <c r="H5500" s="39">
        <f t="shared" si="340"/>
        <v>7999</v>
      </c>
      <c r="I5500" s="23" t="str">
        <f t="shared" si="341"/>
        <v>Hyderabad</v>
      </c>
      <c r="J5500" s="23">
        <f>COUNTIFS(pg_transaction_cleaned!$O:$O,A5500,pg_transaction_cleaned!$F:$F,"CAPTURE")</f>
        <v>1</v>
      </c>
      <c r="K5500" s="39">
        <f>SUMIFS(pg_transaction_cleaned!$H:$H,pg_transaction_cleaned!$O:$O,A5500,pg_transaction_cleaned!$F:$F,"CAPTURE")</f>
        <v>7999</v>
      </c>
      <c r="L5500" s="23">
        <f>COUNTIFS(pg_transaction_cleaned!$O:$O,A5500,pg_transaction_cleaned!$F:$F,"REFUND")</f>
        <v>0</v>
      </c>
      <c r="M5500" s="39">
        <f>SUMIFS(pg_transaction_cleaned!$H:$H,pg_transaction_cleaned!$O:$O,A5500,pg_transaction_cleaned!$F:$F,"REFUND")</f>
        <v>0</v>
      </c>
      <c r="N5500" s="23" t="str">
        <f t="shared" si="342"/>
        <v>OK</v>
      </c>
      <c r="O5500" s="24">
        <f t="shared" si="343"/>
        <v>0</v>
      </c>
    </row>
    <row r="5501" spans="1:15" ht="15" customHeight="1" x14ac:dyDescent="0.3">
      <c r="A5501" s="23" t="s">
        <v>11427</v>
      </c>
      <c r="B5501" s="38">
        <v>46272</v>
      </c>
      <c r="C5501" s="23" t="s">
        <v>11428</v>
      </c>
      <c r="D5501" s="23" t="s">
        <v>93</v>
      </c>
      <c r="E5501" s="23" t="s">
        <v>79</v>
      </c>
      <c r="F5501" s="23" t="s">
        <v>310</v>
      </c>
      <c r="G5501" s="23" t="s">
        <v>250</v>
      </c>
      <c r="H5501" s="39">
        <f t="shared" si="340"/>
        <v>7999</v>
      </c>
      <c r="I5501" s="23" t="str">
        <f t="shared" si="341"/>
        <v>Kolkata</v>
      </c>
      <c r="J5501" s="23">
        <f>COUNTIFS(pg_transaction_cleaned!$O:$O,A5501,pg_transaction_cleaned!$F:$F,"CAPTURE")</f>
        <v>1</v>
      </c>
      <c r="K5501" s="39">
        <f>SUMIFS(pg_transaction_cleaned!$H:$H,pg_transaction_cleaned!$O:$O,A5501,pg_transaction_cleaned!$F:$F,"CAPTURE")</f>
        <v>7999</v>
      </c>
      <c r="L5501" s="23">
        <f>COUNTIFS(pg_transaction_cleaned!$O:$O,A5501,pg_transaction_cleaned!$F:$F,"REFUND")</f>
        <v>0</v>
      </c>
      <c r="M5501" s="39">
        <f>SUMIFS(pg_transaction_cleaned!$H:$H,pg_transaction_cleaned!$O:$O,A5501,pg_transaction_cleaned!$F:$F,"REFUND")</f>
        <v>0</v>
      </c>
      <c r="N5501" s="23" t="str">
        <f t="shared" si="342"/>
        <v>OK</v>
      </c>
      <c r="O5501" s="24">
        <f t="shared" si="343"/>
        <v>0</v>
      </c>
    </row>
    <row r="5502" spans="1:15" ht="15" customHeight="1" x14ac:dyDescent="0.3">
      <c r="A5502" s="23" t="s">
        <v>11429</v>
      </c>
      <c r="B5502" s="38">
        <v>46279</v>
      </c>
      <c r="C5502" s="23" t="s">
        <v>11430</v>
      </c>
      <c r="D5502" s="23" t="s">
        <v>92</v>
      </c>
      <c r="E5502" s="23" t="s">
        <v>79</v>
      </c>
      <c r="F5502" s="23" t="s">
        <v>1021</v>
      </c>
      <c r="G5502" s="23" t="s">
        <v>250</v>
      </c>
      <c r="H5502" s="39">
        <f t="shared" si="340"/>
        <v>9097</v>
      </c>
      <c r="I5502" s="23" t="str">
        <f t="shared" si="341"/>
        <v>Hyderabad</v>
      </c>
      <c r="J5502" s="23">
        <f>COUNTIFS(pg_transaction_cleaned!$O:$O,A5502,pg_transaction_cleaned!$F:$F,"CAPTURE")</f>
        <v>1</v>
      </c>
      <c r="K5502" s="39">
        <f>SUMIFS(pg_transaction_cleaned!$H:$H,pg_transaction_cleaned!$O:$O,A5502,pg_transaction_cleaned!$F:$F,"CAPTURE")</f>
        <v>9097</v>
      </c>
      <c r="L5502" s="23">
        <f>COUNTIFS(pg_transaction_cleaned!$O:$O,A5502,pg_transaction_cleaned!$F:$F,"REFUND")</f>
        <v>0</v>
      </c>
      <c r="M5502" s="39">
        <f>SUMIFS(pg_transaction_cleaned!$H:$H,pg_transaction_cleaned!$O:$O,A5502,pg_transaction_cleaned!$F:$F,"REFUND")</f>
        <v>0</v>
      </c>
      <c r="N5502" s="23" t="str">
        <f t="shared" si="342"/>
        <v>OK</v>
      </c>
      <c r="O5502" s="24">
        <f t="shared" si="343"/>
        <v>0</v>
      </c>
    </row>
    <row r="5503" spans="1:15" ht="15" customHeight="1" x14ac:dyDescent="0.3">
      <c r="A5503" s="23" t="s">
        <v>11431</v>
      </c>
      <c r="B5503" s="38">
        <v>46270</v>
      </c>
      <c r="C5503" s="23" t="s">
        <v>11432</v>
      </c>
      <c r="D5503" s="23" t="s">
        <v>89</v>
      </c>
      <c r="E5503" s="23" t="s">
        <v>75</v>
      </c>
      <c r="F5503" s="23" t="s">
        <v>390</v>
      </c>
      <c r="G5503" s="23" t="s">
        <v>250</v>
      </c>
      <c r="H5503" s="39">
        <f t="shared" si="340"/>
        <v>599</v>
      </c>
      <c r="I5503" s="23" t="str">
        <f t="shared" si="341"/>
        <v>Jaipur</v>
      </c>
      <c r="J5503" s="23">
        <f>COUNTIFS(pg_transaction_cleaned!$O:$O,A5503,pg_transaction_cleaned!$F:$F,"CAPTURE")</f>
        <v>1</v>
      </c>
      <c r="K5503" s="39">
        <f>SUMIFS(pg_transaction_cleaned!$H:$H,pg_transaction_cleaned!$O:$O,A5503,pg_transaction_cleaned!$F:$F,"CAPTURE")</f>
        <v>599</v>
      </c>
      <c r="L5503" s="23">
        <f>COUNTIFS(pg_transaction_cleaned!$O:$O,A5503,pg_transaction_cleaned!$F:$F,"REFUND")</f>
        <v>0</v>
      </c>
      <c r="M5503" s="39">
        <f>SUMIFS(pg_transaction_cleaned!$H:$H,pg_transaction_cleaned!$O:$O,A5503,pg_transaction_cleaned!$F:$F,"REFUND")</f>
        <v>0</v>
      </c>
      <c r="N5503" s="23" t="str">
        <f t="shared" si="342"/>
        <v>OK</v>
      </c>
      <c r="O5503" s="24">
        <f t="shared" si="343"/>
        <v>0</v>
      </c>
    </row>
    <row r="5504" spans="1:15" ht="15" customHeight="1" x14ac:dyDescent="0.3">
      <c r="A5504" s="23" t="s">
        <v>11433</v>
      </c>
      <c r="B5504" s="38">
        <v>46285</v>
      </c>
      <c r="C5504" s="23" t="s">
        <v>11434</v>
      </c>
      <c r="D5504" s="23" t="s">
        <v>86</v>
      </c>
      <c r="E5504" s="23" t="s">
        <v>75</v>
      </c>
      <c r="F5504" s="23" t="s">
        <v>291</v>
      </c>
      <c r="G5504" s="23" t="s">
        <v>250</v>
      </c>
      <c r="H5504" s="39">
        <f t="shared" si="340"/>
        <v>3499</v>
      </c>
      <c r="I5504" s="23" t="str">
        <f t="shared" si="341"/>
        <v>Delhi</v>
      </c>
      <c r="J5504" s="23">
        <f>COUNTIFS(pg_transaction_cleaned!$O:$O,A5504,pg_transaction_cleaned!$F:$F,"CAPTURE")</f>
        <v>1</v>
      </c>
      <c r="K5504" s="39">
        <f>SUMIFS(pg_transaction_cleaned!$H:$H,pg_transaction_cleaned!$O:$O,A5504,pg_transaction_cleaned!$F:$F,"CAPTURE")</f>
        <v>3499</v>
      </c>
      <c r="L5504" s="23">
        <f>COUNTIFS(pg_transaction_cleaned!$O:$O,A5504,pg_transaction_cleaned!$F:$F,"REFUND")</f>
        <v>0</v>
      </c>
      <c r="M5504" s="39">
        <f>SUMIFS(pg_transaction_cleaned!$H:$H,pg_transaction_cleaned!$O:$O,A5504,pg_transaction_cleaned!$F:$F,"REFUND")</f>
        <v>0</v>
      </c>
      <c r="N5504" s="23" t="str">
        <f t="shared" si="342"/>
        <v>OK</v>
      </c>
      <c r="O5504" s="24">
        <f t="shared" si="343"/>
        <v>0</v>
      </c>
    </row>
    <row r="5505" spans="1:15" ht="15" customHeight="1" x14ac:dyDescent="0.3">
      <c r="A5505" s="23" t="s">
        <v>11435</v>
      </c>
      <c r="B5505" s="38">
        <v>46270</v>
      </c>
      <c r="C5505" s="23" t="s">
        <v>11436</v>
      </c>
      <c r="D5505" s="23" t="s">
        <v>92</v>
      </c>
      <c r="E5505" s="23" t="s">
        <v>75</v>
      </c>
      <c r="F5505" s="23" t="s">
        <v>1762</v>
      </c>
      <c r="G5505" s="23" t="s">
        <v>250</v>
      </c>
      <c r="H5505" s="39">
        <f t="shared" si="340"/>
        <v>2148</v>
      </c>
      <c r="I5505" s="23" t="str">
        <f t="shared" si="341"/>
        <v>Hyderabad</v>
      </c>
      <c r="J5505" s="23">
        <f>COUNTIFS(pg_transaction_cleaned!$O:$O,A5505,pg_transaction_cleaned!$F:$F,"CAPTURE")</f>
        <v>1</v>
      </c>
      <c r="K5505" s="39">
        <f>SUMIFS(pg_transaction_cleaned!$H:$H,pg_transaction_cleaned!$O:$O,A5505,pg_transaction_cleaned!$F:$F,"CAPTURE")</f>
        <v>2148</v>
      </c>
      <c r="L5505" s="23">
        <f>COUNTIFS(pg_transaction_cleaned!$O:$O,A5505,pg_transaction_cleaned!$F:$F,"REFUND")</f>
        <v>0</v>
      </c>
      <c r="M5505" s="39">
        <f>SUMIFS(pg_transaction_cleaned!$H:$H,pg_transaction_cleaned!$O:$O,A5505,pg_transaction_cleaned!$F:$F,"REFUND")</f>
        <v>0</v>
      </c>
      <c r="N5505" s="23" t="str">
        <f t="shared" si="342"/>
        <v>OK</v>
      </c>
      <c r="O5505" s="24">
        <f t="shared" si="343"/>
        <v>0</v>
      </c>
    </row>
    <row r="5506" spans="1:15" ht="15" customHeight="1" x14ac:dyDescent="0.3">
      <c r="A5506" s="23" t="s">
        <v>11437</v>
      </c>
      <c r="B5506" s="38">
        <v>46284</v>
      </c>
      <c r="C5506" s="23" t="s">
        <v>11438</v>
      </c>
      <c r="D5506" s="23" t="s">
        <v>90</v>
      </c>
      <c r="E5506" s="23" t="s">
        <v>75</v>
      </c>
      <c r="F5506" s="23" t="s">
        <v>1193</v>
      </c>
      <c r="G5506" s="23" t="s">
        <v>250</v>
      </c>
      <c r="H5506" s="39">
        <f t="shared" ref="H5506:H5569" si="344">VALUE(SUBSTITUTE(F5506,",",""))</f>
        <v>3498</v>
      </c>
      <c r="I5506" s="23" t="str">
        <f t="shared" ref="I5506:I5569" si="345">IF(TRIM(D5506)="","Unknown",TRIM(D5506))</f>
        <v>Ahmedabad</v>
      </c>
      <c r="J5506" s="23">
        <f>COUNTIFS(pg_transaction_cleaned!$O:$O,A5506,pg_transaction_cleaned!$F:$F,"CAPTURE")</f>
        <v>1</v>
      </c>
      <c r="K5506" s="39">
        <f>SUMIFS(pg_transaction_cleaned!$H:$H,pg_transaction_cleaned!$O:$O,A5506,pg_transaction_cleaned!$F:$F,"CAPTURE")</f>
        <v>3498</v>
      </c>
      <c r="L5506" s="23">
        <f>COUNTIFS(pg_transaction_cleaned!$O:$O,A5506,pg_transaction_cleaned!$F:$F,"REFUND")</f>
        <v>0</v>
      </c>
      <c r="M5506" s="39">
        <f>SUMIFS(pg_transaction_cleaned!$H:$H,pg_transaction_cleaned!$O:$O,A5506,pg_transaction_cleaned!$F:$F,"REFUND")</f>
        <v>0</v>
      </c>
      <c r="N5506" s="23" t="str">
        <f t="shared" ref="N5506:N5569" si="346">IF(AND(G5506="Paid",J5506=0),"Paid, no payment",IF(AND(OR(G5506="Failed",G5506="Cancelled"),J5506&gt;0),"Payment on failed/cancelled",IF(J5506&gt;1,"Duplicate charge",IF(AND(J5506=1,ROUND(K5506-H5506,2)&lt;&gt;0),"Amount difference",IF(AND(G5506="Refunded",L5506=0),"Refunded, no refund",IF(AND(G5506&lt;&gt;"Refunded",L5506&gt;0),"Refund, order not Refunded",IF(AND(L5506&gt;0,ROUND(M5506-H5506,2)&lt;&gt;0),"Refund amount differs","OK")))))))</f>
        <v>OK</v>
      </c>
      <c r="O5506" s="24">
        <f t="shared" ref="O5506:O5569" si="347">IF(N5506="OK",0,IF(N5506="Paid, no payment",H5506,IF(N5506="Payment on failed/cancelled",K5506,IF(OR(N5506="Duplicate charge",N5506="Amount difference"),K5506-H5506,IF(N5506="Refunded, no refund",H5506,M5506)))))</f>
        <v>0</v>
      </c>
    </row>
    <row r="5507" spans="1:15" ht="15" customHeight="1" x14ac:dyDescent="0.3">
      <c r="A5507" s="23" t="s">
        <v>11439</v>
      </c>
      <c r="B5507" s="38">
        <v>46266</v>
      </c>
      <c r="C5507" s="23" t="s">
        <v>11440</v>
      </c>
      <c r="D5507" s="23" t="s">
        <v>92</v>
      </c>
      <c r="E5507" s="23" t="s">
        <v>75</v>
      </c>
      <c r="F5507" s="23" t="s">
        <v>3874</v>
      </c>
      <c r="G5507" s="23" t="s">
        <v>250</v>
      </c>
      <c r="H5507" s="39">
        <f t="shared" si="344"/>
        <v>3997</v>
      </c>
      <c r="I5507" s="23" t="str">
        <f t="shared" si="345"/>
        <v>Hyderabad</v>
      </c>
      <c r="J5507" s="23">
        <f>COUNTIFS(pg_transaction_cleaned!$O:$O,A5507,pg_transaction_cleaned!$F:$F,"CAPTURE")</f>
        <v>1</v>
      </c>
      <c r="K5507" s="39">
        <f>SUMIFS(pg_transaction_cleaned!$H:$H,pg_transaction_cleaned!$O:$O,A5507,pg_transaction_cleaned!$F:$F,"CAPTURE")</f>
        <v>3997</v>
      </c>
      <c r="L5507" s="23">
        <f>COUNTIFS(pg_transaction_cleaned!$O:$O,A5507,pg_transaction_cleaned!$F:$F,"REFUND")</f>
        <v>0</v>
      </c>
      <c r="M5507" s="39">
        <f>SUMIFS(pg_transaction_cleaned!$H:$H,pg_transaction_cleaned!$O:$O,A5507,pg_transaction_cleaned!$F:$F,"REFUND")</f>
        <v>0</v>
      </c>
      <c r="N5507" s="23" t="str">
        <f t="shared" si="346"/>
        <v>OK</v>
      </c>
      <c r="O5507" s="24">
        <f t="shared" si="347"/>
        <v>0</v>
      </c>
    </row>
    <row r="5508" spans="1:15" ht="15" customHeight="1" x14ac:dyDescent="0.3">
      <c r="A5508" s="23" t="s">
        <v>11441</v>
      </c>
      <c r="B5508" s="38">
        <v>46272</v>
      </c>
      <c r="C5508" s="23" t="s">
        <v>11442</v>
      </c>
      <c r="D5508" s="23" t="s">
        <v>90</v>
      </c>
      <c r="E5508" s="23" t="s">
        <v>75</v>
      </c>
      <c r="F5508" s="23" t="s">
        <v>294</v>
      </c>
      <c r="G5508" s="23" t="s">
        <v>250</v>
      </c>
      <c r="H5508" s="39">
        <f t="shared" si="344"/>
        <v>1799</v>
      </c>
      <c r="I5508" s="23" t="str">
        <f t="shared" si="345"/>
        <v>Ahmedabad</v>
      </c>
      <c r="J5508" s="23">
        <f>COUNTIFS(pg_transaction_cleaned!$O:$O,A5508,pg_transaction_cleaned!$F:$F,"CAPTURE")</f>
        <v>1</v>
      </c>
      <c r="K5508" s="39">
        <f>SUMIFS(pg_transaction_cleaned!$H:$H,pg_transaction_cleaned!$O:$O,A5508,pg_transaction_cleaned!$F:$F,"CAPTURE")</f>
        <v>1799</v>
      </c>
      <c r="L5508" s="23">
        <f>COUNTIFS(pg_transaction_cleaned!$O:$O,A5508,pg_transaction_cleaned!$F:$F,"REFUND")</f>
        <v>0</v>
      </c>
      <c r="M5508" s="39">
        <f>SUMIFS(pg_transaction_cleaned!$H:$H,pg_transaction_cleaned!$O:$O,A5508,pg_transaction_cleaned!$F:$F,"REFUND")</f>
        <v>0</v>
      </c>
      <c r="N5508" s="23" t="str">
        <f t="shared" si="346"/>
        <v>OK</v>
      </c>
      <c r="O5508" s="24">
        <f t="shared" si="347"/>
        <v>0</v>
      </c>
    </row>
    <row r="5509" spans="1:15" ht="15" customHeight="1" x14ac:dyDescent="0.3">
      <c r="A5509" s="23" t="s">
        <v>11443</v>
      </c>
      <c r="B5509" s="38">
        <v>46281</v>
      </c>
      <c r="C5509" s="23" t="s">
        <v>11444</v>
      </c>
      <c r="D5509" s="23" t="s">
        <v>87</v>
      </c>
      <c r="E5509" s="23" t="s">
        <v>75</v>
      </c>
      <c r="F5509" s="23" t="s">
        <v>787</v>
      </c>
      <c r="G5509" s="23" t="s">
        <v>250</v>
      </c>
      <c r="H5509" s="39">
        <f t="shared" si="344"/>
        <v>7997</v>
      </c>
      <c r="I5509" s="23" t="str">
        <f t="shared" si="345"/>
        <v>Mumbai</v>
      </c>
      <c r="J5509" s="23">
        <f>COUNTIFS(pg_transaction_cleaned!$O:$O,A5509,pg_transaction_cleaned!$F:$F,"CAPTURE")</f>
        <v>1</v>
      </c>
      <c r="K5509" s="39">
        <f>SUMIFS(pg_transaction_cleaned!$H:$H,pg_transaction_cleaned!$O:$O,A5509,pg_transaction_cleaned!$F:$F,"CAPTURE")</f>
        <v>7997</v>
      </c>
      <c r="L5509" s="23">
        <f>COUNTIFS(pg_transaction_cleaned!$O:$O,A5509,pg_transaction_cleaned!$F:$F,"REFUND")</f>
        <v>0</v>
      </c>
      <c r="M5509" s="39">
        <f>SUMIFS(pg_transaction_cleaned!$H:$H,pg_transaction_cleaned!$O:$O,A5509,pg_transaction_cleaned!$F:$F,"REFUND")</f>
        <v>0</v>
      </c>
      <c r="N5509" s="23" t="str">
        <f t="shared" si="346"/>
        <v>OK</v>
      </c>
      <c r="O5509" s="24">
        <f t="shared" si="347"/>
        <v>0</v>
      </c>
    </row>
    <row r="5510" spans="1:15" ht="15" customHeight="1" x14ac:dyDescent="0.3">
      <c r="A5510" s="23" t="s">
        <v>11445</v>
      </c>
      <c r="B5510" s="38">
        <v>46285</v>
      </c>
      <c r="C5510" s="23" t="s">
        <v>11446</v>
      </c>
      <c r="D5510" s="23" t="s">
        <v>92</v>
      </c>
      <c r="E5510" s="23" t="s">
        <v>75</v>
      </c>
      <c r="F5510" s="23" t="s">
        <v>262</v>
      </c>
      <c r="G5510" s="23" t="s">
        <v>250</v>
      </c>
      <c r="H5510" s="39">
        <f t="shared" si="344"/>
        <v>499</v>
      </c>
      <c r="I5510" s="23" t="str">
        <f t="shared" si="345"/>
        <v>Hyderabad</v>
      </c>
      <c r="J5510" s="23">
        <f>COUNTIFS(pg_transaction_cleaned!$O:$O,A5510,pg_transaction_cleaned!$F:$F,"CAPTURE")</f>
        <v>1</v>
      </c>
      <c r="K5510" s="39">
        <f>SUMIFS(pg_transaction_cleaned!$H:$H,pg_transaction_cleaned!$O:$O,A5510,pg_transaction_cleaned!$F:$F,"CAPTURE")</f>
        <v>499</v>
      </c>
      <c r="L5510" s="23">
        <f>COUNTIFS(pg_transaction_cleaned!$O:$O,A5510,pg_transaction_cleaned!$F:$F,"REFUND")</f>
        <v>0</v>
      </c>
      <c r="M5510" s="39">
        <f>SUMIFS(pg_transaction_cleaned!$H:$H,pg_transaction_cleaned!$O:$O,A5510,pg_transaction_cleaned!$F:$F,"REFUND")</f>
        <v>0</v>
      </c>
      <c r="N5510" s="23" t="str">
        <f t="shared" si="346"/>
        <v>OK</v>
      </c>
      <c r="O5510" s="24">
        <f t="shared" si="347"/>
        <v>0</v>
      </c>
    </row>
    <row r="5511" spans="1:15" ht="15" customHeight="1" x14ac:dyDescent="0.3">
      <c r="A5511" s="23" t="s">
        <v>11447</v>
      </c>
      <c r="B5511" s="38">
        <v>46276</v>
      </c>
      <c r="C5511" s="23" t="s">
        <v>11448</v>
      </c>
      <c r="D5511" s="23" t="s">
        <v>95</v>
      </c>
      <c r="E5511" s="23" t="s">
        <v>75</v>
      </c>
      <c r="F5511" s="23" t="s">
        <v>310</v>
      </c>
      <c r="G5511" s="23" t="s">
        <v>250</v>
      </c>
      <c r="H5511" s="39">
        <f t="shared" si="344"/>
        <v>7999</v>
      </c>
      <c r="I5511" s="23" t="str">
        <f t="shared" si="345"/>
        <v>Bengaluru</v>
      </c>
      <c r="J5511" s="23">
        <f>COUNTIFS(pg_transaction_cleaned!$O:$O,A5511,pg_transaction_cleaned!$F:$F,"CAPTURE")</f>
        <v>1</v>
      </c>
      <c r="K5511" s="39">
        <f>SUMIFS(pg_transaction_cleaned!$H:$H,pg_transaction_cleaned!$O:$O,A5511,pg_transaction_cleaned!$F:$F,"CAPTURE")</f>
        <v>7999</v>
      </c>
      <c r="L5511" s="23">
        <f>COUNTIFS(pg_transaction_cleaned!$O:$O,A5511,pg_transaction_cleaned!$F:$F,"REFUND")</f>
        <v>0</v>
      </c>
      <c r="M5511" s="39">
        <f>SUMIFS(pg_transaction_cleaned!$H:$H,pg_transaction_cleaned!$O:$O,A5511,pg_transaction_cleaned!$F:$F,"REFUND")</f>
        <v>0</v>
      </c>
      <c r="N5511" s="23" t="str">
        <f t="shared" si="346"/>
        <v>OK</v>
      </c>
      <c r="O5511" s="24">
        <f t="shared" si="347"/>
        <v>0</v>
      </c>
    </row>
    <row r="5512" spans="1:15" ht="15" customHeight="1" x14ac:dyDescent="0.3">
      <c r="A5512" s="23" t="s">
        <v>11449</v>
      </c>
      <c r="B5512" s="38">
        <v>46292</v>
      </c>
      <c r="C5512" s="23" t="s">
        <v>11450</v>
      </c>
      <c r="D5512" s="23" t="s">
        <v>90</v>
      </c>
      <c r="E5512" s="23" t="s">
        <v>75</v>
      </c>
      <c r="F5512" s="23" t="s">
        <v>763</v>
      </c>
      <c r="G5512" s="23" t="s">
        <v>250</v>
      </c>
      <c r="H5512" s="39">
        <f t="shared" si="344"/>
        <v>299</v>
      </c>
      <c r="I5512" s="23" t="str">
        <f t="shared" si="345"/>
        <v>Ahmedabad</v>
      </c>
      <c r="J5512" s="23">
        <f>COUNTIFS(pg_transaction_cleaned!$O:$O,A5512,pg_transaction_cleaned!$F:$F,"CAPTURE")</f>
        <v>1</v>
      </c>
      <c r="K5512" s="39">
        <f>SUMIFS(pg_transaction_cleaned!$H:$H,pg_transaction_cleaned!$O:$O,A5512,pg_transaction_cleaned!$F:$F,"CAPTURE")</f>
        <v>299</v>
      </c>
      <c r="L5512" s="23">
        <f>COUNTIFS(pg_transaction_cleaned!$O:$O,A5512,pg_transaction_cleaned!$F:$F,"REFUND")</f>
        <v>0</v>
      </c>
      <c r="M5512" s="39">
        <f>SUMIFS(pg_transaction_cleaned!$H:$H,pg_transaction_cleaned!$O:$O,A5512,pg_transaction_cleaned!$F:$F,"REFUND")</f>
        <v>0</v>
      </c>
      <c r="N5512" s="23" t="str">
        <f t="shared" si="346"/>
        <v>OK</v>
      </c>
      <c r="O5512" s="24">
        <f t="shared" si="347"/>
        <v>0</v>
      </c>
    </row>
    <row r="5513" spans="1:15" ht="15" customHeight="1" x14ac:dyDescent="0.3">
      <c r="A5513" s="23" t="s">
        <v>11451</v>
      </c>
      <c r="B5513" s="38">
        <v>46275</v>
      </c>
      <c r="C5513" s="23" t="s">
        <v>11452</v>
      </c>
      <c r="D5513" s="23" t="s">
        <v>94</v>
      </c>
      <c r="E5513" s="23" t="s">
        <v>75</v>
      </c>
      <c r="F5513" s="23" t="s">
        <v>297</v>
      </c>
      <c r="G5513" s="23" t="s">
        <v>250</v>
      </c>
      <c r="H5513" s="39">
        <f t="shared" si="344"/>
        <v>4999</v>
      </c>
      <c r="I5513" s="23" t="str">
        <f t="shared" si="345"/>
        <v>Chennai</v>
      </c>
      <c r="J5513" s="23">
        <f>COUNTIFS(pg_transaction_cleaned!$O:$O,A5513,pg_transaction_cleaned!$F:$F,"CAPTURE")</f>
        <v>1</v>
      </c>
      <c r="K5513" s="39">
        <f>SUMIFS(pg_transaction_cleaned!$H:$H,pg_transaction_cleaned!$O:$O,A5513,pg_transaction_cleaned!$F:$F,"CAPTURE")</f>
        <v>4999</v>
      </c>
      <c r="L5513" s="23">
        <f>COUNTIFS(pg_transaction_cleaned!$O:$O,A5513,pg_transaction_cleaned!$F:$F,"REFUND")</f>
        <v>0</v>
      </c>
      <c r="M5513" s="39">
        <f>SUMIFS(pg_transaction_cleaned!$H:$H,pg_transaction_cleaned!$O:$O,A5513,pg_transaction_cleaned!$F:$F,"REFUND")</f>
        <v>0</v>
      </c>
      <c r="N5513" s="23" t="str">
        <f t="shared" si="346"/>
        <v>OK</v>
      </c>
      <c r="O5513" s="24">
        <f t="shared" si="347"/>
        <v>0</v>
      </c>
    </row>
    <row r="5514" spans="1:15" ht="15" customHeight="1" x14ac:dyDescent="0.3">
      <c r="A5514" s="23" t="s">
        <v>11453</v>
      </c>
      <c r="B5514" s="38">
        <v>46278</v>
      </c>
      <c r="C5514" s="23" t="s">
        <v>11454</v>
      </c>
      <c r="D5514" s="23" t="s">
        <v>94</v>
      </c>
      <c r="E5514" s="23" t="s">
        <v>75</v>
      </c>
      <c r="F5514" s="23" t="s">
        <v>262</v>
      </c>
      <c r="G5514" s="23" t="s">
        <v>250</v>
      </c>
      <c r="H5514" s="39">
        <f t="shared" si="344"/>
        <v>499</v>
      </c>
      <c r="I5514" s="23" t="str">
        <f t="shared" si="345"/>
        <v>Chennai</v>
      </c>
      <c r="J5514" s="23">
        <f>COUNTIFS(pg_transaction_cleaned!$O:$O,A5514,pg_transaction_cleaned!$F:$F,"CAPTURE")</f>
        <v>1</v>
      </c>
      <c r="K5514" s="39">
        <f>SUMIFS(pg_transaction_cleaned!$H:$H,pg_transaction_cleaned!$O:$O,A5514,pg_transaction_cleaned!$F:$F,"CAPTURE")</f>
        <v>499</v>
      </c>
      <c r="L5514" s="23">
        <f>COUNTIFS(pg_transaction_cleaned!$O:$O,A5514,pg_transaction_cleaned!$F:$F,"REFUND")</f>
        <v>0</v>
      </c>
      <c r="M5514" s="39">
        <f>SUMIFS(pg_transaction_cleaned!$H:$H,pg_transaction_cleaned!$O:$O,A5514,pg_transaction_cleaned!$F:$F,"REFUND")</f>
        <v>0</v>
      </c>
      <c r="N5514" s="23" t="str">
        <f t="shared" si="346"/>
        <v>OK</v>
      </c>
      <c r="O5514" s="24">
        <f t="shared" si="347"/>
        <v>0</v>
      </c>
    </row>
    <row r="5515" spans="1:15" ht="15" customHeight="1" x14ac:dyDescent="0.3">
      <c r="A5515" s="23" t="s">
        <v>11455</v>
      </c>
      <c r="B5515" s="38">
        <v>46276</v>
      </c>
      <c r="C5515" s="23" t="s">
        <v>11456</v>
      </c>
      <c r="D5515" s="23" t="s">
        <v>94</v>
      </c>
      <c r="E5515" s="23" t="s">
        <v>75</v>
      </c>
      <c r="F5515" s="23" t="s">
        <v>357</v>
      </c>
      <c r="G5515" s="23" t="s">
        <v>250</v>
      </c>
      <c r="H5515" s="39">
        <f t="shared" si="344"/>
        <v>1598</v>
      </c>
      <c r="I5515" s="23" t="str">
        <f t="shared" si="345"/>
        <v>Chennai</v>
      </c>
      <c r="J5515" s="23">
        <f>COUNTIFS(pg_transaction_cleaned!$O:$O,A5515,pg_transaction_cleaned!$F:$F,"CAPTURE")</f>
        <v>1</v>
      </c>
      <c r="K5515" s="39">
        <f>SUMIFS(pg_transaction_cleaned!$H:$H,pg_transaction_cleaned!$O:$O,A5515,pg_transaction_cleaned!$F:$F,"CAPTURE")</f>
        <v>1598</v>
      </c>
      <c r="L5515" s="23">
        <f>COUNTIFS(pg_transaction_cleaned!$O:$O,A5515,pg_transaction_cleaned!$F:$F,"REFUND")</f>
        <v>0</v>
      </c>
      <c r="M5515" s="39">
        <f>SUMIFS(pg_transaction_cleaned!$H:$H,pg_transaction_cleaned!$O:$O,A5515,pg_transaction_cleaned!$F:$F,"REFUND")</f>
        <v>0</v>
      </c>
      <c r="N5515" s="23" t="str">
        <f t="shared" si="346"/>
        <v>OK</v>
      </c>
      <c r="O5515" s="24">
        <f t="shared" si="347"/>
        <v>0</v>
      </c>
    </row>
    <row r="5516" spans="1:15" ht="15" customHeight="1" x14ac:dyDescent="0.3">
      <c r="A5516" s="23" t="s">
        <v>11457</v>
      </c>
      <c r="B5516" s="38">
        <v>46276</v>
      </c>
      <c r="C5516" s="23" t="s">
        <v>11458</v>
      </c>
      <c r="D5516" s="23" t="s">
        <v>95</v>
      </c>
      <c r="E5516" s="23" t="s">
        <v>75</v>
      </c>
      <c r="F5516" s="23" t="s">
        <v>268</v>
      </c>
      <c r="G5516" s="23" t="s">
        <v>250</v>
      </c>
      <c r="H5516" s="39">
        <f t="shared" si="344"/>
        <v>1299</v>
      </c>
      <c r="I5516" s="23" t="str">
        <f t="shared" si="345"/>
        <v>Bengaluru</v>
      </c>
      <c r="J5516" s="23">
        <f>COUNTIFS(pg_transaction_cleaned!$O:$O,A5516,pg_transaction_cleaned!$F:$F,"CAPTURE")</f>
        <v>1</v>
      </c>
      <c r="K5516" s="39">
        <f>SUMIFS(pg_transaction_cleaned!$H:$H,pg_transaction_cleaned!$O:$O,A5516,pg_transaction_cleaned!$F:$F,"CAPTURE")</f>
        <v>1299</v>
      </c>
      <c r="L5516" s="23">
        <f>COUNTIFS(pg_transaction_cleaned!$O:$O,A5516,pg_transaction_cleaned!$F:$F,"REFUND")</f>
        <v>0</v>
      </c>
      <c r="M5516" s="39">
        <f>SUMIFS(pg_transaction_cleaned!$H:$H,pg_transaction_cleaned!$O:$O,A5516,pg_transaction_cleaned!$F:$F,"REFUND")</f>
        <v>0</v>
      </c>
      <c r="N5516" s="23" t="str">
        <f t="shared" si="346"/>
        <v>OK</v>
      </c>
      <c r="O5516" s="24">
        <f t="shared" si="347"/>
        <v>0</v>
      </c>
    </row>
    <row r="5517" spans="1:15" ht="15" customHeight="1" x14ac:dyDescent="0.3">
      <c r="A5517" s="23" t="s">
        <v>11459</v>
      </c>
      <c r="B5517" s="38">
        <v>46278</v>
      </c>
      <c r="C5517" s="23" t="s">
        <v>11460</v>
      </c>
      <c r="D5517" s="23" t="s">
        <v>87</v>
      </c>
      <c r="E5517" s="23" t="s">
        <v>79</v>
      </c>
      <c r="F5517" s="23" t="s">
        <v>587</v>
      </c>
      <c r="G5517" s="23" t="s">
        <v>250</v>
      </c>
      <c r="H5517" s="39">
        <f t="shared" si="344"/>
        <v>5297</v>
      </c>
      <c r="I5517" s="23" t="str">
        <f t="shared" si="345"/>
        <v>Mumbai</v>
      </c>
      <c r="J5517" s="23">
        <f>COUNTIFS(pg_transaction_cleaned!$O:$O,A5517,pg_transaction_cleaned!$F:$F,"CAPTURE")</f>
        <v>1</v>
      </c>
      <c r="K5517" s="39">
        <f>SUMIFS(pg_transaction_cleaned!$H:$H,pg_transaction_cleaned!$O:$O,A5517,pg_transaction_cleaned!$F:$F,"CAPTURE")</f>
        <v>5297</v>
      </c>
      <c r="L5517" s="23">
        <f>COUNTIFS(pg_transaction_cleaned!$O:$O,A5517,pg_transaction_cleaned!$F:$F,"REFUND")</f>
        <v>0</v>
      </c>
      <c r="M5517" s="39">
        <f>SUMIFS(pg_transaction_cleaned!$H:$H,pg_transaction_cleaned!$O:$O,A5517,pg_transaction_cleaned!$F:$F,"REFUND")</f>
        <v>0</v>
      </c>
      <c r="N5517" s="23" t="str">
        <f t="shared" si="346"/>
        <v>OK</v>
      </c>
      <c r="O5517" s="24">
        <f t="shared" si="347"/>
        <v>0</v>
      </c>
    </row>
    <row r="5518" spans="1:15" ht="15" customHeight="1" x14ac:dyDescent="0.3">
      <c r="A5518" s="23" t="s">
        <v>11461</v>
      </c>
      <c r="B5518" s="38">
        <v>46266</v>
      </c>
      <c r="C5518" s="23" t="s">
        <v>11462</v>
      </c>
      <c r="D5518" s="23" t="s">
        <v>89</v>
      </c>
      <c r="E5518" s="23" t="s">
        <v>77</v>
      </c>
      <c r="F5518" s="23" t="s">
        <v>291</v>
      </c>
      <c r="G5518" s="23" t="s">
        <v>250</v>
      </c>
      <c r="H5518" s="39">
        <f t="shared" si="344"/>
        <v>3499</v>
      </c>
      <c r="I5518" s="23" t="str">
        <f t="shared" si="345"/>
        <v>Jaipur</v>
      </c>
      <c r="J5518" s="23">
        <f>COUNTIFS(pg_transaction_cleaned!$O:$O,A5518,pg_transaction_cleaned!$F:$F,"CAPTURE")</f>
        <v>1</v>
      </c>
      <c r="K5518" s="39">
        <f>SUMIFS(pg_transaction_cleaned!$H:$H,pg_transaction_cleaned!$O:$O,A5518,pg_transaction_cleaned!$F:$F,"CAPTURE")</f>
        <v>3499</v>
      </c>
      <c r="L5518" s="23">
        <f>COUNTIFS(pg_transaction_cleaned!$O:$O,A5518,pg_transaction_cleaned!$F:$F,"REFUND")</f>
        <v>0</v>
      </c>
      <c r="M5518" s="39">
        <f>SUMIFS(pg_transaction_cleaned!$H:$H,pg_transaction_cleaned!$O:$O,A5518,pg_transaction_cleaned!$F:$F,"REFUND")</f>
        <v>0</v>
      </c>
      <c r="N5518" s="23" t="str">
        <f t="shared" si="346"/>
        <v>OK</v>
      </c>
      <c r="O5518" s="24">
        <f t="shared" si="347"/>
        <v>0</v>
      </c>
    </row>
    <row r="5519" spans="1:15" ht="15" customHeight="1" x14ac:dyDescent="0.3">
      <c r="A5519" s="23" t="s">
        <v>11463</v>
      </c>
      <c r="B5519" s="38">
        <v>46281</v>
      </c>
      <c r="C5519" s="23" t="s">
        <v>1157</v>
      </c>
      <c r="D5519" s="23" t="s">
        <v>91</v>
      </c>
      <c r="E5519" s="23" t="s">
        <v>75</v>
      </c>
      <c r="F5519" s="23" t="s">
        <v>268</v>
      </c>
      <c r="G5519" s="23" t="s">
        <v>250</v>
      </c>
      <c r="H5519" s="39">
        <f t="shared" si="344"/>
        <v>1299</v>
      </c>
      <c r="I5519" s="23" t="str">
        <f t="shared" si="345"/>
        <v>Pune</v>
      </c>
      <c r="J5519" s="23">
        <f>COUNTIFS(pg_transaction_cleaned!$O:$O,A5519,pg_transaction_cleaned!$F:$F,"CAPTURE")</f>
        <v>1</v>
      </c>
      <c r="K5519" s="39">
        <f>SUMIFS(pg_transaction_cleaned!$H:$H,pg_transaction_cleaned!$O:$O,A5519,pg_transaction_cleaned!$F:$F,"CAPTURE")</f>
        <v>1299</v>
      </c>
      <c r="L5519" s="23">
        <f>COUNTIFS(pg_transaction_cleaned!$O:$O,A5519,pg_transaction_cleaned!$F:$F,"REFUND")</f>
        <v>0</v>
      </c>
      <c r="M5519" s="39">
        <f>SUMIFS(pg_transaction_cleaned!$H:$H,pg_transaction_cleaned!$O:$O,A5519,pg_transaction_cleaned!$F:$F,"REFUND")</f>
        <v>0</v>
      </c>
      <c r="N5519" s="23" t="str">
        <f t="shared" si="346"/>
        <v>OK</v>
      </c>
      <c r="O5519" s="24">
        <f t="shared" si="347"/>
        <v>0</v>
      </c>
    </row>
    <row r="5520" spans="1:15" ht="15" customHeight="1" x14ac:dyDescent="0.3">
      <c r="A5520" s="23" t="s">
        <v>11464</v>
      </c>
      <c r="B5520" s="38">
        <v>46271</v>
      </c>
      <c r="C5520" s="23" t="s">
        <v>11465</v>
      </c>
      <c r="D5520" s="23" t="s">
        <v>88</v>
      </c>
      <c r="E5520" s="23" t="s">
        <v>81</v>
      </c>
      <c r="F5520" s="23" t="s">
        <v>291</v>
      </c>
      <c r="G5520" s="23" t="s">
        <v>250</v>
      </c>
      <c r="H5520" s="39">
        <f t="shared" si="344"/>
        <v>3499</v>
      </c>
      <c r="I5520" s="23" t="str">
        <f t="shared" si="345"/>
        <v>Lucknow</v>
      </c>
      <c r="J5520" s="23">
        <f>COUNTIFS(pg_transaction_cleaned!$O:$O,A5520,pg_transaction_cleaned!$F:$F,"CAPTURE")</f>
        <v>1</v>
      </c>
      <c r="K5520" s="39">
        <f>SUMIFS(pg_transaction_cleaned!$H:$H,pg_transaction_cleaned!$O:$O,A5520,pg_transaction_cleaned!$F:$F,"CAPTURE")</f>
        <v>3499</v>
      </c>
      <c r="L5520" s="23">
        <f>COUNTIFS(pg_transaction_cleaned!$O:$O,A5520,pg_transaction_cleaned!$F:$F,"REFUND")</f>
        <v>0</v>
      </c>
      <c r="M5520" s="39">
        <f>SUMIFS(pg_transaction_cleaned!$H:$H,pg_transaction_cleaned!$O:$O,A5520,pg_transaction_cleaned!$F:$F,"REFUND")</f>
        <v>0</v>
      </c>
      <c r="N5520" s="23" t="str">
        <f t="shared" si="346"/>
        <v>OK</v>
      </c>
      <c r="O5520" s="24">
        <f t="shared" si="347"/>
        <v>0</v>
      </c>
    </row>
    <row r="5521" spans="1:15" ht="15" customHeight="1" x14ac:dyDescent="0.3">
      <c r="A5521" s="23" t="s">
        <v>11466</v>
      </c>
      <c r="B5521" s="38">
        <v>46272</v>
      </c>
      <c r="C5521" s="23" t="s">
        <v>11467</v>
      </c>
      <c r="D5521" s="23"/>
      <c r="E5521" s="23" t="s">
        <v>79</v>
      </c>
      <c r="F5521" s="23" t="s">
        <v>329</v>
      </c>
      <c r="G5521" s="23" t="s">
        <v>250</v>
      </c>
      <c r="H5521" s="39">
        <f t="shared" si="344"/>
        <v>599</v>
      </c>
      <c r="I5521" s="23" t="str">
        <f t="shared" si="345"/>
        <v>Unknown</v>
      </c>
      <c r="J5521" s="23">
        <f>COUNTIFS(pg_transaction_cleaned!$O:$O,A5521,pg_transaction_cleaned!$F:$F,"CAPTURE")</f>
        <v>1</v>
      </c>
      <c r="K5521" s="39">
        <f>SUMIFS(pg_transaction_cleaned!$H:$H,pg_transaction_cleaned!$O:$O,A5521,pg_transaction_cleaned!$F:$F,"CAPTURE")</f>
        <v>599</v>
      </c>
      <c r="L5521" s="23">
        <f>COUNTIFS(pg_transaction_cleaned!$O:$O,A5521,pg_transaction_cleaned!$F:$F,"REFUND")</f>
        <v>0</v>
      </c>
      <c r="M5521" s="39">
        <f>SUMIFS(pg_transaction_cleaned!$H:$H,pg_transaction_cleaned!$O:$O,A5521,pg_transaction_cleaned!$F:$F,"REFUND")</f>
        <v>0</v>
      </c>
      <c r="N5521" s="23" t="str">
        <f t="shared" si="346"/>
        <v>OK</v>
      </c>
      <c r="O5521" s="24">
        <f t="shared" si="347"/>
        <v>0</v>
      </c>
    </row>
    <row r="5522" spans="1:15" ht="15" customHeight="1" x14ac:dyDescent="0.3">
      <c r="A5522" s="23" t="s">
        <v>11468</v>
      </c>
      <c r="B5522" s="38">
        <v>46290</v>
      </c>
      <c r="C5522" s="23" t="s">
        <v>11469</v>
      </c>
      <c r="D5522" s="23" t="s">
        <v>88</v>
      </c>
      <c r="E5522" s="23" t="s">
        <v>75</v>
      </c>
      <c r="F5522" s="23" t="s">
        <v>1103</v>
      </c>
      <c r="G5522" s="23" t="s">
        <v>250</v>
      </c>
      <c r="H5522" s="39">
        <f t="shared" si="344"/>
        <v>3897</v>
      </c>
      <c r="I5522" s="23" t="str">
        <f t="shared" si="345"/>
        <v>Lucknow</v>
      </c>
      <c r="J5522" s="23">
        <f>COUNTIFS(pg_transaction_cleaned!$O:$O,A5522,pg_transaction_cleaned!$F:$F,"CAPTURE")</f>
        <v>1</v>
      </c>
      <c r="K5522" s="39">
        <f>SUMIFS(pg_transaction_cleaned!$H:$H,pg_transaction_cleaned!$O:$O,A5522,pg_transaction_cleaned!$F:$F,"CAPTURE")</f>
        <v>3897</v>
      </c>
      <c r="L5522" s="23">
        <f>COUNTIFS(pg_transaction_cleaned!$O:$O,A5522,pg_transaction_cleaned!$F:$F,"REFUND")</f>
        <v>0</v>
      </c>
      <c r="M5522" s="39">
        <f>SUMIFS(pg_transaction_cleaned!$H:$H,pg_transaction_cleaned!$O:$O,A5522,pg_transaction_cleaned!$F:$F,"REFUND")</f>
        <v>0</v>
      </c>
      <c r="N5522" s="23" t="str">
        <f t="shared" si="346"/>
        <v>OK</v>
      </c>
      <c r="O5522" s="24">
        <f t="shared" si="347"/>
        <v>0</v>
      </c>
    </row>
    <row r="5523" spans="1:15" ht="15" customHeight="1" x14ac:dyDescent="0.3">
      <c r="A5523" s="23" t="s">
        <v>11470</v>
      </c>
      <c r="B5523" s="38">
        <v>46288</v>
      </c>
      <c r="C5523" s="23" t="s">
        <v>11471</v>
      </c>
      <c r="D5523" s="23" t="s">
        <v>87</v>
      </c>
      <c r="E5523" s="23" t="s">
        <v>75</v>
      </c>
      <c r="F5523" s="23" t="s">
        <v>274</v>
      </c>
      <c r="G5523" s="23" t="s">
        <v>250</v>
      </c>
      <c r="H5523" s="39">
        <f t="shared" si="344"/>
        <v>349</v>
      </c>
      <c r="I5523" s="23" t="str">
        <f t="shared" si="345"/>
        <v>Mumbai</v>
      </c>
      <c r="J5523" s="23">
        <f>COUNTIFS(pg_transaction_cleaned!$O:$O,A5523,pg_transaction_cleaned!$F:$F,"CAPTURE")</f>
        <v>1</v>
      </c>
      <c r="K5523" s="39">
        <f>SUMIFS(pg_transaction_cleaned!$H:$H,pg_transaction_cleaned!$O:$O,A5523,pg_transaction_cleaned!$F:$F,"CAPTURE")</f>
        <v>349</v>
      </c>
      <c r="L5523" s="23">
        <f>COUNTIFS(pg_transaction_cleaned!$O:$O,A5523,pg_transaction_cleaned!$F:$F,"REFUND")</f>
        <v>0</v>
      </c>
      <c r="M5523" s="39">
        <f>SUMIFS(pg_transaction_cleaned!$H:$H,pg_transaction_cleaned!$O:$O,A5523,pg_transaction_cleaned!$F:$F,"REFUND")</f>
        <v>0</v>
      </c>
      <c r="N5523" s="23" t="str">
        <f t="shared" si="346"/>
        <v>OK</v>
      </c>
      <c r="O5523" s="24">
        <f t="shared" si="347"/>
        <v>0</v>
      </c>
    </row>
    <row r="5524" spans="1:15" ht="15" customHeight="1" x14ac:dyDescent="0.3">
      <c r="A5524" s="23" t="s">
        <v>11472</v>
      </c>
      <c r="B5524" s="38">
        <v>46294</v>
      </c>
      <c r="C5524" s="23" t="s">
        <v>11473</v>
      </c>
      <c r="D5524" s="23" t="s">
        <v>95</v>
      </c>
      <c r="E5524" s="23" t="s">
        <v>81</v>
      </c>
      <c r="F5524" s="23" t="s">
        <v>259</v>
      </c>
      <c r="G5524" s="23" t="s">
        <v>250</v>
      </c>
      <c r="H5524" s="39">
        <f t="shared" si="344"/>
        <v>3298</v>
      </c>
      <c r="I5524" s="23" t="str">
        <f t="shared" si="345"/>
        <v>Bengaluru</v>
      </c>
      <c r="J5524" s="23">
        <f>COUNTIFS(pg_transaction_cleaned!$O:$O,A5524,pg_transaction_cleaned!$F:$F,"CAPTURE")</f>
        <v>1</v>
      </c>
      <c r="K5524" s="39">
        <f>SUMIFS(pg_transaction_cleaned!$H:$H,pg_transaction_cleaned!$O:$O,A5524,pg_transaction_cleaned!$F:$F,"CAPTURE")</f>
        <v>3298</v>
      </c>
      <c r="L5524" s="23">
        <f>COUNTIFS(pg_transaction_cleaned!$O:$O,A5524,pg_transaction_cleaned!$F:$F,"REFUND")</f>
        <v>0</v>
      </c>
      <c r="M5524" s="39">
        <f>SUMIFS(pg_transaction_cleaned!$H:$H,pg_transaction_cleaned!$O:$O,A5524,pg_transaction_cleaned!$F:$F,"REFUND")</f>
        <v>0</v>
      </c>
      <c r="N5524" s="23" t="str">
        <f t="shared" si="346"/>
        <v>OK</v>
      </c>
      <c r="O5524" s="24">
        <f t="shared" si="347"/>
        <v>0</v>
      </c>
    </row>
    <row r="5525" spans="1:15" ht="15" customHeight="1" x14ac:dyDescent="0.3">
      <c r="A5525" s="23" t="s">
        <v>11474</v>
      </c>
      <c r="B5525" s="38">
        <v>46267</v>
      </c>
      <c r="C5525" s="23" t="s">
        <v>11475</v>
      </c>
      <c r="D5525" s="23" t="s">
        <v>89</v>
      </c>
      <c r="E5525" s="23" t="s">
        <v>79</v>
      </c>
      <c r="F5525" s="23" t="s">
        <v>475</v>
      </c>
      <c r="G5525" s="23" t="s">
        <v>250</v>
      </c>
      <c r="H5525" s="39">
        <f t="shared" si="344"/>
        <v>799</v>
      </c>
      <c r="I5525" s="23" t="str">
        <f t="shared" si="345"/>
        <v>Jaipur</v>
      </c>
      <c r="J5525" s="23">
        <f>COUNTIFS(pg_transaction_cleaned!$O:$O,A5525,pg_transaction_cleaned!$F:$F,"CAPTURE")</f>
        <v>1</v>
      </c>
      <c r="K5525" s="39">
        <f>SUMIFS(pg_transaction_cleaned!$H:$H,pg_transaction_cleaned!$O:$O,A5525,pg_transaction_cleaned!$F:$F,"CAPTURE")</f>
        <v>799</v>
      </c>
      <c r="L5525" s="23">
        <f>COUNTIFS(pg_transaction_cleaned!$O:$O,A5525,pg_transaction_cleaned!$F:$F,"REFUND")</f>
        <v>0</v>
      </c>
      <c r="M5525" s="39">
        <f>SUMIFS(pg_transaction_cleaned!$H:$H,pg_transaction_cleaned!$O:$O,A5525,pg_transaction_cleaned!$F:$F,"REFUND")</f>
        <v>0</v>
      </c>
      <c r="N5525" s="23" t="str">
        <f t="shared" si="346"/>
        <v>OK</v>
      </c>
      <c r="O5525" s="24">
        <f t="shared" si="347"/>
        <v>0</v>
      </c>
    </row>
    <row r="5526" spans="1:15" ht="15" customHeight="1" x14ac:dyDescent="0.3">
      <c r="A5526" s="23" t="s">
        <v>11476</v>
      </c>
      <c r="B5526" s="38">
        <v>46291</v>
      </c>
      <c r="C5526" s="23" t="s">
        <v>11477</v>
      </c>
      <c r="D5526" s="23" t="s">
        <v>88</v>
      </c>
      <c r="E5526" s="23" t="s">
        <v>75</v>
      </c>
      <c r="F5526" s="23" t="s">
        <v>396</v>
      </c>
      <c r="G5526" s="23" t="s">
        <v>365</v>
      </c>
      <c r="H5526" s="39">
        <f t="shared" si="344"/>
        <v>2999</v>
      </c>
      <c r="I5526" s="23" t="str">
        <f t="shared" si="345"/>
        <v>Lucknow</v>
      </c>
      <c r="J5526" s="23">
        <f>COUNTIFS(pg_transaction_cleaned!$O:$O,A5526,pg_transaction_cleaned!$F:$F,"CAPTURE")</f>
        <v>0</v>
      </c>
      <c r="K5526" s="39">
        <f>SUMIFS(pg_transaction_cleaned!$H:$H,pg_transaction_cleaned!$O:$O,A5526,pg_transaction_cleaned!$F:$F,"CAPTURE")</f>
        <v>0</v>
      </c>
      <c r="L5526" s="23">
        <f>COUNTIFS(pg_transaction_cleaned!$O:$O,A5526,pg_transaction_cleaned!$F:$F,"REFUND")</f>
        <v>0</v>
      </c>
      <c r="M5526" s="39">
        <f>SUMIFS(pg_transaction_cleaned!$H:$H,pg_transaction_cleaned!$O:$O,A5526,pg_transaction_cleaned!$F:$F,"REFUND")</f>
        <v>0</v>
      </c>
      <c r="N5526" s="23" t="str">
        <f t="shared" si="346"/>
        <v>OK</v>
      </c>
      <c r="O5526" s="24">
        <f t="shared" si="347"/>
        <v>0</v>
      </c>
    </row>
    <row r="5527" spans="1:15" ht="15" customHeight="1" x14ac:dyDescent="0.3">
      <c r="A5527" s="23" t="s">
        <v>11478</v>
      </c>
      <c r="B5527" s="38">
        <v>46266</v>
      </c>
      <c r="C5527" s="23" t="s">
        <v>11479</v>
      </c>
      <c r="D5527" s="23" t="s">
        <v>91</v>
      </c>
      <c r="E5527" s="23" t="s">
        <v>75</v>
      </c>
      <c r="F5527" s="23" t="s">
        <v>291</v>
      </c>
      <c r="G5527" s="23" t="s">
        <v>250</v>
      </c>
      <c r="H5527" s="39">
        <f t="shared" si="344"/>
        <v>3499</v>
      </c>
      <c r="I5527" s="23" t="str">
        <f t="shared" si="345"/>
        <v>Pune</v>
      </c>
      <c r="J5527" s="23">
        <f>COUNTIFS(pg_transaction_cleaned!$O:$O,A5527,pg_transaction_cleaned!$F:$F,"CAPTURE")</f>
        <v>1</v>
      </c>
      <c r="K5527" s="39">
        <f>SUMIFS(pg_transaction_cleaned!$H:$H,pg_transaction_cleaned!$O:$O,A5527,pg_transaction_cleaned!$F:$F,"CAPTURE")</f>
        <v>3499</v>
      </c>
      <c r="L5527" s="23">
        <f>COUNTIFS(pg_transaction_cleaned!$O:$O,A5527,pg_transaction_cleaned!$F:$F,"REFUND")</f>
        <v>0</v>
      </c>
      <c r="M5527" s="39">
        <f>SUMIFS(pg_transaction_cleaned!$H:$H,pg_transaction_cleaned!$O:$O,A5527,pg_transaction_cleaned!$F:$F,"REFUND")</f>
        <v>0</v>
      </c>
      <c r="N5527" s="23" t="str">
        <f t="shared" si="346"/>
        <v>OK</v>
      </c>
      <c r="O5527" s="24">
        <f t="shared" si="347"/>
        <v>0</v>
      </c>
    </row>
    <row r="5528" spans="1:15" ht="15" customHeight="1" x14ac:dyDescent="0.3">
      <c r="A5528" s="23" t="s">
        <v>11480</v>
      </c>
      <c r="B5528" s="38">
        <v>46276</v>
      </c>
      <c r="C5528" s="23" t="s">
        <v>11481</v>
      </c>
      <c r="D5528" s="23"/>
      <c r="E5528" s="23" t="s">
        <v>75</v>
      </c>
      <c r="F5528" s="23" t="s">
        <v>1662</v>
      </c>
      <c r="G5528" s="23" t="s">
        <v>250</v>
      </c>
      <c r="H5528" s="39">
        <f t="shared" si="344"/>
        <v>4397</v>
      </c>
      <c r="I5528" s="23" t="str">
        <f t="shared" si="345"/>
        <v>Unknown</v>
      </c>
      <c r="J5528" s="23">
        <f>COUNTIFS(pg_transaction_cleaned!$O:$O,A5528,pg_transaction_cleaned!$F:$F,"CAPTURE")</f>
        <v>1</v>
      </c>
      <c r="K5528" s="39">
        <f>SUMIFS(pg_transaction_cleaned!$H:$H,pg_transaction_cleaned!$O:$O,A5528,pg_transaction_cleaned!$F:$F,"CAPTURE")</f>
        <v>4397</v>
      </c>
      <c r="L5528" s="23">
        <f>COUNTIFS(pg_transaction_cleaned!$O:$O,A5528,pg_transaction_cleaned!$F:$F,"REFUND")</f>
        <v>0</v>
      </c>
      <c r="M5528" s="39">
        <f>SUMIFS(pg_transaction_cleaned!$H:$H,pg_transaction_cleaned!$O:$O,A5528,pg_transaction_cleaned!$F:$F,"REFUND")</f>
        <v>0</v>
      </c>
      <c r="N5528" s="23" t="str">
        <f t="shared" si="346"/>
        <v>OK</v>
      </c>
      <c r="O5528" s="24">
        <f t="shared" si="347"/>
        <v>0</v>
      </c>
    </row>
    <row r="5529" spans="1:15" ht="15" customHeight="1" x14ac:dyDescent="0.3">
      <c r="A5529" s="23" t="s">
        <v>11482</v>
      </c>
      <c r="B5529" s="38">
        <v>46273</v>
      </c>
      <c r="C5529" s="23" t="s">
        <v>11483</v>
      </c>
      <c r="D5529" s="23" t="s">
        <v>95</v>
      </c>
      <c r="E5529" s="23" t="s">
        <v>75</v>
      </c>
      <c r="F5529" s="23" t="s">
        <v>475</v>
      </c>
      <c r="G5529" s="23" t="s">
        <v>250</v>
      </c>
      <c r="H5529" s="39">
        <f t="shared" si="344"/>
        <v>799</v>
      </c>
      <c r="I5529" s="23" t="str">
        <f t="shared" si="345"/>
        <v>Bengaluru</v>
      </c>
      <c r="J5529" s="23">
        <f>COUNTIFS(pg_transaction_cleaned!$O:$O,A5529,pg_transaction_cleaned!$F:$F,"CAPTURE")</f>
        <v>1</v>
      </c>
      <c r="K5529" s="39">
        <f>SUMIFS(pg_transaction_cleaned!$H:$H,pg_transaction_cleaned!$O:$O,A5529,pg_transaction_cleaned!$F:$F,"CAPTURE")</f>
        <v>799</v>
      </c>
      <c r="L5529" s="23">
        <f>COUNTIFS(pg_transaction_cleaned!$O:$O,A5529,pg_transaction_cleaned!$F:$F,"REFUND")</f>
        <v>0</v>
      </c>
      <c r="M5529" s="39">
        <f>SUMIFS(pg_transaction_cleaned!$H:$H,pg_transaction_cleaned!$O:$O,A5529,pg_transaction_cleaned!$F:$F,"REFUND")</f>
        <v>0</v>
      </c>
      <c r="N5529" s="23" t="str">
        <f t="shared" si="346"/>
        <v>OK</v>
      </c>
      <c r="O5529" s="24">
        <f t="shared" si="347"/>
        <v>0</v>
      </c>
    </row>
    <row r="5530" spans="1:15" ht="15" customHeight="1" x14ac:dyDescent="0.3">
      <c r="A5530" s="23" t="s">
        <v>11484</v>
      </c>
      <c r="B5530" s="38">
        <v>46279</v>
      </c>
      <c r="C5530" s="23" t="s">
        <v>11485</v>
      </c>
      <c r="D5530" s="23" t="s">
        <v>92</v>
      </c>
      <c r="E5530" s="23" t="s">
        <v>75</v>
      </c>
      <c r="F5530" s="23" t="s">
        <v>297</v>
      </c>
      <c r="G5530" s="23" t="s">
        <v>250</v>
      </c>
      <c r="H5530" s="39">
        <f t="shared" si="344"/>
        <v>4999</v>
      </c>
      <c r="I5530" s="23" t="str">
        <f t="shared" si="345"/>
        <v>Hyderabad</v>
      </c>
      <c r="J5530" s="23">
        <f>COUNTIFS(pg_transaction_cleaned!$O:$O,A5530,pg_transaction_cleaned!$F:$F,"CAPTURE")</f>
        <v>1</v>
      </c>
      <c r="K5530" s="39">
        <f>SUMIFS(pg_transaction_cleaned!$H:$H,pg_transaction_cleaned!$O:$O,A5530,pg_transaction_cleaned!$F:$F,"CAPTURE")</f>
        <v>4999</v>
      </c>
      <c r="L5530" s="23">
        <f>COUNTIFS(pg_transaction_cleaned!$O:$O,A5530,pg_transaction_cleaned!$F:$F,"REFUND")</f>
        <v>0</v>
      </c>
      <c r="M5530" s="39">
        <f>SUMIFS(pg_transaction_cleaned!$H:$H,pg_transaction_cleaned!$O:$O,A5530,pg_transaction_cleaned!$F:$F,"REFUND")</f>
        <v>0</v>
      </c>
      <c r="N5530" s="23" t="str">
        <f t="shared" si="346"/>
        <v>OK</v>
      </c>
      <c r="O5530" s="24">
        <f t="shared" si="347"/>
        <v>0</v>
      </c>
    </row>
    <row r="5531" spans="1:15" ht="15" customHeight="1" x14ac:dyDescent="0.3">
      <c r="A5531" s="23" t="s">
        <v>11486</v>
      </c>
      <c r="B5531" s="38">
        <v>46272</v>
      </c>
      <c r="C5531" s="23" t="s">
        <v>11487</v>
      </c>
      <c r="D5531" s="23" t="s">
        <v>92</v>
      </c>
      <c r="E5531" s="23" t="s">
        <v>79</v>
      </c>
      <c r="F5531" s="23" t="s">
        <v>827</v>
      </c>
      <c r="G5531" s="23" t="s">
        <v>250</v>
      </c>
      <c r="H5531" s="39">
        <f t="shared" si="344"/>
        <v>11498</v>
      </c>
      <c r="I5531" s="23" t="str">
        <f t="shared" si="345"/>
        <v>Hyderabad</v>
      </c>
      <c r="J5531" s="23">
        <f>COUNTIFS(pg_transaction_cleaned!$O:$O,A5531,pg_transaction_cleaned!$F:$F,"CAPTURE")</f>
        <v>1</v>
      </c>
      <c r="K5531" s="39">
        <f>SUMIFS(pg_transaction_cleaned!$H:$H,pg_transaction_cleaned!$O:$O,A5531,pg_transaction_cleaned!$F:$F,"CAPTURE")</f>
        <v>11498</v>
      </c>
      <c r="L5531" s="23">
        <f>COUNTIFS(pg_transaction_cleaned!$O:$O,A5531,pg_transaction_cleaned!$F:$F,"REFUND")</f>
        <v>0</v>
      </c>
      <c r="M5531" s="39">
        <f>SUMIFS(pg_transaction_cleaned!$H:$H,pg_transaction_cleaned!$O:$O,A5531,pg_transaction_cleaned!$F:$F,"REFUND")</f>
        <v>0</v>
      </c>
      <c r="N5531" s="23" t="str">
        <f t="shared" si="346"/>
        <v>OK</v>
      </c>
      <c r="O5531" s="24">
        <f t="shared" si="347"/>
        <v>0</v>
      </c>
    </row>
    <row r="5532" spans="1:15" ht="15" customHeight="1" x14ac:dyDescent="0.3">
      <c r="A5532" s="23" t="s">
        <v>11488</v>
      </c>
      <c r="B5532" s="38">
        <v>46269</v>
      </c>
      <c r="C5532" s="23" t="s">
        <v>11489</v>
      </c>
      <c r="D5532" s="23" t="s">
        <v>86</v>
      </c>
      <c r="E5532" s="23" t="s">
        <v>77</v>
      </c>
      <c r="F5532" s="23" t="s">
        <v>304</v>
      </c>
      <c r="G5532" s="23" t="s">
        <v>250</v>
      </c>
      <c r="H5532" s="39">
        <f t="shared" si="344"/>
        <v>5798</v>
      </c>
      <c r="I5532" s="23" t="str">
        <f t="shared" si="345"/>
        <v>Delhi</v>
      </c>
      <c r="J5532" s="23">
        <f>COUNTIFS(pg_transaction_cleaned!$O:$O,A5532,pg_transaction_cleaned!$F:$F,"CAPTURE")</f>
        <v>1</v>
      </c>
      <c r="K5532" s="39">
        <f>SUMIFS(pg_transaction_cleaned!$H:$H,pg_transaction_cleaned!$O:$O,A5532,pg_transaction_cleaned!$F:$F,"CAPTURE")</f>
        <v>5798</v>
      </c>
      <c r="L5532" s="23">
        <f>COUNTIFS(pg_transaction_cleaned!$O:$O,A5532,pg_transaction_cleaned!$F:$F,"REFUND")</f>
        <v>0</v>
      </c>
      <c r="M5532" s="39">
        <f>SUMIFS(pg_transaction_cleaned!$H:$H,pg_transaction_cleaned!$O:$O,A5532,pg_transaction_cleaned!$F:$F,"REFUND")</f>
        <v>0</v>
      </c>
      <c r="N5532" s="23" t="str">
        <f t="shared" si="346"/>
        <v>OK</v>
      </c>
      <c r="O5532" s="24">
        <f t="shared" si="347"/>
        <v>0</v>
      </c>
    </row>
    <row r="5533" spans="1:15" ht="15" customHeight="1" x14ac:dyDescent="0.3">
      <c r="A5533" s="23" t="s">
        <v>11490</v>
      </c>
      <c r="B5533" s="38">
        <v>46269</v>
      </c>
      <c r="C5533" s="23" t="s">
        <v>11491</v>
      </c>
      <c r="D5533" s="23" t="s">
        <v>91</v>
      </c>
      <c r="E5533" s="23" t="s">
        <v>75</v>
      </c>
      <c r="F5533" s="23" t="s">
        <v>1505</v>
      </c>
      <c r="G5533" s="23" t="s">
        <v>301</v>
      </c>
      <c r="H5533" s="39">
        <f t="shared" si="344"/>
        <v>8298</v>
      </c>
      <c r="I5533" s="23" t="str">
        <f t="shared" si="345"/>
        <v>Pune</v>
      </c>
      <c r="J5533" s="23">
        <f>COUNTIFS(pg_transaction_cleaned!$O:$O,A5533,pg_transaction_cleaned!$F:$F,"CAPTURE")</f>
        <v>1</v>
      </c>
      <c r="K5533" s="39">
        <f>SUMIFS(pg_transaction_cleaned!$H:$H,pg_transaction_cleaned!$O:$O,A5533,pg_transaction_cleaned!$F:$F,"CAPTURE")</f>
        <v>8298</v>
      </c>
      <c r="L5533" s="23">
        <f>COUNTIFS(pg_transaction_cleaned!$O:$O,A5533,pg_transaction_cleaned!$F:$F,"REFUND")</f>
        <v>1</v>
      </c>
      <c r="M5533" s="39">
        <f>SUMIFS(pg_transaction_cleaned!$H:$H,pg_transaction_cleaned!$O:$O,A5533,pg_transaction_cleaned!$F:$F,"REFUND")</f>
        <v>8298</v>
      </c>
      <c r="N5533" s="23" t="str">
        <f t="shared" si="346"/>
        <v>OK</v>
      </c>
      <c r="O5533" s="24">
        <f t="shared" si="347"/>
        <v>0</v>
      </c>
    </row>
    <row r="5534" spans="1:15" ht="15" customHeight="1" x14ac:dyDescent="0.3">
      <c r="A5534" s="23" t="s">
        <v>11492</v>
      </c>
      <c r="B5534" s="38">
        <v>46292</v>
      </c>
      <c r="C5534" s="23" t="s">
        <v>11493</v>
      </c>
      <c r="D5534" s="23" t="s">
        <v>89</v>
      </c>
      <c r="E5534" s="23" t="s">
        <v>81</v>
      </c>
      <c r="F5534" s="23" t="s">
        <v>265</v>
      </c>
      <c r="G5534" s="23" t="s">
        <v>250</v>
      </c>
      <c r="H5534" s="39">
        <f t="shared" si="344"/>
        <v>999</v>
      </c>
      <c r="I5534" s="23" t="str">
        <f t="shared" si="345"/>
        <v>Jaipur</v>
      </c>
      <c r="J5534" s="23">
        <f>COUNTIFS(pg_transaction_cleaned!$O:$O,A5534,pg_transaction_cleaned!$F:$F,"CAPTURE")</f>
        <v>1</v>
      </c>
      <c r="K5534" s="39">
        <f>SUMIFS(pg_transaction_cleaned!$H:$H,pg_transaction_cleaned!$O:$O,A5534,pg_transaction_cleaned!$F:$F,"CAPTURE")</f>
        <v>999</v>
      </c>
      <c r="L5534" s="23">
        <f>COUNTIFS(pg_transaction_cleaned!$O:$O,A5534,pg_transaction_cleaned!$F:$F,"REFUND")</f>
        <v>0</v>
      </c>
      <c r="M5534" s="39">
        <f>SUMIFS(pg_transaction_cleaned!$H:$H,pg_transaction_cleaned!$O:$O,A5534,pg_transaction_cleaned!$F:$F,"REFUND")</f>
        <v>0</v>
      </c>
      <c r="N5534" s="23" t="str">
        <f t="shared" si="346"/>
        <v>OK</v>
      </c>
      <c r="O5534" s="24">
        <f t="shared" si="347"/>
        <v>0</v>
      </c>
    </row>
    <row r="5535" spans="1:15" ht="15" customHeight="1" x14ac:dyDescent="0.3">
      <c r="A5535" s="23" t="s">
        <v>11494</v>
      </c>
      <c r="B5535" s="38">
        <v>46294</v>
      </c>
      <c r="C5535" s="23" t="s">
        <v>11495</v>
      </c>
      <c r="D5535" s="23" t="s">
        <v>88</v>
      </c>
      <c r="E5535" s="23" t="s">
        <v>77</v>
      </c>
      <c r="F5535" s="23" t="s">
        <v>1047</v>
      </c>
      <c r="G5535" s="23" t="s">
        <v>250</v>
      </c>
      <c r="H5535" s="39">
        <f t="shared" si="344"/>
        <v>13597</v>
      </c>
      <c r="I5535" s="23" t="str">
        <f t="shared" si="345"/>
        <v>Lucknow</v>
      </c>
      <c r="J5535" s="23">
        <f>COUNTIFS(pg_transaction_cleaned!$O:$O,A5535,pg_transaction_cleaned!$F:$F,"CAPTURE")</f>
        <v>1</v>
      </c>
      <c r="K5535" s="39">
        <f>SUMIFS(pg_transaction_cleaned!$H:$H,pg_transaction_cleaned!$O:$O,A5535,pg_transaction_cleaned!$F:$F,"CAPTURE")</f>
        <v>13597</v>
      </c>
      <c r="L5535" s="23">
        <f>COUNTIFS(pg_transaction_cleaned!$O:$O,A5535,pg_transaction_cleaned!$F:$F,"REFUND")</f>
        <v>0</v>
      </c>
      <c r="M5535" s="39">
        <f>SUMIFS(pg_transaction_cleaned!$H:$H,pg_transaction_cleaned!$O:$O,A5535,pg_transaction_cleaned!$F:$F,"REFUND")</f>
        <v>0</v>
      </c>
      <c r="N5535" s="23" t="str">
        <f t="shared" si="346"/>
        <v>OK</v>
      </c>
      <c r="O5535" s="24">
        <f t="shared" si="347"/>
        <v>0</v>
      </c>
    </row>
    <row r="5536" spans="1:15" ht="15" customHeight="1" x14ac:dyDescent="0.3">
      <c r="A5536" s="23" t="s">
        <v>11496</v>
      </c>
      <c r="B5536" s="38">
        <v>46289</v>
      </c>
      <c r="C5536" s="23" t="s">
        <v>11497</v>
      </c>
      <c r="D5536" s="23" t="s">
        <v>93</v>
      </c>
      <c r="E5536" s="23" t="s">
        <v>81</v>
      </c>
      <c r="F5536" s="23" t="s">
        <v>574</v>
      </c>
      <c r="G5536" s="23" t="s">
        <v>250</v>
      </c>
      <c r="H5536" s="39">
        <f t="shared" si="344"/>
        <v>1848</v>
      </c>
      <c r="I5536" s="23" t="str">
        <f t="shared" si="345"/>
        <v>Kolkata</v>
      </c>
      <c r="J5536" s="23">
        <f>COUNTIFS(pg_transaction_cleaned!$O:$O,A5536,pg_transaction_cleaned!$F:$F,"CAPTURE")</f>
        <v>1</v>
      </c>
      <c r="K5536" s="39">
        <f>SUMIFS(pg_transaction_cleaned!$H:$H,pg_transaction_cleaned!$O:$O,A5536,pg_transaction_cleaned!$F:$F,"CAPTURE")</f>
        <v>1848</v>
      </c>
      <c r="L5536" s="23">
        <f>COUNTIFS(pg_transaction_cleaned!$O:$O,A5536,pg_transaction_cleaned!$F:$F,"REFUND")</f>
        <v>0</v>
      </c>
      <c r="M5536" s="39">
        <f>SUMIFS(pg_transaction_cleaned!$H:$H,pg_transaction_cleaned!$O:$O,A5536,pg_transaction_cleaned!$F:$F,"REFUND")</f>
        <v>0</v>
      </c>
      <c r="N5536" s="23" t="str">
        <f t="shared" si="346"/>
        <v>OK</v>
      </c>
      <c r="O5536" s="24">
        <f t="shared" si="347"/>
        <v>0</v>
      </c>
    </row>
    <row r="5537" spans="1:15" ht="15" customHeight="1" x14ac:dyDescent="0.3">
      <c r="A5537" s="23" t="s">
        <v>11498</v>
      </c>
      <c r="B5537" s="38">
        <v>46282</v>
      </c>
      <c r="C5537" s="23" t="s">
        <v>11499</v>
      </c>
      <c r="D5537" s="23" t="s">
        <v>94</v>
      </c>
      <c r="E5537" s="23" t="s">
        <v>75</v>
      </c>
      <c r="F5537" s="23" t="s">
        <v>315</v>
      </c>
      <c r="G5537" s="23" t="s">
        <v>250</v>
      </c>
      <c r="H5537" s="39">
        <f t="shared" si="344"/>
        <v>1499</v>
      </c>
      <c r="I5537" s="23" t="str">
        <f t="shared" si="345"/>
        <v>Chennai</v>
      </c>
      <c r="J5537" s="23">
        <f>COUNTIFS(pg_transaction_cleaned!$O:$O,A5537,pg_transaction_cleaned!$F:$F,"CAPTURE")</f>
        <v>1</v>
      </c>
      <c r="K5537" s="39">
        <f>SUMIFS(pg_transaction_cleaned!$H:$H,pg_transaction_cleaned!$O:$O,A5537,pg_transaction_cleaned!$F:$F,"CAPTURE")</f>
        <v>1499</v>
      </c>
      <c r="L5537" s="23">
        <f>COUNTIFS(pg_transaction_cleaned!$O:$O,A5537,pg_transaction_cleaned!$F:$F,"REFUND")</f>
        <v>0</v>
      </c>
      <c r="M5537" s="39">
        <f>SUMIFS(pg_transaction_cleaned!$H:$H,pg_transaction_cleaned!$O:$O,A5537,pg_transaction_cleaned!$F:$F,"REFUND")</f>
        <v>0</v>
      </c>
      <c r="N5537" s="23" t="str">
        <f t="shared" si="346"/>
        <v>OK</v>
      </c>
      <c r="O5537" s="24">
        <f t="shared" si="347"/>
        <v>0</v>
      </c>
    </row>
    <row r="5538" spans="1:15" ht="15" customHeight="1" x14ac:dyDescent="0.3">
      <c r="A5538" s="23" t="s">
        <v>11500</v>
      </c>
      <c r="B5538" s="38">
        <v>46285</v>
      </c>
      <c r="C5538" s="23" t="s">
        <v>11501</v>
      </c>
      <c r="D5538" s="23" t="s">
        <v>95</v>
      </c>
      <c r="E5538" s="23" t="s">
        <v>75</v>
      </c>
      <c r="F5538" s="23" t="s">
        <v>315</v>
      </c>
      <c r="G5538" s="23" t="s">
        <v>318</v>
      </c>
      <c r="H5538" s="39">
        <f t="shared" si="344"/>
        <v>1499</v>
      </c>
      <c r="I5538" s="23" t="str">
        <f t="shared" si="345"/>
        <v>Bengaluru</v>
      </c>
      <c r="J5538" s="23">
        <f>COUNTIFS(pg_transaction_cleaned!$O:$O,A5538,pg_transaction_cleaned!$F:$F,"CAPTURE")</f>
        <v>0</v>
      </c>
      <c r="K5538" s="39">
        <f>SUMIFS(pg_transaction_cleaned!$H:$H,pg_transaction_cleaned!$O:$O,A5538,pg_transaction_cleaned!$F:$F,"CAPTURE")</f>
        <v>0</v>
      </c>
      <c r="L5538" s="23">
        <f>COUNTIFS(pg_transaction_cleaned!$O:$O,A5538,pg_transaction_cleaned!$F:$F,"REFUND")</f>
        <v>0</v>
      </c>
      <c r="M5538" s="39">
        <f>SUMIFS(pg_transaction_cleaned!$H:$H,pg_transaction_cleaned!$O:$O,A5538,pg_transaction_cleaned!$F:$F,"REFUND")</f>
        <v>0</v>
      </c>
      <c r="N5538" s="23" t="str">
        <f t="shared" si="346"/>
        <v>OK</v>
      </c>
      <c r="O5538" s="24">
        <f t="shared" si="347"/>
        <v>0</v>
      </c>
    </row>
    <row r="5539" spans="1:15" ht="15" customHeight="1" x14ac:dyDescent="0.3">
      <c r="A5539" s="23" t="s">
        <v>11502</v>
      </c>
      <c r="B5539" s="38">
        <v>46266</v>
      </c>
      <c r="C5539" s="23" t="s">
        <v>11503</v>
      </c>
      <c r="D5539" s="23" t="s">
        <v>91</v>
      </c>
      <c r="E5539" s="23" t="s">
        <v>75</v>
      </c>
      <c r="F5539" s="23" t="s">
        <v>1533</v>
      </c>
      <c r="G5539" s="23" t="s">
        <v>250</v>
      </c>
      <c r="H5539" s="39">
        <f t="shared" si="344"/>
        <v>3647</v>
      </c>
      <c r="I5539" s="23" t="str">
        <f t="shared" si="345"/>
        <v>Pune</v>
      </c>
      <c r="J5539" s="23">
        <f>COUNTIFS(pg_transaction_cleaned!$O:$O,A5539,pg_transaction_cleaned!$F:$F,"CAPTURE")</f>
        <v>1</v>
      </c>
      <c r="K5539" s="39">
        <f>SUMIFS(pg_transaction_cleaned!$H:$H,pg_transaction_cleaned!$O:$O,A5539,pg_transaction_cleaned!$F:$F,"CAPTURE")</f>
        <v>3647</v>
      </c>
      <c r="L5539" s="23">
        <f>COUNTIFS(pg_transaction_cleaned!$O:$O,A5539,pg_transaction_cleaned!$F:$F,"REFUND")</f>
        <v>0</v>
      </c>
      <c r="M5539" s="39">
        <f>SUMIFS(pg_transaction_cleaned!$H:$H,pg_transaction_cleaned!$O:$O,A5539,pg_transaction_cleaned!$F:$F,"REFUND")</f>
        <v>0</v>
      </c>
      <c r="N5539" s="23" t="str">
        <f t="shared" si="346"/>
        <v>OK</v>
      </c>
      <c r="O5539" s="24">
        <f t="shared" si="347"/>
        <v>0</v>
      </c>
    </row>
    <row r="5540" spans="1:15" ht="15" customHeight="1" x14ac:dyDescent="0.3">
      <c r="A5540" s="23" t="s">
        <v>11504</v>
      </c>
      <c r="B5540" s="38">
        <v>46290</v>
      </c>
      <c r="C5540" s="23" t="s">
        <v>5066</v>
      </c>
      <c r="D5540" s="23" t="s">
        <v>91</v>
      </c>
      <c r="E5540" s="23" t="s">
        <v>75</v>
      </c>
      <c r="F5540" s="23" t="s">
        <v>1495</v>
      </c>
      <c r="G5540" s="23" t="s">
        <v>250</v>
      </c>
      <c r="H5540" s="39">
        <f t="shared" si="344"/>
        <v>7498</v>
      </c>
      <c r="I5540" s="23" t="str">
        <f t="shared" si="345"/>
        <v>Pune</v>
      </c>
      <c r="J5540" s="23">
        <f>COUNTIFS(pg_transaction_cleaned!$O:$O,A5540,pg_transaction_cleaned!$F:$F,"CAPTURE")</f>
        <v>1</v>
      </c>
      <c r="K5540" s="39">
        <f>SUMIFS(pg_transaction_cleaned!$H:$H,pg_transaction_cleaned!$O:$O,A5540,pg_transaction_cleaned!$F:$F,"CAPTURE")</f>
        <v>7498</v>
      </c>
      <c r="L5540" s="23">
        <f>COUNTIFS(pg_transaction_cleaned!$O:$O,A5540,pg_transaction_cleaned!$F:$F,"REFUND")</f>
        <v>0</v>
      </c>
      <c r="M5540" s="39">
        <f>SUMIFS(pg_transaction_cleaned!$H:$H,pg_transaction_cleaned!$O:$O,A5540,pg_transaction_cleaned!$F:$F,"REFUND")</f>
        <v>0</v>
      </c>
      <c r="N5540" s="23" t="str">
        <f t="shared" si="346"/>
        <v>OK</v>
      </c>
      <c r="O5540" s="24">
        <f t="shared" si="347"/>
        <v>0</v>
      </c>
    </row>
    <row r="5541" spans="1:15" ht="15" customHeight="1" x14ac:dyDescent="0.3">
      <c r="A5541" s="23" t="s">
        <v>11505</v>
      </c>
      <c r="B5541" s="38">
        <v>46281</v>
      </c>
      <c r="C5541" s="23" t="s">
        <v>11506</v>
      </c>
      <c r="D5541" s="23" t="s">
        <v>88</v>
      </c>
      <c r="E5541" s="23" t="s">
        <v>75</v>
      </c>
      <c r="F5541" s="23" t="s">
        <v>950</v>
      </c>
      <c r="G5541" s="23" t="s">
        <v>250</v>
      </c>
      <c r="H5541" s="39">
        <f t="shared" si="344"/>
        <v>1898</v>
      </c>
      <c r="I5541" s="23" t="str">
        <f t="shared" si="345"/>
        <v>Lucknow</v>
      </c>
      <c r="J5541" s="23">
        <f>COUNTIFS(pg_transaction_cleaned!$O:$O,A5541,pg_transaction_cleaned!$F:$F,"CAPTURE")</f>
        <v>1</v>
      </c>
      <c r="K5541" s="39">
        <f>SUMIFS(pg_transaction_cleaned!$H:$H,pg_transaction_cleaned!$O:$O,A5541,pg_transaction_cleaned!$F:$F,"CAPTURE")</f>
        <v>1898</v>
      </c>
      <c r="L5541" s="23">
        <f>COUNTIFS(pg_transaction_cleaned!$O:$O,A5541,pg_transaction_cleaned!$F:$F,"REFUND")</f>
        <v>0</v>
      </c>
      <c r="M5541" s="39">
        <f>SUMIFS(pg_transaction_cleaned!$H:$H,pg_transaction_cleaned!$O:$O,A5541,pg_transaction_cleaned!$F:$F,"REFUND")</f>
        <v>0</v>
      </c>
      <c r="N5541" s="23" t="str">
        <f t="shared" si="346"/>
        <v>OK</v>
      </c>
      <c r="O5541" s="24">
        <f t="shared" si="347"/>
        <v>0</v>
      </c>
    </row>
    <row r="5542" spans="1:15" ht="15" customHeight="1" x14ac:dyDescent="0.3">
      <c r="A5542" s="23" t="s">
        <v>11507</v>
      </c>
      <c r="B5542" s="38">
        <v>46288</v>
      </c>
      <c r="C5542" s="23" t="s">
        <v>11508</v>
      </c>
      <c r="D5542" s="23" t="s">
        <v>92</v>
      </c>
      <c r="E5542" s="23" t="s">
        <v>75</v>
      </c>
      <c r="F5542" s="23" t="s">
        <v>291</v>
      </c>
      <c r="G5542" s="23" t="s">
        <v>250</v>
      </c>
      <c r="H5542" s="39">
        <f t="shared" si="344"/>
        <v>3499</v>
      </c>
      <c r="I5542" s="23" t="str">
        <f t="shared" si="345"/>
        <v>Hyderabad</v>
      </c>
      <c r="J5542" s="23">
        <f>COUNTIFS(pg_transaction_cleaned!$O:$O,A5542,pg_transaction_cleaned!$F:$F,"CAPTURE")</f>
        <v>1</v>
      </c>
      <c r="K5542" s="39">
        <f>SUMIFS(pg_transaction_cleaned!$H:$H,pg_transaction_cleaned!$O:$O,A5542,pg_transaction_cleaned!$F:$F,"CAPTURE")</f>
        <v>3499</v>
      </c>
      <c r="L5542" s="23">
        <f>COUNTIFS(pg_transaction_cleaned!$O:$O,A5542,pg_transaction_cleaned!$F:$F,"REFUND")</f>
        <v>0</v>
      </c>
      <c r="M5542" s="39">
        <f>SUMIFS(pg_transaction_cleaned!$H:$H,pg_transaction_cleaned!$O:$O,A5542,pg_transaction_cleaned!$F:$F,"REFUND")</f>
        <v>0</v>
      </c>
      <c r="N5542" s="23" t="str">
        <f t="shared" si="346"/>
        <v>OK</v>
      </c>
      <c r="O5542" s="24">
        <f t="shared" si="347"/>
        <v>0</v>
      </c>
    </row>
    <row r="5543" spans="1:15" ht="15" customHeight="1" x14ac:dyDescent="0.3">
      <c r="A5543" s="23" t="s">
        <v>11509</v>
      </c>
      <c r="B5543" s="38">
        <v>46295</v>
      </c>
      <c r="C5543" s="23" t="s">
        <v>11510</v>
      </c>
      <c r="D5543" s="23" t="s">
        <v>95</v>
      </c>
      <c r="E5543" s="23" t="s">
        <v>79</v>
      </c>
      <c r="F5543" s="23" t="s">
        <v>310</v>
      </c>
      <c r="G5543" s="23" t="s">
        <v>250</v>
      </c>
      <c r="H5543" s="39">
        <f t="shared" si="344"/>
        <v>7999</v>
      </c>
      <c r="I5543" s="23" t="str">
        <f t="shared" si="345"/>
        <v>Bengaluru</v>
      </c>
      <c r="J5543" s="23">
        <f>COUNTIFS(pg_transaction_cleaned!$O:$O,A5543,pg_transaction_cleaned!$F:$F,"CAPTURE")</f>
        <v>1</v>
      </c>
      <c r="K5543" s="39">
        <f>SUMIFS(pg_transaction_cleaned!$H:$H,pg_transaction_cleaned!$O:$O,A5543,pg_transaction_cleaned!$F:$F,"CAPTURE")</f>
        <v>7999</v>
      </c>
      <c r="L5543" s="23">
        <f>COUNTIFS(pg_transaction_cleaned!$O:$O,A5543,pg_transaction_cleaned!$F:$F,"REFUND")</f>
        <v>0</v>
      </c>
      <c r="M5543" s="39">
        <f>SUMIFS(pg_transaction_cleaned!$H:$H,pg_transaction_cleaned!$O:$O,A5543,pg_transaction_cleaned!$F:$F,"REFUND")</f>
        <v>0</v>
      </c>
      <c r="N5543" s="23" t="str">
        <f t="shared" si="346"/>
        <v>OK</v>
      </c>
      <c r="O5543" s="24">
        <f t="shared" si="347"/>
        <v>0</v>
      </c>
    </row>
    <row r="5544" spans="1:15" ht="15" customHeight="1" x14ac:dyDescent="0.3">
      <c r="A5544" s="23" t="s">
        <v>11511</v>
      </c>
      <c r="B5544" s="38">
        <v>46295</v>
      </c>
      <c r="C5544" s="23" t="s">
        <v>11512</v>
      </c>
      <c r="D5544" s="23" t="s">
        <v>94</v>
      </c>
      <c r="E5544" s="23" t="s">
        <v>75</v>
      </c>
      <c r="F5544" s="23" t="s">
        <v>315</v>
      </c>
      <c r="G5544" s="23" t="s">
        <v>250</v>
      </c>
      <c r="H5544" s="39">
        <f t="shared" si="344"/>
        <v>1499</v>
      </c>
      <c r="I5544" s="23" t="str">
        <f t="shared" si="345"/>
        <v>Chennai</v>
      </c>
      <c r="J5544" s="23">
        <f>COUNTIFS(pg_transaction_cleaned!$O:$O,A5544,pg_transaction_cleaned!$F:$F,"CAPTURE")</f>
        <v>1</v>
      </c>
      <c r="K5544" s="39">
        <f>SUMIFS(pg_transaction_cleaned!$H:$H,pg_transaction_cleaned!$O:$O,A5544,pg_transaction_cleaned!$F:$F,"CAPTURE")</f>
        <v>1499</v>
      </c>
      <c r="L5544" s="23">
        <f>COUNTIFS(pg_transaction_cleaned!$O:$O,A5544,pg_transaction_cleaned!$F:$F,"REFUND")</f>
        <v>0</v>
      </c>
      <c r="M5544" s="39">
        <f>SUMIFS(pg_transaction_cleaned!$H:$H,pg_transaction_cleaned!$O:$O,A5544,pg_transaction_cleaned!$F:$F,"REFUND")</f>
        <v>0</v>
      </c>
      <c r="N5544" s="23" t="str">
        <f t="shared" si="346"/>
        <v>OK</v>
      </c>
      <c r="O5544" s="24">
        <f t="shared" si="347"/>
        <v>0</v>
      </c>
    </row>
    <row r="5545" spans="1:15" ht="15" customHeight="1" x14ac:dyDescent="0.3">
      <c r="A5545" s="23" t="s">
        <v>11513</v>
      </c>
      <c r="B5545" s="38">
        <v>46266</v>
      </c>
      <c r="C5545" s="23" t="s">
        <v>11514</v>
      </c>
      <c r="D5545" s="23" t="s">
        <v>94</v>
      </c>
      <c r="E5545" s="23" t="s">
        <v>75</v>
      </c>
      <c r="F5545" s="23" t="s">
        <v>256</v>
      </c>
      <c r="G5545" s="23" t="s">
        <v>250</v>
      </c>
      <c r="H5545" s="39">
        <f t="shared" si="344"/>
        <v>2098</v>
      </c>
      <c r="I5545" s="23" t="str">
        <f t="shared" si="345"/>
        <v>Chennai</v>
      </c>
      <c r="J5545" s="23">
        <f>COUNTIFS(pg_transaction_cleaned!$O:$O,A5545,pg_transaction_cleaned!$F:$F,"CAPTURE")</f>
        <v>1</v>
      </c>
      <c r="K5545" s="39">
        <f>SUMIFS(pg_transaction_cleaned!$H:$H,pg_transaction_cleaned!$O:$O,A5545,pg_transaction_cleaned!$F:$F,"CAPTURE")</f>
        <v>2098</v>
      </c>
      <c r="L5545" s="23">
        <f>COUNTIFS(pg_transaction_cleaned!$O:$O,A5545,pg_transaction_cleaned!$F:$F,"REFUND")</f>
        <v>0</v>
      </c>
      <c r="M5545" s="39">
        <f>SUMIFS(pg_transaction_cleaned!$H:$H,pg_transaction_cleaned!$O:$O,A5545,pg_transaction_cleaned!$F:$F,"REFUND")</f>
        <v>0</v>
      </c>
      <c r="N5545" s="23" t="str">
        <f t="shared" si="346"/>
        <v>OK</v>
      </c>
      <c r="O5545" s="24">
        <f t="shared" si="347"/>
        <v>0</v>
      </c>
    </row>
    <row r="5546" spans="1:15" ht="15" customHeight="1" x14ac:dyDescent="0.3">
      <c r="A5546" s="23" t="s">
        <v>11515</v>
      </c>
      <c r="B5546" s="38">
        <v>46279</v>
      </c>
      <c r="C5546" s="23" t="s">
        <v>11516</v>
      </c>
      <c r="D5546" s="23" t="s">
        <v>88</v>
      </c>
      <c r="E5546" s="23" t="s">
        <v>75</v>
      </c>
      <c r="F5546" s="23" t="s">
        <v>396</v>
      </c>
      <c r="G5546" s="23" t="s">
        <v>318</v>
      </c>
      <c r="H5546" s="39">
        <f t="shared" si="344"/>
        <v>2999</v>
      </c>
      <c r="I5546" s="23" t="str">
        <f t="shared" si="345"/>
        <v>Lucknow</v>
      </c>
      <c r="J5546" s="23">
        <f>COUNTIFS(pg_transaction_cleaned!$O:$O,A5546,pg_transaction_cleaned!$F:$F,"CAPTURE")</f>
        <v>0</v>
      </c>
      <c r="K5546" s="39">
        <f>SUMIFS(pg_transaction_cleaned!$H:$H,pg_transaction_cleaned!$O:$O,A5546,pg_transaction_cleaned!$F:$F,"CAPTURE")</f>
        <v>0</v>
      </c>
      <c r="L5546" s="23">
        <f>COUNTIFS(pg_transaction_cleaned!$O:$O,A5546,pg_transaction_cleaned!$F:$F,"REFUND")</f>
        <v>0</v>
      </c>
      <c r="M5546" s="39">
        <f>SUMIFS(pg_transaction_cleaned!$H:$H,pg_transaction_cleaned!$O:$O,A5546,pg_transaction_cleaned!$F:$F,"REFUND")</f>
        <v>0</v>
      </c>
      <c r="N5546" s="23" t="str">
        <f t="shared" si="346"/>
        <v>OK</v>
      </c>
      <c r="O5546" s="24">
        <f t="shared" si="347"/>
        <v>0</v>
      </c>
    </row>
    <row r="5547" spans="1:15" ht="15" customHeight="1" x14ac:dyDescent="0.3">
      <c r="A5547" s="23" t="s">
        <v>11517</v>
      </c>
      <c r="B5547" s="38">
        <v>46287</v>
      </c>
      <c r="C5547" s="23" t="s">
        <v>11518</v>
      </c>
      <c r="D5547" s="23" t="s">
        <v>93</v>
      </c>
      <c r="E5547" s="23" t="s">
        <v>75</v>
      </c>
      <c r="F5547" s="23" t="s">
        <v>268</v>
      </c>
      <c r="G5547" s="23" t="s">
        <v>250</v>
      </c>
      <c r="H5547" s="39">
        <f t="shared" si="344"/>
        <v>1299</v>
      </c>
      <c r="I5547" s="23" t="str">
        <f t="shared" si="345"/>
        <v>Kolkata</v>
      </c>
      <c r="J5547" s="23">
        <f>COUNTIFS(pg_transaction_cleaned!$O:$O,A5547,pg_transaction_cleaned!$F:$F,"CAPTURE")</f>
        <v>1</v>
      </c>
      <c r="K5547" s="39">
        <f>SUMIFS(pg_transaction_cleaned!$H:$H,pg_transaction_cleaned!$O:$O,A5547,pg_transaction_cleaned!$F:$F,"CAPTURE")</f>
        <v>1299</v>
      </c>
      <c r="L5547" s="23">
        <f>COUNTIFS(pg_transaction_cleaned!$O:$O,A5547,pg_transaction_cleaned!$F:$F,"REFUND")</f>
        <v>0</v>
      </c>
      <c r="M5547" s="39">
        <f>SUMIFS(pg_transaction_cleaned!$H:$H,pg_transaction_cleaned!$O:$O,A5547,pg_transaction_cleaned!$F:$F,"REFUND")</f>
        <v>0</v>
      </c>
      <c r="N5547" s="23" t="str">
        <f t="shared" si="346"/>
        <v>OK</v>
      </c>
      <c r="O5547" s="24">
        <f t="shared" si="347"/>
        <v>0</v>
      </c>
    </row>
    <row r="5548" spans="1:15" ht="15" customHeight="1" x14ac:dyDescent="0.3">
      <c r="A5548" s="23" t="s">
        <v>11519</v>
      </c>
      <c r="B5548" s="38">
        <v>46291</v>
      </c>
      <c r="C5548" s="23" t="s">
        <v>11520</v>
      </c>
      <c r="D5548" s="23" t="s">
        <v>91</v>
      </c>
      <c r="E5548" s="23" t="s">
        <v>75</v>
      </c>
      <c r="F5548" s="23" t="s">
        <v>1626</v>
      </c>
      <c r="G5548" s="23" t="s">
        <v>250</v>
      </c>
      <c r="H5548" s="39">
        <f t="shared" si="344"/>
        <v>8697</v>
      </c>
      <c r="I5548" s="23" t="str">
        <f t="shared" si="345"/>
        <v>Pune</v>
      </c>
      <c r="J5548" s="23">
        <f>COUNTIFS(pg_transaction_cleaned!$O:$O,A5548,pg_transaction_cleaned!$F:$F,"CAPTURE")</f>
        <v>1</v>
      </c>
      <c r="K5548" s="39">
        <f>SUMIFS(pg_transaction_cleaned!$H:$H,pg_transaction_cleaned!$O:$O,A5548,pg_transaction_cleaned!$F:$F,"CAPTURE")</f>
        <v>8697</v>
      </c>
      <c r="L5548" s="23">
        <f>COUNTIFS(pg_transaction_cleaned!$O:$O,A5548,pg_transaction_cleaned!$F:$F,"REFUND")</f>
        <v>0</v>
      </c>
      <c r="M5548" s="39">
        <f>SUMIFS(pg_transaction_cleaned!$H:$H,pg_transaction_cleaned!$O:$O,A5548,pg_transaction_cleaned!$F:$F,"REFUND")</f>
        <v>0</v>
      </c>
      <c r="N5548" s="23" t="str">
        <f t="shared" si="346"/>
        <v>OK</v>
      </c>
      <c r="O5548" s="24">
        <f t="shared" si="347"/>
        <v>0</v>
      </c>
    </row>
    <row r="5549" spans="1:15" ht="15" customHeight="1" x14ac:dyDescent="0.3">
      <c r="A5549" s="23" t="s">
        <v>11521</v>
      </c>
      <c r="B5549" s="38">
        <v>46266</v>
      </c>
      <c r="C5549" s="23" t="s">
        <v>11522</v>
      </c>
      <c r="D5549" s="23" t="s">
        <v>91</v>
      </c>
      <c r="E5549" s="23" t="s">
        <v>75</v>
      </c>
      <c r="F5549" s="23" t="s">
        <v>598</v>
      </c>
      <c r="G5549" s="23" t="s">
        <v>250</v>
      </c>
      <c r="H5549" s="39">
        <f t="shared" si="344"/>
        <v>5598</v>
      </c>
      <c r="I5549" s="23" t="str">
        <f t="shared" si="345"/>
        <v>Pune</v>
      </c>
      <c r="J5549" s="23">
        <f>COUNTIFS(pg_transaction_cleaned!$O:$O,A5549,pg_transaction_cleaned!$F:$F,"CAPTURE")</f>
        <v>1</v>
      </c>
      <c r="K5549" s="39">
        <f>SUMIFS(pg_transaction_cleaned!$H:$H,pg_transaction_cleaned!$O:$O,A5549,pg_transaction_cleaned!$F:$F,"CAPTURE")</f>
        <v>5598</v>
      </c>
      <c r="L5549" s="23">
        <f>COUNTIFS(pg_transaction_cleaned!$O:$O,A5549,pg_transaction_cleaned!$F:$F,"REFUND")</f>
        <v>0</v>
      </c>
      <c r="M5549" s="39">
        <f>SUMIFS(pg_transaction_cleaned!$H:$H,pg_transaction_cleaned!$O:$O,A5549,pg_transaction_cleaned!$F:$F,"REFUND")</f>
        <v>0</v>
      </c>
      <c r="N5549" s="23" t="str">
        <f t="shared" si="346"/>
        <v>OK</v>
      </c>
      <c r="O5549" s="24">
        <f t="shared" si="347"/>
        <v>0</v>
      </c>
    </row>
    <row r="5550" spans="1:15" ht="15" customHeight="1" x14ac:dyDescent="0.3">
      <c r="A5550" s="23" t="s">
        <v>11523</v>
      </c>
      <c r="B5550" s="38">
        <v>46284</v>
      </c>
      <c r="C5550" s="23" t="s">
        <v>11524</v>
      </c>
      <c r="D5550" s="23" t="s">
        <v>90</v>
      </c>
      <c r="E5550" s="23" t="s">
        <v>81</v>
      </c>
      <c r="F5550" s="23" t="s">
        <v>310</v>
      </c>
      <c r="G5550" s="23" t="s">
        <v>250</v>
      </c>
      <c r="H5550" s="39">
        <f t="shared" si="344"/>
        <v>7999</v>
      </c>
      <c r="I5550" s="23" t="str">
        <f t="shared" si="345"/>
        <v>Ahmedabad</v>
      </c>
      <c r="J5550" s="23">
        <f>COUNTIFS(pg_transaction_cleaned!$O:$O,A5550,pg_transaction_cleaned!$F:$F,"CAPTURE")</f>
        <v>1</v>
      </c>
      <c r="K5550" s="39">
        <f>SUMIFS(pg_transaction_cleaned!$H:$H,pg_transaction_cleaned!$O:$O,A5550,pg_transaction_cleaned!$F:$F,"CAPTURE")</f>
        <v>7999</v>
      </c>
      <c r="L5550" s="23">
        <f>COUNTIFS(pg_transaction_cleaned!$O:$O,A5550,pg_transaction_cleaned!$F:$F,"REFUND")</f>
        <v>0</v>
      </c>
      <c r="M5550" s="39">
        <f>SUMIFS(pg_transaction_cleaned!$H:$H,pg_transaction_cleaned!$O:$O,A5550,pg_transaction_cleaned!$F:$F,"REFUND")</f>
        <v>0</v>
      </c>
      <c r="N5550" s="23" t="str">
        <f t="shared" si="346"/>
        <v>OK</v>
      </c>
      <c r="O5550" s="24">
        <f t="shared" si="347"/>
        <v>0</v>
      </c>
    </row>
    <row r="5551" spans="1:15" ht="15" customHeight="1" x14ac:dyDescent="0.3">
      <c r="A5551" s="23" t="s">
        <v>11525</v>
      </c>
      <c r="B5551" s="38">
        <v>46267</v>
      </c>
      <c r="C5551" s="23" t="s">
        <v>11526</v>
      </c>
      <c r="D5551" s="23" t="s">
        <v>86</v>
      </c>
      <c r="E5551" s="23" t="s">
        <v>75</v>
      </c>
      <c r="F5551" s="23" t="s">
        <v>310</v>
      </c>
      <c r="G5551" s="23" t="s">
        <v>250</v>
      </c>
      <c r="H5551" s="39">
        <f t="shared" si="344"/>
        <v>7999</v>
      </c>
      <c r="I5551" s="23" t="str">
        <f t="shared" si="345"/>
        <v>Delhi</v>
      </c>
      <c r="J5551" s="23">
        <f>COUNTIFS(pg_transaction_cleaned!$O:$O,A5551,pg_transaction_cleaned!$F:$F,"CAPTURE")</f>
        <v>1</v>
      </c>
      <c r="K5551" s="39">
        <f>SUMIFS(pg_transaction_cleaned!$H:$H,pg_transaction_cleaned!$O:$O,A5551,pg_transaction_cleaned!$F:$F,"CAPTURE")</f>
        <v>7999</v>
      </c>
      <c r="L5551" s="23">
        <f>COUNTIFS(pg_transaction_cleaned!$O:$O,A5551,pg_transaction_cleaned!$F:$F,"REFUND")</f>
        <v>0</v>
      </c>
      <c r="M5551" s="39">
        <f>SUMIFS(pg_transaction_cleaned!$H:$H,pg_transaction_cleaned!$O:$O,A5551,pg_transaction_cleaned!$F:$F,"REFUND")</f>
        <v>0</v>
      </c>
      <c r="N5551" s="23" t="str">
        <f t="shared" si="346"/>
        <v>OK</v>
      </c>
      <c r="O5551" s="24">
        <f t="shared" si="347"/>
        <v>0</v>
      </c>
    </row>
    <row r="5552" spans="1:15" ht="15" customHeight="1" x14ac:dyDescent="0.3">
      <c r="A5552" s="23" t="s">
        <v>11527</v>
      </c>
      <c r="B5552" s="38">
        <v>46282</v>
      </c>
      <c r="C5552" s="23" t="s">
        <v>11528</v>
      </c>
      <c r="D5552" s="23" t="s">
        <v>89</v>
      </c>
      <c r="E5552" s="23" t="s">
        <v>81</v>
      </c>
      <c r="F5552" s="23" t="s">
        <v>265</v>
      </c>
      <c r="G5552" s="23" t="s">
        <v>365</v>
      </c>
      <c r="H5552" s="39">
        <f t="shared" si="344"/>
        <v>999</v>
      </c>
      <c r="I5552" s="23" t="str">
        <f t="shared" si="345"/>
        <v>Jaipur</v>
      </c>
      <c r="J5552" s="23">
        <f>COUNTIFS(pg_transaction_cleaned!$O:$O,A5552,pg_transaction_cleaned!$F:$F,"CAPTURE")</f>
        <v>0</v>
      </c>
      <c r="K5552" s="39">
        <f>SUMIFS(pg_transaction_cleaned!$H:$H,pg_transaction_cleaned!$O:$O,A5552,pg_transaction_cleaned!$F:$F,"CAPTURE")</f>
        <v>0</v>
      </c>
      <c r="L5552" s="23">
        <f>COUNTIFS(pg_transaction_cleaned!$O:$O,A5552,pg_transaction_cleaned!$F:$F,"REFUND")</f>
        <v>0</v>
      </c>
      <c r="M5552" s="39">
        <f>SUMIFS(pg_transaction_cleaned!$H:$H,pg_transaction_cleaned!$O:$O,A5552,pg_transaction_cleaned!$F:$F,"REFUND")</f>
        <v>0</v>
      </c>
      <c r="N5552" s="23" t="str">
        <f t="shared" si="346"/>
        <v>OK</v>
      </c>
      <c r="O5552" s="24">
        <f t="shared" si="347"/>
        <v>0</v>
      </c>
    </row>
    <row r="5553" spans="1:15" ht="15" customHeight="1" x14ac:dyDescent="0.3">
      <c r="A5553" s="23" t="s">
        <v>11529</v>
      </c>
      <c r="B5553" s="38">
        <v>46280</v>
      </c>
      <c r="C5553" s="23" t="s">
        <v>11530</v>
      </c>
      <c r="D5553" s="23" t="s">
        <v>92</v>
      </c>
      <c r="E5553" s="23" t="s">
        <v>79</v>
      </c>
      <c r="F5553" s="23" t="s">
        <v>343</v>
      </c>
      <c r="G5553" s="23" t="s">
        <v>250</v>
      </c>
      <c r="H5553" s="39">
        <f t="shared" si="344"/>
        <v>9498</v>
      </c>
      <c r="I5553" s="23" t="str">
        <f t="shared" si="345"/>
        <v>Hyderabad</v>
      </c>
      <c r="J5553" s="23">
        <f>COUNTIFS(pg_transaction_cleaned!$O:$O,A5553,pg_transaction_cleaned!$F:$F,"CAPTURE")</f>
        <v>1</v>
      </c>
      <c r="K5553" s="39">
        <f>SUMIFS(pg_transaction_cleaned!$H:$H,pg_transaction_cleaned!$O:$O,A5553,pg_transaction_cleaned!$F:$F,"CAPTURE")</f>
        <v>9498</v>
      </c>
      <c r="L5553" s="23">
        <f>COUNTIFS(pg_transaction_cleaned!$O:$O,A5553,pg_transaction_cleaned!$F:$F,"REFUND")</f>
        <v>0</v>
      </c>
      <c r="M5553" s="39">
        <f>SUMIFS(pg_transaction_cleaned!$H:$H,pg_transaction_cleaned!$O:$O,A5553,pg_transaction_cleaned!$F:$F,"REFUND")</f>
        <v>0</v>
      </c>
      <c r="N5553" s="23" t="str">
        <f t="shared" si="346"/>
        <v>OK</v>
      </c>
      <c r="O5553" s="24">
        <f t="shared" si="347"/>
        <v>0</v>
      </c>
    </row>
    <row r="5554" spans="1:15" ht="15" customHeight="1" x14ac:dyDescent="0.3">
      <c r="A5554" s="23" t="s">
        <v>11531</v>
      </c>
      <c r="B5554" s="38">
        <v>46287</v>
      </c>
      <c r="C5554" s="23" t="s">
        <v>11532</v>
      </c>
      <c r="D5554" s="23" t="s">
        <v>91</v>
      </c>
      <c r="E5554" s="23" t="s">
        <v>75</v>
      </c>
      <c r="F5554" s="23" t="s">
        <v>460</v>
      </c>
      <c r="G5554" s="23" t="s">
        <v>250</v>
      </c>
      <c r="H5554" s="39">
        <f t="shared" si="344"/>
        <v>1998</v>
      </c>
      <c r="I5554" s="23" t="str">
        <f t="shared" si="345"/>
        <v>Pune</v>
      </c>
      <c r="J5554" s="23">
        <f>COUNTIFS(pg_transaction_cleaned!$O:$O,A5554,pg_transaction_cleaned!$F:$F,"CAPTURE")</f>
        <v>1</v>
      </c>
      <c r="K5554" s="39">
        <f>SUMIFS(pg_transaction_cleaned!$H:$H,pg_transaction_cleaned!$O:$O,A5554,pg_transaction_cleaned!$F:$F,"CAPTURE")</f>
        <v>1998</v>
      </c>
      <c r="L5554" s="23">
        <f>COUNTIFS(pg_transaction_cleaned!$O:$O,A5554,pg_transaction_cleaned!$F:$F,"REFUND")</f>
        <v>0</v>
      </c>
      <c r="M5554" s="39">
        <f>SUMIFS(pg_transaction_cleaned!$H:$H,pg_transaction_cleaned!$O:$O,A5554,pg_transaction_cleaned!$F:$F,"REFUND")</f>
        <v>0</v>
      </c>
      <c r="N5554" s="23" t="str">
        <f t="shared" si="346"/>
        <v>OK</v>
      </c>
      <c r="O5554" s="24">
        <f t="shared" si="347"/>
        <v>0</v>
      </c>
    </row>
    <row r="5555" spans="1:15" ht="15" customHeight="1" x14ac:dyDescent="0.3">
      <c r="A5555" s="23" t="s">
        <v>11533</v>
      </c>
      <c r="B5555" s="38">
        <v>46284</v>
      </c>
      <c r="C5555" s="23" t="s">
        <v>11534</v>
      </c>
      <c r="D5555" s="23" t="s">
        <v>93</v>
      </c>
      <c r="E5555" s="23" t="s">
        <v>79</v>
      </c>
      <c r="F5555" s="23" t="s">
        <v>268</v>
      </c>
      <c r="G5555" s="23" t="s">
        <v>250</v>
      </c>
      <c r="H5555" s="39">
        <f t="shared" si="344"/>
        <v>1299</v>
      </c>
      <c r="I5555" s="23" t="str">
        <f t="shared" si="345"/>
        <v>Kolkata</v>
      </c>
      <c r="J5555" s="23">
        <f>COUNTIFS(pg_transaction_cleaned!$O:$O,A5555,pg_transaction_cleaned!$F:$F,"CAPTURE")</f>
        <v>1</v>
      </c>
      <c r="K5555" s="39">
        <f>SUMIFS(pg_transaction_cleaned!$H:$H,pg_transaction_cleaned!$O:$O,A5555,pg_transaction_cleaned!$F:$F,"CAPTURE")</f>
        <v>1299</v>
      </c>
      <c r="L5555" s="23">
        <f>COUNTIFS(pg_transaction_cleaned!$O:$O,A5555,pg_transaction_cleaned!$F:$F,"REFUND")</f>
        <v>0</v>
      </c>
      <c r="M5555" s="39">
        <f>SUMIFS(pg_transaction_cleaned!$H:$H,pg_transaction_cleaned!$O:$O,A5555,pg_transaction_cleaned!$F:$F,"REFUND")</f>
        <v>0</v>
      </c>
      <c r="N5555" s="23" t="str">
        <f t="shared" si="346"/>
        <v>OK</v>
      </c>
      <c r="O5555" s="24">
        <f t="shared" si="347"/>
        <v>0</v>
      </c>
    </row>
    <row r="5556" spans="1:15" ht="15" customHeight="1" x14ac:dyDescent="0.3">
      <c r="A5556" s="23" t="s">
        <v>11535</v>
      </c>
      <c r="B5556" s="38">
        <v>46275</v>
      </c>
      <c r="C5556" s="23" t="s">
        <v>11536</v>
      </c>
      <c r="D5556" s="23" t="s">
        <v>94</v>
      </c>
      <c r="E5556" s="23" t="s">
        <v>79</v>
      </c>
      <c r="F5556" s="23" t="s">
        <v>349</v>
      </c>
      <c r="G5556" s="23" t="s">
        <v>250</v>
      </c>
      <c r="H5556" s="39">
        <f t="shared" si="344"/>
        <v>1798</v>
      </c>
      <c r="I5556" s="23" t="str">
        <f t="shared" si="345"/>
        <v>Chennai</v>
      </c>
      <c r="J5556" s="23">
        <f>COUNTIFS(pg_transaction_cleaned!$O:$O,A5556,pg_transaction_cleaned!$F:$F,"CAPTURE")</f>
        <v>1</v>
      </c>
      <c r="K5556" s="39">
        <f>SUMIFS(pg_transaction_cleaned!$H:$H,pg_transaction_cleaned!$O:$O,A5556,pg_transaction_cleaned!$F:$F,"CAPTURE")</f>
        <v>1798</v>
      </c>
      <c r="L5556" s="23">
        <f>COUNTIFS(pg_transaction_cleaned!$O:$O,A5556,pg_transaction_cleaned!$F:$F,"REFUND")</f>
        <v>0</v>
      </c>
      <c r="M5556" s="39">
        <f>SUMIFS(pg_transaction_cleaned!$H:$H,pg_transaction_cleaned!$O:$O,A5556,pg_transaction_cleaned!$F:$F,"REFUND")</f>
        <v>0</v>
      </c>
      <c r="N5556" s="23" t="str">
        <f t="shared" si="346"/>
        <v>OK</v>
      </c>
      <c r="O5556" s="24">
        <f t="shared" si="347"/>
        <v>0</v>
      </c>
    </row>
    <row r="5557" spans="1:15" ht="15" customHeight="1" x14ac:dyDescent="0.3">
      <c r="A5557" s="23" t="s">
        <v>11537</v>
      </c>
      <c r="B5557" s="38">
        <v>46278</v>
      </c>
      <c r="C5557" s="23" t="s">
        <v>11538</v>
      </c>
      <c r="D5557" s="23" t="s">
        <v>86</v>
      </c>
      <c r="E5557" s="23" t="s">
        <v>79</v>
      </c>
      <c r="F5557" s="23" t="s">
        <v>2151</v>
      </c>
      <c r="G5557" s="23" t="s">
        <v>250</v>
      </c>
      <c r="H5557" s="39">
        <f t="shared" si="344"/>
        <v>10497</v>
      </c>
      <c r="I5557" s="23" t="str">
        <f t="shared" si="345"/>
        <v>Delhi</v>
      </c>
      <c r="J5557" s="23">
        <f>COUNTIFS(pg_transaction_cleaned!$O:$O,A5557,pg_transaction_cleaned!$F:$F,"CAPTURE")</f>
        <v>1</v>
      </c>
      <c r="K5557" s="39">
        <f>SUMIFS(pg_transaction_cleaned!$H:$H,pg_transaction_cleaned!$O:$O,A5557,pg_transaction_cleaned!$F:$F,"CAPTURE")</f>
        <v>10497</v>
      </c>
      <c r="L5557" s="23">
        <f>COUNTIFS(pg_transaction_cleaned!$O:$O,A5557,pg_transaction_cleaned!$F:$F,"REFUND")</f>
        <v>0</v>
      </c>
      <c r="M5557" s="39">
        <f>SUMIFS(pg_transaction_cleaned!$H:$H,pg_transaction_cleaned!$O:$O,A5557,pg_transaction_cleaned!$F:$F,"REFUND")</f>
        <v>0</v>
      </c>
      <c r="N5557" s="23" t="str">
        <f t="shared" si="346"/>
        <v>OK</v>
      </c>
      <c r="O5557" s="24">
        <f t="shared" si="347"/>
        <v>0</v>
      </c>
    </row>
    <row r="5558" spans="1:15" ht="15" customHeight="1" x14ac:dyDescent="0.3">
      <c r="A5558" s="23" t="s">
        <v>11539</v>
      </c>
      <c r="B5558" s="38">
        <v>46267</v>
      </c>
      <c r="C5558" s="23" t="s">
        <v>11540</v>
      </c>
      <c r="D5558" s="23" t="s">
        <v>94</v>
      </c>
      <c r="E5558" s="23" t="s">
        <v>81</v>
      </c>
      <c r="F5558" s="23" t="s">
        <v>310</v>
      </c>
      <c r="G5558" s="23" t="s">
        <v>250</v>
      </c>
      <c r="H5558" s="39">
        <f t="shared" si="344"/>
        <v>7999</v>
      </c>
      <c r="I5558" s="23" t="str">
        <f t="shared" si="345"/>
        <v>Chennai</v>
      </c>
      <c r="J5558" s="23">
        <f>COUNTIFS(pg_transaction_cleaned!$O:$O,A5558,pg_transaction_cleaned!$F:$F,"CAPTURE")</f>
        <v>1</v>
      </c>
      <c r="K5558" s="39">
        <f>SUMIFS(pg_transaction_cleaned!$H:$H,pg_transaction_cleaned!$O:$O,A5558,pg_transaction_cleaned!$F:$F,"CAPTURE")</f>
        <v>7999</v>
      </c>
      <c r="L5558" s="23">
        <f>COUNTIFS(pg_transaction_cleaned!$O:$O,A5558,pg_transaction_cleaned!$F:$F,"REFUND")</f>
        <v>0</v>
      </c>
      <c r="M5558" s="39">
        <f>SUMIFS(pg_transaction_cleaned!$H:$H,pg_transaction_cleaned!$O:$O,A5558,pg_transaction_cleaned!$F:$F,"REFUND")</f>
        <v>0</v>
      </c>
      <c r="N5558" s="23" t="str">
        <f t="shared" si="346"/>
        <v>OK</v>
      </c>
      <c r="O5558" s="24">
        <f t="shared" si="347"/>
        <v>0</v>
      </c>
    </row>
    <row r="5559" spans="1:15" ht="15" customHeight="1" x14ac:dyDescent="0.3">
      <c r="A5559" s="23" t="s">
        <v>11541</v>
      </c>
      <c r="B5559" s="38">
        <v>46278</v>
      </c>
      <c r="C5559" s="23" t="s">
        <v>11542</v>
      </c>
      <c r="D5559" s="23" t="s">
        <v>90</v>
      </c>
      <c r="E5559" s="23" t="s">
        <v>81</v>
      </c>
      <c r="F5559" s="23" t="s">
        <v>310</v>
      </c>
      <c r="G5559" s="23" t="s">
        <v>365</v>
      </c>
      <c r="H5559" s="39">
        <f t="shared" si="344"/>
        <v>7999</v>
      </c>
      <c r="I5559" s="23" t="str">
        <f t="shared" si="345"/>
        <v>Ahmedabad</v>
      </c>
      <c r="J5559" s="23">
        <f>COUNTIFS(pg_transaction_cleaned!$O:$O,A5559,pg_transaction_cleaned!$F:$F,"CAPTURE")</f>
        <v>0</v>
      </c>
      <c r="K5559" s="39">
        <f>SUMIFS(pg_transaction_cleaned!$H:$H,pg_transaction_cleaned!$O:$O,A5559,pg_transaction_cleaned!$F:$F,"CAPTURE")</f>
        <v>0</v>
      </c>
      <c r="L5559" s="23">
        <f>COUNTIFS(pg_transaction_cleaned!$O:$O,A5559,pg_transaction_cleaned!$F:$F,"REFUND")</f>
        <v>0</v>
      </c>
      <c r="M5559" s="39">
        <f>SUMIFS(pg_transaction_cleaned!$H:$H,pg_transaction_cleaned!$O:$O,A5559,pg_transaction_cleaned!$F:$F,"REFUND")</f>
        <v>0</v>
      </c>
      <c r="N5559" s="23" t="str">
        <f t="shared" si="346"/>
        <v>OK</v>
      </c>
      <c r="O5559" s="24">
        <f t="shared" si="347"/>
        <v>0</v>
      </c>
    </row>
    <row r="5560" spans="1:15" ht="15" customHeight="1" x14ac:dyDescent="0.3">
      <c r="A5560" s="23" t="s">
        <v>11543</v>
      </c>
      <c r="B5560" s="38">
        <v>46291</v>
      </c>
      <c r="C5560" s="23" t="s">
        <v>11544</v>
      </c>
      <c r="D5560" s="23" t="s">
        <v>94</v>
      </c>
      <c r="E5560" s="23" t="s">
        <v>79</v>
      </c>
      <c r="F5560" s="23" t="s">
        <v>291</v>
      </c>
      <c r="G5560" s="23" t="s">
        <v>250</v>
      </c>
      <c r="H5560" s="39">
        <f t="shared" si="344"/>
        <v>3499</v>
      </c>
      <c r="I5560" s="23" t="str">
        <f t="shared" si="345"/>
        <v>Chennai</v>
      </c>
      <c r="J5560" s="23">
        <f>COUNTIFS(pg_transaction_cleaned!$O:$O,A5560,pg_transaction_cleaned!$F:$F,"CAPTURE")</f>
        <v>1</v>
      </c>
      <c r="K5560" s="39">
        <f>SUMIFS(pg_transaction_cleaned!$H:$H,pg_transaction_cleaned!$O:$O,A5560,pg_transaction_cleaned!$F:$F,"CAPTURE")</f>
        <v>3499</v>
      </c>
      <c r="L5560" s="23">
        <f>COUNTIFS(pg_transaction_cleaned!$O:$O,A5560,pg_transaction_cleaned!$F:$F,"REFUND")</f>
        <v>0</v>
      </c>
      <c r="M5560" s="39">
        <f>SUMIFS(pg_transaction_cleaned!$H:$H,pg_transaction_cleaned!$O:$O,A5560,pg_transaction_cleaned!$F:$F,"REFUND")</f>
        <v>0</v>
      </c>
      <c r="N5560" s="23" t="str">
        <f t="shared" si="346"/>
        <v>OK</v>
      </c>
      <c r="O5560" s="24">
        <f t="shared" si="347"/>
        <v>0</v>
      </c>
    </row>
    <row r="5561" spans="1:15" ht="15" customHeight="1" x14ac:dyDescent="0.3">
      <c r="A5561" s="23" t="s">
        <v>11545</v>
      </c>
      <c r="B5561" s="38">
        <v>46267</v>
      </c>
      <c r="C5561" s="23" t="s">
        <v>11546</v>
      </c>
      <c r="D5561" s="23" t="s">
        <v>89</v>
      </c>
      <c r="E5561" s="23" t="s">
        <v>75</v>
      </c>
      <c r="F5561" s="23" t="s">
        <v>315</v>
      </c>
      <c r="G5561" s="23" t="s">
        <v>250</v>
      </c>
      <c r="H5561" s="39">
        <f t="shared" si="344"/>
        <v>1499</v>
      </c>
      <c r="I5561" s="23" t="str">
        <f t="shared" si="345"/>
        <v>Jaipur</v>
      </c>
      <c r="J5561" s="23">
        <f>COUNTIFS(pg_transaction_cleaned!$O:$O,A5561,pg_transaction_cleaned!$F:$F,"CAPTURE")</f>
        <v>1</v>
      </c>
      <c r="K5561" s="39">
        <f>SUMIFS(pg_transaction_cleaned!$H:$H,pg_transaction_cleaned!$O:$O,A5561,pg_transaction_cleaned!$F:$F,"CAPTURE")</f>
        <v>1499</v>
      </c>
      <c r="L5561" s="23">
        <f>COUNTIFS(pg_transaction_cleaned!$O:$O,A5561,pg_transaction_cleaned!$F:$F,"REFUND")</f>
        <v>0</v>
      </c>
      <c r="M5561" s="39">
        <f>SUMIFS(pg_transaction_cleaned!$H:$H,pg_transaction_cleaned!$O:$O,A5561,pg_transaction_cleaned!$F:$F,"REFUND")</f>
        <v>0</v>
      </c>
      <c r="N5561" s="23" t="str">
        <f t="shared" si="346"/>
        <v>OK</v>
      </c>
      <c r="O5561" s="24">
        <f t="shared" si="347"/>
        <v>0</v>
      </c>
    </row>
    <row r="5562" spans="1:15" ht="15" customHeight="1" x14ac:dyDescent="0.3">
      <c r="A5562" s="23" t="s">
        <v>11547</v>
      </c>
      <c r="B5562" s="38">
        <v>46279</v>
      </c>
      <c r="C5562" s="23" t="s">
        <v>11548</v>
      </c>
      <c r="D5562" s="23" t="s">
        <v>90</v>
      </c>
      <c r="E5562" s="23" t="s">
        <v>79</v>
      </c>
      <c r="F5562" s="23" t="s">
        <v>534</v>
      </c>
      <c r="G5562" s="23" t="s">
        <v>250</v>
      </c>
      <c r="H5562" s="39">
        <f t="shared" si="344"/>
        <v>3097</v>
      </c>
      <c r="I5562" s="23" t="str">
        <f t="shared" si="345"/>
        <v>Ahmedabad</v>
      </c>
      <c r="J5562" s="23">
        <f>COUNTIFS(pg_transaction_cleaned!$O:$O,A5562,pg_transaction_cleaned!$F:$F,"CAPTURE")</f>
        <v>1</v>
      </c>
      <c r="K5562" s="39">
        <f>SUMIFS(pg_transaction_cleaned!$H:$H,pg_transaction_cleaned!$O:$O,A5562,pg_transaction_cleaned!$F:$F,"CAPTURE")</f>
        <v>3097</v>
      </c>
      <c r="L5562" s="23">
        <f>COUNTIFS(pg_transaction_cleaned!$O:$O,A5562,pg_transaction_cleaned!$F:$F,"REFUND")</f>
        <v>0</v>
      </c>
      <c r="M5562" s="39">
        <f>SUMIFS(pg_transaction_cleaned!$H:$H,pg_transaction_cleaned!$O:$O,A5562,pg_transaction_cleaned!$F:$F,"REFUND")</f>
        <v>0</v>
      </c>
      <c r="N5562" s="23" t="str">
        <f t="shared" si="346"/>
        <v>OK</v>
      </c>
      <c r="O5562" s="24">
        <f t="shared" si="347"/>
        <v>0</v>
      </c>
    </row>
    <row r="5563" spans="1:15" ht="15" customHeight="1" x14ac:dyDescent="0.3">
      <c r="A5563" s="23" t="s">
        <v>11549</v>
      </c>
      <c r="B5563" s="38">
        <v>46289</v>
      </c>
      <c r="C5563" s="23" t="s">
        <v>11550</v>
      </c>
      <c r="D5563" s="23" t="s">
        <v>90</v>
      </c>
      <c r="E5563" s="23" t="s">
        <v>77</v>
      </c>
      <c r="F5563" s="23" t="s">
        <v>9974</v>
      </c>
      <c r="G5563" s="23" t="s">
        <v>250</v>
      </c>
      <c r="H5563" s="39">
        <f t="shared" si="344"/>
        <v>2598</v>
      </c>
      <c r="I5563" s="23" t="str">
        <f t="shared" si="345"/>
        <v>Ahmedabad</v>
      </c>
      <c r="J5563" s="23">
        <f>COUNTIFS(pg_transaction_cleaned!$O:$O,A5563,pg_transaction_cleaned!$F:$F,"CAPTURE")</f>
        <v>1</v>
      </c>
      <c r="K5563" s="39">
        <f>SUMIFS(pg_transaction_cleaned!$H:$H,pg_transaction_cleaned!$O:$O,A5563,pg_transaction_cleaned!$F:$F,"CAPTURE")</f>
        <v>2598</v>
      </c>
      <c r="L5563" s="23">
        <f>COUNTIFS(pg_transaction_cleaned!$O:$O,A5563,pg_transaction_cleaned!$F:$F,"REFUND")</f>
        <v>0</v>
      </c>
      <c r="M5563" s="39">
        <f>SUMIFS(pg_transaction_cleaned!$H:$H,pg_transaction_cleaned!$O:$O,A5563,pg_transaction_cleaned!$F:$F,"REFUND")</f>
        <v>0</v>
      </c>
      <c r="N5563" s="23" t="str">
        <f t="shared" si="346"/>
        <v>OK</v>
      </c>
      <c r="O5563" s="24">
        <f t="shared" si="347"/>
        <v>0</v>
      </c>
    </row>
    <row r="5564" spans="1:15" ht="15" customHeight="1" x14ac:dyDescent="0.3">
      <c r="A5564" s="23" t="s">
        <v>11551</v>
      </c>
      <c r="B5564" s="38">
        <v>46285</v>
      </c>
      <c r="C5564" s="23" t="s">
        <v>11552</v>
      </c>
      <c r="D5564" s="23" t="s">
        <v>94</v>
      </c>
      <c r="E5564" s="23" t="s">
        <v>79</v>
      </c>
      <c r="F5564" s="23" t="s">
        <v>265</v>
      </c>
      <c r="G5564" s="23" t="s">
        <v>250</v>
      </c>
      <c r="H5564" s="39">
        <f t="shared" si="344"/>
        <v>999</v>
      </c>
      <c r="I5564" s="23" t="str">
        <f t="shared" si="345"/>
        <v>Chennai</v>
      </c>
      <c r="J5564" s="23">
        <f>COUNTIFS(pg_transaction_cleaned!$O:$O,A5564,pg_transaction_cleaned!$F:$F,"CAPTURE")</f>
        <v>1</v>
      </c>
      <c r="K5564" s="39">
        <f>SUMIFS(pg_transaction_cleaned!$H:$H,pg_transaction_cleaned!$O:$O,A5564,pg_transaction_cleaned!$F:$F,"CAPTURE")</f>
        <v>999</v>
      </c>
      <c r="L5564" s="23">
        <f>COUNTIFS(pg_transaction_cleaned!$O:$O,A5564,pg_transaction_cleaned!$F:$F,"REFUND")</f>
        <v>0</v>
      </c>
      <c r="M5564" s="39">
        <f>SUMIFS(pg_transaction_cleaned!$H:$H,pg_transaction_cleaned!$O:$O,A5564,pg_transaction_cleaned!$F:$F,"REFUND")</f>
        <v>0</v>
      </c>
      <c r="N5564" s="23" t="str">
        <f t="shared" si="346"/>
        <v>OK</v>
      </c>
      <c r="O5564" s="24">
        <f t="shared" si="347"/>
        <v>0</v>
      </c>
    </row>
    <row r="5565" spans="1:15" ht="15" customHeight="1" x14ac:dyDescent="0.3">
      <c r="A5565" s="23" t="s">
        <v>11553</v>
      </c>
      <c r="B5565" s="38">
        <v>46286</v>
      </c>
      <c r="C5565" s="23" t="s">
        <v>11554</v>
      </c>
      <c r="D5565" s="23" t="s">
        <v>88</v>
      </c>
      <c r="E5565" s="23" t="s">
        <v>75</v>
      </c>
      <c r="F5565" s="23" t="s">
        <v>1975</v>
      </c>
      <c r="G5565" s="23" t="s">
        <v>250</v>
      </c>
      <c r="H5565" s="39">
        <f t="shared" si="344"/>
        <v>1398</v>
      </c>
      <c r="I5565" s="23" t="str">
        <f t="shared" si="345"/>
        <v>Lucknow</v>
      </c>
      <c r="J5565" s="23">
        <f>COUNTIFS(pg_transaction_cleaned!$O:$O,A5565,pg_transaction_cleaned!$F:$F,"CAPTURE")</f>
        <v>1</v>
      </c>
      <c r="K5565" s="39">
        <f>SUMIFS(pg_transaction_cleaned!$H:$H,pg_transaction_cleaned!$O:$O,A5565,pg_transaction_cleaned!$F:$F,"CAPTURE")</f>
        <v>1398</v>
      </c>
      <c r="L5565" s="23">
        <f>COUNTIFS(pg_transaction_cleaned!$O:$O,A5565,pg_transaction_cleaned!$F:$F,"REFUND")</f>
        <v>0</v>
      </c>
      <c r="M5565" s="39">
        <f>SUMIFS(pg_transaction_cleaned!$H:$H,pg_transaction_cleaned!$O:$O,A5565,pg_transaction_cleaned!$F:$F,"REFUND")</f>
        <v>0</v>
      </c>
      <c r="N5565" s="23" t="str">
        <f t="shared" si="346"/>
        <v>OK</v>
      </c>
      <c r="O5565" s="24">
        <f t="shared" si="347"/>
        <v>0</v>
      </c>
    </row>
    <row r="5566" spans="1:15" ht="15" customHeight="1" x14ac:dyDescent="0.3">
      <c r="A5566" s="23" t="s">
        <v>11555</v>
      </c>
      <c r="B5566" s="38">
        <v>46284</v>
      </c>
      <c r="C5566" s="23" t="s">
        <v>11556</v>
      </c>
      <c r="D5566" s="23" t="s">
        <v>91</v>
      </c>
      <c r="E5566" s="23" t="s">
        <v>75</v>
      </c>
      <c r="F5566" s="23" t="s">
        <v>1463</v>
      </c>
      <c r="G5566" s="23" t="s">
        <v>250</v>
      </c>
      <c r="H5566" s="39">
        <f t="shared" si="344"/>
        <v>5348</v>
      </c>
      <c r="I5566" s="23" t="str">
        <f t="shared" si="345"/>
        <v>Pune</v>
      </c>
      <c r="J5566" s="23">
        <f>COUNTIFS(pg_transaction_cleaned!$O:$O,A5566,pg_transaction_cleaned!$F:$F,"CAPTURE")</f>
        <v>1</v>
      </c>
      <c r="K5566" s="39">
        <f>SUMIFS(pg_transaction_cleaned!$H:$H,pg_transaction_cleaned!$O:$O,A5566,pg_transaction_cleaned!$F:$F,"CAPTURE")</f>
        <v>5348</v>
      </c>
      <c r="L5566" s="23">
        <f>COUNTIFS(pg_transaction_cleaned!$O:$O,A5566,pg_transaction_cleaned!$F:$F,"REFUND")</f>
        <v>0</v>
      </c>
      <c r="M5566" s="39">
        <f>SUMIFS(pg_transaction_cleaned!$H:$H,pg_transaction_cleaned!$O:$O,A5566,pg_transaction_cleaned!$F:$F,"REFUND")</f>
        <v>0</v>
      </c>
      <c r="N5566" s="23" t="str">
        <f t="shared" si="346"/>
        <v>OK</v>
      </c>
      <c r="O5566" s="24">
        <f t="shared" si="347"/>
        <v>0</v>
      </c>
    </row>
    <row r="5567" spans="1:15" ht="15" customHeight="1" x14ac:dyDescent="0.3">
      <c r="A5567" s="23" t="s">
        <v>11557</v>
      </c>
      <c r="B5567" s="38">
        <v>46285</v>
      </c>
      <c r="C5567" s="23" t="s">
        <v>11558</v>
      </c>
      <c r="D5567" s="23" t="s">
        <v>88</v>
      </c>
      <c r="E5567" s="23" t="s">
        <v>77</v>
      </c>
      <c r="F5567" s="23" t="s">
        <v>249</v>
      </c>
      <c r="G5567" s="23" t="s">
        <v>250</v>
      </c>
      <c r="H5567" s="39">
        <f t="shared" si="344"/>
        <v>299</v>
      </c>
      <c r="I5567" s="23" t="str">
        <f t="shared" si="345"/>
        <v>Lucknow</v>
      </c>
      <c r="J5567" s="23">
        <f>COUNTIFS(pg_transaction_cleaned!$O:$O,A5567,pg_transaction_cleaned!$F:$F,"CAPTURE")</f>
        <v>1</v>
      </c>
      <c r="K5567" s="39">
        <f>SUMIFS(pg_transaction_cleaned!$H:$H,pg_transaction_cleaned!$O:$O,A5567,pg_transaction_cleaned!$F:$F,"CAPTURE")</f>
        <v>299</v>
      </c>
      <c r="L5567" s="23">
        <f>COUNTIFS(pg_transaction_cleaned!$O:$O,A5567,pg_transaction_cleaned!$F:$F,"REFUND")</f>
        <v>0</v>
      </c>
      <c r="M5567" s="39">
        <f>SUMIFS(pg_transaction_cleaned!$H:$H,pg_transaction_cleaned!$O:$O,A5567,pg_transaction_cleaned!$F:$F,"REFUND")</f>
        <v>0</v>
      </c>
      <c r="N5567" s="23" t="str">
        <f t="shared" si="346"/>
        <v>OK</v>
      </c>
      <c r="O5567" s="24">
        <f t="shared" si="347"/>
        <v>0</v>
      </c>
    </row>
    <row r="5568" spans="1:15" ht="15" customHeight="1" x14ac:dyDescent="0.3">
      <c r="A5568" s="23" t="s">
        <v>11559</v>
      </c>
      <c r="B5568" s="38">
        <v>46269</v>
      </c>
      <c r="C5568" s="23" t="s">
        <v>11560</v>
      </c>
      <c r="D5568" s="23" t="s">
        <v>88</v>
      </c>
      <c r="E5568" s="23" t="s">
        <v>75</v>
      </c>
      <c r="F5568" s="23" t="s">
        <v>268</v>
      </c>
      <c r="G5568" s="23" t="s">
        <v>250</v>
      </c>
      <c r="H5568" s="39">
        <f t="shared" si="344"/>
        <v>1299</v>
      </c>
      <c r="I5568" s="23" t="str">
        <f t="shared" si="345"/>
        <v>Lucknow</v>
      </c>
      <c r="J5568" s="23">
        <f>COUNTIFS(pg_transaction_cleaned!$O:$O,A5568,pg_transaction_cleaned!$F:$F,"CAPTURE")</f>
        <v>1</v>
      </c>
      <c r="K5568" s="39">
        <f>SUMIFS(pg_transaction_cleaned!$H:$H,pg_transaction_cleaned!$O:$O,A5568,pg_transaction_cleaned!$F:$F,"CAPTURE")</f>
        <v>1299</v>
      </c>
      <c r="L5568" s="23">
        <f>COUNTIFS(pg_transaction_cleaned!$O:$O,A5568,pg_transaction_cleaned!$F:$F,"REFUND")</f>
        <v>0</v>
      </c>
      <c r="M5568" s="39">
        <f>SUMIFS(pg_transaction_cleaned!$H:$H,pg_transaction_cleaned!$O:$O,A5568,pg_transaction_cleaned!$F:$F,"REFUND")</f>
        <v>0</v>
      </c>
      <c r="N5568" s="23" t="str">
        <f t="shared" si="346"/>
        <v>OK</v>
      </c>
      <c r="O5568" s="24">
        <f t="shared" si="347"/>
        <v>0</v>
      </c>
    </row>
    <row r="5569" spans="1:15" ht="15" customHeight="1" x14ac:dyDescent="0.3">
      <c r="A5569" s="23" t="s">
        <v>11561</v>
      </c>
      <c r="B5569" s="38">
        <v>46279</v>
      </c>
      <c r="C5569" s="23" t="s">
        <v>11562</v>
      </c>
      <c r="D5569" s="23" t="s">
        <v>95</v>
      </c>
      <c r="E5569" s="23" t="s">
        <v>75</v>
      </c>
      <c r="F5569" s="23" t="s">
        <v>370</v>
      </c>
      <c r="G5569" s="23" t="s">
        <v>250</v>
      </c>
      <c r="H5569" s="39">
        <f t="shared" si="344"/>
        <v>3098</v>
      </c>
      <c r="I5569" s="23" t="str">
        <f t="shared" si="345"/>
        <v>Bengaluru</v>
      </c>
      <c r="J5569" s="23">
        <f>COUNTIFS(pg_transaction_cleaned!$O:$O,A5569,pg_transaction_cleaned!$F:$F,"CAPTURE")</f>
        <v>1</v>
      </c>
      <c r="K5569" s="39">
        <f>SUMIFS(pg_transaction_cleaned!$H:$H,pg_transaction_cleaned!$O:$O,A5569,pg_transaction_cleaned!$F:$F,"CAPTURE")</f>
        <v>3098</v>
      </c>
      <c r="L5569" s="23">
        <f>COUNTIFS(pg_transaction_cleaned!$O:$O,A5569,pg_transaction_cleaned!$F:$F,"REFUND")</f>
        <v>0</v>
      </c>
      <c r="M5569" s="39">
        <f>SUMIFS(pg_transaction_cleaned!$H:$H,pg_transaction_cleaned!$O:$O,A5569,pg_transaction_cleaned!$F:$F,"REFUND")</f>
        <v>0</v>
      </c>
      <c r="N5569" s="23" t="str">
        <f t="shared" si="346"/>
        <v>OK</v>
      </c>
      <c r="O5569" s="24">
        <f t="shared" si="347"/>
        <v>0</v>
      </c>
    </row>
    <row r="5570" spans="1:15" ht="15" customHeight="1" x14ac:dyDescent="0.3">
      <c r="A5570" s="23" t="s">
        <v>11563</v>
      </c>
      <c r="B5570" s="38">
        <v>46286</v>
      </c>
      <c r="C5570" s="23" t="s">
        <v>11564</v>
      </c>
      <c r="D5570" s="23" t="s">
        <v>87</v>
      </c>
      <c r="E5570" s="23" t="s">
        <v>75</v>
      </c>
      <c r="F5570" s="23" t="s">
        <v>329</v>
      </c>
      <c r="G5570" s="23" t="s">
        <v>250</v>
      </c>
      <c r="H5570" s="39">
        <f t="shared" ref="H5570:H5633" si="348">VALUE(SUBSTITUTE(F5570,",",""))</f>
        <v>599</v>
      </c>
      <c r="I5570" s="23" t="str">
        <f t="shared" ref="I5570:I5633" si="349">IF(TRIM(D5570)="","Unknown",TRIM(D5570))</f>
        <v>Mumbai</v>
      </c>
      <c r="J5570" s="23">
        <f>COUNTIFS(pg_transaction_cleaned!$O:$O,A5570,pg_transaction_cleaned!$F:$F,"CAPTURE")</f>
        <v>1</v>
      </c>
      <c r="K5570" s="39">
        <f>SUMIFS(pg_transaction_cleaned!$H:$H,pg_transaction_cleaned!$O:$O,A5570,pg_transaction_cleaned!$F:$F,"CAPTURE")</f>
        <v>599</v>
      </c>
      <c r="L5570" s="23">
        <f>COUNTIFS(pg_transaction_cleaned!$O:$O,A5570,pg_transaction_cleaned!$F:$F,"REFUND")</f>
        <v>0</v>
      </c>
      <c r="M5570" s="39">
        <f>SUMIFS(pg_transaction_cleaned!$H:$H,pg_transaction_cleaned!$O:$O,A5570,pg_transaction_cleaned!$F:$F,"REFUND")</f>
        <v>0</v>
      </c>
      <c r="N5570" s="23" t="str">
        <f t="shared" ref="N5570:N5633" si="350">IF(AND(G5570="Paid",J5570=0),"Paid, no payment",IF(AND(OR(G5570="Failed",G5570="Cancelled"),J5570&gt;0),"Payment on failed/cancelled",IF(J5570&gt;1,"Duplicate charge",IF(AND(J5570=1,ROUND(K5570-H5570,2)&lt;&gt;0),"Amount difference",IF(AND(G5570="Refunded",L5570=0),"Refunded, no refund",IF(AND(G5570&lt;&gt;"Refunded",L5570&gt;0),"Refund, order not Refunded",IF(AND(L5570&gt;0,ROUND(M5570-H5570,2)&lt;&gt;0),"Refund amount differs","OK")))))))</f>
        <v>OK</v>
      </c>
      <c r="O5570" s="24">
        <f t="shared" ref="O5570:O5633" si="351">IF(N5570="OK",0,IF(N5570="Paid, no payment",H5570,IF(N5570="Payment on failed/cancelled",K5570,IF(OR(N5570="Duplicate charge",N5570="Amount difference"),K5570-H5570,IF(N5570="Refunded, no refund",H5570,M5570)))))</f>
        <v>0</v>
      </c>
    </row>
    <row r="5571" spans="1:15" ht="15" customHeight="1" x14ac:dyDescent="0.3">
      <c r="A5571" s="23" t="s">
        <v>11565</v>
      </c>
      <c r="B5571" s="38">
        <v>46276</v>
      </c>
      <c r="C5571" s="23" t="s">
        <v>11566</v>
      </c>
      <c r="D5571" s="23"/>
      <c r="E5571" s="23" t="s">
        <v>79</v>
      </c>
      <c r="F5571" s="23" t="s">
        <v>1038</v>
      </c>
      <c r="G5571" s="23" t="s">
        <v>250</v>
      </c>
      <c r="H5571" s="39">
        <f t="shared" si="348"/>
        <v>3597</v>
      </c>
      <c r="I5571" s="23" t="str">
        <f t="shared" si="349"/>
        <v>Unknown</v>
      </c>
      <c r="J5571" s="23">
        <f>COUNTIFS(pg_transaction_cleaned!$O:$O,A5571,pg_transaction_cleaned!$F:$F,"CAPTURE")</f>
        <v>1</v>
      </c>
      <c r="K5571" s="39">
        <f>SUMIFS(pg_transaction_cleaned!$H:$H,pg_transaction_cleaned!$O:$O,A5571,pg_transaction_cleaned!$F:$F,"CAPTURE")</f>
        <v>3597</v>
      </c>
      <c r="L5571" s="23">
        <f>COUNTIFS(pg_transaction_cleaned!$O:$O,A5571,pg_transaction_cleaned!$F:$F,"REFUND")</f>
        <v>0</v>
      </c>
      <c r="M5571" s="39">
        <f>SUMIFS(pg_transaction_cleaned!$H:$H,pg_transaction_cleaned!$O:$O,A5571,pg_transaction_cleaned!$F:$F,"REFUND")</f>
        <v>0</v>
      </c>
      <c r="N5571" s="23" t="str">
        <f t="shared" si="350"/>
        <v>OK</v>
      </c>
      <c r="O5571" s="24">
        <f t="shared" si="351"/>
        <v>0</v>
      </c>
    </row>
    <row r="5572" spans="1:15" ht="15" customHeight="1" x14ac:dyDescent="0.3">
      <c r="A5572" s="23" t="s">
        <v>11567</v>
      </c>
      <c r="B5572" s="38">
        <v>46273</v>
      </c>
      <c r="C5572" s="23" t="s">
        <v>11568</v>
      </c>
      <c r="D5572" s="23" t="s">
        <v>87</v>
      </c>
      <c r="E5572" s="23" t="s">
        <v>75</v>
      </c>
      <c r="F5572" s="23" t="s">
        <v>265</v>
      </c>
      <c r="G5572" s="23" t="s">
        <v>250</v>
      </c>
      <c r="H5572" s="39">
        <f t="shared" si="348"/>
        <v>999</v>
      </c>
      <c r="I5572" s="23" t="str">
        <f t="shared" si="349"/>
        <v>Mumbai</v>
      </c>
      <c r="J5572" s="23">
        <f>COUNTIFS(pg_transaction_cleaned!$O:$O,A5572,pg_transaction_cleaned!$F:$F,"CAPTURE")</f>
        <v>1</v>
      </c>
      <c r="K5572" s="39">
        <f>SUMIFS(pg_transaction_cleaned!$H:$H,pg_transaction_cleaned!$O:$O,A5572,pg_transaction_cleaned!$F:$F,"CAPTURE")</f>
        <v>999</v>
      </c>
      <c r="L5572" s="23">
        <f>COUNTIFS(pg_transaction_cleaned!$O:$O,A5572,pg_transaction_cleaned!$F:$F,"REFUND")</f>
        <v>0</v>
      </c>
      <c r="M5572" s="39">
        <f>SUMIFS(pg_transaction_cleaned!$H:$H,pg_transaction_cleaned!$O:$O,A5572,pg_transaction_cleaned!$F:$F,"REFUND")</f>
        <v>0</v>
      </c>
      <c r="N5572" s="23" t="str">
        <f t="shared" si="350"/>
        <v>OK</v>
      </c>
      <c r="O5572" s="24">
        <f t="shared" si="351"/>
        <v>0</v>
      </c>
    </row>
    <row r="5573" spans="1:15" ht="15" customHeight="1" x14ac:dyDescent="0.3">
      <c r="A5573" s="23" t="s">
        <v>11569</v>
      </c>
      <c r="B5573" s="38">
        <v>46270</v>
      </c>
      <c r="C5573" s="23" t="s">
        <v>11570</v>
      </c>
      <c r="D5573" s="23" t="s">
        <v>90</v>
      </c>
      <c r="E5573" s="23" t="s">
        <v>77</v>
      </c>
      <c r="F5573" s="23" t="s">
        <v>307</v>
      </c>
      <c r="G5573" s="23" t="s">
        <v>250</v>
      </c>
      <c r="H5573" s="39">
        <f t="shared" si="348"/>
        <v>3798</v>
      </c>
      <c r="I5573" s="23" t="str">
        <f t="shared" si="349"/>
        <v>Ahmedabad</v>
      </c>
      <c r="J5573" s="23">
        <f>COUNTIFS(pg_transaction_cleaned!$O:$O,A5573,pg_transaction_cleaned!$F:$F,"CAPTURE")</f>
        <v>1</v>
      </c>
      <c r="K5573" s="39">
        <f>SUMIFS(pg_transaction_cleaned!$H:$H,pg_transaction_cleaned!$O:$O,A5573,pg_transaction_cleaned!$F:$F,"CAPTURE")</f>
        <v>3798</v>
      </c>
      <c r="L5573" s="23">
        <f>COUNTIFS(pg_transaction_cleaned!$O:$O,A5573,pg_transaction_cleaned!$F:$F,"REFUND")</f>
        <v>0</v>
      </c>
      <c r="M5573" s="39">
        <f>SUMIFS(pg_transaction_cleaned!$H:$H,pg_transaction_cleaned!$O:$O,A5573,pg_transaction_cleaned!$F:$F,"REFUND")</f>
        <v>0</v>
      </c>
      <c r="N5573" s="23" t="str">
        <f t="shared" si="350"/>
        <v>OK</v>
      </c>
      <c r="O5573" s="24">
        <f t="shared" si="351"/>
        <v>0</v>
      </c>
    </row>
    <row r="5574" spans="1:15" ht="15" customHeight="1" x14ac:dyDescent="0.3">
      <c r="A5574" s="23" t="s">
        <v>11571</v>
      </c>
      <c r="B5574" s="38">
        <v>46282</v>
      </c>
      <c r="C5574" s="23" t="s">
        <v>5425</v>
      </c>
      <c r="D5574" s="23" t="s">
        <v>88</v>
      </c>
      <c r="E5574" s="23" t="s">
        <v>75</v>
      </c>
      <c r="F5574" s="23" t="s">
        <v>274</v>
      </c>
      <c r="G5574" s="23" t="s">
        <v>250</v>
      </c>
      <c r="H5574" s="39">
        <f t="shared" si="348"/>
        <v>349</v>
      </c>
      <c r="I5574" s="23" t="str">
        <f t="shared" si="349"/>
        <v>Lucknow</v>
      </c>
      <c r="J5574" s="23">
        <f>COUNTIFS(pg_transaction_cleaned!$O:$O,A5574,pg_transaction_cleaned!$F:$F,"CAPTURE")</f>
        <v>1</v>
      </c>
      <c r="K5574" s="39">
        <f>SUMIFS(pg_transaction_cleaned!$H:$H,pg_transaction_cleaned!$O:$O,A5574,pg_transaction_cleaned!$F:$F,"CAPTURE")</f>
        <v>349</v>
      </c>
      <c r="L5574" s="23">
        <f>COUNTIFS(pg_transaction_cleaned!$O:$O,A5574,pg_transaction_cleaned!$F:$F,"REFUND")</f>
        <v>0</v>
      </c>
      <c r="M5574" s="39">
        <f>SUMIFS(pg_transaction_cleaned!$H:$H,pg_transaction_cleaned!$O:$O,A5574,pg_transaction_cleaned!$F:$F,"REFUND")</f>
        <v>0</v>
      </c>
      <c r="N5574" s="23" t="str">
        <f t="shared" si="350"/>
        <v>OK</v>
      </c>
      <c r="O5574" s="24">
        <f t="shared" si="351"/>
        <v>0</v>
      </c>
    </row>
    <row r="5575" spans="1:15" ht="15" customHeight="1" x14ac:dyDescent="0.3">
      <c r="A5575" s="23" t="s">
        <v>11572</v>
      </c>
      <c r="B5575" s="38">
        <v>46272</v>
      </c>
      <c r="C5575" s="23" t="s">
        <v>11573</v>
      </c>
      <c r="D5575" s="23" t="s">
        <v>86</v>
      </c>
      <c r="E5575" s="23" t="s">
        <v>75</v>
      </c>
      <c r="F5575" s="23" t="s">
        <v>291</v>
      </c>
      <c r="G5575" s="23" t="s">
        <v>250</v>
      </c>
      <c r="H5575" s="39">
        <f t="shared" si="348"/>
        <v>3499</v>
      </c>
      <c r="I5575" s="23" t="str">
        <f t="shared" si="349"/>
        <v>Delhi</v>
      </c>
      <c r="J5575" s="23">
        <f>COUNTIFS(pg_transaction_cleaned!$O:$O,A5575,pg_transaction_cleaned!$F:$F,"CAPTURE")</f>
        <v>1</v>
      </c>
      <c r="K5575" s="39">
        <f>SUMIFS(pg_transaction_cleaned!$H:$H,pg_transaction_cleaned!$O:$O,A5575,pg_transaction_cleaned!$F:$F,"CAPTURE")</f>
        <v>3499</v>
      </c>
      <c r="L5575" s="23">
        <f>COUNTIFS(pg_transaction_cleaned!$O:$O,A5575,pg_transaction_cleaned!$F:$F,"REFUND")</f>
        <v>0</v>
      </c>
      <c r="M5575" s="39">
        <f>SUMIFS(pg_transaction_cleaned!$H:$H,pg_transaction_cleaned!$O:$O,A5575,pg_transaction_cleaned!$F:$F,"REFUND")</f>
        <v>0</v>
      </c>
      <c r="N5575" s="23" t="str">
        <f t="shared" si="350"/>
        <v>OK</v>
      </c>
      <c r="O5575" s="24">
        <f t="shared" si="351"/>
        <v>0</v>
      </c>
    </row>
    <row r="5576" spans="1:15" ht="15" customHeight="1" x14ac:dyDescent="0.3">
      <c r="A5576" s="23" t="s">
        <v>11574</v>
      </c>
      <c r="B5576" s="38">
        <v>46291</v>
      </c>
      <c r="C5576" s="23" t="s">
        <v>11575</v>
      </c>
      <c r="D5576" s="23" t="s">
        <v>90</v>
      </c>
      <c r="E5576" s="23" t="s">
        <v>75</v>
      </c>
      <c r="F5576" s="23" t="s">
        <v>262</v>
      </c>
      <c r="G5576" s="23" t="s">
        <v>250</v>
      </c>
      <c r="H5576" s="39">
        <f t="shared" si="348"/>
        <v>499</v>
      </c>
      <c r="I5576" s="23" t="str">
        <f t="shared" si="349"/>
        <v>Ahmedabad</v>
      </c>
      <c r="J5576" s="23">
        <f>COUNTIFS(pg_transaction_cleaned!$O:$O,A5576,pg_transaction_cleaned!$F:$F,"CAPTURE")</f>
        <v>1</v>
      </c>
      <c r="K5576" s="39">
        <f>SUMIFS(pg_transaction_cleaned!$H:$H,pg_transaction_cleaned!$O:$O,A5576,pg_transaction_cleaned!$F:$F,"CAPTURE")</f>
        <v>499</v>
      </c>
      <c r="L5576" s="23">
        <f>COUNTIFS(pg_transaction_cleaned!$O:$O,A5576,pg_transaction_cleaned!$F:$F,"REFUND")</f>
        <v>0</v>
      </c>
      <c r="M5576" s="39">
        <f>SUMIFS(pg_transaction_cleaned!$H:$H,pg_transaction_cleaned!$O:$O,A5576,pg_transaction_cleaned!$F:$F,"REFUND")</f>
        <v>0</v>
      </c>
      <c r="N5576" s="23" t="str">
        <f t="shared" si="350"/>
        <v>OK</v>
      </c>
      <c r="O5576" s="24">
        <f t="shared" si="351"/>
        <v>0</v>
      </c>
    </row>
    <row r="5577" spans="1:15" ht="15" customHeight="1" x14ac:dyDescent="0.3">
      <c r="A5577" s="23" t="s">
        <v>11576</v>
      </c>
      <c r="B5577" s="38">
        <v>46282</v>
      </c>
      <c r="C5577" s="23" t="s">
        <v>3953</v>
      </c>
      <c r="D5577" s="23" t="s">
        <v>90</v>
      </c>
      <c r="E5577" s="23" t="s">
        <v>79</v>
      </c>
      <c r="F5577" s="23" t="s">
        <v>582</v>
      </c>
      <c r="G5577" s="23" t="s">
        <v>250</v>
      </c>
      <c r="H5577" s="39">
        <f t="shared" si="348"/>
        <v>1298</v>
      </c>
      <c r="I5577" s="23" t="str">
        <f t="shared" si="349"/>
        <v>Ahmedabad</v>
      </c>
      <c r="J5577" s="23">
        <f>COUNTIFS(pg_transaction_cleaned!$O:$O,A5577,pg_transaction_cleaned!$F:$F,"CAPTURE")</f>
        <v>1</v>
      </c>
      <c r="K5577" s="39">
        <f>SUMIFS(pg_transaction_cleaned!$H:$H,pg_transaction_cleaned!$O:$O,A5577,pg_transaction_cleaned!$F:$F,"CAPTURE")</f>
        <v>1298</v>
      </c>
      <c r="L5577" s="23">
        <f>COUNTIFS(pg_transaction_cleaned!$O:$O,A5577,pg_transaction_cleaned!$F:$F,"REFUND")</f>
        <v>0</v>
      </c>
      <c r="M5577" s="39">
        <f>SUMIFS(pg_transaction_cleaned!$H:$H,pg_transaction_cleaned!$O:$O,A5577,pg_transaction_cleaned!$F:$F,"REFUND")</f>
        <v>0</v>
      </c>
      <c r="N5577" s="23" t="str">
        <f t="shared" si="350"/>
        <v>OK</v>
      </c>
      <c r="O5577" s="24">
        <f t="shared" si="351"/>
        <v>0</v>
      </c>
    </row>
    <row r="5578" spans="1:15" ht="15" customHeight="1" x14ac:dyDescent="0.3">
      <c r="A5578" s="23" t="s">
        <v>11577</v>
      </c>
      <c r="B5578" s="38">
        <v>46277</v>
      </c>
      <c r="C5578" s="23" t="s">
        <v>11578</v>
      </c>
      <c r="D5578" s="23" t="s">
        <v>90</v>
      </c>
      <c r="E5578" s="23" t="s">
        <v>75</v>
      </c>
      <c r="F5578" s="23" t="s">
        <v>1308</v>
      </c>
      <c r="G5578" s="23" t="s">
        <v>250</v>
      </c>
      <c r="H5578" s="39">
        <f t="shared" si="348"/>
        <v>4297</v>
      </c>
      <c r="I5578" s="23" t="str">
        <f t="shared" si="349"/>
        <v>Ahmedabad</v>
      </c>
      <c r="J5578" s="23">
        <f>COUNTIFS(pg_transaction_cleaned!$O:$O,A5578,pg_transaction_cleaned!$F:$F,"CAPTURE")</f>
        <v>1</v>
      </c>
      <c r="K5578" s="39">
        <f>SUMIFS(pg_transaction_cleaned!$H:$H,pg_transaction_cleaned!$O:$O,A5578,pg_transaction_cleaned!$F:$F,"CAPTURE")</f>
        <v>4297</v>
      </c>
      <c r="L5578" s="23">
        <f>COUNTIFS(pg_transaction_cleaned!$O:$O,A5578,pg_transaction_cleaned!$F:$F,"REFUND")</f>
        <v>0</v>
      </c>
      <c r="M5578" s="39">
        <f>SUMIFS(pg_transaction_cleaned!$H:$H,pg_transaction_cleaned!$O:$O,A5578,pg_transaction_cleaned!$F:$F,"REFUND")</f>
        <v>0</v>
      </c>
      <c r="N5578" s="23" t="str">
        <f t="shared" si="350"/>
        <v>OK</v>
      </c>
      <c r="O5578" s="24">
        <f t="shared" si="351"/>
        <v>0</v>
      </c>
    </row>
    <row r="5579" spans="1:15" ht="15" customHeight="1" x14ac:dyDescent="0.3">
      <c r="A5579" s="23" t="s">
        <v>11579</v>
      </c>
      <c r="B5579" s="38">
        <v>46289</v>
      </c>
      <c r="C5579" s="23" t="s">
        <v>11580</v>
      </c>
      <c r="D5579" s="23" t="s">
        <v>91</v>
      </c>
      <c r="E5579" s="23" t="s">
        <v>75</v>
      </c>
      <c r="F5579" s="23" t="s">
        <v>1735</v>
      </c>
      <c r="G5579" s="23" t="s">
        <v>250</v>
      </c>
      <c r="H5579" s="39">
        <f t="shared" si="348"/>
        <v>12998</v>
      </c>
      <c r="I5579" s="23" t="str">
        <f t="shared" si="349"/>
        <v>Pune</v>
      </c>
      <c r="J5579" s="23">
        <f>COUNTIFS(pg_transaction_cleaned!$O:$O,A5579,pg_transaction_cleaned!$F:$F,"CAPTURE")</f>
        <v>1</v>
      </c>
      <c r="K5579" s="39">
        <f>SUMIFS(pg_transaction_cleaned!$H:$H,pg_transaction_cleaned!$O:$O,A5579,pg_transaction_cleaned!$F:$F,"CAPTURE")</f>
        <v>12998</v>
      </c>
      <c r="L5579" s="23">
        <f>COUNTIFS(pg_transaction_cleaned!$O:$O,A5579,pg_transaction_cleaned!$F:$F,"REFUND")</f>
        <v>0</v>
      </c>
      <c r="M5579" s="39">
        <f>SUMIFS(pg_transaction_cleaned!$H:$H,pg_transaction_cleaned!$O:$O,A5579,pg_transaction_cleaned!$F:$F,"REFUND")</f>
        <v>0</v>
      </c>
      <c r="N5579" s="23" t="str">
        <f t="shared" si="350"/>
        <v>OK</v>
      </c>
      <c r="O5579" s="24">
        <f t="shared" si="351"/>
        <v>0</v>
      </c>
    </row>
    <row r="5580" spans="1:15" ht="15" customHeight="1" x14ac:dyDescent="0.3">
      <c r="A5580" s="23" t="s">
        <v>11581</v>
      </c>
      <c r="B5580" s="38">
        <v>46295</v>
      </c>
      <c r="C5580" s="23" t="s">
        <v>11582</v>
      </c>
      <c r="D5580" s="23"/>
      <c r="E5580" s="23" t="s">
        <v>75</v>
      </c>
      <c r="F5580" s="23" t="s">
        <v>396</v>
      </c>
      <c r="G5580" s="23" t="s">
        <v>250</v>
      </c>
      <c r="H5580" s="39">
        <f t="shared" si="348"/>
        <v>2999</v>
      </c>
      <c r="I5580" s="23" t="str">
        <f t="shared" si="349"/>
        <v>Unknown</v>
      </c>
      <c r="J5580" s="23">
        <f>COUNTIFS(pg_transaction_cleaned!$O:$O,A5580,pg_transaction_cleaned!$F:$F,"CAPTURE")</f>
        <v>1</v>
      </c>
      <c r="K5580" s="39">
        <f>SUMIFS(pg_transaction_cleaned!$H:$H,pg_transaction_cleaned!$O:$O,A5580,pg_transaction_cleaned!$F:$F,"CAPTURE")</f>
        <v>2999</v>
      </c>
      <c r="L5580" s="23">
        <f>COUNTIFS(pg_transaction_cleaned!$O:$O,A5580,pg_transaction_cleaned!$F:$F,"REFUND")</f>
        <v>0</v>
      </c>
      <c r="M5580" s="39">
        <f>SUMIFS(pg_transaction_cleaned!$H:$H,pg_transaction_cleaned!$O:$O,A5580,pg_transaction_cleaned!$F:$F,"REFUND")</f>
        <v>0</v>
      </c>
      <c r="N5580" s="23" t="str">
        <f t="shared" si="350"/>
        <v>OK</v>
      </c>
      <c r="O5580" s="24">
        <f t="shared" si="351"/>
        <v>0</v>
      </c>
    </row>
    <row r="5581" spans="1:15" ht="15" customHeight="1" x14ac:dyDescent="0.3">
      <c r="A5581" s="23" t="s">
        <v>11583</v>
      </c>
      <c r="B5581" s="38">
        <v>46277</v>
      </c>
      <c r="C5581" s="23" t="s">
        <v>11584</v>
      </c>
      <c r="D5581" s="23" t="s">
        <v>90</v>
      </c>
      <c r="E5581" s="23" t="s">
        <v>75</v>
      </c>
      <c r="F5581" s="23" t="s">
        <v>294</v>
      </c>
      <c r="G5581" s="23" t="s">
        <v>365</v>
      </c>
      <c r="H5581" s="39">
        <f t="shared" si="348"/>
        <v>1799</v>
      </c>
      <c r="I5581" s="23" t="str">
        <f t="shared" si="349"/>
        <v>Ahmedabad</v>
      </c>
      <c r="J5581" s="23">
        <f>COUNTIFS(pg_transaction_cleaned!$O:$O,A5581,pg_transaction_cleaned!$F:$F,"CAPTURE")</f>
        <v>0</v>
      </c>
      <c r="K5581" s="39">
        <f>SUMIFS(pg_transaction_cleaned!$H:$H,pg_transaction_cleaned!$O:$O,A5581,pg_transaction_cleaned!$F:$F,"CAPTURE")</f>
        <v>0</v>
      </c>
      <c r="L5581" s="23">
        <f>COUNTIFS(pg_transaction_cleaned!$O:$O,A5581,pg_transaction_cleaned!$F:$F,"REFUND")</f>
        <v>0</v>
      </c>
      <c r="M5581" s="39">
        <f>SUMIFS(pg_transaction_cleaned!$H:$H,pg_transaction_cleaned!$O:$O,A5581,pg_transaction_cleaned!$F:$F,"REFUND")</f>
        <v>0</v>
      </c>
      <c r="N5581" s="23" t="str">
        <f t="shared" si="350"/>
        <v>OK</v>
      </c>
      <c r="O5581" s="24">
        <f t="shared" si="351"/>
        <v>0</v>
      </c>
    </row>
    <row r="5582" spans="1:15" ht="15" customHeight="1" x14ac:dyDescent="0.3">
      <c r="A5582" s="23" t="s">
        <v>11585</v>
      </c>
      <c r="B5582" s="38">
        <v>46277</v>
      </c>
      <c r="C5582" s="23" t="s">
        <v>11586</v>
      </c>
      <c r="D5582" s="23" t="s">
        <v>86</v>
      </c>
      <c r="E5582" s="23" t="s">
        <v>77</v>
      </c>
      <c r="F5582" s="23" t="s">
        <v>310</v>
      </c>
      <c r="G5582" s="23" t="s">
        <v>250</v>
      </c>
      <c r="H5582" s="39">
        <f t="shared" si="348"/>
        <v>7999</v>
      </c>
      <c r="I5582" s="23" t="str">
        <f t="shared" si="349"/>
        <v>Delhi</v>
      </c>
      <c r="J5582" s="23">
        <f>COUNTIFS(pg_transaction_cleaned!$O:$O,A5582,pg_transaction_cleaned!$F:$F,"CAPTURE")</f>
        <v>1</v>
      </c>
      <c r="K5582" s="39">
        <f>SUMIFS(pg_transaction_cleaned!$H:$H,pg_transaction_cleaned!$O:$O,A5582,pg_transaction_cleaned!$F:$F,"CAPTURE")</f>
        <v>7999</v>
      </c>
      <c r="L5582" s="23">
        <f>COUNTIFS(pg_transaction_cleaned!$O:$O,A5582,pg_transaction_cleaned!$F:$F,"REFUND")</f>
        <v>0</v>
      </c>
      <c r="M5582" s="39">
        <f>SUMIFS(pg_transaction_cleaned!$H:$H,pg_transaction_cleaned!$O:$O,A5582,pg_transaction_cleaned!$F:$F,"REFUND")</f>
        <v>0</v>
      </c>
      <c r="N5582" s="23" t="str">
        <f t="shared" si="350"/>
        <v>OK</v>
      </c>
      <c r="O5582" s="24">
        <f t="shared" si="351"/>
        <v>0</v>
      </c>
    </row>
    <row r="5583" spans="1:15" ht="15" customHeight="1" x14ac:dyDescent="0.3">
      <c r="A5583" s="23" t="s">
        <v>11587</v>
      </c>
      <c r="B5583" s="38">
        <v>46267</v>
      </c>
      <c r="C5583" s="23" t="s">
        <v>9374</v>
      </c>
      <c r="D5583" s="23" t="s">
        <v>88</v>
      </c>
      <c r="E5583" s="23" t="s">
        <v>79</v>
      </c>
      <c r="F5583" s="23" t="s">
        <v>300</v>
      </c>
      <c r="G5583" s="23" t="s">
        <v>250</v>
      </c>
      <c r="H5583" s="39">
        <f t="shared" si="348"/>
        <v>2598</v>
      </c>
      <c r="I5583" s="23" t="str">
        <f t="shared" si="349"/>
        <v>Lucknow</v>
      </c>
      <c r="J5583" s="23">
        <f>COUNTIFS(pg_transaction_cleaned!$O:$O,A5583,pg_transaction_cleaned!$F:$F,"CAPTURE")</f>
        <v>1</v>
      </c>
      <c r="K5583" s="39">
        <f>SUMIFS(pg_transaction_cleaned!$H:$H,pg_transaction_cleaned!$O:$O,A5583,pg_transaction_cleaned!$F:$F,"CAPTURE")</f>
        <v>2598</v>
      </c>
      <c r="L5583" s="23">
        <f>COUNTIFS(pg_transaction_cleaned!$O:$O,A5583,pg_transaction_cleaned!$F:$F,"REFUND")</f>
        <v>0</v>
      </c>
      <c r="M5583" s="39">
        <f>SUMIFS(pg_transaction_cleaned!$H:$H,pg_transaction_cleaned!$O:$O,A5583,pg_transaction_cleaned!$F:$F,"REFUND")</f>
        <v>0</v>
      </c>
      <c r="N5583" s="23" t="str">
        <f t="shared" si="350"/>
        <v>OK</v>
      </c>
      <c r="O5583" s="24">
        <f t="shared" si="351"/>
        <v>0</v>
      </c>
    </row>
    <row r="5584" spans="1:15" ht="15" customHeight="1" x14ac:dyDescent="0.3">
      <c r="A5584" s="23" t="s">
        <v>11588</v>
      </c>
      <c r="B5584" s="38">
        <v>46288</v>
      </c>
      <c r="C5584" s="23" t="s">
        <v>11589</v>
      </c>
      <c r="D5584" s="23" t="s">
        <v>88</v>
      </c>
      <c r="E5584" s="23" t="s">
        <v>77</v>
      </c>
      <c r="F5584" s="23" t="s">
        <v>315</v>
      </c>
      <c r="G5584" s="23" t="s">
        <v>250</v>
      </c>
      <c r="H5584" s="39">
        <f t="shared" si="348"/>
        <v>1499</v>
      </c>
      <c r="I5584" s="23" t="str">
        <f t="shared" si="349"/>
        <v>Lucknow</v>
      </c>
      <c r="J5584" s="23">
        <f>COUNTIFS(pg_transaction_cleaned!$O:$O,A5584,pg_transaction_cleaned!$F:$F,"CAPTURE")</f>
        <v>1</v>
      </c>
      <c r="K5584" s="39">
        <f>SUMIFS(pg_transaction_cleaned!$H:$H,pg_transaction_cleaned!$O:$O,A5584,pg_transaction_cleaned!$F:$F,"CAPTURE")</f>
        <v>1499</v>
      </c>
      <c r="L5584" s="23">
        <f>COUNTIFS(pg_transaction_cleaned!$O:$O,A5584,pg_transaction_cleaned!$F:$F,"REFUND")</f>
        <v>0</v>
      </c>
      <c r="M5584" s="39">
        <f>SUMIFS(pg_transaction_cleaned!$H:$H,pg_transaction_cleaned!$O:$O,A5584,pg_transaction_cleaned!$F:$F,"REFUND")</f>
        <v>0</v>
      </c>
      <c r="N5584" s="23" t="str">
        <f t="shared" si="350"/>
        <v>OK</v>
      </c>
      <c r="O5584" s="24">
        <f t="shared" si="351"/>
        <v>0</v>
      </c>
    </row>
    <row r="5585" spans="1:15" ht="15" customHeight="1" x14ac:dyDescent="0.3">
      <c r="A5585" s="23" t="s">
        <v>11590</v>
      </c>
      <c r="B5585" s="38">
        <v>46274</v>
      </c>
      <c r="C5585" s="23" t="s">
        <v>11591</v>
      </c>
      <c r="D5585" s="23" t="s">
        <v>90</v>
      </c>
      <c r="E5585" s="23" t="s">
        <v>75</v>
      </c>
      <c r="F5585" s="23" t="s">
        <v>329</v>
      </c>
      <c r="G5585" s="23" t="s">
        <v>250</v>
      </c>
      <c r="H5585" s="39">
        <f t="shared" si="348"/>
        <v>599</v>
      </c>
      <c r="I5585" s="23" t="str">
        <f t="shared" si="349"/>
        <v>Ahmedabad</v>
      </c>
      <c r="J5585" s="23">
        <f>COUNTIFS(pg_transaction_cleaned!$O:$O,A5585,pg_transaction_cleaned!$F:$F,"CAPTURE")</f>
        <v>1</v>
      </c>
      <c r="K5585" s="39">
        <f>SUMIFS(pg_transaction_cleaned!$H:$H,pg_transaction_cleaned!$O:$O,A5585,pg_transaction_cleaned!$F:$F,"CAPTURE")</f>
        <v>599</v>
      </c>
      <c r="L5585" s="23">
        <f>COUNTIFS(pg_transaction_cleaned!$O:$O,A5585,pg_transaction_cleaned!$F:$F,"REFUND")</f>
        <v>0</v>
      </c>
      <c r="M5585" s="39">
        <f>SUMIFS(pg_transaction_cleaned!$H:$H,pg_transaction_cleaned!$O:$O,A5585,pg_transaction_cleaned!$F:$F,"REFUND")</f>
        <v>0</v>
      </c>
      <c r="N5585" s="23" t="str">
        <f t="shared" si="350"/>
        <v>OK</v>
      </c>
      <c r="O5585" s="24">
        <f t="shared" si="351"/>
        <v>0</v>
      </c>
    </row>
    <row r="5586" spans="1:15" ht="15" customHeight="1" x14ac:dyDescent="0.3">
      <c r="A5586" s="23" t="s">
        <v>11592</v>
      </c>
      <c r="B5586" s="38">
        <v>46266</v>
      </c>
      <c r="C5586" s="23" t="s">
        <v>11593</v>
      </c>
      <c r="D5586" s="23" t="s">
        <v>95</v>
      </c>
      <c r="E5586" s="23" t="s">
        <v>75</v>
      </c>
      <c r="F5586" s="23" t="s">
        <v>553</v>
      </c>
      <c r="G5586" s="23" t="s">
        <v>250</v>
      </c>
      <c r="H5586" s="39">
        <f t="shared" si="348"/>
        <v>2798</v>
      </c>
      <c r="I5586" s="23" t="str">
        <f t="shared" si="349"/>
        <v>Bengaluru</v>
      </c>
      <c r="J5586" s="23">
        <f>COUNTIFS(pg_transaction_cleaned!$O:$O,A5586,pg_transaction_cleaned!$F:$F,"CAPTURE")</f>
        <v>1</v>
      </c>
      <c r="K5586" s="39">
        <f>SUMIFS(pg_transaction_cleaned!$H:$H,pg_transaction_cleaned!$O:$O,A5586,pg_transaction_cleaned!$F:$F,"CAPTURE")</f>
        <v>2798</v>
      </c>
      <c r="L5586" s="23">
        <f>COUNTIFS(pg_transaction_cleaned!$O:$O,A5586,pg_transaction_cleaned!$F:$F,"REFUND")</f>
        <v>0</v>
      </c>
      <c r="M5586" s="39">
        <f>SUMIFS(pg_transaction_cleaned!$H:$H,pg_transaction_cleaned!$O:$O,A5586,pg_transaction_cleaned!$F:$F,"REFUND")</f>
        <v>0</v>
      </c>
      <c r="N5586" s="23" t="str">
        <f t="shared" si="350"/>
        <v>OK</v>
      </c>
      <c r="O5586" s="24">
        <f t="shared" si="351"/>
        <v>0</v>
      </c>
    </row>
    <row r="5587" spans="1:15" ht="15" customHeight="1" x14ac:dyDescent="0.3">
      <c r="A5587" s="23" t="s">
        <v>11594</v>
      </c>
      <c r="B5587" s="38">
        <v>46290</v>
      </c>
      <c r="C5587" s="23" t="s">
        <v>11595</v>
      </c>
      <c r="D5587" s="23" t="s">
        <v>87</v>
      </c>
      <c r="E5587" s="23" t="s">
        <v>75</v>
      </c>
      <c r="F5587" s="23" t="s">
        <v>307</v>
      </c>
      <c r="G5587" s="23" t="s">
        <v>250</v>
      </c>
      <c r="H5587" s="39">
        <f t="shared" si="348"/>
        <v>3798</v>
      </c>
      <c r="I5587" s="23" t="str">
        <f t="shared" si="349"/>
        <v>Mumbai</v>
      </c>
      <c r="J5587" s="23">
        <f>COUNTIFS(pg_transaction_cleaned!$O:$O,A5587,pg_transaction_cleaned!$F:$F,"CAPTURE")</f>
        <v>1</v>
      </c>
      <c r="K5587" s="39">
        <f>SUMIFS(pg_transaction_cleaned!$H:$H,pg_transaction_cleaned!$O:$O,A5587,pg_transaction_cleaned!$F:$F,"CAPTURE")</f>
        <v>3798</v>
      </c>
      <c r="L5587" s="23">
        <f>COUNTIFS(pg_transaction_cleaned!$O:$O,A5587,pg_transaction_cleaned!$F:$F,"REFUND")</f>
        <v>0</v>
      </c>
      <c r="M5587" s="39">
        <f>SUMIFS(pg_transaction_cleaned!$H:$H,pg_transaction_cleaned!$O:$O,A5587,pg_transaction_cleaned!$F:$F,"REFUND")</f>
        <v>0</v>
      </c>
      <c r="N5587" s="23" t="str">
        <f t="shared" si="350"/>
        <v>OK</v>
      </c>
      <c r="O5587" s="24">
        <f t="shared" si="351"/>
        <v>0</v>
      </c>
    </row>
    <row r="5588" spans="1:15" ht="15" customHeight="1" x14ac:dyDescent="0.3">
      <c r="A5588" s="23" t="s">
        <v>11596</v>
      </c>
      <c r="B5588" s="38">
        <v>46275</v>
      </c>
      <c r="C5588" s="23" t="s">
        <v>11597</v>
      </c>
      <c r="D5588" s="23" t="s">
        <v>92</v>
      </c>
      <c r="E5588" s="23" t="s">
        <v>79</v>
      </c>
      <c r="F5588" s="23" t="s">
        <v>310</v>
      </c>
      <c r="G5588" s="23" t="s">
        <v>250</v>
      </c>
      <c r="H5588" s="39">
        <f t="shared" si="348"/>
        <v>7999</v>
      </c>
      <c r="I5588" s="23" t="str">
        <f t="shared" si="349"/>
        <v>Hyderabad</v>
      </c>
      <c r="J5588" s="23">
        <f>COUNTIFS(pg_transaction_cleaned!$O:$O,A5588,pg_transaction_cleaned!$F:$F,"CAPTURE")</f>
        <v>1</v>
      </c>
      <c r="K5588" s="39">
        <f>SUMIFS(pg_transaction_cleaned!$H:$H,pg_transaction_cleaned!$O:$O,A5588,pg_transaction_cleaned!$F:$F,"CAPTURE")</f>
        <v>7999</v>
      </c>
      <c r="L5588" s="23">
        <f>COUNTIFS(pg_transaction_cleaned!$O:$O,A5588,pg_transaction_cleaned!$F:$F,"REFUND")</f>
        <v>0</v>
      </c>
      <c r="M5588" s="39">
        <f>SUMIFS(pg_transaction_cleaned!$H:$H,pg_transaction_cleaned!$O:$O,A5588,pg_transaction_cleaned!$F:$F,"REFUND")</f>
        <v>0</v>
      </c>
      <c r="N5588" s="23" t="str">
        <f t="shared" si="350"/>
        <v>OK</v>
      </c>
      <c r="O5588" s="24">
        <f t="shared" si="351"/>
        <v>0</v>
      </c>
    </row>
    <row r="5589" spans="1:15" ht="15" customHeight="1" x14ac:dyDescent="0.3">
      <c r="A5589" s="23" t="s">
        <v>11598</v>
      </c>
      <c r="B5589" s="38">
        <v>46285</v>
      </c>
      <c r="C5589" s="23" t="s">
        <v>10567</v>
      </c>
      <c r="D5589" s="23" t="s">
        <v>87</v>
      </c>
      <c r="E5589" s="23" t="s">
        <v>79</v>
      </c>
      <c r="F5589" s="23" t="s">
        <v>265</v>
      </c>
      <c r="G5589" s="23" t="s">
        <v>250</v>
      </c>
      <c r="H5589" s="39">
        <f t="shared" si="348"/>
        <v>999</v>
      </c>
      <c r="I5589" s="23" t="str">
        <f t="shared" si="349"/>
        <v>Mumbai</v>
      </c>
      <c r="J5589" s="23">
        <f>COUNTIFS(pg_transaction_cleaned!$O:$O,A5589,pg_transaction_cleaned!$F:$F,"CAPTURE")</f>
        <v>1</v>
      </c>
      <c r="K5589" s="39">
        <f>SUMIFS(pg_transaction_cleaned!$H:$H,pg_transaction_cleaned!$O:$O,A5589,pg_transaction_cleaned!$F:$F,"CAPTURE")</f>
        <v>999</v>
      </c>
      <c r="L5589" s="23">
        <f>COUNTIFS(pg_transaction_cleaned!$O:$O,A5589,pg_transaction_cleaned!$F:$F,"REFUND")</f>
        <v>0</v>
      </c>
      <c r="M5589" s="39">
        <f>SUMIFS(pg_transaction_cleaned!$H:$H,pg_transaction_cleaned!$O:$O,A5589,pg_transaction_cleaned!$F:$F,"REFUND")</f>
        <v>0</v>
      </c>
      <c r="N5589" s="23" t="str">
        <f t="shared" si="350"/>
        <v>OK</v>
      </c>
      <c r="O5589" s="24">
        <f t="shared" si="351"/>
        <v>0</v>
      </c>
    </row>
    <row r="5590" spans="1:15" ht="15" customHeight="1" x14ac:dyDescent="0.3">
      <c r="A5590" s="23" t="s">
        <v>11599</v>
      </c>
      <c r="B5590" s="38">
        <v>46269</v>
      </c>
      <c r="C5590" s="23" t="s">
        <v>11600</v>
      </c>
      <c r="D5590" s="23" t="s">
        <v>93</v>
      </c>
      <c r="E5590" s="23" t="s">
        <v>81</v>
      </c>
      <c r="F5590" s="23" t="s">
        <v>1463</v>
      </c>
      <c r="G5590" s="23" t="s">
        <v>250</v>
      </c>
      <c r="H5590" s="39">
        <f t="shared" si="348"/>
        <v>5348</v>
      </c>
      <c r="I5590" s="23" t="str">
        <f t="shared" si="349"/>
        <v>Kolkata</v>
      </c>
      <c r="J5590" s="23">
        <f>COUNTIFS(pg_transaction_cleaned!$O:$O,A5590,pg_transaction_cleaned!$F:$F,"CAPTURE")</f>
        <v>1</v>
      </c>
      <c r="K5590" s="39">
        <f>SUMIFS(pg_transaction_cleaned!$H:$H,pg_transaction_cleaned!$O:$O,A5590,pg_transaction_cleaned!$F:$F,"CAPTURE")</f>
        <v>5348</v>
      </c>
      <c r="L5590" s="23">
        <f>COUNTIFS(pg_transaction_cleaned!$O:$O,A5590,pg_transaction_cleaned!$F:$F,"REFUND")</f>
        <v>0</v>
      </c>
      <c r="M5590" s="39">
        <f>SUMIFS(pg_transaction_cleaned!$H:$H,pg_transaction_cleaned!$O:$O,A5590,pg_transaction_cleaned!$F:$F,"REFUND")</f>
        <v>0</v>
      </c>
      <c r="N5590" s="23" t="str">
        <f t="shared" si="350"/>
        <v>OK</v>
      </c>
      <c r="O5590" s="24">
        <f t="shared" si="351"/>
        <v>0</v>
      </c>
    </row>
    <row r="5591" spans="1:15" ht="15" customHeight="1" x14ac:dyDescent="0.3">
      <c r="A5591" s="23" t="s">
        <v>11601</v>
      </c>
      <c r="B5591" s="38">
        <v>46285</v>
      </c>
      <c r="C5591" s="23" t="s">
        <v>11602</v>
      </c>
      <c r="D5591" s="23" t="s">
        <v>88</v>
      </c>
      <c r="E5591" s="23" t="s">
        <v>75</v>
      </c>
      <c r="F5591" s="23" t="s">
        <v>429</v>
      </c>
      <c r="G5591" s="23" t="s">
        <v>250</v>
      </c>
      <c r="H5591" s="39">
        <f t="shared" si="348"/>
        <v>3348</v>
      </c>
      <c r="I5591" s="23" t="str">
        <f t="shared" si="349"/>
        <v>Lucknow</v>
      </c>
      <c r="J5591" s="23">
        <f>COUNTIFS(pg_transaction_cleaned!$O:$O,A5591,pg_transaction_cleaned!$F:$F,"CAPTURE")</f>
        <v>1</v>
      </c>
      <c r="K5591" s="39">
        <f>SUMIFS(pg_transaction_cleaned!$H:$H,pg_transaction_cleaned!$O:$O,A5591,pg_transaction_cleaned!$F:$F,"CAPTURE")</f>
        <v>3348</v>
      </c>
      <c r="L5591" s="23">
        <f>COUNTIFS(pg_transaction_cleaned!$O:$O,A5591,pg_transaction_cleaned!$F:$F,"REFUND")</f>
        <v>0</v>
      </c>
      <c r="M5591" s="39">
        <f>SUMIFS(pg_transaction_cleaned!$H:$H,pg_transaction_cleaned!$O:$O,A5591,pg_transaction_cleaned!$F:$F,"REFUND")</f>
        <v>0</v>
      </c>
      <c r="N5591" s="23" t="str">
        <f t="shared" si="350"/>
        <v>OK</v>
      </c>
      <c r="O5591" s="24">
        <f t="shared" si="351"/>
        <v>0</v>
      </c>
    </row>
    <row r="5592" spans="1:15" ht="15" customHeight="1" x14ac:dyDescent="0.3">
      <c r="A5592" s="23" t="s">
        <v>11603</v>
      </c>
      <c r="B5592" s="38">
        <v>46273</v>
      </c>
      <c r="C5592" s="23" t="s">
        <v>11604</v>
      </c>
      <c r="D5592" s="23" t="s">
        <v>92</v>
      </c>
      <c r="E5592" s="23" t="s">
        <v>75</v>
      </c>
      <c r="F5592" s="23" t="s">
        <v>315</v>
      </c>
      <c r="G5592" s="23" t="s">
        <v>301</v>
      </c>
      <c r="H5592" s="39">
        <f t="shared" si="348"/>
        <v>1499</v>
      </c>
      <c r="I5592" s="23" t="str">
        <f t="shared" si="349"/>
        <v>Hyderabad</v>
      </c>
      <c r="J5592" s="23">
        <f>COUNTIFS(pg_transaction_cleaned!$O:$O,A5592,pg_transaction_cleaned!$F:$F,"CAPTURE")</f>
        <v>1</v>
      </c>
      <c r="K5592" s="39">
        <f>SUMIFS(pg_transaction_cleaned!$H:$H,pg_transaction_cleaned!$O:$O,A5592,pg_transaction_cleaned!$F:$F,"CAPTURE")</f>
        <v>1499</v>
      </c>
      <c r="L5592" s="23">
        <f>COUNTIFS(pg_transaction_cleaned!$O:$O,A5592,pg_transaction_cleaned!$F:$F,"REFUND")</f>
        <v>1</v>
      </c>
      <c r="M5592" s="39">
        <f>SUMIFS(pg_transaction_cleaned!$H:$H,pg_transaction_cleaned!$O:$O,A5592,pg_transaction_cleaned!$F:$F,"REFUND")</f>
        <v>1499</v>
      </c>
      <c r="N5592" s="23" t="str">
        <f t="shared" si="350"/>
        <v>OK</v>
      </c>
      <c r="O5592" s="24">
        <f t="shared" si="351"/>
        <v>0</v>
      </c>
    </row>
    <row r="5593" spans="1:15" ht="15" customHeight="1" x14ac:dyDescent="0.3">
      <c r="A5593" s="23" t="s">
        <v>11605</v>
      </c>
      <c r="B5593" s="38">
        <v>46291</v>
      </c>
      <c r="C5593" s="23" t="s">
        <v>11606</v>
      </c>
      <c r="D5593" s="23" t="s">
        <v>87</v>
      </c>
      <c r="E5593" s="23" t="s">
        <v>75</v>
      </c>
      <c r="F5593" s="23" t="s">
        <v>429</v>
      </c>
      <c r="G5593" s="23" t="s">
        <v>250</v>
      </c>
      <c r="H5593" s="39">
        <f t="shared" si="348"/>
        <v>3348</v>
      </c>
      <c r="I5593" s="23" t="str">
        <f t="shared" si="349"/>
        <v>Mumbai</v>
      </c>
      <c r="J5593" s="23">
        <f>COUNTIFS(pg_transaction_cleaned!$O:$O,A5593,pg_transaction_cleaned!$F:$F,"CAPTURE")</f>
        <v>1</v>
      </c>
      <c r="K5593" s="39">
        <f>SUMIFS(pg_transaction_cleaned!$H:$H,pg_transaction_cleaned!$O:$O,A5593,pg_transaction_cleaned!$F:$F,"CAPTURE")</f>
        <v>3348</v>
      </c>
      <c r="L5593" s="23">
        <f>COUNTIFS(pg_transaction_cleaned!$O:$O,A5593,pg_transaction_cleaned!$F:$F,"REFUND")</f>
        <v>0</v>
      </c>
      <c r="M5593" s="39">
        <f>SUMIFS(pg_transaction_cleaned!$H:$H,pg_transaction_cleaned!$O:$O,A5593,pg_transaction_cleaned!$F:$F,"REFUND")</f>
        <v>0</v>
      </c>
      <c r="N5593" s="23" t="str">
        <f t="shared" si="350"/>
        <v>OK</v>
      </c>
      <c r="O5593" s="24">
        <f t="shared" si="351"/>
        <v>0</v>
      </c>
    </row>
    <row r="5594" spans="1:15" ht="15" customHeight="1" x14ac:dyDescent="0.3">
      <c r="A5594" s="23" t="s">
        <v>11607</v>
      </c>
      <c r="B5594" s="38">
        <v>46293</v>
      </c>
      <c r="C5594" s="23" t="s">
        <v>11608</v>
      </c>
      <c r="D5594" s="23" t="s">
        <v>91</v>
      </c>
      <c r="E5594" s="23" t="s">
        <v>75</v>
      </c>
      <c r="F5594" s="23" t="s">
        <v>475</v>
      </c>
      <c r="G5594" s="23" t="s">
        <v>250</v>
      </c>
      <c r="H5594" s="39">
        <f t="shared" si="348"/>
        <v>799</v>
      </c>
      <c r="I5594" s="23" t="str">
        <f t="shared" si="349"/>
        <v>Pune</v>
      </c>
      <c r="J5594" s="23">
        <f>COUNTIFS(pg_transaction_cleaned!$O:$O,A5594,pg_transaction_cleaned!$F:$F,"CAPTURE")</f>
        <v>1</v>
      </c>
      <c r="K5594" s="39">
        <f>SUMIFS(pg_transaction_cleaned!$H:$H,pg_transaction_cleaned!$O:$O,A5594,pg_transaction_cleaned!$F:$F,"CAPTURE")</f>
        <v>799</v>
      </c>
      <c r="L5594" s="23">
        <f>COUNTIFS(pg_transaction_cleaned!$O:$O,A5594,pg_transaction_cleaned!$F:$F,"REFUND")</f>
        <v>0</v>
      </c>
      <c r="M5594" s="39">
        <f>SUMIFS(pg_transaction_cleaned!$H:$H,pg_transaction_cleaned!$O:$O,A5594,pg_transaction_cleaned!$F:$F,"REFUND")</f>
        <v>0</v>
      </c>
      <c r="N5594" s="23" t="str">
        <f t="shared" si="350"/>
        <v>OK</v>
      </c>
      <c r="O5594" s="24">
        <f t="shared" si="351"/>
        <v>0</v>
      </c>
    </row>
    <row r="5595" spans="1:15" ht="15" customHeight="1" x14ac:dyDescent="0.3">
      <c r="A5595" s="23" t="s">
        <v>11609</v>
      </c>
      <c r="B5595" s="38">
        <v>46293</v>
      </c>
      <c r="C5595" s="23" t="s">
        <v>11610</v>
      </c>
      <c r="D5595" s="23" t="s">
        <v>86</v>
      </c>
      <c r="E5595" s="23" t="s">
        <v>79</v>
      </c>
      <c r="F5595" s="23" t="s">
        <v>490</v>
      </c>
      <c r="G5595" s="23" t="s">
        <v>318</v>
      </c>
      <c r="H5595" s="39">
        <f t="shared" si="348"/>
        <v>8798</v>
      </c>
      <c r="I5595" s="23" t="str">
        <f t="shared" si="349"/>
        <v>Delhi</v>
      </c>
      <c r="J5595" s="23">
        <f>COUNTIFS(pg_transaction_cleaned!$O:$O,A5595,pg_transaction_cleaned!$F:$F,"CAPTURE")</f>
        <v>0</v>
      </c>
      <c r="K5595" s="39">
        <f>SUMIFS(pg_transaction_cleaned!$H:$H,pg_transaction_cleaned!$O:$O,A5595,pg_transaction_cleaned!$F:$F,"CAPTURE")</f>
        <v>0</v>
      </c>
      <c r="L5595" s="23">
        <f>COUNTIFS(pg_transaction_cleaned!$O:$O,A5595,pg_transaction_cleaned!$F:$F,"REFUND")</f>
        <v>0</v>
      </c>
      <c r="M5595" s="39">
        <f>SUMIFS(pg_transaction_cleaned!$H:$H,pg_transaction_cleaned!$O:$O,A5595,pg_transaction_cleaned!$F:$F,"REFUND")</f>
        <v>0</v>
      </c>
      <c r="N5595" s="23" t="str">
        <f t="shared" si="350"/>
        <v>OK</v>
      </c>
      <c r="O5595" s="24">
        <f t="shared" si="351"/>
        <v>0</v>
      </c>
    </row>
    <row r="5596" spans="1:15" ht="15" customHeight="1" x14ac:dyDescent="0.3">
      <c r="A5596" s="23" t="s">
        <v>11611</v>
      </c>
      <c r="B5596" s="38">
        <v>46275</v>
      </c>
      <c r="C5596" s="23" t="s">
        <v>11612</v>
      </c>
      <c r="D5596" s="23" t="s">
        <v>86</v>
      </c>
      <c r="E5596" s="23" t="s">
        <v>77</v>
      </c>
      <c r="F5596" s="23" t="s">
        <v>265</v>
      </c>
      <c r="G5596" s="23" t="s">
        <v>250</v>
      </c>
      <c r="H5596" s="39">
        <f t="shared" si="348"/>
        <v>999</v>
      </c>
      <c r="I5596" s="23" t="str">
        <f t="shared" si="349"/>
        <v>Delhi</v>
      </c>
      <c r="J5596" s="23">
        <f>COUNTIFS(pg_transaction_cleaned!$O:$O,A5596,pg_transaction_cleaned!$F:$F,"CAPTURE")</f>
        <v>1</v>
      </c>
      <c r="K5596" s="39">
        <f>SUMIFS(pg_transaction_cleaned!$H:$H,pg_transaction_cleaned!$O:$O,A5596,pg_transaction_cleaned!$F:$F,"CAPTURE")</f>
        <v>999</v>
      </c>
      <c r="L5596" s="23">
        <f>COUNTIFS(pg_transaction_cleaned!$O:$O,A5596,pg_transaction_cleaned!$F:$F,"REFUND")</f>
        <v>0</v>
      </c>
      <c r="M5596" s="39">
        <f>SUMIFS(pg_transaction_cleaned!$H:$H,pg_transaction_cleaned!$O:$O,A5596,pg_transaction_cleaned!$F:$F,"REFUND")</f>
        <v>0</v>
      </c>
      <c r="N5596" s="23" t="str">
        <f t="shared" si="350"/>
        <v>OK</v>
      </c>
      <c r="O5596" s="24">
        <f t="shared" si="351"/>
        <v>0</v>
      </c>
    </row>
    <row r="5597" spans="1:15" ht="15" customHeight="1" x14ac:dyDescent="0.3">
      <c r="A5597" s="23" t="s">
        <v>11613</v>
      </c>
      <c r="B5597" s="38">
        <v>46269</v>
      </c>
      <c r="C5597" s="23" t="s">
        <v>11614</v>
      </c>
      <c r="D5597" s="23" t="s">
        <v>86</v>
      </c>
      <c r="E5597" s="23" t="s">
        <v>79</v>
      </c>
      <c r="F5597" s="23" t="s">
        <v>742</v>
      </c>
      <c r="G5597" s="23" t="s">
        <v>250</v>
      </c>
      <c r="H5597" s="39">
        <f t="shared" si="348"/>
        <v>999</v>
      </c>
      <c r="I5597" s="23" t="str">
        <f t="shared" si="349"/>
        <v>Delhi</v>
      </c>
      <c r="J5597" s="23">
        <f>COUNTIFS(pg_transaction_cleaned!$O:$O,A5597,pg_transaction_cleaned!$F:$F,"CAPTURE")</f>
        <v>1</v>
      </c>
      <c r="K5597" s="39">
        <f>SUMIFS(pg_transaction_cleaned!$H:$H,pg_transaction_cleaned!$O:$O,A5597,pg_transaction_cleaned!$F:$F,"CAPTURE")</f>
        <v>999</v>
      </c>
      <c r="L5597" s="23">
        <f>COUNTIFS(pg_transaction_cleaned!$O:$O,A5597,pg_transaction_cleaned!$F:$F,"REFUND")</f>
        <v>0</v>
      </c>
      <c r="M5597" s="39">
        <f>SUMIFS(pg_transaction_cleaned!$H:$H,pg_transaction_cleaned!$O:$O,A5597,pg_transaction_cleaned!$F:$F,"REFUND")</f>
        <v>0</v>
      </c>
      <c r="N5597" s="23" t="str">
        <f t="shared" si="350"/>
        <v>OK</v>
      </c>
      <c r="O5597" s="24">
        <f t="shared" si="351"/>
        <v>0</v>
      </c>
    </row>
    <row r="5598" spans="1:15" ht="15" customHeight="1" x14ac:dyDescent="0.3">
      <c r="A5598" s="23" t="s">
        <v>11615</v>
      </c>
      <c r="B5598" s="38">
        <v>46270</v>
      </c>
      <c r="C5598" s="23" t="s">
        <v>11616</v>
      </c>
      <c r="D5598" s="23" t="s">
        <v>90</v>
      </c>
      <c r="E5598" s="23" t="s">
        <v>81</v>
      </c>
      <c r="F5598" s="23" t="s">
        <v>1103</v>
      </c>
      <c r="G5598" s="23" t="s">
        <v>250</v>
      </c>
      <c r="H5598" s="39">
        <f t="shared" si="348"/>
        <v>3897</v>
      </c>
      <c r="I5598" s="23" t="str">
        <f t="shared" si="349"/>
        <v>Ahmedabad</v>
      </c>
      <c r="J5598" s="23">
        <f>COUNTIFS(pg_transaction_cleaned!$O:$O,A5598,pg_transaction_cleaned!$F:$F,"CAPTURE")</f>
        <v>1</v>
      </c>
      <c r="K5598" s="39">
        <f>SUMIFS(pg_transaction_cleaned!$H:$H,pg_transaction_cleaned!$O:$O,A5598,pg_transaction_cleaned!$F:$F,"CAPTURE")</f>
        <v>3897</v>
      </c>
      <c r="L5598" s="23">
        <f>COUNTIFS(pg_transaction_cleaned!$O:$O,A5598,pg_transaction_cleaned!$F:$F,"REFUND")</f>
        <v>0</v>
      </c>
      <c r="M5598" s="39">
        <f>SUMIFS(pg_transaction_cleaned!$H:$H,pg_transaction_cleaned!$O:$O,A5598,pg_transaction_cleaned!$F:$F,"REFUND")</f>
        <v>0</v>
      </c>
      <c r="N5598" s="23" t="str">
        <f t="shared" si="350"/>
        <v>OK</v>
      </c>
      <c r="O5598" s="24">
        <f t="shared" si="351"/>
        <v>0</v>
      </c>
    </row>
    <row r="5599" spans="1:15" ht="15" customHeight="1" x14ac:dyDescent="0.3">
      <c r="A5599" s="23" t="s">
        <v>11617</v>
      </c>
      <c r="B5599" s="38">
        <v>46273</v>
      </c>
      <c r="C5599" s="23" t="s">
        <v>11618</v>
      </c>
      <c r="D5599" s="23" t="s">
        <v>94</v>
      </c>
      <c r="E5599" s="23" t="s">
        <v>77</v>
      </c>
      <c r="F5599" s="23" t="s">
        <v>466</v>
      </c>
      <c r="G5599" s="23" t="s">
        <v>250</v>
      </c>
      <c r="H5599" s="39">
        <f t="shared" si="348"/>
        <v>2197</v>
      </c>
      <c r="I5599" s="23" t="str">
        <f t="shared" si="349"/>
        <v>Chennai</v>
      </c>
      <c r="J5599" s="23">
        <f>COUNTIFS(pg_transaction_cleaned!$O:$O,A5599,pg_transaction_cleaned!$F:$F,"CAPTURE")</f>
        <v>1</v>
      </c>
      <c r="K5599" s="39">
        <f>SUMIFS(pg_transaction_cleaned!$H:$H,pg_transaction_cleaned!$O:$O,A5599,pg_transaction_cleaned!$F:$F,"CAPTURE")</f>
        <v>2197</v>
      </c>
      <c r="L5599" s="23">
        <f>COUNTIFS(pg_transaction_cleaned!$O:$O,A5599,pg_transaction_cleaned!$F:$F,"REFUND")</f>
        <v>0</v>
      </c>
      <c r="M5599" s="39">
        <f>SUMIFS(pg_transaction_cleaned!$H:$H,pg_transaction_cleaned!$O:$O,A5599,pg_transaction_cleaned!$F:$F,"REFUND")</f>
        <v>0</v>
      </c>
      <c r="N5599" s="23" t="str">
        <f t="shared" si="350"/>
        <v>OK</v>
      </c>
      <c r="O5599" s="24">
        <f t="shared" si="351"/>
        <v>0</v>
      </c>
    </row>
    <row r="5600" spans="1:15" ht="15" customHeight="1" x14ac:dyDescent="0.3">
      <c r="A5600" s="23" t="s">
        <v>11619</v>
      </c>
      <c r="B5600" s="38">
        <v>46292</v>
      </c>
      <c r="C5600" s="23" t="s">
        <v>11620</v>
      </c>
      <c r="D5600" s="23" t="s">
        <v>93</v>
      </c>
      <c r="E5600" s="23" t="s">
        <v>79</v>
      </c>
      <c r="F5600" s="23" t="s">
        <v>315</v>
      </c>
      <c r="G5600" s="23" t="s">
        <v>250</v>
      </c>
      <c r="H5600" s="39">
        <f t="shared" si="348"/>
        <v>1499</v>
      </c>
      <c r="I5600" s="23" t="str">
        <f t="shared" si="349"/>
        <v>Kolkata</v>
      </c>
      <c r="J5600" s="23">
        <f>COUNTIFS(pg_transaction_cleaned!$O:$O,A5600,pg_transaction_cleaned!$F:$F,"CAPTURE")</f>
        <v>1</v>
      </c>
      <c r="K5600" s="39">
        <f>SUMIFS(pg_transaction_cleaned!$H:$H,pg_transaction_cleaned!$O:$O,A5600,pg_transaction_cleaned!$F:$F,"CAPTURE")</f>
        <v>1499</v>
      </c>
      <c r="L5600" s="23">
        <f>COUNTIFS(pg_transaction_cleaned!$O:$O,A5600,pg_transaction_cleaned!$F:$F,"REFUND")</f>
        <v>0</v>
      </c>
      <c r="M5600" s="39">
        <f>SUMIFS(pg_transaction_cleaned!$H:$H,pg_transaction_cleaned!$O:$O,A5600,pg_transaction_cleaned!$F:$F,"REFUND")</f>
        <v>0</v>
      </c>
      <c r="N5600" s="23" t="str">
        <f t="shared" si="350"/>
        <v>OK</v>
      </c>
      <c r="O5600" s="24">
        <f t="shared" si="351"/>
        <v>0</v>
      </c>
    </row>
    <row r="5601" spans="1:15" ht="15" customHeight="1" x14ac:dyDescent="0.3">
      <c r="A5601" s="23" t="s">
        <v>11621</v>
      </c>
      <c r="B5601" s="38">
        <v>46267</v>
      </c>
      <c r="C5601" s="23" t="s">
        <v>11622</v>
      </c>
      <c r="D5601" s="23" t="s">
        <v>90</v>
      </c>
      <c r="E5601" s="23" t="s">
        <v>77</v>
      </c>
      <c r="F5601" s="23" t="s">
        <v>4950</v>
      </c>
      <c r="G5601" s="23" t="s">
        <v>250</v>
      </c>
      <c r="H5601" s="39">
        <f t="shared" si="348"/>
        <v>2499</v>
      </c>
      <c r="I5601" s="23" t="str">
        <f t="shared" si="349"/>
        <v>Ahmedabad</v>
      </c>
      <c r="J5601" s="23">
        <f>COUNTIFS(pg_transaction_cleaned!$O:$O,A5601,pg_transaction_cleaned!$F:$F,"CAPTURE")</f>
        <v>1</v>
      </c>
      <c r="K5601" s="39">
        <f>SUMIFS(pg_transaction_cleaned!$H:$H,pg_transaction_cleaned!$O:$O,A5601,pg_transaction_cleaned!$F:$F,"CAPTURE")</f>
        <v>2499</v>
      </c>
      <c r="L5601" s="23">
        <f>COUNTIFS(pg_transaction_cleaned!$O:$O,A5601,pg_transaction_cleaned!$F:$F,"REFUND")</f>
        <v>0</v>
      </c>
      <c r="M5601" s="39">
        <f>SUMIFS(pg_transaction_cleaned!$H:$H,pg_transaction_cleaned!$O:$O,A5601,pg_transaction_cleaned!$F:$F,"REFUND")</f>
        <v>0</v>
      </c>
      <c r="N5601" s="23" t="str">
        <f t="shared" si="350"/>
        <v>OK</v>
      </c>
      <c r="O5601" s="24">
        <f t="shared" si="351"/>
        <v>0</v>
      </c>
    </row>
    <row r="5602" spans="1:15" ht="15" customHeight="1" x14ac:dyDescent="0.3">
      <c r="A5602" s="23" t="s">
        <v>11623</v>
      </c>
      <c r="B5602" s="38">
        <v>46284</v>
      </c>
      <c r="C5602" s="23" t="s">
        <v>11624</v>
      </c>
      <c r="D5602" s="23" t="s">
        <v>92</v>
      </c>
      <c r="E5602" s="23" t="s">
        <v>75</v>
      </c>
      <c r="F5602" s="23" t="s">
        <v>274</v>
      </c>
      <c r="G5602" s="23" t="s">
        <v>250</v>
      </c>
      <c r="H5602" s="39">
        <f t="shared" si="348"/>
        <v>349</v>
      </c>
      <c r="I5602" s="23" t="str">
        <f t="shared" si="349"/>
        <v>Hyderabad</v>
      </c>
      <c r="J5602" s="23">
        <f>COUNTIFS(pg_transaction_cleaned!$O:$O,A5602,pg_transaction_cleaned!$F:$F,"CAPTURE")</f>
        <v>1</v>
      </c>
      <c r="K5602" s="39">
        <f>SUMIFS(pg_transaction_cleaned!$H:$H,pg_transaction_cleaned!$O:$O,A5602,pg_transaction_cleaned!$F:$F,"CAPTURE")</f>
        <v>349</v>
      </c>
      <c r="L5602" s="23">
        <f>COUNTIFS(pg_transaction_cleaned!$O:$O,A5602,pg_transaction_cleaned!$F:$F,"REFUND")</f>
        <v>0</v>
      </c>
      <c r="M5602" s="39">
        <f>SUMIFS(pg_transaction_cleaned!$H:$H,pg_transaction_cleaned!$O:$O,A5602,pg_transaction_cleaned!$F:$F,"REFUND")</f>
        <v>0</v>
      </c>
      <c r="N5602" s="23" t="str">
        <f t="shared" si="350"/>
        <v>OK</v>
      </c>
      <c r="O5602" s="24">
        <f t="shared" si="351"/>
        <v>0</v>
      </c>
    </row>
    <row r="5603" spans="1:15" ht="15" customHeight="1" x14ac:dyDescent="0.3">
      <c r="A5603" s="23" t="s">
        <v>11625</v>
      </c>
      <c r="B5603" s="38">
        <v>46286</v>
      </c>
      <c r="C5603" s="23" t="s">
        <v>11626</v>
      </c>
      <c r="D5603" s="23" t="s">
        <v>91</v>
      </c>
      <c r="E5603" s="23" t="s">
        <v>75</v>
      </c>
      <c r="F5603" s="23" t="s">
        <v>11627</v>
      </c>
      <c r="G5603" s="23" t="s">
        <v>250</v>
      </c>
      <c r="H5603" s="39">
        <f t="shared" si="348"/>
        <v>4347</v>
      </c>
      <c r="I5603" s="23" t="str">
        <f t="shared" si="349"/>
        <v>Pune</v>
      </c>
      <c r="J5603" s="23">
        <f>COUNTIFS(pg_transaction_cleaned!$O:$O,A5603,pg_transaction_cleaned!$F:$F,"CAPTURE")</f>
        <v>1</v>
      </c>
      <c r="K5603" s="39">
        <f>SUMIFS(pg_transaction_cleaned!$H:$H,pg_transaction_cleaned!$O:$O,A5603,pg_transaction_cleaned!$F:$F,"CAPTURE")</f>
        <v>4347</v>
      </c>
      <c r="L5603" s="23">
        <f>COUNTIFS(pg_transaction_cleaned!$O:$O,A5603,pg_transaction_cleaned!$F:$F,"REFUND")</f>
        <v>0</v>
      </c>
      <c r="M5603" s="39">
        <f>SUMIFS(pg_transaction_cleaned!$H:$H,pg_transaction_cleaned!$O:$O,A5603,pg_transaction_cleaned!$F:$F,"REFUND")</f>
        <v>0</v>
      </c>
      <c r="N5603" s="23" t="str">
        <f t="shared" si="350"/>
        <v>OK</v>
      </c>
      <c r="O5603" s="24">
        <f t="shared" si="351"/>
        <v>0</v>
      </c>
    </row>
    <row r="5604" spans="1:15" ht="15" customHeight="1" x14ac:dyDescent="0.3">
      <c r="A5604" s="23" t="s">
        <v>11628</v>
      </c>
      <c r="B5604" s="38">
        <v>46281</v>
      </c>
      <c r="C5604" s="23" t="s">
        <v>11629</v>
      </c>
      <c r="D5604" s="23" t="s">
        <v>94</v>
      </c>
      <c r="E5604" s="23" t="s">
        <v>75</v>
      </c>
      <c r="F5604" s="23" t="s">
        <v>268</v>
      </c>
      <c r="G5604" s="23" t="s">
        <v>250</v>
      </c>
      <c r="H5604" s="39">
        <f t="shared" si="348"/>
        <v>1299</v>
      </c>
      <c r="I5604" s="23" t="str">
        <f t="shared" si="349"/>
        <v>Chennai</v>
      </c>
      <c r="J5604" s="23">
        <f>COUNTIFS(pg_transaction_cleaned!$O:$O,A5604,pg_transaction_cleaned!$F:$F,"CAPTURE")</f>
        <v>1</v>
      </c>
      <c r="K5604" s="39">
        <f>SUMIFS(pg_transaction_cleaned!$H:$H,pg_transaction_cleaned!$O:$O,A5604,pg_transaction_cleaned!$F:$F,"CAPTURE")</f>
        <v>1299</v>
      </c>
      <c r="L5604" s="23">
        <f>COUNTIFS(pg_transaction_cleaned!$O:$O,A5604,pg_transaction_cleaned!$F:$F,"REFUND")</f>
        <v>0</v>
      </c>
      <c r="M5604" s="39">
        <f>SUMIFS(pg_transaction_cleaned!$H:$H,pg_transaction_cleaned!$O:$O,A5604,pg_transaction_cleaned!$F:$F,"REFUND")</f>
        <v>0</v>
      </c>
      <c r="N5604" s="23" t="str">
        <f t="shared" si="350"/>
        <v>OK</v>
      </c>
      <c r="O5604" s="24">
        <f t="shared" si="351"/>
        <v>0</v>
      </c>
    </row>
    <row r="5605" spans="1:15" ht="15" customHeight="1" x14ac:dyDescent="0.3">
      <c r="A5605" s="23" t="s">
        <v>11630</v>
      </c>
      <c r="B5605" s="38">
        <v>46279</v>
      </c>
      <c r="C5605" s="23" t="s">
        <v>11631</v>
      </c>
      <c r="D5605" s="23" t="s">
        <v>92</v>
      </c>
      <c r="E5605" s="23" t="s">
        <v>75</v>
      </c>
      <c r="F5605" s="23" t="s">
        <v>396</v>
      </c>
      <c r="G5605" s="23" t="s">
        <v>250</v>
      </c>
      <c r="H5605" s="39">
        <f t="shared" si="348"/>
        <v>2999</v>
      </c>
      <c r="I5605" s="23" t="str">
        <f t="shared" si="349"/>
        <v>Hyderabad</v>
      </c>
      <c r="J5605" s="23">
        <f>COUNTIFS(pg_transaction_cleaned!$O:$O,A5605,pg_transaction_cleaned!$F:$F,"CAPTURE")</f>
        <v>1</v>
      </c>
      <c r="K5605" s="39">
        <f>SUMIFS(pg_transaction_cleaned!$H:$H,pg_transaction_cleaned!$O:$O,A5605,pg_transaction_cleaned!$F:$F,"CAPTURE")</f>
        <v>2999</v>
      </c>
      <c r="L5605" s="23">
        <f>COUNTIFS(pg_transaction_cleaned!$O:$O,A5605,pg_transaction_cleaned!$F:$F,"REFUND")</f>
        <v>0</v>
      </c>
      <c r="M5605" s="39">
        <f>SUMIFS(pg_transaction_cleaned!$H:$H,pg_transaction_cleaned!$O:$O,A5605,pg_transaction_cleaned!$F:$F,"REFUND")</f>
        <v>0</v>
      </c>
      <c r="N5605" s="23" t="str">
        <f t="shared" si="350"/>
        <v>OK</v>
      </c>
      <c r="O5605" s="24">
        <f t="shared" si="351"/>
        <v>0</v>
      </c>
    </row>
    <row r="5606" spans="1:15" ht="15" customHeight="1" x14ac:dyDescent="0.3">
      <c r="A5606" s="23" t="s">
        <v>11632</v>
      </c>
      <c r="B5606" s="38">
        <v>46269</v>
      </c>
      <c r="C5606" s="23" t="s">
        <v>11633</v>
      </c>
      <c r="D5606" s="23" t="s">
        <v>87</v>
      </c>
      <c r="E5606" s="23" t="s">
        <v>75</v>
      </c>
      <c r="F5606" s="23" t="s">
        <v>329</v>
      </c>
      <c r="G5606" s="23" t="s">
        <v>250</v>
      </c>
      <c r="H5606" s="39">
        <f t="shared" si="348"/>
        <v>599</v>
      </c>
      <c r="I5606" s="23" t="str">
        <f t="shared" si="349"/>
        <v>Mumbai</v>
      </c>
      <c r="J5606" s="23">
        <f>COUNTIFS(pg_transaction_cleaned!$O:$O,A5606,pg_transaction_cleaned!$F:$F,"CAPTURE")</f>
        <v>1</v>
      </c>
      <c r="K5606" s="39">
        <f>SUMIFS(pg_transaction_cleaned!$H:$H,pg_transaction_cleaned!$O:$O,A5606,pg_transaction_cleaned!$F:$F,"CAPTURE")</f>
        <v>599</v>
      </c>
      <c r="L5606" s="23">
        <f>COUNTIFS(pg_transaction_cleaned!$O:$O,A5606,pg_transaction_cleaned!$F:$F,"REFUND")</f>
        <v>0</v>
      </c>
      <c r="M5606" s="39">
        <f>SUMIFS(pg_transaction_cleaned!$H:$H,pg_transaction_cleaned!$O:$O,A5606,pg_transaction_cleaned!$F:$F,"REFUND")</f>
        <v>0</v>
      </c>
      <c r="N5606" s="23" t="str">
        <f t="shared" si="350"/>
        <v>OK</v>
      </c>
      <c r="O5606" s="24">
        <f t="shared" si="351"/>
        <v>0</v>
      </c>
    </row>
    <row r="5607" spans="1:15" ht="15" customHeight="1" x14ac:dyDescent="0.3">
      <c r="A5607" s="23" t="s">
        <v>11634</v>
      </c>
      <c r="B5607" s="38">
        <v>46270</v>
      </c>
      <c r="C5607" s="23" t="s">
        <v>11635</v>
      </c>
      <c r="D5607" s="23" t="s">
        <v>94</v>
      </c>
      <c r="E5607" s="23" t="s">
        <v>75</v>
      </c>
      <c r="F5607" s="23" t="s">
        <v>1193</v>
      </c>
      <c r="G5607" s="23" t="s">
        <v>250</v>
      </c>
      <c r="H5607" s="39">
        <f t="shared" si="348"/>
        <v>3498</v>
      </c>
      <c r="I5607" s="23" t="str">
        <f t="shared" si="349"/>
        <v>Chennai</v>
      </c>
      <c r="J5607" s="23">
        <f>COUNTIFS(pg_transaction_cleaned!$O:$O,A5607,pg_transaction_cleaned!$F:$F,"CAPTURE")</f>
        <v>1</v>
      </c>
      <c r="K5607" s="39">
        <f>SUMIFS(pg_transaction_cleaned!$H:$H,pg_transaction_cleaned!$O:$O,A5607,pg_transaction_cleaned!$F:$F,"CAPTURE")</f>
        <v>3498</v>
      </c>
      <c r="L5607" s="23">
        <f>COUNTIFS(pg_transaction_cleaned!$O:$O,A5607,pg_transaction_cleaned!$F:$F,"REFUND")</f>
        <v>0</v>
      </c>
      <c r="M5607" s="39">
        <f>SUMIFS(pg_transaction_cleaned!$H:$H,pg_transaction_cleaned!$O:$O,A5607,pg_transaction_cleaned!$F:$F,"REFUND")</f>
        <v>0</v>
      </c>
      <c r="N5607" s="23" t="str">
        <f t="shared" si="350"/>
        <v>OK</v>
      </c>
      <c r="O5607" s="24">
        <f t="shared" si="351"/>
        <v>0</v>
      </c>
    </row>
    <row r="5608" spans="1:15" ht="15" customHeight="1" x14ac:dyDescent="0.3">
      <c r="A5608" s="23" t="s">
        <v>11636</v>
      </c>
      <c r="B5608" s="38">
        <v>46283</v>
      </c>
      <c r="C5608" s="23" t="s">
        <v>11637</v>
      </c>
      <c r="D5608" s="23" t="s">
        <v>90</v>
      </c>
      <c r="E5608" s="23" t="s">
        <v>75</v>
      </c>
      <c r="F5608" s="23" t="s">
        <v>315</v>
      </c>
      <c r="G5608" s="23" t="s">
        <v>250</v>
      </c>
      <c r="H5608" s="39">
        <f t="shared" si="348"/>
        <v>1499</v>
      </c>
      <c r="I5608" s="23" t="str">
        <f t="shared" si="349"/>
        <v>Ahmedabad</v>
      </c>
      <c r="J5608" s="23">
        <f>COUNTIFS(pg_transaction_cleaned!$O:$O,A5608,pg_transaction_cleaned!$F:$F,"CAPTURE")</f>
        <v>1</v>
      </c>
      <c r="K5608" s="39">
        <f>SUMIFS(pg_transaction_cleaned!$H:$H,pg_transaction_cleaned!$O:$O,A5608,pg_transaction_cleaned!$F:$F,"CAPTURE")</f>
        <v>1499</v>
      </c>
      <c r="L5608" s="23">
        <f>COUNTIFS(pg_transaction_cleaned!$O:$O,A5608,pg_transaction_cleaned!$F:$F,"REFUND")</f>
        <v>0</v>
      </c>
      <c r="M5608" s="39">
        <f>SUMIFS(pg_transaction_cleaned!$H:$H,pg_transaction_cleaned!$O:$O,A5608,pg_transaction_cleaned!$F:$F,"REFUND")</f>
        <v>0</v>
      </c>
      <c r="N5608" s="23" t="str">
        <f t="shared" si="350"/>
        <v>OK</v>
      </c>
      <c r="O5608" s="24">
        <f t="shared" si="351"/>
        <v>0</v>
      </c>
    </row>
    <row r="5609" spans="1:15" ht="15" customHeight="1" x14ac:dyDescent="0.3">
      <c r="A5609" s="23" t="s">
        <v>11638</v>
      </c>
      <c r="B5609" s="38">
        <v>46283</v>
      </c>
      <c r="C5609" s="23" t="s">
        <v>11639</v>
      </c>
      <c r="D5609" s="23" t="s">
        <v>88</v>
      </c>
      <c r="E5609" s="23" t="s">
        <v>75</v>
      </c>
      <c r="F5609" s="23" t="s">
        <v>271</v>
      </c>
      <c r="G5609" s="23" t="s">
        <v>250</v>
      </c>
      <c r="H5609" s="39">
        <f t="shared" si="348"/>
        <v>2499</v>
      </c>
      <c r="I5609" s="23" t="str">
        <f t="shared" si="349"/>
        <v>Lucknow</v>
      </c>
      <c r="J5609" s="23">
        <f>COUNTIFS(pg_transaction_cleaned!$O:$O,A5609,pg_transaction_cleaned!$F:$F,"CAPTURE")</f>
        <v>1</v>
      </c>
      <c r="K5609" s="39">
        <f>SUMIFS(pg_transaction_cleaned!$H:$H,pg_transaction_cleaned!$O:$O,A5609,pg_transaction_cleaned!$F:$F,"CAPTURE")</f>
        <v>2499</v>
      </c>
      <c r="L5609" s="23">
        <f>COUNTIFS(pg_transaction_cleaned!$O:$O,A5609,pg_transaction_cleaned!$F:$F,"REFUND")</f>
        <v>0</v>
      </c>
      <c r="M5609" s="39">
        <f>SUMIFS(pg_transaction_cleaned!$H:$H,pg_transaction_cleaned!$O:$O,A5609,pg_transaction_cleaned!$F:$F,"REFUND")</f>
        <v>0</v>
      </c>
      <c r="N5609" s="23" t="str">
        <f t="shared" si="350"/>
        <v>OK</v>
      </c>
      <c r="O5609" s="24">
        <f t="shared" si="351"/>
        <v>0</v>
      </c>
    </row>
    <row r="5610" spans="1:15" ht="15" customHeight="1" x14ac:dyDescent="0.3">
      <c r="A5610" s="23" t="s">
        <v>11640</v>
      </c>
      <c r="B5610" s="38">
        <v>46271</v>
      </c>
      <c r="C5610" s="23" t="s">
        <v>11641</v>
      </c>
      <c r="D5610" s="23" t="s">
        <v>91</v>
      </c>
      <c r="E5610" s="23" t="s">
        <v>81</v>
      </c>
      <c r="F5610" s="23" t="s">
        <v>274</v>
      </c>
      <c r="G5610" s="23" t="s">
        <v>250</v>
      </c>
      <c r="H5610" s="39">
        <f t="shared" si="348"/>
        <v>349</v>
      </c>
      <c r="I5610" s="23" t="str">
        <f t="shared" si="349"/>
        <v>Pune</v>
      </c>
      <c r="J5610" s="23">
        <f>COUNTIFS(pg_transaction_cleaned!$O:$O,A5610,pg_transaction_cleaned!$F:$F,"CAPTURE")</f>
        <v>1</v>
      </c>
      <c r="K5610" s="39">
        <f>SUMIFS(pg_transaction_cleaned!$H:$H,pg_transaction_cleaned!$O:$O,A5610,pg_transaction_cleaned!$F:$F,"CAPTURE")</f>
        <v>349</v>
      </c>
      <c r="L5610" s="23">
        <f>COUNTIFS(pg_transaction_cleaned!$O:$O,A5610,pg_transaction_cleaned!$F:$F,"REFUND")</f>
        <v>0</v>
      </c>
      <c r="M5610" s="39">
        <f>SUMIFS(pg_transaction_cleaned!$H:$H,pg_transaction_cleaned!$O:$O,A5610,pg_transaction_cleaned!$F:$F,"REFUND")</f>
        <v>0</v>
      </c>
      <c r="N5610" s="23" t="str">
        <f t="shared" si="350"/>
        <v>OK</v>
      </c>
      <c r="O5610" s="24">
        <f t="shared" si="351"/>
        <v>0</v>
      </c>
    </row>
    <row r="5611" spans="1:15" ht="15" customHeight="1" x14ac:dyDescent="0.3">
      <c r="A5611" s="23" t="s">
        <v>11642</v>
      </c>
      <c r="B5611" s="38">
        <v>46286</v>
      </c>
      <c r="C5611" s="23" t="s">
        <v>11643</v>
      </c>
      <c r="D5611" s="23" t="s">
        <v>89</v>
      </c>
      <c r="E5611" s="23" t="s">
        <v>77</v>
      </c>
      <c r="F5611" s="23" t="s">
        <v>262</v>
      </c>
      <c r="G5611" s="23" t="s">
        <v>250</v>
      </c>
      <c r="H5611" s="39">
        <f t="shared" si="348"/>
        <v>499</v>
      </c>
      <c r="I5611" s="23" t="str">
        <f t="shared" si="349"/>
        <v>Jaipur</v>
      </c>
      <c r="J5611" s="23">
        <f>COUNTIFS(pg_transaction_cleaned!$O:$O,A5611,pg_transaction_cleaned!$F:$F,"CAPTURE")</f>
        <v>1</v>
      </c>
      <c r="K5611" s="39">
        <f>SUMIFS(pg_transaction_cleaned!$H:$H,pg_transaction_cleaned!$O:$O,A5611,pg_transaction_cleaned!$F:$F,"CAPTURE")</f>
        <v>499</v>
      </c>
      <c r="L5611" s="23">
        <f>COUNTIFS(pg_transaction_cleaned!$O:$O,A5611,pg_transaction_cleaned!$F:$F,"REFUND")</f>
        <v>0</v>
      </c>
      <c r="M5611" s="39">
        <f>SUMIFS(pg_transaction_cleaned!$H:$H,pg_transaction_cleaned!$O:$O,A5611,pg_transaction_cleaned!$F:$F,"REFUND")</f>
        <v>0</v>
      </c>
      <c r="N5611" s="23" t="str">
        <f t="shared" si="350"/>
        <v>OK</v>
      </c>
      <c r="O5611" s="24">
        <f t="shared" si="351"/>
        <v>0</v>
      </c>
    </row>
    <row r="5612" spans="1:15" ht="15" customHeight="1" x14ac:dyDescent="0.3">
      <c r="A5612" s="23" t="s">
        <v>11644</v>
      </c>
      <c r="B5612" s="38">
        <v>46269</v>
      </c>
      <c r="C5612" s="23" t="s">
        <v>11645</v>
      </c>
      <c r="D5612" s="23" t="s">
        <v>89</v>
      </c>
      <c r="E5612" s="23" t="s">
        <v>79</v>
      </c>
      <c r="F5612" s="23" t="s">
        <v>274</v>
      </c>
      <c r="G5612" s="23" t="s">
        <v>250</v>
      </c>
      <c r="H5612" s="39">
        <f t="shared" si="348"/>
        <v>349</v>
      </c>
      <c r="I5612" s="23" t="str">
        <f t="shared" si="349"/>
        <v>Jaipur</v>
      </c>
      <c r="J5612" s="23">
        <f>COUNTIFS(pg_transaction_cleaned!$O:$O,A5612,pg_transaction_cleaned!$F:$F,"CAPTURE")</f>
        <v>1</v>
      </c>
      <c r="K5612" s="39">
        <f>SUMIFS(pg_transaction_cleaned!$H:$H,pg_transaction_cleaned!$O:$O,A5612,pg_transaction_cleaned!$F:$F,"CAPTURE")</f>
        <v>349</v>
      </c>
      <c r="L5612" s="23">
        <f>COUNTIFS(pg_transaction_cleaned!$O:$O,A5612,pg_transaction_cleaned!$F:$F,"REFUND")</f>
        <v>0</v>
      </c>
      <c r="M5612" s="39">
        <f>SUMIFS(pg_transaction_cleaned!$H:$H,pg_transaction_cleaned!$O:$O,A5612,pg_transaction_cleaned!$F:$F,"REFUND")</f>
        <v>0</v>
      </c>
      <c r="N5612" s="23" t="str">
        <f t="shared" si="350"/>
        <v>OK</v>
      </c>
      <c r="O5612" s="24">
        <f t="shared" si="351"/>
        <v>0</v>
      </c>
    </row>
    <row r="5613" spans="1:15" ht="15" customHeight="1" x14ac:dyDescent="0.3">
      <c r="A5613" s="23" t="s">
        <v>11646</v>
      </c>
      <c r="B5613" s="38">
        <v>46277</v>
      </c>
      <c r="C5613" s="23" t="s">
        <v>11647</v>
      </c>
      <c r="D5613" s="23" t="s">
        <v>86</v>
      </c>
      <c r="E5613" s="23" t="s">
        <v>79</v>
      </c>
      <c r="F5613" s="23" t="s">
        <v>1206</v>
      </c>
      <c r="G5613" s="23" t="s">
        <v>250</v>
      </c>
      <c r="H5613" s="39">
        <f t="shared" si="348"/>
        <v>7297</v>
      </c>
      <c r="I5613" s="23" t="str">
        <f t="shared" si="349"/>
        <v>Delhi</v>
      </c>
      <c r="J5613" s="23">
        <f>COUNTIFS(pg_transaction_cleaned!$O:$O,A5613,pg_transaction_cleaned!$F:$F,"CAPTURE")</f>
        <v>1</v>
      </c>
      <c r="K5613" s="39">
        <f>SUMIFS(pg_transaction_cleaned!$H:$H,pg_transaction_cleaned!$O:$O,A5613,pg_transaction_cleaned!$F:$F,"CAPTURE")</f>
        <v>7297</v>
      </c>
      <c r="L5613" s="23">
        <f>COUNTIFS(pg_transaction_cleaned!$O:$O,A5613,pg_transaction_cleaned!$F:$F,"REFUND")</f>
        <v>0</v>
      </c>
      <c r="M5613" s="39">
        <f>SUMIFS(pg_transaction_cleaned!$H:$H,pg_transaction_cleaned!$O:$O,A5613,pg_transaction_cleaned!$F:$F,"REFUND")</f>
        <v>0</v>
      </c>
      <c r="N5613" s="23" t="str">
        <f t="shared" si="350"/>
        <v>OK</v>
      </c>
      <c r="O5613" s="24">
        <f t="shared" si="351"/>
        <v>0</v>
      </c>
    </row>
    <row r="5614" spans="1:15" ht="15" customHeight="1" x14ac:dyDescent="0.3">
      <c r="A5614" s="23" t="s">
        <v>11648</v>
      </c>
      <c r="B5614" s="38">
        <v>46279</v>
      </c>
      <c r="C5614" s="23" t="s">
        <v>11649</v>
      </c>
      <c r="D5614" s="23" t="s">
        <v>87</v>
      </c>
      <c r="E5614" s="23" t="s">
        <v>75</v>
      </c>
      <c r="F5614" s="23" t="s">
        <v>262</v>
      </c>
      <c r="G5614" s="23" t="s">
        <v>250</v>
      </c>
      <c r="H5614" s="39">
        <f t="shared" si="348"/>
        <v>499</v>
      </c>
      <c r="I5614" s="23" t="str">
        <f t="shared" si="349"/>
        <v>Mumbai</v>
      </c>
      <c r="J5614" s="23">
        <f>COUNTIFS(pg_transaction_cleaned!$O:$O,A5614,pg_transaction_cleaned!$F:$F,"CAPTURE")</f>
        <v>1</v>
      </c>
      <c r="K5614" s="39">
        <f>SUMIFS(pg_transaction_cleaned!$H:$H,pg_transaction_cleaned!$O:$O,A5614,pg_transaction_cleaned!$F:$F,"CAPTURE")</f>
        <v>499</v>
      </c>
      <c r="L5614" s="23">
        <f>COUNTIFS(pg_transaction_cleaned!$O:$O,A5614,pg_transaction_cleaned!$F:$F,"REFUND")</f>
        <v>0</v>
      </c>
      <c r="M5614" s="39">
        <f>SUMIFS(pg_transaction_cleaned!$H:$H,pg_transaction_cleaned!$O:$O,A5614,pg_transaction_cleaned!$F:$F,"REFUND")</f>
        <v>0</v>
      </c>
      <c r="N5614" s="23" t="str">
        <f t="shared" si="350"/>
        <v>OK</v>
      </c>
      <c r="O5614" s="24">
        <f t="shared" si="351"/>
        <v>0</v>
      </c>
    </row>
    <row r="5615" spans="1:15" ht="15" customHeight="1" x14ac:dyDescent="0.3">
      <c r="A5615" s="23" t="s">
        <v>11650</v>
      </c>
      <c r="B5615" s="38">
        <v>46269</v>
      </c>
      <c r="C5615" s="23" t="s">
        <v>11651</v>
      </c>
      <c r="D5615" s="23" t="s">
        <v>92</v>
      </c>
      <c r="E5615" s="23" t="s">
        <v>79</v>
      </c>
      <c r="F5615" s="23" t="s">
        <v>451</v>
      </c>
      <c r="G5615" s="23" t="s">
        <v>250</v>
      </c>
      <c r="H5615" s="39">
        <f t="shared" si="348"/>
        <v>1098</v>
      </c>
      <c r="I5615" s="23" t="str">
        <f t="shared" si="349"/>
        <v>Hyderabad</v>
      </c>
      <c r="J5615" s="23">
        <f>COUNTIFS(pg_transaction_cleaned!$O:$O,A5615,pg_transaction_cleaned!$F:$F,"CAPTURE")</f>
        <v>1</v>
      </c>
      <c r="K5615" s="39">
        <f>SUMIFS(pg_transaction_cleaned!$H:$H,pg_transaction_cleaned!$O:$O,A5615,pg_transaction_cleaned!$F:$F,"CAPTURE")</f>
        <v>1098</v>
      </c>
      <c r="L5615" s="23">
        <f>COUNTIFS(pg_transaction_cleaned!$O:$O,A5615,pg_transaction_cleaned!$F:$F,"REFUND")</f>
        <v>0</v>
      </c>
      <c r="M5615" s="39">
        <f>SUMIFS(pg_transaction_cleaned!$H:$H,pg_transaction_cleaned!$O:$O,A5615,pg_transaction_cleaned!$F:$F,"REFUND")</f>
        <v>0</v>
      </c>
      <c r="N5615" s="23" t="str">
        <f t="shared" si="350"/>
        <v>OK</v>
      </c>
      <c r="O5615" s="24">
        <f t="shared" si="351"/>
        <v>0</v>
      </c>
    </row>
    <row r="5616" spans="1:15" ht="15" customHeight="1" x14ac:dyDescent="0.3">
      <c r="A5616" s="23" t="s">
        <v>11652</v>
      </c>
      <c r="B5616" s="38">
        <v>46288</v>
      </c>
      <c r="C5616" s="23" t="s">
        <v>11653</v>
      </c>
      <c r="D5616" s="23" t="s">
        <v>93</v>
      </c>
      <c r="E5616" s="23" t="s">
        <v>75</v>
      </c>
      <c r="F5616" s="23" t="s">
        <v>268</v>
      </c>
      <c r="G5616" s="23" t="s">
        <v>250</v>
      </c>
      <c r="H5616" s="39">
        <f t="shared" si="348"/>
        <v>1299</v>
      </c>
      <c r="I5616" s="23" t="str">
        <f t="shared" si="349"/>
        <v>Kolkata</v>
      </c>
      <c r="J5616" s="23">
        <f>COUNTIFS(pg_transaction_cleaned!$O:$O,A5616,pg_transaction_cleaned!$F:$F,"CAPTURE")</f>
        <v>1</v>
      </c>
      <c r="K5616" s="39">
        <f>SUMIFS(pg_transaction_cleaned!$H:$H,pg_transaction_cleaned!$O:$O,A5616,pg_transaction_cleaned!$F:$F,"CAPTURE")</f>
        <v>1299</v>
      </c>
      <c r="L5616" s="23">
        <f>COUNTIFS(pg_transaction_cleaned!$O:$O,A5616,pg_transaction_cleaned!$F:$F,"REFUND")</f>
        <v>0</v>
      </c>
      <c r="M5616" s="39">
        <f>SUMIFS(pg_transaction_cleaned!$H:$H,pg_transaction_cleaned!$O:$O,A5616,pg_transaction_cleaned!$F:$F,"REFUND")</f>
        <v>0</v>
      </c>
      <c r="N5616" s="23" t="str">
        <f t="shared" si="350"/>
        <v>OK</v>
      </c>
      <c r="O5616" s="24">
        <f t="shared" si="351"/>
        <v>0</v>
      </c>
    </row>
    <row r="5617" spans="1:15" ht="15" customHeight="1" x14ac:dyDescent="0.3">
      <c r="A5617" s="23" t="s">
        <v>11654</v>
      </c>
      <c r="B5617" s="38">
        <v>46278</v>
      </c>
      <c r="C5617" s="23" t="s">
        <v>11655</v>
      </c>
      <c r="D5617" s="23" t="s">
        <v>86</v>
      </c>
      <c r="E5617" s="23" t="s">
        <v>75</v>
      </c>
      <c r="F5617" s="23" t="s">
        <v>271</v>
      </c>
      <c r="G5617" s="23" t="s">
        <v>250</v>
      </c>
      <c r="H5617" s="39">
        <f t="shared" si="348"/>
        <v>2499</v>
      </c>
      <c r="I5617" s="23" t="str">
        <f t="shared" si="349"/>
        <v>Delhi</v>
      </c>
      <c r="J5617" s="23">
        <f>COUNTIFS(pg_transaction_cleaned!$O:$O,A5617,pg_transaction_cleaned!$F:$F,"CAPTURE")</f>
        <v>1</v>
      </c>
      <c r="K5617" s="39">
        <f>SUMIFS(pg_transaction_cleaned!$H:$H,pg_transaction_cleaned!$O:$O,A5617,pg_transaction_cleaned!$F:$F,"CAPTURE")</f>
        <v>2499</v>
      </c>
      <c r="L5617" s="23">
        <f>COUNTIFS(pg_transaction_cleaned!$O:$O,A5617,pg_transaction_cleaned!$F:$F,"REFUND")</f>
        <v>0</v>
      </c>
      <c r="M5617" s="39">
        <f>SUMIFS(pg_transaction_cleaned!$H:$H,pg_transaction_cleaned!$O:$O,A5617,pg_transaction_cleaned!$F:$F,"REFUND")</f>
        <v>0</v>
      </c>
      <c r="N5617" s="23" t="str">
        <f t="shared" si="350"/>
        <v>OK</v>
      </c>
      <c r="O5617" s="24">
        <f t="shared" si="351"/>
        <v>0</v>
      </c>
    </row>
    <row r="5618" spans="1:15" ht="15" customHeight="1" x14ac:dyDescent="0.3">
      <c r="A5618" s="23" t="s">
        <v>11656</v>
      </c>
      <c r="B5618" s="38">
        <v>46280</v>
      </c>
      <c r="C5618" s="23" t="s">
        <v>11657</v>
      </c>
      <c r="D5618" s="23" t="s">
        <v>90</v>
      </c>
      <c r="E5618" s="23" t="s">
        <v>75</v>
      </c>
      <c r="F5618" s="23" t="s">
        <v>297</v>
      </c>
      <c r="G5618" s="23" t="s">
        <v>250</v>
      </c>
      <c r="H5618" s="39">
        <f t="shared" si="348"/>
        <v>4999</v>
      </c>
      <c r="I5618" s="23" t="str">
        <f t="shared" si="349"/>
        <v>Ahmedabad</v>
      </c>
      <c r="J5618" s="23">
        <f>COUNTIFS(pg_transaction_cleaned!$O:$O,A5618,pg_transaction_cleaned!$F:$F,"CAPTURE")</f>
        <v>1</v>
      </c>
      <c r="K5618" s="39">
        <f>SUMIFS(pg_transaction_cleaned!$H:$H,pg_transaction_cleaned!$O:$O,A5618,pg_transaction_cleaned!$F:$F,"CAPTURE")</f>
        <v>4999</v>
      </c>
      <c r="L5618" s="23">
        <f>COUNTIFS(pg_transaction_cleaned!$O:$O,A5618,pg_transaction_cleaned!$F:$F,"REFUND")</f>
        <v>0</v>
      </c>
      <c r="M5618" s="39">
        <f>SUMIFS(pg_transaction_cleaned!$H:$H,pg_transaction_cleaned!$O:$O,A5618,pg_transaction_cleaned!$F:$F,"REFUND")</f>
        <v>0</v>
      </c>
      <c r="N5618" s="23" t="str">
        <f t="shared" si="350"/>
        <v>OK</v>
      </c>
      <c r="O5618" s="24">
        <f t="shared" si="351"/>
        <v>0</v>
      </c>
    </row>
    <row r="5619" spans="1:15" ht="15" customHeight="1" x14ac:dyDescent="0.3">
      <c r="A5619" s="23" t="s">
        <v>11658</v>
      </c>
      <c r="B5619" s="38">
        <v>46294</v>
      </c>
      <c r="C5619" s="23" t="s">
        <v>11659</v>
      </c>
      <c r="D5619" s="23" t="s">
        <v>88</v>
      </c>
      <c r="E5619" s="23" t="s">
        <v>75</v>
      </c>
      <c r="F5619" s="23" t="s">
        <v>444</v>
      </c>
      <c r="G5619" s="23" t="s">
        <v>365</v>
      </c>
      <c r="H5619" s="39">
        <f t="shared" si="348"/>
        <v>3847</v>
      </c>
      <c r="I5619" s="23" t="str">
        <f t="shared" si="349"/>
        <v>Lucknow</v>
      </c>
      <c r="J5619" s="23">
        <f>COUNTIFS(pg_transaction_cleaned!$O:$O,A5619,pg_transaction_cleaned!$F:$F,"CAPTURE")</f>
        <v>0</v>
      </c>
      <c r="K5619" s="39">
        <f>SUMIFS(pg_transaction_cleaned!$H:$H,pg_transaction_cleaned!$O:$O,A5619,pg_transaction_cleaned!$F:$F,"CAPTURE")</f>
        <v>0</v>
      </c>
      <c r="L5619" s="23">
        <f>COUNTIFS(pg_transaction_cleaned!$O:$O,A5619,pg_transaction_cleaned!$F:$F,"REFUND")</f>
        <v>0</v>
      </c>
      <c r="M5619" s="39">
        <f>SUMIFS(pg_transaction_cleaned!$H:$H,pg_transaction_cleaned!$O:$O,A5619,pg_transaction_cleaned!$F:$F,"REFUND")</f>
        <v>0</v>
      </c>
      <c r="N5619" s="23" t="str">
        <f t="shared" si="350"/>
        <v>OK</v>
      </c>
      <c r="O5619" s="24">
        <f t="shared" si="351"/>
        <v>0</v>
      </c>
    </row>
    <row r="5620" spans="1:15" ht="15" customHeight="1" x14ac:dyDescent="0.3">
      <c r="A5620" s="23" t="s">
        <v>11660</v>
      </c>
      <c r="B5620" s="38">
        <v>46269</v>
      </c>
      <c r="C5620" s="23" t="s">
        <v>11661</v>
      </c>
      <c r="D5620" s="23" t="s">
        <v>87</v>
      </c>
      <c r="E5620" s="23" t="s">
        <v>79</v>
      </c>
      <c r="F5620" s="23" t="s">
        <v>329</v>
      </c>
      <c r="G5620" s="23" t="s">
        <v>250</v>
      </c>
      <c r="H5620" s="39">
        <f t="shared" si="348"/>
        <v>599</v>
      </c>
      <c r="I5620" s="23" t="str">
        <f t="shared" si="349"/>
        <v>Mumbai</v>
      </c>
      <c r="J5620" s="23">
        <f>COUNTIFS(pg_transaction_cleaned!$O:$O,A5620,pg_transaction_cleaned!$F:$F,"CAPTURE")</f>
        <v>1</v>
      </c>
      <c r="K5620" s="39">
        <f>SUMIFS(pg_transaction_cleaned!$H:$H,pg_transaction_cleaned!$O:$O,A5620,pg_transaction_cleaned!$F:$F,"CAPTURE")</f>
        <v>599</v>
      </c>
      <c r="L5620" s="23">
        <f>COUNTIFS(pg_transaction_cleaned!$O:$O,A5620,pg_transaction_cleaned!$F:$F,"REFUND")</f>
        <v>0</v>
      </c>
      <c r="M5620" s="39">
        <f>SUMIFS(pg_transaction_cleaned!$H:$H,pg_transaction_cleaned!$O:$O,A5620,pg_transaction_cleaned!$F:$F,"REFUND")</f>
        <v>0</v>
      </c>
      <c r="N5620" s="23" t="str">
        <f t="shared" si="350"/>
        <v>OK</v>
      </c>
      <c r="O5620" s="24">
        <f t="shared" si="351"/>
        <v>0</v>
      </c>
    </row>
    <row r="5621" spans="1:15" ht="15" customHeight="1" x14ac:dyDescent="0.3">
      <c r="A5621" s="23" t="s">
        <v>11662</v>
      </c>
      <c r="B5621" s="38">
        <v>46294</v>
      </c>
      <c r="C5621" s="23" t="s">
        <v>11663</v>
      </c>
      <c r="D5621" s="23" t="s">
        <v>95</v>
      </c>
      <c r="E5621" s="23" t="s">
        <v>75</v>
      </c>
      <c r="F5621" s="23" t="s">
        <v>274</v>
      </c>
      <c r="G5621" s="23" t="s">
        <v>250</v>
      </c>
      <c r="H5621" s="39">
        <f t="shared" si="348"/>
        <v>349</v>
      </c>
      <c r="I5621" s="23" t="str">
        <f t="shared" si="349"/>
        <v>Bengaluru</v>
      </c>
      <c r="J5621" s="23">
        <f>COUNTIFS(pg_transaction_cleaned!$O:$O,A5621,pg_transaction_cleaned!$F:$F,"CAPTURE")</f>
        <v>1</v>
      </c>
      <c r="K5621" s="39">
        <f>SUMIFS(pg_transaction_cleaned!$H:$H,pg_transaction_cleaned!$O:$O,A5621,pg_transaction_cleaned!$F:$F,"CAPTURE")</f>
        <v>349</v>
      </c>
      <c r="L5621" s="23">
        <f>COUNTIFS(pg_transaction_cleaned!$O:$O,A5621,pg_transaction_cleaned!$F:$F,"REFUND")</f>
        <v>0</v>
      </c>
      <c r="M5621" s="39">
        <f>SUMIFS(pg_transaction_cleaned!$H:$H,pg_transaction_cleaned!$O:$O,A5621,pg_transaction_cleaned!$F:$F,"REFUND")</f>
        <v>0</v>
      </c>
      <c r="N5621" s="23" t="str">
        <f t="shared" si="350"/>
        <v>OK</v>
      </c>
      <c r="O5621" s="24">
        <f t="shared" si="351"/>
        <v>0</v>
      </c>
    </row>
    <row r="5622" spans="1:15" ht="15" customHeight="1" x14ac:dyDescent="0.3">
      <c r="A5622" s="23" t="s">
        <v>11664</v>
      </c>
      <c r="B5622" s="38">
        <v>46269</v>
      </c>
      <c r="C5622" s="23" t="s">
        <v>11665</v>
      </c>
      <c r="D5622" s="23" t="s">
        <v>95</v>
      </c>
      <c r="E5622" s="23" t="s">
        <v>75</v>
      </c>
      <c r="F5622" s="23" t="s">
        <v>268</v>
      </c>
      <c r="G5622" s="23" t="s">
        <v>250</v>
      </c>
      <c r="H5622" s="39">
        <f t="shared" si="348"/>
        <v>1299</v>
      </c>
      <c r="I5622" s="23" t="str">
        <f t="shared" si="349"/>
        <v>Bengaluru</v>
      </c>
      <c r="J5622" s="23">
        <f>COUNTIFS(pg_transaction_cleaned!$O:$O,A5622,pg_transaction_cleaned!$F:$F,"CAPTURE")</f>
        <v>1</v>
      </c>
      <c r="K5622" s="39">
        <f>SUMIFS(pg_transaction_cleaned!$H:$H,pg_transaction_cleaned!$O:$O,A5622,pg_transaction_cleaned!$F:$F,"CAPTURE")</f>
        <v>1299</v>
      </c>
      <c r="L5622" s="23">
        <f>COUNTIFS(pg_transaction_cleaned!$O:$O,A5622,pg_transaction_cleaned!$F:$F,"REFUND")</f>
        <v>0</v>
      </c>
      <c r="M5622" s="39">
        <f>SUMIFS(pg_transaction_cleaned!$H:$H,pg_transaction_cleaned!$O:$O,A5622,pg_transaction_cleaned!$F:$F,"REFUND")</f>
        <v>0</v>
      </c>
      <c r="N5622" s="23" t="str">
        <f t="shared" si="350"/>
        <v>OK</v>
      </c>
      <c r="O5622" s="24">
        <f t="shared" si="351"/>
        <v>0</v>
      </c>
    </row>
    <row r="5623" spans="1:15" ht="15" customHeight="1" x14ac:dyDescent="0.3">
      <c r="A5623" s="23" t="s">
        <v>11666</v>
      </c>
      <c r="B5623" s="38">
        <v>46275</v>
      </c>
      <c r="C5623" s="23" t="s">
        <v>11667</v>
      </c>
      <c r="D5623" s="23" t="s">
        <v>86</v>
      </c>
      <c r="E5623" s="23" t="s">
        <v>79</v>
      </c>
      <c r="F5623" s="23" t="s">
        <v>294</v>
      </c>
      <c r="G5623" s="23" t="s">
        <v>250</v>
      </c>
      <c r="H5623" s="39">
        <f t="shared" si="348"/>
        <v>1799</v>
      </c>
      <c r="I5623" s="23" t="str">
        <f t="shared" si="349"/>
        <v>Delhi</v>
      </c>
      <c r="J5623" s="23">
        <f>COUNTIFS(pg_transaction_cleaned!$O:$O,A5623,pg_transaction_cleaned!$F:$F,"CAPTURE")</f>
        <v>1</v>
      </c>
      <c r="K5623" s="39">
        <f>SUMIFS(pg_transaction_cleaned!$H:$H,pg_transaction_cleaned!$O:$O,A5623,pg_transaction_cleaned!$F:$F,"CAPTURE")</f>
        <v>1799</v>
      </c>
      <c r="L5623" s="23">
        <f>COUNTIFS(pg_transaction_cleaned!$O:$O,A5623,pg_transaction_cleaned!$F:$F,"REFUND")</f>
        <v>0</v>
      </c>
      <c r="M5623" s="39">
        <f>SUMIFS(pg_transaction_cleaned!$H:$H,pg_transaction_cleaned!$O:$O,A5623,pg_transaction_cleaned!$F:$F,"REFUND")</f>
        <v>0</v>
      </c>
      <c r="N5623" s="23" t="str">
        <f t="shared" si="350"/>
        <v>OK</v>
      </c>
      <c r="O5623" s="24">
        <f t="shared" si="351"/>
        <v>0</v>
      </c>
    </row>
    <row r="5624" spans="1:15" ht="15" customHeight="1" x14ac:dyDescent="0.3">
      <c r="A5624" s="23" t="s">
        <v>11668</v>
      </c>
      <c r="B5624" s="38">
        <v>46270</v>
      </c>
      <c r="C5624" s="23" t="s">
        <v>11669</v>
      </c>
      <c r="D5624" s="23" t="s">
        <v>95</v>
      </c>
      <c r="E5624" s="23" t="s">
        <v>75</v>
      </c>
      <c r="F5624" s="23" t="s">
        <v>647</v>
      </c>
      <c r="G5624" s="23" t="s">
        <v>250</v>
      </c>
      <c r="H5624" s="39">
        <f t="shared" si="348"/>
        <v>5597</v>
      </c>
      <c r="I5624" s="23" t="str">
        <f t="shared" si="349"/>
        <v>Bengaluru</v>
      </c>
      <c r="J5624" s="23">
        <f>COUNTIFS(pg_transaction_cleaned!$O:$O,A5624,pg_transaction_cleaned!$F:$F,"CAPTURE")</f>
        <v>1</v>
      </c>
      <c r="K5624" s="39">
        <f>SUMIFS(pg_transaction_cleaned!$H:$H,pg_transaction_cleaned!$O:$O,A5624,pg_transaction_cleaned!$F:$F,"CAPTURE")</f>
        <v>5597</v>
      </c>
      <c r="L5624" s="23">
        <f>COUNTIFS(pg_transaction_cleaned!$O:$O,A5624,pg_transaction_cleaned!$F:$F,"REFUND")</f>
        <v>0</v>
      </c>
      <c r="M5624" s="39">
        <f>SUMIFS(pg_transaction_cleaned!$H:$H,pg_transaction_cleaned!$O:$O,A5624,pg_transaction_cleaned!$F:$F,"REFUND")</f>
        <v>0</v>
      </c>
      <c r="N5624" s="23" t="str">
        <f t="shared" si="350"/>
        <v>OK</v>
      </c>
      <c r="O5624" s="24">
        <f t="shared" si="351"/>
        <v>0</v>
      </c>
    </row>
    <row r="5625" spans="1:15" ht="15" customHeight="1" x14ac:dyDescent="0.3">
      <c r="A5625" s="23" t="s">
        <v>11670</v>
      </c>
      <c r="B5625" s="38">
        <v>46290</v>
      </c>
      <c r="C5625" s="23" t="s">
        <v>11671</v>
      </c>
      <c r="D5625" s="23" t="s">
        <v>86</v>
      </c>
      <c r="E5625" s="23" t="s">
        <v>75</v>
      </c>
      <c r="F5625" s="23" t="s">
        <v>249</v>
      </c>
      <c r="G5625" s="23" t="s">
        <v>301</v>
      </c>
      <c r="H5625" s="39">
        <f t="shared" si="348"/>
        <v>299</v>
      </c>
      <c r="I5625" s="23" t="str">
        <f t="shared" si="349"/>
        <v>Delhi</v>
      </c>
      <c r="J5625" s="23">
        <f>COUNTIFS(pg_transaction_cleaned!$O:$O,A5625,pg_transaction_cleaned!$F:$F,"CAPTURE")</f>
        <v>1</v>
      </c>
      <c r="K5625" s="39">
        <f>SUMIFS(pg_transaction_cleaned!$H:$H,pg_transaction_cleaned!$O:$O,A5625,pg_transaction_cleaned!$F:$F,"CAPTURE")</f>
        <v>299</v>
      </c>
      <c r="L5625" s="23">
        <f>COUNTIFS(pg_transaction_cleaned!$O:$O,A5625,pg_transaction_cleaned!$F:$F,"REFUND")</f>
        <v>1</v>
      </c>
      <c r="M5625" s="39">
        <f>SUMIFS(pg_transaction_cleaned!$H:$H,pg_transaction_cleaned!$O:$O,A5625,pg_transaction_cleaned!$F:$F,"REFUND")</f>
        <v>299</v>
      </c>
      <c r="N5625" s="23" t="str">
        <f t="shared" si="350"/>
        <v>OK</v>
      </c>
      <c r="O5625" s="24">
        <f t="shared" si="351"/>
        <v>0</v>
      </c>
    </row>
    <row r="5626" spans="1:15" ht="15" customHeight="1" x14ac:dyDescent="0.3">
      <c r="A5626" s="23" t="s">
        <v>11672</v>
      </c>
      <c r="B5626" s="38">
        <v>46273</v>
      </c>
      <c r="C5626" s="23" t="s">
        <v>11673</v>
      </c>
      <c r="D5626" s="23" t="s">
        <v>93</v>
      </c>
      <c r="E5626" s="23" t="s">
        <v>81</v>
      </c>
      <c r="F5626" s="23" t="s">
        <v>553</v>
      </c>
      <c r="G5626" s="23" t="s">
        <v>250</v>
      </c>
      <c r="H5626" s="39">
        <f t="shared" si="348"/>
        <v>2798</v>
      </c>
      <c r="I5626" s="23" t="str">
        <f t="shared" si="349"/>
        <v>Kolkata</v>
      </c>
      <c r="J5626" s="23">
        <f>COUNTIFS(pg_transaction_cleaned!$O:$O,A5626,pg_transaction_cleaned!$F:$F,"CAPTURE")</f>
        <v>1</v>
      </c>
      <c r="K5626" s="39">
        <f>SUMIFS(pg_transaction_cleaned!$H:$H,pg_transaction_cleaned!$O:$O,A5626,pg_transaction_cleaned!$F:$F,"CAPTURE")</f>
        <v>2798</v>
      </c>
      <c r="L5626" s="23">
        <f>COUNTIFS(pg_transaction_cleaned!$O:$O,A5626,pg_transaction_cleaned!$F:$F,"REFUND")</f>
        <v>0</v>
      </c>
      <c r="M5626" s="39">
        <f>SUMIFS(pg_transaction_cleaned!$H:$H,pg_transaction_cleaned!$O:$O,A5626,pg_transaction_cleaned!$F:$F,"REFUND")</f>
        <v>0</v>
      </c>
      <c r="N5626" s="23" t="str">
        <f t="shared" si="350"/>
        <v>OK</v>
      </c>
      <c r="O5626" s="24">
        <f t="shared" si="351"/>
        <v>0</v>
      </c>
    </row>
    <row r="5627" spans="1:15" ht="15" customHeight="1" x14ac:dyDescent="0.3">
      <c r="A5627" s="23" t="s">
        <v>11674</v>
      </c>
      <c r="B5627" s="38">
        <v>46266</v>
      </c>
      <c r="C5627" s="23" t="s">
        <v>11675</v>
      </c>
      <c r="D5627" s="23" t="s">
        <v>88</v>
      </c>
      <c r="E5627" s="23" t="s">
        <v>77</v>
      </c>
      <c r="F5627" s="23" t="s">
        <v>297</v>
      </c>
      <c r="G5627" s="23" t="s">
        <v>250</v>
      </c>
      <c r="H5627" s="39">
        <f t="shared" si="348"/>
        <v>4999</v>
      </c>
      <c r="I5627" s="23" t="str">
        <f t="shared" si="349"/>
        <v>Lucknow</v>
      </c>
      <c r="J5627" s="23">
        <f>COUNTIFS(pg_transaction_cleaned!$O:$O,A5627,pg_transaction_cleaned!$F:$F,"CAPTURE")</f>
        <v>1</v>
      </c>
      <c r="K5627" s="39">
        <f>SUMIFS(pg_transaction_cleaned!$H:$H,pg_transaction_cleaned!$O:$O,A5627,pg_transaction_cleaned!$F:$F,"CAPTURE")</f>
        <v>4999</v>
      </c>
      <c r="L5627" s="23">
        <f>COUNTIFS(pg_transaction_cleaned!$O:$O,A5627,pg_transaction_cleaned!$F:$F,"REFUND")</f>
        <v>0</v>
      </c>
      <c r="M5627" s="39">
        <f>SUMIFS(pg_transaction_cleaned!$H:$H,pg_transaction_cleaned!$O:$O,A5627,pg_transaction_cleaned!$F:$F,"REFUND")</f>
        <v>0</v>
      </c>
      <c r="N5627" s="23" t="str">
        <f t="shared" si="350"/>
        <v>OK</v>
      </c>
      <c r="O5627" s="24">
        <f t="shared" si="351"/>
        <v>0</v>
      </c>
    </row>
    <row r="5628" spans="1:15" ht="15" customHeight="1" x14ac:dyDescent="0.3">
      <c r="A5628" s="23" t="s">
        <v>11676</v>
      </c>
      <c r="B5628" s="38">
        <v>46290</v>
      </c>
      <c r="C5628" s="23" t="s">
        <v>11677</v>
      </c>
      <c r="D5628" s="23" t="s">
        <v>90</v>
      </c>
      <c r="E5628" s="23" t="s">
        <v>77</v>
      </c>
      <c r="F5628" s="23" t="s">
        <v>346</v>
      </c>
      <c r="G5628" s="23" t="s">
        <v>250</v>
      </c>
      <c r="H5628" s="39">
        <f t="shared" si="348"/>
        <v>4498</v>
      </c>
      <c r="I5628" s="23" t="str">
        <f t="shared" si="349"/>
        <v>Ahmedabad</v>
      </c>
      <c r="J5628" s="23">
        <f>COUNTIFS(pg_transaction_cleaned!$O:$O,A5628,pg_transaction_cleaned!$F:$F,"CAPTURE")</f>
        <v>1</v>
      </c>
      <c r="K5628" s="39">
        <f>SUMIFS(pg_transaction_cleaned!$H:$H,pg_transaction_cleaned!$O:$O,A5628,pg_transaction_cleaned!$F:$F,"CAPTURE")</f>
        <v>4498</v>
      </c>
      <c r="L5628" s="23">
        <f>COUNTIFS(pg_transaction_cleaned!$O:$O,A5628,pg_transaction_cleaned!$F:$F,"REFUND")</f>
        <v>0</v>
      </c>
      <c r="M5628" s="39">
        <f>SUMIFS(pg_transaction_cleaned!$H:$H,pg_transaction_cleaned!$O:$O,A5628,pg_transaction_cleaned!$F:$F,"REFUND")</f>
        <v>0</v>
      </c>
      <c r="N5628" s="23" t="str">
        <f t="shared" si="350"/>
        <v>OK</v>
      </c>
      <c r="O5628" s="24">
        <f t="shared" si="351"/>
        <v>0</v>
      </c>
    </row>
    <row r="5629" spans="1:15" ht="15" customHeight="1" x14ac:dyDescent="0.3">
      <c r="A5629" s="23" t="s">
        <v>11678</v>
      </c>
      <c r="B5629" s="38">
        <v>46275</v>
      </c>
      <c r="C5629" s="23" t="s">
        <v>11679</v>
      </c>
      <c r="D5629" s="23"/>
      <c r="E5629" s="23" t="s">
        <v>77</v>
      </c>
      <c r="F5629" s="23" t="s">
        <v>294</v>
      </c>
      <c r="G5629" s="23" t="s">
        <v>250</v>
      </c>
      <c r="H5629" s="39">
        <f t="shared" si="348"/>
        <v>1799</v>
      </c>
      <c r="I5629" s="23" t="str">
        <f t="shared" si="349"/>
        <v>Unknown</v>
      </c>
      <c r="J5629" s="23">
        <f>COUNTIFS(pg_transaction_cleaned!$O:$O,A5629,pg_transaction_cleaned!$F:$F,"CAPTURE")</f>
        <v>1</v>
      </c>
      <c r="K5629" s="39">
        <f>SUMIFS(pg_transaction_cleaned!$H:$H,pg_transaction_cleaned!$O:$O,A5629,pg_transaction_cleaned!$F:$F,"CAPTURE")</f>
        <v>1799</v>
      </c>
      <c r="L5629" s="23">
        <f>COUNTIFS(pg_transaction_cleaned!$O:$O,A5629,pg_transaction_cleaned!$F:$F,"REFUND")</f>
        <v>0</v>
      </c>
      <c r="M5629" s="39">
        <f>SUMIFS(pg_transaction_cleaned!$H:$H,pg_transaction_cleaned!$O:$O,A5629,pg_transaction_cleaned!$F:$F,"REFUND")</f>
        <v>0</v>
      </c>
      <c r="N5629" s="23" t="str">
        <f t="shared" si="350"/>
        <v>OK</v>
      </c>
      <c r="O5629" s="24">
        <f t="shared" si="351"/>
        <v>0</v>
      </c>
    </row>
    <row r="5630" spans="1:15" ht="15" customHeight="1" x14ac:dyDescent="0.3">
      <c r="A5630" s="23" t="s">
        <v>11680</v>
      </c>
      <c r="B5630" s="38">
        <v>46293</v>
      </c>
      <c r="C5630" s="23" t="s">
        <v>11681</v>
      </c>
      <c r="D5630" s="23" t="s">
        <v>92</v>
      </c>
      <c r="E5630" s="23" t="s">
        <v>79</v>
      </c>
      <c r="F5630" s="23" t="s">
        <v>274</v>
      </c>
      <c r="G5630" s="23" t="s">
        <v>250</v>
      </c>
      <c r="H5630" s="39">
        <f t="shared" si="348"/>
        <v>349</v>
      </c>
      <c r="I5630" s="23" t="str">
        <f t="shared" si="349"/>
        <v>Hyderabad</v>
      </c>
      <c r="J5630" s="23">
        <f>COUNTIFS(pg_transaction_cleaned!$O:$O,A5630,pg_transaction_cleaned!$F:$F,"CAPTURE")</f>
        <v>1</v>
      </c>
      <c r="K5630" s="39">
        <f>SUMIFS(pg_transaction_cleaned!$H:$H,pg_transaction_cleaned!$O:$O,A5630,pg_transaction_cleaned!$F:$F,"CAPTURE")</f>
        <v>349</v>
      </c>
      <c r="L5630" s="23">
        <f>COUNTIFS(pg_transaction_cleaned!$O:$O,A5630,pg_transaction_cleaned!$F:$F,"REFUND")</f>
        <v>0</v>
      </c>
      <c r="M5630" s="39">
        <f>SUMIFS(pg_transaction_cleaned!$H:$H,pg_transaction_cleaned!$O:$O,A5630,pg_transaction_cleaned!$F:$F,"REFUND")</f>
        <v>0</v>
      </c>
      <c r="N5630" s="23" t="str">
        <f t="shared" si="350"/>
        <v>OK</v>
      </c>
      <c r="O5630" s="24">
        <f t="shared" si="351"/>
        <v>0</v>
      </c>
    </row>
    <row r="5631" spans="1:15" ht="15" customHeight="1" x14ac:dyDescent="0.3">
      <c r="A5631" s="23" t="s">
        <v>11682</v>
      </c>
      <c r="B5631" s="38">
        <v>46292</v>
      </c>
      <c r="C5631" s="23" t="s">
        <v>11683</v>
      </c>
      <c r="D5631" s="23" t="s">
        <v>91</v>
      </c>
      <c r="E5631" s="23" t="s">
        <v>79</v>
      </c>
      <c r="F5631" s="23" t="s">
        <v>2117</v>
      </c>
      <c r="G5631" s="23" t="s">
        <v>250</v>
      </c>
      <c r="H5631" s="39">
        <f t="shared" si="348"/>
        <v>1197</v>
      </c>
      <c r="I5631" s="23" t="str">
        <f t="shared" si="349"/>
        <v>Pune</v>
      </c>
      <c r="J5631" s="23">
        <f>COUNTIFS(pg_transaction_cleaned!$O:$O,A5631,pg_transaction_cleaned!$F:$F,"CAPTURE")</f>
        <v>1</v>
      </c>
      <c r="K5631" s="39">
        <f>SUMIFS(pg_transaction_cleaned!$H:$H,pg_transaction_cleaned!$O:$O,A5631,pg_transaction_cleaned!$F:$F,"CAPTURE")</f>
        <v>1197</v>
      </c>
      <c r="L5631" s="23">
        <f>COUNTIFS(pg_transaction_cleaned!$O:$O,A5631,pg_transaction_cleaned!$F:$F,"REFUND")</f>
        <v>0</v>
      </c>
      <c r="M5631" s="39">
        <f>SUMIFS(pg_transaction_cleaned!$H:$H,pg_transaction_cleaned!$O:$O,A5631,pg_transaction_cleaned!$F:$F,"REFUND")</f>
        <v>0</v>
      </c>
      <c r="N5631" s="23" t="str">
        <f t="shared" si="350"/>
        <v>OK</v>
      </c>
      <c r="O5631" s="24">
        <f t="shared" si="351"/>
        <v>0</v>
      </c>
    </row>
    <row r="5632" spans="1:15" ht="15" customHeight="1" x14ac:dyDescent="0.3">
      <c r="A5632" s="23" t="s">
        <v>11684</v>
      </c>
      <c r="B5632" s="38">
        <v>46266</v>
      </c>
      <c r="C5632" s="23" t="s">
        <v>11685</v>
      </c>
      <c r="D5632" s="23" t="s">
        <v>86</v>
      </c>
      <c r="E5632" s="23" t="s">
        <v>79</v>
      </c>
      <c r="F5632" s="23" t="s">
        <v>619</v>
      </c>
      <c r="G5632" s="23" t="s">
        <v>250</v>
      </c>
      <c r="H5632" s="39">
        <f t="shared" si="348"/>
        <v>15997</v>
      </c>
      <c r="I5632" s="23" t="str">
        <f t="shared" si="349"/>
        <v>Delhi</v>
      </c>
      <c r="J5632" s="23">
        <f>COUNTIFS(pg_transaction_cleaned!$O:$O,A5632,pg_transaction_cleaned!$F:$F,"CAPTURE")</f>
        <v>1</v>
      </c>
      <c r="K5632" s="39">
        <f>SUMIFS(pg_transaction_cleaned!$H:$H,pg_transaction_cleaned!$O:$O,A5632,pg_transaction_cleaned!$F:$F,"CAPTURE")</f>
        <v>15997</v>
      </c>
      <c r="L5632" s="23">
        <f>COUNTIFS(pg_transaction_cleaned!$O:$O,A5632,pg_transaction_cleaned!$F:$F,"REFUND")</f>
        <v>0</v>
      </c>
      <c r="M5632" s="39">
        <f>SUMIFS(pg_transaction_cleaned!$H:$H,pg_transaction_cleaned!$O:$O,A5632,pg_transaction_cleaned!$F:$F,"REFUND")</f>
        <v>0</v>
      </c>
      <c r="N5632" s="23" t="str">
        <f t="shared" si="350"/>
        <v>OK</v>
      </c>
      <c r="O5632" s="24">
        <f t="shared" si="351"/>
        <v>0</v>
      </c>
    </row>
    <row r="5633" spans="1:15" ht="15" customHeight="1" x14ac:dyDescent="0.3">
      <c r="A5633" s="23" t="s">
        <v>11686</v>
      </c>
      <c r="B5633" s="38">
        <v>46275</v>
      </c>
      <c r="C5633" s="23" t="s">
        <v>11687</v>
      </c>
      <c r="D5633" s="23" t="s">
        <v>92</v>
      </c>
      <c r="E5633" s="23" t="s">
        <v>75</v>
      </c>
      <c r="F5633" s="23" t="s">
        <v>438</v>
      </c>
      <c r="G5633" s="23" t="s">
        <v>250</v>
      </c>
      <c r="H5633" s="39">
        <f t="shared" si="348"/>
        <v>5498</v>
      </c>
      <c r="I5633" s="23" t="str">
        <f t="shared" si="349"/>
        <v>Hyderabad</v>
      </c>
      <c r="J5633" s="23">
        <f>COUNTIFS(pg_transaction_cleaned!$O:$O,A5633,pg_transaction_cleaned!$F:$F,"CAPTURE")</f>
        <v>1</v>
      </c>
      <c r="K5633" s="39">
        <f>SUMIFS(pg_transaction_cleaned!$H:$H,pg_transaction_cleaned!$O:$O,A5633,pg_transaction_cleaned!$F:$F,"CAPTURE")</f>
        <v>5498</v>
      </c>
      <c r="L5633" s="23">
        <f>COUNTIFS(pg_transaction_cleaned!$O:$O,A5633,pg_transaction_cleaned!$F:$F,"REFUND")</f>
        <v>0</v>
      </c>
      <c r="M5633" s="39">
        <f>SUMIFS(pg_transaction_cleaned!$H:$H,pg_transaction_cleaned!$O:$O,A5633,pg_transaction_cleaned!$F:$F,"REFUND")</f>
        <v>0</v>
      </c>
      <c r="N5633" s="23" t="str">
        <f t="shared" si="350"/>
        <v>OK</v>
      </c>
      <c r="O5633" s="24">
        <f t="shared" si="351"/>
        <v>0</v>
      </c>
    </row>
    <row r="5634" spans="1:15" ht="15" customHeight="1" x14ac:dyDescent="0.3">
      <c r="A5634" s="23" t="s">
        <v>11688</v>
      </c>
      <c r="B5634" s="38">
        <v>46294</v>
      </c>
      <c r="C5634" s="23" t="s">
        <v>11689</v>
      </c>
      <c r="D5634" s="23" t="s">
        <v>88</v>
      </c>
      <c r="E5634" s="23" t="s">
        <v>79</v>
      </c>
      <c r="F5634" s="23" t="s">
        <v>268</v>
      </c>
      <c r="G5634" s="23" t="s">
        <v>250</v>
      </c>
      <c r="H5634" s="39">
        <f t="shared" ref="H5634:H5697" si="352">VALUE(SUBSTITUTE(F5634,",",""))</f>
        <v>1299</v>
      </c>
      <c r="I5634" s="23" t="str">
        <f t="shared" ref="I5634:I5697" si="353">IF(TRIM(D5634)="","Unknown",TRIM(D5634))</f>
        <v>Lucknow</v>
      </c>
      <c r="J5634" s="23">
        <f>COUNTIFS(pg_transaction_cleaned!$O:$O,A5634,pg_transaction_cleaned!$F:$F,"CAPTURE")</f>
        <v>1</v>
      </c>
      <c r="K5634" s="39">
        <f>SUMIFS(pg_transaction_cleaned!$H:$H,pg_transaction_cleaned!$O:$O,A5634,pg_transaction_cleaned!$F:$F,"CAPTURE")</f>
        <v>1299</v>
      </c>
      <c r="L5634" s="23">
        <f>COUNTIFS(pg_transaction_cleaned!$O:$O,A5634,pg_transaction_cleaned!$F:$F,"REFUND")</f>
        <v>0</v>
      </c>
      <c r="M5634" s="39">
        <f>SUMIFS(pg_transaction_cleaned!$H:$H,pg_transaction_cleaned!$O:$O,A5634,pg_transaction_cleaned!$F:$F,"REFUND")</f>
        <v>0</v>
      </c>
      <c r="N5634" s="23" t="str">
        <f t="shared" ref="N5634:N5697" si="354">IF(AND(G5634="Paid",J5634=0),"Paid, no payment",IF(AND(OR(G5634="Failed",G5634="Cancelled"),J5634&gt;0),"Payment on failed/cancelled",IF(J5634&gt;1,"Duplicate charge",IF(AND(J5634=1,ROUND(K5634-H5634,2)&lt;&gt;0),"Amount difference",IF(AND(G5634="Refunded",L5634=0),"Refunded, no refund",IF(AND(G5634&lt;&gt;"Refunded",L5634&gt;0),"Refund, order not Refunded",IF(AND(L5634&gt;0,ROUND(M5634-H5634,2)&lt;&gt;0),"Refund amount differs","OK")))))))</f>
        <v>OK</v>
      </c>
      <c r="O5634" s="24">
        <f t="shared" ref="O5634:O5697" si="355">IF(N5634="OK",0,IF(N5634="Paid, no payment",H5634,IF(N5634="Payment on failed/cancelled",K5634,IF(OR(N5634="Duplicate charge",N5634="Amount difference"),K5634-H5634,IF(N5634="Refunded, no refund",H5634,M5634)))))</f>
        <v>0</v>
      </c>
    </row>
    <row r="5635" spans="1:15" ht="15" customHeight="1" x14ac:dyDescent="0.3">
      <c r="A5635" s="23" t="s">
        <v>11690</v>
      </c>
      <c r="B5635" s="38">
        <v>46287</v>
      </c>
      <c r="C5635" s="23" t="s">
        <v>11691</v>
      </c>
      <c r="D5635" s="23" t="s">
        <v>95</v>
      </c>
      <c r="E5635" s="23" t="s">
        <v>77</v>
      </c>
      <c r="F5635" s="23" t="s">
        <v>271</v>
      </c>
      <c r="G5635" s="23" t="s">
        <v>250</v>
      </c>
      <c r="H5635" s="39">
        <f t="shared" si="352"/>
        <v>2499</v>
      </c>
      <c r="I5635" s="23" t="str">
        <f t="shared" si="353"/>
        <v>Bengaluru</v>
      </c>
      <c r="J5635" s="23">
        <f>COUNTIFS(pg_transaction_cleaned!$O:$O,A5635,pg_transaction_cleaned!$F:$F,"CAPTURE")</f>
        <v>1</v>
      </c>
      <c r="K5635" s="39">
        <f>SUMIFS(pg_transaction_cleaned!$H:$H,pg_transaction_cleaned!$O:$O,A5635,pg_transaction_cleaned!$F:$F,"CAPTURE")</f>
        <v>2499</v>
      </c>
      <c r="L5635" s="23">
        <f>COUNTIFS(pg_transaction_cleaned!$O:$O,A5635,pg_transaction_cleaned!$F:$F,"REFUND")</f>
        <v>0</v>
      </c>
      <c r="M5635" s="39">
        <f>SUMIFS(pg_transaction_cleaned!$H:$H,pg_transaction_cleaned!$O:$O,A5635,pg_transaction_cleaned!$F:$F,"REFUND")</f>
        <v>0</v>
      </c>
      <c r="N5635" s="23" t="str">
        <f t="shared" si="354"/>
        <v>OK</v>
      </c>
      <c r="O5635" s="24">
        <f t="shared" si="355"/>
        <v>0</v>
      </c>
    </row>
    <row r="5636" spans="1:15" ht="15" customHeight="1" x14ac:dyDescent="0.3">
      <c r="A5636" s="23" t="s">
        <v>11692</v>
      </c>
      <c r="B5636" s="38">
        <v>46284</v>
      </c>
      <c r="C5636" s="23" t="s">
        <v>11693</v>
      </c>
      <c r="D5636" s="23" t="s">
        <v>89</v>
      </c>
      <c r="E5636" s="23" t="s">
        <v>79</v>
      </c>
      <c r="F5636" s="23" t="s">
        <v>346</v>
      </c>
      <c r="G5636" s="23" t="s">
        <v>250</v>
      </c>
      <c r="H5636" s="39">
        <f t="shared" si="352"/>
        <v>4498</v>
      </c>
      <c r="I5636" s="23" t="str">
        <f t="shared" si="353"/>
        <v>Jaipur</v>
      </c>
      <c r="J5636" s="23">
        <f>COUNTIFS(pg_transaction_cleaned!$O:$O,A5636,pg_transaction_cleaned!$F:$F,"CAPTURE")</f>
        <v>1</v>
      </c>
      <c r="K5636" s="39">
        <f>SUMIFS(pg_transaction_cleaned!$H:$H,pg_transaction_cleaned!$O:$O,A5636,pg_transaction_cleaned!$F:$F,"CAPTURE")</f>
        <v>4498</v>
      </c>
      <c r="L5636" s="23">
        <f>COUNTIFS(pg_transaction_cleaned!$O:$O,A5636,pg_transaction_cleaned!$F:$F,"REFUND")</f>
        <v>0</v>
      </c>
      <c r="M5636" s="39">
        <f>SUMIFS(pg_transaction_cleaned!$H:$H,pg_transaction_cleaned!$O:$O,A5636,pg_transaction_cleaned!$F:$F,"REFUND")</f>
        <v>0</v>
      </c>
      <c r="N5636" s="23" t="str">
        <f t="shared" si="354"/>
        <v>OK</v>
      </c>
      <c r="O5636" s="24">
        <f t="shared" si="355"/>
        <v>0</v>
      </c>
    </row>
    <row r="5637" spans="1:15" ht="15" customHeight="1" x14ac:dyDescent="0.3">
      <c r="A5637" s="23" t="s">
        <v>11694</v>
      </c>
      <c r="B5637" s="38">
        <v>46271</v>
      </c>
      <c r="C5637" s="23" t="s">
        <v>11695</v>
      </c>
      <c r="D5637" s="23" t="s">
        <v>86</v>
      </c>
      <c r="E5637" s="23" t="s">
        <v>79</v>
      </c>
      <c r="F5637" s="23" t="s">
        <v>370</v>
      </c>
      <c r="G5637" s="23" t="s">
        <v>365</v>
      </c>
      <c r="H5637" s="39">
        <f t="shared" si="352"/>
        <v>3098</v>
      </c>
      <c r="I5637" s="23" t="str">
        <f t="shared" si="353"/>
        <v>Delhi</v>
      </c>
      <c r="J5637" s="23">
        <f>COUNTIFS(pg_transaction_cleaned!$O:$O,A5637,pg_transaction_cleaned!$F:$F,"CAPTURE")</f>
        <v>0</v>
      </c>
      <c r="K5637" s="39">
        <f>SUMIFS(pg_transaction_cleaned!$H:$H,pg_transaction_cleaned!$O:$O,A5637,pg_transaction_cleaned!$F:$F,"CAPTURE")</f>
        <v>0</v>
      </c>
      <c r="L5637" s="23">
        <f>COUNTIFS(pg_transaction_cleaned!$O:$O,A5637,pg_transaction_cleaned!$F:$F,"REFUND")</f>
        <v>0</v>
      </c>
      <c r="M5637" s="39">
        <f>SUMIFS(pg_transaction_cleaned!$H:$H,pg_transaction_cleaned!$O:$O,A5637,pg_transaction_cleaned!$F:$F,"REFUND")</f>
        <v>0</v>
      </c>
      <c r="N5637" s="23" t="str">
        <f t="shared" si="354"/>
        <v>OK</v>
      </c>
      <c r="O5637" s="24">
        <f t="shared" si="355"/>
        <v>0</v>
      </c>
    </row>
    <row r="5638" spans="1:15" ht="15" customHeight="1" x14ac:dyDescent="0.3">
      <c r="A5638" s="23" t="s">
        <v>11696</v>
      </c>
      <c r="B5638" s="38">
        <v>46290</v>
      </c>
      <c r="C5638" s="23" t="s">
        <v>11697</v>
      </c>
      <c r="D5638" s="23" t="s">
        <v>92</v>
      </c>
      <c r="E5638" s="23" t="s">
        <v>75</v>
      </c>
      <c r="F5638" s="23" t="s">
        <v>772</v>
      </c>
      <c r="G5638" s="23" t="s">
        <v>250</v>
      </c>
      <c r="H5638" s="39">
        <f t="shared" si="352"/>
        <v>4798</v>
      </c>
      <c r="I5638" s="23" t="str">
        <f t="shared" si="353"/>
        <v>Hyderabad</v>
      </c>
      <c r="J5638" s="23">
        <f>COUNTIFS(pg_transaction_cleaned!$O:$O,A5638,pg_transaction_cleaned!$F:$F,"CAPTURE")</f>
        <v>1</v>
      </c>
      <c r="K5638" s="39">
        <f>SUMIFS(pg_transaction_cleaned!$H:$H,pg_transaction_cleaned!$O:$O,A5638,pg_transaction_cleaned!$F:$F,"CAPTURE")</f>
        <v>4798</v>
      </c>
      <c r="L5638" s="23">
        <f>COUNTIFS(pg_transaction_cleaned!$O:$O,A5638,pg_transaction_cleaned!$F:$F,"REFUND")</f>
        <v>0</v>
      </c>
      <c r="M5638" s="39">
        <f>SUMIFS(pg_transaction_cleaned!$H:$H,pg_transaction_cleaned!$O:$O,A5638,pg_transaction_cleaned!$F:$F,"REFUND")</f>
        <v>0</v>
      </c>
      <c r="N5638" s="23" t="str">
        <f t="shared" si="354"/>
        <v>OK</v>
      </c>
      <c r="O5638" s="24">
        <f t="shared" si="355"/>
        <v>0</v>
      </c>
    </row>
    <row r="5639" spans="1:15" ht="15" customHeight="1" x14ac:dyDescent="0.3">
      <c r="A5639" s="23" t="s">
        <v>11698</v>
      </c>
      <c r="B5639" s="38">
        <v>46271</v>
      </c>
      <c r="C5639" s="23" t="s">
        <v>11699</v>
      </c>
      <c r="D5639" s="23" t="s">
        <v>88</v>
      </c>
      <c r="E5639" s="23" t="s">
        <v>75</v>
      </c>
      <c r="F5639" s="23" t="s">
        <v>534</v>
      </c>
      <c r="G5639" s="23" t="s">
        <v>250</v>
      </c>
      <c r="H5639" s="39">
        <f t="shared" si="352"/>
        <v>3097</v>
      </c>
      <c r="I5639" s="23" t="str">
        <f t="shared" si="353"/>
        <v>Lucknow</v>
      </c>
      <c r="J5639" s="23">
        <f>COUNTIFS(pg_transaction_cleaned!$O:$O,A5639,pg_transaction_cleaned!$F:$F,"CAPTURE")</f>
        <v>1</v>
      </c>
      <c r="K5639" s="39">
        <f>SUMIFS(pg_transaction_cleaned!$H:$H,pg_transaction_cleaned!$O:$O,A5639,pg_transaction_cleaned!$F:$F,"CAPTURE")</f>
        <v>3097</v>
      </c>
      <c r="L5639" s="23">
        <f>COUNTIFS(pg_transaction_cleaned!$O:$O,A5639,pg_transaction_cleaned!$F:$F,"REFUND")</f>
        <v>0</v>
      </c>
      <c r="M5639" s="39">
        <f>SUMIFS(pg_transaction_cleaned!$H:$H,pg_transaction_cleaned!$O:$O,A5639,pg_transaction_cleaned!$F:$F,"REFUND")</f>
        <v>0</v>
      </c>
      <c r="N5639" s="23" t="str">
        <f t="shared" si="354"/>
        <v>OK</v>
      </c>
      <c r="O5639" s="24">
        <f t="shared" si="355"/>
        <v>0</v>
      </c>
    </row>
    <row r="5640" spans="1:15" ht="15" customHeight="1" x14ac:dyDescent="0.3">
      <c r="A5640" s="23" t="s">
        <v>11700</v>
      </c>
      <c r="B5640" s="38">
        <v>46285</v>
      </c>
      <c r="C5640" s="23" t="s">
        <v>11701</v>
      </c>
      <c r="D5640" s="23" t="s">
        <v>88</v>
      </c>
      <c r="E5640" s="23" t="s">
        <v>81</v>
      </c>
      <c r="F5640" s="23" t="s">
        <v>271</v>
      </c>
      <c r="G5640" s="23" t="s">
        <v>250</v>
      </c>
      <c r="H5640" s="39">
        <f t="shared" si="352"/>
        <v>2499</v>
      </c>
      <c r="I5640" s="23" t="str">
        <f t="shared" si="353"/>
        <v>Lucknow</v>
      </c>
      <c r="J5640" s="23">
        <f>COUNTIFS(pg_transaction_cleaned!$O:$O,A5640,pg_transaction_cleaned!$F:$F,"CAPTURE")</f>
        <v>1</v>
      </c>
      <c r="K5640" s="39">
        <f>SUMIFS(pg_transaction_cleaned!$H:$H,pg_transaction_cleaned!$O:$O,A5640,pg_transaction_cleaned!$F:$F,"CAPTURE")</f>
        <v>2499</v>
      </c>
      <c r="L5640" s="23">
        <f>COUNTIFS(pg_transaction_cleaned!$O:$O,A5640,pg_transaction_cleaned!$F:$F,"REFUND")</f>
        <v>0</v>
      </c>
      <c r="M5640" s="39">
        <f>SUMIFS(pg_transaction_cleaned!$H:$H,pg_transaction_cleaned!$O:$O,A5640,pg_transaction_cleaned!$F:$F,"REFUND")</f>
        <v>0</v>
      </c>
      <c r="N5640" s="23" t="str">
        <f t="shared" si="354"/>
        <v>OK</v>
      </c>
      <c r="O5640" s="24">
        <f t="shared" si="355"/>
        <v>0</v>
      </c>
    </row>
    <row r="5641" spans="1:15" ht="15" customHeight="1" x14ac:dyDescent="0.3">
      <c r="A5641" s="23" t="s">
        <v>11702</v>
      </c>
      <c r="B5641" s="38">
        <v>46284</v>
      </c>
      <c r="C5641" s="23" t="s">
        <v>11703</v>
      </c>
      <c r="D5641" s="23" t="s">
        <v>92</v>
      </c>
      <c r="E5641" s="23" t="s">
        <v>75</v>
      </c>
      <c r="F5641" s="23" t="s">
        <v>396</v>
      </c>
      <c r="G5641" s="23" t="s">
        <v>250</v>
      </c>
      <c r="H5641" s="39">
        <f t="shared" si="352"/>
        <v>2999</v>
      </c>
      <c r="I5641" s="23" t="str">
        <f t="shared" si="353"/>
        <v>Hyderabad</v>
      </c>
      <c r="J5641" s="23">
        <f>COUNTIFS(pg_transaction_cleaned!$O:$O,A5641,pg_transaction_cleaned!$F:$F,"CAPTURE")</f>
        <v>1</v>
      </c>
      <c r="K5641" s="39">
        <f>SUMIFS(pg_transaction_cleaned!$H:$H,pg_transaction_cleaned!$O:$O,A5641,pg_transaction_cleaned!$F:$F,"CAPTURE")</f>
        <v>2999</v>
      </c>
      <c r="L5641" s="23">
        <f>COUNTIFS(pg_transaction_cleaned!$O:$O,A5641,pg_transaction_cleaned!$F:$F,"REFUND")</f>
        <v>0</v>
      </c>
      <c r="M5641" s="39">
        <f>SUMIFS(pg_transaction_cleaned!$H:$H,pg_transaction_cleaned!$O:$O,A5641,pg_transaction_cleaned!$F:$F,"REFUND")</f>
        <v>0</v>
      </c>
      <c r="N5641" s="23" t="str">
        <f t="shared" si="354"/>
        <v>OK</v>
      </c>
      <c r="O5641" s="24">
        <f t="shared" si="355"/>
        <v>0</v>
      </c>
    </row>
    <row r="5642" spans="1:15" ht="15" customHeight="1" x14ac:dyDescent="0.3">
      <c r="A5642" s="23" t="s">
        <v>11704</v>
      </c>
      <c r="B5642" s="38">
        <v>46288</v>
      </c>
      <c r="C5642" s="23" t="s">
        <v>11705</v>
      </c>
      <c r="D5642" s="23" t="s">
        <v>87</v>
      </c>
      <c r="E5642" s="23" t="s">
        <v>81</v>
      </c>
      <c r="F5642" s="23" t="s">
        <v>307</v>
      </c>
      <c r="G5642" s="23" t="s">
        <v>250</v>
      </c>
      <c r="H5642" s="39">
        <f t="shared" si="352"/>
        <v>3798</v>
      </c>
      <c r="I5642" s="23" t="str">
        <f t="shared" si="353"/>
        <v>Mumbai</v>
      </c>
      <c r="J5642" s="23">
        <f>COUNTIFS(pg_transaction_cleaned!$O:$O,A5642,pg_transaction_cleaned!$F:$F,"CAPTURE")</f>
        <v>1</v>
      </c>
      <c r="K5642" s="39">
        <f>SUMIFS(pg_transaction_cleaned!$H:$H,pg_transaction_cleaned!$O:$O,A5642,pg_transaction_cleaned!$F:$F,"CAPTURE")</f>
        <v>3798</v>
      </c>
      <c r="L5642" s="23">
        <f>COUNTIFS(pg_transaction_cleaned!$O:$O,A5642,pg_transaction_cleaned!$F:$F,"REFUND")</f>
        <v>0</v>
      </c>
      <c r="M5642" s="39">
        <f>SUMIFS(pg_transaction_cleaned!$H:$H,pg_transaction_cleaned!$O:$O,A5642,pg_transaction_cleaned!$F:$F,"REFUND")</f>
        <v>0</v>
      </c>
      <c r="N5642" s="23" t="str">
        <f t="shared" si="354"/>
        <v>OK</v>
      </c>
      <c r="O5642" s="24">
        <f t="shared" si="355"/>
        <v>0</v>
      </c>
    </row>
    <row r="5643" spans="1:15" ht="15" customHeight="1" x14ac:dyDescent="0.3">
      <c r="A5643" s="23" t="s">
        <v>11706</v>
      </c>
      <c r="B5643" s="38">
        <v>46281</v>
      </c>
      <c r="C5643" s="23" t="s">
        <v>11707</v>
      </c>
      <c r="D5643" s="23" t="s">
        <v>88</v>
      </c>
      <c r="E5643" s="23" t="s">
        <v>79</v>
      </c>
      <c r="F5643" s="23" t="s">
        <v>582</v>
      </c>
      <c r="G5643" s="23" t="s">
        <v>250</v>
      </c>
      <c r="H5643" s="39">
        <f t="shared" si="352"/>
        <v>1298</v>
      </c>
      <c r="I5643" s="23" t="str">
        <f t="shared" si="353"/>
        <v>Lucknow</v>
      </c>
      <c r="J5643" s="23">
        <f>COUNTIFS(pg_transaction_cleaned!$O:$O,A5643,pg_transaction_cleaned!$F:$F,"CAPTURE")</f>
        <v>1</v>
      </c>
      <c r="K5643" s="39">
        <f>SUMIFS(pg_transaction_cleaned!$H:$H,pg_transaction_cleaned!$O:$O,A5643,pg_transaction_cleaned!$F:$F,"CAPTURE")</f>
        <v>1298</v>
      </c>
      <c r="L5643" s="23">
        <f>COUNTIFS(pg_transaction_cleaned!$O:$O,A5643,pg_transaction_cleaned!$F:$F,"REFUND")</f>
        <v>0</v>
      </c>
      <c r="M5643" s="39">
        <f>SUMIFS(pg_transaction_cleaned!$H:$H,pg_transaction_cleaned!$O:$O,A5643,pg_transaction_cleaned!$F:$F,"REFUND")</f>
        <v>0</v>
      </c>
      <c r="N5643" s="23" t="str">
        <f t="shared" si="354"/>
        <v>OK</v>
      </c>
      <c r="O5643" s="24">
        <f t="shared" si="355"/>
        <v>0</v>
      </c>
    </row>
    <row r="5644" spans="1:15" ht="15" customHeight="1" x14ac:dyDescent="0.3">
      <c r="A5644" s="23" t="s">
        <v>11708</v>
      </c>
      <c r="B5644" s="38">
        <v>46275</v>
      </c>
      <c r="C5644" s="23" t="s">
        <v>11709</v>
      </c>
      <c r="D5644" s="23" t="s">
        <v>90</v>
      </c>
      <c r="E5644" s="23" t="s">
        <v>75</v>
      </c>
      <c r="F5644" s="23" t="s">
        <v>1571</v>
      </c>
      <c r="G5644" s="23" t="s">
        <v>250</v>
      </c>
      <c r="H5644" s="39">
        <f t="shared" si="352"/>
        <v>7497</v>
      </c>
      <c r="I5644" s="23" t="str">
        <f t="shared" si="353"/>
        <v>Ahmedabad</v>
      </c>
      <c r="J5644" s="23">
        <f>COUNTIFS(pg_transaction_cleaned!$O:$O,A5644,pg_transaction_cleaned!$F:$F,"CAPTURE")</f>
        <v>1</v>
      </c>
      <c r="K5644" s="39">
        <f>SUMIFS(pg_transaction_cleaned!$H:$H,pg_transaction_cleaned!$O:$O,A5644,pg_transaction_cleaned!$F:$F,"CAPTURE")</f>
        <v>7497</v>
      </c>
      <c r="L5644" s="23">
        <f>COUNTIFS(pg_transaction_cleaned!$O:$O,A5644,pg_transaction_cleaned!$F:$F,"REFUND")</f>
        <v>0</v>
      </c>
      <c r="M5644" s="39">
        <f>SUMIFS(pg_transaction_cleaned!$H:$H,pg_transaction_cleaned!$O:$O,A5644,pg_transaction_cleaned!$F:$F,"REFUND")</f>
        <v>0</v>
      </c>
      <c r="N5644" s="23" t="str">
        <f t="shared" si="354"/>
        <v>OK</v>
      </c>
      <c r="O5644" s="24">
        <f t="shared" si="355"/>
        <v>0</v>
      </c>
    </row>
    <row r="5645" spans="1:15" ht="15" customHeight="1" x14ac:dyDescent="0.3">
      <c r="A5645" s="23" t="s">
        <v>11710</v>
      </c>
      <c r="B5645" s="38">
        <v>46278</v>
      </c>
      <c r="C5645" s="23" t="s">
        <v>11711</v>
      </c>
      <c r="D5645" s="23" t="s">
        <v>95</v>
      </c>
      <c r="E5645" s="23" t="s">
        <v>75</v>
      </c>
      <c r="F5645" s="23" t="s">
        <v>772</v>
      </c>
      <c r="G5645" s="23" t="s">
        <v>318</v>
      </c>
      <c r="H5645" s="39">
        <f t="shared" si="352"/>
        <v>4798</v>
      </c>
      <c r="I5645" s="23" t="str">
        <f t="shared" si="353"/>
        <v>Bengaluru</v>
      </c>
      <c r="J5645" s="23">
        <f>COUNTIFS(pg_transaction_cleaned!$O:$O,A5645,pg_transaction_cleaned!$F:$F,"CAPTURE")</f>
        <v>0</v>
      </c>
      <c r="K5645" s="39">
        <f>SUMIFS(pg_transaction_cleaned!$H:$H,pg_transaction_cleaned!$O:$O,A5645,pg_transaction_cleaned!$F:$F,"CAPTURE")</f>
        <v>0</v>
      </c>
      <c r="L5645" s="23">
        <f>COUNTIFS(pg_transaction_cleaned!$O:$O,A5645,pg_transaction_cleaned!$F:$F,"REFUND")</f>
        <v>0</v>
      </c>
      <c r="M5645" s="39">
        <f>SUMIFS(pg_transaction_cleaned!$H:$H,pg_transaction_cleaned!$O:$O,A5645,pg_transaction_cleaned!$F:$F,"REFUND")</f>
        <v>0</v>
      </c>
      <c r="N5645" s="23" t="str">
        <f t="shared" si="354"/>
        <v>OK</v>
      </c>
      <c r="O5645" s="24">
        <f t="shared" si="355"/>
        <v>0</v>
      </c>
    </row>
    <row r="5646" spans="1:15" ht="15" customHeight="1" x14ac:dyDescent="0.3">
      <c r="A5646" s="23" t="s">
        <v>11712</v>
      </c>
      <c r="B5646" s="38">
        <v>46283</v>
      </c>
      <c r="C5646" s="23" t="s">
        <v>11713</v>
      </c>
      <c r="D5646" s="23" t="s">
        <v>88</v>
      </c>
      <c r="E5646" s="23" t="s">
        <v>79</v>
      </c>
      <c r="F5646" s="23" t="s">
        <v>297</v>
      </c>
      <c r="G5646" s="23" t="s">
        <v>250</v>
      </c>
      <c r="H5646" s="39">
        <f t="shared" si="352"/>
        <v>4999</v>
      </c>
      <c r="I5646" s="23" t="str">
        <f t="shared" si="353"/>
        <v>Lucknow</v>
      </c>
      <c r="J5646" s="23">
        <f>COUNTIFS(pg_transaction_cleaned!$O:$O,A5646,pg_transaction_cleaned!$F:$F,"CAPTURE")</f>
        <v>1</v>
      </c>
      <c r="K5646" s="39">
        <f>SUMIFS(pg_transaction_cleaned!$H:$H,pg_transaction_cleaned!$O:$O,A5646,pg_transaction_cleaned!$F:$F,"CAPTURE")</f>
        <v>4999</v>
      </c>
      <c r="L5646" s="23">
        <f>COUNTIFS(pg_transaction_cleaned!$O:$O,A5646,pg_transaction_cleaned!$F:$F,"REFUND")</f>
        <v>0</v>
      </c>
      <c r="M5646" s="39">
        <f>SUMIFS(pg_transaction_cleaned!$H:$H,pg_transaction_cleaned!$O:$O,A5646,pg_transaction_cleaned!$F:$F,"REFUND")</f>
        <v>0</v>
      </c>
      <c r="N5646" s="23" t="str">
        <f t="shared" si="354"/>
        <v>OK</v>
      </c>
      <c r="O5646" s="24">
        <f t="shared" si="355"/>
        <v>0</v>
      </c>
    </row>
    <row r="5647" spans="1:15" ht="15" customHeight="1" x14ac:dyDescent="0.3">
      <c r="A5647" s="23" t="s">
        <v>11714</v>
      </c>
      <c r="B5647" s="38">
        <v>46290</v>
      </c>
      <c r="C5647" s="23" t="s">
        <v>11715</v>
      </c>
      <c r="D5647" s="23"/>
      <c r="E5647" s="23" t="s">
        <v>75</v>
      </c>
      <c r="F5647" s="23" t="s">
        <v>294</v>
      </c>
      <c r="G5647" s="23" t="s">
        <v>250</v>
      </c>
      <c r="H5647" s="39">
        <f t="shared" si="352"/>
        <v>1799</v>
      </c>
      <c r="I5647" s="23" t="str">
        <f t="shared" si="353"/>
        <v>Unknown</v>
      </c>
      <c r="J5647" s="23">
        <f>COUNTIFS(pg_transaction_cleaned!$O:$O,A5647,pg_transaction_cleaned!$F:$F,"CAPTURE")</f>
        <v>1</v>
      </c>
      <c r="K5647" s="39">
        <f>SUMIFS(pg_transaction_cleaned!$H:$H,pg_transaction_cleaned!$O:$O,A5647,pg_transaction_cleaned!$F:$F,"CAPTURE")</f>
        <v>1799</v>
      </c>
      <c r="L5647" s="23">
        <f>COUNTIFS(pg_transaction_cleaned!$O:$O,A5647,pg_transaction_cleaned!$F:$F,"REFUND")</f>
        <v>0</v>
      </c>
      <c r="M5647" s="39">
        <f>SUMIFS(pg_transaction_cleaned!$H:$H,pg_transaction_cleaned!$O:$O,A5647,pg_transaction_cleaned!$F:$F,"REFUND")</f>
        <v>0</v>
      </c>
      <c r="N5647" s="23" t="str">
        <f t="shared" si="354"/>
        <v>OK</v>
      </c>
      <c r="O5647" s="24">
        <f t="shared" si="355"/>
        <v>0</v>
      </c>
    </row>
    <row r="5648" spans="1:15" ht="15" customHeight="1" x14ac:dyDescent="0.3">
      <c r="A5648" s="23" t="s">
        <v>11716</v>
      </c>
      <c r="B5648" s="38">
        <v>46294</v>
      </c>
      <c r="C5648" s="23" t="s">
        <v>11717</v>
      </c>
      <c r="D5648" s="23" t="s">
        <v>87</v>
      </c>
      <c r="E5648" s="23" t="s">
        <v>75</v>
      </c>
      <c r="F5648" s="23" t="s">
        <v>271</v>
      </c>
      <c r="G5648" s="23" t="s">
        <v>250</v>
      </c>
      <c r="H5648" s="39">
        <f t="shared" si="352"/>
        <v>2499</v>
      </c>
      <c r="I5648" s="23" t="str">
        <f t="shared" si="353"/>
        <v>Mumbai</v>
      </c>
      <c r="J5648" s="23">
        <f>COUNTIFS(pg_transaction_cleaned!$O:$O,A5648,pg_transaction_cleaned!$F:$F,"CAPTURE")</f>
        <v>1</v>
      </c>
      <c r="K5648" s="39">
        <f>SUMIFS(pg_transaction_cleaned!$H:$H,pg_transaction_cleaned!$O:$O,A5648,pg_transaction_cleaned!$F:$F,"CAPTURE")</f>
        <v>2499</v>
      </c>
      <c r="L5648" s="23">
        <f>COUNTIFS(pg_transaction_cleaned!$O:$O,A5648,pg_transaction_cleaned!$F:$F,"REFUND")</f>
        <v>0</v>
      </c>
      <c r="M5648" s="39">
        <f>SUMIFS(pg_transaction_cleaned!$H:$H,pg_transaction_cleaned!$O:$O,A5648,pg_transaction_cleaned!$F:$F,"REFUND")</f>
        <v>0</v>
      </c>
      <c r="N5648" s="23" t="str">
        <f t="shared" si="354"/>
        <v>OK</v>
      </c>
      <c r="O5648" s="24">
        <f t="shared" si="355"/>
        <v>0</v>
      </c>
    </row>
    <row r="5649" spans="1:15" ht="15" customHeight="1" x14ac:dyDescent="0.3">
      <c r="A5649" s="23" t="s">
        <v>11718</v>
      </c>
      <c r="B5649" s="38">
        <v>46289</v>
      </c>
      <c r="C5649" s="23" t="s">
        <v>11719</v>
      </c>
      <c r="D5649" s="23" t="s">
        <v>93</v>
      </c>
      <c r="E5649" s="23" t="s">
        <v>75</v>
      </c>
      <c r="F5649" s="23" t="s">
        <v>271</v>
      </c>
      <c r="G5649" s="23" t="s">
        <v>250</v>
      </c>
      <c r="H5649" s="39">
        <f t="shared" si="352"/>
        <v>2499</v>
      </c>
      <c r="I5649" s="23" t="str">
        <f t="shared" si="353"/>
        <v>Kolkata</v>
      </c>
      <c r="J5649" s="23">
        <f>COUNTIFS(pg_transaction_cleaned!$O:$O,A5649,pg_transaction_cleaned!$F:$F,"CAPTURE")</f>
        <v>1</v>
      </c>
      <c r="K5649" s="39">
        <f>SUMIFS(pg_transaction_cleaned!$H:$H,pg_transaction_cleaned!$O:$O,A5649,pg_transaction_cleaned!$F:$F,"CAPTURE")</f>
        <v>2499</v>
      </c>
      <c r="L5649" s="23">
        <f>COUNTIFS(pg_transaction_cleaned!$O:$O,A5649,pg_transaction_cleaned!$F:$F,"REFUND")</f>
        <v>0</v>
      </c>
      <c r="M5649" s="39">
        <f>SUMIFS(pg_transaction_cleaned!$H:$H,pg_transaction_cleaned!$O:$O,A5649,pg_transaction_cleaned!$F:$F,"REFUND")</f>
        <v>0</v>
      </c>
      <c r="N5649" s="23" t="str">
        <f t="shared" si="354"/>
        <v>OK</v>
      </c>
      <c r="O5649" s="24">
        <f t="shared" si="355"/>
        <v>0</v>
      </c>
    </row>
    <row r="5650" spans="1:15" ht="15" customHeight="1" x14ac:dyDescent="0.3">
      <c r="A5650" s="23" t="s">
        <v>11720</v>
      </c>
      <c r="B5650" s="38">
        <v>46272</v>
      </c>
      <c r="C5650" s="23" t="s">
        <v>11721</v>
      </c>
      <c r="D5650" s="23" t="s">
        <v>87</v>
      </c>
      <c r="E5650" s="23" t="s">
        <v>79</v>
      </c>
      <c r="F5650" s="23" t="s">
        <v>3013</v>
      </c>
      <c r="G5650" s="23" t="s">
        <v>365</v>
      </c>
      <c r="H5650" s="39">
        <f t="shared" si="352"/>
        <v>4847</v>
      </c>
      <c r="I5650" s="23" t="str">
        <f t="shared" si="353"/>
        <v>Mumbai</v>
      </c>
      <c r="J5650" s="23">
        <f>COUNTIFS(pg_transaction_cleaned!$O:$O,A5650,pg_transaction_cleaned!$F:$F,"CAPTURE")</f>
        <v>0</v>
      </c>
      <c r="K5650" s="39">
        <f>SUMIFS(pg_transaction_cleaned!$H:$H,pg_transaction_cleaned!$O:$O,A5650,pg_transaction_cleaned!$F:$F,"CAPTURE")</f>
        <v>0</v>
      </c>
      <c r="L5650" s="23">
        <f>COUNTIFS(pg_transaction_cleaned!$O:$O,A5650,pg_transaction_cleaned!$F:$F,"REFUND")</f>
        <v>0</v>
      </c>
      <c r="M5650" s="39">
        <f>SUMIFS(pg_transaction_cleaned!$H:$H,pg_transaction_cleaned!$O:$O,A5650,pg_transaction_cleaned!$F:$F,"REFUND")</f>
        <v>0</v>
      </c>
      <c r="N5650" s="23" t="str">
        <f t="shared" si="354"/>
        <v>OK</v>
      </c>
      <c r="O5650" s="24">
        <f t="shared" si="355"/>
        <v>0</v>
      </c>
    </row>
    <row r="5651" spans="1:15" ht="15" customHeight="1" x14ac:dyDescent="0.3">
      <c r="A5651" s="23" t="s">
        <v>11722</v>
      </c>
      <c r="B5651" s="38">
        <v>46285</v>
      </c>
      <c r="C5651" s="23" t="s">
        <v>11723</v>
      </c>
      <c r="D5651" s="23" t="s">
        <v>95</v>
      </c>
      <c r="E5651" s="23" t="s">
        <v>79</v>
      </c>
      <c r="F5651" s="23" t="s">
        <v>880</v>
      </c>
      <c r="G5651" s="23" t="s">
        <v>250</v>
      </c>
      <c r="H5651" s="39">
        <f t="shared" si="352"/>
        <v>2298</v>
      </c>
      <c r="I5651" s="23" t="str">
        <f t="shared" si="353"/>
        <v>Bengaluru</v>
      </c>
      <c r="J5651" s="23">
        <f>COUNTIFS(pg_transaction_cleaned!$O:$O,A5651,pg_transaction_cleaned!$F:$F,"CAPTURE")</f>
        <v>1</v>
      </c>
      <c r="K5651" s="39">
        <f>SUMIFS(pg_transaction_cleaned!$H:$H,pg_transaction_cleaned!$O:$O,A5651,pg_transaction_cleaned!$F:$F,"CAPTURE")</f>
        <v>2298</v>
      </c>
      <c r="L5651" s="23">
        <f>COUNTIFS(pg_transaction_cleaned!$O:$O,A5651,pg_transaction_cleaned!$F:$F,"REFUND")</f>
        <v>0</v>
      </c>
      <c r="M5651" s="39">
        <f>SUMIFS(pg_transaction_cleaned!$H:$H,pg_transaction_cleaned!$O:$O,A5651,pg_transaction_cleaned!$F:$F,"REFUND")</f>
        <v>0</v>
      </c>
      <c r="N5651" s="23" t="str">
        <f t="shared" si="354"/>
        <v>OK</v>
      </c>
      <c r="O5651" s="24">
        <f t="shared" si="355"/>
        <v>0</v>
      </c>
    </row>
    <row r="5652" spans="1:15" ht="15" customHeight="1" x14ac:dyDescent="0.3">
      <c r="A5652" s="23" t="s">
        <v>11724</v>
      </c>
      <c r="B5652" s="38">
        <v>46278</v>
      </c>
      <c r="C5652" s="23" t="s">
        <v>11725</v>
      </c>
      <c r="D5652" s="23" t="s">
        <v>87</v>
      </c>
      <c r="E5652" s="23" t="s">
        <v>77</v>
      </c>
      <c r="F5652" s="23" t="s">
        <v>291</v>
      </c>
      <c r="G5652" s="23" t="s">
        <v>250</v>
      </c>
      <c r="H5652" s="39">
        <f t="shared" si="352"/>
        <v>3499</v>
      </c>
      <c r="I5652" s="23" t="str">
        <f t="shared" si="353"/>
        <v>Mumbai</v>
      </c>
      <c r="J5652" s="23">
        <f>COUNTIFS(pg_transaction_cleaned!$O:$O,A5652,pg_transaction_cleaned!$F:$F,"CAPTURE")</f>
        <v>1</v>
      </c>
      <c r="K5652" s="39">
        <f>SUMIFS(pg_transaction_cleaned!$H:$H,pg_transaction_cleaned!$O:$O,A5652,pg_transaction_cleaned!$F:$F,"CAPTURE")</f>
        <v>3299</v>
      </c>
      <c r="L5652" s="23">
        <f>COUNTIFS(pg_transaction_cleaned!$O:$O,A5652,pg_transaction_cleaned!$F:$F,"REFUND")</f>
        <v>0</v>
      </c>
      <c r="M5652" s="39">
        <f>SUMIFS(pg_transaction_cleaned!$H:$H,pg_transaction_cleaned!$O:$O,A5652,pg_transaction_cleaned!$F:$F,"REFUND")</f>
        <v>0</v>
      </c>
      <c r="N5652" s="23" t="str">
        <f t="shared" si="354"/>
        <v>Amount difference</v>
      </c>
      <c r="O5652" s="24">
        <f t="shared" si="355"/>
        <v>-200</v>
      </c>
    </row>
    <row r="5653" spans="1:15" ht="15" customHeight="1" x14ac:dyDescent="0.3">
      <c r="A5653" s="23" t="s">
        <v>11726</v>
      </c>
      <c r="B5653" s="38">
        <v>46274</v>
      </c>
      <c r="C5653" s="23" t="s">
        <v>2589</v>
      </c>
      <c r="D5653" s="23" t="s">
        <v>86</v>
      </c>
      <c r="E5653" s="23" t="s">
        <v>77</v>
      </c>
      <c r="F5653" s="23" t="s">
        <v>315</v>
      </c>
      <c r="G5653" s="23" t="s">
        <v>250</v>
      </c>
      <c r="H5653" s="39">
        <f t="shared" si="352"/>
        <v>1499</v>
      </c>
      <c r="I5653" s="23" t="str">
        <f t="shared" si="353"/>
        <v>Delhi</v>
      </c>
      <c r="J5653" s="23">
        <f>COUNTIFS(pg_transaction_cleaned!$O:$O,A5653,pg_transaction_cleaned!$F:$F,"CAPTURE")</f>
        <v>1</v>
      </c>
      <c r="K5653" s="39">
        <f>SUMIFS(pg_transaction_cleaned!$H:$H,pg_transaction_cleaned!$O:$O,A5653,pg_transaction_cleaned!$F:$F,"CAPTURE")</f>
        <v>1499</v>
      </c>
      <c r="L5653" s="23">
        <f>COUNTIFS(pg_transaction_cleaned!$O:$O,A5653,pg_transaction_cleaned!$F:$F,"REFUND")</f>
        <v>0</v>
      </c>
      <c r="M5653" s="39">
        <f>SUMIFS(pg_transaction_cleaned!$H:$H,pg_transaction_cleaned!$O:$O,A5653,pg_transaction_cleaned!$F:$F,"REFUND")</f>
        <v>0</v>
      </c>
      <c r="N5653" s="23" t="str">
        <f t="shared" si="354"/>
        <v>OK</v>
      </c>
      <c r="O5653" s="24">
        <f t="shared" si="355"/>
        <v>0</v>
      </c>
    </row>
    <row r="5654" spans="1:15" ht="15" customHeight="1" x14ac:dyDescent="0.3">
      <c r="A5654" s="23" t="s">
        <v>11727</v>
      </c>
      <c r="B5654" s="38">
        <v>46273</v>
      </c>
      <c r="C5654" s="23" t="s">
        <v>3495</v>
      </c>
      <c r="D5654" s="23" t="s">
        <v>90</v>
      </c>
      <c r="E5654" s="23" t="s">
        <v>79</v>
      </c>
      <c r="F5654" s="23" t="s">
        <v>262</v>
      </c>
      <c r="G5654" s="23" t="s">
        <v>250</v>
      </c>
      <c r="H5654" s="39">
        <f t="shared" si="352"/>
        <v>499</v>
      </c>
      <c r="I5654" s="23" t="str">
        <f t="shared" si="353"/>
        <v>Ahmedabad</v>
      </c>
      <c r="J5654" s="23">
        <f>COUNTIFS(pg_transaction_cleaned!$O:$O,A5654,pg_transaction_cleaned!$F:$F,"CAPTURE")</f>
        <v>1</v>
      </c>
      <c r="K5654" s="39">
        <f>SUMIFS(pg_transaction_cleaned!$H:$H,pg_transaction_cleaned!$O:$O,A5654,pg_transaction_cleaned!$F:$F,"CAPTURE")</f>
        <v>499</v>
      </c>
      <c r="L5654" s="23">
        <f>COUNTIFS(pg_transaction_cleaned!$O:$O,A5654,pg_transaction_cleaned!$F:$F,"REFUND")</f>
        <v>0</v>
      </c>
      <c r="M5654" s="39">
        <f>SUMIFS(pg_transaction_cleaned!$H:$H,pg_transaction_cleaned!$O:$O,A5654,pg_transaction_cleaned!$F:$F,"REFUND")</f>
        <v>0</v>
      </c>
      <c r="N5654" s="23" t="str">
        <f t="shared" si="354"/>
        <v>OK</v>
      </c>
      <c r="O5654" s="24">
        <f t="shared" si="355"/>
        <v>0</v>
      </c>
    </row>
    <row r="5655" spans="1:15" ht="15" customHeight="1" x14ac:dyDescent="0.3">
      <c r="A5655" s="23" t="s">
        <v>11728</v>
      </c>
      <c r="B5655" s="38">
        <v>46293</v>
      </c>
      <c r="C5655" s="23" t="s">
        <v>11729</v>
      </c>
      <c r="D5655" s="23" t="s">
        <v>86</v>
      </c>
      <c r="E5655" s="23" t="s">
        <v>77</v>
      </c>
      <c r="F5655" s="23" t="s">
        <v>291</v>
      </c>
      <c r="G5655" s="23" t="s">
        <v>250</v>
      </c>
      <c r="H5655" s="39">
        <f t="shared" si="352"/>
        <v>3499</v>
      </c>
      <c r="I5655" s="23" t="str">
        <f t="shared" si="353"/>
        <v>Delhi</v>
      </c>
      <c r="J5655" s="23">
        <f>COUNTIFS(pg_transaction_cleaned!$O:$O,A5655,pg_transaction_cleaned!$F:$F,"CAPTURE")</f>
        <v>1</v>
      </c>
      <c r="K5655" s="39">
        <f>SUMIFS(pg_transaction_cleaned!$H:$H,pg_transaction_cleaned!$O:$O,A5655,pg_transaction_cleaned!$F:$F,"CAPTURE")</f>
        <v>3499</v>
      </c>
      <c r="L5655" s="23">
        <f>COUNTIFS(pg_transaction_cleaned!$O:$O,A5655,pg_transaction_cleaned!$F:$F,"REFUND")</f>
        <v>0</v>
      </c>
      <c r="M5655" s="39">
        <f>SUMIFS(pg_transaction_cleaned!$H:$H,pg_transaction_cleaned!$O:$O,A5655,pg_transaction_cleaned!$F:$F,"REFUND")</f>
        <v>0</v>
      </c>
      <c r="N5655" s="23" t="str">
        <f t="shared" si="354"/>
        <v>OK</v>
      </c>
      <c r="O5655" s="24">
        <f t="shared" si="355"/>
        <v>0</v>
      </c>
    </row>
    <row r="5656" spans="1:15" ht="15" customHeight="1" x14ac:dyDescent="0.3">
      <c r="A5656" s="23" t="s">
        <v>11730</v>
      </c>
      <c r="B5656" s="38">
        <v>46272</v>
      </c>
      <c r="C5656" s="23" t="s">
        <v>11731</v>
      </c>
      <c r="D5656" s="23" t="s">
        <v>89</v>
      </c>
      <c r="E5656" s="23" t="s">
        <v>75</v>
      </c>
      <c r="F5656" s="23" t="s">
        <v>1809</v>
      </c>
      <c r="G5656" s="23" t="s">
        <v>250</v>
      </c>
      <c r="H5656" s="39">
        <f t="shared" si="352"/>
        <v>10147</v>
      </c>
      <c r="I5656" s="23" t="str">
        <f t="shared" si="353"/>
        <v>Jaipur</v>
      </c>
      <c r="J5656" s="23">
        <f>COUNTIFS(pg_transaction_cleaned!$O:$O,A5656,pg_transaction_cleaned!$F:$F,"CAPTURE")</f>
        <v>1</v>
      </c>
      <c r="K5656" s="39">
        <f>SUMIFS(pg_transaction_cleaned!$H:$H,pg_transaction_cleaned!$O:$O,A5656,pg_transaction_cleaned!$F:$F,"CAPTURE")</f>
        <v>10147</v>
      </c>
      <c r="L5656" s="23">
        <f>COUNTIFS(pg_transaction_cleaned!$O:$O,A5656,pg_transaction_cleaned!$F:$F,"REFUND")</f>
        <v>0</v>
      </c>
      <c r="M5656" s="39">
        <f>SUMIFS(pg_transaction_cleaned!$H:$H,pg_transaction_cleaned!$O:$O,A5656,pg_transaction_cleaned!$F:$F,"REFUND")</f>
        <v>0</v>
      </c>
      <c r="N5656" s="23" t="str">
        <f t="shared" si="354"/>
        <v>OK</v>
      </c>
      <c r="O5656" s="24">
        <f t="shared" si="355"/>
        <v>0</v>
      </c>
    </row>
    <row r="5657" spans="1:15" ht="15" customHeight="1" x14ac:dyDescent="0.3">
      <c r="A5657" s="23" t="s">
        <v>11732</v>
      </c>
      <c r="B5657" s="38">
        <v>46292</v>
      </c>
      <c r="C5657" s="23" t="s">
        <v>11733</v>
      </c>
      <c r="D5657" s="23" t="s">
        <v>90</v>
      </c>
      <c r="E5657" s="23" t="s">
        <v>75</v>
      </c>
      <c r="F5657" s="23" t="s">
        <v>514</v>
      </c>
      <c r="G5657" s="23" t="s">
        <v>250</v>
      </c>
      <c r="H5657" s="39">
        <f t="shared" si="352"/>
        <v>6498</v>
      </c>
      <c r="I5657" s="23" t="str">
        <f t="shared" si="353"/>
        <v>Ahmedabad</v>
      </c>
      <c r="J5657" s="23">
        <f>COUNTIFS(pg_transaction_cleaned!$O:$O,A5657,pg_transaction_cleaned!$F:$F,"CAPTURE")</f>
        <v>1</v>
      </c>
      <c r="K5657" s="39">
        <f>SUMIFS(pg_transaction_cleaned!$H:$H,pg_transaction_cleaned!$O:$O,A5657,pg_transaction_cleaned!$F:$F,"CAPTURE")</f>
        <v>6498</v>
      </c>
      <c r="L5657" s="23">
        <f>COUNTIFS(pg_transaction_cleaned!$O:$O,A5657,pg_transaction_cleaned!$F:$F,"REFUND")</f>
        <v>0</v>
      </c>
      <c r="M5657" s="39">
        <f>SUMIFS(pg_transaction_cleaned!$H:$H,pg_transaction_cleaned!$O:$O,A5657,pg_transaction_cleaned!$F:$F,"REFUND")</f>
        <v>0</v>
      </c>
      <c r="N5657" s="23" t="str">
        <f t="shared" si="354"/>
        <v>OK</v>
      </c>
      <c r="O5657" s="24">
        <f t="shared" si="355"/>
        <v>0</v>
      </c>
    </row>
    <row r="5658" spans="1:15" ht="15" customHeight="1" x14ac:dyDescent="0.3">
      <c r="A5658" s="23" t="s">
        <v>11734</v>
      </c>
      <c r="B5658" s="38">
        <v>46289</v>
      </c>
      <c r="C5658" s="23" t="s">
        <v>11735</v>
      </c>
      <c r="D5658" s="23" t="s">
        <v>91</v>
      </c>
      <c r="E5658" s="23" t="s">
        <v>77</v>
      </c>
      <c r="F5658" s="23" t="s">
        <v>6659</v>
      </c>
      <c r="G5658" s="23" t="s">
        <v>250</v>
      </c>
      <c r="H5658" s="39">
        <f t="shared" si="352"/>
        <v>12497</v>
      </c>
      <c r="I5658" s="23" t="str">
        <f t="shared" si="353"/>
        <v>Pune</v>
      </c>
      <c r="J5658" s="23">
        <f>COUNTIFS(pg_transaction_cleaned!$O:$O,A5658,pg_transaction_cleaned!$F:$F,"CAPTURE")</f>
        <v>1</v>
      </c>
      <c r="K5658" s="39">
        <f>SUMIFS(pg_transaction_cleaned!$H:$H,pg_transaction_cleaned!$O:$O,A5658,pg_transaction_cleaned!$F:$F,"CAPTURE")</f>
        <v>12497</v>
      </c>
      <c r="L5658" s="23">
        <f>COUNTIFS(pg_transaction_cleaned!$O:$O,A5658,pg_transaction_cleaned!$F:$F,"REFUND")</f>
        <v>0</v>
      </c>
      <c r="M5658" s="39">
        <f>SUMIFS(pg_transaction_cleaned!$H:$H,pg_transaction_cleaned!$O:$O,A5658,pg_transaction_cleaned!$F:$F,"REFUND")</f>
        <v>0</v>
      </c>
      <c r="N5658" s="23" t="str">
        <f t="shared" si="354"/>
        <v>OK</v>
      </c>
      <c r="O5658" s="24">
        <f t="shared" si="355"/>
        <v>0</v>
      </c>
    </row>
    <row r="5659" spans="1:15" ht="15" customHeight="1" x14ac:dyDescent="0.3">
      <c r="A5659" s="23" t="s">
        <v>11736</v>
      </c>
      <c r="B5659" s="38">
        <v>46294</v>
      </c>
      <c r="C5659" s="23" t="s">
        <v>11737</v>
      </c>
      <c r="D5659" s="23" t="s">
        <v>95</v>
      </c>
      <c r="E5659" s="23" t="s">
        <v>77</v>
      </c>
      <c r="F5659" s="23" t="s">
        <v>795</v>
      </c>
      <c r="G5659" s="23" t="s">
        <v>250</v>
      </c>
      <c r="H5659" s="39">
        <f t="shared" si="352"/>
        <v>1499</v>
      </c>
      <c r="I5659" s="23" t="str">
        <f t="shared" si="353"/>
        <v>Bengaluru</v>
      </c>
      <c r="J5659" s="23">
        <f>COUNTIFS(pg_transaction_cleaned!$O:$O,A5659,pg_transaction_cleaned!$F:$F,"CAPTURE")</f>
        <v>1</v>
      </c>
      <c r="K5659" s="39">
        <f>SUMIFS(pg_transaction_cleaned!$H:$H,pg_transaction_cleaned!$O:$O,A5659,pg_transaction_cleaned!$F:$F,"CAPTURE")</f>
        <v>1499</v>
      </c>
      <c r="L5659" s="23">
        <f>COUNTIFS(pg_transaction_cleaned!$O:$O,A5659,pg_transaction_cleaned!$F:$F,"REFUND")</f>
        <v>0</v>
      </c>
      <c r="M5659" s="39">
        <f>SUMIFS(pg_transaction_cleaned!$H:$H,pg_transaction_cleaned!$O:$O,A5659,pg_transaction_cleaned!$F:$F,"REFUND")</f>
        <v>0</v>
      </c>
      <c r="N5659" s="23" t="str">
        <f t="shared" si="354"/>
        <v>OK</v>
      </c>
      <c r="O5659" s="24">
        <f t="shared" si="355"/>
        <v>0</v>
      </c>
    </row>
    <row r="5660" spans="1:15" ht="15" customHeight="1" x14ac:dyDescent="0.3">
      <c r="A5660" s="23" t="s">
        <v>11738</v>
      </c>
      <c r="B5660" s="38">
        <v>46290</v>
      </c>
      <c r="C5660" s="23" t="s">
        <v>11739</v>
      </c>
      <c r="D5660" s="23" t="s">
        <v>95</v>
      </c>
      <c r="E5660" s="23" t="s">
        <v>75</v>
      </c>
      <c r="F5660" s="23" t="s">
        <v>1428</v>
      </c>
      <c r="G5660" s="23" t="s">
        <v>250</v>
      </c>
      <c r="H5660" s="39">
        <f t="shared" si="352"/>
        <v>8598</v>
      </c>
      <c r="I5660" s="23" t="str">
        <f t="shared" si="353"/>
        <v>Bengaluru</v>
      </c>
      <c r="J5660" s="23">
        <f>COUNTIFS(pg_transaction_cleaned!$O:$O,A5660,pg_transaction_cleaned!$F:$F,"CAPTURE")</f>
        <v>1</v>
      </c>
      <c r="K5660" s="39">
        <f>SUMIFS(pg_transaction_cleaned!$H:$H,pg_transaction_cleaned!$O:$O,A5660,pg_transaction_cleaned!$F:$F,"CAPTURE")</f>
        <v>8598</v>
      </c>
      <c r="L5660" s="23">
        <f>COUNTIFS(pg_transaction_cleaned!$O:$O,A5660,pg_transaction_cleaned!$F:$F,"REFUND")</f>
        <v>0</v>
      </c>
      <c r="M5660" s="39">
        <f>SUMIFS(pg_transaction_cleaned!$H:$H,pg_transaction_cleaned!$O:$O,A5660,pg_transaction_cleaned!$F:$F,"REFUND")</f>
        <v>0</v>
      </c>
      <c r="N5660" s="23" t="str">
        <f t="shared" si="354"/>
        <v>OK</v>
      </c>
      <c r="O5660" s="24">
        <f t="shared" si="355"/>
        <v>0</v>
      </c>
    </row>
    <row r="5661" spans="1:15" ht="15" customHeight="1" x14ac:dyDescent="0.3">
      <c r="A5661" s="23" t="s">
        <v>11740</v>
      </c>
      <c r="B5661" s="38">
        <v>46269</v>
      </c>
      <c r="C5661" s="23" t="s">
        <v>11741</v>
      </c>
      <c r="D5661" s="23" t="s">
        <v>87</v>
      </c>
      <c r="E5661" s="23" t="s">
        <v>75</v>
      </c>
      <c r="F5661" s="23" t="s">
        <v>294</v>
      </c>
      <c r="G5661" s="23" t="s">
        <v>250</v>
      </c>
      <c r="H5661" s="39">
        <f t="shared" si="352"/>
        <v>1799</v>
      </c>
      <c r="I5661" s="23" t="str">
        <f t="shared" si="353"/>
        <v>Mumbai</v>
      </c>
      <c r="J5661" s="23">
        <f>COUNTIFS(pg_transaction_cleaned!$O:$O,A5661,pg_transaction_cleaned!$F:$F,"CAPTURE")</f>
        <v>1</v>
      </c>
      <c r="K5661" s="39">
        <f>SUMIFS(pg_transaction_cleaned!$H:$H,pg_transaction_cleaned!$O:$O,A5661,pg_transaction_cleaned!$F:$F,"CAPTURE")</f>
        <v>1799</v>
      </c>
      <c r="L5661" s="23">
        <f>COUNTIFS(pg_transaction_cleaned!$O:$O,A5661,pg_transaction_cleaned!$F:$F,"REFUND")</f>
        <v>0</v>
      </c>
      <c r="M5661" s="39">
        <f>SUMIFS(pg_transaction_cleaned!$H:$H,pg_transaction_cleaned!$O:$O,A5661,pg_transaction_cleaned!$F:$F,"REFUND")</f>
        <v>0</v>
      </c>
      <c r="N5661" s="23" t="str">
        <f t="shared" si="354"/>
        <v>OK</v>
      </c>
      <c r="O5661" s="24">
        <f t="shared" si="355"/>
        <v>0</v>
      </c>
    </row>
    <row r="5662" spans="1:15" ht="15" customHeight="1" x14ac:dyDescent="0.3">
      <c r="A5662" s="23" t="s">
        <v>11742</v>
      </c>
      <c r="B5662" s="38">
        <v>46292</v>
      </c>
      <c r="C5662" s="23" t="s">
        <v>11743</v>
      </c>
      <c r="D5662" s="23" t="s">
        <v>87</v>
      </c>
      <c r="E5662" s="23" t="s">
        <v>77</v>
      </c>
      <c r="F5662" s="23" t="s">
        <v>612</v>
      </c>
      <c r="G5662" s="23" t="s">
        <v>250</v>
      </c>
      <c r="H5662" s="39">
        <f t="shared" si="352"/>
        <v>8498</v>
      </c>
      <c r="I5662" s="23" t="str">
        <f t="shared" si="353"/>
        <v>Mumbai</v>
      </c>
      <c r="J5662" s="23">
        <f>COUNTIFS(pg_transaction_cleaned!$O:$O,A5662,pg_transaction_cleaned!$F:$F,"CAPTURE")</f>
        <v>1</v>
      </c>
      <c r="K5662" s="39">
        <f>SUMIFS(pg_transaction_cleaned!$H:$H,pg_transaction_cleaned!$O:$O,A5662,pg_transaction_cleaned!$F:$F,"CAPTURE")</f>
        <v>8498</v>
      </c>
      <c r="L5662" s="23">
        <f>COUNTIFS(pg_transaction_cleaned!$O:$O,A5662,pg_transaction_cleaned!$F:$F,"REFUND")</f>
        <v>0</v>
      </c>
      <c r="M5662" s="39">
        <f>SUMIFS(pg_transaction_cleaned!$H:$H,pg_transaction_cleaned!$O:$O,A5662,pg_transaction_cleaned!$F:$F,"REFUND")</f>
        <v>0</v>
      </c>
      <c r="N5662" s="23" t="str">
        <f t="shared" si="354"/>
        <v>OK</v>
      </c>
      <c r="O5662" s="24">
        <f t="shared" si="355"/>
        <v>0</v>
      </c>
    </row>
    <row r="5663" spans="1:15" ht="15" customHeight="1" x14ac:dyDescent="0.3">
      <c r="A5663" s="23" t="s">
        <v>11744</v>
      </c>
      <c r="B5663" s="38">
        <v>46266</v>
      </c>
      <c r="C5663" s="23" t="s">
        <v>11745</v>
      </c>
      <c r="D5663" s="23" t="s">
        <v>95</v>
      </c>
      <c r="E5663" s="23" t="s">
        <v>75</v>
      </c>
      <c r="F5663" s="23" t="s">
        <v>310</v>
      </c>
      <c r="G5663" s="23" t="s">
        <v>365</v>
      </c>
      <c r="H5663" s="39">
        <f t="shared" si="352"/>
        <v>7999</v>
      </c>
      <c r="I5663" s="23" t="str">
        <f t="shared" si="353"/>
        <v>Bengaluru</v>
      </c>
      <c r="J5663" s="23">
        <f>COUNTIFS(pg_transaction_cleaned!$O:$O,A5663,pg_transaction_cleaned!$F:$F,"CAPTURE")</f>
        <v>0</v>
      </c>
      <c r="K5663" s="39">
        <f>SUMIFS(pg_transaction_cleaned!$H:$H,pg_transaction_cleaned!$O:$O,A5663,pg_transaction_cleaned!$F:$F,"CAPTURE")</f>
        <v>0</v>
      </c>
      <c r="L5663" s="23">
        <f>COUNTIFS(pg_transaction_cleaned!$O:$O,A5663,pg_transaction_cleaned!$F:$F,"REFUND")</f>
        <v>0</v>
      </c>
      <c r="M5663" s="39">
        <f>SUMIFS(pg_transaction_cleaned!$H:$H,pg_transaction_cleaned!$O:$O,A5663,pg_transaction_cleaned!$F:$F,"REFUND")</f>
        <v>0</v>
      </c>
      <c r="N5663" s="23" t="str">
        <f t="shared" si="354"/>
        <v>OK</v>
      </c>
      <c r="O5663" s="24">
        <f t="shared" si="355"/>
        <v>0</v>
      </c>
    </row>
    <row r="5664" spans="1:15" ht="15" customHeight="1" x14ac:dyDescent="0.3">
      <c r="A5664" s="23" t="s">
        <v>11746</v>
      </c>
      <c r="B5664" s="38">
        <v>46288</v>
      </c>
      <c r="C5664" s="23" t="s">
        <v>11747</v>
      </c>
      <c r="D5664" s="23" t="s">
        <v>87</v>
      </c>
      <c r="E5664" s="23" t="s">
        <v>79</v>
      </c>
      <c r="F5664" s="23" t="s">
        <v>300</v>
      </c>
      <c r="G5664" s="23" t="s">
        <v>318</v>
      </c>
      <c r="H5664" s="39">
        <f t="shared" si="352"/>
        <v>2598</v>
      </c>
      <c r="I5664" s="23" t="str">
        <f t="shared" si="353"/>
        <v>Mumbai</v>
      </c>
      <c r="J5664" s="23">
        <f>COUNTIFS(pg_transaction_cleaned!$O:$O,A5664,pg_transaction_cleaned!$F:$F,"CAPTURE")</f>
        <v>0</v>
      </c>
      <c r="K5664" s="39">
        <f>SUMIFS(pg_transaction_cleaned!$H:$H,pg_transaction_cleaned!$O:$O,A5664,pg_transaction_cleaned!$F:$F,"CAPTURE")</f>
        <v>0</v>
      </c>
      <c r="L5664" s="23">
        <f>COUNTIFS(pg_transaction_cleaned!$O:$O,A5664,pg_transaction_cleaned!$F:$F,"REFUND")</f>
        <v>0</v>
      </c>
      <c r="M5664" s="39">
        <f>SUMIFS(pg_transaction_cleaned!$H:$H,pg_transaction_cleaned!$O:$O,A5664,pg_transaction_cleaned!$F:$F,"REFUND")</f>
        <v>0</v>
      </c>
      <c r="N5664" s="23" t="str">
        <f t="shared" si="354"/>
        <v>OK</v>
      </c>
      <c r="O5664" s="24">
        <f t="shared" si="355"/>
        <v>0</v>
      </c>
    </row>
    <row r="5665" spans="1:15" ht="15" customHeight="1" x14ac:dyDescent="0.3">
      <c r="A5665" s="23" t="s">
        <v>11748</v>
      </c>
      <c r="B5665" s="38">
        <v>46295</v>
      </c>
      <c r="C5665" s="23" t="s">
        <v>11749</v>
      </c>
      <c r="D5665" s="23" t="s">
        <v>92</v>
      </c>
      <c r="E5665" s="23" t="s">
        <v>75</v>
      </c>
      <c r="F5665" s="23" t="s">
        <v>262</v>
      </c>
      <c r="G5665" s="23" t="s">
        <v>250</v>
      </c>
      <c r="H5665" s="39">
        <f t="shared" si="352"/>
        <v>499</v>
      </c>
      <c r="I5665" s="23" t="str">
        <f t="shared" si="353"/>
        <v>Hyderabad</v>
      </c>
      <c r="J5665" s="23">
        <f>COUNTIFS(pg_transaction_cleaned!$O:$O,A5665,pg_transaction_cleaned!$F:$F,"CAPTURE")</f>
        <v>1</v>
      </c>
      <c r="K5665" s="39">
        <f>SUMIFS(pg_transaction_cleaned!$H:$H,pg_transaction_cleaned!$O:$O,A5665,pg_transaction_cleaned!$F:$F,"CAPTURE")</f>
        <v>499</v>
      </c>
      <c r="L5665" s="23">
        <f>COUNTIFS(pg_transaction_cleaned!$O:$O,A5665,pg_transaction_cleaned!$F:$F,"REFUND")</f>
        <v>0</v>
      </c>
      <c r="M5665" s="39">
        <f>SUMIFS(pg_transaction_cleaned!$H:$H,pg_transaction_cleaned!$O:$O,A5665,pg_transaction_cleaned!$F:$F,"REFUND")</f>
        <v>0</v>
      </c>
      <c r="N5665" s="23" t="str">
        <f t="shared" si="354"/>
        <v>OK</v>
      </c>
      <c r="O5665" s="24">
        <f t="shared" si="355"/>
        <v>0</v>
      </c>
    </row>
    <row r="5666" spans="1:15" ht="15" customHeight="1" x14ac:dyDescent="0.3">
      <c r="A5666" s="23" t="s">
        <v>11750</v>
      </c>
      <c r="B5666" s="38">
        <v>46266</v>
      </c>
      <c r="C5666" s="23" t="s">
        <v>11751</v>
      </c>
      <c r="D5666" s="23" t="s">
        <v>91</v>
      </c>
      <c r="E5666" s="23" t="s">
        <v>75</v>
      </c>
      <c r="F5666" s="23" t="s">
        <v>574</v>
      </c>
      <c r="G5666" s="23" t="s">
        <v>250</v>
      </c>
      <c r="H5666" s="39">
        <f t="shared" si="352"/>
        <v>1848</v>
      </c>
      <c r="I5666" s="23" t="str">
        <f t="shared" si="353"/>
        <v>Pune</v>
      </c>
      <c r="J5666" s="23">
        <f>COUNTIFS(pg_transaction_cleaned!$O:$O,A5666,pg_transaction_cleaned!$F:$F,"CAPTURE")</f>
        <v>1</v>
      </c>
      <c r="K5666" s="39">
        <f>SUMIFS(pg_transaction_cleaned!$H:$H,pg_transaction_cleaned!$O:$O,A5666,pg_transaction_cleaned!$F:$F,"CAPTURE")</f>
        <v>1848</v>
      </c>
      <c r="L5666" s="23">
        <f>COUNTIFS(pg_transaction_cleaned!$O:$O,A5666,pg_transaction_cleaned!$F:$F,"REFUND")</f>
        <v>0</v>
      </c>
      <c r="M5666" s="39">
        <f>SUMIFS(pg_transaction_cleaned!$H:$H,pg_transaction_cleaned!$O:$O,A5666,pg_transaction_cleaned!$F:$F,"REFUND")</f>
        <v>0</v>
      </c>
      <c r="N5666" s="23" t="str">
        <f t="shared" si="354"/>
        <v>OK</v>
      </c>
      <c r="O5666" s="24">
        <f t="shared" si="355"/>
        <v>0</v>
      </c>
    </row>
    <row r="5667" spans="1:15" ht="15" customHeight="1" x14ac:dyDescent="0.3">
      <c r="A5667" s="23" t="s">
        <v>11752</v>
      </c>
      <c r="B5667" s="38">
        <v>46279</v>
      </c>
      <c r="C5667" s="23" t="s">
        <v>11753</v>
      </c>
      <c r="D5667" s="23" t="s">
        <v>86</v>
      </c>
      <c r="E5667" s="23" t="s">
        <v>79</v>
      </c>
      <c r="F5667" s="23" t="s">
        <v>680</v>
      </c>
      <c r="G5667" s="23" t="s">
        <v>250</v>
      </c>
      <c r="H5667" s="39">
        <f t="shared" si="352"/>
        <v>5097</v>
      </c>
      <c r="I5667" s="23" t="str">
        <f t="shared" si="353"/>
        <v>Delhi</v>
      </c>
      <c r="J5667" s="23">
        <f>COUNTIFS(pg_transaction_cleaned!$O:$O,A5667,pg_transaction_cleaned!$F:$F,"CAPTURE")</f>
        <v>1</v>
      </c>
      <c r="K5667" s="39">
        <f>SUMIFS(pg_transaction_cleaned!$H:$H,pg_transaction_cleaned!$O:$O,A5667,pg_transaction_cleaned!$F:$F,"CAPTURE")</f>
        <v>5097</v>
      </c>
      <c r="L5667" s="23">
        <f>COUNTIFS(pg_transaction_cleaned!$O:$O,A5667,pg_transaction_cleaned!$F:$F,"REFUND")</f>
        <v>0</v>
      </c>
      <c r="M5667" s="39">
        <f>SUMIFS(pg_transaction_cleaned!$H:$H,pg_transaction_cleaned!$O:$O,A5667,pg_transaction_cleaned!$F:$F,"REFUND")</f>
        <v>0</v>
      </c>
      <c r="N5667" s="23" t="str">
        <f t="shared" si="354"/>
        <v>OK</v>
      </c>
      <c r="O5667" s="24">
        <f t="shared" si="355"/>
        <v>0</v>
      </c>
    </row>
    <row r="5668" spans="1:15" ht="15" customHeight="1" x14ac:dyDescent="0.3">
      <c r="A5668" s="23" t="s">
        <v>11754</v>
      </c>
      <c r="B5668" s="38">
        <v>46290</v>
      </c>
      <c r="C5668" s="23" t="s">
        <v>11755</v>
      </c>
      <c r="D5668" s="23"/>
      <c r="E5668" s="23" t="s">
        <v>79</v>
      </c>
      <c r="F5668" s="23" t="s">
        <v>475</v>
      </c>
      <c r="G5668" s="23" t="s">
        <v>250</v>
      </c>
      <c r="H5668" s="39">
        <f t="shared" si="352"/>
        <v>799</v>
      </c>
      <c r="I5668" s="23" t="str">
        <f t="shared" si="353"/>
        <v>Unknown</v>
      </c>
      <c r="J5668" s="23">
        <f>COUNTIFS(pg_transaction_cleaned!$O:$O,A5668,pg_transaction_cleaned!$F:$F,"CAPTURE")</f>
        <v>1</v>
      </c>
      <c r="K5668" s="39">
        <f>SUMIFS(pg_transaction_cleaned!$H:$H,pg_transaction_cleaned!$O:$O,A5668,pg_transaction_cleaned!$F:$F,"CAPTURE")</f>
        <v>799</v>
      </c>
      <c r="L5668" s="23">
        <f>COUNTIFS(pg_transaction_cleaned!$O:$O,A5668,pg_transaction_cleaned!$F:$F,"REFUND")</f>
        <v>0</v>
      </c>
      <c r="M5668" s="39">
        <f>SUMIFS(pg_transaction_cleaned!$H:$H,pg_transaction_cleaned!$O:$O,A5668,pg_transaction_cleaned!$F:$F,"REFUND")</f>
        <v>0</v>
      </c>
      <c r="N5668" s="23" t="str">
        <f t="shared" si="354"/>
        <v>OK</v>
      </c>
      <c r="O5668" s="24">
        <f t="shared" si="355"/>
        <v>0</v>
      </c>
    </row>
    <row r="5669" spans="1:15" ht="15" customHeight="1" x14ac:dyDescent="0.3">
      <c r="A5669" s="23" t="s">
        <v>11756</v>
      </c>
      <c r="B5669" s="38">
        <v>46287</v>
      </c>
      <c r="C5669" s="23" t="s">
        <v>11757</v>
      </c>
      <c r="D5669" s="23" t="s">
        <v>90</v>
      </c>
      <c r="E5669" s="23" t="s">
        <v>79</v>
      </c>
      <c r="F5669" s="23" t="s">
        <v>249</v>
      </c>
      <c r="G5669" s="23" t="s">
        <v>250</v>
      </c>
      <c r="H5669" s="39">
        <f t="shared" si="352"/>
        <v>299</v>
      </c>
      <c r="I5669" s="23" t="str">
        <f t="shared" si="353"/>
        <v>Ahmedabad</v>
      </c>
      <c r="J5669" s="23">
        <f>COUNTIFS(pg_transaction_cleaned!$O:$O,A5669,pg_transaction_cleaned!$F:$F,"CAPTURE")</f>
        <v>1</v>
      </c>
      <c r="K5669" s="39">
        <f>SUMIFS(pg_transaction_cleaned!$H:$H,pg_transaction_cleaned!$O:$O,A5669,pg_transaction_cleaned!$F:$F,"CAPTURE")</f>
        <v>299</v>
      </c>
      <c r="L5669" s="23">
        <f>COUNTIFS(pg_transaction_cleaned!$O:$O,A5669,pg_transaction_cleaned!$F:$F,"REFUND")</f>
        <v>0</v>
      </c>
      <c r="M5669" s="39">
        <f>SUMIFS(pg_transaction_cleaned!$H:$H,pg_transaction_cleaned!$O:$O,A5669,pg_transaction_cleaned!$F:$F,"REFUND")</f>
        <v>0</v>
      </c>
      <c r="N5669" s="23" t="str">
        <f t="shared" si="354"/>
        <v>OK</v>
      </c>
      <c r="O5669" s="24">
        <f t="shared" si="355"/>
        <v>0</v>
      </c>
    </row>
    <row r="5670" spans="1:15" ht="15" customHeight="1" x14ac:dyDescent="0.3">
      <c r="A5670" s="23" t="s">
        <v>11758</v>
      </c>
      <c r="B5670" s="38">
        <v>46274</v>
      </c>
      <c r="C5670" s="23" t="s">
        <v>11759</v>
      </c>
      <c r="D5670" s="23" t="s">
        <v>87</v>
      </c>
      <c r="E5670" s="23" t="s">
        <v>75</v>
      </c>
      <c r="F5670" s="23" t="s">
        <v>291</v>
      </c>
      <c r="G5670" s="23" t="s">
        <v>250</v>
      </c>
      <c r="H5670" s="39">
        <f t="shared" si="352"/>
        <v>3499</v>
      </c>
      <c r="I5670" s="23" t="str">
        <f t="shared" si="353"/>
        <v>Mumbai</v>
      </c>
      <c r="J5670" s="23">
        <f>COUNTIFS(pg_transaction_cleaned!$O:$O,A5670,pg_transaction_cleaned!$F:$F,"CAPTURE")</f>
        <v>1</v>
      </c>
      <c r="K5670" s="39">
        <f>SUMIFS(pg_transaction_cleaned!$H:$H,pg_transaction_cleaned!$O:$O,A5670,pg_transaction_cleaned!$F:$F,"CAPTURE")</f>
        <v>3499</v>
      </c>
      <c r="L5670" s="23">
        <f>COUNTIFS(pg_transaction_cleaned!$O:$O,A5670,pg_transaction_cleaned!$F:$F,"REFUND")</f>
        <v>0</v>
      </c>
      <c r="M5670" s="39">
        <f>SUMIFS(pg_transaction_cleaned!$H:$H,pg_transaction_cleaned!$O:$O,A5670,pg_transaction_cleaned!$F:$F,"REFUND")</f>
        <v>0</v>
      </c>
      <c r="N5670" s="23" t="str">
        <f t="shared" si="354"/>
        <v>OK</v>
      </c>
      <c r="O5670" s="24">
        <f t="shared" si="355"/>
        <v>0</v>
      </c>
    </row>
    <row r="5671" spans="1:15" ht="15" customHeight="1" x14ac:dyDescent="0.3">
      <c r="A5671" s="23" t="s">
        <v>11760</v>
      </c>
      <c r="B5671" s="38">
        <v>46279</v>
      </c>
      <c r="C5671" s="23" t="s">
        <v>11761</v>
      </c>
      <c r="D5671" s="23" t="s">
        <v>93</v>
      </c>
      <c r="E5671" s="23" t="s">
        <v>81</v>
      </c>
      <c r="F5671" s="23" t="s">
        <v>274</v>
      </c>
      <c r="G5671" s="23" t="s">
        <v>250</v>
      </c>
      <c r="H5671" s="39">
        <f t="shared" si="352"/>
        <v>349</v>
      </c>
      <c r="I5671" s="23" t="str">
        <f t="shared" si="353"/>
        <v>Kolkata</v>
      </c>
      <c r="J5671" s="23">
        <f>COUNTIFS(pg_transaction_cleaned!$O:$O,A5671,pg_transaction_cleaned!$F:$F,"CAPTURE")</f>
        <v>1</v>
      </c>
      <c r="K5671" s="39">
        <f>SUMIFS(pg_transaction_cleaned!$H:$H,pg_transaction_cleaned!$O:$O,A5671,pg_transaction_cleaned!$F:$F,"CAPTURE")</f>
        <v>349</v>
      </c>
      <c r="L5671" s="23">
        <f>COUNTIFS(pg_transaction_cleaned!$O:$O,A5671,pg_transaction_cleaned!$F:$F,"REFUND")</f>
        <v>0</v>
      </c>
      <c r="M5671" s="39">
        <f>SUMIFS(pg_transaction_cleaned!$H:$H,pg_transaction_cleaned!$O:$O,A5671,pg_transaction_cleaned!$F:$F,"REFUND")</f>
        <v>0</v>
      </c>
      <c r="N5671" s="23" t="str">
        <f t="shared" si="354"/>
        <v>OK</v>
      </c>
      <c r="O5671" s="24">
        <f t="shared" si="355"/>
        <v>0</v>
      </c>
    </row>
    <row r="5672" spans="1:15" ht="15" customHeight="1" x14ac:dyDescent="0.3">
      <c r="A5672" s="23" t="s">
        <v>11762</v>
      </c>
      <c r="B5672" s="38">
        <v>46266</v>
      </c>
      <c r="C5672" s="23" t="s">
        <v>11763</v>
      </c>
      <c r="D5672" s="23" t="s">
        <v>95</v>
      </c>
      <c r="E5672" s="23" t="s">
        <v>75</v>
      </c>
      <c r="F5672" s="23" t="s">
        <v>249</v>
      </c>
      <c r="G5672" s="23" t="s">
        <v>250</v>
      </c>
      <c r="H5672" s="39">
        <f t="shared" si="352"/>
        <v>299</v>
      </c>
      <c r="I5672" s="23" t="str">
        <f t="shared" si="353"/>
        <v>Bengaluru</v>
      </c>
      <c r="J5672" s="23">
        <f>COUNTIFS(pg_transaction_cleaned!$O:$O,A5672,pg_transaction_cleaned!$F:$F,"CAPTURE")</f>
        <v>1</v>
      </c>
      <c r="K5672" s="39">
        <f>SUMIFS(pg_transaction_cleaned!$H:$H,pg_transaction_cleaned!$O:$O,A5672,pg_transaction_cleaned!$F:$F,"CAPTURE")</f>
        <v>299</v>
      </c>
      <c r="L5672" s="23">
        <f>COUNTIFS(pg_transaction_cleaned!$O:$O,A5672,pg_transaction_cleaned!$F:$F,"REFUND")</f>
        <v>0</v>
      </c>
      <c r="M5672" s="39">
        <f>SUMIFS(pg_transaction_cleaned!$H:$H,pg_transaction_cleaned!$O:$O,A5672,pg_transaction_cleaned!$F:$F,"REFUND")</f>
        <v>0</v>
      </c>
      <c r="N5672" s="23" t="str">
        <f t="shared" si="354"/>
        <v>OK</v>
      </c>
      <c r="O5672" s="24">
        <f t="shared" si="355"/>
        <v>0</v>
      </c>
    </row>
    <row r="5673" spans="1:15" ht="15" customHeight="1" x14ac:dyDescent="0.3">
      <c r="A5673" s="23" t="s">
        <v>11764</v>
      </c>
      <c r="B5673" s="38">
        <v>46276</v>
      </c>
      <c r="C5673" s="23" t="s">
        <v>9665</v>
      </c>
      <c r="D5673" s="23" t="s">
        <v>86</v>
      </c>
      <c r="E5673" s="23" t="s">
        <v>75</v>
      </c>
      <c r="F5673" s="23" t="s">
        <v>265</v>
      </c>
      <c r="G5673" s="23" t="s">
        <v>301</v>
      </c>
      <c r="H5673" s="39">
        <f t="shared" si="352"/>
        <v>999</v>
      </c>
      <c r="I5673" s="23" t="str">
        <f t="shared" si="353"/>
        <v>Delhi</v>
      </c>
      <c r="J5673" s="23">
        <f>COUNTIFS(pg_transaction_cleaned!$O:$O,A5673,pg_transaction_cleaned!$F:$F,"CAPTURE")</f>
        <v>1</v>
      </c>
      <c r="K5673" s="39">
        <f>SUMIFS(pg_transaction_cleaned!$H:$H,pg_transaction_cleaned!$O:$O,A5673,pg_transaction_cleaned!$F:$F,"CAPTURE")</f>
        <v>999</v>
      </c>
      <c r="L5673" s="23">
        <f>COUNTIFS(pg_transaction_cleaned!$O:$O,A5673,pg_transaction_cleaned!$F:$F,"REFUND")</f>
        <v>1</v>
      </c>
      <c r="M5673" s="39">
        <f>SUMIFS(pg_transaction_cleaned!$H:$H,pg_transaction_cleaned!$O:$O,A5673,pg_transaction_cleaned!$F:$F,"REFUND")</f>
        <v>999</v>
      </c>
      <c r="N5673" s="23" t="str">
        <f t="shared" si="354"/>
        <v>OK</v>
      </c>
      <c r="O5673" s="24">
        <f t="shared" si="355"/>
        <v>0</v>
      </c>
    </row>
    <row r="5674" spans="1:15" ht="15" customHeight="1" x14ac:dyDescent="0.3">
      <c r="A5674" s="23" t="s">
        <v>11765</v>
      </c>
      <c r="B5674" s="38">
        <v>46267</v>
      </c>
      <c r="C5674" s="23" t="s">
        <v>11766</v>
      </c>
      <c r="D5674" s="23" t="s">
        <v>88</v>
      </c>
      <c r="E5674" s="23" t="s">
        <v>75</v>
      </c>
      <c r="F5674" s="23" t="s">
        <v>1265</v>
      </c>
      <c r="G5674" s="23" t="s">
        <v>250</v>
      </c>
      <c r="H5674" s="39">
        <f t="shared" si="352"/>
        <v>6997</v>
      </c>
      <c r="I5674" s="23" t="str">
        <f t="shared" si="353"/>
        <v>Lucknow</v>
      </c>
      <c r="J5674" s="23">
        <f>COUNTIFS(pg_transaction_cleaned!$O:$O,A5674,pg_transaction_cleaned!$F:$F,"CAPTURE")</f>
        <v>1</v>
      </c>
      <c r="K5674" s="39">
        <f>SUMIFS(pg_transaction_cleaned!$H:$H,pg_transaction_cleaned!$O:$O,A5674,pg_transaction_cleaned!$F:$F,"CAPTURE")</f>
        <v>6997</v>
      </c>
      <c r="L5674" s="23">
        <f>COUNTIFS(pg_transaction_cleaned!$O:$O,A5674,pg_transaction_cleaned!$F:$F,"REFUND")</f>
        <v>0</v>
      </c>
      <c r="M5674" s="39">
        <f>SUMIFS(pg_transaction_cleaned!$H:$H,pg_transaction_cleaned!$O:$O,A5674,pg_transaction_cleaned!$F:$F,"REFUND")</f>
        <v>0</v>
      </c>
      <c r="N5674" s="23" t="str">
        <f t="shared" si="354"/>
        <v>OK</v>
      </c>
      <c r="O5674" s="24">
        <f t="shared" si="355"/>
        <v>0</v>
      </c>
    </row>
    <row r="5675" spans="1:15" ht="15" customHeight="1" x14ac:dyDescent="0.3">
      <c r="A5675" s="23" t="s">
        <v>11767</v>
      </c>
      <c r="B5675" s="38">
        <v>46277</v>
      </c>
      <c r="C5675" s="23" t="s">
        <v>2123</v>
      </c>
      <c r="D5675" s="23" t="s">
        <v>91</v>
      </c>
      <c r="E5675" s="23" t="s">
        <v>75</v>
      </c>
      <c r="F5675" s="23" t="s">
        <v>1735</v>
      </c>
      <c r="G5675" s="23" t="s">
        <v>301</v>
      </c>
      <c r="H5675" s="39">
        <f t="shared" si="352"/>
        <v>12998</v>
      </c>
      <c r="I5675" s="23" t="str">
        <f t="shared" si="353"/>
        <v>Pune</v>
      </c>
      <c r="J5675" s="23">
        <f>COUNTIFS(pg_transaction_cleaned!$O:$O,A5675,pg_transaction_cleaned!$F:$F,"CAPTURE")</f>
        <v>1</v>
      </c>
      <c r="K5675" s="39">
        <f>SUMIFS(pg_transaction_cleaned!$H:$H,pg_transaction_cleaned!$O:$O,A5675,pg_transaction_cleaned!$F:$F,"CAPTURE")</f>
        <v>12998</v>
      </c>
      <c r="L5675" s="23">
        <f>COUNTIFS(pg_transaction_cleaned!$O:$O,A5675,pg_transaction_cleaned!$F:$F,"REFUND")</f>
        <v>1</v>
      </c>
      <c r="M5675" s="39">
        <f>SUMIFS(pg_transaction_cleaned!$H:$H,pg_transaction_cleaned!$O:$O,A5675,pg_transaction_cleaned!$F:$F,"REFUND")</f>
        <v>12998</v>
      </c>
      <c r="N5675" s="23" t="str">
        <f t="shared" si="354"/>
        <v>OK</v>
      </c>
      <c r="O5675" s="24">
        <f t="shared" si="355"/>
        <v>0</v>
      </c>
    </row>
    <row r="5676" spans="1:15" ht="15" customHeight="1" x14ac:dyDescent="0.3">
      <c r="A5676" s="23" t="s">
        <v>11768</v>
      </c>
      <c r="B5676" s="38">
        <v>46281</v>
      </c>
      <c r="C5676" s="23" t="s">
        <v>11769</v>
      </c>
      <c r="D5676" s="23" t="s">
        <v>89</v>
      </c>
      <c r="E5676" s="23" t="s">
        <v>75</v>
      </c>
      <c r="F5676" s="23" t="s">
        <v>441</v>
      </c>
      <c r="G5676" s="23" t="s">
        <v>250</v>
      </c>
      <c r="H5676" s="39">
        <f t="shared" si="352"/>
        <v>9998</v>
      </c>
      <c r="I5676" s="23" t="str">
        <f t="shared" si="353"/>
        <v>Jaipur</v>
      </c>
      <c r="J5676" s="23">
        <f>COUNTIFS(pg_transaction_cleaned!$O:$O,A5676,pg_transaction_cleaned!$F:$F,"CAPTURE")</f>
        <v>1</v>
      </c>
      <c r="K5676" s="39">
        <f>SUMIFS(pg_transaction_cleaned!$H:$H,pg_transaction_cleaned!$O:$O,A5676,pg_transaction_cleaned!$F:$F,"CAPTURE")</f>
        <v>9998</v>
      </c>
      <c r="L5676" s="23">
        <f>COUNTIFS(pg_transaction_cleaned!$O:$O,A5676,pg_transaction_cleaned!$F:$F,"REFUND")</f>
        <v>0</v>
      </c>
      <c r="M5676" s="39">
        <f>SUMIFS(pg_transaction_cleaned!$H:$H,pg_transaction_cleaned!$O:$O,A5676,pg_transaction_cleaned!$F:$F,"REFUND")</f>
        <v>0</v>
      </c>
      <c r="N5676" s="23" t="str">
        <f t="shared" si="354"/>
        <v>OK</v>
      </c>
      <c r="O5676" s="24">
        <f t="shared" si="355"/>
        <v>0</v>
      </c>
    </row>
    <row r="5677" spans="1:15" ht="15" customHeight="1" x14ac:dyDescent="0.3">
      <c r="A5677" s="23" t="s">
        <v>11770</v>
      </c>
      <c r="B5677" s="38">
        <v>46284</v>
      </c>
      <c r="C5677" s="23" t="s">
        <v>11771</v>
      </c>
      <c r="D5677" s="23" t="s">
        <v>90</v>
      </c>
      <c r="E5677" s="23" t="s">
        <v>81</v>
      </c>
      <c r="F5677" s="23" t="s">
        <v>520</v>
      </c>
      <c r="G5677" s="23" t="s">
        <v>250</v>
      </c>
      <c r="H5677" s="39">
        <f t="shared" si="352"/>
        <v>4998</v>
      </c>
      <c r="I5677" s="23" t="str">
        <f t="shared" si="353"/>
        <v>Ahmedabad</v>
      </c>
      <c r="J5677" s="23">
        <f>COUNTIFS(pg_transaction_cleaned!$O:$O,A5677,pg_transaction_cleaned!$F:$F,"CAPTURE")</f>
        <v>1</v>
      </c>
      <c r="K5677" s="39">
        <f>SUMIFS(pg_transaction_cleaned!$H:$H,pg_transaction_cleaned!$O:$O,A5677,pg_transaction_cleaned!$F:$F,"CAPTURE")</f>
        <v>4998</v>
      </c>
      <c r="L5677" s="23">
        <f>COUNTIFS(pg_transaction_cleaned!$O:$O,A5677,pg_transaction_cleaned!$F:$F,"REFUND")</f>
        <v>0</v>
      </c>
      <c r="M5677" s="39">
        <f>SUMIFS(pg_transaction_cleaned!$H:$H,pg_transaction_cleaned!$O:$O,A5677,pg_transaction_cleaned!$F:$F,"REFUND")</f>
        <v>0</v>
      </c>
      <c r="N5677" s="23" t="str">
        <f t="shared" si="354"/>
        <v>OK</v>
      </c>
      <c r="O5677" s="24">
        <f t="shared" si="355"/>
        <v>0</v>
      </c>
    </row>
    <row r="5678" spans="1:15" ht="15" customHeight="1" x14ac:dyDescent="0.3">
      <c r="A5678" s="23" t="s">
        <v>11772</v>
      </c>
      <c r="B5678" s="38">
        <v>46279</v>
      </c>
      <c r="C5678" s="23" t="s">
        <v>11773</v>
      </c>
      <c r="D5678" s="23" t="s">
        <v>89</v>
      </c>
      <c r="E5678" s="23" t="s">
        <v>81</v>
      </c>
      <c r="F5678" s="23" t="s">
        <v>520</v>
      </c>
      <c r="G5678" s="23" t="s">
        <v>365</v>
      </c>
      <c r="H5678" s="39">
        <f t="shared" si="352"/>
        <v>4998</v>
      </c>
      <c r="I5678" s="23" t="str">
        <f t="shared" si="353"/>
        <v>Jaipur</v>
      </c>
      <c r="J5678" s="23">
        <f>COUNTIFS(pg_transaction_cleaned!$O:$O,A5678,pg_transaction_cleaned!$F:$F,"CAPTURE")</f>
        <v>0</v>
      </c>
      <c r="K5678" s="39">
        <f>SUMIFS(pg_transaction_cleaned!$H:$H,pg_transaction_cleaned!$O:$O,A5678,pg_transaction_cleaned!$F:$F,"CAPTURE")</f>
        <v>0</v>
      </c>
      <c r="L5678" s="23">
        <f>COUNTIFS(pg_transaction_cleaned!$O:$O,A5678,pg_transaction_cleaned!$F:$F,"REFUND")</f>
        <v>0</v>
      </c>
      <c r="M5678" s="39">
        <f>SUMIFS(pg_transaction_cleaned!$H:$H,pg_transaction_cleaned!$O:$O,A5678,pg_transaction_cleaned!$F:$F,"REFUND")</f>
        <v>0</v>
      </c>
      <c r="N5678" s="23" t="str">
        <f t="shared" si="354"/>
        <v>OK</v>
      </c>
      <c r="O5678" s="24">
        <f t="shared" si="355"/>
        <v>0</v>
      </c>
    </row>
    <row r="5679" spans="1:15" ht="15" customHeight="1" x14ac:dyDescent="0.3">
      <c r="A5679" s="23" t="s">
        <v>11774</v>
      </c>
      <c r="B5679" s="38">
        <v>46281</v>
      </c>
      <c r="C5679" s="23" t="s">
        <v>11775</v>
      </c>
      <c r="D5679" s="23" t="s">
        <v>91</v>
      </c>
      <c r="E5679" s="23" t="s">
        <v>75</v>
      </c>
      <c r="F5679" s="23" t="s">
        <v>429</v>
      </c>
      <c r="G5679" s="23" t="s">
        <v>250</v>
      </c>
      <c r="H5679" s="39">
        <f t="shared" si="352"/>
        <v>3348</v>
      </c>
      <c r="I5679" s="23" t="str">
        <f t="shared" si="353"/>
        <v>Pune</v>
      </c>
      <c r="J5679" s="23">
        <f>COUNTIFS(pg_transaction_cleaned!$O:$O,A5679,pg_transaction_cleaned!$F:$F,"CAPTURE")</f>
        <v>1</v>
      </c>
      <c r="K5679" s="39">
        <f>SUMIFS(pg_transaction_cleaned!$H:$H,pg_transaction_cleaned!$O:$O,A5679,pg_transaction_cleaned!$F:$F,"CAPTURE")</f>
        <v>3348</v>
      </c>
      <c r="L5679" s="23">
        <f>COUNTIFS(pg_transaction_cleaned!$O:$O,A5679,pg_transaction_cleaned!$F:$F,"REFUND")</f>
        <v>0</v>
      </c>
      <c r="M5679" s="39">
        <f>SUMIFS(pg_transaction_cleaned!$H:$H,pg_transaction_cleaned!$O:$O,A5679,pg_transaction_cleaned!$F:$F,"REFUND")</f>
        <v>0</v>
      </c>
      <c r="N5679" s="23" t="str">
        <f t="shared" si="354"/>
        <v>OK</v>
      </c>
      <c r="O5679" s="24">
        <f t="shared" si="355"/>
        <v>0</v>
      </c>
    </row>
    <row r="5680" spans="1:15" ht="15" customHeight="1" x14ac:dyDescent="0.3">
      <c r="A5680" s="23" t="s">
        <v>11776</v>
      </c>
      <c r="B5680" s="38">
        <v>46283</v>
      </c>
      <c r="C5680" s="23" t="s">
        <v>11777</v>
      </c>
      <c r="D5680" s="23" t="s">
        <v>87</v>
      </c>
      <c r="E5680" s="23" t="s">
        <v>79</v>
      </c>
      <c r="F5680" s="23" t="s">
        <v>370</v>
      </c>
      <c r="G5680" s="23" t="s">
        <v>250</v>
      </c>
      <c r="H5680" s="39">
        <f t="shared" si="352"/>
        <v>3098</v>
      </c>
      <c r="I5680" s="23" t="str">
        <f t="shared" si="353"/>
        <v>Mumbai</v>
      </c>
      <c r="J5680" s="23">
        <f>COUNTIFS(pg_transaction_cleaned!$O:$O,A5680,pg_transaction_cleaned!$F:$F,"CAPTURE")</f>
        <v>1</v>
      </c>
      <c r="K5680" s="39">
        <f>SUMIFS(pg_transaction_cleaned!$H:$H,pg_transaction_cleaned!$O:$O,A5680,pg_transaction_cleaned!$F:$F,"CAPTURE")</f>
        <v>3098</v>
      </c>
      <c r="L5680" s="23">
        <f>COUNTIFS(pg_transaction_cleaned!$O:$O,A5680,pg_transaction_cleaned!$F:$F,"REFUND")</f>
        <v>0</v>
      </c>
      <c r="M5680" s="39">
        <f>SUMIFS(pg_transaction_cleaned!$H:$H,pg_transaction_cleaned!$O:$O,A5680,pg_transaction_cleaned!$F:$F,"REFUND")</f>
        <v>0</v>
      </c>
      <c r="N5680" s="23" t="str">
        <f t="shared" si="354"/>
        <v>OK</v>
      </c>
      <c r="O5680" s="24">
        <f t="shared" si="355"/>
        <v>0</v>
      </c>
    </row>
    <row r="5681" spans="1:15" ht="15" customHeight="1" x14ac:dyDescent="0.3">
      <c r="A5681" s="23" t="s">
        <v>11778</v>
      </c>
      <c r="B5681" s="38">
        <v>46274</v>
      </c>
      <c r="C5681" s="23" t="s">
        <v>11779</v>
      </c>
      <c r="D5681" s="23" t="s">
        <v>92</v>
      </c>
      <c r="E5681" s="23" t="s">
        <v>75</v>
      </c>
      <c r="F5681" s="23" t="s">
        <v>256</v>
      </c>
      <c r="G5681" s="23" t="s">
        <v>250</v>
      </c>
      <c r="H5681" s="39">
        <f t="shared" si="352"/>
        <v>2098</v>
      </c>
      <c r="I5681" s="23" t="str">
        <f t="shared" si="353"/>
        <v>Hyderabad</v>
      </c>
      <c r="J5681" s="23">
        <f>COUNTIFS(pg_transaction_cleaned!$O:$O,A5681,pg_transaction_cleaned!$F:$F,"CAPTURE")</f>
        <v>1</v>
      </c>
      <c r="K5681" s="39">
        <f>SUMIFS(pg_transaction_cleaned!$H:$H,pg_transaction_cleaned!$O:$O,A5681,pg_transaction_cleaned!$F:$F,"CAPTURE")</f>
        <v>2098</v>
      </c>
      <c r="L5681" s="23">
        <f>COUNTIFS(pg_transaction_cleaned!$O:$O,A5681,pg_transaction_cleaned!$F:$F,"REFUND")</f>
        <v>0</v>
      </c>
      <c r="M5681" s="39">
        <f>SUMIFS(pg_transaction_cleaned!$H:$H,pg_transaction_cleaned!$O:$O,A5681,pg_transaction_cleaned!$F:$F,"REFUND")</f>
        <v>0</v>
      </c>
      <c r="N5681" s="23" t="str">
        <f t="shared" si="354"/>
        <v>OK</v>
      </c>
      <c r="O5681" s="24">
        <f t="shared" si="355"/>
        <v>0</v>
      </c>
    </row>
    <row r="5682" spans="1:15" ht="15" customHeight="1" x14ac:dyDescent="0.3">
      <c r="A5682" s="23" t="s">
        <v>11780</v>
      </c>
      <c r="B5682" s="38">
        <v>46276</v>
      </c>
      <c r="C5682" s="23" t="s">
        <v>4039</v>
      </c>
      <c r="D5682" s="23" t="s">
        <v>90</v>
      </c>
      <c r="E5682" s="23" t="s">
        <v>77</v>
      </c>
      <c r="F5682" s="23" t="s">
        <v>291</v>
      </c>
      <c r="G5682" s="23" t="s">
        <v>250</v>
      </c>
      <c r="H5682" s="39">
        <f t="shared" si="352"/>
        <v>3499</v>
      </c>
      <c r="I5682" s="23" t="str">
        <f t="shared" si="353"/>
        <v>Ahmedabad</v>
      </c>
      <c r="J5682" s="23">
        <f>COUNTIFS(pg_transaction_cleaned!$O:$O,A5682,pg_transaction_cleaned!$F:$F,"CAPTURE")</f>
        <v>1</v>
      </c>
      <c r="K5682" s="39">
        <f>SUMIFS(pg_transaction_cleaned!$H:$H,pg_transaction_cleaned!$O:$O,A5682,pg_transaction_cleaned!$F:$F,"CAPTURE")</f>
        <v>3499</v>
      </c>
      <c r="L5682" s="23">
        <f>COUNTIFS(pg_transaction_cleaned!$O:$O,A5682,pg_transaction_cleaned!$F:$F,"REFUND")</f>
        <v>0</v>
      </c>
      <c r="M5682" s="39">
        <f>SUMIFS(pg_transaction_cleaned!$H:$H,pg_transaction_cleaned!$O:$O,A5682,pg_transaction_cleaned!$F:$F,"REFUND")</f>
        <v>0</v>
      </c>
      <c r="N5682" s="23" t="str">
        <f t="shared" si="354"/>
        <v>OK</v>
      </c>
      <c r="O5682" s="24">
        <f t="shared" si="355"/>
        <v>0</v>
      </c>
    </row>
    <row r="5683" spans="1:15" ht="15" customHeight="1" x14ac:dyDescent="0.3">
      <c r="A5683" s="23" t="s">
        <v>11781</v>
      </c>
      <c r="B5683" s="38">
        <v>46292</v>
      </c>
      <c r="C5683" s="23" t="s">
        <v>11782</v>
      </c>
      <c r="D5683" s="23" t="s">
        <v>90</v>
      </c>
      <c r="E5683" s="23" t="s">
        <v>77</v>
      </c>
      <c r="F5683" s="23" t="s">
        <v>7627</v>
      </c>
      <c r="G5683" s="23" t="s">
        <v>250</v>
      </c>
      <c r="H5683" s="39">
        <f t="shared" si="352"/>
        <v>1747</v>
      </c>
      <c r="I5683" s="23" t="str">
        <f t="shared" si="353"/>
        <v>Ahmedabad</v>
      </c>
      <c r="J5683" s="23">
        <f>COUNTIFS(pg_transaction_cleaned!$O:$O,A5683,pg_transaction_cleaned!$F:$F,"CAPTURE")</f>
        <v>1</v>
      </c>
      <c r="K5683" s="39">
        <f>SUMIFS(pg_transaction_cleaned!$H:$H,pg_transaction_cleaned!$O:$O,A5683,pg_transaction_cleaned!$F:$F,"CAPTURE")</f>
        <v>1747</v>
      </c>
      <c r="L5683" s="23">
        <f>COUNTIFS(pg_transaction_cleaned!$O:$O,A5683,pg_transaction_cleaned!$F:$F,"REFUND")</f>
        <v>0</v>
      </c>
      <c r="M5683" s="39">
        <f>SUMIFS(pg_transaction_cleaned!$H:$H,pg_transaction_cleaned!$O:$O,A5683,pg_transaction_cleaned!$F:$F,"REFUND")</f>
        <v>0</v>
      </c>
      <c r="N5683" s="23" t="str">
        <f t="shared" si="354"/>
        <v>OK</v>
      </c>
      <c r="O5683" s="24">
        <f t="shared" si="355"/>
        <v>0</v>
      </c>
    </row>
    <row r="5684" spans="1:15" ht="15" customHeight="1" x14ac:dyDescent="0.3">
      <c r="A5684" s="23" t="s">
        <v>11783</v>
      </c>
      <c r="B5684" s="38">
        <v>46284</v>
      </c>
      <c r="C5684" s="23" t="s">
        <v>11784</v>
      </c>
      <c r="D5684" s="23" t="s">
        <v>91</v>
      </c>
      <c r="E5684" s="23" t="s">
        <v>75</v>
      </c>
      <c r="F5684" s="23" t="s">
        <v>11785</v>
      </c>
      <c r="G5684" s="23" t="s">
        <v>250</v>
      </c>
      <c r="H5684" s="39">
        <f t="shared" si="352"/>
        <v>7097</v>
      </c>
      <c r="I5684" s="23" t="str">
        <f t="shared" si="353"/>
        <v>Pune</v>
      </c>
      <c r="J5684" s="23">
        <f>COUNTIFS(pg_transaction_cleaned!$O:$O,A5684,pg_transaction_cleaned!$F:$F,"CAPTURE")</f>
        <v>1</v>
      </c>
      <c r="K5684" s="39">
        <f>SUMIFS(pg_transaction_cleaned!$H:$H,pg_transaction_cleaned!$O:$O,A5684,pg_transaction_cleaned!$F:$F,"CAPTURE")</f>
        <v>7097</v>
      </c>
      <c r="L5684" s="23">
        <f>COUNTIFS(pg_transaction_cleaned!$O:$O,A5684,pg_transaction_cleaned!$F:$F,"REFUND")</f>
        <v>0</v>
      </c>
      <c r="M5684" s="39">
        <f>SUMIFS(pg_transaction_cleaned!$H:$H,pg_transaction_cleaned!$O:$O,A5684,pg_transaction_cleaned!$F:$F,"REFUND")</f>
        <v>0</v>
      </c>
      <c r="N5684" s="23" t="str">
        <f t="shared" si="354"/>
        <v>OK</v>
      </c>
      <c r="O5684" s="24">
        <f t="shared" si="355"/>
        <v>0</v>
      </c>
    </row>
    <row r="5685" spans="1:15" ht="15" customHeight="1" x14ac:dyDescent="0.3">
      <c r="A5685" s="23" t="s">
        <v>11786</v>
      </c>
      <c r="B5685" s="38">
        <v>46277</v>
      </c>
      <c r="C5685" s="23" t="s">
        <v>11787</v>
      </c>
      <c r="D5685" s="23" t="s">
        <v>91</v>
      </c>
      <c r="E5685" s="23" t="s">
        <v>79</v>
      </c>
      <c r="F5685" s="23" t="s">
        <v>499</v>
      </c>
      <c r="G5685" s="23" t="s">
        <v>250</v>
      </c>
      <c r="H5685" s="39">
        <f t="shared" si="352"/>
        <v>5998</v>
      </c>
      <c r="I5685" s="23" t="str">
        <f t="shared" si="353"/>
        <v>Pune</v>
      </c>
      <c r="J5685" s="23">
        <f>COUNTIFS(pg_transaction_cleaned!$O:$O,A5685,pg_transaction_cleaned!$F:$F,"CAPTURE")</f>
        <v>1</v>
      </c>
      <c r="K5685" s="39">
        <f>SUMIFS(pg_transaction_cleaned!$H:$H,pg_transaction_cleaned!$O:$O,A5685,pg_transaction_cleaned!$F:$F,"CAPTURE")</f>
        <v>5998</v>
      </c>
      <c r="L5685" s="23">
        <f>COUNTIFS(pg_transaction_cleaned!$O:$O,A5685,pg_transaction_cleaned!$F:$F,"REFUND")</f>
        <v>0</v>
      </c>
      <c r="M5685" s="39">
        <f>SUMIFS(pg_transaction_cleaned!$H:$H,pg_transaction_cleaned!$O:$O,A5685,pg_transaction_cleaned!$F:$F,"REFUND")</f>
        <v>0</v>
      </c>
      <c r="N5685" s="23" t="str">
        <f t="shared" si="354"/>
        <v>OK</v>
      </c>
      <c r="O5685" s="24">
        <f t="shared" si="355"/>
        <v>0</v>
      </c>
    </row>
    <row r="5686" spans="1:15" ht="15" customHeight="1" x14ac:dyDescent="0.3">
      <c r="A5686" s="23" t="s">
        <v>11788</v>
      </c>
      <c r="B5686" s="38">
        <v>46290</v>
      </c>
      <c r="C5686" s="23" t="s">
        <v>11789</v>
      </c>
      <c r="D5686" s="23" t="s">
        <v>87</v>
      </c>
      <c r="E5686" s="23" t="s">
        <v>75</v>
      </c>
      <c r="F5686" s="23" t="s">
        <v>337</v>
      </c>
      <c r="G5686" s="23" t="s">
        <v>250</v>
      </c>
      <c r="H5686" s="39">
        <f t="shared" si="352"/>
        <v>3998</v>
      </c>
      <c r="I5686" s="23" t="str">
        <f t="shared" si="353"/>
        <v>Mumbai</v>
      </c>
      <c r="J5686" s="23">
        <f>COUNTIFS(pg_transaction_cleaned!$O:$O,A5686,pg_transaction_cleaned!$F:$F,"CAPTURE")</f>
        <v>1</v>
      </c>
      <c r="K5686" s="39">
        <f>SUMIFS(pg_transaction_cleaned!$H:$H,pg_transaction_cleaned!$O:$O,A5686,pg_transaction_cleaned!$F:$F,"CAPTURE")</f>
        <v>3998</v>
      </c>
      <c r="L5686" s="23">
        <f>COUNTIFS(pg_transaction_cleaned!$O:$O,A5686,pg_transaction_cleaned!$F:$F,"REFUND")</f>
        <v>0</v>
      </c>
      <c r="M5686" s="39">
        <f>SUMIFS(pg_transaction_cleaned!$H:$H,pg_transaction_cleaned!$O:$O,A5686,pg_transaction_cleaned!$F:$F,"REFUND")</f>
        <v>0</v>
      </c>
      <c r="N5686" s="23" t="str">
        <f t="shared" si="354"/>
        <v>OK</v>
      </c>
      <c r="O5686" s="24">
        <f t="shared" si="355"/>
        <v>0</v>
      </c>
    </row>
    <row r="5687" spans="1:15" ht="15" customHeight="1" x14ac:dyDescent="0.3">
      <c r="A5687" s="23" t="s">
        <v>11790</v>
      </c>
      <c r="B5687" s="38">
        <v>46277</v>
      </c>
      <c r="C5687" s="23" t="s">
        <v>11791</v>
      </c>
      <c r="D5687" s="23" t="s">
        <v>88</v>
      </c>
      <c r="E5687" s="23" t="s">
        <v>75</v>
      </c>
      <c r="F5687" s="23" t="s">
        <v>310</v>
      </c>
      <c r="G5687" s="23" t="s">
        <v>250</v>
      </c>
      <c r="H5687" s="39">
        <f t="shared" si="352"/>
        <v>7999</v>
      </c>
      <c r="I5687" s="23" t="str">
        <f t="shared" si="353"/>
        <v>Lucknow</v>
      </c>
      <c r="J5687" s="23">
        <f>COUNTIFS(pg_transaction_cleaned!$O:$O,A5687,pg_transaction_cleaned!$F:$F,"CAPTURE")</f>
        <v>1</v>
      </c>
      <c r="K5687" s="39">
        <f>SUMIFS(pg_transaction_cleaned!$H:$H,pg_transaction_cleaned!$O:$O,A5687,pg_transaction_cleaned!$F:$F,"CAPTURE")</f>
        <v>7999</v>
      </c>
      <c r="L5687" s="23">
        <f>COUNTIFS(pg_transaction_cleaned!$O:$O,A5687,pg_transaction_cleaned!$F:$F,"REFUND")</f>
        <v>0</v>
      </c>
      <c r="M5687" s="39">
        <f>SUMIFS(pg_transaction_cleaned!$H:$H,pg_transaction_cleaned!$O:$O,A5687,pg_transaction_cleaned!$F:$F,"REFUND")</f>
        <v>0</v>
      </c>
      <c r="N5687" s="23" t="str">
        <f t="shared" si="354"/>
        <v>OK</v>
      </c>
      <c r="O5687" s="24">
        <f t="shared" si="355"/>
        <v>0</v>
      </c>
    </row>
    <row r="5688" spans="1:15" ht="15" customHeight="1" x14ac:dyDescent="0.3">
      <c r="A5688" s="23" t="s">
        <v>11792</v>
      </c>
      <c r="B5688" s="38">
        <v>46271</v>
      </c>
      <c r="C5688" s="23" t="s">
        <v>11793</v>
      </c>
      <c r="D5688" s="23" t="s">
        <v>95</v>
      </c>
      <c r="E5688" s="23" t="s">
        <v>75</v>
      </c>
      <c r="F5688" s="23" t="s">
        <v>1032</v>
      </c>
      <c r="G5688" s="23" t="s">
        <v>250</v>
      </c>
      <c r="H5688" s="39">
        <f t="shared" si="352"/>
        <v>3348</v>
      </c>
      <c r="I5688" s="23" t="str">
        <f t="shared" si="353"/>
        <v>Bengaluru</v>
      </c>
      <c r="J5688" s="23">
        <f>COUNTIFS(pg_transaction_cleaned!$O:$O,A5688,pg_transaction_cleaned!$F:$F,"CAPTURE")</f>
        <v>1</v>
      </c>
      <c r="K5688" s="39">
        <f>SUMIFS(pg_transaction_cleaned!$H:$H,pg_transaction_cleaned!$O:$O,A5688,pg_transaction_cleaned!$F:$F,"CAPTURE")</f>
        <v>3348</v>
      </c>
      <c r="L5688" s="23">
        <f>COUNTIFS(pg_transaction_cleaned!$O:$O,A5688,pg_transaction_cleaned!$F:$F,"REFUND")</f>
        <v>0</v>
      </c>
      <c r="M5688" s="39">
        <f>SUMIFS(pg_transaction_cleaned!$H:$H,pg_transaction_cleaned!$O:$O,A5688,pg_transaction_cleaned!$F:$F,"REFUND")</f>
        <v>0</v>
      </c>
      <c r="N5688" s="23" t="str">
        <f t="shared" si="354"/>
        <v>OK</v>
      </c>
      <c r="O5688" s="24">
        <f t="shared" si="355"/>
        <v>0</v>
      </c>
    </row>
    <row r="5689" spans="1:15" ht="15" customHeight="1" x14ac:dyDescent="0.3">
      <c r="A5689" s="23" t="s">
        <v>11794</v>
      </c>
      <c r="B5689" s="38">
        <v>46282</v>
      </c>
      <c r="C5689" s="23" t="s">
        <v>11795</v>
      </c>
      <c r="D5689" s="23" t="s">
        <v>87</v>
      </c>
      <c r="E5689" s="23" t="s">
        <v>75</v>
      </c>
      <c r="F5689" s="23" t="s">
        <v>310</v>
      </c>
      <c r="G5689" s="23" t="s">
        <v>250</v>
      </c>
      <c r="H5689" s="39">
        <f t="shared" si="352"/>
        <v>7999</v>
      </c>
      <c r="I5689" s="23" t="str">
        <f t="shared" si="353"/>
        <v>Mumbai</v>
      </c>
      <c r="J5689" s="23">
        <f>COUNTIFS(pg_transaction_cleaned!$O:$O,A5689,pg_transaction_cleaned!$F:$F,"CAPTURE")</f>
        <v>1</v>
      </c>
      <c r="K5689" s="39">
        <f>SUMIFS(pg_transaction_cleaned!$H:$H,pg_transaction_cleaned!$O:$O,A5689,pg_transaction_cleaned!$F:$F,"CAPTURE")</f>
        <v>7999</v>
      </c>
      <c r="L5689" s="23">
        <f>COUNTIFS(pg_transaction_cleaned!$O:$O,A5689,pg_transaction_cleaned!$F:$F,"REFUND")</f>
        <v>0</v>
      </c>
      <c r="M5689" s="39">
        <f>SUMIFS(pg_transaction_cleaned!$H:$H,pg_transaction_cleaned!$O:$O,A5689,pg_transaction_cleaned!$F:$F,"REFUND")</f>
        <v>0</v>
      </c>
      <c r="N5689" s="23" t="str">
        <f t="shared" si="354"/>
        <v>OK</v>
      </c>
      <c r="O5689" s="24">
        <f t="shared" si="355"/>
        <v>0</v>
      </c>
    </row>
    <row r="5690" spans="1:15" ht="15" customHeight="1" x14ac:dyDescent="0.3">
      <c r="A5690" s="23" t="s">
        <v>11796</v>
      </c>
      <c r="B5690" s="38">
        <v>46289</v>
      </c>
      <c r="C5690" s="23" t="s">
        <v>11797</v>
      </c>
      <c r="D5690" s="23" t="s">
        <v>92</v>
      </c>
      <c r="E5690" s="23" t="s">
        <v>75</v>
      </c>
      <c r="F5690" s="23" t="s">
        <v>429</v>
      </c>
      <c r="G5690" s="23" t="s">
        <v>250</v>
      </c>
      <c r="H5690" s="39">
        <f t="shared" si="352"/>
        <v>3348</v>
      </c>
      <c r="I5690" s="23" t="str">
        <f t="shared" si="353"/>
        <v>Hyderabad</v>
      </c>
      <c r="J5690" s="23">
        <f>COUNTIFS(pg_transaction_cleaned!$O:$O,A5690,pg_transaction_cleaned!$F:$F,"CAPTURE")</f>
        <v>1</v>
      </c>
      <c r="K5690" s="39">
        <f>SUMIFS(pg_transaction_cleaned!$H:$H,pg_transaction_cleaned!$O:$O,A5690,pg_transaction_cleaned!$F:$F,"CAPTURE")</f>
        <v>3348</v>
      </c>
      <c r="L5690" s="23">
        <f>COUNTIFS(pg_transaction_cleaned!$O:$O,A5690,pg_transaction_cleaned!$F:$F,"REFUND")</f>
        <v>0</v>
      </c>
      <c r="M5690" s="39">
        <f>SUMIFS(pg_transaction_cleaned!$H:$H,pg_transaction_cleaned!$O:$O,A5690,pg_transaction_cleaned!$F:$F,"REFUND")</f>
        <v>0</v>
      </c>
      <c r="N5690" s="23" t="str">
        <f t="shared" si="354"/>
        <v>OK</v>
      </c>
      <c r="O5690" s="24">
        <f t="shared" si="355"/>
        <v>0</v>
      </c>
    </row>
    <row r="5691" spans="1:15" ht="15" customHeight="1" x14ac:dyDescent="0.3">
      <c r="A5691" s="23" t="s">
        <v>11798</v>
      </c>
      <c r="B5691" s="38">
        <v>46271</v>
      </c>
      <c r="C5691" s="23" t="s">
        <v>11799</v>
      </c>
      <c r="D5691" s="23" t="s">
        <v>94</v>
      </c>
      <c r="E5691" s="23" t="s">
        <v>75</v>
      </c>
      <c r="F5691" s="23" t="s">
        <v>396</v>
      </c>
      <c r="G5691" s="23" t="s">
        <v>365</v>
      </c>
      <c r="H5691" s="39">
        <f t="shared" si="352"/>
        <v>2999</v>
      </c>
      <c r="I5691" s="23" t="str">
        <f t="shared" si="353"/>
        <v>Chennai</v>
      </c>
      <c r="J5691" s="23">
        <f>COUNTIFS(pg_transaction_cleaned!$O:$O,A5691,pg_transaction_cleaned!$F:$F,"CAPTURE")</f>
        <v>0</v>
      </c>
      <c r="K5691" s="39">
        <f>SUMIFS(pg_transaction_cleaned!$H:$H,pg_transaction_cleaned!$O:$O,A5691,pg_transaction_cleaned!$F:$F,"CAPTURE")</f>
        <v>0</v>
      </c>
      <c r="L5691" s="23">
        <f>COUNTIFS(pg_transaction_cleaned!$O:$O,A5691,pg_transaction_cleaned!$F:$F,"REFUND")</f>
        <v>0</v>
      </c>
      <c r="M5691" s="39">
        <f>SUMIFS(pg_transaction_cleaned!$H:$H,pg_transaction_cleaned!$O:$O,A5691,pg_transaction_cleaned!$F:$F,"REFUND")</f>
        <v>0</v>
      </c>
      <c r="N5691" s="23" t="str">
        <f t="shared" si="354"/>
        <v>OK</v>
      </c>
      <c r="O5691" s="24">
        <f t="shared" si="355"/>
        <v>0</v>
      </c>
    </row>
    <row r="5692" spans="1:15" ht="15" customHeight="1" x14ac:dyDescent="0.3">
      <c r="A5692" s="23" t="s">
        <v>11800</v>
      </c>
      <c r="B5692" s="38">
        <v>46289</v>
      </c>
      <c r="C5692" s="23" t="s">
        <v>11801</v>
      </c>
      <c r="D5692" s="23" t="s">
        <v>87</v>
      </c>
      <c r="E5692" s="23" t="s">
        <v>75</v>
      </c>
      <c r="F5692" s="23" t="s">
        <v>297</v>
      </c>
      <c r="G5692" s="23" t="s">
        <v>250</v>
      </c>
      <c r="H5692" s="39">
        <f t="shared" si="352"/>
        <v>4999</v>
      </c>
      <c r="I5692" s="23" t="str">
        <f t="shared" si="353"/>
        <v>Mumbai</v>
      </c>
      <c r="J5692" s="23">
        <f>COUNTIFS(pg_transaction_cleaned!$O:$O,A5692,pg_transaction_cleaned!$F:$F,"CAPTURE")</f>
        <v>1</v>
      </c>
      <c r="K5692" s="39">
        <f>SUMIFS(pg_transaction_cleaned!$H:$H,pg_transaction_cleaned!$O:$O,A5692,pg_transaction_cleaned!$F:$F,"CAPTURE")</f>
        <v>4999</v>
      </c>
      <c r="L5692" s="23">
        <f>COUNTIFS(pg_transaction_cleaned!$O:$O,A5692,pg_transaction_cleaned!$F:$F,"REFUND")</f>
        <v>0</v>
      </c>
      <c r="M5692" s="39">
        <f>SUMIFS(pg_transaction_cleaned!$H:$H,pg_transaction_cleaned!$O:$O,A5692,pg_transaction_cleaned!$F:$F,"REFUND")</f>
        <v>0</v>
      </c>
      <c r="N5692" s="23" t="str">
        <f t="shared" si="354"/>
        <v>OK</v>
      </c>
      <c r="O5692" s="24">
        <f t="shared" si="355"/>
        <v>0</v>
      </c>
    </row>
    <row r="5693" spans="1:15" ht="15" customHeight="1" x14ac:dyDescent="0.3">
      <c r="A5693" s="23" t="s">
        <v>11802</v>
      </c>
      <c r="B5693" s="38">
        <v>46280</v>
      </c>
      <c r="C5693" s="23" t="s">
        <v>11803</v>
      </c>
      <c r="D5693" s="23" t="s">
        <v>89</v>
      </c>
      <c r="E5693" s="23" t="s">
        <v>75</v>
      </c>
      <c r="F5693" s="23" t="s">
        <v>499</v>
      </c>
      <c r="G5693" s="23" t="s">
        <v>250</v>
      </c>
      <c r="H5693" s="39">
        <f t="shared" si="352"/>
        <v>5998</v>
      </c>
      <c r="I5693" s="23" t="str">
        <f t="shared" si="353"/>
        <v>Jaipur</v>
      </c>
      <c r="J5693" s="23">
        <f>COUNTIFS(pg_transaction_cleaned!$O:$O,A5693,pg_transaction_cleaned!$F:$F,"CAPTURE")</f>
        <v>1</v>
      </c>
      <c r="K5693" s="39">
        <f>SUMIFS(pg_transaction_cleaned!$H:$H,pg_transaction_cleaned!$O:$O,A5693,pg_transaction_cleaned!$F:$F,"CAPTURE")</f>
        <v>5998</v>
      </c>
      <c r="L5693" s="23">
        <f>COUNTIFS(pg_transaction_cleaned!$O:$O,A5693,pg_transaction_cleaned!$F:$F,"REFUND")</f>
        <v>0</v>
      </c>
      <c r="M5693" s="39">
        <f>SUMIFS(pg_transaction_cleaned!$H:$H,pg_transaction_cleaned!$O:$O,A5693,pg_transaction_cleaned!$F:$F,"REFUND")</f>
        <v>0</v>
      </c>
      <c r="N5693" s="23" t="str">
        <f t="shared" si="354"/>
        <v>OK</v>
      </c>
      <c r="O5693" s="24">
        <f t="shared" si="355"/>
        <v>0</v>
      </c>
    </row>
    <row r="5694" spans="1:15" ht="15" customHeight="1" x14ac:dyDescent="0.3">
      <c r="A5694" s="23" t="s">
        <v>11804</v>
      </c>
      <c r="B5694" s="38">
        <v>46283</v>
      </c>
      <c r="C5694" s="23" t="s">
        <v>11805</v>
      </c>
      <c r="D5694" s="23" t="s">
        <v>87</v>
      </c>
      <c r="E5694" s="23" t="s">
        <v>79</v>
      </c>
      <c r="F5694" s="23" t="s">
        <v>1193</v>
      </c>
      <c r="G5694" s="23" t="s">
        <v>250</v>
      </c>
      <c r="H5694" s="39">
        <f t="shared" si="352"/>
        <v>3498</v>
      </c>
      <c r="I5694" s="23" t="str">
        <f t="shared" si="353"/>
        <v>Mumbai</v>
      </c>
      <c r="J5694" s="23">
        <f>COUNTIFS(pg_transaction_cleaned!$O:$O,A5694,pg_transaction_cleaned!$F:$F,"CAPTURE")</f>
        <v>1</v>
      </c>
      <c r="K5694" s="39">
        <f>SUMIFS(pg_transaction_cleaned!$H:$H,pg_transaction_cleaned!$O:$O,A5694,pg_transaction_cleaned!$F:$F,"CAPTURE")</f>
        <v>3498</v>
      </c>
      <c r="L5694" s="23">
        <f>COUNTIFS(pg_transaction_cleaned!$O:$O,A5694,pg_transaction_cleaned!$F:$F,"REFUND")</f>
        <v>0</v>
      </c>
      <c r="M5694" s="39">
        <f>SUMIFS(pg_transaction_cleaned!$H:$H,pg_transaction_cleaned!$O:$O,A5694,pg_transaction_cleaned!$F:$F,"REFUND")</f>
        <v>0</v>
      </c>
      <c r="N5694" s="23" t="str">
        <f t="shared" si="354"/>
        <v>OK</v>
      </c>
      <c r="O5694" s="24">
        <f t="shared" si="355"/>
        <v>0</v>
      </c>
    </row>
    <row r="5695" spans="1:15" ht="15" customHeight="1" x14ac:dyDescent="0.3">
      <c r="A5695" s="23" t="s">
        <v>11806</v>
      </c>
      <c r="B5695" s="38">
        <v>46289</v>
      </c>
      <c r="C5695" s="23" t="s">
        <v>8565</v>
      </c>
      <c r="D5695" s="23" t="s">
        <v>92</v>
      </c>
      <c r="E5695" s="23" t="s">
        <v>79</v>
      </c>
      <c r="F5695" s="23" t="s">
        <v>315</v>
      </c>
      <c r="G5695" s="23" t="s">
        <v>250</v>
      </c>
      <c r="H5695" s="39">
        <f t="shared" si="352"/>
        <v>1499</v>
      </c>
      <c r="I5695" s="23" t="str">
        <f t="shared" si="353"/>
        <v>Hyderabad</v>
      </c>
      <c r="J5695" s="23">
        <f>COUNTIFS(pg_transaction_cleaned!$O:$O,A5695,pg_transaction_cleaned!$F:$F,"CAPTURE")</f>
        <v>1</v>
      </c>
      <c r="K5695" s="39">
        <f>SUMIFS(pg_transaction_cleaned!$H:$H,pg_transaction_cleaned!$O:$O,A5695,pg_transaction_cleaned!$F:$F,"CAPTURE")</f>
        <v>1499</v>
      </c>
      <c r="L5695" s="23">
        <f>COUNTIFS(pg_transaction_cleaned!$O:$O,A5695,pg_transaction_cleaned!$F:$F,"REFUND")</f>
        <v>0</v>
      </c>
      <c r="M5695" s="39">
        <f>SUMIFS(pg_transaction_cleaned!$H:$H,pg_transaction_cleaned!$O:$O,A5695,pg_transaction_cleaned!$F:$F,"REFUND")</f>
        <v>0</v>
      </c>
      <c r="N5695" s="23" t="str">
        <f t="shared" si="354"/>
        <v>OK</v>
      </c>
      <c r="O5695" s="24">
        <f t="shared" si="355"/>
        <v>0</v>
      </c>
    </row>
    <row r="5696" spans="1:15" ht="15" customHeight="1" x14ac:dyDescent="0.3">
      <c r="A5696" s="23" t="s">
        <v>11807</v>
      </c>
      <c r="B5696" s="38">
        <v>46266</v>
      </c>
      <c r="C5696" s="23" t="s">
        <v>11808</v>
      </c>
      <c r="D5696" s="23" t="s">
        <v>86</v>
      </c>
      <c r="E5696" s="23" t="s">
        <v>75</v>
      </c>
      <c r="F5696" s="23" t="s">
        <v>880</v>
      </c>
      <c r="G5696" s="23" t="s">
        <v>250</v>
      </c>
      <c r="H5696" s="39">
        <f t="shared" si="352"/>
        <v>2298</v>
      </c>
      <c r="I5696" s="23" t="str">
        <f t="shared" si="353"/>
        <v>Delhi</v>
      </c>
      <c r="J5696" s="23">
        <f>COUNTIFS(pg_transaction_cleaned!$O:$O,A5696,pg_transaction_cleaned!$F:$F,"CAPTURE")</f>
        <v>1</v>
      </c>
      <c r="K5696" s="39">
        <f>SUMIFS(pg_transaction_cleaned!$H:$H,pg_transaction_cleaned!$O:$O,A5696,pg_transaction_cleaned!$F:$F,"CAPTURE")</f>
        <v>2298</v>
      </c>
      <c r="L5696" s="23">
        <f>COUNTIFS(pg_transaction_cleaned!$O:$O,A5696,pg_transaction_cleaned!$F:$F,"REFUND")</f>
        <v>0</v>
      </c>
      <c r="M5696" s="39">
        <f>SUMIFS(pg_transaction_cleaned!$H:$H,pg_transaction_cleaned!$O:$O,A5696,pg_transaction_cleaned!$F:$F,"REFUND")</f>
        <v>0</v>
      </c>
      <c r="N5696" s="23" t="str">
        <f t="shared" si="354"/>
        <v>OK</v>
      </c>
      <c r="O5696" s="24">
        <f t="shared" si="355"/>
        <v>0</v>
      </c>
    </row>
    <row r="5697" spans="1:15" ht="15" customHeight="1" x14ac:dyDescent="0.3">
      <c r="A5697" s="23" t="s">
        <v>11809</v>
      </c>
      <c r="B5697" s="38">
        <v>46275</v>
      </c>
      <c r="C5697" s="23" t="s">
        <v>11810</v>
      </c>
      <c r="D5697" s="23" t="s">
        <v>87</v>
      </c>
      <c r="E5697" s="23" t="s">
        <v>79</v>
      </c>
      <c r="F5697" s="23" t="s">
        <v>724</v>
      </c>
      <c r="G5697" s="23" t="s">
        <v>250</v>
      </c>
      <c r="H5697" s="39">
        <f t="shared" si="352"/>
        <v>3848</v>
      </c>
      <c r="I5697" s="23" t="str">
        <f t="shared" si="353"/>
        <v>Mumbai</v>
      </c>
      <c r="J5697" s="23">
        <f>COUNTIFS(pg_transaction_cleaned!$O:$O,A5697,pg_transaction_cleaned!$F:$F,"CAPTURE")</f>
        <v>1</v>
      </c>
      <c r="K5697" s="39">
        <f>SUMIFS(pg_transaction_cleaned!$H:$H,pg_transaction_cleaned!$O:$O,A5697,pg_transaction_cleaned!$F:$F,"CAPTURE")</f>
        <v>3848</v>
      </c>
      <c r="L5697" s="23">
        <f>COUNTIFS(pg_transaction_cleaned!$O:$O,A5697,pg_transaction_cleaned!$F:$F,"REFUND")</f>
        <v>0</v>
      </c>
      <c r="M5697" s="39">
        <f>SUMIFS(pg_transaction_cleaned!$H:$H,pg_transaction_cleaned!$O:$O,A5697,pg_transaction_cleaned!$F:$F,"REFUND")</f>
        <v>0</v>
      </c>
      <c r="N5697" s="23" t="str">
        <f t="shared" si="354"/>
        <v>OK</v>
      </c>
      <c r="O5697" s="24">
        <f t="shared" si="355"/>
        <v>0</v>
      </c>
    </row>
    <row r="5698" spans="1:15" ht="15" customHeight="1" x14ac:dyDescent="0.3">
      <c r="A5698" s="23" t="s">
        <v>11811</v>
      </c>
      <c r="B5698" s="38">
        <v>46294</v>
      </c>
      <c r="C5698" s="23" t="s">
        <v>11812</v>
      </c>
      <c r="D5698" s="23" t="s">
        <v>89</v>
      </c>
      <c r="E5698" s="23" t="s">
        <v>75</v>
      </c>
      <c r="F5698" s="23" t="s">
        <v>393</v>
      </c>
      <c r="G5698" s="23" t="s">
        <v>318</v>
      </c>
      <c r="H5698" s="39">
        <f t="shared" ref="H5698:H5761" si="356">VALUE(SUBSTITUTE(F5698,",",""))</f>
        <v>349</v>
      </c>
      <c r="I5698" s="23" t="str">
        <f t="shared" ref="I5698:I5761" si="357">IF(TRIM(D5698)="","Unknown",TRIM(D5698))</f>
        <v>Jaipur</v>
      </c>
      <c r="J5698" s="23">
        <f>COUNTIFS(pg_transaction_cleaned!$O:$O,A5698,pg_transaction_cleaned!$F:$F,"CAPTURE")</f>
        <v>0</v>
      </c>
      <c r="K5698" s="39">
        <f>SUMIFS(pg_transaction_cleaned!$H:$H,pg_transaction_cleaned!$O:$O,A5698,pg_transaction_cleaned!$F:$F,"CAPTURE")</f>
        <v>0</v>
      </c>
      <c r="L5698" s="23">
        <f>COUNTIFS(pg_transaction_cleaned!$O:$O,A5698,pg_transaction_cleaned!$F:$F,"REFUND")</f>
        <v>0</v>
      </c>
      <c r="M5698" s="39">
        <f>SUMIFS(pg_transaction_cleaned!$H:$H,pg_transaction_cleaned!$O:$O,A5698,pg_transaction_cleaned!$F:$F,"REFUND")</f>
        <v>0</v>
      </c>
      <c r="N5698" s="23" t="str">
        <f t="shared" ref="N5698:N5761" si="358">IF(AND(G5698="Paid",J5698=0),"Paid, no payment",IF(AND(OR(G5698="Failed",G5698="Cancelled"),J5698&gt;0),"Payment on failed/cancelled",IF(J5698&gt;1,"Duplicate charge",IF(AND(J5698=1,ROUND(K5698-H5698,2)&lt;&gt;0),"Amount difference",IF(AND(G5698="Refunded",L5698=0),"Refunded, no refund",IF(AND(G5698&lt;&gt;"Refunded",L5698&gt;0),"Refund, order not Refunded",IF(AND(L5698&gt;0,ROUND(M5698-H5698,2)&lt;&gt;0),"Refund amount differs","OK")))))))</f>
        <v>OK</v>
      </c>
      <c r="O5698" s="24">
        <f t="shared" ref="O5698:O5761" si="359">IF(N5698="OK",0,IF(N5698="Paid, no payment",H5698,IF(N5698="Payment on failed/cancelled",K5698,IF(OR(N5698="Duplicate charge",N5698="Amount difference"),K5698-H5698,IF(N5698="Refunded, no refund",H5698,M5698)))))</f>
        <v>0</v>
      </c>
    </row>
    <row r="5699" spans="1:15" ht="15" customHeight="1" x14ac:dyDescent="0.3">
      <c r="A5699" s="23" t="s">
        <v>11813</v>
      </c>
      <c r="B5699" s="38">
        <v>46279</v>
      </c>
      <c r="C5699" s="23" t="s">
        <v>11814</v>
      </c>
      <c r="D5699" s="23" t="s">
        <v>86</v>
      </c>
      <c r="E5699" s="23" t="s">
        <v>75</v>
      </c>
      <c r="F5699" s="23" t="s">
        <v>574</v>
      </c>
      <c r="G5699" s="23" t="s">
        <v>250</v>
      </c>
      <c r="H5699" s="39">
        <f t="shared" si="356"/>
        <v>1848</v>
      </c>
      <c r="I5699" s="23" t="str">
        <f t="shared" si="357"/>
        <v>Delhi</v>
      </c>
      <c r="J5699" s="23">
        <f>COUNTIFS(pg_transaction_cleaned!$O:$O,A5699,pg_transaction_cleaned!$F:$F,"CAPTURE")</f>
        <v>1</v>
      </c>
      <c r="K5699" s="39">
        <f>SUMIFS(pg_transaction_cleaned!$H:$H,pg_transaction_cleaned!$O:$O,A5699,pg_transaction_cleaned!$F:$F,"CAPTURE")</f>
        <v>1848</v>
      </c>
      <c r="L5699" s="23">
        <f>COUNTIFS(pg_transaction_cleaned!$O:$O,A5699,pg_transaction_cleaned!$F:$F,"REFUND")</f>
        <v>0</v>
      </c>
      <c r="M5699" s="39">
        <f>SUMIFS(pg_transaction_cleaned!$H:$H,pg_transaction_cleaned!$O:$O,A5699,pg_transaction_cleaned!$F:$F,"REFUND")</f>
        <v>0</v>
      </c>
      <c r="N5699" s="23" t="str">
        <f t="shared" si="358"/>
        <v>OK</v>
      </c>
      <c r="O5699" s="24">
        <f t="shared" si="359"/>
        <v>0</v>
      </c>
    </row>
    <row r="5700" spans="1:15" ht="15" customHeight="1" x14ac:dyDescent="0.3">
      <c r="A5700" s="23" t="s">
        <v>11815</v>
      </c>
      <c r="B5700" s="38">
        <v>46279</v>
      </c>
      <c r="C5700" s="23" t="s">
        <v>11816</v>
      </c>
      <c r="D5700" s="23" t="s">
        <v>87</v>
      </c>
      <c r="E5700" s="23" t="s">
        <v>81</v>
      </c>
      <c r="F5700" s="23" t="s">
        <v>297</v>
      </c>
      <c r="G5700" s="23" t="s">
        <v>250</v>
      </c>
      <c r="H5700" s="39">
        <f t="shared" si="356"/>
        <v>4999</v>
      </c>
      <c r="I5700" s="23" t="str">
        <f t="shared" si="357"/>
        <v>Mumbai</v>
      </c>
      <c r="J5700" s="23">
        <f>COUNTIFS(pg_transaction_cleaned!$O:$O,A5700,pg_transaction_cleaned!$F:$F,"CAPTURE")</f>
        <v>1</v>
      </c>
      <c r="K5700" s="39">
        <f>SUMIFS(pg_transaction_cleaned!$H:$H,pg_transaction_cleaned!$O:$O,A5700,pg_transaction_cleaned!$F:$F,"CAPTURE")</f>
        <v>4999</v>
      </c>
      <c r="L5700" s="23">
        <f>COUNTIFS(pg_transaction_cleaned!$O:$O,A5700,pg_transaction_cleaned!$F:$F,"REFUND")</f>
        <v>0</v>
      </c>
      <c r="M5700" s="39">
        <f>SUMIFS(pg_transaction_cleaned!$H:$H,pg_transaction_cleaned!$O:$O,A5700,pg_transaction_cleaned!$F:$F,"REFUND")</f>
        <v>0</v>
      </c>
      <c r="N5700" s="23" t="str">
        <f t="shared" si="358"/>
        <v>OK</v>
      </c>
      <c r="O5700" s="24">
        <f t="shared" si="359"/>
        <v>0</v>
      </c>
    </row>
    <row r="5701" spans="1:15" ht="15" customHeight="1" x14ac:dyDescent="0.3">
      <c r="A5701" s="23" t="s">
        <v>11817</v>
      </c>
      <c r="B5701" s="38">
        <v>46288</v>
      </c>
      <c r="C5701" s="23" t="s">
        <v>11818</v>
      </c>
      <c r="D5701" s="23" t="s">
        <v>87</v>
      </c>
      <c r="E5701" s="23" t="s">
        <v>75</v>
      </c>
      <c r="F5701" s="23" t="s">
        <v>271</v>
      </c>
      <c r="G5701" s="23" t="s">
        <v>250</v>
      </c>
      <c r="H5701" s="39">
        <f t="shared" si="356"/>
        <v>2499</v>
      </c>
      <c r="I5701" s="23" t="str">
        <f t="shared" si="357"/>
        <v>Mumbai</v>
      </c>
      <c r="J5701" s="23">
        <f>COUNTIFS(pg_transaction_cleaned!$O:$O,A5701,pg_transaction_cleaned!$F:$F,"CAPTURE")</f>
        <v>1</v>
      </c>
      <c r="K5701" s="39">
        <f>SUMIFS(pg_transaction_cleaned!$H:$H,pg_transaction_cleaned!$O:$O,A5701,pg_transaction_cleaned!$F:$F,"CAPTURE")</f>
        <v>2499</v>
      </c>
      <c r="L5701" s="23">
        <f>COUNTIFS(pg_transaction_cleaned!$O:$O,A5701,pg_transaction_cleaned!$F:$F,"REFUND")</f>
        <v>0</v>
      </c>
      <c r="M5701" s="39">
        <f>SUMIFS(pg_transaction_cleaned!$H:$H,pg_transaction_cleaned!$O:$O,A5701,pg_transaction_cleaned!$F:$F,"REFUND")</f>
        <v>0</v>
      </c>
      <c r="N5701" s="23" t="str">
        <f t="shared" si="358"/>
        <v>OK</v>
      </c>
      <c r="O5701" s="24">
        <f t="shared" si="359"/>
        <v>0</v>
      </c>
    </row>
    <row r="5702" spans="1:15" ht="15" customHeight="1" x14ac:dyDescent="0.3">
      <c r="A5702" s="23" t="s">
        <v>11819</v>
      </c>
      <c r="B5702" s="38">
        <v>46269</v>
      </c>
      <c r="C5702" s="23" t="s">
        <v>11820</v>
      </c>
      <c r="D5702" s="23" t="s">
        <v>94</v>
      </c>
      <c r="E5702" s="23" t="s">
        <v>75</v>
      </c>
      <c r="F5702" s="23" t="s">
        <v>483</v>
      </c>
      <c r="G5702" s="23" t="s">
        <v>250</v>
      </c>
      <c r="H5702" s="39">
        <f t="shared" si="356"/>
        <v>2998</v>
      </c>
      <c r="I5702" s="23" t="str">
        <f t="shared" si="357"/>
        <v>Chennai</v>
      </c>
      <c r="J5702" s="23">
        <f>COUNTIFS(pg_transaction_cleaned!$O:$O,A5702,pg_transaction_cleaned!$F:$F,"CAPTURE")</f>
        <v>1</v>
      </c>
      <c r="K5702" s="39">
        <f>SUMIFS(pg_transaction_cleaned!$H:$H,pg_transaction_cleaned!$O:$O,A5702,pg_transaction_cleaned!$F:$F,"CAPTURE")</f>
        <v>2998</v>
      </c>
      <c r="L5702" s="23">
        <f>COUNTIFS(pg_transaction_cleaned!$O:$O,A5702,pg_transaction_cleaned!$F:$F,"REFUND")</f>
        <v>0</v>
      </c>
      <c r="M5702" s="39">
        <f>SUMIFS(pg_transaction_cleaned!$H:$H,pg_transaction_cleaned!$O:$O,A5702,pg_transaction_cleaned!$F:$F,"REFUND")</f>
        <v>0</v>
      </c>
      <c r="N5702" s="23" t="str">
        <f t="shared" si="358"/>
        <v>OK</v>
      </c>
      <c r="O5702" s="24">
        <f t="shared" si="359"/>
        <v>0</v>
      </c>
    </row>
    <row r="5703" spans="1:15" ht="15" customHeight="1" x14ac:dyDescent="0.3">
      <c r="A5703" s="23" t="s">
        <v>11821</v>
      </c>
      <c r="B5703" s="38">
        <v>46280</v>
      </c>
      <c r="C5703" s="23" t="s">
        <v>11822</v>
      </c>
      <c r="D5703" s="23" t="s">
        <v>90</v>
      </c>
      <c r="E5703" s="23" t="s">
        <v>75</v>
      </c>
      <c r="F5703" s="23" t="s">
        <v>291</v>
      </c>
      <c r="G5703" s="23" t="s">
        <v>250</v>
      </c>
      <c r="H5703" s="39">
        <f t="shared" si="356"/>
        <v>3499</v>
      </c>
      <c r="I5703" s="23" t="str">
        <f t="shared" si="357"/>
        <v>Ahmedabad</v>
      </c>
      <c r="J5703" s="23">
        <f>COUNTIFS(pg_transaction_cleaned!$O:$O,A5703,pg_transaction_cleaned!$F:$F,"CAPTURE")</f>
        <v>1</v>
      </c>
      <c r="K5703" s="39">
        <f>SUMIFS(pg_transaction_cleaned!$H:$H,pg_transaction_cleaned!$O:$O,A5703,pg_transaction_cleaned!$F:$F,"CAPTURE")</f>
        <v>3499</v>
      </c>
      <c r="L5703" s="23">
        <f>COUNTIFS(pg_transaction_cleaned!$O:$O,A5703,pg_transaction_cleaned!$F:$F,"REFUND")</f>
        <v>0</v>
      </c>
      <c r="M5703" s="39">
        <f>SUMIFS(pg_transaction_cleaned!$H:$H,pg_transaction_cleaned!$O:$O,A5703,pg_transaction_cleaned!$F:$F,"REFUND")</f>
        <v>0</v>
      </c>
      <c r="N5703" s="23" t="str">
        <f t="shared" si="358"/>
        <v>OK</v>
      </c>
      <c r="O5703" s="24">
        <f t="shared" si="359"/>
        <v>0</v>
      </c>
    </row>
    <row r="5704" spans="1:15" ht="15" customHeight="1" x14ac:dyDescent="0.3">
      <c r="A5704" s="23" t="s">
        <v>11823</v>
      </c>
      <c r="B5704" s="38">
        <v>46273</v>
      </c>
      <c r="C5704" s="23" t="s">
        <v>11824</v>
      </c>
      <c r="D5704" s="23" t="s">
        <v>88</v>
      </c>
      <c r="E5704" s="23" t="s">
        <v>79</v>
      </c>
      <c r="F5704" s="23" t="s">
        <v>475</v>
      </c>
      <c r="G5704" s="23" t="s">
        <v>250</v>
      </c>
      <c r="H5704" s="39">
        <f t="shared" si="356"/>
        <v>799</v>
      </c>
      <c r="I5704" s="23" t="str">
        <f t="shared" si="357"/>
        <v>Lucknow</v>
      </c>
      <c r="J5704" s="23">
        <f>COUNTIFS(pg_transaction_cleaned!$O:$O,A5704,pg_transaction_cleaned!$F:$F,"CAPTURE")</f>
        <v>1</v>
      </c>
      <c r="K5704" s="39">
        <f>SUMIFS(pg_transaction_cleaned!$H:$H,pg_transaction_cleaned!$O:$O,A5704,pg_transaction_cleaned!$F:$F,"CAPTURE")</f>
        <v>799</v>
      </c>
      <c r="L5704" s="23">
        <f>COUNTIFS(pg_transaction_cleaned!$O:$O,A5704,pg_transaction_cleaned!$F:$F,"REFUND")</f>
        <v>0</v>
      </c>
      <c r="M5704" s="39">
        <f>SUMIFS(pg_transaction_cleaned!$H:$H,pg_transaction_cleaned!$O:$O,A5704,pg_transaction_cleaned!$F:$F,"REFUND")</f>
        <v>0</v>
      </c>
      <c r="N5704" s="23" t="str">
        <f t="shared" si="358"/>
        <v>OK</v>
      </c>
      <c r="O5704" s="24">
        <f t="shared" si="359"/>
        <v>0</v>
      </c>
    </row>
    <row r="5705" spans="1:15" ht="15" customHeight="1" x14ac:dyDescent="0.3">
      <c r="A5705" s="23" t="s">
        <v>11825</v>
      </c>
      <c r="B5705" s="38">
        <v>46285</v>
      </c>
      <c r="C5705" s="23" t="s">
        <v>11826</v>
      </c>
      <c r="D5705" s="23" t="s">
        <v>95</v>
      </c>
      <c r="E5705" s="23" t="s">
        <v>81</v>
      </c>
      <c r="F5705" s="23" t="s">
        <v>307</v>
      </c>
      <c r="G5705" s="23" t="s">
        <v>250</v>
      </c>
      <c r="H5705" s="39">
        <f t="shared" si="356"/>
        <v>3798</v>
      </c>
      <c r="I5705" s="23" t="str">
        <f t="shared" si="357"/>
        <v>Bengaluru</v>
      </c>
      <c r="J5705" s="23">
        <f>COUNTIFS(pg_transaction_cleaned!$O:$O,A5705,pg_transaction_cleaned!$F:$F,"CAPTURE")</f>
        <v>1</v>
      </c>
      <c r="K5705" s="39">
        <f>SUMIFS(pg_transaction_cleaned!$H:$H,pg_transaction_cleaned!$O:$O,A5705,pg_transaction_cleaned!$F:$F,"CAPTURE")</f>
        <v>3798</v>
      </c>
      <c r="L5705" s="23">
        <f>COUNTIFS(pg_transaction_cleaned!$O:$O,A5705,pg_transaction_cleaned!$F:$F,"REFUND")</f>
        <v>0</v>
      </c>
      <c r="M5705" s="39">
        <f>SUMIFS(pg_transaction_cleaned!$H:$H,pg_transaction_cleaned!$O:$O,A5705,pg_transaction_cleaned!$F:$F,"REFUND")</f>
        <v>0</v>
      </c>
      <c r="N5705" s="23" t="str">
        <f t="shared" si="358"/>
        <v>OK</v>
      </c>
      <c r="O5705" s="24">
        <f t="shared" si="359"/>
        <v>0</v>
      </c>
    </row>
    <row r="5706" spans="1:15" ht="15" customHeight="1" x14ac:dyDescent="0.3">
      <c r="A5706" s="23" t="s">
        <v>11827</v>
      </c>
      <c r="B5706" s="38">
        <v>46286</v>
      </c>
      <c r="C5706" s="23" t="s">
        <v>11828</v>
      </c>
      <c r="D5706" s="23"/>
      <c r="E5706" s="23" t="s">
        <v>75</v>
      </c>
      <c r="F5706" s="23" t="s">
        <v>475</v>
      </c>
      <c r="G5706" s="23" t="s">
        <v>250</v>
      </c>
      <c r="H5706" s="39">
        <f t="shared" si="356"/>
        <v>799</v>
      </c>
      <c r="I5706" s="23" t="str">
        <f t="shared" si="357"/>
        <v>Unknown</v>
      </c>
      <c r="J5706" s="23">
        <f>COUNTIFS(pg_transaction_cleaned!$O:$O,A5706,pg_transaction_cleaned!$F:$F,"CAPTURE")</f>
        <v>1</v>
      </c>
      <c r="K5706" s="39">
        <f>SUMIFS(pg_transaction_cleaned!$H:$H,pg_transaction_cleaned!$O:$O,A5706,pg_transaction_cleaned!$F:$F,"CAPTURE")</f>
        <v>799</v>
      </c>
      <c r="L5706" s="23">
        <f>COUNTIFS(pg_transaction_cleaned!$O:$O,A5706,pg_transaction_cleaned!$F:$F,"REFUND")</f>
        <v>0</v>
      </c>
      <c r="M5706" s="39">
        <f>SUMIFS(pg_transaction_cleaned!$H:$H,pg_transaction_cleaned!$O:$O,A5706,pg_transaction_cleaned!$F:$F,"REFUND")</f>
        <v>0</v>
      </c>
      <c r="N5706" s="23" t="str">
        <f t="shared" si="358"/>
        <v>OK</v>
      </c>
      <c r="O5706" s="24">
        <f t="shared" si="359"/>
        <v>0</v>
      </c>
    </row>
    <row r="5707" spans="1:15" ht="15" customHeight="1" x14ac:dyDescent="0.3">
      <c r="A5707" s="23" t="s">
        <v>11829</v>
      </c>
      <c r="B5707" s="38">
        <v>46280</v>
      </c>
      <c r="C5707" s="23" t="s">
        <v>11830</v>
      </c>
      <c r="D5707" s="23" t="s">
        <v>92</v>
      </c>
      <c r="E5707" s="23" t="s">
        <v>79</v>
      </c>
      <c r="F5707" s="23" t="s">
        <v>499</v>
      </c>
      <c r="G5707" s="23" t="s">
        <v>250</v>
      </c>
      <c r="H5707" s="39">
        <f t="shared" si="356"/>
        <v>5998</v>
      </c>
      <c r="I5707" s="23" t="str">
        <f t="shared" si="357"/>
        <v>Hyderabad</v>
      </c>
      <c r="J5707" s="23">
        <f>COUNTIFS(pg_transaction_cleaned!$O:$O,A5707,pg_transaction_cleaned!$F:$F,"CAPTURE")</f>
        <v>1</v>
      </c>
      <c r="K5707" s="39">
        <f>SUMIFS(pg_transaction_cleaned!$H:$H,pg_transaction_cleaned!$O:$O,A5707,pg_transaction_cleaned!$F:$F,"CAPTURE")</f>
        <v>5998</v>
      </c>
      <c r="L5707" s="23">
        <f>COUNTIFS(pg_transaction_cleaned!$O:$O,A5707,pg_transaction_cleaned!$F:$F,"REFUND")</f>
        <v>0</v>
      </c>
      <c r="M5707" s="39">
        <f>SUMIFS(pg_transaction_cleaned!$H:$H,pg_transaction_cleaned!$O:$O,A5707,pg_transaction_cleaned!$F:$F,"REFUND")</f>
        <v>0</v>
      </c>
      <c r="N5707" s="23" t="str">
        <f t="shared" si="358"/>
        <v>OK</v>
      </c>
      <c r="O5707" s="24">
        <f t="shared" si="359"/>
        <v>0</v>
      </c>
    </row>
    <row r="5708" spans="1:15" ht="15" customHeight="1" x14ac:dyDescent="0.3">
      <c r="A5708" s="23" t="s">
        <v>11831</v>
      </c>
      <c r="B5708" s="38">
        <v>46278</v>
      </c>
      <c r="C5708" s="23" t="s">
        <v>11832</v>
      </c>
      <c r="D5708" s="23" t="s">
        <v>91</v>
      </c>
      <c r="E5708" s="23" t="s">
        <v>75</v>
      </c>
      <c r="F5708" s="23" t="s">
        <v>582</v>
      </c>
      <c r="G5708" s="23" t="s">
        <v>250</v>
      </c>
      <c r="H5708" s="39">
        <f t="shared" si="356"/>
        <v>1298</v>
      </c>
      <c r="I5708" s="23" t="str">
        <f t="shared" si="357"/>
        <v>Pune</v>
      </c>
      <c r="J5708" s="23">
        <f>COUNTIFS(pg_transaction_cleaned!$O:$O,A5708,pg_transaction_cleaned!$F:$F,"CAPTURE")</f>
        <v>1</v>
      </c>
      <c r="K5708" s="39">
        <f>SUMIFS(pg_transaction_cleaned!$H:$H,pg_transaction_cleaned!$O:$O,A5708,pg_transaction_cleaned!$F:$F,"CAPTURE")</f>
        <v>1298</v>
      </c>
      <c r="L5708" s="23">
        <f>COUNTIFS(pg_transaction_cleaned!$O:$O,A5708,pg_transaction_cleaned!$F:$F,"REFUND")</f>
        <v>0</v>
      </c>
      <c r="M5708" s="39">
        <f>SUMIFS(pg_transaction_cleaned!$H:$H,pg_transaction_cleaned!$O:$O,A5708,pg_transaction_cleaned!$F:$F,"REFUND")</f>
        <v>0</v>
      </c>
      <c r="N5708" s="23" t="str">
        <f t="shared" si="358"/>
        <v>OK</v>
      </c>
      <c r="O5708" s="24">
        <f t="shared" si="359"/>
        <v>0</v>
      </c>
    </row>
    <row r="5709" spans="1:15" ht="15" customHeight="1" x14ac:dyDescent="0.3">
      <c r="A5709" s="23" t="s">
        <v>11833</v>
      </c>
      <c r="B5709" s="38">
        <v>46269</v>
      </c>
      <c r="C5709" s="23" t="s">
        <v>11834</v>
      </c>
      <c r="D5709" s="23" t="s">
        <v>95</v>
      </c>
      <c r="E5709" s="23" t="s">
        <v>79</v>
      </c>
      <c r="F5709" s="23" t="s">
        <v>11835</v>
      </c>
      <c r="G5709" s="23" t="s">
        <v>250</v>
      </c>
      <c r="H5709" s="39">
        <f t="shared" si="356"/>
        <v>1247</v>
      </c>
      <c r="I5709" s="23" t="str">
        <f t="shared" si="357"/>
        <v>Bengaluru</v>
      </c>
      <c r="J5709" s="23">
        <f>COUNTIFS(pg_transaction_cleaned!$O:$O,A5709,pg_transaction_cleaned!$F:$F,"CAPTURE")</f>
        <v>1</v>
      </c>
      <c r="K5709" s="39">
        <f>SUMIFS(pg_transaction_cleaned!$H:$H,pg_transaction_cleaned!$O:$O,A5709,pg_transaction_cleaned!$F:$F,"CAPTURE")</f>
        <v>1247</v>
      </c>
      <c r="L5709" s="23">
        <f>COUNTIFS(pg_transaction_cleaned!$O:$O,A5709,pg_transaction_cleaned!$F:$F,"REFUND")</f>
        <v>0</v>
      </c>
      <c r="M5709" s="39">
        <f>SUMIFS(pg_transaction_cleaned!$H:$H,pg_transaction_cleaned!$O:$O,A5709,pg_transaction_cleaned!$F:$F,"REFUND")</f>
        <v>0</v>
      </c>
      <c r="N5709" s="23" t="str">
        <f t="shared" si="358"/>
        <v>OK</v>
      </c>
      <c r="O5709" s="24">
        <f t="shared" si="359"/>
        <v>0</v>
      </c>
    </row>
    <row r="5710" spans="1:15" ht="15" customHeight="1" x14ac:dyDescent="0.3">
      <c r="A5710" s="23" t="s">
        <v>11836</v>
      </c>
      <c r="B5710" s="38">
        <v>46270</v>
      </c>
      <c r="C5710" s="23" t="s">
        <v>9702</v>
      </c>
      <c r="D5710" s="23" t="s">
        <v>94</v>
      </c>
      <c r="E5710" s="23" t="s">
        <v>77</v>
      </c>
      <c r="F5710" s="23" t="s">
        <v>274</v>
      </c>
      <c r="G5710" s="23" t="s">
        <v>250</v>
      </c>
      <c r="H5710" s="39">
        <f t="shared" si="356"/>
        <v>349</v>
      </c>
      <c r="I5710" s="23" t="str">
        <f t="shared" si="357"/>
        <v>Chennai</v>
      </c>
      <c r="J5710" s="23">
        <f>COUNTIFS(pg_transaction_cleaned!$O:$O,A5710,pg_transaction_cleaned!$F:$F,"CAPTURE")</f>
        <v>1</v>
      </c>
      <c r="K5710" s="39">
        <f>SUMIFS(pg_transaction_cleaned!$H:$H,pg_transaction_cleaned!$O:$O,A5710,pg_transaction_cleaned!$F:$F,"CAPTURE")</f>
        <v>349</v>
      </c>
      <c r="L5710" s="23">
        <f>COUNTIFS(pg_transaction_cleaned!$O:$O,A5710,pg_transaction_cleaned!$F:$F,"REFUND")</f>
        <v>0</v>
      </c>
      <c r="M5710" s="39">
        <f>SUMIFS(pg_transaction_cleaned!$H:$H,pg_transaction_cleaned!$O:$O,A5710,pg_transaction_cleaned!$F:$F,"REFUND")</f>
        <v>0</v>
      </c>
      <c r="N5710" s="23" t="str">
        <f t="shared" si="358"/>
        <v>OK</v>
      </c>
      <c r="O5710" s="24">
        <f t="shared" si="359"/>
        <v>0</v>
      </c>
    </row>
    <row r="5711" spans="1:15" ht="15" customHeight="1" x14ac:dyDescent="0.3">
      <c r="A5711" s="23" t="s">
        <v>11837</v>
      </c>
      <c r="B5711" s="38">
        <v>46269</v>
      </c>
      <c r="C5711" s="23" t="s">
        <v>11838</v>
      </c>
      <c r="D5711" s="23" t="s">
        <v>90</v>
      </c>
      <c r="E5711" s="23" t="s">
        <v>75</v>
      </c>
      <c r="F5711" s="23" t="s">
        <v>1463</v>
      </c>
      <c r="G5711" s="23" t="s">
        <v>250</v>
      </c>
      <c r="H5711" s="39">
        <f t="shared" si="356"/>
        <v>5348</v>
      </c>
      <c r="I5711" s="23" t="str">
        <f t="shared" si="357"/>
        <v>Ahmedabad</v>
      </c>
      <c r="J5711" s="23">
        <f>COUNTIFS(pg_transaction_cleaned!$O:$O,A5711,pg_transaction_cleaned!$F:$F,"CAPTURE")</f>
        <v>1</v>
      </c>
      <c r="K5711" s="39">
        <f>SUMIFS(pg_transaction_cleaned!$H:$H,pg_transaction_cleaned!$O:$O,A5711,pg_transaction_cleaned!$F:$F,"CAPTURE")</f>
        <v>5348</v>
      </c>
      <c r="L5711" s="23">
        <f>COUNTIFS(pg_transaction_cleaned!$O:$O,A5711,pg_transaction_cleaned!$F:$F,"REFUND")</f>
        <v>0</v>
      </c>
      <c r="M5711" s="39">
        <f>SUMIFS(pg_transaction_cleaned!$H:$H,pg_transaction_cleaned!$O:$O,A5711,pg_transaction_cleaned!$F:$F,"REFUND")</f>
        <v>0</v>
      </c>
      <c r="N5711" s="23" t="str">
        <f t="shared" si="358"/>
        <v>OK</v>
      </c>
      <c r="O5711" s="24">
        <f t="shared" si="359"/>
        <v>0</v>
      </c>
    </row>
    <row r="5712" spans="1:15" ht="15" customHeight="1" x14ac:dyDescent="0.3">
      <c r="A5712" s="23" t="s">
        <v>11839</v>
      </c>
      <c r="B5712" s="38">
        <v>46267</v>
      </c>
      <c r="C5712" s="23" t="s">
        <v>11840</v>
      </c>
      <c r="D5712" s="23" t="s">
        <v>92</v>
      </c>
      <c r="E5712" s="23" t="s">
        <v>77</v>
      </c>
      <c r="F5712" s="23" t="s">
        <v>329</v>
      </c>
      <c r="G5712" s="23" t="s">
        <v>250</v>
      </c>
      <c r="H5712" s="39">
        <f t="shared" si="356"/>
        <v>599</v>
      </c>
      <c r="I5712" s="23" t="str">
        <f t="shared" si="357"/>
        <v>Hyderabad</v>
      </c>
      <c r="J5712" s="23">
        <f>COUNTIFS(pg_transaction_cleaned!$O:$O,A5712,pg_transaction_cleaned!$F:$F,"CAPTURE")</f>
        <v>1</v>
      </c>
      <c r="K5712" s="39">
        <f>SUMIFS(pg_transaction_cleaned!$H:$H,pg_transaction_cleaned!$O:$O,A5712,pg_transaction_cleaned!$F:$F,"CAPTURE")</f>
        <v>599</v>
      </c>
      <c r="L5712" s="23">
        <f>COUNTIFS(pg_transaction_cleaned!$O:$O,A5712,pg_transaction_cleaned!$F:$F,"REFUND")</f>
        <v>0</v>
      </c>
      <c r="M5712" s="39">
        <f>SUMIFS(pg_transaction_cleaned!$H:$H,pg_transaction_cleaned!$O:$O,A5712,pg_transaction_cleaned!$F:$F,"REFUND")</f>
        <v>0</v>
      </c>
      <c r="N5712" s="23" t="str">
        <f t="shared" si="358"/>
        <v>OK</v>
      </c>
      <c r="O5712" s="24">
        <f t="shared" si="359"/>
        <v>0</v>
      </c>
    </row>
    <row r="5713" spans="1:15" ht="15" customHeight="1" x14ac:dyDescent="0.3">
      <c r="A5713" s="23" t="s">
        <v>11841</v>
      </c>
      <c r="B5713" s="38">
        <v>46272</v>
      </c>
      <c r="C5713" s="23" t="s">
        <v>11842</v>
      </c>
      <c r="D5713" s="23" t="s">
        <v>92</v>
      </c>
      <c r="E5713" s="23" t="s">
        <v>81</v>
      </c>
      <c r="F5713" s="23" t="s">
        <v>277</v>
      </c>
      <c r="G5713" s="23" t="s">
        <v>365</v>
      </c>
      <c r="H5713" s="39">
        <f t="shared" si="356"/>
        <v>9497</v>
      </c>
      <c r="I5713" s="23" t="str">
        <f t="shared" si="357"/>
        <v>Hyderabad</v>
      </c>
      <c r="J5713" s="23">
        <f>COUNTIFS(pg_transaction_cleaned!$O:$O,A5713,pg_transaction_cleaned!$F:$F,"CAPTURE")</f>
        <v>0</v>
      </c>
      <c r="K5713" s="39">
        <f>SUMIFS(pg_transaction_cleaned!$H:$H,pg_transaction_cleaned!$O:$O,A5713,pg_transaction_cleaned!$F:$F,"CAPTURE")</f>
        <v>0</v>
      </c>
      <c r="L5713" s="23">
        <f>COUNTIFS(pg_transaction_cleaned!$O:$O,A5713,pg_transaction_cleaned!$F:$F,"REFUND")</f>
        <v>0</v>
      </c>
      <c r="M5713" s="39">
        <f>SUMIFS(pg_transaction_cleaned!$H:$H,pg_transaction_cleaned!$O:$O,A5713,pg_transaction_cleaned!$F:$F,"REFUND")</f>
        <v>0</v>
      </c>
      <c r="N5713" s="23" t="str">
        <f t="shared" si="358"/>
        <v>OK</v>
      </c>
      <c r="O5713" s="24">
        <f t="shared" si="359"/>
        <v>0</v>
      </c>
    </row>
    <row r="5714" spans="1:15" ht="15" customHeight="1" x14ac:dyDescent="0.3">
      <c r="A5714" s="23" t="s">
        <v>11843</v>
      </c>
      <c r="B5714" s="38">
        <v>46266</v>
      </c>
      <c r="C5714" s="23" t="s">
        <v>4118</v>
      </c>
      <c r="D5714" s="23" t="s">
        <v>86</v>
      </c>
      <c r="E5714" s="23" t="s">
        <v>75</v>
      </c>
      <c r="F5714" s="23" t="s">
        <v>1391</v>
      </c>
      <c r="G5714" s="23" t="s">
        <v>250</v>
      </c>
      <c r="H5714" s="39">
        <f t="shared" si="356"/>
        <v>2897</v>
      </c>
      <c r="I5714" s="23" t="str">
        <f t="shared" si="357"/>
        <v>Delhi</v>
      </c>
      <c r="J5714" s="23">
        <f>COUNTIFS(pg_transaction_cleaned!$O:$O,A5714,pg_transaction_cleaned!$F:$F,"CAPTURE")</f>
        <v>1</v>
      </c>
      <c r="K5714" s="39">
        <f>SUMIFS(pg_transaction_cleaned!$H:$H,pg_transaction_cleaned!$O:$O,A5714,pg_transaction_cleaned!$F:$F,"CAPTURE")</f>
        <v>2897</v>
      </c>
      <c r="L5714" s="23">
        <f>COUNTIFS(pg_transaction_cleaned!$O:$O,A5714,pg_transaction_cleaned!$F:$F,"REFUND")</f>
        <v>0</v>
      </c>
      <c r="M5714" s="39">
        <f>SUMIFS(pg_transaction_cleaned!$H:$H,pg_transaction_cleaned!$O:$O,A5714,pg_transaction_cleaned!$F:$F,"REFUND")</f>
        <v>0</v>
      </c>
      <c r="N5714" s="23" t="str">
        <f t="shared" si="358"/>
        <v>OK</v>
      </c>
      <c r="O5714" s="24">
        <f t="shared" si="359"/>
        <v>0</v>
      </c>
    </row>
    <row r="5715" spans="1:15" ht="15" customHeight="1" x14ac:dyDescent="0.3">
      <c r="A5715" s="23" t="s">
        <v>11844</v>
      </c>
      <c r="B5715" s="38">
        <v>46272</v>
      </c>
      <c r="C5715" s="23" t="s">
        <v>11845</v>
      </c>
      <c r="D5715" s="23" t="s">
        <v>91</v>
      </c>
      <c r="E5715" s="23" t="s">
        <v>75</v>
      </c>
      <c r="F5715" s="23" t="s">
        <v>274</v>
      </c>
      <c r="G5715" s="23" t="s">
        <v>250</v>
      </c>
      <c r="H5715" s="39">
        <f t="shared" si="356"/>
        <v>349</v>
      </c>
      <c r="I5715" s="23" t="str">
        <f t="shared" si="357"/>
        <v>Pune</v>
      </c>
      <c r="J5715" s="23">
        <f>COUNTIFS(pg_transaction_cleaned!$O:$O,A5715,pg_transaction_cleaned!$F:$F,"CAPTURE")</f>
        <v>1</v>
      </c>
      <c r="K5715" s="39">
        <f>SUMIFS(pg_transaction_cleaned!$H:$H,pg_transaction_cleaned!$O:$O,A5715,pg_transaction_cleaned!$F:$F,"CAPTURE")</f>
        <v>349</v>
      </c>
      <c r="L5715" s="23">
        <f>COUNTIFS(pg_transaction_cleaned!$O:$O,A5715,pg_transaction_cleaned!$F:$F,"REFUND")</f>
        <v>0</v>
      </c>
      <c r="M5715" s="39">
        <f>SUMIFS(pg_transaction_cleaned!$H:$H,pg_transaction_cleaned!$O:$O,A5715,pg_transaction_cleaned!$F:$F,"REFUND")</f>
        <v>0</v>
      </c>
      <c r="N5715" s="23" t="str">
        <f t="shared" si="358"/>
        <v>OK</v>
      </c>
      <c r="O5715" s="24">
        <f t="shared" si="359"/>
        <v>0</v>
      </c>
    </row>
    <row r="5716" spans="1:15" ht="15" customHeight="1" x14ac:dyDescent="0.3">
      <c r="A5716" s="23" t="s">
        <v>11846</v>
      </c>
      <c r="B5716" s="38">
        <v>46269</v>
      </c>
      <c r="C5716" s="23" t="s">
        <v>11847</v>
      </c>
      <c r="D5716" s="23" t="s">
        <v>90</v>
      </c>
      <c r="E5716" s="23" t="s">
        <v>75</v>
      </c>
      <c r="F5716" s="23" t="s">
        <v>1505</v>
      </c>
      <c r="G5716" s="23" t="s">
        <v>250</v>
      </c>
      <c r="H5716" s="39">
        <f t="shared" si="356"/>
        <v>8298</v>
      </c>
      <c r="I5716" s="23" t="str">
        <f t="shared" si="357"/>
        <v>Ahmedabad</v>
      </c>
      <c r="J5716" s="23">
        <f>COUNTIFS(pg_transaction_cleaned!$O:$O,A5716,pg_transaction_cleaned!$F:$F,"CAPTURE")</f>
        <v>1</v>
      </c>
      <c r="K5716" s="39">
        <f>SUMIFS(pg_transaction_cleaned!$H:$H,pg_transaction_cleaned!$O:$O,A5716,pg_transaction_cleaned!$F:$F,"CAPTURE")</f>
        <v>8298</v>
      </c>
      <c r="L5716" s="23">
        <f>COUNTIFS(pg_transaction_cleaned!$O:$O,A5716,pg_transaction_cleaned!$F:$F,"REFUND")</f>
        <v>0</v>
      </c>
      <c r="M5716" s="39">
        <f>SUMIFS(pg_transaction_cleaned!$H:$H,pg_transaction_cleaned!$O:$O,A5716,pg_transaction_cleaned!$F:$F,"REFUND")</f>
        <v>0</v>
      </c>
      <c r="N5716" s="23" t="str">
        <f t="shared" si="358"/>
        <v>OK</v>
      </c>
      <c r="O5716" s="24">
        <f t="shared" si="359"/>
        <v>0</v>
      </c>
    </row>
    <row r="5717" spans="1:15" ht="15" customHeight="1" x14ac:dyDescent="0.3">
      <c r="A5717" s="23" t="s">
        <v>11848</v>
      </c>
      <c r="B5717" s="38">
        <v>46269</v>
      </c>
      <c r="C5717" s="23" t="s">
        <v>11849</v>
      </c>
      <c r="D5717" s="23" t="s">
        <v>87</v>
      </c>
      <c r="E5717" s="23" t="s">
        <v>79</v>
      </c>
      <c r="F5717" s="23" t="s">
        <v>291</v>
      </c>
      <c r="G5717" s="23" t="s">
        <v>250</v>
      </c>
      <c r="H5717" s="39">
        <f t="shared" si="356"/>
        <v>3499</v>
      </c>
      <c r="I5717" s="23" t="str">
        <f t="shared" si="357"/>
        <v>Mumbai</v>
      </c>
      <c r="J5717" s="23">
        <f>COUNTIFS(pg_transaction_cleaned!$O:$O,A5717,pg_transaction_cleaned!$F:$F,"CAPTURE")</f>
        <v>1</v>
      </c>
      <c r="K5717" s="39">
        <f>SUMIFS(pg_transaction_cleaned!$H:$H,pg_transaction_cleaned!$O:$O,A5717,pg_transaction_cleaned!$F:$F,"CAPTURE")</f>
        <v>3499</v>
      </c>
      <c r="L5717" s="23">
        <f>COUNTIFS(pg_transaction_cleaned!$O:$O,A5717,pg_transaction_cleaned!$F:$F,"REFUND")</f>
        <v>0</v>
      </c>
      <c r="M5717" s="39">
        <f>SUMIFS(pg_transaction_cleaned!$H:$H,pg_transaction_cleaned!$O:$O,A5717,pg_transaction_cleaned!$F:$F,"REFUND")</f>
        <v>0</v>
      </c>
      <c r="N5717" s="23" t="str">
        <f t="shared" si="358"/>
        <v>OK</v>
      </c>
      <c r="O5717" s="24">
        <f t="shared" si="359"/>
        <v>0</v>
      </c>
    </row>
    <row r="5718" spans="1:15" ht="15" customHeight="1" x14ac:dyDescent="0.3">
      <c r="A5718" s="23" t="s">
        <v>11850</v>
      </c>
      <c r="B5718" s="38">
        <v>46277</v>
      </c>
      <c r="C5718" s="23" t="s">
        <v>11851</v>
      </c>
      <c r="D5718" s="23" t="s">
        <v>86</v>
      </c>
      <c r="E5718" s="23" t="s">
        <v>79</v>
      </c>
      <c r="F5718" s="23" t="s">
        <v>262</v>
      </c>
      <c r="G5718" s="23" t="s">
        <v>250</v>
      </c>
      <c r="H5718" s="39">
        <f t="shared" si="356"/>
        <v>499</v>
      </c>
      <c r="I5718" s="23" t="str">
        <f t="shared" si="357"/>
        <v>Delhi</v>
      </c>
      <c r="J5718" s="23">
        <f>COUNTIFS(pg_transaction_cleaned!$O:$O,A5718,pg_transaction_cleaned!$F:$F,"CAPTURE")</f>
        <v>1</v>
      </c>
      <c r="K5718" s="39">
        <f>SUMIFS(pg_transaction_cleaned!$H:$H,pg_transaction_cleaned!$O:$O,A5718,pg_transaction_cleaned!$F:$F,"CAPTURE")</f>
        <v>499</v>
      </c>
      <c r="L5718" s="23">
        <f>COUNTIFS(pg_transaction_cleaned!$O:$O,A5718,pg_transaction_cleaned!$F:$F,"REFUND")</f>
        <v>0</v>
      </c>
      <c r="M5718" s="39">
        <f>SUMIFS(pg_transaction_cleaned!$H:$H,pg_transaction_cleaned!$O:$O,A5718,pg_transaction_cleaned!$F:$F,"REFUND")</f>
        <v>0</v>
      </c>
      <c r="N5718" s="23" t="str">
        <f t="shared" si="358"/>
        <v>OK</v>
      </c>
      <c r="O5718" s="24">
        <f t="shared" si="359"/>
        <v>0</v>
      </c>
    </row>
    <row r="5719" spans="1:15" ht="15" customHeight="1" x14ac:dyDescent="0.3">
      <c r="A5719" s="23" t="s">
        <v>11852</v>
      </c>
      <c r="B5719" s="38">
        <v>46286</v>
      </c>
      <c r="C5719" s="23" t="s">
        <v>11853</v>
      </c>
      <c r="D5719" s="23" t="s">
        <v>95</v>
      </c>
      <c r="E5719" s="23" t="s">
        <v>77</v>
      </c>
      <c r="F5719" s="23" t="s">
        <v>2904</v>
      </c>
      <c r="G5719" s="23" t="s">
        <v>250</v>
      </c>
      <c r="H5719" s="39">
        <f t="shared" si="356"/>
        <v>6498</v>
      </c>
      <c r="I5719" s="23" t="str">
        <f t="shared" si="357"/>
        <v>Bengaluru</v>
      </c>
      <c r="J5719" s="23">
        <f>COUNTIFS(pg_transaction_cleaned!$O:$O,A5719,pg_transaction_cleaned!$F:$F,"CAPTURE")</f>
        <v>1</v>
      </c>
      <c r="K5719" s="39">
        <f>SUMIFS(pg_transaction_cleaned!$H:$H,pg_transaction_cleaned!$O:$O,A5719,pg_transaction_cleaned!$F:$F,"CAPTURE")</f>
        <v>6498</v>
      </c>
      <c r="L5719" s="23">
        <f>COUNTIFS(pg_transaction_cleaned!$O:$O,A5719,pg_transaction_cleaned!$F:$F,"REFUND")</f>
        <v>0</v>
      </c>
      <c r="M5719" s="39">
        <f>SUMIFS(pg_transaction_cleaned!$H:$H,pg_transaction_cleaned!$O:$O,A5719,pg_transaction_cleaned!$F:$F,"REFUND")</f>
        <v>0</v>
      </c>
      <c r="N5719" s="23" t="str">
        <f t="shared" si="358"/>
        <v>OK</v>
      </c>
      <c r="O5719" s="24">
        <f t="shared" si="359"/>
        <v>0</v>
      </c>
    </row>
    <row r="5720" spans="1:15" ht="15" customHeight="1" x14ac:dyDescent="0.3">
      <c r="A5720" s="23" t="s">
        <v>11854</v>
      </c>
      <c r="B5720" s="38">
        <v>46283</v>
      </c>
      <c r="C5720" s="23" t="s">
        <v>11855</v>
      </c>
      <c r="D5720" s="23"/>
      <c r="E5720" s="23" t="s">
        <v>79</v>
      </c>
      <c r="F5720" s="23" t="s">
        <v>396</v>
      </c>
      <c r="G5720" s="23" t="s">
        <v>250</v>
      </c>
      <c r="H5720" s="39">
        <f t="shared" si="356"/>
        <v>2999</v>
      </c>
      <c r="I5720" s="23" t="str">
        <f t="shared" si="357"/>
        <v>Unknown</v>
      </c>
      <c r="J5720" s="23">
        <f>COUNTIFS(pg_transaction_cleaned!$O:$O,A5720,pg_transaction_cleaned!$F:$F,"CAPTURE")</f>
        <v>1</v>
      </c>
      <c r="K5720" s="39">
        <f>SUMIFS(pg_transaction_cleaned!$H:$H,pg_transaction_cleaned!$O:$O,A5720,pg_transaction_cleaned!$F:$F,"CAPTURE")</f>
        <v>2999</v>
      </c>
      <c r="L5720" s="23">
        <f>COUNTIFS(pg_transaction_cleaned!$O:$O,A5720,pg_transaction_cleaned!$F:$F,"REFUND")</f>
        <v>0</v>
      </c>
      <c r="M5720" s="39">
        <f>SUMIFS(pg_transaction_cleaned!$H:$H,pg_transaction_cleaned!$O:$O,A5720,pg_transaction_cleaned!$F:$F,"REFUND")</f>
        <v>0</v>
      </c>
      <c r="N5720" s="23" t="str">
        <f t="shared" si="358"/>
        <v>OK</v>
      </c>
      <c r="O5720" s="24">
        <f t="shared" si="359"/>
        <v>0</v>
      </c>
    </row>
    <row r="5721" spans="1:15" ht="15" customHeight="1" x14ac:dyDescent="0.3">
      <c r="A5721" s="23" t="s">
        <v>11856</v>
      </c>
      <c r="B5721" s="38">
        <v>46292</v>
      </c>
      <c r="C5721" s="23" t="s">
        <v>11857</v>
      </c>
      <c r="D5721" s="23" t="s">
        <v>88</v>
      </c>
      <c r="E5721" s="23" t="s">
        <v>79</v>
      </c>
      <c r="F5721" s="23" t="s">
        <v>429</v>
      </c>
      <c r="G5721" s="23" t="s">
        <v>250</v>
      </c>
      <c r="H5721" s="39">
        <f t="shared" si="356"/>
        <v>3348</v>
      </c>
      <c r="I5721" s="23" t="str">
        <f t="shared" si="357"/>
        <v>Lucknow</v>
      </c>
      <c r="J5721" s="23">
        <f>COUNTIFS(pg_transaction_cleaned!$O:$O,A5721,pg_transaction_cleaned!$F:$F,"CAPTURE")</f>
        <v>1</v>
      </c>
      <c r="K5721" s="39">
        <f>SUMIFS(pg_transaction_cleaned!$H:$H,pg_transaction_cleaned!$O:$O,A5721,pg_transaction_cleaned!$F:$F,"CAPTURE")</f>
        <v>3348</v>
      </c>
      <c r="L5721" s="23">
        <f>COUNTIFS(pg_transaction_cleaned!$O:$O,A5721,pg_transaction_cleaned!$F:$F,"REFUND")</f>
        <v>0</v>
      </c>
      <c r="M5721" s="39">
        <f>SUMIFS(pg_transaction_cleaned!$H:$H,pg_transaction_cleaned!$O:$O,A5721,pg_transaction_cleaned!$F:$F,"REFUND")</f>
        <v>0</v>
      </c>
      <c r="N5721" s="23" t="str">
        <f t="shared" si="358"/>
        <v>OK</v>
      </c>
      <c r="O5721" s="24">
        <f t="shared" si="359"/>
        <v>0</v>
      </c>
    </row>
    <row r="5722" spans="1:15" ht="15" customHeight="1" x14ac:dyDescent="0.3">
      <c r="A5722" s="23" t="s">
        <v>11858</v>
      </c>
      <c r="B5722" s="38">
        <v>46275</v>
      </c>
      <c r="C5722" s="23" t="s">
        <v>11859</v>
      </c>
      <c r="D5722" s="23" t="s">
        <v>89</v>
      </c>
      <c r="E5722" s="23" t="s">
        <v>79</v>
      </c>
      <c r="F5722" s="23" t="s">
        <v>291</v>
      </c>
      <c r="G5722" s="23" t="s">
        <v>250</v>
      </c>
      <c r="H5722" s="39">
        <f t="shared" si="356"/>
        <v>3499</v>
      </c>
      <c r="I5722" s="23" t="str">
        <f t="shared" si="357"/>
        <v>Jaipur</v>
      </c>
      <c r="J5722" s="23">
        <f>COUNTIFS(pg_transaction_cleaned!$O:$O,A5722,pg_transaction_cleaned!$F:$F,"CAPTURE")</f>
        <v>1</v>
      </c>
      <c r="K5722" s="39">
        <f>SUMIFS(pg_transaction_cleaned!$H:$H,pg_transaction_cleaned!$O:$O,A5722,pg_transaction_cleaned!$F:$F,"CAPTURE")</f>
        <v>3499</v>
      </c>
      <c r="L5722" s="23">
        <f>COUNTIFS(pg_transaction_cleaned!$O:$O,A5722,pg_transaction_cleaned!$F:$F,"REFUND")</f>
        <v>0</v>
      </c>
      <c r="M5722" s="39">
        <f>SUMIFS(pg_transaction_cleaned!$H:$H,pg_transaction_cleaned!$O:$O,A5722,pg_transaction_cleaned!$F:$F,"REFUND")</f>
        <v>0</v>
      </c>
      <c r="N5722" s="23" t="str">
        <f t="shared" si="358"/>
        <v>OK</v>
      </c>
      <c r="O5722" s="24">
        <f t="shared" si="359"/>
        <v>0</v>
      </c>
    </row>
    <row r="5723" spans="1:15" ht="15" customHeight="1" x14ac:dyDescent="0.3">
      <c r="A5723" s="23" t="s">
        <v>11860</v>
      </c>
      <c r="B5723" s="38">
        <v>46274</v>
      </c>
      <c r="C5723" s="23" t="s">
        <v>11861</v>
      </c>
      <c r="D5723" s="23" t="s">
        <v>89</v>
      </c>
      <c r="E5723" s="23" t="s">
        <v>79</v>
      </c>
      <c r="F5723" s="23" t="s">
        <v>265</v>
      </c>
      <c r="G5723" s="23" t="s">
        <v>250</v>
      </c>
      <c r="H5723" s="39">
        <f t="shared" si="356"/>
        <v>999</v>
      </c>
      <c r="I5723" s="23" t="str">
        <f t="shared" si="357"/>
        <v>Jaipur</v>
      </c>
      <c r="J5723" s="23">
        <f>COUNTIFS(pg_transaction_cleaned!$O:$O,A5723,pg_transaction_cleaned!$F:$F,"CAPTURE")</f>
        <v>1</v>
      </c>
      <c r="K5723" s="39">
        <f>SUMIFS(pg_transaction_cleaned!$H:$H,pg_transaction_cleaned!$O:$O,A5723,pg_transaction_cleaned!$F:$F,"CAPTURE")</f>
        <v>999</v>
      </c>
      <c r="L5723" s="23">
        <f>COUNTIFS(pg_transaction_cleaned!$O:$O,A5723,pg_transaction_cleaned!$F:$F,"REFUND")</f>
        <v>0</v>
      </c>
      <c r="M5723" s="39">
        <f>SUMIFS(pg_transaction_cleaned!$H:$H,pg_transaction_cleaned!$O:$O,A5723,pg_transaction_cleaned!$F:$F,"REFUND")</f>
        <v>0</v>
      </c>
      <c r="N5723" s="23" t="str">
        <f t="shared" si="358"/>
        <v>OK</v>
      </c>
      <c r="O5723" s="24">
        <f t="shared" si="359"/>
        <v>0</v>
      </c>
    </row>
    <row r="5724" spans="1:15" ht="15" customHeight="1" x14ac:dyDescent="0.3">
      <c r="A5724" s="23" t="s">
        <v>11862</v>
      </c>
      <c r="B5724" s="38">
        <v>46270</v>
      </c>
      <c r="C5724" s="23" t="s">
        <v>11863</v>
      </c>
      <c r="D5724" s="23" t="s">
        <v>89</v>
      </c>
      <c r="E5724" s="23" t="s">
        <v>79</v>
      </c>
      <c r="F5724" s="23" t="s">
        <v>880</v>
      </c>
      <c r="G5724" s="23" t="s">
        <v>250</v>
      </c>
      <c r="H5724" s="39">
        <f t="shared" si="356"/>
        <v>2298</v>
      </c>
      <c r="I5724" s="23" t="str">
        <f t="shared" si="357"/>
        <v>Jaipur</v>
      </c>
      <c r="J5724" s="23">
        <f>COUNTIFS(pg_transaction_cleaned!$O:$O,A5724,pg_transaction_cleaned!$F:$F,"CAPTURE")</f>
        <v>1</v>
      </c>
      <c r="K5724" s="39">
        <f>SUMIFS(pg_transaction_cleaned!$H:$H,pg_transaction_cleaned!$O:$O,A5724,pg_transaction_cleaned!$F:$F,"CAPTURE")</f>
        <v>2298</v>
      </c>
      <c r="L5724" s="23">
        <f>COUNTIFS(pg_transaction_cleaned!$O:$O,A5724,pg_transaction_cleaned!$F:$F,"REFUND")</f>
        <v>0</v>
      </c>
      <c r="M5724" s="39">
        <f>SUMIFS(pg_transaction_cleaned!$H:$H,pg_transaction_cleaned!$O:$O,A5724,pg_transaction_cleaned!$F:$F,"REFUND")</f>
        <v>0</v>
      </c>
      <c r="N5724" s="23" t="str">
        <f t="shared" si="358"/>
        <v>OK</v>
      </c>
      <c r="O5724" s="24">
        <f t="shared" si="359"/>
        <v>0</v>
      </c>
    </row>
    <row r="5725" spans="1:15" ht="15" customHeight="1" x14ac:dyDescent="0.3">
      <c r="A5725" s="23" t="s">
        <v>11864</v>
      </c>
      <c r="B5725" s="38">
        <v>46269</v>
      </c>
      <c r="C5725" s="23" t="s">
        <v>11865</v>
      </c>
      <c r="D5725" s="23" t="s">
        <v>92</v>
      </c>
      <c r="E5725" s="23" t="s">
        <v>81</v>
      </c>
      <c r="F5725" s="23" t="s">
        <v>310</v>
      </c>
      <c r="G5725" s="23" t="s">
        <v>250</v>
      </c>
      <c r="H5725" s="39">
        <f t="shared" si="356"/>
        <v>7999</v>
      </c>
      <c r="I5725" s="23" t="str">
        <f t="shared" si="357"/>
        <v>Hyderabad</v>
      </c>
      <c r="J5725" s="23">
        <f>COUNTIFS(pg_transaction_cleaned!$O:$O,A5725,pg_transaction_cleaned!$F:$F,"CAPTURE")</f>
        <v>1</v>
      </c>
      <c r="K5725" s="39">
        <f>SUMIFS(pg_transaction_cleaned!$H:$H,pg_transaction_cleaned!$O:$O,A5725,pg_transaction_cleaned!$F:$F,"CAPTURE")</f>
        <v>7999</v>
      </c>
      <c r="L5725" s="23">
        <f>COUNTIFS(pg_transaction_cleaned!$O:$O,A5725,pg_transaction_cleaned!$F:$F,"REFUND")</f>
        <v>0</v>
      </c>
      <c r="M5725" s="39">
        <f>SUMIFS(pg_transaction_cleaned!$H:$H,pg_transaction_cleaned!$O:$O,A5725,pg_transaction_cleaned!$F:$F,"REFUND")</f>
        <v>0</v>
      </c>
      <c r="N5725" s="23" t="str">
        <f t="shared" si="358"/>
        <v>OK</v>
      </c>
      <c r="O5725" s="24">
        <f t="shared" si="359"/>
        <v>0</v>
      </c>
    </row>
    <row r="5726" spans="1:15" ht="15" customHeight="1" x14ac:dyDescent="0.3">
      <c r="A5726" s="23" t="s">
        <v>11866</v>
      </c>
      <c r="B5726" s="38">
        <v>46267</v>
      </c>
      <c r="C5726" s="23" t="s">
        <v>10545</v>
      </c>
      <c r="D5726" s="23" t="s">
        <v>94</v>
      </c>
      <c r="E5726" s="23" t="s">
        <v>75</v>
      </c>
      <c r="F5726" s="23" t="s">
        <v>297</v>
      </c>
      <c r="G5726" s="23" t="s">
        <v>250</v>
      </c>
      <c r="H5726" s="39">
        <f t="shared" si="356"/>
        <v>4999</v>
      </c>
      <c r="I5726" s="23" t="str">
        <f t="shared" si="357"/>
        <v>Chennai</v>
      </c>
      <c r="J5726" s="23">
        <f>COUNTIFS(pg_transaction_cleaned!$O:$O,A5726,pg_transaction_cleaned!$F:$F,"CAPTURE")</f>
        <v>1</v>
      </c>
      <c r="K5726" s="39">
        <f>SUMIFS(pg_transaction_cleaned!$H:$H,pg_transaction_cleaned!$O:$O,A5726,pg_transaction_cleaned!$F:$F,"CAPTURE")</f>
        <v>4999</v>
      </c>
      <c r="L5726" s="23">
        <f>COUNTIFS(pg_transaction_cleaned!$O:$O,A5726,pg_transaction_cleaned!$F:$F,"REFUND")</f>
        <v>0</v>
      </c>
      <c r="M5726" s="39">
        <f>SUMIFS(pg_transaction_cleaned!$H:$H,pg_transaction_cleaned!$O:$O,A5726,pg_transaction_cleaned!$F:$F,"REFUND")</f>
        <v>0</v>
      </c>
      <c r="N5726" s="23" t="str">
        <f t="shared" si="358"/>
        <v>OK</v>
      </c>
      <c r="O5726" s="24">
        <f t="shared" si="359"/>
        <v>0</v>
      </c>
    </row>
    <row r="5727" spans="1:15" ht="15" customHeight="1" x14ac:dyDescent="0.3">
      <c r="A5727" s="23" t="s">
        <v>11867</v>
      </c>
      <c r="B5727" s="38">
        <v>46284</v>
      </c>
      <c r="C5727" s="23" t="s">
        <v>11868</v>
      </c>
      <c r="D5727" s="23" t="s">
        <v>94</v>
      </c>
      <c r="E5727" s="23" t="s">
        <v>75</v>
      </c>
      <c r="F5727" s="23" t="s">
        <v>310</v>
      </c>
      <c r="G5727" s="23" t="s">
        <v>250</v>
      </c>
      <c r="H5727" s="39">
        <f t="shared" si="356"/>
        <v>7999</v>
      </c>
      <c r="I5727" s="23" t="str">
        <f t="shared" si="357"/>
        <v>Chennai</v>
      </c>
      <c r="J5727" s="23">
        <f>COUNTIFS(pg_transaction_cleaned!$O:$O,A5727,pg_transaction_cleaned!$F:$F,"CAPTURE")</f>
        <v>1</v>
      </c>
      <c r="K5727" s="39">
        <f>SUMIFS(pg_transaction_cleaned!$H:$H,pg_transaction_cleaned!$O:$O,A5727,pg_transaction_cleaned!$F:$F,"CAPTURE")</f>
        <v>7999</v>
      </c>
      <c r="L5727" s="23">
        <f>COUNTIFS(pg_transaction_cleaned!$O:$O,A5727,pg_transaction_cleaned!$F:$F,"REFUND")</f>
        <v>0</v>
      </c>
      <c r="M5727" s="39">
        <f>SUMIFS(pg_transaction_cleaned!$H:$H,pg_transaction_cleaned!$O:$O,A5727,pg_transaction_cleaned!$F:$F,"REFUND")</f>
        <v>0</v>
      </c>
      <c r="N5727" s="23" t="str">
        <f t="shared" si="358"/>
        <v>OK</v>
      </c>
      <c r="O5727" s="24">
        <f t="shared" si="359"/>
        <v>0</v>
      </c>
    </row>
    <row r="5728" spans="1:15" ht="15" customHeight="1" x14ac:dyDescent="0.3">
      <c r="A5728" s="23" t="s">
        <v>11869</v>
      </c>
      <c r="B5728" s="38">
        <v>46294</v>
      </c>
      <c r="C5728" s="23" t="s">
        <v>11870</v>
      </c>
      <c r="D5728" s="23" t="s">
        <v>94</v>
      </c>
      <c r="E5728" s="23" t="s">
        <v>75</v>
      </c>
      <c r="F5728" s="23" t="s">
        <v>1693</v>
      </c>
      <c r="G5728" s="23" t="s">
        <v>250</v>
      </c>
      <c r="H5728" s="39">
        <f t="shared" si="356"/>
        <v>4097</v>
      </c>
      <c r="I5728" s="23" t="str">
        <f t="shared" si="357"/>
        <v>Chennai</v>
      </c>
      <c r="J5728" s="23">
        <f>COUNTIFS(pg_transaction_cleaned!$O:$O,A5728,pg_transaction_cleaned!$F:$F,"CAPTURE")</f>
        <v>1</v>
      </c>
      <c r="K5728" s="39">
        <f>SUMIFS(pg_transaction_cleaned!$H:$H,pg_transaction_cleaned!$O:$O,A5728,pg_transaction_cleaned!$F:$F,"CAPTURE")</f>
        <v>4097</v>
      </c>
      <c r="L5728" s="23">
        <f>COUNTIFS(pg_transaction_cleaned!$O:$O,A5728,pg_transaction_cleaned!$F:$F,"REFUND")</f>
        <v>0</v>
      </c>
      <c r="M5728" s="39">
        <f>SUMIFS(pg_transaction_cleaned!$H:$H,pg_transaction_cleaned!$O:$O,A5728,pg_transaction_cleaned!$F:$F,"REFUND")</f>
        <v>0</v>
      </c>
      <c r="N5728" s="23" t="str">
        <f t="shared" si="358"/>
        <v>OK</v>
      </c>
      <c r="O5728" s="24">
        <f t="shared" si="359"/>
        <v>0</v>
      </c>
    </row>
    <row r="5729" spans="1:15" ht="15" customHeight="1" x14ac:dyDescent="0.3">
      <c r="A5729" s="23" t="s">
        <v>11871</v>
      </c>
      <c r="B5729" s="38">
        <v>46267</v>
      </c>
      <c r="C5729" s="23" t="s">
        <v>11872</v>
      </c>
      <c r="D5729" s="23" t="s">
        <v>90</v>
      </c>
      <c r="E5729" s="23" t="s">
        <v>79</v>
      </c>
      <c r="F5729" s="23" t="s">
        <v>2904</v>
      </c>
      <c r="G5729" s="23" t="s">
        <v>250</v>
      </c>
      <c r="H5729" s="39">
        <f t="shared" si="356"/>
        <v>6498</v>
      </c>
      <c r="I5729" s="23" t="str">
        <f t="shared" si="357"/>
        <v>Ahmedabad</v>
      </c>
      <c r="J5729" s="23">
        <f>COUNTIFS(pg_transaction_cleaned!$O:$O,A5729,pg_transaction_cleaned!$F:$F,"CAPTURE")</f>
        <v>1</v>
      </c>
      <c r="K5729" s="39">
        <f>SUMIFS(pg_transaction_cleaned!$H:$H,pg_transaction_cleaned!$O:$O,A5729,pg_transaction_cleaned!$F:$F,"CAPTURE")</f>
        <v>6498</v>
      </c>
      <c r="L5729" s="23">
        <f>COUNTIFS(pg_transaction_cleaned!$O:$O,A5729,pg_transaction_cleaned!$F:$F,"REFUND")</f>
        <v>0</v>
      </c>
      <c r="M5729" s="39">
        <f>SUMIFS(pg_transaction_cleaned!$H:$H,pg_transaction_cleaned!$O:$O,A5729,pg_transaction_cleaned!$F:$F,"REFUND")</f>
        <v>0</v>
      </c>
      <c r="N5729" s="23" t="str">
        <f t="shared" si="358"/>
        <v>OK</v>
      </c>
      <c r="O5729" s="24">
        <f t="shared" si="359"/>
        <v>0</v>
      </c>
    </row>
    <row r="5730" spans="1:15" ht="15" customHeight="1" x14ac:dyDescent="0.3">
      <c r="A5730" s="23" t="s">
        <v>11873</v>
      </c>
      <c r="B5730" s="38">
        <v>46291</v>
      </c>
      <c r="C5730" s="23" t="s">
        <v>11874</v>
      </c>
      <c r="D5730" s="23" t="s">
        <v>86</v>
      </c>
      <c r="E5730" s="23" t="s">
        <v>79</v>
      </c>
      <c r="F5730" s="23" t="s">
        <v>265</v>
      </c>
      <c r="G5730" s="23" t="s">
        <v>250</v>
      </c>
      <c r="H5730" s="39">
        <f t="shared" si="356"/>
        <v>999</v>
      </c>
      <c r="I5730" s="23" t="str">
        <f t="shared" si="357"/>
        <v>Delhi</v>
      </c>
      <c r="J5730" s="23">
        <f>COUNTIFS(pg_transaction_cleaned!$O:$O,A5730,pg_transaction_cleaned!$F:$F,"CAPTURE")</f>
        <v>1</v>
      </c>
      <c r="K5730" s="39">
        <f>SUMIFS(pg_transaction_cleaned!$H:$H,pg_transaction_cleaned!$O:$O,A5730,pg_transaction_cleaned!$F:$F,"CAPTURE")</f>
        <v>999</v>
      </c>
      <c r="L5730" s="23">
        <f>COUNTIFS(pg_transaction_cleaned!$O:$O,A5730,pg_transaction_cleaned!$F:$F,"REFUND")</f>
        <v>0</v>
      </c>
      <c r="M5730" s="39">
        <f>SUMIFS(pg_transaction_cleaned!$H:$H,pg_transaction_cleaned!$O:$O,A5730,pg_transaction_cleaned!$F:$F,"REFUND")</f>
        <v>0</v>
      </c>
      <c r="N5730" s="23" t="str">
        <f t="shared" si="358"/>
        <v>OK</v>
      </c>
      <c r="O5730" s="24">
        <f t="shared" si="359"/>
        <v>0</v>
      </c>
    </row>
    <row r="5731" spans="1:15" ht="15" customHeight="1" x14ac:dyDescent="0.3">
      <c r="A5731" s="23" t="s">
        <v>11875</v>
      </c>
      <c r="B5731" s="38">
        <v>46277</v>
      </c>
      <c r="C5731" s="23" t="s">
        <v>11876</v>
      </c>
      <c r="D5731" s="23" t="s">
        <v>90</v>
      </c>
      <c r="E5731" s="23" t="s">
        <v>75</v>
      </c>
      <c r="F5731" s="23" t="s">
        <v>760</v>
      </c>
      <c r="G5731" s="23" t="s">
        <v>250</v>
      </c>
      <c r="H5731" s="39">
        <f t="shared" si="356"/>
        <v>799</v>
      </c>
      <c r="I5731" s="23" t="str">
        <f t="shared" si="357"/>
        <v>Ahmedabad</v>
      </c>
      <c r="J5731" s="23">
        <f>COUNTIFS(pg_transaction_cleaned!$O:$O,A5731,pg_transaction_cleaned!$F:$F,"CAPTURE")</f>
        <v>2</v>
      </c>
      <c r="K5731" s="39">
        <f>SUMIFS(pg_transaction_cleaned!$H:$H,pg_transaction_cleaned!$O:$O,A5731,pg_transaction_cleaned!$F:$F,"CAPTURE")</f>
        <v>1598</v>
      </c>
      <c r="L5731" s="23">
        <f>COUNTIFS(pg_transaction_cleaned!$O:$O,A5731,pg_transaction_cleaned!$F:$F,"REFUND")</f>
        <v>0</v>
      </c>
      <c r="M5731" s="39">
        <f>SUMIFS(pg_transaction_cleaned!$H:$H,pg_transaction_cleaned!$O:$O,A5731,pg_transaction_cleaned!$F:$F,"REFUND")</f>
        <v>0</v>
      </c>
      <c r="N5731" s="23" t="str">
        <f t="shared" si="358"/>
        <v>Duplicate charge</v>
      </c>
      <c r="O5731" s="24">
        <f t="shared" si="359"/>
        <v>799</v>
      </c>
    </row>
    <row r="5732" spans="1:15" ht="15" customHeight="1" x14ac:dyDescent="0.3">
      <c r="A5732" s="23" t="s">
        <v>11877</v>
      </c>
      <c r="B5732" s="38">
        <v>46274</v>
      </c>
      <c r="C5732" s="23" t="s">
        <v>11878</v>
      </c>
      <c r="D5732" s="23" t="s">
        <v>88</v>
      </c>
      <c r="E5732" s="23" t="s">
        <v>79</v>
      </c>
      <c r="F5732" s="23" t="s">
        <v>297</v>
      </c>
      <c r="G5732" s="23" t="s">
        <v>365</v>
      </c>
      <c r="H5732" s="39">
        <f t="shared" si="356"/>
        <v>4999</v>
      </c>
      <c r="I5732" s="23" t="str">
        <f t="shared" si="357"/>
        <v>Lucknow</v>
      </c>
      <c r="J5732" s="23">
        <f>COUNTIFS(pg_transaction_cleaned!$O:$O,A5732,pg_transaction_cleaned!$F:$F,"CAPTURE")</f>
        <v>0</v>
      </c>
      <c r="K5732" s="39">
        <f>SUMIFS(pg_transaction_cleaned!$H:$H,pg_transaction_cleaned!$O:$O,A5732,pg_transaction_cleaned!$F:$F,"CAPTURE")</f>
        <v>0</v>
      </c>
      <c r="L5732" s="23">
        <f>COUNTIFS(pg_transaction_cleaned!$O:$O,A5732,pg_transaction_cleaned!$F:$F,"REFUND")</f>
        <v>0</v>
      </c>
      <c r="M5732" s="39">
        <f>SUMIFS(pg_transaction_cleaned!$H:$H,pg_transaction_cleaned!$O:$O,A5732,pg_transaction_cleaned!$F:$F,"REFUND")</f>
        <v>0</v>
      </c>
      <c r="N5732" s="23" t="str">
        <f t="shared" si="358"/>
        <v>OK</v>
      </c>
      <c r="O5732" s="24">
        <f t="shared" si="359"/>
        <v>0</v>
      </c>
    </row>
    <row r="5733" spans="1:15" ht="15" customHeight="1" x14ac:dyDescent="0.3">
      <c r="A5733" s="23" t="s">
        <v>11879</v>
      </c>
      <c r="B5733" s="38">
        <v>46273</v>
      </c>
      <c r="C5733" s="23" t="s">
        <v>11880</v>
      </c>
      <c r="D5733" s="23" t="s">
        <v>93</v>
      </c>
      <c r="E5733" s="23" t="s">
        <v>81</v>
      </c>
      <c r="F5733" s="23" t="s">
        <v>475</v>
      </c>
      <c r="G5733" s="23" t="s">
        <v>250</v>
      </c>
      <c r="H5733" s="39">
        <f t="shared" si="356"/>
        <v>799</v>
      </c>
      <c r="I5733" s="23" t="str">
        <f t="shared" si="357"/>
        <v>Kolkata</v>
      </c>
      <c r="J5733" s="23">
        <f>COUNTIFS(pg_transaction_cleaned!$O:$O,A5733,pg_transaction_cleaned!$F:$F,"CAPTURE")</f>
        <v>1</v>
      </c>
      <c r="K5733" s="39">
        <f>SUMIFS(pg_transaction_cleaned!$H:$H,pg_transaction_cleaned!$O:$O,A5733,pg_transaction_cleaned!$F:$F,"CAPTURE")</f>
        <v>799</v>
      </c>
      <c r="L5733" s="23">
        <f>COUNTIFS(pg_transaction_cleaned!$O:$O,A5733,pg_transaction_cleaned!$F:$F,"REFUND")</f>
        <v>0</v>
      </c>
      <c r="M5733" s="39">
        <f>SUMIFS(pg_transaction_cleaned!$H:$H,pg_transaction_cleaned!$O:$O,A5733,pg_transaction_cleaned!$F:$F,"REFUND")</f>
        <v>0</v>
      </c>
      <c r="N5733" s="23" t="str">
        <f t="shared" si="358"/>
        <v>OK</v>
      </c>
      <c r="O5733" s="24">
        <f t="shared" si="359"/>
        <v>0</v>
      </c>
    </row>
    <row r="5734" spans="1:15" ht="15" customHeight="1" x14ac:dyDescent="0.3">
      <c r="A5734" s="23" t="s">
        <v>11881</v>
      </c>
      <c r="B5734" s="38">
        <v>46266</v>
      </c>
      <c r="C5734" s="23" t="s">
        <v>11882</v>
      </c>
      <c r="D5734" s="23" t="s">
        <v>92</v>
      </c>
      <c r="E5734" s="23" t="s">
        <v>77</v>
      </c>
      <c r="F5734" s="23" t="s">
        <v>288</v>
      </c>
      <c r="G5734" s="23" t="s">
        <v>250</v>
      </c>
      <c r="H5734" s="39">
        <f t="shared" si="356"/>
        <v>4298</v>
      </c>
      <c r="I5734" s="23" t="str">
        <f t="shared" si="357"/>
        <v>Hyderabad</v>
      </c>
      <c r="J5734" s="23">
        <f>COUNTIFS(pg_transaction_cleaned!$O:$O,A5734,pg_transaction_cleaned!$F:$F,"CAPTURE")</f>
        <v>1</v>
      </c>
      <c r="K5734" s="39">
        <f>SUMIFS(pg_transaction_cleaned!$H:$H,pg_transaction_cleaned!$O:$O,A5734,pg_transaction_cleaned!$F:$F,"CAPTURE")</f>
        <v>4298</v>
      </c>
      <c r="L5734" s="23">
        <f>COUNTIFS(pg_transaction_cleaned!$O:$O,A5734,pg_transaction_cleaned!$F:$F,"REFUND")</f>
        <v>0</v>
      </c>
      <c r="M5734" s="39">
        <f>SUMIFS(pg_transaction_cleaned!$H:$H,pg_transaction_cleaned!$O:$O,A5734,pg_transaction_cleaned!$F:$F,"REFUND")</f>
        <v>0</v>
      </c>
      <c r="N5734" s="23" t="str">
        <f t="shared" si="358"/>
        <v>OK</v>
      </c>
      <c r="O5734" s="24">
        <f t="shared" si="359"/>
        <v>0</v>
      </c>
    </row>
    <row r="5735" spans="1:15" ht="15" customHeight="1" x14ac:dyDescent="0.3">
      <c r="A5735" s="23" t="s">
        <v>11883</v>
      </c>
      <c r="B5735" s="38">
        <v>46283</v>
      </c>
      <c r="C5735" s="23" t="s">
        <v>11884</v>
      </c>
      <c r="D5735" s="23" t="s">
        <v>95</v>
      </c>
      <c r="E5735" s="23" t="s">
        <v>75</v>
      </c>
      <c r="F5735" s="23" t="s">
        <v>337</v>
      </c>
      <c r="G5735" s="23" t="s">
        <v>250</v>
      </c>
      <c r="H5735" s="39">
        <f t="shared" si="356"/>
        <v>3998</v>
      </c>
      <c r="I5735" s="23" t="str">
        <f t="shared" si="357"/>
        <v>Bengaluru</v>
      </c>
      <c r="J5735" s="23">
        <f>COUNTIFS(pg_transaction_cleaned!$O:$O,A5735,pg_transaction_cleaned!$F:$F,"CAPTURE")</f>
        <v>1</v>
      </c>
      <c r="K5735" s="39">
        <f>SUMIFS(pg_transaction_cleaned!$H:$H,pg_transaction_cleaned!$O:$O,A5735,pg_transaction_cleaned!$F:$F,"CAPTURE")</f>
        <v>3998</v>
      </c>
      <c r="L5735" s="23">
        <f>COUNTIFS(pg_transaction_cleaned!$O:$O,A5735,pg_transaction_cleaned!$F:$F,"REFUND")</f>
        <v>0</v>
      </c>
      <c r="M5735" s="39">
        <f>SUMIFS(pg_transaction_cleaned!$H:$H,pg_transaction_cleaned!$O:$O,A5735,pg_transaction_cleaned!$F:$F,"REFUND")</f>
        <v>0</v>
      </c>
      <c r="N5735" s="23" t="str">
        <f t="shared" si="358"/>
        <v>OK</v>
      </c>
      <c r="O5735" s="24">
        <f t="shared" si="359"/>
        <v>0</v>
      </c>
    </row>
    <row r="5736" spans="1:15" ht="15" customHeight="1" x14ac:dyDescent="0.3">
      <c r="A5736" s="23" t="s">
        <v>11885</v>
      </c>
      <c r="B5736" s="38">
        <v>46281</v>
      </c>
      <c r="C5736" s="23" t="s">
        <v>11886</v>
      </c>
      <c r="D5736" s="23" t="s">
        <v>94</v>
      </c>
      <c r="E5736" s="23" t="s">
        <v>81</v>
      </c>
      <c r="F5736" s="23" t="s">
        <v>370</v>
      </c>
      <c r="G5736" s="23" t="s">
        <v>250</v>
      </c>
      <c r="H5736" s="39">
        <f t="shared" si="356"/>
        <v>3098</v>
      </c>
      <c r="I5736" s="23" t="str">
        <f t="shared" si="357"/>
        <v>Chennai</v>
      </c>
      <c r="J5736" s="23">
        <f>COUNTIFS(pg_transaction_cleaned!$O:$O,A5736,pg_transaction_cleaned!$F:$F,"CAPTURE")</f>
        <v>1</v>
      </c>
      <c r="K5736" s="39">
        <f>SUMIFS(pg_transaction_cleaned!$H:$H,pg_transaction_cleaned!$O:$O,A5736,pg_transaction_cleaned!$F:$F,"CAPTURE")</f>
        <v>3098</v>
      </c>
      <c r="L5736" s="23">
        <f>COUNTIFS(pg_transaction_cleaned!$O:$O,A5736,pg_transaction_cleaned!$F:$F,"REFUND")</f>
        <v>0</v>
      </c>
      <c r="M5736" s="39">
        <f>SUMIFS(pg_transaction_cleaned!$H:$H,pg_transaction_cleaned!$O:$O,A5736,pg_transaction_cleaned!$F:$F,"REFUND")</f>
        <v>0</v>
      </c>
      <c r="N5736" s="23" t="str">
        <f t="shared" si="358"/>
        <v>OK</v>
      </c>
      <c r="O5736" s="24">
        <f t="shared" si="359"/>
        <v>0</v>
      </c>
    </row>
    <row r="5737" spans="1:15" ht="15" customHeight="1" x14ac:dyDescent="0.3">
      <c r="A5737" s="23" t="s">
        <v>11887</v>
      </c>
      <c r="B5737" s="38">
        <v>46294</v>
      </c>
      <c r="C5737" s="23" t="s">
        <v>11888</v>
      </c>
      <c r="D5737" s="23" t="s">
        <v>86</v>
      </c>
      <c r="E5737" s="23" t="s">
        <v>75</v>
      </c>
      <c r="F5737" s="23" t="s">
        <v>1635</v>
      </c>
      <c r="G5737" s="23" t="s">
        <v>250</v>
      </c>
      <c r="H5737" s="39">
        <f t="shared" si="356"/>
        <v>11797</v>
      </c>
      <c r="I5737" s="23" t="str">
        <f t="shared" si="357"/>
        <v>Delhi</v>
      </c>
      <c r="J5737" s="23">
        <f>COUNTIFS(pg_transaction_cleaned!$O:$O,A5737,pg_transaction_cleaned!$F:$F,"CAPTURE")</f>
        <v>1</v>
      </c>
      <c r="K5737" s="39">
        <f>SUMIFS(pg_transaction_cleaned!$H:$H,pg_transaction_cleaned!$O:$O,A5737,pg_transaction_cleaned!$F:$F,"CAPTURE")</f>
        <v>11797</v>
      </c>
      <c r="L5737" s="23">
        <f>COUNTIFS(pg_transaction_cleaned!$O:$O,A5737,pg_transaction_cleaned!$F:$F,"REFUND")</f>
        <v>0</v>
      </c>
      <c r="M5737" s="39">
        <f>SUMIFS(pg_transaction_cleaned!$H:$H,pg_transaction_cleaned!$O:$O,A5737,pg_transaction_cleaned!$F:$F,"REFUND")</f>
        <v>0</v>
      </c>
      <c r="N5737" s="23" t="str">
        <f t="shared" si="358"/>
        <v>OK</v>
      </c>
      <c r="O5737" s="24">
        <f t="shared" si="359"/>
        <v>0</v>
      </c>
    </row>
    <row r="5738" spans="1:15" ht="15" customHeight="1" x14ac:dyDescent="0.3">
      <c r="A5738" s="23" t="s">
        <v>11889</v>
      </c>
      <c r="B5738" s="38">
        <v>46269</v>
      </c>
      <c r="C5738" s="23" t="s">
        <v>11890</v>
      </c>
      <c r="D5738" s="23" t="s">
        <v>92</v>
      </c>
      <c r="E5738" s="23" t="s">
        <v>75</v>
      </c>
      <c r="F5738" s="23" t="s">
        <v>310</v>
      </c>
      <c r="G5738" s="23" t="s">
        <v>250</v>
      </c>
      <c r="H5738" s="39">
        <f t="shared" si="356"/>
        <v>7999</v>
      </c>
      <c r="I5738" s="23" t="str">
        <f t="shared" si="357"/>
        <v>Hyderabad</v>
      </c>
      <c r="J5738" s="23">
        <f>COUNTIFS(pg_transaction_cleaned!$O:$O,A5738,pg_transaction_cleaned!$F:$F,"CAPTURE")</f>
        <v>1</v>
      </c>
      <c r="K5738" s="39">
        <f>SUMIFS(pg_transaction_cleaned!$H:$H,pg_transaction_cleaned!$O:$O,A5738,pg_transaction_cleaned!$F:$F,"CAPTURE")</f>
        <v>7999</v>
      </c>
      <c r="L5738" s="23">
        <f>COUNTIFS(pg_transaction_cleaned!$O:$O,A5738,pg_transaction_cleaned!$F:$F,"REFUND")</f>
        <v>0</v>
      </c>
      <c r="M5738" s="39">
        <f>SUMIFS(pg_transaction_cleaned!$H:$H,pg_transaction_cleaned!$O:$O,A5738,pg_transaction_cleaned!$F:$F,"REFUND")</f>
        <v>0</v>
      </c>
      <c r="N5738" s="23" t="str">
        <f t="shared" si="358"/>
        <v>OK</v>
      </c>
      <c r="O5738" s="24">
        <f t="shared" si="359"/>
        <v>0</v>
      </c>
    </row>
    <row r="5739" spans="1:15" ht="15" customHeight="1" x14ac:dyDescent="0.3">
      <c r="A5739" s="23" t="s">
        <v>11891</v>
      </c>
      <c r="B5739" s="38">
        <v>46291</v>
      </c>
      <c r="C5739" s="23" t="s">
        <v>11892</v>
      </c>
      <c r="D5739" s="23" t="s">
        <v>93</v>
      </c>
      <c r="E5739" s="23" t="s">
        <v>75</v>
      </c>
      <c r="F5739" s="23" t="s">
        <v>1596</v>
      </c>
      <c r="G5739" s="23" t="s">
        <v>250</v>
      </c>
      <c r="H5739" s="39">
        <f t="shared" si="356"/>
        <v>3499</v>
      </c>
      <c r="I5739" s="23" t="str">
        <f t="shared" si="357"/>
        <v>Kolkata</v>
      </c>
      <c r="J5739" s="23">
        <f>COUNTIFS(pg_transaction_cleaned!$O:$O,A5739,pg_transaction_cleaned!$F:$F,"CAPTURE")</f>
        <v>1</v>
      </c>
      <c r="K5739" s="39">
        <f>SUMIFS(pg_transaction_cleaned!$H:$H,pg_transaction_cleaned!$O:$O,A5739,pg_transaction_cleaned!$F:$F,"CAPTURE")</f>
        <v>3499</v>
      </c>
      <c r="L5739" s="23">
        <f>COUNTIFS(pg_transaction_cleaned!$O:$O,A5739,pg_transaction_cleaned!$F:$F,"REFUND")</f>
        <v>0</v>
      </c>
      <c r="M5739" s="39">
        <f>SUMIFS(pg_transaction_cleaned!$H:$H,pg_transaction_cleaned!$O:$O,A5739,pg_transaction_cleaned!$F:$F,"REFUND")</f>
        <v>0</v>
      </c>
      <c r="N5739" s="23" t="str">
        <f t="shared" si="358"/>
        <v>OK</v>
      </c>
      <c r="O5739" s="24">
        <f t="shared" si="359"/>
        <v>0</v>
      </c>
    </row>
    <row r="5740" spans="1:15" ht="15" customHeight="1" x14ac:dyDescent="0.3">
      <c r="A5740" s="23" t="s">
        <v>11893</v>
      </c>
      <c r="B5740" s="38">
        <v>46267</v>
      </c>
      <c r="C5740" s="23" t="s">
        <v>11894</v>
      </c>
      <c r="D5740" s="23" t="s">
        <v>92</v>
      </c>
      <c r="E5740" s="23" t="s">
        <v>81</v>
      </c>
      <c r="F5740" s="23" t="s">
        <v>324</v>
      </c>
      <c r="G5740" s="23" t="s">
        <v>250</v>
      </c>
      <c r="H5740" s="39">
        <f t="shared" si="356"/>
        <v>10498</v>
      </c>
      <c r="I5740" s="23" t="str">
        <f t="shared" si="357"/>
        <v>Hyderabad</v>
      </c>
      <c r="J5740" s="23">
        <f>COUNTIFS(pg_transaction_cleaned!$O:$O,A5740,pg_transaction_cleaned!$F:$F,"CAPTURE")</f>
        <v>1</v>
      </c>
      <c r="K5740" s="39">
        <f>SUMIFS(pg_transaction_cleaned!$H:$H,pg_transaction_cleaned!$O:$O,A5740,pg_transaction_cleaned!$F:$F,"CAPTURE")</f>
        <v>10498</v>
      </c>
      <c r="L5740" s="23">
        <f>COUNTIFS(pg_transaction_cleaned!$O:$O,A5740,pg_transaction_cleaned!$F:$F,"REFUND")</f>
        <v>0</v>
      </c>
      <c r="M5740" s="39">
        <f>SUMIFS(pg_transaction_cleaned!$H:$H,pg_transaction_cleaned!$O:$O,A5740,pg_transaction_cleaned!$F:$F,"REFUND")</f>
        <v>0</v>
      </c>
      <c r="N5740" s="23" t="str">
        <f t="shared" si="358"/>
        <v>OK</v>
      </c>
      <c r="O5740" s="24">
        <f t="shared" si="359"/>
        <v>0</v>
      </c>
    </row>
    <row r="5741" spans="1:15" ht="15" customHeight="1" x14ac:dyDescent="0.3">
      <c r="A5741" s="23" t="s">
        <v>11895</v>
      </c>
      <c r="B5741" s="38">
        <v>46280</v>
      </c>
      <c r="C5741" s="23" t="s">
        <v>11896</v>
      </c>
      <c r="D5741" s="23" t="s">
        <v>94</v>
      </c>
      <c r="E5741" s="23" t="s">
        <v>75</v>
      </c>
      <c r="F5741" s="23" t="s">
        <v>795</v>
      </c>
      <c r="G5741" s="23" t="s">
        <v>250</v>
      </c>
      <c r="H5741" s="39">
        <f t="shared" si="356"/>
        <v>1499</v>
      </c>
      <c r="I5741" s="23" t="str">
        <f t="shared" si="357"/>
        <v>Chennai</v>
      </c>
      <c r="J5741" s="23">
        <f>COUNTIFS(pg_transaction_cleaned!$O:$O,A5741,pg_transaction_cleaned!$F:$F,"CAPTURE")</f>
        <v>1</v>
      </c>
      <c r="K5741" s="39">
        <f>SUMIFS(pg_transaction_cleaned!$H:$H,pg_transaction_cleaned!$O:$O,A5741,pg_transaction_cleaned!$F:$F,"CAPTURE")</f>
        <v>1499</v>
      </c>
      <c r="L5741" s="23">
        <f>COUNTIFS(pg_transaction_cleaned!$O:$O,A5741,pg_transaction_cleaned!$F:$F,"REFUND")</f>
        <v>0</v>
      </c>
      <c r="M5741" s="39">
        <f>SUMIFS(pg_transaction_cleaned!$H:$H,pg_transaction_cleaned!$O:$O,A5741,pg_transaction_cleaned!$F:$F,"REFUND")</f>
        <v>0</v>
      </c>
      <c r="N5741" s="23" t="str">
        <f t="shared" si="358"/>
        <v>OK</v>
      </c>
      <c r="O5741" s="24">
        <f t="shared" si="359"/>
        <v>0</v>
      </c>
    </row>
    <row r="5742" spans="1:15" ht="15" customHeight="1" x14ac:dyDescent="0.3">
      <c r="A5742" s="23" t="s">
        <v>11897</v>
      </c>
      <c r="B5742" s="38">
        <v>46287</v>
      </c>
      <c r="C5742" s="23" t="s">
        <v>11898</v>
      </c>
      <c r="D5742" s="23" t="s">
        <v>93</v>
      </c>
      <c r="E5742" s="23" t="s">
        <v>75</v>
      </c>
      <c r="F5742" s="23" t="s">
        <v>291</v>
      </c>
      <c r="G5742" s="23" t="s">
        <v>250</v>
      </c>
      <c r="H5742" s="39">
        <f t="shared" si="356"/>
        <v>3499</v>
      </c>
      <c r="I5742" s="23" t="str">
        <f t="shared" si="357"/>
        <v>Kolkata</v>
      </c>
      <c r="J5742" s="23">
        <f>COUNTIFS(pg_transaction_cleaned!$O:$O,A5742,pg_transaction_cleaned!$F:$F,"CAPTURE")</f>
        <v>1</v>
      </c>
      <c r="K5742" s="39">
        <f>SUMIFS(pg_transaction_cleaned!$H:$H,pg_transaction_cleaned!$O:$O,A5742,pg_transaction_cleaned!$F:$F,"CAPTURE")</f>
        <v>3499</v>
      </c>
      <c r="L5742" s="23">
        <f>COUNTIFS(pg_transaction_cleaned!$O:$O,A5742,pg_transaction_cleaned!$F:$F,"REFUND")</f>
        <v>0</v>
      </c>
      <c r="M5742" s="39">
        <f>SUMIFS(pg_transaction_cleaned!$H:$H,pg_transaction_cleaned!$O:$O,A5742,pg_transaction_cleaned!$F:$F,"REFUND")</f>
        <v>0</v>
      </c>
      <c r="N5742" s="23" t="str">
        <f t="shared" si="358"/>
        <v>OK</v>
      </c>
      <c r="O5742" s="24">
        <f t="shared" si="359"/>
        <v>0</v>
      </c>
    </row>
    <row r="5743" spans="1:15" ht="15" customHeight="1" x14ac:dyDescent="0.3">
      <c r="A5743" s="23" t="s">
        <v>11899</v>
      </c>
      <c r="B5743" s="38">
        <v>46290</v>
      </c>
      <c r="C5743" s="23" t="s">
        <v>11900</v>
      </c>
      <c r="D5743" s="23" t="s">
        <v>88</v>
      </c>
      <c r="E5743" s="23" t="s">
        <v>75</v>
      </c>
      <c r="F5743" s="23" t="s">
        <v>329</v>
      </c>
      <c r="G5743" s="23" t="s">
        <v>250</v>
      </c>
      <c r="H5743" s="39">
        <f t="shared" si="356"/>
        <v>599</v>
      </c>
      <c r="I5743" s="23" t="str">
        <f t="shared" si="357"/>
        <v>Lucknow</v>
      </c>
      <c r="J5743" s="23">
        <f>COUNTIFS(pg_transaction_cleaned!$O:$O,A5743,pg_transaction_cleaned!$F:$F,"CAPTURE")</f>
        <v>1</v>
      </c>
      <c r="K5743" s="39">
        <f>SUMIFS(pg_transaction_cleaned!$H:$H,pg_transaction_cleaned!$O:$O,A5743,pg_transaction_cleaned!$F:$F,"CAPTURE")</f>
        <v>599</v>
      </c>
      <c r="L5743" s="23">
        <f>COUNTIFS(pg_transaction_cleaned!$O:$O,A5743,pg_transaction_cleaned!$F:$F,"REFUND")</f>
        <v>0</v>
      </c>
      <c r="M5743" s="39">
        <f>SUMIFS(pg_transaction_cleaned!$H:$H,pg_transaction_cleaned!$O:$O,A5743,pg_transaction_cleaned!$F:$F,"REFUND")</f>
        <v>0</v>
      </c>
      <c r="N5743" s="23" t="str">
        <f t="shared" si="358"/>
        <v>OK</v>
      </c>
      <c r="O5743" s="24">
        <f t="shared" si="359"/>
        <v>0</v>
      </c>
    </row>
    <row r="5744" spans="1:15" ht="15" customHeight="1" x14ac:dyDescent="0.3">
      <c r="A5744" s="23" t="s">
        <v>11901</v>
      </c>
      <c r="B5744" s="38">
        <v>46275</v>
      </c>
      <c r="C5744" s="23" t="s">
        <v>11902</v>
      </c>
      <c r="D5744" s="23" t="s">
        <v>92</v>
      </c>
      <c r="E5744" s="23" t="s">
        <v>75</v>
      </c>
      <c r="F5744" s="23" t="s">
        <v>396</v>
      </c>
      <c r="G5744" s="23" t="s">
        <v>250</v>
      </c>
      <c r="H5744" s="39">
        <f t="shared" si="356"/>
        <v>2999</v>
      </c>
      <c r="I5744" s="23" t="str">
        <f t="shared" si="357"/>
        <v>Hyderabad</v>
      </c>
      <c r="J5744" s="23">
        <f>COUNTIFS(pg_transaction_cleaned!$O:$O,A5744,pg_transaction_cleaned!$F:$F,"CAPTURE")</f>
        <v>1</v>
      </c>
      <c r="K5744" s="39">
        <f>SUMIFS(pg_transaction_cleaned!$H:$H,pg_transaction_cleaned!$O:$O,A5744,pg_transaction_cleaned!$F:$F,"CAPTURE")</f>
        <v>2999</v>
      </c>
      <c r="L5744" s="23">
        <f>COUNTIFS(pg_transaction_cleaned!$O:$O,A5744,pg_transaction_cleaned!$F:$F,"REFUND")</f>
        <v>0</v>
      </c>
      <c r="M5744" s="39">
        <f>SUMIFS(pg_transaction_cleaned!$H:$H,pg_transaction_cleaned!$O:$O,A5744,pg_transaction_cleaned!$F:$F,"REFUND")</f>
        <v>0</v>
      </c>
      <c r="N5744" s="23" t="str">
        <f t="shared" si="358"/>
        <v>OK</v>
      </c>
      <c r="O5744" s="24">
        <f t="shared" si="359"/>
        <v>0</v>
      </c>
    </row>
    <row r="5745" spans="1:15" ht="15" customHeight="1" x14ac:dyDescent="0.3">
      <c r="A5745" s="23" t="s">
        <v>11903</v>
      </c>
      <c r="B5745" s="38">
        <v>46274</v>
      </c>
      <c r="C5745" s="23" t="s">
        <v>11904</v>
      </c>
      <c r="D5745" s="23" t="s">
        <v>95</v>
      </c>
      <c r="E5745" s="23" t="s">
        <v>75</v>
      </c>
      <c r="F5745" s="23" t="s">
        <v>315</v>
      </c>
      <c r="G5745" s="23" t="s">
        <v>250</v>
      </c>
      <c r="H5745" s="39">
        <f t="shared" si="356"/>
        <v>1499</v>
      </c>
      <c r="I5745" s="23" t="str">
        <f t="shared" si="357"/>
        <v>Bengaluru</v>
      </c>
      <c r="J5745" s="23">
        <f>COUNTIFS(pg_transaction_cleaned!$O:$O,A5745,pg_transaction_cleaned!$F:$F,"CAPTURE")</f>
        <v>1</v>
      </c>
      <c r="K5745" s="39">
        <f>SUMIFS(pg_transaction_cleaned!$H:$H,pg_transaction_cleaned!$O:$O,A5745,pg_transaction_cleaned!$F:$F,"CAPTURE")</f>
        <v>1499</v>
      </c>
      <c r="L5745" s="23">
        <f>COUNTIFS(pg_transaction_cleaned!$O:$O,A5745,pg_transaction_cleaned!$F:$F,"REFUND")</f>
        <v>0</v>
      </c>
      <c r="M5745" s="39">
        <f>SUMIFS(pg_transaction_cleaned!$H:$H,pg_transaction_cleaned!$O:$O,A5745,pg_transaction_cleaned!$F:$F,"REFUND")</f>
        <v>0</v>
      </c>
      <c r="N5745" s="23" t="str">
        <f t="shared" si="358"/>
        <v>OK</v>
      </c>
      <c r="O5745" s="24">
        <f t="shared" si="359"/>
        <v>0</v>
      </c>
    </row>
    <row r="5746" spans="1:15" ht="15" customHeight="1" x14ac:dyDescent="0.3">
      <c r="A5746" s="23" t="s">
        <v>11905</v>
      </c>
      <c r="B5746" s="38">
        <v>46279</v>
      </c>
      <c r="C5746" s="23" t="s">
        <v>11906</v>
      </c>
      <c r="D5746" s="23" t="s">
        <v>88</v>
      </c>
      <c r="E5746" s="23" t="s">
        <v>79</v>
      </c>
      <c r="F5746" s="23" t="s">
        <v>297</v>
      </c>
      <c r="G5746" s="23" t="s">
        <v>250</v>
      </c>
      <c r="H5746" s="39">
        <f t="shared" si="356"/>
        <v>4999</v>
      </c>
      <c r="I5746" s="23" t="str">
        <f t="shared" si="357"/>
        <v>Lucknow</v>
      </c>
      <c r="J5746" s="23">
        <f>COUNTIFS(pg_transaction_cleaned!$O:$O,A5746,pg_transaction_cleaned!$F:$F,"CAPTURE")</f>
        <v>1</v>
      </c>
      <c r="K5746" s="39">
        <f>SUMIFS(pg_transaction_cleaned!$H:$H,pg_transaction_cleaned!$O:$O,A5746,pg_transaction_cleaned!$F:$F,"CAPTURE")</f>
        <v>4999</v>
      </c>
      <c r="L5746" s="23">
        <f>COUNTIFS(pg_transaction_cleaned!$O:$O,A5746,pg_transaction_cleaned!$F:$F,"REFUND")</f>
        <v>0</v>
      </c>
      <c r="M5746" s="39">
        <f>SUMIFS(pg_transaction_cleaned!$H:$H,pg_transaction_cleaned!$O:$O,A5746,pg_transaction_cleaned!$F:$F,"REFUND")</f>
        <v>0</v>
      </c>
      <c r="N5746" s="23" t="str">
        <f t="shared" si="358"/>
        <v>OK</v>
      </c>
      <c r="O5746" s="24">
        <f t="shared" si="359"/>
        <v>0</v>
      </c>
    </row>
    <row r="5747" spans="1:15" ht="15" customHeight="1" x14ac:dyDescent="0.3">
      <c r="A5747" s="23" t="s">
        <v>11907</v>
      </c>
      <c r="B5747" s="38">
        <v>46279</v>
      </c>
      <c r="C5747" s="23" t="s">
        <v>11908</v>
      </c>
      <c r="D5747" s="23" t="s">
        <v>88</v>
      </c>
      <c r="E5747" s="23" t="s">
        <v>79</v>
      </c>
      <c r="F5747" s="23" t="s">
        <v>2304</v>
      </c>
      <c r="G5747" s="23" t="s">
        <v>250</v>
      </c>
      <c r="H5747" s="39">
        <f t="shared" si="356"/>
        <v>6797</v>
      </c>
      <c r="I5747" s="23" t="str">
        <f t="shared" si="357"/>
        <v>Lucknow</v>
      </c>
      <c r="J5747" s="23">
        <f>COUNTIFS(pg_transaction_cleaned!$O:$O,A5747,pg_transaction_cleaned!$F:$F,"CAPTURE")</f>
        <v>1</v>
      </c>
      <c r="K5747" s="39">
        <f>SUMIFS(pg_transaction_cleaned!$H:$H,pg_transaction_cleaned!$O:$O,A5747,pg_transaction_cleaned!$F:$F,"CAPTURE")</f>
        <v>6797</v>
      </c>
      <c r="L5747" s="23">
        <f>COUNTIFS(pg_transaction_cleaned!$O:$O,A5747,pg_transaction_cleaned!$F:$F,"REFUND")</f>
        <v>0</v>
      </c>
      <c r="M5747" s="39">
        <f>SUMIFS(pg_transaction_cleaned!$H:$H,pg_transaction_cleaned!$O:$O,A5747,pg_transaction_cleaned!$F:$F,"REFUND")</f>
        <v>0</v>
      </c>
      <c r="N5747" s="23" t="str">
        <f t="shared" si="358"/>
        <v>OK</v>
      </c>
      <c r="O5747" s="24">
        <f t="shared" si="359"/>
        <v>0</v>
      </c>
    </row>
    <row r="5748" spans="1:15" ht="15" customHeight="1" x14ac:dyDescent="0.3">
      <c r="A5748" s="23" t="s">
        <v>11909</v>
      </c>
      <c r="B5748" s="38">
        <v>46277</v>
      </c>
      <c r="C5748" s="23" t="s">
        <v>11910</v>
      </c>
      <c r="D5748" s="23" t="s">
        <v>91</v>
      </c>
      <c r="E5748" s="23" t="s">
        <v>75</v>
      </c>
      <c r="F5748" s="23" t="s">
        <v>717</v>
      </c>
      <c r="G5748" s="23" t="s">
        <v>250</v>
      </c>
      <c r="H5748" s="39">
        <f t="shared" si="356"/>
        <v>5298</v>
      </c>
      <c r="I5748" s="23" t="str">
        <f t="shared" si="357"/>
        <v>Pune</v>
      </c>
      <c r="J5748" s="23">
        <f>COUNTIFS(pg_transaction_cleaned!$O:$O,A5748,pg_transaction_cleaned!$F:$F,"CAPTURE")</f>
        <v>1</v>
      </c>
      <c r="K5748" s="39">
        <f>SUMIFS(pg_transaction_cleaned!$H:$H,pg_transaction_cleaned!$O:$O,A5748,pg_transaction_cleaned!$F:$F,"CAPTURE")</f>
        <v>5298</v>
      </c>
      <c r="L5748" s="23">
        <f>COUNTIFS(pg_transaction_cleaned!$O:$O,A5748,pg_transaction_cleaned!$F:$F,"REFUND")</f>
        <v>0</v>
      </c>
      <c r="M5748" s="39">
        <f>SUMIFS(pg_transaction_cleaned!$H:$H,pg_transaction_cleaned!$O:$O,A5748,pg_transaction_cleaned!$F:$F,"REFUND")</f>
        <v>0</v>
      </c>
      <c r="N5748" s="23" t="str">
        <f t="shared" si="358"/>
        <v>OK</v>
      </c>
      <c r="O5748" s="24">
        <f t="shared" si="359"/>
        <v>0</v>
      </c>
    </row>
    <row r="5749" spans="1:15" ht="15" customHeight="1" x14ac:dyDescent="0.3">
      <c r="A5749" s="23" t="s">
        <v>11911</v>
      </c>
      <c r="B5749" s="38">
        <v>46281</v>
      </c>
      <c r="C5749" s="23" t="s">
        <v>11912</v>
      </c>
      <c r="D5749" s="23" t="s">
        <v>90</v>
      </c>
      <c r="E5749" s="23" t="s">
        <v>79</v>
      </c>
      <c r="F5749" s="23" t="s">
        <v>1635</v>
      </c>
      <c r="G5749" s="23" t="s">
        <v>250</v>
      </c>
      <c r="H5749" s="39">
        <f t="shared" si="356"/>
        <v>11797</v>
      </c>
      <c r="I5749" s="23" t="str">
        <f t="shared" si="357"/>
        <v>Ahmedabad</v>
      </c>
      <c r="J5749" s="23">
        <f>COUNTIFS(pg_transaction_cleaned!$O:$O,A5749,pg_transaction_cleaned!$F:$F,"CAPTURE")</f>
        <v>1</v>
      </c>
      <c r="K5749" s="39">
        <f>SUMIFS(pg_transaction_cleaned!$H:$H,pg_transaction_cleaned!$O:$O,A5749,pg_transaction_cleaned!$F:$F,"CAPTURE")</f>
        <v>11797</v>
      </c>
      <c r="L5749" s="23">
        <f>COUNTIFS(pg_transaction_cleaned!$O:$O,A5749,pg_transaction_cleaned!$F:$F,"REFUND")</f>
        <v>0</v>
      </c>
      <c r="M5749" s="39">
        <f>SUMIFS(pg_transaction_cleaned!$H:$H,pg_transaction_cleaned!$O:$O,A5749,pg_transaction_cleaned!$F:$F,"REFUND")</f>
        <v>0</v>
      </c>
      <c r="N5749" s="23" t="str">
        <f t="shared" si="358"/>
        <v>OK</v>
      </c>
      <c r="O5749" s="24">
        <f t="shared" si="359"/>
        <v>0</v>
      </c>
    </row>
    <row r="5750" spans="1:15" ht="15" customHeight="1" x14ac:dyDescent="0.3">
      <c r="A5750" s="23" t="s">
        <v>11913</v>
      </c>
      <c r="B5750" s="38">
        <v>46289</v>
      </c>
      <c r="C5750" s="23" t="s">
        <v>11914</v>
      </c>
      <c r="D5750" s="23" t="s">
        <v>92</v>
      </c>
      <c r="E5750" s="23" t="s">
        <v>81</v>
      </c>
      <c r="F5750" s="23" t="s">
        <v>294</v>
      </c>
      <c r="G5750" s="23" t="s">
        <v>250</v>
      </c>
      <c r="H5750" s="39">
        <f t="shared" si="356"/>
        <v>1799</v>
      </c>
      <c r="I5750" s="23" t="str">
        <f t="shared" si="357"/>
        <v>Hyderabad</v>
      </c>
      <c r="J5750" s="23">
        <f>COUNTIFS(pg_transaction_cleaned!$O:$O,A5750,pg_transaction_cleaned!$F:$F,"CAPTURE")</f>
        <v>1</v>
      </c>
      <c r="K5750" s="39">
        <f>SUMIFS(pg_transaction_cleaned!$H:$H,pg_transaction_cleaned!$O:$O,A5750,pg_transaction_cleaned!$F:$F,"CAPTURE")</f>
        <v>1799</v>
      </c>
      <c r="L5750" s="23">
        <f>COUNTIFS(pg_transaction_cleaned!$O:$O,A5750,pg_transaction_cleaned!$F:$F,"REFUND")</f>
        <v>0</v>
      </c>
      <c r="M5750" s="39">
        <f>SUMIFS(pg_transaction_cleaned!$H:$H,pg_transaction_cleaned!$O:$O,A5750,pg_transaction_cleaned!$F:$F,"REFUND")</f>
        <v>0</v>
      </c>
      <c r="N5750" s="23" t="str">
        <f t="shared" si="358"/>
        <v>OK</v>
      </c>
      <c r="O5750" s="24">
        <f t="shared" si="359"/>
        <v>0</v>
      </c>
    </row>
    <row r="5751" spans="1:15" ht="15" customHeight="1" x14ac:dyDescent="0.3">
      <c r="A5751" s="23" t="s">
        <v>11915</v>
      </c>
      <c r="B5751" s="38">
        <v>46294</v>
      </c>
      <c r="C5751" s="23" t="s">
        <v>11916</v>
      </c>
      <c r="D5751" s="23" t="s">
        <v>86</v>
      </c>
      <c r="E5751" s="23" t="s">
        <v>77</v>
      </c>
      <c r="F5751" s="23" t="s">
        <v>262</v>
      </c>
      <c r="G5751" s="23" t="s">
        <v>250</v>
      </c>
      <c r="H5751" s="39">
        <f t="shared" si="356"/>
        <v>499</v>
      </c>
      <c r="I5751" s="23" t="str">
        <f t="shared" si="357"/>
        <v>Delhi</v>
      </c>
      <c r="J5751" s="23">
        <f>COUNTIFS(pg_transaction_cleaned!$O:$O,A5751,pg_transaction_cleaned!$F:$F,"CAPTURE")</f>
        <v>1</v>
      </c>
      <c r="K5751" s="39">
        <f>SUMIFS(pg_transaction_cleaned!$H:$H,pg_transaction_cleaned!$O:$O,A5751,pg_transaction_cleaned!$F:$F,"CAPTURE")</f>
        <v>499</v>
      </c>
      <c r="L5751" s="23">
        <f>COUNTIFS(pg_transaction_cleaned!$O:$O,A5751,pg_transaction_cleaned!$F:$F,"REFUND")</f>
        <v>0</v>
      </c>
      <c r="M5751" s="39">
        <f>SUMIFS(pg_transaction_cleaned!$H:$H,pg_transaction_cleaned!$O:$O,A5751,pg_transaction_cleaned!$F:$F,"REFUND")</f>
        <v>0</v>
      </c>
      <c r="N5751" s="23" t="str">
        <f t="shared" si="358"/>
        <v>OK</v>
      </c>
      <c r="O5751" s="24">
        <f t="shared" si="359"/>
        <v>0</v>
      </c>
    </row>
    <row r="5752" spans="1:15" ht="15" customHeight="1" x14ac:dyDescent="0.3">
      <c r="A5752" s="23" t="s">
        <v>11917</v>
      </c>
      <c r="B5752" s="38">
        <v>46281</v>
      </c>
      <c r="C5752" s="23" t="s">
        <v>11918</v>
      </c>
      <c r="D5752" s="23" t="s">
        <v>92</v>
      </c>
      <c r="E5752" s="23" t="s">
        <v>81</v>
      </c>
      <c r="F5752" s="23" t="s">
        <v>574</v>
      </c>
      <c r="G5752" s="23" t="s">
        <v>250</v>
      </c>
      <c r="H5752" s="39">
        <f t="shared" si="356"/>
        <v>1848</v>
      </c>
      <c r="I5752" s="23" t="str">
        <f t="shared" si="357"/>
        <v>Hyderabad</v>
      </c>
      <c r="J5752" s="23">
        <f>COUNTIFS(pg_transaction_cleaned!$O:$O,A5752,pg_transaction_cleaned!$F:$F,"CAPTURE")</f>
        <v>1</v>
      </c>
      <c r="K5752" s="39">
        <f>SUMIFS(pg_transaction_cleaned!$H:$H,pg_transaction_cleaned!$O:$O,A5752,pg_transaction_cleaned!$F:$F,"CAPTURE")</f>
        <v>1848</v>
      </c>
      <c r="L5752" s="23">
        <f>COUNTIFS(pg_transaction_cleaned!$O:$O,A5752,pg_transaction_cleaned!$F:$F,"REFUND")</f>
        <v>0</v>
      </c>
      <c r="M5752" s="39">
        <f>SUMIFS(pg_transaction_cleaned!$H:$H,pg_transaction_cleaned!$O:$O,A5752,pg_transaction_cleaned!$F:$F,"REFUND")</f>
        <v>0</v>
      </c>
      <c r="N5752" s="23" t="str">
        <f t="shared" si="358"/>
        <v>OK</v>
      </c>
      <c r="O5752" s="24">
        <f t="shared" si="359"/>
        <v>0</v>
      </c>
    </row>
    <row r="5753" spans="1:15" ht="15" customHeight="1" x14ac:dyDescent="0.3">
      <c r="A5753" s="23" t="s">
        <v>11919</v>
      </c>
      <c r="B5753" s="38">
        <v>46267</v>
      </c>
      <c r="C5753" s="23" t="s">
        <v>11920</v>
      </c>
      <c r="D5753" s="23" t="s">
        <v>91</v>
      </c>
      <c r="E5753" s="23" t="s">
        <v>75</v>
      </c>
      <c r="F5753" s="23" t="s">
        <v>291</v>
      </c>
      <c r="G5753" s="23" t="s">
        <v>365</v>
      </c>
      <c r="H5753" s="39">
        <f t="shared" si="356"/>
        <v>3499</v>
      </c>
      <c r="I5753" s="23" t="str">
        <f t="shared" si="357"/>
        <v>Pune</v>
      </c>
      <c r="J5753" s="23">
        <f>COUNTIFS(pg_transaction_cleaned!$O:$O,A5753,pg_transaction_cleaned!$F:$F,"CAPTURE")</f>
        <v>0</v>
      </c>
      <c r="K5753" s="39">
        <f>SUMIFS(pg_transaction_cleaned!$H:$H,pg_transaction_cleaned!$O:$O,A5753,pg_transaction_cleaned!$F:$F,"CAPTURE")</f>
        <v>0</v>
      </c>
      <c r="L5753" s="23">
        <f>COUNTIFS(pg_transaction_cleaned!$O:$O,A5753,pg_transaction_cleaned!$F:$F,"REFUND")</f>
        <v>0</v>
      </c>
      <c r="M5753" s="39">
        <f>SUMIFS(pg_transaction_cleaned!$H:$H,pg_transaction_cleaned!$O:$O,A5753,pg_transaction_cleaned!$F:$F,"REFUND")</f>
        <v>0</v>
      </c>
      <c r="N5753" s="23" t="str">
        <f t="shared" si="358"/>
        <v>OK</v>
      </c>
      <c r="O5753" s="24">
        <f t="shared" si="359"/>
        <v>0</v>
      </c>
    </row>
    <row r="5754" spans="1:15" ht="15" customHeight="1" x14ac:dyDescent="0.3">
      <c r="A5754" s="23" t="s">
        <v>11921</v>
      </c>
      <c r="B5754" s="38">
        <v>46268</v>
      </c>
      <c r="C5754" s="23" t="s">
        <v>11922</v>
      </c>
      <c r="D5754" s="23" t="s">
        <v>87</v>
      </c>
      <c r="E5754" s="23" t="s">
        <v>75</v>
      </c>
      <c r="F5754" s="23" t="s">
        <v>2954</v>
      </c>
      <c r="G5754" s="23" t="s">
        <v>250</v>
      </c>
      <c r="H5754" s="39">
        <f t="shared" si="356"/>
        <v>1799</v>
      </c>
      <c r="I5754" s="23" t="str">
        <f t="shared" si="357"/>
        <v>Mumbai</v>
      </c>
      <c r="J5754" s="23">
        <f>COUNTIFS(pg_transaction_cleaned!$O:$O,A5754,pg_transaction_cleaned!$F:$F,"CAPTURE")</f>
        <v>1</v>
      </c>
      <c r="K5754" s="39">
        <f>SUMIFS(pg_transaction_cleaned!$H:$H,pg_transaction_cleaned!$O:$O,A5754,pg_transaction_cleaned!$F:$F,"CAPTURE")</f>
        <v>1799</v>
      </c>
      <c r="L5754" s="23">
        <f>COUNTIFS(pg_transaction_cleaned!$O:$O,A5754,pg_transaction_cleaned!$F:$F,"REFUND")</f>
        <v>0</v>
      </c>
      <c r="M5754" s="39">
        <f>SUMIFS(pg_transaction_cleaned!$H:$H,pg_transaction_cleaned!$O:$O,A5754,pg_transaction_cleaned!$F:$F,"REFUND")</f>
        <v>0</v>
      </c>
      <c r="N5754" s="23" t="str">
        <f t="shared" si="358"/>
        <v>OK</v>
      </c>
      <c r="O5754" s="24">
        <f t="shared" si="359"/>
        <v>0</v>
      </c>
    </row>
    <row r="5755" spans="1:15" ht="15" customHeight="1" x14ac:dyDescent="0.3">
      <c r="A5755" s="23" t="s">
        <v>11923</v>
      </c>
      <c r="B5755" s="38">
        <v>46277</v>
      </c>
      <c r="C5755" s="23" t="s">
        <v>11924</v>
      </c>
      <c r="D5755" s="23" t="s">
        <v>88</v>
      </c>
      <c r="E5755" s="23" t="s">
        <v>81</v>
      </c>
      <c r="F5755" s="23" t="s">
        <v>262</v>
      </c>
      <c r="G5755" s="23" t="s">
        <v>250</v>
      </c>
      <c r="H5755" s="39">
        <f t="shared" si="356"/>
        <v>499</v>
      </c>
      <c r="I5755" s="23" t="str">
        <f t="shared" si="357"/>
        <v>Lucknow</v>
      </c>
      <c r="J5755" s="23">
        <f>COUNTIFS(pg_transaction_cleaned!$O:$O,A5755,pg_transaction_cleaned!$F:$F,"CAPTURE")</f>
        <v>1</v>
      </c>
      <c r="K5755" s="39">
        <f>SUMIFS(pg_transaction_cleaned!$H:$H,pg_transaction_cleaned!$O:$O,A5755,pg_transaction_cleaned!$F:$F,"CAPTURE")</f>
        <v>499</v>
      </c>
      <c r="L5755" s="23">
        <f>COUNTIFS(pg_transaction_cleaned!$O:$O,A5755,pg_transaction_cleaned!$F:$F,"REFUND")</f>
        <v>0</v>
      </c>
      <c r="M5755" s="39">
        <f>SUMIFS(pg_transaction_cleaned!$H:$H,pg_transaction_cleaned!$O:$O,A5755,pg_transaction_cleaned!$F:$F,"REFUND")</f>
        <v>0</v>
      </c>
      <c r="N5755" s="23" t="str">
        <f t="shared" si="358"/>
        <v>OK</v>
      </c>
      <c r="O5755" s="24">
        <f t="shared" si="359"/>
        <v>0</v>
      </c>
    </row>
    <row r="5756" spans="1:15" ht="15" customHeight="1" x14ac:dyDescent="0.3">
      <c r="A5756" s="23" t="s">
        <v>11925</v>
      </c>
      <c r="B5756" s="38">
        <v>46271</v>
      </c>
      <c r="C5756" s="23" t="s">
        <v>11926</v>
      </c>
      <c r="D5756" s="23" t="s">
        <v>94</v>
      </c>
      <c r="E5756" s="23" t="s">
        <v>75</v>
      </c>
      <c r="F5756" s="23" t="s">
        <v>315</v>
      </c>
      <c r="G5756" s="23" t="s">
        <v>250</v>
      </c>
      <c r="H5756" s="39">
        <f t="shared" si="356"/>
        <v>1499</v>
      </c>
      <c r="I5756" s="23" t="str">
        <f t="shared" si="357"/>
        <v>Chennai</v>
      </c>
      <c r="J5756" s="23">
        <f>COUNTIFS(pg_transaction_cleaned!$O:$O,A5756,pg_transaction_cleaned!$F:$F,"CAPTURE")</f>
        <v>1</v>
      </c>
      <c r="K5756" s="39">
        <f>SUMIFS(pg_transaction_cleaned!$H:$H,pg_transaction_cleaned!$O:$O,A5756,pg_transaction_cleaned!$F:$F,"CAPTURE")</f>
        <v>1499</v>
      </c>
      <c r="L5756" s="23">
        <f>COUNTIFS(pg_transaction_cleaned!$O:$O,A5756,pg_transaction_cleaned!$F:$F,"REFUND")</f>
        <v>0</v>
      </c>
      <c r="M5756" s="39">
        <f>SUMIFS(pg_transaction_cleaned!$H:$H,pg_transaction_cleaned!$O:$O,A5756,pg_transaction_cleaned!$F:$F,"REFUND")</f>
        <v>0</v>
      </c>
      <c r="N5756" s="23" t="str">
        <f t="shared" si="358"/>
        <v>OK</v>
      </c>
      <c r="O5756" s="24">
        <f t="shared" si="359"/>
        <v>0</v>
      </c>
    </row>
    <row r="5757" spans="1:15" ht="15" customHeight="1" x14ac:dyDescent="0.3">
      <c r="A5757" s="23" t="s">
        <v>11927</v>
      </c>
      <c r="B5757" s="38">
        <v>46284</v>
      </c>
      <c r="C5757" s="23" t="s">
        <v>11928</v>
      </c>
      <c r="D5757" s="23" t="s">
        <v>90</v>
      </c>
      <c r="E5757" s="23" t="s">
        <v>77</v>
      </c>
      <c r="F5757" s="23" t="s">
        <v>262</v>
      </c>
      <c r="G5757" s="23" t="s">
        <v>250</v>
      </c>
      <c r="H5757" s="39">
        <f t="shared" si="356"/>
        <v>499</v>
      </c>
      <c r="I5757" s="23" t="str">
        <f t="shared" si="357"/>
        <v>Ahmedabad</v>
      </c>
      <c r="J5757" s="23">
        <f>COUNTIFS(pg_transaction_cleaned!$O:$O,A5757,pg_transaction_cleaned!$F:$F,"CAPTURE")</f>
        <v>1</v>
      </c>
      <c r="K5757" s="39">
        <f>SUMIFS(pg_transaction_cleaned!$H:$H,pg_transaction_cleaned!$O:$O,A5757,pg_transaction_cleaned!$F:$F,"CAPTURE")</f>
        <v>499</v>
      </c>
      <c r="L5757" s="23">
        <f>COUNTIFS(pg_transaction_cleaned!$O:$O,A5757,pg_transaction_cleaned!$F:$F,"REFUND")</f>
        <v>0</v>
      </c>
      <c r="M5757" s="39">
        <f>SUMIFS(pg_transaction_cleaned!$H:$H,pg_transaction_cleaned!$O:$O,A5757,pg_transaction_cleaned!$F:$F,"REFUND")</f>
        <v>0</v>
      </c>
      <c r="N5757" s="23" t="str">
        <f t="shared" si="358"/>
        <v>OK</v>
      </c>
      <c r="O5757" s="24">
        <f t="shared" si="359"/>
        <v>0</v>
      </c>
    </row>
    <row r="5758" spans="1:15" ht="15" customHeight="1" x14ac:dyDescent="0.3">
      <c r="A5758" s="23" t="s">
        <v>11929</v>
      </c>
      <c r="B5758" s="38">
        <v>46290</v>
      </c>
      <c r="C5758" s="23" t="s">
        <v>8624</v>
      </c>
      <c r="D5758" s="23" t="s">
        <v>95</v>
      </c>
      <c r="E5758" s="23" t="s">
        <v>75</v>
      </c>
      <c r="F5758" s="23" t="s">
        <v>483</v>
      </c>
      <c r="G5758" s="23" t="s">
        <v>250</v>
      </c>
      <c r="H5758" s="39">
        <f t="shared" si="356"/>
        <v>2998</v>
      </c>
      <c r="I5758" s="23" t="str">
        <f t="shared" si="357"/>
        <v>Bengaluru</v>
      </c>
      <c r="J5758" s="23">
        <f>COUNTIFS(pg_transaction_cleaned!$O:$O,A5758,pg_transaction_cleaned!$F:$F,"CAPTURE")</f>
        <v>1</v>
      </c>
      <c r="K5758" s="39">
        <f>SUMIFS(pg_transaction_cleaned!$H:$H,pg_transaction_cleaned!$O:$O,A5758,pg_transaction_cleaned!$F:$F,"CAPTURE")</f>
        <v>2998</v>
      </c>
      <c r="L5758" s="23">
        <f>COUNTIFS(pg_transaction_cleaned!$O:$O,A5758,pg_transaction_cleaned!$F:$F,"REFUND")</f>
        <v>0</v>
      </c>
      <c r="M5758" s="39">
        <f>SUMIFS(pg_transaction_cleaned!$H:$H,pg_transaction_cleaned!$O:$O,A5758,pg_transaction_cleaned!$F:$F,"REFUND")</f>
        <v>0</v>
      </c>
      <c r="N5758" s="23" t="str">
        <f t="shared" si="358"/>
        <v>OK</v>
      </c>
      <c r="O5758" s="24">
        <f t="shared" si="359"/>
        <v>0</v>
      </c>
    </row>
    <row r="5759" spans="1:15" ht="15" customHeight="1" x14ac:dyDescent="0.3">
      <c r="A5759" s="23" t="s">
        <v>11930</v>
      </c>
      <c r="B5759" s="38">
        <v>46276</v>
      </c>
      <c r="C5759" s="23" t="s">
        <v>11931</v>
      </c>
      <c r="D5759" s="23" t="s">
        <v>95</v>
      </c>
      <c r="E5759" s="23" t="s">
        <v>79</v>
      </c>
      <c r="F5759" s="23" t="s">
        <v>564</v>
      </c>
      <c r="G5759" s="23" t="s">
        <v>250</v>
      </c>
      <c r="H5759" s="39">
        <f t="shared" si="356"/>
        <v>6397</v>
      </c>
      <c r="I5759" s="23" t="str">
        <f t="shared" si="357"/>
        <v>Bengaluru</v>
      </c>
      <c r="J5759" s="23">
        <f>COUNTIFS(pg_transaction_cleaned!$O:$O,A5759,pg_transaction_cleaned!$F:$F,"CAPTURE")</f>
        <v>1</v>
      </c>
      <c r="K5759" s="39">
        <f>SUMIFS(pg_transaction_cleaned!$H:$H,pg_transaction_cleaned!$O:$O,A5759,pg_transaction_cleaned!$F:$F,"CAPTURE")</f>
        <v>6397</v>
      </c>
      <c r="L5759" s="23">
        <f>COUNTIFS(pg_transaction_cleaned!$O:$O,A5759,pg_transaction_cleaned!$F:$F,"REFUND")</f>
        <v>0</v>
      </c>
      <c r="M5759" s="39">
        <f>SUMIFS(pg_transaction_cleaned!$H:$H,pg_transaction_cleaned!$O:$O,A5759,pg_transaction_cleaned!$F:$F,"REFUND")</f>
        <v>0</v>
      </c>
      <c r="N5759" s="23" t="str">
        <f t="shared" si="358"/>
        <v>OK</v>
      </c>
      <c r="O5759" s="24">
        <f t="shared" si="359"/>
        <v>0</v>
      </c>
    </row>
    <row r="5760" spans="1:15" ht="15" customHeight="1" x14ac:dyDescent="0.3">
      <c r="A5760" s="23" t="s">
        <v>11932</v>
      </c>
      <c r="B5760" s="38">
        <v>46289</v>
      </c>
      <c r="C5760" s="23" t="s">
        <v>11933</v>
      </c>
      <c r="D5760" s="23" t="s">
        <v>93</v>
      </c>
      <c r="E5760" s="23" t="s">
        <v>77</v>
      </c>
      <c r="F5760" s="23" t="s">
        <v>1596</v>
      </c>
      <c r="G5760" s="23" t="s">
        <v>250</v>
      </c>
      <c r="H5760" s="39">
        <f t="shared" si="356"/>
        <v>3499</v>
      </c>
      <c r="I5760" s="23" t="str">
        <f t="shared" si="357"/>
        <v>Kolkata</v>
      </c>
      <c r="J5760" s="23">
        <f>COUNTIFS(pg_transaction_cleaned!$O:$O,A5760,pg_transaction_cleaned!$F:$F,"CAPTURE")</f>
        <v>1</v>
      </c>
      <c r="K5760" s="39">
        <f>SUMIFS(pg_transaction_cleaned!$H:$H,pg_transaction_cleaned!$O:$O,A5760,pg_transaction_cleaned!$F:$F,"CAPTURE")</f>
        <v>3499</v>
      </c>
      <c r="L5760" s="23">
        <f>COUNTIFS(pg_transaction_cleaned!$O:$O,A5760,pg_transaction_cleaned!$F:$F,"REFUND")</f>
        <v>0</v>
      </c>
      <c r="M5760" s="39">
        <f>SUMIFS(pg_transaction_cleaned!$H:$H,pg_transaction_cleaned!$O:$O,A5760,pg_transaction_cleaned!$F:$F,"REFUND")</f>
        <v>0</v>
      </c>
      <c r="N5760" s="23" t="str">
        <f t="shared" si="358"/>
        <v>OK</v>
      </c>
      <c r="O5760" s="24">
        <f t="shared" si="359"/>
        <v>0</v>
      </c>
    </row>
    <row r="5761" spans="1:15" ht="15" customHeight="1" x14ac:dyDescent="0.3">
      <c r="A5761" s="23" t="s">
        <v>11934</v>
      </c>
      <c r="B5761" s="38">
        <v>46290</v>
      </c>
      <c r="C5761" s="23" t="s">
        <v>11935</v>
      </c>
      <c r="D5761" s="23" t="s">
        <v>87</v>
      </c>
      <c r="E5761" s="23" t="s">
        <v>75</v>
      </c>
      <c r="F5761" s="23" t="s">
        <v>6316</v>
      </c>
      <c r="G5761" s="23" t="s">
        <v>250</v>
      </c>
      <c r="H5761" s="39">
        <f t="shared" si="356"/>
        <v>3347</v>
      </c>
      <c r="I5761" s="23" t="str">
        <f t="shared" si="357"/>
        <v>Mumbai</v>
      </c>
      <c r="J5761" s="23">
        <f>COUNTIFS(pg_transaction_cleaned!$O:$O,A5761,pg_transaction_cleaned!$F:$F,"CAPTURE")</f>
        <v>1</v>
      </c>
      <c r="K5761" s="39">
        <f>SUMIFS(pg_transaction_cleaned!$H:$H,pg_transaction_cleaned!$O:$O,A5761,pg_transaction_cleaned!$F:$F,"CAPTURE")</f>
        <v>3347</v>
      </c>
      <c r="L5761" s="23">
        <f>COUNTIFS(pg_transaction_cleaned!$O:$O,A5761,pg_transaction_cleaned!$F:$F,"REFUND")</f>
        <v>0</v>
      </c>
      <c r="M5761" s="39">
        <f>SUMIFS(pg_transaction_cleaned!$H:$H,pg_transaction_cleaned!$O:$O,A5761,pg_transaction_cleaned!$F:$F,"REFUND")</f>
        <v>0</v>
      </c>
      <c r="N5761" s="23" t="str">
        <f t="shared" si="358"/>
        <v>OK</v>
      </c>
      <c r="O5761" s="24">
        <f t="shared" si="359"/>
        <v>0</v>
      </c>
    </row>
    <row r="5762" spans="1:15" ht="15" customHeight="1" x14ac:dyDescent="0.3">
      <c r="A5762" s="23" t="s">
        <v>11936</v>
      </c>
      <c r="B5762" s="38">
        <v>46270</v>
      </c>
      <c r="C5762" s="23" t="s">
        <v>11937</v>
      </c>
      <c r="D5762" s="23" t="s">
        <v>95</v>
      </c>
      <c r="E5762" s="23" t="s">
        <v>75</v>
      </c>
      <c r="F5762" s="23" t="s">
        <v>349</v>
      </c>
      <c r="G5762" s="23" t="s">
        <v>250</v>
      </c>
      <c r="H5762" s="39">
        <f t="shared" ref="H5762:H5825" si="360">VALUE(SUBSTITUTE(F5762,",",""))</f>
        <v>1798</v>
      </c>
      <c r="I5762" s="23" t="str">
        <f t="shared" ref="I5762:I5825" si="361">IF(TRIM(D5762)="","Unknown",TRIM(D5762))</f>
        <v>Bengaluru</v>
      </c>
      <c r="J5762" s="23">
        <f>COUNTIFS(pg_transaction_cleaned!$O:$O,A5762,pg_transaction_cleaned!$F:$F,"CAPTURE")</f>
        <v>1</v>
      </c>
      <c r="K5762" s="39">
        <f>SUMIFS(pg_transaction_cleaned!$H:$H,pg_transaction_cleaned!$O:$O,A5762,pg_transaction_cleaned!$F:$F,"CAPTURE")</f>
        <v>1798</v>
      </c>
      <c r="L5762" s="23">
        <f>COUNTIFS(pg_transaction_cleaned!$O:$O,A5762,pg_transaction_cleaned!$F:$F,"REFUND")</f>
        <v>0</v>
      </c>
      <c r="M5762" s="39">
        <f>SUMIFS(pg_transaction_cleaned!$H:$H,pg_transaction_cleaned!$O:$O,A5762,pg_transaction_cleaned!$F:$F,"REFUND")</f>
        <v>0</v>
      </c>
      <c r="N5762" s="23" t="str">
        <f t="shared" ref="N5762:N5825" si="362">IF(AND(G5762="Paid",J5762=0),"Paid, no payment",IF(AND(OR(G5762="Failed",G5762="Cancelled"),J5762&gt;0),"Payment on failed/cancelled",IF(J5762&gt;1,"Duplicate charge",IF(AND(J5762=1,ROUND(K5762-H5762,2)&lt;&gt;0),"Amount difference",IF(AND(G5762="Refunded",L5762=0),"Refunded, no refund",IF(AND(G5762&lt;&gt;"Refunded",L5762&gt;0),"Refund, order not Refunded",IF(AND(L5762&gt;0,ROUND(M5762-H5762,2)&lt;&gt;0),"Refund amount differs","OK")))))))</f>
        <v>OK</v>
      </c>
      <c r="O5762" s="24">
        <f t="shared" ref="O5762:O5825" si="363">IF(N5762="OK",0,IF(N5762="Paid, no payment",H5762,IF(N5762="Payment on failed/cancelled",K5762,IF(OR(N5762="Duplicate charge",N5762="Amount difference"),K5762-H5762,IF(N5762="Refunded, no refund",H5762,M5762)))))</f>
        <v>0</v>
      </c>
    </row>
    <row r="5763" spans="1:15" ht="15" customHeight="1" x14ac:dyDescent="0.3">
      <c r="A5763" s="23" t="s">
        <v>11938</v>
      </c>
      <c r="B5763" s="38">
        <v>46294</v>
      </c>
      <c r="C5763" s="23" t="s">
        <v>11939</v>
      </c>
      <c r="D5763" s="23"/>
      <c r="E5763" s="23" t="s">
        <v>77</v>
      </c>
      <c r="F5763" s="23" t="s">
        <v>1206</v>
      </c>
      <c r="G5763" s="23" t="s">
        <v>250</v>
      </c>
      <c r="H5763" s="39">
        <f t="shared" si="360"/>
        <v>7297</v>
      </c>
      <c r="I5763" s="23" t="str">
        <f t="shared" si="361"/>
        <v>Unknown</v>
      </c>
      <c r="J5763" s="23">
        <f>COUNTIFS(pg_transaction_cleaned!$O:$O,A5763,pg_transaction_cleaned!$F:$F,"CAPTURE")</f>
        <v>1</v>
      </c>
      <c r="K5763" s="39">
        <f>SUMIFS(pg_transaction_cleaned!$H:$H,pg_transaction_cleaned!$O:$O,A5763,pg_transaction_cleaned!$F:$F,"CAPTURE")</f>
        <v>7297</v>
      </c>
      <c r="L5763" s="23">
        <f>COUNTIFS(pg_transaction_cleaned!$O:$O,A5763,pg_transaction_cleaned!$F:$F,"REFUND")</f>
        <v>0</v>
      </c>
      <c r="M5763" s="39">
        <f>SUMIFS(pg_transaction_cleaned!$H:$H,pg_transaction_cleaned!$O:$O,A5763,pg_transaction_cleaned!$F:$F,"REFUND")</f>
        <v>0</v>
      </c>
      <c r="N5763" s="23" t="str">
        <f t="shared" si="362"/>
        <v>OK</v>
      </c>
      <c r="O5763" s="24">
        <f t="shared" si="363"/>
        <v>0</v>
      </c>
    </row>
    <row r="5764" spans="1:15" ht="15" customHeight="1" x14ac:dyDescent="0.3">
      <c r="A5764" s="23" t="s">
        <v>11940</v>
      </c>
      <c r="B5764" s="38">
        <v>46291</v>
      </c>
      <c r="C5764" s="23" t="s">
        <v>11941</v>
      </c>
      <c r="D5764" s="23" t="s">
        <v>90</v>
      </c>
      <c r="E5764" s="23" t="s">
        <v>75</v>
      </c>
      <c r="F5764" s="23" t="s">
        <v>329</v>
      </c>
      <c r="G5764" s="23" t="s">
        <v>250</v>
      </c>
      <c r="H5764" s="39">
        <f t="shared" si="360"/>
        <v>599</v>
      </c>
      <c r="I5764" s="23" t="str">
        <f t="shared" si="361"/>
        <v>Ahmedabad</v>
      </c>
      <c r="J5764" s="23">
        <f>COUNTIFS(pg_transaction_cleaned!$O:$O,A5764,pg_transaction_cleaned!$F:$F,"CAPTURE")</f>
        <v>1</v>
      </c>
      <c r="K5764" s="39">
        <f>SUMIFS(pg_transaction_cleaned!$H:$H,pg_transaction_cleaned!$O:$O,A5764,pg_transaction_cleaned!$F:$F,"CAPTURE")</f>
        <v>599</v>
      </c>
      <c r="L5764" s="23">
        <f>COUNTIFS(pg_transaction_cleaned!$O:$O,A5764,pg_transaction_cleaned!$F:$F,"REFUND")</f>
        <v>0</v>
      </c>
      <c r="M5764" s="39">
        <f>SUMIFS(pg_transaction_cleaned!$H:$H,pg_transaction_cleaned!$O:$O,A5764,pg_transaction_cleaned!$F:$F,"REFUND")</f>
        <v>0</v>
      </c>
      <c r="N5764" s="23" t="str">
        <f t="shared" si="362"/>
        <v>OK</v>
      </c>
      <c r="O5764" s="24">
        <f t="shared" si="363"/>
        <v>0</v>
      </c>
    </row>
    <row r="5765" spans="1:15" ht="15" customHeight="1" x14ac:dyDescent="0.3">
      <c r="A5765" s="23" t="s">
        <v>11942</v>
      </c>
      <c r="B5765" s="38">
        <v>46273</v>
      </c>
      <c r="C5765" s="23" t="s">
        <v>11943</v>
      </c>
      <c r="D5765" s="23" t="s">
        <v>89</v>
      </c>
      <c r="E5765" s="23" t="s">
        <v>75</v>
      </c>
      <c r="F5765" s="23" t="s">
        <v>249</v>
      </c>
      <c r="G5765" s="23" t="s">
        <v>250</v>
      </c>
      <c r="H5765" s="39">
        <f t="shared" si="360"/>
        <v>299</v>
      </c>
      <c r="I5765" s="23" t="str">
        <f t="shared" si="361"/>
        <v>Jaipur</v>
      </c>
      <c r="J5765" s="23">
        <f>COUNTIFS(pg_transaction_cleaned!$O:$O,A5765,pg_transaction_cleaned!$F:$F,"CAPTURE")</f>
        <v>1</v>
      </c>
      <c r="K5765" s="39">
        <f>SUMIFS(pg_transaction_cleaned!$H:$H,pg_transaction_cleaned!$O:$O,A5765,pg_transaction_cleaned!$F:$F,"CAPTURE")</f>
        <v>299</v>
      </c>
      <c r="L5765" s="23">
        <f>COUNTIFS(pg_transaction_cleaned!$O:$O,A5765,pg_transaction_cleaned!$F:$F,"REFUND")</f>
        <v>0</v>
      </c>
      <c r="M5765" s="39">
        <f>SUMIFS(pg_transaction_cleaned!$H:$H,pg_transaction_cleaned!$O:$O,A5765,pg_transaction_cleaned!$F:$F,"REFUND")</f>
        <v>0</v>
      </c>
      <c r="N5765" s="23" t="str">
        <f t="shared" si="362"/>
        <v>OK</v>
      </c>
      <c r="O5765" s="24">
        <f t="shared" si="363"/>
        <v>0</v>
      </c>
    </row>
    <row r="5766" spans="1:15" ht="15" customHeight="1" x14ac:dyDescent="0.3">
      <c r="A5766" s="23" t="s">
        <v>11944</v>
      </c>
      <c r="B5766" s="38">
        <v>46272</v>
      </c>
      <c r="C5766" s="23" t="s">
        <v>11945</v>
      </c>
      <c r="D5766" s="23" t="s">
        <v>94</v>
      </c>
      <c r="E5766" s="23" t="s">
        <v>75</v>
      </c>
      <c r="F5766" s="23" t="s">
        <v>294</v>
      </c>
      <c r="G5766" s="23" t="s">
        <v>250</v>
      </c>
      <c r="H5766" s="39">
        <f t="shared" si="360"/>
        <v>1799</v>
      </c>
      <c r="I5766" s="23" t="str">
        <f t="shared" si="361"/>
        <v>Chennai</v>
      </c>
      <c r="J5766" s="23">
        <f>COUNTIFS(pg_transaction_cleaned!$O:$O,A5766,pg_transaction_cleaned!$F:$F,"CAPTURE")</f>
        <v>1</v>
      </c>
      <c r="K5766" s="39">
        <f>SUMIFS(pg_transaction_cleaned!$H:$H,pg_transaction_cleaned!$O:$O,A5766,pg_transaction_cleaned!$F:$F,"CAPTURE")</f>
        <v>1799</v>
      </c>
      <c r="L5766" s="23">
        <f>COUNTIFS(pg_transaction_cleaned!$O:$O,A5766,pg_transaction_cleaned!$F:$F,"REFUND")</f>
        <v>0</v>
      </c>
      <c r="M5766" s="39">
        <f>SUMIFS(pg_transaction_cleaned!$H:$H,pg_transaction_cleaned!$O:$O,A5766,pg_transaction_cleaned!$F:$F,"REFUND")</f>
        <v>0</v>
      </c>
      <c r="N5766" s="23" t="str">
        <f t="shared" si="362"/>
        <v>OK</v>
      </c>
      <c r="O5766" s="24">
        <f t="shared" si="363"/>
        <v>0</v>
      </c>
    </row>
    <row r="5767" spans="1:15" ht="15" customHeight="1" x14ac:dyDescent="0.3">
      <c r="A5767" s="23" t="s">
        <v>11946</v>
      </c>
      <c r="B5767" s="38">
        <v>46267</v>
      </c>
      <c r="C5767" s="23" t="s">
        <v>11947</v>
      </c>
      <c r="D5767" s="23" t="s">
        <v>91</v>
      </c>
      <c r="E5767" s="23" t="s">
        <v>75</v>
      </c>
      <c r="F5767" s="23" t="s">
        <v>370</v>
      </c>
      <c r="G5767" s="23" t="s">
        <v>250</v>
      </c>
      <c r="H5767" s="39">
        <f t="shared" si="360"/>
        <v>3098</v>
      </c>
      <c r="I5767" s="23" t="str">
        <f t="shared" si="361"/>
        <v>Pune</v>
      </c>
      <c r="J5767" s="23">
        <f>COUNTIFS(pg_transaction_cleaned!$O:$O,A5767,pg_transaction_cleaned!$F:$F,"CAPTURE")</f>
        <v>1</v>
      </c>
      <c r="K5767" s="39">
        <f>SUMIFS(pg_transaction_cleaned!$H:$H,pg_transaction_cleaned!$O:$O,A5767,pg_transaction_cleaned!$F:$F,"CAPTURE")</f>
        <v>3098</v>
      </c>
      <c r="L5767" s="23">
        <f>COUNTIFS(pg_transaction_cleaned!$O:$O,A5767,pg_transaction_cleaned!$F:$F,"REFUND")</f>
        <v>0</v>
      </c>
      <c r="M5767" s="39">
        <f>SUMIFS(pg_transaction_cleaned!$H:$H,pg_transaction_cleaned!$O:$O,A5767,pg_transaction_cleaned!$F:$F,"REFUND")</f>
        <v>0</v>
      </c>
      <c r="N5767" s="23" t="str">
        <f t="shared" si="362"/>
        <v>OK</v>
      </c>
      <c r="O5767" s="24">
        <f t="shared" si="363"/>
        <v>0</v>
      </c>
    </row>
    <row r="5768" spans="1:15" ht="15" customHeight="1" x14ac:dyDescent="0.3">
      <c r="A5768" s="23" t="s">
        <v>11948</v>
      </c>
      <c r="B5768" s="38">
        <v>46270</v>
      </c>
      <c r="C5768" s="23" t="s">
        <v>11949</v>
      </c>
      <c r="D5768" s="23" t="s">
        <v>92</v>
      </c>
      <c r="E5768" s="23" t="s">
        <v>75</v>
      </c>
      <c r="F5768" s="23" t="s">
        <v>256</v>
      </c>
      <c r="G5768" s="23" t="s">
        <v>365</v>
      </c>
      <c r="H5768" s="39">
        <f t="shared" si="360"/>
        <v>2098</v>
      </c>
      <c r="I5768" s="23" t="str">
        <f t="shared" si="361"/>
        <v>Hyderabad</v>
      </c>
      <c r="J5768" s="23">
        <f>COUNTIFS(pg_transaction_cleaned!$O:$O,A5768,pg_transaction_cleaned!$F:$F,"CAPTURE")</f>
        <v>0</v>
      </c>
      <c r="K5768" s="39">
        <f>SUMIFS(pg_transaction_cleaned!$H:$H,pg_transaction_cleaned!$O:$O,A5768,pg_transaction_cleaned!$F:$F,"CAPTURE")</f>
        <v>0</v>
      </c>
      <c r="L5768" s="23">
        <f>COUNTIFS(pg_transaction_cleaned!$O:$O,A5768,pg_transaction_cleaned!$F:$F,"REFUND")</f>
        <v>0</v>
      </c>
      <c r="M5768" s="39">
        <f>SUMIFS(pg_transaction_cleaned!$H:$H,pg_transaction_cleaned!$O:$O,A5768,pg_transaction_cleaned!$F:$F,"REFUND")</f>
        <v>0</v>
      </c>
      <c r="N5768" s="23" t="str">
        <f t="shared" si="362"/>
        <v>OK</v>
      </c>
      <c r="O5768" s="24">
        <f t="shared" si="363"/>
        <v>0</v>
      </c>
    </row>
    <row r="5769" spans="1:15" ht="15" customHeight="1" x14ac:dyDescent="0.3">
      <c r="A5769" s="23" t="s">
        <v>11950</v>
      </c>
      <c r="B5769" s="38">
        <v>46282</v>
      </c>
      <c r="C5769" s="23" t="s">
        <v>11951</v>
      </c>
      <c r="D5769" s="23" t="s">
        <v>90</v>
      </c>
      <c r="E5769" s="23" t="s">
        <v>79</v>
      </c>
      <c r="F5769" s="23" t="s">
        <v>249</v>
      </c>
      <c r="G5769" s="23" t="s">
        <v>365</v>
      </c>
      <c r="H5769" s="39">
        <f t="shared" si="360"/>
        <v>299</v>
      </c>
      <c r="I5769" s="23" t="str">
        <f t="shared" si="361"/>
        <v>Ahmedabad</v>
      </c>
      <c r="J5769" s="23">
        <f>COUNTIFS(pg_transaction_cleaned!$O:$O,A5769,pg_transaction_cleaned!$F:$F,"CAPTURE")</f>
        <v>0</v>
      </c>
      <c r="K5769" s="39">
        <f>SUMIFS(pg_transaction_cleaned!$H:$H,pg_transaction_cleaned!$O:$O,A5769,pg_transaction_cleaned!$F:$F,"CAPTURE")</f>
        <v>0</v>
      </c>
      <c r="L5769" s="23">
        <f>COUNTIFS(pg_transaction_cleaned!$O:$O,A5769,pg_transaction_cleaned!$F:$F,"REFUND")</f>
        <v>0</v>
      </c>
      <c r="M5769" s="39">
        <f>SUMIFS(pg_transaction_cleaned!$H:$H,pg_transaction_cleaned!$O:$O,A5769,pg_transaction_cleaned!$F:$F,"REFUND")</f>
        <v>0</v>
      </c>
      <c r="N5769" s="23" t="str">
        <f t="shared" si="362"/>
        <v>OK</v>
      </c>
      <c r="O5769" s="24">
        <f t="shared" si="363"/>
        <v>0</v>
      </c>
    </row>
    <row r="5770" spans="1:15" ht="15" customHeight="1" x14ac:dyDescent="0.3">
      <c r="A5770" s="23" t="s">
        <v>11952</v>
      </c>
      <c r="B5770" s="38">
        <v>46287</v>
      </c>
      <c r="C5770" s="23" t="s">
        <v>11953</v>
      </c>
      <c r="D5770" s="23" t="s">
        <v>89</v>
      </c>
      <c r="E5770" s="23" t="s">
        <v>77</v>
      </c>
      <c r="F5770" s="23" t="s">
        <v>271</v>
      </c>
      <c r="G5770" s="23" t="s">
        <v>250</v>
      </c>
      <c r="H5770" s="39">
        <f t="shared" si="360"/>
        <v>2499</v>
      </c>
      <c r="I5770" s="23" t="str">
        <f t="shared" si="361"/>
        <v>Jaipur</v>
      </c>
      <c r="J5770" s="23">
        <f>COUNTIFS(pg_transaction_cleaned!$O:$O,A5770,pg_transaction_cleaned!$F:$F,"CAPTURE")</f>
        <v>1</v>
      </c>
      <c r="K5770" s="39">
        <f>SUMIFS(pg_transaction_cleaned!$H:$H,pg_transaction_cleaned!$O:$O,A5770,pg_transaction_cleaned!$F:$F,"CAPTURE")</f>
        <v>2499</v>
      </c>
      <c r="L5770" s="23">
        <f>COUNTIFS(pg_transaction_cleaned!$O:$O,A5770,pg_transaction_cleaned!$F:$F,"REFUND")</f>
        <v>0</v>
      </c>
      <c r="M5770" s="39">
        <f>SUMIFS(pg_transaction_cleaned!$H:$H,pg_transaction_cleaned!$O:$O,A5770,pg_transaction_cleaned!$F:$F,"REFUND")</f>
        <v>0</v>
      </c>
      <c r="N5770" s="23" t="str">
        <f t="shared" si="362"/>
        <v>OK</v>
      </c>
      <c r="O5770" s="24">
        <f t="shared" si="363"/>
        <v>0</v>
      </c>
    </row>
    <row r="5771" spans="1:15" ht="15" customHeight="1" x14ac:dyDescent="0.3">
      <c r="A5771" s="23" t="s">
        <v>11954</v>
      </c>
      <c r="B5771" s="38">
        <v>46270</v>
      </c>
      <c r="C5771" s="23" t="s">
        <v>11955</v>
      </c>
      <c r="D5771" s="23" t="s">
        <v>86</v>
      </c>
      <c r="E5771" s="23" t="s">
        <v>79</v>
      </c>
      <c r="F5771" s="23" t="s">
        <v>717</v>
      </c>
      <c r="G5771" s="23" t="s">
        <v>250</v>
      </c>
      <c r="H5771" s="39">
        <f t="shared" si="360"/>
        <v>5298</v>
      </c>
      <c r="I5771" s="23" t="str">
        <f t="shared" si="361"/>
        <v>Delhi</v>
      </c>
      <c r="J5771" s="23">
        <f>COUNTIFS(pg_transaction_cleaned!$O:$O,A5771,pg_transaction_cleaned!$F:$F,"CAPTURE")</f>
        <v>1</v>
      </c>
      <c r="K5771" s="39">
        <f>SUMIFS(pg_transaction_cleaned!$H:$H,pg_transaction_cleaned!$O:$O,A5771,pg_transaction_cleaned!$F:$F,"CAPTURE")</f>
        <v>5298</v>
      </c>
      <c r="L5771" s="23">
        <f>COUNTIFS(pg_transaction_cleaned!$O:$O,A5771,pg_transaction_cleaned!$F:$F,"REFUND")</f>
        <v>0</v>
      </c>
      <c r="M5771" s="39">
        <f>SUMIFS(pg_transaction_cleaned!$H:$H,pg_transaction_cleaned!$O:$O,A5771,pg_transaction_cleaned!$F:$F,"REFUND")</f>
        <v>0</v>
      </c>
      <c r="N5771" s="23" t="str">
        <f t="shared" si="362"/>
        <v>OK</v>
      </c>
      <c r="O5771" s="24">
        <f t="shared" si="363"/>
        <v>0</v>
      </c>
    </row>
    <row r="5772" spans="1:15" ht="15" customHeight="1" x14ac:dyDescent="0.3">
      <c r="A5772" s="23" t="s">
        <v>11956</v>
      </c>
      <c r="B5772" s="38">
        <v>46271</v>
      </c>
      <c r="C5772" s="23" t="s">
        <v>11957</v>
      </c>
      <c r="D5772" s="23" t="s">
        <v>91</v>
      </c>
      <c r="E5772" s="23" t="s">
        <v>75</v>
      </c>
      <c r="F5772" s="23" t="s">
        <v>294</v>
      </c>
      <c r="G5772" s="23" t="s">
        <v>250</v>
      </c>
      <c r="H5772" s="39">
        <f t="shared" si="360"/>
        <v>1799</v>
      </c>
      <c r="I5772" s="23" t="str">
        <f t="shared" si="361"/>
        <v>Pune</v>
      </c>
      <c r="J5772" s="23">
        <f>COUNTIFS(pg_transaction_cleaned!$O:$O,A5772,pg_transaction_cleaned!$F:$F,"CAPTURE")</f>
        <v>1</v>
      </c>
      <c r="K5772" s="39">
        <f>SUMIFS(pg_transaction_cleaned!$H:$H,pg_transaction_cleaned!$O:$O,A5772,pg_transaction_cleaned!$F:$F,"CAPTURE")</f>
        <v>1799</v>
      </c>
      <c r="L5772" s="23">
        <f>COUNTIFS(pg_transaction_cleaned!$O:$O,A5772,pg_transaction_cleaned!$F:$F,"REFUND")</f>
        <v>0</v>
      </c>
      <c r="M5772" s="39">
        <f>SUMIFS(pg_transaction_cleaned!$H:$H,pg_transaction_cleaned!$O:$O,A5772,pg_transaction_cleaned!$F:$F,"REFUND")</f>
        <v>0</v>
      </c>
      <c r="N5772" s="23" t="str">
        <f t="shared" si="362"/>
        <v>OK</v>
      </c>
      <c r="O5772" s="24">
        <f t="shared" si="363"/>
        <v>0</v>
      </c>
    </row>
    <row r="5773" spans="1:15" ht="15" customHeight="1" x14ac:dyDescent="0.3">
      <c r="A5773" s="23" t="s">
        <v>11958</v>
      </c>
      <c r="B5773" s="38">
        <v>46282</v>
      </c>
      <c r="C5773" s="23" t="s">
        <v>8302</v>
      </c>
      <c r="D5773" s="23" t="s">
        <v>88</v>
      </c>
      <c r="E5773" s="23" t="s">
        <v>75</v>
      </c>
      <c r="F5773" s="23" t="s">
        <v>1735</v>
      </c>
      <c r="G5773" s="23" t="s">
        <v>301</v>
      </c>
      <c r="H5773" s="39">
        <f t="shared" si="360"/>
        <v>12998</v>
      </c>
      <c r="I5773" s="23" t="str">
        <f t="shared" si="361"/>
        <v>Lucknow</v>
      </c>
      <c r="J5773" s="23">
        <f>COUNTIFS(pg_transaction_cleaned!$O:$O,A5773,pg_transaction_cleaned!$F:$F,"CAPTURE")</f>
        <v>1</v>
      </c>
      <c r="K5773" s="39">
        <f>SUMIFS(pg_transaction_cleaned!$H:$H,pg_transaction_cleaned!$O:$O,A5773,pg_transaction_cleaned!$F:$F,"CAPTURE")</f>
        <v>12998</v>
      </c>
      <c r="L5773" s="23">
        <f>COUNTIFS(pg_transaction_cleaned!$O:$O,A5773,pg_transaction_cleaned!$F:$F,"REFUND")</f>
        <v>1</v>
      </c>
      <c r="M5773" s="39">
        <f>SUMIFS(pg_transaction_cleaned!$H:$H,pg_transaction_cleaned!$O:$O,A5773,pg_transaction_cleaned!$F:$F,"REFUND")</f>
        <v>12998</v>
      </c>
      <c r="N5773" s="23" t="str">
        <f t="shared" si="362"/>
        <v>OK</v>
      </c>
      <c r="O5773" s="24">
        <f t="shared" si="363"/>
        <v>0</v>
      </c>
    </row>
    <row r="5774" spans="1:15" ht="15" customHeight="1" x14ac:dyDescent="0.3">
      <c r="A5774" s="23" t="s">
        <v>11959</v>
      </c>
      <c r="B5774" s="38">
        <v>46286</v>
      </c>
      <c r="C5774" s="23" t="s">
        <v>11960</v>
      </c>
      <c r="D5774" s="23" t="s">
        <v>91</v>
      </c>
      <c r="E5774" s="23" t="s">
        <v>75</v>
      </c>
      <c r="F5774" s="23" t="s">
        <v>561</v>
      </c>
      <c r="G5774" s="23" t="s">
        <v>250</v>
      </c>
      <c r="H5774" s="39">
        <f t="shared" si="360"/>
        <v>4797</v>
      </c>
      <c r="I5774" s="23" t="str">
        <f t="shared" si="361"/>
        <v>Pune</v>
      </c>
      <c r="J5774" s="23">
        <f>COUNTIFS(pg_transaction_cleaned!$O:$O,A5774,pg_transaction_cleaned!$F:$F,"CAPTURE")</f>
        <v>1</v>
      </c>
      <c r="K5774" s="39">
        <f>SUMIFS(pg_transaction_cleaned!$H:$H,pg_transaction_cleaned!$O:$O,A5774,pg_transaction_cleaned!$F:$F,"CAPTURE")</f>
        <v>4797</v>
      </c>
      <c r="L5774" s="23">
        <f>COUNTIFS(pg_transaction_cleaned!$O:$O,A5774,pg_transaction_cleaned!$F:$F,"REFUND")</f>
        <v>0</v>
      </c>
      <c r="M5774" s="39">
        <f>SUMIFS(pg_transaction_cleaned!$H:$H,pg_transaction_cleaned!$O:$O,A5774,pg_transaction_cleaned!$F:$F,"REFUND")</f>
        <v>0</v>
      </c>
      <c r="N5774" s="23" t="str">
        <f t="shared" si="362"/>
        <v>OK</v>
      </c>
      <c r="O5774" s="24">
        <f t="shared" si="363"/>
        <v>0</v>
      </c>
    </row>
    <row r="5775" spans="1:15" ht="15" customHeight="1" x14ac:dyDescent="0.3">
      <c r="A5775" s="23" t="s">
        <v>11961</v>
      </c>
      <c r="B5775" s="38">
        <v>46292</v>
      </c>
      <c r="C5775" s="23" t="s">
        <v>11962</v>
      </c>
      <c r="D5775" s="23" t="s">
        <v>89</v>
      </c>
      <c r="E5775" s="23" t="s">
        <v>79</v>
      </c>
      <c r="F5775" s="23" t="s">
        <v>297</v>
      </c>
      <c r="G5775" s="23" t="s">
        <v>250</v>
      </c>
      <c r="H5775" s="39">
        <f t="shared" si="360"/>
        <v>4999</v>
      </c>
      <c r="I5775" s="23" t="str">
        <f t="shared" si="361"/>
        <v>Jaipur</v>
      </c>
      <c r="J5775" s="23">
        <f>COUNTIFS(pg_transaction_cleaned!$O:$O,A5775,pg_transaction_cleaned!$F:$F,"CAPTURE")</f>
        <v>1</v>
      </c>
      <c r="K5775" s="39">
        <f>SUMIFS(pg_transaction_cleaned!$H:$H,pg_transaction_cleaned!$O:$O,A5775,pg_transaction_cleaned!$F:$F,"CAPTURE")</f>
        <v>4999</v>
      </c>
      <c r="L5775" s="23">
        <f>COUNTIFS(pg_transaction_cleaned!$O:$O,A5775,pg_transaction_cleaned!$F:$F,"REFUND")</f>
        <v>0</v>
      </c>
      <c r="M5775" s="39">
        <f>SUMIFS(pg_transaction_cleaned!$H:$H,pg_transaction_cleaned!$O:$O,A5775,pg_transaction_cleaned!$F:$F,"REFUND")</f>
        <v>0</v>
      </c>
      <c r="N5775" s="23" t="str">
        <f t="shared" si="362"/>
        <v>OK</v>
      </c>
      <c r="O5775" s="24">
        <f t="shared" si="363"/>
        <v>0</v>
      </c>
    </row>
    <row r="5776" spans="1:15" ht="15" customHeight="1" x14ac:dyDescent="0.3">
      <c r="A5776" s="23" t="s">
        <v>11963</v>
      </c>
      <c r="B5776" s="38">
        <v>46289</v>
      </c>
      <c r="C5776" s="23" t="s">
        <v>11964</v>
      </c>
      <c r="D5776" s="23" t="s">
        <v>87</v>
      </c>
      <c r="E5776" s="23" t="s">
        <v>75</v>
      </c>
      <c r="F5776" s="23" t="s">
        <v>754</v>
      </c>
      <c r="G5776" s="23" t="s">
        <v>250</v>
      </c>
      <c r="H5776" s="39">
        <f t="shared" si="360"/>
        <v>1348</v>
      </c>
      <c r="I5776" s="23" t="str">
        <f t="shared" si="361"/>
        <v>Mumbai</v>
      </c>
      <c r="J5776" s="23">
        <f>COUNTIFS(pg_transaction_cleaned!$O:$O,A5776,pg_transaction_cleaned!$F:$F,"CAPTURE")</f>
        <v>1</v>
      </c>
      <c r="K5776" s="39">
        <f>SUMIFS(pg_transaction_cleaned!$H:$H,pg_transaction_cleaned!$O:$O,A5776,pg_transaction_cleaned!$F:$F,"CAPTURE")</f>
        <v>1348</v>
      </c>
      <c r="L5776" s="23">
        <f>COUNTIFS(pg_transaction_cleaned!$O:$O,A5776,pg_transaction_cleaned!$F:$F,"REFUND")</f>
        <v>0</v>
      </c>
      <c r="M5776" s="39">
        <f>SUMIFS(pg_transaction_cleaned!$H:$H,pg_transaction_cleaned!$O:$O,A5776,pg_transaction_cleaned!$F:$F,"REFUND")</f>
        <v>0</v>
      </c>
      <c r="N5776" s="23" t="str">
        <f t="shared" si="362"/>
        <v>OK</v>
      </c>
      <c r="O5776" s="24">
        <f t="shared" si="363"/>
        <v>0</v>
      </c>
    </row>
    <row r="5777" spans="1:15" ht="15" customHeight="1" x14ac:dyDescent="0.3">
      <c r="A5777" s="23" t="s">
        <v>11965</v>
      </c>
      <c r="B5777" s="38">
        <v>46272</v>
      </c>
      <c r="C5777" s="23" t="s">
        <v>11966</v>
      </c>
      <c r="D5777" s="23" t="s">
        <v>89</v>
      </c>
      <c r="E5777" s="23" t="s">
        <v>77</v>
      </c>
      <c r="F5777" s="23" t="s">
        <v>329</v>
      </c>
      <c r="G5777" s="23" t="s">
        <v>250</v>
      </c>
      <c r="H5777" s="39">
        <f t="shared" si="360"/>
        <v>599</v>
      </c>
      <c r="I5777" s="23" t="str">
        <f t="shared" si="361"/>
        <v>Jaipur</v>
      </c>
      <c r="J5777" s="23">
        <f>COUNTIFS(pg_transaction_cleaned!$O:$O,A5777,pg_transaction_cleaned!$F:$F,"CAPTURE")</f>
        <v>1</v>
      </c>
      <c r="K5777" s="39">
        <f>SUMIFS(pg_transaction_cleaned!$H:$H,pg_transaction_cleaned!$O:$O,A5777,pg_transaction_cleaned!$F:$F,"CAPTURE")</f>
        <v>599</v>
      </c>
      <c r="L5777" s="23">
        <f>COUNTIFS(pg_transaction_cleaned!$O:$O,A5777,pg_transaction_cleaned!$F:$F,"REFUND")</f>
        <v>0</v>
      </c>
      <c r="M5777" s="39">
        <f>SUMIFS(pg_transaction_cleaned!$H:$H,pg_transaction_cleaned!$O:$O,A5777,pg_transaction_cleaned!$F:$F,"REFUND")</f>
        <v>0</v>
      </c>
      <c r="N5777" s="23" t="str">
        <f t="shared" si="362"/>
        <v>OK</v>
      </c>
      <c r="O5777" s="24">
        <f t="shared" si="363"/>
        <v>0</v>
      </c>
    </row>
    <row r="5778" spans="1:15" ht="15" customHeight="1" x14ac:dyDescent="0.3">
      <c r="A5778" s="23" t="s">
        <v>11967</v>
      </c>
      <c r="B5778" s="38">
        <v>46267</v>
      </c>
      <c r="C5778" s="23" t="s">
        <v>11968</v>
      </c>
      <c r="D5778" s="23" t="s">
        <v>90</v>
      </c>
      <c r="E5778" s="23" t="s">
        <v>75</v>
      </c>
      <c r="F5778" s="23" t="s">
        <v>1505</v>
      </c>
      <c r="G5778" s="23" t="s">
        <v>365</v>
      </c>
      <c r="H5778" s="39">
        <f t="shared" si="360"/>
        <v>8298</v>
      </c>
      <c r="I5778" s="23" t="str">
        <f t="shared" si="361"/>
        <v>Ahmedabad</v>
      </c>
      <c r="J5778" s="23">
        <f>COUNTIFS(pg_transaction_cleaned!$O:$O,A5778,pg_transaction_cleaned!$F:$F,"CAPTURE")</f>
        <v>0</v>
      </c>
      <c r="K5778" s="39">
        <f>SUMIFS(pg_transaction_cleaned!$H:$H,pg_transaction_cleaned!$O:$O,A5778,pg_transaction_cleaned!$F:$F,"CAPTURE")</f>
        <v>0</v>
      </c>
      <c r="L5778" s="23">
        <f>COUNTIFS(pg_transaction_cleaned!$O:$O,A5778,pg_transaction_cleaned!$F:$F,"REFUND")</f>
        <v>0</v>
      </c>
      <c r="M5778" s="39">
        <f>SUMIFS(pg_transaction_cleaned!$H:$H,pg_transaction_cleaned!$O:$O,A5778,pg_transaction_cleaned!$F:$F,"REFUND")</f>
        <v>0</v>
      </c>
      <c r="N5778" s="23" t="str">
        <f t="shared" si="362"/>
        <v>OK</v>
      </c>
      <c r="O5778" s="24">
        <f t="shared" si="363"/>
        <v>0</v>
      </c>
    </row>
    <row r="5779" spans="1:15" ht="15" customHeight="1" x14ac:dyDescent="0.3">
      <c r="A5779" s="23" t="s">
        <v>11969</v>
      </c>
      <c r="B5779" s="38">
        <v>46276</v>
      </c>
      <c r="C5779" s="23" t="s">
        <v>11970</v>
      </c>
      <c r="D5779" s="23" t="s">
        <v>95</v>
      </c>
      <c r="E5779" s="23" t="s">
        <v>79</v>
      </c>
      <c r="F5779" s="23" t="s">
        <v>262</v>
      </c>
      <c r="G5779" s="23" t="s">
        <v>318</v>
      </c>
      <c r="H5779" s="39">
        <f t="shared" si="360"/>
        <v>499</v>
      </c>
      <c r="I5779" s="23" t="str">
        <f t="shared" si="361"/>
        <v>Bengaluru</v>
      </c>
      <c r="J5779" s="23">
        <f>COUNTIFS(pg_transaction_cleaned!$O:$O,A5779,pg_transaction_cleaned!$F:$F,"CAPTURE")</f>
        <v>0</v>
      </c>
      <c r="K5779" s="39">
        <f>SUMIFS(pg_transaction_cleaned!$H:$H,pg_transaction_cleaned!$O:$O,A5779,pg_transaction_cleaned!$F:$F,"CAPTURE")</f>
        <v>0</v>
      </c>
      <c r="L5779" s="23">
        <f>COUNTIFS(pg_transaction_cleaned!$O:$O,A5779,pg_transaction_cleaned!$F:$F,"REFUND")</f>
        <v>0</v>
      </c>
      <c r="M5779" s="39">
        <f>SUMIFS(pg_transaction_cleaned!$H:$H,pg_transaction_cleaned!$O:$O,A5779,pg_transaction_cleaned!$F:$F,"REFUND")</f>
        <v>0</v>
      </c>
      <c r="N5779" s="23" t="str">
        <f t="shared" si="362"/>
        <v>OK</v>
      </c>
      <c r="O5779" s="24">
        <f t="shared" si="363"/>
        <v>0</v>
      </c>
    </row>
    <row r="5780" spans="1:15" ht="15" customHeight="1" x14ac:dyDescent="0.3">
      <c r="A5780" s="23" t="s">
        <v>11971</v>
      </c>
      <c r="B5780" s="38">
        <v>46295</v>
      </c>
      <c r="C5780" s="23" t="s">
        <v>11972</v>
      </c>
      <c r="D5780" s="23" t="s">
        <v>90</v>
      </c>
      <c r="E5780" s="23" t="s">
        <v>79</v>
      </c>
      <c r="F5780" s="23" t="s">
        <v>249</v>
      </c>
      <c r="G5780" s="23" t="s">
        <v>250</v>
      </c>
      <c r="H5780" s="39">
        <f t="shared" si="360"/>
        <v>299</v>
      </c>
      <c r="I5780" s="23" t="str">
        <f t="shared" si="361"/>
        <v>Ahmedabad</v>
      </c>
      <c r="J5780" s="23">
        <f>COUNTIFS(pg_transaction_cleaned!$O:$O,A5780,pg_transaction_cleaned!$F:$F,"CAPTURE")</f>
        <v>1</v>
      </c>
      <c r="K5780" s="39">
        <f>SUMIFS(pg_transaction_cleaned!$H:$H,pg_transaction_cleaned!$O:$O,A5780,pg_transaction_cleaned!$F:$F,"CAPTURE")</f>
        <v>299</v>
      </c>
      <c r="L5780" s="23">
        <f>COUNTIFS(pg_transaction_cleaned!$O:$O,A5780,pg_transaction_cleaned!$F:$F,"REFUND")</f>
        <v>0</v>
      </c>
      <c r="M5780" s="39">
        <f>SUMIFS(pg_transaction_cleaned!$H:$H,pg_transaction_cleaned!$O:$O,A5780,pg_transaction_cleaned!$F:$F,"REFUND")</f>
        <v>0</v>
      </c>
      <c r="N5780" s="23" t="str">
        <f t="shared" si="362"/>
        <v>OK</v>
      </c>
      <c r="O5780" s="24">
        <f t="shared" si="363"/>
        <v>0</v>
      </c>
    </row>
    <row r="5781" spans="1:15" ht="15" customHeight="1" x14ac:dyDescent="0.3">
      <c r="A5781" s="23" t="s">
        <v>11973</v>
      </c>
      <c r="B5781" s="38">
        <v>46286</v>
      </c>
      <c r="C5781" s="23" t="s">
        <v>11974</v>
      </c>
      <c r="D5781" s="23" t="s">
        <v>89</v>
      </c>
      <c r="E5781" s="23" t="s">
        <v>75</v>
      </c>
      <c r="F5781" s="23" t="s">
        <v>294</v>
      </c>
      <c r="G5781" s="23" t="s">
        <v>250</v>
      </c>
      <c r="H5781" s="39">
        <f t="shared" si="360"/>
        <v>1799</v>
      </c>
      <c r="I5781" s="23" t="str">
        <f t="shared" si="361"/>
        <v>Jaipur</v>
      </c>
      <c r="J5781" s="23">
        <f>COUNTIFS(pg_transaction_cleaned!$O:$O,A5781,pg_transaction_cleaned!$F:$F,"CAPTURE")</f>
        <v>1</v>
      </c>
      <c r="K5781" s="39">
        <f>SUMIFS(pg_transaction_cleaned!$H:$H,pg_transaction_cleaned!$O:$O,A5781,pg_transaction_cleaned!$F:$F,"CAPTURE")</f>
        <v>1799</v>
      </c>
      <c r="L5781" s="23">
        <f>COUNTIFS(pg_transaction_cleaned!$O:$O,A5781,pg_transaction_cleaned!$F:$F,"REFUND")</f>
        <v>0</v>
      </c>
      <c r="M5781" s="39">
        <f>SUMIFS(pg_transaction_cleaned!$H:$H,pg_transaction_cleaned!$O:$O,A5781,pg_transaction_cleaned!$F:$F,"REFUND")</f>
        <v>0</v>
      </c>
      <c r="N5781" s="23" t="str">
        <f t="shared" si="362"/>
        <v>OK</v>
      </c>
      <c r="O5781" s="24">
        <f t="shared" si="363"/>
        <v>0</v>
      </c>
    </row>
    <row r="5782" spans="1:15" ht="15" customHeight="1" x14ac:dyDescent="0.3">
      <c r="A5782" s="23" t="s">
        <v>11975</v>
      </c>
      <c r="B5782" s="38">
        <v>46276</v>
      </c>
      <c r="C5782" s="23" t="s">
        <v>11976</v>
      </c>
      <c r="D5782" s="23" t="s">
        <v>94</v>
      </c>
      <c r="E5782" s="23" t="s">
        <v>79</v>
      </c>
      <c r="F5782" s="23" t="s">
        <v>271</v>
      </c>
      <c r="G5782" s="23" t="s">
        <v>250</v>
      </c>
      <c r="H5782" s="39">
        <f t="shared" si="360"/>
        <v>2499</v>
      </c>
      <c r="I5782" s="23" t="str">
        <f t="shared" si="361"/>
        <v>Chennai</v>
      </c>
      <c r="J5782" s="23">
        <f>COUNTIFS(pg_transaction_cleaned!$O:$O,A5782,pg_transaction_cleaned!$F:$F,"CAPTURE")</f>
        <v>1</v>
      </c>
      <c r="K5782" s="39">
        <f>SUMIFS(pg_transaction_cleaned!$H:$H,pg_transaction_cleaned!$O:$O,A5782,pg_transaction_cleaned!$F:$F,"CAPTURE")</f>
        <v>2499</v>
      </c>
      <c r="L5782" s="23">
        <f>COUNTIFS(pg_transaction_cleaned!$O:$O,A5782,pg_transaction_cleaned!$F:$F,"REFUND")</f>
        <v>0</v>
      </c>
      <c r="M5782" s="39">
        <f>SUMIFS(pg_transaction_cleaned!$H:$H,pg_transaction_cleaned!$O:$O,A5782,pg_transaction_cleaned!$F:$F,"REFUND")</f>
        <v>0</v>
      </c>
      <c r="N5782" s="23" t="str">
        <f t="shared" si="362"/>
        <v>OK</v>
      </c>
      <c r="O5782" s="24">
        <f t="shared" si="363"/>
        <v>0</v>
      </c>
    </row>
    <row r="5783" spans="1:15" ht="15" customHeight="1" x14ac:dyDescent="0.3">
      <c r="A5783" s="23" t="s">
        <v>11977</v>
      </c>
      <c r="B5783" s="38">
        <v>46267</v>
      </c>
      <c r="C5783" s="23" t="s">
        <v>11978</v>
      </c>
      <c r="D5783" s="23" t="s">
        <v>93</v>
      </c>
      <c r="E5783" s="23" t="s">
        <v>75</v>
      </c>
      <c r="F5783" s="23" t="s">
        <v>271</v>
      </c>
      <c r="G5783" s="23" t="s">
        <v>250</v>
      </c>
      <c r="H5783" s="39">
        <f t="shared" si="360"/>
        <v>2499</v>
      </c>
      <c r="I5783" s="23" t="str">
        <f t="shared" si="361"/>
        <v>Kolkata</v>
      </c>
      <c r="J5783" s="23">
        <f>COUNTIFS(pg_transaction_cleaned!$O:$O,A5783,pg_transaction_cleaned!$F:$F,"CAPTURE")</f>
        <v>1</v>
      </c>
      <c r="K5783" s="39">
        <f>SUMIFS(pg_transaction_cleaned!$H:$H,pg_transaction_cleaned!$O:$O,A5783,pg_transaction_cleaned!$F:$F,"CAPTURE")</f>
        <v>2499</v>
      </c>
      <c r="L5783" s="23">
        <f>COUNTIFS(pg_transaction_cleaned!$O:$O,A5783,pg_transaction_cleaned!$F:$F,"REFUND")</f>
        <v>0</v>
      </c>
      <c r="M5783" s="39">
        <f>SUMIFS(pg_transaction_cleaned!$H:$H,pg_transaction_cleaned!$O:$O,A5783,pg_transaction_cleaned!$F:$F,"REFUND")</f>
        <v>0</v>
      </c>
      <c r="N5783" s="23" t="str">
        <f t="shared" si="362"/>
        <v>OK</v>
      </c>
      <c r="O5783" s="24">
        <f t="shared" si="363"/>
        <v>0</v>
      </c>
    </row>
    <row r="5784" spans="1:15" ht="15" customHeight="1" x14ac:dyDescent="0.3">
      <c r="A5784" s="23" t="s">
        <v>11979</v>
      </c>
      <c r="B5784" s="38">
        <v>46279</v>
      </c>
      <c r="C5784" s="23" t="s">
        <v>11980</v>
      </c>
      <c r="D5784" s="23" t="s">
        <v>93</v>
      </c>
      <c r="E5784" s="23" t="s">
        <v>75</v>
      </c>
      <c r="F5784" s="23" t="s">
        <v>307</v>
      </c>
      <c r="G5784" s="23" t="s">
        <v>250</v>
      </c>
      <c r="H5784" s="39">
        <f t="shared" si="360"/>
        <v>3798</v>
      </c>
      <c r="I5784" s="23" t="str">
        <f t="shared" si="361"/>
        <v>Kolkata</v>
      </c>
      <c r="J5784" s="23">
        <f>COUNTIFS(pg_transaction_cleaned!$O:$O,A5784,pg_transaction_cleaned!$F:$F,"CAPTURE")</f>
        <v>1</v>
      </c>
      <c r="K5784" s="39">
        <f>SUMIFS(pg_transaction_cleaned!$H:$H,pg_transaction_cleaned!$O:$O,A5784,pg_transaction_cleaned!$F:$F,"CAPTURE")</f>
        <v>3798</v>
      </c>
      <c r="L5784" s="23">
        <f>COUNTIFS(pg_transaction_cleaned!$O:$O,A5784,pg_transaction_cleaned!$F:$F,"REFUND")</f>
        <v>0</v>
      </c>
      <c r="M5784" s="39">
        <f>SUMIFS(pg_transaction_cleaned!$H:$H,pg_transaction_cleaned!$O:$O,A5784,pg_transaction_cleaned!$F:$F,"REFUND")</f>
        <v>0</v>
      </c>
      <c r="N5784" s="23" t="str">
        <f t="shared" si="362"/>
        <v>OK</v>
      </c>
      <c r="O5784" s="24">
        <f t="shared" si="363"/>
        <v>0</v>
      </c>
    </row>
    <row r="5785" spans="1:15" ht="15" customHeight="1" x14ac:dyDescent="0.3">
      <c r="A5785" s="23" t="s">
        <v>11981</v>
      </c>
      <c r="B5785" s="38">
        <v>46276</v>
      </c>
      <c r="C5785" s="23" t="s">
        <v>11982</v>
      </c>
      <c r="D5785" s="23" t="s">
        <v>87</v>
      </c>
      <c r="E5785" s="23" t="s">
        <v>75</v>
      </c>
      <c r="F5785" s="23" t="s">
        <v>294</v>
      </c>
      <c r="G5785" s="23" t="s">
        <v>365</v>
      </c>
      <c r="H5785" s="39">
        <f t="shared" si="360"/>
        <v>1799</v>
      </c>
      <c r="I5785" s="23" t="str">
        <f t="shared" si="361"/>
        <v>Mumbai</v>
      </c>
      <c r="J5785" s="23">
        <f>COUNTIFS(pg_transaction_cleaned!$O:$O,A5785,pg_transaction_cleaned!$F:$F,"CAPTURE")</f>
        <v>0</v>
      </c>
      <c r="K5785" s="39">
        <f>SUMIFS(pg_transaction_cleaned!$H:$H,pg_transaction_cleaned!$O:$O,A5785,pg_transaction_cleaned!$F:$F,"CAPTURE")</f>
        <v>0</v>
      </c>
      <c r="L5785" s="23">
        <f>COUNTIFS(pg_transaction_cleaned!$O:$O,A5785,pg_transaction_cleaned!$F:$F,"REFUND")</f>
        <v>0</v>
      </c>
      <c r="M5785" s="39">
        <f>SUMIFS(pg_transaction_cleaned!$H:$H,pg_transaction_cleaned!$O:$O,A5785,pg_transaction_cleaned!$F:$F,"REFUND")</f>
        <v>0</v>
      </c>
      <c r="N5785" s="23" t="str">
        <f t="shared" si="362"/>
        <v>OK</v>
      </c>
      <c r="O5785" s="24">
        <f t="shared" si="363"/>
        <v>0</v>
      </c>
    </row>
    <row r="5786" spans="1:15" ht="15" customHeight="1" x14ac:dyDescent="0.3">
      <c r="A5786" s="23" t="s">
        <v>11983</v>
      </c>
      <c r="B5786" s="38">
        <v>46275</v>
      </c>
      <c r="C5786" s="23" t="s">
        <v>11984</v>
      </c>
      <c r="D5786" s="23" t="s">
        <v>87</v>
      </c>
      <c r="E5786" s="23" t="s">
        <v>79</v>
      </c>
      <c r="F5786" s="23" t="s">
        <v>396</v>
      </c>
      <c r="G5786" s="23" t="s">
        <v>250</v>
      </c>
      <c r="H5786" s="39">
        <f t="shared" si="360"/>
        <v>2999</v>
      </c>
      <c r="I5786" s="23" t="str">
        <f t="shared" si="361"/>
        <v>Mumbai</v>
      </c>
      <c r="J5786" s="23">
        <f>COUNTIFS(pg_transaction_cleaned!$O:$O,A5786,pg_transaction_cleaned!$F:$F,"CAPTURE")</f>
        <v>1</v>
      </c>
      <c r="K5786" s="39">
        <f>SUMIFS(pg_transaction_cleaned!$H:$H,pg_transaction_cleaned!$O:$O,A5786,pg_transaction_cleaned!$F:$F,"CAPTURE")</f>
        <v>2999</v>
      </c>
      <c r="L5786" s="23">
        <f>COUNTIFS(pg_transaction_cleaned!$O:$O,A5786,pg_transaction_cleaned!$F:$F,"REFUND")</f>
        <v>0</v>
      </c>
      <c r="M5786" s="39">
        <f>SUMIFS(pg_transaction_cleaned!$H:$H,pg_transaction_cleaned!$O:$O,A5786,pg_transaction_cleaned!$F:$F,"REFUND")</f>
        <v>0</v>
      </c>
      <c r="N5786" s="23" t="str">
        <f t="shared" si="362"/>
        <v>OK</v>
      </c>
      <c r="O5786" s="24">
        <f t="shared" si="363"/>
        <v>0</v>
      </c>
    </row>
    <row r="5787" spans="1:15" ht="15" customHeight="1" x14ac:dyDescent="0.3">
      <c r="A5787" s="23" t="s">
        <v>11985</v>
      </c>
      <c r="B5787" s="38">
        <v>46287</v>
      </c>
      <c r="C5787" s="23" t="s">
        <v>11986</v>
      </c>
      <c r="D5787" s="23" t="s">
        <v>95</v>
      </c>
      <c r="E5787" s="23" t="s">
        <v>81</v>
      </c>
      <c r="F5787" s="23" t="s">
        <v>1614</v>
      </c>
      <c r="G5787" s="23" t="s">
        <v>250</v>
      </c>
      <c r="H5787" s="39">
        <f t="shared" si="360"/>
        <v>2597</v>
      </c>
      <c r="I5787" s="23" t="str">
        <f t="shared" si="361"/>
        <v>Bengaluru</v>
      </c>
      <c r="J5787" s="23">
        <f>COUNTIFS(pg_transaction_cleaned!$O:$O,A5787,pg_transaction_cleaned!$F:$F,"CAPTURE")</f>
        <v>1</v>
      </c>
      <c r="K5787" s="39">
        <f>SUMIFS(pg_transaction_cleaned!$H:$H,pg_transaction_cleaned!$O:$O,A5787,pg_transaction_cleaned!$F:$F,"CAPTURE")</f>
        <v>2597</v>
      </c>
      <c r="L5787" s="23">
        <f>COUNTIFS(pg_transaction_cleaned!$O:$O,A5787,pg_transaction_cleaned!$F:$F,"REFUND")</f>
        <v>0</v>
      </c>
      <c r="M5787" s="39">
        <f>SUMIFS(pg_transaction_cleaned!$H:$H,pg_transaction_cleaned!$O:$O,A5787,pg_transaction_cleaned!$F:$F,"REFUND")</f>
        <v>0</v>
      </c>
      <c r="N5787" s="23" t="str">
        <f t="shared" si="362"/>
        <v>OK</v>
      </c>
      <c r="O5787" s="24">
        <f t="shared" si="363"/>
        <v>0</v>
      </c>
    </row>
    <row r="5788" spans="1:15" ht="15" customHeight="1" x14ac:dyDescent="0.3">
      <c r="A5788" s="23" t="s">
        <v>11987</v>
      </c>
      <c r="B5788" s="38">
        <v>46295</v>
      </c>
      <c r="C5788" s="23" t="s">
        <v>11988</v>
      </c>
      <c r="D5788" s="23" t="s">
        <v>91</v>
      </c>
      <c r="E5788" s="23" t="s">
        <v>81</v>
      </c>
      <c r="F5788" s="23" t="s">
        <v>271</v>
      </c>
      <c r="G5788" s="23" t="s">
        <v>250</v>
      </c>
      <c r="H5788" s="39">
        <f t="shared" si="360"/>
        <v>2499</v>
      </c>
      <c r="I5788" s="23" t="str">
        <f t="shared" si="361"/>
        <v>Pune</v>
      </c>
      <c r="J5788" s="23">
        <f>COUNTIFS(pg_transaction_cleaned!$O:$O,A5788,pg_transaction_cleaned!$F:$F,"CAPTURE")</f>
        <v>1</v>
      </c>
      <c r="K5788" s="39">
        <f>SUMIFS(pg_transaction_cleaned!$H:$H,pg_transaction_cleaned!$O:$O,A5788,pg_transaction_cleaned!$F:$F,"CAPTURE")</f>
        <v>2499</v>
      </c>
      <c r="L5788" s="23">
        <f>COUNTIFS(pg_transaction_cleaned!$O:$O,A5788,pg_transaction_cleaned!$F:$F,"REFUND")</f>
        <v>0</v>
      </c>
      <c r="M5788" s="39">
        <f>SUMIFS(pg_transaction_cleaned!$H:$H,pg_transaction_cleaned!$O:$O,A5788,pg_transaction_cleaned!$F:$F,"REFUND")</f>
        <v>0</v>
      </c>
      <c r="N5788" s="23" t="str">
        <f t="shared" si="362"/>
        <v>OK</v>
      </c>
      <c r="O5788" s="24">
        <f t="shared" si="363"/>
        <v>0</v>
      </c>
    </row>
    <row r="5789" spans="1:15" ht="15" customHeight="1" x14ac:dyDescent="0.3">
      <c r="A5789" s="23" t="s">
        <v>11989</v>
      </c>
      <c r="B5789" s="38">
        <v>46279</v>
      </c>
      <c r="C5789" s="23" t="s">
        <v>11990</v>
      </c>
      <c r="D5789" s="23" t="s">
        <v>89</v>
      </c>
      <c r="E5789" s="23" t="s">
        <v>75</v>
      </c>
      <c r="F5789" s="23" t="s">
        <v>670</v>
      </c>
      <c r="G5789" s="23" t="s">
        <v>250</v>
      </c>
      <c r="H5789" s="39">
        <f t="shared" si="360"/>
        <v>7797</v>
      </c>
      <c r="I5789" s="23" t="str">
        <f t="shared" si="361"/>
        <v>Jaipur</v>
      </c>
      <c r="J5789" s="23">
        <f>COUNTIFS(pg_transaction_cleaned!$O:$O,A5789,pg_transaction_cleaned!$F:$F,"CAPTURE")</f>
        <v>1</v>
      </c>
      <c r="K5789" s="39">
        <f>SUMIFS(pg_transaction_cleaned!$H:$H,pg_transaction_cleaned!$O:$O,A5789,pg_transaction_cleaned!$F:$F,"CAPTURE")</f>
        <v>7797</v>
      </c>
      <c r="L5789" s="23">
        <f>COUNTIFS(pg_transaction_cleaned!$O:$O,A5789,pg_transaction_cleaned!$F:$F,"REFUND")</f>
        <v>0</v>
      </c>
      <c r="M5789" s="39">
        <f>SUMIFS(pg_transaction_cleaned!$H:$H,pg_transaction_cleaned!$O:$O,A5789,pg_transaction_cleaned!$F:$F,"REFUND")</f>
        <v>0</v>
      </c>
      <c r="N5789" s="23" t="str">
        <f t="shared" si="362"/>
        <v>OK</v>
      </c>
      <c r="O5789" s="24">
        <f t="shared" si="363"/>
        <v>0</v>
      </c>
    </row>
    <row r="5790" spans="1:15" ht="15" customHeight="1" x14ac:dyDescent="0.3">
      <c r="A5790" s="23" t="s">
        <v>11991</v>
      </c>
      <c r="B5790" s="38">
        <v>46287</v>
      </c>
      <c r="C5790" s="23" t="s">
        <v>6557</v>
      </c>
      <c r="D5790" s="23"/>
      <c r="E5790" s="23" t="s">
        <v>81</v>
      </c>
      <c r="F5790" s="23" t="s">
        <v>647</v>
      </c>
      <c r="G5790" s="23" t="s">
        <v>250</v>
      </c>
      <c r="H5790" s="39">
        <f t="shared" si="360"/>
        <v>5597</v>
      </c>
      <c r="I5790" s="23" t="str">
        <f t="shared" si="361"/>
        <v>Unknown</v>
      </c>
      <c r="J5790" s="23">
        <f>COUNTIFS(pg_transaction_cleaned!$O:$O,A5790,pg_transaction_cleaned!$F:$F,"CAPTURE")</f>
        <v>1</v>
      </c>
      <c r="K5790" s="39">
        <f>SUMIFS(pg_transaction_cleaned!$H:$H,pg_transaction_cleaned!$O:$O,A5790,pg_transaction_cleaned!$F:$F,"CAPTURE")</f>
        <v>5597</v>
      </c>
      <c r="L5790" s="23">
        <f>COUNTIFS(pg_transaction_cleaned!$O:$O,A5790,pg_transaction_cleaned!$F:$F,"REFUND")</f>
        <v>0</v>
      </c>
      <c r="M5790" s="39">
        <f>SUMIFS(pg_transaction_cleaned!$H:$H,pg_transaction_cleaned!$O:$O,A5790,pg_transaction_cleaned!$F:$F,"REFUND")</f>
        <v>0</v>
      </c>
      <c r="N5790" s="23" t="str">
        <f t="shared" si="362"/>
        <v>OK</v>
      </c>
      <c r="O5790" s="24">
        <f t="shared" si="363"/>
        <v>0</v>
      </c>
    </row>
    <row r="5791" spans="1:15" ht="15" customHeight="1" x14ac:dyDescent="0.3">
      <c r="A5791" s="23" t="s">
        <v>11992</v>
      </c>
      <c r="B5791" s="38">
        <v>46276</v>
      </c>
      <c r="C5791" s="23" t="s">
        <v>11993</v>
      </c>
      <c r="D5791" s="23"/>
      <c r="E5791" s="23" t="s">
        <v>79</v>
      </c>
      <c r="F5791" s="23" t="s">
        <v>259</v>
      </c>
      <c r="G5791" s="23" t="s">
        <v>250</v>
      </c>
      <c r="H5791" s="39">
        <f t="shared" si="360"/>
        <v>3298</v>
      </c>
      <c r="I5791" s="23" t="str">
        <f t="shared" si="361"/>
        <v>Unknown</v>
      </c>
      <c r="J5791" s="23">
        <f>COUNTIFS(pg_transaction_cleaned!$O:$O,A5791,pg_transaction_cleaned!$F:$F,"CAPTURE")</f>
        <v>1</v>
      </c>
      <c r="K5791" s="39">
        <f>SUMIFS(pg_transaction_cleaned!$H:$H,pg_transaction_cleaned!$O:$O,A5791,pg_transaction_cleaned!$F:$F,"CAPTURE")</f>
        <v>3298</v>
      </c>
      <c r="L5791" s="23">
        <f>COUNTIFS(pg_transaction_cleaned!$O:$O,A5791,pg_transaction_cleaned!$F:$F,"REFUND")</f>
        <v>0</v>
      </c>
      <c r="M5791" s="39">
        <f>SUMIFS(pg_transaction_cleaned!$H:$H,pg_transaction_cleaned!$O:$O,A5791,pg_transaction_cleaned!$F:$F,"REFUND")</f>
        <v>0</v>
      </c>
      <c r="N5791" s="23" t="str">
        <f t="shared" si="362"/>
        <v>OK</v>
      </c>
      <c r="O5791" s="24">
        <f t="shared" si="363"/>
        <v>0</v>
      </c>
    </row>
    <row r="5792" spans="1:15" ht="15" customHeight="1" x14ac:dyDescent="0.3">
      <c r="A5792" s="23" t="s">
        <v>11994</v>
      </c>
      <c r="B5792" s="38">
        <v>46286</v>
      </c>
      <c r="C5792" s="23" t="s">
        <v>11995</v>
      </c>
      <c r="D5792" s="23" t="s">
        <v>89</v>
      </c>
      <c r="E5792" s="23" t="s">
        <v>75</v>
      </c>
      <c r="F5792" s="23" t="s">
        <v>346</v>
      </c>
      <c r="G5792" s="23" t="s">
        <v>250</v>
      </c>
      <c r="H5792" s="39">
        <f t="shared" si="360"/>
        <v>4498</v>
      </c>
      <c r="I5792" s="23" t="str">
        <f t="shared" si="361"/>
        <v>Jaipur</v>
      </c>
      <c r="J5792" s="23">
        <f>COUNTIFS(pg_transaction_cleaned!$O:$O,A5792,pg_transaction_cleaned!$F:$F,"CAPTURE")</f>
        <v>1</v>
      </c>
      <c r="K5792" s="39">
        <f>SUMIFS(pg_transaction_cleaned!$H:$H,pg_transaction_cleaned!$O:$O,A5792,pg_transaction_cleaned!$F:$F,"CAPTURE")</f>
        <v>4498</v>
      </c>
      <c r="L5792" s="23">
        <f>COUNTIFS(pg_transaction_cleaned!$O:$O,A5792,pg_transaction_cleaned!$F:$F,"REFUND")</f>
        <v>0</v>
      </c>
      <c r="M5792" s="39">
        <f>SUMIFS(pg_transaction_cleaned!$H:$H,pg_transaction_cleaned!$O:$O,A5792,pg_transaction_cleaned!$F:$F,"REFUND")</f>
        <v>0</v>
      </c>
      <c r="N5792" s="23" t="str">
        <f t="shared" si="362"/>
        <v>OK</v>
      </c>
      <c r="O5792" s="24">
        <f t="shared" si="363"/>
        <v>0</v>
      </c>
    </row>
    <row r="5793" spans="1:15" ht="15" customHeight="1" x14ac:dyDescent="0.3">
      <c r="A5793" s="23" t="s">
        <v>11996</v>
      </c>
      <c r="B5793" s="38">
        <v>46280</v>
      </c>
      <c r="C5793" s="23" t="s">
        <v>9598</v>
      </c>
      <c r="D5793" s="23" t="s">
        <v>95</v>
      </c>
      <c r="E5793" s="23" t="s">
        <v>75</v>
      </c>
      <c r="F5793" s="23" t="s">
        <v>567</v>
      </c>
      <c r="G5793" s="23" t="s">
        <v>250</v>
      </c>
      <c r="H5793" s="39">
        <f t="shared" si="360"/>
        <v>3598</v>
      </c>
      <c r="I5793" s="23" t="str">
        <f t="shared" si="361"/>
        <v>Bengaluru</v>
      </c>
      <c r="J5793" s="23">
        <f>COUNTIFS(pg_transaction_cleaned!$O:$O,A5793,pg_transaction_cleaned!$F:$F,"CAPTURE")</f>
        <v>1</v>
      </c>
      <c r="K5793" s="39">
        <f>SUMIFS(pg_transaction_cleaned!$H:$H,pg_transaction_cleaned!$O:$O,A5793,pg_transaction_cleaned!$F:$F,"CAPTURE")</f>
        <v>3598</v>
      </c>
      <c r="L5793" s="23">
        <f>COUNTIFS(pg_transaction_cleaned!$O:$O,A5793,pg_transaction_cleaned!$F:$F,"REFUND")</f>
        <v>0</v>
      </c>
      <c r="M5793" s="39">
        <f>SUMIFS(pg_transaction_cleaned!$H:$H,pg_transaction_cleaned!$O:$O,A5793,pg_transaction_cleaned!$F:$F,"REFUND")</f>
        <v>0</v>
      </c>
      <c r="N5793" s="23" t="str">
        <f t="shared" si="362"/>
        <v>OK</v>
      </c>
      <c r="O5793" s="24">
        <f t="shared" si="363"/>
        <v>0</v>
      </c>
    </row>
    <row r="5794" spans="1:15" ht="15" customHeight="1" x14ac:dyDescent="0.3">
      <c r="A5794" s="23" t="s">
        <v>11997</v>
      </c>
      <c r="B5794" s="38">
        <v>46280</v>
      </c>
      <c r="C5794" s="23" t="s">
        <v>3215</v>
      </c>
      <c r="D5794" s="23" t="s">
        <v>91</v>
      </c>
      <c r="E5794" s="23" t="s">
        <v>75</v>
      </c>
      <c r="F5794" s="23" t="s">
        <v>352</v>
      </c>
      <c r="G5794" s="23" t="s">
        <v>301</v>
      </c>
      <c r="H5794" s="39">
        <f t="shared" si="360"/>
        <v>648</v>
      </c>
      <c r="I5794" s="23" t="str">
        <f t="shared" si="361"/>
        <v>Pune</v>
      </c>
      <c r="J5794" s="23">
        <f>COUNTIFS(pg_transaction_cleaned!$O:$O,A5794,pg_transaction_cleaned!$F:$F,"CAPTURE")</f>
        <v>1</v>
      </c>
      <c r="K5794" s="39">
        <f>SUMIFS(pg_transaction_cleaned!$H:$H,pg_transaction_cleaned!$O:$O,A5794,pg_transaction_cleaned!$F:$F,"CAPTURE")</f>
        <v>648</v>
      </c>
      <c r="L5794" s="23">
        <f>COUNTIFS(pg_transaction_cleaned!$O:$O,A5794,pg_transaction_cleaned!$F:$F,"REFUND")</f>
        <v>1</v>
      </c>
      <c r="M5794" s="39">
        <f>SUMIFS(pg_transaction_cleaned!$H:$H,pg_transaction_cleaned!$O:$O,A5794,pg_transaction_cleaned!$F:$F,"REFUND")</f>
        <v>648</v>
      </c>
      <c r="N5794" s="23" t="str">
        <f t="shared" si="362"/>
        <v>OK</v>
      </c>
      <c r="O5794" s="24">
        <f t="shared" si="363"/>
        <v>0</v>
      </c>
    </row>
    <row r="5795" spans="1:15" ht="15" customHeight="1" x14ac:dyDescent="0.3">
      <c r="A5795" s="23" t="s">
        <v>11998</v>
      </c>
      <c r="B5795" s="38">
        <v>46279</v>
      </c>
      <c r="C5795" s="23" t="s">
        <v>11999</v>
      </c>
      <c r="D5795" s="23" t="s">
        <v>92</v>
      </c>
      <c r="E5795" s="23" t="s">
        <v>75</v>
      </c>
      <c r="F5795" s="23" t="s">
        <v>561</v>
      </c>
      <c r="G5795" s="23" t="s">
        <v>250</v>
      </c>
      <c r="H5795" s="39">
        <f t="shared" si="360"/>
        <v>4797</v>
      </c>
      <c r="I5795" s="23" t="str">
        <f t="shared" si="361"/>
        <v>Hyderabad</v>
      </c>
      <c r="J5795" s="23">
        <f>COUNTIFS(pg_transaction_cleaned!$O:$O,A5795,pg_transaction_cleaned!$F:$F,"CAPTURE")</f>
        <v>1</v>
      </c>
      <c r="K5795" s="39">
        <f>SUMIFS(pg_transaction_cleaned!$H:$H,pg_transaction_cleaned!$O:$O,A5795,pg_transaction_cleaned!$F:$F,"CAPTURE")</f>
        <v>4797</v>
      </c>
      <c r="L5795" s="23">
        <f>COUNTIFS(pg_transaction_cleaned!$O:$O,A5795,pg_transaction_cleaned!$F:$F,"REFUND")</f>
        <v>0</v>
      </c>
      <c r="M5795" s="39">
        <f>SUMIFS(pg_transaction_cleaned!$H:$H,pg_transaction_cleaned!$O:$O,A5795,pg_transaction_cleaned!$F:$F,"REFUND")</f>
        <v>0</v>
      </c>
      <c r="N5795" s="23" t="str">
        <f t="shared" si="362"/>
        <v>OK</v>
      </c>
      <c r="O5795" s="24">
        <f t="shared" si="363"/>
        <v>0</v>
      </c>
    </row>
    <row r="5796" spans="1:15" ht="15" customHeight="1" x14ac:dyDescent="0.3">
      <c r="A5796" s="23" t="s">
        <v>12000</v>
      </c>
      <c r="B5796" s="38">
        <v>46273</v>
      </c>
      <c r="C5796" s="23" t="s">
        <v>12001</v>
      </c>
      <c r="D5796" s="23" t="s">
        <v>90</v>
      </c>
      <c r="E5796" s="23" t="s">
        <v>75</v>
      </c>
      <c r="F5796" s="23" t="s">
        <v>256</v>
      </c>
      <c r="G5796" s="23" t="s">
        <v>250</v>
      </c>
      <c r="H5796" s="39">
        <f t="shared" si="360"/>
        <v>2098</v>
      </c>
      <c r="I5796" s="23" t="str">
        <f t="shared" si="361"/>
        <v>Ahmedabad</v>
      </c>
      <c r="J5796" s="23">
        <f>COUNTIFS(pg_transaction_cleaned!$O:$O,A5796,pg_transaction_cleaned!$F:$F,"CAPTURE")</f>
        <v>1</v>
      </c>
      <c r="K5796" s="39">
        <f>SUMIFS(pg_transaction_cleaned!$H:$H,pg_transaction_cleaned!$O:$O,A5796,pg_transaction_cleaned!$F:$F,"CAPTURE")</f>
        <v>2098</v>
      </c>
      <c r="L5796" s="23">
        <f>COUNTIFS(pg_transaction_cleaned!$O:$O,A5796,pg_transaction_cleaned!$F:$F,"REFUND")</f>
        <v>0</v>
      </c>
      <c r="M5796" s="39">
        <f>SUMIFS(pg_transaction_cleaned!$H:$H,pg_transaction_cleaned!$O:$O,A5796,pg_transaction_cleaned!$F:$F,"REFUND")</f>
        <v>0</v>
      </c>
      <c r="N5796" s="23" t="str">
        <f t="shared" si="362"/>
        <v>OK</v>
      </c>
      <c r="O5796" s="24">
        <f t="shared" si="363"/>
        <v>0</v>
      </c>
    </row>
    <row r="5797" spans="1:15" ht="15" customHeight="1" x14ac:dyDescent="0.3">
      <c r="A5797" s="23" t="s">
        <v>12002</v>
      </c>
      <c r="B5797" s="38">
        <v>46286</v>
      </c>
      <c r="C5797" s="23" t="s">
        <v>12003</v>
      </c>
      <c r="D5797" s="23" t="s">
        <v>94</v>
      </c>
      <c r="E5797" s="23" t="s">
        <v>81</v>
      </c>
      <c r="F5797" s="23" t="s">
        <v>12004</v>
      </c>
      <c r="G5797" s="23" t="s">
        <v>250</v>
      </c>
      <c r="H5797" s="39">
        <f t="shared" si="360"/>
        <v>1898</v>
      </c>
      <c r="I5797" s="23" t="str">
        <f t="shared" si="361"/>
        <v>Chennai</v>
      </c>
      <c r="J5797" s="23">
        <f>COUNTIFS(pg_transaction_cleaned!$O:$O,A5797,pg_transaction_cleaned!$F:$F,"CAPTURE")</f>
        <v>1</v>
      </c>
      <c r="K5797" s="39">
        <f>SUMIFS(pg_transaction_cleaned!$H:$H,pg_transaction_cleaned!$O:$O,A5797,pg_transaction_cleaned!$F:$F,"CAPTURE")</f>
        <v>1898</v>
      </c>
      <c r="L5797" s="23">
        <f>COUNTIFS(pg_transaction_cleaned!$O:$O,A5797,pg_transaction_cleaned!$F:$F,"REFUND")</f>
        <v>0</v>
      </c>
      <c r="M5797" s="39">
        <f>SUMIFS(pg_transaction_cleaned!$H:$H,pg_transaction_cleaned!$O:$O,A5797,pg_transaction_cleaned!$F:$F,"REFUND")</f>
        <v>0</v>
      </c>
      <c r="N5797" s="23" t="str">
        <f t="shared" si="362"/>
        <v>OK</v>
      </c>
      <c r="O5797" s="24">
        <f t="shared" si="363"/>
        <v>0</v>
      </c>
    </row>
    <row r="5798" spans="1:15" ht="15" customHeight="1" x14ac:dyDescent="0.3">
      <c r="A5798" s="23" t="s">
        <v>12005</v>
      </c>
      <c r="B5798" s="38">
        <v>46278</v>
      </c>
      <c r="C5798" s="23" t="s">
        <v>12006</v>
      </c>
      <c r="D5798" s="23" t="s">
        <v>87</v>
      </c>
      <c r="E5798" s="23" t="s">
        <v>77</v>
      </c>
      <c r="F5798" s="23" t="s">
        <v>349</v>
      </c>
      <c r="G5798" s="23" t="s">
        <v>365</v>
      </c>
      <c r="H5798" s="39">
        <f t="shared" si="360"/>
        <v>1798</v>
      </c>
      <c r="I5798" s="23" t="str">
        <f t="shared" si="361"/>
        <v>Mumbai</v>
      </c>
      <c r="J5798" s="23">
        <f>COUNTIFS(pg_transaction_cleaned!$O:$O,A5798,pg_transaction_cleaned!$F:$F,"CAPTURE")</f>
        <v>0</v>
      </c>
      <c r="K5798" s="39">
        <f>SUMIFS(pg_transaction_cleaned!$H:$H,pg_transaction_cleaned!$O:$O,A5798,pg_transaction_cleaned!$F:$F,"CAPTURE")</f>
        <v>0</v>
      </c>
      <c r="L5798" s="23">
        <f>COUNTIFS(pg_transaction_cleaned!$O:$O,A5798,pg_transaction_cleaned!$F:$F,"REFUND")</f>
        <v>0</v>
      </c>
      <c r="M5798" s="39">
        <f>SUMIFS(pg_transaction_cleaned!$H:$H,pg_transaction_cleaned!$O:$O,A5798,pg_transaction_cleaned!$F:$F,"REFUND")</f>
        <v>0</v>
      </c>
      <c r="N5798" s="23" t="str">
        <f t="shared" si="362"/>
        <v>OK</v>
      </c>
      <c r="O5798" s="24">
        <f t="shared" si="363"/>
        <v>0</v>
      </c>
    </row>
    <row r="5799" spans="1:15" ht="15" customHeight="1" x14ac:dyDescent="0.3">
      <c r="A5799" s="23" t="s">
        <v>12007</v>
      </c>
      <c r="B5799" s="38">
        <v>46292</v>
      </c>
      <c r="C5799" s="23" t="s">
        <v>12008</v>
      </c>
      <c r="D5799" s="23" t="s">
        <v>95</v>
      </c>
      <c r="E5799" s="23" t="s">
        <v>79</v>
      </c>
      <c r="F5799" s="23" t="s">
        <v>396</v>
      </c>
      <c r="G5799" s="23" t="s">
        <v>301</v>
      </c>
      <c r="H5799" s="39">
        <f t="shared" si="360"/>
        <v>2999</v>
      </c>
      <c r="I5799" s="23" t="str">
        <f t="shared" si="361"/>
        <v>Bengaluru</v>
      </c>
      <c r="J5799" s="23">
        <f>COUNTIFS(pg_transaction_cleaned!$O:$O,A5799,pg_transaction_cleaned!$F:$F,"CAPTURE")</f>
        <v>1</v>
      </c>
      <c r="K5799" s="39">
        <f>SUMIFS(pg_transaction_cleaned!$H:$H,pg_transaction_cleaned!$O:$O,A5799,pg_transaction_cleaned!$F:$F,"CAPTURE")</f>
        <v>2999</v>
      </c>
      <c r="L5799" s="23">
        <f>COUNTIFS(pg_transaction_cleaned!$O:$O,A5799,pg_transaction_cleaned!$F:$F,"REFUND")</f>
        <v>1</v>
      </c>
      <c r="M5799" s="39">
        <f>SUMIFS(pg_transaction_cleaned!$H:$H,pg_transaction_cleaned!$O:$O,A5799,pg_transaction_cleaned!$F:$F,"REFUND")</f>
        <v>2999</v>
      </c>
      <c r="N5799" s="23" t="str">
        <f t="shared" si="362"/>
        <v>OK</v>
      </c>
      <c r="O5799" s="24">
        <f t="shared" si="363"/>
        <v>0</v>
      </c>
    </row>
    <row r="5800" spans="1:15" ht="15" customHeight="1" x14ac:dyDescent="0.3">
      <c r="A5800" s="23" t="s">
        <v>12009</v>
      </c>
      <c r="B5800" s="38">
        <v>46276</v>
      </c>
      <c r="C5800" s="23" t="s">
        <v>12010</v>
      </c>
      <c r="D5800" s="23"/>
      <c r="E5800" s="23" t="s">
        <v>77</v>
      </c>
      <c r="F5800" s="23" t="s">
        <v>1954</v>
      </c>
      <c r="G5800" s="23" t="s">
        <v>250</v>
      </c>
      <c r="H5800" s="39">
        <f t="shared" si="360"/>
        <v>848</v>
      </c>
      <c r="I5800" s="23" t="str">
        <f t="shared" si="361"/>
        <v>Unknown</v>
      </c>
      <c r="J5800" s="23">
        <f>COUNTIFS(pg_transaction_cleaned!$O:$O,A5800,pg_transaction_cleaned!$F:$F,"CAPTURE")</f>
        <v>1</v>
      </c>
      <c r="K5800" s="39">
        <f>SUMIFS(pg_transaction_cleaned!$H:$H,pg_transaction_cleaned!$O:$O,A5800,pg_transaction_cleaned!$F:$F,"CAPTURE")</f>
        <v>848</v>
      </c>
      <c r="L5800" s="23">
        <f>COUNTIFS(pg_transaction_cleaned!$O:$O,A5800,pg_transaction_cleaned!$F:$F,"REFUND")</f>
        <v>0</v>
      </c>
      <c r="M5800" s="39">
        <f>SUMIFS(pg_transaction_cleaned!$H:$H,pg_transaction_cleaned!$O:$O,A5800,pg_transaction_cleaned!$F:$F,"REFUND")</f>
        <v>0</v>
      </c>
      <c r="N5800" s="23" t="str">
        <f t="shared" si="362"/>
        <v>OK</v>
      </c>
      <c r="O5800" s="24">
        <f t="shared" si="363"/>
        <v>0</v>
      </c>
    </row>
    <row r="5801" spans="1:15" ht="15" customHeight="1" x14ac:dyDescent="0.3">
      <c r="A5801" s="23" t="s">
        <v>12011</v>
      </c>
      <c r="B5801" s="38">
        <v>46270</v>
      </c>
      <c r="C5801" s="23" t="s">
        <v>12012</v>
      </c>
      <c r="D5801" s="23" t="s">
        <v>89</v>
      </c>
      <c r="E5801" s="23" t="s">
        <v>79</v>
      </c>
      <c r="F5801" s="23" t="s">
        <v>249</v>
      </c>
      <c r="G5801" s="23" t="s">
        <v>250</v>
      </c>
      <c r="H5801" s="39">
        <f t="shared" si="360"/>
        <v>299</v>
      </c>
      <c r="I5801" s="23" t="str">
        <f t="shared" si="361"/>
        <v>Jaipur</v>
      </c>
      <c r="J5801" s="23">
        <f>COUNTIFS(pg_transaction_cleaned!$O:$O,A5801,pg_transaction_cleaned!$F:$F,"CAPTURE")</f>
        <v>1</v>
      </c>
      <c r="K5801" s="39">
        <f>SUMIFS(pg_transaction_cleaned!$H:$H,pg_transaction_cleaned!$O:$O,A5801,pg_transaction_cleaned!$F:$F,"CAPTURE")</f>
        <v>299</v>
      </c>
      <c r="L5801" s="23">
        <f>COUNTIFS(pg_transaction_cleaned!$O:$O,A5801,pg_transaction_cleaned!$F:$F,"REFUND")</f>
        <v>0</v>
      </c>
      <c r="M5801" s="39">
        <f>SUMIFS(pg_transaction_cleaned!$H:$H,pg_transaction_cleaned!$O:$O,A5801,pg_transaction_cleaned!$F:$F,"REFUND")</f>
        <v>0</v>
      </c>
      <c r="N5801" s="23" t="str">
        <f t="shared" si="362"/>
        <v>OK</v>
      </c>
      <c r="O5801" s="24">
        <f t="shared" si="363"/>
        <v>0</v>
      </c>
    </row>
    <row r="5802" spans="1:15" ht="15" customHeight="1" x14ac:dyDescent="0.3">
      <c r="A5802" s="23" t="s">
        <v>12013</v>
      </c>
      <c r="B5802" s="38">
        <v>46293</v>
      </c>
      <c r="C5802" s="23" t="s">
        <v>12014</v>
      </c>
      <c r="D5802" s="23" t="s">
        <v>92</v>
      </c>
      <c r="E5802" s="23" t="s">
        <v>75</v>
      </c>
      <c r="F5802" s="23" t="s">
        <v>499</v>
      </c>
      <c r="G5802" s="23" t="s">
        <v>250</v>
      </c>
      <c r="H5802" s="39">
        <f t="shared" si="360"/>
        <v>5998</v>
      </c>
      <c r="I5802" s="23" t="str">
        <f t="shared" si="361"/>
        <v>Hyderabad</v>
      </c>
      <c r="J5802" s="23">
        <f>COUNTIFS(pg_transaction_cleaned!$O:$O,A5802,pg_transaction_cleaned!$F:$F,"CAPTURE")</f>
        <v>1</v>
      </c>
      <c r="K5802" s="39">
        <f>SUMIFS(pg_transaction_cleaned!$H:$H,pg_transaction_cleaned!$O:$O,A5802,pg_transaction_cleaned!$F:$F,"CAPTURE")</f>
        <v>5998</v>
      </c>
      <c r="L5802" s="23">
        <f>COUNTIFS(pg_transaction_cleaned!$O:$O,A5802,pg_transaction_cleaned!$F:$F,"REFUND")</f>
        <v>0</v>
      </c>
      <c r="M5802" s="39">
        <f>SUMIFS(pg_transaction_cleaned!$H:$H,pg_transaction_cleaned!$O:$O,A5802,pg_transaction_cleaned!$F:$F,"REFUND")</f>
        <v>0</v>
      </c>
      <c r="N5802" s="23" t="str">
        <f t="shared" si="362"/>
        <v>OK</v>
      </c>
      <c r="O5802" s="24">
        <f t="shared" si="363"/>
        <v>0</v>
      </c>
    </row>
    <row r="5803" spans="1:15" ht="15" customHeight="1" x14ac:dyDescent="0.3">
      <c r="A5803" s="23" t="s">
        <v>12015</v>
      </c>
      <c r="B5803" s="38">
        <v>46271</v>
      </c>
      <c r="C5803" s="23" t="s">
        <v>12016</v>
      </c>
      <c r="D5803" s="23" t="s">
        <v>89</v>
      </c>
      <c r="E5803" s="23" t="s">
        <v>75</v>
      </c>
      <c r="F5803" s="23" t="s">
        <v>297</v>
      </c>
      <c r="G5803" s="23" t="s">
        <v>250</v>
      </c>
      <c r="H5803" s="39">
        <f t="shared" si="360"/>
        <v>4999</v>
      </c>
      <c r="I5803" s="23" t="str">
        <f t="shared" si="361"/>
        <v>Jaipur</v>
      </c>
      <c r="J5803" s="23">
        <f>COUNTIFS(pg_transaction_cleaned!$O:$O,A5803,pg_transaction_cleaned!$F:$F,"CAPTURE")</f>
        <v>1</v>
      </c>
      <c r="K5803" s="39">
        <f>SUMIFS(pg_transaction_cleaned!$H:$H,pg_transaction_cleaned!$O:$O,A5803,pg_transaction_cleaned!$F:$F,"CAPTURE")</f>
        <v>4999</v>
      </c>
      <c r="L5803" s="23">
        <f>COUNTIFS(pg_transaction_cleaned!$O:$O,A5803,pg_transaction_cleaned!$F:$F,"REFUND")</f>
        <v>0</v>
      </c>
      <c r="M5803" s="39">
        <f>SUMIFS(pg_transaction_cleaned!$H:$H,pg_transaction_cleaned!$O:$O,A5803,pg_transaction_cleaned!$F:$F,"REFUND")</f>
        <v>0</v>
      </c>
      <c r="N5803" s="23" t="str">
        <f t="shared" si="362"/>
        <v>OK</v>
      </c>
      <c r="O5803" s="24">
        <f t="shared" si="363"/>
        <v>0</v>
      </c>
    </row>
    <row r="5804" spans="1:15" ht="15" customHeight="1" x14ac:dyDescent="0.3">
      <c r="A5804" s="23" t="s">
        <v>12017</v>
      </c>
      <c r="B5804" s="38">
        <v>46291</v>
      </c>
      <c r="C5804" s="23" t="s">
        <v>12018</v>
      </c>
      <c r="D5804" s="23" t="s">
        <v>95</v>
      </c>
      <c r="E5804" s="23" t="s">
        <v>75</v>
      </c>
      <c r="F5804" s="23" t="s">
        <v>12019</v>
      </c>
      <c r="G5804" s="23" t="s">
        <v>250</v>
      </c>
      <c r="H5804" s="39">
        <f t="shared" si="360"/>
        <v>16297</v>
      </c>
      <c r="I5804" s="23" t="str">
        <f t="shared" si="361"/>
        <v>Bengaluru</v>
      </c>
      <c r="J5804" s="23">
        <f>COUNTIFS(pg_transaction_cleaned!$O:$O,A5804,pg_transaction_cleaned!$F:$F,"CAPTURE")</f>
        <v>1</v>
      </c>
      <c r="K5804" s="39">
        <f>SUMIFS(pg_transaction_cleaned!$H:$H,pg_transaction_cleaned!$O:$O,A5804,pg_transaction_cleaned!$F:$F,"CAPTURE")</f>
        <v>16297</v>
      </c>
      <c r="L5804" s="23">
        <f>COUNTIFS(pg_transaction_cleaned!$O:$O,A5804,pg_transaction_cleaned!$F:$F,"REFUND")</f>
        <v>0</v>
      </c>
      <c r="M5804" s="39">
        <f>SUMIFS(pg_transaction_cleaned!$H:$H,pg_transaction_cleaned!$O:$O,A5804,pg_transaction_cleaned!$F:$F,"REFUND")</f>
        <v>0</v>
      </c>
      <c r="N5804" s="23" t="str">
        <f t="shared" si="362"/>
        <v>OK</v>
      </c>
      <c r="O5804" s="24">
        <f t="shared" si="363"/>
        <v>0</v>
      </c>
    </row>
    <row r="5805" spans="1:15" ht="15" customHeight="1" x14ac:dyDescent="0.3">
      <c r="A5805" s="23" t="s">
        <v>12020</v>
      </c>
      <c r="B5805" s="38">
        <v>46279</v>
      </c>
      <c r="C5805" s="23" t="s">
        <v>12021</v>
      </c>
      <c r="D5805" s="23" t="s">
        <v>91</v>
      </c>
      <c r="E5805" s="23" t="s">
        <v>75</v>
      </c>
      <c r="F5805" s="23" t="s">
        <v>1448</v>
      </c>
      <c r="G5805" s="23" t="s">
        <v>318</v>
      </c>
      <c r="H5805" s="39">
        <f t="shared" si="360"/>
        <v>6297</v>
      </c>
      <c r="I5805" s="23" t="str">
        <f t="shared" si="361"/>
        <v>Pune</v>
      </c>
      <c r="J5805" s="23">
        <f>COUNTIFS(pg_transaction_cleaned!$O:$O,A5805,pg_transaction_cleaned!$F:$F,"CAPTURE")</f>
        <v>0</v>
      </c>
      <c r="K5805" s="39">
        <f>SUMIFS(pg_transaction_cleaned!$H:$H,pg_transaction_cleaned!$O:$O,A5805,pg_transaction_cleaned!$F:$F,"CAPTURE")</f>
        <v>0</v>
      </c>
      <c r="L5805" s="23">
        <f>COUNTIFS(pg_transaction_cleaned!$O:$O,A5805,pg_transaction_cleaned!$F:$F,"REFUND")</f>
        <v>0</v>
      </c>
      <c r="M5805" s="39">
        <f>SUMIFS(pg_transaction_cleaned!$H:$H,pg_transaction_cleaned!$O:$O,A5805,pg_transaction_cleaned!$F:$F,"REFUND")</f>
        <v>0</v>
      </c>
      <c r="N5805" s="23" t="str">
        <f t="shared" si="362"/>
        <v>OK</v>
      </c>
      <c r="O5805" s="24">
        <f t="shared" si="363"/>
        <v>0</v>
      </c>
    </row>
    <row r="5806" spans="1:15" ht="15" customHeight="1" x14ac:dyDescent="0.3">
      <c r="A5806" s="23" t="s">
        <v>12022</v>
      </c>
      <c r="B5806" s="38">
        <v>46292</v>
      </c>
      <c r="C5806" s="23" t="s">
        <v>12023</v>
      </c>
      <c r="D5806" s="23" t="s">
        <v>86</v>
      </c>
      <c r="E5806" s="23" t="s">
        <v>75</v>
      </c>
      <c r="F5806" s="23" t="s">
        <v>310</v>
      </c>
      <c r="G5806" s="23" t="s">
        <v>250</v>
      </c>
      <c r="H5806" s="39">
        <f t="shared" si="360"/>
        <v>7999</v>
      </c>
      <c r="I5806" s="23" t="str">
        <f t="shared" si="361"/>
        <v>Delhi</v>
      </c>
      <c r="J5806" s="23">
        <f>COUNTIFS(pg_transaction_cleaned!$O:$O,A5806,pg_transaction_cleaned!$F:$F,"CAPTURE")</f>
        <v>1</v>
      </c>
      <c r="K5806" s="39">
        <f>SUMIFS(pg_transaction_cleaned!$H:$H,pg_transaction_cleaned!$O:$O,A5806,pg_transaction_cleaned!$F:$F,"CAPTURE")</f>
        <v>7999</v>
      </c>
      <c r="L5806" s="23">
        <f>COUNTIFS(pg_transaction_cleaned!$O:$O,A5806,pg_transaction_cleaned!$F:$F,"REFUND")</f>
        <v>0</v>
      </c>
      <c r="M5806" s="39">
        <f>SUMIFS(pg_transaction_cleaned!$H:$H,pg_transaction_cleaned!$O:$O,A5806,pg_transaction_cleaned!$F:$F,"REFUND")</f>
        <v>0</v>
      </c>
      <c r="N5806" s="23" t="str">
        <f t="shared" si="362"/>
        <v>OK</v>
      </c>
      <c r="O5806" s="24">
        <f t="shared" si="363"/>
        <v>0</v>
      </c>
    </row>
    <row r="5807" spans="1:15" ht="15" customHeight="1" x14ac:dyDescent="0.3">
      <c r="A5807" s="23" t="s">
        <v>12024</v>
      </c>
      <c r="B5807" s="38">
        <v>46284</v>
      </c>
      <c r="C5807" s="23" t="s">
        <v>12025</v>
      </c>
      <c r="D5807" s="23" t="s">
        <v>88</v>
      </c>
      <c r="E5807" s="23" t="s">
        <v>75</v>
      </c>
      <c r="F5807" s="23" t="s">
        <v>880</v>
      </c>
      <c r="G5807" s="23" t="s">
        <v>250</v>
      </c>
      <c r="H5807" s="39">
        <f t="shared" si="360"/>
        <v>2298</v>
      </c>
      <c r="I5807" s="23" t="str">
        <f t="shared" si="361"/>
        <v>Lucknow</v>
      </c>
      <c r="J5807" s="23">
        <f>COUNTIFS(pg_transaction_cleaned!$O:$O,A5807,pg_transaction_cleaned!$F:$F,"CAPTURE")</f>
        <v>1</v>
      </c>
      <c r="K5807" s="39">
        <f>SUMIFS(pg_transaction_cleaned!$H:$H,pg_transaction_cleaned!$O:$O,A5807,pg_transaction_cleaned!$F:$F,"CAPTURE")</f>
        <v>2298</v>
      </c>
      <c r="L5807" s="23">
        <f>COUNTIFS(pg_transaction_cleaned!$O:$O,A5807,pg_transaction_cleaned!$F:$F,"REFUND")</f>
        <v>0</v>
      </c>
      <c r="M5807" s="39">
        <f>SUMIFS(pg_transaction_cleaned!$H:$H,pg_transaction_cleaned!$O:$O,A5807,pg_transaction_cleaned!$F:$F,"REFUND")</f>
        <v>0</v>
      </c>
      <c r="N5807" s="23" t="str">
        <f t="shared" si="362"/>
        <v>OK</v>
      </c>
      <c r="O5807" s="24">
        <f t="shared" si="363"/>
        <v>0</v>
      </c>
    </row>
    <row r="5808" spans="1:15" ht="15" customHeight="1" x14ac:dyDescent="0.3">
      <c r="A5808" s="23" t="s">
        <v>12026</v>
      </c>
      <c r="B5808" s="38">
        <v>46293</v>
      </c>
      <c r="C5808" s="23" t="s">
        <v>12027</v>
      </c>
      <c r="D5808" s="23" t="s">
        <v>90</v>
      </c>
      <c r="E5808" s="23" t="s">
        <v>81</v>
      </c>
      <c r="F5808" s="23" t="s">
        <v>827</v>
      </c>
      <c r="G5808" s="23" t="s">
        <v>250</v>
      </c>
      <c r="H5808" s="39">
        <f t="shared" si="360"/>
        <v>11498</v>
      </c>
      <c r="I5808" s="23" t="str">
        <f t="shared" si="361"/>
        <v>Ahmedabad</v>
      </c>
      <c r="J5808" s="23">
        <f>COUNTIFS(pg_transaction_cleaned!$O:$O,A5808,pg_transaction_cleaned!$F:$F,"CAPTURE")</f>
        <v>1</v>
      </c>
      <c r="K5808" s="39">
        <f>SUMIFS(pg_transaction_cleaned!$H:$H,pg_transaction_cleaned!$O:$O,A5808,pg_transaction_cleaned!$F:$F,"CAPTURE")</f>
        <v>11498</v>
      </c>
      <c r="L5808" s="23">
        <f>COUNTIFS(pg_transaction_cleaned!$O:$O,A5808,pg_transaction_cleaned!$F:$F,"REFUND")</f>
        <v>0</v>
      </c>
      <c r="M5808" s="39">
        <f>SUMIFS(pg_transaction_cleaned!$H:$H,pg_transaction_cleaned!$O:$O,A5808,pg_transaction_cleaned!$F:$F,"REFUND")</f>
        <v>0</v>
      </c>
      <c r="N5808" s="23" t="str">
        <f t="shared" si="362"/>
        <v>OK</v>
      </c>
      <c r="O5808" s="24">
        <f t="shared" si="363"/>
        <v>0</v>
      </c>
    </row>
    <row r="5809" spans="1:15" ht="15" customHeight="1" x14ac:dyDescent="0.3">
      <c r="A5809" s="23" t="s">
        <v>12028</v>
      </c>
      <c r="B5809" s="38">
        <v>46291</v>
      </c>
      <c r="C5809" s="23" t="s">
        <v>12029</v>
      </c>
      <c r="D5809" s="23" t="s">
        <v>91</v>
      </c>
      <c r="E5809" s="23" t="s">
        <v>75</v>
      </c>
      <c r="F5809" s="23" t="s">
        <v>268</v>
      </c>
      <c r="G5809" s="23" t="s">
        <v>250</v>
      </c>
      <c r="H5809" s="39">
        <f t="shared" si="360"/>
        <v>1299</v>
      </c>
      <c r="I5809" s="23" t="str">
        <f t="shared" si="361"/>
        <v>Pune</v>
      </c>
      <c r="J5809" s="23">
        <f>COUNTIFS(pg_transaction_cleaned!$O:$O,A5809,pg_transaction_cleaned!$F:$F,"CAPTURE")</f>
        <v>1</v>
      </c>
      <c r="K5809" s="39">
        <f>SUMIFS(pg_transaction_cleaned!$H:$H,pg_transaction_cleaned!$O:$O,A5809,pg_transaction_cleaned!$F:$F,"CAPTURE")</f>
        <v>1299</v>
      </c>
      <c r="L5809" s="23">
        <f>COUNTIFS(pg_transaction_cleaned!$O:$O,A5809,pg_transaction_cleaned!$F:$F,"REFUND")</f>
        <v>0</v>
      </c>
      <c r="M5809" s="39">
        <f>SUMIFS(pg_transaction_cleaned!$H:$H,pg_transaction_cleaned!$O:$O,A5809,pg_transaction_cleaned!$F:$F,"REFUND")</f>
        <v>0</v>
      </c>
      <c r="N5809" s="23" t="str">
        <f t="shared" si="362"/>
        <v>OK</v>
      </c>
      <c r="O5809" s="24">
        <f t="shared" si="363"/>
        <v>0</v>
      </c>
    </row>
    <row r="5810" spans="1:15" ht="15" customHeight="1" x14ac:dyDescent="0.3">
      <c r="A5810" s="23" t="s">
        <v>12030</v>
      </c>
      <c r="B5810" s="38">
        <v>46292</v>
      </c>
      <c r="C5810" s="23" t="s">
        <v>12031</v>
      </c>
      <c r="D5810" s="23" t="s">
        <v>87</v>
      </c>
      <c r="E5810" s="23" t="s">
        <v>81</v>
      </c>
      <c r="F5810" s="23" t="s">
        <v>297</v>
      </c>
      <c r="G5810" s="23" t="s">
        <v>250</v>
      </c>
      <c r="H5810" s="39">
        <f t="shared" si="360"/>
        <v>4999</v>
      </c>
      <c r="I5810" s="23" t="str">
        <f t="shared" si="361"/>
        <v>Mumbai</v>
      </c>
      <c r="J5810" s="23">
        <f>COUNTIFS(pg_transaction_cleaned!$O:$O,A5810,pg_transaction_cleaned!$F:$F,"CAPTURE")</f>
        <v>1</v>
      </c>
      <c r="K5810" s="39">
        <f>SUMIFS(pg_transaction_cleaned!$H:$H,pg_transaction_cleaned!$O:$O,A5810,pg_transaction_cleaned!$F:$F,"CAPTURE")</f>
        <v>4999</v>
      </c>
      <c r="L5810" s="23">
        <f>COUNTIFS(pg_transaction_cleaned!$O:$O,A5810,pg_transaction_cleaned!$F:$F,"REFUND")</f>
        <v>0</v>
      </c>
      <c r="M5810" s="39">
        <f>SUMIFS(pg_transaction_cleaned!$H:$H,pg_transaction_cleaned!$O:$O,A5810,pg_transaction_cleaned!$F:$F,"REFUND")</f>
        <v>0</v>
      </c>
      <c r="N5810" s="23" t="str">
        <f t="shared" si="362"/>
        <v>OK</v>
      </c>
      <c r="O5810" s="24">
        <f t="shared" si="363"/>
        <v>0</v>
      </c>
    </row>
    <row r="5811" spans="1:15" ht="15" customHeight="1" x14ac:dyDescent="0.3">
      <c r="A5811" s="23" t="s">
        <v>12032</v>
      </c>
      <c r="B5811" s="38">
        <v>46291</v>
      </c>
      <c r="C5811" s="23" t="s">
        <v>12033</v>
      </c>
      <c r="D5811" s="23" t="s">
        <v>90</v>
      </c>
      <c r="E5811" s="23" t="s">
        <v>79</v>
      </c>
      <c r="F5811" s="23" t="s">
        <v>291</v>
      </c>
      <c r="G5811" s="23" t="s">
        <v>250</v>
      </c>
      <c r="H5811" s="39">
        <f t="shared" si="360"/>
        <v>3499</v>
      </c>
      <c r="I5811" s="23" t="str">
        <f t="shared" si="361"/>
        <v>Ahmedabad</v>
      </c>
      <c r="J5811" s="23">
        <f>COUNTIFS(pg_transaction_cleaned!$O:$O,A5811,pg_transaction_cleaned!$F:$F,"CAPTURE")</f>
        <v>1</v>
      </c>
      <c r="K5811" s="39">
        <f>SUMIFS(pg_transaction_cleaned!$H:$H,pg_transaction_cleaned!$O:$O,A5811,pg_transaction_cleaned!$F:$F,"CAPTURE")</f>
        <v>3499</v>
      </c>
      <c r="L5811" s="23">
        <f>COUNTIFS(pg_transaction_cleaned!$O:$O,A5811,pg_transaction_cleaned!$F:$F,"REFUND")</f>
        <v>0</v>
      </c>
      <c r="M5811" s="39">
        <f>SUMIFS(pg_transaction_cleaned!$H:$H,pg_transaction_cleaned!$O:$O,A5811,pg_transaction_cleaned!$F:$F,"REFUND")</f>
        <v>0</v>
      </c>
      <c r="N5811" s="23" t="str">
        <f t="shared" si="362"/>
        <v>OK</v>
      </c>
      <c r="O5811" s="24">
        <f t="shared" si="363"/>
        <v>0</v>
      </c>
    </row>
    <row r="5812" spans="1:15" ht="15" customHeight="1" x14ac:dyDescent="0.3">
      <c r="A5812" s="23" t="s">
        <v>12034</v>
      </c>
      <c r="B5812" s="38">
        <v>46275</v>
      </c>
      <c r="C5812" s="23" t="s">
        <v>6143</v>
      </c>
      <c r="D5812" s="23"/>
      <c r="E5812" s="23" t="s">
        <v>75</v>
      </c>
      <c r="F5812" s="23" t="s">
        <v>329</v>
      </c>
      <c r="G5812" s="23" t="s">
        <v>250</v>
      </c>
      <c r="H5812" s="39">
        <f t="shared" si="360"/>
        <v>599</v>
      </c>
      <c r="I5812" s="23" t="str">
        <f t="shared" si="361"/>
        <v>Unknown</v>
      </c>
      <c r="J5812" s="23">
        <f>COUNTIFS(pg_transaction_cleaned!$O:$O,A5812,pg_transaction_cleaned!$F:$F,"CAPTURE")</f>
        <v>1</v>
      </c>
      <c r="K5812" s="39">
        <f>SUMIFS(pg_transaction_cleaned!$H:$H,pg_transaction_cleaned!$O:$O,A5812,pg_transaction_cleaned!$F:$F,"CAPTURE")</f>
        <v>599</v>
      </c>
      <c r="L5812" s="23">
        <f>COUNTIFS(pg_transaction_cleaned!$O:$O,A5812,pg_transaction_cleaned!$F:$F,"REFUND")</f>
        <v>0</v>
      </c>
      <c r="M5812" s="39">
        <f>SUMIFS(pg_transaction_cleaned!$H:$H,pg_transaction_cleaned!$O:$O,A5812,pg_transaction_cleaned!$F:$F,"REFUND")</f>
        <v>0</v>
      </c>
      <c r="N5812" s="23" t="str">
        <f t="shared" si="362"/>
        <v>OK</v>
      </c>
      <c r="O5812" s="24">
        <f t="shared" si="363"/>
        <v>0</v>
      </c>
    </row>
    <row r="5813" spans="1:15" ht="15" customHeight="1" x14ac:dyDescent="0.3">
      <c r="A5813" s="23" t="s">
        <v>12035</v>
      </c>
      <c r="B5813" s="38">
        <v>46273</v>
      </c>
      <c r="C5813" s="23" t="s">
        <v>12036</v>
      </c>
      <c r="D5813" s="23" t="s">
        <v>90</v>
      </c>
      <c r="E5813" s="23" t="s">
        <v>81</v>
      </c>
      <c r="F5813" s="23" t="s">
        <v>520</v>
      </c>
      <c r="G5813" s="23" t="s">
        <v>250</v>
      </c>
      <c r="H5813" s="39">
        <f t="shared" si="360"/>
        <v>4998</v>
      </c>
      <c r="I5813" s="23" t="str">
        <f t="shared" si="361"/>
        <v>Ahmedabad</v>
      </c>
      <c r="J5813" s="23">
        <f>COUNTIFS(pg_transaction_cleaned!$O:$O,A5813,pg_transaction_cleaned!$F:$F,"CAPTURE")</f>
        <v>1</v>
      </c>
      <c r="K5813" s="39">
        <f>SUMIFS(pg_transaction_cleaned!$H:$H,pg_transaction_cleaned!$O:$O,A5813,pg_transaction_cleaned!$F:$F,"CAPTURE")</f>
        <v>4998</v>
      </c>
      <c r="L5813" s="23">
        <f>COUNTIFS(pg_transaction_cleaned!$O:$O,A5813,pg_transaction_cleaned!$F:$F,"REFUND")</f>
        <v>0</v>
      </c>
      <c r="M5813" s="39">
        <f>SUMIFS(pg_transaction_cleaned!$H:$H,pg_transaction_cleaned!$O:$O,A5813,pg_transaction_cleaned!$F:$F,"REFUND")</f>
        <v>0</v>
      </c>
      <c r="N5813" s="23" t="str">
        <f t="shared" si="362"/>
        <v>OK</v>
      </c>
      <c r="O5813" s="24">
        <f t="shared" si="363"/>
        <v>0</v>
      </c>
    </row>
    <row r="5814" spans="1:15" ht="15" customHeight="1" x14ac:dyDescent="0.3">
      <c r="A5814" s="23" t="s">
        <v>12037</v>
      </c>
      <c r="B5814" s="38">
        <v>46288</v>
      </c>
      <c r="C5814" s="23" t="s">
        <v>12038</v>
      </c>
      <c r="D5814" s="23" t="s">
        <v>94</v>
      </c>
      <c r="E5814" s="23" t="s">
        <v>79</v>
      </c>
      <c r="F5814" s="23" t="s">
        <v>12039</v>
      </c>
      <c r="G5814" s="23" t="s">
        <v>250</v>
      </c>
      <c r="H5814" s="39">
        <f t="shared" si="360"/>
        <v>5798</v>
      </c>
      <c r="I5814" s="23" t="str">
        <f t="shared" si="361"/>
        <v>Chennai</v>
      </c>
      <c r="J5814" s="23">
        <f>COUNTIFS(pg_transaction_cleaned!$O:$O,A5814,pg_transaction_cleaned!$F:$F,"CAPTURE")</f>
        <v>1</v>
      </c>
      <c r="K5814" s="39">
        <f>SUMIFS(pg_transaction_cleaned!$H:$H,pg_transaction_cleaned!$O:$O,A5814,pg_transaction_cleaned!$F:$F,"CAPTURE")</f>
        <v>5798</v>
      </c>
      <c r="L5814" s="23">
        <f>COUNTIFS(pg_transaction_cleaned!$O:$O,A5814,pg_transaction_cleaned!$F:$F,"REFUND")</f>
        <v>0</v>
      </c>
      <c r="M5814" s="39">
        <f>SUMIFS(pg_transaction_cleaned!$H:$H,pg_transaction_cleaned!$O:$O,A5814,pg_transaction_cleaned!$F:$F,"REFUND")</f>
        <v>0</v>
      </c>
      <c r="N5814" s="23" t="str">
        <f t="shared" si="362"/>
        <v>OK</v>
      </c>
      <c r="O5814" s="24">
        <f t="shared" si="363"/>
        <v>0</v>
      </c>
    </row>
    <row r="5815" spans="1:15" ht="15" customHeight="1" x14ac:dyDescent="0.3">
      <c r="A5815" s="23" t="s">
        <v>12040</v>
      </c>
      <c r="B5815" s="38">
        <v>46292</v>
      </c>
      <c r="C5815" s="23" t="s">
        <v>12041</v>
      </c>
      <c r="D5815" s="23" t="s">
        <v>90</v>
      </c>
      <c r="E5815" s="23" t="s">
        <v>75</v>
      </c>
      <c r="F5815" s="23" t="s">
        <v>300</v>
      </c>
      <c r="G5815" s="23" t="s">
        <v>250</v>
      </c>
      <c r="H5815" s="39">
        <f t="shared" si="360"/>
        <v>2598</v>
      </c>
      <c r="I5815" s="23" t="str">
        <f t="shared" si="361"/>
        <v>Ahmedabad</v>
      </c>
      <c r="J5815" s="23">
        <f>COUNTIFS(pg_transaction_cleaned!$O:$O,A5815,pg_transaction_cleaned!$F:$F,"CAPTURE")</f>
        <v>1</v>
      </c>
      <c r="K5815" s="39">
        <f>SUMIFS(pg_transaction_cleaned!$H:$H,pg_transaction_cleaned!$O:$O,A5815,pg_transaction_cleaned!$F:$F,"CAPTURE")</f>
        <v>2598</v>
      </c>
      <c r="L5815" s="23">
        <f>COUNTIFS(pg_transaction_cleaned!$O:$O,A5815,pg_transaction_cleaned!$F:$F,"REFUND")</f>
        <v>0</v>
      </c>
      <c r="M5815" s="39">
        <f>SUMIFS(pg_transaction_cleaned!$H:$H,pg_transaction_cleaned!$O:$O,A5815,pg_transaction_cleaned!$F:$F,"REFUND")</f>
        <v>0</v>
      </c>
      <c r="N5815" s="23" t="str">
        <f t="shared" si="362"/>
        <v>OK</v>
      </c>
      <c r="O5815" s="24">
        <f t="shared" si="363"/>
        <v>0</v>
      </c>
    </row>
    <row r="5816" spans="1:15" ht="15" customHeight="1" x14ac:dyDescent="0.3">
      <c r="A5816" s="23" t="s">
        <v>12042</v>
      </c>
      <c r="B5816" s="38">
        <v>46275</v>
      </c>
      <c r="C5816" s="23" t="s">
        <v>12043</v>
      </c>
      <c r="D5816" s="23" t="s">
        <v>91</v>
      </c>
      <c r="E5816" s="23" t="s">
        <v>75</v>
      </c>
      <c r="F5816" s="23" t="s">
        <v>475</v>
      </c>
      <c r="G5816" s="23" t="s">
        <v>250</v>
      </c>
      <c r="H5816" s="39">
        <f t="shared" si="360"/>
        <v>799</v>
      </c>
      <c r="I5816" s="23" t="str">
        <f t="shared" si="361"/>
        <v>Pune</v>
      </c>
      <c r="J5816" s="23">
        <f>COUNTIFS(pg_transaction_cleaned!$O:$O,A5816,pg_transaction_cleaned!$F:$F,"CAPTURE")</f>
        <v>1</v>
      </c>
      <c r="K5816" s="39">
        <f>SUMIFS(pg_transaction_cleaned!$H:$H,pg_transaction_cleaned!$O:$O,A5816,pg_transaction_cleaned!$F:$F,"CAPTURE")</f>
        <v>799</v>
      </c>
      <c r="L5816" s="23">
        <f>COUNTIFS(pg_transaction_cleaned!$O:$O,A5816,pg_transaction_cleaned!$F:$F,"REFUND")</f>
        <v>0</v>
      </c>
      <c r="M5816" s="39">
        <f>SUMIFS(pg_transaction_cleaned!$H:$H,pg_transaction_cleaned!$O:$O,A5816,pg_transaction_cleaned!$F:$F,"REFUND")</f>
        <v>0</v>
      </c>
      <c r="N5816" s="23" t="str">
        <f t="shared" si="362"/>
        <v>OK</v>
      </c>
      <c r="O5816" s="24">
        <f t="shared" si="363"/>
        <v>0</v>
      </c>
    </row>
    <row r="5817" spans="1:15" ht="15" customHeight="1" x14ac:dyDescent="0.3">
      <c r="A5817" s="23" t="s">
        <v>12044</v>
      </c>
      <c r="B5817" s="38">
        <v>46274</v>
      </c>
      <c r="C5817" s="23" t="s">
        <v>12045</v>
      </c>
      <c r="D5817" s="23"/>
      <c r="E5817" s="23" t="s">
        <v>75</v>
      </c>
      <c r="F5817" s="23" t="s">
        <v>1596</v>
      </c>
      <c r="G5817" s="23" t="s">
        <v>250</v>
      </c>
      <c r="H5817" s="39">
        <f t="shared" si="360"/>
        <v>3499</v>
      </c>
      <c r="I5817" s="23" t="str">
        <f t="shared" si="361"/>
        <v>Unknown</v>
      </c>
      <c r="J5817" s="23">
        <f>COUNTIFS(pg_transaction_cleaned!$O:$O,A5817,pg_transaction_cleaned!$F:$F,"CAPTURE")</f>
        <v>1</v>
      </c>
      <c r="K5817" s="39">
        <f>SUMIFS(pg_transaction_cleaned!$H:$H,pg_transaction_cleaned!$O:$O,A5817,pg_transaction_cleaned!$F:$F,"CAPTURE")</f>
        <v>3499</v>
      </c>
      <c r="L5817" s="23">
        <f>COUNTIFS(pg_transaction_cleaned!$O:$O,A5817,pg_transaction_cleaned!$F:$F,"REFUND")</f>
        <v>0</v>
      </c>
      <c r="M5817" s="39">
        <f>SUMIFS(pg_transaction_cleaned!$H:$H,pg_transaction_cleaned!$O:$O,A5817,pg_transaction_cleaned!$F:$F,"REFUND")</f>
        <v>0</v>
      </c>
      <c r="N5817" s="23" t="str">
        <f t="shared" si="362"/>
        <v>OK</v>
      </c>
      <c r="O5817" s="24">
        <f t="shared" si="363"/>
        <v>0</v>
      </c>
    </row>
    <row r="5818" spans="1:15" ht="15" customHeight="1" x14ac:dyDescent="0.3">
      <c r="A5818" s="23" t="s">
        <v>12046</v>
      </c>
      <c r="B5818" s="38">
        <v>46279</v>
      </c>
      <c r="C5818" s="23" t="s">
        <v>12047</v>
      </c>
      <c r="D5818" s="23" t="s">
        <v>86</v>
      </c>
      <c r="E5818" s="23" t="s">
        <v>79</v>
      </c>
      <c r="F5818" s="23" t="s">
        <v>291</v>
      </c>
      <c r="G5818" s="23" t="s">
        <v>250</v>
      </c>
      <c r="H5818" s="39">
        <f t="shared" si="360"/>
        <v>3499</v>
      </c>
      <c r="I5818" s="23" t="str">
        <f t="shared" si="361"/>
        <v>Delhi</v>
      </c>
      <c r="J5818" s="23">
        <f>COUNTIFS(pg_transaction_cleaned!$O:$O,A5818,pg_transaction_cleaned!$F:$F,"CAPTURE")</f>
        <v>1</v>
      </c>
      <c r="K5818" s="39">
        <f>SUMIFS(pg_transaction_cleaned!$H:$H,pg_transaction_cleaned!$O:$O,A5818,pg_transaction_cleaned!$F:$F,"CAPTURE")</f>
        <v>3499</v>
      </c>
      <c r="L5818" s="23">
        <f>COUNTIFS(pg_transaction_cleaned!$O:$O,A5818,pg_transaction_cleaned!$F:$F,"REFUND")</f>
        <v>0</v>
      </c>
      <c r="M5818" s="39">
        <f>SUMIFS(pg_transaction_cleaned!$H:$H,pg_transaction_cleaned!$O:$O,A5818,pg_transaction_cleaned!$F:$F,"REFUND")</f>
        <v>0</v>
      </c>
      <c r="N5818" s="23" t="str">
        <f t="shared" si="362"/>
        <v>OK</v>
      </c>
      <c r="O5818" s="24">
        <f t="shared" si="363"/>
        <v>0</v>
      </c>
    </row>
    <row r="5819" spans="1:15" ht="15" customHeight="1" x14ac:dyDescent="0.3">
      <c r="A5819" s="23" t="s">
        <v>12048</v>
      </c>
      <c r="B5819" s="38">
        <v>46270</v>
      </c>
      <c r="C5819" s="23" t="s">
        <v>12049</v>
      </c>
      <c r="D5819" s="23" t="s">
        <v>86</v>
      </c>
      <c r="E5819" s="23" t="s">
        <v>81</v>
      </c>
      <c r="F5819" s="23" t="s">
        <v>291</v>
      </c>
      <c r="G5819" s="23" t="s">
        <v>250</v>
      </c>
      <c r="H5819" s="39">
        <f t="shared" si="360"/>
        <v>3499</v>
      </c>
      <c r="I5819" s="23" t="str">
        <f t="shared" si="361"/>
        <v>Delhi</v>
      </c>
      <c r="J5819" s="23">
        <f>COUNTIFS(pg_transaction_cleaned!$O:$O,A5819,pg_transaction_cleaned!$F:$F,"CAPTURE")</f>
        <v>1</v>
      </c>
      <c r="K5819" s="39">
        <f>SUMIFS(pg_transaction_cleaned!$H:$H,pg_transaction_cleaned!$O:$O,A5819,pg_transaction_cleaned!$F:$F,"CAPTURE")</f>
        <v>3499</v>
      </c>
      <c r="L5819" s="23">
        <f>COUNTIFS(pg_transaction_cleaned!$O:$O,A5819,pg_transaction_cleaned!$F:$F,"REFUND")</f>
        <v>0</v>
      </c>
      <c r="M5819" s="39">
        <f>SUMIFS(pg_transaction_cleaned!$H:$H,pg_transaction_cleaned!$O:$O,A5819,pg_transaction_cleaned!$F:$F,"REFUND")</f>
        <v>0</v>
      </c>
      <c r="N5819" s="23" t="str">
        <f t="shared" si="362"/>
        <v>OK</v>
      </c>
      <c r="O5819" s="24">
        <f t="shared" si="363"/>
        <v>0</v>
      </c>
    </row>
    <row r="5820" spans="1:15" ht="15" customHeight="1" x14ac:dyDescent="0.3">
      <c r="A5820" s="23" t="s">
        <v>12050</v>
      </c>
      <c r="B5820" s="38">
        <v>46269</v>
      </c>
      <c r="C5820" s="23" t="s">
        <v>12051</v>
      </c>
      <c r="D5820" s="23" t="s">
        <v>95</v>
      </c>
      <c r="E5820" s="23" t="s">
        <v>75</v>
      </c>
      <c r="F5820" s="23" t="s">
        <v>271</v>
      </c>
      <c r="G5820" s="23" t="s">
        <v>250</v>
      </c>
      <c r="H5820" s="39">
        <f t="shared" si="360"/>
        <v>2499</v>
      </c>
      <c r="I5820" s="23" t="str">
        <f t="shared" si="361"/>
        <v>Bengaluru</v>
      </c>
      <c r="J5820" s="23">
        <f>COUNTIFS(pg_transaction_cleaned!$O:$O,A5820,pg_transaction_cleaned!$F:$F,"CAPTURE")</f>
        <v>1</v>
      </c>
      <c r="K5820" s="39">
        <f>SUMIFS(pg_transaction_cleaned!$H:$H,pg_transaction_cleaned!$O:$O,A5820,pg_transaction_cleaned!$F:$F,"CAPTURE")</f>
        <v>2499</v>
      </c>
      <c r="L5820" s="23">
        <f>COUNTIFS(pg_transaction_cleaned!$O:$O,A5820,pg_transaction_cleaned!$F:$F,"REFUND")</f>
        <v>0</v>
      </c>
      <c r="M5820" s="39">
        <f>SUMIFS(pg_transaction_cleaned!$H:$H,pg_transaction_cleaned!$O:$O,A5820,pg_transaction_cleaned!$F:$F,"REFUND")</f>
        <v>0</v>
      </c>
      <c r="N5820" s="23" t="str">
        <f t="shared" si="362"/>
        <v>OK</v>
      </c>
      <c r="O5820" s="24">
        <f t="shared" si="363"/>
        <v>0</v>
      </c>
    </row>
    <row r="5821" spans="1:15" ht="15" customHeight="1" x14ac:dyDescent="0.3">
      <c r="A5821" s="23" t="s">
        <v>12052</v>
      </c>
      <c r="B5821" s="38">
        <v>46293</v>
      </c>
      <c r="C5821" s="23" t="s">
        <v>12053</v>
      </c>
      <c r="D5821" s="23" t="s">
        <v>89</v>
      </c>
      <c r="E5821" s="23" t="s">
        <v>75</v>
      </c>
      <c r="F5821" s="23" t="s">
        <v>375</v>
      </c>
      <c r="G5821" s="23" t="s">
        <v>250</v>
      </c>
      <c r="H5821" s="39">
        <f t="shared" si="360"/>
        <v>2999</v>
      </c>
      <c r="I5821" s="23" t="str">
        <f t="shared" si="361"/>
        <v>Jaipur</v>
      </c>
      <c r="J5821" s="23">
        <f>COUNTIFS(pg_transaction_cleaned!$O:$O,A5821,pg_transaction_cleaned!$F:$F,"CAPTURE")</f>
        <v>1</v>
      </c>
      <c r="K5821" s="39">
        <f>SUMIFS(pg_transaction_cleaned!$H:$H,pg_transaction_cleaned!$O:$O,A5821,pg_transaction_cleaned!$F:$F,"CAPTURE")</f>
        <v>2999</v>
      </c>
      <c r="L5821" s="23">
        <f>COUNTIFS(pg_transaction_cleaned!$O:$O,A5821,pg_transaction_cleaned!$F:$F,"REFUND")</f>
        <v>0</v>
      </c>
      <c r="M5821" s="39">
        <f>SUMIFS(pg_transaction_cleaned!$H:$H,pg_transaction_cleaned!$O:$O,A5821,pg_transaction_cleaned!$F:$F,"REFUND")</f>
        <v>0</v>
      </c>
      <c r="N5821" s="23" t="str">
        <f t="shared" si="362"/>
        <v>OK</v>
      </c>
      <c r="O5821" s="24">
        <f t="shared" si="363"/>
        <v>0</v>
      </c>
    </row>
    <row r="5822" spans="1:15" ht="15" customHeight="1" x14ac:dyDescent="0.3">
      <c r="A5822" s="23" t="s">
        <v>12054</v>
      </c>
      <c r="B5822" s="38">
        <v>46274</v>
      </c>
      <c r="C5822" s="23" t="s">
        <v>12055</v>
      </c>
      <c r="D5822" s="23" t="s">
        <v>94</v>
      </c>
      <c r="E5822" s="23" t="s">
        <v>79</v>
      </c>
      <c r="F5822" s="23" t="s">
        <v>268</v>
      </c>
      <c r="G5822" s="23" t="s">
        <v>250</v>
      </c>
      <c r="H5822" s="39">
        <f t="shared" si="360"/>
        <v>1299</v>
      </c>
      <c r="I5822" s="23" t="str">
        <f t="shared" si="361"/>
        <v>Chennai</v>
      </c>
      <c r="J5822" s="23">
        <f>COUNTIFS(pg_transaction_cleaned!$O:$O,A5822,pg_transaction_cleaned!$F:$F,"CAPTURE")</f>
        <v>1</v>
      </c>
      <c r="K5822" s="39">
        <f>SUMIFS(pg_transaction_cleaned!$H:$H,pg_transaction_cleaned!$O:$O,A5822,pg_transaction_cleaned!$F:$F,"CAPTURE")</f>
        <v>1299</v>
      </c>
      <c r="L5822" s="23">
        <f>COUNTIFS(pg_transaction_cleaned!$O:$O,A5822,pg_transaction_cleaned!$F:$F,"REFUND")</f>
        <v>0</v>
      </c>
      <c r="M5822" s="39">
        <f>SUMIFS(pg_transaction_cleaned!$H:$H,pg_transaction_cleaned!$O:$O,A5822,pg_transaction_cleaned!$F:$F,"REFUND")</f>
        <v>0</v>
      </c>
      <c r="N5822" s="23" t="str">
        <f t="shared" si="362"/>
        <v>OK</v>
      </c>
      <c r="O5822" s="24">
        <f t="shared" si="363"/>
        <v>0</v>
      </c>
    </row>
    <row r="5823" spans="1:15" ht="15" customHeight="1" x14ac:dyDescent="0.3">
      <c r="A5823" s="23" t="s">
        <v>12056</v>
      </c>
      <c r="B5823" s="38">
        <v>46292</v>
      </c>
      <c r="C5823" s="23" t="s">
        <v>12057</v>
      </c>
      <c r="D5823" s="23" t="s">
        <v>93</v>
      </c>
      <c r="E5823" s="23" t="s">
        <v>79</v>
      </c>
      <c r="F5823" s="23" t="s">
        <v>253</v>
      </c>
      <c r="G5823" s="23" t="s">
        <v>318</v>
      </c>
      <c r="H5823" s="39">
        <f t="shared" si="360"/>
        <v>4647</v>
      </c>
      <c r="I5823" s="23" t="str">
        <f t="shared" si="361"/>
        <v>Kolkata</v>
      </c>
      <c r="J5823" s="23">
        <f>COUNTIFS(pg_transaction_cleaned!$O:$O,A5823,pg_transaction_cleaned!$F:$F,"CAPTURE")</f>
        <v>0</v>
      </c>
      <c r="K5823" s="39">
        <f>SUMIFS(pg_transaction_cleaned!$H:$H,pg_transaction_cleaned!$O:$O,A5823,pg_transaction_cleaned!$F:$F,"CAPTURE")</f>
        <v>0</v>
      </c>
      <c r="L5823" s="23">
        <f>COUNTIFS(pg_transaction_cleaned!$O:$O,A5823,pg_transaction_cleaned!$F:$F,"REFUND")</f>
        <v>0</v>
      </c>
      <c r="M5823" s="39">
        <f>SUMIFS(pg_transaction_cleaned!$H:$H,pg_transaction_cleaned!$O:$O,A5823,pg_transaction_cleaned!$F:$F,"REFUND")</f>
        <v>0</v>
      </c>
      <c r="N5823" s="23" t="str">
        <f t="shared" si="362"/>
        <v>OK</v>
      </c>
      <c r="O5823" s="24">
        <f t="shared" si="363"/>
        <v>0</v>
      </c>
    </row>
    <row r="5824" spans="1:15" ht="15" customHeight="1" x14ac:dyDescent="0.3">
      <c r="A5824" s="23" t="s">
        <v>12058</v>
      </c>
      <c r="B5824" s="38">
        <v>46266</v>
      </c>
      <c r="C5824" s="23" t="s">
        <v>12059</v>
      </c>
      <c r="D5824" s="23" t="s">
        <v>88</v>
      </c>
      <c r="E5824" s="23" t="s">
        <v>79</v>
      </c>
      <c r="F5824" s="23" t="s">
        <v>265</v>
      </c>
      <c r="G5824" s="23" t="s">
        <v>250</v>
      </c>
      <c r="H5824" s="39">
        <f t="shared" si="360"/>
        <v>999</v>
      </c>
      <c r="I5824" s="23" t="str">
        <f t="shared" si="361"/>
        <v>Lucknow</v>
      </c>
      <c r="J5824" s="23">
        <f>COUNTIFS(pg_transaction_cleaned!$O:$O,A5824,pg_transaction_cleaned!$F:$F,"CAPTURE")</f>
        <v>1</v>
      </c>
      <c r="K5824" s="39">
        <f>SUMIFS(pg_transaction_cleaned!$H:$H,pg_transaction_cleaned!$O:$O,A5824,pg_transaction_cleaned!$F:$F,"CAPTURE")</f>
        <v>999</v>
      </c>
      <c r="L5824" s="23">
        <f>COUNTIFS(pg_transaction_cleaned!$O:$O,A5824,pg_transaction_cleaned!$F:$F,"REFUND")</f>
        <v>0</v>
      </c>
      <c r="M5824" s="39">
        <f>SUMIFS(pg_transaction_cleaned!$H:$H,pg_transaction_cleaned!$O:$O,A5824,pg_transaction_cleaned!$F:$F,"REFUND")</f>
        <v>0</v>
      </c>
      <c r="N5824" s="23" t="str">
        <f t="shared" si="362"/>
        <v>OK</v>
      </c>
      <c r="O5824" s="24">
        <f t="shared" si="363"/>
        <v>0</v>
      </c>
    </row>
    <row r="5825" spans="1:15" ht="15" customHeight="1" x14ac:dyDescent="0.3">
      <c r="A5825" s="23" t="s">
        <v>12060</v>
      </c>
      <c r="B5825" s="38">
        <v>46268</v>
      </c>
      <c r="C5825" s="23" t="s">
        <v>12061</v>
      </c>
      <c r="D5825" s="23" t="s">
        <v>90</v>
      </c>
      <c r="E5825" s="23" t="s">
        <v>79</v>
      </c>
      <c r="F5825" s="23" t="s">
        <v>268</v>
      </c>
      <c r="G5825" s="23" t="s">
        <v>250</v>
      </c>
      <c r="H5825" s="39">
        <f t="shared" si="360"/>
        <v>1299</v>
      </c>
      <c r="I5825" s="23" t="str">
        <f t="shared" si="361"/>
        <v>Ahmedabad</v>
      </c>
      <c r="J5825" s="23">
        <f>COUNTIFS(pg_transaction_cleaned!$O:$O,A5825,pg_transaction_cleaned!$F:$F,"CAPTURE")</f>
        <v>1</v>
      </c>
      <c r="K5825" s="39">
        <f>SUMIFS(pg_transaction_cleaned!$H:$H,pg_transaction_cleaned!$O:$O,A5825,pg_transaction_cleaned!$F:$F,"CAPTURE")</f>
        <v>1299</v>
      </c>
      <c r="L5825" s="23">
        <f>COUNTIFS(pg_transaction_cleaned!$O:$O,A5825,pg_transaction_cleaned!$F:$F,"REFUND")</f>
        <v>0</v>
      </c>
      <c r="M5825" s="39">
        <f>SUMIFS(pg_transaction_cleaned!$H:$H,pg_transaction_cleaned!$O:$O,A5825,pg_transaction_cleaned!$F:$F,"REFUND")</f>
        <v>0</v>
      </c>
      <c r="N5825" s="23" t="str">
        <f t="shared" si="362"/>
        <v>OK</v>
      </c>
      <c r="O5825" s="24">
        <f t="shared" si="363"/>
        <v>0</v>
      </c>
    </row>
    <row r="5826" spans="1:15" ht="15" customHeight="1" x14ac:dyDescent="0.3">
      <c r="A5826" s="23" t="s">
        <v>12062</v>
      </c>
      <c r="B5826" s="38">
        <v>46286</v>
      </c>
      <c r="C5826" s="23" t="s">
        <v>12063</v>
      </c>
      <c r="D5826" s="23" t="s">
        <v>94</v>
      </c>
      <c r="E5826" s="23" t="s">
        <v>77</v>
      </c>
      <c r="F5826" s="23" t="s">
        <v>514</v>
      </c>
      <c r="G5826" s="23" t="s">
        <v>250</v>
      </c>
      <c r="H5826" s="39">
        <f t="shared" ref="H5826:H5889" si="364">VALUE(SUBSTITUTE(F5826,",",""))</f>
        <v>6498</v>
      </c>
      <c r="I5826" s="23" t="str">
        <f t="shared" ref="I5826:I5889" si="365">IF(TRIM(D5826)="","Unknown",TRIM(D5826))</f>
        <v>Chennai</v>
      </c>
      <c r="J5826" s="23">
        <f>COUNTIFS(pg_transaction_cleaned!$O:$O,A5826,pg_transaction_cleaned!$F:$F,"CAPTURE")</f>
        <v>1</v>
      </c>
      <c r="K5826" s="39">
        <f>SUMIFS(pg_transaction_cleaned!$H:$H,pg_transaction_cleaned!$O:$O,A5826,pg_transaction_cleaned!$F:$F,"CAPTURE")</f>
        <v>6498</v>
      </c>
      <c r="L5826" s="23">
        <f>COUNTIFS(pg_transaction_cleaned!$O:$O,A5826,pg_transaction_cleaned!$F:$F,"REFUND")</f>
        <v>0</v>
      </c>
      <c r="M5826" s="39">
        <f>SUMIFS(pg_transaction_cleaned!$H:$H,pg_transaction_cleaned!$O:$O,A5826,pg_transaction_cleaned!$F:$F,"REFUND")</f>
        <v>0</v>
      </c>
      <c r="N5826" s="23" t="str">
        <f t="shared" ref="N5826:N5889" si="366">IF(AND(G5826="Paid",J5826=0),"Paid, no payment",IF(AND(OR(G5826="Failed",G5826="Cancelled"),J5826&gt;0),"Payment on failed/cancelled",IF(J5826&gt;1,"Duplicate charge",IF(AND(J5826=1,ROUND(K5826-H5826,2)&lt;&gt;0),"Amount difference",IF(AND(G5826="Refunded",L5826=0),"Refunded, no refund",IF(AND(G5826&lt;&gt;"Refunded",L5826&gt;0),"Refund, order not Refunded",IF(AND(L5826&gt;0,ROUND(M5826-H5826,2)&lt;&gt;0),"Refund amount differs","OK")))))))</f>
        <v>OK</v>
      </c>
      <c r="O5826" s="24">
        <f t="shared" ref="O5826:O5889" si="367">IF(N5826="OK",0,IF(N5826="Paid, no payment",H5826,IF(N5826="Payment on failed/cancelled",K5826,IF(OR(N5826="Duplicate charge",N5826="Amount difference"),K5826-H5826,IF(N5826="Refunded, no refund",H5826,M5826)))))</f>
        <v>0</v>
      </c>
    </row>
    <row r="5827" spans="1:15" ht="15" customHeight="1" x14ac:dyDescent="0.3">
      <c r="A5827" s="23" t="s">
        <v>12064</v>
      </c>
      <c r="B5827" s="38">
        <v>46292</v>
      </c>
      <c r="C5827" s="23" t="s">
        <v>4359</v>
      </c>
      <c r="D5827" s="23" t="s">
        <v>93</v>
      </c>
      <c r="E5827" s="23" t="s">
        <v>81</v>
      </c>
      <c r="F5827" s="23" t="s">
        <v>772</v>
      </c>
      <c r="G5827" s="23" t="s">
        <v>250</v>
      </c>
      <c r="H5827" s="39">
        <f t="shared" si="364"/>
        <v>4798</v>
      </c>
      <c r="I5827" s="23" t="str">
        <f t="shared" si="365"/>
        <v>Kolkata</v>
      </c>
      <c r="J5827" s="23">
        <f>COUNTIFS(pg_transaction_cleaned!$O:$O,A5827,pg_transaction_cleaned!$F:$F,"CAPTURE")</f>
        <v>1</v>
      </c>
      <c r="K5827" s="39">
        <f>SUMIFS(pg_transaction_cleaned!$H:$H,pg_transaction_cleaned!$O:$O,A5827,pg_transaction_cleaned!$F:$F,"CAPTURE")</f>
        <v>4798</v>
      </c>
      <c r="L5827" s="23">
        <f>COUNTIFS(pg_transaction_cleaned!$O:$O,A5827,pg_transaction_cleaned!$F:$F,"REFUND")</f>
        <v>0</v>
      </c>
      <c r="M5827" s="39">
        <f>SUMIFS(pg_transaction_cleaned!$H:$H,pg_transaction_cleaned!$O:$O,A5827,pg_transaction_cleaned!$F:$F,"REFUND")</f>
        <v>0</v>
      </c>
      <c r="N5827" s="23" t="str">
        <f t="shared" si="366"/>
        <v>OK</v>
      </c>
      <c r="O5827" s="24">
        <f t="shared" si="367"/>
        <v>0</v>
      </c>
    </row>
    <row r="5828" spans="1:15" ht="15" customHeight="1" x14ac:dyDescent="0.3">
      <c r="A5828" s="23" t="s">
        <v>12065</v>
      </c>
      <c r="B5828" s="38">
        <v>46267</v>
      </c>
      <c r="C5828" s="23" t="s">
        <v>9125</v>
      </c>
      <c r="D5828" s="23" t="s">
        <v>86</v>
      </c>
      <c r="E5828" s="23" t="s">
        <v>79</v>
      </c>
      <c r="F5828" s="23" t="s">
        <v>974</v>
      </c>
      <c r="G5828" s="23" t="s">
        <v>250</v>
      </c>
      <c r="H5828" s="39">
        <f t="shared" si="364"/>
        <v>1498</v>
      </c>
      <c r="I5828" s="23" t="str">
        <f t="shared" si="365"/>
        <v>Delhi</v>
      </c>
      <c r="J5828" s="23">
        <f>COUNTIFS(pg_transaction_cleaned!$O:$O,A5828,pg_transaction_cleaned!$F:$F,"CAPTURE")</f>
        <v>1</v>
      </c>
      <c r="K5828" s="39">
        <f>SUMIFS(pg_transaction_cleaned!$H:$H,pg_transaction_cleaned!$O:$O,A5828,pg_transaction_cleaned!$F:$F,"CAPTURE")</f>
        <v>1498</v>
      </c>
      <c r="L5828" s="23">
        <f>COUNTIFS(pg_transaction_cleaned!$O:$O,A5828,pg_transaction_cleaned!$F:$F,"REFUND")</f>
        <v>0</v>
      </c>
      <c r="M5828" s="39">
        <f>SUMIFS(pg_transaction_cleaned!$H:$H,pg_transaction_cleaned!$O:$O,A5828,pg_transaction_cleaned!$F:$F,"REFUND")</f>
        <v>0</v>
      </c>
      <c r="N5828" s="23" t="str">
        <f t="shared" si="366"/>
        <v>OK</v>
      </c>
      <c r="O5828" s="24">
        <f t="shared" si="367"/>
        <v>0</v>
      </c>
    </row>
    <row r="5829" spans="1:15" ht="15" customHeight="1" x14ac:dyDescent="0.3">
      <c r="A5829" s="23" t="s">
        <v>12066</v>
      </c>
      <c r="B5829" s="38">
        <v>46284</v>
      </c>
      <c r="C5829" s="23" t="s">
        <v>12067</v>
      </c>
      <c r="D5829" s="23" t="s">
        <v>90</v>
      </c>
      <c r="E5829" s="23" t="s">
        <v>77</v>
      </c>
      <c r="F5829" s="23" t="s">
        <v>349</v>
      </c>
      <c r="G5829" s="23" t="s">
        <v>365</v>
      </c>
      <c r="H5829" s="39">
        <f t="shared" si="364"/>
        <v>1798</v>
      </c>
      <c r="I5829" s="23" t="str">
        <f t="shared" si="365"/>
        <v>Ahmedabad</v>
      </c>
      <c r="J5829" s="23">
        <f>COUNTIFS(pg_transaction_cleaned!$O:$O,A5829,pg_transaction_cleaned!$F:$F,"CAPTURE")</f>
        <v>0</v>
      </c>
      <c r="K5829" s="39">
        <f>SUMIFS(pg_transaction_cleaned!$H:$H,pg_transaction_cleaned!$O:$O,A5829,pg_transaction_cleaned!$F:$F,"CAPTURE")</f>
        <v>0</v>
      </c>
      <c r="L5829" s="23">
        <f>COUNTIFS(pg_transaction_cleaned!$O:$O,A5829,pg_transaction_cleaned!$F:$F,"REFUND")</f>
        <v>0</v>
      </c>
      <c r="M5829" s="39">
        <f>SUMIFS(pg_transaction_cleaned!$H:$H,pg_transaction_cleaned!$O:$O,A5829,pg_transaction_cleaned!$F:$F,"REFUND")</f>
        <v>0</v>
      </c>
      <c r="N5829" s="23" t="str">
        <f t="shared" si="366"/>
        <v>OK</v>
      </c>
      <c r="O5829" s="24">
        <f t="shared" si="367"/>
        <v>0</v>
      </c>
    </row>
    <row r="5830" spans="1:15" ht="15" customHeight="1" x14ac:dyDescent="0.3">
      <c r="A5830" s="23" t="s">
        <v>12068</v>
      </c>
      <c r="B5830" s="38">
        <v>46277</v>
      </c>
      <c r="C5830" s="23" t="s">
        <v>12069</v>
      </c>
      <c r="D5830" s="23" t="s">
        <v>89</v>
      </c>
      <c r="E5830" s="23" t="s">
        <v>75</v>
      </c>
      <c r="F5830" s="23" t="s">
        <v>475</v>
      </c>
      <c r="G5830" s="23" t="s">
        <v>250</v>
      </c>
      <c r="H5830" s="39">
        <f t="shared" si="364"/>
        <v>799</v>
      </c>
      <c r="I5830" s="23" t="str">
        <f t="shared" si="365"/>
        <v>Jaipur</v>
      </c>
      <c r="J5830" s="23">
        <f>COUNTIFS(pg_transaction_cleaned!$O:$O,A5830,pg_transaction_cleaned!$F:$F,"CAPTURE")</f>
        <v>1</v>
      </c>
      <c r="K5830" s="39">
        <f>SUMIFS(pg_transaction_cleaned!$H:$H,pg_transaction_cleaned!$O:$O,A5830,pg_transaction_cleaned!$F:$F,"CAPTURE")</f>
        <v>799</v>
      </c>
      <c r="L5830" s="23">
        <f>COUNTIFS(pg_transaction_cleaned!$O:$O,A5830,pg_transaction_cleaned!$F:$F,"REFUND")</f>
        <v>0</v>
      </c>
      <c r="M5830" s="39">
        <f>SUMIFS(pg_transaction_cleaned!$H:$H,pg_transaction_cleaned!$O:$O,A5830,pg_transaction_cleaned!$F:$F,"REFUND")</f>
        <v>0</v>
      </c>
      <c r="N5830" s="23" t="str">
        <f t="shared" si="366"/>
        <v>OK</v>
      </c>
      <c r="O5830" s="24">
        <f t="shared" si="367"/>
        <v>0</v>
      </c>
    </row>
    <row r="5831" spans="1:15" ht="15" customHeight="1" x14ac:dyDescent="0.3">
      <c r="A5831" s="23" t="s">
        <v>12070</v>
      </c>
      <c r="B5831" s="38">
        <v>46270</v>
      </c>
      <c r="C5831" s="23" t="s">
        <v>2776</v>
      </c>
      <c r="D5831" s="23" t="s">
        <v>92</v>
      </c>
      <c r="E5831" s="23" t="s">
        <v>75</v>
      </c>
      <c r="F5831" s="23" t="s">
        <v>567</v>
      </c>
      <c r="G5831" s="23" t="s">
        <v>250</v>
      </c>
      <c r="H5831" s="39">
        <f t="shared" si="364"/>
        <v>3598</v>
      </c>
      <c r="I5831" s="23" t="str">
        <f t="shared" si="365"/>
        <v>Hyderabad</v>
      </c>
      <c r="J5831" s="23">
        <f>COUNTIFS(pg_transaction_cleaned!$O:$O,A5831,pg_transaction_cleaned!$F:$F,"CAPTURE")</f>
        <v>1</v>
      </c>
      <c r="K5831" s="39">
        <f>SUMIFS(pg_transaction_cleaned!$H:$H,pg_transaction_cleaned!$O:$O,A5831,pg_transaction_cleaned!$F:$F,"CAPTURE")</f>
        <v>3598</v>
      </c>
      <c r="L5831" s="23">
        <f>COUNTIFS(pg_transaction_cleaned!$O:$O,A5831,pg_transaction_cleaned!$F:$F,"REFUND")</f>
        <v>0</v>
      </c>
      <c r="M5831" s="39">
        <f>SUMIFS(pg_transaction_cleaned!$H:$H,pg_transaction_cleaned!$O:$O,A5831,pg_transaction_cleaned!$F:$F,"REFUND")</f>
        <v>0</v>
      </c>
      <c r="N5831" s="23" t="str">
        <f t="shared" si="366"/>
        <v>OK</v>
      </c>
      <c r="O5831" s="24">
        <f t="shared" si="367"/>
        <v>0</v>
      </c>
    </row>
    <row r="5832" spans="1:15" ht="15" customHeight="1" x14ac:dyDescent="0.3">
      <c r="A5832" s="23" t="s">
        <v>12071</v>
      </c>
      <c r="B5832" s="38">
        <v>46289</v>
      </c>
      <c r="C5832" s="23" t="s">
        <v>12072</v>
      </c>
      <c r="D5832" s="23" t="s">
        <v>94</v>
      </c>
      <c r="E5832" s="23" t="s">
        <v>75</v>
      </c>
      <c r="F5832" s="23" t="s">
        <v>262</v>
      </c>
      <c r="G5832" s="23" t="s">
        <v>250</v>
      </c>
      <c r="H5832" s="39">
        <f t="shared" si="364"/>
        <v>499</v>
      </c>
      <c r="I5832" s="23" t="str">
        <f t="shared" si="365"/>
        <v>Chennai</v>
      </c>
      <c r="J5832" s="23">
        <f>COUNTIFS(pg_transaction_cleaned!$O:$O,A5832,pg_transaction_cleaned!$F:$F,"CAPTURE")</f>
        <v>1</v>
      </c>
      <c r="K5832" s="39">
        <f>SUMIFS(pg_transaction_cleaned!$H:$H,pg_transaction_cleaned!$O:$O,A5832,pg_transaction_cleaned!$F:$F,"CAPTURE")</f>
        <v>499</v>
      </c>
      <c r="L5832" s="23">
        <f>COUNTIFS(pg_transaction_cleaned!$O:$O,A5832,pg_transaction_cleaned!$F:$F,"REFUND")</f>
        <v>0</v>
      </c>
      <c r="M5832" s="39">
        <f>SUMIFS(pg_transaction_cleaned!$H:$H,pg_transaction_cleaned!$O:$O,A5832,pg_transaction_cleaned!$F:$F,"REFUND")</f>
        <v>0</v>
      </c>
      <c r="N5832" s="23" t="str">
        <f t="shared" si="366"/>
        <v>OK</v>
      </c>
      <c r="O5832" s="24">
        <f t="shared" si="367"/>
        <v>0</v>
      </c>
    </row>
    <row r="5833" spans="1:15" ht="15" customHeight="1" x14ac:dyDescent="0.3">
      <c r="A5833" s="23" t="s">
        <v>12073</v>
      </c>
      <c r="B5833" s="38">
        <v>46288</v>
      </c>
      <c r="C5833" s="23" t="s">
        <v>3600</v>
      </c>
      <c r="D5833" s="23" t="s">
        <v>90</v>
      </c>
      <c r="E5833" s="23" t="s">
        <v>75</v>
      </c>
      <c r="F5833" s="23" t="s">
        <v>268</v>
      </c>
      <c r="G5833" s="23" t="s">
        <v>365</v>
      </c>
      <c r="H5833" s="39">
        <f t="shared" si="364"/>
        <v>1299</v>
      </c>
      <c r="I5833" s="23" t="str">
        <f t="shared" si="365"/>
        <v>Ahmedabad</v>
      </c>
      <c r="J5833" s="23">
        <f>COUNTIFS(pg_transaction_cleaned!$O:$O,A5833,pg_transaction_cleaned!$F:$F,"CAPTURE")</f>
        <v>0</v>
      </c>
      <c r="K5833" s="39">
        <f>SUMIFS(pg_transaction_cleaned!$H:$H,pg_transaction_cleaned!$O:$O,A5833,pg_transaction_cleaned!$F:$F,"CAPTURE")</f>
        <v>0</v>
      </c>
      <c r="L5833" s="23">
        <f>COUNTIFS(pg_transaction_cleaned!$O:$O,A5833,pg_transaction_cleaned!$F:$F,"REFUND")</f>
        <v>0</v>
      </c>
      <c r="M5833" s="39">
        <f>SUMIFS(pg_transaction_cleaned!$H:$H,pg_transaction_cleaned!$O:$O,A5833,pg_transaction_cleaned!$F:$F,"REFUND")</f>
        <v>0</v>
      </c>
      <c r="N5833" s="23" t="str">
        <f t="shared" si="366"/>
        <v>OK</v>
      </c>
      <c r="O5833" s="24">
        <f t="shared" si="367"/>
        <v>0</v>
      </c>
    </row>
    <row r="5834" spans="1:15" ht="15" customHeight="1" x14ac:dyDescent="0.3">
      <c r="A5834" s="23" t="s">
        <v>12074</v>
      </c>
      <c r="B5834" s="38">
        <v>46291</v>
      </c>
      <c r="C5834" s="23" t="s">
        <v>12075</v>
      </c>
      <c r="D5834" s="23" t="s">
        <v>87</v>
      </c>
      <c r="E5834" s="23" t="s">
        <v>79</v>
      </c>
      <c r="F5834" s="23" t="s">
        <v>3285</v>
      </c>
      <c r="G5834" s="23" t="s">
        <v>250</v>
      </c>
      <c r="H5834" s="39">
        <f t="shared" si="364"/>
        <v>5397</v>
      </c>
      <c r="I5834" s="23" t="str">
        <f t="shared" si="365"/>
        <v>Mumbai</v>
      </c>
      <c r="J5834" s="23">
        <f>COUNTIFS(pg_transaction_cleaned!$O:$O,A5834,pg_transaction_cleaned!$F:$F,"CAPTURE")</f>
        <v>1</v>
      </c>
      <c r="K5834" s="39">
        <f>SUMIFS(pg_transaction_cleaned!$H:$H,pg_transaction_cleaned!$O:$O,A5834,pg_transaction_cleaned!$F:$F,"CAPTURE")</f>
        <v>5397</v>
      </c>
      <c r="L5834" s="23">
        <f>COUNTIFS(pg_transaction_cleaned!$O:$O,A5834,pg_transaction_cleaned!$F:$F,"REFUND")</f>
        <v>0</v>
      </c>
      <c r="M5834" s="39">
        <f>SUMIFS(pg_transaction_cleaned!$H:$H,pg_transaction_cleaned!$O:$O,A5834,pg_transaction_cleaned!$F:$F,"REFUND")</f>
        <v>0</v>
      </c>
      <c r="N5834" s="23" t="str">
        <f t="shared" si="366"/>
        <v>OK</v>
      </c>
      <c r="O5834" s="24">
        <f t="shared" si="367"/>
        <v>0</v>
      </c>
    </row>
    <row r="5835" spans="1:15" ht="15" customHeight="1" x14ac:dyDescent="0.3">
      <c r="A5835" s="23" t="s">
        <v>12076</v>
      </c>
      <c r="B5835" s="38">
        <v>46278</v>
      </c>
      <c r="C5835" s="23" t="s">
        <v>12077</v>
      </c>
      <c r="D5835" s="23" t="s">
        <v>88</v>
      </c>
      <c r="E5835" s="23" t="s">
        <v>77</v>
      </c>
      <c r="F5835" s="23" t="s">
        <v>582</v>
      </c>
      <c r="G5835" s="23" t="s">
        <v>250</v>
      </c>
      <c r="H5835" s="39">
        <f t="shared" si="364"/>
        <v>1298</v>
      </c>
      <c r="I5835" s="23" t="str">
        <f t="shared" si="365"/>
        <v>Lucknow</v>
      </c>
      <c r="J5835" s="23">
        <f>COUNTIFS(pg_transaction_cleaned!$O:$O,A5835,pg_transaction_cleaned!$F:$F,"CAPTURE")</f>
        <v>1</v>
      </c>
      <c r="K5835" s="39">
        <f>SUMIFS(pg_transaction_cleaned!$H:$H,pg_transaction_cleaned!$O:$O,A5835,pg_transaction_cleaned!$F:$F,"CAPTURE")</f>
        <v>1298</v>
      </c>
      <c r="L5835" s="23">
        <f>COUNTIFS(pg_transaction_cleaned!$O:$O,A5835,pg_transaction_cleaned!$F:$F,"REFUND")</f>
        <v>0</v>
      </c>
      <c r="M5835" s="39">
        <f>SUMIFS(pg_transaction_cleaned!$H:$H,pg_transaction_cleaned!$O:$O,A5835,pg_transaction_cleaned!$F:$F,"REFUND")</f>
        <v>0</v>
      </c>
      <c r="N5835" s="23" t="str">
        <f t="shared" si="366"/>
        <v>OK</v>
      </c>
      <c r="O5835" s="24">
        <f t="shared" si="367"/>
        <v>0</v>
      </c>
    </row>
    <row r="5836" spans="1:15" ht="15" customHeight="1" x14ac:dyDescent="0.3">
      <c r="A5836" s="23" t="s">
        <v>12078</v>
      </c>
      <c r="B5836" s="38">
        <v>46267</v>
      </c>
      <c r="C5836" s="23" t="s">
        <v>12079</v>
      </c>
      <c r="D5836" s="23" t="s">
        <v>87</v>
      </c>
      <c r="E5836" s="23" t="s">
        <v>75</v>
      </c>
      <c r="F5836" s="23" t="s">
        <v>262</v>
      </c>
      <c r="G5836" s="23" t="s">
        <v>250</v>
      </c>
      <c r="H5836" s="39">
        <f t="shared" si="364"/>
        <v>499</v>
      </c>
      <c r="I5836" s="23" t="str">
        <f t="shared" si="365"/>
        <v>Mumbai</v>
      </c>
      <c r="J5836" s="23">
        <f>COUNTIFS(pg_transaction_cleaned!$O:$O,A5836,pg_transaction_cleaned!$F:$F,"CAPTURE")</f>
        <v>1</v>
      </c>
      <c r="K5836" s="39">
        <f>SUMIFS(pg_transaction_cleaned!$H:$H,pg_transaction_cleaned!$O:$O,A5836,pg_transaction_cleaned!$F:$F,"CAPTURE")</f>
        <v>499</v>
      </c>
      <c r="L5836" s="23">
        <f>COUNTIFS(pg_transaction_cleaned!$O:$O,A5836,pg_transaction_cleaned!$F:$F,"REFUND")</f>
        <v>0</v>
      </c>
      <c r="M5836" s="39">
        <f>SUMIFS(pg_transaction_cleaned!$H:$H,pg_transaction_cleaned!$O:$O,A5836,pg_transaction_cleaned!$F:$F,"REFUND")</f>
        <v>0</v>
      </c>
      <c r="N5836" s="23" t="str">
        <f t="shared" si="366"/>
        <v>OK</v>
      </c>
      <c r="O5836" s="24">
        <f t="shared" si="367"/>
        <v>0</v>
      </c>
    </row>
    <row r="5837" spans="1:15" ht="15" customHeight="1" x14ac:dyDescent="0.3">
      <c r="A5837" s="23" t="s">
        <v>12080</v>
      </c>
      <c r="B5837" s="38">
        <v>46272</v>
      </c>
      <c r="C5837" s="23" t="s">
        <v>12081</v>
      </c>
      <c r="D5837" s="23" t="s">
        <v>95</v>
      </c>
      <c r="E5837" s="23" t="s">
        <v>77</v>
      </c>
      <c r="F5837" s="23" t="s">
        <v>294</v>
      </c>
      <c r="G5837" s="23" t="s">
        <v>250</v>
      </c>
      <c r="H5837" s="39">
        <f t="shared" si="364"/>
        <v>1799</v>
      </c>
      <c r="I5837" s="23" t="str">
        <f t="shared" si="365"/>
        <v>Bengaluru</v>
      </c>
      <c r="J5837" s="23">
        <f>COUNTIFS(pg_transaction_cleaned!$O:$O,A5837,pg_transaction_cleaned!$F:$F,"CAPTURE")</f>
        <v>1</v>
      </c>
      <c r="K5837" s="39">
        <f>SUMIFS(pg_transaction_cleaned!$H:$H,pg_transaction_cleaned!$O:$O,A5837,pg_transaction_cleaned!$F:$F,"CAPTURE")</f>
        <v>1799</v>
      </c>
      <c r="L5837" s="23">
        <f>COUNTIFS(pg_transaction_cleaned!$O:$O,A5837,pg_transaction_cleaned!$F:$F,"REFUND")</f>
        <v>0</v>
      </c>
      <c r="M5837" s="39">
        <f>SUMIFS(pg_transaction_cleaned!$H:$H,pg_transaction_cleaned!$O:$O,A5837,pg_transaction_cleaned!$F:$F,"REFUND")</f>
        <v>0</v>
      </c>
      <c r="N5837" s="23" t="str">
        <f t="shared" si="366"/>
        <v>OK</v>
      </c>
      <c r="O5837" s="24">
        <f t="shared" si="367"/>
        <v>0</v>
      </c>
    </row>
    <row r="5838" spans="1:15" ht="15" customHeight="1" x14ac:dyDescent="0.3">
      <c r="A5838" s="23" t="s">
        <v>12082</v>
      </c>
      <c r="B5838" s="38">
        <v>46292</v>
      </c>
      <c r="C5838" s="23" t="s">
        <v>12083</v>
      </c>
      <c r="D5838" s="23" t="s">
        <v>92</v>
      </c>
      <c r="E5838" s="23" t="s">
        <v>75</v>
      </c>
      <c r="F5838" s="23" t="s">
        <v>274</v>
      </c>
      <c r="G5838" s="23" t="s">
        <v>250</v>
      </c>
      <c r="H5838" s="39">
        <f t="shared" si="364"/>
        <v>349</v>
      </c>
      <c r="I5838" s="23" t="str">
        <f t="shared" si="365"/>
        <v>Hyderabad</v>
      </c>
      <c r="J5838" s="23">
        <f>COUNTIFS(pg_transaction_cleaned!$O:$O,A5838,pg_transaction_cleaned!$F:$F,"CAPTURE")</f>
        <v>1</v>
      </c>
      <c r="K5838" s="39">
        <f>SUMIFS(pg_transaction_cleaned!$H:$H,pg_transaction_cleaned!$O:$O,A5838,pg_transaction_cleaned!$F:$F,"CAPTURE")</f>
        <v>349</v>
      </c>
      <c r="L5838" s="23">
        <f>COUNTIFS(pg_transaction_cleaned!$O:$O,A5838,pg_transaction_cleaned!$F:$F,"REFUND")</f>
        <v>0</v>
      </c>
      <c r="M5838" s="39">
        <f>SUMIFS(pg_transaction_cleaned!$H:$H,pg_transaction_cleaned!$O:$O,A5838,pg_transaction_cleaned!$F:$F,"REFUND")</f>
        <v>0</v>
      </c>
      <c r="N5838" s="23" t="str">
        <f t="shared" si="366"/>
        <v>OK</v>
      </c>
      <c r="O5838" s="24">
        <f t="shared" si="367"/>
        <v>0</v>
      </c>
    </row>
    <row r="5839" spans="1:15" ht="15" customHeight="1" x14ac:dyDescent="0.3">
      <c r="A5839" s="23" t="s">
        <v>12084</v>
      </c>
      <c r="B5839" s="38">
        <v>46287</v>
      </c>
      <c r="C5839" s="23" t="s">
        <v>12085</v>
      </c>
      <c r="D5839" s="23" t="s">
        <v>94</v>
      </c>
      <c r="E5839" s="23" t="s">
        <v>75</v>
      </c>
      <c r="F5839" s="23" t="s">
        <v>268</v>
      </c>
      <c r="G5839" s="23" t="s">
        <v>250</v>
      </c>
      <c r="H5839" s="39">
        <f t="shared" si="364"/>
        <v>1299</v>
      </c>
      <c r="I5839" s="23" t="str">
        <f t="shared" si="365"/>
        <v>Chennai</v>
      </c>
      <c r="J5839" s="23">
        <f>COUNTIFS(pg_transaction_cleaned!$O:$O,A5839,pg_transaction_cleaned!$F:$F,"CAPTURE")</f>
        <v>1</v>
      </c>
      <c r="K5839" s="39">
        <f>SUMIFS(pg_transaction_cleaned!$H:$H,pg_transaction_cleaned!$O:$O,A5839,pg_transaction_cleaned!$F:$F,"CAPTURE")</f>
        <v>1299</v>
      </c>
      <c r="L5839" s="23">
        <f>COUNTIFS(pg_transaction_cleaned!$O:$O,A5839,pg_transaction_cleaned!$F:$F,"REFUND")</f>
        <v>0</v>
      </c>
      <c r="M5839" s="39">
        <f>SUMIFS(pg_transaction_cleaned!$H:$H,pg_transaction_cleaned!$O:$O,A5839,pg_transaction_cleaned!$F:$F,"REFUND")</f>
        <v>0</v>
      </c>
      <c r="N5839" s="23" t="str">
        <f t="shared" si="366"/>
        <v>OK</v>
      </c>
      <c r="O5839" s="24">
        <f t="shared" si="367"/>
        <v>0</v>
      </c>
    </row>
    <row r="5840" spans="1:15" ht="15" customHeight="1" x14ac:dyDescent="0.3">
      <c r="A5840" s="23" t="s">
        <v>12086</v>
      </c>
      <c r="B5840" s="38">
        <v>46282</v>
      </c>
      <c r="C5840" s="23" t="s">
        <v>12087</v>
      </c>
      <c r="D5840" s="23" t="s">
        <v>88</v>
      </c>
      <c r="E5840" s="23" t="s">
        <v>75</v>
      </c>
      <c r="F5840" s="23" t="s">
        <v>460</v>
      </c>
      <c r="G5840" s="23" t="s">
        <v>250</v>
      </c>
      <c r="H5840" s="39">
        <f t="shared" si="364"/>
        <v>1998</v>
      </c>
      <c r="I5840" s="23" t="str">
        <f t="shared" si="365"/>
        <v>Lucknow</v>
      </c>
      <c r="J5840" s="23">
        <f>COUNTIFS(pg_transaction_cleaned!$O:$O,A5840,pg_transaction_cleaned!$F:$F,"CAPTURE")</f>
        <v>1</v>
      </c>
      <c r="K5840" s="39">
        <f>SUMIFS(pg_transaction_cleaned!$H:$H,pg_transaction_cleaned!$O:$O,A5840,pg_transaction_cleaned!$F:$F,"CAPTURE")</f>
        <v>1998</v>
      </c>
      <c r="L5840" s="23">
        <f>COUNTIFS(pg_transaction_cleaned!$O:$O,A5840,pg_transaction_cleaned!$F:$F,"REFUND")</f>
        <v>0</v>
      </c>
      <c r="M5840" s="39">
        <f>SUMIFS(pg_transaction_cleaned!$H:$H,pg_transaction_cleaned!$O:$O,A5840,pg_transaction_cleaned!$F:$F,"REFUND")</f>
        <v>0</v>
      </c>
      <c r="N5840" s="23" t="str">
        <f t="shared" si="366"/>
        <v>OK</v>
      </c>
      <c r="O5840" s="24">
        <f t="shared" si="367"/>
        <v>0</v>
      </c>
    </row>
    <row r="5841" spans="1:15" ht="15" customHeight="1" x14ac:dyDescent="0.3">
      <c r="A5841" s="23" t="s">
        <v>12088</v>
      </c>
      <c r="B5841" s="38">
        <v>46278</v>
      </c>
      <c r="C5841" s="23" t="s">
        <v>12089</v>
      </c>
      <c r="D5841" s="23"/>
      <c r="E5841" s="23" t="s">
        <v>75</v>
      </c>
      <c r="F5841" s="23" t="s">
        <v>265</v>
      </c>
      <c r="G5841" s="23" t="s">
        <v>250</v>
      </c>
      <c r="H5841" s="39">
        <f t="shared" si="364"/>
        <v>999</v>
      </c>
      <c r="I5841" s="23" t="str">
        <f t="shared" si="365"/>
        <v>Unknown</v>
      </c>
      <c r="J5841" s="23">
        <f>COUNTIFS(pg_transaction_cleaned!$O:$O,A5841,pg_transaction_cleaned!$F:$F,"CAPTURE")</f>
        <v>1</v>
      </c>
      <c r="K5841" s="39">
        <f>SUMIFS(pg_transaction_cleaned!$H:$H,pg_transaction_cleaned!$O:$O,A5841,pg_transaction_cleaned!$F:$F,"CAPTURE")</f>
        <v>999</v>
      </c>
      <c r="L5841" s="23">
        <f>COUNTIFS(pg_transaction_cleaned!$O:$O,A5841,pg_transaction_cleaned!$F:$F,"REFUND")</f>
        <v>0</v>
      </c>
      <c r="M5841" s="39">
        <f>SUMIFS(pg_transaction_cleaned!$H:$H,pg_transaction_cleaned!$O:$O,A5841,pg_transaction_cleaned!$F:$F,"REFUND")</f>
        <v>0</v>
      </c>
      <c r="N5841" s="23" t="str">
        <f t="shared" si="366"/>
        <v>OK</v>
      </c>
      <c r="O5841" s="24">
        <f t="shared" si="367"/>
        <v>0</v>
      </c>
    </row>
    <row r="5842" spans="1:15" ht="15" customHeight="1" x14ac:dyDescent="0.3">
      <c r="A5842" s="23" t="s">
        <v>12090</v>
      </c>
      <c r="B5842" s="38">
        <v>46295</v>
      </c>
      <c r="C5842" s="23" t="s">
        <v>12091</v>
      </c>
      <c r="D5842" s="23" t="s">
        <v>94</v>
      </c>
      <c r="E5842" s="23" t="s">
        <v>77</v>
      </c>
      <c r="F5842" s="23" t="s">
        <v>265</v>
      </c>
      <c r="G5842" s="23" t="s">
        <v>250</v>
      </c>
      <c r="H5842" s="39">
        <f t="shared" si="364"/>
        <v>999</v>
      </c>
      <c r="I5842" s="23" t="str">
        <f t="shared" si="365"/>
        <v>Chennai</v>
      </c>
      <c r="J5842" s="23">
        <f>COUNTIFS(pg_transaction_cleaned!$O:$O,A5842,pg_transaction_cleaned!$F:$F,"CAPTURE")</f>
        <v>1</v>
      </c>
      <c r="K5842" s="39">
        <f>SUMIFS(pg_transaction_cleaned!$H:$H,pg_transaction_cleaned!$O:$O,A5842,pg_transaction_cleaned!$F:$F,"CAPTURE")</f>
        <v>999</v>
      </c>
      <c r="L5842" s="23">
        <f>COUNTIFS(pg_transaction_cleaned!$O:$O,A5842,pg_transaction_cleaned!$F:$F,"REFUND")</f>
        <v>0</v>
      </c>
      <c r="M5842" s="39">
        <f>SUMIFS(pg_transaction_cleaned!$H:$H,pg_transaction_cleaned!$O:$O,A5842,pg_transaction_cleaned!$F:$F,"REFUND")</f>
        <v>0</v>
      </c>
      <c r="N5842" s="23" t="str">
        <f t="shared" si="366"/>
        <v>OK</v>
      </c>
      <c r="O5842" s="24">
        <f t="shared" si="367"/>
        <v>0</v>
      </c>
    </row>
    <row r="5843" spans="1:15" ht="15" customHeight="1" x14ac:dyDescent="0.3">
      <c r="A5843" s="23" t="s">
        <v>12092</v>
      </c>
      <c r="B5843" s="38">
        <v>46268</v>
      </c>
      <c r="C5843" s="23" t="s">
        <v>12093</v>
      </c>
      <c r="D5843" s="23" t="s">
        <v>95</v>
      </c>
      <c r="E5843" s="23" t="s">
        <v>75</v>
      </c>
      <c r="F5843" s="23" t="s">
        <v>288</v>
      </c>
      <c r="G5843" s="23" t="s">
        <v>250</v>
      </c>
      <c r="H5843" s="39">
        <f t="shared" si="364"/>
        <v>4298</v>
      </c>
      <c r="I5843" s="23" t="str">
        <f t="shared" si="365"/>
        <v>Bengaluru</v>
      </c>
      <c r="J5843" s="23">
        <f>COUNTIFS(pg_transaction_cleaned!$O:$O,A5843,pg_transaction_cleaned!$F:$F,"CAPTURE")</f>
        <v>1</v>
      </c>
      <c r="K5843" s="39">
        <f>SUMIFS(pg_transaction_cleaned!$H:$H,pg_transaction_cleaned!$O:$O,A5843,pg_transaction_cleaned!$F:$F,"CAPTURE")</f>
        <v>4298</v>
      </c>
      <c r="L5843" s="23">
        <f>COUNTIFS(pg_transaction_cleaned!$O:$O,A5843,pg_transaction_cleaned!$F:$F,"REFUND")</f>
        <v>0</v>
      </c>
      <c r="M5843" s="39">
        <f>SUMIFS(pg_transaction_cleaned!$H:$H,pg_transaction_cleaned!$O:$O,A5843,pg_transaction_cleaned!$F:$F,"REFUND")</f>
        <v>0</v>
      </c>
      <c r="N5843" s="23" t="str">
        <f t="shared" si="366"/>
        <v>OK</v>
      </c>
      <c r="O5843" s="24">
        <f t="shared" si="367"/>
        <v>0</v>
      </c>
    </row>
    <row r="5844" spans="1:15" ht="15" customHeight="1" x14ac:dyDescent="0.3">
      <c r="A5844" s="23" t="s">
        <v>12094</v>
      </c>
      <c r="B5844" s="38">
        <v>46276</v>
      </c>
      <c r="C5844" s="23" t="s">
        <v>12095</v>
      </c>
      <c r="D5844" s="23" t="s">
        <v>95</v>
      </c>
      <c r="E5844" s="23" t="s">
        <v>77</v>
      </c>
      <c r="F5844" s="23" t="s">
        <v>268</v>
      </c>
      <c r="G5844" s="23" t="s">
        <v>318</v>
      </c>
      <c r="H5844" s="39">
        <f t="shared" si="364"/>
        <v>1299</v>
      </c>
      <c r="I5844" s="23" t="str">
        <f t="shared" si="365"/>
        <v>Bengaluru</v>
      </c>
      <c r="J5844" s="23">
        <f>COUNTIFS(pg_transaction_cleaned!$O:$O,A5844,pg_transaction_cleaned!$F:$F,"CAPTURE")</f>
        <v>0</v>
      </c>
      <c r="K5844" s="39">
        <f>SUMIFS(pg_transaction_cleaned!$H:$H,pg_transaction_cleaned!$O:$O,A5844,pg_transaction_cleaned!$F:$F,"CAPTURE")</f>
        <v>0</v>
      </c>
      <c r="L5844" s="23">
        <f>COUNTIFS(pg_transaction_cleaned!$O:$O,A5844,pg_transaction_cleaned!$F:$F,"REFUND")</f>
        <v>0</v>
      </c>
      <c r="M5844" s="39">
        <f>SUMIFS(pg_transaction_cleaned!$H:$H,pg_transaction_cleaned!$O:$O,A5844,pg_transaction_cleaned!$F:$F,"REFUND")</f>
        <v>0</v>
      </c>
      <c r="N5844" s="23" t="str">
        <f t="shared" si="366"/>
        <v>OK</v>
      </c>
      <c r="O5844" s="24">
        <f t="shared" si="367"/>
        <v>0</v>
      </c>
    </row>
    <row r="5845" spans="1:15" ht="15" customHeight="1" x14ac:dyDescent="0.3">
      <c r="A5845" s="23" t="s">
        <v>12096</v>
      </c>
      <c r="B5845" s="38">
        <v>46287</v>
      </c>
      <c r="C5845" s="23" t="s">
        <v>12097</v>
      </c>
      <c r="D5845" s="23" t="s">
        <v>94</v>
      </c>
      <c r="E5845" s="23" t="s">
        <v>79</v>
      </c>
      <c r="F5845" s="23" t="s">
        <v>297</v>
      </c>
      <c r="G5845" s="23" t="s">
        <v>250</v>
      </c>
      <c r="H5845" s="39">
        <f t="shared" si="364"/>
        <v>4999</v>
      </c>
      <c r="I5845" s="23" t="str">
        <f t="shared" si="365"/>
        <v>Chennai</v>
      </c>
      <c r="J5845" s="23">
        <f>COUNTIFS(pg_transaction_cleaned!$O:$O,A5845,pg_transaction_cleaned!$F:$F,"CAPTURE")</f>
        <v>1</v>
      </c>
      <c r="K5845" s="39">
        <f>SUMIFS(pg_transaction_cleaned!$H:$H,pg_transaction_cleaned!$O:$O,A5845,pg_transaction_cleaned!$F:$F,"CAPTURE")</f>
        <v>4999</v>
      </c>
      <c r="L5845" s="23">
        <f>COUNTIFS(pg_transaction_cleaned!$O:$O,A5845,pg_transaction_cleaned!$F:$F,"REFUND")</f>
        <v>0</v>
      </c>
      <c r="M5845" s="39">
        <f>SUMIFS(pg_transaction_cleaned!$H:$H,pg_transaction_cleaned!$O:$O,A5845,pg_transaction_cleaned!$F:$F,"REFUND")</f>
        <v>0</v>
      </c>
      <c r="N5845" s="23" t="str">
        <f t="shared" si="366"/>
        <v>OK</v>
      </c>
      <c r="O5845" s="24">
        <f t="shared" si="367"/>
        <v>0</v>
      </c>
    </row>
    <row r="5846" spans="1:15" ht="15" customHeight="1" x14ac:dyDescent="0.3">
      <c r="A5846" s="23" t="s">
        <v>12098</v>
      </c>
      <c r="B5846" s="38">
        <v>46288</v>
      </c>
      <c r="C5846" s="23" t="s">
        <v>12099</v>
      </c>
      <c r="D5846" s="23" t="s">
        <v>86</v>
      </c>
      <c r="E5846" s="23" t="s">
        <v>75</v>
      </c>
      <c r="F5846" s="23" t="s">
        <v>1329</v>
      </c>
      <c r="G5846" s="23" t="s">
        <v>250</v>
      </c>
      <c r="H5846" s="39">
        <f t="shared" si="364"/>
        <v>6097</v>
      </c>
      <c r="I5846" s="23" t="str">
        <f t="shared" si="365"/>
        <v>Delhi</v>
      </c>
      <c r="J5846" s="23">
        <f>COUNTIFS(pg_transaction_cleaned!$O:$O,A5846,pg_transaction_cleaned!$F:$F,"CAPTURE")</f>
        <v>1</v>
      </c>
      <c r="K5846" s="39">
        <f>SUMIFS(pg_transaction_cleaned!$H:$H,pg_transaction_cleaned!$O:$O,A5846,pg_transaction_cleaned!$F:$F,"CAPTURE")</f>
        <v>6097</v>
      </c>
      <c r="L5846" s="23">
        <f>COUNTIFS(pg_transaction_cleaned!$O:$O,A5846,pg_transaction_cleaned!$F:$F,"REFUND")</f>
        <v>0</v>
      </c>
      <c r="M5846" s="39">
        <f>SUMIFS(pg_transaction_cleaned!$H:$H,pg_transaction_cleaned!$O:$O,A5846,pg_transaction_cleaned!$F:$F,"REFUND")</f>
        <v>0</v>
      </c>
      <c r="N5846" s="23" t="str">
        <f t="shared" si="366"/>
        <v>OK</v>
      </c>
      <c r="O5846" s="24">
        <f t="shared" si="367"/>
        <v>0</v>
      </c>
    </row>
    <row r="5847" spans="1:15" ht="15" customHeight="1" x14ac:dyDescent="0.3">
      <c r="A5847" s="23" t="s">
        <v>12100</v>
      </c>
      <c r="B5847" s="38">
        <v>46276</v>
      </c>
      <c r="C5847" s="23" t="s">
        <v>12101</v>
      </c>
      <c r="D5847" s="23"/>
      <c r="E5847" s="23" t="s">
        <v>79</v>
      </c>
      <c r="F5847" s="23" t="s">
        <v>680</v>
      </c>
      <c r="G5847" s="23" t="s">
        <v>250</v>
      </c>
      <c r="H5847" s="39">
        <f t="shared" si="364"/>
        <v>5097</v>
      </c>
      <c r="I5847" s="23" t="str">
        <f t="shared" si="365"/>
        <v>Unknown</v>
      </c>
      <c r="J5847" s="23">
        <f>COUNTIFS(pg_transaction_cleaned!$O:$O,A5847,pg_transaction_cleaned!$F:$F,"CAPTURE")</f>
        <v>1</v>
      </c>
      <c r="K5847" s="39">
        <f>SUMIFS(pg_transaction_cleaned!$H:$H,pg_transaction_cleaned!$O:$O,A5847,pg_transaction_cleaned!$F:$F,"CAPTURE")</f>
        <v>5097</v>
      </c>
      <c r="L5847" s="23">
        <f>COUNTIFS(pg_transaction_cleaned!$O:$O,A5847,pg_transaction_cleaned!$F:$F,"REFUND")</f>
        <v>0</v>
      </c>
      <c r="M5847" s="39">
        <f>SUMIFS(pg_transaction_cleaned!$H:$H,pg_transaction_cleaned!$O:$O,A5847,pg_transaction_cleaned!$F:$F,"REFUND")</f>
        <v>0</v>
      </c>
      <c r="N5847" s="23" t="str">
        <f t="shared" si="366"/>
        <v>OK</v>
      </c>
      <c r="O5847" s="24">
        <f t="shared" si="367"/>
        <v>0</v>
      </c>
    </row>
    <row r="5848" spans="1:15" ht="15" customHeight="1" x14ac:dyDescent="0.3">
      <c r="A5848" s="23" t="s">
        <v>12102</v>
      </c>
      <c r="B5848" s="38">
        <v>46290</v>
      </c>
      <c r="C5848" s="23" t="s">
        <v>12103</v>
      </c>
      <c r="D5848" s="23" t="s">
        <v>90</v>
      </c>
      <c r="E5848" s="23" t="s">
        <v>77</v>
      </c>
      <c r="F5848" s="23" t="s">
        <v>1614</v>
      </c>
      <c r="G5848" s="23" t="s">
        <v>250</v>
      </c>
      <c r="H5848" s="39">
        <f t="shared" si="364"/>
        <v>2597</v>
      </c>
      <c r="I5848" s="23" t="str">
        <f t="shared" si="365"/>
        <v>Ahmedabad</v>
      </c>
      <c r="J5848" s="23">
        <f>COUNTIFS(pg_transaction_cleaned!$O:$O,A5848,pg_transaction_cleaned!$F:$F,"CAPTURE")</f>
        <v>1</v>
      </c>
      <c r="K5848" s="39">
        <f>SUMIFS(pg_transaction_cleaned!$H:$H,pg_transaction_cleaned!$O:$O,A5848,pg_transaction_cleaned!$F:$F,"CAPTURE")</f>
        <v>2597</v>
      </c>
      <c r="L5848" s="23">
        <f>COUNTIFS(pg_transaction_cleaned!$O:$O,A5848,pg_transaction_cleaned!$F:$F,"REFUND")</f>
        <v>0</v>
      </c>
      <c r="M5848" s="39">
        <f>SUMIFS(pg_transaction_cleaned!$H:$H,pg_transaction_cleaned!$O:$O,A5848,pg_transaction_cleaned!$F:$F,"REFUND")</f>
        <v>0</v>
      </c>
      <c r="N5848" s="23" t="str">
        <f t="shared" si="366"/>
        <v>OK</v>
      </c>
      <c r="O5848" s="24">
        <f t="shared" si="367"/>
        <v>0</v>
      </c>
    </row>
    <row r="5849" spans="1:15" ht="15" customHeight="1" x14ac:dyDescent="0.3">
      <c r="A5849" s="23" t="s">
        <v>12104</v>
      </c>
      <c r="B5849" s="38">
        <v>46279</v>
      </c>
      <c r="C5849" s="23" t="s">
        <v>12105</v>
      </c>
      <c r="D5849" s="23" t="s">
        <v>92</v>
      </c>
      <c r="E5849" s="23" t="s">
        <v>77</v>
      </c>
      <c r="F5849" s="23" t="s">
        <v>1038</v>
      </c>
      <c r="G5849" s="23" t="s">
        <v>250</v>
      </c>
      <c r="H5849" s="39">
        <f t="shared" si="364"/>
        <v>3597</v>
      </c>
      <c r="I5849" s="23" t="str">
        <f t="shared" si="365"/>
        <v>Hyderabad</v>
      </c>
      <c r="J5849" s="23">
        <f>COUNTIFS(pg_transaction_cleaned!$O:$O,A5849,pg_transaction_cleaned!$F:$F,"CAPTURE")</f>
        <v>1</v>
      </c>
      <c r="K5849" s="39">
        <f>SUMIFS(pg_transaction_cleaned!$H:$H,pg_transaction_cleaned!$O:$O,A5849,pg_transaction_cleaned!$F:$F,"CAPTURE")</f>
        <v>3597</v>
      </c>
      <c r="L5849" s="23">
        <f>COUNTIFS(pg_transaction_cleaned!$O:$O,A5849,pg_transaction_cleaned!$F:$F,"REFUND")</f>
        <v>0</v>
      </c>
      <c r="M5849" s="39">
        <f>SUMIFS(pg_transaction_cleaned!$H:$H,pg_transaction_cleaned!$O:$O,A5849,pg_transaction_cleaned!$F:$F,"REFUND")</f>
        <v>0</v>
      </c>
      <c r="N5849" s="23" t="str">
        <f t="shared" si="366"/>
        <v>OK</v>
      </c>
      <c r="O5849" s="24">
        <f t="shared" si="367"/>
        <v>0</v>
      </c>
    </row>
    <row r="5850" spans="1:15" ht="15" customHeight="1" x14ac:dyDescent="0.3">
      <c r="A5850" s="23" t="s">
        <v>12106</v>
      </c>
      <c r="B5850" s="38">
        <v>46270</v>
      </c>
      <c r="C5850" s="23" t="s">
        <v>9945</v>
      </c>
      <c r="D5850" s="23" t="s">
        <v>90</v>
      </c>
      <c r="E5850" s="23" t="s">
        <v>75</v>
      </c>
      <c r="F5850" s="23" t="s">
        <v>737</v>
      </c>
      <c r="G5850" s="23" t="s">
        <v>250</v>
      </c>
      <c r="H5850" s="39">
        <f t="shared" si="364"/>
        <v>9798</v>
      </c>
      <c r="I5850" s="23" t="str">
        <f t="shared" si="365"/>
        <v>Ahmedabad</v>
      </c>
      <c r="J5850" s="23">
        <f>COUNTIFS(pg_transaction_cleaned!$O:$O,A5850,pg_transaction_cleaned!$F:$F,"CAPTURE")</f>
        <v>1</v>
      </c>
      <c r="K5850" s="39">
        <f>SUMIFS(pg_transaction_cleaned!$H:$H,pg_transaction_cleaned!$O:$O,A5850,pg_transaction_cleaned!$F:$F,"CAPTURE")</f>
        <v>9798</v>
      </c>
      <c r="L5850" s="23">
        <f>COUNTIFS(pg_transaction_cleaned!$O:$O,A5850,pg_transaction_cleaned!$F:$F,"REFUND")</f>
        <v>0</v>
      </c>
      <c r="M5850" s="39">
        <f>SUMIFS(pg_transaction_cleaned!$H:$H,pg_transaction_cleaned!$O:$O,A5850,pg_transaction_cleaned!$F:$F,"REFUND")</f>
        <v>0</v>
      </c>
      <c r="N5850" s="23" t="str">
        <f t="shared" si="366"/>
        <v>OK</v>
      </c>
      <c r="O5850" s="24">
        <f t="shared" si="367"/>
        <v>0</v>
      </c>
    </row>
    <row r="5851" spans="1:15" ht="15" customHeight="1" x14ac:dyDescent="0.3">
      <c r="A5851" s="23" t="s">
        <v>12107</v>
      </c>
      <c r="B5851" s="38">
        <v>46272</v>
      </c>
      <c r="C5851" s="23" t="s">
        <v>12108</v>
      </c>
      <c r="D5851" s="23" t="s">
        <v>91</v>
      </c>
      <c r="E5851" s="23" t="s">
        <v>79</v>
      </c>
      <c r="F5851" s="23" t="s">
        <v>337</v>
      </c>
      <c r="G5851" s="23" t="s">
        <v>250</v>
      </c>
      <c r="H5851" s="39">
        <f t="shared" si="364"/>
        <v>3998</v>
      </c>
      <c r="I5851" s="23" t="str">
        <f t="shared" si="365"/>
        <v>Pune</v>
      </c>
      <c r="J5851" s="23">
        <f>COUNTIFS(pg_transaction_cleaned!$O:$O,A5851,pg_transaction_cleaned!$F:$F,"CAPTURE")</f>
        <v>1</v>
      </c>
      <c r="K5851" s="39">
        <f>SUMIFS(pg_transaction_cleaned!$H:$H,pg_transaction_cleaned!$O:$O,A5851,pg_transaction_cleaned!$F:$F,"CAPTURE")</f>
        <v>3998</v>
      </c>
      <c r="L5851" s="23">
        <f>COUNTIFS(pg_transaction_cleaned!$O:$O,A5851,pg_transaction_cleaned!$F:$F,"REFUND")</f>
        <v>0</v>
      </c>
      <c r="M5851" s="39">
        <f>SUMIFS(pg_transaction_cleaned!$H:$H,pg_transaction_cleaned!$O:$O,A5851,pg_transaction_cleaned!$F:$F,"REFUND")</f>
        <v>0</v>
      </c>
      <c r="N5851" s="23" t="str">
        <f t="shared" si="366"/>
        <v>OK</v>
      </c>
      <c r="O5851" s="24">
        <f t="shared" si="367"/>
        <v>0</v>
      </c>
    </row>
    <row r="5852" spans="1:15" ht="15" customHeight="1" x14ac:dyDescent="0.3">
      <c r="A5852" s="23" t="s">
        <v>12109</v>
      </c>
      <c r="B5852" s="38">
        <v>46292</v>
      </c>
      <c r="C5852" s="23" t="s">
        <v>12110</v>
      </c>
      <c r="D5852" s="23" t="s">
        <v>91</v>
      </c>
      <c r="E5852" s="23" t="s">
        <v>77</v>
      </c>
      <c r="F5852" s="23" t="s">
        <v>262</v>
      </c>
      <c r="G5852" s="23" t="s">
        <v>250</v>
      </c>
      <c r="H5852" s="39">
        <f t="shared" si="364"/>
        <v>499</v>
      </c>
      <c r="I5852" s="23" t="str">
        <f t="shared" si="365"/>
        <v>Pune</v>
      </c>
      <c r="J5852" s="23">
        <f>COUNTIFS(pg_transaction_cleaned!$O:$O,A5852,pg_transaction_cleaned!$F:$F,"CAPTURE")</f>
        <v>1</v>
      </c>
      <c r="K5852" s="39">
        <f>SUMIFS(pg_transaction_cleaned!$H:$H,pg_transaction_cleaned!$O:$O,A5852,pg_transaction_cleaned!$F:$F,"CAPTURE")</f>
        <v>499</v>
      </c>
      <c r="L5852" s="23">
        <f>COUNTIFS(pg_transaction_cleaned!$O:$O,A5852,pg_transaction_cleaned!$F:$F,"REFUND")</f>
        <v>0</v>
      </c>
      <c r="M5852" s="39">
        <f>SUMIFS(pg_transaction_cleaned!$H:$H,pg_transaction_cleaned!$O:$O,A5852,pg_transaction_cleaned!$F:$F,"REFUND")</f>
        <v>0</v>
      </c>
      <c r="N5852" s="23" t="str">
        <f t="shared" si="366"/>
        <v>OK</v>
      </c>
      <c r="O5852" s="24">
        <f t="shared" si="367"/>
        <v>0</v>
      </c>
    </row>
    <row r="5853" spans="1:15" ht="15" customHeight="1" x14ac:dyDescent="0.3">
      <c r="A5853" s="23" t="s">
        <v>12111</v>
      </c>
      <c r="B5853" s="38">
        <v>46285</v>
      </c>
      <c r="C5853" s="23" t="s">
        <v>5222</v>
      </c>
      <c r="D5853" s="23"/>
      <c r="E5853" s="23" t="s">
        <v>79</v>
      </c>
      <c r="F5853" s="23" t="s">
        <v>396</v>
      </c>
      <c r="G5853" s="23" t="s">
        <v>250</v>
      </c>
      <c r="H5853" s="39">
        <f t="shared" si="364"/>
        <v>2999</v>
      </c>
      <c r="I5853" s="23" t="str">
        <f t="shared" si="365"/>
        <v>Unknown</v>
      </c>
      <c r="J5853" s="23">
        <f>COUNTIFS(pg_transaction_cleaned!$O:$O,A5853,pg_transaction_cleaned!$F:$F,"CAPTURE")</f>
        <v>1</v>
      </c>
      <c r="K5853" s="39">
        <f>SUMIFS(pg_transaction_cleaned!$H:$H,pg_transaction_cleaned!$O:$O,A5853,pg_transaction_cleaned!$F:$F,"CAPTURE")</f>
        <v>2999</v>
      </c>
      <c r="L5853" s="23">
        <f>COUNTIFS(pg_transaction_cleaned!$O:$O,A5853,pg_transaction_cleaned!$F:$F,"REFUND")</f>
        <v>0</v>
      </c>
      <c r="M5853" s="39">
        <f>SUMIFS(pg_transaction_cleaned!$H:$H,pg_transaction_cleaned!$O:$O,A5853,pg_transaction_cleaned!$F:$F,"REFUND")</f>
        <v>0</v>
      </c>
      <c r="N5853" s="23" t="str">
        <f t="shared" si="366"/>
        <v>OK</v>
      </c>
      <c r="O5853" s="24">
        <f t="shared" si="367"/>
        <v>0</v>
      </c>
    </row>
    <row r="5854" spans="1:15" ht="15" customHeight="1" x14ac:dyDescent="0.3">
      <c r="A5854" s="23" t="s">
        <v>12112</v>
      </c>
      <c r="B5854" s="38">
        <v>46292</v>
      </c>
      <c r="C5854" s="23" t="s">
        <v>12113</v>
      </c>
      <c r="D5854" s="23" t="s">
        <v>91</v>
      </c>
      <c r="E5854" s="23" t="s">
        <v>79</v>
      </c>
      <c r="F5854" s="23" t="s">
        <v>329</v>
      </c>
      <c r="G5854" s="23" t="s">
        <v>250</v>
      </c>
      <c r="H5854" s="39">
        <f t="shared" si="364"/>
        <v>599</v>
      </c>
      <c r="I5854" s="23" t="str">
        <f t="shared" si="365"/>
        <v>Pune</v>
      </c>
      <c r="J5854" s="23">
        <f>COUNTIFS(pg_transaction_cleaned!$O:$O,A5854,pg_transaction_cleaned!$F:$F,"CAPTURE")</f>
        <v>1</v>
      </c>
      <c r="K5854" s="39">
        <f>SUMIFS(pg_transaction_cleaned!$H:$H,pg_transaction_cleaned!$O:$O,A5854,pg_transaction_cleaned!$F:$F,"CAPTURE")</f>
        <v>599</v>
      </c>
      <c r="L5854" s="23">
        <f>COUNTIFS(pg_transaction_cleaned!$O:$O,A5854,pg_transaction_cleaned!$F:$F,"REFUND")</f>
        <v>0</v>
      </c>
      <c r="M5854" s="39">
        <f>SUMIFS(pg_transaction_cleaned!$H:$H,pg_transaction_cleaned!$O:$O,A5854,pg_transaction_cleaned!$F:$F,"REFUND")</f>
        <v>0</v>
      </c>
      <c r="N5854" s="23" t="str">
        <f t="shared" si="366"/>
        <v>OK</v>
      </c>
      <c r="O5854" s="24">
        <f t="shared" si="367"/>
        <v>0</v>
      </c>
    </row>
    <row r="5855" spans="1:15" ht="15" customHeight="1" x14ac:dyDescent="0.3">
      <c r="A5855" s="23" t="s">
        <v>12114</v>
      </c>
      <c r="B5855" s="38">
        <v>46295</v>
      </c>
      <c r="C5855" s="23" t="s">
        <v>12115</v>
      </c>
      <c r="D5855" s="23" t="s">
        <v>91</v>
      </c>
      <c r="E5855" s="23" t="s">
        <v>81</v>
      </c>
      <c r="F5855" s="23" t="s">
        <v>274</v>
      </c>
      <c r="G5855" s="23" t="s">
        <v>250</v>
      </c>
      <c r="H5855" s="39">
        <f t="shared" si="364"/>
        <v>349</v>
      </c>
      <c r="I5855" s="23" t="str">
        <f t="shared" si="365"/>
        <v>Pune</v>
      </c>
      <c r="J5855" s="23">
        <f>COUNTIFS(pg_transaction_cleaned!$O:$O,A5855,pg_transaction_cleaned!$F:$F,"CAPTURE")</f>
        <v>1</v>
      </c>
      <c r="K5855" s="39">
        <f>SUMIFS(pg_transaction_cleaned!$H:$H,pg_transaction_cleaned!$O:$O,A5855,pg_transaction_cleaned!$F:$F,"CAPTURE")</f>
        <v>349</v>
      </c>
      <c r="L5855" s="23">
        <f>COUNTIFS(pg_transaction_cleaned!$O:$O,A5855,pg_transaction_cleaned!$F:$F,"REFUND")</f>
        <v>0</v>
      </c>
      <c r="M5855" s="39">
        <f>SUMIFS(pg_transaction_cleaned!$H:$H,pg_transaction_cleaned!$O:$O,A5855,pg_transaction_cleaned!$F:$F,"REFUND")</f>
        <v>0</v>
      </c>
      <c r="N5855" s="23" t="str">
        <f t="shared" si="366"/>
        <v>OK</v>
      </c>
      <c r="O5855" s="24">
        <f t="shared" si="367"/>
        <v>0</v>
      </c>
    </row>
    <row r="5856" spans="1:15" ht="15" customHeight="1" x14ac:dyDescent="0.3">
      <c r="A5856" s="23" t="s">
        <v>12116</v>
      </c>
      <c r="B5856" s="38">
        <v>46284</v>
      </c>
      <c r="C5856" s="23" t="s">
        <v>12117</v>
      </c>
      <c r="D5856" s="23" t="s">
        <v>86</v>
      </c>
      <c r="E5856" s="23" t="s">
        <v>75</v>
      </c>
      <c r="F5856" s="23" t="s">
        <v>396</v>
      </c>
      <c r="G5856" s="23" t="s">
        <v>250</v>
      </c>
      <c r="H5856" s="39">
        <f t="shared" si="364"/>
        <v>2999</v>
      </c>
      <c r="I5856" s="23" t="str">
        <f t="shared" si="365"/>
        <v>Delhi</v>
      </c>
      <c r="J5856" s="23">
        <f>COUNTIFS(pg_transaction_cleaned!$O:$O,A5856,pg_transaction_cleaned!$F:$F,"CAPTURE")</f>
        <v>1</v>
      </c>
      <c r="K5856" s="39">
        <f>SUMIFS(pg_transaction_cleaned!$H:$H,pg_transaction_cleaned!$O:$O,A5856,pg_transaction_cleaned!$F:$F,"CAPTURE")</f>
        <v>2999</v>
      </c>
      <c r="L5856" s="23">
        <f>COUNTIFS(pg_transaction_cleaned!$O:$O,A5856,pg_transaction_cleaned!$F:$F,"REFUND")</f>
        <v>0</v>
      </c>
      <c r="M5856" s="39">
        <f>SUMIFS(pg_transaction_cleaned!$H:$H,pg_transaction_cleaned!$O:$O,A5856,pg_transaction_cleaned!$F:$F,"REFUND")</f>
        <v>0</v>
      </c>
      <c r="N5856" s="23" t="str">
        <f t="shared" si="366"/>
        <v>OK</v>
      </c>
      <c r="O5856" s="24">
        <f t="shared" si="367"/>
        <v>0</v>
      </c>
    </row>
    <row r="5857" spans="1:15" ht="15" customHeight="1" x14ac:dyDescent="0.3">
      <c r="A5857" s="23" t="s">
        <v>12118</v>
      </c>
      <c r="B5857" s="38">
        <v>46292</v>
      </c>
      <c r="C5857" s="23" t="s">
        <v>12119</v>
      </c>
      <c r="D5857" s="23" t="s">
        <v>86</v>
      </c>
      <c r="E5857" s="23" t="s">
        <v>75</v>
      </c>
      <c r="F5857" s="23" t="s">
        <v>310</v>
      </c>
      <c r="G5857" s="23" t="s">
        <v>301</v>
      </c>
      <c r="H5857" s="39">
        <f t="shared" si="364"/>
        <v>7999</v>
      </c>
      <c r="I5857" s="23" t="str">
        <f t="shared" si="365"/>
        <v>Delhi</v>
      </c>
      <c r="J5857" s="23">
        <f>COUNTIFS(pg_transaction_cleaned!$O:$O,A5857,pg_transaction_cleaned!$F:$F,"CAPTURE")</f>
        <v>1</v>
      </c>
      <c r="K5857" s="39">
        <f>SUMIFS(pg_transaction_cleaned!$H:$H,pg_transaction_cleaned!$O:$O,A5857,pg_transaction_cleaned!$F:$F,"CAPTURE")</f>
        <v>7999</v>
      </c>
      <c r="L5857" s="23">
        <f>COUNTIFS(pg_transaction_cleaned!$O:$O,A5857,pg_transaction_cleaned!$F:$F,"REFUND")</f>
        <v>1</v>
      </c>
      <c r="M5857" s="39">
        <f>SUMIFS(pg_transaction_cleaned!$H:$H,pg_transaction_cleaned!$O:$O,A5857,pg_transaction_cleaned!$F:$F,"REFUND")</f>
        <v>7999</v>
      </c>
      <c r="N5857" s="23" t="str">
        <f t="shared" si="366"/>
        <v>OK</v>
      </c>
      <c r="O5857" s="24">
        <f t="shared" si="367"/>
        <v>0</v>
      </c>
    </row>
    <row r="5858" spans="1:15" ht="15" customHeight="1" x14ac:dyDescent="0.3">
      <c r="A5858" s="23" t="s">
        <v>12120</v>
      </c>
      <c r="B5858" s="38">
        <v>46267</v>
      </c>
      <c r="C5858" s="23" t="s">
        <v>12121</v>
      </c>
      <c r="D5858" s="23" t="s">
        <v>95</v>
      </c>
      <c r="E5858" s="23" t="s">
        <v>75</v>
      </c>
      <c r="F5858" s="23" t="s">
        <v>268</v>
      </c>
      <c r="G5858" s="23" t="s">
        <v>250</v>
      </c>
      <c r="H5858" s="39">
        <f t="shared" si="364"/>
        <v>1299</v>
      </c>
      <c r="I5858" s="23" t="str">
        <f t="shared" si="365"/>
        <v>Bengaluru</v>
      </c>
      <c r="J5858" s="23">
        <f>COUNTIFS(pg_transaction_cleaned!$O:$O,A5858,pg_transaction_cleaned!$F:$F,"CAPTURE")</f>
        <v>1</v>
      </c>
      <c r="K5858" s="39">
        <f>SUMIFS(pg_transaction_cleaned!$H:$H,pg_transaction_cleaned!$O:$O,A5858,pg_transaction_cleaned!$F:$F,"CAPTURE")</f>
        <v>1299</v>
      </c>
      <c r="L5858" s="23">
        <f>COUNTIFS(pg_transaction_cleaned!$O:$O,A5858,pg_transaction_cleaned!$F:$F,"REFUND")</f>
        <v>0</v>
      </c>
      <c r="M5858" s="39">
        <f>SUMIFS(pg_transaction_cleaned!$H:$H,pg_transaction_cleaned!$O:$O,A5858,pg_transaction_cleaned!$F:$F,"REFUND")</f>
        <v>0</v>
      </c>
      <c r="N5858" s="23" t="str">
        <f t="shared" si="366"/>
        <v>OK</v>
      </c>
      <c r="O5858" s="24">
        <f t="shared" si="367"/>
        <v>0</v>
      </c>
    </row>
    <row r="5859" spans="1:15" ht="15" customHeight="1" x14ac:dyDescent="0.3">
      <c r="A5859" s="23" t="s">
        <v>12122</v>
      </c>
      <c r="B5859" s="38">
        <v>46285</v>
      </c>
      <c r="C5859" s="23" t="s">
        <v>12123</v>
      </c>
      <c r="D5859" s="23" t="s">
        <v>95</v>
      </c>
      <c r="E5859" s="23" t="s">
        <v>75</v>
      </c>
      <c r="F5859" s="23" t="s">
        <v>396</v>
      </c>
      <c r="G5859" s="23" t="s">
        <v>250</v>
      </c>
      <c r="H5859" s="39">
        <f t="shared" si="364"/>
        <v>2999</v>
      </c>
      <c r="I5859" s="23" t="str">
        <f t="shared" si="365"/>
        <v>Bengaluru</v>
      </c>
      <c r="J5859" s="23">
        <f>COUNTIFS(pg_transaction_cleaned!$O:$O,A5859,pg_transaction_cleaned!$F:$F,"CAPTURE")</f>
        <v>1</v>
      </c>
      <c r="K5859" s="39">
        <f>SUMIFS(pg_transaction_cleaned!$H:$H,pg_transaction_cleaned!$O:$O,A5859,pg_transaction_cleaned!$F:$F,"CAPTURE")</f>
        <v>2999</v>
      </c>
      <c r="L5859" s="23">
        <f>COUNTIFS(pg_transaction_cleaned!$O:$O,A5859,pg_transaction_cleaned!$F:$F,"REFUND")</f>
        <v>0</v>
      </c>
      <c r="M5859" s="39">
        <f>SUMIFS(pg_transaction_cleaned!$H:$H,pg_transaction_cleaned!$O:$O,A5859,pg_transaction_cleaned!$F:$F,"REFUND")</f>
        <v>0</v>
      </c>
      <c r="N5859" s="23" t="str">
        <f t="shared" si="366"/>
        <v>OK</v>
      </c>
      <c r="O5859" s="24">
        <f t="shared" si="367"/>
        <v>0</v>
      </c>
    </row>
    <row r="5860" spans="1:15" ht="15" customHeight="1" x14ac:dyDescent="0.3">
      <c r="A5860" s="23" t="s">
        <v>12124</v>
      </c>
      <c r="B5860" s="38">
        <v>46289</v>
      </c>
      <c r="C5860" s="23" t="s">
        <v>12125</v>
      </c>
      <c r="D5860" s="23" t="s">
        <v>91</v>
      </c>
      <c r="E5860" s="23" t="s">
        <v>75</v>
      </c>
      <c r="F5860" s="23" t="s">
        <v>268</v>
      </c>
      <c r="G5860" s="23" t="s">
        <v>250</v>
      </c>
      <c r="H5860" s="39">
        <f t="shared" si="364"/>
        <v>1299</v>
      </c>
      <c r="I5860" s="23" t="str">
        <f t="shared" si="365"/>
        <v>Pune</v>
      </c>
      <c r="J5860" s="23">
        <f>COUNTIFS(pg_transaction_cleaned!$O:$O,A5860,pg_transaction_cleaned!$F:$F,"CAPTURE")</f>
        <v>1</v>
      </c>
      <c r="K5860" s="39">
        <f>SUMIFS(pg_transaction_cleaned!$H:$H,pg_transaction_cleaned!$O:$O,A5860,pg_transaction_cleaned!$F:$F,"CAPTURE")</f>
        <v>1299</v>
      </c>
      <c r="L5860" s="23">
        <f>COUNTIFS(pg_transaction_cleaned!$O:$O,A5860,pg_transaction_cleaned!$F:$F,"REFUND")</f>
        <v>0</v>
      </c>
      <c r="M5860" s="39">
        <f>SUMIFS(pg_transaction_cleaned!$H:$H,pg_transaction_cleaned!$O:$O,A5860,pg_transaction_cleaned!$F:$F,"REFUND")</f>
        <v>0</v>
      </c>
      <c r="N5860" s="23" t="str">
        <f t="shared" si="366"/>
        <v>OK</v>
      </c>
      <c r="O5860" s="24">
        <f t="shared" si="367"/>
        <v>0</v>
      </c>
    </row>
    <row r="5861" spans="1:15" ht="15" customHeight="1" x14ac:dyDescent="0.3">
      <c r="A5861" s="23" t="s">
        <v>12126</v>
      </c>
      <c r="B5861" s="38">
        <v>46274</v>
      </c>
      <c r="C5861" s="23" t="s">
        <v>12127</v>
      </c>
      <c r="D5861" s="23"/>
      <c r="E5861" s="23" t="s">
        <v>75</v>
      </c>
      <c r="F5861" s="23" t="s">
        <v>329</v>
      </c>
      <c r="G5861" s="23" t="s">
        <v>250</v>
      </c>
      <c r="H5861" s="39">
        <f t="shared" si="364"/>
        <v>599</v>
      </c>
      <c r="I5861" s="23" t="str">
        <f t="shared" si="365"/>
        <v>Unknown</v>
      </c>
      <c r="J5861" s="23">
        <f>COUNTIFS(pg_transaction_cleaned!$O:$O,A5861,pg_transaction_cleaned!$F:$F,"CAPTURE")</f>
        <v>1</v>
      </c>
      <c r="K5861" s="39">
        <f>SUMIFS(pg_transaction_cleaned!$H:$H,pg_transaction_cleaned!$O:$O,A5861,pg_transaction_cleaned!$F:$F,"CAPTURE")</f>
        <v>599</v>
      </c>
      <c r="L5861" s="23">
        <f>COUNTIFS(pg_transaction_cleaned!$O:$O,A5861,pg_transaction_cleaned!$F:$F,"REFUND")</f>
        <v>0</v>
      </c>
      <c r="M5861" s="39">
        <f>SUMIFS(pg_transaction_cleaned!$H:$H,pg_transaction_cleaned!$O:$O,A5861,pg_transaction_cleaned!$F:$F,"REFUND")</f>
        <v>0</v>
      </c>
      <c r="N5861" s="23" t="str">
        <f t="shared" si="366"/>
        <v>OK</v>
      </c>
      <c r="O5861" s="24">
        <f t="shared" si="367"/>
        <v>0</v>
      </c>
    </row>
    <row r="5862" spans="1:15" ht="15" customHeight="1" x14ac:dyDescent="0.3">
      <c r="A5862" s="23" t="s">
        <v>12128</v>
      </c>
      <c r="B5862" s="38">
        <v>46290</v>
      </c>
      <c r="C5862" s="23" t="s">
        <v>1418</v>
      </c>
      <c r="D5862" s="23" t="s">
        <v>87</v>
      </c>
      <c r="E5862" s="23" t="s">
        <v>75</v>
      </c>
      <c r="F5862" s="23" t="s">
        <v>490</v>
      </c>
      <c r="G5862" s="23" t="s">
        <v>250</v>
      </c>
      <c r="H5862" s="39">
        <f t="shared" si="364"/>
        <v>8798</v>
      </c>
      <c r="I5862" s="23" t="str">
        <f t="shared" si="365"/>
        <v>Mumbai</v>
      </c>
      <c r="J5862" s="23">
        <f>COUNTIFS(pg_transaction_cleaned!$O:$O,A5862,pg_transaction_cleaned!$F:$F,"CAPTURE")</f>
        <v>1</v>
      </c>
      <c r="K5862" s="39">
        <f>SUMIFS(pg_transaction_cleaned!$H:$H,pg_transaction_cleaned!$O:$O,A5862,pg_transaction_cleaned!$F:$F,"CAPTURE")</f>
        <v>8798</v>
      </c>
      <c r="L5862" s="23">
        <f>COUNTIFS(pg_transaction_cleaned!$O:$O,A5862,pg_transaction_cleaned!$F:$F,"REFUND")</f>
        <v>0</v>
      </c>
      <c r="M5862" s="39">
        <f>SUMIFS(pg_transaction_cleaned!$H:$H,pg_transaction_cleaned!$O:$O,A5862,pg_transaction_cleaned!$F:$F,"REFUND")</f>
        <v>0</v>
      </c>
      <c r="N5862" s="23" t="str">
        <f t="shared" si="366"/>
        <v>OK</v>
      </c>
      <c r="O5862" s="24">
        <f t="shared" si="367"/>
        <v>0</v>
      </c>
    </row>
    <row r="5863" spans="1:15" ht="15" customHeight="1" x14ac:dyDescent="0.3">
      <c r="A5863" s="23" t="s">
        <v>12129</v>
      </c>
      <c r="B5863" s="38">
        <v>46270</v>
      </c>
      <c r="C5863" s="23" t="s">
        <v>12130</v>
      </c>
      <c r="D5863" s="23" t="s">
        <v>87</v>
      </c>
      <c r="E5863" s="23" t="s">
        <v>79</v>
      </c>
      <c r="F5863" s="23" t="s">
        <v>294</v>
      </c>
      <c r="G5863" s="23" t="s">
        <v>250</v>
      </c>
      <c r="H5863" s="39">
        <f t="shared" si="364"/>
        <v>1799</v>
      </c>
      <c r="I5863" s="23" t="str">
        <f t="shared" si="365"/>
        <v>Mumbai</v>
      </c>
      <c r="J5863" s="23">
        <f>COUNTIFS(pg_transaction_cleaned!$O:$O,A5863,pg_transaction_cleaned!$F:$F,"CAPTURE")</f>
        <v>1</v>
      </c>
      <c r="K5863" s="39">
        <f>SUMIFS(pg_transaction_cleaned!$H:$H,pg_transaction_cleaned!$O:$O,A5863,pg_transaction_cleaned!$F:$F,"CAPTURE")</f>
        <v>1799</v>
      </c>
      <c r="L5863" s="23">
        <f>COUNTIFS(pg_transaction_cleaned!$O:$O,A5863,pg_transaction_cleaned!$F:$F,"REFUND")</f>
        <v>0</v>
      </c>
      <c r="M5863" s="39">
        <f>SUMIFS(pg_transaction_cleaned!$H:$H,pg_transaction_cleaned!$O:$O,A5863,pg_transaction_cleaned!$F:$F,"REFUND")</f>
        <v>0</v>
      </c>
      <c r="N5863" s="23" t="str">
        <f t="shared" si="366"/>
        <v>OK</v>
      </c>
      <c r="O5863" s="24">
        <f t="shared" si="367"/>
        <v>0</v>
      </c>
    </row>
    <row r="5864" spans="1:15" ht="15" customHeight="1" x14ac:dyDescent="0.3">
      <c r="A5864" s="23" t="s">
        <v>12131</v>
      </c>
      <c r="B5864" s="38">
        <v>46281</v>
      </c>
      <c r="C5864" s="23" t="s">
        <v>12132</v>
      </c>
      <c r="D5864" s="23" t="s">
        <v>95</v>
      </c>
      <c r="E5864" s="23" t="s">
        <v>77</v>
      </c>
      <c r="F5864" s="23" t="s">
        <v>265</v>
      </c>
      <c r="G5864" s="23" t="s">
        <v>250</v>
      </c>
      <c r="H5864" s="39">
        <f t="shared" si="364"/>
        <v>999</v>
      </c>
      <c r="I5864" s="23" t="str">
        <f t="shared" si="365"/>
        <v>Bengaluru</v>
      </c>
      <c r="J5864" s="23">
        <f>COUNTIFS(pg_transaction_cleaned!$O:$O,A5864,pg_transaction_cleaned!$F:$F,"CAPTURE")</f>
        <v>1</v>
      </c>
      <c r="K5864" s="39">
        <f>SUMIFS(pg_transaction_cleaned!$H:$H,pg_transaction_cleaned!$O:$O,A5864,pg_transaction_cleaned!$F:$F,"CAPTURE")</f>
        <v>999</v>
      </c>
      <c r="L5864" s="23">
        <f>COUNTIFS(pg_transaction_cleaned!$O:$O,A5864,pg_transaction_cleaned!$F:$F,"REFUND")</f>
        <v>0</v>
      </c>
      <c r="M5864" s="39">
        <f>SUMIFS(pg_transaction_cleaned!$H:$H,pg_transaction_cleaned!$O:$O,A5864,pg_transaction_cleaned!$F:$F,"REFUND")</f>
        <v>0</v>
      </c>
      <c r="N5864" s="23" t="str">
        <f t="shared" si="366"/>
        <v>OK</v>
      </c>
      <c r="O5864" s="24">
        <f t="shared" si="367"/>
        <v>0</v>
      </c>
    </row>
    <row r="5865" spans="1:15" ht="15" customHeight="1" x14ac:dyDescent="0.3">
      <c r="A5865" s="23" t="s">
        <v>12133</v>
      </c>
      <c r="B5865" s="38">
        <v>46289</v>
      </c>
      <c r="C5865" s="23" t="s">
        <v>12134</v>
      </c>
      <c r="D5865" s="23" t="s">
        <v>88</v>
      </c>
      <c r="E5865" s="23" t="s">
        <v>81</v>
      </c>
      <c r="F5865" s="23" t="s">
        <v>262</v>
      </c>
      <c r="G5865" s="23" t="s">
        <v>250</v>
      </c>
      <c r="H5865" s="39">
        <f t="shared" si="364"/>
        <v>499</v>
      </c>
      <c r="I5865" s="23" t="str">
        <f t="shared" si="365"/>
        <v>Lucknow</v>
      </c>
      <c r="J5865" s="23">
        <f>COUNTIFS(pg_transaction_cleaned!$O:$O,A5865,pg_transaction_cleaned!$F:$F,"CAPTURE")</f>
        <v>1</v>
      </c>
      <c r="K5865" s="39">
        <f>SUMIFS(pg_transaction_cleaned!$H:$H,pg_transaction_cleaned!$O:$O,A5865,pg_transaction_cleaned!$F:$F,"CAPTURE")</f>
        <v>499</v>
      </c>
      <c r="L5865" s="23">
        <f>COUNTIFS(pg_transaction_cleaned!$O:$O,A5865,pg_transaction_cleaned!$F:$F,"REFUND")</f>
        <v>0</v>
      </c>
      <c r="M5865" s="39">
        <f>SUMIFS(pg_transaction_cleaned!$H:$H,pg_transaction_cleaned!$O:$O,A5865,pg_transaction_cleaned!$F:$F,"REFUND")</f>
        <v>0</v>
      </c>
      <c r="N5865" s="23" t="str">
        <f t="shared" si="366"/>
        <v>OK</v>
      </c>
      <c r="O5865" s="24">
        <f t="shared" si="367"/>
        <v>0</v>
      </c>
    </row>
    <row r="5866" spans="1:15" ht="15" customHeight="1" x14ac:dyDescent="0.3">
      <c r="A5866" s="23" t="s">
        <v>12135</v>
      </c>
      <c r="B5866" s="38">
        <v>46285</v>
      </c>
      <c r="C5866" s="23" t="s">
        <v>2455</v>
      </c>
      <c r="D5866" s="23" t="s">
        <v>91</v>
      </c>
      <c r="E5866" s="23" t="s">
        <v>75</v>
      </c>
      <c r="F5866" s="23" t="s">
        <v>1372</v>
      </c>
      <c r="G5866" s="23" t="s">
        <v>250</v>
      </c>
      <c r="H5866" s="39">
        <f t="shared" si="364"/>
        <v>798</v>
      </c>
      <c r="I5866" s="23" t="str">
        <f t="shared" si="365"/>
        <v>Pune</v>
      </c>
      <c r="J5866" s="23">
        <f>COUNTIFS(pg_transaction_cleaned!$O:$O,A5866,pg_transaction_cleaned!$F:$F,"CAPTURE")</f>
        <v>1</v>
      </c>
      <c r="K5866" s="39">
        <f>SUMIFS(pg_transaction_cleaned!$H:$H,pg_transaction_cleaned!$O:$O,A5866,pg_transaction_cleaned!$F:$F,"CAPTURE")</f>
        <v>798</v>
      </c>
      <c r="L5866" s="23">
        <f>COUNTIFS(pg_transaction_cleaned!$O:$O,A5866,pg_transaction_cleaned!$F:$F,"REFUND")</f>
        <v>0</v>
      </c>
      <c r="M5866" s="39">
        <f>SUMIFS(pg_transaction_cleaned!$H:$H,pg_transaction_cleaned!$O:$O,A5866,pg_transaction_cleaned!$F:$F,"REFUND")</f>
        <v>0</v>
      </c>
      <c r="N5866" s="23" t="str">
        <f t="shared" si="366"/>
        <v>OK</v>
      </c>
      <c r="O5866" s="24">
        <f t="shared" si="367"/>
        <v>0</v>
      </c>
    </row>
    <row r="5867" spans="1:15" ht="15" customHeight="1" x14ac:dyDescent="0.3">
      <c r="A5867" s="23" t="s">
        <v>12136</v>
      </c>
      <c r="B5867" s="38">
        <v>46266</v>
      </c>
      <c r="C5867" s="23" t="s">
        <v>12137</v>
      </c>
      <c r="D5867" s="23" t="s">
        <v>95</v>
      </c>
      <c r="E5867" s="23" t="s">
        <v>79</v>
      </c>
      <c r="F5867" s="23" t="s">
        <v>349</v>
      </c>
      <c r="G5867" s="23" t="s">
        <v>250</v>
      </c>
      <c r="H5867" s="39">
        <f t="shared" si="364"/>
        <v>1798</v>
      </c>
      <c r="I5867" s="23" t="str">
        <f t="shared" si="365"/>
        <v>Bengaluru</v>
      </c>
      <c r="J5867" s="23">
        <f>COUNTIFS(pg_transaction_cleaned!$O:$O,A5867,pg_transaction_cleaned!$F:$F,"CAPTURE")</f>
        <v>1</v>
      </c>
      <c r="K5867" s="39">
        <f>SUMIFS(pg_transaction_cleaned!$H:$H,pg_transaction_cleaned!$O:$O,A5867,pg_transaction_cleaned!$F:$F,"CAPTURE")</f>
        <v>1798</v>
      </c>
      <c r="L5867" s="23">
        <f>COUNTIFS(pg_transaction_cleaned!$O:$O,A5867,pg_transaction_cleaned!$F:$F,"REFUND")</f>
        <v>0</v>
      </c>
      <c r="M5867" s="39">
        <f>SUMIFS(pg_transaction_cleaned!$H:$H,pg_transaction_cleaned!$O:$O,A5867,pg_transaction_cleaned!$F:$F,"REFUND")</f>
        <v>0</v>
      </c>
      <c r="N5867" s="23" t="str">
        <f t="shared" si="366"/>
        <v>OK</v>
      </c>
      <c r="O5867" s="24">
        <f t="shared" si="367"/>
        <v>0</v>
      </c>
    </row>
    <row r="5868" spans="1:15" ht="15" customHeight="1" x14ac:dyDescent="0.3">
      <c r="A5868" s="23" t="s">
        <v>12138</v>
      </c>
      <c r="B5868" s="38">
        <v>46287</v>
      </c>
      <c r="C5868" s="23" t="s">
        <v>12139</v>
      </c>
      <c r="D5868" s="23" t="s">
        <v>90</v>
      </c>
      <c r="E5868" s="23" t="s">
        <v>77</v>
      </c>
      <c r="F5868" s="23" t="s">
        <v>291</v>
      </c>
      <c r="G5868" s="23" t="s">
        <v>250</v>
      </c>
      <c r="H5868" s="39">
        <f t="shared" si="364"/>
        <v>3499</v>
      </c>
      <c r="I5868" s="23" t="str">
        <f t="shared" si="365"/>
        <v>Ahmedabad</v>
      </c>
      <c r="J5868" s="23">
        <f>COUNTIFS(pg_transaction_cleaned!$O:$O,A5868,pg_transaction_cleaned!$F:$F,"CAPTURE")</f>
        <v>1</v>
      </c>
      <c r="K5868" s="39">
        <f>SUMIFS(pg_transaction_cleaned!$H:$H,pg_transaction_cleaned!$O:$O,A5868,pg_transaction_cleaned!$F:$F,"CAPTURE")</f>
        <v>3499</v>
      </c>
      <c r="L5868" s="23">
        <f>COUNTIFS(pg_transaction_cleaned!$O:$O,A5868,pg_transaction_cleaned!$F:$F,"REFUND")</f>
        <v>0</v>
      </c>
      <c r="M5868" s="39">
        <f>SUMIFS(pg_transaction_cleaned!$H:$H,pg_transaction_cleaned!$O:$O,A5868,pg_transaction_cleaned!$F:$F,"REFUND")</f>
        <v>0</v>
      </c>
      <c r="N5868" s="23" t="str">
        <f t="shared" si="366"/>
        <v>OK</v>
      </c>
      <c r="O5868" s="24">
        <f t="shared" si="367"/>
        <v>0</v>
      </c>
    </row>
    <row r="5869" spans="1:15" ht="15" customHeight="1" x14ac:dyDescent="0.3">
      <c r="A5869" s="23" t="s">
        <v>12140</v>
      </c>
      <c r="B5869" s="38">
        <v>46281</v>
      </c>
      <c r="C5869" s="23" t="s">
        <v>12141</v>
      </c>
      <c r="D5869" s="23" t="s">
        <v>93</v>
      </c>
      <c r="E5869" s="23" t="s">
        <v>75</v>
      </c>
      <c r="F5869" s="23" t="s">
        <v>680</v>
      </c>
      <c r="G5869" s="23" t="s">
        <v>250</v>
      </c>
      <c r="H5869" s="39">
        <f t="shared" si="364"/>
        <v>5097</v>
      </c>
      <c r="I5869" s="23" t="str">
        <f t="shared" si="365"/>
        <v>Kolkata</v>
      </c>
      <c r="J5869" s="23">
        <f>COUNTIFS(pg_transaction_cleaned!$O:$O,A5869,pg_transaction_cleaned!$F:$F,"CAPTURE")</f>
        <v>1</v>
      </c>
      <c r="K5869" s="39">
        <f>SUMIFS(pg_transaction_cleaned!$H:$H,pg_transaction_cleaned!$O:$O,A5869,pg_transaction_cleaned!$F:$F,"CAPTURE")</f>
        <v>5097</v>
      </c>
      <c r="L5869" s="23">
        <f>COUNTIFS(pg_transaction_cleaned!$O:$O,A5869,pg_transaction_cleaned!$F:$F,"REFUND")</f>
        <v>0</v>
      </c>
      <c r="M5869" s="39">
        <f>SUMIFS(pg_transaction_cleaned!$H:$H,pg_transaction_cleaned!$O:$O,A5869,pg_transaction_cleaned!$F:$F,"REFUND")</f>
        <v>0</v>
      </c>
      <c r="N5869" s="23" t="str">
        <f t="shared" si="366"/>
        <v>OK</v>
      </c>
      <c r="O5869" s="24">
        <f t="shared" si="367"/>
        <v>0</v>
      </c>
    </row>
    <row r="5870" spans="1:15" ht="15" customHeight="1" x14ac:dyDescent="0.3">
      <c r="A5870" s="23" t="s">
        <v>12142</v>
      </c>
      <c r="B5870" s="38">
        <v>46268</v>
      </c>
      <c r="C5870" s="23" t="s">
        <v>12143</v>
      </c>
      <c r="D5870" s="23" t="s">
        <v>94</v>
      </c>
      <c r="E5870" s="23" t="s">
        <v>77</v>
      </c>
      <c r="F5870" s="23" t="s">
        <v>460</v>
      </c>
      <c r="G5870" s="23" t="s">
        <v>250</v>
      </c>
      <c r="H5870" s="39">
        <f t="shared" si="364"/>
        <v>1998</v>
      </c>
      <c r="I5870" s="23" t="str">
        <f t="shared" si="365"/>
        <v>Chennai</v>
      </c>
      <c r="J5870" s="23">
        <f>COUNTIFS(pg_transaction_cleaned!$O:$O,A5870,pg_transaction_cleaned!$F:$F,"CAPTURE")</f>
        <v>1</v>
      </c>
      <c r="K5870" s="39">
        <f>SUMIFS(pg_transaction_cleaned!$H:$H,pg_transaction_cleaned!$O:$O,A5870,pg_transaction_cleaned!$F:$F,"CAPTURE")</f>
        <v>1998</v>
      </c>
      <c r="L5870" s="23">
        <f>COUNTIFS(pg_transaction_cleaned!$O:$O,A5870,pg_transaction_cleaned!$F:$F,"REFUND")</f>
        <v>0</v>
      </c>
      <c r="M5870" s="39">
        <f>SUMIFS(pg_transaction_cleaned!$H:$H,pg_transaction_cleaned!$O:$O,A5870,pg_transaction_cleaned!$F:$F,"REFUND")</f>
        <v>0</v>
      </c>
      <c r="N5870" s="23" t="str">
        <f t="shared" si="366"/>
        <v>OK</v>
      </c>
      <c r="O5870" s="24">
        <f t="shared" si="367"/>
        <v>0</v>
      </c>
    </row>
    <row r="5871" spans="1:15" ht="15" customHeight="1" x14ac:dyDescent="0.3">
      <c r="A5871" s="23" t="s">
        <v>12144</v>
      </c>
      <c r="B5871" s="38">
        <v>46275</v>
      </c>
      <c r="C5871" s="23" t="s">
        <v>12145</v>
      </c>
      <c r="D5871" s="23" t="s">
        <v>93</v>
      </c>
      <c r="E5871" s="23" t="s">
        <v>75</v>
      </c>
      <c r="F5871" s="23" t="s">
        <v>1769</v>
      </c>
      <c r="G5871" s="23" t="s">
        <v>250</v>
      </c>
      <c r="H5871" s="39">
        <f t="shared" si="364"/>
        <v>1148</v>
      </c>
      <c r="I5871" s="23" t="str">
        <f t="shared" si="365"/>
        <v>Kolkata</v>
      </c>
      <c r="J5871" s="23">
        <f>COUNTIFS(pg_transaction_cleaned!$O:$O,A5871,pg_transaction_cleaned!$F:$F,"CAPTURE")</f>
        <v>1</v>
      </c>
      <c r="K5871" s="39">
        <f>SUMIFS(pg_transaction_cleaned!$H:$H,pg_transaction_cleaned!$O:$O,A5871,pg_transaction_cleaned!$F:$F,"CAPTURE")</f>
        <v>1148</v>
      </c>
      <c r="L5871" s="23">
        <f>COUNTIFS(pg_transaction_cleaned!$O:$O,A5871,pg_transaction_cleaned!$F:$F,"REFUND")</f>
        <v>0</v>
      </c>
      <c r="M5871" s="39">
        <f>SUMIFS(pg_transaction_cleaned!$H:$H,pg_transaction_cleaned!$O:$O,A5871,pg_transaction_cleaned!$F:$F,"REFUND")</f>
        <v>0</v>
      </c>
      <c r="N5871" s="23" t="str">
        <f t="shared" si="366"/>
        <v>OK</v>
      </c>
      <c r="O5871" s="24">
        <f t="shared" si="367"/>
        <v>0</v>
      </c>
    </row>
    <row r="5872" spans="1:15" ht="15" customHeight="1" x14ac:dyDescent="0.3">
      <c r="A5872" s="23" t="s">
        <v>12146</v>
      </c>
      <c r="B5872" s="38">
        <v>46279</v>
      </c>
      <c r="C5872" s="23" t="s">
        <v>12147</v>
      </c>
      <c r="D5872" s="23" t="s">
        <v>88</v>
      </c>
      <c r="E5872" s="23" t="s">
        <v>75</v>
      </c>
      <c r="F5872" s="23" t="s">
        <v>265</v>
      </c>
      <c r="G5872" s="23" t="s">
        <v>365</v>
      </c>
      <c r="H5872" s="39">
        <f t="shared" si="364"/>
        <v>999</v>
      </c>
      <c r="I5872" s="23" t="str">
        <f t="shared" si="365"/>
        <v>Lucknow</v>
      </c>
      <c r="J5872" s="23">
        <f>COUNTIFS(pg_transaction_cleaned!$O:$O,A5872,pg_transaction_cleaned!$F:$F,"CAPTURE")</f>
        <v>0</v>
      </c>
      <c r="K5872" s="39">
        <f>SUMIFS(pg_transaction_cleaned!$H:$H,pg_transaction_cleaned!$O:$O,A5872,pg_transaction_cleaned!$F:$F,"CAPTURE")</f>
        <v>0</v>
      </c>
      <c r="L5872" s="23">
        <f>COUNTIFS(pg_transaction_cleaned!$O:$O,A5872,pg_transaction_cleaned!$F:$F,"REFUND")</f>
        <v>0</v>
      </c>
      <c r="M5872" s="39">
        <f>SUMIFS(pg_transaction_cleaned!$H:$H,pg_transaction_cleaned!$O:$O,A5872,pg_transaction_cleaned!$F:$F,"REFUND")</f>
        <v>0</v>
      </c>
      <c r="N5872" s="23" t="str">
        <f t="shared" si="366"/>
        <v>OK</v>
      </c>
      <c r="O5872" s="24">
        <f t="shared" si="367"/>
        <v>0</v>
      </c>
    </row>
    <row r="5873" spans="1:15" ht="15" customHeight="1" x14ac:dyDescent="0.3">
      <c r="A5873" s="23" t="s">
        <v>12148</v>
      </c>
      <c r="B5873" s="38">
        <v>46289</v>
      </c>
      <c r="C5873" s="23" t="s">
        <v>12149</v>
      </c>
      <c r="D5873" s="23" t="s">
        <v>86</v>
      </c>
      <c r="E5873" s="23" t="s">
        <v>75</v>
      </c>
      <c r="F5873" s="23" t="s">
        <v>271</v>
      </c>
      <c r="G5873" s="23" t="s">
        <v>250</v>
      </c>
      <c r="H5873" s="39">
        <f t="shared" si="364"/>
        <v>2499</v>
      </c>
      <c r="I5873" s="23" t="str">
        <f t="shared" si="365"/>
        <v>Delhi</v>
      </c>
      <c r="J5873" s="23">
        <f>COUNTIFS(pg_transaction_cleaned!$O:$O,A5873,pg_transaction_cleaned!$F:$F,"CAPTURE")</f>
        <v>1</v>
      </c>
      <c r="K5873" s="39">
        <f>SUMIFS(pg_transaction_cleaned!$H:$H,pg_transaction_cleaned!$O:$O,A5873,pg_transaction_cleaned!$F:$F,"CAPTURE")</f>
        <v>2499</v>
      </c>
      <c r="L5873" s="23">
        <f>COUNTIFS(pg_transaction_cleaned!$O:$O,A5873,pg_transaction_cleaned!$F:$F,"REFUND")</f>
        <v>0</v>
      </c>
      <c r="M5873" s="39">
        <f>SUMIFS(pg_transaction_cleaned!$H:$H,pg_transaction_cleaned!$O:$O,A5873,pg_transaction_cleaned!$F:$F,"REFUND")</f>
        <v>0</v>
      </c>
      <c r="N5873" s="23" t="str">
        <f t="shared" si="366"/>
        <v>OK</v>
      </c>
      <c r="O5873" s="24">
        <f t="shared" si="367"/>
        <v>0</v>
      </c>
    </row>
    <row r="5874" spans="1:15" ht="15" customHeight="1" x14ac:dyDescent="0.3">
      <c r="A5874" s="23" t="s">
        <v>12150</v>
      </c>
      <c r="B5874" s="38">
        <v>46268</v>
      </c>
      <c r="C5874" s="23" t="s">
        <v>12151</v>
      </c>
      <c r="D5874" s="23" t="s">
        <v>95</v>
      </c>
      <c r="E5874" s="23" t="s">
        <v>75</v>
      </c>
      <c r="F5874" s="23" t="s">
        <v>249</v>
      </c>
      <c r="G5874" s="23" t="s">
        <v>318</v>
      </c>
      <c r="H5874" s="39">
        <f t="shared" si="364"/>
        <v>299</v>
      </c>
      <c r="I5874" s="23" t="str">
        <f t="shared" si="365"/>
        <v>Bengaluru</v>
      </c>
      <c r="J5874" s="23">
        <f>COUNTIFS(pg_transaction_cleaned!$O:$O,A5874,pg_transaction_cleaned!$F:$F,"CAPTURE")</f>
        <v>0</v>
      </c>
      <c r="K5874" s="39">
        <f>SUMIFS(pg_transaction_cleaned!$H:$H,pg_transaction_cleaned!$O:$O,A5874,pg_transaction_cleaned!$F:$F,"CAPTURE")</f>
        <v>0</v>
      </c>
      <c r="L5874" s="23">
        <f>COUNTIFS(pg_transaction_cleaned!$O:$O,A5874,pg_transaction_cleaned!$F:$F,"REFUND")</f>
        <v>0</v>
      </c>
      <c r="M5874" s="39">
        <f>SUMIFS(pg_transaction_cleaned!$H:$H,pg_transaction_cleaned!$O:$O,A5874,pg_transaction_cleaned!$F:$F,"REFUND")</f>
        <v>0</v>
      </c>
      <c r="N5874" s="23" t="str">
        <f t="shared" si="366"/>
        <v>OK</v>
      </c>
      <c r="O5874" s="24">
        <f t="shared" si="367"/>
        <v>0</v>
      </c>
    </row>
    <row r="5875" spans="1:15" ht="15" customHeight="1" x14ac:dyDescent="0.3">
      <c r="A5875" s="23" t="s">
        <v>12152</v>
      </c>
      <c r="B5875" s="38">
        <v>46286</v>
      </c>
      <c r="C5875" s="23" t="s">
        <v>8836</v>
      </c>
      <c r="D5875" s="23" t="s">
        <v>89</v>
      </c>
      <c r="E5875" s="23" t="s">
        <v>75</v>
      </c>
      <c r="F5875" s="23" t="s">
        <v>271</v>
      </c>
      <c r="G5875" s="23" t="s">
        <v>250</v>
      </c>
      <c r="H5875" s="39">
        <f t="shared" si="364"/>
        <v>2499</v>
      </c>
      <c r="I5875" s="23" t="str">
        <f t="shared" si="365"/>
        <v>Jaipur</v>
      </c>
      <c r="J5875" s="23">
        <f>COUNTIFS(pg_transaction_cleaned!$O:$O,A5875,pg_transaction_cleaned!$F:$F,"CAPTURE")</f>
        <v>1</v>
      </c>
      <c r="K5875" s="39">
        <f>SUMIFS(pg_transaction_cleaned!$H:$H,pg_transaction_cleaned!$O:$O,A5875,pg_transaction_cleaned!$F:$F,"CAPTURE")</f>
        <v>2499</v>
      </c>
      <c r="L5875" s="23">
        <f>COUNTIFS(pg_transaction_cleaned!$O:$O,A5875,pg_transaction_cleaned!$F:$F,"REFUND")</f>
        <v>0</v>
      </c>
      <c r="M5875" s="39">
        <f>SUMIFS(pg_transaction_cleaned!$H:$H,pg_transaction_cleaned!$O:$O,A5875,pg_transaction_cleaned!$F:$F,"REFUND")</f>
        <v>0</v>
      </c>
      <c r="N5875" s="23" t="str">
        <f t="shared" si="366"/>
        <v>OK</v>
      </c>
      <c r="O5875" s="24">
        <f t="shared" si="367"/>
        <v>0</v>
      </c>
    </row>
    <row r="5876" spans="1:15" ht="15" customHeight="1" x14ac:dyDescent="0.3">
      <c r="A5876" s="23" t="s">
        <v>12153</v>
      </c>
      <c r="B5876" s="38">
        <v>46285</v>
      </c>
      <c r="C5876" s="23" t="s">
        <v>12154</v>
      </c>
      <c r="D5876" s="23" t="s">
        <v>95</v>
      </c>
      <c r="E5876" s="23" t="s">
        <v>81</v>
      </c>
      <c r="F5876" s="23" t="s">
        <v>2364</v>
      </c>
      <c r="G5876" s="23" t="s">
        <v>365</v>
      </c>
      <c r="H5876" s="39">
        <f t="shared" si="364"/>
        <v>3297</v>
      </c>
      <c r="I5876" s="23" t="str">
        <f t="shared" si="365"/>
        <v>Bengaluru</v>
      </c>
      <c r="J5876" s="23">
        <f>COUNTIFS(pg_transaction_cleaned!$O:$O,A5876,pg_transaction_cleaned!$F:$F,"CAPTURE")</f>
        <v>0</v>
      </c>
      <c r="K5876" s="39">
        <f>SUMIFS(pg_transaction_cleaned!$H:$H,pg_transaction_cleaned!$O:$O,A5876,pg_transaction_cleaned!$F:$F,"CAPTURE")</f>
        <v>0</v>
      </c>
      <c r="L5876" s="23">
        <f>COUNTIFS(pg_transaction_cleaned!$O:$O,A5876,pg_transaction_cleaned!$F:$F,"REFUND")</f>
        <v>0</v>
      </c>
      <c r="M5876" s="39">
        <f>SUMIFS(pg_transaction_cleaned!$H:$H,pg_transaction_cleaned!$O:$O,A5876,pg_transaction_cleaned!$F:$F,"REFUND")</f>
        <v>0</v>
      </c>
      <c r="N5876" s="23" t="str">
        <f t="shared" si="366"/>
        <v>OK</v>
      </c>
      <c r="O5876" s="24">
        <f t="shared" si="367"/>
        <v>0</v>
      </c>
    </row>
    <row r="5877" spans="1:15" ht="15" customHeight="1" x14ac:dyDescent="0.3">
      <c r="A5877" s="23" t="s">
        <v>12155</v>
      </c>
      <c r="B5877" s="38">
        <v>46272</v>
      </c>
      <c r="C5877" s="23" t="s">
        <v>12156</v>
      </c>
      <c r="D5877" s="23" t="s">
        <v>87</v>
      </c>
      <c r="E5877" s="23" t="s">
        <v>79</v>
      </c>
      <c r="F5877" s="23" t="s">
        <v>5798</v>
      </c>
      <c r="G5877" s="23" t="s">
        <v>250</v>
      </c>
      <c r="H5877" s="39">
        <f t="shared" si="364"/>
        <v>10847</v>
      </c>
      <c r="I5877" s="23" t="str">
        <f t="shared" si="365"/>
        <v>Mumbai</v>
      </c>
      <c r="J5877" s="23">
        <f>COUNTIFS(pg_transaction_cleaned!$O:$O,A5877,pg_transaction_cleaned!$F:$F,"CAPTURE")</f>
        <v>1</v>
      </c>
      <c r="K5877" s="39">
        <f>SUMIFS(pg_transaction_cleaned!$H:$H,pg_transaction_cleaned!$O:$O,A5877,pg_transaction_cleaned!$F:$F,"CAPTURE")</f>
        <v>10847</v>
      </c>
      <c r="L5877" s="23">
        <f>COUNTIFS(pg_transaction_cleaned!$O:$O,A5877,pg_transaction_cleaned!$F:$F,"REFUND")</f>
        <v>0</v>
      </c>
      <c r="M5877" s="39">
        <f>SUMIFS(pg_transaction_cleaned!$H:$H,pg_transaction_cleaned!$O:$O,A5877,pg_transaction_cleaned!$F:$F,"REFUND")</f>
        <v>0</v>
      </c>
      <c r="N5877" s="23" t="str">
        <f t="shared" si="366"/>
        <v>OK</v>
      </c>
      <c r="O5877" s="24">
        <f t="shared" si="367"/>
        <v>0</v>
      </c>
    </row>
    <row r="5878" spans="1:15" ht="15" customHeight="1" x14ac:dyDescent="0.3">
      <c r="A5878" s="23" t="s">
        <v>12157</v>
      </c>
      <c r="B5878" s="38">
        <v>46273</v>
      </c>
      <c r="C5878" s="23" t="s">
        <v>12158</v>
      </c>
      <c r="D5878" s="23" t="s">
        <v>94</v>
      </c>
      <c r="E5878" s="23" t="s">
        <v>75</v>
      </c>
      <c r="F5878" s="23" t="s">
        <v>724</v>
      </c>
      <c r="G5878" s="23" t="s">
        <v>250</v>
      </c>
      <c r="H5878" s="39">
        <f t="shared" si="364"/>
        <v>3848</v>
      </c>
      <c r="I5878" s="23" t="str">
        <f t="shared" si="365"/>
        <v>Chennai</v>
      </c>
      <c r="J5878" s="23">
        <f>COUNTIFS(pg_transaction_cleaned!$O:$O,A5878,pg_transaction_cleaned!$F:$F,"CAPTURE")</f>
        <v>1</v>
      </c>
      <c r="K5878" s="39">
        <f>SUMIFS(pg_transaction_cleaned!$H:$H,pg_transaction_cleaned!$O:$O,A5878,pg_transaction_cleaned!$F:$F,"CAPTURE")</f>
        <v>3848</v>
      </c>
      <c r="L5878" s="23">
        <f>COUNTIFS(pg_transaction_cleaned!$O:$O,A5878,pg_transaction_cleaned!$F:$F,"REFUND")</f>
        <v>0</v>
      </c>
      <c r="M5878" s="39">
        <f>SUMIFS(pg_transaction_cleaned!$H:$H,pg_transaction_cleaned!$O:$O,A5878,pg_transaction_cleaned!$F:$F,"REFUND")</f>
        <v>0</v>
      </c>
      <c r="N5878" s="23" t="str">
        <f t="shared" si="366"/>
        <v>OK</v>
      </c>
      <c r="O5878" s="24">
        <f t="shared" si="367"/>
        <v>0</v>
      </c>
    </row>
    <row r="5879" spans="1:15" ht="15" customHeight="1" x14ac:dyDescent="0.3">
      <c r="A5879" s="23" t="s">
        <v>12159</v>
      </c>
      <c r="B5879" s="38">
        <v>46285</v>
      </c>
      <c r="C5879" s="23" t="s">
        <v>12160</v>
      </c>
      <c r="D5879" s="23" t="s">
        <v>91</v>
      </c>
      <c r="E5879" s="23" t="s">
        <v>75</v>
      </c>
      <c r="F5879" s="23" t="s">
        <v>271</v>
      </c>
      <c r="G5879" s="23" t="s">
        <v>250</v>
      </c>
      <c r="H5879" s="39">
        <f t="shared" si="364"/>
        <v>2499</v>
      </c>
      <c r="I5879" s="23" t="str">
        <f t="shared" si="365"/>
        <v>Pune</v>
      </c>
      <c r="J5879" s="23">
        <f>COUNTIFS(pg_transaction_cleaned!$O:$O,A5879,pg_transaction_cleaned!$F:$F,"CAPTURE")</f>
        <v>1</v>
      </c>
      <c r="K5879" s="39">
        <f>SUMIFS(pg_transaction_cleaned!$H:$H,pg_transaction_cleaned!$O:$O,A5879,pg_transaction_cleaned!$F:$F,"CAPTURE")</f>
        <v>2499</v>
      </c>
      <c r="L5879" s="23">
        <f>COUNTIFS(pg_transaction_cleaned!$O:$O,A5879,pg_transaction_cleaned!$F:$F,"REFUND")</f>
        <v>0</v>
      </c>
      <c r="M5879" s="39">
        <f>SUMIFS(pg_transaction_cleaned!$H:$H,pg_transaction_cleaned!$O:$O,A5879,pg_transaction_cleaned!$F:$F,"REFUND")</f>
        <v>0</v>
      </c>
      <c r="N5879" s="23" t="str">
        <f t="shared" si="366"/>
        <v>OK</v>
      </c>
      <c r="O5879" s="24">
        <f t="shared" si="367"/>
        <v>0</v>
      </c>
    </row>
    <row r="5880" spans="1:15" ht="15" customHeight="1" x14ac:dyDescent="0.3">
      <c r="A5880" s="23" t="s">
        <v>12161</v>
      </c>
      <c r="B5880" s="38">
        <v>46275</v>
      </c>
      <c r="C5880" s="23" t="s">
        <v>12162</v>
      </c>
      <c r="D5880" s="23" t="s">
        <v>86</v>
      </c>
      <c r="E5880" s="23" t="s">
        <v>75</v>
      </c>
      <c r="F5880" s="23" t="s">
        <v>274</v>
      </c>
      <c r="G5880" s="23" t="s">
        <v>250</v>
      </c>
      <c r="H5880" s="39">
        <f t="shared" si="364"/>
        <v>349</v>
      </c>
      <c r="I5880" s="23" t="str">
        <f t="shared" si="365"/>
        <v>Delhi</v>
      </c>
      <c r="J5880" s="23">
        <f>COUNTIFS(pg_transaction_cleaned!$O:$O,A5880,pg_transaction_cleaned!$F:$F,"CAPTURE")</f>
        <v>1</v>
      </c>
      <c r="K5880" s="39">
        <f>SUMIFS(pg_transaction_cleaned!$H:$H,pg_transaction_cleaned!$O:$O,A5880,pg_transaction_cleaned!$F:$F,"CAPTURE")</f>
        <v>349</v>
      </c>
      <c r="L5880" s="23">
        <f>COUNTIFS(pg_transaction_cleaned!$O:$O,A5880,pg_transaction_cleaned!$F:$F,"REFUND")</f>
        <v>0</v>
      </c>
      <c r="M5880" s="39">
        <f>SUMIFS(pg_transaction_cleaned!$H:$H,pg_transaction_cleaned!$O:$O,A5880,pg_transaction_cleaned!$F:$F,"REFUND")</f>
        <v>0</v>
      </c>
      <c r="N5880" s="23" t="str">
        <f t="shared" si="366"/>
        <v>OK</v>
      </c>
      <c r="O5880" s="24">
        <f t="shared" si="367"/>
        <v>0</v>
      </c>
    </row>
    <row r="5881" spans="1:15" ht="15" customHeight="1" x14ac:dyDescent="0.3">
      <c r="A5881" s="23" t="s">
        <v>12163</v>
      </c>
      <c r="B5881" s="38">
        <v>46271</v>
      </c>
      <c r="C5881" s="23" t="s">
        <v>12164</v>
      </c>
      <c r="D5881" s="23" t="s">
        <v>94</v>
      </c>
      <c r="E5881" s="23" t="s">
        <v>75</v>
      </c>
      <c r="F5881" s="23" t="s">
        <v>310</v>
      </c>
      <c r="G5881" s="23" t="s">
        <v>365</v>
      </c>
      <c r="H5881" s="39">
        <f t="shared" si="364"/>
        <v>7999</v>
      </c>
      <c r="I5881" s="23" t="str">
        <f t="shared" si="365"/>
        <v>Chennai</v>
      </c>
      <c r="J5881" s="23">
        <f>COUNTIFS(pg_transaction_cleaned!$O:$O,A5881,pg_transaction_cleaned!$F:$F,"CAPTURE")</f>
        <v>0</v>
      </c>
      <c r="K5881" s="39">
        <f>SUMIFS(pg_transaction_cleaned!$H:$H,pg_transaction_cleaned!$O:$O,A5881,pg_transaction_cleaned!$F:$F,"CAPTURE")</f>
        <v>0</v>
      </c>
      <c r="L5881" s="23">
        <f>COUNTIFS(pg_transaction_cleaned!$O:$O,A5881,pg_transaction_cleaned!$F:$F,"REFUND")</f>
        <v>0</v>
      </c>
      <c r="M5881" s="39">
        <f>SUMIFS(pg_transaction_cleaned!$H:$H,pg_transaction_cleaned!$O:$O,A5881,pg_transaction_cleaned!$F:$F,"REFUND")</f>
        <v>0</v>
      </c>
      <c r="N5881" s="23" t="str">
        <f t="shared" si="366"/>
        <v>OK</v>
      </c>
      <c r="O5881" s="24">
        <f t="shared" si="367"/>
        <v>0</v>
      </c>
    </row>
    <row r="5882" spans="1:15" ht="15" customHeight="1" x14ac:dyDescent="0.3">
      <c r="A5882" s="23" t="s">
        <v>12165</v>
      </c>
      <c r="B5882" s="38">
        <v>46285</v>
      </c>
      <c r="C5882" s="23" t="s">
        <v>5310</v>
      </c>
      <c r="D5882" s="23"/>
      <c r="E5882" s="23" t="s">
        <v>75</v>
      </c>
      <c r="F5882" s="23" t="s">
        <v>249</v>
      </c>
      <c r="G5882" s="23" t="s">
        <v>250</v>
      </c>
      <c r="H5882" s="39">
        <f t="shared" si="364"/>
        <v>299</v>
      </c>
      <c r="I5882" s="23" t="str">
        <f t="shared" si="365"/>
        <v>Unknown</v>
      </c>
      <c r="J5882" s="23">
        <f>COUNTIFS(pg_transaction_cleaned!$O:$O,A5882,pg_transaction_cleaned!$F:$F,"CAPTURE")</f>
        <v>1</v>
      </c>
      <c r="K5882" s="39">
        <f>SUMIFS(pg_transaction_cleaned!$H:$H,pg_transaction_cleaned!$O:$O,A5882,pg_transaction_cleaned!$F:$F,"CAPTURE")</f>
        <v>299</v>
      </c>
      <c r="L5882" s="23">
        <f>COUNTIFS(pg_transaction_cleaned!$O:$O,A5882,pg_transaction_cleaned!$F:$F,"REFUND")</f>
        <v>0</v>
      </c>
      <c r="M5882" s="39">
        <f>SUMIFS(pg_transaction_cleaned!$H:$H,pg_transaction_cleaned!$O:$O,A5882,pg_transaction_cleaned!$F:$F,"REFUND")</f>
        <v>0</v>
      </c>
      <c r="N5882" s="23" t="str">
        <f t="shared" si="366"/>
        <v>OK</v>
      </c>
      <c r="O5882" s="24">
        <f t="shared" si="367"/>
        <v>0</v>
      </c>
    </row>
    <row r="5883" spans="1:15" ht="15" customHeight="1" x14ac:dyDescent="0.3">
      <c r="A5883" s="23" t="s">
        <v>12166</v>
      </c>
      <c r="B5883" s="38">
        <v>46278</v>
      </c>
      <c r="C5883" s="23" t="s">
        <v>6309</v>
      </c>
      <c r="D5883" s="23" t="s">
        <v>86</v>
      </c>
      <c r="E5883" s="23" t="s">
        <v>75</v>
      </c>
      <c r="F5883" s="23" t="s">
        <v>329</v>
      </c>
      <c r="G5883" s="23" t="s">
        <v>250</v>
      </c>
      <c r="H5883" s="39">
        <f t="shared" si="364"/>
        <v>599</v>
      </c>
      <c r="I5883" s="23" t="str">
        <f t="shared" si="365"/>
        <v>Delhi</v>
      </c>
      <c r="J5883" s="23">
        <f>COUNTIFS(pg_transaction_cleaned!$O:$O,A5883,pg_transaction_cleaned!$F:$F,"CAPTURE")</f>
        <v>1</v>
      </c>
      <c r="K5883" s="39">
        <f>SUMIFS(pg_transaction_cleaned!$H:$H,pg_transaction_cleaned!$O:$O,A5883,pg_transaction_cleaned!$F:$F,"CAPTURE")</f>
        <v>599</v>
      </c>
      <c r="L5883" s="23">
        <f>COUNTIFS(pg_transaction_cleaned!$O:$O,A5883,pg_transaction_cleaned!$F:$F,"REFUND")</f>
        <v>0</v>
      </c>
      <c r="M5883" s="39">
        <f>SUMIFS(pg_transaction_cleaned!$H:$H,pg_transaction_cleaned!$O:$O,A5883,pg_transaction_cleaned!$F:$F,"REFUND")</f>
        <v>0</v>
      </c>
      <c r="N5883" s="23" t="str">
        <f t="shared" si="366"/>
        <v>OK</v>
      </c>
      <c r="O5883" s="24">
        <f t="shared" si="367"/>
        <v>0</v>
      </c>
    </row>
    <row r="5884" spans="1:15" ht="15" customHeight="1" x14ac:dyDescent="0.3">
      <c r="A5884" s="23" t="s">
        <v>12167</v>
      </c>
      <c r="B5884" s="38">
        <v>46289</v>
      </c>
      <c r="C5884" s="23" t="s">
        <v>12168</v>
      </c>
      <c r="D5884" s="23" t="s">
        <v>86</v>
      </c>
      <c r="E5884" s="23" t="s">
        <v>75</v>
      </c>
      <c r="F5884" s="23" t="s">
        <v>441</v>
      </c>
      <c r="G5884" s="23" t="s">
        <v>250</v>
      </c>
      <c r="H5884" s="39">
        <f t="shared" si="364"/>
        <v>9998</v>
      </c>
      <c r="I5884" s="23" t="str">
        <f t="shared" si="365"/>
        <v>Delhi</v>
      </c>
      <c r="J5884" s="23">
        <f>COUNTIFS(pg_transaction_cleaned!$O:$O,A5884,pg_transaction_cleaned!$F:$F,"CAPTURE")</f>
        <v>1</v>
      </c>
      <c r="K5884" s="39">
        <f>SUMIFS(pg_transaction_cleaned!$H:$H,pg_transaction_cleaned!$O:$O,A5884,pg_transaction_cleaned!$F:$F,"CAPTURE")</f>
        <v>9998</v>
      </c>
      <c r="L5884" s="23">
        <f>COUNTIFS(pg_transaction_cleaned!$O:$O,A5884,pg_transaction_cleaned!$F:$F,"REFUND")</f>
        <v>0</v>
      </c>
      <c r="M5884" s="39">
        <f>SUMIFS(pg_transaction_cleaned!$H:$H,pg_transaction_cleaned!$O:$O,A5884,pg_transaction_cleaned!$F:$F,"REFUND")</f>
        <v>0</v>
      </c>
      <c r="N5884" s="23" t="str">
        <f t="shared" si="366"/>
        <v>OK</v>
      </c>
      <c r="O5884" s="24">
        <f t="shared" si="367"/>
        <v>0</v>
      </c>
    </row>
    <row r="5885" spans="1:15" ht="15" customHeight="1" x14ac:dyDescent="0.3">
      <c r="A5885" s="23" t="s">
        <v>12169</v>
      </c>
      <c r="B5885" s="38">
        <v>46288</v>
      </c>
      <c r="C5885" s="23" t="s">
        <v>12170</v>
      </c>
      <c r="D5885" s="23" t="s">
        <v>93</v>
      </c>
      <c r="E5885" s="23" t="s">
        <v>75</v>
      </c>
      <c r="F5885" s="23" t="s">
        <v>1038</v>
      </c>
      <c r="G5885" s="23" t="s">
        <v>250</v>
      </c>
      <c r="H5885" s="39">
        <f t="shared" si="364"/>
        <v>3597</v>
      </c>
      <c r="I5885" s="23" t="str">
        <f t="shared" si="365"/>
        <v>Kolkata</v>
      </c>
      <c r="J5885" s="23">
        <f>COUNTIFS(pg_transaction_cleaned!$O:$O,A5885,pg_transaction_cleaned!$F:$F,"CAPTURE")</f>
        <v>1</v>
      </c>
      <c r="K5885" s="39">
        <f>SUMIFS(pg_transaction_cleaned!$H:$H,pg_transaction_cleaned!$O:$O,A5885,pg_transaction_cleaned!$F:$F,"CAPTURE")</f>
        <v>3597</v>
      </c>
      <c r="L5885" s="23">
        <f>COUNTIFS(pg_transaction_cleaned!$O:$O,A5885,pg_transaction_cleaned!$F:$F,"REFUND")</f>
        <v>0</v>
      </c>
      <c r="M5885" s="39">
        <f>SUMIFS(pg_transaction_cleaned!$H:$H,pg_transaction_cleaned!$O:$O,A5885,pg_transaction_cleaned!$F:$F,"REFUND")</f>
        <v>0</v>
      </c>
      <c r="N5885" s="23" t="str">
        <f t="shared" si="366"/>
        <v>OK</v>
      </c>
      <c r="O5885" s="24">
        <f t="shared" si="367"/>
        <v>0</v>
      </c>
    </row>
    <row r="5886" spans="1:15" ht="15" customHeight="1" x14ac:dyDescent="0.3">
      <c r="A5886" s="23" t="s">
        <v>12171</v>
      </c>
      <c r="B5886" s="38">
        <v>46288</v>
      </c>
      <c r="C5886" s="23" t="s">
        <v>2222</v>
      </c>
      <c r="D5886" s="23"/>
      <c r="E5886" s="23" t="s">
        <v>75</v>
      </c>
      <c r="F5886" s="23" t="s">
        <v>357</v>
      </c>
      <c r="G5886" s="23" t="s">
        <v>250</v>
      </c>
      <c r="H5886" s="39">
        <f t="shared" si="364"/>
        <v>1598</v>
      </c>
      <c r="I5886" s="23" t="str">
        <f t="shared" si="365"/>
        <v>Unknown</v>
      </c>
      <c r="J5886" s="23">
        <f>COUNTIFS(pg_transaction_cleaned!$O:$O,A5886,pg_transaction_cleaned!$F:$F,"CAPTURE")</f>
        <v>1</v>
      </c>
      <c r="K5886" s="39">
        <f>SUMIFS(pg_transaction_cleaned!$H:$H,pg_transaction_cleaned!$O:$O,A5886,pg_transaction_cleaned!$F:$F,"CAPTURE")</f>
        <v>1598</v>
      </c>
      <c r="L5886" s="23">
        <f>COUNTIFS(pg_transaction_cleaned!$O:$O,A5886,pg_transaction_cleaned!$F:$F,"REFUND")</f>
        <v>0</v>
      </c>
      <c r="M5886" s="39">
        <f>SUMIFS(pg_transaction_cleaned!$H:$H,pg_transaction_cleaned!$O:$O,A5886,pg_transaction_cleaned!$F:$F,"REFUND")</f>
        <v>0</v>
      </c>
      <c r="N5886" s="23" t="str">
        <f t="shared" si="366"/>
        <v>OK</v>
      </c>
      <c r="O5886" s="24">
        <f t="shared" si="367"/>
        <v>0</v>
      </c>
    </row>
    <row r="5887" spans="1:15" ht="15" customHeight="1" x14ac:dyDescent="0.3">
      <c r="A5887" s="23" t="s">
        <v>12172</v>
      </c>
      <c r="B5887" s="38">
        <v>46294</v>
      </c>
      <c r="C5887" s="23" t="s">
        <v>12173</v>
      </c>
      <c r="D5887" s="23" t="s">
        <v>95</v>
      </c>
      <c r="E5887" s="23" t="s">
        <v>75</v>
      </c>
      <c r="F5887" s="23" t="s">
        <v>553</v>
      </c>
      <c r="G5887" s="23" t="s">
        <v>250</v>
      </c>
      <c r="H5887" s="39">
        <f t="shared" si="364"/>
        <v>2798</v>
      </c>
      <c r="I5887" s="23" t="str">
        <f t="shared" si="365"/>
        <v>Bengaluru</v>
      </c>
      <c r="J5887" s="23">
        <f>COUNTIFS(pg_transaction_cleaned!$O:$O,A5887,pg_transaction_cleaned!$F:$F,"CAPTURE")</f>
        <v>1</v>
      </c>
      <c r="K5887" s="39">
        <f>SUMIFS(pg_transaction_cleaned!$H:$H,pg_transaction_cleaned!$O:$O,A5887,pg_transaction_cleaned!$F:$F,"CAPTURE")</f>
        <v>2798</v>
      </c>
      <c r="L5887" s="23">
        <f>COUNTIFS(pg_transaction_cleaned!$O:$O,A5887,pg_transaction_cleaned!$F:$F,"REFUND")</f>
        <v>0</v>
      </c>
      <c r="M5887" s="39">
        <f>SUMIFS(pg_transaction_cleaned!$H:$H,pg_transaction_cleaned!$O:$O,A5887,pg_transaction_cleaned!$F:$F,"REFUND")</f>
        <v>0</v>
      </c>
      <c r="N5887" s="23" t="str">
        <f t="shared" si="366"/>
        <v>OK</v>
      </c>
      <c r="O5887" s="24">
        <f t="shared" si="367"/>
        <v>0</v>
      </c>
    </row>
    <row r="5888" spans="1:15" ht="15" customHeight="1" x14ac:dyDescent="0.3">
      <c r="A5888" s="23" t="s">
        <v>12174</v>
      </c>
      <c r="B5888" s="38">
        <v>46272</v>
      </c>
      <c r="C5888" s="23" t="s">
        <v>12175</v>
      </c>
      <c r="D5888" s="23" t="s">
        <v>87</v>
      </c>
      <c r="E5888" s="23" t="s">
        <v>75</v>
      </c>
      <c r="F5888" s="23" t="s">
        <v>499</v>
      </c>
      <c r="G5888" s="23" t="s">
        <v>250</v>
      </c>
      <c r="H5888" s="39">
        <f t="shared" si="364"/>
        <v>5998</v>
      </c>
      <c r="I5888" s="23" t="str">
        <f t="shared" si="365"/>
        <v>Mumbai</v>
      </c>
      <c r="J5888" s="23">
        <f>COUNTIFS(pg_transaction_cleaned!$O:$O,A5888,pg_transaction_cleaned!$F:$F,"CAPTURE")</f>
        <v>1</v>
      </c>
      <c r="K5888" s="39">
        <f>SUMIFS(pg_transaction_cleaned!$H:$H,pg_transaction_cleaned!$O:$O,A5888,pg_transaction_cleaned!$F:$F,"CAPTURE")</f>
        <v>5998</v>
      </c>
      <c r="L5888" s="23">
        <f>COUNTIFS(pg_transaction_cleaned!$O:$O,A5888,pg_transaction_cleaned!$F:$F,"REFUND")</f>
        <v>0</v>
      </c>
      <c r="M5888" s="39">
        <f>SUMIFS(pg_transaction_cleaned!$H:$H,pg_transaction_cleaned!$O:$O,A5888,pg_transaction_cleaned!$F:$F,"REFUND")</f>
        <v>0</v>
      </c>
      <c r="N5888" s="23" t="str">
        <f t="shared" si="366"/>
        <v>OK</v>
      </c>
      <c r="O5888" s="24">
        <f t="shared" si="367"/>
        <v>0</v>
      </c>
    </row>
    <row r="5889" spans="1:15" ht="15" customHeight="1" x14ac:dyDescent="0.3">
      <c r="A5889" s="23" t="s">
        <v>12176</v>
      </c>
      <c r="B5889" s="38">
        <v>46294</v>
      </c>
      <c r="C5889" s="23" t="s">
        <v>12177</v>
      </c>
      <c r="D5889" s="23" t="s">
        <v>94</v>
      </c>
      <c r="E5889" s="23" t="s">
        <v>79</v>
      </c>
      <c r="F5889" s="23" t="s">
        <v>396</v>
      </c>
      <c r="G5889" s="23" t="s">
        <v>250</v>
      </c>
      <c r="H5889" s="39">
        <f t="shared" si="364"/>
        <v>2999</v>
      </c>
      <c r="I5889" s="23" t="str">
        <f t="shared" si="365"/>
        <v>Chennai</v>
      </c>
      <c r="J5889" s="23">
        <f>COUNTIFS(pg_transaction_cleaned!$O:$O,A5889,pg_transaction_cleaned!$F:$F,"CAPTURE")</f>
        <v>1</v>
      </c>
      <c r="K5889" s="39">
        <f>SUMIFS(pg_transaction_cleaned!$H:$H,pg_transaction_cleaned!$O:$O,A5889,pg_transaction_cleaned!$F:$F,"CAPTURE")</f>
        <v>2999</v>
      </c>
      <c r="L5889" s="23">
        <f>COUNTIFS(pg_transaction_cleaned!$O:$O,A5889,pg_transaction_cleaned!$F:$F,"REFUND")</f>
        <v>0</v>
      </c>
      <c r="M5889" s="39">
        <f>SUMIFS(pg_transaction_cleaned!$H:$H,pg_transaction_cleaned!$O:$O,A5889,pg_transaction_cleaned!$F:$F,"REFUND")</f>
        <v>0</v>
      </c>
      <c r="N5889" s="23" t="str">
        <f t="shared" si="366"/>
        <v>OK</v>
      </c>
      <c r="O5889" s="24">
        <f t="shared" si="367"/>
        <v>0</v>
      </c>
    </row>
    <row r="5890" spans="1:15" ht="15" customHeight="1" x14ac:dyDescent="0.3">
      <c r="A5890" s="23" t="s">
        <v>12178</v>
      </c>
      <c r="B5890" s="38">
        <v>46282</v>
      </c>
      <c r="C5890" s="23" t="s">
        <v>12179</v>
      </c>
      <c r="D5890" s="23" t="s">
        <v>92</v>
      </c>
      <c r="E5890" s="23" t="s">
        <v>77</v>
      </c>
      <c r="F5890" s="23" t="s">
        <v>2837</v>
      </c>
      <c r="G5890" s="23" t="s">
        <v>318</v>
      </c>
      <c r="H5890" s="39">
        <f t="shared" ref="H5890:H5953" si="368">VALUE(SUBSTITUTE(F5890,",",""))</f>
        <v>12297</v>
      </c>
      <c r="I5890" s="23" t="str">
        <f t="shared" ref="I5890:I5953" si="369">IF(TRIM(D5890)="","Unknown",TRIM(D5890))</f>
        <v>Hyderabad</v>
      </c>
      <c r="J5890" s="23">
        <f>COUNTIFS(pg_transaction_cleaned!$O:$O,A5890,pg_transaction_cleaned!$F:$F,"CAPTURE")</f>
        <v>0</v>
      </c>
      <c r="K5890" s="39">
        <f>SUMIFS(pg_transaction_cleaned!$H:$H,pg_transaction_cleaned!$O:$O,A5890,pg_transaction_cleaned!$F:$F,"CAPTURE")</f>
        <v>0</v>
      </c>
      <c r="L5890" s="23">
        <f>COUNTIFS(pg_transaction_cleaned!$O:$O,A5890,pg_transaction_cleaned!$F:$F,"REFUND")</f>
        <v>0</v>
      </c>
      <c r="M5890" s="39">
        <f>SUMIFS(pg_transaction_cleaned!$H:$H,pg_transaction_cleaned!$O:$O,A5890,pg_transaction_cleaned!$F:$F,"REFUND")</f>
        <v>0</v>
      </c>
      <c r="N5890" s="23" t="str">
        <f t="shared" ref="N5890:N5953" si="370">IF(AND(G5890="Paid",J5890=0),"Paid, no payment",IF(AND(OR(G5890="Failed",G5890="Cancelled"),J5890&gt;0),"Payment on failed/cancelled",IF(J5890&gt;1,"Duplicate charge",IF(AND(J5890=1,ROUND(K5890-H5890,2)&lt;&gt;0),"Amount difference",IF(AND(G5890="Refunded",L5890=0),"Refunded, no refund",IF(AND(G5890&lt;&gt;"Refunded",L5890&gt;0),"Refund, order not Refunded",IF(AND(L5890&gt;0,ROUND(M5890-H5890,2)&lt;&gt;0),"Refund amount differs","OK")))))))</f>
        <v>OK</v>
      </c>
      <c r="O5890" s="24">
        <f t="shared" ref="O5890:O5953" si="371">IF(N5890="OK",0,IF(N5890="Paid, no payment",H5890,IF(N5890="Payment on failed/cancelled",K5890,IF(OR(N5890="Duplicate charge",N5890="Amount difference"),K5890-H5890,IF(N5890="Refunded, no refund",H5890,M5890)))))</f>
        <v>0</v>
      </c>
    </row>
    <row r="5891" spans="1:15" ht="15" customHeight="1" x14ac:dyDescent="0.3">
      <c r="A5891" s="23" t="s">
        <v>12180</v>
      </c>
      <c r="B5891" s="38">
        <v>46278</v>
      </c>
      <c r="C5891" s="23" t="s">
        <v>12181</v>
      </c>
      <c r="D5891" s="23" t="s">
        <v>92</v>
      </c>
      <c r="E5891" s="23" t="s">
        <v>75</v>
      </c>
      <c r="F5891" s="23" t="s">
        <v>294</v>
      </c>
      <c r="G5891" s="23" t="s">
        <v>250</v>
      </c>
      <c r="H5891" s="39">
        <f t="shared" si="368"/>
        <v>1799</v>
      </c>
      <c r="I5891" s="23" t="str">
        <f t="shared" si="369"/>
        <v>Hyderabad</v>
      </c>
      <c r="J5891" s="23">
        <f>COUNTIFS(pg_transaction_cleaned!$O:$O,A5891,pg_transaction_cleaned!$F:$F,"CAPTURE")</f>
        <v>1</v>
      </c>
      <c r="K5891" s="39">
        <f>SUMIFS(pg_transaction_cleaned!$H:$H,pg_transaction_cleaned!$O:$O,A5891,pg_transaction_cleaned!$F:$F,"CAPTURE")</f>
        <v>1799</v>
      </c>
      <c r="L5891" s="23">
        <f>COUNTIFS(pg_transaction_cleaned!$O:$O,A5891,pg_transaction_cleaned!$F:$F,"REFUND")</f>
        <v>0</v>
      </c>
      <c r="M5891" s="39">
        <f>SUMIFS(pg_transaction_cleaned!$H:$H,pg_transaction_cleaned!$O:$O,A5891,pg_transaction_cleaned!$F:$F,"REFUND")</f>
        <v>0</v>
      </c>
      <c r="N5891" s="23" t="str">
        <f t="shared" si="370"/>
        <v>OK</v>
      </c>
      <c r="O5891" s="24">
        <f t="shared" si="371"/>
        <v>0</v>
      </c>
    </row>
    <row r="5892" spans="1:15" ht="15" customHeight="1" x14ac:dyDescent="0.3">
      <c r="A5892" s="23" t="s">
        <v>12182</v>
      </c>
      <c r="B5892" s="38">
        <v>46280</v>
      </c>
      <c r="C5892" s="23" t="s">
        <v>12183</v>
      </c>
      <c r="D5892" s="23" t="s">
        <v>95</v>
      </c>
      <c r="E5892" s="23" t="s">
        <v>75</v>
      </c>
      <c r="F5892" s="23" t="s">
        <v>2212</v>
      </c>
      <c r="G5892" s="23" t="s">
        <v>250</v>
      </c>
      <c r="H5892" s="39">
        <f t="shared" si="368"/>
        <v>1697</v>
      </c>
      <c r="I5892" s="23" t="str">
        <f t="shared" si="369"/>
        <v>Bengaluru</v>
      </c>
      <c r="J5892" s="23">
        <f>COUNTIFS(pg_transaction_cleaned!$O:$O,A5892,pg_transaction_cleaned!$F:$F,"CAPTURE")</f>
        <v>1</v>
      </c>
      <c r="K5892" s="39">
        <f>SUMIFS(pg_transaction_cleaned!$H:$H,pg_transaction_cleaned!$O:$O,A5892,pg_transaction_cleaned!$F:$F,"CAPTURE")</f>
        <v>1697</v>
      </c>
      <c r="L5892" s="23">
        <f>COUNTIFS(pg_transaction_cleaned!$O:$O,A5892,pg_transaction_cleaned!$F:$F,"REFUND")</f>
        <v>0</v>
      </c>
      <c r="M5892" s="39">
        <f>SUMIFS(pg_transaction_cleaned!$H:$H,pg_transaction_cleaned!$O:$O,A5892,pg_transaction_cleaned!$F:$F,"REFUND")</f>
        <v>0</v>
      </c>
      <c r="N5892" s="23" t="str">
        <f t="shared" si="370"/>
        <v>OK</v>
      </c>
      <c r="O5892" s="24">
        <f t="shared" si="371"/>
        <v>0</v>
      </c>
    </row>
    <row r="5893" spans="1:15" ht="15" customHeight="1" x14ac:dyDescent="0.3">
      <c r="A5893" s="23" t="s">
        <v>12184</v>
      </c>
      <c r="B5893" s="38">
        <v>46271</v>
      </c>
      <c r="C5893" s="23" t="s">
        <v>12185</v>
      </c>
      <c r="D5893" s="23" t="s">
        <v>93</v>
      </c>
      <c r="E5893" s="23" t="s">
        <v>79</v>
      </c>
      <c r="F5893" s="23" t="s">
        <v>3464</v>
      </c>
      <c r="G5893" s="23" t="s">
        <v>250</v>
      </c>
      <c r="H5893" s="39">
        <f t="shared" si="368"/>
        <v>10097</v>
      </c>
      <c r="I5893" s="23" t="str">
        <f t="shared" si="369"/>
        <v>Kolkata</v>
      </c>
      <c r="J5893" s="23">
        <f>COUNTIFS(pg_transaction_cleaned!$O:$O,A5893,pg_transaction_cleaned!$F:$F,"CAPTURE")</f>
        <v>0</v>
      </c>
      <c r="K5893" s="39">
        <f>SUMIFS(pg_transaction_cleaned!$H:$H,pg_transaction_cleaned!$O:$O,A5893,pg_transaction_cleaned!$F:$F,"CAPTURE")</f>
        <v>0</v>
      </c>
      <c r="L5893" s="23">
        <f>COUNTIFS(pg_transaction_cleaned!$O:$O,A5893,pg_transaction_cleaned!$F:$F,"REFUND")</f>
        <v>0</v>
      </c>
      <c r="M5893" s="39">
        <f>SUMIFS(pg_transaction_cleaned!$H:$H,pg_transaction_cleaned!$O:$O,A5893,pg_transaction_cleaned!$F:$F,"REFUND")</f>
        <v>0</v>
      </c>
      <c r="N5893" s="23" t="str">
        <f t="shared" si="370"/>
        <v>Paid, no payment</v>
      </c>
      <c r="O5893" s="24">
        <f t="shared" si="371"/>
        <v>10097</v>
      </c>
    </row>
    <row r="5894" spans="1:15" ht="15" customHeight="1" x14ac:dyDescent="0.3">
      <c r="A5894" s="23" t="s">
        <v>12186</v>
      </c>
      <c r="B5894" s="38">
        <v>46293</v>
      </c>
      <c r="C5894" s="23" t="s">
        <v>12187</v>
      </c>
      <c r="D5894" s="23" t="s">
        <v>95</v>
      </c>
      <c r="E5894" s="23" t="s">
        <v>75</v>
      </c>
      <c r="F5894" s="23" t="s">
        <v>490</v>
      </c>
      <c r="G5894" s="23" t="s">
        <v>250</v>
      </c>
      <c r="H5894" s="39">
        <f t="shared" si="368"/>
        <v>8798</v>
      </c>
      <c r="I5894" s="23" t="str">
        <f t="shared" si="369"/>
        <v>Bengaluru</v>
      </c>
      <c r="J5894" s="23">
        <f>COUNTIFS(pg_transaction_cleaned!$O:$O,A5894,pg_transaction_cleaned!$F:$F,"CAPTURE")</f>
        <v>1</v>
      </c>
      <c r="K5894" s="39">
        <f>SUMIFS(pg_transaction_cleaned!$H:$H,pg_transaction_cleaned!$O:$O,A5894,pg_transaction_cleaned!$F:$F,"CAPTURE")</f>
        <v>8798</v>
      </c>
      <c r="L5894" s="23">
        <f>COUNTIFS(pg_transaction_cleaned!$O:$O,A5894,pg_transaction_cleaned!$F:$F,"REFUND")</f>
        <v>0</v>
      </c>
      <c r="M5894" s="39">
        <f>SUMIFS(pg_transaction_cleaned!$H:$H,pg_transaction_cleaned!$O:$O,A5894,pg_transaction_cleaned!$F:$F,"REFUND")</f>
        <v>0</v>
      </c>
      <c r="N5894" s="23" t="str">
        <f t="shared" si="370"/>
        <v>OK</v>
      </c>
      <c r="O5894" s="24">
        <f t="shared" si="371"/>
        <v>0</v>
      </c>
    </row>
    <row r="5895" spans="1:15" ht="15" customHeight="1" x14ac:dyDescent="0.3">
      <c r="A5895" s="23" t="s">
        <v>12188</v>
      </c>
      <c r="B5895" s="38">
        <v>46276</v>
      </c>
      <c r="C5895" s="23" t="s">
        <v>12189</v>
      </c>
      <c r="D5895" s="23" t="s">
        <v>89</v>
      </c>
      <c r="E5895" s="23" t="s">
        <v>75</v>
      </c>
      <c r="F5895" s="23" t="s">
        <v>315</v>
      </c>
      <c r="G5895" s="23" t="s">
        <v>250</v>
      </c>
      <c r="H5895" s="39">
        <f t="shared" si="368"/>
        <v>1499</v>
      </c>
      <c r="I5895" s="23" t="str">
        <f t="shared" si="369"/>
        <v>Jaipur</v>
      </c>
      <c r="J5895" s="23">
        <f>COUNTIFS(pg_transaction_cleaned!$O:$O,A5895,pg_transaction_cleaned!$F:$F,"CAPTURE")</f>
        <v>1</v>
      </c>
      <c r="K5895" s="39">
        <f>SUMIFS(pg_transaction_cleaned!$H:$H,pg_transaction_cleaned!$O:$O,A5895,pg_transaction_cleaned!$F:$F,"CAPTURE")</f>
        <v>1499</v>
      </c>
      <c r="L5895" s="23">
        <f>COUNTIFS(pg_transaction_cleaned!$O:$O,A5895,pg_transaction_cleaned!$F:$F,"REFUND")</f>
        <v>0</v>
      </c>
      <c r="M5895" s="39">
        <f>SUMIFS(pg_transaction_cleaned!$H:$H,pg_transaction_cleaned!$O:$O,A5895,pg_transaction_cleaned!$F:$F,"REFUND")</f>
        <v>0</v>
      </c>
      <c r="N5895" s="23" t="str">
        <f t="shared" si="370"/>
        <v>OK</v>
      </c>
      <c r="O5895" s="24">
        <f t="shared" si="371"/>
        <v>0</v>
      </c>
    </row>
    <row r="5896" spans="1:15" ht="15" customHeight="1" x14ac:dyDescent="0.3">
      <c r="A5896" s="23" t="s">
        <v>12190</v>
      </c>
      <c r="B5896" s="38">
        <v>46277</v>
      </c>
      <c r="C5896" s="23" t="s">
        <v>12191</v>
      </c>
      <c r="D5896" s="23" t="s">
        <v>88</v>
      </c>
      <c r="E5896" s="23" t="s">
        <v>77</v>
      </c>
      <c r="F5896" s="23" t="s">
        <v>297</v>
      </c>
      <c r="G5896" s="23" t="s">
        <v>250</v>
      </c>
      <c r="H5896" s="39">
        <f t="shared" si="368"/>
        <v>4999</v>
      </c>
      <c r="I5896" s="23" t="str">
        <f t="shared" si="369"/>
        <v>Lucknow</v>
      </c>
      <c r="J5896" s="23">
        <f>COUNTIFS(pg_transaction_cleaned!$O:$O,A5896,pg_transaction_cleaned!$F:$F,"CAPTURE")</f>
        <v>1</v>
      </c>
      <c r="K5896" s="39">
        <f>SUMIFS(pg_transaction_cleaned!$H:$H,pg_transaction_cleaned!$O:$O,A5896,pg_transaction_cleaned!$F:$F,"CAPTURE")</f>
        <v>4999</v>
      </c>
      <c r="L5896" s="23">
        <f>COUNTIFS(pg_transaction_cleaned!$O:$O,A5896,pg_transaction_cleaned!$F:$F,"REFUND")</f>
        <v>0</v>
      </c>
      <c r="M5896" s="39">
        <f>SUMIFS(pg_transaction_cleaned!$H:$H,pg_transaction_cleaned!$O:$O,A5896,pg_transaction_cleaned!$F:$F,"REFUND")</f>
        <v>0</v>
      </c>
      <c r="N5896" s="23" t="str">
        <f t="shared" si="370"/>
        <v>OK</v>
      </c>
      <c r="O5896" s="24">
        <f t="shared" si="371"/>
        <v>0</v>
      </c>
    </row>
    <row r="5897" spans="1:15" ht="15" customHeight="1" x14ac:dyDescent="0.3">
      <c r="A5897" s="23" t="s">
        <v>12192</v>
      </c>
      <c r="B5897" s="38">
        <v>46287</v>
      </c>
      <c r="C5897" s="23" t="s">
        <v>12193</v>
      </c>
      <c r="D5897" s="23" t="s">
        <v>93</v>
      </c>
      <c r="E5897" s="23" t="s">
        <v>75</v>
      </c>
      <c r="F5897" s="23" t="s">
        <v>346</v>
      </c>
      <c r="G5897" s="23" t="s">
        <v>250</v>
      </c>
      <c r="H5897" s="39">
        <f t="shared" si="368"/>
        <v>4498</v>
      </c>
      <c r="I5897" s="23" t="str">
        <f t="shared" si="369"/>
        <v>Kolkata</v>
      </c>
      <c r="J5897" s="23">
        <f>COUNTIFS(pg_transaction_cleaned!$O:$O,A5897,pg_transaction_cleaned!$F:$F,"CAPTURE")</f>
        <v>1</v>
      </c>
      <c r="K5897" s="39">
        <f>SUMIFS(pg_transaction_cleaned!$H:$H,pg_transaction_cleaned!$O:$O,A5897,pg_transaction_cleaned!$F:$F,"CAPTURE")</f>
        <v>4498</v>
      </c>
      <c r="L5897" s="23">
        <f>COUNTIFS(pg_transaction_cleaned!$O:$O,A5897,pg_transaction_cleaned!$F:$F,"REFUND")</f>
        <v>0</v>
      </c>
      <c r="M5897" s="39">
        <f>SUMIFS(pg_transaction_cleaned!$H:$H,pg_transaction_cleaned!$O:$O,A5897,pg_transaction_cleaned!$F:$F,"REFUND")</f>
        <v>0</v>
      </c>
      <c r="N5897" s="23" t="str">
        <f t="shared" si="370"/>
        <v>OK</v>
      </c>
      <c r="O5897" s="24">
        <f t="shared" si="371"/>
        <v>0</v>
      </c>
    </row>
    <row r="5898" spans="1:15" ht="15" customHeight="1" x14ac:dyDescent="0.3">
      <c r="A5898" s="23" t="s">
        <v>12194</v>
      </c>
      <c r="B5898" s="38">
        <v>46276</v>
      </c>
      <c r="C5898" s="23" t="s">
        <v>12195</v>
      </c>
      <c r="D5898" s="23" t="s">
        <v>95</v>
      </c>
      <c r="E5898" s="23" t="s">
        <v>79</v>
      </c>
      <c r="F5898" s="23" t="s">
        <v>1804</v>
      </c>
      <c r="G5898" s="23" t="s">
        <v>250</v>
      </c>
      <c r="H5898" s="39">
        <f t="shared" si="368"/>
        <v>598</v>
      </c>
      <c r="I5898" s="23" t="str">
        <f t="shared" si="369"/>
        <v>Bengaluru</v>
      </c>
      <c r="J5898" s="23">
        <f>COUNTIFS(pg_transaction_cleaned!$O:$O,A5898,pg_transaction_cleaned!$F:$F,"CAPTURE")</f>
        <v>1</v>
      </c>
      <c r="K5898" s="39">
        <f>SUMIFS(pg_transaction_cleaned!$H:$H,pg_transaction_cleaned!$O:$O,A5898,pg_transaction_cleaned!$F:$F,"CAPTURE")</f>
        <v>598</v>
      </c>
      <c r="L5898" s="23">
        <f>COUNTIFS(pg_transaction_cleaned!$O:$O,A5898,pg_transaction_cleaned!$F:$F,"REFUND")</f>
        <v>0</v>
      </c>
      <c r="M5898" s="39">
        <f>SUMIFS(pg_transaction_cleaned!$H:$H,pg_transaction_cleaned!$O:$O,A5898,pg_transaction_cleaned!$F:$F,"REFUND")</f>
        <v>0</v>
      </c>
      <c r="N5898" s="23" t="str">
        <f t="shared" si="370"/>
        <v>OK</v>
      </c>
      <c r="O5898" s="24">
        <f t="shared" si="371"/>
        <v>0</v>
      </c>
    </row>
    <row r="5899" spans="1:15" ht="15" customHeight="1" x14ac:dyDescent="0.3">
      <c r="A5899" s="23" t="s">
        <v>12196</v>
      </c>
      <c r="B5899" s="38">
        <v>46280</v>
      </c>
      <c r="C5899" s="23" t="s">
        <v>12197</v>
      </c>
      <c r="D5899" s="23" t="s">
        <v>89</v>
      </c>
      <c r="E5899" s="23" t="s">
        <v>75</v>
      </c>
      <c r="F5899" s="23" t="s">
        <v>3224</v>
      </c>
      <c r="G5899" s="23" t="s">
        <v>250</v>
      </c>
      <c r="H5899" s="39">
        <f t="shared" si="368"/>
        <v>1997</v>
      </c>
      <c r="I5899" s="23" t="str">
        <f t="shared" si="369"/>
        <v>Jaipur</v>
      </c>
      <c r="J5899" s="23">
        <f>COUNTIFS(pg_transaction_cleaned!$O:$O,A5899,pg_transaction_cleaned!$F:$F,"CAPTURE")</f>
        <v>1</v>
      </c>
      <c r="K5899" s="39">
        <f>SUMIFS(pg_transaction_cleaned!$H:$H,pg_transaction_cleaned!$O:$O,A5899,pg_transaction_cleaned!$F:$F,"CAPTURE")</f>
        <v>1997</v>
      </c>
      <c r="L5899" s="23">
        <f>COUNTIFS(pg_transaction_cleaned!$O:$O,A5899,pg_transaction_cleaned!$F:$F,"REFUND")</f>
        <v>0</v>
      </c>
      <c r="M5899" s="39">
        <f>SUMIFS(pg_transaction_cleaned!$H:$H,pg_transaction_cleaned!$O:$O,A5899,pg_transaction_cleaned!$F:$F,"REFUND")</f>
        <v>0</v>
      </c>
      <c r="N5899" s="23" t="str">
        <f t="shared" si="370"/>
        <v>OK</v>
      </c>
      <c r="O5899" s="24">
        <f t="shared" si="371"/>
        <v>0</v>
      </c>
    </row>
    <row r="5900" spans="1:15" ht="15" customHeight="1" x14ac:dyDescent="0.3">
      <c r="A5900" s="23" t="s">
        <v>12198</v>
      </c>
      <c r="B5900" s="38">
        <v>46274</v>
      </c>
      <c r="C5900" s="23" t="s">
        <v>12199</v>
      </c>
      <c r="D5900" s="23" t="s">
        <v>94</v>
      </c>
      <c r="E5900" s="23" t="s">
        <v>75</v>
      </c>
      <c r="F5900" s="23" t="s">
        <v>5496</v>
      </c>
      <c r="G5900" s="23" t="s">
        <v>250</v>
      </c>
      <c r="H5900" s="39">
        <f t="shared" si="368"/>
        <v>1147</v>
      </c>
      <c r="I5900" s="23" t="str">
        <f t="shared" si="369"/>
        <v>Chennai</v>
      </c>
      <c r="J5900" s="23">
        <f>COUNTIFS(pg_transaction_cleaned!$O:$O,A5900,pg_transaction_cleaned!$F:$F,"CAPTURE")</f>
        <v>1</v>
      </c>
      <c r="K5900" s="39">
        <f>SUMIFS(pg_transaction_cleaned!$H:$H,pg_transaction_cleaned!$O:$O,A5900,pg_transaction_cleaned!$F:$F,"CAPTURE")</f>
        <v>1147</v>
      </c>
      <c r="L5900" s="23">
        <f>COUNTIFS(pg_transaction_cleaned!$O:$O,A5900,pg_transaction_cleaned!$F:$F,"REFUND")</f>
        <v>0</v>
      </c>
      <c r="M5900" s="39">
        <f>SUMIFS(pg_transaction_cleaned!$H:$H,pg_transaction_cleaned!$O:$O,A5900,pg_transaction_cleaned!$F:$F,"REFUND")</f>
        <v>0</v>
      </c>
      <c r="N5900" s="23" t="str">
        <f t="shared" si="370"/>
        <v>OK</v>
      </c>
      <c r="O5900" s="24">
        <f t="shared" si="371"/>
        <v>0</v>
      </c>
    </row>
    <row r="5901" spans="1:15" ht="15" customHeight="1" x14ac:dyDescent="0.3">
      <c r="A5901" s="23" t="s">
        <v>12200</v>
      </c>
      <c r="B5901" s="38">
        <v>46268</v>
      </c>
      <c r="C5901" s="23" t="s">
        <v>12201</v>
      </c>
      <c r="D5901" s="23" t="s">
        <v>95</v>
      </c>
      <c r="E5901" s="23" t="s">
        <v>79</v>
      </c>
      <c r="F5901" s="23" t="s">
        <v>1799</v>
      </c>
      <c r="G5901" s="23" t="s">
        <v>250</v>
      </c>
      <c r="H5901" s="39">
        <f t="shared" si="368"/>
        <v>2797</v>
      </c>
      <c r="I5901" s="23" t="str">
        <f t="shared" si="369"/>
        <v>Bengaluru</v>
      </c>
      <c r="J5901" s="23">
        <f>COUNTIFS(pg_transaction_cleaned!$O:$O,A5901,pg_transaction_cleaned!$F:$F,"CAPTURE")</f>
        <v>1</v>
      </c>
      <c r="K5901" s="39">
        <f>SUMIFS(pg_transaction_cleaned!$H:$H,pg_transaction_cleaned!$O:$O,A5901,pg_transaction_cleaned!$F:$F,"CAPTURE")</f>
        <v>2797</v>
      </c>
      <c r="L5901" s="23">
        <f>COUNTIFS(pg_transaction_cleaned!$O:$O,A5901,pg_transaction_cleaned!$F:$F,"REFUND")</f>
        <v>0</v>
      </c>
      <c r="M5901" s="39">
        <f>SUMIFS(pg_transaction_cleaned!$H:$H,pg_transaction_cleaned!$O:$O,A5901,pg_transaction_cleaned!$F:$F,"REFUND")</f>
        <v>0</v>
      </c>
      <c r="N5901" s="23" t="str">
        <f t="shared" si="370"/>
        <v>OK</v>
      </c>
      <c r="O5901" s="24">
        <f t="shared" si="371"/>
        <v>0</v>
      </c>
    </row>
    <row r="5902" spans="1:15" ht="15" customHeight="1" x14ac:dyDescent="0.3">
      <c r="A5902" s="23" t="s">
        <v>12202</v>
      </c>
      <c r="B5902" s="38">
        <v>46280</v>
      </c>
      <c r="C5902" s="23" t="s">
        <v>12203</v>
      </c>
      <c r="D5902" s="23" t="s">
        <v>92</v>
      </c>
      <c r="E5902" s="23" t="s">
        <v>75</v>
      </c>
      <c r="F5902" s="23" t="s">
        <v>1614</v>
      </c>
      <c r="G5902" s="23" t="s">
        <v>250</v>
      </c>
      <c r="H5902" s="39">
        <f t="shared" si="368"/>
        <v>2597</v>
      </c>
      <c r="I5902" s="23" t="str">
        <f t="shared" si="369"/>
        <v>Hyderabad</v>
      </c>
      <c r="J5902" s="23">
        <f>COUNTIFS(pg_transaction_cleaned!$O:$O,A5902,pg_transaction_cleaned!$F:$F,"CAPTURE")</f>
        <v>1</v>
      </c>
      <c r="K5902" s="39">
        <f>SUMIFS(pg_transaction_cleaned!$H:$H,pg_transaction_cleaned!$O:$O,A5902,pg_transaction_cleaned!$F:$F,"CAPTURE")</f>
        <v>2597</v>
      </c>
      <c r="L5902" s="23">
        <f>COUNTIFS(pg_transaction_cleaned!$O:$O,A5902,pg_transaction_cleaned!$F:$F,"REFUND")</f>
        <v>0</v>
      </c>
      <c r="M5902" s="39">
        <f>SUMIFS(pg_transaction_cleaned!$H:$H,pg_transaction_cleaned!$O:$O,A5902,pg_transaction_cleaned!$F:$F,"REFUND")</f>
        <v>0</v>
      </c>
      <c r="N5902" s="23" t="str">
        <f t="shared" si="370"/>
        <v>OK</v>
      </c>
      <c r="O5902" s="24">
        <f t="shared" si="371"/>
        <v>0</v>
      </c>
    </row>
    <row r="5903" spans="1:15" ht="15" customHeight="1" x14ac:dyDescent="0.3">
      <c r="A5903" s="23" t="s">
        <v>12204</v>
      </c>
      <c r="B5903" s="38">
        <v>46270</v>
      </c>
      <c r="C5903" s="23" t="s">
        <v>12205</v>
      </c>
      <c r="D5903" s="23" t="s">
        <v>87</v>
      </c>
      <c r="E5903" s="23" t="s">
        <v>79</v>
      </c>
      <c r="F5903" s="23" t="s">
        <v>1975</v>
      </c>
      <c r="G5903" s="23" t="s">
        <v>250</v>
      </c>
      <c r="H5903" s="39">
        <f t="shared" si="368"/>
        <v>1398</v>
      </c>
      <c r="I5903" s="23" t="str">
        <f t="shared" si="369"/>
        <v>Mumbai</v>
      </c>
      <c r="J5903" s="23">
        <f>COUNTIFS(pg_transaction_cleaned!$O:$O,A5903,pg_transaction_cleaned!$F:$F,"CAPTURE")</f>
        <v>1</v>
      </c>
      <c r="K5903" s="39">
        <f>SUMIFS(pg_transaction_cleaned!$H:$H,pg_transaction_cleaned!$O:$O,A5903,pg_transaction_cleaned!$F:$F,"CAPTURE")</f>
        <v>1398</v>
      </c>
      <c r="L5903" s="23">
        <f>COUNTIFS(pg_transaction_cleaned!$O:$O,A5903,pg_transaction_cleaned!$F:$F,"REFUND")</f>
        <v>0</v>
      </c>
      <c r="M5903" s="39">
        <f>SUMIFS(pg_transaction_cleaned!$H:$H,pg_transaction_cleaned!$O:$O,A5903,pg_transaction_cleaned!$F:$F,"REFUND")</f>
        <v>0</v>
      </c>
      <c r="N5903" s="23" t="str">
        <f t="shared" si="370"/>
        <v>OK</v>
      </c>
      <c r="O5903" s="24">
        <f t="shared" si="371"/>
        <v>0</v>
      </c>
    </row>
    <row r="5904" spans="1:15" ht="15" customHeight="1" x14ac:dyDescent="0.3">
      <c r="A5904" s="23" t="s">
        <v>12206</v>
      </c>
      <c r="B5904" s="38">
        <v>46283</v>
      </c>
      <c r="C5904" s="23" t="s">
        <v>12207</v>
      </c>
      <c r="D5904" s="23" t="s">
        <v>89</v>
      </c>
      <c r="E5904" s="23" t="s">
        <v>75</v>
      </c>
      <c r="F5904" s="23" t="s">
        <v>329</v>
      </c>
      <c r="G5904" s="23" t="s">
        <v>250</v>
      </c>
      <c r="H5904" s="39">
        <f t="shared" si="368"/>
        <v>599</v>
      </c>
      <c r="I5904" s="23" t="str">
        <f t="shared" si="369"/>
        <v>Jaipur</v>
      </c>
      <c r="J5904" s="23">
        <f>COUNTIFS(pg_transaction_cleaned!$O:$O,A5904,pg_transaction_cleaned!$F:$F,"CAPTURE")</f>
        <v>1</v>
      </c>
      <c r="K5904" s="39">
        <f>SUMIFS(pg_transaction_cleaned!$H:$H,pg_transaction_cleaned!$O:$O,A5904,pg_transaction_cleaned!$F:$F,"CAPTURE")</f>
        <v>599</v>
      </c>
      <c r="L5904" s="23">
        <f>COUNTIFS(pg_transaction_cleaned!$O:$O,A5904,pg_transaction_cleaned!$F:$F,"REFUND")</f>
        <v>0</v>
      </c>
      <c r="M5904" s="39">
        <f>SUMIFS(pg_transaction_cleaned!$H:$H,pg_transaction_cleaned!$O:$O,A5904,pg_transaction_cleaned!$F:$F,"REFUND")</f>
        <v>0</v>
      </c>
      <c r="N5904" s="23" t="str">
        <f t="shared" si="370"/>
        <v>OK</v>
      </c>
      <c r="O5904" s="24">
        <f t="shared" si="371"/>
        <v>0</v>
      </c>
    </row>
    <row r="5905" spans="1:15" ht="15" customHeight="1" x14ac:dyDescent="0.3">
      <c r="A5905" s="23" t="s">
        <v>12208</v>
      </c>
      <c r="B5905" s="38">
        <v>46270</v>
      </c>
      <c r="C5905" s="23" t="s">
        <v>12209</v>
      </c>
      <c r="D5905" s="23" t="s">
        <v>86</v>
      </c>
      <c r="E5905" s="23" t="s">
        <v>75</v>
      </c>
      <c r="F5905" s="23" t="s">
        <v>249</v>
      </c>
      <c r="G5905" s="23" t="s">
        <v>250</v>
      </c>
      <c r="H5905" s="39">
        <f t="shared" si="368"/>
        <v>299</v>
      </c>
      <c r="I5905" s="23" t="str">
        <f t="shared" si="369"/>
        <v>Delhi</v>
      </c>
      <c r="J5905" s="23">
        <f>COUNTIFS(pg_transaction_cleaned!$O:$O,A5905,pg_transaction_cleaned!$F:$F,"CAPTURE")</f>
        <v>1</v>
      </c>
      <c r="K5905" s="39">
        <f>SUMIFS(pg_transaction_cleaned!$H:$H,pg_transaction_cleaned!$O:$O,A5905,pg_transaction_cleaned!$F:$F,"CAPTURE")</f>
        <v>299</v>
      </c>
      <c r="L5905" s="23">
        <f>COUNTIFS(pg_transaction_cleaned!$O:$O,A5905,pg_transaction_cleaned!$F:$F,"REFUND")</f>
        <v>0</v>
      </c>
      <c r="M5905" s="39">
        <f>SUMIFS(pg_transaction_cleaned!$H:$H,pg_transaction_cleaned!$O:$O,A5905,pg_transaction_cleaned!$F:$F,"REFUND")</f>
        <v>0</v>
      </c>
      <c r="N5905" s="23" t="str">
        <f t="shared" si="370"/>
        <v>OK</v>
      </c>
      <c r="O5905" s="24">
        <f t="shared" si="371"/>
        <v>0</v>
      </c>
    </row>
    <row r="5906" spans="1:15" ht="15" customHeight="1" x14ac:dyDescent="0.3">
      <c r="A5906" s="23" t="s">
        <v>12210</v>
      </c>
      <c r="B5906" s="38">
        <v>46275</v>
      </c>
      <c r="C5906" s="23" t="s">
        <v>12211</v>
      </c>
      <c r="D5906" s="23" t="s">
        <v>91</v>
      </c>
      <c r="E5906" s="23" t="s">
        <v>79</v>
      </c>
      <c r="F5906" s="23" t="s">
        <v>1038</v>
      </c>
      <c r="G5906" s="23" t="s">
        <v>250</v>
      </c>
      <c r="H5906" s="39">
        <f t="shared" si="368"/>
        <v>3597</v>
      </c>
      <c r="I5906" s="23" t="str">
        <f t="shared" si="369"/>
        <v>Pune</v>
      </c>
      <c r="J5906" s="23">
        <f>COUNTIFS(pg_transaction_cleaned!$O:$O,A5906,pg_transaction_cleaned!$F:$F,"CAPTURE")</f>
        <v>1</v>
      </c>
      <c r="K5906" s="39">
        <f>SUMIFS(pg_transaction_cleaned!$H:$H,pg_transaction_cleaned!$O:$O,A5906,pg_transaction_cleaned!$F:$F,"CAPTURE")</f>
        <v>3597</v>
      </c>
      <c r="L5906" s="23">
        <f>COUNTIFS(pg_transaction_cleaned!$O:$O,A5906,pg_transaction_cleaned!$F:$F,"REFUND")</f>
        <v>0</v>
      </c>
      <c r="M5906" s="39">
        <f>SUMIFS(pg_transaction_cleaned!$H:$H,pg_transaction_cleaned!$O:$O,A5906,pg_transaction_cleaned!$F:$F,"REFUND")</f>
        <v>0</v>
      </c>
      <c r="N5906" s="23" t="str">
        <f t="shared" si="370"/>
        <v>OK</v>
      </c>
      <c r="O5906" s="24">
        <f t="shared" si="371"/>
        <v>0</v>
      </c>
    </row>
    <row r="5907" spans="1:15" ht="15" customHeight="1" x14ac:dyDescent="0.3">
      <c r="A5907" s="23" t="s">
        <v>12212</v>
      </c>
      <c r="B5907" s="38">
        <v>46288</v>
      </c>
      <c r="C5907" s="23" t="s">
        <v>12213</v>
      </c>
      <c r="D5907" s="23" t="s">
        <v>87</v>
      </c>
      <c r="E5907" s="23" t="s">
        <v>75</v>
      </c>
      <c r="F5907" s="23" t="s">
        <v>1448</v>
      </c>
      <c r="G5907" s="23" t="s">
        <v>250</v>
      </c>
      <c r="H5907" s="39">
        <f t="shared" si="368"/>
        <v>6297</v>
      </c>
      <c r="I5907" s="23" t="str">
        <f t="shared" si="369"/>
        <v>Mumbai</v>
      </c>
      <c r="J5907" s="23">
        <f>COUNTIFS(pg_transaction_cleaned!$O:$O,A5907,pg_transaction_cleaned!$F:$F,"CAPTURE")</f>
        <v>1</v>
      </c>
      <c r="K5907" s="39">
        <f>SUMIFS(pg_transaction_cleaned!$H:$H,pg_transaction_cleaned!$O:$O,A5907,pg_transaction_cleaned!$F:$F,"CAPTURE")</f>
        <v>6297</v>
      </c>
      <c r="L5907" s="23">
        <f>COUNTIFS(pg_transaction_cleaned!$O:$O,A5907,pg_transaction_cleaned!$F:$F,"REFUND")</f>
        <v>0</v>
      </c>
      <c r="M5907" s="39">
        <f>SUMIFS(pg_transaction_cleaned!$H:$H,pg_transaction_cleaned!$O:$O,A5907,pg_transaction_cleaned!$F:$F,"REFUND")</f>
        <v>0</v>
      </c>
      <c r="N5907" s="23" t="str">
        <f t="shared" si="370"/>
        <v>OK</v>
      </c>
      <c r="O5907" s="24">
        <f t="shared" si="371"/>
        <v>0</v>
      </c>
    </row>
    <row r="5908" spans="1:15" ht="15" customHeight="1" x14ac:dyDescent="0.3">
      <c r="A5908" s="23" t="s">
        <v>12214</v>
      </c>
      <c r="B5908" s="38">
        <v>46280</v>
      </c>
      <c r="C5908" s="23" t="s">
        <v>12215</v>
      </c>
      <c r="D5908" s="23" t="s">
        <v>88</v>
      </c>
      <c r="E5908" s="23" t="s">
        <v>81</v>
      </c>
      <c r="F5908" s="23" t="s">
        <v>499</v>
      </c>
      <c r="G5908" s="23" t="s">
        <v>250</v>
      </c>
      <c r="H5908" s="39">
        <f t="shared" si="368"/>
        <v>5998</v>
      </c>
      <c r="I5908" s="23" t="str">
        <f t="shared" si="369"/>
        <v>Lucknow</v>
      </c>
      <c r="J5908" s="23">
        <f>COUNTIFS(pg_transaction_cleaned!$O:$O,A5908,pg_transaction_cleaned!$F:$F,"CAPTURE")</f>
        <v>1</v>
      </c>
      <c r="K5908" s="39">
        <f>SUMIFS(pg_transaction_cleaned!$H:$H,pg_transaction_cleaned!$O:$O,A5908,pg_transaction_cleaned!$F:$F,"CAPTURE")</f>
        <v>5998</v>
      </c>
      <c r="L5908" s="23">
        <f>COUNTIFS(pg_transaction_cleaned!$O:$O,A5908,pg_transaction_cleaned!$F:$F,"REFUND")</f>
        <v>0</v>
      </c>
      <c r="M5908" s="39">
        <f>SUMIFS(pg_transaction_cleaned!$H:$H,pg_transaction_cleaned!$O:$O,A5908,pg_transaction_cleaned!$F:$F,"REFUND")</f>
        <v>0</v>
      </c>
      <c r="N5908" s="23" t="str">
        <f t="shared" si="370"/>
        <v>OK</v>
      </c>
      <c r="O5908" s="24">
        <f t="shared" si="371"/>
        <v>0</v>
      </c>
    </row>
    <row r="5909" spans="1:15" ht="15" customHeight="1" x14ac:dyDescent="0.3">
      <c r="A5909" s="23" t="s">
        <v>12216</v>
      </c>
      <c r="B5909" s="38">
        <v>46267</v>
      </c>
      <c r="C5909" s="23" t="s">
        <v>12217</v>
      </c>
      <c r="D5909" s="23" t="s">
        <v>92</v>
      </c>
      <c r="E5909" s="23" t="s">
        <v>79</v>
      </c>
      <c r="F5909" s="23" t="s">
        <v>259</v>
      </c>
      <c r="G5909" s="23" t="s">
        <v>318</v>
      </c>
      <c r="H5909" s="39">
        <f t="shared" si="368"/>
        <v>3298</v>
      </c>
      <c r="I5909" s="23" t="str">
        <f t="shared" si="369"/>
        <v>Hyderabad</v>
      </c>
      <c r="J5909" s="23">
        <f>COUNTIFS(pg_transaction_cleaned!$O:$O,A5909,pg_transaction_cleaned!$F:$F,"CAPTURE")</f>
        <v>0</v>
      </c>
      <c r="K5909" s="39">
        <f>SUMIFS(pg_transaction_cleaned!$H:$H,pg_transaction_cleaned!$O:$O,A5909,pg_transaction_cleaned!$F:$F,"CAPTURE")</f>
        <v>0</v>
      </c>
      <c r="L5909" s="23">
        <f>COUNTIFS(pg_transaction_cleaned!$O:$O,A5909,pg_transaction_cleaned!$F:$F,"REFUND")</f>
        <v>0</v>
      </c>
      <c r="M5909" s="39">
        <f>SUMIFS(pg_transaction_cleaned!$H:$H,pg_transaction_cleaned!$O:$O,A5909,pg_transaction_cleaned!$F:$F,"REFUND")</f>
        <v>0</v>
      </c>
      <c r="N5909" s="23" t="str">
        <f t="shared" si="370"/>
        <v>OK</v>
      </c>
      <c r="O5909" s="24">
        <f t="shared" si="371"/>
        <v>0</v>
      </c>
    </row>
    <row r="5910" spans="1:15" ht="15" customHeight="1" x14ac:dyDescent="0.3">
      <c r="A5910" s="23" t="s">
        <v>12218</v>
      </c>
      <c r="B5910" s="38">
        <v>46290</v>
      </c>
      <c r="C5910" s="23" t="s">
        <v>12219</v>
      </c>
      <c r="D5910" s="23"/>
      <c r="E5910" s="23" t="s">
        <v>75</v>
      </c>
      <c r="F5910" s="23" t="s">
        <v>553</v>
      </c>
      <c r="G5910" s="23" t="s">
        <v>250</v>
      </c>
      <c r="H5910" s="39">
        <f t="shared" si="368"/>
        <v>2798</v>
      </c>
      <c r="I5910" s="23" t="str">
        <f t="shared" si="369"/>
        <v>Unknown</v>
      </c>
      <c r="J5910" s="23">
        <f>COUNTIFS(pg_transaction_cleaned!$O:$O,A5910,pg_transaction_cleaned!$F:$F,"CAPTURE")</f>
        <v>1</v>
      </c>
      <c r="K5910" s="39">
        <f>SUMIFS(pg_transaction_cleaned!$H:$H,pg_transaction_cleaned!$O:$O,A5910,pg_transaction_cleaned!$F:$F,"CAPTURE")</f>
        <v>2798</v>
      </c>
      <c r="L5910" s="23">
        <f>COUNTIFS(pg_transaction_cleaned!$O:$O,A5910,pg_transaction_cleaned!$F:$F,"REFUND")</f>
        <v>0</v>
      </c>
      <c r="M5910" s="39">
        <f>SUMIFS(pg_transaction_cleaned!$H:$H,pg_transaction_cleaned!$O:$O,A5910,pg_transaction_cleaned!$F:$F,"REFUND")</f>
        <v>0</v>
      </c>
      <c r="N5910" s="23" t="str">
        <f t="shared" si="370"/>
        <v>OK</v>
      </c>
      <c r="O5910" s="24">
        <f t="shared" si="371"/>
        <v>0</v>
      </c>
    </row>
    <row r="5911" spans="1:15" ht="15" customHeight="1" x14ac:dyDescent="0.3">
      <c r="A5911" s="23" t="s">
        <v>12220</v>
      </c>
      <c r="B5911" s="38">
        <v>46270</v>
      </c>
      <c r="C5911" s="23" t="s">
        <v>12221</v>
      </c>
      <c r="D5911" s="23" t="s">
        <v>88</v>
      </c>
      <c r="E5911" s="23" t="s">
        <v>77</v>
      </c>
      <c r="F5911" s="23" t="s">
        <v>475</v>
      </c>
      <c r="G5911" s="23" t="s">
        <v>250</v>
      </c>
      <c r="H5911" s="39">
        <f t="shared" si="368"/>
        <v>799</v>
      </c>
      <c r="I5911" s="23" t="str">
        <f t="shared" si="369"/>
        <v>Lucknow</v>
      </c>
      <c r="J5911" s="23">
        <f>COUNTIFS(pg_transaction_cleaned!$O:$O,A5911,pg_transaction_cleaned!$F:$F,"CAPTURE")</f>
        <v>1</v>
      </c>
      <c r="K5911" s="39">
        <f>SUMIFS(pg_transaction_cleaned!$H:$H,pg_transaction_cleaned!$O:$O,A5911,pg_transaction_cleaned!$F:$F,"CAPTURE")</f>
        <v>799</v>
      </c>
      <c r="L5911" s="23">
        <f>COUNTIFS(pg_transaction_cleaned!$O:$O,A5911,pg_transaction_cleaned!$F:$F,"REFUND")</f>
        <v>0</v>
      </c>
      <c r="M5911" s="39">
        <f>SUMIFS(pg_transaction_cleaned!$H:$H,pg_transaction_cleaned!$O:$O,A5911,pg_transaction_cleaned!$F:$F,"REFUND")</f>
        <v>0</v>
      </c>
      <c r="N5911" s="23" t="str">
        <f t="shared" si="370"/>
        <v>OK</v>
      </c>
      <c r="O5911" s="24">
        <f t="shared" si="371"/>
        <v>0</v>
      </c>
    </row>
    <row r="5912" spans="1:15" ht="15" customHeight="1" x14ac:dyDescent="0.3">
      <c r="A5912" s="23" t="s">
        <v>12222</v>
      </c>
      <c r="B5912" s="38">
        <v>46275</v>
      </c>
      <c r="C5912" s="23" t="s">
        <v>12223</v>
      </c>
      <c r="D5912" s="23" t="s">
        <v>88</v>
      </c>
      <c r="E5912" s="23" t="s">
        <v>81</v>
      </c>
      <c r="F5912" s="23" t="s">
        <v>5505</v>
      </c>
      <c r="G5912" s="23" t="s">
        <v>365</v>
      </c>
      <c r="H5912" s="39">
        <f t="shared" si="368"/>
        <v>3697</v>
      </c>
      <c r="I5912" s="23" t="str">
        <f t="shared" si="369"/>
        <v>Lucknow</v>
      </c>
      <c r="J5912" s="23">
        <f>COUNTIFS(pg_transaction_cleaned!$O:$O,A5912,pg_transaction_cleaned!$F:$F,"CAPTURE")</f>
        <v>0</v>
      </c>
      <c r="K5912" s="39">
        <f>SUMIFS(pg_transaction_cleaned!$H:$H,pg_transaction_cleaned!$O:$O,A5912,pg_transaction_cleaned!$F:$F,"CAPTURE")</f>
        <v>0</v>
      </c>
      <c r="L5912" s="23">
        <f>COUNTIFS(pg_transaction_cleaned!$O:$O,A5912,pg_transaction_cleaned!$F:$F,"REFUND")</f>
        <v>0</v>
      </c>
      <c r="M5912" s="39">
        <f>SUMIFS(pg_transaction_cleaned!$H:$H,pg_transaction_cleaned!$O:$O,A5912,pg_transaction_cleaned!$F:$F,"REFUND")</f>
        <v>0</v>
      </c>
      <c r="N5912" s="23" t="str">
        <f t="shared" si="370"/>
        <v>OK</v>
      </c>
      <c r="O5912" s="24">
        <f t="shared" si="371"/>
        <v>0</v>
      </c>
    </row>
    <row r="5913" spans="1:15" ht="15" customHeight="1" x14ac:dyDescent="0.3">
      <c r="A5913" s="23" t="s">
        <v>12224</v>
      </c>
      <c r="B5913" s="38">
        <v>46286</v>
      </c>
      <c r="C5913" s="23" t="s">
        <v>12225</v>
      </c>
      <c r="D5913" s="23" t="s">
        <v>94</v>
      </c>
      <c r="E5913" s="23" t="s">
        <v>75</v>
      </c>
      <c r="F5913" s="23" t="s">
        <v>329</v>
      </c>
      <c r="G5913" s="23" t="s">
        <v>250</v>
      </c>
      <c r="H5913" s="39">
        <f t="shared" si="368"/>
        <v>599</v>
      </c>
      <c r="I5913" s="23" t="str">
        <f t="shared" si="369"/>
        <v>Chennai</v>
      </c>
      <c r="J5913" s="23">
        <f>COUNTIFS(pg_transaction_cleaned!$O:$O,A5913,pg_transaction_cleaned!$F:$F,"CAPTURE")</f>
        <v>1</v>
      </c>
      <c r="K5913" s="39">
        <f>SUMIFS(pg_transaction_cleaned!$H:$H,pg_transaction_cleaned!$O:$O,A5913,pg_transaction_cleaned!$F:$F,"CAPTURE")</f>
        <v>599</v>
      </c>
      <c r="L5913" s="23">
        <f>COUNTIFS(pg_transaction_cleaned!$O:$O,A5913,pg_transaction_cleaned!$F:$F,"REFUND")</f>
        <v>0</v>
      </c>
      <c r="M5913" s="39">
        <f>SUMIFS(pg_transaction_cleaned!$H:$H,pg_transaction_cleaned!$O:$O,A5913,pg_transaction_cleaned!$F:$F,"REFUND")</f>
        <v>0</v>
      </c>
      <c r="N5913" s="23" t="str">
        <f t="shared" si="370"/>
        <v>OK</v>
      </c>
      <c r="O5913" s="24">
        <f t="shared" si="371"/>
        <v>0</v>
      </c>
    </row>
    <row r="5914" spans="1:15" ht="15" customHeight="1" x14ac:dyDescent="0.3">
      <c r="A5914" s="23" t="s">
        <v>12226</v>
      </c>
      <c r="B5914" s="38">
        <v>46294</v>
      </c>
      <c r="C5914" s="23" t="s">
        <v>12227</v>
      </c>
      <c r="D5914" s="23" t="s">
        <v>93</v>
      </c>
      <c r="E5914" s="23" t="s">
        <v>75</v>
      </c>
      <c r="F5914" s="23" t="s">
        <v>534</v>
      </c>
      <c r="G5914" s="23" t="s">
        <v>250</v>
      </c>
      <c r="H5914" s="39">
        <f t="shared" si="368"/>
        <v>3097</v>
      </c>
      <c r="I5914" s="23" t="str">
        <f t="shared" si="369"/>
        <v>Kolkata</v>
      </c>
      <c r="J5914" s="23">
        <f>COUNTIFS(pg_transaction_cleaned!$O:$O,A5914,pg_transaction_cleaned!$F:$F,"CAPTURE")</f>
        <v>1</v>
      </c>
      <c r="K5914" s="39">
        <f>SUMIFS(pg_transaction_cleaned!$H:$H,pg_transaction_cleaned!$O:$O,A5914,pg_transaction_cleaned!$F:$F,"CAPTURE")</f>
        <v>3097</v>
      </c>
      <c r="L5914" s="23">
        <f>COUNTIFS(pg_transaction_cleaned!$O:$O,A5914,pg_transaction_cleaned!$F:$F,"REFUND")</f>
        <v>0</v>
      </c>
      <c r="M5914" s="39">
        <f>SUMIFS(pg_transaction_cleaned!$H:$H,pg_transaction_cleaned!$O:$O,A5914,pg_transaction_cleaned!$F:$F,"REFUND")</f>
        <v>0</v>
      </c>
      <c r="N5914" s="23" t="str">
        <f t="shared" si="370"/>
        <v>OK</v>
      </c>
      <c r="O5914" s="24">
        <f t="shared" si="371"/>
        <v>0</v>
      </c>
    </row>
    <row r="5915" spans="1:15" ht="15" customHeight="1" x14ac:dyDescent="0.3">
      <c r="A5915" s="23" t="s">
        <v>12228</v>
      </c>
      <c r="B5915" s="38">
        <v>46271</v>
      </c>
      <c r="C5915" s="23" t="s">
        <v>12229</v>
      </c>
      <c r="D5915" s="23" t="s">
        <v>95</v>
      </c>
      <c r="E5915" s="23" t="s">
        <v>75</v>
      </c>
      <c r="F5915" s="23" t="s">
        <v>514</v>
      </c>
      <c r="G5915" s="23" t="s">
        <v>250</v>
      </c>
      <c r="H5915" s="39">
        <f t="shared" si="368"/>
        <v>6498</v>
      </c>
      <c r="I5915" s="23" t="str">
        <f t="shared" si="369"/>
        <v>Bengaluru</v>
      </c>
      <c r="J5915" s="23">
        <f>COUNTIFS(pg_transaction_cleaned!$O:$O,A5915,pg_transaction_cleaned!$F:$F,"CAPTURE")</f>
        <v>1</v>
      </c>
      <c r="K5915" s="39">
        <f>SUMIFS(pg_transaction_cleaned!$H:$H,pg_transaction_cleaned!$O:$O,A5915,pg_transaction_cleaned!$F:$F,"CAPTURE")</f>
        <v>6498</v>
      </c>
      <c r="L5915" s="23">
        <f>COUNTIFS(pg_transaction_cleaned!$O:$O,A5915,pg_transaction_cleaned!$F:$F,"REFUND")</f>
        <v>0</v>
      </c>
      <c r="M5915" s="39">
        <f>SUMIFS(pg_transaction_cleaned!$H:$H,pg_transaction_cleaned!$O:$O,A5915,pg_transaction_cleaned!$F:$F,"REFUND")</f>
        <v>0</v>
      </c>
      <c r="N5915" s="23" t="str">
        <f t="shared" si="370"/>
        <v>OK</v>
      </c>
      <c r="O5915" s="24">
        <f t="shared" si="371"/>
        <v>0</v>
      </c>
    </row>
    <row r="5916" spans="1:15" ht="15" customHeight="1" x14ac:dyDescent="0.3">
      <c r="A5916" s="23" t="s">
        <v>12230</v>
      </c>
      <c r="B5916" s="38">
        <v>46291</v>
      </c>
      <c r="C5916" s="23" t="s">
        <v>12231</v>
      </c>
      <c r="D5916" s="23" t="s">
        <v>95</v>
      </c>
      <c r="E5916" s="23" t="s">
        <v>81</v>
      </c>
      <c r="F5916" s="23" t="s">
        <v>265</v>
      </c>
      <c r="G5916" s="23" t="s">
        <v>250</v>
      </c>
      <c r="H5916" s="39">
        <f t="shared" si="368"/>
        <v>999</v>
      </c>
      <c r="I5916" s="23" t="str">
        <f t="shared" si="369"/>
        <v>Bengaluru</v>
      </c>
      <c r="J5916" s="23">
        <f>COUNTIFS(pg_transaction_cleaned!$O:$O,A5916,pg_transaction_cleaned!$F:$F,"CAPTURE")</f>
        <v>1</v>
      </c>
      <c r="K5916" s="39">
        <f>SUMIFS(pg_transaction_cleaned!$H:$H,pg_transaction_cleaned!$O:$O,A5916,pg_transaction_cleaned!$F:$F,"CAPTURE")</f>
        <v>999</v>
      </c>
      <c r="L5916" s="23">
        <f>COUNTIFS(pg_transaction_cleaned!$O:$O,A5916,pg_transaction_cleaned!$F:$F,"REFUND")</f>
        <v>0</v>
      </c>
      <c r="M5916" s="39">
        <f>SUMIFS(pg_transaction_cleaned!$H:$H,pg_transaction_cleaned!$O:$O,A5916,pg_transaction_cleaned!$F:$F,"REFUND")</f>
        <v>0</v>
      </c>
      <c r="N5916" s="23" t="str">
        <f t="shared" si="370"/>
        <v>OK</v>
      </c>
      <c r="O5916" s="24">
        <f t="shared" si="371"/>
        <v>0</v>
      </c>
    </row>
    <row r="5917" spans="1:15" ht="15" customHeight="1" x14ac:dyDescent="0.3">
      <c r="A5917" s="23" t="s">
        <v>12232</v>
      </c>
      <c r="B5917" s="38">
        <v>46286</v>
      </c>
      <c r="C5917" s="23" t="s">
        <v>12233</v>
      </c>
      <c r="D5917" s="23" t="s">
        <v>88</v>
      </c>
      <c r="E5917" s="23" t="s">
        <v>75</v>
      </c>
      <c r="F5917" s="23" t="s">
        <v>291</v>
      </c>
      <c r="G5917" s="23" t="s">
        <v>250</v>
      </c>
      <c r="H5917" s="39">
        <f t="shared" si="368"/>
        <v>3499</v>
      </c>
      <c r="I5917" s="23" t="str">
        <f t="shared" si="369"/>
        <v>Lucknow</v>
      </c>
      <c r="J5917" s="23">
        <f>COUNTIFS(pg_transaction_cleaned!$O:$O,A5917,pg_transaction_cleaned!$F:$F,"CAPTURE")</f>
        <v>1</v>
      </c>
      <c r="K5917" s="39">
        <f>SUMIFS(pg_transaction_cleaned!$H:$H,pg_transaction_cleaned!$O:$O,A5917,pg_transaction_cleaned!$F:$F,"CAPTURE")</f>
        <v>3499</v>
      </c>
      <c r="L5917" s="23">
        <f>COUNTIFS(pg_transaction_cleaned!$O:$O,A5917,pg_transaction_cleaned!$F:$F,"REFUND")</f>
        <v>0</v>
      </c>
      <c r="M5917" s="39">
        <f>SUMIFS(pg_transaction_cleaned!$H:$H,pg_transaction_cleaned!$O:$O,A5917,pg_transaction_cleaned!$F:$F,"REFUND")</f>
        <v>0</v>
      </c>
      <c r="N5917" s="23" t="str">
        <f t="shared" si="370"/>
        <v>OK</v>
      </c>
      <c r="O5917" s="24">
        <f t="shared" si="371"/>
        <v>0</v>
      </c>
    </row>
    <row r="5918" spans="1:15" ht="15" customHeight="1" x14ac:dyDescent="0.3">
      <c r="A5918" s="23" t="s">
        <v>12234</v>
      </c>
      <c r="B5918" s="38">
        <v>46288</v>
      </c>
      <c r="C5918" s="23" t="s">
        <v>12235</v>
      </c>
      <c r="D5918" s="23" t="s">
        <v>90</v>
      </c>
      <c r="E5918" s="23" t="s">
        <v>79</v>
      </c>
      <c r="F5918" s="23" t="s">
        <v>315</v>
      </c>
      <c r="G5918" s="23" t="s">
        <v>301</v>
      </c>
      <c r="H5918" s="39">
        <f t="shared" si="368"/>
        <v>1499</v>
      </c>
      <c r="I5918" s="23" t="str">
        <f t="shared" si="369"/>
        <v>Ahmedabad</v>
      </c>
      <c r="J5918" s="23">
        <f>COUNTIFS(pg_transaction_cleaned!$O:$O,A5918,pg_transaction_cleaned!$F:$F,"CAPTURE")</f>
        <v>1</v>
      </c>
      <c r="K5918" s="39">
        <f>SUMIFS(pg_transaction_cleaned!$H:$H,pg_transaction_cleaned!$O:$O,A5918,pg_transaction_cleaned!$F:$F,"CAPTURE")</f>
        <v>1499</v>
      </c>
      <c r="L5918" s="23">
        <f>COUNTIFS(pg_transaction_cleaned!$O:$O,A5918,pg_transaction_cleaned!$F:$F,"REFUND")</f>
        <v>0</v>
      </c>
      <c r="M5918" s="39">
        <f>SUMIFS(pg_transaction_cleaned!$H:$H,pg_transaction_cleaned!$O:$O,A5918,pg_transaction_cleaned!$F:$F,"REFUND")</f>
        <v>0</v>
      </c>
      <c r="N5918" s="23" t="str">
        <f t="shared" si="370"/>
        <v>Refunded, no refund</v>
      </c>
      <c r="O5918" s="24">
        <f t="shared" si="371"/>
        <v>1499</v>
      </c>
    </row>
    <row r="5919" spans="1:15" ht="15" customHeight="1" x14ac:dyDescent="0.3">
      <c r="A5919" s="23" t="s">
        <v>12236</v>
      </c>
      <c r="B5919" s="38">
        <v>46271</v>
      </c>
      <c r="C5919" s="23" t="s">
        <v>12237</v>
      </c>
      <c r="D5919" s="23" t="s">
        <v>92</v>
      </c>
      <c r="E5919" s="23" t="s">
        <v>75</v>
      </c>
      <c r="F5919" s="23" t="s">
        <v>297</v>
      </c>
      <c r="G5919" s="23" t="s">
        <v>250</v>
      </c>
      <c r="H5919" s="39">
        <f t="shared" si="368"/>
        <v>4999</v>
      </c>
      <c r="I5919" s="23" t="str">
        <f t="shared" si="369"/>
        <v>Hyderabad</v>
      </c>
      <c r="J5919" s="23">
        <f>COUNTIFS(pg_transaction_cleaned!$O:$O,A5919,pg_transaction_cleaned!$F:$F,"CAPTURE")</f>
        <v>1</v>
      </c>
      <c r="K5919" s="39">
        <f>SUMIFS(pg_transaction_cleaned!$H:$H,pg_transaction_cleaned!$O:$O,A5919,pg_transaction_cleaned!$F:$F,"CAPTURE")</f>
        <v>4999</v>
      </c>
      <c r="L5919" s="23">
        <f>COUNTIFS(pg_transaction_cleaned!$O:$O,A5919,pg_transaction_cleaned!$F:$F,"REFUND")</f>
        <v>0</v>
      </c>
      <c r="M5919" s="39">
        <f>SUMIFS(pg_transaction_cleaned!$H:$H,pg_transaction_cleaned!$O:$O,A5919,pg_transaction_cleaned!$F:$F,"REFUND")</f>
        <v>0</v>
      </c>
      <c r="N5919" s="23" t="str">
        <f t="shared" si="370"/>
        <v>OK</v>
      </c>
      <c r="O5919" s="24">
        <f t="shared" si="371"/>
        <v>0</v>
      </c>
    </row>
    <row r="5920" spans="1:15" ht="15" customHeight="1" x14ac:dyDescent="0.3">
      <c r="A5920" s="23" t="s">
        <v>12238</v>
      </c>
      <c r="B5920" s="38">
        <v>46294</v>
      </c>
      <c r="C5920" s="23" t="s">
        <v>12239</v>
      </c>
      <c r="D5920" s="23" t="s">
        <v>88</v>
      </c>
      <c r="E5920" s="23" t="s">
        <v>75</v>
      </c>
      <c r="F5920" s="23" t="s">
        <v>300</v>
      </c>
      <c r="G5920" s="23" t="s">
        <v>250</v>
      </c>
      <c r="H5920" s="39">
        <f t="shared" si="368"/>
        <v>2598</v>
      </c>
      <c r="I5920" s="23" t="str">
        <f t="shared" si="369"/>
        <v>Lucknow</v>
      </c>
      <c r="J5920" s="23">
        <f>COUNTIFS(pg_transaction_cleaned!$O:$O,A5920,pg_transaction_cleaned!$F:$F,"CAPTURE")</f>
        <v>1</v>
      </c>
      <c r="K5920" s="39">
        <f>SUMIFS(pg_transaction_cleaned!$H:$H,pg_transaction_cleaned!$O:$O,A5920,pg_transaction_cleaned!$F:$F,"CAPTURE")</f>
        <v>2598</v>
      </c>
      <c r="L5920" s="23">
        <f>COUNTIFS(pg_transaction_cleaned!$O:$O,A5920,pg_transaction_cleaned!$F:$F,"REFUND")</f>
        <v>0</v>
      </c>
      <c r="M5920" s="39">
        <f>SUMIFS(pg_transaction_cleaned!$H:$H,pg_transaction_cleaned!$O:$O,A5920,pg_transaction_cleaned!$F:$F,"REFUND")</f>
        <v>0</v>
      </c>
      <c r="N5920" s="23" t="str">
        <f t="shared" si="370"/>
        <v>OK</v>
      </c>
      <c r="O5920" s="24">
        <f t="shared" si="371"/>
        <v>0</v>
      </c>
    </row>
    <row r="5921" spans="1:15" ht="15" customHeight="1" x14ac:dyDescent="0.3">
      <c r="A5921" s="23" t="s">
        <v>12240</v>
      </c>
      <c r="B5921" s="38">
        <v>46289</v>
      </c>
      <c r="C5921" s="23" t="s">
        <v>12241</v>
      </c>
      <c r="D5921" s="23" t="s">
        <v>93</v>
      </c>
      <c r="E5921" s="23" t="s">
        <v>75</v>
      </c>
      <c r="F5921" s="23" t="s">
        <v>4862</v>
      </c>
      <c r="G5921" s="23" t="s">
        <v>250</v>
      </c>
      <c r="H5921" s="39">
        <f t="shared" si="368"/>
        <v>3447</v>
      </c>
      <c r="I5921" s="23" t="str">
        <f t="shared" si="369"/>
        <v>Kolkata</v>
      </c>
      <c r="J5921" s="23">
        <f>COUNTIFS(pg_transaction_cleaned!$O:$O,A5921,pg_transaction_cleaned!$F:$F,"CAPTURE")</f>
        <v>1</v>
      </c>
      <c r="K5921" s="39">
        <f>SUMIFS(pg_transaction_cleaned!$H:$H,pg_transaction_cleaned!$O:$O,A5921,pg_transaction_cleaned!$F:$F,"CAPTURE")</f>
        <v>3447</v>
      </c>
      <c r="L5921" s="23">
        <f>COUNTIFS(pg_transaction_cleaned!$O:$O,A5921,pg_transaction_cleaned!$F:$F,"REFUND")</f>
        <v>0</v>
      </c>
      <c r="M5921" s="39">
        <f>SUMIFS(pg_transaction_cleaned!$H:$H,pg_transaction_cleaned!$O:$O,A5921,pg_transaction_cleaned!$F:$F,"REFUND")</f>
        <v>0</v>
      </c>
      <c r="N5921" s="23" t="str">
        <f t="shared" si="370"/>
        <v>OK</v>
      </c>
      <c r="O5921" s="24">
        <f t="shared" si="371"/>
        <v>0</v>
      </c>
    </row>
    <row r="5922" spans="1:15" ht="15" customHeight="1" x14ac:dyDescent="0.3">
      <c r="A5922" s="23" t="s">
        <v>12242</v>
      </c>
      <c r="B5922" s="38">
        <v>46271</v>
      </c>
      <c r="C5922" s="23" t="s">
        <v>2361</v>
      </c>
      <c r="D5922" s="23" t="s">
        <v>89</v>
      </c>
      <c r="E5922" s="23" t="s">
        <v>79</v>
      </c>
      <c r="F5922" s="23" t="s">
        <v>737</v>
      </c>
      <c r="G5922" s="23" t="s">
        <v>250</v>
      </c>
      <c r="H5922" s="39">
        <f t="shared" si="368"/>
        <v>9798</v>
      </c>
      <c r="I5922" s="23" t="str">
        <f t="shared" si="369"/>
        <v>Jaipur</v>
      </c>
      <c r="J5922" s="23">
        <f>COUNTIFS(pg_transaction_cleaned!$O:$O,A5922,pg_transaction_cleaned!$F:$F,"CAPTURE")</f>
        <v>1</v>
      </c>
      <c r="K5922" s="39">
        <f>SUMIFS(pg_transaction_cleaned!$H:$H,pg_transaction_cleaned!$O:$O,A5922,pg_transaction_cleaned!$F:$F,"CAPTURE")</f>
        <v>9798</v>
      </c>
      <c r="L5922" s="23">
        <f>COUNTIFS(pg_transaction_cleaned!$O:$O,A5922,pg_transaction_cleaned!$F:$F,"REFUND")</f>
        <v>0</v>
      </c>
      <c r="M5922" s="39">
        <f>SUMIFS(pg_transaction_cleaned!$H:$H,pg_transaction_cleaned!$O:$O,A5922,pg_transaction_cleaned!$F:$F,"REFUND")</f>
        <v>0</v>
      </c>
      <c r="N5922" s="23" t="str">
        <f t="shared" si="370"/>
        <v>OK</v>
      </c>
      <c r="O5922" s="24">
        <f t="shared" si="371"/>
        <v>0</v>
      </c>
    </row>
    <row r="5923" spans="1:15" ht="15" customHeight="1" x14ac:dyDescent="0.3">
      <c r="A5923" s="23" t="s">
        <v>12243</v>
      </c>
      <c r="B5923" s="38">
        <v>46281</v>
      </c>
      <c r="C5923" s="23" t="s">
        <v>12244</v>
      </c>
      <c r="D5923" s="23" t="s">
        <v>87</v>
      </c>
      <c r="E5923" s="23" t="s">
        <v>79</v>
      </c>
      <c r="F5923" s="23" t="s">
        <v>582</v>
      </c>
      <c r="G5923" s="23" t="s">
        <v>301</v>
      </c>
      <c r="H5923" s="39">
        <f t="shared" si="368"/>
        <v>1298</v>
      </c>
      <c r="I5923" s="23" t="str">
        <f t="shared" si="369"/>
        <v>Mumbai</v>
      </c>
      <c r="J5923" s="23">
        <f>COUNTIFS(pg_transaction_cleaned!$O:$O,A5923,pg_transaction_cleaned!$F:$F,"CAPTURE")</f>
        <v>1</v>
      </c>
      <c r="K5923" s="39">
        <f>SUMIFS(pg_transaction_cleaned!$H:$H,pg_transaction_cleaned!$O:$O,A5923,pg_transaction_cleaned!$F:$F,"CAPTURE")</f>
        <v>1298</v>
      </c>
      <c r="L5923" s="23">
        <f>COUNTIFS(pg_transaction_cleaned!$O:$O,A5923,pg_transaction_cleaned!$F:$F,"REFUND")</f>
        <v>1</v>
      </c>
      <c r="M5923" s="39">
        <f>SUMIFS(pg_transaction_cleaned!$H:$H,pg_transaction_cleaned!$O:$O,A5923,pg_transaction_cleaned!$F:$F,"REFUND")</f>
        <v>1298</v>
      </c>
      <c r="N5923" s="23" t="str">
        <f t="shared" si="370"/>
        <v>OK</v>
      </c>
      <c r="O5923" s="24">
        <f t="shared" si="371"/>
        <v>0</v>
      </c>
    </row>
    <row r="5924" spans="1:15" ht="15" customHeight="1" x14ac:dyDescent="0.3">
      <c r="A5924" s="23" t="s">
        <v>12245</v>
      </c>
      <c r="B5924" s="38">
        <v>46290</v>
      </c>
      <c r="C5924" s="23" t="s">
        <v>12246</v>
      </c>
      <c r="D5924" s="23" t="s">
        <v>88</v>
      </c>
      <c r="E5924" s="23" t="s">
        <v>79</v>
      </c>
      <c r="F5924" s="23" t="s">
        <v>396</v>
      </c>
      <c r="G5924" s="23" t="s">
        <v>318</v>
      </c>
      <c r="H5924" s="39">
        <f t="shared" si="368"/>
        <v>2999</v>
      </c>
      <c r="I5924" s="23" t="str">
        <f t="shared" si="369"/>
        <v>Lucknow</v>
      </c>
      <c r="J5924" s="23">
        <f>COUNTIFS(pg_transaction_cleaned!$O:$O,A5924,pg_transaction_cleaned!$F:$F,"CAPTURE")</f>
        <v>0</v>
      </c>
      <c r="K5924" s="39">
        <f>SUMIFS(pg_transaction_cleaned!$H:$H,pg_transaction_cleaned!$O:$O,A5924,pg_transaction_cleaned!$F:$F,"CAPTURE")</f>
        <v>0</v>
      </c>
      <c r="L5924" s="23">
        <f>COUNTIFS(pg_transaction_cleaned!$O:$O,A5924,pg_transaction_cleaned!$F:$F,"REFUND")</f>
        <v>0</v>
      </c>
      <c r="M5924" s="39">
        <f>SUMIFS(pg_transaction_cleaned!$H:$H,pg_transaction_cleaned!$O:$O,A5924,pg_transaction_cleaned!$F:$F,"REFUND")</f>
        <v>0</v>
      </c>
      <c r="N5924" s="23" t="str">
        <f t="shared" si="370"/>
        <v>OK</v>
      </c>
      <c r="O5924" s="24">
        <f t="shared" si="371"/>
        <v>0</v>
      </c>
    </row>
    <row r="5925" spans="1:15" ht="15" customHeight="1" x14ac:dyDescent="0.3">
      <c r="A5925" s="23" t="s">
        <v>12247</v>
      </c>
      <c r="B5925" s="38">
        <v>46277</v>
      </c>
      <c r="C5925" s="23" t="s">
        <v>12248</v>
      </c>
      <c r="D5925" s="23" t="s">
        <v>93</v>
      </c>
      <c r="E5925" s="23" t="s">
        <v>79</v>
      </c>
      <c r="F5925" s="23" t="s">
        <v>294</v>
      </c>
      <c r="G5925" s="23" t="s">
        <v>318</v>
      </c>
      <c r="H5925" s="39">
        <f t="shared" si="368"/>
        <v>1799</v>
      </c>
      <c r="I5925" s="23" t="str">
        <f t="shared" si="369"/>
        <v>Kolkata</v>
      </c>
      <c r="J5925" s="23">
        <f>COUNTIFS(pg_transaction_cleaned!$O:$O,A5925,pg_transaction_cleaned!$F:$F,"CAPTURE")</f>
        <v>0</v>
      </c>
      <c r="K5925" s="39">
        <f>SUMIFS(pg_transaction_cleaned!$H:$H,pg_transaction_cleaned!$O:$O,A5925,pg_transaction_cleaned!$F:$F,"CAPTURE")</f>
        <v>0</v>
      </c>
      <c r="L5925" s="23">
        <f>COUNTIFS(pg_transaction_cleaned!$O:$O,A5925,pg_transaction_cleaned!$F:$F,"REFUND")</f>
        <v>0</v>
      </c>
      <c r="M5925" s="39">
        <f>SUMIFS(pg_transaction_cleaned!$H:$H,pg_transaction_cleaned!$O:$O,A5925,pg_transaction_cleaned!$F:$F,"REFUND")</f>
        <v>0</v>
      </c>
      <c r="N5925" s="23" t="str">
        <f t="shared" si="370"/>
        <v>OK</v>
      </c>
      <c r="O5925" s="24">
        <f t="shared" si="371"/>
        <v>0</v>
      </c>
    </row>
    <row r="5926" spans="1:15" ht="15" customHeight="1" x14ac:dyDescent="0.3">
      <c r="A5926" s="23" t="s">
        <v>12249</v>
      </c>
      <c r="B5926" s="38">
        <v>46291</v>
      </c>
      <c r="C5926" s="23" t="s">
        <v>12250</v>
      </c>
      <c r="D5926" s="23" t="s">
        <v>89</v>
      </c>
      <c r="E5926" s="23" t="s">
        <v>75</v>
      </c>
      <c r="F5926" s="23" t="s">
        <v>329</v>
      </c>
      <c r="G5926" s="23" t="s">
        <v>250</v>
      </c>
      <c r="H5926" s="39">
        <f t="shared" si="368"/>
        <v>599</v>
      </c>
      <c r="I5926" s="23" t="str">
        <f t="shared" si="369"/>
        <v>Jaipur</v>
      </c>
      <c r="J5926" s="23">
        <f>COUNTIFS(pg_transaction_cleaned!$O:$O,A5926,pg_transaction_cleaned!$F:$F,"CAPTURE")</f>
        <v>1</v>
      </c>
      <c r="K5926" s="39">
        <f>SUMIFS(pg_transaction_cleaned!$H:$H,pg_transaction_cleaned!$O:$O,A5926,pg_transaction_cleaned!$F:$F,"CAPTURE")</f>
        <v>599</v>
      </c>
      <c r="L5926" s="23">
        <f>COUNTIFS(pg_transaction_cleaned!$O:$O,A5926,pg_transaction_cleaned!$F:$F,"REFUND")</f>
        <v>0</v>
      </c>
      <c r="M5926" s="39">
        <f>SUMIFS(pg_transaction_cleaned!$H:$H,pg_transaction_cleaned!$O:$O,A5926,pg_transaction_cleaned!$F:$F,"REFUND")</f>
        <v>0</v>
      </c>
      <c r="N5926" s="23" t="str">
        <f t="shared" si="370"/>
        <v>OK</v>
      </c>
      <c r="O5926" s="24">
        <f t="shared" si="371"/>
        <v>0</v>
      </c>
    </row>
    <row r="5927" spans="1:15" ht="15" customHeight="1" x14ac:dyDescent="0.3">
      <c r="A5927" s="23" t="s">
        <v>12251</v>
      </c>
      <c r="B5927" s="38">
        <v>46273</v>
      </c>
      <c r="C5927" s="23" t="s">
        <v>12252</v>
      </c>
      <c r="D5927" s="23" t="s">
        <v>91</v>
      </c>
      <c r="E5927" s="23" t="s">
        <v>75</v>
      </c>
      <c r="F5927" s="23" t="s">
        <v>3533</v>
      </c>
      <c r="G5927" s="23" t="s">
        <v>250</v>
      </c>
      <c r="H5927" s="39">
        <f t="shared" si="368"/>
        <v>11597</v>
      </c>
      <c r="I5927" s="23" t="str">
        <f t="shared" si="369"/>
        <v>Pune</v>
      </c>
      <c r="J5927" s="23">
        <f>COUNTIFS(pg_transaction_cleaned!$O:$O,A5927,pg_transaction_cleaned!$F:$F,"CAPTURE")</f>
        <v>1</v>
      </c>
      <c r="K5927" s="39">
        <f>SUMIFS(pg_transaction_cleaned!$H:$H,pg_transaction_cleaned!$O:$O,A5927,pg_transaction_cleaned!$F:$F,"CAPTURE")</f>
        <v>11597</v>
      </c>
      <c r="L5927" s="23">
        <f>COUNTIFS(pg_transaction_cleaned!$O:$O,A5927,pg_transaction_cleaned!$F:$F,"REFUND")</f>
        <v>0</v>
      </c>
      <c r="M5927" s="39">
        <f>SUMIFS(pg_transaction_cleaned!$H:$H,pg_transaction_cleaned!$O:$O,A5927,pg_transaction_cleaned!$F:$F,"REFUND")</f>
        <v>0</v>
      </c>
      <c r="N5927" s="23" t="str">
        <f t="shared" si="370"/>
        <v>OK</v>
      </c>
      <c r="O5927" s="24">
        <f t="shared" si="371"/>
        <v>0</v>
      </c>
    </row>
    <row r="5928" spans="1:15" ht="15" customHeight="1" x14ac:dyDescent="0.3">
      <c r="A5928" s="23" t="s">
        <v>12253</v>
      </c>
      <c r="B5928" s="38">
        <v>46278</v>
      </c>
      <c r="C5928" s="23" t="s">
        <v>12254</v>
      </c>
      <c r="D5928" s="23" t="s">
        <v>86</v>
      </c>
      <c r="E5928" s="23" t="s">
        <v>75</v>
      </c>
      <c r="F5928" s="23" t="s">
        <v>1108</v>
      </c>
      <c r="G5928" s="23" t="s">
        <v>250</v>
      </c>
      <c r="H5928" s="39">
        <f t="shared" si="368"/>
        <v>4098</v>
      </c>
      <c r="I5928" s="23" t="str">
        <f t="shared" si="369"/>
        <v>Delhi</v>
      </c>
      <c r="J5928" s="23">
        <f>COUNTIFS(pg_transaction_cleaned!$O:$O,A5928,pg_transaction_cleaned!$F:$F,"CAPTURE")</f>
        <v>1</v>
      </c>
      <c r="K5928" s="39">
        <f>SUMIFS(pg_transaction_cleaned!$H:$H,pg_transaction_cleaned!$O:$O,A5928,pg_transaction_cleaned!$F:$F,"CAPTURE")</f>
        <v>4098</v>
      </c>
      <c r="L5928" s="23">
        <f>COUNTIFS(pg_transaction_cleaned!$O:$O,A5928,pg_transaction_cleaned!$F:$F,"REFUND")</f>
        <v>0</v>
      </c>
      <c r="M5928" s="39">
        <f>SUMIFS(pg_transaction_cleaned!$H:$H,pg_transaction_cleaned!$O:$O,A5928,pg_transaction_cleaned!$F:$F,"REFUND")</f>
        <v>0</v>
      </c>
      <c r="N5928" s="23" t="str">
        <f t="shared" si="370"/>
        <v>OK</v>
      </c>
      <c r="O5928" s="24">
        <f t="shared" si="371"/>
        <v>0</v>
      </c>
    </row>
    <row r="5929" spans="1:15" ht="15" customHeight="1" x14ac:dyDescent="0.3">
      <c r="A5929" s="23" t="s">
        <v>12255</v>
      </c>
      <c r="B5929" s="38">
        <v>46286</v>
      </c>
      <c r="C5929" s="23" t="s">
        <v>12256</v>
      </c>
      <c r="D5929" s="23" t="s">
        <v>88</v>
      </c>
      <c r="E5929" s="23" t="s">
        <v>79</v>
      </c>
      <c r="F5929" s="23" t="s">
        <v>315</v>
      </c>
      <c r="G5929" s="23" t="s">
        <v>301</v>
      </c>
      <c r="H5929" s="39">
        <f t="shared" si="368"/>
        <v>1499</v>
      </c>
      <c r="I5929" s="23" t="str">
        <f t="shared" si="369"/>
        <v>Lucknow</v>
      </c>
      <c r="J5929" s="23">
        <f>COUNTIFS(pg_transaction_cleaned!$O:$O,A5929,pg_transaction_cleaned!$F:$F,"CAPTURE")</f>
        <v>1</v>
      </c>
      <c r="K5929" s="39">
        <f>SUMIFS(pg_transaction_cleaned!$H:$H,pg_transaction_cleaned!$O:$O,A5929,pg_transaction_cleaned!$F:$F,"CAPTURE")</f>
        <v>1499</v>
      </c>
      <c r="L5929" s="23">
        <f>COUNTIFS(pg_transaction_cleaned!$O:$O,A5929,pg_transaction_cleaned!$F:$F,"REFUND")</f>
        <v>1</v>
      </c>
      <c r="M5929" s="39">
        <f>SUMIFS(pg_transaction_cleaned!$H:$H,pg_transaction_cleaned!$O:$O,A5929,pg_transaction_cleaned!$F:$F,"REFUND")</f>
        <v>1499</v>
      </c>
      <c r="N5929" s="23" t="str">
        <f t="shared" si="370"/>
        <v>OK</v>
      </c>
      <c r="O5929" s="24">
        <f t="shared" si="371"/>
        <v>0</v>
      </c>
    </row>
    <row r="5930" spans="1:15" ht="15" customHeight="1" x14ac:dyDescent="0.3">
      <c r="A5930" s="23" t="s">
        <v>12257</v>
      </c>
      <c r="B5930" s="38">
        <v>46283</v>
      </c>
      <c r="C5930" s="23" t="s">
        <v>12258</v>
      </c>
      <c r="D5930" s="23" t="s">
        <v>87</v>
      </c>
      <c r="E5930" s="23" t="s">
        <v>81</v>
      </c>
      <c r="F5930" s="23" t="s">
        <v>274</v>
      </c>
      <c r="G5930" s="23" t="s">
        <v>250</v>
      </c>
      <c r="H5930" s="39">
        <f t="shared" si="368"/>
        <v>349</v>
      </c>
      <c r="I5930" s="23" t="str">
        <f t="shared" si="369"/>
        <v>Mumbai</v>
      </c>
      <c r="J5930" s="23">
        <f>COUNTIFS(pg_transaction_cleaned!$O:$O,A5930,pg_transaction_cleaned!$F:$F,"CAPTURE")</f>
        <v>1</v>
      </c>
      <c r="K5930" s="39">
        <f>SUMIFS(pg_transaction_cleaned!$H:$H,pg_transaction_cleaned!$O:$O,A5930,pg_transaction_cleaned!$F:$F,"CAPTURE")</f>
        <v>349</v>
      </c>
      <c r="L5930" s="23">
        <f>COUNTIFS(pg_transaction_cleaned!$O:$O,A5930,pg_transaction_cleaned!$F:$F,"REFUND")</f>
        <v>0</v>
      </c>
      <c r="M5930" s="39">
        <f>SUMIFS(pg_transaction_cleaned!$H:$H,pg_transaction_cleaned!$O:$O,A5930,pg_transaction_cleaned!$F:$F,"REFUND")</f>
        <v>0</v>
      </c>
      <c r="N5930" s="23" t="str">
        <f t="shared" si="370"/>
        <v>OK</v>
      </c>
      <c r="O5930" s="24">
        <f t="shared" si="371"/>
        <v>0</v>
      </c>
    </row>
    <row r="5931" spans="1:15" ht="15" customHeight="1" x14ac:dyDescent="0.3">
      <c r="A5931" s="23" t="s">
        <v>12259</v>
      </c>
      <c r="B5931" s="38">
        <v>46268</v>
      </c>
      <c r="C5931" s="23" t="s">
        <v>12260</v>
      </c>
      <c r="D5931" s="23" t="s">
        <v>87</v>
      </c>
      <c r="E5931" s="23" t="s">
        <v>75</v>
      </c>
      <c r="F5931" s="23" t="s">
        <v>632</v>
      </c>
      <c r="G5931" s="23" t="s">
        <v>250</v>
      </c>
      <c r="H5931" s="39">
        <f t="shared" si="368"/>
        <v>948</v>
      </c>
      <c r="I5931" s="23" t="str">
        <f t="shared" si="369"/>
        <v>Mumbai</v>
      </c>
      <c r="J5931" s="23">
        <f>COUNTIFS(pg_transaction_cleaned!$O:$O,A5931,pg_transaction_cleaned!$F:$F,"CAPTURE")</f>
        <v>1</v>
      </c>
      <c r="K5931" s="39">
        <f>SUMIFS(pg_transaction_cleaned!$H:$H,pg_transaction_cleaned!$O:$O,A5931,pg_transaction_cleaned!$F:$F,"CAPTURE")</f>
        <v>948</v>
      </c>
      <c r="L5931" s="23">
        <f>COUNTIFS(pg_transaction_cleaned!$O:$O,A5931,pg_transaction_cleaned!$F:$F,"REFUND")</f>
        <v>0</v>
      </c>
      <c r="M5931" s="39">
        <f>SUMIFS(pg_transaction_cleaned!$H:$H,pg_transaction_cleaned!$O:$O,A5931,pg_transaction_cleaned!$F:$F,"REFUND")</f>
        <v>0</v>
      </c>
      <c r="N5931" s="23" t="str">
        <f t="shared" si="370"/>
        <v>OK</v>
      </c>
      <c r="O5931" s="24">
        <f t="shared" si="371"/>
        <v>0</v>
      </c>
    </row>
    <row r="5932" spans="1:15" ht="15" customHeight="1" x14ac:dyDescent="0.3">
      <c r="A5932" s="23" t="s">
        <v>12261</v>
      </c>
      <c r="B5932" s="38">
        <v>46286</v>
      </c>
      <c r="C5932" s="23" t="s">
        <v>12262</v>
      </c>
      <c r="D5932" s="23" t="s">
        <v>91</v>
      </c>
      <c r="E5932" s="23" t="s">
        <v>75</v>
      </c>
      <c r="F5932" s="23" t="s">
        <v>329</v>
      </c>
      <c r="G5932" s="23" t="s">
        <v>250</v>
      </c>
      <c r="H5932" s="39">
        <f t="shared" si="368"/>
        <v>599</v>
      </c>
      <c r="I5932" s="23" t="str">
        <f t="shared" si="369"/>
        <v>Pune</v>
      </c>
      <c r="J5932" s="23">
        <f>COUNTIFS(pg_transaction_cleaned!$O:$O,A5932,pg_transaction_cleaned!$F:$F,"CAPTURE")</f>
        <v>1</v>
      </c>
      <c r="K5932" s="39">
        <f>SUMIFS(pg_transaction_cleaned!$H:$H,pg_transaction_cleaned!$O:$O,A5932,pg_transaction_cleaned!$F:$F,"CAPTURE")</f>
        <v>599</v>
      </c>
      <c r="L5932" s="23">
        <f>COUNTIFS(pg_transaction_cleaned!$O:$O,A5932,pg_transaction_cleaned!$F:$F,"REFUND")</f>
        <v>0</v>
      </c>
      <c r="M5932" s="39">
        <f>SUMIFS(pg_transaction_cleaned!$H:$H,pg_transaction_cleaned!$O:$O,A5932,pg_transaction_cleaned!$F:$F,"REFUND")</f>
        <v>0</v>
      </c>
      <c r="N5932" s="23" t="str">
        <f t="shared" si="370"/>
        <v>OK</v>
      </c>
      <c r="O5932" s="24">
        <f t="shared" si="371"/>
        <v>0</v>
      </c>
    </row>
    <row r="5933" spans="1:15" ht="15" customHeight="1" x14ac:dyDescent="0.3">
      <c r="A5933" s="23" t="s">
        <v>12263</v>
      </c>
      <c r="B5933" s="38">
        <v>46295</v>
      </c>
      <c r="C5933" s="23" t="s">
        <v>12264</v>
      </c>
      <c r="D5933" s="23" t="s">
        <v>95</v>
      </c>
      <c r="E5933" s="23" t="s">
        <v>75</v>
      </c>
      <c r="F5933" s="23" t="s">
        <v>329</v>
      </c>
      <c r="G5933" s="23" t="s">
        <v>250</v>
      </c>
      <c r="H5933" s="39">
        <f t="shared" si="368"/>
        <v>599</v>
      </c>
      <c r="I5933" s="23" t="str">
        <f t="shared" si="369"/>
        <v>Bengaluru</v>
      </c>
      <c r="J5933" s="23">
        <f>COUNTIFS(pg_transaction_cleaned!$O:$O,A5933,pg_transaction_cleaned!$F:$F,"CAPTURE")</f>
        <v>1</v>
      </c>
      <c r="K5933" s="39">
        <f>SUMIFS(pg_transaction_cleaned!$H:$H,pg_transaction_cleaned!$O:$O,A5933,pg_transaction_cleaned!$F:$F,"CAPTURE")</f>
        <v>599</v>
      </c>
      <c r="L5933" s="23">
        <f>COUNTIFS(pg_transaction_cleaned!$O:$O,A5933,pg_transaction_cleaned!$F:$F,"REFUND")</f>
        <v>0</v>
      </c>
      <c r="M5933" s="39">
        <f>SUMIFS(pg_transaction_cleaned!$H:$H,pg_transaction_cleaned!$O:$O,A5933,pg_transaction_cleaned!$F:$F,"REFUND")</f>
        <v>0</v>
      </c>
      <c r="N5933" s="23" t="str">
        <f t="shared" si="370"/>
        <v>OK</v>
      </c>
      <c r="O5933" s="24">
        <f t="shared" si="371"/>
        <v>0</v>
      </c>
    </row>
    <row r="5934" spans="1:15" ht="15" customHeight="1" x14ac:dyDescent="0.3">
      <c r="A5934" s="23" t="s">
        <v>12265</v>
      </c>
      <c r="B5934" s="38">
        <v>46287</v>
      </c>
      <c r="C5934" s="23" t="s">
        <v>12266</v>
      </c>
      <c r="D5934" s="23" t="s">
        <v>91</v>
      </c>
      <c r="E5934" s="23" t="s">
        <v>79</v>
      </c>
      <c r="F5934" s="23" t="s">
        <v>475</v>
      </c>
      <c r="G5934" s="23" t="s">
        <v>250</v>
      </c>
      <c r="H5934" s="39">
        <f t="shared" si="368"/>
        <v>799</v>
      </c>
      <c r="I5934" s="23" t="str">
        <f t="shared" si="369"/>
        <v>Pune</v>
      </c>
      <c r="J5934" s="23">
        <f>COUNTIFS(pg_transaction_cleaned!$O:$O,A5934,pg_transaction_cleaned!$F:$F,"CAPTURE")</f>
        <v>1</v>
      </c>
      <c r="K5934" s="39">
        <f>SUMIFS(pg_transaction_cleaned!$H:$H,pg_transaction_cleaned!$O:$O,A5934,pg_transaction_cleaned!$F:$F,"CAPTURE")</f>
        <v>799</v>
      </c>
      <c r="L5934" s="23">
        <f>COUNTIFS(pg_transaction_cleaned!$O:$O,A5934,pg_transaction_cleaned!$F:$F,"REFUND")</f>
        <v>0</v>
      </c>
      <c r="M5934" s="39">
        <f>SUMIFS(pg_transaction_cleaned!$H:$H,pg_transaction_cleaned!$O:$O,A5934,pg_transaction_cleaned!$F:$F,"REFUND")</f>
        <v>0</v>
      </c>
      <c r="N5934" s="23" t="str">
        <f t="shared" si="370"/>
        <v>OK</v>
      </c>
      <c r="O5934" s="24">
        <f t="shared" si="371"/>
        <v>0</v>
      </c>
    </row>
    <row r="5935" spans="1:15" ht="15" customHeight="1" x14ac:dyDescent="0.3">
      <c r="A5935" s="23" t="s">
        <v>12267</v>
      </c>
      <c r="B5935" s="38">
        <v>46271</v>
      </c>
      <c r="C5935" s="23" t="s">
        <v>5442</v>
      </c>
      <c r="D5935" s="23" t="s">
        <v>90</v>
      </c>
      <c r="E5935" s="23" t="s">
        <v>75</v>
      </c>
      <c r="F5935" s="23" t="s">
        <v>6531</v>
      </c>
      <c r="G5935" s="23" t="s">
        <v>250</v>
      </c>
      <c r="H5935" s="39">
        <f t="shared" si="368"/>
        <v>798</v>
      </c>
      <c r="I5935" s="23" t="str">
        <f t="shared" si="369"/>
        <v>Ahmedabad</v>
      </c>
      <c r="J5935" s="23">
        <f>COUNTIFS(pg_transaction_cleaned!$O:$O,A5935,pg_transaction_cleaned!$F:$F,"CAPTURE")</f>
        <v>1</v>
      </c>
      <c r="K5935" s="39">
        <f>SUMIFS(pg_transaction_cleaned!$H:$H,pg_transaction_cleaned!$O:$O,A5935,pg_transaction_cleaned!$F:$F,"CAPTURE")</f>
        <v>798</v>
      </c>
      <c r="L5935" s="23">
        <f>COUNTIFS(pg_transaction_cleaned!$O:$O,A5935,pg_transaction_cleaned!$F:$F,"REFUND")</f>
        <v>0</v>
      </c>
      <c r="M5935" s="39">
        <f>SUMIFS(pg_transaction_cleaned!$H:$H,pg_transaction_cleaned!$O:$O,A5935,pg_transaction_cleaned!$F:$F,"REFUND")</f>
        <v>0</v>
      </c>
      <c r="N5935" s="23" t="str">
        <f t="shared" si="370"/>
        <v>OK</v>
      </c>
      <c r="O5935" s="24">
        <f t="shared" si="371"/>
        <v>0</v>
      </c>
    </row>
    <row r="5936" spans="1:15" ht="15" customHeight="1" x14ac:dyDescent="0.3">
      <c r="A5936" s="23" t="s">
        <v>12268</v>
      </c>
      <c r="B5936" s="38">
        <v>46271</v>
      </c>
      <c r="C5936" s="23" t="s">
        <v>12269</v>
      </c>
      <c r="D5936" s="23" t="s">
        <v>87</v>
      </c>
      <c r="E5936" s="23" t="s">
        <v>79</v>
      </c>
      <c r="F5936" s="23" t="s">
        <v>310</v>
      </c>
      <c r="G5936" s="23" t="s">
        <v>250</v>
      </c>
      <c r="H5936" s="39">
        <f t="shared" si="368"/>
        <v>7999</v>
      </c>
      <c r="I5936" s="23" t="str">
        <f t="shared" si="369"/>
        <v>Mumbai</v>
      </c>
      <c r="J5936" s="23">
        <f>COUNTIFS(pg_transaction_cleaned!$O:$O,A5936,pg_transaction_cleaned!$F:$F,"CAPTURE")</f>
        <v>1</v>
      </c>
      <c r="K5936" s="39">
        <f>SUMIFS(pg_transaction_cleaned!$H:$H,pg_transaction_cleaned!$O:$O,A5936,pg_transaction_cleaned!$F:$F,"CAPTURE")</f>
        <v>7999</v>
      </c>
      <c r="L5936" s="23">
        <f>COUNTIFS(pg_transaction_cleaned!$O:$O,A5936,pg_transaction_cleaned!$F:$F,"REFUND")</f>
        <v>0</v>
      </c>
      <c r="M5936" s="39">
        <f>SUMIFS(pg_transaction_cleaned!$H:$H,pg_transaction_cleaned!$O:$O,A5936,pg_transaction_cleaned!$F:$F,"REFUND")</f>
        <v>0</v>
      </c>
      <c r="N5936" s="23" t="str">
        <f t="shared" si="370"/>
        <v>OK</v>
      </c>
      <c r="O5936" s="24">
        <f t="shared" si="371"/>
        <v>0</v>
      </c>
    </row>
    <row r="5937" spans="1:15" ht="15" customHeight="1" x14ac:dyDescent="0.3">
      <c r="A5937" s="23" t="s">
        <v>12270</v>
      </c>
      <c r="B5937" s="38">
        <v>46294</v>
      </c>
      <c r="C5937" s="23" t="s">
        <v>12271</v>
      </c>
      <c r="D5937" s="23" t="s">
        <v>94</v>
      </c>
      <c r="E5937" s="23" t="s">
        <v>75</v>
      </c>
      <c r="F5937" s="23" t="s">
        <v>274</v>
      </c>
      <c r="G5937" s="23" t="s">
        <v>250</v>
      </c>
      <c r="H5937" s="39">
        <f t="shared" si="368"/>
        <v>349</v>
      </c>
      <c r="I5937" s="23" t="str">
        <f t="shared" si="369"/>
        <v>Chennai</v>
      </c>
      <c r="J5937" s="23">
        <f>COUNTIFS(pg_transaction_cleaned!$O:$O,A5937,pg_transaction_cleaned!$F:$F,"CAPTURE")</f>
        <v>1</v>
      </c>
      <c r="K5937" s="39">
        <f>SUMIFS(pg_transaction_cleaned!$H:$H,pg_transaction_cleaned!$O:$O,A5937,pg_transaction_cleaned!$F:$F,"CAPTURE")</f>
        <v>349</v>
      </c>
      <c r="L5937" s="23">
        <f>COUNTIFS(pg_transaction_cleaned!$O:$O,A5937,pg_transaction_cleaned!$F:$F,"REFUND")</f>
        <v>0</v>
      </c>
      <c r="M5937" s="39">
        <f>SUMIFS(pg_transaction_cleaned!$H:$H,pg_transaction_cleaned!$O:$O,A5937,pg_transaction_cleaned!$F:$F,"REFUND")</f>
        <v>0</v>
      </c>
      <c r="N5937" s="23" t="str">
        <f t="shared" si="370"/>
        <v>OK</v>
      </c>
      <c r="O5937" s="24">
        <f t="shared" si="371"/>
        <v>0</v>
      </c>
    </row>
    <row r="5938" spans="1:15" ht="15" customHeight="1" x14ac:dyDescent="0.3">
      <c r="A5938" s="23" t="s">
        <v>12272</v>
      </c>
      <c r="B5938" s="38">
        <v>46278</v>
      </c>
      <c r="C5938" s="23" t="s">
        <v>12273</v>
      </c>
      <c r="D5938" s="23" t="s">
        <v>88</v>
      </c>
      <c r="E5938" s="23" t="s">
        <v>79</v>
      </c>
      <c r="F5938" s="23" t="s">
        <v>2205</v>
      </c>
      <c r="G5938" s="23" t="s">
        <v>250</v>
      </c>
      <c r="H5938" s="39">
        <f t="shared" si="368"/>
        <v>6998</v>
      </c>
      <c r="I5938" s="23" t="str">
        <f t="shared" si="369"/>
        <v>Lucknow</v>
      </c>
      <c r="J5938" s="23">
        <f>COUNTIFS(pg_transaction_cleaned!$O:$O,A5938,pg_transaction_cleaned!$F:$F,"CAPTURE")</f>
        <v>1</v>
      </c>
      <c r="K5938" s="39">
        <f>SUMIFS(pg_transaction_cleaned!$H:$H,pg_transaction_cleaned!$O:$O,A5938,pg_transaction_cleaned!$F:$F,"CAPTURE")</f>
        <v>6998</v>
      </c>
      <c r="L5938" s="23">
        <f>COUNTIFS(pg_transaction_cleaned!$O:$O,A5938,pg_transaction_cleaned!$F:$F,"REFUND")</f>
        <v>0</v>
      </c>
      <c r="M5938" s="39">
        <f>SUMIFS(pg_transaction_cleaned!$H:$H,pg_transaction_cleaned!$O:$O,A5938,pg_transaction_cleaned!$F:$F,"REFUND")</f>
        <v>0</v>
      </c>
      <c r="N5938" s="23" t="str">
        <f t="shared" si="370"/>
        <v>OK</v>
      </c>
      <c r="O5938" s="24">
        <f t="shared" si="371"/>
        <v>0</v>
      </c>
    </row>
    <row r="5939" spans="1:15" ht="15" customHeight="1" x14ac:dyDescent="0.3">
      <c r="A5939" s="23" t="s">
        <v>12274</v>
      </c>
      <c r="B5939" s="38">
        <v>46286</v>
      </c>
      <c r="C5939" s="23" t="s">
        <v>12275</v>
      </c>
      <c r="D5939" s="23" t="s">
        <v>86</v>
      </c>
      <c r="E5939" s="23" t="s">
        <v>81</v>
      </c>
      <c r="F5939" s="23" t="s">
        <v>2859</v>
      </c>
      <c r="G5939" s="23" t="s">
        <v>250</v>
      </c>
      <c r="H5939" s="39">
        <f t="shared" si="368"/>
        <v>3147</v>
      </c>
      <c r="I5939" s="23" t="str">
        <f t="shared" si="369"/>
        <v>Delhi</v>
      </c>
      <c r="J5939" s="23">
        <f>COUNTIFS(pg_transaction_cleaned!$O:$O,A5939,pg_transaction_cleaned!$F:$F,"CAPTURE")</f>
        <v>1</v>
      </c>
      <c r="K5939" s="39">
        <f>SUMIFS(pg_transaction_cleaned!$H:$H,pg_transaction_cleaned!$O:$O,A5939,pg_transaction_cleaned!$F:$F,"CAPTURE")</f>
        <v>3147</v>
      </c>
      <c r="L5939" s="23">
        <f>COUNTIFS(pg_transaction_cleaned!$O:$O,A5939,pg_transaction_cleaned!$F:$F,"REFUND")</f>
        <v>0</v>
      </c>
      <c r="M5939" s="39">
        <f>SUMIFS(pg_transaction_cleaned!$H:$H,pg_transaction_cleaned!$O:$O,A5939,pg_transaction_cleaned!$F:$F,"REFUND")</f>
        <v>0</v>
      </c>
      <c r="N5939" s="23" t="str">
        <f t="shared" si="370"/>
        <v>OK</v>
      </c>
      <c r="O5939" s="24">
        <f t="shared" si="371"/>
        <v>0</v>
      </c>
    </row>
    <row r="5940" spans="1:15" ht="15" customHeight="1" x14ac:dyDescent="0.3">
      <c r="A5940" s="23" t="s">
        <v>12276</v>
      </c>
      <c r="B5940" s="38">
        <v>46275</v>
      </c>
      <c r="C5940" s="23" t="s">
        <v>12277</v>
      </c>
      <c r="D5940" s="23" t="s">
        <v>90</v>
      </c>
      <c r="E5940" s="23" t="s">
        <v>77</v>
      </c>
      <c r="F5940" s="23" t="s">
        <v>294</v>
      </c>
      <c r="G5940" s="23" t="s">
        <v>250</v>
      </c>
      <c r="H5940" s="39">
        <f t="shared" si="368"/>
        <v>1799</v>
      </c>
      <c r="I5940" s="23" t="str">
        <f t="shared" si="369"/>
        <v>Ahmedabad</v>
      </c>
      <c r="J5940" s="23">
        <f>COUNTIFS(pg_transaction_cleaned!$O:$O,A5940,pg_transaction_cleaned!$F:$F,"CAPTURE")</f>
        <v>1</v>
      </c>
      <c r="K5940" s="39">
        <f>SUMIFS(pg_transaction_cleaned!$H:$H,pg_transaction_cleaned!$O:$O,A5940,pg_transaction_cleaned!$F:$F,"CAPTURE")</f>
        <v>1799</v>
      </c>
      <c r="L5940" s="23">
        <f>COUNTIFS(pg_transaction_cleaned!$O:$O,A5940,pg_transaction_cleaned!$F:$F,"REFUND")</f>
        <v>0</v>
      </c>
      <c r="M5940" s="39">
        <f>SUMIFS(pg_transaction_cleaned!$H:$H,pg_transaction_cleaned!$O:$O,A5940,pg_transaction_cleaned!$F:$F,"REFUND")</f>
        <v>0</v>
      </c>
      <c r="N5940" s="23" t="str">
        <f t="shared" si="370"/>
        <v>OK</v>
      </c>
      <c r="O5940" s="24">
        <f t="shared" si="371"/>
        <v>0</v>
      </c>
    </row>
    <row r="5941" spans="1:15" ht="15" customHeight="1" x14ac:dyDescent="0.3">
      <c r="A5941" s="23" t="s">
        <v>12278</v>
      </c>
      <c r="B5941" s="38">
        <v>46269</v>
      </c>
      <c r="C5941" s="23" t="s">
        <v>12279</v>
      </c>
      <c r="D5941" s="23" t="s">
        <v>93</v>
      </c>
      <c r="E5941" s="23" t="s">
        <v>79</v>
      </c>
      <c r="F5941" s="23" t="s">
        <v>274</v>
      </c>
      <c r="G5941" s="23" t="s">
        <v>250</v>
      </c>
      <c r="H5941" s="39">
        <f t="shared" si="368"/>
        <v>349</v>
      </c>
      <c r="I5941" s="23" t="str">
        <f t="shared" si="369"/>
        <v>Kolkata</v>
      </c>
      <c r="J5941" s="23">
        <f>COUNTIFS(pg_transaction_cleaned!$O:$O,A5941,pg_transaction_cleaned!$F:$F,"CAPTURE")</f>
        <v>1</v>
      </c>
      <c r="K5941" s="39">
        <f>SUMIFS(pg_transaction_cleaned!$H:$H,pg_transaction_cleaned!$O:$O,A5941,pg_transaction_cleaned!$F:$F,"CAPTURE")</f>
        <v>349</v>
      </c>
      <c r="L5941" s="23">
        <f>COUNTIFS(pg_transaction_cleaned!$O:$O,A5941,pg_transaction_cleaned!$F:$F,"REFUND")</f>
        <v>0</v>
      </c>
      <c r="M5941" s="39">
        <f>SUMIFS(pg_transaction_cleaned!$H:$H,pg_transaction_cleaned!$O:$O,A5941,pg_transaction_cleaned!$F:$F,"REFUND")</f>
        <v>0</v>
      </c>
      <c r="N5941" s="23" t="str">
        <f t="shared" si="370"/>
        <v>OK</v>
      </c>
      <c r="O5941" s="24">
        <f t="shared" si="371"/>
        <v>0</v>
      </c>
    </row>
    <row r="5942" spans="1:15" ht="15" customHeight="1" x14ac:dyDescent="0.3">
      <c r="A5942" s="23" t="s">
        <v>12280</v>
      </c>
      <c r="B5942" s="38">
        <v>46285</v>
      </c>
      <c r="C5942" s="23" t="s">
        <v>12281</v>
      </c>
      <c r="D5942" s="23" t="s">
        <v>90</v>
      </c>
      <c r="E5942" s="23" t="s">
        <v>79</v>
      </c>
      <c r="F5942" s="23" t="s">
        <v>274</v>
      </c>
      <c r="G5942" s="23" t="s">
        <v>250</v>
      </c>
      <c r="H5942" s="39">
        <f t="shared" si="368"/>
        <v>349</v>
      </c>
      <c r="I5942" s="23" t="str">
        <f t="shared" si="369"/>
        <v>Ahmedabad</v>
      </c>
      <c r="J5942" s="23">
        <f>COUNTIFS(pg_transaction_cleaned!$O:$O,A5942,pg_transaction_cleaned!$F:$F,"CAPTURE")</f>
        <v>1</v>
      </c>
      <c r="K5942" s="39">
        <f>SUMIFS(pg_transaction_cleaned!$H:$H,pg_transaction_cleaned!$O:$O,A5942,pg_transaction_cleaned!$F:$F,"CAPTURE")</f>
        <v>349</v>
      </c>
      <c r="L5942" s="23">
        <f>COUNTIFS(pg_transaction_cleaned!$O:$O,A5942,pg_transaction_cleaned!$F:$F,"REFUND")</f>
        <v>0</v>
      </c>
      <c r="M5942" s="39">
        <f>SUMIFS(pg_transaction_cleaned!$H:$H,pg_transaction_cleaned!$O:$O,A5942,pg_transaction_cleaned!$F:$F,"REFUND")</f>
        <v>0</v>
      </c>
      <c r="N5942" s="23" t="str">
        <f t="shared" si="370"/>
        <v>OK</v>
      </c>
      <c r="O5942" s="24">
        <f t="shared" si="371"/>
        <v>0</v>
      </c>
    </row>
    <row r="5943" spans="1:15" ht="15" customHeight="1" x14ac:dyDescent="0.3">
      <c r="A5943" s="23" t="s">
        <v>12282</v>
      </c>
      <c r="B5943" s="38">
        <v>46266</v>
      </c>
      <c r="C5943" s="23" t="s">
        <v>12283</v>
      </c>
      <c r="D5943" s="23" t="s">
        <v>92</v>
      </c>
      <c r="E5943" s="23" t="s">
        <v>77</v>
      </c>
      <c r="F5943" s="23" t="s">
        <v>315</v>
      </c>
      <c r="G5943" s="23" t="s">
        <v>250</v>
      </c>
      <c r="H5943" s="39">
        <f t="shared" si="368"/>
        <v>1499</v>
      </c>
      <c r="I5943" s="23" t="str">
        <f t="shared" si="369"/>
        <v>Hyderabad</v>
      </c>
      <c r="J5943" s="23">
        <f>COUNTIFS(pg_transaction_cleaned!$O:$O,A5943,pg_transaction_cleaned!$F:$F,"CAPTURE")</f>
        <v>1</v>
      </c>
      <c r="K5943" s="39">
        <f>SUMIFS(pg_transaction_cleaned!$H:$H,pg_transaction_cleaned!$O:$O,A5943,pg_transaction_cleaned!$F:$F,"CAPTURE")</f>
        <v>1499</v>
      </c>
      <c r="L5943" s="23">
        <f>COUNTIFS(pg_transaction_cleaned!$O:$O,A5943,pg_transaction_cleaned!$F:$F,"REFUND")</f>
        <v>0</v>
      </c>
      <c r="M5943" s="39">
        <f>SUMIFS(pg_transaction_cleaned!$H:$H,pg_transaction_cleaned!$O:$O,A5943,pg_transaction_cleaned!$F:$F,"REFUND")</f>
        <v>0</v>
      </c>
      <c r="N5943" s="23" t="str">
        <f t="shared" si="370"/>
        <v>OK</v>
      </c>
      <c r="O5943" s="24">
        <f t="shared" si="371"/>
        <v>0</v>
      </c>
    </row>
    <row r="5944" spans="1:15" ht="15" customHeight="1" x14ac:dyDescent="0.3">
      <c r="A5944" s="23" t="s">
        <v>12284</v>
      </c>
      <c r="B5944" s="38">
        <v>46267</v>
      </c>
      <c r="C5944" s="23" t="s">
        <v>3047</v>
      </c>
      <c r="D5944" s="23" t="s">
        <v>87</v>
      </c>
      <c r="E5944" s="23" t="s">
        <v>77</v>
      </c>
      <c r="F5944" s="23" t="s">
        <v>271</v>
      </c>
      <c r="G5944" s="23" t="s">
        <v>250</v>
      </c>
      <c r="H5944" s="39">
        <f t="shared" si="368"/>
        <v>2499</v>
      </c>
      <c r="I5944" s="23" t="str">
        <f t="shared" si="369"/>
        <v>Mumbai</v>
      </c>
      <c r="J5944" s="23">
        <f>COUNTIFS(pg_transaction_cleaned!$O:$O,A5944,pg_transaction_cleaned!$F:$F,"CAPTURE")</f>
        <v>1</v>
      </c>
      <c r="K5944" s="39">
        <f>SUMIFS(pg_transaction_cleaned!$H:$H,pg_transaction_cleaned!$O:$O,A5944,pg_transaction_cleaned!$F:$F,"CAPTURE")</f>
        <v>2499</v>
      </c>
      <c r="L5944" s="23">
        <f>COUNTIFS(pg_transaction_cleaned!$O:$O,A5944,pg_transaction_cleaned!$F:$F,"REFUND")</f>
        <v>0</v>
      </c>
      <c r="M5944" s="39">
        <f>SUMIFS(pg_transaction_cleaned!$H:$H,pg_transaction_cleaned!$O:$O,A5944,pg_transaction_cleaned!$F:$F,"REFUND")</f>
        <v>0</v>
      </c>
      <c r="N5944" s="23" t="str">
        <f t="shared" si="370"/>
        <v>OK</v>
      </c>
      <c r="O5944" s="24">
        <f t="shared" si="371"/>
        <v>0</v>
      </c>
    </row>
    <row r="5945" spans="1:15" ht="15" customHeight="1" x14ac:dyDescent="0.3">
      <c r="A5945" s="23" t="s">
        <v>12285</v>
      </c>
      <c r="B5945" s="38">
        <v>46293</v>
      </c>
      <c r="C5945" s="23" t="s">
        <v>6291</v>
      </c>
      <c r="D5945" s="23" t="s">
        <v>91</v>
      </c>
      <c r="E5945" s="23" t="s">
        <v>79</v>
      </c>
      <c r="F5945" s="23" t="s">
        <v>1108</v>
      </c>
      <c r="G5945" s="23" t="s">
        <v>250</v>
      </c>
      <c r="H5945" s="39">
        <f t="shared" si="368"/>
        <v>4098</v>
      </c>
      <c r="I5945" s="23" t="str">
        <f t="shared" si="369"/>
        <v>Pune</v>
      </c>
      <c r="J5945" s="23">
        <f>COUNTIFS(pg_transaction_cleaned!$O:$O,A5945,pg_transaction_cleaned!$F:$F,"CAPTURE")</f>
        <v>1</v>
      </c>
      <c r="K5945" s="39">
        <f>SUMIFS(pg_transaction_cleaned!$H:$H,pg_transaction_cleaned!$O:$O,A5945,pg_transaction_cleaned!$F:$F,"CAPTURE")</f>
        <v>4098</v>
      </c>
      <c r="L5945" s="23">
        <f>COUNTIFS(pg_transaction_cleaned!$O:$O,A5945,pg_transaction_cleaned!$F:$F,"REFUND")</f>
        <v>0</v>
      </c>
      <c r="M5945" s="39">
        <f>SUMIFS(pg_transaction_cleaned!$H:$H,pg_transaction_cleaned!$O:$O,A5945,pg_transaction_cleaned!$F:$F,"REFUND")</f>
        <v>0</v>
      </c>
      <c r="N5945" s="23" t="str">
        <f t="shared" si="370"/>
        <v>OK</v>
      </c>
      <c r="O5945" s="24">
        <f t="shared" si="371"/>
        <v>0</v>
      </c>
    </row>
    <row r="5946" spans="1:15" ht="15" customHeight="1" x14ac:dyDescent="0.3">
      <c r="A5946" s="23" t="s">
        <v>12286</v>
      </c>
      <c r="B5946" s="38">
        <v>46271</v>
      </c>
      <c r="C5946" s="23" t="s">
        <v>6295</v>
      </c>
      <c r="D5946" s="23" t="s">
        <v>87</v>
      </c>
      <c r="E5946" s="23" t="s">
        <v>79</v>
      </c>
      <c r="F5946" s="23" t="s">
        <v>262</v>
      </c>
      <c r="G5946" s="23" t="s">
        <v>250</v>
      </c>
      <c r="H5946" s="39">
        <f t="shared" si="368"/>
        <v>499</v>
      </c>
      <c r="I5946" s="23" t="str">
        <f t="shared" si="369"/>
        <v>Mumbai</v>
      </c>
      <c r="J5946" s="23">
        <f>COUNTIFS(pg_transaction_cleaned!$O:$O,A5946,pg_transaction_cleaned!$F:$F,"CAPTURE")</f>
        <v>1</v>
      </c>
      <c r="K5946" s="39">
        <f>SUMIFS(pg_transaction_cleaned!$H:$H,pg_transaction_cleaned!$O:$O,A5946,pg_transaction_cleaned!$F:$F,"CAPTURE")</f>
        <v>499</v>
      </c>
      <c r="L5946" s="23">
        <f>COUNTIFS(pg_transaction_cleaned!$O:$O,A5946,pg_transaction_cleaned!$F:$F,"REFUND")</f>
        <v>0</v>
      </c>
      <c r="M5946" s="39">
        <f>SUMIFS(pg_transaction_cleaned!$H:$H,pg_transaction_cleaned!$O:$O,A5946,pg_transaction_cleaned!$F:$F,"REFUND")</f>
        <v>0</v>
      </c>
      <c r="N5946" s="23" t="str">
        <f t="shared" si="370"/>
        <v>OK</v>
      </c>
      <c r="O5946" s="24">
        <f t="shared" si="371"/>
        <v>0</v>
      </c>
    </row>
    <row r="5947" spans="1:15" ht="15" customHeight="1" x14ac:dyDescent="0.3">
      <c r="A5947" s="23" t="s">
        <v>12287</v>
      </c>
      <c r="B5947" s="38">
        <v>46277</v>
      </c>
      <c r="C5947" s="23" t="s">
        <v>12288</v>
      </c>
      <c r="D5947" s="23" t="s">
        <v>89</v>
      </c>
      <c r="E5947" s="23" t="s">
        <v>75</v>
      </c>
      <c r="F5947" s="23" t="s">
        <v>827</v>
      </c>
      <c r="G5947" s="23" t="s">
        <v>250</v>
      </c>
      <c r="H5947" s="39">
        <f t="shared" si="368"/>
        <v>11498</v>
      </c>
      <c r="I5947" s="23" t="str">
        <f t="shared" si="369"/>
        <v>Jaipur</v>
      </c>
      <c r="J5947" s="23">
        <f>COUNTIFS(pg_transaction_cleaned!$O:$O,A5947,pg_transaction_cleaned!$F:$F,"CAPTURE")</f>
        <v>1</v>
      </c>
      <c r="K5947" s="39">
        <f>SUMIFS(pg_transaction_cleaned!$H:$H,pg_transaction_cleaned!$O:$O,A5947,pg_transaction_cleaned!$F:$F,"CAPTURE")</f>
        <v>11498</v>
      </c>
      <c r="L5947" s="23">
        <f>COUNTIFS(pg_transaction_cleaned!$O:$O,A5947,pg_transaction_cleaned!$F:$F,"REFUND")</f>
        <v>0</v>
      </c>
      <c r="M5947" s="39">
        <f>SUMIFS(pg_transaction_cleaned!$H:$H,pg_transaction_cleaned!$O:$O,A5947,pg_transaction_cleaned!$F:$F,"REFUND")</f>
        <v>0</v>
      </c>
      <c r="N5947" s="23" t="str">
        <f t="shared" si="370"/>
        <v>OK</v>
      </c>
      <c r="O5947" s="24">
        <f t="shared" si="371"/>
        <v>0</v>
      </c>
    </row>
    <row r="5948" spans="1:15" ht="15" customHeight="1" x14ac:dyDescent="0.3">
      <c r="A5948" s="23" t="s">
        <v>12289</v>
      </c>
      <c r="B5948" s="38">
        <v>46273</v>
      </c>
      <c r="C5948" s="23" t="s">
        <v>12290</v>
      </c>
      <c r="D5948" s="23" t="s">
        <v>93</v>
      </c>
      <c r="E5948" s="23" t="s">
        <v>75</v>
      </c>
      <c r="F5948" s="23" t="s">
        <v>396</v>
      </c>
      <c r="G5948" s="23" t="s">
        <v>250</v>
      </c>
      <c r="H5948" s="39">
        <f t="shared" si="368"/>
        <v>2999</v>
      </c>
      <c r="I5948" s="23" t="str">
        <f t="shared" si="369"/>
        <v>Kolkata</v>
      </c>
      <c r="J5948" s="23">
        <f>COUNTIFS(pg_transaction_cleaned!$O:$O,A5948,pg_transaction_cleaned!$F:$F,"CAPTURE")</f>
        <v>1</v>
      </c>
      <c r="K5948" s="39">
        <f>SUMIFS(pg_transaction_cleaned!$H:$H,pg_transaction_cleaned!$O:$O,A5948,pg_transaction_cleaned!$F:$F,"CAPTURE")</f>
        <v>2999</v>
      </c>
      <c r="L5948" s="23">
        <f>COUNTIFS(pg_transaction_cleaned!$O:$O,A5948,pg_transaction_cleaned!$F:$F,"REFUND")</f>
        <v>0</v>
      </c>
      <c r="M5948" s="39">
        <f>SUMIFS(pg_transaction_cleaned!$H:$H,pg_transaction_cleaned!$O:$O,A5948,pg_transaction_cleaned!$F:$F,"REFUND")</f>
        <v>0</v>
      </c>
      <c r="N5948" s="23" t="str">
        <f t="shared" si="370"/>
        <v>OK</v>
      </c>
      <c r="O5948" s="24">
        <f t="shared" si="371"/>
        <v>0</v>
      </c>
    </row>
    <row r="5949" spans="1:15" ht="15" customHeight="1" x14ac:dyDescent="0.3">
      <c r="A5949" s="23" t="s">
        <v>12291</v>
      </c>
      <c r="B5949" s="38">
        <v>46271</v>
      </c>
      <c r="C5949" s="23" t="s">
        <v>12292</v>
      </c>
      <c r="D5949" s="23" t="s">
        <v>91</v>
      </c>
      <c r="E5949" s="23" t="s">
        <v>75</v>
      </c>
      <c r="F5949" s="23" t="s">
        <v>262</v>
      </c>
      <c r="G5949" s="23" t="s">
        <v>250</v>
      </c>
      <c r="H5949" s="39">
        <f t="shared" si="368"/>
        <v>499</v>
      </c>
      <c r="I5949" s="23" t="str">
        <f t="shared" si="369"/>
        <v>Pune</v>
      </c>
      <c r="J5949" s="23">
        <f>COUNTIFS(pg_transaction_cleaned!$O:$O,A5949,pg_transaction_cleaned!$F:$F,"CAPTURE")</f>
        <v>1</v>
      </c>
      <c r="K5949" s="39">
        <f>SUMIFS(pg_transaction_cleaned!$H:$H,pg_transaction_cleaned!$O:$O,A5949,pg_transaction_cleaned!$F:$F,"CAPTURE")</f>
        <v>499</v>
      </c>
      <c r="L5949" s="23">
        <f>COUNTIFS(pg_transaction_cleaned!$O:$O,A5949,pg_transaction_cleaned!$F:$F,"REFUND")</f>
        <v>0</v>
      </c>
      <c r="M5949" s="39">
        <f>SUMIFS(pg_transaction_cleaned!$H:$H,pg_transaction_cleaned!$O:$O,A5949,pg_transaction_cleaned!$F:$F,"REFUND")</f>
        <v>0</v>
      </c>
      <c r="N5949" s="23" t="str">
        <f t="shared" si="370"/>
        <v>OK</v>
      </c>
      <c r="O5949" s="24">
        <f t="shared" si="371"/>
        <v>0</v>
      </c>
    </row>
    <row r="5950" spans="1:15" ht="15" customHeight="1" x14ac:dyDescent="0.3">
      <c r="A5950" s="23" t="s">
        <v>12293</v>
      </c>
      <c r="B5950" s="38">
        <v>46273</v>
      </c>
      <c r="C5950" s="23" t="s">
        <v>12294</v>
      </c>
      <c r="D5950" s="23" t="s">
        <v>86</v>
      </c>
      <c r="E5950" s="23" t="s">
        <v>79</v>
      </c>
      <c r="F5950" s="23" t="s">
        <v>274</v>
      </c>
      <c r="G5950" s="23" t="s">
        <v>250</v>
      </c>
      <c r="H5950" s="39">
        <f t="shared" si="368"/>
        <v>349</v>
      </c>
      <c r="I5950" s="23" t="str">
        <f t="shared" si="369"/>
        <v>Delhi</v>
      </c>
      <c r="J5950" s="23">
        <f>COUNTIFS(pg_transaction_cleaned!$O:$O,A5950,pg_transaction_cleaned!$F:$F,"CAPTURE")</f>
        <v>1</v>
      </c>
      <c r="K5950" s="39">
        <f>SUMIFS(pg_transaction_cleaned!$H:$H,pg_transaction_cleaned!$O:$O,A5950,pg_transaction_cleaned!$F:$F,"CAPTURE")</f>
        <v>349</v>
      </c>
      <c r="L5950" s="23">
        <f>COUNTIFS(pg_transaction_cleaned!$O:$O,A5950,pg_transaction_cleaned!$F:$F,"REFUND")</f>
        <v>0</v>
      </c>
      <c r="M5950" s="39">
        <f>SUMIFS(pg_transaction_cleaned!$H:$H,pg_transaction_cleaned!$O:$O,A5950,pg_transaction_cleaned!$F:$F,"REFUND")</f>
        <v>0</v>
      </c>
      <c r="N5950" s="23" t="str">
        <f t="shared" si="370"/>
        <v>OK</v>
      </c>
      <c r="O5950" s="24">
        <f t="shared" si="371"/>
        <v>0</v>
      </c>
    </row>
    <row r="5951" spans="1:15" ht="15" customHeight="1" x14ac:dyDescent="0.3">
      <c r="A5951" s="23" t="s">
        <v>12295</v>
      </c>
      <c r="B5951" s="38">
        <v>46282</v>
      </c>
      <c r="C5951" s="23" t="s">
        <v>12296</v>
      </c>
      <c r="D5951" s="23" t="s">
        <v>93</v>
      </c>
      <c r="E5951" s="23" t="s">
        <v>75</v>
      </c>
      <c r="F5951" s="23" t="s">
        <v>652</v>
      </c>
      <c r="G5951" s="23" t="s">
        <v>250</v>
      </c>
      <c r="H5951" s="39">
        <f t="shared" si="368"/>
        <v>2397</v>
      </c>
      <c r="I5951" s="23" t="str">
        <f t="shared" si="369"/>
        <v>Kolkata</v>
      </c>
      <c r="J5951" s="23">
        <f>COUNTIFS(pg_transaction_cleaned!$O:$O,A5951,pg_transaction_cleaned!$F:$F,"CAPTURE")</f>
        <v>1</v>
      </c>
      <c r="K5951" s="39">
        <f>SUMIFS(pg_transaction_cleaned!$H:$H,pg_transaction_cleaned!$O:$O,A5951,pg_transaction_cleaned!$F:$F,"CAPTURE")</f>
        <v>2397</v>
      </c>
      <c r="L5951" s="23">
        <f>COUNTIFS(pg_transaction_cleaned!$O:$O,A5951,pg_transaction_cleaned!$F:$F,"REFUND")</f>
        <v>0</v>
      </c>
      <c r="M5951" s="39">
        <f>SUMIFS(pg_transaction_cleaned!$H:$H,pg_transaction_cleaned!$O:$O,A5951,pg_transaction_cleaned!$F:$F,"REFUND")</f>
        <v>0</v>
      </c>
      <c r="N5951" s="23" t="str">
        <f t="shared" si="370"/>
        <v>OK</v>
      </c>
      <c r="O5951" s="24">
        <f t="shared" si="371"/>
        <v>0</v>
      </c>
    </row>
    <row r="5952" spans="1:15" ht="15" customHeight="1" x14ac:dyDescent="0.3">
      <c r="A5952" s="23" t="s">
        <v>12297</v>
      </c>
      <c r="B5952" s="38">
        <v>46280</v>
      </c>
      <c r="C5952" s="23" t="s">
        <v>12298</v>
      </c>
      <c r="D5952" s="23" t="s">
        <v>89</v>
      </c>
      <c r="E5952" s="23" t="s">
        <v>77</v>
      </c>
      <c r="F5952" s="23" t="s">
        <v>2045</v>
      </c>
      <c r="G5952" s="23" t="s">
        <v>250</v>
      </c>
      <c r="H5952" s="39">
        <f t="shared" si="368"/>
        <v>698</v>
      </c>
      <c r="I5952" s="23" t="str">
        <f t="shared" si="369"/>
        <v>Jaipur</v>
      </c>
      <c r="J5952" s="23">
        <f>COUNTIFS(pg_transaction_cleaned!$O:$O,A5952,pg_transaction_cleaned!$F:$F,"CAPTURE")</f>
        <v>1</v>
      </c>
      <c r="K5952" s="39">
        <f>SUMIFS(pg_transaction_cleaned!$H:$H,pg_transaction_cleaned!$O:$O,A5952,pg_transaction_cleaned!$F:$F,"CAPTURE")</f>
        <v>698</v>
      </c>
      <c r="L5952" s="23">
        <f>COUNTIFS(pg_transaction_cleaned!$O:$O,A5952,pg_transaction_cleaned!$F:$F,"REFUND")</f>
        <v>0</v>
      </c>
      <c r="M5952" s="39">
        <f>SUMIFS(pg_transaction_cleaned!$H:$H,pg_transaction_cleaned!$O:$O,A5952,pg_transaction_cleaned!$F:$F,"REFUND")</f>
        <v>0</v>
      </c>
      <c r="N5952" s="23" t="str">
        <f t="shared" si="370"/>
        <v>OK</v>
      </c>
      <c r="O5952" s="24">
        <f t="shared" si="371"/>
        <v>0</v>
      </c>
    </row>
    <row r="5953" spans="1:15" ht="15" customHeight="1" x14ac:dyDescent="0.3">
      <c r="A5953" s="23" t="s">
        <v>12299</v>
      </c>
      <c r="B5953" s="38">
        <v>46279</v>
      </c>
      <c r="C5953" s="23" t="s">
        <v>12300</v>
      </c>
      <c r="D5953" s="23" t="s">
        <v>89</v>
      </c>
      <c r="E5953" s="23" t="s">
        <v>75</v>
      </c>
      <c r="F5953" s="23" t="s">
        <v>2364</v>
      </c>
      <c r="G5953" s="23" t="s">
        <v>250</v>
      </c>
      <c r="H5953" s="39">
        <f t="shared" si="368"/>
        <v>3297</v>
      </c>
      <c r="I5953" s="23" t="str">
        <f t="shared" si="369"/>
        <v>Jaipur</v>
      </c>
      <c r="J5953" s="23">
        <f>COUNTIFS(pg_transaction_cleaned!$O:$O,A5953,pg_transaction_cleaned!$F:$F,"CAPTURE")</f>
        <v>1</v>
      </c>
      <c r="K5953" s="39">
        <f>SUMIFS(pg_transaction_cleaned!$H:$H,pg_transaction_cleaned!$O:$O,A5953,pg_transaction_cleaned!$F:$F,"CAPTURE")</f>
        <v>3297</v>
      </c>
      <c r="L5953" s="23">
        <f>COUNTIFS(pg_transaction_cleaned!$O:$O,A5953,pg_transaction_cleaned!$F:$F,"REFUND")</f>
        <v>0</v>
      </c>
      <c r="M5953" s="39">
        <f>SUMIFS(pg_transaction_cleaned!$H:$H,pg_transaction_cleaned!$O:$O,A5953,pg_transaction_cleaned!$F:$F,"REFUND")</f>
        <v>0</v>
      </c>
      <c r="N5953" s="23" t="str">
        <f t="shared" si="370"/>
        <v>OK</v>
      </c>
      <c r="O5953" s="24">
        <f t="shared" si="371"/>
        <v>0</v>
      </c>
    </row>
    <row r="5954" spans="1:15" ht="15" customHeight="1" x14ac:dyDescent="0.3">
      <c r="A5954" s="23" t="s">
        <v>12301</v>
      </c>
      <c r="B5954" s="38">
        <v>46278</v>
      </c>
      <c r="C5954" s="23" t="s">
        <v>12302</v>
      </c>
      <c r="D5954" s="23" t="s">
        <v>86</v>
      </c>
      <c r="E5954" s="23" t="s">
        <v>75</v>
      </c>
      <c r="F5954" s="23" t="s">
        <v>297</v>
      </c>
      <c r="G5954" s="23" t="s">
        <v>250</v>
      </c>
      <c r="H5954" s="39">
        <f t="shared" ref="H5954:H6001" si="372">VALUE(SUBSTITUTE(F5954,",",""))</f>
        <v>4999</v>
      </c>
      <c r="I5954" s="23" t="str">
        <f t="shared" ref="I5954:I6001" si="373">IF(TRIM(D5954)="","Unknown",TRIM(D5954))</f>
        <v>Delhi</v>
      </c>
      <c r="J5954" s="23">
        <f>COUNTIFS(pg_transaction_cleaned!$O:$O,A5954,pg_transaction_cleaned!$F:$F,"CAPTURE")</f>
        <v>1</v>
      </c>
      <c r="K5954" s="39">
        <f>SUMIFS(pg_transaction_cleaned!$H:$H,pg_transaction_cleaned!$O:$O,A5954,pg_transaction_cleaned!$F:$F,"CAPTURE")</f>
        <v>4999</v>
      </c>
      <c r="L5954" s="23">
        <f>COUNTIFS(pg_transaction_cleaned!$O:$O,A5954,pg_transaction_cleaned!$F:$F,"REFUND")</f>
        <v>0</v>
      </c>
      <c r="M5954" s="39">
        <f>SUMIFS(pg_transaction_cleaned!$H:$H,pg_transaction_cleaned!$O:$O,A5954,pg_transaction_cleaned!$F:$F,"REFUND")</f>
        <v>0</v>
      </c>
      <c r="N5954" s="23" t="str">
        <f t="shared" ref="N5954:N6001" si="374">IF(AND(G5954="Paid",J5954=0),"Paid, no payment",IF(AND(OR(G5954="Failed",G5954="Cancelled"),J5954&gt;0),"Payment on failed/cancelled",IF(J5954&gt;1,"Duplicate charge",IF(AND(J5954=1,ROUND(K5954-H5954,2)&lt;&gt;0),"Amount difference",IF(AND(G5954="Refunded",L5954=0),"Refunded, no refund",IF(AND(G5954&lt;&gt;"Refunded",L5954&gt;0),"Refund, order not Refunded",IF(AND(L5954&gt;0,ROUND(M5954-H5954,2)&lt;&gt;0),"Refund amount differs","OK")))))))</f>
        <v>OK</v>
      </c>
      <c r="O5954" s="24">
        <f t="shared" ref="O5954:O6001" si="375">IF(N5954="OK",0,IF(N5954="Paid, no payment",H5954,IF(N5954="Payment on failed/cancelled",K5954,IF(OR(N5954="Duplicate charge",N5954="Amount difference"),K5954-H5954,IF(N5954="Refunded, no refund",H5954,M5954)))))</f>
        <v>0</v>
      </c>
    </row>
    <row r="5955" spans="1:15" ht="15" customHeight="1" x14ac:dyDescent="0.3">
      <c r="A5955" s="23" t="s">
        <v>12303</v>
      </c>
      <c r="B5955" s="38">
        <v>46271</v>
      </c>
      <c r="C5955" s="23" t="s">
        <v>10194</v>
      </c>
      <c r="D5955" s="23" t="s">
        <v>94</v>
      </c>
      <c r="E5955" s="23" t="s">
        <v>75</v>
      </c>
      <c r="F5955" s="23" t="s">
        <v>271</v>
      </c>
      <c r="G5955" s="23" t="s">
        <v>250</v>
      </c>
      <c r="H5955" s="39">
        <f t="shared" si="372"/>
        <v>2499</v>
      </c>
      <c r="I5955" s="23" t="str">
        <f t="shared" si="373"/>
        <v>Chennai</v>
      </c>
      <c r="J5955" s="23">
        <f>COUNTIFS(pg_transaction_cleaned!$O:$O,A5955,pg_transaction_cleaned!$F:$F,"CAPTURE")</f>
        <v>1</v>
      </c>
      <c r="K5955" s="39">
        <f>SUMIFS(pg_transaction_cleaned!$H:$H,pg_transaction_cleaned!$O:$O,A5955,pg_transaction_cleaned!$F:$F,"CAPTURE")</f>
        <v>2499</v>
      </c>
      <c r="L5955" s="23">
        <f>COUNTIFS(pg_transaction_cleaned!$O:$O,A5955,pg_transaction_cleaned!$F:$F,"REFUND")</f>
        <v>0</v>
      </c>
      <c r="M5955" s="39">
        <f>SUMIFS(pg_transaction_cleaned!$H:$H,pg_transaction_cleaned!$O:$O,A5955,pg_transaction_cleaned!$F:$F,"REFUND")</f>
        <v>0</v>
      </c>
      <c r="N5955" s="23" t="str">
        <f t="shared" si="374"/>
        <v>OK</v>
      </c>
      <c r="O5955" s="24">
        <f t="shared" si="375"/>
        <v>0</v>
      </c>
    </row>
    <row r="5956" spans="1:15" ht="15" customHeight="1" x14ac:dyDescent="0.3">
      <c r="A5956" s="23" t="s">
        <v>12304</v>
      </c>
      <c r="B5956" s="38">
        <v>46272</v>
      </c>
      <c r="C5956" s="23" t="s">
        <v>12305</v>
      </c>
      <c r="D5956" s="23" t="s">
        <v>91</v>
      </c>
      <c r="E5956" s="23" t="s">
        <v>75</v>
      </c>
      <c r="F5956" s="23" t="s">
        <v>1021</v>
      </c>
      <c r="G5956" s="23" t="s">
        <v>318</v>
      </c>
      <c r="H5956" s="39">
        <f t="shared" si="372"/>
        <v>9097</v>
      </c>
      <c r="I5956" s="23" t="str">
        <f t="shared" si="373"/>
        <v>Pune</v>
      </c>
      <c r="J5956" s="23">
        <f>COUNTIFS(pg_transaction_cleaned!$O:$O,A5956,pg_transaction_cleaned!$F:$F,"CAPTURE")</f>
        <v>0</v>
      </c>
      <c r="K5956" s="39">
        <f>SUMIFS(pg_transaction_cleaned!$H:$H,pg_transaction_cleaned!$O:$O,A5956,pg_transaction_cleaned!$F:$F,"CAPTURE")</f>
        <v>0</v>
      </c>
      <c r="L5956" s="23">
        <f>COUNTIFS(pg_transaction_cleaned!$O:$O,A5956,pg_transaction_cleaned!$F:$F,"REFUND")</f>
        <v>0</v>
      </c>
      <c r="M5956" s="39">
        <f>SUMIFS(pg_transaction_cleaned!$H:$H,pg_transaction_cleaned!$O:$O,A5956,pg_transaction_cleaned!$F:$F,"REFUND")</f>
        <v>0</v>
      </c>
      <c r="N5956" s="23" t="str">
        <f t="shared" si="374"/>
        <v>OK</v>
      </c>
      <c r="O5956" s="24">
        <f t="shared" si="375"/>
        <v>0</v>
      </c>
    </row>
    <row r="5957" spans="1:15" ht="15" customHeight="1" x14ac:dyDescent="0.3">
      <c r="A5957" s="23" t="s">
        <v>12306</v>
      </c>
      <c r="B5957" s="38">
        <v>46285</v>
      </c>
      <c r="C5957" s="23" t="s">
        <v>12307</v>
      </c>
      <c r="D5957" s="23" t="s">
        <v>90</v>
      </c>
      <c r="E5957" s="23" t="s">
        <v>79</v>
      </c>
      <c r="F5957" s="23" t="s">
        <v>304</v>
      </c>
      <c r="G5957" s="23" t="s">
        <v>250</v>
      </c>
      <c r="H5957" s="39">
        <f t="shared" si="372"/>
        <v>5798</v>
      </c>
      <c r="I5957" s="23" t="str">
        <f t="shared" si="373"/>
        <v>Ahmedabad</v>
      </c>
      <c r="J5957" s="23">
        <f>COUNTIFS(pg_transaction_cleaned!$O:$O,A5957,pg_transaction_cleaned!$F:$F,"CAPTURE")</f>
        <v>1</v>
      </c>
      <c r="K5957" s="39">
        <f>SUMIFS(pg_transaction_cleaned!$H:$H,pg_transaction_cleaned!$O:$O,A5957,pg_transaction_cleaned!$F:$F,"CAPTURE")</f>
        <v>5798</v>
      </c>
      <c r="L5957" s="23">
        <f>COUNTIFS(pg_transaction_cleaned!$O:$O,A5957,pg_transaction_cleaned!$F:$F,"REFUND")</f>
        <v>0</v>
      </c>
      <c r="M5957" s="39">
        <f>SUMIFS(pg_transaction_cleaned!$H:$H,pg_transaction_cleaned!$O:$O,A5957,pg_transaction_cleaned!$F:$F,"REFUND")</f>
        <v>0</v>
      </c>
      <c r="N5957" s="23" t="str">
        <f t="shared" si="374"/>
        <v>OK</v>
      </c>
      <c r="O5957" s="24">
        <f t="shared" si="375"/>
        <v>0</v>
      </c>
    </row>
    <row r="5958" spans="1:15" ht="15" customHeight="1" x14ac:dyDescent="0.3">
      <c r="A5958" s="23" t="s">
        <v>12308</v>
      </c>
      <c r="B5958" s="38">
        <v>46276</v>
      </c>
      <c r="C5958" s="23" t="s">
        <v>12309</v>
      </c>
      <c r="D5958" s="23" t="s">
        <v>89</v>
      </c>
      <c r="E5958" s="23" t="s">
        <v>75</v>
      </c>
      <c r="F5958" s="23" t="s">
        <v>249</v>
      </c>
      <c r="G5958" s="23" t="s">
        <v>250</v>
      </c>
      <c r="H5958" s="39">
        <f t="shared" si="372"/>
        <v>299</v>
      </c>
      <c r="I5958" s="23" t="str">
        <f t="shared" si="373"/>
        <v>Jaipur</v>
      </c>
      <c r="J5958" s="23">
        <f>COUNTIFS(pg_transaction_cleaned!$O:$O,A5958,pg_transaction_cleaned!$F:$F,"CAPTURE")</f>
        <v>1</v>
      </c>
      <c r="K5958" s="39">
        <f>SUMIFS(pg_transaction_cleaned!$H:$H,pg_transaction_cleaned!$O:$O,A5958,pg_transaction_cleaned!$F:$F,"CAPTURE")</f>
        <v>299</v>
      </c>
      <c r="L5958" s="23">
        <f>COUNTIFS(pg_transaction_cleaned!$O:$O,A5958,pg_transaction_cleaned!$F:$F,"REFUND")</f>
        <v>0</v>
      </c>
      <c r="M5958" s="39">
        <f>SUMIFS(pg_transaction_cleaned!$H:$H,pg_transaction_cleaned!$O:$O,A5958,pg_transaction_cleaned!$F:$F,"REFUND")</f>
        <v>0</v>
      </c>
      <c r="N5958" s="23" t="str">
        <f t="shared" si="374"/>
        <v>OK</v>
      </c>
      <c r="O5958" s="24">
        <f t="shared" si="375"/>
        <v>0</v>
      </c>
    </row>
    <row r="5959" spans="1:15" ht="15" customHeight="1" x14ac:dyDescent="0.3">
      <c r="A5959" s="23" t="s">
        <v>12310</v>
      </c>
      <c r="B5959" s="38">
        <v>46275</v>
      </c>
      <c r="C5959" s="23" t="s">
        <v>12311</v>
      </c>
      <c r="D5959" s="23" t="s">
        <v>92</v>
      </c>
      <c r="E5959" s="23" t="s">
        <v>79</v>
      </c>
      <c r="F5959" s="23" t="s">
        <v>483</v>
      </c>
      <c r="G5959" s="23" t="s">
        <v>250</v>
      </c>
      <c r="H5959" s="39">
        <f t="shared" si="372"/>
        <v>2998</v>
      </c>
      <c r="I5959" s="23" t="str">
        <f t="shared" si="373"/>
        <v>Hyderabad</v>
      </c>
      <c r="J5959" s="23">
        <f>COUNTIFS(pg_transaction_cleaned!$O:$O,A5959,pg_transaction_cleaned!$F:$F,"CAPTURE")</f>
        <v>1</v>
      </c>
      <c r="K5959" s="39">
        <f>SUMIFS(pg_transaction_cleaned!$H:$H,pg_transaction_cleaned!$O:$O,A5959,pg_transaction_cleaned!$F:$F,"CAPTURE")</f>
        <v>2998</v>
      </c>
      <c r="L5959" s="23">
        <f>COUNTIFS(pg_transaction_cleaned!$O:$O,A5959,pg_transaction_cleaned!$F:$F,"REFUND")</f>
        <v>0</v>
      </c>
      <c r="M5959" s="39">
        <f>SUMIFS(pg_transaction_cleaned!$H:$H,pg_transaction_cleaned!$O:$O,A5959,pg_transaction_cleaned!$F:$F,"REFUND")</f>
        <v>0</v>
      </c>
      <c r="N5959" s="23" t="str">
        <f t="shared" si="374"/>
        <v>OK</v>
      </c>
      <c r="O5959" s="24">
        <f t="shared" si="375"/>
        <v>0</v>
      </c>
    </row>
    <row r="5960" spans="1:15" ht="15" customHeight="1" x14ac:dyDescent="0.3">
      <c r="A5960" s="23" t="s">
        <v>12312</v>
      </c>
      <c r="B5960" s="38">
        <v>46279</v>
      </c>
      <c r="C5960" s="23" t="s">
        <v>12313</v>
      </c>
      <c r="D5960" s="23" t="s">
        <v>95</v>
      </c>
      <c r="E5960" s="23" t="s">
        <v>75</v>
      </c>
      <c r="F5960" s="23" t="s">
        <v>337</v>
      </c>
      <c r="G5960" s="23" t="s">
        <v>250</v>
      </c>
      <c r="H5960" s="39">
        <f t="shared" si="372"/>
        <v>3998</v>
      </c>
      <c r="I5960" s="23" t="str">
        <f t="shared" si="373"/>
        <v>Bengaluru</v>
      </c>
      <c r="J5960" s="23">
        <f>COUNTIFS(pg_transaction_cleaned!$O:$O,A5960,pg_transaction_cleaned!$F:$F,"CAPTURE")</f>
        <v>1</v>
      </c>
      <c r="K5960" s="39">
        <f>SUMIFS(pg_transaction_cleaned!$H:$H,pg_transaction_cleaned!$O:$O,A5960,pg_transaction_cleaned!$F:$F,"CAPTURE")</f>
        <v>3998</v>
      </c>
      <c r="L5960" s="23">
        <f>COUNTIFS(pg_transaction_cleaned!$O:$O,A5960,pg_transaction_cleaned!$F:$F,"REFUND")</f>
        <v>0</v>
      </c>
      <c r="M5960" s="39">
        <f>SUMIFS(pg_transaction_cleaned!$H:$H,pg_transaction_cleaned!$O:$O,A5960,pg_transaction_cleaned!$F:$F,"REFUND")</f>
        <v>0</v>
      </c>
      <c r="N5960" s="23" t="str">
        <f t="shared" si="374"/>
        <v>OK</v>
      </c>
      <c r="O5960" s="24">
        <f t="shared" si="375"/>
        <v>0</v>
      </c>
    </row>
    <row r="5961" spans="1:15" ht="15" customHeight="1" x14ac:dyDescent="0.3">
      <c r="A5961" s="23" t="s">
        <v>12314</v>
      </c>
      <c r="B5961" s="38">
        <v>46266</v>
      </c>
      <c r="C5961" s="23" t="s">
        <v>12315</v>
      </c>
      <c r="D5961" s="23" t="s">
        <v>89</v>
      </c>
      <c r="E5961" s="23" t="s">
        <v>81</v>
      </c>
      <c r="F5961" s="23" t="s">
        <v>1038</v>
      </c>
      <c r="G5961" s="23" t="s">
        <v>250</v>
      </c>
      <c r="H5961" s="39">
        <f t="shared" si="372"/>
        <v>3597</v>
      </c>
      <c r="I5961" s="23" t="str">
        <f t="shared" si="373"/>
        <v>Jaipur</v>
      </c>
      <c r="J5961" s="23">
        <f>COUNTIFS(pg_transaction_cleaned!$O:$O,A5961,pg_transaction_cleaned!$F:$F,"CAPTURE")</f>
        <v>1</v>
      </c>
      <c r="K5961" s="39">
        <f>SUMIFS(pg_transaction_cleaned!$H:$H,pg_transaction_cleaned!$O:$O,A5961,pg_transaction_cleaned!$F:$F,"CAPTURE")</f>
        <v>3597</v>
      </c>
      <c r="L5961" s="23">
        <f>COUNTIFS(pg_transaction_cleaned!$O:$O,A5961,pg_transaction_cleaned!$F:$F,"REFUND")</f>
        <v>0</v>
      </c>
      <c r="M5961" s="39">
        <f>SUMIFS(pg_transaction_cleaned!$H:$H,pg_transaction_cleaned!$O:$O,A5961,pg_transaction_cleaned!$F:$F,"REFUND")</f>
        <v>0</v>
      </c>
      <c r="N5961" s="23" t="str">
        <f t="shared" si="374"/>
        <v>OK</v>
      </c>
      <c r="O5961" s="24">
        <f t="shared" si="375"/>
        <v>0</v>
      </c>
    </row>
    <row r="5962" spans="1:15" ht="15" customHeight="1" x14ac:dyDescent="0.3">
      <c r="A5962" s="23" t="s">
        <v>12316</v>
      </c>
      <c r="B5962" s="38">
        <v>46273</v>
      </c>
      <c r="C5962" s="23" t="s">
        <v>12317</v>
      </c>
      <c r="D5962" s="23" t="s">
        <v>86</v>
      </c>
      <c r="E5962" s="23" t="s">
        <v>75</v>
      </c>
      <c r="F5962" s="23" t="s">
        <v>265</v>
      </c>
      <c r="G5962" s="23" t="s">
        <v>250</v>
      </c>
      <c r="H5962" s="39">
        <f t="shared" si="372"/>
        <v>999</v>
      </c>
      <c r="I5962" s="23" t="str">
        <f t="shared" si="373"/>
        <v>Delhi</v>
      </c>
      <c r="J5962" s="23">
        <f>COUNTIFS(pg_transaction_cleaned!$O:$O,A5962,pg_transaction_cleaned!$F:$F,"CAPTURE")</f>
        <v>1</v>
      </c>
      <c r="K5962" s="39">
        <f>SUMIFS(pg_transaction_cleaned!$H:$H,pg_transaction_cleaned!$O:$O,A5962,pg_transaction_cleaned!$F:$F,"CAPTURE")</f>
        <v>999</v>
      </c>
      <c r="L5962" s="23">
        <f>COUNTIFS(pg_transaction_cleaned!$O:$O,A5962,pg_transaction_cleaned!$F:$F,"REFUND")</f>
        <v>0</v>
      </c>
      <c r="M5962" s="39">
        <f>SUMIFS(pg_transaction_cleaned!$H:$H,pg_transaction_cleaned!$O:$O,A5962,pg_transaction_cleaned!$F:$F,"REFUND")</f>
        <v>0</v>
      </c>
      <c r="N5962" s="23" t="str">
        <f t="shared" si="374"/>
        <v>OK</v>
      </c>
      <c r="O5962" s="24">
        <f t="shared" si="375"/>
        <v>0</v>
      </c>
    </row>
    <row r="5963" spans="1:15" ht="15" customHeight="1" x14ac:dyDescent="0.3">
      <c r="A5963" s="23" t="s">
        <v>12318</v>
      </c>
      <c r="B5963" s="38">
        <v>46280</v>
      </c>
      <c r="C5963" s="23" t="s">
        <v>12319</v>
      </c>
      <c r="D5963" s="23" t="s">
        <v>86</v>
      </c>
      <c r="E5963" s="23" t="s">
        <v>77</v>
      </c>
      <c r="F5963" s="23" t="s">
        <v>795</v>
      </c>
      <c r="G5963" s="23" t="s">
        <v>250</v>
      </c>
      <c r="H5963" s="39">
        <f t="shared" si="372"/>
        <v>1499</v>
      </c>
      <c r="I5963" s="23" t="str">
        <f t="shared" si="373"/>
        <v>Delhi</v>
      </c>
      <c r="J5963" s="23">
        <f>COUNTIFS(pg_transaction_cleaned!$O:$O,A5963,pg_transaction_cleaned!$F:$F,"CAPTURE")</f>
        <v>1</v>
      </c>
      <c r="K5963" s="39">
        <f>SUMIFS(pg_transaction_cleaned!$H:$H,pg_transaction_cleaned!$O:$O,A5963,pg_transaction_cleaned!$F:$F,"CAPTURE")</f>
        <v>1499</v>
      </c>
      <c r="L5963" s="23">
        <f>COUNTIFS(pg_transaction_cleaned!$O:$O,A5963,pg_transaction_cleaned!$F:$F,"REFUND")</f>
        <v>0</v>
      </c>
      <c r="M5963" s="39">
        <f>SUMIFS(pg_transaction_cleaned!$H:$H,pg_transaction_cleaned!$O:$O,A5963,pg_transaction_cleaned!$F:$F,"REFUND")</f>
        <v>0</v>
      </c>
      <c r="N5963" s="23" t="str">
        <f t="shared" si="374"/>
        <v>OK</v>
      </c>
      <c r="O5963" s="24">
        <f t="shared" si="375"/>
        <v>0</v>
      </c>
    </row>
    <row r="5964" spans="1:15" ht="15" customHeight="1" x14ac:dyDescent="0.3">
      <c r="A5964" s="23" t="s">
        <v>12320</v>
      </c>
      <c r="B5964" s="38">
        <v>46283</v>
      </c>
      <c r="C5964" s="23" t="s">
        <v>12321</v>
      </c>
      <c r="D5964" s="23"/>
      <c r="E5964" s="23" t="s">
        <v>81</v>
      </c>
      <c r="F5964" s="23" t="s">
        <v>271</v>
      </c>
      <c r="G5964" s="23" t="s">
        <v>250</v>
      </c>
      <c r="H5964" s="39">
        <f t="shared" si="372"/>
        <v>2499</v>
      </c>
      <c r="I5964" s="23" t="str">
        <f t="shared" si="373"/>
        <v>Unknown</v>
      </c>
      <c r="J5964" s="23">
        <f>COUNTIFS(pg_transaction_cleaned!$O:$O,A5964,pg_transaction_cleaned!$F:$F,"CAPTURE")</f>
        <v>1</v>
      </c>
      <c r="K5964" s="39">
        <f>SUMIFS(pg_transaction_cleaned!$H:$H,pg_transaction_cleaned!$O:$O,A5964,pg_transaction_cleaned!$F:$F,"CAPTURE")</f>
        <v>2499</v>
      </c>
      <c r="L5964" s="23">
        <f>COUNTIFS(pg_transaction_cleaned!$O:$O,A5964,pg_transaction_cleaned!$F:$F,"REFUND")</f>
        <v>0</v>
      </c>
      <c r="M5964" s="39">
        <f>SUMIFS(pg_transaction_cleaned!$H:$H,pg_transaction_cleaned!$O:$O,A5964,pg_transaction_cleaned!$F:$F,"REFUND")</f>
        <v>0</v>
      </c>
      <c r="N5964" s="23" t="str">
        <f t="shared" si="374"/>
        <v>OK</v>
      </c>
      <c r="O5964" s="24">
        <f t="shared" si="375"/>
        <v>0</v>
      </c>
    </row>
    <row r="5965" spans="1:15" ht="15" customHeight="1" x14ac:dyDescent="0.3">
      <c r="A5965" s="23" t="s">
        <v>12322</v>
      </c>
      <c r="B5965" s="38">
        <v>46270</v>
      </c>
      <c r="C5965" s="23" t="s">
        <v>677</v>
      </c>
      <c r="D5965" s="23" t="s">
        <v>95</v>
      </c>
      <c r="E5965" s="23" t="s">
        <v>79</v>
      </c>
      <c r="F5965" s="23" t="s">
        <v>265</v>
      </c>
      <c r="G5965" s="23" t="s">
        <v>250</v>
      </c>
      <c r="H5965" s="39">
        <f t="shared" si="372"/>
        <v>999</v>
      </c>
      <c r="I5965" s="23" t="str">
        <f t="shared" si="373"/>
        <v>Bengaluru</v>
      </c>
      <c r="J5965" s="23">
        <f>COUNTIFS(pg_transaction_cleaned!$O:$O,A5965,pg_transaction_cleaned!$F:$F,"CAPTURE")</f>
        <v>1</v>
      </c>
      <c r="K5965" s="39">
        <f>SUMIFS(pg_transaction_cleaned!$H:$H,pg_transaction_cleaned!$O:$O,A5965,pg_transaction_cleaned!$F:$F,"CAPTURE")</f>
        <v>999</v>
      </c>
      <c r="L5965" s="23">
        <f>COUNTIFS(pg_transaction_cleaned!$O:$O,A5965,pg_transaction_cleaned!$F:$F,"REFUND")</f>
        <v>0</v>
      </c>
      <c r="M5965" s="39">
        <f>SUMIFS(pg_transaction_cleaned!$H:$H,pg_transaction_cleaned!$O:$O,A5965,pg_transaction_cleaned!$F:$F,"REFUND")</f>
        <v>0</v>
      </c>
      <c r="N5965" s="23" t="str">
        <f t="shared" si="374"/>
        <v>OK</v>
      </c>
      <c r="O5965" s="24">
        <f t="shared" si="375"/>
        <v>0</v>
      </c>
    </row>
    <row r="5966" spans="1:15" ht="15" customHeight="1" x14ac:dyDescent="0.3">
      <c r="A5966" s="23" t="s">
        <v>12323</v>
      </c>
      <c r="B5966" s="38">
        <v>46274</v>
      </c>
      <c r="C5966" s="23" t="s">
        <v>12324</v>
      </c>
      <c r="D5966" s="23" t="s">
        <v>87</v>
      </c>
      <c r="E5966" s="23" t="s">
        <v>81</v>
      </c>
      <c r="F5966" s="23" t="s">
        <v>268</v>
      </c>
      <c r="G5966" s="23" t="s">
        <v>365</v>
      </c>
      <c r="H5966" s="39">
        <f t="shared" si="372"/>
        <v>1299</v>
      </c>
      <c r="I5966" s="23" t="str">
        <f t="shared" si="373"/>
        <v>Mumbai</v>
      </c>
      <c r="J5966" s="23">
        <f>COUNTIFS(pg_transaction_cleaned!$O:$O,A5966,pg_transaction_cleaned!$F:$F,"CAPTURE")</f>
        <v>0</v>
      </c>
      <c r="K5966" s="39">
        <f>SUMIFS(pg_transaction_cleaned!$H:$H,pg_transaction_cleaned!$O:$O,A5966,pg_transaction_cleaned!$F:$F,"CAPTURE")</f>
        <v>0</v>
      </c>
      <c r="L5966" s="23">
        <f>COUNTIFS(pg_transaction_cleaned!$O:$O,A5966,pg_transaction_cleaned!$F:$F,"REFUND")</f>
        <v>0</v>
      </c>
      <c r="M5966" s="39">
        <f>SUMIFS(pg_transaction_cleaned!$H:$H,pg_transaction_cleaned!$O:$O,A5966,pg_transaction_cleaned!$F:$F,"REFUND")</f>
        <v>0</v>
      </c>
      <c r="N5966" s="23" t="str">
        <f t="shared" si="374"/>
        <v>OK</v>
      </c>
      <c r="O5966" s="24">
        <f t="shared" si="375"/>
        <v>0</v>
      </c>
    </row>
    <row r="5967" spans="1:15" ht="15" customHeight="1" x14ac:dyDescent="0.3">
      <c r="A5967" s="23" t="s">
        <v>12325</v>
      </c>
      <c r="B5967" s="38">
        <v>46268</v>
      </c>
      <c r="C5967" s="23" t="s">
        <v>12326</v>
      </c>
      <c r="D5967" s="23" t="s">
        <v>93</v>
      </c>
      <c r="E5967" s="23" t="s">
        <v>75</v>
      </c>
      <c r="F5967" s="23" t="s">
        <v>553</v>
      </c>
      <c r="G5967" s="23" t="s">
        <v>250</v>
      </c>
      <c r="H5967" s="39">
        <f t="shared" si="372"/>
        <v>2798</v>
      </c>
      <c r="I5967" s="23" t="str">
        <f t="shared" si="373"/>
        <v>Kolkata</v>
      </c>
      <c r="J5967" s="23">
        <f>COUNTIFS(pg_transaction_cleaned!$O:$O,A5967,pg_transaction_cleaned!$F:$F,"CAPTURE")</f>
        <v>1</v>
      </c>
      <c r="K5967" s="39">
        <f>SUMIFS(pg_transaction_cleaned!$H:$H,pg_transaction_cleaned!$O:$O,A5967,pg_transaction_cleaned!$F:$F,"CAPTURE")</f>
        <v>2798</v>
      </c>
      <c r="L5967" s="23">
        <f>COUNTIFS(pg_transaction_cleaned!$O:$O,A5967,pg_transaction_cleaned!$F:$F,"REFUND")</f>
        <v>0</v>
      </c>
      <c r="M5967" s="39">
        <f>SUMIFS(pg_transaction_cleaned!$H:$H,pg_transaction_cleaned!$O:$O,A5967,pg_transaction_cleaned!$F:$F,"REFUND")</f>
        <v>0</v>
      </c>
      <c r="N5967" s="23" t="str">
        <f t="shared" si="374"/>
        <v>OK</v>
      </c>
      <c r="O5967" s="24">
        <f t="shared" si="375"/>
        <v>0</v>
      </c>
    </row>
    <row r="5968" spans="1:15" ht="15" customHeight="1" x14ac:dyDescent="0.3">
      <c r="A5968" s="23" t="s">
        <v>12327</v>
      </c>
      <c r="B5968" s="38">
        <v>46276</v>
      </c>
      <c r="C5968" s="23" t="s">
        <v>751</v>
      </c>
      <c r="D5968" s="23" t="s">
        <v>90</v>
      </c>
      <c r="E5968" s="23" t="s">
        <v>79</v>
      </c>
      <c r="F5968" s="23" t="s">
        <v>274</v>
      </c>
      <c r="G5968" s="23" t="s">
        <v>250</v>
      </c>
      <c r="H5968" s="39">
        <f t="shared" si="372"/>
        <v>349</v>
      </c>
      <c r="I5968" s="23" t="str">
        <f t="shared" si="373"/>
        <v>Ahmedabad</v>
      </c>
      <c r="J5968" s="23">
        <f>COUNTIFS(pg_transaction_cleaned!$O:$O,A5968,pg_transaction_cleaned!$F:$F,"CAPTURE")</f>
        <v>1</v>
      </c>
      <c r="K5968" s="39">
        <f>SUMIFS(pg_transaction_cleaned!$H:$H,pg_transaction_cleaned!$O:$O,A5968,pg_transaction_cleaned!$F:$F,"CAPTURE")</f>
        <v>349</v>
      </c>
      <c r="L5968" s="23">
        <f>COUNTIFS(pg_transaction_cleaned!$O:$O,A5968,pg_transaction_cleaned!$F:$F,"REFUND")</f>
        <v>0</v>
      </c>
      <c r="M5968" s="39">
        <f>SUMIFS(pg_transaction_cleaned!$H:$H,pg_transaction_cleaned!$O:$O,A5968,pg_transaction_cleaned!$F:$F,"REFUND")</f>
        <v>0</v>
      </c>
      <c r="N5968" s="23" t="str">
        <f t="shared" si="374"/>
        <v>OK</v>
      </c>
      <c r="O5968" s="24">
        <f t="shared" si="375"/>
        <v>0</v>
      </c>
    </row>
    <row r="5969" spans="1:15" ht="15" customHeight="1" x14ac:dyDescent="0.3">
      <c r="A5969" s="23" t="s">
        <v>12328</v>
      </c>
      <c r="B5969" s="38">
        <v>46291</v>
      </c>
      <c r="C5969" s="23" t="s">
        <v>12329</v>
      </c>
      <c r="D5969" s="23" t="s">
        <v>92</v>
      </c>
      <c r="E5969" s="23" t="s">
        <v>75</v>
      </c>
      <c r="F5969" s="23" t="s">
        <v>291</v>
      </c>
      <c r="G5969" s="23" t="s">
        <v>250</v>
      </c>
      <c r="H5969" s="39">
        <f t="shared" si="372"/>
        <v>3499</v>
      </c>
      <c r="I5969" s="23" t="str">
        <f t="shared" si="373"/>
        <v>Hyderabad</v>
      </c>
      <c r="J5969" s="23">
        <f>COUNTIFS(pg_transaction_cleaned!$O:$O,A5969,pg_transaction_cleaned!$F:$F,"CAPTURE")</f>
        <v>1</v>
      </c>
      <c r="K5969" s="39">
        <f>SUMIFS(pg_transaction_cleaned!$H:$H,pg_transaction_cleaned!$O:$O,A5969,pg_transaction_cleaned!$F:$F,"CAPTURE")</f>
        <v>3499</v>
      </c>
      <c r="L5969" s="23">
        <f>COUNTIFS(pg_transaction_cleaned!$O:$O,A5969,pg_transaction_cleaned!$F:$F,"REFUND")</f>
        <v>0</v>
      </c>
      <c r="M5969" s="39">
        <f>SUMIFS(pg_transaction_cleaned!$H:$H,pg_transaction_cleaned!$O:$O,A5969,pg_transaction_cleaned!$F:$F,"REFUND")</f>
        <v>0</v>
      </c>
      <c r="N5969" s="23" t="str">
        <f t="shared" si="374"/>
        <v>OK</v>
      </c>
      <c r="O5969" s="24">
        <f t="shared" si="375"/>
        <v>0</v>
      </c>
    </row>
    <row r="5970" spans="1:15" ht="15" customHeight="1" x14ac:dyDescent="0.3">
      <c r="A5970" s="23" t="s">
        <v>12330</v>
      </c>
      <c r="B5970" s="38">
        <v>46283</v>
      </c>
      <c r="C5970" s="23" t="s">
        <v>12331</v>
      </c>
      <c r="D5970" s="23" t="s">
        <v>89</v>
      </c>
      <c r="E5970" s="23" t="s">
        <v>79</v>
      </c>
      <c r="F5970" s="23" t="s">
        <v>297</v>
      </c>
      <c r="G5970" s="23" t="s">
        <v>250</v>
      </c>
      <c r="H5970" s="39">
        <f t="shared" si="372"/>
        <v>4999</v>
      </c>
      <c r="I5970" s="23" t="str">
        <f t="shared" si="373"/>
        <v>Jaipur</v>
      </c>
      <c r="J5970" s="23">
        <f>COUNTIFS(pg_transaction_cleaned!$O:$O,A5970,pg_transaction_cleaned!$F:$F,"CAPTURE")</f>
        <v>1</v>
      </c>
      <c r="K5970" s="39">
        <f>SUMIFS(pg_transaction_cleaned!$H:$H,pg_transaction_cleaned!$O:$O,A5970,pg_transaction_cleaned!$F:$F,"CAPTURE")</f>
        <v>4999</v>
      </c>
      <c r="L5970" s="23">
        <f>COUNTIFS(pg_transaction_cleaned!$O:$O,A5970,pg_transaction_cleaned!$F:$F,"REFUND")</f>
        <v>0</v>
      </c>
      <c r="M5970" s="39">
        <f>SUMIFS(pg_transaction_cleaned!$H:$H,pg_transaction_cleaned!$O:$O,A5970,pg_transaction_cleaned!$F:$F,"REFUND")</f>
        <v>0</v>
      </c>
      <c r="N5970" s="23" t="str">
        <f t="shared" si="374"/>
        <v>OK</v>
      </c>
      <c r="O5970" s="24">
        <f t="shared" si="375"/>
        <v>0</v>
      </c>
    </row>
    <row r="5971" spans="1:15" ht="15" customHeight="1" x14ac:dyDescent="0.3">
      <c r="A5971" s="23" t="s">
        <v>12332</v>
      </c>
      <c r="B5971" s="38">
        <v>46278</v>
      </c>
      <c r="C5971" s="23" t="s">
        <v>12333</v>
      </c>
      <c r="D5971" s="23" t="s">
        <v>87</v>
      </c>
      <c r="E5971" s="23" t="s">
        <v>75</v>
      </c>
      <c r="F5971" s="23" t="s">
        <v>396</v>
      </c>
      <c r="G5971" s="23" t="s">
        <v>250</v>
      </c>
      <c r="H5971" s="39">
        <f t="shared" si="372"/>
        <v>2999</v>
      </c>
      <c r="I5971" s="23" t="str">
        <f t="shared" si="373"/>
        <v>Mumbai</v>
      </c>
      <c r="J5971" s="23">
        <f>COUNTIFS(pg_transaction_cleaned!$O:$O,A5971,pg_transaction_cleaned!$F:$F,"CAPTURE")</f>
        <v>1</v>
      </c>
      <c r="K5971" s="39">
        <f>SUMIFS(pg_transaction_cleaned!$H:$H,pg_transaction_cleaned!$O:$O,A5971,pg_transaction_cleaned!$F:$F,"CAPTURE")</f>
        <v>2999</v>
      </c>
      <c r="L5971" s="23">
        <f>COUNTIFS(pg_transaction_cleaned!$O:$O,A5971,pg_transaction_cleaned!$F:$F,"REFUND")</f>
        <v>0</v>
      </c>
      <c r="M5971" s="39">
        <f>SUMIFS(pg_transaction_cleaned!$H:$H,pg_transaction_cleaned!$O:$O,A5971,pg_transaction_cleaned!$F:$F,"REFUND")</f>
        <v>0</v>
      </c>
      <c r="N5971" s="23" t="str">
        <f t="shared" si="374"/>
        <v>OK</v>
      </c>
      <c r="O5971" s="24">
        <f t="shared" si="375"/>
        <v>0</v>
      </c>
    </row>
    <row r="5972" spans="1:15" ht="15" customHeight="1" x14ac:dyDescent="0.3">
      <c r="A5972" s="23" t="s">
        <v>12334</v>
      </c>
      <c r="B5972" s="38">
        <v>46280</v>
      </c>
      <c r="C5972" s="23" t="s">
        <v>12335</v>
      </c>
      <c r="D5972" s="23"/>
      <c r="E5972" s="23" t="s">
        <v>75</v>
      </c>
      <c r="F5972" s="23" t="s">
        <v>280</v>
      </c>
      <c r="G5972" s="23" t="s">
        <v>250</v>
      </c>
      <c r="H5972" s="39">
        <f t="shared" si="372"/>
        <v>5797</v>
      </c>
      <c r="I5972" s="23" t="str">
        <f t="shared" si="373"/>
        <v>Unknown</v>
      </c>
      <c r="J5972" s="23">
        <f>COUNTIFS(pg_transaction_cleaned!$O:$O,A5972,pg_transaction_cleaned!$F:$F,"CAPTURE")</f>
        <v>1</v>
      </c>
      <c r="K5972" s="39">
        <f>SUMIFS(pg_transaction_cleaned!$H:$H,pg_transaction_cleaned!$O:$O,A5972,pg_transaction_cleaned!$F:$F,"CAPTURE")</f>
        <v>5797</v>
      </c>
      <c r="L5972" s="23">
        <f>COUNTIFS(pg_transaction_cleaned!$O:$O,A5972,pg_transaction_cleaned!$F:$F,"REFUND")</f>
        <v>0</v>
      </c>
      <c r="M5972" s="39">
        <f>SUMIFS(pg_transaction_cleaned!$H:$H,pg_transaction_cleaned!$O:$O,A5972,pg_transaction_cleaned!$F:$F,"REFUND")</f>
        <v>0</v>
      </c>
      <c r="N5972" s="23" t="str">
        <f t="shared" si="374"/>
        <v>OK</v>
      </c>
      <c r="O5972" s="24">
        <f t="shared" si="375"/>
        <v>0</v>
      </c>
    </row>
    <row r="5973" spans="1:15" ht="15" customHeight="1" x14ac:dyDescent="0.3">
      <c r="A5973" s="23" t="s">
        <v>12336</v>
      </c>
      <c r="B5973" s="38">
        <v>46273</v>
      </c>
      <c r="C5973" s="23" t="s">
        <v>12337</v>
      </c>
      <c r="D5973" s="23" t="s">
        <v>91</v>
      </c>
      <c r="E5973" s="23" t="s">
        <v>75</v>
      </c>
      <c r="F5973" s="23" t="s">
        <v>772</v>
      </c>
      <c r="G5973" s="23" t="s">
        <v>250</v>
      </c>
      <c r="H5973" s="39">
        <f t="shared" si="372"/>
        <v>4798</v>
      </c>
      <c r="I5973" s="23" t="str">
        <f t="shared" si="373"/>
        <v>Pune</v>
      </c>
      <c r="J5973" s="23">
        <f>COUNTIFS(pg_transaction_cleaned!$O:$O,A5973,pg_transaction_cleaned!$F:$F,"CAPTURE")</f>
        <v>1</v>
      </c>
      <c r="K5973" s="39">
        <f>SUMIFS(pg_transaction_cleaned!$H:$H,pg_transaction_cleaned!$O:$O,A5973,pg_transaction_cleaned!$F:$F,"CAPTURE")</f>
        <v>4798</v>
      </c>
      <c r="L5973" s="23">
        <f>COUNTIFS(pg_transaction_cleaned!$O:$O,A5973,pg_transaction_cleaned!$F:$F,"REFUND")</f>
        <v>0</v>
      </c>
      <c r="M5973" s="39">
        <f>SUMIFS(pg_transaction_cleaned!$H:$H,pg_transaction_cleaned!$O:$O,A5973,pg_transaction_cleaned!$F:$F,"REFUND")</f>
        <v>0</v>
      </c>
      <c r="N5973" s="23" t="str">
        <f t="shared" si="374"/>
        <v>OK</v>
      </c>
      <c r="O5973" s="24">
        <f t="shared" si="375"/>
        <v>0</v>
      </c>
    </row>
    <row r="5974" spans="1:15" ht="15" customHeight="1" x14ac:dyDescent="0.3">
      <c r="A5974" s="23" t="s">
        <v>12338</v>
      </c>
      <c r="B5974" s="38">
        <v>46290</v>
      </c>
      <c r="C5974" s="23" t="s">
        <v>12339</v>
      </c>
      <c r="D5974" s="23" t="s">
        <v>93</v>
      </c>
      <c r="E5974" s="23" t="s">
        <v>79</v>
      </c>
      <c r="F5974" s="23" t="s">
        <v>310</v>
      </c>
      <c r="G5974" s="23" t="s">
        <v>365</v>
      </c>
      <c r="H5974" s="39">
        <f t="shared" si="372"/>
        <v>7999</v>
      </c>
      <c r="I5974" s="23" t="str">
        <f t="shared" si="373"/>
        <v>Kolkata</v>
      </c>
      <c r="J5974" s="23">
        <f>COUNTIFS(pg_transaction_cleaned!$O:$O,A5974,pg_transaction_cleaned!$F:$F,"CAPTURE")</f>
        <v>0</v>
      </c>
      <c r="K5974" s="39">
        <f>SUMIFS(pg_transaction_cleaned!$H:$H,pg_transaction_cleaned!$O:$O,A5974,pg_transaction_cleaned!$F:$F,"CAPTURE")</f>
        <v>0</v>
      </c>
      <c r="L5974" s="23">
        <f>COUNTIFS(pg_transaction_cleaned!$O:$O,A5974,pg_transaction_cleaned!$F:$F,"REFUND")</f>
        <v>0</v>
      </c>
      <c r="M5974" s="39">
        <f>SUMIFS(pg_transaction_cleaned!$H:$H,pg_transaction_cleaned!$O:$O,A5974,pg_transaction_cleaned!$F:$F,"REFUND")</f>
        <v>0</v>
      </c>
      <c r="N5974" s="23" t="str">
        <f t="shared" si="374"/>
        <v>OK</v>
      </c>
      <c r="O5974" s="24">
        <f t="shared" si="375"/>
        <v>0</v>
      </c>
    </row>
    <row r="5975" spans="1:15" ht="15" customHeight="1" x14ac:dyDescent="0.3">
      <c r="A5975" s="23" t="s">
        <v>12340</v>
      </c>
      <c r="B5975" s="38">
        <v>46280</v>
      </c>
      <c r="C5975" s="23" t="s">
        <v>12341</v>
      </c>
      <c r="D5975" s="23" t="s">
        <v>88</v>
      </c>
      <c r="E5975" s="23" t="s">
        <v>75</v>
      </c>
      <c r="F5975" s="23" t="s">
        <v>423</v>
      </c>
      <c r="G5975" s="23" t="s">
        <v>250</v>
      </c>
      <c r="H5975" s="39">
        <f t="shared" si="372"/>
        <v>1648</v>
      </c>
      <c r="I5975" s="23" t="str">
        <f t="shared" si="373"/>
        <v>Lucknow</v>
      </c>
      <c r="J5975" s="23">
        <f>COUNTIFS(pg_transaction_cleaned!$O:$O,A5975,pg_transaction_cleaned!$F:$F,"CAPTURE")</f>
        <v>1</v>
      </c>
      <c r="K5975" s="39">
        <f>SUMIFS(pg_transaction_cleaned!$H:$H,pg_transaction_cleaned!$O:$O,A5975,pg_transaction_cleaned!$F:$F,"CAPTURE")</f>
        <v>1648</v>
      </c>
      <c r="L5975" s="23">
        <f>COUNTIFS(pg_transaction_cleaned!$O:$O,A5975,pg_transaction_cleaned!$F:$F,"REFUND")</f>
        <v>0</v>
      </c>
      <c r="M5975" s="39">
        <f>SUMIFS(pg_transaction_cleaned!$H:$H,pg_transaction_cleaned!$O:$O,A5975,pg_transaction_cleaned!$F:$F,"REFUND")</f>
        <v>0</v>
      </c>
      <c r="N5975" s="23" t="str">
        <f t="shared" si="374"/>
        <v>OK</v>
      </c>
      <c r="O5975" s="24">
        <f t="shared" si="375"/>
        <v>0</v>
      </c>
    </row>
    <row r="5976" spans="1:15" ht="15" customHeight="1" x14ac:dyDescent="0.3">
      <c r="A5976" s="23" t="s">
        <v>12342</v>
      </c>
      <c r="B5976" s="38">
        <v>46278</v>
      </c>
      <c r="C5976" s="23" t="s">
        <v>12343</v>
      </c>
      <c r="D5976" s="23" t="s">
        <v>90</v>
      </c>
      <c r="E5976" s="23" t="s">
        <v>75</v>
      </c>
      <c r="F5976" s="23" t="s">
        <v>8346</v>
      </c>
      <c r="G5976" s="23" t="s">
        <v>250</v>
      </c>
      <c r="H5976" s="39">
        <f t="shared" si="372"/>
        <v>2147</v>
      </c>
      <c r="I5976" s="23" t="str">
        <f t="shared" si="373"/>
        <v>Ahmedabad</v>
      </c>
      <c r="J5976" s="23">
        <f>COUNTIFS(pg_transaction_cleaned!$O:$O,A5976,pg_transaction_cleaned!$F:$F,"CAPTURE")</f>
        <v>1</v>
      </c>
      <c r="K5976" s="39">
        <f>SUMIFS(pg_transaction_cleaned!$H:$H,pg_transaction_cleaned!$O:$O,A5976,pg_transaction_cleaned!$F:$F,"CAPTURE")</f>
        <v>2147</v>
      </c>
      <c r="L5976" s="23">
        <f>COUNTIFS(pg_transaction_cleaned!$O:$O,A5976,pg_transaction_cleaned!$F:$F,"REFUND")</f>
        <v>0</v>
      </c>
      <c r="M5976" s="39">
        <f>SUMIFS(pg_transaction_cleaned!$H:$H,pg_transaction_cleaned!$O:$O,A5976,pg_transaction_cleaned!$F:$F,"REFUND")</f>
        <v>0</v>
      </c>
      <c r="N5976" s="23" t="str">
        <f t="shared" si="374"/>
        <v>OK</v>
      </c>
      <c r="O5976" s="24">
        <f t="shared" si="375"/>
        <v>0</v>
      </c>
    </row>
    <row r="5977" spans="1:15" ht="15" customHeight="1" x14ac:dyDescent="0.3">
      <c r="A5977" s="23" t="s">
        <v>12344</v>
      </c>
      <c r="B5977" s="38">
        <v>46279</v>
      </c>
      <c r="C5977" s="23" t="s">
        <v>12345</v>
      </c>
      <c r="D5977" s="23" t="s">
        <v>87</v>
      </c>
      <c r="E5977" s="23" t="s">
        <v>77</v>
      </c>
      <c r="F5977" s="23" t="s">
        <v>265</v>
      </c>
      <c r="G5977" s="23" t="s">
        <v>250</v>
      </c>
      <c r="H5977" s="39">
        <f t="shared" si="372"/>
        <v>999</v>
      </c>
      <c r="I5977" s="23" t="str">
        <f t="shared" si="373"/>
        <v>Mumbai</v>
      </c>
      <c r="J5977" s="23">
        <f>COUNTIFS(pg_transaction_cleaned!$O:$O,A5977,pg_transaction_cleaned!$F:$F,"CAPTURE")</f>
        <v>1</v>
      </c>
      <c r="K5977" s="39">
        <f>SUMIFS(pg_transaction_cleaned!$H:$H,pg_transaction_cleaned!$O:$O,A5977,pg_transaction_cleaned!$F:$F,"CAPTURE")</f>
        <v>999</v>
      </c>
      <c r="L5977" s="23">
        <f>COUNTIFS(pg_transaction_cleaned!$O:$O,A5977,pg_transaction_cleaned!$F:$F,"REFUND")</f>
        <v>0</v>
      </c>
      <c r="M5977" s="39">
        <f>SUMIFS(pg_transaction_cleaned!$H:$H,pg_transaction_cleaned!$O:$O,A5977,pg_transaction_cleaned!$F:$F,"REFUND")</f>
        <v>0</v>
      </c>
      <c r="N5977" s="23" t="str">
        <f t="shared" si="374"/>
        <v>OK</v>
      </c>
      <c r="O5977" s="24">
        <f t="shared" si="375"/>
        <v>0</v>
      </c>
    </row>
    <row r="5978" spans="1:15" ht="15" customHeight="1" x14ac:dyDescent="0.3">
      <c r="A5978" s="23" t="s">
        <v>12346</v>
      </c>
      <c r="B5978" s="38">
        <v>46270</v>
      </c>
      <c r="C5978" s="23" t="s">
        <v>6683</v>
      </c>
      <c r="D5978" s="23" t="s">
        <v>95</v>
      </c>
      <c r="E5978" s="23" t="s">
        <v>75</v>
      </c>
      <c r="F5978" s="23" t="s">
        <v>396</v>
      </c>
      <c r="G5978" s="23" t="s">
        <v>250</v>
      </c>
      <c r="H5978" s="39">
        <f t="shared" si="372"/>
        <v>2999</v>
      </c>
      <c r="I5978" s="23" t="str">
        <f t="shared" si="373"/>
        <v>Bengaluru</v>
      </c>
      <c r="J5978" s="23">
        <f>COUNTIFS(pg_transaction_cleaned!$O:$O,A5978,pg_transaction_cleaned!$F:$F,"CAPTURE")</f>
        <v>1</v>
      </c>
      <c r="K5978" s="39">
        <f>SUMIFS(pg_transaction_cleaned!$H:$H,pg_transaction_cleaned!$O:$O,A5978,pg_transaction_cleaned!$F:$F,"CAPTURE")</f>
        <v>2999</v>
      </c>
      <c r="L5978" s="23">
        <f>COUNTIFS(pg_transaction_cleaned!$O:$O,A5978,pg_transaction_cleaned!$F:$F,"REFUND")</f>
        <v>0</v>
      </c>
      <c r="M5978" s="39">
        <f>SUMIFS(pg_transaction_cleaned!$H:$H,pg_transaction_cleaned!$O:$O,A5978,pg_transaction_cleaned!$F:$F,"REFUND")</f>
        <v>0</v>
      </c>
      <c r="N5978" s="23" t="str">
        <f t="shared" si="374"/>
        <v>OK</v>
      </c>
      <c r="O5978" s="24">
        <f t="shared" si="375"/>
        <v>0</v>
      </c>
    </row>
    <row r="5979" spans="1:15" ht="15" customHeight="1" x14ac:dyDescent="0.3">
      <c r="A5979" s="23" t="s">
        <v>12347</v>
      </c>
      <c r="B5979" s="38">
        <v>46275</v>
      </c>
      <c r="C5979" s="23" t="s">
        <v>12348</v>
      </c>
      <c r="D5979" s="23" t="s">
        <v>94</v>
      </c>
      <c r="E5979" s="23" t="s">
        <v>75</v>
      </c>
      <c r="F5979" s="23" t="s">
        <v>737</v>
      </c>
      <c r="G5979" s="23" t="s">
        <v>250</v>
      </c>
      <c r="H5979" s="39">
        <f t="shared" si="372"/>
        <v>9798</v>
      </c>
      <c r="I5979" s="23" t="str">
        <f t="shared" si="373"/>
        <v>Chennai</v>
      </c>
      <c r="J5979" s="23">
        <f>COUNTIFS(pg_transaction_cleaned!$O:$O,A5979,pg_transaction_cleaned!$F:$F,"CAPTURE")</f>
        <v>1</v>
      </c>
      <c r="K5979" s="39">
        <f>SUMIFS(pg_transaction_cleaned!$H:$H,pg_transaction_cleaned!$O:$O,A5979,pg_transaction_cleaned!$F:$F,"CAPTURE")</f>
        <v>9798</v>
      </c>
      <c r="L5979" s="23">
        <f>COUNTIFS(pg_transaction_cleaned!$O:$O,A5979,pg_transaction_cleaned!$F:$F,"REFUND")</f>
        <v>0</v>
      </c>
      <c r="M5979" s="39">
        <f>SUMIFS(pg_transaction_cleaned!$H:$H,pg_transaction_cleaned!$O:$O,A5979,pg_transaction_cleaned!$F:$F,"REFUND")</f>
        <v>0</v>
      </c>
      <c r="N5979" s="23" t="str">
        <f t="shared" si="374"/>
        <v>OK</v>
      </c>
      <c r="O5979" s="24">
        <f t="shared" si="375"/>
        <v>0</v>
      </c>
    </row>
    <row r="5980" spans="1:15" ht="15" customHeight="1" x14ac:dyDescent="0.3">
      <c r="A5980" s="23" t="s">
        <v>12349</v>
      </c>
      <c r="B5980" s="38">
        <v>46293</v>
      </c>
      <c r="C5980" s="23" t="s">
        <v>12350</v>
      </c>
      <c r="D5980" s="23" t="s">
        <v>88</v>
      </c>
      <c r="E5980" s="23" t="s">
        <v>79</v>
      </c>
      <c r="F5980" s="23" t="s">
        <v>291</v>
      </c>
      <c r="G5980" s="23" t="s">
        <v>250</v>
      </c>
      <c r="H5980" s="39">
        <f t="shared" si="372"/>
        <v>3499</v>
      </c>
      <c r="I5980" s="23" t="str">
        <f t="shared" si="373"/>
        <v>Lucknow</v>
      </c>
      <c r="J5980" s="23">
        <f>COUNTIFS(pg_transaction_cleaned!$O:$O,A5980,pg_transaction_cleaned!$F:$F,"CAPTURE")</f>
        <v>1</v>
      </c>
      <c r="K5980" s="39">
        <f>SUMIFS(pg_transaction_cleaned!$H:$H,pg_transaction_cleaned!$O:$O,A5980,pg_transaction_cleaned!$F:$F,"CAPTURE")</f>
        <v>3499</v>
      </c>
      <c r="L5980" s="23">
        <f>COUNTIFS(pg_transaction_cleaned!$O:$O,A5980,pg_transaction_cleaned!$F:$F,"REFUND")</f>
        <v>0</v>
      </c>
      <c r="M5980" s="39">
        <f>SUMIFS(pg_transaction_cleaned!$H:$H,pg_transaction_cleaned!$O:$O,A5980,pg_transaction_cleaned!$F:$F,"REFUND")</f>
        <v>0</v>
      </c>
      <c r="N5980" s="23" t="str">
        <f t="shared" si="374"/>
        <v>OK</v>
      </c>
      <c r="O5980" s="24">
        <f t="shared" si="375"/>
        <v>0</v>
      </c>
    </row>
    <row r="5981" spans="1:15" ht="15" customHeight="1" x14ac:dyDescent="0.3">
      <c r="A5981" s="23" t="s">
        <v>12351</v>
      </c>
      <c r="B5981" s="38">
        <v>46286</v>
      </c>
      <c r="C5981" s="23" t="s">
        <v>12352</v>
      </c>
      <c r="D5981" s="23" t="s">
        <v>94</v>
      </c>
      <c r="E5981" s="23" t="s">
        <v>79</v>
      </c>
      <c r="F5981" s="23" t="s">
        <v>534</v>
      </c>
      <c r="G5981" s="23" t="s">
        <v>250</v>
      </c>
      <c r="H5981" s="39">
        <f t="shared" si="372"/>
        <v>3097</v>
      </c>
      <c r="I5981" s="23" t="str">
        <f t="shared" si="373"/>
        <v>Chennai</v>
      </c>
      <c r="J5981" s="23">
        <f>COUNTIFS(pg_transaction_cleaned!$O:$O,A5981,pg_transaction_cleaned!$F:$F,"CAPTURE")</f>
        <v>1</v>
      </c>
      <c r="K5981" s="39">
        <f>SUMIFS(pg_transaction_cleaned!$H:$H,pg_transaction_cleaned!$O:$O,A5981,pg_transaction_cleaned!$F:$F,"CAPTURE")</f>
        <v>3097</v>
      </c>
      <c r="L5981" s="23">
        <f>COUNTIFS(pg_transaction_cleaned!$O:$O,A5981,pg_transaction_cleaned!$F:$F,"REFUND")</f>
        <v>0</v>
      </c>
      <c r="M5981" s="39">
        <f>SUMIFS(pg_transaction_cleaned!$H:$H,pg_transaction_cleaned!$O:$O,A5981,pg_transaction_cleaned!$F:$F,"REFUND")</f>
        <v>0</v>
      </c>
      <c r="N5981" s="23" t="str">
        <f t="shared" si="374"/>
        <v>OK</v>
      </c>
      <c r="O5981" s="24">
        <f t="shared" si="375"/>
        <v>0</v>
      </c>
    </row>
    <row r="5982" spans="1:15" ht="15" customHeight="1" x14ac:dyDescent="0.3">
      <c r="A5982" s="23" t="s">
        <v>12353</v>
      </c>
      <c r="B5982" s="38">
        <v>46288</v>
      </c>
      <c r="C5982" s="23" t="s">
        <v>12354</v>
      </c>
      <c r="D5982" s="23" t="s">
        <v>88</v>
      </c>
      <c r="E5982" s="23" t="s">
        <v>77</v>
      </c>
      <c r="F5982" s="23" t="s">
        <v>460</v>
      </c>
      <c r="G5982" s="23" t="s">
        <v>301</v>
      </c>
      <c r="H5982" s="39">
        <f t="shared" si="372"/>
        <v>1998</v>
      </c>
      <c r="I5982" s="23" t="str">
        <f t="shared" si="373"/>
        <v>Lucknow</v>
      </c>
      <c r="J5982" s="23">
        <f>COUNTIFS(pg_transaction_cleaned!$O:$O,A5982,pg_transaction_cleaned!$F:$F,"CAPTURE")</f>
        <v>1</v>
      </c>
      <c r="K5982" s="39">
        <f>SUMIFS(pg_transaction_cleaned!$H:$H,pg_transaction_cleaned!$O:$O,A5982,pg_transaction_cleaned!$F:$F,"CAPTURE")</f>
        <v>1998</v>
      </c>
      <c r="L5982" s="23">
        <f>COUNTIFS(pg_transaction_cleaned!$O:$O,A5982,pg_transaction_cleaned!$F:$F,"REFUND")</f>
        <v>1</v>
      </c>
      <c r="M5982" s="39">
        <f>SUMIFS(pg_transaction_cleaned!$H:$H,pg_transaction_cleaned!$O:$O,A5982,pg_transaction_cleaned!$F:$F,"REFUND")</f>
        <v>1998</v>
      </c>
      <c r="N5982" s="23" t="str">
        <f t="shared" si="374"/>
        <v>OK</v>
      </c>
      <c r="O5982" s="24">
        <f t="shared" si="375"/>
        <v>0</v>
      </c>
    </row>
    <row r="5983" spans="1:15" ht="15" customHeight="1" x14ac:dyDescent="0.3">
      <c r="A5983" s="23" t="s">
        <v>12355</v>
      </c>
      <c r="B5983" s="38">
        <v>46294</v>
      </c>
      <c r="C5983" s="23" t="s">
        <v>12356</v>
      </c>
      <c r="D5983" s="23" t="s">
        <v>87</v>
      </c>
      <c r="E5983" s="23" t="s">
        <v>75</v>
      </c>
      <c r="F5983" s="23" t="s">
        <v>329</v>
      </c>
      <c r="G5983" s="23" t="s">
        <v>250</v>
      </c>
      <c r="H5983" s="39">
        <f t="shared" si="372"/>
        <v>599</v>
      </c>
      <c r="I5983" s="23" t="str">
        <f t="shared" si="373"/>
        <v>Mumbai</v>
      </c>
      <c r="J5983" s="23">
        <f>COUNTIFS(pg_transaction_cleaned!$O:$O,A5983,pg_transaction_cleaned!$F:$F,"CAPTURE")</f>
        <v>1</v>
      </c>
      <c r="K5983" s="39">
        <f>SUMIFS(pg_transaction_cleaned!$H:$H,pg_transaction_cleaned!$O:$O,A5983,pg_transaction_cleaned!$F:$F,"CAPTURE")</f>
        <v>599</v>
      </c>
      <c r="L5983" s="23">
        <f>COUNTIFS(pg_transaction_cleaned!$O:$O,A5983,pg_transaction_cleaned!$F:$F,"REFUND")</f>
        <v>0</v>
      </c>
      <c r="M5983" s="39">
        <f>SUMIFS(pg_transaction_cleaned!$H:$H,pg_transaction_cleaned!$O:$O,A5983,pg_transaction_cleaned!$F:$F,"REFUND")</f>
        <v>0</v>
      </c>
      <c r="N5983" s="23" t="str">
        <f t="shared" si="374"/>
        <v>OK</v>
      </c>
      <c r="O5983" s="24">
        <f t="shared" si="375"/>
        <v>0</v>
      </c>
    </row>
    <row r="5984" spans="1:15" ht="15" customHeight="1" x14ac:dyDescent="0.3">
      <c r="A5984" s="23" t="s">
        <v>12357</v>
      </c>
      <c r="B5984" s="38">
        <v>46271</v>
      </c>
      <c r="C5984" s="23" t="s">
        <v>12358</v>
      </c>
      <c r="D5984" s="23" t="s">
        <v>93</v>
      </c>
      <c r="E5984" s="23" t="s">
        <v>79</v>
      </c>
      <c r="F5984" s="23" t="s">
        <v>1021</v>
      </c>
      <c r="G5984" s="23" t="s">
        <v>250</v>
      </c>
      <c r="H5984" s="39">
        <f t="shared" si="372"/>
        <v>9097</v>
      </c>
      <c r="I5984" s="23" t="str">
        <f t="shared" si="373"/>
        <v>Kolkata</v>
      </c>
      <c r="J5984" s="23">
        <f>COUNTIFS(pg_transaction_cleaned!$O:$O,A5984,pg_transaction_cleaned!$F:$F,"CAPTURE")</f>
        <v>1</v>
      </c>
      <c r="K5984" s="39">
        <f>SUMIFS(pg_transaction_cleaned!$H:$H,pg_transaction_cleaned!$O:$O,A5984,pg_transaction_cleaned!$F:$F,"CAPTURE")</f>
        <v>9097</v>
      </c>
      <c r="L5984" s="23">
        <f>COUNTIFS(pg_transaction_cleaned!$O:$O,A5984,pg_transaction_cleaned!$F:$F,"REFUND")</f>
        <v>0</v>
      </c>
      <c r="M5984" s="39">
        <f>SUMIFS(pg_transaction_cleaned!$H:$H,pg_transaction_cleaned!$O:$O,A5984,pg_transaction_cleaned!$F:$F,"REFUND")</f>
        <v>0</v>
      </c>
      <c r="N5984" s="23" t="str">
        <f t="shared" si="374"/>
        <v>OK</v>
      </c>
      <c r="O5984" s="24">
        <f t="shared" si="375"/>
        <v>0</v>
      </c>
    </row>
    <row r="5985" spans="1:15" ht="15" customHeight="1" x14ac:dyDescent="0.3">
      <c r="A5985" s="23" t="s">
        <v>12359</v>
      </c>
      <c r="B5985" s="38">
        <v>46272</v>
      </c>
      <c r="C5985" s="23" t="s">
        <v>12360</v>
      </c>
      <c r="D5985" s="23" t="s">
        <v>92</v>
      </c>
      <c r="E5985" s="23" t="s">
        <v>75</v>
      </c>
      <c r="F5985" s="23" t="s">
        <v>478</v>
      </c>
      <c r="G5985" s="23" t="s">
        <v>250</v>
      </c>
      <c r="H5985" s="39">
        <f t="shared" si="372"/>
        <v>9297</v>
      </c>
      <c r="I5985" s="23" t="str">
        <f t="shared" si="373"/>
        <v>Hyderabad</v>
      </c>
      <c r="J5985" s="23">
        <f>COUNTIFS(pg_transaction_cleaned!$O:$O,A5985,pg_transaction_cleaned!$F:$F,"CAPTURE")</f>
        <v>1</v>
      </c>
      <c r="K5985" s="39">
        <f>SUMIFS(pg_transaction_cleaned!$H:$H,pg_transaction_cleaned!$O:$O,A5985,pg_transaction_cleaned!$F:$F,"CAPTURE")</f>
        <v>9297</v>
      </c>
      <c r="L5985" s="23">
        <f>COUNTIFS(pg_transaction_cleaned!$O:$O,A5985,pg_transaction_cleaned!$F:$F,"REFUND")</f>
        <v>0</v>
      </c>
      <c r="M5985" s="39">
        <f>SUMIFS(pg_transaction_cleaned!$H:$H,pg_transaction_cleaned!$O:$O,A5985,pg_transaction_cleaned!$F:$F,"REFUND")</f>
        <v>0</v>
      </c>
      <c r="N5985" s="23" t="str">
        <f t="shared" si="374"/>
        <v>OK</v>
      </c>
      <c r="O5985" s="24">
        <f t="shared" si="375"/>
        <v>0</v>
      </c>
    </row>
    <row r="5986" spans="1:15" ht="15" customHeight="1" x14ac:dyDescent="0.3">
      <c r="A5986" s="23" t="s">
        <v>12361</v>
      </c>
      <c r="B5986" s="38">
        <v>46274</v>
      </c>
      <c r="C5986" s="23" t="s">
        <v>12362</v>
      </c>
      <c r="D5986" s="23" t="s">
        <v>94</v>
      </c>
      <c r="E5986" s="23" t="s">
        <v>79</v>
      </c>
      <c r="F5986" s="23" t="s">
        <v>396</v>
      </c>
      <c r="G5986" s="23" t="s">
        <v>250</v>
      </c>
      <c r="H5986" s="39">
        <f t="shared" si="372"/>
        <v>2999</v>
      </c>
      <c r="I5986" s="23" t="str">
        <f t="shared" si="373"/>
        <v>Chennai</v>
      </c>
      <c r="J5986" s="23">
        <f>COUNTIFS(pg_transaction_cleaned!$O:$O,A5986,pg_transaction_cleaned!$F:$F,"CAPTURE")</f>
        <v>1</v>
      </c>
      <c r="K5986" s="39">
        <f>SUMIFS(pg_transaction_cleaned!$H:$H,pg_transaction_cleaned!$O:$O,A5986,pg_transaction_cleaned!$F:$F,"CAPTURE")</f>
        <v>2999</v>
      </c>
      <c r="L5986" s="23">
        <f>COUNTIFS(pg_transaction_cleaned!$O:$O,A5986,pg_transaction_cleaned!$F:$F,"REFUND")</f>
        <v>0</v>
      </c>
      <c r="M5986" s="39">
        <f>SUMIFS(pg_transaction_cleaned!$H:$H,pg_transaction_cleaned!$O:$O,A5986,pg_transaction_cleaned!$F:$F,"REFUND")</f>
        <v>0</v>
      </c>
      <c r="N5986" s="23" t="str">
        <f t="shared" si="374"/>
        <v>OK</v>
      </c>
      <c r="O5986" s="24">
        <f t="shared" si="375"/>
        <v>0</v>
      </c>
    </row>
    <row r="5987" spans="1:15" ht="15" customHeight="1" x14ac:dyDescent="0.3">
      <c r="A5987" s="23" t="s">
        <v>12363</v>
      </c>
      <c r="B5987" s="38">
        <v>46289</v>
      </c>
      <c r="C5987" s="23" t="s">
        <v>12364</v>
      </c>
      <c r="D5987" s="23" t="s">
        <v>91</v>
      </c>
      <c r="E5987" s="23" t="s">
        <v>79</v>
      </c>
      <c r="F5987" s="23" t="s">
        <v>2160</v>
      </c>
      <c r="G5987" s="23" t="s">
        <v>250</v>
      </c>
      <c r="H5987" s="39">
        <f t="shared" si="372"/>
        <v>7998</v>
      </c>
      <c r="I5987" s="23" t="str">
        <f t="shared" si="373"/>
        <v>Pune</v>
      </c>
      <c r="J5987" s="23">
        <f>COUNTIFS(pg_transaction_cleaned!$O:$O,A5987,pg_transaction_cleaned!$F:$F,"CAPTURE")</f>
        <v>1</v>
      </c>
      <c r="K5987" s="39">
        <f>SUMIFS(pg_transaction_cleaned!$H:$H,pg_transaction_cleaned!$O:$O,A5987,pg_transaction_cleaned!$F:$F,"CAPTURE")</f>
        <v>7998</v>
      </c>
      <c r="L5987" s="23">
        <f>COUNTIFS(pg_transaction_cleaned!$O:$O,A5987,pg_transaction_cleaned!$F:$F,"REFUND")</f>
        <v>0</v>
      </c>
      <c r="M5987" s="39">
        <f>SUMIFS(pg_transaction_cleaned!$H:$H,pg_transaction_cleaned!$O:$O,A5987,pg_transaction_cleaned!$F:$F,"REFUND")</f>
        <v>0</v>
      </c>
      <c r="N5987" s="23" t="str">
        <f t="shared" si="374"/>
        <v>OK</v>
      </c>
      <c r="O5987" s="24">
        <f t="shared" si="375"/>
        <v>0</v>
      </c>
    </row>
    <row r="5988" spans="1:15" ht="15" customHeight="1" x14ac:dyDescent="0.3">
      <c r="A5988" s="23" t="s">
        <v>12365</v>
      </c>
      <c r="B5988" s="38">
        <v>46283</v>
      </c>
      <c r="C5988" s="23" t="s">
        <v>12366</v>
      </c>
      <c r="D5988" s="23" t="s">
        <v>90</v>
      </c>
      <c r="E5988" s="23" t="s">
        <v>75</v>
      </c>
      <c r="F5988" s="23" t="s">
        <v>1329</v>
      </c>
      <c r="G5988" s="23" t="s">
        <v>250</v>
      </c>
      <c r="H5988" s="39">
        <f t="shared" si="372"/>
        <v>6097</v>
      </c>
      <c r="I5988" s="23" t="str">
        <f t="shared" si="373"/>
        <v>Ahmedabad</v>
      </c>
      <c r="J5988" s="23">
        <f>COUNTIFS(pg_transaction_cleaned!$O:$O,A5988,pg_transaction_cleaned!$F:$F,"CAPTURE")</f>
        <v>1</v>
      </c>
      <c r="K5988" s="39">
        <f>SUMIFS(pg_transaction_cleaned!$H:$H,pg_transaction_cleaned!$O:$O,A5988,pg_transaction_cleaned!$F:$F,"CAPTURE")</f>
        <v>6097</v>
      </c>
      <c r="L5988" s="23">
        <f>COUNTIFS(pg_transaction_cleaned!$O:$O,A5988,pg_transaction_cleaned!$F:$F,"REFUND")</f>
        <v>0</v>
      </c>
      <c r="M5988" s="39">
        <f>SUMIFS(pg_transaction_cleaned!$H:$H,pg_transaction_cleaned!$O:$O,A5988,pg_transaction_cleaned!$F:$F,"REFUND")</f>
        <v>0</v>
      </c>
      <c r="N5988" s="23" t="str">
        <f t="shared" si="374"/>
        <v>OK</v>
      </c>
      <c r="O5988" s="24">
        <f t="shared" si="375"/>
        <v>0</v>
      </c>
    </row>
    <row r="5989" spans="1:15" ht="15" customHeight="1" x14ac:dyDescent="0.3">
      <c r="A5989" s="23" t="s">
        <v>12367</v>
      </c>
      <c r="B5989" s="38">
        <v>46273</v>
      </c>
      <c r="C5989" s="23" t="s">
        <v>12368</v>
      </c>
      <c r="D5989" s="23" t="s">
        <v>87</v>
      </c>
      <c r="E5989" s="23" t="s">
        <v>75</v>
      </c>
      <c r="F5989" s="23" t="s">
        <v>310</v>
      </c>
      <c r="G5989" s="23" t="s">
        <v>250</v>
      </c>
      <c r="H5989" s="39">
        <f t="shared" si="372"/>
        <v>7999</v>
      </c>
      <c r="I5989" s="23" t="str">
        <f t="shared" si="373"/>
        <v>Mumbai</v>
      </c>
      <c r="J5989" s="23">
        <f>COUNTIFS(pg_transaction_cleaned!$O:$O,A5989,pg_transaction_cleaned!$F:$F,"CAPTURE")</f>
        <v>1</v>
      </c>
      <c r="K5989" s="39">
        <f>SUMIFS(pg_transaction_cleaned!$H:$H,pg_transaction_cleaned!$O:$O,A5989,pg_transaction_cleaned!$F:$F,"CAPTURE")</f>
        <v>7999</v>
      </c>
      <c r="L5989" s="23">
        <f>COUNTIFS(pg_transaction_cleaned!$O:$O,A5989,pg_transaction_cleaned!$F:$F,"REFUND")</f>
        <v>0</v>
      </c>
      <c r="M5989" s="39">
        <f>SUMIFS(pg_transaction_cleaned!$H:$H,pg_transaction_cleaned!$O:$O,A5989,pg_transaction_cleaned!$F:$F,"REFUND")</f>
        <v>0</v>
      </c>
      <c r="N5989" s="23" t="str">
        <f t="shared" si="374"/>
        <v>OK</v>
      </c>
      <c r="O5989" s="24">
        <f t="shared" si="375"/>
        <v>0</v>
      </c>
    </row>
    <row r="5990" spans="1:15" ht="15" customHeight="1" x14ac:dyDescent="0.3">
      <c r="A5990" s="23" t="s">
        <v>12369</v>
      </c>
      <c r="B5990" s="38">
        <v>46278</v>
      </c>
      <c r="C5990" s="23" t="s">
        <v>12370</v>
      </c>
      <c r="D5990" s="23"/>
      <c r="E5990" s="23" t="s">
        <v>75</v>
      </c>
      <c r="F5990" s="23" t="s">
        <v>12371</v>
      </c>
      <c r="G5990" s="23" t="s">
        <v>250</v>
      </c>
      <c r="H5990" s="39">
        <f t="shared" si="372"/>
        <v>8797</v>
      </c>
      <c r="I5990" s="23" t="str">
        <f t="shared" si="373"/>
        <v>Unknown</v>
      </c>
      <c r="J5990" s="23">
        <f>COUNTIFS(pg_transaction_cleaned!$O:$O,A5990,pg_transaction_cleaned!$F:$F,"CAPTURE")</f>
        <v>1</v>
      </c>
      <c r="K5990" s="39">
        <f>SUMIFS(pg_transaction_cleaned!$H:$H,pg_transaction_cleaned!$O:$O,A5990,pg_transaction_cleaned!$F:$F,"CAPTURE")</f>
        <v>8797</v>
      </c>
      <c r="L5990" s="23">
        <f>COUNTIFS(pg_transaction_cleaned!$O:$O,A5990,pg_transaction_cleaned!$F:$F,"REFUND")</f>
        <v>0</v>
      </c>
      <c r="M5990" s="39">
        <f>SUMIFS(pg_transaction_cleaned!$H:$H,pg_transaction_cleaned!$O:$O,A5990,pg_transaction_cleaned!$F:$F,"REFUND")</f>
        <v>0</v>
      </c>
      <c r="N5990" s="23" t="str">
        <f t="shared" si="374"/>
        <v>OK</v>
      </c>
      <c r="O5990" s="24">
        <f t="shared" si="375"/>
        <v>0</v>
      </c>
    </row>
    <row r="5991" spans="1:15" ht="15" customHeight="1" x14ac:dyDescent="0.3">
      <c r="A5991" s="23" t="s">
        <v>12372</v>
      </c>
      <c r="B5991" s="38">
        <v>46290</v>
      </c>
      <c r="C5991" s="23" t="s">
        <v>12373</v>
      </c>
      <c r="D5991" s="23"/>
      <c r="E5991" s="23" t="s">
        <v>81</v>
      </c>
      <c r="F5991" s="23" t="s">
        <v>274</v>
      </c>
      <c r="G5991" s="23" t="s">
        <v>250</v>
      </c>
      <c r="H5991" s="39">
        <f t="shared" si="372"/>
        <v>349</v>
      </c>
      <c r="I5991" s="23" t="str">
        <f t="shared" si="373"/>
        <v>Unknown</v>
      </c>
      <c r="J5991" s="23">
        <f>COUNTIFS(pg_transaction_cleaned!$O:$O,A5991,pg_transaction_cleaned!$F:$F,"CAPTURE")</f>
        <v>1</v>
      </c>
      <c r="K5991" s="39">
        <f>SUMIFS(pg_transaction_cleaned!$H:$H,pg_transaction_cleaned!$O:$O,A5991,pg_transaction_cleaned!$F:$F,"CAPTURE")</f>
        <v>349</v>
      </c>
      <c r="L5991" s="23">
        <f>COUNTIFS(pg_transaction_cleaned!$O:$O,A5991,pg_transaction_cleaned!$F:$F,"REFUND")</f>
        <v>0</v>
      </c>
      <c r="M5991" s="39">
        <f>SUMIFS(pg_transaction_cleaned!$H:$H,pg_transaction_cleaned!$O:$O,A5991,pg_transaction_cleaned!$F:$F,"REFUND")</f>
        <v>0</v>
      </c>
      <c r="N5991" s="23" t="str">
        <f t="shared" si="374"/>
        <v>OK</v>
      </c>
      <c r="O5991" s="24">
        <f t="shared" si="375"/>
        <v>0</v>
      </c>
    </row>
    <row r="5992" spans="1:15" ht="15" customHeight="1" x14ac:dyDescent="0.3">
      <c r="A5992" s="23" t="s">
        <v>12374</v>
      </c>
      <c r="B5992" s="38">
        <v>46278</v>
      </c>
      <c r="C5992" s="23" t="s">
        <v>12375</v>
      </c>
      <c r="D5992" s="23" t="s">
        <v>95</v>
      </c>
      <c r="E5992" s="23" t="s">
        <v>75</v>
      </c>
      <c r="F5992" s="23" t="s">
        <v>1072</v>
      </c>
      <c r="G5992" s="23" t="s">
        <v>301</v>
      </c>
      <c r="H5992" s="39">
        <f t="shared" si="372"/>
        <v>4897</v>
      </c>
      <c r="I5992" s="23" t="str">
        <f t="shared" si="373"/>
        <v>Bengaluru</v>
      </c>
      <c r="J5992" s="23">
        <f>COUNTIFS(pg_transaction_cleaned!$O:$O,A5992,pg_transaction_cleaned!$F:$F,"CAPTURE")</f>
        <v>1</v>
      </c>
      <c r="K5992" s="39">
        <f>SUMIFS(pg_transaction_cleaned!$H:$H,pg_transaction_cleaned!$O:$O,A5992,pg_transaction_cleaned!$F:$F,"CAPTURE")</f>
        <v>4897</v>
      </c>
      <c r="L5992" s="23">
        <f>COUNTIFS(pg_transaction_cleaned!$O:$O,A5992,pg_transaction_cleaned!$F:$F,"REFUND")</f>
        <v>1</v>
      </c>
      <c r="M5992" s="39">
        <f>SUMIFS(pg_transaction_cleaned!$H:$H,pg_transaction_cleaned!$O:$O,A5992,pg_transaction_cleaned!$F:$F,"REFUND")</f>
        <v>4897</v>
      </c>
      <c r="N5992" s="23" t="str">
        <f t="shared" si="374"/>
        <v>OK</v>
      </c>
      <c r="O5992" s="24">
        <f t="shared" si="375"/>
        <v>0</v>
      </c>
    </row>
    <row r="5993" spans="1:15" ht="15" customHeight="1" x14ac:dyDescent="0.3">
      <c r="A5993" s="23" t="s">
        <v>12376</v>
      </c>
      <c r="B5993" s="38">
        <v>46278</v>
      </c>
      <c r="C5993" s="23" t="s">
        <v>12377</v>
      </c>
      <c r="D5993" s="23" t="s">
        <v>95</v>
      </c>
      <c r="E5993" s="23" t="s">
        <v>79</v>
      </c>
      <c r="F5993" s="23" t="s">
        <v>297</v>
      </c>
      <c r="G5993" s="23" t="s">
        <v>250</v>
      </c>
      <c r="H5993" s="39">
        <f t="shared" si="372"/>
        <v>4999</v>
      </c>
      <c r="I5993" s="23" t="str">
        <f t="shared" si="373"/>
        <v>Bengaluru</v>
      </c>
      <c r="J5993" s="23">
        <f>COUNTIFS(pg_transaction_cleaned!$O:$O,A5993,pg_transaction_cleaned!$F:$F,"CAPTURE")</f>
        <v>1</v>
      </c>
      <c r="K5993" s="39">
        <f>SUMIFS(pg_transaction_cleaned!$H:$H,pg_transaction_cleaned!$O:$O,A5993,pg_transaction_cleaned!$F:$F,"CAPTURE")</f>
        <v>4999</v>
      </c>
      <c r="L5993" s="23">
        <f>COUNTIFS(pg_transaction_cleaned!$O:$O,A5993,pg_transaction_cleaned!$F:$F,"REFUND")</f>
        <v>0</v>
      </c>
      <c r="M5993" s="39">
        <f>SUMIFS(pg_transaction_cleaned!$H:$H,pg_transaction_cleaned!$O:$O,A5993,pg_transaction_cleaned!$F:$F,"REFUND")</f>
        <v>0</v>
      </c>
      <c r="N5993" s="23" t="str">
        <f t="shared" si="374"/>
        <v>OK</v>
      </c>
      <c r="O5993" s="24">
        <f t="shared" si="375"/>
        <v>0</v>
      </c>
    </row>
    <row r="5994" spans="1:15" ht="15" customHeight="1" x14ac:dyDescent="0.3">
      <c r="A5994" s="23" t="s">
        <v>12378</v>
      </c>
      <c r="B5994" s="38">
        <v>46272</v>
      </c>
      <c r="C5994" s="23" t="s">
        <v>12379</v>
      </c>
      <c r="D5994" s="23" t="s">
        <v>94</v>
      </c>
      <c r="E5994" s="23" t="s">
        <v>75</v>
      </c>
      <c r="F5994" s="23" t="s">
        <v>315</v>
      </c>
      <c r="G5994" s="23" t="s">
        <v>250</v>
      </c>
      <c r="H5994" s="39">
        <f t="shared" si="372"/>
        <v>1499</v>
      </c>
      <c r="I5994" s="23" t="str">
        <f t="shared" si="373"/>
        <v>Chennai</v>
      </c>
      <c r="J5994" s="23">
        <f>COUNTIFS(pg_transaction_cleaned!$O:$O,A5994,pg_transaction_cleaned!$F:$F,"CAPTURE")</f>
        <v>1</v>
      </c>
      <c r="K5994" s="39">
        <f>SUMIFS(pg_transaction_cleaned!$H:$H,pg_transaction_cleaned!$O:$O,A5994,pg_transaction_cleaned!$F:$F,"CAPTURE")</f>
        <v>1499</v>
      </c>
      <c r="L5994" s="23">
        <f>COUNTIFS(pg_transaction_cleaned!$O:$O,A5994,pg_transaction_cleaned!$F:$F,"REFUND")</f>
        <v>0</v>
      </c>
      <c r="M5994" s="39">
        <f>SUMIFS(pg_transaction_cleaned!$H:$H,pg_transaction_cleaned!$O:$O,A5994,pg_transaction_cleaned!$F:$F,"REFUND")</f>
        <v>0</v>
      </c>
      <c r="N5994" s="23" t="str">
        <f t="shared" si="374"/>
        <v>OK</v>
      </c>
      <c r="O5994" s="24">
        <f t="shared" si="375"/>
        <v>0</v>
      </c>
    </row>
    <row r="5995" spans="1:15" ht="15" customHeight="1" x14ac:dyDescent="0.3">
      <c r="A5995" s="23" t="s">
        <v>12380</v>
      </c>
      <c r="B5995" s="38">
        <v>46291</v>
      </c>
      <c r="C5995" s="23" t="s">
        <v>12381</v>
      </c>
      <c r="D5995" s="23" t="s">
        <v>86</v>
      </c>
      <c r="E5995" s="23" t="s">
        <v>75</v>
      </c>
      <c r="F5995" s="23" t="s">
        <v>9454</v>
      </c>
      <c r="G5995" s="23" t="s">
        <v>318</v>
      </c>
      <c r="H5995" s="39">
        <f t="shared" si="372"/>
        <v>6847</v>
      </c>
      <c r="I5995" s="23" t="str">
        <f t="shared" si="373"/>
        <v>Delhi</v>
      </c>
      <c r="J5995" s="23">
        <f>COUNTIFS(pg_transaction_cleaned!$O:$O,A5995,pg_transaction_cleaned!$F:$F,"CAPTURE")</f>
        <v>0</v>
      </c>
      <c r="K5995" s="39">
        <f>SUMIFS(pg_transaction_cleaned!$H:$H,pg_transaction_cleaned!$O:$O,A5995,pg_transaction_cleaned!$F:$F,"CAPTURE")</f>
        <v>0</v>
      </c>
      <c r="L5995" s="23">
        <f>COUNTIFS(pg_transaction_cleaned!$O:$O,A5995,pg_transaction_cleaned!$F:$F,"REFUND")</f>
        <v>0</v>
      </c>
      <c r="M5995" s="39">
        <f>SUMIFS(pg_transaction_cleaned!$H:$H,pg_transaction_cleaned!$O:$O,A5995,pg_transaction_cleaned!$F:$F,"REFUND")</f>
        <v>0</v>
      </c>
      <c r="N5995" s="23" t="str">
        <f t="shared" si="374"/>
        <v>OK</v>
      </c>
      <c r="O5995" s="24">
        <f t="shared" si="375"/>
        <v>0</v>
      </c>
    </row>
    <row r="5996" spans="1:15" ht="15" customHeight="1" x14ac:dyDescent="0.3">
      <c r="A5996" s="23" t="s">
        <v>12382</v>
      </c>
      <c r="B5996" s="38">
        <v>46268</v>
      </c>
      <c r="C5996" s="23" t="s">
        <v>12383</v>
      </c>
      <c r="D5996" s="23" t="s">
        <v>92</v>
      </c>
      <c r="E5996" s="23" t="s">
        <v>75</v>
      </c>
      <c r="F5996" s="23" t="s">
        <v>274</v>
      </c>
      <c r="G5996" s="23" t="s">
        <v>250</v>
      </c>
      <c r="H5996" s="39">
        <f t="shared" si="372"/>
        <v>349</v>
      </c>
      <c r="I5996" s="23" t="str">
        <f t="shared" si="373"/>
        <v>Hyderabad</v>
      </c>
      <c r="J5996" s="23">
        <f>COUNTIFS(pg_transaction_cleaned!$O:$O,A5996,pg_transaction_cleaned!$F:$F,"CAPTURE")</f>
        <v>1</v>
      </c>
      <c r="K5996" s="39">
        <f>SUMIFS(pg_transaction_cleaned!$H:$H,pg_transaction_cleaned!$O:$O,A5996,pg_transaction_cleaned!$F:$F,"CAPTURE")</f>
        <v>349</v>
      </c>
      <c r="L5996" s="23">
        <f>COUNTIFS(pg_transaction_cleaned!$O:$O,A5996,pg_transaction_cleaned!$F:$F,"REFUND")</f>
        <v>0</v>
      </c>
      <c r="M5996" s="39">
        <f>SUMIFS(pg_transaction_cleaned!$H:$H,pg_transaction_cleaned!$O:$O,A5996,pg_transaction_cleaned!$F:$F,"REFUND")</f>
        <v>0</v>
      </c>
      <c r="N5996" s="23" t="str">
        <f t="shared" si="374"/>
        <v>OK</v>
      </c>
      <c r="O5996" s="24">
        <f t="shared" si="375"/>
        <v>0</v>
      </c>
    </row>
    <row r="5997" spans="1:15" ht="15" customHeight="1" x14ac:dyDescent="0.3">
      <c r="A5997" s="23" t="s">
        <v>12384</v>
      </c>
      <c r="B5997" s="38">
        <v>46275</v>
      </c>
      <c r="C5997" s="23" t="s">
        <v>12385</v>
      </c>
      <c r="D5997" s="23" t="s">
        <v>89</v>
      </c>
      <c r="E5997" s="23" t="s">
        <v>75</v>
      </c>
      <c r="F5997" s="23" t="s">
        <v>9447</v>
      </c>
      <c r="G5997" s="23" t="s">
        <v>250</v>
      </c>
      <c r="H5997" s="39">
        <f t="shared" si="372"/>
        <v>2498</v>
      </c>
      <c r="I5997" s="23" t="str">
        <f t="shared" si="373"/>
        <v>Jaipur</v>
      </c>
      <c r="J5997" s="23">
        <f>COUNTIFS(pg_transaction_cleaned!$O:$O,A5997,pg_transaction_cleaned!$F:$F,"CAPTURE")</f>
        <v>1</v>
      </c>
      <c r="K5997" s="39">
        <f>SUMIFS(pg_transaction_cleaned!$H:$H,pg_transaction_cleaned!$O:$O,A5997,pg_transaction_cleaned!$F:$F,"CAPTURE")</f>
        <v>2498</v>
      </c>
      <c r="L5997" s="23">
        <f>COUNTIFS(pg_transaction_cleaned!$O:$O,A5997,pg_transaction_cleaned!$F:$F,"REFUND")</f>
        <v>0</v>
      </c>
      <c r="M5997" s="39">
        <f>SUMIFS(pg_transaction_cleaned!$H:$H,pg_transaction_cleaned!$O:$O,A5997,pg_transaction_cleaned!$F:$F,"REFUND")</f>
        <v>0</v>
      </c>
      <c r="N5997" s="23" t="str">
        <f t="shared" si="374"/>
        <v>OK</v>
      </c>
      <c r="O5997" s="24">
        <f t="shared" si="375"/>
        <v>0</v>
      </c>
    </row>
    <row r="5998" spans="1:15" ht="15" customHeight="1" x14ac:dyDescent="0.3">
      <c r="A5998" s="23" t="s">
        <v>12386</v>
      </c>
      <c r="B5998" s="38">
        <v>46283</v>
      </c>
      <c r="C5998" s="23" t="s">
        <v>12387</v>
      </c>
      <c r="D5998" s="23" t="s">
        <v>89</v>
      </c>
      <c r="E5998" s="23" t="s">
        <v>75</v>
      </c>
      <c r="F5998" s="23" t="s">
        <v>478</v>
      </c>
      <c r="G5998" s="23" t="s">
        <v>250</v>
      </c>
      <c r="H5998" s="39">
        <f t="shared" si="372"/>
        <v>9297</v>
      </c>
      <c r="I5998" s="23" t="str">
        <f t="shared" si="373"/>
        <v>Jaipur</v>
      </c>
      <c r="J5998" s="23">
        <f>COUNTIFS(pg_transaction_cleaned!$O:$O,A5998,pg_transaction_cleaned!$F:$F,"CAPTURE")</f>
        <v>1</v>
      </c>
      <c r="K5998" s="39">
        <f>SUMIFS(pg_transaction_cleaned!$H:$H,pg_transaction_cleaned!$O:$O,A5998,pg_transaction_cleaned!$F:$F,"CAPTURE")</f>
        <v>9297</v>
      </c>
      <c r="L5998" s="23">
        <f>COUNTIFS(pg_transaction_cleaned!$O:$O,A5998,pg_transaction_cleaned!$F:$F,"REFUND")</f>
        <v>0</v>
      </c>
      <c r="M5998" s="39">
        <f>SUMIFS(pg_transaction_cleaned!$H:$H,pg_transaction_cleaned!$O:$O,A5998,pg_transaction_cleaned!$F:$F,"REFUND")</f>
        <v>0</v>
      </c>
      <c r="N5998" s="23" t="str">
        <f t="shared" si="374"/>
        <v>OK</v>
      </c>
      <c r="O5998" s="24">
        <f t="shared" si="375"/>
        <v>0</v>
      </c>
    </row>
    <row r="5999" spans="1:15" ht="15" customHeight="1" x14ac:dyDescent="0.3">
      <c r="A5999" s="23" t="s">
        <v>12388</v>
      </c>
      <c r="B5999" s="38">
        <v>46269</v>
      </c>
      <c r="C5999" s="23" t="s">
        <v>12389</v>
      </c>
      <c r="D5999" s="23" t="s">
        <v>92</v>
      </c>
      <c r="E5999" s="23" t="s">
        <v>75</v>
      </c>
      <c r="F5999" s="23" t="s">
        <v>274</v>
      </c>
      <c r="G5999" s="23" t="s">
        <v>250</v>
      </c>
      <c r="H5999" s="39">
        <f t="shared" si="372"/>
        <v>349</v>
      </c>
      <c r="I5999" s="23" t="str">
        <f t="shared" si="373"/>
        <v>Hyderabad</v>
      </c>
      <c r="J5999" s="23">
        <f>COUNTIFS(pg_transaction_cleaned!$O:$O,A5999,pg_transaction_cleaned!$F:$F,"CAPTURE")</f>
        <v>1</v>
      </c>
      <c r="K5999" s="39">
        <f>SUMIFS(pg_transaction_cleaned!$H:$H,pg_transaction_cleaned!$O:$O,A5999,pg_transaction_cleaned!$F:$F,"CAPTURE")</f>
        <v>349</v>
      </c>
      <c r="L5999" s="23">
        <f>COUNTIFS(pg_transaction_cleaned!$O:$O,A5999,pg_transaction_cleaned!$F:$F,"REFUND")</f>
        <v>0</v>
      </c>
      <c r="M5999" s="39">
        <f>SUMIFS(pg_transaction_cleaned!$H:$H,pg_transaction_cleaned!$O:$O,A5999,pg_transaction_cleaned!$F:$F,"REFUND")</f>
        <v>0</v>
      </c>
      <c r="N5999" s="23" t="str">
        <f t="shared" si="374"/>
        <v>OK</v>
      </c>
      <c r="O5999" s="24">
        <f t="shared" si="375"/>
        <v>0</v>
      </c>
    </row>
    <row r="6000" spans="1:15" ht="15" customHeight="1" x14ac:dyDescent="0.3">
      <c r="A6000" s="23" t="s">
        <v>12390</v>
      </c>
      <c r="B6000" s="38">
        <v>46290</v>
      </c>
      <c r="C6000" s="23" t="s">
        <v>12391</v>
      </c>
      <c r="D6000" s="23" t="s">
        <v>92</v>
      </c>
      <c r="E6000" s="23" t="s">
        <v>75</v>
      </c>
      <c r="F6000" s="23" t="s">
        <v>438</v>
      </c>
      <c r="G6000" s="23" t="s">
        <v>250</v>
      </c>
      <c r="H6000" s="39">
        <f t="shared" si="372"/>
        <v>5498</v>
      </c>
      <c r="I6000" s="23" t="str">
        <f t="shared" si="373"/>
        <v>Hyderabad</v>
      </c>
      <c r="J6000" s="23">
        <f>COUNTIFS(pg_transaction_cleaned!$O:$O,A6000,pg_transaction_cleaned!$F:$F,"CAPTURE")</f>
        <v>1</v>
      </c>
      <c r="K6000" s="39">
        <f>SUMIFS(pg_transaction_cleaned!$H:$H,pg_transaction_cleaned!$O:$O,A6000,pg_transaction_cleaned!$F:$F,"CAPTURE")</f>
        <v>5498</v>
      </c>
      <c r="L6000" s="23">
        <f>COUNTIFS(pg_transaction_cleaned!$O:$O,A6000,pg_transaction_cleaned!$F:$F,"REFUND")</f>
        <v>0</v>
      </c>
      <c r="M6000" s="39">
        <f>SUMIFS(pg_transaction_cleaned!$H:$H,pg_transaction_cleaned!$O:$O,A6000,pg_transaction_cleaned!$F:$F,"REFUND")</f>
        <v>0</v>
      </c>
      <c r="N6000" s="23" t="str">
        <f t="shared" si="374"/>
        <v>OK</v>
      </c>
      <c r="O6000" s="24">
        <f t="shared" si="375"/>
        <v>0</v>
      </c>
    </row>
    <row r="6001" spans="1:15" ht="15" customHeight="1" x14ac:dyDescent="0.3">
      <c r="A6001" s="23" t="s">
        <v>12392</v>
      </c>
      <c r="B6001" s="38">
        <v>46271</v>
      </c>
      <c r="C6001" s="23" t="s">
        <v>12393</v>
      </c>
      <c r="D6001" s="23" t="s">
        <v>95</v>
      </c>
      <c r="E6001" s="23" t="s">
        <v>75</v>
      </c>
      <c r="F6001" s="23" t="s">
        <v>288</v>
      </c>
      <c r="G6001" s="23" t="s">
        <v>301</v>
      </c>
      <c r="H6001" s="39">
        <f t="shared" si="372"/>
        <v>4298</v>
      </c>
      <c r="I6001" s="23" t="str">
        <f t="shared" si="373"/>
        <v>Bengaluru</v>
      </c>
      <c r="J6001" s="23">
        <f>COUNTIFS(pg_transaction_cleaned!$O:$O,A6001,pg_transaction_cleaned!$F:$F,"CAPTURE")</f>
        <v>1</v>
      </c>
      <c r="K6001" s="39">
        <f>SUMIFS(pg_transaction_cleaned!$H:$H,pg_transaction_cleaned!$O:$O,A6001,pg_transaction_cleaned!$F:$F,"CAPTURE")</f>
        <v>4298</v>
      </c>
      <c r="L6001" s="23">
        <f>COUNTIFS(pg_transaction_cleaned!$O:$O,A6001,pg_transaction_cleaned!$F:$F,"REFUND")</f>
        <v>1</v>
      </c>
      <c r="M6001" s="39">
        <f>SUMIFS(pg_transaction_cleaned!$H:$H,pg_transaction_cleaned!$O:$O,A6001,pg_transaction_cleaned!$F:$F,"REFUND")</f>
        <v>4298</v>
      </c>
      <c r="N6001" s="23" t="str">
        <f t="shared" si="374"/>
        <v>OK</v>
      </c>
      <c r="O6001" s="24">
        <f t="shared" si="375"/>
        <v>0</v>
      </c>
    </row>
  </sheetData>
  <autoFilter ref="A1:O60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74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6" customWidth="1"/>
    <col min="2" max="2" width="22" customWidth="1"/>
    <col min="3" max="3" width="20" customWidth="1"/>
    <col min="4" max="4" width="26" customWidth="1"/>
    <col min="5" max="5" width="12" customWidth="1"/>
    <col min="6" max="6" width="11" customWidth="1"/>
    <col min="7" max="7" width="15" customWidth="1"/>
    <col min="8" max="8" width="13" customWidth="1"/>
    <col min="9" max="10" width="11" customWidth="1"/>
    <col min="11" max="11" width="13" customWidth="1"/>
    <col min="12" max="12" width="15" customWidth="1"/>
    <col min="13" max="13" width="20" customWidth="1"/>
    <col min="14" max="14" width="9" customWidth="1"/>
    <col min="15" max="16" width="15" customWidth="1"/>
    <col min="17" max="17" width="12" customWidth="1"/>
  </cols>
  <sheetData>
    <row r="1" spans="1:17" ht="23.25" customHeight="1" x14ac:dyDescent="0.3">
      <c r="A1" s="17" t="s">
        <v>12394</v>
      </c>
      <c r="B1" s="17" t="s">
        <v>12395</v>
      </c>
      <c r="C1" s="17" t="s">
        <v>12396</v>
      </c>
      <c r="D1" s="17" t="s">
        <v>12397</v>
      </c>
      <c r="E1" s="17" t="s">
        <v>12398</v>
      </c>
      <c r="F1" s="17" t="s">
        <v>12399</v>
      </c>
      <c r="G1" s="17" t="s">
        <v>236</v>
      </c>
      <c r="H1" s="17" t="s">
        <v>12400</v>
      </c>
      <c r="I1" s="17" t="s">
        <v>12401</v>
      </c>
      <c r="J1" s="17" t="s">
        <v>12402</v>
      </c>
      <c r="K1" s="17" t="s">
        <v>12403</v>
      </c>
      <c r="L1" s="17" t="s">
        <v>175</v>
      </c>
      <c r="M1" s="17" t="s">
        <v>12404</v>
      </c>
      <c r="N1" s="36" t="s">
        <v>12405</v>
      </c>
      <c r="O1" s="36" t="s">
        <v>12406</v>
      </c>
      <c r="P1" s="36" t="s">
        <v>12407</v>
      </c>
      <c r="Q1" s="36" t="s">
        <v>12408</v>
      </c>
    </row>
    <row r="2" spans="1:17" ht="15" customHeight="1" x14ac:dyDescent="0.3">
      <c r="A2" s="23" t="s">
        <v>12409</v>
      </c>
      <c r="B2" s="23"/>
      <c r="C2" s="23" t="s">
        <v>424</v>
      </c>
      <c r="D2" s="23" t="str">
        <f t="shared" ref="D2:D65" si="0">UPPER(SUBSTITUTE(TRIM(C2),"-",""))</f>
        <v>ORD26000066</v>
      </c>
      <c r="E2" s="38">
        <v>46266</v>
      </c>
      <c r="F2" s="23" t="s">
        <v>12410</v>
      </c>
      <c r="G2" s="23" t="s">
        <v>77</v>
      </c>
      <c r="H2" s="24">
        <v>6798</v>
      </c>
      <c r="I2" s="24">
        <v>163.15</v>
      </c>
      <c r="J2" s="24">
        <v>29.37</v>
      </c>
      <c r="K2" s="24">
        <v>6605.48</v>
      </c>
      <c r="L2" s="38">
        <v>46268</v>
      </c>
      <c r="M2" s="23" t="s">
        <v>181</v>
      </c>
      <c r="N2" s="23" t="str">
        <f>IF(COUNTIF($A$2:A2,A2)&gt;1,"DUP","OK")</f>
        <v>OK</v>
      </c>
      <c r="O2" s="23" t="str">
        <f t="shared" ref="O2:O65" si="1">IF(F2="REFUND",INDEX($D:$D,MATCH(B2,$A:$A,0)),D2)</f>
        <v>ORD26000066</v>
      </c>
      <c r="P2" s="23" t="str">
        <f t="shared" ref="P2:P65" si="2">IF(L2&gt;DATE(2026,9,30),"Oct-Due","Sep")</f>
        <v>Sep</v>
      </c>
      <c r="Q2" s="23" t="str">
        <f>IF(F2="CAPTURE",IF(COUNTIF(orders!$A:$A,O2)&gt;0,"Yes","NO ORDER"),"")</f>
        <v>Yes</v>
      </c>
    </row>
    <row r="3" spans="1:17" ht="15" customHeight="1" x14ac:dyDescent="0.3">
      <c r="A3" s="23" t="s">
        <v>12411</v>
      </c>
      <c r="B3" s="23"/>
      <c r="C3" s="23" t="s">
        <v>12412</v>
      </c>
      <c r="D3" s="23" t="str">
        <f t="shared" si="0"/>
        <v>ORD26000130</v>
      </c>
      <c r="E3" s="38">
        <v>46266</v>
      </c>
      <c r="F3" s="23" t="s">
        <v>12410</v>
      </c>
      <c r="G3" s="23" t="s">
        <v>79</v>
      </c>
      <c r="H3" s="24">
        <v>11297</v>
      </c>
      <c r="I3" s="24">
        <v>180.75</v>
      </c>
      <c r="J3" s="24">
        <v>32.54</v>
      </c>
      <c r="K3" s="24">
        <v>11083.71</v>
      </c>
      <c r="L3" s="38">
        <v>46268</v>
      </c>
      <c r="M3" s="23" t="s">
        <v>181</v>
      </c>
      <c r="N3" s="23" t="str">
        <f>IF(COUNTIF($A$2:A3,A3)&gt;1,"DUP","OK")</f>
        <v>OK</v>
      </c>
      <c r="O3" s="23" t="str">
        <f t="shared" si="1"/>
        <v>ORD26000130</v>
      </c>
      <c r="P3" s="23" t="str">
        <f t="shared" si="2"/>
        <v>Sep</v>
      </c>
      <c r="Q3" s="23" t="str">
        <f>IF(F3="CAPTURE",IF(COUNTIF(orders!$A:$A,O3)&gt;0,"Yes","NO ORDER"),"")</f>
        <v>Yes</v>
      </c>
    </row>
    <row r="4" spans="1:17" ht="15" customHeight="1" x14ac:dyDescent="0.3">
      <c r="A4" s="23" t="s">
        <v>12413</v>
      </c>
      <c r="B4" s="23"/>
      <c r="C4" s="23" t="s">
        <v>702</v>
      </c>
      <c r="D4" s="23" t="str">
        <f t="shared" si="0"/>
        <v>ORD26000184</v>
      </c>
      <c r="E4" s="38">
        <v>46266</v>
      </c>
      <c r="F4" s="23" t="s">
        <v>12410</v>
      </c>
      <c r="G4" s="23" t="s">
        <v>79</v>
      </c>
      <c r="H4" s="24">
        <v>4999</v>
      </c>
      <c r="I4" s="24">
        <v>79.98</v>
      </c>
      <c r="J4" s="24">
        <v>14.4</v>
      </c>
      <c r="K4" s="24">
        <v>4904.62</v>
      </c>
      <c r="L4" s="38">
        <v>46268</v>
      </c>
      <c r="M4" s="23" t="s">
        <v>181</v>
      </c>
      <c r="N4" s="23" t="str">
        <f>IF(COUNTIF($A$2:A4,A4)&gt;1,"DUP","OK")</f>
        <v>OK</v>
      </c>
      <c r="O4" s="23" t="str">
        <f t="shared" si="1"/>
        <v>ORD26000184</v>
      </c>
      <c r="P4" s="23" t="str">
        <f t="shared" si="2"/>
        <v>Sep</v>
      </c>
      <c r="Q4" s="23" t="str">
        <f>IF(F4="CAPTURE",IF(COUNTIF(orders!$A:$A,O4)&gt;0,"Yes","NO ORDER"),"")</f>
        <v>Yes</v>
      </c>
    </row>
    <row r="5" spans="1:17" ht="15" customHeight="1" x14ac:dyDescent="0.3">
      <c r="A5" s="23" t="s">
        <v>12414</v>
      </c>
      <c r="B5" s="23"/>
      <c r="C5" s="23" t="s">
        <v>849</v>
      </c>
      <c r="D5" s="23" t="str">
        <f t="shared" si="0"/>
        <v>ORD26000244</v>
      </c>
      <c r="E5" s="38">
        <v>46266</v>
      </c>
      <c r="F5" s="23" t="s">
        <v>12410</v>
      </c>
      <c r="G5" s="23" t="s">
        <v>79</v>
      </c>
      <c r="H5" s="24">
        <v>349</v>
      </c>
      <c r="I5" s="24">
        <v>6.28</v>
      </c>
      <c r="J5" s="24">
        <v>1.1299999999999999</v>
      </c>
      <c r="K5" s="24">
        <v>341.59</v>
      </c>
      <c r="L5" s="38">
        <v>46268</v>
      </c>
      <c r="M5" s="23" t="s">
        <v>181</v>
      </c>
      <c r="N5" s="23" t="str">
        <f>IF(COUNTIF($A$2:A5,A5)&gt;1,"DUP","OK")</f>
        <v>OK</v>
      </c>
      <c r="O5" s="23" t="str">
        <f t="shared" si="1"/>
        <v>ORD26000244</v>
      </c>
      <c r="P5" s="23" t="str">
        <f t="shared" si="2"/>
        <v>Sep</v>
      </c>
      <c r="Q5" s="23" t="str">
        <f>IF(F5="CAPTURE",IF(COUNTIF(orders!$A:$A,O5)&gt;0,"Yes","NO ORDER"),"")</f>
        <v>Yes</v>
      </c>
    </row>
    <row r="6" spans="1:17" ht="15" customHeight="1" x14ac:dyDescent="0.3">
      <c r="A6" s="23" t="s">
        <v>12415</v>
      </c>
      <c r="B6" s="23"/>
      <c r="C6" s="23" t="s">
        <v>865</v>
      </c>
      <c r="D6" s="23" t="str">
        <f t="shared" si="0"/>
        <v>ORD26000252</v>
      </c>
      <c r="E6" s="38">
        <v>46266</v>
      </c>
      <c r="F6" s="23" t="s">
        <v>12410</v>
      </c>
      <c r="G6" s="23" t="s">
        <v>75</v>
      </c>
      <c r="H6" s="24">
        <v>9498</v>
      </c>
      <c r="I6" s="24">
        <v>28.49</v>
      </c>
      <c r="J6" s="24">
        <v>5.13</v>
      </c>
      <c r="K6" s="24">
        <v>9464.3799999999992</v>
      </c>
      <c r="L6" s="38">
        <v>46268</v>
      </c>
      <c r="M6" s="23" t="s">
        <v>181</v>
      </c>
      <c r="N6" s="23" t="str">
        <f>IF(COUNTIF($A$2:A6,A6)&gt;1,"DUP","OK")</f>
        <v>OK</v>
      </c>
      <c r="O6" s="23" t="str">
        <f t="shared" si="1"/>
        <v>ORD26000252</v>
      </c>
      <c r="P6" s="23" t="str">
        <f t="shared" si="2"/>
        <v>Sep</v>
      </c>
      <c r="Q6" s="23" t="str">
        <f>IF(F6="CAPTURE",IF(COUNTIF(orders!$A:$A,O6)&gt;0,"Yes","NO ORDER"),"")</f>
        <v>Yes</v>
      </c>
    </row>
    <row r="7" spans="1:17" ht="15" customHeight="1" x14ac:dyDescent="0.3">
      <c r="A7" s="23" t="s">
        <v>12416</v>
      </c>
      <c r="B7" s="23"/>
      <c r="C7" s="23" t="s">
        <v>895</v>
      </c>
      <c r="D7" s="23" t="str">
        <f t="shared" si="0"/>
        <v>ORD26000266</v>
      </c>
      <c r="E7" s="38">
        <v>46266</v>
      </c>
      <c r="F7" s="23" t="s">
        <v>12410</v>
      </c>
      <c r="G7" s="23" t="s">
        <v>79</v>
      </c>
      <c r="H7" s="24">
        <v>7999</v>
      </c>
      <c r="I7" s="24">
        <v>127.98</v>
      </c>
      <c r="J7" s="24">
        <v>23.04</v>
      </c>
      <c r="K7" s="24">
        <v>7847.98</v>
      </c>
      <c r="L7" s="38">
        <v>46268</v>
      </c>
      <c r="M7" s="23" t="s">
        <v>181</v>
      </c>
      <c r="N7" s="23" t="str">
        <f>IF(COUNTIF($A$2:A7,A7)&gt;1,"DUP","OK")</f>
        <v>OK</v>
      </c>
      <c r="O7" s="23" t="str">
        <f t="shared" si="1"/>
        <v>ORD26000266</v>
      </c>
      <c r="P7" s="23" t="str">
        <f t="shared" si="2"/>
        <v>Sep</v>
      </c>
      <c r="Q7" s="23" t="str">
        <f>IF(F7="CAPTURE",IF(COUNTIF(orders!$A:$A,O7)&gt;0,"Yes","NO ORDER"),"")</f>
        <v>Yes</v>
      </c>
    </row>
    <row r="8" spans="1:17" ht="15" customHeight="1" x14ac:dyDescent="0.3">
      <c r="A8" s="23" t="s">
        <v>12417</v>
      </c>
      <c r="B8" s="23"/>
      <c r="C8" s="23" t="s">
        <v>1033</v>
      </c>
      <c r="D8" s="23" t="str">
        <f t="shared" si="0"/>
        <v>ORD26000331</v>
      </c>
      <c r="E8" s="38">
        <v>46266</v>
      </c>
      <c r="F8" s="23" t="s">
        <v>12410</v>
      </c>
      <c r="G8" s="23" t="s">
        <v>79</v>
      </c>
      <c r="H8" s="24">
        <v>1299</v>
      </c>
      <c r="I8" s="24">
        <v>23.38</v>
      </c>
      <c r="J8" s="24">
        <v>4.21</v>
      </c>
      <c r="K8" s="24">
        <v>1271.4100000000001</v>
      </c>
      <c r="L8" s="38">
        <v>46268</v>
      </c>
      <c r="M8" s="23" t="s">
        <v>181</v>
      </c>
      <c r="N8" s="23" t="str">
        <f>IF(COUNTIF($A$2:A8,A8)&gt;1,"DUP","OK")</f>
        <v>OK</v>
      </c>
      <c r="O8" s="23" t="str">
        <f t="shared" si="1"/>
        <v>ORD26000331</v>
      </c>
      <c r="P8" s="23" t="str">
        <f t="shared" si="2"/>
        <v>Sep</v>
      </c>
      <c r="Q8" s="23" t="str">
        <f>IF(F8="CAPTURE",IF(COUNTIF(orders!$A:$A,O8)&gt;0,"Yes","NO ORDER"),"")</f>
        <v>Yes</v>
      </c>
    </row>
    <row r="9" spans="1:17" ht="15" customHeight="1" x14ac:dyDescent="0.3">
      <c r="A9" s="23" t="s">
        <v>12418</v>
      </c>
      <c r="B9" s="23"/>
      <c r="C9" s="23" t="s">
        <v>1128</v>
      </c>
      <c r="D9" s="23" t="str">
        <f t="shared" si="0"/>
        <v>ORD26000373</v>
      </c>
      <c r="E9" s="38">
        <v>46266</v>
      </c>
      <c r="F9" s="23" t="s">
        <v>12410</v>
      </c>
      <c r="G9" s="23" t="s">
        <v>75</v>
      </c>
      <c r="H9" s="24">
        <v>1799</v>
      </c>
      <c r="I9" s="24">
        <v>0</v>
      </c>
      <c r="J9" s="24">
        <v>0</v>
      </c>
      <c r="K9" s="24">
        <v>1799</v>
      </c>
      <c r="L9" s="38">
        <v>46268</v>
      </c>
      <c r="M9" s="23" t="s">
        <v>181</v>
      </c>
      <c r="N9" s="23" t="str">
        <f>IF(COUNTIF($A$2:A9,A9)&gt;1,"DUP","OK")</f>
        <v>OK</v>
      </c>
      <c r="O9" s="23" t="str">
        <f t="shared" si="1"/>
        <v>ORD26000373</v>
      </c>
      <c r="P9" s="23" t="str">
        <f t="shared" si="2"/>
        <v>Sep</v>
      </c>
      <c r="Q9" s="23" t="str">
        <f>IF(F9="CAPTURE",IF(COUNTIF(orders!$A:$A,O9)&gt;0,"Yes","NO ORDER"),"")</f>
        <v>Yes</v>
      </c>
    </row>
    <row r="10" spans="1:17" ht="15" customHeight="1" x14ac:dyDescent="0.3">
      <c r="A10" s="23" t="s">
        <v>12419</v>
      </c>
      <c r="B10" s="23"/>
      <c r="C10" s="23" t="s">
        <v>1132</v>
      </c>
      <c r="D10" s="23" t="str">
        <f t="shared" si="0"/>
        <v>ORD26000375</v>
      </c>
      <c r="E10" s="38">
        <v>46266</v>
      </c>
      <c r="F10" s="23" t="s">
        <v>12410</v>
      </c>
      <c r="G10" s="23" t="s">
        <v>75</v>
      </c>
      <c r="H10" s="24">
        <v>4298</v>
      </c>
      <c r="I10" s="24">
        <v>12.89</v>
      </c>
      <c r="J10" s="24">
        <v>2.3199999999999998</v>
      </c>
      <c r="K10" s="24">
        <v>4282.79</v>
      </c>
      <c r="L10" s="38">
        <v>46268</v>
      </c>
      <c r="M10" s="23" t="s">
        <v>181</v>
      </c>
      <c r="N10" s="23" t="str">
        <f>IF(COUNTIF($A$2:A10,A10)&gt;1,"DUP","OK")</f>
        <v>OK</v>
      </c>
      <c r="O10" s="23" t="str">
        <f t="shared" si="1"/>
        <v>ORD26000375</v>
      </c>
      <c r="P10" s="23" t="str">
        <f t="shared" si="2"/>
        <v>Sep</v>
      </c>
      <c r="Q10" s="23" t="str">
        <f>IF(F10="CAPTURE",IF(COUNTIF(orders!$A:$A,O10)&gt;0,"Yes","NO ORDER"),"")</f>
        <v>Yes</v>
      </c>
    </row>
    <row r="11" spans="1:17" ht="15" customHeight="1" x14ac:dyDescent="0.3">
      <c r="A11" s="23" t="s">
        <v>12420</v>
      </c>
      <c r="B11" s="23"/>
      <c r="C11" s="23" t="s">
        <v>1207</v>
      </c>
      <c r="D11" s="23" t="str">
        <f t="shared" si="0"/>
        <v>ORD26000410</v>
      </c>
      <c r="E11" s="38">
        <v>46266</v>
      </c>
      <c r="F11" s="23" t="s">
        <v>12410</v>
      </c>
      <c r="G11" s="23" t="s">
        <v>79</v>
      </c>
      <c r="H11" s="24">
        <v>799</v>
      </c>
      <c r="I11" s="24">
        <v>14.38</v>
      </c>
      <c r="J11" s="24">
        <v>2.59</v>
      </c>
      <c r="K11" s="24">
        <v>782.03</v>
      </c>
      <c r="L11" s="38">
        <v>46268</v>
      </c>
      <c r="M11" s="23" t="s">
        <v>181</v>
      </c>
      <c r="N11" s="23" t="str">
        <f>IF(COUNTIF($A$2:A11,A11)&gt;1,"DUP","OK")</f>
        <v>OK</v>
      </c>
      <c r="O11" s="23" t="str">
        <f t="shared" si="1"/>
        <v>ORD26000410</v>
      </c>
      <c r="P11" s="23" t="str">
        <f t="shared" si="2"/>
        <v>Sep</v>
      </c>
      <c r="Q11" s="23" t="str">
        <f>IF(F11="CAPTURE",IF(COUNTIF(orders!$A:$A,O11)&gt;0,"Yes","NO ORDER"),"")</f>
        <v>Yes</v>
      </c>
    </row>
    <row r="12" spans="1:17" ht="15" customHeight="1" x14ac:dyDescent="0.3">
      <c r="A12" s="23" t="s">
        <v>12421</v>
      </c>
      <c r="B12" s="23"/>
      <c r="C12" s="23" t="s">
        <v>1337</v>
      </c>
      <c r="D12" s="23" t="str">
        <f t="shared" si="0"/>
        <v>ORD26000470</v>
      </c>
      <c r="E12" s="38">
        <v>46266</v>
      </c>
      <c r="F12" s="23" t="s">
        <v>12410</v>
      </c>
      <c r="G12" s="23" t="s">
        <v>77</v>
      </c>
      <c r="H12" s="24">
        <v>4297</v>
      </c>
      <c r="I12" s="24">
        <v>73.05</v>
      </c>
      <c r="J12" s="24">
        <v>13.15</v>
      </c>
      <c r="K12" s="24">
        <v>4210.8</v>
      </c>
      <c r="L12" s="38">
        <v>46268</v>
      </c>
      <c r="M12" s="23" t="s">
        <v>181</v>
      </c>
      <c r="N12" s="23" t="str">
        <f>IF(COUNTIF($A$2:A12,A12)&gt;1,"DUP","OK")</f>
        <v>OK</v>
      </c>
      <c r="O12" s="23" t="str">
        <f t="shared" si="1"/>
        <v>ORD26000470</v>
      </c>
      <c r="P12" s="23" t="str">
        <f t="shared" si="2"/>
        <v>Sep</v>
      </c>
      <c r="Q12" s="23" t="str">
        <f>IF(F12="CAPTURE",IF(COUNTIF(orders!$A:$A,O12)&gt;0,"Yes","NO ORDER"),"")</f>
        <v>Yes</v>
      </c>
    </row>
    <row r="13" spans="1:17" ht="15" customHeight="1" x14ac:dyDescent="0.3">
      <c r="A13" s="23" t="s">
        <v>12422</v>
      </c>
      <c r="B13" s="23"/>
      <c r="C13" s="23" t="s">
        <v>1365</v>
      </c>
      <c r="D13" s="23" t="str">
        <f t="shared" si="0"/>
        <v>ORD26000483</v>
      </c>
      <c r="E13" s="38">
        <v>46266</v>
      </c>
      <c r="F13" s="23" t="s">
        <v>12410</v>
      </c>
      <c r="G13" s="23" t="s">
        <v>79</v>
      </c>
      <c r="H13" s="24">
        <v>898</v>
      </c>
      <c r="I13" s="24">
        <v>16.16</v>
      </c>
      <c r="J13" s="24">
        <v>2.91</v>
      </c>
      <c r="K13" s="24">
        <v>878.93</v>
      </c>
      <c r="L13" s="38">
        <v>46268</v>
      </c>
      <c r="M13" s="23" t="s">
        <v>181</v>
      </c>
      <c r="N13" s="23" t="str">
        <f>IF(COUNTIF($A$2:A13,A13)&gt;1,"DUP","OK")</f>
        <v>OK</v>
      </c>
      <c r="O13" s="23" t="str">
        <f t="shared" si="1"/>
        <v>ORD26000483</v>
      </c>
      <c r="P13" s="23" t="str">
        <f t="shared" si="2"/>
        <v>Sep</v>
      </c>
      <c r="Q13" s="23" t="str">
        <f>IF(F13="CAPTURE",IF(COUNTIF(orders!$A:$A,O13)&gt;0,"Yes","NO ORDER"),"")</f>
        <v>Yes</v>
      </c>
    </row>
    <row r="14" spans="1:17" ht="15" customHeight="1" x14ac:dyDescent="0.3">
      <c r="A14" s="23" t="s">
        <v>12423</v>
      </c>
      <c r="B14" s="23"/>
      <c r="C14" s="23" t="s">
        <v>1392</v>
      </c>
      <c r="D14" s="23" t="str">
        <f t="shared" si="0"/>
        <v>ORD26000494</v>
      </c>
      <c r="E14" s="38">
        <v>46266</v>
      </c>
      <c r="F14" s="23" t="s">
        <v>12410</v>
      </c>
      <c r="G14" s="23" t="s">
        <v>79</v>
      </c>
      <c r="H14" s="24">
        <v>9498</v>
      </c>
      <c r="I14" s="24">
        <v>151.97</v>
      </c>
      <c r="J14" s="24">
        <v>27.35</v>
      </c>
      <c r="K14" s="24">
        <v>9318.68</v>
      </c>
      <c r="L14" s="38">
        <v>46268</v>
      </c>
      <c r="M14" s="23" t="s">
        <v>181</v>
      </c>
      <c r="N14" s="23" t="str">
        <f>IF(COUNTIF($A$2:A14,A14)&gt;1,"DUP","OK")</f>
        <v>OK</v>
      </c>
      <c r="O14" s="23" t="str">
        <f t="shared" si="1"/>
        <v>ORD26000494</v>
      </c>
      <c r="P14" s="23" t="str">
        <f t="shared" si="2"/>
        <v>Sep</v>
      </c>
      <c r="Q14" s="23" t="str">
        <f>IF(F14="CAPTURE",IF(COUNTIF(orders!$A:$A,O14)&gt;0,"Yes","NO ORDER"),"")</f>
        <v>Yes</v>
      </c>
    </row>
    <row r="15" spans="1:17" ht="15" customHeight="1" x14ac:dyDescent="0.3">
      <c r="A15" s="23" t="s">
        <v>12424</v>
      </c>
      <c r="B15" s="23"/>
      <c r="C15" s="23" t="s">
        <v>1431</v>
      </c>
      <c r="D15" s="23" t="str">
        <f t="shared" si="0"/>
        <v>ORD26000512</v>
      </c>
      <c r="E15" s="38">
        <v>46266</v>
      </c>
      <c r="F15" s="23" t="s">
        <v>12410</v>
      </c>
      <c r="G15" s="23" t="s">
        <v>79</v>
      </c>
      <c r="H15" s="24">
        <v>1798</v>
      </c>
      <c r="I15" s="24">
        <v>32.36</v>
      </c>
      <c r="J15" s="24">
        <v>5.82</v>
      </c>
      <c r="K15" s="24">
        <v>1759.82</v>
      </c>
      <c r="L15" s="38">
        <v>46268</v>
      </c>
      <c r="M15" s="23" t="s">
        <v>181</v>
      </c>
      <c r="N15" s="23" t="str">
        <f>IF(COUNTIF($A$2:A15,A15)&gt;1,"DUP","OK")</f>
        <v>OK</v>
      </c>
      <c r="O15" s="23" t="str">
        <f t="shared" si="1"/>
        <v>ORD26000512</v>
      </c>
      <c r="P15" s="23" t="str">
        <f t="shared" si="2"/>
        <v>Sep</v>
      </c>
      <c r="Q15" s="23" t="str">
        <f>IF(F15="CAPTURE",IF(COUNTIF(orders!$A:$A,O15)&gt;0,"Yes","NO ORDER"),"")</f>
        <v>Yes</v>
      </c>
    </row>
    <row r="16" spans="1:17" ht="15" customHeight="1" x14ac:dyDescent="0.3">
      <c r="A16" s="23" t="s">
        <v>12425</v>
      </c>
      <c r="B16" s="23"/>
      <c r="C16" s="23" t="s">
        <v>1516</v>
      </c>
      <c r="D16" s="23" t="str">
        <f t="shared" si="0"/>
        <v>ORD26000550</v>
      </c>
      <c r="E16" s="38">
        <v>46266</v>
      </c>
      <c r="F16" s="23" t="s">
        <v>12410</v>
      </c>
      <c r="G16" s="23" t="s">
        <v>75</v>
      </c>
      <c r="H16" s="24">
        <v>7999</v>
      </c>
      <c r="I16" s="24">
        <v>24</v>
      </c>
      <c r="J16" s="24">
        <v>4.32</v>
      </c>
      <c r="K16" s="24">
        <v>7970.68</v>
      </c>
      <c r="L16" s="38">
        <v>46268</v>
      </c>
      <c r="M16" s="23" t="s">
        <v>181</v>
      </c>
      <c r="N16" s="23" t="str">
        <f>IF(COUNTIF($A$2:A16,A16)&gt;1,"DUP","OK")</f>
        <v>OK</v>
      </c>
      <c r="O16" s="23" t="str">
        <f t="shared" si="1"/>
        <v>ORD26000550</v>
      </c>
      <c r="P16" s="23" t="str">
        <f t="shared" si="2"/>
        <v>Sep</v>
      </c>
      <c r="Q16" s="23" t="str">
        <f>IF(F16="CAPTURE",IF(COUNTIF(orders!$A:$A,O16)&gt;0,"Yes","NO ORDER"),"")</f>
        <v>Yes</v>
      </c>
    </row>
    <row r="17" spans="1:17" ht="15" customHeight="1" x14ac:dyDescent="0.3">
      <c r="A17" s="23" t="s">
        <v>12426</v>
      </c>
      <c r="B17" s="23"/>
      <c r="C17" s="23" t="s">
        <v>1638</v>
      </c>
      <c r="D17" s="23" t="str">
        <f t="shared" si="0"/>
        <v>ORD26000606</v>
      </c>
      <c r="E17" s="38">
        <v>46266</v>
      </c>
      <c r="F17" s="23" t="s">
        <v>12410</v>
      </c>
      <c r="G17" s="23" t="s">
        <v>75</v>
      </c>
      <c r="H17" s="24">
        <v>11997</v>
      </c>
      <c r="I17" s="24">
        <v>35.99</v>
      </c>
      <c r="J17" s="24">
        <v>6.48</v>
      </c>
      <c r="K17" s="24">
        <v>11954.53</v>
      </c>
      <c r="L17" s="38">
        <v>46268</v>
      </c>
      <c r="M17" s="23" t="s">
        <v>181</v>
      </c>
      <c r="N17" s="23" t="str">
        <f>IF(COUNTIF($A$2:A17,A17)&gt;1,"DUP","OK")</f>
        <v>OK</v>
      </c>
      <c r="O17" s="23" t="str">
        <f t="shared" si="1"/>
        <v>ORD26000606</v>
      </c>
      <c r="P17" s="23" t="str">
        <f t="shared" si="2"/>
        <v>Sep</v>
      </c>
      <c r="Q17" s="23" t="str">
        <f>IF(F17="CAPTURE",IF(COUNTIF(orders!$A:$A,O17)&gt;0,"Yes","NO ORDER"),"")</f>
        <v>Yes</v>
      </c>
    </row>
    <row r="18" spans="1:17" ht="15" customHeight="1" x14ac:dyDescent="0.3">
      <c r="A18" s="23" t="s">
        <v>12427</v>
      </c>
      <c r="B18" s="23"/>
      <c r="C18" s="23" t="s">
        <v>1667</v>
      </c>
      <c r="D18" s="23" t="str">
        <f t="shared" si="0"/>
        <v>ORD26000619</v>
      </c>
      <c r="E18" s="38">
        <v>46266</v>
      </c>
      <c r="F18" s="23" t="s">
        <v>12410</v>
      </c>
      <c r="G18" s="23" t="s">
        <v>77</v>
      </c>
      <c r="H18" s="24">
        <v>999</v>
      </c>
      <c r="I18" s="24">
        <v>18.98</v>
      </c>
      <c r="J18" s="24">
        <v>3.42</v>
      </c>
      <c r="K18" s="24">
        <v>976.6</v>
      </c>
      <c r="L18" s="38">
        <v>46268</v>
      </c>
      <c r="M18" s="23" t="s">
        <v>181</v>
      </c>
      <c r="N18" s="23" t="str">
        <f>IF(COUNTIF($A$2:A18,A18)&gt;1,"DUP","OK")</f>
        <v>OK</v>
      </c>
      <c r="O18" s="23" t="str">
        <f t="shared" si="1"/>
        <v>ORD26000619</v>
      </c>
      <c r="P18" s="23" t="str">
        <f t="shared" si="2"/>
        <v>Sep</v>
      </c>
      <c r="Q18" s="23" t="str">
        <f>IF(F18="CAPTURE",IF(COUNTIF(orders!$A:$A,O18)&gt;0,"Yes","NO ORDER"),"")</f>
        <v>Yes</v>
      </c>
    </row>
    <row r="19" spans="1:17" ht="15" customHeight="1" x14ac:dyDescent="0.3">
      <c r="A19" s="23" t="s">
        <v>12428</v>
      </c>
      <c r="B19" s="23"/>
      <c r="C19" s="23" t="s">
        <v>1758</v>
      </c>
      <c r="D19" s="23" t="str">
        <f t="shared" si="0"/>
        <v>ORD26000663</v>
      </c>
      <c r="E19" s="38">
        <v>46266</v>
      </c>
      <c r="F19" s="23" t="s">
        <v>12410</v>
      </c>
      <c r="G19" s="23" t="s">
        <v>75</v>
      </c>
      <c r="H19" s="24">
        <v>9798</v>
      </c>
      <c r="I19" s="24">
        <v>29.39</v>
      </c>
      <c r="J19" s="24">
        <v>5.29</v>
      </c>
      <c r="K19" s="24">
        <v>9763.32</v>
      </c>
      <c r="L19" s="38">
        <v>46268</v>
      </c>
      <c r="M19" s="23" t="s">
        <v>181</v>
      </c>
      <c r="N19" s="23" t="str">
        <f>IF(COUNTIF($A$2:A19,A19)&gt;1,"DUP","OK")</f>
        <v>OK</v>
      </c>
      <c r="O19" s="23" t="str">
        <f t="shared" si="1"/>
        <v>ORD26000663</v>
      </c>
      <c r="P19" s="23" t="str">
        <f t="shared" si="2"/>
        <v>Sep</v>
      </c>
      <c r="Q19" s="23" t="str">
        <f>IF(F19="CAPTURE",IF(COUNTIF(orders!$A:$A,O19)&gt;0,"Yes","NO ORDER"),"")</f>
        <v>Yes</v>
      </c>
    </row>
    <row r="20" spans="1:17" ht="15" customHeight="1" x14ac:dyDescent="0.3">
      <c r="A20" s="23" t="s">
        <v>12429</v>
      </c>
      <c r="B20" s="23"/>
      <c r="C20" s="23" t="s">
        <v>1776</v>
      </c>
      <c r="D20" s="23" t="str">
        <f t="shared" si="0"/>
        <v>ORD26000671</v>
      </c>
      <c r="E20" s="38">
        <v>46266</v>
      </c>
      <c r="F20" s="23" t="s">
        <v>12410</v>
      </c>
      <c r="G20" s="23" t="s">
        <v>79</v>
      </c>
      <c r="H20" s="24">
        <v>599</v>
      </c>
      <c r="I20" s="24">
        <v>10.78</v>
      </c>
      <c r="J20" s="24">
        <v>1.94</v>
      </c>
      <c r="K20" s="24">
        <v>586.28</v>
      </c>
      <c r="L20" s="38">
        <v>46268</v>
      </c>
      <c r="M20" s="23" t="s">
        <v>181</v>
      </c>
      <c r="N20" s="23" t="str">
        <f>IF(COUNTIF($A$2:A20,A20)&gt;1,"DUP","OK")</f>
        <v>OK</v>
      </c>
      <c r="O20" s="23" t="str">
        <f t="shared" si="1"/>
        <v>ORD26000671</v>
      </c>
      <c r="P20" s="23" t="str">
        <f t="shared" si="2"/>
        <v>Sep</v>
      </c>
      <c r="Q20" s="23" t="str">
        <f>IF(F20="CAPTURE",IF(COUNTIF(orders!$A:$A,O20)&gt;0,"Yes","NO ORDER"),"")</f>
        <v>Yes</v>
      </c>
    </row>
    <row r="21" spans="1:17" ht="15" customHeight="1" x14ac:dyDescent="0.3">
      <c r="A21" s="23" t="s">
        <v>12430</v>
      </c>
      <c r="B21" s="23"/>
      <c r="C21" s="23" t="s">
        <v>1812</v>
      </c>
      <c r="D21" s="23" t="str">
        <f t="shared" si="0"/>
        <v>ORD26000687</v>
      </c>
      <c r="E21" s="38">
        <v>46266</v>
      </c>
      <c r="F21" s="23" t="s">
        <v>12410</v>
      </c>
      <c r="G21" s="23" t="s">
        <v>75</v>
      </c>
      <c r="H21" s="24">
        <v>1998</v>
      </c>
      <c r="I21" s="24">
        <v>0</v>
      </c>
      <c r="J21" s="24">
        <v>0</v>
      </c>
      <c r="K21" s="24">
        <v>1998</v>
      </c>
      <c r="L21" s="38">
        <v>46268</v>
      </c>
      <c r="M21" s="23" t="s">
        <v>181</v>
      </c>
      <c r="N21" s="23" t="str">
        <f>IF(COUNTIF($A$2:A21,A21)&gt;1,"DUP","OK")</f>
        <v>OK</v>
      </c>
      <c r="O21" s="23" t="str">
        <f t="shared" si="1"/>
        <v>ORD26000687</v>
      </c>
      <c r="P21" s="23" t="str">
        <f t="shared" si="2"/>
        <v>Sep</v>
      </c>
      <c r="Q21" s="23" t="str">
        <f>IF(F21="CAPTURE",IF(COUNTIF(orders!$A:$A,O21)&gt;0,"Yes","NO ORDER"),"")</f>
        <v>Yes</v>
      </c>
    </row>
    <row r="22" spans="1:17" ht="15" customHeight="1" x14ac:dyDescent="0.3">
      <c r="A22" s="23" t="s">
        <v>12431</v>
      </c>
      <c r="B22" s="23"/>
      <c r="C22" s="23" t="s">
        <v>1882</v>
      </c>
      <c r="D22" s="23" t="str">
        <f t="shared" si="0"/>
        <v>ORD26000721</v>
      </c>
      <c r="E22" s="38">
        <v>46266</v>
      </c>
      <c r="F22" s="23" t="s">
        <v>12410</v>
      </c>
      <c r="G22" s="23" t="s">
        <v>75</v>
      </c>
      <c r="H22" s="24">
        <v>499</v>
      </c>
      <c r="I22" s="24">
        <v>0</v>
      </c>
      <c r="J22" s="24">
        <v>0</v>
      </c>
      <c r="K22" s="24">
        <v>499</v>
      </c>
      <c r="L22" s="38">
        <v>46268</v>
      </c>
      <c r="M22" s="23" t="s">
        <v>181</v>
      </c>
      <c r="N22" s="23" t="str">
        <f>IF(COUNTIF($A$2:A22,A22)&gt;1,"DUP","OK")</f>
        <v>OK</v>
      </c>
      <c r="O22" s="23" t="str">
        <f t="shared" si="1"/>
        <v>ORD26000721</v>
      </c>
      <c r="P22" s="23" t="str">
        <f t="shared" si="2"/>
        <v>Sep</v>
      </c>
      <c r="Q22" s="23" t="str">
        <f>IF(F22="CAPTURE",IF(COUNTIF(orders!$A:$A,O22)&gt;0,"Yes","NO ORDER"),"")</f>
        <v>Yes</v>
      </c>
    </row>
    <row r="23" spans="1:17" ht="15" customHeight="1" x14ac:dyDescent="0.3">
      <c r="A23" s="23" t="s">
        <v>12432</v>
      </c>
      <c r="B23" s="23"/>
      <c r="C23" s="23" t="s">
        <v>1965</v>
      </c>
      <c r="D23" s="23" t="str">
        <f t="shared" si="0"/>
        <v>ORD26000762</v>
      </c>
      <c r="E23" s="38">
        <v>46266</v>
      </c>
      <c r="F23" s="23" t="s">
        <v>12410</v>
      </c>
      <c r="G23" s="23" t="s">
        <v>81</v>
      </c>
      <c r="H23" s="24">
        <v>1799</v>
      </c>
      <c r="I23" s="24">
        <v>26.99</v>
      </c>
      <c r="J23" s="24">
        <v>4.8600000000000003</v>
      </c>
      <c r="K23" s="24">
        <v>1767.15</v>
      </c>
      <c r="L23" s="38">
        <v>46268</v>
      </c>
      <c r="M23" s="23" t="s">
        <v>181</v>
      </c>
      <c r="N23" s="23" t="str">
        <f>IF(COUNTIF($A$2:A23,A23)&gt;1,"DUP","OK")</f>
        <v>OK</v>
      </c>
      <c r="O23" s="23" t="str">
        <f t="shared" si="1"/>
        <v>ORD26000762</v>
      </c>
      <c r="P23" s="23" t="str">
        <f t="shared" si="2"/>
        <v>Sep</v>
      </c>
      <c r="Q23" s="23" t="str">
        <f>IF(F23="CAPTURE",IF(COUNTIF(orders!$A:$A,O23)&gt;0,"Yes","NO ORDER"),"")</f>
        <v>Yes</v>
      </c>
    </row>
    <row r="24" spans="1:17" ht="15" customHeight="1" x14ac:dyDescent="0.3">
      <c r="A24" s="23" t="s">
        <v>12433</v>
      </c>
      <c r="B24" s="23"/>
      <c r="C24" s="23" t="s">
        <v>2059</v>
      </c>
      <c r="D24" s="23" t="str">
        <f t="shared" si="0"/>
        <v>ORD26000806</v>
      </c>
      <c r="E24" s="38">
        <v>46266</v>
      </c>
      <c r="F24" s="23" t="s">
        <v>12410</v>
      </c>
      <c r="G24" s="23" t="s">
        <v>77</v>
      </c>
      <c r="H24" s="24">
        <v>1298</v>
      </c>
      <c r="I24" s="24">
        <v>24.66</v>
      </c>
      <c r="J24" s="24">
        <v>4.4400000000000004</v>
      </c>
      <c r="K24" s="24">
        <v>1268.9000000000001</v>
      </c>
      <c r="L24" s="38">
        <v>46268</v>
      </c>
      <c r="M24" s="23" t="s">
        <v>181</v>
      </c>
      <c r="N24" s="23" t="str">
        <f>IF(COUNTIF($A$2:A24,A24)&gt;1,"DUP","OK")</f>
        <v>OK</v>
      </c>
      <c r="O24" s="23" t="str">
        <f t="shared" si="1"/>
        <v>ORD26000806</v>
      </c>
      <c r="P24" s="23" t="str">
        <f t="shared" si="2"/>
        <v>Sep</v>
      </c>
      <c r="Q24" s="23" t="str">
        <f>IF(F24="CAPTURE",IF(COUNTIF(orders!$A:$A,O24)&gt;0,"Yes","NO ORDER"),"")</f>
        <v>Yes</v>
      </c>
    </row>
    <row r="25" spans="1:17" ht="15" customHeight="1" x14ac:dyDescent="0.3">
      <c r="A25" s="23" t="s">
        <v>12434</v>
      </c>
      <c r="B25" s="23"/>
      <c r="C25" s="23" t="s">
        <v>2061</v>
      </c>
      <c r="D25" s="23" t="str">
        <f t="shared" si="0"/>
        <v>ORD26000807</v>
      </c>
      <c r="E25" s="38">
        <v>46266</v>
      </c>
      <c r="F25" s="23" t="s">
        <v>12410</v>
      </c>
      <c r="G25" s="23" t="s">
        <v>79</v>
      </c>
      <c r="H25" s="24">
        <v>10597</v>
      </c>
      <c r="I25" s="24">
        <v>169.55</v>
      </c>
      <c r="J25" s="24">
        <v>30.52</v>
      </c>
      <c r="K25" s="24">
        <v>10396.93</v>
      </c>
      <c r="L25" s="38">
        <v>46268</v>
      </c>
      <c r="M25" s="23" t="s">
        <v>181</v>
      </c>
      <c r="N25" s="23" t="str">
        <f>IF(COUNTIF($A$2:A25,A25)&gt;1,"DUP","OK")</f>
        <v>OK</v>
      </c>
      <c r="O25" s="23" t="str">
        <f t="shared" si="1"/>
        <v>ORD26000807</v>
      </c>
      <c r="P25" s="23" t="str">
        <f t="shared" si="2"/>
        <v>Sep</v>
      </c>
      <c r="Q25" s="23" t="str">
        <f>IF(F25="CAPTURE",IF(COUNTIF(orders!$A:$A,O25)&gt;0,"Yes","NO ORDER"),"")</f>
        <v>Yes</v>
      </c>
    </row>
    <row r="26" spans="1:17" ht="15" customHeight="1" x14ac:dyDescent="0.3">
      <c r="A26" s="23" t="s">
        <v>12435</v>
      </c>
      <c r="B26" s="23"/>
      <c r="C26" s="23" t="s">
        <v>2300</v>
      </c>
      <c r="D26" s="23" t="str">
        <f t="shared" si="0"/>
        <v>ORD26000922</v>
      </c>
      <c r="E26" s="38">
        <v>46266</v>
      </c>
      <c r="F26" s="23" t="s">
        <v>12410</v>
      </c>
      <c r="G26" s="23" t="s">
        <v>75</v>
      </c>
      <c r="H26" s="24">
        <v>10797</v>
      </c>
      <c r="I26" s="24">
        <v>32.39</v>
      </c>
      <c r="J26" s="24">
        <v>5.83</v>
      </c>
      <c r="K26" s="24">
        <v>10758.78</v>
      </c>
      <c r="L26" s="38">
        <v>46268</v>
      </c>
      <c r="M26" s="23" t="s">
        <v>181</v>
      </c>
      <c r="N26" s="23" t="str">
        <f>IF(COUNTIF($A$2:A26,A26)&gt;1,"DUP","OK")</f>
        <v>OK</v>
      </c>
      <c r="O26" s="23" t="str">
        <f t="shared" si="1"/>
        <v>ORD26000922</v>
      </c>
      <c r="P26" s="23" t="str">
        <f t="shared" si="2"/>
        <v>Sep</v>
      </c>
      <c r="Q26" s="23" t="str">
        <f>IF(F26="CAPTURE",IF(COUNTIF(orders!$A:$A,O26)&gt;0,"Yes","NO ORDER"),"")</f>
        <v>Yes</v>
      </c>
    </row>
    <row r="27" spans="1:17" ht="15" customHeight="1" x14ac:dyDescent="0.3">
      <c r="A27" s="23" t="s">
        <v>12436</v>
      </c>
      <c r="B27" s="23"/>
      <c r="C27" s="23" t="s">
        <v>2592</v>
      </c>
      <c r="D27" s="23" t="str">
        <f t="shared" si="0"/>
        <v>ORD26001064</v>
      </c>
      <c r="E27" s="38">
        <v>46266</v>
      </c>
      <c r="F27" s="23" t="s">
        <v>12410</v>
      </c>
      <c r="G27" s="23" t="s">
        <v>75</v>
      </c>
      <c r="H27" s="24">
        <v>6298</v>
      </c>
      <c r="I27" s="24">
        <v>18.89</v>
      </c>
      <c r="J27" s="24">
        <v>3.4</v>
      </c>
      <c r="K27" s="24">
        <v>6275.71</v>
      </c>
      <c r="L27" s="38">
        <v>46268</v>
      </c>
      <c r="M27" s="23" t="s">
        <v>181</v>
      </c>
      <c r="N27" s="23" t="str">
        <f>IF(COUNTIF($A$2:A27,A27)&gt;1,"DUP","OK")</f>
        <v>OK</v>
      </c>
      <c r="O27" s="23" t="str">
        <f t="shared" si="1"/>
        <v>ORD26001064</v>
      </c>
      <c r="P27" s="23" t="str">
        <f t="shared" si="2"/>
        <v>Sep</v>
      </c>
      <c r="Q27" s="23" t="str">
        <f>IF(F27="CAPTURE",IF(COUNTIF(orders!$A:$A,O27)&gt;0,"Yes","NO ORDER"),"")</f>
        <v>Yes</v>
      </c>
    </row>
    <row r="28" spans="1:17" ht="15" customHeight="1" x14ac:dyDescent="0.3">
      <c r="A28" s="23" t="s">
        <v>12437</v>
      </c>
      <c r="B28" s="23"/>
      <c r="C28" s="23" t="s">
        <v>2735</v>
      </c>
      <c r="D28" s="23" t="str">
        <f t="shared" si="0"/>
        <v>ORD26001134</v>
      </c>
      <c r="E28" s="38">
        <v>46266</v>
      </c>
      <c r="F28" s="23" t="s">
        <v>12410</v>
      </c>
      <c r="G28" s="23" t="s">
        <v>79</v>
      </c>
      <c r="H28" s="24">
        <v>3598</v>
      </c>
      <c r="I28" s="24">
        <v>57.57</v>
      </c>
      <c r="J28" s="24">
        <v>10.36</v>
      </c>
      <c r="K28" s="24">
        <v>3530.07</v>
      </c>
      <c r="L28" s="38">
        <v>46268</v>
      </c>
      <c r="M28" s="23" t="s">
        <v>181</v>
      </c>
      <c r="N28" s="23" t="str">
        <f>IF(COUNTIF($A$2:A28,A28)&gt;1,"DUP","OK")</f>
        <v>OK</v>
      </c>
      <c r="O28" s="23" t="str">
        <f t="shared" si="1"/>
        <v>ORD26001134</v>
      </c>
      <c r="P28" s="23" t="str">
        <f t="shared" si="2"/>
        <v>Sep</v>
      </c>
      <c r="Q28" s="23" t="str">
        <f>IF(F28="CAPTURE",IF(COUNTIF(orders!$A:$A,O28)&gt;0,"Yes","NO ORDER"),"")</f>
        <v>Yes</v>
      </c>
    </row>
    <row r="29" spans="1:17" ht="15" customHeight="1" x14ac:dyDescent="0.3">
      <c r="A29" s="23" t="s">
        <v>12438</v>
      </c>
      <c r="B29" s="23"/>
      <c r="C29" s="23" t="s">
        <v>2994</v>
      </c>
      <c r="D29" s="23" t="str">
        <f t="shared" si="0"/>
        <v>ORD26001261</v>
      </c>
      <c r="E29" s="38">
        <v>46266</v>
      </c>
      <c r="F29" s="23" t="s">
        <v>12410</v>
      </c>
      <c r="G29" s="23" t="s">
        <v>75</v>
      </c>
      <c r="H29" s="24">
        <v>1499</v>
      </c>
      <c r="I29" s="24">
        <v>0</v>
      </c>
      <c r="J29" s="24">
        <v>0</v>
      </c>
      <c r="K29" s="24">
        <v>1499</v>
      </c>
      <c r="L29" s="38">
        <v>46268</v>
      </c>
      <c r="M29" s="23" t="s">
        <v>181</v>
      </c>
      <c r="N29" s="23" t="str">
        <f>IF(COUNTIF($A$2:A29,A29)&gt;1,"DUP","OK")</f>
        <v>OK</v>
      </c>
      <c r="O29" s="23" t="str">
        <f t="shared" si="1"/>
        <v>ORD26001261</v>
      </c>
      <c r="P29" s="23" t="str">
        <f t="shared" si="2"/>
        <v>Sep</v>
      </c>
      <c r="Q29" s="23" t="str">
        <f>IF(F29="CAPTURE",IF(COUNTIF(orders!$A:$A,O29)&gt;0,"Yes","NO ORDER"),"")</f>
        <v>Yes</v>
      </c>
    </row>
    <row r="30" spans="1:17" ht="15" customHeight="1" x14ac:dyDescent="0.3">
      <c r="A30" s="23" t="s">
        <v>12439</v>
      </c>
      <c r="B30" s="23"/>
      <c r="C30" s="23" t="s">
        <v>3087</v>
      </c>
      <c r="D30" s="23" t="str">
        <f t="shared" si="0"/>
        <v>ORD26001306</v>
      </c>
      <c r="E30" s="38">
        <v>46266</v>
      </c>
      <c r="F30" s="23" t="s">
        <v>12410</v>
      </c>
      <c r="G30" s="23" t="s">
        <v>75</v>
      </c>
      <c r="H30" s="24">
        <v>848</v>
      </c>
      <c r="I30" s="24">
        <v>0</v>
      </c>
      <c r="J30" s="24">
        <v>0</v>
      </c>
      <c r="K30" s="24">
        <v>848</v>
      </c>
      <c r="L30" s="38">
        <v>46268</v>
      </c>
      <c r="M30" s="23" t="s">
        <v>181</v>
      </c>
      <c r="N30" s="23" t="str">
        <f>IF(COUNTIF($A$2:A30,A30)&gt;1,"DUP","OK")</f>
        <v>OK</v>
      </c>
      <c r="O30" s="23" t="str">
        <f t="shared" si="1"/>
        <v>ORD26001306</v>
      </c>
      <c r="P30" s="23" t="str">
        <f t="shared" si="2"/>
        <v>Sep</v>
      </c>
      <c r="Q30" s="23" t="str">
        <f>IF(F30="CAPTURE",IF(COUNTIF(orders!$A:$A,O30)&gt;0,"Yes","NO ORDER"),"")</f>
        <v>Yes</v>
      </c>
    </row>
    <row r="31" spans="1:17" ht="15" customHeight="1" x14ac:dyDescent="0.3">
      <c r="A31" s="23" t="s">
        <v>12440</v>
      </c>
      <c r="B31" s="23"/>
      <c r="C31" s="23" t="s">
        <v>3093</v>
      </c>
      <c r="D31" s="23" t="str">
        <f t="shared" si="0"/>
        <v>ORD26001309</v>
      </c>
      <c r="E31" s="38">
        <v>46266</v>
      </c>
      <c r="F31" s="23" t="s">
        <v>12410</v>
      </c>
      <c r="G31" s="23" t="s">
        <v>75</v>
      </c>
      <c r="H31" s="24">
        <v>4797</v>
      </c>
      <c r="I31" s="24">
        <v>14.39</v>
      </c>
      <c r="J31" s="24">
        <v>2.59</v>
      </c>
      <c r="K31" s="24">
        <v>4780.0200000000004</v>
      </c>
      <c r="L31" s="38">
        <v>46268</v>
      </c>
      <c r="M31" s="23" t="s">
        <v>181</v>
      </c>
      <c r="N31" s="23" t="str">
        <f>IF(COUNTIF($A$2:A31,A31)&gt;1,"DUP","OK")</f>
        <v>OK</v>
      </c>
      <c r="O31" s="23" t="str">
        <f t="shared" si="1"/>
        <v>ORD26001309</v>
      </c>
      <c r="P31" s="23" t="str">
        <f t="shared" si="2"/>
        <v>Sep</v>
      </c>
      <c r="Q31" s="23" t="str">
        <f>IF(F31="CAPTURE",IF(COUNTIF(orders!$A:$A,O31)&gt;0,"Yes","NO ORDER"),"")</f>
        <v>Yes</v>
      </c>
    </row>
    <row r="32" spans="1:17" ht="15" customHeight="1" x14ac:dyDescent="0.3">
      <c r="A32" s="23" t="s">
        <v>12441</v>
      </c>
      <c r="B32" s="23"/>
      <c r="C32" s="23" t="s">
        <v>12442</v>
      </c>
      <c r="D32" s="23" t="str">
        <f t="shared" si="0"/>
        <v>ORD26001416</v>
      </c>
      <c r="E32" s="38">
        <v>46266</v>
      </c>
      <c r="F32" s="23" t="s">
        <v>12410</v>
      </c>
      <c r="G32" s="23" t="s">
        <v>79</v>
      </c>
      <c r="H32" s="24">
        <v>9297</v>
      </c>
      <c r="I32" s="24">
        <v>148.75</v>
      </c>
      <c r="J32" s="24">
        <v>26.78</v>
      </c>
      <c r="K32" s="24">
        <v>9121.4699999999993</v>
      </c>
      <c r="L32" s="38">
        <v>46268</v>
      </c>
      <c r="M32" s="23" t="s">
        <v>181</v>
      </c>
      <c r="N32" s="23" t="str">
        <f>IF(COUNTIF($A$2:A32,A32)&gt;1,"DUP","OK")</f>
        <v>OK</v>
      </c>
      <c r="O32" s="23" t="str">
        <f t="shared" si="1"/>
        <v>ORD26001416</v>
      </c>
      <c r="P32" s="23" t="str">
        <f t="shared" si="2"/>
        <v>Sep</v>
      </c>
      <c r="Q32" s="23" t="str">
        <f>IF(F32="CAPTURE",IF(COUNTIF(orders!$A:$A,O32)&gt;0,"Yes","NO ORDER"),"")</f>
        <v>Yes</v>
      </c>
    </row>
    <row r="33" spans="1:17" ht="15" customHeight="1" x14ac:dyDescent="0.3">
      <c r="A33" s="23" t="s">
        <v>12443</v>
      </c>
      <c r="B33" s="23"/>
      <c r="C33" s="23" t="s">
        <v>12444</v>
      </c>
      <c r="D33" s="23" t="str">
        <f t="shared" si="0"/>
        <v>ORD26001432</v>
      </c>
      <c r="E33" s="38">
        <v>46266</v>
      </c>
      <c r="F33" s="23" t="s">
        <v>12410</v>
      </c>
      <c r="G33" s="23" t="s">
        <v>81</v>
      </c>
      <c r="H33" s="24">
        <v>9498</v>
      </c>
      <c r="I33" s="24">
        <v>113.98</v>
      </c>
      <c r="J33" s="24">
        <v>20.52</v>
      </c>
      <c r="K33" s="24">
        <v>9363.5</v>
      </c>
      <c r="L33" s="38">
        <v>46268</v>
      </c>
      <c r="M33" s="23" t="s">
        <v>181</v>
      </c>
      <c r="N33" s="23" t="str">
        <f>IF(COUNTIF($A$2:A33,A33)&gt;1,"DUP","OK")</f>
        <v>OK</v>
      </c>
      <c r="O33" s="23" t="str">
        <f t="shared" si="1"/>
        <v>ORD26001432</v>
      </c>
      <c r="P33" s="23" t="str">
        <f t="shared" si="2"/>
        <v>Sep</v>
      </c>
      <c r="Q33" s="23" t="str">
        <f>IF(F33="CAPTURE",IF(COUNTIF(orders!$A:$A,O33)&gt;0,"Yes","NO ORDER"),"")</f>
        <v>Yes</v>
      </c>
    </row>
    <row r="34" spans="1:17" ht="15" customHeight="1" x14ac:dyDescent="0.3">
      <c r="A34" s="23" t="s">
        <v>12445</v>
      </c>
      <c r="B34" s="23"/>
      <c r="C34" s="23" t="s">
        <v>3393</v>
      </c>
      <c r="D34" s="23" t="str">
        <f t="shared" si="0"/>
        <v>ORD26001455</v>
      </c>
      <c r="E34" s="38">
        <v>46266</v>
      </c>
      <c r="F34" s="23" t="s">
        <v>12410</v>
      </c>
      <c r="G34" s="23" t="s">
        <v>75</v>
      </c>
      <c r="H34" s="24">
        <v>6498</v>
      </c>
      <c r="I34" s="24">
        <v>19.489999999999998</v>
      </c>
      <c r="J34" s="24">
        <v>3.51</v>
      </c>
      <c r="K34" s="24">
        <v>6475</v>
      </c>
      <c r="L34" s="38">
        <v>46268</v>
      </c>
      <c r="M34" s="23" t="s">
        <v>181</v>
      </c>
      <c r="N34" s="23" t="str">
        <f>IF(COUNTIF($A$2:A34,A34)&gt;1,"DUP","OK")</f>
        <v>OK</v>
      </c>
      <c r="O34" s="23" t="str">
        <f t="shared" si="1"/>
        <v>ORD26001455</v>
      </c>
      <c r="P34" s="23" t="str">
        <f t="shared" si="2"/>
        <v>Sep</v>
      </c>
      <c r="Q34" s="23" t="str">
        <f>IF(F34="CAPTURE",IF(COUNTIF(orders!$A:$A,O34)&gt;0,"Yes","NO ORDER"),"")</f>
        <v>Yes</v>
      </c>
    </row>
    <row r="35" spans="1:17" ht="15" customHeight="1" x14ac:dyDescent="0.3">
      <c r="A35" s="23" t="s">
        <v>12446</v>
      </c>
      <c r="B35" s="23"/>
      <c r="C35" s="23" t="s">
        <v>3709</v>
      </c>
      <c r="D35" s="23" t="str">
        <f t="shared" si="0"/>
        <v>ORD26001611</v>
      </c>
      <c r="E35" s="38">
        <v>46266</v>
      </c>
      <c r="F35" s="23" t="s">
        <v>12410</v>
      </c>
      <c r="G35" s="23" t="s">
        <v>75</v>
      </c>
      <c r="H35" s="24">
        <v>7999</v>
      </c>
      <c r="I35" s="24">
        <v>24</v>
      </c>
      <c r="J35" s="24">
        <v>4.32</v>
      </c>
      <c r="K35" s="24">
        <v>7970.68</v>
      </c>
      <c r="L35" s="38">
        <v>46268</v>
      </c>
      <c r="M35" s="23" t="s">
        <v>181</v>
      </c>
      <c r="N35" s="23" t="str">
        <f>IF(COUNTIF($A$2:A35,A35)&gt;1,"DUP","OK")</f>
        <v>OK</v>
      </c>
      <c r="O35" s="23" t="str">
        <f t="shared" si="1"/>
        <v>ORD26001611</v>
      </c>
      <c r="P35" s="23" t="str">
        <f t="shared" si="2"/>
        <v>Sep</v>
      </c>
      <c r="Q35" s="23" t="str">
        <f>IF(F35="CAPTURE",IF(COUNTIF(orders!$A:$A,O35)&gt;0,"Yes","NO ORDER"),"")</f>
        <v>Yes</v>
      </c>
    </row>
    <row r="36" spans="1:17" ht="15" customHeight="1" x14ac:dyDescent="0.3">
      <c r="A36" s="23" t="s">
        <v>12447</v>
      </c>
      <c r="B36" s="23"/>
      <c r="C36" s="23" t="s">
        <v>3733</v>
      </c>
      <c r="D36" s="23" t="str">
        <f t="shared" si="0"/>
        <v>ORD26001623</v>
      </c>
      <c r="E36" s="38">
        <v>46266</v>
      </c>
      <c r="F36" s="23" t="s">
        <v>12410</v>
      </c>
      <c r="G36" s="23" t="s">
        <v>81</v>
      </c>
      <c r="H36" s="24">
        <v>4999</v>
      </c>
      <c r="I36" s="24">
        <v>59.99</v>
      </c>
      <c r="J36" s="24">
        <v>10.8</v>
      </c>
      <c r="K36" s="24">
        <v>4928.21</v>
      </c>
      <c r="L36" s="38">
        <v>46268</v>
      </c>
      <c r="M36" s="23" t="s">
        <v>181</v>
      </c>
      <c r="N36" s="23" t="str">
        <f>IF(COUNTIF($A$2:A36,A36)&gt;1,"DUP","OK")</f>
        <v>OK</v>
      </c>
      <c r="O36" s="23" t="str">
        <f t="shared" si="1"/>
        <v>ORD26001623</v>
      </c>
      <c r="P36" s="23" t="str">
        <f t="shared" si="2"/>
        <v>Sep</v>
      </c>
      <c r="Q36" s="23" t="str">
        <f>IF(F36="CAPTURE",IF(COUNTIF(orders!$A:$A,O36)&gt;0,"Yes","NO ORDER"),"")</f>
        <v>Yes</v>
      </c>
    </row>
    <row r="37" spans="1:17" ht="15" customHeight="1" x14ac:dyDescent="0.3">
      <c r="A37" s="23" t="s">
        <v>12448</v>
      </c>
      <c r="B37" s="23"/>
      <c r="C37" s="23" t="s">
        <v>4061</v>
      </c>
      <c r="D37" s="23" t="str">
        <f t="shared" si="0"/>
        <v>ORD26001787</v>
      </c>
      <c r="E37" s="38">
        <v>46266</v>
      </c>
      <c r="F37" s="23" t="s">
        <v>12410</v>
      </c>
      <c r="G37" s="23" t="s">
        <v>81</v>
      </c>
      <c r="H37" s="24">
        <v>1298</v>
      </c>
      <c r="I37" s="24">
        <v>19.47</v>
      </c>
      <c r="J37" s="24">
        <v>3.5</v>
      </c>
      <c r="K37" s="24">
        <v>1275.03</v>
      </c>
      <c r="L37" s="38">
        <v>46268</v>
      </c>
      <c r="M37" s="23" t="s">
        <v>181</v>
      </c>
      <c r="N37" s="23" t="str">
        <f>IF(COUNTIF($A$2:A37,A37)&gt;1,"DUP","OK")</f>
        <v>OK</v>
      </c>
      <c r="O37" s="23" t="str">
        <f t="shared" si="1"/>
        <v>ORD26001787</v>
      </c>
      <c r="P37" s="23" t="str">
        <f t="shared" si="2"/>
        <v>Sep</v>
      </c>
      <c r="Q37" s="23" t="str">
        <f>IF(F37="CAPTURE",IF(COUNTIF(orders!$A:$A,O37)&gt;0,"Yes","NO ORDER"),"")</f>
        <v>Yes</v>
      </c>
    </row>
    <row r="38" spans="1:17" ht="15" customHeight="1" x14ac:dyDescent="0.3">
      <c r="A38" s="23" t="s">
        <v>12449</v>
      </c>
      <c r="B38" s="23"/>
      <c r="C38" s="23" t="s">
        <v>4107</v>
      </c>
      <c r="D38" s="23" t="str">
        <f t="shared" si="0"/>
        <v>ORD26001810</v>
      </c>
      <c r="E38" s="38">
        <v>46266</v>
      </c>
      <c r="F38" s="23" t="s">
        <v>12410</v>
      </c>
      <c r="G38" s="23" t="s">
        <v>75</v>
      </c>
      <c r="H38" s="24">
        <v>1347</v>
      </c>
      <c r="I38" s="24">
        <v>0</v>
      </c>
      <c r="J38" s="24">
        <v>0</v>
      </c>
      <c r="K38" s="24">
        <v>1347</v>
      </c>
      <c r="L38" s="38">
        <v>46268</v>
      </c>
      <c r="M38" s="23" t="s">
        <v>181</v>
      </c>
      <c r="N38" s="23" t="str">
        <f>IF(COUNTIF($A$2:A38,A38)&gt;1,"DUP","OK")</f>
        <v>OK</v>
      </c>
      <c r="O38" s="23" t="str">
        <f t="shared" si="1"/>
        <v>ORD26001810</v>
      </c>
      <c r="P38" s="23" t="str">
        <f t="shared" si="2"/>
        <v>Sep</v>
      </c>
      <c r="Q38" s="23" t="str">
        <f>IF(F38="CAPTURE",IF(COUNTIF(orders!$A:$A,O38)&gt;0,"Yes","NO ORDER"),"")</f>
        <v>Yes</v>
      </c>
    </row>
    <row r="39" spans="1:17" ht="15" customHeight="1" x14ac:dyDescent="0.3">
      <c r="A39" s="23" t="s">
        <v>12450</v>
      </c>
      <c r="B39" s="23"/>
      <c r="C39" s="23" t="s">
        <v>4234</v>
      </c>
      <c r="D39" s="23" t="str">
        <f t="shared" si="0"/>
        <v>ORD26001874</v>
      </c>
      <c r="E39" s="38">
        <v>46266</v>
      </c>
      <c r="F39" s="23" t="s">
        <v>12410</v>
      </c>
      <c r="G39" s="23" t="s">
        <v>79</v>
      </c>
      <c r="H39" s="24">
        <v>3499</v>
      </c>
      <c r="I39" s="24">
        <v>55.98</v>
      </c>
      <c r="J39" s="24">
        <v>10.08</v>
      </c>
      <c r="K39" s="24">
        <v>3432.94</v>
      </c>
      <c r="L39" s="38">
        <v>46268</v>
      </c>
      <c r="M39" s="23" t="s">
        <v>181</v>
      </c>
      <c r="N39" s="23" t="str">
        <f>IF(COUNTIF($A$2:A39,A39)&gt;1,"DUP","OK")</f>
        <v>OK</v>
      </c>
      <c r="O39" s="23" t="str">
        <f t="shared" si="1"/>
        <v>ORD26001874</v>
      </c>
      <c r="P39" s="23" t="str">
        <f t="shared" si="2"/>
        <v>Sep</v>
      </c>
      <c r="Q39" s="23" t="str">
        <f>IF(F39="CAPTURE",IF(COUNTIF(orders!$A:$A,O39)&gt;0,"Yes","NO ORDER"),"")</f>
        <v>Yes</v>
      </c>
    </row>
    <row r="40" spans="1:17" ht="15" customHeight="1" x14ac:dyDescent="0.3">
      <c r="A40" s="23" t="s">
        <v>12451</v>
      </c>
      <c r="B40" s="23"/>
      <c r="C40" s="23" t="s">
        <v>4288</v>
      </c>
      <c r="D40" s="23" t="str">
        <f t="shared" si="0"/>
        <v>ORD26001900</v>
      </c>
      <c r="E40" s="38">
        <v>46266</v>
      </c>
      <c r="F40" s="23" t="s">
        <v>12410</v>
      </c>
      <c r="G40" s="23" t="s">
        <v>75</v>
      </c>
      <c r="H40" s="24">
        <v>10597</v>
      </c>
      <c r="I40" s="24">
        <v>31.79</v>
      </c>
      <c r="J40" s="24">
        <v>5.72</v>
      </c>
      <c r="K40" s="24">
        <v>10559.49</v>
      </c>
      <c r="L40" s="38">
        <v>46268</v>
      </c>
      <c r="M40" s="23" t="s">
        <v>181</v>
      </c>
      <c r="N40" s="23" t="str">
        <f>IF(COUNTIF($A$2:A40,A40)&gt;1,"DUP","OK")</f>
        <v>OK</v>
      </c>
      <c r="O40" s="23" t="str">
        <f t="shared" si="1"/>
        <v>ORD26001900</v>
      </c>
      <c r="P40" s="23" t="str">
        <f t="shared" si="2"/>
        <v>Sep</v>
      </c>
      <c r="Q40" s="23" t="str">
        <f>IF(F40="CAPTURE",IF(COUNTIF(orders!$A:$A,O40)&gt;0,"Yes","NO ORDER"),"")</f>
        <v>Yes</v>
      </c>
    </row>
    <row r="41" spans="1:17" ht="15" customHeight="1" x14ac:dyDescent="0.3">
      <c r="A41" s="23" t="s">
        <v>12452</v>
      </c>
      <c r="B41" s="23"/>
      <c r="C41" s="23" t="s">
        <v>12453</v>
      </c>
      <c r="D41" s="23" t="str">
        <f t="shared" si="0"/>
        <v>ORD26001976</v>
      </c>
      <c r="E41" s="38">
        <v>46266</v>
      </c>
      <c r="F41" s="23" t="s">
        <v>12410</v>
      </c>
      <c r="G41" s="23" t="s">
        <v>75</v>
      </c>
      <c r="H41" s="24">
        <v>10497</v>
      </c>
      <c r="I41" s="24">
        <v>31.49</v>
      </c>
      <c r="J41" s="24">
        <v>5.67</v>
      </c>
      <c r="K41" s="24">
        <v>10459.84</v>
      </c>
      <c r="L41" s="38">
        <v>46268</v>
      </c>
      <c r="M41" s="23" t="s">
        <v>181</v>
      </c>
      <c r="N41" s="23" t="str">
        <f>IF(COUNTIF($A$2:A41,A41)&gt;1,"DUP","OK")</f>
        <v>OK</v>
      </c>
      <c r="O41" s="23" t="str">
        <f t="shared" si="1"/>
        <v>ORD26001976</v>
      </c>
      <c r="P41" s="23" t="str">
        <f t="shared" si="2"/>
        <v>Sep</v>
      </c>
      <c r="Q41" s="23" t="str">
        <f>IF(F41="CAPTURE",IF(COUNTIF(orders!$A:$A,O41)&gt;0,"Yes","NO ORDER"),"")</f>
        <v>Yes</v>
      </c>
    </row>
    <row r="42" spans="1:17" ht="15" customHeight="1" x14ac:dyDescent="0.3">
      <c r="A42" s="23" t="s">
        <v>12454</v>
      </c>
      <c r="B42" s="23"/>
      <c r="C42" s="23" t="s">
        <v>4476</v>
      </c>
      <c r="D42" s="23" t="str">
        <f t="shared" si="0"/>
        <v>ORD26001994</v>
      </c>
      <c r="E42" s="38">
        <v>46266</v>
      </c>
      <c r="F42" s="23" t="s">
        <v>12410</v>
      </c>
      <c r="G42" s="23" t="s">
        <v>79</v>
      </c>
      <c r="H42" s="24">
        <v>999</v>
      </c>
      <c r="I42" s="24">
        <v>17.98</v>
      </c>
      <c r="J42" s="24">
        <v>3.24</v>
      </c>
      <c r="K42" s="24">
        <v>977.78</v>
      </c>
      <c r="L42" s="38">
        <v>46268</v>
      </c>
      <c r="M42" s="23" t="s">
        <v>181</v>
      </c>
      <c r="N42" s="23" t="str">
        <f>IF(COUNTIF($A$2:A42,A42)&gt;1,"DUP","OK")</f>
        <v>OK</v>
      </c>
      <c r="O42" s="23" t="str">
        <f t="shared" si="1"/>
        <v>ORD26001994</v>
      </c>
      <c r="P42" s="23" t="str">
        <f t="shared" si="2"/>
        <v>Sep</v>
      </c>
      <c r="Q42" s="23" t="str">
        <f>IF(F42="CAPTURE",IF(COUNTIF(orders!$A:$A,O42)&gt;0,"Yes","NO ORDER"),"")</f>
        <v>Yes</v>
      </c>
    </row>
    <row r="43" spans="1:17" ht="15" customHeight="1" x14ac:dyDescent="0.3">
      <c r="A43" s="23" t="s">
        <v>12455</v>
      </c>
      <c r="B43" s="23"/>
      <c r="C43" s="23" t="s">
        <v>4515</v>
      </c>
      <c r="D43" s="23" t="str">
        <f t="shared" si="0"/>
        <v>ORD26002013</v>
      </c>
      <c r="E43" s="38">
        <v>46266</v>
      </c>
      <c r="F43" s="23" t="s">
        <v>12410</v>
      </c>
      <c r="G43" s="23" t="s">
        <v>75</v>
      </c>
      <c r="H43" s="24">
        <v>1799</v>
      </c>
      <c r="I43" s="24">
        <v>0</v>
      </c>
      <c r="J43" s="24">
        <v>0</v>
      </c>
      <c r="K43" s="24">
        <v>1799</v>
      </c>
      <c r="L43" s="38">
        <v>46268</v>
      </c>
      <c r="M43" s="23" t="s">
        <v>181</v>
      </c>
      <c r="N43" s="23" t="str">
        <f>IF(COUNTIF($A$2:A43,A43)&gt;1,"DUP","OK")</f>
        <v>OK</v>
      </c>
      <c r="O43" s="23" t="str">
        <f t="shared" si="1"/>
        <v>ORD26002013</v>
      </c>
      <c r="P43" s="23" t="str">
        <f t="shared" si="2"/>
        <v>Sep</v>
      </c>
      <c r="Q43" s="23" t="str">
        <f>IF(F43="CAPTURE",IF(COUNTIF(orders!$A:$A,O43)&gt;0,"Yes","NO ORDER"),"")</f>
        <v>Yes</v>
      </c>
    </row>
    <row r="44" spans="1:17" ht="15" customHeight="1" x14ac:dyDescent="0.3">
      <c r="A44" s="23" t="s">
        <v>12456</v>
      </c>
      <c r="B44" s="23"/>
      <c r="C44" s="23" t="s">
        <v>4605</v>
      </c>
      <c r="D44" s="23" t="str">
        <f t="shared" si="0"/>
        <v>ORD26002057</v>
      </c>
      <c r="E44" s="38">
        <v>46266</v>
      </c>
      <c r="F44" s="23" t="s">
        <v>12410</v>
      </c>
      <c r="G44" s="23" t="s">
        <v>75</v>
      </c>
      <c r="H44" s="24">
        <v>3499</v>
      </c>
      <c r="I44" s="24">
        <v>10.5</v>
      </c>
      <c r="J44" s="24">
        <v>1.89</v>
      </c>
      <c r="K44" s="24">
        <v>3486.61</v>
      </c>
      <c r="L44" s="38">
        <v>46268</v>
      </c>
      <c r="M44" s="23" t="s">
        <v>181</v>
      </c>
      <c r="N44" s="23" t="str">
        <f>IF(COUNTIF($A$2:A44,A44)&gt;1,"DUP","OK")</f>
        <v>OK</v>
      </c>
      <c r="O44" s="23" t="str">
        <f t="shared" si="1"/>
        <v>ORD26002057</v>
      </c>
      <c r="P44" s="23" t="str">
        <f t="shared" si="2"/>
        <v>Sep</v>
      </c>
      <c r="Q44" s="23" t="str">
        <f>IF(F44="CAPTURE",IF(COUNTIF(orders!$A:$A,O44)&gt;0,"Yes","NO ORDER"),"")</f>
        <v>Yes</v>
      </c>
    </row>
    <row r="45" spans="1:17" ht="15" customHeight="1" x14ac:dyDescent="0.3">
      <c r="A45" s="23" t="s">
        <v>12457</v>
      </c>
      <c r="B45" s="23"/>
      <c r="C45" s="23" t="s">
        <v>12458</v>
      </c>
      <c r="D45" s="23" t="str">
        <f t="shared" si="0"/>
        <v>ORD26002063</v>
      </c>
      <c r="E45" s="38">
        <v>46266</v>
      </c>
      <c r="F45" s="23" t="s">
        <v>12410</v>
      </c>
      <c r="G45" s="23" t="s">
        <v>77</v>
      </c>
      <c r="H45" s="24">
        <v>3798</v>
      </c>
      <c r="I45" s="24">
        <v>64.569999999999993</v>
      </c>
      <c r="J45" s="24">
        <v>11.62</v>
      </c>
      <c r="K45" s="24">
        <v>3721.81</v>
      </c>
      <c r="L45" s="38">
        <v>46268</v>
      </c>
      <c r="M45" s="23" t="s">
        <v>181</v>
      </c>
      <c r="N45" s="23" t="str">
        <f>IF(COUNTIF($A$2:A45,A45)&gt;1,"DUP","OK")</f>
        <v>OK</v>
      </c>
      <c r="O45" s="23" t="str">
        <f t="shared" si="1"/>
        <v>ORD26002063</v>
      </c>
      <c r="P45" s="23" t="str">
        <f t="shared" si="2"/>
        <v>Sep</v>
      </c>
      <c r="Q45" s="23" t="str">
        <f>IF(F45="CAPTURE",IF(COUNTIF(orders!$A:$A,O45)&gt;0,"Yes","NO ORDER"),"")</f>
        <v>Yes</v>
      </c>
    </row>
    <row r="46" spans="1:17" ht="15" customHeight="1" x14ac:dyDescent="0.3">
      <c r="A46" s="23" t="s">
        <v>12459</v>
      </c>
      <c r="B46" s="23"/>
      <c r="C46" s="23" t="s">
        <v>4666</v>
      </c>
      <c r="D46" s="23" t="str">
        <f t="shared" si="0"/>
        <v>ORD26002088</v>
      </c>
      <c r="E46" s="38">
        <v>46266</v>
      </c>
      <c r="F46" s="23" t="s">
        <v>12410</v>
      </c>
      <c r="G46" s="23" t="s">
        <v>79</v>
      </c>
      <c r="H46" s="24">
        <v>799</v>
      </c>
      <c r="I46" s="24">
        <v>14.38</v>
      </c>
      <c r="J46" s="24">
        <v>2.59</v>
      </c>
      <c r="K46" s="24">
        <v>782.03</v>
      </c>
      <c r="L46" s="38">
        <v>46268</v>
      </c>
      <c r="M46" s="23" t="s">
        <v>181</v>
      </c>
      <c r="N46" s="23" t="str">
        <f>IF(COUNTIF($A$2:A46,A46)&gt;1,"DUP","OK")</f>
        <v>OK</v>
      </c>
      <c r="O46" s="23" t="str">
        <f t="shared" si="1"/>
        <v>ORD26002088</v>
      </c>
      <c r="P46" s="23" t="str">
        <f t="shared" si="2"/>
        <v>Sep</v>
      </c>
      <c r="Q46" s="23" t="str">
        <f>IF(F46="CAPTURE",IF(COUNTIF(orders!$A:$A,O46)&gt;0,"Yes","NO ORDER"),"")</f>
        <v>Yes</v>
      </c>
    </row>
    <row r="47" spans="1:17" ht="15" customHeight="1" x14ac:dyDescent="0.3">
      <c r="A47" s="23" t="s">
        <v>12460</v>
      </c>
      <c r="B47" s="23"/>
      <c r="C47" s="23" t="s">
        <v>4782</v>
      </c>
      <c r="D47" s="23" t="str">
        <f t="shared" si="0"/>
        <v>ORD26002146</v>
      </c>
      <c r="E47" s="38">
        <v>46266</v>
      </c>
      <c r="F47" s="23" t="s">
        <v>12410</v>
      </c>
      <c r="G47" s="23" t="s">
        <v>81</v>
      </c>
      <c r="H47" s="24">
        <v>1299</v>
      </c>
      <c r="I47" s="24">
        <v>19.489999999999998</v>
      </c>
      <c r="J47" s="24">
        <v>3.51</v>
      </c>
      <c r="K47" s="24">
        <v>1276</v>
      </c>
      <c r="L47" s="38">
        <v>46268</v>
      </c>
      <c r="M47" s="23" t="s">
        <v>181</v>
      </c>
      <c r="N47" s="23" t="str">
        <f>IF(COUNTIF($A$2:A47,A47)&gt;1,"DUP","OK")</f>
        <v>OK</v>
      </c>
      <c r="O47" s="23" t="str">
        <f t="shared" si="1"/>
        <v>ORD26002146</v>
      </c>
      <c r="P47" s="23" t="str">
        <f t="shared" si="2"/>
        <v>Sep</v>
      </c>
      <c r="Q47" s="23" t="str">
        <f>IF(F47="CAPTURE",IF(COUNTIF(orders!$A:$A,O47)&gt;0,"Yes","NO ORDER"),"")</f>
        <v>Yes</v>
      </c>
    </row>
    <row r="48" spans="1:17" ht="15" customHeight="1" x14ac:dyDescent="0.3">
      <c r="A48" s="23" t="s">
        <v>12461</v>
      </c>
      <c r="B48" s="23"/>
      <c r="C48" s="23" t="s">
        <v>5094</v>
      </c>
      <c r="D48" s="23" t="str">
        <f t="shared" si="0"/>
        <v>ORD26002300</v>
      </c>
      <c r="E48" s="38">
        <v>46266</v>
      </c>
      <c r="F48" s="23" t="s">
        <v>12410</v>
      </c>
      <c r="G48" s="23" t="s">
        <v>75</v>
      </c>
      <c r="H48" s="24">
        <v>349</v>
      </c>
      <c r="I48" s="24">
        <v>0</v>
      </c>
      <c r="J48" s="24">
        <v>0</v>
      </c>
      <c r="K48" s="24">
        <v>349</v>
      </c>
      <c r="L48" s="38">
        <v>46268</v>
      </c>
      <c r="M48" s="23" t="s">
        <v>181</v>
      </c>
      <c r="N48" s="23" t="str">
        <f>IF(COUNTIF($A$2:A48,A48)&gt;1,"DUP","OK")</f>
        <v>OK</v>
      </c>
      <c r="O48" s="23" t="str">
        <f t="shared" si="1"/>
        <v>ORD26002300</v>
      </c>
      <c r="P48" s="23" t="str">
        <f t="shared" si="2"/>
        <v>Sep</v>
      </c>
      <c r="Q48" s="23" t="str">
        <f>IF(F48="CAPTURE",IF(COUNTIF(orders!$A:$A,O48)&gt;0,"Yes","NO ORDER"),"")</f>
        <v>Yes</v>
      </c>
    </row>
    <row r="49" spans="1:17" ht="15" customHeight="1" x14ac:dyDescent="0.3">
      <c r="A49" s="23" t="s">
        <v>12462</v>
      </c>
      <c r="B49" s="23"/>
      <c r="C49" s="23" t="s">
        <v>5138</v>
      </c>
      <c r="D49" s="23" t="str">
        <f t="shared" si="0"/>
        <v>ORD26002322</v>
      </c>
      <c r="E49" s="38">
        <v>46266</v>
      </c>
      <c r="F49" s="23" t="s">
        <v>12410</v>
      </c>
      <c r="G49" s="23" t="s">
        <v>75</v>
      </c>
      <c r="H49" s="24">
        <v>799</v>
      </c>
      <c r="I49" s="24">
        <v>0</v>
      </c>
      <c r="J49" s="24">
        <v>0</v>
      </c>
      <c r="K49" s="24">
        <v>799</v>
      </c>
      <c r="L49" s="38">
        <v>46268</v>
      </c>
      <c r="M49" s="23" t="s">
        <v>181</v>
      </c>
      <c r="N49" s="23" t="str">
        <f>IF(COUNTIF($A$2:A49,A49)&gt;1,"DUP","OK")</f>
        <v>OK</v>
      </c>
      <c r="O49" s="23" t="str">
        <f t="shared" si="1"/>
        <v>ORD26002322</v>
      </c>
      <c r="P49" s="23" t="str">
        <f t="shared" si="2"/>
        <v>Sep</v>
      </c>
      <c r="Q49" s="23" t="str">
        <f>IF(F49="CAPTURE",IF(COUNTIF(orders!$A:$A,O49)&gt;0,"Yes","NO ORDER"),"")</f>
        <v>Yes</v>
      </c>
    </row>
    <row r="50" spans="1:17" ht="15" customHeight="1" x14ac:dyDescent="0.3">
      <c r="A50" s="23" t="s">
        <v>12463</v>
      </c>
      <c r="B50" s="23"/>
      <c r="C50" s="23" t="s">
        <v>12464</v>
      </c>
      <c r="D50" s="23" t="str">
        <f t="shared" si="0"/>
        <v>ORD26002328</v>
      </c>
      <c r="E50" s="38">
        <v>46266</v>
      </c>
      <c r="F50" s="23" t="s">
        <v>12410</v>
      </c>
      <c r="G50" s="23" t="s">
        <v>75</v>
      </c>
      <c r="H50" s="24">
        <v>1798</v>
      </c>
      <c r="I50" s="24">
        <v>0</v>
      </c>
      <c r="J50" s="24">
        <v>0</v>
      </c>
      <c r="K50" s="24">
        <v>1798</v>
      </c>
      <c r="L50" s="38">
        <v>46268</v>
      </c>
      <c r="M50" s="23" t="s">
        <v>181</v>
      </c>
      <c r="N50" s="23" t="str">
        <f>IF(COUNTIF($A$2:A50,A50)&gt;1,"DUP","OK")</f>
        <v>OK</v>
      </c>
      <c r="O50" s="23" t="str">
        <f t="shared" si="1"/>
        <v>ORD26002328</v>
      </c>
      <c r="P50" s="23" t="str">
        <f t="shared" si="2"/>
        <v>Sep</v>
      </c>
      <c r="Q50" s="23" t="str">
        <f>IF(F50="CAPTURE",IF(COUNTIF(orders!$A:$A,O50)&gt;0,"Yes","NO ORDER"),"")</f>
        <v>Yes</v>
      </c>
    </row>
    <row r="51" spans="1:17" ht="15" customHeight="1" x14ac:dyDescent="0.3">
      <c r="A51" s="23" t="s">
        <v>12465</v>
      </c>
      <c r="B51" s="23"/>
      <c r="C51" s="23" t="s">
        <v>12466</v>
      </c>
      <c r="D51" s="23" t="str">
        <f t="shared" si="0"/>
        <v>ORD26002354</v>
      </c>
      <c r="E51" s="38">
        <v>46266</v>
      </c>
      <c r="F51" s="23" t="s">
        <v>12410</v>
      </c>
      <c r="G51" s="23" t="s">
        <v>75</v>
      </c>
      <c r="H51" s="24">
        <v>2999</v>
      </c>
      <c r="I51" s="24">
        <v>9</v>
      </c>
      <c r="J51" s="24">
        <v>1.62</v>
      </c>
      <c r="K51" s="24">
        <v>2988.38</v>
      </c>
      <c r="L51" s="38">
        <v>46268</v>
      </c>
      <c r="M51" s="23" t="s">
        <v>181</v>
      </c>
      <c r="N51" s="23" t="str">
        <f>IF(COUNTIF($A$2:A51,A51)&gt;1,"DUP","OK")</f>
        <v>OK</v>
      </c>
      <c r="O51" s="23" t="str">
        <f t="shared" si="1"/>
        <v>ORD26002354</v>
      </c>
      <c r="P51" s="23" t="str">
        <f t="shared" si="2"/>
        <v>Sep</v>
      </c>
      <c r="Q51" s="23" t="str">
        <f>IF(F51="CAPTURE",IF(COUNTIF(orders!$A:$A,O51)&gt;0,"Yes","NO ORDER"),"")</f>
        <v>Yes</v>
      </c>
    </row>
    <row r="52" spans="1:17" ht="15" customHeight="1" x14ac:dyDescent="0.3">
      <c r="A52" s="23" t="s">
        <v>12467</v>
      </c>
      <c r="B52" s="23"/>
      <c r="C52" s="23" t="s">
        <v>5482</v>
      </c>
      <c r="D52" s="23" t="str">
        <f t="shared" si="0"/>
        <v>ORD26002497</v>
      </c>
      <c r="E52" s="38">
        <v>46266</v>
      </c>
      <c r="F52" s="23" t="s">
        <v>12410</v>
      </c>
      <c r="G52" s="23" t="s">
        <v>75</v>
      </c>
      <c r="H52" s="24">
        <v>999</v>
      </c>
      <c r="I52" s="24">
        <v>0</v>
      </c>
      <c r="J52" s="24">
        <v>0</v>
      </c>
      <c r="K52" s="24">
        <v>999</v>
      </c>
      <c r="L52" s="38">
        <v>46268</v>
      </c>
      <c r="M52" s="23" t="s">
        <v>181</v>
      </c>
      <c r="N52" s="23" t="str">
        <f>IF(COUNTIF($A$2:A52,A52)&gt;1,"DUP","OK")</f>
        <v>OK</v>
      </c>
      <c r="O52" s="23" t="str">
        <f t="shared" si="1"/>
        <v>ORD26002497</v>
      </c>
      <c r="P52" s="23" t="str">
        <f t="shared" si="2"/>
        <v>Sep</v>
      </c>
      <c r="Q52" s="23" t="str">
        <f>IF(F52="CAPTURE",IF(COUNTIF(orders!$A:$A,O52)&gt;0,"Yes","NO ORDER"),"")</f>
        <v>Yes</v>
      </c>
    </row>
    <row r="53" spans="1:17" ht="15" customHeight="1" x14ac:dyDescent="0.3">
      <c r="A53" s="23" t="s">
        <v>12468</v>
      </c>
      <c r="B53" s="23"/>
      <c r="C53" s="23" t="s">
        <v>12469</v>
      </c>
      <c r="D53" s="23" t="str">
        <f t="shared" si="0"/>
        <v>ORD26002538</v>
      </c>
      <c r="E53" s="38">
        <v>46266</v>
      </c>
      <c r="F53" s="23" t="s">
        <v>12410</v>
      </c>
      <c r="G53" s="23" t="s">
        <v>79</v>
      </c>
      <c r="H53" s="24">
        <v>1648</v>
      </c>
      <c r="I53" s="24">
        <v>29.66</v>
      </c>
      <c r="J53" s="24">
        <v>5.34</v>
      </c>
      <c r="K53" s="24">
        <v>1613</v>
      </c>
      <c r="L53" s="38">
        <v>46268</v>
      </c>
      <c r="M53" s="23" t="s">
        <v>181</v>
      </c>
      <c r="N53" s="23" t="str">
        <f>IF(COUNTIF($A$2:A53,A53)&gt;1,"DUP","OK")</f>
        <v>OK</v>
      </c>
      <c r="O53" s="23" t="str">
        <f t="shared" si="1"/>
        <v>ORD26002538</v>
      </c>
      <c r="P53" s="23" t="str">
        <f t="shared" si="2"/>
        <v>Sep</v>
      </c>
      <c r="Q53" s="23" t="str">
        <f>IF(F53="CAPTURE",IF(COUNTIF(orders!$A:$A,O53)&gt;0,"Yes","NO ORDER"),"")</f>
        <v>Yes</v>
      </c>
    </row>
    <row r="54" spans="1:17" ht="15" customHeight="1" x14ac:dyDescent="0.3">
      <c r="A54" s="23" t="s">
        <v>12470</v>
      </c>
      <c r="B54" s="23"/>
      <c r="C54" s="23" t="s">
        <v>5699</v>
      </c>
      <c r="D54" s="23" t="str">
        <f t="shared" si="0"/>
        <v>ORD26002603</v>
      </c>
      <c r="E54" s="38">
        <v>46266</v>
      </c>
      <c r="F54" s="23" t="s">
        <v>12410</v>
      </c>
      <c r="G54" s="23" t="s">
        <v>77</v>
      </c>
      <c r="H54" s="24">
        <v>599</v>
      </c>
      <c r="I54" s="24">
        <v>11.38</v>
      </c>
      <c r="J54" s="24">
        <v>2.0499999999999998</v>
      </c>
      <c r="K54" s="24">
        <v>585.57000000000005</v>
      </c>
      <c r="L54" s="38">
        <v>46268</v>
      </c>
      <c r="M54" s="23" t="s">
        <v>181</v>
      </c>
      <c r="N54" s="23" t="str">
        <f>IF(COUNTIF($A$2:A54,A54)&gt;1,"DUP","OK")</f>
        <v>OK</v>
      </c>
      <c r="O54" s="23" t="str">
        <f t="shared" si="1"/>
        <v>ORD26002603</v>
      </c>
      <c r="P54" s="23" t="str">
        <f t="shared" si="2"/>
        <v>Sep</v>
      </c>
      <c r="Q54" s="23" t="str">
        <f>IF(F54="CAPTURE",IF(COUNTIF(orders!$A:$A,O54)&gt;0,"Yes","NO ORDER"),"")</f>
        <v>Yes</v>
      </c>
    </row>
    <row r="55" spans="1:17" ht="15" customHeight="1" x14ac:dyDescent="0.3">
      <c r="A55" s="23" t="s">
        <v>12471</v>
      </c>
      <c r="B55" s="23"/>
      <c r="C55" s="23" t="s">
        <v>5780</v>
      </c>
      <c r="D55" s="23" t="str">
        <f t="shared" si="0"/>
        <v>ORD26002643</v>
      </c>
      <c r="E55" s="38">
        <v>46266</v>
      </c>
      <c r="F55" s="23" t="s">
        <v>12410</v>
      </c>
      <c r="G55" s="23" t="s">
        <v>79</v>
      </c>
      <c r="H55" s="24">
        <v>6498</v>
      </c>
      <c r="I55" s="24">
        <v>103.97</v>
      </c>
      <c r="J55" s="24">
        <v>18.71</v>
      </c>
      <c r="K55" s="24">
        <v>6375.32</v>
      </c>
      <c r="L55" s="38">
        <v>46268</v>
      </c>
      <c r="M55" s="23" t="s">
        <v>181</v>
      </c>
      <c r="N55" s="23" t="str">
        <f>IF(COUNTIF($A$2:A55,A55)&gt;1,"DUP","OK")</f>
        <v>OK</v>
      </c>
      <c r="O55" s="23" t="str">
        <f t="shared" si="1"/>
        <v>ORD26002643</v>
      </c>
      <c r="P55" s="23" t="str">
        <f t="shared" si="2"/>
        <v>Sep</v>
      </c>
      <c r="Q55" s="23" t="str">
        <f>IF(F55="CAPTURE",IF(COUNTIF(orders!$A:$A,O55)&gt;0,"Yes","NO ORDER"),"")</f>
        <v>Yes</v>
      </c>
    </row>
    <row r="56" spans="1:17" ht="15" customHeight="1" x14ac:dyDescent="0.3">
      <c r="A56" s="23" t="s">
        <v>12472</v>
      </c>
      <c r="B56" s="23"/>
      <c r="C56" s="23" t="s">
        <v>5808</v>
      </c>
      <c r="D56" s="23" t="str">
        <f t="shared" si="0"/>
        <v>ORD26002656</v>
      </c>
      <c r="E56" s="38">
        <v>46266</v>
      </c>
      <c r="F56" s="23" t="s">
        <v>12410</v>
      </c>
      <c r="G56" s="23" t="s">
        <v>75</v>
      </c>
      <c r="H56" s="24">
        <v>5348</v>
      </c>
      <c r="I56" s="24">
        <v>16.04</v>
      </c>
      <c r="J56" s="24">
        <v>2.89</v>
      </c>
      <c r="K56" s="24">
        <v>5329.07</v>
      </c>
      <c r="L56" s="38">
        <v>46268</v>
      </c>
      <c r="M56" s="23" t="s">
        <v>181</v>
      </c>
      <c r="N56" s="23" t="str">
        <f>IF(COUNTIF($A$2:A56,A56)&gt;1,"DUP","OK")</f>
        <v>OK</v>
      </c>
      <c r="O56" s="23" t="str">
        <f t="shared" si="1"/>
        <v>ORD26002656</v>
      </c>
      <c r="P56" s="23" t="str">
        <f t="shared" si="2"/>
        <v>Sep</v>
      </c>
      <c r="Q56" s="23" t="str">
        <f>IF(F56="CAPTURE",IF(COUNTIF(orders!$A:$A,O56)&gt;0,"Yes","NO ORDER"),"")</f>
        <v>Yes</v>
      </c>
    </row>
    <row r="57" spans="1:17" ht="15" customHeight="1" x14ac:dyDescent="0.3">
      <c r="A57" s="23" t="s">
        <v>12473</v>
      </c>
      <c r="B57" s="23"/>
      <c r="C57" s="23" t="s">
        <v>5812</v>
      </c>
      <c r="D57" s="23" t="str">
        <f t="shared" si="0"/>
        <v>ORD26002658</v>
      </c>
      <c r="E57" s="38">
        <v>46266</v>
      </c>
      <c r="F57" s="23" t="s">
        <v>12410</v>
      </c>
      <c r="G57" s="23" t="s">
        <v>75</v>
      </c>
      <c r="H57" s="24">
        <v>4798</v>
      </c>
      <c r="I57" s="24">
        <v>14.39</v>
      </c>
      <c r="J57" s="24">
        <v>2.59</v>
      </c>
      <c r="K57" s="24">
        <v>4781.0200000000004</v>
      </c>
      <c r="L57" s="38">
        <v>46268</v>
      </c>
      <c r="M57" s="23" t="s">
        <v>181</v>
      </c>
      <c r="N57" s="23" t="str">
        <f>IF(COUNTIF($A$2:A57,A57)&gt;1,"DUP","OK")</f>
        <v>OK</v>
      </c>
      <c r="O57" s="23" t="str">
        <f t="shared" si="1"/>
        <v>ORD26002658</v>
      </c>
      <c r="P57" s="23" t="str">
        <f t="shared" si="2"/>
        <v>Sep</v>
      </c>
      <c r="Q57" s="23" t="str">
        <f>IF(F57="CAPTURE",IF(COUNTIF(orders!$A:$A,O57)&gt;0,"Yes","NO ORDER"),"")</f>
        <v>Yes</v>
      </c>
    </row>
    <row r="58" spans="1:17" ht="15" customHeight="1" x14ac:dyDescent="0.3">
      <c r="A58" s="23" t="s">
        <v>12474</v>
      </c>
      <c r="B58" s="23"/>
      <c r="C58" s="23" t="s">
        <v>5856</v>
      </c>
      <c r="D58" s="23" t="str">
        <f t="shared" si="0"/>
        <v>ORD26002680</v>
      </c>
      <c r="E58" s="38">
        <v>46266</v>
      </c>
      <c r="F58" s="23" t="s">
        <v>12410</v>
      </c>
      <c r="G58" s="23" t="s">
        <v>77</v>
      </c>
      <c r="H58" s="24">
        <v>1799</v>
      </c>
      <c r="I58" s="24">
        <v>34.18</v>
      </c>
      <c r="J58" s="24">
        <v>6.15</v>
      </c>
      <c r="K58" s="24">
        <v>1758.67</v>
      </c>
      <c r="L58" s="38">
        <v>46268</v>
      </c>
      <c r="M58" s="23" t="s">
        <v>181</v>
      </c>
      <c r="N58" s="23" t="str">
        <f>IF(COUNTIF($A$2:A58,A58)&gt;1,"DUP","OK")</f>
        <v>OK</v>
      </c>
      <c r="O58" s="23" t="str">
        <f t="shared" si="1"/>
        <v>ORD26002680</v>
      </c>
      <c r="P58" s="23" t="str">
        <f t="shared" si="2"/>
        <v>Sep</v>
      </c>
      <c r="Q58" s="23" t="str">
        <f>IF(F58="CAPTURE",IF(COUNTIF(orders!$A:$A,O58)&gt;0,"Yes","NO ORDER"),"")</f>
        <v>Yes</v>
      </c>
    </row>
    <row r="59" spans="1:17" ht="15" customHeight="1" x14ac:dyDescent="0.3">
      <c r="A59" s="23" t="s">
        <v>12475</v>
      </c>
      <c r="B59" s="23"/>
      <c r="C59" s="23" t="s">
        <v>12476</v>
      </c>
      <c r="D59" s="23" t="str">
        <f t="shared" si="0"/>
        <v>ORD26002715</v>
      </c>
      <c r="E59" s="38">
        <v>46266</v>
      </c>
      <c r="F59" s="23" t="s">
        <v>12410</v>
      </c>
      <c r="G59" s="23" t="s">
        <v>81</v>
      </c>
      <c r="H59" s="24">
        <v>8798</v>
      </c>
      <c r="I59" s="24">
        <v>105.58</v>
      </c>
      <c r="J59" s="24">
        <v>19</v>
      </c>
      <c r="K59" s="24">
        <v>8673.42</v>
      </c>
      <c r="L59" s="38">
        <v>46268</v>
      </c>
      <c r="M59" s="23" t="s">
        <v>181</v>
      </c>
      <c r="N59" s="23" t="str">
        <f>IF(COUNTIF($A$2:A59,A59)&gt;1,"DUP","OK")</f>
        <v>OK</v>
      </c>
      <c r="O59" s="23" t="str">
        <f t="shared" si="1"/>
        <v>ORD26002715</v>
      </c>
      <c r="P59" s="23" t="str">
        <f t="shared" si="2"/>
        <v>Sep</v>
      </c>
      <c r="Q59" s="23" t="str">
        <f>IF(F59="CAPTURE",IF(COUNTIF(orders!$A:$A,O59)&gt;0,"Yes","NO ORDER"),"")</f>
        <v>Yes</v>
      </c>
    </row>
    <row r="60" spans="1:17" ht="15" customHeight="1" x14ac:dyDescent="0.3">
      <c r="A60" s="23" t="s">
        <v>12477</v>
      </c>
      <c r="B60" s="23"/>
      <c r="C60" s="23" t="s">
        <v>5948</v>
      </c>
      <c r="D60" s="23" t="str">
        <f t="shared" si="0"/>
        <v>ORD26002726</v>
      </c>
      <c r="E60" s="38">
        <v>46266</v>
      </c>
      <c r="F60" s="23" t="s">
        <v>12410</v>
      </c>
      <c r="G60" s="23" t="s">
        <v>75</v>
      </c>
      <c r="H60" s="24">
        <v>7999</v>
      </c>
      <c r="I60" s="24">
        <v>24</v>
      </c>
      <c r="J60" s="24">
        <v>4.32</v>
      </c>
      <c r="K60" s="24">
        <v>7970.68</v>
      </c>
      <c r="L60" s="38">
        <v>46268</v>
      </c>
      <c r="M60" s="23" t="s">
        <v>181</v>
      </c>
      <c r="N60" s="23" t="str">
        <f>IF(COUNTIF($A$2:A60,A60)&gt;1,"DUP","OK")</f>
        <v>OK</v>
      </c>
      <c r="O60" s="23" t="str">
        <f t="shared" si="1"/>
        <v>ORD26002726</v>
      </c>
      <c r="P60" s="23" t="str">
        <f t="shared" si="2"/>
        <v>Sep</v>
      </c>
      <c r="Q60" s="23" t="str">
        <f>IF(F60="CAPTURE",IF(COUNTIF(orders!$A:$A,O60)&gt;0,"Yes","NO ORDER"),"")</f>
        <v>Yes</v>
      </c>
    </row>
    <row r="61" spans="1:17" ht="15" customHeight="1" x14ac:dyDescent="0.3">
      <c r="A61" s="23" t="s">
        <v>12478</v>
      </c>
      <c r="B61" s="23"/>
      <c r="C61" s="23" t="s">
        <v>6006</v>
      </c>
      <c r="D61" s="23" t="str">
        <f t="shared" si="0"/>
        <v>ORD26002754</v>
      </c>
      <c r="E61" s="38">
        <v>46266</v>
      </c>
      <c r="F61" s="23" t="s">
        <v>12410</v>
      </c>
      <c r="G61" s="23" t="s">
        <v>75</v>
      </c>
      <c r="H61" s="24">
        <v>2499</v>
      </c>
      <c r="I61" s="24">
        <v>7.5</v>
      </c>
      <c r="J61" s="24">
        <v>1.35</v>
      </c>
      <c r="K61" s="24">
        <v>2490.15</v>
      </c>
      <c r="L61" s="38">
        <v>46268</v>
      </c>
      <c r="M61" s="23" t="s">
        <v>181</v>
      </c>
      <c r="N61" s="23" t="str">
        <f>IF(COUNTIF($A$2:A61,A61)&gt;1,"DUP","OK")</f>
        <v>OK</v>
      </c>
      <c r="O61" s="23" t="str">
        <f t="shared" si="1"/>
        <v>ORD26002754</v>
      </c>
      <c r="P61" s="23" t="str">
        <f t="shared" si="2"/>
        <v>Sep</v>
      </c>
      <c r="Q61" s="23" t="str">
        <f>IF(F61="CAPTURE",IF(COUNTIF(orders!$A:$A,O61)&gt;0,"Yes","NO ORDER"),"")</f>
        <v>Yes</v>
      </c>
    </row>
    <row r="62" spans="1:17" ht="15" customHeight="1" x14ac:dyDescent="0.3">
      <c r="A62" s="23" t="s">
        <v>12479</v>
      </c>
      <c r="B62" s="23"/>
      <c r="C62" s="23" t="s">
        <v>6144</v>
      </c>
      <c r="D62" s="23" t="str">
        <f t="shared" si="0"/>
        <v>ORD26002823</v>
      </c>
      <c r="E62" s="38">
        <v>46266</v>
      </c>
      <c r="F62" s="23" t="s">
        <v>12410</v>
      </c>
      <c r="G62" s="23" t="s">
        <v>75</v>
      </c>
      <c r="H62" s="24">
        <v>1499</v>
      </c>
      <c r="I62" s="24">
        <v>0</v>
      </c>
      <c r="J62" s="24">
        <v>0</v>
      </c>
      <c r="K62" s="24">
        <v>1499</v>
      </c>
      <c r="L62" s="38">
        <v>46268</v>
      </c>
      <c r="M62" s="23" t="s">
        <v>181</v>
      </c>
      <c r="N62" s="23" t="str">
        <f>IF(COUNTIF($A$2:A62,A62)&gt;1,"DUP","OK")</f>
        <v>OK</v>
      </c>
      <c r="O62" s="23" t="str">
        <f t="shared" si="1"/>
        <v>ORD26002823</v>
      </c>
      <c r="P62" s="23" t="str">
        <f t="shared" si="2"/>
        <v>Sep</v>
      </c>
      <c r="Q62" s="23" t="str">
        <f>IF(F62="CAPTURE",IF(COUNTIF(orders!$A:$A,O62)&gt;0,"Yes","NO ORDER"),"")</f>
        <v>Yes</v>
      </c>
    </row>
    <row r="63" spans="1:17" ht="15" customHeight="1" x14ac:dyDescent="0.3">
      <c r="A63" s="23" t="s">
        <v>12480</v>
      </c>
      <c r="B63" s="23"/>
      <c r="C63" s="23" t="s">
        <v>6185</v>
      </c>
      <c r="D63" s="23" t="str">
        <f t="shared" si="0"/>
        <v>ORD26002844</v>
      </c>
      <c r="E63" s="38">
        <v>46266</v>
      </c>
      <c r="F63" s="23" t="s">
        <v>12410</v>
      </c>
      <c r="G63" s="23" t="s">
        <v>75</v>
      </c>
      <c r="H63" s="24">
        <v>1499</v>
      </c>
      <c r="I63" s="24">
        <v>0</v>
      </c>
      <c r="J63" s="24">
        <v>0</v>
      </c>
      <c r="K63" s="24">
        <v>1499</v>
      </c>
      <c r="L63" s="38">
        <v>46268</v>
      </c>
      <c r="M63" s="23" t="s">
        <v>181</v>
      </c>
      <c r="N63" s="23" t="str">
        <f>IF(COUNTIF($A$2:A63,A63)&gt;1,"DUP","OK")</f>
        <v>OK</v>
      </c>
      <c r="O63" s="23" t="str">
        <f t="shared" si="1"/>
        <v>ORD26002844</v>
      </c>
      <c r="P63" s="23" t="str">
        <f t="shared" si="2"/>
        <v>Sep</v>
      </c>
      <c r="Q63" s="23" t="str">
        <f>IF(F63="CAPTURE",IF(COUNTIF(orders!$A:$A,O63)&gt;0,"Yes","NO ORDER"),"")</f>
        <v>Yes</v>
      </c>
    </row>
    <row r="64" spans="1:17" ht="15" customHeight="1" x14ac:dyDescent="0.3">
      <c r="A64" s="23" t="s">
        <v>12481</v>
      </c>
      <c r="B64" s="23"/>
      <c r="C64" s="23" t="s">
        <v>6210</v>
      </c>
      <c r="D64" s="23" t="str">
        <f t="shared" si="0"/>
        <v>ORD26002857</v>
      </c>
      <c r="E64" s="38">
        <v>46266</v>
      </c>
      <c r="F64" s="23" t="s">
        <v>12410</v>
      </c>
      <c r="G64" s="23" t="s">
        <v>75</v>
      </c>
      <c r="H64" s="24">
        <v>2598</v>
      </c>
      <c r="I64" s="24">
        <v>7.79</v>
      </c>
      <c r="J64" s="24">
        <v>1.4</v>
      </c>
      <c r="K64" s="24">
        <v>2588.81</v>
      </c>
      <c r="L64" s="38">
        <v>46268</v>
      </c>
      <c r="M64" s="23" t="s">
        <v>181</v>
      </c>
      <c r="N64" s="23" t="str">
        <f>IF(COUNTIF($A$2:A64,A64)&gt;1,"DUP","OK")</f>
        <v>OK</v>
      </c>
      <c r="O64" s="23" t="str">
        <f t="shared" si="1"/>
        <v>ORD26002857</v>
      </c>
      <c r="P64" s="23" t="str">
        <f t="shared" si="2"/>
        <v>Sep</v>
      </c>
      <c r="Q64" s="23" t="str">
        <f>IF(F64="CAPTURE",IF(COUNTIF(orders!$A:$A,O64)&gt;0,"Yes","NO ORDER"),"")</f>
        <v>Yes</v>
      </c>
    </row>
    <row r="65" spans="1:17" ht="15" customHeight="1" x14ac:dyDescent="0.3">
      <c r="A65" s="23" t="s">
        <v>12482</v>
      </c>
      <c r="B65" s="23"/>
      <c r="C65" s="23" t="s">
        <v>6249</v>
      </c>
      <c r="D65" s="23" t="str">
        <f t="shared" si="0"/>
        <v>ORD26002877</v>
      </c>
      <c r="E65" s="38">
        <v>46266</v>
      </c>
      <c r="F65" s="23" t="s">
        <v>12410</v>
      </c>
      <c r="G65" s="23" t="s">
        <v>75</v>
      </c>
      <c r="H65" s="24">
        <v>1098</v>
      </c>
      <c r="I65" s="24">
        <v>0</v>
      </c>
      <c r="J65" s="24">
        <v>0</v>
      </c>
      <c r="K65" s="24">
        <v>1098</v>
      </c>
      <c r="L65" s="38">
        <v>46268</v>
      </c>
      <c r="M65" s="23" t="s">
        <v>181</v>
      </c>
      <c r="N65" s="23" t="str">
        <f>IF(COUNTIF($A$2:A65,A65)&gt;1,"DUP","OK")</f>
        <v>OK</v>
      </c>
      <c r="O65" s="23" t="str">
        <f t="shared" si="1"/>
        <v>ORD26002877</v>
      </c>
      <c r="P65" s="23" t="str">
        <f t="shared" si="2"/>
        <v>Sep</v>
      </c>
      <c r="Q65" s="23" t="str">
        <f>IF(F65="CAPTURE",IF(COUNTIF(orders!$A:$A,O65)&gt;0,"Yes","NO ORDER"),"")</f>
        <v>Yes</v>
      </c>
    </row>
    <row r="66" spans="1:17" ht="15" customHeight="1" x14ac:dyDescent="0.3">
      <c r="A66" s="23" t="s">
        <v>12483</v>
      </c>
      <c r="B66" s="23"/>
      <c r="C66" s="23" t="s">
        <v>6265</v>
      </c>
      <c r="D66" s="23" t="str">
        <f t="shared" ref="D66:D129" si="3">UPPER(SUBSTITUTE(TRIM(C66),"-",""))</f>
        <v>ORD26002885</v>
      </c>
      <c r="E66" s="38">
        <v>46266</v>
      </c>
      <c r="F66" s="23" t="s">
        <v>12410</v>
      </c>
      <c r="G66" s="23" t="s">
        <v>75</v>
      </c>
      <c r="H66" s="24">
        <v>648</v>
      </c>
      <c r="I66" s="24">
        <v>0</v>
      </c>
      <c r="J66" s="24">
        <v>0</v>
      </c>
      <c r="K66" s="24">
        <v>648</v>
      </c>
      <c r="L66" s="38">
        <v>46268</v>
      </c>
      <c r="M66" s="23" t="s">
        <v>181</v>
      </c>
      <c r="N66" s="23" t="str">
        <f>IF(COUNTIF($A$2:A66,A66)&gt;1,"DUP","OK")</f>
        <v>OK</v>
      </c>
      <c r="O66" s="23" t="str">
        <f t="shared" ref="O66:O129" si="4">IF(F66="REFUND",INDEX($D:$D,MATCH(B66,$A:$A,0)),D66)</f>
        <v>ORD26002885</v>
      </c>
      <c r="P66" s="23" t="str">
        <f t="shared" ref="P66:P129" si="5">IF(L66&gt;DATE(2026,9,30),"Oct-Due","Sep")</f>
        <v>Sep</v>
      </c>
      <c r="Q66" s="23" t="str">
        <f>IF(F66="CAPTURE",IF(COUNTIF(orders!$A:$A,O66)&gt;0,"Yes","NO ORDER"),"")</f>
        <v>Yes</v>
      </c>
    </row>
    <row r="67" spans="1:17" ht="15" customHeight="1" x14ac:dyDescent="0.3">
      <c r="A67" s="23" t="s">
        <v>12484</v>
      </c>
      <c r="B67" s="23"/>
      <c r="C67" s="23" t="s">
        <v>12485</v>
      </c>
      <c r="D67" s="23" t="str">
        <f t="shared" si="3"/>
        <v>ORD26002939</v>
      </c>
      <c r="E67" s="38">
        <v>46266</v>
      </c>
      <c r="F67" s="23" t="s">
        <v>12410</v>
      </c>
      <c r="G67" s="23" t="s">
        <v>75</v>
      </c>
      <c r="H67" s="24">
        <v>4999</v>
      </c>
      <c r="I67" s="24">
        <v>15</v>
      </c>
      <c r="J67" s="24">
        <v>2.7</v>
      </c>
      <c r="K67" s="24">
        <v>4981.3</v>
      </c>
      <c r="L67" s="38">
        <v>46268</v>
      </c>
      <c r="M67" s="23" t="s">
        <v>181</v>
      </c>
      <c r="N67" s="23" t="str">
        <f>IF(COUNTIF($A$2:A67,A67)&gt;1,"DUP","OK")</f>
        <v>OK</v>
      </c>
      <c r="O67" s="23" t="str">
        <f t="shared" si="4"/>
        <v>ORD26002939</v>
      </c>
      <c r="P67" s="23" t="str">
        <f t="shared" si="5"/>
        <v>Sep</v>
      </c>
      <c r="Q67" s="23" t="str">
        <f>IF(F67="CAPTURE",IF(COUNTIF(orders!$A:$A,O67)&gt;0,"Yes","NO ORDER"),"")</f>
        <v>Yes</v>
      </c>
    </row>
    <row r="68" spans="1:17" ht="15" customHeight="1" x14ac:dyDescent="0.3">
      <c r="A68" s="23" t="s">
        <v>12486</v>
      </c>
      <c r="B68" s="23"/>
      <c r="C68" s="23" t="s">
        <v>6401</v>
      </c>
      <c r="D68" s="23" t="str">
        <f t="shared" si="3"/>
        <v>ORD26002953</v>
      </c>
      <c r="E68" s="38">
        <v>46266</v>
      </c>
      <c r="F68" s="23" t="s">
        <v>12410</v>
      </c>
      <c r="G68" s="23" t="s">
        <v>77</v>
      </c>
      <c r="H68" s="24">
        <v>3647</v>
      </c>
      <c r="I68" s="24">
        <v>62</v>
      </c>
      <c r="J68" s="24">
        <v>11.16</v>
      </c>
      <c r="K68" s="24">
        <v>3573.84</v>
      </c>
      <c r="L68" s="38">
        <v>46268</v>
      </c>
      <c r="M68" s="23" t="s">
        <v>181</v>
      </c>
      <c r="N68" s="23" t="str">
        <f>IF(COUNTIF($A$2:A68,A68)&gt;1,"DUP","OK")</f>
        <v>OK</v>
      </c>
      <c r="O68" s="23" t="str">
        <f t="shared" si="4"/>
        <v>ORD26002953</v>
      </c>
      <c r="P68" s="23" t="str">
        <f t="shared" si="5"/>
        <v>Sep</v>
      </c>
      <c r="Q68" s="23" t="str">
        <f>IF(F68="CAPTURE",IF(COUNTIF(orders!$A:$A,O68)&gt;0,"Yes","NO ORDER"),"")</f>
        <v>Yes</v>
      </c>
    </row>
    <row r="69" spans="1:17" ht="15" customHeight="1" x14ac:dyDescent="0.3">
      <c r="A69" s="23" t="s">
        <v>12487</v>
      </c>
      <c r="B69" s="23"/>
      <c r="C69" s="23" t="s">
        <v>6482</v>
      </c>
      <c r="D69" s="23" t="str">
        <f t="shared" si="3"/>
        <v>ORD26002994</v>
      </c>
      <c r="E69" s="38">
        <v>46266</v>
      </c>
      <c r="F69" s="23" t="s">
        <v>12410</v>
      </c>
      <c r="G69" s="23" t="s">
        <v>75</v>
      </c>
      <c r="H69" s="24">
        <v>999</v>
      </c>
      <c r="I69" s="24">
        <v>0</v>
      </c>
      <c r="J69" s="24">
        <v>0</v>
      </c>
      <c r="K69" s="24">
        <v>999</v>
      </c>
      <c r="L69" s="38">
        <v>46268</v>
      </c>
      <c r="M69" s="23" t="s">
        <v>181</v>
      </c>
      <c r="N69" s="23" t="str">
        <f>IF(COUNTIF($A$2:A69,A69)&gt;1,"DUP","OK")</f>
        <v>OK</v>
      </c>
      <c r="O69" s="23" t="str">
        <f t="shared" si="4"/>
        <v>ORD26002994</v>
      </c>
      <c r="P69" s="23" t="str">
        <f t="shared" si="5"/>
        <v>Sep</v>
      </c>
      <c r="Q69" s="23" t="str">
        <f>IF(F69="CAPTURE",IF(COUNTIF(orders!$A:$A,O69)&gt;0,"Yes","NO ORDER"),"")</f>
        <v>Yes</v>
      </c>
    </row>
    <row r="70" spans="1:17" ht="15" customHeight="1" x14ac:dyDescent="0.3">
      <c r="A70" s="23" t="s">
        <v>12488</v>
      </c>
      <c r="B70" s="23"/>
      <c r="C70" s="23" t="s">
        <v>12489</v>
      </c>
      <c r="D70" s="23" t="str">
        <f t="shared" si="3"/>
        <v>ORD26003003</v>
      </c>
      <c r="E70" s="38">
        <v>46266</v>
      </c>
      <c r="F70" s="23" t="s">
        <v>12410</v>
      </c>
      <c r="G70" s="23" t="s">
        <v>75</v>
      </c>
      <c r="H70" s="24">
        <v>1299</v>
      </c>
      <c r="I70" s="24">
        <v>0</v>
      </c>
      <c r="J70" s="24">
        <v>0</v>
      </c>
      <c r="K70" s="24">
        <v>1299</v>
      </c>
      <c r="L70" s="38">
        <v>46268</v>
      </c>
      <c r="M70" s="23" t="s">
        <v>181</v>
      </c>
      <c r="N70" s="23" t="str">
        <f>IF(COUNTIF($A$2:A70,A70)&gt;1,"DUP","OK")</f>
        <v>OK</v>
      </c>
      <c r="O70" s="23" t="str">
        <f t="shared" si="4"/>
        <v>ORD26003003</v>
      </c>
      <c r="P70" s="23" t="str">
        <f t="shared" si="5"/>
        <v>Sep</v>
      </c>
      <c r="Q70" s="23" t="str">
        <f>IF(F70="CAPTURE",IF(COUNTIF(orders!$A:$A,O70)&gt;0,"Yes","NO ORDER"),"")</f>
        <v>Yes</v>
      </c>
    </row>
    <row r="71" spans="1:17" ht="15" customHeight="1" x14ac:dyDescent="0.3">
      <c r="A71" s="23" t="s">
        <v>12490</v>
      </c>
      <c r="B71" s="23"/>
      <c r="C71" s="23" t="s">
        <v>6550</v>
      </c>
      <c r="D71" s="23" t="str">
        <f t="shared" si="3"/>
        <v>ORD26003028</v>
      </c>
      <c r="E71" s="38">
        <v>46266</v>
      </c>
      <c r="F71" s="23" t="s">
        <v>12410</v>
      </c>
      <c r="G71" s="23" t="s">
        <v>79</v>
      </c>
      <c r="H71" s="24">
        <v>499</v>
      </c>
      <c r="I71" s="24">
        <v>8.98</v>
      </c>
      <c r="J71" s="24">
        <v>1.62</v>
      </c>
      <c r="K71" s="24">
        <v>488.4</v>
      </c>
      <c r="L71" s="38">
        <v>46268</v>
      </c>
      <c r="M71" s="23" t="s">
        <v>181</v>
      </c>
      <c r="N71" s="23" t="str">
        <f>IF(COUNTIF($A$2:A71,A71)&gt;1,"DUP","OK")</f>
        <v>OK</v>
      </c>
      <c r="O71" s="23" t="str">
        <f t="shared" si="4"/>
        <v>ORD26003028</v>
      </c>
      <c r="P71" s="23" t="str">
        <f t="shared" si="5"/>
        <v>Sep</v>
      </c>
      <c r="Q71" s="23" t="str">
        <f>IF(F71="CAPTURE",IF(COUNTIF(orders!$A:$A,O71)&gt;0,"Yes","NO ORDER"),"")</f>
        <v>Yes</v>
      </c>
    </row>
    <row r="72" spans="1:17" ht="15" customHeight="1" x14ac:dyDescent="0.3">
      <c r="A72" s="23" t="s">
        <v>12491</v>
      </c>
      <c r="B72" s="23"/>
      <c r="C72" s="23" t="s">
        <v>12492</v>
      </c>
      <c r="D72" s="23" t="str">
        <f t="shared" si="3"/>
        <v>ORD26003049</v>
      </c>
      <c r="E72" s="38">
        <v>46266</v>
      </c>
      <c r="F72" s="23" t="s">
        <v>12410</v>
      </c>
      <c r="G72" s="23" t="s">
        <v>75</v>
      </c>
      <c r="H72" s="24">
        <v>2999</v>
      </c>
      <c r="I72" s="24">
        <v>9</v>
      </c>
      <c r="J72" s="24">
        <v>1.62</v>
      </c>
      <c r="K72" s="24">
        <v>2988.38</v>
      </c>
      <c r="L72" s="38">
        <v>46268</v>
      </c>
      <c r="M72" s="23" t="s">
        <v>181</v>
      </c>
      <c r="N72" s="23" t="str">
        <f>IF(COUNTIF($A$2:A72,A72)&gt;1,"DUP","OK")</f>
        <v>OK</v>
      </c>
      <c r="O72" s="23" t="str">
        <f t="shared" si="4"/>
        <v>ORD26003049</v>
      </c>
      <c r="P72" s="23" t="str">
        <f t="shared" si="5"/>
        <v>Sep</v>
      </c>
      <c r="Q72" s="23" t="str">
        <f>IF(F72="CAPTURE",IF(COUNTIF(orders!$A:$A,O72)&gt;0,"Yes","NO ORDER"),"")</f>
        <v>Yes</v>
      </c>
    </row>
    <row r="73" spans="1:17" ht="15" customHeight="1" x14ac:dyDescent="0.3">
      <c r="A73" s="23" t="s">
        <v>12493</v>
      </c>
      <c r="B73" s="23"/>
      <c r="C73" s="23" t="s">
        <v>12494</v>
      </c>
      <c r="D73" s="23" t="str">
        <f t="shared" si="3"/>
        <v>ORD26003073</v>
      </c>
      <c r="E73" s="38">
        <v>46266</v>
      </c>
      <c r="F73" s="23" t="s">
        <v>12410</v>
      </c>
      <c r="G73" s="23" t="s">
        <v>75</v>
      </c>
      <c r="H73" s="24">
        <v>5998</v>
      </c>
      <c r="I73" s="24">
        <v>17.989999999999998</v>
      </c>
      <c r="J73" s="24">
        <v>3.24</v>
      </c>
      <c r="K73" s="24">
        <v>5976.77</v>
      </c>
      <c r="L73" s="38">
        <v>46268</v>
      </c>
      <c r="M73" s="23" t="s">
        <v>181</v>
      </c>
      <c r="N73" s="23" t="str">
        <f>IF(COUNTIF($A$2:A73,A73)&gt;1,"DUP","OK")</f>
        <v>OK</v>
      </c>
      <c r="O73" s="23" t="str">
        <f t="shared" si="4"/>
        <v>ORD26003073</v>
      </c>
      <c r="P73" s="23" t="str">
        <f t="shared" si="5"/>
        <v>Sep</v>
      </c>
      <c r="Q73" s="23" t="str">
        <f>IF(F73="CAPTURE",IF(COUNTIF(orders!$A:$A,O73)&gt;0,"Yes","NO ORDER"),"")</f>
        <v>Yes</v>
      </c>
    </row>
    <row r="74" spans="1:17" ht="15" customHeight="1" x14ac:dyDescent="0.3">
      <c r="A74" s="23" t="s">
        <v>12495</v>
      </c>
      <c r="B74" s="23"/>
      <c r="C74" s="23" t="s">
        <v>6662</v>
      </c>
      <c r="D74" s="23" t="str">
        <f t="shared" si="3"/>
        <v>ORD26003083</v>
      </c>
      <c r="E74" s="38">
        <v>46266</v>
      </c>
      <c r="F74" s="23" t="s">
        <v>12410</v>
      </c>
      <c r="G74" s="23" t="s">
        <v>75</v>
      </c>
      <c r="H74" s="24">
        <v>1499</v>
      </c>
      <c r="I74" s="24">
        <v>0</v>
      </c>
      <c r="J74" s="24">
        <v>0</v>
      </c>
      <c r="K74" s="24">
        <v>1499</v>
      </c>
      <c r="L74" s="38">
        <v>46268</v>
      </c>
      <c r="M74" s="23" t="s">
        <v>181</v>
      </c>
      <c r="N74" s="23" t="str">
        <f>IF(COUNTIF($A$2:A74,A74)&gt;1,"DUP","OK")</f>
        <v>OK</v>
      </c>
      <c r="O74" s="23" t="str">
        <f t="shared" si="4"/>
        <v>ORD26003083</v>
      </c>
      <c r="P74" s="23" t="str">
        <f t="shared" si="5"/>
        <v>Sep</v>
      </c>
      <c r="Q74" s="23" t="str">
        <f>IF(F74="CAPTURE",IF(COUNTIF(orders!$A:$A,O74)&gt;0,"Yes","NO ORDER"),"")</f>
        <v>Yes</v>
      </c>
    </row>
    <row r="75" spans="1:17" ht="15" customHeight="1" x14ac:dyDescent="0.3">
      <c r="A75" s="23" t="s">
        <v>12496</v>
      </c>
      <c r="B75" s="23"/>
      <c r="C75" s="23" t="s">
        <v>12497</v>
      </c>
      <c r="D75" s="23" t="str">
        <f t="shared" si="3"/>
        <v>ORD26003260</v>
      </c>
      <c r="E75" s="38">
        <v>46266</v>
      </c>
      <c r="F75" s="23" t="s">
        <v>12410</v>
      </c>
      <c r="G75" s="23" t="s">
        <v>81</v>
      </c>
      <c r="H75" s="24">
        <v>3498</v>
      </c>
      <c r="I75" s="24">
        <v>41.98</v>
      </c>
      <c r="J75" s="24">
        <v>7.56</v>
      </c>
      <c r="K75" s="24">
        <v>3448.46</v>
      </c>
      <c r="L75" s="38">
        <v>46268</v>
      </c>
      <c r="M75" s="23" t="s">
        <v>181</v>
      </c>
      <c r="N75" s="23" t="str">
        <f>IF(COUNTIF($A$2:A75,A75)&gt;1,"DUP","OK")</f>
        <v>OK</v>
      </c>
      <c r="O75" s="23" t="str">
        <f t="shared" si="4"/>
        <v>ORD26003260</v>
      </c>
      <c r="P75" s="23" t="str">
        <f t="shared" si="5"/>
        <v>Sep</v>
      </c>
      <c r="Q75" s="23" t="str">
        <f>IF(F75="CAPTURE",IF(COUNTIF(orders!$A:$A,O75)&gt;0,"Yes","NO ORDER"),"")</f>
        <v>Yes</v>
      </c>
    </row>
    <row r="76" spans="1:17" ht="15" customHeight="1" x14ac:dyDescent="0.3">
      <c r="A76" s="23" t="s">
        <v>12498</v>
      </c>
      <c r="B76" s="23"/>
      <c r="C76" s="23" t="s">
        <v>7058</v>
      </c>
      <c r="D76" s="23" t="str">
        <f t="shared" si="3"/>
        <v>ORD26003280</v>
      </c>
      <c r="E76" s="38">
        <v>46266</v>
      </c>
      <c r="F76" s="23" t="s">
        <v>12410</v>
      </c>
      <c r="G76" s="23" t="s">
        <v>79</v>
      </c>
      <c r="H76" s="24">
        <v>599</v>
      </c>
      <c r="I76" s="24">
        <v>10.78</v>
      </c>
      <c r="J76" s="24">
        <v>1.94</v>
      </c>
      <c r="K76" s="24">
        <v>586.28</v>
      </c>
      <c r="L76" s="38">
        <v>46268</v>
      </c>
      <c r="M76" s="23" t="s">
        <v>181</v>
      </c>
      <c r="N76" s="23" t="str">
        <f>IF(COUNTIF($A$2:A76,A76)&gt;1,"DUP","OK")</f>
        <v>OK</v>
      </c>
      <c r="O76" s="23" t="str">
        <f t="shared" si="4"/>
        <v>ORD26003280</v>
      </c>
      <c r="P76" s="23" t="str">
        <f t="shared" si="5"/>
        <v>Sep</v>
      </c>
      <c r="Q76" s="23" t="str">
        <f>IF(F76="CAPTURE",IF(COUNTIF(orders!$A:$A,O76)&gt;0,"Yes","NO ORDER"),"")</f>
        <v>Yes</v>
      </c>
    </row>
    <row r="77" spans="1:17" ht="15" customHeight="1" x14ac:dyDescent="0.3">
      <c r="A77" s="23" t="s">
        <v>12499</v>
      </c>
      <c r="B77" s="23"/>
      <c r="C77" s="23" t="s">
        <v>7070</v>
      </c>
      <c r="D77" s="23" t="str">
        <f t="shared" si="3"/>
        <v>ORD26003286</v>
      </c>
      <c r="E77" s="38">
        <v>46266</v>
      </c>
      <c r="F77" s="23" t="s">
        <v>12410</v>
      </c>
      <c r="G77" s="23" t="s">
        <v>77</v>
      </c>
      <c r="H77" s="24">
        <v>2397</v>
      </c>
      <c r="I77" s="24">
        <v>40.75</v>
      </c>
      <c r="J77" s="24">
        <v>7.34</v>
      </c>
      <c r="K77" s="24">
        <v>2348.91</v>
      </c>
      <c r="L77" s="38">
        <v>46268</v>
      </c>
      <c r="M77" s="23" t="s">
        <v>181</v>
      </c>
      <c r="N77" s="23" t="str">
        <f>IF(COUNTIF($A$2:A77,A77)&gt;1,"DUP","OK")</f>
        <v>OK</v>
      </c>
      <c r="O77" s="23" t="str">
        <f t="shared" si="4"/>
        <v>ORD26003286</v>
      </c>
      <c r="P77" s="23" t="str">
        <f t="shared" si="5"/>
        <v>Sep</v>
      </c>
      <c r="Q77" s="23" t="str">
        <f>IF(F77="CAPTURE",IF(COUNTIF(orders!$A:$A,O77)&gt;0,"Yes","NO ORDER"),"")</f>
        <v>Yes</v>
      </c>
    </row>
    <row r="78" spans="1:17" ht="15" customHeight="1" x14ac:dyDescent="0.3">
      <c r="A78" s="23" t="s">
        <v>12500</v>
      </c>
      <c r="B78" s="23"/>
      <c r="C78" s="23" t="s">
        <v>7225</v>
      </c>
      <c r="D78" s="23" t="str">
        <f t="shared" si="3"/>
        <v>ORD26003363</v>
      </c>
      <c r="E78" s="38">
        <v>46266</v>
      </c>
      <c r="F78" s="23" t="s">
        <v>12410</v>
      </c>
      <c r="G78" s="23" t="s">
        <v>79</v>
      </c>
      <c r="H78" s="24">
        <v>3499</v>
      </c>
      <c r="I78" s="24">
        <v>55.98</v>
      </c>
      <c r="J78" s="24">
        <v>10.08</v>
      </c>
      <c r="K78" s="24">
        <v>3432.94</v>
      </c>
      <c r="L78" s="38">
        <v>46268</v>
      </c>
      <c r="M78" s="23" t="s">
        <v>181</v>
      </c>
      <c r="N78" s="23" t="str">
        <f>IF(COUNTIF($A$2:A78,A78)&gt;1,"DUP","OK")</f>
        <v>OK</v>
      </c>
      <c r="O78" s="23" t="str">
        <f t="shared" si="4"/>
        <v>ORD26003363</v>
      </c>
      <c r="P78" s="23" t="str">
        <f t="shared" si="5"/>
        <v>Sep</v>
      </c>
      <c r="Q78" s="23" t="str">
        <f>IF(F78="CAPTURE",IF(COUNTIF(orders!$A:$A,O78)&gt;0,"Yes","NO ORDER"),"")</f>
        <v>Yes</v>
      </c>
    </row>
    <row r="79" spans="1:17" ht="15" customHeight="1" x14ac:dyDescent="0.3">
      <c r="A79" s="23" t="s">
        <v>12501</v>
      </c>
      <c r="B79" s="23"/>
      <c r="C79" s="23" t="s">
        <v>7243</v>
      </c>
      <c r="D79" s="23" t="str">
        <f t="shared" si="3"/>
        <v>ORD26003372</v>
      </c>
      <c r="E79" s="38">
        <v>46266</v>
      </c>
      <c r="F79" s="23" t="s">
        <v>12410</v>
      </c>
      <c r="G79" s="23" t="s">
        <v>79</v>
      </c>
      <c r="H79" s="24">
        <v>1799</v>
      </c>
      <c r="I79" s="24">
        <v>32.380000000000003</v>
      </c>
      <c r="J79" s="24">
        <v>5.83</v>
      </c>
      <c r="K79" s="24">
        <v>1760.79</v>
      </c>
      <c r="L79" s="38">
        <v>46268</v>
      </c>
      <c r="M79" s="23" t="s">
        <v>181</v>
      </c>
      <c r="N79" s="23" t="str">
        <f>IF(COUNTIF($A$2:A79,A79)&gt;1,"DUP","OK")</f>
        <v>OK</v>
      </c>
      <c r="O79" s="23" t="str">
        <f t="shared" si="4"/>
        <v>ORD26003372</v>
      </c>
      <c r="P79" s="23" t="str">
        <f t="shared" si="5"/>
        <v>Sep</v>
      </c>
      <c r="Q79" s="23" t="str">
        <f>IF(F79="CAPTURE",IF(COUNTIF(orders!$A:$A,O79)&gt;0,"Yes","NO ORDER"),"")</f>
        <v>Yes</v>
      </c>
    </row>
    <row r="80" spans="1:17" ht="15" customHeight="1" x14ac:dyDescent="0.3">
      <c r="A80" s="23" t="s">
        <v>12502</v>
      </c>
      <c r="B80" s="23"/>
      <c r="C80" s="23" t="s">
        <v>7253</v>
      </c>
      <c r="D80" s="23" t="str">
        <f t="shared" si="3"/>
        <v>ORD26003377</v>
      </c>
      <c r="E80" s="38">
        <v>46266</v>
      </c>
      <c r="F80" s="23" t="s">
        <v>12410</v>
      </c>
      <c r="G80" s="23" t="s">
        <v>75</v>
      </c>
      <c r="H80" s="24">
        <v>3098</v>
      </c>
      <c r="I80" s="24">
        <v>9.2899999999999991</v>
      </c>
      <c r="J80" s="24">
        <v>1.67</v>
      </c>
      <c r="K80" s="24">
        <v>3087.04</v>
      </c>
      <c r="L80" s="38">
        <v>46268</v>
      </c>
      <c r="M80" s="23" t="s">
        <v>181</v>
      </c>
      <c r="N80" s="23" t="str">
        <f>IF(COUNTIF($A$2:A80,A80)&gt;1,"DUP","OK")</f>
        <v>OK</v>
      </c>
      <c r="O80" s="23" t="str">
        <f t="shared" si="4"/>
        <v>ORD26003377</v>
      </c>
      <c r="P80" s="23" t="str">
        <f t="shared" si="5"/>
        <v>Sep</v>
      </c>
      <c r="Q80" s="23" t="str">
        <f>IF(F80="CAPTURE",IF(COUNTIF(orders!$A:$A,O80)&gt;0,"Yes","NO ORDER"),"")</f>
        <v>Yes</v>
      </c>
    </row>
    <row r="81" spans="1:17" ht="15" customHeight="1" x14ac:dyDescent="0.3">
      <c r="A81" s="23" t="s">
        <v>12503</v>
      </c>
      <c r="B81" s="23"/>
      <c r="C81" s="23" t="s">
        <v>12504</v>
      </c>
      <c r="D81" s="23" t="str">
        <f t="shared" si="3"/>
        <v>ORD26003490</v>
      </c>
      <c r="E81" s="38">
        <v>46266</v>
      </c>
      <c r="F81" s="23" t="s">
        <v>12410</v>
      </c>
      <c r="G81" s="23" t="s">
        <v>75</v>
      </c>
      <c r="H81" s="24">
        <v>4999</v>
      </c>
      <c r="I81" s="24">
        <v>15</v>
      </c>
      <c r="J81" s="24">
        <v>2.7</v>
      </c>
      <c r="K81" s="24">
        <v>4981.3</v>
      </c>
      <c r="L81" s="38">
        <v>46268</v>
      </c>
      <c r="M81" s="23" t="s">
        <v>181</v>
      </c>
      <c r="N81" s="23" t="str">
        <f>IF(COUNTIF($A$2:A81,A81)&gt;1,"DUP","OK")</f>
        <v>OK</v>
      </c>
      <c r="O81" s="23" t="str">
        <f t="shared" si="4"/>
        <v>ORD26003490</v>
      </c>
      <c r="P81" s="23" t="str">
        <f t="shared" si="5"/>
        <v>Sep</v>
      </c>
      <c r="Q81" s="23" t="str">
        <f>IF(F81="CAPTURE",IF(COUNTIF(orders!$A:$A,O81)&gt;0,"Yes","NO ORDER"),"")</f>
        <v>Yes</v>
      </c>
    </row>
    <row r="82" spans="1:17" ht="15" customHeight="1" x14ac:dyDescent="0.3">
      <c r="A82" s="23" t="s">
        <v>12505</v>
      </c>
      <c r="B82" s="23"/>
      <c r="C82" s="23" t="s">
        <v>7520</v>
      </c>
      <c r="D82" s="23" t="str">
        <f t="shared" si="3"/>
        <v>ORD26003511</v>
      </c>
      <c r="E82" s="38">
        <v>46266</v>
      </c>
      <c r="F82" s="23" t="s">
        <v>12410</v>
      </c>
      <c r="G82" s="23" t="s">
        <v>75</v>
      </c>
      <c r="H82" s="24">
        <v>4999</v>
      </c>
      <c r="I82" s="24">
        <v>15</v>
      </c>
      <c r="J82" s="24">
        <v>2.7</v>
      </c>
      <c r="K82" s="24">
        <v>4981.3</v>
      </c>
      <c r="L82" s="38">
        <v>46268</v>
      </c>
      <c r="M82" s="23" t="s">
        <v>181</v>
      </c>
      <c r="N82" s="23" t="str">
        <f>IF(COUNTIF($A$2:A82,A82)&gt;1,"DUP","OK")</f>
        <v>OK</v>
      </c>
      <c r="O82" s="23" t="str">
        <f t="shared" si="4"/>
        <v>ORD26003511</v>
      </c>
      <c r="P82" s="23" t="str">
        <f t="shared" si="5"/>
        <v>Sep</v>
      </c>
      <c r="Q82" s="23" t="str">
        <f>IF(F82="CAPTURE",IF(COUNTIF(orders!$A:$A,O82)&gt;0,"Yes","NO ORDER"),"")</f>
        <v>Yes</v>
      </c>
    </row>
    <row r="83" spans="1:17" ht="15" customHeight="1" x14ac:dyDescent="0.3">
      <c r="A83" s="23" t="s">
        <v>12506</v>
      </c>
      <c r="B83" s="23"/>
      <c r="C83" s="23" t="s">
        <v>7558</v>
      </c>
      <c r="D83" s="23" t="str">
        <f t="shared" si="3"/>
        <v>ORD26003531</v>
      </c>
      <c r="E83" s="38">
        <v>46266</v>
      </c>
      <c r="F83" s="23" t="s">
        <v>12410</v>
      </c>
      <c r="G83" s="23" t="s">
        <v>75</v>
      </c>
      <c r="H83" s="24">
        <v>3098</v>
      </c>
      <c r="I83" s="24">
        <v>9.2899999999999991</v>
      </c>
      <c r="J83" s="24">
        <v>1.67</v>
      </c>
      <c r="K83" s="24">
        <v>3087.04</v>
      </c>
      <c r="L83" s="38">
        <v>46268</v>
      </c>
      <c r="M83" s="23" t="s">
        <v>181</v>
      </c>
      <c r="N83" s="23" t="str">
        <f>IF(COUNTIF($A$2:A83,A83)&gt;1,"DUP","OK")</f>
        <v>OK</v>
      </c>
      <c r="O83" s="23" t="str">
        <f t="shared" si="4"/>
        <v>ORD26003531</v>
      </c>
      <c r="P83" s="23" t="str">
        <f t="shared" si="5"/>
        <v>Sep</v>
      </c>
      <c r="Q83" s="23" t="str">
        <f>IF(F83="CAPTURE",IF(COUNTIF(orders!$A:$A,O83)&gt;0,"Yes","NO ORDER"),"")</f>
        <v>Yes</v>
      </c>
    </row>
    <row r="84" spans="1:17" ht="15" customHeight="1" x14ac:dyDescent="0.3">
      <c r="A84" s="23" t="s">
        <v>12507</v>
      </c>
      <c r="B84" s="23"/>
      <c r="C84" s="23" t="s">
        <v>7670</v>
      </c>
      <c r="D84" s="23" t="str">
        <f t="shared" si="3"/>
        <v>ORD26003587</v>
      </c>
      <c r="E84" s="38">
        <v>46266</v>
      </c>
      <c r="F84" s="23" t="s">
        <v>12410</v>
      </c>
      <c r="G84" s="23" t="s">
        <v>79</v>
      </c>
      <c r="H84" s="24">
        <v>3447</v>
      </c>
      <c r="I84" s="24">
        <v>55.15</v>
      </c>
      <c r="J84" s="24">
        <v>9.93</v>
      </c>
      <c r="K84" s="24">
        <v>3381.92</v>
      </c>
      <c r="L84" s="38">
        <v>46268</v>
      </c>
      <c r="M84" s="23" t="s">
        <v>181</v>
      </c>
      <c r="N84" s="23" t="str">
        <f>IF(COUNTIF($A$2:A84,A84)&gt;1,"DUP","OK")</f>
        <v>OK</v>
      </c>
      <c r="O84" s="23" t="str">
        <f t="shared" si="4"/>
        <v>ORD26003587</v>
      </c>
      <c r="P84" s="23" t="str">
        <f t="shared" si="5"/>
        <v>Sep</v>
      </c>
      <c r="Q84" s="23" t="str">
        <f>IF(F84="CAPTURE",IF(COUNTIF(orders!$A:$A,O84)&gt;0,"Yes","NO ORDER"),"")</f>
        <v>Yes</v>
      </c>
    </row>
    <row r="85" spans="1:17" ht="15" customHeight="1" x14ac:dyDescent="0.3">
      <c r="A85" s="23" t="s">
        <v>12508</v>
      </c>
      <c r="B85" s="23"/>
      <c r="C85" s="23" t="s">
        <v>7681</v>
      </c>
      <c r="D85" s="23" t="str">
        <f t="shared" si="3"/>
        <v>ORD26003593</v>
      </c>
      <c r="E85" s="38">
        <v>46266</v>
      </c>
      <c r="F85" s="23" t="s">
        <v>12410</v>
      </c>
      <c r="G85" s="23" t="s">
        <v>75</v>
      </c>
      <c r="H85" s="24">
        <v>2499</v>
      </c>
      <c r="I85" s="24">
        <v>7.5</v>
      </c>
      <c r="J85" s="24">
        <v>1.35</v>
      </c>
      <c r="K85" s="24">
        <v>2490.15</v>
      </c>
      <c r="L85" s="38">
        <v>46268</v>
      </c>
      <c r="M85" s="23" t="s">
        <v>181</v>
      </c>
      <c r="N85" s="23" t="str">
        <f>IF(COUNTIF($A$2:A85,A85)&gt;1,"DUP","OK")</f>
        <v>OK</v>
      </c>
      <c r="O85" s="23" t="str">
        <f t="shared" si="4"/>
        <v>ORD26003593</v>
      </c>
      <c r="P85" s="23" t="str">
        <f t="shared" si="5"/>
        <v>Sep</v>
      </c>
      <c r="Q85" s="23" t="str">
        <f>IF(F85="CAPTURE",IF(COUNTIF(orders!$A:$A,O85)&gt;0,"Yes","NO ORDER"),"")</f>
        <v>Yes</v>
      </c>
    </row>
    <row r="86" spans="1:17" ht="15" customHeight="1" x14ac:dyDescent="0.3">
      <c r="A86" s="23" t="s">
        <v>12509</v>
      </c>
      <c r="B86" s="23"/>
      <c r="C86" s="23" t="s">
        <v>7771</v>
      </c>
      <c r="D86" s="23" t="str">
        <f t="shared" si="3"/>
        <v>ORD26003639</v>
      </c>
      <c r="E86" s="38">
        <v>46266</v>
      </c>
      <c r="F86" s="23" t="s">
        <v>12410</v>
      </c>
      <c r="G86" s="23" t="s">
        <v>75</v>
      </c>
      <c r="H86" s="24">
        <v>3499</v>
      </c>
      <c r="I86" s="24">
        <v>10.5</v>
      </c>
      <c r="J86" s="24">
        <v>1.89</v>
      </c>
      <c r="K86" s="24">
        <v>3486.61</v>
      </c>
      <c r="L86" s="38">
        <v>46268</v>
      </c>
      <c r="M86" s="23" t="s">
        <v>181</v>
      </c>
      <c r="N86" s="23" t="str">
        <f>IF(COUNTIF($A$2:A86,A86)&gt;1,"DUP","OK")</f>
        <v>OK</v>
      </c>
      <c r="O86" s="23" t="str">
        <f t="shared" si="4"/>
        <v>ORD26003639</v>
      </c>
      <c r="P86" s="23" t="str">
        <f t="shared" si="5"/>
        <v>Sep</v>
      </c>
      <c r="Q86" s="23" t="str">
        <f>IF(F86="CAPTURE",IF(COUNTIF(orders!$A:$A,O86)&gt;0,"Yes","NO ORDER"),"")</f>
        <v>Yes</v>
      </c>
    </row>
    <row r="87" spans="1:17" ht="15" customHeight="1" x14ac:dyDescent="0.3">
      <c r="A87" s="23" t="s">
        <v>12510</v>
      </c>
      <c r="B87" s="23"/>
      <c r="C87" s="23" t="s">
        <v>8002</v>
      </c>
      <c r="D87" s="23" t="str">
        <f t="shared" si="3"/>
        <v>ORD26003757</v>
      </c>
      <c r="E87" s="38">
        <v>46266</v>
      </c>
      <c r="F87" s="23" t="s">
        <v>12410</v>
      </c>
      <c r="G87" s="23" t="s">
        <v>77</v>
      </c>
      <c r="H87" s="24">
        <v>599</v>
      </c>
      <c r="I87" s="24">
        <v>11.38</v>
      </c>
      <c r="J87" s="24">
        <v>2.0499999999999998</v>
      </c>
      <c r="K87" s="24">
        <v>585.57000000000005</v>
      </c>
      <c r="L87" s="38">
        <v>46268</v>
      </c>
      <c r="M87" s="23" t="s">
        <v>181</v>
      </c>
      <c r="N87" s="23" t="str">
        <f>IF(COUNTIF($A$2:A87,A87)&gt;1,"DUP","OK")</f>
        <v>OK</v>
      </c>
      <c r="O87" s="23" t="str">
        <f t="shared" si="4"/>
        <v>ORD26003757</v>
      </c>
      <c r="P87" s="23" t="str">
        <f t="shared" si="5"/>
        <v>Sep</v>
      </c>
      <c r="Q87" s="23" t="str">
        <f>IF(F87="CAPTURE",IF(COUNTIF(orders!$A:$A,O87)&gt;0,"Yes","NO ORDER"),"")</f>
        <v>Yes</v>
      </c>
    </row>
    <row r="88" spans="1:17" ht="15" customHeight="1" x14ac:dyDescent="0.3">
      <c r="A88" s="23" t="s">
        <v>12511</v>
      </c>
      <c r="B88" s="23"/>
      <c r="C88" s="23" t="s">
        <v>8353</v>
      </c>
      <c r="D88" s="23" t="str">
        <f t="shared" si="3"/>
        <v>ORD26003933</v>
      </c>
      <c r="E88" s="38">
        <v>46266</v>
      </c>
      <c r="F88" s="23" t="s">
        <v>12410</v>
      </c>
      <c r="G88" s="23" t="s">
        <v>75</v>
      </c>
      <c r="H88" s="24">
        <v>2798</v>
      </c>
      <c r="I88" s="24">
        <v>8.39</v>
      </c>
      <c r="J88" s="24">
        <v>1.51</v>
      </c>
      <c r="K88" s="24">
        <v>2788.1</v>
      </c>
      <c r="L88" s="38">
        <v>46268</v>
      </c>
      <c r="M88" s="23" t="s">
        <v>181</v>
      </c>
      <c r="N88" s="23" t="str">
        <f>IF(COUNTIF($A$2:A88,A88)&gt;1,"DUP","OK")</f>
        <v>OK</v>
      </c>
      <c r="O88" s="23" t="str">
        <f t="shared" si="4"/>
        <v>ORD26003933</v>
      </c>
      <c r="P88" s="23" t="str">
        <f t="shared" si="5"/>
        <v>Sep</v>
      </c>
      <c r="Q88" s="23" t="str">
        <f>IF(F88="CAPTURE",IF(COUNTIF(orders!$A:$A,O88)&gt;0,"Yes","NO ORDER"),"")</f>
        <v>Yes</v>
      </c>
    </row>
    <row r="89" spans="1:17" ht="15" customHeight="1" x14ac:dyDescent="0.3">
      <c r="A89" s="23" t="s">
        <v>12512</v>
      </c>
      <c r="B89" s="23"/>
      <c r="C89" s="23" t="s">
        <v>8427</v>
      </c>
      <c r="D89" s="23" t="str">
        <f t="shared" si="3"/>
        <v>ORD26003970</v>
      </c>
      <c r="E89" s="38">
        <v>46266</v>
      </c>
      <c r="F89" s="23" t="s">
        <v>12410</v>
      </c>
      <c r="G89" s="23" t="s">
        <v>75</v>
      </c>
      <c r="H89" s="24">
        <v>1299</v>
      </c>
      <c r="I89" s="24">
        <v>0</v>
      </c>
      <c r="J89" s="24">
        <v>0</v>
      </c>
      <c r="K89" s="24">
        <v>1299</v>
      </c>
      <c r="L89" s="38">
        <v>46268</v>
      </c>
      <c r="M89" s="23" t="s">
        <v>181</v>
      </c>
      <c r="N89" s="23" t="str">
        <f>IF(COUNTIF($A$2:A89,A89)&gt;1,"DUP","OK")</f>
        <v>OK</v>
      </c>
      <c r="O89" s="23" t="str">
        <f t="shared" si="4"/>
        <v>ORD26003970</v>
      </c>
      <c r="P89" s="23" t="str">
        <f t="shared" si="5"/>
        <v>Sep</v>
      </c>
      <c r="Q89" s="23" t="str">
        <f>IF(F89="CAPTURE",IF(COUNTIF(orders!$A:$A,O89)&gt;0,"Yes","NO ORDER"),"")</f>
        <v>Yes</v>
      </c>
    </row>
    <row r="90" spans="1:17" ht="15" customHeight="1" x14ac:dyDescent="0.3">
      <c r="A90" s="23" t="s">
        <v>12513</v>
      </c>
      <c r="B90" s="23"/>
      <c r="C90" s="23" t="s">
        <v>8487</v>
      </c>
      <c r="D90" s="23" t="str">
        <f t="shared" si="3"/>
        <v>ORD26004000</v>
      </c>
      <c r="E90" s="38">
        <v>46266</v>
      </c>
      <c r="F90" s="23" t="s">
        <v>12410</v>
      </c>
      <c r="G90" s="23" t="s">
        <v>75</v>
      </c>
      <c r="H90" s="24">
        <v>2999</v>
      </c>
      <c r="I90" s="24">
        <v>9</v>
      </c>
      <c r="J90" s="24">
        <v>1.62</v>
      </c>
      <c r="K90" s="24">
        <v>2988.38</v>
      </c>
      <c r="L90" s="38">
        <v>46268</v>
      </c>
      <c r="M90" s="23" t="s">
        <v>181</v>
      </c>
      <c r="N90" s="23" t="str">
        <f>IF(COUNTIF($A$2:A90,A90)&gt;1,"DUP","OK")</f>
        <v>OK</v>
      </c>
      <c r="O90" s="23" t="str">
        <f t="shared" si="4"/>
        <v>ORD26004000</v>
      </c>
      <c r="P90" s="23" t="str">
        <f t="shared" si="5"/>
        <v>Sep</v>
      </c>
      <c r="Q90" s="23" t="str">
        <f>IF(F90="CAPTURE",IF(COUNTIF(orders!$A:$A,O90)&gt;0,"Yes","NO ORDER"),"")</f>
        <v>Yes</v>
      </c>
    </row>
    <row r="91" spans="1:17" ht="15" customHeight="1" x14ac:dyDescent="0.3">
      <c r="A91" s="23" t="s">
        <v>12514</v>
      </c>
      <c r="B91" s="23"/>
      <c r="C91" s="23" t="s">
        <v>8553</v>
      </c>
      <c r="D91" s="23" t="str">
        <f t="shared" si="3"/>
        <v>ORD26004034</v>
      </c>
      <c r="E91" s="38">
        <v>46266</v>
      </c>
      <c r="F91" s="23" t="s">
        <v>12410</v>
      </c>
      <c r="G91" s="23" t="s">
        <v>75</v>
      </c>
      <c r="H91" s="24">
        <v>3848</v>
      </c>
      <c r="I91" s="24">
        <v>11.54</v>
      </c>
      <c r="J91" s="24">
        <v>2.08</v>
      </c>
      <c r="K91" s="24">
        <v>3834.38</v>
      </c>
      <c r="L91" s="38">
        <v>46268</v>
      </c>
      <c r="M91" s="23" t="s">
        <v>181</v>
      </c>
      <c r="N91" s="23" t="str">
        <f>IF(COUNTIF($A$2:A91,A91)&gt;1,"DUP","OK")</f>
        <v>OK</v>
      </c>
      <c r="O91" s="23" t="str">
        <f t="shared" si="4"/>
        <v>ORD26004034</v>
      </c>
      <c r="P91" s="23" t="str">
        <f t="shared" si="5"/>
        <v>Sep</v>
      </c>
      <c r="Q91" s="23" t="str">
        <f>IF(F91="CAPTURE",IF(COUNTIF(orders!$A:$A,O91)&gt;0,"Yes","NO ORDER"),"")</f>
        <v>Yes</v>
      </c>
    </row>
    <row r="92" spans="1:17" ht="15" customHeight="1" x14ac:dyDescent="0.3">
      <c r="A92" s="23" t="s">
        <v>12515</v>
      </c>
      <c r="B92" s="23"/>
      <c r="C92" s="23" t="s">
        <v>12516</v>
      </c>
      <c r="D92" s="23" t="str">
        <f t="shared" si="3"/>
        <v>ORD26004077</v>
      </c>
      <c r="E92" s="38">
        <v>46266</v>
      </c>
      <c r="F92" s="23" t="s">
        <v>12410</v>
      </c>
      <c r="G92" s="23" t="s">
        <v>77</v>
      </c>
      <c r="H92" s="24">
        <v>10097</v>
      </c>
      <c r="I92" s="24">
        <v>171.65</v>
      </c>
      <c r="J92" s="24">
        <v>30.9</v>
      </c>
      <c r="K92" s="24">
        <v>9894.4500000000007</v>
      </c>
      <c r="L92" s="38">
        <v>46268</v>
      </c>
      <c r="M92" s="23" t="s">
        <v>181</v>
      </c>
      <c r="N92" s="23" t="str">
        <f>IF(COUNTIF($A$2:A92,A92)&gt;1,"DUP","OK")</f>
        <v>OK</v>
      </c>
      <c r="O92" s="23" t="str">
        <f t="shared" si="4"/>
        <v>ORD26004077</v>
      </c>
      <c r="P92" s="23" t="str">
        <f t="shared" si="5"/>
        <v>Sep</v>
      </c>
      <c r="Q92" s="23" t="str">
        <f>IF(F92="CAPTURE",IF(COUNTIF(orders!$A:$A,O92)&gt;0,"Yes","NO ORDER"),"")</f>
        <v>Yes</v>
      </c>
    </row>
    <row r="93" spans="1:17" ht="15" customHeight="1" x14ac:dyDescent="0.3">
      <c r="A93" s="23" t="s">
        <v>12517</v>
      </c>
      <c r="B93" s="23"/>
      <c r="C93" s="23" t="s">
        <v>8848</v>
      </c>
      <c r="D93" s="23" t="str">
        <f t="shared" si="3"/>
        <v>ORD26004186</v>
      </c>
      <c r="E93" s="38">
        <v>46266</v>
      </c>
      <c r="F93" s="23" t="s">
        <v>12410</v>
      </c>
      <c r="G93" s="23" t="s">
        <v>81</v>
      </c>
      <c r="H93" s="24">
        <v>3499</v>
      </c>
      <c r="I93" s="24">
        <v>41.99</v>
      </c>
      <c r="J93" s="24">
        <v>7.56</v>
      </c>
      <c r="K93" s="24">
        <v>3449.45</v>
      </c>
      <c r="L93" s="38">
        <v>46268</v>
      </c>
      <c r="M93" s="23" t="s">
        <v>181</v>
      </c>
      <c r="N93" s="23" t="str">
        <f>IF(COUNTIF($A$2:A93,A93)&gt;1,"DUP","OK")</f>
        <v>OK</v>
      </c>
      <c r="O93" s="23" t="str">
        <f t="shared" si="4"/>
        <v>ORD26004186</v>
      </c>
      <c r="P93" s="23" t="str">
        <f t="shared" si="5"/>
        <v>Sep</v>
      </c>
      <c r="Q93" s="23" t="str">
        <f>IF(F93="CAPTURE",IF(COUNTIF(orders!$A:$A,O93)&gt;0,"Yes","NO ORDER"),"")</f>
        <v>Yes</v>
      </c>
    </row>
    <row r="94" spans="1:17" ht="15" customHeight="1" x14ac:dyDescent="0.3">
      <c r="A94" s="23" t="s">
        <v>12518</v>
      </c>
      <c r="B94" s="23"/>
      <c r="C94" s="23" t="s">
        <v>8961</v>
      </c>
      <c r="D94" s="23" t="str">
        <f t="shared" si="3"/>
        <v>ORD26004244</v>
      </c>
      <c r="E94" s="38">
        <v>46266</v>
      </c>
      <c r="F94" s="23" t="s">
        <v>12410</v>
      </c>
      <c r="G94" s="23" t="s">
        <v>77</v>
      </c>
      <c r="H94" s="24">
        <v>2499</v>
      </c>
      <c r="I94" s="24">
        <v>42.48</v>
      </c>
      <c r="J94" s="24">
        <v>7.65</v>
      </c>
      <c r="K94" s="24">
        <v>2448.87</v>
      </c>
      <c r="L94" s="38">
        <v>46268</v>
      </c>
      <c r="M94" s="23" t="s">
        <v>181</v>
      </c>
      <c r="N94" s="23" t="str">
        <f>IF(COUNTIF($A$2:A94,A94)&gt;1,"DUP","OK")</f>
        <v>OK</v>
      </c>
      <c r="O94" s="23" t="str">
        <f t="shared" si="4"/>
        <v>ORD26004244</v>
      </c>
      <c r="P94" s="23" t="str">
        <f t="shared" si="5"/>
        <v>Sep</v>
      </c>
      <c r="Q94" s="23" t="str">
        <f>IF(F94="CAPTURE",IF(COUNTIF(orders!$A:$A,O94)&gt;0,"Yes","NO ORDER"),"")</f>
        <v>Yes</v>
      </c>
    </row>
    <row r="95" spans="1:17" ht="15" customHeight="1" x14ac:dyDescent="0.3">
      <c r="A95" s="23" t="s">
        <v>12519</v>
      </c>
      <c r="B95" s="23"/>
      <c r="C95" s="23" t="s">
        <v>8999</v>
      </c>
      <c r="D95" s="23" t="str">
        <f t="shared" si="3"/>
        <v>ORD26004263</v>
      </c>
      <c r="E95" s="38">
        <v>46266</v>
      </c>
      <c r="F95" s="23" t="s">
        <v>12410</v>
      </c>
      <c r="G95" s="23" t="s">
        <v>79</v>
      </c>
      <c r="H95" s="24">
        <v>3798</v>
      </c>
      <c r="I95" s="24">
        <v>60.77</v>
      </c>
      <c r="J95" s="24">
        <v>10.94</v>
      </c>
      <c r="K95" s="24">
        <v>3726.29</v>
      </c>
      <c r="L95" s="38">
        <v>46268</v>
      </c>
      <c r="M95" s="23" t="s">
        <v>181</v>
      </c>
      <c r="N95" s="23" t="str">
        <f>IF(COUNTIF($A$2:A95,A95)&gt;1,"DUP","OK")</f>
        <v>OK</v>
      </c>
      <c r="O95" s="23" t="str">
        <f t="shared" si="4"/>
        <v>ORD26004263</v>
      </c>
      <c r="P95" s="23" t="str">
        <f t="shared" si="5"/>
        <v>Sep</v>
      </c>
      <c r="Q95" s="23" t="str">
        <f>IF(F95="CAPTURE",IF(COUNTIF(orders!$A:$A,O95)&gt;0,"Yes","NO ORDER"),"")</f>
        <v>Yes</v>
      </c>
    </row>
    <row r="96" spans="1:17" ht="15" customHeight="1" x14ac:dyDescent="0.3">
      <c r="A96" s="23" t="s">
        <v>12520</v>
      </c>
      <c r="B96" s="23"/>
      <c r="C96" s="23" t="s">
        <v>9003</v>
      </c>
      <c r="D96" s="23" t="str">
        <f t="shared" si="3"/>
        <v>ORD26004265</v>
      </c>
      <c r="E96" s="38">
        <v>46266</v>
      </c>
      <c r="F96" s="23" t="s">
        <v>12410</v>
      </c>
      <c r="G96" s="23" t="s">
        <v>79</v>
      </c>
      <c r="H96" s="24">
        <v>4999</v>
      </c>
      <c r="I96" s="24">
        <v>79.98</v>
      </c>
      <c r="J96" s="24">
        <v>14.4</v>
      </c>
      <c r="K96" s="24">
        <v>4904.62</v>
      </c>
      <c r="L96" s="38">
        <v>46268</v>
      </c>
      <c r="M96" s="23" t="s">
        <v>181</v>
      </c>
      <c r="N96" s="23" t="str">
        <f>IF(COUNTIF($A$2:A96,A96)&gt;1,"DUP","OK")</f>
        <v>OK</v>
      </c>
      <c r="O96" s="23" t="str">
        <f t="shared" si="4"/>
        <v>ORD26004265</v>
      </c>
      <c r="P96" s="23" t="str">
        <f t="shared" si="5"/>
        <v>Sep</v>
      </c>
      <c r="Q96" s="23" t="str">
        <f>IF(F96="CAPTURE",IF(COUNTIF(orders!$A:$A,O96)&gt;0,"Yes","NO ORDER"),"")</f>
        <v>Yes</v>
      </c>
    </row>
    <row r="97" spans="1:17" ht="15" customHeight="1" x14ac:dyDescent="0.3">
      <c r="A97" s="23" t="s">
        <v>12521</v>
      </c>
      <c r="B97" s="23"/>
      <c r="C97" s="23" t="s">
        <v>9031</v>
      </c>
      <c r="D97" s="23" t="str">
        <f t="shared" si="3"/>
        <v>ORD26004279</v>
      </c>
      <c r="E97" s="38">
        <v>46266</v>
      </c>
      <c r="F97" s="23" t="s">
        <v>12410</v>
      </c>
      <c r="G97" s="23" t="s">
        <v>79</v>
      </c>
      <c r="H97" s="24">
        <v>499</v>
      </c>
      <c r="I97" s="24">
        <v>8.98</v>
      </c>
      <c r="J97" s="24">
        <v>1.62</v>
      </c>
      <c r="K97" s="24">
        <v>488.4</v>
      </c>
      <c r="L97" s="38">
        <v>46268</v>
      </c>
      <c r="M97" s="23" t="s">
        <v>181</v>
      </c>
      <c r="N97" s="23" t="str">
        <f>IF(COUNTIF($A$2:A97,A97)&gt;1,"DUP","OK")</f>
        <v>OK</v>
      </c>
      <c r="O97" s="23" t="str">
        <f t="shared" si="4"/>
        <v>ORD26004279</v>
      </c>
      <c r="P97" s="23" t="str">
        <f t="shared" si="5"/>
        <v>Sep</v>
      </c>
      <c r="Q97" s="23" t="str">
        <f>IF(F97="CAPTURE",IF(COUNTIF(orders!$A:$A,O97)&gt;0,"Yes","NO ORDER"),"")</f>
        <v>Yes</v>
      </c>
    </row>
    <row r="98" spans="1:17" ht="15" customHeight="1" x14ac:dyDescent="0.3">
      <c r="A98" s="23" t="s">
        <v>12522</v>
      </c>
      <c r="B98" s="23"/>
      <c r="C98" s="23" t="s">
        <v>12523</v>
      </c>
      <c r="D98" s="23" t="str">
        <f t="shared" si="3"/>
        <v>ORD26004296</v>
      </c>
      <c r="E98" s="38">
        <v>46266</v>
      </c>
      <c r="F98" s="23" t="s">
        <v>12410</v>
      </c>
      <c r="G98" s="23" t="s">
        <v>75</v>
      </c>
      <c r="H98" s="24">
        <v>1299</v>
      </c>
      <c r="I98" s="24">
        <v>0</v>
      </c>
      <c r="J98" s="24">
        <v>0</v>
      </c>
      <c r="K98" s="24">
        <v>1299</v>
      </c>
      <c r="L98" s="38">
        <v>46268</v>
      </c>
      <c r="M98" s="23" t="s">
        <v>181</v>
      </c>
      <c r="N98" s="23" t="str">
        <f>IF(COUNTIF($A$2:A98,A98)&gt;1,"DUP","OK")</f>
        <v>OK</v>
      </c>
      <c r="O98" s="23" t="str">
        <f t="shared" si="4"/>
        <v>ORD26004296</v>
      </c>
      <c r="P98" s="23" t="str">
        <f t="shared" si="5"/>
        <v>Sep</v>
      </c>
      <c r="Q98" s="23" t="str">
        <f>IF(F98="CAPTURE",IF(COUNTIF(orders!$A:$A,O98)&gt;0,"Yes","NO ORDER"),"")</f>
        <v>Yes</v>
      </c>
    </row>
    <row r="99" spans="1:17" ht="15" customHeight="1" x14ac:dyDescent="0.3">
      <c r="A99" s="23" t="s">
        <v>12524</v>
      </c>
      <c r="B99" s="23"/>
      <c r="C99" s="23" t="s">
        <v>9244</v>
      </c>
      <c r="D99" s="23" t="str">
        <f t="shared" si="3"/>
        <v>ORD26004385</v>
      </c>
      <c r="E99" s="38">
        <v>46266</v>
      </c>
      <c r="F99" s="23" t="s">
        <v>12410</v>
      </c>
      <c r="G99" s="23" t="s">
        <v>81</v>
      </c>
      <c r="H99" s="24">
        <v>8647</v>
      </c>
      <c r="I99" s="24">
        <v>103.76</v>
      </c>
      <c r="J99" s="24">
        <v>18.68</v>
      </c>
      <c r="K99" s="24">
        <v>8524.56</v>
      </c>
      <c r="L99" s="38">
        <v>46268</v>
      </c>
      <c r="M99" s="23" t="s">
        <v>181</v>
      </c>
      <c r="N99" s="23" t="str">
        <f>IF(COUNTIF($A$2:A99,A99)&gt;1,"DUP","OK")</f>
        <v>OK</v>
      </c>
      <c r="O99" s="23" t="str">
        <f t="shared" si="4"/>
        <v>ORD26004385</v>
      </c>
      <c r="P99" s="23" t="str">
        <f t="shared" si="5"/>
        <v>Sep</v>
      </c>
      <c r="Q99" s="23" t="str">
        <f>IF(F99="CAPTURE",IF(COUNTIF(orders!$A:$A,O99)&gt;0,"Yes","NO ORDER"),"")</f>
        <v>Yes</v>
      </c>
    </row>
    <row r="100" spans="1:17" ht="15" customHeight="1" x14ac:dyDescent="0.3">
      <c r="A100" s="23" t="s">
        <v>12525</v>
      </c>
      <c r="B100" s="23"/>
      <c r="C100" s="23" t="s">
        <v>9373</v>
      </c>
      <c r="D100" s="23" t="str">
        <f t="shared" si="3"/>
        <v>ORD26004450</v>
      </c>
      <c r="E100" s="38">
        <v>46266</v>
      </c>
      <c r="F100" s="23" t="s">
        <v>12410</v>
      </c>
      <c r="G100" s="23" t="s">
        <v>77</v>
      </c>
      <c r="H100" s="24">
        <v>3848</v>
      </c>
      <c r="I100" s="24">
        <v>65.42</v>
      </c>
      <c r="J100" s="24">
        <v>11.78</v>
      </c>
      <c r="K100" s="24">
        <v>3770.8</v>
      </c>
      <c r="L100" s="38">
        <v>46268</v>
      </c>
      <c r="M100" s="23" t="s">
        <v>181</v>
      </c>
      <c r="N100" s="23" t="str">
        <f>IF(COUNTIF($A$2:A100,A100)&gt;1,"DUP","OK")</f>
        <v>OK</v>
      </c>
      <c r="O100" s="23" t="str">
        <f t="shared" si="4"/>
        <v>ORD26004450</v>
      </c>
      <c r="P100" s="23" t="str">
        <f t="shared" si="5"/>
        <v>Sep</v>
      </c>
      <c r="Q100" s="23" t="str">
        <f>IF(F100="CAPTURE",IF(COUNTIF(orders!$A:$A,O100)&gt;0,"Yes","NO ORDER"),"")</f>
        <v>Yes</v>
      </c>
    </row>
    <row r="101" spans="1:17" ht="15" customHeight="1" x14ac:dyDescent="0.3">
      <c r="A101" s="23" t="s">
        <v>12526</v>
      </c>
      <c r="B101" s="23"/>
      <c r="C101" s="23" t="s">
        <v>9415</v>
      </c>
      <c r="D101" s="23" t="str">
        <f t="shared" si="3"/>
        <v>ORD26004472</v>
      </c>
      <c r="E101" s="38">
        <v>46266</v>
      </c>
      <c r="F101" s="23" t="s">
        <v>12410</v>
      </c>
      <c r="G101" s="23" t="s">
        <v>75</v>
      </c>
      <c r="H101" s="24">
        <v>1499</v>
      </c>
      <c r="I101" s="24">
        <v>0</v>
      </c>
      <c r="J101" s="24">
        <v>0</v>
      </c>
      <c r="K101" s="24">
        <v>1499</v>
      </c>
      <c r="L101" s="38">
        <v>46268</v>
      </c>
      <c r="M101" s="23" t="s">
        <v>181</v>
      </c>
      <c r="N101" s="23" t="str">
        <f>IF(COUNTIF($A$2:A101,A101)&gt;1,"DUP","OK")</f>
        <v>OK</v>
      </c>
      <c r="O101" s="23" t="str">
        <f t="shared" si="4"/>
        <v>ORD26004472</v>
      </c>
      <c r="P101" s="23" t="str">
        <f t="shared" si="5"/>
        <v>Sep</v>
      </c>
      <c r="Q101" s="23" t="str">
        <f>IF(F101="CAPTURE",IF(COUNTIF(orders!$A:$A,O101)&gt;0,"Yes","NO ORDER"),"")</f>
        <v>Yes</v>
      </c>
    </row>
    <row r="102" spans="1:17" ht="15" customHeight="1" x14ac:dyDescent="0.3">
      <c r="A102" s="23" t="s">
        <v>12527</v>
      </c>
      <c r="B102" s="23"/>
      <c r="C102" s="23" t="s">
        <v>9864</v>
      </c>
      <c r="D102" s="23" t="str">
        <f t="shared" si="3"/>
        <v>ORD26004698</v>
      </c>
      <c r="E102" s="38">
        <v>46266</v>
      </c>
      <c r="F102" s="23" t="s">
        <v>12410</v>
      </c>
      <c r="G102" s="23" t="s">
        <v>81</v>
      </c>
      <c r="H102" s="24">
        <v>5297</v>
      </c>
      <c r="I102" s="24">
        <v>63.56</v>
      </c>
      <c r="J102" s="24">
        <v>11.44</v>
      </c>
      <c r="K102" s="24">
        <v>5222</v>
      </c>
      <c r="L102" s="38">
        <v>46268</v>
      </c>
      <c r="M102" s="23" t="s">
        <v>181</v>
      </c>
      <c r="N102" s="23" t="str">
        <f>IF(COUNTIF($A$2:A102,A102)&gt;1,"DUP","OK")</f>
        <v>OK</v>
      </c>
      <c r="O102" s="23" t="str">
        <f t="shared" si="4"/>
        <v>ORD26004698</v>
      </c>
      <c r="P102" s="23" t="str">
        <f t="shared" si="5"/>
        <v>Sep</v>
      </c>
      <c r="Q102" s="23" t="str">
        <f>IF(F102="CAPTURE",IF(COUNTIF(orders!$A:$A,O102)&gt;0,"Yes","NO ORDER"),"")</f>
        <v>Yes</v>
      </c>
    </row>
    <row r="103" spans="1:17" ht="15" customHeight="1" x14ac:dyDescent="0.3">
      <c r="A103" s="23" t="s">
        <v>12528</v>
      </c>
      <c r="B103" s="23"/>
      <c r="C103" s="23" t="s">
        <v>10002</v>
      </c>
      <c r="D103" s="23" t="str">
        <f t="shared" si="3"/>
        <v>ORD26004769</v>
      </c>
      <c r="E103" s="38">
        <v>46266</v>
      </c>
      <c r="F103" s="23" t="s">
        <v>12410</v>
      </c>
      <c r="G103" s="23" t="s">
        <v>75</v>
      </c>
      <c r="H103" s="24">
        <v>349</v>
      </c>
      <c r="I103" s="24">
        <v>0</v>
      </c>
      <c r="J103" s="24">
        <v>0</v>
      </c>
      <c r="K103" s="24">
        <v>349</v>
      </c>
      <c r="L103" s="38">
        <v>46268</v>
      </c>
      <c r="M103" s="23" t="s">
        <v>181</v>
      </c>
      <c r="N103" s="23" t="str">
        <f>IF(COUNTIF($A$2:A103,A103)&gt;1,"DUP","OK")</f>
        <v>OK</v>
      </c>
      <c r="O103" s="23" t="str">
        <f t="shared" si="4"/>
        <v>ORD26004769</v>
      </c>
      <c r="P103" s="23" t="str">
        <f t="shared" si="5"/>
        <v>Sep</v>
      </c>
      <c r="Q103" s="23" t="str">
        <f>IF(F103="CAPTURE",IF(COUNTIF(orders!$A:$A,O103)&gt;0,"Yes","NO ORDER"),"")</f>
        <v>Yes</v>
      </c>
    </row>
    <row r="104" spans="1:17" ht="15" customHeight="1" x14ac:dyDescent="0.3">
      <c r="A104" s="23" t="s">
        <v>12529</v>
      </c>
      <c r="B104" s="23"/>
      <c r="C104" s="23" t="s">
        <v>12530</v>
      </c>
      <c r="D104" s="23" t="str">
        <f t="shared" si="3"/>
        <v>ORD26004777</v>
      </c>
      <c r="E104" s="38">
        <v>46266</v>
      </c>
      <c r="F104" s="23" t="s">
        <v>12410</v>
      </c>
      <c r="G104" s="23" t="s">
        <v>79</v>
      </c>
      <c r="H104" s="24">
        <v>1198</v>
      </c>
      <c r="I104" s="24">
        <v>21.56</v>
      </c>
      <c r="J104" s="24">
        <v>3.88</v>
      </c>
      <c r="K104" s="24">
        <v>1172.56</v>
      </c>
      <c r="L104" s="38">
        <v>46268</v>
      </c>
      <c r="M104" s="23" t="s">
        <v>181</v>
      </c>
      <c r="N104" s="23" t="str">
        <f>IF(COUNTIF($A$2:A104,A104)&gt;1,"DUP","OK")</f>
        <v>OK</v>
      </c>
      <c r="O104" s="23" t="str">
        <f t="shared" si="4"/>
        <v>ORD26004777</v>
      </c>
      <c r="P104" s="23" t="str">
        <f t="shared" si="5"/>
        <v>Sep</v>
      </c>
      <c r="Q104" s="23" t="str">
        <f>IF(F104="CAPTURE",IF(COUNTIF(orders!$A:$A,O104)&gt;0,"Yes","NO ORDER"),"")</f>
        <v>Yes</v>
      </c>
    </row>
    <row r="105" spans="1:17" ht="15" customHeight="1" x14ac:dyDescent="0.3">
      <c r="A105" s="23" t="s">
        <v>12531</v>
      </c>
      <c r="B105" s="23"/>
      <c r="C105" s="23" t="s">
        <v>10020</v>
      </c>
      <c r="D105" s="23" t="str">
        <f t="shared" si="3"/>
        <v>ORD26004779</v>
      </c>
      <c r="E105" s="38">
        <v>46266</v>
      </c>
      <c r="F105" s="23" t="s">
        <v>12410</v>
      </c>
      <c r="G105" s="23" t="s">
        <v>79</v>
      </c>
      <c r="H105" s="24">
        <v>898</v>
      </c>
      <c r="I105" s="24">
        <v>16.16</v>
      </c>
      <c r="J105" s="24">
        <v>2.91</v>
      </c>
      <c r="K105" s="24">
        <v>878.93</v>
      </c>
      <c r="L105" s="38">
        <v>46268</v>
      </c>
      <c r="M105" s="23" t="s">
        <v>181</v>
      </c>
      <c r="N105" s="23" t="str">
        <f>IF(COUNTIF($A$2:A105,A105)&gt;1,"DUP","OK")</f>
        <v>OK</v>
      </c>
      <c r="O105" s="23" t="str">
        <f t="shared" si="4"/>
        <v>ORD26004779</v>
      </c>
      <c r="P105" s="23" t="str">
        <f t="shared" si="5"/>
        <v>Sep</v>
      </c>
      <c r="Q105" s="23" t="str">
        <f>IF(F105="CAPTURE",IF(COUNTIF(orders!$A:$A,O105)&gt;0,"Yes","NO ORDER"),"")</f>
        <v>Yes</v>
      </c>
    </row>
    <row r="106" spans="1:17" ht="15" customHeight="1" x14ac:dyDescent="0.3">
      <c r="A106" s="23" t="s">
        <v>12532</v>
      </c>
      <c r="B106" s="23"/>
      <c r="C106" s="23" t="s">
        <v>10036</v>
      </c>
      <c r="D106" s="23" t="str">
        <f t="shared" si="3"/>
        <v>ORD26004787</v>
      </c>
      <c r="E106" s="38">
        <v>46266</v>
      </c>
      <c r="F106" s="23" t="s">
        <v>12410</v>
      </c>
      <c r="G106" s="23" t="s">
        <v>77</v>
      </c>
      <c r="H106" s="24">
        <v>1499</v>
      </c>
      <c r="I106" s="24">
        <v>28.48</v>
      </c>
      <c r="J106" s="24">
        <v>5.13</v>
      </c>
      <c r="K106" s="24">
        <v>1465.39</v>
      </c>
      <c r="L106" s="38">
        <v>46268</v>
      </c>
      <c r="M106" s="23" t="s">
        <v>181</v>
      </c>
      <c r="N106" s="23" t="str">
        <f>IF(COUNTIF($A$2:A106,A106)&gt;1,"DUP","OK")</f>
        <v>OK</v>
      </c>
      <c r="O106" s="23" t="str">
        <f t="shared" si="4"/>
        <v>ORD26004787</v>
      </c>
      <c r="P106" s="23" t="str">
        <f t="shared" si="5"/>
        <v>Sep</v>
      </c>
      <c r="Q106" s="23" t="str">
        <f>IF(F106="CAPTURE",IF(COUNTIF(orders!$A:$A,O106)&gt;0,"Yes","NO ORDER"),"")</f>
        <v>Yes</v>
      </c>
    </row>
    <row r="107" spans="1:17" ht="15" customHeight="1" x14ac:dyDescent="0.3">
      <c r="A107" s="23" t="s">
        <v>12533</v>
      </c>
      <c r="B107" s="23"/>
      <c r="C107" s="23" t="s">
        <v>10166</v>
      </c>
      <c r="D107" s="23" t="str">
        <f t="shared" si="3"/>
        <v>ORD26004853</v>
      </c>
      <c r="E107" s="38">
        <v>46266</v>
      </c>
      <c r="F107" s="23" t="s">
        <v>12410</v>
      </c>
      <c r="G107" s="23" t="s">
        <v>75</v>
      </c>
      <c r="H107" s="24">
        <v>798</v>
      </c>
      <c r="I107" s="24">
        <v>0</v>
      </c>
      <c r="J107" s="24">
        <v>0</v>
      </c>
      <c r="K107" s="24">
        <v>798</v>
      </c>
      <c r="L107" s="38">
        <v>46268</v>
      </c>
      <c r="M107" s="23" t="s">
        <v>181</v>
      </c>
      <c r="N107" s="23" t="str">
        <f>IF(COUNTIF($A$2:A107,A107)&gt;1,"DUP","OK")</f>
        <v>OK</v>
      </c>
      <c r="O107" s="23" t="str">
        <f t="shared" si="4"/>
        <v>ORD26004853</v>
      </c>
      <c r="P107" s="23" t="str">
        <f t="shared" si="5"/>
        <v>Sep</v>
      </c>
      <c r="Q107" s="23" t="str">
        <f>IF(F107="CAPTURE",IF(COUNTIF(orders!$A:$A,O107)&gt;0,"Yes","NO ORDER"),"")</f>
        <v>Yes</v>
      </c>
    </row>
    <row r="108" spans="1:17" ht="15" customHeight="1" x14ac:dyDescent="0.3">
      <c r="A108" s="23" t="s">
        <v>12534</v>
      </c>
      <c r="B108" s="23"/>
      <c r="C108" s="23" t="s">
        <v>10451</v>
      </c>
      <c r="D108" s="23" t="str">
        <f t="shared" si="3"/>
        <v>ORD26004999</v>
      </c>
      <c r="E108" s="38">
        <v>46266</v>
      </c>
      <c r="F108" s="23" t="s">
        <v>12410</v>
      </c>
      <c r="G108" s="23" t="s">
        <v>77</v>
      </c>
      <c r="H108" s="24">
        <v>499</v>
      </c>
      <c r="I108" s="24">
        <v>9.48</v>
      </c>
      <c r="J108" s="24">
        <v>1.71</v>
      </c>
      <c r="K108" s="24">
        <v>487.81</v>
      </c>
      <c r="L108" s="38">
        <v>46268</v>
      </c>
      <c r="M108" s="23" t="s">
        <v>181</v>
      </c>
      <c r="N108" s="23" t="str">
        <f>IF(COUNTIF($A$2:A108,A108)&gt;1,"DUP","OK")</f>
        <v>OK</v>
      </c>
      <c r="O108" s="23" t="str">
        <f t="shared" si="4"/>
        <v>ORD26004999</v>
      </c>
      <c r="P108" s="23" t="str">
        <f t="shared" si="5"/>
        <v>Sep</v>
      </c>
      <c r="Q108" s="23" t="str">
        <f>IF(F108="CAPTURE",IF(COUNTIF(orders!$A:$A,O108)&gt;0,"Yes","NO ORDER"),"")</f>
        <v>Yes</v>
      </c>
    </row>
    <row r="109" spans="1:17" ht="15" customHeight="1" x14ac:dyDescent="0.3">
      <c r="A109" s="23" t="s">
        <v>12535</v>
      </c>
      <c r="B109" s="23"/>
      <c r="C109" s="23" t="s">
        <v>10691</v>
      </c>
      <c r="D109" s="23" t="str">
        <f t="shared" si="3"/>
        <v>ORD26005124</v>
      </c>
      <c r="E109" s="38">
        <v>46266</v>
      </c>
      <c r="F109" s="23" t="s">
        <v>12410</v>
      </c>
      <c r="G109" s="23" t="s">
        <v>81</v>
      </c>
      <c r="H109" s="24">
        <v>599</v>
      </c>
      <c r="I109" s="24">
        <v>8.99</v>
      </c>
      <c r="J109" s="24">
        <v>1.62</v>
      </c>
      <c r="K109" s="24">
        <v>588.39</v>
      </c>
      <c r="L109" s="38">
        <v>46268</v>
      </c>
      <c r="M109" s="23" t="s">
        <v>181</v>
      </c>
      <c r="N109" s="23" t="str">
        <f>IF(COUNTIF($A$2:A109,A109)&gt;1,"DUP","OK")</f>
        <v>OK</v>
      </c>
      <c r="O109" s="23" t="str">
        <f t="shared" si="4"/>
        <v>ORD26005124</v>
      </c>
      <c r="P109" s="23" t="str">
        <f t="shared" si="5"/>
        <v>Sep</v>
      </c>
      <c r="Q109" s="23" t="str">
        <f>IF(F109="CAPTURE",IF(COUNTIF(orders!$A:$A,O109)&gt;0,"Yes","NO ORDER"),"")</f>
        <v>Yes</v>
      </c>
    </row>
    <row r="110" spans="1:17" ht="15" customHeight="1" x14ac:dyDescent="0.3">
      <c r="A110" s="23" t="s">
        <v>12536</v>
      </c>
      <c r="B110" s="23"/>
      <c r="C110" s="23" t="s">
        <v>10757</v>
      </c>
      <c r="D110" s="23" t="str">
        <f t="shared" si="3"/>
        <v>ORD26005158</v>
      </c>
      <c r="E110" s="38">
        <v>46266</v>
      </c>
      <c r="F110" s="23" t="s">
        <v>12410</v>
      </c>
      <c r="G110" s="23" t="s">
        <v>77</v>
      </c>
      <c r="H110" s="24">
        <v>1499</v>
      </c>
      <c r="I110" s="24">
        <v>28.48</v>
      </c>
      <c r="J110" s="24">
        <v>5.13</v>
      </c>
      <c r="K110" s="24">
        <v>1465.39</v>
      </c>
      <c r="L110" s="38">
        <v>46268</v>
      </c>
      <c r="M110" s="23" t="s">
        <v>181</v>
      </c>
      <c r="N110" s="23" t="str">
        <f>IF(COUNTIF($A$2:A110,A110)&gt;1,"DUP","OK")</f>
        <v>OK</v>
      </c>
      <c r="O110" s="23" t="str">
        <f t="shared" si="4"/>
        <v>ORD26005158</v>
      </c>
      <c r="P110" s="23" t="str">
        <f t="shared" si="5"/>
        <v>Sep</v>
      </c>
      <c r="Q110" s="23" t="str">
        <f>IF(F110="CAPTURE",IF(COUNTIF(orders!$A:$A,O110)&gt;0,"Yes","NO ORDER"),"")</f>
        <v>Yes</v>
      </c>
    </row>
    <row r="111" spans="1:17" ht="15" customHeight="1" x14ac:dyDescent="0.3">
      <c r="A111" s="23" t="s">
        <v>12537</v>
      </c>
      <c r="B111" s="23"/>
      <c r="C111" s="23" t="s">
        <v>10769</v>
      </c>
      <c r="D111" s="23" t="str">
        <f t="shared" si="3"/>
        <v>ORD26005165</v>
      </c>
      <c r="E111" s="38">
        <v>46266</v>
      </c>
      <c r="F111" s="23" t="s">
        <v>12410</v>
      </c>
      <c r="G111" s="23" t="s">
        <v>81</v>
      </c>
      <c r="H111" s="24">
        <v>10797</v>
      </c>
      <c r="I111" s="24">
        <v>97.17</v>
      </c>
      <c r="J111" s="24">
        <v>17.489999999999998</v>
      </c>
      <c r="K111" s="24">
        <v>10682.34</v>
      </c>
      <c r="L111" s="38">
        <v>46268</v>
      </c>
      <c r="M111" s="23" t="s">
        <v>181</v>
      </c>
      <c r="N111" s="23" t="str">
        <f>IF(COUNTIF($A$2:A111,A111)&gt;1,"DUP","OK")</f>
        <v>OK</v>
      </c>
      <c r="O111" s="23" t="str">
        <f t="shared" si="4"/>
        <v>ORD26005165</v>
      </c>
      <c r="P111" s="23" t="str">
        <f t="shared" si="5"/>
        <v>Sep</v>
      </c>
      <c r="Q111" s="23" t="str">
        <f>IF(F111="CAPTURE",IF(COUNTIF(orders!$A:$A,O111)&gt;0,"Yes","NO ORDER"),"")</f>
        <v>Yes</v>
      </c>
    </row>
    <row r="112" spans="1:17" ht="15" customHeight="1" x14ac:dyDescent="0.3">
      <c r="A112" s="23" t="s">
        <v>12538</v>
      </c>
      <c r="B112" s="23"/>
      <c r="C112" s="23" t="s">
        <v>10921</v>
      </c>
      <c r="D112" s="23" t="str">
        <f t="shared" si="3"/>
        <v>ORD26005242</v>
      </c>
      <c r="E112" s="38">
        <v>46266</v>
      </c>
      <c r="F112" s="23" t="s">
        <v>12410</v>
      </c>
      <c r="G112" s="23" t="s">
        <v>75</v>
      </c>
      <c r="H112" s="24">
        <v>7999</v>
      </c>
      <c r="I112" s="24">
        <v>24</v>
      </c>
      <c r="J112" s="24">
        <v>4.32</v>
      </c>
      <c r="K112" s="24">
        <v>7970.68</v>
      </c>
      <c r="L112" s="38">
        <v>46268</v>
      </c>
      <c r="M112" s="23" t="s">
        <v>181</v>
      </c>
      <c r="N112" s="23" t="str">
        <f>IF(COUNTIF($A$2:A112,A112)&gt;1,"DUP","OK")</f>
        <v>OK</v>
      </c>
      <c r="O112" s="23" t="str">
        <f t="shared" si="4"/>
        <v>ORD26005242</v>
      </c>
      <c r="P112" s="23" t="str">
        <f t="shared" si="5"/>
        <v>Sep</v>
      </c>
      <c r="Q112" s="23" t="str">
        <f>IF(F112="CAPTURE",IF(COUNTIF(orders!$A:$A,O112)&gt;0,"Yes","NO ORDER"),"")</f>
        <v>Yes</v>
      </c>
    </row>
    <row r="113" spans="1:17" ht="15" customHeight="1" x14ac:dyDescent="0.3">
      <c r="A113" s="23" t="s">
        <v>12539</v>
      </c>
      <c r="B113" s="23"/>
      <c r="C113" s="23" t="s">
        <v>10939</v>
      </c>
      <c r="D113" s="23" t="str">
        <f t="shared" si="3"/>
        <v>ORD26005251</v>
      </c>
      <c r="E113" s="38">
        <v>46266</v>
      </c>
      <c r="F113" s="23" t="s">
        <v>12410</v>
      </c>
      <c r="G113" s="23" t="s">
        <v>75</v>
      </c>
      <c r="H113" s="24">
        <v>3848</v>
      </c>
      <c r="I113" s="24">
        <v>11.54</v>
      </c>
      <c r="J113" s="24">
        <v>2.08</v>
      </c>
      <c r="K113" s="24">
        <v>3834.38</v>
      </c>
      <c r="L113" s="38">
        <v>46268</v>
      </c>
      <c r="M113" s="23" t="s">
        <v>181</v>
      </c>
      <c r="N113" s="23" t="str">
        <f>IF(COUNTIF($A$2:A113,A113)&gt;1,"DUP","OK")</f>
        <v>OK</v>
      </c>
      <c r="O113" s="23" t="str">
        <f t="shared" si="4"/>
        <v>ORD26005251</v>
      </c>
      <c r="P113" s="23" t="str">
        <f t="shared" si="5"/>
        <v>Sep</v>
      </c>
      <c r="Q113" s="23" t="str">
        <f>IF(F113="CAPTURE",IF(COUNTIF(orders!$A:$A,O113)&gt;0,"Yes","NO ORDER"),"")</f>
        <v>Yes</v>
      </c>
    </row>
    <row r="114" spans="1:17" ht="15" customHeight="1" x14ac:dyDescent="0.3">
      <c r="A114" s="23" t="s">
        <v>12540</v>
      </c>
      <c r="B114" s="23"/>
      <c r="C114" s="23" t="s">
        <v>11022</v>
      </c>
      <c r="D114" s="23" t="str">
        <f t="shared" si="3"/>
        <v>ORD26005294</v>
      </c>
      <c r="E114" s="38">
        <v>46266</v>
      </c>
      <c r="F114" s="23" t="s">
        <v>12410</v>
      </c>
      <c r="G114" s="23" t="s">
        <v>79</v>
      </c>
      <c r="H114" s="24">
        <v>2499</v>
      </c>
      <c r="I114" s="24">
        <v>39.979999999999997</v>
      </c>
      <c r="J114" s="24">
        <v>7.2</v>
      </c>
      <c r="K114" s="24">
        <v>2451.8200000000002</v>
      </c>
      <c r="L114" s="38">
        <v>46268</v>
      </c>
      <c r="M114" s="23" t="s">
        <v>181</v>
      </c>
      <c r="N114" s="23" t="str">
        <f>IF(COUNTIF($A$2:A114,A114)&gt;1,"DUP","OK")</f>
        <v>OK</v>
      </c>
      <c r="O114" s="23" t="str">
        <f t="shared" si="4"/>
        <v>ORD26005294</v>
      </c>
      <c r="P114" s="23" t="str">
        <f t="shared" si="5"/>
        <v>Sep</v>
      </c>
      <c r="Q114" s="23" t="str">
        <f>IF(F114="CAPTURE",IF(COUNTIF(orders!$A:$A,O114)&gt;0,"Yes","NO ORDER"),"")</f>
        <v>Yes</v>
      </c>
    </row>
    <row r="115" spans="1:17" ht="15" customHeight="1" x14ac:dyDescent="0.3">
      <c r="A115" s="23" t="s">
        <v>12541</v>
      </c>
      <c r="B115" s="23"/>
      <c r="C115" s="23" t="s">
        <v>11099</v>
      </c>
      <c r="D115" s="23" t="str">
        <f t="shared" si="3"/>
        <v>ORD26005333</v>
      </c>
      <c r="E115" s="38">
        <v>46266</v>
      </c>
      <c r="F115" s="23" t="s">
        <v>12410</v>
      </c>
      <c r="G115" s="23" t="s">
        <v>75</v>
      </c>
      <c r="H115" s="24">
        <v>898</v>
      </c>
      <c r="I115" s="24">
        <v>0</v>
      </c>
      <c r="J115" s="24">
        <v>0</v>
      </c>
      <c r="K115" s="24">
        <v>898</v>
      </c>
      <c r="L115" s="38">
        <v>46268</v>
      </c>
      <c r="M115" s="23" t="s">
        <v>181</v>
      </c>
      <c r="N115" s="23" t="str">
        <f>IF(COUNTIF($A$2:A115,A115)&gt;1,"DUP","OK")</f>
        <v>OK</v>
      </c>
      <c r="O115" s="23" t="str">
        <f t="shared" si="4"/>
        <v>ORD26005333</v>
      </c>
      <c r="P115" s="23" t="str">
        <f t="shared" si="5"/>
        <v>Sep</v>
      </c>
      <c r="Q115" s="23" t="str">
        <f>IF(F115="CAPTURE",IF(COUNTIF(orders!$A:$A,O115)&gt;0,"Yes","NO ORDER"),"")</f>
        <v>Yes</v>
      </c>
    </row>
    <row r="116" spans="1:17" ht="15" customHeight="1" x14ac:dyDescent="0.3">
      <c r="A116" s="23" t="s">
        <v>12542</v>
      </c>
      <c r="B116" s="23"/>
      <c r="C116" s="23" t="s">
        <v>11101</v>
      </c>
      <c r="D116" s="23" t="str">
        <f t="shared" si="3"/>
        <v>ORD26005334</v>
      </c>
      <c r="E116" s="38">
        <v>46266</v>
      </c>
      <c r="F116" s="23" t="s">
        <v>12410</v>
      </c>
      <c r="G116" s="23" t="s">
        <v>75</v>
      </c>
      <c r="H116" s="24">
        <v>2999</v>
      </c>
      <c r="I116" s="24">
        <v>9</v>
      </c>
      <c r="J116" s="24">
        <v>1.62</v>
      </c>
      <c r="K116" s="24">
        <v>2988.38</v>
      </c>
      <c r="L116" s="38">
        <v>46268</v>
      </c>
      <c r="M116" s="23" t="s">
        <v>181</v>
      </c>
      <c r="N116" s="23" t="str">
        <f>IF(COUNTIF($A$2:A116,A116)&gt;1,"DUP","OK")</f>
        <v>OK</v>
      </c>
      <c r="O116" s="23" t="str">
        <f t="shared" si="4"/>
        <v>ORD26005334</v>
      </c>
      <c r="P116" s="23" t="str">
        <f t="shared" si="5"/>
        <v>Sep</v>
      </c>
      <c r="Q116" s="23" t="str">
        <f>IF(F116="CAPTURE",IF(COUNTIF(orders!$A:$A,O116)&gt;0,"Yes","NO ORDER"),"")</f>
        <v>Yes</v>
      </c>
    </row>
    <row r="117" spans="1:17" ht="15" customHeight="1" x14ac:dyDescent="0.3">
      <c r="A117" s="23" t="s">
        <v>12543</v>
      </c>
      <c r="B117" s="23"/>
      <c r="C117" s="23" t="s">
        <v>11201</v>
      </c>
      <c r="D117" s="23" t="str">
        <f t="shared" si="3"/>
        <v>ORD26005384</v>
      </c>
      <c r="E117" s="38">
        <v>46266</v>
      </c>
      <c r="F117" s="23" t="s">
        <v>12410</v>
      </c>
      <c r="G117" s="23" t="s">
        <v>75</v>
      </c>
      <c r="H117" s="24">
        <v>599</v>
      </c>
      <c r="I117" s="24">
        <v>0</v>
      </c>
      <c r="J117" s="24">
        <v>0</v>
      </c>
      <c r="K117" s="24">
        <v>599</v>
      </c>
      <c r="L117" s="38">
        <v>46268</v>
      </c>
      <c r="M117" s="23" t="s">
        <v>181</v>
      </c>
      <c r="N117" s="23" t="str">
        <f>IF(COUNTIF($A$2:A117,A117)&gt;1,"DUP","OK")</f>
        <v>OK</v>
      </c>
      <c r="O117" s="23" t="str">
        <f t="shared" si="4"/>
        <v>ORD26005384</v>
      </c>
      <c r="P117" s="23" t="str">
        <f t="shared" si="5"/>
        <v>Sep</v>
      </c>
      <c r="Q117" s="23" t="str">
        <f>IF(F117="CAPTURE",IF(COUNTIF(orders!$A:$A,O117)&gt;0,"Yes","NO ORDER"),"")</f>
        <v>Yes</v>
      </c>
    </row>
    <row r="118" spans="1:17" ht="15" customHeight="1" x14ac:dyDescent="0.3">
      <c r="A118" s="23" t="s">
        <v>12544</v>
      </c>
      <c r="B118" s="23"/>
      <c r="C118" s="23" t="s">
        <v>11439</v>
      </c>
      <c r="D118" s="23" t="str">
        <f t="shared" si="3"/>
        <v>ORD26005506</v>
      </c>
      <c r="E118" s="38">
        <v>46266</v>
      </c>
      <c r="F118" s="23" t="s">
        <v>12410</v>
      </c>
      <c r="G118" s="23" t="s">
        <v>75</v>
      </c>
      <c r="H118" s="24">
        <v>3997</v>
      </c>
      <c r="I118" s="24">
        <v>11.99</v>
      </c>
      <c r="J118" s="24">
        <v>2.16</v>
      </c>
      <c r="K118" s="24">
        <v>3982.85</v>
      </c>
      <c r="L118" s="38">
        <v>46268</v>
      </c>
      <c r="M118" s="23" t="s">
        <v>181</v>
      </c>
      <c r="N118" s="23" t="str">
        <f>IF(COUNTIF($A$2:A118,A118)&gt;1,"DUP","OK")</f>
        <v>OK</v>
      </c>
      <c r="O118" s="23" t="str">
        <f t="shared" si="4"/>
        <v>ORD26005506</v>
      </c>
      <c r="P118" s="23" t="str">
        <f t="shared" si="5"/>
        <v>Sep</v>
      </c>
      <c r="Q118" s="23" t="str">
        <f>IF(F118="CAPTURE",IF(COUNTIF(orders!$A:$A,O118)&gt;0,"Yes","NO ORDER"),"")</f>
        <v>Yes</v>
      </c>
    </row>
    <row r="119" spans="1:17" ht="15" customHeight="1" x14ac:dyDescent="0.3">
      <c r="A119" s="23" t="s">
        <v>12545</v>
      </c>
      <c r="B119" s="23"/>
      <c r="C119" s="23" t="s">
        <v>12546</v>
      </c>
      <c r="D119" s="23" t="str">
        <f t="shared" si="3"/>
        <v>ORD26005526</v>
      </c>
      <c r="E119" s="38">
        <v>46266</v>
      </c>
      <c r="F119" s="23" t="s">
        <v>12410</v>
      </c>
      <c r="G119" s="23" t="s">
        <v>75</v>
      </c>
      <c r="H119" s="24">
        <v>3499</v>
      </c>
      <c r="I119" s="24">
        <v>10.5</v>
      </c>
      <c r="J119" s="24">
        <v>1.89</v>
      </c>
      <c r="K119" s="24">
        <v>3486.61</v>
      </c>
      <c r="L119" s="38">
        <v>46268</v>
      </c>
      <c r="M119" s="23" t="s">
        <v>181</v>
      </c>
      <c r="N119" s="23" t="str">
        <f>IF(COUNTIF($A$2:A119,A119)&gt;1,"DUP","OK")</f>
        <v>OK</v>
      </c>
      <c r="O119" s="23" t="str">
        <f t="shared" si="4"/>
        <v>ORD26005526</v>
      </c>
      <c r="P119" s="23" t="str">
        <f t="shared" si="5"/>
        <v>Sep</v>
      </c>
      <c r="Q119" s="23" t="str">
        <f>IF(F119="CAPTURE",IF(COUNTIF(orders!$A:$A,O119)&gt;0,"Yes","NO ORDER"),"")</f>
        <v>Yes</v>
      </c>
    </row>
    <row r="120" spans="1:17" ht="15" customHeight="1" x14ac:dyDescent="0.3">
      <c r="A120" s="23" t="s">
        <v>12547</v>
      </c>
      <c r="B120" s="23"/>
      <c r="C120" s="23" t="s">
        <v>11513</v>
      </c>
      <c r="D120" s="23" t="str">
        <f t="shared" si="3"/>
        <v>ORD26005544</v>
      </c>
      <c r="E120" s="38">
        <v>46266</v>
      </c>
      <c r="F120" s="23" t="s">
        <v>12410</v>
      </c>
      <c r="G120" s="23" t="s">
        <v>75</v>
      </c>
      <c r="H120" s="24">
        <v>2098</v>
      </c>
      <c r="I120" s="24">
        <v>6.29</v>
      </c>
      <c r="J120" s="24">
        <v>1.1299999999999999</v>
      </c>
      <c r="K120" s="24">
        <v>2090.58</v>
      </c>
      <c r="L120" s="38">
        <v>46268</v>
      </c>
      <c r="M120" s="23" t="s">
        <v>181</v>
      </c>
      <c r="N120" s="23" t="str">
        <f>IF(COUNTIF($A$2:A120,A120)&gt;1,"DUP","OK")</f>
        <v>OK</v>
      </c>
      <c r="O120" s="23" t="str">
        <f t="shared" si="4"/>
        <v>ORD26005544</v>
      </c>
      <c r="P120" s="23" t="str">
        <f t="shared" si="5"/>
        <v>Sep</v>
      </c>
      <c r="Q120" s="23" t="str">
        <f>IF(F120="CAPTURE",IF(COUNTIF(orders!$A:$A,O120)&gt;0,"Yes","NO ORDER"),"")</f>
        <v>Yes</v>
      </c>
    </row>
    <row r="121" spans="1:17" ht="15" customHeight="1" x14ac:dyDescent="0.3">
      <c r="A121" s="23" t="s">
        <v>12548</v>
      </c>
      <c r="B121" s="23"/>
      <c r="C121" s="23" t="s">
        <v>11521</v>
      </c>
      <c r="D121" s="23" t="str">
        <f t="shared" si="3"/>
        <v>ORD26005548</v>
      </c>
      <c r="E121" s="38">
        <v>46266</v>
      </c>
      <c r="F121" s="23" t="s">
        <v>12410</v>
      </c>
      <c r="G121" s="23" t="s">
        <v>75</v>
      </c>
      <c r="H121" s="24">
        <v>5598</v>
      </c>
      <c r="I121" s="24">
        <v>16.79</v>
      </c>
      <c r="J121" s="24">
        <v>3.02</v>
      </c>
      <c r="K121" s="24">
        <v>5578.19</v>
      </c>
      <c r="L121" s="38">
        <v>46268</v>
      </c>
      <c r="M121" s="23" t="s">
        <v>181</v>
      </c>
      <c r="N121" s="23" t="str">
        <f>IF(COUNTIF($A$2:A121,A121)&gt;1,"DUP","OK")</f>
        <v>OK</v>
      </c>
      <c r="O121" s="23" t="str">
        <f t="shared" si="4"/>
        <v>ORD26005548</v>
      </c>
      <c r="P121" s="23" t="str">
        <f t="shared" si="5"/>
        <v>Sep</v>
      </c>
      <c r="Q121" s="23" t="str">
        <f>IF(F121="CAPTURE",IF(COUNTIF(orders!$A:$A,O121)&gt;0,"Yes","NO ORDER"),"")</f>
        <v>Yes</v>
      </c>
    </row>
    <row r="122" spans="1:17" ht="15" customHeight="1" x14ac:dyDescent="0.3">
      <c r="A122" s="23" t="s">
        <v>12549</v>
      </c>
      <c r="B122" s="23"/>
      <c r="C122" s="23" t="s">
        <v>11592</v>
      </c>
      <c r="D122" s="23" t="str">
        <f t="shared" si="3"/>
        <v>ORD26005585</v>
      </c>
      <c r="E122" s="38">
        <v>46266</v>
      </c>
      <c r="F122" s="23" t="s">
        <v>12410</v>
      </c>
      <c r="G122" s="23" t="s">
        <v>75</v>
      </c>
      <c r="H122" s="24">
        <v>2798</v>
      </c>
      <c r="I122" s="24">
        <v>8.39</v>
      </c>
      <c r="J122" s="24">
        <v>1.51</v>
      </c>
      <c r="K122" s="24">
        <v>2788.1</v>
      </c>
      <c r="L122" s="38">
        <v>46268</v>
      </c>
      <c r="M122" s="23" t="s">
        <v>181</v>
      </c>
      <c r="N122" s="23" t="str">
        <f>IF(COUNTIF($A$2:A122,A122)&gt;1,"DUP","OK")</f>
        <v>OK</v>
      </c>
      <c r="O122" s="23" t="str">
        <f t="shared" si="4"/>
        <v>ORD26005585</v>
      </c>
      <c r="P122" s="23" t="str">
        <f t="shared" si="5"/>
        <v>Sep</v>
      </c>
      <c r="Q122" s="23" t="str">
        <f>IF(F122="CAPTURE",IF(COUNTIF(orders!$A:$A,O122)&gt;0,"Yes","NO ORDER"),"")</f>
        <v>Yes</v>
      </c>
    </row>
    <row r="123" spans="1:17" ht="15" customHeight="1" x14ac:dyDescent="0.3">
      <c r="A123" s="23" t="s">
        <v>12550</v>
      </c>
      <c r="B123" s="23"/>
      <c r="C123" s="23" t="s">
        <v>11750</v>
      </c>
      <c r="D123" s="23" t="str">
        <f t="shared" si="3"/>
        <v>ORD26005665</v>
      </c>
      <c r="E123" s="38">
        <v>46266</v>
      </c>
      <c r="F123" s="23" t="s">
        <v>12410</v>
      </c>
      <c r="G123" s="23" t="s">
        <v>75</v>
      </c>
      <c r="H123" s="24">
        <v>1848</v>
      </c>
      <c r="I123" s="24">
        <v>0</v>
      </c>
      <c r="J123" s="24">
        <v>0</v>
      </c>
      <c r="K123" s="24">
        <v>1848</v>
      </c>
      <c r="L123" s="38">
        <v>46268</v>
      </c>
      <c r="M123" s="23" t="s">
        <v>181</v>
      </c>
      <c r="N123" s="23" t="str">
        <f>IF(COUNTIF($A$2:A123,A123)&gt;1,"DUP","OK")</f>
        <v>OK</v>
      </c>
      <c r="O123" s="23" t="str">
        <f t="shared" si="4"/>
        <v>ORD26005665</v>
      </c>
      <c r="P123" s="23" t="str">
        <f t="shared" si="5"/>
        <v>Sep</v>
      </c>
      <c r="Q123" s="23" t="str">
        <f>IF(F123="CAPTURE",IF(COUNTIF(orders!$A:$A,O123)&gt;0,"Yes","NO ORDER"),"")</f>
        <v>Yes</v>
      </c>
    </row>
    <row r="124" spans="1:17" ht="15" customHeight="1" x14ac:dyDescent="0.3">
      <c r="A124" s="23" t="s">
        <v>12551</v>
      </c>
      <c r="B124" s="23"/>
      <c r="C124" s="23" t="s">
        <v>11762</v>
      </c>
      <c r="D124" s="23" t="str">
        <f t="shared" si="3"/>
        <v>ORD26005671</v>
      </c>
      <c r="E124" s="38">
        <v>46266</v>
      </c>
      <c r="F124" s="23" t="s">
        <v>12410</v>
      </c>
      <c r="G124" s="23" t="s">
        <v>75</v>
      </c>
      <c r="H124" s="24">
        <v>299</v>
      </c>
      <c r="I124" s="24">
        <v>0</v>
      </c>
      <c r="J124" s="24">
        <v>0</v>
      </c>
      <c r="K124" s="24">
        <v>299</v>
      </c>
      <c r="L124" s="38">
        <v>46268</v>
      </c>
      <c r="M124" s="23" t="s">
        <v>181</v>
      </c>
      <c r="N124" s="23" t="str">
        <f>IF(COUNTIF($A$2:A124,A124)&gt;1,"DUP","OK")</f>
        <v>OK</v>
      </c>
      <c r="O124" s="23" t="str">
        <f t="shared" si="4"/>
        <v>ORD26005671</v>
      </c>
      <c r="P124" s="23" t="str">
        <f t="shared" si="5"/>
        <v>Sep</v>
      </c>
      <c r="Q124" s="23" t="str">
        <f>IF(F124="CAPTURE",IF(COUNTIF(orders!$A:$A,O124)&gt;0,"Yes","NO ORDER"),"")</f>
        <v>Yes</v>
      </c>
    </row>
    <row r="125" spans="1:17" ht="15" customHeight="1" x14ac:dyDescent="0.3">
      <c r="A125" s="23" t="s">
        <v>12552</v>
      </c>
      <c r="B125" s="23"/>
      <c r="C125" s="23" t="s">
        <v>11843</v>
      </c>
      <c r="D125" s="23" t="str">
        <f t="shared" si="3"/>
        <v>ORD26005713</v>
      </c>
      <c r="E125" s="38">
        <v>46266</v>
      </c>
      <c r="F125" s="23" t="s">
        <v>12410</v>
      </c>
      <c r="G125" s="23" t="s">
        <v>75</v>
      </c>
      <c r="H125" s="24">
        <v>2897</v>
      </c>
      <c r="I125" s="24">
        <v>8.69</v>
      </c>
      <c r="J125" s="24">
        <v>1.56</v>
      </c>
      <c r="K125" s="24">
        <v>2886.75</v>
      </c>
      <c r="L125" s="38">
        <v>46268</v>
      </c>
      <c r="M125" s="23" t="s">
        <v>181</v>
      </c>
      <c r="N125" s="23" t="str">
        <f>IF(COUNTIF($A$2:A125,A125)&gt;1,"DUP","OK")</f>
        <v>OK</v>
      </c>
      <c r="O125" s="23" t="str">
        <f t="shared" si="4"/>
        <v>ORD26005713</v>
      </c>
      <c r="P125" s="23" t="str">
        <f t="shared" si="5"/>
        <v>Sep</v>
      </c>
      <c r="Q125" s="23" t="str">
        <f>IF(F125="CAPTURE",IF(COUNTIF(orders!$A:$A,O125)&gt;0,"Yes","NO ORDER"),"")</f>
        <v>Yes</v>
      </c>
    </row>
    <row r="126" spans="1:17" ht="15" customHeight="1" x14ac:dyDescent="0.3">
      <c r="A126" s="23" t="s">
        <v>12553</v>
      </c>
      <c r="B126" s="23"/>
      <c r="C126" s="23" t="s">
        <v>11881</v>
      </c>
      <c r="D126" s="23" t="str">
        <f t="shared" si="3"/>
        <v>ORD26005733</v>
      </c>
      <c r="E126" s="38">
        <v>46266</v>
      </c>
      <c r="F126" s="23" t="s">
        <v>12410</v>
      </c>
      <c r="G126" s="23" t="s">
        <v>77</v>
      </c>
      <c r="H126" s="24">
        <v>4298</v>
      </c>
      <c r="I126" s="24">
        <v>73.069999999999993</v>
      </c>
      <c r="J126" s="24">
        <v>13.15</v>
      </c>
      <c r="K126" s="24">
        <v>4211.78</v>
      </c>
      <c r="L126" s="38">
        <v>46268</v>
      </c>
      <c r="M126" s="23" t="s">
        <v>181</v>
      </c>
      <c r="N126" s="23" t="str">
        <f>IF(COUNTIF($A$2:A126,A126)&gt;1,"DUP","OK")</f>
        <v>OK</v>
      </c>
      <c r="O126" s="23" t="str">
        <f t="shared" si="4"/>
        <v>ORD26005733</v>
      </c>
      <c r="P126" s="23" t="str">
        <f t="shared" si="5"/>
        <v>Sep</v>
      </c>
      <c r="Q126" s="23" t="str">
        <f>IF(F126="CAPTURE",IF(COUNTIF(orders!$A:$A,O126)&gt;0,"Yes","NO ORDER"),"")</f>
        <v>Yes</v>
      </c>
    </row>
    <row r="127" spans="1:17" ht="15" customHeight="1" x14ac:dyDescent="0.3">
      <c r="A127" s="23" t="s">
        <v>12554</v>
      </c>
      <c r="B127" s="23"/>
      <c r="C127" s="23" t="s">
        <v>12058</v>
      </c>
      <c r="D127" s="23" t="str">
        <f t="shared" si="3"/>
        <v>ORD26005823</v>
      </c>
      <c r="E127" s="38">
        <v>46266</v>
      </c>
      <c r="F127" s="23" t="s">
        <v>12410</v>
      </c>
      <c r="G127" s="23" t="s">
        <v>79</v>
      </c>
      <c r="H127" s="24">
        <v>999</v>
      </c>
      <c r="I127" s="24">
        <v>17.98</v>
      </c>
      <c r="J127" s="24">
        <v>3.24</v>
      </c>
      <c r="K127" s="24">
        <v>977.78</v>
      </c>
      <c r="L127" s="38">
        <v>46268</v>
      </c>
      <c r="M127" s="23" t="s">
        <v>181</v>
      </c>
      <c r="N127" s="23" t="str">
        <f>IF(COUNTIF($A$2:A127,A127)&gt;1,"DUP","OK")</f>
        <v>OK</v>
      </c>
      <c r="O127" s="23" t="str">
        <f t="shared" si="4"/>
        <v>ORD26005823</v>
      </c>
      <c r="P127" s="23" t="str">
        <f t="shared" si="5"/>
        <v>Sep</v>
      </c>
      <c r="Q127" s="23" t="str">
        <f>IF(F127="CAPTURE",IF(COUNTIF(orders!$A:$A,O127)&gt;0,"Yes","NO ORDER"),"")</f>
        <v>Yes</v>
      </c>
    </row>
    <row r="128" spans="1:17" ht="15" customHeight="1" x14ac:dyDescent="0.3">
      <c r="A128" s="23" t="s">
        <v>12555</v>
      </c>
      <c r="B128" s="23"/>
      <c r="C128" s="23" t="s">
        <v>12136</v>
      </c>
      <c r="D128" s="23" t="str">
        <f t="shared" si="3"/>
        <v>ORD26005866</v>
      </c>
      <c r="E128" s="38">
        <v>46266</v>
      </c>
      <c r="F128" s="23" t="s">
        <v>12410</v>
      </c>
      <c r="G128" s="23" t="s">
        <v>79</v>
      </c>
      <c r="H128" s="24">
        <v>1798</v>
      </c>
      <c r="I128" s="24">
        <v>32.36</v>
      </c>
      <c r="J128" s="24">
        <v>5.82</v>
      </c>
      <c r="K128" s="24">
        <v>1759.82</v>
      </c>
      <c r="L128" s="38">
        <v>46268</v>
      </c>
      <c r="M128" s="23" t="s">
        <v>181</v>
      </c>
      <c r="N128" s="23" t="str">
        <f>IF(COUNTIF($A$2:A128,A128)&gt;1,"DUP","OK")</f>
        <v>OK</v>
      </c>
      <c r="O128" s="23" t="str">
        <f t="shared" si="4"/>
        <v>ORD26005866</v>
      </c>
      <c r="P128" s="23" t="str">
        <f t="shared" si="5"/>
        <v>Sep</v>
      </c>
      <c r="Q128" s="23" t="str">
        <f>IF(F128="CAPTURE",IF(COUNTIF(orders!$A:$A,O128)&gt;0,"Yes","NO ORDER"),"")</f>
        <v>Yes</v>
      </c>
    </row>
    <row r="129" spans="1:17" ht="15" customHeight="1" x14ac:dyDescent="0.3">
      <c r="A129" s="23" t="s">
        <v>12556</v>
      </c>
      <c r="B129" s="23"/>
      <c r="C129" s="23" t="s">
        <v>12314</v>
      </c>
      <c r="D129" s="23" t="str">
        <f t="shared" si="3"/>
        <v>ORD26005960</v>
      </c>
      <c r="E129" s="38">
        <v>46266</v>
      </c>
      <c r="F129" s="23" t="s">
        <v>12410</v>
      </c>
      <c r="G129" s="23" t="s">
        <v>81</v>
      </c>
      <c r="H129" s="24">
        <v>3597</v>
      </c>
      <c r="I129" s="24">
        <v>43.16</v>
      </c>
      <c r="J129" s="24">
        <v>7.77</v>
      </c>
      <c r="K129" s="24">
        <v>3546.07</v>
      </c>
      <c r="L129" s="38">
        <v>46268</v>
      </c>
      <c r="M129" s="23" t="s">
        <v>181</v>
      </c>
      <c r="N129" s="23" t="str">
        <f>IF(COUNTIF($A$2:A129,A129)&gt;1,"DUP","OK")</f>
        <v>OK</v>
      </c>
      <c r="O129" s="23" t="str">
        <f t="shared" si="4"/>
        <v>ORD26005960</v>
      </c>
      <c r="P129" s="23" t="str">
        <f t="shared" si="5"/>
        <v>Sep</v>
      </c>
      <c r="Q129" s="23" t="str">
        <f>IF(F129="CAPTURE",IF(COUNTIF(orders!$A:$A,O129)&gt;0,"Yes","NO ORDER"),"")</f>
        <v>Yes</v>
      </c>
    </row>
    <row r="130" spans="1:17" ht="15" customHeight="1" x14ac:dyDescent="0.3">
      <c r="A130" s="23" t="s">
        <v>12557</v>
      </c>
      <c r="B130" s="23"/>
      <c r="C130" s="23" t="s">
        <v>12558</v>
      </c>
      <c r="D130" s="23" t="str">
        <f t="shared" ref="D130:D193" si="6">UPPER(SUBSTITUTE(TRIM(C130),"-",""))</f>
        <v>ORD26006505</v>
      </c>
      <c r="E130" s="38">
        <v>46266</v>
      </c>
      <c r="F130" s="23" t="s">
        <v>12410</v>
      </c>
      <c r="G130" s="23" t="s">
        <v>79</v>
      </c>
      <c r="H130" s="24">
        <v>7999</v>
      </c>
      <c r="I130" s="24">
        <v>127.98</v>
      </c>
      <c r="J130" s="24">
        <v>23.04</v>
      </c>
      <c r="K130" s="24">
        <v>7847.98</v>
      </c>
      <c r="L130" s="38">
        <v>46268</v>
      </c>
      <c r="M130" s="23" t="s">
        <v>181</v>
      </c>
      <c r="N130" s="23" t="str">
        <f>IF(COUNTIF($A$2:A130,A130)&gt;1,"DUP","OK")</f>
        <v>OK</v>
      </c>
      <c r="O130" s="23" t="str">
        <f t="shared" ref="O130:O193" si="7">IF(F130="REFUND",INDEX($D:$D,MATCH(B130,$A:$A,0)),D130)</f>
        <v>ORD26006505</v>
      </c>
      <c r="P130" s="23" t="str">
        <f t="shared" ref="P130:P193" si="8">IF(L130&gt;DATE(2026,9,30),"Oct-Due","Sep")</f>
        <v>Sep</v>
      </c>
      <c r="Q130" s="23" t="str">
        <f>IF(F130="CAPTURE",IF(COUNTIF(orders!$A:$A,O130)&gt;0,"Yes","NO ORDER"),"")</f>
        <v>NO ORDER</v>
      </c>
    </row>
    <row r="131" spans="1:17" ht="15" customHeight="1" x14ac:dyDescent="0.3">
      <c r="A131" s="23" t="s">
        <v>12559</v>
      </c>
      <c r="B131" s="23"/>
      <c r="C131" s="23" t="s">
        <v>344</v>
      </c>
      <c r="D131" s="23" t="str">
        <f t="shared" si="6"/>
        <v>ORD26000034</v>
      </c>
      <c r="E131" s="38">
        <v>46267</v>
      </c>
      <c r="F131" s="23" t="s">
        <v>12410</v>
      </c>
      <c r="G131" s="23" t="s">
        <v>75</v>
      </c>
      <c r="H131" s="24">
        <v>4498</v>
      </c>
      <c r="I131" s="24">
        <v>13.49</v>
      </c>
      <c r="J131" s="24">
        <v>2.4300000000000002</v>
      </c>
      <c r="K131" s="24">
        <v>4482.08</v>
      </c>
      <c r="L131" s="38">
        <v>46269</v>
      </c>
      <c r="M131" s="23" t="s">
        <v>184</v>
      </c>
      <c r="N131" s="23" t="str">
        <f>IF(COUNTIF($A$2:A131,A131)&gt;1,"DUP","OK")</f>
        <v>OK</v>
      </c>
      <c r="O131" s="23" t="str">
        <f t="shared" si="7"/>
        <v>ORD26000034</v>
      </c>
      <c r="P131" s="23" t="str">
        <f t="shared" si="8"/>
        <v>Sep</v>
      </c>
      <c r="Q131" s="23" t="str">
        <f>IF(F131="CAPTURE",IF(COUNTIF(orders!$A:$A,O131)&gt;0,"Yes","NO ORDER"),"")</f>
        <v>Yes</v>
      </c>
    </row>
    <row r="132" spans="1:17" ht="15" customHeight="1" x14ac:dyDescent="0.3">
      <c r="A132" s="23" t="s">
        <v>12560</v>
      </c>
      <c r="B132" s="23"/>
      <c r="C132" s="23" t="s">
        <v>399</v>
      </c>
      <c r="D132" s="23" t="str">
        <f t="shared" si="6"/>
        <v>ORD26000055</v>
      </c>
      <c r="E132" s="38">
        <v>46267</v>
      </c>
      <c r="F132" s="23" t="s">
        <v>12410</v>
      </c>
      <c r="G132" s="23" t="s">
        <v>75</v>
      </c>
      <c r="H132" s="24">
        <v>2499</v>
      </c>
      <c r="I132" s="24">
        <v>7.5</v>
      </c>
      <c r="J132" s="24">
        <v>1.35</v>
      </c>
      <c r="K132" s="24">
        <v>2490.15</v>
      </c>
      <c r="L132" s="38">
        <v>46269</v>
      </c>
      <c r="M132" s="23" t="s">
        <v>184</v>
      </c>
      <c r="N132" s="23" t="str">
        <f>IF(COUNTIF($A$2:A132,A132)&gt;1,"DUP","OK")</f>
        <v>OK</v>
      </c>
      <c r="O132" s="23" t="str">
        <f t="shared" si="7"/>
        <v>ORD26000055</v>
      </c>
      <c r="P132" s="23" t="str">
        <f t="shared" si="8"/>
        <v>Sep</v>
      </c>
      <c r="Q132" s="23" t="str">
        <f>IF(F132="CAPTURE",IF(COUNTIF(orders!$A:$A,O132)&gt;0,"Yes","NO ORDER"),"")</f>
        <v>Yes</v>
      </c>
    </row>
    <row r="133" spans="1:17" ht="15" customHeight="1" x14ac:dyDescent="0.3">
      <c r="A133" s="23" t="s">
        <v>12561</v>
      </c>
      <c r="B133" s="23"/>
      <c r="C133" s="23" t="s">
        <v>419</v>
      </c>
      <c r="D133" s="23" t="str">
        <f t="shared" si="6"/>
        <v>ORD26000064</v>
      </c>
      <c r="E133" s="38">
        <v>46267</v>
      </c>
      <c r="F133" s="23" t="s">
        <v>12410</v>
      </c>
      <c r="G133" s="23" t="s">
        <v>79</v>
      </c>
      <c r="H133" s="24">
        <v>2499</v>
      </c>
      <c r="I133" s="24">
        <v>39.979999999999997</v>
      </c>
      <c r="J133" s="24">
        <v>7.2</v>
      </c>
      <c r="K133" s="24">
        <v>2451.8200000000002</v>
      </c>
      <c r="L133" s="38">
        <v>46269</v>
      </c>
      <c r="M133" s="23" t="s">
        <v>184</v>
      </c>
      <c r="N133" s="23" t="str">
        <f>IF(COUNTIF($A$2:A133,A133)&gt;1,"DUP","OK")</f>
        <v>OK</v>
      </c>
      <c r="O133" s="23" t="str">
        <f t="shared" si="7"/>
        <v>ORD26000064</v>
      </c>
      <c r="P133" s="23" t="str">
        <f t="shared" si="8"/>
        <v>Sep</v>
      </c>
      <c r="Q133" s="23" t="str">
        <f>IF(F133="CAPTURE",IF(COUNTIF(orders!$A:$A,O133)&gt;0,"Yes","NO ORDER"),"")</f>
        <v>Yes</v>
      </c>
    </row>
    <row r="134" spans="1:17" ht="15" customHeight="1" x14ac:dyDescent="0.3">
      <c r="A134" s="23" t="s">
        <v>12562</v>
      </c>
      <c r="B134" s="23"/>
      <c r="C134" s="23" t="s">
        <v>473</v>
      </c>
      <c r="D134" s="23" t="str">
        <f t="shared" si="6"/>
        <v>ORD26000086</v>
      </c>
      <c r="E134" s="38">
        <v>46267</v>
      </c>
      <c r="F134" s="23" t="s">
        <v>12410</v>
      </c>
      <c r="G134" s="23" t="s">
        <v>81</v>
      </c>
      <c r="H134" s="24">
        <v>799</v>
      </c>
      <c r="I134" s="24">
        <v>11.99</v>
      </c>
      <c r="J134" s="24">
        <v>2.16</v>
      </c>
      <c r="K134" s="24">
        <v>784.85</v>
      </c>
      <c r="L134" s="38">
        <v>46269</v>
      </c>
      <c r="M134" s="23" t="s">
        <v>184</v>
      </c>
      <c r="N134" s="23" t="str">
        <f>IF(COUNTIF($A$2:A134,A134)&gt;1,"DUP","OK")</f>
        <v>OK</v>
      </c>
      <c r="O134" s="23" t="str">
        <f t="shared" si="7"/>
        <v>ORD26000086</v>
      </c>
      <c r="P134" s="23" t="str">
        <f t="shared" si="8"/>
        <v>Sep</v>
      </c>
      <c r="Q134" s="23" t="str">
        <f>IF(F134="CAPTURE",IF(COUNTIF(orders!$A:$A,O134)&gt;0,"Yes","NO ORDER"),"")</f>
        <v>Yes</v>
      </c>
    </row>
    <row r="135" spans="1:17" ht="15" customHeight="1" x14ac:dyDescent="0.3">
      <c r="A135" s="23" t="s">
        <v>12563</v>
      </c>
      <c r="B135" s="23"/>
      <c r="C135" s="23" t="s">
        <v>12564</v>
      </c>
      <c r="D135" s="23" t="str">
        <f t="shared" si="6"/>
        <v>ORD26000091</v>
      </c>
      <c r="E135" s="38">
        <v>46267</v>
      </c>
      <c r="F135" s="23" t="s">
        <v>12410</v>
      </c>
      <c r="G135" s="23" t="s">
        <v>75</v>
      </c>
      <c r="H135" s="24">
        <v>1299</v>
      </c>
      <c r="I135" s="24">
        <v>0</v>
      </c>
      <c r="J135" s="24">
        <v>0</v>
      </c>
      <c r="K135" s="24">
        <v>1299</v>
      </c>
      <c r="L135" s="38">
        <v>46269</v>
      </c>
      <c r="M135" s="23" t="s">
        <v>184</v>
      </c>
      <c r="N135" s="23" t="str">
        <f>IF(COUNTIF($A$2:A135,A135)&gt;1,"DUP","OK")</f>
        <v>OK</v>
      </c>
      <c r="O135" s="23" t="str">
        <f t="shared" si="7"/>
        <v>ORD26000091</v>
      </c>
      <c r="P135" s="23" t="str">
        <f t="shared" si="8"/>
        <v>Sep</v>
      </c>
      <c r="Q135" s="23" t="str">
        <f>IF(F135="CAPTURE",IF(COUNTIF(orders!$A:$A,O135)&gt;0,"Yes","NO ORDER"),"")</f>
        <v>Yes</v>
      </c>
    </row>
    <row r="136" spans="1:17" ht="15" customHeight="1" x14ac:dyDescent="0.3">
      <c r="A136" s="23" t="s">
        <v>12565</v>
      </c>
      <c r="B136" s="23"/>
      <c r="C136" s="23" t="s">
        <v>541</v>
      </c>
      <c r="D136" s="23" t="str">
        <f t="shared" si="6"/>
        <v>ORD26000115</v>
      </c>
      <c r="E136" s="38">
        <v>46267</v>
      </c>
      <c r="F136" s="23" t="s">
        <v>12410</v>
      </c>
      <c r="G136" s="23" t="s">
        <v>77</v>
      </c>
      <c r="H136" s="24">
        <v>1799</v>
      </c>
      <c r="I136" s="24">
        <v>34.18</v>
      </c>
      <c r="J136" s="24">
        <v>6.15</v>
      </c>
      <c r="K136" s="24">
        <v>1758.67</v>
      </c>
      <c r="L136" s="38">
        <v>46269</v>
      </c>
      <c r="M136" s="23" t="s">
        <v>184</v>
      </c>
      <c r="N136" s="23" t="str">
        <f>IF(COUNTIF($A$2:A136,A136)&gt;1,"DUP","OK")</f>
        <v>OK</v>
      </c>
      <c r="O136" s="23" t="str">
        <f t="shared" si="7"/>
        <v>ORD26000115</v>
      </c>
      <c r="P136" s="23" t="str">
        <f t="shared" si="8"/>
        <v>Sep</v>
      </c>
      <c r="Q136" s="23" t="str">
        <f>IF(F136="CAPTURE",IF(COUNTIF(orders!$A:$A,O136)&gt;0,"Yes","NO ORDER"),"")</f>
        <v>Yes</v>
      </c>
    </row>
    <row r="137" spans="1:17" ht="15" customHeight="1" x14ac:dyDescent="0.3">
      <c r="A137" s="23" t="s">
        <v>12566</v>
      </c>
      <c r="B137" s="23"/>
      <c r="C137" s="23" t="s">
        <v>545</v>
      </c>
      <c r="D137" s="23" t="str">
        <f t="shared" si="6"/>
        <v>ORD26000117</v>
      </c>
      <c r="E137" s="38">
        <v>46267</v>
      </c>
      <c r="F137" s="23" t="s">
        <v>12410</v>
      </c>
      <c r="G137" s="23" t="s">
        <v>81</v>
      </c>
      <c r="H137" s="24">
        <v>7999</v>
      </c>
      <c r="I137" s="24">
        <v>95.99</v>
      </c>
      <c r="J137" s="24">
        <v>17.28</v>
      </c>
      <c r="K137" s="24">
        <v>7885.73</v>
      </c>
      <c r="L137" s="38">
        <v>46269</v>
      </c>
      <c r="M137" s="23" t="s">
        <v>184</v>
      </c>
      <c r="N137" s="23" t="str">
        <f>IF(COUNTIF($A$2:A137,A137)&gt;1,"DUP","OK")</f>
        <v>OK</v>
      </c>
      <c r="O137" s="23" t="str">
        <f t="shared" si="7"/>
        <v>ORD26000117</v>
      </c>
      <c r="P137" s="23" t="str">
        <f t="shared" si="8"/>
        <v>Sep</v>
      </c>
      <c r="Q137" s="23" t="str">
        <f>IF(F137="CAPTURE",IF(COUNTIF(orders!$A:$A,O137)&gt;0,"Yes","NO ORDER"),"")</f>
        <v>Yes</v>
      </c>
    </row>
    <row r="138" spans="1:17" ht="15" customHeight="1" x14ac:dyDescent="0.3">
      <c r="A138" s="23" t="s">
        <v>12567</v>
      </c>
      <c r="B138" s="23"/>
      <c r="C138" s="23" t="s">
        <v>568</v>
      </c>
      <c r="D138" s="23" t="str">
        <f t="shared" si="6"/>
        <v>ORD26000126</v>
      </c>
      <c r="E138" s="38">
        <v>46267</v>
      </c>
      <c r="F138" s="23" t="s">
        <v>12410</v>
      </c>
      <c r="G138" s="23" t="s">
        <v>79</v>
      </c>
      <c r="H138" s="24">
        <v>4999</v>
      </c>
      <c r="I138" s="24">
        <v>79.98</v>
      </c>
      <c r="J138" s="24">
        <v>14.4</v>
      </c>
      <c r="K138" s="24">
        <v>4904.62</v>
      </c>
      <c r="L138" s="38">
        <v>46269</v>
      </c>
      <c r="M138" s="23" t="s">
        <v>184</v>
      </c>
      <c r="N138" s="23" t="str">
        <f>IF(COUNTIF($A$2:A138,A138)&gt;1,"DUP","OK")</f>
        <v>OK</v>
      </c>
      <c r="O138" s="23" t="str">
        <f t="shared" si="7"/>
        <v>ORD26000126</v>
      </c>
      <c r="P138" s="23" t="str">
        <f t="shared" si="8"/>
        <v>Sep</v>
      </c>
      <c r="Q138" s="23" t="str">
        <f>IF(F138="CAPTURE",IF(COUNTIF(orders!$A:$A,O138)&gt;0,"Yes","NO ORDER"),"")</f>
        <v>Yes</v>
      </c>
    </row>
    <row r="139" spans="1:17" ht="15" customHeight="1" x14ac:dyDescent="0.3">
      <c r="A139" s="23" t="s">
        <v>12568</v>
      </c>
      <c r="B139" s="23"/>
      <c r="C139" s="23" t="s">
        <v>630</v>
      </c>
      <c r="D139" s="23" t="str">
        <f t="shared" si="6"/>
        <v>ORD26000152</v>
      </c>
      <c r="E139" s="38">
        <v>46267</v>
      </c>
      <c r="F139" s="23" t="s">
        <v>12410</v>
      </c>
      <c r="G139" s="23" t="s">
        <v>77</v>
      </c>
      <c r="H139" s="24">
        <v>948</v>
      </c>
      <c r="I139" s="24">
        <v>18.010000000000002</v>
      </c>
      <c r="J139" s="24">
        <v>3.24</v>
      </c>
      <c r="K139" s="24">
        <v>926.75</v>
      </c>
      <c r="L139" s="38">
        <v>46269</v>
      </c>
      <c r="M139" s="23" t="s">
        <v>184</v>
      </c>
      <c r="N139" s="23" t="str">
        <f>IF(COUNTIF($A$2:A139,A139)&gt;1,"DUP","OK")</f>
        <v>OK</v>
      </c>
      <c r="O139" s="23" t="str">
        <f t="shared" si="7"/>
        <v>ORD26000152</v>
      </c>
      <c r="P139" s="23" t="str">
        <f t="shared" si="8"/>
        <v>Sep</v>
      </c>
      <c r="Q139" s="23" t="str">
        <f>IF(F139="CAPTURE",IF(COUNTIF(orders!$A:$A,O139)&gt;0,"Yes","NO ORDER"),"")</f>
        <v>Yes</v>
      </c>
    </row>
    <row r="140" spans="1:17" ht="15" customHeight="1" x14ac:dyDescent="0.3">
      <c r="A140" s="23" t="s">
        <v>12569</v>
      </c>
      <c r="B140" s="23"/>
      <c r="C140" s="23" t="s">
        <v>708</v>
      </c>
      <c r="D140" s="23" t="str">
        <f t="shared" si="6"/>
        <v>ORD26000187</v>
      </c>
      <c r="E140" s="38">
        <v>46267</v>
      </c>
      <c r="F140" s="23" t="s">
        <v>12410</v>
      </c>
      <c r="G140" s="23" t="s">
        <v>75</v>
      </c>
      <c r="H140" s="24">
        <v>15997</v>
      </c>
      <c r="I140" s="24">
        <v>47.99</v>
      </c>
      <c r="J140" s="24">
        <v>8.64</v>
      </c>
      <c r="K140" s="24">
        <v>15940.37</v>
      </c>
      <c r="L140" s="38">
        <v>46269</v>
      </c>
      <c r="M140" s="23" t="s">
        <v>184</v>
      </c>
      <c r="N140" s="23" t="str">
        <f>IF(COUNTIF($A$2:A140,A140)&gt;1,"DUP","OK")</f>
        <v>OK</v>
      </c>
      <c r="O140" s="23" t="str">
        <f t="shared" si="7"/>
        <v>ORD26000187</v>
      </c>
      <c r="P140" s="23" t="str">
        <f t="shared" si="8"/>
        <v>Sep</v>
      </c>
      <c r="Q140" s="23" t="str">
        <f>IF(F140="CAPTURE",IF(COUNTIF(orders!$A:$A,O140)&gt;0,"Yes","NO ORDER"),"")</f>
        <v>Yes</v>
      </c>
    </row>
    <row r="141" spans="1:17" ht="15" customHeight="1" x14ac:dyDescent="0.3">
      <c r="A141" s="23" t="s">
        <v>12570</v>
      </c>
      <c r="B141" s="23"/>
      <c r="C141" s="23" t="s">
        <v>738</v>
      </c>
      <c r="D141" s="23" t="str">
        <f t="shared" si="6"/>
        <v>ORD26000200</v>
      </c>
      <c r="E141" s="38">
        <v>46267</v>
      </c>
      <c r="F141" s="23" t="s">
        <v>12410</v>
      </c>
      <c r="G141" s="23" t="s">
        <v>75</v>
      </c>
      <c r="H141" s="24">
        <v>10998</v>
      </c>
      <c r="I141" s="24">
        <v>32.99</v>
      </c>
      <c r="J141" s="24">
        <v>5.94</v>
      </c>
      <c r="K141" s="24">
        <v>10959.07</v>
      </c>
      <c r="L141" s="38">
        <v>46269</v>
      </c>
      <c r="M141" s="23" t="s">
        <v>184</v>
      </c>
      <c r="N141" s="23" t="str">
        <f>IF(COUNTIF($A$2:A141,A141)&gt;1,"DUP","OK")</f>
        <v>OK</v>
      </c>
      <c r="O141" s="23" t="str">
        <f t="shared" si="7"/>
        <v>ORD26000200</v>
      </c>
      <c r="P141" s="23" t="str">
        <f t="shared" si="8"/>
        <v>Sep</v>
      </c>
      <c r="Q141" s="23" t="str">
        <f>IF(F141="CAPTURE",IF(COUNTIF(orders!$A:$A,O141)&gt;0,"Yes","NO ORDER"),"")</f>
        <v>Yes</v>
      </c>
    </row>
    <row r="142" spans="1:17" ht="15" customHeight="1" x14ac:dyDescent="0.3">
      <c r="A142" s="23" t="s">
        <v>12571</v>
      </c>
      <c r="B142" s="23"/>
      <c r="C142" s="23" t="s">
        <v>851</v>
      </c>
      <c r="D142" s="23" t="str">
        <f t="shared" si="6"/>
        <v>ORD26000245</v>
      </c>
      <c r="E142" s="38">
        <v>46267</v>
      </c>
      <c r="F142" s="23" t="s">
        <v>12410</v>
      </c>
      <c r="G142" s="23" t="s">
        <v>81</v>
      </c>
      <c r="H142" s="24">
        <v>7999</v>
      </c>
      <c r="I142" s="24">
        <v>95.99</v>
      </c>
      <c r="J142" s="24">
        <v>17.28</v>
      </c>
      <c r="K142" s="24">
        <v>7885.73</v>
      </c>
      <c r="L142" s="38">
        <v>46269</v>
      </c>
      <c r="M142" s="23" t="s">
        <v>184</v>
      </c>
      <c r="N142" s="23" t="str">
        <f>IF(COUNTIF($A$2:A142,A142)&gt;1,"DUP","OK")</f>
        <v>OK</v>
      </c>
      <c r="O142" s="23" t="str">
        <f t="shared" si="7"/>
        <v>ORD26000245</v>
      </c>
      <c r="P142" s="23" t="str">
        <f t="shared" si="8"/>
        <v>Sep</v>
      </c>
      <c r="Q142" s="23" t="str">
        <f>IF(F142="CAPTURE",IF(COUNTIF(orders!$A:$A,O142)&gt;0,"Yes","NO ORDER"),"")</f>
        <v>Yes</v>
      </c>
    </row>
    <row r="143" spans="1:17" ht="15" customHeight="1" x14ac:dyDescent="0.3">
      <c r="A143" s="23" t="s">
        <v>12572</v>
      </c>
      <c r="B143" s="23"/>
      <c r="C143" s="23" t="s">
        <v>857</v>
      </c>
      <c r="D143" s="23" t="str">
        <f t="shared" si="6"/>
        <v>ORD26000248</v>
      </c>
      <c r="E143" s="38">
        <v>46267</v>
      </c>
      <c r="F143" s="23" t="s">
        <v>12410</v>
      </c>
      <c r="G143" s="23" t="s">
        <v>79</v>
      </c>
      <c r="H143" s="24">
        <v>1299</v>
      </c>
      <c r="I143" s="24">
        <v>23.38</v>
      </c>
      <c r="J143" s="24">
        <v>4.21</v>
      </c>
      <c r="K143" s="24">
        <v>1271.4100000000001</v>
      </c>
      <c r="L143" s="38">
        <v>46269</v>
      </c>
      <c r="M143" s="23" t="s">
        <v>184</v>
      </c>
      <c r="N143" s="23" t="str">
        <f>IF(COUNTIF($A$2:A143,A143)&gt;1,"DUP","OK")</f>
        <v>OK</v>
      </c>
      <c r="O143" s="23" t="str">
        <f t="shared" si="7"/>
        <v>ORD26000248</v>
      </c>
      <c r="P143" s="23" t="str">
        <f t="shared" si="8"/>
        <v>Sep</v>
      </c>
      <c r="Q143" s="23" t="str">
        <f>IF(F143="CAPTURE",IF(COUNTIF(orders!$A:$A,O143)&gt;0,"Yes","NO ORDER"),"")</f>
        <v>Yes</v>
      </c>
    </row>
    <row r="144" spans="1:17" ht="15" customHeight="1" x14ac:dyDescent="0.3">
      <c r="A144" s="23" t="s">
        <v>12573</v>
      </c>
      <c r="B144" s="23"/>
      <c r="C144" s="23" t="s">
        <v>985</v>
      </c>
      <c r="D144" s="23" t="str">
        <f t="shared" si="6"/>
        <v>ORD26000309</v>
      </c>
      <c r="E144" s="38">
        <v>46267</v>
      </c>
      <c r="F144" s="23" t="s">
        <v>12410</v>
      </c>
      <c r="G144" s="23" t="s">
        <v>79</v>
      </c>
      <c r="H144" s="24">
        <v>2298</v>
      </c>
      <c r="I144" s="24">
        <v>36.770000000000003</v>
      </c>
      <c r="J144" s="24">
        <v>6.62</v>
      </c>
      <c r="K144" s="24">
        <v>2254.61</v>
      </c>
      <c r="L144" s="38">
        <v>46269</v>
      </c>
      <c r="M144" s="23" t="s">
        <v>184</v>
      </c>
      <c r="N144" s="23" t="str">
        <f>IF(COUNTIF($A$2:A144,A144)&gt;1,"DUP","OK")</f>
        <v>OK</v>
      </c>
      <c r="O144" s="23" t="str">
        <f t="shared" si="7"/>
        <v>ORD26000309</v>
      </c>
      <c r="P144" s="23" t="str">
        <f t="shared" si="8"/>
        <v>Sep</v>
      </c>
      <c r="Q144" s="23" t="str">
        <f>IF(F144="CAPTURE",IF(COUNTIF(orders!$A:$A,O144)&gt;0,"Yes","NO ORDER"),"")</f>
        <v>Yes</v>
      </c>
    </row>
    <row r="145" spans="1:17" ht="15" customHeight="1" x14ac:dyDescent="0.3">
      <c r="A145" s="23" t="s">
        <v>12574</v>
      </c>
      <c r="B145" s="23"/>
      <c r="C145" s="23" t="s">
        <v>1247</v>
      </c>
      <c r="D145" s="23" t="str">
        <f t="shared" si="6"/>
        <v>ORD26000428</v>
      </c>
      <c r="E145" s="38">
        <v>46267</v>
      </c>
      <c r="F145" s="23" t="s">
        <v>12410</v>
      </c>
      <c r="G145" s="23" t="s">
        <v>75</v>
      </c>
      <c r="H145" s="24">
        <v>299</v>
      </c>
      <c r="I145" s="24">
        <v>0</v>
      </c>
      <c r="J145" s="24">
        <v>0</v>
      </c>
      <c r="K145" s="24">
        <v>299</v>
      </c>
      <c r="L145" s="38">
        <v>46269</v>
      </c>
      <c r="M145" s="23" t="s">
        <v>184</v>
      </c>
      <c r="N145" s="23" t="str">
        <f>IF(COUNTIF($A$2:A145,A145)&gt;1,"DUP","OK")</f>
        <v>OK</v>
      </c>
      <c r="O145" s="23" t="str">
        <f t="shared" si="7"/>
        <v>ORD26000428</v>
      </c>
      <c r="P145" s="23" t="str">
        <f t="shared" si="8"/>
        <v>Sep</v>
      </c>
      <c r="Q145" s="23" t="str">
        <f>IF(F145="CAPTURE",IF(COUNTIF(orders!$A:$A,O145)&gt;0,"Yes","NO ORDER"),"")</f>
        <v>Yes</v>
      </c>
    </row>
    <row r="146" spans="1:17" ht="15" customHeight="1" x14ac:dyDescent="0.3">
      <c r="A146" s="23" t="s">
        <v>12575</v>
      </c>
      <c r="B146" s="23"/>
      <c r="C146" s="23" t="s">
        <v>1293</v>
      </c>
      <c r="D146" s="23" t="str">
        <f t="shared" si="6"/>
        <v>ORD26000450</v>
      </c>
      <c r="E146" s="38">
        <v>46267</v>
      </c>
      <c r="F146" s="23" t="s">
        <v>12410</v>
      </c>
      <c r="G146" s="23" t="s">
        <v>79</v>
      </c>
      <c r="H146" s="24">
        <v>3798</v>
      </c>
      <c r="I146" s="24">
        <v>60.77</v>
      </c>
      <c r="J146" s="24">
        <v>10.94</v>
      </c>
      <c r="K146" s="24">
        <v>3726.29</v>
      </c>
      <c r="L146" s="38">
        <v>46269</v>
      </c>
      <c r="M146" s="23" t="s">
        <v>184</v>
      </c>
      <c r="N146" s="23" t="str">
        <f>IF(COUNTIF($A$2:A146,A146)&gt;1,"DUP","OK")</f>
        <v>OK</v>
      </c>
      <c r="O146" s="23" t="str">
        <f t="shared" si="7"/>
        <v>ORD26000450</v>
      </c>
      <c r="P146" s="23" t="str">
        <f t="shared" si="8"/>
        <v>Sep</v>
      </c>
      <c r="Q146" s="23" t="str">
        <f>IF(F146="CAPTURE",IF(COUNTIF(orders!$A:$A,O146)&gt;0,"Yes","NO ORDER"),"")</f>
        <v>Yes</v>
      </c>
    </row>
    <row r="147" spans="1:17" ht="15" customHeight="1" x14ac:dyDescent="0.3">
      <c r="A147" s="23" t="s">
        <v>12576</v>
      </c>
      <c r="B147" s="23"/>
      <c r="C147" s="23" t="s">
        <v>1368</v>
      </c>
      <c r="D147" s="23" t="str">
        <f t="shared" si="6"/>
        <v>ORD26000484</v>
      </c>
      <c r="E147" s="38">
        <v>46267</v>
      </c>
      <c r="F147" s="23" t="s">
        <v>12410</v>
      </c>
      <c r="G147" s="23" t="s">
        <v>75</v>
      </c>
      <c r="H147" s="24">
        <v>12797</v>
      </c>
      <c r="I147" s="24">
        <v>38.39</v>
      </c>
      <c r="J147" s="24">
        <v>6.91</v>
      </c>
      <c r="K147" s="24">
        <v>12751.7</v>
      </c>
      <c r="L147" s="38">
        <v>46269</v>
      </c>
      <c r="M147" s="23" t="s">
        <v>184</v>
      </c>
      <c r="N147" s="23" t="str">
        <f>IF(COUNTIF($A$2:A147,A147)&gt;1,"DUP","OK")</f>
        <v>OK</v>
      </c>
      <c r="O147" s="23" t="str">
        <f t="shared" si="7"/>
        <v>ORD26000484</v>
      </c>
      <c r="P147" s="23" t="str">
        <f t="shared" si="8"/>
        <v>Sep</v>
      </c>
      <c r="Q147" s="23" t="str">
        <f>IF(F147="CAPTURE",IF(COUNTIF(orders!$A:$A,O147)&gt;0,"Yes","NO ORDER"),"")</f>
        <v>Yes</v>
      </c>
    </row>
    <row r="148" spans="1:17" ht="15" customHeight="1" x14ac:dyDescent="0.3">
      <c r="A148" s="23" t="s">
        <v>12577</v>
      </c>
      <c r="B148" s="23"/>
      <c r="C148" s="23" t="s">
        <v>1404</v>
      </c>
      <c r="D148" s="23" t="str">
        <f t="shared" si="6"/>
        <v>ORD26000500</v>
      </c>
      <c r="E148" s="38">
        <v>46267</v>
      </c>
      <c r="F148" s="23" t="s">
        <v>12410</v>
      </c>
      <c r="G148" s="23" t="s">
        <v>75</v>
      </c>
      <c r="H148" s="24">
        <v>4298</v>
      </c>
      <c r="I148" s="24">
        <v>12.89</v>
      </c>
      <c r="J148" s="24">
        <v>2.3199999999999998</v>
      </c>
      <c r="K148" s="24">
        <v>4282.79</v>
      </c>
      <c r="L148" s="38">
        <v>46269</v>
      </c>
      <c r="M148" s="23" t="s">
        <v>184</v>
      </c>
      <c r="N148" s="23" t="str">
        <f>IF(COUNTIF($A$2:A148,A148)&gt;1,"DUP","OK")</f>
        <v>OK</v>
      </c>
      <c r="O148" s="23" t="str">
        <f t="shared" si="7"/>
        <v>ORD26000500</v>
      </c>
      <c r="P148" s="23" t="str">
        <f t="shared" si="8"/>
        <v>Sep</v>
      </c>
      <c r="Q148" s="23" t="str">
        <f>IF(F148="CAPTURE",IF(COUNTIF(orders!$A:$A,O148)&gt;0,"Yes","NO ORDER"),"")</f>
        <v>Yes</v>
      </c>
    </row>
    <row r="149" spans="1:17" ht="15" customHeight="1" x14ac:dyDescent="0.3">
      <c r="A149" s="23" t="s">
        <v>12578</v>
      </c>
      <c r="B149" s="23"/>
      <c r="C149" s="23" t="s">
        <v>1455</v>
      </c>
      <c r="D149" s="23" t="str">
        <f t="shared" si="6"/>
        <v>ORD26000522</v>
      </c>
      <c r="E149" s="38">
        <v>46267</v>
      </c>
      <c r="F149" s="23" t="s">
        <v>12410</v>
      </c>
      <c r="G149" s="23" t="s">
        <v>75</v>
      </c>
      <c r="H149" s="24">
        <v>599</v>
      </c>
      <c r="I149" s="24">
        <v>0</v>
      </c>
      <c r="J149" s="24">
        <v>0</v>
      </c>
      <c r="K149" s="24">
        <v>599</v>
      </c>
      <c r="L149" s="38">
        <v>46269</v>
      </c>
      <c r="M149" s="23" t="s">
        <v>184</v>
      </c>
      <c r="N149" s="23" t="str">
        <f>IF(COUNTIF($A$2:A149,A149)&gt;1,"DUP","OK")</f>
        <v>OK</v>
      </c>
      <c r="O149" s="23" t="str">
        <f t="shared" si="7"/>
        <v>ORD26000522</v>
      </c>
      <c r="P149" s="23" t="str">
        <f t="shared" si="8"/>
        <v>Sep</v>
      </c>
      <c r="Q149" s="23" t="str">
        <f>IF(F149="CAPTURE",IF(COUNTIF(orders!$A:$A,O149)&gt;0,"Yes","NO ORDER"),"")</f>
        <v>Yes</v>
      </c>
    </row>
    <row r="150" spans="1:17" ht="15" customHeight="1" x14ac:dyDescent="0.3">
      <c r="A150" s="23" t="s">
        <v>12579</v>
      </c>
      <c r="B150" s="23"/>
      <c r="C150" s="23" t="s">
        <v>1529</v>
      </c>
      <c r="D150" s="23" t="str">
        <f t="shared" si="6"/>
        <v>ORD26000556</v>
      </c>
      <c r="E150" s="38">
        <v>46267</v>
      </c>
      <c r="F150" s="23" t="s">
        <v>12410</v>
      </c>
      <c r="G150" s="23" t="s">
        <v>75</v>
      </c>
      <c r="H150" s="24">
        <v>3499</v>
      </c>
      <c r="I150" s="24">
        <v>10.5</v>
      </c>
      <c r="J150" s="24">
        <v>1.89</v>
      </c>
      <c r="K150" s="24">
        <v>3486.61</v>
      </c>
      <c r="L150" s="38">
        <v>46269</v>
      </c>
      <c r="M150" s="23" t="s">
        <v>184</v>
      </c>
      <c r="N150" s="23" t="str">
        <f>IF(COUNTIF($A$2:A150,A150)&gt;1,"DUP","OK")</f>
        <v>OK</v>
      </c>
      <c r="O150" s="23" t="str">
        <f t="shared" si="7"/>
        <v>ORD26000556</v>
      </c>
      <c r="P150" s="23" t="str">
        <f t="shared" si="8"/>
        <v>Sep</v>
      </c>
      <c r="Q150" s="23" t="str">
        <f>IF(F150="CAPTURE",IF(COUNTIF(orders!$A:$A,O150)&gt;0,"Yes","NO ORDER"),"")</f>
        <v>Yes</v>
      </c>
    </row>
    <row r="151" spans="1:17" ht="15" customHeight="1" x14ac:dyDescent="0.3">
      <c r="A151" s="23" t="s">
        <v>12580</v>
      </c>
      <c r="B151" s="23"/>
      <c r="C151" s="23" t="s">
        <v>1569</v>
      </c>
      <c r="D151" s="23" t="str">
        <f t="shared" si="6"/>
        <v>ORD26000575</v>
      </c>
      <c r="E151" s="38">
        <v>46267</v>
      </c>
      <c r="F151" s="23" t="s">
        <v>12410</v>
      </c>
      <c r="G151" s="23" t="s">
        <v>77</v>
      </c>
      <c r="H151" s="24">
        <v>7497</v>
      </c>
      <c r="I151" s="24">
        <v>127.45</v>
      </c>
      <c r="J151" s="24">
        <v>22.94</v>
      </c>
      <c r="K151" s="24">
        <v>7346.61</v>
      </c>
      <c r="L151" s="38">
        <v>46269</v>
      </c>
      <c r="M151" s="23" t="s">
        <v>184</v>
      </c>
      <c r="N151" s="23" t="str">
        <f>IF(COUNTIF($A$2:A151,A151)&gt;1,"DUP","OK")</f>
        <v>OK</v>
      </c>
      <c r="O151" s="23" t="str">
        <f t="shared" si="7"/>
        <v>ORD26000575</v>
      </c>
      <c r="P151" s="23" t="str">
        <f t="shared" si="8"/>
        <v>Sep</v>
      </c>
      <c r="Q151" s="23" t="str">
        <f>IF(F151="CAPTURE",IF(COUNTIF(orders!$A:$A,O151)&gt;0,"Yes","NO ORDER"),"")</f>
        <v>Yes</v>
      </c>
    </row>
    <row r="152" spans="1:17" ht="15" customHeight="1" x14ac:dyDescent="0.3">
      <c r="A152" s="23" t="s">
        <v>12581</v>
      </c>
      <c r="B152" s="23"/>
      <c r="C152" s="23" t="s">
        <v>12582</v>
      </c>
      <c r="D152" s="23" t="str">
        <f t="shared" si="6"/>
        <v>ORD26000607</v>
      </c>
      <c r="E152" s="38">
        <v>46267</v>
      </c>
      <c r="F152" s="23" t="s">
        <v>12410</v>
      </c>
      <c r="G152" s="23" t="s">
        <v>75</v>
      </c>
      <c r="H152" s="24">
        <v>799</v>
      </c>
      <c r="I152" s="24">
        <v>2.4</v>
      </c>
      <c r="J152" s="24">
        <v>0.43</v>
      </c>
      <c r="K152" s="24">
        <v>796.17</v>
      </c>
      <c r="L152" s="38">
        <v>46269</v>
      </c>
      <c r="M152" s="23" t="s">
        <v>184</v>
      </c>
      <c r="N152" s="23" t="str">
        <f>IF(COUNTIF($A$2:A152,A152)&gt;1,"DUP","OK")</f>
        <v>OK</v>
      </c>
      <c r="O152" s="23" t="str">
        <f t="shared" si="7"/>
        <v>ORD26000607</v>
      </c>
      <c r="P152" s="23" t="str">
        <f t="shared" si="8"/>
        <v>Sep</v>
      </c>
      <c r="Q152" s="23" t="str">
        <f>IF(F152="CAPTURE",IF(COUNTIF(orders!$A:$A,O152)&gt;0,"Yes","NO ORDER"),"")</f>
        <v>Yes</v>
      </c>
    </row>
    <row r="153" spans="1:17" ht="15" customHeight="1" x14ac:dyDescent="0.3">
      <c r="A153" s="23" t="s">
        <v>12583</v>
      </c>
      <c r="B153" s="23"/>
      <c r="C153" s="23" t="s">
        <v>1650</v>
      </c>
      <c r="D153" s="23" t="str">
        <f t="shared" si="6"/>
        <v>ORD26000611</v>
      </c>
      <c r="E153" s="38">
        <v>46267</v>
      </c>
      <c r="F153" s="23" t="s">
        <v>12410</v>
      </c>
      <c r="G153" s="23" t="s">
        <v>75</v>
      </c>
      <c r="H153" s="24">
        <v>10297</v>
      </c>
      <c r="I153" s="24">
        <v>30.89</v>
      </c>
      <c r="J153" s="24">
        <v>5.56</v>
      </c>
      <c r="K153" s="24">
        <v>10260.549999999999</v>
      </c>
      <c r="L153" s="38">
        <v>46269</v>
      </c>
      <c r="M153" s="23" t="s">
        <v>184</v>
      </c>
      <c r="N153" s="23" t="str">
        <f>IF(COUNTIF($A$2:A153,A153)&gt;1,"DUP","OK")</f>
        <v>OK</v>
      </c>
      <c r="O153" s="23" t="str">
        <f t="shared" si="7"/>
        <v>ORD26000611</v>
      </c>
      <c r="P153" s="23" t="str">
        <f t="shared" si="8"/>
        <v>Sep</v>
      </c>
      <c r="Q153" s="23" t="str">
        <f>IF(F153="CAPTURE",IF(COUNTIF(orders!$A:$A,O153)&gt;0,"Yes","NO ORDER"),"")</f>
        <v>Yes</v>
      </c>
    </row>
    <row r="154" spans="1:17" ht="15" customHeight="1" x14ac:dyDescent="0.3">
      <c r="A154" s="23" t="s">
        <v>12584</v>
      </c>
      <c r="B154" s="23"/>
      <c r="C154" s="23" t="s">
        <v>1708</v>
      </c>
      <c r="D154" s="23" t="str">
        <f t="shared" si="6"/>
        <v>ORD26000639</v>
      </c>
      <c r="E154" s="38">
        <v>46267</v>
      </c>
      <c r="F154" s="23" t="s">
        <v>12410</v>
      </c>
      <c r="G154" s="23" t="s">
        <v>79</v>
      </c>
      <c r="H154" s="24">
        <v>3499</v>
      </c>
      <c r="I154" s="24">
        <v>55.98</v>
      </c>
      <c r="J154" s="24">
        <v>10.08</v>
      </c>
      <c r="K154" s="24">
        <v>3432.94</v>
      </c>
      <c r="L154" s="38">
        <v>46269</v>
      </c>
      <c r="M154" s="23" t="s">
        <v>184</v>
      </c>
      <c r="N154" s="23" t="str">
        <f>IF(COUNTIF($A$2:A154,A154)&gt;1,"DUP","OK")</f>
        <v>OK</v>
      </c>
      <c r="O154" s="23" t="str">
        <f t="shared" si="7"/>
        <v>ORD26000639</v>
      </c>
      <c r="P154" s="23" t="str">
        <f t="shared" si="8"/>
        <v>Sep</v>
      </c>
      <c r="Q154" s="23" t="str">
        <f>IF(F154="CAPTURE",IF(COUNTIF(orders!$A:$A,O154)&gt;0,"Yes","NO ORDER"),"")</f>
        <v>Yes</v>
      </c>
    </row>
    <row r="155" spans="1:17" ht="15" customHeight="1" x14ac:dyDescent="0.3">
      <c r="A155" s="23" t="s">
        <v>12585</v>
      </c>
      <c r="B155" s="23"/>
      <c r="C155" s="23" t="s">
        <v>1733</v>
      </c>
      <c r="D155" s="23" t="str">
        <f t="shared" si="6"/>
        <v>ORD26000651</v>
      </c>
      <c r="E155" s="38">
        <v>46267</v>
      </c>
      <c r="F155" s="23" t="s">
        <v>12410</v>
      </c>
      <c r="G155" s="23" t="s">
        <v>81</v>
      </c>
      <c r="H155" s="24">
        <v>12998</v>
      </c>
      <c r="I155" s="24">
        <v>116.98</v>
      </c>
      <c r="J155" s="24">
        <v>21.06</v>
      </c>
      <c r="K155" s="24">
        <v>12859.96</v>
      </c>
      <c r="L155" s="38">
        <v>46269</v>
      </c>
      <c r="M155" s="23" t="s">
        <v>184</v>
      </c>
      <c r="N155" s="23" t="str">
        <f>IF(COUNTIF($A$2:A155,A155)&gt;1,"DUP","OK")</f>
        <v>OK</v>
      </c>
      <c r="O155" s="23" t="str">
        <f t="shared" si="7"/>
        <v>ORD26000651</v>
      </c>
      <c r="P155" s="23" t="str">
        <f t="shared" si="8"/>
        <v>Sep</v>
      </c>
      <c r="Q155" s="23" t="str">
        <f>IF(F155="CAPTURE",IF(COUNTIF(orders!$A:$A,O155)&gt;0,"Yes","NO ORDER"),"")</f>
        <v>Yes</v>
      </c>
    </row>
    <row r="156" spans="1:17" ht="15" customHeight="1" x14ac:dyDescent="0.3">
      <c r="A156" s="23" t="s">
        <v>12586</v>
      </c>
      <c r="B156" s="23"/>
      <c r="C156" s="23" t="s">
        <v>1736</v>
      </c>
      <c r="D156" s="23" t="str">
        <f t="shared" si="6"/>
        <v>ORD26000652</v>
      </c>
      <c r="E156" s="38">
        <v>46267</v>
      </c>
      <c r="F156" s="23" t="s">
        <v>12410</v>
      </c>
      <c r="G156" s="23" t="s">
        <v>75</v>
      </c>
      <c r="H156" s="24">
        <v>2999</v>
      </c>
      <c r="I156" s="24">
        <v>9</v>
      </c>
      <c r="J156" s="24">
        <v>1.62</v>
      </c>
      <c r="K156" s="24">
        <v>2988.38</v>
      </c>
      <c r="L156" s="38">
        <v>46269</v>
      </c>
      <c r="M156" s="23" t="s">
        <v>184</v>
      </c>
      <c r="N156" s="23" t="str">
        <f>IF(COUNTIF($A$2:A156,A156)&gt;1,"DUP","OK")</f>
        <v>OK</v>
      </c>
      <c r="O156" s="23" t="str">
        <f t="shared" si="7"/>
        <v>ORD26000652</v>
      </c>
      <c r="P156" s="23" t="str">
        <f t="shared" si="8"/>
        <v>Sep</v>
      </c>
      <c r="Q156" s="23" t="str">
        <f>IF(F156="CAPTURE",IF(COUNTIF(orders!$A:$A,O156)&gt;0,"Yes","NO ORDER"),"")</f>
        <v>Yes</v>
      </c>
    </row>
    <row r="157" spans="1:17" ht="15" customHeight="1" x14ac:dyDescent="0.3">
      <c r="A157" s="23" t="s">
        <v>12587</v>
      </c>
      <c r="B157" s="23"/>
      <c r="C157" s="23" t="s">
        <v>12588</v>
      </c>
      <c r="D157" s="23" t="str">
        <f t="shared" si="6"/>
        <v>ORD26000699</v>
      </c>
      <c r="E157" s="38">
        <v>46267</v>
      </c>
      <c r="F157" s="23" t="s">
        <v>12410</v>
      </c>
      <c r="G157" s="23" t="s">
        <v>75</v>
      </c>
      <c r="H157" s="24">
        <v>6798</v>
      </c>
      <c r="I157" s="24">
        <v>20.39</v>
      </c>
      <c r="J157" s="24">
        <v>3.67</v>
      </c>
      <c r="K157" s="24">
        <v>6773.94</v>
      </c>
      <c r="L157" s="38">
        <v>46269</v>
      </c>
      <c r="M157" s="23" t="s">
        <v>184</v>
      </c>
      <c r="N157" s="23" t="str">
        <f>IF(COUNTIF($A$2:A157,A157)&gt;1,"DUP","OK")</f>
        <v>OK</v>
      </c>
      <c r="O157" s="23" t="str">
        <f t="shared" si="7"/>
        <v>ORD26000699</v>
      </c>
      <c r="P157" s="23" t="str">
        <f t="shared" si="8"/>
        <v>Sep</v>
      </c>
      <c r="Q157" s="23" t="str">
        <f>IF(F157="CAPTURE",IF(COUNTIF(orders!$A:$A,O157)&gt;0,"Yes","NO ORDER"),"")</f>
        <v>Yes</v>
      </c>
    </row>
    <row r="158" spans="1:17" ht="15" customHeight="1" x14ac:dyDescent="0.3">
      <c r="A158" s="23" t="s">
        <v>12589</v>
      </c>
      <c r="B158" s="23"/>
      <c r="C158" s="23" t="s">
        <v>1904</v>
      </c>
      <c r="D158" s="23" t="str">
        <f t="shared" si="6"/>
        <v>ORD26000732</v>
      </c>
      <c r="E158" s="38">
        <v>46267</v>
      </c>
      <c r="F158" s="23" t="s">
        <v>12410</v>
      </c>
      <c r="G158" s="23" t="s">
        <v>77</v>
      </c>
      <c r="H158" s="24">
        <v>3498</v>
      </c>
      <c r="I158" s="24">
        <v>83.95</v>
      </c>
      <c r="J158" s="24">
        <v>15.11</v>
      </c>
      <c r="K158" s="24">
        <v>3398.94</v>
      </c>
      <c r="L158" s="38">
        <v>46269</v>
      </c>
      <c r="M158" s="23" t="s">
        <v>184</v>
      </c>
      <c r="N158" s="23" t="str">
        <f>IF(COUNTIF($A$2:A158,A158)&gt;1,"DUP","OK")</f>
        <v>OK</v>
      </c>
      <c r="O158" s="23" t="str">
        <f t="shared" si="7"/>
        <v>ORD26000732</v>
      </c>
      <c r="P158" s="23" t="str">
        <f t="shared" si="8"/>
        <v>Sep</v>
      </c>
      <c r="Q158" s="23" t="str">
        <f>IF(F158="CAPTURE",IF(COUNTIF(orders!$A:$A,O158)&gt;0,"Yes","NO ORDER"),"")</f>
        <v>Yes</v>
      </c>
    </row>
    <row r="159" spans="1:17" ht="15" customHeight="1" x14ac:dyDescent="0.3">
      <c r="A159" s="23" t="s">
        <v>12590</v>
      </c>
      <c r="B159" s="23"/>
      <c r="C159" s="23" t="s">
        <v>1957</v>
      </c>
      <c r="D159" s="23" t="str">
        <f t="shared" si="6"/>
        <v>ORD26000758</v>
      </c>
      <c r="E159" s="38">
        <v>46267</v>
      </c>
      <c r="F159" s="23" t="s">
        <v>12410</v>
      </c>
      <c r="G159" s="23" t="s">
        <v>75</v>
      </c>
      <c r="H159" s="24">
        <v>9997</v>
      </c>
      <c r="I159" s="24">
        <v>29.99</v>
      </c>
      <c r="J159" s="24">
        <v>5.4</v>
      </c>
      <c r="K159" s="24">
        <v>9961.61</v>
      </c>
      <c r="L159" s="38">
        <v>46269</v>
      </c>
      <c r="M159" s="23" t="s">
        <v>184</v>
      </c>
      <c r="N159" s="23" t="str">
        <f>IF(COUNTIF($A$2:A159,A159)&gt;1,"DUP","OK")</f>
        <v>OK</v>
      </c>
      <c r="O159" s="23" t="str">
        <f t="shared" si="7"/>
        <v>ORD26000758</v>
      </c>
      <c r="P159" s="23" t="str">
        <f t="shared" si="8"/>
        <v>Sep</v>
      </c>
      <c r="Q159" s="23" t="str">
        <f>IF(F159="CAPTURE",IF(COUNTIF(orders!$A:$A,O159)&gt;0,"Yes","NO ORDER"),"")</f>
        <v>Yes</v>
      </c>
    </row>
    <row r="160" spans="1:17" ht="15" customHeight="1" x14ac:dyDescent="0.3">
      <c r="A160" s="23" t="s">
        <v>12591</v>
      </c>
      <c r="B160" s="23"/>
      <c r="C160" s="23" t="s">
        <v>1969</v>
      </c>
      <c r="D160" s="23" t="str">
        <f t="shared" si="6"/>
        <v>ORD26000764</v>
      </c>
      <c r="E160" s="38">
        <v>46267</v>
      </c>
      <c r="F160" s="23" t="s">
        <v>12410</v>
      </c>
      <c r="G160" s="23" t="s">
        <v>79</v>
      </c>
      <c r="H160" s="24">
        <v>5798</v>
      </c>
      <c r="I160" s="24">
        <v>92.77</v>
      </c>
      <c r="J160" s="24">
        <v>16.7</v>
      </c>
      <c r="K160" s="24">
        <v>5688.53</v>
      </c>
      <c r="L160" s="38">
        <v>46269</v>
      </c>
      <c r="M160" s="23" t="s">
        <v>184</v>
      </c>
      <c r="N160" s="23" t="str">
        <f>IF(COUNTIF($A$2:A160,A160)&gt;1,"DUP","OK")</f>
        <v>OK</v>
      </c>
      <c r="O160" s="23" t="str">
        <f t="shared" si="7"/>
        <v>ORD26000764</v>
      </c>
      <c r="P160" s="23" t="str">
        <f t="shared" si="8"/>
        <v>Sep</v>
      </c>
      <c r="Q160" s="23" t="str">
        <f>IF(F160="CAPTURE",IF(COUNTIF(orders!$A:$A,O160)&gt;0,"Yes","NO ORDER"),"")</f>
        <v>Yes</v>
      </c>
    </row>
    <row r="161" spans="1:17" ht="15" customHeight="1" x14ac:dyDescent="0.3">
      <c r="A161" s="23" t="s">
        <v>12592</v>
      </c>
      <c r="B161" s="23"/>
      <c r="C161" s="23" t="s">
        <v>2031</v>
      </c>
      <c r="D161" s="23" t="str">
        <f t="shared" si="6"/>
        <v>ORD26000792</v>
      </c>
      <c r="E161" s="38">
        <v>46267</v>
      </c>
      <c r="F161" s="23" t="s">
        <v>12410</v>
      </c>
      <c r="G161" s="23" t="s">
        <v>75</v>
      </c>
      <c r="H161" s="24">
        <v>499</v>
      </c>
      <c r="I161" s="24">
        <v>0</v>
      </c>
      <c r="J161" s="24">
        <v>0</v>
      </c>
      <c r="K161" s="24">
        <v>499</v>
      </c>
      <c r="L161" s="38">
        <v>46269</v>
      </c>
      <c r="M161" s="23" t="s">
        <v>184</v>
      </c>
      <c r="N161" s="23" t="str">
        <f>IF(COUNTIF($A$2:A161,A161)&gt;1,"DUP","OK")</f>
        <v>OK</v>
      </c>
      <c r="O161" s="23" t="str">
        <f t="shared" si="7"/>
        <v>ORD26000792</v>
      </c>
      <c r="P161" s="23" t="str">
        <f t="shared" si="8"/>
        <v>Sep</v>
      </c>
      <c r="Q161" s="23" t="str">
        <f>IF(F161="CAPTURE",IF(COUNTIF(orders!$A:$A,O161)&gt;0,"Yes","NO ORDER"),"")</f>
        <v>Yes</v>
      </c>
    </row>
    <row r="162" spans="1:17" ht="15" customHeight="1" x14ac:dyDescent="0.3">
      <c r="A162" s="23" t="s">
        <v>12593</v>
      </c>
      <c r="B162" s="23"/>
      <c r="C162" s="23" t="s">
        <v>2077</v>
      </c>
      <c r="D162" s="23" t="str">
        <f t="shared" si="6"/>
        <v>ORD26000815</v>
      </c>
      <c r="E162" s="38">
        <v>46267</v>
      </c>
      <c r="F162" s="23" t="s">
        <v>12410</v>
      </c>
      <c r="G162" s="23" t="s">
        <v>75</v>
      </c>
      <c r="H162" s="24">
        <v>1799</v>
      </c>
      <c r="I162" s="24">
        <v>0</v>
      </c>
      <c r="J162" s="24">
        <v>0</v>
      </c>
      <c r="K162" s="24">
        <v>1799</v>
      </c>
      <c r="L162" s="38">
        <v>46269</v>
      </c>
      <c r="M162" s="23" t="s">
        <v>184</v>
      </c>
      <c r="N162" s="23" t="str">
        <f>IF(COUNTIF($A$2:A162,A162)&gt;1,"DUP","OK")</f>
        <v>OK</v>
      </c>
      <c r="O162" s="23" t="str">
        <f t="shared" si="7"/>
        <v>ORD26000815</v>
      </c>
      <c r="P162" s="23" t="str">
        <f t="shared" si="8"/>
        <v>Sep</v>
      </c>
      <c r="Q162" s="23" t="str">
        <f>IF(F162="CAPTURE",IF(COUNTIF(orders!$A:$A,O162)&gt;0,"Yes","NO ORDER"),"")</f>
        <v>Yes</v>
      </c>
    </row>
    <row r="163" spans="1:17" ht="15" customHeight="1" x14ac:dyDescent="0.3">
      <c r="A163" s="23" t="s">
        <v>12594</v>
      </c>
      <c r="B163" s="23"/>
      <c r="C163" s="23" t="s">
        <v>2079</v>
      </c>
      <c r="D163" s="23" t="str">
        <f t="shared" si="6"/>
        <v>ORD26000816</v>
      </c>
      <c r="E163" s="38">
        <v>46267</v>
      </c>
      <c r="F163" s="23" t="s">
        <v>12410</v>
      </c>
      <c r="G163" s="23" t="s">
        <v>79</v>
      </c>
      <c r="H163" s="24">
        <v>6297</v>
      </c>
      <c r="I163" s="24">
        <v>100.75</v>
      </c>
      <c r="J163" s="24">
        <v>18.14</v>
      </c>
      <c r="K163" s="24">
        <v>6178.11</v>
      </c>
      <c r="L163" s="38">
        <v>46269</v>
      </c>
      <c r="M163" s="23" t="s">
        <v>184</v>
      </c>
      <c r="N163" s="23" t="str">
        <f>IF(COUNTIF($A$2:A163,A163)&gt;1,"DUP","OK")</f>
        <v>OK</v>
      </c>
      <c r="O163" s="23" t="str">
        <f t="shared" si="7"/>
        <v>ORD26000816</v>
      </c>
      <c r="P163" s="23" t="str">
        <f t="shared" si="8"/>
        <v>Sep</v>
      </c>
      <c r="Q163" s="23" t="str">
        <f>IF(F163="CAPTURE",IF(COUNTIF(orders!$A:$A,O163)&gt;0,"Yes","NO ORDER"),"")</f>
        <v>Yes</v>
      </c>
    </row>
    <row r="164" spans="1:17" ht="15" customHeight="1" x14ac:dyDescent="0.3">
      <c r="A164" s="23" t="s">
        <v>12595</v>
      </c>
      <c r="B164" s="23"/>
      <c r="C164" s="23" t="s">
        <v>2215</v>
      </c>
      <c r="D164" s="23" t="str">
        <f t="shared" si="6"/>
        <v>ORD26000880</v>
      </c>
      <c r="E164" s="38">
        <v>46267</v>
      </c>
      <c r="F164" s="23" t="s">
        <v>12410</v>
      </c>
      <c r="G164" s="23" t="s">
        <v>75</v>
      </c>
      <c r="H164" s="24">
        <v>4897</v>
      </c>
      <c r="I164" s="24">
        <v>14.69</v>
      </c>
      <c r="J164" s="24">
        <v>2.64</v>
      </c>
      <c r="K164" s="24">
        <v>4879.67</v>
      </c>
      <c r="L164" s="38">
        <v>46269</v>
      </c>
      <c r="M164" s="23" t="s">
        <v>184</v>
      </c>
      <c r="N164" s="23" t="str">
        <f>IF(COUNTIF($A$2:A164,A164)&gt;1,"DUP","OK")</f>
        <v>OK</v>
      </c>
      <c r="O164" s="23" t="str">
        <f t="shared" si="7"/>
        <v>ORD26000880</v>
      </c>
      <c r="P164" s="23" t="str">
        <f t="shared" si="8"/>
        <v>Sep</v>
      </c>
      <c r="Q164" s="23" t="str">
        <f>IF(F164="CAPTURE",IF(COUNTIF(orders!$A:$A,O164)&gt;0,"Yes","NO ORDER"),"")</f>
        <v>Yes</v>
      </c>
    </row>
    <row r="165" spans="1:17" ht="15" customHeight="1" x14ac:dyDescent="0.3">
      <c r="A165" s="23" t="s">
        <v>12596</v>
      </c>
      <c r="B165" s="23"/>
      <c r="C165" s="23" t="s">
        <v>2259</v>
      </c>
      <c r="D165" s="23" t="str">
        <f t="shared" si="6"/>
        <v>ORD26000902</v>
      </c>
      <c r="E165" s="38">
        <v>46267</v>
      </c>
      <c r="F165" s="23" t="s">
        <v>12410</v>
      </c>
      <c r="G165" s="23" t="s">
        <v>79</v>
      </c>
      <c r="H165" s="24">
        <v>299</v>
      </c>
      <c r="I165" s="24">
        <v>5.38</v>
      </c>
      <c r="J165" s="24">
        <v>0.97</v>
      </c>
      <c r="K165" s="24">
        <v>292.64999999999998</v>
      </c>
      <c r="L165" s="38">
        <v>46269</v>
      </c>
      <c r="M165" s="23" t="s">
        <v>184</v>
      </c>
      <c r="N165" s="23" t="str">
        <f>IF(COUNTIF($A$2:A165,A165)&gt;1,"DUP","OK")</f>
        <v>OK</v>
      </c>
      <c r="O165" s="23" t="str">
        <f t="shared" si="7"/>
        <v>ORD26000902</v>
      </c>
      <c r="P165" s="23" t="str">
        <f t="shared" si="8"/>
        <v>Sep</v>
      </c>
      <c r="Q165" s="23" t="str">
        <f>IF(F165="CAPTURE",IF(COUNTIF(orders!$A:$A,O165)&gt;0,"Yes","NO ORDER"),"")</f>
        <v>Yes</v>
      </c>
    </row>
    <row r="166" spans="1:17" ht="15" customHeight="1" x14ac:dyDescent="0.3">
      <c r="A166" s="23" t="s">
        <v>12597</v>
      </c>
      <c r="B166" s="23"/>
      <c r="C166" s="23" t="s">
        <v>12598</v>
      </c>
      <c r="D166" s="23" t="str">
        <f t="shared" si="6"/>
        <v>ORD26000903</v>
      </c>
      <c r="E166" s="38">
        <v>46267</v>
      </c>
      <c r="F166" s="23" t="s">
        <v>12410</v>
      </c>
      <c r="G166" s="23" t="s">
        <v>79</v>
      </c>
      <c r="H166" s="24">
        <v>1299</v>
      </c>
      <c r="I166" s="24">
        <v>23.38</v>
      </c>
      <c r="J166" s="24">
        <v>4.21</v>
      </c>
      <c r="K166" s="24">
        <v>1271.4100000000001</v>
      </c>
      <c r="L166" s="38">
        <v>46269</v>
      </c>
      <c r="M166" s="23" t="s">
        <v>184</v>
      </c>
      <c r="N166" s="23" t="str">
        <f>IF(COUNTIF($A$2:A166,A166)&gt;1,"DUP","OK")</f>
        <v>OK</v>
      </c>
      <c r="O166" s="23" t="str">
        <f t="shared" si="7"/>
        <v>ORD26000903</v>
      </c>
      <c r="P166" s="23" t="str">
        <f t="shared" si="8"/>
        <v>Sep</v>
      </c>
      <c r="Q166" s="23" t="str">
        <f>IF(F166="CAPTURE",IF(COUNTIF(orders!$A:$A,O166)&gt;0,"Yes","NO ORDER"),"")</f>
        <v>Yes</v>
      </c>
    </row>
    <row r="167" spans="1:17" ht="15" customHeight="1" x14ac:dyDescent="0.3">
      <c r="A167" s="23" t="s">
        <v>12599</v>
      </c>
      <c r="B167" s="23"/>
      <c r="C167" s="23" t="s">
        <v>2400</v>
      </c>
      <c r="D167" s="23" t="str">
        <f t="shared" si="6"/>
        <v>ORD26000970</v>
      </c>
      <c r="E167" s="38">
        <v>46267</v>
      </c>
      <c r="F167" s="23" t="s">
        <v>12410</v>
      </c>
      <c r="G167" s="23" t="s">
        <v>79</v>
      </c>
      <c r="H167" s="24">
        <v>299</v>
      </c>
      <c r="I167" s="24">
        <v>5.38</v>
      </c>
      <c r="J167" s="24">
        <v>0.97</v>
      </c>
      <c r="K167" s="24">
        <v>292.64999999999998</v>
      </c>
      <c r="L167" s="38">
        <v>46269</v>
      </c>
      <c r="M167" s="23" t="s">
        <v>184</v>
      </c>
      <c r="N167" s="23" t="str">
        <f>IF(COUNTIF($A$2:A167,A167)&gt;1,"DUP","OK")</f>
        <v>OK</v>
      </c>
      <c r="O167" s="23" t="str">
        <f t="shared" si="7"/>
        <v>ORD26000970</v>
      </c>
      <c r="P167" s="23" t="str">
        <f t="shared" si="8"/>
        <v>Sep</v>
      </c>
      <c r="Q167" s="23" t="str">
        <f>IF(F167="CAPTURE",IF(COUNTIF(orders!$A:$A,O167)&gt;0,"Yes","NO ORDER"),"")</f>
        <v>Yes</v>
      </c>
    </row>
    <row r="168" spans="1:17" ht="15" customHeight="1" x14ac:dyDescent="0.3">
      <c r="A168" s="23" t="s">
        <v>12600</v>
      </c>
      <c r="B168" s="23"/>
      <c r="C168" s="23" t="s">
        <v>12601</v>
      </c>
      <c r="D168" s="23" t="str">
        <f t="shared" si="6"/>
        <v>ORD26000972</v>
      </c>
      <c r="E168" s="38">
        <v>46267</v>
      </c>
      <c r="F168" s="23" t="s">
        <v>12410</v>
      </c>
      <c r="G168" s="23" t="s">
        <v>79</v>
      </c>
      <c r="H168" s="24">
        <v>299</v>
      </c>
      <c r="I168" s="24">
        <v>5.38</v>
      </c>
      <c r="J168" s="24">
        <v>0.97</v>
      </c>
      <c r="K168" s="24">
        <v>292.64999999999998</v>
      </c>
      <c r="L168" s="38">
        <v>46269</v>
      </c>
      <c r="M168" s="23" t="s">
        <v>184</v>
      </c>
      <c r="N168" s="23" t="str">
        <f>IF(COUNTIF($A$2:A168,A168)&gt;1,"DUP","OK")</f>
        <v>OK</v>
      </c>
      <c r="O168" s="23" t="str">
        <f t="shared" si="7"/>
        <v>ORD26000972</v>
      </c>
      <c r="P168" s="23" t="str">
        <f t="shared" si="8"/>
        <v>Sep</v>
      </c>
      <c r="Q168" s="23" t="str">
        <f>IF(F168="CAPTURE",IF(COUNTIF(orders!$A:$A,O168)&gt;0,"Yes","NO ORDER"),"")</f>
        <v>Yes</v>
      </c>
    </row>
    <row r="169" spans="1:17" ht="15" customHeight="1" x14ac:dyDescent="0.3">
      <c r="A169" s="23" t="s">
        <v>12602</v>
      </c>
      <c r="B169" s="23"/>
      <c r="C169" s="23" t="s">
        <v>12603</v>
      </c>
      <c r="D169" s="23" t="str">
        <f t="shared" si="6"/>
        <v>ORD26001002</v>
      </c>
      <c r="E169" s="38">
        <v>46267</v>
      </c>
      <c r="F169" s="23" t="s">
        <v>12410</v>
      </c>
      <c r="G169" s="23" t="s">
        <v>75</v>
      </c>
      <c r="H169" s="24">
        <v>12797</v>
      </c>
      <c r="I169" s="24">
        <v>38.39</v>
      </c>
      <c r="J169" s="24">
        <v>6.91</v>
      </c>
      <c r="K169" s="24">
        <v>12751.7</v>
      </c>
      <c r="L169" s="38">
        <v>46269</v>
      </c>
      <c r="M169" s="23" t="s">
        <v>184</v>
      </c>
      <c r="N169" s="23" t="str">
        <f>IF(COUNTIF($A$2:A169,A169)&gt;1,"DUP","OK")</f>
        <v>OK</v>
      </c>
      <c r="O169" s="23" t="str">
        <f t="shared" si="7"/>
        <v>ORD26001002</v>
      </c>
      <c r="P169" s="23" t="str">
        <f t="shared" si="8"/>
        <v>Sep</v>
      </c>
      <c r="Q169" s="23" t="str">
        <f>IF(F169="CAPTURE",IF(COUNTIF(orders!$A:$A,O169)&gt;0,"Yes","NO ORDER"),"")</f>
        <v>Yes</v>
      </c>
    </row>
    <row r="170" spans="1:17" ht="15" customHeight="1" x14ac:dyDescent="0.3">
      <c r="A170" s="23" t="s">
        <v>12604</v>
      </c>
      <c r="B170" s="23"/>
      <c r="C170" s="23" t="s">
        <v>2480</v>
      </c>
      <c r="D170" s="23" t="str">
        <f t="shared" si="6"/>
        <v>ORD26001010</v>
      </c>
      <c r="E170" s="38">
        <v>46267</v>
      </c>
      <c r="F170" s="23" t="s">
        <v>12410</v>
      </c>
      <c r="G170" s="23" t="s">
        <v>79</v>
      </c>
      <c r="H170" s="24">
        <v>1299</v>
      </c>
      <c r="I170" s="24">
        <v>23.38</v>
      </c>
      <c r="J170" s="24">
        <v>4.21</v>
      </c>
      <c r="K170" s="24">
        <v>1271.4100000000001</v>
      </c>
      <c r="L170" s="38">
        <v>46269</v>
      </c>
      <c r="M170" s="23" t="s">
        <v>184</v>
      </c>
      <c r="N170" s="23" t="str">
        <f>IF(COUNTIF($A$2:A170,A170)&gt;1,"DUP","OK")</f>
        <v>OK</v>
      </c>
      <c r="O170" s="23" t="str">
        <f t="shared" si="7"/>
        <v>ORD26001010</v>
      </c>
      <c r="P170" s="23" t="str">
        <f t="shared" si="8"/>
        <v>Sep</v>
      </c>
      <c r="Q170" s="23" t="str">
        <f>IF(F170="CAPTURE",IF(COUNTIF(orders!$A:$A,O170)&gt;0,"Yes","NO ORDER"),"")</f>
        <v>Yes</v>
      </c>
    </row>
    <row r="171" spans="1:17" ht="15" customHeight="1" x14ac:dyDescent="0.3">
      <c r="A171" s="23" t="s">
        <v>12605</v>
      </c>
      <c r="B171" s="23"/>
      <c r="C171" s="23" t="s">
        <v>2775</v>
      </c>
      <c r="D171" s="23" t="str">
        <f t="shared" si="6"/>
        <v>ORD26001154</v>
      </c>
      <c r="E171" s="38">
        <v>46267</v>
      </c>
      <c r="F171" s="23" t="s">
        <v>12410</v>
      </c>
      <c r="G171" s="23" t="s">
        <v>81</v>
      </c>
      <c r="H171" s="24">
        <v>1499</v>
      </c>
      <c r="I171" s="24">
        <v>22.49</v>
      </c>
      <c r="J171" s="24">
        <v>4.05</v>
      </c>
      <c r="K171" s="24">
        <v>1472.46</v>
      </c>
      <c r="L171" s="38">
        <v>46269</v>
      </c>
      <c r="M171" s="23" t="s">
        <v>184</v>
      </c>
      <c r="N171" s="23" t="str">
        <f>IF(COUNTIF($A$2:A171,A171)&gt;1,"DUP","OK")</f>
        <v>OK</v>
      </c>
      <c r="O171" s="23" t="str">
        <f t="shared" si="7"/>
        <v>ORD26001154</v>
      </c>
      <c r="P171" s="23" t="str">
        <f t="shared" si="8"/>
        <v>Sep</v>
      </c>
      <c r="Q171" s="23" t="str">
        <f>IF(F171="CAPTURE",IF(COUNTIF(orders!$A:$A,O171)&gt;0,"Yes","NO ORDER"),"")</f>
        <v>Yes</v>
      </c>
    </row>
    <row r="172" spans="1:17" ht="15" customHeight="1" x14ac:dyDescent="0.3">
      <c r="A172" s="23" t="s">
        <v>12606</v>
      </c>
      <c r="B172" s="23"/>
      <c r="C172" s="23" t="s">
        <v>12607</v>
      </c>
      <c r="D172" s="23" t="str">
        <f t="shared" si="6"/>
        <v>ORD26001158</v>
      </c>
      <c r="E172" s="38">
        <v>46267</v>
      </c>
      <c r="F172" s="23" t="s">
        <v>12410</v>
      </c>
      <c r="G172" s="23" t="s">
        <v>75</v>
      </c>
      <c r="H172" s="24">
        <v>1298</v>
      </c>
      <c r="I172" s="24">
        <v>0</v>
      </c>
      <c r="J172" s="24">
        <v>0</v>
      </c>
      <c r="K172" s="24">
        <v>1298</v>
      </c>
      <c r="L172" s="38">
        <v>46269</v>
      </c>
      <c r="M172" s="23" t="s">
        <v>184</v>
      </c>
      <c r="N172" s="23" t="str">
        <f>IF(COUNTIF($A$2:A172,A172)&gt;1,"DUP","OK")</f>
        <v>OK</v>
      </c>
      <c r="O172" s="23" t="str">
        <f t="shared" si="7"/>
        <v>ORD26001158</v>
      </c>
      <c r="P172" s="23" t="str">
        <f t="shared" si="8"/>
        <v>Sep</v>
      </c>
      <c r="Q172" s="23" t="str">
        <f>IF(F172="CAPTURE",IF(COUNTIF(orders!$A:$A,O172)&gt;0,"Yes","NO ORDER"),"")</f>
        <v>Yes</v>
      </c>
    </row>
    <row r="173" spans="1:17" ht="15" customHeight="1" x14ac:dyDescent="0.3">
      <c r="A173" s="23" t="s">
        <v>12608</v>
      </c>
      <c r="B173" s="23"/>
      <c r="C173" s="23" t="s">
        <v>2805</v>
      </c>
      <c r="D173" s="23" t="str">
        <f t="shared" si="6"/>
        <v>ORD26001169</v>
      </c>
      <c r="E173" s="38">
        <v>46267</v>
      </c>
      <c r="F173" s="23" t="s">
        <v>12410</v>
      </c>
      <c r="G173" s="23" t="s">
        <v>75</v>
      </c>
      <c r="H173" s="24">
        <v>499</v>
      </c>
      <c r="I173" s="24">
        <v>0</v>
      </c>
      <c r="J173" s="24">
        <v>0</v>
      </c>
      <c r="K173" s="24">
        <v>499</v>
      </c>
      <c r="L173" s="38">
        <v>46269</v>
      </c>
      <c r="M173" s="23" t="s">
        <v>184</v>
      </c>
      <c r="N173" s="23" t="str">
        <f>IF(COUNTIF($A$2:A173,A173)&gt;1,"DUP","OK")</f>
        <v>OK</v>
      </c>
      <c r="O173" s="23" t="str">
        <f t="shared" si="7"/>
        <v>ORD26001169</v>
      </c>
      <c r="P173" s="23" t="str">
        <f t="shared" si="8"/>
        <v>Sep</v>
      </c>
      <c r="Q173" s="23" t="str">
        <f>IF(F173="CAPTURE",IF(COUNTIF(orders!$A:$A,O173)&gt;0,"Yes","NO ORDER"),"")</f>
        <v>Yes</v>
      </c>
    </row>
    <row r="174" spans="1:17" ht="15" customHeight="1" x14ac:dyDescent="0.3">
      <c r="A174" s="23" t="s">
        <v>12609</v>
      </c>
      <c r="B174" s="23"/>
      <c r="C174" s="23" t="s">
        <v>12610</v>
      </c>
      <c r="D174" s="23" t="str">
        <f t="shared" si="6"/>
        <v>ORD26001207</v>
      </c>
      <c r="E174" s="38">
        <v>46267</v>
      </c>
      <c r="F174" s="23" t="s">
        <v>12410</v>
      </c>
      <c r="G174" s="23" t="s">
        <v>81</v>
      </c>
      <c r="H174" s="24">
        <v>848</v>
      </c>
      <c r="I174" s="24">
        <v>12.72</v>
      </c>
      <c r="J174" s="24">
        <v>2.29</v>
      </c>
      <c r="K174" s="24">
        <v>832.99</v>
      </c>
      <c r="L174" s="38">
        <v>46269</v>
      </c>
      <c r="M174" s="23" t="s">
        <v>184</v>
      </c>
      <c r="N174" s="23" t="str">
        <f>IF(COUNTIF($A$2:A174,A174)&gt;1,"DUP","OK")</f>
        <v>OK</v>
      </c>
      <c r="O174" s="23" t="str">
        <f t="shared" si="7"/>
        <v>ORD26001207</v>
      </c>
      <c r="P174" s="23" t="str">
        <f t="shared" si="8"/>
        <v>Sep</v>
      </c>
      <c r="Q174" s="23" t="str">
        <f>IF(F174="CAPTURE",IF(COUNTIF(orders!$A:$A,O174)&gt;0,"Yes","NO ORDER"),"")</f>
        <v>Yes</v>
      </c>
    </row>
    <row r="175" spans="1:17" ht="15" customHeight="1" x14ac:dyDescent="0.3">
      <c r="A175" s="23" t="s">
        <v>12611</v>
      </c>
      <c r="B175" s="23"/>
      <c r="C175" s="23" t="s">
        <v>2905</v>
      </c>
      <c r="D175" s="23" t="str">
        <f t="shared" si="6"/>
        <v>ORD26001218</v>
      </c>
      <c r="E175" s="38">
        <v>46267</v>
      </c>
      <c r="F175" s="23" t="s">
        <v>12410</v>
      </c>
      <c r="G175" s="23" t="s">
        <v>75</v>
      </c>
      <c r="H175" s="24">
        <v>1799</v>
      </c>
      <c r="I175" s="24">
        <v>0</v>
      </c>
      <c r="J175" s="24">
        <v>0</v>
      </c>
      <c r="K175" s="24">
        <v>1799</v>
      </c>
      <c r="L175" s="38">
        <v>46269</v>
      </c>
      <c r="M175" s="23" t="s">
        <v>184</v>
      </c>
      <c r="N175" s="23" t="str">
        <f>IF(COUNTIF($A$2:A175,A175)&gt;1,"DUP","OK")</f>
        <v>OK</v>
      </c>
      <c r="O175" s="23" t="str">
        <f t="shared" si="7"/>
        <v>ORD26001218</v>
      </c>
      <c r="P175" s="23" t="str">
        <f t="shared" si="8"/>
        <v>Sep</v>
      </c>
      <c r="Q175" s="23" t="str">
        <f>IF(F175="CAPTURE",IF(COUNTIF(orders!$A:$A,O175)&gt;0,"Yes","NO ORDER"),"")</f>
        <v>Yes</v>
      </c>
    </row>
    <row r="176" spans="1:17" ht="15" customHeight="1" x14ac:dyDescent="0.3">
      <c r="A176" s="23" t="s">
        <v>12612</v>
      </c>
      <c r="B176" s="23"/>
      <c r="C176" s="23" t="s">
        <v>2992</v>
      </c>
      <c r="D176" s="23" t="str">
        <f t="shared" si="6"/>
        <v>ORD26001260</v>
      </c>
      <c r="E176" s="38">
        <v>46267</v>
      </c>
      <c r="F176" s="23" t="s">
        <v>12410</v>
      </c>
      <c r="G176" s="23" t="s">
        <v>81</v>
      </c>
      <c r="H176" s="24">
        <v>7999</v>
      </c>
      <c r="I176" s="24">
        <v>95.99</v>
      </c>
      <c r="J176" s="24">
        <v>17.28</v>
      </c>
      <c r="K176" s="24">
        <v>7885.73</v>
      </c>
      <c r="L176" s="38">
        <v>46269</v>
      </c>
      <c r="M176" s="23" t="s">
        <v>184</v>
      </c>
      <c r="N176" s="23" t="str">
        <f>IF(COUNTIF($A$2:A176,A176)&gt;1,"DUP","OK")</f>
        <v>OK</v>
      </c>
      <c r="O176" s="23" t="str">
        <f t="shared" si="7"/>
        <v>ORD26001260</v>
      </c>
      <c r="P176" s="23" t="str">
        <f t="shared" si="8"/>
        <v>Sep</v>
      </c>
      <c r="Q176" s="23" t="str">
        <f>IF(F176="CAPTURE",IF(COUNTIF(orders!$A:$A,O176)&gt;0,"Yes","NO ORDER"),"")</f>
        <v>Yes</v>
      </c>
    </row>
    <row r="177" spans="1:17" ht="15" customHeight="1" x14ac:dyDescent="0.3">
      <c r="A177" s="23" t="s">
        <v>12613</v>
      </c>
      <c r="B177" s="23"/>
      <c r="C177" s="23" t="s">
        <v>3022</v>
      </c>
      <c r="D177" s="23" t="str">
        <f t="shared" si="6"/>
        <v>ORD26001274</v>
      </c>
      <c r="E177" s="38">
        <v>46267</v>
      </c>
      <c r="F177" s="23" t="s">
        <v>12410</v>
      </c>
      <c r="G177" s="23" t="s">
        <v>75</v>
      </c>
      <c r="H177" s="24">
        <v>7999</v>
      </c>
      <c r="I177" s="24">
        <v>24</v>
      </c>
      <c r="J177" s="24">
        <v>4.32</v>
      </c>
      <c r="K177" s="24">
        <v>7970.68</v>
      </c>
      <c r="L177" s="38">
        <v>46269</v>
      </c>
      <c r="M177" s="23" t="s">
        <v>184</v>
      </c>
      <c r="N177" s="23" t="str">
        <f>IF(COUNTIF($A$2:A177,A177)&gt;1,"DUP","OK")</f>
        <v>OK</v>
      </c>
      <c r="O177" s="23" t="str">
        <f t="shared" si="7"/>
        <v>ORD26001274</v>
      </c>
      <c r="P177" s="23" t="str">
        <f t="shared" si="8"/>
        <v>Sep</v>
      </c>
      <c r="Q177" s="23" t="str">
        <f>IF(F177="CAPTURE",IF(COUNTIF(orders!$A:$A,O177)&gt;0,"Yes","NO ORDER"),"")</f>
        <v>Yes</v>
      </c>
    </row>
    <row r="178" spans="1:17" ht="15" customHeight="1" x14ac:dyDescent="0.3">
      <c r="A178" s="23" t="s">
        <v>12614</v>
      </c>
      <c r="B178" s="23"/>
      <c r="C178" s="23" t="s">
        <v>3052</v>
      </c>
      <c r="D178" s="23" t="str">
        <f t="shared" si="6"/>
        <v>ORD26001289</v>
      </c>
      <c r="E178" s="38">
        <v>46267</v>
      </c>
      <c r="F178" s="23" t="s">
        <v>12410</v>
      </c>
      <c r="G178" s="23" t="s">
        <v>75</v>
      </c>
      <c r="H178" s="24">
        <v>1098</v>
      </c>
      <c r="I178" s="24">
        <v>0</v>
      </c>
      <c r="J178" s="24">
        <v>0</v>
      </c>
      <c r="K178" s="24">
        <v>1098</v>
      </c>
      <c r="L178" s="38">
        <v>46269</v>
      </c>
      <c r="M178" s="23" t="s">
        <v>184</v>
      </c>
      <c r="N178" s="23" t="str">
        <f>IF(COUNTIF($A$2:A178,A178)&gt;1,"DUP","OK")</f>
        <v>OK</v>
      </c>
      <c r="O178" s="23" t="str">
        <f t="shared" si="7"/>
        <v>ORD26001289</v>
      </c>
      <c r="P178" s="23" t="str">
        <f t="shared" si="8"/>
        <v>Sep</v>
      </c>
      <c r="Q178" s="23" t="str">
        <f>IF(F178="CAPTURE",IF(COUNTIF(orders!$A:$A,O178)&gt;0,"Yes","NO ORDER"),"")</f>
        <v>Yes</v>
      </c>
    </row>
    <row r="179" spans="1:17" ht="15" customHeight="1" x14ac:dyDescent="0.3">
      <c r="A179" s="23" t="s">
        <v>12615</v>
      </c>
      <c r="B179" s="23"/>
      <c r="C179" s="23" t="s">
        <v>3089</v>
      </c>
      <c r="D179" s="23" t="str">
        <f t="shared" si="6"/>
        <v>ORD26001307</v>
      </c>
      <c r="E179" s="38">
        <v>46267</v>
      </c>
      <c r="F179" s="23" t="s">
        <v>12410</v>
      </c>
      <c r="G179" s="23" t="s">
        <v>75</v>
      </c>
      <c r="H179" s="24">
        <v>599</v>
      </c>
      <c r="I179" s="24">
        <v>0</v>
      </c>
      <c r="J179" s="24">
        <v>0</v>
      </c>
      <c r="K179" s="24">
        <v>599</v>
      </c>
      <c r="L179" s="38">
        <v>46269</v>
      </c>
      <c r="M179" s="23" t="s">
        <v>184</v>
      </c>
      <c r="N179" s="23" t="str">
        <f>IF(COUNTIF($A$2:A179,A179)&gt;1,"DUP","OK")</f>
        <v>OK</v>
      </c>
      <c r="O179" s="23" t="str">
        <f t="shared" si="7"/>
        <v>ORD26001307</v>
      </c>
      <c r="P179" s="23" t="str">
        <f t="shared" si="8"/>
        <v>Sep</v>
      </c>
      <c r="Q179" s="23" t="str">
        <f>IF(F179="CAPTURE",IF(COUNTIF(orders!$A:$A,O179)&gt;0,"Yes","NO ORDER"),"")</f>
        <v>Yes</v>
      </c>
    </row>
    <row r="180" spans="1:17" ht="15" customHeight="1" x14ac:dyDescent="0.3">
      <c r="A180" s="23" t="s">
        <v>12616</v>
      </c>
      <c r="B180" s="23"/>
      <c r="C180" s="23" t="s">
        <v>3130</v>
      </c>
      <c r="D180" s="23" t="str">
        <f t="shared" si="6"/>
        <v>ORD26001326</v>
      </c>
      <c r="E180" s="38">
        <v>46267</v>
      </c>
      <c r="F180" s="23" t="s">
        <v>12410</v>
      </c>
      <c r="G180" s="23" t="s">
        <v>75</v>
      </c>
      <c r="H180" s="24">
        <v>1598</v>
      </c>
      <c r="I180" s="24">
        <v>0</v>
      </c>
      <c r="J180" s="24">
        <v>0</v>
      </c>
      <c r="K180" s="24">
        <v>1598</v>
      </c>
      <c r="L180" s="38">
        <v>46269</v>
      </c>
      <c r="M180" s="23" t="s">
        <v>184</v>
      </c>
      <c r="N180" s="23" t="str">
        <f>IF(COUNTIF($A$2:A180,A180)&gt;1,"DUP","OK")</f>
        <v>OK</v>
      </c>
      <c r="O180" s="23" t="str">
        <f t="shared" si="7"/>
        <v>ORD26001326</v>
      </c>
      <c r="P180" s="23" t="str">
        <f t="shared" si="8"/>
        <v>Sep</v>
      </c>
      <c r="Q180" s="23" t="str">
        <f>IF(F180="CAPTURE",IF(COUNTIF(orders!$A:$A,O180)&gt;0,"Yes","NO ORDER"),"")</f>
        <v>Yes</v>
      </c>
    </row>
    <row r="181" spans="1:17" ht="15" customHeight="1" x14ac:dyDescent="0.3">
      <c r="A181" s="23" t="s">
        <v>12617</v>
      </c>
      <c r="B181" s="23"/>
      <c r="C181" s="23" t="s">
        <v>3190</v>
      </c>
      <c r="D181" s="23" t="str">
        <f t="shared" si="6"/>
        <v>ORD26001355</v>
      </c>
      <c r="E181" s="38">
        <v>46267</v>
      </c>
      <c r="F181" s="23" t="s">
        <v>12410</v>
      </c>
      <c r="G181" s="23" t="s">
        <v>77</v>
      </c>
      <c r="H181" s="24">
        <v>799</v>
      </c>
      <c r="I181" s="24">
        <v>15.18</v>
      </c>
      <c r="J181" s="24">
        <v>2.73</v>
      </c>
      <c r="K181" s="24">
        <v>781.09</v>
      </c>
      <c r="L181" s="38">
        <v>46269</v>
      </c>
      <c r="M181" s="23" t="s">
        <v>184</v>
      </c>
      <c r="N181" s="23" t="str">
        <f>IF(COUNTIF($A$2:A181,A181)&gt;1,"DUP","OK")</f>
        <v>OK</v>
      </c>
      <c r="O181" s="23" t="str">
        <f t="shared" si="7"/>
        <v>ORD26001355</v>
      </c>
      <c r="P181" s="23" t="str">
        <f t="shared" si="8"/>
        <v>Sep</v>
      </c>
      <c r="Q181" s="23" t="str">
        <f>IF(F181="CAPTURE",IF(COUNTIF(orders!$A:$A,O181)&gt;0,"Yes","NO ORDER"),"")</f>
        <v>Yes</v>
      </c>
    </row>
    <row r="182" spans="1:17" ht="15" customHeight="1" x14ac:dyDescent="0.3">
      <c r="A182" s="23" t="s">
        <v>12618</v>
      </c>
      <c r="B182" s="23"/>
      <c r="C182" s="23" t="s">
        <v>3206</v>
      </c>
      <c r="D182" s="23" t="str">
        <f t="shared" si="6"/>
        <v>ORD26001363</v>
      </c>
      <c r="E182" s="38">
        <v>46267</v>
      </c>
      <c r="F182" s="23" t="s">
        <v>12410</v>
      </c>
      <c r="G182" s="23" t="s">
        <v>79</v>
      </c>
      <c r="H182" s="24">
        <v>999</v>
      </c>
      <c r="I182" s="24">
        <v>17.98</v>
      </c>
      <c r="J182" s="24">
        <v>3.24</v>
      </c>
      <c r="K182" s="24">
        <v>977.78</v>
      </c>
      <c r="L182" s="38">
        <v>46269</v>
      </c>
      <c r="M182" s="23" t="s">
        <v>184</v>
      </c>
      <c r="N182" s="23" t="str">
        <f>IF(COUNTIF($A$2:A182,A182)&gt;1,"DUP","OK")</f>
        <v>OK</v>
      </c>
      <c r="O182" s="23" t="str">
        <f t="shared" si="7"/>
        <v>ORD26001363</v>
      </c>
      <c r="P182" s="23" t="str">
        <f t="shared" si="8"/>
        <v>Sep</v>
      </c>
      <c r="Q182" s="23" t="str">
        <f>IF(F182="CAPTURE",IF(COUNTIF(orders!$A:$A,O182)&gt;0,"Yes","NO ORDER"),"")</f>
        <v>Yes</v>
      </c>
    </row>
    <row r="183" spans="1:17" ht="15" customHeight="1" x14ac:dyDescent="0.3">
      <c r="A183" s="23" t="s">
        <v>12619</v>
      </c>
      <c r="B183" s="23"/>
      <c r="C183" s="23" t="s">
        <v>3286</v>
      </c>
      <c r="D183" s="23" t="str">
        <f t="shared" si="6"/>
        <v>ORD26001402</v>
      </c>
      <c r="E183" s="38">
        <v>46267</v>
      </c>
      <c r="F183" s="23" t="s">
        <v>12410</v>
      </c>
      <c r="G183" s="23" t="s">
        <v>75</v>
      </c>
      <c r="H183" s="24">
        <v>349</v>
      </c>
      <c r="I183" s="24">
        <v>0</v>
      </c>
      <c r="J183" s="24">
        <v>0</v>
      </c>
      <c r="K183" s="24">
        <v>349</v>
      </c>
      <c r="L183" s="38">
        <v>46269</v>
      </c>
      <c r="M183" s="23" t="s">
        <v>184</v>
      </c>
      <c r="N183" s="23" t="str">
        <f>IF(COUNTIF($A$2:A183,A183)&gt;1,"DUP","OK")</f>
        <v>OK</v>
      </c>
      <c r="O183" s="23" t="str">
        <f t="shared" si="7"/>
        <v>ORD26001402</v>
      </c>
      <c r="P183" s="23" t="str">
        <f t="shared" si="8"/>
        <v>Sep</v>
      </c>
      <c r="Q183" s="23" t="str">
        <f>IF(F183="CAPTURE",IF(COUNTIF(orders!$A:$A,O183)&gt;0,"Yes","NO ORDER"),"")</f>
        <v>Yes</v>
      </c>
    </row>
    <row r="184" spans="1:17" ht="15" customHeight="1" x14ac:dyDescent="0.3">
      <c r="A184" s="23" t="s">
        <v>12620</v>
      </c>
      <c r="B184" s="23"/>
      <c r="C184" s="23" t="s">
        <v>3320</v>
      </c>
      <c r="D184" s="23" t="str">
        <f t="shared" si="6"/>
        <v>ORD26001420</v>
      </c>
      <c r="E184" s="38">
        <v>46267</v>
      </c>
      <c r="F184" s="23" t="s">
        <v>12410</v>
      </c>
      <c r="G184" s="23" t="s">
        <v>75</v>
      </c>
      <c r="H184" s="24">
        <v>1499</v>
      </c>
      <c r="I184" s="24">
        <v>0</v>
      </c>
      <c r="J184" s="24">
        <v>0</v>
      </c>
      <c r="K184" s="24">
        <v>1499</v>
      </c>
      <c r="L184" s="38">
        <v>46269</v>
      </c>
      <c r="M184" s="23" t="s">
        <v>184</v>
      </c>
      <c r="N184" s="23" t="str">
        <f>IF(COUNTIF($A$2:A184,A184)&gt;1,"DUP","OK")</f>
        <v>OK</v>
      </c>
      <c r="O184" s="23" t="str">
        <f t="shared" si="7"/>
        <v>ORD26001420</v>
      </c>
      <c r="P184" s="23" t="str">
        <f t="shared" si="8"/>
        <v>Sep</v>
      </c>
      <c r="Q184" s="23" t="str">
        <f>IF(F184="CAPTURE",IF(COUNTIF(orders!$A:$A,O184)&gt;0,"Yes","NO ORDER"),"")</f>
        <v>Yes</v>
      </c>
    </row>
    <row r="185" spans="1:17" ht="15" customHeight="1" x14ac:dyDescent="0.3">
      <c r="A185" s="23" t="s">
        <v>12621</v>
      </c>
      <c r="B185" s="23"/>
      <c r="C185" s="23" t="s">
        <v>3341</v>
      </c>
      <c r="D185" s="23" t="str">
        <f t="shared" si="6"/>
        <v>ORD26001430</v>
      </c>
      <c r="E185" s="38">
        <v>46267</v>
      </c>
      <c r="F185" s="23" t="s">
        <v>12410</v>
      </c>
      <c r="G185" s="23" t="s">
        <v>77</v>
      </c>
      <c r="H185" s="24">
        <v>2398</v>
      </c>
      <c r="I185" s="24">
        <v>57.55</v>
      </c>
      <c r="J185" s="24">
        <v>10.36</v>
      </c>
      <c r="K185" s="24">
        <v>2330.09</v>
      </c>
      <c r="L185" s="38">
        <v>46269</v>
      </c>
      <c r="M185" s="23" t="s">
        <v>184</v>
      </c>
      <c r="N185" s="23" t="str">
        <f>IF(COUNTIF($A$2:A185,A185)&gt;1,"DUP","OK")</f>
        <v>OK</v>
      </c>
      <c r="O185" s="23" t="str">
        <f t="shared" si="7"/>
        <v>ORD26001430</v>
      </c>
      <c r="P185" s="23" t="str">
        <f t="shared" si="8"/>
        <v>Sep</v>
      </c>
      <c r="Q185" s="23" t="str">
        <f>IF(F185="CAPTURE",IF(COUNTIF(orders!$A:$A,O185)&gt;0,"Yes","NO ORDER"),"")</f>
        <v>Yes</v>
      </c>
    </row>
    <row r="186" spans="1:17" ht="15" customHeight="1" x14ac:dyDescent="0.3">
      <c r="A186" s="23" t="s">
        <v>12622</v>
      </c>
      <c r="B186" s="23"/>
      <c r="C186" s="23" t="s">
        <v>3452</v>
      </c>
      <c r="D186" s="23" t="str">
        <f t="shared" si="6"/>
        <v>ORD26001484</v>
      </c>
      <c r="E186" s="38">
        <v>46267</v>
      </c>
      <c r="F186" s="23" t="s">
        <v>12410</v>
      </c>
      <c r="G186" s="23" t="s">
        <v>77</v>
      </c>
      <c r="H186" s="24">
        <v>1998</v>
      </c>
      <c r="I186" s="24">
        <v>37.96</v>
      </c>
      <c r="J186" s="24">
        <v>6.83</v>
      </c>
      <c r="K186" s="24">
        <v>1953.21</v>
      </c>
      <c r="L186" s="38">
        <v>46269</v>
      </c>
      <c r="M186" s="23" t="s">
        <v>184</v>
      </c>
      <c r="N186" s="23" t="str">
        <f>IF(COUNTIF($A$2:A186,A186)&gt;1,"DUP","OK")</f>
        <v>OK</v>
      </c>
      <c r="O186" s="23" t="str">
        <f t="shared" si="7"/>
        <v>ORD26001484</v>
      </c>
      <c r="P186" s="23" t="str">
        <f t="shared" si="8"/>
        <v>Sep</v>
      </c>
      <c r="Q186" s="23" t="str">
        <f>IF(F186="CAPTURE",IF(COUNTIF(orders!$A:$A,O186)&gt;0,"Yes","NO ORDER"),"")</f>
        <v>Yes</v>
      </c>
    </row>
    <row r="187" spans="1:17" ht="15" customHeight="1" x14ac:dyDescent="0.3">
      <c r="A187" s="23" t="s">
        <v>12623</v>
      </c>
      <c r="B187" s="23"/>
      <c r="C187" s="23" t="s">
        <v>3571</v>
      </c>
      <c r="D187" s="23" t="str">
        <f t="shared" si="6"/>
        <v>ORD26001541</v>
      </c>
      <c r="E187" s="38">
        <v>46267</v>
      </c>
      <c r="F187" s="23" t="s">
        <v>12410</v>
      </c>
      <c r="G187" s="23" t="s">
        <v>79</v>
      </c>
      <c r="H187" s="24">
        <v>4999</v>
      </c>
      <c r="I187" s="24">
        <v>79.98</v>
      </c>
      <c r="J187" s="24">
        <v>14.4</v>
      </c>
      <c r="K187" s="24">
        <v>4904.62</v>
      </c>
      <c r="L187" s="38">
        <v>46269</v>
      </c>
      <c r="M187" s="23" t="s">
        <v>184</v>
      </c>
      <c r="N187" s="23" t="str">
        <f>IF(COUNTIF($A$2:A187,A187)&gt;1,"DUP","OK")</f>
        <v>OK</v>
      </c>
      <c r="O187" s="23" t="str">
        <f t="shared" si="7"/>
        <v>ORD26001541</v>
      </c>
      <c r="P187" s="23" t="str">
        <f t="shared" si="8"/>
        <v>Sep</v>
      </c>
      <c r="Q187" s="23" t="str">
        <f>IF(F187="CAPTURE",IF(COUNTIF(orders!$A:$A,O187)&gt;0,"Yes","NO ORDER"),"")</f>
        <v>Yes</v>
      </c>
    </row>
    <row r="188" spans="1:17" ht="15" customHeight="1" x14ac:dyDescent="0.3">
      <c r="A188" s="23" t="s">
        <v>12624</v>
      </c>
      <c r="B188" s="23"/>
      <c r="C188" s="23" t="s">
        <v>3621</v>
      </c>
      <c r="D188" s="23" t="str">
        <f t="shared" si="6"/>
        <v>ORD26001567</v>
      </c>
      <c r="E188" s="38">
        <v>46267</v>
      </c>
      <c r="F188" s="23" t="s">
        <v>12410</v>
      </c>
      <c r="G188" s="23" t="s">
        <v>75</v>
      </c>
      <c r="H188" s="24">
        <v>7797</v>
      </c>
      <c r="I188" s="24">
        <v>23.39</v>
      </c>
      <c r="J188" s="24">
        <v>4.21</v>
      </c>
      <c r="K188" s="24">
        <v>7769.4</v>
      </c>
      <c r="L188" s="38">
        <v>46269</v>
      </c>
      <c r="M188" s="23" t="s">
        <v>184</v>
      </c>
      <c r="N188" s="23" t="str">
        <f>IF(COUNTIF($A$2:A188,A188)&gt;1,"DUP","OK")</f>
        <v>OK</v>
      </c>
      <c r="O188" s="23" t="str">
        <f t="shared" si="7"/>
        <v>ORD26001567</v>
      </c>
      <c r="P188" s="23" t="str">
        <f t="shared" si="8"/>
        <v>Sep</v>
      </c>
      <c r="Q188" s="23" t="str">
        <f>IF(F188="CAPTURE",IF(COUNTIF(orders!$A:$A,O188)&gt;0,"Yes","NO ORDER"),"")</f>
        <v>Yes</v>
      </c>
    </row>
    <row r="189" spans="1:17" ht="15" customHeight="1" x14ac:dyDescent="0.3">
      <c r="A189" s="23" t="s">
        <v>12625</v>
      </c>
      <c r="B189" s="23"/>
      <c r="C189" s="23" t="s">
        <v>3795</v>
      </c>
      <c r="D189" s="23" t="str">
        <f t="shared" si="6"/>
        <v>ORD26001655</v>
      </c>
      <c r="E189" s="38">
        <v>46267</v>
      </c>
      <c r="F189" s="23" t="s">
        <v>12410</v>
      </c>
      <c r="G189" s="23" t="s">
        <v>75</v>
      </c>
      <c r="H189" s="24">
        <v>1798</v>
      </c>
      <c r="I189" s="24">
        <v>0</v>
      </c>
      <c r="J189" s="24">
        <v>0</v>
      </c>
      <c r="K189" s="24">
        <v>1798</v>
      </c>
      <c r="L189" s="38">
        <v>46269</v>
      </c>
      <c r="M189" s="23" t="s">
        <v>184</v>
      </c>
      <c r="N189" s="23" t="str">
        <f>IF(COUNTIF($A$2:A189,A189)&gt;1,"DUP","OK")</f>
        <v>OK</v>
      </c>
      <c r="O189" s="23" t="str">
        <f t="shared" si="7"/>
        <v>ORD26001655</v>
      </c>
      <c r="P189" s="23" t="str">
        <f t="shared" si="8"/>
        <v>Sep</v>
      </c>
      <c r="Q189" s="23" t="str">
        <f>IF(F189="CAPTURE",IF(COUNTIF(orders!$A:$A,O189)&gt;0,"Yes","NO ORDER"),"")</f>
        <v>Yes</v>
      </c>
    </row>
    <row r="190" spans="1:17" ht="15" customHeight="1" x14ac:dyDescent="0.3">
      <c r="A190" s="23" t="s">
        <v>12626</v>
      </c>
      <c r="B190" s="23"/>
      <c r="C190" s="23" t="s">
        <v>3952</v>
      </c>
      <c r="D190" s="23" t="str">
        <f t="shared" si="6"/>
        <v>ORD26001732</v>
      </c>
      <c r="E190" s="38">
        <v>46267</v>
      </c>
      <c r="F190" s="23" t="s">
        <v>12410</v>
      </c>
      <c r="G190" s="23" t="s">
        <v>79</v>
      </c>
      <c r="H190" s="24">
        <v>499</v>
      </c>
      <c r="I190" s="24">
        <v>8.98</v>
      </c>
      <c r="J190" s="24">
        <v>1.62</v>
      </c>
      <c r="K190" s="24">
        <v>488.4</v>
      </c>
      <c r="L190" s="38">
        <v>46269</v>
      </c>
      <c r="M190" s="23" t="s">
        <v>184</v>
      </c>
      <c r="N190" s="23" t="str">
        <f>IF(COUNTIF($A$2:A190,A190)&gt;1,"DUP","OK")</f>
        <v>OK</v>
      </c>
      <c r="O190" s="23" t="str">
        <f t="shared" si="7"/>
        <v>ORD26001732</v>
      </c>
      <c r="P190" s="23" t="str">
        <f t="shared" si="8"/>
        <v>Sep</v>
      </c>
      <c r="Q190" s="23" t="str">
        <f>IF(F190="CAPTURE",IF(COUNTIF(orders!$A:$A,O190)&gt;0,"Yes","NO ORDER"),"")</f>
        <v>Yes</v>
      </c>
    </row>
    <row r="191" spans="1:17" ht="15" customHeight="1" x14ac:dyDescent="0.3">
      <c r="A191" s="23" t="s">
        <v>12627</v>
      </c>
      <c r="B191" s="23"/>
      <c r="C191" s="23" t="s">
        <v>3970</v>
      </c>
      <c r="D191" s="23" t="str">
        <f t="shared" si="6"/>
        <v>ORD26001741</v>
      </c>
      <c r="E191" s="38">
        <v>46267</v>
      </c>
      <c r="F191" s="23" t="s">
        <v>12410</v>
      </c>
      <c r="G191" s="23" t="s">
        <v>79</v>
      </c>
      <c r="H191" s="24">
        <v>1148</v>
      </c>
      <c r="I191" s="24">
        <v>20.66</v>
      </c>
      <c r="J191" s="24">
        <v>3.72</v>
      </c>
      <c r="K191" s="24">
        <v>1123.6199999999999</v>
      </c>
      <c r="L191" s="38">
        <v>46269</v>
      </c>
      <c r="M191" s="23" t="s">
        <v>184</v>
      </c>
      <c r="N191" s="23" t="str">
        <f>IF(COUNTIF($A$2:A191,A191)&gt;1,"DUP","OK")</f>
        <v>OK</v>
      </c>
      <c r="O191" s="23" t="str">
        <f t="shared" si="7"/>
        <v>ORD26001741</v>
      </c>
      <c r="P191" s="23" t="str">
        <f t="shared" si="8"/>
        <v>Sep</v>
      </c>
      <c r="Q191" s="23" t="str">
        <f>IF(F191="CAPTURE",IF(COUNTIF(orders!$A:$A,O191)&gt;0,"Yes","NO ORDER"),"")</f>
        <v>Yes</v>
      </c>
    </row>
    <row r="192" spans="1:17" ht="15" customHeight="1" x14ac:dyDescent="0.3">
      <c r="A192" s="23" t="s">
        <v>12628</v>
      </c>
      <c r="B192" s="23"/>
      <c r="C192" s="23" t="s">
        <v>12629</v>
      </c>
      <c r="D192" s="23" t="str">
        <f t="shared" si="6"/>
        <v>ORD26001799</v>
      </c>
      <c r="E192" s="38">
        <v>46267</v>
      </c>
      <c r="F192" s="23" t="s">
        <v>12410</v>
      </c>
      <c r="G192" s="23" t="s">
        <v>79</v>
      </c>
      <c r="H192" s="24">
        <v>5297</v>
      </c>
      <c r="I192" s="24">
        <v>84.75</v>
      </c>
      <c r="J192" s="24">
        <v>15.26</v>
      </c>
      <c r="K192" s="24">
        <v>5196.99</v>
      </c>
      <c r="L192" s="38">
        <v>46269</v>
      </c>
      <c r="M192" s="23" t="s">
        <v>184</v>
      </c>
      <c r="N192" s="23" t="str">
        <f>IF(COUNTIF($A$2:A192,A192)&gt;1,"DUP","OK")</f>
        <v>OK</v>
      </c>
      <c r="O192" s="23" t="str">
        <f t="shared" si="7"/>
        <v>ORD26001799</v>
      </c>
      <c r="P192" s="23" t="str">
        <f t="shared" si="8"/>
        <v>Sep</v>
      </c>
      <c r="Q192" s="23" t="str">
        <f>IF(F192="CAPTURE",IF(COUNTIF(orders!$A:$A,O192)&gt;0,"Yes","NO ORDER"),"")</f>
        <v>Yes</v>
      </c>
    </row>
    <row r="193" spans="1:17" ht="15" customHeight="1" x14ac:dyDescent="0.3">
      <c r="A193" s="23" t="s">
        <v>12630</v>
      </c>
      <c r="B193" s="23"/>
      <c r="C193" s="23" t="s">
        <v>12631</v>
      </c>
      <c r="D193" s="23" t="str">
        <f t="shared" si="6"/>
        <v>ORD26001842</v>
      </c>
      <c r="E193" s="38">
        <v>46267</v>
      </c>
      <c r="F193" s="23" t="s">
        <v>12410</v>
      </c>
      <c r="G193" s="23" t="s">
        <v>75</v>
      </c>
      <c r="H193" s="24">
        <v>5998</v>
      </c>
      <c r="I193" s="24">
        <v>17.989999999999998</v>
      </c>
      <c r="J193" s="24">
        <v>3.24</v>
      </c>
      <c r="K193" s="24">
        <v>5976.77</v>
      </c>
      <c r="L193" s="38">
        <v>46269</v>
      </c>
      <c r="M193" s="23" t="s">
        <v>184</v>
      </c>
      <c r="N193" s="23" t="str">
        <f>IF(COUNTIF($A$2:A193,A193)&gt;1,"DUP","OK")</f>
        <v>OK</v>
      </c>
      <c r="O193" s="23" t="str">
        <f t="shared" si="7"/>
        <v>ORD26001842</v>
      </c>
      <c r="P193" s="23" t="str">
        <f t="shared" si="8"/>
        <v>Sep</v>
      </c>
      <c r="Q193" s="23" t="str">
        <f>IF(F193="CAPTURE",IF(COUNTIF(orders!$A:$A,O193)&gt;0,"Yes","NO ORDER"),"")</f>
        <v>Yes</v>
      </c>
    </row>
    <row r="194" spans="1:17" ht="15" customHeight="1" x14ac:dyDescent="0.3">
      <c r="A194" s="23" t="s">
        <v>12632</v>
      </c>
      <c r="B194" s="23"/>
      <c r="C194" s="23" t="s">
        <v>4311</v>
      </c>
      <c r="D194" s="23" t="str">
        <f t="shared" ref="D194:D257" si="9">UPPER(SUBSTITUTE(TRIM(C194),"-",""))</f>
        <v>ORD26001911</v>
      </c>
      <c r="E194" s="38">
        <v>46267</v>
      </c>
      <c r="F194" s="23" t="s">
        <v>12410</v>
      </c>
      <c r="G194" s="23" t="s">
        <v>75</v>
      </c>
      <c r="H194" s="24">
        <v>1798</v>
      </c>
      <c r="I194" s="24">
        <v>0</v>
      </c>
      <c r="J194" s="24">
        <v>0</v>
      </c>
      <c r="K194" s="24">
        <v>1798</v>
      </c>
      <c r="L194" s="38">
        <v>46269</v>
      </c>
      <c r="M194" s="23" t="s">
        <v>184</v>
      </c>
      <c r="N194" s="23" t="str">
        <f>IF(COUNTIF($A$2:A194,A194)&gt;1,"DUP","OK")</f>
        <v>OK</v>
      </c>
      <c r="O194" s="23" t="str">
        <f t="shared" ref="O194:O257" si="10">IF(F194="REFUND",INDEX($D:$D,MATCH(B194,$A:$A,0)),D194)</f>
        <v>ORD26001911</v>
      </c>
      <c r="P194" s="23" t="str">
        <f t="shared" ref="P194:P257" si="11">IF(L194&gt;DATE(2026,9,30),"Oct-Due","Sep")</f>
        <v>Sep</v>
      </c>
      <c r="Q194" s="23" t="str">
        <f>IF(F194="CAPTURE",IF(COUNTIF(orders!$A:$A,O194)&gt;0,"Yes","NO ORDER"),"")</f>
        <v>Yes</v>
      </c>
    </row>
    <row r="195" spans="1:17" ht="15" customHeight="1" x14ac:dyDescent="0.3">
      <c r="A195" s="23" t="s">
        <v>12633</v>
      </c>
      <c r="B195" s="23"/>
      <c r="C195" s="23" t="s">
        <v>4533</v>
      </c>
      <c r="D195" s="23" t="str">
        <f t="shared" si="9"/>
        <v>ORD26002022</v>
      </c>
      <c r="E195" s="38">
        <v>46267</v>
      </c>
      <c r="F195" s="23" t="s">
        <v>12410</v>
      </c>
      <c r="G195" s="23" t="s">
        <v>77</v>
      </c>
      <c r="H195" s="24">
        <v>3998</v>
      </c>
      <c r="I195" s="24">
        <v>67.97</v>
      </c>
      <c r="J195" s="24">
        <v>12.23</v>
      </c>
      <c r="K195" s="24">
        <v>3917.8</v>
      </c>
      <c r="L195" s="38">
        <v>46269</v>
      </c>
      <c r="M195" s="23" t="s">
        <v>184</v>
      </c>
      <c r="N195" s="23" t="str">
        <f>IF(COUNTIF($A$2:A195,A195)&gt;1,"DUP","OK")</f>
        <v>OK</v>
      </c>
      <c r="O195" s="23" t="str">
        <f t="shared" si="10"/>
        <v>ORD26002022</v>
      </c>
      <c r="P195" s="23" t="str">
        <f t="shared" si="11"/>
        <v>Sep</v>
      </c>
      <c r="Q195" s="23" t="str">
        <f>IF(F195="CAPTURE",IF(COUNTIF(orders!$A:$A,O195)&gt;0,"Yes","NO ORDER"),"")</f>
        <v>Yes</v>
      </c>
    </row>
    <row r="196" spans="1:17" ht="15" customHeight="1" x14ac:dyDescent="0.3">
      <c r="A196" s="23" t="s">
        <v>12634</v>
      </c>
      <c r="B196" s="23"/>
      <c r="C196" s="23" t="s">
        <v>4545</v>
      </c>
      <c r="D196" s="23" t="str">
        <f t="shared" si="9"/>
        <v>ORD26002028</v>
      </c>
      <c r="E196" s="38">
        <v>46267</v>
      </c>
      <c r="F196" s="23" t="s">
        <v>12410</v>
      </c>
      <c r="G196" s="23" t="s">
        <v>77</v>
      </c>
      <c r="H196" s="24">
        <v>3597</v>
      </c>
      <c r="I196" s="24">
        <v>61.15</v>
      </c>
      <c r="J196" s="24">
        <v>11.01</v>
      </c>
      <c r="K196" s="24">
        <v>3524.84</v>
      </c>
      <c r="L196" s="38">
        <v>46269</v>
      </c>
      <c r="M196" s="23" t="s">
        <v>184</v>
      </c>
      <c r="N196" s="23" t="str">
        <f>IF(COUNTIF($A$2:A196,A196)&gt;1,"DUP","OK")</f>
        <v>OK</v>
      </c>
      <c r="O196" s="23" t="str">
        <f t="shared" si="10"/>
        <v>ORD26002028</v>
      </c>
      <c r="P196" s="23" t="str">
        <f t="shared" si="11"/>
        <v>Sep</v>
      </c>
      <c r="Q196" s="23" t="str">
        <f>IF(F196="CAPTURE",IF(COUNTIF(orders!$A:$A,O196)&gt;0,"Yes","NO ORDER"),"")</f>
        <v>Yes</v>
      </c>
    </row>
    <row r="197" spans="1:17" ht="15" customHeight="1" x14ac:dyDescent="0.3">
      <c r="A197" s="23" t="s">
        <v>12635</v>
      </c>
      <c r="B197" s="23"/>
      <c r="C197" s="23" t="s">
        <v>4591</v>
      </c>
      <c r="D197" s="23" t="str">
        <f t="shared" si="9"/>
        <v>ORD26002050</v>
      </c>
      <c r="E197" s="38">
        <v>46267</v>
      </c>
      <c r="F197" s="23" t="s">
        <v>12410</v>
      </c>
      <c r="G197" s="23" t="s">
        <v>79</v>
      </c>
      <c r="H197" s="24">
        <v>2798</v>
      </c>
      <c r="I197" s="24">
        <v>44.77</v>
      </c>
      <c r="J197" s="24">
        <v>8.06</v>
      </c>
      <c r="K197" s="24">
        <v>2745.17</v>
      </c>
      <c r="L197" s="38">
        <v>46269</v>
      </c>
      <c r="M197" s="23" t="s">
        <v>184</v>
      </c>
      <c r="N197" s="23" t="str">
        <f>IF(COUNTIF($A$2:A197,A197)&gt;1,"DUP","OK")</f>
        <v>OK</v>
      </c>
      <c r="O197" s="23" t="str">
        <f t="shared" si="10"/>
        <v>ORD26002050</v>
      </c>
      <c r="P197" s="23" t="str">
        <f t="shared" si="11"/>
        <v>Sep</v>
      </c>
      <c r="Q197" s="23" t="str">
        <f>IF(F197="CAPTURE",IF(COUNTIF(orders!$A:$A,O197)&gt;0,"Yes","NO ORDER"),"")</f>
        <v>Yes</v>
      </c>
    </row>
    <row r="198" spans="1:17" ht="15" customHeight="1" x14ac:dyDescent="0.3">
      <c r="A198" s="23" t="s">
        <v>12636</v>
      </c>
      <c r="B198" s="23"/>
      <c r="C198" s="23" t="s">
        <v>4609</v>
      </c>
      <c r="D198" s="23" t="str">
        <f t="shared" si="9"/>
        <v>ORD26002059</v>
      </c>
      <c r="E198" s="38">
        <v>46267</v>
      </c>
      <c r="F198" s="23" t="s">
        <v>12410</v>
      </c>
      <c r="G198" s="23" t="s">
        <v>79</v>
      </c>
      <c r="H198" s="24">
        <v>5598</v>
      </c>
      <c r="I198" s="24">
        <v>89.57</v>
      </c>
      <c r="J198" s="24">
        <v>16.12</v>
      </c>
      <c r="K198" s="24">
        <v>5492.31</v>
      </c>
      <c r="L198" s="38">
        <v>46269</v>
      </c>
      <c r="M198" s="23" t="s">
        <v>184</v>
      </c>
      <c r="N198" s="23" t="str">
        <f>IF(COUNTIF($A$2:A198,A198)&gt;1,"DUP","OK")</f>
        <v>OK</v>
      </c>
      <c r="O198" s="23" t="str">
        <f t="shared" si="10"/>
        <v>ORD26002059</v>
      </c>
      <c r="P198" s="23" t="str">
        <f t="shared" si="11"/>
        <v>Sep</v>
      </c>
      <c r="Q198" s="23" t="str">
        <f>IF(F198="CAPTURE",IF(COUNTIF(orders!$A:$A,O198)&gt;0,"Yes","NO ORDER"),"")</f>
        <v>Yes</v>
      </c>
    </row>
    <row r="199" spans="1:17" ht="15" customHeight="1" x14ac:dyDescent="0.3">
      <c r="A199" s="23" t="s">
        <v>12637</v>
      </c>
      <c r="B199" s="23"/>
      <c r="C199" s="23" t="s">
        <v>4658</v>
      </c>
      <c r="D199" s="23" t="str">
        <f t="shared" si="9"/>
        <v>ORD26002084</v>
      </c>
      <c r="E199" s="38">
        <v>46267</v>
      </c>
      <c r="F199" s="23" t="s">
        <v>12410</v>
      </c>
      <c r="G199" s="23" t="s">
        <v>77</v>
      </c>
      <c r="H199" s="24">
        <v>2798</v>
      </c>
      <c r="I199" s="24">
        <v>47.57</v>
      </c>
      <c r="J199" s="24">
        <v>8.56</v>
      </c>
      <c r="K199" s="24">
        <v>2741.87</v>
      </c>
      <c r="L199" s="38">
        <v>46269</v>
      </c>
      <c r="M199" s="23" t="s">
        <v>184</v>
      </c>
      <c r="N199" s="23" t="str">
        <f>IF(COUNTIF($A$2:A199,A199)&gt;1,"DUP","OK")</f>
        <v>OK</v>
      </c>
      <c r="O199" s="23" t="str">
        <f t="shared" si="10"/>
        <v>ORD26002084</v>
      </c>
      <c r="P199" s="23" t="str">
        <f t="shared" si="11"/>
        <v>Sep</v>
      </c>
      <c r="Q199" s="23" t="str">
        <f>IF(F199="CAPTURE",IF(COUNTIF(orders!$A:$A,O199)&gt;0,"Yes","NO ORDER"),"")</f>
        <v>Yes</v>
      </c>
    </row>
    <row r="200" spans="1:17" ht="15" customHeight="1" x14ac:dyDescent="0.3">
      <c r="A200" s="23" t="s">
        <v>12638</v>
      </c>
      <c r="B200" s="23"/>
      <c r="C200" s="23" t="s">
        <v>4699</v>
      </c>
      <c r="D200" s="23" t="str">
        <f t="shared" si="9"/>
        <v>ORD26002104</v>
      </c>
      <c r="E200" s="38">
        <v>46267</v>
      </c>
      <c r="F200" s="23" t="s">
        <v>12410</v>
      </c>
      <c r="G200" s="23" t="s">
        <v>79</v>
      </c>
      <c r="H200" s="24">
        <v>2848</v>
      </c>
      <c r="I200" s="24">
        <v>45.57</v>
      </c>
      <c r="J200" s="24">
        <v>8.1999999999999993</v>
      </c>
      <c r="K200" s="24">
        <v>2794.23</v>
      </c>
      <c r="L200" s="38">
        <v>46269</v>
      </c>
      <c r="M200" s="23" t="s">
        <v>184</v>
      </c>
      <c r="N200" s="23" t="str">
        <f>IF(COUNTIF($A$2:A200,A200)&gt;1,"DUP","OK")</f>
        <v>OK</v>
      </c>
      <c r="O200" s="23" t="str">
        <f t="shared" si="10"/>
        <v>ORD26002104</v>
      </c>
      <c r="P200" s="23" t="str">
        <f t="shared" si="11"/>
        <v>Sep</v>
      </c>
      <c r="Q200" s="23" t="str">
        <f>IF(F200="CAPTURE",IF(COUNTIF(orders!$A:$A,O200)&gt;0,"Yes","NO ORDER"),"")</f>
        <v>Yes</v>
      </c>
    </row>
    <row r="201" spans="1:17" ht="15" customHeight="1" x14ac:dyDescent="0.3">
      <c r="A201" s="23" t="s">
        <v>12639</v>
      </c>
      <c r="B201" s="23"/>
      <c r="C201" s="23" t="s">
        <v>4843</v>
      </c>
      <c r="D201" s="23" t="str">
        <f t="shared" si="9"/>
        <v>ORD26002177</v>
      </c>
      <c r="E201" s="38">
        <v>46267</v>
      </c>
      <c r="F201" s="23" t="s">
        <v>12410</v>
      </c>
      <c r="G201" s="23" t="s">
        <v>75</v>
      </c>
      <c r="H201" s="24">
        <v>1848</v>
      </c>
      <c r="I201" s="24">
        <v>0</v>
      </c>
      <c r="J201" s="24">
        <v>0</v>
      </c>
      <c r="K201" s="24">
        <v>1848</v>
      </c>
      <c r="L201" s="38">
        <v>46269</v>
      </c>
      <c r="M201" s="23" t="s">
        <v>184</v>
      </c>
      <c r="N201" s="23" t="str">
        <f>IF(COUNTIF($A$2:A201,A201)&gt;1,"DUP","OK")</f>
        <v>OK</v>
      </c>
      <c r="O201" s="23" t="str">
        <f t="shared" si="10"/>
        <v>ORD26002177</v>
      </c>
      <c r="P201" s="23" t="str">
        <f t="shared" si="11"/>
        <v>Sep</v>
      </c>
      <c r="Q201" s="23" t="str">
        <f>IF(F201="CAPTURE",IF(COUNTIF(orders!$A:$A,O201)&gt;0,"Yes","NO ORDER"),"")</f>
        <v>Yes</v>
      </c>
    </row>
    <row r="202" spans="1:17" ht="15" customHeight="1" x14ac:dyDescent="0.3">
      <c r="A202" s="23" t="s">
        <v>12640</v>
      </c>
      <c r="B202" s="23"/>
      <c r="C202" s="23" t="s">
        <v>4865</v>
      </c>
      <c r="D202" s="23" t="str">
        <f t="shared" si="9"/>
        <v>ORD26002187</v>
      </c>
      <c r="E202" s="38">
        <v>46267</v>
      </c>
      <c r="F202" s="23" t="s">
        <v>12410</v>
      </c>
      <c r="G202" s="23" t="s">
        <v>79</v>
      </c>
      <c r="H202" s="24">
        <v>8298</v>
      </c>
      <c r="I202" s="24">
        <v>132.77000000000001</v>
      </c>
      <c r="J202" s="24">
        <v>23.9</v>
      </c>
      <c r="K202" s="24">
        <v>8141.33</v>
      </c>
      <c r="L202" s="38">
        <v>46269</v>
      </c>
      <c r="M202" s="23" t="s">
        <v>184</v>
      </c>
      <c r="N202" s="23" t="str">
        <f>IF(COUNTIF($A$2:A202,A202)&gt;1,"DUP","OK")</f>
        <v>OK</v>
      </c>
      <c r="O202" s="23" t="str">
        <f t="shared" si="10"/>
        <v>ORD26002187</v>
      </c>
      <c r="P202" s="23" t="str">
        <f t="shared" si="11"/>
        <v>Sep</v>
      </c>
      <c r="Q202" s="23" t="str">
        <f>IF(F202="CAPTURE",IF(COUNTIF(orders!$A:$A,O202)&gt;0,"Yes","NO ORDER"),"")</f>
        <v>Yes</v>
      </c>
    </row>
    <row r="203" spans="1:17" ht="15" customHeight="1" x14ac:dyDescent="0.3">
      <c r="A203" s="23" t="s">
        <v>12641</v>
      </c>
      <c r="B203" s="23"/>
      <c r="C203" s="23" t="s">
        <v>4877</v>
      </c>
      <c r="D203" s="23" t="str">
        <f t="shared" si="9"/>
        <v>ORD26002193</v>
      </c>
      <c r="E203" s="38">
        <v>46267</v>
      </c>
      <c r="F203" s="23" t="s">
        <v>12410</v>
      </c>
      <c r="G203" s="23" t="s">
        <v>81</v>
      </c>
      <c r="H203" s="24">
        <v>4798</v>
      </c>
      <c r="I203" s="24">
        <v>57.58</v>
      </c>
      <c r="J203" s="24">
        <v>10.36</v>
      </c>
      <c r="K203" s="24">
        <v>4730.0600000000004</v>
      </c>
      <c r="L203" s="38">
        <v>46269</v>
      </c>
      <c r="M203" s="23" t="s">
        <v>184</v>
      </c>
      <c r="N203" s="23" t="str">
        <f>IF(COUNTIF($A$2:A203,A203)&gt;1,"DUP","OK")</f>
        <v>OK</v>
      </c>
      <c r="O203" s="23" t="str">
        <f t="shared" si="10"/>
        <v>ORD26002193</v>
      </c>
      <c r="P203" s="23" t="str">
        <f t="shared" si="11"/>
        <v>Sep</v>
      </c>
      <c r="Q203" s="23" t="str">
        <f>IF(F203="CAPTURE",IF(COUNTIF(orders!$A:$A,O203)&gt;0,"Yes","NO ORDER"),"")</f>
        <v>Yes</v>
      </c>
    </row>
    <row r="204" spans="1:17" ht="15" customHeight="1" x14ac:dyDescent="0.3">
      <c r="A204" s="23" t="s">
        <v>12642</v>
      </c>
      <c r="B204" s="23"/>
      <c r="C204" s="23" t="s">
        <v>4936</v>
      </c>
      <c r="D204" s="23" t="str">
        <f t="shared" si="9"/>
        <v>ORD26002222</v>
      </c>
      <c r="E204" s="38">
        <v>46267</v>
      </c>
      <c r="F204" s="23" t="s">
        <v>12410</v>
      </c>
      <c r="G204" s="23" t="s">
        <v>75</v>
      </c>
      <c r="H204" s="24">
        <v>7297</v>
      </c>
      <c r="I204" s="24">
        <v>21.89</v>
      </c>
      <c r="J204" s="24">
        <v>3.94</v>
      </c>
      <c r="K204" s="24">
        <v>7271.17</v>
      </c>
      <c r="L204" s="38">
        <v>46269</v>
      </c>
      <c r="M204" s="23" t="s">
        <v>184</v>
      </c>
      <c r="N204" s="23" t="str">
        <f>IF(COUNTIF($A$2:A204,A204)&gt;1,"DUP","OK")</f>
        <v>OK</v>
      </c>
      <c r="O204" s="23" t="str">
        <f t="shared" si="10"/>
        <v>ORD26002222</v>
      </c>
      <c r="P204" s="23" t="str">
        <f t="shared" si="11"/>
        <v>Sep</v>
      </c>
      <c r="Q204" s="23" t="str">
        <f>IF(F204="CAPTURE",IF(COUNTIF(orders!$A:$A,O204)&gt;0,"Yes","NO ORDER"),"")</f>
        <v>Yes</v>
      </c>
    </row>
    <row r="205" spans="1:17" ht="15" customHeight="1" x14ac:dyDescent="0.3">
      <c r="A205" s="23" t="s">
        <v>12643</v>
      </c>
      <c r="B205" s="23"/>
      <c r="C205" s="23" t="s">
        <v>4979</v>
      </c>
      <c r="D205" s="23" t="str">
        <f t="shared" si="9"/>
        <v>ORD26002243</v>
      </c>
      <c r="E205" s="38">
        <v>46267</v>
      </c>
      <c r="F205" s="23" t="s">
        <v>12410</v>
      </c>
      <c r="G205" s="23" t="s">
        <v>75</v>
      </c>
      <c r="H205" s="24">
        <v>3797</v>
      </c>
      <c r="I205" s="24">
        <v>11.39</v>
      </c>
      <c r="J205" s="24">
        <v>2.0499999999999998</v>
      </c>
      <c r="K205" s="24">
        <v>3783.56</v>
      </c>
      <c r="L205" s="38">
        <v>46269</v>
      </c>
      <c r="M205" s="23" t="s">
        <v>184</v>
      </c>
      <c r="N205" s="23" t="str">
        <f>IF(COUNTIF($A$2:A205,A205)&gt;1,"DUP","OK")</f>
        <v>OK</v>
      </c>
      <c r="O205" s="23" t="str">
        <f t="shared" si="10"/>
        <v>ORD26002243</v>
      </c>
      <c r="P205" s="23" t="str">
        <f t="shared" si="11"/>
        <v>Sep</v>
      </c>
      <c r="Q205" s="23" t="str">
        <f>IF(F205="CAPTURE",IF(COUNTIF(orders!$A:$A,O205)&gt;0,"Yes","NO ORDER"),"")</f>
        <v>Yes</v>
      </c>
    </row>
    <row r="206" spans="1:17" ht="15" customHeight="1" x14ac:dyDescent="0.3">
      <c r="A206" s="23" t="s">
        <v>12644</v>
      </c>
      <c r="B206" s="23"/>
      <c r="C206" s="23" t="s">
        <v>5059</v>
      </c>
      <c r="D206" s="23" t="str">
        <f t="shared" si="9"/>
        <v>ORD26002283</v>
      </c>
      <c r="E206" s="38">
        <v>46267</v>
      </c>
      <c r="F206" s="23" t="s">
        <v>12410</v>
      </c>
      <c r="G206" s="23" t="s">
        <v>77</v>
      </c>
      <c r="H206" s="24">
        <v>3499</v>
      </c>
      <c r="I206" s="24">
        <v>59.48</v>
      </c>
      <c r="J206" s="24">
        <v>10.71</v>
      </c>
      <c r="K206" s="24">
        <v>3428.81</v>
      </c>
      <c r="L206" s="38">
        <v>46269</v>
      </c>
      <c r="M206" s="23" t="s">
        <v>184</v>
      </c>
      <c r="N206" s="23" t="str">
        <f>IF(COUNTIF($A$2:A206,A206)&gt;1,"DUP","OK")</f>
        <v>OK</v>
      </c>
      <c r="O206" s="23" t="str">
        <f t="shared" si="10"/>
        <v>ORD26002283</v>
      </c>
      <c r="P206" s="23" t="str">
        <f t="shared" si="11"/>
        <v>Sep</v>
      </c>
      <c r="Q206" s="23" t="str">
        <f>IF(F206="CAPTURE",IF(COUNTIF(orders!$A:$A,O206)&gt;0,"Yes","NO ORDER"),"")</f>
        <v>Yes</v>
      </c>
    </row>
    <row r="207" spans="1:17" ht="15" customHeight="1" x14ac:dyDescent="0.3">
      <c r="A207" s="23" t="s">
        <v>12645</v>
      </c>
      <c r="B207" s="23"/>
      <c r="C207" s="23" t="s">
        <v>5142</v>
      </c>
      <c r="D207" s="23" t="str">
        <f t="shared" si="9"/>
        <v>ORD26002324</v>
      </c>
      <c r="E207" s="38">
        <v>46267</v>
      </c>
      <c r="F207" s="23" t="s">
        <v>12410</v>
      </c>
      <c r="G207" s="23" t="s">
        <v>75</v>
      </c>
      <c r="H207" s="24">
        <v>4297</v>
      </c>
      <c r="I207" s="24">
        <v>12.89</v>
      </c>
      <c r="J207" s="24">
        <v>2.3199999999999998</v>
      </c>
      <c r="K207" s="24">
        <v>4281.79</v>
      </c>
      <c r="L207" s="38">
        <v>46269</v>
      </c>
      <c r="M207" s="23" t="s">
        <v>184</v>
      </c>
      <c r="N207" s="23" t="str">
        <f>IF(COUNTIF($A$2:A207,A207)&gt;1,"DUP","OK")</f>
        <v>OK</v>
      </c>
      <c r="O207" s="23" t="str">
        <f t="shared" si="10"/>
        <v>ORD26002324</v>
      </c>
      <c r="P207" s="23" t="str">
        <f t="shared" si="11"/>
        <v>Sep</v>
      </c>
      <c r="Q207" s="23" t="str">
        <f>IF(F207="CAPTURE",IF(COUNTIF(orders!$A:$A,O207)&gt;0,"Yes","NO ORDER"),"")</f>
        <v>Yes</v>
      </c>
    </row>
    <row r="208" spans="1:17" ht="15" customHeight="1" x14ac:dyDescent="0.3">
      <c r="A208" s="23" t="s">
        <v>12646</v>
      </c>
      <c r="B208" s="23"/>
      <c r="C208" s="23" t="s">
        <v>5186</v>
      </c>
      <c r="D208" s="23" t="str">
        <f t="shared" si="9"/>
        <v>ORD26002346</v>
      </c>
      <c r="E208" s="38">
        <v>46267</v>
      </c>
      <c r="F208" s="23" t="s">
        <v>12410</v>
      </c>
      <c r="G208" s="23" t="s">
        <v>75</v>
      </c>
      <c r="H208" s="24">
        <v>599</v>
      </c>
      <c r="I208" s="24">
        <v>0</v>
      </c>
      <c r="J208" s="24">
        <v>0</v>
      </c>
      <c r="K208" s="24">
        <v>599</v>
      </c>
      <c r="L208" s="38">
        <v>46269</v>
      </c>
      <c r="M208" s="23" t="s">
        <v>184</v>
      </c>
      <c r="N208" s="23" t="str">
        <f>IF(COUNTIF($A$2:A208,A208)&gt;1,"DUP","OK")</f>
        <v>OK</v>
      </c>
      <c r="O208" s="23" t="str">
        <f t="shared" si="10"/>
        <v>ORD26002346</v>
      </c>
      <c r="P208" s="23" t="str">
        <f t="shared" si="11"/>
        <v>Sep</v>
      </c>
      <c r="Q208" s="23" t="str">
        <f>IF(F208="CAPTURE",IF(COUNTIF(orders!$A:$A,O208)&gt;0,"Yes","NO ORDER"),"")</f>
        <v>Yes</v>
      </c>
    </row>
    <row r="209" spans="1:17" ht="15" customHeight="1" x14ac:dyDescent="0.3">
      <c r="A209" s="23" t="s">
        <v>12647</v>
      </c>
      <c r="B209" s="23"/>
      <c r="C209" s="23" t="s">
        <v>5239</v>
      </c>
      <c r="D209" s="23" t="str">
        <f t="shared" si="9"/>
        <v>ORD26002373</v>
      </c>
      <c r="E209" s="38">
        <v>46267</v>
      </c>
      <c r="F209" s="23" t="s">
        <v>12410</v>
      </c>
      <c r="G209" s="23" t="s">
        <v>75</v>
      </c>
      <c r="H209" s="24">
        <v>4498</v>
      </c>
      <c r="I209" s="24">
        <v>13.49</v>
      </c>
      <c r="J209" s="24">
        <v>2.4300000000000002</v>
      </c>
      <c r="K209" s="24">
        <v>4482.08</v>
      </c>
      <c r="L209" s="38">
        <v>46269</v>
      </c>
      <c r="M209" s="23" t="s">
        <v>184</v>
      </c>
      <c r="N209" s="23" t="str">
        <f>IF(COUNTIF($A$2:A209,A209)&gt;1,"DUP","OK")</f>
        <v>OK</v>
      </c>
      <c r="O209" s="23" t="str">
        <f t="shared" si="10"/>
        <v>ORD26002373</v>
      </c>
      <c r="P209" s="23" t="str">
        <f t="shared" si="11"/>
        <v>Sep</v>
      </c>
      <c r="Q209" s="23" t="str">
        <f>IF(F209="CAPTURE",IF(COUNTIF(orders!$A:$A,O209)&gt;0,"Yes","NO ORDER"),"")</f>
        <v>Yes</v>
      </c>
    </row>
    <row r="210" spans="1:17" ht="15" customHeight="1" x14ac:dyDescent="0.3">
      <c r="A210" s="23" t="s">
        <v>12648</v>
      </c>
      <c r="B210" s="23"/>
      <c r="C210" s="23" t="s">
        <v>5285</v>
      </c>
      <c r="D210" s="23" t="str">
        <f t="shared" si="9"/>
        <v>ORD26002396</v>
      </c>
      <c r="E210" s="38">
        <v>46267</v>
      </c>
      <c r="F210" s="23" t="s">
        <v>12410</v>
      </c>
      <c r="G210" s="23" t="s">
        <v>75</v>
      </c>
      <c r="H210" s="24">
        <v>349</v>
      </c>
      <c r="I210" s="24">
        <v>0</v>
      </c>
      <c r="J210" s="24">
        <v>0</v>
      </c>
      <c r="K210" s="24">
        <v>349</v>
      </c>
      <c r="L210" s="38">
        <v>46269</v>
      </c>
      <c r="M210" s="23" t="s">
        <v>184</v>
      </c>
      <c r="N210" s="23" t="str">
        <f>IF(COUNTIF($A$2:A210,A210)&gt;1,"DUP","OK")</f>
        <v>OK</v>
      </c>
      <c r="O210" s="23" t="str">
        <f t="shared" si="10"/>
        <v>ORD26002396</v>
      </c>
      <c r="P210" s="23" t="str">
        <f t="shared" si="11"/>
        <v>Sep</v>
      </c>
      <c r="Q210" s="23" t="str">
        <f>IF(F210="CAPTURE",IF(COUNTIF(orders!$A:$A,O210)&gt;0,"Yes","NO ORDER"),"")</f>
        <v>Yes</v>
      </c>
    </row>
    <row r="211" spans="1:17" ht="15" customHeight="1" x14ac:dyDescent="0.3">
      <c r="A211" s="23" t="s">
        <v>12649</v>
      </c>
      <c r="B211" s="23"/>
      <c r="C211" s="23" t="s">
        <v>5377</v>
      </c>
      <c r="D211" s="23" t="str">
        <f t="shared" si="9"/>
        <v>ORD26002443</v>
      </c>
      <c r="E211" s="38">
        <v>46267</v>
      </c>
      <c r="F211" s="23" t="s">
        <v>12410</v>
      </c>
      <c r="G211" s="23" t="s">
        <v>75</v>
      </c>
      <c r="H211" s="24">
        <v>1499</v>
      </c>
      <c r="I211" s="24">
        <v>0</v>
      </c>
      <c r="J211" s="24">
        <v>0</v>
      </c>
      <c r="K211" s="24">
        <v>1499</v>
      </c>
      <c r="L211" s="38">
        <v>46269</v>
      </c>
      <c r="M211" s="23" t="s">
        <v>184</v>
      </c>
      <c r="N211" s="23" t="str">
        <f>IF(COUNTIF($A$2:A211,A211)&gt;1,"DUP","OK")</f>
        <v>OK</v>
      </c>
      <c r="O211" s="23" t="str">
        <f t="shared" si="10"/>
        <v>ORD26002443</v>
      </c>
      <c r="P211" s="23" t="str">
        <f t="shared" si="11"/>
        <v>Sep</v>
      </c>
      <c r="Q211" s="23" t="str">
        <f>IF(F211="CAPTURE",IF(COUNTIF(orders!$A:$A,O211)&gt;0,"Yes","NO ORDER"),"")</f>
        <v>Yes</v>
      </c>
    </row>
    <row r="212" spans="1:17" ht="15" customHeight="1" x14ac:dyDescent="0.3">
      <c r="A212" s="23" t="s">
        <v>12650</v>
      </c>
      <c r="B212" s="23"/>
      <c r="C212" s="23" t="s">
        <v>5395</v>
      </c>
      <c r="D212" s="23" t="str">
        <f t="shared" si="9"/>
        <v>ORD26002452</v>
      </c>
      <c r="E212" s="38">
        <v>46267</v>
      </c>
      <c r="F212" s="23" t="s">
        <v>12410</v>
      </c>
      <c r="G212" s="23" t="s">
        <v>75</v>
      </c>
      <c r="H212" s="24">
        <v>299</v>
      </c>
      <c r="I212" s="24">
        <v>0</v>
      </c>
      <c r="J212" s="24">
        <v>0</v>
      </c>
      <c r="K212" s="24">
        <v>299</v>
      </c>
      <c r="L212" s="38">
        <v>46269</v>
      </c>
      <c r="M212" s="23" t="s">
        <v>184</v>
      </c>
      <c r="N212" s="23" t="str">
        <f>IF(COUNTIF($A$2:A212,A212)&gt;1,"DUP","OK")</f>
        <v>OK</v>
      </c>
      <c r="O212" s="23" t="str">
        <f t="shared" si="10"/>
        <v>ORD26002452</v>
      </c>
      <c r="P212" s="23" t="str">
        <f t="shared" si="11"/>
        <v>Sep</v>
      </c>
      <c r="Q212" s="23" t="str">
        <f>IF(F212="CAPTURE",IF(COUNTIF(orders!$A:$A,O212)&gt;0,"Yes","NO ORDER"),"")</f>
        <v>Yes</v>
      </c>
    </row>
    <row r="213" spans="1:17" ht="15" customHeight="1" x14ac:dyDescent="0.3">
      <c r="A213" s="23" t="s">
        <v>12651</v>
      </c>
      <c r="B213" s="23"/>
      <c r="C213" s="23" t="s">
        <v>5488</v>
      </c>
      <c r="D213" s="23" t="str">
        <f t="shared" si="9"/>
        <v>ORD26002500</v>
      </c>
      <c r="E213" s="38">
        <v>46267</v>
      </c>
      <c r="F213" s="23" t="s">
        <v>12410</v>
      </c>
      <c r="G213" s="23" t="s">
        <v>79</v>
      </c>
      <c r="H213" s="24">
        <v>799</v>
      </c>
      <c r="I213" s="24">
        <v>14.38</v>
      </c>
      <c r="J213" s="24">
        <v>2.59</v>
      </c>
      <c r="K213" s="24">
        <v>782.03</v>
      </c>
      <c r="L213" s="38">
        <v>46269</v>
      </c>
      <c r="M213" s="23" t="s">
        <v>184</v>
      </c>
      <c r="N213" s="23" t="str">
        <f>IF(COUNTIF($A$2:A213,A213)&gt;1,"DUP","OK")</f>
        <v>OK</v>
      </c>
      <c r="O213" s="23" t="str">
        <f t="shared" si="10"/>
        <v>ORD26002500</v>
      </c>
      <c r="P213" s="23" t="str">
        <f t="shared" si="11"/>
        <v>Sep</v>
      </c>
      <c r="Q213" s="23" t="str">
        <f>IF(F213="CAPTURE",IF(COUNTIF(orders!$A:$A,O213)&gt;0,"Yes","NO ORDER"),"")</f>
        <v>Yes</v>
      </c>
    </row>
    <row r="214" spans="1:17" ht="15" customHeight="1" x14ac:dyDescent="0.3">
      <c r="A214" s="23" t="s">
        <v>12652</v>
      </c>
      <c r="B214" s="23"/>
      <c r="C214" s="23" t="s">
        <v>5531</v>
      </c>
      <c r="D214" s="23" t="str">
        <f t="shared" si="9"/>
        <v>ORD26002520</v>
      </c>
      <c r="E214" s="38">
        <v>46267</v>
      </c>
      <c r="F214" s="23" t="s">
        <v>12410</v>
      </c>
      <c r="G214" s="23" t="s">
        <v>75</v>
      </c>
      <c r="H214" s="24">
        <v>3499</v>
      </c>
      <c r="I214" s="24">
        <v>10.5</v>
      </c>
      <c r="J214" s="24">
        <v>1.89</v>
      </c>
      <c r="K214" s="24">
        <v>3486.61</v>
      </c>
      <c r="L214" s="38">
        <v>46269</v>
      </c>
      <c r="M214" s="23" t="s">
        <v>184</v>
      </c>
      <c r="N214" s="23" t="str">
        <f>IF(COUNTIF($A$2:A214,A214)&gt;1,"DUP","OK")</f>
        <v>OK</v>
      </c>
      <c r="O214" s="23" t="str">
        <f t="shared" si="10"/>
        <v>ORD26002520</v>
      </c>
      <c r="P214" s="23" t="str">
        <f t="shared" si="11"/>
        <v>Sep</v>
      </c>
      <c r="Q214" s="23" t="str">
        <f>IF(F214="CAPTURE",IF(COUNTIF(orders!$A:$A,O214)&gt;0,"Yes","NO ORDER"),"")</f>
        <v>Yes</v>
      </c>
    </row>
    <row r="215" spans="1:17" ht="15" customHeight="1" x14ac:dyDescent="0.3">
      <c r="A215" s="23" t="s">
        <v>12653</v>
      </c>
      <c r="B215" s="23"/>
      <c r="C215" s="23" t="s">
        <v>5622</v>
      </c>
      <c r="D215" s="23" t="str">
        <f t="shared" si="9"/>
        <v>ORD26002564</v>
      </c>
      <c r="E215" s="38">
        <v>46267</v>
      </c>
      <c r="F215" s="23" t="s">
        <v>12410</v>
      </c>
      <c r="G215" s="23" t="s">
        <v>79</v>
      </c>
      <c r="H215" s="24">
        <v>4999</v>
      </c>
      <c r="I215" s="24">
        <v>79.98</v>
      </c>
      <c r="J215" s="24">
        <v>14.4</v>
      </c>
      <c r="K215" s="24">
        <v>4904.62</v>
      </c>
      <c r="L215" s="38">
        <v>46269</v>
      </c>
      <c r="M215" s="23" t="s">
        <v>184</v>
      </c>
      <c r="N215" s="23" t="str">
        <f>IF(COUNTIF($A$2:A215,A215)&gt;1,"DUP","OK")</f>
        <v>OK</v>
      </c>
      <c r="O215" s="23" t="str">
        <f t="shared" si="10"/>
        <v>ORD26002564</v>
      </c>
      <c r="P215" s="23" t="str">
        <f t="shared" si="11"/>
        <v>Sep</v>
      </c>
      <c r="Q215" s="23" t="str">
        <f>IF(F215="CAPTURE",IF(COUNTIF(orders!$A:$A,O215)&gt;0,"Yes","NO ORDER"),"")</f>
        <v>Yes</v>
      </c>
    </row>
    <row r="216" spans="1:17" ht="15" customHeight="1" x14ac:dyDescent="0.3">
      <c r="A216" s="23" t="s">
        <v>12654</v>
      </c>
      <c r="B216" s="23"/>
      <c r="C216" s="23" t="s">
        <v>5628</v>
      </c>
      <c r="D216" s="23" t="str">
        <f t="shared" si="9"/>
        <v>ORD26002567</v>
      </c>
      <c r="E216" s="38">
        <v>46267</v>
      </c>
      <c r="F216" s="23" t="s">
        <v>12410</v>
      </c>
      <c r="G216" s="23" t="s">
        <v>77</v>
      </c>
      <c r="H216" s="24">
        <v>6297</v>
      </c>
      <c r="I216" s="24">
        <v>107.05</v>
      </c>
      <c r="J216" s="24">
        <v>19.27</v>
      </c>
      <c r="K216" s="24">
        <v>6170.68</v>
      </c>
      <c r="L216" s="38">
        <v>46269</v>
      </c>
      <c r="M216" s="23" t="s">
        <v>184</v>
      </c>
      <c r="N216" s="23" t="str">
        <f>IF(COUNTIF($A$2:A216,A216)&gt;1,"DUP","OK")</f>
        <v>OK</v>
      </c>
      <c r="O216" s="23" t="str">
        <f t="shared" si="10"/>
        <v>ORD26002567</v>
      </c>
      <c r="P216" s="23" t="str">
        <f t="shared" si="11"/>
        <v>Sep</v>
      </c>
      <c r="Q216" s="23" t="str">
        <f>IF(F216="CAPTURE",IF(COUNTIF(orders!$A:$A,O216)&gt;0,"Yes","NO ORDER"),"")</f>
        <v>Yes</v>
      </c>
    </row>
    <row r="217" spans="1:17" ht="15" customHeight="1" x14ac:dyDescent="0.3">
      <c r="A217" s="23" t="s">
        <v>12655</v>
      </c>
      <c r="B217" s="23"/>
      <c r="C217" s="23" t="s">
        <v>12656</v>
      </c>
      <c r="D217" s="23" t="str">
        <f t="shared" si="9"/>
        <v>ORD26002572</v>
      </c>
      <c r="E217" s="38">
        <v>46267</v>
      </c>
      <c r="F217" s="23" t="s">
        <v>12410</v>
      </c>
      <c r="G217" s="23" t="s">
        <v>79</v>
      </c>
      <c r="H217" s="24">
        <v>2798</v>
      </c>
      <c r="I217" s="24">
        <v>44.77</v>
      </c>
      <c r="J217" s="24">
        <v>8.06</v>
      </c>
      <c r="K217" s="24">
        <v>2745.17</v>
      </c>
      <c r="L217" s="38">
        <v>46269</v>
      </c>
      <c r="M217" s="23" t="s">
        <v>184</v>
      </c>
      <c r="N217" s="23" t="str">
        <f>IF(COUNTIF($A$2:A217,A217)&gt;1,"DUP","OK")</f>
        <v>OK</v>
      </c>
      <c r="O217" s="23" t="str">
        <f t="shared" si="10"/>
        <v>ORD26002572</v>
      </c>
      <c r="P217" s="23" t="str">
        <f t="shared" si="11"/>
        <v>Sep</v>
      </c>
      <c r="Q217" s="23" t="str">
        <f>IF(F217="CAPTURE",IF(COUNTIF(orders!$A:$A,O217)&gt;0,"Yes","NO ORDER"),"")</f>
        <v>Yes</v>
      </c>
    </row>
    <row r="218" spans="1:17" ht="15" customHeight="1" x14ac:dyDescent="0.3">
      <c r="A218" s="23" t="s">
        <v>12657</v>
      </c>
      <c r="B218" s="23"/>
      <c r="C218" s="23" t="s">
        <v>5794</v>
      </c>
      <c r="D218" s="23" t="str">
        <f t="shared" si="9"/>
        <v>ORD26002650</v>
      </c>
      <c r="E218" s="38">
        <v>46267</v>
      </c>
      <c r="F218" s="23" t="s">
        <v>12410</v>
      </c>
      <c r="G218" s="23" t="s">
        <v>79</v>
      </c>
      <c r="H218" s="24">
        <v>1299</v>
      </c>
      <c r="I218" s="24">
        <v>23.38</v>
      </c>
      <c r="J218" s="24">
        <v>4.21</v>
      </c>
      <c r="K218" s="24">
        <v>1271.4100000000001</v>
      </c>
      <c r="L218" s="38">
        <v>46269</v>
      </c>
      <c r="M218" s="23" t="s">
        <v>184</v>
      </c>
      <c r="N218" s="23" t="str">
        <f>IF(COUNTIF($A$2:A218,A218)&gt;1,"DUP","OK")</f>
        <v>OK</v>
      </c>
      <c r="O218" s="23" t="str">
        <f t="shared" si="10"/>
        <v>ORD26002650</v>
      </c>
      <c r="P218" s="23" t="str">
        <f t="shared" si="11"/>
        <v>Sep</v>
      </c>
      <c r="Q218" s="23" t="str">
        <f>IF(F218="CAPTURE",IF(COUNTIF(orders!$A:$A,O218)&gt;0,"Yes","NO ORDER"),"")</f>
        <v>Yes</v>
      </c>
    </row>
    <row r="219" spans="1:17" ht="15" customHeight="1" x14ac:dyDescent="0.3">
      <c r="A219" s="23" t="s">
        <v>12658</v>
      </c>
      <c r="B219" s="23"/>
      <c r="C219" s="23" t="s">
        <v>12659</v>
      </c>
      <c r="D219" s="23" t="str">
        <f t="shared" si="9"/>
        <v>ORD26002653</v>
      </c>
      <c r="E219" s="38">
        <v>46267</v>
      </c>
      <c r="F219" s="23" t="s">
        <v>12410</v>
      </c>
      <c r="G219" s="23" t="s">
        <v>75</v>
      </c>
      <c r="H219" s="24">
        <v>4597</v>
      </c>
      <c r="I219" s="24">
        <v>13.79</v>
      </c>
      <c r="J219" s="24">
        <v>2.48</v>
      </c>
      <c r="K219" s="24">
        <v>4580.7299999999996</v>
      </c>
      <c r="L219" s="38">
        <v>46269</v>
      </c>
      <c r="M219" s="23" t="s">
        <v>184</v>
      </c>
      <c r="N219" s="23" t="str">
        <f>IF(COUNTIF($A$2:A219,A219)&gt;1,"DUP","OK")</f>
        <v>OK</v>
      </c>
      <c r="O219" s="23" t="str">
        <f t="shared" si="10"/>
        <v>ORD26002653</v>
      </c>
      <c r="P219" s="23" t="str">
        <f t="shared" si="11"/>
        <v>Sep</v>
      </c>
      <c r="Q219" s="23" t="str">
        <f>IF(F219="CAPTURE",IF(COUNTIF(orders!$A:$A,O219)&gt;0,"Yes","NO ORDER"),"")</f>
        <v>Yes</v>
      </c>
    </row>
    <row r="220" spans="1:17" ht="15" customHeight="1" x14ac:dyDescent="0.3">
      <c r="A220" s="23" t="s">
        <v>12660</v>
      </c>
      <c r="B220" s="23"/>
      <c r="C220" s="23" t="s">
        <v>5878</v>
      </c>
      <c r="D220" s="23" t="str">
        <f t="shared" si="9"/>
        <v>ORD26002691</v>
      </c>
      <c r="E220" s="38">
        <v>46267</v>
      </c>
      <c r="F220" s="23" t="s">
        <v>12410</v>
      </c>
      <c r="G220" s="23" t="s">
        <v>75</v>
      </c>
      <c r="H220" s="24">
        <v>2298</v>
      </c>
      <c r="I220" s="24">
        <v>6.89</v>
      </c>
      <c r="J220" s="24">
        <v>1.24</v>
      </c>
      <c r="K220" s="24">
        <v>2289.87</v>
      </c>
      <c r="L220" s="38">
        <v>46269</v>
      </c>
      <c r="M220" s="23" t="s">
        <v>184</v>
      </c>
      <c r="N220" s="23" t="str">
        <f>IF(COUNTIF($A$2:A220,A220)&gt;1,"DUP","OK")</f>
        <v>OK</v>
      </c>
      <c r="O220" s="23" t="str">
        <f t="shared" si="10"/>
        <v>ORD26002691</v>
      </c>
      <c r="P220" s="23" t="str">
        <f t="shared" si="11"/>
        <v>Sep</v>
      </c>
      <c r="Q220" s="23" t="str">
        <f>IF(F220="CAPTURE",IF(COUNTIF(orders!$A:$A,O220)&gt;0,"Yes","NO ORDER"),"")</f>
        <v>Yes</v>
      </c>
    </row>
    <row r="221" spans="1:17" ht="15" customHeight="1" x14ac:dyDescent="0.3">
      <c r="A221" s="23" t="s">
        <v>12661</v>
      </c>
      <c r="B221" s="23"/>
      <c r="C221" s="23" t="s">
        <v>6023</v>
      </c>
      <c r="D221" s="23" t="str">
        <f t="shared" si="9"/>
        <v>ORD26002763</v>
      </c>
      <c r="E221" s="38">
        <v>46267</v>
      </c>
      <c r="F221" s="23" t="s">
        <v>12410</v>
      </c>
      <c r="G221" s="23" t="s">
        <v>75</v>
      </c>
      <c r="H221" s="24">
        <v>799</v>
      </c>
      <c r="I221" s="24">
        <v>0</v>
      </c>
      <c r="J221" s="24">
        <v>0</v>
      </c>
      <c r="K221" s="24">
        <v>799</v>
      </c>
      <c r="L221" s="38">
        <v>46269</v>
      </c>
      <c r="M221" s="23" t="s">
        <v>184</v>
      </c>
      <c r="N221" s="23" t="str">
        <f>IF(COUNTIF($A$2:A221,A221)&gt;1,"DUP","OK")</f>
        <v>OK</v>
      </c>
      <c r="O221" s="23" t="str">
        <f t="shared" si="10"/>
        <v>ORD26002763</v>
      </c>
      <c r="P221" s="23" t="str">
        <f t="shared" si="11"/>
        <v>Sep</v>
      </c>
      <c r="Q221" s="23" t="str">
        <f>IF(F221="CAPTURE",IF(COUNTIF(orders!$A:$A,O221)&gt;0,"Yes","NO ORDER"),"")</f>
        <v>Yes</v>
      </c>
    </row>
    <row r="222" spans="1:17" ht="15" customHeight="1" x14ac:dyDescent="0.3">
      <c r="A222" s="23" t="s">
        <v>12662</v>
      </c>
      <c r="B222" s="23"/>
      <c r="C222" s="23" t="s">
        <v>12663</v>
      </c>
      <c r="D222" s="23" t="str">
        <f t="shared" si="9"/>
        <v>ORD26002787</v>
      </c>
      <c r="E222" s="38">
        <v>46267</v>
      </c>
      <c r="F222" s="23" t="s">
        <v>12410</v>
      </c>
      <c r="G222" s="23" t="s">
        <v>75</v>
      </c>
      <c r="H222" s="24">
        <v>2499</v>
      </c>
      <c r="I222" s="24">
        <v>7.5</v>
      </c>
      <c r="J222" s="24">
        <v>1.35</v>
      </c>
      <c r="K222" s="24">
        <v>2490.15</v>
      </c>
      <c r="L222" s="38">
        <v>46269</v>
      </c>
      <c r="M222" s="23" t="s">
        <v>184</v>
      </c>
      <c r="N222" s="23" t="str">
        <f>IF(COUNTIF($A$2:A222,A222)&gt;1,"DUP","OK")</f>
        <v>OK</v>
      </c>
      <c r="O222" s="23" t="str">
        <f t="shared" si="10"/>
        <v>ORD26002787</v>
      </c>
      <c r="P222" s="23" t="str">
        <f t="shared" si="11"/>
        <v>Sep</v>
      </c>
      <c r="Q222" s="23" t="str">
        <f>IF(F222="CAPTURE",IF(COUNTIF(orders!$A:$A,O222)&gt;0,"Yes","NO ORDER"),"")</f>
        <v>Yes</v>
      </c>
    </row>
    <row r="223" spans="1:17" ht="15" customHeight="1" x14ac:dyDescent="0.3">
      <c r="A223" s="23" t="s">
        <v>12664</v>
      </c>
      <c r="B223" s="23"/>
      <c r="C223" s="23" t="s">
        <v>12665</v>
      </c>
      <c r="D223" s="23" t="str">
        <f t="shared" si="9"/>
        <v>ORD26002796</v>
      </c>
      <c r="E223" s="38">
        <v>46267</v>
      </c>
      <c r="F223" s="23" t="s">
        <v>12410</v>
      </c>
      <c r="G223" s="23" t="s">
        <v>79</v>
      </c>
      <c r="H223" s="24">
        <v>299</v>
      </c>
      <c r="I223" s="24">
        <v>5.38</v>
      </c>
      <c r="J223" s="24">
        <v>0.97</v>
      </c>
      <c r="K223" s="24">
        <v>292.64999999999998</v>
      </c>
      <c r="L223" s="38">
        <v>46269</v>
      </c>
      <c r="M223" s="23" t="s">
        <v>184</v>
      </c>
      <c r="N223" s="23" t="str">
        <f>IF(COUNTIF($A$2:A223,A223)&gt;1,"DUP","OK")</f>
        <v>OK</v>
      </c>
      <c r="O223" s="23" t="str">
        <f t="shared" si="10"/>
        <v>ORD26002796</v>
      </c>
      <c r="P223" s="23" t="str">
        <f t="shared" si="11"/>
        <v>Sep</v>
      </c>
      <c r="Q223" s="23" t="str">
        <f>IF(F223="CAPTURE",IF(COUNTIF(orders!$A:$A,O223)&gt;0,"Yes","NO ORDER"),"")</f>
        <v>Yes</v>
      </c>
    </row>
    <row r="224" spans="1:17" ht="15" customHeight="1" x14ac:dyDescent="0.3">
      <c r="A224" s="23" t="s">
        <v>12666</v>
      </c>
      <c r="B224" s="23"/>
      <c r="C224" s="23" t="s">
        <v>6116</v>
      </c>
      <c r="D224" s="23" t="str">
        <f t="shared" si="9"/>
        <v>ORD26002809</v>
      </c>
      <c r="E224" s="38">
        <v>46267</v>
      </c>
      <c r="F224" s="23" t="s">
        <v>12410</v>
      </c>
      <c r="G224" s="23" t="s">
        <v>75</v>
      </c>
      <c r="H224" s="24">
        <v>799</v>
      </c>
      <c r="I224" s="24">
        <v>0</v>
      </c>
      <c r="J224" s="24">
        <v>0</v>
      </c>
      <c r="K224" s="24">
        <v>799</v>
      </c>
      <c r="L224" s="38">
        <v>46269</v>
      </c>
      <c r="M224" s="23" t="s">
        <v>184</v>
      </c>
      <c r="N224" s="23" t="str">
        <f>IF(COUNTIF($A$2:A224,A224)&gt;1,"DUP","OK")</f>
        <v>OK</v>
      </c>
      <c r="O224" s="23" t="str">
        <f t="shared" si="10"/>
        <v>ORD26002809</v>
      </c>
      <c r="P224" s="23" t="str">
        <f t="shared" si="11"/>
        <v>Sep</v>
      </c>
      <c r="Q224" s="23" t="str">
        <f>IF(F224="CAPTURE",IF(COUNTIF(orders!$A:$A,O224)&gt;0,"Yes","NO ORDER"),"")</f>
        <v>Yes</v>
      </c>
    </row>
    <row r="225" spans="1:17" ht="15" customHeight="1" x14ac:dyDescent="0.3">
      <c r="A225" s="23" t="s">
        <v>12667</v>
      </c>
      <c r="B225" s="23"/>
      <c r="C225" s="23" t="s">
        <v>6190</v>
      </c>
      <c r="D225" s="23" t="str">
        <f t="shared" si="9"/>
        <v>ORD26002847</v>
      </c>
      <c r="E225" s="38">
        <v>46267</v>
      </c>
      <c r="F225" s="23" t="s">
        <v>12410</v>
      </c>
      <c r="G225" s="23" t="s">
        <v>75</v>
      </c>
      <c r="H225" s="24">
        <v>7498</v>
      </c>
      <c r="I225" s="24">
        <v>22.49</v>
      </c>
      <c r="J225" s="24">
        <v>4.05</v>
      </c>
      <c r="K225" s="24">
        <v>7471.46</v>
      </c>
      <c r="L225" s="38">
        <v>46269</v>
      </c>
      <c r="M225" s="23" t="s">
        <v>184</v>
      </c>
      <c r="N225" s="23" t="str">
        <f>IF(COUNTIF($A$2:A225,A225)&gt;1,"DUP","OK")</f>
        <v>OK</v>
      </c>
      <c r="O225" s="23" t="str">
        <f t="shared" si="10"/>
        <v>ORD26002847</v>
      </c>
      <c r="P225" s="23" t="str">
        <f t="shared" si="11"/>
        <v>Sep</v>
      </c>
      <c r="Q225" s="23" t="str">
        <f>IF(F225="CAPTURE",IF(COUNTIF(orders!$A:$A,O225)&gt;0,"Yes","NO ORDER"),"")</f>
        <v>Yes</v>
      </c>
    </row>
    <row r="226" spans="1:17" ht="15" customHeight="1" x14ac:dyDescent="0.3">
      <c r="A226" s="23" t="s">
        <v>12668</v>
      </c>
      <c r="B226" s="23"/>
      <c r="C226" s="23" t="s">
        <v>12669</v>
      </c>
      <c r="D226" s="23" t="str">
        <f t="shared" si="9"/>
        <v>ORD26002871</v>
      </c>
      <c r="E226" s="38">
        <v>46267</v>
      </c>
      <c r="F226" s="23" t="s">
        <v>12410</v>
      </c>
      <c r="G226" s="23" t="s">
        <v>79</v>
      </c>
      <c r="H226" s="24">
        <v>2499</v>
      </c>
      <c r="I226" s="24">
        <v>39.979999999999997</v>
      </c>
      <c r="J226" s="24">
        <v>7.2</v>
      </c>
      <c r="K226" s="24">
        <v>2451.8200000000002</v>
      </c>
      <c r="L226" s="38">
        <v>46269</v>
      </c>
      <c r="M226" s="23" t="s">
        <v>184</v>
      </c>
      <c r="N226" s="23" t="str">
        <f>IF(COUNTIF($A$2:A226,A226)&gt;1,"DUP","OK")</f>
        <v>OK</v>
      </c>
      <c r="O226" s="23" t="str">
        <f t="shared" si="10"/>
        <v>ORD26002871</v>
      </c>
      <c r="P226" s="23" t="str">
        <f t="shared" si="11"/>
        <v>Sep</v>
      </c>
      <c r="Q226" s="23" t="str">
        <f>IF(F226="CAPTURE",IF(COUNTIF(orders!$A:$A,O226)&gt;0,"Yes","NO ORDER"),"")</f>
        <v>Yes</v>
      </c>
    </row>
    <row r="227" spans="1:17" ht="15" customHeight="1" x14ac:dyDescent="0.3">
      <c r="A227" s="23" t="s">
        <v>12670</v>
      </c>
      <c r="B227" s="23"/>
      <c r="C227" s="23" t="s">
        <v>6253</v>
      </c>
      <c r="D227" s="23" t="str">
        <f t="shared" si="9"/>
        <v>ORD26002879</v>
      </c>
      <c r="E227" s="38">
        <v>46267</v>
      </c>
      <c r="F227" s="23" t="s">
        <v>12410</v>
      </c>
      <c r="G227" s="23" t="s">
        <v>79</v>
      </c>
      <c r="H227" s="24">
        <v>1299</v>
      </c>
      <c r="I227" s="24">
        <v>23.38</v>
      </c>
      <c r="J227" s="24">
        <v>4.21</v>
      </c>
      <c r="K227" s="24">
        <v>1271.4100000000001</v>
      </c>
      <c r="L227" s="38">
        <v>46269</v>
      </c>
      <c r="M227" s="23" t="s">
        <v>184</v>
      </c>
      <c r="N227" s="23" t="str">
        <f>IF(COUNTIF($A$2:A227,A227)&gt;1,"DUP","OK")</f>
        <v>OK</v>
      </c>
      <c r="O227" s="23" t="str">
        <f t="shared" si="10"/>
        <v>ORD26002879</v>
      </c>
      <c r="P227" s="23" t="str">
        <f t="shared" si="11"/>
        <v>Sep</v>
      </c>
      <c r="Q227" s="23" t="str">
        <f>IF(F227="CAPTURE",IF(COUNTIF(orders!$A:$A,O227)&gt;0,"Yes","NO ORDER"),"")</f>
        <v>Yes</v>
      </c>
    </row>
    <row r="228" spans="1:17" ht="15" customHeight="1" x14ac:dyDescent="0.3">
      <c r="A228" s="23" t="s">
        <v>12671</v>
      </c>
      <c r="B228" s="23"/>
      <c r="C228" s="23" t="s">
        <v>12672</v>
      </c>
      <c r="D228" s="23" t="str">
        <f t="shared" si="9"/>
        <v>ORD26002894</v>
      </c>
      <c r="E228" s="38">
        <v>46267</v>
      </c>
      <c r="F228" s="23" t="s">
        <v>12410</v>
      </c>
      <c r="G228" s="23" t="s">
        <v>75</v>
      </c>
      <c r="H228" s="24">
        <v>2897</v>
      </c>
      <c r="I228" s="24">
        <v>8.69</v>
      </c>
      <c r="J228" s="24">
        <v>1.56</v>
      </c>
      <c r="K228" s="24">
        <v>2886.75</v>
      </c>
      <c r="L228" s="38">
        <v>46269</v>
      </c>
      <c r="M228" s="23" t="s">
        <v>184</v>
      </c>
      <c r="N228" s="23" t="str">
        <f>IF(COUNTIF($A$2:A228,A228)&gt;1,"DUP","OK")</f>
        <v>OK</v>
      </c>
      <c r="O228" s="23" t="str">
        <f t="shared" si="10"/>
        <v>ORD26002894</v>
      </c>
      <c r="P228" s="23" t="str">
        <f t="shared" si="11"/>
        <v>Sep</v>
      </c>
      <c r="Q228" s="23" t="str">
        <f>IF(F228="CAPTURE",IF(COUNTIF(orders!$A:$A,O228)&gt;0,"Yes","NO ORDER"),"")</f>
        <v>Yes</v>
      </c>
    </row>
    <row r="229" spans="1:17" ht="15" customHeight="1" x14ac:dyDescent="0.3">
      <c r="A229" s="23" t="s">
        <v>12673</v>
      </c>
      <c r="B229" s="23"/>
      <c r="C229" s="23" t="s">
        <v>6296</v>
      </c>
      <c r="D229" s="23" t="str">
        <f t="shared" si="9"/>
        <v>ORD26002901</v>
      </c>
      <c r="E229" s="38">
        <v>46267</v>
      </c>
      <c r="F229" s="23" t="s">
        <v>12410</v>
      </c>
      <c r="G229" s="23" t="s">
        <v>77</v>
      </c>
      <c r="H229" s="24">
        <v>2499</v>
      </c>
      <c r="I229" s="24">
        <v>59.98</v>
      </c>
      <c r="J229" s="24">
        <v>10.8</v>
      </c>
      <c r="K229" s="24">
        <v>2428.2199999999998</v>
      </c>
      <c r="L229" s="38">
        <v>46269</v>
      </c>
      <c r="M229" s="23" t="s">
        <v>184</v>
      </c>
      <c r="N229" s="23" t="str">
        <f>IF(COUNTIF($A$2:A229,A229)&gt;1,"DUP","OK")</f>
        <v>OK</v>
      </c>
      <c r="O229" s="23" t="str">
        <f t="shared" si="10"/>
        <v>ORD26002901</v>
      </c>
      <c r="P229" s="23" t="str">
        <f t="shared" si="11"/>
        <v>Sep</v>
      </c>
      <c r="Q229" s="23" t="str">
        <f>IF(F229="CAPTURE",IF(COUNTIF(orders!$A:$A,O229)&gt;0,"Yes","NO ORDER"),"")</f>
        <v>Yes</v>
      </c>
    </row>
    <row r="230" spans="1:17" ht="15" customHeight="1" x14ac:dyDescent="0.3">
      <c r="A230" s="23" t="s">
        <v>12674</v>
      </c>
      <c r="B230" s="23"/>
      <c r="C230" s="23" t="s">
        <v>6352</v>
      </c>
      <c r="D230" s="23" t="str">
        <f t="shared" si="9"/>
        <v>ORD26002928</v>
      </c>
      <c r="E230" s="38">
        <v>46267</v>
      </c>
      <c r="F230" s="23" t="s">
        <v>12410</v>
      </c>
      <c r="G230" s="23" t="s">
        <v>77</v>
      </c>
      <c r="H230" s="24">
        <v>599</v>
      </c>
      <c r="I230" s="24">
        <v>11.38</v>
      </c>
      <c r="J230" s="24">
        <v>2.0499999999999998</v>
      </c>
      <c r="K230" s="24">
        <v>585.57000000000005</v>
      </c>
      <c r="L230" s="38">
        <v>46269</v>
      </c>
      <c r="M230" s="23" t="s">
        <v>184</v>
      </c>
      <c r="N230" s="23" t="str">
        <f>IF(COUNTIF($A$2:A230,A230)&gt;1,"DUP","OK")</f>
        <v>OK</v>
      </c>
      <c r="O230" s="23" t="str">
        <f t="shared" si="10"/>
        <v>ORD26002928</v>
      </c>
      <c r="P230" s="23" t="str">
        <f t="shared" si="11"/>
        <v>Sep</v>
      </c>
      <c r="Q230" s="23" t="str">
        <f>IF(F230="CAPTURE",IF(COUNTIF(orders!$A:$A,O230)&gt;0,"Yes","NO ORDER"),"")</f>
        <v>Yes</v>
      </c>
    </row>
    <row r="231" spans="1:17" ht="15" customHeight="1" x14ac:dyDescent="0.3">
      <c r="A231" s="23" t="s">
        <v>12675</v>
      </c>
      <c r="B231" s="23"/>
      <c r="C231" s="23" t="s">
        <v>6362</v>
      </c>
      <c r="D231" s="23" t="str">
        <f t="shared" si="9"/>
        <v>ORD26002933</v>
      </c>
      <c r="E231" s="38">
        <v>46267</v>
      </c>
      <c r="F231" s="23" t="s">
        <v>12410</v>
      </c>
      <c r="G231" s="23" t="s">
        <v>79</v>
      </c>
      <c r="H231" s="24">
        <v>2798</v>
      </c>
      <c r="I231" s="24">
        <v>44.77</v>
      </c>
      <c r="J231" s="24">
        <v>8.06</v>
      </c>
      <c r="K231" s="24">
        <v>2745.17</v>
      </c>
      <c r="L231" s="38">
        <v>46269</v>
      </c>
      <c r="M231" s="23" t="s">
        <v>184</v>
      </c>
      <c r="N231" s="23" t="str">
        <f>IF(COUNTIF($A$2:A231,A231)&gt;1,"DUP","OK")</f>
        <v>OK</v>
      </c>
      <c r="O231" s="23" t="str">
        <f t="shared" si="10"/>
        <v>ORD26002933</v>
      </c>
      <c r="P231" s="23" t="str">
        <f t="shared" si="11"/>
        <v>Sep</v>
      </c>
      <c r="Q231" s="23" t="str">
        <f>IF(F231="CAPTURE",IF(COUNTIF(orders!$A:$A,O231)&gt;0,"Yes","NO ORDER"),"")</f>
        <v>Yes</v>
      </c>
    </row>
    <row r="232" spans="1:17" ht="15" customHeight="1" x14ac:dyDescent="0.3">
      <c r="A232" s="23" t="s">
        <v>12676</v>
      </c>
      <c r="B232" s="23"/>
      <c r="C232" s="23" t="s">
        <v>6407</v>
      </c>
      <c r="D232" s="23" t="str">
        <f t="shared" si="9"/>
        <v>ORD26002956</v>
      </c>
      <c r="E232" s="38">
        <v>46267</v>
      </c>
      <c r="F232" s="23" t="s">
        <v>12410</v>
      </c>
      <c r="G232" s="23" t="s">
        <v>77</v>
      </c>
      <c r="H232" s="24">
        <v>1499</v>
      </c>
      <c r="I232" s="24">
        <v>28.48</v>
      </c>
      <c r="J232" s="24">
        <v>5.13</v>
      </c>
      <c r="K232" s="24">
        <v>1465.39</v>
      </c>
      <c r="L232" s="38">
        <v>46269</v>
      </c>
      <c r="M232" s="23" t="s">
        <v>184</v>
      </c>
      <c r="N232" s="23" t="str">
        <f>IF(COUNTIF($A$2:A232,A232)&gt;1,"DUP","OK")</f>
        <v>OK</v>
      </c>
      <c r="O232" s="23" t="str">
        <f t="shared" si="10"/>
        <v>ORD26002956</v>
      </c>
      <c r="P232" s="23" t="str">
        <f t="shared" si="11"/>
        <v>Sep</v>
      </c>
      <c r="Q232" s="23" t="str">
        <f>IF(F232="CAPTURE",IF(COUNTIF(orders!$A:$A,O232)&gt;0,"Yes","NO ORDER"),"")</f>
        <v>Yes</v>
      </c>
    </row>
    <row r="233" spans="1:17" ht="15" customHeight="1" x14ac:dyDescent="0.3">
      <c r="A233" s="23" t="s">
        <v>12677</v>
      </c>
      <c r="B233" s="23"/>
      <c r="C233" s="23" t="s">
        <v>12678</v>
      </c>
      <c r="D233" s="23" t="str">
        <f t="shared" si="9"/>
        <v>ORD26002962</v>
      </c>
      <c r="E233" s="38">
        <v>46267</v>
      </c>
      <c r="F233" s="23" t="s">
        <v>12410</v>
      </c>
      <c r="G233" s="23" t="s">
        <v>75</v>
      </c>
      <c r="H233" s="24">
        <v>1098</v>
      </c>
      <c r="I233" s="24">
        <v>0</v>
      </c>
      <c r="J233" s="24">
        <v>0</v>
      </c>
      <c r="K233" s="24">
        <v>1098</v>
      </c>
      <c r="L233" s="38">
        <v>46269</v>
      </c>
      <c r="M233" s="23" t="s">
        <v>184</v>
      </c>
      <c r="N233" s="23" t="str">
        <f>IF(COUNTIF($A$2:A233,A233)&gt;1,"DUP","OK")</f>
        <v>OK</v>
      </c>
      <c r="O233" s="23" t="str">
        <f t="shared" si="10"/>
        <v>ORD26002962</v>
      </c>
      <c r="P233" s="23" t="str">
        <f t="shared" si="11"/>
        <v>Sep</v>
      </c>
      <c r="Q233" s="23" t="str">
        <f>IF(F233="CAPTURE",IF(COUNTIF(orders!$A:$A,O233)&gt;0,"Yes","NO ORDER"),"")</f>
        <v>Yes</v>
      </c>
    </row>
    <row r="234" spans="1:17" ht="15" customHeight="1" x14ac:dyDescent="0.3">
      <c r="A234" s="23" t="s">
        <v>12679</v>
      </c>
      <c r="B234" s="23"/>
      <c r="C234" s="23" t="s">
        <v>6455</v>
      </c>
      <c r="D234" s="23" t="str">
        <f t="shared" si="9"/>
        <v>ORD26002980</v>
      </c>
      <c r="E234" s="38">
        <v>46267</v>
      </c>
      <c r="F234" s="23" t="s">
        <v>12410</v>
      </c>
      <c r="G234" s="23" t="s">
        <v>75</v>
      </c>
      <c r="H234" s="24">
        <v>6498</v>
      </c>
      <c r="I234" s="24">
        <v>19.489999999999998</v>
      </c>
      <c r="J234" s="24">
        <v>3.51</v>
      </c>
      <c r="K234" s="24">
        <v>6475</v>
      </c>
      <c r="L234" s="38">
        <v>46269</v>
      </c>
      <c r="M234" s="23" t="s">
        <v>184</v>
      </c>
      <c r="N234" s="23" t="str">
        <f>IF(COUNTIF($A$2:A234,A234)&gt;1,"DUP","OK")</f>
        <v>OK</v>
      </c>
      <c r="O234" s="23" t="str">
        <f t="shared" si="10"/>
        <v>ORD26002980</v>
      </c>
      <c r="P234" s="23" t="str">
        <f t="shared" si="11"/>
        <v>Sep</v>
      </c>
      <c r="Q234" s="23" t="str">
        <f>IF(F234="CAPTURE",IF(COUNTIF(orders!$A:$A,O234)&gt;0,"Yes","NO ORDER"),"")</f>
        <v>Yes</v>
      </c>
    </row>
    <row r="235" spans="1:17" ht="15" customHeight="1" x14ac:dyDescent="0.3">
      <c r="A235" s="23" t="s">
        <v>12680</v>
      </c>
      <c r="B235" s="23"/>
      <c r="C235" s="23" t="s">
        <v>6496</v>
      </c>
      <c r="D235" s="23" t="str">
        <f t="shared" si="9"/>
        <v>ORD26003001</v>
      </c>
      <c r="E235" s="38">
        <v>46267</v>
      </c>
      <c r="F235" s="23" t="s">
        <v>12410</v>
      </c>
      <c r="G235" s="23" t="s">
        <v>79</v>
      </c>
      <c r="H235" s="24">
        <v>3897</v>
      </c>
      <c r="I235" s="24">
        <v>62.35</v>
      </c>
      <c r="J235" s="24">
        <v>11.22</v>
      </c>
      <c r="K235" s="24">
        <v>3823.43</v>
      </c>
      <c r="L235" s="38">
        <v>46269</v>
      </c>
      <c r="M235" s="23" t="s">
        <v>184</v>
      </c>
      <c r="N235" s="23" t="str">
        <f>IF(COUNTIF($A$2:A235,A235)&gt;1,"DUP","OK")</f>
        <v>OK</v>
      </c>
      <c r="O235" s="23" t="str">
        <f t="shared" si="10"/>
        <v>ORD26003001</v>
      </c>
      <c r="P235" s="23" t="str">
        <f t="shared" si="11"/>
        <v>Sep</v>
      </c>
      <c r="Q235" s="23" t="str">
        <f>IF(F235="CAPTURE",IF(COUNTIF(orders!$A:$A,O235)&gt;0,"Yes","NO ORDER"),"")</f>
        <v>Yes</v>
      </c>
    </row>
    <row r="236" spans="1:17" ht="15" customHeight="1" x14ac:dyDescent="0.3">
      <c r="A236" s="23" t="s">
        <v>12681</v>
      </c>
      <c r="B236" s="23"/>
      <c r="C236" s="23" t="s">
        <v>6660</v>
      </c>
      <c r="D236" s="23" t="str">
        <f t="shared" si="9"/>
        <v>ORD26003082</v>
      </c>
      <c r="E236" s="38">
        <v>46267</v>
      </c>
      <c r="F236" s="23" t="s">
        <v>12410</v>
      </c>
      <c r="G236" s="23" t="s">
        <v>79</v>
      </c>
      <c r="H236" s="24">
        <v>999</v>
      </c>
      <c r="I236" s="24">
        <v>17.98</v>
      </c>
      <c r="J236" s="24">
        <v>3.24</v>
      </c>
      <c r="K236" s="24">
        <v>977.78</v>
      </c>
      <c r="L236" s="38">
        <v>46269</v>
      </c>
      <c r="M236" s="23" t="s">
        <v>184</v>
      </c>
      <c r="N236" s="23" t="str">
        <f>IF(COUNTIF($A$2:A236,A236)&gt;1,"DUP","OK")</f>
        <v>OK</v>
      </c>
      <c r="O236" s="23" t="str">
        <f t="shared" si="10"/>
        <v>ORD26003082</v>
      </c>
      <c r="P236" s="23" t="str">
        <f t="shared" si="11"/>
        <v>Sep</v>
      </c>
      <c r="Q236" s="23" t="str">
        <f>IF(F236="CAPTURE",IF(COUNTIF(orders!$A:$A,O236)&gt;0,"Yes","NO ORDER"),"")</f>
        <v>Yes</v>
      </c>
    </row>
    <row r="237" spans="1:17" ht="15" customHeight="1" x14ac:dyDescent="0.3">
      <c r="A237" s="23" t="s">
        <v>12682</v>
      </c>
      <c r="B237" s="23"/>
      <c r="C237" s="23" t="s">
        <v>6785</v>
      </c>
      <c r="D237" s="23" t="str">
        <f t="shared" si="9"/>
        <v>ORD26003144</v>
      </c>
      <c r="E237" s="38">
        <v>46267</v>
      </c>
      <c r="F237" s="23" t="s">
        <v>12410</v>
      </c>
      <c r="G237" s="23" t="s">
        <v>79</v>
      </c>
      <c r="H237" s="24">
        <v>7998</v>
      </c>
      <c r="I237" s="24">
        <v>127.97</v>
      </c>
      <c r="J237" s="24">
        <v>23.03</v>
      </c>
      <c r="K237" s="24">
        <v>7847</v>
      </c>
      <c r="L237" s="38">
        <v>46269</v>
      </c>
      <c r="M237" s="23" t="s">
        <v>184</v>
      </c>
      <c r="N237" s="23" t="str">
        <f>IF(COUNTIF($A$2:A237,A237)&gt;1,"DUP","OK")</f>
        <v>OK</v>
      </c>
      <c r="O237" s="23" t="str">
        <f t="shared" si="10"/>
        <v>ORD26003144</v>
      </c>
      <c r="P237" s="23" t="str">
        <f t="shared" si="11"/>
        <v>Sep</v>
      </c>
      <c r="Q237" s="23" t="str">
        <f>IF(F237="CAPTURE",IF(COUNTIF(orders!$A:$A,O237)&gt;0,"Yes","NO ORDER"),"")</f>
        <v>Yes</v>
      </c>
    </row>
    <row r="238" spans="1:17" ht="15" customHeight="1" x14ac:dyDescent="0.3">
      <c r="A238" s="23" t="s">
        <v>12683</v>
      </c>
      <c r="B238" s="23"/>
      <c r="C238" s="23" t="s">
        <v>6817</v>
      </c>
      <c r="D238" s="23" t="str">
        <f t="shared" si="9"/>
        <v>ORD26003160</v>
      </c>
      <c r="E238" s="38">
        <v>46267</v>
      </c>
      <c r="F238" s="23" t="s">
        <v>12410</v>
      </c>
      <c r="G238" s="23" t="s">
        <v>75</v>
      </c>
      <c r="H238" s="24">
        <v>599</v>
      </c>
      <c r="I238" s="24">
        <v>0</v>
      </c>
      <c r="J238" s="24">
        <v>0</v>
      </c>
      <c r="K238" s="24">
        <v>599</v>
      </c>
      <c r="L238" s="38">
        <v>46269</v>
      </c>
      <c r="M238" s="23" t="s">
        <v>184</v>
      </c>
      <c r="N238" s="23" t="str">
        <f>IF(COUNTIF($A$2:A238,A238)&gt;1,"DUP","OK")</f>
        <v>OK</v>
      </c>
      <c r="O238" s="23" t="str">
        <f t="shared" si="10"/>
        <v>ORD26003160</v>
      </c>
      <c r="P238" s="23" t="str">
        <f t="shared" si="11"/>
        <v>Sep</v>
      </c>
      <c r="Q238" s="23" t="str">
        <f>IF(F238="CAPTURE",IF(COUNTIF(orders!$A:$A,O238)&gt;0,"Yes","NO ORDER"),"")</f>
        <v>Yes</v>
      </c>
    </row>
    <row r="239" spans="1:17" ht="15" customHeight="1" x14ac:dyDescent="0.3">
      <c r="A239" s="23" t="s">
        <v>12684</v>
      </c>
      <c r="B239" s="23"/>
      <c r="C239" s="23" t="s">
        <v>6911</v>
      </c>
      <c r="D239" s="23" t="str">
        <f t="shared" si="9"/>
        <v>ORD26003207</v>
      </c>
      <c r="E239" s="38">
        <v>46267</v>
      </c>
      <c r="F239" s="23" t="s">
        <v>12410</v>
      </c>
      <c r="G239" s="23" t="s">
        <v>79</v>
      </c>
      <c r="H239" s="24">
        <v>2499</v>
      </c>
      <c r="I239" s="24">
        <v>39.979999999999997</v>
      </c>
      <c r="J239" s="24">
        <v>7.2</v>
      </c>
      <c r="K239" s="24">
        <v>2451.8200000000002</v>
      </c>
      <c r="L239" s="38">
        <v>46269</v>
      </c>
      <c r="M239" s="23" t="s">
        <v>184</v>
      </c>
      <c r="N239" s="23" t="str">
        <f>IF(COUNTIF($A$2:A239,A239)&gt;1,"DUP","OK")</f>
        <v>OK</v>
      </c>
      <c r="O239" s="23" t="str">
        <f t="shared" si="10"/>
        <v>ORD26003207</v>
      </c>
      <c r="P239" s="23" t="str">
        <f t="shared" si="11"/>
        <v>Sep</v>
      </c>
      <c r="Q239" s="23" t="str">
        <f>IF(F239="CAPTURE",IF(COUNTIF(orders!$A:$A,O239)&gt;0,"Yes","NO ORDER"),"")</f>
        <v>Yes</v>
      </c>
    </row>
    <row r="240" spans="1:17" ht="15" customHeight="1" x14ac:dyDescent="0.3">
      <c r="A240" s="23" t="s">
        <v>12685</v>
      </c>
      <c r="B240" s="23"/>
      <c r="C240" s="23" t="s">
        <v>6955</v>
      </c>
      <c r="D240" s="23" t="str">
        <f t="shared" si="9"/>
        <v>ORD26003229</v>
      </c>
      <c r="E240" s="38">
        <v>46267</v>
      </c>
      <c r="F240" s="23" t="s">
        <v>12410</v>
      </c>
      <c r="G240" s="23" t="s">
        <v>75</v>
      </c>
      <c r="H240" s="24">
        <v>599</v>
      </c>
      <c r="I240" s="24">
        <v>0</v>
      </c>
      <c r="J240" s="24">
        <v>0</v>
      </c>
      <c r="K240" s="24">
        <v>599</v>
      </c>
      <c r="L240" s="38">
        <v>46269</v>
      </c>
      <c r="M240" s="23" t="s">
        <v>184</v>
      </c>
      <c r="N240" s="23" t="str">
        <f>IF(COUNTIF($A$2:A240,A240)&gt;1,"DUP","OK")</f>
        <v>OK</v>
      </c>
      <c r="O240" s="23" t="str">
        <f t="shared" si="10"/>
        <v>ORD26003229</v>
      </c>
      <c r="P240" s="23" t="str">
        <f t="shared" si="11"/>
        <v>Sep</v>
      </c>
      <c r="Q240" s="23" t="str">
        <f>IF(F240="CAPTURE",IF(COUNTIF(orders!$A:$A,O240)&gt;0,"Yes","NO ORDER"),"")</f>
        <v>Yes</v>
      </c>
    </row>
    <row r="241" spans="1:17" ht="15" customHeight="1" x14ac:dyDescent="0.3">
      <c r="A241" s="23" t="s">
        <v>12686</v>
      </c>
      <c r="B241" s="23"/>
      <c r="C241" s="23" t="s">
        <v>7038</v>
      </c>
      <c r="D241" s="23" t="str">
        <f t="shared" si="9"/>
        <v>ORD26003270</v>
      </c>
      <c r="E241" s="38">
        <v>46267</v>
      </c>
      <c r="F241" s="23" t="s">
        <v>12410</v>
      </c>
      <c r="G241" s="23" t="s">
        <v>79</v>
      </c>
      <c r="H241" s="24">
        <v>1299</v>
      </c>
      <c r="I241" s="24">
        <v>23.38</v>
      </c>
      <c r="J241" s="24">
        <v>4.21</v>
      </c>
      <c r="K241" s="24">
        <v>1271.4100000000001</v>
      </c>
      <c r="L241" s="38">
        <v>46269</v>
      </c>
      <c r="M241" s="23" t="s">
        <v>184</v>
      </c>
      <c r="N241" s="23" t="str">
        <f>IF(COUNTIF($A$2:A241,A241)&gt;1,"DUP","OK")</f>
        <v>OK</v>
      </c>
      <c r="O241" s="23" t="str">
        <f t="shared" si="10"/>
        <v>ORD26003270</v>
      </c>
      <c r="P241" s="23" t="str">
        <f t="shared" si="11"/>
        <v>Sep</v>
      </c>
      <c r="Q241" s="23" t="str">
        <f>IF(F241="CAPTURE",IF(COUNTIF(orders!$A:$A,O241)&gt;0,"Yes","NO ORDER"),"")</f>
        <v>Yes</v>
      </c>
    </row>
    <row r="242" spans="1:17" ht="15" customHeight="1" x14ac:dyDescent="0.3">
      <c r="A242" s="23" t="s">
        <v>12687</v>
      </c>
      <c r="B242" s="23"/>
      <c r="C242" s="23" t="s">
        <v>7050</v>
      </c>
      <c r="D242" s="23" t="str">
        <f t="shared" si="9"/>
        <v>ORD26003276</v>
      </c>
      <c r="E242" s="38">
        <v>46267</v>
      </c>
      <c r="F242" s="23" t="s">
        <v>12410</v>
      </c>
      <c r="G242" s="23" t="s">
        <v>77</v>
      </c>
      <c r="H242" s="24">
        <v>2298</v>
      </c>
      <c r="I242" s="24">
        <v>39.07</v>
      </c>
      <c r="J242" s="24">
        <v>7.03</v>
      </c>
      <c r="K242" s="24">
        <v>2251.9</v>
      </c>
      <c r="L242" s="38">
        <v>46269</v>
      </c>
      <c r="M242" s="23" t="s">
        <v>184</v>
      </c>
      <c r="N242" s="23" t="str">
        <f>IF(COUNTIF($A$2:A242,A242)&gt;1,"DUP","OK")</f>
        <v>OK</v>
      </c>
      <c r="O242" s="23" t="str">
        <f t="shared" si="10"/>
        <v>ORD26003276</v>
      </c>
      <c r="P242" s="23" t="str">
        <f t="shared" si="11"/>
        <v>Sep</v>
      </c>
      <c r="Q242" s="23" t="str">
        <f>IF(F242="CAPTURE",IF(COUNTIF(orders!$A:$A,O242)&gt;0,"Yes","NO ORDER"),"")</f>
        <v>Yes</v>
      </c>
    </row>
    <row r="243" spans="1:17" ht="15" customHeight="1" x14ac:dyDescent="0.3">
      <c r="A243" s="23" t="s">
        <v>12688</v>
      </c>
      <c r="B243" s="23"/>
      <c r="C243" s="23" t="s">
        <v>7147</v>
      </c>
      <c r="D243" s="23" t="str">
        <f t="shared" si="9"/>
        <v>ORD26003325</v>
      </c>
      <c r="E243" s="38">
        <v>46267</v>
      </c>
      <c r="F243" s="23" t="s">
        <v>12410</v>
      </c>
      <c r="G243" s="23" t="s">
        <v>81</v>
      </c>
      <c r="H243" s="24">
        <v>999</v>
      </c>
      <c r="I243" s="24">
        <v>14.99</v>
      </c>
      <c r="J243" s="24">
        <v>2.7</v>
      </c>
      <c r="K243" s="24">
        <v>981.31</v>
      </c>
      <c r="L243" s="38">
        <v>46269</v>
      </c>
      <c r="M243" s="23" t="s">
        <v>184</v>
      </c>
      <c r="N243" s="23" t="str">
        <f>IF(COUNTIF($A$2:A243,A243)&gt;1,"DUP","OK")</f>
        <v>OK</v>
      </c>
      <c r="O243" s="23" t="str">
        <f t="shared" si="10"/>
        <v>ORD26003325</v>
      </c>
      <c r="P243" s="23" t="str">
        <f t="shared" si="11"/>
        <v>Sep</v>
      </c>
      <c r="Q243" s="23" t="str">
        <f>IF(F243="CAPTURE",IF(COUNTIF(orders!$A:$A,O243)&gt;0,"Yes","NO ORDER"),"")</f>
        <v>Yes</v>
      </c>
    </row>
    <row r="244" spans="1:17" ht="15" customHeight="1" x14ac:dyDescent="0.3">
      <c r="A244" s="23" t="s">
        <v>12689</v>
      </c>
      <c r="B244" s="23"/>
      <c r="C244" s="23" t="s">
        <v>7251</v>
      </c>
      <c r="D244" s="23" t="str">
        <f t="shared" si="9"/>
        <v>ORD26003376</v>
      </c>
      <c r="E244" s="38">
        <v>46267</v>
      </c>
      <c r="F244" s="23" t="s">
        <v>12410</v>
      </c>
      <c r="G244" s="23" t="s">
        <v>75</v>
      </c>
      <c r="H244" s="24">
        <v>1499</v>
      </c>
      <c r="I244" s="24">
        <v>0</v>
      </c>
      <c r="J244" s="24">
        <v>0</v>
      </c>
      <c r="K244" s="24">
        <v>1499</v>
      </c>
      <c r="L244" s="38">
        <v>46269</v>
      </c>
      <c r="M244" s="23" t="s">
        <v>184</v>
      </c>
      <c r="N244" s="23" t="str">
        <f>IF(COUNTIF($A$2:A244,A244)&gt;1,"DUP","OK")</f>
        <v>OK</v>
      </c>
      <c r="O244" s="23" t="str">
        <f t="shared" si="10"/>
        <v>ORD26003376</v>
      </c>
      <c r="P244" s="23" t="str">
        <f t="shared" si="11"/>
        <v>Sep</v>
      </c>
      <c r="Q244" s="23" t="str">
        <f>IF(F244="CAPTURE",IF(COUNTIF(orders!$A:$A,O244)&gt;0,"Yes","NO ORDER"),"")</f>
        <v>Yes</v>
      </c>
    </row>
    <row r="245" spans="1:17" ht="15" customHeight="1" x14ac:dyDescent="0.3">
      <c r="A245" s="23" t="s">
        <v>12690</v>
      </c>
      <c r="B245" s="23"/>
      <c r="C245" s="23" t="s">
        <v>12691</v>
      </c>
      <c r="D245" s="23" t="str">
        <f t="shared" si="9"/>
        <v>ORD26003380</v>
      </c>
      <c r="E245" s="38">
        <v>46267</v>
      </c>
      <c r="F245" s="23" t="s">
        <v>12410</v>
      </c>
      <c r="G245" s="23" t="s">
        <v>79</v>
      </c>
      <c r="H245" s="24">
        <v>999</v>
      </c>
      <c r="I245" s="24">
        <v>17.98</v>
      </c>
      <c r="J245" s="24">
        <v>3.24</v>
      </c>
      <c r="K245" s="24">
        <v>977.78</v>
      </c>
      <c r="L245" s="38">
        <v>46269</v>
      </c>
      <c r="M245" s="23" t="s">
        <v>184</v>
      </c>
      <c r="N245" s="23" t="str">
        <f>IF(COUNTIF($A$2:A245,A245)&gt;1,"DUP","OK")</f>
        <v>OK</v>
      </c>
      <c r="O245" s="23" t="str">
        <f t="shared" si="10"/>
        <v>ORD26003380</v>
      </c>
      <c r="P245" s="23" t="str">
        <f t="shared" si="11"/>
        <v>Sep</v>
      </c>
      <c r="Q245" s="23" t="str">
        <f>IF(F245="CAPTURE",IF(COUNTIF(orders!$A:$A,O245)&gt;0,"Yes","NO ORDER"),"")</f>
        <v>Yes</v>
      </c>
    </row>
    <row r="246" spans="1:17" ht="15" customHeight="1" x14ac:dyDescent="0.3">
      <c r="A246" s="23" t="s">
        <v>12692</v>
      </c>
      <c r="B246" s="23"/>
      <c r="C246" s="23" t="s">
        <v>7289</v>
      </c>
      <c r="D246" s="23" t="str">
        <f t="shared" si="9"/>
        <v>ORD26003395</v>
      </c>
      <c r="E246" s="38">
        <v>46267</v>
      </c>
      <c r="F246" s="23" t="s">
        <v>12410</v>
      </c>
      <c r="G246" s="23" t="s">
        <v>75</v>
      </c>
      <c r="H246" s="24">
        <v>1799</v>
      </c>
      <c r="I246" s="24">
        <v>0</v>
      </c>
      <c r="J246" s="24">
        <v>0</v>
      </c>
      <c r="K246" s="24">
        <v>1799</v>
      </c>
      <c r="L246" s="38">
        <v>46269</v>
      </c>
      <c r="M246" s="23" t="s">
        <v>184</v>
      </c>
      <c r="N246" s="23" t="str">
        <f>IF(COUNTIF($A$2:A246,A246)&gt;1,"DUP","OK")</f>
        <v>OK</v>
      </c>
      <c r="O246" s="23" t="str">
        <f t="shared" si="10"/>
        <v>ORD26003395</v>
      </c>
      <c r="P246" s="23" t="str">
        <f t="shared" si="11"/>
        <v>Sep</v>
      </c>
      <c r="Q246" s="23" t="str">
        <f>IF(F246="CAPTURE",IF(COUNTIF(orders!$A:$A,O246)&gt;0,"Yes","NO ORDER"),"")</f>
        <v>Yes</v>
      </c>
    </row>
    <row r="247" spans="1:17" ht="15" customHeight="1" x14ac:dyDescent="0.3">
      <c r="A247" s="23" t="s">
        <v>12693</v>
      </c>
      <c r="B247" s="23"/>
      <c r="C247" s="23" t="s">
        <v>7309</v>
      </c>
      <c r="D247" s="23" t="str">
        <f t="shared" si="9"/>
        <v>ORD26003405</v>
      </c>
      <c r="E247" s="38">
        <v>46267</v>
      </c>
      <c r="F247" s="23" t="s">
        <v>12410</v>
      </c>
      <c r="G247" s="23" t="s">
        <v>75</v>
      </c>
      <c r="H247" s="24">
        <v>1799</v>
      </c>
      <c r="I247" s="24">
        <v>0</v>
      </c>
      <c r="J247" s="24">
        <v>0</v>
      </c>
      <c r="K247" s="24">
        <v>1799</v>
      </c>
      <c r="L247" s="38">
        <v>46269</v>
      </c>
      <c r="M247" s="23" t="s">
        <v>184</v>
      </c>
      <c r="N247" s="23" t="str">
        <f>IF(COUNTIF($A$2:A247,A247)&gt;1,"DUP","OK")</f>
        <v>OK</v>
      </c>
      <c r="O247" s="23" t="str">
        <f t="shared" si="10"/>
        <v>ORD26003405</v>
      </c>
      <c r="P247" s="23" t="str">
        <f t="shared" si="11"/>
        <v>Sep</v>
      </c>
      <c r="Q247" s="23" t="str">
        <f>IF(F247="CAPTURE",IF(COUNTIF(orders!$A:$A,O247)&gt;0,"Yes","NO ORDER"),"")</f>
        <v>Yes</v>
      </c>
    </row>
    <row r="248" spans="1:17" ht="15" customHeight="1" x14ac:dyDescent="0.3">
      <c r="A248" s="23" t="s">
        <v>12694</v>
      </c>
      <c r="B248" s="23"/>
      <c r="C248" s="23" t="s">
        <v>7367</v>
      </c>
      <c r="D248" s="23" t="str">
        <f t="shared" si="9"/>
        <v>ORD26003434</v>
      </c>
      <c r="E248" s="38">
        <v>46267</v>
      </c>
      <c r="F248" s="23" t="s">
        <v>12410</v>
      </c>
      <c r="G248" s="23" t="s">
        <v>75</v>
      </c>
      <c r="H248" s="24">
        <v>4798</v>
      </c>
      <c r="I248" s="24">
        <v>14.39</v>
      </c>
      <c r="J248" s="24">
        <v>2.59</v>
      </c>
      <c r="K248" s="24">
        <v>4781.0200000000004</v>
      </c>
      <c r="L248" s="38">
        <v>46269</v>
      </c>
      <c r="M248" s="23" t="s">
        <v>184</v>
      </c>
      <c r="N248" s="23" t="str">
        <f>IF(COUNTIF($A$2:A248,A248)&gt;1,"DUP","OK")</f>
        <v>OK</v>
      </c>
      <c r="O248" s="23" t="str">
        <f t="shared" si="10"/>
        <v>ORD26003434</v>
      </c>
      <c r="P248" s="23" t="str">
        <f t="shared" si="11"/>
        <v>Sep</v>
      </c>
      <c r="Q248" s="23" t="str">
        <f>IF(F248="CAPTURE",IF(COUNTIF(orders!$A:$A,O248)&gt;0,"Yes","NO ORDER"),"")</f>
        <v>Yes</v>
      </c>
    </row>
    <row r="249" spans="1:17" ht="15" customHeight="1" x14ac:dyDescent="0.3">
      <c r="A249" s="23" t="s">
        <v>12695</v>
      </c>
      <c r="B249" s="23"/>
      <c r="C249" s="23" t="s">
        <v>7420</v>
      </c>
      <c r="D249" s="23" t="str">
        <f t="shared" si="9"/>
        <v>ORD26003460</v>
      </c>
      <c r="E249" s="38">
        <v>46267</v>
      </c>
      <c r="F249" s="23" t="s">
        <v>12410</v>
      </c>
      <c r="G249" s="23" t="s">
        <v>81</v>
      </c>
      <c r="H249" s="24">
        <v>3447</v>
      </c>
      <c r="I249" s="24">
        <v>41.36</v>
      </c>
      <c r="J249" s="24">
        <v>7.44</v>
      </c>
      <c r="K249" s="24">
        <v>3398.2</v>
      </c>
      <c r="L249" s="38">
        <v>46269</v>
      </c>
      <c r="M249" s="23" t="s">
        <v>184</v>
      </c>
      <c r="N249" s="23" t="str">
        <f>IF(COUNTIF($A$2:A249,A249)&gt;1,"DUP","OK")</f>
        <v>OK</v>
      </c>
      <c r="O249" s="23" t="str">
        <f t="shared" si="10"/>
        <v>ORD26003460</v>
      </c>
      <c r="P249" s="23" t="str">
        <f t="shared" si="11"/>
        <v>Sep</v>
      </c>
      <c r="Q249" s="23" t="str">
        <f>IF(F249="CAPTURE",IF(COUNTIF(orders!$A:$A,O249)&gt;0,"Yes","NO ORDER"),"")</f>
        <v>Yes</v>
      </c>
    </row>
    <row r="250" spans="1:17" ht="15" customHeight="1" x14ac:dyDescent="0.3">
      <c r="A250" s="23" t="s">
        <v>12696</v>
      </c>
      <c r="B250" s="23"/>
      <c r="C250" s="23" t="s">
        <v>7494</v>
      </c>
      <c r="D250" s="23" t="str">
        <f t="shared" si="9"/>
        <v>ORD26003498</v>
      </c>
      <c r="E250" s="38">
        <v>46267</v>
      </c>
      <c r="F250" s="23" t="s">
        <v>12410</v>
      </c>
      <c r="G250" s="23" t="s">
        <v>75</v>
      </c>
      <c r="H250" s="24">
        <v>349</v>
      </c>
      <c r="I250" s="24">
        <v>0</v>
      </c>
      <c r="J250" s="24">
        <v>0</v>
      </c>
      <c r="K250" s="24">
        <v>349</v>
      </c>
      <c r="L250" s="38">
        <v>46269</v>
      </c>
      <c r="M250" s="23" t="s">
        <v>184</v>
      </c>
      <c r="N250" s="23" t="str">
        <f>IF(COUNTIF($A$2:A250,A250)&gt;1,"DUP","OK")</f>
        <v>OK</v>
      </c>
      <c r="O250" s="23" t="str">
        <f t="shared" si="10"/>
        <v>ORD26003498</v>
      </c>
      <c r="P250" s="23" t="str">
        <f t="shared" si="11"/>
        <v>Sep</v>
      </c>
      <c r="Q250" s="23" t="str">
        <f>IF(F250="CAPTURE",IF(COUNTIF(orders!$A:$A,O250)&gt;0,"Yes","NO ORDER"),"")</f>
        <v>Yes</v>
      </c>
    </row>
    <row r="251" spans="1:17" ht="15" customHeight="1" x14ac:dyDescent="0.3">
      <c r="A251" s="23" t="s">
        <v>12697</v>
      </c>
      <c r="B251" s="23"/>
      <c r="C251" s="23" t="s">
        <v>7542</v>
      </c>
      <c r="D251" s="23" t="str">
        <f t="shared" si="9"/>
        <v>ORD26003523</v>
      </c>
      <c r="E251" s="38">
        <v>46267</v>
      </c>
      <c r="F251" s="23" t="s">
        <v>12410</v>
      </c>
      <c r="G251" s="23" t="s">
        <v>75</v>
      </c>
      <c r="H251" s="24">
        <v>2499</v>
      </c>
      <c r="I251" s="24">
        <v>7.5</v>
      </c>
      <c r="J251" s="24">
        <v>1.35</v>
      </c>
      <c r="K251" s="24">
        <v>2490.15</v>
      </c>
      <c r="L251" s="38">
        <v>46269</v>
      </c>
      <c r="M251" s="23" t="s">
        <v>184</v>
      </c>
      <c r="N251" s="23" t="str">
        <f>IF(COUNTIF($A$2:A251,A251)&gt;1,"DUP","OK")</f>
        <v>OK</v>
      </c>
      <c r="O251" s="23" t="str">
        <f t="shared" si="10"/>
        <v>ORD26003523</v>
      </c>
      <c r="P251" s="23" t="str">
        <f t="shared" si="11"/>
        <v>Sep</v>
      </c>
      <c r="Q251" s="23" t="str">
        <f>IF(F251="CAPTURE",IF(COUNTIF(orders!$A:$A,O251)&gt;0,"Yes","NO ORDER"),"")</f>
        <v>Yes</v>
      </c>
    </row>
    <row r="252" spans="1:17" ht="15" customHeight="1" x14ac:dyDescent="0.3">
      <c r="A252" s="23" t="s">
        <v>12698</v>
      </c>
      <c r="B252" s="23"/>
      <c r="C252" s="23" t="s">
        <v>7560</v>
      </c>
      <c r="D252" s="23" t="str">
        <f t="shared" si="9"/>
        <v>ORD26003532</v>
      </c>
      <c r="E252" s="38">
        <v>46267</v>
      </c>
      <c r="F252" s="23" t="s">
        <v>12410</v>
      </c>
      <c r="G252" s="23" t="s">
        <v>79</v>
      </c>
      <c r="H252" s="24">
        <v>999</v>
      </c>
      <c r="I252" s="24">
        <v>17.98</v>
      </c>
      <c r="J252" s="24">
        <v>3.24</v>
      </c>
      <c r="K252" s="24">
        <v>977.78</v>
      </c>
      <c r="L252" s="38">
        <v>46269</v>
      </c>
      <c r="M252" s="23" t="s">
        <v>184</v>
      </c>
      <c r="N252" s="23" t="str">
        <f>IF(COUNTIF($A$2:A252,A252)&gt;1,"DUP","OK")</f>
        <v>OK</v>
      </c>
      <c r="O252" s="23" t="str">
        <f t="shared" si="10"/>
        <v>ORD26003532</v>
      </c>
      <c r="P252" s="23" t="str">
        <f t="shared" si="11"/>
        <v>Sep</v>
      </c>
      <c r="Q252" s="23" t="str">
        <f>IF(F252="CAPTURE",IF(COUNTIF(orders!$A:$A,O252)&gt;0,"Yes","NO ORDER"),"")</f>
        <v>Yes</v>
      </c>
    </row>
    <row r="253" spans="1:17" ht="15" customHeight="1" x14ac:dyDescent="0.3">
      <c r="A253" s="23" t="s">
        <v>12699</v>
      </c>
      <c r="B253" s="23"/>
      <c r="C253" s="23" t="s">
        <v>7585</v>
      </c>
      <c r="D253" s="23" t="str">
        <f t="shared" si="9"/>
        <v>ORD26003545</v>
      </c>
      <c r="E253" s="38">
        <v>46267</v>
      </c>
      <c r="F253" s="23" t="s">
        <v>12410</v>
      </c>
      <c r="G253" s="23" t="s">
        <v>79</v>
      </c>
      <c r="H253" s="24">
        <v>4999</v>
      </c>
      <c r="I253" s="24">
        <v>79.98</v>
      </c>
      <c r="J253" s="24">
        <v>14.4</v>
      </c>
      <c r="K253" s="24">
        <v>4904.62</v>
      </c>
      <c r="L253" s="38">
        <v>46269</v>
      </c>
      <c r="M253" s="23" t="s">
        <v>184</v>
      </c>
      <c r="N253" s="23" t="str">
        <f>IF(COUNTIF($A$2:A253,A253)&gt;1,"DUP","OK")</f>
        <v>OK</v>
      </c>
      <c r="O253" s="23" t="str">
        <f t="shared" si="10"/>
        <v>ORD26003545</v>
      </c>
      <c r="P253" s="23" t="str">
        <f t="shared" si="11"/>
        <v>Sep</v>
      </c>
      <c r="Q253" s="23" t="str">
        <f>IF(F253="CAPTURE",IF(COUNTIF(orders!$A:$A,O253)&gt;0,"Yes","NO ORDER"),"")</f>
        <v>Yes</v>
      </c>
    </row>
    <row r="254" spans="1:17" ht="15" customHeight="1" x14ac:dyDescent="0.3">
      <c r="A254" s="23" t="s">
        <v>12700</v>
      </c>
      <c r="B254" s="23"/>
      <c r="C254" s="23" t="s">
        <v>7623</v>
      </c>
      <c r="D254" s="23" t="str">
        <f t="shared" si="9"/>
        <v>ORD26003564</v>
      </c>
      <c r="E254" s="38">
        <v>46267</v>
      </c>
      <c r="F254" s="23" t="s">
        <v>12410</v>
      </c>
      <c r="G254" s="23" t="s">
        <v>79</v>
      </c>
      <c r="H254" s="24">
        <v>349</v>
      </c>
      <c r="I254" s="24">
        <v>6.28</v>
      </c>
      <c r="J254" s="24">
        <v>1.1299999999999999</v>
      </c>
      <c r="K254" s="24">
        <v>341.59</v>
      </c>
      <c r="L254" s="38">
        <v>46269</v>
      </c>
      <c r="M254" s="23" t="s">
        <v>184</v>
      </c>
      <c r="N254" s="23" t="str">
        <f>IF(COUNTIF($A$2:A254,A254)&gt;1,"DUP","OK")</f>
        <v>OK</v>
      </c>
      <c r="O254" s="23" t="str">
        <f t="shared" si="10"/>
        <v>ORD26003564</v>
      </c>
      <c r="P254" s="23" t="str">
        <f t="shared" si="11"/>
        <v>Sep</v>
      </c>
      <c r="Q254" s="23" t="str">
        <f>IF(F254="CAPTURE",IF(COUNTIF(orders!$A:$A,O254)&gt;0,"Yes","NO ORDER"),"")</f>
        <v>Yes</v>
      </c>
    </row>
    <row r="255" spans="1:17" ht="15" customHeight="1" x14ac:dyDescent="0.3">
      <c r="A255" s="23" t="s">
        <v>12701</v>
      </c>
      <c r="B255" s="23"/>
      <c r="C255" s="23" t="s">
        <v>7891</v>
      </c>
      <c r="D255" s="23" t="str">
        <f t="shared" si="9"/>
        <v>ORD26003701</v>
      </c>
      <c r="E255" s="38">
        <v>46267</v>
      </c>
      <c r="F255" s="23" t="s">
        <v>12410</v>
      </c>
      <c r="G255" s="23" t="s">
        <v>75</v>
      </c>
      <c r="H255" s="24">
        <v>2998</v>
      </c>
      <c r="I255" s="24">
        <v>8.99</v>
      </c>
      <c r="J255" s="24">
        <v>1.62</v>
      </c>
      <c r="K255" s="24">
        <v>2987.39</v>
      </c>
      <c r="L255" s="38">
        <v>46269</v>
      </c>
      <c r="M255" s="23" t="s">
        <v>184</v>
      </c>
      <c r="N255" s="23" t="str">
        <f>IF(COUNTIF($A$2:A255,A255)&gt;1,"DUP","OK")</f>
        <v>OK</v>
      </c>
      <c r="O255" s="23" t="str">
        <f t="shared" si="10"/>
        <v>ORD26003701</v>
      </c>
      <c r="P255" s="23" t="str">
        <f t="shared" si="11"/>
        <v>Sep</v>
      </c>
      <c r="Q255" s="23" t="str">
        <f>IF(F255="CAPTURE",IF(COUNTIF(orders!$A:$A,O255)&gt;0,"Yes","NO ORDER"),"")</f>
        <v>Yes</v>
      </c>
    </row>
    <row r="256" spans="1:17" ht="15" customHeight="1" x14ac:dyDescent="0.3">
      <c r="A256" s="23" t="s">
        <v>12702</v>
      </c>
      <c r="B256" s="23"/>
      <c r="C256" s="23" t="s">
        <v>12703</v>
      </c>
      <c r="D256" s="23" t="str">
        <f t="shared" si="9"/>
        <v>ORD26003702</v>
      </c>
      <c r="E256" s="38">
        <v>46267</v>
      </c>
      <c r="F256" s="23" t="s">
        <v>12410</v>
      </c>
      <c r="G256" s="23" t="s">
        <v>79</v>
      </c>
      <c r="H256" s="24">
        <v>1299</v>
      </c>
      <c r="I256" s="24">
        <v>23.38</v>
      </c>
      <c r="J256" s="24">
        <v>4.21</v>
      </c>
      <c r="K256" s="24">
        <v>1271.4100000000001</v>
      </c>
      <c r="L256" s="38">
        <v>46269</v>
      </c>
      <c r="M256" s="23" t="s">
        <v>184</v>
      </c>
      <c r="N256" s="23" t="str">
        <f>IF(COUNTIF($A$2:A256,A256)&gt;1,"DUP","OK")</f>
        <v>OK</v>
      </c>
      <c r="O256" s="23" t="str">
        <f t="shared" si="10"/>
        <v>ORD26003702</v>
      </c>
      <c r="P256" s="23" t="str">
        <f t="shared" si="11"/>
        <v>Sep</v>
      </c>
      <c r="Q256" s="23" t="str">
        <f>IF(F256="CAPTURE",IF(COUNTIF(orders!$A:$A,O256)&gt;0,"Yes","NO ORDER"),"")</f>
        <v>Yes</v>
      </c>
    </row>
    <row r="257" spans="1:17" ht="15" customHeight="1" x14ac:dyDescent="0.3">
      <c r="A257" s="23" t="s">
        <v>12704</v>
      </c>
      <c r="B257" s="23"/>
      <c r="C257" s="23" t="s">
        <v>12705</v>
      </c>
      <c r="D257" s="23" t="str">
        <f t="shared" si="9"/>
        <v>ORD26003703</v>
      </c>
      <c r="E257" s="38">
        <v>46267</v>
      </c>
      <c r="F257" s="23" t="s">
        <v>12410</v>
      </c>
      <c r="G257" s="23" t="s">
        <v>79</v>
      </c>
      <c r="H257" s="24">
        <v>3499</v>
      </c>
      <c r="I257" s="24">
        <v>55.98</v>
      </c>
      <c r="J257" s="24">
        <v>10.08</v>
      </c>
      <c r="K257" s="24">
        <v>3432.94</v>
      </c>
      <c r="L257" s="38">
        <v>46269</v>
      </c>
      <c r="M257" s="23" t="s">
        <v>184</v>
      </c>
      <c r="N257" s="23" t="str">
        <f>IF(COUNTIF($A$2:A257,A257)&gt;1,"DUP","OK")</f>
        <v>OK</v>
      </c>
      <c r="O257" s="23" t="str">
        <f t="shared" si="10"/>
        <v>ORD26003703</v>
      </c>
      <c r="P257" s="23" t="str">
        <f t="shared" si="11"/>
        <v>Sep</v>
      </c>
      <c r="Q257" s="23" t="str">
        <f>IF(F257="CAPTURE",IF(COUNTIF(orders!$A:$A,O257)&gt;0,"Yes","NO ORDER"),"")</f>
        <v>Yes</v>
      </c>
    </row>
    <row r="258" spans="1:17" ht="15" customHeight="1" x14ac:dyDescent="0.3">
      <c r="A258" s="23" t="s">
        <v>12706</v>
      </c>
      <c r="B258" s="23"/>
      <c r="C258" s="23" t="s">
        <v>7899</v>
      </c>
      <c r="D258" s="23" t="str">
        <f t="shared" ref="D258:D321" si="12">UPPER(SUBSTITUTE(TRIM(C258),"-",""))</f>
        <v>ORD26003705</v>
      </c>
      <c r="E258" s="38">
        <v>46267</v>
      </c>
      <c r="F258" s="23" t="s">
        <v>12410</v>
      </c>
      <c r="G258" s="23" t="s">
        <v>81</v>
      </c>
      <c r="H258" s="24">
        <v>799</v>
      </c>
      <c r="I258" s="24">
        <v>11.99</v>
      </c>
      <c r="J258" s="24">
        <v>2.16</v>
      </c>
      <c r="K258" s="24">
        <v>784.85</v>
      </c>
      <c r="L258" s="38">
        <v>46269</v>
      </c>
      <c r="M258" s="23" t="s">
        <v>184</v>
      </c>
      <c r="N258" s="23" t="str">
        <f>IF(COUNTIF($A$2:A258,A258)&gt;1,"DUP","OK")</f>
        <v>OK</v>
      </c>
      <c r="O258" s="23" t="str">
        <f t="shared" ref="O258:O321" si="13">IF(F258="REFUND",INDEX($D:$D,MATCH(B258,$A:$A,0)),D258)</f>
        <v>ORD26003705</v>
      </c>
      <c r="P258" s="23" t="str">
        <f t="shared" ref="P258:P321" si="14">IF(L258&gt;DATE(2026,9,30),"Oct-Due","Sep")</f>
        <v>Sep</v>
      </c>
      <c r="Q258" s="23" t="str">
        <f>IF(F258="CAPTURE",IF(COUNTIF(orders!$A:$A,O258)&gt;0,"Yes","NO ORDER"),"")</f>
        <v>Yes</v>
      </c>
    </row>
    <row r="259" spans="1:17" ht="15" customHeight="1" x14ac:dyDescent="0.3">
      <c r="A259" s="23" t="s">
        <v>12707</v>
      </c>
      <c r="B259" s="23"/>
      <c r="C259" s="23" t="s">
        <v>7903</v>
      </c>
      <c r="D259" s="23" t="str">
        <f t="shared" si="12"/>
        <v>ORD26003707</v>
      </c>
      <c r="E259" s="38">
        <v>46267</v>
      </c>
      <c r="F259" s="23" t="s">
        <v>12410</v>
      </c>
      <c r="G259" s="23" t="s">
        <v>75</v>
      </c>
      <c r="H259" s="24">
        <v>5298</v>
      </c>
      <c r="I259" s="24">
        <v>15.89</v>
      </c>
      <c r="J259" s="24">
        <v>2.86</v>
      </c>
      <c r="K259" s="24">
        <v>5279.25</v>
      </c>
      <c r="L259" s="38">
        <v>46269</v>
      </c>
      <c r="M259" s="23" t="s">
        <v>184</v>
      </c>
      <c r="N259" s="23" t="str">
        <f>IF(COUNTIF($A$2:A259,A259)&gt;1,"DUP","OK")</f>
        <v>OK</v>
      </c>
      <c r="O259" s="23" t="str">
        <f t="shared" si="13"/>
        <v>ORD26003707</v>
      </c>
      <c r="P259" s="23" t="str">
        <f t="shared" si="14"/>
        <v>Sep</v>
      </c>
      <c r="Q259" s="23" t="str">
        <f>IF(F259="CAPTURE",IF(COUNTIF(orders!$A:$A,O259)&gt;0,"Yes","NO ORDER"),"")</f>
        <v>Yes</v>
      </c>
    </row>
    <row r="260" spans="1:17" ht="15" customHeight="1" x14ac:dyDescent="0.3">
      <c r="A260" s="23" t="s">
        <v>12708</v>
      </c>
      <c r="B260" s="23"/>
      <c r="C260" s="23" t="s">
        <v>12709</v>
      </c>
      <c r="D260" s="23" t="str">
        <f t="shared" si="12"/>
        <v>ORD26003715</v>
      </c>
      <c r="E260" s="38">
        <v>46267</v>
      </c>
      <c r="F260" s="23" t="s">
        <v>12410</v>
      </c>
      <c r="G260" s="23" t="s">
        <v>75</v>
      </c>
      <c r="H260" s="24">
        <v>799</v>
      </c>
      <c r="I260" s="24">
        <v>0</v>
      </c>
      <c r="J260" s="24">
        <v>0</v>
      </c>
      <c r="K260" s="24">
        <v>799</v>
      </c>
      <c r="L260" s="38">
        <v>46269</v>
      </c>
      <c r="M260" s="23" t="s">
        <v>184</v>
      </c>
      <c r="N260" s="23" t="str">
        <f>IF(COUNTIF($A$2:A260,A260)&gt;1,"DUP","OK")</f>
        <v>OK</v>
      </c>
      <c r="O260" s="23" t="str">
        <f t="shared" si="13"/>
        <v>ORD26003715</v>
      </c>
      <c r="P260" s="23" t="str">
        <f t="shared" si="14"/>
        <v>Sep</v>
      </c>
      <c r="Q260" s="23" t="str">
        <f>IF(F260="CAPTURE",IF(COUNTIF(orders!$A:$A,O260)&gt;0,"Yes","NO ORDER"),"")</f>
        <v>Yes</v>
      </c>
    </row>
    <row r="261" spans="1:17" ht="15" customHeight="1" x14ac:dyDescent="0.3">
      <c r="A261" s="23" t="s">
        <v>12710</v>
      </c>
      <c r="B261" s="23"/>
      <c r="C261" s="23" t="s">
        <v>7934</v>
      </c>
      <c r="D261" s="23" t="str">
        <f t="shared" si="12"/>
        <v>ORD26003723</v>
      </c>
      <c r="E261" s="38">
        <v>46267</v>
      </c>
      <c r="F261" s="23" t="s">
        <v>12410</v>
      </c>
      <c r="G261" s="23" t="s">
        <v>75</v>
      </c>
      <c r="H261" s="24">
        <v>2499</v>
      </c>
      <c r="I261" s="24">
        <v>7.5</v>
      </c>
      <c r="J261" s="24">
        <v>1.35</v>
      </c>
      <c r="K261" s="24">
        <v>2490.15</v>
      </c>
      <c r="L261" s="38">
        <v>46269</v>
      </c>
      <c r="M261" s="23" t="s">
        <v>184</v>
      </c>
      <c r="N261" s="23" t="str">
        <f>IF(COUNTIF($A$2:A261,A261)&gt;1,"DUP","OK")</f>
        <v>OK</v>
      </c>
      <c r="O261" s="23" t="str">
        <f t="shared" si="13"/>
        <v>ORD26003723</v>
      </c>
      <c r="P261" s="23" t="str">
        <f t="shared" si="14"/>
        <v>Sep</v>
      </c>
      <c r="Q261" s="23" t="str">
        <f>IF(F261="CAPTURE",IF(COUNTIF(orders!$A:$A,O261)&gt;0,"Yes","NO ORDER"),"")</f>
        <v>Yes</v>
      </c>
    </row>
    <row r="262" spans="1:17" ht="15" customHeight="1" x14ac:dyDescent="0.3">
      <c r="A262" s="23" t="s">
        <v>12711</v>
      </c>
      <c r="B262" s="23"/>
      <c r="C262" s="23" t="s">
        <v>7946</v>
      </c>
      <c r="D262" s="23" t="str">
        <f t="shared" si="12"/>
        <v>ORD26003729</v>
      </c>
      <c r="E262" s="38">
        <v>46267</v>
      </c>
      <c r="F262" s="23" t="s">
        <v>12410</v>
      </c>
      <c r="G262" s="23" t="s">
        <v>75</v>
      </c>
      <c r="H262" s="24">
        <v>499</v>
      </c>
      <c r="I262" s="24">
        <v>0</v>
      </c>
      <c r="J262" s="24">
        <v>0</v>
      </c>
      <c r="K262" s="24">
        <v>499</v>
      </c>
      <c r="L262" s="38">
        <v>46269</v>
      </c>
      <c r="M262" s="23" t="s">
        <v>184</v>
      </c>
      <c r="N262" s="23" t="str">
        <f>IF(COUNTIF($A$2:A262,A262)&gt;1,"DUP","OK")</f>
        <v>OK</v>
      </c>
      <c r="O262" s="23" t="str">
        <f t="shared" si="13"/>
        <v>ORD26003729</v>
      </c>
      <c r="P262" s="23" t="str">
        <f t="shared" si="14"/>
        <v>Sep</v>
      </c>
      <c r="Q262" s="23" t="str">
        <f>IF(F262="CAPTURE",IF(COUNTIF(orders!$A:$A,O262)&gt;0,"Yes","NO ORDER"),"")</f>
        <v>Yes</v>
      </c>
    </row>
    <row r="263" spans="1:17" ht="15" customHeight="1" x14ac:dyDescent="0.3">
      <c r="A263" s="23" t="s">
        <v>12712</v>
      </c>
      <c r="B263" s="23"/>
      <c r="C263" s="23" t="s">
        <v>7964</v>
      </c>
      <c r="D263" s="23" t="str">
        <f t="shared" si="12"/>
        <v>ORD26003738</v>
      </c>
      <c r="E263" s="38">
        <v>46267</v>
      </c>
      <c r="F263" s="23" t="s">
        <v>12410</v>
      </c>
      <c r="G263" s="23" t="s">
        <v>79</v>
      </c>
      <c r="H263" s="24">
        <v>999</v>
      </c>
      <c r="I263" s="24">
        <v>17.98</v>
      </c>
      <c r="J263" s="24">
        <v>3.24</v>
      </c>
      <c r="K263" s="24">
        <v>977.78</v>
      </c>
      <c r="L263" s="38">
        <v>46269</v>
      </c>
      <c r="M263" s="23" t="s">
        <v>184</v>
      </c>
      <c r="N263" s="23" t="str">
        <f>IF(COUNTIF($A$2:A263,A263)&gt;1,"DUP","OK")</f>
        <v>OK</v>
      </c>
      <c r="O263" s="23" t="str">
        <f t="shared" si="13"/>
        <v>ORD26003738</v>
      </c>
      <c r="P263" s="23" t="str">
        <f t="shared" si="14"/>
        <v>Sep</v>
      </c>
      <c r="Q263" s="23" t="str">
        <f>IF(F263="CAPTURE",IF(COUNTIF(orders!$A:$A,O263)&gt;0,"Yes","NO ORDER"),"")</f>
        <v>Yes</v>
      </c>
    </row>
    <row r="264" spans="1:17" ht="15" customHeight="1" x14ac:dyDescent="0.3">
      <c r="A264" s="23" t="s">
        <v>12713</v>
      </c>
      <c r="B264" s="23"/>
      <c r="C264" s="23" t="s">
        <v>8000</v>
      </c>
      <c r="D264" s="23" t="str">
        <f t="shared" si="12"/>
        <v>ORD26003756</v>
      </c>
      <c r="E264" s="38">
        <v>46267</v>
      </c>
      <c r="F264" s="23" t="s">
        <v>12410</v>
      </c>
      <c r="G264" s="23" t="s">
        <v>79</v>
      </c>
      <c r="H264" s="24">
        <v>1098</v>
      </c>
      <c r="I264" s="24">
        <v>19.760000000000002</v>
      </c>
      <c r="J264" s="24">
        <v>3.56</v>
      </c>
      <c r="K264" s="24">
        <v>1074.68</v>
      </c>
      <c r="L264" s="38">
        <v>46269</v>
      </c>
      <c r="M264" s="23" t="s">
        <v>184</v>
      </c>
      <c r="N264" s="23" t="str">
        <f>IF(COUNTIF($A$2:A264,A264)&gt;1,"DUP","OK")</f>
        <v>OK</v>
      </c>
      <c r="O264" s="23" t="str">
        <f t="shared" si="13"/>
        <v>ORD26003756</v>
      </c>
      <c r="P264" s="23" t="str">
        <f t="shared" si="14"/>
        <v>Sep</v>
      </c>
      <c r="Q264" s="23" t="str">
        <f>IF(F264="CAPTURE",IF(COUNTIF(orders!$A:$A,O264)&gt;0,"Yes","NO ORDER"),"")</f>
        <v>Yes</v>
      </c>
    </row>
    <row r="265" spans="1:17" ht="15" customHeight="1" x14ac:dyDescent="0.3">
      <c r="A265" s="23" t="s">
        <v>12714</v>
      </c>
      <c r="B265" s="23"/>
      <c r="C265" s="23" t="s">
        <v>8010</v>
      </c>
      <c r="D265" s="23" t="str">
        <f t="shared" si="12"/>
        <v>ORD26003761</v>
      </c>
      <c r="E265" s="38">
        <v>46267</v>
      </c>
      <c r="F265" s="23" t="s">
        <v>12410</v>
      </c>
      <c r="G265" s="23" t="s">
        <v>75</v>
      </c>
      <c r="H265" s="24">
        <v>499</v>
      </c>
      <c r="I265" s="24">
        <v>0</v>
      </c>
      <c r="J265" s="24">
        <v>0</v>
      </c>
      <c r="K265" s="24">
        <v>499</v>
      </c>
      <c r="L265" s="38">
        <v>46269</v>
      </c>
      <c r="M265" s="23" t="s">
        <v>184</v>
      </c>
      <c r="N265" s="23" t="str">
        <f>IF(COUNTIF($A$2:A265,A265)&gt;1,"DUP","OK")</f>
        <v>OK</v>
      </c>
      <c r="O265" s="23" t="str">
        <f t="shared" si="13"/>
        <v>ORD26003761</v>
      </c>
      <c r="P265" s="23" t="str">
        <f t="shared" si="14"/>
        <v>Sep</v>
      </c>
      <c r="Q265" s="23" t="str">
        <f>IF(F265="CAPTURE",IF(COUNTIF(orders!$A:$A,O265)&gt;0,"Yes","NO ORDER"),"")</f>
        <v>Yes</v>
      </c>
    </row>
    <row r="266" spans="1:17" ht="15" customHeight="1" x14ac:dyDescent="0.3">
      <c r="A266" s="23" t="s">
        <v>12715</v>
      </c>
      <c r="B266" s="23"/>
      <c r="C266" s="23" t="s">
        <v>8016</v>
      </c>
      <c r="D266" s="23" t="str">
        <f t="shared" si="12"/>
        <v>ORD26003764</v>
      </c>
      <c r="E266" s="38">
        <v>46267</v>
      </c>
      <c r="F266" s="23" t="s">
        <v>12410</v>
      </c>
      <c r="G266" s="23" t="s">
        <v>79</v>
      </c>
      <c r="H266" s="24">
        <v>3499</v>
      </c>
      <c r="I266" s="24">
        <v>55.98</v>
      </c>
      <c r="J266" s="24">
        <v>10.08</v>
      </c>
      <c r="K266" s="24">
        <v>3432.94</v>
      </c>
      <c r="L266" s="38">
        <v>46269</v>
      </c>
      <c r="M266" s="23" t="s">
        <v>184</v>
      </c>
      <c r="N266" s="23" t="str">
        <f>IF(COUNTIF($A$2:A266,A266)&gt;1,"DUP","OK")</f>
        <v>OK</v>
      </c>
      <c r="O266" s="23" t="str">
        <f t="shared" si="13"/>
        <v>ORD26003764</v>
      </c>
      <c r="P266" s="23" t="str">
        <f t="shared" si="14"/>
        <v>Sep</v>
      </c>
      <c r="Q266" s="23" t="str">
        <f>IF(F266="CAPTURE",IF(COUNTIF(orders!$A:$A,O266)&gt;0,"Yes","NO ORDER"),"")</f>
        <v>Yes</v>
      </c>
    </row>
    <row r="267" spans="1:17" ht="15" customHeight="1" x14ac:dyDescent="0.3">
      <c r="A267" s="23" t="s">
        <v>12716</v>
      </c>
      <c r="B267" s="23"/>
      <c r="C267" s="23" t="s">
        <v>8052</v>
      </c>
      <c r="D267" s="23" t="str">
        <f t="shared" si="12"/>
        <v>ORD26003782</v>
      </c>
      <c r="E267" s="38">
        <v>46267</v>
      </c>
      <c r="F267" s="23" t="s">
        <v>12410</v>
      </c>
      <c r="G267" s="23" t="s">
        <v>79</v>
      </c>
      <c r="H267" s="24">
        <v>2298</v>
      </c>
      <c r="I267" s="24">
        <v>36.770000000000003</v>
      </c>
      <c r="J267" s="24">
        <v>6.62</v>
      </c>
      <c r="K267" s="24">
        <v>2254.61</v>
      </c>
      <c r="L267" s="38">
        <v>46269</v>
      </c>
      <c r="M267" s="23" t="s">
        <v>184</v>
      </c>
      <c r="N267" s="23" t="str">
        <f>IF(COUNTIF($A$2:A267,A267)&gt;1,"DUP","OK")</f>
        <v>OK</v>
      </c>
      <c r="O267" s="23" t="str">
        <f t="shared" si="13"/>
        <v>ORD26003782</v>
      </c>
      <c r="P267" s="23" t="str">
        <f t="shared" si="14"/>
        <v>Sep</v>
      </c>
      <c r="Q267" s="23" t="str">
        <f>IF(F267="CAPTURE",IF(COUNTIF(orders!$A:$A,O267)&gt;0,"Yes","NO ORDER"),"")</f>
        <v>Yes</v>
      </c>
    </row>
    <row r="268" spans="1:17" ht="15" customHeight="1" x14ac:dyDescent="0.3">
      <c r="A268" s="23" t="s">
        <v>12717</v>
      </c>
      <c r="B268" s="23"/>
      <c r="C268" s="23" t="s">
        <v>8062</v>
      </c>
      <c r="D268" s="23" t="str">
        <f t="shared" si="12"/>
        <v>ORD26003787</v>
      </c>
      <c r="E268" s="38">
        <v>46267</v>
      </c>
      <c r="F268" s="23" t="s">
        <v>12410</v>
      </c>
      <c r="G268" s="23" t="s">
        <v>75</v>
      </c>
      <c r="H268" s="24">
        <v>898</v>
      </c>
      <c r="I268" s="24">
        <v>0</v>
      </c>
      <c r="J268" s="24">
        <v>0</v>
      </c>
      <c r="K268" s="24">
        <v>898</v>
      </c>
      <c r="L268" s="38">
        <v>46269</v>
      </c>
      <c r="M268" s="23" t="s">
        <v>184</v>
      </c>
      <c r="N268" s="23" t="str">
        <f>IF(COUNTIF($A$2:A268,A268)&gt;1,"DUP","OK")</f>
        <v>OK</v>
      </c>
      <c r="O268" s="23" t="str">
        <f t="shared" si="13"/>
        <v>ORD26003787</v>
      </c>
      <c r="P268" s="23" t="str">
        <f t="shared" si="14"/>
        <v>Sep</v>
      </c>
      <c r="Q268" s="23" t="str">
        <f>IF(F268="CAPTURE",IF(COUNTIF(orders!$A:$A,O268)&gt;0,"Yes","NO ORDER"),"")</f>
        <v>Yes</v>
      </c>
    </row>
    <row r="269" spans="1:17" ht="15" customHeight="1" x14ac:dyDescent="0.3">
      <c r="A269" s="23" t="s">
        <v>12718</v>
      </c>
      <c r="B269" s="23"/>
      <c r="C269" s="23" t="s">
        <v>8104</v>
      </c>
      <c r="D269" s="23" t="str">
        <f t="shared" si="12"/>
        <v>ORD26003808</v>
      </c>
      <c r="E269" s="38">
        <v>46267</v>
      </c>
      <c r="F269" s="23" t="s">
        <v>12410</v>
      </c>
      <c r="G269" s="23" t="s">
        <v>81</v>
      </c>
      <c r="H269" s="24">
        <v>2999</v>
      </c>
      <c r="I269" s="24">
        <v>35.99</v>
      </c>
      <c r="J269" s="24">
        <v>6.48</v>
      </c>
      <c r="K269" s="24">
        <v>2956.53</v>
      </c>
      <c r="L269" s="38">
        <v>46269</v>
      </c>
      <c r="M269" s="23" t="s">
        <v>184</v>
      </c>
      <c r="N269" s="23" t="str">
        <f>IF(COUNTIF($A$2:A269,A269)&gt;1,"DUP","OK")</f>
        <v>OK</v>
      </c>
      <c r="O269" s="23" t="str">
        <f t="shared" si="13"/>
        <v>ORD26003808</v>
      </c>
      <c r="P269" s="23" t="str">
        <f t="shared" si="14"/>
        <v>Sep</v>
      </c>
      <c r="Q269" s="23" t="str">
        <f>IF(F269="CAPTURE",IF(COUNTIF(orders!$A:$A,O269)&gt;0,"Yes","NO ORDER"),"")</f>
        <v>Yes</v>
      </c>
    </row>
    <row r="270" spans="1:17" ht="15" customHeight="1" x14ac:dyDescent="0.3">
      <c r="A270" s="23" t="s">
        <v>12719</v>
      </c>
      <c r="B270" s="23"/>
      <c r="C270" s="23" t="s">
        <v>8196</v>
      </c>
      <c r="D270" s="23" t="str">
        <f t="shared" si="12"/>
        <v>ORD26003854</v>
      </c>
      <c r="E270" s="38">
        <v>46267</v>
      </c>
      <c r="F270" s="23" t="s">
        <v>12410</v>
      </c>
      <c r="G270" s="23" t="s">
        <v>75</v>
      </c>
      <c r="H270" s="24">
        <v>7597</v>
      </c>
      <c r="I270" s="24">
        <v>22.79</v>
      </c>
      <c r="J270" s="24">
        <v>4.0999999999999996</v>
      </c>
      <c r="K270" s="24">
        <v>7570.11</v>
      </c>
      <c r="L270" s="38">
        <v>46269</v>
      </c>
      <c r="M270" s="23" t="s">
        <v>184</v>
      </c>
      <c r="N270" s="23" t="str">
        <f>IF(COUNTIF($A$2:A270,A270)&gt;1,"DUP","OK")</f>
        <v>OK</v>
      </c>
      <c r="O270" s="23" t="str">
        <f t="shared" si="13"/>
        <v>ORD26003854</v>
      </c>
      <c r="P270" s="23" t="str">
        <f t="shared" si="14"/>
        <v>Sep</v>
      </c>
      <c r="Q270" s="23" t="str">
        <f>IF(F270="CAPTURE",IF(COUNTIF(orders!$A:$A,O270)&gt;0,"Yes","NO ORDER"),"")</f>
        <v>Yes</v>
      </c>
    </row>
    <row r="271" spans="1:17" ht="15" customHeight="1" x14ac:dyDescent="0.3">
      <c r="A271" s="23" t="s">
        <v>12720</v>
      </c>
      <c r="B271" s="23"/>
      <c r="C271" s="23" t="s">
        <v>12721</v>
      </c>
      <c r="D271" s="23" t="str">
        <f t="shared" si="12"/>
        <v>ORD26003914</v>
      </c>
      <c r="E271" s="38">
        <v>46267</v>
      </c>
      <c r="F271" s="23" t="s">
        <v>12410</v>
      </c>
      <c r="G271" s="23" t="s">
        <v>75</v>
      </c>
      <c r="H271" s="24">
        <v>3499</v>
      </c>
      <c r="I271" s="24">
        <v>10.5</v>
      </c>
      <c r="J271" s="24">
        <v>1.89</v>
      </c>
      <c r="K271" s="24">
        <v>3486.61</v>
      </c>
      <c r="L271" s="38">
        <v>46269</v>
      </c>
      <c r="M271" s="23" t="s">
        <v>184</v>
      </c>
      <c r="N271" s="23" t="str">
        <f>IF(COUNTIF($A$2:A271,A271)&gt;1,"DUP","OK")</f>
        <v>OK</v>
      </c>
      <c r="O271" s="23" t="str">
        <f t="shared" si="13"/>
        <v>ORD26003914</v>
      </c>
      <c r="P271" s="23" t="str">
        <f t="shared" si="14"/>
        <v>Sep</v>
      </c>
      <c r="Q271" s="23" t="str">
        <f>IF(F271="CAPTURE",IF(COUNTIF(orders!$A:$A,O271)&gt;0,"Yes","NO ORDER"),"")</f>
        <v>Yes</v>
      </c>
    </row>
    <row r="272" spans="1:17" ht="15" customHeight="1" x14ac:dyDescent="0.3">
      <c r="A272" s="23" t="s">
        <v>12722</v>
      </c>
      <c r="B272" s="23"/>
      <c r="C272" s="23" t="s">
        <v>8347</v>
      </c>
      <c r="D272" s="23" t="str">
        <f t="shared" si="12"/>
        <v>ORD26003930</v>
      </c>
      <c r="E272" s="38">
        <v>46267</v>
      </c>
      <c r="F272" s="23" t="s">
        <v>12410</v>
      </c>
      <c r="G272" s="23" t="s">
        <v>75</v>
      </c>
      <c r="H272" s="24">
        <v>499</v>
      </c>
      <c r="I272" s="24">
        <v>0</v>
      </c>
      <c r="J272" s="24">
        <v>0</v>
      </c>
      <c r="K272" s="24">
        <v>499</v>
      </c>
      <c r="L272" s="38">
        <v>46269</v>
      </c>
      <c r="M272" s="23" t="s">
        <v>184</v>
      </c>
      <c r="N272" s="23" t="str">
        <f>IF(COUNTIF($A$2:A272,A272)&gt;1,"DUP","OK")</f>
        <v>OK</v>
      </c>
      <c r="O272" s="23" t="str">
        <f t="shared" si="13"/>
        <v>ORD26003930</v>
      </c>
      <c r="P272" s="23" t="str">
        <f t="shared" si="14"/>
        <v>Sep</v>
      </c>
      <c r="Q272" s="23" t="str">
        <f>IF(F272="CAPTURE",IF(COUNTIF(orders!$A:$A,O272)&gt;0,"Yes","NO ORDER"),"")</f>
        <v>Yes</v>
      </c>
    </row>
    <row r="273" spans="1:17" ht="15" customHeight="1" x14ac:dyDescent="0.3">
      <c r="A273" s="23" t="s">
        <v>12723</v>
      </c>
      <c r="B273" s="23"/>
      <c r="C273" s="23" t="s">
        <v>8492</v>
      </c>
      <c r="D273" s="23" t="str">
        <f t="shared" si="12"/>
        <v>ORD26004003</v>
      </c>
      <c r="E273" s="38">
        <v>46267</v>
      </c>
      <c r="F273" s="23" t="s">
        <v>12410</v>
      </c>
      <c r="G273" s="23" t="s">
        <v>79</v>
      </c>
      <c r="H273" s="24">
        <v>349</v>
      </c>
      <c r="I273" s="24">
        <v>6.28</v>
      </c>
      <c r="J273" s="24">
        <v>1.1299999999999999</v>
      </c>
      <c r="K273" s="24">
        <v>341.59</v>
      </c>
      <c r="L273" s="38">
        <v>46269</v>
      </c>
      <c r="M273" s="23" t="s">
        <v>184</v>
      </c>
      <c r="N273" s="23" t="str">
        <f>IF(COUNTIF($A$2:A273,A273)&gt;1,"DUP","OK")</f>
        <v>OK</v>
      </c>
      <c r="O273" s="23" t="str">
        <f t="shared" si="13"/>
        <v>ORD26004003</v>
      </c>
      <c r="P273" s="23" t="str">
        <f t="shared" si="14"/>
        <v>Sep</v>
      </c>
      <c r="Q273" s="23" t="str">
        <f>IF(F273="CAPTURE",IF(COUNTIF(orders!$A:$A,O273)&gt;0,"Yes","NO ORDER"),"")</f>
        <v>Yes</v>
      </c>
    </row>
    <row r="274" spans="1:17" ht="15" customHeight="1" x14ac:dyDescent="0.3">
      <c r="A274" s="23" t="s">
        <v>12724</v>
      </c>
      <c r="B274" s="23"/>
      <c r="C274" s="23" t="s">
        <v>12725</v>
      </c>
      <c r="D274" s="23" t="str">
        <f t="shared" si="12"/>
        <v>ORD26004057</v>
      </c>
      <c r="E274" s="38">
        <v>46267</v>
      </c>
      <c r="F274" s="23" t="s">
        <v>12410</v>
      </c>
      <c r="G274" s="23" t="s">
        <v>75</v>
      </c>
      <c r="H274" s="24">
        <v>2499</v>
      </c>
      <c r="I274" s="24">
        <v>7.5</v>
      </c>
      <c r="J274" s="24">
        <v>1.35</v>
      </c>
      <c r="K274" s="24">
        <v>2490.15</v>
      </c>
      <c r="L274" s="38">
        <v>46269</v>
      </c>
      <c r="M274" s="23" t="s">
        <v>184</v>
      </c>
      <c r="N274" s="23" t="str">
        <f>IF(COUNTIF($A$2:A274,A274)&gt;1,"DUP","OK")</f>
        <v>OK</v>
      </c>
      <c r="O274" s="23" t="str">
        <f t="shared" si="13"/>
        <v>ORD26004057</v>
      </c>
      <c r="P274" s="23" t="str">
        <f t="shared" si="14"/>
        <v>Sep</v>
      </c>
      <c r="Q274" s="23" t="str">
        <f>IF(F274="CAPTURE",IF(COUNTIF(orders!$A:$A,O274)&gt;0,"Yes","NO ORDER"),"")</f>
        <v>Yes</v>
      </c>
    </row>
    <row r="275" spans="1:17" ht="15" customHeight="1" x14ac:dyDescent="0.3">
      <c r="A275" s="23" t="s">
        <v>12726</v>
      </c>
      <c r="B275" s="23"/>
      <c r="C275" s="23" t="s">
        <v>8719</v>
      </c>
      <c r="D275" s="23" t="str">
        <f t="shared" si="12"/>
        <v>ORD26004119</v>
      </c>
      <c r="E275" s="38">
        <v>46267</v>
      </c>
      <c r="F275" s="23" t="s">
        <v>12410</v>
      </c>
      <c r="G275" s="23" t="s">
        <v>75</v>
      </c>
      <c r="H275" s="24">
        <v>299</v>
      </c>
      <c r="I275" s="24">
        <v>0</v>
      </c>
      <c r="J275" s="24">
        <v>0</v>
      </c>
      <c r="K275" s="24">
        <v>299</v>
      </c>
      <c r="L275" s="38">
        <v>46269</v>
      </c>
      <c r="M275" s="23" t="s">
        <v>184</v>
      </c>
      <c r="N275" s="23" t="str">
        <f>IF(COUNTIF($A$2:A275,A275)&gt;1,"DUP","OK")</f>
        <v>OK</v>
      </c>
      <c r="O275" s="23" t="str">
        <f t="shared" si="13"/>
        <v>ORD26004119</v>
      </c>
      <c r="P275" s="23" t="str">
        <f t="shared" si="14"/>
        <v>Sep</v>
      </c>
      <c r="Q275" s="23" t="str">
        <f>IF(F275="CAPTURE",IF(COUNTIF(orders!$A:$A,O275)&gt;0,"Yes","NO ORDER"),"")</f>
        <v>Yes</v>
      </c>
    </row>
    <row r="276" spans="1:17" ht="15" customHeight="1" x14ac:dyDescent="0.3">
      <c r="A276" s="23" t="s">
        <v>12727</v>
      </c>
      <c r="B276" s="23"/>
      <c r="C276" s="23" t="s">
        <v>8807</v>
      </c>
      <c r="D276" s="23" t="str">
        <f t="shared" si="12"/>
        <v>ORD26004165</v>
      </c>
      <c r="E276" s="38">
        <v>46267</v>
      </c>
      <c r="F276" s="23" t="s">
        <v>12410</v>
      </c>
      <c r="G276" s="23" t="s">
        <v>75</v>
      </c>
      <c r="H276" s="24">
        <v>4298</v>
      </c>
      <c r="I276" s="24">
        <v>12.89</v>
      </c>
      <c r="J276" s="24">
        <v>2.3199999999999998</v>
      </c>
      <c r="K276" s="24">
        <v>4282.79</v>
      </c>
      <c r="L276" s="38">
        <v>46269</v>
      </c>
      <c r="M276" s="23" t="s">
        <v>184</v>
      </c>
      <c r="N276" s="23" t="str">
        <f>IF(COUNTIF($A$2:A276,A276)&gt;1,"DUP","OK")</f>
        <v>OK</v>
      </c>
      <c r="O276" s="23" t="str">
        <f t="shared" si="13"/>
        <v>ORD26004165</v>
      </c>
      <c r="P276" s="23" t="str">
        <f t="shared" si="14"/>
        <v>Sep</v>
      </c>
      <c r="Q276" s="23" t="str">
        <f>IF(F276="CAPTURE",IF(COUNTIF(orders!$A:$A,O276)&gt;0,"Yes","NO ORDER"),"")</f>
        <v>Yes</v>
      </c>
    </row>
    <row r="277" spans="1:17" ht="15" customHeight="1" x14ac:dyDescent="0.3">
      <c r="A277" s="23" t="s">
        <v>12728</v>
      </c>
      <c r="B277" s="23"/>
      <c r="C277" s="23" t="s">
        <v>8872</v>
      </c>
      <c r="D277" s="23" t="str">
        <f t="shared" si="12"/>
        <v>ORD26004198</v>
      </c>
      <c r="E277" s="38">
        <v>46267</v>
      </c>
      <c r="F277" s="23" t="s">
        <v>12410</v>
      </c>
      <c r="G277" s="23" t="s">
        <v>79</v>
      </c>
      <c r="H277" s="24">
        <v>7999</v>
      </c>
      <c r="I277" s="24">
        <v>127.98</v>
      </c>
      <c r="J277" s="24">
        <v>23.04</v>
      </c>
      <c r="K277" s="24">
        <v>7847.98</v>
      </c>
      <c r="L277" s="38">
        <v>46269</v>
      </c>
      <c r="M277" s="23" t="s">
        <v>184</v>
      </c>
      <c r="N277" s="23" t="str">
        <f>IF(COUNTIF($A$2:A277,A277)&gt;1,"DUP","OK")</f>
        <v>OK</v>
      </c>
      <c r="O277" s="23" t="str">
        <f t="shared" si="13"/>
        <v>ORD26004198</v>
      </c>
      <c r="P277" s="23" t="str">
        <f t="shared" si="14"/>
        <v>Sep</v>
      </c>
      <c r="Q277" s="23" t="str">
        <f>IF(F277="CAPTURE",IF(COUNTIF(orders!$A:$A,O277)&gt;0,"Yes","NO ORDER"),"")</f>
        <v>Yes</v>
      </c>
    </row>
    <row r="278" spans="1:17" ht="15" customHeight="1" x14ac:dyDescent="0.3">
      <c r="A278" s="23" t="s">
        <v>12729</v>
      </c>
      <c r="B278" s="23"/>
      <c r="C278" s="23" t="s">
        <v>8963</v>
      </c>
      <c r="D278" s="23" t="str">
        <f t="shared" si="12"/>
        <v>ORD26004245</v>
      </c>
      <c r="E278" s="38">
        <v>46267</v>
      </c>
      <c r="F278" s="23" t="s">
        <v>12410</v>
      </c>
      <c r="G278" s="23" t="s">
        <v>75</v>
      </c>
      <c r="H278" s="24">
        <v>999</v>
      </c>
      <c r="I278" s="24">
        <v>0</v>
      </c>
      <c r="J278" s="24">
        <v>0</v>
      </c>
      <c r="K278" s="24">
        <v>999</v>
      </c>
      <c r="L278" s="38">
        <v>46269</v>
      </c>
      <c r="M278" s="23" t="s">
        <v>184</v>
      </c>
      <c r="N278" s="23" t="str">
        <f>IF(COUNTIF($A$2:A278,A278)&gt;1,"DUP","OK")</f>
        <v>OK</v>
      </c>
      <c r="O278" s="23" t="str">
        <f t="shared" si="13"/>
        <v>ORD26004245</v>
      </c>
      <c r="P278" s="23" t="str">
        <f t="shared" si="14"/>
        <v>Sep</v>
      </c>
      <c r="Q278" s="23" t="str">
        <f>IF(F278="CAPTURE",IF(COUNTIF(orders!$A:$A,O278)&gt;0,"Yes","NO ORDER"),"")</f>
        <v>Yes</v>
      </c>
    </row>
    <row r="279" spans="1:17" ht="15" customHeight="1" x14ac:dyDescent="0.3">
      <c r="A279" s="23" t="s">
        <v>12730</v>
      </c>
      <c r="B279" s="23"/>
      <c r="C279" s="23" t="s">
        <v>9009</v>
      </c>
      <c r="D279" s="23" t="str">
        <f t="shared" si="12"/>
        <v>ORD26004268</v>
      </c>
      <c r="E279" s="38">
        <v>46267</v>
      </c>
      <c r="F279" s="23" t="s">
        <v>12410</v>
      </c>
      <c r="G279" s="23" t="s">
        <v>75</v>
      </c>
      <c r="H279" s="24">
        <v>2999</v>
      </c>
      <c r="I279" s="24">
        <v>9</v>
      </c>
      <c r="J279" s="24">
        <v>1.62</v>
      </c>
      <c r="K279" s="24">
        <v>2988.38</v>
      </c>
      <c r="L279" s="38">
        <v>46269</v>
      </c>
      <c r="M279" s="23" t="s">
        <v>184</v>
      </c>
      <c r="N279" s="23" t="str">
        <f>IF(COUNTIF($A$2:A279,A279)&gt;1,"DUP","OK")</f>
        <v>OK</v>
      </c>
      <c r="O279" s="23" t="str">
        <f t="shared" si="13"/>
        <v>ORD26004268</v>
      </c>
      <c r="P279" s="23" t="str">
        <f t="shared" si="14"/>
        <v>Sep</v>
      </c>
      <c r="Q279" s="23" t="str">
        <f>IF(F279="CAPTURE",IF(COUNTIF(orders!$A:$A,O279)&gt;0,"Yes","NO ORDER"),"")</f>
        <v>Yes</v>
      </c>
    </row>
    <row r="280" spans="1:17" ht="15" customHeight="1" x14ac:dyDescent="0.3">
      <c r="A280" s="23" t="s">
        <v>12731</v>
      </c>
      <c r="B280" s="23"/>
      <c r="C280" s="23" t="s">
        <v>12732</v>
      </c>
      <c r="D280" s="23" t="str">
        <f t="shared" si="12"/>
        <v>ORD26004272</v>
      </c>
      <c r="E280" s="38">
        <v>46267</v>
      </c>
      <c r="F280" s="23" t="s">
        <v>12410</v>
      </c>
      <c r="G280" s="23" t="s">
        <v>75</v>
      </c>
      <c r="H280" s="24">
        <v>349</v>
      </c>
      <c r="I280" s="24">
        <v>0</v>
      </c>
      <c r="J280" s="24">
        <v>0</v>
      </c>
      <c r="K280" s="24">
        <v>349</v>
      </c>
      <c r="L280" s="38">
        <v>46269</v>
      </c>
      <c r="M280" s="23" t="s">
        <v>184</v>
      </c>
      <c r="N280" s="23" t="str">
        <f>IF(COUNTIF($A$2:A280,A280)&gt;1,"DUP","OK")</f>
        <v>OK</v>
      </c>
      <c r="O280" s="23" t="str">
        <f t="shared" si="13"/>
        <v>ORD26004272</v>
      </c>
      <c r="P280" s="23" t="str">
        <f t="shared" si="14"/>
        <v>Sep</v>
      </c>
      <c r="Q280" s="23" t="str">
        <f>IF(F280="CAPTURE",IF(COUNTIF(orders!$A:$A,O280)&gt;0,"Yes","NO ORDER"),"")</f>
        <v>Yes</v>
      </c>
    </row>
    <row r="281" spans="1:17" ht="15" customHeight="1" x14ac:dyDescent="0.3">
      <c r="A281" s="23" t="s">
        <v>12733</v>
      </c>
      <c r="B281" s="23"/>
      <c r="C281" s="23" t="s">
        <v>9071</v>
      </c>
      <c r="D281" s="23" t="str">
        <f t="shared" si="12"/>
        <v>ORD26004298</v>
      </c>
      <c r="E281" s="38">
        <v>46267</v>
      </c>
      <c r="F281" s="23" t="s">
        <v>12410</v>
      </c>
      <c r="G281" s="23" t="s">
        <v>79</v>
      </c>
      <c r="H281" s="24">
        <v>1799</v>
      </c>
      <c r="I281" s="24">
        <v>32.380000000000003</v>
      </c>
      <c r="J281" s="24">
        <v>5.83</v>
      </c>
      <c r="K281" s="24">
        <v>1760.79</v>
      </c>
      <c r="L281" s="38">
        <v>46269</v>
      </c>
      <c r="M281" s="23" t="s">
        <v>184</v>
      </c>
      <c r="N281" s="23" t="str">
        <f>IF(COUNTIF($A$2:A281,A281)&gt;1,"DUP","OK")</f>
        <v>OK</v>
      </c>
      <c r="O281" s="23" t="str">
        <f t="shared" si="13"/>
        <v>ORD26004298</v>
      </c>
      <c r="P281" s="23" t="str">
        <f t="shared" si="14"/>
        <v>Sep</v>
      </c>
      <c r="Q281" s="23" t="str">
        <f>IF(F281="CAPTURE",IF(COUNTIF(orders!$A:$A,O281)&gt;0,"Yes","NO ORDER"),"")</f>
        <v>Yes</v>
      </c>
    </row>
    <row r="282" spans="1:17" ht="15" customHeight="1" x14ac:dyDescent="0.3">
      <c r="A282" s="23" t="s">
        <v>12734</v>
      </c>
      <c r="B282" s="23"/>
      <c r="C282" s="23" t="s">
        <v>9177</v>
      </c>
      <c r="D282" s="23" t="str">
        <f t="shared" si="12"/>
        <v>ORD26004350</v>
      </c>
      <c r="E282" s="38">
        <v>46267</v>
      </c>
      <c r="F282" s="23" t="s">
        <v>12410</v>
      </c>
      <c r="G282" s="23" t="s">
        <v>75</v>
      </c>
      <c r="H282" s="24">
        <v>2597</v>
      </c>
      <c r="I282" s="24">
        <v>7.79</v>
      </c>
      <c r="J282" s="24">
        <v>1.4</v>
      </c>
      <c r="K282" s="24">
        <v>2587.81</v>
      </c>
      <c r="L282" s="38">
        <v>46269</v>
      </c>
      <c r="M282" s="23" t="s">
        <v>184</v>
      </c>
      <c r="N282" s="23" t="str">
        <f>IF(COUNTIF($A$2:A282,A282)&gt;1,"DUP","OK")</f>
        <v>OK</v>
      </c>
      <c r="O282" s="23" t="str">
        <f t="shared" si="13"/>
        <v>ORD26004350</v>
      </c>
      <c r="P282" s="23" t="str">
        <f t="shared" si="14"/>
        <v>Sep</v>
      </c>
      <c r="Q282" s="23" t="str">
        <f>IF(F282="CAPTURE",IF(COUNTIF(orders!$A:$A,O282)&gt;0,"Yes","NO ORDER"),"")</f>
        <v>Yes</v>
      </c>
    </row>
    <row r="283" spans="1:17" ht="15" customHeight="1" x14ac:dyDescent="0.3">
      <c r="A283" s="23" t="s">
        <v>12735</v>
      </c>
      <c r="B283" s="23"/>
      <c r="C283" s="23" t="s">
        <v>9208</v>
      </c>
      <c r="D283" s="23" t="str">
        <f t="shared" si="12"/>
        <v>ORD26004366</v>
      </c>
      <c r="E283" s="38">
        <v>46267</v>
      </c>
      <c r="F283" s="23" t="s">
        <v>12410</v>
      </c>
      <c r="G283" s="23" t="s">
        <v>79</v>
      </c>
      <c r="H283" s="24">
        <v>4999</v>
      </c>
      <c r="I283" s="24">
        <v>79.98</v>
      </c>
      <c r="J283" s="24">
        <v>14.4</v>
      </c>
      <c r="K283" s="24">
        <v>4904.62</v>
      </c>
      <c r="L283" s="38">
        <v>46269</v>
      </c>
      <c r="M283" s="23" t="s">
        <v>184</v>
      </c>
      <c r="N283" s="23" t="str">
        <f>IF(COUNTIF($A$2:A283,A283)&gt;1,"DUP","OK")</f>
        <v>OK</v>
      </c>
      <c r="O283" s="23" t="str">
        <f t="shared" si="13"/>
        <v>ORD26004366</v>
      </c>
      <c r="P283" s="23" t="str">
        <f t="shared" si="14"/>
        <v>Sep</v>
      </c>
      <c r="Q283" s="23" t="str">
        <f>IF(F283="CAPTURE",IF(COUNTIF(orders!$A:$A,O283)&gt;0,"Yes","NO ORDER"),"")</f>
        <v>Yes</v>
      </c>
    </row>
    <row r="284" spans="1:17" ht="15" customHeight="1" x14ac:dyDescent="0.3">
      <c r="A284" s="23" t="s">
        <v>12736</v>
      </c>
      <c r="B284" s="23"/>
      <c r="C284" s="23" t="s">
        <v>9274</v>
      </c>
      <c r="D284" s="23" t="str">
        <f t="shared" si="12"/>
        <v>ORD26004400</v>
      </c>
      <c r="E284" s="38">
        <v>46267</v>
      </c>
      <c r="F284" s="23" t="s">
        <v>12410</v>
      </c>
      <c r="G284" s="23" t="s">
        <v>77</v>
      </c>
      <c r="H284" s="24">
        <v>7999</v>
      </c>
      <c r="I284" s="24">
        <v>191.98</v>
      </c>
      <c r="J284" s="24">
        <v>34.56</v>
      </c>
      <c r="K284" s="24">
        <v>7772.46</v>
      </c>
      <c r="L284" s="38">
        <v>46269</v>
      </c>
      <c r="M284" s="23" t="s">
        <v>184</v>
      </c>
      <c r="N284" s="23" t="str">
        <f>IF(COUNTIF($A$2:A284,A284)&gt;1,"DUP","OK")</f>
        <v>OK</v>
      </c>
      <c r="O284" s="23" t="str">
        <f t="shared" si="13"/>
        <v>ORD26004400</v>
      </c>
      <c r="P284" s="23" t="str">
        <f t="shared" si="14"/>
        <v>Sep</v>
      </c>
      <c r="Q284" s="23" t="str">
        <f>IF(F284="CAPTURE",IF(COUNTIF(orders!$A:$A,O284)&gt;0,"Yes","NO ORDER"),"")</f>
        <v>Yes</v>
      </c>
    </row>
    <row r="285" spans="1:17" ht="15" customHeight="1" x14ac:dyDescent="0.3">
      <c r="A285" s="23" t="s">
        <v>12737</v>
      </c>
      <c r="B285" s="23"/>
      <c r="C285" s="23" t="s">
        <v>9406</v>
      </c>
      <c r="D285" s="23" t="str">
        <f t="shared" si="12"/>
        <v>ORD26004467</v>
      </c>
      <c r="E285" s="38">
        <v>46267</v>
      </c>
      <c r="F285" s="23" t="s">
        <v>12410</v>
      </c>
      <c r="G285" s="23" t="s">
        <v>81</v>
      </c>
      <c r="H285" s="24">
        <v>1299</v>
      </c>
      <c r="I285" s="24">
        <v>19.489999999999998</v>
      </c>
      <c r="J285" s="24">
        <v>3.51</v>
      </c>
      <c r="K285" s="24">
        <v>1276</v>
      </c>
      <c r="L285" s="38">
        <v>46269</v>
      </c>
      <c r="M285" s="23" t="s">
        <v>184</v>
      </c>
      <c r="N285" s="23" t="str">
        <f>IF(COUNTIF($A$2:A285,A285)&gt;1,"DUP","OK")</f>
        <v>OK</v>
      </c>
      <c r="O285" s="23" t="str">
        <f t="shared" si="13"/>
        <v>ORD26004467</v>
      </c>
      <c r="P285" s="23" t="str">
        <f t="shared" si="14"/>
        <v>Sep</v>
      </c>
      <c r="Q285" s="23" t="str">
        <f>IF(F285="CAPTURE",IF(COUNTIF(orders!$A:$A,O285)&gt;0,"Yes","NO ORDER"),"")</f>
        <v>Yes</v>
      </c>
    </row>
    <row r="286" spans="1:17" ht="15" customHeight="1" x14ac:dyDescent="0.3">
      <c r="A286" s="23" t="s">
        <v>12738</v>
      </c>
      <c r="B286" s="23"/>
      <c r="C286" s="23" t="s">
        <v>9413</v>
      </c>
      <c r="D286" s="23" t="str">
        <f t="shared" si="12"/>
        <v>ORD26004471</v>
      </c>
      <c r="E286" s="38">
        <v>46267</v>
      </c>
      <c r="F286" s="23" t="s">
        <v>12410</v>
      </c>
      <c r="G286" s="23" t="s">
        <v>81</v>
      </c>
      <c r="H286" s="24">
        <v>349</v>
      </c>
      <c r="I286" s="24">
        <v>5.24</v>
      </c>
      <c r="J286" s="24">
        <v>0.94</v>
      </c>
      <c r="K286" s="24">
        <v>342.82</v>
      </c>
      <c r="L286" s="38">
        <v>46269</v>
      </c>
      <c r="M286" s="23" t="s">
        <v>184</v>
      </c>
      <c r="N286" s="23" t="str">
        <f>IF(COUNTIF($A$2:A286,A286)&gt;1,"DUP","OK")</f>
        <v>OK</v>
      </c>
      <c r="O286" s="23" t="str">
        <f t="shared" si="13"/>
        <v>ORD26004471</v>
      </c>
      <c r="P286" s="23" t="str">
        <f t="shared" si="14"/>
        <v>Sep</v>
      </c>
      <c r="Q286" s="23" t="str">
        <f>IF(F286="CAPTURE",IF(COUNTIF(orders!$A:$A,O286)&gt;0,"Yes","NO ORDER"),"")</f>
        <v>Yes</v>
      </c>
    </row>
    <row r="287" spans="1:17" ht="15" customHeight="1" x14ac:dyDescent="0.3">
      <c r="A287" s="23" t="s">
        <v>12739</v>
      </c>
      <c r="B287" s="23"/>
      <c r="C287" s="23" t="s">
        <v>9549</v>
      </c>
      <c r="D287" s="23" t="str">
        <f t="shared" si="12"/>
        <v>ORD26004538</v>
      </c>
      <c r="E287" s="38">
        <v>46267</v>
      </c>
      <c r="F287" s="23" t="s">
        <v>12410</v>
      </c>
      <c r="G287" s="23" t="s">
        <v>75</v>
      </c>
      <c r="H287" s="24">
        <v>4098</v>
      </c>
      <c r="I287" s="24">
        <v>12.29</v>
      </c>
      <c r="J287" s="24">
        <v>2.21</v>
      </c>
      <c r="K287" s="24">
        <v>4083.5</v>
      </c>
      <c r="L287" s="38">
        <v>46269</v>
      </c>
      <c r="M287" s="23" t="s">
        <v>184</v>
      </c>
      <c r="N287" s="23" t="str">
        <f>IF(COUNTIF($A$2:A287,A287)&gt;1,"DUP","OK")</f>
        <v>OK</v>
      </c>
      <c r="O287" s="23" t="str">
        <f t="shared" si="13"/>
        <v>ORD26004538</v>
      </c>
      <c r="P287" s="23" t="str">
        <f t="shared" si="14"/>
        <v>Sep</v>
      </c>
      <c r="Q287" s="23" t="str">
        <f>IF(F287="CAPTURE",IF(COUNTIF(orders!$A:$A,O287)&gt;0,"Yes","NO ORDER"),"")</f>
        <v>Yes</v>
      </c>
    </row>
    <row r="288" spans="1:17" ht="15" customHeight="1" x14ac:dyDescent="0.3">
      <c r="A288" s="23" t="s">
        <v>12740</v>
      </c>
      <c r="B288" s="23"/>
      <c r="C288" s="23" t="s">
        <v>9567</v>
      </c>
      <c r="D288" s="23" t="str">
        <f t="shared" si="12"/>
        <v>ORD26004547</v>
      </c>
      <c r="E288" s="38">
        <v>46267</v>
      </c>
      <c r="F288" s="23" t="s">
        <v>12410</v>
      </c>
      <c r="G288" s="23" t="s">
        <v>75</v>
      </c>
      <c r="H288" s="24">
        <v>1798</v>
      </c>
      <c r="I288" s="24">
        <v>0</v>
      </c>
      <c r="J288" s="24">
        <v>0</v>
      </c>
      <c r="K288" s="24">
        <v>1798</v>
      </c>
      <c r="L288" s="38">
        <v>46269</v>
      </c>
      <c r="M288" s="23" t="s">
        <v>184</v>
      </c>
      <c r="N288" s="23" t="str">
        <f>IF(COUNTIF($A$2:A288,A288)&gt;1,"DUP","OK")</f>
        <v>OK</v>
      </c>
      <c r="O288" s="23" t="str">
        <f t="shared" si="13"/>
        <v>ORD26004547</v>
      </c>
      <c r="P288" s="23" t="str">
        <f t="shared" si="14"/>
        <v>Sep</v>
      </c>
      <c r="Q288" s="23" t="str">
        <f>IF(F288="CAPTURE",IF(COUNTIF(orders!$A:$A,O288)&gt;0,"Yes","NO ORDER"),"")</f>
        <v>Yes</v>
      </c>
    </row>
    <row r="289" spans="1:17" ht="15" customHeight="1" x14ac:dyDescent="0.3">
      <c r="A289" s="23" t="s">
        <v>12741</v>
      </c>
      <c r="B289" s="23"/>
      <c r="C289" s="23" t="s">
        <v>9625</v>
      </c>
      <c r="D289" s="23" t="str">
        <f t="shared" si="12"/>
        <v>ORD26004576</v>
      </c>
      <c r="E289" s="38">
        <v>46267</v>
      </c>
      <c r="F289" s="23" t="s">
        <v>12410</v>
      </c>
      <c r="G289" s="23" t="s">
        <v>79</v>
      </c>
      <c r="H289" s="24">
        <v>2947</v>
      </c>
      <c r="I289" s="24">
        <v>47.15</v>
      </c>
      <c r="J289" s="24">
        <v>8.49</v>
      </c>
      <c r="K289" s="24">
        <v>2891.36</v>
      </c>
      <c r="L289" s="38">
        <v>46269</v>
      </c>
      <c r="M289" s="23" t="s">
        <v>184</v>
      </c>
      <c r="N289" s="23" t="str">
        <f>IF(COUNTIF($A$2:A289,A289)&gt;1,"DUP","OK")</f>
        <v>OK</v>
      </c>
      <c r="O289" s="23" t="str">
        <f t="shared" si="13"/>
        <v>ORD26004576</v>
      </c>
      <c r="P289" s="23" t="str">
        <f t="shared" si="14"/>
        <v>Sep</v>
      </c>
      <c r="Q289" s="23" t="str">
        <f>IF(F289="CAPTURE",IF(COUNTIF(orders!$A:$A,O289)&gt;0,"Yes","NO ORDER"),"")</f>
        <v>Yes</v>
      </c>
    </row>
    <row r="290" spans="1:17" ht="15" customHeight="1" x14ac:dyDescent="0.3">
      <c r="A290" s="23" t="s">
        <v>12742</v>
      </c>
      <c r="B290" s="23"/>
      <c r="C290" s="23" t="s">
        <v>9632</v>
      </c>
      <c r="D290" s="23" t="str">
        <f t="shared" si="12"/>
        <v>ORD26004580</v>
      </c>
      <c r="E290" s="38">
        <v>46267</v>
      </c>
      <c r="F290" s="23" t="s">
        <v>12410</v>
      </c>
      <c r="G290" s="23" t="s">
        <v>79</v>
      </c>
      <c r="H290" s="24">
        <v>6998</v>
      </c>
      <c r="I290" s="24">
        <v>111.97</v>
      </c>
      <c r="J290" s="24">
        <v>20.149999999999999</v>
      </c>
      <c r="K290" s="24">
        <v>6865.88</v>
      </c>
      <c r="L290" s="38">
        <v>46269</v>
      </c>
      <c r="M290" s="23" t="s">
        <v>184</v>
      </c>
      <c r="N290" s="23" t="str">
        <f>IF(COUNTIF($A$2:A290,A290)&gt;1,"DUP","OK")</f>
        <v>OK</v>
      </c>
      <c r="O290" s="23" t="str">
        <f t="shared" si="13"/>
        <v>ORD26004580</v>
      </c>
      <c r="P290" s="23" t="str">
        <f t="shared" si="14"/>
        <v>Sep</v>
      </c>
      <c r="Q290" s="23" t="str">
        <f>IF(F290="CAPTURE",IF(COUNTIF(orders!$A:$A,O290)&gt;0,"Yes","NO ORDER"),"")</f>
        <v>Yes</v>
      </c>
    </row>
    <row r="291" spans="1:17" ht="15" customHeight="1" x14ac:dyDescent="0.3">
      <c r="A291" s="23" t="s">
        <v>12743</v>
      </c>
      <c r="B291" s="23"/>
      <c r="C291" s="23" t="s">
        <v>12744</v>
      </c>
      <c r="D291" s="23" t="str">
        <f t="shared" si="12"/>
        <v>ORD26004628</v>
      </c>
      <c r="E291" s="38">
        <v>46267</v>
      </c>
      <c r="F291" s="23" t="s">
        <v>12410</v>
      </c>
      <c r="G291" s="23" t="s">
        <v>77</v>
      </c>
      <c r="H291" s="24">
        <v>8798</v>
      </c>
      <c r="I291" s="24">
        <v>149.57</v>
      </c>
      <c r="J291" s="24">
        <v>26.92</v>
      </c>
      <c r="K291" s="24">
        <v>8621.51</v>
      </c>
      <c r="L291" s="38">
        <v>46269</v>
      </c>
      <c r="M291" s="23" t="s">
        <v>184</v>
      </c>
      <c r="N291" s="23" t="str">
        <f>IF(COUNTIF($A$2:A291,A291)&gt;1,"DUP","OK")</f>
        <v>OK</v>
      </c>
      <c r="O291" s="23" t="str">
        <f t="shared" si="13"/>
        <v>ORD26004628</v>
      </c>
      <c r="P291" s="23" t="str">
        <f t="shared" si="14"/>
        <v>Sep</v>
      </c>
      <c r="Q291" s="23" t="str">
        <f>IF(F291="CAPTURE",IF(COUNTIF(orders!$A:$A,O291)&gt;0,"Yes","NO ORDER"),"")</f>
        <v>Yes</v>
      </c>
    </row>
    <row r="292" spans="1:17" ht="15" customHeight="1" x14ac:dyDescent="0.3">
      <c r="A292" s="23" t="s">
        <v>12745</v>
      </c>
      <c r="B292" s="23"/>
      <c r="C292" s="23" t="s">
        <v>9914</v>
      </c>
      <c r="D292" s="23" t="str">
        <f t="shared" si="12"/>
        <v>ORD26004724</v>
      </c>
      <c r="E292" s="38">
        <v>46267</v>
      </c>
      <c r="F292" s="23" t="s">
        <v>12410</v>
      </c>
      <c r="G292" s="23" t="s">
        <v>81</v>
      </c>
      <c r="H292" s="24">
        <v>3998</v>
      </c>
      <c r="I292" s="24">
        <v>47.98</v>
      </c>
      <c r="J292" s="24">
        <v>8.64</v>
      </c>
      <c r="K292" s="24">
        <v>3941.38</v>
      </c>
      <c r="L292" s="38">
        <v>46269</v>
      </c>
      <c r="M292" s="23" t="s">
        <v>184</v>
      </c>
      <c r="N292" s="23" t="str">
        <f>IF(COUNTIF($A$2:A292,A292)&gt;1,"DUP","OK")</f>
        <v>OK</v>
      </c>
      <c r="O292" s="23" t="str">
        <f t="shared" si="13"/>
        <v>ORD26004724</v>
      </c>
      <c r="P292" s="23" t="str">
        <f t="shared" si="14"/>
        <v>Sep</v>
      </c>
      <c r="Q292" s="23" t="str">
        <f>IF(F292="CAPTURE",IF(COUNTIF(orders!$A:$A,O292)&gt;0,"Yes","NO ORDER"),"")</f>
        <v>Yes</v>
      </c>
    </row>
    <row r="293" spans="1:17" ht="15" customHeight="1" x14ac:dyDescent="0.3">
      <c r="A293" s="23" t="s">
        <v>12746</v>
      </c>
      <c r="B293" s="23"/>
      <c r="C293" s="23" t="s">
        <v>9964</v>
      </c>
      <c r="D293" s="23" t="str">
        <f t="shared" si="12"/>
        <v>ORD26004750</v>
      </c>
      <c r="E293" s="38">
        <v>46267</v>
      </c>
      <c r="F293" s="23" t="s">
        <v>12410</v>
      </c>
      <c r="G293" s="23" t="s">
        <v>75</v>
      </c>
      <c r="H293" s="24">
        <v>499</v>
      </c>
      <c r="I293" s="24">
        <v>0</v>
      </c>
      <c r="J293" s="24">
        <v>0</v>
      </c>
      <c r="K293" s="24">
        <v>499</v>
      </c>
      <c r="L293" s="38">
        <v>46269</v>
      </c>
      <c r="M293" s="23" t="s">
        <v>184</v>
      </c>
      <c r="N293" s="23" t="str">
        <f>IF(COUNTIF($A$2:A293,A293)&gt;1,"DUP","OK")</f>
        <v>OK</v>
      </c>
      <c r="O293" s="23" t="str">
        <f t="shared" si="13"/>
        <v>ORD26004750</v>
      </c>
      <c r="P293" s="23" t="str">
        <f t="shared" si="14"/>
        <v>Sep</v>
      </c>
      <c r="Q293" s="23" t="str">
        <f>IF(F293="CAPTURE",IF(COUNTIF(orders!$A:$A,O293)&gt;0,"Yes","NO ORDER"),"")</f>
        <v>Yes</v>
      </c>
    </row>
    <row r="294" spans="1:17" ht="15" customHeight="1" x14ac:dyDescent="0.3">
      <c r="A294" s="23" t="s">
        <v>12747</v>
      </c>
      <c r="B294" s="23"/>
      <c r="C294" s="23" t="s">
        <v>12748</v>
      </c>
      <c r="D294" s="23" t="str">
        <f t="shared" si="12"/>
        <v>ORD26004773</v>
      </c>
      <c r="E294" s="38">
        <v>46267</v>
      </c>
      <c r="F294" s="23" t="s">
        <v>12410</v>
      </c>
      <c r="G294" s="23" t="s">
        <v>81</v>
      </c>
      <c r="H294" s="24">
        <v>349</v>
      </c>
      <c r="I294" s="24">
        <v>5.24</v>
      </c>
      <c r="J294" s="24">
        <v>0.94</v>
      </c>
      <c r="K294" s="24">
        <v>342.82</v>
      </c>
      <c r="L294" s="38">
        <v>46269</v>
      </c>
      <c r="M294" s="23" t="s">
        <v>184</v>
      </c>
      <c r="N294" s="23" t="str">
        <f>IF(COUNTIF($A$2:A294,A294)&gt;1,"DUP","OK")</f>
        <v>OK</v>
      </c>
      <c r="O294" s="23" t="str">
        <f t="shared" si="13"/>
        <v>ORD26004773</v>
      </c>
      <c r="P294" s="23" t="str">
        <f t="shared" si="14"/>
        <v>Sep</v>
      </c>
      <c r="Q294" s="23" t="str">
        <f>IF(F294="CAPTURE",IF(COUNTIF(orders!$A:$A,O294)&gt;0,"Yes","NO ORDER"),"")</f>
        <v>Yes</v>
      </c>
    </row>
    <row r="295" spans="1:17" ht="15" customHeight="1" x14ac:dyDescent="0.3">
      <c r="A295" s="23" t="s">
        <v>12749</v>
      </c>
      <c r="B295" s="23"/>
      <c r="C295" s="23" t="s">
        <v>10028</v>
      </c>
      <c r="D295" s="23" t="str">
        <f t="shared" si="12"/>
        <v>ORD26004783</v>
      </c>
      <c r="E295" s="38">
        <v>46267</v>
      </c>
      <c r="F295" s="23" t="s">
        <v>12410</v>
      </c>
      <c r="G295" s="23" t="s">
        <v>75</v>
      </c>
      <c r="H295" s="24">
        <v>1098</v>
      </c>
      <c r="I295" s="24">
        <v>0</v>
      </c>
      <c r="J295" s="24">
        <v>0</v>
      </c>
      <c r="K295" s="24">
        <v>1098</v>
      </c>
      <c r="L295" s="38">
        <v>46269</v>
      </c>
      <c r="M295" s="23" t="s">
        <v>184</v>
      </c>
      <c r="N295" s="23" t="str">
        <f>IF(COUNTIF($A$2:A295,A295)&gt;1,"DUP","OK")</f>
        <v>OK</v>
      </c>
      <c r="O295" s="23" t="str">
        <f t="shared" si="13"/>
        <v>ORD26004783</v>
      </c>
      <c r="P295" s="23" t="str">
        <f t="shared" si="14"/>
        <v>Sep</v>
      </c>
      <c r="Q295" s="23" t="str">
        <f>IF(F295="CAPTURE",IF(COUNTIF(orders!$A:$A,O295)&gt;0,"Yes","NO ORDER"),"")</f>
        <v>Yes</v>
      </c>
    </row>
    <row r="296" spans="1:17" ht="15" customHeight="1" x14ac:dyDescent="0.3">
      <c r="A296" s="23" t="s">
        <v>12750</v>
      </c>
      <c r="B296" s="23"/>
      <c r="C296" s="23" t="s">
        <v>10087</v>
      </c>
      <c r="D296" s="23" t="str">
        <f t="shared" si="12"/>
        <v>ORD26004813</v>
      </c>
      <c r="E296" s="38">
        <v>46267</v>
      </c>
      <c r="F296" s="23" t="s">
        <v>12410</v>
      </c>
      <c r="G296" s="23" t="s">
        <v>79</v>
      </c>
      <c r="H296" s="24">
        <v>10347</v>
      </c>
      <c r="I296" s="24">
        <v>165.55</v>
      </c>
      <c r="J296" s="24">
        <v>29.8</v>
      </c>
      <c r="K296" s="24">
        <v>10151.65</v>
      </c>
      <c r="L296" s="38">
        <v>46269</v>
      </c>
      <c r="M296" s="23" t="s">
        <v>184</v>
      </c>
      <c r="N296" s="23" t="str">
        <f>IF(COUNTIF($A$2:A296,A296)&gt;1,"DUP","OK")</f>
        <v>OK</v>
      </c>
      <c r="O296" s="23" t="str">
        <f t="shared" si="13"/>
        <v>ORD26004813</v>
      </c>
      <c r="P296" s="23" t="str">
        <f t="shared" si="14"/>
        <v>Sep</v>
      </c>
      <c r="Q296" s="23" t="str">
        <f>IF(F296="CAPTURE",IF(COUNTIF(orders!$A:$A,O296)&gt;0,"Yes","NO ORDER"),"")</f>
        <v>Yes</v>
      </c>
    </row>
    <row r="297" spans="1:17" ht="15" customHeight="1" x14ac:dyDescent="0.3">
      <c r="A297" s="23" t="s">
        <v>12751</v>
      </c>
      <c r="B297" s="23"/>
      <c r="C297" s="23" t="s">
        <v>10107</v>
      </c>
      <c r="D297" s="23" t="str">
        <f t="shared" si="12"/>
        <v>ORD26004823</v>
      </c>
      <c r="E297" s="38">
        <v>46267</v>
      </c>
      <c r="F297" s="23" t="s">
        <v>12410</v>
      </c>
      <c r="G297" s="23" t="s">
        <v>79</v>
      </c>
      <c r="H297" s="24">
        <v>5598</v>
      </c>
      <c r="I297" s="24">
        <v>89.57</v>
      </c>
      <c r="J297" s="24">
        <v>16.12</v>
      </c>
      <c r="K297" s="24">
        <v>5492.31</v>
      </c>
      <c r="L297" s="38">
        <v>46269</v>
      </c>
      <c r="M297" s="23" t="s">
        <v>184</v>
      </c>
      <c r="N297" s="23" t="str">
        <f>IF(COUNTIF($A$2:A297,A297)&gt;1,"DUP","OK")</f>
        <v>OK</v>
      </c>
      <c r="O297" s="23" t="str">
        <f t="shared" si="13"/>
        <v>ORD26004823</v>
      </c>
      <c r="P297" s="23" t="str">
        <f t="shared" si="14"/>
        <v>Sep</v>
      </c>
      <c r="Q297" s="23" t="str">
        <f>IF(F297="CAPTURE",IF(COUNTIF(orders!$A:$A,O297)&gt;0,"Yes","NO ORDER"),"")</f>
        <v>Yes</v>
      </c>
    </row>
    <row r="298" spans="1:17" ht="15" customHeight="1" x14ac:dyDescent="0.3">
      <c r="A298" s="23" t="s">
        <v>12752</v>
      </c>
      <c r="B298" s="23"/>
      <c r="C298" s="23" t="s">
        <v>10162</v>
      </c>
      <c r="D298" s="23" t="str">
        <f t="shared" si="12"/>
        <v>ORD26004851</v>
      </c>
      <c r="E298" s="38">
        <v>46267</v>
      </c>
      <c r="F298" s="23" t="s">
        <v>12410</v>
      </c>
      <c r="G298" s="23" t="s">
        <v>75</v>
      </c>
      <c r="H298" s="24">
        <v>6498</v>
      </c>
      <c r="I298" s="24">
        <v>19.489999999999998</v>
      </c>
      <c r="J298" s="24">
        <v>3.51</v>
      </c>
      <c r="K298" s="24">
        <v>6475</v>
      </c>
      <c r="L298" s="38">
        <v>46269</v>
      </c>
      <c r="M298" s="23" t="s">
        <v>184</v>
      </c>
      <c r="N298" s="23" t="str">
        <f>IF(COUNTIF($A$2:A298,A298)&gt;1,"DUP","OK")</f>
        <v>OK</v>
      </c>
      <c r="O298" s="23" t="str">
        <f t="shared" si="13"/>
        <v>ORD26004851</v>
      </c>
      <c r="P298" s="23" t="str">
        <f t="shared" si="14"/>
        <v>Sep</v>
      </c>
      <c r="Q298" s="23" t="str">
        <f>IF(F298="CAPTURE",IF(COUNTIF(orders!$A:$A,O298)&gt;0,"Yes","NO ORDER"),"")</f>
        <v>Yes</v>
      </c>
    </row>
    <row r="299" spans="1:17" ht="15" customHeight="1" x14ac:dyDescent="0.3">
      <c r="A299" s="23" t="s">
        <v>12753</v>
      </c>
      <c r="B299" s="23"/>
      <c r="C299" s="23" t="s">
        <v>12754</v>
      </c>
      <c r="D299" s="23" t="str">
        <f t="shared" si="12"/>
        <v>ORD26004887</v>
      </c>
      <c r="E299" s="38">
        <v>46267</v>
      </c>
      <c r="F299" s="23" t="s">
        <v>12410</v>
      </c>
      <c r="G299" s="23" t="s">
        <v>77</v>
      </c>
      <c r="H299" s="24">
        <v>6797</v>
      </c>
      <c r="I299" s="24">
        <v>115.55</v>
      </c>
      <c r="J299" s="24">
        <v>20.8</v>
      </c>
      <c r="K299" s="24">
        <v>6660.65</v>
      </c>
      <c r="L299" s="38">
        <v>46269</v>
      </c>
      <c r="M299" s="23" t="s">
        <v>184</v>
      </c>
      <c r="N299" s="23" t="str">
        <f>IF(COUNTIF($A$2:A299,A299)&gt;1,"DUP","OK")</f>
        <v>OK</v>
      </c>
      <c r="O299" s="23" t="str">
        <f t="shared" si="13"/>
        <v>ORD26004887</v>
      </c>
      <c r="P299" s="23" t="str">
        <f t="shared" si="14"/>
        <v>Sep</v>
      </c>
      <c r="Q299" s="23" t="str">
        <f>IF(F299="CAPTURE",IF(COUNTIF(orders!$A:$A,O299)&gt;0,"Yes","NO ORDER"),"")</f>
        <v>Yes</v>
      </c>
    </row>
    <row r="300" spans="1:17" ht="15" customHeight="1" x14ac:dyDescent="0.3">
      <c r="A300" s="23" t="s">
        <v>12755</v>
      </c>
      <c r="B300" s="23"/>
      <c r="C300" s="23" t="s">
        <v>12756</v>
      </c>
      <c r="D300" s="23" t="str">
        <f t="shared" si="12"/>
        <v>ORD26004900</v>
      </c>
      <c r="E300" s="38">
        <v>46267</v>
      </c>
      <c r="F300" s="23" t="s">
        <v>12410</v>
      </c>
      <c r="G300" s="23" t="s">
        <v>75</v>
      </c>
      <c r="H300" s="24">
        <v>5797</v>
      </c>
      <c r="I300" s="24">
        <v>17.39</v>
      </c>
      <c r="J300" s="24">
        <v>3.13</v>
      </c>
      <c r="K300" s="24">
        <v>5776.48</v>
      </c>
      <c r="L300" s="38">
        <v>46269</v>
      </c>
      <c r="M300" s="23" t="s">
        <v>184</v>
      </c>
      <c r="N300" s="23" t="str">
        <f>IF(COUNTIF($A$2:A300,A300)&gt;1,"DUP","OK")</f>
        <v>OK</v>
      </c>
      <c r="O300" s="23" t="str">
        <f t="shared" si="13"/>
        <v>ORD26004900</v>
      </c>
      <c r="P300" s="23" t="str">
        <f t="shared" si="14"/>
        <v>Sep</v>
      </c>
      <c r="Q300" s="23" t="str">
        <f>IF(F300="CAPTURE",IF(COUNTIF(orders!$A:$A,O300)&gt;0,"Yes","NO ORDER"),"")</f>
        <v>Yes</v>
      </c>
    </row>
    <row r="301" spans="1:17" ht="15" customHeight="1" x14ac:dyDescent="0.3">
      <c r="A301" s="23" t="s">
        <v>12757</v>
      </c>
      <c r="B301" s="23"/>
      <c r="C301" s="23" t="s">
        <v>10316</v>
      </c>
      <c r="D301" s="23" t="str">
        <f t="shared" si="12"/>
        <v>ORD26004930</v>
      </c>
      <c r="E301" s="38">
        <v>46267</v>
      </c>
      <c r="F301" s="23" t="s">
        <v>12410</v>
      </c>
      <c r="G301" s="23" t="s">
        <v>79</v>
      </c>
      <c r="H301" s="24">
        <v>2998</v>
      </c>
      <c r="I301" s="24">
        <v>47.97</v>
      </c>
      <c r="J301" s="24">
        <v>8.6300000000000008</v>
      </c>
      <c r="K301" s="24">
        <v>2941.4</v>
      </c>
      <c r="L301" s="38">
        <v>46269</v>
      </c>
      <c r="M301" s="23" t="s">
        <v>184</v>
      </c>
      <c r="N301" s="23" t="str">
        <f>IF(COUNTIF($A$2:A301,A301)&gt;1,"DUP","OK")</f>
        <v>OK</v>
      </c>
      <c r="O301" s="23" t="str">
        <f t="shared" si="13"/>
        <v>ORD26004930</v>
      </c>
      <c r="P301" s="23" t="str">
        <f t="shared" si="14"/>
        <v>Sep</v>
      </c>
      <c r="Q301" s="23" t="str">
        <f>IF(F301="CAPTURE",IF(COUNTIF(orders!$A:$A,O301)&gt;0,"Yes","NO ORDER"),"")</f>
        <v>Yes</v>
      </c>
    </row>
    <row r="302" spans="1:17" ht="15" customHeight="1" x14ac:dyDescent="0.3">
      <c r="A302" s="23" t="s">
        <v>12758</v>
      </c>
      <c r="B302" s="23"/>
      <c r="C302" s="23" t="s">
        <v>10328</v>
      </c>
      <c r="D302" s="23" t="str">
        <f t="shared" si="12"/>
        <v>ORD26004936</v>
      </c>
      <c r="E302" s="38">
        <v>46267</v>
      </c>
      <c r="F302" s="23" t="s">
        <v>12410</v>
      </c>
      <c r="G302" s="23" t="s">
        <v>79</v>
      </c>
      <c r="H302" s="24">
        <v>4498</v>
      </c>
      <c r="I302" s="24">
        <v>71.97</v>
      </c>
      <c r="J302" s="24">
        <v>12.95</v>
      </c>
      <c r="K302" s="24">
        <v>4413.08</v>
      </c>
      <c r="L302" s="38">
        <v>46269</v>
      </c>
      <c r="M302" s="23" t="s">
        <v>184</v>
      </c>
      <c r="N302" s="23" t="str">
        <f>IF(COUNTIF($A$2:A302,A302)&gt;1,"DUP","OK")</f>
        <v>OK</v>
      </c>
      <c r="O302" s="23" t="str">
        <f t="shared" si="13"/>
        <v>ORD26004936</v>
      </c>
      <c r="P302" s="23" t="str">
        <f t="shared" si="14"/>
        <v>Sep</v>
      </c>
      <c r="Q302" s="23" t="str">
        <f>IF(F302="CAPTURE",IF(COUNTIF(orders!$A:$A,O302)&gt;0,"Yes","NO ORDER"),"")</f>
        <v>Yes</v>
      </c>
    </row>
    <row r="303" spans="1:17" ht="15" customHeight="1" x14ac:dyDescent="0.3">
      <c r="A303" s="23" t="s">
        <v>12759</v>
      </c>
      <c r="B303" s="23"/>
      <c r="C303" s="23" t="s">
        <v>10385</v>
      </c>
      <c r="D303" s="23" t="str">
        <f t="shared" si="12"/>
        <v>ORD26004966</v>
      </c>
      <c r="E303" s="38">
        <v>46267</v>
      </c>
      <c r="F303" s="23" t="s">
        <v>12410</v>
      </c>
      <c r="G303" s="23" t="s">
        <v>75</v>
      </c>
      <c r="H303" s="24">
        <v>10297</v>
      </c>
      <c r="I303" s="24">
        <v>30.89</v>
      </c>
      <c r="J303" s="24">
        <v>5.56</v>
      </c>
      <c r="K303" s="24">
        <v>10260.549999999999</v>
      </c>
      <c r="L303" s="38">
        <v>46269</v>
      </c>
      <c r="M303" s="23" t="s">
        <v>184</v>
      </c>
      <c r="N303" s="23" t="str">
        <f>IF(COUNTIF($A$2:A303,A303)&gt;1,"DUP","OK")</f>
        <v>OK</v>
      </c>
      <c r="O303" s="23" t="str">
        <f t="shared" si="13"/>
        <v>ORD26004966</v>
      </c>
      <c r="P303" s="23" t="str">
        <f t="shared" si="14"/>
        <v>Sep</v>
      </c>
      <c r="Q303" s="23" t="str">
        <f>IF(F303="CAPTURE",IF(COUNTIF(orders!$A:$A,O303)&gt;0,"Yes","NO ORDER"),"")</f>
        <v>Yes</v>
      </c>
    </row>
    <row r="304" spans="1:17" ht="15" customHeight="1" x14ac:dyDescent="0.3">
      <c r="A304" s="23" t="s">
        <v>12760</v>
      </c>
      <c r="B304" s="23"/>
      <c r="C304" s="23" t="s">
        <v>10395</v>
      </c>
      <c r="D304" s="23" t="str">
        <f t="shared" si="12"/>
        <v>ORD26004971</v>
      </c>
      <c r="E304" s="38">
        <v>46267</v>
      </c>
      <c r="F304" s="23" t="s">
        <v>12410</v>
      </c>
      <c r="G304" s="23" t="s">
        <v>79</v>
      </c>
      <c r="H304" s="24">
        <v>9797</v>
      </c>
      <c r="I304" s="24">
        <v>156.75</v>
      </c>
      <c r="J304" s="24">
        <v>28.22</v>
      </c>
      <c r="K304" s="24">
        <v>9612.0300000000007</v>
      </c>
      <c r="L304" s="38">
        <v>46269</v>
      </c>
      <c r="M304" s="23" t="s">
        <v>184</v>
      </c>
      <c r="N304" s="23" t="str">
        <f>IF(COUNTIF($A$2:A304,A304)&gt;1,"DUP","OK")</f>
        <v>OK</v>
      </c>
      <c r="O304" s="23" t="str">
        <f t="shared" si="13"/>
        <v>ORD26004971</v>
      </c>
      <c r="P304" s="23" t="str">
        <f t="shared" si="14"/>
        <v>Sep</v>
      </c>
      <c r="Q304" s="23" t="str">
        <f>IF(F304="CAPTURE",IF(COUNTIF(orders!$A:$A,O304)&gt;0,"Yes","NO ORDER"),"")</f>
        <v>Yes</v>
      </c>
    </row>
    <row r="305" spans="1:17" ht="15" customHeight="1" x14ac:dyDescent="0.3">
      <c r="A305" s="23" t="s">
        <v>12761</v>
      </c>
      <c r="B305" s="23"/>
      <c r="C305" s="23" t="s">
        <v>12762</v>
      </c>
      <c r="D305" s="23" t="str">
        <f t="shared" si="12"/>
        <v>ORD26005111</v>
      </c>
      <c r="E305" s="38">
        <v>46267</v>
      </c>
      <c r="F305" s="23" t="s">
        <v>12410</v>
      </c>
      <c r="G305" s="23" t="s">
        <v>75</v>
      </c>
      <c r="H305" s="24">
        <v>3499</v>
      </c>
      <c r="I305" s="24">
        <v>10.5</v>
      </c>
      <c r="J305" s="24">
        <v>1.89</v>
      </c>
      <c r="K305" s="24">
        <v>3486.61</v>
      </c>
      <c r="L305" s="38">
        <v>46269</v>
      </c>
      <c r="M305" s="23" t="s">
        <v>184</v>
      </c>
      <c r="N305" s="23" t="str">
        <f>IF(COUNTIF($A$2:A305,A305)&gt;1,"DUP","OK")</f>
        <v>OK</v>
      </c>
      <c r="O305" s="23" t="str">
        <f t="shared" si="13"/>
        <v>ORD26005111</v>
      </c>
      <c r="P305" s="23" t="str">
        <f t="shared" si="14"/>
        <v>Sep</v>
      </c>
      <c r="Q305" s="23" t="str">
        <f>IF(F305="CAPTURE",IF(COUNTIF(orders!$A:$A,O305)&gt;0,"Yes","NO ORDER"),"")</f>
        <v>Yes</v>
      </c>
    </row>
    <row r="306" spans="1:17" ht="15" customHeight="1" x14ac:dyDescent="0.3">
      <c r="A306" s="23" t="s">
        <v>12763</v>
      </c>
      <c r="B306" s="23"/>
      <c r="C306" s="23" t="s">
        <v>12764</v>
      </c>
      <c r="D306" s="23" t="str">
        <f t="shared" si="12"/>
        <v>ORD26005115</v>
      </c>
      <c r="E306" s="38">
        <v>46267</v>
      </c>
      <c r="F306" s="23" t="s">
        <v>12410</v>
      </c>
      <c r="G306" s="23" t="s">
        <v>75</v>
      </c>
      <c r="H306" s="24">
        <v>799</v>
      </c>
      <c r="I306" s="24">
        <v>0</v>
      </c>
      <c r="J306" s="24">
        <v>0</v>
      </c>
      <c r="K306" s="24">
        <v>799</v>
      </c>
      <c r="L306" s="38">
        <v>46269</v>
      </c>
      <c r="M306" s="23" t="s">
        <v>184</v>
      </c>
      <c r="N306" s="23" t="str">
        <f>IF(COUNTIF($A$2:A306,A306)&gt;1,"DUP","OK")</f>
        <v>OK</v>
      </c>
      <c r="O306" s="23" t="str">
        <f t="shared" si="13"/>
        <v>ORD26005115</v>
      </c>
      <c r="P306" s="23" t="str">
        <f t="shared" si="14"/>
        <v>Sep</v>
      </c>
      <c r="Q306" s="23" t="str">
        <f>IF(F306="CAPTURE",IF(COUNTIF(orders!$A:$A,O306)&gt;0,"Yes","NO ORDER"),"")</f>
        <v>Yes</v>
      </c>
    </row>
    <row r="307" spans="1:17" ht="15" customHeight="1" x14ac:dyDescent="0.3">
      <c r="A307" s="23" t="s">
        <v>12765</v>
      </c>
      <c r="B307" s="23"/>
      <c r="C307" s="23" t="s">
        <v>10703</v>
      </c>
      <c r="D307" s="23" t="str">
        <f t="shared" si="12"/>
        <v>ORD26005130</v>
      </c>
      <c r="E307" s="38">
        <v>46267</v>
      </c>
      <c r="F307" s="23" t="s">
        <v>12410</v>
      </c>
      <c r="G307" s="23" t="s">
        <v>81</v>
      </c>
      <c r="H307" s="24">
        <v>698</v>
      </c>
      <c r="I307" s="24">
        <v>10.47</v>
      </c>
      <c r="J307" s="24">
        <v>1.88</v>
      </c>
      <c r="K307" s="24">
        <v>685.65</v>
      </c>
      <c r="L307" s="38">
        <v>46269</v>
      </c>
      <c r="M307" s="23" t="s">
        <v>184</v>
      </c>
      <c r="N307" s="23" t="str">
        <f>IF(COUNTIF($A$2:A307,A307)&gt;1,"DUP","OK")</f>
        <v>OK</v>
      </c>
      <c r="O307" s="23" t="str">
        <f t="shared" si="13"/>
        <v>ORD26005130</v>
      </c>
      <c r="P307" s="23" t="str">
        <f t="shared" si="14"/>
        <v>Sep</v>
      </c>
      <c r="Q307" s="23" t="str">
        <f>IF(F307="CAPTURE",IF(COUNTIF(orders!$A:$A,O307)&gt;0,"Yes","NO ORDER"),"")</f>
        <v>Yes</v>
      </c>
    </row>
    <row r="308" spans="1:17" ht="15" customHeight="1" x14ac:dyDescent="0.3">
      <c r="A308" s="23" t="s">
        <v>12766</v>
      </c>
      <c r="B308" s="23"/>
      <c r="C308" s="23" t="s">
        <v>10826</v>
      </c>
      <c r="D308" s="23" t="str">
        <f t="shared" si="12"/>
        <v>ORD26005193</v>
      </c>
      <c r="E308" s="38">
        <v>46267</v>
      </c>
      <c r="F308" s="23" t="s">
        <v>12410</v>
      </c>
      <c r="G308" s="23" t="s">
        <v>79</v>
      </c>
      <c r="H308" s="24">
        <v>5097</v>
      </c>
      <c r="I308" s="24">
        <v>81.55</v>
      </c>
      <c r="J308" s="24">
        <v>14.68</v>
      </c>
      <c r="K308" s="24">
        <v>5000.7700000000004</v>
      </c>
      <c r="L308" s="38">
        <v>46269</v>
      </c>
      <c r="M308" s="23" t="s">
        <v>184</v>
      </c>
      <c r="N308" s="23" t="str">
        <f>IF(COUNTIF($A$2:A308,A308)&gt;1,"DUP","OK")</f>
        <v>OK</v>
      </c>
      <c r="O308" s="23" t="str">
        <f t="shared" si="13"/>
        <v>ORD26005193</v>
      </c>
      <c r="P308" s="23" t="str">
        <f t="shared" si="14"/>
        <v>Sep</v>
      </c>
      <c r="Q308" s="23" t="str">
        <f>IF(F308="CAPTURE",IF(COUNTIF(orders!$A:$A,O308)&gt;0,"Yes","NO ORDER"),"")</f>
        <v>Yes</v>
      </c>
    </row>
    <row r="309" spans="1:17" ht="15" customHeight="1" x14ac:dyDescent="0.3">
      <c r="A309" s="23" t="s">
        <v>12767</v>
      </c>
      <c r="B309" s="23"/>
      <c r="C309" s="23" t="s">
        <v>12768</v>
      </c>
      <c r="D309" s="23" t="str">
        <f t="shared" si="12"/>
        <v>ORD26005211</v>
      </c>
      <c r="E309" s="38">
        <v>46267</v>
      </c>
      <c r="F309" s="23" t="s">
        <v>12410</v>
      </c>
      <c r="G309" s="23" t="s">
        <v>75</v>
      </c>
      <c r="H309" s="24">
        <v>499</v>
      </c>
      <c r="I309" s="24">
        <v>0</v>
      </c>
      <c r="J309" s="24">
        <v>0</v>
      </c>
      <c r="K309" s="24">
        <v>499</v>
      </c>
      <c r="L309" s="38">
        <v>46269</v>
      </c>
      <c r="M309" s="23" t="s">
        <v>184</v>
      </c>
      <c r="N309" s="23" t="str">
        <f>IF(COUNTIF($A$2:A309,A309)&gt;1,"DUP","OK")</f>
        <v>OK</v>
      </c>
      <c r="O309" s="23" t="str">
        <f t="shared" si="13"/>
        <v>ORD26005211</v>
      </c>
      <c r="P309" s="23" t="str">
        <f t="shared" si="14"/>
        <v>Sep</v>
      </c>
      <c r="Q309" s="23" t="str">
        <f>IF(F309="CAPTURE",IF(COUNTIF(orders!$A:$A,O309)&gt;0,"Yes","NO ORDER"),"")</f>
        <v>Yes</v>
      </c>
    </row>
    <row r="310" spans="1:17" ht="15" customHeight="1" x14ac:dyDescent="0.3">
      <c r="A310" s="23" t="s">
        <v>12769</v>
      </c>
      <c r="B310" s="23"/>
      <c r="C310" s="23" t="s">
        <v>10970</v>
      </c>
      <c r="D310" s="23" t="str">
        <f t="shared" si="12"/>
        <v>ORD26005266</v>
      </c>
      <c r="E310" s="38">
        <v>46267</v>
      </c>
      <c r="F310" s="23" t="s">
        <v>12410</v>
      </c>
      <c r="G310" s="23" t="s">
        <v>75</v>
      </c>
      <c r="H310" s="24">
        <v>999</v>
      </c>
      <c r="I310" s="24">
        <v>0</v>
      </c>
      <c r="J310" s="24">
        <v>0</v>
      </c>
      <c r="K310" s="24">
        <v>999</v>
      </c>
      <c r="L310" s="38">
        <v>46269</v>
      </c>
      <c r="M310" s="23" t="s">
        <v>184</v>
      </c>
      <c r="N310" s="23" t="str">
        <f>IF(COUNTIF($A$2:A310,A310)&gt;1,"DUP","OK")</f>
        <v>OK</v>
      </c>
      <c r="O310" s="23" t="str">
        <f t="shared" si="13"/>
        <v>ORD26005266</v>
      </c>
      <c r="P310" s="23" t="str">
        <f t="shared" si="14"/>
        <v>Sep</v>
      </c>
      <c r="Q310" s="23" t="str">
        <f>IF(F310="CAPTURE",IF(COUNTIF(orders!$A:$A,O310)&gt;0,"Yes","NO ORDER"),"")</f>
        <v>Yes</v>
      </c>
    </row>
    <row r="311" spans="1:17" ht="15" customHeight="1" x14ac:dyDescent="0.3">
      <c r="A311" s="23" t="s">
        <v>12770</v>
      </c>
      <c r="B311" s="23"/>
      <c r="C311" s="23" t="s">
        <v>11154</v>
      </c>
      <c r="D311" s="23" t="str">
        <f t="shared" si="12"/>
        <v>ORD26005361</v>
      </c>
      <c r="E311" s="38">
        <v>46267</v>
      </c>
      <c r="F311" s="23" t="s">
        <v>12410</v>
      </c>
      <c r="G311" s="23" t="s">
        <v>81</v>
      </c>
      <c r="H311" s="24">
        <v>7999</v>
      </c>
      <c r="I311" s="24">
        <v>95.99</v>
      </c>
      <c r="J311" s="24">
        <v>17.28</v>
      </c>
      <c r="K311" s="24">
        <v>7885.73</v>
      </c>
      <c r="L311" s="38">
        <v>46269</v>
      </c>
      <c r="M311" s="23" t="s">
        <v>184</v>
      </c>
      <c r="N311" s="23" t="str">
        <f>IF(COUNTIF($A$2:A311,A311)&gt;1,"DUP","OK")</f>
        <v>OK</v>
      </c>
      <c r="O311" s="23" t="str">
        <f t="shared" si="13"/>
        <v>ORD26005361</v>
      </c>
      <c r="P311" s="23" t="str">
        <f t="shared" si="14"/>
        <v>Sep</v>
      </c>
      <c r="Q311" s="23" t="str">
        <f>IF(F311="CAPTURE",IF(COUNTIF(orders!$A:$A,O311)&gt;0,"Yes","NO ORDER"),"")</f>
        <v>Yes</v>
      </c>
    </row>
    <row r="312" spans="1:17" ht="15" customHeight="1" x14ac:dyDescent="0.3">
      <c r="A312" s="23" t="s">
        <v>12771</v>
      </c>
      <c r="B312" s="23"/>
      <c r="C312" s="23" t="s">
        <v>11461</v>
      </c>
      <c r="D312" s="23" t="str">
        <f t="shared" si="12"/>
        <v>ORD26005517</v>
      </c>
      <c r="E312" s="38">
        <v>46267</v>
      </c>
      <c r="F312" s="23" t="s">
        <v>12410</v>
      </c>
      <c r="G312" s="23" t="s">
        <v>77</v>
      </c>
      <c r="H312" s="24">
        <v>3499</v>
      </c>
      <c r="I312" s="24">
        <v>59.48</v>
      </c>
      <c r="J312" s="24">
        <v>10.71</v>
      </c>
      <c r="K312" s="24">
        <v>3428.81</v>
      </c>
      <c r="L312" s="38">
        <v>46269</v>
      </c>
      <c r="M312" s="23" t="s">
        <v>184</v>
      </c>
      <c r="N312" s="23" t="str">
        <f>IF(COUNTIF($A$2:A312,A312)&gt;1,"DUP","OK")</f>
        <v>OK</v>
      </c>
      <c r="O312" s="23" t="str">
        <f t="shared" si="13"/>
        <v>ORD26005517</v>
      </c>
      <c r="P312" s="23" t="str">
        <f t="shared" si="14"/>
        <v>Sep</v>
      </c>
      <c r="Q312" s="23" t="str">
        <f>IF(F312="CAPTURE",IF(COUNTIF(orders!$A:$A,O312)&gt;0,"Yes","NO ORDER"),"")</f>
        <v>Yes</v>
      </c>
    </row>
    <row r="313" spans="1:17" ht="15" customHeight="1" x14ac:dyDescent="0.3">
      <c r="A313" s="23" t="s">
        <v>12772</v>
      </c>
      <c r="B313" s="23"/>
      <c r="C313" s="23" t="s">
        <v>11474</v>
      </c>
      <c r="D313" s="23" t="str">
        <f t="shared" si="12"/>
        <v>ORD26005524</v>
      </c>
      <c r="E313" s="38">
        <v>46267</v>
      </c>
      <c r="F313" s="23" t="s">
        <v>12410</v>
      </c>
      <c r="G313" s="23" t="s">
        <v>79</v>
      </c>
      <c r="H313" s="24">
        <v>799</v>
      </c>
      <c r="I313" s="24">
        <v>14.38</v>
      </c>
      <c r="J313" s="24">
        <v>2.59</v>
      </c>
      <c r="K313" s="24">
        <v>782.03</v>
      </c>
      <c r="L313" s="38">
        <v>46269</v>
      </c>
      <c r="M313" s="23" t="s">
        <v>184</v>
      </c>
      <c r="N313" s="23" t="str">
        <f>IF(COUNTIF($A$2:A313,A313)&gt;1,"DUP","OK")</f>
        <v>OK</v>
      </c>
      <c r="O313" s="23" t="str">
        <f t="shared" si="13"/>
        <v>ORD26005524</v>
      </c>
      <c r="P313" s="23" t="str">
        <f t="shared" si="14"/>
        <v>Sep</v>
      </c>
      <c r="Q313" s="23" t="str">
        <f>IF(F313="CAPTURE",IF(COUNTIF(orders!$A:$A,O313)&gt;0,"Yes","NO ORDER"),"")</f>
        <v>Yes</v>
      </c>
    </row>
    <row r="314" spans="1:17" ht="15" customHeight="1" x14ac:dyDescent="0.3">
      <c r="A314" s="23" t="s">
        <v>12773</v>
      </c>
      <c r="B314" s="23"/>
      <c r="C314" s="23" t="s">
        <v>11502</v>
      </c>
      <c r="D314" s="23" t="str">
        <f t="shared" si="12"/>
        <v>ORD26005538</v>
      </c>
      <c r="E314" s="38">
        <v>46267</v>
      </c>
      <c r="F314" s="23" t="s">
        <v>12410</v>
      </c>
      <c r="G314" s="23" t="s">
        <v>75</v>
      </c>
      <c r="H314" s="24">
        <v>3647</v>
      </c>
      <c r="I314" s="24">
        <v>10.94</v>
      </c>
      <c r="J314" s="24">
        <v>1.97</v>
      </c>
      <c r="K314" s="24">
        <v>3634.09</v>
      </c>
      <c r="L314" s="38">
        <v>46269</v>
      </c>
      <c r="M314" s="23" t="s">
        <v>184</v>
      </c>
      <c r="N314" s="23" t="str">
        <f>IF(COUNTIF($A$2:A314,A314)&gt;1,"DUP","OK")</f>
        <v>OK</v>
      </c>
      <c r="O314" s="23" t="str">
        <f t="shared" si="13"/>
        <v>ORD26005538</v>
      </c>
      <c r="P314" s="23" t="str">
        <f t="shared" si="14"/>
        <v>Sep</v>
      </c>
      <c r="Q314" s="23" t="str">
        <f>IF(F314="CAPTURE",IF(COUNTIF(orders!$A:$A,O314)&gt;0,"Yes","NO ORDER"),"")</f>
        <v>Yes</v>
      </c>
    </row>
    <row r="315" spans="1:17" ht="15" customHeight="1" x14ac:dyDescent="0.3">
      <c r="A315" s="23" t="s">
        <v>12774</v>
      </c>
      <c r="B315" s="23"/>
      <c r="C315" s="23" t="s">
        <v>11525</v>
      </c>
      <c r="D315" s="23" t="str">
        <f t="shared" si="12"/>
        <v>ORD26005550</v>
      </c>
      <c r="E315" s="38">
        <v>46267</v>
      </c>
      <c r="F315" s="23" t="s">
        <v>12410</v>
      </c>
      <c r="G315" s="23" t="s">
        <v>75</v>
      </c>
      <c r="H315" s="24">
        <v>7999</v>
      </c>
      <c r="I315" s="24">
        <v>24</v>
      </c>
      <c r="J315" s="24">
        <v>4.32</v>
      </c>
      <c r="K315" s="24">
        <v>7970.68</v>
      </c>
      <c r="L315" s="38">
        <v>46269</v>
      </c>
      <c r="M315" s="23" t="s">
        <v>184</v>
      </c>
      <c r="N315" s="23" t="str">
        <f>IF(COUNTIF($A$2:A315,A315)&gt;1,"DUP","OK")</f>
        <v>OK</v>
      </c>
      <c r="O315" s="23" t="str">
        <f t="shared" si="13"/>
        <v>ORD26005550</v>
      </c>
      <c r="P315" s="23" t="str">
        <f t="shared" si="14"/>
        <v>Sep</v>
      </c>
      <c r="Q315" s="23" t="str">
        <f>IF(F315="CAPTURE",IF(COUNTIF(orders!$A:$A,O315)&gt;0,"Yes","NO ORDER"),"")</f>
        <v>Yes</v>
      </c>
    </row>
    <row r="316" spans="1:17" ht="15" customHeight="1" x14ac:dyDescent="0.3">
      <c r="A316" s="23" t="s">
        <v>12775</v>
      </c>
      <c r="B316" s="23"/>
      <c r="C316" s="23" t="s">
        <v>11539</v>
      </c>
      <c r="D316" s="23" t="str">
        <f t="shared" si="12"/>
        <v>ORD26005557</v>
      </c>
      <c r="E316" s="38">
        <v>46267</v>
      </c>
      <c r="F316" s="23" t="s">
        <v>12410</v>
      </c>
      <c r="G316" s="23" t="s">
        <v>81</v>
      </c>
      <c r="H316" s="24">
        <v>7999</v>
      </c>
      <c r="I316" s="24">
        <v>95.99</v>
      </c>
      <c r="J316" s="24">
        <v>17.28</v>
      </c>
      <c r="K316" s="24">
        <v>7885.73</v>
      </c>
      <c r="L316" s="38">
        <v>46269</v>
      </c>
      <c r="M316" s="23" t="s">
        <v>184</v>
      </c>
      <c r="N316" s="23" t="str">
        <f>IF(COUNTIF($A$2:A316,A316)&gt;1,"DUP","OK")</f>
        <v>OK</v>
      </c>
      <c r="O316" s="23" t="str">
        <f t="shared" si="13"/>
        <v>ORD26005557</v>
      </c>
      <c r="P316" s="23" t="str">
        <f t="shared" si="14"/>
        <v>Sep</v>
      </c>
      <c r="Q316" s="23" t="str">
        <f>IF(F316="CAPTURE",IF(COUNTIF(orders!$A:$A,O316)&gt;0,"Yes","NO ORDER"),"")</f>
        <v>Yes</v>
      </c>
    </row>
    <row r="317" spans="1:17" ht="15" customHeight="1" x14ac:dyDescent="0.3">
      <c r="A317" s="23" t="s">
        <v>12776</v>
      </c>
      <c r="B317" s="23"/>
      <c r="C317" s="23" t="s">
        <v>11545</v>
      </c>
      <c r="D317" s="23" t="str">
        <f t="shared" si="12"/>
        <v>ORD26005560</v>
      </c>
      <c r="E317" s="38">
        <v>46267</v>
      </c>
      <c r="F317" s="23" t="s">
        <v>12410</v>
      </c>
      <c r="G317" s="23" t="s">
        <v>75</v>
      </c>
      <c r="H317" s="24">
        <v>1499</v>
      </c>
      <c r="I317" s="24">
        <v>4.5</v>
      </c>
      <c r="J317" s="24">
        <v>0.81</v>
      </c>
      <c r="K317" s="24">
        <v>1493.69</v>
      </c>
      <c r="L317" s="38">
        <v>46269</v>
      </c>
      <c r="M317" s="23" t="s">
        <v>184</v>
      </c>
      <c r="N317" s="23" t="str">
        <f>IF(COUNTIF($A$2:A317,A317)&gt;1,"DUP","OK")</f>
        <v>OK</v>
      </c>
      <c r="O317" s="23" t="str">
        <f t="shared" si="13"/>
        <v>ORD26005560</v>
      </c>
      <c r="P317" s="23" t="str">
        <f t="shared" si="14"/>
        <v>Sep</v>
      </c>
      <c r="Q317" s="23" t="str">
        <f>IF(F317="CAPTURE",IF(COUNTIF(orders!$A:$A,O317)&gt;0,"Yes","NO ORDER"),"")</f>
        <v>Yes</v>
      </c>
    </row>
    <row r="318" spans="1:17" ht="15" customHeight="1" x14ac:dyDescent="0.3">
      <c r="A318" s="23" t="s">
        <v>12777</v>
      </c>
      <c r="B318" s="23"/>
      <c r="C318" s="23" t="s">
        <v>12778</v>
      </c>
      <c r="D318" s="23" t="str">
        <f t="shared" si="12"/>
        <v>ORD26005582</v>
      </c>
      <c r="E318" s="38">
        <v>46267</v>
      </c>
      <c r="F318" s="23" t="s">
        <v>12410</v>
      </c>
      <c r="G318" s="23" t="s">
        <v>79</v>
      </c>
      <c r="H318" s="24">
        <v>2598</v>
      </c>
      <c r="I318" s="24">
        <v>41.57</v>
      </c>
      <c r="J318" s="24">
        <v>7.48</v>
      </c>
      <c r="K318" s="24">
        <v>2548.9499999999998</v>
      </c>
      <c r="L318" s="38">
        <v>46269</v>
      </c>
      <c r="M318" s="23" t="s">
        <v>184</v>
      </c>
      <c r="N318" s="23" t="str">
        <f>IF(COUNTIF($A$2:A318,A318)&gt;1,"DUP","OK")</f>
        <v>OK</v>
      </c>
      <c r="O318" s="23" t="str">
        <f t="shared" si="13"/>
        <v>ORD26005582</v>
      </c>
      <c r="P318" s="23" t="str">
        <f t="shared" si="14"/>
        <v>Sep</v>
      </c>
      <c r="Q318" s="23" t="str">
        <f>IF(F318="CAPTURE",IF(COUNTIF(orders!$A:$A,O318)&gt;0,"Yes","NO ORDER"),"")</f>
        <v>Yes</v>
      </c>
    </row>
    <row r="319" spans="1:17" ht="15" customHeight="1" x14ac:dyDescent="0.3">
      <c r="A319" s="23" t="s">
        <v>12779</v>
      </c>
      <c r="B319" s="23"/>
      <c r="C319" s="23" t="s">
        <v>11674</v>
      </c>
      <c r="D319" s="23" t="str">
        <f t="shared" si="12"/>
        <v>ORD26005626</v>
      </c>
      <c r="E319" s="38">
        <v>46267</v>
      </c>
      <c r="F319" s="23" t="s">
        <v>12410</v>
      </c>
      <c r="G319" s="23" t="s">
        <v>77</v>
      </c>
      <c r="H319" s="24">
        <v>4999</v>
      </c>
      <c r="I319" s="24">
        <v>84.98</v>
      </c>
      <c r="J319" s="24">
        <v>15.3</v>
      </c>
      <c r="K319" s="24">
        <v>4898.72</v>
      </c>
      <c r="L319" s="38">
        <v>46269</v>
      </c>
      <c r="M319" s="23" t="s">
        <v>184</v>
      </c>
      <c r="N319" s="23" t="str">
        <f>IF(COUNTIF($A$2:A319,A319)&gt;1,"DUP","OK")</f>
        <v>OK</v>
      </c>
      <c r="O319" s="23" t="str">
        <f t="shared" si="13"/>
        <v>ORD26005626</v>
      </c>
      <c r="P319" s="23" t="str">
        <f t="shared" si="14"/>
        <v>Sep</v>
      </c>
      <c r="Q319" s="23" t="str">
        <f>IF(F319="CAPTURE",IF(COUNTIF(orders!$A:$A,O319)&gt;0,"Yes","NO ORDER"),"")</f>
        <v>Yes</v>
      </c>
    </row>
    <row r="320" spans="1:17" ht="15" customHeight="1" x14ac:dyDescent="0.3">
      <c r="A320" s="23" t="s">
        <v>12780</v>
      </c>
      <c r="B320" s="23"/>
      <c r="C320" s="23" t="s">
        <v>11684</v>
      </c>
      <c r="D320" s="23" t="str">
        <f t="shared" si="12"/>
        <v>ORD26005631</v>
      </c>
      <c r="E320" s="38">
        <v>46267</v>
      </c>
      <c r="F320" s="23" t="s">
        <v>12410</v>
      </c>
      <c r="G320" s="23" t="s">
        <v>79</v>
      </c>
      <c r="H320" s="24">
        <v>15997</v>
      </c>
      <c r="I320" s="24">
        <v>255.95</v>
      </c>
      <c r="J320" s="24">
        <v>46.07</v>
      </c>
      <c r="K320" s="24">
        <v>15694.98</v>
      </c>
      <c r="L320" s="38">
        <v>46269</v>
      </c>
      <c r="M320" s="23" t="s">
        <v>184</v>
      </c>
      <c r="N320" s="23" t="str">
        <f>IF(COUNTIF($A$2:A320,A320)&gt;1,"DUP","OK")</f>
        <v>OK</v>
      </c>
      <c r="O320" s="23" t="str">
        <f t="shared" si="13"/>
        <v>ORD26005631</v>
      </c>
      <c r="P320" s="23" t="str">
        <f t="shared" si="14"/>
        <v>Sep</v>
      </c>
      <c r="Q320" s="23" t="str">
        <f>IF(F320="CAPTURE",IF(COUNTIF(orders!$A:$A,O320)&gt;0,"Yes","NO ORDER"),"")</f>
        <v>Yes</v>
      </c>
    </row>
    <row r="321" spans="1:17" ht="15" customHeight="1" x14ac:dyDescent="0.3">
      <c r="A321" s="23" t="s">
        <v>12781</v>
      </c>
      <c r="B321" s="23"/>
      <c r="C321" s="23" t="s">
        <v>11765</v>
      </c>
      <c r="D321" s="23" t="str">
        <f t="shared" si="12"/>
        <v>ORD26005673</v>
      </c>
      <c r="E321" s="38">
        <v>46267</v>
      </c>
      <c r="F321" s="23" t="s">
        <v>12410</v>
      </c>
      <c r="G321" s="23" t="s">
        <v>75</v>
      </c>
      <c r="H321" s="24">
        <v>6997</v>
      </c>
      <c r="I321" s="24">
        <v>20.99</v>
      </c>
      <c r="J321" s="24">
        <v>3.78</v>
      </c>
      <c r="K321" s="24">
        <v>6972.23</v>
      </c>
      <c r="L321" s="38">
        <v>46269</v>
      </c>
      <c r="M321" s="23" t="s">
        <v>184</v>
      </c>
      <c r="N321" s="23" t="str">
        <f>IF(COUNTIF($A$2:A321,A321)&gt;1,"DUP","OK")</f>
        <v>OK</v>
      </c>
      <c r="O321" s="23" t="str">
        <f t="shared" si="13"/>
        <v>ORD26005673</v>
      </c>
      <c r="P321" s="23" t="str">
        <f t="shared" si="14"/>
        <v>Sep</v>
      </c>
      <c r="Q321" s="23" t="str">
        <f>IF(F321="CAPTURE",IF(COUNTIF(orders!$A:$A,O321)&gt;0,"Yes","NO ORDER"),"")</f>
        <v>Yes</v>
      </c>
    </row>
    <row r="322" spans="1:17" ht="15" customHeight="1" x14ac:dyDescent="0.3">
      <c r="A322" s="23" t="s">
        <v>12782</v>
      </c>
      <c r="B322" s="23"/>
      <c r="C322" s="23" t="s">
        <v>11807</v>
      </c>
      <c r="D322" s="23" t="str">
        <f t="shared" ref="D322:D385" si="15">UPPER(SUBSTITUTE(TRIM(C322),"-",""))</f>
        <v>ORD26005695</v>
      </c>
      <c r="E322" s="38">
        <v>46267</v>
      </c>
      <c r="F322" s="23" t="s">
        <v>12410</v>
      </c>
      <c r="G322" s="23" t="s">
        <v>75</v>
      </c>
      <c r="H322" s="24">
        <v>2298</v>
      </c>
      <c r="I322" s="24">
        <v>6.89</v>
      </c>
      <c r="J322" s="24">
        <v>1.24</v>
      </c>
      <c r="K322" s="24">
        <v>2289.87</v>
      </c>
      <c r="L322" s="38">
        <v>46269</v>
      </c>
      <c r="M322" s="23" t="s">
        <v>184</v>
      </c>
      <c r="N322" s="23" t="str">
        <f>IF(COUNTIF($A$2:A322,A322)&gt;1,"DUP","OK")</f>
        <v>OK</v>
      </c>
      <c r="O322" s="23" t="str">
        <f t="shared" ref="O322:O385" si="16">IF(F322="REFUND",INDEX($D:$D,MATCH(B322,$A:$A,0)),D322)</f>
        <v>ORD26005695</v>
      </c>
      <c r="P322" s="23" t="str">
        <f t="shared" ref="P322:P385" si="17">IF(L322&gt;DATE(2026,9,30),"Oct-Due","Sep")</f>
        <v>Sep</v>
      </c>
      <c r="Q322" s="23" t="str">
        <f>IF(F322="CAPTURE",IF(COUNTIF(orders!$A:$A,O322)&gt;0,"Yes","NO ORDER"),"")</f>
        <v>Yes</v>
      </c>
    </row>
    <row r="323" spans="1:17" ht="15" customHeight="1" x14ac:dyDescent="0.3">
      <c r="A323" s="23" t="s">
        <v>12783</v>
      </c>
      <c r="B323" s="23"/>
      <c r="C323" s="23" t="s">
        <v>11871</v>
      </c>
      <c r="D323" s="23" t="str">
        <f t="shared" si="15"/>
        <v>ORD26005728</v>
      </c>
      <c r="E323" s="38">
        <v>46267</v>
      </c>
      <c r="F323" s="23" t="s">
        <v>12410</v>
      </c>
      <c r="G323" s="23" t="s">
        <v>79</v>
      </c>
      <c r="H323" s="24">
        <v>6498</v>
      </c>
      <c r="I323" s="24">
        <v>103.97</v>
      </c>
      <c r="J323" s="24">
        <v>18.71</v>
      </c>
      <c r="K323" s="24">
        <v>6375.32</v>
      </c>
      <c r="L323" s="38">
        <v>46269</v>
      </c>
      <c r="M323" s="23" t="s">
        <v>184</v>
      </c>
      <c r="N323" s="23" t="str">
        <f>IF(COUNTIF($A$2:A323,A323)&gt;1,"DUP","OK")</f>
        <v>OK</v>
      </c>
      <c r="O323" s="23" t="str">
        <f t="shared" si="16"/>
        <v>ORD26005728</v>
      </c>
      <c r="P323" s="23" t="str">
        <f t="shared" si="17"/>
        <v>Sep</v>
      </c>
      <c r="Q323" s="23" t="str">
        <f>IF(F323="CAPTURE",IF(COUNTIF(orders!$A:$A,O323)&gt;0,"Yes","NO ORDER"),"")</f>
        <v>Yes</v>
      </c>
    </row>
    <row r="324" spans="1:17" ht="15" customHeight="1" x14ac:dyDescent="0.3">
      <c r="A324" s="23" t="s">
        <v>12784</v>
      </c>
      <c r="B324" s="23"/>
      <c r="C324" s="23" t="s">
        <v>11893</v>
      </c>
      <c r="D324" s="23" t="str">
        <f t="shared" si="15"/>
        <v>ORD26005739</v>
      </c>
      <c r="E324" s="38">
        <v>46267</v>
      </c>
      <c r="F324" s="23" t="s">
        <v>12410</v>
      </c>
      <c r="G324" s="23" t="s">
        <v>81</v>
      </c>
      <c r="H324" s="24">
        <v>10498</v>
      </c>
      <c r="I324" s="24">
        <v>94.48</v>
      </c>
      <c r="J324" s="24">
        <v>17.010000000000002</v>
      </c>
      <c r="K324" s="24">
        <v>10386.51</v>
      </c>
      <c r="L324" s="38">
        <v>46269</v>
      </c>
      <c r="M324" s="23" t="s">
        <v>184</v>
      </c>
      <c r="N324" s="23" t="str">
        <f>IF(COUNTIF($A$2:A324,A324)&gt;1,"DUP","OK")</f>
        <v>OK</v>
      </c>
      <c r="O324" s="23" t="str">
        <f t="shared" si="16"/>
        <v>ORD26005739</v>
      </c>
      <c r="P324" s="23" t="str">
        <f t="shared" si="17"/>
        <v>Sep</v>
      </c>
      <c r="Q324" s="23" t="str">
        <f>IF(F324="CAPTURE",IF(COUNTIF(orders!$A:$A,O324)&gt;0,"Yes","NO ORDER"),"")</f>
        <v>Yes</v>
      </c>
    </row>
    <row r="325" spans="1:17" ht="15" customHeight="1" x14ac:dyDescent="0.3">
      <c r="A325" s="23" t="s">
        <v>12785</v>
      </c>
      <c r="B325" s="23"/>
      <c r="C325" s="23" t="s">
        <v>11977</v>
      </c>
      <c r="D325" s="23" t="str">
        <f t="shared" si="15"/>
        <v>ORD26005782</v>
      </c>
      <c r="E325" s="38">
        <v>46267</v>
      </c>
      <c r="F325" s="23" t="s">
        <v>12410</v>
      </c>
      <c r="G325" s="23" t="s">
        <v>75</v>
      </c>
      <c r="H325" s="24">
        <v>2499</v>
      </c>
      <c r="I325" s="24">
        <v>7.5</v>
      </c>
      <c r="J325" s="24">
        <v>1.35</v>
      </c>
      <c r="K325" s="24">
        <v>2490.15</v>
      </c>
      <c r="L325" s="38">
        <v>46269</v>
      </c>
      <c r="M325" s="23" t="s">
        <v>184</v>
      </c>
      <c r="N325" s="23" t="str">
        <f>IF(COUNTIF($A$2:A325,A325)&gt;1,"DUP","OK")</f>
        <v>OK</v>
      </c>
      <c r="O325" s="23" t="str">
        <f t="shared" si="16"/>
        <v>ORD26005782</v>
      </c>
      <c r="P325" s="23" t="str">
        <f t="shared" si="17"/>
        <v>Sep</v>
      </c>
      <c r="Q325" s="23" t="str">
        <f>IF(F325="CAPTURE",IF(COUNTIF(orders!$A:$A,O325)&gt;0,"Yes","NO ORDER"),"")</f>
        <v>Yes</v>
      </c>
    </row>
    <row r="326" spans="1:17" ht="15" customHeight="1" x14ac:dyDescent="0.3">
      <c r="A326" s="23" t="s">
        <v>12786</v>
      </c>
      <c r="B326" s="23"/>
      <c r="C326" s="23" t="s">
        <v>12065</v>
      </c>
      <c r="D326" s="23" t="str">
        <f t="shared" si="15"/>
        <v>ORD26005827</v>
      </c>
      <c r="E326" s="38">
        <v>46267</v>
      </c>
      <c r="F326" s="23" t="s">
        <v>12410</v>
      </c>
      <c r="G326" s="23" t="s">
        <v>79</v>
      </c>
      <c r="H326" s="24">
        <v>1498</v>
      </c>
      <c r="I326" s="24">
        <v>26.96</v>
      </c>
      <c r="J326" s="24">
        <v>4.8499999999999996</v>
      </c>
      <c r="K326" s="24">
        <v>1466.19</v>
      </c>
      <c r="L326" s="38">
        <v>46269</v>
      </c>
      <c r="M326" s="23" t="s">
        <v>184</v>
      </c>
      <c r="N326" s="23" t="str">
        <f>IF(COUNTIF($A$2:A326,A326)&gt;1,"DUP","OK")</f>
        <v>OK</v>
      </c>
      <c r="O326" s="23" t="str">
        <f t="shared" si="16"/>
        <v>ORD26005827</v>
      </c>
      <c r="P326" s="23" t="str">
        <f t="shared" si="17"/>
        <v>Sep</v>
      </c>
      <c r="Q326" s="23" t="str">
        <f>IF(F326="CAPTURE",IF(COUNTIF(orders!$A:$A,O326)&gt;0,"Yes","NO ORDER"),"")</f>
        <v>Yes</v>
      </c>
    </row>
    <row r="327" spans="1:17" ht="15" customHeight="1" x14ac:dyDescent="0.3">
      <c r="A327" s="23" t="s">
        <v>12787</v>
      </c>
      <c r="B327" s="23"/>
      <c r="C327" s="23" t="s">
        <v>12078</v>
      </c>
      <c r="D327" s="23" t="str">
        <f t="shared" si="15"/>
        <v>ORD26005835</v>
      </c>
      <c r="E327" s="38">
        <v>46267</v>
      </c>
      <c r="F327" s="23" t="s">
        <v>12410</v>
      </c>
      <c r="G327" s="23" t="s">
        <v>75</v>
      </c>
      <c r="H327" s="24">
        <v>499</v>
      </c>
      <c r="I327" s="24">
        <v>0</v>
      </c>
      <c r="J327" s="24">
        <v>0</v>
      </c>
      <c r="K327" s="24">
        <v>499</v>
      </c>
      <c r="L327" s="38">
        <v>46269</v>
      </c>
      <c r="M327" s="23" t="s">
        <v>184</v>
      </c>
      <c r="N327" s="23" t="str">
        <f>IF(COUNTIF($A$2:A327,A327)&gt;1,"DUP","OK")</f>
        <v>OK</v>
      </c>
      <c r="O327" s="23" t="str">
        <f t="shared" si="16"/>
        <v>ORD26005835</v>
      </c>
      <c r="P327" s="23" t="str">
        <f t="shared" si="17"/>
        <v>Sep</v>
      </c>
      <c r="Q327" s="23" t="str">
        <f>IF(F327="CAPTURE",IF(COUNTIF(orders!$A:$A,O327)&gt;0,"Yes","NO ORDER"),"")</f>
        <v>Yes</v>
      </c>
    </row>
    <row r="328" spans="1:17" ht="15" customHeight="1" x14ac:dyDescent="0.3">
      <c r="A328" s="23" t="s">
        <v>12788</v>
      </c>
      <c r="B328" s="23"/>
      <c r="C328" s="23" t="s">
        <v>12120</v>
      </c>
      <c r="D328" s="23" t="str">
        <f t="shared" si="15"/>
        <v>ORD26005857</v>
      </c>
      <c r="E328" s="38">
        <v>46267</v>
      </c>
      <c r="F328" s="23" t="s">
        <v>12410</v>
      </c>
      <c r="G328" s="23" t="s">
        <v>75</v>
      </c>
      <c r="H328" s="24">
        <v>1299</v>
      </c>
      <c r="I328" s="24">
        <v>0</v>
      </c>
      <c r="J328" s="24">
        <v>0</v>
      </c>
      <c r="K328" s="24">
        <v>1299</v>
      </c>
      <c r="L328" s="38">
        <v>46269</v>
      </c>
      <c r="M328" s="23" t="s">
        <v>184</v>
      </c>
      <c r="N328" s="23" t="str">
        <f>IF(COUNTIF($A$2:A328,A328)&gt;1,"DUP","OK")</f>
        <v>OK</v>
      </c>
      <c r="O328" s="23" t="str">
        <f t="shared" si="16"/>
        <v>ORD26005857</v>
      </c>
      <c r="P328" s="23" t="str">
        <f t="shared" si="17"/>
        <v>Sep</v>
      </c>
      <c r="Q328" s="23" t="str">
        <f>IF(F328="CAPTURE",IF(COUNTIF(orders!$A:$A,O328)&gt;0,"Yes","NO ORDER"),"")</f>
        <v>Yes</v>
      </c>
    </row>
    <row r="329" spans="1:17" ht="15" customHeight="1" x14ac:dyDescent="0.3">
      <c r="A329" s="23" t="s">
        <v>12789</v>
      </c>
      <c r="B329" s="23"/>
      <c r="C329" s="23" t="s">
        <v>12282</v>
      </c>
      <c r="D329" s="23" t="str">
        <f t="shared" si="15"/>
        <v>ORD26005942</v>
      </c>
      <c r="E329" s="38">
        <v>46267</v>
      </c>
      <c r="F329" s="23" t="s">
        <v>12410</v>
      </c>
      <c r="G329" s="23" t="s">
        <v>77</v>
      </c>
      <c r="H329" s="24">
        <v>1499</v>
      </c>
      <c r="I329" s="24">
        <v>28.48</v>
      </c>
      <c r="J329" s="24">
        <v>5.13</v>
      </c>
      <c r="K329" s="24">
        <v>1465.39</v>
      </c>
      <c r="L329" s="38">
        <v>46269</v>
      </c>
      <c r="M329" s="23" t="s">
        <v>184</v>
      </c>
      <c r="N329" s="23" t="str">
        <f>IF(COUNTIF($A$2:A329,A329)&gt;1,"DUP","OK")</f>
        <v>OK</v>
      </c>
      <c r="O329" s="23" t="str">
        <f t="shared" si="16"/>
        <v>ORD26005942</v>
      </c>
      <c r="P329" s="23" t="str">
        <f t="shared" si="17"/>
        <v>Sep</v>
      </c>
      <c r="Q329" s="23" t="str">
        <f>IF(F329="CAPTURE",IF(COUNTIF(orders!$A:$A,O329)&gt;0,"Yes","NO ORDER"),"")</f>
        <v>Yes</v>
      </c>
    </row>
    <row r="330" spans="1:17" ht="15" customHeight="1" x14ac:dyDescent="0.3">
      <c r="A330" s="23" t="s">
        <v>12790</v>
      </c>
      <c r="B330" s="23" t="s">
        <v>12474</v>
      </c>
      <c r="C330" s="23"/>
      <c r="D330" s="23" t="str">
        <f t="shared" si="15"/>
        <v/>
      </c>
      <c r="E330" s="38">
        <v>46267</v>
      </c>
      <c r="F330" s="23" t="s">
        <v>12791</v>
      </c>
      <c r="G330" s="23" t="s">
        <v>77</v>
      </c>
      <c r="H330" s="24">
        <v>1799</v>
      </c>
      <c r="I330" s="24">
        <v>0</v>
      </c>
      <c r="J330" s="24">
        <v>0</v>
      </c>
      <c r="K330" s="24">
        <v>-1799</v>
      </c>
      <c r="L330" s="38">
        <v>46269</v>
      </c>
      <c r="M330" s="23" t="s">
        <v>184</v>
      </c>
      <c r="N330" s="23" t="str">
        <f>IF(COUNTIF($A$2:A330,A330)&gt;1,"DUP","OK")</f>
        <v>OK</v>
      </c>
      <c r="O330" s="23" t="str">
        <f t="shared" si="16"/>
        <v>ORD26002680</v>
      </c>
      <c r="P330" s="23" t="str">
        <f t="shared" si="17"/>
        <v>Sep</v>
      </c>
      <c r="Q330" s="23" t="str">
        <f>IF(F330="CAPTURE",IF(COUNTIF(orders!$A:$A,O330)&gt;0,"Yes","NO ORDER"),"")</f>
        <v/>
      </c>
    </row>
    <row r="331" spans="1:17" ht="15" customHeight="1" x14ac:dyDescent="0.3">
      <c r="A331" s="23" t="s">
        <v>12792</v>
      </c>
      <c r="B331" s="23" t="s">
        <v>12535</v>
      </c>
      <c r="C331" s="23"/>
      <c r="D331" s="23" t="str">
        <f t="shared" si="15"/>
        <v/>
      </c>
      <c r="E331" s="38">
        <v>46267</v>
      </c>
      <c r="F331" s="23" t="s">
        <v>12791</v>
      </c>
      <c r="G331" s="23" t="s">
        <v>81</v>
      </c>
      <c r="H331" s="24">
        <v>599</v>
      </c>
      <c r="I331" s="24">
        <v>0</v>
      </c>
      <c r="J331" s="24">
        <v>0</v>
      </c>
      <c r="K331" s="24">
        <v>-599</v>
      </c>
      <c r="L331" s="38">
        <v>46269</v>
      </c>
      <c r="M331" s="23" t="s">
        <v>184</v>
      </c>
      <c r="N331" s="23" t="str">
        <f>IF(COUNTIF($A$2:A331,A331)&gt;1,"DUP","OK")</f>
        <v>OK</v>
      </c>
      <c r="O331" s="23" t="str">
        <f t="shared" si="16"/>
        <v>ORD26005124</v>
      </c>
      <c r="P331" s="23" t="str">
        <f t="shared" si="17"/>
        <v>Sep</v>
      </c>
      <c r="Q331" s="23" t="str">
        <f>IF(F331="CAPTURE",IF(COUNTIF(orders!$A:$A,O331)&gt;0,"Yes","NO ORDER"),"")</f>
        <v/>
      </c>
    </row>
    <row r="332" spans="1:17" ht="15" customHeight="1" x14ac:dyDescent="0.3">
      <c r="A332" s="23" t="s">
        <v>12793</v>
      </c>
      <c r="B332" s="23"/>
      <c r="C332" s="23" t="s">
        <v>366</v>
      </c>
      <c r="D332" s="23" t="str">
        <f t="shared" si="15"/>
        <v>ORD26000042</v>
      </c>
      <c r="E332" s="38">
        <v>46268</v>
      </c>
      <c r="F332" s="23" t="s">
        <v>12410</v>
      </c>
      <c r="G332" s="23" t="s">
        <v>79</v>
      </c>
      <c r="H332" s="24">
        <v>349</v>
      </c>
      <c r="I332" s="24">
        <v>6.28</v>
      </c>
      <c r="J332" s="24">
        <v>1.1299999999999999</v>
      </c>
      <c r="K332" s="24">
        <v>341.59</v>
      </c>
      <c r="L332" s="38">
        <v>46270</v>
      </c>
      <c r="M332" s="23" t="s">
        <v>186</v>
      </c>
      <c r="N332" s="23" t="str">
        <f>IF(COUNTIF($A$2:A332,A332)&gt;1,"DUP","OK")</f>
        <v>OK</v>
      </c>
      <c r="O332" s="23" t="str">
        <f t="shared" si="16"/>
        <v>ORD26000042</v>
      </c>
      <c r="P332" s="23" t="str">
        <f t="shared" si="17"/>
        <v>Sep</v>
      </c>
      <c r="Q332" s="23" t="str">
        <f>IF(F332="CAPTURE",IF(COUNTIF(orders!$A:$A,O332)&gt;0,"Yes","NO ORDER"),"")</f>
        <v>Yes</v>
      </c>
    </row>
    <row r="333" spans="1:17" ht="15" customHeight="1" x14ac:dyDescent="0.3">
      <c r="A333" s="23" t="s">
        <v>12794</v>
      </c>
      <c r="B333" s="23"/>
      <c r="C333" s="23" t="s">
        <v>464</v>
      </c>
      <c r="D333" s="23" t="str">
        <f t="shared" si="15"/>
        <v>ORD26000082</v>
      </c>
      <c r="E333" s="38">
        <v>46268</v>
      </c>
      <c r="F333" s="23" t="s">
        <v>12410</v>
      </c>
      <c r="G333" s="23" t="s">
        <v>77</v>
      </c>
      <c r="H333" s="24">
        <v>2197</v>
      </c>
      <c r="I333" s="24">
        <v>37.35</v>
      </c>
      <c r="J333" s="24">
        <v>6.72</v>
      </c>
      <c r="K333" s="24">
        <v>2152.9299999999998</v>
      </c>
      <c r="L333" s="38">
        <v>46270</v>
      </c>
      <c r="M333" s="23" t="s">
        <v>186</v>
      </c>
      <c r="N333" s="23" t="str">
        <f>IF(COUNTIF($A$2:A333,A333)&gt;1,"DUP","OK")</f>
        <v>OK</v>
      </c>
      <c r="O333" s="23" t="str">
        <f t="shared" si="16"/>
        <v>ORD26000082</v>
      </c>
      <c r="P333" s="23" t="str">
        <f t="shared" si="17"/>
        <v>Sep</v>
      </c>
      <c r="Q333" s="23" t="str">
        <f>IF(F333="CAPTURE",IF(COUNTIF(orders!$A:$A,O333)&gt;0,"Yes","NO ORDER"),"")</f>
        <v>Yes</v>
      </c>
    </row>
    <row r="334" spans="1:17" ht="15" customHeight="1" x14ac:dyDescent="0.3">
      <c r="A334" s="23" t="s">
        <v>12795</v>
      </c>
      <c r="B334" s="23"/>
      <c r="C334" s="23" t="s">
        <v>527</v>
      </c>
      <c r="D334" s="23" t="str">
        <f t="shared" si="15"/>
        <v>ORD26000109</v>
      </c>
      <c r="E334" s="38">
        <v>46268</v>
      </c>
      <c r="F334" s="23" t="s">
        <v>12410</v>
      </c>
      <c r="G334" s="23" t="s">
        <v>75</v>
      </c>
      <c r="H334" s="24">
        <v>599</v>
      </c>
      <c r="I334" s="24">
        <v>0</v>
      </c>
      <c r="J334" s="24">
        <v>0</v>
      </c>
      <c r="K334" s="24">
        <v>599</v>
      </c>
      <c r="L334" s="38">
        <v>46270</v>
      </c>
      <c r="M334" s="23" t="s">
        <v>186</v>
      </c>
      <c r="N334" s="23" t="str">
        <f>IF(COUNTIF($A$2:A334,A334)&gt;1,"DUP","OK")</f>
        <v>OK</v>
      </c>
      <c r="O334" s="23" t="str">
        <f t="shared" si="16"/>
        <v>ORD26000109</v>
      </c>
      <c r="P334" s="23" t="str">
        <f t="shared" si="17"/>
        <v>Sep</v>
      </c>
      <c r="Q334" s="23" t="str">
        <f>IF(F334="CAPTURE",IF(COUNTIF(orders!$A:$A,O334)&gt;0,"Yes","NO ORDER"),"")</f>
        <v>Yes</v>
      </c>
    </row>
    <row r="335" spans="1:17" ht="15" customHeight="1" x14ac:dyDescent="0.3">
      <c r="A335" s="23" t="s">
        <v>12796</v>
      </c>
      <c r="B335" s="23"/>
      <c r="C335" s="23" t="s">
        <v>549</v>
      </c>
      <c r="D335" s="23" t="str">
        <f t="shared" si="15"/>
        <v>ORD26000119</v>
      </c>
      <c r="E335" s="38">
        <v>46268</v>
      </c>
      <c r="F335" s="23" t="s">
        <v>12410</v>
      </c>
      <c r="G335" s="23" t="s">
        <v>75</v>
      </c>
      <c r="H335" s="24">
        <v>349</v>
      </c>
      <c r="I335" s="24">
        <v>0</v>
      </c>
      <c r="J335" s="24">
        <v>0</v>
      </c>
      <c r="K335" s="24">
        <v>349</v>
      </c>
      <c r="L335" s="38">
        <v>46270</v>
      </c>
      <c r="M335" s="23" t="s">
        <v>186</v>
      </c>
      <c r="N335" s="23" t="str">
        <f>IF(COUNTIF($A$2:A335,A335)&gt;1,"DUP","OK")</f>
        <v>OK</v>
      </c>
      <c r="O335" s="23" t="str">
        <f t="shared" si="16"/>
        <v>ORD26000119</v>
      </c>
      <c r="P335" s="23" t="str">
        <f t="shared" si="17"/>
        <v>Sep</v>
      </c>
      <c r="Q335" s="23" t="str">
        <f>IF(F335="CAPTURE",IF(COUNTIF(orders!$A:$A,O335)&gt;0,"Yes","NO ORDER"),"")</f>
        <v>Yes</v>
      </c>
    </row>
    <row r="336" spans="1:17" ht="15" customHeight="1" x14ac:dyDescent="0.3">
      <c r="A336" s="23" t="s">
        <v>12797</v>
      </c>
      <c r="B336" s="23"/>
      <c r="C336" s="23" t="s">
        <v>562</v>
      </c>
      <c r="D336" s="23" t="str">
        <f t="shared" si="15"/>
        <v>ORD26000124</v>
      </c>
      <c r="E336" s="38">
        <v>46268</v>
      </c>
      <c r="F336" s="23" t="s">
        <v>12410</v>
      </c>
      <c r="G336" s="23" t="s">
        <v>79</v>
      </c>
      <c r="H336" s="24">
        <v>6397</v>
      </c>
      <c r="I336" s="24">
        <v>102.35</v>
      </c>
      <c r="J336" s="24">
        <v>18.420000000000002</v>
      </c>
      <c r="K336" s="24">
        <v>6276.23</v>
      </c>
      <c r="L336" s="38">
        <v>46270</v>
      </c>
      <c r="M336" s="23" t="s">
        <v>186</v>
      </c>
      <c r="N336" s="23" t="str">
        <f>IF(COUNTIF($A$2:A336,A336)&gt;1,"DUP","OK")</f>
        <v>OK</v>
      </c>
      <c r="O336" s="23" t="str">
        <f t="shared" si="16"/>
        <v>ORD26000124</v>
      </c>
      <c r="P336" s="23" t="str">
        <f t="shared" si="17"/>
        <v>Sep</v>
      </c>
      <c r="Q336" s="23" t="str">
        <f>IF(F336="CAPTURE",IF(COUNTIF(orders!$A:$A,O336)&gt;0,"Yes","NO ORDER"),"")</f>
        <v>Yes</v>
      </c>
    </row>
    <row r="337" spans="1:17" ht="15" customHeight="1" x14ac:dyDescent="0.3">
      <c r="A337" s="23" t="s">
        <v>12798</v>
      </c>
      <c r="B337" s="23"/>
      <c r="C337" s="23" t="s">
        <v>847</v>
      </c>
      <c r="D337" s="23" t="str">
        <f t="shared" si="15"/>
        <v>ORD26000243</v>
      </c>
      <c r="E337" s="38">
        <v>46268</v>
      </c>
      <c r="F337" s="23" t="s">
        <v>12410</v>
      </c>
      <c r="G337" s="23" t="s">
        <v>77</v>
      </c>
      <c r="H337" s="24">
        <v>2798</v>
      </c>
      <c r="I337" s="24">
        <v>47.57</v>
      </c>
      <c r="J337" s="24">
        <v>8.56</v>
      </c>
      <c r="K337" s="24">
        <v>2741.87</v>
      </c>
      <c r="L337" s="38">
        <v>46270</v>
      </c>
      <c r="M337" s="23" t="s">
        <v>186</v>
      </c>
      <c r="N337" s="23" t="str">
        <f>IF(COUNTIF($A$2:A337,A337)&gt;1,"DUP","OK")</f>
        <v>OK</v>
      </c>
      <c r="O337" s="23" t="str">
        <f t="shared" si="16"/>
        <v>ORD26000243</v>
      </c>
      <c r="P337" s="23" t="str">
        <f t="shared" si="17"/>
        <v>Sep</v>
      </c>
      <c r="Q337" s="23" t="str">
        <f>IF(F337="CAPTURE",IF(COUNTIF(orders!$A:$A,O337)&gt;0,"Yes","NO ORDER"),"")</f>
        <v>Yes</v>
      </c>
    </row>
    <row r="338" spans="1:17" ht="15" customHeight="1" x14ac:dyDescent="0.3">
      <c r="A338" s="23" t="s">
        <v>12799</v>
      </c>
      <c r="B338" s="23"/>
      <c r="C338" s="23" t="s">
        <v>897</v>
      </c>
      <c r="D338" s="23" t="str">
        <f t="shared" si="15"/>
        <v>ORD26000267</v>
      </c>
      <c r="E338" s="38">
        <v>46268</v>
      </c>
      <c r="F338" s="23" t="s">
        <v>12410</v>
      </c>
      <c r="G338" s="23" t="s">
        <v>75</v>
      </c>
      <c r="H338" s="24">
        <v>4999</v>
      </c>
      <c r="I338" s="24">
        <v>15</v>
      </c>
      <c r="J338" s="24">
        <v>2.7</v>
      </c>
      <c r="K338" s="24">
        <v>4981.3</v>
      </c>
      <c r="L338" s="38">
        <v>46270</v>
      </c>
      <c r="M338" s="23" t="s">
        <v>186</v>
      </c>
      <c r="N338" s="23" t="str">
        <f>IF(COUNTIF($A$2:A338,A338)&gt;1,"DUP","OK")</f>
        <v>OK</v>
      </c>
      <c r="O338" s="23" t="str">
        <f t="shared" si="16"/>
        <v>ORD26000267</v>
      </c>
      <c r="P338" s="23" t="str">
        <f t="shared" si="17"/>
        <v>Sep</v>
      </c>
      <c r="Q338" s="23" t="str">
        <f>IF(F338="CAPTURE",IF(COUNTIF(orders!$A:$A,O338)&gt;0,"Yes","NO ORDER"),"")</f>
        <v>Yes</v>
      </c>
    </row>
    <row r="339" spans="1:17" ht="15" customHeight="1" x14ac:dyDescent="0.3">
      <c r="A339" s="23" t="s">
        <v>12800</v>
      </c>
      <c r="B339" s="23"/>
      <c r="C339" s="23" t="s">
        <v>934</v>
      </c>
      <c r="D339" s="23" t="str">
        <f t="shared" si="15"/>
        <v>ORD26000285</v>
      </c>
      <c r="E339" s="38">
        <v>46268</v>
      </c>
      <c r="F339" s="23" t="s">
        <v>12410</v>
      </c>
      <c r="G339" s="23" t="s">
        <v>79</v>
      </c>
      <c r="H339" s="24">
        <v>349</v>
      </c>
      <c r="I339" s="24">
        <v>6.28</v>
      </c>
      <c r="J339" s="24">
        <v>1.1299999999999999</v>
      </c>
      <c r="K339" s="24">
        <v>341.59</v>
      </c>
      <c r="L339" s="38">
        <v>46270</v>
      </c>
      <c r="M339" s="23" t="s">
        <v>186</v>
      </c>
      <c r="N339" s="23" t="str">
        <f>IF(COUNTIF($A$2:A339,A339)&gt;1,"DUP","OK")</f>
        <v>OK</v>
      </c>
      <c r="O339" s="23" t="str">
        <f t="shared" si="16"/>
        <v>ORD26000285</v>
      </c>
      <c r="P339" s="23" t="str">
        <f t="shared" si="17"/>
        <v>Sep</v>
      </c>
      <c r="Q339" s="23" t="str">
        <f>IF(F339="CAPTURE",IF(COUNTIF(orders!$A:$A,O339)&gt;0,"Yes","NO ORDER"),"")</f>
        <v>Yes</v>
      </c>
    </row>
    <row r="340" spans="1:17" ht="15" customHeight="1" x14ac:dyDescent="0.3">
      <c r="A340" s="23" t="s">
        <v>12801</v>
      </c>
      <c r="B340" s="23"/>
      <c r="C340" s="23" t="s">
        <v>12802</v>
      </c>
      <c r="D340" s="23" t="str">
        <f t="shared" si="15"/>
        <v>ORD26000298</v>
      </c>
      <c r="E340" s="38">
        <v>46268</v>
      </c>
      <c r="F340" s="23" t="s">
        <v>12410</v>
      </c>
      <c r="G340" s="23" t="s">
        <v>75</v>
      </c>
      <c r="H340" s="24">
        <v>2398</v>
      </c>
      <c r="I340" s="24">
        <v>7.19</v>
      </c>
      <c r="J340" s="24">
        <v>1.29</v>
      </c>
      <c r="K340" s="24">
        <v>2389.52</v>
      </c>
      <c r="L340" s="38">
        <v>46270</v>
      </c>
      <c r="M340" s="23" t="s">
        <v>186</v>
      </c>
      <c r="N340" s="23" t="str">
        <f>IF(COUNTIF($A$2:A340,A340)&gt;1,"DUP","OK")</f>
        <v>OK</v>
      </c>
      <c r="O340" s="23" t="str">
        <f t="shared" si="16"/>
        <v>ORD26000298</v>
      </c>
      <c r="P340" s="23" t="str">
        <f t="shared" si="17"/>
        <v>Sep</v>
      </c>
      <c r="Q340" s="23" t="str">
        <f>IF(F340="CAPTURE",IF(COUNTIF(orders!$A:$A,O340)&gt;0,"Yes","NO ORDER"),"")</f>
        <v>Yes</v>
      </c>
    </row>
    <row r="341" spans="1:17" ht="15" customHeight="1" x14ac:dyDescent="0.3">
      <c r="A341" s="23" t="s">
        <v>12803</v>
      </c>
      <c r="B341" s="23"/>
      <c r="C341" s="23" t="s">
        <v>1030</v>
      </c>
      <c r="D341" s="23" t="str">
        <f t="shared" si="15"/>
        <v>ORD26000330</v>
      </c>
      <c r="E341" s="38">
        <v>46268</v>
      </c>
      <c r="F341" s="23" t="s">
        <v>12410</v>
      </c>
      <c r="G341" s="23" t="s">
        <v>75</v>
      </c>
      <c r="H341" s="24">
        <v>3348</v>
      </c>
      <c r="I341" s="24">
        <v>10.039999999999999</v>
      </c>
      <c r="J341" s="24">
        <v>1.81</v>
      </c>
      <c r="K341" s="24">
        <v>3336.15</v>
      </c>
      <c r="L341" s="38">
        <v>46270</v>
      </c>
      <c r="M341" s="23" t="s">
        <v>186</v>
      </c>
      <c r="N341" s="23" t="str">
        <f>IF(COUNTIF($A$2:A341,A341)&gt;1,"DUP","OK")</f>
        <v>OK</v>
      </c>
      <c r="O341" s="23" t="str">
        <f t="shared" si="16"/>
        <v>ORD26000330</v>
      </c>
      <c r="P341" s="23" t="str">
        <f t="shared" si="17"/>
        <v>Sep</v>
      </c>
      <c r="Q341" s="23" t="str">
        <f>IF(F341="CAPTURE",IF(COUNTIF(orders!$A:$A,O341)&gt;0,"Yes","NO ORDER"),"")</f>
        <v>Yes</v>
      </c>
    </row>
    <row r="342" spans="1:17" ht="15" customHeight="1" x14ac:dyDescent="0.3">
      <c r="A342" s="23" t="s">
        <v>12804</v>
      </c>
      <c r="B342" s="23"/>
      <c r="C342" s="23" t="s">
        <v>1287</v>
      </c>
      <c r="D342" s="23" t="str">
        <f t="shared" si="15"/>
        <v>ORD26000447</v>
      </c>
      <c r="E342" s="38">
        <v>46268</v>
      </c>
      <c r="F342" s="23" t="s">
        <v>12410</v>
      </c>
      <c r="G342" s="23" t="s">
        <v>75</v>
      </c>
      <c r="H342" s="24">
        <v>2999</v>
      </c>
      <c r="I342" s="24">
        <v>9</v>
      </c>
      <c r="J342" s="24">
        <v>1.62</v>
      </c>
      <c r="K342" s="24">
        <v>2988.38</v>
      </c>
      <c r="L342" s="38">
        <v>46270</v>
      </c>
      <c r="M342" s="23" t="s">
        <v>186</v>
      </c>
      <c r="N342" s="23" t="str">
        <f>IF(COUNTIF($A$2:A342,A342)&gt;1,"DUP","OK")</f>
        <v>OK</v>
      </c>
      <c r="O342" s="23" t="str">
        <f t="shared" si="16"/>
        <v>ORD26000447</v>
      </c>
      <c r="P342" s="23" t="str">
        <f t="shared" si="17"/>
        <v>Sep</v>
      </c>
      <c r="Q342" s="23" t="str">
        <f>IF(F342="CAPTURE",IF(COUNTIF(orders!$A:$A,O342)&gt;0,"Yes","NO ORDER"),"")</f>
        <v>Yes</v>
      </c>
    </row>
    <row r="343" spans="1:17" ht="15" customHeight="1" x14ac:dyDescent="0.3">
      <c r="A343" s="23" t="s">
        <v>12805</v>
      </c>
      <c r="B343" s="23"/>
      <c r="C343" s="23" t="s">
        <v>12806</v>
      </c>
      <c r="D343" s="23" t="str">
        <f t="shared" si="15"/>
        <v>ORD26000455</v>
      </c>
      <c r="E343" s="38">
        <v>46268</v>
      </c>
      <c r="F343" s="23" t="s">
        <v>12410</v>
      </c>
      <c r="G343" s="23" t="s">
        <v>75</v>
      </c>
      <c r="H343" s="24">
        <v>2798</v>
      </c>
      <c r="I343" s="24">
        <v>8.39</v>
      </c>
      <c r="J343" s="24">
        <v>1.51</v>
      </c>
      <c r="K343" s="24">
        <v>2788.1</v>
      </c>
      <c r="L343" s="38">
        <v>46270</v>
      </c>
      <c r="M343" s="23" t="s">
        <v>186</v>
      </c>
      <c r="N343" s="23" t="str">
        <f>IF(COUNTIF($A$2:A343,A343)&gt;1,"DUP","OK")</f>
        <v>OK</v>
      </c>
      <c r="O343" s="23" t="str">
        <f t="shared" si="16"/>
        <v>ORD26000455</v>
      </c>
      <c r="P343" s="23" t="str">
        <f t="shared" si="17"/>
        <v>Sep</v>
      </c>
      <c r="Q343" s="23" t="str">
        <f>IF(F343="CAPTURE",IF(COUNTIF(orders!$A:$A,O343)&gt;0,"Yes","NO ORDER"),"")</f>
        <v>Yes</v>
      </c>
    </row>
    <row r="344" spans="1:17" ht="15" customHeight="1" x14ac:dyDescent="0.3">
      <c r="A344" s="23" t="s">
        <v>12807</v>
      </c>
      <c r="B344" s="23"/>
      <c r="C344" s="23" t="s">
        <v>1376</v>
      </c>
      <c r="D344" s="23" t="str">
        <f t="shared" si="15"/>
        <v>ORD26000487</v>
      </c>
      <c r="E344" s="38">
        <v>46268</v>
      </c>
      <c r="F344" s="23" t="s">
        <v>12410</v>
      </c>
      <c r="G344" s="23" t="s">
        <v>77</v>
      </c>
      <c r="H344" s="24">
        <v>2798</v>
      </c>
      <c r="I344" s="24">
        <v>47.57</v>
      </c>
      <c r="J344" s="24">
        <v>8.56</v>
      </c>
      <c r="K344" s="24">
        <v>2741.87</v>
      </c>
      <c r="L344" s="38">
        <v>46270</v>
      </c>
      <c r="M344" s="23" t="s">
        <v>186</v>
      </c>
      <c r="N344" s="23" t="str">
        <f>IF(COUNTIF($A$2:A344,A344)&gt;1,"DUP","OK")</f>
        <v>OK</v>
      </c>
      <c r="O344" s="23" t="str">
        <f t="shared" si="16"/>
        <v>ORD26000487</v>
      </c>
      <c r="P344" s="23" t="str">
        <f t="shared" si="17"/>
        <v>Sep</v>
      </c>
      <c r="Q344" s="23" t="str">
        <f>IF(F344="CAPTURE",IF(COUNTIF(orders!$A:$A,O344)&gt;0,"Yes","NO ORDER"),"")</f>
        <v>Yes</v>
      </c>
    </row>
    <row r="345" spans="1:17" ht="15" customHeight="1" x14ac:dyDescent="0.3">
      <c r="A345" s="23" t="s">
        <v>12808</v>
      </c>
      <c r="B345" s="23"/>
      <c r="C345" s="23" t="s">
        <v>1389</v>
      </c>
      <c r="D345" s="23" t="str">
        <f t="shared" si="15"/>
        <v>ORD26000493</v>
      </c>
      <c r="E345" s="38">
        <v>46268</v>
      </c>
      <c r="F345" s="23" t="s">
        <v>12410</v>
      </c>
      <c r="G345" s="23" t="s">
        <v>79</v>
      </c>
      <c r="H345" s="24">
        <v>2897</v>
      </c>
      <c r="I345" s="24">
        <v>46.35</v>
      </c>
      <c r="J345" s="24">
        <v>8.34</v>
      </c>
      <c r="K345" s="24">
        <v>2842.31</v>
      </c>
      <c r="L345" s="38">
        <v>46270</v>
      </c>
      <c r="M345" s="23" t="s">
        <v>186</v>
      </c>
      <c r="N345" s="23" t="str">
        <f>IF(COUNTIF($A$2:A345,A345)&gt;1,"DUP","OK")</f>
        <v>OK</v>
      </c>
      <c r="O345" s="23" t="str">
        <f t="shared" si="16"/>
        <v>ORD26000493</v>
      </c>
      <c r="P345" s="23" t="str">
        <f t="shared" si="17"/>
        <v>Sep</v>
      </c>
      <c r="Q345" s="23" t="str">
        <f>IF(F345="CAPTURE",IF(COUNTIF(orders!$A:$A,O345)&gt;0,"Yes","NO ORDER"),"")</f>
        <v>Yes</v>
      </c>
    </row>
    <row r="346" spans="1:17" ht="15" customHeight="1" x14ac:dyDescent="0.3">
      <c r="A346" s="23" t="s">
        <v>12809</v>
      </c>
      <c r="B346" s="23"/>
      <c r="C346" s="23" t="s">
        <v>1417</v>
      </c>
      <c r="D346" s="23" t="str">
        <f t="shared" si="15"/>
        <v>ORD26000506</v>
      </c>
      <c r="E346" s="38">
        <v>46268</v>
      </c>
      <c r="F346" s="23" t="s">
        <v>12410</v>
      </c>
      <c r="G346" s="23" t="s">
        <v>77</v>
      </c>
      <c r="H346" s="24">
        <v>2798</v>
      </c>
      <c r="I346" s="24">
        <v>47.57</v>
      </c>
      <c r="J346" s="24">
        <v>8.56</v>
      </c>
      <c r="K346" s="24">
        <v>2741.87</v>
      </c>
      <c r="L346" s="38">
        <v>46270</v>
      </c>
      <c r="M346" s="23" t="s">
        <v>186</v>
      </c>
      <c r="N346" s="23" t="str">
        <f>IF(COUNTIF($A$2:A346,A346)&gt;1,"DUP","OK")</f>
        <v>OK</v>
      </c>
      <c r="O346" s="23" t="str">
        <f t="shared" si="16"/>
        <v>ORD26000506</v>
      </c>
      <c r="P346" s="23" t="str">
        <f t="shared" si="17"/>
        <v>Sep</v>
      </c>
      <c r="Q346" s="23" t="str">
        <f>IF(F346="CAPTURE",IF(COUNTIF(orders!$A:$A,O346)&gt;0,"Yes","NO ORDER"),"")</f>
        <v>Yes</v>
      </c>
    </row>
    <row r="347" spans="1:17" ht="15" customHeight="1" x14ac:dyDescent="0.3">
      <c r="A347" s="23" t="s">
        <v>12810</v>
      </c>
      <c r="B347" s="23"/>
      <c r="C347" s="23" t="s">
        <v>1480</v>
      </c>
      <c r="D347" s="23" t="str">
        <f t="shared" si="15"/>
        <v>ORD26000534</v>
      </c>
      <c r="E347" s="38">
        <v>46268</v>
      </c>
      <c r="F347" s="23" t="s">
        <v>12410</v>
      </c>
      <c r="G347" s="23" t="s">
        <v>75</v>
      </c>
      <c r="H347" s="24">
        <v>3597</v>
      </c>
      <c r="I347" s="24">
        <v>10.79</v>
      </c>
      <c r="J347" s="24">
        <v>1.94</v>
      </c>
      <c r="K347" s="24">
        <v>3584.27</v>
      </c>
      <c r="L347" s="38">
        <v>46270</v>
      </c>
      <c r="M347" s="23" t="s">
        <v>186</v>
      </c>
      <c r="N347" s="23" t="str">
        <f>IF(COUNTIF($A$2:A347,A347)&gt;1,"DUP","OK")</f>
        <v>OK</v>
      </c>
      <c r="O347" s="23" t="str">
        <f t="shared" si="16"/>
        <v>ORD26000534</v>
      </c>
      <c r="P347" s="23" t="str">
        <f t="shared" si="17"/>
        <v>Sep</v>
      </c>
      <c r="Q347" s="23" t="str">
        <f>IF(F347="CAPTURE",IF(COUNTIF(orders!$A:$A,O347)&gt;0,"Yes","NO ORDER"),"")</f>
        <v>Yes</v>
      </c>
    </row>
    <row r="348" spans="1:17" ht="15" customHeight="1" x14ac:dyDescent="0.3">
      <c r="A348" s="23" t="s">
        <v>12811</v>
      </c>
      <c r="B348" s="23"/>
      <c r="C348" s="23" t="s">
        <v>1484</v>
      </c>
      <c r="D348" s="23" t="str">
        <f t="shared" si="15"/>
        <v>ORD26000536</v>
      </c>
      <c r="E348" s="38">
        <v>46268</v>
      </c>
      <c r="F348" s="23" t="s">
        <v>12410</v>
      </c>
      <c r="G348" s="23" t="s">
        <v>75</v>
      </c>
      <c r="H348" s="24">
        <v>4999</v>
      </c>
      <c r="I348" s="24">
        <v>15</v>
      </c>
      <c r="J348" s="24">
        <v>2.7</v>
      </c>
      <c r="K348" s="24">
        <v>4981.3</v>
      </c>
      <c r="L348" s="38">
        <v>46270</v>
      </c>
      <c r="M348" s="23" t="s">
        <v>186</v>
      </c>
      <c r="N348" s="23" t="str">
        <f>IF(COUNTIF($A$2:A348,A348)&gt;1,"DUP","OK")</f>
        <v>OK</v>
      </c>
      <c r="O348" s="23" t="str">
        <f t="shared" si="16"/>
        <v>ORD26000536</v>
      </c>
      <c r="P348" s="23" t="str">
        <f t="shared" si="17"/>
        <v>Sep</v>
      </c>
      <c r="Q348" s="23" t="str">
        <f>IF(F348="CAPTURE",IF(COUNTIF(orders!$A:$A,O348)&gt;0,"Yes","NO ORDER"),"")</f>
        <v>Yes</v>
      </c>
    </row>
    <row r="349" spans="1:17" ht="15" customHeight="1" x14ac:dyDescent="0.3">
      <c r="A349" s="23" t="s">
        <v>12812</v>
      </c>
      <c r="B349" s="23"/>
      <c r="C349" s="23" t="s">
        <v>1656</v>
      </c>
      <c r="D349" s="23" t="str">
        <f t="shared" si="15"/>
        <v>ORD26000614</v>
      </c>
      <c r="E349" s="38">
        <v>46268</v>
      </c>
      <c r="F349" s="23" t="s">
        <v>12410</v>
      </c>
      <c r="G349" s="23" t="s">
        <v>75</v>
      </c>
      <c r="H349" s="24">
        <v>2498</v>
      </c>
      <c r="I349" s="24">
        <v>7.49</v>
      </c>
      <c r="J349" s="24">
        <v>1.35</v>
      </c>
      <c r="K349" s="24">
        <v>2489.16</v>
      </c>
      <c r="L349" s="38">
        <v>46270</v>
      </c>
      <c r="M349" s="23" t="s">
        <v>186</v>
      </c>
      <c r="N349" s="23" t="str">
        <f>IF(COUNTIF($A$2:A349,A349)&gt;1,"DUP","OK")</f>
        <v>OK</v>
      </c>
      <c r="O349" s="23" t="str">
        <f t="shared" si="16"/>
        <v>ORD26000614</v>
      </c>
      <c r="P349" s="23" t="str">
        <f t="shared" si="17"/>
        <v>Sep</v>
      </c>
      <c r="Q349" s="23" t="str">
        <f>IF(F349="CAPTURE",IF(COUNTIF(orders!$A:$A,O349)&gt;0,"Yes","NO ORDER"),"")</f>
        <v>Yes</v>
      </c>
    </row>
    <row r="350" spans="1:17" ht="15" customHeight="1" x14ac:dyDescent="0.3">
      <c r="A350" s="23" t="s">
        <v>12813</v>
      </c>
      <c r="B350" s="23"/>
      <c r="C350" s="23" t="s">
        <v>1782</v>
      </c>
      <c r="D350" s="23" t="str">
        <f t="shared" si="15"/>
        <v>ORD26000674</v>
      </c>
      <c r="E350" s="38">
        <v>46268</v>
      </c>
      <c r="F350" s="23" t="s">
        <v>12410</v>
      </c>
      <c r="G350" s="23" t="s">
        <v>77</v>
      </c>
      <c r="H350" s="24">
        <v>7999</v>
      </c>
      <c r="I350" s="24">
        <v>135.97999999999999</v>
      </c>
      <c r="J350" s="24">
        <v>24.48</v>
      </c>
      <c r="K350" s="24">
        <v>7838.54</v>
      </c>
      <c r="L350" s="38">
        <v>46270</v>
      </c>
      <c r="M350" s="23" t="s">
        <v>186</v>
      </c>
      <c r="N350" s="23" t="str">
        <f>IF(COUNTIF($A$2:A350,A350)&gt;1,"DUP","OK")</f>
        <v>OK</v>
      </c>
      <c r="O350" s="23" t="str">
        <f t="shared" si="16"/>
        <v>ORD26000674</v>
      </c>
      <c r="P350" s="23" t="str">
        <f t="shared" si="17"/>
        <v>Sep</v>
      </c>
      <c r="Q350" s="23" t="str">
        <f>IF(F350="CAPTURE",IF(COUNTIF(orders!$A:$A,O350)&gt;0,"Yes","NO ORDER"),"")</f>
        <v>Yes</v>
      </c>
    </row>
    <row r="351" spans="1:17" ht="15" customHeight="1" x14ac:dyDescent="0.3">
      <c r="A351" s="23" t="s">
        <v>12814</v>
      </c>
      <c r="B351" s="23"/>
      <c r="C351" s="23" t="s">
        <v>1983</v>
      </c>
      <c r="D351" s="23" t="str">
        <f t="shared" si="15"/>
        <v>ORD26000770</v>
      </c>
      <c r="E351" s="38">
        <v>46268</v>
      </c>
      <c r="F351" s="23" t="s">
        <v>12410</v>
      </c>
      <c r="G351" s="23" t="s">
        <v>75</v>
      </c>
      <c r="H351" s="24">
        <v>798</v>
      </c>
      <c r="I351" s="24">
        <v>0</v>
      </c>
      <c r="J351" s="24">
        <v>0</v>
      </c>
      <c r="K351" s="24">
        <v>798</v>
      </c>
      <c r="L351" s="38">
        <v>46270</v>
      </c>
      <c r="M351" s="23" t="s">
        <v>186</v>
      </c>
      <c r="N351" s="23" t="str">
        <f>IF(COUNTIF($A$2:A351,A351)&gt;1,"DUP","OK")</f>
        <v>OK</v>
      </c>
      <c r="O351" s="23" t="str">
        <f t="shared" si="16"/>
        <v>ORD26000770</v>
      </c>
      <c r="P351" s="23" t="str">
        <f t="shared" si="17"/>
        <v>Sep</v>
      </c>
      <c r="Q351" s="23" t="str">
        <f>IF(F351="CAPTURE",IF(COUNTIF(orders!$A:$A,O351)&gt;0,"Yes","NO ORDER"),"")</f>
        <v>Yes</v>
      </c>
    </row>
    <row r="352" spans="1:17" ht="15" customHeight="1" x14ac:dyDescent="0.3">
      <c r="A352" s="23" t="s">
        <v>12815</v>
      </c>
      <c r="B352" s="23"/>
      <c r="C352" s="23" t="s">
        <v>1991</v>
      </c>
      <c r="D352" s="23" t="str">
        <f t="shared" si="15"/>
        <v>ORD26000774</v>
      </c>
      <c r="E352" s="38">
        <v>46268</v>
      </c>
      <c r="F352" s="23" t="s">
        <v>12410</v>
      </c>
      <c r="G352" s="23" t="s">
        <v>81</v>
      </c>
      <c r="H352" s="24">
        <v>1998</v>
      </c>
      <c r="I352" s="24">
        <v>29.97</v>
      </c>
      <c r="J352" s="24">
        <v>5.39</v>
      </c>
      <c r="K352" s="24">
        <v>1962.64</v>
      </c>
      <c r="L352" s="38">
        <v>46270</v>
      </c>
      <c r="M352" s="23" t="s">
        <v>186</v>
      </c>
      <c r="N352" s="23" t="str">
        <f>IF(COUNTIF($A$2:A352,A352)&gt;1,"DUP","OK")</f>
        <v>OK</v>
      </c>
      <c r="O352" s="23" t="str">
        <f t="shared" si="16"/>
        <v>ORD26000774</v>
      </c>
      <c r="P352" s="23" t="str">
        <f t="shared" si="17"/>
        <v>Sep</v>
      </c>
      <c r="Q352" s="23" t="str">
        <f>IF(F352="CAPTURE",IF(COUNTIF(orders!$A:$A,O352)&gt;0,"Yes","NO ORDER"),"")</f>
        <v>Yes</v>
      </c>
    </row>
    <row r="353" spans="1:17" ht="15" customHeight="1" x14ac:dyDescent="0.3">
      <c r="A353" s="23" t="s">
        <v>12816</v>
      </c>
      <c r="B353" s="23"/>
      <c r="C353" s="23" t="s">
        <v>2165</v>
      </c>
      <c r="D353" s="23" t="str">
        <f t="shared" si="15"/>
        <v>ORD26000857</v>
      </c>
      <c r="E353" s="38">
        <v>46268</v>
      </c>
      <c r="F353" s="23" t="s">
        <v>12410</v>
      </c>
      <c r="G353" s="23" t="s">
        <v>77</v>
      </c>
      <c r="H353" s="24">
        <v>2647</v>
      </c>
      <c r="I353" s="24">
        <v>45</v>
      </c>
      <c r="J353" s="24">
        <v>8.1</v>
      </c>
      <c r="K353" s="24">
        <v>2593.9</v>
      </c>
      <c r="L353" s="38">
        <v>46270</v>
      </c>
      <c r="M353" s="23" t="s">
        <v>186</v>
      </c>
      <c r="N353" s="23" t="str">
        <f>IF(COUNTIF($A$2:A353,A353)&gt;1,"DUP","OK")</f>
        <v>OK</v>
      </c>
      <c r="O353" s="23" t="str">
        <f t="shared" si="16"/>
        <v>ORD26000857</v>
      </c>
      <c r="P353" s="23" t="str">
        <f t="shared" si="17"/>
        <v>Sep</v>
      </c>
      <c r="Q353" s="23" t="str">
        <f>IF(F353="CAPTURE",IF(COUNTIF(orders!$A:$A,O353)&gt;0,"Yes","NO ORDER"),"")</f>
        <v>Yes</v>
      </c>
    </row>
    <row r="354" spans="1:17" ht="15" customHeight="1" x14ac:dyDescent="0.3">
      <c r="A354" s="23" t="s">
        <v>12817</v>
      </c>
      <c r="B354" s="23"/>
      <c r="C354" s="23" t="s">
        <v>12818</v>
      </c>
      <c r="D354" s="23" t="str">
        <f t="shared" si="15"/>
        <v>ORD26000859</v>
      </c>
      <c r="E354" s="38">
        <v>46268</v>
      </c>
      <c r="F354" s="23" t="s">
        <v>12410</v>
      </c>
      <c r="G354" s="23" t="s">
        <v>77</v>
      </c>
      <c r="H354" s="24">
        <v>999</v>
      </c>
      <c r="I354" s="24">
        <v>18.98</v>
      </c>
      <c r="J354" s="24">
        <v>3.42</v>
      </c>
      <c r="K354" s="24">
        <v>976.6</v>
      </c>
      <c r="L354" s="38">
        <v>46270</v>
      </c>
      <c r="M354" s="23" t="s">
        <v>186</v>
      </c>
      <c r="N354" s="23" t="str">
        <f>IF(COUNTIF($A$2:A354,A354)&gt;1,"DUP","OK")</f>
        <v>OK</v>
      </c>
      <c r="O354" s="23" t="str">
        <f t="shared" si="16"/>
        <v>ORD26000859</v>
      </c>
      <c r="P354" s="23" t="str">
        <f t="shared" si="17"/>
        <v>Sep</v>
      </c>
      <c r="Q354" s="23" t="str">
        <f>IF(F354="CAPTURE",IF(COUNTIF(orders!$A:$A,O354)&gt;0,"Yes","NO ORDER"),"")</f>
        <v>Yes</v>
      </c>
    </row>
    <row r="355" spans="1:17" ht="15" customHeight="1" x14ac:dyDescent="0.3">
      <c r="A355" s="23" t="s">
        <v>12819</v>
      </c>
      <c r="B355" s="23"/>
      <c r="C355" s="23" t="s">
        <v>2172</v>
      </c>
      <c r="D355" s="23" t="str">
        <f t="shared" si="15"/>
        <v>ORD26000860</v>
      </c>
      <c r="E355" s="38">
        <v>46268</v>
      </c>
      <c r="F355" s="23" t="s">
        <v>12410</v>
      </c>
      <c r="G355" s="23" t="s">
        <v>75</v>
      </c>
      <c r="H355" s="24">
        <v>3499</v>
      </c>
      <c r="I355" s="24">
        <v>10.5</v>
      </c>
      <c r="J355" s="24">
        <v>1.89</v>
      </c>
      <c r="K355" s="24">
        <v>3486.61</v>
      </c>
      <c r="L355" s="38">
        <v>46270</v>
      </c>
      <c r="M355" s="23" t="s">
        <v>186</v>
      </c>
      <c r="N355" s="23" t="str">
        <f>IF(COUNTIF($A$2:A355,A355)&gt;1,"DUP","OK")</f>
        <v>OK</v>
      </c>
      <c r="O355" s="23" t="str">
        <f t="shared" si="16"/>
        <v>ORD26000860</v>
      </c>
      <c r="P355" s="23" t="str">
        <f t="shared" si="17"/>
        <v>Sep</v>
      </c>
      <c r="Q355" s="23" t="str">
        <f>IF(F355="CAPTURE",IF(COUNTIF(orders!$A:$A,O355)&gt;0,"Yes","NO ORDER"),"")</f>
        <v>Yes</v>
      </c>
    </row>
    <row r="356" spans="1:17" ht="15" customHeight="1" x14ac:dyDescent="0.3">
      <c r="A356" s="23" t="s">
        <v>12820</v>
      </c>
      <c r="B356" s="23"/>
      <c r="C356" s="23" t="s">
        <v>2203</v>
      </c>
      <c r="D356" s="23" t="str">
        <f t="shared" si="15"/>
        <v>ORD26000875</v>
      </c>
      <c r="E356" s="38">
        <v>46268</v>
      </c>
      <c r="F356" s="23" t="s">
        <v>12410</v>
      </c>
      <c r="G356" s="23" t="s">
        <v>79</v>
      </c>
      <c r="H356" s="24">
        <v>6998</v>
      </c>
      <c r="I356" s="24">
        <v>111.97</v>
      </c>
      <c r="J356" s="24">
        <v>20.149999999999999</v>
      </c>
      <c r="K356" s="24">
        <v>6865.88</v>
      </c>
      <c r="L356" s="38">
        <v>46270</v>
      </c>
      <c r="M356" s="23" t="s">
        <v>186</v>
      </c>
      <c r="N356" s="23" t="str">
        <f>IF(COUNTIF($A$2:A356,A356)&gt;1,"DUP","OK")</f>
        <v>OK</v>
      </c>
      <c r="O356" s="23" t="str">
        <f t="shared" si="16"/>
        <v>ORD26000875</v>
      </c>
      <c r="P356" s="23" t="str">
        <f t="shared" si="17"/>
        <v>Sep</v>
      </c>
      <c r="Q356" s="23" t="str">
        <f>IF(F356="CAPTURE",IF(COUNTIF(orders!$A:$A,O356)&gt;0,"Yes","NO ORDER"),"")</f>
        <v>Yes</v>
      </c>
    </row>
    <row r="357" spans="1:17" ht="15" customHeight="1" x14ac:dyDescent="0.3">
      <c r="A357" s="23" t="s">
        <v>12821</v>
      </c>
      <c r="B357" s="23"/>
      <c r="C357" s="23" t="s">
        <v>2265</v>
      </c>
      <c r="D357" s="23" t="str">
        <f t="shared" si="15"/>
        <v>ORD26000905</v>
      </c>
      <c r="E357" s="38">
        <v>46268</v>
      </c>
      <c r="F357" s="23" t="s">
        <v>12410</v>
      </c>
      <c r="G357" s="23" t="s">
        <v>81</v>
      </c>
      <c r="H357" s="24">
        <v>2998</v>
      </c>
      <c r="I357" s="24">
        <v>35.979999999999997</v>
      </c>
      <c r="J357" s="24">
        <v>6.48</v>
      </c>
      <c r="K357" s="24">
        <v>2955.54</v>
      </c>
      <c r="L357" s="38">
        <v>46270</v>
      </c>
      <c r="M357" s="23" t="s">
        <v>186</v>
      </c>
      <c r="N357" s="23" t="str">
        <f>IF(COUNTIF($A$2:A357,A357)&gt;1,"DUP","OK")</f>
        <v>OK</v>
      </c>
      <c r="O357" s="23" t="str">
        <f t="shared" si="16"/>
        <v>ORD26000905</v>
      </c>
      <c r="P357" s="23" t="str">
        <f t="shared" si="17"/>
        <v>Sep</v>
      </c>
      <c r="Q357" s="23" t="str">
        <f>IF(F357="CAPTURE",IF(COUNTIF(orders!$A:$A,O357)&gt;0,"Yes","NO ORDER"),"")</f>
        <v>Yes</v>
      </c>
    </row>
    <row r="358" spans="1:17" ht="15" customHeight="1" x14ac:dyDescent="0.3">
      <c r="A358" s="23" t="s">
        <v>12822</v>
      </c>
      <c r="B358" s="23"/>
      <c r="C358" s="23" t="s">
        <v>12823</v>
      </c>
      <c r="D358" s="23" t="str">
        <f t="shared" si="15"/>
        <v>ORD26000909</v>
      </c>
      <c r="E358" s="38">
        <v>46268</v>
      </c>
      <c r="F358" s="23" t="s">
        <v>12410</v>
      </c>
      <c r="G358" s="23" t="s">
        <v>81</v>
      </c>
      <c r="H358" s="24">
        <v>1348</v>
      </c>
      <c r="I358" s="24">
        <v>20.22</v>
      </c>
      <c r="J358" s="24">
        <v>3.64</v>
      </c>
      <c r="K358" s="24">
        <v>1324.14</v>
      </c>
      <c r="L358" s="38">
        <v>46270</v>
      </c>
      <c r="M358" s="23" t="s">
        <v>186</v>
      </c>
      <c r="N358" s="23" t="str">
        <f>IF(COUNTIF($A$2:A358,A358)&gt;1,"DUP","OK")</f>
        <v>OK</v>
      </c>
      <c r="O358" s="23" t="str">
        <f t="shared" si="16"/>
        <v>ORD26000909</v>
      </c>
      <c r="P358" s="23" t="str">
        <f t="shared" si="17"/>
        <v>Sep</v>
      </c>
      <c r="Q358" s="23" t="str">
        <f>IF(F358="CAPTURE",IF(COUNTIF(orders!$A:$A,O358)&gt;0,"Yes","NO ORDER"),"")</f>
        <v>Yes</v>
      </c>
    </row>
    <row r="359" spans="1:17" ht="15" customHeight="1" x14ac:dyDescent="0.3">
      <c r="A359" s="23" t="s">
        <v>12824</v>
      </c>
      <c r="B359" s="23"/>
      <c r="C359" s="23" t="s">
        <v>12825</v>
      </c>
      <c r="D359" s="23" t="str">
        <f t="shared" si="15"/>
        <v>ORD26000971</v>
      </c>
      <c r="E359" s="38">
        <v>46268</v>
      </c>
      <c r="F359" s="23" t="s">
        <v>12410</v>
      </c>
      <c r="G359" s="23" t="s">
        <v>77</v>
      </c>
      <c r="H359" s="24">
        <v>3798</v>
      </c>
      <c r="I359" s="24">
        <v>64.569999999999993</v>
      </c>
      <c r="J359" s="24">
        <v>11.62</v>
      </c>
      <c r="K359" s="24">
        <v>3721.81</v>
      </c>
      <c r="L359" s="38">
        <v>46270</v>
      </c>
      <c r="M359" s="23" t="s">
        <v>186</v>
      </c>
      <c r="N359" s="23" t="str">
        <f>IF(COUNTIF($A$2:A359,A359)&gt;1,"DUP","OK")</f>
        <v>OK</v>
      </c>
      <c r="O359" s="23" t="str">
        <f t="shared" si="16"/>
        <v>ORD26000971</v>
      </c>
      <c r="P359" s="23" t="str">
        <f t="shared" si="17"/>
        <v>Sep</v>
      </c>
      <c r="Q359" s="23" t="str">
        <f>IF(F359="CAPTURE",IF(COUNTIF(orders!$A:$A,O359)&gt;0,"Yes","NO ORDER"),"")</f>
        <v>Yes</v>
      </c>
    </row>
    <row r="360" spans="1:17" ht="15" customHeight="1" x14ac:dyDescent="0.3">
      <c r="A360" s="23" t="s">
        <v>12826</v>
      </c>
      <c r="B360" s="23"/>
      <c r="C360" s="23" t="s">
        <v>2446</v>
      </c>
      <c r="D360" s="23" t="str">
        <f t="shared" si="15"/>
        <v>ORD26000993</v>
      </c>
      <c r="E360" s="38">
        <v>46268</v>
      </c>
      <c r="F360" s="23" t="s">
        <v>12410</v>
      </c>
      <c r="G360" s="23" t="s">
        <v>79</v>
      </c>
      <c r="H360" s="24">
        <v>3499</v>
      </c>
      <c r="I360" s="24">
        <v>55.98</v>
      </c>
      <c r="J360" s="24">
        <v>10.08</v>
      </c>
      <c r="K360" s="24">
        <v>3432.94</v>
      </c>
      <c r="L360" s="38">
        <v>46270</v>
      </c>
      <c r="M360" s="23" t="s">
        <v>186</v>
      </c>
      <c r="N360" s="23" t="str">
        <f>IF(COUNTIF($A$2:A360,A360)&gt;1,"DUP","OK")</f>
        <v>OK</v>
      </c>
      <c r="O360" s="23" t="str">
        <f t="shared" si="16"/>
        <v>ORD26000993</v>
      </c>
      <c r="P360" s="23" t="str">
        <f t="shared" si="17"/>
        <v>Sep</v>
      </c>
      <c r="Q360" s="23" t="str">
        <f>IF(F360="CAPTURE",IF(COUNTIF(orders!$A:$A,O360)&gt;0,"Yes","NO ORDER"),"")</f>
        <v>Yes</v>
      </c>
    </row>
    <row r="361" spans="1:17" ht="15" customHeight="1" x14ac:dyDescent="0.3">
      <c r="A361" s="23" t="s">
        <v>12827</v>
      </c>
      <c r="B361" s="23"/>
      <c r="C361" s="23" t="s">
        <v>2549</v>
      </c>
      <c r="D361" s="23" t="str">
        <f t="shared" si="15"/>
        <v>ORD26001043</v>
      </c>
      <c r="E361" s="38">
        <v>46268</v>
      </c>
      <c r="F361" s="23" t="s">
        <v>12410</v>
      </c>
      <c r="G361" s="23" t="s">
        <v>75</v>
      </c>
      <c r="H361" s="24">
        <v>6298</v>
      </c>
      <c r="I361" s="24">
        <v>18.89</v>
      </c>
      <c r="J361" s="24">
        <v>3.4</v>
      </c>
      <c r="K361" s="24">
        <v>6275.71</v>
      </c>
      <c r="L361" s="38">
        <v>46270</v>
      </c>
      <c r="M361" s="23" t="s">
        <v>186</v>
      </c>
      <c r="N361" s="23" t="str">
        <f>IF(COUNTIF($A$2:A361,A361)&gt;1,"DUP","OK")</f>
        <v>OK</v>
      </c>
      <c r="O361" s="23" t="str">
        <f t="shared" si="16"/>
        <v>ORD26001043</v>
      </c>
      <c r="P361" s="23" t="str">
        <f t="shared" si="17"/>
        <v>Sep</v>
      </c>
      <c r="Q361" s="23" t="str">
        <f>IF(F361="CAPTURE",IF(COUNTIF(orders!$A:$A,O361)&gt;0,"Yes","NO ORDER"),"")</f>
        <v>Yes</v>
      </c>
    </row>
    <row r="362" spans="1:17" ht="15" customHeight="1" x14ac:dyDescent="0.3">
      <c r="A362" s="23" t="s">
        <v>12828</v>
      </c>
      <c r="B362" s="23"/>
      <c r="C362" s="23" t="s">
        <v>2570</v>
      </c>
      <c r="D362" s="23" t="str">
        <f t="shared" si="15"/>
        <v>ORD26001053</v>
      </c>
      <c r="E362" s="38">
        <v>46268</v>
      </c>
      <c r="F362" s="23" t="s">
        <v>12410</v>
      </c>
      <c r="G362" s="23" t="s">
        <v>77</v>
      </c>
      <c r="H362" s="24">
        <v>799</v>
      </c>
      <c r="I362" s="24">
        <v>15.18</v>
      </c>
      <c r="J362" s="24">
        <v>2.73</v>
      </c>
      <c r="K362" s="24">
        <v>781.09</v>
      </c>
      <c r="L362" s="38">
        <v>46270</v>
      </c>
      <c r="M362" s="23" t="s">
        <v>186</v>
      </c>
      <c r="N362" s="23" t="str">
        <f>IF(COUNTIF($A$2:A362,A362)&gt;1,"DUP","OK")</f>
        <v>OK</v>
      </c>
      <c r="O362" s="23" t="str">
        <f t="shared" si="16"/>
        <v>ORD26001053</v>
      </c>
      <c r="P362" s="23" t="str">
        <f t="shared" si="17"/>
        <v>Sep</v>
      </c>
      <c r="Q362" s="23" t="str">
        <f>IF(F362="CAPTURE",IF(COUNTIF(orders!$A:$A,O362)&gt;0,"Yes","NO ORDER"),"")</f>
        <v>Yes</v>
      </c>
    </row>
    <row r="363" spans="1:17" ht="15" customHeight="1" x14ac:dyDescent="0.3">
      <c r="A363" s="23" t="s">
        <v>12829</v>
      </c>
      <c r="B363" s="23"/>
      <c r="C363" s="23" t="s">
        <v>2773</v>
      </c>
      <c r="D363" s="23" t="str">
        <f t="shared" si="15"/>
        <v>ORD26001153</v>
      </c>
      <c r="E363" s="38">
        <v>46268</v>
      </c>
      <c r="F363" s="23" t="s">
        <v>12410</v>
      </c>
      <c r="G363" s="23" t="s">
        <v>75</v>
      </c>
      <c r="H363" s="24">
        <v>3499</v>
      </c>
      <c r="I363" s="24">
        <v>10.5</v>
      </c>
      <c r="J363" s="24">
        <v>1.89</v>
      </c>
      <c r="K363" s="24">
        <v>3486.61</v>
      </c>
      <c r="L363" s="38">
        <v>46270</v>
      </c>
      <c r="M363" s="23" t="s">
        <v>186</v>
      </c>
      <c r="N363" s="23" t="str">
        <f>IF(COUNTIF($A$2:A363,A363)&gt;1,"DUP","OK")</f>
        <v>OK</v>
      </c>
      <c r="O363" s="23" t="str">
        <f t="shared" si="16"/>
        <v>ORD26001153</v>
      </c>
      <c r="P363" s="23" t="str">
        <f t="shared" si="17"/>
        <v>Sep</v>
      </c>
      <c r="Q363" s="23" t="str">
        <f>IF(F363="CAPTURE",IF(COUNTIF(orders!$A:$A,O363)&gt;0,"Yes","NO ORDER"),"")</f>
        <v>Yes</v>
      </c>
    </row>
    <row r="364" spans="1:17" ht="15" customHeight="1" x14ac:dyDescent="0.3">
      <c r="A364" s="23" t="s">
        <v>12830</v>
      </c>
      <c r="B364" s="23"/>
      <c r="C364" s="23" t="s">
        <v>2839</v>
      </c>
      <c r="D364" s="23" t="str">
        <f t="shared" si="15"/>
        <v>ORD26001186</v>
      </c>
      <c r="E364" s="38">
        <v>46268</v>
      </c>
      <c r="F364" s="23" t="s">
        <v>12410</v>
      </c>
      <c r="G364" s="23" t="s">
        <v>75</v>
      </c>
      <c r="H364" s="24">
        <v>499</v>
      </c>
      <c r="I364" s="24">
        <v>0</v>
      </c>
      <c r="J364" s="24">
        <v>0</v>
      </c>
      <c r="K364" s="24">
        <v>499</v>
      </c>
      <c r="L364" s="38">
        <v>46270</v>
      </c>
      <c r="M364" s="23" t="s">
        <v>186</v>
      </c>
      <c r="N364" s="23" t="str">
        <f>IF(COUNTIF($A$2:A364,A364)&gt;1,"DUP","OK")</f>
        <v>OK</v>
      </c>
      <c r="O364" s="23" t="str">
        <f t="shared" si="16"/>
        <v>ORD26001186</v>
      </c>
      <c r="P364" s="23" t="str">
        <f t="shared" si="17"/>
        <v>Sep</v>
      </c>
      <c r="Q364" s="23" t="str">
        <f>IF(F364="CAPTURE",IF(COUNTIF(orders!$A:$A,O364)&gt;0,"Yes","NO ORDER"),"")</f>
        <v>Yes</v>
      </c>
    </row>
    <row r="365" spans="1:17" ht="15" customHeight="1" x14ac:dyDescent="0.3">
      <c r="A365" s="23" t="s">
        <v>12831</v>
      </c>
      <c r="B365" s="23"/>
      <c r="C365" s="23" t="s">
        <v>2968</v>
      </c>
      <c r="D365" s="23" t="str">
        <f t="shared" si="15"/>
        <v>ORD26001248</v>
      </c>
      <c r="E365" s="38">
        <v>46268</v>
      </c>
      <c r="F365" s="23" t="s">
        <v>12410</v>
      </c>
      <c r="G365" s="23" t="s">
        <v>75</v>
      </c>
      <c r="H365" s="24">
        <v>3498</v>
      </c>
      <c r="I365" s="24">
        <v>10.49</v>
      </c>
      <c r="J365" s="24">
        <v>1.89</v>
      </c>
      <c r="K365" s="24">
        <v>3485.62</v>
      </c>
      <c r="L365" s="38">
        <v>46270</v>
      </c>
      <c r="M365" s="23" t="s">
        <v>186</v>
      </c>
      <c r="N365" s="23" t="str">
        <f>IF(COUNTIF($A$2:A365,A365)&gt;1,"DUP","OK")</f>
        <v>OK</v>
      </c>
      <c r="O365" s="23" t="str">
        <f t="shared" si="16"/>
        <v>ORD26001248</v>
      </c>
      <c r="P365" s="23" t="str">
        <f t="shared" si="17"/>
        <v>Sep</v>
      </c>
      <c r="Q365" s="23" t="str">
        <f>IF(F365="CAPTURE",IF(COUNTIF(orders!$A:$A,O365)&gt;0,"Yes","NO ORDER"),"")</f>
        <v>Yes</v>
      </c>
    </row>
    <row r="366" spans="1:17" ht="15" customHeight="1" x14ac:dyDescent="0.3">
      <c r="A366" s="23" t="s">
        <v>12832</v>
      </c>
      <c r="B366" s="23"/>
      <c r="C366" s="23" t="s">
        <v>2972</v>
      </c>
      <c r="D366" s="23" t="str">
        <f t="shared" si="15"/>
        <v>ORD26001250</v>
      </c>
      <c r="E366" s="38">
        <v>46268</v>
      </c>
      <c r="F366" s="23" t="s">
        <v>12410</v>
      </c>
      <c r="G366" s="23" t="s">
        <v>75</v>
      </c>
      <c r="H366" s="24">
        <v>349</v>
      </c>
      <c r="I366" s="24">
        <v>0</v>
      </c>
      <c r="J366" s="24">
        <v>0</v>
      </c>
      <c r="K366" s="24">
        <v>349</v>
      </c>
      <c r="L366" s="38">
        <v>46270</v>
      </c>
      <c r="M366" s="23" t="s">
        <v>186</v>
      </c>
      <c r="N366" s="23" t="str">
        <f>IF(COUNTIF($A$2:A366,A366)&gt;1,"DUP","OK")</f>
        <v>OK</v>
      </c>
      <c r="O366" s="23" t="str">
        <f t="shared" si="16"/>
        <v>ORD26001250</v>
      </c>
      <c r="P366" s="23" t="str">
        <f t="shared" si="17"/>
        <v>Sep</v>
      </c>
      <c r="Q366" s="23" t="str">
        <f>IF(F366="CAPTURE",IF(COUNTIF(orders!$A:$A,O366)&gt;0,"Yes","NO ORDER"),"")</f>
        <v>Yes</v>
      </c>
    </row>
    <row r="367" spans="1:17" ht="15" customHeight="1" x14ac:dyDescent="0.3">
      <c r="A367" s="23" t="s">
        <v>12833</v>
      </c>
      <c r="B367" s="23"/>
      <c r="C367" s="23" t="s">
        <v>2999</v>
      </c>
      <c r="D367" s="23" t="str">
        <f t="shared" si="15"/>
        <v>ORD26001263</v>
      </c>
      <c r="E367" s="38">
        <v>46268</v>
      </c>
      <c r="F367" s="23" t="s">
        <v>12410</v>
      </c>
      <c r="G367" s="23" t="s">
        <v>75</v>
      </c>
      <c r="H367" s="24">
        <v>349</v>
      </c>
      <c r="I367" s="24">
        <v>0</v>
      </c>
      <c r="J367" s="24">
        <v>0</v>
      </c>
      <c r="K367" s="24">
        <v>349</v>
      </c>
      <c r="L367" s="38">
        <v>46270</v>
      </c>
      <c r="M367" s="23" t="s">
        <v>186</v>
      </c>
      <c r="N367" s="23" t="str">
        <f>IF(COUNTIF($A$2:A367,A367)&gt;1,"DUP","OK")</f>
        <v>OK</v>
      </c>
      <c r="O367" s="23" t="str">
        <f t="shared" si="16"/>
        <v>ORD26001263</v>
      </c>
      <c r="P367" s="23" t="str">
        <f t="shared" si="17"/>
        <v>Sep</v>
      </c>
      <c r="Q367" s="23" t="str">
        <f>IF(F367="CAPTURE",IF(COUNTIF(orders!$A:$A,O367)&gt;0,"Yes","NO ORDER"),"")</f>
        <v>Yes</v>
      </c>
    </row>
    <row r="368" spans="1:17" ht="15" customHeight="1" x14ac:dyDescent="0.3">
      <c r="A368" s="23" t="s">
        <v>12834</v>
      </c>
      <c r="B368" s="23"/>
      <c r="C368" s="23" t="s">
        <v>3048</v>
      </c>
      <c r="D368" s="23" t="str">
        <f t="shared" si="15"/>
        <v>ORD26001287</v>
      </c>
      <c r="E368" s="38">
        <v>46268</v>
      </c>
      <c r="F368" s="23" t="s">
        <v>12410</v>
      </c>
      <c r="G368" s="23" t="s">
        <v>79</v>
      </c>
      <c r="H368" s="24">
        <v>3998</v>
      </c>
      <c r="I368" s="24">
        <v>63.97</v>
      </c>
      <c r="J368" s="24">
        <v>11.51</v>
      </c>
      <c r="K368" s="24">
        <v>3922.52</v>
      </c>
      <c r="L368" s="38">
        <v>46270</v>
      </c>
      <c r="M368" s="23" t="s">
        <v>186</v>
      </c>
      <c r="N368" s="23" t="str">
        <f>IF(COUNTIF($A$2:A368,A368)&gt;1,"DUP","OK")</f>
        <v>OK</v>
      </c>
      <c r="O368" s="23" t="str">
        <f t="shared" si="16"/>
        <v>ORD26001287</v>
      </c>
      <c r="P368" s="23" t="str">
        <f t="shared" si="17"/>
        <v>Sep</v>
      </c>
      <c r="Q368" s="23" t="str">
        <f>IF(F368="CAPTURE",IF(COUNTIF(orders!$A:$A,O368)&gt;0,"Yes","NO ORDER"),"")</f>
        <v>Yes</v>
      </c>
    </row>
    <row r="369" spans="1:17" ht="15" customHeight="1" x14ac:dyDescent="0.3">
      <c r="A369" s="23" t="s">
        <v>12835</v>
      </c>
      <c r="B369" s="23"/>
      <c r="C369" s="23" t="s">
        <v>12836</v>
      </c>
      <c r="D369" s="23" t="str">
        <f t="shared" si="15"/>
        <v>ORD26001288</v>
      </c>
      <c r="E369" s="38">
        <v>46268</v>
      </c>
      <c r="F369" s="23" t="s">
        <v>12410</v>
      </c>
      <c r="G369" s="23" t="s">
        <v>77</v>
      </c>
      <c r="H369" s="24">
        <v>299</v>
      </c>
      <c r="I369" s="24">
        <v>5.68</v>
      </c>
      <c r="J369" s="24">
        <v>1.02</v>
      </c>
      <c r="K369" s="24">
        <v>292.3</v>
      </c>
      <c r="L369" s="38">
        <v>46270</v>
      </c>
      <c r="M369" s="23" t="s">
        <v>186</v>
      </c>
      <c r="N369" s="23" t="str">
        <f>IF(COUNTIF($A$2:A369,A369)&gt;1,"DUP","OK")</f>
        <v>OK</v>
      </c>
      <c r="O369" s="23" t="str">
        <f t="shared" si="16"/>
        <v>ORD26001288</v>
      </c>
      <c r="P369" s="23" t="str">
        <f t="shared" si="17"/>
        <v>Sep</v>
      </c>
      <c r="Q369" s="23" t="str">
        <f>IF(F369="CAPTURE",IF(COUNTIF(orders!$A:$A,O369)&gt;0,"Yes","NO ORDER"),"")</f>
        <v>Yes</v>
      </c>
    </row>
    <row r="370" spans="1:17" ht="15" customHeight="1" x14ac:dyDescent="0.3">
      <c r="A370" s="23" t="s">
        <v>12837</v>
      </c>
      <c r="B370" s="23"/>
      <c r="C370" s="23" t="s">
        <v>3110</v>
      </c>
      <c r="D370" s="23" t="str">
        <f t="shared" si="15"/>
        <v>ORD26001316</v>
      </c>
      <c r="E370" s="38">
        <v>46268</v>
      </c>
      <c r="F370" s="23" t="s">
        <v>12410</v>
      </c>
      <c r="G370" s="23" t="s">
        <v>77</v>
      </c>
      <c r="H370" s="24">
        <v>1799</v>
      </c>
      <c r="I370" s="24">
        <v>34.18</v>
      </c>
      <c r="J370" s="24">
        <v>6.15</v>
      </c>
      <c r="K370" s="24">
        <v>1758.67</v>
      </c>
      <c r="L370" s="38">
        <v>46270</v>
      </c>
      <c r="M370" s="23" t="s">
        <v>186</v>
      </c>
      <c r="N370" s="23" t="str">
        <f>IF(COUNTIF($A$2:A370,A370)&gt;1,"DUP","OK")</f>
        <v>OK</v>
      </c>
      <c r="O370" s="23" t="str">
        <f t="shared" si="16"/>
        <v>ORD26001316</v>
      </c>
      <c r="P370" s="23" t="str">
        <f t="shared" si="17"/>
        <v>Sep</v>
      </c>
      <c r="Q370" s="23" t="str">
        <f>IF(F370="CAPTURE",IF(COUNTIF(orders!$A:$A,O370)&gt;0,"Yes","NO ORDER"),"")</f>
        <v>Yes</v>
      </c>
    </row>
    <row r="371" spans="1:17" ht="15" customHeight="1" x14ac:dyDescent="0.3">
      <c r="A371" s="23" t="s">
        <v>12838</v>
      </c>
      <c r="B371" s="23"/>
      <c r="C371" s="23" t="s">
        <v>3218</v>
      </c>
      <c r="D371" s="23" t="str">
        <f t="shared" si="15"/>
        <v>ORD26001369</v>
      </c>
      <c r="E371" s="38">
        <v>46268</v>
      </c>
      <c r="F371" s="23" t="s">
        <v>12410</v>
      </c>
      <c r="G371" s="23" t="s">
        <v>79</v>
      </c>
      <c r="H371" s="24">
        <v>1299</v>
      </c>
      <c r="I371" s="24">
        <v>23.38</v>
      </c>
      <c r="J371" s="24">
        <v>4.21</v>
      </c>
      <c r="K371" s="24">
        <v>1271.4100000000001</v>
      </c>
      <c r="L371" s="38">
        <v>46270</v>
      </c>
      <c r="M371" s="23" t="s">
        <v>186</v>
      </c>
      <c r="N371" s="23" t="str">
        <f>IF(COUNTIF($A$2:A371,A371)&gt;1,"DUP","OK")</f>
        <v>OK</v>
      </c>
      <c r="O371" s="23" t="str">
        <f t="shared" si="16"/>
        <v>ORD26001369</v>
      </c>
      <c r="P371" s="23" t="str">
        <f t="shared" si="17"/>
        <v>Sep</v>
      </c>
      <c r="Q371" s="23" t="str">
        <f>IF(F371="CAPTURE",IF(COUNTIF(orders!$A:$A,O371)&gt;0,"Yes","NO ORDER"),"")</f>
        <v>Yes</v>
      </c>
    </row>
    <row r="372" spans="1:17" ht="15" customHeight="1" x14ac:dyDescent="0.3">
      <c r="A372" s="23" t="s">
        <v>12839</v>
      </c>
      <c r="B372" s="23"/>
      <c r="C372" s="23" t="s">
        <v>3231</v>
      </c>
      <c r="D372" s="23" t="str">
        <f t="shared" si="15"/>
        <v>ORD26001375</v>
      </c>
      <c r="E372" s="38">
        <v>46268</v>
      </c>
      <c r="F372" s="23" t="s">
        <v>12410</v>
      </c>
      <c r="G372" s="23" t="s">
        <v>75</v>
      </c>
      <c r="H372" s="24">
        <v>499</v>
      </c>
      <c r="I372" s="24">
        <v>0</v>
      </c>
      <c r="J372" s="24">
        <v>0</v>
      </c>
      <c r="K372" s="24">
        <v>499</v>
      </c>
      <c r="L372" s="38">
        <v>46270</v>
      </c>
      <c r="M372" s="23" t="s">
        <v>186</v>
      </c>
      <c r="N372" s="23" t="str">
        <f>IF(COUNTIF($A$2:A372,A372)&gt;1,"DUP","OK")</f>
        <v>OK</v>
      </c>
      <c r="O372" s="23" t="str">
        <f t="shared" si="16"/>
        <v>ORD26001375</v>
      </c>
      <c r="P372" s="23" t="str">
        <f t="shared" si="17"/>
        <v>Sep</v>
      </c>
      <c r="Q372" s="23" t="str">
        <f>IF(F372="CAPTURE",IF(COUNTIF(orders!$A:$A,O372)&gt;0,"Yes","NO ORDER"),"")</f>
        <v>Yes</v>
      </c>
    </row>
    <row r="373" spans="1:17" ht="15" customHeight="1" x14ac:dyDescent="0.3">
      <c r="A373" s="23" t="s">
        <v>12840</v>
      </c>
      <c r="B373" s="23"/>
      <c r="C373" s="23" t="s">
        <v>3245</v>
      </c>
      <c r="D373" s="23" t="str">
        <f t="shared" si="15"/>
        <v>ORD26001382</v>
      </c>
      <c r="E373" s="38">
        <v>46268</v>
      </c>
      <c r="F373" s="23" t="s">
        <v>12410</v>
      </c>
      <c r="G373" s="23" t="s">
        <v>79</v>
      </c>
      <c r="H373" s="24">
        <v>2499</v>
      </c>
      <c r="I373" s="24">
        <v>39.979999999999997</v>
      </c>
      <c r="J373" s="24">
        <v>7.2</v>
      </c>
      <c r="K373" s="24">
        <v>2451.8200000000002</v>
      </c>
      <c r="L373" s="38">
        <v>46270</v>
      </c>
      <c r="M373" s="23" t="s">
        <v>186</v>
      </c>
      <c r="N373" s="23" t="str">
        <f>IF(COUNTIF($A$2:A373,A373)&gt;1,"DUP","OK")</f>
        <v>OK</v>
      </c>
      <c r="O373" s="23" t="str">
        <f t="shared" si="16"/>
        <v>ORD26001382</v>
      </c>
      <c r="P373" s="23" t="str">
        <f t="shared" si="17"/>
        <v>Sep</v>
      </c>
      <c r="Q373" s="23" t="str">
        <f>IF(F373="CAPTURE",IF(COUNTIF(orders!$A:$A,O373)&gt;0,"Yes","NO ORDER"),"")</f>
        <v>Yes</v>
      </c>
    </row>
    <row r="374" spans="1:17" ht="15" customHeight="1" x14ac:dyDescent="0.3">
      <c r="A374" s="23" t="s">
        <v>12841</v>
      </c>
      <c r="B374" s="23"/>
      <c r="C374" s="23" t="s">
        <v>3337</v>
      </c>
      <c r="D374" s="23" t="str">
        <f t="shared" si="15"/>
        <v>ORD26001428</v>
      </c>
      <c r="E374" s="38">
        <v>46268</v>
      </c>
      <c r="F374" s="23" t="s">
        <v>12410</v>
      </c>
      <c r="G374" s="23" t="s">
        <v>75</v>
      </c>
      <c r="H374" s="24">
        <v>3499</v>
      </c>
      <c r="I374" s="24">
        <v>10.5</v>
      </c>
      <c r="J374" s="24">
        <v>1.89</v>
      </c>
      <c r="K374" s="24">
        <v>3486.61</v>
      </c>
      <c r="L374" s="38">
        <v>46270</v>
      </c>
      <c r="M374" s="23" t="s">
        <v>186</v>
      </c>
      <c r="N374" s="23" t="str">
        <f>IF(COUNTIF($A$2:A374,A374)&gt;1,"DUP","OK")</f>
        <v>OK</v>
      </c>
      <c r="O374" s="23" t="str">
        <f t="shared" si="16"/>
        <v>ORD26001428</v>
      </c>
      <c r="P374" s="23" t="str">
        <f t="shared" si="17"/>
        <v>Sep</v>
      </c>
      <c r="Q374" s="23" t="str">
        <f>IF(F374="CAPTURE",IF(COUNTIF(orders!$A:$A,O374)&gt;0,"Yes","NO ORDER"),"")</f>
        <v>Yes</v>
      </c>
    </row>
    <row r="375" spans="1:17" ht="15" customHeight="1" x14ac:dyDescent="0.3">
      <c r="A375" s="23" t="s">
        <v>12842</v>
      </c>
      <c r="B375" s="23"/>
      <c r="C375" s="23" t="s">
        <v>3359</v>
      </c>
      <c r="D375" s="23" t="str">
        <f t="shared" si="15"/>
        <v>ORD26001439</v>
      </c>
      <c r="E375" s="38">
        <v>46268</v>
      </c>
      <c r="F375" s="23" t="s">
        <v>12410</v>
      </c>
      <c r="G375" s="23" t="s">
        <v>77</v>
      </c>
      <c r="H375" s="24">
        <v>4298</v>
      </c>
      <c r="I375" s="24">
        <v>73.069999999999993</v>
      </c>
      <c r="J375" s="24">
        <v>13.15</v>
      </c>
      <c r="K375" s="24">
        <v>4211.78</v>
      </c>
      <c r="L375" s="38">
        <v>46270</v>
      </c>
      <c r="M375" s="23" t="s">
        <v>186</v>
      </c>
      <c r="N375" s="23" t="str">
        <f>IF(COUNTIF($A$2:A375,A375)&gt;1,"DUP","OK")</f>
        <v>OK</v>
      </c>
      <c r="O375" s="23" t="str">
        <f t="shared" si="16"/>
        <v>ORD26001439</v>
      </c>
      <c r="P375" s="23" t="str">
        <f t="shared" si="17"/>
        <v>Sep</v>
      </c>
      <c r="Q375" s="23" t="str">
        <f>IF(F375="CAPTURE",IF(COUNTIF(orders!$A:$A,O375)&gt;0,"Yes","NO ORDER"),"")</f>
        <v>Yes</v>
      </c>
    </row>
    <row r="376" spans="1:17" ht="15" customHeight="1" x14ac:dyDescent="0.3">
      <c r="A376" s="23" t="s">
        <v>12843</v>
      </c>
      <c r="B376" s="23"/>
      <c r="C376" s="23" t="s">
        <v>3389</v>
      </c>
      <c r="D376" s="23" t="str">
        <f t="shared" si="15"/>
        <v>ORD26001453</v>
      </c>
      <c r="E376" s="38">
        <v>46268</v>
      </c>
      <c r="F376" s="23" t="s">
        <v>12410</v>
      </c>
      <c r="G376" s="23" t="s">
        <v>81</v>
      </c>
      <c r="H376" s="24">
        <v>10498</v>
      </c>
      <c r="I376" s="24">
        <v>94.48</v>
      </c>
      <c r="J376" s="24">
        <v>17.010000000000002</v>
      </c>
      <c r="K376" s="24">
        <v>10386.51</v>
      </c>
      <c r="L376" s="38">
        <v>46270</v>
      </c>
      <c r="M376" s="23" t="s">
        <v>186</v>
      </c>
      <c r="N376" s="23" t="str">
        <f>IF(COUNTIF($A$2:A376,A376)&gt;1,"DUP","OK")</f>
        <v>OK</v>
      </c>
      <c r="O376" s="23" t="str">
        <f t="shared" si="16"/>
        <v>ORD26001453</v>
      </c>
      <c r="P376" s="23" t="str">
        <f t="shared" si="17"/>
        <v>Sep</v>
      </c>
      <c r="Q376" s="23" t="str">
        <f>IF(F376="CAPTURE",IF(COUNTIF(orders!$A:$A,O376)&gt;0,"Yes","NO ORDER"),"")</f>
        <v>Yes</v>
      </c>
    </row>
    <row r="377" spans="1:17" ht="15" customHeight="1" x14ac:dyDescent="0.3">
      <c r="A377" s="23" t="s">
        <v>12844</v>
      </c>
      <c r="B377" s="23"/>
      <c r="C377" s="23" t="s">
        <v>3409</v>
      </c>
      <c r="D377" s="23" t="str">
        <f t="shared" si="15"/>
        <v>ORD26001463</v>
      </c>
      <c r="E377" s="38">
        <v>46268</v>
      </c>
      <c r="F377" s="23" t="s">
        <v>12410</v>
      </c>
      <c r="G377" s="23" t="s">
        <v>77</v>
      </c>
      <c r="H377" s="24">
        <v>1598</v>
      </c>
      <c r="I377" s="24">
        <v>30.36</v>
      </c>
      <c r="J377" s="24">
        <v>5.46</v>
      </c>
      <c r="K377" s="24">
        <v>1562.18</v>
      </c>
      <c r="L377" s="38">
        <v>46270</v>
      </c>
      <c r="M377" s="23" t="s">
        <v>186</v>
      </c>
      <c r="N377" s="23" t="str">
        <f>IF(COUNTIF($A$2:A377,A377)&gt;1,"DUP","OK")</f>
        <v>OK</v>
      </c>
      <c r="O377" s="23" t="str">
        <f t="shared" si="16"/>
        <v>ORD26001463</v>
      </c>
      <c r="P377" s="23" t="str">
        <f t="shared" si="17"/>
        <v>Sep</v>
      </c>
      <c r="Q377" s="23" t="str">
        <f>IF(F377="CAPTURE",IF(COUNTIF(orders!$A:$A,O377)&gt;0,"Yes","NO ORDER"),"")</f>
        <v>Yes</v>
      </c>
    </row>
    <row r="378" spans="1:17" ht="15" customHeight="1" x14ac:dyDescent="0.3">
      <c r="A378" s="23" t="s">
        <v>12845</v>
      </c>
      <c r="B378" s="23"/>
      <c r="C378" s="23" t="s">
        <v>3411</v>
      </c>
      <c r="D378" s="23" t="str">
        <f t="shared" si="15"/>
        <v>ORD26001464</v>
      </c>
      <c r="E378" s="38">
        <v>46268</v>
      </c>
      <c r="F378" s="23" t="s">
        <v>12410</v>
      </c>
      <c r="G378" s="23" t="s">
        <v>79</v>
      </c>
      <c r="H378" s="24">
        <v>2999</v>
      </c>
      <c r="I378" s="24">
        <v>47.98</v>
      </c>
      <c r="J378" s="24">
        <v>8.64</v>
      </c>
      <c r="K378" s="24">
        <v>2942.38</v>
      </c>
      <c r="L378" s="38">
        <v>46270</v>
      </c>
      <c r="M378" s="23" t="s">
        <v>186</v>
      </c>
      <c r="N378" s="23" t="str">
        <f>IF(COUNTIF($A$2:A378,A378)&gt;1,"DUP","OK")</f>
        <v>OK</v>
      </c>
      <c r="O378" s="23" t="str">
        <f t="shared" si="16"/>
        <v>ORD26001464</v>
      </c>
      <c r="P378" s="23" t="str">
        <f t="shared" si="17"/>
        <v>Sep</v>
      </c>
      <c r="Q378" s="23" t="str">
        <f>IF(F378="CAPTURE",IF(COUNTIF(orders!$A:$A,O378)&gt;0,"Yes","NO ORDER"),"")</f>
        <v>Yes</v>
      </c>
    </row>
    <row r="379" spans="1:17" ht="15" customHeight="1" x14ac:dyDescent="0.3">
      <c r="A379" s="23" t="s">
        <v>12846</v>
      </c>
      <c r="B379" s="23"/>
      <c r="C379" s="23" t="s">
        <v>3441</v>
      </c>
      <c r="D379" s="23" t="str">
        <f t="shared" si="15"/>
        <v>ORD26001479</v>
      </c>
      <c r="E379" s="38">
        <v>46268</v>
      </c>
      <c r="F379" s="23" t="s">
        <v>12410</v>
      </c>
      <c r="G379" s="23" t="s">
        <v>75</v>
      </c>
      <c r="H379" s="24">
        <v>1447</v>
      </c>
      <c r="I379" s="24">
        <v>0</v>
      </c>
      <c r="J379" s="24">
        <v>0</v>
      </c>
      <c r="K379" s="24">
        <v>1447</v>
      </c>
      <c r="L379" s="38">
        <v>46270</v>
      </c>
      <c r="M379" s="23" t="s">
        <v>186</v>
      </c>
      <c r="N379" s="23" t="str">
        <f>IF(COUNTIF($A$2:A379,A379)&gt;1,"DUP","OK")</f>
        <v>OK</v>
      </c>
      <c r="O379" s="23" t="str">
        <f t="shared" si="16"/>
        <v>ORD26001479</v>
      </c>
      <c r="P379" s="23" t="str">
        <f t="shared" si="17"/>
        <v>Sep</v>
      </c>
      <c r="Q379" s="23" t="str">
        <f>IF(F379="CAPTURE",IF(COUNTIF(orders!$A:$A,O379)&gt;0,"Yes","NO ORDER"),"")</f>
        <v>Yes</v>
      </c>
    </row>
    <row r="380" spans="1:17" ht="15" customHeight="1" x14ac:dyDescent="0.3">
      <c r="A380" s="23" t="s">
        <v>12847</v>
      </c>
      <c r="B380" s="23"/>
      <c r="C380" s="23" t="s">
        <v>3596</v>
      </c>
      <c r="D380" s="23" t="str">
        <f t="shared" si="15"/>
        <v>ORD26001554</v>
      </c>
      <c r="E380" s="38">
        <v>46268</v>
      </c>
      <c r="F380" s="23" t="s">
        <v>12410</v>
      </c>
      <c r="G380" s="23" t="s">
        <v>75</v>
      </c>
      <c r="H380" s="24">
        <v>499</v>
      </c>
      <c r="I380" s="24">
        <v>1.5</v>
      </c>
      <c r="J380" s="24">
        <v>0.27</v>
      </c>
      <c r="K380" s="24">
        <v>497.23</v>
      </c>
      <c r="L380" s="38">
        <v>46270</v>
      </c>
      <c r="M380" s="23" t="s">
        <v>186</v>
      </c>
      <c r="N380" s="23" t="str">
        <f>IF(COUNTIF($A$2:A380,A380)&gt;1,"DUP","OK")</f>
        <v>OK</v>
      </c>
      <c r="O380" s="23" t="str">
        <f t="shared" si="16"/>
        <v>ORD26001554</v>
      </c>
      <c r="P380" s="23" t="str">
        <f t="shared" si="17"/>
        <v>Sep</v>
      </c>
      <c r="Q380" s="23" t="str">
        <f>IF(F380="CAPTURE",IF(COUNTIF(orders!$A:$A,O380)&gt;0,"Yes","NO ORDER"),"")</f>
        <v>Yes</v>
      </c>
    </row>
    <row r="381" spans="1:17" ht="15" customHeight="1" x14ac:dyDescent="0.3">
      <c r="A381" s="23" t="s">
        <v>12848</v>
      </c>
      <c r="B381" s="23"/>
      <c r="C381" s="23" t="s">
        <v>3615</v>
      </c>
      <c r="D381" s="23" t="str">
        <f t="shared" si="15"/>
        <v>ORD26001564</v>
      </c>
      <c r="E381" s="38">
        <v>46268</v>
      </c>
      <c r="F381" s="23" t="s">
        <v>12410</v>
      </c>
      <c r="G381" s="23" t="s">
        <v>81</v>
      </c>
      <c r="H381" s="24">
        <v>349</v>
      </c>
      <c r="I381" s="24">
        <v>5.24</v>
      </c>
      <c r="J381" s="24">
        <v>0.94</v>
      </c>
      <c r="K381" s="24">
        <v>342.82</v>
      </c>
      <c r="L381" s="38">
        <v>46270</v>
      </c>
      <c r="M381" s="23" t="s">
        <v>186</v>
      </c>
      <c r="N381" s="23" t="str">
        <f>IF(COUNTIF($A$2:A381,A381)&gt;1,"DUP","OK")</f>
        <v>OK</v>
      </c>
      <c r="O381" s="23" t="str">
        <f t="shared" si="16"/>
        <v>ORD26001564</v>
      </c>
      <c r="P381" s="23" t="str">
        <f t="shared" si="17"/>
        <v>Sep</v>
      </c>
      <c r="Q381" s="23" t="str">
        <f>IF(F381="CAPTURE",IF(COUNTIF(orders!$A:$A,O381)&gt;0,"Yes","NO ORDER"),"")</f>
        <v>Yes</v>
      </c>
    </row>
    <row r="382" spans="1:17" ht="15" customHeight="1" x14ac:dyDescent="0.3">
      <c r="A382" s="23" t="s">
        <v>12849</v>
      </c>
      <c r="B382" s="23"/>
      <c r="C382" s="23" t="s">
        <v>3661</v>
      </c>
      <c r="D382" s="23" t="str">
        <f t="shared" si="15"/>
        <v>ORD26001587</v>
      </c>
      <c r="E382" s="38">
        <v>46268</v>
      </c>
      <c r="F382" s="23" t="s">
        <v>12410</v>
      </c>
      <c r="G382" s="23" t="s">
        <v>75</v>
      </c>
      <c r="H382" s="24">
        <v>2499</v>
      </c>
      <c r="I382" s="24">
        <v>7.5</v>
      </c>
      <c r="J382" s="24">
        <v>1.35</v>
      </c>
      <c r="K382" s="24">
        <v>2490.15</v>
      </c>
      <c r="L382" s="38">
        <v>46270</v>
      </c>
      <c r="M382" s="23" t="s">
        <v>186</v>
      </c>
      <c r="N382" s="23" t="str">
        <f>IF(COUNTIF($A$2:A382,A382)&gt;1,"DUP","OK")</f>
        <v>OK</v>
      </c>
      <c r="O382" s="23" t="str">
        <f t="shared" si="16"/>
        <v>ORD26001587</v>
      </c>
      <c r="P382" s="23" t="str">
        <f t="shared" si="17"/>
        <v>Sep</v>
      </c>
      <c r="Q382" s="23" t="str">
        <f>IF(F382="CAPTURE",IF(COUNTIF(orders!$A:$A,O382)&gt;0,"Yes","NO ORDER"),"")</f>
        <v>Yes</v>
      </c>
    </row>
    <row r="383" spans="1:17" ht="15" customHeight="1" x14ac:dyDescent="0.3">
      <c r="A383" s="23" t="s">
        <v>12850</v>
      </c>
      <c r="B383" s="23"/>
      <c r="C383" s="23" t="s">
        <v>3689</v>
      </c>
      <c r="D383" s="23" t="str">
        <f t="shared" si="15"/>
        <v>ORD26001601</v>
      </c>
      <c r="E383" s="38">
        <v>46268</v>
      </c>
      <c r="F383" s="23" t="s">
        <v>12410</v>
      </c>
      <c r="G383" s="23" t="s">
        <v>75</v>
      </c>
      <c r="H383" s="24">
        <v>349</v>
      </c>
      <c r="I383" s="24">
        <v>0</v>
      </c>
      <c r="J383" s="24">
        <v>0</v>
      </c>
      <c r="K383" s="24">
        <v>349</v>
      </c>
      <c r="L383" s="38">
        <v>46270</v>
      </c>
      <c r="M383" s="23" t="s">
        <v>186</v>
      </c>
      <c r="N383" s="23" t="str">
        <f>IF(COUNTIF($A$2:A383,A383)&gt;1,"DUP","OK")</f>
        <v>OK</v>
      </c>
      <c r="O383" s="23" t="str">
        <f t="shared" si="16"/>
        <v>ORD26001601</v>
      </c>
      <c r="P383" s="23" t="str">
        <f t="shared" si="17"/>
        <v>Sep</v>
      </c>
      <c r="Q383" s="23" t="str">
        <f>IF(F383="CAPTURE",IF(COUNTIF(orders!$A:$A,O383)&gt;0,"Yes","NO ORDER"),"")</f>
        <v>Yes</v>
      </c>
    </row>
    <row r="384" spans="1:17" ht="15" customHeight="1" x14ac:dyDescent="0.3">
      <c r="A384" s="23" t="s">
        <v>12851</v>
      </c>
      <c r="B384" s="23"/>
      <c r="C384" s="23" t="s">
        <v>3769</v>
      </c>
      <c r="D384" s="23" t="str">
        <f t="shared" si="15"/>
        <v>ORD26001642</v>
      </c>
      <c r="E384" s="38">
        <v>46268</v>
      </c>
      <c r="F384" s="23" t="s">
        <v>12410</v>
      </c>
      <c r="G384" s="23" t="s">
        <v>75</v>
      </c>
      <c r="H384" s="24">
        <v>4797</v>
      </c>
      <c r="I384" s="24">
        <v>14.39</v>
      </c>
      <c r="J384" s="24">
        <v>2.59</v>
      </c>
      <c r="K384" s="24">
        <v>4780.0200000000004</v>
      </c>
      <c r="L384" s="38">
        <v>46270</v>
      </c>
      <c r="M384" s="23" t="s">
        <v>186</v>
      </c>
      <c r="N384" s="23" t="str">
        <f>IF(COUNTIF($A$2:A384,A384)&gt;1,"DUP","OK")</f>
        <v>OK</v>
      </c>
      <c r="O384" s="23" t="str">
        <f t="shared" si="16"/>
        <v>ORD26001642</v>
      </c>
      <c r="P384" s="23" t="str">
        <f t="shared" si="17"/>
        <v>Sep</v>
      </c>
      <c r="Q384" s="23" t="str">
        <f>IF(F384="CAPTURE",IF(COUNTIF(orders!$A:$A,O384)&gt;0,"Yes","NO ORDER"),"")</f>
        <v>Yes</v>
      </c>
    </row>
    <row r="385" spans="1:17" ht="15" customHeight="1" x14ac:dyDescent="0.3">
      <c r="A385" s="23" t="s">
        <v>12852</v>
      </c>
      <c r="B385" s="23"/>
      <c r="C385" s="23" t="s">
        <v>3815</v>
      </c>
      <c r="D385" s="23" t="str">
        <f t="shared" si="15"/>
        <v>ORD26001665</v>
      </c>
      <c r="E385" s="38">
        <v>46268</v>
      </c>
      <c r="F385" s="23" t="s">
        <v>12410</v>
      </c>
      <c r="G385" s="23" t="s">
        <v>79</v>
      </c>
      <c r="H385" s="24">
        <v>999</v>
      </c>
      <c r="I385" s="24">
        <v>17.98</v>
      </c>
      <c r="J385" s="24">
        <v>3.24</v>
      </c>
      <c r="K385" s="24">
        <v>977.78</v>
      </c>
      <c r="L385" s="38">
        <v>46270</v>
      </c>
      <c r="M385" s="23" t="s">
        <v>186</v>
      </c>
      <c r="N385" s="23" t="str">
        <f>IF(COUNTIF($A$2:A385,A385)&gt;1,"DUP","OK")</f>
        <v>OK</v>
      </c>
      <c r="O385" s="23" t="str">
        <f t="shared" si="16"/>
        <v>ORD26001665</v>
      </c>
      <c r="P385" s="23" t="str">
        <f t="shared" si="17"/>
        <v>Sep</v>
      </c>
      <c r="Q385" s="23" t="str">
        <f>IF(F385="CAPTURE",IF(COUNTIF(orders!$A:$A,O385)&gt;0,"Yes","NO ORDER"),"")</f>
        <v>Yes</v>
      </c>
    </row>
    <row r="386" spans="1:17" ht="15" customHeight="1" x14ac:dyDescent="0.3">
      <c r="A386" s="23" t="s">
        <v>12853</v>
      </c>
      <c r="B386" s="23"/>
      <c r="C386" s="23" t="s">
        <v>3895</v>
      </c>
      <c r="D386" s="23" t="str">
        <f t="shared" ref="D386:D449" si="18">UPPER(SUBSTITUTE(TRIM(C386),"-",""))</f>
        <v>ORD26001704</v>
      </c>
      <c r="E386" s="38">
        <v>46268</v>
      </c>
      <c r="F386" s="23" t="s">
        <v>12410</v>
      </c>
      <c r="G386" s="23" t="s">
        <v>75</v>
      </c>
      <c r="H386" s="24">
        <v>299</v>
      </c>
      <c r="I386" s="24">
        <v>0</v>
      </c>
      <c r="J386" s="24">
        <v>0</v>
      </c>
      <c r="K386" s="24">
        <v>299</v>
      </c>
      <c r="L386" s="38">
        <v>46270</v>
      </c>
      <c r="M386" s="23" t="s">
        <v>186</v>
      </c>
      <c r="N386" s="23" t="str">
        <f>IF(COUNTIF($A$2:A386,A386)&gt;1,"DUP","OK")</f>
        <v>OK</v>
      </c>
      <c r="O386" s="23" t="str">
        <f t="shared" ref="O386:O449" si="19">IF(F386="REFUND",INDEX($D:$D,MATCH(B386,$A:$A,0)),D386)</f>
        <v>ORD26001704</v>
      </c>
      <c r="P386" s="23" t="str">
        <f t="shared" ref="P386:P449" si="20">IF(L386&gt;DATE(2026,9,30),"Oct-Due","Sep")</f>
        <v>Sep</v>
      </c>
      <c r="Q386" s="23" t="str">
        <f>IF(F386="CAPTURE",IF(COUNTIF(orders!$A:$A,O386)&gt;0,"Yes","NO ORDER"),"")</f>
        <v>Yes</v>
      </c>
    </row>
    <row r="387" spans="1:17" ht="15" customHeight="1" x14ac:dyDescent="0.3">
      <c r="A387" s="23" t="s">
        <v>12854</v>
      </c>
      <c r="B387" s="23"/>
      <c r="C387" s="23" t="s">
        <v>3897</v>
      </c>
      <c r="D387" s="23" t="str">
        <f t="shared" si="18"/>
        <v>ORD26001705</v>
      </c>
      <c r="E387" s="38">
        <v>46268</v>
      </c>
      <c r="F387" s="23" t="s">
        <v>12410</v>
      </c>
      <c r="G387" s="23" t="s">
        <v>79</v>
      </c>
      <c r="H387" s="24">
        <v>1098</v>
      </c>
      <c r="I387" s="24">
        <v>19.760000000000002</v>
      </c>
      <c r="J387" s="24">
        <v>3.56</v>
      </c>
      <c r="K387" s="24">
        <v>1074.68</v>
      </c>
      <c r="L387" s="38">
        <v>46270</v>
      </c>
      <c r="M387" s="23" t="s">
        <v>186</v>
      </c>
      <c r="N387" s="23" t="str">
        <f>IF(COUNTIF($A$2:A387,A387)&gt;1,"DUP","OK")</f>
        <v>OK</v>
      </c>
      <c r="O387" s="23" t="str">
        <f t="shared" si="19"/>
        <v>ORD26001705</v>
      </c>
      <c r="P387" s="23" t="str">
        <f t="shared" si="20"/>
        <v>Sep</v>
      </c>
      <c r="Q387" s="23" t="str">
        <f>IF(F387="CAPTURE",IF(COUNTIF(orders!$A:$A,O387)&gt;0,"Yes","NO ORDER"),"")</f>
        <v>Yes</v>
      </c>
    </row>
    <row r="388" spans="1:17" ht="15" customHeight="1" x14ac:dyDescent="0.3">
      <c r="A388" s="23" t="s">
        <v>12855</v>
      </c>
      <c r="B388" s="23"/>
      <c r="C388" s="23" t="s">
        <v>12856</v>
      </c>
      <c r="D388" s="23" t="str">
        <f t="shared" si="18"/>
        <v>ORD26001723</v>
      </c>
      <c r="E388" s="38">
        <v>46268</v>
      </c>
      <c r="F388" s="23" t="s">
        <v>12410</v>
      </c>
      <c r="G388" s="23" t="s">
        <v>75</v>
      </c>
      <c r="H388" s="24">
        <v>499</v>
      </c>
      <c r="I388" s="24">
        <v>0</v>
      </c>
      <c r="J388" s="24">
        <v>0</v>
      </c>
      <c r="K388" s="24">
        <v>499</v>
      </c>
      <c r="L388" s="38">
        <v>46270</v>
      </c>
      <c r="M388" s="23" t="s">
        <v>186</v>
      </c>
      <c r="N388" s="23" t="str">
        <f>IF(COUNTIF($A$2:A388,A388)&gt;1,"DUP","OK")</f>
        <v>OK</v>
      </c>
      <c r="O388" s="23" t="str">
        <f t="shared" si="19"/>
        <v>ORD26001723</v>
      </c>
      <c r="P388" s="23" t="str">
        <f t="shared" si="20"/>
        <v>Sep</v>
      </c>
      <c r="Q388" s="23" t="str">
        <f>IF(F388="CAPTURE",IF(COUNTIF(orders!$A:$A,O388)&gt;0,"Yes","NO ORDER"),"")</f>
        <v>Yes</v>
      </c>
    </row>
    <row r="389" spans="1:17" ht="15" customHeight="1" x14ac:dyDescent="0.3">
      <c r="A389" s="23" t="s">
        <v>12857</v>
      </c>
      <c r="B389" s="23"/>
      <c r="C389" s="23" t="s">
        <v>3960</v>
      </c>
      <c r="D389" s="23" t="str">
        <f t="shared" si="18"/>
        <v>ORD26001736</v>
      </c>
      <c r="E389" s="38">
        <v>46268</v>
      </c>
      <c r="F389" s="23" t="s">
        <v>12410</v>
      </c>
      <c r="G389" s="23" t="s">
        <v>75</v>
      </c>
      <c r="H389" s="24">
        <v>4297</v>
      </c>
      <c r="I389" s="24">
        <v>12.89</v>
      </c>
      <c r="J389" s="24">
        <v>2.3199999999999998</v>
      </c>
      <c r="K389" s="24">
        <v>4281.79</v>
      </c>
      <c r="L389" s="38">
        <v>46270</v>
      </c>
      <c r="M389" s="23" t="s">
        <v>186</v>
      </c>
      <c r="N389" s="23" t="str">
        <f>IF(COUNTIF($A$2:A389,A389)&gt;1,"DUP","OK")</f>
        <v>OK</v>
      </c>
      <c r="O389" s="23" t="str">
        <f t="shared" si="19"/>
        <v>ORD26001736</v>
      </c>
      <c r="P389" s="23" t="str">
        <f t="shared" si="20"/>
        <v>Sep</v>
      </c>
      <c r="Q389" s="23" t="str">
        <f>IF(F389="CAPTURE",IF(COUNTIF(orders!$A:$A,O389)&gt;0,"Yes","NO ORDER"),"")</f>
        <v>Yes</v>
      </c>
    </row>
    <row r="390" spans="1:17" ht="15" customHeight="1" x14ac:dyDescent="0.3">
      <c r="A390" s="23" t="s">
        <v>12858</v>
      </c>
      <c r="B390" s="23"/>
      <c r="C390" s="23" t="s">
        <v>4004</v>
      </c>
      <c r="D390" s="23" t="str">
        <f t="shared" si="18"/>
        <v>ORD26001758</v>
      </c>
      <c r="E390" s="38">
        <v>46268</v>
      </c>
      <c r="F390" s="23" t="s">
        <v>12410</v>
      </c>
      <c r="G390" s="23" t="s">
        <v>75</v>
      </c>
      <c r="H390" s="24">
        <v>5998</v>
      </c>
      <c r="I390" s="24">
        <v>17.989999999999998</v>
      </c>
      <c r="J390" s="24">
        <v>3.24</v>
      </c>
      <c r="K390" s="24">
        <v>5976.77</v>
      </c>
      <c r="L390" s="38">
        <v>46270</v>
      </c>
      <c r="M390" s="23" t="s">
        <v>186</v>
      </c>
      <c r="N390" s="23" t="str">
        <f>IF(COUNTIF($A$2:A390,A390)&gt;1,"DUP","OK")</f>
        <v>OK</v>
      </c>
      <c r="O390" s="23" t="str">
        <f t="shared" si="19"/>
        <v>ORD26001758</v>
      </c>
      <c r="P390" s="23" t="str">
        <f t="shared" si="20"/>
        <v>Sep</v>
      </c>
      <c r="Q390" s="23" t="str">
        <f>IF(F390="CAPTURE",IF(COUNTIF(orders!$A:$A,O390)&gt;0,"Yes","NO ORDER"),"")</f>
        <v>Yes</v>
      </c>
    </row>
    <row r="391" spans="1:17" ht="15" customHeight="1" x14ac:dyDescent="0.3">
      <c r="A391" s="23" t="s">
        <v>12859</v>
      </c>
      <c r="B391" s="23"/>
      <c r="C391" s="23" t="s">
        <v>4026</v>
      </c>
      <c r="D391" s="23" t="str">
        <f t="shared" si="18"/>
        <v>ORD26001769</v>
      </c>
      <c r="E391" s="38">
        <v>46268</v>
      </c>
      <c r="F391" s="23" t="s">
        <v>12410</v>
      </c>
      <c r="G391" s="23" t="s">
        <v>79</v>
      </c>
      <c r="H391" s="24">
        <v>1799</v>
      </c>
      <c r="I391" s="24">
        <v>32.380000000000003</v>
      </c>
      <c r="J391" s="24">
        <v>5.83</v>
      </c>
      <c r="K391" s="24">
        <v>1760.79</v>
      </c>
      <c r="L391" s="38">
        <v>46270</v>
      </c>
      <c r="M391" s="23" t="s">
        <v>186</v>
      </c>
      <c r="N391" s="23" t="str">
        <f>IF(COUNTIF($A$2:A391,A391)&gt;1,"DUP","OK")</f>
        <v>OK</v>
      </c>
      <c r="O391" s="23" t="str">
        <f t="shared" si="19"/>
        <v>ORD26001769</v>
      </c>
      <c r="P391" s="23" t="str">
        <f t="shared" si="20"/>
        <v>Sep</v>
      </c>
      <c r="Q391" s="23" t="str">
        <f>IF(F391="CAPTURE",IF(COUNTIF(orders!$A:$A,O391)&gt;0,"Yes","NO ORDER"),"")</f>
        <v>Yes</v>
      </c>
    </row>
    <row r="392" spans="1:17" ht="15" customHeight="1" x14ac:dyDescent="0.3">
      <c r="A392" s="23" t="s">
        <v>12860</v>
      </c>
      <c r="B392" s="23"/>
      <c r="C392" s="23" t="s">
        <v>4077</v>
      </c>
      <c r="D392" s="23" t="str">
        <f t="shared" si="18"/>
        <v>ORD26001795</v>
      </c>
      <c r="E392" s="38">
        <v>46268</v>
      </c>
      <c r="F392" s="23" t="s">
        <v>12410</v>
      </c>
      <c r="G392" s="23" t="s">
        <v>79</v>
      </c>
      <c r="H392" s="24">
        <v>2597</v>
      </c>
      <c r="I392" s="24">
        <v>41.55</v>
      </c>
      <c r="J392" s="24">
        <v>7.48</v>
      </c>
      <c r="K392" s="24">
        <v>2547.9699999999998</v>
      </c>
      <c r="L392" s="38">
        <v>46270</v>
      </c>
      <c r="M392" s="23" t="s">
        <v>186</v>
      </c>
      <c r="N392" s="23" t="str">
        <f>IF(COUNTIF($A$2:A392,A392)&gt;1,"DUP","OK")</f>
        <v>OK</v>
      </c>
      <c r="O392" s="23" t="str">
        <f t="shared" si="19"/>
        <v>ORD26001795</v>
      </c>
      <c r="P392" s="23" t="str">
        <f t="shared" si="20"/>
        <v>Sep</v>
      </c>
      <c r="Q392" s="23" t="str">
        <f>IF(F392="CAPTURE",IF(COUNTIF(orders!$A:$A,O392)&gt;0,"Yes","NO ORDER"),"")</f>
        <v>Yes</v>
      </c>
    </row>
    <row r="393" spans="1:17" ht="15" customHeight="1" x14ac:dyDescent="0.3">
      <c r="A393" s="23" t="s">
        <v>12861</v>
      </c>
      <c r="B393" s="23"/>
      <c r="C393" s="23" t="s">
        <v>4117</v>
      </c>
      <c r="D393" s="23" t="str">
        <f t="shared" si="18"/>
        <v>ORD26001815</v>
      </c>
      <c r="E393" s="38">
        <v>46268</v>
      </c>
      <c r="F393" s="23" t="s">
        <v>12410</v>
      </c>
      <c r="G393" s="23" t="s">
        <v>75</v>
      </c>
      <c r="H393" s="24">
        <v>299</v>
      </c>
      <c r="I393" s="24">
        <v>0</v>
      </c>
      <c r="J393" s="24">
        <v>0</v>
      </c>
      <c r="K393" s="24">
        <v>299</v>
      </c>
      <c r="L393" s="38">
        <v>46270</v>
      </c>
      <c r="M393" s="23" t="s">
        <v>186</v>
      </c>
      <c r="N393" s="23" t="str">
        <f>IF(COUNTIF($A$2:A393,A393)&gt;1,"DUP","OK")</f>
        <v>OK</v>
      </c>
      <c r="O393" s="23" t="str">
        <f t="shared" si="19"/>
        <v>ORD26001815</v>
      </c>
      <c r="P393" s="23" t="str">
        <f t="shared" si="20"/>
        <v>Sep</v>
      </c>
      <c r="Q393" s="23" t="str">
        <f>IF(F393="CAPTURE",IF(COUNTIF(orders!$A:$A,O393)&gt;0,"Yes","NO ORDER"),"")</f>
        <v>Yes</v>
      </c>
    </row>
    <row r="394" spans="1:17" ht="15" customHeight="1" x14ac:dyDescent="0.3">
      <c r="A394" s="23" t="s">
        <v>12862</v>
      </c>
      <c r="B394" s="23"/>
      <c r="C394" s="23" t="s">
        <v>4177</v>
      </c>
      <c r="D394" s="23" t="str">
        <f t="shared" si="18"/>
        <v>ORD26001846</v>
      </c>
      <c r="E394" s="38">
        <v>46268</v>
      </c>
      <c r="F394" s="23" t="s">
        <v>12410</v>
      </c>
      <c r="G394" s="23" t="s">
        <v>75</v>
      </c>
      <c r="H394" s="24">
        <v>6997</v>
      </c>
      <c r="I394" s="24">
        <v>20.99</v>
      </c>
      <c r="J394" s="24">
        <v>3.78</v>
      </c>
      <c r="K394" s="24">
        <v>6972.23</v>
      </c>
      <c r="L394" s="38">
        <v>46270</v>
      </c>
      <c r="M394" s="23" t="s">
        <v>186</v>
      </c>
      <c r="N394" s="23" t="str">
        <f>IF(COUNTIF($A$2:A394,A394)&gt;1,"DUP","OK")</f>
        <v>OK</v>
      </c>
      <c r="O394" s="23" t="str">
        <f t="shared" si="19"/>
        <v>ORD26001846</v>
      </c>
      <c r="P394" s="23" t="str">
        <f t="shared" si="20"/>
        <v>Sep</v>
      </c>
      <c r="Q394" s="23" t="str">
        <f>IF(F394="CAPTURE",IF(COUNTIF(orders!$A:$A,O394)&gt;0,"Yes","NO ORDER"),"")</f>
        <v>Yes</v>
      </c>
    </row>
    <row r="395" spans="1:17" ht="15" customHeight="1" x14ac:dyDescent="0.3">
      <c r="A395" s="23" t="s">
        <v>12863</v>
      </c>
      <c r="B395" s="23"/>
      <c r="C395" s="23" t="s">
        <v>12864</v>
      </c>
      <c r="D395" s="23" t="str">
        <f t="shared" si="18"/>
        <v>ORD26001896</v>
      </c>
      <c r="E395" s="38">
        <v>46268</v>
      </c>
      <c r="F395" s="23" t="s">
        <v>12410</v>
      </c>
      <c r="G395" s="23" t="s">
        <v>79</v>
      </c>
      <c r="H395" s="24">
        <v>299</v>
      </c>
      <c r="I395" s="24">
        <v>5.38</v>
      </c>
      <c r="J395" s="24">
        <v>0.97</v>
      </c>
      <c r="K395" s="24">
        <v>292.64999999999998</v>
      </c>
      <c r="L395" s="38">
        <v>46270</v>
      </c>
      <c r="M395" s="23" t="s">
        <v>186</v>
      </c>
      <c r="N395" s="23" t="str">
        <f>IF(COUNTIF($A$2:A395,A395)&gt;1,"DUP","OK")</f>
        <v>OK</v>
      </c>
      <c r="O395" s="23" t="str">
        <f t="shared" si="19"/>
        <v>ORD26001896</v>
      </c>
      <c r="P395" s="23" t="str">
        <f t="shared" si="20"/>
        <v>Sep</v>
      </c>
      <c r="Q395" s="23" t="str">
        <f>IF(F395="CAPTURE",IF(COUNTIF(orders!$A:$A,O395)&gt;0,"Yes","NO ORDER"),"")</f>
        <v>Yes</v>
      </c>
    </row>
    <row r="396" spans="1:17" ht="15" customHeight="1" x14ac:dyDescent="0.3">
      <c r="A396" s="23" t="s">
        <v>12865</v>
      </c>
      <c r="B396" s="23"/>
      <c r="C396" s="23" t="s">
        <v>4281</v>
      </c>
      <c r="D396" s="23" t="str">
        <f t="shared" si="18"/>
        <v>ORD26001897</v>
      </c>
      <c r="E396" s="38">
        <v>46268</v>
      </c>
      <c r="F396" s="23" t="s">
        <v>12410</v>
      </c>
      <c r="G396" s="23" t="s">
        <v>75</v>
      </c>
      <c r="H396" s="24">
        <v>15998</v>
      </c>
      <c r="I396" s="24">
        <v>47.99</v>
      </c>
      <c r="J396" s="24">
        <v>8.64</v>
      </c>
      <c r="K396" s="24">
        <v>15941.37</v>
      </c>
      <c r="L396" s="38">
        <v>46270</v>
      </c>
      <c r="M396" s="23" t="s">
        <v>186</v>
      </c>
      <c r="N396" s="23" t="str">
        <f>IF(COUNTIF($A$2:A396,A396)&gt;1,"DUP","OK")</f>
        <v>OK</v>
      </c>
      <c r="O396" s="23" t="str">
        <f t="shared" si="19"/>
        <v>ORD26001897</v>
      </c>
      <c r="P396" s="23" t="str">
        <f t="shared" si="20"/>
        <v>Sep</v>
      </c>
      <c r="Q396" s="23" t="str">
        <f>IF(F396="CAPTURE",IF(COUNTIF(orders!$A:$A,O396)&gt;0,"Yes","NO ORDER"),"")</f>
        <v>Yes</v>
      </c>
    </row>
    <row r="397" spans="1:17" ht="15" customHeight="1" x14ac:dyDescent="0.3">
      <c r="A397" s="23" t="s">
        <v>12866</v>
      </c>
      <c r="B397" s="23"/>
      <c r="C397" s="23" t="s">
        <v>4316</v>
      </c>
      <c r="D397" s="23" t="str">
        <f t="shared" si="18"/>
        <v>ORD26001913</v>
      </c>
      <c r="E397" s="38">
        <v>46268</v>
      </c>
      <c r="F397" s="23" t="s">
        <v>12410</v>
      </c>
      <c r="G397" s="23" t="s">
        <v>75</v>
      </c>
      <c r="H397" s="24">
        <v>5598</v>
      </c>
      <c r="I397" s="24">
        <v>16.79</v>
      </c>
      <c r="J397" s="24">
        <v>3.02</v>
      </c>
      <c r="K397" s="24">
        <v>5578.19</v>
      </c>
      <c r="L397" s="38">
        <v>46270</v>
      </c>
      <c r="M397" s="23" t="s">
        <v>186</v>
      </c>
      <c r="N397" s="23" t="str">
        <f>IF(COUNTIF($A$2:A397,A397)&gt;1,"DUP","OK")</f>
        <v>OK</v>
      </c>
      <c r="O397" s="23" t="str">
        <f t="shared" si="19"/>
        <v>ORD26001913</v>
      </c>
      <c r="P397" s="23" t="str">
        <f t="shared" si="20"/>
        <v>Sep</v>
      </c>
      <c r="Q397" s="23" t="str">
        <f>IF(F397="CAPTURE",IF(COUNTIF(orders!$A:$A,O397)&gt;0,"Yes","NO ORDER"),"")</f>
        <v>Yes</v>
      </c>
    </row>
    <row r="398" spans="1:17" ht="15" customHeight="1" x14ac:dyDescent="0.3">
      <c r="A398" s="23" t="s">
        <v>12867</v>
      </c>
      <c r="B398" s="23"/>
      <c r="C398" s="23" t="s">
        <v>4566</v>
      </c>
      <c r="D398" s="23" t="str">
        <f t="shared" si="18"/>
        <v>ORD26002038</v>
      </c>
      <c r="E398" s="38">
        <v>46268</v>
      </c>
      <c r="F398" s="23" t="s">
        <v>12410</v>
      </c>
      <c r="G398" s="23" t="s">
        <v>79</v>
      </c>
      <c r="H398" s="24">
        <v>5348</v>
      </c>
      <c r="I398" s="24">
        <v>85.57</v>
      </c>
      <c r="J398" s="24">
        <v>15.4</v>
      </c>
      <c r="K398" s="24">
        <v>5247.03</v>
      </c>
      <c r="L398" s="38">
        <v>46270</v>
      </c>
      <c r="M398" s="23" t="s">
        <v>186</v>
      </c>
      <c r="N398" s="23" t="str">
        <f>IF(COUNTIF($A$2:A398,A398)&gt;1,"DUP","OK")</f>
        <v>OK</v>
      </c>
      <c r="O398" s="23" t="str">
        <f t="shared" si="19"/>
        <v>ORD26002038</v>
      </c>
      <c r="P398" s="23" t="str">
        <f t="shared" si="20"/>
        <v>Sep</v>
      </c>
      <c r="Q398" s="23" t="str">
        <f>IF(F398="CAPTURE",IF(COUNTIF(orders!$A:$A,O398)&gt;0,"Yes","NO ORDER"),"")</f>
        <v>Yes</v>
      </c>
    </row>
    <row r="399" spans="1:17" ht="15" customHeight="1" x14ac:dyDescent="0.3">
      <c r="A399" s="23" t="s">
        <v>12868</v>
      </c>
      <c r="B399" s="23"/>
      <c r="C399" s="23" t="s">
        <v>4622</v>
      </c>
      <c r="D399" s="23" t="str">
        <f t="shared" si="18"/>
        <v>ORD26002065</v>
      </c>
      <c r="E399" s="38">
        <v>46268</v>
      </c>
      <c r="F399" s="23" t="s">
        <v>12410</v>
      </c>
      <c r="G399" s="23" t="s">
        <v>75</v>
      </c>
      <c r="H399" s="24">
        <v>698</v>
      </c>
      <c r="I399" s="24">
        <v>0</v>
      </c>
      <c r="J399" s="24">
        <v>0</v>
      </c>
      <c r="K399" s="24">
        <v>698</v>
      </c>
      <c r="L399" s="38">
        <v>46270</v>
      </c>
      <c r="M399" s="23" t="s">
        <v>186</v>
      </c>
      <c r="N399" s="23" t="str">
        <f>IF(COUNTIF($A$2:A399,A399)&gt;1,"DUP","OK")</f>
        <v>OK</v>
      </c>
      <c r="O399" s="23" t="str">
        <f t="shared" si="19"/>
        <v>ORD26002065</v>
      </c>
      <c r="P399" s="23" t="str">
        <f t="shared" si="20"/>
        <v>Sep</v>
      </c>
      <c r="Q399" s="23" t="str">
        <f>IF(F399="CAPTURE",IF(COUNTIF(orders!$A:$A,O399)&gt;0,"Yes","NO ORDER"),"")</f>
        <v>Yes</v>
      </c>
    </row>
    <row r="400" spans="1:17" ht="15" customHeight="1" x14ac:dyDescent="0.3">
      <c r="A400" s="23" t="s">
        <v>12869</v>
      </c>
      <c r="B400" s="23"/>
      <c r="C400" s="23" t="s">
        <v>4650</v>
      </c>
      <c r="D400" s="23" t="str">
        <f t="shared" si="18"/>
        <v>ORD26002079</v>
      </c>
      <c r="E400" s="38">
        <v>46268</v>
      </c>
      <c r="F400" s="23" t="s">
        <v>12410</v>
      </c>
      <c r="G400" s="23" t="s">
        <v>77</v>
      </c>
      <c r="H400" s="24">
        <v>1299</v>
      </c>
      <c r="I400" s="24">
        <v>24.68</v>
      </c>
      <c r="J400" s="24">
        <v>4.4400000000000004</v>
      </c>
      <c r="K400" s="24">
        <v>1269.8800000000001</v>
      </c>
      <c r="L400" s="38">
        <v>46270</v>
      </c>
      <c r="M400" s="23" t="s">
        <v>186</v>
      </c>
      <c r="N400" s="23" t="str">
        <f>IF(COUNTIF($A$2:A400,A400)&gt;1,"DUP","OK")</f>
        <v>OK</v>
      </c>
      <c r="O400" s="23" t="str">
        <f t="shared" si="19"/>
        <v>ORD26002079</v>
      </c>
      <c r="P400" s="23" t="str">
        <f t="shared" si="20"/>
        <v>Sep</v>
      </c>
      <c r="Q400" s="23" t="str">
        <f>IF(F400="CAPTURE",IF(COUNTIF(orders!$A:$A,O400)&gt;0,"Yes","NO ORDER"),"")</f>
        <v>Yes</v>
      </c>
    </row>
    <row r="401" spans="1:17" ht="15" customHeight="1" x14ac:dyDescent="0.3">
      <c r="A401" s="23" t="s">
        <v>12870</v>
      </c>
      <c r="B401" s="23"/>
      <c r="C401" s="23" t="s">
        <v>4682</v>
      </c>
      <c r="D401" s="23" t="str">
        <f t="shared" si="18"/>
        <v>ORD26002096</v>
      </c>
      <c r="E401" s="38">
        <v>46268</v>
      </c>
      <c r="F401" s="23" t="s">
        <v>12410</v>
      </c>
      <c r="G401" s="23" t="s">
        <v>77</v>
      </c>
      <c r="H401" s="24">
        <v>2097</v>
      </c>
      <c r="I401" s="24">
        <v>35.65</v>
      </c>
      <c r="J401" s="24">
        <v>6.42</v>
      </c>
      <c r="K401" s="24">
        <v>2054.9299999999998</v>
      </c>
      <c r="L401" s="38">
        <v>46270</v>
      </c>
      <c r="M401" s="23" t="s">
        <v>186</v>
      </c>
      <c r="N401" s="23" t="str">
        <f>IF(COUNTIF($A$2:A401,A401)&gt;1,"DUP","OK")</f>
        <v>OK</v>
      </c>
      <c r="O401" s="23" t="str">
        <f t="shared" si="19"/>
        <v>ORD26002096</v>
      </c>
      <c r="P401" s="23" t="str">
        <f t="shared" si="20"/>
        <v>Sep</v>
      </c>
      <c r="Q401" s="23" t="str">
        <f>IF(F401="CAPTURE",IF(COUNTIF(orders!$A:$A,O401)&gt;0,"Yes","NO ORDER"),"")</f>
        <v>Yes</v>
      </c>
    </row>
    <row r="402" spans="1:17" ht="15" customHeight="1" x14ac:dyDescent="0.3">
      <c r="A402" s="23" t="s">
        <v>12871</v>
      </c>
      <c r="B402" s="23"/>
      <c r="C402" s="23" t="s">
        <v>12872</v>
      </c>
      <c r="D402" s="23" t="str">
        <f t="shared" si="18"/>
        <v>ORD26002154</v>
      </c>
      <c r="E402" s="38">
        <v>46268</v>
      </c>
      <c r="F402" s="23" t="s">
        <v>12410</v>
      </c>
      <c r="G402" s="23" t="s">
        <v>75</v>
      </c>
      <c r="H402" s="24">
        <v>599</v>
      </c>
      <c r="I402" s="24">
        <v>0</v>
      </c>
      <c r="J402" s="24">
        <v>0</v>
      </c>
      <c r="K402" s="24">
        <v>599</v>
      </c>
      <c r="L402" s="38">
        <v>46270</v>
      </c>
      <c r="M402" s="23" t="s">
        <v>186</v>
      </c>
      <c r="N402" s="23" t="str">
        <f>IF(COUNTIF($A$2:A402,A402)&gt;1,"DUP","OK")</f>
        <v>OK</v>
      </c>
      <c r="O402" s="23" t="str">
        <f t="shared" si="19"/>
        <v>ORD26002154</v>
      </c>
      <c r="P402" s="23" t="str">
        <f t="shared" si="20"/>
        <v>Sep</v>
      </c>
      <c r="Q402" s="23" t="str">
        <f>IF(F402="CAPTURE",IF(COUNTIF(orders!$A:$A,O402)&gt;0,"Yes","NO ORDER"),"")</f>
        <v>Yes</v>
      </c>
    </row>
    <row r="403" spans="1:17" ht="15" customHeight="1" x14ac:dyDescent="0.3">
      <c r="A403" s="23" t="s">
        <v>12873</v>
      </c>
      <c r="B403" s="23"/>
      <c r="C403" s="23" t="s">
        <v>4945</v>
      </c>
      <c r="D403" s="23" t="str">
        <f t="shared" si="18"/>
        <v>ORD26002226</v>
      </c>
      <c r="E403" s="38">
        <v>46268</v>
      </c>
      <c r="F403" s="23" t="s">
        <v>12410</v>
      </c>
      <c r="G403" s="23" t="s">
        <v>79</v>
      </c>
      <c r="H403" s="24">
        <v>999</v>
      </c>
      <c r="I403" s="24">
        <v>17.98</v>
      </c>
      <c r="J403" s="24">
        <v>3.24</v>
      </c>
      <c r="K403" s="24">
        <v>977.78</v>
      </c>
      <c r="L403" s="38">
        <v>46270</v>
      </c>
      <c r="M403" s="23" t="s">
        <v>186</v>
      </c>
      <c r="N403" s="23" t="str">
        <f>IF(COUNTIF($A$2:A403,A403)&gt;1,"DUP","OK")</f>
        <v>OK</v>
      </c>
      <c r="O403" s="23" t="str">
        <f t="shared" si="19"/>
        <v>ORD26002226</v>
      </c>
      <c r="P403" s="23" t="str">
        <f t="shared" si="20"/>
        <v>Sep</v>
      </c>
      <c r="Q403" s="23" t="str">
        <f>IF(F403="CAPTURE",IF(COUNTIF(orders!$A:$A,O403)&gt;0,"Yes","NO ORDER"),"")</f>
        <v>Yes</v>
      </c>
    </row>
    <row r="404" spans="1:17" ht="15" customHeight="1" x14ac:dyDescent="0.3">
      <c r="A404" s="23" t="s">
        <v>12874</v>
      </c>
      <c r="B404" s="23"/>
      <c r="C404" s="23" t="s">
        <v>5028</v>
      </c>
      <c r="D404" s="23" t="str">
        <f t="shared" si="18"/>
        <v>ORD26002267</v>
      </c>
      <c r="E404" s="38">
        <v>46268</v>
      </c>
      <c r="F404" s="23" t="s">
        <v>12410</v>
      </c>
      <c r="G404" s="23" t="s">
        <v>77</v>
      </c>
      <c r="H404" s="24">
        <v>1499</v>
      </c>
      <c r="I404" s="24">
        <v>28.48</v>
      </c>
      <c r="J404" s="24">
        <v>5.13</v>
      </c>
      <c r="K404" s="24">
        <v>1465.39</v>
      </c>
      <c r="L404" s="38">
        <v>46270</v>
      </c>
      <c r="M404" s="23" t="s">
        <v>186</v>
      </c>
      <c r="N404" s="23" t="str">
        <f>IF(COUNTIF($A$2:A404,A404)&gt;1,"DUP","OK")</f>
        <v>OK</v>
      </c>
      <c r="O404" s="23" t="str">
        <f t="shared" si="19"/>
        <v>ORD26002267</v>
      </c>
      <c r="P404" s="23" t="str">
        <f t="shared" si="20"/>
        <v>Sep</v>
      </c>
      <c r="Q404" s="23" t="str">
        <f>IF(F404="CAPTURE",IF(COUNTIF(orders!$A:$A,O404)&gt;0,"Yes","NO ORDER"),"")</f>
        <v>Yes</v>
      </c>
    </row>
    <row r="405" spans="1:17" ht="15" customHeight="1" x14ac:dyDescent="0.3">
      <c r="A405" s="23" t="s">
        <v>12875</v>
      </c>
      <c r="B405" s="23"/>
      <c r="C405" s="23" t="s">
        <v>5042</v>
      </c>
      <c r="D405" s="23" t="str">
        <f t="shared" si="18"/>
        <v>ORD26002274</v>
      </c>
      <c r="E405" s="38">
        <v>46268</v>
      </c>
      <c r="F405" s="23" t="s">
        <v>12410</v>
      </c>
      <c r="G405" s="23" t="s">
        <v>75</v>
      </c>
      <c r="H405" s="24">
        <v>499</v>
      </c>
      <c r="I405" s="24">
        <v>0</v>
      </c>
      <c r="J405" s="24">
        <v>0</v>
      </c>
      <c r="K405" s="24">
        <v>499</v>
      </c>
      <c r="L405" s="38">
        <v>46270</v>
      </c>
      <c r="M405" s="23" t="s">
        <v>186</v>
      </c>
      <c r="N405" s="23" t="str">
        <f>IF(COUNTIF($A$2:A405,A405)&gt;1,"DUP","OK")</f>
        <v>OK</v>
      </c>
      <c r="O405" s="23" t="str">
        <f t="shared" si="19"/>
        <v>ORD26002274</v>
      </c>
      <c r="P405" s="23" t="str">
        <f t="shared" si="20"/>
        <v>Sep</v>
      </c>
      <c r="Q405" s="23" t="str">
        <f>IF(F405="CAPTURE",IF(COUNTIF(orders!$A:$A,O405)&gt;0,"Yes","NO ORDER"),"")</f>
        <v>Yes</v>
      </c>
    </row>
    <row r="406" spans="1:17" ht="15" customHeight="1" x14ac:dyDescent="0.3">
      <c r="A406" s="23" t="s">
        <v>12876</v>
      </c>
      <c r="B406" s="23"/>
      <c r="C406" s="23" t="s">
        <v>5057</v>
      </c>
      <c r="D406" s="23" t="str">
        <f t="shared" si="18"/>
        <v>ORD26002282</v>
      </c>
      <c r="E406" s="38">
        <v>46268</v>
      </c>
      <c r="F406" s="23" t="s">
        <v>12410</v>
      </c>
      <c r="G406" s="23" t="s">
        <v>75</v>
      </c>
      <c r="H406" s="24">
        <v>599</v>
      </c>
      <c r="I406" s="24">
        <v>0</v>
      </c>
      <c r="J406" s="24">
        <v>0</v>
      </c>
      <c r="K406" s="24">
        <v>599</v>
      </c>
      <c r="L406" s="38">
        <v>46270</v>
      </c>
      <c r="M406" s="23" t="s">
        <v>186</v>
      </c>
      <c r="N406" s="23" t="str">
        <f>IF(COUNTIF($A$2:A406,A406)&gt;1,"DUP","OK")</f>
        <v>OK</v>
      </c>
      <c r="O406" s="23" t="str">
        <f t="shared" si="19"/>
        <v>ORD26002282</v>
      </c>
      <c r="P406" s="23" t="str">
        <f t="shared" si="20"/>
        <v>Sep</v>
      </c>
      <c r="Q406" s="23" t="str">
        <f>IF(F406="CAPTURE",IF(COUNTIF(orders!$A:$A,O406)&gt;0,"Yes","NO ORDER"),"")</f>
        <v>Yes</v>
      </c>
    </row>
    <row r="407" spans="1:17" ht="15" customHeight="1" x14ac:dyDescent="0.3">
      <c r="A407" s="23" t="s">
        <v>12877</v>
      </c>
      <c r="B407" s="23"/>
      <c r="C407" s="23" t="s">
        <v>5088</v>
      </c>
      <c r="D407" s="23" t="str">
        <f t="shared" si="18"/>
        <v>ORD26002297</v>
      </c>
      <c r="E407" s="38">
        <v>46268</v>
      </c>
      <c r="F407" s="23" t="s">
        <v>12410</v>
      </c>
      <c r="G407" s="23" t="s">
        <v>75</v>
      </c>
      <c r="H407" s="24">
        <v>1299</v>
      </c>
      <c r="I407" s="24">
        <v>0</v>
      </c>
      <c r="J407" s="24">
        <v>0</v>
      </c>
      <c r="K407" s="24">
        <v>1299</v>
      </c>
      <c r="L407" s="38">
        <v>46270</v>
      </c>
      <c r="M407" s="23" t="s">
        <v>186</v>
      </c>
      <c r="N407" s="23" t="str">
        <f>IF(COUNTIF($A$2:A407,A407)&gt;1,"DUP","OK")</f>
        <v>OK</v>
      </c>
      <c r="O407" s="23" t="str">
        <f t="shared" si="19"/>
        <v>ORD26002297</v>
      </c>
      <c r="P407" s="23" t="str">
        <f t="shared" si="20"/>
        <v>Sep</v>
      </c>
      <c r="Q407" s="23" t="str">
        <f>IF(F407="CAPTURE",IF(COUNTIF(orders!$A:$A,O407)&gt;0,"Yes","NO ORDER"),"")</f>
        <v>Yes</v>
      </c>
    </row>
    <row r="408" spans="1:17" ht="15" customHeight="1" x14ac:dyDescent="0.3">
      <c r="A408" s="23" t="s">
        <v>12878</v>
      </c>
      <c r="B408" s="23"/>
      <c r="C408" s="23" t="s">
        <v>5098</v>
      </c>
      <c r="D408" s="23" t="str">
        <f t="shared" si="18"/>
        <v>ORD26002302</v>
      </c>
      <c r="E408" s="38">
        <v>46268</v>
      </c>
      <c r="F408" s="23" t="s">
        <v>12410</v>
      </c>
      <c r="G408" s="23" t="s">
        <v>75</v>
      </c>
      <c r="H408" s="24">
        <v>4298</v>
      </c>
      <c r="I408" s="24">
        <v>12.89</v>
      </c>
      <c r="J408" s="24">
        <v>2.3199999999999998</v>
      </c>
      <c r="K408" s="24">
        <v>4282.79</v>
      </c>
      <c r="L408" s="38">
        <v>46270</v>
      </c>
      <c r="M408" s="23" t="s">
        <v>186</v>
      </c>
      <c r="N408" s="23" t="str">
        <f>IF(COUNTIF($A$2:A408,A408)&gt;1,"DUP","OK")</f>
        <v>OK</v>
      </c>
      <c r="O408" s="23" t="str">
        <f t="shared" si="19"/>
        <v>ORD26002302</v>
      </c>
      <c r="P408" s="23" t="str">
        <f t="shared" si="20"/>
        <v>Sep</v>
      </c>
      <c r="Q408" s="23" t="str">
        <f>IF(F408="CAPTURE",IF(COUNTIF(orders!$A:$A,O408)&gt;0,"Yes","NO ORDER"),"")</f>
        <v>Yes</v>
      </c>
    </row>
    <row r="409" spans="1:17" ht="15" customHeight="1" x14ac:dyDescent="0.3">
      <c r="A409" s="23" t="s">
        <v>12879</v>
      </c>
      <c r="B409" s="23"/>
      <c r="C409" s="23" t="s">
        <v>5152</v>
      </c>
      <c r="D409" s="23" t="str">
        <f t="shared" si="18"/>
        <v>ORD26002329</v>
      </c>
      <c r="E409" s="38">
        <v>46268</v>
      </c>
      <c r="F409" s="23" t="s">
        <v>12410</v>
      </c>
      <c r="G409" s="23" t="s">
        <v>79</v>
      </c>
      <c r="H409" s="24">
        <v>599</v>
      </c>
      <c r="I409" s="24">
        <v>10.78</v>
      </c>
      <c r="J409" s="24">
        <v>1.94</v>
      </c>
      <c r="K409" s="24">
        <v>586.28</v>
      </c>
      <c r="L409" s="38">
        <v>46270</v>
      </c>
      <c r="M409" s="23" t="s">
        <v>186</v>
      </c>
      <c r="N409" s="23" t="str">
        <f>IF(COUNTIF($A$2:A409,A409)&gt;1,"DUP","OK")</f>
        <v>OK</v>
      </c>
      <c r="O409" s="23" t="str">
        <f t="shared" si="19"/>
        <v>ORD26002329</v>
      </c>
      <c r="P409" s="23" t="str">
        <f t="shared" si="20"/>
        <v>Sep</v>
      </c>
      <c r="Q409" s="23" t="str">
        <f>IF(F409="CAPTURE",IF(COUNTIF(orders!$A:$A,O409)&gt;0,"Yes","NO ORDER"),"")</f>
        <v>Yes</v>
      </c>
    </row>
    <row r="410" spans="1:17" ht="15" customHeight="1" x14ac:dyDescent="0.3">
      <c r="A410" s="23" t="s">
        <v>12880</v>
      </c>
      <c r="B410" s="23"/>
      <c r="C410" s="23" t="s">
        <v>5326</v>
      </c>
      <c r="D410" s="23" t="str">
        <f t="shared" si="18"/>
        <v>ORD26002417</v>
      </c>
      <c r="E410" s="38">
        <v>46268</v>
      </c>
      <c r="F410" s="23" t="s">
        <v>12410</v>
      </c>
      <c r="G410" s="23" t="s">
        <v>79</v>
      </c>
      <c r="H410" s="24">
        <v>1798</v>
      </c>
      <c r="I410" s="24">
        <v>32.36</v>
      </c>
      <c r="J410" s="24">
        <v>5.82</v>
      </c>
      <c r="K410" s="24">
        <v>1759.82</v>
      </c>
      <c r="L410" s="38">
        <v>46270</v>
      </c>
      <c r="M410" s="23" t="s">
        <v>186</v>
      </c>
      <c r="N410" s="23" t="str">
        <f>IF(COUNTIF($A$2:A410,A410)&gt;1,"DUP","OK")</f>
        <v>OK</v>
      </c>
      <c r="O410" s="23" t="str">
        <f t="shared" si="19"/>
        <v>ORD26002417</v>
      </c>
      <c r="P410" s="23" t="str">
        <f t="shared" si="20"/>
        <v>Sep</v>
      </c>
      <c r="Q410" s="23" t="str">
        <f>IF(F410="CAPTURE",IF(COUNTIF(orders!$A:$A,O410)&gt;0,"Yes","NO ORDER"),"")</f>
        <v>Yes</v>
      </c>
    </row>
    <row r="411" spans="1:17" ht="15" customHeight="1" x14ac:dyDescent="0.3">
      <c r="A411" s="23" t="s">
        <v>12881</v>
      </c>
      <c r="B411" s="23"/>
      <c r="C411" s="23" t="s">
        <v>12882</v>
      </c>
      <c r="D411" s="23" t="str">
        <f t="shared" si="18"/>
        <v>ORD26002418</v>
      </c>
      <c r="E411" s="38">
        <v>46268</v>
      </c>
      <c r="F411" s="23" t="s">
        <v>12410</v>
      </c>
      <c r="G411" s="23" t="s">
        <v>77</v>
      </c>
      <c r="H411" s="24">
        <v>999</v>
      </c>
      <c r="I411" s="24">
        <v>18.98</v>
      </c>
      <c r="J411" s="24">
        <v>3.42</v>
      </c>
      <c r="K411" s="24">
        <v>976.6</v>
      </c>
      <c r="L411" s="38">
        <v>46270</v>
      </c>
      <c r="M411" s="23" t="s">
        <v>186</v>
      </c>
      <c r="N411" s="23" t="str">
        <f>IF(COUNTIF($A$2:A411,A411)&gt;1,"DUP","OK")</f>
        <v>OK</v>
      </c>
      <c r="O411" s="23" t="str">
        <f t="shared" si="19"/>
        <v>ORD26002418</v>
      </c>
      <c r="P411" s="23" t="str">
        <f t="shared" si="20"/>
        <v>Sep</v>
      </c>
      <c r="Q411" s="23" t="str">
        <f>IF(F411="CAPTURE",IF(COUNTIF(orders!$A:$A,O411)&gt;0,"Yes","NO ORDER"),"")</f>
        <v>Yes</v>
      </c>
    </row>
    <row r="412" spans="1:17" ht="15" customHeight="1" x14ac:dyDescent="0.3">
      <c r="A412" s="23" t="s">
        <v>12883</v>
      </c>
      <c r="B412" s="23"/>
      <c r="C412" s="23" t="s">
        <v>5470</v>
      </c>
      <c r="D412" s="23" t="str">
        <f t="shared" si="18"/>
        <v>ORD26002491</v>
      </c>
      <c r="E412" s="38">
        <v>46268</v>
      </c>
      <c r="F412" s="23" t="s">
        <v>12410</v>
      </c>
      <c r="G412" s="23" t="s">
        <v>75</v>
      </c>
      <c r="H412" s="24">
        <v>7999</v>
      </c>
      <c r="I412" s="24">
        <v>24</v>
      </c>
      <c r="J412" s="24">
        <v>4.32</v>
      </c>
      <c r="K412" s="24">
        <v>7970.68</v>
      </c>
      <c r="L412" s="38">
        <v>46270</v>
      </c>
      <c r="M412" s="23" t="s">
        <v>186</v>
      </c>
      <c r="N412" s="23" t="str">
        <f>IF(COUNTIF($A$2:A412,A412)&gt;1,"DUP","OK")</f>
        <v>OK</v>
      </c>
      <c r="O412" s="23" t="str">
        <f t="shared" si="19"/>
        <v>ORD26002491</v>
      </c>
      <c r="P412" s="23" t="str">
        <f t="shared" si="20"/>
        <v>Sep</v>
      </c>
      <c r="Q412" s="23" t="str">
        <f>IF(F412="CAPTURE",IF(COUNTIF(orders!$A:$A,O412)&gt;0,"Yes","NO ORDER"),"")</f>
        <v>Yes</v>
      </c>
    </row>
    <row r="413" spans="1:17" ht="15" customHeight="1" x14ac:dyDescent="0.3">
      <c r="A413" s="23" t="s">
        <v>12884</v>
      </c>
      <c r="B413" s="23"/>
      <c r="C413" s="23" t="s">
        <v>5480</v>
      </c>
      <c r="D413" s="23" t="str">
        <f t="shared" si="18"/>
        <v>ORD26002496</v>
      </c>
      <c r="E413" s="38">
        <v>46268</v>
      </c>
      <c r="F413" s="23" t="s">
        <v>12410</v>
      </c>
      <c r="G413" s="23" t="s">
        <v>79</v>
      </c>
      <c r="H413" s="24">
        <v>1348</v>
      </c>
      <c r="I413" s="24">
        <v>24.26</v>
      </c>
      <c r="J413" s="24">
        <v>4.37</v>
      </c>
      <c r="K413" s="24">
        <v>1319.37</v>
      </c>
      <c r="L413" s="38">
        <v>46270</v>
      </c>
      <c r="M413" s="23" t="s">
        <v>186</v>
      </c>
      <c r="N413" s="23" t="str">
        <f>IF(COUNTIF($A$2:A413,A413)&gt;1,"DUP","OK")</f>
        <v>OK</v>
      </c>
      <c r="O413" s="23" t="str">
        <f t="shared" si="19"/>
        <v>ORD26002496</v>
      </c>
      <c r="P413" s="23" t="str">
        <f t="shared" si="20"/>
        <v>Sep</v>
      </c>
      <c r="Q413" s="23" t="str">
        <f>IF(F413="CAPTURE",IF(COUNTIF(orders!$A:$A,O413)&gt;0,"Yes","NO ORDER"),"")</f>
        <v>Yes</v>
      </c>
    </row>
    <row r="414" spans="1:17" ht="15" customHeight="1" x14ac:dyDescent="0.3">
      <c r="A414" s="23" t="s">
        <v>12885</v>
      </c>
      <c r="B414" s="23"/>
      <c r="C414" s="23" t="s">
        <v>12886</v>
      </c>
      <c r="D414" s="23" t="str">
        <f t="shared" si="18"/>
        <v>ORD26002539</v>
      </c>
      <c r="E414" s="38">
        <v>46268</v>
      </c>
      <c r="F414" s="23" t="s">
        <v>12410</v>
      </c>
      <c r="G414" s="23" t="s">
        <v>75</v>
      </c>
      <c r="H414" s="24">
        <v>599</v>
      </c>
      <c r="I414" s="24">
        <v>0</v>
      </c>
      <c r="J414" s="24">
        <v>0</v>
      </c>
      <c r="K414" s="24">
        <v>599</v>
      </c>
      <c r="L414" s="38">
        <v>46270</v>
      </c>
      <c r="M414" s="23" t="s">
        <v>186</v>
      </c>
      <c r="N414" s="23" t="str">
        <f>IF(COUNTIF($A$2:A414,A414)&gt;1,"DUP","OK")</f>
        <v>OK</v>
      </c>
      <c r="O414" s="23" t="str">
        <f t="shared" si="19"/>
        <v>ORD26002539</v>
      </c>
      <c r="P414" s="23" t="str">
        <f t="shared" si="20"/>
        <v>Sep</v>
      </c>
      <c r="Q414" s="23" t="str">
        <f>IF(F414="CAPTURE",IF(COUNTIF(orders!$A:$A,O414)&gt;0,"Yes","NO ORDER"),"")</f>
        <v>Yes</v>
      </c>
    </row>
    <row r="415" spans="1:17" ht="15" customHeight="1" x14ac:dyDescent="0.3">
      <c r="A415" s="23" t="s">
        <v>12887</v>
      </c>
      <c r="B415" s="23"/>
      <c r="C415" s="23" t="s">
        <v>5594</v>
      </c>
      <c r="D415" s="23" t="str">
        <f t="shared" si="18"/>
        <v>ORD26002550</v>
      </c>
      <c r="E415" s="38">
        <v>46268</v>
      </c>
      <c r="F415" s="23" t="s">
        <v>12410</v>
      </c>
      <c r="G415" s="23" t="s">
        <v>75</v>
      </c>
      <c r="H415" s="24">
        <v>599</v>
      </c>
      <c r="I415" s="24">
        <v>0</v>
      </c>
      <c r="J415" s="24">
        <v>0</v>
      </c>
      <c r="K415" s="24">
        <v>599</v>
      </c>
      <c r="L415" s="38">
        <v>46270</v>
      </c>
      <c r="M415" s="23" t="s">
        <v>186</v>
      </c>
      <c r="N415" s="23" t="str">
        <f>IF(COUNTIF($A$2:A415,A415)&gt;1,"DUP","OK")</f>
        <v>OK</v>
      </c>
      <c r="O415" s="23" t="str">
        <f t="shared" si="19"/>
        <v>ORD26002550</v>
      </c>
      <c r="P415" s="23" t="str">
        <f t="shared" si="20"/>
        <v>Sep</v>
      </c>
      <c r="Q415" s="23" t="str">
        <f>IF(F415="CAPTURE",IF(COUNTIF(orders!$A:$A,O415)&gt;0,"Yes","NO ORDER"),"")</f>
        <v>Yes</v>
      </c>
    </row>
    <row r="416" spans="1:17" ht="15" customHeight="1" x14ac:dyDescent="0.3">
      <c r="A416" s="23" t="s">
        <v>12888</v>
      </c>
      <c r="B416" s="23"/>
      <c r="C416" s="23" t="s">
        <v>5614</v>
      </c>
      <c r="D416" s="23" t="str">
        <f t="shared" si="18"/>
        <v>ORD26002560</v>
      </c>
      <c r="E416" s="38">
        <v>46268</v>
      </c>
      <c r="F416" s="23" t="s">
        <v>12410</v>
      </c>
      <c r="G416" s="23" t="s">
        <v>75</v>
      </c>
      <c r="H416" s="24">
        <v>799</v>
      </c>
      <c r="I416" s="24">
        <v>0</v>
      </c>
      <c r="J416" s="24">
        <v>0</v>
      </c>
      <c r="K416" s="24">
        <v>799</v>
      </c>
      <c r="L416" s="38">
        <v>46270</v>
      </c>
      <c r="M416" s="23" t="s">
        <v>186</v>
      </c>
      <c r="N416" s="23" t="str">
        <f>IF(COUNTIF($A$2:A416,A416)&gt;1,"DUP","OK")</f>
        <v>OK</v>
      </c>
      <c r="O416" s="23" t="str">
        <f t="shared" si="19"/>
        <v>ORD26002560</v>
      </c>
      <c r="P416" s="23" t="str">
        <f t="shared" si="20"/>
        <v>Sep</v>
      </c>
      <c r="Q416" s="23" t="str">
        <f>IF(F416="CAPTURE",IF(COUNTIF(orders!$A:$A,O416)&gt;0,"Yes","NO ORDER"),"")</f>
        <v>Yes</v>
      </c>
    </row>
    <row r="417" spans="1:17" ht="15" customHeight="1" x14ac:dyDescent="0.3">
      <c r="A417" s="23" t="s">
        <v>12889</v>
      </c>
      <c r="B417" s="23"/>
      <c r="C417" s="23" t="s">
        <v>5620</v>
      </c>
      <c r="D417" s="23" t="str">
        <f t="shared" si="18"/>
        <v>ORD26002563</v>
      </c>
      <c r="E417" s="38">
        <v>46268</v>
      </c>
      <c r="F417" s="23" t="s">
        <v>12410</v>
      </c>
      <c r="G417" s="23" t="s">
        <v>75</v>
      </c>
      <c r="H417" s="24">
        <v>7497</v>
      </c>
      <c r="I417" s="24">
        <v>22.49</v>
      </c>
      <c r="J417" s="24">
        <v>4.05</v>
      </c>
      <c r="K417" s="24">
        <v>7470.46</v>
      </c>
      <c r="L417" s="38">
        <v>46270</v>
      </c>
      <c r="M417" s="23" t="s">
        <v>186</v>
      </c>
      <c r="N417" s="23" t="str">
        <f>IF(COUNTIF($A$2:A417,A417)&gt;1,"DUP","OK")</f>
        <v>OK</v>
      </c>
      <c r="O417" s="23" t="str">
        <f t="shared" si="19"/>
        <v>ORD26002563</v>
      </c>
      <c r="P417" s="23" t="str">
        <f t="shared" si="20"/>
        <v>Sep</v>
      </c>
      <c r="Q417" s="23" t="str">
        <f>IF(F417="CAPTURE",IF(COUNTIF(orders!$A:$A,O417)&gt;0,"Yes","NO ORDER"),"")</f>
        <v>Yes</v>
      </c>
    </row>
    <row r="418" spans="1:17" ht="15" customHeight="1" x14ac:dyDescent="0.3">
      <c r="A418" s="23" t="s">
        <v>12890</v>
      </c>
      <c r="B418" s="23"/>
      <c r="C418" s="23" t="s">
        <v>5624</v>
      </c>
      <c r="D418" s="23" t="str">
        <f t="shared" si="18"/>
        <v>ORD26002565</v>
      </c>
      <c r="E418" s="38">
        <v>46268</v>
      </c>
      <c r="F418" s="23" t="s">
        <v>12410</v>
      </c>
      <c r="G418" s="23" t="s">
        <v>81</v>
      </c>
      <c r="H418" s="24">
        <v>499</v>
      </c>
      <c r="I418" s="24">
        <v>7.49</v>
      </c>
      <c r="J418" s="24">
        <v>1.35</v>
      </c>
      <c r="K418" s="24">
        <v>490.16</v>
      </c>
      <c r="L418" s="38">
        <v>46270</v>
      </c>
      <c r="M418" s="23" t="s">
        <v>186</v>
      </c>
      <c r="N418" s="23" t="str">
        <f>IF(COUNTIF($A$2:A418,A418)&gt;1,"DUP","OK")</f>
        <v>OK</v>
      </c>
      <c r="O418" s="23" t="str">
        <f t="shared" si="19"/>
        <v>ORD26002565</v>
      </c>
      <c r="P418" s="23" t="str">
        <f t="shared" si="20"/>
        <v>Sep</v>
      </c>
      <c r="Q418" s="23" t="str">
        <f>IF(F418="CAPTURE",IF(COUNTIF(orders!$A:$A,O418)&gt;0,"Yes","NO ORDER"),"")</f>
        <v>Yes</v>
      </c>
    </row>
    <row r="419" spans="1:17" ht="15" customHeight="1" x14ac:dyDescent="0.3">
      <c r="A419" s="23" t="s">
        <v>12891</v>
      </c>
      <c r="B419" s="23"/>
      <c r="C419" s="23" t="s">
        <v>12892</v>
      </c>
      <c r="D419" s="23" t="str">
        <f t="shared" si="18"/>
        <v>ORD26002566</v>
      </c>
      <c r="E419" s="38">
        <v>46268</v>
      </c>
      <c r="F419" s="23" t="s">
        <v>12410</v>
      </c>
      <c r="G419" s="23" t="s">
        <v>79</v>
      </c>
      <c r="H419" s="24">
        <v>7097</v>
      </c>
      <c r="I419" s="24">
        <v>113.55</v>
      </c>
      <c r="J419" s="24">
        <v>20.440000000000001</v>
      </c>
      <c r="K419" s="24">
        <v>6963.01</v>
      </c>
      <c r="L419" s="38">
        <v>46270</v>
      </c>
      <c r="M419" s="23" t="s">
        <v>186</v>
      </c>
      <c r="N419" s="23" t="str">
        <f>IF(COUNTIF($A$2:A419,A419)&gt;1,"DUP","OK")</f>
        <v>OK</v>
      </c>
      <c r="O419" s="23" t="str">
        <f t="shared" si="19"/>
        <v>ORD26002566</v>
      </c>
      <c r="P419" s="23" t="str">
        <f t="shared" si="20"/>
        <v>Sep</v>
      </c>
      <c r="Q419" s="23" t="str">
        <f>IF(F419="CAPTURE",IF(COUNTIF(orders!$A:$A,O419)&gt;0,"Yes","NO ORDER"),"")</f>
        <v>Yes</v>
      </c>
    </row>
    <row r="420" spans="1:17" ht="15" customHeight="1" x14ac:dyDescent="0.3">
      <c r="A420" s="23" t="s">
        <v>12893</v>
      </c>
      <c r="B420" s="23"/>
      <c r="C420" s="23" t="s">
        <v>5695</v>
      </c>
      <c r="D420" s="23" t="str">
        <f t="shared" si="18"/>
        <v>ORD26002601</v>
      </c>
      <c r="E420" s="38">
        <v>46268</v>
      </c>
      <c r="F420" s="23" t="s">
        <v>12410</v>
      </c>
      <c r="G420" s="23" t="s">
        <v>77</v>
      </c>
      <c r="H420" s="24">
        <v>6798</v>
      </c>
      <c r="I420" s="24">
        <v>115.57</v>
      </c>
      <c r="J420" s="24">
        <v>20.8</v>
      </c>
      <c r="K420" s="24">
        <v>6661.63</v>
      </c>
      <c r="L420" s="38">
        <v>46270</v>
      </c>
      <c r="M420" s="23" t="s">
        <v>186</v>
      </c>
      <c r="N420" s="23" t="str">
        <f>IF(COUNTIF($A$2:A420,A420)&gt;1,"DUP","OK")</f>
        <v>OK</v>
      </c>
      <c r="O420" s="23" t="str">
        <f t="shared" si="19"/>
        <v>ORD26002601</v>
      </c>
      <c r="P420" s="23" t="str">
        <f t="shared" si="20"/>
        <v>Sep</v>
      </c>
      <c r="Q420" s="23" t="str">
        <f>IF(F420="CAPTURE",IF(COUNTIF(orders!$A:$A,O420)&gt;0,"Yes","NO ORDER"),"")</f>
        <v>Yes</v>
      </c>
    </row>
    <row r="421" spans="1:17" ht="15" customHeight="1" x14ac:dyDescent="0.3">
      <c r="A421" s="23" t="s">
        <v>12894</v>
      </c>
      <c r="B421" s="23"/>
      <c r="C421" s="23" t="s">
        <v>5728</v>
      </c>
      <c r="D421" s="23" t="str">
        <f t="shared" si="18"/>
        <v>ORD26002617</v>
      </c>
      <c r="E421" s="38">
        <v>46268</v>
      </c>
      <c r="F421" s="23" t="s">
        <v>12410</v>
      </c>
      <c r="G421" s="23" t="s">
        <v>75</v>
      </c>
      <c r="H421" s="24">
        <v>1299</v>
      </c>
      <c r="I421" s="24">
        <v>0</v>
      </c>
      <c r="J421" s="24">
        <v>0</v>
      </c>
      <c r="K421" s="24">
        <v>1299</v>
      </c>
      <c r="L421" s="38">
        <v>46270</v>
      </c>
      <c r="M421" s="23" t="s">
        <v>186</v>
      </c>
      <c r="N421" s="23" t="str">
        <f>IF(COUNTIF($A$2:A421,A421)&gt;1,"DUP","OK")</f>
        <v>OK</v>
      </c>
      <c r="O421" s="23" t="str">
        <f t="shared" si="19"/>
        <v>ORD26002617</v>
      </c>
      <c r="P421" s="23" t="str">
        <f t="shared" si="20"/>
        <v>Sep</v>
      </c>
      <c r="Q421" s="23" t="str">
        <f>IF(F421="CAPTURE",IF(COUNTIF(orders!$A:$A,O421)&gt;0,"Yes","NO ORDER"),"")</f>
        <v>Yes</v>
      </c>
    </row>
    <row r="422" spans="1:17" ht="15" customHeight="1" x14ac:dyDescent="0.3">
      <c r="A422" s="23" t="s">
        <v>12895</v>
      </c>
      <c r="B422" s="23"/>
      <c r="C422" s="23" t="s">
        <v>5938</v>
      </c>
      <c r="D422" s="23" t="str">
        <f t="shared" si="18"/>
        <v>ORD26002721</v>
      </c>
      <c r="E422" s="38">
        <v>46268</v>
      </c>
      <c r="F422" s="23" t="s">
        <v>12410</v>
      </c>
      <c r="G422" s="23" t="s">
        <v>75</v>
      </c>
      <c r="H422" s="24">
        <v>7999</v>
      </c>
      <c r="I422" s="24">
        <v>24</v>
      </c>
      <c r="J422" s="24">
        <v>4.32</v>
      </c>
      <c r="K422" s="24">
        <v>7970.68</v>
      </c>
      <c r="L422" s="38">
        <v>46270</v>
      </c>
      <c r="M422" s="23" t="s">
        <v>186</v>
      </c>
      <c r="N422" s="23" t="str">
        <f>IF(COUNTIF($A$2:A422,A422)&gt;1,"DUP","OK")</f>
        <v>OK</v>
      </c>
      <c r="O422" s="23" t="str">
        <f t="shared" si="19"/>
        <v>ORD26002721</v>
      </c>
      <c r="P422" s="23" t="str">
        <f t="shared" si="20"/>
        <v>Sep</v>
      </c>
      <c r="Q422" s="23" t="str">
        <f>IF(F422="CAPTURE",IF(COUNTIF(orders!$A:$A,O422)&gt;0,"Yes","NO ORDER"),"")</f>
        <v>Yes</v>
      </c>
    </row>
    <row r="423" spans="1:17" ht="15" customHeight="1" x14ac:dyDescent="0.3">
      <c r="A423" s="23" t="s">
        <v>12896</v>
      </c>
      <c r="B423" s="23"/>
      <c r="C423" s="23" t="s">
        <v>5993</v>
      </c>
      <c r="D423" s="23" t="str">
        <f t="shared" si="18"/>
        <v>ORD26002748</v>
      </c>
      <c r="E423" s="38">
        <v>46268</v>
      </c>
      <c r="F423" s="23" t="s">
        <v>12410</v>
      </c>
      <c r="G423" s="23" t="s">
        <v>75</v>
      </c>
      <c r="H423" s="24">
        <v>3197</v>
      </c>
      <c r="I423" s="24">
        <v>9.59</v>
      </c>
      <c r="J423" s="24">
        <v>1.73</v>
      </c>
      <c r="K423" s="24">
        <v>3185.68</v>
      </c>
      <c r="L423" s="38">
        <v>46270</v>
      </c>
      <c r="M423" s="23" t="s">
        <v>186</v>
      </c>
      <c r="N423" s="23" t="str">
        <f>IF(COUNTIF($A$2:A423,A423)&gt;1,"DUP","OK")</f>
        <v>OK</v>
      </c>
      <c r="O423" s="23" t="str">
        <f t="shared" si="19"/>
        <v>ORD26002748</v>
      </c>
      <c r="P423" s="23" t="str">
        <f t="shared" si="20"/>
        <v>Sep</v>
      </c>
      <c r="Q423" s="23" t="str">
        <f>IF(F423="CAPTURE",IF(COUNTIF(orders!$A:$A,O423)&gt;0,"Yes","NO ORDER"),"")</f>
        <v>Yes</v>
      </c>
    </row>
    <row r="424" spans="1:17" ht="15" customHeight="1" x14ac:dyDescent="0.3">
      <c r="A424" s="23" t="s">
        <v>12897</v>
      </c>
      <c r="B424" s="23"/>
      <c r="C424" s="23" t="s">
        <v>6068</v>
      </c>
      <c r="D424" s="23" t="str">
        <f t="shared" si="18"/>
        <v>ORD26002785</v>
      </c>
      <c r="E424" s="38">
        <v>46268</v>
      </c>
      <c r="F424" s="23" t="s">
        <v>12410</v>
      </c>
      <c r="G424" s="23" t="s">
        <v>75</v>
      </c>
      <c r="H424" s="24">
        <v>5797</v>
      </c>
      <c r="I424" s="24">
        <v>17.39</v>
      </c>
      <c r="J424" s="24">
        <v>3.13</v>
      </c>
      <c r="K424" s="24">
        <v>5776.48</v>
      </c>
      <c r="L424" s="38">
        <v>46270</v>
      </c>
      <c r="M424" s="23" t="s">
        <v>186</v>
      </c>
      <c r="N424" s="23" t="str">
        <f>IF(COUNTIF($A$2:A424,A424)&gt;1,"DUP","OK")</f>
        <v>OK</v>
      </c>
      <c r="O424" s="23" t="str">
        <f t="shared" si="19"/>
        <v>ORD26002785</v>
      </c>
      <c r="P424" s="23" t="str">
        <f t="shared" si="20"/>
        <v>Sep</v>
      </c>
      <c r="Q424" s="23" t="str">
        <f>IF(F424="CAPTURE",IF(COUNTIF(orders!$A:$A,O424)&gt;0,"Yes","NO ORDER"),"")</f>
        <v>Yes</v>
      </c>
    </row>
    <row r="425" spans="1:17" ht="15" customHeight="1" x14ac:dyDescent="0.3">
      <c r="A425" s="23" t="s">
        <v>12898</v>
      </c>
      <c r="B425" s="23"/>
      <c r="C425" s="23" t="s">
        <v>6343</v>
      </c>
      <c r="D425" s="23" t="str">
        <f t="shared" si="18"/>
        <v>ORD26002924</v>
      </c>
      <c r="E425" s="38">
        <v>46268</v>
      </c>
      <c r="F425" s="23" t="s">
        <v>12410</v>
      </c>
      <c r="G425" s="23" t="s">
        <v>79</v>
      </c>
      <c r="H425" s="24">
        <v>599</v>
      </c>
      <c r="I425" s="24">
        <v>10.78</v>
      </c>
      <c r="J425" s="24">
        <v>1.94</v>
      </c>
      <c r="K425" s="24">
        <v>586.28</v>
      </c>
      <c r="L425" s="38">
        <v>46270</v>
      </c>
      <c r="M425" s="23" t="s">
        <v>186</v>
      </c>
      <c r="N425" s="23" t="str">
        <f>IF(COUNTIF($A$2:A425,A425)&gt;1,"DUP","OK")</f>
        <v>OK</v>
      </c>
      <c r="O425" s="23" t="str">
        <f t="shared" si="19"/>
        <v>ORD26002924</v>
      </c>
      <c r="P425" s="23" t="str">
        <f t="shared" si="20"/>
        <v>Sep</v>
      </c>
      <c r="Q425" s="23" t="str">
        <f>IF(F425="CAPTURE",IF(COUNTIF(orders!$A:$A,O425)&gt;0,"Yes","NO ORDER"),"")</f>
        <v>Yes</v>
      </c>
    </row>
    <row r="426" spans="1:17" ht="15" customHeight="1" x14ac:dyDescent="0.3">
      <c r="A426" s="23" t="s">
        <v>12899</v>
      </c>
      <c r="B426" s="23"/>
      <c r="C426" s="23" t="s">
        <v>6484</v>
      </c>
      <c r="D426" s="23" t="str">
        <f t="shared" si="18"/>
        <v>ORD26002995</v>
      </c>
      <c r="E426" s="38">
        <v>46268</v>
      </c>
      <c r="F426" s="23" t="s">
        <v>12410</v>
      </c>
      <c r="G426" s="23" t="s">
        <v>75</v>
      </c>
      <c r="H426" s="24">
        <v>5998</v>
      </c>
      <c r="I426" s="24">
        <v>17.989999999999998</v>
      </c>
      <c r="J426" s="24">
        <v>3.24</v>
      </c>
      <c r="K426" s="24">
        <v>5976.77</v>
      </c>
      <c r="L426" s="38">
        <v>46270</v>
      </c>
      <c r="M426" s="23" t="s">
        <v>186</v>
      </c>
      <c r="N426" s="23" t="str">
        <f>IF(COUNTIF($A$2:A426,A426)&gt;1,"DUP","OK")</f>
        <v>OK</v>
      </c>
      <c r="O426" s="23" t="str">
        <f t="shared" si="19"/>
        <v>ORD26002995</v>
      </c>
      <c r="P426" s="23" t="str">
        <f t="shared" si="20"/>
        <v>Sep</v>
      </c>
      <c r="Q426" s="23" t="str">
        <f>IF(F426="CAPTURE",IF(COUNTIF(orders!$A:$A,O426)&gt;0,"Yes","NO ORDER"),"")</f>
        <v>Yes</v>
      </c>
    </row>
    <row r="427" spans="1:17" ht="15" customHeight="1" x14ac:dyDescent="0.3">
      <c r="A427" s="23" t="s">
        <v>12900</v>
      </c>
      <c r="B427" s="23"/>
      <c r="C427" s="23" t="s">
        <v>12901</v>
      </c>
      <c r="D427" s="23" t="str">
        <f t="shared" si="18"/>
        <v>ORD26003043</v>
      </c>
      <c r="E427" s="38">
        <v>46268</v>
      </c>
      <c r="F427" s="23" t="s">
        <v>12410</v>
      </c>
      <c r="G427" s="23" t="s">
        <v>75</v>
      </c>
      <c r="H427" s="24">
        <v>349</v>
      </c>
      <c r="I427" s="24">
        <v>0</v>
      </c>
      <c r="J427" s="24">
        <v>0</v>
      </c>
      <c r="K427" s="24">
        <v>349</v>
      </c>
      <c r="L427" s="38">
        <v>46270</v>
      </c>
      <c r="M427" s="23" t="s">
        <v>186</v>
      </c>
      <c r="N427" s="23" t="str">
        <f>IF(COUNTIF($A$2:A427,A427)&gt;1,"DUP","OK")</f>
        <v>OK</v>
      </c>
      <c r="O427" s="23" t="str">
        <f t="shared" si="19"/>
        <v>ORD26003043</v>
      </c>
      <c r="P427" s="23" t="str">
        <f t="shared" si="20"/>
        <v>Sep</v>
      </c>
      <c r="Q427" s="23" t="str">
        <f>IF(F427="CAPTURE",IF(COUNTIF(orders!$A:$A,O427)&gt;0,"Yes","NO ORDER"),"")</f>
        <v>Yes</v>
      </c>
    </row>
    <row r="428" spans="1:17" ht="15" customHeight="1" x14ac:dyDescent="0.3">
      <c r="A428" s="23" t="s">
        <v>12902</v>
      </c>
      <c r="B428" s="23"/>
      <c r="C428" s="23" t="s">
        <v>12903</v>
      </c>
      <c r="D428" s="23" t="str">
        <f t="shared" si="18"/>
        <v>ORD26003058</v>
      </c>
      <c r="E428" s="38">
        <v>46268</v>
      </c>
      <c r="F428" s="23" t="s">
        <v>12410</v>
      </c>
      <c r="G428" s="23" t="s">
        <v>81</v>
      </c>
      <c r="H428" s="24">
        <v>3499</v>
      </c>
      <c r="I428" s="24">
        <v>41.99</v>
      </c>
      <c r="J428" s="24">
        <v>7.56</v>
      </c>
      <c r="K428" s="24">
        <v>3449.45</v>
      </c>
      <c r="L428" s="38">
        <v>46270</v>
      </c>
      <c r="M428" s="23" t="s">
        <v>186</v>
      </c>
      <c r="N428" s="23" t="str">
        <f>IF(COUNTIF($A$2:A428,A428)&gt;1,"DUP","OK")</f>
        <v>OK</v>
      </c>
      <c r="O428" s="23" t="str">
        <f t="shared" si="19"/>
        <v>ORD26003058</v>
      </c>
      <c r="P428" s="23" t="str">
        <f t="shared" si="20"/>
        <v>Sep</v>
      </c>
      <c r="Q428" s="23" t="str">
        <f>IF(F428="CAPTURE",IF(COUNTIF(orders!$A:$A,O428)&gt;0,"Yes","NO ORDER"),"")</f>
        <v>Yes</v>
      </c>
    </row>
    <row r="429" spans="1:17" ht="15" customHeight="1" x14ac:dyDescent="0.3">
      <c r="A429" s="23" t="s">
        <v>12904</v>
      </c>
      <c r="B429" s="23"/>
      <c r="C429" s="23" t="s">
        <v>6628</v>
      </c>
      <c r="D429" s="23" t="str">
        <f t="shared" si="18"/>
        <v>ORD26003066</v>
      </c>
      <c r="E429" s="38">
        <v>46268</v>
      </c>
      <c r="F429" s="23" t="s">
        <v>12410</v>
      </c>
      <c r="G429" s="23" t="s">
        <v>79</v>
      </c>
      <c r="H429" s="24">
        <v>499</v>
      </c>
      <c r="I429" s="24">
        <v>8.98</v>
      </c>
      <c r="J429" s="24">
        <v>1.62</v>
      </c>
      <c r="K429" s="24">
        <v>488.4</v>
      </c>
      <c r="L429" s="38">
        <v>46270</v>
      </c>
      <c r="M429" s="23" t="s">
        <v>186</v>
      </c>
      <c r="N429" s="23" t="str">
        <f>IF(COUNTIF($A$2:A429,A429)&gt;1,"DUP","OK")</f>
        <v>OK</v>
      </c>
      <c r="O429" s="23" t="str">
        <f t="shared" si="19"/>
        <v>ORD26003066</v>
      </c>
      <c r="P429" s="23" t="str">
        <f t="shared" si="20"/>
        <v>Sep</v>
      </c>
      <c r="Q429" s="23" t="str">
        <f>IF(F429="CAPTURE",IF(COUNTIF(orders!$A:$A,O429)&gt;0,"Yes","NO ORDER"),"")</f>
        <v>Yes</v>
      </c>
    </row>
    <row r="430" spans="1:17" ht="15" customHeight="1" x14ac:dyDescent="0.3">
      <c r="A430" s="23" t="s">
        <v>12905</v>
      </c>
      <c r="B430" s="23"/>
      <c r="C430" s="23" t="s">
        <v>6721</v>
      </c>
      <c r="D430" s="23" t="str">
        <f t="shared" si="18"/>
        <v>ORD26003112</v>
      </c>
      <c r="E430" s="38">
        <v>46268</v>
      </c>
      <c r="F430" s="23" t="s">
        <v>12410</v>
      </c>
      <c r="G430" s="23" t="s">
        <v>75</v>
      </c>
      <c r="H430" s="24">
        <v>2999</v>
      </c>
      <c r="I430" s="24">
        <v>9</v>
      </c>
      <c r="J430" s="24">
        <v>1.62</v>
      </c>
      <c r="K430" s="24">
        <v>2988.38</v>
      </c>
      <c r="L430" s="38">
        <v>46270</v>
      </c>
      <c r="M430" s="23" t="s">
        <v>186</v>
      </c>
      <c r="N430" s="23" t="str">
        <f>IF(COUNTIF($A$2:A430,A430)&gt;1,"DUP","OK")</f>
        <v>OK</v>
      </c>
      <c r="O430" s="23" t="str">
        <f t="shared" si="19"/>
        <v>ORD26003112</v>
      </c>
      <c r="P430" s="23" t="str">
        <f t="shared" si="20"/>
        <v>Sep</v>
      </c>
      <c r="Q430" s="23" t="str">
        <f>IF(F430="CAPTURE",IF(COUNTIF(orders!$A:$A,O430)&gt;0,"Yes","NO ORDER"),"")</f>
        <v>Yes</v>
      </c>
    </row>
    <row r="431" spans="1:17" ht="15" customHeight="1" x14ac:dyDescent="0.3">
      <c r="A431" s="23" t="s">
        <v>12906</v>
      </c>
      <c r="B431" s="23"/>
      <c r="C431" s="23" t="s">
        <v>6723</v>
      </c>
      <c r="D431" s="23" t="str">
        <f t="shared" si="18"/>
        <v>ORD26003113</v>
      </c>
      <c r="E431" s="38">
        <v>46268</v>
      </c>
      <c r="F431" s="23" t="s">
        <v>12410</v>
      </c>
      <c r="G431" s="23" t="s">
        <v>79</v>
      </c>
      <c r="H431" s="24">
        <v>2499</v>
      </c>
      <c r="I431" s="24">
        <v>39.979999999999997</v>
      </c>
      <c r="J431" s="24">
        <v>7.2</v>
      </c>
      <c r="K431" s="24">
        <v>2451.8200000000002</v>
      </c>
      <c r="L431" s="38">
        <v>46270</v>
      </c>
      <c r="M431" s="23" t="s">
        <v>186</v>
      </c>
      <c r="N431" s="23" t="str">
        <f>IF(COUNTIF($A$2:A431,A431)&gt;1,"DUP","OK")</f>
        <v>OK</v>
      </c>
      <c r="O431" s="23" t="str">
        <f t="shared" si="19"/>
        <v>ORD26003113</v>
      </c>
      <c r="P431" s="23" t="str">
        <f t="shared" si="20"/>
        <v>Sep</v>
      </c>
      <c r="Q431" s="23" t="str">
        <f>IF(F431="CAPTURE",IF(COUNTIF(orders!$A:$A,O431)&gt;0,"Yes","NO ORDER"),"")</f>
        <v>Yes</v>
      </c>
    </row>
    <row r="432" spans="1:17" ht="15" customHeight="1" x14ac:dyDescent="0.3">
      <c r="A432" s="23" t="s">
        <v>12907</v>
      </c>
      <c r="B432" s="23"/>
      <c r="C432" s="23" t="s">
        <v>6739</v>
      </c>
      <c r="D432" s="23" t="str">
        <f t="shared" si="18"/>
        <v>ORD26003121</v>
      </c>
      <c r="E432" s="38">
        <v>46268</v>
      </c>
      <c r="F432" s="23" t="s">
        <v>12410</v>
      </c>
      <c r="G432" s="23" t="s">
        <v>79</v>
      </c>
      <c r="H432" s="24">
        <v>5498</v>
      </c>
      <c r="I432" s="24">
        <v>87.97</v>
      </c>
      <c r="J432" s="24">
        <v>15.83</v>
      </c>
      <c r="K432" s="24">
        <v>5394.2</v>
      </c>
      <c r="L432" s="38">
        <v>46270</v>
      </c>
      <c r="M432" s="23" t="s">
        <v>186</v>
      </c>
      <c r="N432" s="23" t="str">
        <f>IF(COUNTIF($A$2:A432,A432)&gt;1,"DUP","OK")</f>
        <v>OK</v>
      </c>
      <c r="O432" s="23" t="str">
        <f t="shared" si="19"/>
        <v>ORD26003121</v>
      </c>
      <c r="P432" s="23" t="str">
        <f t="shared" si="20"/>
        <v>Sep</v>
      </c>
      <c r="Q432" s="23" t="str">
        <f>IF(F432="CAPTURE",IF(COUNTIF(orders!$A:$A,O432)&gt;0,"Yes","NO ORDER"),"")</f>
        <v>Yes</v>
      </c>
    </row>
    <row r="433" spans="1:17" ht="15" customHeight="1" x14ac:dyDescent="0.3">
      <c r="A433" s="23" t="s">
        <v>12908</v>
      </c>
      <c r="B433" s="23"/>
      <c r="C433" s="23" t="s">
        <v>6769</v>
      </c>
      <c r="D433" s="23" t="str">
        <f t="shared" si="18"/>
        <v>ORD26003136</v>
      </c>
      <c r="E433" s="38">
        <v>46268</v>
      </c>
      <c r="F433" s="23" t="s">
        <v>12410</v>
      </c>
      <c r="G433" s="23" t="s">
        <v>75</v>
      </c>
      <c r="H433" s="24">
        <v>4997</v>
      </c>
      <c r="I433" s="24">
        <v>14.99</v>
      </c>
      <c r="J433" s="24">
        <v>2.7</v>
      </c>
      <c r="K433" s="24">
        <v>4979.3100000000004</v>
      </c>
      <c r="L433" s="38">
        <v>46270</v>
      </c>
      <c r="M433" s="23" t="s">
        <v>186</v>
      </c>
      <c r="N433" s="23" t="str">
        <f>IF(COUNTIF($A$2:A433,A433)&gt;1,"DUP","OK")</f>
        <v>OK</v>
      </c>
      <c r="O433" s="23" t="str">
        <f t="shared" si="19"/>
        <v>ORD26003136</v>
      </c>
      <c r="P433" s="23" t="str">
        <f t="shared" si="20"/>
        <v>Sep</v>
      </c>
      <c r="Q433" s="23" t="str">
        <f>IF(F433="CAPTURE",IF(COUNTIF(orders!$A:$A,O433)&gt;0,"Yes","NO ORDER"),"")</f>
        <v>Yes</v>
      </c>
    </row>
    <row r="434" spans="1:17" ht="15" customHeight="1" x14ac:dyDescent="0.3">
      <c r="A434" s="23" t="s">
        <v>12909</v>
      </c>
      <c r="B434" s="23"/>
      <c r="C434" s="23" t="s">
        <v>6773</v>
      </c>
      <c r="D434" s="23" t="str">
        <f t="shared" si="18"/>
        <v>ORD26003138</v>
      </c>
      <c r="E434" s="38">
        <v>46268</v>
      </c>
      <c r="F434" s="23" t="s">
        <v>12410</v>
      </c>
      <c r="G434" s="23" t="s">
        <v>75</v>
      </c>
      <c r="H434" s="24">
        <v>2499</v>
      </c>
      <c r="I434" s="24">
        <v>7.5</v>
      </c>
      <c r="J434" s="24">
        <v>1.35</v>
      </c>
      <c r="K434" s="24">
        <v>2490.15</v>
      </c>
      <c r="L434" s="38">
        <v>46270</v>
      </c>
      <c r="M434" s="23" t="s">
        <v>186</v>
      </c>
      <c r="N434" s="23" t="str">
        <f>IF(COUNTIF($A$2:A434,A434)&gt;1,"DUP","OK")</f>
        <v>OK</v>
      </c>
      <c r="O434" s="23" t="str">
        <f t="shared" si="19"/>
        <v>ORD26003138</v>
      </c>
      <c r="P434" s="23" t="str">
        <f t="shared" si="20"/>
        <v>Sep</v>
      </c>
      <c r="Q434" s="23" t="str">
        <f>IF(F434="CAPTURE",IF(COUNTIF(orders!$A:$A,O434)&gt;0,"Yes","NO ORDER"),"")</f>
        <v>Yes</v>
      </c>
    </row>
    <row r="435" spans="1:17" ht="15" customHeight="1" x14ac:dyDescent="0.3">
      <c r="A435" s="23" t="s">
        <v>12910</v>
      </c>
      <c r="B435" s="23"/>
      <c r="C435" s="23" t="s">
        <v>6823</v>
      </c>
      <c r="D435" s="23" t="str">
        <f t="shared" si="18"/>
        <v>ORD26003163</v>
      </c>
      <c r="E435" s="38">
        <v>46268</v>
      </c>
      <c r="F435" s="23" t="s">
        <v>12410</v>
      </c>
      <c r="G435" s="23" t="s">
        <v>79</v>
      </c>
      <c r="H435" s="24">
        <v>7998</v>
      </c>
      <c r="I435" s="24">
        <v>127.97</v>
      </c>
      <c r="J435" s="24">
        <v>23.03</v>
      </c>
      <c r="K435" s="24">
        <v>7847</v>
      </c>
      <c r="L435" s="38">
        <v>46270</v>
      </c>
      <c r="M435" s="23" t="s">
        <v>186</v>
      </c>
      <c r="N435" s="23" t="str">
        <f>IF(COUNTIF($A$2:A435,A435)&gt;1,"DUP","OK")</f>
        <v>OK</v>
      </c>
      <c r="O435" s="23" t="str">
        <f t="shared" si="19"/>
        <v>ORD26003163</v>
      </c>
      <c r="P435" s="23" t="str">
        <f t="shared" si="20"/>
        <v>Sep</v>
      </c>
      <c r="Q435" s="23" t="str">
        <f>IF(F435="CAPTURE",IF(COUNTIF(orders!$A:$A,O435)&gt;0,"Yes","NO ORDER"),"")</f>
        <v>Yes</v>
      </c>
    </row>
    <row r="436" spans="1:17" ht="15" customHeight="1" x14ac:dyDescent="0.3">
      <c r="A436" s="23" t="s">
        <v>12911</v>
      </c>
      <c r="B436" s="23"/>
      <c r="C436" s="23" t="s">
        <v>6923</v>
      </c>
      <c r="D436" s="23" t="str">
        <f t="shared" si="18"/>
        <v>ORD26003213</v>
      </c>
      <c r="E436" s="38">
        <v>46268</v>
      </c>
      <c r="F436" s="23" t="s">
        <v>12410</v>
      </c>
      <c r="G436" s="23" t="s">
        <v>77</v>
      </c>
      <c r="H436" s="24">
        <v>8847</v>
      </c>
      <c r="I436" s="24">
        <v>150.4</v>
      </c>
      <c r="J436" s="24">
        <v>27.07</v>
      </c>
      <c r="K436" s="24">
        <v>8669.5300000000007</v>
      </c>
      <c r="L436" s="38">
        <v>46270</v>
      </c>
      <c r="M436" s="23" t="s">
        <v>186</v>
      </c>
      <c r="N436" s="23" t="str">
        <f>IF(COUNTIF($A$2:A436,A436)&gt;1,"DUP","OK")</f>
        <v>OK</v>
      </c>
      <c r="O436" s="23" t="str">
        <f t="shared" si="19"/>
        <v>ORD26003213</v>
      </c>
      <c r="P436" s="23" t="str">
        <f t="shared" si="20"/>
        <v>Sep</v>
      </c>
      <c r="Q436" s="23" t="str">
        <f>IF(F436="CAPTURE",IF(COUNTIF(orders!$A:$A,O436)&gt;0,"Yes","NO ORDER"),"")</f>
        <v>Yes</v>
      </c>
    </row>
    <row r="437" spans="1:17" ht="15" customHeight="1" x14ac:dyDescent="0.3">
      <c r="A437" s="23" t="s">
        <v>12912</v>
      </c>
      <c r="B437" s="23"/>
      <c r="C437" s="23" t="s">
        <v>7184</v>
      </c>
      <c r="D437" s="23" t="str">
        <f t="shared" si="18"/>
        <v>ORD26003343</v>
      </c>
      <c r="E437" s="38">
        <v>46268</v>
      </c>
      <c r="F437" s="23" t="s">
        <v>12410</v>
      </c>
      <c r="G437" s="23" t="s">
        <v>79</v>
      </c>
      <c r="H437" s="24">
        <v>349</v>
      </c>
      <c r="I437" s="24">
        <v>6.28</v>
      </c>
      <c r="J437" s="24">
        <v>1.1299999999999999</v>
      </c>
      <c r="K437" s="24">
        <v>341.59</v>
      </c>
      <c r="L437" s="38">
        <v>46270</v>
      </c>
      <c r="M437" s="23" t="s">
        <v>186</v>
      </c>
      <c r="N437" s="23" t="str">
        <f>IF(COUNTIF($A$2:A437,A437)&gt;1,"DUP","OK")</f>
        <v>OK</v>
      </c>
      <c r="O437" s="23" t="str">
        <f t="shared" si="19"/>
        <v>ORD26003343</v>
      </c>
      <c r="P437" s="23" t="str">
        <f t="shared" si="20"/>
        <v>Sep</v>
      </c>
      <c r="Q437" s="23" t="str">
        <f>IF(F437="CAPTURE",IF(COUNTIF(orders!$A:$A,O437)&gt;0,"Yes","NO ORDER"),"")</f>
        <v>Yes</v>
      </c>
    </row>
    <row r="438" spans="1:17" ht="15" customHeight="1" x14ac:dyDescent="0.3">
      <c r="A438" s="23" t="s">
        <v>12913</v>
      </c>
      <c r="B438" s="23"/>
      <c r="C438" s="23" t="s">
        <v>7221</v>
      </c>
      <c r="D438" s="23" t="str">
        <f t="shared" si="18"/>
        <v>ORD26003361</v>
      </c>
      <c r="E438" s="38">
        <v>46268</v>
      </c>
      <c r="F438" s="23" t="s">
        <v>12410</v>
      </c>
      <c r="G438" s="23" t="s">
        <v>77</v>
      </c>
      <c r="H438" s="24">
        <v>16497</v>
      </c>
      <c r="I438" s="24">
        <v>280.45</v>
      </c>
      <c r="J438" s="24">
        <v>50.48</v>
      </c>
      <c r="K438" s="24">
        <v>16166.07</v>
      </c>
      <c r="L438" s="38">
        <v>46270</v>
      </c>
      <c r="M438" s="23" t="s">
        <v>186</v>
      </c>
      <c r="N438" s="23" t="str">
        <f>IF(COUNTIF($A$2:A438,A438)&gt;1,"DUP","OK")</f>
        <v>OK</v>
      </c>
      <c r="O438" s="23" t="str">
        <f t="shared" si="19"/>
        <v>ORD26003361</v>
      </c>
      <c r="P438" s="23" t="str">
        <f t="shared" si="20"/>
        <v>Sep</v>
      </c>
      <c r="Q438" s="23" t="str">
        <f>IF(F438="CAPTURE",IF(COUNTIF(orders!$A:$A,O438)&gt;0,"Yes","NO ORDER"),"")</f>
        <v>Yes</v>
      </c>
    </row>
    <row r="439" spans="1:17" ht="15" customHeight="1" x14ac:dyDescent="0.3">
      <c r="A439" s="23" t="s">
        <v>12914</v>
      </c>
      <c r="B439" s="23"/>
      <c r="C439" s="23" t="s">
        <v>7257</v>
      </c>
      <c r="D439" s="23" t="str">
        <f t="shared" si="18"/>
        <v>ORD26003379</v>
      </c>
      <c r="E439" s="38">
        <v>46268</v>
      </c>
      <c r="F439" s="23" t="s">
        <v>12410</v>
      </c>
      <c r="G439" s="23" t="s">
        <v>75</v>
      </c>
      <c r="H439" s="24">
        <v>3647</v>
      </c>
      <c r="I439" s="24">
        <v>10.94</v>
      </c>
      <c r="J439" s="24">
        <v>1.97</v>
      </c>
      <c r="K439" s="24">
        <v>3634.09</v>
      </c>
      <c r="L439" s="38">
        <v>46270</v>
      </c>
      <c r="M439" s="23" t="s">
        <v>186</v>
      </c>
      <c r="N439" s="23" t="str">
        <f>IF(COUNTIF($A$2:A439,A439)&gt;1,"DUP","OK")</f>
        <v>OK</v>
      </c>
      <c r="O439" s="23" t="str">
        <f t="shared" si="19"/>
        <v>ORD26003379</v>
      </c>
      <c r="P439" s="23" t="str">
        <f t="shared" si="20"/>
        <v>Sep</v>
      </c>
      <c r="Q439" s="23" t="str">
        <f>IF(F439="CAPTURE",IF(COUNTIF(orders!$A:$A,O439)&gt;0,"Yes","NO ORDER"),"")</f>
        <v>Yes</v>
      </c>
    </row>
    <row r="440" spans="1:17" ht="15" customHeight="1" x14ac:dyDescent="0.3">
      <c r="A440" s="23" t="s">
        <v>12915</v>
      </c>
      <c r="B440" s="23"/>
      <c r="C440" s="23" t="s">
        <v>7333</v>
      </c>
      <c r="D440" s="23" t="str">
        <f t="shared" si="18"/>
        <v>ORD26003417</v>
      </c>
      <c r="E440" s="38">
        <v>46268</v>
      </c>
      <c r="F440" s="23" t="s">
        <v>12410</v>
      </c>
      <c r="G440" s="23" t="s">
        <v>75</v>
      </c>
      <c r="H440" s="24">
        <v>599</v>
      </c>
      <c r="I440" s="24">
        <v>1.8</v>
      </c>
      <c r="J440" s="24">
        <v>0.32</v>
      </c>
      <c r="K440" s="24">
        <v>596.88</v>
      </c>
      <c r="L440" s="38">
        <v>46270</v>
      </c>
      <c r="M440" s="23" t="s">
        <v>186</v>
      </c>
      <c r="N440" s="23" t="str">
        <f>IF(COUNTIF($A$2:A440,A440)&gt;1,"DUP","OK")</f>
        <v>OK</v>
      </c>
      <c r="O440" s="23" t="str">
        <f t="shared" si="19"/>
        <v>ORD26003417</v>
      </c>
      <c r="P440" s="23" t="str">
        <f t="shared" si="20"/>
        <v>Sep</v>
      </c>
      <c r="Q440" s="23" t="str">
        <f>IF(F440="CAPTURE",IF(COUNTIF(orders!$A:$A,O440)&gt;0,"Yes","NO ORDER"),"")</f>
        <v>Yes</v>
      </c>
    </row>
    <row r="441" spans="1:17" ht="15" customHeight="1" x14ac:dyDescent="0.3">
      <c r="A441" s="23" t="s">
        <v>12916</v>
      </c>
      <c r="B441" s="23"/>
      <c r="C441" s="23" t="s">
        <v>7351</v>
      </c>
      <c r="D441" s="23" t="str">
        <f t="shared" si="18"/>
        <v>ORD26003426</v>
      </c>
      <c r="E441" s="38">
        <v>46268</v>
      </c>
      <c r="F441" s="23" t="s">
        <v>12410</v>
      </c>
      <c r="G441" s="23" t="s">
        <v>79</v>
      </c>
      <c r="H441" s="24">
        <v>2499</v>
      </c>
      <c r="I441" s="24">
        <v>39.979999999999997</v>
      </c>
      <c r="J441" s="24">
        <v>7.2</v>
      </c>
      <c r="K441" s="24">
        <v>2451.8200000000002</v>
      </c>
      <c r="L441" s="38">
        <v>46270</v>
      </c>
      <c r="M441" s="23" t="s">
        <v>186</v>
      </c>
      <c r="N441" s="23" t="str">
        <f>IF(COUNTIF($A$2:A441,A441)&gt;1,"DUP","OK")</f>
        <v>OK</v>
      </c>
      <c r="O441" s="23" t="str">
        <f t="shared" si="19"/>
        <v>ORD26003426</v>
      </c>
      <c r="P441" s="23" t="str">
        <f t="shared" si="20"/>
        <v>Sep</v>
      </c>
      <c r="Q441" s="23" t="str">
        <f>IF(F441="CAPTURE",IF(COUNTIF(orders!$A:$A,O441)&gt;0,"Yes","NO ORDER"),"")</f>
        <v>Yes</v>
      </c>
    </row>
    <row r="442" spans="1:17" ht="15" customHeight="1" x14ac:dyDescent="0.3">
      <c r="A442" s="23" t="s">
        <v>12917</v>
      </c>
      <c r="B442" s="23"/>
      <c r="C442" s="23" t="s">
        <v>12918</v>
      </c>
      <c r="D442" s="23" t="str">
        <f t="shared" si="18"/>
        <v>ORD26003456</v>
      </c>
      <c r="E442" s="38">
        <v>46268</v>
      </c>
      <c r="F442" s="23" t="s">
        <v>12410</v>
      </c>
      <c r="G442" s="23" t="s">
        <v>75</v>
      </c>
      <c r="H442" s="24">
        <v>7999</v>
      </c>
      <c r="I442" s="24">
        <v>24</v>
      </c>
      <c r="J442" s="24">
        <v>4.32</v>
      </c>
      <c r="K442" s="24">
        <v>7970.68</v>
      </c>
      <c r="L442" s="38">
        <v>46270</v>
      </c>
      <c r="M442" s="23" t="s">
        <v>186</v>
      </c>
      <c r="N442" s="23" t="str">
        <f>IF(COUNTIF($A$2:A442,A442)&gt;1,"DUP","OK")</f>
        <v>OK</v>
      </c>
      <c r="O442" s="23" t="str">
        <f t="shared" si="19"/>
        <v>ORD26003456</v>
      </c>
      <c r="P442" s="23" t="str">
        <f t="shared" si="20"/>
        <v>Sep</v>
      </c>
      <c r="Q442" s="23" t="str">
        <f>IF(F442="CAPTURE",IF(COUNTIF(orders!$A:$A,O442)&gt;0,"Yes","NO ORDER"),"")</f>
        <v>Yes</v>
      </c>
    </row>
    <row r="443" spans="1:17" ht="15" customHeight="1" x14ac:dyDescent="0.3">
      <c r="A443" s="23" t="s">
        <v>12919</v>
      </c>
      <c r="B443" s="23"/>
      <c r="C443" s="23" t="s">
        <v>7461</v>
      </c>
      <c r="D443" s="23" t="str">
        <f t="shared" si="18"/>
        <v>ORD26003481</v>
      </c>
      <c r="E443" s="38">
        <v>46268</v>
      </c>
      <c r="F443" s="23" t="s">
        <v>12410</v>
      </c>
      <c r="G443" s="23" t="s">
        <v>81</v>
      </c>
      <c r="H443" s="24">
        <v>299</v>
      </c>
      <c r="I443" s="24">
        <v>4.49</v>
      </c>
      <c r="J443" s="24">
        <v>0.81</v>
      </c>
      <c r="K443" s="24">
        <v>293.7</v>
      </c>
      <c r="L443" s="38">
        <v>46270</v>
      </c>
      <c r="M443" s="23" t="s">
        <v>186</v>
      </c>
      <c r="N443" s="23" t="str">
        <f>IF(COUNTIF($A$2:A443,A443)&gt;1,"DUP","OK")</f>
        <v>OK</v>
      </c>
      <c r="O443" s="23" t="str">
        <f t="shared" si="19"/>
        <v>ORD26003481</v>
      </c>
      <c r="P443" s="23" t="str">
        <f t="shared" si="20"/>
        <v>Sep</v>
      </c>
      <c r="Q443" s="23" t="str">
        <f>IF(F443="CAPTURE",IF(COUNTIF(orders!$A:$A,O443)&gt;0,"Yes","NO ORDER"),"")</f>
        <v>Yes</v>
      </c>
    </row>
    <row r="444" spans="1:17" ht="15" customHeight="1" x14ac:dyDescent="0.3">
      <c r="A444" s="23" t="s">
        <v>12920</v>
      </c>
      <c r="B444" s="23"/>
      <c r="C444" s="23" t="s">
        <v>7468</v>
      </c>
      <c r="D444" s="23" t="str">
        <f t="shared" si="18"/>
        <v>ORD26003485</v>
      </c>
      <c r="E444" s="38">
        <v>46268</v>
      </c>
      <c r="F444" s="23" t="s">
        <v>12410</v>
      </c>
      <c r="G444" s="23" t="s">
        <v>77</v>
      </c>
      <c r="H444" s="24">
        <v>299</v>
      </c>
      <c r="I444" s="24">
        <v>5.68</v>
      </c>
      <c r="J444" s="24">
        <v>1.02</v>
      </c>
      <c r="K444" s="24">
        <v>292.3</v>
      </c>
      <c r="L444" s="38">
        <v>46270</v>
      </c>
      <c r="M444" s="23" t="s">
        <v>186</v>
      </c>
      <c r="N444" s="23" t="str">
        <f>IF(COUNTIF($A$2:A444,A444)&gt;1,"DUP","OK")</f>
        <v>OK</v>
      </c>
      <c r="O444" s="23" t="str">
        <f t="shared" si="19"/>
        <v>ORD26003485</v>
      </c>
      <c r="P444" s="23" t="str">
        <f t="shared" si="20"/>
        <v>Sep</v>
      </c>
      <c r="Q444" s="23" t="str">
        <f>IF(F444="CAPTURE",IF(COUNTIF(orders!$A:$A,O444)&gt;0,"Yes","NO ORDER"),"")</f>
        <v>Yes</v>
      </c>
    </row>
    <row r="445" spans="1:17" ht="15" customHeight="1" x14ac:dyDescent="0.3">
      <c r="A445" s="23" t="s">
        <v>12921</v>
      </c>
      <c r="B445" s="23"/>
      <c r="C445" s="23" t="s">
        <v>7698</v>
      </c>
      <c r="D445" s="23" t="str">
        <f t="shared" si="18"/>
        <v>ORD26003602</v>
      </c>
      <c r="E445" s="38">
        <v>46268</v>
      </c>
      <c r="F445" s="23" t="s">
        <v>12410</v>
      </c>
      <c r="G445" s="23" t="s">
        <v>75</v>
      </c>
      <c r="H445" s="24">
        <v>4998</v>
      </c>
      <c r="I445" s="24">
        <v>14.99</v>
      </c>
      <c r="J445" s="24">
        <v>2.7</v>
      </c>
      <c r="K445" s="24">
        <v>4980.3100000000004</v>
      </c>
      <c r="L445" s="38">
        <v>46270</v>
      </c>
      <c r="M445" s="23" t="s">
        <v>186</v>
      </c>
      <c r="N445" s="23" t="str">
        <f>IF(COUNTIF($A$2:A445,A445)&gt;1,"DUP","OK")</f>
        <v>OK</v>
      </c>
      <c r="O445" s="23" t="str">
        <f t="shared" si="19"/>
        <v>ORD26003602</v>
      </c>
      <c r="P445" s="23" t="str">
        <f t="shared" si="20"/>
        <v>Sep</v>
      </c>
      <c r="Q445" s="23" t="str">
        <f>IF(F445="CAPTURE",IF(COUNTIF(orders!$A:$A,O445)&gt;0,"Yes","NO ORDER"),"")</f>
        <v>Yes</v>
      </c>
    </row>
    <row r="446" spans="1:17" ht="15" customHeight="1" x14ac:dyDescent="0.3">
      <c r="A446" s="23" t="s">
        <v>12922</v>
      </c>
      <c r="B446" s="23"/>
      <c r="C446" s="23" t="s">
        <v>12923</v>
      </c>
      <c r="D446" s="23" t="str">
        <f t="shared" si="18"/>
        <v>ORD26003604</v>
      </c>
      <c r="E446" s="38">
        <v>46268</v>
      </c>
      <c r="F446" s="23" t="s">
        <v>12410</v>
      </c>
      <c r="G446" s="23" t="s">
        <v>75</v>
      </c>
      <c r="H446" s="24">
        <v>1098</v>
      </c>
      <c r="I446" s="24">
        <v>0</v>
      </c>
      <c r="J446" s="24">
        <v>0</v>
      </c>
      <c r="K446" s="24">
        <v>1098</v>
      </c>
      <c r="L446" s="38">
        <v>46270</v>
      </c>
      <c r="M446" s="23" t="s">
        <v>186</v>
      </c>
      <c r="N446" s="23" t="str">
        <f>IF(COUNTIF($A$2:A446,A446)&gt;1,"DUP","OK")</f>
        <v>OK</v>
      </c>
      <c r="O446" s="23" t="str">
        <f t="shared" si="19"/>
        <v>ORD26003604</v>
      </c>
      <c r="P446" s="23" t="str">
        <f t="shared" si="20"/>
        <v>Sep</v>
      </c>
      <c r="Q446" s="23" t="str">
        <f>IF(F446="CAPTURE",IF(COUNTIF(orders!$A:$A,O446)&gt;0,"Yes","NO ORDER"),"")</f>
        <v>Yes</v>
      </c>
    </row>
    <row r="447" spans="1:17" ht="15" customHeight="1" x14ac:dyDescent="0.3">
      <c r="A447" s="23" t="s">
        <v>12924</v>
      </c>
      <c r="B447" s="23"/>
      <c r="C447" s="23" t="s">
        <v>7733</v>
      </c>
      <c r="D447" s="23" t="str">
        <f t="shared" si="18"/>
        <v>ORD26003620</v>
      </c>
      <c r="E447" s="38">
        <v>46268</v>
      </c>
      <c r="F447" s="23" t="s">
        <v>12410</v>
      </c>
      <c r="G447" s="23" t="s">
        <v>75</v>
      </c>
      <c r="H447" s="24">
        <v>12497</v>
      </c>
      <c r="I447" s="24">
        <v>37.49</v>
      </c>
      <c r="J447" s="24">
        <v>6.75</v>
      </c>
      <c r="K447" s="24">
        <v>12452.76</v>
      </c>
      <c r="L447" s="38">
        <v>46270</v>
      </c>
      <c r="M447" s="23" t="s">
        <v>186</v>
      </c>
      <c r="N447" s="23" t="str">
        <f>IF(COUNTIF($A$2:A447,A447)&gt;1,"DUP","OK")</f>
        <v>OK</v>
      </c>
      <c r="O447" s="23" t="str">
        <f t="shared" si="19"/>
        <v>ORD26003620</v>
      </c>
      <c r="P447" s="23" t="str">
        <f t="shared" si="20"/>
        <v>Sep</v>
      </c>
      <c r="Q447" s="23" t="str">
        <f>IF(F447="CAPTURE",IF(COUNTIF(orders!$A:$A,O447)&gt;0,"Yes","NO ORDER"),"")</f>
        <v>Yes</v>
      </c>
    </row>
    <row r="448" spans="1:17" ht="15" customHeight="1" x14ac:dyDescent="0.3">
      <c r="A448" s="23" t="s">
        <v>12925</v>
      </c>
      <c r="B448" s="23"/>
      <c r="C448" s="23" t="s">
        <v>7814</v>
      </c>
      <c r="D448" s="23" t="str">
        <f t="shared" si="18"/>
        <v>ORD26003662</v>
      </c>
      <c r="E448" s="38">
        <v>46268</v>
      </c>
      <c r="F448" s="23" t="s">
        <v>12410</v>
      </c>
      <c r="G448" s="23" t="s">
        <v>75</v>
      </c>
      <c r="H448" s="24">
        <v>299</v>
      </c>
      <c r="I448" s="24">
        <v>0.9</v>
      </c>
      <c r="J448" s="24">
        <v>0.16</v>
      </c>
      <c r="K448" s="24">
        <v>297.94</v>
      </c>
      <c r="L448" s="38">
        <v>46270</v>
      </c>
      <c r="M448" s="23" t="s">
        <v>186</v>
      </c>
      <c r="N448" s="23" t="str">
        <f>IF(COUNTIF($A$2:A448,A448)&gt;1,"DUP","OK")</f>
        <v>OK</v>
      </c>
      <c r="O448" s="23" t="str">
        <f t="shared" si="19"/>
        <v>ORD26003662</v>
      </c>
      <c r="P448" s="23" t="str">
        <f t="shared" si="20"/>
        <v>Sep</v>
      </c>
      <c r="Q448" s="23" t="str">
        <f>IF(F448="CAPTURE",IF(COUNTIF(orders!$A:$A,O448)&gt;0,"Yes","NO ORDER"),"")</f>
        <v>Yes</v>
      </c>
    </row>
    <row r="449" spans="1:17" ht="15" customHeight="1" x14ac:dyDescent="0.3">
      <c r="A449" s="23" t="s">
        <v>12926</v>
      </c>
      <c r="B449" s="23"/>
      <c r="C449" s="23" t="s">
        <v>7872</v>
      </c>
      <c r="D449" s="23" t="str">
        <f t="shared" si="18"/>
        <v>ORD26003692</v>
      </c>
      <c r="E449" s="38">
        <v>46268</v>
      </c>
      <c r="F449" s="23" t="s">
        <v>12410</v>
      </c>
      <c r="G449" s="23" t="s">
        <v>75</v>
      </c>
      <c r="H449" s="24">
        <v>1098</v>
      </c>
      <c r="I449" s="24">
        <v>0</v>
      </c>
      <c r="J449" s="24">
        <v>0</v>
      </c>
      <c r="K449" s="24">
        <v>1098</v>
      </c>
      <c r="L449" s="38">
        <v>46270</v>
      </c>
      <c r="M449" s="23" t="s">
        <v>186</v>
      </c>
      <c r="N449" s="23" t="str">
        <f>IF(COUNTIF($A$2:A449,A449)&gt;1,"DUP","OK")</f>
        <v>OK</v>
      </c>
      <c r="O449" s="23" t="str">
        <f t="shared" si="19"/>
        <v>ORD26003692</v>
      </c>
      <c r="P449" s="23" t="str">
        <f t="shared" si="20"/>
        <v>Sep</v>
      </c>
      <c r="Q449" s="23" t="str">
        <f>IF(F449="CAPTURE",IF(COUNTIF(orders!$A:$A,O449)&gt;0,"Yes","NO ORDER"),"")</f>
        <v>Yes</v>
      </c>
    </row>
    <row r="450" spans="1:17" ht="15" customHeight="1" x14ac:dyDescent="0.3">
      <c r="A450" s="23" t="s">
        <v>12927</v>
      </c>
      <c r="B450" s="23"/>
      <c r="C450" s="23" t="s">
        <v>7889</v>
      </c>
      <c r="D450" s="23" t="str">
        <f t="shared" ref="D450:D513" si="21">UPPER(SUBSTITUTE(TRIM(C450),"-",""))</f>
        <v>ORD26003700</v>
      </c>
      <c r="E450" s="38">
        <v>46268</v>
      </c>
      <c r="F450" s="23" t="s">
        <v>12410</v>
      </c>
      <c r="G450" s="23" t="s">
        <v>81</v>
      </c>
      <c r="H450" s="24">
        <v>5097</v>
      </c>
      <c r="I450" s="24">
        <v>61.16</v>
      </c>
      <c r="J450" s="24">
        <v>11.01</v>
      </c>
      <c r="K450" s="24">
        <v>5024.83</v>
      </c>
      <c r="L450" s="38">
        <v>46270</v>
      </c>
      <c r="M450" s="23" t="s">
        <v>186</v>
      </c>
      <c r="N450" s="23" t="str">
        <f>IF(COUNTIF($A$2:A450,A450)&gt;1,"DUP","OK")</f>
        <v>OK</v>
      </c>
      <c r="O450" s="23" t="str">
        <f t="shared" ref="O450:O513" si="22">IF(F450="REFUND",INDEX($D:$D,MATCH(B450,$A:$A,0)),D450)</f>
        <v>ORD26003700</v>
      </c>
      <c r="P450" s="23" t="str">
        <f t="shared" ref="P450:P513" si="23">IF(L450&gt;DATE(2026,9,30),"Oct-Due","Sep")</f>
        <v>Sep</v>
      </c>
      <c r="Q450" s="23" t="str">
        <f>IF(F450="CAPTURE",IF(COUNTIF(orders!$A:$A,O450)&gt;0,"Yes","NO ORDER"),"")</f>
        <v>Yes</v>
      </c>
    </row>
    <row r="451" spans="1:17" ht="15" customHeight="1" x14ac:dyDescent="0.3">
      <c r="A451" s="23" t="s">
        <v>12928</v>
      </c>
      <c r="B451" s="23"/>
      <c r="C451" s="23" t="s">
        <v>12929</v>
      </c>
      <c r="D451" s="23" t="str">
        <f t="shared" si="21"/>
        <v>ORD26003708</v>
      </c>
      <c r="E451" s="38">
        <v>46268</v>
      </c>
      <c r="F451" s="23" t="s">
        <v>12410</v>
      </c>
      <c r="G451" s="23" t="s">
        <v>75</v>
      </c>
      <c r="H451" s="24">
        <v>3499</v>
      </c>
      <c r="I451" s="24">
        <v>10.5</v>
      </c>
      <c r="J451" s="24">
        <v>1.89</v>
      </c>
      <c r="K451" s="24">
        <v>3486.61</v>
      </c>
      <c r="L451" s="38">
        <v>46270</v>
      </c>
      <c r="M451" s="23" t="s">
        <v>186</v>
      </c>
      <c r="N451" s="23" t="str">
        <f>IF(COUNTIF($A$2:A451,A451)&gt;1,"DUP","OK")</f>
        <v>OK</v>
      </c>
      <c r="O451" s="23" t="str">
        <f t="shared" si="22"/>
        <v>ORD26003708</v>
      </c>
      <c r="P451" s="23" t="str">
        <f t="shared" si="23"/>
        <v>Sep</v>
      </c>
      <c r="Q451" s="23" t="str">
        <f>IF(F451="CAPTURE",IF(COUNTIF(orders!$A:$A,O451)&gt;0,"Yes","NO ORDER"),"")</f>
        <v>Yes</v>
      </c>
    </row>
    <row r="452" spans="1:17" ht="15" customHeight="1" x14ac:dyDescent="0.3">
      <c r="A452" s="23" t="s">
        <v>12930</v>
      </c>
      <c r="B452" s="23"/>
      <c r="C452" s="23" t="s">
        <v>12931</v>
      </c>
      <c r="D452" s="23" t="str">
        <f t="shared" si="21"/>
        <v>ORD26003709</v>
      </c>
      <c r="E452" s="38">
        <v>46268</v>
      </c>
      <c r="F452" s="23" t="s">
        <v>12410</v>
      </c>
      <c r="G452" s="23" t="s">
        <v>79</v>
      </c>
      <c r="H452" s="24">
        <v>3298</v>
      </c>
      <c r="I452" s="24">
        <v>52.77</v>
      </c>
      <c r="J452" s="24">
        <v>9.5</v>
      </c>
      <c r="K452" s="24">
        <v>3235.73</v>
      </c>
      <c r="L452" s="38">
        <v>46270</v>
      </c>
      <c r="M452" s="23" t="s">
        <v>186</v>
      </c>
      <c r="N452" s="23" t="str">
        <f>IF(COUNTIF($A$2:A452,A452)&gt;1,"DUP","OK")</f>
        <v>OK</v>
      </c>
      <c r="O452" s="23" t="str">
        <f t="shared" si="22"/>
        <v>ORD26003709</v>
      </c>
      <c r="P452" s="23" t="str">
        <f t="shared" si="23"/>
        <v>Sep</v>
      </c>
      <c r="Q452" s="23" t="str">
        <f>IF(F452="CAPTURE",IF(COUNTIF(orders!$A:$A,O452)&gt;0,"Yes","NO ORDER"),"")</f>
        <v>Yes</v>
      </c>
    </row>
    <row r="453" spans="1:17" ht="15" customHeight="1" x14ac:dyDescent="0.3">
      <c r="A453" s="23" t="s">
        <v>12932</v>
      </c>
      <c r="B453" s="23"/>
      <c r="C453" s="23" t="s">
        <v>12933</v>
      </c>
      <c r="D453" s="23" t="str">
        <f t="shared" si="21"/>
        <v>ORD26003741</v>
      </c>
      <c r="E453" s="38">
        <v>46268</v>
      </c>
      <c r="F453" s="23" t="s">
        <v>12410</v>
      </c>
      <c r="G453" s="23" t="s">
        <v>79</v>
      </c>
      <c r="H453" s="24">
        <v>3499</v>
      </c>
      <c r="I453" s="24">
        <v>55.98</v>
      </c>
      <c r="J453" s="24">
        <v>10.08</v>
      </c>
      <c r="K453" s="24">
        <v>3432.94</v>
      </c>
      <c r="L453" s="38">
        <v>46270</v>
      </c>
      <c r="M453" s="23" t="s">
        <v>186</v>
      </c>
      <c r="N453" s="23" t="str">
        <f>IF(COUNTIF($A$2:A453,A453)&gt;1,"DUP","OK")</f>
        <v>OK</v>
      </c>
      <c r="O453" s="23" t="str">
        <f t="shared" si="22"/>
        <v>ORD26003741</v>
      </c>
      <c r="P453" s="23" t="str">
        <f t="shared" si="23"/>
        <v>Sep</v>
      </c>
      <c r="Q453" s="23" t="str">
        <f>IF(F453="CAPTURE",IF(COUNTIF(orders!$A:$A,O453)&gt;0,"Yes","NO ORDER"),"")</f>
        <v>Yes</v>
      </c>
    </row>
    <row r="454" spans="1:17" ht="15" customHeight="1" x14ac:dyDescent="0.3">
      <c r="A454" s="23" t="s">
        <v>12934</v>
      </c>
      <c r="B454" s="23"/>
      <c r="C454" s="23" t="s">
        <v>7974</v>
      </c>
      <c r="D454" s="23" t="str">
        <f t="shared" si="21"/>
        <v>ORD26003743</v>
      </c>
      <c r="E454" s="38">
        <v>46268</v>
      </c>
      <c r="F454" s="23" t="s">
        <v>12410</v>
      </c>
      <c r="G454" s="23" t="s">
        <v>79</v>
      </c>
      <c r="H454" s="24">
        <v>848</v>
      </c>
      <c r="I454" s="24">
        <v>15.26</v>
      </c>
      <c r="J454" s="24">
        <v>2.75</v>
      </c>
      <c r="K454" s="24">
        <v>829.99</v>
      </c>
      <c r="L454" s="38">
        <v>46270</v>
      </c>
      <c r="M454" s="23" t="s">
        <v>186</v>
      </c>
      <c r="N454" s="23" t="str">
        <f>IF(COUNTIF($A$2:A454,A454)&gt;1,"DUP","OK")</f>
        <v>OK</v>
      </c>
      <c r="O454" s="23" t="str">
        <f t="shared" si="22"/>
        <v>ORD26003743</v>
      </c>
      <c r="P454" s="23" t="str">
        <f t="shared" si="23"/>
        <v>Sep</v>
      </c>
      <c r="Q454" s="23" t="str">
        <f>IF(F454="CAPTURE",IF(COUNTIF(orders!$A:$A,O454)&gt;0,"Yes","NO ORDER"),"")</f>
        <v>Yes</v>
      </c>
    </row>
    <row r="455" spans="1:17" ht="15" customHeight="1" x14ac:dyDescent="0.3">
      <c r="A455" s="23" t="s">
        <v>12935</v>
      </c>
      <c r="B455" s="23"/>
      <c r="C455" s="23" t="s">
        <v>7982</v>
      </c>
      <c r="D455" s="23" t="str">
        <f t="shared" si="21"/>
        <v>ORD26003747</v>
      </c>
      <c r="E455" s="38">
        <v>46268</v>
      </c>
      <c r="F455" s="23" t="s">
        <v>12410</v>
      </c>
      <c r="G455" s="23" t="s">
        <v>75</v>
      </c>
      <c r="H455" s="24">
        <v>5298</v>
      </c>
      <c r="I455" s="24">
        <v>15.89</v>
      </c>
      <c r="J455" s="24">
        <v>2.86</v>
      </c>
      <c r="K455" s="24">
        <v>5279.25</v>
      </c>
      <c r="L455" s="38">
        <v>46270</v>
      </c>
      <c r="M455" s="23" t="s">
        <v>186</v>
      </c>
      <c r="N455" s="23" t="str">
        <f>IF(COUNTIF($A$2:A455,A455)&gt;1,"DUP","OK")</f>
        <v>OK</v>
      </c>
      <c r="O455" s="23" t="str">
        <f t="shared" si="22"/>
        <v>ORD26003747</v>
      </c>
      <c r="P455" s="23" t="str">
        <f t="shared" si="23"/>
        <v>Sep</v>
      </c>
      <c r="Q455" s="23" t="str">
        <f>IF(F455="CAPTURE",IF(COUNTIF(orders!$A:$A,O455)&gt;0,"Yes","NO ORDER"),"")</f>
        <v>Yes</v>
      </c>
    </row>
    <row r="456" spans="1:17" ht="15" customHeight="1" x14ac:dyDescent="0.3">
      <c r="A456" s="23" t="s">
        <v>12936</v>
      </c>
      <c r="B456" s="23"/>
      <c r="C456" s="23" t="s">
        <v>8044</v>
      </c>
      <c r="D456" s="23" t="str">
        <f t="shared" si="21"/>
        <v>ORD26003778</v>
      </c>
      <c r="E456" s="38">
        <v>46268</v>
      </c>
      <c r="F456" s="23" t="s">
        <v>12410</v>
      </c>
      <c r="G456" s="23" t="s">
        <v>79</v>
      </c>
      <c r="H456" s="24">
        <v>3098</v>
      </c>
      <c r="I456" s="24">
        <v>49.57</v>
      </c>
      <c r="J456" s="24">
        <v>8.92</v>
      </c>
      <c r="K456" s="24">
        <v>3039.51</v>
      </c>
      <c r="L456" s="38">
        <v>46270</v>
      </c>
      <c r="M456" s="23" t="s">
        <v>186</v>
      </c>
      <c r="N456" s="23" t="str">
        <f>IF(COUNTIF($A$2:A456,A456)&gt;1,"DUP","OK")</f>
        <v>OK</v>
      </c>
      <c r="O456" s="23" t="str">
        <f t="shared" si="22"/>
        <v>ORD26003778</v>
      </c>
      <c r="P456" s="23" t="str">
        <f t="shared" si="23"/>
        <v>Sep</v>
      </c>
      <c r="Q456" s="23" t="str">
        <f>IF(F456="CAPTURE",IF(COUNTIF(orders!$A:$A,O456)&gt;0,"Yes","NO ORDER"),"")</f>
        <v>Yes</v>
      </c>
    </row>
    <row r="457" spans="1:17" ht="15" customHeight="1" x14ac:dyDescent="0.3">
      <c r="A457" s="23" t="s">
        <v>12937</v>
      </c>
      <c r="B457" s="23"/>
      <c r="C457" s="23" t="s">
        <v>8066</v>
      </c>
      <c r="D457" s="23" t="str">
        <f t="shared" si="21"/>
        <v>ORD26003789</v>
      </c>
      <c r="E457" s="38">
        <v>46268</v>
      </c>
      <c r="F457" s="23" t="s">
        <v>12410</v>
      </c>
      <c r="G457" s="23" t="s">
        <v>79</v>
      </c>
      <c r="H457" s="24">
        <v>11297</v>
      </c>
      <c r="I457" s="24">
        <v>180.75</v>
      </c>
      <c r="J457" s="24">
        <v>32.54</v>
      </c>
      <c r="K457" s="24">
        <v>11083.71</v>
      </c>
      <c r="L457" s="38">
        <v>46270</v>
      </c>
      <c r="M457" s="23" t="s">
        <v>186</v>
      </c>
      <c r="N457" s="23" t="str">
        <f>IF(COUNTIF($A$2:A457,A457)&gt;1,"DUP","OK")</f>
        <v>OK</v>
      </c>
      <c r="O457" s="23" t="str">
        <f t="shared" si="22"/>
        <v>ORD26003789</v>
      </c>
      <c r="P457" s="23" t="str">
        <f t="shared" si="23"/>
        <v>Sep</v>
      </c>
      <c r="Q457" s="23" t="str">
        <f>IF(F457="CAPTURE",IF(COUNTIF(orders!$A:$A,O457)&gt;0,"Yes","NO ORDER"),"")</f>
        <v>Yes</v>
      </c>
    </row>
    <row r="458" spans="1:17" ht="15" customHeight="1" x14ac:dyDescent="0.3">
      <c r="A458" s="23" t="s">
        <v>12938</v>
      </c>
      <c r="B458" s="23"/>
      <c r="C458" s="23" t="s">
        <v>8118</v>
      </c>
      <c r="D458" s="23" t="str">
        <f t="shared" si="21"/>
        <v>ORD26003815</v>
      </c>
      <c r="E458" s="38">
        <v>46268</v>
      </c>
      <c r="F458" s="23" t="s">
        <v>12410</v>
      </c>
      <c r="G458" s="23" t="s">
        <v>75</v>
      </c>
      <c r="H458" s="24">
        <v>1798</v>
      </c>
      <c r="I458" s="24">
        <v>0</v>
      </c>
      <c r="J458" s="24">
        <v>0</v>
      </c>
      <c r="K458" s="24">
        <v>1798</v>
      </c>
      <c r="L458" s="38">
        <v>46270</v>
      </c>
      <c r="M458" s="23" t="s">
        <v>186</v>
      </c>
      <c r="N458" s="23" t="str">
        <f>IF(COUNTIF($A$2:A458,A458)&gt;1,"DUP","OK")</f>
        <v>OK</v>
      </c>
      <c r="O458" s="23" t="str">
        <f t="shared" si="22"/>
        <v>ORD26003815</v>
      </c>
      <c r="P458" s="23" t="str">
        <f t="shared" si="23"/>
        <v>Sep</v>
      </c>
      <c r="Q458" s="23" t="str">
        <f>IF(F458="CAPTURE",IF(COUNTIF(orders!$A:$A,O458)&gt;0,"Yes","NO ORDER"),"")</f>
        <v>Yes</v>
      </c>
    </row>
    <row r="459" spans="1:17" ht="15" customHeight="1" x14ac:dyDescent="0.3">
      <c r="A459" s="23" t="s">
        <v>12939</v>
      </c>
      <c r="B459" s="23"/>
      <c r="C459" s="23" t="s">
        <v>8198</v>
      </c>
      <c r="D459" s="23" t="str">
        <f t="shared" si="21"/>
        <v>ORD26003855</v>
      </c>
      <c r="E459" s="38">
        <v>46268</v>
      </c>
      <c r="F459" s="23" t="s">
        <v>12410</v>
      </c>
      <c r="G459" s="23" t="s">
        <v>75</v>
      </c>
      <c r="H459" s="24">
        <v>7797</v>
      </c>
      <c r="I459" s="24">
        <v>23.39</v>
      </c>
      <c r="J459" s="24">
        <v>4.21</v>
      </c>
      <c r="K459" s="24">
        <v>7769.4</v>
      </c>
      <c r="L459" s="38">
        <v>46270</v>
      </c>
      <c r="M459" s="23" t="s">
        <v>186</v>
      </c>
      <c r="N459" s="23" t="str">
        <f>IF(COUNTIF($A$2:A459,A459)&gt;1,"DUP","OK")</f>
        <v>OK</v>
      </c>
      <c r="O459" s="23" t="str">
        <f t="shared" si="22"/>
        <v>ORD26003855</v>
      </c>
      <c r="P459" s="23" t="str">
        <f t="shared" si="23"/>
        <v>Sep</v>
      </c>
      <c r="Q459" s="23" t="str">
        <f>IF(F459="CAPTURE",IF(COUNTIF(orders!$A:$A,O459)&gt;0,"Yes","NO ORDER"),"")</f>
        <v>Yes</v>
      </c>
    </row>
    <row r="460" spans="1:17" ht="15" customHeight="1" x14ac:dyDescent="0.3">
      <c r="A460" s="23" t="s">
        <v>12940</v>
      </c>
      <c r="B460" s="23"/>
      <c r="C460" s="23" t="s">
        <v>8303</v>
      </c>
      <c r="D460" s="23" t="str">
        <f t="shared" si="21"/>
        <v>ORD26003908</v>
      </c>
      <c r="E460" s="38">
        <v>46268</v>
      </c>
      <c r="F460" s="23" t="s">
        <v>12410</v>
      </c>
      <c r="G460" s="23" t="s">
        <v>75</v>
      </c>
      <c r="H460" s="24">
        <v>8798</v>
      </c>
      <c r="I460" s="24">
        <v>26.39</v>
      </c>
      <c r="J460" s="24">
        <v>4.75</v>
      </c>
      <c r="K460" s="24">
        <v>8766.86</v>
      </c>
      <c r="L460" s="38">
        <v>46270</v>
      </c>
      <c r="M460" s="23" t="s">
        <v>186</v>
      </c>
      <c r="N460" s="23" t="str">
        <f>IF(COUNTIF($A$2:A460,A460)&gt;1,"DUP","OK")</f>
        <v>OK</v>
      </c>
      <c r="O460" s="23" t="str">
        <f t="shared" si="22"/>
        <v>ORD26003908</v>
      </c>
      <c r="P460" s="23" t="str">
        <f t="shared" si="23"/>
        <v>Sep</v>
      </c>
      <c r="Q460" s="23" t="str">
        <f>IF(F460="CAPTURE",IF(COUNTIF(orders!$A:$A,O460)&gt;0,"Yes","NO ORDER"),"")</f>
        <v>Yes</v>
      </c>
    </row>
    <row r="461" spans="1:17" ht="15" customHeight="1" x14ac:dyDescent="0.3">
      <c r="A461" s="23" t="s">
        <v>12941</v>
      </c>
      <c r="B461" s="23"/>
      <c r="C461" s="23" t="s">
        <v>8321</v>
      </c>
      <c r="D461" s="23" t="str">
        <f t="shared" si="21"/>
        <v>ORD26003917</v>
      </c>
      <c r="E461" s="38">
        <v>46268</v>
      </c>
      <c r="F461" s="23" t="s">
        <v>12410</v>
      </c>
      <c r="G461" s="23" t="s">
        <v>79</v>
      </c>
      <c r="H461" s="24">
        <v>999</v>
      </c>
      <c r="I461" s="24">
        <v>17.98</v>
      </c>
      <c r="J461" s="24">
        <v>3.24</v>
      </c>
      <c r="K461" s="24">
        <v>977.78</v>
      </c>
      <c r="L461" s="38">
        <v>46270</v>
      </c>
      <c r="M461" s="23" t="s">
        <v>186</v>
      </c>
      <c r="N461" s="23" t="str">
        <f>IF(COUNTIF($A$2:A461,A461)&gt;1,"DUP","OK")</f>
        <v>OK</v>
      </c>
      <c r="O461" s="23" t="str">
        <f t="shared" si="22"/>
        <v>ORD26003917</v>
      </c>
      <c r="P461" s="23" t="str">
        <f t="shared" si="23"/>
        <v>Sep</v>
      </c>
      <c r="Q461" s="23" t="str">
        <f>IF(F461="CAPTURE",IF(COUNTIF(orders!$A:$A,O461)&gt;0,"Yes","NO ORDER"),"")</f>
        <v>Yes</v>
      </c>
    </row>
    <row r="462" spans="1:17" ht="15" customHeight="1" x14ac:dyDescent="0.3">
      <c r="A462" s="23" t="s">
        <v>12942</v>
      </c>
      <c r="B462" s="23"/>
      <c r="C462" s="23" t="s">
        <v>12943</v>
      </c>
      <c r="D462" s="23" t="str">
        <f t="shared" si="21"/>
        <v>ORD26003920</v>
      </c>
      <c r="E462" s="38">
        <v>46268</v>
      </c>
      <c r="F462" s="23" t="s">
        <v>12410</v>
      </c>
      <c r="G462" s="23" t="s">
        <v>75</v>
      </c>
      <c r="H462" s="24">
        <v>7999</v>
      </c>
      <c r="I462" s="24">
        <v>24</v>
      </c>
      <c r="J462" s="24">
        <v>4.32</v>
      </c>
      <c r="K462" s="24">
        <v>7970.68</v>
      </c>
      <c r="L462" s="38">
        <v>46270</v>
      </c>
      <c r="M462" s="23" t="s">
        <v>186</v>
      </c>
      <c r="N462" s="23" t="str">
        <f>IF(COUNTIF($A$2:A462,A462)&gt;1,"DUP","OK")</f>
        <v>OK</v>
      </c>
      <c r="O462" s="23" t="str">
        <f t="shared" si="22"/>
        <v>ORD26003920</v>
      </c>
      <c r="P462" s="23" t="str">
        <f t="shared" si="23"/>
        <v>Sep</v>
      </c>
      <c r="Q462" s="23" t="str">
        <f>IF(F462="CAPTURE",IF(COUNTIF(orders!$A:$A,O462)&gt;0,"Yes","NO ORDER"),"")</f>
        <v>Yes</v>
      </c>
    </row>
    <row r="463" spans="1:17" ht="15" customHeight="1" x14ac:dyDescent="0.3">
      <c r="A463" s="23" t="s">
        <v>12944</v>
      </c>
      <c r="B463" s="23"/>
      <c r="C463" s="23" t="s">
        <v>8339</v>
      </c>
      <c r="D463" s="23" t="str">
        <f t="shared" si="21"/>
        <v>ORD26003926</v>
      </c>
      <c r="E463" s="38">
        <v>46268</v>
      </c>
      <c r="F463" s="23" t="s">
        <v>12410</v>
      </c>
      <c r="G463" s="23" t="s">
        <v>79</v>
      </c>
      <c r="H463" s="24">
        <v>1848</v>
      </c>
      <c r="I463" s="24">
        <v>33.26</v>
      </c>
      <c r="J463" s="24">
        <v>5.99</v>
      </c>
      <c r="K463" s="24">
        <v>1808.75</v>
      </c>
      <c r="L463" s="38">
        <v>46270</v>
      </c>
      <c r="M463" s="23" t="s">
        <v>186</v>
      </c>
      <c r="N463" s="23" t="str">
        <f>IF(COUNTIF($A$2:A463,A463)&gt;1,"DUP","OK")</f>
        <v>OK</v>
      </c>
      <c r="O463" s="23" t="str">
        <f t="shared" si="22"/>
        <v>ORD26003926</v>
      </c>
      <c r="P463" s="23" t="str">
        <f t="shared" si="23"/>
        <v>Sep</v>
      </c>
      <c r="Q463" s="23" t="str">
        <f>IF(F463="CAPTURE",IF(COUNTIF(orders!$A:$A,O463)&gt;0,"Yes","NO ORDER"),"")</f>
        <v>Yes</v>
      </c>
    </row>
    <row r="464" spans="1:17" ht="15" customHeight="1" x14ac:dyDescent="0.3">
      <c r="A464" s="23" t="s">
        <v>12945</v>
      </c>
      <c r="B464" s="23"/>
      <c r="C464" s="23" t="s">
        <v>8447</v>
      </c>
      <c r="D464" s="23" t="str">
        <f t="shared" si="21"/>
        <v>ORD26003980</v>
      </c>
      <c r="E464" s="38">
        <v>46268</v>
      </c>
      <c r="F464" s="23" t="s">
        <v>12410</v>
      </c>
      <c r="G464" s="23" t="s">
        <v>75</v>
      </c>
      <c r="H464" s="24">
        <v>1799</v>
      </c>
      <c r="I464" s="24">
        <v>0</v>
      </c>
      <c r="J464" s="24">
        <v>0</v>
      </c>
      <c r="K464" s="24">
        <v>1799</v>
      </c>
      <c r="L464" s="38">
        <v>46270</v>
      </c>
      <c r="M464" s="23" t="s">
        <v>186</v>
      </c>
      <c r="N464" s="23" t="str">
        <f>IF(COUNTIF($A$2:A464,A464)&gt;1,"DUP","OK")</f>
        <v>OK</v>
      </c>
      <c r="O464" s="23" t="str">
        <f t="shared" si="22"/>
        <v>ORD26003980</v>
      </c>
      <c r="P464" s="23" t="str">
        <f t="shared" si="23"/>
        <v>Sep</v>
      </c>
      <c r="Q464" s="23" t="str">
        <f>IF(F464="CAPTURE",IF(COUNTIF(orders!$A:$A,O464)&gt;0,"Yes","NO ORDER"),"")</f>
        <v>Yes</v>
      </c>
    </row>
    <row r="465" spans="1:17" ht="15" customHeight="1" x14ac:dyDescent="0.3">
      <c r="A465" s="23" t="s">
        <v>12946</v>
      </c>
      <c r="B465" s="23"/>
      <c r="C465" s="23" t="s">
        <v>8635</v>
      </c>
      <c r="D465" s="23" t="str">
        <f t="shared" si="21"/>
        <v>ORD26004076</v>
      </c>
      <c r="E465" s="38">
        <v>46268</v>
      </c>
      <c r="F465" s="23" t="s">
        <v>12410</v>
      </c>
      <c r="G465" s="23" t="s">
        <v>75</v>
      </c>
      <c r="H465" s="24">
        <v>7999</v>
      </c>
      <c r="I465" s="24">
        <v>24</v>
      </c>
      <c r="J465" s="24">
        <v>4.32</v>
      </c>
      <c r="K465" s="24">
        <v>7970.68</v>
      </c>
      <c r="L465" s="38">
        <v>46270</v>
      </c>
      <c r="M465" s="23" t="s">
        <v>186</v>
      </c>
      <c r="N465" s="23" t="str">
        <f>IF(COUNTIF($A$2:A465,A465)&gt;1,"DUP","OK")</f>
        <v>OK</v>
      </c>
      <c r="O465" s="23" t="str">
        <f t="shared" si="22"/>
        <v>ORD26004076</v>
      </c>
      <c r="P465" s="23" t="str">
        <f t="shared" si="23"/>
        <v>Sep</v>
      </c>
      <c r="Q465" s="23" t="str">
        <f>IF(F465="CAPTURE",IF(COUNTIF(orders!$A:$A,O465)&gt;0,"Yes","NO ORDER"),"")</f>
        <v>Yes</v>
      </c>
    </row>
    <row r="466" spans="1:17" ht="15" customHeight="1" x14ac:dyDescent="0.3">
      <c r="A466" s="23" t="s">
        <v>12947</v>
      </c>
      <c r="B466" s="23"/>
      <c r="C466" s="23" t="s">
        <v>8652</v>
      </c>
      <c r="D466" s="23" t="str">
        <f t="shared" si="21"/>
        <v>ORD26004085</v>
      </c>
      <c r="E466" s="38">
        <v>46268</v>
      </c>
      <c r="F466" s="23" t="s">
        <v>12410</v>
      </c>
      <c r="G466" s="23" t="s">
        <v>75</v>
      </c>
      <c r="H466" s="24">
        <v>1499</v>
      </c>
      <c r="I466" s="24">
        <v>0</v>
      </c>
      <c r="J466" s="24">
        <v>0</v>
      </c>
      <c r="K466" s="24">
        <v>1499</v>
      </c>
      <c r="L466" s="38">
        <v>46270</v>
      </c>
      <c r="M466" s="23" t="s">
        <v>186</v>
      </c>
      <c r="N466" s="23" t="str">
        <f>IF(COUNTIF($A$2:A466,A466)&gt;1,"DUP","OK")</f>
        <v>OK</v>
      </c>
      <c r="O466" s="23" t="str">
        <f t="shared" si="22"/>
        <v>ORD26004085</v>
      </c>
      <c r="P466" s="23" t="str">
        <f t="shared" si="23"/>
        <v>Sep</v>
      </c>
      <c r="Q466" s="23" t="str">
        <f>IF(F466="CAPTURE",IF(COUNTIF(orders!$A:$A,O466)&gt;0,"Yes","NO ORDER"),"")</f>
        <v>Yes</v>
      </c>
    </row>
    <row r="467" spans="1:17" ht="15" customHeight="1" x14ac:dyDescent="0.3">
      <c r="A467" s="23" t="s">
        <v>12948</v>
      </c>
      <c r="B467" s="23"/>
      <c r="C467" s="23" t="s">
        <v>12949</v>
      </c>
      <c r="D467" s="23" t="str">
        <f t="shared" si="21"/>
        <v>ORD26004113</v>
      </c>
      <c r="E467" s="38">
        <v>46268</v>
      </c>
      <c r="F467" s="23" t="s">
        <v>12410</v>
      </c>
      <c r="G467" s="23" t="s">
        <v>75</v>
      </c>
      <c r="H467" s="24">
        <v>999</v>
      </c>
      <c r="I467" s="24">
        <v>0</v>
      </c>
      <c r="J467" s="24">
        <v>0</v>
      </c>
      <c r="K467" s="24">
        <v>999</v>
      </c>
      <c r="L467" s="38">
        <v>46270</v>
      </c>
      <c r="M467" s="23" t="s">
        <v>186</v>
      </c>
      <c r="N467" s="23" t="str">
        <f>IF(COUNTIF($A$2:A467,A467)&gt;1,"DUP","OK")</f>
        <v>OK</v>
      </c>
      <c r="O467" s="23" t="str">
        <f t="shared" si="22"/>
        <v>ORD26004113</v>
      </c>
      <c r="P467" s="23" t="str">
        <f t="shared" si="23"/>
        <v>Sep</v>
      </c>
      <c r="Q467" s="23" t="str">
        <f>IF(F467="CAPTURE",IF(COUNTIF(orders!$A:$A,O467)&gt;0,"Yes","NO ORDER"),"")</f>
        <v>Yes</v>
      </c>
    </row>
    <row r="468" spans="1:17" ht="15" customHeight="1" x14ac:dyDescent="0.3">
      <c r="A468" s="23" t="s">
        <v>12950</v>
      </c>
      <c r="B468" s="23"/>
      <c r="C468" s="23" t="s">
        <v>12951</v>
      </c>
      <c r="D468" s="23" t="str">
        <f t="shared" si="21"/>
        <v>ORD26004170</v>
      </c>
      <c r="E468" s="38">
        <v>46268</v>
      </c>
      <c r="F468" s="23" t="s">
        <v>12410</v>
      </c>
      <c r="G468" s="23" t="s">
        <v>79</v>
      </c>
      <c r="H468" s="24">
        <v>299</v>
      </c>
      <c r="I468" s="24">
        <v>5.38</v>
      </c>
      <c r="J468" s="24">
        <v>0.97</v>
      </c>
      <c r="K468" s="24">
        <v>292.64999999999998</v>
      </c>
      <c r="L468" s="38">
        <v>46270</v>
      </c>
      <c r="M468" s="23" t="s">
        <v>186</v>
      </c>
      <c r="N468" s="23" t="str">
        <f>IF(COUNTIF($A$2:A468,A468)&gt;1,"DUP","OK")</f>
        <v>OK</v>
      </c>
      <c r="O468" s="23" t="str">
        <f t="shared" si="22"/>
        <v>ORD26004170</v>
      </c>
      <c r="P468" s="23" t="str">
        <f t="shared" si="23"/>
        <v>Sep</v>
      </c>
      <c r="Q468" s="23" t="str">
        <f>IF(F468="CAPTURE",IF(COUNTIF(orders!$A:$A,O468)&gt;0,"Yes","NO ORDER"),"")</f>
        <v>Yes</v>
      </c>
    </row>
    <row r="469" spans="1:17" ht="15" customHeight="1" x14ac:dyDescent="0.3">
      <c r="A469" s="23" t="s">
        <v>12952</v>
      </c>
      <c r="B469" s="23"/>
      <c r="C469" s="23" t="s">
        <v>8829</v>
      </c>
      <c r="D469" s="23" t="str">
        <f t="shared" si="21"/>
        <v>ORD26004177</v>
      </c>
      <c r="E469" s="38">
        <v>46268</v>
      </c>
      <c r="F469" s="23" t="s">
        <v>12410</v>
      </c>
      <c r="G469" s="23" t="s">
        <v>79</v>
      </c>
      <c r="H469" s="24">
        <v>7999</v>
      </c>
      <c r="I469" s="24">
        <v>127.98</v>
      </c>
      <c r="J469" s="24">
        <v>23.04</v>
      </c>
      <c r="K469" s="24">
        <v>7847.98</v>
      </c>
      <c r="L469" s="38">
        <v>46270</v>
      </c>
      <c r="M469" s="23" t="s">
        <v>186</v>
      </c>
      <c r="N469" s="23" t="str">
        <f>IF(COUNTIF($A$2:A469,A469)&gt;1,"DUP","OK")</f>
        <v>OK</v>
      </c>
      <c r="O469" s="23" t="str">
        <f t="shared" si="22"/>
        <v>ORD26004177</v>
      </c>
      <c r="P469" s="23" t="str">
        <f t="shared" si="23"/>
        <v>Sep</v>
      </c>
      <c r="Q469" s="23" t="str">
        <f>IF(F469="CAPTURE",IF(COUNTIF(orders!$A:$A,O469)&gt;0,"Yes","NO ORDER"),"")</f>
        <v>Yes</v>
      </c>
    </row>
    <row r="470" spans="1:17" ht="15" customHeight="1" x14ac:dyDescent="0.3">
      <c r="A470" s="23" t="s">
        <v>12953</v>
      </c>
      <c r="B470" s="23"/>
      <c r="C470" s="23" t="s">
        <v>8854</v>
      </c>
      <c r="D470" s="23" t="str">
        <f t="shared" si="21"/>
        <v>ORD26004189</v>
      </c>
      <c r="E470" s="38">
        <v>46268</v>
      </c>
      <c r="F470" s="23" t="s">
        <v>12410</v>
      </c>
      <c r="G470" s="23" t="s">
        <v>79</v>
      </c>
      <c r="H470" s="24">
        <v>8998</v>
      </c>
      <c r="I470" s="24">
        <v>143.97</v>
      </c>
      <c r="J470" s="24">
        <v>25.91</v>
      </c>
      <c r="K470" s="24">
        <v>8828.1200000000008</v>
      </c>
      <c r="L470" s="38">
        <v>46270</v>
      </c>
      <c r="M470" s="23" t="s">
        <v>186</v>
      </c>
      <c r="N470" s="23" t="str">
        <f>IF(COUNTIF($A$2:A470,A470)&gt;1,"DUP","OK")</f>
        <v>OK</v>
      </c>
      <c r="O470" s="23" t="str">
        <f t="shared" si="22"/>
        <v>ORD26004189</v>
      </c>
      <c r="P470" s="23" t="str">
        <f t="shared" si="23"/>
        <v>Sep</v>
      </c>
      <c r="Q470" s="23" t="str">
        <f>IF(F470="CAPTURE",IF(COUNTIF(orders!$A:$A,O470)&gt;0,"Yes","NO ORDER"),"")</f>
        <v>Yes</v>
      </c>
    </row>
    <row r="471" spans="1:17" ht="15" customHeight="1" x14ac:dyDescent="0.3">
      <c r="A471" s="23" t="s">
        <v>12954</v>
      </c>
      <c r="B471" s="23"/>
      <c r="C471" s="23" t="s">
        <v>8898</v>
      </c>
      <c r="D471" s="23" t="str">
        <f t="shared" si="21"/>
        <v>ORD26004211</v>
      </c>
      <c r="E471" s="38">
        <v>46268</v>
      </c>
      <c r="F471" s="23" t="s">
        <v>12410</v>
      </c>
      <c r="G471" s="23" t="s">
        <v>75</v>
      </c>
      <c r="H471" s="24">
        <v>4597</v>
      </c>
      <c r="I471" s="24">
        <v>13.79</v>
      </c>
      <c r="J471" s="24">
        <v>2.48</v>
      </c>
      <c r="K471" s="24">
        <v>4580.7299999999996</v>
      </c>
      <c r="L471" s="38">
        <v>46270</v>
      </c>
      <c r="M471" s="23" t="s">
        <v>186</v>
      </c>
      <c r="N471" s="23" t="str">
        <f>IF(COUNTIF($A$2:A471,A471)&gt;1,"DUP","OK")</f>
        <v>OK</v>
      </c>
      <c r="O471" s="23" t="str">
        <f t="shared" si="22"/>
        <v>ORD26004211</v>
      </c>
      <c r="P471" s="23" t="str">
        <f t="shared" si="23"/>
        <v>Sep</v>
      </c>
      <c r="Q471" s="23" t="str">
        <f>IF(F471="CAPTURE",IF(COUNTIF(orders!$A:$A,O471)&gt;0,"Yes","NO ORDER"),"")</f>
        <v>Yes</v>
      </c>
    </row>
    <row r="472" spans="1:17" ht="15" customHeight="1" x14ac:dyDescent="0.3">
      <c r="A472" s="23" t="s">
        <v>12955</v>
      </c>
      <c r="B472" s="23"/>
      <c r="C472" s="23" t="s">
        <v>9096</v>
      </c>
      <c r="D472" s="23" t="str">
        <f t="shared" si="21"/>
        <v>ORD26004310</v>
      </c>
      <c r="E472" s="38">
        <v>46268</v>
      </c>
      <c r="F472" s="23" t="s">
        <v>12410</v>
      </c>
      <c r="G472" s="23" t="s">
        <v>81</v>
      </c>
      <c r="H472" s="24">
        <v>3598</v>
      </c>
      <c r="I472" s="24">
        <v>43.18</v>
      </c>
      <c r="J472" s="24">
        <v>7.77</v>
      </c>
      <c r="K472" s="24">
        <v>3547.05</v>
      </c>
      <c r="L472" s="38">
        <v>46270</v>
      </c>
      <c r="M472" s="23" t="s">
        <v>186</v>
      </c>
      <c r="N472" s="23" t="str">
        <f>IF(COUNTIF($A$2:A472,A472)&gt;1,"DUP","OK")</f>
        <v>OK</v>
      </c>
      <c r="O472" s="23" t="str">
        <f t="shared" si="22"/>
        <v>ORD26004310</v>
      </c>
      <c r="P472" s="23" t="str">
        <f t="shared" si="23"/>
        <v>Sep</v>
      </c>
      <c r="Q472" s="23" t="str">
        <f>IF(F472="CAPTURE",IF(COUNTIF(orders!$A:$A,O472)&gt;0,"Yes","NO ORDER"),"")</f>
        <v>Yes</v>
      </c>
    </row>
    <row r="473" spans="1:17" ht="15" customHeight="1" x14ac:dyDescent="0.3">
      <c r="A473" s="23" t="s">
        <v>12956</v>
      </c>
      <c r="B473" s="23"/>
      <c r="C473" s="23" t="s">
        <v>12957</v>
      </c>
      <c r="D473" s="23" t="str">
        <f t="shared" si="21"/>
        <v>ORD26004314</v>
      </c>
      <c r="E473" s="38">
        <v>46268</v>
      </c>
      <c r="F473" s="23" t="s">
        <v>12410</v>
      </c>
      <c r="G473" s="23" t="s">
        <v>75</v>
      </c>
      <c r="H473" s="24">
        <v>2499</v>
      </c>
      <c r="I473" s="24">
        <v>7.5</v>
      </c>
      <c r="J473" s="24">
        <v>1.35</v>
      </c>
      <c r="K473" s="24">
        <v>2490.15</v>
      </c>
      <c r="L473" s="38">
        <v>46270</v>
      </c>
      <c r="M473" s="23" t="s">
        <v>186</v>
      </c>
      <c r="N473" s="23" t="str">
        <f>IF(COUNTIF($A$2:A473,A473)&gt;1,"DUP","OK")</f>
        <v>OK</v>
      </c>
      <c r="O473" s="23" t="str">
        <f t="shared" si="22"/>
        <v>ORD26004314</v>
      </c>
      <c r="P473" s="23" t="str">
        <f t="shared" si="23"/>
        <v>Sep</v>
      </c>
      <c r="Q473" s="23" t="str">
        <f>IF(F473="CAPTURE",IF(COUNTIF(orders!$A:$A,O473)&gt;0,"Yes","NO ORDER"),"")</f>
        <v>Yes</v>
      </c>
    </row>
    <row r="474" spans="1:17" ht="15" customHeight="1" x14ac:dyDescent="0.3">
      <c r="A474" s="23" t="s">
        <v>12958</v>
      </c>
      <c r="B474" s="23"/>
      <c r="C474" s="23" t="s">
        <v>9217</v>
      </c>
      <c r="D474" s="23" t="str">
        <f t="shared" si="21"/>
        <v>ORD26004371</v>
      </c>
      <c r="E474" s="38">
        <v>46268</v>
      </c>
      <c r="F474" s="23" t="s">
        <v>12410</v>
      </c>
      <c r="G474" s="23" t="s">
        <v>75</v>
      </c>
      <c r="H474" s="24">
        <v>4999</v>
      </c>
      <c r="I474" s="24">
        <v>15</v>
      </c>
      <c r="J474" s="24">
        <v>2.7</v>
      </c>
      <c r="K474" s="24">
        <v>4981.3</v>
      </c>
      <c r="L474" s="38">
        <v>46270</v>
      </c>
      <c r="M474" s="23" t="s">
        <v>186</v>
      </c>
      <c r="N474" s="23" t="str">
        <f>IF(COUNTIF($A$2:A474,A474)&gt;1,"DUP","OK")</f>
        <v>OK</v>
      </c>
      <c r="O474" s="23" t="str">
        <f t="shared" si="22"/>
        <v>ORD26004371</v>
      </c>
      <c r="P474" s="23" t="str">
        <f t="shared" si="23"/>
        <v>Sep</v>
      </c>
      <c r="Q474" s="23" t="str">
        <f>IF(F474="CAPTURE",IF(COUNTIF(orders!$A:$A,O474)&gt;0,"Yes","NO ORDER"),"")</f>
        <v>Yes</v>
      </c>
    </row>
    <row r="475" spans="1:17" ht="15" customHeight="1" x14ac:dyDescent="0.3">
      <c r="A475" s="23" t="s">
        <v>12959</v>
      </c>
      <c r="B475" s="23"/>
      <c r="C475" s="23" t="s">
        <v>12960</v>
      </c>
      <c r="D475" s="23" t="str">
        <f t="shared" si="21"/>
        <v>ORD26004402</v>
      </c>
      <c r="E475" s="38">
        <v>46268</v>
      </c>
      <c r="F475" s="23" t="s">
        <v>12410</v>
      </c>
      <c r="G475" s="23" t="s">
        <v>79</v>
      </c>
      <c r="H475" s="24">
        <v>999</v>
      </c>
      <c r="I475" s="24">
        <v>17.98</v>
      </c>
      <c r="J475" s="24">
        <v>3.24</v>
      </c>
      <c r="K475" s="24">
        <v>977.78</v>
      </c>
      <c r="L475" s="38">
        <v>46270</v>
      </c>
      <c r="M475" s="23" t="s">
        <v>186</v>
      </c>
      <c r="N475" s="23" t="str">
        <f>IF(COUNTIF($A$2:A475,A475)&gt;1,"DUP","OK")</f>
        <v>OK</v>
      </c>
      <c r="O475" s="23" t="str">
        <f t="shared" si="22"/>
        <v>ORD26004402</v>
      </c>
      <c r="P475" s="23" t="str">
        <f t="shared" si="23"/>
        <v>Sep</v>
      </c>
      <c r="Q475" s="23" t="str">
        <f>IF(F475="CAPTURE",IF(COUNTIF(orders!$A:$A,O475)&gt;0,"Yes","NO ORDER"),"")</f>
        <v>Yes</v>
      </c>
    </row>
    <row r="476" spans="1:17" ht="15" customHeight="1" x14ac:dyDescent="0.3">
      <c r="A476" s="23" t="s">
        <v>12961</v>
      </c>
      <c r="B476" s="23"/>
      <c r="C476" s="23" t="s">
        <v>12962</v>
      </c>
      <c r="D476" s="23" t="str">
        <f t="shared" si="21"/>
        <v>ORD26004403</v>
      </c>
      <c r="E476" s="38">
        <v>46268</v>
      </c>
      <c r="F476" s="23" t="s">
        <v>12410</v>
      </c>
      <c r="G476" s="23" t="s">
        <v>79</v>
      </c>
      <c r="H476" s="24">
        <v>2798</v>
      </c>
      <c r="I476" s="24">
        <v>44.77</v>
      </c>
      <c r="J476" s="24">
        <v>8.06</v>
      </c>
      <c r="K476" s="24">
        <v>2745.17</v>
      </c>
      <c r="L476" s="38">
        <v>46270</v>
      </c>
      <c r="M476" s="23" t="s">
        <v>186</v>
      </c>
      <c r="N476" s="23" t="str">
        <f>IF(COUNTIF($A$2:A476,A476)&gt;1,"DUP","OK")</f>
        <v>OK</v>
      </c>
      <c r="O476" s="23" t="str">
        <f t="shared" si="22"/>
        <v>ORD26004403</v>
      </c>
      <c r="P476" s="23" t="str">
        <f t="shared" si="23"/>
        <v>Sep</v>
      </c>
      <c r="Q476" s="23" t="str">
        <f>IF(F476="CAPTURE",IF(COUNTIF(orders!$A:$A,O476)&gt;0,"Yes","NO ORDER"),"")</f>
        <v>Yes</v>
      </c>
    </row>
    <row r="477" spans="1:17" ht="15" customHeight="1" x14ac:dyDescent="0.3">
      <c r="A477" s="23" t="s">
        <v>12963</v>
      </c>
      <c r="B477" s="23"/>
      <c r="C477" s="23" t="s">
        <v>9310</v>
      </c>
      <c r="D477" s="23" t="str">
        <f t="shared" si="21"/>
        <v>ORD26004418</v>
      </c>
      <c r="E477" s="38">
        <v>46268</v>
      </c>
      <c r="F477" s="23" t="s">
        <v>12410</v>
      </c>
      <c r="G477" s="23" t="s">
        <v>75</v>
      </c>
      <c r="H477" s="24">
        <v>3499</v>
      </c>
      <c r="I477" s="24">
        <v>10.5</v>
      </c>
      <c r="J477" s="24">
        <v>1.89</v>
      </c>
      <c r="K477" s="24">
        <v>3486.61</v>
      </c>
      <c r="L477" s="38">
        <v>46270</v>
      </c>
      <c r="M477" s="23" t="s">
        <v>186</v>
      </c>
      <c r="N477" s="23" t="str">
        <f>IF(COUNTIF($A$2:A477,A477)&gt;1,"DUP","OK")</f>
        <v>OK</v>
      </c>
      <c r="O477" s="23" t="str">
        <f t="shared" si="22"/>
        <v>ORD26004418</v>
      </c>
      <c r="P477" s="23" t="str">
        <f t="shared" si="23"/>
        <v>Sep</v>
      </c>
      <c r="Q477" s="23" t="str">
        <f>IF(F477="CAPTURE",IF(COUNTIF(orders!$A:$A,O477)&gt;0,"Yes","NO ORDER"),"")</f>
        <v>Yes</v>
      </c>
    </row>
    <row r="478" spans="1:17" ht="15" customHeight="1" x14ac:dyDescent="0.3">
      <c r="A478" s="23" t="s">
        <v>12964</v>
      </c>
      <c r="B478" s="23"/>
      <c r="C478" s="23" t="s">
        <v>9354</v>
      </c>
      <c r="D478" s="23" t="str">
        <f t="shared" si="21"/>
        <v>ORD26004441</v>
      </c>
      <c r="E478" s="38">
        <v>46268</v>
      </c>
      <c r="F478" s="23" t="s">
        <v>12410</v>
      </c>
      <c r="G478" s="23" t="s">
        <v>75</v>
      </c>
      <c r="H478" s="24">
        <v>1498</v>
      </c>
      <c r="I478" s="24">
        <v>0</v>
      </c>
      <c r="J478" s="24">
        <v>0</v>
      </c>
      <c r="K478" s="24">
        <v>1498</v>
      </c>
      <c r="L478" s="38">
        <v>46270</v>
      </c>
      <c r="M478" s="23" t="s">
        <v>186</v>
      </c>
      <c r="N478" s="23" t="str">
        <f>IF(COUNTIF($A$2:A478,A478)&gt;1,"DUP","OK")</f>
        <v>OK</v>
      </c>
      <c r="O478" s="23" t="str">
        <f t="shared" si="22"/>
        <v>ORD26004441</v>
      </c>
      <c r="P478" s="23" t="str">
        <f t="shared" si="23"/>
        <v>Sep</v>
      </c>
      <c r="Q478" s="23" t="str">
        <f>IF(F478="CAPTURE",IF(COUNTIF(orders!$A:$A,O478)&gt;0,"Yes","NO ORDER"),"")</f>
        <v>Yes</v>
      </c>
    </row>
    <row r="479" spans="1:17" ht="15" customHeight="1" x14ac:dyDescent="0.3">
      <c r="A479" s="23" t="s">
        <v>12965</v>
      </c>
      <c r="B479" s="23"/>
      <c r="C479" s="23" t="s">
        <v>9362</v>
      </c>
      <c r="D479" s="23" t="str">
        <f t="shared" si="21"/>
        <v>ORD26004445</v>
      </c>
      <c r="E479" s="38">
        <v>46268</v>
      </c>
      <c r="F479" s="23" t="s">
        <v>12410</v>
      </c>
      <c r="G479" s="23" t="s">
        <v>77</v>
      </c>
      <c r="H479" s="24">
        <v>4147</v>
      </c>
      <c r="I479" s="24">
        <v>70.5</v>
      </c>
      <c r="J479" s="24">
        <v>12.69</v>
      </c>
      <c r="K479" s="24">
        <v>4063.81</v>
      </c>
      <c r="L479" s="38">
        <v>46270</v>
      </c>
      <c r="M479" s="23" t="s">
        <v>186</v>
      </c>
      <c r="N479" s="23" t="str">
        <f>IF(COUNTIF($A$2:A479,A479)&gt;1,"DUP","OK")</f>
        <v>OK</v>
      </c>
      <c r="O479" s="23" t="str">
        <f t="shared" si="22"/>
        <v>ORD26004445</v>
      </c>
      <c r="P479" s="23" t="str">
        <f t="shared" si="23"/>
        <v>Sep</v>
      </c>
      <c r="Q479" s="23" t="str">
        <f>IF(F479="CAPTURE",IF(COUNTIF(orders!$A:$A,O479)&gt;0,"Yes","NO ORDER"),"")</f>
        <v>Yes</v>
      </c>
    </row>
    <row r="480" spans="1:17" ht="15" customHeight="1" x14ac:dyDescent="0.3">
      <c r="A480" s="23" t="s">
        <v>12966</v>
      </c>
      <c r="B480" s="23"/>
      <c r="C480" s="23" t="s">
        <v>9448</v>
      </c>
      <c r="D480" s="23" t="str">
        <f t="shared" si="21"/>
        <v>ORD26004488</v>
      </c>
      <c r="E480" s="38">
        <v>46268</v>
      </c>
      <c r="F480" s="23" t="s">
        <v>12410</v>
      </c>
      <c r="G480" s="23" t="s">
        <v>79</v>
      </c>
      <c r="H480" s="24">
        <v>1998</v>
      </c>
      <c r="I480" s="24">
        <v>35.96</v>
      </c>
      <c r="J480" s="24">
        <v>6.47</v>
      </c>
      <c r="K480" s="24">
        <v>1955.57</v>
      </c>
      <c r="L480" s="38">
        <v>46270</v>
      </c>
      <c r="M480" s="23" t="s">
        <v>186</v>
      </c>
      <c r="N480" s="23" t="str">
        <f>IF(COUNTIF($A$2:A480,A480)&gt;1,"DUP","OK")</f>
        <v>OK</v>
      </c>
      <c r="O480" s="23" t="str">
        <f t="shared" si="22"/>
        <v>ORD26004488</v>
      </c>
      <c r="P480" s="23" t="str">
        <f t="shared" si="23"/>
        <v>Sep</v>
      </c>
      <c r="Q480" s="23" t="str">
        <f>IF(F480="CAPTURE",IF(COUNTIF(orders!$A:$A,O480)&gt;0,"Yes","NO ORDER"),"")</f>
        <v>Yes</v>
      </c>
    </row>
    <row r="481" spans="1:17" ht="15" customHeight="1" x14ac:dyDescent="0.3">
      <c r="A481" s="23" t="s">
        <v>12967</v>
      </c>
      <c r="B481" s="23"/>
      <c r="C481" s="23" t="s">
        <v>9452</v>
      </c>
      <c r="D481" s="23" t="str">
        <f t="shared" si="21"/>
        <v>ORD26004490</v>
      </c>
      <c r="E481" s="38">
        <v>46268</v>
      </c>
      <c r="F481" s="23" t="s">
        <v>12410</v>
      </c>
      <c r="G481" s="23" t="s">
        <v>75</v>
      </c>
      <c r="H481" s="24">
        <v>6847</v>
      </c>
      <c r="I481" s="24">
        <v>20.54</v>
      </c>
      <c r="J481" s="24">
        <v>3.7</v>
      </c>
      <c r="K481" s="24">
        <v>6822.76</v>
      </c>
      <c r="L481" s="38">
        <v>46270</v>
      </c>
      <c r="M481" s="23" t="s">
        <v>186</v>
      </c>
      <c r="N481" s="23" t="str">
        <f>IF(COUNTIF($A$2:A481,A481)&gt;1,"DUP","OK")</f>
        <v>OK</v>
      </c>
      <c r="O481" s="23" t="str">
        <f t="shared" si="22"/>
        <v>ORD26004490</v>
      </c>
      <c r="P481" s="23" t="str">
        <f t="shared" si="23"/>
        <v>Sep</v>
      </c>
      <c r="Q481" s="23" t="str">
        <f>IF(F481="CAPTURE",IF(COUNTIF(orders!$A:$A,O481)&gt;0,"Yes","NO ORDER"),"")</f>
        <v>Yes</v>
      </c>
    </row>
    <row r="482" spans="1:17" ht="15" customHeight="1" x14ac:dyDescent="0.3">
      <c r="A482" s="23" t="s">
        <v>12968</v>
      </c>
      <c r="B482" s="23"/>
      <c r="C482" s="23" t="s">
        <v>9465</v>
      </c>
      <c r="D482" s="23" t="str">
        <f t="shared" si="21"/>
        <v>ORD26004496</v>
      </c>
      <c r="E482" s="38">
        <v>46268</v>
      </c>
      <c r="F482" s="23" t="s">
        <v>12410</v>
      </c>
      <c r="G482" s="23" t="s">
        <v>81</v>
      </c>
      <c r="H482" s="24">
        <v>1299</v>
      </c>
      <c r="I482" s="24">
        <v>19.489999999999998</v>
      </c>
      <c r="J482" s="24">
        <v>3.51</v>
      </c>
      <c r="K482" s="24">
        <v>1276</v>
      </c>
      <c r="L482" s="38">
        <v>46270</v>
      </c>
      <c r="M482" s="23" t="s">
        <v>186</v>
      </c>
      <c r="N482" s="23" t="str">
        <f>IF(COUNTIF($A$2:A482,A482)&gt;1,"DUP","OK")</f>
        <v>OK</v>
      </c>
      <c r="O482" s="23" t="str">
        <f t="shared" si="22"/>
        <v>ORD26004496</v>
      </c>
      <c r="P482" s="23" t="str">
        <f t="shared" si="23"/>
        <v>Sep</v>
      </c>
      <c r="Q482" s="23" t="str">
        <f>IF(F482="CAPTURE",IF(COUNTIF(orders!$A:$A,O482)&gt;0,"Yes","NO ORDER"),"")</f>
        <v>Yes</v>
      </c>
    </row>
    <row r="483" spans="1:17" ht="15" customHeight="1" x14ac:dyDescent="0.3">
      <c r="A483" s="23" t="s">
        <v>12969</v>
      </c>
      <c r="B483" s="23"/>
      <c r="C483" s="23" t="s">
        <v>9678</v>
      </c>
      <c r="D483" s="23" t="str">
        <f t="shared" si="21"/>
        <v>ORD26004603</v>
      </c>
      <c r="E483" s="38">
        <v>46268</v>
      </c>
      <c r="F483" s="23" t="s">
        <v>12410</v>
      </c>
      <c r="G483" s="23" t="s">
        <v>79</v>
      </c>
      <c r="H483" s="24">
        <v>599</v>
      </c>
      <c r="I483" s="24">
        <v>10.78</v>
      </c>
      <c r="J483" s="24">
        <v>1.94</v>
      </c>
      <c r="K483" s="24">
        <v>586.28</v>
      </c>
      <c r="L483" s="38">
        <v>46270</v>
      </c>
      <c r="M483" s="23" t="s">
        <v>186</v>
      </c>
      <c r="N483" s="23" t="str">
        <f>IF(COUNTIF($A$2:A483,A483)&gt;1,"DUP","OK")</f>
        <v>OK</v>
      </c>
      <c r="O483" s="23" t="str">
        <f t="shared" si="22"/>
        <v>ORD26004603</v>
      </c>
      <c r="P483" s="23" t="str">
        <f t="shared" si="23"/>
        <v>Sep</v>
      </c>
      <c r="Q483" s="23" t="str">
        <f>IF(F483="CAPTURE",IF(COUNTIF(orders!$A:$A,O483)&gt;0,"Yes","NO ORDER"),"")</f>
        <v>Yes</v>
      </c>
    </row>
    <row r="484" spans="1:17" ht="15" customHeight="1" x14ac:dyDescent="0.3">
      <c r="A484" s="23" t="s">
        <v>12970</v>
      </c>
      <c r="B484" s="23"/>
      <c r="C484" s="23" t="s">
        <v>9791</v>
      </c>
      <c r="D484" s="23" t="str">
        <f t="shared" si="21"/>
        <v>ORD26004661</v>
      </c>
      <c r="E484" s="38">
        <v>46268</v>
      </c>
      <c r="F484" s="23" t="s">
        <v>12410</v>
      </c>
      <c r="G484" s="23" t="s">
        <v>75</v>
      </c>
      <c r="H484" s="24">
        <v>2499</v>
      </c>
      <c r="I484" s="24">
        <v>7.5</v>
      </c>
      <c r="J484" s="24">
        <v>1.35</v>
      </c>
      <c r="K484" s="24">
        <v>2490.15</v>
      </c>
      <c r="L484" s="38">
        <v>46270</v>
      </c>
      <c r="M484" s="23" t="s">
        <v>186</v>
      </c>
      <c r="N484" s="23" t="str">
        <f>IF(COUNTIF($A$2:A484,A484)&gt;1,"DUP","OK")</f>
        <v>OK</v>
      </c>
      <c r="O484" s="23" t="str">
        <f t="shared" si="22"/>
        <v>ORD26004661</v>
      </c>
      <c r="P484" s="23" t="str">
        <f t="shared" si="23"/>
        <v>Sep</v>
      </c>
      <c r="Q484" s="23" t="str">
        <f>IF(F484="CAPTURE",IF(COUNTIF(orders!$A:$A,O484)&gt;0,"Yes","NO ORDER"),"")</f>
        <v>Yes</v>
      </c>
    </row>
    <row r="485" spans="1:17" ht="15" customHeight="1" x14ac:dyDescent="0.3">
      <c r="A485" s="23" t="s">
        <v>12971</v>
      </c>
      <c r="B485" s="23"/>
      <c r="C485" s="23" t="s">
        <v>9876</v>
      </c>
      <c r="D485" s="23" t="str">
        <f t="shared" si="21"/>
        <v>ORD26004704</v>
      </c>
      <c r="E485" s="38">
        <v>46268</v>
      </c>
      <c r="F485" s="23" t="s">
        <v>12410</v>
      </c>
      <c r="G485" s="23" t="s">
        <v>75</v>
      </c>
      <c r="H485" s="24">
        <v>2998</v>
      </c>
      <c r="I485" s="24">
        <v>8.99</v>
      </c>
      <c r="J485" s="24">
        <v>1.62</v>
      </c>
      <c r="K485" s="24">
        <v>2987.39</v>
      </c>
      <c r="L485" s="38">
        <v>46270</v>
      </c>
      <c r="M485" s="23" t="s">
        <v>186</v>
      </c>
      <c r="N485" s="23" t="str">
        <f>IF(COUNTIF($A$2:A485,A485)&gt;1,"DUP","OK")</f>
        <v>OK</v>
      </c>
      <c r="O485" s="23" t="str">
        <f t="shared" si="22"/>
        <v>ORD26004704</v>
      </c>
      <c r="P485" s="23" t="str">
        <f t="shared" si="23"/>
        <v>Sep</v>
      </c>
      <c r="Q485" s="23" t="str">
        <f>IF(F485="CAPTURE",IF(COUNTIF(orders!$A:$A,O485)&gt;0,"Yes","NO ORDER"),"")</f>
        <v>Yes</v>
      </c>
    </row>
    <row r="486" spans="1:17" ht="15" customHeight="1" x14ac:dyDescent="0.3">
      <c r="A486" s="23" t="s">
        <v>12972</v>
      </c>
      <c r="B486" s="23"/>
      <c r="C486" s="23" t="s">
        <v>9880</v>
      </c>
      <c r="D486" s="23" t="str">
        <f t="shared" si="21"/>
        <v>ORD26004706</v>
      </c>
      <c r="E486" s="38">
        <v>46268</v>
      </c>
      <c r="F486" s="23" t="s">
        <v>12410</v>
      </c>
      <c r="G486" s="23" t="s">
        <v>77</v>
      </c>
      <c r="H486" s="24">
        <v>8348</v>
      </c>
      <c r="I486" s="24">
        <v>141.91999999999999</v>
      </c>
      <c r="J486" s="24">
        <v>25.55</v>
      </c>
      <c r="K486" s="24">
        <v>8180.53</v>
      </c>
      <c r="L486" s="38">
        <v>46270</v>
      </c>
      <c r="M486" s="23" t="s">
        <v>186</v>
      </c>
      <c r="N486" s="23" t="str">
        <f>IF(COUNTIF($A$2:A486,A486)&gt;1,"DUP","OK")</f>
        <v>OK</v>
      </c>
      <c r="O486" s="23" t="str">
        <f t="shared" si="22"/>
        <v>ORD26004706</v>
      </c>
      <c r="P486" s="23" t="str">
        <f t="shared" si="23"/>
        <v>Sep</v>
      </c>
      <c r="Q486" s="23" t="str">
        <f>IF(F486="CAPTURE",IF(COUNTIF(orders!$A:$A,O486)&gt;0,"Yes","NO ORDER"),"")</f>
        <v>Yes</v>
      </c>
    </row>
    <row r="487" spans="1:17" ht="15" customHeight="1" x14ac:dyDescent="0.3">
      <c r="A487" s="23" t="s">
        <v>12973</v>
      </c>
      <c r="B487" s="23"/>
      <c r="C487" s="23" t="s">
        <v>9893</v>
      </c>
      <c r="D487" s="23" t="str">
        <f t="shared" si="21"/>
        <v>ORD26004713</v>
      </c>
      <c r="E487" s="38">
        <v>46268</v>
      </c>
      <c r="F487" s="23" t="s">
        <v>12410</v>
      </c>
      <c r="G487" s="23" t="s">
        <v>75</v>
      </c>
      <c r="H487" s="24">
        <v>299</v>
      </c>
      <c r="I487" s="24">
        <v>0</v>
      </c>
      <c r="J487" s="24">
        <v>0</v>
      </c>
      <c r="K487" s="24">
        <v>299</v>
      </c>
      <c r="L487" s="38">
        <v>46270</v>
      </c>
      <c r="M487" s="23" t="s">
        <v>186</v>
      </c>
      <c r="N487" s="23" t="str">
        <f>IF(COUNTIF($A$2:A487,A487)&gt;1,"DUP","OK")</f>
        <v>OK</v>
      </c>
      <c r="O487" s="23" t="str">
        <f t="shared" si="22"/>
        <v>ORD26004713</v>
      </c>
      <c r="P487" s="23" t="str">
        <f t="shared" si="23"/>
        <v>Sep</v>
      </c>
      <c r="Q487" s="23" t="str">
        <f>IF(F487="CAPTURE",IF(COUNTIF(orders!$A:$A,O487)&gt;0,"Yes","NO ORDER"),"")</f>
        <v>Yes</v>
      </c>
    </row>
    <row r="488" spans="1:17" ht="15" customHeight="1" x14ac:dyDescent="0.3">
      <c r="A488" s="23" t="s">
        <v>12974</v>
      </c>
      <c r="B488" s="23"/>
      <c r="C488" s="23" t="s">
        <v>12975</v>
      </c>
      <c r="D488" s="23" t="str">
        <f t="shared" si="21"/>
        <v>ORD26004754</v>
      </c>
      <c r="E488" s="38">
        <v>46268</v>
      </c>
      <c r="F488" s="23" t="s">
        <v>12410</v>
      </c>
      <c r="G488" s="23" t="s">
        <v>75</v>
      </c>
      <c r="H488" s="24">
        <v>2598</v>
      </c>
      <c r="I488" s="24">
        <v>7.79</v>
      </c>
      <c r="J488" s="24">
        <v>1.4</v>
      </c>
      <c r="K488" s="24">
        <v>2588.81</v>
      </c>
      <c r="L488" s="38">
        <v>46270</v>
      </c>
      <c r="M488" s="23" t="s">
        <v>186</v>
      </c>
      <c r="N488" s="23" t="str">
        <f>IF(COUNTIF($A$2:A488,A488)&gt;1,"DUP","OK")</f>
        <v>OK</v>
      </c>
      <c r="O488" s="23" t="str">
        <f t="shared" si="22"/>
        <v>ORD26004754</v>
      </c>
      <c r="P488" s="23" t="str">
        <f t="shared" si="23"/>
        <v>Sep</v>
      </c>
      <c r="Q488" s="23" t="str">
        <f>IF(F488="CAPTURE",IF(COUNTIF(orders!$A:$A,O488)&gt;0,"Yes","NO ORDER"),"")</f>
        <v>Yes</v>
      </c>
    </row>
    <row r="489" spans="1:17" ht="15" customHeight="1" x14ac:dyDescent="0.3">
      <c r="A489" s="23" t="s">
        <v>12976</v>
      </c>
      <c r="B489" s="23"/>
      <c r="C489" s="23" t="s">
        <v>9998</v>
      </c>
      <c r="D489" s="23" t="str">
        <f t="shared" si="21"/>
        <v>ORD26004767</v>
      </c>
      <c r="E489" s="38">
        <v>46268</v>
      </c>
      <c r="F489" s="23" t="s">
        <v>12410</v>
      </c>
      <c r="G489" s="23" t="s">
        <v>75</v>
      </c>
      <c r="H489" s="24">
        <v>799</v>
      </c>
      <c r="I489" s="24">
        <v>0</v>
      </c>
      <c r="J489" s="24">
        <v>0</v>
      </c>
      <c r="K489" s="24">
        <v>799</v>
      </c>
      <c r="L489" s="38">
        <v>46270</v>
      </c>
      <c r="M489" s="23" t="s">
        <v>186</v>
      </c>
      <c r="N489" s="23" t="str">
        <f>IF(COUNTIF($A$2:A489,A489)&gt;1,"DUP","OK")</f>
        <v>OK</v>
      </c>
      <c r="O489" s="23" t="str">
        <f t="shared" si="22"/>
        <v>ORD26004767</v>
      </c>
      <c r="P489" s="23" t="str">
        <f t="shared" si="23"/>
        <v>Sep</v>
      </c>
      <c r="Q489" s="23" t="str">
        <f>IF(F489="CAPTURE",IF(COUNTIF(orders!$A:$A,O489)&gt;0,"Yes","NO ORDER"),"")</f>
        <v>Yes</v>
      </c>
    </row>
    <row r="490" spans="1:17" ht="15" customHeight="1" x14ac:dyDescent="0.3">
      <c r="A490" s="23" t="s">
        <v>12977</v>
      </c>
      <c r="B490" s="23"/>
      <c r="C490" s="23" t="s">
        <v>10093</v>
      </c>
      <c r="D490" s="23" t="str">
        <f t="shared" si="21"/>
        <v>ORD26004816</v>
      </c>
      <c r="E490" s="38">
        <v>46268</v>
      </c>
      <c r="F490" s="23" t="s">
        <v>12410</v>
      </c>
      <c r="G490" s="23" t="s">
        <v>75</v>
      </c>
      <c r="H490" s="24">
        <v>349</v>
      </c>
      <c r="I490" s="24">
        <v>0</v>
      </c>
      <c r="J490" s="24">
        <v>0</v>
      </c>
      <c r="K490" s="24">
        <v>349</v>
      </c>
      <c r="L490" s="38">
        <v>46270</v>
      </c>
      <c r="M490" s="23" t="s">
        <v>186</v>
      </c>
      <c r="N490" s="23" t="str">
        <f>IF(COUNTIF($A$2:A490,A490)&gt;1,"DUP","OK")</f>
        <v>OK</v>
      </c>
      <c r="O490" s="23" t="str">
        <f t="shared" si="22"/>
        <v>ORD26004816</v>
      </c>
      <c r="P490" s="23" t="str">
        <f t="shared" si="23"/>
        <v>Sep</v>
      </c>
      <c r="Q490" s="23" t="str">
        <f>IF(F490="CAPTURE",IF(COUNTIF(orders!$A:$A,O490)&gt;0,"Yes","NO ORDER"),"")</f>
        <v>Yes</v>
      </c>
    </row>
    <row r="491" spans="1:17" ht="15" customHeight="1" x14ac:dyDescent="0.3">
      <c r="A491" s="23" t="s">
        <v>12978</v>
      </c>
      <c r="B491" s="23"/>
      <c r="C491" s="23" t="s">
        <v>12979</v>
      </c>
      <c r="D491" s="23" t="str">
        <f t="shared" si="21"/>
        <v>ORD26004877</v>
      </c>
      <c r="E491" s="38">
        <v>46268</v>
      </c>
      <c r="F491" s="23" t="s">
        <v>12410</v>
      </c>
      <c r="G491" s="23" t="s">
        <v>75</v>
      </c>
      <c r="H491" s="24">
        <v>349</v>
      </c>
      <c r="I491" s="24">
        <v>0</v>
      </c>
      <c r="J491" s="24">
        <v>0</v>
      </c>
      <c r="K491" s="24">
        <v>349</v>
      </c>
      <c r="L491" s="38">
        <v>46270</v>
      </c>
      <c r="M491" s="23" t="s">
        <v>186</v>
      </c>
      <c r="N491" s="23" t="str">
        <f>IF(COUNTIF($A$2:A491,A491)&gt;1,"DUP","OK")</f>
        <v>OK</v>
      </c>
      <c r="O491" s="23" t="str">
        <f t="shared" si="22"/>
        <v>ORD26004877</v>
      </c>
      <c r="P491" s="23" t="str">
        <f t="shared" si="23"/>
        <v>Sep</v>
      </c>
      <c r="Q491" s="23" t="str">
        <f>IF(F491="CAPTURE",IF(COUNTIF(orders!$A:$A,O491)&gt;0,"Yes","NO ORDER"),"")</f>
        <v>Yes</v>
      </c>
    </row>
    <row r="492" spans="1:17" ht="15" customHeight="1" x14ac:dyDescent="0.3">
      <c r="A492" s="23" t="s">
        <v>12980</v>
      </c>
      <c r="B492" s="23"/>
      <c r="C492" s="23" t="s">
        <v>10277</v>
      </c>
      <c r="D492" s="23" t="str">
        <f t="shared" si="21"/>
        <v>ORD26004910</v>
      </c>
      <c r="E492" s="38">
        <v>46268</v>
      </c>
      <c r="F492" s="23" t="s">
        <v>12410</v>
      </c>
      <c r="G492" s="23" t="s">
        <v>81</v>
      </c>
      <c r="H492" s="24">
        <v>3298</v>
      </c>
      <c r="I492" s="24">
        <v>39.58</v>
      </c>
      <c r="J492" s="24">
        <v>7.12</v>
      </c>
      <c r="K492" s="24">
        <v>3251.3</v>
      </c>
      <c r="L492" s="38">
        <v>46270</v>
      </c>
      <c r="M492" s="23" t="s">
        <v>186</v>
      </c>
      <c r="N492" s="23" t="str">
        <f>IF(COUNTIF($A$2:A492,A492)&gt;1,"DUP","OK")</f>
        <v>OK</v>
      </c>
      <c r="O492" s="23" t="str">
        <f t="shared" si="22"/>
        <v>ORD26004910</v>
      </c>
      <c r="P492" s="23" t="str">
        <f t="shared" si="23"/>
        <v>Sep</v>
      </c>
      <c r="Q492" s="23" t="str">
        <f>IF(F492="CAPTURE",IF(COUNTIF(orders!$A:$A,O492)&gt;0,"Yes","NO ORDER"),"")</f>
        <v>Yes</v>
      </c>
    </row>
    <row r="493" spans="1:17" ht="15" customHeight="1" x14ac:dyDescent="0.3">
      <c r="A493" s="23" t="s">
        <v>12981</v>
      </c>
      <c r="B493" s="23"/>
      <c r="C493" s="23" t="s">
        <v>10300</v>
      </c>
      <c r="D493" s="23" t="str">
        <f t="shared" si="21"/>
        <v>ORD26004922</v>
      </c>
      <c r="E493" s="38">
        <v>46268</v>
      </c>
      <c r="F493" s="23" t="s">
        <v>12410</v>
      </c>
      <c r="G493" s="23" t="s">
        <v>75</v>
      </c>
      <c r="H493" s="24">
        <v>1299</v>
      </c>
      <c r="I493" s="24">
        <v>0</v>
      </c>
      <c r="J493" s="24">
        <v>0</v>
      </c>
      <c r="K493" s="24">
        <v>1299</v>
      </c>
      <c r="L493" s="38">
        <v>46270</v>
      </c>
      <c r="M493" s="23" t="s">
        <v>186</v>
      </c>
      <c r="N493" s="23" t="str">
        <f>IF(COUNTIF($A$2:A493,A493)&gt;1,"DUP","OK")</f>
        <v>OK</v>
      </c>
      <c r="O493" s="23" t="str">
        <f t="shared" si="22"/>
        <v>ORD26004922</v>
      </c>
      <c r="P493" s="23" t="str">
        <f t="shared" si="23"/>
        <v>Sep</v>
      </c>
      <c r="Q493" s="23" t="str">
        <f>IF(F493="CAPTURE",IF(COUNTIF(orders!$A:$A,O493)&gt;0,"Yes","NO ORDER"),"")</f>
        <v>Yes</v>
      </c>
    </row>
    <row r="494" spans="1:17" ht="15" customHeight="1" x14ac:dyDescent="0.3">
      <c r="A494" s="23" t="s">
        <v>12982</v>
      </c>
      <c r="B494" s="23"/>
      <c r="C494" s="23" t="s">
        <v>10364</v>
      </c>
      <c r="D494" s="23" t="str">
        <f t="shared" si="21"/>
        <v>ORD26004955</v>
      </c>
      <c r="E494" s="38">
        <v>46268</v>
      </c>
      <c r="F494" s="23" t="s">
        <v>12410</v>
      </c>
      <c r="G494" s="23" t="s">
        <v>79</v>
      </c>
      <c r="H494" s="24">
        <v>2499</v>
      </c>
      <c r="I494" s="24">
        <v>39.979999999999997</v>
      </c>
      <c r="J494" s="24">
        <v>7.2</v>
      </c>
      <c r="K494" s="24">
        <v>2451.8200000000002</v>
      </c>
      <c r="L494" s="38">
        <v>46270</v>
      </c>
      <c r="M494" s="23" t="s">
        <v>186</v>
      </c>
      <c r="N494" s="23" t="str">
        <f>IF(COUNTIF($A$2:A494,A494)&gt;1,"DUP","OK")</f>
        <v>OK</v>
      </c>
      <c r="O494" s="23" t="str">
        <f t="shared" si="22"/>
        <v>ORD26004955</v>
      </c>
      <c r="P494" s="23" t="str">
        <f t="shared" si="23"/>
        <v>Sep</v>
      </c>
      <c r="Q494" s="23" t="str">
        <f>IF(F494="CAPTURE",IF(COUNTIF(orders!$A:$A,O494)&gt;0,"Yes","NO ORDER"),"")</f>
        <v>Yes</v>
      </c>
    </row>
    <row r="495" spans="1:17" ht="15" customHeight="1" x14ac:dyDescent="0.3">
      <c r="A495" s="23" t="s">
        <v>12983</v>
      </c>
      <c r="B495" s="23"/>
      <c r="C495" s="23" t="s">
        <v>10381</v>
      </c>
      <c r="D495" s="23" t="str">
        <f t="shared" si="21"/>
        <v>ORD26004964</v>
      </c>
      <c r="E495" s="38">
        <v>46268</v>
      </c>
      <c r="F495" s="23" t="s">
        <v>12410</v>
      </c>
      <c r="G495" s="23" t="s">
        <v>79</v>
      </c>
      <c r="H495" s="24">
        <v>5298</v>
      </c>
      <c r="I495" s="24">
        <v>84.77</v>
      </c>
      <c r="J495" s="24">
        <v>15.26</v>
      </c>
      <c r="K495" s="24">
        <v>5197.97</v>
      </c>
      <c r="L495" s="38">
        <v>46270</v>
      </c>
      <c r="M495" s="23" t="s">
        <v>186</v>
      </c>
      <c r="N495" s="23" t="str">
        <f>IF(COUNTIF($A$2:A495,A495)&gt;1,"DUP","OK")</f>
        <v>OK</v>
      </c>
      <c r="O495" s="23" t="str">
        <f t="shared" si="22"/>
        <v>ORD26004964</v>
      </c>
      <c r="P495" s="23" t="str">
        <f t="shared" si="23"/>
        <v>Sep</v>
      </c>
      <c r="Q495" s="23" t="str">
        <f>IF(F495="CAPTURE",IF(COUNTIF(orders!$A:$A,O495)&gt;0,"Yes","NO ORDER"),"")</f>
        <v>Yes</v>
      </c>
    </row>
    <row r="496" spans="1:17" ht="15" customHeight="1" x14ac:dyDescent="0.3">
      <c r="A496" s="23" t="s">
        <v>12984</v>
      </c>
      <c r="B496" s="23"/>
      <c r="C496" s="23" t="s">
        <v>10393</v>
      </c>
      <c r="D496" s="23" t="str">
        <f t="shared" si="21"/>
        <v>ORD26004970</v>
      </c>
      <c r="E496" s="38">
        <v>46268</v>
      </c>
      <c r="F496" s="23" t="s">
        <v>12410</v>
      </c>
      <c r="G496" s="23" t="s">
        <v>77</v>
      </c>
      <c r="H496" s="24">
        <v>1647</v>
      </c>
      <c r="I496" s="24">
        <v>31.29</v>
      </c>
      <c r="J496" s="24">
        <v>5.63</v>
      </c>
      <c r="K496" s="24">
        <v>1610.08</v>
      </c>
      <c r="L496" s="38">
        <v>46270</v>
      </c>
      <c r="M496" s="23" t="s">
        <v>186</v>
      </c>
      <c r="N496" s="23" t="str">
        <f>IF(COUNTIF($A$2:A496,A496)&gt;1,"DUP","OK")</f>
        <v>OK</v>
      </c>
      <c r="O496" s="23" t="str">
        <f t="shared" si="22"/>
        <v>ORD26004970</v>
      </c>
      <c r="P496" s="23" t="str">
        <f t="shared" si="23"/>
        <v>Sep</v>
      </c>
      <c r="Q496" s="23" t="str">
        <f>IF(F496="CAPTURE",IF(COUNTIF(orders!$A:$A,O496)&gt;0,"Yes","NO ORDER"),"")</f>
        <v>Yes</v>
      </c>
    </row>
    <row r="497" spans="1:17" ht="15" customHeight="1" x14ac:dyDescent="0.3">
      <c r="A497" s="23" t="s">
        <v>12985</v>
      </c>
      <c r="B497" s="23"/>
      <c r="C497" s="23" t="s">
        <v>10461</v>
      </c>
      <c r="D497" s="23" t="str">
        <f t="shared" si="21"/>
        <v>ORD26005005</v>
      </c>
      <c r="E497" s="38">
        <v>46268</v>
      </c>
      <c r="F497" s="23" t="s">
        <v>12410</v>
      </c>
      <c r="G497" s="23" t="s">
        <v>77</v>
      </c>
      <c r="H497" s="24">
        <v>799</v>
      </c>
      <c r="I497" s="24">
        <v>15.18</v>
      </c>
      <c r="J497" s="24">
        <v>2.73</v>
      </c>
      <c r="K497" s="24">
        <v>781.09</v>
      </c>
      <c r="L497" s="38">
        <v>46270</v>
      </c>
      <c r="M497" s="23" t="s">
        <v>186</v>
      </c>
      <c r="N497" s="23" t="str">
        <f>IF(COUNTIF($A$2:A497,A497)&gt;1,"DUP","OK")</f>
        <v>OK</v>
      </c>
      <c r="O497" s="23" t="str">
        <f t="shared" si="22"/>
        <v>ORD26005005</v>
      </c>
      <c r="P497" s="23" t="str">
        <f t="shared" si="23"/>
        <v>Sep</v>
      </c>
      <c r="Q497" s="23" t="str">
        <f>IF(F497="CAPTURE",IF(COUNTIF(orders!$A:$A,O497)&gt;0,"Yes","NO ORDER"),"")</f>
        <v>Yes</v>
      </c>
    </row>
    <row r="498" spans="1:17" ht="15" customHeight="1" x14ac:dyDescent="0.3">
      <c r="A498" s="23" t="s">
        <v>12986</v>
      </c>
      <c r="B498" s="23"/>
      <c r="C498" s="23" t="s">
        <v>10592</v>
      </c>
      <c r="D498" s="23" t="str">
        <f t="shared" si="21"/>
        <v>ORD26005073</v>
      </c>
      <c r="E498" s="38">
        <v>46268</v>
      </c>
      <c r="F498" s="23" t="s">
        <v>12410</v>
      </c>
      <c r="G498" s="23" t="s">
        <v>77</v>
      </c>
      <c r="H498" s="24">
        <v>9097</v>
      </c>
      <c r="I498" s="24">
        <v>154.65</v>
      </c>
      <c r="J498" s="24">
        <v>27.84</v>
      </c>
      <c r="K498" s="24">
        <v>8914.51</v>
      </c>
      <c r="L498" s="38">
        <v>46270</v>
      </c>
      <c r="M498" s="23" t="s">
        <v>186</v>
      </c>
      <c r="N498" s="23" t="str">
        <f>IF(COUNTIF($A$2:A498,A498)&gt;1,"DUP","OK")</f>
        <v>OK</v>
      </c>
      <c r="O498" s="23" t="str">
        <f t="shared" si="22"/>
        <v>ORD26005073</v>
      </c>
      <c r="P498" s="23" t="str">
        <f t="shared" si="23"/>
        <v>Sep</v>
      </c>
      <c r="Q498" s="23" t="str">
        <f>IF(F498="CAPTURE",IF(COUNTIF(orders!$A:$A,O498)&gt;0,"Yes","NO ORDER"),"")</f>
        <v>Yes</v>
      </c>
    </row>
    <row r="499" spans="1:17" ht="15" customHeight="1" x14ac:dyDescent="0.3">
      <c r="A499" s="23" t="s">
        <v>12987</v>
      </c>
      <c r="B499" s="23"/>
      <c r="C499" s="23" t="s">
        <v>10627</v>
      </c>
      <c r="D499" s="23" t="str">
        <f t="shared" si="21"/>
        <v>ORD26005091</v>
      </c>
      <c r="E499" s="38">
        <v>46268</v>
      </c>
      <c r="F499" s="23" t="s">
        <v>12410</v>
      </c>
      <c r="G499" s="23" t="s">
        <v>75</v>
      </c>
      <c r="H499" s="24">
        <v>3997</v>
      </c>
      <c r="I499" s="24">
        <v>11.99</v>
      </c>
      <c r="J499" s="24">
        <v>2.16</v>
      </c>
      <c r="K499" s="24">
        <v>3982.85</v>
      </c>
      <c r="L499" s="38">
        <v>46270</v>
      </c>
      <c r="M499" s="23" t="s">
        <v>186</v>
      </c>
      <c r="N499" s="23" t="str">
        <f>IF(COUNTIF($A$2:A499,A499)&gt;1,"DUP","OK")</f>
        <v>OK</v>
      </c>
      <c r="O499" s="23" t="str">
        <f t="shared" si="22"/>
        <v>ORD26005091</v>
      </c>
      <c r="P499" s="23" t="str">
        <f t="shared" si="23"/>
        <v>Sep</v>
      </c>
      <c r="Q499" s="23" t="str">
        <f>IF(F499="CAPTURE",IF(COUNTIF(orders!$A:$A,O499)&gt;0,"Yes","NO ORDER"),"")</f>
        <v>Yes</v>
      </c>
    </row>
    <row r="500" spans="1:17" ht="15" customHeight="1" x14ac:dyDescent="0.3">
      <c r="A500" s="23" t="s">
        <v>12988</v>
      </c>
      <c r="B500" s="23"/>
      <c r="C500" s="23" t="s">
        <v>12989</v>
      </c>
      <c r="D500" s="23" t="str">
        <f t="shared" si="21"/>
        <v>ORD26005199</v>
      </c>
      <c r="E500" s="38">
        <v>46268</v>
      </c>
      <c r="F500" s="23" t="s">
        <v>12410</v>
      </c>
      <c r="G500" s="23" t="s">
        <v>79</v>
      </c>
      <c r="H500" s="24">
        <v>1897</v>
      </c>
      <c r="I500" s="24">
        <v>34.15</v>
      </c>
      <c r="J500" s="24">
        <v>6.15</v>
      </c>
      <c r="K500" s="24">
        <v>1856.7</v>
      </c>
      <c r="L500" s="38">
        <v>46270</v>
      </c>
      <c r="M500" s="23" t="s">
        <v>186</v>
      </c>
      <c r="N500" s="23" t="str">
        <f>IF(COUNTIF($A$2:A500,A500)&gt;1,"DUP","OK")</f>
        <v>OK</v>
      </c>
      <c r="O500" s="23" t="str">
        <f t="shared" si="22"/>
        <v>ORD26005199</v>
      </c>
      <c r="P500" s="23" t="str">
        <f t="shared" si="23"/>
        <v>Sep</v>
      </c>
      <c r="Q500" s="23" t="str">
        <f>IF(F500="CAPTURE",IF(COUNTIF(orders!$A:$A,O500)&gt;0,"Yes","NO ORDER"),"")</f>
        <v>Yes</v>
      </c>
    </row>
    <row r="501" spans="1:17" ht="15" customHeight="1" x14ac:dyDescent="0.3">
      <c r="A501" s="23" t="s">
        <v>12990</v>
      </c>
      <c r="B501" s="23"/>
      <c r="C501" s="23" t="s">
        <v>10935</v>
      </c>
      <c r="D501" s="23" t="str">
        <f t="shared" si="21"/>
        <v>ORD26005249</v>
      </c>
      <c r="E501" s="38">
        <v>46268</v>
      </c>
      <c r="F501" s="23" t="s">
        <v>12410</v>
      </c>
      <c r="G501" s="23" t="s">
        <v>75</v>
      </c>
      <c r="H501" s="24">
        <v>2098</v>
      </c>
      <c r="I501" s="24">
        <v>6.29</v>
      </c>
      <c r="J501" s="24">
        <v>1.1299999999999999</v>
      </c>
      <c r="K501" s="24">
        <v>2090.58</v>
      </c>
      <c r="L501" s="38">
        <v>46270</v>
      </c>
      <c r="M501" s="23" t="s">
        <v>186</v>
      </c>
      <c r="N501" s="23" t="str">
        <f>IF(COUNTIF($A$2:A501,A501)&gt;1,"DUP","OK")</f>
        <v>OK</v>
      </c>
      <c r="O501" s="23" t="str">
        <f t="shared" si="22"/>
        <v>ORD26005249</v>
      </c>
      <c r="P501" s="23" t="str">
        <f t="shared" si="23"/>
        <v>Sep</v>
      </c>
      <c r="Q501" s="23" t="str">
        <f>IF(F501="CAPTURE",IF(COUNTIF(orders!$A:$A,O501)&gt;0,"Yes","NO ORDER"),"")</f>
        <v>Yes</v>
      </c>
    </row>
    <row r="502" spans="1:17" ht="15" customHeight="1" x14ac:dyDescent="0.3">
      <c r="A502" s="23" t="s">
        <v>12991</v>
      </c>
      <c r="B502" s="23"/>
      <c r="C502" s="23" t="s">
        <v>10958</v>
      </c>
      <c r="D502" s="23" t="str">
        <f t="shared" si="21"/>
        <v>ORD26005260</v>
      </c>
      <c r="E502" s="38">
        <v>46268</v>
      </c>
      <c r="F502" s="23" t="s">
        <v>12410</v>
      </c>
      <c r="G502" s="23" t="s">
        <v>81</v>
      </c>
      <c r="H502" s="24">
        <v>2999</v>
      </c>
      <c r="I502" s="24">
        <v>35.99</v>
      </c>
      <c r="J502" s="24">
        <v>6.48</v>
      </c>
      <c r="K502" s="24">
        <v>2956.53</v>
      </c>
      <c r="L502" s="38">
        <v>46270</v>
      </c>
      <c r="M502" s="23" t="s">
        <v>186</v>
      </c>
      <c r="N502" s="23" t="str">
        <f>IF(COUNTIF($A$2:A502,A502)&gt;1,"DUP","OK")</f>
        <v>OK</v>
      </c>
      <c r="O502" s="23" t="str">
        <f t="shared" si="22"/>
        <v>ORD26005260</v>
      </c>
      <c r="P502" s="23" t="str">
        <f t="shared" si="23"/>
        <v>Sep</v>
      </c>
      <c r="Q502" s="23" t="str">
        <f>IF(F502="CAPTURE",IF(COUNTIF(orders!$A:$A,O502)&gt;0,"Yes","NO ORDER"),"")</f>
        <v>Yes</v>
      </c>
    </row>
    <row r="503" spans="1:17" ht="15" customHeight="1" x14ac:dyDescent="0.3">
      <c r="A503" s="23" t="s">
        <v>12992</v>
      </c>
      <c r="B503" s="23"/>
      <c r="C503" s="23" t="s">
        <v>11069</v>
      </c>
      <c r="D503" s="23" t="str">
        <f t="shared" si="21"/>
        <v>ORD26005318</v>
      </c>
      <c r="E503" s="38">
        <v>46268</v>
      </c>
      <c r="F503" s="23" t="s">
        <v>12410</v>
      </c>
      <c r="G503" s="23" t="s">
        <v>79</v>
      </c>
      <c r="H503" s="24">
        <v>799</v>
      </c>
      <c r="I503" s="24">
        <v>14.38</v>
      </c>
      <c r="J503" s="24">
        <v>2.59</v>
      </c>
      <c r="K503" s="24">
        <v>782.03</v>
      </c>
      <c r="L503" s="38">
        <v>46270</v>
      </c>
      <c r="M503" s="23" t="s">
        <v>186</v>
      </c>
      <c r="N503" s="23" t="str">
        <f>IF(COUNTIF($A$2:A503,A503)&gt;1,"DUP","OK")</f>
        <v>OK</v>
      </c>
      <c r="O503" s="23" t="str">
        <f t="shared" si="22"/>
        <v>ORD26005318</v>
      </c>
      <c r="P503" s="23" t="str">
        <f t="shared" si="23"/>
        <v>Sep</v>
      </c>
      <c r="Q503" s="23" t="str">
        <f>IF(F503="CAPTURE",IF(COUNTIF(orders!$A:$A,O503)&gt;0,"Yes","NO ORDER"),"")</f>
        <v>Yes</v>
      </c>
    </row>
    <row r="504" spans="1:17" ht="15" customHeight="1" x14ac:dyDescent="0.3">
      <c r="A504" s="23" t="s">
        <v>12993</v>
      </c>
      <c r="B504" s="23"/>
      <c r="C504" s="23" t="s">
        <v>11160</v>
      </c>
      <c r="D504" s="23" t="str">
        <f t="shared" si="21"/>
        <v>ORD26005364</v>
      </c>
      <c r="E504" s="38">
        <v>46268</v>
      </c>
      <c r="F504" s="23" t="s">
        <v>12410</v>
      </c>
      <c r="G504" s="23" t="s">
        <v>81</v>
      </c>
      <c r="H504" s="24">
        <v>4298</v>
      </c>
      <c r="I504" s="24">
        <v>51.58</v>
      </c>
      <c r="J504" s="24">
        <v>9.2799999999999994</v>
      </c>
      <c r="K504" s="24">
        <v>4237.1400000000003</v>
      </c>
      <c r="L504" s="38">
        <v>46270</v>
      </c>
      <c r="M504" s="23" t="s">
        <v>186</v>
      </c>
      <c r="N504" s="23" t="str">
        <f>IF(COUNTIF($A$2:A504,A504)&gt;1,"DUP","OK")</f>
        <v>OK</v>
      </c>
      <c r="O504" s="23" t="str">
        <f t="shared" si="22"/>
        <v>ORD26005364</v>
      </c>
      <c r="P504" s="23" t="str">
        <f t="shared" si="23"/>
        <v>Sep</v>
      </c>
      <c r="Q504" s="23" t="str">
        <f>IF(F504="CAPTURE",IF(COUNTIF(orders!$A:$A,O504)&gt;0,"Yes","NO ORDER"),"")</f>
        <v>Yes</v>
      </c>
    </row>
    <row r="505" spans="1:17" ht="15" customHeight="1" x14ac:dyDescent="0.3">
      <c r="A505" s="23" t="s">
        <v>12994</v>
      </c>
      <c r="B505" s="23"/>
      <c r="C505" s="23" t="s">
        <v>12995</v>
      </c>
      <c r="D505" s="23" t="str">
        <f t="shared" si="21"/>
        <v>ORD26005455</v>
      </c>
      <c r="E505" s="38">
        <v>46268</v>
      </c>
      <c r="F505" s="23" t="s">
        <v>12410</v>
      </c>
      <c r="G505" s="23" t="s">
        <v>75</v>
      </c>
      <c r="H505" s="24">
        <v>799</v>
      </c>
      <c r="I505" s="24">
        <v>0</v>
      </c>
      <c r="J505" s="24">
        <v>0</v>
      </c>
      <c r="K505" s="24">
        <v>799</v>
      </c>
      <c r="L505" s="38">
        <v>46270</v>
      </c>
      <c r="M505" s="23" t="s">
        <v>186</v>
      </c>
      <c r="N505" s="23" t="str">
        <f>IF(COUNTIF($A$2:A505,A505)&gt;1,"DUP","OK")</f>
        <v>OK</v>
      </c>
      <c r="O505" s="23" t="str">
        <f t="shared" si="22"/>
        <v>ORD26005455</v>
      </c>
      <c r="P505" s="23" t="str">
        <f t="shared" si="23"/>
        <v>Sep</v>
      </c>
      <c r="Q505" s="23" t="str">
        <f>IF(F505="CAPTURE",IF(COUNTIF(orders!$A:$A,O505)&gt;0,"Yes","NO ORDER"),"")</f>
        <v>Yes</v>
      </c>
    </row>
    <row r="506" spans="1:17" ht="15" customHeight="1" x14ac:dyDescent="0.3">
      <c r="A506" s="23" t="s">
        <v>12996</v>
      </c>
      <c r="B506" s="23"/>
      <c r="C506" s="23" t="s">
        <v>11366</v>
      </c>
      <c r="D506" s="23" t="str">
        <f t="shared" si="21"/>
        <v>ORD26005468</v>
      </c>
      <c r="E506" s="38">
        <v>46268</v>
      </c>
      <c r="F506" s="23" t="s">
        <v>12410</v>
      </c>
      <c r="G506" s="23" t="s">
        <v>79</v>
      </c>
      <c r="H506" s="24">
        <v>2499</v>
      </c>
      <c r="I506" s="24">
        <v>39.979999999999997</v>
      </c>
      <c r="J506" s="24">
        <v>7.2</v>
      </c>
      <c r="K506" s="24">
        <v>2451.8200000000002</v>
      </c>
      <c r="L506" s="38">
        <v>46270</v>
      </c>
      <c r="M506" s="23" t="s">
        <v>186</v>
      </c>
      <c r="N506" s="23" t="str">
        <f>IF(COUNTIF($A$2:A506,A506)&gt;1,"DUP","OK")</f>
        <v>OK</v>
      </c>
      <c r="O506" s="23" t="str">
        <f t="shared" si="22"/>
        <v>ORD26005468</v>
      </c>
      <c r="P506" s="23" t="str">
        <f t="shared" si="23"/>
        <v>Sep</v>
      </c>
      <c r="Q506" s="23" t="str">
        <f>IF(F506="CAPTURE",IF(COUNTIF(orders!$A:$A,O506)&gt;0,"Yes","NO ORDER"),"")</f>
        <v>Yes</v>
      </c>
    </row>
    <row r="507" spans="1:17" ht="15" customHeight="1" x14ac:dyDescent="0.3">
      <c r="A507" s="23" t="s">
        <v>12997</v>
      </c>
      <c r="B507" s="23"/>
      <c r="C507" s="23" t="s">
        <v>11414</v>
      </c>
      <c r="D507" s="23" t="str">
        <f t="shared" si="21"/>
        <v>ORD26005492</v>
      </c>
      <c r="E507" s="38">
        <v>46268</v>
      </c>
      <c r="F507" s="23" t="s">
        <v>12410</v>
      </c>
      <c r="G507" s="23" t="s">
        <v>79</v>
      </c>
      <c r="H507" s="24">
        <v>4797</v>
      </c>
      <c r="I507" s="24">
        <v>76.75</v>
      </c>
      <c r="J507" s="24">
        <v>13.82</v>
      </c>
      <c r="K507" s="24">
        <v>4706.43</v>
      </c>
      <c r="L507" s="38">
        <v>46270</v>
      </c>
      <c r="M507" s="23" t="s">
        <v>186</v>
      </c>
      <c r="N507" s="23" t="str">
        <f>IF(COUNTIF($A$2:A507,A507)&gt;1,"DUP","OK")</f>
        <v>OK</v>
      </c>
      <c r="O507" s="23" t="str">
        <f t="shared" si="22"/>
        <v>ORD26005492</v>
      </c>
      <c r="P507" s="23" t="str">
        <f t="shared" si="23"/>
        <v>Sep</v>
      </c>
      <c r="Q507" s="23" t="str">
        <f>IF(F507="CAPTURE",IF(COUNTIF(orders!$A:$A,O507)&gt;0,"Yes","NO ORDER"),"")</f>
        <v>Yes</v>
      </c>
    </row>
    <row r="508" spans="1:17" ht="15" customHeight="1" x14ac:dyDescent="0.3">
      <c r="A508" s="23" t="s">
        <v>12998</v>
      </c>
      <c r="B508" s="23"/>
      <c r="C508" s="23" t="s">
        <v>12999</v>
      </c>
      <c r="D508" s="23" t="str">
        <f t="shared" si="21"/>
        <v>ORD26005494</v>
      </c>
      <c r="E508" s="38">
        <v>46268</v>
      </c>
      <c r="F508" s="23" t="s">
        <v>12410</v>
      </c>
      <c r="G508" s="23" t="s">
        <v>77</v>
      </c>
      <c r="H508" s="24">
        <v>1299</v>
      </c>
      <c r="I508" s="24">
        <v>24.68</v>
      </c>
      <c r="J508" s="24">
        <v>4.4400000000000004</v>
      </c>
      <c r="K508" s="24">
        <v>1269.8800000000001</v>
      </c>
      <c r="L508" s="38">
        <v>46270</v>
      </c>
      <c r="M508" s="23" t="s">
        <v>186</v>
      </c>
      <c r="N508" s="23" t="str">
        <f>IF(COUNTIF($A$2:A508,A508)&gt;1,"DUP","OK")</f>
        <v>OK</v>
      </c>
      <c r="O508" s="23" t="str">
        <f t="shared" si="22"/>
        <v>ORD26005494</v>
      </c>
      <c r="P508" s="23" t="str">
        <f t="shared" si="23"/>
        <v>Sep</v>
      </c>
      <c r="Q508" s="23" t="str">
        <f>IF(F508="CAPTURE",IF(COUNTIF(orders!$A:$A,O508)&gt;0,"Yes","NO ORDER"),"")</f>
        <v>Yes</v>
      </c>
    </row>
    <row r="509" spans="1:17" ht="15" customHeight="1" x14ac:dyDescent="0.3">
      <c r="A509" s="23" t="s">
        <v>13000</v>
      </c>
      <c r="B509" s="23"/>
      <c r="C509" s="23" t="s">
        <v>11420</v>
      </c>
      <c r="D509" s="23" t="str">
        <f t="shared" si="21"/>
        <v>ORD26005496</v>
      </c>
      <c r="E509" s="38">
        <v>46268</v>
      </c>
      <c r="F509" s="23" t="s">
        <v>12410</v>
      </c>
      <c r="G509" s="23" t="s">
        <v>79</v>
      </c>
      <c r="H509" s="24">
        <v>4597</v>
      </c>
      <c r="I509" s="24">
        <v>73.55</v>
      </c>
      <c r="J509" s="24">
        <v>13.24</v>
      </c>
      <c r="K509" s="24">
        <v>4510.21</v>
      </c>
      <c r="L509" s="38">
        <v>46270</v>
      </c>
      <c r="M509" s="23" t="s">
        <v>186</v>
      </c>
      <c r="N509" s="23" t="str">
        <f>IF(COUNTIF($A$2:A509,A509)&gt;1,"DUP","OK")</f>
        <v>OK</v>
      </c>
      <c r="O509" s="23" t="str">
        <f t="shared" si="22"/>
        <v>ORD26005496</v>
      </c>
      <c r="P509" s="23" t="str">
        <f t="shared" si="23"/>
        <v>Sep</v>
      </c>
      <c r="Q509" s="23" t="str">
        <f>IF(F509="CAPTURE",IF(COUNTIF(orders!$A:$A,O509)&gt;0,"Yes","NO ORDER"),"")</f>
        <v>Yes</v>
      </c>
    </row>
    <row r="510" spans="1:17" ht="15" customHeight="1" x14ac:dyDescent="0.3">
      <c r="A510" s="23" t="s">
        <v>13001</v>
      </c>
      <c r="B510" s="23"/>
      <c r="C510" s="23" t="s">
        <v>11422</v>
      </c>
      <c r="D510" s="23" t="str">
        <f t="shared" si="21"/>
        <v>ORD26005497</v>
      </c>
      <c r="E510" s="38">
        <v>46268</v>
      </c>
      <c r="F510" s="23" t="s">
        <v>12410</v>
      </c>
      <c r="G510" s="23" t="s">
        <v>79</v>
      </c>
      <c r="H510" s="24">
        <v>999</v>
      </c>
      <c r="I510" s="24">
        <v>17.98</v>
      </c>
      <c r="J510" s="24">
        <v>3.24</v>
      </c>
      <c r="K510" s="24">
        <v>977.78</v>
      </c>
      <c r="L510" s="38">
        <v>46270</v>
      </c>
      <c r="M510" s="23" t="s">
        <v>186</v>
      </c>
      <c r="N510" s="23" t="str">
        <f>IF(COUNTIF($A$2:A510,A510)&gt;1,"DUP","OK")</f>
        <v>OK</v>
      </c>
      <c r="O510" s="23" t="str">
        <f t="shared" si="22"/>
        <v>ORD26005497</v>
      </c>
      <c r="P510" s="23" t="str">
        <f t="shared" si="23"/>
        <v>Sep</v>
      </c>
      <c r="Q510" s="23" t="str">
        <f>IF(F510="CAPTURE",IF(COUNTIF(orders!$A:$A,O510)&gt;0,"Yes","NO ORDER"),"")</f>
        <v>Yes</v>
      </c>
    </row>
    <row r="511" spans="1:17" ht="15" customHeight="1" x14ac:dyDescent="0.3">
      <c r="A511" s="23" t="s">
        <v>13002</v>
      </c>
      <c r="B511" s="23"/>
      <c r="C511" s="23" t="s">
        <v>13003</v>
      </c>
      <c r="D511" s="23" t="str">
        <f t="shared" si="21"/>
        <v>ORD26005600</v>
      </c>
      <c r="E511" s="38">
        <v>46268</v>
      </c>
      <c r="F511" s="23" t="s">
        <v>12410</v>
      </c>
      <c r="G511" s="23" t="s">
        <v>77</v>
      </c>
      <c r="H511" s="24">
        <v>2499</v>
      </c>
      <c r="I511" s="24">
        <v>42.48</v>
      </c>
      <c r="J511" s="24">
        <v>7.65</v>
      </c>
      <c r="K511" s="24">
        <v>2448.87</v>
      </c>
      <c r="L511" s="38">
        <v>46270</v>
      </c>
      <c r="M511" s="23" t="s">
        <v>186</v>
      </c>
      <c r="N511" s="23" t="str">
        <f>IF(COUNTIF($A$2:A511,A511)&gt;1,"DUP","OK")</f>
        <v>OK</v>
      </c>
      <c r="O511" s="23" t="str">
        <f t="shared" si="22"/>
        <v>ORD26005600</v>
      </c>
      <c r="P511" s="23" t="str">
        <f t="shared" si="23"/>
        <v>Sep</v>
      </c>
      <c r="Q511" s="23" t="str">
        <f>IF(F511="CAPTURE",IF(COUNTIF(orders!$A:$A,O511)&gt;0,"Yes","NO ORDER"),"")</f>
        <v>Yes</v>
      </c>
    </row>
    <row r="512" spans="1:17" ht="15" customHeight="1" x14ac:dyDescent="0.3">
      <c r="A512" s="23" t="s">
        <v>13004</v>
      </c>
      <c r="B512" s="23"/>
      <c r="C512" s="23" t="s">
        <v>11839</v>
      </c>
      <c r="D512" s="23" t="str">
        <f t="shared" si="21"/>
        <v>ORD26005711</v>
      </c>
      <c r="E512" s="38">
        <v>46268</v>
      </c>
      <c r="F512" s="23" t="s">
        <v>12410</v>
      </c>
      <c r="G512" s="23" t="s">
        <v>77</v>
      </c>
      <c r="H512" s="24">
        <v>599</v>
      </c>
      <c r="I512" s="24">
        <v>11.38</v>
      </c>
      <c r="J512" s="24">
        <v>2.0499999999999998</v>
      </c>
      <c r="K512" s="24">
        <v>585.57000000000005</v>
      </c>
      <c r="L512" s="38">
        <v>46270</v>
      </c>
      <c r="M512" s="23" t="s">
        <v>186</v>
      </c>
      <c r="N512" s="23" t="str">
        <f>IF(COUNTIF($A$2:A512,A512)&gt;1,"DUP","OK")</f>
        <v>OK</v>
      </c>
      <c r="O512" s="23" t="str">
        <f t="shared" si="22"/>
        <v>ORD26005711</v>
      </c>
      <c r="P512" s="23" t="str">
        <f t="shared" si="23"/>
        <v>Sep</v>
      </c>
      <c r="Q512" s="23" t="str">
        <f>IF(F512="CAPTURE",IF(COUNTIF(orders!$A:$A,O512)&gt;0,"Yes","NO ORDER"),"")</f>
        <v>Yes</v>
      </c>
    </row>
    <row r="513" spans="1:17" ht="15" customHeight="1" x14ac:dyDescent="0.3">
      <c r="A513" s="23" t="s">
        <v>13005</v>
      </c>
      <c r="B513" s="23"/>
      <c r="C513" s="23" t="s">
        <v>11866</v>
      </c>
      <c r="D513" s="23" t="str">
        <f t="shared" si="21"/>
        <v>ORD26005725</v>
      </c>
      <c r="E513" s="38">
        <v>46268</v>
      </c>
      <c r="F513" s="23" t="s">
        <v>12410</v>
      </c>
      <c r="G513" s="23" t="s">
        <v>75</v>
      </c>
      <c r="H513" s="24">
        <v>4999</v>
      </c>
      <c r="I513" s="24">
        <v>15</v>
      </c>
      <c r="J513" s="24">
        <v>2.7</v>
      </c>
      <c r="K513" s="24">
        <v>4981.3</v>
      </c>
      <c r="L513" s="38">
        <v>46270</v>
      </c>
      <c r="M513" s="23" t="s">
        <v>186</v>
      </c>
      <c r="N513" s="23" t="str">
        <f>IF(COUNTIF($A$2:A513,A513)&gt;1,"DUP","OK")</f>
        <v>OK</v>
      </c>
      <c r="O513" s="23" t="str">
        <f t="shared" si="22"/>
        <v>ORD26005725</v>
      </c>
      <c r="P513" s="23" t="str">
        <f t="shared" si="23"/>
        <v>Sep</v>
      </c>
      <c r="Q513" s="23" t="str">
        <f>IF(F513="CAPTURE",IF(COUNTIF(orders!$A:$A,O513)&gt;0,"Yes","NO ORDER"),"")</f>
        <v>Yes</v>
      </c>
    </row>
    <row r="514" spans="1:17" ht="15" customHeight="1" x14ac:dyDescent="0.3">
      <c r="A514" s="23" t="s">
        <v>13006</v>
      </c>
      <c r="B514" s="23"/>
      <c r="C514" s="23" t="s">
        <v>11946</v>
      </c>
      <c r="D514" s="23" t="str">
        <f t="shared" ref="D514:D577" si="24">UPPER(SUBSTITUTE(TRIM(C514),"-",""))</f>
        <v>ORD26005766</v>
      </c>
      <c r="E514" s="38">
        <v>46268</v>
      </c>
      <c r="F514" s="23" t="s">
        <v>12410</v>
      </c>
      <c r="G514" s="23" t="s">
        <v>75</v>
      </c>
      <c r="H514" s="24">
        <v>3098</v>
      </c>
      <c r="I514" s="24">
        <v>9.2899999999999991</v>
      </c>
      <c r="J514" s="24">
        <v>1.67</v>
      </c>
      <c r="K514" s="24">
        <v>3087.04</v>
      </c>
      <c r="L514" s="38">
        <v>46270</v>
      </c>
      <c r="M514" s="23" t="s">
        <v>186</v>
      </c>
      <c r="N514" s="23" t="str">
        <f>IF(COUNTIF($A$2:A514,A514)&gt;1,"DUP","OK")</f>
        <v>OK</v>
      </c>
      <c r="O514" s="23" t="str">
        <f t="shared" ref="O514:O577" si="25">IF(F514="REFUND",INDEX($D:$D,MATCH(B514,$A:$A,0)),D514)</f>
        <v>ORD26005766</v>
      </c>
      <c r="P514" s="23" t="str">
        <f t="shared" ref="P514:P577" si="26">IF(L514&gt;DATE(2026,9,30),"Oct-Due","Sep")</f>
        <v>Sep</v>
      </c>
      <c r="Q514" s="23" t="str">
        <f>IF(F514="CAPTURE",IF(COUNTIF(orders!$A:$A,O514)&gt;0,"Yes","NO ORDER"),"")</f>
        <v>Yes</v>
      </c>
    </row>
    <row r="515" spans="1:17" ht="15" customHeight="1" x14ac:dyDescent="0.3">
      <c r="A515" s="23" t="s">
        <v>13007</v>
      </c>
      <c r="B515" s="23"/>
      <c r="C515" s="23" t="s">
        <v>12092</v>
      </c>
      <c r="D515" s="23" t="str">
        <f t="shared" si="24"/>
        <v>ORD26005842</v>
      </c>
      <c r="E515" s="38">
        <v>46268</v>
      </c>
      <c r="F515" s="23" t="s">
        <v>12410</v>
      </c>
      <c r="G515" s="23" t="s">
        <v>75</v>
      </c>
      <c r="H515" s="24">
        <v>4298</v>
      </c>
      <c r="I515" s="24">
        <v>12.89</v>
      </c>
      <c r="J515" s="24">
        <v>2.3199999999999998</v>
      </c>
      <c r="K515" s="24">
        <v>4282.79</v>
      </c>
      <c r="L515" s="38">
        <v>46270</v>
      </c>
      <c r="M515" s="23" t="s">
        <v>186</v>
      </c>
      <c r="N515" s="23" t="str">
        <f>IF(COUNTIF($A$2:A515,A515)&gt;1,"DUP","OK")</f>
        <v>OK</v>
      </c>
      <c r="O515" s="23" t="str">
        <f t="shared" si="25"/>
        <v>ORD26005842</v>
      </c>
      <c r="P515" s="23" t="str">
        <f t="shared" si="26"/>
        <v>Sep</v>
      </c>
      <c r="Q515" s="23" t="str">
        <f>IF(F515="CAPTURE",IF(COUNTIF(orders!$A:$A,O515)&gt;0,"Yes","NO ORDER"),"")</f>
        <v>Yes</v>
      </c>
    </row>
    <row r="516" spans="1:17" ht="15" customHeight="1" x14ac:dyDescent="0.3">
      <c r="A516" s="23" t="s">
        <v>13008</v>
      </c>
      <c r="B516" s="23"/>
      <c r="C516" s="23" t="s">
        <v>12142</v>
      </c>
      <c r="D516" s="23" t="str">
        <f t="shared" si="24"/>
        <v>ORD26005869</v>
      </c>
      <c r="E516" s="38">
        <v>46268</v>
      </c>
      <c r="F516" s="23" t="s">
        <v>12410</v>
      </c>
      <c r="G516" s="23" t="s">
        <v>77</v>
      </c>
      <c r="H516" s="24">
        <v>1998</v>
      </c>
      <c r="I516" s="24">
        <v>37.96</v>
      </c>
      <c r="J516" s="24">
        <v>6.83</v>
      </c>
      <c r="K516" s="24">
        <v>1953.21</v>
      </c>
      <c r="L516" s="38">
        <v>46270</v>
      </c>
      <c r="M516" s="23" t="s">
        <v>186</v>
      </c>
      <c r="N516" s="23" t="str">
        <f>IF(COUNTIF($A$2:A516,A516)&gt;1,"DUP","OK")</f>
        <v>OK</v>
      </c>
      <c r="O516" s="23" t="str">
        <f t="shared" si="25"/>
        <v>ORD26005869</v>
      </c>
      <c r="P516" s="23" t="str">
        <f t="shared" si="26"/>
        <v>Sep</v>
      </c>
      <c r="Q516" s="23" t="str">
        <f>IF(F516="CAPTURE",IF(COUNTIF(orders!$A:$A,O516)&gt;0,"Yes","NO ORDER"),"")</f>
        <v>Yes</v>
      </c>
    </row>
    <row r="517" spans="1:17" ht="15" customHeight="1" x14ac:dyDescent="0.3">
      <c r="A517" s="23" t="s">
        <v>13009</v>
      </c>
      <c r="B517" s="23"/>
      <c r="C517" s="23" t="s">
        <v>13010</v>
      </c>
      <c r="D517" s="23" t="str">
        <f t="shared" si="24"/>
        <v>ORD26005900</v>
      </c>
      <c r="E517" s="38">
        <v>46268</v>
      </c>
      <c r="F517" s="23" t="s">
        <v>12410</v>
      </c>
      <c r="G517" s="23" t="s">
        <v>79</v>
      </c>
      <c r="H517" s="24">
        <v>2797</v>
      </c>
      <c r="I517" s="24">
        <v>44.75</v>
      </c>
      <c r="J517" s="24">
        <v>8.06</v>
      </c>
      <c r="K517" s="24">
        <v>2744.19</v>
      </c>
      <c r="L517" s="38">
        <v>46270</v>
      </c>
      <c r="M517" s="23" t="s">
        <v>186</v>
      </c>
      <c r="N517" s="23" t="str">
        <f>IF(COUNTIF($A$2:A517,A517)&gt;1,"DUP","OK")</f>
        <v>OK</v>
      </c>
      <c r="O517" s="23" t="str">
        <f t="shared" si="25"/>
        <v>ORD26005900</v>
      </c>
      <c r="P517" s="23" t="str">
        <f t="shared" si="26"/>
        <v>Sep</v>
      </c>
      <c r="Q517" s="23" t="str">
        <f>IF(F517="CAPTURE",IF(COUNTIF(orders!$A:$A,O517)&gt;0,"Yes","NO ORDER"),"")</f>
        <v>Yes</v>
      </c>
    </row>
    <row r="518" spans="1:17" ht="15" customHeight="1" x14ac:dyDescent="0.3">
      <c r="A518" s="23" t="s">
        <v>13011</v>
      </c>
      <c r="B518" s="23"/>
      <c r="C518" s="23" t="s">
        <v>12284</v>
      </c>
      <c r="D518" s="23" t="str">
        <f t="shared" si="24"/>
        <v>ORD26005943</v>
      </c>
      <c r="E518" s="38">
        <v>46268</v>
      </c>
      <c r="F518" s="23" t="s">
        <v>12410</v>
      </c>
      <c r="G518" s="23" t="s">
        <v>77</v>
      </c>
      <c r="H518" s="24">
        <v>2499</v>
      </c>
      <c r="I518" s="24">
        <v>42.48</v>
      </c>
      <c r="J518" s="24">
        <v>7.65</v>
      </c>
      <c r="K518" s="24">
        <v>2448.87</v>
      </c>
      <c r="L518" s="38">
        <v>46270</v>
      </c>
      <c r="M518" s="23" t="s">
        <v>186</v>
      </c>
      <c r="N518" s="23" t="str">
        <f>IF(COUNTIF($A$2:A518,A518)&gt;1,"DUP","OK")</f>
        <v>OK</v>
      </c>
      <c r="O518" s="23" t="str">
        <f t="shared" si="25"/>
        <v>ORD26005943</v>
      </c>
      <c r="P518" s="23" t="str">
        <f t="shared" si="26"/>
        <v>Sep</v>
      </c>
      <c r="Q518" s="23" t="str">
        <f>IF(F518="CAPTURE",IF(COUNTIF(orders!$A:$A,O518)&gt;0,"Yes","NO ORDER"),"")</f>
        <v>Yes</v>
      </c>
    </row>
    <row r="519" spans="1:17" ht="15" customHeight="1" x14ac:dyDescent="0.3">
      <c r="A519" s="23" t="s">
        <v>13012</v>
      </c>
      <c r="B519" s="23"/>
      <c r="C519" s="23" t="s">
        <v>12325</v>
      </c>
      <c r="D519" s="23" t="str">
        <f t="shared" si="24"/>
        <v>ORD26005966</v>
      </c>
      <c r="E519" s="38">
        <v>46268</v>
      </c>
      <c r="F519" s="23" t="s">
        <v>12410</v>
      </c>
      <c r="G519" s="23" t="s">
        <v>75</v>
      </c>
      <c r="H519" s="24">
        <v>2798</v>
      </c>
      <c r="I519" s="24">
        <v>8.39</v>
      </c>
      <c r="J519" s="24">
        <v>1.51</v>
      </c>
      <c r="K519" s="24">
        <v>2788.1</v>
      </c>
      <c r="L519" s="38">
        <v>46270</v>
      </c>
      <c r="M519" s="23" t="s">
        <v>186</v>
      </c>
      <c r="N519" s="23" t="str">
        <f>IF(COUNTIF($A$2:A519,A519)&gt;1,"DUP","OK")</f>
        <v>OK</v>
      </c>
      <c r="O519" s="23" t="str">
        <f t="shared" si="25"/>
        <v>ORD26005966</v>
      </c>
      <c r="P519" s="23" t="str">
        <f t="shared" si="26"/>
        <v>Sep</v>
      </c>
      <c r="Q519" s="23" t="str">
        <f>IF(F519="CAPTURE",IF(COUNTIF(orders!$A:$A,O519)&gt;0,"Yes","NO ORDER"),"")</f>
        <v>Yes</v>
      </c>
    </row>
    <row r="520" spans="1:17" ht="15" customHeight="1" x14ac:dyDescent="0.3">
      <c r="A520" s="23" t="s">
        <v>13013</v>
      </c>
      <c r="B520" s="23" t="s">
        <v>12441</v>
      </c>
      <c r="C520" s="23"/>
      <c r="D520" s="23" t="str">
        <f t="shared" si="24"/>
        <v/>
      </c>
      <c r="E520" s="38">
        <v>46268</v>
      </c>
      <c r="F520" s="23" t="s">
        <v>12791</v>
      </c>
      <c r="G520" s="23" t="s">
        <v>79</v>
      </c>
      <c r="H520" s="24">
        <v>9297</v>
      </c>
      <c r="I520" s="24">
        <v>0</v>
      </c>
      <c r="J520" s="24">
        <v>0</v>
      </c>
      <c r="K520" s="24">
        <v>-9297</v>
      </c>
      <c r="L520" s="38">
        <v>46270</v>
      </c>
      <c r="M520" s="23" t="s">
        <v>186</v>
      </c>
      <c r="N520" s="23" t="str">
        <f>IF(COUNTIF($A$2:A520,A520)&gt;1,"DUP","OK")</f>
        <v>OK</v>
      </c>
      <c r="O520" s="23" t="str">
        <f t="shared" si="25"/>
        <v>ORD26001416</v>
      </c>
      <c r="P520" s="23" t="str">
        <f t="shared" si="26"/>
        <v>Sep</v>
      </c>
      <c r="Q520" s="23" t="str">
        <f>IF(F520="CAPTURE",IF(COUNTIF(orders!$A:$A,O520)&gt;0,"Yes","NO ORDER"),"")</f>
        <v/>
      </c>
    </row>
    <row r="521" spans="1:17" ht="15" customHeight="1" x14ac:dyDescent="0.3">
      <c r="A521" s="23" t="s">
        <v>13014</v>
      </c>
      <c r="B521" s="23" t="s">
        <v>12710</v>
      </c>
      <c r="C521" s="23"/>
      <c r="D521" s="23" t="str">
        <f t="shared" si="24"/>
        <v/>
      </c>
      <c r="E521" s="38">
        <v>46268</v>
      </c>
      <c r="F521" s="23" t="s">
        <v>12791</v>
      </c>
      <c r="G521" s="23" t="s">
        <v>75</v>
      </c>
      <c r="H521" s="24">
        <v>2499</v>
      </c>
      <c r="I521" s="24">
        <v>0</v>
      </c>
      <c r="J521" s="24">
        <v>0</v>
      </c>
      <c r="K521" s="24">
        <v>-2499</v>
      </c>
      <c r="L521" s="38">
        <v>46270</v>
      </c>
      <c r="M521" s="23" t="s">
        <v>186</v>
      </c>
      <c r="N521" s="23" t="str">
        <f>IF(COUNTIF($A$2:A521,A521)&gt;1,"DUP","OK")</f>
        <v>OK</v>
      </c>
      <c r="O521" s="23" t="str">
        <f t="shared" si="25"/>
        <v>ORD26003723</v>
      </c>
      <c r="P521" s="23" t="str">
        <f t="shared" si="26"/>
        <v>Sep</v>
      </c>
      <c r="Q521" s="23" t="str">
        <f>IF(F521="CAPTURE",IF(COUNTIF(orders!$A:$A,O521)&gt;0,"Yes","NO ORDER"),"")</f>
        <v/>
      </c>
    </row>
    <row r="522" spans="1:17" ht="15" customHeight="1" x14ac:dyDescent="0.3">
      <c r="A522" s="23" t="s">
        <v>13015</v>
      </c>
      <c r="B522" s="23"/>
      <c r="C522" s="23" t="s">
        <v>368</v>
      </c>
      <c r="D522" s="23" t="str">
        <f t="shared" si="24"/>
        <v>ORD26000043</v>
      </c>
      <c r="E522" s="38">
        <v>46269</v>
      </c>
      <c r="F522" s="23" t="s">
        <v>12410</v>
      </c>
      <c r="G522" s="23" t="s">
        <v>79</v>
      </c>
      <c r="H522" s="24">
        <v>3098</v>
      </c>
      <c r="I522" s="24">
        <v>49.57</v>
      </c>
      <c r="J522" s="24">
        <v>8.92</v>
      </c>
      <c r="K522" s="24">
        <v>3039.51</v>
      </c>
      <c r="L522" s="38">
        <v>46271</v>
      </c>
      <c r="M522" s="23" t="s">
        <v>188</v>
      </c>
      <c r="N522" s="23" t="str">
        <f>IF(COUNTIF($A$2:A522,A522)&gt;1,"DUP","OK")</f>
        <v>OK</v>
      </c>
      <c r="O522" s="23" t="str">
        <f t="shared" si="25"/>
        <v>ORD26000043</v>
      </c>
      <c r="P522" s="23" t="str">
        <f t="shared" si="26"/>
        <v>Sep</v>
      </c>
      <c r="Q522" s="23" t="str">
        <f>IF(F522="CAPTURE",IF(COUNTIF(orders!$A:$A,O522)&gt;0,"Yes","NO ORDER"),"")</f>
        <v>Yes</v>
      </c>
    </row>
    <row r="523" spans="1:17" ht="15" customHeight="1" x14ac:dyDescent="0.3">
      <c r="A523" s="23" t="s">
        <v>13016</v>
      </c>
      <c r="B523" s="23"/>
      <c r="C523" s="23" t="s">
        <v>386</v>
      </c>
      <c r="D523" s="23" t="str">
        <f t="shared" si="24"/>
        <v>ORD26000050</v>
      </c>
      <c r="E523" s="38">
        <v>46269</v>
      </c>
      <c r="F523" s="23" t="s">
        <v>12410</v>
      </c>
      <c r="G523" s="23" t="s">
        <v>75</v>
      </c>
      <c r="H523" s="24">
        <v>3499</v>
      </c>
      <c r="I523" s="24">
        <v>10.5</v>
      </c>
      <c r="J523" s="24">
        <v>1.89</v>
      </c>
      <c r="K523" s="24">
        <v>3486.61</v>
      </c>
      <c r="L523" s="38">
        <v>46271</v>
      </c>
      <c r="M523" s="23" t="s">
        <v>188</v>
      </c>
      <c r="N523" s="23" t="str">
        <f>IF(COUNTIF($A$2:A523,A523)&gt;1,"DUP","OK")</f>
        <v>OK</v>
      </c>
      <c r="O523" s="23" t="str">
        <f t="shared" si="25"/>
        <v>ORD26000050</v>
      </c>
      <c r="P523" s="23" t="str">
        <f t="shared" si="26"/>
        <v>Sep</v>
      </c>
      <c r="Q523" s="23" t="str">
        <f>IF(F523="CAPTURE",IF(COUNTIF(orders!$A:$A,O523)&gt;0,"Yes","NO ORDER"),"")</f>
        <v>Yes</v>
      </c>
    </row>
    <row r="524" spans="1:17" ht="15" customHeight="1" x14ac:dyDescent="0.3">
      <c r="A524" s="23" t="s">
        <v>13017</v>
      </c>
      <c r="B524" s="23"/>
      <c r="C524" s="23" t="s">
        <v>13018</v>
      </c>
      <c r="D524" s="23" t="str">
        <f t="shared" si="24"/>
        <v>ORD26000097</v>
      </c>
      <c r="E524" s="38">
        <v>46269</v>
      </c>
      <c r="F524" s="23" t="s">
        <v>12410</v>
      </c>
      <c r="G524" s="23" t="s">
        <v>77</v>
      </c>
      <c r="H524" s="24">
        <v>1098</v>
      </c>
      <c r="I524" s="24">
        <v>20.86</v>
      </c>
      <c r="J524" s="24">
        <v>3.75</v>
      </c>
      <c r="K524" s="24">
        <v>1073.3900000000001</v>
      </c>
      <c r="L524" s="38">
        <v>46271</v>
      </c>
      <c r="M524" s="23" t="s">
        <v>188</v>
      </c>
      <c r="N524" s="23" t="str">
        <f>IF(COUNTIF($A$2:A524,A524)&gt;1,"DUP","OK")</f>
        <v>OK</v>
      </c>
      <c r="O524" s="23" t="str">
        <f t="shared" si="25"/>
        <v>ORD26000097</v>
      </c>
      <c r="P524" s="23" t="str">
        <f t="shared" si="26"/>
        <v>Sep</v>
      </c>
      <c r="Q524" s="23" t="str">
        <f>IF(F524="CAPTURE",IF(COUNTIF(orders!$A:$A,O524)&gt;0,"Yes","NO ORDER"),"")</f>
        <v>Yes</v>
      </c>
    </row>
    <row r="525" spans="1:17" ht="15" customHeight="1" x14ac:dyDescent="0.3">
      <c r="A525" s="23" t="s">
        <v>13019</v>
      </c>
      <c r="B525" s="23"/>
      <c r="C525" s="23" t="s">
        <v>535</v>
      </c>
      <c r="D525" s="23" t="str">
        <f t="shared" si="24"/>
        <v>ORD26000112</v>
      </c>
      <c r="E525" s="38">
        <v>46269</v>
      </c>
      <c r="F525" s="23" t="s">
        <v>12410</v>
      </c>
      <c r="G525" s="23" t="s">
        <v>75</v>
      </c>
      <c r="H525" s="24">
        <v>10297</v>
      </c>
      <c r="I525" s="24">
        <v>30.89</v>
      </c>
      <c r="J525" s="24">
        <v>5.56</v>
      </c>
      <c r="K525" s="24">
        <v>10260.549999999999</v>
      </c>
      <c r="L525" s="38">
        <v>46271</v>
      </c>
      <c r="M525" s="23" t="s">
        <v>188</v>
      </c>
      <c r="N525" s="23" t="str">
        <f>IF(COUNTIF($A$2:A525,A525)&gt;1,"DUP","OK")</f>
        <v>OK</v>
      </c>
      <c r="O525" s="23" t="str">
        <f t="shared" si="25"/>
        <v>ORD26000112</v>
      </c>
      <c r="P525" s="23" t="str">
        <f t="shared" si="26"/>
        <v>Sep</v>
      </c>
      <c r="Q525" s="23" t="str">
        <f>IF(F525="CAPTURE",IF(COUNTIF(orders!$A:$A,O525)&gt;0,"Yes","NO ORDER"),"")</f>
        <v>Yes</v>
      </c>
    </row>
    <row r="526" spans="1:17" ht="15" customHeight="1" x14ac:dyDescent="0.3">
      <c r="A526" s="23" t="s">
        <v>13020</v>
      </c>
      <c r="B526" s="23"/>
      <c r="C526" s="23" t="s">
        <v>543</v>
      </c>
      <c r="D526" s="23" t="str">
        <f t="shared" si="24"/>
        <v>ORD26000116</v>
      </c>
      <c r="E526" s="38">
        <v>46269</v>
      </c>
      <c r="F526" s="23" t="s">
        <v>12410</v>
      </c>
      <c r="G526" s="23" t="s">
        <v>75</v>
      </c>
      <c r="H526" s="24">
        <v>2499</v>
      </c>
      <c r="I526" s="24">
        <v>7.5</v>
      </c>
      <c r="J526" s="24">
        <v>1.35</v>
      </c>
      <c r="K526" s="24">
        <v>2490.15</v>
      </c>
      <c r="L526" s="38">
        <v>46271</v>
      </c>
      <c r="M526" s="23" t="s">
        <v>188</v>
      </c>
      <c r="N526" s="23" t="str">
        <f>IF(COUNTIF($A$2:A526,A526)&gt;1,"DUP","OK")</f>
        <v>OK</v>
      </c>
      <c r="O526" s="23" t="str">
        <f t="shared" si="25"/>
        <v>ORD26000116</v>
      </c>
      <c r="P526" s="23" t="str">
        <f t="shared" si="26"/>
        <v>Sep</v>
      </c>
      <c r="Q526" s="23" t="str">
        <f>IF(F526="CAPTURE",IF(COUNTIF(orders!$A:$A,O526)&gt;0,"Yes","NO ORDER"),"")</f>
        <v>Yes</v>
      </c>
    </row>
    <row r="527" spans="1:17" ht="15" customHeight="1" x14ac:dyDescent="0.3">
      <c r="A527" s="23" t="s">
        <v>13021</v>
      </c>
      <c r="B527" s="23"/>
      <c r="C527" s="23" t="s">
        <v>547</v>
      </c>
      <c r="D527" s="23" t="str">
        <f t="shared" si="24"/>
        <v>ORD26000118</v>
      </c>
      <c r="E527" s="38">
        <v>46269</v>
      </c>
      <c r="F527" s="23" t="s">
        <v>12410</v>
      </c>
      <c r="G527" s="23" t="s">
        <v>75</v>
      </c>
      <c r="H527" s="24">
        <v>5998</v>
      </c>
      <c r="I527" s="24">
        <v>17.989999999999998</v>
      </c>
      <c r="J527" s="24">
        <v>3.24</v>
      </c>
      <c r="K527" s="24">
        <v>5976.77</v>
      </c>
      <c r="L527" s="38">
        <v>46271</v>
      </c>
      <c r="M527" s="23" t="s">
        <v>188</v>
      </c>
      <c r="N527" s="23" t="str">
        <f>IF(COUNTIF($A$2:A527,A527)&gt;1,"DUP","OK")</f>
        <v>OK</v>
      </c>
      <c r="O527" s="23" t="str">
        <f t="shared" si="25"/>
        <v>ORD26000118</v>
      </c>
      <c r="P527" s="23" t="str">
        <f t="shared" si="26"/>
        <v>Sep</v>
      </c>
      <c r="Q527" s="23" t="str">
        <f>IF(F527="CAPTURE",IF(COUNTIF(orders!$A:$A,O527)&gt;0,"Yes","NO ORDER"),"")</f>
        <v>Yes</v>
      </c>
    </row>
    <row r="528" spans="1:17" ht="15" customHeight="1" x14ac:dyDescent="0.3">
      <c r="A528" s="23" t="s">
        <v>13022</v>
      </c>
      <c r="B528" s="23"/>
      <c r="C528" s="23" t="s">
        <v>648</v>
      </c>
      <c r="D528" s="23" t="str">
        <f t="shared" si="24"/>
        <v>ORD26000160</v>
      </c>
      <c r="E528" s="38">
        <v>46269</v>
      </c>
      <c r="F528" s="23" t="s">
        <v>12410</v>
      </c>
      <c r="G528" s="23" t="s">
        <v>79</v>
      </c>
      <c r="H528" s="24">
        <v>1299</v>
      </c>
      <c r="I528" s="24">
        <v>23.38</v>
      </c>
      <c r="J528" s="24">
        <v>4.21</v>
      </c>
      <c r="K528" s="24">
        <v>1271.4100000000001</v>
      </c>
      <c r="L528" s="38">
        <v>46271</v>
      </c>
      <c r="M528" s="23" t="s">
        <v>188</v>
      </c>
      <c r="N528" s="23" t="str">
        <f>IF(COUNTIF($A$2:A528,A528)&gt;1,"DUP","OK")</f>
        <v>OK</v>
      </c>
      <c r="O528" s="23" t="str">
        <f t="shared" si="25"/>
        <v>ORD26000160</v>
      </c>
      <c r="P528" s="23" t="str">
        <f t="shared" si="26"/>
        <v>Sep</v>
      </c>
      <c r="Q528" s="23" t="str">
        <f>IF(F528="CAPTURE",IF(COUNTIF(orders!$A:$A,O528)&gt;0,"Yes","NO ORDER"),"")</f>
        <v>Yes</v>
      </c>
    </row>
    <row r="529" spans="1:17" ht="15" customHeight="1" x14ac:dyDescent="0.3">
      <c r="A529" s="23" t="s">
        <v>13023</v>
      </c>
      <c r="B529" s="23"/>
      <c r="C529" s="23" t="s">
        <v>743</v>
      </c>
      <c r="D529" s="23" t="str">
        <f t="shared" si="24"/>
        <v>ORD26000202</v>
      </c>
      <c r="E529" s="38">
        <v>46269</v>
      </c>
      <c r="F529" s="23" t="s">
        <v>12410</v>
      </c>
      <c r="G529" s="23" t="s">
        <v>75</v>
      </c>
      <c r="H529" s="24">
        <v>3499</v>
      </c>
      <c r="I529" s="24">
        <v>10.5</v>
      </c>
      <c r="J529" s="24">
        <v>1.89</v>
      </c>
      <c r="K529" s="24">
        <v>3486.61</v>
      </c>
      <c r="L529" s="38">
        <v>46271</v>
      </c>
      <c r="M529" s="23" t="s">
        <v>188</v>
      </c>
      <c r="N529" s="23" t="str">
        <f>IF(COUNTIF($A$2:A529,A529)&gt;1,"DUP","OK")</f>
        <v>OK</v>
      </c>
      <c r="O529" s="23" t="str">
        <f t="shared" si="25"/>
        <v>ORD26000202</v>
      </c>
      <c r="P529" s="23" t="str">
        <f t="shared" si="26"/>
        <v>Sep</v>
      </c>
      <c r="Q529" s="23" t="str">
        <f>IF(F529="CAPTURE",IF(COUNTIF(orders!$A:$A,O529)&gt;0,"Yes","NO ORDER"),"")</f>
        <v>Yes</v>
      </c>
    </row>
    <row r="530" spans="1:17" ht="15" customHeight="1" x14ac:dyDescent="0.3">
      <c r="A530" s="23" t="s">
        <v>13024</v>
      </c>
      <c r="B530" s="23"/>
      <c r="C530" s="23" t="s">
        <v>793</v>
      </c>
      <c r="D530" s="23" t="str">
        <f t="shared" si="24"/>
        <v>ORD26000221</v>
      </c>
      <c r="E530" s="38">
        <v>46269</v>
      </c>
      <c r="F530" s="23" t="s">
        <v>12410</v>
      </c>
      <c r="G530" s="23" t="s">
        <v>75</v>
      </c>
      <c r="H530" s="24">
        <v>1499</v>
      </c>
      <c r="I530" s="24">
        <v>0</v>
      </c>
      <c r="J530" s="24">
        <v>0</v>
      </c>
      <c r="K530" s="24">
        <v>1499</v>
      </c>
      <c r="L530" s="38">
        <v>46271</v>
      </c>
      <c r="M530" s="23" t="s">
        <v>188</v>
      </c>
      <c r="N530" s="23" t="str">
        <f>IF(COUNTIF($A$2:A530,A530)&gt;1,"DUP","OK")</f>
        <v>OK</v>
      </c>
      <c r="O530" s="23" t="str">
        <f t="shared" si="25"/>
        <v>ORD26000221</v>
      </c>
      <c r="P530" s="23" t="str">
        <f t="shared" si="26"/>
        <v>Sep</v>
      </c>
      <c r="Q530" s="23" t="str">
        <f>IF(F530="CAPTURE",IF(COUNTIF(orders!$A:$A,O530)&gt;0,"Yes","NO ORDER"),"")</f>
        <v>Yes</v>
      </c>
    </row>
    <row r="531" spans="1:17" ht="15" customHeight="1" x14ac:dyDescent="0.3">
      <c r="A531" s="23" t="s">
        <v>13025</v>
      </c>
      <c r="B531" s="23"/>
      <c r="C531" s="23" t="s">
        <v>903</v>
      </c>
      <c r="D531" s="23" t="str">
        <f t="shared" si="24"/>
        <v>ORD26000270</v>
      </c>
      <c r="E531" s="38">
        <v>46269</v>
      </c>
      <c r="F531" s="23" t="s">
        <v>12410</v>
      </c>
      <c r="G531" s="23" t="s">
        <v>75</v>
      </c>
      <c r="H531" s="24">
        <v>3100</v>
      </c>
      <c r="I531" s="24">
        <v>9.3000000000000007</v>
      </c>
      <c r="J531" s="24">
        <v>1.67</v>
      </c>
      <c r="K531" s="24">
        <v>3089.03</v>
      </c>
      <c r="L531" s="38">
        <v>46271</v>
      </c>
      <c r="M531" s="23" t="s">
        <v>188</v>
      </c>
      <c r="N531" s="23" t="str">
        <f>IF(COUNTIF($A$2:A531,A531)&gt;1,"DUP","OK")</f>
        <v>OK</v>
      </c>
      <c r="O531" s="23" t="str">
        <f t="shared" si="25"/>
        <v>ORD26000270</v>
      </c>
      <c r="P531" s="23" t="str">
        <f t="shared" si="26"/>
        <v>Sep</v>
      </c>
      <c r="Q531" s="23" t="str">
        <f>IF(F531="CAPTURE",IF(COUNTIF(orders!$A:$A,O531)&gt;0,"Yes","NO ORDER"),"")</f>
        <v>Yes</v>
      </c>
    </row>
    <row r="532" spans="1:17" ht="15" customHeight="1" x14ac:dyDescent="0.3">
      <c r="A532" s="23" t="s">
        <v>13026</v>
      </c>
      <c r="B532" s="23"/>
      <c r="C532" s="23" t="s">
        <v>13027</v>
      </c>
      <c r="D532" s="23" t="str">
        <f t="shared" si="24"/>
        <v>ORD26000300</v>
      </c>
      <c r="E532" s="38">
        <v>46269</v>
      </c>
      <c r="F532" s="23" t="s">
        <v>12410</v>
      </c>
      <c r="G532" s="23" t="s">
        <v>79</v>
      </c>
      <c r="H532" s="24">
        <v>5998</v>
      </c>
      <c r="I532" s="24">
        <v>95.97</v>
      </c>
      <c r="J532" s="24">
        <v>17.27</v>
      </c>
      <c r="K532" s="24">
        <v>5884.76</v>
      </c>
      <c r="L532" s="38">
        <v>46271</v>
      </c>
      <c r="M532" s="23" t="s">
        <v>188</v>
      </c>
      <c r="N532" s="23" t="str">
        <f>IF(COUNTIF($A$2:A532,A532)&gt;1,"DUP","OK")</f>
        <v>OK</v>
      </c>
      <c r="O532" s="23" t="str">
        <f t="shared" si="25"/>
        <v>ORD26000300</v>
      </c>
      <c r="P532" s="23" t="str">
        <f t="shared" si="26"/>
        <v>Sep</v>
      </c>
      <c r="Q532" s="23" t="str">
        <f>IF(F532="CAPTURE",IF(COUNTIF(orders!$A:$A,O532)&gt;0,"Yes","NO ORDER"),"")</f>
        <v>Yes</v>
      </c>
    </row>
    <row r="533" spans="1:17" ht="15" customHeight="1" x14ac:dyDescent="0.3">
      <c r="A533" s="23" t="s">
        <v>13028</v>
      </c>
      <c r="B533" s="23"/>
      <c r="C533" s="23" t="s">
        <v>1008</v>
      </c>
      <c r="D533" s="23" t="str">
        <f t="shared" si="24"/>
        <v>ORD26000320</v>
      </c>
      <c r="E533" s="38">
        <v>46269</v>
      </c>
      <c r="F533" s="23" t="s">
        <v>12410</v>
      </c>
      <c r="G533" s="23" t="s">
        <v>79</v>
      </c>
      <c r="H533" s="24">
        <v>4498</v>
      </c>
      <c r="I533" s="24">
        <v>71.97</v>
      </c>
      <c r="J533" s="24">
        <v>12.95</v>
      </c>
      <c r="K533" s="24">
        <v>4413.08</v>
      </c>
      <c r="L533" s="38">
        <v>46271</v>
      </c>
      <c r="M533" s="23" t="s">
        <v>188</v>
      </c>
      <c r="N533" s="23" t="str">
        <f>IF(COUNTIF($A$2:A533,A533)&gt;1,"DUP","OK")</f>
        <v>OK</v>
      </c>
      <c r="O533" s="23" t="str">
        <f t="shared" si="25"/>
        <v>ORD26000320</v>
      </c>
      <c r="P533" s="23" t="str">
        <f t="shared" si="26"/>
        <v>Sep</v>
      </c>
      <c r="Q533" s="23" t="str">
        <f>IF(F533="CAPTURE",IF(COUNTIF(orders!$A:$A,O533)&gt;0,"Yes","NO ORDER"),"")</f>
        <v>Yes</v>
      </c>
    </row>
    <row r="534" spans="1:17" ht="15" customHeight="1" x14ac:dyDescent="0.3">
      <c r="A534" s="23" t="s">
        <v>13029</v>
      </c>
      <c r="B534" s="23"/>
      <c r="C534" s="23" t="s">
        <v>1052</v>
      </c>
      <c r="D534" s="23" t="str">
        <f t="shared" si="24"/>
        <v>ORD26000339</v>
      </c>
      <c r="E534" s="38">
        <v>46269</v>
      </c>
      <c r="F534" s="23" t="s">
        <v>12410</v>
      </c>
      <c r="G534" s="23" t="s">
        <v>77</v>
      </c>
      <c r="H534" s="24">
        <v>6597</v>
      </c>
      <c r="I534" s="24">
        <v>112.15</v>
      </c>
      <c r="J534" s="24">
        <v>20.190000000000001</v>
      </c>
      <c r="K534" s="24">
        <v>6464.66</v>
      </c>
      <c r="L534" s="38">
        <v>46271</v>
      </c>
      <c r="M534" s="23" t="s">
        <v>188</v>
      </c>
      <c r="N534" s="23" t="str">
        <f>IF(COUNTIF($A$2:A534,A534)&gt;1,"DUP","OK")</f>
        <v>OK</v>
      </c>
      <c r="O534" s="23" t="str">
        <f t="shared" si="25"/>
        <v>ORD26000339</v>
      </c>
      <c r="P534" s="23" t="str">
        <f t="shared" si="26"/>
        <v>Sep</v>
      </c>
      <c r="Q534" s="23" t="str">
        <f>IF(F534="CAPTURE",IF(COUNTIF(orders!$A:$A,O534)&gt;0,"Yes","NO ORDER"),"")</f>
        <v>Yes</v>
      </c>
    </row>
    <row r="535" spans="1:17" ht="15" customHeight="1" x14ac:dyDescent="0.3">
      <c r="A535" s="23" t="s">
        <v>13030</v>
      </c>
      <c r="B535" s="23"/>
      <c r="C535" s="23" t="s">
        <v>1077</v>
      </c>
      <c r="D535" s="23" t="str">
        <f t="shared" si="24"/>
        <v>ORD26000350</v>
      </c>
      <c r="E535" s="38">
        <v>46269</v>
      </c>
      <c r="F535" s="23" t="s">
        <v>12410</v>
      </c>
      <c r="G535" s="23" t="s">
        <v>79</v>
      </c>
      <c r="H535" s="24">
        <v>2499</v>
      </c>
      <c r="I535" s="24">
        <v>39.979999999999997</v>
      </c>
      <c r="J535" s="24">
        <v>7.2</v>
      </c>
      <c r="K535" s="24">
        <v>2451.8200000000002</v>
      </c>
      <c r="L535" s="38">
        <v>46271</v>
      </c>
      <c r="M535" s="23" t="s">
        <v>188</v>
      </c>
      <c r="N535" s="23" t="str">
        <f>IF(COUNTIF($A$2:A535,A535)&gt;1,"DUP","OK")</f>
        <v>OK</v>
      </c>
      <c r="O535" s="23" t="str">
        <f t="shared" si="25"/>
        <v>ORD26000350</v>
      </c>
      <c r="P535" s="23" t="str">
        <f t="shared" si="26"/>
        <v>Sep</v>
      </c>
      <c r="Q535" s="23" t="str">
        <f>IF(F535="CAPTURE",IF(COUNTIF(orders!$A:$A,O535)&gt;0,"Yes","NO ORDER"),"")</f>
        <v>Yes</v>
      </c>
    </row>
    <row r="536" spans="1:17" ht="15" customHeight="1" x14ac:dyDescent="0.3">
      <c r="A536" s="23" t="s">
        <v>13031</v>
      </c>
      <c r="B536" s="23"/>
      <c r="C536" s="23" t="s">
        <v>1164</v>
      </c>
      <c r="D536" s="23" t="str">
        <f t="shared" si="24"/>
        <v>ORD26000390</v>
      </c>
      <c r="E536" s="38">
        <v>46269</v>
      </c>
      <c r="F536" s="23" t="s">
        <v>12410</v>
      </c>
      <c r="G536" s="23" t="s">
        <v>79</v>
      </c>
      <c r="H536" s="24">
        <v>499</v>
      </c>
      <c r="I536" s="24">
        <v>8.98</v>
      </c>
      <c r="J536" s="24">
        <v>1.62</v>
      </c>
      <c r="K536" s="24">
        <v>488.4</v>
      </c>
      <c r="L536" s="38">
        <v>46271</v>
      </c>
      <c r="M536" s="23" t="s">
        <v>188</v>
      </c>
      <c r="N536" s="23" t="str">
        <f>IF(COUNTIF($A$2:A536,A536)&gt;1,"DUP","OK")</f>
        <v>OK</v>
      </c>
      <c r="O536" s="23" t="str">
        <f t="shared" si="25"/>
        <v>ORD26000390</v>
      </c>
      <c r="P536" s="23" t="str">
        <f t="shared" si="26"/>
        <v>Sep</v>
      </c>
      <c r="Q536" s="23" t="str">
        <f>IF(F536="CAPTURE",IF(COUNTIF(orders!$A:$A,O536)&gt;0,"Yes","NO ORDER"),"")</f>
        <v>Yes</v>
      </c>
    </row>
    <row r="537" spans="1:17" ht="15" customHeight="1" x14ac:dyDescent="0.3">
      <c r="A537" s="23" t="s">
        <v>13032</v>
      </c>
      <c r="B537" s="23"/>
      <c r="C537" s="23" t="s">
        <v>1328</v>
      </c>
      <c r="D537" s="23" t="str">
        <f t="shared" si="24"/>
        <v>ORD26000466</v>
      </c>
      <c r="E537" s="38">
        <v>46269</v>
      </c>
      <c r="F537" s="23" t="s">
        <v>12410</v>
      </c>
      <c r="G537" s="23" t="s">
        <v>75</v>
      </c>
      <c r="H537" s="24">
        <v>6097</v>
      </c>
      <c r="I537" s="24">
        <v>18.29</v>
      </c>
      <c r="J537" s="24">
        <v>3.29</v>
      </c>
      <c r="K537" s="24">
        <v>6075.42</v>
      </c>
      <c r="L537" s="38">
        <v>46271</v>
      </c>
      <c r="M537" s="23" t="s">
        <v>188</v>
      </c>
      <c r="N537" s="23" t="str">
        <f>IF(COUNTIF($A$2:A537,A537)&gt;1,"DUP","OK")</f>
        <v>OK</v>
      </c>
      <c r="O537" s="23" t="str">
        <f t="shared" si="25"/>
        <v>ORD26000466</v>
      </c>
      <c r="P537" s="23" t="str">
        <f t="shared" si="26"/>
        <v>Sep</v>
      </c>
      <c r="Q537" s="23" t="str">
        <f>IF(F537="CAPTURE",IF(COUNTIF(orders!$A:$A,O537)&gt;0,"Yes","NO ORDER"),"")</f>
        <v>Yes</v>
      </c>
    </row>
    <row r="538" spans="1:17" ht="15" customHeight="1" x14ac:dyDescent="0.3">
      <c r="A538" s="23" t="s">
        <v>13033</v>
      </c>
      <c r="B538" s="23"/>
      <c r="C538" s="23" t="s">
        <v>1394</v>
      </c>
      <c r="D538" s="23" t="str">
        <f t="shared" si="24"/>
        <v>ORD26000495</v>
      </c>
      <c r="E538" s="38">
        <v>46269</v>
      </c>
      <c r="F538" s="23" t="s">
        <v>12410</v>
      </c>
      <c r="G538" s="23" t="s">
        <v>81</v>
      </c>
      <c r="H538" s="24">
        <v>349</v>
      </c>
      <c r="I538" s="24">
        <v>5.24</v>
      </c>
      <c r="J538" s="24">
        <v>0.94</v>
      </c>
      <c r="K538" s="24">
        <v>342.82</v>
      </c>
      <c r="L538" s="38">
        <v>46271</v>
      </c>
      <c r="M538" s="23" t="s">
        <v>188</v>
      </c>
      <c r="N538" s="23" t="str">
        <f>IF(COUNTIF($A$2:A538,A538)&gt;1,"DUP","OK")</f>
        <v>OK</v>
      </c>
      <c r="O538" s="23" t="str">
        <f t="shared" si="25"/>
        <v>ORD26000495</v>
      </c>
      <c r="P538" s="23" t="str">
        <f t="shared" si="26"/>
        <v>Sep</v>
      </c>
      <c r="Q538" s="23" t="str">
        <f>IF(F538="CAPTURE",IF(COUNTIF(orders!$A:$A,O538)&gt;0,"Yes","NO ORDER"),"")</f>
        <v>Yes</v>
      </c>
    </row>
    <row r="539" spans="1:17" ht="15" customHeight="1" x14ac:dyDescent="0.3">
      <c r="A539" s="23" t="s">
        <v>13034</v>
      </c>
      <c r="B539" s="23"/>
      <c r="C539" s="23" t="s">
        <v>1472</v>
      </c>
      <c r="D539" s="23" t="str">
        <f t="shared" si="24"/>
        <v>ORD26000530</v>
      </c>
      <c r="E539" s="38">
        <v>46269</v>
      </c>
      <c r="F539" s="23" t="s">
        <v>12410</v>
      </c>
      <c r="G539" s="23" t="s">
        <v>81</v>
      </c>
      <c r="H539" s="24">
        <v>1299</v>
      </c>
      <c r="I539" s="24">
        <v>19.489999999999998</v>
      </c>
      <c r="J539" s="24">
        <v>3.51</v>
      </c>
      <c r="K539" s="24">
        <v>1276</v>
      </c>
      <c r="L539" s="38">
        <v>46271</v>
      </c>
      <c r="M539" s="23" t="s">
        <v>188</v>
      </c>
      <c r="N539" s="23" t="str">
        <f>IF(COUNTIF($A$2:A539,A539)&gt;1,"DUP","OK")</f>
        <v>OK</v>
      </c>
      <c r="O539" s="23" t="str">
        <f t="shared" si="25"/>
        <v>ORD26000530</v>
      </c>
      <c r="P539" s="23" t="str">
        <f t="shared" si="26"/>
        <v>Sep</v>
      </c>
      <c r="Q539" s="23" t="str">
        <f>IF(F539="CAPTURE",IF(COUNTIF(orders!$A:$A,O539)&gt;0,"Yes","NO ORDER"),"")</f>
        <v>Yes</v>
      </c>
    </row>
    <row r="540" spans="1:17" ht="15" customHeight="1" x14ac:dyDescent="0.3">
      <c r="A540" s="23" t="s">
        <v>13035</v>
      </c>
      <c r="B540" s="23"/>
      <c r="C540" s="23" t="s">
        <v>1658</v>
      </c>
      <c r="D540" s="23" t="str">
        <f t="shared" si="24"/>
        <v>ORD26000615</v>
      </c>
      <c r="E540" s="38">
        <v>46269</v>
      </c>
      <c r="F540" s="23" t="s">
        <v>12410</v>
      </c>
      <c r="G540" s="23" t="s">
        <v>75</v>
      </c>
      <c r="H540" s="24">
        <v>1598</v>
      </c>
      <c r="I540" s="24">
        <v>0</v>
      </c>
      <c r="J540" s="24">
        <v>0</v>
      </c>
      <c r="K540" s="24">
        <v>1598</v>
      </c>
      <c r="L540" s="38">
        <v>46271</v>
      </c>
      <c r="M540" s="23" t="s">
        <v>188</v>
      </c>
      <c r="N540" s="23" t="str">
        <f>IF(COUNTIF($A$2:A540,A540)&gt;1,"DUP","OK")</f>
        <v>OK</v>
      </c>
      <c r="O540" s="23" t="str">
        <f t="shared" si="25"/>
        <v>ORD26000615</v>
      </c>
      <c r="P540" s="23" t="str">
        <f t="shared" si="26"/>
        <v>Sep</v>
      </c>
      <c r="Q540" s="23" t="str">
        <f>IF(F540="CAPTURE",IF(COUNTIF(orders!$A:$A,O540)&gt;0,"Yes","NO ORDER"),"")</f>
        <v>Yes</v>
      </c>
    </row>
    <row r="541" spans="1:17" ht="15" customHeight="1" x14ac:dyDescent="0.3">
      <c r="A541" s="23" t="s">
        <v>13036</v>
      </c>
      <c r="B541" s="23"/>
      <c r="C541" s="23" t="s">
        <v>1765</v>
      </c>
      <c r="D541" s="23" t="str">
        <f t="shared" si="24"/>
        <v>ORD26000666</v>
      </c>
      <c r="E541" s="38">
        <v>46269</v>
      </c>
      <c r="F541" s="23" t="s">
        <v>12410</v>
      </c>
      <c r="G541" s="23" t="s">
        <v>81</v>
      </c>
      <c r="H541" s="24">
        <v>2999</v>
      </c>
      <c r="I541" s="24">
        <v>35.99</v>
      </c>
      <c r="J541" s="24">
        <v>6.48</v>
      </c>
      <c r="K541" s="24">
        <v>2956.53</v>
      </c>
      <c r="L541" s="38">
        <v>46271</v>
      </c>
      <c r="M541" s="23" t="s">
        <v>188</v>
      </c>
      <c r="N541" s="23" t="str">
        <f>IF(COUNTIF($A$2:A541,A541)&gt;1,"DUP","OK")</f>
        <v>OK</v>
      </c>
      <c r="O541" s="23" t="str">
        <f t="shared" si="25"/>
        <v>ORD26000666</v>
      </c>
      <c r="P541" s="23" t="str">
        <f t="shared" si="26"/>
        <v>Sep</v>
      </c>
      <c r="Q541" s="23" t="str">
        <f>IF(F541="CAPTURE",IF(COUNTIF(orders!$A:$A,O541)&gt;0,"Yes","NO ORDER"),"")</f>
        <v>Yes</v>
      </c>
    </row>
    <row r="542" spans="1:17" ht="15" customHeight="1" x14ac:dyDescent="0.3">
      <c r="A542" s="23" t="s">
        <v>13037</v>
      </c>
      <c r="B542" s="23"/>
      <c r="C542" s="23" t="s">
        <v>13038</v>
      </c>
      <c r="D542" s="23" t="str">
        <f t="shared" si="24"/>
        <v>ORD26000697</v>
      </c>
      <c r="E542" s="38">
        <v>46269</v>
      </c>
      <c r="F542" s="23" t="s">
        <v>12410</v>
      </c>
      <c r="G542" s="23" t="s">
        <v>77</v>
      </c>
      <c r="H542" s="24">
        <v>599</v>
      </c>
      <c r="I542" s="24">
        <v>11.38</v>
      </c>
      <c r="J542" s="24">
        <v>2.0499999999999998</v>
      </c>
      <c r="K542" s="24">
        <v>585.57000000000005</v>
      </c>
      <c r="L542" s="38">
        <v>46271</v>
      </c>
      <c r="M542" s="23" t="s">
        <v>188</v>
      </c>
      <c r="N542" s="23" t="str">
        <f>IF(COUNTIF($A$2:A542,A542)&gt;1,"DUP","OK")</f>
        <v>OK</v>
      </c>
      <c r="O542" s="23" t="str">
        <f t="shared" si="25"/>
        <v>ORD26000697</v>
      </c>
      <c r="P542" s="23" t="str">
        <f t="shared" si="26"/>
        <v>Sep</v>
      </c>
      <c r="Q542" s="23" t="str">
        <f>IF(F542="CAPTURE",IF(COUNTIF(orders!$A:$A,O542)&gt;0,"Yes","NO ORDER"),"")</f>
        <v>Yes</v>
      </c>
    </row>
    <row r="543" spans="1:17" ht="15" customHeight="1" x14ac:dyDescent="0.3">
      <c r="A543" s="23" t="s">
        <v>13039</v>
      </c>
      <c r="B543" s="23"/>
      <c r="C543" s="23" t="s">
        <v>1993</v>
      </c>
      <c r="D543" s="23" t="str">
        <f t="shared" si="24"/>
        <v>ORD26000775</v>
      </c>
      <c r="E543" s="38">
        <v>46269</v>
      </c>
      <c r="F543" s="23" t="s">
        <v>12410</v>
      </c>
      <c r="G543" s="23" t="s">
        <v>75</v>
      </c>
      <c r="H543" s="24">
        <v>6897</v>
      </c>
      <c r="I543" s="24">
        <v>20.69</v>
      </c>
      <c r="J543" s="24">
        <v>3.72</v>
      </c>
      <c r="K543" s="24">
        <v>6872.59</v>
      </c>
      <c r="L543" s="38">
        <v>46271</v>
      </c>
      <c r="M543" s="23" t="s">
        <v>188</v>
      </c>
      <c r="N543" s="23" t="str">
        <f>IF(COUNTIF($A$2:A543,A543)&gt;1,"DUP","OK")</f>
        <v>OK</v>
      </c>
      <c r="O543" s="23" t="str">
        <f t="shared" si="25"/>
        <v>ORD26000775</v>
      </c>
      <c r="P543" s="23" t="str">
        <f t="shared" si="26"/>
        <v>Sep</v>
      </c>
      <c r="Q543" s="23" t="str">
        <f>IF(F543="CAPTURE",IF(COUNTIF(orders!$A:$A,O543)&gt;0,"Yes","NO ORDER"),"")</f>
        <v>Yes</v>
      </c>
    </row>
    <row r="544" spans="1:17" ht="15" customHeight="1" x14ac:dyDescent="0.3">
      <c r="A544" s="23" t="s">
        <v>13040</v>
      </c>
      <c r="B544" s="23"/>
      <c r="C544" s="23" t="s">
        <v>13041</v>
      </c>
      <c r="D544" s="23" t="str">
        <f t="shared" si="24"/>
        <v>ORD26000779</v>
      </c>
      <c r="E544" s="38">
        <v>46269</v>
      </c>
      <c r="F544" s="23" t="s">
        <v>12410</v>
      </c>
      <c r="G544" s="23" t="s">
        <v>75</v>
      </c>
      <c r="H544" s="24">
        <v>2999</v>
      </c>
      <c r="I544" s="24">
        <v>9</v>
      </c>
      <c r="J544" s="24">
        <v>1.62</v>
      </c>
      <c r="K544" s="24">
        <v>2988.38</v>
      </c>
      <c r="L544" s="38">
        <v>46271</v>
      </c>
      <c r="M544" s="23" t="s">
        <v>188</v>
      </c>
      <c r="N544" s="23" t="str">
        <f>IF(COUNTIF($A$2:A544,A544)&gt;1,"DUP","OK")</f>
        <v>OK</v>
      </c>
      <c r="O544" s="23" t="str">
        <f t="shared" si="25"/>
        <v>ORD26000779</v>
      </c>
      <c r="P544" s="23" t="str">
        <f t="shared" si="26"/>
        <v>Sep</v>
      </c>
      <c r="Q544" s="23" t="str">
        <f>IF(F544="CAPTURE",IF(COUNTIF(orders!$A:$A,O544)&gt;0,"Yes","NO ORDER"),"")</f>
        <v>Yes</v>
      </c>
    </row>
    <row r="545" spans="1:17" ht="15" customHeight="1" x14ac:dyDescent="0.3">
      <c r="A545" s="23" t="s">
        <v>13042</v>
      </c>
      <c r="B545" s="23"/>
      <c r="C545" s="23" t="s">
        <v>2005</v>
      </c>
      <c r="D545" s="23" t="str">
        <f t="shared" si="24"/>
        <v>ORD26000780</v>
      </c>
      <c r="E545" s="38">
        <v>46269</v>
      </c>
      <c r="F545" s="23" t="s">
        <v>12410</v>
      </c>
      <c r="G545" s="23" t="s">
        <v>75</v>
      </c>
      <c r="H545" s="24">
        <v>5598</v>
      </c>
      <c r="I545" s="24">
        <v>16.79</v>
      </c>
      <c r="J545" s="24">
        <v>3.02</v>
      </c>
      <c r="K545" s="24">
        <v>5578.19</v>
      </c>
      <c r="L545" s="38">
        <v>46271</v>
      </c>
      <c r="M545" s="23" t="s">
        <v>188</v>
      </c>
      <c r="N545" s="23" t="str">
        <f>IF(COUNTIF($A$2:A545,A545)&gt;1,"DUP","OK")</f>
        <v>OK</v>
      </c>
      <c r="O545" s="23" t="str">
        <f t="shared" si="25"/>
        <v>ORD26000780</v>
      </c>
      <c r="P545" s="23" t="str">
        <f t="shared" si="26"/>
        <v>Sep</v>
      </c>
      <c r="Q545" s="23" t="str">
        <f>IF(F545="CAPTURE",IF(COUNTIF(orders!$A:$A,O545)&gt;0,"Yes","NO ORDER"),"")</f>
        <v>Yes</v>
      </c>
    </row>
    <row r="546" spans="1:17" ht="15" customHeight="1" x14ac:dyDescent="0.3">
      <c r="A546" s="23" t="s">
        <v>13043</v>
      </c>
      <c r="B546" s="23"/>
      <c r="C546" s="23" t="s">
        <v>2033</v>
      </c>
      <c r="D546" s="23" t="str">
        <f t="shared" si="24"/>
        <v>ORD26000793</v>
      </c>
      <c r="E546" s="38">
        <v>46269</v>
      </c>
      <c r="F546" s="23" t="s">
        <v>12410</v>
      </c>
      <c r="G546" s="23" t="s">
        <v>75</v>
      </c>
      <c r="H546" s="24">
        <v>2499</v>
      </c>
      <c r="I546" s="24">
        <v>7.5</v>
      </c>
      <c r="J546" s="24">
        <v>1.35</v>
      </c>
      <c r="K546" s="24">
        <v>2490.15</v>
      </c>
      <c r="L546" s="38">
        <v>46271</v>
      </c>
      <c r="M546" s="23" t="s">
        <v>188</v>
      </c>
      <c r="N546" s="23" t="str">
        <f>IF(COUNTIF($A$2:A546,A546)&gt;1,"DUP","OK")</f>
        <v>OK</v>
      </c>
      <c r="O546" s="23" t="str">
        <f t="shared" si="25"/>
        <v>ORD26000793</v>
      </c>
      <c r="P546" s="23" t="str">
        <f t="shared" si="26"/>
        <v>Sep</v>
      </c>
      <c r="Q546" s="23" t="str">
        <f>IF(F546="CAPTURE",IF(COUNTIF(orders!$A:$A,O546)&gt;0,"Yes","NO ORDER"),"")</f>
        <v>Yes</v>
      </c>
    </row>
    <row r="547" spans="1:17" ht="15" customHeight="1" x14ac:dyDescent="0.3">
      <c r="A547" s="23" t="s">
        <v>13044</v>
      </c>
      <c r="B547" s="23"/>
      <c r="C547" s="23" t="s">
        <v>13045</v>
      </c>
      <c r="D547" s="23" t="str">
        <f t="shared" si="24"/>
        <v>ORD26000808</v>
      </c>
      <c r="E547" s="38">
        <v>46269</v>
      </c>
      <c r="F547" s="23" t="s">
        <v>12410</v>
      </c>
      <c r="G547" s="23" t="s">
        <v>75</v>
      </c>
      <c r="H547" s="24">
        <v>1499</v>
      </c>
      <c r="I547" s="24">
        <v>0</v>
      </c>
      <c r="J547" s="24">
        <v>0</v>
      </c>
      <c r="K547" s="24">
        <v>1499</v>
      </c>
      <c r="L547" s="38">
        <v>46271</v>
      </c>
      <c r="M547" s="23" t="s">
        <v>188</v>
      </c>
      <c r="N547" s="23" t="str">
        <f>IF(COUNTIF($A$2:A547,A547)&gt;1,"DUP","OK")</f>
        <v>OK</v>
      </c>
      <c r="O547" s="23" t="str">
        <f t="shared" si="25"/>
        <v>ORD26000808</v>
      </c>
      <c r="P547" s="23" t="str">
        <f t="shared" si="26"/>
        <v>Sep</v>
      </c>
      <c r="Q547" s="23" t="str">
        <f>IF(F547="CAPTURE",IF(COUNTIF(orders!$A:$A,O547)&gt;0,"Yes","NO ORDER"),"")</f>
        <v>Yes</v>
      </c>
    </row>
    <row r="548" spans="1:17" ht="15" customHeight="1" x14ac:dyDescent="0.3">
      <c r="A548" s="23" t="s">
        <v>13046</v>
      </c>
      <c r="B548" s="23"/>
      <c r="C548" s="23" t="s">
        <v>13047</v>
      </c>
      <c r="D548" s="23" t="str">
        <f t="shared" si="24"/>
        <v>ORD26000837</v>
      </c>
      <c r="E548" s="38">
        <v>46269</v>
      </c>
      <c r="F548" s="23" t="s">
        <v>12410</v>
      </c>
      <c r="G548" s="23" t="s">
        <v>79</v>
      </c>
      <c r="H548" s="24">
        <v>6097</v>
      </c>
      <c r="I548" s="24">
        <v>97.55</v>
      </c>
      <c r="J548" s="24">
        <v>17.559999999999999</v>
      </c>
      <c r="K548" s="24">
        <v>5981.89</v>
      </c>
      <c r="L548" s="38">
        <v>46271</v>
      </c>
      <c r="M548" s="23" t="s">
        <v>188</v>
      </c>
      <c r="N548" s="23" t="str">
        <f>IF(COUNTIF($A$2:A548,A548)&gt;1,"DUP","OK")</f>
        <v>OK</v>
      </c>
      <c r="O548" s="23" t="str">
        <f t="shared" si="25"/>
        <v>ORD26000837</v>
      </c>
      <c r="P548" s="23" t="str">
        <f t="shared" si="26"/>
        <v>Sep</v>
      </c>
      <c r="Q548" s="23" t="str">
        <f>IF(F548="CAPTURE",IF(COUNTIF(orders!$A:$A,O548)&gt;0,"Yes","NO ORDER"),"")</f>
        <v>Yes</v>
      </c>
    </row>
    <row r="549" spans="1:17" ht="15" customHeight="1" x14ac:dyDescent="0.3">
      <c r="A549" s="23" t="s">
        <v>13048</v>
      </c>
      <c r="B549" s="23"/>
      <c r="C549" s="23" t="s">
        <v>2142</v>
      </c>
      <c r="D549" s="23" t="str">
        <f t="shared" si="24"/>
        <v>ORD26000846</v>
      </c>
      <c r="E549" s="38">
        <v>46269</v>
      </c>
      <c r="F549" s="23" t="s">
        <v>12410</v>
      </c>
      <c r="G549" s="23" t="s">
        <v>79</v>
      </c>
      <c r="H549" s="24">
        <v>6997</v>
      </c>
      <c r="I549" s="24">
        <v>111.95</v>
      </c>
      <c r="J549" s="24">
        <v>20.149999999999999</v>
      </c>
      <c r="K549" s="24">
        <v>6864.9</v>
      </c>
      <c r="L549" s="38">
        <v>46271</v>
      </c>
      <c r="M549" s="23" t="s">
        <v>188</v>
      </c>
      <c r="N549" s="23" t="str">
        <f>IF(COUNTIF($A$2:A549,A549)&gt;1,"DUP","OK")</f>
        <v>OK</v>
      </c>
      <c r="O549" s="23" t="str">
        <f t="shared" si="25"/>
        <v>ORD26000846</v>
      </c>
      <c r="P549" s="23" t="str">
        <f t="shared" si="26"/>
        <v>Sep</v>
      </c>
      <c r="Q549" s="23" t="str">
        <f>IF(F549="CAPTURE",IF(COUNTIF(orders!$A:$A,O549)&gt;0,"Yes","NO ORDER"),"")</f>
        <v>Yes</v>
      </c>
    </row>
    <row r="550" spans="1:17" ht="15" customHeight="1" x14ac:dyDescent="0.3">
      <c r="A550" s="23" t="s">
        <v>13049</v>
      </c>
      <c r="B550" s="23"/>
      <c r="C550" s="23" t="s">
        <v>2181</v>
      </c>
      <c r="D550" s="23" t="str">
        <f t="shared" si="24"/>
        <v>ORD26000864</v>
      </c>
      <c r="E550" s="38">
        <v>46269</v>
      </c>
      <c r="F550" s="23" t="s">
        <v>12410</v>
      </c>
      <c r="G550" s="23" t="s">
        <v>79</v>
      </c>
      <c r="H550" s="24">
        <v>599</v>
      </c>
      <c r="I550" s="24">
        <v>10.78</v>
      </c>
      <c r="J550" s="24">
        <v>1.94</v>
      </c>
      <c r="K550" s="24">
        <v>586.28</v>
      </c>
      <c r="L550" s="38">
        <v>46271</v>
      </c>
      <c r="M550" s="23" t="s">
        <v>188</v>
      </c>
      <c r="N550" s="23" t="str">
        <f>IF(COUNTIF($A$2:A550,A550)&gt;1,"DUP","OK")</f>
        <v>OK</v>
      </c>
      <c r="O550" s="23" t="str">
        <f t="shared" si="25"/>
        <v>ORD26000864</v>
      </c>
      <c r="P550" s="23" t="str">
        <f t="shared" si="26"/>
        <v>Sep</v>
      </c>
      <c r="Q550" s="23" t="str">
        <f>IF(F550="CAPTURE",IF(COUNTIF(orders!$A:$A,O550)&gt;0,"Yes","NO ORDER"),"")</f>
        <v>Yes</v>
      </c>
    </row>
    <row r="551" spans="1:17" ht="15" customHeight="1" x14ac:dyDescent="0.3">
      <c r="A551" s="23" t="s">
        <v>13050</v>
      </c>
      <c r="B551" s="23"/>
      <c r="C551" s="23" t="s">
        <v>2286</v>
      </c>
      <c r="D551" s="23" t="str">
        <f t="shared" si="24"/>
        <v>ORD26000915</v>
      </c>
      <c r="E551" s="38">
        <v>46269</v>
      </c>
      <c r="F551" s="23" t="s">
        <v>12410</v>
      </c>
      <c r="G551" s="23" t="s">
        <v>75</v>
      </c>
      <c r="H551" s="24">
        <v>3998</v>
      </c>
      <c r="I551" s="24">
        <v>11.99</v>
      </c>
      <c r="J551" s="24">
        <v>2.16</v>
      </c>
      <c r="K551" s="24">
        <v>3983.85</v>
      </c>
      <c r="L551" s="38">
        <v>46271</v>
      </c>
      <c r="M551" s="23" t="s">
        <v>188</v>
      </c>
      <c r="N551" s="23" t="str">
        <f>IF(COUNTIF($A$2:A551,A551)&gt;1,"DUP","OK")</f>
        <v>OK</v>
      </c>
      <c r="O551" s="23" t="str">
        <f t="shared" si="25"/>
        <v>ORD26000915</v>
      </c>
      <c r="P551" s="23" t="str">
        <f t="shared" si="26"/>
        <v>Sep</v>
      </c>
      <c r="Q551" s="23" t="str">
        <f>IF(F551="CAPTURE",IF(COUNTIF(orders!$A:$A,O551)&gt;0,"Yes","NO ORDER"),"")</f>
        <v>Yes</v>
      </c>
    </row>
    <row r="552" spans="1:17" ht="15" customHeight="1" x14ac:dyDescent="0.3">
      <c r="A552" s="23" t="s">
        <v>13051</v>
      </c>
      <c r="B552" s="23"/>
      <c r="C552" s="23" t="s">
        <v>2414</v>
      </c>
      <c r="D552" s="23" t="str">
        <f t="shared" si="24"/>
        <v>ORD26000977</v>
      </c>
      <c r="E552" s="38">
        <v>46269</v>
      </c>
      <c r="F552" s="23" t="s">
        <v>12410</v>
      </c>
      <c r="G552" s="23" t="s">
        <v>79</v>
      </c>
      <c r="H552" s="24">
        <v>349</v>
      </c>
      <c r="I552" s="24">
        <v>6.28</v>
      </c>
      <c r="J552" s="24">
        <v>1.1299999999999999</v>
      </c>
      <c r="K552" s="24">
        <v>341.59</v>
      </c>
      <c r="L552" s="38">
        <v>46271</v>
      </c>
      <c r="M552" s="23" t="s">
        <v>188</v>
      </c>
      <c r="N552" s="23" t="str">
        <f>IF(COUNTIF($A$2:A552,A552)&gt;1,"DUP","OK")</f>
        <v>OK</v>
      </c>
      <c r="O552" s="23" t="str">
        <f t="shared" si="25"/>
        <v>ORD26000977</v>
      </c>
      <c r="P552" s="23" t="str">
        <f t="shared" si="26"/>
        <v>Sep</v>
      </c>
      <c r="Q552" s="23" t="str">
        <f>IF(F552="CAPTURE",IF(COUNTIF(orders!$A:$A,O552)&gt;0,"Yes","NO ORDER"),"")</f>
        <v>Yes</v>
      </c>
    </row>
    <row r="553" spans="1:17" ht="15" customHeight="1" x14ac:dyDescent="0.3">
      <c r="A553" s="23" t="s">
        <v>13052</v>
      </c>
      <c r="B553" s="23"/>
      <c r="C553" s="23" t="s">
        <v>2444</v>
      </c>
      <c r="D553" s="23" t="str">
        <f t="shared" si="24"/>
        <v>ORD26000992</v>
      </c>
      <c r="E553" s="38">
        <v>46269</v>
      </c>
      <c r="F553" s="23" t="s">
        <v>12410</v>
      </c>
      <c r="G553" s="23" t="s">
        <v>75</v>
      </c>
      <c r="H553" s="24">
        <v>2597</v>
      </c>
      <c r="I553" s="24">
        <v>7.79</v>
      </c>
      <c r="J553" s="24">
        <v>1.4</v>
      </c>
      <c r="K553" s="24">
        <v>2587.81</v>
      </c>
      <c r="L553" s="38">
        <v>46271</v>
      </c>
      <c r="M553" s="23" t="s">
        <v>188</v>
      </c>
      <c r="N553" s="23" t="str">
        <f>IF(COUNTIF($A$2:A553,A553)&gt;1,"DUP","OK")</f>
        <v>OK</v>
      </c>
      <c r="O553" s="23" t="str">
        <f t="shared" si="25"/>
        <v>ORD26000992</v>
      </c>
      <c r="P553" s="23" t="str">
        <f t="shared" si="26"/>
        <v>Sep</v>
      </c>
      <c r="Q553" s="23" t="str">
        <f>IF(F553="CAPTURE",IF(COUNTIF(orders!$A:$A,O553)&gt;0,"Yes","NO ORDER"),"")</f>
        <v>Yes</v>
      </c>
    </row>
    <row r="554" spans="1:17" ht="15" customHeight="1" x14ac:dyDescent="0.3">
      <c r="A554" s="23" t="s">
        <v>13053</v>
      </c>
      <c r="B554" s="23"/>
      <c r="C554" s="23" t="s">
        <v>2705</v>
      </c>
      <c r="D554" s="23" t="str">
        <f t="shared" si="24"/>
        <v>ORD26001120</v>
      </c>
      <c r="E554" s="38">
        <v>46269</v>
      </c>
      <c r="F554" s="23" t="s">
        <v>12410</v>
      </c>
      <c r="G554" s="23" t="s">
        <v>79</v>
      </c>
      <c r="H554" s="24">
        <v>999</v>
      </c>
      <c r="I554" s="24">
        <v>17.98</v>
      </c>
      <c r="J554" s="24">
        <v>3.24</v>
      </c>
      <c r="K554" s="24">
        <v>977.78</v>
      </c>
      <c r="L554" s="38">
        <v>46271</v>
      </c>
      <c r="M554" s="23" t="s">
        <v>188</v>
      </c>
      <c r="N554" s="23" t="str">
        <f>IF(COUNTIF($A$2:A554,A554)&gt;1,"DUP","OK")</f>
        <v>OK</v>
      </c>
      <c r="O554" s="23" t="str">
        <f t="shared" si="25"/>
        <v>ORD26001120</v>
      </c>
      <c r="P554" s="23" t="str">
        <f t="shared" si="26"/>
        <v>Sep</v>
      </c>
      <c r="Q554" s="23" t="str">
        <f>IF(F554="CAPTURE",IF(COUNTIF(orders!$A:$A,O554)&gt;0,"Yes","NO ORDER"),"")</f>
        <v>Yes</v>
      </c>
    </row>
    <row r="555" spans="1:17" ht="15" customHeight="1" x14ac:dyDescent="0.3">
      <c r="A555" s="23" t="s">
        <v>13054</v>
      </c>
      <c r="B555" s="23"/>
      <c r="C555" s="23" t="s">
        <v>2787</v>
      </c>
      <c r="D555" s="23" t="str">
        <f t="shared" si="24"/>
        <v>ORD26001160</v>
      </c>
      <c r="E555" s="38">
        <v>46269</v>
      </c>
      <c r="F555" s="23" t="s">
        <v>12410</v>
      </c>
      <c r="G555" s="23" t="s">
        <v>75</v>
      </c>
      <c r="H555" s="24">
        <v>349</v>
      </c>
      <c r="I555" s="24">
        <v>0</v>
      </c>
      <c r="J555" s="24">
        <v>0</v>
      </c>
      <c r="K555" s="24">
        <v>349</v>
      </c>
      <c r="L555" s="38">
        <v>46271</v>
      </c>
      <c r="M555" s="23" t="s">
        <v>188</v>
      </c>
      <c r="N555" s="23" t="str">
        <f>IF(COUNTIF($A$2:A555,A555)&gt;1,"DUP","OK")</f>
        <v>OK</v>
      </c>
      <c r="O555" s="23" t="str">
        <f t="shared" si="25"/>
        <v>ORD26001160</v>
      </c>
      <c r="P555" s="23" t="str">
        <f t="shared" si="26"/>
        <v>Sep</v>
      </c>
      <c r="Q555" s="23" t="str">
        <f>IF(F555="CAPTURE",IF(COUNTIF(orders!$A:$A,O555)&gt;0,"Yes","NO ORDER"),"")</f>
        <v>Yes</v>
      </c>
    </row>
    <row r="556" spans="1:17" ht="15" customHeight="1" x14ac:dyDescent="0.3">
      <c r="A556" s="23" t="s">
        <v>13055</v>
      </c>
      <c r="B556" s="23"/>
      <c r="C556" s="23" t="s">
        <v>2817</v>
      </c>
      <c r="D556" s="23" t="str">
        <f t="shared" si="24"/>
        <v>ORD26001175</v>
      </c>
      <c r="E556" s="38">
        <v>46269</v>
      </c>
      <c r="F556" s="23" t="s">
        <v>12410</v>
      </c>
      <c r="G556" s="23" t="s">
        <v>77</v>
      </c>
      <c r="H556" s="24">
        <v>1499</v>
      </c>
      <c r="I556" s="24">
        <v>28.48</v>
      </c>
      <c r="J556" s="24">
        <v>5.13</v>
      </c>
      <c r="K556" s="24">
        <v>1465.39</v>
      </c>
      <c r="L556" s="38">
        <v>46271</v>
      </c>
      <c r="M556" s="23" t="s">
        <v>188</v>
      </c>
      <c r="N556" s="23" t="str">
        <f>IF(COUNTIF($A$2:A556,A556)&gt;1,"DUP","OK")</f>
        <v>OK</v>
      </c>
      <c r="O556" s="23" t="str">
        <f t="shared" si="25"/>
        <v>ORD26001175</v>
      </c>
      <c r="P556" s="23" t="str">
        <f t="shared" si="26"/>
        <v>Sep</v>
      </c>
      <c r="Q556" s="23" t="str">
        <f>IF(F556="CAPTURE",IF(COUNTIF(orders!$A:$A,O556)&gt;0,"Yes","NO ORDER"),"")</f>
        <v>Yes</v>
      </c>
    </row>
    <row r="557" spans="1:17" ht="15" customHeight="1" x14ac:dyDescent="0.3">
      <c r="A557" s="23" t="s">
        <v>13056</v>
      </c>
      <c r="B557" s="23"/>
      <c r="C557" s="23" t="s">
        <v>13057</v>
      </c>
      <c r="D557" s="23" t="str">
        <f t="shared" si="24"/>
        <v>ORD26001224</v>
      </c>
      <c r="E557" s="38">
        <v>46269</v>
      </c>
      <c r="F557" s="23" t="s">
        <v>12410</v>
      </c>
      <c r="G557" s="23" t="s">
        <v>75</v>
      </c>
      <c r="H557" s="24">
        <v>9297</v>
      </c>
      <c r="I557" s="24">
        <v>27.89</v>
      </c>
      <c r="J557" s="24">
        <v>5.0199999999999996</v>
      </c>
      <c r="K557" s="24">
        <v>9264.09</v>
      </c>
      <c r="L557" s="38">
        <v>46271</v>
      </c>
      <c r="M557" s="23" t="s">
        <v>188</v>
      </c>
      <c r="N557" s="23" t="str">
        <f>IF(COUNTIF($A$2:A557,A557)&gt;1,"DUP","OK")</f>
        <v>OK</v>
      </c>
      <c r="O557" s="23" t="str">
        <f t="shared" si="25"/>
        <v>ORD26001224</v>
      </c>
      <c r="P557" s="23" t="str">
        <f t="shared" si="26"/>
        <v>Sep</v>
      </c>
      <c r="Q557" s="23" t="str">
        <f>IF(F557="CAPTURE",IF(COUNTIF(orders!$A:$A,O557)&gt;0,"Yes","NO ORDER"),"")</f>
        <v>Yes</v>
      </c>
    </row>
    <row r="558" spans="1:17" ht="15" customHeight="1" x14ac:dyDescent="0.3">
      <c r="A558" s="23" t="s">
        <v>13058</v>
      </c>
      <c r="B558" s="23"/>
      <c r="C558" s="23" t="s">
        <v>2966</v>
      </c>
      <c r="D558" s="23" t="str">
        <f t="shared" si="24"/>
        <v>ORD26001247</v>
      </c>
      <c r="E558" s="38">
        <v>46269</v>
      </c>
      <c r="F558" s="23" t="s">
        <v>12410</v>
      </c>
      <c r="G558" s="23" t="s">
        <v>75</v>
      </c>
      <c r="H558" s="24">
        <v>2597</v>
      </c>
      <c r="I558" s="24">
        <v>7.79</v>
      </c>
      <c r="J558" s="24">
        <v>1.4</v>
      </c>
      <c r="K558" s="24">
        <v>2587.81</v>
      </c>
      <c r="L558" s="38">
        <v>46271</v>
      </c>
      <c r="M558" s="23" t="s">
        <v>188</v>
      </c>
      <c r="N558" s="23" t="str">
        <f>IF(COUNTIF($A$2:A558,A558)&gt;1,"DUP","OK")</f>
        <v>OK</v>
      </c>
      <c r="O558" s="23" t="str">
        <f t="shared" si="25"/>
        <v>ORD26001247</v>
      </c>
      <c r="P558" s="23" t="str">
        <f t="shared" si="26"/>
        <v>Sep</v>
      </c>
      <c r="Q558" s="23" t="str">
        <f>IF(F558="CAPTURE",IF(COUNTIF(orders!$A:$A,O558)&gt;0,"Yes","NO ORDER"),"")</f>
        <v>Yes</v>
      </c>
    </row>
    <row r="559" spans="1:17" ht="15" customHeight="1" x14ac:dyDescent="0.3">
      <c r="A559" s="23" t="s">
        <v>13059</v>
      </c>
      <c r="B559" s="23"/>
      <c r="C559" s="23" t="s">
        <v>3046</v>
      </c>
      <c r="D559" s="23" t="str">
        <f t="shared" si="24"/>
        <v>ORD26001286</v>
      </c>
      <c r="E559" s="38">
        <v>46269</v>
      </c>
      <c r="F559" s="23" t="s">
        <v>12410</v>
      </c>
      <c r="G559" s="23" t="s">
        <v>81</v>
      </c>
      <c r="H559" s="24">
        <v>1598</v>
      </c>
      <c r="I559" s="24">
        <v>23.97</v>
      </c>
      <c r="J559" s="24">
        <v>4.3099999999999996</v>
      </c>
      <c r="K559" s="24">
        <v>1569.72</v>
      </c>
      <c r="L559" s="38">
        <v>46271</v>
      </c>
      <c r="M559" s="23" t="s">
        <v>188</v>
      </c>
      <c r="N559" s="23" t="str">
        <f>IF(COUNTIF($A$2:A559,A559)&gt;1,"DUP","OK")</f>
        <v>OK</v>
      </c>
      <c r="O559" s="23" t="str">
        <f t="shared" si="25"/>
        <v>ORD26001286</v>
      </c>
      <c r="P559" s="23" t="str">
        <f t="shared" si="26"/>
        <v>Sep</v>
      </c>
      <c r="Q559" s="23" t="str">
        <f>IF(F559="CAPTURE",IF(COUNTIF(orders!$A:$A,O559)&gt;0,"Yes","NO ORDER"),"")</f>
        <v>Yes</v>
      </c>
    </row>
    <row r="560" spans="1:17" ht="15" customHeight="1" x14ac:dyDescent="0.3">
      <c r="A560" s="23" t="s">
        <v>13060</v>
      </c>
      <c r="B560" s="23"/>
      <c r="C560" s="23" t="s">
        <v>3225</v>
      </c>
      <c r="D560" s="23" t="str">
        <f t="shared" si="24"/>
        <v>ORD26001372</v>
      </c>
      <c r="E560" s="38">
        <v>46269</v>
      </c>
      <c r="F560" s="23" t="s">
        <v>12410</v>
      </c>
      <c r="G560" s="23" t="s">
        <v>79</v>
      </c>
      <c r="H560" s="24">
        <v>299</v>
      </c>
      <c r="I560" s="24">
        <v>5.38</v>
      </c>
      <c r="J560" s="24">
        <v>0.97</v>
      </c>
      <c r="K560" s="24">
        <v>292.64999999999998</v>
      </c>
      <c r="L560" s="38">
        <v>46271</v>
      </c>
      <c r="M560" s="23" t="s">
        <v>188</v>
      </c>
      <c r="N560" s="23" t="str">
        <f>IF(COUNTIF($A$2:A560,A560)&gt;1,"DUP","OK")</f>
        <v>OK</v>
      </c>
      <c r="O560" s="23" t="str">
        <f t="shared" si="25"/>
        <v>ORD26001372</v>
      </c>
      <c r="P560" s="23" t="str">
        <f t="shared" si="26"/>
        <v>Sep</v>
      </c>
      <c r="Q560" s="23" t="str">
        <f>IF(F560="CAPTURE",IF(COUNTIF(orders!$A:$A,O560)&gt;0,"Yes","NO ORDER"),"")</f>
        <v>Yes</v>
      </c>
    </row>
    <row r="561" spans="1:17" ht="15" customHeight="1" x14ac:dyDescent="0.3">
      <c r="A561" s="23" t="s">
        <v>13061</v>
      </c>
      <c r="B561" s="23"/>
      <c r="C561" s="23" t="s">
        <v>13062</v>
      </c>
      <c r="D561" s="23" t="str">
        <f t="shared" si="24"/>
        <v>ORD26001381</v>
      </c>
      <c r="E561" s="38">
        <v>46269</v>
      </c>
      <c r="F561" s="23" t="s">
        <v>12410</v>
      </c>
      <c r="G561" s="23" t="s">
        <v>75</v>
      </c>
      <c r="H561" s="24">
        <v>299</v>
      </c>
      <c r="I561" s="24">
        <v>0</v>
      </c>
      <c r="J561" s="24">
        <v>0</v>
      </c>
      <c r="K561" s="24">
        <v>299</v>
      </c>
      <c r="L561" s="38">
        <v>46271</v>
      </c>
      <c r="M561" s="23" t="s">
        <v>188</v>
      </c>
      <c r="N561" s="23" t="str">
        <f>IF(COUNTIF($A$2:A561,A561)&gt;1,"DUP","OK")</f>
        <v>OK</v>
      </c>
      <c r="O561" s="23" t="str">
        <f t="shared" si="25"/>
        <v>ORD26001381</v>
      </c>
      <c r="P561" s="23" t="str">
        <f t="shared" si="26"/>
        <v>Sep</v>
      </c>
      <c r="Q561" s="23" t="str">
        <f>IF(F561="CAPTURE",IF(COUNTIF(orders!$A:$A,O561)&gt;0,"Yes","NO ORDER"),"")</f>
        <v>Yes</v>
      </c>
    </row>
    <row r="562" spans="1:17" ht="15" customHeight="1" x14ac:dyDescent="0.3">
      <c r="A562" s="23" t="s">
        <v>13063</v>
      </c>
      <c r="B562" s="23"/>
      <c r="C562" s="23" t="s">
        <v>3296</v>
      </c>
      <c r="D562" s="23" t="str">
        <f t="shared" si="24"/>
        <v>ORD26001407</v>
      </c>
      <c r="E562" s="38">
        <v>46269</v>
      </c>
      <c r="F562" s="23" t="s">
        <v>12410</v>
      </c>
      <c r="G562" s="23" t="s">
        <v>79</v>
      </c>
      <c r="H562" s="24">
        <v>349</v>
      </c>
      <c r="I562" s="24">
        <v>6.28</v>
      </c>
      <c r="J562" s="24">
        <v>1.1299999999999999</v>
      </c>
      <c r="K562" s="24">
        <v>341.59</v>
      </c>
      <c r="L562" s="38">
        <v>46271</v>
      </c>
      <c r="M562" s="23" t="s">
        <v>188</v>
      </c>
      <c r="N562" s="23" t="str">
        <f>IF(COUNTIF($A$2:A562,A562)&gt;1,"DUP","OK")</f>
        <v>OK</v>
      </c>
      <c r="O562" s="23" t="str">
        <f t="shared" si="25"/>
        <v>ORD26001407</v>
      </c>
      <c r="P562" s="23" t="str">
        <f t="shared" si="26"/>
        <v>Sep</v>
      </c>
      <c r="Q562" s="23" t="str">
        <f>IF(F562="CAPTURE",IF(COUNTIF(orders!$A:$A,O562)&gt;0,"Yes","NO ORDER"),"")</f>
        <v>Yes</v>
      </c>
    </row>
    <row r="563" spans="1:17" ht="15" customHeight="1" x14ac:dyDescent="0.3">
      <c r="A563" s="23" t="s">
        <v>13064</v>
      </c>
      <c r="B563" s="23"/>
      <c r="C563" s="23" t="s">
        <v>3361</v>
      </c>
      <c r="D563" s="23" t="str">
        <f t="shared" si="24"/>
        <v>ORD26001440</v>
      </c>
      <c r="E563" s="38">
        <v>46269</v>
      </c>
      <c r="F563" s="23" t="s">
        <v>12410</v>
      </c>
      <c r="G563" s="23" t="s">
        <v>79</v>
      </c>
      <c r="H563" s="24">
        <v>999</v>
      </c>
      <c r="I563" s="24">
        <v>17.98</v>
      </c>
      <c r="J563" s="24">
        <v>3.24</v>
      </c>
      <c r="K563" s="24">
        <v>977.78</v>
      </c>
      <c r="L563" s="38">
        <v>46271</v>
      </c>
      <c r="M563" s="23" t="s">
        <v>188</v>
      </c>
      <c r="N563" s="23" t="str">
        <f>IF(COUNTIF($A$2:A563,A563)&gt;1,"DUP","OK")</f>
        <v>OK</v>
      </c>
      <c r="O563" s="23" t="str">
        <f t="shared" si="25"/>
        <v>ORD26001440</v>
      </c>
      <c r="P563" s="23" t="str">
        <f t="shared" si="26"/>
        <v>Sep</v>
      </c>
      <c r="Q563" s="23" t="str">
        <f>IF(F563="CAPTURE",IF(COUNTIF(orders!$A:$A,O563)&gt;0,"Yes","NO ORDER"),"")</f>
        <v>Yes</v>
      </c>
    </row>
    <row r="564" spans="1:17" ht="15" customHeight="1" x14ac:dyDescent="0.3">
      <c r="A564" s="23" t="s">
        <v>13065</v>
      </c>
      <c r="B564" s="23"/>
      <c r="C564" s="23" t="s">
        <v>3397</v>
      </c>
      <c r="D564" s="23" t="str">
        <f t="shared" si="24"/>
        <v>ORD26001457</v>
      </c>
      <c r="E564" s="38">
        <v>46269</v>
      </c>
      <c r="F564" s="23" t="s">
        <v>12410</v>
      </c>
      <c r="G564" s="23" t="s">
        <v>75</v>
      </c>
      <c r="H564" s="24">
        <v>1798</v>
      </c>
      <c r="I564" s="24">
        <v>0</v>
      </c>
      <c r="J564" s="24">
        <v>0</v>
      </c>
      <c r="K564" s="24">
        <v>1798</v>
      </c>
      <c r="L564" s="38">
        <v>46271</v>
      </c>
      <c r="M564" s="23" t="s">
        <v>188</v>
      </c>
      <c r="N564" s="23" t="str">
        <f>IF(COUNTIF($A$2:A564,A564)&gt;1,"DUP","OK")</f>
        <v>OK</v>
      </c>
      <c r="O564" s="23" t="str">
        <f t="shared" si="25"/>
        <v>ORD26001457</v>
      </c>
      <c r="P564" s="23" t="str">
        <f t="shared" si="26"/>
        <v>Sep</v>
      </c>
      <c r="Q564" s="23" t="str">
        <f>IF(F564="CAPTURE",IF(COUNTIF(orders!$A:$A,O564)&gt;0,"Yes","NO ORDER"),"")</f>
        <v>Yes</v>
      </c>
    </row>
    <row r="565" spans="1:17" ht="15" customHeight="1" x14ac:dyDescent="0.3">
      <c r="A565" s="23" t="s">
        <v>13066</v>
      </c>
      <c r="B565" s="23"/>
      <c r="C565" s="23" t="s">
        <v>3413</v>
      </c>
      <c r="D565" s="23" t="str">
        <f t="shared" si="24"/>
        <v>ORD26001465</v>
      </c>
      <c r="E565" s="38">
        <v>46269</v>
      </c>
      <c r="F565" s="23" t="s">
        <v>12410</v>
      </c>
      <c r="G565" s="23" t="s">
        <v>75</v>
      </c>
      <c r="H565" s="24">
        <v>7297</v>
      </c>
      <c r="I565" s="24">
        <v>21.89</v>
      </c>
      <c r="J565" s="24">
        <v>3.94</v>
      </c>
      <c r="K565" s="24">
        <v>7271.17</v>
      </c>
      <c r="L565" s="38">
        <v>46271</v>
      </c>
      <c r="M565" s="23" t="s">
        <v>188</v>
      </c>
      <c r="N565" s="23" t="str">
        <f>IF(COUNTIF($A$2:A565,A565)&gt;1,"DUP","OK")</f>
        <v>OK</v>
      </c>
      <c r="O565" s="23" t="str">
        <f t="shared" si="25"/>
        <v>ORD26001465</v>
      </c>
      <c r="P565" s="23" t="str">
        <f t="shared" si="26"/>
        <v>Sep</v>
      </c>
      <c r="Q565" s="23" t="str">
        <f>IF(F565="CAPTURE",IF(COUNTIF(orders!$A:$A,O565)&gt;0,"Yes","NO ORDER"),"")</f>
        <v>Yes</v>
      </c>
    </row>
    <row r="566" spans="1:17" ht="15" customHeight="1" x14ac:dyDescent="0.3">
      <c r="A566" s="23" t="s">
        <v>13067</v>
      </c>
      <c r="B566" s="23"/>
      <c r="C566" s="23" t="s">
        <v>3423</v>
      </c>
      <c r="D566" s="23" t="str">
        <f t="shared" si="24"/>
        <v>ORD26001470</v>
      </c>
      <c r="E566" s="38">
        <v>46269</v>
      </c>
      <c r="F566" s="23" t="s">
        <v>12410</v>
      </c>
      <c r="G566" s="23" t="s">
        <v>81</v>
      </c>
      <c r="H566" s="24">
        <v>499</v>
      </c>
      <c r="I566" s="24">
        <v>7.49</v>
      </c>
      <c r="J566" s="24">
        <v>1.35</v>
      </c>
      <c r="K566" s="24">
        <v>490.16</v>
      </c>
      <c r="L566" s="38">
        <v>46271</v>
      </c>
      <c r="M566" s="23" t="s">
        <v>188</v>
      </c>
      <c r="N566" s="23" t="str">
        <f>IF(COUNTIF($A$2:A566,A566)&gt;1,"DUP","OK")</f>
        <v>OK</v>
      </c>
      <c r="O566" s="23" t="str">
        <f t="shared" si="25"/>
        <v>ORD26001470</v>
      </c>
      <c r="P566" s="23" t="str">
        <f t="shared" si="26"/>
        <v>Sep</v>
      </c>
      <c r="Q566" s="23" t="str">
        <f>IF(F566="CAPTURE",IF(COUNTIF(orders!$A:$A,O566)&gt;0,"Yes","NO ORDER"),"")</f>
        <v>Yes</v>
      </c>
    </row>
    <row r="567" spans="1:17" ht="15" customHeight="1" x14ac:dyDescent="0.3">
      <c r="A567" s="23" t="s">
        <v>13068</v>
      </c>
      <c r="B567" s="23"/>
      <c r="C567" s="23" t="s">
        <v>3427</v>
      </c>
      <c r="D567" s="23" t="str">
        <f t="shared" si="24"/>
        <v>ORD26001472</v>
      </c>
      <c r="E567" s="38">
        <v>46269</v>
      </c>
      <c r="F567" s="23" t="s">
        <v>12410</v>
      </c>
      <c r="G567" s="23" t="s">
        <v>79</v>
      </c>
      <c r="H567" s="24">
        <v>499</v>
      </c>
      <c r="I567" s="24">
        <v>8.98</v>
      </c>
      <c r="J567" s="24">
        <v>1.62</v>
      </c>
      <c r="K567" s="24">
        <v>488.4</v>
      </c>
      <c r="L567" s="38">
        <v>46271</v>
      </c>
      <c r="M567" s="23" t="s">
        <v>188</v>
      </c>
      <c r="N567" s="23" t="str">
        <f>IF(COUNTIF($A$2:A567,A567)&gt;1,"DUP","OK")</f>
        <v>OK</v>
      </c>
      <c r="O567" s="23" t="str">
        <f t="shared" si="25"/>
        <v>ORD26001472</v>
      </c>
      <c r="P567" s="23" t="str">
        <f t="shared" si="26"/>
        <v>Sep</v>
      </c>
      <c r="Q567" s="23" t="str">
        <f>IF(F567="CAPTURE",IF(COUNTIF(orders!$A:$A,O567)&gt;0,"Yes","NO ORDER"),"")</f>
        <v>Yes</v>
      </c>
    </row>
    <row r="568" spans="1:17" ht="15" customHeight="1" x14ac:dyDescent="0.3">
      <c r="A568" s="23" t="s">
        <v>13069</v>
      </c>
      <c r="B568" s="23"/>
      <c r="C568" s="23" t="s">
        <v>3540</v>
      </c>
      <c r="D568" s="23" t="str">
        <f t="shared" si="24"/>
        <v>ORD26001526</v>
      </c>
      <c r="E568" s="38">
        <v>46269</v>
      </c>
      <c r="F568" s="23" t="s">
        <v>12410</v>
      </c>
      <c r="G568" s="23" t="s">
        <v>75</v>
      </c>
      <c r="H568" s="24">
        <v>599</v>
      </c>
      <c r="I568" s="24">
        <v>0</v>
      </c>
      <c r="J568" s="24">
        <v>0</v>
      </c>
      <c r="K568" s="24">
        <v>599</v>
      </c>
      <c r="L568" s="38">
        <v>46271</v>
      </c>
      <c r="M568" s="23" t="s">
        <v>188</v>
      </c>
      <c r="N568" s="23" t="str">
        <f>IF(COUNTIF($A$2:A568,A568)&gt;1,"DUP","OK")</f>
        <v>OK</v>
      </c>
      <c r="O568" s="23" t="str">
        <f t="shared" si="25"/>
        <v>ORD26001526</v>
      </c>
      <c r="P568" s="23" t="str">
        <f t="shared" si="26"/>
        <v>Sep</v>
      </c>
      <c r="Q568" s="23" t="str">
        <f>IF(F568="CAPTURE",IF(COUNTIF(orders!$A:$A,O568)&gt;0,"Yes","NO ORDER"),"")</f>
        <v>Yes</v>
      </c>
    </row>
    <row r="569" spans="1:17" ht="15" customHeight="1" x14ac:dyDescent="0.3">
      <c r="A569" s="23" t="s">
        <v>13070</v>
      </c>
      <c r="B569" s="23"/>
      <c r="C569" s="23" t="s">
        <v>3577</v>
      </c>
      <c r="D569" s="23" t="str">
        <f t="shared" si="24"/>
        <v>ORD26001544</v>
      </c>
      <c r="E569" s="38">
        <v>46269</v>
      </c>
      <c r="F569" s="23" t="s">
        <v>12410</v>
      </c>
      <c r="G569" s="23" t="s">
        <v>75</v>
      </c>
      <c r="H569" s="24">
        <v>7999</v>
      </c>
      <c r="I569" s="24">
        <v>24</v>
      </c>
      <c r="J569" s="24">
        <v>4.32</v>
      </c>
      <c r="K569" s="24">
        <v>7970.68</v>
      </c>
      <c r="L569" s="38">
        <v>46271</v>
      </c>
      <c r="M569" s="23" t="s">
        <v>188</v>
      </c>
      <c r="N569" s="23" t="str">
        <f>IF(COUNTIF($A$2:A569,A569)&gt;1,"DUP","OK")</f>
        <v>OK</v>
      </c>
      <c r="O569" s="23" t="str">
        <f t="shared" si="25"/>
        <v>ORD26001544</v>
      </c>
      <c r="P569" s="23" t="str">
        <f t="shared" si="26"/>
        <v>Sep</v>
      </c>
      <c r="Q569" s="23" t="str">
        <f>IF(F569="CAPTURE",IF(COUNTIF(orders!$A:$A,O569)&gt;0,"Yes","NO ORDER"),"")</f>
        <v>Yes</v>
      </c>
    </row>
    <row r="570" spans="1:17" ht="15" customHeight="1" x14ac:dyDescent="0.3">
      <c r="A570" s="23" t="s">
        <v>13071</v>
      </c>
      <c r="B570" s="23"/>
      <c r="C570" s="23" t="s">
        <v>13072</v>
      </c>
      <c r="D570" s="23" t="str">
        <f t="shared" si="24"/>
        <v>ORD26001563</v>
      </c>
      <c r="E570" s="38">
        <v>46269</v>
      </c>
      <c r="F570" s="23" t="s">
        <v>12410</v>
      </c>
      <c r="G570" s="23" t="s">
        <v>75</v>
      </c>
      <c r="H570" s="24">
        <v>10498</v>
      </c>
      <c r="I570" s="24">
        <v>31.49</v>
      </c>
      <c r="J570" s="24">
        <v>5.67</v>
      </c>
      <c r="K570" s="24">
        <v>10460.84</v>
      </c>
      <c r="L570" s="38">
        <v>46271</v>
      </c>
      <c r="M570" s="23" t="s">
        <v>188</v>
      </c>
      <c r="N570" s="23" t="str">
        <f>IF(COUNTIF($A$2:A570,A570)&gt;1,"DUP","OK")</f>
        <v>OK</v>
      </c>
      <c r="O570" s="23" t="str">
        <f t="shared" si="25"/>
        <v>ORD26001563</v>
      </c>
      <c r="P570" s="23" t="str">
        <f t="shared" si="26"/>
        <v>Sep</v>
      </c>
      <c r="Q570" s="23" t="str">
        <f>IF(F570="CAPTURE",IF(COUNTIF(orders!$A:$A,O570)&gt;0,"Yes","NO ORDER"),"")</f>
        <v>Yes</v>
      </c>
    </row>
    <row r="571" spans="1:17" ht="15" customHeight="1" x14ac:dyDescent="0.3">
      <c r="A571" s="23" t="s">
        <v>13073</v>
      </c>
      <c r="B571" s="23"/>
      <c r="C571" s="23" t="s">
        <v>3677</v>
      </c>
      <c r="D571" s="23" t="str">
        <f t="shared" si="24"/>
        <v>ORD26001595</v>
      </c>
      <c r="E571" s="38">
        <v>46269</v>
      </c>
      <c r="F571" s="23" t="s">
        <v>12410</v>
      </c>
      <c r="G571" s="23" t="s">
        <v>77</v>
      </c>
      <c r="H571" s="24">
        <v>499</v>
      </c>
      <c r="I571" s="24">
        <v>9.48</v>
      </c>
      <c r="J571" s="24">
        <v>1.71</v>
      </c>
      <c r="K571" s="24">
        <v>487.81</v>
      </c>
      <c r="L571" s="38">
        <v>46271</v>
      </c>
      <c r="M571" s="23" t="s">
        <v>188</v>
      </c>
      <c r="N571" s="23" t="str">
        <f>IF(COUNTIF($A$2:A571,A571)&gt;1,"DUP","OK")</f>
        <v>OK</v>
      </c>
      <c r="O571" s="23" t="str">
        <f t="shared" si="25"/>
        <v>ORD26001595</v>
      </c>
      <c r="P571" s="23" t="str">
        <f t="shared" si="26"/>
        <v>Sep</v>
      </c>
      <c r="Q571" s="23" t="str">
        <f>IF(F571="CAPTURE",IF(COUNTIF(orders!$A:$A,O571)&gt;0,"Yes","NO ORDER"),"")</f>
        <v>Yes</v>
      </c>
    </row>
    <row r="572" spans="1:17" ht="15" customHeight="1" x14ac:dyDescent="0.3">
      <c r="A572" s="23" t="s">
        <v>13074</v>
      </c>
      <c r="B572" s="23"/>
      <c r="C572" s="23" t="s">
        <v>13075</v>
      </c>
      <c r="D572" s="23" t="str">
        <f t="shared" si="24"/>
        <v>ORD26001618</v>
      </c>
      <c r="E572" s="38">
        <v>46269</v>
      </c>
      <c r="F572" s="23" t="s">
        <v>12410</v>
      </c>
      <c r="G572" s="23" t="s">
        <v>79</v>
      </c>
      <c r="H572" s="24">
        <v>5797</v>
      </c>
      <c r="I572" s="24">
        <v>92.75</v>
      </c>
      <c r="J572" s="24">
        <v>16.7</v>
      </c>
      <c r="K572" s="24">
        <v>5687.55</v>
      </c>
      <c r="L572" s="38">
        <v>46271</v>
      </c>
      <c r="M572" s="23" t="s">
        <v>188</v>
      </c>
      <c r="N572" s="23" t="str">
        <f>IF(COUNTIF($A$2:A572,A572)&gt;1,"DUP","OK")</f>
        <v>OK</v>
      </c>
      <c r="O572" s="23" t="str">
        <f t="shared" si="25"/>
        <v>ORD26001618</v>
      </c>
      <c r="P572" s="23" t="str">
        <f t="shared" si="26"/>
        <v>Sep</v>
      </c>
      <c r="Q572" s="23" t="str">
        <f>IF(F572="CAPTURE",IF(COUNTIF(orders!$A:$A,O572)&gt;0,"Yes","NO ORDER"),"")</f>
        <v>Yes</v>
      </c>
    </row>
    <row r="573" spans="1:17" ht="15" customHeight="1" x14ac:dyDescent="0.3">
      <c r="A573" s="23" t="s">
        <v>13076</v>
      </c>
      <c r="B573" s="23"/>
      <c r="C573" s="23" t="s">
        <v>3740</v>
      </c>
      <c r="D573" s="23" t="str">
        <f t="shared" si="24"/>
        <v>ORD26001627</v>
      </c>
      <c r="E573" s="38">
        <v>46269</v>
      </c>
      <c r="F573" s="23" t="s">
        <v>12410</v>
      </c>
      <c r="G573" s="23" t="s">
        <v>79</v>
      </c>
      <c r="H573" s="24">
        <v>7297</v>
      </c>
      <c r="I573" s="24">
        <v>116.75</v>
      </c>
      <c r="J573" s="24">
        <v>21.02</v>
      </c>
      <c r="K573" s="24">
        <v>7159.23</v>
      </c>
      <c r="L573" s="38">
        <v>46271</v>
      </c>
      <c r="M573" s="23" t="s">
        <v>188</v>
      </c>
      <c r="N573" s="23" t="str">
        <f>IF(COUNTIF($A$2:A573,A573)&gt;1,"DUP","OK")</f>
        <v>OK</v>
      </c>
      <c r="O573" s="23" t="str">
        <f t="shared" si="25"/>
        <v>ORD26001627</v>
      </c>
      <c r="P573" s="23" t="str">
        <f t="shared" si="26"/>
        <v>Sep</v>
      </c>
      <c r="Q573" s="23" t="str">
        <f>IF(F573="CAPTURE",IF(COUNTIF(orders!$A:$A,O573)&gt;0,"Yes","NO ORDER"),"")</f>
        <v>Yes</v>
      </c>
    </row>
    <row r="574" spans="1:17" ht="15" customHeight="1" x14ac:dyDescent="0.3">
      <c r="A574" s="23" t="s">
        <v>13077</v>
      </c>
      <c r="B574" s="23"/>
      <c r="C574" s="23" t="s">
        <v>3775</v>
      </c>
      <c r="D574" s="23" t="str">
        <f t="shared" si="24"/>
        <v>ORD26001645</v>
      </c>
      <c r="E574" s="38">
        <v>46269</v>
      </c>
      <c r="F574" s="23" t="s">
        <v>12410</v>
      </c>
      <c r="G574" s="23" t="s">
        <v>75</v>
      </c>
      <c r="H574" s="24">
        <v>9998</v>
      </c>
      <c r="I574" s="24">
        <v>29.99</v>
      </c>
      <c r="J574" s="24">
        <v>5.4</v>
      </c>
      <c r="K574" s="24">
        <v>9962.61</v>
      </c>
      <c r="L574" s="38">
        <v>46271</v>
      </c>
      <c r="M574" s="23" t="s">
        <v>188</v>
      </c>
      <c r="N574" s="23" t="str">
        <f>IF(COUNTIF($A$2:A574,A574)&gt;1,"DUP","OK")</f>
        <v>OK</v>
      </c>
      <c r="O574" s="23" t="str">
        <f t="shared" si="25"/>
        <v>ORD26001645</v>
      </c>
      <c r="P574" s="23" t="str">
        <f t="shared" si="26"/>
        <v>Sep</v>
      </c>
      <c r="Q574" s="23" t="str">
        <f>IF(F574="CAPTURE",IF(COUNTIF(orders!$A:$A,O574)&gt;0,"Yes","NO ORDER"),"")</f>
        <v>Yes</v>
      </c>
    </row>
    <row r="575" spans="1:17" ht="15" customHeight="1" x14ac:dyDescent="0.3">
      <c r="A575" s="23" t="s">
        <v>13078</v>
      </c>
      <c r="B575" s="23"/>
      <c r="C575" s="23" t="s">
        <v>3823</v>
      </c>
      <c r="D575" s="23" t="str">
        <f t="shared" si="24"/>
        <v>ORD26001669</v>
      </c>
      <c r="E575" s="38">
        <v>46269</v>
      </c>
      <c r="F575" s="23" t="s">
        <v>12410</v>
      </c>
      <c r="G575" s="23" t="s">
        <v>75</v>
      </c>
      <c r="H575" s="24">
        <v>4999</v>
      </c>
      <c r="I575" s="24">
        <v>15</v>
      </c>
      <c r="J575" s="24">
        <v>2.7</v>
      </c>
      <c r="K575" s="24">
        <v>4981.3</v>
      </c>
      <c r="L575" s="38">
        <v>46271</v>
      </c>
      <c r="M575" s="23" t="s">
        <v>188</v>
      </c>
      <c r="N575" s="23" t="str">
        <f>IF(COUNTIF($A$2:A575,A575)&gt;1,"DUP","OK")</f>
        <v>OK</v>
      </c>
      <c r="O575" s="23" t="str">
        <f t="shared" si="25"/>
        <v>ORD26001669</v>
      </c>
      <c r="P575" s="23" t="str">
        <f t="shared" si="26"/>
        <v>Sep</v>
      </c>
      <c r="Q575" s="23" t="str">
        <f>IF(F575="CAPTURE",IF(COUNTIF(orders!$A:$A,O575)&gt;0,"Yes","NO ORDER"),"")</f>
        <v>Yes</v>
      </c>
    </row>
    <row r="576" spans="1:17" ht="15" customHeight="1" x14ac:dyDescent="0.3">
      <c r="A576" s="23" t="s">
        <v>13079</v>
      </c>
      <c r="B576" s="23"/>
      <c r="C576" s="23" t="s">
        <v>3829</v>
      </c>
      <c r="D576" s="23" t="str">
        <f t="shared" si="24"/>
        <v>ORD26001672</v>
      </c>
      <c r="E576" s="38">
        <v>46269</v>
      </c>
      <c r="F576" s="23" t="s">
        <v>12410</v>
      </c>
      <c r="G576" s="23" t="s">
        <v>79</v>
      </c>
      <c r="H576" s="24">
        <v>599</v>
      </c>
      <c r="I576" s="24">
        <v>10.78</v>
      </c>
      <c r="J576" s="24">
        <v>1.94</v>
      </c>
      <c r="K576" s="24">
        <v>586.28</v>
      </c>
      <c r="L576" s="38">
        <v>46271</v>
      </c>
      <c r="M576" s="23" t="s">
        <v>188</v>
      </c>
      <c r="N576" s="23" t="str">
        <f>IF(COUNTIF($A$2:A576,A576)&gt;1,"DUP","OK")</f>
        <v>OK</v>
      </c>
      <c r="O576" s="23" t="str">
        <f t="shared" si="25"/>
        <v>ORD26001672</v>
      </c>
      <c r="P576" s="23" t="str">
        <f t="shared" si="26"/>
        <v>Sep</v>
      </c>
      <c r="Q576" s="23" t="str">
        <f>IF(F576="CAPTURE",IF(COUNTIF(orders!$A:$A,O576)&gt;0,"Yes","NO ORDER"),"")</f>
        <v>Yes</v>
      </c>
    </row>
    <row r="577" spans="1:17" ht="15" customHeight="1" x14ac:dyDescent="0.3">
      <c r="A577" s="23" t="s">
        <v>13080</v>
      </c>
      <c r="B577" s="23"/>
      <c r="C577" s="23" t="s">
        <v>3851</v>
      </c>
      <c r="D577" s="23" t="str">
        <f t="shared" si="24"/>
        <v>ORD26001683</v>
      </c>
      <c r="E577" s="38">
        <v>46269</v>
      </c>
      <c r="F577" s="23" t="s">
        <v>12410</v>
      </c>
      <c r="G577" s="23" t="s">
        <v>75</v>
      </c>
      <c r="H577" s="24">
        <v>299</v>
      </c>
      <c r="I577" s="24">
        <v>0</v>
      </c>
      <c r="J577" s="24">
        <v>0</v>
      </c>
      <c r="K577" s="24">
        <v>299</v>
      </c>
      <c r="L577" s="38">
        <v>46271</v>
      </c>
      <c r="M577" s="23" t="s">
        <v>188</v>
      </c>
      <c r="N577" s="23" t="str">
        <f>IF(COUNTIF($A$2:A577,A577)&gt;1,"DUP","OK")</f>
        <v>OK</v>
      </c>
      <c r="O577" s="23" t="str">
        <f t="shared" si="25"/>
        <v>ORD26001683</v>
      </c>
      <c r="P577" s="23" t="str">
        <f t="shared" si="26"/>
        <v>Sep</v>
      </c>
      <c r="Q577" s="23" t="str">
        <f>IF(F577="CAPTURE",IF(COUNTIF(orders!$A:$A,O577)&gt;0,"Yes","NO ORDER"),"")</f>
        <v>Yes</v>
      </c>
    </row>
    <row r="578" spans="1:17" ht="15" customHeight="1" x14ac:dyDescent="0.3">
      <c r="A578" s="23" t="s">
        <v>13081</v>
      </c>
      <c r="B578" s="23"/>
      <c r="C578" s="23" t="s">
        <v>3889</v>
      </c>
      <c r="D578" s="23" t="str">
        <f t="shared" ref="D578:D641" si="27">UPPER(SUBSTITUTE(TRIM(C578),"-",""))</f>
        <v>ORD26001701</v>
      </c>
      <c r="E578" s="38">
        <v>46269</v>
      </c>
      <c r="F578" s="23" t="s">
        <v>12410</v>
      </c>
      <c r="G578" s="23" t="s">
        <v>79</v>
      </c>
      <c r="H578" s="24">
        <v>6498</v>
      </c>
      <c r="I578" s="24">
        <v>103.97</v>
      </c>
      <c r="J578" s="24">
        <v>18.71</v>
      </c>
      <c r="K578" s="24">
        <v>6375.32</v>
      </c>
      <c r="L578" s="38">
        <v>46271</v>
      </c>
      <c r="M578" s="23" t="s">
        <v>188</v>
      </c>
      <c r="N578" s="23" t="str">
        <f>IF(COUNTIF($A$2:A578,A578)&gt;1,"DUP","OK")</f>
        <v>OK</v>
      </c>
      <c r="O578" s="23" t="str">
        <f t="shared" ref="O578:O641" si="28">IF(F578="REFUND",INDEX($D:$D,MATCH(B578,$A:$A,0)),D578)</f>
        <v>ORD26001701</v>
      </c>
      <c r="P578" s="23" t="str">
        <f t="shared" ref="P578:P641" si="29">IF(L578&gt;DATE(2026,9,30),"Oct-Due","Sep")</f>
        <v>Sep</v>
      </c>
      <c r="Q578" s="23" t="str">
        <f>IF(F578="CAPTURE",IF(COUNTIF(orders!$A:$A,O578)&gt;0,"Yes","NO ORDER"),"")</f>
        <v>Yes</v>
      </c>
    </row>
    <row r="579" spans="1:17" ht="15" customHeight="1" x14ac:dyDescent="0.3">
      <c r="A579" s="23" t="s">
        <v>13082</v>
      </c>
      <c r="B579" s="23"/>
      <c r="C579" s="23" t="s">
        <v>4022</v>
      </c>
      <c r="D579" s="23" t="str">
        <f t="shared" si="27"/>
        <v>ORD26001767</v>
      </c>
      <c r="E579" s="38">
        <v>46269</v>
      </c>
      <c r="F579" s="23" t="s">
        <v>12410</v>
      </c>
      <c r="G579" s="23" t="s">
        <v>75</v>
      </c>
      <c r="H579" s="24">
        <v>499</v>
      </c>
      <c r="I579" s="24">
        <v>0</v>
      </c>
      <c r="J579" s="24">
        <v>0</v>
      </c>
      <c r="K579" s="24">
        <v>499</v>
      </c>
      <c r="L579" s="38">
        <v>46271</v>
      </c>
      <c r="M579" s="23" t="s">
        <v>188</v>
      </c>
      <c r="N579" s="23" t="str">
        <f>IF(COUNTIF($A$2:A579,A579)&gt;1,"DUP","OK")</f>
        <v>OK</v>
      </c>
      <c r="O579" s="23" t="str">
        <f t="shared" si="28"/>
        <v>ORD26001767</v>
      </c>
      <c r="P579" s="23" t="str">
        <f t="shared" si="29"/>
        <v>Sep</v>
      </c>
      <c r="Q579" s="23" t="str">
        <f>IF(F579="CAPTURE",IF(COUNTIF(orders!$A:$A,O579)&gt;0,"Yes","NO ORDER"),"")</f>
        <v>Yes</v>
      </c>
    </row>
    <row r="580" spans="1:17" ht="15" customHeight="1" x14ac:dyDescent="0.3">
      <c r="A580" s="23" t="s">
        <v>13083</v>
      </c>
      <c r="B580" s="23"/>
      <c r="C580" s="23" t="s">
        <v>4075</v>
      </c>
      <c r="D580" s="23" t="str">
        <f t="shared" si="27"/>
        <v>ORD26001794</v>
      </c>
      <c r="E580" s="38">
        <v>46269</v>
      </c>
      <c r="F580" s="23" t="s">
        <v>12410</v>
      </c>
      <c r="G580" s="23" t="s">
        <v>79</v>
      </c>
      <c r="H580" s="24">
        <v>948</v>
      </c>
      <c r="I580" s="24">
        <v>17.059999999999999</v>
      </c>
      <c r="J580" s="24">
        <v>3.07</v>
      </c>
      <c r="K580" s="24">
        <v>927.87</v>
      </c>
      <c r="L580" s="38">
        <v>46271</v>
      </c>
      <c r="M580" s="23" t="s">
        <v>188</v>
      </c>
      <c r="N580" s="23" t="str">
        <f>IF(COUNTIF($A$2:A580,A580)&gt;1,"DUP","OK")</f>
        <v>OK</v>
      </c>
      <c r="O580" s="23" t="str">
        <f t="shared" si="28"/>
        <v>ORD26001794</v>
      </c>
      <c r="P580" s="23" t="str">
        <f t="shared" si="29"/>
        <v>Sep</v>
      </c>
      <c r="Q580" s="23" t="str">
        <f>IF(F580="CAPTURE",IF(COUNTIF(orders!$A:$A,O580)&gt;0,"Yes","NO ORDER"),"")</f>
        <v>Yes</v>
      </c>
    </row>
    <row r="581" spans="1:17" ht="15" customHeight="1" x14ac:dyDescent="0.3">
      <c r="A581" s="23" t="s">
        <v>13084</v>
      </c>
      <c r="B581" s="23"/>
      <c r="C581" s="23" t="s">
        <v>4127</v>
      </c>
      <c r="D581" s="23" t="str">
        <f t="shared" si="27"/>
        <v>ORD26001820</v>
      </c>
      <c r="E581" s="38">
        <v>46269</v>
      </c>
      <c r="F581" s="23" t="s">
        <v>12410</v>
      </c>
      <c r="G581" s="23" t="s">
        <v>75</v>
      </c>
      <c r="H581" s="24">
        <v>799</v>
      </c>
      <c r="I581" s="24">
        <v>0</v>
      </c>
      <c r="J581" s="24">
        <v>0</v>
      </c>
      <c r="K581" s="24">
        <v>799</v>
      </c>
      <c r="L581" s="38">
        <v>46271</v>
      </c>
      <c r="M581" s="23" t="s">
        <v>188</v>
      </c>
      <c r="N581" s="23" t="str">
        <f>IF(COUNTIF($A$2:A581,A581)&gt;1,"DUP","OK")</f>
        <v>OK</v>
      </c>
      <c r="O581" s="23" t="str">
        <f t="shared" si="28"/>
        <v>ORD26001820</v>
      </c>
      <c r="P581" s="23" t="str">
        <f t="shared" si="29"/>
        <v>Sep</v>
      </c>
      <c r="Q581" s="23" t="str">
        <f>IF(F581="CAPTURE",IF(COUNTIF(orders!$A:$A,O581)&gt;0,"Yes","NO ORDER"),"")</f>
        <v>Yes</v>
      </c>
    </row>
    <row r="582" spans="1:17" ht="15" customHeight="1" x14ac:dyDescent="0.3">
      <c r="A582" s="23" t="s">
        <v>13085</v>
      </c>
      <c r="B582" s="23"/>
      <c r="C582" s="23" t="s">
        <v>4283</v>
      </c>
      <c r="D582" s="23" t="str">
        <f t="shared" si="27"/>
        <v>ORD26001898</v>
      </c>
      <c r="E582" s="38">
        <v>46269</v>
      </c>
      <c r="F582" s="23" t="s">
        <v>12410</v>
      </c>
      <c r="G582" s="23" t="s">
        <v>79</v>
      </c>
      <c r="H582" s="24">
        <v>8798</v>
      </c>
      <c r="I582" s="24">
        <v>140.77000000000001</v>
      </c>
      <c r="J582" s="24">
        <v>25.34</v>
      </c>
      <c r="K582" s="24">
        <v>8631.89</v>
      </c>
      <c r="L582" s="38">
        <v>46271</v>
      </c>
      <c r="M582" s="23" t="s">
        <v>188</v>
      </c>
      <c r="N582" s="23" t="str">
        <f>IF(COUNTIF($A$2:A582,A582)&gt;1,"DUP","OK")</f>
        <v>OK</v>
      </c>
      <c r="O582" s="23" t="str">
        <f t="shared" si="28"/>
        <v>ORD26001898</v>
      </c>
      <c r="P582" s="23" t="str">
        <f t="shared" si="29"/>
        <v>Sep</v>
      </c>
      <c r="Q582" s="23" t="str">
        <f>IF(F582="CAPTURE",IF(COUNTIF(orders!$A:$A,O582)&gt;0,"Yes","NO ORDER"),"")</f>
        <v>Yes</v>
      </c>
    </row>
    <row r="583" spans="1:17" ht="15" customHeight="1" x14ac:dyDescent="0.3">
      <c r="A583" s="23" t="s">
        <v>13086</v>
      </c>
      <c r="B583" s="23"/>
      <c r="C583" s="23" t="s">
        <v>4375</v>
      </c>
      <c r="D583" s="23" t="str">
        <f t="shared" si="27"/>
        <v>ORD26001944</v>
      </c>
      <c r="E583" s="38">
        <v>46269</v>
      </c>
      <c r="F583" s="23" t="s">
        <v>12410</v>
      </c>
      <c r="G583" s="23" t="s">
        <v>79</v>
      </c>
      <c r="H583" s="24">
        <v>2498</v>
      </c>
      <c r="I583" s="24">
        <v>39.97</v>
      </c>
      <c r="J583" s="24">
        <v>7.19</v>
      </c>
      <c r="K583" s="24">
        <v>2450.84</v>
      </c>
      <c r="L583" s="38">
        <v>46271</v>
      </c>
      <c r="M583" s="23" t="s">
        <v>188</v>
      </c>
      <c r="N583" s="23" t="str">
        <f>IF(COUNTIF($A$2:A583,A583)&gt;1,"DUP","OK")</f>
        <v>OK</v>
      </c>
      <c r="O583" s="23" t="str">
        <f t="shared" si="28"/>
        <v>ORD26001944</v>
      </c>
      <c r="P583" s="23" t="str">
        <f t="shared" si="29"/>
        <v>Sep</v>
      </c>
      <c r="Q583" s="23" t="str">
        <f>IF(F583="CAPTURE",IF(COUNTIF(orders!$A:$A,O583)&gt;0,"Yes","NO ORDER"),"")</f>
        <v>Yes</v>
      </c>
    </row>
    <row r="584" spans="1:17" ht="15" customHeight="1" x14ac:dyDescent="0.3">
      <c r="A584" s="23" t="s">
        <v>13087</v>
      </c>
      <c r="B584" s="23"/>
      <c r="C584" s="23" t="s">
        <v>13088</v>
      </c>
      <c r="D584" s="23" t="str">
        <f t="shared" si="27"/>
        <v>ORD26002041</v>
      </c>
      <c r="E584" s="38">
        <v>46269</v>
      </c>
      <c r="F584" s="23" t="s">
        <v>12410</v>
      </c>
      <c r="G584" s="23" t="s">
        <v>75</v>
      </c>
      <c r="H584" s="24">
        <v>2999</v>
      </c>
      <c r="I584" s="24">
        <v>9</v>
      </c>
      <c r="J584" s="24">
        <v>1.62</v>
      </c>
      <c r="K584" s="24">
        <v>2988.38</v>
      </c>
      <c r="L584" s="38">
        <v>46271</v>
      </c>
      <c r="M584" s="23" t="s">
        <v>188</v>
      </c>
      <c r="N584" s="23" t="str">
        <f>IF(COUNTIF($A$2:A584,A584)&gt;1,"DUP","OK")</f>
        <v>OK</v>
      </c>
      <c r="O584" s="23" t="str">
        <f t="shared" si="28"/>
        <v>ORD26002041</v>
      </c>
      <c r="P584" s="23" t="str">
        <f t="shared" si="29"/>
        <v>Sep</v>
      </c>
      <c r="Q584" s="23" t="str">
        <f>IF(F584="CAPTURE",IF(COUNTIF(orders!$A:$A,O584)&gt;0,"Yes","NO ORDER"),"")</f>
        <v>Yes</v>
      </c>
    </row>
    <row r="585" spans="1:17" ht="15" customHeight="1" x14ac:dyDescent="0.3">
      <c r="A585" s="23" t="s">
        <v>13089</v>
      </c>
      <c r="B585" s="23"/>
      <c r="C585" s="23" t="s">
        <v>4801</v>
      </c>
      <c r="D585" s="23" t="str">
        <f t="shared" si="27"/>
        <v>ORD26002156</v>
      </c>
      <c r="E585" s="38">
        <v>46269</v>
      </c>
      <c r="F585" s="23" t="s">
        <v>12410</v>
      </c>
      <c r="G585" s="23" t="s">
        <v>77</v>
      </c>
      <c r="H585" s="24">
        <v>3348</v>
      </c>
      <c r="I585" s="24">
        <v>56.92</v>
      </c>
      <c r="J585" s="24">
        <v>10.25</v>
      </c>
      <c r="K585" s="24">
        <v>3280.83</v>
      </c>
      <c r="L585" s="38">
        <v>46271</v>
      </c>
      <c r="M585" s="23" t="s">
        <v>188</v>
      </c>
      <c r="N585" s="23" t="str">
        <f>IF(COUNTIF($A$2:A585,A585)&gt;1,"DUP","OK")</f>
        <v>OK</v>
      </c>
      <c r="O585" s="23" t="str">
        <f t="shared" si="28"/>
        <v>ORD26002156</v>
      </c>
      <c r="P585" s="23" t="str">
        <f t="shared" si="29"/>
        <v>Sep</v>
      </c>
      <c r="Q585" s="23" t="str">
        <f>IF(F585="CAPTURE",IF(COUNTIF(orders!$A:$A,O585)&gt;0,"Yes","NO ORDER"),"")</f>
        <v>Yes</v>
      </c>
    </row>
    <row r="586" spans="1:17" ht="15" customHeight="1" x14ac:dyDescent="0.3">
      <c r="A586" s="23" t="s">
        <v>13090</v>
      </c>
      <c r="B586" s="23"/>
      <c r="C586" s="23" t="s">
        <v>4819</v>
      </c>
      <c r="D586" s="23" t="str">
        <f t="shared" si="27"/>
        <v>ORD26002165</v>
      </c>
      <c r="E586" s="38">
        <v>46269</v>
      </c>
      <c r="F586" s="23" t="s">
        <v>12410</v>
      </c>
      <c r="G586" s="23" t="s">
        <v>75</v>
      </c>
      <c r="H586" s="24">
        <v>1098</v>
      </c>
      <c r="I586" s="24">
        <v>0</v>
      </c>
      <c r="J586" s="24">
        <v>0</v>
      </c>
      <c r="K586" s="24">
        <v>1098</v>
      </c>
      <c r="L586" s="38">
        <v>46271</v>
      </c>
      <c r="M586" s="23" t="s">
        <v>188</v>
      </c>
      <c r="N586" s="23" t="str">
        <f>IF(COUNTIF($A$2:A586,A586)&gt;1,"DUP","OK")</f>
        <v>OK</v>
      </c>
      <c r="O586" s="23" t="str">
        <f t="shared" si="28"/>
        <v>ORD26002165</v>
      </c>
      <c r="P586" s="23" t="str">
        <f t="shared" si="29"/>
        <v>Sep</v>
      </c>
      <c r="Q586" s="23" t="str">
        <f>IF(F586="CAPTURE",IF(COUNTIF(orders!$A:$A,O586)&gt;0,"Yes","NO ORDER"),"")</f>
        <v>Yes</v>
      </c>
    </row>
    <row r="587" spans="1:17" ht="15" customHeight="1" x14ac:dyDescent="0.3">
      <c r="A587" s="23" t="s">
        <v>13091</v>
      </c>
      <c r="B587" s="23"/>
      <c r="C587" s="23" t="s">
        <v>4845</v>
      </c>
      <c r="D587" s="23" t="str">
        <f t="shared" si="27"/>
        <v>ORD26002178</v>
      </c>
      <c r="E587" s="38">
        <v>46269</v>
      </c>
      <c r="F587" s="23" t="s">
        <v>12410</v>
      </c>
      <c r="G587" s="23" t="s">
        <v>75</v>
      </c>
      <c r="H587" s="24">
        <v>5947</v>
      </c>
      <c r="I587" s="24">
        <v>17.84</v>
      </c>
      <c r="J587" s="24">
        <v>3.21</v>
      </c>
      <c r="K587" s="24">
        <v>5925.95</v>
      </c>
      <c r="L587" s="38">
        <v>46271</v>
      </c>
      <c r="M587" s="23" t="s">
        <v>188</v>
      </c>
      <c r="N587" s="23" t="str">
        <f>IF(COUNTIF($A$2:A587,A587)&gt;1,"DUP","OK")</f>
        <v>OK</v>
      </c>
      <c r="O587" s="23" t="str">
        <f t="shared" si="28"/>
        <v>ORD26002178</v>
      </c>
      <c r="P587" s="23" t="str">
        <f t="shared" si="29"/>
        <v>Sep</v>
      </c>
      <c r="Q587" s="23" t="str">
        <f>IF(F587="CAPTURE",IF(COUNTIF(orders!$A:$A,O587)&gt;0,"Yes","NO ORDER"),"")</f>
        <v>Yes</v>
      </c>
    </row>
    <row r="588" spans="1:17" ht="15" customHeight="1" x14ac:dyDescent="0.3">
      <c r="A588" s="23" t="s">
        <v>13092</v>
      </c>
      <c r="B588" s="23"/>
      <c r="C588" s="23" t="s">
        <v>4860</v>
      </c>
      <c r="D588" s="23" t="str">
        <f t="shared" si="27"/>
        <v>ORD26002185</v>
      </c>
      <c r="E588" s="38">
        <v>46269</v>
      </c>
      <c r="F588" s="23" t="s">
        <v>12410</v>
      </c>
      <c r="G588" s="23" t="s">
        <v>79</v>
      </c>
      <c r="H588" s="24">
        <v>3447</v>
      </c>
      <c r="I588" s="24">
        <v>55.15</v>
      </c>
      <c r="J588" s="24">
        <v>9.93</v>
      </c>
      <c r="K588" s="24">
        <v>3381.92</v>
      </c>
      <c r="L588" s="38">
        <v>46271</v>
      </c>
      <c r="M588" s="23" t="s">
        <v>188</v>
      </c>
      <c r="N588" s="23" t="str">
        <f>IF(COUNTIF($A$2:A588,A588)&gt;1,"DUP","OK")</f>
        <v>OK</v>
      </c>
      <c r="O588" s="23" t="str">
        <f t="shared" si="28"/>
        <v>ORD26002185</v>
      </c>
      <c r="P588" s="23" t="str">
        <f t="shared" si="29"/>
        <v>Sep</v>
      </c>
      <c r="Q588" s="23" t="str">
        <f>IF(F588="CAPTURE",IF(COUNTIF(orders!$A:$A,O588)&gt;0,"Yes","NO ORDER"),"")</f>
        <v>Yes</v>
      </c>
    </row>
    <row r="589" spans="1:17" ht="15" customHeight="1" x14ac:dyDescent="0.3">
      <c r="A589" s="23" t="s">
        <v>13093</v>
      </c>
      <c r="B589" s="23"/>
      <c r="C589" s="23" t="s">
        <v>4948</v>
      </c>
      <c r="D589" s="23" t="str">
        <f t="shared" si="27"/>
        <v>ORD26002228</v>
      </c>
      <c r="E589" s="38">
        <v>46269</v>
      </c>
      <c r="F589" s="23" t="s">
        <v>12410</v>
      </c>
      <c r="G589" s="23" t="s">
        <v>81</v>
      </c>
      <c r="H589" s="24">
        <v>2499</v>
      </c>
      <c r="I589" s="24">
        <v>29.99</v>
      </c>
      <c r="J589" s="24">
        <v>5.4</v>
      </c>
      <c r="K589" s="24">
        <v>2463.61</v>
      </c>
      <c r="L589" s="38">
        <v>46271</v>
      </c>
      <c r="M589" s="23" t="s">
        <v>188</v>
      </c>
      <c r="N589" s="23" t="str">
        <f>IF(COUNTIF($A$2:A589,A589)&gt;1,"DUP","OK")</f>
        <v>OK</v>
      </c>
      <c r="O589" s="23" t="str">
        <f t="shared" si="28"/>
        <v>ORD26002228</v>
      </c>
      <c r="P589" s="23" t="str">
        <f t="shared" si="29"/>
        <v>Sep</v>
      </c>
      <c r="Q589" s="23" t="str">
        <f>IF(F589="CAPTURE",IF(COUNTIF(orders!$A:$A,O589)&gt;0,"Yes","NO ORDER"),"")</f>
        <v>Yes</v>
      </c>
    </row>
    <row r="590" spans="1:17" ht="15" customHeight="1" x14ac:dyDescent="0.3">
      <c r="A590" s="23" t="s">
        <v>13094</v>
      </c>
      <c r="B590" s="23"/>
      <c r="C590" s="23" t="s">
        <v>4953</v>
      </c>
      <c r="D590" s="23" t="str">
        <f t="shared" si="27"/>
        <v>ORD26002230</v>
      </c>
      <c r="E590" s="38">
        <v>46269</v>
      </c>
      <c r="F590" s="23" t="s">
        <v>12410</v>
      </c>
      <c r="G590" s="23" t="s">
        <v>75</v>
      </c>
      <c r="H590" s="24">
        <v>1947</v>
      </c>
      <c r="I590" s="24">
        <v>0</v>
      </c>
      <c r="J590" s="24">
        <v>0</v>
      </c>
      <c r="K590" s="24">
        <v>1947</v>
      </c>
      <c r="L590" s="38">
        <v>46271</v>
      </c>
      <c r="M590" s="23" t="s">
        <v>188</v>
      </c>
      <c r="N590" s="23" t="str">
        <f>IF(COUNTIF($A$2:A590,A590)&gt;1,"DUP","OK")</f>
        <v>OK</v>
      </c>
      <c r="O590" s="23" t="str">
        <f t="shared" si="28"/>
        <v>ORD26002230</v>
      </c>
      <c r="P590" s="23" t="str">
        <f t="shared" si="29"/>
        <v>Sep</v>
      </c>
      <c r="Q590" s="23" t="str">
        <f>IF(F590="CAPTURE",IF(COUNTIF(orders!$A:$A,O590)&gt;0,"Yes","NO ORDER"),"")</f>
        <v>Yes</v>
      </c>
    </row>
    <row r="591" spans="1:17" ht="15" customHeight="1" x14ac:dyDescent="0.3">
      <c r="A591" s="23" t="s">
        <v>13095</v>
      </c>
      <c r="B591" s="23"/>
      <c r="C591" s="23" t="s">
        <v>5022</v>
      </c>
      <c r="D591" s="23" t="str">
        <f t="shared" si="27"/>
        <v>ORD26002264</v>
      </c>
      <c r="E591" s="38">
        <v>46269</v>
      </c>
      <c r="F591" s="23" t="s">
        <v>12410</v>
      </c>
      <c r="G591" s="23" t="s">
        <v>77</v>
      </c>
      <c r="H591" s="24">
        <v>3499</v>
      </c>
      <c r="I591" s="24">
        <v>59.48</v>
      </c>
      <c r="J591" s="24">
        <v>10.71</v>
      </c>
      <c r="K591" s="24">
        <v>3428.81</v>
      </c>
      <c r="L591" s="38">
        <v>46271</v>
      </c>
      <c r="M591" s="23" t="s">
        <v>188</v>
      </c>
      <c r="N591" s="23" t="str">
        <f>IF(COUNTIF($A$2:A591,A591)&gt;1,"DUP","OK")</f>
        <v>OK</v>
      </c>
      <c r="O591" s="23" t="str">
        <f t="shared" si="28"/>
        <v>ORD26002264</v>
      </c>
      <c r="P591" s="23" t="str">
        <f t="shared" si="29"/>
        <v>Sep</v>
      </c>
      <c r="Q591" s="23" t="str">
        <f>IF(F591="CAPTURE",IF(COUNTIF(orders!$A:$A,O591)&gt;0,"Yes","NO ORDER"),"")</f>
        <v>Yes</v>
      </c>
    </row>
    <row r="592" spans="1:17" ht="15" customHeight="1" x14ac:dyDescent="0.3">
      <c r="A592" s="23" t="s">
        <v>13096</v>
      </c>
      <c r="B592" s="23"/>
      <c r="C592" s="23" t="s">
        <v>5108</v>
      </c>
      <c r="D592" s="23" t="str">
        <f t="shared" si="27"/>
        <v>ORD26002307</v>
      </c>
      <c r="E592" s="38">
        <v>46269</v>
      </c>
      <c r="F592" s="23" t="s">
        <v>12410</v>
      </c>
      <c r="G592" s="23" t="s">
        <v>75</v>
      </c>
      <c r="H592" s="24">
        <v>2498</v>
      </c>
      <c r="I592" s="24">
        <v>7.49</v>
      </c>
      <c r="J592" s="24">
        <v>1.35</v>
      </c>
      <c r="K592" s="24">
        <v>2489.16</v>
      </c>
      <c r="L592" s="38">
        <v>46271</v>
      </c>
      <c r="M592" s="23" t="s">
        <v>188</v>
      </c>
      <c r="N592" s="23" t="str">
        <f>IF(COUNTIF($A$2:A592,A592)&gt;1,"DUP","OK")</f>
        <v>OK</v>
      </c>
      <c r="O592" s="23" t="str">
        <f t="shared" si="28"/>
        <v>ORD26002307</v>
      </c>
      <c r="P592" s="23" t="str">
        <f t="shared" si="29"/>
        <v>Sep</v>
      </c>
      <c r="Q592" s="23" t="str">
        <f>IF(F592="CAPTURE",IF(COUNTIF(orders!$A:$A,O592)&gt;0,"Yes","NO ORDER"),"")</f>
        <v>Yes</v>
      </c>
    </row>
    <row r="593" spans="1:17" ht="15" customHeight="1" x14ac:dyDescent="0.3">
      <c r="A593" s="23" t="s">
        <v>13097</v>
      </c>
      <c r="B593" s="23"/>
      <c r="C593" s="23" t="s">
        <v>13098</v>
      </c>
      <c r="D593" s="23" t="str">
        <f t="shared" si="27"/>
        <v>ORD26002342</v>
      </c>
      <c r="E593" s="38">
        <v>46269</v>
      </c>
      <c r="F593" s="23" t="s">
        <v>12410</v>
      </c>
      <c r="G593" s="23" t="s">
        <v>77</v>
      </c>
      <c r="H593" s="24">
        <v>349</v>
      </c>
      <c r="I593" s="24">
        <v>6.63</v>
      </c>
      <c r="J593" s="24">
        <v>1.19</v>
      </c>
      <c r="K593" s="24">
        <v>341.18</v>
      </c>
      <c r="L593" s="38">
        <v>46271</v>
      </c>
      <c r="M593" s="23" t="s">
        <v>188</v>
      </c>
      <c r="N593" s="23" t="str">
        <f>IF(COUNTIF($A$2:A593,A593)&gt;1,"DUP","OK")</f>
        <v>OK</v>
      </c>
      <c r="O593" s="23" t="str">
        <f t="shared" si="28"/>
        <v>ORD26002342</v>
      </c>
      <c r="P593" s="23" t="str">
        <f t="shared" si="29"/>
        <v>Sep</v>
      </c>
      <c r="Q593" s="23" t="str">
        <f>IF(F593="CAPTURE",IF(COUNTIF(orders!$A:$A,O593)&gt;0,"Yes","NO ORDER"),"")</f>
        <v>Yes</v>
      </c>
    </row>
    <row r="594" spans="1:17" ht="15" customHeight="1" x14ac:dyDescent="0.3">
      <c r="A594" s="23" t="s">
        <v>13099</v>
      </c>
      <c r="B594" s="23"/>
      <c r="C594" s="23" t="s">
        <v>13100</v>
      </c>
      <c r="D594" s="23" t="str">
        <f t="shared" si="27"/>
        <v>ORD26002374</v>
      </c>
      <c r="E594" s="38">
        <v>46269</v>
      </c>
      <c r="F594" s="23" t="s">
        <v>12410</v>
      </c>
      <c r="G594" s="23" t="s">
        <v>79</v>
      </c>
      <c r="H594" s="24">
        <v>499</v>
      </c>
      <c r="I594" s="24">
        <v>8.98</v>
      </c>
      <c r="J594" s="24">
        <v>1.62</v>
      </c>
      <c r="K594" s="24">
        <v>488.4</v>
      </c>
      <c r="L594" s="38">
        <v>46271</v>
      </c>
      <c r="M594" s="23" t="s">
        <v>188</v>
      </c>
      <c r="N594" s="23" t="str">
        <f>IF(COUNTIF($A$2:A594,A594)&gt;1,"DUP","OK")</f>
        <v>OK</v>
      </c>
      <c r="O594" s="23" t="str">
        <f t="shared" si="28"/>
        <v>ORD26002374</v>
      </c>
      <c r="P594" s="23" t="str">
        <f t="shared" si="29"/>
        <v>Sep</v>
      </c>
      <c r="Q594" s="23" t="str">
        <f>IF(F594="CAPTURE",IF(COUNTIF(orders!$A:$A,O594)&gt;0,"Yes","NO ORDER"),"")</f>
        <v>Yes</v>
      </c>
    </row>
    <row r="595" spans="1:17" ht="15" customHeight="1" x14ac:dyDescent="0.3">
      <c r="A595" s="23" t="s">
        <v>13101</v>
      </c>
      <c r="B595" s="23"/>
      <c r="C595" s="23" t="s">
        <v>5295</v>
      </c>
      <c r="D595" s="23" t="str">
        <f t="shared" si="27"/>
        <v>ORD26002401</v>
      </c>
      <c r="E595" s="38">
        <v>46269</v>
      </c>
      <c r="F595" s="23" t="s">
        <v>12410</v>
      </c>
      <c r="G595" s="23" t="s">
        <v>75</v>
      </c>
      <c r="H595" s="24">
        <v>6798</v>
      </c>
      <c r="I595" s="24">
        <v>20.39</v>
      </c>
      <c r="J595" s="24">
        <v>3.67</v>
      </c>
      <c r="K595" s="24">
        <v>6773.94</v>
      </c>
      <c r="L595" s="38">
        <v>46271</v>
      </c>
      <c r="M595" s="23" t="s">
        <v>188</v>
      </c>
      <c r="N595" s="23" t="str">
        <f>IF(COUNTIF($A$2:A595,A595)&gt;1,"DUP","OK")</f>
        <v>OK</v>
      </c>
      <c r="O595" s="23" t="str">
        <f t="shared" si="28"/>
        <v>ORD26002401</v>
      </c>
      <c r="P595" s="23" t="str">
        <f t="shared" si="29"/>
        <v>Sep</v>
      </c>
      <c r="Q595" s="23" t="str">
        <f>IF(F595="CAPTURE",IF(COUNTIF(orders!$A:$A,O595)&gt;0,"Yes","NO ORDER"),"")</f>
        <v>Yes</v>
      </c>
    </row>
    <row r="596" spans="1:17" ht="15" customHeight="1" x14ac:dyDescent="0.3">
      <c r="A596" s="23" t="s">
        <v>13102</v>
      </c>
      <c r="B596" s="23"/>
      <c r="C596" s="23" t="s">
        <v>13103</v>
      </c>
      <c r="D596" s="23" t="str">
        <f t="shared" si="27"/>
        <v>ORD26002410</v>
      </c>
      <c r="E596" s="38">
        <v>46269</v>
      </c>
      <c r="F596" s="23" t="s">
        <v>12410</v>
      </c>
      <c r="G596" s="23" t="s">
        <v>79</v>
      </c>
      <c r="H596" s="24">
        <v>8998</v>
      </c>
      <c r="I596" s="24">
        <v>143.97</v>
      </c>
      <c r="J596" s="24">
        <v>25.91</v>
      </c>
      <c r="K596" s="24">
        <v>8828.1200000000008</v>
      </c>
      <c r="L596" s="38">
        <v>46271</v>
      </c>
      <c r="M596" s="23" t="s">
        <v>188</v>
      </c>
      <c r="N596" s="23" t="str">
        <f>IF(COUNTIF($A$2:A596,A596)&gt;1,"DUP","OK")</f>
        <v>OK</v>
      </c>
      <c r="O596" s="23" t="str">
        <f t="shared" si="28"/>
        <v>ORD26002410</v>
      </c>
      <c r="P596" s="23" t="str">
        <f t="shared" si="29"/>
        <v>Sep</v>
      </c>
      <c r="Q596" s="23" t="str">
        <f>IF(F596="CAPTURE",IF(COUNTIF(orders!$A:$A,O596)&gt;0,"Yes","NO ORDER"),"")</f>
        <v>Yes</v>
      </c>
    </row>
    <row r="597" spans="1:17" ht="15" customHeight="1" x14ac:dyDescent="0.3">
      <c r="A597" s="23" t="s">
        <v>13104</v>
      </c>
      <c r="B597" s="23"/>
      <c r="C597" s="23" t="s">
        <v>5329</v>
      </c>
      <c r="D597" s="23" t="str">
        <f t="shared" si="27"/>
        <v>ORD26002419</v>
      </c>
      <c r="E597" s="38">
        <v>46269</v>
      </c>
      <c r="F597" s="23" t="s">
        <v>12410</v>
      </c>
      <c r="G597" s="23" t="s">
        <v>75</v>
      </c>
      <c r="H597" s="24">
        <v>3499</v>
      </c>
      <c r="I597" s="24">
        <v>10.5</v>
      </c>
      <c r="J597" s="24">
        <v>1.89</v>
      </c>
      <c r="K597" s="24">
        <v>3486.61</v>
      </c>
      <c r="L597" s="38">
        <v>46271</v>
      </c>
      <c r="M597" s="23" t="s">
        <v>188</v>
      </c>
      <c r="N597" s="23" t="str">
        <f>IF(COUNTIF($A$2:A597,A597)&gt;1,"DUP","OK")</f>
        <v>OK</v>
      </c>
      <c r="O597" s="23" t="str">
        <f t="shared" si="28"/>
        <v>ORD26002419</v>
      </c>
      <c r="P597" s="23" t="str">
        <f t="shared" si="29"/>
        <v>Sep</v>
      </c>
      <c r="Q597" s="23" t="str">
        <f>IF(F597="CAPTURE",IF(COUNTIF(orders!$A:$A,O597)&gt;0,"Yes","NO ORDER"),"")</f>
        <v>Yes</v>
      </c>
    </row>
    <row r="598" spans="1:17" ht="15" customHeight="1" x14ac:dyDescent="0.3">
      <c r="A598" s="23" t="s">
        <v>13105</v>
      </c>
      <c r="B598" s="23"/>
      <c r="C598" s="23" t="s">
        <v>5349</v>
      </c>
      <c r="D598" s="23" t="str">
        <f t="shared" si="27"/>
        <v>ORD26002429</v>
      </c>
      <c r="E598" s="38">
        <v>46269</v>
      </c>
      <c r="F598" s="23" t="s">
        <v>12410</v>
      </c>
      <c r="G598" s="23" t="s">
        <v>77</v>
      </c>
      <c r="H598" s="24">
        <v>2999</v>
      </c>
      <c r="I598" s="24">
        <v>50.98</v>
      </c>
      <c r="J598" s="24">
        <v>9.18</v>
      </c>
      <c r="K598" s="24">
        <v>2938.84</v>
      </c>
      <c r="L598" s="38">
        <v>46271</v>
      </c>
      <c r="M598" s="23" t="s">
        <v>188</v>
      </c>
      <c r="N598" s="23" t="str">
        <f>IF(COUNTIF($A$2:A598,A598)&gt;1,"DUP","OK")</f>
        <v>OK</v>
      </c>
      <c r="O598" s="23" t="str">
        <f t="shared" si="28"/>
        <v>ORD26002429</v>
      </c>
      <c r="P598" s="23" t="str">
        <f t="shared" si="29"/>
        <v>Sep</v>
      </c>
      <c r="Q598" s="23" t="str">
        <f>IF(F598="CAPTURE",IF(COUNTIF(orders!$A:$A,O598)&gt;0,"Yes","NO ORDER"),"")</f>
        <v>Yes</v>
      </c>
    </row>
    <row r="599" spans="1:17" ht="15" customHeight="1" x14ac:dyDescent="0.3">
      <c r="A599" s="23" t="s">
        <v>13106</v>
      </c>
      <c r="B599" s="23"/>
      <c r="C599" s="23" t="s">
        <v>13107</v>
      </c>
      <c r="D599" s="23" t="str">
        <f t="shared" si="27"/>
        <v>ORD26002447</v>
      </c>
      <c r="E599" s="38">
        <v>46269</v>
      </c>
      <c r="F599" s="23" t="s">
        <v>12410</v>
      </c>
      <c r="G599" s="23" t="s">
        <v>79</v>
      </c>
      <c r="H599" s="24">
        <v>1298</v>
      </c>
      <c r="I599" s="24">
        <v>23.36</v>
      </c>
      <c r="J599" s="24">
        <v>4.2</v>
      </c>
      <c r="K599" s="24">
        <v>1270.44</v>
      </c>
      <c r="L599" s="38">
        <v>46271</v>
      </c>
      <c r="M599" s="23" t="s">
        <v>188</v>
      </c>
      <c r="N599" s="23" t="str">
        <f>IF(COUNTIF($A$2:A599,A599)&gt;1,"DUP","OK")</f>
        <v>OK</v>
      </c>
      <c r="O599" s="23" t="str">
        <f t="shared" si="28"/>
        <v>ORD26002447</v>
      </c>
      <c r="P599" s="23" t="str">
        <f t="shared" si="29"/>
        <v>Sep</v>
      </c>
      <c r="Q599" s="23" t="str">
        <f>IF(F599="CAPTURE",IF(COUNTIF(orders!$A:$A,O599)&gt;0,"Yes","NO ORDER"),"")</f>
        <v>Yes</v>
      </c>
    </row>
    <row r="600" spans="1:17" ht="15" customHeight="1" x14ac:dyDescent="0.3">
      <c r="A600" s="23" t="s">
        <v>13108</v>
      </c>
      <c r="B600" s="23"/>
      <c r="C600" s="23" t="s">
        <v>5449</v>
      </c>
      <c r="D600" s="23" t="str">
        <f t="shared" si="27"/>
        <v>ORD26002480</v>
      </c>
      <c r="E600" s="38">
        <v>46269</v>
      </c>
      <c r="F600" s="23" t="s">
        <v>12410</v>
      </c>
      <c r="G600" s="23" t="s">
        <v>81</v>
      </c>
      <c r="H600" s="24">
        <v>1348</v>
      </c>
      <c r="I600" s="24">
        <v>20.22</v>
      </c>
      <c r="J600" s="24">
        <v>3.64</v>
      </c>
      <c r="K600" s="24">
        <v>1324.14</v>
      </c>
      <c r="L600" s="38">
        <v>46271</v>
      </c>
      <c r="M600" s="23" t="s">
        <v>188</v>
      </c>
      <c r="N600" s="23" t="str">
        <f>IF(COUNTIF($A$2:A600,A600)&gt;1,"DUP","OK")</f>
        <v>OK</v>
      </c>
      <c r="O600" s="23" t="str">
        <f t="shared" si="28"/>
        <v>ORD26002480</v>
      </c>
      <c r="P600" s="23" t="str">
        <f t="shared" si="29"/>
        <v>Sep</v>
      </c>
      <c r="Q600" s="23" t="str">
        <f>IF(F600="CAPTURE",IF(COUNTIF(orders!$A:$A,O600)&gt;0,"Yes","NO ORDER"),"")</f>
        <v>Yes</v>
      </c>
    </row>
    <row r="601" spans="1:17" ht="15" customHeight="1" x14ac:dyDescent="0.3">
      <c r="A601" s="23" t="s">
        <v>13109</v>
      </c>
      <c r="B601" s="23"/>
      <c r="C601" s="23" t="s">
        <v>5492</v>
      </c>
      <c r="D601" s="23" t="str">
        <f t="shared" si="27"/>
        <v>ORD26002502</v>
      </c>
      <c r="E601" s="38">
        <v>46269</v>
      </c>
      <c r="F601" s="23" t="s">
        <v>12410</v>
      </c>
      <c r="G601" s="23" t="s">
        <v>81</v>
      </c>
      <c r="H601" s="24">
        <v>5298</v>
      </c>
      <c r="I601" s="24">
        <v>63.58</v>
      </c>
      <c r="J601" s="24">
        <v>11.44</v>
      </c>
      <c r="K601" s="24">
        <v>5222.9799999999996</v>
      </c>
      <c r="L601" s="38">
        <v>46271</v>
      </c>
      <c r="M601" s="23" t="s">
        <v>188</v>
      </c>
      <c r="N601" s="23" t="str">
        <f>IF(COUNTIF($A$2:A601,A601)&gt;1,"DUP","OK")</f>
        <v>OK</v>
      </c>
      <c r="O601" s="23" t="str">
        <f t="shared" si="28"/>
        <v>ORD26002502</v>
      </c>
      <c r="P601" s="23" t="str">
        <f t="shared" si="29"/>
        <v>Sep</v>
      </c>
      <c r="Q601" s="23" t="str">
        <f>IF(F601="CAPTURE",IF(COUNTIF(orders!$A:$A,O601)&gt;0,"Yes","NO ORDER"),"")</f>
        <v>Yes</v>
      </c>
    </row>
    <row r="602" spans="1:17" ht="15" customHeight="1" x14ac:dyDescent="0.3">
      <c r="A602" s="23" t="s">
        <v>13110</v>
      </c>
      <c r="B602" s="23"/>
      <c r="C602" s="23" t="s">
        <v>5555</v>
      </c>
      <c r="D602" s="23" t="str">
        <f t="shared" si="27"/>
        <v>ORD26002531</v>
      </c>
      <c r="E602" s="38">
        <v>46269</v>
      </c>
      <c r="F602" s="23" t="s">
        <v>12410</v>
      </c>
      <c r="G602" s="23" t="s">
        <v>79</v>
      </c>
      <c r="H602" s="24">
        <v>9297</v>
      </c>
      <c r="I602" s="24">
        <v>148.75</v>
      </c>
      <c r="J602" s="24">
        <v>26.78</v>
      </c>
      <c r="K602" s="24">
        <v>9121.4699999999993</v>
      </c>
      <c r="L602" s="38">
        <v>46271</v>
      </c>
      <c r="M602" s="23" t="s">
        <v>188</v>
      </c>
      <c r="N602" s="23" t="str">
        <f>IF(COUNTIF($A$2:A602,A602)&gt;1,"DUP","OK")</f>
        <v>OK</v>
      </c>
      <c r="O602" s="23" t="str">
        <f t="shared" si="28"/>
        <v>ORD26002531</v>
      </c>
      <c r="P602" s="23" t="str">
        <f t="shared" si="29"/>
        <v>Sep</v>
      </c>
      <c r="Q602" s="23" t="str">
        <f>IF(F602="CAPTURE",IF(COUNTIF(orders!$A:$A,O602)&gt;0,"Yes","NO ORDER"),"")</f>
        <v>Yes</v>
      </c>
    </row>
    <row r="603" spans="1:17" ht="15" customHeight="1" x14ac:dyDescent="0.3">
      <c r="A603" s="23" t="s">
        <v>13111</v>
      </c>
      <c r="B603" s="23"/>
      <c r="C603" s="23" t="s">
        <v>5578</v>
      </c>
      <c r="D603" s="23" t="str">
        <f t="shared" si="27"/>
        <v>ORD26002542</v>
      </c>
      <c r="E603" s="38">
        <v>46269</v>
      </c>
      <c r="F603" s="23" t="s">
        <v>12410</v>
      </c>
      <c r="G603" s="23" t="s">
        <v>77</v>
      </c>
      <c r="H603" s="24">
        <v>1799</v>
      </c>
      <c r="I603" s="24">
        <v>34.18</v>
      </c>
      <c r="J603" s="24">
        <v>6.15</v>
      </c>
      <c r="K603" s="24">
        <v>1758.67</v>
      </c>
      <c r="L603" s="38">
        <v>46271</v>
      </c>
      <c r="M603" s="23" t="s">
        <v>188</v>
      </c>
      <c r="N603" s="23" t="str">
        <f>IF(COUNTIF($A$2:A603,A603)&gt;1,"DUP","OK")</f>
        <v>OK</v>
      </c>
      <c r="O603" s="23" t="str">
        <f t="shared" si="28"/>
        <v>ORD26002542</v>
      </c>
      <c r="P603" s="23" t="str">
        <f t="shared" si="29"/>
        <v>Sep</v>
      </c>
      <c r="Q603" s="23" t="str">
        <f>IF(F603="CAPTURE",IF(COUNTIF(orders!$A:$A,O603)&gt;0,"Yes","NO ORDER"),"")</f>
        <v>Yes</v>
      </c>
    </row>
    <row r="604" spans="1:17" ht="15" customHeight="1" x14ac:dyDescent="0.3">
      <c r="A604" s="23" t="s">
        <v>13112</v>
      </c>
      <c r="B604" s="23"/>
      <c r="C604" s="23" t="s">
        <v>5606</v>
      </c>
      <c r="D604" s="23" t="str">
        <f t="shared" si="27"/>
        <v>ORD26002556</v>
      </c>
      <c r="E604" s="38">
        <v>46269</v>
      </c>
      <c r="F604" s="23" t="s">
        <v>12410</v>
      </c>
      <c r="G604" s="23" t="s">
        <v>75</v>
      </c>
      <c r="H604" s="24">
        <v>1397</v>
      </c>
      <c r="I604" s="24">
        <v>0</v>
      </c>
      <c r="J604" s="24">
        <v>0</v>
      </c>
      <c r="K604" s="24">
        <v>1397</v>
      </c>
      <c r="L604" s="38">
        <v>46271</v>
      </c>
      <c r="M604" s="23" t="s">
        <v>188</v>
      </c>
      <c r="N604" s="23" t="str">
        <f>IF(COUNTIF($A$2:A604,A604)&gt;1,"DUP","OK")</f>
        <v>OK</v>
      </c>
      <c r="O604" s="23" t="str">
        <f t="shared" si="28"/>
        <v>ORD26002556</v>
      </c>
      <c r="P604" s="23" t="str">
        <f t="shared" si="29"/>
        <v>Sep</v>
      </c>
      <c r="Q604" s="23" t="str">
        <f>IF(F604="CAPTURE",IF(COUNTIF(orders!$A:$A,O604)&gt;0,"Yes","NO ORDER"),"")</f>
        <v>Yes</v>
      </c>
    </row>
    <row r="605" spans="1:17" ht="15" customHeight="1" x14ac:dyDescent="0.3">
      <c r="A605" s="23" t="s">
        <v>13113</v>
      </c>
      <c r="B605" s="23"/>
      <c r="C605" s="23" t="s">
        <v>5701</v>
      </c>
      <c r="D605" s="23" t="str">
        <f t="shared" si="27"/>
        <v>ORD26002604</v>
      </c>
      <c r="E605" s="38">
        <v>46269</v>
      </c>
      <c r="F605" s="23" t="s">
        <v>12410</v>
      </c>
      <c r="G605" s="23" t="s">
        <v>75</v>
      </c>
      <c r="H605" s="24">
        <v>4999</v>
      </c>
      <c r="I605" s="24">
        <v>15</v>
      </c>
      <c r="J605" s="24">
        <v>2.7</v>
      </c>
      <c r="K605" s="24">
        <v>4981.3</v>
      </c>
      <c r="L605" s="38">
        <v>46271</v>
      </c>
      <c r="M605" s="23" t="s">
        <v>188</v>
      </c>
      <c r="N605" s="23" t="str">
        <f>IF(COUNTIF($A$2:A605,A605)&gt;1,"DUP","OK")</f>
        <v>OK</v>
      </c>
      <c r="O605" s="23" t="str">
        <f t="shared" si="28"/>
        <v>ORD26002604</v>
      </c>
      <c r="P605" s="23" t="str">
        <f t="shared" si="29"/>
        <v>Sep</v>
      </c>
      <c r="Q605" s="23" t="str">
        <f>IF(F605="CAPTURE",IF(COUNTIF(orders!$A:$A,O605)&gt;0,"Yes","NO ORDER"),"")</f>
        <v>Yes</v>
      </c>
    </row>
    <row r="606" spans="1:17" ht="15" customHeight="1" x14ac:dyDescent="0.3">
      <c r="A606" s="23" t="s">
        <v>13114</v>
      </c>
      <c r="B606" s="23"/>
      <c r="C606" s="23" t="s">
        <v>13115</v>
      </c>
      <c r="D606" s="23" t="str">
        <f t="shared" si="27"/>
        <v>ORD26002662</v>
      </c>
      <c r="E606" s="38">
        <v>46269</v>
      </c>
      <c r="F606" s="23" t="s">
        <v>12410</v>
      </c>
      <c r="G606" s="23" t="s">
        <v>75</v>
      </c>
      <c r="H606" s="24">
        <v>798</v>
      </c>
      <c r="I606" s="24">
        <v>0</v>
      </c>
      <c r="J606" s="24">
        <v>0</v>
      </c>
      <c r="K606" s="24">
        <v>798</v>
      </c>
      <c r="L606" s="38">
        <v>46271</v>
      </c>
      <c r="M606" s="23" t="s">
        <v>188</v>
      </c>
      <c r="N606" s="23" t="str">
        <f>IF(COUNTIF($A$2:A606,A606)&gt;1,"DUP","OK")</f>
        <v>OK</v>
      </c>
      <c r="O606" s="23" t="str">
        <f t="shared" si="28"/>
        <v>ORD26002662</v>
      </c>
      <c r="P606" s="23" t="str">
        <f t="shared" si="29"/>
        <v>Sep</v>
      </c>
      <c r="Q606" s="23" t="str">
        <f>IF(F606="CAPTURE",IF(COUNTIF(orders!$A:$A,O606)&gt;0,"Yes","NO ORDER"),"")</f>
        <v>Yes</v>
      </c>
    </row>
    <row r="607" spans="1:17" ht="15" customHeight="1" x14ac:dyDescent="0.3">
      <c r="A607" s="23" t="s">
        <v>13116</v>
      </c>
      <c r="B607" s="23"/>
      <c r="C607" s="23" t="s">
        <v>5922</v>
      </c>
      <c r="D607" s="23" t="str">
        <f t="shared" si="27"/>
        <v>ORD26002713</v>
      </c>
      <c r="E607" s="38">
        <v>46269</v>
      </c>
      <c r="F607" s="23" t="s">
        <v>12410</v>
      </c>
      <c r="G607" s="23" t="s">
        <v>79</v>
      </c>
      <c r="H607" s="24">
        <v>3499</v>
      </c>
      <c r="I607" s="24">
        <v>55.98</v>
      </c>
      <c r="J607" s="24">
        <v>10.08</v>
      </c>
      <c r="K607" s="24">
        <v>3432.94</v>
      </c>
      <c r="L607" s="38">
        <v>46271</v>
      </c>
      <c r="M607" s="23" t="s">
        <v>188</v>
      </c>
      <c r="N607" s="23" t="str">
        <f>IF(COUNTIF($A$2:A607,A607)&gt;1,"DUP","OK")</f>
        <v>OK</v>
      </c>
      <c r="O607" s="23" t="str">
        <f t="shared" si="28"/>
        <v>ORD26002713</v>
      </c>
      <c r="P607" s="23" t="str">
        <f t="shared" si="29"/>
        <v>Sep</v>
      </c>
      <c r="Q607" s="23" t="str">
        <f>IF(F607="CAPTURE",IF(COUNTIF(orders!$A:$A,O607)&gt;0,"Yes","NO ORDER"),"")</f>
        <v>Yes</v>
      </c>
    </row>
    <row r="608" spans="1:17" ht="15" customHeight="1" x14ac:dyDescent="0.3">
      <c r="A608" s="23" t="s">
        <v>13117</v>
      </c>
      <c r="B608" s="23"/>
      <c r="C608" s="23" t="s">
        <v>6052</v>
      </c>
      <c r="D608" s="23" t="str">
        <f t="shared" si="27"/>
        <v>ORD26002777</v>
      </c>
      <c r="E608" s="38">
        <v>46269</v>
      </c>
      <c r="F608" s="23" t="s">
        <v>12410</v>
      </c>
      <c r="G608" s="23" t="s">
        <v>79</v>
      </c>
      <c r="H608" s="24">
        <v>799</v>
      </c>
      <c r="I608" s="24">
        <v>14.38</v>
      </c>
      <c r="J608" s="24">
        <v>2.59</v>
      </c>
      <c r="K608" s="24">
        <v>782.03</v>
      </c>
      <c r="L608" s="38">
        <v>46271</v>
      </c>
      <c r="M608" s="23" t="s">
        <v>188</v>
      </c>
      <c r="N608" s="23" t="str">
        <f>IF(COUNTIF($A$2:A608,A608)&gt;1,"DUP","OK")</f>
        <v>OK</v>
      </c>
      <c r="O608" s="23" t="str">
        <f t="shared" si="28"/>
        <v>ORD26002777</v>
      </c>
      <c r="P608" s="23" t="str">
        <f t="shared" si="29"/>
        <v>Sep</v>
      </c>
      <c r="Q608" s="23" t="str">
        <f>IF(F608="CAPTURE",IF(COUNTIF(orders!$A:$A,O608)&gt;0,"Yes","NO ORDER"),"")</f>
        <v>Yes</v>
      </c>
    </row>
    <row r="609" spans="1:17" ht="15" customHeight="1" x14ac:dyDescent="0.3">
      <c r="A609" s="23" t="s">
        <v>13118</v>
      </c>
      <c r="B609" s="23"/>
      <c r="C609" s="23" t="s">
        <v>6070</v>
      </c>
      <c r="D609" s="23" t="str">
        <f t="shared" si="27"/>
        <v>ORD26002786</v>
      </c>
      <c r="E609" s="38">
        <v>46269</v>
      </c>
      <c r="F609" s="23" t="s">
        <v>12410</v>
      </c>
      <c r="G609" s="23" t="s">
        <v>75</v>
      </c>
      <c r="H609" s="24">
        <v>2499</v>
      </c>
      <c r="I609" s="24">
        <v>7.5</v>
      </c>
      <c r="J609" s="24">
        <v>1.35</v>
      </c>
      <c r="K609" s="24">
        <v>2490.15</v>
      </c>
      <c r="L609" s="38">
        <v>46271</v>
      </c>
      <c r="M609" s="23" t="s">
        <v>188</v>
      </c>
      <c r="N609" s="23" t="str">
        <f>IF(COUNTIF($A$2:A609,A609)&gt;1,"DUP","OK")</f>
        <v>OK</v>
      </c>
      <c r="O609" s="23" t="str">
        <f t="shared" si="28"/>
        <v>ORD26002786</v>
      </c>
      <c r="P609" s="23" t="str">
        <f t="shared" si="29"/>
        <v>Sep</v>
      </c>
      <c r="Q609" s="23" t="str">
        <f>IF(F609="CAPTURE",IF(COUNTIF(orders!$A:$A,O609)&gt;0,"Yes","NO ORDER"),"")</f>
        <v>Yes</v>
      </c>
    </row>
    <row r="610" spans="1:17" ht="15" customHeight="1" x14ac:dyDescent="0.3">
      <c r="A610" s="23" t="s">
        <v>13119</v>
      </c>
      <c r="B610" s="23"/>
      <c r="C610" s="23" t="s">
        <v>13120</v>
      </c>
      <c r="D610" s="23" t="str">
        <f t="shared" si="27"/>
        <v>ORD26002795</v>
      </c>
      <c r="E610" s="38">
        <v>46269</v>
      </c>
      <c r="F610" s="23" t="s">
        <v>12410</v>
      </c>
      <c r="G610" s="23" t="s">
        <v>75</v>
      </c>
      <c r="H610" s="24">
        <v>1799</v>
      </c>
      <c r="I610" s="24">
        <v>5.4</v>
      </c>
      <c r="J610" s="24">
        <v>0.97</v>
      </c>
      <c r="K610" s="24">
        <v>1792.63</v>
      </c>
      <c r="L610" s="38">
        <v>46271</v>
      </c>
      <c r="M610" s="23" t="s">
        <v>188</v>
      </c>
      <c r="N610" s="23" t="str">
        <f>IF(COUNTIF($A$2:A610,A610)&gt;1,"DUP","OK")</f>
        <v>OK</v>
      </c>
      <c r="O610" s="23" t="str">
        <f t="shared" si="28"/>
        <v>ORD26002795</v>
      </c>
      <c r="P610" s="23" t="str">
        <f t="shared" si="29"/>
        <v>Sep</v>
      </c>
      <c r="Q610" s="23" t="str">
        <f>IF(F610="CAPTURE",IF(COUNTIF(orders!$A:$A,O610)&gt;0,"Yes","NO ORDER"),"")</f>
        <v>Yes</v>
      </c>
    </row>
    <row r="611" spans="1:17" ht="15" customHeight="1" x14ac:dyDescent="0.3">
      <c r="A611" s="23" t="s">
        <v>13121</v>
      </c>
      <c r="B611" s="23"/>
      <c r="C611" s="23" t="s">
        <v>6100</v>
      </c>
      <c r="D611" s="23" t="str">
        <f t="shared" si="27"/>
        <v>ORD26002801</v>
      </c>
      <c r="E611" s="38">
        <v>46269</v>
      </c>
      <c r="F611" s="23" t="s">
        <v>12410</v>
      </c>
      <c r="G611" s="23" t="s">
        <v>75</v>
      </c>
      <c r="H611" s="24">
        <v>299</v>
      </c>
      <c r="I611" s="24">
        <v>0</v>
      </c>
      <c r="J611" s="24">
        <v>0</v>
      </c>
      <c r="K611" s="24">
        <v>299</v>
      </c>
      <c r="L611" s="38">
        <v>46271</v>
      </c>
      <c r="M611" s="23" t="s">
        <v>188</v>
      </c>
      <c r="N611" s="23" t="str">
        <f>IF(COUNTIF($A$2:A611,A611)&gt;1,"DUP","OK")</f>
        <v>OK</v>
      </c>
      <c r="O611" s="23" t="str">
        <f t="shared" si="28"/>
        <v>ORD26002801</v>
      </c>
      <c r="P611" s="23" t="str">
        <f t="shared" si="29"/>
        <v>Sep</v>
      </c>
      <c r="Q611" s="23" t="str">
        <f>IF(F611="CAPTURE",IF(COUNTIF(orders!$A:$A,O611)&gt;0,"Yes","NO ORDER"),"")</f>
        <v>Yes</v>
      </c>
    </row>
    <row r="612" spans="1:17" ht="15" customHeight="1" x14ac:dyDescent="0.3">
      <c r="A612" s="23" t="s">
        <v>13122</v>
      </c>
      <c r="B612" s="23"/>
      <c r="C612" s="23" t="s">
        <v>13123</v>
      </c>
      <c r="D612" s="23" t="str">
        <f t="shared" si="27"/>
        <v>ORD26002818</v>
      </c>
      <c r="E612" s="38">
        <v>46269</v>
      </c>
      <c r="F612" s="23" t="s">
        <v>12410</v>
      </c>
      <c r="G612" s="23" t="s">
        <v>77</v>
      </c>
      <c r="H612" s="24">
        <v>599</v>
      </c>
      <c r="I612" s="24">
        <v>11.38</v>
      </c>
      <c r="J612" s="24">
        <v>2.0499999999999998</v>
      </c>
      <c r="K612" s="24">
        <v>585.57000000000005</v>
      </c>
      <c r="L612" s="38">
        <v>46271</v>
      </c>
      <c r="M612" s="23" t="s">
        <v>188</v>
      </c>
      <c r="N612" s="23" t="str">
        <f>IF(COUNTIF($A$2:A612,A612)&gt;1,"DUP","OK")</f>
        <v>OK</v>
      </c>
      <c r="O612" s="23" t="str">
        <f t="shared" si="28"/>
        <v>ORD26002818</v>
      </c>
      <c r="P612" s="23" t="str">
        <f t="shared" si="29"/>
        <v>Sep</v>
      </c>
      <c r="Q612" s="23" t="str">
        <f>IF(F612="CAPTURE",IF(COUNTIF(orders!$A:$A,O612)&gt;0,"Yes","NO ORDER"),"")</f>
        <v>Yes</v>
      </c>
    </row>
    <row r="613" spans="1:17" ht="15" customHeight="1" x14ac:dyDescent="0.3">
      <c r="A613" s="23" t="s">
        <v>13124</v>
      </c>
      <c r="B613" s="23"/>
      <c r="C613" s="23" t="s">
        <v>6146</v>
      </c>
      <c r="D613" s="23" t="str">
        <f t="shared" si="27"/>
        <v>ORD26002824</v>
      </c>
      <c r="E613" s="38">
        <v>46269</v>
      </c>
      <c r="F613" s="23" t="s">
        <v>12410</v>
      </c>
      <c r="G613" s="23" t="s">
        <v>75</v>
      </c>
      <c r="H613" s="24">
        <v>1299</v>
      </c>
      <c r="I613" s="24">
        <v>0</v>
      </c>
      <c r="J613" s="24">
        <v>0</v>
      </c>
      <c r="K613" s="24">
        <v>1299</v>
      </c>
      <c r="L613" s="38">
        <v>46271</v>
      </c>
      <c r="M613" s="23" t="s">
        <v>188</v>
      </c>
      <c r="N613" s="23" t="str">
        <f>IF(COUNTIF($A$2:A613,A613)&gt;1,"DUP","OK")</f>
        <v>OK</v>
      </c>
      <c r="O613" s="23" t="str">
        <f t="shared" si="28"/>
        <v>ORD26002824</v>
      </c>
      <c r="P613" s="23" t="str">
        <f t="shared" si="29"/>
        <v>Sep</v>
      </c>
      <c r="Q613" s="23" t="str">
        <f>IF(F613="CAPTURE",IF(COUNTIF(orders!$A:$A,O613)&gt;0,"Yes","NO ORDER"),"")</f>
        <v>Yes</v>
      </c>
    </row>
    <row r="614" spans="1:17" ht="15" customHeight="1" x14ac:dyDescent="0.3">
      <c r="A614" s="23" t="s">
        <v>13125</v>
      </c>
      <c r="B614" s="23"/>
      <c r="C614" s="23" t="s">
        <v>6230</v>
      </c>
      <c r="D614" s="23" t="str">
        <f t="shared" si="27"/>
        <v>ORD26002867</v>
      </c>
      <c r="E614" s="38">
        <v>46269</v>
      </c>
      <c r="F614" s="23" t="s">
        <v>12410</v>
      </c>
      <c r="G614" s="23" t="s">
        <v>79</v>
      </c>
      <c r="H614" s="24">
        <v>1499</v>
      </c>
      <c r="I614" s="24">
        <v>26.98</v>
      </c>
      <c r="J614" s="24">
        <v>4.8600000000000003</v>
      </c>
      <c r="K614" s="24">
        <v>1467.16</v>
      </c>
      <c r="L614" s="38">
        <v>46271</v>
      </c>
      <c r="M614" s="23" t="s">
        <v>188</v>
      </c>
      <c r="N614" s="23" t="str">
        <f>IF(COUNTIF($A$2:A614,A614)&gt;1,"DUP","OK")</f>
        <v>OK</v>
      </c>
      <c r="O614" s="23" t="str">
        <f t="shared" si="28"/>
        <v>ORD26002867</v>
      </c>
      <c r="P614" s="23" t="str">
        <f t="shared" si="29"/>
        <v>Sep</v>
      </c>
      <c r="Q614" s="23" t="str">
        <f>IF(F614="CAPTURE",IF(COUNTIF(orders!$A:$A,O614)&gt;0,"Yes","NO ORDER"),"")</f>
        <v>Yes</v>
      </c>
    </row>
    <row r="615" spans="1:17" ht="15" customHeight="1" x14ac:dyDescent="0.3">
      <c r="A615" s="23" t="s">
        <v>13126</v>
      </c>
      <c r="B615" s="23"/>
      <c r="C615" s="23" t="s">
        <v>6257</v>
      </c>
      <c r="D615" s="23" t="str">
        <f t="shared" si="27"/>
        <v>ORD26002881</v>
      </c>
      <c r="E615" s="38">
        <v>46269</v>
      </c>
      <c r="F615" s="23" t="s">
        <v>12410</v>
      </c>
      <c r="G615" s="23" t="s">
        <v>77</v>
      </c>
      <c r="H615" s="24">
        <v>499</v>
      </c>
      <c r="I615" s="24">
        <v>9.48</v>
      </c>
      <c r="J615" s="24">
        <v>1.71</v>
      </c>
      <c r="K615" s="24">
        <v>487.81</v>
      </c>
      <c r="L615" s="38">
        <v>46271</v>
      </c>
      <c r="M615" s="23" t="s">
        <v>188</v>
      </c>
      <c r="N615" s="23" t="str">
        <f>IF(COUNTIF($A$2:A615,A615)&gt;1,"DUP","OK")</f>
        <v>OK</v>
      </c>
      <c r="O615" s="23" t="str">
        <f t="shared" si="28"/>
        <v>ORD26002881</v>
      </c>
      <c r="P615" s="23" t="str">
        <f t="shared" si="29"/>
        <v>Sep</v>
      </c>
      <c r="Q615" s="23" t="str">
        <f>IF(F615="CAPTURE",IF(COUNTIF(orders!$A:$A,O615)&gt;0,"Yes","NO ORDER"),"")</f>
        <v>Yes</v>
      </c>
    </row>
    <row r="616" spans="1:17" ht="15" customHeight="1" x14ac:dyDescent="0.3">
      <c r="A616" s="23" t="s">
        <v>13127</v>
      </c>
      <c r="B616" s="23"/>
      <c r="C616" s="23" t="s">
        <v>6261</v>
      </c>
      <c r="D616" s="23" t="str">
        <f t="shared" si="27"/>
        <v>ORD26002883</v>
      </c>
      <c r="E616" s="38">
        <v>46269</v>
      </c>
      <c r="F616" s="23" t="s">
        <v>12410</v>
      </c>
      <c r="G616" s="23" t="s">
        <v>75</v>
      </c>
      <c r="H616" s="24">
        <v>648</v>
      </c>
      <c r="I616" s="24">
        <v>0</v>
      </c>
      <c r="J616" s="24">
        <v>0</v>
      </c>
      <c r="K616" s="24">
        <v>648</v>
      </c>
      <c r="L616" s="38">
        <v>46271</v>
      </c>
      <c r="M616" s="23" t="s">
        <v>188</v>
      </c>
      <c r="N616" s="23" t="str">
        <f>IF(COUNTIF($A$2:A616,A616)&gt;1,"DUP","OK")</f>
        <v>OK</v>
      </c>
      <c r="O616" s="23" t="str">
        <f t="shared" si="28"/>
        <v>ORD26002883</v>
      </c>
      <c r="P616" s="23" t="str">
        <f t="shared" si="29"/>
        <v>Sep</v>
      </c>
      <c r="Q616" s="23" t="str">
        <f>IF(F616="CAPTURE",IF(COUNTIF(orders!$A:$A,O616)&gt;0,"Yes","NO ORDER"),"")</f>
        <v>Yes</v>
      </c>
    </row>
    <row r="617" spans="1:17" ht="15" customHeight="1" x14ac:dyDescent="0.3">
      <c r="A617" s="23" t="s">
        <v>13128</v>
      </c>
      <c r="B617" s="23"/>
      <c r="C617" s="23" t="s">
        <v>6385</v>
      </c>
      <c r="D617" s="23" t="str">
        <f t="shared" si="27"/>
        <v>ORD26002944</v>
      </c>
      <c r="E617" s="38">
        <v>46269</v>
      </c>
      <c r="F617" s="23" t="s">
        <v>12410</v>
      </c>
      <c r="G617" s="23" t="s">
        <v>77</v>
      </c>
      <c r="H617" s="24">
        <v>1998</v>
      </c>
      <c r="I617" s="24">
        <v>37.96</v>
      </c>
      <c r="J617" s="24">
        <v>6.83</v>
      </c>
      <c r="K617" s="24">
        <v>1953.21</v>
      </c>
      <c r="L617" s="38">
        <v>46271</v>
      </c>
      <c r="M617" s="23" t="s">
        <v>188</v>
      </c>
      <c r="N617" s="23" t="str">
        <f>IF(COUNTIF($A$2:A617,A617)&gt;1,"DUP","OK")</f>
        <v>OK</v>
      </c>
      <c r="O617" s="23" t="str">
        <f t="shared" si="28"/>
        <v>ORD26002944</v>
      </c>
      <c r="P617" s="23" t="str">
        <f t="shared" si="29"/>
        <v>Sep</v>
      </c>
      <c r="Q617" s="23" t="str">
        <f>IF(F617="CAPTURE",IF(COUNTIF(orders!$A:$A,O617)&gt;0,"Yes","NO ORDER"),"")</f>
        <v>Yes</v>
      </c>
    </row>
    <row r="618" spans="1:17" ht="15" customHeight="1" x14ac:dyDescent="0.3">
      <c r="A618" s="23" t="s">
        <v>13129</v>
      </c>
      <c r="B618" s="23"/>
      <c r="C618" s="23" t="s">
        <v>6646</v>
      </c>
      <c r="D618" s="23" t="str">
        <f t="shared" si="27"/>
        <v>ORD26003075</v>
      </c>
      <c r="E618" s="38">
        <v>46269</v>
      </c>
      <c r="F618" s="23" t="s">
        <v>12410</v>
      </c>
      <c r="G618" s="23" t="s">
        <v>75</v>
      </c>
      <c r="H618" s="24">
        <v>1798</v>
      </c>
      <c r="I618" s="24">
        <v>0</v>
      </c>
      <c r="J618" s="24">
        <v>0</v>
      </c>
      <c r="K618" s="24">
        <v>1798</v>
      </c>
      <c r="L618" s="38">
        <v>46271</v>
      </c>
      <c r="M618" s="23" t="s">
        <v>188</v>
      </c>
      <c r="N618" s="23" t="str">
        <f>IF(COUNTIF($A$2:A618,A618)&gt;1,"DUP","OK")</f>
        <v>OK</v>
      </c>
      <c r="O618" s="23" t="str">
        <f t="shared" si="28"/>
        <v>ORD26003075</v>
      </c>
      <c r="P618" s="23" t="str">
        <f t="shared" si="29"/>
        <v>Sep</v>
      </c>
      <c r="Q618" s="23" t="str">
        <f>IF(F618="CAPTURE",IF(COUNTIF(orders!$A:$A,O618)&gt;0,"Yes","NO ORDER"),"")</f>
        <v>Yes</v>
      </c>
    </row>
    <row r="619" spans="1:17" ht="15" customHeight="1" x14ac:dyDescent="0.3">
      <c r="A619" s="23" t="s">
        <v>13130</v>
      </c>
      <c r="B619" s="23"/>
      <c r="C619" s="23" t="s">
        <v>6709</v>
      </c>
      <c r="D619" s="23" t="str">
        <f t="shared" si="27"/>
        <v>ORD26003106</v>
      </c>
      <c r="E619" s="38">
        <v>46269</v>
      </c>
      <c r="F619" s="23" t="s">
        <v>12410</v>
      </c>
      <c r="G619" s="23" t="s">
        <v>79</v>
      </c>
      <c r="H619" s="24">
        <v>2447</v>
      </c>
      <c r="I619" s="24">
        <v>39.15</v>
      </c>
      <c r="J619" s="24">
        <v>7.05</v>
      </c>
      <c r="K619" s="24">
        <v>2400.8000000000002</v>
      </c>
      <c r="L619" s="38">
        <v>46271</v>
      </c>
      <c r="M619" s="23" t="s">
        <v>188</v>
      </c>
      <c r="N619" s="23" t="str">
        <f>IF(COUNTIF($A$2:A619,A619)&gt;1,"DUP","OK")</f>
        <v>OK</v>
      </c>
      <c r="O619" s="23" t="str">
        <f t="shared" si="28"/>
        <v>ORD26003106</v>
      </c>
      <c r="P619" s="23" t="str">
        <f t="shared" si="29"/>
        <v>Sep</v>
      </c>
      <c r="Q619" s="23" t="str">
        <f>IF(F619="CAPTURE",IF(COUNTIF(orders!$A:$A,O619)&gt;0,"Yes","NO ORDER"),"")</f>
        <v>Yes</v>
      </c>
    </row>
    <row r="620" spans="1:17" ht="15" customHeight="1" x14ac:dyDescent="0.3">
      <c r="A620" s="23" t="s">
        <v>13131</v>
      </c>
      <c r="B620" s="23"/>
      <c r="C620" s="23" t="s">
        <v>6712</v>
      </c>
      <c r="D620" s="23" t="str">
        <f t="shared" si="27"/>
        <v>ORD26003107</v>
      </c>
      <c r="E620" s="38">
        <v>46269</v>
      </c>
      <c r="F620" s="23" t="s">
        <v>12410</v>
      </c>
      <c r="G620" s="23" t="s">
        <v>75</v>
      </c>
      <c r="H620" s="24">
        <v>299</v>
      </c>
      <c r="I620" s="24">
        <v>0</v>
      </c>
      <c r="J620" s="24">
        <v>0</v>
      </c>
      <c r="K620" s="24">
        <v>299</v>
      </c>
      <c r="L620" s="38">
        <v>46271</v>
      </c>
      <c r="M620" s="23" t="s">
        <v>188</v>
      </c>
      <c r="N620" s="23" t="str">
        <f>IF(COUNTIF($A$2:A620,A620)&gt;1,"DUP","OK")</f>
        <v>OK</v>
      </c>
      <c r="O620" s="23" t="str">
        <f t="shared" si="28"/>
        <v>ORD26003107</v>
      </c>
      <c r="P620" s="23" t="str">
        <f t="shared" si="29"/>
        <v>Sep</v>
      </c>
      <c r="Q620" s="23" t="str">
        <f>IF(F620="CAPTURE",IF(COUNTIF(orders!$A:$A,O620)&gt;0,"Yes","NO ORDER"),"")</f>
        <v>Yes</v>
      </c>
    </row>
    <row r="621" spans="1:17" ht="15" customHeight="1" x14ac:dyDescent="0.3">
      <c r="A621" s="23" t="s">
        <v>13132</v>
      </c>
      <c r="B621" s="23"/>
      <c r="C621" s="23" t="s">
        <v>6872</v>
      </c>
      <c r="D621" s="23" t="str">
        <f t="shared" si="27"/>
        <v>ORD26003187</v>
      </c>
      <c r="E621" s="38">
        <v>46269</v>
      </c>
      <c r="F621" s="23" t="s">
        <v>12410</v>
      </c>
      <c r="G621" s="23" t="s">
        <v>75</v>
      </c>
      <c r="H621" s="24">
        <v>349</v>
      </c>
      <c r="I621" s="24">
        <v>0</v>
      </c>
      <c r="J621" s="24">
        <v>0</v>
      </c>
      <c r="K621" s="24">
        <v>349</v>
      </c>
      <c r="L621" s="38">
        <v>46271</v>
      </c>
      <c r="M621" s="23" t="s">
        <v>188</v>
      </c>
      <c r="N621" s="23" t="str">
        <f>IF(COUNTIF($A$2:A621,A621)&gt;1,"DUP","OK")</f>
        <v>OK</v>
      </c>
      <c r="O621" s="23" t="str">
        <f t="shared" si="28"/>
        <v>ORD26003187</v>
      </c>
      <c r="P621" s="23" t="str">
        <f t="shared" si="29"/>
        <v>Sep</v>
      </c>
      <c r="Q621" s="23" t="str">
        <f>IF(F621="CAPTURE",IF(COUNTIF(orders!$A:$A,O621)&gt;0,"Yes","NO ORDER"),"")</f>
        <v>Yes</v>
      </c>
    </row>
    <row r="622" spans="1:17" ht="15" customHeight="1" x14ac:dyDescent="0.3">
      <c r="A622" s="23" t="s">
        <v>13133</v>
      </c>
      <c r="B622" s="23"/>
      <c r="C622" s="23" t="s">
        <v>6884</v>
      </c>
      <c r="D622" s="23" t="str">
        <f t="shared" si="27"/>
        <v>ORD26003193</v>
      </c>
      <c r="E622" s="38">
        <v>46269</v>
      </c>
      <c r="F622" s="23" t="s">
        <v>12410</v>
      </c>
      <c r="G622" s="23" t="s">
        <v>75</v>
      </c>
      <c r="H622" s="24">
        <v>499</v>
      </c>
      <c r="I622" s="24">
        <v>0</v>
      </c>
      <c r="J622" s="24">
        <v>0</v>
      </c>
      <c r="K622" s="24">
        <v>499</v>
      </c>
      <c r="L622" s="38">
        <v>46271</v>
      </c>
      <c r="M622" s="23" t="s">
        <v>188</v>
      </c>
      <c r="N622" s="23" t="str">
        <f>IF(COUNTIF($A$2:A622,A622)&gt;1,"DUP","OK")</f>
        <v>OK</v>
      </c>
      <c r="O622" s="23" t="str">
        <f t="shared" si="28"/>
        <v>ORD26003193</v>
      </c>
      <c r="P622" s="23" t="str">
        <f t="shared" si="29"/>
        <v>Sep</v>
      </c>
      <c r="Q622" s="23" t="str">
        <f>IF(F622="CAPTURE",IF(COUNTIF(orders!$A:$A,O622)&gt;0,"Yes","NO ORDER"),"")</f>
        <v>Yes</v>
      </c>
    </row>
    <row r="623" spans="1:17" ht="15" customHeight="1" x14ac:dyDescent="0.3">
      <c r="A623" s="23" t="s">
        <v>13134</v>
      </c>
      <c r="B623" s="23"/>
      <c r="C623" s="23" t="s">
        <v>6929</v>
      </c>
      <c r="D623" s="23" t="str">
        <f t="shared" si="27"/>
        <v>ORD26003216</v>
      </c>
      <c r="E623" s="38">
        <v>46269</v>
      </c>
      <c r="F623" s="23" t="s">
        <v>12410</v>
      </c>
      <c r="G623" s="23" t="s">
        <v>79</v>
      </c>
      <c r="H623" s="24">
        <v>2148</v>
      </c>
      <c r="I623" s="24">
        <v>34.369999999999997</v>
      </c>
      <c r="J623" s="24">
        <v>6.19</v>
      </c>
      <c r="K623" s="24">
        <v>2107.44</v>
      </c>
      <c r="L623" s="38">
        <v>46271</v>
      </c>
      <c r="M623" s="23" t="s">
        <v>188</v>
      </c>
      <c r="N623" s="23" t="str">
        <f>IF(COUNTIF($A$2:A623,A623)&gt;1,"DUP","OK")</f>
        <v>OK</v>
      </c>
      <c r="O623" s="23" t="str">
        <f t="shared" si="28"/>
        <v>ORD26003216</v>
      </c>
      <c r="P623" s="23" t="str">
        <f t="shared" si="29"/>
        <v>Sep</v>
      </c>
      <c r="Q623" s="23" t="str">
        <f>IF(F623="CAPTURE",IF(COUNTIF(orders!$A:$A,O623)&gt;0,"Yes","NO ORDER"),"")</f>
        <v>Yes</v>
      </c>
    </row>
    <row r="624" spans="1:17" ht="15" customHeight="1" x14ac:dyDescent="0.3">
      <c r="A624" s="23" t="s">
        <v>13135</v>
      </c>
      <c r="B624" s="23"/>
      <c r="C624" s="23" t="s">
        <v>7054</v>
      </c>
      <c r="D624" s="23" t="str">
        <f t="shared" si="27"/>
        <v>ORD26003278</v>
      </c>
      <c r="E624" s="38">
        <v>46269</v>
      </c>
      <c r="F624" s="23" t="s">
        <v>12410</v>
      </c>
      <c r="G624" s="23" t="s">
        <v>75</v>
      </c>
      <c r="H624" s="24">
        <v>999</v>
      </c>
      <c r="I624" s="24">
        <v>0</v>
      </c>
      <c r="J624" s="24">
        <v>0</v>
      </c>
      <c r="K624" s="24">
        <v>999</v>
      </c>
      <c r="L624" s="38">
        <v>46271</v>
      </c>
      <c r="M624" s="23" t="s">
        <v>188</v>
      </c>
      <c r="N624" s="23" t="str">
        <f>IF(COUNTIF($A$2:A624,A624)&gt;1,"DUP","OK")</f>
        <v>OK</v>
      </c>
      <c r="O624" s="23" t="str">
        <f t="shared" si="28"/>
        <v>ORD26003278</v>
      </c>
      <c r="P624" s="23" t="str">
        <f t="shared" si="29"/>
        <v>Sep</v>
      </c>
      <c r="Q624" s="23" t="str">
        <f>IF(F624="CAPTURE",IF(COUNTIF(orders!$A:$A,O624)&gt;0,"Yes","NO ORDER"),"")</f>
        <v>Yes</v>
      </c>
    </row>
    <row r="625" spans="1:17" ht="15" customHeight="1" x14ac:dyDescent="0.3">
      <c r="A625" s="23" t="s">
        <v>13136</v>
      </c>
      <c r="B625" s="23"/>
      <c r="C625" s="23" t="s">
        <v>7104</v>
      </c>
      <c r="D625" s="23" t="str">
        <f t="shared" si="27"/>
        <v>ORD26003303</v>
      </c>
      <c r="E625" s="38">
        <v>46269</v>
      </c>
      <c r="F625" s="23" t="s">
        <v>12410</v>
      </c>
      <c r="G625" s="23" t="s">
        <v>75</v>
      </c>
      <c r="H625" s="24">
        <v>10498</v>
      </c>
      <c r="I625" s="24">
        <v>31.49</v>
      </c>
      <c r="J625" s="24">
        <v>5.67</v>
      </c>
      <c r="K625" s="24">
        <v>10460.84</v>
      </c>
      <c r="L625" s="38">
        <v>46271</v>
      </c>
      <c r="M625" s="23" t="s">
        <v>188</v>
      </c>
      <c r="N625" s="23" t="str">
        <f>IF(COUNTIF($A$2:A625,A625)&gt;1,"DUP","OK")</f>
        <v>OK</v>
      </c>
      <c r="O625" s="23" t="str">
        <f t="shared" si="28"/>
        <v>ORD26003303</v>
      </c>
      <c r="P625" s="23" t="str">
        <f t="shared" si="29"/>
        <v>Sep</v>
      </c>
      <c r="Q625" s="23" t="str">
        <f>IF(F625="CAPTURE",IF(COUNTIF(orders!$A:$A,O625)&gt;0,"Yes","NO ORDER"),"")</f>
        <v>Yes</v>
      </c>
    </row>
    <row r="626" spans="1:17" ht="15" customHeight="1" x14ac:dyDescent="0.3">
      <c r="A626" s="23" t="s">
        <v>13137</v>
      </c>
      <c r="B626" s="23"/>
      <c r="C626" s="23" t="s">
        <v>7143</v>
      </c>
      <c r="D626" s="23" t="str">
        <f t="shared" si="27"/>
        <v>ORD26003323</v>
      </c>
      <c r="E626" s="38">
        <v>46269</v>
      </c>
      <c r="F626" s="23" t="s">
        <v>12410</v>
      </c>
      <c r="G626" s="23" t="s">
        <v>77</v>
      </c>
      <c r="H626" s="24">
        <v>999</v>
      </c>
      <c r="I626" s="24">
        <v>18.98</v>
      </c>
      <c r="J626" s="24">
        <v>3.42</v>
      </c>
      <c r="K626" s="24">
        <v>976.6</v>
      </c>
      <c r="L626" s="38">
        <v>46271</v>
      </c>
      <c r="M626" s="23" t="s">
        <v>188</v>
      </c>
      <c r="N626" s="23" t="str">
        <f>IF(COUNTIF($A$2:A626,A626)&gt;1,"DUP","OK")</f>
        <v>OK</v>
      </c>
      <c r="O626" s="23" t="str">
        <f t="shared" si="28"/>
        <v>ORD26003323</v>
      </c>
      <c r="P626" s="23" t="str">
        <f t="shared" si="29"/>
        <v>Sep</v>
      </c>
      <c r="Q626" s="23" t="str">
        <f>IF(F626="CAPTURE",IF(COUNTIF(orders!$A:$A,O626)&gt;0,"Yes","NO ORDER"),"")</f>
        <v>Yes</v>
      </c>
    </row>
    <row r="627" spans="1:17" ht="15" customHeight="1" x14ac:dyDescent="0.3">
      <c r="A627" s="23" t="s">
        <v>13138</v>
      </c>
      <c r="B627" s="23"/>
      <c r="C627" s="23" t="s">
        <v>7194</v>
      </c>
      <c r="D627" s="23" t="str">
        <f t="shared" si="27"/>
        <v>ORD26003348</v>
      </c>
      <c r="E627" s="38">
        <v>46269</v>
      </c>
      <c r="F627" s="23" t="s">
        <v>12410</v>
      </c>
      <c r="G627" s="23" t="s">
        <v>75</v>
      </c>
      <c r="H627" s="24">
        <v>7498</v>
      </c>
      <c r="I627" s="24">
        <v>22.49</v>
      </c>
      <c r="J627" s="24">
        <v>4.05</v>
      </c>
      <c r="K627" s="24">
        <v>7471.46</v>
      </c>
      <c r="L627" s="38">
        <v>46271</v>
      </c>
      <c r="M627" s="23" t="s">
        <v>188</v>
      </c>
      <c r="N627" s="23" t="str">
        <f>IF(COUNTIF($A$2:A627,A627)&gt;1,"DUP","OK")</f>
        <v>OK</v>
      </c>
      <c r="O627" s="23" t="str">
        <f t="shared" si="28"/>
        <v>ORD26003348</v>
      </c>
      <c r="P627" s="23" t="str">
        <f t="shared" si="29"/>
        <v>Sep</v>
      </c>
      <c r="Q627" s="23" t="str">
        <f>IF(F627="CAPTURE",IF(COUNTIF(orders!$A:$A,O627)&gt;0,"Yes","NO ORDER"),"")</f>
        <v>Yes</v>
      </c>
    </row>
    <row r="628" spans="1:17" ht="15" customHeight="1" x14ac:dyDescent="0.3">
      <c r="A628" s="23" t="s">
        <v>13139</v>
      </c>
      <c r="B628" s="23"/>
      <c r="C628" s="23" t="s">
        <v>7414</v>
      </c>
      <c r="D628" s="23" t="str">
        <f t="shared" si="27"/>
        <v>ORD26003457</v>
      </c>
      <c r="E628" s="38">
        <v>46269</v>
      </c>
      <c r="F628" s="23" t="s">
        <v>12410</v>
      </c>
      <c r="G628" s="23" t="s">
        <v>79</v>
      </c>
      <c r="H628" s="24">
        <v>9097</v>
      </c>
      <c r="I628" s="24">
        <v>145.55000000000001</v>
      </c>
      <c r="J628" s="24">
        <v>26.2</v>
      </c>
      <c r="K628" s="24">
        <v>8925.25</v>
      </c>
      <c r="L628" s="38">
        <v>46271</v>
      </c>
      <c r="M628" s="23" t="s">
        <v>188</v>
      </c>
      <c r="N628" s="23" t="str">
        <f>IF(COUNTIF($A$2:A628,A628)&gt;1,"DUP","OK")</f>
        <v>OK</v>
      </c>
      <c r="O628" s="23" t="str">
        <f t="shared" si="28"/>
        <v>ORD26003457</v>
      </c>
      <c r="P628" s="23" t="str">
        <f t="shared" si="29"/>
        <v>Sep</v>
      </c>
      <c r="Q628" s="23" t="str">
        <f>IF(F628="CAPTURE",IF(COUNTIF(orders!$A:$A,O628)&gt;0,"Yes","NO ORDER"),"")</f>
        <v>Yes</v>
      </c>
    </row>
    <row r="629" spans="1:17" ht="15" customHeight="1" x14ac:dyDescent="0.3">
      <c r="A629" s="23" t="s">
        <v>13140</v>
      </c>
      <c r="B629" s="23"/>
      <c r="C629" s="23" t="s">
        <v>7472</v>
      </c>
      <c r="D629" s="23" t="str">
        <f t="shared" si="27"/>
        <v>ORD26003487</v>
      </c>
      <c r="E629" s="38">
        <v>46269</v>
      </c>
      <c r="F629" s="23" t="s">
        <v>12410</v>
      </c>
      <c r="G629" s="23" t="s">
        <v>79</v>
      </c>
      <c r="H629" s="24">
        <v>349</v>
      </c>
      <c r="I629" s="24">
        <v>6.28</v>
      </c>
      <c r="J629" s="24">
        <v>1.1299999999999999</v>
      </c>
      <c r="K629" s="24">
        <v>341.59</v>
      </c>
      <c r="L629" s="38">
        <v>46271</v>
      </c>
      <c r="M629" s="23" t="s">
        <v>188</v>
      </c>
      <c r="N629" s="23" t="str">
        <f>IF(COUNTIF($A$2:A629,A629)&gt;1,"DUP","OK")</f>
        <v>OK</v>
      </c>
      <c r="O629" s="23" t="str">
        <f t="shared" si="28"/>
        <v>ORD26003487</v>
      </c>
      <c r="P629" s="23" t="str">
        <f t="shared" si="29"/>
        <v>Sep</v>
      </c>
      <c r="Q629" s="23" t="str">
        <f>IF(F629="CAPTURE",IF(COUNTIF(orders!$A:$A,O629)&gt;0,"Yes","NO ORDER"),"")</f>
        <v>Yes</v>
      </c>
    </row>
    <row r="630" spans="1:17" ht="15" customHeight="1" x14ac:dyDescent="0.3">
      <c r="A630" s="23" t="s">
        <v>13141</v>
      </c>
      <c r="B630" s="23"/>
      <c r="C630" s="23" t="s">
        <v>7534</v>
      </c>
      <c r="D630" s="23" t="str">
        <f t="shared" si="27"/>
        <v>ORD26003519</v>
      </c>
      <c r="E630" s="38">
        <v>46269</v>
      </c>
      <c r="F630" s="23" t="s">
        <v>12410</v>
      </c>
      <c r="G630" s="23" t="s">
        <v>75</v>
      </c>
      <c r="H630" s="24">
        <v>4999</v>
      </c>
      <c r="I630" s="24">
        <v>15</v>
      </c>
      <c r="J630" s="24">
        <v>2.7</v>
      </c>
      <c r="K630" s="24">
        <v>4981.3</v>
      </c>
      <c r="L630" s="38">
        <v>46271</v>
      </c>
      <c r="M630" s="23" t="s">
        <v>188</v>
      </c>
      <c r="N630" s="23" t="str">
        <f>IF(COUNTIF($A$2:A630,A630)&gt;1,"DUP","OK")</f>
        <v>OK</v>
      </c>
      <c r="O630" s="23" t="str">
        <f t="shared" si="28"/>
        <v>ORD26003519</v>
      </c>
      <c r="P630" s="23" t="str">
        <f t="shared" si="29"/>
        <v>Sep</v>
      </c>
      <c r="Q630" s="23" t="str">
        <f>IF(F630="CAPTURE",IF(COUNTIF(orders!$A:$A,O630)&gt;0,"Yes","NO ORDER"),"")</f>
        <v>Yes</v>
      </c>
    </row>
    <row r="631" spans="1:17" ht="15" customHeight="1" x14ac:dyDescent="0.3">
      <c r="A631" s="23" t="s">
        <v>13142</v>
      </c>
      <c r="B631" s="23"/>
      <c r="C631" s="23" t="s">
        <v>7562</v>
      </c>
      <c r="D631" s="23" t="str">
        <f t="shared" si="27"/>
        <v>ORD26003533</v>
      </c>
      <c r="E631" s="38">
        <v>46269</v>
      </c>
      <c r="F631" s="23" t="s">
        <v>12410</v>
      </c>
      <c r="G631" s="23" t="s">
        <v>75</v>
      </c>
      <c r="H631" s="24">
        <v>6597</v>
      </c>
      <c r="I631" s="24">
        <v>19.79</v>
      </c>
      <c r="J631" s="24">
        <v>3.56</v>
      </c>
      <c r="K631" s="24">
        <v>6573.65</v>
      </c>
      <c r="L631" s="38">
        <v>46271</v>
      </c>
      <c r="M631" s="23" t="s">
        <v>188</v>
      </c>
      <c r="N631" s="23" t="str">
        <f>IF(COUNTIF($A$2:A631,A631)&gt;1,"DUP","OK")</f>
        <v>OK</v>
      </c>
      <c r="O631" s="23" t="str">
        <f t="shared" si="28"/>
        <v>ORD26003533</v>
      </c>
      <c r="P631" s="23" t="str">
        <f t="shared" si="29"/>
        <v>Sep</v>
      </c>
      <c r="Q631" s="23" t="str">
        <f>IF(F631="CAPTURE",IF(COUNTIF(orders!$A:$A,O631)&gt;0,"Yes","NO ORDER"),"")</f>
        <v>Yes</v>
      </c>
    </row>
    <row r="632" spans="1:17" ht="15" customHeight="1" x14ac:dyDescent="0.3">
      <c r="A632" s="23" t="s">
        <v>13143</v>
      </c>
      <c r="B632" s="23"/>
      <c r="C632" s="23" t="s">
        <v>13144</v>
      </c>
      <c r="D632" s="23" t="str">
        <f t="shared" si="27"/>
        <v>ORD26003551</v>
      </c>
      <c r="E632" s="38">
        <v>46269</v>
      </c>
      <c r="F632" s="23" t="s">
        <v>12410</v>
      </c>
      <c r="G632" s="23" t="s">
        <v>75</v>
      </c>
      <c r="H632" s="24">
        <v>7999</v>
      </c>
      <c r="I632" s="24">
        <v>24</v>
      </c>
      <c r="J632" s="24">
        <v>4.32</v>
      </c>
      <c r="K632" s="24">
        <v>7970.68</v>
      </c>
      <c r="L632" s="38">
        <v>46271</v>
      </c>
      <c r="M632" s="23" t="s">
        <v>188</v>
      </c>
      <c r="N632" s="23" t="str">
        <f>IF(COUNTIF($A$2:A632,A632)&gt;1,"DUP","OK")</f>
        <v>OK</v>
      </c>
      <c r="O632" s="23" t="str">
        <f t="shared" si="28"/>
        <v>ORD26003551</v>
      </c>
      <c r="P632" s="23" t="str">
        <f t="shared" si="29"/>
        <v>Sep</v>
      </c>
      <c r="Q632" s="23" t="str">
        <f>IF(F632="CAPTURE",IF(COUNTIF(orders!$A:$A,O632)&gt;0,"Yes","NO ORDER"),"")</f>
        <v>Yes</v>
      </c>
    </row>
    <row r="633" spans="1:17" ht="15" customHeight="1" x14ac:dyDescent="0.3">
      <c r="A633" s="23" t="s">
        <v>13145</v>
      </c>
      <c r="B633" s="23"/>
      <c r="C633" s="23" t="s">
        <v>7660</v>
      </c>
      <c r="D633" s="23" t="str">
        <f t="shared" si="27"/>
        <v>ORD26003582</v>
      </c>
      <c r="E633" s="38">
        <v>46269</v>
      </c>
      <c r="F633" s="23" t="s">
        <v>12410</v>
      </c>
      <c r="G633" s="23" t="s">
        <v>77</v>
      </c>
      <c r="H633" s="24">
        <v>4999</v>
      </c>
      <c r="I633" s="24">
        <v>84.98</v>
      </c>
      <c r="J633" s="24">
        <v>15.3</v>
      </c>
      <c r="K633" s="24">
        <v>4898.72</v>
      </c>
      <c r="L633" s="38">
        <v>46271</v>
      </c>
      <c r="M633" s="23" t="s">
        <v>188</v>
      </c>
      <c r="N633" s="23" t="str">
        <f>IF(COUNTIF($A$2:A633,A633)&gt;1,"DUP","OK")</f>
        <v>OK</v>
      </c>
      <c r="O633" s="23" t="str">
        <f t="shared" si="28"/>
        <v>ORD26003582</v>
      </c>
      <c r="P633" s="23" t="str">
        <f t="shared" si="29"/>
        <v>Sep</v>
      </c>
      <c r="Q633" s="23" t="str">
        <f>IF(F633="CAPTURE",IF(COUNTIF(orders!$A:$A,O633)&gt;0,"Yes","NO ORDER"),"")</f>
        <v>Yes</v>
      </c>
    </row>
    <row r="634" spans="1:17" ht="15" customHeight="1" x14ac:dyDescent="0.3">
      <c r="A634" s="23" t="s">
        <v>13146</v>
      </c>
      <c r="B634" s="23"/>
      <c r="C634" s="23" t="s">
        <v>13147</v>
      </c>
      <c r="D634" s="23" t="str">
        <f t="shared" si="27"/>
        <v>ORD26003636</v>
      </c>
      <c r="E634" s="38">
        <v>46269</v>
      </c>
      <c r="F634" s="23" t="s">
        <v>12410</v>
      </c>
      <c r="G634" s="23" t="s">
        <v>77</v>
      </c>
      <c r="H634" s="24">
        <v>1798</v>
      </c>
      <c r="I634" s="24">
        <v>34.159999999999997</v>
      </c>
      <c r="J634" s="24">
        <v>6.15</v>
      </c>
      <c r="K634" s="24">
        <v>1757.69</v>
      </c>
      <c r="L634" s="38">
        <v>46271</v>
      </c>
      <c r="M634" s="23" t="s">
        <v>188</v>
      </c>
      <c r="N634" s="23" t="str">
        <f>IF(COUNTIF($A$2:A634,A634)&gt;1,"DUP","OK")</f>
        <v>OK</v>
      </c>
      <c r="O634" s="23" t="str">
        <f t="shared" si="28"/>
        <v>ORD26003636</v>
      </c>
      <c r="P634" s="23" t="str">
        <f t="shared" si="29"/>
        <v>Sep</v>
      </c>
      <c r="Q634" s="23" t="str">
        <f>IF(F634="CAPTURE",IF(COUNTIF(orders!$A:$A,O634)&gt;0,"Yes","NO ORDER"),"")</f>
        <v>Yes</v>
      </c>
    </row>
    <row r="635" spans="1:17" ht="15" customHeight="1" x14ac:dyDescent="0.3">
      <c r="A635" s="23" t="s">
        <v>13148</v>
      </c>
      <c r="B635" s="23"/>
      <c r="C635" s="23" t="s">
        <v>7802</v>
      </c>
      <c r="D635" s="23" t="str">
        <f t="shared" si="27"/>
        <v>ORD26003656</v>
      </c>
      <c r="E635" s="38">
        <v>46269</v>
      </c>
      <c r="F635" s="23" t="s">
        <v>12410</v>
      </c>
      <c r="G635" s="23" t="s">
        <v>75</v>
      </c>
      <c r="H635" s="24">
        <v>1299</v>
      </c>
      <c r="I635" s="24">
        <v>0</v>
      </c>
      <c r="J635" s="24">
        <v>0</v>
      </c>
      <c r="K635" s="24">
        <v>1299</v>
      </c>
      <c r="L635" s="38">
        <v>46271</v>
      </c>
      <c r="M635" s="23" t="s">
        <v>188</v>
      </c>
      <c r="N635" s="23" t="str">
        <f>IF(COUNTIF($A$2:A635,A635)&gt;1,"DUP","OK")</f>
        <v>OK</v>
      </c>
      <c r="O635" s="23" t="str">
        <f t="shared" si="28"/>
        <v>ORD26003656</v>
      </c>
      <c r="P635" s="23" t="str">
        <f t="shared" si="29"/>
        <v>Sep</v>
      </c>
      <c r="Q635" s="23" t="str">
        <f>IF(F635="CAPTURE",IF(COUNTIF(orders!$A:$A,O635)&gt;0,"Yes","NO ORDER"),"")</f>
        <v>Yes</v>
      </c>
    </row>
    <row r="636" spans="1:17" ht="15" customHeight="1" x14ac:dyDescent="0.3">
      <c r="A636" s="23" t="s">
        <v>13149</v>
      </c>
      <c r="B636" s="23"/>
      <c r="C636" s="23" t="s">
        <v>13150</v>
      </c>
      <c r="D636" s="23" t="str">
        <f t="shared" si="27"/>
        <v>ORD26003730</v>
      </c>
      <c r="E636" s="38">
        <v>46269</v>
      </c>
      <c r="F636" s="23" t="s">
        <v>12410</v>
      </c>
      <c r="G636" s="23" t="s">
        <v>77</v>
      </c>
      <c r="H636" s="24">
        <v>4298</v>
      </c>
      <c r="I636" s="24">
        <v>73.069999999999993</v>
      </c>
      <c r="J636" s="24">
        <v>13.15</v>
      </c>
      <c r="K636" s="24">
        <v>4211.78</v>
      </c>
      <c r="L636" s="38">
        <v>46271</v>
      </c>
      <c r="M636" s="23" t="s">
        <v>188</v>
      </c>
      <c r="N636" s="23" t="str">
        <f>IF(COUNTIF($A$2:A636,A636)&gt;1,"DUP","OK")</f>
        <v>OK</v>
      </c>
      <c r="O636" s="23" t="str">
        <f t="shared" si="28"/>
        <v>ORD26003730</v>
      </c>
      <c r="P636" s="23" t="str">
        <f t="shared" si="29"/>
        <v>Sep</v>
      </c>
      <c r="Q636" s="23" t="str">
        <f>IF(F636="CAPTURE",IF(COUNTIF(orders!$A:$A,O636)&gt;0,"Yes","NO ORDER"),"")</f>
        <v>Yes</v>
      </c>
    </row>
    <row r="637" spans="1:17" ht="15" customHeight="1" x14ac:dyDescent="0.3">
      <c r="A637" s="23" t="s">
        <v>13151</v>
      </c>
      <c r="B637" s="23"/>
      <c r="C637" s="23" t="s">
        <v>7996</v>
      </c>
      <c r="D637" s="23" t="str">
        <f t="shared" si="27"/>
        <v>ORD26003754</v>
      </c>
      <c r="E637" s="38">
        <v>46269</v>
      </c>
      <c r="F637" s="23" t="s">
        <v>12410</v>
      </c>
      <c r="G637" s="23" t="s">
        <v>79</v>
      </c>
      <c r="H637" s="24">
        <v>3998</v>
      </c>
      <c r="I637" s="24">
        <v>63.97</v>
      </c>
      <c r="J637" s="24">
        <v>11.51</v>
      </c>
      <c r="K637" s="24">
        <v>3922.52</v>
      </c>
      <c r="L637" s="38">
        <v>46271</v>
      </c>
      <c r="M637" s="23" t="s">
        <v>188</v>
      </c>
      <c r="N637" s="23" t="str">
        <f>IF(COUNTIF($A$2:A637,A637)&gt;1,"DUP","OK")</f>
        <v>OK</v>
      </c>
      <c r="O637" s="23" t="str">
        <f t="shared" si="28"/>
        <v>ORD26003754</v>
      </c>
      <c r="P637" s="23" t="str">
        <f t="shared" si="29"/>
        <v>Sep</v>
      </c>
      <c r="Q637" s="23" t="str">
        <f>IF(F637="CAPTURE",IF(COUNTIF(orders!$A:$A,O637)&gt;0,"Yes","NO ORDER"),"")</f>
        <v>Yes</v>
      </c>
    </row>
    <row r="638" spans="1:17" ht="15" customHeight="1" x14ac:dyDescent="0.3">
      <c r="A638" s="23" t="s">
        <v>13152</v>
      </c>
      <c r="B638" s="23"/>
      <c r="C638" s="23" t="s">
        <v>8124</v>
      </c>
      <c r="D638" s="23" t="str">
        <f t="shared" si="27"/>
        <v>ORD26003818</v>
      </c>
      <c r="E638" s="38">
        <v>46269</v>
      </c>
      <c r="F638" s="23" t="s">
        <v>12410</v>
      </c>
      <c r="G638" s="23" t="s">
        <v>75</v>
      </c>
      <c r="H638" s="24">
        <v>799</v>
      </c>
      <c r="I638" s="24">
        <v>0</v>
      </c>
      <c r="J638" s="24">
        <v>0</v>
      </c>
      <c r="K638" s="24">
        <v>799</v>
      </c>
      <c r="L638" s="38">
        <v>46271</v>
      </c>
      <c r="M638" s="23" t="s">
        <v>188</v>
      </c>
      <c r="N638" s="23" t="str">
        <f>IF(COUNTIF($A$2:A638,A638)&gt;1,"DUP","OK")</f>
        <v>OK</v>
      </c>
      <c r="O638" s="23" t="str">
        <f t="shared" si="28"/>
        <v>ORD26003818</v>
      </c>
      <c r="P638" s="23" t="str">
        <f t="shared" si="29"/>
        <v>Sep</v>
      </c>
      <c r="Q638" s="23" t="str">
        <f>IF(F638="CAPTURE",IF(COUNTIF(orders!$A:$A,O638)&gt;0,"Yes","NO ORDER"),"")</f>
        <v>Yes</v>
      </c>
    </row>
    <row r="639" spans="1:17" ht="15" customHeight="1" x14ac:dyDescent="0.3">
      <c r="A639" s="23" t="s">
        <v>13153</v>
      </c>
      <c r="B639" s="23"/>
      <c r="C639" s="23" t="s">
        <v>13154</v>
      </c>
      <c r="D639" s="23" t="str">
        <f t="shared" si="27"/>
        <v>ORD26003856</v>
      </c>
      <c r="E639" s="38">
        <v>46269</v>
      </c>
      <c r="F639" s="23" t="s">
        <v>12410</v>
      </c>
      <c r="G639" s="23" t="s">
        <v>81</v>
      </c>
      <c r="H639" s="24">
        <v>4298</v>
      </c>
      <c r="I639" s="24">
        <v>51.58</v>
      </c>
      <c r="J639" s="24">
        <v>9.2799999999999994</v>
      </c>
      <c r="K639" s="24">
        <v>4237.1400000000003</v>
      </c>
      <c r="L639" s="38">
        <v>46271</v>
      </c>
      <c r="M639" s="23" t="s">
        <v>188</v>
      </c>
      <c r="N639" s="23" t="str">
        <f>IF(COUNTIF($A$2:A639,A639)&gt;1,"DUP","OK")</f>
        <v>OK</v>
      </c>
      <c r="O639" s="23" t="str">
        <f t="shared" si="28"/>
        <v>ORD26003856</v>
      </c>
      <c r="P639" s="23" t="str">
        <f t="shared" si="29"/>
        <v>Sep</v>
      </c>
      <c r="Q639" s="23" t="str">
        <f>IF(F639="CAPTURE",IF(COUNTIF(orders!$A:$A,O639)&gt;0,"Yes","NO ORDER"),"")</f>
        <v>Yes</v>
      </c>
    </row>
    <row r="640" spans="1:17" ht="15" customHeight="1" x14ac:dyDescent="0.3">
      <c r="A640" s="23" t="s">
        <v>13155</v>
      </c>
      <c r="B640" s="23"/>
      <c r="C640" s="23" t="s">
        <v>8277</v>
      </c>
      <c r="D640" s="23" t="str">
        <f t="shared" si="27"/>
        <v>ORD26003895</v>
      </c>
      <c r="E640" s="38">
        <v>46269</v>
      </c>
      <c r="F640" s="23" t="s">
        <v>12410</v>
      </c>
      <c r="G640" s="23" t="s">
        <v>79</v>
      </c>
      <c r="H640" s="24">
        <v>9147</v>
      </c>
      <c r="I640" s="24">
        <v>146.35</v>
      </c>
      <c r="J640" s="24">
        <v>26.34</v>
      </c>
      <c r="K640" s="24">
        <v>8974.31</v>
      </c>
      <c r="L640" s="38">
        <v>46271</v>
      </c>
      <c r="M640" s="23" t="s">
        <v>188</v>
      </c>
      <c r="N640" s="23" t="str">
        <f>IF(COUNTIF($A$2:A640,A640)&gt;1,"DUP","OK")</f>
        <v>OK</v>
      </c>
      <c r="O640" s="23" t="str">
        <f t="shared" si="28"/>
        <v>ORD26003895</v>
      </c>
      <c r="P640" s="23" t="str">
        <f t="shared" si="29"/>
        <v>Sep</v>
      </c>
      <c r="Q640" s="23" t="str">
        <f>IF(F640="CAPTURE",IF(COUNTIF(orders!$A:$A,O640)&gt;0,"Yes","NO ORDER"),"")</f>
        <v>Yes</v>
      </c>
    </row>
    <row r="641" spans="1:17" ht="15" customHeight="1" x14ac:dyDescent="0.3">
      <c r="A641" s="23" t="s">
        <v>13156</v>
      </c>
      <c r="B641" s="23"/>
      <c r="C641" s="23" t="s">
        <v>8301</v>
      </c>
      <c r="D641" s="23" t="str">
        <f t="shared" si="27"/>
        <v>ORD26003907</v>
      </c>
      <c r="E641" s="38">
        <v>46269</v>
      </c>
      <c r="F641" s="23" t="s">
        <v>12410</v>
      </c>
      <c r="G641" s="23" t="s">
        <v>75</v>
      </c>
      <c r="H641" s="24">
        <v>799</v>
      </c>
      <c r="I641" s="24">
        <v>0</v>
      </c>
      <c r="J641" s="24">
        <v>0</v>
      </c>
      <c r="K641" s="24">
        <v>799</v>
      </c>
      <c r="L641" s="38">
        <v>46271</v>
      </c>
      <c r="M641" s="23" t="s">
        <v>188</v>
      </c>
      <c r="N641" s="23" t="str">
        <f>IF(COUNTIF($A$2:A641,A641)&gt;1,"DUP","OK")</f>
        <v>OK</v>
      </c>
      <c r="O641" s="23" t="str">
        <f t="shared" si="28"/>
        <v>ORD26003907</v>
      </c>
      <c r="P641" s="23" t="str">
        <f t="shared" si="29"/>
        <v>Sep</v>
      </c>
      <c r="Q641" s="23" t="str">
        <f>IF(F641="CAPTURE",IF(COUNTIF(orders!$A:$A,O641)&gt;0,"Yes","NO ORDER"),"")</f>
        <v>Yes</v>
      </c>
    </row>
    <row r="642" spans="1:17" ht="15" customHeight="1" x14ac:dyDescent="0.3">
      <c r="A642" s="23" t="s">
        <v>13157</v>
      </c>
      <c r="B642" s="23"/>
      <c r="C642" s="23" t="s">
        <v>8333</v>
      </c>
      <c r="D642" s="23" t="str">
        <f t="shared" ref="D642:D705" si="30">UPPER(SUBSTITUTE(TRIM(C642),"-",""))</f>
        <v>ORD26003923</v>
      </c>
      <c r="E642" s="38">
        <v>46269</v>
      </c>
      <c r="F642" s="23" t="s">
        <v>12410</v>
      </c>
      <c r="G642" s="23" t="s">
        <v>75</v>
      </c>
      <c r="H642" s="24">
        <v>6797</v>
      </c>
      <c r="I642" s="24">
        <v>20.39</v>
      </c>
      <c r="J642" s="24">
        <v>3.67</v>
      </c>
      <c r="K642" s="24">
        <v>6772.94</v>
      </c>
      <c r="L642" s="38">
        <v>46271</v>
      </c>
      <c r="M642" s="23" t="s">
        <v>188</v>
      </c>
      <c r="N642" s="23" t="str">
        <f>IF(COUNTIF($A$2:A642,A642)&gt;1,"DUP","OK")</f>
        <v>OK</v>
      </c>
      <c r="O642" s="23" t="str">
        <f t="shared" ref="O642:O705" si="31">IF(F642="REFUND",INDEX($D:$D,MATCH(B642,$A:$A,0)),D642)</f>
        <v>ORD26003923</v>
      </c>
      <c r="P642" s="23" t="str">
        <f t="shared" ref="P642:P705" si="32">IF(L642&gt;DATE(2026,9,30),"Oct-Due","Sep")</f>
        <v>Sep</v>
      </c>
      <c r="Q642" s="23" t="str">
        <f>IF(F642="CAPTURE",IF(COUNTIF(orders!$A:$A,O642)&gt;0,"Yes","NO ORDER"),"")</f>
        <v>Yes</v>
      </c>
    </row>
    <row r="643" spans="1:17" ht="15" customHeight="1" x14ac:dyDescent="0.3">
      <c r="A643" s="23" t="s">
        <v>13158</v>
      </c>
      <c r="B643" s="23"/>
      <c r="C643" s="23" t="s">
        <v>13159</v>
      </c>
      <c r="D643" s="23" t="str">
        <f t="shared" si="30"/>
        <v>ORD26003938</v>
      </c>
      <c r="E643" s="38">
        <v>46269</v>
      </c>
      <c r="F643" s="23" t="s">
        <v>12410</v>
      </c>
      <c r="G643" s="23" t="s">
        <v>75</v>
      </c>
      <c r="H643" s="24">
        <v>10997</v>
      </c>
      <c r="I643" s="24">
        <v>32.99</v>
      </c>
      <c r="J643" s="24">
        <v>5.94</v>
      </c>
      <c r="K643" s="24">
        <v>10958.07</v>
      </c>
      <c r="L643" s="38">
        <v>46271</v>
      </c>
      <c r="M643" s="23" t="s">
        <v>188</v>
      </c>
      <c r="N643" s="23" t="str">
        <f>IF(COUNTIF($A$2:A643,A643)&gt;1,"DUP","OK")</f>
        <v>OK</v>
      </c>
      <c r="O643" s="23" t="str">
        <f t="shared" si="31"/>
        <v>ORD26003938</v>
      </c>
      <c r="P643" s="23" t="str">
        <f t="shared" si="32"/>
        <v>Sep</v>
      </c>
      <c r="Q643" s="23" t="str">
        <f>IF(F643="CAPTURE",IF(COUNTIF(orders!$A:$A,O643)&gt;0,"Yes","NO ORDER"),"")</f>
        <v>Yes</v>
      </c>
    </row>
    <row r="644" spans="1:17" ht="15" customHeight="1" x14ac:dyDescent="0.3">
      <c r="A644" s="23" t="s">
        <v>13160</v>
      </c>
      <c r="B644" s="23"/>
      <c r="C644" s="23" t="s">
        <v>8408</v>
      </c>
      <c r="D644" s="23" t="str">
        <f t="shared" si="30"/>
        <v>ORD26003961</v>
      </c>
      <c r="E644" s="38">
        <v>46269</v>
      </c>
      <c r="F644" s="23" t="s">
        <v>12410</v>
      </c>
      <c r="G644" s="23" t="s">
        <v>79</v>
      </c>
      <c r="H644" s="24">
        <v>6798</v>
      </c>
      <c r="I644" s="24">
        <v>108.77</v>
      </c>
      <c r="J644" s="24">
        <v>19.579999999999998</v>
      </c>
      <c r="K644" s="24">
        <v>6669.65</v>
      </c>
      <c r="L644" s="38">
        <v>46271</v>
      </c>
      <c r="M644" s="23" t="s">
        <v>188</v>
      </c>
      <c r="N644" s="23" t="str">
        <f>IF(COUNTIF($A$2:A644,A644)&gt;1,"DUP","OK")</f>
        <v>OK</v>
      </c>
      <c r="O644" s="23" t="str">
        <f t="shared" si="31"/>
        <v>ORD26003961</v>
      </c>
      <c r="P644" s="23" t="str">
        <f t="shared" si="32"/>
        <v>Sep</v>
      </c>
      <c r="Q644" s="23" t="str">
        <f>IF(F644="CAPTURE",IF(COUNTIF(orders!$A:$A,O644)&gt;0,"Yes","NO ORDER"),"")</f>
        <v>Yes</v>
      </c>
    </row>
    <row r="645" spans="1:17" ht="15" customHeight="1" x14ac:dyDescent="0.3">
      <c r="A645" s="23" t="s">
        <v>13161</v>
      </c>
      <c r="B645" s="23"/>
      <c r="C645" s="23" t="s">
        <v>8511</v>
      </c>
      <c r="D645" s="23" t="str">
        <f t="shared" si="30"/>
        <v>ORD26004013</v>
      </c>
      <c r="E645" s="38">
        <v>46269</v>
      </c>
      <c r="F645" s="23" t="s">
        <v>12410</v>
      </c>
      <c r="G645" s="23" t="s">
        <v>75</v>
      </c>
      <c r="H645" s="24">
        <v>7999</v>
      </c>
      <c r="I645" s="24">
        <v>24</v>
      </c>
      <c r="J645" s="24">
        <v>4.32</v>
      </c>
      <c r="K645" s="24">
        <v>7970.68</v>
      </c>
      <c r="L645" s="38">
        <v>46271</v>
      </c>
      <c r="M645" s="23" t="s">
        <v>188</v>
      </c>
      <c r="N645" s="23" t="str">
        <f>IF(COUNTIF($A$2:A645,A645)&gt;1,"DUP","OK")</f>
        <v>OK</v>
      </c>
      <c r="O645" s="23" t="str">
        <f t="shared" si="31"/>
        <v>ORD26004013</v>
      </c>
      <c r="P645" s="23" t="str">
        <f t="shared" si="32"/>
        <v>Sep</v>
      </c>
      <c r="Q645" s="23" t="str">
        <f>IF(F645="CAPTURE",IF(COUNTIF(orders!$A:$A,O645)&gt;0,"Yes","NO ORDER"),"")</f>
        <v>Yes</v>
      </c>
    </row>
    <row r="646" spans="1:17" ht="15" customHeight="1" x14ac:dyDescent="0.3">
      <c r="A646" s="23" t="s">
        <v>13162</v>
      </c>
      <c r="B646" s="23"/>
      <c r="C646" s="23" t="s">
        <v>8541</v>
      </c>
      <c r="D646" s="23" t="str">
        <f t="shared" si="30"/>
        <v>ORD26004028</v>
      </c>
      <c r="E646" s="38">
        <v>46269</v>
      </c>
      <c r="F646" s="23" t="s">
        <v>12410</v>
      </c>
      <c r="G646" s="23" t="s">
        <v>79</v>
      </c>
      <c r="H646" s="24">
        <v>7999</v>
      </c>
      <c r="I646" s="24">
        <v>127.98</v>
      </c>
      <c r="J646" s="24">
        <v>23.04</v>
      </c>
      <c r="K646" s="24">
        <v>7847.98</v>
      </c>
      <c r="L646" s="38">
        <v>46271</v>
      </c>
      <c r="M646" s="23" t="s">
        <v>188</v>
      </c>
      <c r="N646" s="23" t="str">
        <f>IF(COUNTIF($A$2:A646,A646)&gt;1,"DUP","OK")</f>
        <v>OK</v>
      </c>
      <c r="O646" s="23" t="str">
        <f t="shared" si="31"/>
        <v>ORD26004028</v>
      </c>
      <c r="P646" s="23" t="str">
        <f t="shared" si="32"/>
        <v>Sep</v>
      </c>
      <c r="Q646" s="23" t="str">
        <f>IF(F646="CAPTURE",IF(COUNTIF(orders!$A:$A,O646)&gt;0,"Yes","NO ORDER"),"")</f>
        <v>Yes</v>
      </c>
    </row>
    <row r="647" spans="1:17" ht="15" customHeight="1" x14ac:dyDescent="0.3">
      <c r="A647" s="23" t="s">
        <v>13163</v>
      </c>
      <c r="B647" s="23"/>
      <c r="C647" s="23" t="s">
        <v>8644</v>
      </c>
      <c r="D647" s="23" t="str">
        <f t="shared" si="30"/>
        <v>ORD26004081</v>
      </c>
      <c r="E647" s="38">
        <v>46269</v>
      </c>
      <c r="F647" s="23" t="s">
        <v>12410</v>
      </c>
      <c r="G647" s="23" t="s">
        <v>79</v>
      </c>
      <c r="H647" s="24">
        <v>4798</v>
      </c>
      <c r="I647" s="24">
        <v>76.77</v>
      </c>
      <c r="J647" s="24">
        <v>13.82</v>
      </c>
      <c r="K647" s="24">
        <v>4707.41</v>
      </c>
      <c r="L647" s="38">
        <v>46271</v>
      </c>
      <c r="M647" s="23" t="s">
        <v>188</v>
      </c>
      <c r="N647" s="23" t="str">
        <f>IF(COUNTIF($A$2:A647,A647)&gt;1,"DUP","OK")</f>
        <v>OK</v>
      </c>
      <c r="O647" s="23" t="str">
        <f t="shared" si="31"/>
        <v>ORD26004081</v>
      </c>
      <c r="P647" s="23" t="str">
        <f t="shared" si="32"/>
        <v>Sep</v>
      </c>
      <c r="Q647" s="23" t="str">
        <f>IF(F647="CAPTURE",IF(COUNTIF(orders!$A:$A,O647)&gt;0,"Yes","NO ORDER"),"")</f>
        <v>Yes</v>
      </c>
    </row>
    <row r="648" spans="1:17" ht="15" customHeight="1" x14ac:dyDescent="0.3">
      <c r="A648" s="23" t="s">
        <v>13164</v>
      </c>
      <c r="B648" s="23"/>
      <c r="C648" s="23" t="s">
        <v>8648</v>
      </c>
      <c r="D648" s="23" t="str">
        <f t="shared" si="30"/>
        <v>ORD26004083</v>
      </c>
      <c r="E648" s="38">
        <v>46269</v>
      </c>
      <c r="F648" s="23" t="s">
        <v>12410</v>
      </c>
      <c r="G648" s="23" t="s">
        <v>81</v>
      </c>
      <c r="H648" s="24">
        <v>4999</v>
      </c>
      <c r="I648" s="24">
        <v>59.99</v>
      </c>
      <c r="J648" s="24">
        <v>10.8</v>
      </c>
      <c r="K648" s="24">
        <v>4928.21</v>
      </c>
      <c r="L648" s="38">
        <v>46271</v>
      </c>
      <c r="M648" s="23" t="s">
        <v>188</v>
      </c>
      <c r="N648" s="23" t="str">
        <f>IF(COUNTIF($A$2:A648,A648)&gt;1,"DUP","OK")</f>
        <v>OK</v>
      </c>
      <c r="O648" s="23" t="str">
        <f t="shared" si="31"/>
        <v>ORD26004083</v>
      </c>
      <c r="P648" s="23" t="str">
        <f t="shared" si="32"/>
        <v>Sep</v>
      </c>
      <c r="Q648" s="23" t="str">
        <f>IF(F648="CAPTURE",IF(COUNTIF(orders!$A:$A,O648)&gt;0,"Yes","NO ORDER"),"")</f>
        <v>Yes</v>
      </c>
    </row>
    <row r="649" spans="1:17" ht="15" customHeight="1" x14ac:dyDescent="0.3">
      <c r="A649" s="23" t="s">
        <v>13165</v>
      </c>
      <c r="B649" s="23"/>
      <c r="C649" s="23" t="s">
        <v>8680</v>
      </c>
      <c r="D649" s="23" t="str">
        <f t="shared" si="30"/>
        <v>ORD26004100</v>
      </c>
      <c r="E649" s="38">
        <v>46269</v>
      </c>
      <c r="F649" s="23" t="s">
        <v>12410</v>
      </c>
      <c r="G649" s="23" t="s">
        <v>81</v>
      </c>
      <c r="H649" s="24">
        <v>1499</v>
      </c>
      <c r="I649" s="24">
        <v>22.49</v>
      </c>
      <c r="J649" s="24">
        <v>4.05</v>
      </c>
      <c r="K649" s="24">
        <v>1472.46</v>
      </c>
      <c r="L649" s="38">
        <v>46271</v>
      </c>
      <c r="M649" s="23" t="s">
        <v>188</v>
      </c>
      <c r="N649" s="23" t="str">
        <f>IF(COUNTIF($A$2:A649,A649)&gt;1,"DUP","OK")</f>
        <v>OK</v>
      </c>
      <c r="O649" s="23" t="str">
        <f t="shared" si="31"/>
        <v>ORD26004100</v>
      </c>
      <c r="P649" s="23" t="str">
        <f t="shared" si="32"/>
        <v>Sep</v>
      </c>
      <c r="Q649" s="23" t="str">
        <f>IF(F649="CAPTURE",IF(COUNTIF(orders!$A:$A,O649)&gt;0,"Yes","NO ORDER"),"")</f>
        <v>Yes</v>
      </c>
    </row>
    <row r="650" spans="1:17" ht="15" customHeight="1" x14ac:dyDescent="0.3">
      <c r="A650" s="23" t="s">
        <v>13166</v>
      </c>
      <c r="B650" s="23"/>
      <c r="C650" s="23" t="s">
        <v>8732</v>
      </c>
      <c r="D650" s="23" t="str">
        <f t="shared" si="30"/>
        <v>ORD26004126</v>
      </c>
      <c r="E650" s="38">
        <v>46269</v>
      </c>
      <c r="F650" s="23" t="s">
        <v>12410</v>
      </c>
      <c r="G650" s="23" t="s">
        <v>81</v>
      </c>
      <c r="H650" s="24">
        <v>8298</v>
      </c>
      <c r="I650" s="24">
        <v>99.58</v>
      </c>
      <c r="J650" s="24">
        <v>17.920000000000002</v>
      </c>
      <c r="K650" s="24">
        <v>8180.5</v>
      </c>
      <c r="L650" s="38">
        <v>46271</v>
      </c>
      <c r="M650" s="23" t="s">
        <v>188</v>
      </c>
      <c r="N650" s="23" t="str">
        <f>IF(COUNTIF($A$2:A650,A650)&gt;1,"DUP","OK")</f>
        <v>OK</v>
      </c>
      <c r="O650" s="23" t="str">
        <f t="shared" si="31"/>
        <v>ORD26004126</v>
      </c>
      <c r="P650" s="23" t="str">
        <f t="shared" si="32"/>
        <v>Sep</v>
      </c>
      <c r="Q650" s="23" t="str">
        <f>IF(F650="CAPTURE",IF(COUNTIF(orders!$A:$A,O650)&gt;0,"Yes","NO ORDER"),"")</f>
        <v>Yes</v>
      </c>
    </row>
    <row r="651" spans="1:17" ht="15" customHeight="1" x14ac:dyDescent="0.3">
      <c r="A651" s="23" t="s">
        <v>13167</v>
      </c>
      <c r="B651" s="23"/>
      <c r="C651" s="23" t="s">
        <v>8749</v>
      </c>
      <c r="D651" s="23" t="str">
        <f t="shared" si="30"/>
        <v>ORD26004135</v>
      </c>
      <c r="E651" s="38">
        <v>46269</v>
      </c>
      <c r="F651" s="23" t="s">
        <v>12410</v>
      </c>
      <c r="G651" s="23" t="s">
        <v>75</v>
      </c>
      <c r="H651" s="24">
        <v>9497</v>
      </c>
      <c r="I651" s="24">
        <v>28.49</v>
      </c>
      <c r="J651" s="24">
        <v>5.13</v>
      </c>
      <c r="K651" s="24">
        <v>9463.3799999999992</v>
      </c>
      <c r="L651" s="38">
        <v>46271</v>
      </c>
      <c r="M651" s="23" t="s">
        <v>188</v>
      </c>
      <c r="N651" s="23" t="str">
        <f>IF(COUNTIF($A$2:A651,A651)&gt;1,"DUP","OK")</f>
        <v>OK</v>
      </c>
      <c r="O651" s="23" t="str">
        <f t="shared" si="31"/>
        <v>ORD26004135</v>
      </c>
      <c r="P651" s="23" t="str">
        <f t="shared" si="32"/>
        <v>Sep</v>
      </c>
      <c r="Q651" s="23" t="str">
        <f>IF(F651="CAPTURE",IF(COUNTIF(orders!$A:$A,O651)&gt;0,"Yes","NO ORDER"),"")</f>
        <v>Yes</v>
      </c>
    </row>
    <row r="652" spans="1:17" ht="15" customHeight="1" x14ac:dyDescent="0.3">
      <c r="A652" s="23" t="s">
        <v>13168</v>
      </c>
      <c r="B652" s="23"/>
      <c r="C652" s="23" t="s">
        <v>8786</v>
      </c>
      <c r="D652" s="23" t="str">
        <f t="shared" si="30"/>
        <v>ORD26004154</v>
      </c>
      <c r="E652" s="38">
        <v>46269</v>
      </c>
      <c r="F652" s="23" t="s">
        <v>12410</v>
      </c>
      <c r="G652" s="23" t="s">
        <v>79</v>
      </c>
      <c r="H652" s="24">
        <v>999</v>
      </c>
      <c r="I652" s="24">
        <v>17.98</v>
      </c>
      <c r="J652" s="24">
        <v>3.24</v>
      </c>
      <c r="K652" s="24">
        <v>977.78</v>
      </c>
      <c r="L652" s="38">
        <v>46271</v>
      </c>
      <c r="M652" s="23" t="s">
        <v>188</v>
      </c>
      <c r="N652" s="23" t="str">
        <f>IF(COUNTIF($A$2:A652,A652)&gt;1,"DUP","OK")</f>
        <v>OK</v>
      </c>
      <c r="O652" s="23" t="str">
        <f t="shared" si="31"/>
        <v>ORD26004154</v>
      </c>
      <c r="P652" s="23" t="str">
        <f t="shared" si="32"/>
        <v>Sep</v>
      </c>
      <c r="Q652" s="23" t="str">
        <f>IF(F652="CAPTURE",IF(COUNTIF(orders!$A:$A,O652)&gt;0,"Yes","NO ORDER"),"")</f>
        <v>Yes</v>
      </c>
    </row>
    <row r="653" spans="1:17" ht="15" customHeight="1" x14ac:dyDescent="0.3">
      <c r="A653" s="23" t="s">
        <v>13169</v>
      </c>
      <c r="B653" s="23"/>
      <c r="C653" s="23" t="s">
        <v>13170</v>
      </c>
      <c r="D653" s="23" t="str">
        <f t="shared" si="30"/>
        <v>ORD26004231</v>
      </c>
      <c r="E653" s="38">
        <v>46269</v>
      </c>
      <c r="F653" s="23" t="s">
        <v>12410</v>
      </c>
      <c r="G653" s="23" t="s">
        <v>79</v>
      </c>
      <c r="H653" s="24">
        <v>4197</v>
      </c>
      <c r="I653" s="24">
        <v>67.150000000000006</v>
      </c>
      <c r="J653" s="24">
        <v>12.09</v>
      </c>
      <c r="K653" s="24">
        <v>4117.76</v>
      </c>
      <c r="L653" s="38">
        <v>46271</v>
      </c>
      <c r="M653" s="23" t="s">
        <v>188</v>
      </c>
      <c r="N653" s="23" t="str">
        <f>IF(COUNTIF($A$2:A653,A653)&gt;1,"DUP","OK")</f>
        <v>OK</v>
      </c>
      <c r="O653" s="23" t="str">
        <f t="shared" si="31"/>
        <v>ORD26004231</v>
      </c>
      <c r="P653" s="23" t="str">
        <f t="shared" si="32"/>
        <v>Sep</v>
      </c>
      <c r="Q653" s="23" t="str">
        <f>IF(F653="CAPTURE",IF(COUNTIF(orders!$A:$A,O653)&gt;0,"Yes","NO ORDER"),"")</f>
        <v>Yes</v>
      </c>
    </row>
    <row r="654" spans="1:17" ht="15" customHeight="1" x14ac:dyDescent="0.3">
      <c r="A654" s="23" t="s">
        <v>13171</v>
      </c>
      <c r="B654" s="23"/>
      <c r="C654" s="23" t="s">
        <v>8943</v>
      </c>
      <c r="D654" s="23" t="str">
        <f t="shared" si="30"/>
        <v>ORD26004234</v>
      </c>
      <c r="E654" s="38">
        <v>46269</v>
      </c>
      <c r="F654" s="23" t="s">
        <v>12410</v>
      </c>
      <c r="G654" s="23" t="s">
        <v>75</v>
      </c>
      <c r="H654" s="24">
        <v>3097</v>
      </c>
      <c r="I654" s="24">
        <v>9.2899999999999991</v>
      </c>
      <c r="J654" s="24">
        <v>1.67</v>
      </c>
      <c r="K654" s="24">
        <v>3086.04</v>
      </c>
      <c r="L654" s="38">
        <v>46271</v>
      </c>
      <c r="M654" s="23" t="s">
        <v>188</v>
      </c>
      <c r="N654" s="23" t="str">
        <f>IF(COUNTIF($A$2:A654,A654)&gt;1,"DUP","OK")</f>
        <v>OK</v>
      </c>
      <c r="O654" s="23" t="str">
        <f t="shared" si="31"/>
        <v>ORD26004234</v>
      </c>
      <c r="P654" s="23" t="str">
        <f t="shared" si="32"/>
        <v>Sep</v>
      </c>
      <c r="Q654" s="23" t="str">
        <f>IF(F654="CAPTURE",IF(COUNTIF(orders!$A:$A,O654)&gt;0,"Yes","NO ORDER"),"")</f>
        <v>Yes</v>
      </c>
    </row>
    <row r="655" spans="1:17" ht="15" customHeight="1" x14ac:dyDescent="0.3">
      <c r="A655" s="23" t="s">
        <v>13172</v>
      </c>
      <c r="B655" s="23"/>
      <c r="C655" s="23" t="s">
        <v>8958</v>
      </c>
      <c r="D655" s="23" t="str">
        <f t="shared" si="30"/>
        <v>ORD26004242</v>
      </c>
      <c r="E655" s="38">
        <v>46269</v>
      </c>
      <c r="F655" s="23" t="s">
        <v>12410</v>
      </c>
      <c r="G655" s="23" t="s">
        <v>75</v>
      </c>
      <c r="H655" s="24">
        <v>7998</v>
      </c>
      <c r="I655" s="24">
        <v>23.99</v>
      </c>
      <c r="J655" s="24">
        <v>4.32</v>
      </c>
      <c r="K655" s="24">
        <v>7969.69</v>
      </c>
      <c r="L655" s="38">
        <v>46271</v>
      </c>
      <c r="M655" s="23" t="s">
        <v>188</v>
      </c>
      <c r="N655" s="23" t="str">
        <f>IF(COUNTIF($A$2:A655,A655)&gt;1,"DUP","OK")</f>
        <v>OK</v>
      </c>
      <c r="O655" s="23" t="str">
        <f t="shared" si="31"/>
        <v>ORD26004242</v>
      </c>
      <c r="P655" s="23" t="str">
        <f t="shared" si="32"/>
        <v>Sep</v>
      </c>
      <c r="Q655" s="23" t="str">
        <f>IF(F655="CAPTURE",IF(COUNTIF(orders!$A:$A,O655)&gt;0,"Yes","NO ORDER"),"")</f>
        <v>Yes</v>
      </c>
    </row>
    <row r="656" spans="1:17" ht="15" customHeight="1" x14ac:dyDescent="0.3">
      <c r="A656" s="23" t="s">
        <v>13173</v>
      </c>
      <c r="B656" s="23"/>
      <c r="C656" s="23" t="s">
        <v>13174</v>
      </c>
      <c r="D656" s="23" t="str">
        <f t="shared" si="30"/>
        <v>ORD26004251</v>
      </c>
      <c r="E656" s="38">
        <v>46269</v>
      </c>
      <c r="F656" s="23" t="s">
        <v>12410</v>
      </c>
      <c r="G656" s="23" t="s">
        <v>75</v>
      </c>
      <c r="H656" s="24">
        <v>799</v>
      </c>
      <c r="I656" s="24">
        <v>0</v>
      </c>
      <c r="J656" s="24">
        <v>0</v>
      </c>
      <c r="K656" s="24">
        <v>799</v>
      </c>
      <c r="L656" s="38">
        <v>46271</v>
      </c>
      <c r="M656" s="23" t="s">
        <v>188</v>
      </c>
      <c r="N656" s="23" t="str">
        <f>IF(COUNTIF($A$2:A656,A656)&gt;1,"DUP","OK")</f>
        <v>OK</v>
      </c>
      <c r="O656" s="23" t="str">
        <f t="shared" si="31"/>
        <v>ORD26004251</v>
      </c>
      <c r="P656" s="23" t="str">
        <f t="shared" si="32"/>
        <v>Sep</v>
      </c>
      <c r="Q656" s="23" t="str">
        <f>IF(F656="CAPTURE",IF(COUNTIF(orders!$A:$A,O656)&gt;0,"Yes","NO ORDER"),"")</f>
        <v>Yes</v>
      </c>
    </row>
    <row r="657" spans="1:17" ht="15" customHeight="1" x14ac:dyDescent="0.3">
      <c r="A657" s="23" t="s">
        <v>13175</v>
      </c>
      <c r="B657" s="23"/>
      <c r="C657" s="23" t="s">
        <v>13176</v>
      </c>
      <c r="D657" s="23" t="str">
        <f t="shared" si="30"/>
        <v>ORD26004271</v>
      </c>
      <c r="E657" s="38">
        <v>46269</v>
      </c>
      <c r="F657" s="23" t="s">
        <v>12410</v>
      </c>
      <c r="G657" s="23" t="s">
        <v>75</v>
      </c>
      <c r="H657" s="24">
        <v>7999</v>
      </c>
      <c r="I657" s="24">
        <v>24</v>
      </c>
      <c r="J657" s="24">
        <v>4.32</v>
      </c>
      <c r="K657" s="24">
        <v>7970.68</v>
      </c>
      <c r="L657" s="38">
        <v>46271</v>
      </c>
      <c r="M657" s="23" t="s">
        <v>188</v>
      </c>
      <c r="N657" s="23" t="str">
        <f>IF(COUNTIF($A$2:A657,A657)&gt;1,"DUP","OK")</f>
        <v>OK</v>
      </c>
      <c r="O657" s="23" t="str">
        <f t="shared" si="31"/>
        <v>ORD26004271</v>
      </c>
      <c r="P657" s="23" t="str">
        <f t="shared" si="32"/>
        <v>Sep</v>
      </c>
      <c r="Q657" s="23" t="str">
        <f>IF(F657="CAPTURE",IF(COUNTIF(orders!$A:$A,O657)&gt;0,"Yes","NO ORDER"),"")</f>
        <v>Yes</v>
      </c>
    </row>
    <row r="658" spans="1:17" ht="15" customHeight="1" x14ac:dyDescent="0.3">
      <c r="A658" s="23" t="s">
        <v>13177</v>
      </c>
      <c r="B658" s="23"/>
      <c r="C658" s="23" t="s">
        <v>9037</v>
      </c>
      <c r="D658" s="23" t="str">
        <f t="shared" si="30"/>
        <v>ORD26004282</v>
      </c>
      <c r="E658" s="38">
        <v>46269</v>
      </c>
      <c r="F658" s="23" t="s">
        <v>12410</v>
      </c>
      <c r="G658" s="23" t="s">
        <v>75</v>
      </c>
      <c r="H658" s="24">
        <v>599</v>
      </c>
      <c r="I658" s="24">
        <v>0</v>
      </c>
      <c r="J658" s="24">
        <v>0</v>
      </c>
      <c r="K658" s="24">
        <v>599</v>
      </c>
      <c r="L658" s="38">
        <v>46271</v>
      </c>
      <c r="M658" s="23" t="s">
        <v>188</v>
      </c>
      <c r="N658" s="23" t="str">
        <f>IF(COUNTIF($A$2:A658,A658)&gt;1,"DUP","OK")</f>
        <v>OK</v>
      </c>
      <c r="O658" s="23" t="str">
        <f t="shared" si="31"/>
        <v>ORD26004282</v>
      </c>
      <c r="P658" s="23" t="str">
        <f t="shared" si="32"/>
        <v>Sep</v>
      </c>
      <c r="Q658" s="23" t="str">
        <f>IF(F658="CAPTURE",IF(COUNTIF(orders!$A:$A,O658)&gt;0,"Yes","NO ORDER"),"")</f>
        <v>Yes</v>
      </c>
    </row>
    <row r="659" spans="1:17" ht="15" customHeight="1" x14ac:dyDescent="0.3">
      <c r="A659" s="23" t="s">
        <v>13178</v>
      </c>
      <c r="B659" s="23"/>
      <c r="C659" s="23" t="s">
        <v>9159</v>
      </c>
      <c r="D659" s="23" t="str">
        <f t="shared" si="30"/>
        <v>ORD26004341</v>
      </c>
      <c r="E659" s="38">
        <v>46269</v>
      </c>
      <c r="F659" s="23" t="s">
        <v>12410</v>
      </c>
      <c r="G659" s="23" t="s">
        <v>75</v>
      </c>
      <c r="H659" s="24">
        <v>6597</v>
      </c>
      <c r="I659" s="24">
        <v>19.79</v>
      </c>
      <c r="J659" s="24">
        <v>3.56</v>
      </c>
      <c r="K659" s="24">
        <v>6573.65</v>
      </c>
      <c r="L659" s="38">
        <v>46271</v>
      </c>
      <c r="M659" s="23" t="s">
        <v>188</v>
      </c>
      <c r="N659" s="23" t="str">
        <f>IF(COUNTIF($A$2:A659,A659)&gt;1,"DUP","OK")</f>
        <v>OK</v>
      </c>
      <c r="O659" s="23" t="str">
        <f t="shared" si="31"/>
        <v>ORD26004341</v>
      </c>
      <c r="P659" s="23" t="str">
        <f t="shared" si="32"/>
        <v>Sep</v>
      </c>
      <c r="Q659" s="23" t="str">
        <f>IF(F659="CAPTURE",IF(COUNTIF(orders!$A:$A,O659)&gt;0,"Yes","NO ORDER"),"")</f>
        <v>Yes</v>
      </c>
    </row>
    <row r="660" spans="1:17" ht="15" customHeight="1" x14ac:dyDescent="0.3">
      <c r="A660" s="23" t="s">
        <v>13179</v>
      </c>
      <c r="B660" s="23"/>
      <c r="C660" s="23" t="s">
        <v>9298</v>
      </c>
      <c r="D660" s="23" t="str">
        <f t="shared" si="30"/>
        <v>ORD26004412</v>
      </c>
      <c r="E660" s="38">
        <v>46269</v>
      </c>
      <c r="F660" s="23" t="s">
        <v>12410</v>
      </c>
      <c r="G660" s="23" t="s">
        <v>75</v>
      </c>
      <c r="H660" s="24">
        <v>3397</v>
      </c>
      <c r="I660" s="24">
        <v>10.19</v>
      </c>
      <c r="J660" s="24">
        <v>1.83</v>
      </c>
      <c r="K660" s="24">
        <v>3384.98</v>
      </c>
      <c r="L660" s="38">
        <v>46271</v>
      </c>
      <c r="M660" s="23" t="s">
        <v>188</v>
      </c>
      <c r="N660" s="23" t="str">
        <f>IF(COUNTIF($A$2:A660,A660)&gt;1,"DUP","OK")</f>
        <v>OK</v>
      </c>
      <c r="O660" s="23" t="str">
        <f t="shared" si="31"/>
        <v>ORD26004412</v>
      </c>
      <c r="P660" s="23" t="str">
        <f t="shared" si="32"/>
        <v>Sep</v>
      </c>
      <c r="Q660" s="23" t="str">
        <f>IF(F660="CAPTURE",IF(COUNTIF(orders!$A:$A,O660)&gt;0,"Yes","NO ORDER"),"")</f>
        <v>Yes</v>
      </c>
    </row>
    <row r="661" spans="1:17" ht="15" customHeight="1" x14ac:dyDescent="0.3">
      <c r="A661" s="23" t="s">
        <v>13180</v>
      </c>
      <c r="B661" s="23"/>
      <c r="C661" s="23" t="s">
        <v>9502</v>
      </c>
      <c r="D661" s="23" t="str">
        <f t="shared" si="30"/>
        <v>ORD26004515</v>
      </c>
      <c r="E661" s="38">
        <v>46269</v>
      </c>
      <c r="F661" s="23" t="s">
        <v>12410</v>
      </c>
      <c r="G661" s="23" t="s">
        <v>75</v>
      </c>
      <c r="H661" s="24">
        <v>2148</v>
      </c>
      <c r="I661" s="24">
        <v>6.44</v>
      </c>
      <c r="J661" s="24">
        <v>1.1599999999999999</v>
      </c>
      <c r="K661" s="24">
        <v>2140.4</v>
      </c>
      <c r="L661" s="38">
        <v>46271</v>
      </c>
      <c r="M661" s="23" t="s">
        <v>188</v>
      </c>
      <c r="N661" s="23" t="str">
        <f>IF(COUNTIF($A$2:A661,A661)&gt;1,"DUP","OK")</f>
        <v>OK</v>
      </c>
      <c r="O661" s="23" t="str">
        <f t="shared" si="31"/>
        <v>ORD26004515</v>
      </c>
      <c r="P661" s="23" t="str">
        <f t="shared" si="32"/>
        <v>Sep</v>
      </c>
      <c r="Q661" s="23" t="str">
        <f>IF(F661="CAPTURE",IF(COUNTIF(orders!$A:$A,O661)&gt;0,"Yes","NO ORDER"),"")</f>
        <v>Yes</v>
      </c>
    </row>
    <row r="662" spans="1:17" ht="15" customHeight="1" x14ac:dyDescent="0.3">
      <c r="A662" s="23" t="s">
        <v>13181</v>
      </c>
      <c r="B662" s="23"/>
      <c r="C662" s="23" t="s">
        <v>9531</v>
      </c>
      <c r="D662" s="23" t="str">
        <f t="shared" si="30"/>
        <v>ORD26004529</v>
      </c>
      <c r="E662" s="38">
        <v>46269</v>
      </c>
      <c r="F662" s="23" t="s">
        <v>12410</v>
      </c>
      <c r="G662" s="23" t="s">
        <v>75</v>
      </c>
      <c r="H662" s="24">
        <v>2798</v>
      </c>
      <c r="I662" s="24">
        <v>8.39</v>
      </c>
      <c r="J662" s="24">
        <v>1.51</v>
      </c>
      <c r="K662" s="24">
        <v>2788.1</v>
      </c>
      <c r="L662" s="38">
        <v>46271</v>
      </c>
      <c r="M662" s="23" t="s">
        <v>188</v>
      </c>
      <c r="N662" s="23" t="str">
        <f>IF(COUNTIF($A$2:A662,A662)&gt;1,"DUP","OK")</f>
        <v>OK</v>
      </c>
      <c r="O662" s="23" t="str">
        <f t="shared" si="31"/>
        <v>ORD26004529</v>
      </c>
      <c r="P662" s="23" t="str">
        <f t="shared" si="32"/>
        <v>Sep</v>
      </c>
      <c r="Q662" s="23" t="str">
        <f>IF(F662="CAPTURE",IF(COUNTIF(orders!$A:$A,O662)&gt;0,"Yes","NO ORDER"),"")</f>
        <v>Yes</v>
      </c>
    </row>
    <row r="663" spans="1:17" ht="15" customHeight="1" x14ac:dyDescent="0.3">
      <c r="A663" s="23" t="s">
        <v>13182</v>
      </c>
      <c r="B663" s="23"/>
      <c r="C663" s="23" t="s">
        <v>9551</v>
      </c>
      <c r="D663" s="23" t="str">
        <f t="shared" si="30"/>
        <v>ORD26004539</v>
      </c>
      <c r="E663" s="38">
        <v>46269</v>
      </c>
      <c r="F663" s="23" t="s">
        <v>12410</v>
      </c>
      <c r="G663" s="23" t="s">
        <v>75</v>
      </c>
      <c r="H663" s="24">
        <v>898</v>
      </c>
      <c r="I663" s="24">
        <v>0</v>
      </c>
      <c r="J663" s="24">
        <v>0</v>
      </c>
      <c r="K663" s="24">
        <v>898</v>
      </c>
      <c r="L663" s="38">
        <v>46271</v>
      </c>
      <c r="M663" s="23" t="s">
        <v>188</v>
      </c>
      <c r="N663" s="23" t="str">
        <f>IF(COUNTIF($A$2:A663,A663)&gt;1,"DUP","OK")</f>
        <v>OK</v>
      </c>
      <c r="O663" s="23" t="str">
        <f t="shared" si="31"/>
        <v>ORD26004539</v>
      </c>
      <c r="P663" s="23" t="str">
        <f t="shared" si="32"/>
        <v>Sep</v>
      </c>
      <c r="Q663" s="23" t="str">
        <f>IF(F663="CAPTURE",IF(COUNTIF(orders!$A:$A,O663)&gt;0,"Yes","NO ORDER"),"")</f>
        <v>Yes</v>
      </c>
    </row>
    <row r="664" spans="1:17" ht="15" customHeight="1" x14ac:dyDescent="0.3">
      <c r="A664" s="23" t="s">
        <v>13183</v>
      </c>
      <c r="B664" s="23"/>
      <c r="C664" s="23" t="s">
        <v>9663</v>
      </c>
      <c r="D664" s="23" t="str">
        <f t="shared" si="30"/>
        <v>ORD26004595</v>
      </c>
      <c r="E664" s="38">
        <v>46269</v>
      </c>
      <c r="F664" s="23" t="s">
        <v>12410</v>
      </c>
      <c r="G664" s="23" t="s">
        <v>79</v>
      </c>
      <c r="H664" s="24">
        <v>1848</v>
      </c>
      <c r="I664" s="24">
        <v>33.26</v>
      </c>
      <c r="J664" s="24">
        <v>5.99</v>
      </c>
      <c r="K664" s="24">
        <v>1808.75</v>
      </c>
      <c r="L664" s="38">
        <v>46271</v>
      </c>
      <c r="M664" s="23" t="s">
        <v>188</v>
      </c>
      <c r="N664" s="23" t="str">
        <f>IF(COUNTIF($A$2:A664,A664)&gt;1,"DUP","OK")</f>
        <v>OK</v>
      </c>
      <c r="O664" s="23" t="str">
        <f t="shared" si="31"/>
        <v>ORD26004595</v>
      </c>
      <c r="P664" s="23" t="str">
        <f t="shared" si="32"/>
        <v>Sep</v>
      </c>
      <c r="Q664" s="23" t="str">
        <f>IF(F664="CAPTURE",IF(COUNTIF(orders!$A:$A,O664)&gt;0,"Yes","NO ORDER"),"")</f>
        <v>Yes</v>
      </c>
    </row>
    <row r="665" spans="1:17" ht="15" customHeight="1" x14ac:dyDescent="0.3">
      <c r="A665" s="23" t="s">
        <v>13184</v>
      </c>
      <c r="B665" s="23"/>
      <c r="C665" s="23" t="s">
        <v>9777</v>
      </c>
      <c r="D665" s="23" t="str">
        <f t="shared" si="30"/>
        <v>ORD26004654</v>
      </c>
      <c r="E665" s="38">
        <v>46269</v>
      </c>
      <c r="F665" s="23" t="s">
        <v>12410</v>
      </c>
      <c r="G665" s="23" t="s">
        <v>79</v>
      </c>
      <c r="H665" s="24">
        <v>299</v>
      </c>
      <c r="I665" s="24">
        <v>5.38</v>
      </c>
      <c r="J665" s="24">
        <v>0.97</v>
      </c>
      <c r="K665" s="24">
        <v>292.64999999999998</v>
      </c>
      <c r="L665" s="38">
        <v>46271</v>
      </c>
      <c r="M665" s="23" t="s">
        <v>188</v>
      </c>
      <c r="N665" s="23" t="str">
        <f>IF(COUNTIF($A$2:A665,A665)&gt;1,"DUP","OK")</f>
        <v>OK</v>
      </c>
      <c r="O665" s="23" t="str">
        <f t="shared" si="31"/>
        <v>ORD26004654</v>
      </c>
      <c r="P665" s="23" t="str">
        <f t="shared" si="32"/>
        <v>Sep</v>
      </c>
      <c r="Q665" s="23" t="str">
        <f>IF(F665="CAPTURE",IF(COUNTIF(orders!$A:$A,O665)&gt;0,"Yes","NO ORDER"),"")</f>
        <v>Yes</v>
      </c>
    </row>
    <row r="666" spans="1:17" ht="15" customHeight="1" x14ac:dyDescent="0.3">
      <c r="A666" s="23" t="s">
        <v>13185</v>
      </c>
      <c r="B666" s="23"/>
      <c r="C666" s="23" t="s">
        <v>9916</v>
      </c>
      <c r="D666" s="23" t="str">
        <f t="shared" si="30"/>
        <v>ORD26004725</v>
      </c>
      <c r="E666" s="38">
        <v>46269</v>
      </c>
      <c r="F666" s="23" t="s">
        <v>12410</v>
      </c>
      <c r="G666" s="23" t="s">
        <v>79</v>
      </c>
      <c r="H666" s="24">
        <v>11797</v>
      </c>
      <c r="I666" s="24">
        <v>188.75</v>
      </c>
      <c r="J666" s="24">
        <v>33.979999999999997</v>
      </c>
      <c r="K666" s="24">
        <v>11574.27</v>
      </c>
      <c r="L666" s="38">
        <v>46271</v>
      </c>
      <c r="M666" s="23" t="s">
        <v>188</v>
      </c>
      <c r="N666" s="23" t="str">
        <f>IF(COUNTIF($A$2:A666,A666)&gt;1,"DUP","OK")</f>
        <v>OK</v>
      </c>
      <c r="O666" s="23" t="str">
        <f t="shared" si="31"/>
        <v>ORD26004725</v>
      </c>
      <c r="P666" s="23" t="str">
        <f t="shared" si="32"/>
        <v>Sep</v>
      </c>
      <c r="Q666" s="23" t="str">
        <f>IF(F666="CAPTURE",IF(COUNTIF(orders!$A:$A,O666)&gt;0,"Yes","NO ORDER"),"")</f>
        <v>Yes</v>
      </c>
    </row>
    <row r="667" spans="1:17" ht="15" customHeight="1" x14ac:dyDescent="0.3">
      <c r="A667" s="23" t="s">
        <v>13186</v>
      </c>
      <c r="B667" s="23"/>
      <c r="C667" s="23" t="s">
        <v>13187</v>
      </c>
      <c r="D667" s="23" t="str">
        <f t="shared" si="30"/>
        <v>ORD26004738</v>
      </c>
      <c r="E667" s="38">
        <v>46269</v>
      </c>
      <c r="F667" s="23" t="s">
        <v>12410</v>
      </c>
      <c r="G667" s="23" t="s">
        <v>79</v>
      </c>
      <c r="H667" s="24">
        <v>799</v>
      </c>
      <c r="I667" s="24">
        <v>14.38</v>
      </c>
      <c r="J667" s="24">
        <v>2.59</v>
      </c>
      <c r="K667" s="24">
        <v>782.03</v>
      </c>
      <c r="L667" s="38">
        <v>46271</v>
      </c>
      <c r="M667" s="23" t="s">
        <v>188</v>
      </c>
      <c r="N667" s="23" t="str">
        <f>IF(COUNTIF($A$2:A667,A667)&gt;1,"DUP","OK")</f>
        <v>OK</v>
      </c>
      <c r="O667" s="23" t="str">
        <f t="shared" si="31"/>
        <v>ORD26004738</v>
      </c>
      <c r="P667" s="23" t="str">
        <f t="shared" si="32"/>
        <v>Sep</v>
      </c>
      <c r="Q667" s="23" t="str">
        <f>IF(F667="CAPTURE",IF(COUNTIF(orders!$A:$A,O667)&gt;0,"Yes","NO ORDER"),"")</f>
        <v>Yes</v>
      </c>
    </row>
    <row r="668" spans="1:17" ht="15" customHeight="1" x14ac:dyDescent="0.3">
      <c r="A668" s="23" t="s">
        <v>13188</v>
      </c>
      <c r="B668" s="23"/>
      <c r="C668" s="23" t="s">
        <v>10000</v>
      </c>
      <c r="D668" s="23" t="str">
        <f t="shared" si="30"/>
        <v>ORD26004768</v>
      </c>
      <c r="E668" s="38">
        <v>46269</v>
      </c>
      <c r="F668" s="23" t="s">
        <v>12410</v>
      </c>
      <c r="G668" s="23" t="s">
        <v>79</v>
      </c>
      <c r="H668" s="24">
        <v>7999</v>
      </c>
      <c r="I668" s="24">
        <v>127.98</v>
      </c>
      <c r="J668" s="24">
        <v>23.04</v>
      </c>
      <c r="K668" s="24">
        <v>7847.98</v>
      </c>
      <c r="L668" s="38">
        <v>46271</v>
      </c>
      <c r="M668" s="23" t="s">
        <v>188</v>
      </c>
      <c r="N668" s="23" t="str">
        <f>IF(COUNTIF($A$2:A668,A668)&gt;1,"DUP","OK")</f>
        <v>OK</v>
      </c>
      <c r="O668" s="23" t="str">
        <f t="shared" si="31"/>
        <v>ORD26004768</v>
      </c>
      <c r="P668" s="23" t="str">
        <f t="shared" si="32"/>
        <v>Sep</v>
      </c>
      <c r="Q668" s="23" t="str">
        <f>IF(F668="CAPTURE",IF(COUNTIF(orders!$A:$A,O668)&gt;0,"Yes","NO ORDER"),"")</f>
        <v>Yes</v>
      </c>
    </row>
    <row r="669" spans="1:17" ht="15" customHeight="1" x14ac:dyDescent="0.3">
      <c r="A669" s="23" t="s">
        <v>13189</v>
      </c>
      <c r="B669" s="23"/>
      <c r="C669" s="23" t="s">
        <v>13190</v>
      </c>
      <c r="D669" s="23" t="str">
        <f t="shared" si="30"/>
        <v>ORD26004824</v>
      </c>
      <c r="E669" s="38">
        <v>46269</v>
      </c>
      <c r="F669" s="23" t="s">
        <v>12410</v>
      </c>
      <c r="G669" s="23" t="s">
        <v>79</v>
      </c>
      <c r="H669" s="24">
        <v>1648</v>
      </c>
      <c r="I669" s="24">
        <v>29.66</v>
      </c>
      <c r="J669" s="24">
        <v>5.34</v>
      </c>
      <c r="K669" s="24">
        <v>1613</v>
      </c>
      <c r="L669" s="38">
        <v>46271</v>
      </c>
      <c r="M669" s="23" t="s">
        <v>188</v>
      </c>
      <c r="N669" s="23" t="str">
        <f>IF(COUNTIF($A$2:A669,A669)&gt;1,"DUP","OK")</f>
        <v>OK</v>
      </c>
      <c r="O669" s="23" t="str">
        <f t="shared" si="31"/>
        <v>ORD26004824</v>
      </c>
      <c r="P669" s="23" t="str">
        <f t="shared" si="32"/>
        <v>Sep</v>
      </c>
      <c r="Q669" s="23" t="str">
        <f>IF(F669="CAPTURE",IF(COUNTIF(orders!$A:$A,O669)&gt;0,"Yes","NO ORDER"),"")</f>
        <v>Yes</v>
      </c>
    </row>
    <row r="670" spans="1:17" ht="15" customHeight="1" x14ac:dyDescent="0.3">
      <c r="A670" s="23" t="s">
        <v>13191</v>
      </c>
      <c r="B670" s="23"/>
      <c r="C670" s="23" t="s">
        <v>10176</v>
      </c>
      <c r="D670" s="23" t="str">
        <f t="shared" si="30"/>
        <v>ORD26004858</v>
      </c>
      <c r="E670" s="38">
        <v>46269</v>
      </c>
      <c r="F670" s="23" t="s">
        <v>12410</v>
      </c>
      <c r="G670" s="23" t="s">
        <v>75</v>
      </c>
      <c r="H670" s="24">
        <v>4298</v>
      </c>
      <c r="I670" s="24">
        <v>12.89</v>
      </c>
      <c r="J670" s="24">
        <v>2.3199999999999998</v>
      </c>
      <c r="K670" s="24">
        <v>4282.79</v>
      </c>
      <c r="L670" s="38">
        <v>46271</v>
      </c>
      <c r="M670" s="23" t="s">
        <v>188</v>
      </c>
      <c r="N670" s="23" t="str">
        <f>IF(COUNTIF($A$2:A670,A670)&gt;1,"DUP","OK")</f>
        <v>OK</v>
      </c>
      <c r="O670" s="23" t="str">
        <f t="shared" si="31"/>
        <v>ORD26004858</v>
      </c>
      <c r="P670" s="23" t="str">
        <f t="shared" si="32"/>
        <v>Sep</v>
      </c>
      <c r="Q670" s="23" t="str">
        <f>IF(F670="CAPTURE",IF(COUNTIF(orders!$A:$A,O670)&gt;0,"Yes","NO ORDER"),"")</f>
        <v>Yes</v>
      </c>
    </row>
    <row r="671" spans="1:17" ht="15" customHeight="1" x14ac:dyDescent="0.3">
      <c r="A671" s="23" t="s">
        <v>13192</v>
      </c>
      <c r="B671" s="23"/>
      <c r="C671" s="23" t="s">
        <v>10193</v>
      </c>
      <c r="D671" s="23" t="str">
        <f t="shared" si="30"/>
        <v>ORD26004867</v>
      </c>
      <c r="E671" s="38">
        <v>46269</v>
      </c>
      <c r="F671" s="23" t="s">
        <v>12410</v>
      </c>
      <c r="G671" s="23" t="s">
        <v>75</v>
      </c>
      <c r="H671" s="24">
        <v>2098</v>
      </c>
      <c r="I671" s="24">
        <v>6.29</v>
      </c>
      <c r="J671" s="24">
        <v>1.1299999999999999</v>
      </c>
      <c r="K671" s="24">
        <v>2090.58</v>
      </c>
      <c r="L671" s="38">
        <v>46271</v>
      </c>
      <c r="M671" s="23" t="s">
        <v>188</v>
      </c>
      <c r="N671" s="23" t="str">
        <f>IF(COUNTIF($A$2:A671,A671)&gt;1,"DUP","OK")</f>
        <v>OK</v>
      </c>
      <c r="O671" s="23" t="str">
        <f t="shared" si="31"/>
        <v>ORD26004867</v>
      </c>
      <c r="P671" s="23" t="str">
        <f t="shared" si="32"/>
        <v>Sep</v>
      </c>
      <c r="Q671" s="23" t="str">
        <f>IF(F671="CAPTURE",IF(COUNTIF(orders!$A:$A,O671)&gt;0,"Yes","NO ORDER"),"")</f>
        <v>Yes</v>
      </c>
    </row>
    <row r="672" spans="1:17" ht="15" customHeight="1" x14ac:dyDescent="0.3">
      <c r="A672" s="23" t="s">
        <v>13193</v>
      </c>
      <c r="B672" s="23"/>
      <c r="C672" s="23" t="s">
        <v>10263</v>
      </c>
      <c r="D672" s="23" t="str">
        <f t="shared" si="30"/>
        <v>ORD26004903</v>
      </c>
      <c r="E672" s="38">
        <v>46269</v>
      </c>
      <c r="F672" s="23" t="s">
        <v>12410</v>
      </c>
      <c r="G672" s="23" t="s">
        <v>77</v>
      </c>
      <c r="H672" s="24">
        <v>1499</v>
      </c>
      <c r="I672" s="24">
        <v>28.48</v>
      </c>
      <c r="J672" s="24">
        <v>5.13</v>
      </c>
      <c r="K672" s="24">
        <v>1465.39</v>
      </c>
      <c r="L672" s="38">
        <v>46271</v>
      </c>
      <c r="M672" s="23" t="s">
        <v>188</v>
      </c>
      <c r="N672" s="23" t="str">
        <f>IF(COUNTIF($A$2:A672,A672)&gt;1,"DUP","OK")</f>
        <v>OK</v>
      </c>
      <c r="O672" s="23" t="str">
        <f t="shared" si="31"/>
        <v>ORD26004903</v>
      </c>
      <c r="P672" s="23" t="str">
        <f t="shared" si="32"/>
        <v>Sep</v>
      </c>
      <c r="Q672" s="23" t="str">
        <f>IF(F672="CAPTURE",IF(COUNTIF(orders!$A:$A,O672)&gt;0,"Yes","NO ORDER"),"")</f>
        <v>Yes</v>
      </c>
    </row>
    <row r="673" spans="1:17" ht="15" customHeight="1" x14ac:dyDescent="0.3">
      <c r="A673" s="23" t="s">
        <v>13194</v>
      </c>
      <c r="B673" s="23"/>
      <c r="C673" s="23" t="s">
        <v>10411</v>
      </c>
      <c r="D673" s="23" t="str">
        <f t="shared" si="30"/>
        <v>ORD26004979</v>
      </c>
      <c r="E673" s="38">
        <v>46269</v>
      </c>
      <c r="F673" s="23" t="s">
        <v>12410</v>
      </c>
      <c r="G673" s="23" t="s">
        <v>75</v>
      </c>
      <c r="H673" s="24">
        <v>4999</v>
      </c>
      <c r="I673" s="24">
        <v>15</v>
      </c>
      <c r="J673" s="24">
        <v>2.7</v>
      </c>
      <c r="K673" s="24">
        <v>4981.3</v>
      </c>
      <c r="L673" s="38">
        <v>46271</v>
      </c>
      <c r="M673" s="23" t="s">
        <v>188</v>
      </c>
      <c r="N673" s="23" t="str">
        <f>IF(COUNTIF($A$2:A673,A673)&gt;1,"DUP","OK")</f>
        <v>OK</v>
      </c>
      <c r="O673" s="23" t="str">
        <f t="shared" si="31"/>
        <v>ORD26004979</v>
      </c>
      <c r="P673" s="23" t="str">
        <f t="shared" si="32"/>
        <v>Sep</v>
      </c>
      <c r="Q673" s="23" t="str">
        <f>IF(F673="CAPTURE",IF(COUNTIF(orders!$A:$A,O673)&gt;0,"Yes","NO ORDER"),"")</f>
        <v>Yes</v>
      </c>
    </row>
    <row r="674" spans="1:17" ht="15" customHeight="1" x14ac:dyDescent="0.3">
      <c r="A674" s="23" t="s">
        <v>13195</v>
      </c>
      <c r="B674" s="23"/>
      <c r="C674" s="23" t="s">
        <v>10413</v>
      </c>
      <c r="D674" s="23" t="str">
        <f t="shared" si="30"/>
        <v>ORD26004980</v>
      </c>
      <c r="E674" s="38">
        <v>46269</v>
      </c>
      <c r="F674" s="23" t="s">
        <v>12410</v>
      </c>
      <c r="G674" s="23" t="s">
        <v>79</v>
      </c>
      <c r="H674" s="24">
        <v>599</v>
      </c>
      <c r="I674" s="24">
        <v>10.78</v>
      </c>
      <c r="J674" s="24">
        <v>1.94</v>
      </c>
      <c r="K674" s="24">
        <v>586.28</v>
      </c>
      <c r="L674" s="38">
        <v>46271</v>
      </c>
      <c r="M674" s="23" t="s">
        <v>188</v>
      </c>
      <c r="N674" s="23" t="str">
        <f>IF(COUNTIF($A$2:A674,A674)&gt;1,"DUP","OK")</f>
        <v>OK</v>
      </c>
      <c r="O674" s="23" t="str">
        <f t="shared" si="31"/>
        <v>ORD26004980</v>
      </c>
      <c r="P674" s="23" t="str">
        <f t="shared" si="32"/>
        <v>Sep</v>
      </c>
      <c r="Q674" s="23" t="str">
        <f>IF(F674="CAPTURE",IF(COUNTIF(orders!$A:$A,O674)&gt;0,"Yes","NO ORDER"),"")</f>
        <v>Yes</v>
      </c>
    </row>
    <row r="675" spans="1:17" ht="15" customHeight="1" x14ac:dyDescent="0.3">
      <c r="A675" s="23" t="s">
        <v>13196</v>
      </c>
      <c r="B675" s="23"/>
      <c r="C675" s="23" t="s">
        <v>10482</v>
      </c>
      <c r="D675" s="23" t="str">
        <f t="shared" si="30"/>
        <v>ORD26005016</v>
      </c>
      <c r="E675" s="38">
        <v>46269</v>
      </c>
      <c r="F675" s="23" t="s">
        <v>12410</v>
      </c>
      <c r="G675" s="23" t="s">
        <v>75</v>
      </c>
      <c r="H675" s="24">
        <v>4298</v>
      </c>
      <c r="I675" s="24">
        <v>12.89</v>
      </c>
      <c r="J675" s="24">
        <v>2.3199999999999998</v>
      </c>
      <c r="K675" s="24">
        <v>4282.79</v>
      </c>
      <c r="L675" s="38">
        <v>46271</v>
      </c>
      <c r="M675" s="23" t="s">
        <v>188</v>
      </c>
      <c r="N675" s="23" t="str">
        <f>IF(COUNTIF($A$2:A675,A675)&gt;1,"DUP","OK")</f>
        <v>OK</v>
      </c>
      <c r="O675" s="23" t="str">
        <f t="shared" si="31"/>
        <v>ORD26005016</v>
      </c>
      <c r="P675" s="23" t="str">
        <f t="shared" si="32"/>
        <v>Sep</v>
      </c>
      <c r="Q675" s="23" t="str">
        <f>IF(F675="CAPTURE",IF(COUNTIF(orders!$A:$A,O675)&gt;0,"Yes","NO ORDER"),"")</f>
        <v>Yes</v>
      </c>
    </row>
    <row r="676" spans="1:17" ht="15" customHeight="1" x14ac:dyDescent="0.3">
      <c r="A676" s="23" t="s">
        <v>13197</v>
      </c>
      <c r="B676" s="23"/>
      <c r="C676" s="23" t="s">
        <v>10596</v>
      </c>
      <c r="D676" s="23" t="str">
        <f t="shared" si="30"/>
        <v>ORD26005075</v>
      </c>
      <c r="E676" s="38">
        <v>46269</v>
      </c>
      <c r="F676" s="23" t="s">
        <v>12410</v>
      </c>
      <c r="G676" s="23" t="s">
        <v>79</v>
      </c>
      <c r="H676" s="24">
        <v>599</v>
      </c>
      <c r="I676" s="24">
        <v>10.78</v>
      </c>
      <c r="J676" s="24">
        <v>1.94</v>
      </c>
      <c r="K676" s="24">
        <v>586.28</v>
      </c>
      <c r="L676" s="38">
        <v>46271</v>
      </c>
      <c r="M676" s="23" t="s">
        <v>188</v>
      </c>
      <c r="N676" s="23" t="str">
        <f>IF(COUNTIF($A$2:A676,A676)&gt;1,"DUP","OK")</f>
        <v>OK</v>
      </c>
      <c r="O676" s="23" t="str">
        <f t="shared" si="31"/>
        <v>ORD26005075</v>
      </c>
      <c r="P676" s="23" t="str">
        <f t="shared" si="32"/>
        <v>Sep</v>
      </c>
      <c r="Q676" s="23" t="str">
        <f>IF(F676="CAPTURE",IF(COUNTIF(orders!$A:$A,O676)&gt;0,"Yes","NO ORDER"),"")</f>
        <v>Yes</v>
      </c>
    </row>
    <row r="677" spans="1:17" ht="15" customHeight="1" x14ac:dyDescent="0.3">
      <c r="A677" s="23" t="s">
        <v>13198</v>
      </c>
      <c r="B677" s="23"/>
      <c r="C677" s="23" t="s">
        <v>10604</v>
      </c>
      <c r="D677" s="23" t="str">
        <f t="shared" si="30"/>
        <v>ORD26005079</v>
      </c>
      <c r="E677" s="38">
        <v>46269</v>
      </c>
      <c r="F677" s="23" t="s">
        <v>12410</v>
      </c>
      <c r="G677" s="23" t="s">
        <v>75</v>
      </c>
      <c r="H677" s="24">
        <v>5897</v>
      </c>
      <c r="I677" s="24">
        <v>17.690000000000001</v>
      </c>
      <c r="J677" s="24">
        <v>3.18</v>
      </c>
      <c r="K677" s="24">
        <v>5876.13</v>
      </c>
      <c r="L677" s="38">
        <v>46271</v>
      </c>
      <c r="M677" s="23" t="s">
        <v>188</v>
      </c>
      <c r="N677" s="23" t="str">
        <f>IF(COUNTIF($A$2:A677,A677)&gt;1,"DUP","OK")</f>
        <v>OK</v>
      </c>
      <c r="O677" s="23" t="str">
        <f t="shared" si="31"/>
        <v>ORD26005079</v>
      </c>
      <c r="P677" s="23" t="str">
        <f t="shared" si="32"/>
        <v>Sep</v>
      </c>
      <c r="Q677" s="23" t="str">
        <f>IF(F677="CAPTURE",IF(COUNTIF(orders!$A:$A,O677)&gt;0,"Yes","NO ORDER"),"")</f>
        <v>Yes</v>
      </c>
    </row>
    <row r="678" spans="1:17" ht="15" customHeight="1" x14ac:dyDescent="0.3">
      <c r="A678" s="23" t="s">
        <v>13199</v>
      </c>
      <c r="B678" s="23"/>
      <c r="C678" s="23" t="s">
        <v>10619</v>
      </c>
      <c r="D678" s="23" t="str">
        <f t="shared" si="30"/>
        <v>ORD26005087</v>
      </c>
      <c r="E678" s="38">
        <v>46269</v>
      </c>
      <c r="F678" s="23" t="s">
        <v>12410</v>
      </c>
      <c r="G678" s="23" t="s">
        <v>75</v>
      </c>
      <c r="H678" s="24">
        <v>2148</v>
      </c>
      <c r="I678" s="24">
        <v>6.44</v>
      </c>
      <c r="J678" s="24">
        <v>1.1599999999999999</v>
      </c>
      <c r="K678" s="24">
        <v>2140.4</v>
      </c>
      <c r="L678" s="38">
        <v>46271</v>
      </c>
      <c r="M678" s="23" t="s">
        <v>188</v>
      </c>
      <c r="N678" s="23" t="str">
        <f>IF(COUNTIF($A$2:A678,A678)&gt;1,"DUP","OK")</f>
        <v>OK</v>
      </c>
      <c r="O678" s="23" t="str">
        <f t="shared" si="31"/>
        <v>ORD26005087</v>
      </c>
      <c r="P678" s="23" t="str">
        <f t="shared" si="32"/>
        <v>Sep</v>
      </c>
      <c r="Q678" s="23" t="str">
        <f>IF(F678="CAPTURE",IF(COUNTIF(orders!$A:$A,O678)&gt;0,"Yes","NO ORDER"),"")</f>
        <v>Yes</v>
      </c>
    </row>
    <row r="679" spans="1:17" ht="15" customHeight="1" x14ac:dyDescent="0.3">
      <c r="A679" s="23" t="s">
        <v>13200</v>
      </c>
      <c r="B679" s="23"/>
      <c r="C679" s="23" t="s">
        <v>10669</v>
      </c>
      <c r="D679" s="23" t="str">
        <f t="shared" si="30"/>
        <v>ORD26005113</v>
      </c>
      <c r="E679" s="38">
        <v>46269</v>
      </c>
      <c r="F679" s="23" t="s">
        <v>12410</v>
      </c>
      <c r="G679" s="23" t="s">
        <v>75</v>
      </c>
      <c r="H679" s="24">
        <v>2098</v>
      </c>
      <c r="I679" s="24">
        <v>6.29</v>
      </c>
      <c r="J679" s="24">
        <v>1.1299999999999999</v>
      </c>
      <c r="K679" s="24">
        <v>2090.58</v>
      </c>
      <c r="L679" s="38">
        <v>46271</v>
      </c>
      <c r="M679" s="23" t="s">
        <v>188</v>
      </c>
      <c r="N679" s="23" t="str">
        <f>IF(COUNTIF($A$2:A679,A679)&gt;1,"DUP","OK")</f>
        <v>OK</v>
      </c>
      <c r="O679" s="23" t="str">
        <f t="shared" si="31"/>
        <v>ORD26005113</v>
      </c>
      <c r="P679" s="23" t="str">
        <f t="shared" si="32"/>
        <v>Sep</v>
      </c>
      <c r="Q679" s="23" t="str">
        <f>IF(F679="CAPTURE",IF(COUNTIF(orders!$A:$A,O679)&gt;0,"Yes","NO ORDER"),"")</f>
        <v>Yes</v>
      </c>
    </row>
    <row r="680" spans="1:17" ht="15" customHeight="1" x14ac:dyDescent="0.3">
      <c r="A680" s="23" t="s">
        <v>13201</v>
      </c>
      <c r="B680" s="23"/>
      <c r="C680" s="23" t="s">
        <v>10675</v>
      </c>
      <c r="D680" s="23" t="str">
        <f t="shared" si="30"/>
        <v>ORD26005116</v>
      </c>
      <c r="E680" s="38">
        <v>46269</v>
      </c>
      <c r="F680" s="23" t="s">
        <v>12410</v>
      </c>
      <c r="G680" s="23" t="s">
        <v>75</v>
      </c>
      <c r="H680" s="24">
        <v>6597</v>
      </c>
      <c r="I680" s="24">
        <v>19.79</v>
      </c>
      <c r="J680" s="24">
        <v>3.56</v>
      </c>
      <c r="K680" s="24">
        <v>6573.65</v>
      </c>
      <c r="L680" s="38">
        <v>46271</v>
      </c>
      <c r="M680" s="23" t="s">
        <v>188</v>
      </c>
      <c r="N680" s="23" t="str">
        <f>IF(COUNTIF($A$2:A680,A680)&gt;1,"DUP","OK")</f>
        <v>OK</v>
      </c>
      <c r="O680" s="23" t="str">
        <f t="shared" si="31"/>
        <v>ORD26005116</v>
      </c>
      <c r="P680" s="23" t="str">
        <f t="shared" si="32"/>
        <v>Sep</v>
      </c>
      <c r="Q680" s="23" t="str">
        <f>IF(F680="CAPTURE",IF(COUNTIF(orders!$A:$A,O680)&gt;0,"Yes","NO ORDER"),"")</f>
        <v>Yes</v>
      </c>
    </row>
    <row r="681" spans="1:17" ht="15" customHeight="1" x14ac:dyDescent="0.3">
      <c r="A681" s="23" t="s">
        <v>13202</v>
      </c>
      <c r="B681" s="23"/>
      <c r="C681" s="23" t="s">
        <v>10677</v>
      </c>
      <c r="D681" s="23" t="str">
        <f t="shared" si="30"/>
        <v>ORD26005117</v>
      </c>
      <c r="E681" s="38">
        <v>46269</v>
      </c>
      <c r="F681" s="23" t="s">
        <v>12410</v>
      </c>
      <c r="G681" s="23" t="s">
        <v>77</v>
      </c>
      <c r="H681" s="24">
        <v>4897</v>
      </c>
      <c r="I681" s="24">
        <v>83.25</v>
      </c>
      <c r="J681" s="24">
        <v>14.99</v>
      </c>
      <c r="K681" s="24">
        <v>4798.76</v>
      </c>
      <c r="L681" s="38">
        <v>46271</v>
      </c>
      <c r="M681" s="23" t="s">
        <v>188</v>
      </c>
      <c r="N681" s="23" t="str">
        <f>IF(COUNTIF($A$2:A681,A681)&gt;1,"DUP","OK")</f>
        <v>OK</v>
      </c>
      <c r="O681" s="23" t="str">
        <f t="shared" si="31"/>
        <v>ORD26005117</v>
      </c>
      <c r="P681" s="23" t="str">
        <f t="shared" si="32"/>
        <v>Sep</v>
      </c>
      <c r="Q681" s="23" t="str">
        <f>IF(F681="CAPTURE",IF(COUNTIF(orders!$A:$A,O681)&gt;0,"Yes","NO ORDER"),"")</f>
        <v>Yes</v>
      </c>
    </row>
    <row r="682" spans="1:17" ht="15" customHeight="1" x14ac:dyDescent="0.3">
      <c r="A682" s="23" t="s">
        <v>13203</v>
      </c>
      <c r="B682" s="23"/>
      <c r="C682" s="23" t="s">
        <v>13204</v>
      </c>
      <c r="D682" s="23" t="str">
        <f t="shared" si="30"/>
        <v>ORD26005119</v>
      </c>
      <c r="E682" s="38">
        <v>46269</v>
      </c>
      <c r="F682" s="23" t="s">
        <v>12410</v>
      </c>
      <c r="G682" s="23" t="s">
        <v>75</v>
      </c>
      <c r="H682" s="24">
        <v>1799</v>
      </c>
      <c r="I682" s="24">
        <v>0</v>
      </c>
      <c r="J682" s="24">
        <v>0</v>
      </c>
      <c r="K682" s="24">
        <v>1799</v>
      </c>
      <c r="L682" s="38">
        <v>46271</v>
      </c>
      <c r="M682" s="23" t="s">
        <v>188</v>
      </c>
      <c r="N682" s="23" t="str">
        <f>IF(COUNTIF($A$2:A682,A682)&gt;1,"DUP","OK")</f>
        <v>OK</v>
      </c>
      <c r="O682" s="23" t="str">
        <f t="shared" si="31"/>
        <v>ORD26005119</v>
      </c>
      <c r="P682" s="23" t="str">
        <f t="shared" si="32"/>
        <v>Sep</v>
      </c>
      <c r="Q682" s="23" t="str">
        <f>IF(F682="CAPTURE",IF(COUNTIF(orders!$A:$A,O682)&gt;0,"Yes","NO ORDER"),"")</f>
        <v>Yes</v>
      </c>
    </row>
    <row r="683" spans="1:17" ht="15" customHeight="1" x14ac:dyDescent="0.3">
      <c r="A683" s="23" t="s">
        <v>13205</v>
      </c>
      <c r="B683" s="23"/>
      <c r="C683" s="23" t="s">
        <v>10871</v>
      </c>
      <c r="D683" s="23" t="str">
        <f t="shared" si="30"/>
        <v>ORD26005216</v>
      </c>
      <c r="E683" s="38">
        <v>46269</v>
      </c>
      <c r="F683" s="23" t="s">
        <v>12410</v>
      </c>
      <c r="G683" s="23" t="s">
        <v>75</v>
      </c>
      <c r="H683" s="24">
        <v>2499</v>
      </c>
      <c r="I683" s="24">
        <v>7.5</v>
      </c>
      <c r="J683" s="24">
        <v>1.35</v>
      </c>
      <c r="K683" s="24">
        <v>2490.15</v>
      </c>
      <c r="L683" s="38">
        <v>46271</v>
      </c>
      <c r="M683" s="23" t="s">
        <v>188</v>
      </c>
      <c r="N683" s="23" t="str">
        <f>IF(COUNTIF($A$2:A683,A683)&gt;1,"DUP","OK")</f>
        <v>OK</v>
      </c>
      <c r="O683" s="23" t="str">
        <f t="shared" si="31"/>
        <v>ORD26005216</v>
      </c>
      <c r="P683" s="23" t="str">
        <f t="shared" si="32"/>
        <v>Sep</v>
      </c>
      <c r="Q683" s="23" t="str">
        <f>IF(F683="CAPTURE",IF(COUNTIF(orders!$A:$A,O683)&gt;0,"Yes","NO ORDER"),"")</f>
        <v>Yes</v>
      </c>
    </row>
    <row r="684" spans="1:17" ht="15" customHeight="1" x14ac:dyDescent="0.3">
      <c r="A684" s="23" t="s">
        <v>13206</v>
      </c>
      <c r="B684" s="23"/>
      <c r="C684" s="23" t="s">
        <v>13207</v>
      </c>
      <c r="D684" s="23" t="str">
        <f t="shared" si="30"/>
        <v>ORD26005233</v>
      </c>
      <c r="E684" s="38">
        <v>46269</v>
      </c>
      <c r="F684" s="23" t="s">
        <v>12410</v>
      </c>
      <c r="G684" s="23" t="s">
        <v>75</v>
      </c>
      <c r="H684" s="24">
        <v>7999</v>
      </c>
      <c r="I684" s="24">
        <v>24</v>
      </c>
      <c r="J684" s="24">
        <v>4.32</v>
      </c>
      <c r="K684" s="24">
        <v>7970.68</v>
      </c>
      <c r="L684" s="38">
        <v>46271</v>
      </c>
      <c r="M684" s="23" t="s">
        <v>188</v>
      </c>
      <c r="N684" s="23" t="str">
        <f>IF(COUNTIF($A$2:A684,A684)&gt;1,"DUP","OK")</f>
        <v>OK</v>
      </c>
      <c r="O684" s="23" t="str">
        <f t="shared" si="31"/>
        <v>ORD26005233</v>
      </c>
      <c r="P684" s="23" t="str">
        <f t="shared" si="32"/>
        <v>Sep</v>
      </c>
      <c r="Q684" s="23" t="str">
        <f>IF(F684="CAPTURE",IF(COUNTIF(orders!$A:$A,O684)&gt;0,"Yes","NO ORDER"),"")</f>
        <v>Yes</v>
      </c>
    </row>
    <row r="685" spans="1:17" ht="15" customHeight="1" x14ac:dyDescent="0.3">
      <c r="A685" s="23" t="s">
        <v>13208</v>
      </c>
      <c r="B685" s="23"/>
      <c r="C685" s="23" t="s">
        <v>10925</v>
      </c>
      <c r="D685" s="23" t="str">
        <f t="shared" si="30"/>
        <v>ORD26005244</v>
      </c>
      <c r="E685" s="38">
        <v>46269</v>
      </c>
      <c r="F685" s="23" t="s">
        <v>12410</v>
      </c>
      <c r="G685" s="23" t="s">
        <v>75</v>
      </c>
      <c r="H685" s="24">
        <v>349</v>
      </c>
      <c r="I685" s="24">
        <v>0</v>
      </c>
      <c r="J685" s="24">
        <v>0</v>
      </c>
      <c r="K685" s="24">
        <v>349</v>
      </c>
      <c r="L685" s="38">
        <v>46271</v>
      </c>
      <c r="M685" s="23" t="s">
        <v>188</v>
      </c>
      <c r="N685" s="23" t="str">
        <f>IF(COUNTIF($A$2:A685,A685)&gt;1,"DUP","OK")</f>
        <v>OK</v>
      </c>
      <c r="O685" s="23" t="str">
        <f t="shared" si="31"/>
        <v>ORD26005244</v>
      </c>
      <c r="P685" s="23" t="str">
        <f t="shared" si="32"/>
        <v>Sep</v>
      </c>
      <c r="Q685" s="23" t="str">
        <f>IF(F685="CAPTURE",IF(COUNTIF(orders!$A:$A,O685)&gt;0,"Yes","NO ORDER"),"")</f>
        <v>Yes</v>
      </c>
    </row>
    <row r="686" spans="1:17" ht="15" customHeight="1" x14ac:dyDescent="0.3">
      <c r="A686" s="23" t="s">
        <v>13209</v>
      </c>
      <c r="B686" s="23"/>
      <c r="C686" s="23" t="s">
        <v>10927</v>
      </c>
      <c r="D686" s="23" t="str">
        <f t="shared" si="30"/>
        <v>ORD26005245</v>
      </c>
      <c r="E686" s="38">
        <v>46269</v>
      </c>
      <c r="F686" s="23" t="s">
        <v>12410</v>
      </c>
      <c r="G686" s="23" t="s">
        <v>75</v>
      </c>
      <c r="H686" s="24">
        <v>1348</v>
      </c>
      <c r="I686" s="24">
        <v>0</v>
      </c>
      <c r="J686" s="24">
        <v>0</v>
      </c>
      <c r="K686" s="24">
        <v>1348</v>
      </c>
      <c r="L686" s="38">
        <v>46271</v>
      </c>
      <c r="M686" s="23" t="s">
        <v>188</v>
      </c>
      <c r="N686" s="23" t="str">
        <f>IF(COUNTIF($A$2:A686,A686)&gt;1,"DUP","OK")</f>
        <v>OK</v>
      </c>
      <c r="O686" s="23" t="str">
        <f t="shared" si="31"/>
        <v>ORD26005245</v>
      </c>
      <c r="P686" s="23" t="str">
        <f t="shared" si="32"/>
        <v>Sep</v>
      </c>
      <c r="Q686" s="23" t="str">
        <f>IF(F686="CAPTURE",IF(COUNTIF(orders!$A:$A,O686)&gt;0,"Yes","NO ORDER"),"")</f>
        <v>Yes</v>
      </c>
    </row>
    <row r="687" spans="1:17" ht="15" customHeight="1" x14ac:dyDescent="0.3">
      <c r="A687" s="23" t="s">
        <v>13210</v>
      </c>
      <c r="B687" s="23"/>
      <c r="C687" s="23" t="s">
        <v>10956</v>
      </c>
      <c r="D687" s="23" t="str">
        <f t="shared" si="30"/>
        <v>ORD26005259</v>
      </c>
      <c r="E687" s="38">
        <v>46269</v>
      </c>
      <c r="F687" s="23" t="s">
        <v>12410</v>
      </c>
      <c r="G687" s="23" t="s">
        <v>81</v>
      </c>
      <c r="H687" s="24">
        <v>1799</v>
      </c>
      <c r="I687" s="24">
        <v>26.99</v>
      </c>
      <c r="J687" s="24">
        <v>4.8600000000000003</v>
      </c>
      <c r="K687" s="24">
        <v>1767.15</v>
      </c>
      <c r="L687" s="38">
        <v>46271</v>
      </c>
      <c r="M687" s="23" t="s">
        <v>188</v>
      </c>
      <c r="N687" s="23" t="str">
        <f>IF(COUNTIF($A$2:A687,A687)&gt;1,"DUP","OK")</f>
        <v>OK</v>
      </c>
      <c r="O687" s="23" t="str">
        <f t="shared" si="31"/>
        <v>ORD26005259</v>
      </c>
      <c r="P687" s="23" t="str">
        <f t="shared" si="32"/>
        <v>Sep</v>
      </c>
      <c r="Q687" s="23" t="str">
        <f>IF(F687="CAPTURE",IF(COUNTIF(orders!$A:$A,O687)&gt;0,"Yes","NO ORDER"),"")</f>
        <v>Yes</v>
      </c>
    </row>
    <row r="688" spans="1:17" ht="15" customHeight="1" x14ac:dyDescent="0.3">
      <c r="A688" s="23" t="s">
        <v>13211</v>
      </c>
      <c r="B688" s="23"/>
      <c r="C688" s="23" t="s">
        <v>11025</v>
      </c>
      <c r="D688" s="23" t="str">
        <f t="shared" si="30"/>
        <v>ORD26005296</v>
      </c>
      <c r="E688" s="38">
        <v>46269</v>
      </c>
      <c r="F688" s="23" t="s">
        <v>12410</v>
      </c>
      <c r="G688" s="23" t="s">
        <v>75</v>
      </c>
      <c r="H688" s="24">
        <v>2499</v>
      </c>
      <c r="I688" s="24">
        <v>7.5</v>
      </c>
      <c r="J688" s="24">
        <v>1.35</v>
      </c>
      <c r="K688" s="24">
        <v>2490.15</v>
      </c>
      <c r="L688" s="38">
        <v>46271</v>
      </c>
      <c r="M688" s="23" t="s">
        <v>188</v>
      </c>
      <c r="N688" s="23" t="str">
        <f>IF(COUNTIF($A$2:A688,A688)&gt;1,"DUP","OK")</f>
        <v>OK</v>
      </c>
      <c r="O688" s="23" t="str">
        <f t="shared" si="31"/>
        <v>ORD26005296</v>
      </c>
      <c r="P688" s="23" t="str">
        <f t="shared" si="32"/>
        <v>Sep</v>
      </c>
      <c r="Q688" s="23" t="str">
        <f>IF(F688="CAPTURE",IF(COUNTIF(orders!$A:$A,O688)&gt;0,"Yes","NO ORDER"),"")</f>
        <v>Yes</v>
      </c>
    </row>
    <row r="689" spans="1:17" ht="15" customHeight="1" x14ac:dyDescent="0.3">
      <c r="A689" s="23" t="s">
        <v>13212</v>
      </c>
      <c r="B689" s="23"/>
      <c r="C689" s="23" t="s">
        <v>11037</v>
      </c>
      <c r="D689" s="23" t="str">
        <f t="shared" si="30"/>
        <v>ORD26005302</v>
      </c>
      <c r="E689" s="38">
        <v>46269</v>
      </c>
      <c r="F689" s="23" t="s">
        <v>12410</v>
      </c>
      <c r="G689" s="23" t="s">
        <v>75</v>
      </c>
      <c r="H689" s="24">
        <v>3348</v>
      </c>
      <c r="I689" s="24">
        <v>10.039999999999999</v>
      </c>
      <c r="J689" s="24">
        <v>1.81</v>
      </c>
      <c r="K689" s="24">
        <v>3336.15</v>
      </c>
      <c r="L689" s="38">
        <v>46271</v>
      </c>
      <c r="M689" s="23" t="s">
        <v>188</v>
      </c>
      <c r="N689" s="23" t="str">
        <f>IF(COUNTIF($A$2:A689,A689)&gt;1,"DUP","OK")</f>
        <v>OK</v>
      </c>
      <c r="O689" s="23" t="str">
        <f t="shared" si="31"/>
        <v>ORD26005302</v>
      </c>
      <c r="P689" s="23" t="str">
        <f t="shared" si="32"/>
        <v>Sep</v>
      </c>
      <c r="Q689" s="23" t="str">
        <f>IF(F689="CAPTURE",IF(COUNTIF(orders!$A:$A,O689)&gt;0,"Yes","NO ORDER"),"")</f>
        <v>Yes</v>
      </c>
    </row>
    <row r="690" spans="1:17" ht="15" customHeight="1" x14ac:dyDescent="0.3">
      <c r="A690" s="23" t="s">
        <v>13213</v>
      </c>
      <c r="B690" s="23"/>
      <c r="C690" s="23" t="s">
        <v>11073</v>
      </c>
      <c r="D690" s="23" t="str">
        <f t="shared" si="30"/>
        <v>ORD26005320</v>
      </c>
      <c r="E690" s="38">
        <v>46269</v>
      </c>
      <c r="F690" s="23" t="s">
        <v>12410</v>
      </c>
      <c r="G690" s="23" t="s">
        <v>75</v>
      </c>
      <c r="H690" s="24">
        <v>7498</v>
      </c>
      <c r="I690" s="24">
        <v>22.49</v>
      </c>
      <c r="J690" s="24">
        <v>4.05</v>
      </c>
      <c r="K690" s="24">
        <v>7471.46</v>
      </c>
      <c r="L690" s="38">
        <v>46271</v>
      </c>
      <c r="M690" s="23" t="s">
        <v>188</v>
      </c>
      <c r="N690" s="23" t="str">
        <f>IF(COUNTIF($A$2:A690,A690)&gt;1,"DUP","OK")</f>
        <v>OK</v>
      </c>
      <c r="O690" s="23" t="str">
        <f t="shared" si="31"/>
        <v>ORD26005320</v>
      </c>
      <c r="P690" s="23" t="str">
        <f t="shared" si="32"/>
        <v>Sep</v>
      </c>
      <c r="Q690" s="23" t="str">
        <f>IF(F690="CAPTURE",IF(COUNTIF(orders!$A:$A,O690)&gt;0,"Yes","NO ORDER"),"")</f>
        <v>Yes</v>
      </c>
    </row>
    <row r="691" spans="1:17" ht="15" customHeight="1" x14ac:dyDescent="0.3">
      <c r="A691" s="23" t="s">
        <v>13214</v>
      </c>
      <c r="B691" s="23"/>
      <c r="C691" s="23" t="s">
        <v>11118</v>
      </c>
      <c r="D691" s="23" t="str">
        <f t="shared" si="30"/>
        <v>ORD26005343</v>
      </c>
      <c r="E691" s="38">
        <v>46269</v>
      </c>
      <c r="F691" s="23" t="s">
        <v>12410</v>
      </c>
      <c r="G691" s="23" t="s">
        <v>79</v>
      </c>
      <c r="H691" s="24">
        <v>3798</v>
      </c>
      <c r="I691" s="24">
        <v>60.77</v>
      </c>
      <c r="J691" s="24">
        <v>10.94</v>
      </c>
      <c r="K691" s="24">
        <v>3726.29</v>
      </c>
      <c r="L691" s="38">
        <v>46271</v>
      </c>
      <c r="M691" s="23" t="s">
        <v>188</v>
      </c>
      <c r="N691" s="23" t="str">
        <f>IF(COUNTIF($A$2:A691,A691)&gt;1,"DUP","OK")</f>
        <v>OK</v>
      </c>
      <c r="O691" s="23" t="str">
        <f t="shared" si="31"/>
        <v>ORD26005343</v>
      </c>
      <c r="P691" s="23" t="str">
        <f t="shared" si="32"/>
        <v>Sep</v>
      </c>
      <c r="Q691" s="23" t="str">
        <f>IF(F691="CAPTURE",IF(COUNTIF(orders!$A:$A,O691)&gt;0,"Yes","NO ORDER"),"")</f>
        <v>Yes</v>
      </c>
    </row>
    <row r="692" spans="1:17" ht="15" customHeight="1" x14ac:dyDescent="0.3">
      <c r="A692" s="23" t="s">
        <v>13215</v>
      </c>
      <c r="B692" s="23"/>
      <c r="C692" s="23" t="s">
        <v>11156</v>
      </c>
      <c r="D692" s="23" t="str">
        <f t="shared" si="30"/>
        <v>ORD26005362</v>
      </c>
      <c r="E692" s="38">
        <v>46269</v>
      </c>
      <c r="F692" s="23" t="s">
        <v>12410</v>
      </c>
      <c r="G692" s="23" t="s">
        <v>79</v>
      </c>
      <c r="H692" s="24">
        <v>1499</v>
      </c>
      <c r="I692" s="24">
        <v>26.98</v>
      </c>
      <c r="J692" s="24">
        <v>4.8600000000000003</v>
      </c>
      <c r="K692" s="24">
        <v>1467.16</v>
      </c>
      <c r="L692" s="38">
        <v>46271</v>
      </c>
      <c r="M692" s="23" t="s">
        <v>188</v>
      </c>
      <c r="N692" s="23" t="str">
        <f>IF(COUNTIF($A$2:A692,A692)&gt;1,"DUP","OK")</f>
        <v>OK</v>
      </c>
      <c r="O692" s="23" t="str">
        <f t="shared" si="31"/>
        <v>ORD26005362</v>
      </c>
      <c r="P692" s="23" t="str">
        <f t="shared" si="32"/>
        <v>Sep</v>
      </c>
      <c r="Q692" s="23" t="str">
        <f>IF(F692="CAPTURE",IF(COUNTIF(orders!$A:$A,O692)&gt;0,"Yes","NO ORDER"),"")</f>
        <v>Yes</v>
      </c>
    </row>
    <row r="693" spans="1:17" ht="15" customHeight="1" x14ac:dyDescent="0.3">
      <c r="A693" s="23" t="s">
        <v>13216</v>
      </c>
      <c r="B693" s="23"/>
      <c r="C693" s="23" t="s">
        <v>11166</v>
      </c>
      <c r="D693" s="23" t="str">
        <f t="shared" si="30"/>
        <v>ORD26005367</v>
      </c>
      <c r="E693" s="38">
        <v>46269</v>
      </c>
      <c r="F693" s="23" t="s">
        <v>12410</v>
      </c>
      <c r="G693" s="23" t="s">
        <v>77</v>
      </c>
      <c r="H693" s="24">
        <v>15997</v>
      </c>
      <c r="I693" s="24">
        <v>271.95</v>
      </c>
      <c r="J693" s="24">
        <v>48.95</v>
      </c>
      <c r="K693" s="24">
        <v>15676.1</v>
      </c>
      <c r="L693" s="38">
        <v>46271</v>
      </c>
      <c r="M693" s="23" t="s">
        <v>188</v>
      </c>
      <c r="N693" s="23" t="str">
        <f>IF(COUNTIF($A$2:A693,A693)&gt;1,"DUP","OK")</f>
        <v>OK</v>
      </c>
      <c r="O693" s="23" t="str">
        <f t="shared" si="31"/>
        <v>ORD26005367</v>
      </c>
      <c r="P693" s="23" t="str">
        <f t="shared" si="32"/>
        <v>Sep</v>
      </c>
      <c r="Q693" s="23" t="str">
        <f>IF(F693="CAPTURE",IF(COUNTIF(orders!$A:$A,O693)&gt;0,"Yes","NO ORDER"),"")</f>
        <v>Yes</v>
      </c>
    </row>
    <row r="694" spans="1:17" ht="15" customHeight="1" x14ac:dyDescent="0.3">
      <c r="A694" s="23" t="s">
        <v>13217</v>
      </c>
      <c r="B694" s="23"/>
      <c r="C694" s="23" t="s">
        <v>13218</v>
      </c>
      <c r="D694" s="23" t="str">
        <f t="shared" si="30"/>
        <v>ORD26005450</v>
      </c>
      <c r="E694" s="38">
        <v>46269</v>
      </c>
      <c r="F694" s="23" t="s">
        <v>12410</v>
      </c>
      <c r="G694" s="23" t="s">
        <v>75</v>
      </c>
      <c r="H694" s="24">
        <v>999</v>
      </c>
      <c r="I694" s="24">
        <v>0</v>
      </c>
      <c r="J694" s="24">
        <v>0</v>
      </c>
      <c r="K694" s="24">
        <v>999</v>
      </c>
      <c r="L694" s="38">
        <v>46271</v>
      </c>
      <c r="M694" s="23" t="s">
        <v>188</v>
      </c>
      <c r="N694" s="23" t="str">
        <f>IF(COUNTIF($A$2:A694,A694)&gt;1,"DUP","OK")</f>
        <v>OK</v>
      </c>
      <c r="O694" s="23" t="str">
        <f t="shared" si="31"/>
        <v>ORD26005450</v>
      </c>
      <c r="P694" s="23" t="str">
        <f t="shared" si="32"/>
        <v>Sep</v>
      </c>
      <c r="Q694" s="23" t="str">
        <f>IF(F694="CAPTURE",IF(COUNTIF(orders!$A:$A,O694)&gt;0,"Yes","NO ORDER"),"")</f>
        <v>Yes</v>
      </c>
    </row>
    <row r="695" spans="1:17" ht="15" customHeight="1" x14ac:dyDescent="0.3">
      <c r="A695" s="23" t="s">
        <v>13219</v>
      </c>
      <c r="B695" s="23"/>
      <c r="C695" s="23" t="s">
        <v>11338</v>
      </c>
      <c r="D695" s="23" t="str">
        <f t="shared" si="30"/>
        <v>ORD26005454</v>
      </c>
      <c r="E695" s="38">
        <v>46269</v>
      </c>
      <c r="F695" s="23" t="s">
        <v>12410</v>
      </c>
      <c r="G695" s="23" t="s">
        <v>77</v>
      </c>
      <c r="H695" s="24">
        <v>4397</v>
      </c>
      <c r="I695" s="24">
        <v>105.53</v>
      </c>
      <c r="J695" s="24">
        <v>19</v>
      </c>
      <c r="K695" s="24">
        <v>4272.47</v>
      </c>
      <c r="L695" s="38">
        <v>46271</v>
      </c>
      <c r="M695" s="23" t="s">
        <v>188</v>
      </c>
      <c r="N695" s="23" t="str">
        <f>IF(COUNTIF($A$2:A695,A695)&gt;1,"DUP","OK")</f>
        <v>OK</v>
      </c>
      <c r="O695" s="23" t="str">
        <f t="shared" si="31"/>
        <v>ORD26005454</v>
      </c>
      <c r="P695" s="23" t="str">
        <f t="shared" si="32"/>
        <v>Sep</v>
      </c>
      <c r="Q695" s="23" t="str">
        <f>IF(F695="CAPTURE",IF(COUNTIF(orders!$A:$A,O695)&gt;0,"Yes","NO ORDER"),"")</f>
        <v>Yes</v>
      </c>
    </row>
    <row r="696" spans="1:17" ht="15" customHeight="1" x14ac:dyDescent="0.3">
      <c r="A696" s="23" t="s">
        <v>13220</v>
      </c>
      <c r="B696" s="23"/>
      <c r="C696" s="23" t="s">
        <v>11364</v>
      </c>
      <c r="D696" s="23" t="str">
        <f t="shared" si="30"/>
        <v>ORD26005467</v>
      </c>
      <c r="E696" s="38">
        <v>46269</v>
      </c>
      <c r="F696" s="23" t="s">
        <v>12410</v>
      </c>
      <c r="G696" s="23" t="s">
        <v>75</v>
      </c>
      <c r="H696" s="24">
        <v>7999</v>
      </c>
      <c r="I696" s="24">
        <v>24</v>
      </c>
      <c r="J696" s="24">
        <v>4.32</v>
      </c>
      <c r="K696" s="24">
        <v>7970.68</v>
      </c>
      <c r="L696" s="38">
        <v>46271</v>
      </c>
      <c r="M696" s="23" t="s">
        <v>188</v>
      </c>
      <c r="N696" s="23" t="str">
        <f>IF(COUNTIF($A$2:A696,A696)&gt;1,"DUP","OK")</f>
        <v>OK</v>
      </c>
      <c r="O696" s="23" t="str">
        <f t="shared" si="31"/>
        <v>ORD26005467</v>
      </c>
      <c r="P696" s="23" t="str">
        <f t="shared" si="32"/>
        <v>Sep</v>
      </c>
      <c r="Q696" s="23" t="str">
        <f>IF(F696="CAPTURE",IF(COUNTIF(orders!$A:$A,O696)&gt;0,"Yes","NO ORDER"),"")</f>
        <v>Yes</v>
      </c>
    </row>
    <row r="697" spans="1:17" ht="15" customHeight="1" x14ac:dyDescent="0.3">
      <c r="A697" s="23" t="s">
        <v>13221</v>
      </c>
      <c r="B697" s="23"/>
      <c r="C697" s="23" t="s">
        <v>11374</v>
      </c>
      <c r="D697" s="23" t="str">
        <f t="shared" si="30"/>
        <v>ORD26005472</v>
      </c>
      <c r="E697" s="38">
        <v>46269</v>
      </c>
      <c r="F697" s="23" t="s">
        <v>12410</v>
      </c>
      <c r="G697" s="23" t="s">
        <v>75</v>
      </c>
      <c r="H697" s="24">
        <v>6498</v>
      </c>
      <c r="I697" s="24">
        <v>19.489999999999998</v>
      </c>
      <c r="J697" s="24">
        <v>3.51</v>
      </c>
      <c r="K697" s="24">
        <v>6475</v>
      </c>
      <c r="L697" s="38">
        <v>46271</v>
      </c>
      <c r="M697" s="23" t="s">
        <v>188</v>
      </c>
      <c r="N697" s="23" t="str">
        <f>IF(COUNTIF($A$2:A697,A697)&gt;1,"DUP","OK")</f>
        <v>OK</v>
      </c>
      <c r="O697" s="23" t="str">
        <f t="shared" si="31"/>
        <v>ORD26005472</v>
      </c>
      <c r="P697" s="23" t="str">
        <f t="shared" si="32"/>
        <v>Sep</v>
      </c>
      <c r="Q697" s="23" t="str">
        <f>IF(F697="CAPTURE",IF(COUNTIF(orders!$A:$A,O697)&gt;0,"Yes","NO ORDER"),"")</f>
        <v>Yes</v>
      </c>
    </row>
    <row r="698" spans="1:17" ht="15" customHeight="1" x14ac:dyDescent="0.3">
      <c r="A698" s="23" t="s">
        <v>13222</v>
      </c>
      <c r="B698" s="23"/>
      <c r="C698" s="23" t="s">
        <v>11490</v>
      </c>
      <c r="D698" s="23" t="str">
        <f t="shared" si="30"/>
        <v>ORD26005532</v>
      </c>
      <c r="E698" s="38">
        <v>46269</v>
      </c>
      <c r="F698" s="23" t="s">
        <v>12410</v>
      </c>
      <c r="G698" s="23" t="s">
        <v>75</v>
      </c>
      <c r="H698" s="24">
        <v>8298</v>
      </c>
      <c r="I698" s="24">
        <v>24.89</v>
      </c>
      <c r="J698" s="24">
        <v>4.4800000000000004</v>
      </c>
      <c r="K698" s="24">
        <v>8268.6299999999992</v>
      </c>
      <c r="L698" s="38">
        <v>46271</v>
      </c>
      <c r="M698" s="23" t="s">
        <v>188</v>
      </c>
      <c r="N698" s="23" t="str">
        <f>IF(COUNTIF($A$2:A698,A698)&gt;1,"DUP","OK")</f>
        <v>OK</v>
      </c>
      <c r="O698" s="23" t="str">
        <f t="shared" si="31"/>
        <v>ORD26005532</v>
      </c>
      <c r="P698" s="23" t="str">
        <f t="shared" si="32"/>
        <v>Sep</v>
      </c>
      <c r="Q698" s="23" t="str">
        <f>IF(F698="CAPTURE",IF(COUNTIF(orders!$A:$A,O698)&gt;0,"Yes","NO ORDER"),"")</f>
        <v>Yes</v>
      </c>
    </row>
    <row r="699" spans="1:17" ht="15" customHeight="1" x14ac:dyDescent="0.3">
      <c r="A699" s="23" t="s">
        <v>13223</v>
      </c>
      <c r="B699" s="23"/>
      <c r="C699" s="23" t="s">
        <v>11559</v>
      </c>
      <c r="D699" s="23" t="str">
        <f t="shared" si="30"/>
        <v>ORD26005567</v>
      </c>
      <c r="E699" s="38">
        <v>46269</v>
      </c>
      <c r="F699" s="23" t="s">
        <v>12410</v>
      </c>
      <c r="G699" s="23" t="s">
        <v>75</v>
      </c>
      <c r="H699" s="24">
        <v>1299</v>
      </c>
      <c r="I699" s="24">
        <v>0</v>
      </c>
      <c r="J699" s="24">
        <v>0</v>
      </c>
      <c r="K699" s="24">
        <v>1299</v>
      </c>
      <c r="L699" s="38">
        <v>46271</v>
      </c>
      <c r="M699" s="23" t="s">
        <v>188</v>
      </c>
      <c r="N699" s="23" t="str">
        <f>IF(COUNTIF($A$2:A699,A699)&gt;1,"DUP","OK")</f>
        <v>OK</v>
      </c>
      <c r="O699" s="23" t="str">
        <f t="shared" si="31"/>
        <v>ORD26005567</v>
      </c>
      <c r="P699" s="23" t="str">
        <f t="shared" si="32"/>
        <v>Sep</v>
      </c>
      <c r="Q699" s="23" t="str">
        <f>IF(F699="CAPTURE",IF(COUNTIF(orders!$A:$A,O699)&gt;0,"Yes","NO ORDER"),"")</f>
        <v>Yes</v>
      </c>
    </row>
    <row r="700" spans="1:17" ht="15" customHeight="1" x14ac:dyDescent="0.3">
      <c r="A700" s="23" t="s">
        <v>13224</v>
      </c>
      <c r="B700" s="23"/>
      <c r="C700" s="23" t="s">
        <v>11599</v>
      </c>
      <c r="D700" s="23" t="str">
        <f t="shared" si="30"/>
        <v>ORD26005589</v>
      </c>
      <c r="E700" s="38">
        <v>46269</v>
      </c>
      <c r="F700" s="23" t="s">
        <v>12410</v>
      </c>
      <c r="G700" s="23" t="s">
        <v>81</v>
      </c>
      <c r="H700" s="24">
        <v>5348</v>
      </c>
      <c r="I700" s="24">
        <v>64.180000000000007</v>
      </c>
      <c r="J700" s="24">
        <v>11.55</v>
      </c>
      <c r="K700" s="24">
        <v>5272.27</v>
      </c>
      <c r="L700" s="38">
        <v>46271</v>
      </c>
      <c r="M700" s="23" t="s">
        <v>188</v>
      </c>
      <c r="N700" s="23" t="str">
        <f>IF(COUNTIF($A$2:A700,A700)&gt;1,"DUP","OK")</f>
        <v>OK</v>
      </c>
      <c r="O700" s="23" t="str">
        <f t="shared" si="31"/>
        <v>ORD26005589</v>
      </c>
      <c r="P700" s="23" t="str">
        <f t="shared" si="32"/>
        <v>Sep</v>
      </c>
      <c r="Q700" s="23" t="str">
        <f>IF(F700="CAPTURE",IF(COUNTIF(orders!$A:$A,O700)&gt;0,"Yes","NO ORDER"),"")</f>
        <v>Yes</v>
      </c>
    </row>
    <row r="701" spans="1:17" ht="15" customHeight="1" x14ac:dyDescent="0.3">
      <c r="A701" s="23" t="s">
        <v>13225</v>
      </c>
      <c r="B701" s="23"/>
      <c r="C701" s="23" t="s">
        <v>11613</v>
      </c>
      <c r="D701" s="23" t="str">
        <f t="shared" si="30"/>
        <v>ORD26005596</v>
      </c>
      <c r="E701" s="38">
        <v>46269</v>
      </c>
      <c r="F701" s="23" t="s">
        <v>12410</v>
      </c>
      <c r="G701" s="23" t="s">
        <v>79</v>
      </c>
      <c r="H701" s="24">
        <v>999</v>
      </c>
      <c r="I701" s="24">
        <v>17.98</v>
      </c>
      <c r="J701" s="24">
        <v>3.24</v>
      </c>
      <c r="K701" s="24">
        <v>977.78</v>
      </c>
      <c r="L701" s="38">
        <v>46271</v>
      </c>
      <c r="M701" s="23" t="s">
        <v>188</v>
      </c>
      <c r="N701" s="23" t="str">
        <f>IF(COUNTIF($A$2:A701,A701)&gt;1,"DUP","OK")</f>
        <v>OK</v>
      </c>
      <c r="O701" s="23" t="str">
        <f t="shared" si="31"/>
        <v>ORD26005596</v>
      </c>
      <c r="P701" s="23" t="str">
        <f t="shared" si="32"/>
        <v>Sep</v>
      </c>
      <c r="Q701" s="23" t="str">
        <f>IF(F701="CAPTURE",IF(COUNTIF(orders!$A:$A,O701)&gt;0,"Yes","NO ORDER"),"")</f>
        <v>Yes</v>
      </c>
    </row>
    <row r="702" spans="1:17" ht="15" customHeight="1" x14ac:dyDescent="0.3">
      <c r="A702" s="23" t="s">
        <v>13226</v>
      </c>
      <c r="B702" s="23"/>
      <c r="C702" s="23" t="s">
        <v>11632</v>
      </c>
      <c r="D702" s="23" t="str">
        <f t="shared" si="30"/>
        <v>ORD26005605</v>
      </c>
      <c r="E702" s="38">
        <v>46269</v>
      </c>
      <c r="F702" s="23" t="s">
        <v>12410</v>
      </c>
      <c r="G702" s="23" t="s">
        <v>75</v>
      </c>
      <c r="H702" s="24">
        <v>599</v>
      </c>
      <c r="I702" s="24">
        <v>0</v>
      </c>
      <c r="J702" s="24">
        <v>0</v>
      </c>
      <c r="K702" s="24">
        <v>599</v>
      </c>
      <c r="L702" s="38">
        <v>46271</v>
      </c>
      <c r="M702" s="23" t="s">
        <v>188</v>
      </c>
      <c r="N702" s="23" t="str">
        <f>IF(COUNTIF($A$2:A702,A702)&gt;1,"DUP","OK")</f>
        <v>OK</v>
      </c>
      <c r="O702" s="23" t="str">
        <f t="shared" si="31"/>
        <v>ORD26005605</v>
      </c>
      <c r="P702" s="23" t="str">
        <f t="shared" si="32"/>
        <v>Sep</v>
      </c>
      <c r="Q702" s="23" t="str">
        <f>IF(F702="CAPTURE",IF(COUNTIF(orders!$A:$A,O702)&gt;0,"Yes","NO ORDER"),"")</f>
        <v>Yes</v>
      </c>
    </row>
    <row r="703" spans="1:17" ht="15" customHeight="1" x14ac:dyDescent="0.3">
      <c r="A703" s="23" t="s">
        <v>13227</v>
      </c>
      <c r="B703" s="23"/>
      <c r="C703" s="23" t="s">
        <v>11644</v>
      </c>
      <c r="D703" s="23" t="str">
        <f t="shared" si="30"/>
        <v>ORD26005611</v>
      </c>
      <c r="E703" s="38">
        <v>46269</v>
      </c>
      <c r="F703" s="23" t="s">
        <v>12410</v>
      </c>
      <c r="G703" s="23" t="s">
        <v>79</v>
      </c>
      <c r="H703" s="24">
        <v>349</v>
      </c>
      <c r="I703" s="24">
        <v>6.28</v>
      </c>
      <c r="J703" s="24">
        <v>1.1299999999999999</v>
      </c>
      <c r="K703" s="24">
        <v>341.59</v>
      </c>
      <c r="L703" s="38">
        <v>46271</v>
      </c>
      <c r="M703" s="23" t="s">
        <v>188</v>
      </c>
      <c r="N703" s="23" t="str">
        <f>IF(COUNTIF($A$2:A703,A703)&gt;1,"DUP","OK")</f>
        <v>OK</v>
      </c>
      <c r="O703" s="23" t="str">
        <f t="shared" si="31"/>
        <v>ORD26005611</v>
      </c>
      <c r="P703" s="23" t="str">
        <f t="shared" si="32"/>
        <v>Sep</v>
      </c>
      <c r="Q703" s="23" t="str">
        <f>IF(F703="CAPTURE",IF(COUNTIF(orders!$A:$A,O703)&gt;0,"Yes","NO ORDER"),"")</f>
        <v>Yes</v>
      </c>
    </row>
    <row r="704" spans="1:17" ht="15" customHeight="1" x14ac:dyDescent="0.3">
      <c r="A704" s="23" t="s">
        <v>13228</v>
      </c>
      <c r="B704" s="23"/>
      <c r="C704" s="23" t="s">
        <v>11660</v>
      </c>
      <c r="D704" s="23" t="str">
        <f t="shared" si="30"/>
        <v>ORD26005619</v>
      </c>
      <c r="E704" s="38">
        <v>46269</v>
      </c>
      <c r="F704" s="23" t="s">
        <v>12410</v>
      </c>
      <c r="G704" s="23" t="s">
        <v>79</v>
      </c>
      <c r="H704" s="24">
        <v>599</v>
      </c>
      <c r="I704" s="24">
        <v>10.78</v>
      </c>
      <c r="J704" s="24">
        <v>1.94</v>
      </c>
      <c r="K704" s="24">
        <v>586.28</v>
      </c>
      <c r="L704" s="38">
        <v>46271</v>
      </c>
      <c r="M704" s="23" t="s">
        <v>188</v>
      </c>
      <c r="N704" s="23" t="str">
        <f>IF(COUNTIF($A$2:A704,A704)&gt;1,"DUP","OK")</f>
        <v>OK</v>
      </c>
      <c r="O704" s="23" t="str">
        <f t="shared" si="31"/>
        <v>ORD26005619</v>
      </c>
      <c r="P704" s="23" t="str">
        <f t="shared" si="32"/>
        <v>Sep</v>
      </c>
      <c r="Q704" s="23" t="str">
        <f>IF(F704="CAPTURE",IF(COUNTIF(orders!$A:$A,O704)&gt;0,"Yes","NO ORDER"),"")</f>
        <v>Yes</v>
      </c>
    </row>
    <row r="705" spans="1:17" ht="15" customHeight="1" x14ac:dyDescent="0.3">
      <c r="A705" s="23" t="s">
        <v>13229</v>
      </c>
      <c r="B705" s="23"/>
      <c r="C705" s="23" t="s">
        <v>13230</v>
      </c>
      <c r="D705" s="23" t="str">
        <f t="shared" si="30"/>
        <v>ORD26005621</v>
      </c>
      <c r="E705" s="38">
        <v>46269</v>
      </c>
      <c r="F705" s="23" t="s">
        <v>12410</v>
      </c>
      <c r="G705" s="23" t="s">
        <v>75</v>
      </c>
      <c r="H705" s="24">
        <v>1299</v>
      </c>
      <c r="I705" s="24">
        <v>0</v>
      </c>
      <c r="J705" s="24">
        <v>0</v>
      </c>
      <c r="K705" s="24">
        <v>1299</v>
      </c>
      <c r="L705" s="38">
        <v>46271</v>
      </c>
      <c r="M705" s="23" t="s">
        <v>188</v>
      </c>
      <c r="N705" s="23" t="str">
        <f>IF(COUNTIF($A$2:A705,A705)&gt;1,"DUP","OK")</f>
        <v>OK</v>
      </c>
      <c r="O705" s="23" t="str">
        <f t="shared" si="31"/>
        <v>ORD26005621</v>
      </c>
      <c r="P705" s="23" t="str">
        <f t="shared" si="32"/>
        <v>Sep</v>
      </c>
      <c r="Q705" s="23" t="str">
        <f>IF(F705="CAPTURE",IF(COUNTIF(orders!$A:$A,O705)&gt;0,"Yes","NO ORDER"),"")</f>
        <v>Yes</v>
      </c>
    </row>
    <row r="706" spans="1:17" ht="15" customHeight="1" x14ac:dyDescent="0.3">
      <c r="A706" s="23" t="s">
        <v>13231</v>
      </c>
      <c r="B706" s="23"/>
      <c r="C706" s="23" t="s">
        <v>11740</v>
      </c>
      <c r="D706" s="23" t="str">
        <f t="shared" ref="D706:D769" si="33">UPPER(SUBSTITUTE(TRIM(C706),"-",""))</f>
        <v>ORD26005660</v>
      </c>
      <c r="E706" s="38">
        <v>46269</v>
      </c>
      <c r="F706" s="23" t="s">
        <v>12410</v>
      </c>
      <c r="G706" s="23" t="s">
        <v>75</v>
      </c>
      <c r="H706" s="24">
        <v>1799</v>
      </c>
      <c r="I706" s="24">
        <v>0</v>
      </c>
      <c r="J706" s="24">
        <v>0</v>
      </c>
      <c r="K706" s="24">
        <v>1799</v>
      </c>
      <c r="L706" s="38">
        <v>46271</v>
      </c>
      <c r="M706" s="23" t="s">
        <v>188</v>
      </c>
      <c r="N706" s="23" t="str">
        <f>IF(COUNTIF($A$2:A706,A706)&gt;1,"DUP","OK")</f>
        <v>OK</v>
      </c>
      <c r="O706" s="23" t="str">
        <f t="shared" ref="O706:O769" si="34">IF(F706="REFUND",INDEX($D:$D,MATCH(B706,$A:$A,0)),D706)</f>
        <v>ORD26005660</v>
      </c>
      <c r="P706" s="23" t="str">
        <f t="shared" ref="P706:P769" si="35">IF(L706&gt;DATE(2026,9,30),"Oct-Due","Sep")</f>
        <v>Sep</v>
      </c>
      <c r="Q706" s="23" t="str">
        <f>IF(F706="CAPTURE",IF(COUNTIF(orders!$A:$A,O706)&gt;0,"Yes","NO ORDER"),"")</f>
        <v>Yes</v>
      </c>
    </row>
    <row r="707" spans="1:17" ht="15" customHeight="1" x14ac:dyDescent="0.3">
      <c r="A707" s="23" t="s">
        <v>13232</v>
      </c>
      <c r="B707" s="23"/>
      <c r="C707" s="23" t="s">
        <v>11819</v>
      </c>
      <c r="D707" s="23" t="str">
        <f t="shared" si="33"/>
        <v>ORD26005701</v>
      </c>
      <c r="E707" s="38">
        <v>46269</v>
      </c>
      <c r="F707" s="23" t="s">
        <v>12410</v>
      </c>
      <c r="G707" s="23" t="s">
        <v>75</v>
      </c>
      <c r="H707" s="24">
        <v>2998</v>
      </c>
      <c r="I707" s="24">
        <v>8.99</v>
      </c>
      <c r="J707" s="24">
        <v>1.62</v>
      </c>
      <c r="K707" s="24">
        <v>2987.39</v>
      </c>
      <c r="L707" s="38">
        <v>46271</v>
      </c>
      <c r="M707" s="23" t="s">
        <v>188</v>
      </c>
      <c r="N707" s="23" t="str">
        <f>IF(COUNTIF($A$2:A707,A707)&gt;1,"DUP","OK")</f>
        <v>OK</v>
      </c>
      <c r="O707" s="23" t="str">
        <f t="shared" si="34"/>
        <v>ORD26005701</v>
      </c>
      <c r="P707" s="23" t="str">
        <f t="shared" si="35"/>
        <v>Sep</v>
      </c>
      <c r="Q707" s="23" t="str">
        <f>IF(F707="CAPTURE",IF(COUNTIF(orders!$A:$A,O707)&gt;0,"Yes","NO ORDER"),"")</f>
        <v>Yes</v>
      </c>
    </row>
    <row r="708" spans="1:17" ht="15" customHeight="1" x14ac:dyDescent="0.3">
      <c r="A708" s="23" t="s">
        <v>13233</v>
      </c>
      <c r="B708" s="23"/>
      <c r="C708" s="23" t="s">
        <v>11833</v>
      </c>
      <c r="D708" s="23" t="str">
        <f t="shared" si="33"/>
        <v>ORD26005708</v>
      </c>
      <c r="E708" s="38">
        <v>46269</v>
      </c>
      <c r="F708" s="23" t="s">
        <v>12410</v>
      </c>
      <c r="G708" s="23" t="s">
        <v>79</v>
      </c>
      <c r="H708" s="24">
        <v>1247</v>
      </c>
      <c r="I708" s="24">
        <v>22.45</v>
      </c>
      <c r="J708" s="24">
        <v>4.04</v>
      </c>
      <c r="K708" s="24">
        <v>1220.51</v>
      </c>
      <c r="L708" s="38">
        <v>46271</v>
      </c>
      <c r="M708" s="23" t="s">
        <v>188</v>
      </c>
      <c r="N708" s="23" t="str">
        <f>IF(COUNTIF($A$2:A708,A708)&gt;1,"DUP","OK")</f>
        <v>OK</v>
      </c>
      <c r="O708" s="23" t="str">
        <f t="shared" si="34"/>
        <v>ORD26005708</v>
      </c>
      <c r="P708" s="23" t="str">
        <f t="shared" si="35"/>
        <v>Sep</v>
      </c>
      <c r="Q708" s="23" t="str">
        <f>IF(F708="CAPTURE",IF(COUNTIF(orders!$A:$A,O708)&gt;0,"Yes","NO ORDER"),"")</f>
        <v>Yes</v>
      </c>
    </row>
    <row r="709" spans="1:17" ht="15" customHeight="1" x14ac:dyDescent="0.3">
      <c r="A709" s="23" t="s">
        <v>13234</v>
      </c>
      <c r="B709" s="23"/>
      <c r="C709" s="23" t="s">
        <v>11848</v>
      </c>
      <c r="D709" s="23" t="str">
        <f t="shared" si="33"/>
        <v>ORD26005716</v>
      </c>
      <c r="E709" s="38">
        <v>46269</v>
      </c>
      <c r="F709" s="23" t="s">
        <v>12410</v>
      </c>
      <c r="G709" s="23" t="s">
        <v>79</v>
      </c>
      <c r="H709" s="24">
        <v>3499</v>
      </c>
      <c r="I709" s="24">
        <v>55.98</v>
      </c>
      <c r="J709" s="24">
        <v>10.08</v>
      </c>
      <c r="K709" s="24">
        <v>3432.94</v>
      </c>
      <c r="L709" s="38">
        <v>46271</v>
      </c>
      <c r="M709" s="23" t="s">
        <v>188</v>
      </c>
      <c r="N709" s="23" t="str">
        <f>IF(COUNTIF($A$2:A709,A709)&gt;1,"DUP","OK")</f>
        <v>OK</v>
      </c>
      <c r="O709" s="23" t="str">
        <f t="shared" si="34"/>
        <v>ORD26005716</v>
      </c>
      <c r="P709" s="23" t="str">
        <f t="shared" si="35"/>
        <v>Sep</v>
      </c>
      <c r="Q709" s="23" t="str">
        <f>IF(F709="CAPTURE",IF(COUNTIF(orders!$A:$A,O709)&gt;0,"Yes","NO ORDER"),"")</f>
        <v>Yes</v>
      </c>
    </row>
    <row r="710" spans="1:17" ht="15" customHeight="1" x14ac:dyDescent="0.3">
      <c r="A710" s="23" t="s">
        <v>13235</v>
      </c>
      <c r="B710" s="23"/>
      <c r="C710" s="23" t="s">
        <v>13236</v>
      </c>
      <c r="D710" s="23" t="str">
        <f t="shared" si="33"/>
        <v>ORD26005724</v>
      </c>
      <c r="E710" s="38">
        <v>46269</v>
      </c>
      <c r="F710" s="23" t="s">
        <v>12410</v>
      </c>
      <c r="G710" s="23" t="s">
        <v>81</v>
      </c>
      <c r="H710" s="24">
        <v>7999</v>
      </c>
      <c r="I710" s="24">
        <v>95.99</v>
      </c>
      <c r="J710" s="24">
        <v>17.28</v>
      </c>
      <c r="K710" s="24">
        <v>7885.73</v>
      </c>
      <c r="L710" s="38">
        <v>46271</v>
      </c>
      <c r="M710" s="23" t="s">
        <v>188</v>
      </c>
      <c r="N710" s="23" t="str">
        <f>IF(COUNTIF($A$2:A710,A710)&gt;1,"DUP","OK")</f>
        <v>OK</v>
      </c>
      <c r="O710" s="23" t="str">
        <f t="shared" si="34"/>
        <v>ORD26005724</v>
      </c>
      <c r="P710" s="23" t="str">
        <f t="shared" si="35"/>
        <v>Sep</v>
      </c>
      <c r="Q710" s="23" t="str">
        <f>IF(F710="CAPTURE",IF(COUNTIF(orders!$A:$A,O710)&gt;0,"Yes","NO ORDER"),"")</f>
        <v>Yes</v>
      </c>
    </row>
    <row r="711" spans="1:17" ht="15" customHeight="1" x14ac:dyDescent="0.3">
      <c r="A711" s="23" t="s">
        <v>13237</v>
      </c>
      <c r="B711" s="23"/>
      <c r="C711" s="23" t="s">
        <v>11921</v>
      </c>
      <c r="D711" s="23" t="str">
        <f t="shared" si="33"/>
        <v>ORD26005753</v>
      </c>
      <c r="E711" s="38">
        <v>46269</v>
      </c>
      <c r="F711" s="23" t="s">
        <v>12410</v>
      </c>
      <c r="G711" s="23" t="s">
        <v>75</v>
      </c>
      <c r="H711" s="24">
        <v>1799</v>
      </c>
      <c r="I711" s="24">
        <v>0</v>
      </c>
      <c r="J711" s="24">
        <v>0</v>
      </c>
      <c r="K711" s="24">
        <v>1799</v>
      </c>
      <c r="L711" s="38">
        <v>46271</v>
      </c>
      <c r="M711" s="23" t="s">
        <v>188</v>
      </c>
      <c r="N711" s="23" t="str">
        <f>IF(COUNTIF($A$2:A711,A711)&gt;1,"DUP","OK")</f>
        <v>OK</v>
      </c>
      <c r="O711" s="23" t="str">
        <f t="shared" si="34"/>
        <v>ORD26005753</v>
      </c>
      <c r="P711" s="23" t="str">
        <f t="shared" si="35"/>
        <v>Sep</v>
      </c>
      <c r="Q711" s="23" t="str">
        <f>IF(F711="CAPTURE",IF(COUNTIF(orders!$A:$A,O711)&gt;0,"Yes","NO ORDER"),"")</f>
        <v>Yes</v>
      </c>
    </row>
    <row r="712" spans="1:17" ht="15" customHeight="1" x14ac:dyDescent="0.3">
      <c r="A712" s="23" t="s">
        <v>13238</v>
      </c>
      <c r="B712" s="23"/>
      <c r="C712" s="23" t="s">
        <v>12050</v>
      </c>
      <c r="D712" s="23" t="str">
        <f t="shared" si="33"/>
        <v>ORD26005819</v>
      </c>
      <c r="E712" s="38">
        <v>46269</v>
      </c>
      <c r="F712" s="23" t="s">
        <v>12410</v>
      </c>
      <c r="G712" s="23" t="s">
        <v>75</v>
      </c>
      <c r="H712" s="24">
        <v>2499</v>
      </c>
      <c r="I712" s="24">
        <v>7.5</v>
      </c>
      <c r="J712" s="24">
        <v>1.35</v>
      </c>
      <c r="K712" s="24">
        <v>2490.15</v>
      </c>
      <c r="L712" s="38">
        <v>46271</v>
      </c>
      <c r="M712" s="23" t="s">
        <v>188</v>
      </c>
      <c r="N712" s="23" t="str">
        <f>IF(COUNTIF($A$2:A712,A712)&gt;1,"DUP","OK")</f>
        <v>OK</v>
      </c>
      <c r="O712" s="23" t="str">
        <f t="shared" si="34"/>
        <v>ORD26005819</v>
      </c>
      <c r="P712" s="23" t="str">
        <f t="shared" si="35"/>
        <v>Sep</v>
      </c>
      <c r="Q712" s="23" t="str">
        <f>IF(F712="CAPTURE",IF(COUNTIF(orders!$A:$A,O712)&gt;0,"Yes","NO ORDER"),"")</f>
        <v>Yes</v>
      </c>
    </row>
    <row r="713" spans="1:17" ht="15" customHeight="1" x14ac:dyDescent="0.3">
      <c r="A713" s="23" t="s">
        <v>13239</v>
      </c>
      <c r="B713" s="23"/>
      <c r="C713" s="23" t="s">
        <v>12060</v>
      </c>
      <c r="D713" s="23" t="str">
        <f t="shared" si="33"/>
        <v>ORD26005824</v>
      </c>
      <c r="E713" s="38">
        <v>46269</v>
      </c>
      <c r="F713" s="23" t="s">
        <v>12410</v>
      </c>
      <c r="G713" s="23" t="s">
        <v>79</v>
      </c>
      <c r="H713" s="24">
        <v>1299</v>
      </c>
      <c r="I713" s="24">
        <v>23.38</v>
      </c>
      <c r="J713" s="24">
        <v>4.21</v>
      </c>
      <c r="K713" s="24">
        <v>1271.4100000000001</v>
      </c>
      <c r="L713" s="38">
        <v>46271</v>
      </c>
      <c r="M713" s="23" t="s">
        <v>188</v>
      </c>
      <c r="N713" s="23" t="str">
        <f>IF(COUNTIF($A$2:A713,A713)&gt;1,"DUP","OK")</f>
        <v>OK</v>
      </c>
      <c r="O713" s="23" t="str">
        <f t="shared" si="34"/>
        <v>ORD26005824</v>
      </c>
      <c r="P713" s="23" t="str">
        <f t="shared" si="35"/>
        <v>Sep</v>
      </c>
      <c r="Q713" s="23" t="str">
        <f>IF(F713="CAPTURE",IF(COUNTIF(orders!$A:$A,O713)&gt;0,"Yes","NO ORDER"),"")</f>
        <v>Yes</v>
      </c>
    </row>
    <row r="714" spans="1:17" ht="15" customHeight="1" x14ac:dyDescent="0.3">
      <c r="A714" s="23" t="s">
        <v>13240</v>
      </c>
      <c r="B714" s="23"/>
      <c r="C714" s="23" t="s">
        <v>13241</v>
      </c>
      <c r="D714" s="23" t="str">
        <f t="shared" si="33"/>
        <v>ORD26005930</v>
      </c>
      <c r="E714" s="38">
        <v>46269</v>
      </c>
      <c r="F714" s="23" t="s">
        <v>12410</v>
      </c>
      <c r="G714" s="23" t="s">
        <v>75</v>
      </c>
      <c r="H714" s="24">
        <v>948</v>
      </c>
      <c r="I714" s="24">
        <v>0</v>
      </c>
      <c r="J714" s="24">
        <v>0</v>
      </c>
      <c r="K714" s="24">
        <v>948</v>
      </c>
      <c r="L714" s="38">
        <v>46271</v>
      </c>
      <c r="M714" s="23" t="s">
        <v>188</v>
      </c>
      <c r="N714" s="23" t="str">
        <f>IF(COUNTIF($A$2:A714,A714)&gt;1,"DUP","OK")</f>
        <v>OK</v>
      </c>
      <c r="O714" s="23" t="str">
        <f t="shared" si="34"/>
        <v>ORD26005930</v>
      </c>
      <c r="P714" s="23" t="str">
        <f t="shared" si="35"/>
        <v>Sep</v>
      </c>
      <c r="Q714" s="23" t="str">
        <f>IF(F714="CAPTURE",IF(COUNTIF(orders!$A:$A,O714)&gt;0,"Yes","NO ORDER"),"")</f>
        <v>Yes</v>
      </c>
    </row>
    <row r="715" spans="1:17" ht="15" customHeight="1" x14ac:dyDescent="0.3">
      <c r="A715" s="23" t="s">
        <v>13242</v>
      </c>
      <c r="B715" s="23"/>
      <c r="C715" s="23" t="s">
        <v>12278</v>
      </c>
      <c r="D715" s="23" t="str">
        <f t="shared" si="33"/>
        <v>ORD26005940</v>
      </c>
      <c r="E715" s="38">
        <v>46269</v>
      </c>
      <c r="F715" s="23" t="s">
        <v>12410</v>
      </c>
      <c r="G715" s="23" t="s">
        <v>79</v>
      </c>
      <c r="H715" s="24">
        <v>349</v>
      </c>
      <c r="I715" s="24">
        <v>6.28</v>
      </c>
      <c r="J715" s="24">
        <v>1.1299999999999999</v>
      </c>
      <c r="K715" s="24">
        <v>341.59</v>
      </c>
      <c r="L715" s="38">
        <v>46271</v>
      </c>
      <c r="M715" s="23" t="s">
        <v>188</v>
      </c>
      <c r="N715" s="23" t="str">
        <f>IF(COUNTIF($A$2:A715,A715)&gt;1,"DUP","OK")</f>
        <v>OK</v>
      </c>
      <c r="O715" s="23" t="str">
        <f t="shared" si="34"/>
        <v>ORD26005940</v>
      </c>
      <c r="P715" s="23" t="str">
        <f t="shared" si="35"/>
        <v>Sep</v>
      </c>
      <c r="Q715" s="23" t="str">
        <f>IF(F715="CAPTURE",IF(COUNTIF(orders!$A:$A,O715)&gt;0,"Yes","NO ORDER"),"")</f>
        <v>Yes</v>
      </c>
    </row>
    <row r="716" spans="1:17" ht="15" customHeight="1" x14ac:dyDescent="0.3">
      <c r="A716" s="23" t="s">
        <v>13243</v>
      </c>
      <c r="B716" s="23"/>
      <c r="C716" s="23" t="s">
        <v>12382</v>
      </c>
      <c r="D716" s="23" t="str">
        <f t="shared" si="33"/>
        <v>ORD26005995</v>
      </c>
      <c r="E716" s="38">
        <v>46269</v>
      </c>
      <c r="F716" s="23" t="s">
        <v>12410</v>
      </c>
      <c r="G716" s="23" t="s">
        <v>75</v>
      </c>
      <c r="H716" s="24">
        <v>349</v>
      </c>
      <c r="I716" s="24">
        <v>0</v>
      </c>
      <c r="J716" s="24">
        <v>0</v>
      </c>
      <c r="K716" s="24">
        <v>349</v>
      </c>
      <c r="L716" s="38">
        <v>46271</v>
      </c>
      <c r="M716" s="23" t="s">
        <v>188</v>
      </c>
      <c r="N716" s="23" t="str">
        <f>IF(COUNTIF($A$2:A716,A716)&gt;1,"DUP","OK")</f>
        <v>OK</v>
      </c>
      <c r="O716" s="23" t="str">
        <f t="shared" si="34"/>
        <v>ORD26005995</v>
      </c>
      <c r="P716" s="23" t="str">
        <f t="shared" si="35"/>
        <v>Sep</v>
      </c>
      <c r="Q716" s="23" t="str">
        <f>IF(F716="CAPTURE",IF(COUNTIF(orders!$A:$A,O716)&gt;0,"Yes","NO ORDER"),"")</f>
        <v>Yes</v>
      </c>
    </row>
    <row r="717" spans="1:17" ht="15" customHeight="1" x14ac:dyDescent="0.3">
      <c r="A717" s="23" t="s">
        <v>13244</v>
      </c>
      <c r="B717" s="23"/>
      <c r="C717" s="23" t="s">
        <v>12388</v>
      </c>
      <c r="D717" s="23" t="str">
        <f t="shared" si="33"/>
        <v>ORD26005998</v>
      </c>
      <c r="E717" s="38">
        <v>46269</v>
      </c>
      <c r="F717" s="23" t="s">
        <v>12410</v>
      </c>
      <c r="G717" s="23" t="s">
        <v>75</v>
      </c>
      <c r="H717" s="24">
        <v>349</v>
      </c>
      <c r="I717" s="24">
        <v>0</v>
      </c>
      <c r="J717" s="24">
        <v>0</v>
      </c>
      <c r="K717" s="24">
        <v>349</v>
      </c>
      <c r="L717" s="38">
        <v>46271</v>
      </c>
      <c r="M717" s="23" t="s">
        <v>188</v>
      </c>
      <c r="N717" s="23" t="str">
        <f>IF(COUNTIF($A$2:A717,A717)&gt;1,"DUP","OK")</f>
        <v>OK</v>
      </c>
      <c r="O717" s="23" t="str">
        <f t="shared" si="34"/>
        <v>ORD26005998</v>
      </c>
      <c r="P717" s="23" t="str">
        <f t="shared" si="35"/>
        <v>Sep</v>
      </c>
      <c r="Q717" s="23" t="str">
        <f>IF(F717="CAPTURE",IF(COUNTIF(orders!$A:$A,O717)&gt;0,"Yes","NO ORDER"),"")</f>
        <v>Yes</v>
      </c>
    </row>
    <row r="718" spans="1:17" ht="15" customHeight="1" x14ac:dyDescent="0.3">
      <c r="A718" s="23" t="s">
        <v>13245</v>
      </c>
      <c r="B718" s="23" t="s">
        <v>12899</v>
      </c>
      <c r="C718" s="23"/>
      <c r="D718" s="23" t="str">
        <f t="shared" si="33"/>
        <v/>
      </c>
      <c r="E718" s="38">
        <v>46269</v>
      </c>
      <c r="F718" s="23" t="s">
        <v>12791</v>
      </c>
      <c r="G718" s="23" t="s">
        <v>75</v>
      </c>
      <c r="H718" s="24">
        <v>5998</v>
      </c>
      <c r="I718" s="24">
        <v>0</v>
      </c>
      <c r="J718" s="24">
        <v>0</v>
      </c>
      <c r="K718" s="24">
        <v>-5998</v>
      </c>
      <c r="L718" s="38">
        <v>46271</v>
      </c>
      <c r="M718" s="23" t="s">
        <v>188</v>
      </c>
      <c r="N718" s="23" t="str">
        <f>IF(COUNTIF($A$2:A718,A718)&gt;1,"DUP","OK")</f>
        <v>OK</v>
      </c>
      <c r="O718" s="23" t="str">
        <f t="shared" si="34"/>
        <v>ORD26002995</v>
      </c>
      <c r="P718" s="23" t="str">
        <f t="shared" si="35"/>
        <v>Sep</v>
      </c>
      <c r="Q718" s="23" t="str">
        <f>IF(F718="CAPTURE",IF(COUNTIF(orders!$A:$A,O718)&gt;0,"Yes","NO ORDER"),"")</f>
        <v/>
      </c>
    </row>
    <row r="719" spans="1:17" ht="15" customHeight="1" x14ac:dyDescent="0.3">
      <c r="A719" s="23" t="s">
        <v>13246</v>
      </c>
      <c r="B719" s="23" t="s">
        <v>12952</v>
      </c>
      <c r="C719" s="23"/>
      <c r="D719" s="23" t="str">
        <f t="shared" si="33"/>
        <v/>
      </c>
      <c r="E719" s="38">
        <v>46269</v>
      </c>
      <c r="F719" s="23" t="s">
        <v>12791</v>
      </c>
      <c r="G719" s="23" t="s">
        <v>79</v>
      </c>
      <c r="H719" s="24">
        <v>7999</v>
      </c>
      <c r="I719" s="24">
        <v>0</v>
      </c>
      <c r="J719" s="24">
        <v>0</v>
      </c>
      <c r="K719" s="24">
        <v>-7999</v>
      </c>
      <c r="L719" s="38">
        <v>46271</v>
      </c>
      <c r="M719" s="23" t="s">
        <v>188</v>
      </c>
      <c r="N719" s="23" t="str">
        <f>IF(COUNTIF($A$2:A719,A719)&gt;1,"DUP","OK")</f>
        <v>OK</v>
      </c>
      <c r="O719" s="23" t="str">
        <f t="shared" si="34"/>
        <v>ORD26004177</v>
      </c>
      <c r="P719" s="23" t="str">
        <f t="shared" si="35"/>
        <v>Sep</v>
      </c>
      <c r="Q719" s="23" t="str">
        <f>IF(F719="CAPTURE",IF(COUNTIF(orders!$A:$A,O719)&gt;0,"Yes","NO ORDER"),"")</f>
        <v/>
      </c>
    </row>
    <row r="720" spans="1:17" ht="15" customHeight="1" x14ac:dyDescent="0.3">
      <c r="A720" s="23" t="s">
        <v>13247</v>
      </c>
      <c r="B720" s="23"/>
      <c r="C720" s="23" t="s">
        <v>565</v>
      </c>
      <c r="D720" s="23" t="str">
        <f t="shared" si="33"/>
        <v>ORD26000125</v>
      </c>
      <c r="E720" s="38">
        <v>46270</v>
      </c>
      <c r="F720" s="23" t="s">
        <v>12410</v>
      </c>
      <c r="G720" s="23" t="s">
        <v>75</v>
      </c>
      <c r="H720" s="24">
        <v>3598</v>
      </c>
      <c r="I720" s="24">
        <v>10.79</v>
      </c>
      <c r="J720" s="24">
        <v>1.94</v>
      </c>
      <c r="K720" s="24">
        <v>3585.27</v>
      </c>
      <c r="L720" s="38">
        <v>46272</v>
      </c>
      <c r="M720" s="23" t="s">
        <v>190</v>
      </c>
      <c r="N720" s="23" t="str">
        <f>IF(COUNTIF($A$2:A720,A720)&gt;1,"DUP","OK")</f>
        <v>OK</v>
      </c>
      <c r="O720" s="23" t="str">
        <f t="shared" si="34"/>
        <v>ORD26000125</v>
      </c>
      <c r="P720" s="23" t="str">
        <f t="shared" si="35"/>
        <v>Sep</v>
      </c>
      <c r="Q720" s="23" t="str">
        <f>IF(F720="CAPTURE",IF(COUNTIF(orders!$A:$A,O720)&gt;0,"Yes","NO ORDER"),"")</f>
        <v>Yes</v>
      </c>
    </row>
    <row r="721" spans="1:17" ht="15" customHeight="1" x14ac:dyDescent="0.3">
      <c r="A721" s="23" t="s">
        <v>13248</v>
      </c>
      <c r="B721" s="23"/>
      <c r="C721" s="23" t="s">
        <v>828</v>
      </c>
      <c r="D721" s="23" t="str">
        <f t="shared" si="33"/>
        <v>ORD26000235</v>
      </c>
      <c r="E721" s="38">
        <v>46270</v>
      </c>
      <c r="F721" s="23" t="s">
        <v>12410</v>
      </c>
      <c r="G721" s="23" t="s">
        <v>81</v>
      </c>
      <c r="H721" s="24">
        <v>1798</v>
      </c>
      <c r="I721" s="24">
        <v>26.97</v>
      </c>
      <c r="J721" s="24">
        <v>4.8499999999999996</v>
      </c>
      <c r="K721" s="24">
        <v>1766.18</v>
      </c>
      <c r="L721" s="38">
        <v>46272</v>
      </c>
      <c r="M721" s="23" t="s">
        <v>190</v>
      </c>
      <c r="N721" s="23" t="str">
        <f>IF(COUNTIF($A$2:A721,A721)&gt;1,"DUP","OK")</f>
        <v>OK</v>
      </c>
      <c r="O721" s="23" t="str">
        <f t="shared" si="34"/>
        <v>ORD26000235</v>
      </c>
      <c r="P721" s="23" t="str">
        <f t="shared" si="35"/>
        <v>Sep</v>
      </c>
      <c r="Q721" s="23" t="str">
        <f>IF(F721="CAPTURE",IF(COUNTIF(orders!$A:$A,O721)&gt;0,"Yes","NO ORDER"),"")</f>
        <v>Yes</v>
      </c>
    </row>
    <row r="722" spans="1:17" ht="15" customHeight="1" x14ac:dyDescent="0.3">
      <c r="A722" s="23" t="s">
        <v>13249</v>
      </c>
      <c r="B722" s="23"/>
      <c r="C722" s="23" t="s">
        <v>930</v>
      </c>
      <c r="D722" s="23" t="str">
        <f t="shared" si="33"/>
        <v>ORD26000283</v>
      </c>
      <c r="E722" s="38">
        <v>46270</v>
      </c>
      <c r="F722" s="23" t="s">
        <v>12410</v>
      </c>
      <c r="G722" s="23" t="s">
        <v>79</v>
      </c>
      <c r="H722" s="24">
        <v>5097</v>
      </c>
      <c r="I722" s="24">
        <v>81.55</v>
      </c>
      <c r="J722" s="24">
        <v>14.68</v>
      </c>
      <c r="K722" s="24">
        <v>5000.7700000000004</v>
      </c>
      <c r="L722" s="38">
        <v>46272</v>
      </c>
      <c r="M722" s="23" t="s">
        <v>190</v>
      </c>
      <c r="N722" s="23" t="str">
        <f>IF(COUNTIF($A$2:A722,A722)&gt;1,"DUP","OK")</f>
        <v>OK</v>
      </c>
      <c r="O722" s="23" t="str">
        <f t="shared" si="34"/>
        <v>ORD26000283</v>
      </c>
      <c r="P722" s="23" t="str">
        <f t="shared" si="35"/>
        <v>Sep</v>
      </c>
      <c r="Q722" s="23" t="str">
        <f>IF(F722="CAPTURE",IF(COUNTIF(orders!$A:$A,O722)&gt;0,"Yes","NO ORDER"),"")</f>
        <v>Yes</v>
      </c>
    </row>
    <row r="723" spans="1:17" ht="15" customHeight="1" x14ac:dyDescent="0.3">
      <c r="A723" s="23" t="s">
        <v>13250</v>
      </c>
      <c r="B723" s="23"/>
      <c r="C723" s="23" t="s">
        <v>13251</v>
      </c>
      <c r="D723" s="23" t="str">
        <f t="shared" si="33"/>
        <v>ORD26000284</v>
      </c>
      <c r="E723" s="38">
        <v>46270</v>
      </c>
      <c r="F723" s="23" t="s">
        <v>12410</v>
      </c>
      <c r="G723" s="23" t="s">
        <v>77</v>
      </c>
      <c r="H723" s="24">
        <v>2999</v>
      </c>
      <c r="I723" s="24">
        <v>50.98</v>
      </c>
      <c r="J723" s="24">
        <v>9.18</v>
      </c>
      <c r="K723" s="24">
        <v>2938.84</v>
      </c>
      <c r="L723" s="38">
        <v>46272</v>
      </c>
      <c r="M723" s="23" t="s">
        <v>190</v>
      </c>
      <c r="N723" s="23" t="str">
        <f>IF(COUNTIF($A$2:A723,A723)&gt;1,"DUP","OK")</f>
        <v>OK</v>
      </c>
      <c r="O723" s="23" t="str">
        <f t="shared" si="34"/>
        <v>ORD26000284</v>
      </c>
      <c r="P723" s="23" t="str">
        <f t="shared" si="35"/>
        <v>Sep</v>
      </c>
      <c r="Q723" s="23" t="str">
        <f>IF(F723="CAPTURE",IF(COUNTIF(orders!$A:$A,O723)&gt;0,"Yes","NO ORDER"),"")</f>
        <v>Yes</v>
      </c>
    </row>
    <row r="724" spans="1:17" ht="15" customHeight="1" x14ac:dyDescent="0.3">
      <c r="A724" s="23" t="s">
        <v>13252</v>
      </c>
      <c r="B724" s="23"/>
      <c r="C724" s="23" t="s">
        <v>1043</v>
      </c>
      <c r="D724" s="23" t="str">
        <f t="shared" si="33"/>
        <v>ORD26000335</v>
      </c>
      <c r="E724" s="38">
        <v>46270</v>
      </c>
      <c r="F724" s="23" t="s">
        <v>12410</v>
      </c>
      <c r="G724" s="23" t="s">
        <v>79</v>
      </c>
      <c r="H724" s="24">
        <v>5998</v>
      </c>
      <c r="I724" s="24">
        <v>95.97</v>
      </c>
      <c r="J724" s="24">
        <v>17.27</v>
      </c>
      <c r="K724" s="24">
        <v>5884.76</v>
      </c>
      <c r="L724" s="38">
        <v>46272</v>
      </c>
      <c r="M724" s="23" t="s">
        <v>190</v>
      </c>
      <c r="N724" s="23" t="str">
        <f>IF(COUNTIF($A$2:A724,A724)&gt;1,"DUP","OK")</f>
        <v>OK</v>
      </c>
      <c r="O724" s="23" t="str">
        <f t="shared" si="34"/>
        <v>ORD26000335</v>
      </c>
      <c r="P724" s="23" t="str">
        <f t="shared" si="35"/>
        <v>Sep</v>
      </c>
      <c r="Q724" s="23" t="str">
        <f>IF(F724="CAPTURE",IF(COUNTIF(orders!$A:$A,O724)&gt;0,"Yes","NO ORDER"),"")</f>
        <v>Yes</v>
      </c>
    </row>
    <row r="725" spans="1:17" ht="15" customHeight="1" x14ac:dyDescent="0.3">
      <c r="A725" s="23" t="s">
        <v>13253</v>
      </c>
      <c r="B725" s="23"/>
      <c r="C725" s="23" t="s">
        <v>1065</v>
      </c>
      <c r="D725" s="23" t="str">
        <f t="shared" si="33"/>
        <v>ORD26000345</v>
      </c>
      <c r="E725" s="38">
        <v>46270</v>
      </c>
      <c r="F725" s="23" t="s">
        <v>12410</v>
      </c>
      <c r="G725" s="23" t="s">
        <v>75</v>
      </c>
      <c r="H725" s="24">
        <v>9347</v>
      </c>
      <c r="I725" s="24">
        <v>28.04</v>
      </c>
      <c r="J725" s="24">
        <v>5.05</v>
      </c>
      <c r="K725" s="24">
        <v>9313.91</v>
      </c>
      <c r="L725" s="38">
        <v>46272</v>
      </c>
      <c r="M725" s="23" t="s">
        <v>190</v>
      </c>
      <c r="N725" s="23" t="str">
        <f>IF(COUNTIF($A$2:A725,A725)&gt;1,"DUP","OK")</f>
        <v>OK</v>
      </c>
      <c r="O725" s="23" t="str">
        <f t="shared" si="34"/>
        <v>ORD26000345</v>
      </c>
      <c r="P725" s="23" t="str">
        <f t="shared" si="35"/>
        <v>Sep</v>
      </c>
      <c r="Q725" s="23" t="str">
        <f>IF(F725="CAPTURE",IF(COUNTIF(orders!$A:$A,O725)&gt;0,"Yes","NO ORDER"),"")</f>
        <v>Yes</v>
      </c>
    </row>
    <row r="726" spans="1:17" ht="15" customHeight="1" x14ac:dyDescent="0.3">
      <c r="A726" s="23" t="s">
        <v>13254</v>
      </c>
      <c r="B726" s="23"/>
      <c r="C726" s="23" t="s">
        <v>1196</v>
      </c>
      <c r="D726" s="23" t="str">
        <f t="shared" si="33"/>
        <v>ORD26000405</v>
      </c>
      <c r="E726" s="38">
        <v>46270</v>
      </c>
      <c r="F726" s="23" t="s">
        <v>12410</v>
      </c>
      <c r="G726" s="23" t="s">
        <v>79</v>
      </c>
      <c r="H726" s="24">
        <v>2197</v>
      </c>
      <c r="I726" s="24">
        <v>35.15</v>
      </c>
      <c r="J726" s="24">
        <v>6.33</v>
      </c>
      <c r="K726" s="24">
        <v>2155.52</v>
      </c>
      <c r="L726" s="38">
        <v>46272</v>
      </c>
      <c r="M726" s="23" t="s">
        <v>190</v>
      </c>
      <c r="N726" s="23" t="str">
        <f>IF(COUNTIF($A$2:A726,A726)&gt;1,"DUP","OK")</f>
        <v>OK</v>
      </c>
      <c r="O726" s="23" t="str">
        <f t="shared" si="34"/>
        <v>ORD26000405</v>
      </c>
      <c r="P726" s="23" t="str">
        <f t="shared" si="35"/>
        <v>Sep</v>
      </c>
      <c r="Q726" s="23" t="str">
        <f>IF(F726="CAPTURE",IF(COUNTIF(orders!$A:$A,O726)&gt;0,"Yes","NO ORDER"),"")</f>
        <v>Yes</v>
      </c>
    </row>
    <row r="727" spans="1:17" ht="15" customHeight="1" x14ac:dyDescent="0.3">
      <c r="A727" s="23" t="s">
        <v>13255</v>
      </c>
      <c r="B727" s="23"/>
      <c r="C727" s="23" t="s">
        <v>1202</v>
      </c>
      <c r="D727" s="23" t="str">
        <f t="shared" si="33"/>
        <v>ORD26000408</v>
      </c>
      <c r="E727" s="38">
        <v>46270</v>
      </c>
      <c r="F727" s="23" t="s">
        <v>12410</v>
      </c>
      <c r="G727" s="23" t="s">
        <v>75</v>
      </c>
      <c r="H727" s="24">
        <v>2999</v>
      </c>
      <c r="I727" s="24">
        <v>9</v>
      </c>
      <c r="J727" s="24">
        <v>1.62</v>
      </c>
      <c r="K727" s="24">
        <v>2988.38</v>
      </c>
      <c r="L727" s="38">
        <v>46272</v>
      </c>
      <c r="M727" s="23" t="s">
        <v>190</v>
      </c>
      <c r="N727" s="23" t="str">
        <f>IF(COUNTIF($A$2:A727,A727)&gt;1,"DUP","OK")</f>
        <v>OK</v>
      </c>
      <c r="O727" s="23" t="str">
        <f t="shared" si="34"/>
        <v>ORD26000408</v>
      </c>
      <c r="P727" s="23" t="str">
        <f t="shared" si="35"/>
        <v>Sep</v>
      </c>
      <c r="Q727" s="23" t="str">
        <f>IF(F727="CAPTURE",IF(COUNTIF(orders!$A:$A,O727)&gt;0,"Yes","NO ORDER"),"")</f>
        <v>Yes</v>
      </c>
    </row>
    <row r="728" spans="1:17" ht="15" customHeight="1" x14ac:dyDescent="0.3">
      <c r="A728" s="23" t="s">
        <v>13256</v>
      </c>
      <c r="B728" s="23"/>
      <c r="C728" s="23" t="s">
        <v>1426</v>
      </c>
      <c r="D728" s="23" t="str">
        <f t="shared" si="33"/>
        <v>ORD26000510</v>
      </c>
      <c r="E728" s="38">
        <v>46270</v>
      </c>
      <c r="F728" s="23" t="s">
        <v>12410</v>
      </c>
      <c r="G728" s="23" t="s">
        <v>77</v>
      </c>
      <c r="H728" s="24">
        <v>8598</v>
      </c>
      <c r="I728" s="24">
        <v>146.16999999999999</v>
      </c>
      <c r="J728" s="24">
        <v>26.31</v>
      </c>
      <c r="K728" s="24">
        <v>8425.52</v>
      </c>
      <c r="L728" s="38">
        <v>46272</v>
      </c>
      <c r="M728" s="23" t="s">
        <v>190</v>
      </c>
      <c r="N728" s="23" t="str">
        <f>IF(COUNTIF($A$2:A728,A728)&gt;1,"DUP","OK")</f>
        <v>OK</v>
      </c>
      <c r="O728" s="23" t="str">
        <f t="shared" si="34"/>
        <v>ORD26000510</v>
      </c>
      <c r="P728" s="23" t="str">
        <f t="shared" si="35"/>
        <v>Sep</v>
      </c>
      <c r="Q728" s="23" t="str">
        <f>IF(F728="CAPTURE",IF(COUNTIF(orders!$A:$A,O728)&gt;0,"Yes","NO ORDER"),"")</f>
        <v>Yes</v>
      </c>
    </row>
    <row r="729" spans="1:17" ht="15" customHeight="1" x14ac:dyDescent="0.3">
      <c r="A729" s="23" t="s">
        <v>13257</v>
      </c>
      <c r="B729" s="23"/>
      <c r="C729" s="23" t="s">
        <v>1464</v>
      </c>
      <c r="D729" s="23" t="str">
        <f t="shared" si="33"/>
        <v>ORD26000526</v>
      </c>
      <c r="E729" s="38">
        <v>46270</v>
      </c>
      <c r="F729" s="23" t="s">
        <v>12410</v>
      </c>
      <c r="G729" s="23" t="s">
        <v>75</v>
      </c>
      <c r="H729" s="24">
        <v>999</v>
      </c>
      <c r="I729" s="24">
        <v>0</v>
      </c>
      <c r="J729" s="24">
        <v>0</v>
      </c>
      <c r="K729" s="24">
        <v>999</v>
      </c>
      <c r="L729" s="38">
        <v>46272</v>
      </c>
      <c r="M729" s="23" t="s">
        <v>190</v>
      </c>
      <c r="N729" s="23" t="str">
        <f>IF(COUNTIF($A$2:A729,A729)&gt;1,"DUP","OK")</f>
        <v>OK</v>
      </c>
      <c r="O729" s="23" t="str">
        <f t="shared" si="34"/>
        <v>ORD26000526</v>
      </c>
      <c r="P729" s="23" t="str">
        <f t="shared" si="35"/>
        <v>Sep</v>
      </c>
      <c r="Q729" s="23" t="str">
        <f>IF(F729="CAPTURE",IF(COUNTIF(orders!$A:$A,O729)&gt;0,"Yes","NO ORDER"),"")</f>
        <v>Yes</v>
      </c>
    </row>
    <row r="730" spans="1:17" ht="15" customHeight="1" x14ac:dyDescent="0.3">
      <c r="A730" s="23" t="s">
        <v>13258</v>
      </c>
      <c r="B730" s="23"/>
      <c r="C730" s="23" t="s">
        <v>1506</v>
      </c>
      <c r="D730" s="23" t="str">
        <f t="shared" si="33"/>
        <v>ORD26000545</v>
      </c>
      <c r="E730" s="38">
        <v>46270</v>
      </c>
      <c r="F730" s="23" t="s">
        <v>12410</v>
      </c>
      <c r="G730" s="23" t="s">
        <v>79</v>
      </c>
      <c r="H730" s="24">
        <v>998</v>
      </c>
      <c r="I730" s="24">
        <v>17.96</v>
      </c>
      <c r="J730" s="24">
        <v>3.23</v>
      </c>
      <c r="K730" s="24">
        <v>976.81</v>
      </c>
      <c r="L730" s="38">
        <v>46272</v>
      </c>
      <c r="M730" s="23" t="s">
        <v>190</v>
      </c>
      <c r="N730" s="23" t="str">
        <f>IF(COUNTIF($A$2:A730,A730)&gt;1,"DUP","OK")</f>
        <v>OK</v>
      </c>
      <c r="O730" s="23" t="str">
        <f t="shared" si="34"/>
        <v>ORD26000545</v>
      </c>
      <c r="P730" s="23" t="str">
        <f t="shared" si="35"/>
        <v>Sep</v>
      </c>
      <c r="Q730" s="23" t="str">
        <f>IF(F730="CAPTURE",IF(COUNTIF(orders!$A:$A,O730)&gt;0,"Yes","NO ORDER"),"")</f>
        <v>Yes</v>
      </c>
    </row>
    <row r="731" spans="1:17" ht="15" customHeight="1" x14ac:dyDescent="0.3">
      <c r="A731" s="23" t="s">
        <v>13259</v>
      </c>
      <c r="B731" s="23"/>
      <c r="C731" s="23" t="s">
        <v>1622</v>
      </c>
      <c r="D731" s="23" t="str">
        <f t="shared" si="33"/>
        <v>ORD26000599</v>
      </c>
      <c r="E731" s="38">
        <v>46270</v>
      </c>
      <c r="F731" s="23" t="s">
        <v>12410</v>
      </c>
      <c r="G731" s="23" t="s">
        <v>75</v>
      </c>
      <c r="H731" s="24">
        <v>7999</v>
      </c>
      <c r="I731" s="24">
        <v>24</v>
      </c>
      <c r="J731" s="24">
        <v>4.32</v>
      </c>
      <c r="K731" s="24">
        <v>7970.68</v>
      </c>
      <c r="L731" s="38">
        <v>46272</v>
      </c>
      <c r="M731" s="23" t="s">
        <v>190</v>
      </c>
      <c r="N731" s="23" t="str">
        <f>IF(COUNTIF($A$2:A731,A731)&gt;1,"DUP","OK")</f>
        <v>OK</v>
      </c>
      <c r="O731" s="23" t="str">
        <f t="shared" si="34"/>
        <v>ORD26000599</v>
      </c>
      <c r="P731" s="23" t="str">
        <f t="shared" si="35"/>
        <v>Sep</v>
      </c>
      <c r="Q731" s="23" t="str">
        <f>IF(F731="CAPTURE",IF(COUNTIF(orders!$A:$A,O731)&gt;0,"Yes","NO ORDER"),"")</f>
        <v>Yes</v>
      </c>
    </row>
    <row r="732" spans="1:17" ht="15" customHeight="1" x14ac:dyDescent="0.3">
      <c r="A732" s="23" t="s">
        <v>13260</v>
      </c>
      <c r="B732" s="23"/>
      <c r="C732" s="23" t="s">
        <v>1633</v>
      </c>
      <c r="D732" s="23" t="str">
        <f t="shared" si="33"/>
        <v>ORD26000604</v>
      </c>
      <c r="E732" s="38">
        <v>46270</v>
      </c>
      <c r="F732" s="23" t="s">
        <v>12410</v>
      </c>
      <c r="G732" s="23" t="s">
        <v>75</v>
      </c>
      <c r="H732" s="24">
        <v>11797</v>
      </c>
      <c r="I732" s="24">
        <v>35.39</v>
      </c>
      <c r="J732" s="24">
        <v>6.37</v>
      </c>
      <c r="K732" s="24">
        <v>11755.24</v>
      </c>
      <c r="L732" s="38">
        <v>46272</v>
      </c>
      <c r="M732" s="23" t="s">
        <v>190</v>
      </c>
      <c r="N732" s="23" t="str">
        <f>IF(COUNTIF($A$2:A732,A732)&gt;1,"DUP","OK")</f>
        <v>OK</v>
      </c>
      <c r="O732" s="23" t="str">
        <f t="shared" si="34"/>
        <v>ORD26000604</v>
      </c>
      <c r="P732" s="23" t="str">
        <f t="shared" si="35"/>
        <v>Sep</v>
      </c>
      <c r="Q732" s="23" t="str">
        <f>IF(F732="CAPTURE",IF(COUNTIF(orders!$A:$A,O732)&gt;0,"Yes","NO ORDER"),"")</f>
        <v>Yes</v>
      </c>
    </row>
    <row r="733" spans="1:17" ht="15" customHeight="1" x14ac:dyDescent="0.3">
      <c r="A733" s="23" t="s">
        <v>13261</v>
      </c>
      <c r="B733" s="23"/>
      <c r="C733" s="23" t="s">
        <v>1700</v>
      </c>
      <c r="D733" s="23" t="str">
        <f t="shared" si="33"/>
        <v>ORD26000635</v>
      </c>
      <c r="E733" s="38">
        <v>46270</v>
      </c>
      <c r="F733" s="23" t="s">
        <v>12410</v>
      </c>
      <c r="G733" s="23" t="s">
        <v>75</v>
      </c>
      <c r="H733" s="24">
        <v>3499</v>
      </c>
      <c r="I733" s="24">
        <v>10.5</v>
      </c>
      <c r="J733" s="24">
        <v>1.89</v>
      </c>
      <c r="K733" s="24">
        <v>3486.61</v>
      </c>
      <c r="L733" s="38">
        <v>46272</v>
      </c>
      <c r="M733" s="23" t="s">
        <v>190</v>
      </c>
      <c r="N733" s="23" t="str">
        <f>IF(COUNTIF($A$2:A733,A733)&gt;1,"DUP","OK")</f>
        <v>OK</v>
      </c>
      <c r="O733" s="23" t="str">
        <f t="shared" si="34"/>
        <v>ORD26000635</v>
      </c>
      <c r="P733" s="23" t="str">
        <f t="shared" si="35"/>
        <v>Sep</v>
      </c>
      <c r="Q733" s="23" t="str">
        <f>IF(F733="CAPTURE",IF(COUNTIF(orders!$A:$A,O733)&gt;0,"Yes","NO ORDER"),"")</f>
        <v>Yes</v>
      </c>
    </row>
    <row r="734" spans="1:17" ht="15" customHeight="1" x14ac:dyDescent="0.3">
      <c r="A734" s="23" t="s">
        <v>13262</v>
      </c>
      <c r="B734" s="23"/>
      <c r="C734" s="23" t="s">
        <v>1719</v>
      </c>
      <c r="D734" s="23" t="str">
        <f t="shared" si="33"/>
        <v>ORD26000644</v>
      </c>
      <c r="E734" s="38">
        <v>46270</v>
      </c>
      <c r="F734" s="23" t="s">
        <v>12410</v>
      </c>
      <c r="G734" s="23" t="s">
        <v>77</v>
      </c>
      <c r="H734" s="24">
        <v>2499</v>
      </c>
      <c r="I734" s="24">
        <v>42.48</v>
      </c>
      <c r="J734" s="24">
        <v>7.65</v>
      </c>
      <c r="K734" s="24">
        <v>2448.87</v>
      </c>
      <c r="L734" s="38">
        <v>46272</v>
      </c>
      <c r="M734" s="23" t="s">
        <v>190</v>
      </c>
      <c r="N734" s="23" t="str">
        <f>IF(COUNTIF($A$2:A734,A734)&gt;1,"DUP","OK")</f>
        <v>OK</v>
      </c>
      <c r="O734" s="23" t="str">
        <f t="shared" si="34"/>
        <v>ORD26000644</v>
      </c>
      <c r="P734" s="23" t="str">
        <f t="shared" si="35"/>
        <v>Sep</v>
      </c>
      <c r="Q734" s="23" t="str">
        <f>IF(F734="CAPTURE",IF(COUNTIF(orders!$A:$A,O734)&gt;0,"Yes","NO ORDER"),"")</f>
        <v>Yes</v>
      </c>
    </row>
    <row r="735" spans="1:17" ht="15" customHeight="1" x14ac:dyDescent="0.3">
      <c r="A735" s="23" t="s">
        <v>13263</v>
      </c>
      <c r="B735" s="23"/>
      <c r="C735" s="23" t="s">
        <v>1828</v>
      </c>
      <c r="D735" s="23" t="str">
        <f t="shared" si="33"/>
        <v>ORD26000695</v>
      </c>
      <c r="E735" s="38">
        <v>46270</v>
      </c>
      <c r="F735" s="23" t="s">
        <v>12410</v>
      </c>
      <c r="G735" s="23" t="s">
        <v>79</v>
      </c>
      <c r="H735" s="24">
        <v>12998</v>
      </c>
      <c r="I735" s="24">
        <v>207.97</v>
      </c>
      <c r="J735" s="24">
        <v>37.43</v>
      </c>
      <c r="K735" s="24">
        <v>12752.6</v>
      </c>
      <c r="L735" s="38">
        <v>46272</v>
      </c>
      <c r="M735" s="23" t="s">
        <v>190</v>
      </c>
      <c r="N735" s="23" t="str">
        <f>IF(COUNTIF($A$2:A735,A735)&gt;1,"DUP","OK")</f>
        <v>OK</v>
      </c>
      <c r="O735" s="23" t="str">
        <f t="shared" si="34"/>
        <v>ORD26000695</v>
      </c>
      <c r="P735" s="23" t="str">
        <f t="shared" si="35"/>
        <v>Sep</v>
      </c>
      <c r="Q735" s="23" t="str">
        <f>IF(F735="CAPTURE",IF(COUNTIF(orders!$A:$A,O735)&gt;0,"Yes","NO ORDER"),"")</f>
        <v>Yes</v>
      </c>
    </row>
    <row r="736" spans="1:17" ht="15" customHeight="1" x14ac:dyDescent="0.3">
      <c r="A736" s="23" t="s">
        <v>13264</v>
      </c>
      <c r="B736" s="23"/>
      <c r="C736" s="23" t="s">
        <v>1908</v>
      </c>
      <c r="D736" s="23" t="str">
        <f t="shared" si="33"/>
        <v>ORD26000734</v>
      </c>
      <c r="E736" s="38">
        <v>46270</v>
      </c>
      <c r="F736" s="23" t="s">
        <v>12410</v>
      </c>
      <c r="G736" s="23" t="s">
        <v>75</v>
      </c>
      <c r="H736" s="24">
        <v>1799</v>
      </c>
      <c r="I736" s="24">
        <v>0</v>
      </c>
      <c r="J736" s="24">
        <v>0</v>
      </c>
      <c r="K736" s="24">
        <v>1799</v>
      </c>
      <c r="L736" s="38">
        <v>46272</v>
      </c>
      <c r="M736" s="23" t="s">
        <v>190</v>
      </c>
      <c r="N736" s="23" t="str">
        <f>IF(COUNTIF($A$2:A736,A736)&gt;1,"DUP","OK")</f>
        <v>OK</v>
      </c>
      <c r="O736" s="23" t="str">
        <f t="shared" si="34"/>
        <v>ORD26000734</v>
      </c>
      <c r="P736" s="23" t="str">
        <f t="shared" si="35"/>
        <v>Sep</v>
      </c>
      <c r="Q736" s="23" t="str">
        <f>IF(F736="CAPTURE",IF(COUNTIF(orders!$A:$A,O736)&gt;0,"Yes","NO ORDER"),"")</f>
        <v>Yes</v>
      </c>
    </row>
    <row r="737" spans="1:17" ht="15" customHeight="1" x14ac:dyDescent="0.3">
      <c r="A737" s="23" t="s">
        <v>13265</v>
      </c>
      <c r="B737" s="23"/>
      <c r="C737" s="23" t="s">
        <v>1923</v>
      </c>
      <c r="D737" s="23" t="str">
        <f t="shared" si="33"/>
        <v>ORD26000742</v>
      </c>
      <c r="E737" s="38">
        <v>46270</v>
      </c>
      <c r="F737" s="23" t="s">
        <v>12410</v>
      </c>
      <c r="G737" s="23" t="s">
        <v>75</v>
      </c>
      <c r="H737" s="24">
        <v>6997</v>
      </c>
      <c r="I737" s="24">
        <v>20.99</v>
      </c>
      <c r="J737" s="24">
        <v>3.78</v>
      </c>
      <c r="K737" s="24">
        <v>6972.23</v>
      </c>
      <c r="L737" s="38">
        <v>46272</v>
      </c>
      <c r="M737" s="23" t="s">
        <v>190</v>
      </c>
      <c r="N737" s="23" t="str">
        <f>IF(COUNTIF($A$2:A737,A737)&gt;1,"DUP","OK")</f>
        <v>OK</v>
      </c>
      <c r="O737" s="23" t="str">
        <f t="shared" si="34"/>
        <v>ORD26000742</v>
      </c>
      <c r="P737" s="23" t="str">
        <f t="shared" si="35"/>
        <v>Sep</v>
      </c>
      <c r="Q737" s="23" t="str">
        <f>IF(F737="CAPTURE",IF(COUNTIF(orders!$A:$A,O737)&gt;0,"Yes","NO ORDER"),"")</f>
        <v>Yes</v>
      </c>
    </row>
    <row r="738" spans="1:17" ht="15" customHeight="1" x14ac:dyDescent="0.3">
      <c r="A738" s="23" t="s">
        <v>13266</v>
      </c>
      <c r="B738" s="23"/>
      <c r="C738" s="23" t="s">
        <v>13267</v>
      </c>
      <c r="D738" s="23" t="str">
        <f t="shared" si="33"/>
        <v>ORD26000778</v>
      </c>
      <c r="E738" s="38">
        <v>46270</v>
      </c>
      <c r="F738" s="23" t="s">
        <v>12410</v>
      </c>
      <c r="G738" s="23" t="s">
        <v>75</v>
      </c>
      <c r="H738" s="24">
        <v>1499</v>
      </c>
      <c r="I738" s="24">
        <v>0</v>
      </c>
      <c r="J738" s="24">
        <v>0</v>
      </c>
      <c r="K738" s="24">
        <v>1499</v>
      </c>
      <c r="L738" s="38">
        <v>46272</v>
      </c>
      <c r="M738" s="23" t="s">
        <v>190</v>
      </c>
      <c r="N738" s="23" t="str">
        <f>IF(COUNTIF($A$2:A738,A738)&gt;1,"DUP","OK")</f>
        <v>OK</v>
      </c>
      <c r="O738" s="23" t="str">
        <f t="shared" si="34"/>
        <v>ORD26000778</v>
      </c>
      <c r="P738" s="23" t="str">
        <f t="shared" si="35"/>
        <v>Sep</v>
      </c>
      <c r="Q738" s="23" t="str">
        <f>IF(F738="CAPTURE",IF(COUNTIF(orders!$A:$A,O738)&gt;0,"Yes","NO ORDER"),"")</f>
        <v>Yes</v>
      </c>
    </row>
    <row r="739" spans="1:17" ht="15" customHeight="1" x14ac:dyDescent="0.3">
      <c r="A739" s="23" t="s">
        <v>13268</v>
      </c>
      <c r="B739" s="23"/>
      <c r="C739" s="23" t="s">
        <v>2138</v>
      </c>
      <c r="D739" s="23" t="str">
        <f t="shared" si="33"/>
        <v>ORD26000844</v>
      </c>
      <c r="E739" s="38">
        <v>46270</v>
      </c>
      <c r="F739" s="23" t="s">
        <v>12410</v>
      </c>
      <c r="G739" s="23" t="s">
        <v>75</v>
      </c>
      <c r="H739" s="24">
        <v>349</v>
      </c>
      <c r="I739" s="24">
        <v>0</v>
      </c>
      <c r="J739" s="24">
        <v>0</v>
      </c>
      <c r="K739" s="24">
        <v>349</v>
      </c>
      <c r="L739" s="38">
        <v>46272</v>
      </c>
      <c r="M739" s="23" t="s">
        <v>190</v>
      </c>
      <c r="N739" s="23" t="str">
        <f>IF(COUNTIF($A$2:A739,A739)&gt;1,"DUP","OK")</f>
        <v>OK</v>
      </c>
      <c r="O739" s="23" t="str">
        <f t="shared" si="34"/>
        <v>ORD26000844</v>
      </c>
      <c r="P739" s="23" t="str">
        <f t="shared" si="35"/>
        <v>Sep</v>
      </c>
      <c r="Q739" s="23" t="str">
        <f>IF(F739="CAPTURE",IF(COUNTIF(orders!$A:$A,O739)&gt;0,"Yes","NO ORDER"),"")</f>
        <v>Yes</v>
      </c>
    </row>
    <row r="740" spans="1:17" ht="15" customHeight="1" x14ac:dyDescent="0.3">
      <c r="A740" s="23" t="s">
        <v>13269</v>
      </c>
      <c r="B740" s="23"/>
      <c r="C740" s="23" t="s">
        <v>2309</v>
      </c>
      <c r="D740" s="23" t="str">
        <f t="shared" si="33"/>
        <v>ORD26000926</v>
      </c>
      <c r="E740" s="38">
        <v>46270</v>
      </c>
      <c r="F740" s="23" t="s">
        <v>12410</v>
      </c>
      <c r="G740" s="23" t="s">
        <v>75</v>
      </c>
      <c r="H740" s="24">
        <v>349</v>
      </c>
      <c r="I740" s="24">
        <v>0</v>
      </c>
      <c r="J740" s="24">
        <v>0</v>
      </c>
      <c r="K740" s="24">
        <v>349</v>
      </c>
      <c r="L740" s="38">
        <v>46272</v>
      </c>
      <c r="M740" s="23" t="s">
        <v>190</v>
      </c>
      <c r="N740" s="23" t="str">
        <f>IF(COUNTIF($A$2:A740,A740)&gt;1,"DUP","OK")</f>
        <v>OK</v>
      </c>
      <c r="O740" s="23" t="str">
        <f t="shared" si="34"/>
        <v>ORD26000926</v>
      </c>
      <c r="P740" s="23" t="str">
        <f t="shared" si="35"/>
        <v>Sep</v>
      </c>
      <c r="Q740" s="23" t="str">
        <f>IF(F740="CAPTURE",IF(COUNTIF(orders!$A:$A,O740)&gt;0,"Yes","NO ORDER"),"")</f>
        <v>Yes</v>
      </c>
    </row>
    <row r="741" spans="1:17" ht="15" customHeight="1" x14ac:dyDescent="0.3">
      <c r="A741" s="23" t="s">
        <v>13270</v>
      </c>
      <c r="B741" s="23"/>
      <c r="C741" s="23" t="s">
        <v>2311</v>
      </c>
      <c r="D741" s="23" t="str">
        <f t="shared" si="33"/>
        <v>ORD26000927</v>
      </c>
      <c r="E741" s="38">
        <v>46270</v>
      </c>
      <c r="F741" s="23" t="s">
        <v>12410</v>
      </c>
      <c r="G741" s="23" t="s">
        <v>75</v>
      </c>
      <c r="H741" s="24">
        <v>499</v>
      </c>
      <c r="I741" s="24">
        <v>0</v>
      </c>
      <c r="J741" s="24">
        <v>0</v>
      </c>
      <c r="K741" s="24">
        <v>499</v>
      </c>
      <c r="L741" s="38">
        <v>46272</v>
      </c>
      <c r="M741" s="23" t="s">
        <v>190</v>
      </c>
      <c r="N741" s="23" t="str">
        <f>IF(COUNTIF($A$2:A741,A741)&gt;1,"DUP","OK")</f>
        <v>OK</v>
      </c>
      <c r="O741" s="23" t="str">
        <f t="shared" si="34"/>
        <v>ORD26000927</v>
      </c>
      <c r="P741" s="23" t="str">
        <f t="shared" si="35"/>
        <v>Sep</v>
      </c>
      <c r="Q741" s="23" t="str">
        <f>IF(F741="CAPTURE",IF(COUNTIF(orders!$A:$A,O741)&gt;0,"Yes","NO ORDER"),"")</f>
        <v>Yes</v>
      </c>
    </row>
    <row r="742" spans="1:17" ht="15" customHeight="1" x14ac:dyDescent="0.3">
      <c r="A742" s="23" t="s">
        <v>13271</v>
      </c>
      <c r="B742" s="23"/>
      <c r="C742" s="23" t="s">
        <v>13272</v>
      </c>
      <c r="D742" s="23" t="str">
        <f t="shared" si="33"/>
        <v>ORD26000939</v>
      </c>
      <c r="E742" s="38">
        <v>46270</v>
      </c>
      <c r="F742" s="23" t="s">
        <v>12410</v>
      </c>
      <c r="G742" s="23" t="s">
        <v>75</v>
      </c>
      <c r="H742" s="24">
        <v>8348</v>
      </c>
      <c r="I742" s="24">
        <v>25.04</v>
      </c>
      <c r="J742" s="24">
        <v>4.51</v>
      </c>
      <c r="K742" s="24">
        <v>8318.4500000000007</v>
      </c>
      <c r="L742" s="38">
        <v>46272</v>
      </c>
      <c r="M742" s="23" t="s">
        <v>190</v>
      </c>
      <c r="N742" s="23" t="str">
        <f>IF(COUNTIF($A$2:A742,A742)&gt;1,"DUP","OK")</f>
        <v>OK</v>
      </c>
      <c r="O742" s="23" t="str">
        <f t="shared" si="34"/>
        <v>ORD26000939</v>
      </c>
      <c r="P742" s="23" t="str">
        <f t="shared" si="35"/>
        <v>Sep</v>
      </c>
      <c r="Q742" s="23" t="str">
        <f>IF(F742="CAPTURE",IF(COUNTIF(orders!$A:$A,O742)&gt;0,"Yes","NO ORDER"),"")</f>
        <v>Yes</v>
      </c>
    </row>
    <row r="743" spans="1:17" ht="15" customHeight="1" x14ac:dyDescent="0.3">
      <c r="A743" s="23" t="s">
        <v>13273</v>
      </c>
      <c r="B743" s="23"/>
      <c r="C743" s="23" t="s">
        <v>2392</v>
      </c>
      <c r="D743" s="23" t="str">
        <f t="shared" si="33"/>
        <v>ORD26000966</v>
      </c>
      <c r="E743" s="38">
        <v>46270</v>
      </c>
      <c r="F743" s="23" t="s">
        <v>12410</v>
      </c>
      <c r="G743" s="23" t="s">
        <v>75</v>
      </c>
      <c r="H743" s="24">
        <v>2798</v>
      </c>
      <c r="I743" s="24">
        <v>8.39</v>
      </c>
      <c r="J743" s="24">
        <v>1.51</v>
      </c>
      <c r="K743" s="24">
        <v>2788.1</v>
      </c>
      <c r="L743" s="38">
        <v>46272</v>
      </c>
      <c r="M743" s="23" t="s">
        <v>190</v>
      </c>
      <c r="N743" s="23" t="str">
        <f>IF(COUNTIF($A$2:A743,A743)&gt;1,"DUP","OK")</f>
        <v>OK</v>
      </c>
      <c r="O743" s="23" t="str">
        <f t="shared" si="34"/>
        <v>ORD26000966</v>
      </c>
      <c r="P743" s="23" t="str">
        <f t="shared" si="35"/>
        <v>Sep</v>
      </c>
      <c r="Q743" s="23" t="str">
        <f>IF(F743="CAPTURE",IF(COUNTIF(orders!$A:$A,O743)&gt;0,"Yes","NO ORDER"),"")</f>
        <v>Yes</v>
      </c>
    </row>
    <row r="744" spans="1:17" ht="15" customHeight="1" x14ac:dyDescent="0.3">
      <c r="A744" s="23" t="s">
        <v>13274</v>
      </c>
      <c r="B744" s="23"/>
      <c r="C744" s="23" t="s">
        <v>2424</v>
      </c>
      <c r="D744" s="23" t="str">
        <f t="shared" si="33"/>
        <v>ORD26000982</v>
      </c>
      <c r="E744" s="38">
        <v>46270</v>
      </c>
      <c r="F744" s="23" t="s">
        <v>12410</v>
      </c>
      <c r="G744" s="23" t="s">
        <v>79</v>
      </c>
      <c r="H744" s="24">
        <v>4999</v>
      </c>
      <c r="I744" s="24">
        <v>79.98</v>
      </c>
      <c r="J744" s="24">
        <v>14.4</v>
      </c>
      <c r="K744" s="24">
        <v>4904.62</v>
      </c>
      <c r="L744" s="38">
        <v>46272</v>
      </c>
      <c r="M744" s="23" t="s">
        <v>190</v>
      </c>
      <c r="N744" s="23" t="str">
        <f>IF(COUNTIF($A$2:A744,A744)&gt;1,"DUP","OK")</f>
        <v>OK</v>
      </c>
      <c r="O744" s="23" t="str">
        <f t="shared" si="34"/>
        <v>ORD26000982</v>
      </c>
      <c r="P744" s="23" t="str">
        <f t="shared" si="35"/>
        <v>Sep</v>
      </c>
      <c r="Q744" s="23" t="str">
        <f>IF(F744="CAPTURE",IF(COUNTIF(orders!$A:$A,O744)&gt;0,"Yes","NO ORDER"),"")</f>
        <v>Yes</v>
      </c>
    </row>
    <row r="745" spans="1:17" ht="15" customHeight="1" x14ac:dyDescent="0.3">
      <c r="A745" s="23" t="s">
        <v>13275</v>
      </c>
      <c r="B745" s="23"/>
      <c r="C745" s="23" t="s">
        <v>2454</v>
      </c>
      <c r="D745" s="23" t="str">
        <f t="shared" si="33"/>
        <v>ORD26000997</v>
      </c>
      <c r="E745" s="38">
        <v>46270</v>
      </c>
      <c r="F745" s="23" t="s">
        <v>12410</v>
      </c>
      <c r="G745" s="23" t="s">
        <v>77</v>
      </c>
      <c r="H745" s="24">
        <v>4098</v>
      </c>
      <c r="I745" s="24">
        <v>69.67</v>
      </c>
      <c r="J745" s="24">
        <v>12.54</v>
      </c>
      <c r="K745" s="24">
        <v>4015.79</v>
      </c>
      <c r="L745" s="38">
        <v>46272</v>
      </c>
      <c r="M745" s="23" t="s">
        <v>190</v>
      </c>
      <c r="N745" s="23" t="str">
        <f>IF(COUNTIF($A$2:A745,A745)&gt;1,"DUP","OK")</f>
        <v>OK</v>
      </c>
      <c r="O745" s="23" t="str">
        <f t="shared" si="34"/>
        <v>ORD26000997</v>
      </c>
      <c r="P745" s="23" t="str">
        <f t="shared" si="35"/>
        <v>Sep</v>
      </c>
      <c r="Q745" s="23" t="str">
        <f>IF(F745="CAPTURE",IF(COUNTIF(orders!$A:$A,O745)&gt;0,"Yes","NO ORDER"),"")</f>
        <v>Yes</v>
      </c>
    </row>
    <row r="746" spans="1:17" ht="15" customHeight="1" x14ac:dyDescent="0.3">
      <c r="A746" s="23" t="s">
        <v>13276</v>
      </c>
      <c r="B746" s="23"/>
      <c r="C746" s="23" t="s">
        <v>2472</v>
      </c>
      <c r="D746" s="23" t="str">
        <f t="shared" si="33"/>
        <v>ORD26001006</v>
      </c>
      <c r="E746" s="38">
        <v>46270</v>
      </c>
      <c r="F746" s="23" t="s">
        <v>12410</v>
      </c>
      <c r="G746" s="23" t="s">
        <v>77</v>
      </c>
      <c r="H746" s="24">
        <v>799</v>
      </c>
      <c r="I746" s="24">
        <v>15.18</v>
      </c>
      <c r="J746" s="24">
        <v>2.73</v>
      </c>
      <c r="K746" s="24">
        <v>781.09</v>
      </c>
      <c r="L746" s="38">
        <v>46272</v>
      </c>
      <c r="M746" s="23" t="s">
        <v>190</v>
      </c>
      <c r="N746" s="23" t="str">
        <f>IF(COUNTIF($A$2:A746,A746)&gt;1,"DUP","OK")</f>
        <v>OK</v>
      </c>
      <c r="O746" s="23" t="str">
        <f t="shared" si="34"/>
        <v>ORD26001006</v>
      </c>
      <c r="P746" s="23" t="str">
        <f t="shared" si="35"/>
        <v>Sep</v>
      </c>
      <c r="Q746" s="23" t="str">
        <f>IF(F746="CAPTURE",IF(COUNTIF(orders!$A:$A,O746)&gt;0,"Yes","NO ORDER"),"")</f>
        <v>Yes</v>
      </c>
    </row>
    <row r="747" spans="1:17" ht="15" customHeight="1" x14ac:dyDescent="0.3">
      <c r="A747" s="23" t="s">
        <v>13277</v>
      </c>
      <c r="B747" s="23"/>
      <c r="C747" s="23" t="s">
        <v>2532</v>
      </c>
      <c r="D747" s="23" t="str">
        <f t="shared" si="33"/>
        <v>ORD26001035</v>
      </c>
      <c r="E747" s="38">
        <v>46270</v>
      </c>
      <c r="F747" s="23" t="s">
        <v>12410</v>
      </c>
      <c r="G747" s="23" t="s">
        <v>79</v>
      </c>
      <c r="H747" s="24">
        <v>2947</v>
      </c>
      <c r="I747" s="24">
        <v>47.15</v>
      </c>
      <c r="J747" s="24">
        <v>8.49</v>
      </c>
      <c r="K747" s="24">
        <v>2891.36</v>
      </c>
      <c r="L747" s="38">
        <v>46272</v>
      </c>
      <c r="M747" s="23" t="s">
        <v>190</v>
      </c>
      <c r="N747" s="23" t="str">
        <f>IF(COUNTIF($A$2:A747,A747)&gt;1,"DUP","OK")</f>
        <v>OK</v>
      </c>
      <c r="O747" s="23" t="str">
        <f t="shared" si="34"/>
        <v>ORD26001035</v>
      </c>
      <c r="P747" s="23" t="str">
        <f t="shared" si="35"/>
        <v>Sep</v>
      </c>
      <c r="Q747" s="23" t="str">
        <f>IF(F747="CAPTURE",IF(COUNTIF(orders!$A:$A,O747)&gt;0,"Yes","NO ORDER"),"")</f>
        <v>Yes</v>
      </c>
    </row>
    <row r="748" spans="1:17" ht="15" customHeight="1" x14ac:dyDescent="0.3">
      <c r="A748" s="23" t="s">
        <v>13278</v>
      </c>
      <c r="B748" s="23"/>
      <c r="C748" s="23" t="s">
        <v>2695</v>
      </c>
      <c r="D748" s="23" t="str">
        <f t="shared" si="33"/>
        <v>ORD26001115</v>
      </c>
      <c r="E748" s="38">
        <v>46270</v>
      </c>
      <c r="F748" s="23" t="s">
        <v>12410</v>
      </c>
      <c r="G748" s="23" t="s">
        <v>75</v>
      </c>
      <c r="H748" s="24">
        <v>799</v>
      </c>
      <c r="I748" s="24">
        <v>0</v>
      </c>
      <c r="J748" s="24">
        <v>0</v>
      </c>
      <c r="K748" s="24">
        <v>799</v>
      </c>
      <c r="L748" s="38">
        <v>46272</v>
      </c>
      <c r="M748" s="23" t="s">
        <v>190</v>
      </c>
      <c r="N748" s="23" t="str">
        <f>IF(COUNTIF($A$2:A748,A748)&gt;1,"DUP","OK")</f>
        <v>OK</v>
      </c>
      <c r="O748" s="23" t="str">
        <f t="shared" si="34"/>
        <v>ORD26001115</v>
      </c>
      <c r="P748" s="23" t="str">
        <f t="shared" si="35"/>
        <v>Sep</v>
      </c>
      <c r="Q748" s="23" t="str">
        <f>IF(F748="CAPTURE",IF(COUNTIF(orders!$A:$A,O748)&gt;0,"Yes","NO ORDER"),"")</f>
        <v>Yes</v>
      </c>
    </row>
    <row r="749" spans="1:17" ht="15" customHeight="1" x14ac:dyDescent="0.3">
      <c r="A749" s="23" t="s">
        <v>13279</v>
      </c>
      <c r="B749" s="23"/>
      <c r="C749" s="23" t="s">
        <v>13280</v>
      </c>
      <c r="D749" s="23" t="str">
        <f t="shared" si="33"/>
        <v>ORD26001170</v>
      </c>
      <c r="E749" s="38">
        <v>46270</v>
      </c>
      <c r="F749" s="23" t="s">
        <v>12410</v>
      </c>
      <c r="G749" s="23" t="s">
        <v>79</v>
      </c>
      <c r="H749" s="24">
        <v>1499</v>
      </c>
      <c r="I749" s="24">
        <v>26.98</v>
      </c>
      <c r="J749" s="24">
        <v>4.8600000000000003</v>
      </c>
      <c r="K749" s="24">
        <v>1467.16</v>
      </c>
      <c r="L749" s="38">
        <v>46272</v>
      </c>
      <c r="M749" s="23" t="s">
        <v>190</v>
      </c>
      <c r="N749" s="23" t="str">
        <f>IF(COUNTIF($A$2:A749,A749)&gt;1,"DUP","OK")</f>
        <v>OK</v>
      </c>
      <c r="O749" s="23" t="str">
        <f t="shared" si="34"/>
        <v>ORD26001170</v>
      </c>
      <c r="P749" s="23" t="str">
        <f t="shared" si="35"/>
        <v>Sep</v>
      </c>
      <c r="Q749" s="23" t="str">
        <f>IF(F749="CAPTURE",IF(COUNTIF(orders!$A:$A,O749)&gt;0,"Yes","NO ORDER"),"")</f>
        <v>Yes</v>
      </c>
    </row>
    <row r="750" spans="1:17" ht="15" customHeight="1" x14ac:dyDescent="0.3">
      <c r="A750" s="23" t="s">
        <v>13281</v>
      </c>
      <c r="B750" s="23"/>
      <c r="C750" s="23" t="s">
        <v>2809</v>
      </c>
      <c r="D750" s="23" t="str">
        <f t="shared" si="33"/>
        <v>ORD26001171</v>
      </c>
      <c r="E750" s="38">
        <v>46270</v>
      </c>
      <c r="F750" s="23" t="s">
        <v>12410</v>
      </c>
      <c r="G750" s="23" t="s">
        <v>75</v>
      </c>
      <c r="H750" s="24">
        <v>2999</v>
      </c>
      <c r="I750" s="24">
        <v>9</v>
      </c>
      <c r="J750" s="24">
        <v>1.62</v>
      </c>
      <c r="K750" s="24">
        <v>2988.38</v>
      </c>
      <c r="L750" s="38">
        <v>46272</v>
      </c>
      <c r="M750" s="23" t="s">
        <v>190</v>
      </c>
      <c r="N750" s="23" t="str">
        <f>IF(COUNTIF($A$2:A750,A750)&gt;1,"DUP","OK")</f>
        <v>OK</v>
      </c>
      <c r="O750" s="23" t="str">
        <f t="shared" si="34"/>
        <v>ORD26001171</v>
      </c>
      <c r="P750" s="23" t="str">
        <f t="shared" si="35"/>
        <v>Sep</v>
      </c>
      <c r="Q750" s="23" t="str">
        <f>IF(F750="CAPTURE",IF(COUNTIF(orders!$A:$A,O750)&gt;0,"Yes","NO ORDER"),"")</f>
        <v>Yes</v>
      </c>
    </row>
    <row r="751" spans="1:17" ht="15" customHeight="1" x14ac:dyDescent="0.3">
      <c r="A751" s="23" t="s">
        <v>13282</v>
      </c>
      <c r="B751" s="23"/>
      <c r="C751" s="23" t="s">
        <v>2864</v>
      </c>
      <c r="D751" s="23" t="str">
        <f t="shared" si="33"/>
        <v>ORD26001198</v>
      </c>
      <c r="E751" s="38">
        <v>46270</v>
      </c>
      <c r="F751" s="23" t="s">
        <v>12410</v>
      </c>
      <c r="G751" s="23" t="s">
        <v>77</v>
      </c>
      <c r="H751" s="24">
        <v>3499</v>
      </c>
      <c r="I751" s="24">
        <v>59.48</v>
      </c>
      <c r="J751" s="24">
        <v>10.71</v>
      </c>
      <c r="K751" s="24">
        <v>3428.81</v>
      </c>
      <c r="L751" s="38">
        <v>46272</v>
      </c>
      <c r="M751" s="23" t="s">
        <v>190</v>
      </c>
      <c r="N751" s="23" t="str">
        <f>IF(COUNTIF($A$2:A751,A751)&gt;1,"DUP","OK")</f>
        <v>OK</v>
      </c>
      <c r="O751" s="23" t="str">
        <f t="shared" si="34"/>
        <v>ORD26001198</v>
      </c>
      <c r="P751" s="23" t="str">
        <f t="shared" si="35"/>
        <v>Sep</v>
      </c>
      <c r="Q751" s="23" t="str">
        <f>IF(F751="CAPTURE",IF(COUNTIF(orders!$A:$A,O751)&gt;0,"Yes","NO ORDER"),"")</f>
        <v>Yes</v>
      </c>
    </row>
    <row r="752" spans="1:17" ht="15" customHeight="1" x14ac:dyDescent="0.3">
      <c r="A752" s="23" t="s">
        <v>13283</v>
      </c>
      <c r="B752" s="23"/>
      <c r="C752" s="23" t="s">
        <v>2868</v>
      </c>
      <c r="D752" s="23" t="str">
        <f t="shared" si="33"/>
        <v>ORD26001200</v>
      </c>
      <c r="E752" s="38">
        <v>46270</v>
      </c>
      <c r="F752" s="23" t="s">
        <v>12410</v>
      </c>
      <c r="G752" s="23" t="s">
        <v>75</v>
      </c>
      <c r="H752" s="24">
        <v>599</v>
      </c>
      <c r="I752" s="24">
        <v>0</v>
      </c>
      <c r="J752" s="24">
        <v>0</v>
      </c>
      <c r="K752" s="24">
        <v>599</v>
      </c>
      <c r="L752" s="38">
        <v>46272</v>
      </c>
      <c r="M752" s="23" t="s">
        <v>190</v>
      </c>
      <c r="N752" s="23" t="str">
        <f>IF(COUNTIF($A$2:A752,A752)&gt;1,"DUP","OK")</f>
        <v>OK</v>
      </c>
      <c r="O752" s="23" t="str">
        <f t="shared" si="34"/>
        <v>ORD26001200</v>
      </c>
      <c r="P752" s="23" t="str">
        <f t="shared" si="35"/>
        <v>Sep</v>
      </c>
      <c r="Q752" s="23" t="str">
        <f>IF(F752="CAPTURE",IF(COUNTIF(orders!$A:$A,O752)&gt;0,"Yes","NO ORDER"),"")</f>
        <v>Yes</v>
      </c>
    </row>
    <row r="753" spans="1:17" ht="15" customHeight="1" x14ac:dyDescent="0.3">
      <c r="A753" s="23" t="s">
        <v>13284</v>
      </c>
      <c r="B753" s="23"/>
      <c r="C753" s="23" t="s">
        <v>13285</v>
      </c>
      <c r="D753" s="23" t="str">
        <f t="shared" si="33"/>
        <v>ORD26001214</v>
      </c>
      <c r="E753" s="38">
        <v>46270</v>
      </c>
      <c r="F753" s="23" t="s">
        <v>12410</v>
      </c>
      <c r="G753" s="23" t="s">
        <v>77</v>
      </c>
      <c r="H753" s="24">
        <v>3499</v>
      </c>
      <c r="I753" s="24">
        <v>59.48</v>
      </c>
      <c r="J753" s="24">
        <v>10.71</v>
      </c>
      <c r="K753" s="24">
        <v>3428.81</v>
      </c>
      <c r="L753" s="38">
        <v>46272</v>
      </c>
      <c r="M753" s="23" t="s">
        <v>190</v>
      </c>
      <c r="N753" s="23" t="str">
        <f>IF(COUNTIF($A$2:A753,A753)&gt;1,"DUP","OK")</f>
        <v>OK</v>
      </c>
      <c r="O753" s="23" t="str">
        <f t="shared" si="34"/>
        <v>ORD26001214</v>
      </c>
      <c r="P753" s="23" t="str">
        <f t="shared" si="35"/>
        <v>Sep</v>
      </c>
      <c r="Q753" s="23" t="str">
        <f>IF(F753="CAPTURE",IF(COUNTIF(orders!$A:$A,O753)&gt;0,"Yes","NO ORDER"),"")</f>
        <v>Yes</v>
      </c>
    </row>
    <row r="754" spans="1:17" ht="15" customHeight="1" x14ac:dyDescent="0.3">
      <c r="A754" s="23" t="s">
        <v>13286</v>
      </c>
      <c r="B754" s="23"/>
      <c r="C754" s="23" t="s">
        <v>2938</v>
      </c>
      <c r="D754" s="23" t="str">
        <f t="shared" si="33"/>
        <v>ORD26001234</v>
      </c>
      <c r="E754" s="38">
        <v>46270</v>
      </c>
      <c r="F754" s="23" t="s">
        <v>12410</v>
      </c>
      <c r="G754" s="23" t="s">
        <v>75</v>
      </c>
      <c r="H754" s="24">
        <v>3597</v>
      </c>
      <c r="I754" s="24">
        <v>10.79</v>
      </c>
      <c r="J754" s="24">
        <v>1.94</v>
      </c>
      <c r="K754" s="24">
        <v>3584.27</v>
      </c>
      <c r="L754" s="38">
        <v>46272</v>
      </c>
      <c r="M754" s="23" t="s">
        <v>190</v>
      </c>
      <c r="N754" s="23" t="str">
        <f>IF(COUNTIF($A$2:A754,A754)&gt;1,"DUP","OK")</f>
        <v>OK</v>
      </c>
      <c r="O754" s="23" t="str">
        <f t="shared" si="34"/>
        <v>ORD26001234</v>
      </c>
      <c r="P754" s="23" t="str">
        <f t="shared" si="35"/>
        <v>Sep</v>
      </c>
      <c r="Q754" s="23" t="str">
        <f>IF(F754="CAPTURE",IF(COUNTIF(orders!$A:$A,O754)&gt;0,"Yes","NO ORDER"),"")</f>
        <v>Yes</v>
      </c>
    </row>
    <row r="755" spans="1:17" ht="15" customHeight="1" x14ac:dyDescent="0.3">
      <c r="A755" s="23" t="s">
        <v>13287</v>
      </c>
      <c r="B755" s="23"/>
      <c r="C755" s="23" t="s">
        <v>13288</v>
      </c>
      <c r="D755" s="23" t="str">
        <f t="shared" si="33"/>
        <v>ORD26001239</v>
      </c>
      <c r="E755" s="38">
        <v>46270</v>
      </c>
      <c r="F755" s="23" t="s">
        <v>12410</v>
      </c>
      <c r="G755" s="23" t="s">
        <v>75</v>
      </c>
      <c r="H755" s="24">
        <v>1348</v>
      </c>
      <c r="I755" s="24">
        <v>0</v>
      </c>
      <c r="J755" s="24">
        <v>0</v>
      </c>
      <c r="K755" s="24">
        <v>1348</v>
      </c>
      <c r="L755" s="38">
        <v>46272</v>
      </c>
      <c r="M755" s="23" t="s">
        <v>190</v>
      </c>
      <c r="N755" s="23" t="str">
        <f>IF(COUNTIF($A$2:A755,A755)&gt;1,"DUP","OK")</f>
        <v>OK</v>
      </c>
      <c r="O755" s="23" t="str">
        <f t="shared" si="34"/>
        <v>ORD26001239</v>
      </c>
      <c r="P755" s="23" t="str">
        <f t="shared" si="35"/>
        <v>Sep</v>
      </c>
      <c r="Q755" s="23" t="str">
        <f>IF(F755="CAPTURE",IF(COUNTIF(orders!$A:$A,O755)&gt;0,"Yes","NO ORDER"),"")</f>
        <v>Yes</v>
      </c>
    </row>
    <row r="756" spans="1:17" ht="15" customHeight="1" x14ac:dyDescent="0.3">
      <c r="A756" s="23" t="s">
        <v>13289</v>
      </c>
      <c r="B756" s="23"/>
      <c r="C756" s="23" t="s">
        <v>13290</v>
      </c>
      <c r="D756" s="23" t="str">
        <f t="shared" si="33"/>
        <v>ORD26001242</v>
      </c>
      <c r="E756" s="38">
        <v>46270</v>
      </c>
      <c r="F756" s="23" t="s">
        <v>12410</v>
      </c>
      <c r="G756" s="23" t="s">
        <v>79</v>
      </c>
      <c r="H756" s="24">
        <v>6347</v>
      </c>
      <c r="I756" s="24">
        <v>101.55</v>
      </c>
      <c r="J756" s="24">
        <v>18.28</v>
      </c>
      <c r="K756" s="24">
        <v>6227.17</v>
      </c>
      <c r="L756" s="38">
        <v>46272</v>
      </c>
      <c r="M756" s="23" t="s">
        <v>190</v>
      </c>
      <c r="N756" s="23" t="str">
        <f>IF(COUNTIF($A$2:A756,A756)&gt;1,"DUP","OK")</f>
        <v>OK</v>
      </c>
      <c r="O756" s="23" t="str">
        <f t="shared" si="34"/>
        <v>ORD26001242</v>
      </c>
      <c r="P756" s="23" t="str">
        <f t="shared" si="35"/>
        <v>Sep</v>
      </c>
      <c r="Q756" s="23" t="str">
        <f>IF(F756="CAPTURE",IF(COUNTIF(orders!$A:$A,O756)&gt;0,"Yes","NO ORDER"),"")</f>
        <v>Yes</v>
      </c>
    </row>
    <row r="757" spans="1:17" ht="15" customHeight="1" x14ac:dyDescent="0.3">
      <c r="A757" s="23" t="s">
        <v>13291</v>
      </c>
      <c r="B757" s="23"/>
      <c r="C757" s="23" t="s">
        <v>3120</v>
      </c>
      <c r="D757" s="23" t="str">
        <f t="shared" si="33"/>
        <v>ORD26001321</v>
      </c>
      <c r="E757" s="38">
        <v>46270</v>
      </c>
      <c r="F757" s="23" t="s">
        <v>12410</v>
      </c>
      <c r="G757" s="23" t="s">
        <v>75</v>
      </c>
      <c r="H757" s="24">
        <v>799</v>
      </c>
      <c r="I757" s="24">
        <v>0</v>
      </c>
      <c r="J757" s="24">
        <v>0</v>
      </c>
      <c r="K757" s="24">
        <v>799</v>
      </c>
      <c r="L757" s="38">
        <v>46272</v>
      </c>
      <c r="M757" s="23" t="s">
        <v>190</v>
      </c>
      <c r="N757" s="23" t="str">
        <f>IF(COUNTIF($A$2:A757,A757)&gt;1,"DUP","OK")</f>
        <v>OK</v>
      </c>
      <c r="O757" s="23" t="str">
        <f t="shared" si="34"/>
        <v>ORD26001321</v>
      </c>
      <c r="P757" s="23" t="str">
        <f t="shared" si="35"/>
        <v>Sep</v>
      </c>
      <c r="Q757" s="23" t="str">
        <f>IF(F757="CAPTURE",IF(COUNTIF(orders!$A:$A,O757)&gt;0,"Yes","NO ORDER"),"")</f>
        <v>Yes</v>
      </c>
    </row>
    <row r="758" spans="1:17" ht="15" customHeight="1" x14ac:dyDescent="0.3">
      <c r="A758" s="23" t="s">
        <v>13292</v>
      </c>
      <c r="B758" s="23"/>
      <c r="C758" s="23" t="s">
        <v>3163</v>
      </c>
      <c r="D758" s="23" t="str">
        <f t="shared" si="33"/>
        <v>ORD26001342</v>
      </c>
      <c r="E758" s="38">
        <v>46270</v>
      </c>
      <c r="F758" s="23" t="s">
        <v>12410</v>
      </c>
      <c r="G758" s="23" t="s">
        <v>79</v>
      </c>
      <c r="H758" s="24">
        <v>1799</v>
      </c>
      <c r="I758" s="24">
        <v>32.380000000000003</v>
      </c>
      <c r="J758" s="24">
        <v>5.83</v>
      </c>
      <c r="K758" s="24">
        <v>1760.79</v>
      </c>
      <c r="L758" s="38">
        <v>46272</v>
      </c>
      <c r="M758" s="23" t="s">
        <v>190</v>
      </c>
      <c r="N758" s="23" t="str">
        <f>IF(COUNTIF($A$2:A758,A758)&gt;1,"DUP","OK")</f>
        <v>OK</v>
      </c>
      <c r="O758" s="23" t="str">
        <f t="shared" si="34"/>
        <v>ORD26001342</v>
      </c>
      <c r="P758" s="23" t="str">
        <f t="shared" si="35"/>
        <v>Sep</v>
      </c>
      <c r="Q758" s="23" t="str">
        <f>IF(F758="CAPTURE",IF(COUNTIF(orders!$A:$A,O758)&gt;0,"Yes","NO ORDER"),"")</f>
        <v>Yes</v>
      </c>
    </row>
    <row r="759" spans="1:17" ht="15" customHeight="1" x14ac:dyDescent="0.3">
      <c r="A759" s="23" t="s">
        <v>13293</v>
      </c>
      <c r="B759" s="23"/>
      <c r="C759" s="23" t="s">
        <v>3165</v>
      </c>
      <c r="D759" s="23" t="str">
        <f t="shared" si="33"/>
        <v>ORD26001343</v>
      </c>
      <c r="E759" s="38">
        <v>46270</v>
      </c>
      <c r="F759" s="23" t="s">
        <v>12410</v>
      </c>
      <c r="G759" s="23" t="s">
        <v>79</v>
      </c>
      <c r="H759" s="24">
        <v>799</v>
      </c>
      <c r="I759" s="24">
        <v>14.38</v>
      </c>
      <c r="J759" s="24">
        <v>2.59</v>
      </c>
      <c r="K759" s="24">
        <v>782.03</v>
      </c>
      <c r="L759" s="38">
        <v>46272</v>
      </c>
      <c r="M759" s="23" t="s">
        <v>190</v>
      </c>
      <c r="N759" s="23" t="str">
        <f>IF(COUNTIF($A$2:A759,A759)&gt;1,"DUP","OK")</f>
        <v>OK</v>
      </c>
      <c r="O759" s="23" t="str">
        <f t="shared" si="34"/>
        <v>ORD26001343</v>
      </c>
      <c r="P759" s="23" t="str">
        <f t="shared" si="35"/>
        <v>Sep</v>
      </c>
      <c r="Q759" s="23" t="str">
        <f>IF(F759="CAPTURE",IF(COUNTIF(orders!$A:$A,O759)&gt;0,"Yes","NO ORDER"),"")</f>
        <v>Yes</v>
      </c>
    </row>
    <row r="760" spans="1:17" ht="15" customHeight="1" x14ac:dyDescent="0.3">
      <c r="A760" s="23" t="s">
        <v>13294</v>
      </c>
      <c r="B760" s="23"/>
      <c r="C760" s="23" t="s">
        <v>3370</v>
      </c>
      <c r="D760" s="23" t="str">
        <f t="shared" si="33"/>
        <v>ORD26001444</v>
      </c>
      <c r="E760" s="38">
        <v>46270</v>
      </c>
      <c r="F760" s="23" t="s">
        <v>12410</v>
      </c>
      <c r="G760" s="23" t="s">
        <v>75</v>
      </c>
      <c r="H760" s="24">
        <v>1499</v>
      </c>
      <c r="I760" s="24">
        <v>0</v>
      </c>
      <c r="J760" s="24">
        <v>0</v>
      </c>
      <c r="K760" s="24">
        <v>1499</v>
      </c>
      <c r="L760" s="38">
        <v>46272</v>
      </c>
      <c r="M760" s="23" t="s">
        <v>190</v>
      </c>
      <c r="N760" s="23" t="str">
        <f>IF(COUNTIF($A$2:A760,A760)&gt;1,"DUP","OK")</f>
        <v>OK</v>
      </c>
      <c r="O760" s="23" t="str">
        <f t="shared" si="34"/>
        <v>ORD26001444</v>
      </c>
      <c r="P760" s="23" t="str">
        <f t="shared" si="35"/>
        <v>Sep</v>
      </c>
      <c r="Q760" s="23" t="str">
        <f>IF(F760="CAPTURE",IF(COUNTIF(orders!$A:$A,O760)&gt;0,"Yes","NO ORDER"),"")</f>
        <v>Yes</v>
      </c>
    </row>
    <row r="761" spans="1:17" ht="15" customHeight="1" x14ac:dyDescent="0.3">
      <c r="A761" s="23" t="s">
        <v>13295</v>
      </c>
      <c r="B761" s="23"/>
      <c r="C761" s="23" t="s">
        <v>3425</v>
      </c>
      <c r="D761" s="23" t="str">
        <f t="shared" si="33"/>
        <v>ORD26001471</v>
      </c>
      <c r="E761" s="38">
        <v>46270</v>
      </c>
      <c r="F761" s="23" t="s">
        <v>12410</v>
      </c>
      <c r="G761" s="23" t="s">
        <v>75</v>
      </c>
      <c r="H761" s="24">
        <v>4498</v>
      </c>
      <c r="I761" s="24">
        <v>13.49</v>
      </c>
      <c r="J761" s="24">
        <v>2.4300000000000002</v>
      </c>
      <c r="K761" s="24">
        <v>4482.08</v>
      </c>
      <c r="L761" s="38">
        <v>46272</v>
      </c>
      <c r="M761" s="23" t="s">
        <v>190</v>
      </c>
      <c r="N761" s="23" t="str">
        <f>IF(COUNTIF($A$2:A761,A761)&gt;1,"DUP","OK")</f>
        <v>OK</v>
      </c>
      <c r="O761" s="23" t="str">
        <f t="shared" si="34"/>
        <v>ORD26001471</v>
      </c>
      <c r="P761" s="23" t="str">
        <f t="shared" si="35"/>
        <v>Sep</v>
      </c>
      <c r="Q761" s="23" t="str">
        <f>IF(F761="CAPTURE",IF(COUNTIF(orders!$A:$A,O761)&gt;0,"Yes","NO ORDER"),"")</f>
        <v>Yes</v>
      </c>
    </row>
    <row r="762" spans="1:17" ht="15" customHeight="1" x14ac:dyDescent="0.3">
      <c r="A762" s="23" t="s">
        <v>13296</v>
      </c>
      <c r="B762" s="23"/>
      <c r="C762" s="23" t="s">
        <v>13297</v>
      </c>
      <c r="D762" s="23" t="str">
        <f t="shared" si="33"/>
        <v>ORD26001475</v>
      </c>
      <c r="E762" s="38">
        <v>46270</v>
      </c>
      <c r="F762" s="23" t="s">
        <v>12410</v>
      </c>
      <c r="G762" s="23" t="s">
        <v>77</v>
      </c>
      <c r="H762" s="24">
        <v>5998</v>
      </c>
      <c r="I762" s="24">
        <v>101.97</v>
      </c>
      <c r="J762" s="24">
        <v>18.350000000000001</v>
      </c>
      <c r="K762" s="24">
        <v>5877.68</v>
      </c>
      <c r="L762" s="38">
        <v>46272</v>
      </c>
      <c r="M762" s="23" t="s">
        <v>190</v>
      </c>
      <c r="N762" s="23" t="str">
        <f>IF(COUNTIF($A$2:A762,A762)&gt;1,"DUP","OK")</f>
        <v>OK</v>
      </c>
      <c r="O762" s="23" t="str">
        <f t="shared" si="34"/>
        <v>ORD26001475</v>
      </c>
      <c r="P762" s="23" t="str">
        <f t="shared" si="35"/>
        <v>Sep</v>
      </c>
      <c r="Q762" s="23" t="str">
        <f>IF(F762="CAPTURE",IF(COUNTIF(orders!$A:$A,O762)&gt;0,"Yes","NO ORDER"),"")</f>
        <v>Yes</v>
      </c>
    </row>
    <row r="763" spans="1:17" ht="15" customHeight="1" x14ac:dyDescent="0.3">
      <c r="A763" s="23" t="s">
        <v>13298</v>
      </c>
      <c r="B763" s="23"/>
      <c r="C763" s="23" t="s">
        <v>3475</v>
      </c>
      <c r="D763" s="23" t="str">
        <f t="shared" si="33"/>
        <v>ORD26001495</v>
      </c>
      <c r="E763" s="38">
        <v>46270</v>
      </c>
      <c r="F763" s="23" t="s">
        <v>12410</v>
      </c>
      <c r="G763" s="23" t="s">
        <v>75</v>
      </c>
      <c r="H763" s="24">
        <v>3499</v>
      </c>
      <c r="I763" s="24">
        <v>10.5</v>
      </c>
      <c r="J763" s="24">
        <v>1.89</v>
      </c>
      <c r="K763" s="24">
        <v>3486.61</v>
      </c>
      <c r="L763" s="38">
        <v>46272</v>
      </c>
      <c r="M763" s="23" t="s">
        <v>190</v>
      </c>
      <c r="N763" s="23" t="str">
        <f>IF(COUNTIF($A$2:A763,A763)&gt;1,"DUP","OK")</f>
        <v>OK</v>
      </c>
      <c r="O763" s="23" t="str">
        <f t="shared" si="34"/>
        <v>ORD26001495</v>
      </c>
      <c r="P763" s="23" t="str">
        <f t="shared" si="35"/>
        <v>Sep</v>
      </c>
      <c r="Q763" s="23" t="str">
        <f>IF(F763="CAPTURE",IF(COUNTIF(orders!$A:$A,O763)&gt;0,"Yes","NO ORDER"),"")</f>
        <v>Yes</v>
      </c>
    </row>
    <row r="764" spans="1:17" ht="15" customHeight="1" x14ac:dyDescent="0.3">
      <c r="A764" s="23" t="s">
        <v>13299</v>
      </c>
      <c r="B764" s="23"/>
      <c r="C764" s="23" t="s">
        <v>3486</v>
      </c>
      <c r="D764" s="23" t="str">
        <f t="shared" si="33"/>
        <v>ORD26001500</v>
      </c>
      <c r="E764" s="38">
        <v>46270</v>
      </c>
      <c r="F764" s="23" t="s">
        <v>12410</v>
      </c>
      <c r="G764" s="23" t="s">
        <v>79</v>
      </c>
      <c r="H764" s="24">
        <v>1799</v>
      </c>
      <c r="I764" s="24">
        <v>32.380000000000003</v>
      </c>
      <c r="J764" s="24">
        <v>5.83</v>
      </c>
      <c r="K764" s="24">
        <v>1760.79</v>
      </c>
      <c r="L764" s="38">
        <v>46272</v>
      </c>
      <c r="M764" s="23" t="s">
        <v>190</v>
      </c>
      <c r="N764" s="23" t="str">
        <f>IF(COUNTIF($A$2:A764,A764)&gt;1,"DUP","OK")</f>
        <v>OK</v>
      </c>
      <c r="O764" s="23" t="str">
        <f t="shared" si="34"/>
        <v>ORD26001500</v>
      </c>
      <c r="P764" s="23" t="str">
        <f t="shared" si="35"/>
        <v>Sep</v>
      </c>
      <c r="Q764" s="23" t="str">
        <f>IF(F764="CAPTURE",IF(COUNTIF(orders!$A:$A,O764)&gt;0,"Yes","NO ORDER"),"")</f>
        <v>Yes</v>
      </c>
    </row>
    <row r="765" spans="1:17" ht="15" customHeight="1" x14ac:dyDescent="0.3">
      <c r="A765" s="23" t="s">
        <v>13300</v>
      </c>
      <c r="B765" s="23"/>
      <c r="C765" s="23" t="s">
        <v>3498</v>
      </c>
      <c r="D765" s="23" t="str">
        <f t="shared" si="33"/>
        <v>ORD26001506</v>
      </c>
      <c r="E765" s="38">
        <v>46270</v>
      </c>
      <c r="F765" s="23" t="s">
        <v>12410</v>
      </c>
      <c r="G765" s="23" t="s">
        <v>77</v>
      </c>
      <c r="H765" s="24">
        <v>1098</v>
      </c>
      <c r="I765" s="24">
        <v>20.86</v>
      </c>
      <c r="J765" s="24">
        <v>3.75</v>
      </c>
      <c r="K765" s="24">
        <v>1073.3900000000001</v>
      </c>
      <c r="L765" s="38">
        <v>46272</v>
      </c>
      <c r="M765" s="23" t="s">
        <v>190</v>
      </c>
      <c r="N765" s="23" t="str">
        <f>IF(COUNTIF($A$2:A765,A765)&gt;1,"DUP","OK")</f>
        <v>OK</v>
      </c>
      <c r="O765" s="23" t="str">
        <f t="shared" si="34"/>
        <v>ORD26001506</v>
      </c>
      <c r="P765" s="23" t="str">
        <f t="shared" si="35"/>
        <v>Sep</v>
      </c>
      <c r="Q765" s="23" t="str">
        <f>IF(F765="CAPTURE",IF(COUNTIF(orders!$A:$A,O765)&gt;0,"Yes","NO ORDER"),"")</f>
        <v>Yes</v>
      </c>
    </row>
    <row r="766" spans="1:17" ht="15" customHeight="1" x14ac:dyDescent="0.3">
      <c r="A766" s="23" t="s">
        <v>13301</v>
      </c>
      <c r="B766" s="23"/>
      <c r="C766" s="23" t="s">
        <v>13302</v>
      </c>
      <c r="D766" s="23" t="str">
        <f t="shared" si="33"/>
        <v>ORD26001538</v>
      </c>
      <c r="E766" s="38">
        <v>46270</v>
      </c>
      <c r="F766" s="23" t="s">
        <v>12410</v>
      </c>
      <c r="G766" s="23" t="s">
        <v>75</v>
      </c>
      <c r="H766" s="24">
        <v>5797</v>
      </c>
      <c r="I766" s="24">
        <v>17.39</v>
      </c>
      <c r="J766" s="24">
        <v>3.13</v>
      </c>
      <c r="K766" s="24">
        <v>5776.48</v>
      </c>
      <c r="L766" s="38">
        <v>46272</v>
      </c>
      <c r="M766" s="23" t="s">
        <v>190</v>
      </c>
      <c r="N766" s="23" t="str">
        <f>IF(COUNTIF($A$2:A766,A766)&gt;1,"DUP","OK")</f>
        <v>OK</v>
      </c>
      <c r="O766" s="23" t="str">
        <f t="shared" si="34"/>
        <v>ORD26001538</v>
      </c>
      <c r="P766" s="23" t="str">
        <f t="shared" si="35"/>
        <v>Sep</v>
      </c>
      <c r="Q766" s="23" t="str">
        <f>IF(F766="CAPTURE",IF(COUNTIF(orders!$A:$A,O766)&gt;0,"Yes","NO ORDER"),"")</f>
        <v>Yes</v>
      </c>
    </row>
    <row r="767" spans="1:17" ht="15" customHeight="1" x14ac:dyDescent="0.3">
      <c r="A767" s="23" t="s">
        <v>13303</v>
      </c>
      <c r="B767" s="23"/>
      <c r="C767" s="23" t="s">
        <v>13304</v>
      </c>
      <c r="D767" s="23" t="str">
        <f t="shared" si="33"/>
        <v>ORD26001546</v>
      </c>
      <c r="E767" s="38">
        <v>46270</v>
      </c>
      <c r="F767" s="23" t="s">
        <v>12410</v>
      </c>
      <c r="G767" s="23" t="s">
        <v>77</v>
      </c>
      <c r="H767" s="24">
        <v>2999</v>
      </c>
      <c r="I767" s="24">
        <v>50.98</v>
      </c>
      <c r="J767" s="24">
        <v>9.18</v>
      </c>
      <c r="K767" s="24">
        <v>2938.84</v>
      </c>
      <c r="L767" s="38">
        <v>46272</v>
      </c>
      <c r="M767" s="23" t="s">
        <v>190</v>
      </c>
      <c r="N767" s="23" t="str">
        <f>IF(COUNTIF($A$2:A767,A767)&gt;1,"DUP","OK")</f>
        <v>OK</v>
      </c>
      <c r="O767" s="23" t="str">
        <f t="shared" si="34"/>
        <v>ORD26001546</v>
      </c>
      <c r="P767" s="23" t="str">
        <f t="shared" si="35"/>
        <v>Sep</v>
      </c>
      <c r="Q767" s="23" t="str">
        <f>IF(F767="CAPTURE",IF(COUNTIF(orders!$A:$A,O767)&gt;0,"Yes","NO ORDER"),"")</f>
        <v>Yes</v>
      </c>
    </row>
    <row r="768" spans="1:17" ht="15" customHeight="1" x14ac:dyDescent="0.3">
      <c r="A768" s="23" t="s">
        <v>13305</v>
      </c>
      <c r="B768" s="23"/>
      <c r="C768" s="23" t="s">
        <v>13306</v>
      </c>
      <c r="D768" s="23" t="str">
        <f t="shared" si="33"/>
        <v>ORD26001550</v>
      </c>
      <c r="E768" s="38">
        <v>46270</v>
      </c>
      <c r="F768" s="23" t="s">
        <v>12410</v>
      </c>
      <c r="G768" s="23" t="s">
        <v>75</v>
      </c>
      <c r="H768" s="24">
        <v>6297</v>
      </c>
      <c r="I768" s="24">
        <v>18.89</v>
      </c>
      <c r="J768" s="24">
        <v>3.4</v>
      </c>
      <c r="K768" s="24">
        <v>6274.71</v>
      </c>
      <c r="L768" s="38">
        <v>46272</v>
      </c>
      <c r="M768" s="23" t="s">
        <v>190</v>
      </c>
      <c r="N768" s="23" t="str">
        <f>IF(COUNTIF($A$2:A768,A768)&gt;1,"DUP","OK")</f>
        <v>OK</v>
      </c>
      <c r="O768" s="23" t="str">
        <f t="shared" si="34"/>
        <v>ORD26001550</v>
      </c>
      <c r="P768" s="23" t="str">
        <f t="shared" si="35"/>
        <v>Sep</v>
      </c>
      <c r="Q768" s="23" t="str">
        <f>IF(F768="CAPTURE",IF(COUNTIF(orders!$A:$A,O768)&gt;0,"Yes","NO ORDER"),"")</f>
        <v>Yes</v>
      </c>
    </row>
    <row r="769" spans="1:17" ht="15" customHeight="1" x14ac:dyDescent="0.3">
      <c r="A769" s="23" t="s">
        <v>13307</v>
      </c>
      <c r="B769" s="23"/>
      <c r="C769" s="23" t="s">
        <v>13308</v>
      </c>
      <c r="D769" s="23" t="str">
        <f t="shared" si="33"/>
        <v>ORD26001707</v>
      </c>
      <c r="E769" s="38">
        <v>46270</v>
      </c>
      <c r="F769" s="23" t="s">
        <v>12410</v>
      </c>
      <c r="G769" s="23" t="s">
        <v>77</v>
      </c>
      <c r="H769" s="24">
        <v>3499</v>
      </c>
      <c r="I769" s="24">
        <v>83.98</v>
      </c>
      <c r="J769" s="24">
        <v>15.12</v>
      </c>
      <c r="K769" s="24">
        <v>3399.9</v>
      </c>
      <c r="L769" s="38">
        <v>46272</v>
      </c>
      <c r="M769" s="23" t="s">
        <v>190</v>
      </c>
      <c r="N769" s="23" t="str">
        <f>IF(COUNTIF($A$2:A769,A769)&gt;1,"DUP","OK")</f>
        <v>OK</v>
      </c>
      <c r="O769" s="23" t="str">
        <f t="shared" si="34"/>
        <v>ORD26001707</v>
      </c>
      <c r="P769" s="23" t="str">
        <f t="shared" si="35"/>
        <v>Sep</v>
      </c>
      <c r="Q769" s="23" t="str">
        <f>IF(F769="CAPTURE",IF(COUNTIF(orders!$A:$A,O769)&gt;0,"Yes","NO ORDER"),"")</f>
        <v>Yes</v>
      </c>
    </row>
    <row r="770" spans="1:17" ht="15" customHeight="1" x14ac:dyDescent="0.3">
      <c r="A770" s="23" t="s">
        <v>13309</v>
      </c>
      <c r="B770" s="23"/>
      <c r="C770" s="23" t="s">
        <v>3927</v>
      </c>
      <c r="D770" s="23" t="str">
        <f t="shared" ref="D770:D833" si="36">UPPER(SUBSTITUTE(TRIM(C770),"-",""))</f>
        <v>ORD26001720</v>
      </c>
      <c r="E770" s="38">
        <v>46270</v>
      </c>
      <c r="F770" s="23" t="s">
        <v>12410</v>
      </c>
      <c r="G770" s="23" t="s">
        <v>75</v>
      </c>
      <c r="H770" s="24">
        <v>7297</v>
      </c>
      <c r="I770" s="24">
        <v>21.89</v>
      </c>
      <c r="J770" s="24">
        <v>3.94</v>
      </c>
      <c r="K770" s="24">
        <v>7271.17</v>
      </c>
      <c r="L770" s="38">
        <v>46272</v>
      </c>
      <c r="M770" s="23" t="s">
        <v>190</v>
      </c>
      <c r="N770" s="23" t="str">
        <f>IF(COUNTIF($A$2:A770,A770)&gt;1,"DUP","OK")</f>
        <v>OK</v>
      </c>
      <c r="O770" s="23" t="str">
        <f t="shared" ref="O770:O833" si="37">IF(F770="REFUND",INDEX($D:$D,MATCH(B770,$A:$A,0)),D770)</f>
        <v>ORD26001720</v>
      </c>
      <c r="P770" s="23" t="str">
        <f t="shared" ref="P770:P833" si="38">IF(L770&gt;DATE(2026,9,30),"Oct-Due","Sep")</f>
        <v>Sep</v>
      </c>
      <c r="Q770" s="23" t="str">
        <f>IF(F770="CAPTURE",IF(COUNTIF(orders!$A:$A,O770)&gt;0,"Yes","NO ORDER"),"")</f>
        <v>Yes</v>
      </c>
    </row>
    <row r="771" spans="1:17" ht="15" customHeight="1" x14ac:dyDescent="0.3">
      <c r="A771" s="23" t="s">
        <v>13310</v>
      </c>
      <c r="B771" s="23"/>
      <c r="C771" s="23" t="s">
        <v>3929</v>
      </c>
      <c r="D771" s="23" t="str">
        <f t="shared" si="36"/>
        <v>ORD26001721</v>
      </c>
      <c r="E771" s="38">
        <v>46270</v>
      </c>
      <c r="F771" s="23" t="s">
        <v>12410</v>
      </c>
      <c r="G771" s="23" t="s">
        <v>77</v>
      </c>
      <c r="H771" s="24">
        <v>4998</v>
      </c>
      <c r="I771" s="24">
        <v>84.97</v>
      </c>
      <c r="J771" s="24">
        <v>15.29</v>
      </c>
      <c r="K771" s="24">
        <v>4897.74</v>
      </c>
      <c r="L771" s="38">
        <v>46272</v>
      </c>
      <c r="M771" s="23" t="s">
        <v>190</v>
      </c>
      <c r="N771" s="23" t="str">
        <f>IF(COUNTIF($A$2:A771,A771)&gt;1,"DUP","OK")</f>
        <v>OK</v>
      </c>
      <c r="O771" s="23" t="str">
        <f t="shared" si="37"/>
        <v>ORD26001721</v>
      </c>
      <c r="P771" s="23" t="str">
        <f t="shared" si="38"/>
        <v>Sep</v>
      </c>
      <c r="Q771" s="23" t="str">
        <f>IF(F771="CAPTURE",IF(COUNTIF(orders!$A:$A,O771)&gt;0,"Yes","NO ORDER"),"")</f>
        <v>Yes</v>
      </c>
    </row>
    <row r="772" spans="1:17" ht="15" customHeight="1" x14ac:dyDescent="0.3">
      <c r="A772" s="23" t="s">
        <v>13311</v>
      </c>
      <c r="B772" s="23"/>
      <c r="C772" s="23" t="s">
        <v>4006</v>
      </c>
      <c r="D772" s="23" t="str">
        <f t="shared" si="36"/>
        <v>ORD26001759</v>
      </c>
      <c r="E772" s="38">
        <v>46270</v>
      </c>
      <c r="F772" s="23" t="s">
        <v>12410</v>
      </c>
      <c r="G772" s="23" t="s">
        <v>75</v>
      </c>
      <c r="H772" s="24">
        <v>3499</v>
      </c>
      <c r="I772" s="24">
        <v>10.5</v>
      </c>
      <c r="J772" s="24">
        <v>1.89</v>
      </c>
      <c r="K772" s="24">
        <v>3486.61</v>
      </c>
      <c r="L772" s="38">
        <v>46272</v>
      </c>
      <c r="M772" s="23" t="s">
        <v>190</v>
      </c>
      <c r="N772" s="23" t="str">
        <f>IF(COUNTIF($A$2:A772,A772)&gt;1,"DUP","OK")</f>
        <v>OK</v>
      </c>
      <c r="O772" s="23" t="str">
        <f t="shared" si="37"/>
        <v>ORD26001759</v>
      </c>
      <c r="P772" s="23" t="str">
        <f t="shared" si="38"/>
        <v>Sep</v>
      </c>
      <c r="Q772" s="23" t="str">
        <f>IF(F772="CAPTURE",IF(COUNTIF(orders!$A:$A,O772)&gt;0,"Yes","NO ORDER"),"")</f>
        <v>Yes</v>
      </c>
    </row>
    <row r="773" spans="1:17" ht="15" customHeight="1" x14ac:dyDescent="0.3">
      <c r="A773" s="23" t="s">
        <v>13312</v>
      </c>
      <c r="B773" s="23"/>
      <c r="C773" s="23" t="s">
        <v>4053</v>
      </c>
      <c r="D773" s="23" t="str">
        <f t="shared" si="36"/>
        <v>ORD26001783</v>
      </c>
      <c r="E773" s="38">
        <v>46270</v>
      </c>
      <c r="F773" s="23" t="s">
        <v>12410</v>
      </c>
      <c r="G773" s="23" t="s">
        <v>77</v>
      </c>
      <c r="H773" s="24">
        <v>799</v>
      </c>
      <c r="I773" s="24">
        <v>15.18</v>
      </c>
      <c r="J773" s="24">
        <v>2.73</v>
      </c>
      <c r="K773" s="24">
        <v>781.09</v>
      </c>
      <c r="L773" s="38">
        <v>46272</v>
      </c>
      <c r="M773" s="23" t="s">
        <v>190</v>
      </c>
      <c r="N773" s="23" t="str">
        <f>IF(COUNTIF($A$2:A773,A773)&gt;1,"DUP","OK")</f>
        <v>OK</v>
      </c>
      <c r="O773" s="23" t="str">
        <f t="shared" si="37"/>
        <v>ORD26001783</v>
      </c>
      <c r="P773" s="23" t="str">
        <f t="shared" si="38"/>
        <v>Sep</v>
      </c>
      <c r="Q773" s="23" t="str">
        <f>IF(F773="CAPTURE",IF(COUNTIF(orders!$A:$A,O773)&gt;0,"Yes","NO ORDER"),"")</f>
        <v>Yes</v>
      </c>
    </row>
    <row r="774" spans="1:17" ht="15" customHeight="1" x14ac:dyDescent="0.3">
      <c r="A774" s="23" t="s">
        <v>13313</v>
      </c>
      <c r="B774" s="23"/>
      <c r="C774" s="23" t="s">
        <v>4189</v>
      </c>
      <c r="D774" s="23" t="str">
        <f t="shared" si="36"/>
        <v>ORD26001852</v>
      </c>
      <c r="E774" s="38">
        <v>46270</v>
      </c>
      <c r="F774" s="23" t="s">
        <v>12410</v>
      </c>
      <c r="G774" s="23" t="s">
        <v>75</v>
      </c>
      <c r="H774" s="24">
        <v>9147</v>
      </c>
      <c r="I774" s="24">
        <v>27.44</v>
      </c>
      <c r="J774" s="24">
        <v>4.9400000000000004</v>
      </c>
      <c r="K774" s="24">
        <v>9114.6200000000008</v>
      </c>
      <c r="L774" s="38">
        <v>46272</v>
      </c>
      <c r="M774" s="23" t="s">
        <v>190</v>
      </c>
      <c r="N774" s="23" t="str">
        <f>IF(COUNTIF($A$2:A774,A774)&gt;1,"DUP","OK")</f>
        <v>OK</v>
      </c>
      <c r="O774" s="23" t="str">
        <f t="shared" si="37"/>
        <v>ORD26001852</v>
      </c>
      <c r="P774" s="23" t="str">
        <f t="shared" si="38"/>
        <v>Sep</v>
      </c>
      <c r="Q774" s="23" t="str">
        <f>IF(F774="CAPTURE",IF(COUNTIF(orders!$A:$A,O774)&gt;0,"Yes","NO ORDER"),"")</f>
        <v>Yes</v>
      </c>
    </row>
    <row r="775" spans="1:17" ht="15" customHeight="1" x14ac:dyDescent="0.3">
      <c r="A775" s="23" t="s">
        <v>13314</v>
      </c>
      <c r="B775" s="23"/>
      <c r="C775" s="23" t="s">
        <v>4290</v>
      </c>
      <c r="D775" s="23" t="str">
        <f t="shared" si="36"/>
        <v>ORD26001901</v>
      </c>
      <c r="E775" s="38">
        <v>46270</v>
      </c>
      <c r="F775" s="23" t="s">
        <v>12410</v>
      </c>
      <c r="G775" s="23" t="s">
        <v>75</v>
      </c>
      <c r="H775" s="24">
        <v>1647</v>
      </c>
      <c r="I775" s="24">
        <v>0</v>
      </c>
      <c r="J775" s="24">
        <v>0</v>
      </c>
      <c r="K775" s="24">
        <v>1647</v>
      </c>
      <c r="L775" s="38">
        <v>46272</v>
      </c>
      <c r="M775" s="23" t="s">
        <v>190</v>
      </c>
      <c r="N775" s="23" t="str">
        <f>IF(COUNTIF($A$2:A775,A775)&gt;1,"DUP","OK")</f>
        <v>OK</v>
      </c>
      <c r="O775" s="23" t="str">
        <f t="shared" si="37"/>
        <v>ORD26001901</v>
      </c>
      <c r="P775" s="23" t="str">
        <f t="shared" si="38"/>
        <v>Sep</v>
      </c>
      <c r="Q775" s="23" t="str">
        <f>IF(F775="CAPTURE",IF(COUNTIF(orders!$A:$A,O775)&gt;0,"Yes","NO ORDER"),"")</f>
        <v>Yes</v>
      </c>
    </row>
    <row r="776" spans="1:17" ht="15" customHeight="1" x14ac:dyDescent="0.3">
      <c r="A776" s="23" t="s">
        <v>13315</v>
      </c>
      <c r="B776" s="23"/>
      <c r="C776" s="23" t="s">
        <v>4369</v>
      </c>
      <c r="D776" s="23" t="str">
        <f t="shared" si="36"/>
        <v>ORD26001941</v>
      </c>
      <c r="E776" s="38">
        <v>46270</v>
      </c>
      <c r="F776" s="23" t="s">
        <v>12410</v>
      </c>
      <c r="G776" s="23" t="s">
        <v>75</v>
      </c>
      <c r="H776" s="24">
        <v>1299</v>
      </c>
      <c r="I776" s="24">
        <v>0</v>
      </c>
      <c r="J776" s="24">
        <v>0</v>
      </c>
      <c r="K776" s="24">
        <v>1299</v>
      </c>
      <c r="L776" s="38">
        <v>46272</v>
      </c>
      <c r="M776" s="23" t="s">
        <v>190</v>
      </c>
      <c r="N776" s="23" t="str">
        <f>IF(COUNTIF($A$2:A776,A776)&gt;1,"DUP","OK")</f>
        <v>OK</v>
      </c>
      <c r="O776" s="23" t="str">
        <f t="shared" si="37"/>
        <v>ORD26001941</v>
      </c>
      <c r="P776" s="23" t="str">
        <f t="shared" si="38"/>
        <v>Sep</v>
      </c>
      <c r="Q776" s="23" t="str">
        <f>IF(F776="CAPTURE",IF(COUNTIF(orders!$A:$A,O776)&gt;0,"Yes","NO ORDER"),"")</f>
        <v>Yes</v>
      </c>
    </row>
    <row r="777" spans="1:17" ht="15" customHeight="1" x14ac:dyDescent="0.3">
      <c r="A777" s="23" t="s">
        <v>13316</v>
      </c>
      <c r="B777" s="23"/>
      <c r="C777" s="23" t="s">
        <v>4421</v>
      </c>
      <c r="D777" s="23" t="str">
        <f t="shared" si="36"/>
        <v>ORD26001967</v>
      </c>
      <c r="E777" s="38">
        <v>46270</v>
      </c>
      <c r="F777" s="23" t="s">
        <v>12410</v>
      </c>
      <c r="G777" s="23" t="s">
        <v>79</v>
      </c>
      <c r="H777" s="24">
        <v>1198</v>
      </c>
      <c r="I777" s="24">
        <v>21.56</v>
      </c>
      <c r="J777" s="24">
        <v>3.88</v>
      </c>
      <c r="K777" s="24">
        <v>1172.56</v>
      </c>
      <c r="L777" s="38">
        <v>46272</v>
      </c>
      <c r="M777" s="23" t="s">
        <v>190</v>
      </c>
      <c r="N777" s="23" t="str">
        <f>IF(COUNTIF($A$2:A777,A777)&gt;1,"DUP","OK")</f>
        <v>OK</v>
      </c>
      <c r="O777" s="23" t="str">
        <f t="shared" si="37"/>
        <v>ORD26001967</v>
      </c>
      <c r="P777" s="23" t="str">
        <f t="shared" si="38"/>
        <v>Sep</v>
      </c>
      <c r="Q777" s="23" t="str">
        <f>IF(F777="CAPTURE",IF(COUNTIF(orders!$A:$A,O777)&gt;0,"Yes","NO ORDER"),"")</f>
        <v>Yes</v>
      </c>
    </row>
    <row r="778" spans="1:17" ht="15" customHeight="1" x14ac:dyDescent="0.3">
      <c r="A778" s="23" t="s">
        <v>13317</v>
      </c>
      <c r="B778" s="23"/>
      <c r="C778" s="23" t="s">
        <v>4472</v>
      </c>
      <c r="D778" s="23" t="str">
        <f t="shared" si="36"/>
        <v>ORD26001992</v>
      </c>
      <c r="E778" s="38">
        <v>46270</v>
      </c>
      <c r="F778" s="23" t="s">
        <v>12410</v>
      </c>
      <c r="G778" s="23" t="s">
        <v>75</v>
      </c>
      <c r="H778" s="24">
        <v>8997</v>
      </c>
      <c r="I778" s="24">
        <v>26.99</v>
      </c>
      <c r="J778" s="24">
        <v>4.8600000000000003</v>
      </c>
      <c r="K778" s="24">
        <v>8965.15</v>
      </c>
      <c r="L778" s="38">
        <v>46272</v>
      </c>
      <c r="M778" s="23" t="s">
        <v>190</v>
      </c>
      <c r="N778" s="23" t="str">
        <f>IF(COUNTIF($A$2:A778,A778)&gt;1,"DUP","OK")</f>
        <v>OK</v>
      </c>
      <c r="O778" s="23" t="str">
        <f t="shared" si="37"/>
        <v>ORD26001992</v>
      </c>
      <c r="P778" s="23" t="str">
        <f t="shared" si="38"/>
        <v>Sep</v>
      </c>
      <c r="Q778" s="23" t="str">
        <f>IF(F778="CAPTURE",IF(COUNTIF(orders!$A:$A,O778)&gt;0,"Yes","NO ORDER"),"")</f>
        <v>Yes</v>
      </c>
    </row>
    <row r="779" spans="1:17" ht="15" customHeight="1" x14ac:dyDescent="0.3">
      <c r="A779" s="23" t="s">
        <v>13318</v>
      </c>
      <c r="B779" s="23"/>
      <c r="C779" s="23" t="s">
        <v>4547</v>
      </c>
      <c r="D779" s="23" t="str">
        <f t="shared" si="36"/>
        <v>ORD26002029</v>
      </c>
      <c r="E779" s="38">
        <v>46270</v>
      </c>
      <c r="F779" s="23" t="s">
        <v>12410</v>
      </c>
      <c r="G779" s="23" t="s">
        <v>81</v>
      </c>
      <c r="H779" s="24">
        <v>6347</v>
      </c>
      <c r="I779" s="24">
        <v>76.16</v>
      </c>
      <c r="J779" s="24">
        <v>13.71</v>
      </c>
      <c r="K779" s="24">
        <v>6257.13</v>
      </c>
      <c r="L779" s="38">
        <v>46272</v>
      </c>
      <c r="M779" s="23" t="s">
        <v>190</v>
      </c>
      <c r="N779" s="23" t="str">
        <f>IF(COUNTIF($A$2:A779,A779)&gt;1,"DUP","OK")</f>
        <v>OK</v>
      </c>
      <c r="O779" s="23" t="str">
        <f t="shared" si="37"/>
        <v>ORD26002029</v>
      </c>
      <c r="P779" s="23" t="str">
        <f t="shared" si="38"/>
        <v>Sep</v>
      </c>
      <c r="Q779" s="23" t="str">
        <f>IF(F779="CAPTURE",IF(COUNTIF(orders!$A:$A,O779)&gt;0,"Yes","NO ORDER"),"")</f>
        <v>Yes</v>
      </c>
    </row>
    <row r="780" spans="1:17" ht="15" customHeight="1" x14ac:dyDescent="0.3">
      <c r="A780" s="23" t="s">
        <v>13319</v>
      </c>
      <c r="B780" s="23"/>
      <c r="C780" s="23" t="s">
        <v>4697</v>
      </c>
      <c r="D780" s="23" t="str">
        <f t="shared" si="36"/>
        <v>ORD26002103</v>
      </c>
      <c r="E780" s="38">
        <v>46270</v>
      </c>
      <c r="F780" s="23" t="s">
        <v>12410</v>
      </c>
      <c r="G780" s="23" t="s">
        <v>75</v>
      </c>
      <c r="H780" s="24">
        <v>5797</v>
      </c>
      <c r="I780" s="24">
        <v>17.39</v>
      </c>
      <c r="J780" s="24">
        <v>3.13</v>
      </c>
      <c r="K780" s="24">
        <v>5776.48</v>
      </c>
      <c r="L780" s="38">
        <v>46272</v>
      </c>
      <c r="M780" s="23" t="s">
        <v>190</v>
      </c>
      <c r="N780" s="23" t="str">
        <f>IF(COUNTIF($A$2:A780,A780)&gt;1,"DUP","OK")</f>
        <v>OK</v>
      </c>
      <c r="O780" s="23" t="str">
        <f t="shared" si="37"/>
        <v>ORD26002103</v>
      </c>
      <c r="P780" s="23" t="str">
        <f t="shared" si="38"/>
        <v>Sep</v>
      </c>
      <c r="Q780" s="23" t="str">
        <f>IF(F780="CAPTURE",IF(COUNTIF(orders!$A:$A,O780)&gt;0,"Yes","NO ORDER"),"")</f>
        <v>Yes</v>
      </c>
    </row>
    <row r="781" spans="1:17" ht="15" customHeight="1" x14ac:dyDescent="0.3">
      <c r="A781" s="23" t="s">
        <v>13320</v>
      </c>
      <c r="B781" s="23"/>
      <c r="C781" s="23" t="s">
        <v>4701</v>
      </c>
      <c r="D781" s="23" t="str">
        <f t="shared" si="36"/>
        <v>ORD26002105</v>
      </c>
      <c r="E781" s="38">
        <v>46270</v>
      </c>
      <c r="F781" s="23" t="s">
        <v>12410</v>
      </c>
      <c r="G781" s="23" t="s">
        <v>79</v>
      </c>
      <c r="H781" s="24">
        <v>4999</v>
      </c>
      <c r="I781" s="24">
        <v>79.98</v>
      </c>
      <c r="J781" s="24">
        <v>14.4</v>
      </c>
      <c r="K781" s="24">
        <v>4904.62</v>
      </c>
      <c r="L781" s="38">
        <v>46272</v>
      </c>
      <c r="M781" s="23" t="s">
        <v>190</v>
      </c>
      <c r="N781" s="23" t="str">
        <f>IF(COUNTIF($A$2:A781,A781)&gt;1,"DUP","OK")</f>
        <v>OK</v>
      </c>
      <c r="O781" s="23" t="str">
        <f t="shared" si="37"/>
        <v>ORD26002105</v>
      </c>
      <c r="P781" s="23" t="str">
        <f t="shared" si="38"/>
        <v>Sep</v>
      </c>
      <c r="Q781" s="23" t="str">
        <f>IF(F781="CAPTURE",IF(COUNTIF(orders!$A:$A,O781)&gt;0,"Yes","NO ORDER"),"")</f>
        <v>Yes</v>
      </c>
    </row>
    <row r="782" spans="1:17" ht="15" customHeight="1" x14ac:dyDescent="0.3">
      <c r="A782" s="23" t="s">
        <v>13321</v>
      </c>
      <c r="B782" s="23"/>
      <c r="C782" s="23" t="s">
        <v>13322</v>
      </c>
      <c r="D782" s="23" t="str">
        <f t="shared" si="36"/>
        <v>ORD26002271</v>
      </c>
      <c r="E782" s="38">
        <v>46270</v>
      </c>
      <c r="F782" s="23" t="s">
        <v>12410</v>
      </c>
      <c r="G782" s="23" t="s">
        <v>79</v>
      </c>
      <c r="H782" s="24">
        <v>7999</v>
      </c>
      <c r="I782" s="24">
        <v>127.98</v>
      </c>
      <c r="J782" s="24">
        <v>23.04</v>
      </c>
      <c r="K782" s="24">
        <v>7847.98</v>
      </c>
      <c r="L782" s="38">
        <v>46272</v>
      </c>
      <c r="M782" s="23" t="s">
        <v>190</v>
      </c>
      <c r="N782" s="23" t="str">
        <f>IF(COUNTIF($A$2:A782,A782)&gt;1,"DUP","OK")</f>
        <v>OK</v>
      </c>
      <c r="O782" s="23" t="str">
        <f t="shared" si="37"/>
        <v>ORD26002271</v>
      </c>
      <c r="P782" s="23" t="str">
        <f t="shared" si="38"/>
        <v>Sep</v>
      </c>
      <c r="Q782" s="23" t="str">
        <f>IF(F782="CAPTURE",IF(COUNTIF(orders!$A:$A,O782)&gt;0,"Yes","NO ORDER"),"")</f>
        <v>Yes</v>
      </c>
    </row>
    <row r="783" spans="1:17" ht="15" customHeight="1" x14ac:dyDescent="0.3">
      <c r="A783" s="23" t="s">
        <v>13323</v>
      </c>
      <c r="B783" s="23"/>
      <c r="C783" s="23" t="s">
        <v>5247</v>
      </c>
      <c r="D783" s="23" t="str">
        <f t="shared" si="36"/>
        <v>ORD26002377</v>
      </c>
      <c r="E783" s="38">
        <v>46270</v>
      </c>
      <c r="F783" s="23" t="s">
        <v>12410</v>
      </c>
      <c r="G783" s="23" t="s">
        <v>75</v>
      </c>
      <c r="H783" s="24">
        <v>2499</v>
      </c>
      <c r="I783" s="24">
        <v>7.5</v>
      </c>
      <c r="J783" s="24">
        <v>1.35</v>
      </c>
      <c r="K783" s="24">
        <v>2490.15</v>
      </c>
      <c r="L783" s="38">
        <v>46272</v>
      </c>
      <c r="M783" s="23" t="s">
        <v>190</v>
      </c>
      <c r="N783" s="23" t="str">
        <f>IF(COUNTIF($A$2:A783,A783)&gt;1,"DUP","OK")</f>
        <v>OK</v>
      </c>
      <c r="O783" s="23" t="str">
        <f t="shared" si="37"/>
        <v>ORD26002377</v>
      </c>
      <c r="P783" s="23" t="str">
        <f t="shared" si="38"/>
        <v>Sep</v>
      </c>
      <c r="Q783" s="23" t="str">
        <f>IF(F783="CAPTURE",IF(COUNTIF(orders!$A:$A,O783)&gt;0,"Yes","NO ORDER"),"")</f>
        <v>Yes</v>
      </c>
    </row>
    <row r="784" spans="1:17" ht="15" customHeight="1" x14ac:dyDescent="0.3">
      <c r="A784" s="23" t="s">
        <v>13324</v>
      </c>
      <c r="B784" s="23"/>
      <c r="C784" s="23" t="s">
        <v>13325</v>
      </c>
      <c r="D784" s="23" t="str">
        <f t="shared" si="36"/>
        <v>ORD26002379</v>
      </c>
      <c r="E784" s="38">
        <v>46270</v>
      </c>
      <c r="F784" s="23" t="s">
        <v>12410</v>
      </c>
      <c r="G784" s="23" t="s">
        <v>79</v>
      </c>
      <c r="H784" s="24">
        <v>1799</v>
      </c>
      <c r="I784" s="24">
        <v>32.380000000000003</v>
      </c>
      <c r="J784" s="24">
        <v>5.83</v>
      </c>
      <c r="K784" s="24">
        <v>1760.79</v>
      </c>
      <c r="L784" s="38">
        <v>46272</v>
      </c>
      <c r="M784" s="23" t="s">
        <v>190</v>
      </c>
      <c r="N784" s="23" t="str">
        <f>IF(COUNTIF($A$2:A784,A784)&gt;1,"DUP","OK")</f>
        <v>OK</v>
      </c>
      <c r="O784" s="23" t="str">
        <f t="shared" si="37"/>
        <v>ORD26002379</v>
      </c>
      <c r="P784" s="23" t="str">
        <f t="shared" si="38"/>
        <v>Sep</v>
      </c>
      <c r="Q784" s="23" t="str">
        <f>IF(F784="CAPTURE",IF(COUNTIF(orders!$A:$A,O784)&gt;0,"Yes","NO ORDER"),"")</f>
        <v>Yes</v>
      </c>
    </row>
    <row r="785" spans="1:17" ht="15" customHeight="1" x14ac:dyDescent="0.3">
      <c r="A785" s="23" t="s">
        <v>13326</v>
      </c>
      <c r="B785" s="23"/>
      <c r="C785" s="23" t="s">
        <v>5263</v>
      </c>
      <c r="D785" s="23" t="str">
        <f t="shared" si="36"/>
        <v>ORD26002385</v>
      </c>
      <c r="E785" s="38">
        <v>46270</v>
      </c>
      <c r="F785" s="23" t="s">
        <v>12410</v>
      </c>
      <c r="G785" s="23" t="s">
        <v>75</v>
      </c>
      <c r="H785" s="24">
        <v>11797</v>
      </c>
      <c r="I785" s="24">
        <v>35.39</v>
      </c>
      <c r="J785" s="24">
        <v>6.37</v>
      </c>
      <c r="K785" s="24">
        <v>11755.24</v>
      </c>
      <c r="L785" s="38">
        <v>46272</v>
      </c>
      <c r="M785" s="23" t="s">
        <v>190</v>
      </c>
      <c r="N785" s="23" t="str">
        <f>IF(COUNTIF($A$2:A785,A785)&gt;1,"DUP","OK")</f>
        <v>OK</v>
      </c>
      <c r="O785" s="23" t="str">
        <f t="shared" si="37"/>
        <v>ORD26002385</v>
      </c>
      <c r="P785" s="23" t="str">
        <f t="shared" si="38"/>
        <v>Sep</v>
      </c>
      <c r="Q785" s="23" t="str">
        <f>IF(F785="CAPTURE",IF(COUNTIF(orders!$A:$A,O785)&gt;0,"Yes","NO ORDER"),"")</f>
        <v>Yes</v>
      </c>
    </row>
    <row r="786" spans="1:17" ht="15" customHeight="1" x14ac:dyDescent="0.3">
      <c r="A786" s="23" t="s">
        <v>13327</v>
      </c>
      <c r="B786" s="23"/>
      <c r="C786" s="23" t="s">
        <v>5397</v>
      </c>
      <c r="D786" s="23" t="str">
        <f t="shared" si="36"/>
        <v>ORD26002453</v>
      </c>
      <c r="E786" s="38">
        <v>46270</v>
      </c>
      <c r="F786" s="23" t="s">
        <v>12410</v>
      </c>
      <c r="G786" s="23" t="s">
        <v>79</v>
      </c>
      <c r="H786" s="24">
        <v>3499</v>
      </c>
      <c r="I786" s="24">
        <v>55.98</v>
      </c>
      <c r="J786" s="24">
        <v>10.08</v>
      </c>
      <c r="K786" s="24">
        <v>3432.94</v>
      </c>
      <c r="L786" s="38">
        <v>46272</v>
      </c>
      <c r="M786" s="23" t="s">
        <v>190</v>
      </c>
      <c r="N786" s="23" t="str">
        <f>IF(COUNTIF($A$2:A786,A786)&gt;1,"DUP","OK")</f>
        <v>OK</v>
      </c>
      <c r="O786" s="23" t="str">
        <f t="shared" si="37"/>
        <v>ORD26002453</v>
      </c>
      <c r="P786" s="23" t="str">
        <f t="shared" si="38"/>
        <v>Sep</v>
      </c>
      <c r="Q786" s="23" t="str">
        <f>IF(F786="CAPTURE",IF(COUNTIF(orders!$A:$A,O786)&gt;0,"Yes","NO ORDER"),"")</f>
        <v>Yes</v>
      </c>
    </row>
    <row r="787" spans="1:17" ht="15" customHeight="1" x14ac:dyDescent="0.3">
      <c r="A787" s="23" t="s">
        <v>13328</v>
      </c>
      <c r="B787" s="23"/>
      <c r="C787" s="23" t="s">
        <v>5407</v>
      </c>
      <c r="D787" s="23" t="str">
        <f t="shared" si="36"/>
        <v>ORD26002458</v>
      </c>
      <c r="E787" s="38">
        <v>46270</v>
      </c>
      <c r="F787" s="23" t="s">
        <v>12410</v>
      </c>
      <c r="G787" s="23" t="s">
        <v>75</v>
      </c>
      <c r="H787" s="24">
        <v>3499</v>
      </c>
      <c r="I787" s="24">
        <v>10.5</v>
      </c>
      <c r="J787" s="24">
        <v>1.89</v>
      </c>
      <c r="K787" s="24">
        <v>3486.61</v>
      </c>
      <c r="L787" s="38">
        <v>46272</v>
      </c>
      <c r="M787" s="23" t="s">
        <v>190</v>
      </c>
      <c r="N787" s="23" t="str">
        <f>IF(COUNTIF($A$2:A787,A787)&gt;1,"DUP","OK")</f>
        <v>OK</v>
      </c>
      <c r="O787" s="23" t="str">
        <f t="shared" si="37"/>
        <v>ORD26002458</v>
      </c>
      <c r="P787" s="23" t="str">
        <f t="shared" si="38"/>
        <v>Sep</v>
      </c>
      <c r="Q787" s="23" t="str">
        <f>IF(F787="CAPTURE",IF(COUNTIF(orders!$A:$A,O787)&gt;0,"Yes","NO ORDER"),"")</f>
        <v>Yes</v>
      </c>
    </row>
    <row r="788" spans="1:17" ht="15" customHeight="1" x14ac:dyDescent="0.3">
      <c r="A788" s="23" t="s">
        <v>13329</v>
      </c>
      <c r="B788" s="23"/>
      <c r="C788" s="23" t="s">
        <v>5517</v>
      </c>
      <c r="D788" s="23" t="str">
        <f t="shared" si="36"/>
        <v>ORD26002513</v>
      </c>
      <c r="E788" s="38">
        <v>46270</v>
      </c>
      <c r="F788" s="23" t="s">
        <v>12410</v>
      </c>
      <c r="G788" s="23" t="s">
        <v>79</v>
      </c>
      <c r="H788" s="24">
        <v>1497</v>
      </c>
      <c r="I788" s="24">
        <v>26.95</v>
      </c>
      <c r="J788" s="24">
        <v>4.8499999999999996</v>
      </c>
      <c r="K788" s="24">
        <v>1465.2</v>
      </c>
      <c r="L788" s="38">
        <v>46272</v>
      </c>
      <c r="M788" s="23" t="s">
        <v>190</v>
      </c>
      <c r="N788" s="23" t="str">
        <f>IF(COUNTIF($A$2:A788,A788)&gt;1,"DUP","OK")</f>
        <v>OK</v>
      </c>
      <c r="O788" s="23" t="str">
        <f t="shared" si="37"/>
        <v>ORD26002513</v>
      </c>
      <c r="P788" s="23" t="str">
        <f t="shared" si="38"/>
        <v>Sep</v>
      </c>
      <c r="Q788" s="23" t="str">
        <f>IF(F788="CAPTURE",IF(COUNTIF(orders!$A:$A,O788)&gt;0,"Yes","NO ORDER"),"")</f>
        <v>Yes</v>
      </c>
    </row>
    <row r="789" spans="1:17" ht="15" customHeight="1" x14ac:dyDescent="0.3">
      <c r="A789" s="23" t="s">
        <v>13330</v>
      </c>
      <c r="B789" s="23"/>
      <c r="C789" s="23" t="s">
        <v>13331</v>
      </c>
      <c r="D789" s="23" t="str">
        <f t="shared" si="36"/>
        <v>ORD26002635</v>
      </c>
      <c r="E789" s="38">
        <v>46270</v>
      </c>
      <c r="F789" s="23" t="s">
        <v>12410</v>
      </c>
      <c r="G789" s="23" t="s">
        <v>75</v>
      </c>
      <c r="H789" s="24">
        <v>3348</v>
      </c>
      <c r="I789" s="24">
        <v>10.039999999999999</v>
      </c>
      <c r="J789" s="24">
        <v>1.81</v>
      </c>
      <c r="K789" s="24">
        <v>3336.15</v>
      </c>
      <c r="L789" s="38">
        <v>46272</v>
      </c>
      <c r="M789" s="23" t="s">
        <v>190</v>
      </c>
      <c r="N789" s="23" t="str">
        <f>IF(COUNTIF($A$2:A789,A789)&gt;1,"DUP","OK")</f>
        <v>OK</v>
      </c>
      <c r="O789" s="23" t="str">
        <f t="shared" si="37"/>
        <v>ORD26002635</v>
      </c>
      <c r="P789" s="23" t="str">
        <f t="shared" si="38"/>
        <v>Sep</v>
      </c>
      <c r="Q789" s="23" t="str">
        <f>IF(F789="CAPTURE",IF(COUNTIF(orders!$A:$A,O789)&gt;0,"Yes","NO ORDER"),"")</f>
        <v>Yes</v>
      </c>
    </row>
    <row r="790" spans="1:17" ht="15" customHeight="1" x14ac:dyDescent="0.3">
      <c r="A790" s="23" t="s">
        <v>13332</v>
      </c>
      <c r="B790" s="23"/>
      <c r="C790" s="23" t="s">
        <v>5984</v>
      </c>
      <c r="D790" s="23" t="str">
        <f t="shared" si="36"/>
        <v>ORD26002744</v>
      </c>
      <c r="E790" s="38">
        <v>46270</v>
      </c>
      <c r="F790" s="23" t="s">
        <v>12410</v>
      </c>
      <c r="G790" s="23" t="s">
        <v>75</v>
      </c>
      <c r="H790" s="24">
        <v>2347</v>
      </c>
      <c r="I790" s="24">
        <v>7.04</v>
      </c>
      <c r="J790" s="24">
        <v>1.27</v>
      </c>
      <c r="K790" s="24">
        <v>2338.69</v>
      </c>
      <c r="L790" s="38">
        <v>46272</v>
      </c>
      <c r="M790" s="23" t="s">
        <v>190</v>
      </c>
      <c r="N790" s="23" t="str">
        <f>IF(COUNTIF($A$2:A790,A790)&gt;1,"DUP","OK")</f>
        <v>OK</v>
      </c>
      <c r="O790" s="23" t="str">
        <f t="shared" si="37"/>
        <v>ORD26002744</v>
      </c>
      <c r="P790" s="23" t="str">
        <f t="shared" si="38"/>
        <v>Sep</v>
      </c>
      <c r="Q790" s="23" t="str">
        <f>IF(F790="CAPTURE",IF(COUNTIF(orders!$A:$A,O790)&gt;0,"Yes","NO ORDER"),"")</f>
        <v>Yes</v>
      </c>
    </row>
    <row r="791" spans="1:17" ht="15" customHeight="1" x14ac:dyDescent="0.3">
      <c r="A791" s="23" t="s">
        <v>13333</v>
      </c>
      <c r="B791" s="23"/>
      <c r="C791" s="23" t="s">
        <v>6011</v>
      </c>
      <c r="D791" s="23" t="str">
        <f t="shared" si="36"/>
        <v>ORD26002757</v>
      </c>
      <c r="E791" s="38">
        <v>46270</v>
      </c>
      <c r="F791" s="23" t="s">
        <v>12410</v>
      </c>
      <c r="G791" s="23" t="s">
        <v>79</v>
      </c>
      <c r="H791" s="24">
        <v>299</v>
      </c>
      <c r="I791" s="24">
        <v>5.38</v>
      </c>
      <c r="J791" s="24">
        <v>0.97</v>
      </c>
      <c r="K791" s="24">
        <v>292.64999999999998</v>
      </c>
      <c r="L791" s="38">
        <v>46272</v>
      </c>
      <c r="M791" s="23" t="s">
        <v>190</v>
      </c>
      <c r="N791" s="23" t="str">
        <f>IF(COUNTIF($A$2:A791,A791)&gt;1,"DUP","OK")</f>
        <v>OK</v>
      </c>
      <c r="O791" s="23" t="str">
        <f t="shared" si="37"/>
        <v>ORD26002757</v>
      </c>
      <c r="P791" s="23" t="str">
        <f t="shared" si="38"/>
        <v>Sep</v>
      </c>
      <c r="Q791" s="23" t="str">
        <f>IF(F791="CAPTURE",IF(COUNTIF(orders!$A:$A,O791)&gt;0,"Yes","NO ORDER"),"")</f>
        <v>Yes</v>
      </c>
    </row>
    <row r="792" spans="1:17" ht="15" customHeight="1" x14ac:dyDescent="0.3">
      <c r="A792" s="23" t="s">
        <v>13334</v>
      </c>
      <c r="B792" s="23"/>
      <c r="C792" s="23" t="s">
        <v>6036</v>
      </c>
      <c r="D792" s="23" t="str">
        <f t="shared" si="36"/>
        <v>ORD26002769</v>
      </c>
      <c r="E792" s="38">
        <v>46270</v>
      </c>
      <c r="F792" s="23" t="s">
        <v>12410</v>
      </c>
      <c r="G792" s="23" t="s">
        <v>75</v>
      </c>
      <c r="H792" s="24">
        <v>1299</v>
      </c>
      <c r="I792" s="24">
        <v>0</v>
      </c>
      <c r="J792" s="24">
        <v>0</v>
      </c>
      <c r="K792" s="24">
        <v>1299</v>
      </c>
      <c r="L792" s="38">
        <v>46272</v>
      </c>
      <c r="M792" s="23" t="s">
        <v>190</v>
      </c>
      <c r="N792" s="23" t="str">
        <f>IF(COUNTIF($A$2:A792,A792)&gt;1,"DUP","OK")</f>
        <v>OK</v>
      </c>
      <c r="O792" s="23" t="str">
        <f t="shared" si="37"/>
        <v>ORD26002769</v>
      </c>
      <c r="P792" s="23" t="str">
        <f t="shared" si="38"/>
        <v>Sep</v>
      </c>
      <c r="Q792" s="23" t="str">
        <f>IF(F792="CAPTURE",IF(COUNTIF(orders!$A:$A,O792)&gt;0,"Yes","NO ORDER"),"")</f>
        <v>Yes</v>
      </c>
    </row>
    <row r="793" spans="1:17" ht="15" customHeight="1" x14ac:dyDescent="0.3">
      <c r="A793" s="23" t="s">
        <v>13335</v>
      </c>
      <c r="B793" s="23"/>
      <c r="C793" s="23" t="s">
        <v>6042</v>
      </c>
      <c r="D793" s="23" t="str">
        <f t="shared" si="36"/>
        <v>ORD26002772</v>
      </c>
      <c r="E793" s="38">
        <v>46270</v>
      </c>
      <c r="F793" s="23" t="s">
        <v>12410</v>
      </c>
      <c r="G793" s="23" t="s">
        <v>75</v>
      </c>
      <c r="H793" s="24">
        <v>1648</v>
      </c>
      <c r="I793" s="24">
        <v>0</v>
      </c>
      <c r="J793" s="24">
        <v>0</v>
      </c>
      <c r="K793" s="24">
        <v>1648</v>
      </c>
      <c r="L793" s="38">
        <v>46272</v>
      </c>
      <c r="M793" s="23" t="s">
        <v>190</v>
      </c>
      <c r="N793" s="23" t="str">
        <f>IF(COUNTIF($A$2:A793,A793)&gt;1,"DUP","OK")</f>
        <v>OK</v>
      </c>
      <c r="O793" s="23" t="str">
        <f t="shared" si="37"/>
        <v>ORD26002772</v>
      </c>
      <c r="P793" s="23" t="str">
        <f t="shared" si="38"/>
        <v>Sep</v>
      </c>
      <c r="Q793" s="23" t="str">
        <f>IF(F793="CAPTURE",IF(COUNTIF(orders!$A:$A,O793)&gt;0,"Yes","NO ORDER"),"")</f>
        <v>Yes</v>
      </c>
    </row>
    <row r="794" spans="1:17" ht="15" customHeight="1" x14ac:dyDescent="0.3">
      <c r="A794" s="23" t="s">
        <v>13336</v>
      </c>
      <c r="B794" s="23"/>
      <c r="C794" s="23" t="s">
        <v>6054</v>
      </c>
      <c r="D794" s="23" t="str">
        <f t="shared" si="36"/>
        <v>ORD26002778</v>
      </c>
      <c r="E794" s="38">
        <v>46270</v>
      </c>
      <c r="F794" s="23" t="s">
        <v>12410</v>
      </c>
      <c r="G794" s="23" t="s">
        <v>79</v>
      </c>
      <c r="H794" s="24">
        <v>7999</v>
      </c>
      <c r="I794" s="24">
        <v>127.98</v>
      </c>
      <c r="J794" s="24">
        <v>23.04</v>
      </c>
      <c r="K794" s="24">
        <v>7847.98</v>
      </c>
      <c r="L794" s="38">
        <v>46272</v>
      </c>
      <c r="M794" s="23" t="s">
        <v>190</v>
      </c>
      <c r="N794" s="23" t="str">
        <f>IF(COUNTIF($A$2:A794,A794)&gt;1,"DUP","OK")</f>
        <v>OK</v>
      </c>
      <c r="O794" s="23" t="str">
        <f t="shared" si="37"/>
        <v>ORD26002778</v>
      </c>
      <c r="P794" s="23" t="str">
        <f t="shared" si="38"/>
        <v>Sep</v>
      </c>
      <c r="Q794" s="23" t="str">
        <f>IF(F794="CAPTURE",IF(COUNTIF(orders!$A:$A,O794)&gt;0,"Yes","NO ORDER"),"")</f>
        <v>Yes</v>
      </c>
    </row>
    <row r="795" spans="1:17" ht="15" customHeight="1" x14ac:dyDescent="0.3">
      <c r="A795" s="23" t="s">
        <v>13337</v>
      </c>
      <c r="B795" s="23"/>
      <c r="C795" s="23" t="s">
        <v>6158</v>
      </c>
      <c r="D795" s="23" t="str">
        <f t="shared" si="36"/>
        <v>ORD26002830</v>
      </c>
      <c r="E795" s="38">
        <v>46270</v>
      </c>
      <c r="F795" s="23" t="s">
        <v>12410</v>
      </c>
      <c r="G795" s="23" t="s">
        <v>77</v>
      </c>
      <c r="H795" s="24">
        <v>4999</v>
      </c>
      <c r="I795" s="24">
        <v>84.98</v>
      </c>
      <c r="J795" s="24">
        <v>15.3</v>
      </c>
      <c r="K795" s="24">
        <v>4898.72</v>
      </c>
      <c r="L795" s="38">
        <v>46272</v>
      </c>
      <c r="M795" s="23" t="s">
        <v>190</v>
      </c>
      <c r="N795" s="23" t="str">
        <f>IF(COUNTIF($A$2:A795,A795)&gt;1,"DUP","OK")</f>
        <v>OK</v>
      </c>
      <c r="O795" s="23" t="str">
        <f t="shared" si="37"/>
        <v>ORD26002830</v>
      </c>
      <c r="P795" s="23" t="str">
        <f t="shared" si="38"/>
        <v>Sep</v>
      </c>
      <c r="Q795" s="23" t="str">
        <f>IF(F795="CAPTURE",IF(COUNTIF(orders!$A:$A,O795)&gt;0,"Yes","NO ORDER"),"")</f>
        <v>Yes</v>
      </c>
    </row>
    <row r="796" spans="1:17" ht="15" customHeight="1" x14ac:dyDescent="0.3">
      <c r="A796" s="23" t="s">
        <v>13338</v>
      </c>
      <c r="B796" s="23"/>
      <c r="C796" s="23" t="s">
        <v>6186</v>
      </c>
      <c r="D796" s="23" t="str">
        <f t="shared" si="36"/>
        <v>ORD26002845</v>
      </c>
      <c r="E796" s="38">
        <v>46270</v>
      </c>
      <c r="F796" s="23" t="s">
        <v>12410</v>
      </c>
      <c r="G796" s="23" t="s">
        <v>75</v>
      </c>
      <c r="H796" s="24">
        <v>1348</v>
      </c>
      <c r="I796" s="24">
        <v>0</v>
      </c>
      <c r="J796" s="24">
        <v>0</v>
      </c>
      <c r="K796" s="24">
        <v>1348</v>
      </c>
      <c r="L796" s="38">
        <v>46272</v>
      </c>
      <c r="M796" s="23" t="s">
        <v>190</v>
      </c>
      <c r="N796" s="23" t="str">
        <f>IF(COUNTIF($A$2:A796,A796)&gt;1,"DUP","OK")</f>
        <v>OK</v>
      </c>
      <c r="O796" s="23" t="str">
        <f t="shared" si="37"/>
        <v>ORD26002845</v>
      </c>
      <c r="P796" s="23" t="str">
        <f t="shared" si="38"/>
        <v>Sep</v>
      </c>
      <c r="Q796" s="23" t="str">
        <f>IF(F796="CAPTURE",IF(COUNTIF(orders!$A:$A,O796)&gt;0,"Yes","NO ORDER"),"")</f>
        <v>Yes</v>
      </c>
    </row>
    <row r="797" spans="1:17" ht="15" customHeight="1" x14ac:dyDescent="0.3">
      <c r="A797" s="23" t="s">
        <v>13339</v>
      </c>
      <c r="B797" s="23"/>
      <c r="C797" s="23" t="s">
        <v>6208</v>
      </c>
      <c r="D797" s="23" t="str">
        <f t="shared" si="36"/>
        <v>ORD26002856</v>
      </c>
      <c r="E797" s="38">
        <v>46270</v>
      </c>
      <c r="F797" s="23" t="s">
        <v>12410</v>
      </c>
      <c r="G797" s="23" t="s">
        <v>75</v>
      </c>
      <c r="H797" s="24">
        <v>3998</v>
      </c>
      <c r="I797" s="24">
        <v>11.99</v>
      </c>
      <c r="J797" s="24">
        <v>2.16</v>
      </c>
      <c r="K797" s="24">
        <v>3983.85</v>
      </c>
      <c r="L797" s="38">
        <v>46272</v>
      </c>
      <c r="M797" s="23" t="s">
        <v>190</v>
      </c>
      <c r="N797" s="23" t="str">
        <f>IF(COUNTIF($A$2:A797,A797)&gt;1,"DUP","OK")</f>
        <v>OK</v>
      </c>
      <c r="O797" s="23" t="str">
        <f t="shared" si="37"/>
        <v>ORD26002856</v>
      </c>
      <c r="P797" s="23" t="str">
        <f t="shared" si="38"/>
        <v>Sep</v>
      </c>
      <c r="Q797" s="23" t="str">
        <f>IF(F797="CAPTURE",IF(COUNTIF(orders!$A:$A,O797)&gt;0,"Yes","NO ORDER"),"")</f>
        <v>Yes</v>
      </c>
    </row>
    <row r="798" spans="1:17" ht="15" customHeight="1" x14ac:dyDescent="0.3">
      <c r="A798" s="23" t="s">
        <v>13340</v>
      </c>
      <c r="B798" s="23"/>
      <c r="C798" s="23" t="s">
        <v>6216</v>
      </c>
      <c r="D798" s="23" t="str">
        <f t="shared" si="36"/>
        <v>ORD26002860</v>
      </c>
      <c r="E798" s="38">
        <v>46270</v>
      </c>
      <c r="F798" s="23" t="s">
        <v>12410</v>
      </c>
      <c r="G798" s="23" t="s">
        <v>75</v>
      </c>
      <c r="H798" s="24">
        <v>349</v>
      </c>
      <c r="I798" s="24">
        <v>0</v>
      </c>
      <c r="J798" s="24">
        <v>0</v>
      </c>
      <c r="K798" s="24">
        <v>349</v>
      </c>
      <c r="L798" s="38">
        <v>46272</v>
      </c>
      <c r="M798" s="23" t="s">
        <v>190</v>
      </c>
      <c r="N798" s="23" t="str">
        <f>IF(COUNTIF($A$2:A798,A798)&gt;1,"DUP","OK")</f>
        <v>OK</v>
      </c>
      <c r="O798" s="23" t="str">
        <f t="shared" si="37"/>
        <v>ORD26002860</v>
      </c>
      <c r="P798" s="23" t="str">
        <f t="shared" si="38"/>
        <v>Sep</v>
      </c>
      <c r="Q798" s="23" t="str">
        <f>IF(F798="CAPTURE",IF(COUNTIF(orders!$A:$A,O798)&gt;0,"Yes","NO ORDER"),"")</f>
        <v>Yes</v>
      </c>
    </row>
    <row r="799" spans="1:17" ht="15" customHeight="1" x14ac:dyDescent="0.3">
      <c r="A799" s="23" t="s">
        <v>13341</v>
      </c>
      <c r="B799" s="23"/>
      <c r="C799" s="23" t="s">
        <v>6226</v>
      </c>
      <c r="D799" s="23" t="str">
        <f t="shared" si="36"/>
        <v>ORD26002865</v>
      </c>
      <c r="E799" s="38">
        <v>46270</v>
      </c>
      <c r="F799" s="23" t="s">
        <v>12410</v>
      </c>
      <c r="G799" s="23" t="s">
        <v>79</v>
      </c>
      <c r="H799" s="24">
        <v>2499</v>
      </c>
      <c r="I799" s="24">
        <v>39.979999999999997</v>
      </c>
      <c r="J799" s="24">
        <v>7.2</v>
      </c>
      <c r="K799" s="24">
        <v>2451.8200000000002</v>
      </c>
      <c r="L799" s="38">
        <v>46272</v>
      </c>
      <c r="M799" s="23" t="s">
        <v>190</v>
      </c>
      <c r="N799" s="23" t="str">
        <f>IF(COUNTIF($A$2:A799,A799)&gt;1,"DUP","OK")</f>
        <v>OK</v>
      </c>
      <c r="O799" s="23" t="str">
        <f t="shared" si="37"/>
        <v>ORD26002865</v>
      </c>
      <c r="P799" s="23" t="str">
        <f t="shared" si="38"/>
        <v>Sep</v>
      </c>
      <c r="Q799" s="23" t="str">
        <f>IF(F799="CAPTURE",IF(COUNTIF(orders!$A:$A,O799)&gt;0,"Yes","NO ORDER"),"")</f>
        <v>Yes</v>
      </c>
    </row>
    <row r="800" spans="1:17" ht="15" customHeight="1" x14ac:dyDescent="0.3">
      <c r="A800" s="23" t="s">
        <v>13342</v>
      </c>
      <c r="B800" s="23"/>
      <c r="C800" s="23" t="s">
        <v>6271</v>
      </c>
      <c r="D800" s="23" t="str">
        <f t="shared" si="36"/>
        <v>ORD26002888</v>
      </c>
      <c r="E800" s="38">
        <v>46270</v>
      </c>
      <c r="F800" s="23" t="s">
        <v>12410</v>
      </c>
      <c r="G800" s="23" t="s">
        <v>79</v>
      </c>
      <c r="H800" s="24">
        <v>7097</v>
      </c>
      <c r="I800" s="24">
        <v>113.55</v>
      </c>
      <c r="J800" s="24">
        <v>20.440000000000001</v>
      </c>
      <c r="K800" s="24">
        <v>6963.01</v>
      </c>
      <c r="L800" s="38">
        <v>46272</v>
      </c>
      <c r="M800" s="23" t="s">
        <v>190</v>
      </c>
      <c r="N800" s="23" t="str">
        <f>IF(COUNTIF($A$2:A800,A800)&gt;1,"DUP","OK")</f>
        <v>OK</v>
      </c>
      <c r="O800" s="23" t="str">
        <f t="shared" si="37"/>
        <v>ORD26002888</v>
      </c>
      <c r="P800" s="23" t="str">
        <f t="shared" si="38"/>
        <v>Sep</v>
      </c>
      <c r="Q800" s="23" t="str">
        <f>IF(F800="CAPTURE",IF(COUNTIF(orders!$A:$A,O800)&gt;0,"Yes","NO ORDER"),"")</f>
        <v>Yes</v>
      </c>
    </row>
    <row r="801" spans="1:17" ht="15" customHeight="1" x14ac:dyDescent="0.3">
      <c r="A801" s="23" t="s">
        <v>13343</v>
      </c>
      <c r="B801" s="23"/>
      <c r="C801" s="23" t="s">
        <v>6273</v>
      </c>
      <c r="D801" s="23" t="str">
        <f t="shared" si="36"/>
        <v>ORD26002889</v>
      </c>
      <c r="E801" s="38">
        <v>46270</v>
      </c>
      <c r="F801" s="23" t="s">
        <v>12410</v>
      </c>
      <c r="G801" s="23" t="s">
        <v>75</v>
      </c>
      <c r="H801" s="24">
        <v>1147</v>
      </c>
      <c r="I801" s="24">
        <v>0</v>
      </c>
      <c r="J801" s="24">
        <v>0</v>
      </c>
      <c r="K801" s="24">
        <v>1147</v>
      </c>
      <c r="L801" s="38">
        <v>46272</v>
      </c>
      <c r="M801" s="23" t="s">
        <v>190</v>
      </c>
      <c r="N801" s="23" t="str">
        <f>IF(COUNTIF($A$2:A801,A801)&gt;1,"DUP","OK")</f>
        <v>OK</v>
      </c>
      <c r="O801" s="23" t="str">
        <f t="shared" si="37"/>
        <v>ORD26002889</v>
      </c>
      <c r="P801" s="23" t="str">
        <f t="shared" si="38"/>
        <v>Sep</v>
      </c>
      <c r="Q801" s="23" t="str">
        <f>IF(F801="CAPTURE",IF(COUNTIF(orders!$A:$A,O801)&gt;0,"Yes","NO ORDER"),"")</f>
        <v>Yes</v>
      </c>
    </row>
    <row r="802" spans="1:17" ht="15" customHeight="1" x14ac:dyDescent="0.3">
      <c r="A802" s="23" t="s">
        <v>13344</v>
      </c>
      <c r="B802" s="23"/>
      <c r="C802" s="23" t="s">
        <v>6390</v>
      </c>
      <c r="D802" s="23" t="str">
        <f t="shared" si="36"/>
        <v>ORD26002947</v>
      </c>
      <c r="E802" s="38">
        <v>46270</v>
      </c>
      <c r="F802" s="23" t="s">
        <v>12410</v>
      </c>
      <c r="G802" s="23" t="s">
        <v>79</v>
      </c>
      <c r="H802" s="24">
        <v>349</v>
      </c>
      <c r="I802" s="24">
        <v>6.28</v>
      </c>
      <c r="J802" s="24">
        <v>1.1299999999999999</v>
      </c>
      <c r="K802" s="24">
        <v>341.59</v>
      </c>
      <c r="L802" s="38">
        <v>46272</v>
      </c>
      <c r="M802" s="23" t="s">
        <v>190</v>
      </c>
      <c r="N802" s="23" t="str">
        <f>IF(COUNTIF($A$2:A802,A802)&gt;1,"DUP","OK")</f>
        <v>OK</v>
      </c>
      <c r="O802" s="23" t="str">
        <f t="shared" si="37"/>
        <v>ORD26002947</v>
      </c>
      <c r="P802" s="23" t="str">
        <f t="shared" si="38"/>
        <v>Sep</v>
      </c>
      <c r="Q802" s="23" t="str">
        <f>IF(F802="CAPTURE",IF(COUNTIF(orders!$A:$A,O802)&gt;0,"Yes","NO ORDER"),"")</f>
        <v>Yes</v>
      </c>
    </row>
    <row r="803" spans="1:17" ht="15" customHeight="1" x14ac:dyDescent="0.3">
      <c r="A803" s="23" t="s">
        <v>13345</v>
      </c>
      <c r="B803" s="23"/>
      <c r="C803" s="23" t="s">
        <v>6399</v>
      </c>
      <c r="D803" s="23" t="str">
        <f t="shared" si="36"/>
        <v>ORD26002952</v>
      </c>
      <c r="E803" s="38">
        <v>46270</v>
      </c>
      <c r="F803" s="23" t="s">
        <v>12410</v>
      </c>
      <c r="G803" s="23" t="s">
        <v>75</v>
      </c>
      <c r="H803" s="24">
        <v>7999</v>
      </c>
      <c r="I803" s="24">
        <v>24</v>
      </c>
      <c r="J803" s="24">
        <v>4.32</v>
      </c>
      <c r="K803" s="24">
        <v>7970.68</v>
      </c>
      <c r="L803" s="38">
        <v>46272</v>
      </c>
      <c r="M803" s="23" t="s">
        <v>190</v>
      </c>
      <c r="N803" s="23" t="str">
        <f>IF(COUNTIF($A$2:A803,A803)&gt;1,"DUP","OK")</f>
        <v>OK</v>
      </c>
      <c r="O803" s="23" t="str">
        <f t="shared" si="37"/>
        <v>ORD26002952</v>
      </c>
      <c r="P803" s="23" t="str">
        <f t="shared" si="38"/>
        <v>Sep</v>
      </c>
      <c r="Q803" s="23" t="str">
        <f>IF(F803="CAPTURE",IF(COUNTIF(orders!$A:$A,O803)&gt;0,"Yes","NO ORDER"),"")</f>
        <v>Yes</v>
      </c>
    </row>
    <row r="804" spans="1:17" ht="15" customHeight="1" x14ac:dyDescent="0.3">
      <c r="A804" s="23" t="s">
        <v>13346</v>
      </c>
      <c r="B804" s="23"/>
      <c r="C804" s="23" t="s">
        <v>13347</v>
      </c>
      <c r="D804" s="23" t="str">
        <f t="shared" si="36"/>
        <v>ORD26002990</v>
      </c>
      <c r="E804" s="38">
        <v>46270</v>
      </c>
      <c r="F804" s="23" t="s">
        <v>12410</v>
      </c>
      <c r="G804" s="23" t="s">
        <v>75</v>
      </c>
      <c r="H804" s="24">
        <v>4098</v>
      </c>
      <c r="I804" s="24">
        <v>12.29</v>
      </c>
      <c r="J804" s="24">
        <v>2.21</v>
      </c>
      <c r="K804" s="24">
        <v>4083.5</v>
      </c>
      <c r="L804" s="38">
        <v>46272</v>
      </c>
      <c r="M804" s="23" t="s">
        <v>190</v>
      </c>
      <c r="N804" s="23" t="str">
        <f>IF(COUNTIF($A$2:A804,A804)&gt;1,"DUP","OK")</f>
        <v>OK</v>
      </c>
      <c r="O804" s="23" t="str">
        <f t="shared" si="37"/>
        <v>ORD26002990</v>
      </c>
      <c r="P804" s="23" t="str">
        <f t="shared" si="38"/>
        <v>Sep</v>
      </c>
      <c r="Q804" s="23" t="str">
        <f>IF(F804="CAPTURE",IF(COUNTIF(orders!$A:$A,O804)&gt;0,"Yes","NO ORDER"),"")</f>
        <v>Yes</v>
      </c>
    </row>
    <row r="805" spans="1:17" ht="15" customHeight="1" x14ac:dyDescent="0.3">
      <c r="A805" s="23" t="s">
        <v>13348</v>
      </c>
      <c r="B805" s="23"/>
      <c r="C805" s="23" t="s">
        <v>6527</v>
      </c>
      <c r="D805" s="23" t="str">
        <f t="shared" si="36"/>
        <v>ORD26003017</v>
      </c>
      <c r="E805" s="38">
        <v>46270</v>
      </c>
      <c r="F805" s="23" t="s">
        <v>12410</v>
      </c>
      <c r="G805" s="23" t="s">
        <v>81</v>
      </c>
      <c r="H805" s="24">
        <v>1499</v>
      </c>
      <c r="I805" s="24">
        <v>22.49</v>
      </c>
      <c r="J805" s="24">
        <v>4.05</v>
      </c>
      <c r="K805" s="24">
        <v>1472.46</v>
      </c>
      <c r="L805" s="38">
        <v>46272</v>
      </c>
      <c r="M805" s="23" t="s">
        <v>190</v>
      </c>
      <c r="N805" s="23" t="str">
        <f>IF(COUNTIF($A$2:A805,A805)&gt;1,"DUP","OK")</f>
        <v>OK</v>
      </c>
      <c r="O805" s="23" t="str">
        <f t="shared" si="37"/>
        <v>ORD26003017</v>
      </c>
      <c r="P805" s="23" t="str">
        <f t="shared" si="38"/>
        <v>Sep</v>
      </c>
      <c r="Q805" s="23" t="str">
        <f>IF(F805="CAPTURE",IF(COUNTIF(orders!$A:$A,O805)&gt;0,"Yes","NO ORDER"),"")</f>
        <v>Yes</v>
      </c>
    </row>
    <row r="806" spans="1:17" ht="15" customHeight="1" x14ac:dyDescent="0.3">
      <c r="A806" s="23" t="s">
        <v>13349</v>
      </c>
      <c r="B806" s="23"/>
      <c r="C806" s="23" t="s">
        <v>6536</v>
      </c>
      <c r="D806" s="23" t="str">
        <f t="shared" si="36"/>
        <v>ORD26003021</v>
      </c>
      <c r="E806" s="38">
        <v>46270</v>
      </c>
      <c r="F806" s="23" t="s">
        <v>12410</v>
      </c>
      <c r="G806" s="23" t="s">
        <v>75</v>
      </c>
      <c r="H806" s="24">
        <v>1799</v>
      </c>
      <c r="I806" s="24">
        <v>0</v>
      </c>
      <c r="J806" s="24">
        <v>0</v>
      </c>
      <c r="K806" s="24">
        <v>1799</v>
      </c>
      <c r="L806" s="38">
        <v>46272</v>
      </c>
      <c r="M806" s="23" t="s">
        <v>190</v>
      </c>
      <c r="N806" s="23" t="str">
        <f>IF(COUNTIF($A$2:A806,A806)&gt;1,"DUP","OK")</f>
        <v>OK</v>
      </c>
      <c r="O806" s="23" t="str">
        <f t="shared" si="37"/>
        <v>ORD26003021</v>
      </c>
      <c r="P806" s="23" t="str">
        <f t="shared" si="38"/>
        <v>Sep</v>
      </c>
      <c r="Q806" s="23" t="str">
        <f>IF(F806="CAPTURE",IF(COUNTIF(orders!$A:$A,O806)&gt;0,"Yes","NO ORDER"),"")</f>
        <v>Yes</v>
      </c>
    </row>
    <row r="807" spans="1:17" ht="15" customHeight="1" x14ac:dyDescent="0.3">
      <c r="A807" s="23" t="s">
        <v>13350</v>
      </c>
      <c r="B807" s="23"/>
      <c r="C807" s="23" t="s">
        <v>6602</v>
      </c>
      <c r="D807" s="23" t="str">
        <f t="shared" si="36"/>
        <v>ORD26003054</v>
      </c>
      <c r="E807" s="38">
        <v>46270</v>
      </c>
      <c r="F807" s="23" t="s">
        <v>12410</v>
      </c>
      <c r="G807" s="23" t="s">
        <v>79</v>
      </c>
      <c r="H807" s="24">
        <v>4297</v>
      </c>
      <c r="I807" s="24">
        <v>68.75</v>
      </c>
      <c r="J807" s="24">
        <v>12.38</v>
      </c>
      <c r="K807" s="24">
        <v>4215.87</v>
      </c>
      <c r="L807" s="38">
        <v>46272</v>
      </c>
      <c r="M807" s="23" t="s">
        <v>190</v>
      </c>
      <c r="N807" s="23" t="str">
        <f>IF(COUNTIF($A$2:A807,A807)&gt;1,"DUP","OK")</f>
        <v>OK</v>
      </c>
      <c r="O807" s="23" t="str">
        <f t="shared" si="37"/>
        <v>ORD26003054</v>
      </c>
      <c r="P807" s="23" t="str">
        <f t="shared" si="38"/>
        <v>Sep</v>
      </c>
      <c r="Q807" s="23" t="str">
        <f>IF(F807="CAPTURE",IF(COUNTIF(orders!$A:$A,O807)&gt;0,"Yes","NO ORDER"),"")</f>
        <v>Yes</v>
      </c>
    </row>
    <row r="808" spans="1:17" ht="15" customHeight="1" x14ac:dyDescent="0.3">
      <c r="A808" s="23" t="s">
        <v>13351</v>
      </c>
      <c r="B808" s="23"/>
      <c r="C808" s="23" t="s">
        <v>6699</v>
      </c>
      <c r="D808" s="23" t="str">
        <f t="shared" si="36"/>
        <v>ORD26003101</v>
      </c>
      <c r="E808" s="38">
        <v>46270</v>
      </c>
      <c r="F808" s="23" t="s">
        <v>12410</v>
      </c>
      <c r="G808" s="23" t="s">
        <v>79</v>
      </c>
      <c r="H808" s="24">
        <v>3499</v>
      </c>
      <c r="I808" s="24">
        <v>55.98</v>
      </c>
      <c r="J808" s="24">
        <v>10.08</v>
      </c>
      <c r="K808" s="24">
        <v>3432.94</v>
      </c>
      <c r="L808" s="38">
        <v>46272</v>
      </c>
      <c r="M808" s="23" t="s">
        <v>190</v>
      </c>
      <c r="N808" s="23" t="str">
        <f>IF(COUNTIF($A$2:A808,A808)&gt;1,"DUP","OK")</f>
        <v>OK</v>
      </c>
      <c r="O808" s="23" t="str">
        <f t="shared" si="37"/>
        <v>ORD26003101</v>
      </c>
      <c r="P808" s="23" t="str">
        <f t="shared" si="38"/>
        <v>Sep</v>
      </c>
      <c r="Q808" s="23" t="str">
        <f>IF(F808="CAPTURE",IF(COUNTIF(orders!$A:$A,O808)&gt;0,"Yes","NO ORDER"),"")</f>
        <v>Yes</v>
      </c>
    </row>
    <row r="809" spans="1:17" ht="15" customHeight="1" x14ac:dyDescent="0.3">
      <c r="A809" s="23" t="s">
        <v>13352</v>
      </c>
      <c r="B809" s="23"/>
      <c r="C809" s="23" t="s">
        <v>6803</v>
      </c>
      <c r="D809" s="23" t="str">
        <f t="shared" si="36"/>
        <v>ORD26003153</v>
      </c>
      <c r="E809" s="38">
        <v>46270</v>
      </c>
      <c r="F809" s="23" t="s">
        <v>12410</v>
      </c>
      <c r="G809" s="23" t="s">
        <v>75</v>
      </c>
      <c r="H809" s="24">
        <v>9347</v>
      </c>
      <c r="I809" s="24">
        <v>28.04</v>
      </c>
      <c r="J809" s="24">
        <v>5.05</v>
      </c>
      <c r="K809" s="24">
        <v>9313.91</v>
      </c>
      <c r="L809" s="38">
        <v>46272</v>
      </c>
      <c r="M809" s="23" t="s">
        <v>190</v>
      </c>
      <c r="N809" s="23" t="str">
        <f>IF(COUNTIF($A$2:A809,A809)&gt;1,"DUP","OK")</f>
        <v>OK</v>
      </c>
      <c r="O809" s="23" t="str">
        <f t="shared" si="37"/>
        <v>ORD26003153</v>
      </c>
      <c r="P809" s="23" t="str">
        <f t="shared" si="38"/>
        <v>Sep</v>
      </c>
      <c r="Q809" s="23" t="str">
        <f>IF(F809="CAPTURE",IF(COUNTIF(orders!$A:$A,O809)&gt;0,"Yes","NO ORDER"),"")</f>
        <v>Yes</v>
      </c>
    </row>
    <row r="810" spans="1:17" ht="15" customHeight="1" x14ac:dyDescent="0.3">
      <c r="A810" s="23" t="s">
        <v>13353</v>
      </c>
      <c r="B810" s="23"/>
      <c r="C810" s="23" t="s">
        <v>6837</v>
      </c>
      <c r="D810" s="23" t="str">
        <f t="shared" si="36"/>
        <v>ORD26003170</v>
      </c>
      <c r="E810" s="38">
        <v>46270</v>
      </c>
      <c r="F810" s="23" t="s">
        <v>12410</v>
      </c>
      <c r="G810" s="23" t="s">
        <v>79</v>
      </c>
      <c r="H810" s="24">
        <v>499</v>
      </c>
      <c r="I810" s="24">
        <v>8.98</v>
      </c>
      <c r="J810" s="24">
        <v>1.62</v>
      </c>
      <c r="K810" s="24">
        <v>488.4</v>
      </c>
      <c r="L810" s="38">
        <v>46272</v>
      </c>
      <c r="M810" s="23" t="s">
        <v>190</v>
      </c>
      <c r="N810" s="23" t="str">
        <f>IF(COUNTIF($A$2:A810,A810)&gt;1,"DUP","OK")</f>
        <v>OK</v>
      </c>
      <c r="O810" s="23" t="str">
        <f t="shared" si="37"/>
        <v>ORD26003170</v>
      </c>
      <c r="P810" s="23" t="str">
        <f t="shared" si="38"/>
        <v>Sep</v>
      </c>
      <c r="Q810" s="23" t="str">
        <f>IF(F810="CAPTURE",IF(COUNTIF(orders!$A:$A,O810)&gt;0,"Yes","NO ORDER"),"")</f>
        <v>Yes</v>
      </c>
    </row>
    <row r="811" spans="1:17" ht="15" customHeight="1" x14ac:dyDescent="0.3">
      <c r="A811" s="23" t="s">
        <v>13354</v>
      </c>
      <c r="B811" s="23"/>
      <c r="C811" s="23" t="s">
        <v>6906</v>
      </c>
      <c r="D811" s="23" t="str">
        <f t="shared" si="36"/>
        <v>ORD26003204</v>
      </c>
      <c r="E811" s="38">
        <v>46270</v>
      </c>
      <c r="F811" s="23" t="s">
        <v>12410</v>
      </c>
      <c r="G811" s="23" t="s">
        <v>75</v>
      </c>
      <c r="H811" s="24">
        <v>1299</v>
      </c>
      <c r="I811" s="24">
        <v>0</v>
      </c>
      <c r="J811" s="24">
        <v>0</v>
      </c>
      <c r="K811" s="24">
        <v>1299</v>
      </c>
      <c r="L811" s="38">
        <v>46272</v>
      </c>
      <c r="M811" s="23" t="s">
        <v>190</v>
      </c>
      <c r="N811" s="23" t="str">
        <f>IF(COUNTIF($A$2:A811,A811)&gt;1,"DUP","OK")</f>
        <v>OK</v>
      </c>
      <c r="O811" s="23" t="str">
        <f t="shared" si="37"/>
        <v>ORD26003204</v>
      </c>
      <c r="P811" s="23" t="str">
        <f t="shared" si="38"/>
        <v>Sep</v>
      </c>
      <c r="Q811" s="23" t="str">
        <f>IF(F811="CAPTURE",IF(COUNTIF(orders!$A:$A,O811)&gt;0,"Yes","NO ORDER"),"")</f>
        <v>Yes</v>
      </c>
    </row>
    <row r="812" spans="1:17" ht="15" customHeight="1" x14ac:dyDescent="0.3">
      <c r="A812" s="23" t="s">
        <v>13355</v>
      </c>
      <c r="B812" s="23"/>
      <c r="C812" s="23" t="s">
        <v>6927</v>
      </c>
      <c r="D812" s="23" t="str">
        <f t="shared" si="36"/>
        <v>ORD26003215</v>
      </c>
      <c r="E812" s="38">
        <v>46270</v>
      </c>
      <c r="F812" s="23" t="s">
        <v>12410</v>
      </c>
      <c r="G812" s="23" t="s">
        <v>77</v>
      </c>
      <c r="H812" s="24">
        <v>3098</v>
      </c>
      <c r="I812" s="24">
        <v>52.67</v>
      </c>
      <c r="J812" s="24">
        <v>9.48</v>
      </c>
      <c r="K812" s="24">
        <v>3035.85</v>
      </c>
      <c r="L812" s="38">
        <v>46272</v>
      </c>
      <c r="M812" s="23" t="s">
        <v>190</v>
      </c>
      <c r="N812" s="23" t="str">
        <f>IF(COUNTIF($A$2:A812,A812)&gt;1,"DUP","OK")</f>
        <v>OK</v>
      </c>
      <c r="O812" s="23" t="str">
        <f t="shared" si="37"/>
        <v>ORD26003215</v>
      </c>
      <c r="P812" s="23" t="str">
        <f t="shared" si="38"/>
        <v>Sep</v>
      </c>
      <c r="Q812" s="23" t="str">
        <f>IF(F812="CAPTURE",IF(COUNTIF(orders!$A:$A,O812)&gt;0,"Yes","NO ORDER"),"")</f>
        <v>Yes</v>
      </c>
    </row>
    <row r="813" spans="1:17" ht="15" customHeight="1" x14ac:dyDescent="0.3">
      <c r="A813" s="23" t="s">
        <v>13356</v>
      </c>
      <c r="B813" s="23"/>
      <c r="C813" s="23" t="s">
        <v>7005</v>
      </c>
      <c r="D813" s="23" t="str">
        <f t="shared" si="36"/>
        <v>ORD26003253</v>
      </c>
      <c r="E813" s="38">
        <v>46270</v>
      </c>
      <c r="F813" s="23" t="s">
        <v>12410</v>
      </c>
      <c r="G813" s="23" t="s">
        <v>77</v>
      </c>
      <c r="H813" s="24">
        <v>2598</v>
      </c>
      <c r="I813" s="24">
        <v>44.17</v>
      </c>
      <c r="J813" s="24">
        <v>7.95</v>
      </c>
      <c r="K813" s="24">
        <v>2545.88</v>
      </c>
      <c r="L813" s="38">
        <v>46272</v>
      </c>
      <c r="M813" s="23" t="s">
        <v>190</v>
      </c>
      <c r="N813" s="23" t="str">
        <f>IF(COUNTIF($A$2:A813,A813)&gt;1,"DUP","OK")</f>
        <v>OK</v>
      </c>
      <c r="O813" s="23" t="str">
        <f t="shared" si="37"/>
        <v>ORD26003253</v>
      </c>
      <c r="P813" s="23" t="str">
        <f t="shared" si="38"/>
        <v>Sep</v>
      </c>
      <c r="Q813" s="23" t="str">
        <f>IF(F813="CAPTURE",IF(COUNTIF(orders!$A:$A,O813)&gt;0,"Yes","NO ORDER"),"")</f>
        <v>Yes</v>
      </c>
    </row>
    <row r="814" spans="1:17" ht="15" customHeight="1" x14ac:dyDescent="0.3">
      <c r="A814" s="23" t="s">
        <v>13357</v>
      </c>
      <c r="B814" s="23"/>
      <c r="C814" s="23" t="s">
        <v>13358</v>
      </c>
      <c r="D814" s="23" t="str">
        <f t="shared" si="36"/>
        <v>ORD26003322</v>
      </c>
      <c r="E814" s="38">
        <v>46270</v>
      </c>
      <c r="F814" s="23" t="s">
        <v>12410</v>
      </c>
      <c r="G814" s="23" t="s">
        <v>77</v>
      </c>
      <c r="H814" s="24">
        <v>2499</v>
      </c>
      <c r="I814" s="24">
        <v>42.48</v>
      </c>
      <c r="J814" s="24">
        <v>7.65</v>
      </c>
      <c r="K814" s="24">
        <v>2448.87</v>
      </c>
      <c r="L814" s="38">
        <v>46272</v>
      </c>
      <c r="M814" s="23" t="s">
        <v>190</v>
      </c>
      <c r="N814" s="23" t="str">
        <f>IF(COUNTIF($A$2:A814,A814)&gt;1,"DUP","OK")</f>
        <v>OK</v>
      </c>
      <c r="O814" s="23" t="str">
        <f t="shared" si="37"/>
        <v>ORD26003322</v>
      </c>
      <c r="P814" s="23" t="str">
        <f t="shared" si="38"/>
        <v>Sep</v>
      </c>
      <c r="Q814" s="23" t="str">
        <f>IF(F814="CAPTURE",IF(COUNTIF(orders!$A:$A,O814)&gt;0,"Yes","NO ORDER"),"")</f>
        <v>Yes</v>
      </c>
    </row>
    <row r="815" spans="1:17" ht="15" customHeight="1" x14ac:dyDescent="0.3">
      <c r="A815" s="23" t="s">
        <v>13359</v>
      </c>
      <c r="B815" s="23"/>
      <c r="C815" s="23" t="s">
        <v>7192</v>
      </c>
      <c r="D815" s="23" t="str">
        <f t="shared" si="36"/>
        <v>ORD26003347</v>
      </c>
      <c r="E815" s="38">
        <v>46270</v>
      </c>
      <c r="F815" s="23" t="s">
        <v>12410</v>
      </c>
      <c r="G815" s="23" t="s">
        <v>75</v>
      </c>
      <c r="H815" s="24">
        <v>8348</v>
      </c>
      <c r="I815" s="24">
        <v>25.04</v>
      </c>
      <c r="J815" s="24">
        <v>4.51</v>
      </c>
      <c r="K815" s="24">
        <v>8318.4500000000007</v>
      </c>
      <c r="L815" s="38">
        <v>46272</v>
      </c>
      <c r="M815" s="23" t="s">
        <v>190</v>
      </c>
      <c r="N815" s="23" t="str">
        <f>IF(COUNTIF($A$2:A815,A815)&gt;1,"DUP","OK")</f>
        <v>OK</v>
      </c>
      <c r="O815" s="23" t="str">
        <f t="shared" si="37"/>
        <v>ORD26003347</v>
      </c>
      <c r="P815" s="23" t="str">
        <f t="shared" si="38"/>
        <v>Sep</v>
      </c>
      <c r="Q815" s="23" t="str">
        <f>IF(F815="CAPTURE",IF(COUNTIF(orders!$A:$A,O815)&gt;0,"Yes","NO ORDER"),"")</f>
        <v>Yes</v>
      </c>
    </row>
    <row r="816" spans="1:17" ht="15" customHeight="1" x14ac:dyDescent="0.3">
      <c r="A816" s="23" t="s">
        <v>13360</v>
      </c>
      <c r="B816" s="23"/>
      <c r="C816" s="23" t="s">
        <v>7215</v>
      </c>
      <c r="D816" s="23" t="str">
        <f t="shared" si="36"/>
        <v>ORD26003358</v>
      </c>
      <c r="E816" s="38">
        <v>46270</v>
      </c>
      <c r="F816" s="23" t="s">
        <v>12410</v>
      </c>
      <c r="G816" s="23" t="s">
        <v>75</v>
      </c>
      <c r="H816" s="24">
        <v>3499</v>
      </c>
      <c r="I816" s="24">
        <v>10.5</v>
      </c>
      <c r="J816" s="24">
        <v>1.89</v>
      </c>
      <c r="K816" s="24">
        <v>3486.61</v>
      </c>
      <c r="L816" s="38">
        <v>46272</v>
      </c>
      <c r="M816" s="23" t="s">
        <v>190</v>
      </c>
      <c r="N816" s="23" t="str">
        <f>IF(COUNTIF($A$2:A816,A816)&gt;1,"DUP","OK")</f>
        <v>OK</v>
      </c>
      <c r="O816" s="23" t="str">
        <f t="shared" si="37"/>
        <v>ORD26003358</v>
      </c>
      <c r="P816" s="23" t="str">
        <f t="shared" si="38"/>
        <v>Sep</v>
      </c>
      <c r="Q816" s="23" t="str">
        <f>IF(F816="CAPTURE",IF(COUNTIF(orders!$A:$A,O816)&gt;0,"Yes","NO ORDER"),"")</f>
        <v>Yes</v>
      </c>
    </row>
    <row r="817" spans="1:17" ht="15" customHeight="1" x14ac:dyDescent="0.3">
      <c r="A817" s="23" t="s">
        <v>13361</v>
      </c>
      <c r="B817" s="23"/>
      <c r="C817" s="23" t="s">
        <v>7331</v>
      </c>
      <c r="D817" s="23" t="str">
        <f t="shared" si="36"/>
        <v>ORD26003416</v>
      </c>
      <c r="E817" s="38">
        <v>46270</v>
      </c>
      <c r="F817" s="23" t="s">
        <v>12410</v>
      </c>
      <c r="G817" s="23" t="s">
        <v>81</v>
      </c>
      <c r="H817" s="24">
        <v>599</v>
      </c>
      <c r="I817" s="24">
        <v>8.99</v>
      </c>
      <c r="J817" s="24">
        <v>1.62</v>
      </c>
      <c r="K817" s="24">
        <v>588.39</v>
      </c>
      <c r="L817" s="38">
        <v>46272</v>
      </c>
      <c r="M817" s="23" t="s">
        <v>190</v>
      </c>
      <c r="N817" s="23" t="str">
        <f>IF(COUNTIF($A$2:A817,A817)&gt;1,"DUP","OK")</f>
        <v>OK</v>
      </c>
      <c r="O817" s="23" t="str">
        <f t="shared" si="37"/>
        <v>ORD26003416</v>
      </c>
      <c r="P817" s="23" t="str">
        <f t="shared" si="38"/>
        <v>Sep</v>
      </c>
      <c r="Q817" s="23" t="str">
        <f>IF(F817="CAPTURE",IF(COUNTIF(orders!$A:$A,O817)&gt;0,"Yes","NO ORDER"),"")</f>
        <v>Yes</v>
      </c>
    </row>
    <row r="818" spans="1:17" ht="15" customHeight="1" x14ac:dyDescent="0.3">
      <c r="A818" s="23" t="s">
        <v>13362</v>
      </c>
      <c r="B818" s="23"/>
      <c r="C818" s="23" t="s">
        <v>7395</v>
      </c>
      <c r="D818" s="23" t="str">
        <f t="shared" si="36"/>
        <v>ORD26003448</v>
      </c>
      <c r="E818" s="38">
        <v>46270</v>
      </c>
      <c r="F818" s="23" t="s">
        <v>12410</v>
      </c>
      <c r="G818" s="23" t="s">
        <v>79</v>
      </c>
      <c r="H818" s="24">
        <v>499</v>
      </c>
      <c r="I818" s="24">
        <v>8.98</v>
      </c>
      <c r="J818" s="24">
        <v>1.62</v>
      </c>
      <c r="K818" s="24">
        <v>488.4</v>
      </c>
      <c r="L818" s="38">
        <v>46272</v>
      </c>
      <c r="M818" s="23" t="s">
        <v>190</v>
      </c>
      <c r="N818" s="23" t="str">
        <f>IF(COUNTIF($A$2:A818,A818)&gt;1,"DUP","OK")</f>
        <v>OK</v>
      </c>
      <c r="O818" s="23" t="str">
        <f t="shared" si="37"/>
        <v>ORD26003448</v>
      </c>
      <c r="P818" s="23" t="str">
        <f t="shared" si="38"/>
        <v>Sep</v>
      </c>
      <c r="Q818" s="23" t="str">
        <f>IF(F818="CAPTURE",IF(COUNTIF(orders!$A:$A,O818)&gt;0,"Yes","NO ORDER"),"")</f>
        <v>Yes</v>
      </c>
    </row>
    <row r="819" spans="1:17" ht="15" customHeight="1" x14ac:dyDescent="0.3">
      <c r="A819" s="23" t="s">
        <v>13363</v>
      </c>
      <c r="B819" s="23"/>
      <c r="C819" s="23" t="s">
        <v>7609</v>
      </c>
      <c r="D819" s="23" t="str">
        <f t="shared" si="36"/>
        <v>ORD26003557</v>
      </c>
      <c r="E819" s="38">
        <v>46270</v>
      </c>
      <c r="F819" s="23" t="s">
        <v>12410</v>
      </c>
      <c r="G819" s="23" t="s">
        <v>79</v>
      </c>
      <c r="H819" s="24">
        <v>1299</v>
      </c>
      <c r="I819" s="24">
        <v>23.38</v>
      </c>
      <c r="J819" s="24">
        <v>4.21</v>
      </c>
      <c r="K819" s="24">
        <v>1271.4100000000001</v>
      </c>
      <c r="L819" s="38">
        <v>46272</v>
      </c>
      <c r="M819" s="23" t="s">
        <v>190</v>
      </c>
      <c r="N819" s="23" t="str">
        <f>IF(COUNTIF($A$2:A819,A819)&gt;1,"DUP","OK")</f>
        <v>OK</v>
      </c>
      <c r="O819" s="23" t="str">
        <f t="shared" si="37"/>
        <v>ORD26003557</v>
      </c>
      <c r="P819" s="23" t="str">
        <f t="shared" si="38"/>
        <v>Sep</v>
      </c>
      <c r="Q819" s="23" t="str">
        <f>IF(F819="CAPTURE",IF(COUNTIF(orders!$A:$A,O819)&gt;0,"Yes","NO ORDER"),"")</f>
        <v>Yes</v>
      </c>
    </row>
    <row r="820" spans="1:17" ht="15" customHeight="1" x14ac:dyDescent="0.3">
      <c r="A820" s="23" t="s">
        <v>13364</v>
      </c>
      <c r="B820" s="23"/>
      <c r="C820" s="23" t="s">
        <v>7806</v>
      </c>
      <c r="D820" s="23" t="str">
        <f t="shared" si="36"/>
        <v>ORD26003658</v>
      </c>
      <c r="E820" s="38">
        <v>46270</v>
      </c>
      <c r="F820" s="23" t="s">
        <v>12410</v>
      </c>
      <c r="G820" s="23" t="s">
        <v>75</v>
      </c>
      <c r="H820" s="24">
        <v>1799</v>
      </c>
      <c r="I820" s="24">
        <v>0</v>
      </c>
      <c r="J820" s="24">
        <v>0</v>
      </c>
      <c r="K820" s="24">
        <v>1799</v>
      </c>
      <c r="L820" s="38">
        <v>46272</v>
      </c>
      <c r="M820" s="23" t="s">
        <v>190</v>
      </c>
      <c r="N820" s="23" t="str">
        <f>IF(COUNTIF($A$2:A820,A820)&gt;1,"DUP","OK")</f>
        <v>OK</v>
      </c>
      <c r="O820" s="23" t="str">
        <f t="shared" si="37"/>
        <v>ORD26003658</v>
      </c>
      <c r="P820" s="23" t="str">
        <f t="shared" si="38"/>
        <v>Sep</v>
      </c>
      <c r="Q820" s="23" t="str">
        <f>IF(F820="CAPTURE",IF(COUNTIF(orders!$A:$A,O820)&gt;0,"Yes","NO ORDER"),"")</f>
        <v>Yes</v>
      </c>
    </row>
    <row r="821" spans="1:17" ht="15" customHeight="1" x14ac:dyDescent="0.3">
      <c r="A821" s="23" t="s">
        <v>13365</v>
      </c>
      <c r="B821" s="23"/>
      <c r="C821" s="23" t="s">
        <v>13366</v>
      </c>
      <c r="D821" s="23" t="str">
        <f t="shared" si="36"/>
        <v>ORD26003671</v>
      </c>
      <c r="E821" s="38">
        <v>46270</v>
      </c>
      <c r="F821" s="23" t="s">
        <v>12410</v>
      </c>
      <c r="G821" s="23" t="s">
        <v>79</v>
      </c>
      <c r="H821" s="24">
        <v>999</v>
      </c>
      <c r="I821" s="24">
        <v>17.98</v>
      </c>
      <c r="J821" s="24">
        <v>3.24</v>
      </c>
      <c r="K821" s="24">
        <v>977.78</v>
      </c>
      <c r="L821" s="38">
        <v>46272</v>
      </c>
      <c r="M821" s="23" t="s">
        <v>190</v>
      </c>
      <c r="N821" s="23" t="str">
        <f>IF(COUNTIF($A$2:A821,A821)&gt;1,"DUP","OK")</f>
        <v>OK</v>
      </c>
      <c r="O821" s="23" t="str">
        <f t="shared" si="37"/>
        <v>ORD26003671</v>
      </c>
      <c r="P821" s="23" t="str">
        <f t="shared" si="38"/>
        <v>Sep</v>
      </c>
      <c r="Q821" s="23" t="str">
        <f>IF(F821="CAPTURE",IF(COUNTIF(orders!$A:$A,O821)&gt;0,"Yes","NO ORDER"),"")</f>
        <v>Yes</v>
      </c>
    </row>
    <row r="822" spans="1:17" ht="15" customHeight="1" x14ac:dyDescent="0.3">
      <c r="A822" s="23" t="s">
        <v>13367</v>
      </c>
      <c r="B822" s="23"/>
      <c r="C822" s="23" t="s">
        <v>7840</v>
      </c>
      <c r="D822" s="23" t="str">
        <f t="shared" si="36"/>
        <v>ORD26003676</v>
      </c>
      <c r="E822" s="38">
        <v>46270</v>
      </c>
      <c r="F822" s="23" t="s">
        <v>12410</v>
      </c>
      <c r="G822" s="23" t="s">
        <v>75</v>
      </c>
      <c r="H822" s="24">
        <v>1597</v>
      </c>
      <c r="I822" s="24">
        <v>0</v>
      </c>
      <c r="J822" s="24">
        <v>0</v>
      </c>
      <c r="K822" s="24">
        <v>1597</v>
      </c>
      <c r="L822" s="38">
        <v>46272</v>
      </c>
      <c r="M822" s="23" t="s">
        <v>190</v>
      </c>
      <c r="N822" s="23" t="str">
        <f>IF(COUNTIF($A$2:A822,A822)&gt;1,"DUP","OK")</f>
        <v>OK</v>
      </c>
      <c r="O822" s="23" t="str">
        <f t="shared" si="37"/>
        <v>ORD26003676</v>
      </c>
      <c r="P822" s="23" t="str">
        <f t="shared" si="38"/>
        <v>Sep</v>
      </c>
      <c r="Q822" s="23" t="str">
        <f>IF(F822="CAPTURE",IF(COUNTIF(orders!$A:$A,O822)&gt;0,"Yes","NO ORDER"),"")</f>
        <v>Yes</v>
      </c>
    </row>
    <row r="823" spans="1:17" ht="15" customHeight="1" x14ac:dyDescent="0.3">
      <c r="A823" s="23" t="s">
        <v>13368</v>
      </c>
      <c r="B823" s="23"/>
      <c r="C823" s="23" t="s">
        <v>7950</v>
      </c>
      <c r="D823" s="23" t="str">
        <f t="shared" si="36"/>
        <v>ORD26003731</v>
      </c>
      <c r="E823" s="38">
        <v>46270</v>
      </c>
      <c r="F823" s="23" t="s">
        <v>12410</v>
      </c>
      <c r="G823" s="23" t="s">
        <v>77</v>
      </c>
      <c r="H823" s="24">
        <v>999</v>
      </c>
      <c r="I823" s="24">
        <v>18.98</v>
      </c>
      <c r="J823" s="24">
        <v>3.42</v>
      </c>
      <c r="K823" s="24">
        <v>976.6</v>
      </c>
      <c r="L823" s="38">
        <v>46272</v>
      </c>
      <c r="M823" s="23" t="s">
        <v>190</v>
      </c>
      <c r="N823" s="23" t="str">
        <f>IF(COUNTIF($A$2:A823,A823)&gt;1,"DUP","OK")</f>
        <v>OK</v>
      </c>
      <c r="O823" s="23" t="str">
        <f t="shared" si="37"/>
        <v>ORD26003731</v>
      </c>
      <c r="P823" s="23" t="str">
        <f t="shared" si="38"/>
        <v>Sep</v>
      </c>
      <c r="Q823" s="23" t="str">
        <f>IF(F823="CAPTURE",IF(COUNTIF(orders!$A:$A,O823)&gt;0,"Yes","NO ORDER"),"")</f>
        <v>Yes</v>
      </c>
    </row>
    <row r="824" spans="1:17" ht="15" customHeight="1" x14ac:dyDescent="0.3">
      <c r="A824" s="23" t="s">
        <v>13369</v>
      </c>
      <c r="B824" s="23"/>
      <c r="C824" s="23" t="s">
        <v>7976</v>
      </c>
      <c r="D824" s="23" t="str">
        <f t="shared" si="36"/>
        <v>ORD26003744</v>
      </c>
      <c r="E824" s="38">
        <v>46270</v>
      </c>
      <c r="F824" s="23" t="s">
        <v>12410</v>
      </c>
      <c r="G824" s="23" t="s">
        <v>75</v>
      </c>
      <c r="H824" s="24">
        <v>499</v>
      </c>
      <c r="I824" s="24">
        <v>0</v>
      </c>
      <c r="J824" s="24">
        <v>0</v>
      </c>
      <c r="K824" s="24">
        <v>499</v>
      </c>
      <c r="L824" s="38">
        <v>46272</v>
      </c>
      <c r="M824" s="23" t="s">
        <v>190</v>
      </c>
      <c r="N824" s="23" t="str">
        <f>IF(COUNTIF($A$2:A824,A824)&gt;1,"DUP","OK")</f>
        <v>OK</v>
      </c>
      <c r="O824" s="23" t="str">
        <f t="shared" si="37"/>
        <v>ORD26003744</v>
      </c>
      <c r="P824" s="23" t="str">
        <f t="shared" si="38"/>
        <v>Sep</v>
      </c>
      <c r="Q824" s="23" t="str">
        <f>IF(F824="CAPTURE",IF(COUNTIF(orders!$A:$A,O824)&gt;0,"Yes","NO ORDER"),"")</f>
        <v>Yes</v>
      </c>
    </row>
    <row r="825" spans="1:17" ht="15" customHeight="1" x14ac:dyDescent="0.3">
      <c r="A825" s="23" t="s">
        <v>13370</v>
      </c>
      <c r="B825" s="23"/>
      <c r="C825" s="23" t="s">
        <v>7986</v>
      </c>
      <c r="D825" s="23" t="str">
        <f t="shared" si="36"/>
        <v>ORD26003749</v>
      </c>
      <c r="E825" s="38">
        <v>46270</v>
      </c>
      <c r="F825" s="23" t="s">
        <v>12410</v>
      </c>
      <c r="G825" s="23" t="s">
        <v>79</v>
      </c>
      <c r="H825" s="24">
        <v>999</v>
      </c>
      <c r="I825" s="24">
        <v>17.98</v>
      </c>
      <c r="J825" s="24">
        <v>3.24</v>
      </c>
      <c r="K825" s="24">
        <v>977.78</v>
      </c>
      <c r="L825" s="38">
        <v>46272</v>
      </c>
      <c r="M825" s="23" t="s">
        <v>190</v>
      </c>
      <c r="N825" s="23" t="str">
        <f>IF(COUNTIF($A$2:A825,A825)&gt;1,"DUP","OK")</f>
        <v>OK</v>
      </c>
      <c r="O825" s="23" t="str">
        <f t="shared" si="37"/>
        <v>ORD26003749</v>
      </c>
      <c r="P825" s="23" t="str">
        <f t="shared" si="38"/>
        <v>Sep</v>
      </c>
      <c r="Q825" s="23" t="str">
        <f>IF(F825="CAPTURE",IF(COUNTIF(orders!$A:$A,O825)&gt;0,"Yes","NO ORDER"),"")</f>
        <v>Yes</v>
      </c>
    </row>
    <row r="826" spans="1:17" ht="15" customHeight="1" x14ac:dyDescent="0.3">
      <c r="A826" s="23" t="s">
        <v>13371</v>
      </c>
      <c r="B826" s="23"/>
      <c r="C826" s="23" t="s">
        <v>8042</v>
      </c>
      <c r="D826" s="23" t="str">
        <f t="shared" si="36"/>
        <v>ORD26003777</v>
      </c>
      <c r="E826" s="38">
        <v>46270</v>
      </c>
      <c r="F826" s="23" t="s">
        <v>12410</v>
      </c>
      <c r="G826" s="23" t="s">
        <v>79</v>
      </c>
      <c r="H826" s="24">
        <v>2999</v>
      </c>
      <c r="I826" s="24">
        <v>47.98</v>
      </c>
      <c r="J826" s="24">
        <v>8.64</v>
      </c>
      <c r="K826" s="24">
        <v>2942.38</v>
      </c>
      <c r="L826" s="38">
        <v>46272</v>
      </c>
      <c r="M826" s="23" t="s">
        <v>190</v>
      </c>
      <c r="N826" s="23" t="str">
        <f>IF(COUNTIF($A$2:A826,A826)&gt;1,"DUP","OK")</f>
        <v>OK</v>
      </c>
      <c r="O826" s="23" t="str">
        <f t="shared" si="37"/>
        <v>ORD26003777</v>
      </c>
      <c r="P826" s="23" t="str">
        <f t="shared" si="38"/>
        <v>Sep</v>
      </c>
      <c r="Q826" s="23" t="str">
        <f>IF(F826="CAPTURE",IF(COUNTIF(orders!$A:$A,O826)&gt;0,"Yes","NO ORDER"),"")</f>
        <v>Yes</v>
      </c>
    </row>
    <row r="827" spans="1:17" ht="15" customHeight="1" x14ac:dyDescent="0.3">
      <c r="A827" s="23" t="s">
        <v>13372</v>
      </c>
      <c r="B827" s="23"/>
      <c r="C827" s="23" t="s">
        <v>8086</v>
      </c>
      <c r="D827" s="23" t="str">
        <f t="shared" si="36"/>
        <v>ORD26003799</v>
      </c>
      <c r="E827" s="38">
        <v>46270</v>
      </c>
      <c r="F827" s="23" t="s">
        <v>12410</v>
      </c>
      <c r="G827" s="23" t="s">
        <v>75</v>
      </c>
      <c r="H827" s="24">
        <v>12998</v>
      </c>
      <c r="I827" s="24">
        <v>38.99</v>
      </c>
      <c r="J827" s="24">
        <v>7.02</v>
      </c>
      <c r="K827" s="24">
        <v>12951.99</v>
      </c>
      <c r="L827" s="38">
        <v>46272</v>
      </c>
      <c r="M827" s="23" t="s">
        <v>190</v>
      </c>
      <c r="N827" s="23" t="str">
        <f>IF(COUNTIF($A$2:A827,A827)&gt;1,"DUP","OK")</f>
        <v>OK</v>
      </c>
      <c r="O827" s="23" t="str">
        <f t="shared" si="37"/>
        <v>ORD26003799</v>
      </c>
      <c r="P827" s="23" t="str">
        <f t="shared" si="38"/>
        <v>Sep</v>
      </c>
      <c r="Q827" s="23" t="str">
        <f>IF(F827="CAPTURE",IF(COUNTIF(orders!$A:$A,O827)&gt;0,"Yes","NO ORDER"),"")</f>
        <v>Yes</v>
      </c>
    </row>
    <row r="828" spans="1:17" ht="15" customHeight="1" x14ac:dyDescent="0.3">
      <c r="A828" s="23" t="s">
        <v>13373</v>
      </c>
      <c r="B828" s="23"/>
      <c r="C828" s="23" t="s">
        <v>8130</v>
      </c>
      <c r="D828" s="23" t="str">
        <f t="shared" si="36"/>
        <v>ORD26003821</v>
      </c>
      <c r="E828" s="38">
        <v>46270</v>
      </c>
      <c r="F828" s="23" t="s">
        <v>12410</v>
      </c>
      <c r="G828" s="23" t="s">
        <v>75</v>
      </c>
      <c r="H828" s="24">
        <v>799</v>
      </c>
      <c r="I828" s="24">
        <v>0</v>
      </c>
      <c r="J828" s="24">
        <v>0</v>
      </c>
      <c r="K828" s="24">
        <v>799</v>
      </c>
      <c r="L828" s="38">
        <v>46272</v>
      </c>
      <c r="M828" s="23" t="s">
        <v>190</v>
      </c>
      <c r="N828" s="23" t="str">
        <f>IF(COUNTIF($A$2:A828,A828)&gt;1,"DUP","OK")</f>
        <v>OK</v>
      </c>
      <c r="O828" s="23" t="str">
        <f t="shared" si="37"/>
        <v>ORD26003821</v>
      </c>
      <c r="P828" s="23" t="str">
        <f t="shared" si="38"/>
        <v>Sep</v>
      </c>
      <c r="Q828" s="23" t="str">
        <f>IF(F828="CAPTURE",IF(COUNTIF(orders!$A:$A,O828)&gt;0,"Yes","NO ORDER"),"")</f>
        <v>Yes</v>
      </c>
    </row>
    <row r="829" spans="1:17" ht="15" customHeight="1" x14ac:dyDescent="0.3">
      <c r="A829" s="23" t="s">
        <v>13374</v>
      </c>
      <c r="B829" s="23"/>
      <c r="C829" s="23" t="s">
        <v>8148</v>
      </c>
      <c r="D829" s="23" t="str">
        <f t="shared" si="36"/>
        <v>ORD26003830</v>
      </c>
      <c r="E829" s="38">
        <v>46270</v>
      </c>
      <c r="F829" s="23" t="s">
        <v>12410</v>
      </c>
      <c r="G829" s="23" t="s">
        <v>79</v>
      </c>
      <c r="H829" s="24">
        <v>999</v>
      </c>
      <c r="I829" s="24">
        <v>17.98</v>
      </c>
      <c r="J829" s="24">
        <v>3.24</v>
      </c>
      <c r="K829" s="24">
        <v>977.78</v>
      </c>
      <c r="L829" s="38">
        <v>46272</v>
      </c>
      <c r="M829" s="23" t="s">
        <v>190</v>
      </c>
      <c r="N829" s="23" t="str">
        <f>IF(COUNTIF($A$2:A829,A829)&gt;1,"DUP","OK")</f>
        <v>OK</v>
      </c>
      <c r="O829" s="23" t="str">
        <f t="shared" si="37"/>
        <v>ORD26003830</v>
      </c>
      <c r="P829" s="23" t="str">
        <f t="shared" si="38"/>
        <v>Sep</v>
      </c>
      <c r="Q829" s="23" t="str">
        <f>IF(F829="CAPTURE",IF(COUNTIF(orders!$A:$A,O829)&gt;0,"Yes","NO ORDER"),"")</f>
        <v>Yes</v>
      </c>
    </row>
    <row r="830" spans="1:17" ht="15" customHeight="1" x14ac:dyDescent="0.3">
      <c r="A830" s="23" t="s">
        <v>13375</v>
      </c>
      <c r="B830" s="23"/>
      <c r="C830" s="23" t="s">
        <v>8164</v>
      </c>
      <c r="D830" s="23" t="str">
        <f t="shared" si="36"/>
        <v>ORD26003838</v>
      </c>
      <c r="E830" s="38">
        <v>46270</v>
      </c>
      <c r="F830" s="23" t="s">
        <v>12410</v>
      </c>
      <c r="G830" s="23" t="s">
        <v>79</v>
      </c>
      <c r="H830" s="24">
        <v>599</v>
      </c>
      <c r="I830" s="24">
        <v>10.78</v>
      </c>
      <c r="J830" s="24">
        <v>1.94</v>
      </c>
      <c r="K830" s="24">
        <v>586.28</v>
      </c>
      <c r="L830" s="38">
        <v>46272</v>
      </c>
      <c r="M830" s="23" t="s">
        <v>190</v>
      </c>
      <c r="N830" s="23" t="str">
        <f>IF(COUNTIF($A$2:A830,A830)&gt;1,"DUP","OK")</f>
        <v>OK</v>
      </c>
      <c r="O830" s="23" t="str">
        <f t="shared" si="37"/>
        <v>ORD26003838</v>
      </c>
      <c r="P830" s="23" t="str">
        <f t="shared" si="38"/>
        <v>Sep</v>
      </c>
      <c r="Q830" s="23" t="str">
        <f>IF(F830="CAPTURE",IF(COUNTIF(orders!$A:$A,O830)&gt;0,"Yes","NO ORDER"),"")</f>
        <v>Yes</v>
      </c>
    </row>
    <row r="831" spans="1:17" ht="15" customHeight="1" x14ac:dyDescent="0.3">
      <c r="A831" s="23" t="s">
        <v>13376</v>
      </c>
      <c r="B831" s="23"/>
      <c r="C831" s="23" t="s">
        <v>8211</v>
      </c>
      <c r="D831" s="23" t="str">
        <f t="shared" si="36"/>
        <v>ORD26003862</v>
      </c>
      <c r="E831" s="38">
        <v>46270</v>
      </c>
      <c r="F831" s="23" t="s">
        <v>12410</v>
      </c>
      <c r="G831" s="23" t="s">
        <v>81</v>
      </c>
      <c r="H831" s="24">
        <v>10497</v>
      </c>
      <c r="I831" s="24">
        <v>94.47</v>
      </c>
      <c r="J831" s="24">
        <v>17</v>
      </c>
      <c r="K831" s="24">
        <v>10385.530000000001</v>
      </c>
      <c r="L831" s="38">
        <v>46272</v>
      </c>
      <c r="M831" s="23" t="s">
        <v>190</v>
      </c>
      <c r="N831" s="23" t="str">
        <f>IF(COUNTIF($A$2:A831,A831)&gt;1,"DUP","OK")</f>
        <v>OK</v>
      </c>
      <c r="O831" s="23" t="str">
        <f t="shared" si="37"/>
        <v>ORD26003862</v>
      </c>
      <c r="P831" s="23" t="str">
        <f t="shared" si="38"/>
        <v>Sep</v>
      </c>
      <c r="Q831" s="23" t="str">
        <f>IF(F831="CAPTURE",IF(COUNTIF(orders!$A:$A,O831)&gt;0,"Yes","NO ORDER"),"")</f>
        <v>Yes</v>
      </c>
    </row>
    <row r="832" spans="1:17" ht="15" customHeight="1" x14ac:dyDescent="0.3">
      <c r="A832" s="23" t="s">
        <v>13377</v>
      </c>
      <c r="B832" s="23"/>
      <c r="C832" s="23" t="s">
        <v>8261</v>
      </c>
      <c r="D832" s="23" t="str">
        <f t="shared" si="36"/>
        <v>ORD26003887</v>
      </c>
      <c r="E832" s="38">
        <v>46270</v>
      </c>
      <c r="F832" s="23" t="s">
        <v>12410</v>
      </c>
      <c r="G832" s="23" t="s">
        <v>75</v>
      </c>
      <c r="H832" s="24">
        <v>8348</v>
      </c>
      <c r="I832" s="24">
        <v>25.04</v>
      </c>
      <c r="J832" s="24">
        <v>4.51</v>
      </c>
      <c r="K832" s="24">
        <v>8318.4500000000007</v>
      </c>
      <c r="L832" s="38">
        <v>46272</v>
      </c>
      <c r="M832" s="23" t="s">
        <v>190</v>
      </c>
      <c r="N832" s="23" t="str">
        <f>IF(COUNTIF($A$2:A832,A832)&gt;1,"DUP","OK")</f>
        <v>OK</v>
      </c>
      <c r="O832" s="23" t="str">
        <f t="shared" si="37"/>
        <v>ORD26003887</v>
      </c>
      <c r="P832" s="23" t="str">
        <f t="shared" si="38"/>
        <v>Sep</v>
      </c>
      <c r="Q832" s="23" t="str">
        <f>IF(F832="CAPTURE",IF(COUNTIF(orders!$A:$A,O832)&gt;0,"Yes","NO ORDER"),"")</f>
        <v>Yes</v>
      </c>
    </row>
    <row r="833" spans="1:17" ht="15" customHeight="1" x14ac:dyDescent="0.3">
      <c r="A833" s="23" t="s">
        <v>13378</v>
      </c>
      <c r="B833" s="23"/>
      <c r="C833" s="23" t="s">
        <v>8371</v>
      </c>
      <c r="D833" s="23" t="str">
        <f t="shared" si="36"/>
        <v>ORD26003942</v>
      </c>
      <c r="E833" s="38">
        <v>46270</v>
      </c>
      <c r="F833" s="23" t="s">
        <v>12410</v>
      </c>
      <c r="G833" s="23" t="s">
        <v>75</v>
      </c>
      <c r="H833" s="24">
        <v>799</v>
      </c>
      <c r="I833" s="24">
        <v>0</v>
      </c>
      <c r="J833" s="24">
        <v>0</v>
      </c>
      <c r="K833" s="24">
        <v>799</v>
      </c>
      <c r="L833" s="38">
        <v>46272</v>
      </c>
      <c r="M833" s="23" t="s">
        <v>190</v>
      </c>
      <c r="N833" s="23" t="str">
        <f>IF(COUNTIF($A$2:A833,A833)&gt;1,"DUP","OK")</f>
        <v>OK</v>
      </c>
      <c r="O833" s="23" t="str">
        <f t="shared" si="37"/>
        <v>ORD26003942</v>
      </c>
      <c r="P833" s="23" t="str">
        <f t="shared" si="38"/>
        <v>Sep</v>
      </c>
      <c r="Q833" s="23" t="str">
        <f>IF(F833="CAPTURE",IF(COUNTIF(orders!$A:$A,O833)&gt;0,"Yes","NO ORDER"),"")</f>
        <v>Yes</v>
      </c>
    </row>
    <row r="834" spans="1:17" ht="15" customHeight="1" x14ac:dyDescent="0.3">
      <c r="A834" s="23" t="s">
        <v>13379</v>
      </c>
      <c r="B834" s="23"/>
      <c r="C834" s="23" t="s">
        <v>13380</v>
      </c>
      <c r="D834" s="23" t="str">
        <f t="shared" ref="D834:D897" si="39">UPPER(SUBSTITUTE(TRIM(C834),"-",""))</f>
        <v>ORD26003966</v>
      </c>
      <c r="E834" s="38">
        <v>46270</v>
      </c>
      <c r="F834" s="23" t="s">
        <v>12410</v>
      </c>
      <c r="G834" s="23" t="s">
        <v>79</v>
      </c>
      <c r="H834" s="24">
        <v>1299</v>
      </c>
      <c r="I834" s="24">
        <v>23.38</v>
      </c>
      <c r="J834" s="24">
        <v>4.21</v>
      </c>
      <c r="K834" s="24">
        <v>1271.4100000000001</v>
      </c>
      <c r="L834" s="38">
        <v>46272</v>
      </c>
      <c r="M834" s="23" t="s">
        <v>190</v>
      </c>
      <c r="N834" s="23" t="str">
        <f>IF(COUNTIF($A$2:A834,A834)&gt;1,"DUP","OK")</f>
        <v>OK</v>
      </c>
      <c r="O834" s="23" t="str">
        <f t="shared" ref="O834:O897" si="40">IF(F834="REFUND",INDEX($D:$D,MATCH(B834,$A:$A,0)),D834)</f>
        <v>ORD26003966</v>
      </c>
      <c r="P834" s="23" t="str">
        <f t="shared" ref="P834:P897" si="41">IF(L834&gt;DATE(2026,9,30),"Oct-Due","Sep")</f>
        <v>Sep</v>
      </c>
      <c r="Q834" s="23" t="str">
        <f>IF(F834="CAPTURE",IF(COUNTIF(orders!$A:$A,O834)&gt;0,"Yes","NO ORDER"),"")</f>
        <v>Yes</v>
      </c>
    </row>
    <row r="835" spans="1:17" ht="15" customHeight="1" x14ac:dyDescent="0.3">
      <c r="A835" s="23" t="s">
        <v>13381</v>
      </c>
      <c r="B835" s="23"/>
      <c r="C835" s="23" t="s">
        <v>8467</v>
      </c>
      <c r="D835" s="23" t="str">
        <f t="shared" si="39"/>
        <v>ORD26003990</v>
      </c>
      <c r="E835" s="38">
        <v>46270</v>
      </c>
      <c r="F835" s="23" t="s">
        <v>12410</v>
      </c>
      <c r="G835" s="23" t="s">
        <v>75</v>
      </c>
      <c r="H835" s="24">
        <v>1499</v>
      </c>
      <c r="I835" s="24">
        <v>0</v>
      </c>
      <c r="J835" s="24">
        <v>0</v>
      </c>
      <c r="K835" s="24">
        <v>1499</v>
      </c>
      <c r="L835" s="38">
        <v>46272</v>
      </c>
      <c r="M835" s="23" t="s">
        <v>190</v>
      </c>
      <c r="N835" s="23" t="str">
        <f>IF(COUNTIF($A$2:A835,A835)&gt;1,"DUP","OK")</f>
        <v>OK</v>
      </c>
      <c r="O835" s="23" t="str">
        <f t="shared" si="40"/>
        <v>ORD26003990</v>
      </c>
      <c r="P835" s="23" t="str">
        <f t="shared" si="41"/>
        <v>Sep</v>
      </c>
      <c r="Q835" s="23" t="str">
        <f>IF(F835="CAPTURE",IF(COUNTIF(orders!$A:$A,O835)&gt;0,"Yes","NO ORDER"),"")</f>
        <v>Yes</v>
      </c>
    </row>
    <row r="836" spans="1:17" ht="15" customHeight="1" x14ac:dyDescent="0.3">
      <c r="A836" s="23" t="s">
        <v>13382</v>
      </c>
      <c r="B836" s="23"/>
      <c r="C836" s="23" t="s">
        <v>8509</v>
      </c>
      <c r="D836" s="23" t="str">
        <f t="shared" si="39"/>
        <v>ORD26004012</v>
      </c>
      <c r="E836" s="38">
        <v>46270</v>
      </c>
      <c r="F836" s="23" t="s">
        <v>12410</v>
      </c>
      <c r="G836" s="23" t="s">
        <v>75</v>
      </c>
      <c r="H836" s="24">
        <v>798</v>
      </c>
      <c r="I836" s="24">
        <v>0</v>
      </c>
      <c r="J836" s="24">
        <v>0</v>
      </c>
      <c r="K836" s="24">
        <v>798</v>
      </c>
      <c r="L836" s="38">
        <v>46272</v>
      </c>
      <c r="M836" s="23" t="s">
        <v>190</v>
      </c>
      <c r="N836" s="23" t="str">
        <f>IF(COUNTIF($A$2:A836,A836)&gt;1,"DUP","OK")</f>
        <v>OK</v>
      </c>
      <c r="O836" s="23" t="str">
        <f t="shared" si="40"/>
        <v>ORD26004012</v>
      </c>
      <c r="P836" s="23" t="str">
        <f t="shared" si="41"/>
        <v>Sep</v>
      </c>
      <c r="Q836" s="23" t="str">
        <f>IF(F836="CAPTURE",IF(COUNTIF(orders!$A:$A,O836)&gt;0,"Yes","NO ORDER"),"")</f>
        <v>Yes</v>
      </c>
    </row>
    <row r="837" spans="1:17" ht="15" customHeight="1" x14ac:dyDescent="0.3">
      <c r="A837" s="23" t="s">
        <v>13383</v>
      </c>
      <c r="B837" s="23"/>
      <c r="C837" s="23" t="s">
        <v>8621</v>
      </c>
      <c r="D837" s="23" t="str">
        <f t="shared" si="39"/>
        <v>ORD26004069</v>
      </c>
      <c r="E837" s="38">
        <v>46270</v>
      </c>
      <c r="F837" s="23" t="s">
        <v>12410</v>
      </c>
      <c r="G837" s="23" t="s">
        <v>79</v>
      </c>
      <c r="H837" s="24">
        <v>4999</v>
      </c>
      <c r="I837" s="24">
        <v>79.98</v>
      </c>
      <c r="J837" s="24">
        <v>14.4</v>
      </c>
      <c r="K837" s="24">
        <v>4904.62</v>
      </c>
      <c r="L837" s="38">
        <v>46272</v>
      </c>
      <c r="M837" s="23" t="s">
        <v>190</v>
      </c>
      <c r="N837" s="23" t="str">
        <f>IF(COUNTIF($A$2:A837,A837)&gt;1,"DUP","OK")</f>
        <v>OK</v>
      </c>
      <c r="O837" s="23" t="str">
        <f t="shared" si="40"/>
        <v>ORD26004069</v>
      </c>
      <c r="P837" s="23" t="str">
        <f t="shared" si="41"/>
        <v>Sep</v>
      </c>
      <c r="Q837" s="23" t="str">
        <f>IF(F837="CAPTURE",IF(COUNTIF(orders!$A:$A,O837)&gt;0,"Yes","NO ORDER"),"")</f>
        <v>Yes</v>
      </c>
    </row>
    <row r="838" spans="1:17" ht="15" customHeight="1" x14ac:dyDescent="0.3">
      <c r="A838" s="23" t="s">
        <v>13384</v>
      </c>
      <c r="B838" s="23"/>
      <c r="C838" s="23" t="s">
        <v>8625</v>
      </c>
      <c r="D838" s="23" t="str">
        <f t="shared" si="39"/>
        <v>ORD26004071</v>
      </c>
      <c r="E838" s="38">
        <v>46270</v>
      </c>
      <c r="F838" s="23" t="s">
        <v>12410</v>
      </c>
      <c r="G838" s="23" t="s">
        <v>75</v>
      </c>
      <c r="H838" s="24">
        <v>599</v>
      </c>
      <c r="I838" s="24">
        <v>0</v>
      </c>
      <c r="J838" s="24">
        <v>0</v>
      </c>
      <c r="K838" s="24">
        <v>599</v>
      </c>
      <c r="L838" s="38">
        <v>46272</v>
      </c>
      <c r="M838" s="23" t="s">
        <v>190</v>
      </c>
      <c r="N838" s="23" t="str">
        <f>IF(COUNTIF($A$2:A838,A838)&gt;1,"DUP","OK")</f>
        <v>OK</v>
      </c>
      <c r="O838" s="23" t="str">
        <f t="shared" si="40"/>
        <v>ORD26004071</v>
      </c>
      <c r="P838" s="23" t="str">
        <f t="shared" si="41"/>
        <v>Sep</v>
      </c>
      <c r="Q838" s="23" t="str">
        <f>IF(F838="CAPTURE",IF(COUNTIF(orders!$A:$A,O838)&gt;0,"Yes","NO ORDER"),"")</f>
        <v>Yes</v>
      </c>
    </row>
    <row r="839" spans="1:17" ht="15" customHeight="1" x14ac:dyDescent="0.3">
      <c r="A839" s="23" t="s">
        <v>13385</v>
      </c>
      <c r="B839" s="23"/>
      <c r="C839" s="23" t="s">
        <v>8672</v>
      </c>
      <c r="D839" s="23" t="str">
        <f t="shared" si="39"/>
        <v>ORD26004095</v>
      </c>
      <c r="E839" s="38">
        <v>46270</v>
      </c>
      <c r="F839" s="23" t="s">
        <v>12410</v>
      </c>
      <c r="G839" s="23" t="s">
        <v>79</v>
      </c>
      <c r="H839" s="24">
        <v>1148</v>
      </c>
      <c r="I839" s="24">
        <v>20.66</v>
      </c>
      <c r="J839" s="24">
        <v>3.72</v>
      </c>
      <c r="K839" s="24">
        <v>1123.6199999999999</v>
      </c>
      <c r="L839" s="38">
        <v>46272</v>
      </c>
      <c r="M839" s="23" t="s">
        <v>190</v>
      </c>
      <c r="N839" s="23" t="str">
        <f>IF(COUNTIF($A$2:A839,A839)&gt;1,"DUP","OK")</f>
        <v>OK</v>
      </c>
      <c r="O839" s="23" t="str">
        <f t="shared" si="40"/>
        <v>ORD26004095</v>
      </c>
      <c r="P839" s="23" t="str">
        <f t="shared" si="41"/>
        <v>Sep</v>
      </c>
      <c r="Q839" s="23" t="str">
        <f>IF(F839="CAPTURE",IF(COUNTIF(orders!$A:$A,O839)&gt;0,"Yes","NO ORDER"),"")</f>
        <v>Yes</v>
      </c>
    </row>
    <row r="840" spans="1:17" ht="15" customHeight="1" x14ac:dyDescent="0.3">
      <c r="A840" s="23" t="s">
        <v>13386</v>
      </c>
      <c r="B840" s="23"/>
      <c r="C840" s="23" t="s">
        <v>13387</v>
      </c>
      <c r="D840" s="23" t="str">
        <f t="shared" si="39"/>
        <v>ORD26004133</v>
      </c>
      <c r="E840" s="38">
        <v>46270</v>
      </c>
      <c r="F840" s="23" t="s">
        <v>12410</v>
      </c>
      <c r="G840" s="23" t="s">
        <v>81</v>
      </c>
      <c r="H840" s="24">
        <v>1598</v>
      </c>
      <c r="I840" s="24">
        <v>23.97</v>
      </c>
      <c r="J840" s="24">
        <v>4.3099999999999996</v>
      </c>
      <c r="K840" s="24">
        <v>1569.72</v>
      </c>
      <c r="L840" s="38">
        <v>46272</v>
      </c>
      <c r="M840" s="23" t="s">
        <v>190</v>
      </c>
      <c r="N840" s="23" t="str">
        <f>IF(COUNTIF($A$2:A840,A840)&gt;1,"DUP","OK")</f>
        <v>OK</v>
      </c>
      <c r="O840" s="23" t="str">
        <f t="shared" si="40"/>
        <v>ORD26004133</v>
      </c>
      <c r="P840" s="23" t="str">
        <f t="shared" si="41"/>
        <v>Sep</v>
      </c>
      <c r="Q840" s="23" t="str">
        <f>IF(F840="CAPTURE",IF(COUNTIF(orders!$A:$A,O840)&gt;0,"Yes","NO ORDER"),"")</f>
        <v>Yes</v>
      </c>
    </row>
    <row r="841" spans="1:17" ht="15" customHeight="1" x14ac:dyDescent="0.3">
      <c r="A841" s="23" t="s">
        <v>13388</v>
      </c>
      <c r="B841" s="23"/>
      <c r="C841" s="23" t="s">
        <v>13389</v>
      </c>
      <c r="D841" s="23" t="str">
        <f t="shared" si="39"/>
        <v>ORD26004142</v>
      </c>
      <c r="E841" s="38">
        <v>46270</v>
      </c>
      <c r="F841" s="23" t="s">
        <v>12410</v>
      </c>
      <c r="G841" s="23" t="s">
        <v>79</v>
      </c>
      <c r="H841" s="24">
        <v>299</v>
      </c>
      <c r="I841" s="24">
        <v>5.38</v>
      </c>
      <c r="J841" s="24">
        <v>0.97</v>
      </c>
      <c r="K841" s="24">
        <v>292.64999999999998</v>
      </c>
      <c r="L841" s="38">
        <v>46272</v>
      </c>
      <c r="M841" s="23" t="s">
        <v>190</v>
      </c>
      <c r="N841" s="23" t="str">
        <f>IF(COUNTIF($A$2:A841,A841)&gt;1,"DUP","OK")</f>
        <v>OK</v>
      </c>
      <c r="O841" s="23" t="str">
        <f t="shared" si="40"/>
        <v>ORD26004142</v>
      </c>
      <c r="P841" s="23" t="str">
        <f t="shared" si="41"/>
        <v>Sep</v>
      </c>
      <c r="Q841" s="23" t="str">
        <f>IF(F841="CAPTURE",IF(COUNTIF(orders!$A:$A,O841)&gt;0,"Yes","NO ORDER"),"")</f>
        <v>Yes</v>
      </c>
    </row>
    <row r="842" spans="1:17" ht="15" customHeight="1" x14ac:dyDescent="0.3">
      <c r="A842" s="23" t="s">
        <v>13390</v>
      </c>
      <c r="B842" s="23"/>
      <c r="C842" s="23" t="s">
        <v>13391</v>
      </c>
      <c r="D842" s="23" t="str">
        <f t="shared" si="39"/>
        <v>ORD26004159</v>
      </c>
      <c r="E842" s="38">
        <v>46270</v>
      </c>
      <c r="F842" s="23" t="s">
        <v>12410</v>
      </c>
      <c r="G842" s="23" t="s">
        <v>79</v>
      </c>
      <c r="H842" s="24">
        <v>2499</v>
      </c>
      <c r="I842" s="24">
        <v>39.979999999999997</v>
      </c>
      <c r="J842" s="24">
        <v>7.2</v>
      </c>
      <c r="K842" s="24">
        <v>2451.8200000000002</v>
      </c>
      <c r="L842" s="38">
        <v>46272</v>
      </c>
      <c r="M842" s="23" t="s">
        <v>190</v>
      </c>
      <c r="N842" s="23" t="str">
        <f>IF(COUNTIF($A$2:A842,A842)&gt;1,"DUP","OK")</f>
        <v>OK</v>
      </c>
      <c r="O842" s="23" t="str">
        <f t="shared" si="40"/>
        <v>ORD26004159</v>
      </c>
      <c r="P842" s="23" t="str">
        <f t="shared" si="41"/>
        <v>Sep</v>
      </c>
      <c r="Q842" s="23" t="str">
        <f>IF(F842="CAPTURE",IF(COUNTIF(orders!$A:$A,O842)&gt;0,"Yes","NO ORDER"),"")</f>
        <v>Yes</v>
      </c>
    </row>
    <row r="843" spans="1:17" ht="15" customHeight="1" x14ac:dyDescent="0.3">
      <c r="A843" s="23" t="s">
        <v>13392</v>
      </c>
      <c r="B843" s="23"/>
      <c r="C843" s="23" t="s">
        <v>8860</v>
      </c>
      <c r="D843" s="23" t="str">
        <f t="shared" si="39"/>
        <v>ORD26004192</v>
      </c>
      <c r="E843" s="38">
        <v>46270</v>
      </c>
      <c r="F843" s="23" t="s">
        <v>12410</v>
      </c>
      <c r="G843" s="23" t="s">
        <v>75</v>
      </c>
      <c r="H843" s="24">
        <v>3498</v>
      </c>
      <c r="I843" s="24">
        <v>10.49</v>
      </c>
      <c r="J843" s="24">
        <v>1.89</v>
      </c>
      <c r="K843" s="24">
        <v>3485.62</v>
      </c>
      <c r="L843" s="38">
        <v>46272</v>
      </c>
      <c r="M843" s="23" t="s">
        <v>190</v>
      </c>
      <c r="N843" s="23" t="str">
        <f>IF(COUNTIF($A$2:A843,A843)&gt;1,"DUP","OK")</f>
        <v>OK</v>
      </c>
      <c r="O843" s="23" t="str">
        <f t="shared" si="40"/>
        <v>ORD26004192</v>
      </c>
      <c r="P843" s="23" t="str">
        <f t="shared" si="41"/>
        <v>Sep</v>
      </c>
      <c r="Q843" s="23" t="str">
        <f>IF(F843="CAPTURE",IF(COUNTIF(orders!$A:$A,O843)&gt;0,"Yes","NO ORDER"),"")</f>
        <v>Yes</v>
      </c>
    </row>
    <row r="844" spans="1:17" ht="15" customHeight="1" x14ac:dyDescent="0.3">
      <c r="A844" s="23" t="s">
        <v>13393</v>
      </c>
      <c r="B844" s="23"/>
      <c r="C844" s="23" t="s">
        <v>8991</v>
      </c>
      <c r="D844" s="23" t="str">
        <f t="shared" si="39"/>
        <v>ORD26004259</v>
      </c>
      <c r="E844" s="38">
        <v>46270</v>
      </c>
      <c r="F844" s="23" t="s">
        <v>12410</v>
      </c>
      <c r="G844" s="23" t="s">
        <v>75</v>
      </c>
      <c r="H844" s="24">
        <v>6347</v>
      </c>
      <c r="I844" s="24">
        <v>19.04</v>
      </c>
      <c r="J844" s="24">
        <v>3.43</v>
      </c>
      <c r="K844" s="24">
        <v>6324.53</v>
      </c>
      <c r="L844" s="38">
        <v>46272</v>
      </c>
      <c r="M844" s="23" t="s">
        <v>190</v>
      </c>
      <c r="N844" s="23" t="str">
        <f>IF(COUNTIF($A$2:A844,A844)&gt;1,"DUP","OK")</f>
        <v>OK</v>
      </c>
      <c r="O844" s="23" t="str">
        <f t="shared" si="40"/>
        <v>ORD26004259</v>
      </c>
      <c r="P844" s="23" t="str">
        <f t="shared" si="41"/>
        <v>Sep</v>
      </c>
      <c r="Q844" s="23" t="str">
        <f>IF(F844="CAPTURE",IF(COUNTIF(orders!$A:$A,O844)&gt;0,"Yes","NO ORDER"),"")</f>
        <v>Yes</v>
      </c>
    </row>
    <row r="845" spans="1:17" ht="15" customHeight="1" x14ac:dyDescent="0.3">
      <c r="A845" s="23" t="s">
        <v>13394</v>
      </c>
      <c r="B845" s="23"/>
      <c r="C845" s="23" t="s">
        <v>8993</v>
      </c>
      <c r="D845" s="23" t="str">
        <f t="shared" si="39"/>
        <v>ORD26004260</v>
      </c>
      <c r="E845" s="38">
        <v>46270</v>
      </c>
      <c r="F845" s="23" t="s">
        <v>12410</v>
      </c>
      <c r="G845" s="23" t="s">
        <v>75</v>
      </c>
      <c r="H845" s="24">
        <v>349</v>
      </c>
      <c r="I845" s="24">
        <v>0</v>
      </c>
      <c r="J845" s="24">
        <v>0</v>
      </c>
      <c r="K845" s="24">
        <v>349</v>
      </c>
      <c r="L845" s="38">
        <v>46272</v>
      </c>
      <c r="M845" s="23" t="s">
        <v>190</v>
      </c>
      <c r="N845" s="23" t="str">
        <f>IF(COUNTIF($A$2:A845,A845)&gt;1,"DUP","OK")</f>
        <v>OK</v>
      </c>
      <c r="O845" s="23" t="str">
        <f t="shared" si="40"/>
        <v>ORD26004260</v>
      </c>
      <c r="P845" s="23" t="str">
        <f t="shared" si="41"/>
        <v>Sep</v>
      </c>
      <c r="Q845" s="23" t="str">
        <f>IF(F845="CAPTURE",IF(COUNTIF(orders!$A:$A,O845)&gt;0,"Yes","NO ORDER"),"")</f>
        <v>Yes</v>
      </c>
    </row>
    <row r="846" spans="1:17" ht="15" customHeight="1" x14ac:dyDescent="0.3">
      <c r="A846" s="23" t="s">
        <v>13395</v>
      </c>
      <c r="B846" s="23"/>
      <c r="C846" s="23" t="s">
        <v>9084</v>
      </c>
      <c r="D846" s="23" t="str">
        <f t="shared" si="39"/>
        <v>ORD26004304</v>
      </c>
      <c r="E846" s="38">
        <v>46270</v>
      </c>
      <c r="F846" s="23" t="s">
        <v>12410</v>
      </c>
      <c r="G846" s="23" t="s">
        <v>77</v>
      </c>
      <c r="H846" s="24">
        <v>5998</v>
      </c>
      <c r="I846" s="24">
        <v>101.97</v>
      </c>
      <c r="J846" s="24">
        <v>18.350000000000001</v>
      </c>
      <c r="K846" s="24">
        <v>5877.68</v>
      </c>
      <c r="L846" s="38">
        <v>46272</v>
      </c>
      <c r="M846" s="23" t="s">
        <v>190</v>
      </c>
      <c r="N846" s="23" t="str">
        <f>IF(COUNTIF($A$2:A846,A846)&gt;1,"DUP","OK")</f>
        <v>OK</v>
      </c>
      <c r="O846" s="23" t="str">
        <f t="shared" si="40"/>
        <v>ORD26004304</v>
      </c>
      <c r="P846" s="23" t="str">
        <f t="shared" si="41"/>
        <v>Sep</v>
      </c>
      <c r="Q846" s="23" t="str">
        <f>IF(F846="CAPTURE",IF(COUNTIF(orders!$A:$A,O846)&gt;0,"Yes","NO ORDER"),"")</f>
        <v>Yes</v>
      </c>
    </row>
    <row r="847" spans="1:17" ht="15" customHeight="1" x14ac:dyDescent="0.3">
      <c r="A847" s="23" t="s">
        <v>13396</v>
      </c>
      <c r="B847" s="23"/>
      <c r="C847" s="23" t="s">
        <v>13397</v>
      </c>
      <c r="D847" s="23" t="str">
        <f t="shared" si="39"/>
        <v>ORD26004338</v>
      </c>
      <c r="E847" s="38">
        <v>46270</v>
      </c>
      <c r="F847" s="23" t="s">
        <v>12410</v>
      </c>
      <c r="G847" s="23" t="s">
        <v>77</v>
      </c>
      <c r="H847" s="24">
        <v>3997</v>
      </c>
      <c r="I847" s="24">
        <v>67.95</v>
      </c>
      <c r="J847" s="24">
        <v>12.23</v>
      </c>
      <c r="K847" s="24">
        <v>3916.82</v>
      </c>
      <c r="L847" s="38">
        <v>46272</v>
      </c>
      <c r="M847" s="23" t="s">
        <v>190</v>
      </c>
      <c r="N847" s="23" t="str">
        <f>IF(COUNTIF($A$2:A847,A847)&gt;1,"DUP","OK")</f>
        <v>OK</v>
      </c>
      <c r="O847" s="23" t="str">
        <f t="shared" si="40"/>
        <v>ORD26004338</v>
      </c>
      <c r="P847" s="23" t="str">
        <f t="shared" si="41"/>
        <v>Sep</v>
      </c>
      <c r="Q847" s="23" t="str">
        <f>IF(F847="CAPTURE",IF(COUNTIF(orders!$A:$A,O847)&gt;0,"Yes","NO ORDER"),"")</f>
        <v>Yes</v>
      </c>
    </row>
    <row r="848" spans="1:17" ht="15" customHeight="1" x14ac:dyDescent="0.3">
      <c r="A848" s="23" t="s">
        <v>13398</v>
      </c>
      <c r="B848" s="23"/>
      <c r="C848" s="23" t="s">
        <v>9161</v>
      </c>
      <c r="D848" s="23" t="str">
        <f t="shared" si="39"/>
        <v>ORD26004342</v>
      </c>
      <c r="E848" s="38">
        <v>46270</v>
      </c>
      <c r="F848" s="23" t="s">
        <v>12410</v>
      </c>
      <c r="G848" s="23" t="s">
        <v>75</v>
      </c>
      <c r="H848" s="24">
        <v>3797</v>
      </c>
      <c r="I848" s="24">
        <v>11.39</v>
      </c>
      <c r="J848" s="24">
        <v>2.0499999999999998</v>
      </c>
      <c r="K848" s="24">
        <v>3783.56</v>
      </c>
      <c r="L848" s="38">
        <v>46272</v>
      </c>
      <c r="M848" s="23" t="s">
        <v>190</v>
      </c>
      <c r="N848" s="23" t="str">
        <f>IF(COUNTIF($A$2:A848,A848)&gt;1,"DUP","OK")</f>
        <v>OK</v>
      </c>
      <c r="O848" s="23" t="str">
        <f t="shared" si="40"/>
        <v>ORD26004342</v>
      </c>
      <c r="P848" s="23" t="str">
        <f t="shared" si="41"/>
        <v>Sep</v>
      </c>
      <c r="Q848" s="23" t="str">
        <f>IF(F848="CAPTURE",IF(COUNTIF(orders!$A:$A,O848)&gt;0,"Yes","NO ORDER"),"")</f>
        <v>Yes</v>
      </c>
    </row>
    <row r="849" spans="1:17" ht="15" customHeight="1" x14ac:dyDescent="0.3">
      <c r="A849" s="23" t="s">
        <v>13399</v>
      </c>
      <c r="B849" s="23"/>
      <c r="C849" s="23" t="s">
        <v>9185</v>
      </c>
      <c r="D849" s="23" t="str">
        <f t="shared" si="39"/>
        <v>ORD26004354</v>
      </c>
      <c r="E849" s="38">
        <v>46270</v>
      </c>
      <c r="F849" s="23" t="s">
        <v>12410</v>
      </c>
      <c r="G849" s="23" t="s">
        <v>75</v>
      </c>
      <c r="H849" s="24">
        <v>2999</v>
      </c>
      <c r="I849" s="24">
        <v>9</v>
      </c>
      <c r="J849" s="24">
        <v>1.62</v>
      </c>
      <c r="K849" s="24">
        <v>2988.38</v>
      </c>
      <c r="L849" s="38">
        <v>46272</v>
      </c>
      <c r="M849" s="23" t="s">
        <v>190</v>
      </c>
      <c r="N849" s="23" t="str">
        <f>IF(COUNTIF($A$2:A849,A849)&gt;1,"DUP","OK")</f>
        <v>OK</v>
      </c>
      <c r="O849" s="23" t="str">
        <f t="shared" si="40"/>
        <v>ORD26004354</v>
      </c>
      <c r="P849" s="23" t="str">
        <f t="shared" si="41"/>
        <v>Sep</v>
      </c>
      <c r="Q849" s="23" t="str">
        <f>IF(F849="CAPTURE",IF(COUNTIF(orders!$A:$A,O849)&gt;0,"Yes","NO ORDER"),"")</f>
        <v>Yes</v>
      </c>
    </row>
    <row r="850" spans="1:17" ht="15" customHeight="1" x14ac:dyDescent="0.3">
      <c r="A850" s="23" t="s">
        <v>13400</v>
      </c>
      <c r="B850" s="23"/>
      <c r="C850" s="23" t="s">
        <v>9384</v>
      </c>
      <c r="D850" s="23" t="str">
        <f t="shared" si="39"/>
        <v>ORD26004455</v>
      </c>
      <c r="E850" s="38">
        <v>46270</v>
      </c>
      <c r="F850" s="23" t="s">
        <v>12410</v>
      </c>
      <c r="G850" s="23" t="s">
        <v>75</v>
      </c>
      <c r="H850" s="24">
        <v>1799</v>
      </c>
      <c r="I850" s="24">
        <v>0</v>
      </c>
      <c r="J850" s="24">
        <v>0</v>
      </c>
      <c r="K850" s="24">
        <v>1799</v>
      </c>
      <c r="L850" s="38">
        <v>46272</v>
      </c>
      <c r="M850" s="23" t="s">
        <v>190</v>
      </c>
      <c r="N850" s="23" t="str">
        <f>IF(COUNTIF($A$2:A850,A850)&gt;1,"DUP","OK")</f>
        <v>OK</v>
      </c>
      <c r="O850" s="23" t="str">
        <f t="shared" si="40"/>
        <v>ORD26004455</v>
      </c>
      <c r="P850" s="23" t="str">
        <f t="shared" si="41"/>
        <v>Sep</v>
      </c>
      <c r="Q850" s="23" t="str">
        <f>IF(F850="CAPTURE",IF(COUNTIF(orders!$A:$A,O850)&gt;0,"Yes","NO ORDER"),"")</f>
        <v>Yes</v>
      </c>
    </row>
    <row r="851" spans="1:17" ht="15" customHeight="1" x14ac:dyDescent="0.3">
      <c r="A851" s="23" t="s">
        <v>13401</v>
      </c>
      <c r="B851" s="23"/>
      <c r="C851" s="23" t="s">
        <v>9603</v>
      </c>
      <c r="D851" s="23" t="str">
        <f t="shared" si="39"/>
        <v>ORD26004565</v>
      </c>
      <c r="E851" s="38">
        <v>46270</v>
      </c>
      <c r="F851" s="23" t="s">
        <v>12410</v>
      </c>
      <c r="G851" s="23" t="s">
        <v>79</v>
      </c>
      <c r="H851" s="24">
        <v>599</v>
      </c>
      <c r="I851" s="24">
        <v>10.78</v>
      </c>
      <c r="J851" s="24">
        <v>1.94</v>
      </c>
      <c r="K851" s="24">
        <v>586.28</v>
      </c>
      <c r="L851" s="38">
        <v>46272</v>
      </c>
      <c r="M851" s="23" t="s">
        <v>190</v>
      </c>
      <c r="N851" s="23" t="str">
        <f>IF(COUNTIF($A$2:A851,A851)&gt;1,"DUP","OK")</f>
        <v>OK</v>
      </c>
      <c r="O851" s="23" t="str">
        <f t="shared" si="40"/>
        <v>ORD26004565</v>
      </c>
      <c r="P851" s="23" t="str">
        <f t="shared" si="41"/>
        <v>Sep</v>
      </c>
      <c r="Q851" s="23" t="str">
        <f>IF(F851="CAPTURE",IF(COUNTIF(orders!$A:$A,O851)&gt;0,"Yes","NO ORDER"),"")</f>
        <v>Yes</v>
      </c>
    </row>
    <row r="852" spans="1:17" ht="15" customHeight="1" x14ac:dyDescent="0.3">
      <c r="A852" s="23" t="s">
        <v>13402</v>
      </c>
      <c r="B852" s="23"/>
      <c r="C852" s="23" t="s">
        <v>9623</v>
      </c>
      <c r="D852" s="23" t="str">
        <f t="shared" si="39"/>
        <v>ORD26004575</v>
      </c>
      <c r="E852" s="38">
        <v>46270</v>
      </c>
      <c r="F852" s="23" t="s">
        <v>12410</v>
      </c>
      <c r="G852" s="23" t="s">
        <v>81</v>
      </c>
      <c r="H852" s="24">
        <v>799</v>
      </c>
      <c r="I852" s="24">
        <v>11.99</v>
      </c>
      <c r="J852" s="24">
        <v>2.16</v>
      </c>
      <c r="K852" s="24">
        <v>784.85</v>
      </c>
      <c r="L852" s="38">
        <v>46272</v>
      </c>
      <c r="M852" s="23" t="s">
        <v>190</v>
      </c>
      <c r="N852" s="23" t="str">
        <f>IF(COUNTIF($A$2:A852,A852)&gt;1,"DUP","OK")</f>
        <v>OK</v>
      </c>
      <c r="O852" s="23" t="str">
        <f t="shared" si="40"/>
        <v>ORD26004575</v>
      </c>
      <c r="P852" s="23" t="str">
        <f t="shared" si="41"/>
        <v>Sep</v>
      </c>
      <c r="Q852" s="23" t="str">
        <f>IF(F852="CAPTURE",IF(COUNTIF(orders!$A:$A,O852)&gt;0,"Yes","NO ORDER"),"")</f>
        <v>Yes</v>
      </c>
    </row>
    <row r="853" spans="1:17" ht="15" customHeight="1" x14ac:dyDescent="0.3">
      <c r="A853" s="23" t="s">
        <v>13403</v>
      </c>
      <c r="B853" s="23"/>
      <c r="C853" s="23" t="s">
        <v>13404</v>
      </c>
      <c r="D853" s="23" t="str">
        <f t="shared" si="39"/>
        <v>ORD26004581</v>
      </c>
      <c r="E853" s="38">
        <v>46270</v>
      </c>
      <c r="F853" s="23" t="s">
        <v>12410</v>
      </c>
      <c r="G853" s="23" t="s">
        <v>75</v>
      </c>
      <c r="H853" s="24">
        <v>7999</v>
      </c>
      <c r="I853" s="24">
        <v>24</v>
      </c>
      <c r="J853" s="24">
        <v>4.32</v>
      </c>
      <c r="K853" s="24">
        <v>7970.68</v>
      </c>
      <c r="L853" s="38">
        <v>46272</v>
      </c>
      <c r="M853" s="23" t="s">
        <v>190</v>
      </c>
      <c r="N853" s="23" t="str">
        <f>IF(COUNTIF($A$2:A853,A853)&gt;1,"DUP","OK")</f>
        <v>OK</v>
      </c>
      <c r="O853" s="23" t="str">
        <f t="shared" si="40"/>
        <v>ORD26004581</v>
      </c>
      <c r="P853" s="23" t="str">
        <f t="shared" si="41"/>
        <v>Sep</v>
      </c>
      <c r="Q853" s="23" t="str">
        <f>IF(F853="CAPTURE",IF(COUNTIF(orders!$A:$A,O853)&gt;0,"Yes","NO ORDER"),"")</f>
        <v>Yes</v>
      </c>
    </row>
    <row r="854" spans="1:17" ht="15" customHeight="1" x14ac:dyDescent="0.3">
      <c r="A854" s="23" t="s">
        <v>13405</v>
      </c>
      <c r="B854" s="23"/>
      <c r="C854" s="23" t="s">
        <v>9666</v>
      </c>
      <c r="D854" s="23" t="str">
        <f t="shared" si="39"/>
        <v>ORD26004597</v>
      </c>
      <c r="E854" s="38">
        <v>46270</v>
      </c>
      <c r="F854" s="23" t="s">
        <v>12410</v>
      </c>
      <c r="G854" s="23" t="s">
        <v>75</v>
      </c>
      <c r="H854" s="24">
        <v>3499</v>
      </c>
      <c r="I854" s="24">
        <v>10.5</v>
      </c>
      <c r="J854" s="24">
        <v>1.89</v>
      </c>
      <c r="K854" s="24">
        <v>3486.61</v>
      </c>
      <c r="L854" s="38">
        <v>46272</v>
      </c>
      <c r="M854" s="23" t="s">
        <v>190</v>
      </c>
      <c r="N854" s="23" t="str">
        <f>IF(COUNTIF($A$2:A854,A854)&gt;1,"DUP","OK")</f>
        <v>OK</v>
      </c>
      <c r="O854" s="23" t="str">
        <f t="shared" si="40"/>
        <v>ORD26004597</v>
      </c>
      <c r="P854" s="23" t="str">
        <f t="shared" si="41"/>
        <v>Sep</v>
      </c>
      <c r="Q854" s="23" t="str">
        <f>IF(F854="CAPTURE",IF(COUNTIF(orders!$A:$A,O854)&gt;0,"Yes","NO ORDER"),"")</f>
        <v>Yes</v>
      </c>
    </row>
    <row r="855" spans="1:17" ht="15" customHeight="1" x14ac:dyDescent="0.3">
      <c r="A855" s="23" t="s">
        <v>13406</v>
      </c>
      <c r="B855" s="23"/>
      <c r="C855" s="23" t="s">
        <v>9694</v>
      </c>
      <c r="D855" s="23" t="str">
        <f t="shared" si="39"/>
        <v>ORD26004611</v>
      </c>
      <c r="E855" s="38">
        <v>46270</v>
      </c>
      <c r="F855" s="23" t="s">
        <v>12410</v>
      </c>
      <c r="G855" s="23" t="s">
        <v>75</v>
      </c>
      <c r="H855" s="24">
        <v>7498</v>
      </c>
      <c r="I855" s="24">
        <v>22.49</v>
      </c>
      <c r="J855" s="24">
        <v>4.05</v>
      </c>
      <c r="K855" s="24">
        <v>7471.46</v>
      </c>
      <c r="L855" s="38">
        <v>46272</v>
      </c>
      <c r="M855" s="23" t="s">
        <v>190</v>
      </c>
      <c r="N855" s="23" t="str">
        <f>IF(COUNTIF($A$2:A855,A855)&gt;1,"DUP","OK")</f>
        <v>OK</v>
      </c>
      <c r="O855" s="23" t="str">
        <f t="shared" si="40"/>
        <v>ORD26004611</v>
      </c>
      <c r="P855" s="23" t="str">
        <f t="shared" si="41"/>
        <v>Sep</v>
      </c>
      <c r="Q855" s="23" t="str">
        <f>IF(F855="CAPTURE",IF(COUNTIF(orders!$A:$A,O855)&gt;0,"Yes","NO ORDER"),"")</f>
        <v>Yes</v>
      </c>
    </row>
    <row r="856" spans="1:17" ht="15" customHeight="1" x14ac:dyDescent="0.3">
      <c r="A856" s="23" t="s">
        <v>13407</v>
      </c>
      <c r="B856" s="23"/>
      <c r="C856" s="23" t="s">
        <v>9741</v>
      </c>
      <c r="D856" s="23" t="str">
        <f t="shared" si="39"/>
        <v>ORD26004634</v>
      </c>
      <c r="E856" s="38">
        <v>46270</v>
      </c>
      <c r="F856" s="23" t="s">
        <v>12410</v>
      </c>
      <c r="G856" s="23" t="s">
        <v>75</v>
      </c>
      <c r="H856" s="24">
        <v>349</v>
      </c>
      <c r="I856" s="24">
        <v>0</v>
      </c>
      <c r="J856" s="24">
        <v>0</v>
      </c>
      <c r="K856" s="24">
        <v>349</v>
      </c>
      <c r="L856" s="38">
        <v>46272</v>
      </c>
      <c r="M856" s="23" t="s">
        <v>190</v>
      </c>
      <c r="N856" s="23" t="str">
        <f>IF(COUNTIF($A$2:A856,A856)&gt;1,"DUP","OK")</f>
        <v>OK</v>
      </c>
      <c r="O856" s="23" t="str">
        <f t="shared" si="40"/>
        <v>ORD26004634</v>
      </c>
      <c r="P856" s="23" t="str">
        <f t="shared" si="41"/>
        <v>Sep</v>
      </c>
      <c r="Q856" s="23" t="str">
        <f>IF(F856="CAPTURE",IF(COUNTIF(orders!$A:$A,O856)&gt;0,"Yes","NO ORDER"),"")</f>
        <v>Yes</v>
      </c>
    </row>
    <row r="857" spans="1:17" ht="15" customHeight="1" x14ac:dyDescent="0.3">
      <c r="A857" s="23" t="s">
        <v>13408</v>
      </c>
      <c r="B857" s="23"/>
      <c r="C857" s="23" t="s">
        <v>9797</v>
      </c>
      <c r="D857" s="23" t="str">
        <f t="shared" si="39"/>
        <v>ORD26004664</v>
      </c>
      <c r="E857" s="38">
        <v>46270</v>
      </c>
      <c r="F857" s="23" t="s">
        <v>12410</v>
      </c>
      <c r="G857" s="23" t="s">
        <v>77</v>
      </c>
      <c r="H857" s="24">
        <v>2499</v>
      </c>
      <c r="I857" s="24">
        <v>42.48</v>
      </c>
      <c r="J857" s="24">
        <v>7.65</v>
      </c>
      <c r="K857" s="24">
        <v>2448.87</v>
      </c>
      <c r="L857" s="38">
        <v>46272</v>
      </c>
      <c r="M857" s="23" t="s">
        <v>190</v>
      </c>
      <c r="N857" s="23" t="str">
        <f>IF(COUNTIF($A$2:A857,A857)&gt;1,"DUP","OK")</f>
        <v>OK</v>
      </c>
      <c r="O857" s="23" t="str">
        <f t="shared" si="40"/>
        <v>ORD26004664</v>
      </c>
      <c r="P857" s="23" t="str">
        <f t="shared" si="41"/>
        <v>Sep</v>
      </c>
      <c r="Q857" s="23" t="str">
        <f>IF(F857="CAPTURE",IF(COUNTIF(orders!$A:$A,O857)&gt;0,"Yes","NO ORDER"),"")</f>
        <v>Yes</v>
      </c>
    </row>
    <row r="858" spans="1:17" ht="15" customHeight="1" x14ac:dyDescent="0.3">
      <c r="A858" s="23" t="s">
        <v>13409</v>
      </c>
      <c r="B858" s="23"/>
      <c r="C858" s="23" t="s">
        <v>9940</v>
      </c>
      <c r="D858" s="23" t="str">
        <f t="shared" si="39"/>
        <v>ORD26004737</v>
      </c>
      <c r="E858" s="38">
        <v>46270</v>
      </c>
      <c r="F858" s="23" t="s">
        <v>12410</v>
      </c>
      <c r="G858" s="23" t="s">
        <v>75</v>
      </c>
      <c r="H858" s="24">
        <v>4998</v>
      </c>
      <c r="I858" s="24">
        <v>14.99</v>
      </c>
      <c r="J858" s="24">
        <v>2.7</v>
      </c>
      <c r="K858" s="24">
        <v>4980.3100000000004</v>
      </c>
      <c r="L858" s="38">
        <v>46272</v>
      </c>
      <c r="M858" s="23" t="s">
        <v>190</v>
      </c>
      <c r="N858" s="23" t="str">
        <f>IF(COUNTIF($A$2:A858,A858)&gt;1,"DUP","OK")</f>
        <v>OK</v>
      </c>
      <c r="O858" s="23" t="str">
        <f t="shared" si="40"/>
        <v>ORD26004737</v>
      </c>
      <c r="P858" s="23" t="str">
        <f t="shared" si="41"/>
        <v>Sep</v>
      </c>
      <c r="Q858" s="23" t="str">
        <f>IF(F858="CAPTURE",IF(COUNTIF(orders!$A:$A,O858)&gt;0,"Yes","NO ORDER"),"")</f>
        <v>Yes</v>
      </c>
    </row>
    <row r="859" spans="1:17" ht="15" customHeight="1" x14ac:dyDescent="0.3">
      <c r="A859" s="23" t="s">
        <v>13410</v>
      </c>
      <c r="B859" s="23"/>
      <c r="C859" s="23" t="s">
        <v>9942</v>
      </c>
      <c r="D859" s="23" t="str">
        <f t="shared" si="39"/>
        <v>ORD26004739</v>
      </c>
      <c r="E859" s="38">
        <v>46270</v>
      </c>
      <c r="F859" s="23" t="s">
        <v>12410</v>
      </c>
      <c r="G859" s="23" t="s">
        <v>77</v>
      </c>
      <c r="H859" s="24">
        <v>2999</v>
      </c>
      <c r="I859" s="24">
        <v>50.98</v>
      </c>
      <c r="J859" s="24">
        <v>9.18</v>
      </c>
      <c r="K859" s="24">
        <v>2938.84</v>
      </c>
      <c r="L859" s="38">
        <v>46272</v>
      </c>
      <c r="M859" s="23" t="s">
        <v>190</v>
      </c>
      <c r="N859" s="23" t="str">
        <f>IF(COUNTIF($A$2:A859,A859)&gt;1,"DUP","OK")</f>
        <v>OK</v>
      </c>
      <c r="O859" s="23" t="str">
        <f t="shared" si="40"/>
        <v>ORD26004739</v>
      </c>
      <c r="P859" s="23" t="str">
        <f t="shared" si="41"/>
        <v>Sep</v>
      </c>
      <c r="Q859" s="23" t="str">
        <f>IF(F859="CAPTURE",IF(COUNTIF(orders!$A:$A,O859)&gt;0,"Yes","NO ORDER"),"")</f>
        <v>Yes</v>
      </c>
    </row>
    <row r="860" spans="1:17" ht="15" customHeight="1" x14ac:dyDescent="0.3">
      <c r="A860" s="23" t="s">
        <v>13411</v>
      </c>
      <c r="B860" s="23"/>
      <c r="C860" s="23" t="s">
        <v>9962</v>
      </c>
      <c r="D860" s="23" t="str">
        <f t="shared" si="39"/>
        <v>ORD26004749</v>
      </c>
      <c r="E860" s="38">
        <v>46270</v>
      </c>
      <c r="F860" s="23" t="s">
        <v>12410</v>
      </c>
      <c r="G860" s="23" t="s">
        <v>75</v>
      </c>
      <c r="H860" s="24">
        <v>499</v>
      </c>
      <c r="I860" s="24">
        <v>0</v>
      </c>
      <c r="J860" s="24">
        <v>0</v>
      </c>
      <c r="K860" s="24">
        <v>499</v>
      </c>
      <c r="L860" s="38">
        <v>46272</v>
      </c>
      <c r="M860" s="23" t="s">
        <v>190</v>
      </c>
      <c r="N860" s="23" t="str">
        <f>IF(COUNTIF($A$2:A860,A860)&gt;1,"DUP","OK")</f>
        <v>OK</v>
      </c>
      <c r="O860" s="23" t="str">
        <f t="shared" si="40"/>
        <v>ORD26004749</v>
      </c>
      <c r="P860" s="23" t="str">
        <f t="shared" si="41"/>
        <v>Sep</v>
      </c>
      <c r="Q860" s="23" t="str">
        <f>IF(F860="CAPTURE",IF(COUNTIF(orders!$A:$A,O860)&gt;0,"Yes","NO ORDER"),"")</f>
        <v>Yes</v>
      </c>
    </row>
    <row r="861" spans="1:17" ht="15" customHeight="1" x14ac:dyDescent="0.3">
      <c r="A861" s="23" t="s">
        <v>13412</v>
      </c>
      <c r="B861" s="23"/>
      <c r="C861" s="23" t="s">
        <v>9970</v>
      </c>
      <c r="D861" s="23" t="str">
        <f t="shared" si="39"/>
        <v>ORD26004753</v>
      </c>
      <c r="E861" s="38">
        <v>46270</v>
      </c>
      <c r="F861" s="23" t="s">
        <v>12410</v>
      </c>
      <c r="G861" s="23" t="s">
        <v>81</v>
      </c>
      <c r="H861" s="24">
        <v>10998</v>
      </c>
      <c r="I861" s="24">
        <v>98.98</v>
      </c>
      <c r="J861" s="24">
        <v>17.82</v>
      </c>
      <c r="K861" s="24">
        <v>10881.2</v>
      </c>
      <c r="L861" s="38">
        <v>46272</v>
      </c>
      <c r="M861" s="23" t="s">
        <v>190</v>
      </c>
      <c r="N861" s="23" t="str">
        <f>IF(COUNTIF($A$2:A861,A861)&gt;1,"DUP","OK")</f>
        <v>OK</v>
      </c>
      <c r="O861" s="23" t="str">
        <f t="shared" si="40"/>
        <v>ORD26004753</v>
      </c>
      <c r="P861" s="23" t="str">
        <f t="shared" si="41"/>
        <v>Sep</v>
      </c>
      <c r="Q861" s="23" t="str">
        <f>IF(F861="CAPTURE",IF(COUNTIF(orders!$A:$A,O861)&gt;0,"Yes","NO ORDER"),"")</f>
        <v>Yes</v>
      </c>
    </row>
    <row r="862" spans="1:17" ht="15" customHeight="1" x14ac:dyDescent="0.3">
      <c r="A862" s="23" t="s">
        <v>13413</v>
      </c>
      <c r="B862" s="23"/>
      <c r="C862" s="23" t="s">
        <v>9983</v>
      </c>
      <c r="D862" s="23" t="str">
        <f t="shared" si="39"/>
        <v>ORD26004759</v>
      </c>
      <c r="E862" s="38">
        <v>46270</v>
      </c>
      <c r="F862" s="23" t="s">
        <v>12410</v>
      </c>
      <c r="G862" s="23" t="s">
        <v>75</v>
      </c>
      <c r="H862" s="24">
        <v>1799</v>
      </c>
      <c r="I862" s="24">
        <v>0</v>
      </c>
      <c r="J862" s="24">
        <v>0</v>
      </c>
      <c r="K862" s="24">
        <v>1799</v>
      </c>
      <c r="L862" s="38">
        <v>46272</v>
      </c>
      <c r="M862" s="23" t="s">
        <v>190</v>
      </c>
      <c r="N862" s="23" t="str">
        <f>IF(COUNTIF($A$2:A862,A862)&gt;1,"DUP","OK")</f>
        <v>OK</v>
      </c>
      <c r="O862" s="23" t="str">
        <f t="shared" si="40"/>
        <v>ORD26004759</v>
      </c>
      <c r="P862" s="23" t="str">
        <f t="shared" si="41"/>
        <v>Sep</v>
      </c>
      <c r="Q862" s="23" t="str">
        <f>IF(F862="CAPTURE",IF(COUNTIF(orders!$A:$A,O862)&gt;0,"Yes","NO ORDER"),"")</f>
        <v>Yes</v>
      </c>
    </row>
    <row r="863" spans="1:17" ht="15" customHeight="1" x14ac:dyDescent="0.3">
      <c r="A863" s="23" t="s">
        <v>13414</v>
      </c>
      <c r="B863" s="23"/>
      <c r="C863" s="23" t="s">
        <v>10007</v>
      </c>
      <c r="D863" s="23" t="str">
        <f t="shared" si="39"/>
        <v>ORD26004772</v>
      </c>
      <c r="E863" s="38">
        <v>46270</v>
      </c>
      <c r="F863" s="23" t="s">
        <v>12410</v>
      </c>
      <c r="G863" s="23" t="s">
        <v>75</v>
      </c>
      <c r="H863" s="24">
        <v>2999</v>
      </c>
      <c r="I863" s="24">
        <v>9</v>
      </c>
      <c r="J863" s="24">
        <v>1.62</v>
      </c>
      <c r="K863" s="24">
        <v>2988.38</v>
      </c>
      <c r="L863" s="38">
        <v>46272</v>
      </c>
      <c r="M863" s="23" t="s">
        <v>190</v>
      </c>
      <c r="N863" s="23" t="str">
        <f>IF(COUNTIF($A$2:A863,A863)&gt;1,"DUP","OK")</f>
        <v>OK</v>
      </c>
      <c r="O863" s="23" t="str">
        <f t="shared" si="40"/>
        <v>ORD26004772</v>
      </c>
      <c r="P863" s="23" t="str">
        <f t="shared" si="41"/>
        <v>Sep</v>
      </c>
      <c r="Q863" s="23" t="str">
        <f>IF(F863="CAPTURE",IF(COUNTIF(orders!$A:$A,O863)&gt;0,"Yes","NO ORDER"),"")</f>
        <v>Yes</v>
      </c>
    </row>
    <row r="864" spans="1:17" ht="15" customHeight="1" x14ac:dyDescent="0.3">
      <c r="A864" s="23" t="s">
        <v>13415</v>
      </c>
      <c r="B864" s="23"/>
      <c r="C864" s="23" t="s">
        <v>13416</v>
      </c>
      <c r="D864" s="23" t="str">
        <f t="shared" si="39"/>
        <v>ORD26004822</v>
      </c>
      <c r="E864" s="38">
        <v>46270</v>
      </c>
      <c r="F864" s="23" t="s">
        <v>12410</v>
      </c>
      <c r="G864" s="23" t="s">
        <v>75</v>
      </c>
      <c r="H864" s="24">
        <v>349</v>
      </c>
      <c r="I864" s="24">
        <v>0</v>
      </c>
      <c r="J864" s="24">
        <v>0</v>
      </c>
      <c r="K864" s="24">
        <v>349</v>
      </c>
      <c r="L864" s="38">
        <v>46272</v>
      </c>
      <c r="M864" s="23" t="s">
        <v>190</v>
      </c>
      <c r="N864" s="23" t="str">
        <f>IF(COUNTIF($A$2:A864,A864)&gt;1,"DUP","OK")</f>
        <v>OK</v>
      </c>
      <c r="O864" s="23" t="str">
        <f t="shared" si="40"/>
        <v>ORD26004822</v>
      </c>
      <c r="P864" s="23" t="str">
        <f t="shared" si="41"/>
        <v>Sep</v>
      </c>
      <c r="Q864" s="23" t="str">
        <f>IF(F864="CAPTURE",IF(COUNTIF(orders!$A:$A,O864)&gt;0,"Yes","NO ORDER"),"")</f>
        <v>Yes</v>
      </c>
    </row>
    <row r="865" spans="1:17" ht="15" customHeight="1" x14ac:dyDescent="0.3">
      <c r="A865" s="23" t="s">
        <v>13417</v>
      </c>
      <c r="B865" s="23"/>
      <c r="C865" s="23" t="s">
        <v>10111</v>
      </c>
      <c r="D865" s="23" t="str">
        <f t="shared" si="39"/>
        <v>ORD26004825</v>
      </c>
      <c r="E865" s="38">
        <v>46270</v>
      </c>
      <c r="F865" s="23" t="s">
        <v>12410</v>
      </c>
      <c r="G865" s="23" t="s">
        <v>75</v>
      </c>
      <c r="H865" s="24">
        <v>1299</v>
      </c>
      <c r="I865" s="24">
        <v>0</v>
      </c>
      <c r="J865" s="24">
        <v>0</v>
      </c>
      <c r="K865" s="24">
        <v>1299</v>
      </c>
      <c r="L865" s="38">
        <v>46272</v>
      </c>
      <c r="M865" s="23" t="s">
        <v>190</v>
      </c>
      <c r="N865" s="23" t="str">
        <f>IF(COUNTIF($A$2:A865,A865)&gt;1,"DUP","OK")</f>
        <v>OK</v>
      </c>
      <c r="O865" s="23" t="str">
        <f t="shared" si="40"/>
        <v>ORD26004825</v>
      </c>
      <c r="P865" s="23" t="str">
        <f t="shared" si="41"/>
        <v>Sep</v>
      </c>
      <c r="Q865" s="23" t="str">
        <f>IF(F865="CAPTURE",IF(COUNTIF(orders!$A:$A,O865)&gt;0,"Yes","NO ORDER"),"")</f>
        <v>Yes</v>
      </c>
    </row>
    <row r="866" spans="1:17" ht="15" customHeight="1" x14ac:dyDescent="0.3">
      <c r="A866" s="23" t="s">
        <v>13418</v>
      </c>
      <c r="B866" s="23"/>
      <c r="C866" s="23" t="s">
        <v>10116</v>
      </c>
      <c r="D866" s="23" t="str">
        <f t="shared" si="39"/>
        <v>ORD26004828</v>
      </c>
      <c r="E866" s="38">
        <v>46270</v>
      </c>
      <c r="F866" s="23" t="s">
        <v>12410</v>
      </c>
      <c r="G866" s="23" t="s">
        <v>75</v>
      </c>
      <c r="H866" s="24">
        <v>4999</v>
      </c>
      <c r="I866" s="24">
        <v>15</v>
      </c>
      <c r="J866" s="24">
        <v>2.7</v>
      </c>
      <c r="K866" s="24">
        <v>4981.3</v>
      </c>
      <c r="L866" s="38">
        <v>46272</v>
      </c>
      <c r="M866" s="23" t="s">
        <v>190</v>
      </c>
      <c r="N866" s="23" t="str">
        <f>IF(COUNTIF($A$2:A866,A866)&gt;1,"DUP","OK")</f>
        <v>OK</v>
      </c>
      <c r="O866" s="23" t="str">
        <f t="shared" si="40"/>
        <v>ORD26004828</v>
      </c>
      <c r="P866" s="23" t="str">
        <f t="shared" si="41"/>
        <v>Sep</v>
      </c>
      <c r="Q866" s="23" t="str">
        <f>IF(F866="CAPTURE",IF(COUNTIF(orders!$A:$A,O866)&gt;0,"Yes","NO ORDER"),"")</f>
        <v>Yes</v>
      </c>
    </row>
    <row r="867" spans="1:17" ht="15" customHeight="1" x14ac:dyDescent="0.3">
      <c r="A867" s="23" t="s">
        <v>13419</v>
      </c>
      <c r="B867" s="23"/>
      <c r="C867" s="23" t="s">
        <v>10378</v>
      </c>
      <c r="D867" s="23" t="str">
        <f t="shared" si="39"/>
        <v>ORD26004962</v>
      </c>
      <c r="E867" s="38">
        <v>46270</v>
      </c>
      <c r="F867" s="23" t="s">
        <v>12410</v>
      </c>
      <c r="G867" s="23" t="s">
        <v>75</v>
      </c>
      <c r="H867" s="24">
        <v>4298</v>
      </c>
      <c r="I867" s="24">
        <v>12.89</v>
      </c>
      <c r="J867" s="24">
        <v>2.3199999999999998</v>
      </c>
      <c r="K867" s="24">
        <v>4282.79</v>
      </c>
      <c r="L867" s="38">
        <v>46272</v>
      </c>
      <c r="M867" s="23" t="s">
        <v>190</v>
      </c>
      <c r="N867" s="23" t="str">
        <f>IF(COUNTIF($A$2:A867,A867)&gt;1,"DUP","OK")</f>
        <v>OK</v>
      </c>
      <c r="O867" s="23" t="str">
        <f t="shared" si="40"/>
        <v>ORD26004962</v>
      </c>
      <c r="P867" s="23" t="str">
        <f t="shared" si="41"/>
        <v>Sep</v>
      </c>
      <c r="Q867" s="23" t="str">
        <f>IF(F867="CAPTURE",IF(COUNTIF(orders!$A:$A,O867)&gt;0,"Yes","NO ORDER"),"")</f>
        <v>Yes</v>
      </c>
    </row>
    <row r="868" spans="1:17" ht="15" customHeight="1" x14ac:dyDescent="0.3">
      <c r="A868" s="23" t="s">
        <v>13420</v>
      </c>
      <c r="B868" s="23"/>
      <c r="C868" s="23" t="s">
        <v>10380</v>
      </c>
      <c r="D868" s="23" t="str">
        <f t="shared" si="39"/>
        <v>ORD26004963</v>
      </c>
      <c r="E868" s="38">
        <v>46270</v>
      </c>
      <c r="F868" s="23" t="s">
        <v>12410</v>
      </c>
      <c r="G868" s="23" t="s">
        <v>75</v>
      </c>
      <c r="H868" s="24">
        <v>3998</v>
      </c>
      <c r="I868" s="24">
        <v>11.99</v>
      </c>
      <c r="J868" s="24">
        <v>2.16</v>
      </c>
      <c r="K868" s="24">
        <v>3983.85</v>
      </c>
      <c r="L868" s="38">
        <v>46272</v>
      </c>
      <c r="M868" s="23" t="s">
        <v>190</v>
      </c>
      <c r="N868" s="23" t="str">
        <f>IF(COUNTIF($A$2:A868,A868)&gt;1,"DUP","OK")</f>
        <v>OK</v>
      </c>
      <c r="O868" s="23" t="str">
        <f t="shared" si="40"/>
        <v>ORD26004963</v>
      </c>
      <c r="P868" s="23" t="str">
        <f t="shared" si="41"/>
        <v>Sep</v>
      </c>
      <c r="Q868" s="23" t="str">
        <f>IF(F868="CAPTURE",IF(COUNTIF(orders!$A:$A,O868)&gt;0,"Yes","NO ORDER"),"")</f>
        <v>Yes</v>
      </c>
    </row>
    <row r="869" spans="1:17" ht="15" customHeight="1" x14ac:dyDescent="0.3">
      <c r="A869" s="23" t="s">
        <v>13421</v>
      </c>
      <c r="B869" s="23"/>
      <c r="C869" s="23" t="s">
        <v>10479</v>
      </c>
      <c r="D869" s="23" t="str">
        <f t="shared" si="39"/>
        <v>ORD26005014</v>
      </c>
      <c r="E869" s="38">
        <v>46270</v>
      </c>
      <c r="F869" s="23" t="s">
        <v>12410</v>
      </c>
      <c r="G869" s="23" t="s">
        <v>75</v>
      </c>
      <c r="H869" s="24">
        <v>798</v>
      </c>
      <c r="I869" s="24">
        <v>0</v>
      </c>
      <c r="J869" s="24">
        <v>0</v>
      </c>
      <c r="K869" s="24">
        <v>798</v>
      </c>
      <c r="L869" s="38">
        <v>46272</v>
      </c>
      <c r="M869" s="23" t="s">
        <v>190</v>
      </c>
      <c r="N869" s="23" t="str">
        <f>IF(COUNTIF($A$2:A869,A869)&gt;1,"DUP","OK")</f>
        <v>OK</v>
      </c>
      <c r="O869" s="23" t="str">
        <f t="shared" si="40"/>
        <v>ORD26005014</v>
      </c>
      <c r="P869" s="23" t="str">
        <f t="shared" si="41"/>
        <v>Sep</v>
      </c>
      <c r="Q869" s="23" t="str">
        <f>IF(F869="CAPTURE",IF(COUNTIF(orders!$A:$A,O869)&gt;0,"Yes","NO ORDER"),"")</f>
        <v>Yes</v>
      </c>
    </row>
    <row r="870" spans="1:17" ht="15" customHeight="1" x14ac:dyDescent="0.3">
      <c r="A870" s="23" t="s">
        <v>13422</v>
      </c>
      <c r="B870" s="23"/>
      <c r="C870" s="23" t="s">
        <v>10513</v>
      </c>
      <c r="D870" s="23" t="str">
        <f t="shared" si="39"/>
        <v>ORD26005032</v>
      </c>
      <c r="E870" s="38">
        <v>46270</v>
      </c>
      <c r="F870" s="23" t="s">
        <v>12410</v>
      </c>
      <c r="G870" s="23" t="s">
        <v>75</v>
      </c>
      <c r="H870" s="24">
        <v>1799</v>
      </c>
      <c r="I870" s="24">
        <v>0</v>
      </c>
      <c r="J870" s="24">
        <v>0</v>
      </c>
      <c r="K870" s="24">
        <v>1799</v>
      </c>
      <c r="L870" s="38">
        <v>46272</v>
      </c>
      <c r="M870" s="23" t="s">
        <v>190</v>
      </c>
      <c r="N870" s="23" t="str">
        <f>IF(COUNTIF($A$2:A870,A870)&gt;1,"DUP","OK")</f>
        <v>OK</v>
      </c>
      <c r="O870" s="23" t="str">
        <f t="shared" si="40"/>
        <v>ORD26005032</v>
      </c>
      <c r="P870" s="23" t="str">
        <f t="shared" si="41"/>
        <v>Sep</v>
      </c>
      <c r="Q870" s="23" t="str">
        <f>IF(F870="CAPTURE",IF(COUNTIF(orders!$A:$A,O870)&gt;0,"Yes","NO ORDER"),"")</f>
        <v>Yes</v>
      </c>
    </row>
    <row r="871" spans="1:17" ht="15" customHeight="1" x14ac:dyDescent="0.3">
      <c r="A871" s="23" t="s">
        <v>13423</v>
      </c>
      <c r="B871" s="23"/>
      <c r="C871" s="23" t="s">
        <v>10525</v>
      </c>
      <c r="D871" s="23" t="str">
        <f t="shared" si="39"/>
        <v>ORD26005038</v>
      </c>
      <c r="E871" s="38">
        <v>46270</v>
      </c>
      <c r="F871" s="23" t="s">
        <v>12410</v>
      </c>
      <c r="G871" s="23" t="s">
        <v>81</v>
      </c>
      <c r="H871" s="24">
        <v>4098</v>
      </c>
      <c r="I871" s="24">
        <v>49.18</v>
      </c>
      <c r="J871" s="24">
        <v>8.85</v>
      </c>
      <c r="K871" s="24">
        <v>4039.97</v>
      </c>
      <c r="L871" s="38">
        <v>46272</v>
      </c>
      <c r="M871" s="23" t="s">
        <v>190</v>
      </c>
      <c r="N871" s="23" t="str">
        <f>IF(COUNTIF($A$2:A871,A871)&gt;1,"DUP","OK")</f>
        <v>OK</v>
      </c>
      <c r="O871" s="23" t="str">
        <f t="shared" si="40"/>
        <v>ORD26005038</v>
      </c>
      <c r="P871" s="23" t="str">
        <f t="shared" si="41"/>
        <v>Sep</v>
      </c>
      <c r="Q871" s="23" t="str">
        <f>IF(F871="CAPTURE",IF(COUNTIF(orders!$A:$A,O871)&gt;0,"Yes","NO ORDER"),"")</f>
        <v>Yes</v>
      </c>
    </row>
    <row r="872" spans="1:17" ht="15" customHeight="1" x14ac:dyDescent="0.3">
      <c r="A872" s="23" t="s">
        <v>13424</v>
      </c>
      <c r="B872" s="23"/>
      <c r="C872" s="23" t="s">
        <v>10558</v>
      </c>
      <c r="D872" s="23" t="str">
        <f t="shared" si="39"/>
        <v>ORD26005056</v>
      </c>
      <c r="E872" s="38">
        <v>46270</v>
      </c>
      <c r="F872" s="23" t="s">
        <v>12410</v>
      </c>
      <c r="G872" s="23" t="s">
        <v>79</v>
      </c>
      <c r="H872" s="24">
        <v>5997</v>
      </c>
      <c r="I872" s="24">
        <v>95.95</v>
      </c>
      <c r="J872" s="24">
        <v>17.27</v>
      </c>
      <c r="K872" s="24">
        <v>5883.78</v>
      </c>
      <c r="L872" s="38">
        <v>46272</v>
      </c>
      <c r="M872" s="23" t="s">
        <v>190</v>
      </c>
      <c r="N872" s="23" t="str">
        <f>IF(COUNTIF($A$2:A872,A872)&gt;1,"DUP","OK")</f>
        <v>OK</v>
      </c>
      <c r="O872" s="23" t="str">
        <f t="shared" si="40"/>
        <v>ORD26005056</v>
      </c>
      <c r="P872" s="23" t="str">
        <f t="shared" si="41"/>
        <v>Sep</v>
      </c>
      <c r="Q872" s="23" t="str">
        <f>IF(F872="CAPTURE",IF(COUNTIF(orders!$A:$A,O872)&gt;0,"Yes","NO ORDER"),"")</f>
        <v>Yes</v>
      </c>
    </row>
    <row r="873" spans="1:17" ht="15" customHeight="1" x14ac:dyDescent="0.3">
      <c r="A873" s="23" t="s">
        <v>13425</v>
      </c>
      <c r="B873" s="23"/>
      <c r="C873" s="23" t="s">
        <v>10629</v>
      </c>
      <c r="D873" s="23" t="str">
        <f t="shared" si="39"/>
        <v>ORD26005092</v>
      </c>
      <c r="E873" s="38">
        <v>46270</v>
      </c>
      <c r="F873" s="23" t="s">
        <v>12410</v>
      </c>
      <c r="G873" s="23" t="s">
        <v>79</v>
      </c>
      <c r="H873" s="24">
        <v>349</v>
      </c>
      <c r="I873" s="24">
        <v>6.28</v>
      </c>
      <c r="J873" s="24">
        <v>1.1299999999999999</v>
      </c>
      <c r="K873" s="24">
        <v>341.59</v>
      </c>
      <c r="L873" s="38">
        <v>46272</v>
      </c>
      <c r="M873" s="23" t="s">
        <v>190</v>
      </c>
      <c r="N873" s="23" t="str">
        <f>IF(COUNTIF($A$2:A873,A873)&gt;1,"DUP","OK")</f>
        <v>OK</v>
      </c>
      <c r="O873" s="23" t="str">
        <f t="shared" si="40"/>
        <v>ORD26005092</v>
      </c>
      <c r="P873" s="23" t="str">
        <f t="shared" si="41"/>
        <v>Sep</v>
      </c>
      <c r="Q873" s="23" t="str">
        <f>IF(F873="CAPTURE",IF(COUNTIF(orders!$A:$A,O873)&gt;0,"Yes","NO ORDER"),"")</f>
        <v>Yes</v>
      </c>
    </row>
    <row r="874" spans="1:17" ht="15" customHeight="1" x14ac:dyDescent="0.3">
      <c r="A874" s="23" t="s">
        <v>13426</v>
      </c>
      <c r="B874" s="23"/>
      <c r="C874" s="23" t="s">
        <v>13427</v>
      </c>
      <c r="D874" s="23" t="str">
        <f t="shared" si="39"/>
        <v>ORD26005153</v>
      </c>
      <c r="E874" s="38">
        <v>46270</v>
      </c>
      <c r="F874" s="23" t="s">
        <v>12410</v>
      </c>
      <c r="G874" s="23" t="s">
        <v>75</v>
      </c>
      <c r="H874" s="24">
        <v>698</v>
      </c>
      <c r="I874" s="24">
        <v>0</v>
      </c>
      <c r="J874" s="24">
        <v>0</v>
      </c>
      <c r="K874" s="24">
        <v>698</v>
      </c>
      <c r="L874" s="38">
        <v>46272</v>
      </c>
      <c r="M874" s="23" t="s">
        <v>190</v>
      </c>
      <c r="N874" s="23" t="str">
        <f>IF(COUNTIF($A$2:A874,A874)&gt;1,"DUP","OK")</f>
        <v>OK</v>
      </c>
      <c r="O874" s="23" t="str">
        <f t="shared" si="40"/>
        <v>ORD26005153</v>
      </c>
      <c r="P874" s="23" t="str">
        <f t="shared" si="41"/>
        <v>Sep</v>
      </c>
      <c r="Q874" s="23" t="str">
        <f>IF(F874="CAPTURE",IF(COUNTIF(orders!$A:$A,O874)&gt;0,"Yes","NO ORDER"),"")</f>
        <v>Yes</v>
      </c>
    </row>
    <row r="875" spans="1:17" ht="15" customHeight="1" x14ac:dyDescent="0.3">
      <c r="A875" s="23" t="s">
        <v>13428</v>
      </c>
      <c r="B875" s="23"/>
      <c r="C875" s="23" t="s">
        <v>10768</v>
      </c>
      <c r="D875" s="23" t="str">
        <f t="shared" si="39"/>
        <v>ORD26005164</v>
      </c>
      <c r="E875" s="38">
        <v>46270</v>
      </c>
      <c r="F875" s="23" t="s">
        <v>12410</v>
      </c>
      <c r="G875" s="23" t="s">
        <v>81</v>
      </c>
      <c r="H875" s="24">
        <v>4999</v>
      </c>
      <c r="I875" s="24">
        <v>59.99</v>
      </c>
      <c r="J875" s="24">
        <v>10.8</v>
      </c>
      <c r="K875" s="24">
        <v>4928.21</v>
      </c>
      <c r="L875" s="38">
        <v>46272</v>
      </c>
      <c r="M875" s="23" t="s">
        <v>190</v>
      </c>
      <c r="N875" s="23" t="str">
        <f>IF(COUNTIF($A$2:A875,A875)&gt;1,"DUP","OK")</f>
        <v>OK</v>
      </c>
      <c r="O875" s="23" t="str">
        <f t="shared" si="40"/>
        <v>ORD26005164</v>
      </c>
      <c r="P875" s="23" t="str">
        <f t="shared" si="41"/>
        <v>Sep</v>
      </c>
      <c r="Q875" s="23" t="str">
        <f>IF(F875="CAPTURE",IF(COUNTIF(orders!$A:$A,O875)&gt;0,"Yes","NO ORDER"),"")</f>
        <v>Yes</v>
      </c>
    </row>
    <row r="876" spans="1:17" ht="15" customHeight="1" x14ac:dyDescent="0.3">
      <c r="A876" s="23" t="s">
        <v>13429</v>
      </c>
      <c r="B876" s="23"/>
      <c r="C876" s="23" t="s">
        <v>10842</v>
      </c>
      <c r="D876" s="23" t="str">
        <f t="shared" si="39"/>
        <v>ORD26005201</v>
      </c>
      <c r="E876" s="38">
        <v>46270</v>
      </c>
      <c r="F876" s="23" t="s">
        <v>12410</v>
      </c>
      <c r="G876" s="23" t="s">
        <v>75</v>
      </c>
      <c r="H876" s="24">
        <v>299</v>
      </c>
      <c r="I876" s="24">
        <v>0</v>
      </c>
      <c r="J876" s="24">
        <v>0</v>
      </c>
      <c r="K876" s="24">
        <v>299</v>
      </c>
      <c r="L876" s="38">
        <v>46272</v>
      </c>
      <c r="M876" s="23" t="s">
        <v>190</v>
      </c>
      <c r="N876" s="23" t="str">
        <f>IF(COUNTIF($A$2:A876,A876)&gt;1,"DUP","OK")</f>
        <v>OK</v>
      </c>
      <c r="O876" s="23" t="str">
        <f t="shared" si="40"/>
        <v>ORD26005201</v>
      </c>
      <c r="P876" s="23" t="str">
        <f t="shared" si="41"/>
        <v>Sep</v>
      </c>
      <c r="Q876" s="23" t="str">
        <f>IF(F876="CAPTURE",IF(COUNTIF(orders!$A:$A,O876)&gt;0,"Yes","NO ORDER"),"")</f>
        <v>Yes</v>
      </c>
    </row>
    <row r="877" spans="1:17" ht="15" customHeight="1" x14ac:dyDescent="0.3">
      <c r="A877" s="23" t="s">
        <v>13430</v>
      </c>
      <c r="B877" s="23"/>
      <c r="C877" s="23" t="s">
        <v>10899</v>
      </c>
      <c r="D877" s="23" t="str">
        <f t="shared" si="39"/>
        <v>ORD26005230</v>
      </c>
      <c r="E877" s="38">
        <v>46270</v>
      </c>
      <c r="F877" s="23" t="s">
        <v>12410</v>
      </c>
      <c r="G877" s="23" t="s">
        <v>79</v>
      </c>
      <c r="H877" s="24">
        <v>299</v>
      </c>
      <c r="I877" s="24">
        <v>5.38</v>
      </c>
      <c r="J877" s="24">
        <v>0.97</v>
      </c>
      <c r="K877" s="24">
        <v>292.64999999999998</v>
      </c>
      <c r="L877" s="38">
        <v>46272</v>
      </c>
      <c r="M877" s="23" t="s">
        <v>190</v>
      </c>
      <c r="N877" s="23" t="str">
        <f>IF(COUNTIF($A$2:A877,A877)&gt;1,"DUP","OK")</f>
        <v>OK</v>
      </c>
      <c r="O877" s="23" t="str">
        <f t="shared" si="40"/>
        <v>ORD26005230</v>
      </c>
      <c r="P877" s="23" t="str">
        <f t="shared" si="41"/>
        <v>Sep</v>
      </c>
      <c r="Q877" s="23" t="str">
        <f>IF(F877="CAPTURE",IF(COUNTIF(orders!$A:$A,O877)&gt;0,"Yes","NO ORDER"),"")</f>
        <v>Yes</v>
      </c>
    </row>
    <row r="878" spans="1:17" ht="15" customHeight="1" x14ac:dyDescent="0.3">
      <c r="A878" s="23" t="s">
        <v>13431</v>
      </c>
      <c r="B878" s="23"/>
      <c r="C878" s="23" t="s">
        <v>11065</v>
      </c>
      <c r="D878" s="23" t="str">
        <f t="shared" si="39"/>
        <v>ORD26005316</v>
      </c>
      <c r="E878" s="38">
        <v>46270</v>
      </c>
      <c r="F878" s="23" t="s">
        <v>12410</v>
      </c>
      <c r="G878" s="23" t="s">
        <v>75</v>
      </c>
      <c r="H878" s="24">
        <v>2999</v>
      </c>
      <c r="I878" s="24">
        <v>9</v>
      </c>
      <c r="J878" s="24">
        <v>1.62</v>
      </c>
      <c r="K878" s="24">
        <v>2988.38</v>
      </c>
      <c r="L878" s="38">
        <v>46272</v>
      </c>
      <c r="M878" s="23" t="s">
        <v>190</v>
      </c>
      <c r="N878" s="23" t="str">
        <f>IF(COUNTIF($A$2:A878,A878)&gt;1,"DUP","OK")</f>
        <v>OK</v>
      </c>
      <c r="O878" s="23" t="str">
        <f t="shared" si="40"/>
        <v>ORD26005316</v>
      </c>
      <c r="P878" s="23" t="str">
        <f t="shared" si="41"/>
        <v>Sep</v>
      </c>
      <c r="Q878" s="23" t="str">
        <f>IF(F878="CAPTURE",IF(COUNTIF(orders!$A:$A,O878)&gt;0,"Yes","NO ORDER"),"")</f>
        <v>Yes</v>
      </c>
    </row>
    <row r="879" spans="1:17" ht="15" customHeight="1" x14ac:dyDescent="0.3">
      <c r="A879" s="23" t="s">
        <v>13432</v>
      </c>
      <c r="B879" s="23"/>
      <c r="C879" s="23" t="s">
        <v>11120</v>
      </c>
      <c r="D879" s="23" t="str">
        <f t="shared" si="39"/>
        <v>ORD26005344</v>
      </c>
      <c r="E879" s="38">
        <v>46270</v>
      </c>
      <c r="F879" s="23" t="s">
        <v>12410</v>
      </c>
      <c r="G879" s="23" t="s">
        <v>81</v>
      </c>
      <c r="H879" s="24">
        <v>499</v>
      </c>
      <c r="I879" s="24">
        <v>7.49</v>
      </c>
      <c r="J879" s="24">
        <v>1.35</v>
      </c>
      <c r="K879" s="24">
        <v>490.16</v>
      </c>
      <c r="L879" s="38">
        <v>46272</v>
      </c>
      <c r="M879" s="23" t="s">
        <v>190</v>
      </c>
      <c r="N879" s="23" t="str">
        <f>IF(COUNTIF($A$2:A879,A879)&gt;1,"DUP","OK")</f>
        <v>OK</v>
      </c>
      <c r="O879" s="23" t="str">
        <f t="shared" si="40"/>
        <v>ORD26005344</v>
      </c>
      <c r="P879" s="23" t="str">
        <f t="shared" si="41"/>
        <v>Sep</v>
      </c>
      <c r="Q879" s="23" t="str">
        <f>IF(F879="CAPTURE",IF(COUNTIF(orders!$A:$A,O879)&gt;0,"Yes","NO ORDER"),"")</f>
        <v>Yes</v>
      </c>
    </row>
    <row r="880" spans="1:17" ht="15" customHeight="1" x14ac:dyDescent="0.3">
      <c r="A880" s="23" t="s">
        <v>13433</v>
      </c>
      <c r="B880" s="23"/>
      <c r="C880" s="23" t="s">
        <v>11379</v>
      </c>
      <c r="D880" s="23" t="str">
        <f t="shared" si="39"/>
        <v>ORD26005475</v>
      </c>
      <c r="E880" s="38">
        <v>46270</v>
      </c>
      <c r="F880" s="23" t="s">
        <v>12410</v>
      </c>
      <c r="G880" s="23" t="s">
        <v>75</v>
      </c>
      <c r="H880" s="24">
        <v>10097</v>
      </c>
      <c r="I880" s="24">
        <v>30.29</v>
      </c>
      <c r="J880" s="24">
        <v>5.45</v>
      </c>
      <c r="K880" s="24">
        <v>10061.26</v>
      </c>
      <c r="L880" s="38">
        <v>46272</v>
      </c>
      <c r="M880" s="23" t="s">
        <v>190</v>
      </c>
      <c r="N880" s="23" t="str">
        <f>IF(COUNTIF($A$2:A880,A880)&gt;1,"DUP","OK")</f>
        <v>OK</v>
      </c>
      <c r="O880" s="23" t="str">
        <f t="shared" si="40"/>
        <v>ORD26005475</v>
      </c>
      <c r="P880" s="23" t="str">
        <f t="shared" si="41"/>
        <v>Sep</v>
      </c>
      <c r="Q880" s="23" t="str">
        <f>IF(F880="CAPTURE",IF(COUNTIF(orders!$A:$A,O880)&gt;0,"Yes","NO ORDER"),"")</f>
        <v>Yes</v>
      </c>
    </row>
    <row r="881" spans="1:17" ht="15" customHeight="1" x14ac:dyDescent="0.3">
      <c r="A881" s="23" t="s">
        <v>13434</v>
      </c>
      <c r="B881" s="23"/>
      <c r="C881" s="23" t="s">
        <v>13435</v>
      </c>
      <c r="D881" s="23" t="str">
        <f t="shared" si="39"/>
        <v>ORD26005504</v>
      </c>
      <c r="E881" s="38">
        <v>46270</v>
      </c>
      <c r="F881" s="23" t="s">
        <v>12410</v>
      </c>
      <c r="G881" s="23" t="s">
        <v>75</v>
      </c>
      <c r="H881" s="24">
        <v>2148</v>
      </c>
      <c r="I881" s="24">
        <v>6.44</v>
      </c>
      <c r="J881" s="24">
        <v>1.1599999999999999</v>
      </c>
      <c r="K881" s="24">
        <v>2140.4</v>
      </c>
      <c r="L881" s="38">
        <v>46272</v>
      </c>
      <c r="M881" s="23" t="s">
        <v>190</v>
      </c>
      <c r="N881" s="23" t="str">
        <f>IF(COUNTIF($A$2:A881,A881)&gt;1,"DUP","OK")</f>
        <v>OK</v>
      </c>
      <c r="O881" s="23" t="str">
        <f t="shared" si="40"/>
        <v>ORD26005504</v>
      </c>
      <c r="P881" s="23" t="str">
        <f t="shared" si="41"/>
        <v>Sep</v>
      </c>
      <c r="Q881" s="23" t="str">
        <f>IF(F881="CAPTURE",IF(COUNTIF(orders!$A:$A,O881)&gt;0,"Yes","NO ORDER"),"")</f>
        <v>Yes</v>
      </c>
    </row>
    <row r="882" spans="1:17" ht="15" customHeight="1" x14ac:dyDescent="0.3">
      <c r="A882" s="23" t="s">
        <v>13436</v>
      </c>
      <c r="B882" s="23"/>
      <c r="C882" s="23" t="s">
        <v>11488</v>
      </c>
      <c r="D882" s="23" t="str">
        <f t="shared" si="39"/>
        <v>ORD26005531</v>
      </c>
      <c r="E882" s="38">
        <v>46270</v>
      </c>
      <c r="F882" s="23" t="s">
        <v>12410</v>
      </c>
      <c r="G882" s="23" t="s">
        <v>77</v>
      </c>
      <c r="H882" s="24">
        <v>5798</v>
      </c>
      <c r="I882" s="24">
        <v>98.57</v>
      </c>
      <c r="J882" s="24">
        <v>17.739999999999998</v>
      </c>
      <c r="K882" s="24">
        <v>5681.69</v>
      </c>
      <c r="L882" s="38">
        <v>46272</v>
      </c>
      <c r="M882" s="23" t="s">
        <v>190</v>
      </c>
      <c r="N882" s="23" t="str">
        <f>IF(COUNTIF($A$2:A882,A882)&gt;1,"DUP","OK")</f>
        <v>OK</v>
      </c>
      <c r="O882" s="23" t="str">
        <f t="shared" si="40"/>
        <v>ORD26005531</v>
      </c>
      <c r="P882" s="23" t="str">
        <f t="shared" si="41"/>
        <v>Sep</v>
      </c>
      <c r="Q882" s="23" t="str">
        <f>IF(F882="CAPTURE",IF(COUNTIF(orders!$A:$A,O882)&gt;0,"Yes","NO ORDER"),"")</f>
        <v>Yes</v>
      </c>
    </row>
    <row r="883" spans="1:17" ht="15" customHeight="1" x14ac:dyDescent="0.3">
      <c r="A883" s="23" t="s">
        <v>13437</v>
      </c>
      <c r="B883" s="23"/>
      <c r="C883" s="23" t="s">
        <v>13438</v>
      </c>
      <c r="D883" s="23" t="str">
        <f t="shared" si="39"/>
        <v>ORD26005597</v>
      </c>
      <c r="E883" s="38">
        <v>46270</v>
      </c>
      <c r="F883" s="23" t="s">
        <v>12410</v>
      </c>
      <c r="G883" s="23" t="s">
        <v>81</v>
      </c>
      <c r="H883" s="24">
        <v>3897</v>
      </c>
      <c r="I883" s="24">
        <v>46.76</v>
      </c>
      <c r="J883" s="24">
        <v>8.42</v>
      </c>
      <c r="K883" s="24">
        <v>3841.82</v>
      </c>
      <c r="L883" s="38">
        <v>46272</v>
      </c>
      <c r="M883" s="23" t="s">
        <v>190</v>
      </c>
      <c r="N883" s="23" t="str">
        <f>IF(COUNTIF($A$2:A883,A883)&gt;1,"DUP","OK")</f>
        <v>OK</v>
      </c>
      <c r="O883" s="23" t="str">
        <f t="shared" si="40"/>
        <v>ORD26005597</v>
      </c>
      <c r="P883" s="23" t="str">
        <f t="shared" si="41"/>
        <v>Sep</v>
      </c>
      <c r="Q883" s="23" t="str">
        <f>IF(F883="CAPTURE",IF(COUNTIF(orders!$A:$A,O883)&gt;0,"Yes","NO ORDER"),"")</f>
        <v>Yes</v>
      </c>
    </row>
    <row r="884" spans="1:17" ht="15" customHeight="1" x14ac:dyDescent="0.3">
      <c r="A884" s="23" t="s">
        <v>13439</v>
      </c>
      <c r="B884" s="23"/>
      <c r="C884" s="23" t="s">
        <v>13440</v>
      </c>
      <c r="D884" s="23" t="str">
        <f t="shared" si="39"/>
        <v>ORD26005614</v>
      </c>
      <c r="E884" s="38">
        <v>46270</v>
      </c>
      <c r="F884" s="23" t="s">
        <v>12410</v>
      </c>
      <c r="G884" s="23" t="s">
        <v>79</v>
      </c>
      <c r="H884" s="24">
        <v>1098</v>
      </c>
      <c r="I884" s="24">
        <v>19.760000000000002</v>
      </c>
      <c r="J884" s="24">
        <v>3.56</v>
      </c>
      <c r="K884" s="24">
        <v>1074.68</v>
      </c>
      <c r="L884" s="38">
        <v>46272</v>
      </c>
      <c r="M884" s="23" t="s">
        <v>190</v>
      </c>
      <c r="N884" s="23" t="str">
        <f>IF(COUNTIF($A$2:A884,A884)&gt;1,"DUP","OK")</f>
        <v>OK</v>
      </c>
      <c r="O884" s="23" t="str">
        <f t="shared" si="40"/>
        <v>ORD26005614</v>
      </c>
      <c r="P884" s="23" t="str">
        <f t="shared" si="41"/>
        <v>Sep</v>
      </c>
      <c r="Q884" s="23" t="str">
        <f>IF(F884="CAPTURE",IF(COUNTIF(orders!$A:$A,O884)&gt;0,"Yes","NO ORDER"),"")</f>
        <v>Yes</v>
      </c>
    </row>
    <row r="885" spans="1:17" ht="15" customHeight="1" x14ac:dyDescent="0.3">
      <c r="A885" s="23" t="s">
        <v>13441</v>
      </c>
      <c r="B885" s="23"/>
      <c r="C885" s="23" t="s">
        <v>11668</v>
      </c>
      <c r="D885" s="23" t="str">
        <f t="shared" si="39"/>
        <v>ORD26005623</v>
      </c>
      <c r="E885" s="38">
        <v>46270</v>
      </c>
      <c r="F885" s="23" t="s">
        <v>12410</v>
      </c>
      <c r="G885" s="23" t="s">
        <v>75</v>
      </c>
      <c r="H885" s="24">
        <v>5597</v>
      </c>
      <c r="I885" s="24">
        <v>16.79</v>
      </c>
      <c r="J885" s="24">
        <v>3.02</v>
      </c>
      <c r="K885" s="24">
        <v>5577.19</v>
      </c>
      <c r="L885" s="38">
        <v>46272</v>
      </c>
      <c r="M885" s="23" t="s">
        <v>190</v>
      </c>
      <c r="N885" s="23" t="str">
        <f>IF(COUNTIF($A$2:A885,A885)&gt;1,"DUP","OK")</f>
        <v>OK</v>
      </c>
      <c r="O885" s="23" t="str">
        <f t="shared" si="40"/>
        <v>ORD26005623</v>
      </c>
      <c r="P885" s="23" t="str">
        <f t="shared" si="41"/>
        <v>Sep</v>
      </c>
      <c r="Q885" s="23" t="str">
        <f>IF(F885="CAPTURE",IF(COUNTIF(orders!$A:$A,O885)&gt;0,"Yes","NO ORDER"),"")</f>
        <v>Yes</v>
      </c>
    </row>
    <row r="886" spans="1:17" ht="15" customHeight="1" x14ac:dyDescent="0.3">
      <c r="A886" s="23" t="s">
        <v>13442</v>
      </c>
      <c r="B886" s="23"/>
      <c r="C886" s="23" t="s">
        <v>11836</v>
      </c>
      <c r="D886" s="23" t="str">
        <f t="shared" si="39"/>
        <v>ORD26005709</v>
      </c>
      <c r="E886" s="38">
        <v>46270</v>
      </c>
      <c r="F886" s="23" t="s">
        <v>12410</v>
      </c>
      <c r="G886" s="23" t="s">
        <v>77</v>
      </c>
      <c r="H886" s="24">
        <v>349</v>
      </c>
      <c r="I886" s="24">
        <v>6.63</v>
      </c>
      <c r="J886" s="24">
        <v>1.19</v>
      </c>
      <c r="K886" s="24">
        <v>341.18</v>
      </c>
      <c r="L886" s="38">
        <v>46272</v>
      </c>
      <c r="M886" s="23" t="s">
        <v>190</v>
      </c>
      <c r="N886" s="23" t="str">
        <f>IF(COUNTIF($A$2:A886,A886)&gt;1,"DUP","OK")</f>
        <v>OK</v>
      </c>
      <c r="O886" s="23" t="str">
        <f t="shared" si="40"/>
        <v>ORD26005709</v>
      </c>
      <c r="P886" s="23" t="str">
        <f t="shared" si="41"/>
        <v>Sep</v>
      </c>
      <c r="Q886" s="23" t="str">
        <f>IF(F886="CAPTURE",IF(COUNTIF(orders!$A:$A,O886)&gt;0,"Yes","NO ORDER"),"")</f>
        <v>Yes</v>
      </c>
    </row>
    <row r="887" spans="1:17" ht="15" customHeight="1" x14ac:dyDescent="0.3">
      <c r="A887" s="23" t="s">
        <v>13443</v>
      </c>
      <c r="B887" s="23"/>
      <c r="C887" s="23" t="s">
        <v>13444</v>
      </c>
      <c r="D887" s="23" t="str">
        <f t="shared" si="39"/>
        <v>ORD26005710</v>
      </c>
      <c r="E887" s="38">
        <v>46270</v>
      </c>
      <c r="F887" s="23" t="s">
        <v>12410</v>
      </c>
      <c r="G887" s="23" t="s">
        <v>75</v>
      </c>
      <c r="H887" s="24">
        <v>5348</v>
      </c>
      <c r="I887" s="24">
        <v>16.04</v>
      </c>
      <c r="J887" s="24">
        <v>2.89</v>
      </c>
      <c r="K887" s="24">
        <v>5329.07</v>
      </c>
      <c r="L887" s="38">
        <v>46272</v>
      </c>
      <c r="M887" s="23" t="s">
        <v>190</v>
      </c>
      <c r="N887" s="23" t="str">
        <f>IF(COUNTIF($A$2:A887,A887)&gt;1,"DUP","OK")</f>
        <v>OK</v>
      </c>
      <c r="O887" s="23" t="str">
        <f t="shared" si="40"/>
        <v>ORD26005710</v>
      </c>
      <c r="P887" s="23" t="str">
        <f t="shared" si="41"/>
        <v>Sep</v>
      </c>
      <c r="Q887" s="23" t="str">
        <f>IF(F887="CAPTURE",IF(COUNTIF(orders!$A:$A,O887)&gt;0,"Yes","NO ORDER"),"")</f>
        <v>Yes</v>
      </c>
    </row>
    <row r="888" spans="1:17" ht="15" customHeight="1" x14ac:dyDescent="0.3">
      <c r="A888" s="23" t="s">
        <v>13445</v>
      </c>
      <c r="B888" s="23"/>
      <c r="C888" s="23" t="s">
        <v>11846</v>
      </c>
      <c r="D888" s="23" t="str">
        <f t="shared" si="39"/>
        <v>ORD26005715</v>
      </c>
      <c r="E888" s="38">
        <v>46270</v>
      </c>
      <c r="F888" s="23" t="s">
        <v>12410</v>
      </c>
      <c r="G888" s="23" t="s">
        <v>75</v>
      </c>
      <c r="H888" s="24">
        <v>8298</v>
      </c>
      <c r="I888" s="24">
        <v>24.89</v>
      </c>
      <c r="J888" s="24">
        <v>4.4800000000000004</v>
      </c>
      <c r="K888" s="24">
        <v>8268.6299999999992</v>
      </c>
      <c r="L888" s="38">
        <v>46272</v>
      </c>
      <c r="M888" s="23" t="s">
        <v>190</v>
      </c>
      <c r="N888" s="23" t="str">
        <f>IF(COUNTIF($A$2:A888,A888)&gt;1,"DUP","OK")</f>
        <v>OK</v>
      </c>
      <c r="O888" s="23" t="str">
        <f t="shared" si="40"/>
        <v>ORD26005715</v>
      </c>
      <c r="P888" s="23" t="str">
        <f t="shared" si="41"/>
        <v>Sep</v>
      </c>
      <c r="Q888" s="23" t="str">
        <f>IF(F888="CAPTURE",IF(COUNTIF(orders!$A:$A,O888)&gt;0,"Yes","NO ORDER"),"")</f>
        <v>Yes</v>
      </c>
    </row>
    <row r="889" spans="1:17" ht="15" customHeight="1" x14ac:dyDescent="0.3">
      <c r="A889" s="23" t="s">
        <v>13446</v>
      </c>
      <c r="B889" s="23"/>
      <c r="C889" s="23" t="s">
        <v>11862</v>
      </c>
      <c r="D889" s="23" t="str">
        <f t="shared" si="39"/>
        <v>ORD26005723</v>
      </c>
      <c r="E889" s="38">
        <v>46270</v>
      </c>
      <c r="F889" s="23" t="s">
        <v>12410</v>
      </c>
      <c r="G889" s="23" t="s">
        <v>79</v>
      </c>
      <c r="H889" s="24">
        <v>2298</v>
      </c>
      <c r="I889" s="24">
        <v>36.770000000000003</v>
      </c>
      <c r="J889" s="24">
        <v>6.62</v>
      </c>
      <c r="K889" s="24">
        <v>2254.61</v>
      </c>
      <c r="L889" s="38">
        <v>46272</v>
      </c>
      <c r="M889" s="23" t="s">
        <v>190</v>
      </c>
      <c r="N889" s="23" t="str">
        <f>IF(COUNTIF($A$2:A889,A889)&gt;1,"DUP","OK")</f>
        <v>OK</v>
      </c>
      <c r="O889" s="23" t="str">
        <f t="shared" si="40"/>
        <v>ORD26005723</v>
      </c>
      <c r="P889" s="23" t="str">
        <f t="shared" si="41"/>
        <v>Sep</v>
      </c>
      <c r="Q889" s="23" t="str">
        <f>IF(F889="CAPTURE",IF(COUNTIF(orders!$A:$A,O889)&gt;0,"Yes","NO ORDER"),"")</f>
        <v>Yes</v>
      </c>
    </row>
    <row r="890" spans="1:17" ht="15" customHeight="1" x14ac:dyDescent="0.3">
      <c r="A890" s="23" t="s">
        <v>13447</v>
      </c>
      <c r="B890" s="23"/>
      <c r="C890" s="23" t="s">
        <v>11889</v>
      </c>
      <c r="D890" s="23" t="str">
        <f t="shared" si="39"/>
        <v>ORD26005737</v>
      </c>
      <c r="E890" s="38">
        <v>46270</v>
      </c>
      <c r="F890" s="23" t="s">
        <v>12410</v>
      </c>
      <c r="G890" s="23" t="s">
        <v>75</v>
      </c>
      <c r="H890" s="24">
        <v>7999</v>
      </c>
      <c r="I890" s="24">
        <v>24</v>
      </c>
      <c r="J890" s="24">
        <v>4.32</v>
      </c>
      <c r="K890" s="24">
        <v>7970.68</v>
      </c>
      <c r="L890" s="38">
        <v>46272</v>
      </c>
      <c r="M890" s="23" t="s">
        <v>190</v>
      </c>
      <c r="N890" s="23" t="str">
        <f>IF(COUNTIF($A$2:A890,A890)&gt;1,"DUP","OK")</f>
        <v>OK</v>
      </c>
      <c r="O890" s="23" t="str">
        <f t="shared" si="40"/>
        <v>ORD26005737</v>
      </c>
      <c r="P890" s="23" t="str">
        <f t="shared" si="41"/>
        <v>Sep</v>
      </c>
      <c r="Q890" s="23" t="str">
        <f>IF(F890="CAPTURE",IF(COUNTIF(orders!$A:$A,O890)&gt;0,"Yes","NO ORDER"),"")</f>
        <v>Yes</v>
      </c>
    </row>
    <row r="891" spans="1:17" ht="15" customHeight="1" x14ac:dyDescent="0.3">
      <c r="A891" s="23" t="s">
        <v>13448</v>
      </c>
      <c r="B891" s="23"/>
      <c r="C891" s="23" t="s">
        <v>11936</v>
      </c>
      <c r="D891" s="23" t="str">
        <f t="shared" si="39"/>
        <v>ORD26005761</v>
      </c>
      <c r="E891" s="38">
        <v>46270</v>
      </c>
      <c r="F891" s="23" t="s">
        <v>12410</v>
      </c>
      <c r="G891" s="23" t="s">
        <v>75</v>
      </c>
      <c r="H891" s="24">
        <v>1798</v>
      </c>
      <c r="I891" s="24">
        <v>0</v>
      </c>
      <c r="J891" s="24">
        <v>0</v>
      </c>
      <c r="K891" s="24">
        <v>1798</v>
      </c>
      <c r="L891" s="38">
        <v>46272</v>
      </c>
      <c r="M891" s="23" t="s">
        <v>190</v>
      </c>
      <c r="N891" s="23" t="str">
        <f>IF(COUNTIF($A$2:A891,A891)&gt;1,"DUP","OK")</f>
        <v>OK</v>
      </c>
      <c r="O891" s="23" t="str">
        <f t="shared" si="40"/>
        <v>ORD26005761</v>
      </c>
      <c r="P891" s="23" t="str">
        <f t="shared" si="41"/>
        <v>Sep</v>
      </c>
      <c r="Q891" s="23" t="str">
        <f>IF(F891="CAPTURE",IF(COUNTIF(orders!$A:$A,O891)&gt;0,"Yes","NO ORDER"),"")</f>
        <v>Yes</v>
      </c>
    </row>
    <row r="892" spans="1:17" ht="15" customHeight="1" x14ac:dyDescent="0.3">
      <c r="A892" s="23" t="s">
        <v>13449</v>
      </c>
      <c r="B892" s="23"/>
      <c r="C892" s="23" t="s">
        <v>11954</v>
      </c>
      <c r="D892" s="23" t="str">
        <f t="shared" si="39"/>
        <v>ORD26005770</v>
      </c>
      <c r="E892" s="38">
        <v>46270</v>
      </c>
      <c r="F892" s="23" t="s">
        <v>12410</v>
      </c>
      <c r="G892" s="23" t="s">
        <v>79</v>
      </c>
      <c r="H892" s="24">
        <v>5298</v>
      </c>
      <c r="I892" s="24">
        <v>84.77</v>
      </c>
      <c r="J892" s="24">
        <v>15.26</v>
      </c>
      <c r="K892" s="24">
        <v>5197.97</v>
      </c>
      <c r="L892" s="38">
        <v>46272</v>
      </c>
      <c r="M892" s="23" t="s">
        <v>190</v>
      </c>
      <c r="N892" s="23" t="str">
        <f>IF(COUNTIF($A$2:A892,A892)&gt;1,"DUP","OK")</f>
        <v>OK</v>
      </c>
      <c r="O892" s="23" t="str">
        <f t="shared" si="40"/>
        <v>ORD26005770</v>
      </c>
      <c r="P892" s="23" t="str">
        <f t="shared" si="41"/>
        <v>Sep</v>
      </c>
      <c r="Q892" s="23" t="str">
        <f>IF(F892="CAPTURE",IF(COUNTIF(orders!$A:$A,O892)&gt;0,"Yes","NO ORDER"),"")</f>
        <v>Yes</v>
      </c>
    </row>
    <row r="893" spans="1:17" ht="15" customHeight="1" x14ac:dyDescent="0.3">
      <c r="A893" s="23" t="s">
        <v>13450</v>
      </c>
      <c r="B893" s="23"/>
      <c r="C893" s="23" t="s">
        <v>13451</v>
      </c>
      <c r="D893" s="23" t="str">
        <f t="shared" si="39"/>
        <v>ORD26005800</v>
      </c>
      <c r="E893" s="38">
        <v>46270</v>
      </c>
      <c r="F893" s="23" t="s">
        <v>12410</v>
      </c>
      <c r="G893" s="23" t="s">
        <v>79</v>
      </c>
      <c r="H893" s="24">
        <v>299</v>
      </c>
      <c r="I893" s="24">
        <v>5.38</v>
      </c>
      <c r="J893" s="24">
        <v>0.97</v>
      </c>
      <c r="K893" s="24">
        <v>292.64999999999998</v>
      </c>
      <c r="L893" s="38">
        <v>46272</v>
      </c>
      <c r="M893" s="23" t="s">
        <v>190</v>
      </c>
      <c r="N893" s="23" t="str">
        <f>IF(COUNTIF($A$2:A893,A893)&gt;1,"DUP","OK")</f>
        <v>OK</v>
      </c>
      <c r="O893" s="23" t="str">
        <f t="shared" si="40"/>
        <v>ORD26005800</v>
      </c>
      <c r="P893" s="23" t="str">
        <f t="shared" si="41"/>
        <v>Sep</v>
      </c>
      <c r="Q893" s="23" t="str">
        <f>IF(F893="CAPTURE",IF(COUNTIF(orders!$A:$A,O893)&gt;0,"Yes","NO ORDER"),"")</f>
        <v>Yes</v>
      </c>
    </row>
    <row r="894" spans="1:17" ht="15" customHeight="1" x14ac:dyDescent="0.3">
      <c r="A894" s="23" t="s">
        <v>13452</v>
      </c>
      <c r="B894" s="23"/>
      <c r="C894" s="23" t="s">
        <v>12070</v>
      </c>
      <c r="D894" s="23" t="str">
        <f t="shared" si="39"/>
        <v>ORD26005830</v>
      </c>
      <c r="E894" s="38">
        <v>46270</v>
      </c>
      <c r="F894" s="23" t="s">
        <v>12410</v>
      </c>
      <c r="G894" s="23" t="s">
        <v>75</v>
      </c>
      <c r="H894" s="24">
        <v>3598</v>
      </c>
      <c r="I894" s="24">
        <v>10.79</v>
      </c>
      <c r="J894" s="24">
        <v>1.94</v>
      </c>
      <c r="K894" s="24">
        <v>3585.27</v>
      </c>
      <c r="L894" s="38">
        <v>46272</v>
      </c>
      <c r="M894" s="23" t="s">
        <v>190</v>
      </c>
      <c r="N894" s="23" t="str">
        <f>IF(COUNTIF($A$2:A894,A894)&gt;1,"DUP","OK")</f>
        <v>OK</v>
      </c>
      <c r="O894" s="23" t="str">
        <f t="shared" si="40"/>
        <v>ORD26005830</v>
      </c>
      <c r="P894" s="23" t="str">
        <f t="shared" si="41"/>
        <v>Sep</v>
      </c>
      <c r="Q894" s="23" t="str">
        <f>IF(F894="CAPTURE",IF(COUNTIF(orders!$A:$A,O894)&gt;0,"Yes","NO ORDER"),"")</f>
        <v>Yes</v>
      </c>
    </row>
    <row r="895" spans="1:17" ht="15" customHeight="1" x14ac:dyDescent="0.3">
      <c r="A895" s="23" t="s">
        <v>13453</v>
      </c>
      <c r="B895" s="23"/>
      <c r="C895" s="23" t="s">
        <v>12106</v>
      </c>
      <c r="D895" s="23" t="str">
        <f t="shared" si="39"/>
        <v>ORD26005849</v>
      </c>
      <c r="E895" s="38">
        <v>46270</v>
      </c>
      <c r="F895" s="23" t="s">
        <v>12410</v>
      </c>
      <c r="G895" s="23" t="s">
        <v>75</v>
      </c>
      <c r="H895" s="24">
        <v>9798</v>
      </c>
      <c r="I895" s="24">
        <v>29.39</v>
      </c>
      <c r="J895" s="24">
        <v>5.29</v>
      </c>
      <c r="K895" s="24">
        <v>9763.32</v>
      </c>
      <c r="L895" s="38">
        <v>46272</v>
      </c>
      <c r="M895" s="23" t="s">
        <v>190</v>
      </c>
      <c r="N895" s="23" t="str">
        <f>IF(COUNTIF($A$2:A895,A895)&gt;1,"DUP","OK")</f>
        <v>OK</v>
      </c>
      <c r="O895" s="23" t="str">
        <f t="shared" si="40"/>
        <v>ORD26005849</v>
      </c>
      <c r="P895" s="23" t="str">
        <f t="shared" si="41"/>
        <v>Sep</v>
      </c>
      <c r="Q895" s="23" t="str">
        <f>IF(F895="CAPTURE",IF(COUNTIF(orders!$A:$A,O895)&gt;0,"Yes","NO ORDER"),"")</f>
        <v>Yes</v>
      </c>
    </row>
    <row r="896" spans="1:17" ht="15" customHeight="1" x14ac:dyDescent="0.3">
      <c r="A896" s="23" t="s">
        <v>13454</v>
      </c>
      <c r="B896" s="23"/>
      <c r="C896" s="23" t="s">
        <v>12129</v>
      </c>
      <c r="D896" s="23" t="str">
        <f t="shared" si="39"/>
        <v>ORD26005862</v>
      </c>
      <c r="E896" s="38">
        <v>46270</v>
      </c>
      <c r="F896" s="23" t="s">
        <v>12410</v>
      </c>
      <c r="G896" s="23" t="s">
        <v>79</v>
      </c>
      <c r="H896" s="24">
        <v>1799</v>
      </c>
      <c r="I896" s="24">
        <v>32.380000000000003</v>
      </c>
      <c r="J896" s="24">
        <v>5.83</v>
      </c>
      <c r="K896" s="24">
        <v>1760.79</v>
      </c>
      <c r="L896" s="38">
        <v>46272</v>
      </c>
      <c r="M896" s="23" t="s">
        <v>190</v>
      </c>
      <c r="N896" s="23" t="str">
        <f>IF(COUNTIF($A$2:A896,A896)&gt;1,"DUP","OK")</f>
        <v>OK</v>
      </c>
      <c r="O896" s="23" t="str">
        <f t="shared" si="40"/>
        <v>ORD26005862</v>
      </c>
      <c r="P896" s="23" t="str">
        <f t="shared" si="41"/>
        <v>Sep</v>
      </c>
      <c r="Q896" s="23" t="str">
        <f>IF(F896="CAPTURE",IF(COUNTIF(orders!$A:$A,O896)&gt;0,"Yes","NO ORDER"),"")</f>
        <v>Yes</v>
      </c>
    </row>
    <row r="897" spans="1:17" ht="15" customHeight="1" x14ac:dyDescent="0.3">
      <c r="A897" s="23" t="s">
        <v>13455</v>
      </c>
      <c r="B897" s="23"/>
      <c r="C897" s="23" t="s">
        <v>12204</v>
      </c>
      <c r="D897" s="23" t="str">
        <f t="shared" si="39"/>
        <v>ORD26005902</v>
      </c>
      <c r="E897" s="38">
        <v>46270</v>
      </c>
      <c r="F897" s="23" t="s">
        <v>12410</v>
      </c>
      <c r="G897" s="23" t="s">
        <v>79</v>
      </c>
      <c r="H897" s="24">
        <v>1398</v>
      </c>
      <c r="I897" s="24">
        <v>25.16</v>
      </c>
      <c r="J897" s="24">
        <v>4.53</v>
      </c>
      <c r="K897" s="24">
        <v>1368.31</v>
      </c>
      <c r="L897" s="38">
        <v>46272</v>
      </c>
      <c r="M897" s="23" t="s">
        <v>190</v>
      </c>
      <c r="N897" s="23" t="str">
        <f>IF(COUNTIF($A$2:A897,A897)&gt;1,"DUP","OK")</f>
        <v>OK</v>
      </c>
      <c r="O897" s="23" t="str">
        <f t="shared" si="40"/>
        <v>ORD26005902</v>
      </c>
      <c r="P897" s="23" t="str">
        <f t="shared" si="41"/>
        <v>Sep</v>
      </c>
      <c r="Q897" s="23" t="str">
        <f>IF(F897="CAPTURE",IF(COUNTIF(orders!$A:$A,O897)&gt;0,"Yes","NO ORDER"),"")</f>
        <v>Yes</v>
      </c>
    </row>
    <row r="898" spans="1:17" ht="15" customHeight="1" x14ac:dyDescent="0.3">
      <c r="A898" s="23" t="s">
        <v>13456</v>
      </c>
      <c r="B898" s="23"/>
      <c r="C898" s="23" t="s">
        <v>13457</v>
      </c>
      <c r="D898" s="23" t="str">
        <f t="shared" ref="D898:D961" si="42">UPPER(SUBSTITUTE(TRIM(C898),"-",""))</f>
        <v>ORD26005904</v>
      </c>
      <c r="E898" s="38">
        <v>46270</v>
      </c>
      <c r="F898" s="23" t="s">
        <v>12410</v>
      </c>
      <c r="G898" s="23" t="s">
        <v>75</v>
      </c>
      <c r="H898" s="24">
        <v>299</v>
      </c>
      <c r="I898" s="24">
        <v>0</v>
      </c>
      <c r="J898" s="24">
        <v>0</v>
      </c>
      <c r="K898" s="24">
        <v>299</v>
      </c>
      <c r="L898" s="38">
        <v>46272</v>
      </c>
      <c r="M898" s="23" t="s">
        <v>190</v>
      </c>
      <c r="N898" s="23" t="str">
        <f>IF(COUNTIF($A$2:A898,A898)&gt;1,"DUP","OK")</f>
        <v>OK</v>
      </c>
      <c r="O898" s="23" t="str">
        <f t="shared" ref="O898:O961" si="43">IF(F898="REFUND",INDEX($D:$D,MATCH(B898,$A:$A,0)),D898)</f>
        <v>ORD26005904</v>
      </c>
      <c r="P898" s="23" t="str">
        <f t="shared" ref="P898:P961" si="44">IF(L898&gt;DATE(2026,9,30),"Oct-Due","Sep")</f>
        <v>Sep</v>
      </c>
      <c r="Q898" s="23" t="str">
        <f>IF(F898="CAPTURE",IF(COUNTIF(orders!$A:$A,O898)&gt;0,"Yes","NO ORDER"),"")</f>
        <v>Yes</v>
      </c>
    </row>
    <row r="899" spans="1:17" ht="15" customHeight="1" x14ac:dyDescent="0.3">
      <c r="A899" s="23" t="s">
        <v>13458</v>
      </c>
      <c r="B899" s="23"/>
      <c r="C899" s="23" t="s">
        <v>12322</v>
      </c>
      <c r="D899" s="23" t="str">
        <f t="shared" si="42"/>
        <v>ORD26005964</v>
      </c>
      <c r="E899" s="38">
        <v>46270</v>
      </c>
      <c r="F899" s="23" t="s">
        <v>12410</v>
      </c>
      <c r="G899" s="23" t="s">
        <v>79</v>
      </c>
      <c r="H899" s="24">
        <v>999</v>
      </c>
      <c r="I899" s="24">
        <v>17.98</v>
      </c>
      <c r="J899" s="24">
        <v>3.24</v>
      </c>
      <c r="K899" s="24">
        <v>977.78</v>
      </c>
      <c r="L899" s="38">
        <v>46272</v>
      </c>
      <c r="M899" s="23" t="s">
        <v>190</v>
      </c>
      <c r="N899" s="23" t="str">
        <f>IF(COUNTIF($A$2:A899,A899)&gt;1,"DUP","OK")</f>
        <v>OK</v>
      </c>
      <c r="O899" s="23" t="str">
        <f t="shared" si="43"/>
        <v>ORD26005964</v>
      </c>
      <c r="P899" s="23" t="str">
        <f t="shared" si="44"/>
        <v>Sep</v>
      </c>
      <c r="Q899" s="23" t="str">
        <f>IF(F899="CAPTURE",IF(COUNTIF(orders!$A:$A,O899)&gt;0,"Yes","NO ORDER"),"")</f>
        <v>Yes</v>
      </c>
    </row>
    <row r="900" spans="1:17" ht="15" customHeight="1" x14ac:dyDescent="0.3">
      <c r="A900" s="23" t="s">
        <v>13459</v>
      </c>
      <c r="B900" s="23"/>
      <c r="C900" s="23" t="s">
        <v>12346</v>
      </c>
      <c r="D900" s="23" t="str">
        <f t="shared" si="42"/>
        <v>ORD26005977</v>
      </c>
      <c r="E900" s="38">
        <v>46270</v>
      </c>
      <c r="F900" s="23" t="s">
        <v>12410</v>
      </c>
      <c r="G900" s="23" t="s">
        <v>75</v>
      </c>
      <c r="H900" s="24">
        <v>2999</v>
      </c>
      <c r="I900" s="24">
        <v>9</v>
      </c>
      <c r="J900" s="24">
        <v>1.62</v>
      </c>
      <c r="K900" s="24">
        <v>2988.38</v>
      </c>
      <c r="L900" s="38">
        <v>46272</v>
      </c>
      <c r="M900" s="23" t="s">
        <v>190</v>
      </c>
      <c r="N900" s="23" t="str">
        <f>IF(COUNTIF($A$2:A900,A900)&gt;1,"DUP","OK")</f>
        <v>OK</v>
      </c>
      <c r="O900" s="23" t="str">
        <f t="shared" si="43"/>
        <v>ORD26005977</v>
      </c>
      <c r="P900" s="23" t="str">
        <f t="shared" si="44"/>
        <v>Sep</v>
      </c>
      <c r="Q900" s="23" t="str">
        <f>IF(F900="CAPTURE",IF(COUNTIF(orders!$A:$A,O900)&gt;0,"Yes","NO ORDER"),"")</f>
        <v>Yes</v>
      </c>
    </row>
    <row r="901" spans="1:17" ht="15" customHeight="1" x14ac:dyDescent="0.3">
      <c r="A901" s="23" t="s">
        <v>13460</v>
      </c>
      <c r="B901" s="23" t="s">
        <v>12814</v>
      </c>
      <c r="C901" s="23"/>
      <c r="D901" s="23" t="str">
        <f t="shared" si="42"/>
        <v/>
      </c>
      <c r="E901" s="38">
        <v>46270</v>
      </c>
      <c r="F901" s="23" t="s">
        <v>12791</v>
      </c>
      <c r="G901" s="23" t="s">
        <v>75</v>
      </c>
      <c r="H901" s="24">
        <v>798</v>
      </c>
      <c r="I901" s="24">
        <v>0</v>
      </c>
      <c r="J901" s="24">
        <v>0</v>
      </c>
      <c r="K901" s="24">
        <v>-798</v>
      </c>
      <c r="L901" s="38">
        <v>46272</v>
      </c>
      <c r="M901" s="23" t="s">
        <v>190</v>
      </c>
      <c r="N901" s="23" t="str">
        <f>IF(COUNTIF($A$2:A901,A901)&gt;1,"DUP","OK")</f>
        <v>OK</v>
      </c>
      <c r="O901" s="23" t="str">
        <f t="shared" si="43"/>
        <v>ORD26000770</v>
      </c>
      <c r="P901" s="23" t="str">
        <f t="shared" si="44"/>
        <v>Sep</v>
      </c>
      <c r="Q901" s="23" t="str">
        <f>IF(F901="CAPTURE",IF(COUNTIF(orders!$A:$A,O901)&gt;0,"Yes","NO ORDER"),"")</f>
        <v/>
      </c>
    </row>
    <row r="902" spans="1:17" ht="15" customHeight="1" x14ac:dyDescent="0.3">
      <c r="A902" s="23" t="s">
        <v>13461</v>
      </c>
      <c r="B902" s="23" t="s">
        <v>12981</v>
      </c>
      <c r="C902" s="23"/>
      <c r="D902" s="23" t="str">
        <f t="shared" si="42"/>
        <v/>
      </c>
      <c r="E902" s="38">
        <v>46270</v>
      </c>
      <c r="F902" s="23" t="s">
        <v>12791</v>
      </c>
      <c r="G902" s="23" t="s">
        <v>75</v>
      </c>
      <c r="H902" s="24">
        <v>1299</v>
      </c>
      <c r="I902" s="24">
        <v>0</v>
      </c>
      <c r="J902" s="24">
        <v>0</v>
      </c>
      <c r="K902" s="24">
        <v>-1299</v>
      </c>
      <c r="L902" s="38">
        <v>46272</v>
      </c>
      <c r="M902" s="23" t="s">
        <v>190</v>
      </c>
      <c r="N902" s="23" t="str">
        <f>IF(COUNTIF($A$2:A902,A902)&gt;1,"DUP","OK")</f>
        <v>OK</v>
      </c>
      <c r="O902" s="23" t="str">
        <f t="shared" si="43"/>
        <v>ORD26004922</v>
      </c>
      <c r="P902" s="23" t="str">
        <f t="shared" si="44"/>
        <v>Sep</v>
      </c>
      <c r="Q902" s="23" t="str">
        <f>IF(F902="CAPTURE",IF(COUNTIF(orders!$A:$A,O902)&gt;0,"Yes","NO ORDER"),"")</f>
        <v/>
      </c>
    </row>
    <row r="903" spans="1:17" ht="15" customHeight="1" x14ac:dyDescent="0.3">
      <c r="A903" s="23" t="s">
        <v>13462</v>
      </c>
      <c r="B903" s="23"/>
      <c r="C903" s="23" t="s">
        <v>13463</v>
      </c>
      <c r="D903" s="23" t="str">
        <f t="shared" si="42"/>
        <v>ORD26000020</v>
      </c>
      <c r="E903" s="38">
        <v>46271</v>
      </c>
      <c r="F903" s="23" t="s">
        <v>12410</v>
      </c>
      <c r="G903" s="23" t="s">
        <v>75</v>
      </c>
      <c r="H903" s="24">
        <v>3798</v>
      </c>
      <c r="I903" s="24">
        <v>11.39</v>
      </c>
      <c r="J903" s="24">
        <v>2.0499999999999998</v>
      </c>
      <c r="K903" s="24">
        <v>3784.56</v>
      </c>
      <c r="L903" s="38">
        <v>46273</v>
      </c>
      <c r="M903" s="23" t="s">
        <v>191</v>
      </c>
      <c r="N903" s="23" t="str">
        <f>IF(COUNTIF($A$2:A903,A903)&gt;1,"DUP","OK")</f>
        <v>OK</v>
      </c>
      <c r="O903" s="23" t="str">
        <f t="shared" si="43"/>
        <v>ORD26000020</v>
      </c>
      <c r="P903" s="23" t="str">
        <f t="shared" si="44"/>
        <v>Sep</v>
      </c>
      <c r="Q903" s="23" t="str">
        <f>IF(F903="CAPTURE",IF(COUNTIF(orders!$A:$A,O903)&gt;0,"Yes","NO ORDER"),"")</f>
        <v>Yes</v>
      </c>
    </row>
    <row r="904" spans="1:17" ht="15" customHeight="1" x14ac:dyDescent="0.3">
      <c r="A904" s="23" t="s">
        <v>13464</v>
      </c>
      <c r="B904" s="23"/>
      <c r="C904" s="23" t="s">
        <v>355</v>
      </c>
      <c r="D904" s="23" t="str">
        <f t="shared" si="42"/>
        <v>ORD26000038</v>
      </c>
      <c r="E904" s="38">
        <v>46271</v>
      </c>
      <c r="F904" s="23" t="s">
        <v>12410</v>
      </c>
      <c r="G904" s="23" t="s">
        <v>79</v>
      </c>
      <c r="H904" s="24">
        <v>1598</v>
      </c>
      <c r="I904" s="24">
        <v>28.76</v>
      </c>
      <c r="J904" s="24">
        <v>5.18</v>
      </c>
      <c r="K904" s="24">
        <v>1564.06</v>
      </c>
      <c r="L904" s="38">
        <v>46273</v>
      </c>
      <c r="M904" s="23" t="s">
        <v>191</v>
      </c>
      <c r="N904" s="23" t="str">
        <f>IF(COUNTIF($A$2:A904,A904)&gt;1,"DUP","OK")</f>
        <v>OK</v>
      </c>
      <c r="O904" s="23" t="str">
        <f t="shared" si="43"/>
        <v>ORD26000038</v>
      </c>
      <c r="P904" s="23" t="str">
        <f t="shared" si="44"/>
        <v>Sep</v>
      </c>
      <c r="Q904" s="23" t="str">
        <f>IF(F904="CAPTURE",IF(COUNTIF(orders!$A:$A,O904)&gt;0,"Yes","NO ORDER"),"")</f>
        <v>Yes</v>
      </c>
    </row>
    <row r="905" spans="1:17" ht="15" customHeight="1" x14ac:dyDescent="0.3">
      <c r="A905" s="23" t="s">
        <v>13465</v>
      </c>
      <c r="B905" s="23"/>
      <c r="C905" s="23" t="s">
        <v>467</v>
      </c>
      <c r="D905" s="23" t="str">
        <f t="shared" si="42"/>
        <v>ORD26000083</v>
      </c>
      <c r="E905" s="38">
        <v>46271</v>
      </c>
      <c r="F905" s="23" t="s">
        <v>12410</v>
      </c>
      <c r="G905" s="23" t="s">
        <v>79</v>
      </c>
      <c r="H905" s="24">
        <v>1299</v>
      </c>
      <c r="I905" s="24">
        <v>23.38</v>
      </c>
      <c r="J905" s="24">
        <v>4.21</v>
      </c>
      <c r="K905" s="24">
        <v>1271.4100000000001</v>
      </c>
      <c r="L905" s="38">
        <v>46273</v>
      </c>
      <c r="M905" s="23" t="s">
        <v>191</v>
      </c>
      <c r="N905" s="23" t="str">
        <f>IF(COUNTIF($A$2:A905,A905)&gt;1,"DUP","OK")</f>
        <v>OK</v>
      </c>
      <c r="O905" s="23" t="str">
        <f t="shared" si="43"/>
        <v>ORD26000083</v>
      </c>
      <c r="P905" s="23" t="str">
        <f t="shared" si="44"/>
        <v>Sep</v>
      </c>
      <c r="Q905" s="23" t="str">
        <f>IF(F905="CAPTURE",IF(COUNTIF(orders!$A:$A,O905)&gt;0,"Yes","NO ORDER"),"")</f>
        <v>Yes</v>
      </c>
    </row>
    <row r="906" spans="1:17" ht="15" customHeight="1" x14ac:dyDescent="0.3">
      <c r="A906" s="23" t="s">
        <v>13466</v>
      </c>
      <c r="B906" s="23"/>
      <c r="C906" s="23" t="s">
        <v>497</v>
      </c>
      <c r="D906" s="23" t="str">
        <f t="shared" si="42"/>
        <v>ORD26000096</v>
      </c>
      <c r="E906" s="38">
        <v>46271</v>
      </c>
      <c r="F906" s="23" t="s">
        <v>12410</v>
      </c>
      <c r="G906" s="23" t="s">
        <v>79</v>
      </c>
      <c r="H906" s="24">
        <v>5998</v>
      </c>
      <c r="I906" s="24">
        <v>95.97</v>
      </c>
      <c r="J906" s="24">
        <v>17.27</v>
      </c>
      <c r="K906" s="24">
        <v>5884.76</v>
      </c>
      <c r="L906" s="38">
        <v>46273</v>
      </c>
      <c r="M906" s="23" t="s">
        <v>191</v>
      </c>
      <c r="N906" s="23" t="str">
        <f>IF(COUNTIF($A$2:A906,A906)&gt;1,"DUP","OK")</f>
        <v>OK</v>
      </c>
      <c r="O906" s="23" t="str">
        <f t="shared" si="43"/>
        <v>ORD26000096</v>
      </c>
      <c r="P906" s="23" t="str">
        <f t="shared" si="44"/>
        <v>Sep</v>
      </c>
      <c r="Q906" s="23" t="str">
        <f>IF(F906="CAPTURE",IF(COUNTIF(orders!$A:$A,O906)&gt;0,"Yes","NO ORDER"),"")</f>
        <v>Yes</v>
      </c>
    </row>
    <row r="907" spans="1:17" ht="15" customHeight="1" x14ac:dyDescent="0.3">
      <c r="A907" s="23" t="s">
        <v>13467</v>
      </c>
      <c r="B907" s="23"/>
      <c r="C907" s="23" t="s">
        <v>13468</v>
      </c>
      <c r="D907" s="23" t="str">
        <f t="shared" si="42"/>
        <v>ORD26000156</v>
      </c>
      <c r="E907" s="38">
        <v>46271</v>
      </c>
      <c r="F907" s="23" t="s">
        <v>12410</v>
      </c>
      <c r="G907" s="23" t="s">
        <v>79</v>
      </c>
      <c r="H907" s="24">
        <v>2499</v>
      </c>
      <c r="I907" s="24">
        <v>39.979999999999997</v>
      </c>
      <c r="J907" s="24">
        <v>7.2</v>
      </c>
      <c r="K907" s="24">
        <v>2451.8200000000002</v>
      </c>
      <c r="L907" s="38">
        <v>46273</v>
      </c>
      <c r="M907" s="23" t="s">
        <v>191</v>
      </c>
      <c r="N907" s="23" t="str">
        <f>IF(COUNTIF($A$2:A907,A907)&gt;1,"DUP","OK")</f>
        <v>OK</v>
      </c>
      <c r="O907" s="23" t="str">
        <f t="shared" si="43"/>
        <v>ORD26000156</v>
      </c>
      <c r="P907" s="23" t="str">
        <f t="shared" si="44"/>
        <v>Sep</v>
      </c>
      <c r="Q907" s="23" t="str">
        <f>IF(F907="CAPTURE",IF(COUNTIF(orders!$A:$A,O907)&gt;0,"Yes","NO ORDER"),"")</f>
        <v>Yes</v>
      </c>
    </row>
    <row r="908" spans="1:17" ht="15" customHeight="1" x14ac:dyDescent="0.3">
      <c r="A908" s="23" t="s">
        <v>13469</v>
      </c>
      <c r="B908" s="23"/>
      <c r="C908" s="23" t="s">
        <v>725</v>
      </c>
      <c r="D908" s="23" t="str">
        <f t="shared" si="42"/>
        <v>ORD26000194</v>
      </c>
      <c r="E908" s="38">
        <v>46271</v>
      </c>
      <c r="F908" s="23" t="s">
        <v>12410</v>
      </c>
      <c r="G908" s="23" t="s">
        <v>75</v>
      </c>
      <c r="H908" s="24">
        <v>2197</v>
      </c>
      <c r="I908" s="24">
        <v>6.59</v>
      </c>
      <c r="J908" s="24">
        <v>1.19</v>
      </c>
      <c r="K908" s="24">
        <v>2189.2199999999998</v>
      </c>
      <c r="L908" s="38">
        <v>46273</v>
      </c>
      <c r="M908" s="23" t="s">
        <v>191</v>
      </c>
      <c r="N908" s="23" t="str">
        <f>IF(COUNTIF($A$2:A908,A908)&gt;1,"DUP","OK")</f>
        <v>OK</v>
      </c>
      <c r="O908" s="23" t="str">
        <f t="shared" si="43"/>
        <v>ORD26000194</v>
      </c>
      <c r="P908" s="23" t="str">
        <f t="shared" si="44"/>
        <v>Sep</v>
      </c>
      <c r="Q908" s="23" t="str">
        <f>IF(F908="CAPTURE",IF(COUNTIF(orders!$A:$A,O908)&gt;0,"Yes","NO ORDER"),"")</f>
        <v>Yes</v>
      </c>
    </row>
    <row r="909" spans="1:17" ht="15" customHeight="1" x14ac:dyDescent="0.3">
      <c r="A909" s="23" t="s">
        <v>13470</v>
      </c>
      <c r="B909" s="23"/>
      <c r="C909" s="23" t="s">
        <v>785</v>
      </c>
      <c r="D909" s="23" t="str">
        <f t="shared" si="42"/>
        <v>ORD26000218</v>
      </c>
      <c r="E909" s="38">
        <v>46271</v>
      </c>
      <c r="F909" s="23" t="s">
        <v>12410</v>
      </c>
      <c r="G909" s="23" t="s">
        <v>79</v>
      </c>
      <c r="H909" s="24">
        <v>7997</v>
      </c>
      <c r="I909" s="24">
        <v>127.95</v>
      </c>
      <c r="J909" s="24">
        <v>23.03</v>
      </c>
      <c r="K909" s="24">
        <v>7846.02</v>
      </c>
      <c r="L909" s="38">
        <v>46273</v>
      </c>
      <c r="M909" s="23" t="s">
        <v>191</v>
      </c>
      <c r="N909" s="23" t="str">
        <f>IF(COUNTIF($A$2:A909,A909)&gt;1,"DUP","OK")</f>
        <v>OK</v>
      </c>
      <c r="O909" s="23" t="str">
        <f t="shared" si="43"/>
        <v>ORD26000218</v>
      </c>
      <c r="P909" s="23" t="str">
        <f t="shared" si="44"/>
        <v>Sep</v>
      </c>
      <c r="Q909" s="23" t="str">
        <f>IF(F909="CAPTURE",IF(COUNTIF(orders!$A:$A,O909)&gt;0,"Yes","NO ORDER"),"")</f>
        <v>Yes</v>
      </c>
    </row>
    <row r="910" spans="1:17" ht="15" customHeight="1" x14ac:dyDescent="0.3">
      <c r="A910" s="23" t="s">
        <v>13471</v>
      </c>
      <c r="B910" s="23"/>
      <c r="C910" s="23" t="s">
        <v>13472</v>
      </c>
      <c r="D910" s="23" t="str">
        <f t="shared" si="42"/>
        <v>ORD26000230</v>
      </c>
      <c r="E910" s="38">
        <v>46271</v>
      </c>
      <c r="F910" s="23" t="s">
        <v>12410</v>
      </c>
      <c r="G910" s="23" t="s">
        <v>75</v>
      </c>
      <c r="H910" s="24">
        <v>3848</v>
      </c>
      <c r="I910" s="24">
        <v>11.54</v>
      </c>
      <c r="J910" s="24">
        <v>2.08</v>
      </c>
      <c r="K910" s="24">
        <v>3834.38</v>
      </c>
      <c r="L910" s="38">
        <v>46273</v>
      </c>
      <c r="M910" s="23" t="s">
        <v>191</v>
      </c>
      <c r="N910" s="23" t="str">
        <f>IF(COUNTIF($A$2:A910,A910)&gt;1,"DUP","OK")</f>
        <v>OK</v>
      </c>
      <c r="O910" s="23" t="str">
        <f t="shared" si="43"/>
        <v>ORD26000230</v>
      </c>
      <c r="P910" s="23" t="str">
        <f t="shared" si="44"/>
        <v>Sep</v>
      </c>
      <c r="Q910" s="23" t="str">
        <f>IF(F910="CAPTURE",IF(COUNTIF(orders!$A:$A,O910)&gt;0,"Yes","NO ORDER"),"")</f>
        <v>Yes</v>
      </c>
    </row>
    <row r="911" spans="1:17" ht="15" customHeight="1" x14ac:dyDescent="0.3">
      <c r="A911" s="23" t="s">
        <v>13473</v>
      </c>
      <c r="B911" s="23"/>
      <c r="C911" s="23" t="s">
        <v>13474</v>
      </c>
      <c r="D911" s="23" t="str">
        <f t="shared" si="42"/>
        <v>ORD26000280</v>
      </c>
      <c r="E911" s="38">
        <v>46271</v>
      </c>
      <c r="F911" s="23" t="s">
        <v>12410</v>
      </c>
      <c r="G911" s="23" t="s">
        <v>81</v>
      </c>
      <c r="H911" s="24">
        <v>1299</v>
      </c>
      <c r="I911" s="24">
        <v>19.489999999999998</v>
      </c>
      <c r="J911" s="24">
        <v>3.51</v>
      </c>
      <c r="K911" s="24">
        <v>1276</v>
      </c>
      <c r="L911" s="38">
        <v>46273</v>
      </c>
      <c r="M911" s="23" t="s">
        <v>191</v>
      </c>
      <c r="N911" s="23" t="str">
        <f>IF(COUNTIF($A$2:A911,A911)&gt;1,"DUP","OK")</f>
        <v>OK</v>
      </c>
      <c r="O911" s="23" t="str">
        <f t="shared" si="43"/>
        <v>ORD26000280</v>
      </c>
      <c r="P911" s="23" t="str">
        <f t="shared" si="44"/>
        <v>Sep</v>
      </c>
      <c r="Q911" s="23" t="str">
        <f>IF(F911="CAPTURE",IF(COUNTIF(orders!$A:$A,O911)&gt;0,"Yes","NO ORDER"),"")</f>
        <v>Yes</v>
      </c>
    </row>
    <row r="912" spans="1:17" ht="15" customHeight="1" x14ac:dyDescent="0.3">
      <c r="A912" s="23" t="s">
        <v>13475</v>
      </c>
      <c r="B912" s="23"/>
      <c r="C912" s="23" t="s">
        <v>926</v>
      </c>
      <c r="D912" s="23" t="str">
        <f t="shared" si="42"/>
        <v>ORD26000281</v>
      </c>
      <c r="E912" s="38">
        <v>46271</v>
      </c>
      <c r="F912" s="23" t="s">
        <v>12410</v>
      </c>
      <c r="G912" s="23" t="s">
        <v>77</v>
      </c>
      <c r="H912" s="24">
        <v>499</v>
      </c>
      <c r="I912" s="24">
        <v>9.48</v>
      </c>
      <c r="J912" s="24">
        <v>1.71</v>
      </c>
      <c r="K912" s="24">
        <v>487.81</v>
      </c>
      <c r="L912" s="38">
        <v>46273</v>
      </c>
      <c r="M912" s="23" t="s">
        <v>191</v>
      </c>
      <c r="N912" s="23" t="str">
        <f>IF(COUNTIF($A$2:A912,A912)&gt;1,"DUP","OK")</f>
        <v>OK</v>
      </c>
      <c r="O912" s="23" t="str">
        <f t="shared" si="43"/>
        <v>ORD26000281</v>
      </c>
      <c r="P912" s="23" t="str">
        <f t="shared" si="44"/>
        <v>Sep</v>
      </c>
      <c r="Q912" s="23" t="str">
        <f>IF(F912="CAPTURE",IF(COUNTIF(orders!$A:$A,O912)&gt;0,"Yes","NO ORDER"),"")</f>
        <v>Yes</v>
      </c>
    </row>
    <row r="913" spans="1:17" ht="15" customHeight="1" x14ac:dyDescent="0.3">
      <c r="A913" s="23" t="s">
        <v>13476</v>
      </c>
      <c r="B913" s="23"/>
      <c r="C913" s="23" t="s">
        <v>1151</v>
      </c>
      <c r="D913" s="23" t="str">
        <f t="shared" si="42"/>
        <v>ORD26000384</v>
      </c>
      <c r="E913" s="38">
        <v>46271</v>
      </c>
      <c r="F913" s="23" t="s">
        <v>12410</v>
      </c>
      <c r="G913" s="23" t="s">
        <v>79</v>
      </c>
      <c r="H913" s="24">
        <v>9647</v>
      </c>
      <c r="I913" s="24">
        <v>154.35</v>
      </c>
      <c r="J913" s="24">
        <v>27.78</v>
      </c>
      <c r="K913" s="24">
        <v>9464.8700000000008</v>
      </c>
      <c r="L913" s="38">
        <v>46273</v>
      </c>
      <c r="M913" s="23" t="s">
        <v>191</v>
      </c>
      <c r="N913" s="23" t="str">
        <f>IF(COUNTIF($A$2:A913,A913)&gt;1,"DUP","OK")</f>
        <v>OK</v>
      </c>
      <c r="O913" s="23" t="str">
        <f t="shared" si="43"/>
        <v>ORD26000384</v>
      </c>
      <c r="P913" s="23" t="str">
        <f t="shared" si="44"/>
        <v>Sep</v>
      </c>
      <c r="Q913" s="23" t="str">
        <f>IF(F913="CAPTURE",IF(COUNTIF(orders!$A:$A,O913)&gt;0,"Yes","NO ORDER"),"")</f>
        <v>Yes</v>
      </c>
    </row>
    <row r="914" spans="1:17" ht="15" customHeight="1" x14ac:dyDescent="0.3">
      <c r="A914" s="23" t="s">
        <v>13477</v>
      </c>
      <c r="B914" s="23"/>
      <c r="C914" s="23" t="s">
        <v>1184</v>
      </c>
      <c r="D914" s="23" t="str">
        <f t="shared" si="42"/>
        <v>ORD26000400</v>
      </c>
      <c r="E914" s="38">
        <v>46271</v>
      </c>
      <c r="F914" s="23" t="s">
        <v>12410</v>
      </c>
      <c r="G914" s="23" t="s">
        <v>79</v>
      </c>
      <c r="H914" s="24">
        <v>999</v>
      </c>
      <c r="I914" s="24">
        <v>17.98</v>
      </c>
      <c r="J914" s="24">
        <v>3.24</v>
      </c>
      <c r="K914" s="24">
        <v>977.78</v>
      </c>
      <c r="L914" s="38">
        <v>46273</v>
      </c>
      <c r="M914" s="23" t="s">
        <v>191</v>
      </c>
      <c r="N914" s="23" t="str">
        <f>IF(COUNTIF($A$2:A914,A914)&gt;1,"DUP","OK")</f>
        <v>OK</v>
      </c>
      <c r="O914" s="23" t="str">
        <f t="shared" si="43"/>
        <v>ORD26000400</v>
      </c>
      <c r="P914" s="23" t="str">
        <f t="shared" si="44"/>
        <v>Sep</v>
      </c>
      <c r="Q914" s="23" t="str">
        <f>IF(F914="CAPTURE",IF(COUNTIF(orders!$A:$A,O914)&gt;0,"Yes","NO ORDER"),"")</f>
        <v>Yes</v>
      </c>
    </row>
    <row r="915" spans="1:17" ht="15" customHeight="1" x14ac:dyDescent="0.3">
      <c r="A915" s="23" t="s">
        <v>13478</v>
      </c>
      <c r="B915" s="23"/>
      <c r="C915" s="23" t="s">
        <v>1186</v>
      </c>
      <c r="D915" s="23" t="str">
        <f t="shared" si="42"/>
        <v>ORD26000401</v>
      </c>
      <c r="E915" s="38">
        <v>46271</v>
      </c>
      <c r="F915" s="23" t="s">
        <v>12410</v>
      </c>
      <c r="G915" s="23" t="s">
        <v>79</v>
      </c>
      <c r="H915" s="24">
        <v>1798</v>
      </c>
      <c r="I915" s="24">
        <v>32.36</v>
      </c>
      <c r="J915" s="24">
        <v>5.82</v>
      </c>
      <c r="K915" s="24">
        <v>1759.82</v>
      </c>
      <c r="L915" s="38">
        <v>46273</v>
      </c>
      <c r="M915" s="23" t="s">
        <v>191</v>
      </c>
      <c r="N915" s="23" t="str">
        <f>IF(COUNTIF($A$2:A915,A915)&gt;1,"DUP","OK")</f>
        <v>OK</v>
      </c>
      <c r="O915" s="23" t="str">
        <f t="shared" si="43"/>
        <v>ORD26000401</v>
      </c>
      <c r="P915" s="23" t="str">
        <f t="shared" si="44"/>
        <v>Sep</v>
      </c>
      <c r="Q915" s="23" t="str">
        <f>IF(F915="CAPTURE",IF(COUNTIF(orders!$A:$A,O915)&gt;0,"Yes","NO ORDER"),"")</f>
        <v>Yes</v>
      </c>
    </row>
    <row r="916" spans="1:17" ht="15" customHeight="1" x14ac:dyDescent="0.3">
      <c r="A916" s="23" t="s">
        <v>13479</v>
      </c>
      <c r="B916" s="23"/>
      <c r="C916" s="23" t="s">
        <v>1223</v>
      </c>
      <c r="D916" s="23" t="str">
        <f t="shared" si="42"/>
        <v>ORD26000417</v>
      </c>
      <c r="E916" s="38">
        <v>46271</v>
      </c>
      <c r="F916" s="23" t="s">
        <v>12410</v>
      </c>
      <c r="G916" s="23" t="s">
        <v>77</v>
      </c>
      <c r="H916" s="24">
        <v>1498</v>
      </c>
      <c r="I916" s="24">
        <v>28.46</v>
      </c>
      <c r="J916" s="24">
        <v>5.12</v>
      </c>
      <c r="K916" s="24">
        <v>1464.42</v>
      </c>
      <c r="L916" s="38">
        <v>46273</v>
      </c>
      <c r="M916" s="23" t="s">
        <v>191</v>
      </c>
      <c r="N916" s="23" t="str">
        <f>IF(COUNTIF($A$2:A916,A916)&gt;1,"DUP","OK")</f>
        <v>OK</v>
      </c>
      <c r="O916" s="23" t="str">
        <f t="shared" si="43"/>
        <v>ORD26000417</v>
      </c>
      <c r="P916" s="23" t="str">
        <f t="shared" si="44"/>
        <v>Sep</v>
      </c>
      <c r="Q916" s="23" t="str">
        <f>IF(F916="CAPTURE",IF(COUNTIF(orders!$A:$A,O916)&gt;0,"Yes","NO ORDER"),"")</f>
        <v>Yes</v>
      </c>
    </row>
    <row r="917" spans="1:17" ht="15" customHeight="1" x14ac:dyDescent="0.3">
      <c r="A917" s="23" t="s">
        <v>13480</v>
      </c>
      <c r="B917" s="23"/>
      <c r="C917" s="23" t="s">
        <v>1241</v>
      </c>
      <c r="D917" s="23" t="str">
        <f t="shared" si="42"/>
        <v>ORD26000425</v>
      </c>
      <c r="E917" s="38">
        <v>46271</v>
      </c>
      <c r="F917" s="23" t="s">
        <v>12410</v>
      </c>
      <c r="G917" s="23" t="s">
        <v>75</v>
      </c>
      <c r="H917" s="24">
        <v>3499</v>
      </c>
      <c r="I917" s="24">
        <v>10.5</v>
      </c>
      <c r="J917" s="24">
        <v>1.89</v>
      </c>
      <c r="K917" s="24">
        <v>3486.61</v>
      </c>
      <c r="L917" s="38">
        <v>46273</v>
      </c>
      <c r="M917" s="23" t="s">
        <v>191</v>
      </c>
      <c r="N917" s="23" t="str">
        <f>IF(COUNTIF($A$2:A917,A917)&gt;1,"DUP","OK")</f>
        <v>OK</v>
      </c>
      <c r="O917" s="23" t="str">
        <f t="shared" si="43"/>
        <v>ORD26000425</v>
      </c>
      <c r="P917" s="23" t="str">
        <f t="shared" si="44"/>
        <v>Sep</v>
      </c>
      <c r="Q917" s="23" t="str">
        <f>IF(F917="CAPTURE",IF(COUNTIF(orders!$A:$A,O917)&gt;0,"Yes","NO ORDER"),"")</f>
        <v>Yes</v>
      </c>
    </row>
    <row r="918" spans="1:17" ht="15" customHeight="1" x14ac:dyDescent="0.3">
      <c r="A918" s="23" t="s">
        <v>13481</v>
      </c>
      <c r="B918" s="23"/>
      <c r="C918" s="23" t="s">
        <v>1274</v>
      </c>
      <c r="D918" s="23" t="str">
        <f t="shared" si="42"/>
        <v>ORD26000441</v>
      </c>
      <c r="E918" s="38">
        <v>46271</v>
      </c>
      <c r="F918" s="23" t="s">
        <v>12410</v>
      </c>
      <c r="G918" s="23" t="s">
        <v>79</v>
      </c>
      <c r="H918" s="24">
        <v>9597</v>
      </c>
      <c r="I918" s="24">
        <v>153.55000000000001</v>
      </c>
      <c r="J918" s="24">
        <v>27.64</v>
      </c>
      <c r="K918" s="24">
        <v>9415.81</v>
      </c>
      <c r="L918" s="38">
        <v>46273</v>
      </c>
      <c r="M918" s="23" t="s">
        <v>191</v>
      </c>
      <c r="N918" s="23" t="str">
        <f>IF(COUNTIF($A$2:A918,A918)&gt;1,"DUP","OK")</f>
        <v>OK</v>
      </c>
      <c r="O918" s="23" t="str">
        <f t="shared" si="43"/>
        <v>ORD26000441</v>
      </c>
      <c r="P918" s="23" t="str">
        <f t="shared" si="44"/>
        <v>Sep</v>
      </c>
      <c r="Q918" s="23" t="str">
        <f>IF(F918="CAPTURE",IF(COUNTIF(orders!$A:$A,O918)&gt;0,"Yes","NO ORDER"),"")</f>
        <v>Yes</v>
      </c>
    </row>
    <row r="919" spans="1:17" ht="15" customHeight="1" x14ac:dyDescent="0.3">
      <c r="A919" s="23" t="s">
        <v>13482</v>
      </c>
      <c r="B919" s="23"/>
      <c r="C919" s="23" t="s">
        <v>1309</v>
      </c>
      <c r="D919" s="23" t="str">
        <f t="shared" si="42"/>
        <v>ORD26000457</v>
      </c>
      <c r="E919" s="38">
        <v>46271</v>
      </c>
      <c r="F919" s="23" t="s">
        <v>12410</v>
      </c>
      <c r="G919" s="23" t="s">
        <v>75</v>
      </c>
      <c r="H919" s="24">
        <v>2499</v>
      </c>
      <c r="I919" s="24">
        <v>7.5</v>
      </c>
      <c r="J919" s="24">
        <v>1.35</v>
      </c>
      <c r="K919" s="24">
        <v>2490.15</v>
      </c>
      <c r="L919" s="38">
        <v>46273</v>
      </c>
      <c r="M919" s="23" t="s">
        <v>191</v>
      </c>
      <c r="N919" s="23" t="str">
        <f>IF(COUNTIF($A$2:A919,A919)&gt;1,"DUP","OK")</f>
        <v>OK</v>
      </c>
      <c r="O919" s="23" t="str">
        <f t="shared" si="43"/>
        <v>ORD26000457</v>
      </c>
      <c r="P919" s="23" t="str">
        <f t="shared" si="44"/>
        <v>Sep</v>
      </c>
      <c r="Q919" s="23" t="str">
        <f>IF(F919="CAPTURE",IF(COUNTIF(orders!$A:$A,O919)&gt;0,"Yes","NO ORDER"),"")</f>
        <v>Yes</v>
      </c>
    </row>
    <row r="920" spans="1:17" ht="15" customHeight="1" x14ac:dyDescent="0.3">
      <c r="A920" s="23" t="s">
        <v>13483</v>
      </c>
      <c r="B920" s="23"/>
      <c r="C920" s="23" t="s">
        <v>1382</v>
      </c>
      <c r="D920" s="23" t="str">
        <f t="shared" si="42"/>
        <v>ORD26000490</v>
      </c>
      <c r="E920" s="38">
        <v>46271</v>
      </c>
      <c r="F920" s="23" t="s">
        <v>12410</v>
      </c>
      <c r="G920" s="23" t="s">
        <v>75</v>
      </c>
      <c r="H920" s="24">
        <v>499</v>
      </c>
      <c r="I920" s="24">
        <v>0</v>
      </c>
      <c r="J920" s="24">
        <v>0</v>
      </c>
      <c r="K920" s="24">
        <v>499</v>
      </c>
      <c r="L920" s="38">
        <v>46273</v>
      </c>
      <c r="M920" s="23" t="s">
        <v>191</v>
      </c>
      <c r="N920" s="23" t="str">
        <f>IF(COUNTIF($A$2:A920,A920)&gt;1,"DUP","OK")</f>
        <v>OK</v>
      </c>
      <c r="O920" s="23" t="str">
        <f t="shared" si="43"/>
        <v>ORD26000490</v>
      </c>
      <c r="P920" s="23" t="str">
        <f t="shared" si="44"/>
        <v>Sep</v>
      </c>
      <c r="Q920" s="23" t="str">
        <f>IF(F920="CAPTURE",IF(COUNTIF(orders!$A:$A,O920)&gt;0,"Yes","NO ORDER"),"")</f>
        <v>Yes</v>
      </c>
    </row>
    <row r="921" spans="1:17" ht="15" customHeight="1" x14ac:dyDescent="0.3">
      <c r="A921" s="23" t="s">
        <v>13484</v>
      </c>
      <c r="B921" s="23"/>
      <c r="C921" s="23" t="s">
        <v>1386</v>
      </c>
      <c r="D921" s="23" t="str">
        <f t="shared" si="42"/>
        <v>ORD26000492</v>
      </c>
      <c r="E921" s="38">
        <v>46271</v>
      </c>
      <c r="F921" s="23" t="s">
        <v>12410</v>
      </c>
      <c r="G921" s="23" t="s">
        <v>75</v>
      </c>
      <c r="H921" s="24">
        <v>12297</v>
      </c>
      <c r="I921" s="24">
        <v>36.89</v>
      </c>
      <c r="J921" s="24">
        <v>6.64</v>
      </c>
      <c r="K921" s="24">
        <v>12253.47</v>
      </c>
      <c r="L921" s="38">
        <v>46273</v>
      </c>
      <c r="M921" s="23" t="s">
        <v>191</v>
      </c>
      <c r="N921" s="23" t="str">
        <f>IF(COUNTIF($A$2:A921,A921)&gt;1,"DUP","OK")</f>
        <v>OK</v>
      </c>
      <c r="O921" s="23" t="str">
        <f t="shared" si="43"/>
        <v>ORD26000492</v>
      </c>
      <c r="P921" s="23" t="str">
        <f t="shared" si="44"/>
        <v>Sep</v>
      </c>
      <c r="Q921" s="23" t="str">
        <f>IF(F921="CAPTURE",IF(COUNTIF(orders!$A:$A,O921)&gt;0,"Yes","NO ORDER"),"")</f>
        <v>Yes</v>
      </c>
    </row>
    <row r="922" spans="1:17" ht="15" customHeight="1" x14ac:dyDescent="0.3">
      <c r="A922" s="23" t="s">
        <v>13485</v>
      </c>
      <c r="B922" s="23"/>
      <c r="C922" s="23" t="s">
        <v>1446</v>
      </c>
      <c r="D922" s="23" t="str">
        <f t="shared" si="42"/>
        <v>ORD26000518</v>
      </c>
      <c r="E922" s="38">
        <v>46271</v>
      </c>
      <c r="F922" s="23" t="s">
        <v>12410</v>
      </c>
      <c r="G922" s="23" t="s">
        <v>77</v>
      </c>
      <c r="H922" s="24">
        <v>6297</v>
      </c>
      <c r="I922" s="24">
        <v>107.05</v>
      </c>
      <c r="J922" s="24">
        <v>19.27</v>
      </c>
      <c r="K922" s="24">
        <v>6170.68</v>
      </c>
      <c r="L922" s="38">
        <v>46273</v>
      </c>
      <c r="M922" s="23" t="s">
        <v>191</v>
      </c>
      <c r="N922" s="23" t="str">
        <f>IF(COUNTIF($A$2:A922,A922)&gt;1,"DUP","OK")</f>
        <v>OK</v>
      </c>
      <c r="O922" s="23" t="str">
        <f t="shared" si="43"/>
        <v>ORD26000518</v>
      </c>
      <c r="P922" s="23" t="str">
        <f t="shared" si="44"/>
        <v>Sep</v>
      </c>
      <c r="Q922" s="23" t="str">
        <f>IF(F922="CAPTURE",IF(COUNTIF(orders!$A:$A,O922)&gt;0,"Yes","NO ORDER"),"")</f>
        <v>Yes</v>
      </c>
    </row>
    <row r="923" spans="1:17" ht="15" customHeight="1" x14ac:dyDescent="0.3">
      <c r="A923" s="23" t="s">
        <v>13486</v>
      </c>
      <c r="B923" s="23"/>
      <c r="C923" s="23" t="s">
        <v>1449</v>
      </c>
      <c r="D923" s="23" t="str">
        <f t="shared" si="42"/>
        <v>ORD26000519</v>
      </c>
      <c r="E923" s="38">
        <v>46271</v>
      </c>
      <c r="F923" s="23" t="s">
        <v>12410</v>
      </c>
      <c r="G923" s="23" t="s">
        <v>75</v>
      </c>
      <c r="H923" s="24">
        <v>5998</v>
      </c>
      <c r="I923" s="24">
        <v>17.989999999999998</v>
      </c>
      <c r="J923" s="24">
        <v>3.24</v>
      </c>
      <c r="K923" s="24">
        <v>5976.77</v>
      </c>
      <c r="L923" s="38">
        <v>46273</v>
      </c>
      <c r="M923" s="23" t="s">
        <v>191</v>
      </c>
      <c r="N923" s="23" t="str">
        <f>IF(COUNTIF($A$2:A923,A923)&gt;1,"DUP","OK")</f>
        <v>OK</v>
      </c>
      <c r="O923" s="23" t="str">
        <f t="shared" si="43"/>
        <v>ORD26000519</v>
      </c>
      <c r="P923" s="23" t="str">
        <f t="shared" si="44"/>
        <v>Sep</v>
      </c>
      <c r="Q923" s="23" t="str">
        <f>IF(F923="CAPTURE",IF(COUNTIF(orders!$A:$A,O923)&gt;0,"Yes","NO ORDER"),"")</f>
        <v>Yes</v>
      </c>
    </row>
    <row r="924" spans="1:17" ht="15" customHeight="1" x14ac:dyDescent="0.3">
      <c r="A924" s="23" t="s">
        <v>13487</v>
      </c>
      <c r="B924" s="23"/>
      <c r="C924" s="23" t="s">
        <v>1496</v>
      </c>
      <c r="D924" s="23" t="str">
        <f t="shared" si="42"/>
        <v>ORD26000541</v>
      </c>
      <c r="E924" s="38">
        <v>46271</v>
      </c>
      <c r="F924" s="23" t="s">
        <v>12410</v>
      </c>
      <c r="G924" s="23" t="s">
        <v>75</v>
      </c>
      <c r="H924" s="24">
        <v>599</v>
      </c>
      <c r="I924" s="24">
        <v>0</v>
      </c>
      <c r="J924" s="24">
        <v>0</v>
      </c>
      <c r="K924" s="24">
        <v>599</v>
      </c>
      <c r="L924" s="38">
        <v>46273</v>
      </c>
      <c r="M924" s="23" t="s">
        <v>191</v>
      </c>
      <c r="N924" s="23" t="str">
        <f>IF(COUNTIF($A$2:A924,A924)&gt;1,"DUP","OK")</f>
        <v>OK</v>
      </c>
      <c r="O924" s="23" t="str">
        <f t="shared" si="43"/>
        <v>ORD26000541</v>
      </c>
      <c r="P924" s="23" t="str">
        <f t="shared" si="44"/>
        <v>Sep</v>
      </c>
      <c r="Q924" s="23" t="str">
        <f>IF(F924="CAPTURE",IF(COUNTIF(orders!$A:$A,O924)&gt;0,"Yes","NO ORDER"),"")</f>
        <v>Yes</v>
      </c>
    </row>
    <row r="925" spans="1:17" ht="15" customHeight="1" x14ac:dyDescent="0.3">
      <c r="A925" s="23" t="s">
        <v>13488</v>
      </c>
      <c r="B925" s="23"/>
      <c r="C925" s="23" t="s">
        <v>13489</v>
      </c>
      <c r="D925" s="23" t="str">
        <f t="shared" si="42"/>
        <v>ORD26000626</v>
      </c>
      <c r="E925" s="38">
        <v>46271</v>
      </c>
      <c r="F925" s="23" t="s">
        <v>12410</v>
      </c>
      <c r="G925" s="23" t="s">
        <v>79</v>
      </c>
      <c r="H925" s="24">
        <v>8847</v>
      </c>
      <c r="I925" s="24">
        <v>141.55000000000001</v>
      </c>
      <c r="J925" s="24">
        <v>25.48</v>
      </c>
      <c r="K925" s="24">
        <v>8679.9699999999993</v>
      </c>
      <c r="L925" s="38">
        <v>46273</v>
      </c>
      <c r="M925" s="23" t="s">
        <v>191</v>
      </c>
      <c r="N925" s="23" t="str">
        <f>IF(COUNTIF($A$2:A925,A925)&gt;1,"DUP","OK")</f>
        <v>OK</v>
      </c>
      <c r="O925" s="23" t="str">
        <f t="shared" si="43"/>
        <v>ORD26000626</v>
      </c>
      <c r="P925" s="23" t="str">
        <f t="shared" si="44"/>
        <v>Sep</v>
      </c>
      <c r="Q925" s="23" t="str">
        <f>IF(F925="CAPTURE",IF(COUNTIF(orders!$A:$A,O925)&gt;0,"Yes","NO ORDER"),"")</f>
        <v>Yes</v>
      </c>
    </row>
    <row r="926" spans="1:17" ht="15" customHeight="1" x14ac:dyDescent="0.3">
      <c r="A926" s="23" t="s">
        <v>13490</v>
      </c>
      <c r="B926" s="23"/>
      <c r="C926" s="23" t="s">
        <v>13491</v>
      </c>
      <c r="D926" s="23" t="str">
        <f t="shared" si="42"/>
        <v>ORD26000643</v>
      </c>
      <c r="E926" s="38">
        <v>46271</v>
      </c>
      <c r="F926" s="23" t="s">
        <v>12410</v>
      </c>
      <c r="G926" s="23" t="s">
        <v>75</v>
      </c>
      <c r="H926" s="24">
        <v>8798</v>
      </c>
      <c r="I926" s="24">
        <v>26.39</v>
      </c>
      <c r="J926" s="24">
        <v>4.75</v>
      </c>
      <c r="K926" s="24">
        <v>8766.86</v>
      </c>
      <c r="L926" s="38">
        <v>46273</v>
      </c>
      <c r="M926" s="23" t="s">
        <v>191</v>
      </c>
      <c r="N926" s="23" t="str">
        <f>IF(COUNTIF($A$2:A926,A926)&gt;1,"DUP","OK")</f>
        <v>OK</v>
      </c>
      <c r="O926" s="23" t="str">
        <f t="shared" si="43"/>
        <v>ORD26000643</v>
      </c>
      <c r="P926" s="23" t="str">
        <f t="shared" si="44"/>
        <v>Sep</v>
      </c>
      <c r="Q926" s="23" t="str">
        <f>IF(F926="CAPTURE",IF(COUNTIF(orders!$A:$A,O926)&gt;0,"Yes","NO ORDER"),"")</f>
        <v>Yes</v>
      </c>
    </row>
    <row r="927" spans="1:17" ht="15" customHeight="1" x14ac:dyDescent="0.3">
      <c r="A927" s="23" t="s">
        <v>13492</v>
      </c>
      <c r="B927" s="23"/>
      <c r="C927" s="23" t="s">
        <v>1723</v>
      </c>
      <c r="D927" s="23" t="str">
        <f t="shared" si="42"/>
        <v>ORD26000646</v>
      </c>
      <c r="E927" s="38">
        <v>46271</v>
      </c>
      <c r="F927" s="23" t="s">
        <v>12410</v>
      </c>
      <c r="G927" s="23" t="s">
        <v>75</v>
      </c>
      <c r="H927" s="24">
        <v>5348</v>
      </c>
      <c r="I927" s="24">
        <v>16.04</v>
      </c>
      <c r="J927" s="24">
        <v>2.89</v>
      </c>
      <c r="K927" s="24">
        <v>5329.07</v>
      </c>
      <c r="L927" s="38">
        <v>46273</v>
      </c>
      <c r="M927" s="23" t="s">
        <v>191</v>
      </c>
      <c r="N927" s="23" t="str">
        <f>IF(COUNTIF($A$2:A927,A927)&gt;1,"DUP","OK")</f>
        <v>OK</v>
      </c>
      <c r="O927" s="23" t="str">
        <f t="shared" si="43"/>
        <v>ORD26000646</v>
      </c>
      <c r="P927" s="23" t="str">
        <f t="shared" si="44"/>
        <v>Sep</v>
      </c>
      <c r="Q927" s="23" t="str">
        <f>IF(F927="CAPTURE",IF(COUNTIF(orders!$A:$A,O927)&gt;0,"Yes","NO ORDER"),"")</f>
        <v>Yes</v>
      </c>
    </row>
    <row r="928" spans="1:17" ht="15" customHeight="1" x14ac:dyDescent="0.3">
      <c r="A928" s="23" t="s">
        <v>13493</v>
      </c>
      <c r="B928" s="23"/>
      <c r="C928" s="23" t="s">
        <v>1744</v>
      </c>
      <c r="D928" s="23" t="str">
        <f t="shared" si="42"/>
        <v>ORD26000656</v>
      </c>
      <c r="E928" s="38">
        <v>46271</v>
      </c>
      <c r="F928" s="23" t="s">
        <v>12410</v>
      </c>
      <c r="G928" s="23" t="s">
        <v>81</v>
      </c>
      <c r="H928" s="24">
        <v>1799</v>
      </c>
      <c r="I928" s="24">
        <v>26.99</v>
      </c>
      <c r="J928" s="24">
        <v>4.8600000000000003</v>
      </c>
      <c r="K928" s="24">
        <v>1767.15</v>
      </c>
      <c r="L928" s="38">
        <v>46273</v>
      </c>
      <c r="M928" s="23" t="s">
        <v>191</v>
      </c>
      <c r="N928" s="23" t="str">
        <f>IF(COUNTIF($A$2:A928,A928)&gt;1,"DUP","OK")</f>
        <v>OK</v>
      </c>
      <c r="O928" s="23" t="str">
        <f t="shared" si="43"/>
        <v>ORD26000656</v>
      </c>
      <c r="P928" s="23" t="str">
        <f t="shared" si="44"/>
        <v>Sep</v>
      </c>
      <c r="Q928" s="23" t="str">
        <f>IF(F928="CAPTURE",IF(COUNTIF(orders!$A:$A,O928)&gt;0,"Yes","NO ORDER"),"")</f>
        <v>Yes</v>
      </c>
    </row>
    <row r="929" spans="1:17" ht="15" customHeight="1" x14ac:dyDescent="0.3">
      <c r="A929" s="23" t="s">
        <v>13494</v>
      </c>
      <c r="B929" s="23"/>
      <c r="C929" s="23" t="s">
        <v>1863</v>
      </c>
      <c r="D929" s="23" t="str">
        <f t="shared" si="42"/>
        <v>ORD26000712</v>
      </c>
      <c r="E929" s="38">
        <v>46271</v>
      </c>
      <c r="F929" s="23" t="s">
        <v>12410</v>
      </c>
      <c r="G929" s="23" t="s">
        <v>81</v>
      </c>
      <c r="H929" s="24">
        <v>3298</v>
      </c>
      <c r="I929" s="24">
        <v>39.58</v>
      </c>
      <c r="J929" s="24">
        <v>7.12</v>
      </c>
      <c r="K929" s="24">
        <v>3251.3</v>
      </c>
      <c r="L929" s="38">
        <v>46273</v>
      </c>
      <c r="M929" s="23" t="s">
        <v>191</v>
      </c>
      <c r="N929" s="23" t="str">
        <f>IF(COUNTIF($A$2:A929,A929)&gt;1,"DUP","OK")</f>
        <v>OK</v>
      </c>
      <c r="O929" s="23" t="str">
        <f t="shared" si="43"/>
        <v>ORD26000712</v>
      </c>
      <c r="P929" s="23" t="str">
        <f t="shared" si="44"/>
        <v>Sep</v>
      </c>
      <c r="Q929" s="23" t="str">
        <f>IF(F929="CAPTURE",IF(COUNTIF(orders!$A:$A,O929)&gt;0,"Yes","NO ORDER"),"")</f>
        <v>Yes</v>
      </c>
    </row>
    <row r="930" spans="1:17" ht="15" customHeight="1" x14ac:dyDescent="0.3">
      <c r="A930" s="23" t="s">
        <v>13495</v>
      </c>
      <c r="B930" s="23"/>
      <c r="C930" s="23" t="s">
        <v>1873</v>
      </c>
      <c r="D930" s="23" t="str">
        <f t="shared" si="42"/>
        <v>ORD26000717</v>
      </c>
      <c r="E930" s="38">
        <v>46271</v>
      </c>
      <c r="F930" s="23" t="s">
        <v>12410</v>
      </c>
      <c r="G930" s="23" t="s">
        <v>77</v>
      </c>
      <c r="H930" s="24">
        <v>1897</v>
      </c>
      <c r="I930" s="24">
        <v>36.04</v>
      </c>
      <c r="J930" s="24">
        <v>6.49</v>
      </c>
      <c r="K930" s="24">
        <v>1854.47</v>
      </c>
      <c r="L930" s="38">
        <v>46273</v>
      </c>
      <c r="M930" s="23" t="s">
        <v>191</v>
      </c>
      <c r="N930" s="23" t="str">
        <f>IF(COUNTIF($A$2:A930,A930)&gt;1,"DUP","OK")</f>
        <v>OK</v>
      </c>
      <c r="O930" s="23" t="str">
        <f t="shared" si="43"/>
        <v>ORD26000717</v>
      </c>
      <c r="P930" s="23" t="str">
        <f t="shared" si="44"/>
        <v>Sep</v>
      </c>
      <c r="Q930" s="23" t="str">
        <f>IF(F930="CAPTURE",IF(COUNTIF(orders!$A:$A,O930)&gt;0,"Yes","NO ORDER"),"")</f>
        <v>Yes</v>
      </c>
    </row>
    <row r="931" spans="1:17" ht="15" customHeight="1" x14ac:dyDescent="0.3">
      <c r="A931" s="23" t="s">
        <v>13496</v>
      </c>
      <c r="B931" s="23"/>
      <c r="C931" s="23" t="s">
        <v>13497</v>
      </c>
      <c r="D931" s="23" t="str">
        <f t="shared" si="42"/>
        <v>ORD26000781</v>
      </c>
      <c r="E931" s="38">
        <v>46271</v>
      </c>
      <c r="F931" s="23" t="s">
        <v>12410</v>
      </c>
      <c r="G931" s="23" t="s">
        <v>75</v>
      </c>
      <c r="H931" s="24">
        <v>4999</v>
      </c>
      <c r="I931" s="24">
        <v>15</v>
      </c>
      <c r="J931" s="24">
        <v>2.7</v>
      </c>
      <c r="K931" s="24">
        <v>4981.3</v>
      </c>
      <c r="L931" s="38">
        <v>46273</v>
      </c>
      <c r="M931" s="23" t="s">
        <v>191</v>
      </c>
      <c r="N931" s="23" t="str">
        <f>IF(COUNTIF($A$2:A931,A931)&gt;1,"DUP","OK")</f>
        <v>OK</v>
      </c>
      <c r="O931" s="23" t="str">
        <f t="shared" si="43"/>
        <v>ORD26000781</v>
      </c>
      <c r="P931" s="23" t="str">
        <f t="shared" si="44"/>
        <v>Sep</v>
      </c>
      <c r="Q931" s="23" t="str">
        <f>IF(F931="CAPTURE",IF(COUNTIF(orders!$A:$A,O931)&gt;0,"Yes","NO ORDER"),"")</f>
        <v>Yes</v>
      </c>
    </row>
    <row r="932" spans="1:17" ht="15" customHeight="1" x14ac:dyDescent="0.3">
      <c r="A932" s="23" t="s">
        <v>13498</v>
      </c>
      <c r="B932" s="23"/>
      <c r="C932" s="23" t="s">
        <v>2189</v>
      </c>
      <c r="D932" s="23" t="str">
        <f t="shared" si="42"/>
        <v>ORD26000868</v>
      </c>
      <c r="E932" s="38">
        <v>46271</v>
      </c>
      <c r="F932" s="23" t="s">
        <v>12410</v>
      </c>
      <c r="G932" s="23" t="s">
        <v>75</v>
      </c>
      <c r="H932" s="24">
        <v>299</v>
      </c>
      <c r="I932" s="24">
        <v>0</v>
      </c>
      <c r="J932" s="24">
        <v>0</v>
      </c>
      <c r="K932" s="24">
        <v>299</v>
      </c>
      <c r="L932" s="38">
        <v>46273</v>
      </c>
      <c r="M932" s="23" t="s">
        <v>191</v>
      </c>
      <c r="N932" s="23" t="str">
        <f>IF(COUNTIF($A$2:A932,A932)&gt;1,"DUP","OK")</f>
        <v>OK</v>
      </c>
      <c r="O932" s="23" t="str">
        <f t="shared" si="43"/>
        <v>ORD26000868</v>
      </c>
      <c r="P932" s="23" t="str">
        <f t="shared" si="44"/>
        <v>Sep</v>
      </c>
      <c r="Q932" s="23" t="str">
        <f>IF(F932="CAPTURE",IF(COUNTIF(orders!$A:$A,O932)&gt;0,"Yes","NO ORDER"),"")</f>
        <v>Yes</v>
      </c>
    </row>
    <row r="933" spans="1:17" ht="15" customHeight="1" x14ac:dyDescent="0.3">
      <c r="A933" s="23" t="s">
        <v>13499</v>
      </c>
      <c r="B933" s="23"/>
      <c r="C933" s="23" t="s">
        <v>2199</v>
      </c>
      <c r="D933" s="23" t="str">
        <f t="shared" si="42"/>
        <v>ORD26000873</v>
      </c>
      <c r="E933" s="38">
        <v>46271</v>
      </c>
      <c r="F933" s="23" t="s">
        <v>12410</v>
      </c>
      <c r="G933" s="23" t="s">
        <v>75</v>
      </c>
      <c r="H933" s="24">
        <v>3499</v>
      </c>
      <c r="I933" s="24">
        <v>10.5</v>
      </c>
      <c r="J933" s="24">
        <v>1.89</v>
      </c>
      <c r="K933" s="24">
        <v>3486.61</v>
      </c>
      <c r="L933" s="38">
        <v>46273</v>
      </c>
      <c r="M933" s="23" t="s">
        <v>191</v>
      </c>
      <c r="N933" s="23" t="str">
        <f>IF(COUNTIF($A$2:A933,A933)&gt;1,"DUP","OK")</f>
        <v>OK</v>
      </c>
      <c r="O933" s="23" t="str">
        <f t="shared" si="43"/>
        <v>ORD26000873</v>
      </c>
      <c r="P933" s="23" t="str">
        <f t="shared" si="44"/>
        <v>Sep</v>
      </c>
      <c r="Q933" s="23" t="str">
        <f>IF(F933="CAPTURE",IF(COUNTIF(orders!$A:$A,O933)&gt;0,"Yes","NO ORDER"),"")</f>
        <v>Yes</v>
      </c>
    </row>
    <row r="934" spans="1:17" ht="15" customHeight="1" x14ac:dyDescent="0.3">
      <c r="A934" s="23" t="s">
        <v>13500</v>
      </c>
      <c r="B934" s="23"/>
      <c r="C934" s="23" t="s">
        <v>2271</v>
      </c>
      <c r="D934" s="23" t="str">
        <f t="shared" si="42"/>
        <v>ORD26000908</v>
      </c>
      <c r="E934" s="38">
        <v>46271</v>
      </c>
      <c r="F934" s="23" t="s">
        <v>12410</v>
      </c>
      <c r="G934" s="23" t="s">
        <v>75</v>
      </c>
      <c r="H934" s="24">
        <v>8997</v>
      </c>
      <c r="I934" s="24">
        <v>26.99</v>
      </c>
      <c r="J934" s="24">
        <v>4.8600000000000003</v>
      </c>
      <c r="K934" s="24">
        <v>8965.15</v>
      </c>
      <c r="L934" s="38">
        <v>46273</v>
      </c>
      <c r="M934" s="23" t="s">
        <v>191</v>
      </c>
      <c r="N934" s="23" t="str">
        <f>IF(COUNTIF($A$2:A934,A934)&gt;1,"DUP","OK")</f>
        <v>OK</v>
      </c>
      <c r="O934" s="23" t="str">
        <f t="shared" si="43"/>
        <v>ORD26000908</v>
      </c>
      <c r="P934" s="23" t="str">
        <f t="shared" si="44"/>
        <v>Sep</v>
      </c>
      <c r="Q934" s="23" t="str">
        <f>IF(F934="CAPTURE",IF(COUNTIF(orders!$A:$A,O934)&gt;0,"Yes","NO ORDER"),"")</f>
        <v>Yes</v>
      </c>
    </row>
    <row r="935" spans="1:17" ht="15" customHeight="1" x14ac:dyDescent="0.3">
      <c r="A935" s="23" t="s">
        <v>13501</v>
      </c>
      <c r="B935" s="23"/>
      <c r="C935" s="23" t="s">
        <v>2342</v>
      </c>
      <c r="D935" s="23" t="str">
        <f t="shared" si="42"/>
        <v>ORD26000942</v>
      </c>
      <c r="E935" s="38">
        <v>46271</v>
      </c>
      <c r="F935" s="23" t="s">
        <v>12410</v>
      </c>
      <c r="G935" s="23" t="s">
        <v>75</v>
      </c>
      <c r="H935" s="24">
        <v>8298</v>
      </c>
      <c r="I935" s="24">
        <v>24.89</v>
      </c>
      <c r="J935" s="24">
        <v>4.4800000000000004</v>
      </c>
      <c r="K935" s="24">
        <v>8268.6299999999992</v>
      </c>
      <c r="L935" s="38">
        <v>46273</v>
      </c>
      <c r="M935" s="23" t="s">
        <v>191</v>
      </c>
      <c r="N935" s="23" t="str">
        <f>IF(COUNTIF($A$2:A935,A935)&gt;1,"DUP","OK")</f>
        <v>OK</v>
      </c>
      <c r="O935" s="23" t="str">
        <f t="shared" si="43"/>
        <v>ORD26000942</v>
      </c>
      <c r="P935" s="23" t="str">
        <f t="shared" si="44"/>
        <v>Sep</v>
      </c>
      <c r="Q935" s="23" t="str">
        <f>IF(F935="CAPTURE",IF(COUNTIF(orders!$A:$A,O935)&gt;0,"Yes","NO ORDER"),"")</f>
        <v>Yes</v>
      </c>
    </row>
    <row r="936" spans="1:17" ht="15" customHeight="1" x14ac:dyDescent="0.3">
      <c r="A936" s="23" t="s">
        <v>13502</v>
      </c>
      <c r="B936" s="23"/>
      <c r="C936" s="23" t="s">
        <v>2396</v>
      </c>
      <c r="D936" s="23" t="str">
        <f t="shared" si="42"/>
        <v>ORD26000968</v>
      </c>
      <c r="E936" s="38">
        <v>46271</v>
      </c>
      <c r="F936" s="23" t="s">
        <v>12410</v>
      </c>
      <c r="G936" s="23" t="s">
        <v>75</v>
      </c>
      <c r="H936" s="24">
        <v>1598</v>
      </c>
      <c r="I936" s="24">
        <v>0</v>
      </c>
      <c r="J936" s="24">
        <v>0</v>
      </c>
      <c r="K936" s="24">
        <v>1598</v>
      </c>
      <c r="L936" s="38">
        <v>46273</v>
      </c>
      <c r="M936" s="23" t="s">
        <v>191</v>
      </c>
      <c r="N936" s="23" t="str">
        <f>IF(COUNTIF($A$2:A936,A936)&gt;1,"DUP","OK")</f>
        <v>OK</v>
      </c>
      <c r="O936" s="23" t="str">
        <f t="shared" si="43"/>
        <v>ORD26000968</v>
      </c>
      <c r="P936" s="23" t="str">
        <f t="shared" si="44"/>
        <v>Sep</v>
      </c>
      <c r="Q936" s="23" t="str">
        <f>IF(F936="CAPTURE",IF(COUNTIF(orders!$A:$A,O936)&gt;0,"Yes","NO ORDER"),"")</f>
        <v>Yes</v>
      </c>
    </row>
    <row r="937" spans="1:17" ht="15" customHeight="1" x14ac:dyDescent="0.3">
      <c r="A937" s="23" t="s">
        <v>13503</v>
      </c>
      <c r="B937" s="23"/>
      <c r="C937" s="23" t="s">
        <v>2456</v>
      </c>
      <c r="D937" s="23" t="str">
        <f t="shared" si="42"/>
        <v>ORD26000998</v>
      </c>
      <c r="E937" s="38">
        <v>46271</v>
      </c>
      <c r="F937" s="23" t="s">
        <v>12410</v>
      </c>
      <c r="G937" s="23" t="s">
        <v>75</v>
      </c>
      <c r="H937" s="24">
        <v>3499</v>
      </c>
      <c r="I937" s="24">
        <v>10.5</v>
      </c>
      <c r="J937" s="24">
        <v>1.89</v>
      </c>
      <c r="K937" s="24">
        <v>3486.61</v>
      </c>
      <c r="L937" s="38">
        <v>46273</v>
      </c>
      <c r="M937" s="23" t="s">
        <v>191</v>
      </c>
      <c r="N937" s="23" t="str">
        <f>IF(COUNTIF($A$2:A937,A937)&gt;1,"DUP","OK")</f>
        <v>OK</v>
      </c>
      <c r="O937" s="23" t="str">
        <f t="shared" si="43"/>
        <v>ORD26000998</v>
      </c>
      <c r="P937" s="23" t="str">
        <f t="shared" si="44"/>
        <v>Sep</v>
      </c>
      <c r="Q937" s="23" t="str">
        <f>IF(F937="CAPTURE",IF(COUNTIF(orders!$A:$A,O937)&gt;0,"Yes","NO ORDER"),"")</f>
        <v>Yes</v>
      </c>
    </row>
    <row r="938" spans="1:17" ht="15" customHeight="1" x14ac:dyDescent="0.3">
      <c r="A938" s="23" t="s">
        <v>13504</v>
      </c>
      <c r="B938" s="23"/>
      <c r="C938" s="23" t="s">
        <v>2518</v>
      </c>
      <c r="D938" s="23" t="str">
        <f t="shared" si="42"/>
        <v>ORD26001028</v>
      </c>
      <c r="E938" s="38">
        <v>46271</v>
      </c>
      <c r="F938" s="23" t="s">
        <v>12410</v>
      </c>
      <c r="G938" s="23" t="s">
        <v>75</v>
      </c>
      <c r="H938" s="24">
        <v>11497</v>
      </c>
      <c r="I938" s="24">
        <v>34.49</v>
      </c>
      <c r="J938" s="24">
        <v>6.21</v>
      </c>
      <c r="K938" s="24">
        <v>11456.3</v>
      </c>
      <c r="L938" s="38">
        <v>46273</v>
      </c>
      <c r="M938" s="23" t="s">
        <v>191</v>
      </c>
      <c r="N938" s="23" t="str">
        <f>IF(COUNTIF($A$2:A938,A938)&gt;1,"DUP","OK")</f>
        <v>OK</v>
      </c>
      <c r="O938" s="23" t="str">
        <f t="shared" si="43"/>
        <v>ORD26001028</v>
      </c>
      <c r="P938" s="23" t="str">
        <f t="shared" si="44"/>
        <v>Sep</v>
      </c>
      <c r="Q938" s="23" t="str">
        <f>IF(F938="CAPTURE",IF(COUNTIF(orders!$A:$A,O938)&gt;0,"Yes","NO ORDER"),"")</f>
        <v>Yes</v>
      </c>
    </row>
    <row r="939" spans="1:17" ht="15" customHeight="1" x14ac:dyDescent="0.3">
      <c r="A939" s="23" t="s">
        <v>13505</v>
      </c>
      <c r="B939" s="23"/>
      <c r="C939" s="23" t="s">
        <v>2547</v>
      </c>
      <c r="D939" s="23" t="str">
        <f t="shared" si="42"/>
        <v>ORD26001042</v>
      </c>
      <c r="E939" s="38">
        <v>46271</v>
      </c>
      <c r="F939" s="23" t="s">
        <v>12410</v>
      </c>
      <c r="G939" s="23" t="s">
        <v>75</v>
      </c>
      <c r="H939" s="24">
        <v>2848</v>
      </c>
      <c r="I939" s="24">
        <v>8.5399999999999991</v>
      </c>
      <c r="J939" s="24">
        <v>1.54</v>
      </c>
      <c r="K939" s="24">
        <v>2837.92</v>
      </c>
      <c r="L939" s="38">
        <v>46273</v>
      </c>
      <c r="M939" s="23" t="s">
        <v>191</v>
      </c>
      <c r="N939" s="23" t="str">
        <f>IF(COUNTIF($A$2:A939,A939)&gt;1,"DUP","OK")</f>
        <v>OK</v>
      </c>
      <c r="O939" s="23" t="str">
        <f t="shared" si="43"/>
        <v>ORD26001042</v>
      </c>
      <c r="P939" s="23" t="str">
        <f t="shared" si="44"/>
        <v>Sep</v>
      </c>
      <c r="Q939" s="23" t="str">
        <f>IF(F939="CAPTURE",IF(COUNTIF(orders!$A:$A,O939)&gt;0,"Yes","NO ORDER"),"")</f>
        <v>Yes</v>
      </c>
    </row>
    <row r="940" spans="1:17" ht="15" customHeight="1" x14ac:dyDescent="0.3">
      <c r="A940" s="23" t="s">
        <v>13506</v>
      </c>
      <c r="B940" s="23"/>
      <c r="C940" s="23" t="s">
        <v>2551</v>
      </c>
      <c r="D940" s="23" t="str">
        <f t="shared" si="42"/>
        <v>ORD26001044</v>
      </c>
      <c r="E940" s="38">
        <v>46271</v>
      </c>
      <c r="F940" s="23" t="s">
        <v>12410</v>
      </c>
      <c r="G940" s="23" t="s">
        <v>77</v>
      </c>
      <c r="H940" s="24">
        <v>4998</v>
      </c>
      <c r="I940" s="24">
        <v>84.97</v>
      </c>
      <c r="J940" s="24">
        <v>15.29</v>
      </c>
      <c r="K940" s="24">
        <v>4897.74</v>
      </c>
      <c r="L940" s="38">
        <v>46273</v>
      </c>
      <c r="M940" s="23" t="s">
        <v>191</v>
      </c>
      <c r="N940" s="23" t="str">
        <f>IF(COUNTIF($A$2:A940,A940)&gt;1,"DUP","OK")</f>
        <v>OK</v>
      </c>
      <c r="O940" s="23" t="str">
        <f t="shared" si="43"/>
        <v>ORD26001044</v>
      </c>
      <c r="P940" s="23" t="str">
        <f t="shared" si="44"/>
        <v>Sep</v>
      </c>
      <c r="Q940" s="23" t="str">
        <f>IF(F940="CAPTURE",IF(COUNTIF(orders!$A:$A,O940)&gt;0,"Yes","NO ORDER"),"")</f>
        <v>Yes</v>
      </c>
    </row>
    <row r="941" spans="1:17" ht="15" customHeight="1" x14ac:dyDescent="0.3">
      <c r="A941" s="23" t="s">
        <v>13507</v>
      </c>
      <c r="B941" s="23"/>
      <c r="C941" s="23" t="s">
        <v>2588</v>
      </c>
      <c r="D941" s="23" t="str">
        <f t="shared" si="42"/>
        <v>ORD26001062</v>
      </c>
      <c r="E941" s="38">
        <v>46271</v>
      </c>
      <c r="F941" s="23" t="s">
        <v>12410</v>
      </c>
      <c r="G941" s="23" t="s">
        <v>75</v>
      </c>
      <c r="H941" s="24">
        <v>4597</v>
      </c>
      <c r="I941" s="24">
        <v>13.79</v>
      </c>
      <c r="J941" s="24">
        <v>2.48</v>
      </c>
      <c r="K941" s="24">
        <v>4580.7299999999996</v>
      </c>
      <c r="L941" s="38">
        <v>46273</v>
      </c>
      <c r="M941" s="23" t="s">
        <v>191</v>
      </c>
      <c r="N941" s="23" t="str">
        <f>IF(COUNTIF($A$2:A941,A941)&gt;1,"DUP","OK")</f>
        <v>OK</v>
      </c>
      <c r="O941" s="23" t="str">
        <f t="shared" si="43"/>
        <v>ORD26001062</v>
      </c>
      <c r="P941" s="23" t="str">
        <f t="shared" si="44"/>
        <v>Sep</v>
      </c>
      <c r="Q941" s="23" t="str">
        <f>IF(F941="CAPTURE",IF(COUNTIF(orders!$A:$A,O941)&gt;0,"Yes","NO ORDER"),"")</f>
        <v>Yes</v>
      </c>
    </row>
    <row r="942" spans="1:17" ht="15" customHeight="1" x14ac:dyDescent="0.3">
      <c r="A942" s="23" t="s">
        <v>13508</v>
      </c>
      <c r="B942" s="23"/>
      <c r="C942" s="23" t="s">
        <v>2613</v>
      </c>
      <c r="D942" s="23" t="str">
        <f t="shared" si="42"/>
        <v>ORD26001074</v>
      </c>
      <c r="E942" s="38">
        <v>46271</v>
      </c>
      <c r="F942" s="23" t="s">
        <v>12410</v>
      </c>
      <c r="G942" s="23" t="s">
        <v>79</v>
      </c>
      <c r="H942" s="24">
        <v>5998</v>
      </c>
      <c r="I942" s="24">
        <v>95.97</v>
      </c>
      <c r="J942" s="24">
        <v>17.27</v>
      </c>
      <c r="K942" s="24">
        <v>5884.76</v>
      </c>
      <c r="L942" s="38">
        <v>46273</v>
      </c>
      <c r="M942" s="23" t="s">
        <v>191</v>
      </c>
      <c r="N942" s="23" t="str">
        <f>IF(COUNTIF($A$2:A942,A942)&gt;1,"DUP","OK")</f>
        <v>OK</v>
      </c>
      <c r="O942" s="23" t="str">
        <f t="shared" si="43"/>
        <v>ORD26001074</v>
      </c>
      <c r="P942" s="23" t="str">
        <f t="shared" si="44"/>
        <v>Sep</v>
      </c>
      <c r="Q942" s="23" t="str">
        <f>IF(F942="CAPTURE",IF(COUNTIF(orders!$A:$A,O942)&gt;0,"Yes","NO ORDER"),"")</f>
        <v>Yes</v>
      </c>
    </row>
    <row r="943" spans="1:17" ht="15" customHeight="1" x14ac:dyDescent="0.3">
      <c r="A943" s="23" t="s">
        <v>13509</v>
      </c>
      <c r="B943" s="23"/>
      <c r="C943" s="23" t="s">
        <v>2668</v>
      </c>
      <c r="D943" s="23" t="str">
        <f t="shared" si="42"/>
        <v>ORD26001101</v>
      </c>
      <c r="E943" s="38">
        <v>46271</v>
      </c>
      <c r="F943" s="23" t="s">
        <v>12410</v>
      </c>
      <c r="G943" s="23" t="s">
        <v>75</v>
      </c>
      <c r="H943" s="24">
        <v>1798</v>
      </c>
      <c r="I943" s="24">
        <v>0</v>
      </c>
      <c r="J943" s="24">
        <v>0</v>
      </c>
      <c r="K943" s="24">
        <v>1798</v>
      </c>
      <c r="L943" s="38">
        <v>46273</v>
      </c>
      <c r="M943" s="23" t="s">
        <v>191</v>
      </c>
      <c r="N943" s="23" t="str">
        <f>IF(COUNTIF($A$2:A943,A943)&gt;1,"DUP","OK")</f>
        <v>OK</v>
      </c>
      <c r="O943" s="23" t="str">
        <f t="shared" si="43"/>
        <v>ORD26001101</v>
      </c>
      <c r="P943" s="23" t="str">
        <f t="shared" si="44"/>
        <v>Sep</v>
      </c>
      <c r="Q943" s="23" t="str">
        <f>IF(F943="CAPTURE",IF(COUNTIF(orders!$A:$A,O943)&gt;0,"Yes","NO ORDER"),"")</f>
        <v>Yes</v>
      </c>
    </row>
    <row r="944" spans="1:17" ht="15" customHeight="1" x14ac:dyDescent="0.3">
      <c r="A944" s="23" t="s">
        <v>13510</v>
      </c>
      <c r="B944" s="23"/>
      <c r="C944" s="23" t="s">
        <v>2827</v>
      </c>
      <c r="D944" s="23" t="str">
        <f t="shared" si="42"/>
        <v>ORD26001180</v>
      </c>
      <c r="E944" s="38">
        <v>46271</v>
      </c>
      <c r="F944" s="23" t="s">
        <v>12410</v>
      </c>
      <c r="G944" s="23" t="s">
        <v>75</v>
      </c>
      <c r="H944" s="24">
        <v>7999</v>
      </c>
      <c r="I944" s="24">
        <v>24</v>
      </c>
      <c r="J944" s="24">
        <v>4.32</v>
      </c>
      <c r="K944" s="24">
        <v>7970.68</v>
      </c>
      <c r="L944" s="38">
        <v>46273</v>
      </c>
      <c r="M944" s="23" t="s">
        <v>191</v>
      </c>
      <c r="N944" s="23" t="str">
        <f>IF(COUNTIF($A$2:A944,A944)&gt;1,"DUP","OK")</f>
        <v>OK</v>
      </c>
      <c r="O944" s="23" t="str">
        <f t="shared" si="43"/>
        <v>ORD26001180</v>
      </c>
      <c r="P944" s="23" t="str">
        <f t="shared" si="44"/>
        <v>Sep</v>
      </c>
      <c r="Q944" s="23" t="str">
        <f>IF(F944="CAPTURE",IF(COUNTIF(orders!$A:$A,O944)&gt;0,"Yes","NO ORDER"),"")</f>
        <v>Yes</v>
      </c>
    </row>
    <row r="945" spans="1:17" ht="15" customHeight="1" x14ac:dyDescent="0.3">
      <c r="A945" s="23" t="s">
        <v>13511</v>
      </c>
      <c r="B945" s="23"/>
      <c r="C945" s="23" t="s">
        <v>2890</v>
      </c>
      <c r="D945" s="23" t="str">
        <f t="shared" si="42"/>
        <v>ORD26001211</v>
      </c>
      <c r="E945" s="38">
        <v>46271</v>
      </c>
      <c r="F945" s="23" t="s">
        <v>12410</v>
      </c>
      <c r="G945" s="23" t="s">
        <v>79</v>
      </c>
      <c r="H945" s="24">
        <v>799</v>
      </c>
      <c r="I945" s="24">
        <v>14.38</v>
      </c>
      <c r="J945" s="24">
        <v>2.59</v>
      </c>
      <c r="K945" s="24">
        <v>782.03</v>
      </c>
      <c r="L945" s="38">
        <v>46273</v>
      </c>
      <c r="M945" s="23" t="s">
        <v>191</v>
      </c>
      <c r="N945" s="23" t="str">
        <f>IF(COUNTIF($A$2:A945,A945)&gt;1,"DUP","OK")</f>
        <v>OK</v>
      </c>
      <c r="O945" s="23" t="str">
        <f t="shared" si="43"/>
        <v>ORD26001211</v>
      </c>
      <c r="P945" s="23" t="str">
        <f t="shared" si="44"/>
        <v>Sep</v>
      </c>
      <c r="Q945" s="23" t="str">
        <f>IF(F945="CAPTURE",IF(COUNTIF(orders!$A:$A,O945)&gt;0,"Yes","NO ORDER"),"")</f>
        <v>Yes</v>
      </c>
    </row>
    <row r="946" spans="1:17" ht="15" customHeight="1" x14ac:dyDescent="0.3">
      <c r="A946" s="23" t="s">
        <v>13512</v>
      </c>
      <c r="B946" s="23"/>
      <c r="C946" s="23" t="s">
        <v>2892</v>
      </c>
      <c r="D946" s="23" t="str">
        <f t="shared" si="42"/>
        <v>ORD26001212</v>
      </c>
      <c r="E946" s="38">
        <v>46271</v>
      </c>
      <c r="F946" s="23" t="s">
        <v>12410</v>
      </c>
      <c r="G946" s="23" t="s">
        <v>81</v>
      </c>
      <c r="H946" s="24">
        <v>6298</v>
      </c>
      <c r="I946" s="24">
        <v>75.58</v>
      </c>
      <c r="J946" s="24">
        <v>13.6</v>
      </c>
      <c r="K946" s="24">
        <v>6208.82</v>
      </c>
      <c r="L946" s="38">
        <v>46273</v>
      </c>
      <c r="M946" s="23" t="s">
        <v>191</v>
      </c>
      <c r="N946" s="23" t="str">
        <f>IF(COUNTIF($A$2:A946,A946)&gt;1,"DUP","OK")</f>
        <v>OK</v>
      </c>
      <c r="O946" s="23" t="str">
        <f t="shared" si="43"/>
        <v>ORD26001212</v>
      </c>
      <c r="P946" s="23" t="str">
        <f t="shared" si="44"/>
        <v>Sep</v>
      </c>
      <c r="Q946" s="23" t="str">
        <f>IF(F946="CAPTURE",IF(COUNTIF(orders!$A:$A,O946)&gt;0,"Yes","NO ORDER"),"")</f>
        <v>Yes</v>
      </c>
    </row>
    <row r="947" spans="1:17" ht="15" customHeight="1" x14ac:dyDescent="0.3">
      <c r="A947" s="23" t="s">
        <v>13513</v>
      </c>
      <c r="B947" s="23"/>
      <c r="C947" s="23" t="s">
        <v>2936</v>
      </c>
      <c r="D947" s="23" t="str">
        <f t="shared" si="42"/>
        <v>ORD26001233</v>
      </c>
      <c r="E947" s="38">
        <v>46271</v>
      </c>
      <c r="F947" s="23" t="s">
        <v>12410</v>
      </c>
      <c r="G947" s="23" t="s">
        <v>75</v>
      </c>
      <c r="H947" s="24">
        <v>1998</v>
      </c>
      <c r="I947" s="24">
        <v>0</v>
      </c>
      <c r="J947" s="24">
        <v>0</v>
      </c>
      <c r="K947" s="24">
        <v>1998</v>
      </c>
      <c r="L947" s="38">
        <v>46273</v>
      </c>
      <c r="M947" s="23" t="s">
        <v>191</v>
      </c>
      <c r="N947" s="23" t="str">
        <f>IF(COUNTIF($A$2:A947,A947)&gt;1,"DUP","OK")</f>
        <v>OK</v>
      </c>
      <c r="O947" s="23" t="str">
        <f t="shared" si="43"/>
        <v>ORD26001233</v>
      </c>
      <c r="P947" s="23" t="str">
        <f t="shared" si="44"/>
        <v>Sep</v>
      </c>
      <c r="Q947" s="23" t="str">
        <f>IF(F947="CAPTURE",IF(COUNTIF(orders!$A:$A,O947)&gt;0,"Yes","NO ORDER"),"")</f>
        <v>Yes</v>
      </c>
    </row>
    <row r="948" spans="1:17" ht="15" customHeight="1" x14ac:dyDescent="0.3">
      <c r="A948" s="23" t="s">
        <v>13514</v>
      </c>
      <c r="B948" s="23"/>
      <c r="C948" s="23" t="s">
        <v>3196</v>
      </c>
      <c r="D948" s="23" t="str">
        <f t="shared" si="42"/>
        <v>ORD26001358</v>
      </c>
      <c r="E948" s="38">
        <v>46271</v>
      </c>
      <c r="F948" s="23" t="s">
        <v>12410</v>
      </c>
      <c r="G948" s="23" t="s">
        <v>75</v>
      </c>
      <c r="H948" s="24">
        <v>349</v>
      </c>
      <c r="I948" s="24">
        <v>0</v>
      </c>
      <c r="J948" s="24">
        <v>0</v>
      </c>
      <c r="K948" s="24">
        <v>349</v>
      </c>
      <c r="L948" s="38">
        <v>46273</v>
      </c>
      <c r="M948" s="23" t="s">
        <v>191</v>
      </c>
      <c r="N948" s="23" t="str">
        <f>IF(COUNTIF($A$2:A948,A948)&gt;1,"DUP","OK")</f>
        <v>OK</v>
      </c>
      <c r="O948" s="23" t="str">
        <f t="shared" si="43"/>
        <v>ORD26001358</v>
      </c>
      <c r="P948" s="23" t="str">
        <f t="shared" si="44"/>
        <v>Sep</v>
      </c>
      <c r="Q948" s="23" t="str">
        <f>IF(F948="CAPTURE",IF(COUNTIF(orders!$A:$A,O948)&gt;0,"Yes","NO ORDER"),"")</f>
        <v>Yes</v>
      </c>
    </row>
    <row r="949" spans="1:17" ht="15" customHeight="1" x14ac:dyDescent="0.3">
      <c r="A949" s="23" t="s">
        <v>13515</v>
      </c>
      <c r="B949" s="23"/>
      <c r="C949" s="23" t="s">
        <v>3214</v>
      </c>
      <c r="D949" s="23" t="str">
        <f t="shared" si="42"/>
        <v>ORD26001367</v>
      </c>
      <c r="E949" s="38">
        <v>46271</v>
      </c>
      <c r="F949" s="23" t="s">
        <v>12410</v>
      </c>
      <c r="G949" s="23" t="s">
        <v>75</v>
      </c>
      <c r="H949" s="24">
        <v>1299</v>
      </c>
      <c r="I949" s="24">
        <v>0</v>
      </c>
      <c r="J949" s="24">
        <v>0</v>
      </c>
      <c r="K949" s="24">
        <v>1299</v>
      </c>
      <c r="L949" s="38">
        <v>46273</v>
      </c>
      <c r="M949" s="23" t="s">
        <v>191</v>
      </c>
      <c r="N949" s="23" t="str">
        <f>IF(COUNTIF($A$2:A949,A949)&gt;1,"DUP","OK")</f>
        <v>OK</v>
      </c>
      <c r="O949" s="23" t="str">
        <f t="shared" si="43"/>
        <v>ORD26001367</v>
      </c>
      <c r="P949" s="23" t="str">
        <f t="shared" si="44"/>
        <v>Sep</v>
      </c>
      <c r="Q949" s="23" t="str">
        <f>IF(F949="CAPTURE",IF(COUNTIF(orders!$A:$A,O949)&gt;0,"Yes","NO ORDER"),"")</f>
        <v>Yes</v>
      </c>
    </row>
    <row r="950" spans="1:17" ht="15" customHeight="1" x14ac:dyDescent="0.3">
      <c r="A950" s="23" t="s">
        <v>13516</v>
      </c>
      <c r="B950" s="23"/>
      <c r="C950" s="23" t="s">
        <v>3290</v>
      </c>
      <c r="D950" s="23" t="str">
        <f t="shared" si="42"/>
        <v>ORD26001404</v>
      </c>
      <c r="E950" s="38">
        <v>46271</v>
      </c>
      <c r="F950" s="23" t="s">
        <v>12410</v>
      </c>
      <c r="G950" s="23" t="s">
        <v>75</v>
      </c>
      <c r="H950" s="24">
        <v>1848</v>
      </c>
      <c r="I950" s="24">
        <v>0</v>
      </c>
      <c r="J950" s="24">
        <v>0</v>
      </c>
      <c r="K950" s="24">
        <v>1848</v>
      </c>
      <c r="L950" s="38">
        <v>46273</v>
      </c>
      <c r="M950" s="23" t="s">
        <v>191</v>
      </c>
      <c r="N950" s="23" t="str">
        <f>IF(COUNTIF($A$2:A950,A950)&gt;1,"DUP","OK")</f>
        <v>OK</v>
      </c>
      <c r="O950" s="23" t="str">
        <f t="shared" si="43"/>
        <v>ORD26001404</v>
      </c>
      <c r="P950" s="23" t="str">
        <f t="shared" si="44"/>
        <v>Sep</v>
      </c>
      <c r="Q950" s="23" t="str">
        <f>IF(F950="CAPTURE",IF(COUNTIF(orders!$A:$A,O950)&gt;0,"Yes","NO ORDER"),"")</f>
        <v>Yes</v>
      </c>
    </row>
    <row r="951" spans="1:17" ht="15" customHeight="1" x14ac:dyDescent="0.3">
      <c r="A951" s="23" t="s">
        <v>13517</v>
      </c>
      <c r="B951" s="23"/>
      <c r="C951" s="23" t="s">
        <v>3421</v>
      </c>
      <c r="D951" s="23" t="str">
        <f t="shared" si="42"/>
        <v>ORD26001469</v>
      </c>
      <c r="E951" s="38">
        <v>46271</v>
      </c>
      <c r="F951" s="23" t="s">
        <v>12410</v>
      </c>
      <c r="G951" s="23" t="s">
        <v>75</v>
      </c>
      <c r="H951" s="24">
        <v>799</v>
      </c>
      <c r="I951" s="24">
        <v>0</v>
      </c>
      <c r="J951" s="24">
        <v>0</v>
      </c>
      <c r="K951" s="24">
        <v>799</v>
      </c>
      <c r="L951" s="38">
        <v>46273</v>
      </c>
      <c r="M951" s="23" t="s">
        <v>191</v>
      </c>
      <c r="N951" s="23" t="str">
        <f>IF(COUNTIF($A$2:A951,A951)&gt;1,"DUP","OK")</f>
        <v>OK</v>
      </c>
      <c r="O951" s="23" t="str">
        <f t="shared" si="43"/>
        <v>ORD26001469</v>
      </c>
      <c r="P951" s="23" t="str">
        <f t="shared" si="44"/>
        <v>Sep</v>
      </c>
      <c r="Q951" s="23" t="str">
        <f>IF(F951="CAPTURE",IF(COUNTIF(orders!$A:$A,O951)&gt;0,"Yes","NO ORDER"),"")</f>
        <v>Yes</v>
      </c>
    </row>
    <row r="952" spans="1:17" ht="15" customHeight="1" x14ac:dyDescent="0.3">
      <c r="A952" s="23" t="s">
        <v>13518</v>
      </c>
      <c r="B952" s="23"/>
      <c r="C952" s="23" t="s">
        <v>3454</v>
      </c>
      <c r="D952" s="23" t="str">
        <f t="shared" si="42"/>
        <v>ORD26001485</v>
      </c>
      <c r="E952" s="38">
        <v>46271</v>
      </c>
      <c r="F952" s="23" t="s">
        <v>12410</v>
      </c>
      <c r="G952" s="23" t="s">
        <v>75</v>
      </c>
      <c r="H952" s="24">
        <v>999</v>
      </c>
      <c r="I952" s="24">
        <v>0</v>
      </c>
      <c r="J952" s="24">
        <v>0</v>
      </c>
      <c r="K952" s="24">
        <v>999</v>
      </c>
      <c r="L952" s="38">
        <v>46273</v>
      </c>
      <c r="M952" s="23" t="s">
        <v>191</v>
      </c>
      <c r="N952" s="23" t="str">
        <f>IF(COUNTIF($A$2:A952,A952)&gt;1,"DUP","OK")</f>
        <v>OK</v>
      </c>
      <c r="O952" s="23" t="str">
        <f t="shared" si="43"/>
        <v>ORD26001485</v>
      </c>
      <c r="P952" s="23" t="str">
        <f t="shared" si="44"/>
        <v>Sep</v>
      </c>
      <c r="Q952" s="23" t="str">
        <f>IF(F952="CAPTURE",IF(COUNTIF(orders!$A:$A,O952)&gt;0,"Yes","NO ORDER"),"")</f>
        <v>Yes</v>
      </c>
    </row>
    <row r="953" spans="1:17" ht="15" customHeight="1" x14ac:dyDescent="0.3">
      <c r="A953" s="23" t="s">
        <v>13519</v>
      </c>
      <c r="B953" s="23"/>
      <c r="C953" s="23" t="s">
        <v>3479</v>
      </c>
      <c r="D953" s="23" t="str">
        <f t="shared" si="42"/>
        <v>ORD26001497</v>
      </c>
      <c r="E953" s="38">
        <v>46271</v>
      </c>
      <c r="F953" s="23" t="s">
        <v>12410</v>
      </c>
      <c r="G953" s="23" t="s">
        <v>75</v>
      </c>
      <c r="H953" s="24">
        <v>5097</v>
      </c>
      <c r="I953" s="24">
        <v>15.29</v>
      </c>
      <c r="J953" s="24">
        <v>2.75</v>
      </c>
      <c r="K953" s="24">
        <v>5078.96</v>
      </c>
      <c r="L953" s="38">
        <v>46273</v>
      </c>
      <c r="M953" s="23" t="s">
        <v>191</v>
      </c>
      <c r="N953" s="23" t="str">
        <f>IF(COUNTIF($A$2:A953,A953)&gt;1,"DUP","OK")</f>
        <v>OK</v>
      </c>
      <c r="O953" s="23" t="str">
        <f t="shared" si="43"/>
        <v>ORD26001497</v>
      </c>
      <c r="P953" s="23" t="str">
        <f t="shared" si="44"/>
        <v>Sep</v>
      </c>
      <c r="Q953" s="23" t="str">
        <f>IF(F953="CAPTURE",IF(COUNTIF(orders!$A:$A,O953)&gt;0,"Yes","NO ORDER"),"")</f>
        <v>Yes</v>
      </c>
    </row>
    <row r="954" spans="1:17" ht="15" customHeight="1" x14ac:dyDescent="0.3">
      <c r="A954" s="23" t="s">
        <v>13520</v>
      </c>
      <c r="B954" s="23"/>
      <c r="C954" s="23" t="s">
        <v>13521</v>
      </c>
      <c r="D954" s="23" t="str">
        <f t="shared" si="42"/>
        <v>ORD26001505</v>
      </c>
      <c r="E954" s="38">
        <v>46271</v>
      </c>
      <c r="F954" s="23" t="s">
        <v>12410</v>
      </c>
      <c r="G954" s="23" t="s">
        <v>79</v>
      </c>
      <c r="H954" s="24">
        <v>7999</v>
      </c>
      <c r="I954" s="24">
        <v>127.98</v>
      </c>
      <c r="J954" s="24">
        <v>23.04</v>
      </c>
      <c r="K954" s="24">
        <v>7847.98</v>
      </c>
      <c r="L954" s="38">
        <v>46273</v>
      </c>
      <c r="M954" s="23" t="s">
        <v>191</v>
      </c>
      <c r="N954" s="23" t="str">
        <f>IF(COUNTIF($A$2:A954,A954)&gt;1,"DUP","OK")</f>
        <v>OK</v>
      </c>
      <c r="O954" s="23" t="str">
        <f t="shared" si="43"/>
        <v>ORD26001505</v>
      </c>
      <c r="P954" s="23" t="str">
        <f t="shared" si="44"/>
        <v>Sep</v>
      </c>
      <c r="Q954" s="23" t="str">
        <f>IF(F954="CAPTURE",IF(COUNTIF(orders!$A:$A,O954)&gt;0,"Yes","NO ORDER"),"")</f>
        <v>Yes</v>
      </c>
    </row>
    <row r="955" spans="1:17" ht="15" customHeight="1" x14ac:dyDescent="0.3">
      <c r="A955" s="23" t="s">
        <v>13522</v>
      </c>
      <c r="B955" s="23"/>
      <c r="C955" s="23" t="s">
        <v>3569</v>
      </c>
      <c r="D955" s="23" t="str">
        <f t="shared" si="42"/>
        <v>ORD26001540</v>
      </c>
      <c r="E955" s="38">
        <v>46271</v>
      </c>
      <c r="F955" s="23" t="s">
        <v>12410</v>
      </c>
      <c r="G955" s="23" t="s">
        <v>75</v>
      </c>
      <c r="H955" s="24">
        <v>4999</v>
      </c>
      <c r="I955" s="24">
        <v>15</v>
      </c>
      <c r="J955" s="24">
        <v>2.7</v>
      </c>
      <c r="K955" s="24">
        <v>4981.3</v>
      </c>
      <c r="L955" s="38">
        <v>46273</v>
      </c>
      <c r="M955" s="23" t="s">
        <v>191</v>
      </c>
      <c r="N955" s="23" t="str">
        <f>IF(COUNTIF($A$2:A955,A955)&gt;1,"DUP","OK")</f>
        <v>OK</v>
      </c>
      <c r="O955" s="23" t="str">
        <f t="shared" si="43"/>
        <v>ORD26001540</v>
      </c>
      <c r="P955" s="23" t="str">
        <f t="shared" si="44"/>
        <v>Sep</v>
      </c>
      <c r="Q955" s="23" t="str">
        <f>IF(F955="CAPTURE",IF(COUNTIF(orders!$A:$A,O955)&gt;0,"Yes","NO ORDER"),"")</f>
        <v>Yes</v>
      </c>
    </row>
    <row r="956" spans="1:17" ht="15" customHeight="1" x14ac:dyDescent="0.3">
      <c r="A956" s="23" t="s">
        <v>13523</v>
      </c>
      <c r="B956" s="23"/>
      <c r="C956" s="23" t="s">
        <v>3629</v>
      </c>
      <c r="D956" s="23" t="str">
        <f t="shared" si="42"/>
        <v>ORD26001571</v>
      </c>
      <c r="E956" s="38">
        <v>46271</v>
      </c>
      <c r="F956" s="23" t="s">
        <v>12410</v>
      </c>
      <c r="G956" s="23" t="s">
        <v>79</v>
      </c>
      <c r="H956" s="24">
        <v>12297</v>
      </c>
      <c r="I956" s="24">
        <v>196.75</v>
      </c>
      <c r="J956" s="24">
        <v>35.42</v>
      </c>
      <c r="K956" s="24">
        <v>12064.83</v>
      </c>
      <c r="L956" s="38">
        <v>46273</v>
      </c>
      <c r="M956" s="23" t="s">
        <v>191</v>
      </c>
      <c r="N956" s="23" t="str">
        <f>IF(COUNTIF($A$2:A956,A956)&gt;1,"DUP","OK")</f>
        <v>OK</v>
      </c>
      <c r="O956" s="23" t="str">
        <f t="shared" si="43"/>
        <v>ORD26001571</v>
      </c>
      <c r="P956" s="23" t="str">
        <f t="shared" si="44"/>
        <v>Sep</v>
      </c>
      <c r="Q956" s="23" t="str">
        <f>IF(F956="CAPTURE",IF(COUNTIF(orders!$A:$A,O956)&gt;0,"Yes","NO ORDER"),"")</f>
        <v>Yes</v>
      </c>
    </row>
    <row r="957" spans="1:17" ht="15" customHeight="1" x14ac:dyDescent="0.3">
      <c r="A957" s="23" t="s">
        <v>13524</v>
      </c>
      <c r="B957" s="23"/>
      <c r="C957" s="23" t="s">
        <v>3657</v>
      </c>
      <c r="D957" s="23" t="str">
        <f t="shared" si="42"/>
        <v>ORD26001585</v>
      </c>
      <c r="E957" s="38">
        <v>46271</v>
      </c>
      <c r="F957" s="23" t="s">
        <v>12410</v>
      </c>
      <c r="G957" s="23" t="s">
        <v>75</v>
      </c>
      <c r="H957" s="24">
        <v>4498</v>
      </c>
      <c r="I957" s="24">
        <v>13.49</v>
      </c>
      <c r="J957" s="24">
        <v>2.4300000000000002</v>
      </c>
      <c r="K957" s="24">
        <v>4482.08</v>
      </c>
      <c r="L957" s="38">
        <v>46273</v>
      </c>
      <c r="M957" s="23" t="s">
        <v>191</v>
      </c>
      <c r="N957" s="23" t="str">
        <f>IF(COUNTIF($A$2:A957,A957)&gt;1,"DUP","OK")</f>
        <v>OK</v>
      </c>
      <c r="O957" s="23" t="str">
        <f t="shared" si="43"/>
        <v>ORD26001585</v>
      </c>
      <c r="P957" s="23" t="str">
        <f t="shared" si="44"/>
        <v>Sep</v>
      </c>
      <c r="Q957" s="23" t="str">
        <f>IF(F957="CAPTURE",IF(COUNTIF(orders!$A:$A,O957)&gt;0,"Yes","NO ORDER"),"")</f>
        <v>Yes</v>
      </c>
    </row>
    <row r="958" spans="1:17" ht="15" customHeight="1" x14ac:dyDescent="0.3">
      <c r="A958" s="23" t="s">
        <v>13525</v>
      </c>
      <c r="B958" s="23"/>
      <c r="C958" s="23" t="s">
        <v>3701</v>
      </c>
      <c r="D958" s="23" t="str">
        <f t="shared" si="42"/>
        <v>ORD26001607</v>
      </c>
      <c r="E958" s="38">
        <v>46271</v>
      </c>
      <c r="F958" s="23" t="s">
        <v>12410</v>
      </c>
      <c r="G958" s="23" t="s">
        <v>75</v>
      </c>
      <c r="H958" s="24">
        <v>1998</v>
      </c>
      <c r="I958" s="24">
        <v>0</v>
      </c>
      <c r="J958" s="24">
        <v>0</v>
      </c>
      <c r="K958" s="24">
        <v>1998</v>
      </c>
      <c r="L958" s="38">
        <v>46273</v>
      </c>
      <c r="M958" s="23" t="s">
        <v>191</v>
      </c>
      <c r="N958" s="23" t="str">
        <f>IF(COUNTIF($A$2:A958,A958)&gt;1,"DUP","OK")</f>
        <v>OK</v>
      </c>
      <c r="O958" s="23" t="str">
        <f t="shared" si="43"/>
        <v>ORD26001607</v>
      </c>
      <c r="P958" s="23" t="str">
        <f t="shared" si="44"/>
        <v>Sep</v>
      </c>
      <c r="Q958" s="23" t="str">
        <f>IF(F958="CAPTURE",IF(COUNTIF(orders!$A:$A,O958)&gt;0,"Yes","NO ORDER"),"")</f>
        <v>Yes</v>
      </c>
    </row>
    <row r="959" spans="1:17" ht="15" customHeight="1" x14ac:dyDescent="0.3">
      <c r="A959" s="23" t="s">
        <v>13526</v>
      </c>
      <c r="B959" s="23"/>
      <c r="C959" s="23" t="s">
        <v>3787</v>
      </c>
      <c r="D959" s="23" t="str">
        <f t="shared" si="42"/>
        <v>ORD26001651</v>
      </c>
      <c r="E959" s="38">
        <v>46271</v>
      </c>
      <c r="F959" s="23" t="s">
        <v>12410</v>
      </c>
      <c r="G959" s="23" t="s">
        <v>79</v>
      </c>
      <c r="H959" s="24">
        <v>349</v>
      </c>
      <c r="I959" s="24">
        <v>6.28</v>
      </c>
      <c r="J959" s="24">
        <v>1.1299999999999999</v>
      </c>
      <c r="K959" s="24">
        <v>341.59</v>
      </c>
      <c r="L959" s="38">
        <v>46273</v>
      </c>
      <c r="M959" s="23" t="s">
        <v>191</v>
      </c>
      <c r="N959" s="23" t="str">
        <f>IF(COUNTIF($A$2:A959,A959)&gt;1,"DUP","OK")</f>
        <v>OK</v>
      </c>
      <c r="O959" s="23" t="str">
        <f t="shared" si="43"/>
        <v>ORD26001651</v>
      </c>
      <c r="P959" s="23" t="str">
        <f t="shared" si="44"/>
        <v>Sep</v>
      </c>
      <c r="Q959" s="23" t="str">
        <f>IF(F959="CAPTURE",IF(COUNTIF(orders!$A:$A,O959)&gt;0,"Yes","NO ORDER"),"")</f>
        <v>Yes</v>
      </c>
    </row>
    <row r="960" spans="1:17" ht="15" customHeight="1" x14ac:dyDescent="0.3">
      <c r="A960" s="23" t="s">
        <v>13527</v>
      </c>
      <c r="B960" s="23"/>
      <c r="C960" s="23" t="s">
        <v>3797</v>
      </c>
      <c r="D960" s="23" t="str">
        <f t="shared" si="42"/>
        <v>ORD26001656</v>
      </c>
      <c r="E960" s="38">
        <v>46271</v>
      </c>
      <c r="F960" s="23" t="s">
        <v>12410</v>
      </c>
      <c r="G960" s="23" t="s">
        <v>79</v>
      </c>
      <c r="H960" s="24">
        <v>3498</v>
      </c>
      <c r="I960" s="24">
        <v>55.97</v>
      </c>
      <c r="J960" s="24">
        <v>10.07</v>
      </c>
      <c r="K960" s="24">
        <v>3431.96</v>
      </c>
      <c r="L960" s="38">
        <v>46273</v>
      </c>
      <c r="M960" s="23" t="s">
        <v>191</v>
      </c>
      <c r="N960" s="23" t="str">
        <f>IF(COUNTIF($A$2:A960,A960)&gt;1,"DUP","OK")</f>
        <v>OK</v>
      </c>
      <c r="O960" s="23" t="str">
        <f t="shared" si="43"/>
        <v>ORD26001656</v>
      </c>
      <c r="P960" s="23" t="str">
        <f t="shared" si="44"/>
        <v>Sep</v>
      </c>
      <c r="Q960" s="23" t="str">
        <f>IF(F960="CAPTURE",IF(COUNTIF(orders!$A:$A,O960)&gt;0,"Yes","NO ORDER"),"")</f>
        <v>Yes</v>
      </c>
    </row>
    <row r="961" spans="1:17" ht="15" customHeight="1" x14ac:dyDescent="0.3">
      <c r="A961" s="23" t="s">
        <v>13528</v>
      </c>
      <c r="B961" s="23"/>
      <c r="C961" s="23" t="s">
        <v>13529</v>
      </c>
      <c r="D961" s="23" t="str">
        <f t="shared" si="42"/>
        <v>ORD26001663</v>
      </c>
      <c r="E961" s="38">
        <v>46271</v>
      </c>
      <c r="F961" s="23" t="s">
        <v>12410</v>
      </c>
      <c r="G961" s="23" t="s">
        <v>81</v>
      </c>
      <c r="H961" s="24">
        <v>599</v>
      </c>
      <c r="I961" s="24">
        <v>8.99</v>
      </c>
      <c r="J961" s="24">
        <v>1.62</v>
      </c>
      <c r="K961" s="24">
        <v>588.39</v>
      </c>
      <c r="L961" s="38">
        <v>46273</v>
      </c>
      <c r="M961" s="23" t="s">
        <v>191</v>
      </c>
      <c r="N961" s="23" t="str">
        <f>IF(COUNTIF($A$2:A961,A961)&gt;1,"DUP","OK")</f>
        <v>OK</v>
      </c>
      <c r="O961" s="23" t="str">
        <f t="shared" si="43"/>
        <v>ORD26001663</v>
      </c>
      <c r="P961" s="23" t="str">
        <f t="shared" si="44"/>
        <v>Sep</v>
      </c>
      <c r="Q961" s="23" t="str">
        <f>IF(F961="CAPTURE",IF(COUNTIF(orders!$A:$A,O961)&gt;0,"Yes","NO ORDER"),"")</f>
        <v>Yes</v>
      </c>
    </row>
    <row r="962" spans="1:17" ht="15" customHeight="1" x14ac:dyDescent="0.3">
      <c r="A962" s="23" t="s">
        <v>13530</v>
      </c>
      <c r="B962" s="23"/>
      <c r="C962" s="23" t="s">
        <v>13531</v>
      </c>
      <c r="D962" s="23" t="str">
        <f t="shared" ref="D962:D1025" si="45">UPPER(SUBSTITUTE(TRIM(C962),"-",""))</f>
        <v>ORD26001711</v>
      </c>
      <c r="E962" s="38">
        <v>46271</v>
      </c>
      <c r="F962" s="23" t="s">
        <v>12410</v>
      </c>
      <c r="G962" s="23" t="s">
        <v>79</v>
      </c>
      <c r="H962" s="24">
        <v>6397</v>
      </c>
      <c r="I962" s="24">
        <v>102.35</v>
      </c>
      <c r="J962" s="24">
        <v>18.420000000000002</v>
      </c>
      <c r="K962" s="24">
        <v>6276.23</v>
      </c>
      <c r="L962" s="38">
        <v>46273</v>
      </c>
      <c r="M962" s="23" t="s">
        <v>191</v>
      </c>
      <c r="N962" s="23" t="str">
        <f>IF(COUNTIF($A$2:A962,A962)&gt;1,"DUP","OK")</f>
        <v>OK</v>
      </c>
      <c r="O962" s="23" t="str">
        <f t="shared" ref="O962:O1025" si="46">IF(F962="REFUND",INDEX($D:$D,MATCH(B962,$A:$A,0)),D962)</f>
        <v>ORD26001711</v>
      </c>
      <c r="P962" s="23" t="str">
        <f t="shared" ref="P962:P1025" si="47">IF(L962&gt;DATE(2026,9,30),"Oct-Due","Sep")</f>
        <v>Sep</v>
      </c>
      <c r="Q962" s="23" t="str">
        <f>IF(F962="CAPTURE",IF(COUNTIF(orders!$A:$A,O962)&gt;0,"Yes","NO ORDER"),"")</f>
        <v>Yes</v>
      </c>
    </row>
    <row r="963" spans="1:17" ht="15" customHeight="1" x14ac:dyDescent="0.3">
      <c r="A963" s="23" t="s">
        <v>13532</v>
      </c>
      <c r="B963" s="23"/>
      <c r="C963" s="23" t="s">
        <v>3954</v>
      </c>
      <c r="D963" s="23" t="str">
        <f t="shared" si="45"/>
        <v>ORD26001733</v>
      </c>
      <c r="E963" s="38">
        <v>46271</v>
      </c>
      <c r="F963" s="23" t="s">
        <v>12410</v>
      </c>
      <c r="G963" s="23" t="s">
        <v>75</v>
      </c>
      <c r="H963" s="24">
        <v>1799</v>
      </c>
      <c r="I963" s="24">
        <v>0</v>
      </c>
      <c r="J963" s="24">
        <v>0</v>
      </c>
      <c r="K963" s="24">
        <v>1799</v>
      </c>
      <c r="L963" s="38">
        <v>46273</v>
      </c>
      <c r="M963" s="23" t="s">
        <v>191</v>
      </c>
      <c r="N963" s="23" t="str">
        <f>IF(COUNTIF($A$2:A963,A963)&gt;1,"DUP","OK")</f>
        <v>OK</v>
      </c>
      <c r="O963" s="23" t="str">
        <f t="shared" si="46"/>
        <v>ORD26001733</v>
      </c>
      <c r="P963" s="23" t="str">
        <f t="shared" si="47"/>
        <v>Sep</v>
      </c>
      <c r="Q963" s="23" t="str">
        <f>IF(F963="CAPTURE",IF(COUNTIF(orders!$A:$A,O963)&gt;0,"Yes","NO ORDER"),"")</f>
        <v>Yes</v>
      </c>
    </row>
    <row r="964" spans="1:17" ht="15" customHeight="1" x14ac:dyDescent="0.3">
      <c r="A964" s="23" t="s">
        <v>13533</v>
      </c>
      <c r="B964" s="23"/>
      <c r="C964" s="23" t="s">
        <v>13534</v>
      </c>
      <c r="D964" s="23" t="str">
        <f t="shared" si="45"/>
        <v>ORD26001747</v>
      </c>
      <c r="E964" s="38">
        <v>46271</v>
      </c>
      <c r="F964" s="23" t="s">
        <v>12410</v>
      </c>
      <c r="G964" s="23" t="s">
        <v>75</v>
      </c>
      <c r="H964" s="24">
        <v>9997</v>
      </c>
      <c r="I964" s="24">
        <v>29.99</v>
      </c>
      <c r="J964" s="24">
        <v>5.4</v>
      </c>
      <c r="K964" s="24">
        <v>9961.61</v>
      </c>
      <c r="L964" s="38">
        <v>46273</v>
      </c>
      <c r="M964" s="23" t="s">
        <v>191</v>
      </c>
      <c r="N964" s="23" t="str">
        <f>IF(COUNTIF($A$2:A964,A964)&gt;1,"DUP","OK")</f>
        <v>OK</v>
      </c>
      <c r="O964" s="23" t="str">
        <f t="shared" si="46"/>
        <v>ORD26001747</v>
      </c>
      <c r="P964" s="23" t="str">
        <f t="shared" si="47"/>
        <v>Sep</v>
      </c>
      <c r="Q964" s="23" t="str">
        <f>IF(F964="CAPTURE",IF(COUNTIF(orders!$A:$A,O964)&gt;0,"Yes","NO ORDER"),"")</f>
        <v>Yes</v>
      </c>
    </row>
    <row r="965" spans="1:17" ht="15" customHeight="1" x14ac:dyDescent="0.3">
      <c r="A965" s="23" t="s">
        <v>13535</v>
      </c>
      <c r="B965" s="23"/>
      <c r="C965" s="23" t="s">
        <v>4000</v>
      </c>
      <c r="D965" s="23" t="str">
        <f t="shared" si="45"/>
        <v>ORD26001756</v>
      </c>
      <c r="E965" s="38">
        <v>46271</v>
      </c>
      <c r="F965" s="23" t="s">
        <v>12410</v>
      </c>
      <c r="G965" s="23" t="s">
        <v>75</v>
      </c>
      <c r="H965" s="24">
        <v>1799</v>
      </c>
      <c r="I965" s="24">
        <v>0</v>
      </c>
      <c r="J965" s="24">
        <v>0</v>
      </c>
      <c r="K965" s="24">
        <v>1799</v>
      </c>
      <c r="L965" s="38">
        <v>46273</v>
      </c>
      <c r="M965" s="23" t="s">
        <v>191</v>
      </c>
      <c r="N965" s="23" t="str">
        <f>IF(COUNTIF($A$2:A965,A965)&gt;1,"DUP","OK")</f>
        <v>OK</v>
      </c>
      <c r="O965" s="23" t="str">
        <f t="shared" si="46"/>
        <v>ORD26001756</v>
      </c>
      <c r="P965" s="23" t="str">
        <f t="shared" si="47"/>
        <v>Sep</v>
      </c>
      <c r="Q965" s="23" t="str">
        <f>IF(F965="CAPTURE",IF(COUNTIF(orders!$A:$A,O965)&gt;0,"Yes","NO ORDER"),"")</f>
        <v>Yes</v>
      </c>
    </row>
    <row r="966" spans="1:17" ht="15" customHeight="1" x14ac:dyDescent="0.3">
      <c r="A966" s="23" t="s">
        <v>13536</v>
      </c>
      <c r="B966" s="23"/>
      <c r="C966" s="23" t="s">
        <v>4065</v>
      </c>
      <c r="D966" s="23" t="str">
        <f t="shared" si="45"/>
        <v>ORD26001789</v>
      </c>
      <c r="E966" s="38">
        <v>46271</v>
      </c>
      <c r="F966" s="23" t="s">
        <v>12410</v>
      </c>
      <c r="G966" s="23" t="s">
        <v>75</v>
      </c>
      <c r="H966" s="24">
        <v>4999</v>
      </c>
      <c r="I966" s="24">
        <v>15</v>
      </c>
      <c r="J966" s="24">
        <v>2.7</v>
      </c>
      <c r="K966" s="24">
        <v>4981.3</v>
      </c>
      <c r="L966" s="38">
        <v>46273</v>
      </c>
      <c r="M966" s="23" t="s">
        <v>191</v>
      </c>
      <c r="N966" s="23" t="str">
        <f>IF(COUNTIF($A$2:A966,A966)&gt;1,"DUP","OK")</f>
        <v>OK</v>
      </c>
      <c r="O966" s="23" t="str">
        <f t="shared" si="46"/>
        <v>ORD26001789</v>
      </c>
      <c r="P966" s="23" t="str">
        <f t="shared" si="47"/>
        <v>Sep</v>
      </c>
      <c r="Q966" s="23" t="str">
        <f>IF(F966="CAPTURE",IF(COUNTIF(orders!$A:$A,O966)&gt;0,"Yes","NO ORDER"),"")</f>
        <v>Yes</v>
      </c>
    </row>
    <row r="967" spans="1:17" ht="15" customHeight="1" x14ac:dyDescent="0.3">
      <c r="A967" s="23" t="s">
        <v>13537</v>
      </c>
      <c r="B967" s="23"/>
      <c r="C967" s="23" t="s">
        <v>4220</v>
      </c>
      <c r="D967" s="23" t="str">
        <f t="shared" si="45"/>
        <v>ORD26001867</v>
      </c>
      <c r="E967" s="38">
        <v>46271</v>
      </c>
      <c r="F967" s="23" t="s">
        <v>12410</v>
      </c>
      <c r="G967" s="23" t="s">
        <v>75</v>
      </c>
      <c r="H967" s="24">
        <v>3848</v>
      </c>
      <c r="I967" s="24">
        <v>11.54</v>
      </c>
      <c r="J967" s="24">
        <v>2.08</v>
      </c>
      <c r="K967" s="24">
        <v>3834.38</v>
      </c>
      <c r="L967" s="38">
        <v>46273</v>
      </c>
      <c r="M967" s="23" t="s">
        <v>191</v>
      </c>
      <c r="N967" s="23" t="str">
        <f>IF(COUNTIF($A$2:A967,A967)&gt;1,"DUP","OK")</f>
        <v>OK</v>
      </c>
      <c r="O967" s="23" t="str">
        <f t="shared" si="46"/>
        <v>ORD26001867</v>
      </c>
      <c r="P967" s="23" t="str">
        <f t="shared" si="47"/>
        <v>Sep</v>
      </c>
      <c r="Q967" s="23" t="str">
        <f>IF(F967="CAPTURE",IF(COUNTIF(orders!$A:$A,O967)&gt;0,"Yes","NO ORDER"),"")</f>
        <v>Yes</v>
      </c>
    </row>
    <row r="968" spans="1:17" ht="15" customHeight="1" x14ac:dyDescent="0.3">
      <c r="A968" s="23" t="s">
        <v>13538</v>
      </c>
      <c r="B968" s="23"/>
      <c r="C968" s="23" t="s">
        <v>4364</v>
      </c>
      <c r="D968" s="23" t="str">
        <f t="shared" si="45"/>
        <v>ORD26001938</v>
      </c>
      <c r="E968" s="38">
        <v>46271</v>
      </c>
      <c r="F968" s="23" t="s">
        <v>12410</v>
      </c>
      <c r="G968" s="23" t="s">
        <v>75</v>
      </c>
      <c r="H968" s="24">
        <v>499</v>
      </c>
      <c r="I968" s="24">
        <v>0</v>
      </c>
      <c r="J968" s="24">
        <v>0</v>
      </c>
      <c r="K968" s="24">
        <v>499</v>
      </c>
      <c r="L968" s="38">
        <v>46273</v>
      </c>
      <c r="M968" s="23" t="s">
        <v>191</v>
      </c>
      <c r="N968" s="23" t="str">
        <f>IF(COUNTIF($A$2:A968,A968)&gt;1,"DUP","OK")</f>
        <v>OK</v>
      </c>
      <c r="O968" s="23" t="str">
        <f t="shared" si="46"/>
        <v>ORD26001938</v>
      </c>
      <c r="P968" s="23" t="str">
        <f t="shared" si="47"/>
        <v>Sep</v>
      </c>
      <c r="Q968" s="23" t="str">
        <f>IF(F968="CAPTURE",IF(COUNTIF(orders!$A:$A,O968)&gt;0,"Yes","NO ORDER"),"")</f>
        <v>Yes</v>
      </c>
    </row>
    <row r="969" spans="1:17" ht="15" customHeight="1" x14ac:dyDescent="0.3">
      <c r="A969" s="23" t="s">
        <v>13539</v>
      </c>
      <c r="B969" s="23"/>
      <c r="C969" s="23" t="s">
        <v>4383</v>
      </c>
      <c r="D969" s="23" t="str">
        <f t="shared" si="45"/>
        <v>ORD26001948</v>
      </c>
      <c r="E969" s="38">
        <v>46271</v>
      </c>
      <c r="F969" s="23" t="s">
        <v>12410</v>
      </c>
      <c r="G969" s="23" t="s">
        <v>79</v>
      </c>
      <c r="H969" s="24">
        <v>1799</v>
      </c>
      <c r="I969" s="24">
        <v>32.380000000000003</v>
      </c>
      <c r="J969" s="24">
        <v>5.83</v>
      </c>
      <c r="K969" s="24">
        <v>1760.79</v>
      </c>
      <c r="L969" s="38">
        <v>46273</v>
      </c>
      <c r="M969" s="23" t="s">
        <v>191</v>
      </c>
      <c r="N969" s="23" t="str">
        <f>IF(COUNTIF($A$2:A969,A969)&gt;1,"DUP","OK")</f>
        <v>OK</v>
      </c>
      <c r="O969" s="23" t="str">
        <f t="shared" si="46"/>
        <v>ORD26001948</v>
      </c>
      <c r="P969" s="23" t="str">
        <f t="shared" si="47"/>
        <v>Sep</v>
      </c>
      <c r="Q969" s="23" t="str">
        <f>IF(F969="CAPTURE",IF(COUNTIF(orders!$A:$A,O969)&gt;0,"Yes","NO ORDER"),"")</f>
        <v>Yes</v>
      </c>
    </row>
    <row r="970" spans="1:17" ht="15" customHeight="1" x14ac:dyDescent="0.3">
      <c r="A970" s="23" t="s">
        <v>13540</v>
      </c>
      <c r="B970" s="23"/>
      <c r="C970" s="23" t="s">
        <v>4607</v>
      </c>
      <c r="D970" s="23" t="str">
        <f t="shared" si="45"/>
        <v>ORD26002058</v>
      </c>
      <c r="E970" s="38">
        <v>46271</v>
      </c>
      <c r="F970" s="23" t="s">
        <v>12410</v>
      </c>
      <c r="G970" s="23" t="s">
        <v>75</v>
      </c>
      <c r="H970" s="24">
        <v>798</v>
      </c>
      <c r="I970" s="24">
        <v>0</v>
      </c>
      <c r="J970" s="24">
        <v>0</v>
      </c>
      <c r="K970" s="24">
        <v>798</v>
      </c>
      <c r="L970" s="38">
        <v>46273</v>
      </c>
      <c r="M970" s="23" t="s">
        <v>191</v>
      </c>
      <c r="N970" s="23" t="str">
        <f>IF(COUNTIF($A$2:A970,A970)&gt;1,"DUP","OK")</f>
        <v>OK</v>
      </c>
      <c r="O970" s="23" t="str">
        <f t="shared" si="46"/>
        <v>ORD26002058</v>
      </c>
      <c r="P970" s="23" t="str">
        <f t="shared" si="47"/>
        <v>Sep</v>
      </c>
      <c r="Q970" s="23" t="str">
        <f>IF(F970="CAPTURE",IF(COUNTIF(orders!$A:$A,O970)&gt;0,"Yes","NO ORDER"),"")</f>
        <v>Yes</v>
      </c>
    </row>
    <row r="971" spans="1:17" ht="15" customHeight="1" x14ac:dyDescent="0.3">
      <c r="A971" s="23" t="s">
        <v>13541</v>
      </c>
      <c r="B971" s="23"/>
      <c r="C971" s="23" t="s">
        <v>4630</v>
      </c>
      <c r="D971" s="23" t="str">
        <f t="shared" si="45"/>
        <v>ORD26002069</v>
      </c>
      <c r="E971" s="38">
        <v>46271</v>
      </c>
      <c r="F971" s="23" t="s">
        <v>12410</v>
      </c>
      <c r="G971" s="23" t="s">
        <v>79</v>
      </c>
      <c r="H971" s="24">
        <v>599</v>
      </c>
      <c r="I971" s="24">
        <v>10.78</v>
      </c>
      <c r="J971" s="24">
        <v>1.94</v>
      </c>
      <c r="K971" s="24">
        <v>586.28</v>
      </c>
      <c r="L971" s="38">
        <v>46273</v>
      </c>
      <c r="M971" s="23" t="s">
        <v>191</v>
      </c>
      <c r="N971" s="23" t="str">
        <f>IF(COUNTIF($A$2:A971,A971)&gt;1,"DUP","OK")</f>
        <v>OK</v>
      </c>
      <c r="O971" s="23" t="str">
        <f t="shared" si="46"/>
        <v>ORD26002069</v>
      </c>
      <c r="P971" s="23" t="str">
        <f t="shared" si="47"/>
        <v>Sep</v>
      </c>
      <c r="Q971" s="23" t="str">
        <f>IF(F971="CAPTURE",IF(COUNTIF(orders!$A:$A,O971)&gt;0,"Yes","NO ORDER"),"")</f>
        <v>Yes</v>
      </c>
    </row>
    <row r="972" spans="1:17" ht="15" customHeight="1" x14ac:dyDescent="0.3">
      <c r="A972" s="23" t="s">
        <v>13542</v>
      </c>
      <c r="B972" s="23"/>
      <c r="C972" s="23" t="s">
        <v>4726</v>
      </c>
      <c r="D972" s="23" t="str">
        <f t="shared" si="45"/>
        <v>ORD26002118</v>
      </c>
      <c r="E972" s="38">
        <v>46271</v>
      </c>
      <c r="F972" s="23" t="s">
        <v>12410</v>
      </c>
      <c r="G972" s="23" t="s">
        <v>75</v>
      </c>
      <c r="H972" s="24">
        <v>5998</v>
      </c>
      <c r="I972" s="24">
        <v>17.989999999999998</v>
      </c>
      <c r="J972" s="24">
        <v>3.24</v>
      </c>
      <c r="K972" s="24">
        <v>5976.77</v>
      </c>
      <c r="L972" s="38">
        <v>46273</v>
      </c>
      <c r="M972" s="23" t="s">
        <v>191</v>
      </c>
      <c r="N972" s="23" t="str">
        <f>IF(COUNTIF($A$2:A972,A972)&gt;1,"DUP","OK")</f>
        <v>OK</v>
      </c>
      <c r="O972" s="23" t="str">
        <f t="shared" si="46"/>
        <v>ORD26002118</v>
      </c>
      <c r="P972" s="23" t="str">
        <f t="shared" si="47"/>
        <v>Sep</v>
      </c>
      <c r="Q972" s="23" t="str">
        <f>IF(F972="CAPTURE",IF(COUNTIF(orders!$A:$A,O972)&gt;0,"Yes","NO ORDER"),"")</f>
        <v>Yes</v>
      </c>
    </row>
    <row r="973" spans="1:17" ht="15" customHeight="1" x14ac:dyDescent="0.3">
      <c r="A973" s="23" t="s">
        <v>13543</v>
      </c>
      <c r="B973" s="23"/>
      <c r="C973" s="23" t="s">
        <v>4790</v>
      </c>
      <c r="D973" s="23" t="str">
        <f t="shared" si="45"/>
        <v>ORD26002150</v>
      </c>
      <c r="E973" s="38">
        <v>46271</v>
      </c>
      <c r="F973" s="23" t="s">
        <v>12410</v>
      </c>
      <c r="G973" s="23" t="s">
        <v>75</v>
      </c>
      <c r="H973" s="24">
        <v>2798</v>
      </c>
      <c r="I973" s="24">
        <v>8.39</v>
      </c>
      <c r="J973" s="24">
        <v>1.51</v>
      </c>
      <c r="K973" s="24">
        <v>2788.1</v>
      </c>
      <c r="L973" s="38">
        <v>46273</v>
      </c>
      <c r="M973" s="23" t="s">
        <v>191</v>
      </c>
      <c r="N973" s="23" t="str">
        <f>IF(COUNTIF($A$2:A973,A973)&gt;1,"DUP","OK")</f>
        <v>OK</v>
      </c>
      <c r="O973" s="23" t="str">
        <f t="shared" si="46"/>
        <v>ORD26002150</v>
      </c>
      <c r="P973" s="23" t="str">
        <f t="shared" si="47"/>
        <v>Sep</v>
      </c>
      <c r="Q973" s="23" t="str">
        <f>IF(F973="CAPTURE",IF(COUNTIF(orders!$A:$A,O973)&gt;0,"Yes","NO ORDER"),"")</f>
        <v>Yes</v>
      </c>
    </row>
    <row r="974" spans="1:17" ht="15" customHeight="1" x14ac:dyDescent="0.3">
      <c r="A974" s="23" t="s">
        <v>13544</v>
      </c>
      <c r="B974" s="23"/>
      <c r="C974" s="23" t="s">
        <v>13545</v>
      </c>
      <c r="D974" s="23" t="str">
        <f t="shared" si="45"/>
        <v>ORD26002158</v>
      </c>
      <c r="E974" s="38">
        <v>46271</v>
      </c>
      <c r="F974" s="23" t="s">
        <v>12410</v>
      </c>
      <c r="G974" s="23" t="s">
        <v>79</v>
      </c>
      <c r="H974" s="24">
        <v>5598</v>
      </c>
      <c r="I974" s="24">
        <v>89.57</v>
      </c>
      <c r="J974" s="24">
        <v>16.12</v>
      </c>
      <c r="K974" s="24">
        <v>5492.31</v>
      </c>
      <c r="L974" s="38">
        <v>46273</v>
      </c>
      <c r="M974" s="23" t="s">
        <v>191</v>
      </c>
      <c r="N974" s="23" t="str">
        <f>IF(COUNTIF($A$2:A974,A974)&gt;1,"DUP","OK")</f>
        <v>OK</v>
      </c>
      <c r="O974" s="23" t="str">
        <f t="shared" si="46"/>
        <v>ORD26002158</v>
      </c>
      <c r="P974" s="23" t="str">
        <f t="shared" si="47"/>
        <v>Sep</v>
      </c>
      <c r="Q974" s="23" t="str">
        <f>IF(F974="CAPTURE",IF(COUNTIF(orders!$A:$A,O974)&gt;0,"Yes","NO ORDER"),"")</f>
        <v>Yes</v>
      </c>
    </row>
    <row r="975" spans="1:17" ht="15" customHeight="1" x14ac:dyDescent="0.3">
      <c r="A975" s="23" t="s">
        <v>13546</v>
      </c>
      <c r="B975" s="23"/>
      <c r="C975" s="23" t="s">
        <v>4959</v>
      </c>
      <c r="D975" s="23" t="str">
        <f t="shared" si="45"/>
        <v>ORD26002233</v>
      </c>
      <c r="E975" s="38">
        <v>46271</v>
      </c>
      <c r="F975" s="23" t="s">
        <v>12410</v>
      </c>
      <c r="G975" s="23" t="s">
        <v>75</v>
      </c>
      <c r="H975" s="24">
        <v>648</v>
      </c>
      <c r="I975" s="24">
        <v>0</v>
      </c>
      <c r="J975" s="24">
        <v>0</v>
      </c>
      <c r="K975" s="24">
        <v>648</v>
      </c>
      <c r="L975" s="38">
        <v>46273</v>
      </c>
      <c r="M975" s="23" t="s">
        <v>191</v>
      </c>
      <c r="N975" s="23" t="str">
        <f>IF(COUNTIF($A$2:A975,A975)&gt;1,"DUP","OK")</f>
        <v>OK</v>
      </c>
      <c r="O975" s="23" t="str">
        <f t="shared" si="46"/>
        <v>ORD26002233</v>
      </c>
      <c r="P975" s="23" t="str">
        <f t="shared" si="47"/>
        <v>Sep</v>
      </c>
      <c r="Q975" s="23" t="str">
        <f>IF(F975="CAPTURE",IF(COUNTIF(orders!$A:$A,O975)&gt;0,"Yes","NO ORDER"),"")</f>
        <v>Yes</v>
      </c>
    </row>
    <row r="976" spans="1:17" ht="15" customHeight="1" x14ac:dyDescent="0.3">
      <c r="A976" s="23" t="s">
        <v>13547</v>
      </c>
      <c r="B976" s="23"/>
      <c r="C976" s="23" t="s">
        <v>5086</v>
      </c>
      <c r="D976" s="23" t="str">
        <f t="shared" si="45"/>
        <v>ORD26002296</v>
      </c>
      <c r="E976" s="38">
        <v>46271</v>
      </c>
      <c r="F976" s="23" t="s">
        <v>12410</v>
      </c>
      <c r="G976" s="23" t="s">
        <v>79</v>
      </c>
      <c r="H976" s="24">
        <v>299</v>
      </c>
      <c r="I976" s="24">
        <v>5.38</v>
      </c>
      <c r="J976" s="24">
        <v>0.97</v>
      </c>
      <c r="K976" s="24">
        <v>292.64999999999998</v>
      </c>
      <c r="L976" s="38">
        <v>46273</v>
      </c>
      <c r="M976" s="23" t="s">
        <v>191</v>
      </c>
      <c r="N976" s="23" t="str">
        <f>IF(COUNTIF($A$2:A976,A976)&gt;1,"DUP","OK")</f>
        <v>OK</v>
      </c>
      <c r="O976" s="23" t="str">
        <f t="shared" si="46"/>
        <v>ORD26002296</v>
      </c>
      <c r="P976" s="23" t="str">
        <f t="shared" si="47"/>
        <v>Sep</v>
      </c>
      <c r="Q976" s="23" t="str">
        <f>IF(F976="CAPTURE",IF(COUNTIF(orders!$A:$A,O976)&gt;0,"Yes","NO ORDER"),"")</f>
        <v>Yes</v>
      </c>
    </row>
    <row r="977" spans="1:17" ht="15" customHeight="1" x14ac:dyDescent="0.3">
      <c r="A977" s="23" t="s">
        <v>13548</v>
      </c>
      <c r="B977" s="23"/>
      <c r="C977" s="23" t="s">
        <v>5172</v>
      </c>
      <c r="D977" s="23" t="str">
        <f t="shared" si="45"/>
        <v>ORD26002339</v>
      </c>
      <c r="E977" s="38">
        <v>46271</v>
      </c>
      <c r="F977" s="23" t="s">
        <v>12410</v>
      </c>
      <c r="G977" s="23" t="s">
        <v>77</v>
      </c>
      <c r="H977" s="24">
        <v>499</v>
      </c>
      <c r="I977" s="24">
        <v>9.48</v>
      </c>
      <c r="J977" s="24">
        <v>1.71</v>
      </c>
      <c r="K977" s="24">
        <v>487.81</v>
      </c>
      <c r="L977" s="38">
        <v>46273</v>
      </c>
      <c r="M977" s="23" t="s">
        <v>191</v>
      </c>
      <c r="N977" s="23" t="str">
        <f>IF(COUNTIF($A$2:A977,A977)&gt;1,"DUP","OK")</f>
        <v>OK</v>
      </c>
      <c r="O977" s="23" t="str">
        <f t="shared" si="46"/>
        <v>ORD26002339</v>
      </c>
      <c r="P977" s="23" t="str">
        <f t="shared" si="47"/>
        <v>Sep</v>
      </c>
      <c r="Q977" s="23" t="str">
        <f>IF(F977="CAPTURE",IF(COUNTIF(orders!$A:$A,O977)&gt;0,"Yes","NO ORDER"),"")</f>
        <v>Yes</v>
      </c>
    </row>
    <row r="978" spans="1:17" ht="15" customHeight="1" x14ac:dyDescent="0.3">
      <c r="A978" s="23" t="s">
        <v>13549</v>
      </c>
      <c r="B978" s="23"/>
      <c r="C978" s="23" t="s">
        <v>5403</v>
      </c>
      <c r="D978" s="23" t="str">
        <f t="shared" si="45"/>
        <v>ORD26002456</v>
      </c>
      <c r="E978" s="38">
        <v>46271</v>
      </c>
      <c r="F978" s="23" t="s">
        <v>12410</v>
      </c>
      <c r="G978" s="23" t="s">
        <v>75</v>
      </c>
      <c r="H978" s="24">
        <v>1598</v>
      </c>
      <c r="I978" s="24">
        <v>0</v>
      </c>
      <c r="J978" s="24">
        <v>0</v>
      </c>
      <c r="K978" s="24">
        <v>1598</v>
      </c>
      <c r="L978" s="38">
        <v>46273</v>
      </c>
      <c r="M978" s="23" t="s">
        <v>191</v>
      </c>
      <c r="N978" s="23" t="str">
        <f>IF(COUNTIF($A$2:A978,A978)&gt;1,"DUP","OK")</f>
        <v>OK</v>
      </c>
      <c r="O978" s="23" t="str">
        <f t="shared" si="46"/>
        <v>ORD26002456</v>
      </c>
      <c r="P978" s="23" t="str">
        <f t="shared" si="47"/>
        <v>Sep</v>
      </c>
      <c r="Q978" s="23" t="str">
        <f>IF(F978="CAPTURE",IF(COUNTIF(orders!$A:$A,O978)&gt;0,"Yes","NO ORDER"),"")</f>
        <v>Yes</v>
      </c>
    </row>
    <row r="979" spans="1:17" ht="15" customHeight="1" x14ac:dyDescent="0.3">
      <c r="A979" s="23" t="s">
        <v>13550</v>
      </c>
      <c r="B979" s="23"/>
      <c r="C979" s="23" t="s">
        <v>5405</v>
      </c>
      <c r="D979" s="23" t="str">
        <f t="shared" si="45"/>
        <v>ORD26002457</v>
      </c>
      <c r="E979" s="38">
        <v>46271</v>
      </c>
      <c r="F979" s="23" t="s">
        <v>12410</v>
      </c>
      <c r="G979" s="23" t="s">
        <v>79</v>
      </c>
      <c r="H979" s="24">
        <v>4498</v>
      </c>
      <c r="I979" s="24">
        <v>71.97</v>
      </c>
      <c r="J979" s="24">
        <v>12.95</v>
      </c>
      <c r="K979" s="24">
        <v>4413.08</v>
      </c>
      <c r="L979" s="38">
        <v>46273</v>
      </c>
      <c r="M979" s="23" t="s">
        <v>191</v>
      </c>
      <c r="N979" s="23" t="str">
        <f>IF(COUNTIF($A$2:A979,A979)&gt;1,"DUP","OK")</f>
        <v>OK</v>
      </c>
      <c r="O979" s="23" t="str">
        <f t="shared" si="46"/>
        <v>ORD26002457</v>
      </c>
      <c r="P979" s="23" t="str">
        <f t="shared" si="47"/>
        <v>Sep</v>
      </c>
      <c r="Q979" s="23" t="str">
        <f>IF(F979="CAPTURE",IF(COUNTIF(orders!$A:$A,O979)&gt;0,"Yes","NO ORDER"),"")</f>
        <v>Yes</v>
      </c>
    </row>
    <row r="980" spans="1:17" ht="15" customHeight="1" x14ac:dyDescent="0.3">
      <c r="A980" s="23" t="s">
        <v>13551</v>
      </c>
      <c r="B980" s="23"/>
      <c r="C980" s="23" t="s">
        <v>13552</v>
      </c>
      <c r="D980" s="23" t="str">
        <f t="shared" si="45"/>
        <v>ORD26002474</v>
      </c>
      <c r="E980" s="38">
        <v>46271</v>
      </c>
      <c r="F980" s="23" t="s">
        <v>12410</v>
      </c>
      <c r="G980" s="23" t="s">
        <v>75</v>
      </c>
      <c r="H980" s="24">
        <v>3598</v>
      </c>
      <c r="I980" s="24">
        <v>10.79</v>
      </c>
      <c r="J980" s="24">
        <v>1.94</v>
      </c>
      <c r="K980" s="24">
        <v>3585.27</v>
      </c>
      <c r="L980" s="38">
        <v>46273</v>
      </c>
      <c r="M980" s="23" t="s">
        <v>191</v>
      </c>
      <c r="N980" s="23" t="str">
        <f>IF(COUNTIF($A$2:A980,A980)&gt;1,"DUP","OK")</f>
        <v>OK</v>
      </c>
      <c r="O980" s="23" t="str">
        <f t="shared" si="46"/>
        <v>ORD26002474</v>
      </c>
      <c r="P980" s="23" t="str">
        <f t="shared" si="47"/>
        <v>Sep</v>
      </c>
      <c r="Q980" s="23" t="str">
        <f>IF(F980="CAPTURE",IF(COUNTIF(orders!$A:$A,O980)&gt;0,"Yes","NO ORDER"),"")</f>
        <v>Yes</v>
      </c>
    </row>
    <row r="981" spans="1:17" ht="15" customHeight="1" x14ac:dyDescent="0.3">
      <c r="A981" s="23" t="s">
        <v>13553</v>
      </c>
      <c r="B981" s="23"/>
      <c r="C981" s="23" t="s">
        <v>5472</v>
      </c>
      <c r="D981" s="23" t="str">
        <f t="shared" si="45"/>
        <v>ORD26002492</v>
      </c>
      <c r="E981" s="38">
        <v>46271</v>
      </c>
      <c r="F981" s="23" t="s">
        <v>12410</v>
      </c>
      <c r="G981" s="23" t="s">
        <v>79</v>
      </c>
      <c r="H981" s="24">
        <v>3298</v>
      </c>
      <c r="I981" s="24">
        <v>52.77</v>
      </c>
      <c r="J981" s="24">
        <v>9.5</v>
      </c>
      <c r="K981" s="24">
        <v>3235.73</v>
      </c>
      <c r="L981" s="38">
        <v>46273</v>
      </c>
      <c r="M981" s="23" t="s">
        <v>191</v>
      </c>
      <c r="N981" s="23" t="str">
        <f>IF(COUNTIF($A$2:A981,A981)&gt;1,"DUP","OK")</f>
        <v>OK</v>
      </c>
      <c r="O981" s="23" t="str">
        <f t="shared" si="46"/>
        <v>ORD26002492</v>
      </c>
      <c r="P981" s="23" t="str">
        <f t="shared" si="47"/>
        <v>Sep</v>
      </c>
      <c r="Q981" s="23" t="str">
        <f>IF(F981="CAPTURE",IF(COUNTIF(orders!$A:$A,O981)&gt;0,"Yes","NO ORDER"),"")</f>
        <v>Yes</v>
      </c>
    </row>
    <row r="982" spans="1:17" ht="15" customHeight="1" x14ac:dyDescent="0.3">
      <c r="A982" s="23" t="s">
        <v>13554</v>
      </c>
      <c r="B982" s="23"/>
      <c r="C982" s="23" t="s">
        <v>5499</v>
      </c>
      <c r="D982" s="23" t="str">
        <f t="shared" si="45"/>
        <v>ORD26002505</v>
      </c>
      <c r="E982" s="38">
        <v>46271</v>
      </c>
      <c r="F982" s="23" t="s">
        <v>12410</v>
      </c>
      <c r="G982" s="23" t="s">
        <v>75</v>
      </c>
      <c r="H982" s="24">
        <v>6798</v>
      </c>
      <c r="I982" s="24">
        <v>20.39</v>
      </c>
      <c r="J982" s="24">
        <v>3.67</v>
      </c>
      <c r="K982" s="24">
        <v>6773.94</v>
      </c>
      <c r="L982" s="38">
        <v>46273</v>
      </c>
      <c r="M982" s="23" t="s">
        <v>191</v>
      </c>
      <c r="N982" s="23" t="str">
        <f>IF(COUNTIF($A$2:A982,A982)&gt;1,"DUP","OK")</f>
        <v>OK</v>
      </c>
      <c r="O982" s="23" t="str">
        <f t="shared" si="46"/>
        <v>ORD26002505</v>
      </c>
      <c r="P982" s="23" t="str">
        <f t="shared" si="47"/>
        <v>Sep</v>
      </c>
      <c r="Q982" s="23" t="str">
        <f>IF(F982="CAPTURE",IF(COUNTIF(orders!$A:$A,O982)&gt;0,"Yes","NO ORDER"),"")</f>
        <v>Yes</v>
      </c>
    </row>
    <row r="983" spans="1:17" ht="15" customHeight="1" x14ac:dyDescent="0.3">
      <c r="A983" s="23" t="s">
        <v>13555</v>
      </c>
      <c r="B983" s="23"/>
      <c r="C983" s="23" t="s">
        <v>5610</v>
      </c>
      <c r="D983" s="23" t="str">
        <f t="shared" si="45"/>
        <v>ORD26002558</v>
      </c>
      <c r="E983" s="38">
        <v>46271</v>
      </c>
      <c r="F983" s="23" t="s">
        <v>12410</v>
      </c>
      <c r="G983" s="23" t="s">
        <v>77</v>
      </c>
      <c r="H983" s="24">
        <v>5598</v>
      </c>
      <c r="I983" s="24">
        <v>95.17</v>
      </c>
      <c r="J983" s="24">
        <v>17.13</v>
      </c>
      <c r="K983" s="24">
        <v>5485.7</v>
      </c>
      <c r="L983" s="38">
        <v>46273</v>
      </c>
      <c r="M983" s="23" t="s">
        <v>191</v>
      </c>
      <c r="N983" s="23" t="str">
        <f>IF(COUNTIF($A$2:A983,A983)&gt;1,"DUP","OK")</f>
        <v>OK</v>
      </c>
      <c r="O983" s="23" t="str">
        <f t="shared" si="46"/>
        <v>ORD26002558</v>
      </c>
      <c r="P983" s="23" t="str">
        <f t="shared" si="47"/>
        <v>Sep</v>
      </c>
      <c r="Q983" s="23" t="str">
        <f>IF(F983="CAPTURE",IF(COUNTIF(orders!$A:$A,O983)&gt;0,"Yes","NO ORDER"),"")</f>
        <v>Yes</v>
      </c>
    </row>
    <row r="984" spans="1:17" ht="15" customHeight="1" x14ac:dyDescent="0.3">
      <c r="A984" s="23" t="s">
        <v>13556</v>
      </c>
      <c r="B984" s="23"/>
      <c r="C984" s="23" t="s">
        <v>5716</v>
      </c>
      <c r="D984" s="23" t="str">
        <f t="shared" si="45"/>
        <v>ORD26002611</v>
      </c>
      <c r="E984" s="38">
        <v>46271</v>
      </c>
      <c r="F984" s="23" t="s">
        <v>12410</v>
      </c>
      <c r="G984" s="23" t="s">
        <v>75</v>
      </c>
      <c r="H984" s="24">
        <v>3597</v>
      </c>
      <c r="I984" s="24">
        <v>10.79</v>
      </c>
      <c r="J984" s="24">
        <v>1.94</v>
      </c>
      <c r="K984" s="24">
        <v>3584.27</v>
      </c>
      <c r="L984" s="38">
        <v>46273</v>
      </c>
      <c r="M984" s="23" t="s">
        <v>191</v>
      </c>
      <c r="N984" s="23" t="str">
        <f>IF(COUNTIF($A$2:A984,A984)&gt;1,"DUP","OK")</f>
        <v>OK</v>
      </c>
      <c r="O984" s="23" t="str">
        <f t="shared" si="46"/>
        <v>ORD26002611</v>
      </c>
      <c r="P984" s="23" t="str">
        <f t="shared" si="47"/>
        <v>Sep</v>
      </c>
      <c r="Q984" s="23" t="str">
        <f>IF(F984="CAPTURE",IF(COUNTIF(orders!$A:$A,O984)&gt;0,"Yes","NO ORDER"),"")</f>
        <v>Yes</v>
      </c>
    </row>
    <row r="985" spans="1:17" ht="15" customHeight="1" x14ac:dyDescent="0.3">
      <c r="A985" s="23" t="s">
        <v>13557</v>
      </c>
      <c r="B985" s="23"/>
      <c r="C985" s="23" t="s">
        <v>5760</v>
      </c>
      <c r="D985" s="23" t="str">
        <f t="shared" si="45"/>
        <v>ORD26002633</v>
      </c>
      <c r="E985" s="38">
        <v>46271</v>
      </c>
      <c r="F985" s="23" t="s">
        <v>12410</v>
      </c>
      <c r="G985" s="23" t="s">
        <v>79</v>
      </c>
      <c r="H985" s="24">
        <v>799</v>
      </c>
      <c r="I985" s="24">
        <v>14.38</v>
      </c>
      <c r="J985" s="24">
        <v>2.59</v>
      </c>
      <c r="K985" s="24">
        <v>782.03</v>
      </c>
      <c r="L985" s="38">
        <v>46273</v>
      </c>
      <c r="M985" s="23" t="s">
        <v>191</v>
      </c>
      <c r="N985" s="23" t="str">
        <f>IF(COUNTIF($A$2:A985,A985)&gt;1,"DUP","OK")</f>
        <v>OK</v>
      </c>
      <c r="O985" s="23" t="str">
        <f t="shared" si="46"/>
        <v>ORD26002633</v>
      </c>
      <c r="P985" s="23" t="str">
        <f t="shared" si="47"/>
        <v>Sep</v>
      </c>
      <c r="Q985" s="23" t="str">
        <f>IF(F985="CAPTURE",IF(COUNTIF(orders!$A:$A,O985)&gt;0,"Yes","NO ORDER"),"")</f>
        <v>Yes</v>
      </c>
    </row>
    <row r="986" spans="1:17" ht="15" customHeight="1" x14ac:dyDescent="0.3">
      <c r="A986" s="23" t="s">
        <v>13558</v>
      </c>
      <c r="B986" s="23"/>
      <c r="C986" s="23" t="s">
        <v>5902</v>
      </c>
      <c r="D986" s="23" t="str">
        <f t="shared" si="45"/>
        <v>ORD26002703</v>
      </c>
      <c r="E986" s="38">
        <v>46271</v>
      </c>
      <c r="F986" s="23" t="s">
        <v>12410</v>
      </c>
      <c r="G986" s="23" t="s">
        <v>77</v>
      </c>
      <c r="H986" s="24">
        <v>5998</v>
      </c>
      <c r="I986" s="24">
        <v>101.97</v>
      </c>
      <c r="J986" s="24">
        <v>18.350000000000001</v>
      </c>
      <c r="K986" s="24">
        <v>5877.68</v>
      </c>
      <c r="L986" s="38">
        <v>46273</v>
      </c>
      <c r="M986" s="23" t="s">
        <v>191</v>
      </c>
      <c r="N986" s="23" t="str">
        <f>IF(COUNTIF($A$2:A986,A986)&gt;1,"DUP","OK")</f>
        <v>OK</v>
      </c>
      <c r="O986" s="23" t="str">
        <f t="shared" si="46"/>
        <v>ORD26002703</v>
      </c>
      <c r="P986" s="23" t="str">
        <f t="shared" si="47"/>
        <v>Sep</v>
      </c>
      <c r="Q986" s="23" t="str">
        <f>IF(F986="CAPTURE",IF(COUNTIF(orders!$A:$A,O986)&gt;0,"Yes","NO ORDER"),"")</f>
        <v>Yes</v>
      </c>
    </row>
    <row r="987" spans="1:17" ht="15" customHeight="1" x14ac:dyDescent="0.3">
      <c r="A987" s="23" t="s">
        <v>13559</v>
      </c>
      <c r="B987" s="23"/>
      <c r="C987" s="23" t="s">
        <v>5962</v>
      </c>
      <c r="D987" s="23" t="str">
        <f t="shared" si="45"/>
        <v>ORD26002733</v>
      </c>
      <c r="E987" s="38">
        <v>46271</v>
      </c>
      <c r="F987" s="23" t="s">
        <v>12410</v>
      </c>
      <c r="G987" s="23" t="s">
        <v>77</v>
      </c>
      <c r="H987" s="24">
        <v>1797</v>
      </c>
      <c r="I987" s="24">
        <v>34.14</v>
      </c>
      <c r="J987" s="24">
        <v>6.15</v>
      </c>
      <c r="K987" s="24">
        <v>1756.71</v>
      </c>
      <c r="L987" s="38">
        <v>46273</v>
      </c>
      <c r="M987" s="23" t="s">
        <v>191</v>
      </c>
      <c r="N987" s="23" t="str">
        <f>IF(COUNTIF($A$2:A987,A987)&gt;1,"DUP","OK")</f>
        <v>OK</v>
      </c>
      <c r="O987" s="23" t="str">
        <f t="shared" si="46"/>
        <v>ORD26002733</v>
      </c>
      <c r="P987" s="23" t="str">
        <f t="shared" si="47"/>
        <v>Sep</v>
      </c>
      <c r="Q987" s="23" t="str">
        <f>IF(F987="CAPTURE",IF(COUNTIF(orders!$A:$A,O987)&gt;0,"Yes","NO ORDER"),"")</f>
        <v>Yes</v>
      </c>
    </row>
    <row r="988" spans="1:17" ht="15" customHeight="1" x14ac:dyDescent="0.3">
      <c r="A988" s="23" t="s">
        <v>13560</v>
      </c>
      <c r="B988" s="23"/>
      <c r="C988" s="23" t="s">
        <v>13561</v>
      </c>
      <c r="D988" s="23" t="str">
        <f t="shared" si="45"/>
        <v>ORD26002739</v>
      </c>
      <c r="E988" s="38">
        <v>46271</v>
      </c>
      <c r="F988" s="23" t="s">
        <v>12410</v>
      </c>
      <c r="G988" s="23" t="s">
        <v>79</v>
      </c>
      <c r="H988" s="24">
        <v>3098</v>
      </c>
      <c r="I988" s="24">
        <v>49.57</v>
      </c>
      <c r="J988" s="24">
        <v>8.92</v>
      </c>
      <c r="K988" s="24">
        <v>3039.51</v>
      </c>
      <c r="L988" s="38">
        <v>46273</v>
      </c>
      <c r="M988" s="23" t="s">
        <v>191</v>
      </c>
      <c r="N988" s="23" t="str">
        <f>IF(COUNTIF($A$2:A988,A988)&gt;1,"DUP","OK")</f>
        <v>OK</v>
      </c>
      <c r="O988" s="23" t="str">
        <f t="shared" si="46"/>
        <v>ORD26002739</v>
      </c>
      <c r="P988" s="23" t="str">
        <f t="shared" si="47"/>
        <v>Sep</v>
      </c>
      <c r="Q988" s="23" t="str">
        <f>IF(F988="CAPTURE",IF(COUNTIF(orders!$A:$A,O988)&gt;0,"Yes","NO ORDER"),"")</f>
        <v>Yes</v>
      </c>
    </row>
    <row r="989" spans="1:17" ht="15" customHeight="1" x14ac:dyDescent="0.3">
      <c r="A989" s="23" t="s">
        <v>13562</v>
      </c>
      <c r="B989" s="23"/>
      <c r="C989" s="23" t="s">
        <v>5989</v>
      </c>
      <c r="D989" s="23" t="str">
        <f t="shared" si="45"/>
        <v>ORD26002746</v>
      </c>
      <c r="E989" s="38">
        <v>46271</v>
      </c>
      <c r="F989" s="23" t="s">
        <v>12410</v>
      </c>
      <c r="G989" s="23" t="s">
        <v>79</v>
      </c>
      <c r="H989" s="24">
        <v>499</v>
      </c>
      <c r="I989" s="24">
        <v>8.98</v>
      </c>
      <c r="J989" s="24">
        <v>1.62</v>
      </c>
      <c r="K989" s="24">
        <v>488.4</v>
      </c>
      <c r="L989" s="38">
        <v>46273</v>
      </c>
      <c r="M989" s="23" t="s">
        <v>191</v>
      </c>
      <c r="N989" s="23" t="str">
        <f>IF(COUNTIF($A$2:A989,A989)&gt;1,"DUP","OK")</f>
        <v>OK</v>
      </c>
      <c r="O989" s="23" t="str">
        <f t="shared" si="46"/>
        <v>ORD26002746</v>
      </c>
      <c r="P989" s="23" t="str">
        <f t="shared" si="47"/>
        <v>Sep</v>
      </c>
      <c r="Q989" s="23" t="str">
        <f>IF(F989="CAPTURE",IF(COUNTIF(orders!$A:$A,O989)&gt;0,"Yes","NO ORDER"),"")</f>
        <v>Yes</v>
      </c>
    </row>
    <row r="990" spans="1:17" ht="15" customHeight="1" x14ac:dyDescent="0.3">
      <c r="A990" s="23" t="s">
        <v>13563</v>
      </c>
      <c r="B990" s="23"/>
      <c r="C990" s="23" t="s">
        <v>6106</v>
      </c>
      <c r="D990" s="23" t="str">
        <f t="shared" si="45"/>
        <v>ORD26002804</v>
      </c>
      <c r="E990" s="38">
        <v>46271</v>
      </c>
      <c r="F990" s="23" t="s">
        <v>12410</v>
      </c>
      <c r="G990" s="23" t="s">
        <v>79</v>
      </c>
      <c r="H990" s="24">
        <v>1799</v>
      </c>
      <c r="I990" s="24">
        <v>32.380000000000003</v>
      </c>
      <c r="J990" s="24">
        <v>5.83</v>
      </c>
      <c r="K990" s="24">
        <v>1760.79</v>
      </c>
      <c r="L990" s="38">
        <v>46273</v>
      </c>
      <c r="M990" s="23" t="s">
        <v>191</v>
      </c>
      <c r="N990" s="23" t="str">
        <f>IF(COUNTIF($A$2:A990,A990)&gt;1,"DUP","OK")</f>
        <v>OK</v>
      </c>
      <c r="O990" s="23" t="str">
        <f t="shared" si="46"/>
        <v>ORD26002804</v>
      </c>
      <c r="P990" s="23" t="str">
        <f t="shared" si="47"/>
        <v>Sep</v>
      </c>
      <c r="Q990" s="23" t="str">
        <f>IF(F990="CAPTURE",IF(COUNTIF(orders!$A:$A,O990)&gt;0,"Yes","NO ORDER"),"")</f>
        <v>Yes</v>
      </c>
    </row>
    <row r="991" spans="1:17" ht="15" customHeight="1" x14ac:dyDescent="0.3">
      <c r="A991" s="23" t="s">
        <v>13564</v>
      </c>
      <c r="B991" s="23"/>
      <c r="C991" s="23" t="s">
        <v>13565</v>
      </c>
      <c r="D991" s="23" t="str">
        <f t="shared" si="45"/>
        <v>ORD26002807</v>
      </c>
      <c r="E991" s="38">
        <v>46271</v>
      </c>
      <c r="F991" s="23" t="s">
        <v>12410</v>
      </c>
      <c r="G991" s="23" t="s">
        <v>75</v>
      </c>
      <c r="H991" s="24">
        <v>8798</v>
      </c>
      <c r="I991" s="24">
        <v>26.39</v>
      </c>
      <c r="J991" s="24">
        <v>4.75</v>
      </c>
      <c r="K991" s="24">
        <v>8766.86</v>
      </c>
      <c r="L991" s="38">
        <v>46273</v>
      </c>
      <c r="M991" s="23" t="s">
        <v>191</v>
      </c>
      <c r="N991" s="23" t="str">
        <f>IF(COUNTIF($A$2:A991,A991)&gt;1,"DUP","OK")</f>
        <v>OK</v>
      </c>
      <c r="O991" s="23" t="str">
        <f t="shared" si="46"/>
        <v>ORD26002807</v>
      </c>
      <c r="P991" s="23" t="str">
        <f t="shared" si="47"/>
        <v>Sep</v>
      </c>
      <c r="Q991" s="23" t="str">
        <f>IF(F991="CAPTURE",IF(COUNTIF(orders!$A:$A,O991)&gt;0,"Yes","NO ORDER"),"")</f>
        <v>Yes</v>
      </c>
    </row>
    <row r="992" spans="1:17" ht="15" customHeight="1" x14ac:dyDescent="0.3">
      <c r="A992" s="23" t="s">
        <v>13566</v>
      </c>
      <c r="B992" s="23"/>
      <c r="C992" s="23" t="s">
        <v>13567</v>
      </c>
      <c r="D992" s="23" t="str">
        <f t="shared" si="45"/>
        <v>ORD26002820</v>
      </c>
      <c r="E992" s="38">
        <v>46271</v>
      </c>
      <c r="F992" s="23" t="s">
        <v>12410</v>
      </c>
      <c r="G992" s="23" t="s">
        <v>75</v>
      </c>
      <c r="H992" s="24">
        <v>3499</v>
      </c>
      <c r="I992" s="24">
        <v>10.5</v>
      </c>
      <c r="J992" s="24">
        <v>1.89</v>
      </c>
      <c r="K992" s="24">
        <v>3486.61</v>
      </c>
      <c r="L992" s="38">
        <v>46273</v>
      </c>
      <c r="M992" s="23" t="s">
        <v>191</v>
      </c>
      <c r="N992" s="23" t="str">
        <f>IF(COUNTIF($A$2:A992,A992)&gt;1,"DUP","OK")</f>
        <v>OK</v>
      </c>
      <c r="O992" s="23" t="str">
        <f t="shared" si="46"/>
        <v>ORD26002820</v>
      </c>
      <c r="P992" s="23" t="str">
        <f t="shared" si="47"/>
        <v>Sep</v>
      </c>
      <c r="Q992" s="23" t="str">
        <f>IF(F992="CAPTURE",IF(COUNTIF(orders!$A:$A,O992)&gt;0,"Yes","NO ORDER"),"")</f>
        <v>Yes</v>
      </c>
    </row>
    <row r="993" spans="1:17" ht="15" customHeight="1" x14ac:dyDescent="0.3">
      <c r="A993" s="23" t="s">
        <v>13568</v>
      </c>
      <c r="B993" s="23"/>
      <c r="C993" s="23" t="s">
        <v>6162</v>
      </c>
      <c r="D993" s="23" t="str">
        <f t="shared" si="45"/>
        <v>ORD26002832</v>
      </c>
      <c r="E993" s="38">
        <v>46271</v>
      </c>
      <c r="F993" s="23" t="s">
        <v>12410</v>
      </c>
      <c r="G993" s="23" t="s">
        <v>75</v>
      </c>
      <c r="H993" s="24">
        <v>4999</v>
      </c>
      <c r="I993" s="24">
        <v>15</v>
      </c>
      <c r="J993" s="24">
        <v>2.7</v>
      </c>
      <c r="K993" s="24">
        <v>4981.3</v>
      </c>
      <c r="L993" s="38">
        <v>46273</v>
      </c>
      <c r="M993" s="23" t="s">
        <v>191</v>
      </c>
      <c r="N993" s="23" t="str">
        <f>IF(COUNTIF($A$2:A993,A993)&gt;1,"DUP","OK")</f>
        <v>OK</v>
      </c>
      <c r="O993" s="23" t="str">
        <f t="shared" si="46"/>
        <v>ORD26002832</v>
      </c>
      <c r="P993" s="23" t="str">
        <f t="shared" si="47"/>
        <v>Sep</v>
      </c>
      <c r="Q993" s="23" t="str">
        <f>IF(F993="CAPTURE",IF(COUNTIF(orders!$A:$A,O993)&gt;0,"Yes","NO ORDER"),"")</f>
        <v>Yes</v>
      </c>
    </row>
    <row r="994" spans="1:17" ht="15" customHeight="1" x14ac:dyDescent="0.3">
      <c r="A994" s="23" t="s">
        <v>13569</v>
      </c>
      <c r="B994" s="23"/>
      <c r="C994" s="23" t="s">
        <v>6279</v>
      </c>
      <c r="D994" s="23" t="str">
        <f t="shared" si="45"/>
        <v>ORD26002892</v>
      </c>
      <c r="E994" s="38">
        <v>46271</v>
      </c>
      <c r="F994" s="23" t="s">
        <v>12410</v>
      </c>
      <c r="G994" s="23" t="s">
        <v>79</v>
      </c>
      <c r="H994" s="24">
        <v>499</v>
      </c>
      <c r="I994" s="24">
        <v>8.98</v>
      </c>
      <c r="J994" s="24">
        <v>1.62</v>
      </c>
      <c r="K994" s="24">
        <v>488.4</v>
      </c>
      <c r="L994" s="38">
        <v>46273</v>
      </c>
      <c r="M994" s="23" t="s">
        <v>191</v>
      </c>
      <c r="N994" s="23" t="str">
        <f>IF(COUNTIF($A$2:A994,A994)&gt;1,"DUP","OK")</f>
        <v>OK</v>
      </c>
      <c r="O994" s="23" t="str">
        <f t="shared" si="46"/>
        <v>ORD26002892</v>
      </c>
      <c r="P994" s="23" t="str">
        <f t="shared" si="47"/>
        <v>Sep</v>
      </c>
      <c r="Q994" s="23" t="str">
        <f>IF(F994="CAPTURE",IF(COUNTIF(orders!$A:$A,O994)&gt;0,"Yes","NO ORDER"),"")</f>
        <v>Yes</v>
      </c>
    </row>
    <row r="995" spans="1:17" ht="15" customHeight="1" x14ac:dyDescent="0.3">
      <c r="A995" s="23" t="s">
        <v>13570</v>
      </c>
      <c r="B995" s="23"/>
      <c r="C995" s="23" t="s">
        <v>6335</v>
      </c>
      <c r="D995" s="23" t="str">
        <f t="shared" si="45"/>
        <v>ORD26002920</v>
      </c>
      <c r="E995" s="38">
        <v>46271</v>
      </c>
      <c r="F995" s="23" t="s">
        <v>12410</v>
      </c>
      <c r="G995" s="23" t="s">
        <v>75</v>
      </c>
      <c r="H995" s="24">
        <v>349</v>
      </c>
      <c r="I995" s="24">
        <v>0</v>
      </c>
      <c r="J995" s="24">
        <v>0</v>
      </c>
      <c r="K995" s="24">
        <v>349</v>
      </c>
      <c r="L995" s="38">
        <v>46273</v>
      </c>
      <c r="M995" s="23" t="s">
        <v>191</v>
      </c>
      <c r="N995" s="23" t="str">
        <f>IF(COUNTIF($A$2:A995,A995)&gt;1,"DUP","OK")</f>
        <v>OK</v>
      </c>
      <c r="O995" s="23" t="str">
        <f t="shared" si="46"/>
        <v>ORD26002920</v>
      </c>
      <c r="P995" s="23" t="str">
        <f t="shared" si="47"/>
        <v>Sep</v>
      </c>
      <c r="Q995" s="23" t="str">
        <f>IF(F995="CAPTURE",IF(COUNTIF(orders!$A:$A,O995)&gt;0,"Yes","NO ORDER"),"")</f>
        <v>Yes</v>
      </c>
    </row>
    <row r="996" spans="1:17" ht="15" customHeight="1" x14ac:dyDescent="0.3">
      <c r="A996" s="23" t="s">
        <v>13571</v>
      </c>
      <c r="B996" s="23"/>
      <c r="C996" s="23" t="s">
        <v>6337</v>
      </c>
      <c r="D996" s="23" t="str">
        <f t="shared" si="45"/>
        <v>ORD26002921</v>
      </c>
      <c r="E996" s="38">
        <v>46271</v>
      </c>
      <c r="F996" s="23" t="s">
        <v>12410</v>
      </c>
      <c r="G996" s="23" t="s">
        <v>75</v>
      </c>
      <c r="H996" s="24">
        <v>299</v>
      </c>
      <c r="I996" s="24">
        <v>0</v>
      </c>
      <c r="J996" s="24">
        <v>0</v>
      </c>
      <c r="K996" s="24">
        <v>299</v>
      </c>
      <c r="L996" s="38">
        <v>46273</v>
      </c>
      <c r="M996" s="23" t="s">
        <v>191</v>
      </c>
      <c r="N996" s="23" t="str">
        <f>IF(COUNTIF($A$2:A996,A996)&gt;1,"DUP","OK")</f>
        <v>OK</v>
      </c>
      <c r="O996" s="23" t="str">
        <f t="shared" si="46"/>
        <v>ORD26002921</v>
      </c>
      <c r="P996" s="23" t="str">
        <f t="shared" si="47"/>
        <v>Sep</v>
      </c>
      <c r="Q996" s="23" t="str">
        <f>IF(F996="CAPTURE",IF(COUNTIF(orders!$A:$A,O996)&gt;0,"Yes","NO ORDER"),"")</f>
        <v>Yes</v>
      </c>
    </row>
    <row r="997" spans="1:17" ht="15" customHeight="1" x14ac:dyDescent="0.3">
      <c r="A997" s="23" t="s">
        <v>13572</v>
      </c>
      <c r="B997" s="23"/>
      <c r="C997" s="23" t="s">
        <v>6379</v>
      </c>
      <c r="D997" s="23" t="str">
        <f t="shared" si="45"/>
        <v>ORD26002941</v>
      </c>
      <c r="E997" s="38">
        <v>46271</v>
      </c>
      <c r="F997" s="23" t="s">
        <v>12410</v>
      </c>
      <c r="G997" s="23" t="s">
        <v>75</v>
      </c>
      <c r="H997" s="24">
        <v>8498</v>
      </c>
      <c r="I997" s="24">
        <v>25.49</v>
      </c>
      <c r="J997" s="24">
        <v>4.59</v>
      </c>
      <c r="K997" s="24">
        <v>8467.92</v>
      </c>
      <c r="L997" s="38">
        <v>46273</v>
      </c>
      <c r="M997" s="23" t="s">
        <v>191</v>
      </c>
      <c r="N997" s="23" t="str">
        <f>IF(COUNTIF($A$2:A997,A997)&gt;1,"DUP","OK")</f>
        <v>OK</v>
      </c>
      <c r="O997" s="23" t="str">
        <f t="shared" si="46"/>
        <v>ORD26002941</v>
      </c>
      <c r="P997" s="23" t="str">
        <f t="shared" si="47"/>
        <v>Sep</v>
      </c>
      <c r="Q997" s="23" t="str">
        <f>IF(F997="CAPTURE",IF(COUNTIF(orders!$A:$A,O997)&gt;0,"Yes","NO ORDER"),"")</f>
        <v>Yes</v>
      </c>
    </row>
    <row r="998" spans="1:17" ht="15" customHeight="1" x14ac:dyDescent="0.3">
      <c r="A998" s="23" t="s">
        <v>13573</v>
      </c>
      <c r="B998" s="23"/>
      <c r="C998" s="23" t="s">
        <v>6405</v>
      </c>
      <c r="D998" s="23" t="str">
        <f t="shared" si="45"/>
        <v>ORD26002955</v>
      </c>
      <c r="E998" s="38">
        <v>46271</v>
      </c>
      <c r="F998" s="23" t="s">
        <v>12410</v>
      </c>
      <c r="G998" s="23" t="s">
        <v>77</v>
      </c>
      <c r="H998" s="24">
        <v>2298</v>
      </c>
      <c r="I998" s="24">
        <v>55.15</v>
      </c>
      <c r="J998" s="24">
        <v>9.93</v>
      </c>
      <c r="K998" s="24">
        <v>2232.92</v>
      </c>
      <c r="L998" s="38">
        <v>46273</v>
      </c>
      <c r="M998" s="23" t="s">
        <v>191</v>
      </c>
      <c r="N998" s="23" t="str">
        <f>IF(COUNTIF($A$2:A998,A998)&gt;1,"DUP","OK")</f>
        <v>OK</v>
      </c>
      <c r="O998" s="23" t="str">
        <f t="shared" si="46"/>
        <v>ORD26002955</v>
      </c>
      <c r="P998" s="23" t="str">
        <f t="shared" si="47"/>
        <v>Sep</v>
      </c>
      <c r="Q998" s="23" t="str">
        <f>IF(F998="CAPTURE",IF(COUNTIF(orders!$A:$A,O998)&gt;0,"Yes","NO ORDER"),"")</f>
        <v>Yes</v>
      </c>
    </row>
    <row r="999" spans="1:17" ht="15" customHeight="1" x14ac:dyDescent="0.3">
      <c r="A999" s="23" t="s">
        <v>13574</v>
      </c>
      <c r="B999" s="23"/>
      <c r="C999" s="23" t="s">
        <v>6409</v>
      </c>
      <c r="D999" s="23" t="str">
        <f t="shared" si="45"/>
        <v>ORD26002957</v>
      </c>
      <c r="E999" s="38">
        <v>46271</v>
      </c>
      <c r="F999" s="23" t="s">
        <v>12410</v>
      </c>
      <c r="G999" s="23" t="s">
        <v>75</v>
      </c>
      <c r="H999" s="24">
        <v>5797</v>
      </c>
      <c r="I999" s="24">
        <v>17.39</v>
      </c>
      <c r="J999" s="24">
        <v>3.13</v>
      </c>
      <c r="K999" s="24">
        <v>5776.48</v>
      </c>
      <c r="L999" s="38">
        <v>46273</v>
      </c>
      <c r="M999" s="23" t="s">
        <v>191</v>
      </c>
      <c r="N999" s="23" t="str">
        <f>IF(COUNTIF($A$2:A999,A999)&gt;1,"DUP","OK")</f>
        <v>OK</v>
      </c>
      <c r="O999" s="23" t="str">
        <f t="shared" si="46"/>
        <v>ORD26002957</v>
      </c>
      <c r="P999" s="23" t="str">
        <f t="shared" si="47"/>
        <v>Sep</v>
      </c>
      <c r="Q999" s="23" t="str">
        <f>IF(F999="CAPTURE",IF(COUNTIF(orders!$A:$A,O999)&gt;0,"Yes","NO ORDER"),"")</f>
        <v>Yes</v>
      </c>
    </row>
    <row r="1000" spans="1:17" ht="15" customHeight="1" x14ac:dyDescent="0.3">
      <c r="A1000" s="23" t="s">
        <v>13575</v>
      </c>
      <c r="B1000" s="23"/>
      <c r="C1000" s="23" t="s">
        <v>6469</v>
      </c>
      <c r="D1000" s="23" t="str">
        <f t="shared" si="45"/>
        <v>ORD26002987</v>
      </c>
      <c r="E1000" s="38">
        <v>46271</v>
      </c>
      <c r="F1000" s="23" t="s">
        <v>12410</v>
      </c>
      <c r="G1000" s="23" t="s">
        <v>75</v>
      </c>
      <c r="H1000" s="24">
        <v>9998</v>
      </c>
      <c r="I1000" s="24">
        <v>29.99</v>
      </c>
      <c r="J1000" s="24">
        <v>5.4</v>
      </c>
      <c r="K1000" s="24">
        <v>9962.61</v>
      </c>
      <c r="L1000" s="38">
        <v>46273</v>
      </c>
      <c r="M1000" s="23" t="s">
        <v>191</v>
      </c>
      <c r="N1000" s="23" t="str">
        <f>IF(COUNTIF($A$2:A1000,A1000)&gt;1,"DUP","OK")</f>
        <v>OK</v>
      </c>
      <c r="O1000" s="23" t="str">
        <f t="shared" si="46"/>
        <v>ORD26002987</v>
      </c>
      <c r="P1000" s="23" t="str">
        <f t="shared" si="47"/>
        <v>Sep</v>
      </c>
      <c r="Q1000" s="23" t="str">
        <f>IF(F1000="CAPTURE",IF(COUNTIF(orders!$A:$A,O1000)&gt;0,"Yes","NO ORDER"),"")</f>
        <v>Yes</v>
      </c>
    </row>
    <row r="1001" spans="1:17" ht="15" customHeight="1" x14ac:dyDescent="0.3">
      <c r="A1001" s="23" t="s">
        <v>13576</v>
      </c>
      <c r="B1001" s="23"/>
      <c r="C1001" s="23" t="s">
        <v>6540</v>
      </c>
      <c r="D1001" s="23" t="str">
        <f t="shared" si="45"/>
        <v>ORD26003023</v>
      </c>
      <c r="E1001" s="38">
        <v>46271</v>
      </c>
      <c r="F1001" s="23" t="s">
        <v>12410</v>
      </c>
      <c r="G1001" s="23" t="s">
        <v>75</v>
      </c>
      <c r="H1001" s="24">
        <v>5147</v>
      </c>
      <c r="I1001" s="24">
        <v>15.44</v>
      </c>
      <c r="J1001" s="24">
        <v>2.78</v>
      </c>
      <c r="K1001" s="24">
        <v>5128.78</v>
      </c>
      <c r="L1001" s="38">
        <v>46273</v>
      </c>
      <c r="M1001" s="23" t="s">
        <v>191</v>
      </c>
      <c r="N1001" s="23" t="str">
        <f>IF(COUNTIF($A$2:A1001,A1001)&gt;1,"DUP","OK")</f>
        <v>OK</v>
      </c>
      <c r="O1001" s="23" t="str">
        <f t="shared" si="46"/>
        <v>ORD26003023</v>
      </c>
      <c r="P1001" s="23" t="str">
        <f t="shared" si="47"/>
        <v>Sep</v>
      </c>
      <c r="Q1001" s="23" t="str">
        <f>IF(F1001="CAPTURE",IF(COUNTIF(orders!$A:$A,O1001)&gt;0,"Yes","NO ORDER"),"")</f>
        <v>Yes</v>
      </c>
    </row>
    <row r="1002" spans="1:17" ht="15" customHeight="1" x14ac:dyDescent="0.3">
      <c r="A1002" s="23" t="s">
        <v>13577</v>
      </c>
      <c r="B1002" s="23"/>
      <c r="C1002" s="23" t="s">
        <v>13578</v>
      </c>
      <c r="D1002" s="23" t="str">
        <f t="shared" si="45"/>
        <v>ORD26003034</v>
      </c>
      <c r="E1002" s="38">
        <v>46271</v>
      </c>
      <c r="F1002" s="23" t="s">
        <v>12410</v>
      </c>
      <c r="G1002" s="23" t="s">
        <v>75</v>
      </c>
      <c r="H1002" s="24">
        <v>3997</v>
      </c>
      <c r="I1002" s="24">
        <v>11.99</v>
      </c>
      <c r="J1002" s="24">
        <v>2.16</v>
      </c>
      <c r="K1002" s="24">
        <v>3982.85</v>
      </c>
      <c r="L1002" s="38">
        <v>46273</v>
      </c>
      <c r="M1002" s="23" t="s">
        <v>191</v>
      </c>
      <c r="N1002" s="23" t="str">
        <f>IF(COUNTIF($A$2:A1002,A1002)&gt;1,"DUP","OK")</f>
        <v>OK</v>
      </c>
      <c r="O1002" s="23" t="str">
        <f t="shared" si="46"/>
        <v>ORD26003034</v>
      </c>
      <c r="P1002" s="23" t="str">
        <f t="shared" si="47"/>
        <v>Sep</v>
      </c>
      <c r="Q1002" s="23" t="str">
        <f>IF(F1002="CAPTURE",IF(COUNTIF(orders!$A:$A,O1002)&gt;0,"Yes","NO ORDER"),"")</f>
        <v>Yes</v>
      </c>
    </row>
    <row r="1003" spans="1:17" ht="15" customHeight="1" x14ac:dyDescent="0.3">
      <c r="A1003" s="23" t="s">
        <v>13579</v>
      </c>
      <c r="B1003" s="23"/>
      <c r="C1003" s="23" t="s">
        <v>6749</v>
      </c>
      <c r="D1003" s="23" t="str">
        <f t="shared" si="45"/>
        <v>ORD26003126</v>
      </c>
      <c r="E1003" s="38">
        <v>46271</v>
      </c>
      <c r="F1003" s="23" t="s">
        <v>12410</v>
      </c>
      <c r="G1003" s="23" t="s">
        <v>75</v>
      </c>
      <c r="H1003" s="24">
        <v>349</v>
      </c>
      <c r="I1003" s="24">
        <v>0</v>
      </c>
      <c r="J1003" s="24">
        <v>0</v>
      </c>
      <c r="K1003" s="24">
        <v>349</v>
      </c>
      <c r="L1003" s="38">
        <v>46273</v>
      </c>
      <c r="M1003" s="23" t="s">
        <v>191</v>
      </c>
      <c r="N1003" s="23" t="str">
        <f>IF(COUNTIF($A$2:A1003,A1003)&gt;1,"DUP","OK")</f>
        <v>OK</v>
      </c>
      <c r="O1003" s="23" t="str">
        <f t="shared" si="46"/>
        <v>ORD26003126</v>
      </c>
      <c r="P1003" s="23" t="str">
        <f t="shared" si="47"/>
        <v>Sep</v>
      </c>
      <c r="Q1003" s="23" t="str">
        <f>IF(F1003="CAPTURE",IF(COUNTIF(orders!$A:$A,O1003)&gt;0,"Yes","NO ORDER"),"")</f>
        <v>Yes</v>
      </c>
    </row>
    <row r="1004" spans="1:17" ht="15" customHeight="1" x14ac:dyDescent="0.3">
      <c r="A1004" s="23" t="s">
        <v>13580</v>
      </c>
      <c r="B1004" s="23"/>
      <c r="C1004" s="23" t="s">
        <v>6771</v>
      </c>
      <c r="D1004" s="23" t="str">
        <f t="shared" si="45"/>
        <v>ORD26003137</v>
      </c>
      <c r="E1004" s="38">
        <v>46271</v>
      </c>
      <c r="F1004" s="23" t="s">
        <v>12410</v>
      </c>
      <c r="G1004" s="23" t="s">
        <v>75</v>
      </c>
      <c r="H1004" s="24">
        <v>1998</v>
      </c>
      <c r="I1004" s="24">
        <v>0</v>
      </c>
      <c r="J1004" s="24">
        <v>0</v>
      </c>
      <c r="K1004" s="24">
        <v>1998</v>
      </c>
      <c r="L1004" s="38">
        <v>46273</v>
      </c>
      <c r="M1004" s="23" t="s">
        <v>191</v>
      </c>
      <c r="N1004" s="23" t="str">
        <f>IF(COUNTIF($A$2:A1004,A1004)&gt;1,"DUP","OK")</f>
        <v>OK</v>
      </c>
      <c r="O1004" s="23" t="str">
        <f t="shared" si="46"/>
        <v>ORD26003137</v>
      </c>
      <c r="P1004" s="23" t="str">
        <f t="shared" si="47"/>
        <v>Sep</v>
      </c>
      <c r="Q1004" s="23" t="str">
        <f>IF(F1004="CAPTURE",IF(COUNTIF(orders!$A:$A,O1004)&gt;0,"Yes","NO ORDER"),"")</f>
        <v>Yes</v>
      </c>
    </row>
    <row r="1005" spans="1:17" ht="15" customHeight="1" x14ac:dyDescent="0.3">
      <c r="A1005" s="23" t="s">
        <v>13581</v>
      </c>
      <c r="B1005" s="23"/>
      <c r="C1005" s="23" t="s">
        <v>6831</v>
      </c>
      <c r="D1005" s="23" t="str">
        <f t="shared" si="45"/>
        <v>ORD26003167</v>
      </c>
      <c r="E1005" s="38">
        <v>46271</v>
      </c>
      <c r="F1005" s="23" t="s">
        <v>12410</v>
      </c>
      <c r="G1005" s="23" t="s">
        <v>77</v>
      </c>
      <c r="H1005" s="24">
        <v>7999</v>
      </c>
      <c r="I1005" s="24">
        <v>135.97999999999999</v>
      </c>
      <c r="J1005" s="24">
        <v>24.48</v>
      </c>
      <c r="K1005" s="24">
        <v>7838.54</v>
      </c>
      <c r="L1005" s="38">
        <v>46273</v>
      </c>
      <c r="M1005" s="23" t="s">
        <v>191</v>
      </c>
      <c r="N1005" s="23" t="str">
        <f>IF(COUNTIF($A$2:A1005,A1005)&gt;1,"DUP","OK")</f>
        <v>OK</v>
      </c>
      <c r="O1005" s="23" t="str">
        <f t="shared" si="46"/>
        <v>ORD26003167</v>
      </c>
      <c r="P1005" s="23" t="str">
        <f t="shared" si="47"/>
        <v>Sep</v>
      </c>
      <c r="Q1005" s="23" t="str">
        <f>IF(F1005="CAPTURE",IF(COUNTIF(orders!$A:$A,O1005)&gt;0,"Yes","NO ORDER"),"")</f>
        <v>Yes</v>
      </c>
    </row>
    <row r="1006" spans="1:17" ht="15" customHeight="1" x14ac:dyDescent="0.3">
      <c r="A1006" s="23" t="s">
        <v>13582</v>
      </c>
      <c r="B1006" s="23"/>
      <c r="C1006" s="23" t="s">
        <v>6888</v>
      </c>
      <c r="D1006" s="23" t="str">
        <f t="shared" si="45"/>
        <v>ORD26003195</v>
      </c>
      <c r="E1006" s="38">
        <v>46271</v>
      </c>
      <c r="F1006" s="23" t="s">
        <v>12410</v>
      </c>
      <c r="G1006" s="23" t="s">
        <v>75</v>
      </c>
      <c r="H1006" s="24">
        <v>349</v>
      </c>
      <c r="I1006" s="24">
        <v>0</v>
      </c>
      <c r="J1006" s="24">
        <v>0</v>
      </c>
      <c r="K1006" s="24">
        <v>349</v>
      </c>
      <c r="L1006" s="38">
        <v>46273</v>
      </c>
      <c r="M1006" s="23" t="s">
        <v>191</v>
      </c>
      <c r="N1006" s="23" t="str">
        <f>IF(COUNTIF($A$2:A1006,A1006)&gt;1,"DUP","OK")</f>
        <v>OK</v>
      </c>
      <c r="O1006" s="23" t="str">
        <f t="shared" si="46"/>
        <v>ORD26003195</v>
      </c>
      <c r="P1006" s="23" t="str">
        <f t="shared" si="47"/>
        <v>Sep</v>
      </c>
      <c r="Q1006" s="23" t="str">
        <f>IF(F1006="CAPTURE",IF(COUNTIF(orders!$A:$A,O1006)&gt;0,"Yes","NO ORDER"),"")</f>
        <v>Yes</v>
      </c>
    </row>
    <row r="1007" spans="1:17" ht="15" customHeight="1" x14ac:dyDescent="0.3">
      <c r="A1007" s="23" t="s">
        <v>13583</v>
      </c>
      <c r="B1007" s="23"/>
      <c r="C1007" s="23" t="s">
        <v>13584</v>
      </c>
      <c r="D1007" s="23" t="str">
        <f t="shared" si="45"/>
        <v>ORD26003205</v>
      </c>
      <c r="E1007" s="38">
        <v>46271</v>
      </c>
      <c r="F1007" s="23" t="s">
        <v>12410</v>
      </c>
      <c r="G1007" s="23" t="s">
        <v>79</v>
      </c>
      <c r="H1007" s="24">
        <v>798</v>
      </c>
      <c r="I1007" s="24">
        <v>14.36</v>
      </c>
      <c r="J1007" s="24">
        <v>2.58</v>
      </c>
      <c r="K1007" s="24">
        <v>781.06</v>
      </c>
      <c r="L1007" s="38">
        <v>46273</v>
      </c>
      <c r="M1007" s="23" t="s">
        <v>191</v>
      </c>
      <c r="N1007" s="23" t="str">
        <f>IF(COUNTIF($A$2:A1007,A1007)&gt;1,"DUP","OK")</f>
        <v>OK</v>
      </c>
      <c r="O1007" s="23" t="str">
        <f t="shared" si="46"/>
        <v>ORD26003205</v>
      </c>
      <c r="P1007" s="23" t="str">
        <f t="shared" si="47"/>
        <v>Sep</v>
      </c>
      <c r="Q1007" s="23" t="str">
        <f>IF(F1007="CAPTURE",IF(COUNTIF(orders!$A:$A,O1007)&gt;0,"Yes","NO ORDER"),"")</f>
        <v>Yes</v>
      </c>
    </row>
    <row r="1008" spans="1:17" ht="15" customHeight="1" x14ac:dyDescent="0.3">
      <c r="A1008" s="23" t="s">
        <v>13585</v>
      </c>
      <c r="B1008" s="23"/>
      <c r="C1008" s="23" t="s">
        <v>6941</v>
      </c>
      <c r="D1008" s="23" t="str">
        <f t="shared" si="45"/>
        <v>ORD26003222</v>
      </c>
      <c r="E1008" s="38">
        <v>46271</v>
      </c>
      <c r="F1008" s="23" t="s">
        <v>12410</v>
      </c>
      <c r="G1008" s="23" t="s">
        <v>75</v>
      </c>
      <c r="H1008" s="24">
        <v>599</v>
      </c>
      <c r="I1008" s="24">
        <v>0</v>
      </c>
      <c r="J1008" s="24">
        <v>0</v>
      </c>
      <c r="K1008" s="24">
        <v>599</v>
      </c>
      <c r="L1008" s="38">
        <v>46273</v>
      </c>
      <c r="M1008" s="23" t="s">
        <v>191</v>
      </c>
      <c r="N1008" s="23" t="str">
        <f>IF(COUNTIF($A$2:A1008,A1008)&gt;1,"DUP","OK")</f>
        <v>OK</v>
      </c>
      <c r="O1008" s="23" t="str">
        <f t="shared" si="46"/>
        <v>ORD26003222</v>
      </c>
      <c r="P1008" s="23" t="str">
        <f t="shared" si="47"/>
        <v>Sep</v>
      </c>
      <c r="Q1008" s="23" t="str">
        <f>IF(F1008="CAPTURE",IF(COUNTIF(orders!$A:$A,O1008)&gt;0,"Yes","NO ORDER"),"")</f>
        <v>Yes</v>
      </c>
    </row>
    <row r="1009" spans="1:17" ht="15" customHeight="1" x14ac:dyDescent="0.3">
      <c r="A1009" s="23" t="s">
        <v>13586</v>
      </c>
      <c r="B1009" s="23"/>
      <c r="C1009" s="23" t="s">
        <v>6962</v>
      </c>
      <c r="D1009" s="23" t="str">
        <f t="shared" si="45"/>
        <v>ORD26003233</v>
      </c>
      <c r="E1009" s="38">
        <v>46271</v>
      </c>
      <c r="F1009" s="23" t="s">
        <v>12410</v>
      </c>
      <c r="G1009" s="23" t="s">
        <v>75</v>
      </c>
      <c r="H1009" s="24">
        <v>12497</v>
      </c>
      <c r="I1009" s="24">
        <v>37.49</v>
      </c>
      <c r="J1009" s="24">
        <v>6.75</v>
      </c>
      <c r="K1009" s="24">
        <v>12452.76</v>
      </c>
      <c r="L1009" s="38">
        <v>46273</v>
      </c>
      <c r="M1009" s="23" t="s">
        <v>191</v>
      </c>
      <c r="N1009" s="23" t="str">
        <f>IF(COUNTIF($A$2:A1009,A1009)&gt;1,"DUP","OK")</f>
        <v>OK</v>
      </c>
      <c r="O1009" s="23" t="str">
        <f t="shared" si="46"/>
        <v>ORD26003233</v>
      </c>
      <c r="P1009" s="23" t="str">
        <f t="shared" si="47"/>
        <v>Sep</v>
      </c>
      <c r="Q1009" s="23" t="str">
        <f>IF(F1009="CAPTURE",IF(COUNTIF(orders!$A:$A,O1009)&gt;0,"Yes","NO ORDER"),"")</f>
        <v>Yes</v>
      </c>
    </row>
    <row r="1010" spans="1:17" ht="15" customHeight="1" x14ac:dyDescent="0.3">
      <c r="A1010" s="23" t="s">
        <v>13587</v>
      </c>
      <c r="B1010" s="23"/>
      <c r="C1010" s="23" t="s">
        <v>6966</v>
      </c>
      <c r="D1010" s="23" t="str">
        <f t="shared" si="45"/>
        <v>ORD26003235</v>
      </c>
      <c r="E1010" s="38">
        <v>46271</v>
      </c>
      <c r="F1010" s="23" t="s">
        <v>12410</v>
      </c>
      <c r="G1010" s="23" t="s">
        <v>77</v>
      </c>
      <c r="H1010" s="24">
        <v>8598</v>
      </c>
      <c r="I1010" s="24">
        <v>146.16999999999999</v>
      </c>
      <c r="J1010" s="24">
        <v>26.31</v>
      </c>
      <c r="K1010" s="24">
        <v>8425.52</v>
      </c>
      <c r="L1010" s="38">
        <v>46273</v>
      </c>
      <c r="M1010" s="23" t="s">
        <v>191</v>
      </c>
      <c r="N1010" s="23" t="str">
        <f>IF(COUNTIF($A$2:A1010,A1010)&gt;1,"DUP","OK")</f>
        <v>OK</v>
      </c>
      <c r="O1010" s="23" t="str">
        <f t="shared" si="46"/>
        <v>ORD26003235</v>
      </c>
      <c r="P1010" s="23" t="str">
        <f t="shared" si="47"/>
        <v>Sep</v>
      </c>
      <c r="Q1010" s="23" t="str">
        <f>IF(F1010="CAPTURE",IF(COUNTIF(orders!$A:$A,O1010)&gt;0,"Yes","NO ORDER"),"")</f>
        <v>Yes</v>
      </c>
    </row>
    <row r="1011" spans="1:17" ht="15" customHeight="1" x14ac:dyDescent="0.3">
      <c r="A1011" s="23" t="s">
        <v>13588</v>
      </c>
      <c r="B1011" s="23"/>
      <c r="C1011" s="23" t="s">
        <v>7078</v>
      </c>
      <c r="D1011" s="23" t="str">
        <f t="shared" si="45"/>
        <v>ORD26003290</v>
      </c>
      <c r="E1011" s="38">
        <v>46271</v>
      </c>
      <c r="F1011" s="23" t="s">
        <v>12410</v>
      </c>
      <c r="G1011" s="23" t="s">
        <v>77</v>
      </c>
      <c r="H1011" s="24">
        <v>9347</v>
      </c>
      <c r="I1011" s="24">
        <v>158.9</v>
      </c>
      <c r="J1011" s="24">
        <v>28.6</v>
      </c>
      <c r="K1011" s="24">
        <v>9159.5</v>
      </c>
      <c r="L1011" s="38">
        <v>46273</v>
      </c>
      <c r="M1011" s="23" t="s">
        <v>191</v>
      </c>
      <c r="N1011" s="23" t="str">
        <f>IF(COUNTIF($A$2:A1011,A1011)&gt;1,"DUP","OK")</f>
        <v>OK</v>
      </c>
      <c r="O1011" s="23" t="str">
        <f t="shared" si="46"/>
        <v>ORD26003290</v>
      </c>
      <c r="P1011" s="23" t="str">
        <f t="shared" si="47"/>
        <v>Sep</v>
      </c>
      <c r="Q1011" s="23" t="str">
        <f>IF(F1011="CAPTURE",IF(COUNTIF(orders!$A:$A,O1011)&gt;0,"Yes","NO ORDER"),"")</f>
        <v>Yes</v>
      </c>
    </row>
    <row r="1012" spans="1:17" ht="15" customHeight="1" x14ac:dyDescent="0.3">
      <c r="A1012" s="23" t="s">
        <v>13589</v>
      </c>
      <c r="B1012" s="23"/>
      <c r="C1012" s="23" t="s">
        <v>7139</v>
      </c>
      <c r="D1012" s="23" t="str">
        <f t="shared" si="45"/>
        <v>ORD26003321</v>
      </c>
      <c r="E1012" s="38">
        <v>46271</v>
      </c>
      <c r="F1012" s="23" t="s">
        <v>12410</v>
      </c>
      <c r="G1012" s="23" t="s">
        <v>75</v>
      </c>
      <c r="H1012" s="24">
        <v>3897</v>
      </c>
      <c r="I1012" s="24">
        <v>11.69</v>
      </c>
      <c r="J1012" s="24">
        <v>2.1</v>
      </c>
      <c r="K1012" s="24">
        <v>3883.21</v>
      </c>
      <c r="L1012" s="38">
        <v>46273</v>
      </c>
      <c r="M1012" s="23" t="s">
        <v>191</v>
      </c>
      <c r="N1012" s="23" t="str">
        <f>IF(COUNTIF($A$2:A1012,A1012)&gt;1,"DUP","OK")</f>
        <v>OK</v>
      </c>
      <c r="O1012" s="23" t="str">
        <f t="shared" si="46"/>
        <v>ORD26003321</v>
      </c>
      <c r="P1012" s="23" t="str">
        <f t="shared" si="47"/>
        <v>Sep</v>
      </c>
      <c r="Q1012" s="23" t="str">
        <f>IF(F1012="CAPTURE",IF(COUNTIF(orders!$A:$A,O1012)&gt;0,"Yes","NO ORDER"),"")</f>
        <v>Yes</v>
      </c>
    </row>
    <row r="1013" spans="1:17" ht="15" customHeight="1" x14ac:dyDescent="0.3">
      <c r="A1013" s="23" t="s">
        <v>13590</v>
      </c>
      <c r="B1013" s="23"/>
      <c r="C1013" s="23" t="s">
        <v>7182</v>
      </c>
      <c r="D1013" s="23" t="str">
        <f t="shared" si="45"/>
        <v>ORD26003342</v>
      </c>
      <c r="E1013" s="38">
        <v>46271</v>
      </c>
      <c r="F1013" s="23" t="s">
        <v>12410</v>
      </c>
      <c r="G1013" s="23" t="s">
        <v>75</v>
      </c>
      <c r="H1013" s="24">
        <v>1648</v>
      </c>
      <c r="I1013" s="24">
        <v>0</v>
      </c>
      <c r="J1013" s="24">
        <v>0</v>
      </c>
      <c r="K1013" s="24">
        <v>1648</v>
      </c>
      <c r="L1013" s="38">
        <v>46273</v>
      </c>
      <c r="M1013" s="23" t="s">
        <v>191</v>
      </c>
      <c r="N1013" s="23" t="str">
        <f>IF(COUNTIF($A$2:A1013,A1013)&gt;1,"DUP","OK")</f>
        <v>OK</v>
      </c>
      <c r="O1013" s="23" t="str">
        <f t="shared" si="46"/>
        <v>ORD26003342</v>
      </c>
      <c r="P1013" s="23" t="str">
        <f t="shared" si="47"/>
        <v>Sep</v>
      </c>
      <c r="Q1013" s="23" t="str">
        <f>IF(F1013="CAPTURE",IF(COUNTIF(orders!$A:$A,O1013)&gt;0,"Yes","NO ORDER"),"")</f>
        <v>Yes</v>
      </c>
    </row>
    <row r="1014" spans="1:17" ht="15" customHeight="1" x14ac:dyDescent="0.3">
      <c r="A1014" s="23" t="s">
        <v>13591</v>
      </c>
      <c r="B1014" s="23"/>
      <c r="C1014" s="23" t="s">
        <v>7219</v>
      </c>
      <c r="D1014" s="23" t="str">
        <f t="shared" si="45"/>
        <v>ORD26003360</v>
      </c>
      <c r="E1014" s="38">
        <v>46271</v>
      </c>
      <c r="F1014" s="23" t="s">
        <v>12410</v>
      </c>
      <c r="G1014" s="23" t="s">
        <v>75</v>
      </c>
      <c r="H1014" s="24">
        <v>1498</v>
      </c>
      <c r="I1014" s="24">
        <v>0</v>
      </c>
      <c r="J1014" s="24">
        <v>0</v>
      </c>
      <c r="K1014" s="24">
        <v>1498</v>
      </c>
      <c r="L1014" s="38">
        <v>46273</v>
      </c>
      <c r="M1014" s="23" t="s">
        <v>191</v>
      </c>
      <c r="N1014" s="23" t="str">
        <f>IF(COUNTIF($A$2:A1014,A1014)&gt;1,"DUP","OK")</f>
        <v>OK</v>
      </c>
      <c r="O1014" s="23" t="str">
        <f t="shared" si="46"/>
        <v>ORD26003360</v>
      </c>
      <c r="P1014" s="23" t="str">
        <f t="shared" si="47"/>
        <v>Sep</v>
      </c>
      <c r="Q1014" s="23" t="str">
        <f>IF(F1014="CAPTURE",IF(COUNTIF(orders!$A:$A,O1014)&gt;0,"Yes","NO ORDER"),"")</f>
        <v>Yes</v>
      </c>
    </row>
    <row r="1015" spans="1:17" ht="15" customHeight="1" x14ac:dyDescent="0.3">
      <c r="A1015" s="23" t="s">
        <v>13592</v>
      </c>
      <c r="B1015" s="23"/>
      <c r="C1015" s="23" t="s">
        <v>7239</v>
      </c>
      <c r="D1015" s="23" t="str">
        <f t="shared" si="45"/>
        <v>ORD26003370</v>
      </c>
      <c r="E1015" s="38">
        <v>46271</v>
      </c>
      <c r="F1015" s="23" t="s">
        <v>12410</v>
      </c>
      <c r="G1015" s="23" t="s">
        <v>79</v>
      </c>
      <c r="H1015" s="24">
        <v>698</v>
      </c>
      <c r="I1015" s="24">
        <v>12.56</v>
      </c>
      <c r="J1015" s="24">
        <v>2.2599999999999998</v>
      </c>
      <c r="K1015" s="24">
        <v>683.18</v>
      </c>
      <c r="L1015" s="38">
        <v>46273</v>
      </c>
      <c r="M1015" s="23" t="s">
        <v>191</v>
      </c>
      <c r="N1015" s="23" t="str">
        <f>IF(COUNTIF($A$2:A1015,A1015)&gt;1,"DUP","OK")</f>
        <v>OK</v>
      </c>
      <c r="O1015" s="23" t="str">
        <f t="shared" si="46"/>
        <v>ORD26003370</v>
      </c>
      <c r="P1015" s="23" t="str">
        <f t="shared" si="47"/>
        <v>Sep</v>
      </c>
      <c r="Q1015" s="23" t="str">
        <f>IF(F1015="CAPTURE",IF(COUNTIF(orders!$A:$A,O1015)&gt;0,"Yes","NO ORDER"),"")</f>
        <v>Yes</v>
      </c>
    </row>
    <row r="1016" spans="1:17" ht="15" customHeight="1" x14ac:dyDescent="0.3">
      <c r="A1016" s="23" t="s">
        <v>13593</v>
      </c>
      <c r="B1016" s="23"/>
      <c r="C1016" s="23" t="s">
        <v>7255</v>
      </c>
      <c r="D1016" s="23" t="str">
        <f t="shared" si="45"/>
        <v>ORD26003378</v>
      </c>
      <c r="E1016" s="38">
        <v>46271</v>
      </c>
      <c r="F1016" s="23" t="s">
        <v>12410</v>
      </c>
      <c r="G1016" s="23" t="s">
        <v>75</v>
      </c>
      <c r="H1016" s="24">
        <v>349</v>
      </c>
      <c r="I1016" s="24">
        <v>0</v>
      </c>
      <c r="J1016" s="24">
        <v>0</v>
      </c>
      <c r="K1016" s="24">
        <v>349</v>
      </c>
      <c r="L1016" s="38">
        <v>46273</v>
      </c>
      <c r="M1016" s="23" t="s">
        <v>191</v>
      </c>
      <c r="N1016" s="23" t="str">
        <f>IF(COUNTIF($A$2:A1016,A1016)&gt;1,"DUP","OK")</f>
        <v>OK</v>
      </c>
      <c r="O1016" s="23" t="str">
        <f t="shared" si="46"/>
        <v>ORD26003378</v>
      </c>
      <c r="P1016" s="23" t="str">
        <f t="shared" si="47"/>
        <v>Sep</v>
      </c>
      <c r="Q1016" s="23" t="str">
        <f>IF(F1016="CAPTURE",IF(COUNTIF(orders!$A:$A,O1016)&gt;0,"Yes","NO ORDER"),"")</f>
        <v>Yes</v>
      </c>
    </row>
    <row r="1017" spans="1:17" ht="15" customHeight="1" x14ac:dyDescent="0.3">
      <c r="A1017" s="23" t="s">
        <v>13594</v>
      </c>
      <c r="B1017" s="23"/>
      <c r="C1017" s="23" t="s">
        <v>13595</v>
      </c>
      <c r="D1017" s="23" t="str">
        <f t="shared" si="45"/>
        <v>ORD26003409</v>
      </c>
      <c r="E1017" s="38">
        <v>46271</v>
      </c>
      <c r="F1017" s="23" t="s">
        <v>12410</v>
      </c>
      <c r="G1017" s="23" t="s">
        <v>79</v>
      </c>
      <c r="H1017" s="24">
        <v>3597</v>
      </c>
      <c r="I1017" s="24">
        <v>57.55</v>
      </c>
      <c r="J1017" s="24">
        <v>10.36</v>
      </c>
      <c r="K1017" s="24">
        <v>3529.09</v>
      </c>
      <c r="L1017" s="38">
        <v>46273</v>
      </c>
      <c r="M1017" s="23" t="s">
        <v>191</v>
      </c>
      <c r="N1017" s="23" t="str">
        <f>IF(COUNTIF($A$2:A1017,A1017)&gt;1,"DUP","OK")</f>
        <v>OK</v>
      </c>
      <c r="O1017" s="23" t="str">
        <f t="shared" si="46"/>
        <v>ORD26003409</v>
      </c>
      <c r="P1017" s="23" t="str">
        <f t="shared" si="47"/>
        <v>Sep</v>
      </c>
      <c r="Q1017" s="23" t="str">
        <f>IF(F1017="CAPTURE",IF(COUNTIF(orders!$A:$A,O1017)&gt;0,"Yes","NO ORDER"),"")</f>
        <v>Yes</v>
      </c>
    </row>
    <row r="1018" spans="1:17" ht="15" customHeight="1" x14ac:dyDescent="0.3">
      <c r="A1018" s="23" t="s">
        <v>13596</v>
      </c>
      <c r="B1018" s="23"/>
      <c r="C1018" s="23" t="s">
        <v>7510</v>
      </c>
      <c r="D1018" s="23" t="str">
        <f t="shared" si="45"/>
        <v>ORD26003506</v>
      </c>
      <c r="E1018" s="38">
        <v>46271</v>
      </c>
      <c r="F1018" s="23" t="s">
        <v>12410</v>
      </c>
      <c r="G1018" s="23" t="s">
        <v>75</v>
      </c>
      <c r="H1018" s="24">
        <v>8348</v>
      </c>
      <c r="I1018" s="24">
        <v>25.04</v>
      </c>
      <c r="J1018" s="24">
        <v>4.51</v>
      </c>
      <c r="K1018" s="24">
        <v>8318.4500000000007</v>
      </c>
      <c r="L1018" s="38">
        <v>46273</v>
      </c>
      <c r="M1018" s="23" t="s">
        <v>191</v>
      </c>
      <c r="N1018" s="23" t="str">
        <f>IF(COUNTIF($A$2:A1018,A1018)&gt;1,"DUP","OK")</f>
        <v>OK</v>
      </c>
      <c r="O1018" s="23" t="str">
        <f t="shared" si="46"/>
        <v>ORD26003506</v>
      </c>
      <c r="P1018" s="23" t="str">
        <f t="shared" si="47"/>
        <v>Sep</v>
      </c>
      <c r="Q1018" s="23" t="str">
        <f>IF(F1018="CAPTURE",IF(COUNTIF(orders!$A:$A,O1018)&gt;0,"Yes","NO ORDER"),"")</f>
        <v>Yes</v>
      </c>
    </row>
    <row r="1019" spans="1:17" ht="15" customHeight="1" x14ac:dyDescent="0.3">
      <c r="A1019" s="23" t="s">
        <v>13597</v>
      </c>
      <c r="B1019" s="23"/>
      <c r="C1019" s="23" t="s">
        <v>7532</v>
      </c>
      <c r="D1019" s="23" t="str">
        <f t="shared" si="45"/>
        <v>ORD26003518</v>
      </c>
      <c r="E1019" s="38">
        <v>46271</v>
      </c>
      <c r="F1019" s="23" t="s">
        <v>12410</v>
      </c>
      <c r="G1019" s="23" t="s">
        <v>77</v>
      </c>
      <c r="H1019" s="24">
        <v>3499</v>
      </c>
      <c r="I1019" s="24">
        <v>59.48</v>
      </c>
      <c r="J1019" s="24">
        <v>10.71</v>
      </c>
      <c r="K1019" s="24">
        <v>3428.81</v>
      </c>
      <c r="L1019" s="38">
        <v>46273</v>
      </c>
      <c r="M1019" s="23" t="s">
        <v>191</v>
      </c>
      <c r="N1019" s="23" t="str">
        <f>IF(COUNTIF($A$2:A1019,A1019)&gt;1,"DUP","OK")</f>
        <v>OK</v>
      </c>
      <c r="O1019" s="23" t="str">
        <f t="shared" si="46"/>
        <v>ORD26003518</v>
      </c>
      <c r="P1019" s="23" t="str">
        <f t="shared" si="47"/>
        <v>Sep</v>
      </c>
      <c r="Q1019" s="23" t="str">
        <f>IF(F1019="CAPTURE",IF(COUNTIF(orders!$A:$A,O1019)&gt;0,"Yes","NO ORDER"),"")</f>
        <v>Yes</v>
      </c>
    </row>
    <row r="1020" spans="1:17" ht="15" customHeight="1" x14ac:dyDescent="0.3">
      <c r="A1020" s="23" t="s">
        <v>13598</v>
      </c>
      <c r="B1020" s="23"/>
      <c r="C1020" s="23" t="s">
        <v>7564</v>
      </c>
      <c r="D1020" s="23" t="str">
        <f t="shared" si="45"/>
        <v>ORD26003534</v>
      </c>
      <c r="E1020" s="38">
        <v>46271</v>
      </c>
      <c r="F1020" s="23" t="s">
        <v>12410</v>
      </c>
      <c r="G1020" s="23" t="s">
        <v>79</v>
      </c>
      <c r="H1020" s="24">
        <v>8348</v>
      </c>
      <c r="I1020" s="24">
        <v>133.57</v>
      </c>
      <c r="J1020" s="24">
        <v>24.04</v>
      </c>
      <c r="K1020" s="24">
        <v>8190.39</v>
      </c>
      <c r="L1020" s="38">
        <v>46273</v>
      </c>
      <c r="M1020" s="23" t="s">
        <v>191</v>
      </c>
      <c r="N1020" s="23" t="str">
        <f>IF(COUNTIF($A$2:A1020,A1020)&gt;1,"DUP","OK")</f>
        <v>OK</v>
      </c>
      <c r="O1020" s="23" t="str">
        <f t="shared" si="46"/>
        <v>ORD26003534</v>
      </c>
      <c r="P1020" s="23" t="str">
        <f t="shared" si="47"/>
        <v>Sep</v>
      </c>
      <c r="Q1020" s="23" t="str">
        <f>IF(F1020="CAPTURE",IF(COUNTIF(orders!$A:$A,O1020)&gt;0,"Yes","NO ORDER"),"")</f>
        <v>Yes</v>
      </c>
    </row>
    <row r="1021" spans="1:17" ht="15" customHeight="1" x14ac:dyDescent="0.3">
      <c r="A1021" s="23" t="s">
        <v>13599</v>
      </c>
      <c r="B1021" s="23"/>
      <c r="C1021" s="23" t="s">
        <v>7576</v>
      </c>
      <c r="D1021" s="23" t="str">
        <f t="shared" si="45"/>
        <v>ORD26003540</v>
      </c>
      <c r="E1021" s="38">
        <v>46271</v>
      </c>
      <c r="F1021" s="23" t="s">
        <v>12410</v>
      </c>
      <c r="G1021" s="23" t="s">
        <v>79</v>
      </c>
      <c r="H1021" s="24">
        <v>1799</v>
      </c>
      <c r="I1021" s="24">
        <v>32.380000000000003</v>
      </c>
      <c r="J1021" s="24">
        <v>5.83</v>
      </c>
      <c r="K1021" s="24">
        <v>1760.79</v>
      </c>
      <c r="L1021" s="38">
        <v>46273</v>
      </c>
      <c r="M1021" s="23" t="s">
        <v>191</v>
      </c>
      <c r="N1021" s="23" t="str">
        <f>IF(COUNTIF($A$2:A1021,A1021)&gt;1,"DUP","OK")</f>
        <v>OK</v>
      </c>
      <c r="O1021" s="23" t="str">
        <f t="shared" si="46"/>
        <v>ORD26003540</v>
      </c>
      <c r="P1021" s="23" t="str">
        <f t="shared" si="47"/>
        <v>Sep</v>
      </c>
      <c r="Q1021" s="23" t="str">
        <f>IF(F1021="CAPTURE",IF(COUNTIF(orders!$A:$A,O1021)&gt;0,"Yes","NO ORDER"),"")</f>
        <v>Yes</v>
      </c>
    </row>
    <row r="1022" spans="1:17" ht="15" customHeight="1" x14ac:dyDescent="0.3">
      <c r="A1022" s="23" t="s">
        <v>13600</v>
      </c>
      <c r="B1022" s="23"/>
      <c r="C1022" s="23" t="s">
        <v>13601</v>
      </c>
      <c r="D1022" s="23" t="str">
        <f t="shared" si="45"/>
        <v>ORD26003555</v>
      </c>
      <c r="E1022" s="38">
        <v>46271</v>
      </c>
      <c r="F1022" s="23" t="s">
        <v>12410</v>
      </c>
      <c r="G1022" s="23" t="s">
        <v>79</v>
      </c>
      <c r="H1022" s="24">
        <v>299</v>
      </c>
      <c r="I1022" s="24">
        <v>5.38</v>
      </c>
      <c r="J1022" s="24">
        <v>0.97</v>
      </c>
      <c r="K1022" s="24">
        <v>292.64999999999998</v>
      </c>
      <c r="L1022" s="38">
        <v>46273</v>
      </c>
      <c r="M1022" s="23" t="s">
        <v>191</v>
      </c>
      <c r="N1022" s="23" t="str">
        <f>IF(COUNTIF($A$2:A1022,A1022)&gt;1,"DUP","OK")</f>
        <v>OK</v>
      </c>
      <c r="O1022" s="23" t="str">
        <f t="shared" si="46"/>
        <v>ORD26003555</v>
      </c>
      <c r="P1022" s="23" t="str">
        <f t="shared" si="47"/>
        <v>Sep</v>
      </c>
      <c r="Q1022" s="23" t="str">
        <f>IF(F1022="CAPTURE",IF(COUNTIF(orders!$A:$A,O1022)&gt;0,"Yes","NO ORDER"),"")</f>
        <v>Yes</v>
      </c>
    </row>
    <row r="1023" spans="1:17" ht="15" customHeight="1" x14ac:dyDescent="0.3">
      <c r="A1023" s="23" t="s">
        <v>13602</v>
      </c>
      <c r="B1023" s="23"/>
      <c r="C1023" s="23" t="s">
        <v>7646</v>
      </c>
      <c r="D1023" s="23" t="str">
        <f t="shared" si="45"/>
        <v>ORD26003575</v>
      </c>
      <c r="E1023" s="38">
        <v>46271</v>
      </c>
      <c r="F1023" s="23" t="s">
        <v>12410</v>
      </c>
      <c r="G1023" s="23" t="s">
        <v>79</v>
      </c>
      <c r="H1023" s="24">
        <v>3499</v>
      </c>
      <c r="I1023" s="24">
        <v>55.98</v>
      </c>
      <c r="J1023" s="24">
        <v>10.08</v>
      </c>
      <c r="K1023" s="24">
        <v>3432.94</v>
      </c>
      <c r="L1023" s="38">
        <v>46273</v>
      </c>
      <c r="M1023" s="23" t="s">
        <v>191</v>
      </c>
      <c r="N1023" s="23" t="str">
        <f>IF(COUNTIF($A$2:A1023,A1023)&gt;1,"DUP","OK")</f>
        <v>OK</v>
      </c>
      <c r="O1023" s="23" t="str">
        <f t="shared" si="46"/>
        <v>ORD26003575</v>
      </c>
      <c r="P1023" s="23" t="str">
        <f t="shared" si="47"/>
        <v>Sep</v>
      </c>
      <c r="Q1023" s="23" t="str">
        <f>IF(F1023="CAPTURE",IF(COUNTIF(orders!$A:$A,O1023)&gt;0,"Yes","NO ORDER"),"")</f>
        <v>Yes</v>
      </c>
    </row>
    <row r="1024" spans="1:17" ht="15" customHeight="1" x14ac:dyDescent="0.3">
      <c r="A1024" s="23" t="s">
        <v>13603</v>
      </c>
      <c r="B1024" s="23"/>
      <c r="C1024" s="23" t="s">
        <v>7654</v>
      </c>
      <c r="D1024" s="23" t="str">
        <f t="shared" si="45"/>
        <v>ORD26003579</v>
      </c>
      <c r="E1024" s="38">
        <v>46271</v>
      </c>
      <c r="F1024" s="23" t="s">
        <v>12410</v>
      </c>
      <c r="G1024" s="23" t="s">
        <v>79</v>
      </c>
      <c r="H1024" s="24">
        <v>7999</v>
      </c>
      <c r="I1024" s="24">
        <v>127.98</v>
      </c>
      <c r="J1024" s="24">
        <v>23.04</v>
      </c>
      <c r="K1024" s="24">
        <v>7847.98</v>
      </c>
      <c r="L1024" s="38">
        <v>46273</v>
      </c>
      <c r="M1024" s="23" t="s">
        <v>191</v>
      </c>
      <c r="N1024" s="23" t="str">
        <f>IF(COUNTIF($A$2:A1024,A1024)&gt;1,"DUP","OK")</f>
        <v>OK</v>
      </c>
      <c r="O1024" s="23" t="str">
        <f t="shared" si="46"/>
        <v>ORD26003579</v>
      </c>
      <c r="P1024" s="23" t="str">
        <f t="shared" si="47"/>
        <v>Sep</v>
      </c>
      <c r="Q1024" s="23" t="str">
        <f>IF(F1024="CAPTURE",IF(COUNTIF(orders!$A:$A,O1024)&gt;0,"Yes","NO ORDER"),"")</f>
        <v>Yes</v>
      </c>
    </row>
    <row r="1025" spans="1:17" ht="15" customHeight="1" x14ac:dyDescent="0.3">
      <c r="A1025" s="23" t="s">
        <v>13604</v>
      </c>
      <c r="B1025" s="23"/>
      <c r="C1025" s="23" t="s">
        <v>7658</v>
      </c>
      <c r="D1025" s="23" t="str">
        <f t="shared" si="45"/>
        <v>ORD26003581</v>
      </c>
      <c r="E1025" s="38">
        <v>46271</v>
      </c>
      <c r="F1025" s="23" t="s">
        <v>12410</v>
      </c>
      <c r="G1025" s="23" t="s">
        <v>75</v>
      </c>
      <c r="H1025" s="24">
        <v>1898</v>
      </c>
      <c r="I1025" s="24">
        <v>0</v>
      </c>
      <c r="J1025" s="24">
        <v>0</v>
      </c>
      <c r="K1025" s="24">
        <v>1898</v>
      </c>
      <c r="L1025" s="38">
        <v>46273</v>
      </c>
      <c r="M1025" s="23" t="s">
        <v>191</v>
      </c>
      <c r="N1025" s="23" t="str">
        <f>IF(COUNTIF($A$2:A1025,A1025)&gt;1,"DUP","OK")</f>
        <v>OK</v>
      </c>
      <c r="O1025" s="23" t="str">
        <f t="shared" si="46"/>
        <v>ORD26003581</v>
      </c>
      <c r="P1025" s="23" t="str">
        <f t="shared" si="47"/>
        <v>Sep</v>
      </c>
      <c r="Q1025" s="23" t="str">
        <f>IF(F1025="CAPTURE",IF(COUNTIF(orders!$A:$A,O1025)&gt;0,"Yes","NO ORDER"),"")</f>
        <v>Yes</v>
      </c>
    </row>
    <row r="1026" spans="1:17" ht="15" customHeight="1" x14ac:dyDescent="0.3">
      <c r="A1026" s="23" t="s">
        <v>13605</v>
      </c>
      <c r="B1026" s="23"/>
      <c r="C1026" s="23" t="s">
        <v>7820</v>
      </c>
      <c r="D1026" s="23" t="str">
        <f t="shared" ref="D1026:D1089" si="48">UPPER(SUBSTITUTE(TRIM(C1026),"-",""))</f>
        <v>ORD26003665</v>
      </c>
      <c r="E1026" s="38">
        <v>46271</v>
      </c>
      <c r="F1026" s="23" t="s">
        <v>12410</v>
      </c>
      <c r="G1026" s="23" t="s">
        <v>81</v>
      </c>
      <c r="H1026" s="24">
        <v>3298</v>
      </c>
      <c r="I1026" s="24">
        <v>39.58</v>
      </c>
      <c r="J1026" s="24">
        <v>7.12</v>
      </c>
      <c r="K1026" s="24">
        <v>3251.3</v>
      </c>
      <c r="L1026" s="38">
        <v>46273</v>
      </c>
      <c r="M1026" s="23" t="s">
        <v>191</v>
      </c>
      <c r="N1026" s="23" t="str">
        <f>IF(COUNTIF($A$2:A1026,A1026)&gt;1,"DUP","OK")</f>
        <v>OK</v>
      </c>
      <c r="O1026" s="23" t="str">
        <f t="shared" ref="O1026:O1089" si="49">IF(F1026="REFUND",INDEX($D:$D,MATCH(B1026,$A:$A,0)),D1026)</f>
        <v>ORD26003665</v>
      </c>
      <c r="P1026" s="23" t="str">
        <f t="shared" ref="P1026:P1089" si="50">IF(L1026&gt;DATE(2026,9,30),"Oct-Due","Sep")</f>
        <v>Sep</v>
      </c>
      <c r="Q1026" s="23" t="str">
        <f>IF(F1026="CAPTURE",IF(COUNTIF(orders!$A:$A,O1026)&gt;0,"Yes","NO ORDER"),"")</f>
        <v>Yes</v>
      </c>
    </row>
    <row r="1027" spans="1:17" ht="15" customHeight="1" x14ac:dyDescent="0.3">
      <c r="A1027" s="23" t="s">
        <v>13606</v>
      </c>
      <c r="B1027" s="23"/>
      <c r="C1027" s="23" t="s">
        <v>7835</v>
      </c>
      <c r="D1027" s="23" t="str">
        <f t="shared" si="48"/>
        <v>ORD26003673</v>
      </c>
      <c r="E1027" s="38">
        <v>46271</v>
      </c>
      <c r="F1027" s="23" t="s">
        <v>12410</v>
      </c>
      <c r="G1027" s="23" t="s">
        <v>75</v>
      </c>
      <c r="H1027" s="24">
        <v>1299</v>
      </c>
      <c r="I1027" s="24">
        <v>0</v>
      </c>
      <c r="J1027" s="24">
        <v>0</v>
      </c>
      <c r="K1027" s="24">
        <v>1299</v>
      </c>
      <c r="L1027" s="38">
        <v>46273</v>
      </c>
      <c r="M1027" s="23" t="s">
        <v>191</v>
      </c>
      <c r="N1027" s="23" t="str">
        <f>IF(COUNTIF($A$2:A1027,A1027)&gt;1,"DUP","OK")</f>
        <v>OK</v>
      </c>
      <c r="O1027" s="23" t="str">
        <f t="shared" si="49"/>
        <v>ORD26003673</v>
      </c>
      <c r="P1027" s="23" t="str">
        <f t="shared" si="50"/>
        <v>Sep</v>
      </c>
      <c r="Q1027" s="23" t="str">
        <f>IF(F1027="CAPTURE",IF(COUNTIF(orders!$A:$A,O1027)&gt;0,"Yes","NO ORDER"),"")</f>
        <v>Yes</v>
      </c>
    </row>
    <row r="1028" spans="1:17" ht="15" customHeight="1" x14ac:dyDescent="0.3">
      <c r="A1028" s="23" t="s">
        <v>13607</v>
      </c>
      <c r="B1028" s="23"/>
      <c r="C1028" s="23" t="s">
        <v>8319</v>
      </c>
      <c r="D1028" s="23" t="str">
        <f t="shared" si="48"/>
        <v>ORD26003916</v>
      </c>
      <c r="E1028" s="38">
        <v>46271</v>
      </c>
      <c r="F1028" s="23" t="s">
        <v>12410</v>
      </c>
      <c r="G1028" s="23" t="s">
        <v>75</v>
      </c>
      <c r="H1028" s="24">
        <v>2398</v>
      </c>
      <c r="I1028" s="24">
        <v>7.19</v>
      </c>
      <c r="J1028" s="24">
        <v>1.29</v>
      </c>
      <c r="K1028" s="24">
        <v>2389.52</v>
      </c>
      <c r="L1028" s="38">
        <v>46273</v>
      </c>
      <c r="M1028" s="23" t="s">
        <v>191</v>
      </c>
      <c r="N1028" s="23" t="str">
        <f>IF(COUNTIF($A$2:A1028,A1028)&gt;1,"DUP","OK")</f>
        <v>OK</v>
      </c>
      <c r="O1028" s="23" t="str">
        <f t="shared" si="49"/>
        <v>ORD26003916</v>
      </c>
      <c r="P1028" s="23" t="str">
        <f t="shared" si="50"/>
        <v>Sep</v>
      </c>
      <c r="Q1028" s="23" t="str">
        <f>IF(F1028="CAPTURE",IF(COUNTIF(orders!$A:$A,O1028)&gt;0,"Yes","NO ORDER"),"")</f>
        <v>Yes</v>
      </c>
    </row>
    <row r="1029" spans="1:17" ht="15" customHeight="1" x14ac:dyDescent="0.3">
      <c r="A1029" s="23" t="s">
        <v>13608</v>
      </c>
      <c r="B1029" s="23"/>
      <c r="C1029" s="23" t="s">
        <v>8361</v>
      </c>
      <c r="D1029" s="23" t="str">
        <f t="shared" si="48"/>
        <v>ORD26003937</v>
      </c>
      <c r="E1029" s="38">
        <v>46271</v>
      </c>
      <c r="F1029" s="23" t="s">
        <v>12410</v>
      </c>
      <c r="G1029" s="23" t="s">
        <v>75</v>
      </c>
      <c r="H1029" s="24">
        <v>2999</v>
      </c>
      <c r="I1029" s="24">
        <v>9</v>
      </c>
      <c r="J1029" s="24">
        <v>1.62</v>
      </c>
      <c r="K1029" s="24">
        <v>2988.38</v>
      </c>
      <c r="L1029" s="38">
        <v>46273</v>
      </c>
      <c r="M1029" s="23" t="s">
        <v>191</v>
      </c>
      <c r="N1029" s="23" t="str">
        <f>IF(COUNTIF($A$2:A1029,A1029)&gt;1,"DUP","OK")</f>
        <v>OK</v>
      </c>
      <c r="O1029" s="23" t="str">
        <f t="shared" si="49"/>
        <v>ORD26003937</v>
      </c>
      <c r="P1029" s="23" t="str">
        <f t="shared" si="50"/>
        <v>Sep</v>
      </c>
      <c r="Q1029" s="23" t="str">
        <f>IF(F1029="CAPTURE",IF(COUNTIF(orders!$A:$A,O1029)&gt;0,"Yes","NO ORDER"),"")</f>
        <v>Yes</v>
      </c>
    </row>
    <row r="1030" spans="1:17" ht="15" customHeight="1" x14ac:dyDescent="0.3">
      <c r="A1030" s="23" t="s">
        <v>13609</v>
      </c>
      <c r="B1030" s="23"/>
      <c r="C1030" s="23" t="s">
        <v>8479</v>
      </c>
      <c r="D1030" s="23" t="str">
        <f t="shared" si="48"/>
        <v>ORD26003996</v>
      </c>
      <c r="E1030" s="38">
        <v>46271</v>
      </c>
      <c r="F1030" s="23" t="s">
        <v>12410</v>
      </c>
      <c r="G1030" s="23" t="s">
        <v>75</v>
      </c>
      <c r="H1030" s="24">
        <v>2999</v>
      </c>
      <c r="I1030" s="24">
        <v>9</v>
      </c>
      <c r="J1030" s="24">
        <v>1.62</v>
      </c>
      <c r="K1030" s="24">
        <v>2988.38</v>
      </c>
      <c r="L1030" s="38">
        <v>46273</v>
      </c>
      <c r="M1030" s="23" t="s">
        <v>191</v>
      </c>
      <c r="N1030" s="23" t="str">
        <f>IF(COUNTIF($A$2:A1030,A1030)&gt;1,"DUP","OK")</f>
        <v>OK</v>
      </c>
      <c r="O1030" s="23" t="str">
        <f t="shared" si="49"/>
        <v>ORD26003996</v>
      </c>
      <c r="P1030" s="23" t="str">
        <f t="shared" si="50"/>
        <v>Sep</v>
      </c>
      <c r="Q1030" s="23" t="str">
        <f>IF(F1030="CAPTURE",IF(COUNTIF(orders!$A:$A,O1030)&gt;0,"Yes","NO ORDER"),"")</f>
        <v>Yes</v>
      </c>
    </row>
    <row r="1031" spans="1:17" ht="15" customHeight="1" x14ac:dyDescent="0.3">
      <c r="A1031" s="23" t="s">
        <v>13610</v>
      </c>
      <c r="B1031" s="23"/>
      <c r="C1031" s="23" t="s">
        <v>8497</v>
      </c>
      <c r="D1031" s="23" t="str">
        <f t="shared" si="48"/>
        <v>ORD26004006</v>
      </c>
      <c r="E1031" s="38">
        <v>46271</v>
      </c>
      <c r="F1031" s="23" t="s">
        <v>12410</v>
      </c>
      <c r="G1031" s="23" t="s">
        <v>75</v>
      </c>
      <c r="H1031" s="24">
        <v>1798</v>
      </c>
      <c r="I1031" s="24">
        <v>0</v>
      </c>
      <c r="J1031" s="24">
        <v>0</v>
      </c>
      <c r="K1031" s="24">
        <v>1798</v>
      </c>
      <c r="L1031" s="38">
        <v>46273</v>
      </c>
      <c r="M1031" s="23" t="s">
        <v>191</v>
      </c>
      <c r="N1031" s="23" t="str">
        <f>IF(COUNTIF($A$2:A1031,A1031)&gt;1,"DUP","OK")</f>
        <v>OK</v>
      </c>
      <c r="O1031" s="23" t="str">
        <f t="shared" si="49"/>
        <v>ORD26004006</v>
      </c>
      <c r="P1031" s="23" t="str">
        <f t="shared" si="50"/>
        <v>Sep</v>
      </c>
      <c r="Q1031" s="23" t="str">
        <f>IF(F1031="CAPTURE",IF(COUNTIF(orders!$A:$A,O1031)&gt;0,"Yes","NO ORDER"),"")</f>
        <v>Yes</v>
      </c>
    </row>
    <row r="1032" spans="1:17" ht="15" customHeight="1" x14ac:dyDescent="0.3">
      <c r="A1032" s="23" t="s">
        <v>13611</v>
      </c>
      <c r="B1032" s="23"/>
      <c r="C1032" s="23" t="s">
        <v>8580</v>
      </c>
      <c r="D1032" s="23" t="str">
        <f t="shared" si="48"/>
        <v>ORD26004048</v>
      </c>
      <c r="E1032" s="38">
        <v>46271</v>
      </c>
      <c r="F1032" s="23" t="s">
        <v>12410</v>
      </c>
      <c r="G1032" s="23" t="s">
        <v>79</v>
      </c>
      <c r="H1032" s="24">
        <v>7999</v>
      </c>
      <c r="I1032" s="24">
        <v>127.98</v>
      </c>
      <c r="J1032" s="24">
        <v>23.04</v>
      </c>
      <c r="K1032" s="24">
        <v>7847.98</v>
      </c>
      <c r="L1032" s="38">
        <v>46273</v>
      </c>
      <c r="M1032" s="23" t="s">
        <v>191</v>
      </c>
      <c r="N1032" s="23" t="str">
        <f>IF(COUNTIF($A$2:A1032,A1032)&gt;1,"DUP","OK")</f>
        <v>OK</v>
      </c>
      <c r="O1032" s="23" t="str">
        <f t="shared" si="49"/>
        <v>ORD26004048</v>
      </c>
      <c r="P1032" s="23" t="str">
        <f t="shared" si="50"/>
        <v>Sep</v>
      </c>
      <c r="Q1032" s="23" t="str">
        <f>IF(F1032="CAPTURE",IF(COUNTIF(orders!$A:$A,O1032)&gt;0,"Yes","NO ORDER"),"")</f>
        <v>Yes</v>
      </c>
    </row>
    <row r="1033" spans="1:17" ht="15" customHeight="1" x14ac:dyDescent="0.3">
      <c r="A1033" s="23" t="s">
        <v>13612</v>
      </c>
      <c r="B1033" s="23"/>
      <c r="C1033" s="23" t="s">
        <v>8650</v>
      </c>
      <c r="D1033" s="23" t="str">
        <f t="shared" si="48"/>
        <v>ORD26004084</v>
      </c>
      <c r="E1033" s="38">
        <v>46271</v>
      </c>
      <c r="F1033" s="23" t="s">
        <v>12410</v>
      </c>
      <c r="G1033" s="23" t="s">
        <v>75</v>
      </c>
      <c r="H1033" s="24">
        <v>3397</v>
      </c>
      <c r="I1033" s="24">
        <v>10.19</v>
      </c>
      <c r="J1033" s="24">
        <v>1.83</v>
      </c>
      <c r="K1033" s="24">
        <v>3384.98</v>
      </c>
      <c r="L1033" s="38">
        <v>46273</v>
      </c>
      <c r="M1033" s="23" t="s">
        <v>191</v>
      </c>
      <c r="N1033" s="23" t="str">
        <f>IF(COUNTIF($A$2:A1033,A1033)&gt;1,"DUP","OK")</f>
        <v>OK</v>
      </c>
      <c r="O1033" s="23" t="str">
        <f t="shared" si="49"/>
        <v>ORD26004084</v>
      </c>
      <c r="P1033" s="23" t="str">
        <f t="shared" si="50"/>
        <v>Sep</v>
      </c>
      <c r="Q1033" s="23" t="str">
        <f>IF(F1033="CAPTURE",IF(COUNTIF(orders!$A:$A,O1033)&gt;0,"Yes","NO ORDER"),"")</f>
        <v>Yes</v>
      </c>
    </row>
    <row r="1034" spans="1:17" ht="15" customHeight="1" x14ac:dyDescent="0.3">
      <c r="A1034" s="23" t="s">
        <v>13613</v>
      </c>
      <c r="B1034" s="23"/>
      <c r="C1034" s="23" t="s">
        <v>8874</v>
      </c>
      <c r="D1034" s="23" t="str">
        <f t="shared" si="48"/>
        <v>ORD26004199</v>
      </c>
      <c r="E1034" s="38">
        <v>46271</v>
      </c>
      <c r="F1034" s="23" t="s">
        <v>12410</v>
      </c>
      <c r="G1034" s="23" t="s">
        <v>79</v>
      </c>
      <c r="H1034" s="24">
        <v>799</v>
      </c>
      <c r="I1034" s="24">
        <v>14.38</v>
      </c>
      <c r="J1034" s="24">
        <v>2.59</v>
      </c>
      <c r="K1034" s="24">
        <v>782.03</v>
      </c>
      <c r="L1034" s="38">
        <v>46273</v>
      </c>
      <c r="M1034" s="23" t="s">
        <v>191</v>
      </c>
      <c r="N1034" s="23" t="str">
        <f>IF(COUNTIF($A$2:A1034,A1034)&gt;1,"DUP","OK")</f>
        <v>OK</v>
      </c>
      <c r="O1034" s="23" t="str">
        <f t="shared" si="49"/>
        <v>ORD26004199</v>
      </c>
      <c r="P1034" s="23" t="str">
        <f t="shared" si="50"/>
        <v>Sep</v>
      </c>
      <c r="Q1034" s="23" t="str">
        <f>IF(F1034="CAPTURE",IF(COUNTIF(orders!$A:$A,O1034)&gt;0,"Yes","NO ORDER"),"")</f>
        <v>Yes</v>
      </c>
    </row>
    <row r="1035" spans="1:17" ht="15" customHeight="1" x14ac:dyDescent="0.3">
      <c r="A1035" s="23" t="s">
        <v>13614</v>
      </c>
      <c r="B1035" s="23"/>
      <c r="C1035" s="23" t="s">
        <v>9020</v>
      </c>
      <c r="D1035" s="23" t="str">
        <f t="shared" si="48"/>
        <v>ORD26004274</v>
      </c>
      <c r="E1035" s="38">
        <v>46271</v>
      </c>
      <c r="F1035" s="23" t="s">
        <v>12410</v>
      </c>
      <c r="G1035" s="23" t="s">
        <v>75</v>
      </c>
      <c r="H1035" s="24">
        <v>4999</v>
      </c>
      <c r="I1035" s="24">
        <v>15</v>
      </c>
      <c r="J1035" s="24">
        <v>2.7</v>
      </c>
      <c r="K1035" s="24">
        <v>4981.3</v>
      </c>
      <c r="L1035" s="38">
        <v>46273</v>
      </c>
      <c r="M1035" s="23" t="s">
        <v>191</v>
      </c>
      <c r="N1035" s="23" t="str">
        <f>IF(COUNTIF($A$2:A1035,A1035)&gt;1,"DUP","OK")</f>
        <v>OK</v>
      </c>
      <c r="O1035" s="23" t="str">
        <f t="shared" si="49"/>
        <v>ORD26004274</v>
      </c>
      <c r="P1035" s="23" t="str">
        <f t="shared" si="50"/>
        <v>Sep</v>
      </c>
      <c r="Q1035" s="23" t="str">
        <f>IF(F1035="CAPTURE",IF(COUNTIF(orders!$A:$A,O1035)&gt;0,"Yes","NO ORDER"),"")</f>
        <v>Yes</v>
      </c>
    </row>
    <row r="1036" spans="1:17" ht="15" customHeight="1" x14ac:dyDescent="0.3">
      <c r="A1036" s="23" t="s">
        <v>13615</v>
      </c>
      <c r="B1036" s="23"/>
      <c r="C1036" s="23" t="s">
        <v>9062</v>
      </c>
      <c r="D1036" s="23" t="str">
        <f t="shared" si="48"/>
        <v>ORD26004294</v>
      </c>
      <c r="E1036" s="38">
        <v>46271</v>
      </c>
      <c r="F1036" s="23" t="s">
        <v>12410</v>
      </c>
      <c r="G1036" s="23" t="s">
        <v>75</v>
      </c>
      <c r="H1036" s="24">
        <v>4347</v>
      </c>
      <c r="I1036" s="24">
        <v>13.04</v>
      </c>
      <c r="J1036" s="24">
        <v>2.35</v>
      </c>
      <c r="K1036" s="24">
        <v>4331.6099999999997</v>
      </c>
      <c r="L1036" s="38">
        <v>46273</v>
      </c>
      <c r="M1036" s="23" t="s">
        <v>191</v>
      </c>
      <c r="N1036" s="23" t="str">
        <f>IF(COUNTIF($A$2:A1036,A1036)&gt;1,"DUP","OK")</f>
        <v>OK</v>
      </c>
      <c r="O1036" s="23" t="str">
        <f t="shared" si="49"/>
        <v>ORD26004294</v>
      </c>
      <c r="P1036" s="23" t="str">
        <f t="shared" si="50"/>
        <v>Sep</v>
      </c>
      <c r="Q1036" s="23" t="str">
        <f>IF(F1036="CAPTURE",IF(COUNTIF(orders!$A:$A,O1036)&gt;0,"Yes","NO ORDER"),"")</f>
        <v>Yes</v>
      </c>
    </row>
    <row r="1037" spans="1:17" ht="15" customHeight="1" x14ac:dyDescent="0.3">
      <c r="A1037" s="23" t="s">
        <v>13616</v>
      </c>
      <c r="B1037" s="23"/>
      <c r="C1037" s="23" t="s">
        <v>9082</v>
      </c>
      <c r="D1037" s="23" t="str">
        <f t="shared" si="48"/>
        <v>ORD26004303</v>
      </c>
      <c r="E1037" s="38">
        <v>46271</v>
      </c>
      <c r="F1037" s="23" t="s">
        <v>12410</v>
      </c>
      <c r="G1037" s="23" t="s">
        <v>75</v>
      </c>
      <c r="H1037" s="24">
        <v>1499</v>
      </c>
      <c r="I1037" s="24">
        <v>0</v>
      </c>
      <c r="J1037" s="24">
        <v>0</v>
      </c>
      <c r="K1037" s="24">
        <v>1499</v>
      </c>
      <c r="L1037" s="38">
        <v>46273</v>
      </c>
      <c r="M1037" s="23" t="s">
        <v>191</v>
      </c>
      <c r="N1037" s="23" t="str">
        <f>IF(COUNTIF($A$2:A1037,A1037)&gt;1,"DUP","OK")</f>
        <v>OK</v>
      </c>
      <c r="O1037" s="23" t="str">
        <f t="shared" si="49"/>
        <v>ORD26004303</v>
      </c>
      <c r="P1037" s="23" t="str">
        <f t="shared" si="50"/>
        <v>Sep</v>
      </c>
      <c r="Q1037" s="23" t="str">
        <f>IF(F1037="CAPTURE",IF(COUNTIF(orders!$A:$A,O1037)&gt;0,"Yes","NO ORDER"),"")</f>
        <v>Yes</v>
      </c>
    </row>
    <row r="1038" spans="1:17" ht="15" customHeight="1" x14ac:dyDescent="0.3">
      <c r="A1038" s="23" t="s">
        <v>13617</v>
      </c>
      <c r="B1038" s="23"/>
      <c r="C1038" s="23" t="s">
        <v>9316</v>
      </c>
      <c r="D1038" s="23" t="str">
        <f t="shared" si="48"/>
        <v>ORD26004421</v>
      </c>
      <c r="E1038" s="38">
        <v>46271</v>
      </c>
      <c r="F1038" s="23" t="s">
        <v>12410</v>
      </c>
      <c r="G1038" s="23" t="s">
        <v>75</v>
      </c>
      <c r="H1038" s="24">
        <v>349</v>
      </c>
      <c r="I1038" s="24">
        <v>0</v>
      </c>
      <c r="J1038" s="24">
        <v>0</v>
      </c>
      <c r="K1038" s="24">
        <v>349</v>
      </c>
      <c r="L1038" s="38">
        <v>46273</v>
      </c>
      <c r="M1038" s="23" t="s">
        <v>191</v>
      </c>
      <c r="N1038" s="23" t="str">
        <f>IF(COUNTIF($A$2:A1038,A1038)&gt;1,"DUP","OK")</f>
        <v>OK</v>
      </c>
      <c r="O1038" s="23" t="str">
        <f t="shared" si="49"/>
        <v>ORD26004421</v>
      </c>
      <c r="P1038" s="23" t="str">
        <f t="shared" si="50"/>
        <v>Sep</v>
      </c>
      <c r="Q1038" s="23" t="str">
        <f>IF(F1038="CAPTURE",IF(COUNTIF(orders!$A:$A,O1038)&gt;0,"Yes","NO ORDER"),"")</f>
        <v>Yes</v>
      </c>
    </row>
    <row r="1039" spans="1:17" ht="15" customHeight="1" x14ac:dyDescent="0.3">
      <c r="A1039" s="23" t="s">
        <v>13618</v>
      </c>
      <c r="B1039" s="23"/>
      <c r="C1039" s="23" t="s">
        <v>9378</v>
      </c>
      <c r="D1039" s="23" t="str">
        <f t="shared" si="48"/>
        <v>ORD26004452</v>
      </c>
      <c r="E1039" s="38">
        <v>46271</v>
      </c>
      <c r="F1039" s="23" t="s">
        <v>12410</v>
      </c>
      <c r="G1039" s="23" t="s">
        <v>75</v>
      </c>
      <c r="H1039" s="24">
        <v>6297</v>
      </c>
      <c r="I1039" s="24">
        <v>18.89</v>
      </c>
      <c r="J1039" s="24">
        <v>3.4</v>
      </c>
      <c r="K1039" s="24">
        <v>6274.71</v>
      </c>
      <c r="L1039" s="38">
        <v>46273</v>
      </c>
      <c r="M1039" s="23" t="s">
        <v>191</v>
      </c>
      <c r="N1039" s="23" t="str">
        <f>IF(COUNTIF($A$2:A1039,A1039)&gt;1,"DUP","OK")</f>
        <v>OK</v>
      </c>
      <c r="O1039" s="23" t="str">
        <f t="shared" si="49"/>
        <v>ORD26004452</v>
      </c>
      <c r="P1039" s="23" t="str">
        <f t="shared" si="50"/>
        <v>Sep</v>
      </c>
      <c r="Q1039" s="23" t="str">
        <f>IF(F1039="CAPTURE",IF(COUNTIF(orders!$A:$A,O1039)&gt;0,"Yes","NO ORDER"),"")</f>
        <v>Yes</v>
      </c>
    </row>
    <row r="1040" spans="1:17" ht="15" customHeight="1" x14ac:dyDescent="0.3">
      <c r="A1040" s="23" t="s">
        <v>13619</v>
      </c>
      <c r="B1040" s="23"/>
      <c r="C1040" s="23" t="s">
        <v>9390</v>
      </c>
      <c r="D1040" s="23" t="str">
        <f t="shared" si="48"/>
        <v>ORD26004458</v>
      </c>
      <c r="E1040" s="38">
        <v>46271</v>
      </c>
      <c r="F1040" s="23" t="s">
        <v>12410</v>
      </c>
      <c r="G1040" s="23" t="s">
        <v>79</v>
      </c>
      <c r="H1040" s="24">
        <v>299</v>
      </c>
      <c r="I1040" s="24">
        <v>5.38</v>
      </c>
      <c r="J1040" s="24">
        <v>0.97</v>
      </c>
      <c r="K1040" s="24">
        <v>292.64999999999998</v>
      </c>
      <c r="L1040" s="38">
        <v>46273</v>
      </c>
      <c r="M1040" s="23" t="s">
        <v>191</v>
      </c>
      <c r="N1040" s="23" t="str">
        <f>IF(COUNTIF($A$2:A1040,A1040)&gt;1,"DUP","OK")</f>
        <v>OK</v>
      </c>
      <c r="O1040" s="23" t="str">
        <f t="shared" si="49"/>
        <v>ORD26004458</v>
      </c>
      <c r="P1040" s="23" t="str">
        <f t="shared" si="50"/>
        <v>Sep</v>
      </c>
      <c r="Q1040" s="23" t="str">
        <f>IF(F1040="CAPTURE",IF(COUNTIF(orders!$A:$A,O1040)&gt;0,"Yes","NO ORDER"),"")</f>
        <v>Yes</v>
      </c>
    </row>
    <row r="1041" spans="1:17" ht="15" customHeight="1" x14ac:dyDescent="0.3">
      <c r="A1041" s="23" t="s">
        <v>13620</v>
      </c>
      <c r="B1041" s="23"/>
      <c r="C1041" s="23" t="s">
        <v>13621</v>
      </c>
      <c r="D1041" s="23" t="str">
        <f t="shared" si="48"/>
        <v>ORD26004499</v>
      </c>
      <c r="E1041" s="38">
        <v>46271</v>
      </c>
      <c r="F1041" s="23" t="s">
        <v>12410</v>
      </c>
      <c r="G1041" s="23" t="s">
        <v>79</v>
      </c>
      <c r="H1041" s="24">
        <v>2598</v>
      </c>
      <c r="I1041" s="24">
        <v>41.57</v>
      </c>
      <c r="J1041" s="24">
        <v>7.48</v>
      </c>
      <c r="K1041" s="24">
        <v>2548.9499999999998</v>
      </c>
      <c r="L1041" s="38">
        <v>46273</v>
      </c>
      <c r="M1041" s="23" t="s">
        <v>191</v>
      </c>
      <c r="N1041" s="23" t="str">
        <f>IF(COUNTIF($A$2:A1041,A1041)&gt;1,"DUP","OK")</f>
        <v>OK</v>
      </c>
      <c r="O1041" s="23" t="str">
        <f t="shared" si="49"/>
        <v>ORD26004499</v>
      </c>
      <c r="P1041" s="23" t="str">
        <f t="shared" si="50"/>
        <v>Sep</v>
      </c>
      <c r="Q1041" s="23" t="str">
        <f>IF(F1041="CAPTURE",IF(COUNTIF(orders!$A:$A,O1041)&gt;0,"Yes","NO ORDER"),"")</f>
        <v>Yes</v>
      </c>
    </row>
    <row r="1042" spans="1:17" ht="15" customHeight="1" x14ac:dyDescent="0.3">
      <c r="A1042" s="23" t="s">
        <v>13622</v>
      </c>
      <c r="B1042" s="23"/>
      <c r="C1042" s="23" t="s">
        <v>9573</v>
      </c>
      <c r="D1042" s="23" t="str">
        <f t="shared" si="48"/>
        <v>ORD26004550</v>
      </c>
      <c r="E1042" s="38">
        <v>46271</v>
      </c>
      <c r="F1042" s="23" t="s">
        <v>12410</v>
      </c>
      <c r="G1042" s="23" t="s">
        <v>75</v>
      </c>
      <c r="H1042" s="24">
        <v>3798</v>
      </c>
      <c r="I1042" s="24">
        <v>11.39</v>
      </c>
      <c r="J1042" s="24">
        <v>2.0499999999999998</v>
      </c>
      <c r="K1042" s="24">
        <v>3784.56</v>
      </c>
      <c r="L1042" s="38">
        <v>46273</v>
      </c>
      <c r="M1042" s="23" t="s">
        <v>191</v>
      </c>
      <c r="N1042" s="23" t="str">
        <f>IF(COUNTIF($A$2:A1042,A1042)&gt;1,"DUP","OK")</f>
        <v>OK</v>
      </c>
      <c r="O1042" s="23" t="str">
        <f t="shared" si="49"/>
        <v>ORD26004550</v>
      </c>
      <c r="P1042" s="23" t="str">
        <f t="shared" si="50"/>
        <v>Sep</v>
      </c>
      <c r="Q1042" s="23" t="str">
        <f>IF(F1042="CAPTURE",IF(COUNTIF(orders!$A:$A,O1042)&gt;0,"Yes","NO ORDER"),"")</f>
        <v>Yes</v>
      </c>
    </row>
    <row r="1043" spans="1:17" ht="15" customHeight="1" x14ac:dyDescent="0.3">
      <c r="A1043" s="23" t="s">
        <v>13623</v>
      </c>
      <c r="B1043" s="23"/>
      <c r="C1043" s="23" t="s">
        <v>9613</v>
      </c>
      <c r="D1043" s="23" t="str">
        <f t="shared" si="48"/>
        <v>ORD26004570</v>
      </c>
      <c r="E1043" s="38">
        <v>46271</v>
      </c>
      <c r="F1043" s="23" t="s">
        <v>12410</v>
      </c>
      <c r="G1043" s="23" t="s">
        <v>75</v>
      </c>
      <c r="H1043" s="24">
        <v>2298</v>
      </c>
      <c r="I1043" s="24">
        <v>6.89</v>
      </c>
      <c r="J1043" s="24">
        <v>1.24</v>
      </c>
      <c r="K1043" s="24">
        <v>2289.87</v>
      </c>
      <c r="L1043" s="38">
        <v>46273</v>
      </c>
      <c r="M1043" s="23" t="s">
        <v>191</v>
      </c>
      <c r="N1043" s="23" t="str">
        <f>IF(COUNTIF($A$2:A1043,A1043)&gt;1,"DUP","OK")</f>
        <v>OK</v>
      </c>
      <c r="O1043" s="23" t="str">
        <f t="shared" si="49"/>
        <v>ORD26004570</v>
      </c>
      <c r="P1043" s="23" t="str">
        <f t="shared" si="50"/>
        <v>Sep</v>
      </c>
      <c r="Q1043" s="23" t="str">
        <f>IF(F1043="CAPTURE",IF(COUNTIF(orders!$A:$A,O1043)&gt;0,"Yes","NO ORDER"),"")</f>
        <v>Yes</v>
      </c>
    </row>
    <row r="1044" spans="1:17" ht="15" customHeight="1" x14ac:dyDescent="0.3">
      <c r="A1044" s="23" t="s">
        <v>13624</v>
      </c>
      <c r="B1044" s="23"/>
      <c r="C1044" s="23" t="s">
        <v>9749</v>
      </c>
      <c r="D1044" s="23" t="str">
        <f t="shared" si="48"/>
        <v>ORD26004639</v>
      </c>
      <c r="E1044" s="38">
        <v>46271</v>
      </c>
      <c r="F1044" s="23" t="s">
        <v>12410</v>
      </c>
      <c r="G1044" s="23" t="s">
        <v>79</v>
      </c>
      <c r="H1044" s="24">
        <v>8348</v>
      </c>
      <c r="I1044" s="24">
        <v>133.57</v>
      </c>
      <c r="J1044" s="24">
        <v>24.04</v>
      </c>
      <c r="K1044" s="24">
        <v>8190.39</v>
      </c>
      <c r="L1044" s="38">
        <v>46273</v>
      </c>
      <c r="M1044" s="23" t="s">
        <v>191</v>
      </c>
      <c r="N1044" s="23" t="str">
        <f>IF(COUNTIF($A$2:A1044,A1044)&gt;1,"DUP","OK")</f>
        <v>OK</v>
      </c>
      <c r="O1044" s="23" t="str">
        <f t="shared" si="49"/>
        <v>ORD26004639</v>
      </c>
      <c r="P1044" s="23" t="str">
        <f t="shared" si="50"/>
        <v>Sep</v>
      </c>
      <c r="Q1044" s="23" t="str">
        <f>IF(F1044="CAPTURE",IF(COUNTIF(orders!$A:$A,O1044)&gt;0,"Yes","NO ORDER"),"")</f>
        <v>Yes</v>
      </c>
    </row>
    <row r="1045" spans="1:17" ht="15" customHeight="1" x14ac:dyDescent="0.3">
      <c r="A1045" s="23" t="s">
        <v>13625</v>
      </c>
      <c r="B1045" s="23"/>
      <c r="C1045" s="23" t="s">
        <v>13626</v>
      </c>
      <c r="D1045" s="23" t="str">
        <f t="shared" si="48"/>
        <v>ORD26004648</v>
      </c>
      <c r="E1045" s="38">
        <v>46271</v>
      </c>
      <c r="F1045" s="23" t="s">
        <v>12410</v>
      </c>
      <c r="G1045" s="23" t="s">
        <v>75</v>
      </c>
      <c r="H1045" s="24">
        <v>599</v>
      </c>
      <c r="I1045" s="24">
        <v>0</v>
      </c>
      <c r="J1045" s="24">
        <v>0</v>
      </c>
      <c r="K1045" s="24">
        <v>599</v>
      </c>
      <c r="L1045" s="38">
        <v>46273</v>
      </c>
      <c r="M1045" s="23" t="s">
        <v>191</v>
      </c>
      <c r="N1045" s="23" t="str">
        <f>IF(COUNTIF($A$2:A1045,A1045)&gt;1,"DUP","OK")</f>
        <v>OK</v>
      </c>
      <c r="O1045" s="23" t="str">
        <f t="shared" si="49"/>
        <v>ORD26004648</v>
      </c>
      <c r="P1045" s="23" t="str">
        <f t="shared" si="50"/>
        <v>Sep</v>
      </c>
      <c r="Q1045" s="23" t="str">
        <f>IF(F1045="CAPTURE",IF(COUNTIF(orders!$A:$A,O1045)&gt;0,"Yes","NO ORDER"),"")</f>
        <v>Yes</v>
      </c>
    </row>
    <row r="1046" spans="1:17" ht="15" customHeight="1" x14ac:dyDescent="0.3">
      <c r="A1046" s="23" t="s">
        <v>13627</v>
      </c>
      <c r="B1046" s="23"/>
      <c r="C1046" s="23" t="s">
        <v>9781</v>
      </c>
      <c r="D1046" s="23" t="str">
        <f t="shared" si="48"/>
        <v>ORD26004656</v>
      </c>
      <c r="E1046" s="38">
        <v>46271</v>
      </c>
      <c r="F1046" s="23" t="s">
        <v>12410</v>
      </c>
      <c r="G1046" s="23" t="s">
        <v>75</v>
      </c>
      <c r="H1046" s="24">
        <v>349</v>
      </c>
      <c r="I1046" s="24">
        <v>0</v>
      </c>
      <c r="J1046" s="24">
        <v>0</v>
      </c>
      <c r="K1046" s="24">
        <v>349</v>
      </c>
      <c r="L1046" s="38">
        <v>46273</v>
      </c>
      <c r="M1046" s="23" t="s">
        <v>191</v>
      </c>
      <c r="N1046" s="23" t="str">
        <f>IF(COUNTIF($A$2:A1046,A1046)&gt;1,"DUP","OK")</f>
        <v>OK</v>
      </c>
      <c r="O1046" s="23" t="str">
        <f t="shared" si="49"/>
        <v>ORD26004656</v>
      </c>
      <c r="P1046" s="23" t="str">
        <f t="shared" si="50"/>
        <v>Sep</v>
      </c>
      <c r="Q1046" s="23" t="str">
        <f>IF(F1046="CAPTURE",IF(COUNTIF(orders!$A:$A,O1046)&gt;0,"Yes","NO ORDER"),"")</f>
        <v>Yes</v>
      </c>
    </row>
    <row r="1047" spans="1:17" ht="15" customHeight="1" x14ac:dyDescent="0.3">
      <c r="A1047" s="23" t="s">
        <v>13628</v>
      </c>
      <c r="B1047" s="23"/>
      <c r="C1047" s="23" t="s">
        <v>9799</v>
      </c>
      <c r="D1047" s="23" t="str">
        <f t="shared" si="48"/>
        <v>ORD26004665</v>
      </c>
      <c r="E1047" s="38">
        <v>46271</v>
      </c>
      <c r="F1047" s="23" t="s">
        <v>12410</v>
      </c>
      <c r="G1047" s="23" t="s">
        <v>77</v>
      </c>
      <c r="H1047" s="24">
        <v>2999</v>
      </c>
      <c r="I1047" s="24">
        <v>50.98</v>
      </c>
      <c r="J1047" s="24">
        <v>9.18</v>
      </c>
      <c r="K1047" s="24">
        <v>2938.84</v>
      </c>
      <c r="L1047" s="38">
        <v>46273</v>
      </c>
      <c r="M1047" s="23" t="s">
        <v>191</v>
      </c>
      <c r="N1047" s="23" t="str">
        <f>IF(COUNTIF($A$2:A1047,A1047)&gt;1,"DUP","OK")</f>
        <v>OK</v>
      </c>
      <c r="O1047" s="23" t="str">
        <f t="shared" si="49"/>
        <v>ORD26004665</v>
      </c>
      <c r="P1047" s="23" t="str">
        <f t="shared" si="50"/>
        <v>Sep</v>
      </c>
      <c r="Q1047" s="23" t="str">
        <f>IF(F1047="CAPTURE",IF(COUNTIF(orders!$A:$A,O1047)&gt;0,"Yes","NO ORDER"),"")</f>
        <v>Yes</v>
      </c>
    </row>
    <row r="1048" spans="1:17" ht="15" customHeight="1" x14ac:dyDescent="0.3">
      <c r="A1048" s="23" t="s">
        <v>13629</v>
      </c>
      <c r="B1048" s="23"/>
      <c r="C1048" s="23" t="s">
        <v>9816</v>
      </c>
      <c r="D1048" s="23" t="str">
        <f t="shared" si="48"/>
        <v>ORD26004674</v>
      </c>
      <c r="E1048" s="38">
        <v>46271</v>
      </c>
      <c r="F1048" s="23" t="s">
        <v>12410</v>
      </c>
      <c r="G1048" s="23" t="s">
        <v>79</v>
      </c>
      <c r="H1048" s="24">
        <v>499</v>
      </c>
      <c r="I1048" s="24">
        <v>8.98</v>
      </c>
      <c r="J1048" s="24">
        <v>1.62</v>
      </c>
      <c r="K1048" s="24">
        <v>488.4</v>
      </c>
      <c r="L1048" s="38">
        <v>46273</v>
      </c>
      <c r="M1048" s="23" t="s">
        <v>191</v>
      </c>
      <c r="N1048" s="23" t="str">
        <f>IF(COUNTIF($A$2:A1048,A1048)&gt;1,"DUP","OK")</f>
        <v>OK</v>
      </c>
      <c r="O1048" s="23" t="str">
        <f t="shared" si="49"/>
        <v>ORD26004674</v>
      </c>
      <c r="P1048" s="23" t="str">
        <f t="shared" si="50"/>
        <v>Sep</v>
      </c>
      <c r="Q1048" s="23" t="str">
        <f>IF(F1048="CAPTURE",IF(COUNTIF(orders!$A:$A,O1048)&gt;0,"Yes","NO ORDER"),"")</f>
        <v>Yes</v>
      </c>
    </row>
    <row r="1049" spans="1:17" ht="15" customHeight="1" x14ac:dyDescent="0.3">
      <c r="A1049" s="23" t="s">
        <v>13630</v>
      </c>
      <c r="B1049" s="23"/>
      <c r="C1049" s="23" t="s">
        <v>9856</v>
      </c>
      <c r="D1049" s="23" t="str">
        <f t="shared" si="48"/>
        <v>ORD26004694</v>
      </c>
      <c r="E1049" s="38">
        <v>46271</v>
      </c>
      <c r="F1049" s="23" t="s">
        <v>12410</v>
      </c>
      <c r="G1049" s="23" t="s">
        <v>75</v>
      </c>
      <c r="H1049" s="24">
        <v>3298</v>
      </c>
      <c r="I1049" s="24">
        <v>9.89</v>
      </c>
      <c r="J1049" s="24">
        <v>1.78</v>
      </c>
      <c r="K1049" s="24">
        <v>3286.33</v>
      </c>
      <c r="L1049" s="38">
        <v>46273</v>
      </c>
      <c r="M1049" s="23" t="s">
        <v>191</v>
      </c>
      <c r="N1049" s="23" t="str">
        <f>IF(COUNTIF($A$2:A1049,A1049)&gt;1,"DUP","OK")</f>
        <v>OK</v>
      </c>
      <c r="O1049" s="23" t="str">
        <f t="shared" si="49"/>
        <v>ORD26004694</v>
      </c>
      <c r="P1049" s="23" t="str">
        <f t="shared" si="50"/>
        <v>Sep</v>
      </c>
      <c r="Q1049" s="23" t="str">
        <f>IF(F1049="CAPTURE",IF(COUNTIF(orders!$A:$A,O1049)&gt;0,"Yes","NO ORDER"),"")</f>
        <v>Yes</v>
      </c>
    </row>
    <row r="1050" spans="1:17" ht="15" customHeight="1" x14ac:dyDescent="0.3">
      <c r="A1050" s="23" t="s">
        <v>13631</v>
      </c>
      <c r="B1050" s="23"/>
      <c r="C1050" s="23" t="s">
        <v>9868</v>
      </c>
      <c r="D1050" s="23" t="str">
        <f t="shared" si="48"/>
        <v>ORD26004700</v>
      </c>
      <c r="E1050" s="38">
        <v>46271</v>
      </c>
      <c r="F1050" s="23" t="s">
        <v>12410</v>
      </c>
      <c r="G1050" s="23" t="s">
        <v>75</v>
      </c>
      <c r="H1050" s="24">
        <v>7999</v>
      </c>
      <c r="I1050" s="24">
        <v>24</v>
      </c>
      <c r="J1050" s="24">
        <v>4.32</v>
      </c>
      <c r="K1050" s="24">
        <v>7970.68</v>
      </c>
      <c r="L1050" s="38">
        <v>46273</v>
      </c>
      <c r="M1050" s="23" t="s">
        <v>191</v>
      </c>
      <c r="N1050" s="23" t="str">
        <f>IF(COUNTIF($A$2:A1050,A1050)&gt;1,"DUP","OK")</f>
        <v>OK</v>
      </c>
      <c r="O1050" s="23" t="str">
        <f t="shared" si="49"/>
        <v>ORD26004700</v>
      </c>
      <c r="P1050" s="23" t="str">
        <f t="shared" si="50"/>
        <v>Sep</v>
      </c>
      <c r="Q1050" s="23" t="str">
        <f>IF(F1050="CAPTURE",IF(COUNTIF(orders!$A:$A,O1050)&gt;0,"Yes","NO ORDER"),"")</f>
        <v>Yes</v>
      </c>
    </row>
    <row r="1051" spans="1:17" ht="15" customHeight="1" x14ac:dyDescent="0.3">
      <c r="A1051" s="23" t="s">
        <v>13632</v>
      </c>
      <c r="B1051" s="23"/>
      <c r="C1051" s="23" t="s">
        <v>10160</v>
      </c>
      <c r="D1051" s="23" t="str">
        <f t="shared" si="48"/>
        <v>ORD26004850</v>
      </c>
      <c r="E1051" s="38">
        <v>46271</v>
      </c>
      <c r="F1051" s="23" t="s">
        <v>12410</v>
      </c>
      <c r="G1051" s="23" t="s">
        <v>75</v>
      </c>
      <c r="H1051" s="24">
        <v>5597</v>
      </c>
      <c r="I1051" s="24">
        <v>16.79</v>
      </c>
      <c r="J1051" s="24">
        <v>3.02</v>
      </c>
      <c r="K1051" s="24">
        <v>5577.19</v>
      </c>
      <c r="L1051" s="38">
        <v>46273</v>
      </c>
      <c r="M1051" s="23" t="s">
        <v>191</v>
      </c>
      <c r="N1051" s="23" t="str">
        <f>IF(COUNTIF($A$2:A1051,A1051)&gt;1,"DUP","OK")</f>
        <v>OK</v>
      </c>
      <c r="O1051" s="23" t="str">
        <f t="shared" si="49"/>
        <v>ORD26004850</v>
      </c>
      <c r="P1051" s="23" t="str">
        <f t="shared" si="50"/>
        <v>Sep</v>
      </c>
      <c r="Q1051" s="23" t="str">
        <f>IF(F1051="CAPTURE",IF(COUNTIF(orders!$A:$A,O1051)&gt;0,"Yes","NO ORDER"),"")</f>
        <v>Yes</v>
      </c>
    </row>
    <row r="1052" spans="1:17" ht="15" customHeight="1" x14ac:dyDescent="0.3">
      <c r="A1052" s="23" t="s">
        <v>13633</v>
      </c>
      <c r="B1052" s="23"/>
      <c r="C1052" s="23" t="s">
        <v>10237</v>
      </c>
      <c r="D1052" s="23" t="str">
        <f t="shared" si="48"/>
        <v>ORD26004890</v>
      </c>
      <c r="E1052" s="38">
        <v>46271</v>
      </c>
      <c r="F1052" s="23" t="s">
        <v>12410</v>
      </c>
      <c r="G1052" s="23" t="s">
        <v>75</v>
      </c>
      <c r="H1052" s="24">
        <v>4999</v>
      </c>
      <c r="I1052" s="24">
        <v>15</v>
      </c>
      <c r="J1052" s="24">
        <v>2.7</v>
      </c>
      <c r="K1052" s="24">
        <v>4981.3</v>
      </c>
      <c r="L1052" s="38">
        <v>46273</v>
      </c>
      <c r="M1052" s="23" t="s">
        <v>191</v>
      </c>
      <c r="N1052" s="23" t="str">
        <f>IF(COUNTIF($A$2:A1052,A1052)&gt;1,"DUP","OK")</f>
        <v>OK</v>
      </c>
      <c r="O1052" s="23" t="str">
        <f t="shared" si="49"/>
        <v>ORD26004890</v>
      </c>
      <c r="P1052" s="23" t="str">
        <f t="shared" si="50"/>
        <v>Sep</v>
      </c>
      <c r="Q1052" s="23" t="str">
        <f>IF(F1052="CAPTURE",IF(COUNTIF(orders!$A:$A,O1052)&gt;0,"Yes","NO ORDER"),"")</f>
        <v>Yes</v>
      </c>
    </row>
    <row r="1053" spans="1:17" ht="15" customHeight="1" x14ac:dyDescent="0.3">
      <c r="A1053" s="23" t="s">
        <v>13634</v>
      </c>
      <c r="B1053" s="23"/>
      <c r="C1053" s="23" t="s">
        <v>10322</v>
      </c>
      <c r="D1053" s="23" t="str">
        <f t="shared" si="48"/>
        <v>ORD26004933</v>
      </c>
      <c r="E1053" s="38">
        <v>46271</v>
      </c>
      <c r="F1053" s="23" t="s">
        <v>12410</v>
      </c>
      <c r="G1053" s="23" t="s">
        <v>75</v>
      </c>
      <c r="H1053" s="24">
        <v>12097</v>
      </c>
      <c r="I1053" s="24">
        <v>36.29</v>
      </c>
      <c r="J1053" s="24">
        <v>6.53</v>
      </c>
      <c r="K1053" s="24">
        <v>12054.18</v>
      </c>
      <c r="L1053" s="38">
        <v>46273</v>
      </c>
      <c r="M1053" s="23" t="s">
        <v>191</v>
      </c>
      <c r="N1053" s="23" t="str">
        <f>IF(COUNTIF($A$2:A1053,A1053)&gt;1,"DUP","OK")</f>
        <v>OK</v>
      </c>
      <c r="O1053" s="23" t="str">
        <f t="shared" si="49"/>
        <v>ORD26004933</v>
      </c>
      <c r="P1053" s="23" t="str">
        <f t="shared" si="50"/>
        <v>Sep</v>
      </c>
      <c r="Q1053" s="23" t="str">
        <f>IF(F1053="CAPTURE",IF(COUNTIF(orders!$A:$A,O1053)&gt;0,"Yes","NO ORDER"),"")</f>
        <v>Yes</v>
      </c>
    </row>
    <row r="1054" spans="1:17" ht="15" customHeight="1" x14ac:dyDescent="0.3">
      <c r="A1054" s="23" t="s">
        <v>13635</v>
      </c>
      <c r="B1054" s="23"/>
      <c r="C1054" s="23" t="s">
        <v>10330</v>
      </c>
      <c r="D1054" s="23" t="str">
        <f t="shared" si="48"/>
        <v>ORD26004937</v>
      </c>
      <c r="E1054" s="38">
        <v>46271</v>
      </c>
      <c r="F1054" s="23" t="s">
        <v>12410</v>
      </c>
      <c r="G1054" s="23" t="s">
        <v>81</v>
      </c>
      <c r="H1054" s="24">
        <v>299</v>
      </c>
      <c r="I1054" s="24">
        <v>4.49</v>
      </c>
      <c r="J1054" s="24">
        <v>0.81</v>
      </c>
      <c r="K1054" s="24">
        <v>293.7</v>
      </c>
      <c r="L1054" s="38">
        <v>46273</v>
      </c>
      <c r="M1054" s="23" t="s">
        <v>191</v>
      </c>
      <c r="N1054" s="23" t="str">
        <f>IF(COUNTIF($A$2:A1054,A1054)&gt;1,"DUP","OK")</f>
        <v>OK</v>
      </c>
      <c r="O1054" s="23" t="str">
        <f t="shared" si="49"/>
        <v>ORD26004937</v>
      </c>
      <c r="P1054" s="23" t="str">
        <f t="shared" si="50"/>
        <v>Sep</v>
      </c>
      <c r="Q1054" s="23" t="str">
        <f>IF(F1054="CAPTURE",IF(COUNTIF(orders!$A:$A,O1054)&gt;0,"Yes","NO ORDER"),"")</f>
        <v>Yes</v>
      </c>
    </row>
    <row r="1055" spans="1:17" ht="15" customHeight="1" x14ac:dyDescent="0.3">
      <c r="A1055" s="23" t="s">
        <v>13636</v>
      </c>
      <c r="B1055" s="23"/>
      <c r="C1055" s="23" t="s">
        <v>10338</v>
      </c>
      <c r="D1055" s="23" t="str">
        <f t="shared" si="48"/>
        <v>ORD26004941</v>
      </c>
      <c r="E1055" s="38">
        <v>46271</v>
      </c>
      <c r="F1055" s="23" t="s">
        <v>12410</v>
      </c>
      <c r="G1055" s="23" t="s">
        <v>75</v>
      </c>
      <c r="H1055" s="24">
        <v>6298</v>
      </c>
      <c r="I1055" s="24">
        <v>18.89</v>
      </c>
      <c r="J1055" s="24">
        <v>3.4</v>
      </c>
      <c r="K1055" s="24">
        <v>6275.71</v>
      </c>
      <c r="L1055" s="38">
        <v>46273</v>
      </c>
      <c r="M1055" s="23" t="s">
        <v>191</v>
      </c>
      <c r="N1055" s="23" t="str">
        <f>IF(COUNTIF($A$2:A1055,A1055)&gt;1,"DUP","OK")</f>
        <v>OK</v>
      </c>
      <c r="O1055" s="23" t="str">
        <f t="shared" si="49"/>
        <v>ORD26004941</v>
      </c>
      <c r="P1055" s="23" t="str">
        <f t="shared" si="50"/>
        <v>Sep</v>
      </c>
      <c r="Q1055" s="23" t="str">
        <f>IF(F1055="CAPTURE",IF(COUNTIF(orders!$A:$A,O1055)&gt;0,"Yes","NO ORDER"),"")</f>
        <v>Yes</v>
      </c>
    </row>
    <row r="1056" spans="1:17" ht="15" customHeight="1" x14ac:dyDescent="0.3">
      <c r="A1056" s="23" t="s">
        <v>13637</v>
      </c>
      <c r="B1056" s="23"/>
      <c r="C1056" s="23" t="s">
        <v>13638</v>
      </c>
      <c r="D1056" s="23" t="str">
        <f t="shared" si="48"/>
        <v>ORD26004967</v>
      </c>
      <c r="E1056" s="38">
        <v>46271</v>
      </c>
      <c r="F1056" s="23" t="s">
        <v>12410</v>
      </c>
      <c r="G1056" s="23" t="s">
        <v>75</v>
      </c>
      <c r="H1056" s="24">
        <v>1499</v>
      </c>
      <c r="I1056" s="24">
        <v>0</v>
      </c>
      <c r="J1056" s="24">
        <v>0</v>
      </c>
      <c r="K1056" s="24">
        <v>1499</v>
      </c>
      <c r="L1056" s="38">
        <v>46273</v>
      </c>
      <c r="M1056" s="23" t="s">
        <v>191</v>
      </c>
      <c r="N1056" s="23" t="str">
        <f>IF(COUNTIF($A$2:A1056,A1056)&gt;1,"DUP","OK")</f>
        <v>OK</v>
      </c>
      <c r="O1056" s="23" t="str">
        <f t="shared" si="49"/>
        <v>ORD26004967</v>
      </c>
      <c r="P1056" s="23" t="str">
        <f t="shared" si="50"/>
        <v>Sep</v>
      </c>
      <c r="Q1056" s="23" t="str">
        <f>IF(F1056="CAPTURE",IF(COUNTIF(orders!$A:$A,O1056)&gt;0,"Yes","NO ORDER"),"")</f>
        <v>Yes</v>
      </c>
    </row>
    <row r="1057" spans="1:17" ht="15" customHeight="1" x14ac:dyDescent="0.3">
      <c r="A1057" s="23" t="s">
        <v>13639</v>
      </c>
      <c r="B1057" s="23"/>
      <c r="C1057" s="23" t="s">
        <v>10401</v>
      </c>
      <c r="D1057" s="23" t="str">
        <f t="shared" si="48"/>
        <v>ORD26004974</v>
      </c>
      <c r="E1057" s="38">
        <v>46271</v>
      </c>
      <c r="F1057" s="23" t="s">
        <v>12410</v>
      </c>
      <c r="G1057" s="23" t="s">
        <v>79</v>
      </c>
      <c r="H1057" s="24">
        <v>349</v>
      </c>
      <c r="I1057" s="24">
        <v>6.28</v>
      </c>
      <c r="J1057" s="24">
        <v>1.1299999999999999</v>
      </c>
      <c r="K1057" s="24">
        <v>341.59</v>
      </c>
      <c r="L1057" s="38">
        <v>46273</v>
      </c>
      <c r="M1057" s="23" t="s">
        <v>191</v>
      </c>
      <c r="N1057" s="23" t="str">
        <f>IF(COUNTIF($A$2:A1057,A1057)&gt;1,"DUP","OK")</f>
        <v>OK</v>
      </c>
      <c r="O1057" s="23" t="str">
        <f t="shared" si="49"/>
        <v>ORD26004974</v>
      </c>
      <c r="P1057" s="23" t="str">
        <f t="shared" si="50"/>
        <v>Sep</v>
      </c>
      <c r="Q1057" s="23" t="str">
        <f>IF(F1057="CAPTURE",IF(COUNTIF(orders!$A:$A,O1057)&gt;0,"Yes","NO ORDER"),"")</f>
        <v>Yes</v>
      </c>
    </row>
    <row r="1058" spans="1:17" ht="15" customHeight="1" x14ac:dyDescent="0.3">
      <c r="A1058" s="23" t="s">
        <v>13640</v>
      </c>
      <c r="B1058" s="23"/>
      <c r="C1058" s="23" t="s">
        <v>10469</v>
      </c>
      <c r="D1058" s="23" t="str">
        <f t="shared" si="48"/>
        <v>ORD26005009</v>
      </c>
      <c r="E1058" s="38">
        <v>46271</v>
      </c>
      <c r="F1058" s="23" t="s">
        <v>12410</v>
      </c>
      <c r="G1058" s="23" t="s">
        <v>75</v>
      </c>
      <c r="H1058" s="24">
        <v>7999</v>
      </c>
      <c r="I1058" s="24">
        <v>24</v>
      </c>
      <c r="J1058" s="24">
        <v>4.32</v>
      </c>
      <c r="K1058" s="24">
        <v>7970.68</v>
      </c>
      <c r="L1058" s="38">
        <v>46273</v>
      </c>
      <c r="M1058" s="23" t="s">
        <v>191</v>
      </c>
      <c r="N1058" s="23" t="str">
        <f>IF(COUNTIF($A$2:A1058,A1058)&gt;1,"DUP","OK")</f>
        <v>OK</v>
      </c>
      <c r="O1058" s="23" t="str">
        <f t="shared" si="49"/>
        <v>ORD26005009</v>
      </c>
      <c r="P1058" s="23" t="str">
        <f t="shared" si="50"/>
        <v>Sep</v>
      </c>
      <c r="Q1058" s="23" t="str">
        <f>IF(F1058="CAPTURE",IF(COUNTIF(orders!$A:$A,O1058)&gt;0,"Yes","NO ORDER"),"")</f>
        <v>Yes</v>
      </c>
    </row>
    <row r="1059" spans="1:17" ht="15" customHeight="1" x14ac:dyDescent="0.3">
      <c r="A1059" s="23" t="s">
        <v>13641</v>
      </c>
      <c r="B1059" s="23"/>
      <c r="C1059" s="23" t="s">
        <v>10517</v>
      </c>
      <c r="D1059" s="23" t="str">
        <f t="shared" si="48"/>
        <v>ORD26005034</v>
      </c>
      <c r="E1059" s="38">
        <v>46271</v>
      </c>
      <c r="F1059" s="23" t="s">
        <v>12410</v>
      </c>
      <c r="G1059" s="23" t="s">
        <v>79</v>
      </c>
      <c r="H1059" s="24">
        <v>10397</v>
      </c>
      <c r="I1059" s="24">
        <v>166.35</v>
      </c>
      <c r="J1059" s="24">
        <v>29.94</v>
      </c>
      <c r="K1059" s="24">
        <v>10200.709999999999</v>
      </c>
      <c r="L1059" s="38">
        <v>46273</v>
      </c>
      <c r="M1059" s="23" t="s">
        <v>191</v>
      </c>
      <c r="N1059" s="23" t="str">
        <f>IF(COUNTIF($A$2:A1059,A1059)&gt;1,"DUP","OK")</f>
        <v>OK</v>
      </c>
      <c r="O1059" s="23" t="str">
        <f t="shared" si="49"/>
        <v>ORD26005034</v>
      </c>
      <c r="P1059" s="23" t="str">
        <f t="shared" si="50"/>
        <v>Sep</v>
      </c>
      <c r="Q1059" s="23" t="str">
        <f>IF(F1059="CAPTURE",IF(COUNTIF(orders!$A:$A,O1059)&gt;0,"Yes","NO ORDER"),"")</f>
        <v>Yes</v>
      </c>
    </row>
    <row r="1060" spans="1:17" ht="15" customHeight="1" x14ac:dyDescent="0.3">
      <c r="A1060" s="23" t="s">
        <v>13642</v>
      </c>
      <c r="B1060" s="23"/>
      <c r="C1060" s="23" t="s">
        <v>10574</v>
      </c>
      <c r="D1060" s="23" t="str">
        <f t="shared" si="48"/>
        <v>ORD26005064</v>
      </c>
      <c r="E1060" s="38">
        <v>46271</v>
      </c>
      <c r="F1060" s="23" t="s">
        <v>12410</v>
      </c>
      <c r="G1060" s="23" t="s">
        <v>75</v>
      </c>
      <c r="H1060" s="24">
        <v>1299</v>
      </c>
      <c r="I1060" s="24">
        <v>0</v>
      </c>
      <c r="J1060" s="24">
        <v>0</v>
      </c>
      <c r="K1060" s="24">
        <v>1299</v>
      </c>
      <c r="L1060" s="38">
        <v>46273</v>
      </c>
      <c r="M1060" s="23" t="s">
        <v>191</v>
      </c>
      <c r="N1060" s="23" t="str">
        <f>IF(COUNTIF($A$2:A1060,A1060)&gt;1,"DUP","OK")</f>
        <v>OK</v>
      </c>
      <c r="O1060" s="23" t="str">
        <f t="shared" si="49"/>
        <v>ORD26005064</v>
      </c>
      <c r="P1060" s="23" t="str">
        <f t="shared" si="50"/>
        <v>Sep</v>
      </c>
      <c r="Q1060" s="23" t="str">
        <f>IF(F1060="CAPTURE",IF(COUNTIF(orders!$A:$A,O1060)&gt;0,"Yes","NO ORDER"),"")</f>
        <v>Yes</v>
      </c>
    </row>
    <row r="1061" spans="1:17" ht="15" customHeight="1" x14ac:dyDescent="0.3">
      <c r="A1061" s="23" t="s">
        <v>13643</v>
      </c>
      <c r="B1061" s="23"/>
      <c r="C1061" s="23" t="s">
        <v>10584</v>
      </c>
      <c r="D1061" s="23" t="str">
        <f t="shared" si="48"/>
        <v>ORD26005069</v>
      </c>
      <c r="E1061" s="38">
        <v>46271</v>
      </c>
      <c r="F1061" s="23" t="s">
        <v>12410</v>
      </c>
      <c r="G1061" s="23" t="s">
        <v>75</v>
      </c>
      <c r="H1061" s="24">
        <v>5847</v>
      </c>
      <c r="I1061" s="24">
        <v>17.54</v>
      </c>
      <c r="J1061" s="24">
        <v>3.16</v>
      </c>
      <c r="K1061" s="24">
        <v>5826.3</v>
      </c>
      <c r="L1061" s="38">
        <v>46273</v>
      </c>
      <c r="M1061" s="23" t="s">
        <v>191</v>
      </c>
      <c r="N1061" s="23" t="str">
        <f>IF(COUNTIF($A$2:A1061,A1061)&gt;1,"DUP","OK")</f>
        <v>OK</v>
      </c>
      <c r="O1061" s="23" t="str">
        <f t="shared" si="49"/>
        <v>ORD26005069</v>
      </c>
      <c r="P1061" s="23" t="str">
        <f t="shared" si="50"/>
        <v>Sep</v>
      </c>
      <c r="Q1061" s="23" t="str">
        <f>IF(F1061="CAPTURE",IF(COUNTIF(orders!$A:$A,O1061)&gt;0,"Yes","NO ORDER"),"")</f>
        <v>Yes</v>
      </c>
    </row>
    <row r="1062" spans="1:17" ht="15" customHeight="1" x14ac:dyDescent="0.3">
      <c r="A1062" s="23" t="s">
        <v>13644</v>
      </c>
      <c r="B1062" s="23"/>
      <c r="C1062" s="23" t="s">
        <v>10654</v>
      </c>
      <c r="D1062" s="23" t="str">
        <f t="shared" si="48"/>
        <v>ORD26005105</v>
      </c>
      <c r="E1062" s="38">
        <v>46271</v>
      </c>
      <c r="F1062" s="23" t="s">
        <v>12410</v>
      </c>
      <c r="G1062" s="23" t="s">
        <v>75</v>
      </c>
      <c r="H1062" s="24">
        <v>1799</v>
      </c>
      <c r="I1062" s="24">
        <v>0</v>
      </c>
      <c r="J1062" s="24">
        <v>0</v>
      </c>
      <c r="K1062" s="24">
        <v>1799</v>
      </c>
      <c r="L1062" s="38">
        <v>46273</v>
      </c>
      <c r="M1062" s="23" t="s">
        <v>191</v>
      </c>
      <c r="N1062" s="23" t="str">
        <f>IF(COUNTIF($A$2:A1062,A1062)&gt;1,"DUP","OK")</f>
        <v>OK</v>
      </c>
      <c r="O1062" s="23" t="str">
        <f t="shared" si="49"/>
        <v>ORD26005105</v>
      </c>
      <c r="P1062" s="23" t="str">
        <f t="shared" si="50"/>
        <v>Sep</v>
      </c>
      <c r="Q1062" s="23" t="str">
        <f>IF(F1062="CAPTURE",IF(COUNTIF(orders!$A:$A,O1062)&gt;0,"Yes","NO ORDER"),"")</f>
        <v>Yes</v>
      </c>
    </row>
    <row r="1063" spans="1:17" ht="15" customHeight="1" x14ac:dyDescent="0.3">
      <c r="A1063" s="23" t="s">
        <v>13645</v>
      </c>
      <c r="B1063" s="23"/>
      <c r="C1063" s="23" t="s">
        <v>10685</v>
      </c>
      <c r="D1063" s="23" t="str">
        <f t="shared" si="48"/>
        <v>ORD26005121</v>
      </c>
      <c r="E1063" s="38">
        <v>46271</v>
      </c>
      <c r="F1063" s="23" t="s">
        <v>12410</v>
      </c>
      <c r="G1063" s="23" t="s">
        <v>79</v>
      </c>
      <c r="H1063" s="24">
        <v>3697</v>
      </c>
      <c r="I1063" s="24">
        <v>59.15</v>
      </c>
      <c r="J1063" s="24">
        <v>10.65</v>
      </c>
      <c r="K1063" s="24">
        <v>3627.2</v>
      </c>
      <c r="L1063" s="38">
        <v>46273</v>
      </c>
      <c r="M1063" s="23" t="s">
        <v>191</v>
      </c>
      <c r="N1063" s="23" t="str">
        <f>IF(COUNTIF($A$2:A1063,A1063)&gt;1,"DUP","OK")</f>
        <v>OK</v>
      </c>
      <c r="O1063" s="23" t="str">
        <f t="shared" si="49"/>
        <v>ORD26005121</v>
      </c>
      <c r="P1063" s="23" t="str">
        <f t="shared" si="50"/>
        <v>Sep</v>
      </c>
      <c r="Q1063" s="23" t="str">
        <f>IF(F1063="CAPTURE",IF(COUNTIF(orders!$A:$A,O1063)&gt;0,"Yes","NO ORDER"),"")</f>
        <v>Yes</v>
      </c>
    </row>
    <row r="1064" spans="1:17" ht="15" customHeight="1" x14ac:dyDescent="0.3">
      <c r="A1064" s="23" t="s">
        <v>13646</v>
      </c>
      <c r="B1064" s="23"/>
      <c r="C1064" s="23" t="s">
        <v>10806</v>
      </c>
      <c r="D1064" s="23" t="str">
        <f t="shared" si="48"/>
        <v>ORD26005183</v>
      </c>
      <c r="E1064" s="38">
        <v>46271</v>
      </c>
      <c r="F1064" s="23" t="s">
        <v>12410</v>
      </c>
      <c r="G1064" s="23" t="s">
        <v>79</v>
      </c>
      <c r="H1064" s="24">
        <v>4498</v>
      </c>
      <c r="I1064" s="24">
        <v>71.97</v>
      </c>
      <c r="J1064" s="24">
        <v>12.95</v>
      </c>
      <c r="K1064" s="24">
        <v>4413.08</v>
      </c>
      <c r="L1064" s="38">
        <v>46273</v>
      </c>
      <c r="M1064" s="23" t="s">
        <v>191</v>
      </c>
      <c r="N1064" s="23" t="str">
        <f>IF(COUNTIF($A$2:A1064,A1064)&gt;1,"DUP","OK")</f>
        <v>OK</v>
      </c>
      <c r="O1064" s="23" t="str">
        <f t="shared" si="49"/>
        <v>ORD26005183</v>
      </c>
      <c r="P1064" s="23" t="str">
        <f t="shared" si="50"/>
        <v>Sep</v>
      </c>
      <c r="Q1064" s="23" t="str">
        <f>IF(F1064="CAPTURE",IF(COUNTIF(orders!$A:$A,O1064)&gt;0,"Yes","NO ORDER"),"")</f>
        <v>Yes</v>
      </c>
    </row>
    <row r="1065" spans="1:17" ht="15" customHeight="1" x14ac:dyDescent="0.3">
      <c r="A1065" s="23" t="s">
        <v>13647</v>
      </c>
      <c r="B1065" s="23"/>
      <c r="C1065" s="23" t="s">
        <v>10810</v>
      </c>
      <c r="D1065" s="23" t="str">
        <f t="shared" si="48"/>
        <v>ORD26005185</v>
      </c>
      <c r="E1065" s="38">
        <v>46271</v>
      </c>
      <c r="F1065" s="23" t="s">
        <v>12410</v>
      </c>
      <c r="G1065" s="23" t="s">
        <v>75</v>
      </c>
      <c r="H1065" s="24">
        <v>4999</v>
      </c>
      <c r="I1065" s="24">
        <v>15</v>
      </c>
      <c r="J1065" s="24">
        <v>2.7</v>
      </c>
      <c r="K1065" s="24">
        <v>4981.3</v>
      </c>
      <c r="L1065" s="38">
        <v>46273</v>
      </c>
      <c r="M1065" s="23" t="s">
        <v>191</v>
      </c>
      <c r="N1065" s="23" t="str">
        <f>IF(COUNTIF($A$2:A1065,A1065)&gt;1,"DUP","OK")</f>
        <v>OK</v>
      </c>
      <c r="O1065" s="23" t="str">
        <f t="shared" si="49"/>
        <v>ORD26005185</v>
      </c>
      <c r="P1065" s="23" t="str">
        <f t="shared" si="50"/>
        <v>Sep</v>
      </c>
      <c r="Q1065" s="23" t="str">
        <f>IF(F1065="CAPTURE",IF(COUNTIF(orders!$A:$A,O1065)&gt;0,"Yes","NO ORDER"),"")</f>
        <v>Yes</v>
      </c>
    </row>
    <row r="1066" spans="1:17" ht="15" customHeight="1" x14ac:dyDescent="0.3">
      <c r="A1066" s="23" t="s">
        <v>13648</v>
      </c>
      <c r="B1066" s="23"/>
      <c r="C1066" s="23" t="s">
        <v>10820</v>
      </c>
      <c r="D1066" s="23" t="str">
        <f t="shared" si="48"/>
        <v>ORD26005190</v>
      </c>
      <c r="E1066" s="38">
        <v>46271</v>
      </c>
      <c r="F1066" s="23" t="s">
        <v>12410</v>
      </c>
      <c r="G1066" s="23" t="s">
        <v>75</v>
      </c>
      <c r="H1066" s="24">
        <v>2999</v>
      </c>
      <c r="I1066" s="24">
        <v>9</v>
      </c>
      <c r="J1066" s="24">
        <v>1.62</v>
      </c>
      <c r="K1066" s="24">
        <v>2988.38</v>
      </c>
      <c r="L1066" s="38">
        <v>46273</v>
      </c>
      <c r="M1066" s="23" t="s">
        <v>191</v>
      </c>
      <c r="N1066" s="23" t="str">
        <f>IF(COUNTIF($A$2:A1066,A1066)&gt;1,"DUP","OK")</f>
        <v>OK</v>
      </c>
      <c r="O1066" s="23" t="str">
        <f t="shared" si="49"/>
        <v>ORD26005190</v>
      </c>
      <c r="P1066" s="23" t="str">
        <f t="shared" si="50"/>
        <v>Sep</v>
      </c>
      <c r="Q1066" s="23" t="str">
        <f>IF(F1066="CAPTURE",IF(COUNTIF(orders!$A:$A,O1066)&gt;0,"Yes","NO ORDER"),"")</f>
        <v>Yes</v>
      </c>
    </row>
    <row r="1067" spans="1:17" ht="15" customHeight="1" x14ac:dyDescent="0.3">
      <c r="A1067" s="23" t="s">
        <v>13649</v>
      </c>
      <c r="B1067" s="23"/>
      <c r="C1067" s="23" t="s">
        <v>13650</v>
      </c>
      <c r="D1067" s="23" t="str">
        <f t="shared" si="48"/>
        <v>ORD26005206</v>
      </c>
      <c r="E1067" s="38">
        <v>46271</v>
      </c>
      <c r="F1067" s="23" t="s">
        <v>12410</v>
      </c>
      <c r="G1067" s="23" t="s">
        <v>79</v>
      </c>
      <c r="H1067" s="24">
        <v>349</v>
      </c>
      <c r="I1067" s="24">
        <v>6.28</v>
      </c>
      <c r="J1067" s="24">
        <v>1.1299999999999999</v>
      </c>
      <c r="K1067" s="24">
        <v>341.59</v>
      </c>
      <c r="L1067" s="38">
        <v>46273</v>
      </c>
      <c r="M1067" s="23" t="s">
        <v>191</v>
      </c>
      <c r="N1067" s="23" t="str">
        <f>IF(COUNTIF($A$2:A1067,A1067)&gt;1,"DUP","OK")</f>
        <v>OK</v>
      </c>
      <c r="O1067" s="23" t="str">
        <f t="shared" si="49"/>
        <v>ORD26005206</v>
      </c>
      <c r="P1067" s="23" t="str">
        <f t="shared" si="50"/>
        <v>Sep</v>
      </c>
      <c r="Q1067" s="23" t="str">
        <f>IF(F1067="CAPTURE",IF(COUNTIF(orders!$A:$A,O1067)&gt;0,"Yes","NO ORDER"),"")</f>
        <v>Yes</v>
      </c>
    </row>
    <row r="1068" spans="1:17" ht="15" customHeight="1" x14ac:dyDescent="0.3">
      <c r="A1068" s="23" t="s">
        <v>13651</v>
      </c>
      <c r="B1068" s="23"/>
      <c r="C1068" s="23" t="s">
        <v>13652</v>
      </c>
      <c r="D1068" s="23" t="str">
        <f t="shared" si="48"/>
        <v>ORD26005243</v>
      </c>
      <c r="E1068" s="38">
        <v>46271</v>
      </c>
      <c r="F1068" s="23" t="s">
        <v>12410</v>
      </c>
      <c r="G1068" s="23" t="s">
        <v>75</v>
      </c>
      <c r="H1068" s="24">
        <v>5998</v>
      </c>
      <c r="I1068" s="24">
        <v>17.989999999999998</v>
      </c>
      <c r="J1068" s="24">
        <v>3.24</v>
      </c>
      <c r="K1068" s="24">
        <v>5976.77</v>
      </c>
      <c r="L1068" s="38">
        <v>46273</v>
      </c>
      <c r="M1068" s="23" t="s">
        <v>191</v>
      </c>
      <c r="N1068" s="23" t="str">
        <f>IF(COUNTIF($A$2:A1068,A1068)&gt;1,"DUP","OK")</f>
        <v>OK</v>
      </c>
      <c r="O1068" s="23" t="str">
        <f t="shared" si="49"/>
        <v>ORD26005243</v>
      </c>
      <c r="P1068" s="23" t="str">
        <f t="shared" si="50"/>
        <v>Sep</v>
      </c>
      <c r="Q1068" s="23" t="str">
        <f>IF(F1068="CAPTURE",IF(COUNTIF(orders!$A:$A,O1068)&gt;0,"Yes","NO ORDER"),"")</f>
        <v>Yes</v>
      </c>
    </row>
    <row r="1069" spans="1:17" ht="15" customHeight="1" x14ac:dyDescent="0.3">
      <c r="A1069" s="23" t="s">
        <v>13653</v>
      </c>
      <c r="B1069" s="23"/>
      <c r="C1069" s="23" t="s">
        <v>10943</v>
      </c>
      <c r="D1069" s="23" t="str">
        <f t="shared" si="48"/>
        <v>ORD26005253</v>
      </c>
      <c r="E1069" s="38">
        <v>46271</v>
      </c>
      <c r="F1069" s="23" t="s">
        <v>12410</v>
      </c>
      <c r="G1069" s="23" t="s">
        <v>81</v>
      </c>
      <c r="H1069" s="24">
        <v>2499</v>
      </c>
      <c r="I1069" s="24">
        <v>29.99</v>
      </c>
      <c r="J1069" s="24">
        <v>5.4</v>
      </c>
      <c r="K1069" s="24">
        <v>2463.61</v>
      </c>
      <c r="L1069" s="38">
        <v>46273</v>
      </c>
      <c r="M1069" s="23" t="s">
        <v>191</v>
      </c>
      <c r="N1069" s="23" t="str">
        <f>IF(COUNTIF($A$2:A1069,A1069)&gt;1,"DUP","OK")</f>
        <v>OK</v>
      </c>
      <c r="O1069" s="23" t="str">
        <f t="shared" si="49"/>
        <v>ORD26005253</v>
      </c>
      <c r="P1069" s="23" t="str">
        <f t="shared" si="50"/>
        <v>Sep</v>
      </c>
      <c r="Q1069" s="23" t="str">
        <f>IF(F1069="CAPTURE",IF(COUNTIF(orders!$A:$A,O1069)&gt;0,"Yes","NO ORDER"),"")</f>
        <v>Yes</v>
      </c>
    </row>
    <row r="1070" spans="1:17" ht="15" customHeight="1" x14ac:dyDescent="0.3">
      <c r="A1070" s="23" t="s">
        <v>13654</v>
      </c>
      <c r="B1070" s="23"/>
      <c r="C1070" s="23" t="s">
        <v>11055</v>
      </c>
      <c r="D1070" s="23" t="str">
        <f t="shared" si="48"/>
        <v>ORD26005311</v>
      </c>
      <c r="E1070" s="38">
        <v>46271</v>
      </c>
      <c r="F1070" s="23" t="s">
        <v>12410</v>
      </c>
      <c r="G1070" s="23" t="s">
        <v>75</v>
      </c>
      <c r="H1070" s="24">
        <v>799</v>
      </c>
      <c r="I1070" s="24">
        <v>0</v>
      </c>
      <c r="J1070" s="24">
        <v>0</v>
      </c>
      <c r="K1070" s="24">
        <v>799</v>
      </c>
      <c r="L1070" s="38">
        <v>46273</v>
      </c>
      <c r="M1070" s="23" t="s">
        <v>191</v>
      </c>
      <c r="N1070" s="23" t="str">
        <f>IF(COUNTIF($A$2:A1070,A1070)&gt;1,"DUP","OK")</f>
        <v>OK</v>
      </c>
      <c r="O1070" s="23" t="str">
        <f t="shared" si="49"/>
        <v>ORD26005311</v>
      </c>
      <c r="P1070" s="23" t="str">
        <f t="shared" si="50"/>
        <v>Sep</v>
      </c>
      <c r="Q1070" s="23" t="str">
        <f>IF(F1070="CAPTURE",IF(COUNTIF(orders!$A:$A,O1070)&gt;0,"Yes","NO ORDER"),"")</f>
        <v>Yes</v>
      </c>
    </row>
    <row r="1071" spans="1:17" ht="15" customHeight="1" x14ac:dyDescent="0.3">
      <c r="A1071" s="23" t="s">
        <v>13655</v>
      </c>
      <c r="B1071" s="23"/>
      <c r="C1071" s="23" t="s">
        <v>11077</v>
      </c>
      <c r="D1071" s="23" t="str">
        <f t="shared" si="48"/>
        <v>ORD26005322</v>
      </c>
      <c r="E1071" s="38">
        <v>46271</v>
      </c>
      <c r="F1071" s="23" t="s">
        <v>12410</v>
      </c>
      <c r="G1071" s="23" t="s">
        <v>75</v>
      </c>
      <c r="H1071" s="24">
        <v>9298</v>
      </c>
      <c r="I1071" s="24">
        <v>27.89</v>
      </c>
      <c r="J1071" s="24">
        <v>5.0199999999999996</v>
      </c>
      <c r="K1071" s="24">
        <v>9265.09</v>
      </c>
      <c r="L1071" s="38">
        <v>46273</v>
      </c>
      <c r="M1071" s="23" t="s">
        <v>191</v>
      </c>
      <c r="N1071" s="23" t="str">
        <f>IF(COUNTIF($A$2:A1071,A1071)&gt;1,"DUP","OK")</f>
        <v>OK</v>
      </c>
      <c r="O1071" s="23" t="str">
        <f t="shared" si="49"/>
        <v>ORD26005322</v>
      </c>
      <c r="P1071" s="23" t="str">
        <f t="shared" si="50"/>
        <v>Sep</v>
      </c>
      <c r="Q1071" s="23" t="str">
        <f>IF(F1071="CAPTURE",IF(COUNTIF(orders!$A:$A,O1071)&gt;0,"Yes","NO ORDER"),"")</f>
        <v>Yes</v>
      </c>
    </row>
    <row r="1072" spans="1:17" ht="15" customHeight="1" x14ac:dyDescent="0.3">
      <c r="A1072" s="23" t="s">
        <v>13656</v>
      </c>
      <c r="B1072" s="23"/>
      <c r="C1072" s="23" t="s">
        <v>11105</v>
      </c>
      <c r="D1072" s="23" t="str">
        <f t="shared" si="48"/>
        <v>ORD26005336</v>
      </c>
      <c r="E1072" s="38">
        <v>46271</v>
      </c>
      <c r="F1072" s="23" t="s">
        <v>12410</v>
      </c>
      <c r="G1072" s="23" t="s">
        <v>75</v>
      </c>
      <c r="H1072" s="24">
        <v>2499</v>
      </c>
      <c r="I1072" s="24">
        <v>7.5</v>
      </c>
      <c r="J1072" s="24">
        <v>1.35</v>
      </c>
      <c r="K1072" s="24">
        <v>2490.15</v>
      </c>
      <c r="L1072" s="38">
        <v>46273</v>
      </c>
      <c r="M1072" s="23" t="s">
        <v>191</v>
      </c>
      <c r="N1072" s="23" t="str">
        <f>IF(COUNTIF($A$2:A1072,A1072)&gt;1,"DUP","OK")</f>
        <v>OK</v>
      </c>
      <c r="O1072" s="23" t="str">
        <f t="shared" si="49"/>
        <v>ORD26005336</v>
      </c>
      <c r="P1072" s="23" t="str">
        <f t="shared" si="50"/>
        <v>Sep</v>
      </c>
      <c r="Q1072" s="23" t="str">
        <f>IF(F1072="CAPTURE",IF(COUNTIF(orders!$A:$A,O1072)&gt;0,"Yes","NO ORDER"),"")</f>
        <v>Yes</v>
      </c>
    </row>
    <row r="1073" spans="1:17" ht="15" customHeight="1" x14ac:dyDescent="0.3">
      <c r="A1073" s="23" t="s">
        <v>13657</v>
      </c>
      <c r="B1073" s="23"/>
      <c r="C1073" s="23" t="s">
        <v>11223</v>
      </c>
      <c r="D1073" s="23" t="str">
        <f t="shared" si="48"/>
        <v>ORD26005395</v>
      </c>
      <c r="E1073" s="38">
        <v>46271</v>
      </c>
      <c r="F1073" s="23" t="s">
        <v>12410</v>
      </c>
      <c r="G1073" s="23" t="s">
        <v>75</v>
      </c>
      <c r="H1073" s="24">
        <v>3097</v>
      </c>
      <c r="I1073" s="24">
        <v>9.2899999999999991</v>
      </c>
      <c r="J1073" s="24">
        <v>1.67</v>
      </c>
      <c r="K1073" s="24">
        <v>3086.04</v>
      </c>
      <c r="L1073" s="38">
        <v>46273</v>
      </c>
      <c r="M1073" s="23" t="s">
        <v>191</v>
      </c>
      <c r="N1073" s="23" t="str">
        <f>IF(COUNTIF($A$2:A1073,A1073)&gt;1,"DUP","OK")</f>
        <v>OK</v>
      </c>
      <c r="O1073" s="23" t="str">
        <f t="shared" si="49"/>
        <v>ORD26005395</v>
      </c>
      <c r="P1073" s="23" t="str">
        <f t="shared" si="50"/>
        <v>Sep</v>
      </c>
      <c r="Q1073" s="23" t="str">
        <f>IF(F1073="CAPTURE",IF(COUNTIF(orders!$A:$A,O1073)&gt;0,"Yes","NO ORDER"),"")</f>
        <v>Yes</v>
      </c>
    </row>
    <row r="1074" spans="1:17" ht="15" customHeight="1" x14ac:dyDescent="0.3">
      <c r="A1074" s="23" t="s">
        <v>13658</v>
      </c>
      <c r="B1074" s="23"/>
      <c r="C1074" s="23" t="s">
        <v>11336</v>
      </c>
      <c r="D1074" s="23" t="str">
        <f t="shared" si="48"/>
        <v>ORD26005453</v>
      </c>
      <c r="E1074" s="38">
        <v>46271</v>
      </c>
      <c r="F1074" s="23" t="s">
        <v>12410</v>
      </c>
      <c r="G1074" s="23" t="s">
        <v>75</v>
      </c>
      <c r="H1074" s="24">
        <v>3797</v>
      </c>
      <c r="I1074" s="24">
        <v>11.39</v>
      </c>
      <c r="J1074" s="24">
        <v>2.0499999999999998</v>
      </c>
      <c r="K1074" s="24">
        <v>3783.56</v>
      </c>
      <c r="L1074" s="38">
        <v>46273</v>
      </c>
      <c r="M1074" s="23" t="s">
        <v>191</v>
      </c>
      <c r="N1074" s="23" t="str">
        <f>IF(COUNTIF($A$2:A1074,A1074)&gt;1,"DUP","OK")</f>
        <v>OK</v>
      </c>
      <c r="O1074" s="23" t="str">
        <f t="shared" si="49"/>
        <v>ORD26005453</v>
      </c>
      <c r="P1074" s="23" t="str">
        <f t="shared" si="50"/>
        <v>Sep</v>
      </c>
      <c r="Q1074" s="23" t="str">
        <f>IF(F1074="CAPTURE",IF(COUNTIF(orders!$A:$A,O1074)&gt;0,"Yes","NO ORDER"),"")</f>
        <v>Yes</v>
      </c>
    </row>
    <row r="1075" spans="1:17" ht="15" customHeight="1" x14ac:dyDescent="0.3">
      <c r="A1075" s="23" t="s">
        <v>13659</v>
      </c>
      <c r="B1075" s="23"/>
      <c r="C1075" s="23" t="s">
        <v>11431</v>
      </c>
      <c r="D1075" s="23" t="str">
        <f t="shared" si="48"/>
        <v>ORD26005502</v>
      </c>
      <c r="E1075" s="38">
        <v>46271</v>
      </c>
      <c r="F1075" s="23" t="s">
        <v>12410</v>
      </c>
      <c r="G1075" s="23" t="s">
        <v>75</v>
      </c>
      <c r="H1075" s="24">
        <v>599</v>
      </c>
      <c r="I1075" s="24">
        <v>0</v>
      </c>
      <c r="J1075" s="24">
        <v>0</v>
      </c>
      <c r="K1075" s="24">
        <v>599</v>
      </c>
      <c r="L1075" s="38">
        <v>46273</v>
      </c>
      <c r="M1075" s="23" t="s">
        <v>191</v>
      </c>
      <c r="N1075" s="23" t="str">
        <f>IF(COUNTIF($A$2:A1075,A1075)&gt;1,"DUP","OK")</f>
        <v>OK</v>
      </c>
      <c r="O1075" s="23" t="str">
        <f t="shared" si="49"/>
        <v>ORD26005502</v>
      </c>
      <c r="P1075" s="23" t="str">
        <f t="shared" si="50"/>
        <v>Sep</v>
      </c>
      <c r="Q1075" s="23" t="str">
        <f>IF(F1075="CAPTURE",IF(COUNTIF(orders!$A:$A,O1075)&gt;0,"Yes","NO ORDER"),"")</f>
        <v>Yes</v>
      </c>
    </row>
    <row r="1076" spans="1:17" ht="15" customHeight="1" x14ac:dyDescent="0.3">
      <c r="A1076" s="23" t="s">
        <v>13660</v>
      </c>
      <c r="B1076" s="23"/>
      <c r="C1076" s="23" t="s">
        <v>11569</v>
      </c>
      <c r="D1076" s="23" t="str">
        <f t="shared" si="48"/>
        <v>ORD26005572</v>
      </c>
      <c r="E1076" s="38">
        <v>46271</v>
      </c>
      <c r="F1076" s="23" t="s">
        <v>12410</v>
      </c>
      <c r="G1076" s="23" t="s">
        <v>77</v>
      </c>
      <c r="H1076" s="24">
        <v>3798</v>
      </c>
      <c r="I1076" s="24">
        <v>91.15</v>
      </c>
      <c r="J1076" s="24">
        <v>16.41</v>
      </c>
      <c r="K1076" s="24">
        <v>3690.44</v>
      </c>
      <c r="L1076" s="38">
        <v>46273</v>
      </c>
      <c r="M1076" s="23" t="s">
        <v>191</v>
      </c>
      <c r="N1076" s="23" t="str">
        <f>IF(COUNTIF($A$2:A1076,A1076)&gt;1,"DUP","OK")</f>
        <v>OK</v>
      </c>
      <c r="O1076" s="23" t="str">
        <f t="shared" si="49"/>
        <v>ORD26005572</v>
      </c>
      <c r="P1076" s="23" t="str">
        <f t="shared" si="50"/>
        <v>Sep</v>
      </c>
      <c r="Q1076" s="23" t="str">
        <f>IF(F1076="CAPTURE",IF(COUNTIF(orders!$A:$A,O1076)&gt;0,"Yes","NO ORDER"),"")</f>
        <v>Yes</v>
      </c>
    </row>
    <row r="1077" spans="1:17" ht="15" customHeight="1" x14ac:dyDescent="0.3">
      <c r="A1077" s="23" t="s">
        <v>13661</v>
      </c>
      <c r="B1077" s="23"/>
      <c r="C1077" s="23" t="s">
        <v>11634</v>
      </c>
      <c r="D1077" s="23" t="str">
        <f t="shared" si="48"/>
        <v>ORD26005606</v>
      </c>
      <c r="E1077" s="38">
        <v>46271</v>
      </c>
      <c r="F1077" s="23" t="s">
        <v>12410</v>
      </c>
      <c r="G1077" s="23" t="s">
        <v>75</v>
      </c>
      <c r="H1077" s="24">
        <v>3498</v>
      </c>
      <c r="I1077" s="24">
        <v>10.49</v>
      </c>
      <c r="J1077" s="24">
        <v>1.89</v>
      </c>
      <c r="K1077" s="24">
        <v>3485.62</v>
      </c>
      <c r="L1077" s="38">
        <v>46273</v>
      </c>
      <c r="M1077" s="23" t="s">
        <v>191</v>
      </c>
      <c r="N1077" s="23" t="str">
        <f>IF(COUNTIF($A$2:A1077,A1077)&gt;1,"DUP","OK")</f>
        <v>OK</v>
      </c>
      <c r="O1077" s="23" t="str">
        <f t="shared" si="49"/>
        <v>ORD26005606</v>
      </c>
      <c r="P1077" s="23" t="str">
        <f t="shared" si="50"/>
        <v>Sep</v>
      </c>
      <c r="Q1077" s="23" t="str">
        <f>IF(F1077="CAPTURE",IF(COUNTIF(orders!$A:$A,O1077)&gt;0,"Yes","NO ORDER"),"")</f>
        <v>Yes</v>
      </c>
    </row>
    <row r="1078" spans="1:17" ht="15" customHeight="1" x14ac:dyDescent="0.3">
      <c r="A1078" s="23" t="s">
        <v>13662</v>
      </c>
      <c r="B1078" s="23"/>
      <c r="C1078" s="23" t="s">
        <v>11698</v>
      </c>
      <c r="D1078" s="23" t="str">
        <f t="shared" si="48"/>
        <v>ORD26005638</v>
      </c>
      <c r="E1078" s="38">
        <v>46271</v>
      </c>
      <c r="F1078" s="23" t="s">
        <v>12410</v>
      </c>
      <c r="G1078" s="23" t="s">
        <v>75</v>
      </c>
      <c r="H1078" s="24">
        <v>3097</v>
      </c>
      <c r="I1078" s="24">
        <v>9.2899999999999991</v>
      </c>
      <c r="J1078" s="24">
        <v>1.67</v>
      </c>
      <c r="K1078" s="24">
        <v>3086.04</v>
      </c>
      <c r="L1078" s="38">
        <v>46273</v>
      </c>
      <c r="M1078" s="23" t="s">
        <v>191</v>
      </c>
      <c r="N1078" s="23" t="str">
        <f>IF(COUNTIF($A$2:A1078,A1078)&gt;1,"DUP","OK")</f>
        <v>OK</v>
      </c>
      <c r="O1078" s="23" t="str">
        <f t="shared" si="49"/>
        <v>ORD26005638</v>
      </c>
      <c r="P1078" s="23" t="str">
        <f t="shared" si="50"/>
        <v>Sep</v>
      </c>
      <c r="Q1078" s="23" t="str">
        <f>IF(F1078="CAPTURE",IF(COUNTIF(orders!$A:$A,O1078)&gt;0,"Yes","NO ORDER"),"")</f>
        <v>Yes</v>
      </c>
    </row>
    <row r="1079" spans="1:17" ht="15" customHeight="1" x14ac:dyDescent="0.3">
      <c r="A1079" s="23" t="s">
        <v>13663</v>
      </c>
      <c r="B1079" s="23"/>
      <c r="C1079" s="23" t="s">
        <v>11792</v>
      </c>
      <c r="D1079" s="23" t="str">
        <f t="shared" si="48"/>
        <v>ORD26005687</v>
      </c>
      <c r="E1079" s="38">
        <v>46271</v>
      </c>
      <c r="F1079" s="23" t="s">
        <v>12410</v>
      </c>
      <c r="G1079" s="23" t="s">
        <v>75</v>
      </c>
      <c r="H1079" s="24">
        <v>3348</v>
      </c>
      <c r="I1079" s="24">
        <v>10.039999999999999</v>
      </c>
      <c r="J1079" s="24">
        <v>1.81</v>
      </c>
      <c r="K1079" s="24">
        <v>3336.15</v>
      </c>
      <c r="L1079" s="38">
        <v>46273</v>
      </c>
      <c r="M1079" s="23" t="s">
        <v>191</v>
      </c>
      <c r="N1079" s="23" t="str">
        <f>IF(COUNTIF($A$2:A1079,A1079)&gt;1,"DUP","OK")</f>
        <v>OK</v>
      </c>
      <c r="O1079" s="23" t="str">
        <f t="shared" si="49"/>
        <v>ORD26005687</v>
      </c>
      <c r="P1079" s="23" t="str">
        <f t="shared" si="50"/>
        <v>Sep</v>
      </c>
      <c r="Q1079" s="23" t="str">
        <f>IF(F1079="CAPTURE",IF(COUNTIF(orders!$A:$A,O1079)&gt;0,"Yes","NO ORDER"),"")</f>
        <v>Yes</v>
      </c>
    </row>
    <row r="1080" spans="1:17" ht="15" customHeight="1" x14ac:dyDescent="0.3">
      <c r="A1080" s="23" t="s">
        <v>13664</v>
      </c>
      <c r="B1080" s="23"/>
      <c r="C1080" s="23" t="s">
        <v>11925</v>
      </c>
      <c r="D1080" s="23" t="str">
        <f t="shared" si="48"/>
        <v>ORD26005755</v>
      </c>
      <c r="E1080" s="38">
        <v>46271</v>
      </c>
      <c r="F1080" s="23" t="s">
        <v>12410</v>
      </c>
      <c r="G1080" s="23" t="s">
        <v>75</v>
      </c>
      <c r="H1080" s="24">
        <v>1499</v>
      </c>
      <c r="I1080" s="24">
        <v>0</v>
      </c>
      <c r="J1080" s="24">
        <v>0</v>
      </c>
      <c r="K1080" s="24">
        <v>1499</v>
      </c>
      <c r="L1080" s="38">
        <v>46273</v>
      </c>
      <c r="M1080" s="23" t="s">
        <v>191</v>
      </c>
      <c r="N1080" s="23" t="str">
        <f>IF(COUNTIF($A$2:A1080,A1080)&gt;1,"DUP","OK")</f>
        <v>OK</v>
      </c>
      <c r="O1080" s="23" t="str">
        <f t="shared" si="49"/>
        <v>ORD26005755</v>
      </c>
      <c r="P1080" s="23" t="str">
        <f t="shared" si="50"/>
        <v>Sep</v>
      </c>
      <c r="Q1080" s="23" t="str">
        <f>IF(F1080="CAPTURE",IF(COUNTIF(orders!$A:$A,O1080)&gt;0,"Yes","NO ORDER"),"")</f>
        <v>Yes</v>
      </c>
    </row>
    <row r="1081" spans="1:17" ht="15" customHeight="1" x14ac:dyDescent="0.3">
      <c r="A1081" s="23" t="s">
        <v>13665</v>
      </c>
      <c r="B1081" s="23"/>
      <c r="C1081" s="23" t="s">
        <v>12015</v>
      </c>
      <c r="D1081" s="23" t="str">
        <f t="shared" si="48"/>
        <v>ORD26005802</v>
      </c>
      <c r="E1081" s="38">
        <v>46271</v>
      </c>
      <c r="F1081" s="23" t="s">
        <v>12410</v>
      </c>
      <c r="G1081" s="23" t="s">
        <v>75</v>
      </c>
      <c r="H1081" s="24">
        <v>4999</v>
      </c>
      <c r="I1081" s="24">
        <v>15</v>
      </c>
      <c r="J1081" s="24">
        <v>2.7</v>
      </c>
      <c r="K1081" s="24">
        <v>4981.3</v>
      </c>
      <c r="L1081" s="38">
        <v>46273</v>
      </c>
      <c r="M1081" s="23" t="s">
        <v>191</v>
      </c>
      <c r="N1081" s="23" t="str">
        <f>IF(COUNTIF($A$2:A1081,A1081)&gt;1,"DUP","OK")</f>
        <v>OK</v>
      </c>
      <c r="O1081" s="23" t="str">
        <f t="shared" si="49"/>
        <v>ORD26005802</v>
      </c>
      <c r="P1081" s="23" t="str">
        <f t="shared" si="50"/>
        <v>Sep</v>
      </c>
      <c r="Q1081" s="23" t="str">
        <f>IF(F1081="CAPTURE",IF(COUNTIF(orders!$A:$A,O1081)&gt;0,"Yes","NO ORDER"),"")</f>
        <v>Yes</v>
      </c>
    </row>
    <row r="1082" spans="1:17" ht="15" customHeight="1" x14ac:dyDescent="0.3">
      <c r="A1082" s="23" t="s">
        <v>13666</v>
      </c>
      <c r="B1082" s="23"/>
      <c r="C1082" s="23" t="s">
        <v>12048</v>
      </c>
      <c r="D1082" s="23" t="str">
        <f t="shared" si="48"/>
        <v>ORD26005818</v>
      </c>
      <c r="E1082" s="38">
        <v>46271</v>
      </c>
      <c r="F1082" s="23" t="s">
        <v>12410</v>
      </c>
      <c r="G1082" s="23" t="s">
        <v>81</v>
      </c>
      <c r="H1082" s="24">
        <v>3499</v>
      </c>
      <c r="I1082" s="24">
        <v>41.99</v>
      </c>
      <c r="J1082" s="24">
        <v>7.56</v>
      </c>
      <c r="K1082" s="24">
        <v>3449.45</v>
      </c>
      <c r="L1082" s="38">
        <v>46273</v>
      </c>
      <c r="M1082" s="23" t="s">
        <v>191</v>
      </c>
      <c r="N1082" s="23" t="str">
        <f>IF(COUNTIF($A$2:A1082,A1082)&gt;1,"DUP","OK")</f>
        <v>OK</v>
      </c>
      <c r="O1082" s="23" t="str">
        <f t="shared" si="49"/>
        <v>ORD26005818</v>
      </c>
      <c r="P1082" s="23" t="str">
        <f t="shared" si="50"/>
        <v>Sep</v>
      </c>
      <c r="Q1082" s="23" t="str">
        <f>IF(F1082="CAPTURE",IF(COUNTIF(orders!$A:$A,O1082)&gt;0,"Yes","NO ORDER"),"")</f>
        <v>Yes</v>
      </c>
    </row>
    <row r="1083" spans="1:17" ht="15" customHeight="1" x14ac:dyDescent="0.3">
      <c r="A1083" s="23" t="s">
        <v>13667</v>
      </c>
      <c r="B1083" s="23"/>
      <c r="C1083" s="23" t="s">
        <v>12220</v>
      </c>
      <c r="D1083" s="23" t="str">
        <f t="shared" si="48"/>
        <v>ORD26005910</v>
      </c>
      <c r="E1083" s="38">
        <v>46271</v>
      </c>
      <c r="F1083" s="23" t="s">
        <v>12410</v>
      </c>
      <c r="G1083" s="23" t="s">
        <v>77</v>
      </c>
      <c r="H1083" s="24">
        <v>799</v>
      </c>
      <c r="I1083" s="24">
        <v>15.18</v>
      </c>
      <c r="J1083" s="24">
        <v>2.73</v>
      </c>
      <c r="K1083" s="24">
        <v>781.09</v>
      </c>
      <c r="L1083" s="38">
        <v>46273</v>
      </c>
      <c r="M1083" s="23" t="s">
        <v>191</v>
      </c>
      <c r="N1083" s="23" t="str">
        <f>IF(COUNTIF($A$2:A1083,A1083)&gt;1,"DUP","OK")</f>
        <v>OK</v>
      </c>
      <c r="O1083" s="23" t="str">
        <f t="shared" si="49"/>
        <v>ORD26005910</v>
      </c>
      <c r="P1083" s="23" t="str">
        <f t="shared" si="50"/>
        <v>Sep</v>
      </c>
      <c r="Q1083" s="23" t="str">
        <f>IF(F1083="CAPTURE",IF(COUNTIF(orders!$A:$A,O1083)&gt;0,"Yes","NO ORDER"),"")</f>
        <v>Yes</v>
      </c>
    </row>
    <row r="1084" spans="1:17" ht="15" customHeight="1" x14ac:dyDescent="0.3">
      <c r="A1084" s="23" t="s">
        <v>13668</v>
      </c>
      <c r="B1084" s="23"/>
      <c r="C1084" s="23" t="s">
        <v>12236</v>
      </c>
      <c r="D1084" s="23" t="str">
        <f t="shared" si="48"/>
        <v>ORD26005918</v>
      </c>
      <c r="E1084" s="38">
        <v>46271</v>
      </c>
      <c r="F1084" s="23" t="s">
        <v>12410</v>
      </c>
      <c r="G1084" s="23" t="s">
        <v>75</v>
      </c>
      <c r="H1084" s="24">
        <v>4999</v>
      </c>
      <c r="I1084" s="24">
        <v>15</v>
      </c>
      <c r="J1084" s="24">
        <v>2.7</v>
      </c>
      <c r="K1084" s="24">
        <v>4981.3</v>
      </c>
      <c r="L1084" s="38">
        <v>46273</v>
      </c>
      <c r="M1084" s="23" t="s">
        <v>191</v>
      </c>
      <c r="N1084" s="23" t="str">
        <f>IF(COUNTIF($A$2:A1084,A1084)&gt;1,"DUP","OK")</f>
        <v>OK</v>
      </c>
      <c r="O1084" s="23" t="str">
        <f t="shared" si="49"/>
        <v>ORD26005918</v>
      </c>
      <c r="P1084" s="23" t="str">
        <f t="shared" si="50"/>
        <v>Sep</v>
      </c>
      <c r="Q1084" s="23" t="str">
        <f>IF(F1084="CAPTURE",IF(COUNTIF(orders!$A:$A,O1084)&gt;0,"Yes","NO ORDER"),"")</f>
        <v>Yes</v>
      </c>
    </row>
    <row r="1085" spans="1:17" ht="15" customHeight="1" x14ac:dyDescent="0.3">
      <c r="A1085" s="23" t="s">
        <v>13669</v>
      </c>
      <c r="B1085" s="23"/>
      <c r="C1085" s="23" t="s">
        <v>12242</v>
      </c>
      <c r="D1085" s="23" t="str">
        <f t="shared" si="48"/>
        <v>ORD26005921</v>
      </c>
      <c r="E1085" s="38">
        <v>46271</v>
      </c>
      <c r="F1085" s="23" t="s">
        <v>12410</v>
      </c>
      <c r="G1085" s="23" t="s">
        <v>79</v>
      </c>
      <c r="H1085" s="24">
        <v>9798</v>
      </c>
      <c r="I1085" s="24">
        <v>156.77000000000001</v>
      </c>
      <c r="J1085" s="24">
        <v>28.22</v>
      </c>
      <c r="K1085" s="24">
        <v>9613.01</v>
      </c>
      <c r="L1085" s="38">
        <v>46273</v>
      </c>
      <c r="M1085" s="23" t="s">
        <v>191</v>
      </c>
      <c r="N1085" s="23" t="str">
        <f>IF(COUNTIF($A$2:A1085,A1085)&gt;1,"DUP","OK")</f>
        <v>OK</v>
      </c>
      <c r="O1085" s="23" t="str">
        <f t="shared" si="49"/>
        <v>ORD26005921</v>
      </c>
      <c r="P1085" s="23" t="str">
        <f t="shared" si="50"/>
        <v>Sep</v>
      </c>
      <c r="Q1085" s="23" t="str">
        <f>IF(F1085="CAPTURE",IF(COUNTIF(orders!$A:$A,O1085)&gt;0,"Yes","NO ORDER"),"")</f>
        <v>Yes</v>
      </c>
    </row>
    <row r="1086" spans="1:17" ht="15" customHeight="1" x14ac:dyDescent="0.3">
      <c r="A1086" s="23" t="s">
        <v>13670</v>
      </c>
      <c r="B1086" s="23"/>
      <c r="C1086" s="23" t="s">
        <v>12267</v>
      </c>
      <c r="D1086" s="23" t="str">
        <f t="shared" si="48"/>
        <v>ORD26005934</v>
      </c>
      <c r="E1086" s="38">
        <v>46271</v>
      </c>
      <c r="F1086" s="23" t="s">
        <v>12410</v>
      </c>
      <c r="G1086" s="23" t="s">
        <v>75</v>
      </c>
      <c r="H1086" s="24">
        <v>798</v>
      </c>
      <c r="I1086" s="24">
        <v>0</v>
      </c>
      <c r="J1086" s="24">
        <v>0</v>
      </c>
      <c r="K1086" s="24">
        <v>798</v>
      </c>
      <c r="L1086" s="38">
        <v>46273</v>
      </c>
      <c r="M1086" s="23" t="s">
        <v>191</v>
      </c>
      <c r="N1086" s="23" t="str">
        <f>IF(COUNTIF($A$2:A1086,A1086)&gt;1,"DUP","OK")</f>
        <v>OK</v>
      </c>
      <c r="O1086" s="23" t="str">
        <f t="shared" si="49"/>
        <v>ORD26005934</v>
      </c>
      <c r="P1086" s="23" t="str">
        <f t="shared" si="50"/>
        <v>Sep</v>
      </c>
      <c r="Q1086" s="23" t="str">
        <f>IF(F1086="CAPTURE",IF(COUNTIF(orders!$A:$A,O1086)&gt;0,"Yes","NO ORDER"),"")</f>
        <v>Yes</v>
      </c>
    </row>
    <row r="1087" spans="1:17" ht="15" customHeight="1" x14ac:dyDescent="0.3">
      <c r="A1087" s="23" t="s">
        <v>13671</v>
      </c>
      <c r="B1087" s="23"/>
      <c r="C1087" s="23" t="s">
        <v>12268</v>
      </c>
      <c r="D1087" s="23" t="str">
        <f t="shared" si="48"/>
        <v>ORD26005935</v>
      </c>
      <c r="E1087" s="38">
        <v>46271</v>
      </c>
      <c r="F1087" s="23" t="s">
        <v>12410</v>
      </c>
      <c r="G1087" s="23" t="s">
        <v>79</v>
      </c>
      <c r="H1087" s="24">
        <v>7999</v>
      </c>
      <c r="I1087" s="24">
        <v>127.98</v>
      </c>
      <c r="J1087" s="24">
        <v>23.04</v>
      </c>
      <c r="K1087" s="24">
        <v>7847.98</v>
      </c>
      <c r="L1087" s="38">
        <v>46273</v>
      </c>
      <c r="M1087" s="23" t="s">
        <v>191</v>
      </c>
      <c r="N1087" s="23" t="str">
        <f>IF(COUNTIF($A$2:A1087,A1087)&gt;1,"DUP","OK")</f>
        <v>OK</v>
      </c>
      <c r="O1087" s="23" t="str">
        <f t="shared" si="49"/>
        <v>ORD26005935</v>
      </c>
      <c r="P1087" s="23" t="str">
        <f t="shared" si="50"/>
        <v>Sep</v>
      </c>
      <c r="Q1087" s="23" t="str">
        <f>IF(F1087="CAPTURE",IF(COUNTIF(orders!$A:$A,O1087)&gt;0,"Yes","NO ORDER"),"")</f>
        <v>Yes</v>
      </c>
    </row>
    <row r="1088" spans="1:17" ht="15" customHeight="1" x14ac:dyDescent="0.3">
      <c r="A1088" s="23" t="s">
        <v>13672</v>
      </c>
      <c r="B1088" s="23"/>
      <c r="C1088" s="23" t="s">
        <v>13673</v>
      </c>
      <c r="D1088" s="23" t="str">
        <f t="shared" si="48"/>
        <v>ORD26005948</v>
      </c>
      <c r="E1088" s="38">
        <v>46271</v>
      </c>
      <c r="F1088" s="23" t="s">
        <v>12410</v>
      </c>
      <c r="G1088" s="23" t="s">
        <v>75</v>
      </c>
      <c r="H1088" s="24">
        <v>499</v>
      </c>
      <c r="I1088" s="24">
        <v>0</v>
      </c>
      <c r="J1088" s="24">
        <v>0</v>
      </c>
      <c r="K1088" s="24">
        <v>499</v>
      </c>
      <c r="L1088" s="38">
        <v>46273</v>
      </c>
      <c r="M1088" s="23" t="s">
        <v>191</v>
      </c>
      <c r="N1088" s="23" t="str">
        <f>IF(COUNTIF($A$2:A1088,A1088)&gt;1,"DUP","OK")</f>
        <v>OK</v>
      </c>
      <c r="O1088" s="23" t="str">
        <f t="shared" si="49"/>
        <v>ORD26005948</v>
      </c>
      <c r="P1088" s="23" t="str">
        <f t="shared" si="50"/>
        <v>Sep</v>
      </c>
      <c r="Q1088" s="23" t="str">
        <f>IF(F1088="CAPTURE",IF(COUNTIF(orders!$A:$A,O1088)&gt;0,"Yes","NO ORDER"),"")</f>
        <v>Yes</v>
      </c>
    </row>
    <row r="1089" spans="1:17" ht="15" customHeight="1" x14ac:dyDescent="0.3">
      <c r="A1089" s="23" t="s">
        <v>13674</v>
      </c>
      <c r="B1089" s="23"/>
      <c r="C1089" s="23" t="s">
        <v>13675</v>
      </c>
      <c r="D1089" s="23" t="str">
        <f t="shared" si="48"/>
        <v>ORD26005983</v>
      </c>
      <c r="E1089" s="38">
        <v>46271</v>
      </c>
      <c r="F1089" s="23" t="s">
        <v>12410</v>
      </c>
      <c r="G1089" s="23" t="s">
        <v>79</v>
      </c>
      <c r="H1089" s="24">
        <v>9097</v>
      </c>
      <c r="I1089" s="24">
        <v>145.55000000000001</v>
      </c>
      <c r="J1089" s="24">
        <v>26.2</v>
      </c>
      <c r="K1089" s="24">
        <v>8925.25</v>
      </c>
      <c r="L1089" s="38">
        <v>46273</v>
      </c>
      <c r="M1089" s="23" t="s">
        <v>191</v>
      </c>
      <c r="N1089" s="23" t="str">
        <f>IF(COUNTIF($A$2:A1089,A1089)&gt;1,"DUP","OK")</f>
        <v>OK</v>
      </c>
      <c r="O1089" s="23" t="str">
        <f t="shared" si="49"/>
        <v>ORD26005983</v>
      </c>
      <c r="P1089" s="23" t="str">
        <f t="shared" si="50"/>
        <v>Sep</v>
      </c>
      <c r="Q1089" s="23" t="str">
        <f>IF(F1089="CAPTURE",IF(COUNTIF(orders!$A:$A,O1089)&gt;0,"Yes","NO ORDER"),"")</f>
        <v>Yes</v>
      </c>
    </row>
    <row r="1090" spans="1:17" ht="15" customHeight="1" x14ac:dyDescent="0.3">
      <c r="A1090" s="23" t="s">
        <v>13676</v>
      </c>
      <c r="B1090" s="23"/>
      <c r="C1090" s="23" t="s">
        <v>13677</v>
      </c>
      <c r="D1090" s="23" t="str">
        <f t="shared" ref="D1090:D1153" si="51">UPPER(SUBSTITUTE(TRIM(C1090),"-",""))</f>
        <v>ORD26006000</v>
      </c>
      <c r="E1090" s="38">
        <v>46271</v>
      </c>
      <c r="F1090" s="23" t="s">
        <v>12410</v>
      </c>
      <c r="G1090" s="23" t="s">
        <v>75</v>
      </c>
      <c r="H1090" s="24">
        <v>4298</v>
      </c>
      <c r="I1090" s="24">
        <v>12.89</v>
      </c>
      <c r="J1090" s="24">
        <v>2.3199999999999998</v>
      </c>
      <c r="K1090" s="24">
        <v>4282.79</v>
      </c>
      <c r="L1090" s="38">
        <v>46273</v>
      </c>
      <c r="M1090" s="23" t="s">
        <v>191</v>
      </c>
      <c r="N1090" s="23" t="str">
        <f>IF(COUNTIF($A$2:A1090,A1090)&gt;1,"DUP","OK")</f>
        <v>OK</v>
      </c>
      <c r="O1090" s="23" t="str">
        <f t="shared" ref="O1090:O1153" si="52">IF(F1090="REFUND",INDEX($D:$D,MATCH(B1090,$A:$A,0)),D1090)</f>
        <v>ORD26006000</v>
      </c>
      <c r="P1090" s="23" t="str">
        <f t="shared" ref="P1090:P1153" si="53">IF(L1090&gt;DATE(2026,9,30),"Oct-Due","Sep")</f>
        <v>Sep</v>
      </c>
      <c r="Q1090" s="23" t="str">
        <f>IF(F1090="CAPTURE",IF(COUNTIF(orders!$A:$A,O1090)&gt;0,"Yes","NO ORDER"),"")</f>
        <v>Yes</v>
      </c>
    </row>
    <row r="1091" spans="1:17" ht="15" customHeight="1" x14ac:dyDescent="0.3">
      <c r="A1091" s="23" t="s">
        <v>13678</v>
      </c>
      <c r="B1091" s="23"/>
      <c r="C1091" s="23" t="s">
        <v>13679</v>
      </c>
      <c r="D1091" s="23" t="str">
        <f t="shared" si="51"/>
        <v>ORD26006504</v>
      </c>
      <c r="E1091" s="38">
        <v>46271</v>
      </c>
      <c r="F1091" s="23" t="s">
        <v>12410</v>
      </c>
      <c r="G1091" s="23" t="s">
        <v>81</v>
      </c>
      <c r="H1091" s="24">
        <v>999</v>
      </c>
      <c r="I1091" s="24">
        <v>14.99</v>
      </c>
      <c r="J1091" s="24">
        <v>2.7</v>
      </c>
      <c r="K1091" s="24">
        <v>981.31</v>
      </c>
      <c r="L1091" s="38">
        <v>46273</v>
      </c>
      <c r="M1091" s="23" t="s">
        <v>191</v>
      </c>
      <c r="N1091" s="23" t="str">
        <f>IF(COUNTIF($A$2:A1091,A1091)&gt;1,"DUP","OK")</f>
        <v>OK</v>
      </c>
      <c r="O1091" s="23" t="str">
        <f t="shared" si="52"/>
        <v>ORD26006504</v>
      </c>
      <c r="P1091" s="23" t="str">
        <f t="shared" si="53"/>
        <v>Sep</v>
      </c>
      <c r="Q1091" s="23" t="str">
        <f>IF(F1091="CAPTURE",IF(COUNTIF(orders!$A:$A,O1091)&gt;0,"Yes","NO ORDER"),"")</f>
        <v>NO ORDER</v>
      </c>
    </row>
    <row r="1092" spans="1:17" ht="15" customHeight="1" x14ac:dyDescent="0.3">
      <c r="A1092" s="23" t="s">
        <v>13680</v>
      </c>
      <c r="B1092" s="23" t="s">
        <v>13026</v>
      </c>
      <c r="C1092" s="23"/>
      <c r="D1092" s="23" t="str">
        <f t="shared" si="51"/>
        <v/>
      </c>
      <c r="E1092" s="38">
        <v>46271</v>
      </c>
      <c r="F1092" s="23" t="s">
        <v>12791</v>
      </c>
      <c r="G1092" s="23" t="s">
        <v>79</v>
      </c>
      <c r="H1092" s="24">
        <v>5998</v>
      </c>
      <c r="I1092" s="24">
        <v>0</v>
      </c>
      <c r="J1092" s="24">
        <v>0</v>
      </c>
      <c r="K1092" s="24">
        <v>-5998</v>
      </c>
      <c r="L1092" s="38">
        <v>46273</v>
      </c>
      <c r="M1092" s="23" t="s">
        <v>191</v>
      </c>
      <c r="N1092" s="23" t="str">
        <f>IF(COUNTIF($A$2:A1092,A1092)&gt;1,"DUP","OK")</f>
        <v>OK</v>
      </c>
      <c r="O1092" s="23" t="str">
        <f t="shared" si="52"/>
        <v>ORD26000300</v>
      </c>
      <c r="P1092" s="23" t="str">
        <f t="shared" si="53"/>
        <v>Sep</v>
      </c>
      <c r="Q1092" s="23" t="str">
        <f>IF(F1092="CAPTURE",IF(COUNTIF(orders!$A:$A,O1092)&gt;0,"Yes","NO ORDER"),"")</f>
        <v/>
      </c>
    </row>
    <row r="1093" spans="1:17" ht="15" customHeight="1" x14ac:dyDescent="0.3">
      <c r="A1093" s="23" t="s">
        <v>13681</v>
      </c>
      <c r="B1093" s="23" t="s">
        <v>13328</v>
      </c>
      <c r="C1093" s="23"/>
      <c r="D1093" s="23" t="str">
        <f t="shared" si="51"/>
        <v/>
      </c>
      <c r="E1093" s="38">
        <v>46271</v>
      </c>
      <c r="F1093" s="23" t="s">
        <v>12791</v>
      </c>
      <c r="G1093" s="23" t="s">
        <v>75</v>
      </c>
      <c r="H1093" s="24">
        <v>3499</v>
      </c>
      <c r="I1093" s="24">
        <v>0</v>
      </c>
      <c r="J1093" s="24">
        <v>0</v>
      </c>
      <c r="K1093" s="24">
        <v>-3499</v>
      </c>
      <c r="L1093" s="38">
        <v>46273</v>
      </c>
      <c r="M1093" s="23" t="s">
        <v>191</v>
      </c>
      <c r="N1093" s="23" t="str">
        <f>IF(COUNTIF($A$2:A1093,A1093)&gt;1,"DUP","OK")</f>
        <v>OK</v>
      </c>
      <c r="O1093" s="23" t="str">
        <f t="shared" si="52"/>
        <v>ORD26002458</v>
      </c>
      <c r="P1093" s="23" t="str">
        <f t="shared" si="53"/>
        <v>Sep</v>
      </c>
      <c r="Q1093" s="23" t="str">
        <f>IF(F1093="CAPTURE",IF(COUNTIF(orders!$A:$A,O1093)&gt;0,"Yes","NO ORDER"),"")</f>
        <v/>
      </c>
    </row>
    <row r="1094" spans="1:17" ht="15" customHeight="1" x14ac:dyDescent="0.3">
      <c r="A1094" s="23" t="s">
        <v>13682</v>
      </c>
      <c r="B1094" s="23" t="s">
        <v>13374</v>
      </c>
      <c r="C1094" s="23"/>
      <c r="D1094" s="23" t="str">
        <f t="shared" si="51"/>
        <v/>
      </c>
      <c r="E1094" s="38">
        <v>46271</v>
      </c>
      <c r="F1094" s="23" t="s">
        <v>12791</v>
      </c>
      <c r="G1094" s="23" t="s">
        <v>79</v>
      </c>
      <c r="H1094" s="24">
        <v>999</v>
      </c>
      <c r="I1094" s="24">
        <v>0</v>
      </c>
      <c r="J1094" s="24">
        <v>0</v>
      </c>
      <c r="K1094" s="24">
        <v>-999</v>
      </c>
      <c r="L1094" s="38">
        <v>46273</v>
      </c>
      <c r="M1094" s="23" t="s">
        <v>191</v>
      </c>
      <c r="N1094" s="23" t="str">
        <f>IF(COUNTIF($A$2:A1094,A1094)&gt;1,"DUP","OK")</f>
        <v>OK</v>
      </c>
      <c r="O1094" s="23" t="str">
        <f t="shared" si="52"/>
        <v>ORD26003830</v>
      </c>
      <c r="P1094" s="23" t="str">
        <f t="shared" si="53"/>
        <v>Sep</v>
      </c>
      <c r="Q1094" s="23" t="str">
        <f>IF(F1094="CAPTURE",IF(COUNTIF(orders!$A:$A,O1094)&gt;0,"Yes","NO ORDER"),"")</f>
        <v/>
      </c>
    </row>
    <row r="1095" spans="1:17" ht="15" customHeight="1" x14ac:dyDescent="0.3">
      <c r="A1095" s="23" t="s">
        <v>13683</v>
      </c>
      <c r="B1095" s="23"/>
      <c r="C1095" s="23" t="s">
        <v>521</v>
      </c>
      <c r="D1095" s="23" t="str">
        <f t="shared" si="51"/>
        <v>ORD26000106</v>
      </c>
      <c r="E1095" s="38">
        <v>46272</v>
      </c>
      <c r="F1095" s="23" t="s">
        <v>12410</v>
      </c>
      <c r="G1095" s="23" t="s">
        <v>75</v>
      </c>
      <c r="H1095" s="24">
        <v>1598</v>
      </c>
      <c r="I1095" s="24">
        <v>0</v>
      </c>
      <c r="J1095" s="24">
        <v>0</v>
      </c>
      <c r="K1095" s="24">
        <v>1598</v>
      </c>
      <c r="L1095" s="38">
        <v>46274</v>
      </c>
      <c r="M1095" s="23" t="s">
        <v>193</v>
      </c>
      <c r="N1095" s="23" t="str">
        <f>IF(COUNTIF($A$2:A1095,A1095)&gt;1,"DUP","OK")</f>
        <v>OK</v>
      </c>
      <c r="O1095" s="23" t="str">
        <f t="shared" si="52"/>
        <v>ORD26000106</v>
      </c>
      <c r="P1095" s="23" t="str">
        <f t="shared" si="53"/>
        <v>Sep</v>
      </c>
      <c r="Q1095" s="23" t="str">
        <f>IF(F1095="CAPTURE",IF(COUNTIF(orders!$A:$A,O1095)&gt;0,"Yes","NO ORDER"),"")</f>
        <v>Yes</v>
      </c>
    </row>
    <row r="1096" spans="1:17" ht="15" customHeight="1" x14ac:dyDescent="0.3">
      <c r="A1096" s="23" t="s">
        <v>13684</v>
      </c>
      <c r="B1096" s="23"/>
      <c r="C1096" s="23" t="s">
        <v>662</v>
      </c>
      <c r="D1096" s="23" t="str">
        <f t="shared" si="51"/>
        <v>ORD26000166</v>
      </c>
      <c r="E1096" s="38">
        <v>46272</v>
      </c>
      <c r="F1096" s="23" t="s">
        <v>12410</v>
      </c>
      <c r="G1096" s="23" t="s">
        <v>81</v>
      </c>
      <c r="H1096" s="24">
        <v>499</v>
      </c>
      <c r="I1096" s="24">
        <v>7.49</v>
      </c>
      <c r="J1096" s="24">
        <v>1.35</v>
      </c>
      <c r="K1096" s="24">
        <v>490.16</v>
      </c>
      <c r="L1096" s="38">
        <v>46274</v>
      </c>
      <c r="M1096" s="23" t="s">
        <v>193</v>
      </c>
      <c r="N1096" s="23" t="str">
        <f>IF(COUNTIF($A$2:A1096,A1096)&gt;1,"DUP","OK")</f>
        <v>OK</v>
      </c>
      <c r="O1096" s="23" t="str">
        <f t="shared" si="52"/>
        <v>ORD26000166</v>
      </c>
      <c r="P1096" s="23" t="str">
        <f t="shared" si="53"/>
        <v>Sep</v>
      </c>
      <c r="Q1096" s="23" t="str">
        <f>IF(F1096="CAPTURE",IF(COUNTIF(orders!$A:$A,O1096)&gt;0,"Yes","NO ORDER"),"")</f>
        <v>Yes</v>
      </c>
    </row>
    <row r="1097" spans="1:17" ht="15" customHeight="1" x14ac:dyDescent="0.3">
      <c r="A1097" s="23" t="s">
        <v>13685</v>
      </c>
      <c r="B1097" s="23"/>
      <c r="C1097" s="23" t="s">
        <v>876</v>
      </c>
      <c r="D1097" s="23" t="str">
        <f t="shared" si="51"/>
        <v>ORD26000257</v>
      </c>
      <c r="E1097" s="38">
        <v>46272</v>
      </c>
      <c r="F1097" s="23" t="s">
        <v>12410</v>
      </c>
      <c r="G1097" s="23" t="s">
        <v>75</v>
      </c>
      <c r="H1097" s="24">
        <v>4999</v>
      </c>
      <c r="I1097" s="24">
        <v>15</v>
      </c>
      <c r="J1097" s="24">
        <v>2.7</v>
      </c>
      <c r="K1097" s="24">
        <v>4981.3</v>
      </c>
      <c r="L1097" s="38">
        <v>46274</v>
      </c>
      <c r="M1097" s="23" t="s">
        <v>193</v>
      </c>
      <c r="N1097" s="23" t="str">
        <f>IF(COUNTIF($A$2:A1097,A1097)&gt;1,"DUP","OK")</f>
        <v>OK</v>
      </c>
      <c r="O1097" s="23" t="str">
        <f t="shared" si="52"/>
        <v>ORD26000257</v>
      </c>
      <c r="P1097" s="23" t="str">
        <f t="shared" si="53"/>
        <v>Sep</v>
      </c>
      <c r="Q1097" s="23" t="str">
        <f>IF(F1097="CAPTURE",IF(COUNTIF(orders!$A:$A,O1097)&gt;0,"Yes","NO ORDER"),"")</f>
        <v>Yes</v>
      </c>
    </row>
    <row r="1098" spans="1:17" ht="15" customHeight="1" x14ac:dyDescent="0.3">
      <c r="A1098" s="23" t="s">
        <v>13686</v>
      </c>
      <c r="B1098" s="23"/>
      <c r="C1098" s="23" t="s">
        <v>907</v>
      </c>
      <c r="D1098" s="23" t="str">
        <f t="shared" si="51"/>
        <v>ORD26000272</v>
      </c>
      <c r="E1098" s="38">
        <v>46272</v>
      </c>
      <c r="F1098" s="23" t="s">
        <v>12410</v>
      </c>
      <c r="G1098" s="23" t="s">
        <v>75</v>
      </c>
      <c r="H1098" s="24">
        <v>499</v>
      </c>
      <c r="I1098" s="24">
        <v>0</v>
      </c>
      <c r="J1098" s="24">
        <v>0</v>
      </c>
      <c r="K1098" s="24">
        <v>499</v>
      </c>
      <c r="L1098" s="38">
        <v>46274</v>
      </c>
      <c r="M1098" s="23" t="s">
        <v>193</v>
      </c>
      <c r="N1098" s="23" t="str">
        <f>IF(COUNTIF($A$2:A1098,A1098)&gt;1,"DUP","OK")</f>
        <v>OK</v>
      </c>
      <c r="O1098" s="23" t="str">
        <f t="shared" si="52"/>
        <v>ORD26000272</v>
      </c>
      <c r="P1098" s="23" t="str">
        <f t="shared" si="53"/>
        <v>Sep</v>
      </c>
      <c r="Q1098" s="23" t="str">
        <f>IF(F1098="CAPTURE",IF(COUNTIF(orders!$A:$A,O1098)&gt;0,"Yes","NO ORDER"),"")</f>
        <v>Yes</v>
      </c>
    </row>
    <row r="1099" spans="1:17" ht="15" customHeight="1" x14ac:dyDescent="0.3">
      <c r="A1099" s="23" t="s">
        <v>13687</v>
      </c>
      <c r="B1099" s="23"/>
      <c r="C1099" s="23" t="s">
        <v>13688</v>
      </c>
      <c r="D1099" s="23" t="str">
        <f t="shared" si="51"/>
        <v>ORD26000289</v>
      </c>
      <c r="E1099" s="38">
        <v>46272</v>
      </c>
      <c r="F1099" s="23" t="s">
        <v>12410</v>
      </c>
      <c r="G1099" s="23" t="s">
        <v>81</v>
      </c>
      <c r="H1099" s="24">
        <v>2499</v>
      </c>
      <c r="I1099" s="24">
        <v>29.99</v>
      </c>
      <c r="J1099" s="24">
        <v>5.4</v>
      </c>
      <c r="K1099" s="24">
        <v>2463.61</v>
      </c>
      <c r="L1099" s="38">
        <v>46274</v>
      </c>
      <c r="M1099" s="23" t="s">
        <v>193</v>
      </c>
      <c r="N1099" s="23" t="str">
        <f>IF(COUNTIF($A$2:A1099,A1099)&gt;1,"DUP","OK")</f>
        <v>OK</v>
      </c>
      <c r="O1099" s="23" t="str">
        <f t="shared" si="52"/>
        <v>ORD26000289</v>
      </c>
      <c r="P1099" s="23" t="str">
        <f t="shared" si="53"/>
        <v>Sep</v>
      </c>
      <c r="Q1099" s="23" t="str">
        <f>IF(F1099="CAPTURE",IF(COUNTIF(orders!$A:$A,O1099)&gt;0,"Yes","NO ORDER"),"")</f>
        <v>Yes</v>
      </c>
    </row>
    <row r="1100" spans="1:17" ht="15" customHeight="1" x14ac:dyDescent="0.3">
      <c r="A1100" s="23" t="s">
        <v>13689</v>
      </c>
      <c r="B1100" s="23"/>
      <c r="C1100" s="23" t="s">
        <v>13690</v>
      </c>
      <c r="D1100" s="23" t="str">
        <f t="shared" si="51"/>
        <v>ORD26000311</v>
      </c>
      <c r="E1100" s="38">
        <v>46272</v>
      </c>
      <c r="F1100" s="23" t="s">
        <v>12410</v>
      </c>
      <c r="G1100" s="23" t="s">
        <v>75</v>
      </c>
      <c r="H1100" s="24">
        <v>3998</v>
      </c>
      <c r="I1100" s="24">
        <v>11.99</v>
      </c>
      <c r="J1100" s="24">
        <v>2.16</v>
      </c>
      <c r="K1100" s="24">
        <v>3983.85</v>
      </c>
      <c r="L1100" s="38">
        <v>46274</v>
      </c>
      <c r="M1100" s="23" t="s">
        <v>193</v>
      </c>
      <c r="N1100" s="23" t="str">
        <f>IF(COUNTIF($A$2:A1100,A1100)&gt;1,"DUP","OK")</f>
        <v>OK</v>
      </c>
      <c r="O1100" s="23" t="str">
        <f t="shared" si="52"/>
        <v>ORD26000311</v>
      </c>
      <c r="P1100" s="23" t="str">
        <f t="shared" si="53"/>
        <v>Sep</v>
      </c>
      <c r="Q1100" s="23" t="str">
        <f>IF(F1100="CAPTURE",IF(COUNTIF(orders!$A:$A,O1100)&gt;0,"Yes","NO ORDER"),"")</f>
        <v>Yes</v>
      </c>
    </row>
    <row r="1101" spans="1:17" ht="15" customHeight="1" x14ac:dyDescent="0.3">
      <c r="A1101" s="23" t="s">
        <v>13691</v>
      </c>
      <c r="B1101" s="23"/>
      <c r="C1101" s="23" t="s">
        <v>1104</v>
      </c>
      <c r="D1101" s="23" t="str">
        <f t="shared" si="51"/>
        <v>ORD26000362</v>
      </c>
      <c r="E1101" s="38">
        <v>46272</v>
      </c>
      <c r="F1101" s="23" t="s">
        <v>12410</v>
      </c>
      <c r="G1101" s="23" t="s">
        <v>77</v>
      </c>
      <c r="H1101" s="24">
        <v>3499</v>
      </c>
      <c r="I1101" s="24">
        <v>83.98</v>
      </c>
      <c r="J1101" s="24">
        <v>15.12</v>
      </c>
      <c r="K1101" s="24">
        <v>3399.9</v>
      </c>
      <c r="L1101" s="38">
        <v>46274</v>
      </c>
      <c r="M1101" s="23" t="s">
        <v>193</v>
      </c>
      <c r="N1101" s="23" t="str">
        <f>IF(COUNTIF($A$2:A1101,A1101)&gt;1,"DUP","OK")</f>
        <v>OK</v>
      </c>
      <c r="O1101" s="23" t="str">
        <f t="shared" si="52"/>
        <v>ORD26000362</v>
      </c>
      <c r="P1101" s="23" t="str">
        <f t="shared" si="53"/>
        <v>Sep</v>
      </c>
      <c r="Q1101" s="23" t="str">
        <f>IF(F1101="CAPTURE",IF(COUNTIF(orders!$A:$A,O1101)&gt;0,"Yes","NO ORDER"),"")</f>
        <v>Yes</v>
      </c>
    </row>
    <row r="1102" spans="1:17" ht="15" customHeight="1" x14ac:dyDescent="0.3">
      <c r="A1102" s="23" t="s">
        <v>13692</v>
      </c>
      <c r="B1102" s="23"/>
      <c r="C1102" s="23" t="s">
        <v>1251</v>
      </c>
      <c r="D1102" s="23" t="str">
        <f t="shared" si="51"/>
        <v>ORD26000430</v>
      </c>
      <c r="E1102" s="38">
        <v>46272</v>
      </c>
      <c r="F1102" s="23" t="s">
        <v>12410</v>
      </c>
      <c r="G1102" s="23" t="s">
        <v>79</v>
      </c>
      <c r="H1102" s="24">
        <v>2499</v>
      </c>
      <c r="I1102" s="24">
        <v>39.979999999999997</v>
      </c>
      <c r="J1102" s="24">
        <v>7.2</v>
      </c>
      <c r="K1102" s="24">
        <v>2451.8200000000002</v>
      </c>
      <c r="L1102" s="38">
        <v>46274</v>
      </c>
      <c r="M1102" s="23" t="s">
        <v>193</v>
      </c>
      <c r="N1102" s="23" t="str">
        <f>IF(COUNTIF($A$2:A1102,A1102)&gt;1,"DUP","OK")</f>
        <v>OK</v>
      </c>
      <c r="O1102" s="23" t="str">
        <f t="shared" si="52"/>
        <v>ORD26000430</v>
      </c>
      <c r="P1102" s="23" t="str">
        <f t="shared" si="53"/>
        <v>Sep</v>
      </c>
      <c r="Q1102" s="23" t="str">
        <f>IF(F1102="CAPTURE",IF(COUNTIF(orders!$A:$A,O1102)&gt;0,"Yes","NO ORDER"),"")</f>
        <v>Yes</v>
      </c>
    </row>
    <row r="1103" spans="1:17" ht="15" customHeight="1" x14ac:dyDescent="0.3">
      <c r="A1103" s="23" t="s">
        <v>13693</v>
      </c>
      <c r="B1103" s="23"/>
      <c r="C1103" s="23" t="s">
        <v>13694</v>
      </c>
      <c r="D1103" s="23" t="str">
        <f t="shared" si="51"/>
        <v>ORD26000449</v>
      </c>
      <c r="E1103" s="38">
        <v>46272</v>
      </c>
      <c r="F1103" s="23" t="s">
        <v>12410</v>
      </c>
      <c r="G1103" s="23" t="s">
        <v>75</v>
      </c>
      <c r="H1103" s="24">
        <v>349</v>
      </c>
      <c r="I1103" s="24">
        <v>0</v>
      </c>
      <c r="J1103" s="24">
        <v>0</v>
      </c>
      <c r="K1103" s="24">
        <v>349</v>
      </c>
      <c r="L1103" s="38">
        <v>46274</v>
      </c>
      <c r="M1103" s="23" t="s">
        <v>193</v>
      </c>
      <c r="N1103" s="23" t="str">
        <f>IF(COUNTIF($A$2:A1103,A1103)&gt;1,"DUP","OK")</f>
        <v>OK</v>
      </c>
      <c r="O1103" s="23" t="str">
        <f t="shared" si="52"/>
        <v>ORD26000449</v>
      </c>
      <c r="P1103" s="23" t="str">
        <f t="shared" si="53"/>
        <v>Sep</v>
      </c>
      <c r="Q1103" s="23" t="str">
        <f>IF(F1103="CAPTURE",IF(COUNTIF(orders!$A:$A,O1103)&gt;0,"Yes","NO ORDER"),"")</f>
        <v>Yes</v>
      </c>
    </row>
    <row r="1104" spans="1:17" ht="15" customHeight="1" x14ac:dyDescent="0.3">
      <c r="A1104" s="23" t="s">
        <v>13695</v>
      </c>
      <c r="B1104" s="23"/>
      <c r="C1104" s="23" t="s">
        <v>1316</v>
      </c>
      <c r="D1104" s="23" t="str">
        <f t="shared" si="51"/>
        <v>ORD26000460</v>
      </c>
      <c r="E1104" s="38">
        <v>46272</v>
      </c>
      <c r="F1104" s="23" t="s">
        <v>12410</v>
      </c>
      <c r="G1104" s="23" t="s">
        <v>75</v>
      </c>
      <c r="H1104" s="24">
        <v>4298</v>
      </c>
      <c r="I1104" s="24">
        <v>12.89</v>
      </c>
      <c r="J1104" s="24">
        <v>2.3199999999999998</v>
      </c>
      <c r="K1104" s="24">
        <v>4282.79</v>
      </c>
      <c r="L1104" s="38">
        <v>46274</v>
      </c>
      <c r="M1104" s="23" t="s">
        <v>193</v>
      </c>
      <c r="N1104" s="23" t="str">
        <f>IF(COUNTIF($A$2:A1104,A1104)&gt;1,"DUP","OK")</f>
        <v>OK</v>
      </c>
      <c r="O1104" s="23" t="str">
        <f t="shared" si="52"/>
        <v>ORD26000460</v>
      </c>
      <c r="P1104" s="23" t="str">
        <f t="shared" si="53"/>
        <v>Sep</v>
      </c>
      <c r="Q1104" s="23" t="str">
        <f>IF(F1104="CAPTURE",IF(COUNTIF(orders!$A:$A,O1104)&gt;0,"Yes","NO ORDER"),"")</f>
        <v>Yes</v>
      </c>
    </row>
    <row r="1105" spans="1:17" ht="15" customHeight="1" x14ac:dyDescent="0.3">
      <c r="A1105" s="23" t="s">
        <v>13696</v>
      </c>
      <c r="B1105" s="23"/>
      <c r="C1105" s="23" t="s">
        <v>1410</v>
      </c>
      <c r="D1105" s="23" t="str">
        <f t="shared" si="51"/>
        <v>ORD26000503</v>
      </c>
      <c r="E1105" s="38">
        <v>46272</v>
      </c>
      <c r="F1105" s="23" t="s">
        <v>12410</v>
      </c>
      <c r="G1105" s="23" t="s">
        <v>81</v>
      </c>
      <c r="H1105" s="24">
        <v>7397</v>
      </c>
      <c r="I1105" s="24">
        <v>88.76</v>
      </c>
      <c r="J1105" s="24">
        <v>15.98</v>
      </c>
      <c r="K1105" s="24">
        <v>7292.26</v>
      </c>
      <c r="L1105" s="38">
        <v>46274</v>
      </c>
      <c r="M1105" s="23" t="s">
        <v>193</v>
      </c>
      <c r="N1105" s="23" t="str">
        <f>IF(COUNTIF($A$2:A1105,A1105)&gt;1,"DUP","OK")</f>
        <v>OK</v>
      </c>
      <c r="O1105" s="23" t="str">
        <f t="shared" si="52"/>
        <v>ORD26000503</v>
      </c>
      <c r="P1105" s="23" t="str">
        <f t="shared" si="53"/>
        <v>Sep</v>
      </c>
      <c r="Q1105" s="23" t="str">
        <f>IF(F1105="CAPTURE",IF(COUNTIF(orders!$A:$A,O1105)&gt;0,"Yes","NO ORDER"),"")</f>
        <v>Yes</v>
      </c>
    </row>
    <row r="1106" spans="1:17" ht="15" customHeight="1" x14ac:dyDescent="0.3">
      <c r="A1106" s="23" t="s">
        <v>13697</v>
      </c>
      <c r="B1106" s="23"/>
      <c r="C1106" s="23" t="s">
        <v>1461</v>
      </c>
      <c r="D1106" s="23" t="str">
        <f t="shared" si="51"/>
        <v>ORD26000525</v>
      </c>
      <c r="E1106" s="38">
        <v>46272</v>
      </c>
      <c r="F1106" s="23" t="s">
        <v>12410</v>
      </c>
      <c r="G1106" s="23" t="s">
        <v>75</v>
      </c>
      <c r="H1106" s="24">
        <v>5348</v>
      </c>
      <c r="I1106" s="24">
        <v>16.04</v>
      </c>
      <c r="J1106" s="24">
        <v>2.89</v>
      </c>
      <c r="K1106" s="24">
        <v>5329.07</v>
      </c>
      <c r="L1106" s="38">
        <v>46274</v>
      </c>
      <c r="M1106" s="23" t="s">
        <v>193</v>
      </c>
      <c r="N1106" s="23" t="str">
        <f>IF(COUNTIF($A$2:A1106,A1106)&gt;1,"DUP","OK")</f>
        <v>OK</v>
      </c>
      <c r="O1106" s="23" t="str">
        <f t="shared" si="52"/>
        <v>ORD26000525</v>
      </c>
      <c r="P1106" s="23" t="str">
        <f t="shared" si="53"/>
        <v>Sep</v>
      </c>
      <c r="Q1106" s="23" t="str">
        <f>IF(F1106="CAPTURE",IF(COUNTIF(orders!$A:$A,O1106)&gt;0,"Yes","NO ORDER"),"")</f>
        <v>Yes</v>
      </c>
    </row>
    <row r="1107" spans="1:17" ht="15" customHeight="1" x14ac:dyDescent="0.3">
      <c r="A1107" s="23" t="s">
        <v>13698</v>
      </c>
      <c r="B1107" s="23"/>
      <c r="C1107" s="23" t="s">
        <v>1527</v>
      </c>
      <c r="D1107" s="23" t="str">
        <f t="shared" si="51"/>
        <v>ORD26000555</v>
      </c>
      <c r="E1107" s="38">
        <v>46272</v>
      </c>
      <c r="F1107" s="23" t="s">
        <v>12410</v>
      </c>
      <c r="G1107" s="23" t="s">
        <v>75</v>
      </c>
      <c r="H1107" s="24">
        <v>7999</v>
      </c>
      <c r="I1107" s="24">
        <v>24</v>
      </c>
      <c r="J1107" s="24">
        <v>4.32</v>
      </c>
      <c r="K1107" s="24">
        <v>7970.68</v>
      </c>
      <c r="L1107" s="38">
        <v>46274</v>
      </c>
      <c r="M1107" s="23" t="s">
        <v>193</v>
      </c>
      <c r="N1107" s="23" t="str">
        <f>IF(COUNTIF($A$2:A1107,A1107)&gt;1,"DUP","OK")</f>
        <v>OK</v>
      </c>
      <c r="O1107" s="23" t="str">
        <f t="shared" si="52"/>
        <v>ORD26000555</v>
      </c>
      <c r="P1107" s="23" t="str">
        <f t="shared" si="53"/>
        <v>Sep</v>
      </c>
      <c r="Q1107" s="23" t="str">
        <f>IF(F1107="CAPTURE",IF(COUNTIF(orders!$A:$A,O1107)&gt;0,"Yes","NO ORDER"),"")</f>
        <v>Yes</v>
      </c>
    </row>
    <row r="1108" spans="1:17" ht="15" customHeight="1" x14ac:dyDescent="0.3">
      <c r="A1108" s="23" t="s">
        <v>13699</v>
      </c>
      <c r="B1108" s="23"/>
      <c r="C1108" s="23" t="s">
        <v>1553</v>
      </c>
      <c r="D1108" s="23" t="str">
        <f t="shared" si="51"/>
        <v>ORD26000567</v>
      </c>
      <c r="E1108" s="38">
        <v>46272</v>
      </c>
      <c r="F1108" s="23" t="s">
        <v>12410</v>
      </c>
      <c r="G1108" s="23" t="s">
        <v>77</v>
      </c>
      <c r="H1108" s="24">
        <v>1799</v>
      </c>
      <c r="I1108" s="24">
        <v>34.18</v>
      </c>
      <c r="J1108" s="24">
        <v>6.15</v>
      </c>
      <c r="K1108" s="24">
        <v>1758.67</v>
      </c>
      <c r="L1108" s="38">
        <v>46274</v>
      </c>
      <c r="M1108" s="23" t="s">
        <v>193</v>
      </c>
      <c r="N1108" s="23" t="str">
        <f>IF(COUNTIF($A$2:A1108,A1108)&gt;1,"DUP","OK")</f>
        <v>OK</v>
      </c>
      <c r="O1108" s="23" t="str">
        <f t="shared" si="52"/>
        <v>ORD26000567</v>
      </c>
      <c r="P1108" s="23" t="str">
        <f t="shared" si="53"/>
        <v>Sep</v>
      </c>
      <c r="Q1108" s="23" t="str">
        <f>IF(F1108="CAPTURE",IF(COUNTIF(orders!$A:$A,O1108)&gt;0,"Yes","NO ORDER"),"")</f>
        <v>Yes</v>
      </c>
    </row>
    <row r="1109" spans="1:17" ht="15" customHeight="1" x14ac:dyDescent="0.3">
      <c r="A1109" s="23" t="s">
        <v>13700</v>
      </c>
      <c r="B1109" s="23"/>
      <c r="C1109" s="23" t="s">
        <v>1584</v>
      </c>
      <c r="D1109" s="23" t="str">
        <f t="shared" si="51"/>
        <v>ORD26000582</v>
      </c>
      <c r="E1109" s="38">
        <v>46272</v>
      </c>
      <c r="F1109" s="23" t="s">
        <v>12410</v>
      </c>
      <c r="G1109" s="23" t="s">
        <v>75</v>
      </c>
      <c r="H1109" s="24">
        <v>2297</v>
      </c>
      <c r="I1109" s="24">
        <v>6.89</v>
      </c>
      <c r="J1109" s="24">
        <v>1.24</v>
      </c>
      <c r="K1109" s="24">
        <v>2288.87</v>
      </c>
      <c r="L1109" s="38">
        <v>46274</v>
      </c>
      <c r="M1109" s="23" t="s">
        <v>193</v>
      </c>
      <c r="N1109" s="23" t="str">
        <f>IF(COUNTIF($A$2:A1109,A1109)&gt;1,"DUP","OK")</f>
        <v>OK</v>
      </c>
      <c r="O1109" s="23" t="str">
        <f t="shared" si="52"/>
        <v>ORD26000582</v>
      </c>
      <c r="P1109" s="23" t="str">
        <f t="shared" si="53"/>
        <v>Sep</v>
      </c>
      <c r="Q1109" s="23" t="str">
        <f>IF(F1109="CAPTURE",IF(COUNTIF(orders!$A:$A,O1109)&gt;0,"Yes","NO ORDER"),"")</f>
        <v>Yes</v>
      </c>
    </row>
    <row r="1110" spans="1:17" ht="15" customHeight="1" x14ac:dyDescent="0.3">
      <c r="A1110" s="23" t="s">
        <v>13701</v>
      </c>
      <c r="B1110" s="23"/>
      <c r="C1110" s="23" t="s">
        <v>1814</v>
      </c>
      <c r="D1110" s="23" t="str">
        <f t="shared" si="51"/>
        <v>ORD26000688</v>
      </c>
      <c r="E1110" s="38">
        <v>46272</v>
      </c>
      <c r="F1110" s="23" t="s">
        <v>12410</v>
      </c>
      <c r="G1110" s="23" t="s">
        <v>79</v>
      </c>
      <c r="H1110" s="24">
        <v>499</v>
      </c>
      <c r="I1110" s="24">
        <v>8.98</v>
      </c>
      <c r="J1110" s="24">
        <v>1.62</v>
      </c>
      <c r="K1110" s="24">
        <v>488.4</v>
      </c>
      <c r="L1110" s="38">
        <v>46274</v>
      </c>
      <c r="M1110" s="23" t="s">
        <v>193</v>
      </c>
      <c r="N1110" s="23" t="str">
        <f>IF(COUNTIF($A$2:A1110,A1110)&gt;1,"DUP","OK")</f>
        <v>OK</v>
      </c>
      <c r="O1110" s="23" t="str">
        <f t="shared" si="52"/>
        <v>ORD26000688</v>
      </c>
      <c r="P1110" s="23" t="str">
        <f t="shared" si="53"/>
        <v>Sep</v>
      </c>
      <c r="Q1110" s="23" t="str">
        <f>IF(F1110="CAPTURE",IF(COUNTIF(orders!$A:$A,O1110)&gt;0,"Yes","NO ORDER"),"")</f>
        <v>Yes</v>
      </c>
    </row>
    <row r="1111" spans="1:17" ht="15" customHeight="1" x14ac:dyDescent="0.3">
      <c r="A1111" s="23" t="s">
        <v>13702</v>
      </c>
      <c r="B1111" s="23"/>
      <c r="C1111" s="23" t="s">
        <v>1900</v>
      </c>
      <c r="D1111" s="23" t="str">
        <f t="shared" si="51"/>
        <v>ORD26000730</v>
      </c>
      <c r="E1111" s="38">
        <v>46272</v>
      </c>
      <c r="F1111" s="23" t="s">
        <v>12410</v>
      </c>
      <c r="G1111" s="23" t="s">
        <v>75</v>
      </c>
      <c r="H1111" s="24">
        <v>7999</v>
      </c>
      <c r="I1111" s="24">
        <v>24</v>
      </c>
      <c r="J1111" s="24">
        <v>4.32</v>
      </c>
      <c r="K1111" s="24">
        <v>7970.68</v>
      </c>
      <c r="L1111" s="38">
        <v>46274</v>
      </c>
      <c r="M1111" s="23" t="s">
        <v>193</v>
      </c>
      <c r="N1111" s="23" t="str">
        <f>IF(COUNTIF($A$2:A1111,A1111)&gt;1,"DUP","OK")</f>
        <v>OK</v>
      </c>
      <c r="O1111" s="23" t="str">
        <f t="shared" si="52"/>
        <v>ORD26000730</v>
      </c>
      <c r="P1111" s="23" t="str">
        <f t="shared" si="53"/>
        <v>Sep</v>
      </c>
      <c r="Q1111" s="23" t="str">
        <f>IF(F1111="CAPTURE",IF(COUNTIF(orders!$A:$A,O1111)&gt;0,"Yes","NO ORDER"),"")</f>
        <v>Yes</v>
      </c>
    </row>
    <row r="1112" spans="1:17" ht="15" customHeight="1" x14ac:dyDescent="0.3">
      <c r="A1112" s="23" t="s">
        <v>13703</v>
      </c>
      <c r="B1112" s="23"/>
      <c r="C1112" s="23" t="s">
        <v>1971</v>
      </c>
      <c r="D1112" s="23" t="str">
        <f t="shared" si="51"/>
        <v>ORD26000765</v>
      </c>
      <c r="E1112" s="38">
        <v>46272</v>
      </c>
      <c r="F1112" s="23" t="s">
        <v>12410</v>
      </c>
      <c r="G1112" s="23" t="s">
        <v>75</v>
      </c>
      <c r="H1112" s="24">
        <v>3098</v>
      </c>
      <c r="I1112" s="24">
        <v>9.2899999999999991</v>
      </c>
      <c r="J1112" s="24">
        <v>1.67</v>
      </c>
      <c r="K1112" s="24">
        <v>3087.04</v>
      </c>
      <c r="L1112" s="38">
        <v>46274</v>
      </c>
      <c r="M1112" s="23" t="s">
        <v>193</v>
      </c>
      <c r="N1112" s="23" t="str">
        <f>IF(COUNTIF($A$2:A1112,A1112)&gt;1,"DUP","OK")</f>
        <v>OK</v>
      </c>
      <c r="O1112" s="23" t="str">
        <f t="shared" si="52"/>
        <v>ORD26000765</v>
      </c>
      <c r="P1112" s="23" t="str">
        <f t="shared" si="53"/>
        <v>Sep</v>
      </c>
      <c r="Q1112" s="23" t="str">
        <f>IF(F1112="CAPTURE",IF(COUNTIF(orders!$A:$A,O1112)&gt;0,"Yes","NO ORDER"),"")</f>
        <v>Yes</v>
      </c>
    </row>
    <row r="1113" spans="1:17" ht="15" customHeight="1" x14ac:dyDescent="0.3">
      <c r="A1113" s="23" t="s">
        <v>13704</v>
      </c>
      <c r="B1113" s="23"/>
      <c r="C1113" s="23" t="s">
        <v>1979</v>
      </c>
      <c r="D1113" s="23" t="str">
        <f t="shared" si="51"/>
        <v>ORD26000768</v>
      </c>
      <c r="E1113" s="38">
        <v>46272</v>
      </c>
      <c r="F1113" s="23" t="s">
        <v>12410</v>
      </c>
      <c r="G1113" s="23" t="s">
        <v>75</v>
      </c>
      <c r="H1113" s="24">
        <v>499</v>
      </c>
      <c r="I1113" s="24">
        <v>0</v>
      </c>
      <c r="J1113" s="24">
        <v>0</v>
      </c>
      <c r="K1113" s="24">
        <v>499</v>
      </c>
      <c r="L1113" s="38">
        <v>46274</v>
      </c>
      <c r="M1113" s="23" t="s">
        <v>193</v>
      </c>
      <c r="N1113" s="23" t="str">
        <f>IF(COUNTIF($A$2:A1113,A1113)&gt;1,"DUP","OK")</f>
        <v>OK</v>
      </c>
      <c r="O1113" s="23" t="str">
        <f t="shared" si="52"/>
        <v>ORD26000768</v>
      </c>
      <c r="P1113" s="23" t="str">
        <f t="shared" si="53"/>
        <v>Sep</v>
      </c>
      <c r="Q1113" s="23" t="str">
        <f>IF(F1113="CAPTURE",IF(COUNTIF(orders!$A:$A,O1113)&gt;0,"Yes","NO ORDER"),"")</f>
        <v>Yes</v>
      </c>
    </row>
    <row r="1114" spans="1:17" ht="15" customHeight="1" x14ac:dyDescent="0.3">
      <c r="A1114" s="23" t="s">
        <v>13705</v>
      </c>
      <c r="B1114" s="23"/>
      <c r="C1114" s="23" t="s">
        <v>2019</v>
      </c>
      <c r="D1114" s="23" t="str">
        <f t="shared" si="51"/>
        <v>ORD26000786</v>
      </c>
      <c r="E1114" s="38">
        <v>46272</v>
      </c>
      <c r="F1114" s="23" t="s">
        <v>12410</v>
      </c>
      <c r="G1114" s="23" t="s">
        <v>79</v>
      </c>
      <c r="H1114" s="24">
        <v>2298</v>
      </c>
      <c r="I1114" s="24">
        <v>36.770000000000003</v>
      </c>
      <c r="J1114" s="24">
        <v>6.62</v>
      </c>
      <c r="K1114" s="24">
        <v>2254.61</v>
      </c>
      <c r="L1114" s="38">
        <v>46274</v>
      </c>
      <c r="M1114" s="23" t="s">
        <v>193</v>
      </c>
      <c r="N1114" s="23" t="str">
        <f>IF(COUNTIF($A$2:A1114,A1114)&gt;1,"DUP","OK")</f>
        <v>OK</v>
      </c>
      <c r="O1114" s="23" t="str">
        <f t="shared" si="52"/>
        <v>ORD26000786</v>
      </c>
      <c r="P1114" s="23" t="str">
        <f t="shared" si="53"/>
        <v>Sep</v>
      </c>
      <c r="Q1114" s="23" t="str">
        <f>IF(F1114="CAPTURE",IF(COUNTIF(orders!$A:$A,O1114)&gt;0,"Yes","NO ORDER"),"")</f>
        <v>Yes</v>
      </c>
    </row>
    <row r="1115" spans="1:17" ht="15" customHeight="1" x14ac:dyDescent="0.3">
      <c r="A1115" s="23" t="s">
        <v>13706</v>
      </c>
      <c r="B1115" s="23"/>
      <c r="C1115" s="23" t="s">
        <v>2089</v>
      </c>
      <c r="D1115" s="23" t="str">
        <f t="shared" si="51"/>
        <v>ORD26000820</v>
      </c>
      <c r="E1115" s="38">
        <v>46272</v>
      </c>
      <c r="F1115" s="23" t="s">
        <v>12410</v>
      </c>
      <c r="G1115" s="23" t="s">
        <v>75</v>
      </c>
      <c r="H1115" s="24">
        <v>5998</v>
      </c>
      <c r="I1115" s="24">
        <v>17.989999999999998</v>
      </c>
      <c r="J1115" s="24">
        <v>3.24</v>
      </c>
      <c r="K1115" s="24">
        <v>5976.77</v>
      </c>
      <c r="L1115" s="38">
        <v>46274</v>
      </c>
      <c r="M1115" s="23" t="s">
        <v>193</v>
      </c>
      <c r="N1115" s="23" t="str">
        <f>IF(COUNTIF($A$2:A1115,A1115)&gt;1,"DUP","OK")</f>
        <v>OK</v>
      </c>
      <c r="O1115" s="23" t="str">
        <f t="shared" si="52"/>
        <v>ORD26000820</v>
      </c>
      <c r="P1115" s="23" t="str">
        <f t="shared" si="53"/>
        <v>Sep</v>
      </c>
      <c r="Q1115" s="23" t="str">
        <f>IF(F1115="CAPTURE",IF(COUNTIF(orders!$A:$A,O1115)&gt;0,"Yes","NO ORDER"),"")</f>
        <v>Yes</v>
      </c>
    </row>
    <row r="1116" spans="1:17" ht="15" customHeight="1" x14ac:dyDescent="0.3">
      <c r="A1116" s="23" t="s">
        <v>13707</v>
      </c>
      <c r="B1116" s="23"/>
      <c r="C1116" s="23" t="s">
        <v>2144</v>
      </c>
      <c r="D1116" s="23" t="str">
        <f t="shared" si="51"/>
        <v>ORD26000847</v>
      </c>
      <c r="E1116" s="38">
        <v>46272</v>
      </c>
      <c r="F1116" s="23" t="s">
        <v>12410</v>
      </c>
      <c r="G1116" s="23" t="s">
        <v>75</v>
      </c>
      <c r="H1116" s="24">
        <v>2998</v>
      </c>
      <c r="I1116" s="24">
        <v>8.99</v>
      </c>
      <c r="J1116" s="24">
        <v>1.62</v>
      </c>
      <c r="K1116" s="24">
        <v>2987.39</v>
      </c>
      <c r="L1116" s="38">
        <v>46274</v>
      </c>
      <c r="M1116" s="23" t="s">
        <v>193</v>
      </c>
      <c r="N1116" s="23" t="str">
        <f>IF(COUNTIF($A$2:A1116,A1116)&gt;1,"DUP","OK")</f>
        <v>OK</v>
      </c>
      <c r="O1116" s="23" t="str">
        <f t="shared" si="52"/>
        <v>ORD26000847</v>
      </c>
      <c r="P1116" s="23" t="str">
        <f t="shared" si="53"/>
        <v>Sep</v>
      </c>
      <c r="Q1116" s="23" t="str">
        <f>IF(F1116="CAPTURE",IF(COUNTIF(orders!$A:$A,O1116)&gt;0,"Yes","NO ORDER"),"")</f>
        <v>Yes</v>
      </c>
    </row>
    <row r="1117" spans="1:17" ht="15" customHeight="1" x14ac:dyDescent="0.3">
      <c r="A1117" s="23" t="s">
        <v>13708</v>
      </c>
      <c r="B1117" s="23"/>
      <c r="C1117" s="23" t="s">
        <v>2193</v>
      </c>
      <c r="D1117" s="23" t="str">
        <f t="shared" si="51"/>
        <v>ORD26000870</v>
      </c>
      <c r="E1117" s="38">
        <v>46272</v>
      </c>
      <c r="F1117" s="23" t="s">
        <v>12410</v>
      </c>
      <c r="G1117" s="23" t="s">
        <v>79</v>
      </c>
      <c r="H1117" s="24">
        <v>6297</v>
      </c>
      <c r="I1117" s="24">
        <v>100.75</v>
      </c>
      <c r="J1117" s="24">
        <v>18.14</v>
      </c>
      <c r="K1117" s="24">
        <v>6178.11</v>
      </c>
      <c r="L1117" s="38">
        <v>46274</v>
      </c>
      <c r="M1117" s="23" t="s">
        <v>193</v>
      </c>
      <c r="N1117" s="23" t="str">
        <f>IF(COUNTIF($A$2:A1117,A1117)&gt;1,"DUP","OK")</f>
        <v>OK</v>
      </c>
      <c r="O1117" s="23" t="str">
        <f t="shared" si="52"/>
        <v>ORD26000870</v>
      </c>
      <c r="P1117" s="23" t="str">
        <f t="shared" si="53"/>
        <v>Sep</v>
      </c>
      <c r="Q1117" s="23" t="str">
        <f>IF(F1117="CAPTURE",IF(COUNTIF(orders!$A:$A,O1117)&gt;0,"Yes","NO ORDER"),"")</f>
        <v>Yes</v>
      </c>
    </row>
    <row r="1118" spans="1:17" ht="15" customHeight="1" x14ac:dyDescent="0.3">
      <c r="A1118" s="23" t="s">
        <v>13709</v>
      </c>
      <c r="B1118" s="23"/>
      <c r="C1118" s="23" t="s">
        <v>2201</v>
      </c>
      <c r="D1118" s="23" t="str">
        <f t="shared" si="51"/>
        <v>ORD26000874</v>
      </c>
      <c r="E1118" s="38">
        <v>46272</v>
      </c>
      <c r="F1118" s="23" t="s">
        <v>12410</v>
      </c>
      <c r="G1118" s="23" t="s">
        <v>79</v>
      </c>
      <c r="H1118" s="24">
        <v>3397</v>
      </c>
      <c r="I1118" s="24">
        <v>54.35</v>
      </c>
      <c r="J1118" s="24">
        <v>9.7799999999999994</v>
      </c>
      <c r="K1118" s="24">
        <v>3332.87</v>
      </c>
      <c r="L1118" s="38">
        <v>46274</v>
      </c>
      <c r="M1118" s="23" t="s">
        <v>193</v>
      </c>
      <c r="N1118" s="23" t="str">
        <f>IF(COUNTIF($A$2:A1118,A1118)&gt;1,"DUP","OK")</f>
        <v>OK</v>
      </c>
      <c r="O1118" s="23" t="str">
        <f t="shared" si="52"/>
        <v>ORD26000874</v>
      </c>
      <c r="P1118" s="23" t="str">
        <f t="shared" si="53"/>
        <v>Sep</v>
      </c>
      <c r="Q1118" s="23" t="str">
        <f>IF(F1118="CAPTURE",IF(COUNTIF(orders!$A:$A,O1118)&gt;0,"Yes","NO ORDER"),"")</f>
        <v>Yes</v>
      </c>
    </row>
    <row r="1119" spans="1:17" ht="15" customHeight="1" x14ac:dyDescent="0.3">
      <c r="A1119" s="23" t="s">
        <v>13710</v>
      </c>
      <c r="B1119" s="23"/>
      <c r="C1119" s="23" t="s">
        <v>2243</v>
      </c>
      <c r="D1119" s="23" t="str">
        <f t="shared" si="51"/>
        <v>ORD26000894</v>
      </c>
      <c r="E1119" s="38">
        <v>46272</v>
      </c>
      <c r="F1119" s="23" t="s">
        <v>12410</v>
      </c>
      <c r="G1119" s="23" t="s">
        <v>75</v>
      </c>
      <c r="H1119" s="24">
        <v>3097</v>
      </c>
      <c r="I1119" s="24">
        <v>9.2899999999999991</v>
      </c>
      <c r="J1119" s="24">
        <v>1.67</v>
      </c>
      <c r="K1119" s="24">
        <v>3086.04</v>
      </c>
      <c r="L1119" s="38">
        <v>46274</v>
      </c>
      <c r="M1119" s="23" t="s">
        <v>193</v>
      </c>
      <c r="N1119" s="23" t="str">
        <f>IF(COUNTIF($A$2:A1119,A1119)&gt;1,"DUP","OK")</f>
        <v>OK</v>
      </c>
      <c r="O1119" s="23" t="str">
        <f t="shared" si="52"/>
        <v>ORD26000894</v>
      </c>
      <c r="P1119" s="23" t="str">
        <f t="shared" si="53"/>
        <v>Sep</v>
      </c>
      <c r="Q1119" s="23" t="str">
        <f>IF(F1119="CAPTURE",IF(COUNTIF(orders!$A:$A,O1119)&gt;0,"Yes","NO ORDER"),"")</f>
        <v>Yes</v>
      </c>
    </row>
    <row r="1120" spans="1:17" ht="15" customHeight="1" x14ac:dyDescent="0.3">
      <c r="A1120" s="23" t="s">
        <v>13711</v>
      </c>
      <c r="B1120" s="23"/>
      <c r="C1120" s="23" t="s">
        <v>2375</v>
      </c>
      <c r="D1120" s="23" t="str">
        <f t="shared" si="51"/>
        <v>ORD26000958</v>
      </c>
      <c r="E1120" s="38">
        <v>46272</v>
      </c>
      <c r="F1120" s="23" t="s">
        <v>12410</v>
      </c>
      <c r="G1120" s="23" t="s">
        <v>75</v>
      </c>
      <c r="H1120" s="24">
        <v>799</v>
      </c>
      <c r="I1120" s="24">
        <v>0</v>
      </c>
      <c r="J1120" s="24">
        <v>0</v>
      </c>
      <c r="K1120" s="24">
        <v>799</v>
      </c>
      <c r="L1120" s="38">
        <v>46274</v>
      </c>
      <c r="M1120" s="23" t="s">
        <v>193</v>
      </c>
      <c r="N1120" s="23" t="str">
        <f>IF(COUNTIF($A$2:A1120,A1120)&gt;1,"DUP","OK")</f>
        <v>OK</v>
      </c>
      <c r="O1120" s="23" t="str">
        <f t="shared" si="52"/>
        <v>ORD26000958</v>
      </c>
      <c r="P1120" s="23" t="str">
        <f t="shared" si="53"/>
        <v>Sep</v>
      </c>
      <c r="Q1120" s="23" t="str">
        <f>IF(F1120="CAPTURE",IF(COUNTIF(orders!$A:$A,O1120)&gt;0,"Yes","NO ORDER"),"")</f>
        <v>Yes</v>
      </c>
    </row>
    <row r="1121" spans="1:17" ht="15" customHeight="1" x14ac:dyDescent="0.3">
      <c r="A1121" s="23" t="s">
        <v>13712</v>
      </c>
      <c r="B1121" s="23"/>
      <c r="C1121" s="23" t="s">
        <v>2502</v>
      </c>
      <c r="D1121" s="23" t="str">
        <f t="shared" si="51"/>
        <v>ORD26001020</v>
      </c>
      <c r="E1121" s="38">
        <v>46272</v>
      </c>
      <c r="F1121" s="23" t="s">
        <v>12410</v>
      </c>
      <c r="G1121" s="23" t="s">
        <v>75</v>
      </c>
      <c r="H1121" s="24">
        <v>349</v>
      </c>
      <c r="I1121" s="24">
        <v>0</v>
      </c>
      <c r="J1121" s="24">
        <v>0</v>
      </c>
      <c r="K1121" s="24">
        <v>349</v>
      </c>
      <c r="L1121" s="38">
        <v>46274</v>
      </c>
      <c r="M1121" s="23" t="s">
        <v>193</v>
      </c>
      <c r="N1121" s="23" t="str">
        <f>IF(COUNTIF($A$2:A1121,A1121)&gt;1,"DUP","OK")</f>
        <v>OK</v>
      </c>
      <c r="O1121" s="23" t="str">
        <f t="shared" si="52"/>
        <v>ORD26001020</v>
      </c>
      <c r="P1121" s="23" t="str">
        <f t="shared" si="53"/>
        <v>Sep</v>
      </c>
      <c r="Q1121" s="23" t="str">
        <f>IF(F1121="CAPTURE",IF(COUNTIF(orders!$A:$A,O1121)&gt;0,"Yes","NO ORDER"),"")</f>
        <v>Yes</v>
      </c>
    </row>
    <row r="1122" spans="1:17" ht="15" customHeight="1" x14ac:dyDescent="0.3">
      <c r="A1122" s="23" t="s">
        <v>13713</v>
      </c>
      <c r="B1122" s="23"/>
      <c r="C1122" s="23" t="s">
        <v>2625</v>
      </c>
      <c r="D1122" s="23" t="str">
        <f t="shared" si="51"/>
        <v>ORD26001080</v>
      </c>
      <c r="E1122" s="38">
        <v>46272</v>
      </c>
      <c r="F1122" s="23" t="s">
        <v>12410</v>
      </c>
      <c r="G1122" s="23" t="s">
        <v>77</v>
      </c>
      <c r="H1122" s="24">
        <v>599</v>
      </c>
      <c r="I1122" s="24">
        <v>11.38</v>
      </c>
      <c r="J1122" s="24">
        <v>2.0499999999999998</v>
      </c>
      <c r="K1122" s="24">
        <v>585.57000000000005</v>
      </c>
      <c r="L1122" s="38">
        <v>46274</v>
      </c>
      <c r="M1122" s="23" t="s">
        <v>193</v>
      </c>
      <c r="N1122" s="23" t="str">
        <f>IF(COUNTIF($A$2:A1122,A1122)&gt;1,"DUP","OK")</f>
        <v>OK</v>
      </c>
      <c r="O1122" s="23" t="str">
        <f t="shared" si="52"/>
        <v>ORD26001080</v>
      </c>
      <c r="P1122" s="23" t="str">
        <f t="shared" si="53"/>
        <v>Sep</v>
      </c>
      <c r="Q1122" s="23" t="str">
        <f>IF(F1122="CAPTURE",IF(COUNTIF(orders!$A:$A,O1122)&gt;0,"Yes","NO ORDER"),"")</f>
        <v>Yes</v>
      </c>
    </row>
    <row r="1123" spans="1:17" ht="15" customHeight="1" x14ac:dyDescent="0.3">
      <c r="A1123" s="23" t="s">
        <v>13714</v>
      </c>
      <c r="B1123" s="23"/>
      <c r="C1123" s="23" t="s">
        <v>13715</v>
      </c>
      <c r="D1123" s="23" t="str">
        <f t="shared" si="51"/>
        <v>ORD26001085</v>
      </c>
      <c r="E1123" s="38">
        <v>46272</v>
      </c>
      <c r="F1123" s="23" t="s">
        <v>12410</v>
      </c>
      <c r="G1123" s="23" t="s">
        <v>75</v>
      </c>
      <c r="H1123" s="24">
        <v>5498</v>
      </c>
      <c r="I1123" s="24">
        <v>16.489999999999998</v>
      </c>
      <c r="J1123" s="24">
        <v>2.97</v>
      </c>
      <c r="K1123" s="24">
        <v>5478.54</v>
      </c>
      <c r="L1123" s="38">
        <v>46274</v>
      </c>
      <c r="M1123" s="23" t="s">
        <v>193</v>
      </c>
      <c r="N1123" s="23" t="str">
        <f>IF(COUNTIF($A$2:A1123,A1123)&gt;1,"DUP","OK")</f>
        <v>OK</v>
      </c>
      <c r="O1123" s="23" t="str">
        <f t="shared" si="52"/>
        <v>ORD26001085</v>
      </c>
      <c r="P1123" s="23" t="str">
        <f t="shared" si="53"/>
        <v>Sep</v>
      </c>
      <c r="Q1123" s="23" t="str">
        <f>IF(F1123="CAPTURE",IF(COUNTIF(orders!$A:$A,O1123)&gt;0,"Yes","NO ORDER"),"")</f>
        <v>Yes</v>
      </c>
    </row>
    <row r="1124" spans="1:17" ht="15" customHeight="1" x14ac:dyDescent="0.3">
      <c r="A1124" s="23" t="s">
        <v>13716</v>
      </c>
      <c r="B1124" s="23"/>
      <c r="C1124" s="23" t="s">
        <v>2675</v>
      </c>
      <c r="D1124" s="23" t="str">
        <f t="shared" si="51"/>
        <v>ORD26001105</v>
      </c>
      <c r="E1124" s="38">
        <v>46272</v>
      </c>
      <c r="F1124" s="23" t="s">
        <v>12410</v>
      </c>
      <c r="G1124" s="23" t="s">
        <v>81</v>
      </c>
      <c r="H1124" s="24">
        <v>4999</v>
      </c>
      <c r="I1124" s="24">
        <v>59.99</v>
      </c>
      <c r="J1124" s="24">
        <v>10.8</v>
      </c>
      <c r="K1124" s="24">
        <v>4928.21</v>
      </c>
      <c r="L1124" s="38">
        <v>46274</v>
      </c>
      <c r="M1124" s="23" t="s">
        <v>193</v>
      </c>
      <c r="N1124" s="23" t="str">
        <f>IF(COUNTIF($A$2:A1124,A1124)&gt;1,"DUP","OK")</f>
        <v>OK</v>
      </c>
      <c r="O1124" s="23" t="str">
        <f t="shared" si="52"/>
        <v>ORD26001105</v>
      </c>
      <c r="P1124" s="23" t="str">
        <f t="shared" si="53"/>
        <v>Sep</v>
      </c>
      <c r="Q1124" s="23" t="str">
        <f>IF(F1124="CAPTURE",IF(COUNTIF(orders!$A:$A,O1124)&gt;0,"Yes","NO ORDER"),"")</f>
        <v>Yes</v>
      </c>
    </row>
    <row r="1125" spans="1:17" ht="15" customHeight="1" x14ac:dyDescent="0.3">
      <c r="A1125" s="23" t="s">
        <v>13717</v>
      </c>
      <c r="B1125" s="23"/>
      <c r="C1125" s="23" t="s">
        <v>2801</v>
      </c>
      <c r="D1125" s="23" t="str">
        <f t="shared" si="51"/>
        <v>ORD26001167</v>
      </c>
      <c r="E1125" s="38">
        <v>46272</v>
      </c>
      <c r="F1125" s="23" t="s">
        <v>12410</v>
      </c>
      <c r="G1125" s="23" t="s">
        <v>75</v>
      </c>
      <c r="H1125" s="24">
        <v>4999</v>
      </c>
      <c r="I1125" s="24">
        <v>15</v>
      </c>
      <c r="J1125" s="24">
        <v>2.7</v>
      </c>
      <c r="K1125" s="24">
        <v>4981.3</v>
      </c>
      <c r="L1125" s="38">
        <v>46274</v>
      </c>
      <c r="M1125" s="23" t="s">
        <v>193</v>
      </c>
      <c r="N1125" s="23" t="str">
        <f>IF(COUNTIF($A$2:A1125,A1125)&gt;1,"DUP","OK")</f>
        <v>OK</v>
      </c>
      <c r="O1125" s="23" t="str">
        <f t="shared" si="52"/>
        <v>ORD26001167</v>
      </c>
      <c r="P1125" s="23" t="str">
        <f t="shared" si="53"/>
        <v>Sep</v>
      </c>
      <c r="Q1125" s="23" t="str">
        <f>IF(F1125="CAPTURE",IF(COUNTIF(orders!$A:$A,O1125)&gt;0,"Yes","NO ORDER"),"")</f>
        <v>Yes</v>
      </c>
    </row>
    <row r="1126" spans="1:17" ht="15" customHeight="1" x14ac:dyDescent="0.3">
      <c r="A1126" s="23" t="s">
        <v>13718</v>
      </c>
      <c r="B1126" s="23"/>
      <c r="C1126" s="23" t="s">
        <v>2831</v>
      </c>
      <c r="D1126" s="23" t="str">
        <f t="shared" si="51"/>
        <v>ORD26001182</v>
      </c>
      <c r="E1126" s="38">
        <v>46272</v>
      </c>
      <c r="F1126" s="23" t="s">
        <v>12410</v>
      </c>
      <c r="G1126" s="23" t="s">
        <v>79</v>
      </c>
      <c r="H1126" s="24">
        <v>349</v>
      </c>
      <c r="I1126" s="24">
        <v>6.28</v>
      </c>
      <c r="J1126" s="24">
        <v>1.1299999999999999</v>
      </c>
      <c r="K1126" s="24">
        <v>341.59</v>
      </c>
      <c r="L1126" s="38">
        <v>46274</v>
      </c>
      <c r="M1126" s="23" t="s">
        <v>193</v>
      </c>
      <c r="N1126" s="23" t="str">
        <f>IF(COUNTIF($A$2:A1126,A1126)&gt;1,"DUP","OK")</f>
        <v>OK</v>
      </c>
      <c r="O1126" s="23" t="str">
        <f t="shared" si="52"/>
        <v>ORD26001182</v>
      </c>
      <c r="P1126" s="23" t="str">
        <f t="shared" si="53"/>
        <v>Sep</v>
      </c>
      <c r="Q1126" s="23" t="str">
        <f>IF(F1126="CAPTURE",IF(COUNTIF(orders!$A:$A,O1126)&gt;0,"Yes","NO ORDER"),"")</f>
        <v>Yes</v>
      </c>
    </row>
    <row r="1127" spans="1:17" ht="15" customHeight="1" x14ac:dyDescent="0.3">
      <c r="A1127" s="23" t="s">
        <v>13719</v>
      </c>
      <c r="B1127" s="23"/>
      <c r="C1127" s="23" t="s">
        <v>2980</v>
      </c>
      <c r="D1127" s="23" t="str">
        <f t="shared" si="51"/>
        <v>ORD26001254</v>
      </c>
      <c r="E1127" s="38">
        <v>46272</v>
      </c>
      <c r="F1127" s="23" t="s">
        <v>12410</v>
      </c>
      <c r="G1127" s="23" t="s">
        <v>75</v>
      </c>
      <c r="H1127" s="24">
        <v>4999</v>
      </c>
      <c r="I1127" s="24">
        <v>15</v>
      </c>
      <c r="J1127" s="24">
        <v>2.7</v>
      </c>
      <c r="K1127" s="24">
        <v>4981.3</v>
      </c>
      <c r="L1127" s="38">
        <v>46274</v>
      </c>
      <c r="M1127" s="23" t="s">
        <v>193</v>
      </c>
      <c r="N1127" s="23" t="str">
        <f>IF(COUNTIF($A$2:A1127,A1127)&gt;1,"DUP","OK")</f>
        <v>OK</v>
      </c>
      <c r="O1127" s="23" t="str">
        <f t="shared" si="52"/>
        <v>ORD26001254</v>
      </c>
      <c r="P1127" s="23" t="str">
        <f t="shared" si="53"/>
        <v>Sep</v>
      </c>
      <c r="Q1127" s="23" t="str">
        <f>IF(F1127="CAPTURE",IF(COUNTIF(orders!$A:$A,O1127)&gt;0,"Yes","NO ORDER"),"")</f>
        <v>Yes</v>
      </c>
    </row>
    <row r="1128" spans="1:17" ht="15" customHeight="1" x14ac:dyDescent="0.3">
      <c r="A1128" s="23" t="s">
        <v>13720</v>
      </c>
      <c r="B1128" s="23"/>
      <c r="C1128" s="23" t="s">
        <v>3042</v>
      </c>
      <c r="D1128" s="23" t="str">
        <f t="shared" si="51"/>
        <v>ORD26001284</v>
      </c>
      <c r="E1128" s="38">
        <v>46272</v>
      </c>
      <c r="F1128" s="23" t="s">
        <v>12410</v>
      </c>
      <c r="G1128" s="23" t="s">
        <v>79</v>
      </c>
      <c r="H1128" s="24">
        <v>799</v>
      </c>
      <c r="I1128" s="24">
        <v>14.38</v>
      </c>
      <c r="J1128" s="24">
        <v>2.59</v>
      </c>
      <c r="K1128" s="24">
        <v>782.03</v>
      </c>
      <c r="L1128" s="38">
        <v>46274</v>
      </c>
      <c r="M1128" s="23" t="s">
        <v>193</v>
      </c>
      <c r="N1128" s="23" t="str">
        <f>IF(COUNTIF($A$2:A1128,A1128)&gt;1,"DUP","OK")</f>
        <v>OK</v>
      </c>
      <c r="O1128" s="23" t="str">
        <f t="shared" si="52"/>
        <v>ORD26001284</v>
      </c>
      <c r="P1128" s="23" t="str">
        <f t="shared" si="53"/>
        <v>Sep</v>
      </c>
      <c r="Q1128" s="23" t="str">
        <f>IF(F1128="CAPTURE",IF(COUNTIF(orders!$A:$A,O1128)&gt;0,"Yes","NO ORDER"),"")</f>
        <v>Yes</v>
      </c>
    </row>
    <row r="1129" spans="1:17" ht="15" customHeight="1" x14ac:dyDescent="0.3">
      <c r="A1129" s="23" t="s">
        <v>13721</v>
      </c>
      <c r="B1129" s="23"/>
      <c r="C1129" s="23" t="s">
        <v>3100</v>
      </c>
      <c r="D1129" s="23" t="str">
        <f t="shared" si="51"/>
        <v>ORD26001312</v>
      </c>
      <c r="E1129" s="38">
        <v>46272</v>
      </c>
      <c r="F1129" s="23" t="s">
        <v>12410</v>
      </c>
      <c r="G1129" s="23" t="s">
        <v>79</v>
      </c>
      <c r="H1129" s="24">
        <v>4798</v>
      </c>
      <c r="I1129" s="24">
        <v>76.77</v>
      </c>
      <c r="J1129" s="24">
        <v>13.82</v>
      </c>
      <c r="K1129" s="24">
        <v>4707.41</v>
      </c>
      <c r="L1129" s="38">
        <v>46274</v>
      </c>
      <c r="M1129" s="23" t="s">
        <v>193</v>
      </c>
      <c r="N1129" s="23" t="str">
        <f>IF(COUNTIF($A$2:A1129,A1129)&gt;1,"DUP","OK")</f>
        <v>OK</v>
      </c>
      <c r="O1129" s="23" t="str">
        <f t="shared" si="52"/>
        <v>ORD26001312</v>
      </c>
      <c r="P1129" s="23" t="str">
        <f t="shared" si="53"/>
        <v>Sep</v>
      </c>
      <c r="Q1129" s="23" t="str">
        <f>IF(F1129="CAPTURE",IF(COUNTIF(orders!$A:$A,O1129)&gt;0,"Yes","NO ORDER"),"")</f>
        <v>Yes</v>
      </c>
    </row>
    <row r="1130" spans="1:17" ht="15" customHeight="1" x14ac:dyDescent="0.3">
      <c r="A1130" s="23" t="s">
        <v>13722</v>
      </c>
      <c r="B1130" s="23"/>
      <c r="C1130" s="23" t="s">
        <v>13723</v>
      </c>
      <c r="D1130" s="23" t="str">
        <f t="shared" si="51"/>
        <v>ORD26001319</v>
      </c>
      <c r="E1130" s="38">
        <v>46272</v>
      </c>
      <c r="F1130" s="23" t="s">
        <v>12410</v>
      </c>
      <c r="G1130" s="23" t="s">
        <v>75</v>
      </c>
      <c r="H1130" s="24">
        <v>599</v>
      </c>
      <c r="I1130" s="24">
        <v>0</v>
      </c>
      <c r="J1130" s="24">
        <v>0</v>
      </c>
      <c r="K1130" s="24">
        <v>599</v>
      </c>
      <c r="L1130" s="38">
        <v>46274</v>
      </c>
      <c r="M1130" s="23" t="s">
        <v>193</v>
      </c>
      <c r="N1130" s="23" t="str">
        <f>IF(COUNTIF($A$2:A1130,A1130)&gt;1,"DUP","OK")</f>
        <v>OK</v>
      </c>
      <c r="O1130" s="23" t="str">
        <f t="shared" si="52"/>
        <v>ORD26001319</v>
      </c>
      <c r="P1130" s="23" t="str">
        <f t="shared" si="53"/>
        <v>Sep</v>
      </c>
      <c r="Q1130" s="23" t="str">
        <f>IF(F1130="CAPTURE",IF(COUNTIF(orders!$A:$A,O1130)&gt;0,"Yes","NO ORDER"),"")</f>
        <v>Yes</v>
      </c>
    </row>
    <row r="1131" spans="1:17" ht="15" customHeight="1" x14ac:dyDescent="0.3">
      <c r="A1131" s="23" t="s">
        <v>13724</v>
      </c>
      <c r="B1131" s="23"/>
      <c r="C1131" s="23" t="s">
        <v>13725</v>
      </c>
      <c r="D1131" s="23" t="str">
        <f t="shared" si="51"/>
        <v>ORD26001327</v>
      </c>
      <c r="E1131" s="38">
        <v>46272</v>
      </c>
      <c r="F1131" s="23" t="s">
        <v>12410</v>
      </c>
      <c r="G1131" s="23" t="s">
        <v>79</v>
      </c>
      <c r="H1131" s="24">
        <v>10997</v>
      </c>
      <c r="I1131" s="24">
        <v>175.95</v>
      </c>
      <c r="J1131" s="24">
        <v>31.67</v>
      </c>
      <c r="K1131" s="24">
        <v>10789.38</v>
      </c>
      <c r="L1131" s="38">
        <v>46274</v>
      </c>
      <c r="M1131" s="23" t="s">
        <v>193</v>
      </c>
      <c r="N1131" s="23" t="str">
        <f>IF(COUNTIF($A$2:A1131,A1131)&gt;1,"DUP","OK")</f>
        <v>OK</v>
      </c>
      <c r="O1131" s="23" t="str">
        <f t="shared" si="52"/>
        <v>ORD26001327</v>
      </c>
      <c r="P1131" s="23" t="str">
        <f t="shared" si="53"/>
        <v>Sep</v>
      </c>
      <c r="Q1131" s="23" t="str">
        <f>IF(F1131="CAPTURE",IF(COUNTIF(orders!$A:$A,O1131)&gt;0,"Yes","NO ORDER"),"")</f>
        <v>Yes</v>
      </c>
    </row>
    <row r="1132" spans="1:17" ht="15" customHeight="1" x14ac:dyDescent="0.3">
      <c r="A1132" s="23" t="s">
        <v>13726</v>
      </c>
      <c r="B1132" s="23"/>
      <c r="C1132" s="23" t="s">
        <v>13727</v>
      </c>
      <c r="D1132" s="23" t="str">
        <f t="shared" si="51"/>
        <v>ORD26001345</v>
      </c>
      <c r="E1132" s="38">
        <v>46272</v>
      </c>
      <c r="F1132" s="23" t="s">
        <v>12410</v>
      </c>
      <c r="G1132" s="23" t="s">
        <v>81</v>
      </c>
      <c r="H1132" s="24">
        <v>499</v>
      </c>
      <c r="I1132" s="24">
        <v>7.49</v>
      </c>
      <c r="J1132" s="24">
        <v>1.35</v>
      </c>
      <c r="K1132" s="24">
        <v>490.16</v>
      </c>
      <c r="L1132" s="38">
        <v>46274</v>
      </c>
      <c r="M1132" s="23" t="s">
        <v>193</v>
      </c>
      <c r="N1132" s="23" t="str">
        <f>IF(COUNTIF($A$2:A1132,A1132)&gt;1,"DUP","OK")</f>
        <v>OK</v>
      </c>
      <c r="O1132" s="23" t="str">
        <f t="shared" si="52"/>
        <v>ORD26001345</v>
      </c>
      <c r="P1132" s="23" t="str">
        <f t="shared" si="53"/>
        <v>Sep</v>
      </c>
      <c r="Q1132" s="23" t="str">
        <f>IF(F1132="CAPTURE",IF(COUNTIF(orders!$A:$A,O1132)&gt;0,"Yes","NO ORDER"),"")</f>
        <v>Yes</v>
      </c>
    </row>
    <row r="1133" spans="1:17" ht="15" customHeight="1" x14ac:dyDescent="0.3">
      <c r="A1133" s="23" t="s">
        <v>13728</v>
      </c>
      <c r="B1133" s="23"/>
      <c r="C1133" s="23" t="s">
        <v>3200</v>
      </c>
      <c r="D1133" s="23" t="str">
        <f t="shared" si="51"/>
        <v>ORD26001360</v>
      </c>
      <c r="E1133" s="38">
        <v>46272</v>
      </c>
      <c r="F1133" s="23" t="s">
        <v>12410</v>
      </c>
      <c r="G1133" s="23" t="s">
        <v>81</v>
      </c>
      <c r="H1133" s="24">
        <v>3798</v>
      </c>
      <c r="I1133" s="24">
        <v>45.58</v>
      </c>
      <c r="J1133" s="24">
        <v>8.1999999999999993</v>
      </c>
      <c r="K1133" s="24">
        <v>3744.22</v>
      </c>
      <c r="L1133" s="38">
        <v>46274</v>
      </c>
      <c r="M1133" s="23" t="s">
        <v>193</v>
      </c>
      <c r="N1133" s="23" t="str">
        <f>IF(COUNTIF($A$2:A1133,A1133)&gt;1,"DUP","OK")</f>
        <v>OK</v>
      </c>
      <c r="O1133" s="23" t="str">
        <f t="shared" si="52"/>
        <v>ORD26001360</v>
      </c>
      <c r="P1133" s="23" t="str">
        <f t="shared" si="53"/>
        <v>Sep</v>
      </c>
      <c r="Q1133" s="23" t="str">
        <f>IF(F1133="CAPTURE",IF(COUNTIF(orders!$A:$A,O1133)&gt;0,"Yes","NO ORDER"),"")</f>
        <v>Yes</v>
      </c>
    </row>
    <row r="1134" spans="1:17" ht="15" customHeight="1" x14ac:dyDescent="0.3">
      <c r="A1134" s="23" t="s">
        <v>13729</v>
      </c>
      <c r="B1134" s="23"/>
      <c r="C1134" s="23" t="s">
        <v>3212</v>
      </c>
      <c r="D1134" s="23" t="str">
        <f t="shared" si="51"/>
        <v>ORD26001366</v>
      </c>
      <c r="E1134" s="38">
        <v>46272</v>
      </c>
      <c r="F1134" s="23" t="s">
        <v>12410</v>
      </c>
      <c r="G1134" s="23" t="s">
        <v>75</v>
      </c>
      <c r="H1134" s="24">
        <v>2598</v>
      </c>
      <c r="I1134" s="24">
        <v>7.79</v>
      </c>
      <c r="J1134" s="24">
        <v>1.4</v>
      </c>
      <c r="K1134" s="24">
        <v>2588.81</v>
      </c>
      <c r="L1134" s="38">
        <v>46274</v>
      </c>
      <c r="M1134" s="23" t="s">
        <v>193</v>
      </c>
      <c r="N1134" s="23" t="str">
        <f>IF(COUNTIF($A$2:A1134,A1134)&gt;1,"DUP","OK")</f>
        <v>OK</v>
      </c>
      <c r="O1134" s="23" t="str">
        <f t="shared" si="52"/>
        <v>ORD26001366</v>
      </c>
      <c r="P1134" s="23" t="str">
        <f t="shared" si="53"/>
        <v>Sep</v>
      </c>
      <c r="Q1134" s="23" t="str">
        <f>IF(F1134="CAPTURE",IF(COUNTIF(orders!$A:$A,O1134)&gt;0,"Yes","NO ORDER"),"")</f>
        <v>Yes</v>
      </c>
    </row>
    <row r="1135" spans="1:17" ht="15" customHeight="1" x14ac:dyDescent="0.3">
      <c r="A1135" s="23" t="s">
        <v>13730</v>
      </c>
      <c r="B1135" s="23"/>
      <c r="C1135" s="23" t="s">
        <v>3366</v>
      </c>
      <c r="D1135" s="23" t="str">
        <f t="shared" si="51"/>
        <v>ORD26001442</v>
      </c>
      <c r="E1135" s="38">
        <v>46272</v>
      </c>
      <c r="F1135" s="23" t="s">
        <v>12410</v>
      </c>
      <c r="G1135" s="23" t="s">
        <v>79</v>
      </c>
      <c r="H1135" s="24">
        <v>7097</v>
      </c>
      <c r="I1135" s="24">
        <v>113.55</v>
      </c>
      <c r="J1135" s="24">
        <v>20.440000000000001</v>
      </c>
      <c r="K1135" s="24">
        <v>6963.01</v>
      </c>
      <c r="L1135" s="38">
        <v>46274</v>
      </c>
      <c r="M1135" s="23" t="s">
        <v>193</v>
      </c>
      <c r="N1135" s="23" t="str">
        <f>IF(COUNTIF($A$2:A1135,A1135)&gt;1,"DUP","OK")</f>
        <v>OK</v>
      </c>
      <c r="O1135" s="23" t="str">
        <f t="shared" si="52"/>
        <v>ORD26001442</v>
      </c>
      <c r="P1135" s="23" t="str">
        <f t="shared" si="53"/>
        <v>Sep</v>
      </c>
      <c r="Q1135" s="23" t="str">
        <f>IF(F1135="CAPTURE",IF(COUNTIF(orders!$A:$A,O1135)&gt;0,"Yes","NO ORDER"),"")</f>
        <v>Yes</v>
      </c>
    </row>
    <row r="1136" spans="1:17" ht="15" customHeight="1" x14ac:dyDescent="0.3">
      <c r="A1136" s="23" t="s">
        <v>13731</v>
      </c>
      <c r="B1136" s="23"/>
      <c r="C1136" s="23" t="s">
        <v>13732</v>
      </c>
      <c r="D1136" s="23" t="str">
        <f t="shared" si="51"/>
        <v>ORD26001461</v>
      </c>
      <c r="E1136" s="38">
        <v>46272</v>
      </c>
      <c r="F1136" s="23" t="s">
        <v>12410</v>
      </c>
      <c r="G1136" s="23" t="s">
        <v>75</v>
      </c>
      <c r="H1136" s="24">
        <v>799</v>
      </c>
      <c r="I1136" s="24">
        <v>0</v>
      </c>
      <c r="J1136" s="24">
        <v>0</v>
      </c>
      <c r="K1136" s="24">
        <v>799</v>
      </c>
      <c r="L1136" s="38">
        <v>46274</v>
      </c>
      <c r="M1136" s="23" t="s">
        <v>193</v>
      </c>
      <c r="N1136" s="23" t="str">
        <f>IF(COUNTIF($A$2:A1136,A1136)&gt;1,"DUP","OK")</f>
        <v>OK</v>
      </c>
      <c r="O1136" s="23" t="str">
        <f t="shared" si="52"/>
        <v>ORD26001461</v>
      </c>
      <c r="P1136" s="23" t="str">
        <f t="shared" si="53"/>
        <v>Sep</v>
      </c>
      <c r="Q1136" s="23" t="str">
        <f>IF(F1136="CAPTURE",IF(COUNTIF(orders!$A:$A,O1136)&gt;0,"Yes","NO ORDER"),"")</f>
        <v>Yes</v>
      </c>
    </row>
    <row r="1137" spans="1:17" ht="15" customHeight="1" x14ac:dyDescent="0.3">
      <c r="A1137" s="23" t="s">
        <v>13733</v>
      </c>
      <c r="B1137" s="23"/>
      <c r="C1137" s="23" t="s">
        <v>3477</v>
      </c>
      <c r="D1137" s="23" t="str">
        <f t="shared" si="51"/>
        <v>ORD26001496</v>
      </c>
      <c r="E1137" s="38">
        <v>46272</v>
      </c>
      <c r="F1137" s="23" t="s">
        <v>12410</v>
      </c>
      <c r="G1137" s="23" t="s">
        <v>75</v>
      </c>
      <c r="H1137" s="24">
        <v>299</v>
      </c>
      <c r="I1137" s="24">
        <v>0</v>
      </c>
      <c r="J1137" s="24">
        <v>0</v>
      </c>
      <c r="K1137" s="24">
        <v>299</v>
      </c>
      <c r="L1137" s="38">
        <v>46274</v>
      </c>
      <c r="M1137" s="23" t="s">
        <v>193</v>
      </c>
      <c r="N1137" s="23" t="str">
        <f>IF(COUNTIF($A$2:A1137,A1137)&gt;1,"DUP","OK")</f>
        <v>OK</v>
      </c>
      <c r="O1137" s="23" t="str">
        <f t="shared" si="52"/>
        <v>ORD26001496</v>
      </c>
      <c r="P1137" s="23" t="str">
        <f t="shared" si="53"/>
        <v>Sep</v>
      </c>
      <c r="Q1137" s="23" t="str">
        <f>IF(F1137="CAPTURE",IF(COUNTIF(orders!$A:$A,O1137)&gt;0,"Yes","NO ORDER"),"")</f>
        <v>Yes</v>
      </c>
    </row>
    <row r="1138" spans="1:17" ht="15" customHeight="1" x14ac:dyDescent="0.3">
      <c r="A1138" s="23" t="s">
        <v>13734</v>
      </c>
      <c r="B1138" s="23"/>
      <c r="C1138" s="23" t="s">
        <v>3494</v>
      </c>
      <c r="D1138" s="23" t="str">
        <f t="shared" si="51"/>
        <v>ORD26001504</v>
      </c>
      <c r="E1138" s="38">
        <v>46272</v>
      </c>
      <c r="F1138" s="23" t="s">
        <v>12410</v>
      </c>
      <c r="G1138" s="23" t="s">
        <v>79</v>
      </c>
      <c r="H1138" s="24">
        <v>8498</v>
      </c>
      <c r="I1138" s="24">
        <v>135.97</v>
      </c>
      <c r="J1138" s="24">
        <v>24.47</v>
      </c>
      <c r="K1138" s="24">
        <v>8337.56</v>
      </c>
      <c r="L1138" s="38">
        <v>46274</v>
      </c>
      <c r="M1138" s="23" t="s">
        <v>193</v>
      </c>
      <c r="N1138" s="23" t="str">
        <f>IF(COUNTIF($A$2:A1138,A1138)&gt;1,"DUP","OK")</f>
        <v>OK</v>
      </c>
      <c r="O1138" s="23" t="str">
        <f t="shared" si="52"/>
        <v>ORD26001504</v>
      </c>
      <c r="P1138" s="23" t="str">
        <f t="shared" si="53"/>
        <v>Sep</v>
      </c>
      <c r="Q1138" s="23" t="str">
        <f>IF(F1138="CAPTURE",IF(COUNTIF(orders!$A:$A,O1138)&gt;0,"Yes","NO ORDER"),"")</f>
        <v>Yes</v>
      </c>
    </row>
    <row r="1139" spans="1:17" ht="15" customHeight="1" x14ac:dyDescent="0.3">
      <c r="A1139" s="23" t="s">
        <v>13735</v>
      </c>
      <c r="B1139" s="23"/>
      <c r="C1139" s="23" t="s">
        <v>3536</v>
      </c>
      <c r="D1139" s="23" t="str">
        <f t="shared" si="51"/>
        <v>ORD26001524</v>
      </c>
      <c r="E1139" s="38">
        <v>46272</v>
      </c>
      <c r="F1139" s="23" t="s">
        <v>12410</v>
      </c>
      <c r="G1139" s="23" t="s">
        <v>79</v>
      </c>
      <c r="H1139" s="24">
        <v>3798</v>
      </c>
      <c r="I1139" s="24">
        <v>60.77</v>
      </c>
      <c r="J1139" s="24">
        <v>10.94</v>
      </c>
      <c r="K1139" s="24">
        <v>3726.29</v>
      </c>
      <c r="L1139" s="38">
        <v>46274</v>
      </c>
      <c r="M1139" s="23" t="s">
        <v>193</v>
      </c>
      <c r="N1139" s="23" t="str">
        <f>IF(COUNTIF($A$2:A1139,A1139)&gt;1,"DUP","OK")</f>
        <v>OK</v>
      </c>
      <c r="O1139" s="23" t="str">
        <f t="shared" si="52"/>
        <v>ORD26001524</v>
      </c>
      <c r="P1139" s="23" t="str">
        <f t="shared" si="53"/>
        <v>Sep</v>
      </c>
      <c r="Q1139" s="23" t="str">
        <f>IF(F1139="CAPTURE",IF(COUNTIF(orders!$A:$A,O1139)&gt;0,"Yes","NO ORDER"),"")</f>
        <v>Yes</v>
      </c>
    </row>
    <row r="1140" spans="1:17" ht="15" customHeight="1" x14ac:dyDescent="0.3">
      <c r="A1140" s="23" t="s">
        <v>13736</v>
      </c>
      <c r="B1140" s="23"/>
      <c r="C1140" s="23" t="s">
        <v>3554</v>
      </c>
      <c r="D1140" s="23" t="str">
        <f t="shared" si="51"/>
        <v>ORD26001533</v>
      </c>
      <c r="E1140" s="38">
        <v>46272</v>
      </c>
      <c r="F1140" s="23" t="s">
        <v>12410</v>
      </c>
      <c r="G1140" s="23" t="s">
        <v>79</v>
      </c>
      <c r="H1140" s="24">
        <v>1449</v>
      </c>
      <c r="I1140" s="24">
        <v>26.08</v>
      </c>
      <c r="J1140" s="24">
        <v>4.6900000000000004</v>
      </c>
      <c r="K1140" s="24">
        <v>1418.23</v>
      </c>
      <c r="L1140" s="38">
        <v>46274</v>
      </c>
      <c r="M1140" s="23" t="s">
        <v>193</v>
      </c>
      <c r="N1140" s="23" t="str">
        <f>IF(COUNTIF($A$2:A1140,A1140)&gt;1,"DUP","OK")</f>
        <v>OK</v>
      </c>
      <c r="O1140" s="23" t="str">
        <f t="shared" si="52"/>
        <v>ORD26001533</v>
      </c>
      <c r="P1140" s="23" t="str">
        <f t="shared" si="53"/>
        <v>Sep</v>
      </c>
      <c r="Q1140" s="23" t="str">
        <f>IF(F1140="CAPTURE",IF(COUNTIF(orders!$A:$A,O1140)&gt;0,"Yes","NO ORDER"),"")</f>
        <v>Yes</v>
      </c>
    </row>
    <row r="1141" spans="1:17" ht="15" customHeight="1" x14ac:dyDescent="0.3">
      <c r="A1141" s="23" t="s">
        <v>13737</v>
      </c>
      <c r="B1141" s="23"/>
      <c r="C1141" s="23" t="s">
        <v>3573</v>
      </c>
      <c r="D1141" s="23" t="str">
        <f t="shared" si="51"/>
        <v>ORD26001542</v>
      </c>
      <c r="E1141" s="38">
        <v>46272</v>
      </c>
      <c r="F1141" s="23" t="s">
        <v>12410</v>
      </c>
      <c r="G1141" s="23" t="s">
        <v>77</v>
      </c>
      <c r="H1141" s="24">
        <v>1499</v>
      </c>
      <c r="I1141" s="24">
        <v>28.48</v>
      </c>
      <c r="J1141" s="24">
        <v>5.13</v>
      </c>
      <c r="K1141" s="24">
        <v>1465.39</v>
      </c>
      <c r="L1141" s="38">
        <v>46274</v>
      </c>
      <c r="M1141" s="23" t="s">
        <v>193</v>
      </c>
      <c r="N1141" s="23" t="str">
        <f>IF(COUNTIF($A$2:A1141,A1141)&gt;1,"DUP","OK")</f>
        <v>OK</v>
      </c>
      <c r="O1141" s="23" t="str">
        <f t="shared" si="52"/>
        <v>ORD26001542</v>
      </c>
      <c r="P1141" s="23" t="str">
        <f t="shared" si="53"/>
        <v>Sep</v>
      </c>
      <c r="Q1141" s="23" t="str">
        <f>IF(F1141="CAPTURE",IF(COUNTIF(orders!$A:$A,O1141)&gt;0,"Yes","NO ORDER"),"")</f>
        <v>Yes</v>
      </c>
    </row>
    <row r="1142" spans="1:17" ht="15" customHeight="1" x14ac:dyDescent="0.3">
      <c r="A1142" s="23" t="s">
        <v>13738</v>
      </c>
      <c r="B1142" s="23"/>
      <c r="C1142" s="23" t="s">
        <v>13739</v>
      </c>
      <c r="D1142" s="23" t="str">
        <f t="shared" si="51"/>
        <v>ORD26001573</v>
      </c>
      <c r="E1142" s="38">
        <v>46272</v>
      </c>
      <c r="F1142" s="23" t="s">
        <v>12410</v>
      </c>
      <c r="G1142" s="23" t="s">
        <v>75</v>
      </c>
      <c r="H1142" s="24">
        <v>349</v>
      </c>
      <c r="I1142" s="24">
        <v>0</v>
      </c>
      <c r="J1142" s="24">
        <v>0</v>
      </c>
      <c r="K1142" s="24">
        <v>349</v>
      </c>
      <c r="L1142" s="38">
        <v>46274</v>
      </c>
      <c r="M1142" s="23" t="s">
        <v>193</v>
      </c>
      <c r="N1142" s="23" t="str">
        <f>IF(COUNTIF($A$2:A1142,A1142)&gt;1,"DUP","OK")</f>
        <v>OK</v>
      </c>
      <c r="O1142" s="23" t="str">
        <f t="shared" si="52"/>
        <v>ORD26001573</v>
      </c>
      <c r="P1142" s="23" t="str">
        <f t="shared" si="53"/>
        <v>Sep</v>
      </c>
      <c r="Q1142" s="23" t="str">
        <f>IF(F1142="CAPTURE",IF(COUNTIF(orders!$A:$A,O1142)&gt;0,"Yes","NO ORDER"),"")</f>
        <v>Yes</v>
      </c>
    </row>
    <row r="1143" spans="1:17" ht="15" customHeight="1" x14ac:dyDescent="0.3">
      <c r="A1143" s="23" t="s">
        <v>13740</v>
      </c>
      <c r="B1143" s="23"/>
      <c r="C1143" s="23" t="s">
        <v>3883</v>
      </c>
      <c r="D1143" s="23" t="str">
        <f t="shared" si="51"/>
        <v>ORD26001698</v>
      </c>
      <c r="E1143" s="38">
        <v>46272</v>
      </c>
      <c r="F1143" s="23" t="s">
        <v>12410</v>
      </c>
      <c r="G1143" s="23" t="s">
        <v>77</v>
      </c>
      <c r="H1143" s="24">
        <v>2247</v>
      </c>
      <c r="I1143" s="24">
        <v>53.93</v>
      </c>
      <c r="J1143" s="24">
        <v>9.7100000000000009</v>
      </c>
      <c r="K1143" s="24">
        <v>2183.36</v>
      </c>
      <c r="L1143" s="38">
        <v>46274</v>
      </c>
      <c r="M1143" s="23" t="s">
        <v>193</v>
      </c>
      <c r="N1143" s="23" t="str">
        <f>IF(COUNTIF($A$2:A1143,A1143)&gt;1,"DUP","OK")</f>
        <v>OK</v>
      </c>
      <c r="O1143" s="23" t="str">
        <f t="shared" si="52"/>
        <v>ORD26001698</v>
      </c>
      <c r="P1143" s="23" t="str">
        <f t="shared" si="53"/>
        <v>Sep</v>
      </c>
      <c r="Q1143" s="23" t="str">
        <f>IF(F1143="CAPTURE",IF(COUNTIF(orders!$A:$A,O1143)&gt;0,"Yes","NO ORDER"),"")</f>
        <v>Yes</v>
      </c>
    </row>
    <row r="1144" spans="1:17" ht="15" customHeight="1" x14ac:dyDescent="0.3">
      <c r="A1144" s="23" t="s">
        <v>13741</v>
      </c>
      <c r="B1144" s="23"/>
      <c r="C1144" s="23" t="s">
        <v>3935</v>
      </c>
      <c r="D1144" s="23" t="str">
        <f t="shared" si="51"/>
        <v>ORD26001724</v>
      </c>
      <c r="E1144" s="38">
        <v>46272</v>
      </c>
      <c r="F1144" s="23" t="s">
        <v>12410</v>
      </c>
      <c r="G1144" s="23" t="s">
        <v>75</v>
      </c>
      <c r="H1144" s="24">
        <v>1499</v>
      </c>
      <c r="I1144" s="24">
        <v>0</v>
      </c>
      <c r="J1144" s="24">
        <v>0</v>
      </c>
      <c r="K1144" s="24">
        <v>1499</v>
      </c>
      <c r="L1144" s="38">
        <v>46274</v>
      </c>
      <c r="M1144" s="23" t="s">
        <v>193</v>
      </c>
      <c r="N1144" s="23" t="str">
        <f>IF(COUNTIF($A$2:A1144,A1144)&gt;1,"DUP","OK")</f>
        <v>OK</v>
      </c>
      <c r="O1144" s="23" t="str">
        <f t="shared" si="52"/>
        <v>ORD26001724</v>
      </c>
      <c r="P1144" s="23" t="str">
        <f t="shared" si="53"/>
        <v>Sep</v>
      </c>
      <c r="Q1144" s="23" t="str">
        <f>IF(F1144="CAPTURE",IF(COUNTIF(orders!$A:$A,O1144)&gt;0,"Yes","NO ORDER"),"")</f>
        <v>Yes</v>
      </c>
    </row>
    <row r="1145" spans="1:17" ht="15" customHeight="1" x14ac:dyDescent="0.3">
      <c r="A1145" s="23" t="s">
        <v>13742</v>
      </c>
      <c r="B1145" s="23"/>
      <c r="C1145" s="23" t="s">
        <v>13743</v>
      </c>
      <c r="D1145" s="23" t="str">
        <f t="shared" si="51"/>
        <v>ORD26001791</v>
      </c>
      <c r="E1145" s="38">
        <v>46272</v>
      </c>
      <c r="F1145" s="23" t="s">
        <v>12410</v>
      </c>
      <c r="G1145" s="23" t="s">
        <v>75</v>
      </c>
      <c r="H1145" s="24">
        <v>11297</v>
      </c>
      <c r="I1145" s="24">
        <v>33.89</v>
      </c>
      <c r="J1145" s="24">
        <v>6.1</v>
      </c>
      <c r="K1145" s="24">
        <v>11257.01</v>
      </c>
      <c r="L1145" s="38">
        <v>46274</v>
      </c>
      <c r="M1145" s="23" t="s">
        <v>193</v>
      </c>
      <c r="N1145" s="23" t="str">
        <f>IF(COUNTIF($A$2:A1145,A1145)&gt;1,"DUP","OK")</f>
        <v>OK</v>
      </c>
      <c r="O1145" s="23" t="str">
        <f t="shared" si="52"/>
        <v>ORD26001791</v>
      </c>
      <c r="P1145" s="23" t="str">
        <f t="shared" si="53"/>
        <v>Sep</v>
      </c>
      <c r="Q1145" s="23" t="str">
        <f>IF(F1145="CAPTURE",IF(COUNTIF(orders!$A:$A,O1145)&gt;0,"Yes","NO ORDER"),"")</f>
        <v>Yes</v>
      </c>
    </row>
    <row r="1146" spans="1:17" ht="15" customHeight="1" x14ac:dyDescent="0.3">
      <c r="A1146" s="23" t="s">
        <v>13744</v>
      </c>
      <c r="B1146" s="23"/>
      <c r="C1146" s="23" t="s">
        <v>4148</v>
      </c>
      <c r="D1146" s="23" t="str">
        <f t="shared" si="51"/>
        <v>ORD26001831</v>
      </c>
      <c r="E1146" s="38">
        <v>46272</v>
      </c>
      <c r="F1146" s="23" t="s">
        <v>12410</v>
      </c>
      <c r="G1146" s="23" t="s">
        <v>75</v>
      </c>
      <c r="H1146" s="24">
        <v>10998</v>
      </c>
      <c r="I1146" s="24">
        <v>32.99</v>
      </c>
      <c r="J1146" s="24">
        <v>5.94</v>
      </c>
      <c r="K1146" s="24">
        <v>10959.07</v>
      </c>
      <c r="L1146" s="38">
        <v>46274</v>
      </c>
      <c r="M1146" s="23" t="s">
        <v>193</v>
      </c>
      <c r="N1146" s="23" t="str">
        <f>IF(COUNTIF($A$2:A1146,A1146)&gt;1,"DUP","OK")</f>
        <v>OK</v>
      </c>
      <c r="O1146" s="23" t="str">
        <f t="shared" si="52"/>
        <v>ORD26001831</v>
      </c>
      <c r="P1146" s="23" t="str">
        <f t="shared" si="53"/>
        <v>Sep</v>
      </c>
      <c r="Q1146" s="23" t="str">
        <f>IF(F1146="CAPTURE",IF(COUNTIF(orders!$A:$A,O1146)&gt;0,"Yes","NO ORDER"),"")</f>
        <v>Yes</v>
      </c>
    </row>
    <row r="1147" spans="1:17" ht="15" customHeight="1" x14ac:dyDescent="0.3">
      <c r="A1147" s="23" t="s">
        <v>13745</v>
      </c>
      <c r="B1147" s="23"/>
      <c r="C1147" s="23" t="s">
        <v>4179</v>
      </c>
      <c r="D1147" s="23" t="str">
        <f t="shared" si="51"/>
        <v>ORD26001847</v>
      </c>
      <c r="E1147" s="38">
        <v>46272</v>
      </c>
      <c r="F1147" s="23" t="s">
        <v>12410</v>
      </c>
      <c r="G1147" s="23" t="s">
        <v>75</v>
      </c>
      <c r="H1147" s="24">
        <v>1799</v>
      </c>
      <c r="I1147" s="24">
        <v>0</v>
      </c>
      <c r="J1147" s="24">
        <v>0</v>
      </c>
      <c r="K1147" s="24">
        <v>1799</v>
      </c>
      <c r="L1147" s="38">
        <v>46274</v>
      </c>
      <c r="M1147" s="23" t="s">
        <v>193</v>
      </c>
      <c r="N1147" s="23" t="str">
        <f>IF(COUNTIF($A$2:A1147,A1147)&gt;1,"DUP","OK")</f>
        <v>OK</v>
      </c>
      <c r="O1147" s="23" t="str">
        <f t="shared" si="52"/>
        <v>ORD26001847</v>
      </c>
      <c r="P1147" s="23" t="str">
        <f t="shared" si="53"/>
        <v>Sep</v>
      </c>
      <c r="Q1147" s="23" t="str">
        <f>IF(F1147="CAPTURE",IF(COUNTIF(orders!$A:$A,O1147)&gt;0,"Yes","NO ORDER"),"")</f>
        <v>Yes</v>
      </c>
    </row>
    <row r="1148" spans="1:17" ht="15" customHeight="1" x14ac:dyDescent="0.3">
      <c r="A1148" s="23" t="s">
        <v>13746</v>
      </c>
      <c r="B1148" s="23"/>
      <c r="C1148" s="23" t="s">
        <v>13747</v>
      </c>
      <c r="D1148" s="23" t="str">
        <f t="shared" si="51"/>
        <v>ORD26001854</v>
      </c>
      <c r="E1148" s="38">
        <v>46272</v>
      </c>
      <c r="F1148" s="23" t="s">
        <v>12410</v>
      </c>
      <c r="G1148" s="23" t="s">
        <v>75</v>
      </c>
      <c r="H1148" s="24">
        <v>8798</v>
      </c>
      <c r="I1148" s="24">
        <v>26.39</v>
      </c>
      <c r="J1148" s="24">
        <v>4.75</v>
      </c>
      <c r="K1148" s="24">
        <v>8766.86</v>
      </c>
      <c r="L1148" s="38">
        <v>46274</v>
      </c>
      <c r="M1148" s="23" t="s">
        <v>193</v>
      </c>
      <c r="N1148" s="23" t="str">
        <f>IF(COUNTIF($A$2:A1148,A1148)&gt;1,"DUP","OK")</f>
        <v>OK</v>
      </c>
      <c r="O1148" s="23" t="str">
        <f t="shared" si="52"/>
        <v>ORD26001854</v>
      </c>
      <c r="P1148" s="23" t="str">
        <f t="shared" si="53"/>
        <v>Sep</v>
      </c>
      <c r="Q1148" s="23" t="str">
        <f>IF(F1148="CAPTURE",IF(COUNTIF(orders!$A:$A,O1148)&gt;0,"Yes","NO ORDER"),"")</f>
        <v>Yes</v>
      </c>
    </row>
    <row r="1149" spans="1:17" ht="15" customHeight="1" x14ac:dyDescent="0.3">
      <c r="A1149" s="23" t="s">
        <v>13748</v>
      </c>
      <c r="B1149" s="23"/>
      <c r="C1149" s="23" t="s">
        <v>4208</v>
      </c>
      <c r="D1149" s="23" t="str">
        <f t="shared" si="51"/>
        <v>ORD26001861</v>
      </c>
      <c r="E1149" s="38">
        <v>46272</v>
      </c>
      <c r="F1149" s="23" t="s">
        <v>12410</v>
      </c>
      <c r="G1149" s="23" t="s">
        <v>75</v>
      </c>
      <c r="H1149" s="24">
        <v>3098</v>
      </c>
      <c r="I1149" s="24">
        <v>9.2899999999999991</v>
      </c>
      <c r="J1149" s="24">
        <v>1.67</v>
      </c>
      <c r="K1149" s="24">
        <v>3087.04</v>
      </c>
      <c r="L1149" s="38">
        <v>46274</v>
      </c>
      <c r="M1149" s="23" t="s">
        <v>193</v>
      </c>
      <c r="N1149" s="23" t="str">
        <f>IF(COUNTIF($A$2:A1149,A1149)&gt;1,"DUP","OK")</f>
        <v>OK</v>
      </c>
      <c r="O1149" s="23" t="str">
        <f t="shared" si="52"/>
        <v>ORD26001861</v>
      </c>
      <c r="P1149" s="23" t="str">
        <f t="shared" si="53"/>
        <v>Sep</v>
      </c>
      <c r="Q1149" s="23" t="str">
        <f>IF(F1149="CAPTURE",IF(COUNTIF(orders!$A:$A,O1149)&gt;0,"Yes","NO ORDER"),"")</f>
        <v>Yes</v>
      </c>
    </row>
    <row r="1150" spans="1:17" ht="15" customHeight="1" x14ac:dyDescent="0.3">
      <c r="A1150" s="23" t="s">
        <v>13749</v>
      </c>
      <c r="B1150" s="23"/>
      <c r="C1150" s="23" t="s">
        <v>13750</v>
      </c>
      <c r="D1150" s="23" t="str">
        <f t="shared" si="51"/>
        <v>ORD26001891</v>
      </c>
      <c r="E1150" s="38">
        <v>46272</v>
      </c>
      <c r="F1150" s="23" t="s">
        <v>12410</v>
      </c>
      <c r="G1150" s="23" t="s">
        <v>75</v>
      </c>
      <c r="H1150" s="24">
        <v>2499</v>
      </c>
      <c r="I1150" s="24">
        <v>7.5</v>
      </c>
      <c r="J1150" s="24">
        <v>1.35</v>
      </c>
      <c r="K1150" s="24">
        <v>2490.15</v>
      </c>
      <c r="L1150" s="38">
        <v>46274</v>
      </c>
      <c r="M1150" s="23" t="s">
        <v>193</v>
      </c>
      <c r="N1150" s="23" t="str">
        <f>IF(COUNTIF($A$2:A1150,A1150)&gt;1,"DUP","OK")</f>
        <v>OK</v>
      </c>
      <c r="O1150" s="23" t="str">
        <f t="shared" si="52"/>
        <v>ORD26001891</v>
      </c>
      <c r="P1150" s="23" t="str">
        <f t="shared" si="53"/>
        <v>Sep</v>
      </c>
      <c r="Q1150" s="23" t="str">
        <f>IF(F1150="CAPTURE",IF(COUNTIF(orders!$A:$A,O1150)&gt;0,"Yes","NO ORDER"),"")</f>
        <v>Yes</v>
      </c>
    </row>
    <row r="1151" spans="1:17" ht="15" customHeight="1" x14ac:dyDescent="0.3">
      <c r="A1151" s="23" t="s">
        <v>13751</v>
      </c>
      <c r="B1151" s="23"/>
      <c r="C1151" s="23" t="s">
        <v>4324</v>
      </c>
      <c r="D1151" s="23" t="str">
        <f t="shared" si="51"/>
        <v>ORD26001917</v>
      </c>
      <c r="E1151" s="38">
        <v>46272</v>
      </c>
      <c r="F1151" s="23" t="s">
        <v>12410</v>
      </c>
      <c r="G1151" s="23" t="s">
        <v>75</v>
      </c>
      <c r="H1151" s="24">
        <v>2298</v>
      </c>
      <c r="I1151" s="24">
        <v>6.89</v>
      </c>
      <c r="J1151" s="24">
        <v>1.24</v>
      </c>
      <c r="K1151" s="24">
        <v>2289.87</v>
      </c>
      <c r="L1151" s="38">
        <v>46274</v>
      </c>
      <c r="M1151" s="23" t="s">
        <v>193</v>
      </c>
      <c r="N1151" s="23" t="str">
        <f>IF(COUNTIF($A$2:A1151,A1151)&gt;1,"DUP","OK")</f>
        <v>OK</v>
      </c>
      <c r="O1151" s="23" t="str">
        <f t="shared" si="52"/>
        <v>ORD26001917</v>
      </c>
      <c r="P1151" s="23" t="str">
        <f t="shared" si="53"/>
        <v>Sep</v>
      </c>
      <c r="Q1151" s="23" t="str">
        <f>IF(F1151="CAPTURE",IF(COUNTIF(orders!$A:$A,O1151)&gt;0,"Yes","NO ORDER"),"")</f>
        <v>Yes</v>
      </c>
    </row>
    <row r="1152" spans="1:17" ht="15" customHeight="1" x14ac:dyDescent="0.3">
      <c r="A1152" s="23" t="s">
        <v>13752</v>
      </c>
      <c r="B1152" s="23"/>
      <c r="C1152" s="23" t="s">
        <v>13753</v>
      </c>
      <c r="D1152" s="23" t="str">
        <f t="shared" si="51"/>
        <v>ORD26001946</v>
      </c>
      <c r="E1152" s="38">
        <v>46272</v>
      </c>
      <c r="F1152" s="23" t="s">
        <v>12410</v>
      </c>
      <c r="G1152" s="23" t="s">
        <v>75</v>
      </c>
      <c r="H1152" s="24">
        <v>999</v>
      </c>
      <c r="I1152" s="24">
        <v>0</v>
      </c>
      <c r="J1152" s="24">
        <v>0</v>
      </c>
      <c r="K1152" s="24">
        <v>999</v>
      </c>
      <c r="L1152" s="38">
        <v>46274</v>
      </c>
      <c r="M1152" s="23" t="s">
        <v>193</v>
      </c>
      <c r="N1152" s="23" t="str">
        <f>IF(COUNTIF($A$2:A1152,A1152)&gt;1,"DUP","OK")</f>
        <v>OK</v>
      </c>
      <c r="O1152" s="23" t="str">
        <f t="shared" si="52"/>
        <v>ORD26001946</v>
      </c>
      <c r="P1152" s="23" t="str">
        <f t="shared" si="53"/>
        <v>Sep</v>
      </c>
      <c r="Q1152" s="23" t="str">
        <f>IF(F1152="CAPTURE",IF(COUNTIF(orders!$A:$A,O1152)&gt;0,"Yes","NO ORDER"),"")</f>
        <v>Yes</v>
      </c>
    </row>
    <row r="1153" spans="1:17" ht="15" customHeight="1" x14ac:dyDescent="0.3">
      <c r="A1153" s="23" t="s">
        <v>13754</v>
      </c>
      <c r="B1153" s="23"/>
      <c r="C1153" s="23" t="s">
        <v>4503</v>
      </c>
      <c r="D1153" s="23" t="str">
        <f t="shared" si="51"/>
        <v>ORD26002007</v>
      </c>
      <c r="E1153" s="38">
        <v>46272</v>
      </c>
      <c r="F1153" s="23" t="s">
        <v>12410</v>
      </c>
      <c r="G1153" s="23" t="s">
        <v>75</v>
      </c>
      <c r="H1153" s="24">
        <v>1348</v>
      </c>
      <c r="I1153" s="24">
        <v>0</v>
      </c>
      <c r="J1153" s="24">
        <v>0</v>
      </c>
      <c r="K1153" s="24">
        <v>1348</v>
      </c>
      <c r="L1153" s="38">
        <v>46274</v>
      </c>
      <c r="M1153" s="23" t="s">
        <v>193</v>
      </c>
      <c r="N1153" s="23" t="str">
        <f>IF(COUNTIF($A$2:A1153,A1153)&gt;1,"DUP","OK")</f>
        <v>OK</v>
      </c>
      <c r="O1153" s="23" t="str">
        <f t="shared" si="52"/>
        <v>ORD26002007</v>
      </c>
      <c r="P1153" s="23" t="str">
        <f t="shared" si="53"/>
        <v>Sep</v>
      </c>
      <c r="Q1153" s="23" t="str">
        <f>IF(F1153="CAPTURE",IF(COUNTIF(orders!$A:$A,O1153)&gt;0,"Yes","NO ORDER"),"")</f>
        <v>Yes</v>
      </c>
    </row>
    <row r="1154" spans="1:17" ht="15" customHeight="1" x14ac:dyDescent="0.3">
      <c r="A1154" s="23" t="s">
        <v>13755</v>
      </c>
      <c r="B1154" s="23"/>
      <c r="C1154" s="23" t="s">
        <v>4556</v>
      </c>
      <c r="D1154" s="23" t="str">
        <f t="shared" ref="D1154:D1217" si="54">UPPER(SUBSTITUTE(TRIM(C1154),"-",""))</f>
        <v>ORD26002033</v>
      </c>
      <c r="E1154" s="38">
        <v>46272</v>
      </c>
      <c r="F1154" s="23" t="s">
        <v>12410</v>
      </c>
      <c r="G1154" s="23" t="s">
        <v>75</v>
      </c>
      <c r="H1154" s="24">
        <v>1499</v>
      </c>
      <c r="I1154" s="24">
        <v>0</v>
      </c>
      <c r="J1154" s="24">
        <v>0</v>
      </c>
      <c r="K1154" s="24">
        <v>1499</v>
      </c>
      <c r="L1154" s="38">
        <v>46274</v>
      </c>
      <c r="M1154" s="23" t="s">
        <v>193</v>
      </c>
      <c r="N1154" s="23" t="str">
        <f>IF(COUNTIF($A$2:A1154,A1154)&gt;1,"DUP","OK")</f>
        <v>OK</v>
      </c>
      <c r="O1154" s="23" t="str">
        <f t="shared" ref="O1154:O1217" si="55">IF(F1154="REFUND",INDEX($D:$D,MATCH(B1154,$A:$A,0)),D1154)</f>
        <v>ORD26002033</v>
      </c>
      <c r="P1154" s="23" t="str">
        <f t="shared" ref="P1154:P1217" si="56">IF(L1154&gt;DATE(2026,9,30),"Oct-Due","Sep")</f>
        <v>Sep</v>
      </c>
      <c r="Q1154" s="23" t="str">
        <f>IF(F1154="CAPTURE",IF(COUNTIF(orders!$A:$A,O1154)&gt;0,"Yes","NO ORDER"),"")</f>
        <v>Yes</v>
      </c>
    </row>
    <row r="1155" spans="1:17" ht="15" customHeight="1" x14ac:dyDescent="0.3">
      <c r="A1155" s="23" t="s">
        <v>13756</v>
      </c>
      <c r="B1155" s="23"/>
      <c r="C1155" s="23" t="s">
        <v>4707</v>
      </c>
      <c r="D1155" s="23" t="str">
        <f t="shared" si="54"/>
        <v>ORD26002108</v>
      </c>
      <c r="E1155" s="38">
        <v>46272</v>
      </c>
      <c r="F1155" s="23" t="s">
        <v>12410</v>
      </c>
      <c r="G1155" s="23" t="s">
        <v>75</v>
      </c>
      <c r="H1155" s="24">
        <v>798</v>
      </c>
      <c r="I1155" s="24">
        <v>0</v>
      </c>
      <c r="J1155" s="24">
        <v>0</v>
      </c>
      <c r="K1155" s="24">
        <v>798</v>
      </c>
      <c r="L1155" s="38">
        <v>46274</v>
      </c>
      <c r="M1155" s="23" t="s">
        <v>193</v>
      </c>
      <c r="N1155" s="23" t="str">
        <f>IF(COUNTIF($A$2:A1155,A1155)&gt;1,"DUP","OK")</f>
        <v>OK</v>
      </c>
      <c r="O1155" s="23" t="str">
        <f t="shared" si="55"/>
        <v>ORD26002108</v>
      </c>
      <c r="P1155" s="23" t="str">
        <f t="shared" si="56"/>
        <v>Sep</v>
      </c>
      <c r="Q1155" s="23" t="str">
        <f>IF(F1155="CAPTURE",IF(COUNTIF(orders!$A:$A,O1155)&gt;0,"Yes","NO ORDER"),"")</f>
        <v>Yes</v>
      </c>
    </row>
    <row r="1156" spans="1:17" ht="15" customHeight="1" x14ac:dyDescent="0.3">
      <c r="A1156" s="23" t="s">
        <v>13757</v>
      </c>
      <c r="B1156" s="23"/>
      <c r="C1156" s="23" t="s">
        <v>4724</v>
      </c>
      <c r="D1156" s="23" t="str">
        <f t="shared" si="54"/>
        <v>ORD26002117</v>
      </c>
      <c r="E1156" s="38">
        <v>46272</v>
      </c>
      <c r="F1156" s="23" t="s">
        <v>12410</v>
      </c>
      <c r="G1156" s="23" t="s">
        <v>79</v>
      </c>
      <c r="H1156" s="24">
        <v>2598</v>
      </c>
      <c r="I1156" s="24">
        <v>41.57</v>
      </c>
      <c r="J1156" s="24">
        <v>7.48</v>
      </c>
      <c r="K1156" s="24">
        <v>2548.9499999999998</v>
      </c>
      <c r="L1156" s="38">
        <v>46274</v>
      </c>
      <c r="M1156" s="23" t="s">
        <v>193</v>
      </c>
      <c r="N1156" s="23" t="str">
        <f>IF(COUNTIF($A$2:A1156,A1156)&gt;1,"DUP","OK")</f>
        <v>OK</v>
      </c>
      <c r="O1156" s="23" t="str">
        <f t="shared" si="55"/>
        <v>ORD26002117</v>
      </c>
      <c r="P1156" s="23" t="str">
        <f t="shared" si="56"/>
        <v>Sep</v>
      </c>
      <c r="Q1156" s="23" t="str">
        <f>IF(F1156="CAPTURE",IF(COUNTIF(orders!$A:$A,O1156)&gt;0,"Yes","NO ORDER"),"")</f>
        <v>Yes</v>
      </c>
    </row>
    <row r="1157" spans="1:17" ht="15" customHeight="1" x14ac:dyDescent="0.3">
      <c r="A1157" s="23" t="s">
        <v>13758</v>
      </c>
      <c r="B1157" s="23"/>
      <c r="C1157" s="23" t="s">
        <v>13759</v>
      </c>
      <c r="D1157" s="23" t="str">
        <f t="shared" si="54"/>
        <v>ORD26002143</v>
      </c>
      <c r="E1157" s="38">
        <v>46272</v>
      </c>
      <c r="F1157" s="23" t="s">
        <v>12410</v>
      </c>
      <c r="G1157" s="23" t="s">
        <v>75</v>
      </c>
      <c r="H1157" s="24">
        <v>1299</v>
      </c>
      <c r="I1157" s="24">
        <v>0</v>
      </c>
      <c r="J1157" s="24">
        <v>0</v>
      </c>
      <c r="K1157" s="24">
        <v>1299</v>
      </c>
      <c r="L1157" s="38">
        <v>46274</v>
      </c>
      <c r="M1157" s="23" t="s">
        <v>193</v>
      </c>
      <c r="N1157" s="23" t="str">
        <f>IF(COUNTIF($A$2:A1157,A1157)&gt;1,"DUP","OK")</f>
        <v>OK</v>
      </c>
      <c r="O1157" s="23" t="str">
        <f t="shared" si="55"/>
        <v>ORD26002143</v>
      </c>
      <c r="P1157" s="23" t="str">
        <f t="shared" si="56"/>
        <v>Sep</v>
      </c>
      <c r="Q1157" s="23" t="str">
        <f>IF(F1157="CAPTURE",IF(COUNTIF(orders!$A:$A,O1157)&gt;0,"Yes","NO ORDER"),"")</f>
        <v>Yes</v>
      </c>
    </row>
    <row r="1158" spans="1:17" ht="15" customHeight="1" x14ac:dyDescent="0.3">
      <c r="A1158" s="23" t="s">
        <v>13760</v>
      </c>
      <c r="B1158" s="23"/>
      <c r="C1158" s="23" t="s">
        <v>4786</v>
      </c>
      <c r="D1158" s="23" t="str">
        <f t="shared" si="54"/>
        <v>ORD26002148</v>
      </c>
      <c r="E1158" s="38">
        <v>46272</v>
      </c>
      <c r="F1158" s="23" t="s">
        <v>12410</v>
      </c>
      <c r="G1158" s="23" t="s">
        <v>77</v>
      </c>
      <c r="H1158" s="24">
        <v>349</v>
      </c>
      <c r="I1158" s="24">
        <v>6.63</v>
      </c>
      <c r="J1158" s="24">
        <v>1.19</v>
      </c>
      <c r="K1158" s="24">
        <v>341.18</v>
      </c>
      <c r="L1158" s="38">
        <v>46274</v>
      </c>
      <c r="M1158" s="23" t="s">
        <v>193</v>
      </c>
      <c r="N1158" s="23" t="str">
        <f>IF(COUNTIF($A$2:A1158,A1158)&gt;1,"DUP","OK")</f>
        <v>OK</v>
      </c>
      <c r="O1158" s="23" t="str">
        <f t="shared" si="55"/>
        <v>ORD26002148</v>
      </c>
      <c r="P1158" s="23" t="str">
        <f t="shared" si="56"/>
        <v>Sep</v>
      </c>
      <c r="Q1158" s="23" t="str">
        <f>IF(F1158="CAPTURE",IF(COUNTIF(orders!$A:$A,O1158)&gt;0,"Yes","NO ORDER"),"")</f>
        <v>Yes</v>
      </c>
    </row>
    <row r="1159" spans="1:17" ht="15" customHeight="1" x14ac:dyDescent="0.3">
      <c r="A1159" s="23" t="s">
        <v>13761</v>
      </c>
      <c r="B1159" s="23"/>
      <c r="C1159" s="23" t="s">
        <v>13762</v>
      </c>
      <c r="D1159" s="23" t="str">
        <f t="shared" si="54"/>
        <v>ORD26002166</v>
      </c>
      <c r="E1159" s="38">
        <v>46272</v>
      </c>
      <c r="F1159" s="23" t="s">
        <v>12410</v>
      </c>
      <c r="G1159" s="23" t="s">
        <v>77</v>
      </c>
      <c r="H1159" s="24">
        <v>5498</v>
      </c>
      <c r="I1159" s="24">
        <v>93.47</v>
      </c>
      <c r="J1159" s="24">
        <v>16.82</v>
      </c>
      <c r="K1159" s="24">
        <v>5387.71</v>
      </c>
      <c r="L1159" s="38">
        <v>46274</v>
      </c>
      <c r="M1159" s="23" t="s">
        <v>193</v>
      </c>
      <c r="N1159" s="23" t="str">
        <f>IF(COUNTIF($A$2:A1159,A1159)&gt;1,"DUP","OK")</f>
        <v>OK</v>
      </c>
      <c r="O1159" s="23" t="str">
        <f t="shared" si="55"/>
        <v>ORD26002166</v>
      </c>
      <c r="P1159" s="23" t="str">
        <f t="shared" si="56"/>
        <v>Sep</v>
      </c>
      <c r="Q1159" s="23" t="str">
        <f>IF(F1159="CAPTURE",IF(COUNTIF(orders!$A:$A,O1159)&gt;0,"Yes","NO ORDER"),"")</f>
        <v>Yes</v>
      </c>
    </row>
    <row r="1160" spans="1:17" ht="15" customHeight="1" x14ac:dyDescent="0.3">
      <c r="A1160" s="23" t="s">
        <v>13763</v>
      </c>
      <c r="B1160" s="23"/>
      <c r="C1160" s="23" t="s">
        <v>5069</v>
      </c>
      <c r="D1160" s="23" t="str">
        <f t="shared" si="54"/>
        <v>ORD26002288</v>
      </c>
      <c r="E1160" s="38">
        <v>46272</v>
      </c>
      <c r="F1160" s="23" t="s">
        <v>12410</v>
      </c>
      <c r="G1160" s="23" t="s">
        <v>81</v>
      </c>
      <c r="H1160" s="24">
        <v>349</v>
      </c>
      <c r="I1160" s="24">
        <v>5.24</v>
      </c>
      <c r="J1160" s="24">
        <v>0.94</v>
      </c>
      <c r="K1160" s="24">
        <v>342.82</v>
      </c>
      <c r="L1160" s="38">
        <v>46274</v>
      </c>
      <c r="M1160" s="23" t="s">
        <v>193</v>
      </c>
      <c r="N1160" s="23" t="str">
        <f>IF(COUNTIF($A$2:A1160,A1160)&gt;1,"DUP","OK")</f>
        <v>OK</v>
      </c>
      <c r="O1160" s="23" t="str">
        <f t="shared" si="55"/>
        <v>ORD26002288</v>
      </c>
      <c r="P1160" s="23" t="str">
        <f t="shared" si="56"/>
        <v>Sep</v>
      </c>
      <c r="Q1160" s="23" t="str">
        <f>IF(F1160="CAPTURE",IF(COUNTIF(orders!$A:$A,O1160)&gt;0,"Yes","NO ORDER"),"")</f>
        <v>Yes</v>
      </c>
    </row>
    <row r="1161" spans="1:17" ht="15" customHeight="1" x14ac:dyDescent="0.3">
      <c r="A1161" s="23" t="s">
        <v>13764</v>
      </c>
      <c r="B1161" s="23"/>
      <c r="C1161" s="23" t="s">
        <v>5193</v>
      </c>
      <c r="D1161" s="23" t="str">
        <f t="shared" si="54"/>
        <v>ORD26002350</v>
      </c>
      <c r="E1161" s="38">
        <v>46272</v>
      </c>
      <c r="F1161" s="23" t="s">
        <v>12410</v>
      </c>
      <c r="G1161" s="23" t="s">
        <v>81</v>
      </c>
      <c r="H1161" s="24">
        <v>4798</v>
      </c>
      <c r="I1161" s="24">
        <v>57.58</v>
      </c>
      <c r="J1161" s="24">
        <v>10.36</v>
      </c>
      <c r="K1161" s="24">
        <v>4730.0600000000004</v>
      </c>
      <c r="L1161" s="38">
        <v>46274</v>
      </c>
      <c r="M1161" s="23" t="s">
        <v>193</v>
      </c>
      <c r="N1161" s="23" t="str">
        <f>IF(COUNTIF($A$2:A1161,A1161)&gt;1,"DUP","OK")</f>
        <v>OK</v>
      </c>
      <c r="O1161" s="23" t="str">
        <f t="shared" si="55"/>
        <v>ORD26002350</v>
      </c>
      <c r="P1161" s="23" t="str">
        <f t="shared" si="56"/>
        <v>Sep</v>
      </c>
      <c r="Q1161" s="23" t="str">
        <f>IF(F1161="CAPTURE",IF(COUNTIF(orders!$A:$A,O1161)&gt;0,"Yes","NO ORDER"),"")</f>
        <v>Yes</v>
      </c>
    </row>
    <row r="1162" spans="1:17" ht="15" customHeight="1" x14ac:dyDescent="0.3">
      <c r="A1162" s="23" t="s">
        <v>13765</v>
      </c>
      <c r="B1162" s="23"/>
      <c r="C1162" s="23" t="s">
        <v>13766</v>
      </c>
      <c r="D1162" s="23" t="str">
        <f t="shared" si="54"/>
        <v>ORD26002367</v>
      </c>
      <c r="E1162" s="38">
        <v>46272</v>
      </c>
      <c r="F1162" s="23" t="s">
        <v>12410</v>
      </c>
      <c r="G1162" s="23" t="s">
        <v>79</v>
      </c>
      <c r="H1162" s="24">
        <v>4298</v>
      </c>
      <c r="I1162" s="24">
        <v>68.77</v>
      </c>
      <c r="J1162" s="24">
        <v>12.38</v>
      </c>
      <c r="K1162" s="24">
        <v>4216.8500000000004</v>
      </c>
      <c r="L1162" s="38">
        <v>46274</v>
      </c>
      <c r="M1162" s="23" t="s">
        <v>193</v>
      </c>
      <c r="N1162" s="23" t="str">
        <f>IF(COUNTIF($A$2:A1162,A1162)&gt;1,"DUP","OK")</f>
        <v>OK</v>
      </c>
      <c r="O1162" s="23" t="str">
        <f t="shared" si="55"/>
        <v>ORD26002367</v>
      </c>
      <c r="P1162" s="23" t="str">
        <f t="shared" si="56"/>
        <v>Sep</v>
      </c>
      <c r="Q1162" s="23" t="str">
        <f>IF(F1162="CAPTURE",IF(COUNTIF(orders!$A:$A,O1162)&gt;0,"Yes","NO ORDER"),"")</f>
        <v>Yes</v>
      </c>
    </row>
    <row r="1163" spans="1:17" ht="15" customHeight="1" x14ac:dyDescent="0.3">
      <c r="A1163" s="23" t="s">
        <v>13767</v>
      </c>
      <c r="B1163" s="23"/>
      <c r="C1163" s="23" t="s">
        <v>5261</v>
      </c>
      <c r="D1163" s="23" t="str">
        <f t="shared" si="54"/>
        <v>ORD26002384</v>
      </c>
      <c r="E1163" s="38">
        <v>46272</v>
      </c>
      <c r="F1163" s="23" t="s">
        <v>12410</v>
      </c>
      <c r="G1163" s="23" t="s">
        <v>75</v>
      </c>
      <c r="H1163" s="24">
        <v>349</v>
      </c>
      <c r="I1163" s="24">
        <v>0</v>
      </c>
      <c r="J1163" s="24">
        <v>0</v>
      </c>
      <c r="K1163" s="24">
        <v>349</v>
      </c>
      <c r="L1163" s="38">
        <v>46274</v>
      </c>
      <c r="M1163" s="23" t="s">
        <v>193</v>
      </c>
      <c r="N1163" s="23" t="str">
        <f>IF(COUNTIF($A$2:A1163,A1163)&gt;1,"DUP","OK")</f>
        <v>OK</v>
      </c>
      <c r="O1163" s="23" t="str">
        <f t="shared" si="55"/>
        <v>ORD26002384</v>
      </c>
      <c r="P1163" s="23" t="str">
        <f t="shared" si="56"/>
        <v>Sep</v>
      </c>
      <c r="Q1163" s="23" t="str">
        <f>IF(F1163="CAPTURE",IF(COUNTIF(orders!$A:$A,O1163)&gt;0,"Yes","NO ORDER"),"")</f>
        <v>Yes</v>
      </c>
    </row>
    <row r="1164" spans="1:17" ht="15" customHeight="1" x14ac:dyDescent="0.3">
      <c r="A1164" s="23" t="s">
        <v>13768</v>
      </c>
      <c r="B1164" s="23"/>
      <c r="C1164" s="23" t="s">
        <v>5303</v>
      </c>
      <c r="D1164" s="23" t="str">
        <f t="shared" si="54"/>
        <v>ORD26002405</v>
      </c>
      <c r="E1164" s="38">
        <v>46272</v>
      </c>
      <c r="F1164" s="23" t="s">
        <v>12410</v>
      </c>
      <c r="G1164" s="23" t="s">
        <v>79</v>
      </c>
      <c r="H1164" s="24">
        <v>3947</v>
      </c>
      <c r="I1164" s="24">
        <v>63.15</v>
      </c>
      <c r="J1164" s="24">
        <v>11.37</v>
      </c>
      <c r="K1164" s="24">
        <v>3872.48</v>
      </c>
      <c r="L1164" s="38">
        <v>46274</v>
      </c>
      <c r="M1164" s="23" t="s">
        <v>193</v>
      </c>
      <c r="N1164" s="23" t="str">
        <f>IF(COUNTIF($A$2:A1164,A1164)&gt;1,"DUP","OK")</f>
        <v>OK</v>
      </c>
      <c r="O1164" s="23" t="str">
        <f t="shared" si="55"/>
        <v>ORD26002405</v>
      </c>
      <c r="P1164" s="23" t="str">
        <f t="shared" si="56"/>
        <v>Sep</v>
      </c>
      <c r="Q1164" s="23" t="str">
        <f>IF(F1164="CAPTURE",IF(COUNTIF(orders!$A:$A,O1164)&gt;0,"Yes","NO ORDER"),"")</f>
        <v>Yes</v>
      </c>
    </row>
    <row r="1165" spans="1:17" ht="15" customHeight="1" x14ac:dyDescent="0.3">
      <c r="A1165" s="23" t="s">
        <v>13769</v>
      </c>
      <c r="B1165" s="23"/>
      <c r="C1165" s="23" t="s">
        <v>5331</v>
      </c>
      <c r="D1165" s="23" t="str">
        <f t="shared" si="54"/>
        <v>ORD26002420</v>
      </c>
      <c r="E1165" s="38">
        <v>46272</v>
      </c>
      <c r="F1165" s="23" t="s">
        <v>12410</v>
      </c>
      <c r="G1165" s="23" t="s">
        <v>75</v>
      </c>
      <c r="H1165" s="24">
        <v>3097</v>
      </c>
      <c r="I1165" s="24">
        <v>9.2899999999999991</v>
      </c>
      <c r="J1165" s="24">
        <v>1.67</v>
      </c>
      <c r="K1165" s="24">
        <v>3086.04</v>
      </c>
      <c r="L1165" s="38">
        <v>46274</v>
      </c>
      <c r="M1165" s="23" t="s">
        <v>193</v>
      </c>
      <c r="N1165" s="23" t="str">
        <f>IF(COUNTIF($A$2:A1165,A1165)&gt;1,"DUP","OK")</f>
        <v>OK</v>
      </c>
      <c r="O1165" s="23" t="str">
        <f t="shared" si="55"/>
        <v>ORD26002420</v>
      </c>
      <c r="P1165" s="23" t="str">
        <f t="shared" si="56"/>
        <v>Sep</v>
      </c>
      <c r="Q1165" s="23" t="str">
        <f>IF(F1165="CAPTURE",IF(COUNTIF(orders!$A:$A,O1165)&gt;0,"Yes","NO ORDER"),"")</f>
        <v>Yes</v>
      </c>
    </row>
    <row r="1166" spans="1:17" ht="15" customHeight="1" x14ac:dyDescent="0.3">
      <c r="A1166" s="23" t="s">
        <v>13770</v>
      </c>
      <c r="B1166" s="23"/>
      <c r="C1166" s="23" t="s">
        <v>5457</v>
      </c>
      <c r="D1166" s="23" t="str">
        <f t="shared" si="54"/>
        <v>ORD26002484</v>
      </c>
      <c r="E1166" s="38">
        <v>46272</v>
      </c>
      <c r="F1166" s="23" t="s">
        <v>12410</v>
      </c>
      <c r="G1166" s="23" t="s">
        <v>81</v>
      </c>
      <c r="H1166" s="24">
        <v>999</v>
      </c>
      <c r="I1166" s="24">
        <v>14.99</v>
      </c>
      <c r="J1166" s="24">
        <v>2.7</v>
      </c>
      <c r="K1166" s="24">
        <v>981.31</v>
      </c>
      <c r="L1166" s="38">
        <v>46274</v>
      </c>
      <c r="M1166" s="23" t="s">
        <v>193</v>
      </c>
      <c r="N1166" s="23" t="str">
        <f>IF(COUNTIF($A$2:A1166,A1166)&gt;1,"DUP","OK")</f>
        <v>OK</v>
      </c>
      <c r="O1166" s="23" t="str">
        <f t="shared" si="55"/>
        <v>ORD26002484</v>
      </c>
      <c r="P1166" s="23" t="str">
        <f t="shared" si="56"/>
        <v>Sep</v>
      </c>
      <c r="Q1166" s="23" t="str">
        <f>IF(F1166="CAPTURE",IF(COUNTIF(orders!$A:$A,O1166)&gt;0,"Yes","NO ORDER"),"")</f>
        <v>Yes</v>
      </c>
    </row>
    <row r="1167" spans="1:17" ht="15" customHeight="1" x14ac:dyDescent="0.3">
      <c r="A1167" s="23" t="s">
        <v>13771</v>
      </c>
      <c r="B1167" s="23"/>
      <c r="C1167" s="23" t="s">
        <v>5527</v>
      </c>
      <c r="D1167" s="23" t="str">
        <f t="shared" si="54"/>
        <v>ORD26002518</v>
      </c>
      <c r="E1167" s="38">
        <v>46272</v>
      </c>
      <c r="F1167" s="23" t="s">
        <v>12410</v>
      </c>
      <c r="G1167" s="23" t="s">
        <v>81</v>
      </c>
      <c r="H1167" s="24">
        <v>1598</v>
      </c>
      <c r="I1167" s="24">
        <v>23.97</v>
      </c>
      <c r="J1167" s="24">
        <v>4.3099999999999996</v>
      </c>
      <c r="K1167" s="24">
        <v>1569.72</v>
      </c>
      <c r="L1167" s="38">
        <v>46274</v>
      </c>
      <c r="M1167" s="23" t="s">
        <v>193</v>
      </c>
      <c r="N1167" s="23" t="str">
        <f>IF(COUNTIF($A$2:A1167,A1167)&gt;1,"DUP","OK")</f>
        <v>OK</v>
      </c>
      <c r="O1167" s="23" t="str">
        <f t="shared" si="55"/>
        <v>ORD26002518</v>
      </c>
      <c r="P1167" s="23" t="str">
        <f t="shared" si="56"/>
        <v>Sep</v>
      </c>
      <c r="Q1167" s="23" t="str">
        <f>IF(F1167="CAPTURE",IF(COUNTIF(orders!$A:$A,O1167)&gt;0,"Yes","NO ORDER"),"")</f>
        <v>Yes</v>
      </c>
    </row>
    <row r="1168" spans="1:17" ht="15" customHeight="1" x14ac:dyDescent="0.3">
      <c r="A1168" s="23" t="s">
        <v>13772</v>
      </c>
      <c r="B1168" s="23"/>
      <c r="C1168" s="23" t="s">
        <v>5537</v>
      </c>
      <c r="D1168" s="23" t="str">
        <f t="shared" si="54"/>
        <v>ORD26002523</v>
      </c>
      <c r="E1168" s="38">
        <v>46272</v>
      </c>
      <c r="F1168" s="23" t="s">
        <v>12410</v>
      </c>
      <c r="G1168" s="23" t="s">
        <v>75</v>
      </c>
      <c r="H1168" s="24">
        <v>16797</v>
      </c>
      <c r="I1168" s="24">
        <v>50.39</v>
      </c>
      <c r="J1168" s="24">
        <v>9.07</v>
      </c>
      <c r="K1168" s="24">
        <v>16737.54</v>
      </c>
      <c r="L1168" s="38">
        <v>46274</v>
      </c>
      <c r="M1168" s="23" t="s">
        <v>193</v>
      </c>
      <c r="N1168" s="23" t="str">
        <f>IF(COUNTIF($A$2:A1168,A1168)&gt;1,"DUP","OK")</f>
        <v>OK</v>
      </c>
      <c r="O1168" s="23" t="str">
        <f t="shared" si="55"/>
        <v>ORD26002523</v>
      </c>
      <c r="P1168" s="23" t="str">
        <f t="shared" si="56"/>
        <v>Sep</v>
      </c>
      <c r="Q1168" s="23" t="str">
        <f>IF(F1168="CAPTURE",IF(COUNTIF(orders!$A:$A,O1168)&gt;0,"Yes","NO ORDER"),"")</f>
        <v>Yes</v>
      </c>
    </row>
    <row r="1169" spans="1:17" ht="15" customHeight="1" x14ac:dyDescent="0.3">
      <c r="A1169" s="23" t="s">
        <v>13773</v>
      </c>
      <c r="B1169" s="23"/>
      <c r="C1169" s="23" t="s">
        <v>5557</v>
      </c>
      <c r="D1169" s="23" t="str">
        <f t="shared" si="54"/>
        <v>ORD26002532</v>
      </c>
      <c r="E1169" s="38">
        <v>46272</v>
      </c>
      <c r="F1169" s="23" t="s">
        <v>12410</v>
      </c>
      <c r="G1169" s="23" t="s">
        <v>79</v>
      </c>
      <c r="H1169" s="24">
        <v>12297</v>
      </c>
      <c r="I1169" s="24">
        <v>196.75</v>
      </c>
      <c r="J1169" s="24">
        <v>35.42</v>
      </c>
      <c r="K1169" s="24">
        <v>12064.83</v>
      </c>
      <c r="L1169" s="38">
        <v>46274</v>
      </c>
      <c r="M1169" s="23" t="s">
        <v>193</v>
      </c>
      <c r="N1169" s="23" t="str">
        <f>IF(COUNTIF($A$2:A1169,A1169)&gt;1,"DUP","OK")</f>
        <v>OK</v>
      </c>
      <c r="O1169" s="23" t="str">
        <f t="shared" si="55"/>
        <v>ORD26002532</v>
      </c>
      <c r="P1169" s="23" t="str">
        <f t="shared" si="56"/>
        <v>Sep</v>
      </c>
      <c r="Q1169" s="23" t="str">
        <f>IF(F1169="CAPTURE",IF(COUNTIF(orders!$A:$A,O1169)&gt;0,"Yes","NO ORDER"),"")</f>
        <v>Yes</v>
      </c>
    </row>
    <row r="1170" spans="1:17" ht="15" customHeight="1" x14ac:dyDescent="0.3">
      <c r="A1170" s="23" t="s">
        <v>13774</v>
      </c>
      <c r="B1170" s="23"/>
      <c r="C1170" s="23" t="s">
        <v>13775</v>
      </c>
      <c r="D1170" s="23" t="str">
        <f t="shared" si="54"/>
        <v>ORD26002569</v>
      </c>
      <c r="E1170" s="38">
        <v>46272</v>
      </c>
      <c r="F1170" s="23" t="s">
        <v>12410</v>
      </c>
      <c r="G1170" s="23" t="s">
        <v>79</v>
      </c>
      <c r="H1170" s="24">
        <v>1799</v>
      </c>
      <c r="I1170" s="24">
        <v>32.380000000000003</v>
      </c>
      <c r="J1170" s="24">
        <v>5.83</v>
      </c>
      <c r="K1170" s="24">
        <v>1760.79</v>
      </c>
      <c r="L1170" s="38">
        <v>46274</v>
      </c>
      <c r="M1170" s="23" t="s">
        <v>193</v>
      </c>
      <c r="N1170" s="23" t="str">
        <f>IF(COUNTIF($A$2:A1170,A1170)&gt;1,"DUP","OK")</f>
        <v>OK</v>
      </c>
      <c r="O1170" s="23" t="str">
        <f t="shared" si="55"/>
        <v>ORD26002569</v>
      </c>
      <c r="P1170" s="23" t="str">
        <f t="shared" si="56"/>
        <v>Sep</v>
      </c>
      <c r="Q1170" s="23" t="str">
        <f>IF(F1170="CAPTURE",IF(COUNTIF(orders!$A:$A,O1170)&gt;0,"Yes","NO ORDER"),"")</f>
        <v>Yes</v>
      </c>
    </row>
    <row r="1171" spans="1:17" ht="15" customHeight="1" x14ac:dyDescent="0.3">
      <c r="A1171" s="23" t="s">
        <v>13776</v>
      </c>
      <c r="B1171" s="23"/>
      <c r="C1171" s="23" t="s">
        <v>5669</v>
      </c>
      <c r="D1171" s="23" t="str">
        <f t="shared" si="54"/>
        <v>ORD26002588</v>
      </c>
      <c r="E1171" s="38">
        <v>46272</v>
      </c>
      <c r="F1171" s="23" t="s">
        <v>12410</v>
      </c>
      <c r="G1171" s="23" t="s">
        <v>75</v>
      </c>
      <c r="H1171" s="24">
        <v>4999</v>
      </c>
      <c r="I1171" s="24">
        <v>15</v>
      </c>
      <c r="J1171" s="24">
        <v>2.7</v>
      </c>
      <c r="K1171" s="24">
        <v>4981.3</v>
      </c>
      <c r="L1171" s="38">
        <v>46274</v>
      </c>
      <c r="M1171" s="23" t="s">
        <v>193</v>
      </c>
      <c r="N1171" s="23" t="str">
        <f>IF(COUNTIF($A$2:A1171,A1171)&gt;1,"DUP","OK")</f>
        <v>OK</v>
      </c>
      <c r="O1171" s="23" t="str">
        <f t="shared" si="55"/>
        <v>ORD26002588</v>
      </c>
      <c r="P1171" s="23" t="str">
        <f t="shared" si="56"/>
        <v>Sep</v>
      </c>
      <c r="Q1171" s="23" t="str">
        <f>IF(F1171="CAPTURE",IF(COUNTIF(orders!$A:$A,O1171)&gt;0,"Yes","NO ORDER"),"")</f>
        <v>Yes</v>
      </c>
    </row>
    <row r="1172" spans="1:17" ht="15" customHeight="1" x14ac:dyDescent="0.3">
      <c r="A1172" s="23" t="s">
        <v>13777</v>
      </c>
      <c r="B1172" s="23"/>
      <c r="C1172" s="23" t="s">
        <v>5792</v>
      </c>
      <c r="D1172" s="23" t="str">
        <f t="shared" si="54"/>
        <v>ORD26002649</v>
      </c>
      <c r="E1172" s="38">
        <v>46272</v>
      </c>
      <c r="F1172" s="23" t="s">
        <v>12410</v>
      </c>
      <c r="G1172" s="23" t="s">
        <v>81</v>
      </c>
      <c r="H1172" s="24">
        <v>349</v>
      </c>
      <c r="I1172" s="24">
        <v>5.24</v>
      </c>
      <c r="J1172" s="24">
        <v>0.94</v>
      </c>
      <c r="K1172" s="24">
        <v>342.82</v>
      </c>
      <c r="L1172" s="38">
        <v>46274</v>
      </c>
      <c r="M1172" s="23" t="s">
        <v>193</v>
      </c>
      <c r="N1172" s="23" t="str">
        <f>IF(COUNTIF($A$2:A1172,A1172)&gt;1,"DUP","OK")</f>
        <v>OK</v>
      </c>
      <c r="O1172" s="23" t="str">
        <f t="shared" si="55"/>
        <v>ORD26002649</v>
      </c>
      <c r="P1172" s="23" t="str">
        <f t="shared" si="56"/>
        <v>Sep</v>
      </c>
      <c r="Q1172" s="23" t="str">
        <f>IF(F1172="CAPTURE",IF(COUNTIF(orders!$A:$A,O1172)&gt;0,"Yes","NO ORDER"),"")</f>
        <v>Yes</v>
      </c>
    </row>
    <row r="1173" spans="1:17" ht="15" customHeight="1" x14ac:dyDescent="0.3">
      <c r="A1173" s="23" t="s">
        <v>13778</v>
      </c>
      <c r="B1173" s="23"/>
      <c r="C1173" s="23" t="s">
        <v>13779</v>
      </c>
      <c r="D1173" s="23" t="str">
        <f t="shared" si="54"/>
        <v>ORD26002698</v>
      </c>
      <c r="E1173" s="38">
        <v>46272</v>
      </c>
      <c r="F1173" s="23" t="s">
        <v>12410</v>
      </c>
      <c r="G1173" s="23" t="s">
        <v>79</v>
      </c>
      <c r="H1173" s="24">
        <v>1799</v>
      </c>
      <c r="I1173" s="24">
        <v>32.380000000000003</v>
      </c>
      <c r="J1173" s="24">
        <v>5.83</v>
      </c>
      <c r="K1173" s="24">
        <v>1760.79</v>
      </c>
      <c r="L1173" s="38">
        <v>46274</v>
      </c>
      <c r="M1173" s="23" t="s">
        <v>193</v>
      </c>
      <c r="N1173" s="23" t="str">
        <f>IF(COUNTIF($A$2:A1173,A1173)&gt;1,"DUP","OK")</f>
        <v>OK</v>
      </c>
      <c r="O1173" s="23" t="str">
        <f t="shared" si="55"/>
        <v>ORD26002698</v>
      </c>
      <c r="P1173" s="23" t="str">
        <f t="shared" si="56"/>
        <v>Sep</v>
      </c>
      <c r="Q1173" s="23" t="str">
        <f>IF(F1173="CAPTURE",IF(COUNTIF(orders!$A:$A,O1173)&gt;0,"Yes","NO ORDER"),"")</f>
        <v>Yes</v>
      </c>
    </row>
    <row r="1174" spans="1:17" ht="15" customHeight="1" x14ac:dyDescent="0.3">
      <c r="A1174" s="23" t="s">
        <v>13780</v>
      </c>
      <c r="B1174" s="23"/>
      <c r="C1174" s="23" t="s">
        <v>6038</v>
      </c>
      <c r="D1174" s="23" t="str">
        <f t="shared" si="54"/>
        <v>ORD26002770</v>
      </c>
      <c r="E1174" s="38">
        <v>46272</v>
      </c>
      <c r="F1174" s="23" t="s">
        <v>12410</v>
      </c>
      <c r="G1174" s="23" t="s">
        <v>77</v>
      </c>
      <c r="H1174" s="24">
        <v>349</v>
      </c>
      <c r="I1174" s="24">
        <v>6.63</v>
      </c>
      <c r="J1174" s="24">
        <v>1.19</v>
      </c>
      <c r="K1174" s="24">
        <v>341.18</v>
      </c>
      <c r="L1174" s="38">
        <v>46274</v>
      </c>
      <c r="M1174" s="23" t="s">
        <v>193</v>
      </c>
      <c r="N1174" s="23" t="str">
        <f>IF(COUNTIF($A$2:A1174,A1174)&gt;1,"DUP","OK")</f>
        <v>OK</v>
      </c>
      <c r="O1174" s="23" t="str">
        <f t="shared" si="55"/>
        <v>ORD26002770</v>
      </c>
      <c r="P1174" s="23" t="str">
        <f t="shared" si="56"/>
        <v>Sep</v>
      </c>
      <c r="Q1174" s="23" t="str">
        <f>IF(F1174="CAPTURE",IF(COUNTIF(orders!$A:$A,O1174)&gt;0,"Yes","NO ORDER"),"")</f>
        <v>Yes</v>
      </c>
    </row>
    <row r="1175" spans="1:17" ht="15" customHeight="1" x14ac:dyDescent="0.3">
      <c r="A1175" s="23" t="s">
        <v>13781</v>
      </c>
      <c r="B1175" s="23"/>
      <c r="C1175" s="23" t="s">
        <v>6094</v>
      </c>
      <c r="D1175" s="23" t="str">
        <f t="shared" si="54"/>
        <v>ORD26002798</v>
      </c>
      <c r="E1175" s="38">
        <v>46272</v>
      </c>
      <c r="F1175" s="23" t="s">
        <v>12410</v>
      </c>
      <c r="G1175" s="23" t="s">
        <v>75</v>
      </c>
      <c r="H1175" s="24">
        <v>2098</v>
      </c>
      <c r="I1175" s="24">
        <v>6.29</v>
      </c>
      <c r="J1175" s="24">
        <v>1.1299999999999999</v>
      </c>
      <c r="K1175" s="24">
        <v>2090.58</v>
      </c>
      <c r="L1175" s="38">
        <v>46274</v>
      </c>
      <c r="M1175" s="23" t="s">
        <v>193</v>
      </c>
      <c r="N1175" s="23" t="str">
        <f>IF(COUNTIF($A$2:A1175,A1175)&gt;1,"DUP","OK")</f>
        <v>OK</v>
      </c>
      <c r="O1175" s="23" t="str">
        <f t="shared" si="55"/>
        <v>ORD26002798</v>
      </c>
      <c r="P1175" s="23" t="str">
        <f t="shared" si="56"/>
        <v>Sep</v>
      </c>
      <c r="Q1175" s="23" t="str">
        <f>IF(F1175="CAPTURE",IF(COUNTIF(orders!$A:$A,O1175)&gt;0,"Yes","NO ORDER"),"")</f>
        <v>Yes</v>
      </c>
    </row>
    <row r="1176" spans="1:17" ht="15" customHeight="1" x14ac:dyDescent="0.3">
      <c r="A1176" s="23" t="s">
        <v>13782</v>
      </c>
      <c r="B1176" s="23"/>
      <c r="C1176" s="23" t="s">
        <v>6181</v>
      </c>
      <c r="D1176" s="23" t="str">
        <f t="shared" si="54"/>
        <v>ORD26002842</v>
      </c>
      <c r="E1176" s="38">
        <v>46272</v>
      </c>
      <c r="F1176" s="23" t="s">
        <v>12410</v>
      </c>
      <c r="G1176" s="23" t="s">
        <v>79</v>
      </c>
      <c r="H1176" s="24">
        <v>2999</v>
      </c>
      <c r="I1176" s="24">
        <v>47.98</v>
      </c>
      <c r="J1176" s="24">
        <v>8.64</v>
      </c>
      <c r="K1176" s="24">
        <v>2942.38</v>
      </c>
      <c r="L1176" s="38">
        <v>46274</v>
      </c>
      <c r="M1176" s="23" t="s">
        <v>193</v>
      </c>
      <c r="N1176" s="23" t="str">
        <f>IF(COUNTIF($A$2:A1176,A1176)&gt;1,"DUP","OK")</f>
        <v>OK</v>
      </c>
      <c r="O1176" s="23" t="str">
        <f t="shared" si="55"/>
        <v>ORD26002842</v>
      </c>
      <c r="P1176" s="23" t="str">
        <f t="shared" si="56"/>
        <v>Sep</v>
      </c>
      <c r="Q1176" s="23" t="str">
        <f>IF(F1176="CAPTURE",IF(COUNTIF(orders!$A:$A,O1176)&gt;0,"Yes","NO ORDER"),"")</f>
        <v>Yes</v>
      </c>
    </row>
    <row r="1177" spans="1:17" ht="15" customHeight="1" x14ac:dyDescent="0.3">
      <c r="A1177" s="23" t="s">
        <v>13783</v>
      </c>
      <c r="B1177" s="23"/>
      <c r="C1177" s="23" t="s">
        <v>13784</v>
      </c>
      <c r="D1177" s="23" t="str">
        <f t="shared" si="54"/>
        <v>ORD26002927</v>
      </c>
      <c r="E1177" s="38">
        <v>46272</v>
      </c>
      <c r="F1177" s="23" t="s">
        <v>12410</v>
      </c>
      <c r="G1177" s="23" t="s">
        <v>77</v>
      </c>
      <c r="H1177" s="24">
        <v>799</v>
      </c>
      <c r="I1177" s="24">
        <v>15.18</v>
      </c>
      <c r="J1177" s="24">
        <v>2.73</v>
      </c>
      <c r="K1177" s="24">
        <v>781.09</v>
      </c>
      <c r="L1177" s="38">
        <v>46274</v>
      </c>
      <c r="M1177" s="23" t="s">
        <v>193</v>
      </c>
      <c r="N1177" s="23" t="str">
        <f>IF(COUNTIF($A$2:A1177,A1177)&gt;1,"DUP","OK")</f>
        <v>OK</v>
      </c>
      <c r="O1177" s="23" t="str">
        <f t="shared" si="55"/>
        <v>ORD26002927</v>
      </c>
      <c r="P1177" s="23" t="str">
        <f t="shared" si="56"/>
        <v>Sep</v>
      </c>
      <c r="Q1177" s="23" t="str">
        <f>IF(F1177="CAPTURE",IF(COUNTIF(orders!$A:$A,O1177)&gt;0,"Yes","NO ORDER"),"")</f>
        <v>Yes</v>
      </c>
    </row>
    <row r="1178" spans="1:17" ht="15" customHeight="1" x14ac:dyDescent="0.3">
      <c r="A1178" s="23" t="s">
        <v>13785</v>
      </c>
      <c r="B1178" s="23"/>
      <c r="C1178" s="23" t="s">
        <v>6415</v>
      </c>
      <c r="D1178" s="23" t="str">
        <f t="shared" si="54"/>
        <v>ORD26002960</v>
      </c>
      <c r="E1178" s="38">
        <v>46272</v>
      </c>
      <c r="F1178" s="23" t="s">
        <v>12410</v>
      </c>
      <c r="G1178" s="23" t="s">
        <v>79</v>
      </c>
      <c r="H1178" s="24">
        <v>5348</v>
      </c>
      <c r="I1178" s="24">
        <v>85.57</v>
      </c>
      <c r="J1178" s="24">
        <v>15.4</v>
      </c>
      <c r="K1178" s="24">
        <v>5247.03</v>
      </c>
      <c r="L1178" s="38">
        <v>46274</v>
      </c>
      <c r="M1178" s="23" t="s">
        <v>193</v>
      </c>
      <c r="N1178" s="23" t="str">
        <f>IF(COUNTIF($A$2:A1178,A1178)&gt;1,"DUP","OK")</f>
        <v>OK</v>
      </c>
      <c r="O1178" s="23" t="str">
        <f t="shared" si="55"/>
        <v>ORD26002960</v>
      </c>
      <c r="P1178" s="23" t="str">
        <f t="shared" si="56"/>
        <v>Sep</v>
      </c>
      <c r="Q1178" s="23" t="str">
        <f>IF(F1178="CAPTURE",IF(COUNTIF(orders!$A:$A,O1178)&gt;0,"Yes","NO ORDER"),"")</f>
        <v>Yes</v>
      </c>
    </row>
    <row r="1179" spans="1:17" ht="15" customHeight="1" x14ac:dyDescent="0.3">
      <c r="A1179" s="23" t="s">
        <v>13786</v>
      </c>
      <c r="B1179" s="23"/>
      <c r="C1179" s="23" t="s">
        <v>6427</v>
      </c>
      <c r="D1179" s="23" t="str">
        <f t="shared" si="54"/>
        <v>ORD26002966</v>
      </c>
      <c r="E1179" s="38">
        <v>46272</v>
      </c>
      <c r="F1179" s="23" t="s">
        <v>12410</v>
      </c>
      <c r="G1179" s="23" t="s">
        <v>75</v>
      </c>
      <c r="H1179" s="24">
        <v>1498</v>
      </c>
      <c r="I1179" s="24">
        <v>0</v>
      </c>
      <c r="J1179" s="24">
        <v>0</v>
      </c>
      <c r="K1179" s="24">
        <v>1498</v>
      </c>
      <c r="L1179" s="38">
        <v>46274</v>
      </c>
      <c r="M1179" s="23" t="s">
        <v>193</v>
      </c>
      <c r="N1179" s="23" t="str">
        <f>IF(COUNTIF($A$2:A1179,A1179)&gt;1,"DUP","OK")</f>
        <v>OK</v>
      </c>
      <c r="O1179" s="23" t="str">
        <f t="shared" si="55"/>
        <v>ORD26002966</v>
      </c>
      <c r="P1179" s="23" t="str">
        <f t="shared" si="56"/>
        <v>Sep</v>
      </c>
      <c r="Q1179" s="23" t="str">
        <f>IF(F1179="CAPTURE",IF(COUNTIF(orders!$A:$A,O1179)&gt;0,"Yes","NO ORDER"),"")</f>
        <v>Yes</v>
      </c>
    </row>
    <row r="1180" spans="1:17" ht="15" customHeight="1" x14ac:dyDescent="0.3">
      <c r="A1180" s="23" t="s">
        <v>13787</v>
      </c>
      <c r="B1180" s="23"/>
      <c r="C1180" s="23" t="s">
        <v>6446</v>
      </c>
      <c r="D1180" s="23" t="str">
        <f t="shared" si="54"/>
        <v>ORD26002975</v>
      </c>
      <c r="E1180" s="38">
        <v>46272</v>
      </c>
      <c r="F1180" s="23" t="s">
        <v>12410</v>
      </c>
      <c r="G1180" s="23" t="s">
        <v>77</v>
      </c>
      <c r="H1180" s="24">
        <v>4999</v>
      </c>
      <c r="I1180" s="24">
        <v>84.98</v>
      </c>
      <c r="J1180" s="24">
        <v>15.3</v>
      </c>
      <c r="K1180" s="24">
        <v>4898.72</v>
      </c>
      <c r="L1180" s="38">
        <v>46274</v>
      </c>
      <c r="M1180" s="23" t="s">
        <v>193</v>
      </c>
      <c r="N1180" s="23" t="str">
        <f>IF(COUNTIF($A$2:A1180,A1180)&gt;1,"DUP","OK")</f>
        <v>OK</v>
      </c>
      <c r="O1180" s="23" t="str">
        <f t="shared" si="55"/>
        <v>ORD26002975</v>
      </c>
      <c r="P1180" s="23" t="str">
        <f t="shared" si="56"/>
        <v>Sep</v>
      </c>
      <c r="Q1180" s="23" t="str">
        <f>IF(F1180="CAPTURE",IF(COUNTIF(orders!$A:$A,O1180)&gt;0,"Yes","NO ORDER"),"")</f>
        <v>Yes</v>
      </c>
    </row>
    <row r="1181" spans="1:17" ht="15" customHeight="1" x14ac:dyDescent="0.3">
      <c r="A1181" s="23" t="s">
        <v>13788</v>
      </c>
      <c r="B1181" s="23"/>
      <c r="C1181" s="23" t="s">
        <v>6589</v>
      </c>
      <c r="D1181" s="23" t="str">
        <f t="shared" si="54"/>
        <v>ORD26003048</v>
      </c>
      <c r="E1181" s="38">
        <v>46272</v>
      </c>
      <c r="F1181" s="23" t="s">
        <v>12410</v>
      </c>
      <c r="G1181" s="23" t="s">
        <v>75</v>
      </c>
      <c r="H1181" s="24">
        <v>8297</v>
      </c>
      <c r="I1181" s="24">
        <v>24.89</v>
      </c>
      <c r="J1181" s="24">
        <v>4.4800000000000004</v>
      </c>
      <c r="K1181" s="24">
        <v>8267.6299999999992</v>
      </c>
      <c r="L1181" s="38">
        <v>46274</v>
      </c>
      <c r="M1181" s="23" t="s">
        <v>193</v>
      </c>
      <c r="N1181" s="23" t="str">
        <f>IF(COUNTIF($A$2:A1181,A1181)&gt;1,"DUP","OK")</f>
        <v>OK</v>
      </c>
      <c r="O1181" s="23" t="str">
        <f t="shared" si="55"/>
        <v>ORD26003048</v>
      </c>
      <c r="P1181" s="23" t="str">
        <f t="shared" si="56"/>
        <v>Sep</v>
      </c>
      <c r="Q1181" s="23" t="str">
        <f>IF(F1181="CAPTURE",IF(COUNTIF(orders!$A:$A,O1181)&gt;0,"Yes","NO ORDER"),"")</f>
        <v>Yes</v>
      </c>
    </row>
    <row r="1182" spans="1:17" ht="15" customHeight="1" x14ac:dyDescent="0.3">
      <c r="A1182" s="23" t="s">
        <v>13789</v>
      </c>
      <c r="B1182" s="23"/>
      <c r="C1182" s="23" t="s">
        <v>6620</v>
      </c>
      <c r="D1182" s="23" t="str">
        <f t="shared" si="54"/>
        <v>ORD26003062</v>
      </c>
      <c r="E1182" s="38">
        <v>46272</v>
      </c>
      <c r="F1182" s="23" t="s">
        <v>12410</v>
      </c>
      <c r="G1182" s="23" t="s">
        <v>79</v>
      </c>
      <c r="H1182" s="24">
        <v>599</v>
      </c>
      <c r="I1182" s="24">
        <v>10.78</v>
      </c>
      <c r="J1182" s="24">
        <v>1.94</v>
      </c>
      <c r="K1182" s="24">
        <v>586.28</v>
      </c>
      <c r="L1182" s="38">
        <v>46274</v>
      </c>
      <c r="M1182" s="23" t="s">
        <v>193</v>
      </c>
      <c r="N1182" s="23" t="str">
        <f>IF(COUNTIF($A$2:A1182,A1182)&gt;1,"DUP","OK")</f>
        <v>OK</v>
      </c>
      <c r="O1182" s="23" t="str">
        <f t="shared" si="55"/>
        <v>ORD26003062</v>
      </c>
      <c r="P1182" s="23" t="str">
        <f t="shared" si="56"/>
        <v>Sep</v>
      </c>
      <c r="Q1182" s="23" t="str">
        <f>IF(F1182="CAPTURE",IF(COUNTIF(orders!$A:$A,O1182)&gt;0,"Yes","NO ORDER"),"")</f>
        <v>Yes</v>
      </c>
    </row>
    <row r="1183" spans="1:17" ht="15" customHeight="1" x14ac:dyDescent="0.3">
      <c r="A1183" s="23" t="s">
        <v>13790</v>
      </c>
      <c r="B1183" s="23"/>
      <c r="C1183" s="23" t="s">
        <v>6670</v>
      </c>
      <c r="D1183" s="23" t="str">
        <f t="shared" si="54"/>
        <v>ORD26003087</v>
      </c>
      <c r="E1183" s="38">
        <v>46272</v>
      </c>
      <c r="F1183" s="23" t="s">
        <v>12410</v>
      </c>
      <c r="G1183" s="23" t="s">
        <v>75</v>
      </c>
      <c r="H1183" s="24">
        <v>599</v>
      </c>
      <c r="I1183" s="24">
        <v>0</v>
      </c>
      <c r="J1183" s="24">
        <v>0</v>
      </c>
      <c r="K1183" s="24">
        <v>599</v>
      </c>
      <c r="L1183" s="38">
        <v>46274</v>
      </c>
      <c r="M1183" s="23" t="s">
        <v>193</v>
      </c>
      <c r="N1183" s="23" t="str">
        <f>IF(COUNTIF($A$2:A1183,A1183)&gt;1,"DUP","OK")</f>
        <v>OK</v>
      </c>
      <c r="O1183" s="23" t="str">
        <f t="shared" si="55"/>
        <v>ORD26003087</v>
      </c>
      <c r="P1183" s="23" t="str">
        <f t="shared" si="56"/>
        <v>Sep</v>
      </c>
      <c r="Q1183" s="23" t="str">
        <f>IF(F1183="CAPTURE",IF(COUNTIF(orders!$A:$A,O1183)&gt;0,"Yes","NO ORDER"),"")</f>
        <v>Yes</v>
      </c>
    </row>
    <row r="1184" spans="1:17" ht="15" customHeight="1" x14ac:dyDescent="0.3">
      <c r="A1184" s="23" t="s">
        <v>13791</v>
      </c>
      <c r="B1184" s="23"/>
      <c r="C1184" s="23" t="s">
        <v>6835</v>
      </c>
      <c r="D1184" s="23" t="str">
        <f t="shared" si="54"/>
        <v>ORD26003169</v>
      </c>
      <c r="E1184" s="38">
        <v>46272</v>
      </c>
      <c r="F1184" s="23" t="s">
        <v>12410</v>
      </c>
      <c r="G1184" s="23" t="s">
        <v>79</v>
      </c>
      <c r="H1184" s="24">
        <v>1799</v>
      </c>
      <c r="I1184" s="24">
        <v>32.380000000000003</v>
      </c>
      <c r="J1184" s="24">
        <v>5.83</v>
      </c>
      <c r="K1184" s="24">
        <v>1760.79</v>
      </c>
      <c r="L1184" s="38">
        <v>46274</v>
      </c>
      <c r="M1184" s="23" t="s">
        <v>193</v>
      </c>
      <c r="N1184" s="23" t="str">
        <f>IF(COUNTIF($A$2:A1184,A1184)&gt;1,"DUP","OK")</f>
        <v>OK</v>
      </c>
      <c r="O1184" s="23" t="str">
        <f t="shared" si="55"/>
        <v>ORD26003169</v>
      </c>
      <c r="P1184" s="23" t="str">
        <f t="shared" si="56"/>
        <v>Sep</v>
      </c>
      <c r="Q1184" s="23" t="str">
        <f>IF(F1184="CAPTURE",IF(COUNTIF(orders!$A:$A,O1184)&gt;0,"Yes","NO ORDER"),"")</f>
        <v>Yes</v>
      </c>
    </row>
    <row r="1185" spans="1:17" ht="15" customHeight="1" x14ac:dyDescent="0.3">
      <c r="A1185" s="23" t="s">
        <v>13792</v>
      </c>
      <c r="B1185" s="23"/>
      <c r="C1185" s="23" t="s">
        <v>6839</v>
      </c>
      <c r="D1185" s="23" t="str">
        <f t="shared" si="54"/>
        <v>ORD26003171</v>
      </c>
      <c r="E1185" s="38">
        <v>46272</v>
      </c>
      <c r="F1185" s="23" t="s">
        <v>12410</v>
      </c>
      <c r="G1185" s="23" t="s">
        <v>75</v>
      </c>
      <c r="H1185" s="24">
        <v>599</v>
      </c>
      <c r="I1185" s="24">
        <v>0</v>
      </c>
      <c r="J1185" s="24">
        <v>0</v>
      </c>
      <c r="K1185" s="24">
        <v>599</v>
      </c>
      <c r="L1185" s="38">
        <v>46274</v>
      </c>
      <c r="M1185" s="23" t="s">
        <v>193</v>
      </c>
      <c r="N1185" s="23" t="str">
        <f>IF(COUNTIF($A$2:A1185,A1185)&gt;1,"DUP","OK")</f>
        <v>OK</v>
      </c>
      <c r="O1185" s="23" t="str">
        <f t="shared" si="55"/>
        <v>ORD26003171</v>
      </c>
      <c r="P1185" s="23" t="str">
        <f t="shared" si="56"/>
        <v>Sep</v>
      </c>
      <c r="Q1185" s="23" t="str">
        <f>IF(F1185="CAPTURE",IF(COUNTIF(orders!$A:$A,O1185)&gt;0,"Yes","NO ORDER"),"")</f>
        <v>Yes</v>
      </c>
    </row>
    <row r="1186" spans="1:17" ht="15" customHeight="1" x14ac:dyDescent="0.3">
      <c r="A1186" s="23" t="s">
        <v>13793</v>
      </c>
      <c r="B1186" s="23"/>
      <c r="C1186" s="23" t="s">
        <v>6915</v>
      </c>
      <c r="D1186" s="23" t="str">
        <f t="shared" si="54"/>
        <v>ORD26003209</v>
      </c>
      <c r="E1186" s="38">
        <v>46272</v>
      </c>
      <c r="F1186" s="23" t="s">
        <v>12410</v>
      </c>
      <c r="G1186" s="23" t="s">
        <v>77</v>
      </c>
      <c r="H1186" s="24">
        <v>4298</v>
      </c>
      <c r="I1186" s="24">
        <v>73.069999999999993</v>
      </c>
      <c r="J1186" s="24">
        <v>13.15</v>
      </c>
      <c r="K1186" s="24">
        <v>4211.78</v>
      </c>
      <c r="L1186" s="38">
        <v>46274</v>
      </c>
      <c r="M1186" s="23" t="s">
        <v>193</v>
      </c>
      <c r="N1186" s="23" t="str">
        <f>IF(COUNTIF($A$2:A1186,A1186)&gt;1,"DUP","OK")</f>
        <v>OK</v>
      </c>
      <c r="O1186" s="23" t="str">
        <f t="shared" si="55"/>
        <v>ORD26003209</v>
      </c>
      <c r="P1186" s="23" t="str">
        <f t="shared" si="56"/>
        <v>Sep</v>
      </c>
      <c r="Q1186" s="23" t="str">
        <f>IF(F1186="CAPTURE",IF(COUNTIF(orders!$A:$A,O1186)&gt;0,"Yes","NO ORDER"),"")</f>
        <v>Yes</v>
      </c>
    </row>
    <row r="1187" spans="1:17" ht="15" customHeight="1" x14ac:dyDescent="0.3">
      <c r="A1187" s="23" t="s">
        <v>13794</v>
      </c>
      <c r="B1187" s="23"/>
      <c r="C1187" s="23" t="s">
        <v>6939</v>
      </c>
      <c r="D1187" s="23" t="str">
        <f t="shared" si="54"/>
        <v>ORD26003221</v>
      </c>
      <c r="E1187" s="38">
        <v>46272</v>
      </c>
      <c r="F1187" s="23" t="s">
        <v>12410</v>
      </c>
      <c r="G1187" s="23" t="s">
        <v>79</v>
      </c>
      <c r="H1187" s="24">
        <v>2999</v>
      </c>
      <c r="I1187" s="24">
        <v>47.98</v>
      </c>
      <c r="J1187" s="24">
        <v>8.64</v>
      </c>
      <c r="K1187" s="24">
        <v>2942.38</v>
      </c>
      <c r="L1187" s="38">
        <v>46274</v>
      </c>
      <c r="M1187" s="23" t="s">
        <v>193</v>
      </c>
      <c r="N1187" s="23" t="str">
        <f>IF(COUNTIF($A$2:A1187,A1187)&gt;1,"DUP","OK")</f>
        <v>OK</v>
      </c>
      <c r="O1187" s="23" t="str">
        <f t="shared" si="55"/>
        <v>ORD26003221</v>
      </c>
      <c r="P1187" s="23" t="str">
        <f t="shared" si="56"/>
        <v>Sep</v>
      </c>
      <c r="Q1187" s="23" t="str">
        <f>IF(F1187="CAPTURE",IF(COUNTIF(orders!$A:$A,O1187)&gt;0,"Yes","NO ORDER"),"")</f>
        <v>Yes</v>
      </c>
    </row>
    <row r="1188" spans="1:17" ht="15" customHeight="1" x14ac:dyDescent="0.3">
      <c r="A1188" s="23" t="s">
        <v>13795</v>
      </c>
      <c r="B1188" s="23"/>
      <c r="C1188" s="23" t="s">
        <v>7149</v>
      </c>
      <c r="D1188" s="23" t="str">
        <f t="shared" si="54"/>
        <v>ORD26003326</v>
      </c>
      <c r="E1188" s="38">
        <v>46272</v>
      </c>
      <c r="F1188" s="23" t="s">
        <v>12410</v>
      </c>
      <c r="G1188" s="23" t="s">
        <v>75</v>
      </c>
      <c r="H1188" s="24">
        <v>7999</v>
      </c>
      <c r="I1188" s="24">
        <v>24</v>
      </c>
      <c r="J1188" s="24">
        <v>4.32</v>
      </c>
      <c r="K1188" s="24">
        <v>7970.68</v>
      </c>
      <c r="L1188" s="38">
        <v>46274</v>
      </c>
      <c r="M1188" s="23" t="s">
        <v>193</v>
      </c>
      <c r="N1188" s="23" t="str">
        <f>IF(COUNTIF($A$2:A1188,A1188)&gt;1,"DUP","OK")</f>
        <v>OK</v>
      </c>
      <c r="O1188" s="23" t="str">
        <f t="shared" si="55"/>
        <v>ORD26003326</v>
      </c>
      <c r="P1188" s="23" t="str">
        <f t="shared" si="56"/>
        <v>Sep</v>
      </c>
      <c r="Q1188" s="23" t="str">
        <f>IF(F1188="CAPTURE",IF(COUNTIF(orders!$A:$A,O1188)&gt;0,"Yes","NO ORDER"),"")</f>
        <v>Yes</v>
      </c>
    </row>
    <row r="1189" spans="1:17" ht="15" customHeight="1" x14ac:dyDescent="0.3">
      <c r="A1189" s="23" t="s">
        <v>13796</v>
      </c>
      <c r="B1189" s="23"/>
      <c r="C1189" s="23" t="s">
        <v>7153</v>
      </c>
      <c r="D1189" s="23" t="str">
        <f t="shared" si="54"/>
        <v>ORD26003328</v>
      </c>
      <c r="E1189" s="38">
        <v>46272</v>
      </c>
      <c r="F1189" s="23" t="s">
        <v>12410</v>
      </c>
      <c r="G1189" s="23" t="s">
        <v>79</v>
      </c>
      <c r="H1189" s="24">
        <v>2999</v>
      </c>
      <c r="I1189" s="24">
        <v>47.98</v>
      </c>
      <c r="J1189" s="24">
        <v>8.64</v>
      </c>
      <c r="K1189" s="24">
        <v>2942.38</v>
      </c>
      <c r="L1189" s="38">
        <v>46274</v>
      </c>
      <c r="M1189" s="23" t="s">
        <v>193</v>
      </c>
      <c r="N1189" s="23" t="str">
        <f>IF(COUNTIF($A$2:A1189,A1189)&gt;1,"DUP","OK")</f>
        <v>OK</v>
      </c>
      <c r="O1189" s="23" t="str">
        <f t="shared" si="55"/>
        <v>ORD26003328</v>
      </c>
      <c r="P1189" s="23" t="str">
        <f t="shared" si="56"/>
        <v>Sep</v>
      </c>
      <c r="Q1189" s="23" t="str">
        <f>IF(F1189="CAPTURE",IF(COUNTIF(orders!$A:$A,O1189)&gt;0,"Yes","NO ORDER"),"")</f>
        <v>Yes</v>
      </c>
    </row>
    <row r="1190" spans="1:17" ht="15" customHeight="1" x14ac:dyDescent="0.3">
      <c r="A1190" s="23" t="s">
        <v>13797</v>
      </c>
      <c r="B1190" s="23"/>
      <c r="C1190" s="23" t="s">
        <v>13798</v>
      </c>
      <c r="D1190" s="23" t="str">
        <f t="shared" si="54"/>
        <v>ORD26003333</v>
      </c>
      <c r="E1190" s="38">
        <v>46272</v>
      </c>
      <c r="F1190" s="23" t="s">
        <v>12410</v>
      </c>
      <c r="G1190" s="23" t="s">
        <v>75</v>
      </c>
      <c r="H1190" s="24">
        <v>3397</v>
      </c>
      <c r="I1190" s="24">
        <v>10.19</v>
      </c>
      <c r="J1190" s="24">
        <v>1.83</v>
      </c>
      <c r="K1190" s="24">
        <v>3384.98</v>
      </c>
      <c r="L1190" s="38">
        <v>46274</v>
      </c>
      <c r="M1190" s="23" t="s">
        <v>193</v>
      </c>
      <c r="N1190" s="23" t="str">
        <f>IF(COUNTIF($A$2:A1190,A1190)&gt;1,"DUP","OK")</f>
        <v>OK</v>
      </c>
      <c r="O1190" s="23" t="str">
        <f t="shared" si="55"/>
        <v>ORD26003333</v>
      </c>
      <c r="P1190" s="23" t="str">
        <f t="shared" si="56"/>
        <v>Sep</v>
      </c>
      <c r="Q1190" s="23" t="str">
        <f>IF(F1190="CAPTURE",IF(COUNTIF(orders!$A:$A,O1190)&gt;0,"Yes","NO ORDER"),"")</f>
        <v>Yes</v>
      </c>
    </row>
    <row r="1191" spans="1:17" ht="15" customHeight="1" x14ac:dyDescent="0.3">
      <c r="A1191" s="23" t="s">
        <v>13799</v>
      </c>
      <c r="B1191" s="23"/>
      <c r="C1191" s="23" t="s">
        <v>7166</v>
      </c>
      <c r="D1191" s="23" t="str">
        <f t="shared" si="54"/>
        <v>ORD26003334</v>
      </c>
      <c r="E1191" s="38">
        <v>46272</v>
      </c>
      <c r="F1191" s="23" t="s">
        <v>12410</v>
      </c>
      <c r="G1191" s="23" t="s">
        <v>75</v>
      </c>
      <c r="H1191" s="24">
        <v>6298</v>
      </c>
      <c r="I1191" s="24">
        <v>18.89</v>
      </c>
      <c r="J1191" s="24">
        <v>3.4</v>
      </c>
      <c r="K1191" s="24">
        <v>6275.71</v>
      </c>
      <c r="L1191" s="38">
        <v>46274</v>
      </c>
      <c r="M1191" s="23" t="s">
        <v>193</v>
      </c>
      <c r="N1191" s="23" t="str">
        <f>IF(COUNTIF($A$2:A1191,A1191)&gt;1,"DUP","OK")</f>
        <v>OK</v>
      </c>
      <c r="O1191" s="23" t="str">
        <f t="shared" si="55"/>
        <v>ORD26003334</v>
      </c>
      <c r="P1191" s="23" t="str">
        <f t="shared" si="56"/>
        <v>Sep</v>
      </c>
      <c r="Q1191" s="23" t="str">
        <f>IF(F1191="CAPTURE",IF(COUNTIF(orders!$A:$A,O1191)&gt;0,"Yes","NO ORDER"),"")</f>
        <v>Yes</v>
      </c>
    </row>
    <row r="1192" spans="1:17" ht="15" customHeight="1" x14ac:dyDescent="0.3">
      <c r="A1192" s="23" t="s">
        <v>13800</v>
      </c>
      <c r="B1192" s="23"/>
      <c r="C1192" s="23" t="s">
        <v>7209</v>
      </c>
      <c r="D1192" s="23" t="str">
        <f t="shared" si="54"/>
        <v>ORD26003355</v>
      </c>
      <c r="E1192" s="38">
        <v>46272</v>
      </c>
      <c r="F1192" s="23" t="s">
        <v>12410</v>
      </c>
      <c r="G1192" s="23" t="s">
        <v>79</v>
      </c>
      <c r="H1192" s="24">
        <v>599</v>
      </c>
      <c r="I1192" s="24">
        <v>10.78</v>
      </c>
      <c r="J1192" s="24">
        <v>1.94</v>
      </c>
      <c r="K1192" s="24">
        <v>586.28</v>
      </c>
      <c r="L1192" s="38">
        <v>46274</v>
      </c>
      <c r="M1192" s="23" t="s">
        <v>193</v>
      </c>
      <c r="N1192" s="23" t="str">
        <f>IF(COUNTIF($A$2:A1192,A1192)&gt;1,"DUP","OK")</f>
        <v>OK</v>
      </c>
      <c r="O1192" s="23" t="str">
        <f t="shared" si="55"/>
        <v>ORD26003355</v>
      </c>
      <c r="P1192" s="23" t="str">
        <f t="shared" si="56"/>
        <v>Sep</v>
      </c>
      <c r="Q1192" s="23" t="str">
        <f>IF(F1192="CAPTURE",IF(COUNTIF(orders!$A:$A,O1192)&gt;0,"Yes","NO ORDER"),"")</f>
        <v>Yes</v>
      </c>
    </row>
    <row r="1193" spans="1:17" ht="15" customHeight="1" x14ac:dyDescent="0.3">
      <c r="A1193" s="23" t="s">
        <v>13801</v>
      </c>
      <c r="B1193" s="23"/>
      <c r="C1193" s="23" t="s">
        <v>13802</v>
      </c>
      <c r="D1193" s="23" t="str">
        <f t="shared" si="54"/>
        <v>ORD26003401</v>
      </c>
      <c r="E1193" s="38">
        <v>46272</v>
      </c>
      <c r="F1193" s="23" t="s">
        <v>12410</v>
      </c>
      <c r="G1193" s="23" t="s">
        <v>75</v>
      </c>
      <c r="H1193" s="24">
        <v>599</v>
      </c>
      <c r="I1193" s="24">
        <v>0</v>
      </c>
      <c r="J1193" s="24">
        <v>0</v>
      </c>
      <c r="K1193" s="24">
        <v>599</v>
      </c>
      <c r="L1193" s="38">
        <v>46274</v>
      </c>
      <c r="M1193" s="23" t="s">
        <v>193</v>
      </c>
      <c r="N1193" s="23" t="str">
        <f>IF(COUNTIF($A$2:A1193,A1193)&gt;1,"DUP","OK")</f>
        <v>OK</v>
      </c>
      <c r="O1193" s="23" t="str">
        <f t="shared" si="55"/>
        <v>ORD26003401</v>
      </c>
      <c r="P1193" s="23" t="str">
        <f t="shared" si="56"/>
        <v>Sep</v>
      </c>
      <c r="Q1193" s="23" t="str">
        <f>IF(F1193="CAPTURE",IF(COUNTIF(orders!$A:$A,O1193)&gt;0,"Yes","NO ORDER"),"")</f>
        <v>Yes</v>
      </c>
    </row>
    <row r="1194" spans="1:17" ht="15" customHeight="1" x14ac:dyDescent="0.3">
      <c r="A1194" s="23" t="s">
        <v>13803</v>
      </c>
      <c r="B1194" s="23"/>
      <c r="C1194" s="23" t="s">
        <v>7434</v>
      </c>
      <c r="D1194" s="23" t="str">
        <f t="shared" si="54"/>
        <v>ORD26003467</v>
      </c>
      <c r="E1194" s="38">
        <v>46272</v>
      </c>
      <c r="F1194" s="23" t="s">
        <v>12410</v>
      </c>
      <c r="G1194" s="23" t="s">
        <v>75</v>
      </c>
      <c r="H1194" s="24">
        <v>1598</v>
      </c>
      <c r="I1194" s="24">
        <v>0</v>
      </c>
      <c r="J1194" s="24">
        <v>0</v>
      </c>
      <c r="K1194" s="24">
        <v>1598</v>
      </c>
      <c r="L1194" s="38">
        <v>46274</v>
      </c>
      <c r="M1194" s="23" t="s">
        <v>193</v>
      </c>
      <c r="N1194" s="23" t="str">
        <f>IF(COUNTIF($A$2:A1194,A1194)&gt;1,"DUP","OK")</f>
        <v>OK</v>
      </c>
      <c r="O1194" s="23" t="str">
        <f t="shared" si="55"/>
        <v>ORD26003467</v>
      </c>
      <c r="P1194" s="23" t="str">
        <f t="shared" si="56"/>
        <v>Sep</v>
      </c>
      <c r="Q1194" s="23" t="str">
        <f>IF(F1194="CAPTURE",IF(COUNTIF(orders!$A:$A,O1194)&gt;0,"Yes","NO ORDER"),"")</f>
        <v>Yes</v>
      </c>
    </row>
    <row r="1195" spans="1:17" ht="15" customHeight="1" x14ac:dyDescent="0.3">
      <c r="A1195" s="23" t="s">
        <v>13804</v>
      </c>
      <c r="B1195" s="23"/>
      <c r="C1195" s="23" t="s">
        <v>7446</v>
      </c>
      <c r="D1195" s="23" t="str">
        <f t="shared" si="54"/>
        <v>ORD26003473</v>
      </c>
      <c r="E1195" s="38">
        <v>46272</v>
      </c>
      <c r="F1195" s="23" t="s">
        <v>12410</v>
      </c>
      <c r="G1195" s="23" t="s">
        <v>75</v>
      </c>
      <c r="H1195" s="24">
        <v>8998</v>
      </c>
      <c r="I1195" s="24">
        <v>26.99</v>
      </c>
      <c r="J1195" s="24">
        <v>4.8600000000000003</v>
      </c>
      <c r="K1195" s="24">
        <v>8966.15</v>
      </c>
      <c r="L1195" s="38">
        <v>46274</v>
      </c>
      <c r="M1195" s="23" t="s">
        <v>193</v>
      </c>
      <c r="N1195" s="23" t="str">
        <f>IF(COUNTIF($A$2:A1195,A1195)&gt;1,"DUP","OK")</f>
        <v>OK</v>
      </c>
      <c r="O1195" s="23" t="str">
        <f t="shared" si="55"/>
        <v>ORD26003473</v>
      </c>
      <c r="P1195" s="23" t="str">
        <f t="shared" si="56"/>
        <v>Sep</v>
      </c>
      <c r="Q1195" s="23" t="str">
        <f>IF(F1195="CAPTURE",IF(COUNTIF(orders!$A:$A,O1195)&gt;0,"Yes","NO ORDER"),"")</f>
        <v>Yes</v>
      </c>
    </row>
    <row r="1196" spans="1:17" ht="15" customHeight="1" x14ac:dyDescent="0.3">
      <c r="A1196" s="23" t="s">
        <v>13805</v>
      </c>
      <c r="B1196" s="23"/>
      <c r="C1196" s="23" t="s">
        <v>7514</v>
      </c>
      <c r="D1196" s="23" t="str">
        <f t="shared" si="54"/>
        <v>ORD26003508</v>
      </c>
      <c r="E1196" s="38">
        <v>46272</v>
      </c>
      <c r="F1196" s="23" t="s">
        <v>12410</v>
      </c>
      <c r="G1196" s="23" t="s">
        <v>75</v>
      </c>
      <c r="H1196" s="24">
        <v>4798</v>
      </c>
      <c r="I1196" s="24">
        <v>14.39</v>
      </c>
      <c r="J1196" s="24">
        <v>2.59</v>
      </c>
      <c r="K1196" s="24">
        <v>4781.0200000000004</v>
      </c>
      <c r="L1196" s="38">
        <v>46274</v>
      </c>
      <c r="M1196" s="23" t="s">
        <v>193</v>
      </c>
      <c r="N1196" s="23" t="str">
        <f>IF(COUNTIF($A$2:A1196,A1196)&gt;1,"DUP","OK")</f>
        <v>OK</v>
      </c>
      <c r="O1196" s="23" t="str">
        <f t="shared" si="55"/>
        <v>ORD26003508</v>
      </c>
      <c r="P1196" s="23" t="str">
        <f t="shared" si="56"/>
        <v>Sep</v>
      </c>
      <c r="Q1196" s="23" t="str">
        <f>IF(F1196="CAPTURE",IF(COUNTIF(orders!$A:$A,O1196)&gt;0,"Yes","NO ORDER"),"")</f>
        <v>Yes</v>
      </c>
    </row>
    <row r="1197" spans="1:17" ht="15" customHeight="1" x14ac:dyDescent="0.3">
      <c r="A1197" s="23" t="s">
        <v>13806</v>
      </c>
      <c r="B1197" s="23"/>
      <c r="C1197" s="23" t="s">
        <v>7599</v>
      </c>
      <c r="D1197" s="23" t="str">
        <f t="shared" si="54"/>
        <v>ORD26003552</v>
      </c>
      <c r="E1197" s="38">
        <v>46272</v>
      </c>
      <c r="F1197" s="23" t="s">
        <v>12410</v>
      </c>
      <c r="G1197" s="23" t="s">
        <v>79</v>
      </c>
      <c r="H1197" s="24">
        <v>1798</v>
      </c>
      <c r="I1197" s="24">
        <v>32.36</v>
      </c>
      <c r="J1197" s="24">
        <v>5.82</v>
      </c>
      <c r="K1197" s="24">
        <v>1759.82</v>
      </c>
      <c r="L1197" s="38">
        <v>46274</v>
      </c>
      <c r="M1197" s="23" t="s">
        <v>193</v>
      </c>
      <c r="N1197" s="23" t="str">
        <f>IF(COUNTIF($A$2:A1197,A1197)&gt;1,"DUP","OK")</f>
        <v>OK</v>
      </c>
      <c r="O1197" s="23" t="str">
        <f t="shared" si="55"/>
        <v>ORD26003552</v>
      </c>
      <c r="P1197" s="23" t="str">
        <f t="shared" si="56"/>
        <v>Sep</v>
      </c>
      <c r="Q1197" s="23" t="str">
        <f>IF(F1197="CAPTURE",IF(COUNTIF(orders!$A:$A,O1197)&gt;0,"Yes","NO ORDER"),"")</f>
        <v>Yes</v>
      </c>
    </row>
    <row r="1198" spans="1:17" ht="15" customHeight="1" x14ac:dyDescent="0.3">
      <c r="A1198" s="23" t="s">
        <v>13807</v>
      </c>
      <c r="B1198" s="23"/>
      <c r="C1198" s="23" t="s">
        <v>7638</v>
      </c>
      <c r="D1198" s="23" t="str">
        <f t="shared" si="54"/>
        <v>ORD26003571</v>
      </c>
      <c r="E1198" s="38">
        <v>46272</v>
      </c>
      <c r="F1198" s="23" t="s">
        <v>12410</v>
      </c>
      <c r="G1198" s="23" t="s">
        <v>79</v>
      </c>
      <c r="H1198" s="24">
        <v>4999</v>
      </c>
      <c r="I1198" s="24">
        <v>79.98</v>
      </c>
      <c r="J1198" s="24">
        <v>14.4</v>
      </c>
      <c r="K1198" s="24">
        <v>4904.62</v>
      </c>
      <c r="L1198" s="38">
        <v>46274</v>
      </c>
      <c r="M1198" s="23" t="s">
        <v>193</v>
      </c>
      <c r="N1198" s="23" t="str">
        <f>IF(COUNTIF($A$2:A1198,A1198)&gt;1,"DUP","OK")</f>
        <v>OK</v>
      </c>
      <c r="O1198" s="23" t="str">
        <f t="shared" si="55"/>
        <v>ORD26003571</v>
      </c>
      <c r="P1198" s="23" t="str">
        <f t="shared" si="56"/>
        <v>Sep</v>
      </c>
      <c r="Q1198" s="23" t="str">
        <f>IF(F1198="CAPTURE",IF(COUNTIF(orders!$A:$A,O1198)&gt;0,"Yes","NO ORDER"),"")</f>
        <v>Yes</v>
      </c>
    </row>
    <row r="1199" spans="1:17" ht="15" customHeight="1" x14ac:dyDescent="0.3">
      <c r="A1199" s="23" t="s">
        <v>13808</v>
      </c>
      <c r="B1199" s="23"/>
      <c r="C1199" s="23" t="s">
        <v>7848</v>
      </c>
      <c r="D1199" s="23" t="str">
        <f t="shared" si="54"/>
        <v>ORD26003680</v>
      </c>
      <c r="E1199" s="38">
        <v>46272</v>
      </c>
      <c r="F1199" s="23" t="s">
        <v>12410</v>
      </c>
      <c r="G1199" s="23" t="s">
        <v>75</v>
      </c>
      <c r="H1199" s="24">
        <v>4999</v>
      </c>
      <c r="I1199" s="24">
        <v>15</v>
      </c>
      <c r="J1199" s="24">
        <v>2.7</v>
      </c>
      <c r="K1199" s="24">
        <v>4981.3</v>
      </c>
      <c r="L1199" s="38">
        <v>46274</v>
      </c>
      <c r="M1199" s="23" t="s">
        <v>193</v>
      </c>
      <c r="N1199" s="23" t="str">
        <f>IF(COUNTIF($A$2:A1199,A1199)&gt;1,"DUP","OK")</f>
        <v>OK</v>
      </c>
      <c r="O1199" s="23" t="str">
        <f t="shared" si="55"/>
        <v>ORD26003680</v>
      </c>
      <c r="P1199" s="23" t="str">
        <f t="shared" si="56"/>
        <v>Sep</v>
      </c>
      <c r="Q1199" s="23" t="str">
        <f>IF(F1199="CAPTURE",IF(COUNTIF(orders!$A:$A,O1199)&gt;0,"Yes","NO ORDER"),"")</f>
        <v>Yes</v>
      </c>
    </row>
    <row r="1200" spans="1:17" ht="15" customHeight="1" x14ac:dyDescent="0.3">
      <c r="A1200" s="23" t="s">
        <v>13809</v>
      </c>
      <c r="B1200" s="23"/>
      <c r="C1200" s="23" t="s">
        <v>7864</v>
      </c>
      <c r="D1200" s="23" t="str">
        <f t="shared" si="54"/>
        <v>ORD26003688</v>
      </c>
      <c r="E1200" s="38">
        <v>46272</v>
      </c>
      <c r="F1200" s="23" t="s">
        <v>12410</v>
      </c>
      <c r="G1200" s="23" t="s">
        <v>75</v>
      </c>
      <c r="H1200" s="24">
        <v>349</v>
      </c>
      <c r="I1200" s="24">
        <v>0</v>
      </c>
      <c r="J1200" s="24">
        <v>0</v>
      </c>
      <c r="K1200" s="24">
        <v>349</v>
      </c>
      <c r="L1200" s="38">
        <v>46274</v>
      </c>
      <c r="M1200" s="23" t="s">
        <v>193</v>
      </c>
      <c r="N1200" s="23" t="str">
        <f>IF(COUNTIF($A$2:A1200,A1200)&gt;1,"DUP","OK")</f>
        <v>OK</v>
      </c>
      <c r="O1200" s="23" t="str">
        <f t="shared" si="55"/>
        <v>ORD26003688</v>
      </c>
      <c r="P1200" s="23" t="str">
        <f t="shared" si="56"/>
        <v>Sep</v>
      </c>
      <c r="Q1200" s="23" t="str">
        <f>IF(F1200="CAPTURE",IF(COUNTIF(orders!$A:$A,O1200)&gt;0,"Yes","NO ORDER"),"")</f>
        <v>Yes</v>
      </c>
    </row>
    <row r="1201" spans="1:17" ht="15" customHeight="1" x14ac:dyDescent="0.3">
      <c r="A1201" s="23" t="s">
        <v>13810</v>
      </c>
      <c r="B1201" s="23"/>
      <c r="C1201" s="23" t="s">
        <v>13811</v>
      </c>
      <c r="D1201" s="23" t="str">
        <f t="shared" si="54"/>
        <v>ORD26003722</v>
      </c>
      <c r="E1201" s="38">
        <v>46272</v>
      </c>
      <c r="F1201" s="23" t="s">
        <v>12410</v>
      </c>
      <c r="G1201" s="23" t="s">
        <v>79</v>
      </c>
      <c r="H1201" s="24">
        <v>3499</v>
      </c>
      <c r="I1201" s="24">
        <v>55.98</v>
      </c>
      <c r="J1201" s="24">
        <v>10.08</v>
      </c>
      <c r="K1201" s="24">
        <v>3432.94</v>
      </c>
      <c r="L1201" s="38">
        <v>46274</v>
      </c>
      <c r="M1201" s="23" t="s">
        <v>193</v>
      </c>
      <c r="N1201" s="23" t="str">
        <f>IF(COUNTIF($A$2:A1201,A1201)&gt;1,"DUP","OK")</f>
        <v>OK</v>
      </c>
      <c r="O1201" s="23" t="str">
        <f t="shared" si="55"/>
        <v>ORD26003722</v>
      </c>
      <c r="P1201" s="23" t="str">
        <f t="shared" si="56"/>
        <v>Sep</v>
      </c>
      <c r="Q1201" s="23" t="str">
        <f>IF(F1201="CAPTURE",IF(COUNTIF(orders!$A:$A,O1201)&gt;0,"Yes","NO ORDER"),"")</f>
        <v>Yes</v>
      </c>
    </row>
    <row r="1202" spans="1:17" ht="15" customHeight="1" x14ac:dyDescent="0.3">
      <c r="A1202" s="23" t="s">
        <v>13812</v>
      </c>
      <c r="B1202" s="23"/>
      <c r="C1202" s="23" t="s">
        <v>7966</v>
      </c>
      <c r="D1202" s="23" t="str">
        <f t="shared" si="54"/>
        <v>ORD26003739</v>
      </c>
      <c r="E1202" s="38">
        <v>46272</v>
      </c>
      <c r="F1202" s="23" t="s">
        <v>12410</v>
      </c>
      <c r="G1202" s="23" t="s">
        <v>77</v>
      </c>
      <c r="H1202" s="24">
        <v>3098</v>
      </c>
      <c r="I1202" s="24">
        <v>52.67</v>
      </c>
      <c r="J1202" s="24">
        <v>9.48</v>
      </c>
      <c r="K1202" s="24">
        <v>3035.85</v>
      </c>
      <c r="L1202" s="38">
        <v>46274</v>
      </c>
      <c r="M1202" s="23" t="s">
        <v>193</v>
      </c>
      <c r="N1202" s="23" t="str">
        <f>IF(COUNTIF($A$2:A1202,A1202)&gt;1,"DUP","OK")</f>
        <v>OK</v>
      </c>
      <c r="O1202" s="23" t="str">
        <f t="shared" si="55"/>
        <v>ORD26003739</v>
      </c>
      <c r="P1202" s="23" t="str">
        <f t="shared" si="56"/>
        <v>Sep</v>
      </c>
      <c r="Q1202" s="23" t="str">
        <f>IF(F1202="CAPTURE",IF(COUNTIF(orders!$A:$A,O1202)&gt;0,"Yes","NO ORDER"),"")</f>
        <v>Yes</v>
      </c>
    </row>
    <row r="1203" spans="1:17" ht="15" customHeight="1" x14ac:dyDescent="0.3">
      <c r="A1203" s="23" t="s">
        <v>13813</v>
      </c>
      <c r="B1203" s="23"/>
      <c r="C1203" s="23" t="s">
        <v>13814</v>
      </c>
      <c r="D1203" s="23" t="str">
        <f t="shared" si="54"/>
        <v>ORD26003767</v>
      </c>
      <c r="E1203" s="38">
        <v>46272</v>
      </c>
      <c r="F1203" s="23" t="s">
        <v>12410</v>
      </c>
      <c r="G1203" s="23" t="s">
        <v>75</v>
      </c>
      <c r="H1203" s="24">
        <v>3499</v>
      </c>
      <c r="I1203" s="24">
        <v>10.5</v>
      </c>
      <c r="J1203" s="24">
        <v>1.89</v>
      </c>
      <c r="K1203" s="24">
        <v>3486.61</v>
      </c>
      <c r="L1203" s="38">
        <v>46274</v>
      </c>
      <c r="M1203" s="23" t="s">
        <v>193</v>
      </c>
      <c r="N1203" s="23" t="str">
        <f>IF(COUNTIF($A$2:A1203,A1203)&gt;1,"DUP","OK")</f>
        <v>OK</v>
      </c>
      <c r="O1203" s="23" t="str">
        <f t="shared" si="55"/>
        <v>ORD26003767</v>
      </c>
      <c r="P1203" s="23" t="str">
        <f t="shared" si="56"/>
        <v>Sep</v>
      </c>
      <c r="Q1203" s="23" t="str">
        <f>IF(F1203="CAPTURE",IF(COUNTIF(orders!$A:$A,O1203)&gt;0,"Yes","NO ORDER"),"")</f>
        <v>Yes</v>
      </c>
    </row>
    <row r="1204" spans="1:17" ht="15" customHeight="1" x14ac:dyDescent="0.3">
      <c r="A1204" s="23" t="s">
        <v>13815</v>
      </c>
      <c r="B1204" s="23"/>
      <c r="C1204" s="23" t="s">
        <v>8138</v>
      </c>
      <c r="D1204" s="23" t="str">
        <f t="shared" si="54"/>
        <v>ORD26003825</v>
      </c>
      <c r="E1204" s="38">
        <v>46272</v>
      </c>
      <c r="F1204" s="23" t="s">
        <v>12410</v>
      </c>
      <c r="G1204" s="23" t="s">
        <v>77</v>
      </c>
      <c r="H1204" s="24">
        <v>2499</v>
      </c>
      <c r="I1204" s="24">
        <v>42.48</v>
      </c>
      <c r="J1204" s="24">
        <v>7.65</v>
      </c>
      <c r="K1204" s="24">
        <v>2448.87</v>
      </c>
      <c r="L1204" s="38">
        <v>46274</v>
      </c>
      <c r="M1204" s="23" t="s">
        <v>193</v>
      </c>
      <c r="N1204" s="23" t="str">
        <f>IF(COUNTIF($A$2:A1204,A1204)&gt;1,"DUP","OK")</f>
        <v>OK</v>
      </c>
      <c r="O1204" s="23" t="str">
        <f t="shared" si="55"/>
        <v>ORD26003825</v>
      </c>
      <c r="P1204" s="23" t="str">
        <f t="shared" si="56"/>
        <v>Sep</v>
      </c>
      <c r="Q1204" s="23" t="str">
        <f>IF(F1204="CAPTURE",IF(COUNTIF(orders!$A:$A,O1204)&gt;0,"Yes","NO ORDER"),"")</f>
        <v>Yes</v>
      </c>
    </row>
    <row r="1205" spans="1:17" ht="15" customHeight="1" x14ac:dyDescent="0.3">
      <c r="A1205" s="23" t="s">
        <v>13816</v>
      </c>
      <c r="B1205" s="23"/>
      <c r="C1205" s="23" t="s">
        <v>8152</v>
      </c>
      <c r="D1205" s="23" t="str">
        <f t="shared" si="54"/>
        <v>ORD26003832</v>
      </c>
      <c r="E1205" s="38">
        <v>46272</v>
      </c>
      <c r="F1205" s="23" t="s">
        <v>12410</v>
      </c>
      <c r="G1205" s="23" t="s">
        <v>79</v>
      </c>
      <c r="H1205" s="24">
        <v>4999</v>
      </c>
      <c r="I1205" s="24">
        <v>79.98</v>
      </c>
      <c r="J1205" s="24">
        <v>14.4</v>
      </c>
      <c r="K1205" s="24">
        <v>4904.62</v>
      </c>
      <c r="L1205" s="38">
        <v>46274</v>
      </c>
      <c r="M1205" s="23" t="s">
        <v>193</v>
      </c>
      <c r="N1205" s="23" t="str">
        <f>IF(COUNTIF($A$2:A1205,A1205)&gt;1,"DUP","OK")</f>
        <v>OK</v>
      </c>
      <c r="O1205" s="23" t="str">
        <f t="shared" si="55"/>
        <v>ORD26003832</v>
      </c>
      <c r="P1205" s="23" t="str">
        <f t="shared" si="56"/>
        <v>Sep</v>
      </c>
      <c r="Q1205" s="23" t="str">
        <f>IF(F1205="CAPTURE",IF(COUNTIF(orders!$A:$A,O1205)&gt;0,"Yes","NO ORDER"),"")</f>
        <v>Yes</v>
      </c>
    </row>
    <row r="1206" spans="1:17" ht="15" customHeight="1" x14ac:dyDescent="0.3">
      <c r="A1206" s="23" t="s">
        <v>13817</v>
      </c>
      <c r="B1206" s="23"/>
      <c r="C1206" s="23" t="s">
        <v>8180</v>
      </c>
      <c r="D1206" s="23" t="str">
        <f t="shared" si="54"/>
        <v>ORD26003846</v>
      </c>
      <c r="E1206" s="38">
        <v>46272</v>
      </c>
      <c r="F1206" s="23" t="s">
        <v>12410</v>
      </c>
      <c r="G1206" s="23" t="s">
        <v>79</v>
      </c>
      <c r="H1206" s="24">
        <v>2897</v>
      </c>
      <c r="I1206" s="24">
        <v>46.35</v>
      </c>
      <c r="J1206" s="24">
        <v>8.34</v>
      </c>
      <c r="K1206" s="24">
        <v>2842.31</v>
      </c>
      <c r="L1206" s="38">
        <v>46274</v>
      </c>
      <c r="M1206" s="23" t="s">
        <v>193</v>
      </c>
      <c r="N1206" s="23" t="str">
        <f>IF(COUNTIF($A$2:A1206,A1206)&gt;1,"DUP","OK")</f>
        <v>OK</v>
      </c>
      <c r="O1206" s="23" t="str">
        <f t="shared" si="55"/>
        <v>ORD26003846</v>
      </c>
      <c r="P1206" s="23" t="str">
        <f t="shared" si="56"/>
        <v>Sep</v>
      </c>
      <c r="Q1206" s="23" t="str">
        <f>IF(F1206="CAPTURE",IF(COUNTIF(orders!$A:$A,O1206)&gt;0,"Yes","NO ORDER"),"")</f>
        <v>Yes</v>
      </c>
    </row>
    <row r="1207" spans="1:17" ht="15" customHeight="1" x14ac:dyDescent="0.3">
      <c r="A1207" s="23" t="s">
        <v>13818</v>
      </c>
      <c r="B1207" s="23"/>
      <c r="C1207" s="23" t="s">
        <v>8205</v>
      </c>
      <c r="D1207" s="23" t="str">
        <f t="shared" si="54"/>
        <v>ORD26003859</v>
      </c>
      <c r="E1207" s="38">
        <v>46272</v>
      </c>
      <c r="F1207" s="23" t="s">
        <v>12410</v>
      </c>
      <c r="G1207" s="23" t="s">
        <v>75</v>
      </c>
      <c r="H1207" s="24">
        <v>9798</v>
      </c>
      <c r="I1207" s="24">
        <v>29.39</v>
      </c>
      <c r="J1207" s="24">
        <v>5.29</v>
      </c>
      <c r="K1207" s="24">
        <v>9763.32</v>
      </c>
      <c r="L1207" s="38">
        <v>46274</v>
      </c>
      <c r="M1207" s="23" t="s">
        <v>193</v>
      </c>
      <c r="N1207" s="23" t="str">
        <f>IF(COUNTIF($A$2:A1207,A1207)&gt;1,"DUP","OK")</f>
        <v>OK</v>
      </c>
      <c r="O1207" s="23" t="str">
        <f t="shared" si="55"/>
        <v>ORD26003859</v>
      </c>
      <c r="P1207" s="23" t="str">
        <f t="shared" si="56"/>
        <v>Sep</v>
      </c>
      <c r="Q1207" s="23" t="str">
        <f>IF(F1207="CAPTURE",IF(COUNTIF(orders!$A:$A,O1207)&gt;0,"Yes","NO ORDER"),"")</f>
        <v>Yes</v>
      </c>
    </row>
    <row r="1208" spans="1:17" ht="15" customHeight="1" x14ac:dyDescent="0.3">
      <c r="A1208" s="23" t="s">
        <v>13819</v>
      </c>
      <c r="B1208" s="23"/>
      <c r="C1208" s="23" t="s">
        <v>8375</v>
      </c>
      <c r="D1208" s="23" t="str">
        <f t="shared" si="54"/>
        <v>ORD26003944</v>
      </c>
      <c r="E1208" s="38">
        <v>46272</v>
      </c>
      <c r="F1208" s="23" t="s">
        <v>12410</v>
      </c>
      <c r="G1208" s="23" t="s">
        <v>79</v>
      </c>
      <c r="H1208" s="24">
        <v>499</v>
      </c>
      <c r="I1208" s="24">
        <v>8.98</v>
      </c>
      <c r="J1208" s="24">
        <v>1.62</v>
      </c>
      <c r="K1208" s="24">
        <v>488.4</v>
      </c>
      <c r="L1208" s="38">
        <v>46274</v>
      </c>
      <c r="M1208" s="23" t="s">
        <v>193</v>
      </c>
      <c r="N1208" s="23" t="str">
        <f>IF(COUNTIF($A$2:A1208,A1208)&gt;1,"DUP","OK")</f>
        <v>OK</v>
      </c>
      <c r="O1208" s="23" t="str">
        <f t="shared" si="55"/>
        <v>ORD26003944</v>
      </c>
      <c r="P1208" s="23" t="str">
        <f t="shared" si="56"/>
        <v>Sep</v>
      </c>
      <c r="Q1208" s="23" t="str">
        <f>IF(F1208="CAPTURE",IF(COUNTIF(orders!$A:$A,O1208)&gt;0,"Yes","NO ORDER"),"")</f>
        <v>Yes</v>
      </c>
    </row>
    <row r="1209" spans="1:17" ht="15" customHeight="1" x14ac:dyDescent="0.3">
      <c r="A1209" s="23" t="s">
        <v>13820</v>
      </c>
      <c r="B1209" s="23"/>
      <c r="C1209" s="23" t="s">
        <v>8594</v>
      </c>
      <c r="D1209" s="23" t="str">
        <f t="shared" si="54"/>
        <v>ORD26004055</v>
      </c>
      <c r="E1209" s="38">
        <v>46272</v>
      </c>
      <c r="F1209" s="23" t="s">
        <v>12410</v>
      </c>
      <c r="G1209" s="23" t="s">
        <v>75</v>
      </c>
      <c r="H1209" s="24">
        <v>7999</v>
      </c>
      <c r="I1209" s="24">
        <v>24</v>
      </c>
      <c r="J1209" s="24">
        <v>4.32</v>
      </c>
      <c r="K1209" s="24">
        <v>7970.68</v>
      </c>
      <c r="L1209" s="38">
        <v>46274</v>
      </c>
      <c r="M1209" s="23" t="s">
        <v>193</v>
      </c>
      <c r="N1209" s="23" t="str">
        <f>IF(COUNTIF($A$2:A1209,A1209)&gt;1,"DUP","OK")</f>
        <v>OK</v>
      </c>
      <c r="O1209" s="23" t="str">
        <f t="shared" si="55"/>
        <v>ORD26004055</v>
      </c>
      <c r="P1209" s="23" t="str">
        <f t="shared" si="56"/>
        <v>Sep</v>
      </c>
      <c r="Q1209" s="23" t="str">
        <f>IF(F1209="CAPTURE",IF(COUNTIF(orders!$A:$A,O1209)&gt;0,"Yes","NO ORDER"),"")</f>
        <v>Yes</v>
      </c>
    </row>
    <row r="1210" spans="1:17" ht="15" customHeight="1" x14ac:dyDescent="0.3">
      <c r="A1210" s="23" t="s">
        <v>13821</v>
      </c>
      <c r="B1210" s="23"/>
      <c r="C1210" s="23" t="s">
        <v>8601</v>
      </c>
      <c r="D1210" s="23" t="str">
        <f t="shared" si="54"/>
        <v>ORD26004059</v>
      </c>
      <c r="E1210" s="38">
        <v>46272</v>
      </c>
      <c r="F1210" s="23" t="s">
        <v>12410</v>
      </c>
      <c r="G1210" s="23" t="s">
        <v>75</v>
      </c>
      <c r="H1210" s="24">
        <v>6497</v>
      </c>
      <c r="I1210" s="24">
        <v>19.489999999999998</v>
      </c>
      <c r="J1210" s="24">
        <v>3.51</v>
      </c>
      <c r="K1210" s="24">
        <v>6474</v>
      </c>
      <c r="L1210" s="38">
        <v>46274</v>
      </c>
      <c r="M1210" s="23" t="s">
        <v>193</v>
      </c>
      <c r="N1210" s="23" t="str">
        <f>IF(COUNTIF($A$2:A1210,A1210)&gt;1,"DUP","OK")</f>
        <v>OK</v>
      </c>
      <c r="O1210" s="23" t="str">
        <f t="shared" si="55"/>
        <v>ORD26004059</v>
      </c>
      <c r="P1210" s="23" t="str">
        <f t="shared" si="56"/>
        <v>Sep</v>
      </c>
      <c r="Q1210" s="23" t="str">
        <f>IF(F1210="CAPTURE",IF(COUNTIF(orders!$A:$A,O1210)&gt;0,"Yes","NO ORDER"),"")</f>
        <v>Yes</v>
      </c>
    </row>
    <row r="1211" spans="1:17" ht="15" customHeight="1" x14ac:dyDescent="0.3">
      <c r="A1211" s="23" t="s">
        <v>13822</v>
      </c>
      <c r="B1211" s="23"/>
      <c r="C1211" s="23" t="s">
        <v>8673</v>
      </c>
      <c r="D1211" s="23" t="str">
        <f t="shared" si="54"/>
        <v>ORD26004096</v>
      </c>
      <c r="E1211" s="38">
        <v>46272</v>
      </c>
      <c r="F1211" s="23" t="s">
        <v>12410</v>
      </c>
      <c r="G1211" s="23" t="s">
        <v>77</v>
      </c>
      <c r="H1211" s="24">
        <v>4999</v>
      </c>
      <c r="I1211" s="24">
        <v>84.98</v>
      </c>
      <c r="J1211" s="24">
        <v>15.3</v>
      </c>
      <c r="K1211" s="24">
        <v>4898.72</v>
      </c>
      <c r="L1211" s="38">
        <v>46274</v>
      </c>
      <c r="M1211" s="23" t="s">
        <v>193</v>
      </c>
      <c r="N1211" s="23" t="str">
        <f>IF(COUNTIF($A$2:A1211,A1211)&gt;1,"DUP","OK")</f>
        <v>OK</v>
      </c>
      <c r="O1211" s="23" t="str">
        <f t="shared" si="55"/>
        <v>ORD26004096</v>
      </c>
      <c r="P1211" s="23" t="str">
        <f t="shared" si="56"/>
        <v>Sep</v>
      </c>
      <c r="Q1211" s="23" t="str">
        <f>IF(F1211="CAPTURE",IF(COUNTIF(orders!$A:$A,O1211)&gt;0,"Yes","NO ORDER"),"")</f>
        <v>Yes</v>
      </c>
    </row>
    <row r="1212" spans="1:17" ht="15" customHeight="1" x14ac:dyDescent="0.3">
      <c r="A1212" s="23" t="s">
        <v>13823</v>
      </c>
      <c r="B1212" s="23"/>
      <c r="C1212" s="23" t="s">
        <v>8688</v>
      </c>
      <c r="D1212" s="23" t="str">
        <f t="shared" si="54"/>
        <v>ORD26004104</v>
      </c>
      <c r="E1212" s="38">
        <v>46272</v>
      </c>
      <c r="F1212" s="23" t="s">
        <v>12410</v>
      </c>
      <c r="G1212" s="23" t="s">
        <v>75</v>
      </c>
      <c r="H1212" s="24">
        <v>349</v>
      </c>
      <c r="I1212" s="24">
        <v>0</v>
      </c>
      <c r="J1212" s="24">
        <v>0</v>
      </c>
      <c r="K1212" s="24">
        <v>349</v>
      </c>
      <c r="L1212" s="38">
        <v>46274</v>
      </c>
      <c r="M1212" s="23" t="s">
        <v>193</v>
      </c>
      <c r="N1212" s="23" t="str">
        <f>IF(COUNTIF($A$2:A1212,A1212)&gt;1,"DUP","OK")</f>
        <v>OK</v>
      </c>
      <c r="O1212" s="23" t="str">
        <f t="shared" si="55"/>
        <v>ORD26004104</v>
      </c>
      <c r="P1212" s="23" t="str">
        <f t="shared" si="56"/>
        <v>Sep</v>
      </c>
      <c r="Q1212" s="23" t="str">
        <f>IF(F1212="CAPTURE",IF(COUNTIF(orders!$A:$A,O1212)&gt;0,"Yes","NO ORDER"),"")</f>
        <v>Yes</v>
      </c>
    </row>
    <row r="1213" spans="1:17" ht="15" customHeight="1" x14ac:dyDescent="0.3">
      <c r="A1213" s="23" t="s">
        <v>13824</v>
      </c>
      <c r="B1213" s="23"/>
      <c r="C1213" s="23" t="s">
        <v>8765</v>
      </c>
      <c r="D1213" s="23" t="str">
        <f t="shared" si="54"/>
        <v>ORD26004143</v>
      </c>
      <c r="E1213" s="38">
        <v>46272</v>
      </c>
      <c r="F1213" s="23" t="s">
        <v>12410</v>
      </c>
      <c r="G1213" s="23" t="s">
        <v>75</v>
      </c>
      <c r="H1213" s="24">
        <v>2999</v>
      </c>
      <c r="I1213" s="24">
        <v>9</v>
      </c>
      <c r="J1213" s="24">
        <v>1.62</v>
      </c>
      <c r="K1213" s="24">
        <v>2988.38</v>
      </c>
      <c r="L1213" s="38">
        <v>46274</v>
      </c>
      <c r="M1213" s="23" t="s">
        <v>193</v>
      </c>
      <c r="N1213" s="23" t="str">
        <f>IF(COUNTIF($A$2:A1213,A1213)&gt;1,"DUP","OK")</f>
        <v>OK</v>
      </c>
      <c r="O1213" s="23" t="str">
        <f t="shared" si="55"/>
        <v>ORD26004143</v>
      </c>
      <c r="P1213" s="23" t="str">
        <f t="shared" si="56"/>
        <v>Sep</v>
      </c>
      <c r="Q1213" s="23" t="str">
        <f>IF(F1213="CAPTURE",IF(COUNTIF(orders!$A:$A,O1213)&gt;0,"Yes","NO ORDER"),"")</f>
        <v>Yes</v>
      </c>
    </row>
    <row r="1214" spans="1:17" ht="15" customHeight="1" x14ac:dyDescent="0.3">
      <c r="A1214" s="23" t="s">
        <v>13825</v>
      </c>
      <c r="B1214" s="23"/>
      <c r="C1214" s="23" t="s">
        <v>8913</v>
      </c>
      <c r="D1214" s="23" t="str">
        <f t="shared" si="54"/>
        <v>ORD26004219</v>
      </c>
      <c r="E1214" s="38">
        <v>46272</v>
      </c>
      <c r="F1214" s="23" t="s">
        <v>12410</v>
      </c>
      <c r="G1214" s="23" t="s">
        <v>81</v>
      </c>
      <c r="H1214" s="24">
        <v>11797</v>
      </c>
      <c r="I1214" s="24">
        <v>106.17</v>
      </c>
      <c r="J1214" s="24">
        <v>19.11</v>
      </c>
      <c r="K1214" s="24">
        <v>11671.72</v>
      </c>
      <c r="L1214" s="38">
        <v>46274</v>
      </c>
      <c r="M1214" s="23" t="s">
        <v>193</v>
      </c>
      <c r="N1214" s="23" t="str">
        <f>IF(COUNTIF($A$2:A1214,A1214)&gt;1,"DUP","OK")</f>
        <v>OK</v>
      </c>
      <c r="O1214" s="23" t="str">
        <f t="shared" si="55"/>
        <v>ORD26004219</v>
      </c>
      <c r="P1214" s="23" t="str">
        <f t="shared" si="56"/>
        <v>Sep</v>
      </c>
      <c r="Q1214" s="23" t="str">
        <f>IF(F1214="CAPTURE",IF(COUNTIF(orders!$A:$A,O1214)&gt;0,"Yes","NO ORDER"),"")</f>
        <v>Yes</v>
      </c>
    </row>
    <row r="1215" spans="1:17" ht="15" customHeight="1" x14ac:dyDescent="0.3">
      <c r="A1215" s="23" t="s">
        <v>13826</v>
      </c>
      <c r="B1215" s="23"/>
      <c r="C1215" s="23" t="s">
        <v>13827</v>
      </c>
      <c r="D1215" s="23" t="str">
        <f t="shared" si="54"/>
        <v>ORD26004375</v>
      </c>
      <c r="E1215" s="38">
        <v>46272</v>
      </c>
      <c r="F1215" s="23" t="s">
        <v>12410</v>
      </c>
      <c r="G1215" s="23" t="s">
        <v>77</v>
      </c>
      <c r="H1215" s="24">
        <v>3499</v>
      </c>
      <c r="I1215" s="24">
        <v>59.48</v>
      </c>
      <c r="J1215" s="24">
        <v>10.71</v>
      </c>
      <c r="K1215" s="24">
        <v>3428.81</v>
      </c>
      <c r="L1215" s="38">
        <v>46274</v>
      </c>
      <c r="M1215" s="23" t="s">
        <v>193</v>
      </c>
      <c r="N1215" s="23" t="str">
        <f>IF(COUNTIF($A$2:A1215,A1215)&gt;1,"DUP","OK")</f>
        <v>OK</v>
      </c>
      <c r="O1215" s="23" t="str">
        <f t="shared" si="55"/>
        <v>ORD26004375</v>
      </c>
      <c r="P1215" s="23" t="str">
        <f t="shared" si="56"/>
        <v>Sep</v>
      </c>
      <c r="Q1215" s="23" t="str">
        <f>IF(F1215="CAPTURE",IF(COUNTIF(orders!$A:$A,O1215)&gt;0,"Yes","NO ORDER"),"")</f>
        <v>Yes</v>
      </c>
    </row>
    <row r="1216" spans="1:17" ht="15" customHeight="1" x14ac:dyDescent="0.3">
      <c r="A1216" s="23" t="s">
        <v>13828</v>
      </c>
      <c r="B1216" s="23"/>
      <c r="C1216" s="23" t="s">
        <v>9321</v>
      </c>
      <c r="D1216" s="23" t="str">
        <f t="shared" si="54"/>
        <v>ORD26004424</v>
      </c>
      <c r="E1216" s="38">
        <v>46272</v>
      </c>
      <c r="F1216" s="23" t="s">
        <v>12410</v>
      </c>
      <c r="G1216" s="23" t="s">
        <v>75</v>
      </c>
      <c r="H1216" s="24">
        <v>1499</v>
      </c>
      <c r="I1216" s="24">
        <v>0</v>
      </c>
      <c r="J1216" s="24">
        <v>0</v>
      </c>
      <c r="K1216" s="24">
        <v>1499</v>
      </c>
      <c r="L1216" s="38">
        <v>46274</v>
      </c>
      <c r="M1216" s="23" t="s">
        <v>193</v>
      </c>
      <c r="N1216" s="23" t="str">
        <f>IF(COUNTIF($A$2:A1216,A1216)&gt;1,"DUP","OK")</f>
        <v>OK</v>
      </c>
      <c r="O1216" s="23" t="str">
        <f t="shared" si="55"/>
        <v>ORD26004424</v>
      </c>
      <c r="P1216" s="23" t="str">
        <f t="shared" si="56"/>
        <v>Sep</v>
      </c>
      <c r="Q1216" s="23" t="str">
        <f>IF(F1216="CAPTURE",IF(COUNTIF(orders!$A:$A,O1216)&gt;0,"Yes","NO ORDER"),"")</f>
        <v>Yes</v>
      </c>
    </row>
    <row r="1217" spans="1:17" ht="15" customHeight="1" x14ac:dyDescent="0.3">
      <c r="A1217" s="23" t="s">
        <v>13829</v>
      </c>
      <c r="B1217" s="23"/>
      <c r="C1217" s="23" t="s">
        <v>9322</v>
      </c>
      <c r="D1217" s="23" t="str">
        <f t="shared" si="54"/>
        <v>ORD26004425</v>
      </c>
      <c r="E1217" s="38">
        <v>46272</v>
      </c>
      <c r="F1217" s="23" t="s">
        <v>12410</v>
      </c>
      <c r="G1217" s="23" t="s">
        <v>75</v>
      </c>
      <c r="H1217" s="24">
        <v>2499</v>
      </c>
      <c r="I1217" s="24">
        <v>7.5</v>
      </c>
      <c r="J1217" s="24">
        <v>1.35</v>
      </c>
      <c r="K1217" s="24">
        <v>2490.15</v>
      </c>
      <c r="L1217" s="38">
        <v>46274</v>
      </c>
      <c r="M1217" s="23" t="s">
        <v>193</v>
      </c>
      <c r="N1217" s="23" t="str">
        <f>IF(COUNTIF($A$2:A1217,A1217)&gt;1,"DUP","OK")</f>
        <v>OK</v>
      </c>
      <c r="O1217" s="23" t="str">
        <f t="shared" si="55"/>
        <v>ORD26004425</v>
      </c>
      <c r="P1217" s="23" t="str">
        <f t="shared" si="56"/>
        <v>Sep</v>
      </c>
      <c r="Q1217" s="23" t="str">
        <f>IF(F1217="CAPTURE",IF(COUNTIF(orders!$A:$A,O1217)&gt;0,"Yes","NO ORDER"),"")</f>
        <v>Yes</v>
      </c>
    </row>
    <row r="1218" spans="1:17" ht="15" customHeight="1" x14ac:dyDescent="0.3">
      <c r="A1218" s="23" t="s">
        <v>13830</v>
      </c>
      <c r="B1218" s="23"/>
      <c r="C1218" s="23" t="s">
        <v>13831</v>
      </c>
      <c r="D1218" s="23" t="str">
        <f t="shared" ref="D1218:D1281" si="57">UPPER(SUBSTITUTE(TRIM(C1218),"-",""))</f>
        <v>ORD26004444</v>
      </c>
      <c r="E1218" s="38">
        <v>46272</v>
      </c>
      <c r="F1218" s="23" t="s">
        <v>12410</v>
      </c>
      <c r="G1218" s="23" t="s">
        <v>75</v>
      </c>
      <c r="H1218" s="24">
        <v>4999</v>
      </c>
      <c r="I1218" s="24">
        <v>15</v>
      </c>
      <c r="J1218" s="24">
        <v>2.7</v>
      </c>
      <c r="K1218" s="24">
        <v>4981.3</v>
      </c>
      <c r="L1218" s="38">
        <v>46274</v>
      </c>
      <c r="M1218" s="23" t="s">
        <v>193</v>
      </c>
      <c r="N1218" s="23" t="str">
        <f>IF(COUNTIF($A$2:A1218,A1218)&gt;1,"DUP","OK")</f>
        <v>OK</v>
      </c>
      <c r="O1218" s="23" t="str">
        <f t="shared" ref="O1218:O1281" si="58">IF(F1218="REFUND",INDEX($D:$D,MATCH(B1218,$A:$A,0)),D1218)</f>
        <v>ORD26004444</v>
      </c>
      <c r="P1218" s="23" t="str">
        <f t="shared" ref="P1218:P1281" si="59">IF(L1218&gt;DATE(2026,9,30),"Oct-Due","Sep")</f>
        <v>Sep</v>
      </c>
      <c r="Q1218" s="23" t="str">
        <f>IF(F1218="CAPTURE",IF(COUNTIF(orders!$A:$A,O1218)&gt;0,"Yes","NO ORDER"),"")</f>
        <v>Yes</v>
      </c>
    </row>
    <row r="1219" spans="1:17" ht="15" customHeight="1" x14ac:dyDescent="0.3">
      <c r="A1219" s="23" t="s">
        <v>13832</v>
      </c>
      <c r="B1219" s="23"/>
      <c r="C1219" s="23" t="s">
        <v>9516</v>
      </c>
      <c r="D1219" s="23" t="str">
        <f t="shared" si="57"/>
        <v>ORD26004522</v>
      </c>
      <c r="E1219" s="38">
        <v>46272</v>
      </c>
      <c r="F1219" s="23" t="s">
        <v>12410</v>
      </c>
      <c r="G1219" s="23" t="s">
        <v>79</v>
      </c>
      <c r="H1219" s="24">
        <v>3499</v>
      </c>
      <c r="I1219" s="24">
        <v>55.98</v>
      </c>
      <c r="J1219" s="24">
        <v>10.08</v>
      </c>
      <c r="K1219" s="24">
        <v>3432.94</v>
      </c>
      <c r="L1219" s="38">
        <v>46274</v>
      </c>
      <c r="M1219" s="23" t="s">
        <v>193</v>
      </c>
      <c r="N1219" s="23" t="str">
        <f>IF(COUNTIF($A$2:A1219,A1219)&gt;1,"DUP","OK")</f>
        <v>OK</v>
      </c>
      <c r="O1219" s="23" t="str">
        <f t="shared" si="58"/>
        <v>ORD26004522</v>
      </c>
      <c r="P1219" s="23" t="str">
        <f t="shared" si="59"/>
        <v>Sep</v>
      </c>
      <c r="Q1219" s="23" t="str">
        <f>IF(F1219="CAPTURE",IF(COUNTIF(orders!$A:$A,O1219)&gt;0,"Yes","NO ORDER"),"")</f>
        <v>Yes</v>
      </c>
    </row>
    <row r="1220" spans="1:17" ht="15" customHeight="1" x14ac:dyDescent="0.3">
      <c r="A1220" s="23" t="s">
        <v>13833</v>
      </c>
      <c r="B1220" s="23"/>
      <c r="C1220" s="23" t="s">
        <v>9705</v>
      </c>
      <c r="D1220" s="23" t="str">
        <f t="shared" si="57"/>
        <v>ORD26004616</v>
      </c>
      <c r="E1220" s="38">
        <v>46272</v>
      </c>
      <c r="F1220" s="23" t="s">
        <v>12410</v>
      </c>
      <c r="G1220" s="23" t="s">
        <v>75</v>
      </c>
      <c r="H1220" s="24">
        <v>1798</v>
      </c>
      <c r="I1220" s="24">
        <v>0</v>
      </c>
      <c r="J1220" s="24">
        <v>0</v>
      </c>
      <c r="K1220" s="24">
        <v>1798</v>
      </c>
      <c r="L1220" s="38">
        <v>46274</v>
      </c>
      <c r="M1220" s="23" t="s">
        <v>193</v>
      </c>
      <c r="N1220" s="23" t="str">
        <f>IF(COUNTIF($A$2:A1220,A1220)&gt;1,"DUP","OK")</f>
        <v>OK</v>
      </c>
      <c r="O1220" s="23" t="str">
        <f t="shared" si="58"/>
        <v>ORD26004616</v>
      </c>
      <c r="P1220" s="23" t="str">
        <f t="shared" si="59"/>
        <v>Sep</v>
      </c>
      <c r="Q1220" s="23" t="str">
        <f>IF(F1220="CAPTURE",IF(COUNTIF(orders!$A:$A,O1220)&gt;0,"Yes","NO ORDER"),"")</f>
        <v>Yes</v>
      </c>
    </row>
    <row r="1221" spans="1:17" ht="15" customHeight="1" x14ac:dyDescent="0.3">
      <c r="A1221" s="23" t="s">
        <v>13834</v>
      </c>
      <c r="B1221" s="23"/>
      <c r="C1221" s="23" t="s">
        <v>9711</v>
      </c>
      <c r="D1221" s="23" t="str">
        <f t="shared" si="57"/>
        <v>ORD26004619</v>
      </c>
      <c r="E1221" s="38">
        <v>46272</v>
      </c>
      <c r="F1221" s="23" t="s">
        <v>12410</v>
      </c>
      <c r="G1221" s="23" t="s">
        <v>79</v>
      </c>
      <c r="H1221" s="24">
        <v>11497</v>
      </c>
      <c r="I1221" s="24">
        <v>183.95</v>
      </c>
      <c r="J1221" s="24">
        <v>33.11</v>
      </c>
      <c r="K1221" s="24">
        <v>11279.94</v>
      </c>
      <c r="L1221" s="38">
        <v>46274</v>
      </c>
      <c r="M1221" s="23" t="s">
        <v>193</v>
      </c>
      <c r="N1221" s="23" t="str">
        <f>IF(COUNTIF($A$2:A1221,A1221)&gt;1,"DUP","OK")</f>
        <v>OK</v>
      </c>
      <c r="O1221" s="23" t="str">
        <f t="shared" si="58"/>
        <v>ORD26004619</v>
      </c>
      <c r="P1221" s="23" t="str">
        <f t="shared" si="59"/>
        <v>Sep</v>
      </c>
      <c r="Q1221" s="23" t="str">
        <f>IF(F1221="CAPTURE",IF(COUNTIF(orders!$A:$A,O1221)&gt;0,"Yes","NO ORDER"),"")</f>
        <v>Yes</v>
      </c>
    </row>
    <row r="1222" spans="1:17" ht="15" customHeight="1" x14ac:dyDescent="0.3">
      <c r="A1222" s="23" t="s">
        <v>13835</v>
      </c>
      <c r="B1222" s="23"/>
      <c r="C1222" s="23" t="s">
        <v>9715</v>
      </c>
      <c r="D1222" s="23" t="str">
        <f t="shared" si="57"/>
        <v>ORD26004621</v>
      </c>
      <c r="E1222" s="38">
        <v>46272</v>
      </c>
      <c r="F1222" s="23" t="s">
        <v>12410</v>
      </c>
      <c r="G1222" s="23" t="s">
        <v>77</v>
      </c>
      <c r="H1222" s="24">
        <v>6597</v>
      </c>
      <c r="I1222" s="24">
        <v>112.15</v>
      </c>
      <c r="J1222" s="24">
        <v>20.190000000000001</v>
      </c>
      <c r="K1222" s="24">
        <v>6464.66</v>
      </c>
      <c r="L1222" s="38">
        <v>46274</v>
      </c>
      <c r="M1222" s="23" t="s">
        <v>193</v>
      </c>
      <c r="N1222" s="23" t="str">
        <f>IF(COUNTIF($A$2:A1222,A1222)&gt;1,"DUP","OK")</f>
        <v>OK</v>
      </c>
      <c r="O1222" s="23" t="str">
        <f t="shared" si="58"/>
        <v>ORD26004621</v>
      </c>
      <c r="P1222" s="23" t="str">
        <f t="shared" si="59"/>
        <v>Sep</v>
      </c>
      <c r="Q1222" s="23" t="str">
        <f>IF(F1222="CAPTURE",IF(COUNTIF(orders!$A:$A,O1222)&gt;0,"Yes","NO ORDER"),"")</f>
        <v>Yes</v>
      </c>
    </row>
    <row r="1223" spans="1:17" ht="15" customHeight="1" x14ac:dyDescent="0.3">
      <c r="A1223" s="23" t="s">
        <v>13836</v>
      </c>
      <c r="B1223" s="23"/>
      <c r="C1223" s="23" t="s">
        <v>13837</v>
      </c>
      <c r="D1223" s="23" t="str">
        <f t="shared" si="57"/>
        <v>ORD26004651</v>
      </c>
      <c r="E1223" s="38">
        <v>46272</v>
      </c>
      <c r="F1223" s="23" t="s">
        <v>12410</v>
      </c>
      <c r="G1223" s="23" t="s">
        <v>75</v>
      </c>
      <c r="H1223" s="24">
        <v>5298</v>
      </c>
      <c r="I1223" s="24">
        <v>15.89</v>
      </c>
      <c r="J1223" s="24">
        <v>2.86</v>
      </c>
      <c r="K1223" s="24">
        <v>5279.25</v>
      </c>
      <c r="L1223" s="38">
        <v>46274</v>
      </c>
      <c r="M1223" s="23" t="s">
        <v>193</v>
      </c>
      <c r="N1223" s="23" t="str">
        <f>IF(COUNTIF($A$2:A1223,A1223)&gt;1,"DUP","OK")</f>
        <v>OK</v>
      </c>
      <c r="O1223" s="23" t="str">
        <f t="shared" si="58"/>
        <v>ORD26004651</v>
      </c>
      <c r="P1223" s="23" t="str">
        <f t="shared" si="59"/>
        <v>Sep</v>
      </c>
      <c r="Q1223" s="23" t="str">
        <f>IF(F1223="CAPTURE",IF(COUNTIF(orders!$A:$A,O1223)&gt;0,"Yes","NO ORDER"),"")</f>
        <v>Yes</v>
      </c>
    </row>
    <row r="1224" spans="1:17" ht="15" customHeight="1" x14ac:dyDescent="0.3">
      <c r="A1224" s="23" t="s">
        <v>13838</v>
      </c>
      <c r="B1224" s="23"/>
      <c r="C1224" s="23" t="s">
        <v>9852</v>
      </c>
      <c r="D1224" s="23" t="str">
        <f t="shared" si="57"/>
        <v>ORD26004692</v>
      </c>
      <c r="E1224" s="38">
        <v>46272</v>
      </c>
      <c r="F1224" s="23" t="s">
        <v>12410</v>
      </c>
      <c r="G1224" s="23" t="s">
        <v>75</v>
      </c>
      <c r="H1224" s="24">
        <v>599</v>
      </c>
      <c r="I1224" s="24">
        <v>0</v>
      </c>
      <c r="J1224" s="24">
        <v>0</v>
      </c>
      <c r="K1224" s="24">
        <v>599</v>
      </c>
      <c r="L1224" s="38">
        <v>46274</v>
      </c>
      <c r="M1224" s="23" t="s">
        <v>193</v>
      </c>
      <c r="N1224" s="23" t="str">
        <f>IF(COUNTIF($A$2:A1224,A1224)&gt;1,"DUP","OK")</f>
        <v>OK</v>
      </c>
      <c r="O1224" s="23" t="str">
        <f t="shared" si="58"/>
        <v>ORD26004692</v>
      </c>
      <c r="P1224" s="23" t="str">
        <f t="shared" si="59"/>
        <v>Sep</v>
      </c>
      <c r="Q1224" s="23" t="str">
        <f>IF(F1224="CAPTURE",IF(COUNTIF(orders!$A:$A,O1224)&gt;0,"Yes","NO ORDER"),"")</f>
        <v>Yes</v>
      </c>
    </row>
    <row r="1225" spans="1:17" ht="15" customHeight="1" x14ac:dyDescent="0.3">
      <c r="A1225" s="23" t="s">
        <v>13839</v>
      </c>
      <c r="B1225" s="23"/>
      <c r="C1225" s="23" t="s">
        <v>9975</v>
      </c>
      <c r="D1225" s="23" t="str">
        <f t="shared" si="57"/>
        <v>ORD26004755</v>
      </c>
      <c r="E1225" s="38">
        <v>46272</v>
      </c>
      <c r="F1225" s="23" t="s">
        <v>12410</v>
      </c>
      <c r="G1225" s="23" t="s">
        <v>75</v>
      </c>
      <c r="H1225" s="24">
        <v>1998</v>
      </c>
      <c r="I1225" s="24">
        <v>0</v>
      </c>
      <c r="J1225" s="24">
        <v>0</v>
      </c>
      <c r="K1225" s="24">
        <v>1998</v>
      </c>
      <c r="L1225" s="38">
        <v>46274</v>
      </c>
      <c r="M1225" s="23" t="s">
        <v>193</v>
      </c>
      <c r="N1225" s="23" t="str">
        <f>IF(COUNTIF($A$2:A1225,A1225)&gt;1,"DUP","OK")</f>
        <v>OK</v>
      </c>
      <c r="O1225" s="23" t="str">
        <f t="shared" si="58"/>
        <v>ORD26004755</v>
      </c>
      <c r="P1225" s="23" t="str">
        <f t="shared" si="59"/>
        <v>Sep</v>
      </c>
      <c r="Q1225" s="23" t="str">
        <f>IF(F1225="CAPTURE",IF(COUNTIF(orders!$A:$A,O1225)&gt;0,"Yes","NO ORDER"),"")</f>
        <v>Yes</v>
      </c>
    </row>
    <row r="1226" spans="1:17" ht="15" customHeight="1" x14ac:dyDescent="0.3">
      <c r="A1226" s="23" t="s">
        <v>13840</v>
      </c>
      <c r="B1226" s="23"/>
      <c r="C1226" s="23" t="s">
        <v>10091</v>
      </c>
      <c r="D1226" s="23" t="str">
        <f t="shared" si="57"/>
        <v>ORD26004815</v>
      </c>
      <c r="E1226" s="38">
        <v>46272</v>
      </c>
      <c r="F1226" s="23" t="s">
        <v>12410</v>
      </c>
      <c r="G1226" s="23" t="s">
        <v>79</v>
      </c>
      <c r="H1226" s="24">
        <v>5798</v>
      </c>
      <c r="I1226" s="24">
        <v>92.77</v>
      </c>
      <c r="J1226" s="24">
        <v>16.7</v>
      </c>
      <c r="K1226" s="24">
        <v>5688.53</v>
      </c>
      <c r="L1226" s="38">
        <v>46274</v>
      </c>
      <c r="M1226" s="23" t="s">
        <v>193</v>
      </c>
      <c r="N1226" s="23" t="str">
        <f>IF(COUNTIF($A$2:A1226,A1226)&gt;1,"DUP","OK")</f>
        <v>OK</v>
      </c>
      <c r="O1226" s="23" t="str">
        <f t="shared" si="58"/>
        <v>ORD26004815</v>
      </c>
      <c r="P1226" s="23" t="str">
        <f t="shared" si="59"/>
        <v>Sep</v>
      </c>
      <c r="Q1226" s="23" t="str">
        <f>IF(F1226="CAPTURE",IF(COUNTIF(orders!$A:$A,O1226)&gt;0,"Yes","NO ORDER"),"")</f>
        <v>Yes</v>
      </c>
    </row>
    <row r="1227" spans="1:17" ht="15" customHeight="1" x14ac:dyDescent="0.3">
      <c r="A1227" s="23" t="s">
        <v>13841</v>
      </c>
      <c r="B1227" s="23"/>
      <c r="C1227" s="23" t="s">
        <v>10140</v>
      </c>
      <c r="D1227" s="23" t="str">
        <f t="shared" si="57"/>
        <v>ORD26004840</v>
      </c>
      <c r="E1227" s="38">
        <v>46272</v>
      </c>
      <c r="F1227" s="23" t="s">
        <v>12410</v>
      </c>
      <c r="G1227" s="23" t="s">
        <v>75</v>
      </c>
      <c r="H1227" s="24">
        <v>6097</v>
      </c>
      <c r="I1227" s="24">
        <v>18.29</v>
      </c>
      <c r="J1227" s="24">
        <v>3.29</v>
      </c>
      <c r="K1227" s="24">
        <v>6075.42</v>
      </c>
      <c r="L1227" s="38">
        <v>46274</v>
      </c>
      <c r="M1227" s="23" t="s">
        <v>193</v>
      </c>
      <c r="N1227" s="23" t="str">
        <f>IF(COUNTIF($A$2:A1227,A1227)&gt;1,"DUP","OK")</f>
        <v>OK</v>
      </c>
      <c r="O1227" s="23" t="str">
        <f t="shared" si="58"/>
        <v>ORD26004840</v>
      </c>
      <c r="P1227" s="23" t="str">
        <f t="shared" si="59"/>
        <v>Sep</v>
      </c>
      <c r="Q1227" s="23" t="str">
        <f>IF(F1227="CAPTURE",IF(COUNTIF(orders!$A:$A,O1227)&gt;0,"Yes","NO ORDER"),"")</f>
        <v>Yes</v>
      </c>
    </row>
    <row r="1228" spans="1:17" ht="15" customHeight="1" x14ac:dyDescent="0.3">
      <c r="A1228" s="23" t="s">
        <v>13842</v>
      </c>
      <c r="B1228" s="23"/>
      <c r="C1228" s="23" t="s">
        <v>10284</v>
      </c>
      <c r="D1228" s="23" t="str">
        <f t="shared" si="57"/>
        <v>ORD26004914</v>
      </c>
      <c r="E1228" s="38">
        <v>46272</v>
      </c>
      <c r="F1228" s="23" t="s">
        <v>12410</v>
      </c>
      <c r="G1228" s="23" t="s">
        <v>75</v>
      </c>
      <c r="H1228" s="24">
        <v>3499</v>
      </c>
      <c r="I1228" s="24">
        <v>10.5</v>
      </c>
      <c r="J1228" s="24">
        <v>1.89</v>
      </c>
      <c r="K1228" s="24">
        <v>3486.61</v>
      </c>
      <c r="L1228" s="38">
        <v>46274</v>
      </c>
      <c r="M1228" s="23" t="s">
        <v>193</v>
      </c>
      <c r="N1228" s="23" t="str">
        <f>IF(COUNTIF($A$2:A1228,A1228)&gt;1,"DUP","OK")</f>
        <v>OK</v>
      </c>
      <c r="O1228" s="23" t="str">
        <f t="shared" si="58"/>
        <v>ORD26004914</v>
      </c>
      <c r="P1228" s="23" t="str">
        <f t="shared" si="59"/>
        <v>Sep</v>
      </c>
      <c r="Q1228" s="23" t="str">
        <f>IF(F1228="CAPTURE",IF(COUNTIF(orders!$A:$A,O1228)&gt;0,"Yes","NO ORDER"),"")</f>
        <v>Yes</v>
      </c>
    </row>
    <row r="1229" spans="1:17" ht="15" customHeight="1" x14ac:dyDescent="0.3">
      <c r="A1229" s="23" t="s">
        <v>13843</v>
      </c>
      <c r="B1229" s="23"/>
      <c r="C1229" s="23" t="s">
        <v>10294</v>
      </c>
      <c r="D1229" s="23" t="str">
        <f t="shared" si="57"/>
        <v>ORD26004919</v>
      </c>
      <c r="E1229" s="38">
        <v>46272</v>
      </c>
      <c r="F1229" s="23" t="s">
        <v>12410</v>
      </c>
      <c r="G1229" s="23" t="s">
        <v>75</v>
      </c>
      <c r="H1229" s="24">
        <v>499</v>
      </c>
      <c r="I1229" s="24">
        <v>0</v>
      </c>
      <c r="J1229" s="24">
        <v>0</v>
      </c>
      <c r="K1229" s="24">
        <v>499</v>
      </c>
      <c r="L1229" s="38">
        <v>46274</v>
      </c>
      <c r="M1229" s="23" t="s">
        <v>193</v>
      </c>
      <c r="N1229" s="23" t="str">
        <f>IF(COUNTIF($A$2:A1229,A1229)&gt;1,"DUP","OK")</f>
        <v>OK</v>
      </c>
      <c r="O1229" s="23" t="str">
        <f t="shared" si="58"/>
        <v>ORD26004919</v>
      </c>
      <c r="P1229" s="23" t="str">
        <f t="shared" si="59"/>
        <v>Sep</v>
      </c>
      <c r="Q1229" s="23" t="str">
        <f>IF(F1229="CAPTURE",IF(COUNTIF(orders!$A:$A,O1229)&gt;0,"Yes","NO ORDER"),"")</f>
        <v>Yes</v>
      </c>
    </row>
    <row r="1230" spans="1:17" ht="15" customHeight="1" x14ac:dyDescent="0.3">
      <c r="A1230" s="23" t="s">
        <v>13844</v>
      </c>
      <c r="B1230" s="23"/>
      <c r="C1230" s="23" t="s">
        <v>10425</v>
      </c>
      <c r="D1230" s="23" t="str">
        <f t="shared" si="57"/>
        <v>ORD26004986</v>
      </c>
      <c r="E1230" s="38">
        <v>46272</v>
      </c>
      <c r="F1230" s="23" t="s">
        <v>12410</v>
      </c>
      <c r="G1230" s="23" t="s">
        <v>75</v>
      </c>
      <c r="H1230" s="24">
        <v>1799</v>
      </c>
      <c r="I1230" s="24">
        <v>0</v>
      </c>
      <c r="J1230" s="24">
        <v>0</v>
      </c>
      <c r="K1230" s="24">
        <v>1799</v>
      </c>
      <c r="L1230" s="38">
        <v>46274</v>
      </c>
      <c r="M1230" s="23" t="s">
        <v>193</v>
      </c>
      <c r="N1230" s="23" t="str">
        <f>IF(COUNTIF($A$2:A1230,A1230)&gt;1,"DUP","OK")</f>
        <v>OK</v>
      </c>
      <c r="O1230" s="23" t="str">
        <f t="shared" si="58"/>
        <v>ORD26004986</v>
      </c>
      <c r="P1230" s="23" t="str">
        <f t="shared" si="59"/>
        <v>Sep</v>
      </c>
      <c r="Q1230" s="23" t="str">
        <f>IF(F1230="CAPTURE",IF(COUNTIF(orders!$A:$A,O1230)&gt;0,"Yes","NO ORDER"),"")</f>
        <v>Yes</v>
      </c>
    </row>
    <row r="1231" spans="1:17" ht="15" customHeight="1" x14ac:dyDescent="0.3">
      <c r="A1231" s="23" t="s">
        <v>13845</v>
      </c>
      <c r="B1231" s="23"/>
      <c r="C1231" s="23" t="s">
        <v>10486</v>
      </c>
      <c r="D1231" s="23" t="str">
        <f t="shared" si="57"/>
        <v>ORD26005018</v>
      </c>
      <c r="E1231" s="38">
        <v>46272</v>
      </c>
      <c r="F1231" s="23" t="s">
        <v>12410</v>
      </c>
      <c r="G1231" s="23" t="s">
        <v>81</v>
      </c>
      <c r="H1231" s="24">
        <v>3798</v>
      </c>
      <c r="I1231" s="24">
        <v>45.58</v>
      </c>
      <c r="J1231" s="24">
        <v>8.1999999999999993</v>
      </c>
      <c r="K1231" s="24">
        <v>3744.22</v>
      </c>
      <c r="L1231" s="38">
        <v>46274</v>
      </c>
      <c r="M1231" s="23" t="s">
        <v>193</v>
      </c>
      <c r="N1231" s="23" t="str">
        <f>IF(COUNTIF($A$2:A1231,A1231)&gt;1,"DUP","OK")</f>
        <v>OK</v>
      </c>
      <c r="O1231" s="23" t="str">
        <f t="shared" si="58"/>
        <v>ORD26005018</v>
      </c>
      <c r="P1231" s="23" t="str">
        <f t="shared" si="59"/>
        <v>Sep</v>
      </c>
      <c r="Q1231" s="23" t="str">
        <f>IF(F1231="CAPTURE",IF(COUNTIF(orders!$A:$A,O1231)&gt;0,"Yes","NO ORDER"),"")</f>
        <v>Yes</v>
      </c>
    </row>
    <row r="1232" spans="1:17" ht="15" customHeight="1" x14ac:dyDescent="0.3">
      <c r="A1232" s="23" t="s">
        <v>13846</v>
      </c>
      <c r="B1232" s="23"/>
      <c r="C1232" s="23" t="s">
        <v>10648</v>
      </c>
      <c r="D1232" s="23" t="str">
        <f t="shared" si="57"/>
        <v>ORD26005102</v>
      </c>
      <c r="E1232" s="38">
        <v>46272</v>
      </c>
      <c r="F1232" s="23" t="s">
        <v>12410</v>
      </c>
      <c r="G1232" s="23" t="s">
        <v>75</v>
      </c>
      <c r="H1232" s="24">
        <v>4999</v>
      </c>
      <c r="I1232" s="24">
        <v>15</v>
      </c>
      <c r="J1232" s="24">
        <v>2.7</v>
      </c>
      <c r="K1232" s="24">
        <v>4981.3</v>
      </c>
      <c r="L1232" s="38">
        <v>46274</v>
      </c>
      <c r="M1232" s="23" t="s">
        <v>193</v>
      </c>
      <c r="N1232" s="23" t="str">
        <f>IF(COUNTIF($A$2:A1232,A1232)&gt;1,"DUP","OK")</f>
        <v>OK</v>
      </c>
      <c r="O1232" s="23" t="str">
        <f t="shared" si="58"/>
        <v>ORD26005102</v>
      </c>
      <c r="P1232" s="23" t="str">
        <f t="shared" si="59"/>
        <v>Sep</v>
      </c>
      <c r="Q1232" s="23" t="str">
        <f>IF(F1232="CAPTURE",IF(COUNTIF(orders!$A:$A,O1232)&gt;0,"Yes","NO ORDER"),"")</f>
        <v>Yes</v>
      </c>
    </row>
    <row r="1233" spans="1:17" ht="15" customHeight="1" x14ac:dyDescent="0.3">
      <c r="A1233" s="23" t="s">
        <v>13847</v>
      </c>
      <c r="B1233" s="23"/>
      <c r="C1233" s="23" t="s">
        <v>10790</v>
      </c>
      <c r="D1233" s="23" t="str">
        <f t="shared" si="57"/>
        <v>ORD26005175</v>
      </c>
      <c r="E1233" s="38">
        <v>46272</v>
      </c>
      <c r="F1233" s="23" t="s">
        <v>12410</v>
      </c>
      <c r="G1233" s="23" t="s">
        <v>75</v>
      </c>
      <c r="H1233" s="24">
        <v>3098</v>
      </c>
      <c r="I1233" s="24">
        <v>9.2899999999999991</v>
      </c>
      <c r="J1233" s="24">
        <v>1.67</v>
      </c>
      <c r="K1233" s="24">
        <v>3087.04</v>
      </c>
      <c r="L1233" s="38">
        <v>46274</v>
      </c>
      <c r="M1233" s="23" t="s">
        <v>193</v>
      </c>
      <c r="N1233" s="23" t="str">
        <f>IF(COUNTIF($A$2:A1233,A1233)&gt;1,"DUP","OK")</f>
        <v>OK</v>
      </c>
      <c r="O1233" s="23" t="str">
        <f t="shared" si="58"/>
        <v>ORD26005175</v>
      </c>
      <c r="P1233" s="23" t="str">
        <f t="shared" si="59"/>
        <v>Sep</v>
      </c>
      <c r="Q1233" s="23" t="str">
        <f>IF(F1233="CAPTURE",IF(COUNTIF(orders!$A:$A,O1233)&gt;0,"Yes","NO ORDER"),"")</f>
        <v>Yes</v>
      </c>
    </row>
    <row r="1234" spans="1:17" ht="15" customHeight="1" x14ac:dyDescent="0.3">
      <c r="A1234" s="23" t="s">
        <v>13848</v>
      </c>
      <c r="B1234" s="23"/>
      <c r="C1234" s="23" t="s">
        <v>10800</v>
      </c>
      <c r="D1234" s="23" t="str">
        <f t="shared" si="57"/>
        <v>ORD26005180</v>
      </c>
      <c r="E1234" s="38">
        <v>46272</v>
      </c>
      <c r="F1234" s="23" t="s">
        <v>12410</v>
      </c>
      <c r="G1234" s="23" t="s">
        <v>77</v>
      </c>
      <c r="H1234" s="24">
        <v>7998</v>
      </c>
      <c r="I1234" s="24">
        <v>135.97</v>
      </c>
      <c r="J1234" s="24">
        <v>24.47</v>
      </c>
      <c r="K1234" s="24">
        <v>7837.56</v>
      </c>
      <c r="L1234" s="38">
        <v>46274</v>
      </c>
      <c r="M1234" s="23" t="s">
        <v>193</v>
      </c>
      <c r="N1234" s="23" t="str">
        <f>IF(COUNTIF($A$2:A1234,A1234)&gt;1,"DUP","OK")</f>
        <v>OK</v>
      </c>
      <c r="O1234" s="23" t="str">
        <f t="shared" si="58"/>
        <v>ORD26005180</v>
      </c>
      <c r="P1234" s="23" t="str">
        <f t="shared" si="59"/>
        <v>Sep</v>
      </c>
      <c r="Q1234" s="23" t="str">
        <f>IF(F1234="CAPTURE",IF(COUNTIF(orders!$A:$A,O1234)&gt;0,"Yes","NO ORDER"),"")</f>
        <v>Yes</v>
      </c>
    </row>
    <row r="1235" spans="1:17" ht="15" customHeight="1" x14ac:dyDescent="0.3">
      <c r="A1235" s="23" t="s">
        <v>13849</v>
      </c>
      <c r="B1235" s="23"/>
      <c r="C1235" s="23" t="s">
        <v>10804</v>
      </c>
      <c r="D1235" s="23" t="str">
        <f t="shared" si="57"/>
        <v>ORD26005182</v>
      </c>
      <c r="E1235" s="38">
        <v>46272</v>
      </c>
      <c r="F1235" s="23" t="s">
        <v>12410</v>
      </c>
      <c r="G1235" s="23" t="s">
        <v>75</v>
      </c>
      <c r="H1235" s="24">
        <v>1499</v>
      </c>
      <c r="I1235" s="24">
        <v>0</v>
      </c>
      <c r="J1235" s="24">
        <v>0</v>
      </c>
      <c r="K1235" s="24">
        <v>1499</v>
      </c>
      <c r="L1235" s="38">
        <v>46274</v>
      </c>
      <c r="M1235" s="23" t="s">
        <v>193</v>
      </c>
      <c r="N1235" s="23" t="str">
        <f>IF(COUNTIF($A$2:A1235,A1235)&gt;1,"DUP","OK")</f>
        <v>OK</v>
      </c>
      <c r="O1235" s="23" t="str">
        <f t="shared" si="58"/>
        <v>ORD26005182</v>
      </c>
      <c r="P1235" s="23" t="str">
        <f t="shared" si="59"/>
        <v>Sep</v>
      </c>
      <c r="Q1235" s="23" t="str">
        <f>IF(F1235="CAPTURE",IF(COUNTIF(orders!$A:$A,O1235)&gt;0,"Yes","NO ORDER"),"")</f>
        <v>Yes</v>
      </c>
    </row>
    <row r="1236" spans="1:17" ht="15" customHeight="1" x14ac:dyDescent="0.3">
      <c r="A1236" s="23" t="s">
        <v>13850</v>
      </c>
      <c r="B1236" s="23"/>
      <c r="C1236" s="23" t="s">
        <v>10833</v>
      </c>
      <c r="D1236" s="23" t="str">
        <f t="shared" si="57"/>
        <v>ORD26005196</v>
      </c>
      <c r="E1236" s="38">
        <v>46272</v>
      </c>
      <c r="F1236" s="23" t="s">
        <v>12410</v>
      </c>
      <c r="G1236" s="23" t="s">
        <v>79</v>
      </c>
      <c r="H1236" s="24">
        <v>5597</v>
      </c>
      <c r="I1236" s="24">
        <v>89.55</v>
      </c>
      <c r="J1236" s="24">
        <v>16.12</v>
      </c>
      <c r="K1236" s="24">
        <v>5491.33</v>
      </c>
      <c r="L1236" s="38">
        <v>46274</v>
      </c>
      <c r="M1236" s="23" t="s">
        <v>193</v>
      </c>
      <c r="N1236" s="23" t="str">
        <f>IF(COUNTIF($A$2:A1236,A1236)&gt;1,"DUP","OK")</f>
        <v>OK</v>
      </c>
      <c r="O1236" s="23" t="str">
        <f t="shared" si="58"/>
        <v>ORD26005196</v>
      </c>
      <c r="P1236" s="23" t="str">
        <f t="shared" si="59"/>
        <v>Sep</v>
      </c>
      <c r="Q1236" s="23" t="str">
        <f>IF(F1236="CAPTURE",IF(COUNTIF(orders!$A:$A,O1236)&gt;0,"Yes","NO ORDER"),"")</f>
        <v>Yes</v>
      </c>
    </row>
    <row r="1237" spans="1:17" ht="15" customHeight="1" x14ac:dyDescent="0.3">
      <c r="A1237" s="23" t="s">
        <v>13851</v>
      </c>
      <c r="B1237" s="23"/>
      <c r="C1237" s="23" t="s">
        <v>13852</v>
      </c>
      <c r="D1237" s="23" t="str">
        <f t="shared" si="57"/>
        <v>ORD26005221</v>
      </c>
      <c r="E1237" s="38">
        <v>46272</v>
      </c>
      <c r="F1237" s="23" t="s">
        <v>12410</v>
      </c>
      <c r="G1237" s="23" t="s">
        <v>77</v>
      </c>
      <c r="H1237" s="24">
        <v>1648</v>
      </c>
      <c r="I1237" s="24">
        <v>31.31</v>
      </c>
      <c r="J1237" s="24">
        <v>5.64</v>
      </c>
      <c r="K1237" s="24">
        <v>1611.05</v>
      </c>
      <c r="L1237" s="38">
        <v>46274</v>
      </c>
      <c r="M1237" s="23" t="s">
        <v>193</v>
      </c>
      <c r="N1237" s="23" t="str">
        <f>IF(COUNTIF($A$2:A1237,A1237)&gt;1,"DUP","OK")</f>
        <v>OK</v>
      </c>
      <c r="O1237" s="23" t="str">
        <f t="shared" si="58"/>
        <v>ORD26005221</v>
      </c>
      <c r="P1237" s="23" t="str">
        <f t="shared" si="59"/>
        <v>Sep</v>
      </c>
      <c r="Q1237" s="23" t="str">
        <f>IF(F1237="CAPTURE",IF(COUNTIF(orders!$A:$A,O1237)&gt;0,"Yes","NO ORDER"),"")</f>
        <v>Yes</v>
      </c>
    </row>
    <row r="1238" spans="1:17" ht="15" customHeight="1" x14ac:dyDescent="0.3">
      <c r="A1238" s="23" t="s">
        <v>13853</v>
      </c>
      <c r="B1238" s="23"/>
      <c r="C1238" s="23" t="s">
        <v>10941</v>
      </c>
      <c r="D1238" s="23" t="str">
        <f t="shared" si="57"/>
        <v>ORD26005252</v>
      </c>
      <c r="E1238" s="38">
        <v>46272</v>
      </c>
      <c r="F1238" s="23" t="s">
        <v>12410</v>
      </c>
      <c r="G1238" s="23" t="s">
        <v>75</v>
      </c>
      <c r="H1238" s="24">
        <v>349</v>
      </c>
      <c r="I1238" s="24">
        <v>0</v>
      </c>
      <c r="J1238" s="24">
        <v>0</v>
      </c>
      <c r="K1238" s="24">
        <v>349</v>
      </c>
      <c r="L1238" s="38">
        <v>46274</v>
      </c>
      <c r="M1238" s="23" t="s">
        <v>193</v>
      </c>
      <c r="N1238" s="23" t="str">
        <f>IF(COUNTIF($A$2:A1238,A1238)&gt;1,"DUP","OK")</f>
        <v>OK</v>
      </c>
      <c r="O1238" s="23" t="str">
        <f t="shared" si="58"/>
        <v>ORD26005252</v>
      </c>
      <c r="P1238" s="23" t="str">
        <f t="shared" si="59"/>
        <v>Sep</v>
      </c>
      <c r="Q1238" s="23" t="str">
        <f>IF(F1238="CAPTURE",IF(COUNTIF(orders!$A:$A,O1238)&gt;0,"Yes","NO ORDER"),"")</f>
        <v>Yes</v>
      </c>
    </row>
    <row r="1239" spans="1:17" ht="15" customHeight="1" x14ac:dyDescent="0.3">
      <c r="A1239" s="23" t="s">
        <v>13854</v>
      </c>
      <c r="B1239" s="23"/>
      <c r="C1239" s="23" t="s">
        <v>10991</v>
      </c>
      <c r="D1239" s="23" t="str">
        <f t="shared" si="57"/>
        <v>ORD26005278</v>
      </c>
      <c r="E1239" s="38">
        <v>46272</v>
      </c>
      <c r="F1239" s="23" t="s">
        <v>12410</v>
      </c>
      <c r="G1239" s="23" t="s">
        <v>79</v>
      </c>
      <c r="H1239" s="24">
        <v>7999</v>
      </c>
      <c r="I1239" s="24">
        <v>127.98</v>
      </c>
      <c r="J1239" s="24">
        <v>23.04</v>
      </c>
      <c r="K1239" s="24">
        <v>7847.98</v>
      </c>
      <c r="L1239" s="38">
        <v>46274</v>
      </c>
      <c r="M1239" s="23" t="s">
        <v>193</v>
      </c>
      <c r="N1239" s="23" t="str">
        <f>IF(COUNTIF($A$2:A1239,A1239)&gt;1,"DUP","OK")</f>
        <v>OK</v>
      </c>
      <c r="O1239" s="23" t="str">
        <f t="shared" si="58"/>
        <v>ORD26005278</v>
      </c>
      <c r="P1239" s="23" t="str">
        <f t="shared" si="59"/>
        <v>Sep</v>
      </c>
      <c r="Q1239" s="23" t="str">
        <f>IF(F1239="CAPTURE",IF(COUNTIF(orders!$A:$A,O1239)&gt;0,"Yes","NO ORDER"),"")</f>
        <v>Yes</v>
      </c>
    </row>
    <row r="1240" spans="1:17" ht="15" customHeight="1" x14ac:dyDescent="0.3">
      <c r="A1240" s="23" t="s">
        <v>13855</v>
      </c>
      <c r="B1240" s="23"/>
      <c r="C1240" s="23" t="s">
        <v>11012</v>
      </c>
      <c r="D1240" s="23" t="str">
        <f t="shared" si="57"/>
        <v>ORD26005289</v>
      </c>
      <c r="E1240" s="38">
        <v>46272</v>
      </c>
      <c r="F1240" s="23" t="s">
        <v>12410</v>
      </c>
      <c r="G1240" s="23" t="s">
        <v>79</v>
      </c>
      <c r="H1240" s="24">
        <v>499</v>
      </c>
      <c r="I1240" s="24">
        <v>8.98</v>
      </c>
      <c r="J1240" s="24">
        <v>1.62</v>
      </c>
      <c r="K1240" s="24">
        <v>488.4</v>
      </c>
      <c r="L1240" s="38">
        <v>46274</v>
      </c>
      <c r="M1240" s="23" t="s">
        <v>193</v>
      </c>
      <c r="N1240" s="23" t="str">
        <f>IF(COUNTIF($A$2:A1240,A1240)&gt;1,"DUP","OK")</f>
        <v>OK</v>
      </c>
      <c r="O1240" s="23" t="str">
        <f t="shared" si="58"/>
        <v>ORD26005289</v>
      </c>
      <c r="P1240" s="23" t="str">
        <f t="shared" si="59"/>
        <v>Sep</v>
      </c>
      <c r="Q1240" s="23" t="str">
        <f>IF(F1240="CAPTURE",IF(COUNTIF(orders!$A:$A,O1240)&gt;0,"Yes","NO ORDER"),"")</f>
        <v>Yes</v>
      </c>
    </row>
    <row r="1241" spans="1:17" ht="15" customHeight="1" x14ac:dyDescent="0.3">
      <c r="A1241" s="23" t="s">
        <v>13856</v>
      </c>
      <c r="B1241" s="23"/>
      <c r="C1241" s="23" t="s">
        <v>11020</v>
      </c>
      <c r="D1241" s="23" t="str">
        <f t="shared" si="57"/>
        <v>ORD26005293</v>
      </c>
      <c r="E1241" s="38">
        <v>46272</v>
      </c>
      <c r="F1241" s="23" t="s">
        <v>12410</v>
      </c>
      <c r="G1241" s="23" t="s">
        <v>75</v>
      </c>
      <c r="H1241" s="24">
        <v>599</v>
      </c>
      <c r="I1241" s="24">
        <v>0</v>
      </c>
      <c r="J1241" s="24">
        <v>0</v>
      </c>
      <c r="K1241" s="24">
        <v>599</v>
      </c>
      <c r="L1241" s="38">
        <v>46274</v>
      </c>
      <c r="M1241" s="23" t="s">
        <v>193</v>
      </c>
      <c r="N1241" s="23" t="str">
        <f>IF(COUNTIF($A$2:A1241,A1241)&gt;1,"DUP","OK")</f>
        <v>OK</v>
      </c>
      <c r="O1241" s="23" t="str">
        <f t="shared" si="58"/>
        <v>ORD26005293</v>
      </c>
      <c r="P1241" s="23" t="str">
        <f t="shared" si="59"/>
        <v>Sep</v>
      </c>
      <c r="Q1241" s="23" t="str">
        <f>IF(F1241="CAPTURE",IF(COUNTIF(orders!$A:$A,O1241)&gt;0,"Yes","NO ORDER"),"")</f>
        <v>Yes</v>
      </c>
    </row>
    <row r="1242" spans="1:17" ht="15" customHeight="1" x14ac:dyDescent="0.3">
      <c r="A1242" s="23" t="s">
        <v>13857</v>
      </c>
      <c r="B1242" s="23"/>
      <c r="C1242" s="23" t="s">
        <v>13858</v>
      </c>
      <c r="D1242" s="23" t="str">
        <f t="shared" si="57"/>
        <v>ORD26005340</v>
      </c>
      <c r="E1242" s="38">
        <v>46272</v>
      </c>
      <c r="F1242" s="23" t="s">
        <v>12410</v>
      </c>
      <c r="G1242" s="23" t="s">
        <v>77</v>
      </c>
      <c r="H1242" s="24">
        <v>6597</v>
      </c>
      <c r="I1242" s="24">
        <v>112.15</v>
      </c>
      <c r="J1242" s="24">
        <v>20.190000000000001</v>
      </c>
      <c r="K1242" s="24">
        <v>6464.66</v>
      </c>
      <c r="L1242" s="38">
        <v>46274</v>
      </c>
      <c r="M1242" s="23" t="s">
        <v>193</v>
      </c>
      <c r="N1242" s="23" t="str">
        <f>IF(COUNTIF($A$2:A1242,A1242)&gt;1,"DUP","OK")</f>
        <v>OK</v>
      </c>
      <c r="O1242" s="23" t="str">
        <f t="shared" si="58"/>
        <v>ORD26005340</v>
      </c>
      <c r="P1242" s="23" t="str">
        <f t="shared" si="59"/>
        <v>Sep</v>
      </c>
      <c r="Q1242" s="23" t="str">
        <f>IF(F1242="CAPTURE",IF(COUNTIF(orders!$A:$A,O1242)&gt;0,"Yes","NO ORDER"),"")</f>
        <v>Yes</v>
      </c>
    </row>
    <row r="1243" spans="1:17" ht="15" customHeight="1" x14ac:dyDescent="0.3">
      <c r="A1243" s="23" t="s">
        <v>13859</v>
      </c>
      <c r="B1243" s="23"/>
      <c r="C1243" s="23" t="s">
        <v>11116</v>
      </c>
      <c r="D1243" s="23" t="str">
        <f t="shared" si="57"/>
        <v>ORD26005342</v>
      </c>
      <c r="E1243" s="38">
        <v>46272</v>
      </c>
      <c r="F1243" s="23" t="s">
        <v>12410</v>
      </c>
      <c r="G1243" s="23" t="s">
        <v>75</v>
      </c>
      <c r="H1243" s="24">
        <v>1799</v>
      </c>
      <c r="I1243" s="24">
        <v>0</v>
      </c>
      <c r="J1243" s="24">
        <v>0</v>
      </c>
      <c r="K1243" s="24">
        <v>1799</v>
      </c>
      <c r="L1243" s="38">
        <v>46274</v>
      </c>
      <c r="M1243" s="23" t="s">
        <v>193</v>
      </c>
      <c r="N1243" s="23" t="str">
        <f>IF(COUNTIF($A$2:A1243,A1243)&gt;1,"DUP","OK")</f>
        <v>OK</v>
      </c>
      <c r="O1243" s="23" t="str">
        <f t="shared" si="58"/>
        <v>ORD26005342</v>
      </c>
      <c r="P1243" s="23" t="str">
        <f t="shared" si="59"/>
        <v>Sep</v>
      </c>
      <c r="Q1243" s="23" t="str">
        <f>IF(F1243="CAPTURE",IF(COUNTIF(orders!$A:$A,O1243)&gt;0,"Yes","NO ORDER"),"")</f>
        <v>Yes</v>
      </c>
    </row>
    <row r="1244" spans="1:17" ht="15" customHeight="1" x14ac:dyDescent="0.3">
      <c r="A1244" s="23" t="s">
        <v>13860</v>
      </c>
      <c r="B1244" s="23"/>
      <c r="C1244" s="23" t="s">
        <v>11136</v>
      </c>
      <c r="D1244" s="23" t="str">
        <f t="shared" si="57"/>
        <v>ORD26005352</v>
      </c>
      <c r="E1244" s="38">
        <v>46272</v>
      </c>
      <c r="F1244" s="23" t="s">
        <v>12410</v>
      </c>
      <c r="G1244" s="23" t="s">
        <v>77</v>
      </c>
      <c r="H1244" s="24">
        <v>349</v>
      </c>
      <c r="I1244" s="24">
        <v>6.63</v>
      </c>
      <c r="J1244" s="24">
        <v>1.19</v>
      </c>
      <c r="K1244" s="24">
        <v>341.18</v>
      </c>
      <c r="L1244" s="38">
        <v>46274</v>
      </c>
      <c r="M1244" s="23" t="s">
        <v>193</v>
      </c>
      <c r="N1244" s="23" t="str">
        <f>IF(COUNTIF($A$2:A1244,A1244)&gt;1,"DUP","OK")</f>
        <v>OK</v>
      </c>
      <c r="O1244" s="23" t="str">
        <f t="shared" si="58"/>
        <v>ORD26005352</v>
      </c>
      <c r="P1244" s="23" t="str">
        <f t="shared" si="59"/>
        <v>Sep</v>
      </c>
      <c r="Q1244" s="23" t="str">
        <f>IF(F1244="CAPTURE",IF(COUNTIF(orders!$A:$A,O1244)&gt;0,"Yes","NO ORDER"),"")</f>
        <v>Yes</v>
      </c>
    </row>
    <row r="1245" spans="1:17" ht="15" customHeight="1" x14ac:dyDescent="0.3">
      <c r="A1245" s="23" t="s">
        <v>13861</v>
      </c>
      <c r="B1245" s="23"/>
      <c r="C1245" s="23" t="s">
        <v>13862</v>
      </c>
      <c r="D1245" s="23" t="str">
        <f t="shared" si="57"/>
        <v>ORD26005365</v>
      </c>
      <c r="E1245" s="38">
        <v>46272</v>
      </c>
      <c r="F1245" s="23" t="s">
        <v>12410</v>
      </c>
      <c r="G1245" s="23" t="s">
        <v>75</v>
      </c>
      <c r="H1245" s="24">
        <v>1398</v>
      </c>
      <c r="I1245" s="24">
        <v>0</v>
      </c>
      <c r="J1245" s="24">
        <v>0</v>
      </c>
      <c r="K1245" s="24">
        <v>1398</v>
      </c>
      <c r="L1245" s="38">
        <v>46274</v>
      </c>
      <c r="M1245" s="23" t="s">
        <v>193</v>
      </c>
      <c r="N1245" s="23" t="str">
        <f>IF(COUNTIF($A$2:A1245,A1245)&gt;1,"DUP","OK")</f>
        <v>OK</v>
      </c>
      <c r="O1245" s="23" t="str">
        <f t="shared" si="58"/>
        <v>ORD26005365</v>
      </c>
      <c r="P1245" s="23" t="str">
        <f t="shared" si="59"/>
        <v>Sep</v>
      </c>
      <c r="Q1245" s="23" t="str">
        <f>IF(F1245="CAPTURE",IF(COUNTIF(orders!$A:$A,O1245)&gt;0,"Yes","NO ORDER"),"")</f>
        <v>Yes</v>
      </c>
    </row>
    <row r="1246" spans="1:17" ht="15" customHeight="1" x14ac:dyDescent="0.3">
      <c r="A1246" s="23" t="s">
        <v>13863</v>
      </c>
      <c r="B1246" s="23"/>
      <c r="C1246" s="23" t="s">
        <v>11169</v>
      </c>
      <c r="D1246" s="23" t="str">
        <f t="shared" si="57"/>
        <v>ORD26005368</v>
      </c>
      <c r="E1246" s="38">
        <v>46272</v>
      </c>
      <c r="F1246" s="23" t="s">
        <v>12410</v>
      </c>
      <c r="G1246" s="23" t="s">
        <v>75</v>
      </c>
      <c r="H1246" s="24">
        <v>4999</v>
      </c>
      <c r="I1246" s="24">
        <v>15</v>
      </c>
      <c r="J1246" s="24">
        <v>2.7</v>
      </c>
      <c r="K1246" s="24">
        <v>4981.3</v>
      </c>
      <c r="L1246" s="38">
        <v>46274</v>
      </c>
      <c r="M1246" s="23" t="s">
        <v>193</v>
      </c>
      <c r="N1246" s="23" t="str">
        <f>IF(COUNTIF($A$2:A1246,A1246)&gt;1,"DUP","OK")</f>
        <v>OK</v>
      </c>
      <c r="O1246" s="23" t="str">
        <f t="shared" si="58"/>
        <v>ORD26005368</v>
      </c>
      <c r="P1246" s="23" t="str">
        <f t="shared" si="59"/>
        <v>Sep</v>
      </c>
      <c r="Q1246" s="23" t="str">
        <f>IF(F1246="CAPTURE",IF(COUNTIF(orders!$A:$A,O1246)&gt;0,"Yes","NO ORDER"),"")</f>
        <v>Yes</v>
      </c>
    </row>
    <row r="1247" spans="1:17" ht="15" customHeight="1" x14ac:dyDescent="0.3">
      <c r="A1247" s="23" t="s">
        <v>13864</v>
      </c>
      <c r="B1247" s="23"/>
      <c r="C1247" s="23" t="s">
        <v>11173</v>
      </c>
      <c r="D1247" s="23" t="str">
        <f t="shared" si="57"/>
        <v>ORD26005370</v>
      </c>
      <c r="E1247" s="38">
        <v>46272</v>
      </c>
      <c r="F1247" s="23" t="s">
        <v>12410</v>
      </c>
      <c r="G1247" s="23" t="s">
        <v>75</v>
      </c>
      <c r="H1247" s="24">
        <v>8997</v>
      </c>
      <c r="I1247" s="24">
        <v>26.99</v>
      </c>
      <c r="J1247" s="24">
        <v>4.8600000000000003</v>
      </c>
      <c r="K1247" s="24">
        <v>8965.15</v>
      </c>
      <c r="L1247" s="38">
        <v>46274</v>
      </c>
      <c r="M1247" s="23" t="s">
        <v>193</v>
      </c>
      <c r="N1247" s="23" t="str">
        <f>IF(COUNTIF($A$2:A1247,A1247)&gt;1,"DUP","OK")</f>
        <v>OK</v>
      </c>
      <c r="O1247" s="23" t="str">
        <f t="shared" si="58"/>
        <v>ORD26005370</v>
      </c>
      <c r="P1247" s="23" t="str">
        <f t="shared" si="59"/>
        <v>Sep</v>
      </c>
      <c r="Q1247" s="23" t="str">
        <f>IF(F1247="CAPTURE",IF(COUNTIF(orders!$A:$A,O1247)&gt;0,"Yes","NO ORDER"),"")</f>
        <v>Yes</v>
      </c>
    </row>
    <row r="1248" spans="1:17" ht="15" customHeight="1" x14ac:dyDescent="0.3">
      <c r="A1248" s="23" t="s">
        <v>13865</v>
      </c>
      <c r="B1248" s="23"/>
      <c r="C1248" s="23" t="s">
        <v>11215</v>
      </c>
      <c r="D1248" s="23" t="str">
        <f t="shared" si="57"/>
        <v>ORD26005391</v>
      </c>
      <c r="E1248" s="38">
        <v>46272</v>
      </c>
      <c r="F1248" s="23" t="s">
        <v>12410</v>
      </c>
      <c r="G1248" s="23" t="s">
        <v>79</v>
      </c>
      <c r="H1248" s="24">
        <v>1299</v>
      </c>
      <c r="I1248" s="24">
        <v>23.38</v>
      </c>
      <c r="J1248" s="24">
        <v>4.21</v>
      </c>
      <c r="K1248" s="24">
        <v>1271.4100000000001</v>
      </c>
      <c r="L1248" s="38">
        <v>46274</v>
      </c>
      <c r="M1248" s="23" t="s">
        <v>193</v>
      </c>
      <c r="N1248" s="23" t="str">
        <f>IF(COUNTIF($A$2:A1248,A1248)&gt;1,"DUP","OK")</f>
        <v>OK</v>
      </c>
      <c r="O1248" s="23" t="str">
        <f t="shared" si="58"/>
        <v>ORD26005391</v>
      </c>
      <c r="P1248" s="23" t="str">
        <f t="shared" si="59"/>
        <v>Sep</v>
      </c>
      <c r="Q1248" s="23" t="str">
        <f>IF(F1248="CAPTURE",IF(COUNTIF(orders!$A:$A,O1248)&gt;0,"Yes","NO ORDER"),"")</f>
        <v>Yes</v>
      </c>
    </row>
    <row r="1249" spans="1:17" ht="15" customHeight="1" x14ac:dyDescent="0.3">
      <c r="A1249" s="23" t="s">
        <v>13866</v>
      </c>
      <c r="B1249" s="23"/>
      <c r="C1249" s="23" t="s">
        <v>11219</v>
      </c>
      <c r="D1249" s="23" t="str">
        <f t="shared" si="57"/>
        <v>ORD26005393</v>
      </c>
      <c r="E1249" s="38">
        <v>46272</v>
      </c>
      <c r="F1249" s="23" t="s">
        <v>12410</v>
      </c>
      <c r="G1249" s="23" t="s">
        <v>75</v>
      </c>
      <c r="H1249" s="24">
        <v>3998</v>
      </c>
      <c r="I1249" s="24">
        <v>11.99</v>
      </c>
      <c r="J1249" s="24">
        <v>2.16</v>
      </c>
      <c r="K1249" s="24">
        <v>3983.85</v>
      </c>
      <c r="L1249" s="38">
        <v>46274</v>
      </c>
      <c r="M1249" s="23" t="s">
        <v>193</v>
      </c>
      <c r="N1249" s="23" t="str">
        <f>IF(COUNTIF($A$2:A1249,A1249)&gt;1,"DUP","OK")</f>
        <v>OK</v>
      </c>
      <c r="O1249" s="23" t="str">
        <f t="shared" si="58"/>
        <v>ORD26005393</v>
      </c>
      <c r="P1249" s="23" t="str">
        <f t="shared" si="59"/>
        <v>Sep</v>
      </c>
      <c r="Q1249" s="23" t="str">
        <f>IF(F1249="CAPTURE",IF(COUNTIF(orders!$A:$A,O1249)&gt;0,"Yes","NO ORDER"),"")</f>
        <v>Yes</v>
      </c>
    </row>
    <row r="1250" spans="1:17" ht="15" customHeight="1" x14ac:dyDescent="0.3">
      <c r="A1250" s="23" t="s">
        <v>13867</v>
      </c>
      <c r="B1250" s="23"/>
      <c r="C1250" s="23" t="s">
        <v>13868</v>
      </c>
      <c r="D1250" s="23" t="str">
        <f t="shared" si="57"/>
        <v>ORD26005458</v>
      </c>
      <c r="E1250" s="38">
        <v>46272</v>
      </c>
      <c r="F1250" s="23" t="s">
        <v>12410</v>
      </c>
      <c r="G1250" s="23" t="s">
        <v>79</v>
      </c>
      <c r="H1250" s="24">
        <v>4999</v>
      </c>
      <c r="I1250" s="24">
        <v>79.98</v>
      </c>
      <c r="J1250" s="24">
        <v>14.4</v>
      </c>
      <c r="K1250" s="24">
        <v>4904.62</v>
      </c>
      <c r="L1250" s="38">
        <v>46274</v>
      </c>
      <c r="M1250" s="23" t="s">
        <v>193</v>
      </c>
      <c r="N1250" s="23" t="str">
        <f>IF(COUNTIF($A$2:A1250,A1250)&gt;1,"DUP","OK")</f>
        <v>OK</v>
      </c>
      <c r="O1250" s="23" t="str">
        <f t="shared" si="58"/>
        <v>ORD26005458</v>
      </c>
      <c r="P1250" s="23" t="str">
        <f t="shared" si="59"/>
        <v>Sep</v>
      </c>
      <c r="Q1250" s="23" t="str">
        <f>IF(F1250="CAPTURE",IF(COUNTIF(orders!$A:$A,O1250)&gt;0,"Yes","NO ORDER"),"")</f>
        <v>Yes</v>
      </c>
    </row>
    <row r="1251" spans="1:17" ht="15" customHeight="1" x14ac:dyDescent="0.3">
      <c r="A1251" s="23" t="s">
        <v>13869</v>
      </c>
      <c r="B1251" s="23"/>
      <c r="C1251" s="23" t="s">
        <v>11352</v>
      </c>
      <c r="D1251" s="23" t="str">
        <f t="shared" si="57"/>
        <v>ORD26005461</v>
      </c>
      <c r="E1251" s="38">
        <v>46272</v>
      </c>
      <c r="F1251" s="23" t="s">
        <v>12410</v>
      </c>
      <c r="G1251" s="23" t="s">
        <v>77</v>
      </c>
      <c r="H1251" s="24">
        <v>1499</v>
      </c>
      <c r="I1251" s="24">
        <v>28.48</v>
      </c>
      <c r="J1251" s="24">
        <v>5.13</v>
      </c>
      <c r="K1251" s="24">
        <v>1465.39</v>
      </c>
      <c r="L1251" s="38">
        <v>46274</v>
      </c>
      <c r="M1251" s="23" t="s">
        <v>193</v>
      </c>
      <c r="N1251" s="23" t="str">
        <f>IF(COUNTIF($A$2:A1251,A1251)&gt;1,"DUP","OK")</f>
        <v>OK</v>
      </c>
      <c r="O1251" s="23" t="str">
        <f t="shared" si="58"/>
        <v>ORD26005461</v>
      </c>
      <c r="P1251" s="23" t="str">
        <f t="shared" si="59"/>
        <v>Sep</v>
      </c>
      <c r="Q1251" s="23" t="str">
        <f>IF(F1251="CAPTURE",IF(COUNTIF(orders!$A:$A,O1251)&gt;0,"Yes","NO ORDER"),"")</f>
        <v>Yes</v>
      </c>
    </row>
    <row r="1252" spans="1:17" ht="15" customHeight="1" x14ac:dyDescent="0.3">
      <c r="A1252" s="23" t="s">
        <v>13870</v>
      </c>
      <c r="B1252" s="23"/>
      <c r="C1252" s="23" t="s">
        <v>13871</v>
      </c>
      <c r="D1252" s="23" t="str">
        <f t="shared" si="57"/>
        <v>ORD26005476</v>
      </c>
      <c r="E1252" s="38">
        <v>46272</v>
      </c>
      <c r="F1252" s="23" t="s">
        <v>12410</v>
      </c>
      <c r="G1252" s="23" t="s">
        <v>81</v>
      </c>
      <c r="H1252" s="24">
        <v>10497</v>
      </c>
      <c r="I1252" s="24">
        <v>94.47</v>
      </c>
      <c r="J1252" s="24">
        <v>17</v>
      </c>
      <c r="K1252" s="24">
        <v>10385.530000000001</v>
      </c>
      <c r="L1252" s="38">
        <v>46274</v>
      </c>
      <c r="M1252" s="23" t="s">
        <v>193</v>
      </c>
      <c r="N1252" s="23" t="str">
        <f>IF(COUNTIF($A$2:A1252,A1252)&gt;1,"DUP","OK")</f>
        <v>OK</v>
      </c>
      <c r="O1252" s="23" t="str">
        <f t="shared" si="58"/>
        <v>ORD26005476</v>
      </c>
      <c r="P1252" s="23" t="str">
        <f t="shared" si="59"/>
        <v>Sep</v>
      </c>
      <c r="Q1252" s="23" t="str">
        <f>IF(F1252="CAPTURE",IF(COUNTIF(orders!$A:$A,O1252)&gt;0,"Yes","NO ORDER"),"")</f>
        <v>Yes</v>
      </c>
    </row>
    <row r="1253" spans="1:17" ht="15" customHeight="1" x14ac:dyDescent="0.3">
      <c r="A1253" s="23" t="s">
        <v>13872</v>
      </c>
      <c r="B1253" s="23"/>
      <c r="C1253" s="23" t="s">
        <v>11403</v>
      </c>
      <c r="D1253" s="23" t="str">
        <f t="shared" si="57"/>
        <v>ORD26005487</v>
      </c>
      <c r="E1253" s="38">
        <v>46272</v>
      </c>
      <c r="F1253" s="23" t="s">
        <v>12410</v>
      </c>
      <c r="G1253" s="23" t="s">
        <v>79</v>
      </c>
      <c r="H1253" s="24">
        <v>1499</v>
      </c>
      <c r="I1253" s="24">
        <v>26.98</v>
      </c>
      <c r="J1253" s="24">
        <v>4.8600000000000003</v>
      </c>
      <c r="K1253" s="24">
        <v>1467.16</v>
      </c>
      <c r="L1253" s="38">
        <v>46274</v>
      </c>
      <c r="M1253" s="23" t="s">
        <v>193</v>
      </c>
      <c r="N1253" s="23" t="str">
        <f>IF(COUNTIF($A$2:A1253,A1253)&gt;1,"DUP","OK")</f>
        <v>OK</v>
      </c>
      <c r="O1253" s="23" t="str">
        <f t="shared" si="58"/>
        <v>ORD26005487</v>
      </c>
      <c r="P1253" s="23" t="str">
        <f t="shared" si="59"/>
        <v>Sep</v>
      </c>
      <c r="Q1253" s="23" t="str">
        <f>IF(F1253="CAPTURE",IF(COUNTIF(orders!$A:$A,O1253)&gt;0,"Yes","NO ORDER"),"")</f>
        <v>Yes</v>
      </c>
    </row>
    <row r="1254" spans="1:17" ht="15" customHeight="1" x14ac:dyDescent="0.3">
      <c r="A1254" s="23" t="s">
        <v>13873</v>
      </c>
      <c r="B1254" s="23"/>
      <c r="C1254" s="23" t="s">
        <v>11427</v>
      </c>
      <c r="D1254" s="23" t="str">
        <f t="shared" si="57"/>
        <v>ORD26005500</v>
      </c>
      <c r="E1254" s="38">
        <v>46272</v>
      </c>
      <c r="F1254" s="23" t="s">
        <v>12410</v>
      </c>
      <c r="G1254" s="23" t="s">
        <v>79</v>
      </c>
      <c r="H1254" s="24">
        <v>7999</v>
      </c>
      <c r="I1254" s="24">
        <v>127.98</v>
      </c>
      <c r="J1254" s="24">
        <v>23.04</v>
      </c>
      <c r="K1254" s="24">
        <v>7847.98</v>
      </c>
      <c r="L1254" s="38">
        <v>46274</v>
      </c>
      <c r="M1254" s="23" t="s">
        <v>193</v>
      </c>
      <c r="N1254" s="23" t="str">
        <f>IF(COUNTIF($A$2:A1254,A1254)&gt;1,"DUP","OK")</f>
        <v>OK</v>
      </c>
      <c r="O1254" s="23" t="str">
        <f t="shared" si="58"/>
        <v>ORD26005500</v>
      </c>
      <c r="P1254" s="23" t="str">
        <f t="shared" si="59"/>
        <v>Sep</v>
      </c>
      <c r="Q1254" s="23" t="str">
        <f>IF(F1254="CAPTURE",IF(COUNTIF(orders!$A:$A,O1254)&gt;0,"Yes","NO ORDER"),"")</f>
        <v>Yes</v>
      </c>
    </row>
    <row r="1255" spans="1:17" ht="15" customHeight="1" x14ac:dyDescent="0.3">
      <c r="A1255" s="23" t="s">
        <v>13874</v>
      </c>
      <c r="B1255" s="23"/>
      <c r="C1255" s="23" t="s">
        <v>11441</v>
      </c>
      <c r="D1255" s="23" t="str">
        <f t="shared" si="57"/>
        <v>ORD26005507</v>
      </c>
      <c r="E1255" s="38">
        <v>46272</v>
      </c>
      <c r="F1255" s="23" t="s">
        <v>12410</v>
      </c>
      <c r="G1255" s="23" t="s">
        <v>75</v>
      </c>
      <c r="H1255" s="24">
        <v>1799</v>
      </c>
      <c r="I1255" s="24">
        <v>0</v>
      </c>
      <c r="J1255" s="24">
        <v>0</v>
      </c>
      <c r="K1255" s="24">
        <v>1799</v>
      </c>
      <c r="L1255" s="38">
        <v>46274</v>
      </c>
      <c r="M1255" s="23" t="s">
        <v>193</v>
      </c>
      <c r="N1255" s="23" t="str">
        <f>IF(COUNTIF($A$2:A1255,A1255)&gt;1,"DUP","OK")</f>
        <v>OK</v>
      </c>
      <c r="O1255" s="23" t="str">
        <f t="shared" si="58"/>
        <v>ORD26005507</v>
      </c>
      <c r="P1255" s="23" t="str">
        <f t="shared" si="59"/>
        <v>Sep</v>
      </c>
      <c r="Q1255" s="23" t="str">
        <f>IF(F1255="CAPTURE",IF(COUNTIF(orders!$A:$A,O1255)&gt;0,"Yes","NO ORDER"),"")</f>
        <v>Yes</v>
      </c>
    </row>
    <row r="1256" spans="1:17" ht="15" customHeight="1" x14ac:dyDescent="0.3">
      <c r="A1256" s="23" t="s">
        <v>13875</v>
      </c>
      <c r="B1256" s="23"/>
      <c r="C1256" s="23" t="s">
        <v>11464</v>
      </c>
      <c r="D1256" s="23" t="str">
        <f t="shared" si="57"/>
        <v>ORD26005519</v>
      </c>
      <c r="E1256" s="38">
        <v>46272</v>
      </c>
      <c r="F1256" s="23" t="s">
        <v>12410</v>
      </c>
      <c r="G1256" s="23" t="s">
        <v>81</v>
      </c>
      <c r="H1256" s="24">
        <v>3499</v>
      </c>
      <c r="I1256" s="24">
        <v>41.99</v>
      </c>
      <c r="J1256" s="24">
        <v>7.56</v>
      </c>
      <c r="K1256" s="24">
        <v>3449.45</v>
      </c>
      <c r="L1256" s="38">
        <v>46274</v>
      </c>
      <c r="M1256" s="23" t="s">
        <v>193</v>
      </c>
      <c r="N1256" s="23" t="str">
        <f>IF(COUNTIF($A$2:A1256,A1256)&gt;1,"DUP","OK")</f>
        <v>OK</v>
      </c>
      <c r="O1256" s="23" t="str">
        <f t="shared" si="58"/>
        <v>ORD26005519</v>
      </c>
      <c r="P1256" s="23" t="str">
        <f t="shared" si="59"/>
        <v>Sep</v>
      </c>
      <c r="Q1256" s="23" t="str">
        <f>IF(F1256="CAPTURE",IF(COUNTIF(orders!$A:$A,O1256)&gt;0,"Yes","NO ORDER"),"")</f>
        <v>Yes</v>
      </c>
    </row>
    <row r="1257" spans="1:17" ht="15" customHeight="1" x14ac:dyDescent="0.3">
      <c r="A1257" s="23" t="s">
        <v>13876</v>
      </c>
      <c r="B1257" s="23"/>
      <c r="C1257" s="23" t="s">
        <v>11466</v>
      </c>
      <c r="D1257" s="23" t="str">
        <f t="shared" si="57"/>
        <v>ORD26005520</v>
      </c>
      <c r="E1257" s="38">
        <v>46272</v>
      </c>
      <c r="F1257" s="23" t="s">
        <v>12410</v>
      </c>
      <c r="G1257" s="23" t="s">
        <v>79</v>
      </c>
      <c r="H1257" s="24">
        <v>599</v>
      </c>
      <c r="I1257" s="24">
        <v>10.78</v>
      </c>
      <c r="J1257" s="24">
        <v>1.94</v>
      </c>
      <c r="K1257" s="24">
        <v>586.28</v>
      </c>
      <c r="L1257" s="38">
        <v>46274</v>
      </c>
      <c r="M1257" s="23" t="s">
        <v>193</v>
      </c>
      <c r="N1257" s="23" t="str">
        <f>IF(COUNTIF($A$2:A1257,A1257)&gt;1,"DUP","OK")</f>
        <v>OK</v>
      </c>
      <c r="O1257" s="23" t="str">
        <f t="shared" si="58"/>
        <v>ORD26005520</v>
      </c>
      <c r="P1257" s="23" t="str">
        <f t="shared" si="59"/>
        <v>Sep</v>
      </c>
      <c r="Q1257" s="23" t="str">
        <f>IF(F1257="CAPTURE",IF(COUNTIF(orders!$A:$A,O1257)&gt;0,"Yes","NO ORDER"),"")</f>
        <v>Yes</v>
      </c>
    </row>
    <row r="1258" spans="1:17" ht="15" customHeight="1" x14ac:dyDescent="0.3">
      <c r="A1258" s="23" t="s">
        <v>13877</v>
      </c>
      <c r="B1258" s="23"/>
      <c r="C1258" s="23" t="s">
        <v>13878</v>
      </c>
      <c r="D1258" s="23" t="str">
        <f t="shared" si="57"/>
        <v>ORD26005530</v>
      </c>
      <c r="E1258" s="38">
        <v>46272</v>
      </c>
      <c r="F1258" s="23" t="s">
        <v>12410</v>
      </c>
      <c r="G1258" s="23" t="s">
        <v>79</v>
      </c>
      <c r="H1258" s="24">
        <v>11498</v>
      </c>
      <c r="I1258" s="24">
        <v>183.97</v>
      </c>
      <c r="J1258" s="24">
        <v>33.11</v>
      </c>
      <c r="K1258" s="24">
        <v>11280.92</v>
      </c>
      <c r="L1258" s="38">
        <v>46274</v>
      </c>
      <c r="M1258" s="23" t="s">
        <v>193</v>
      </c>
      <c r="N1258" s="23" t="str">
        <f>IF(COUNTIF($A$2:A1258,A1258)&gt;1,"DUP","OK")</f>
        <v>OK</v>
      </c>
      <c r="O1258" s="23" t="str">
        <f t="shared" si="58"/>
        <v>ORD26005530</v>
      </c>
      <c r="P1258" s="23" t="str">
        <f t="shared" si="59"/>
        <v>Sep</v>
      </c>
      <c r="Q1258" s="23" t="str">
        <f>IF(F1258="CAPTURE",IF(COUNTIF(orders!$A:$A,O1258)&gt;0,"Yes","NO ORDER"),"")</f>
        <v>Yes</v>
      </c>
    </row>
    <row r="1259" spans="1:17" ht="15" customHeight="1" x14ac:dyDescent="0.3">
      <c r="A1259" s="23" t="s">
        <v>13879</v>
      </c>
      <c r="B1259" s="23"/>
      <c r="C1259" s="23" t="s">
        <v>11640</v>
      </c>
      <c r="D1259" s="23" t="str">
        <f t="shared" si="57"/>
        <v>ORD26005609</v>
      </c>
      <c r="E1259" s="38">
        <v>46272</v>
      </c>
      <c r="F1259" s="23" t="s">
        <v>12410</v>
      </c>
      <c r="G1259" s="23" t="s">
        <v>81</v>
      </c>
      <c r="H1259" s="24">
        <v>349</v>
      </c>
      <c r="I1259" s="24">
        <v>5.24</v>
      </c>
      <c r="J1259" s="24">
        <v>0.94</v>
      </c>
      <c r="K1259" s="24">
        <v>342.82</v>
      </c>
      <c r="L1259" s="38">
        <v>46274</v>
      </c>
      <c r="M1259" s="23" t="s">
        <v>193</v>
      </c>
      <c r="N1259" s="23" t="str">
        <f>IF(COUNTIF($A$2:A1259,A1259)&gt;1,"DUP","OK")</f>
        <v>OK</v>
      </c>
      <c r="O1259" s="23" t="str">
        <f t="shared" si="58"/>
        <v>ORD26005609</v>
      </c>
      <c r="P1259" s="23" t="str">
        <f t="shared" si="59"/>
        <v>Sep</v>
      </c>
      <c r="Q1259" s="23" t="str">
        <f>IF(F1259="CAPTURE",IF(COUNTIF(orders!$A:$A,O1259)&gt;0,"Yes","NO ORDER"),"")</f>
        <v>Yes</v>
      </c>
    </row>
    <row r="1260" spans="1:17" ht="15" customHeight="1" x14ac:dyDescent="0.3">
      <c r="A1260" s="23" t="s">
        <v>13880</v>
      </c>
      <c r="B1260" s="23"/>
      <c r="C1260" s="23" t="s">
        <v>11730</v>
      </c>
      <c r="D1260" s="23" t="str">
        <f t="shared" si="57"/>
        <v>ORD26005655</v>
      </c>
      <c r="E1260" s="38">
        <v>46272</v>
      </c>
      <c r="F1260" s="23" t="s">
        <v>12410</v>
      </c>
      <c r="G1260" s="23" t="s">
        <v>75</v>
      </c>
      <c r="H1260" s="24">
        <v>10147</v>
      </c>
      <c r="I1260" s="24">
        <v>30.44</v>
      </c>
      <c r="J1260" s="24">
        <v>5.48</v>
      </c>
      <c r="K1260" s="24">
        <v>10111.08</v>
      </c>
      <c r="L1260" s="38">
        <v>46274</v>
      </c>
      <c r="M1260" s="23" t="s">
        <v>193</v>
      </c>
      <c r="N1260" s="23" t="str">
        <f>IF(COUNTIF($A$2:A1260,A1260)&gt;1,"DUP","OK")</f>
        <v>OK</v>
      </c>
      <c r="O1260" s="23" t="str">
        <f t="shared" si="58"/>
        <v>ORD26005655</v>
      </c>
      <c r="P1260" s="23" t="str">
        <f t="shared" si="59"/>
        <v>Sep</v>
      </c>
      <c r="Q1260" s="23" t="str">
        <f>IF(F1260="CAPTURE",IF(COUNTIF(orders!$A:$A,O1260)&gt;0,"Yes","NO ORDER"),"")</f>
        <v>Yes</v>
      </c>
    </row>
    <row r="1261" spans="1:17" ht="15" customHeight="1" x14ac:dyDescent="0.3">
      <c r="A1261" s="23" t="s">
        <v>13881</v>
      </c>
      <c r="B1261" s="23"/>
      <c r="C1261" s="23" t="s">
        <v>11844</v>
      </c>
      <c r="D1261" s="23" t="str">
        <f t="shared" si="57"/>
        <v>ORD26005714</v>
      </c>
      <c r="E1261" s="38">
        <v>46272</v>
      </c>
      <c r="F1261" s="23" t="s">
        <v>12410</v>
      </c>
      <c r="G1261" s="23" t="s">
        <v>75</v>
      </c>
      <c r="H1261" s="24">
        <v>349</v>
      </c>
      <c r="I1261" s="24">
        <v>0</v>
      </c>
      <c r="J1261" s="24">
        <v>0</v>
      </c>
      <c r="K1261" s="24">
        <v>349</v>
      </c>
      <c r="L1261" s="38">
        <v>46274</v>
      </c>
      <c r="M1261" s="23" t="s">
        <v>193</v>
      </c>
      <c r="N1261" s="23" t="str">
        <f>IF(COUNTIF($A$2:A1261,A1261)&gt;1,"DUP","OK")</f>
        <v>OK</v>
      </c>
      <c r="O1261" s="23" t="str">
        <f t="shared" si="58"/>
        <v>ORD26005714</v>
      </c>
      <c r="P1261" s="23" t="str">
        <f t="shared" si="59"/>
        <v>Sep</v>
      </c>
      <c r="Q1261" s="23" t="str">
        <f>IF(F1261="CAPTURE",IF(COUNTIF(orders!$A:$A,O1261)&gt;0,"Yes","NO ORDER"),"")</f>
        <v>Yes</v>
      </c>
    </row>
    <row r="1262" spans="1:17" ht="15" customHeight="1" x14ac:dyDescent="0.3">
      <c r="A1262" s="23" t="s">
        <v>13882</v>
      </c>
      <c r="B1262" s="23"/>
      <c r="C1262" s="23" t="s">
        <v>11944</v>
      </c>
      <c r="D1262" s="23" t="str">
        <f t="shared" si="57"/>
        <v>ORD26005765</v>
      </c>
      <c r="E1262" s="38">
        <v>46272</v>
      </c>
      <c r="F1262" s="23" t="s">
        <v>12410</v>
      </c>
      <c r="G1262" s="23" t="s">
        <v>75</v>
      </c>
      <c r="H1262" s="24">
        <v>1799</v>
      </c>
      <c r="I1262" s="24">
        <v>0</v>
      </c>
      <c r="J1262" s="24">
        <v>0</v>
      </c>
      <c r="K1262" s="24">
        <v>1799</v>
      </c>
      <c r="L1262" s="38">
        <v>46274</v>
      </c>
      <c r="M1262" s="23" t="s">
        <v>193</v>
      </c>
      <c r="N1262" s="23" t="str">
        <f>IF(COUNTIF($A$2:A1262,A1262)&gt;1,"DUP","OK")</f>
        <v>OK</v>
      </c>
      <c r="O1262" s="23" t="str">
        <f t="shared" si="58"/>
        <v>ORD26005765</v>
      </c>
      <c r="P1262" s="23" t="str">
        <f t="shared" si="59"/>
        <v>Sep</v>
      </c>
      <c r="Q1262" s="23" t="str">
        <f>IF(F1262="CAPTURE",IF(COUNTIF(orders!$A:$A,O1262)&gt;0,"Yes","NO ORDER"),"")</f>
        <v>Yes</v>
      </c>
    </row>
    <row r="1263" spans="1:17" ht="15" customHeight="1" x14ac:dyDescent="0.3">
      <c r="A1263" s="23" t="s">
        <v>13883</v>
      </c>
      <c r="B1263" s="23"/>
      <c r="C1263" s="23" t="s">
        <v>11956</v>
      </c>
      <c r="D1263" s="23" t="str">
        <f t="shared" si="57"/>
        <v>ORD26005771</v>
      </c>
      <c r="E1263" s="38">
        <v>46272</v>
      </c>
      <c r="F1263" s="23" t="s">
        <v>12410</v>
      </c>
      <c r="G1263" s="23" t="s">
        <v>75</v>
      </c>
      <c r="H1263" s="24">
        <v>1799</v>
      </c>
      <c r="I1263" s="24">
        <v>0</v>
      </c>
      <c r="J1263" s="24">
        <v>0</v>
      </c>
      <c r="K1263" s="24">
        <v>1799</v>
      </c>
      <c r="L1263" s="38">
        <v>46274</v>
      </c>
      <c r="M1263" s="23" t="s">
        <v>193</v>
      </c>
      <c r="N1263" s="23" t="str">
        <f>IF(COUNTIF($A$2:A1263,A1263)&gt;1,"DUP","OK")</f>
        <v>OK</v>
      </c>
      <c r="O1263" s="23" t="str">
        <f t="shared" si="58"/>
        <v>ORD26005771</v>
      </c>
      <c r="P1263" s="23" t="str">
        <f t="shared" si="59"/>
        <v>Sep</v>
      </c>
      <c r="Q1263" s="23" t="str">
        <f>IF(F1263="CAPTURE",IF(COUNTIF(orders!$A:$A,O1263)&gt;0,"Yes","NO ORDER"),"")</f>
        <v>Yes</v>
      </c>
    </row>
    <row r="1264" spans="1:17" ht="15" customHeight="1" x14ac:dyDescent="0.3">
      <c r="A1264" s="23" t="s">
        <v>13884</v>
      </c>
      <c r="B1264" s="23"/>
      <c r="C1264" s="23" t="s">
        <v>12080</v>
      </c>
      <c r="D1264" s="23" t="str">
        <f t="shared" si="57"/>
        <v>ORD26005836</v>
      </c>
      <c r="E1264" s="38">
        <v>46272</v>
      </c>
      <c r="F1264" s="23" t="s">
        <v>12410</v>
      </c>
      <c r="G1264" s="23" t="s">
        <v>77</v>
      </c>
      <c r="H1264" s="24">
        <v>1799</v>
      </c>
      <c r="I1264" s="24">
        <v>34.18</v>
      </c>
      <c r="J1264" s="24">
        <v>6.15</v>
      </c>
      <c r="K1264" s="24">
        <v>1758.67</v>
      </c>
      <c r="L1264" s="38">
        <v>46274</v>
      </c>
      <c r="M1264" s="23" t="s">
        <v>193</v>
      </c>
      <c r="N1264" s="23" t="str">
        <f>IF(COUNTIF($A$2:A1264,A1264)&gt;1,"DUP","OK")</f>
        <v>OK</v>
      </c>
      <c r="O1264" s="23" t="str">
        <f t="shared" si="58"/>
        <v>ORD26005836</v>
      </c>
      <c r="P1264" s="23" t="str">
        <f t="shared" si="59"/>
        <v>Sep</v>
      </c>
      <c r="Q1264" s="23" t="str">
        <f>IF(F1264="CAPTURE",IF(COUNTIF(orders!$A:$A,O1264)&gt;0,"Yes","NO ORDER"),"")</f>
        <v>Yes</v>
      </c>
    </row>
    <row r="1265" spans="1:17" ht="15" customHeight="1" x14ac:dyDescent="0.3">
      <c r="A1265" s="23" t="s">
        <v>13885</v>
      </c>
      <c r="B1265" s="23"/>
      <c r="C1265" s="23" t="s">
        <v>12107</v>
      </c>
      <c r="D1265" s="23" t="str">
        <f t="shared" si="57"/>
        <v>ORD26005850</v>
      </c>
      <c r="E1265" s="38">
        <v>46272</v>
      </c>
      <c r="F1265" s="23" t="s">
        <v>12410</v>
      </c>
      <c r="G1265" s="23" t="s">
        <v>79</v>
      </c>
      <c r="H1265" s="24">
        <v>3998</v>
      </c>
      <c r="I1265" s="24">
        <v>63.97</v>
      </c>
      <c r="J1265" s="24">
        <v>11.51</v>
      </c>
      <c r="K1265" s="24">
        <v>3922.52</v>
      </c>
      <c r="L1265" s="38">
        <v>46274</v>
      </c>
      <c r="M1265" s="23" t="s">
        <v>193</v>
      </c>
      <c r="N1265" s="23" t="str">
        <f>IF(COUNTIF($A$2:A1265,A1265)&gt;1,"DUP","OK")</f>
        <v>OK</v>
      </c>
      <c r="O1265" s="23" t="str">
        <f t="shared" si="58"/>
        <v>ORD26005850</v>
      </c>
      <c r="P1265" s="23" t="str">
        <f t="shared" si="59"/>
        <v>Sep</v>
      </c>
      <c r="Q1265" s="23" t="str">
        <f>IF(F1265="CAPTURE",IF(COUNTIF(orders!$A:$A,O1265)&gt;0,"Yes","NO ORDER"),"")</f>
        <v>Yes</v>
      </c>
    </row>
    <row r="1266" spans="1:17" ht="15" customHeight="1" x14ac:dyDescent="0.3">
      <c r="A1266" s="23" t="s">
        <v>13886</v>
      </c>
      <c r="B1266" s="23"/>
      <c r="C1266" s="23" t="s">
        <v>12174</v>
      </c>
      <c r="D1266" s="23" t="str">
        <f t="shared" si="57"/>
        <v>ORD26005887</v>
      </c>
      <c r="E1266" s="38">
        <v>46272</v>
      </c>
      <c r="F1266" s="23" t="s">
        <v>12410</v>
      </c>
      <c r="G1266" s="23" t="s">
        <v>75</v>
      </c>
      <c r="H1266" s="24">
        <v>5998</v>
      </c>
      <c r="I1266" s="24">
        <v>17.989999999999998</v>
      </c>
      <c r="J1266" s="24">
        <v>3.24</v>
      </c>
      <c r="K1266" s="24">
        <v>5976.77</v>
      </c>
      <c r="L1266" s="38">
        <v>46274</v>
      </c>
      <c r="M1266" s="23" t="s">
        <v>193</v>
      </c>
      <c r="N1266" s="23" t="str">
        <f>IF(COUNTIF($A$2:A1266,A1266)&gt;1,"DUP","OK")</f>
        <v>OK</v>
      </c>
      <c r="O1266" s="23" t="str">
        <f t="shared" si="58"/>
        <v>ORD26005887</v>
      </c>
      <c r="P1266" s="23" t="str">
        <f t="shared" si="59"/>
        <v>Sep</v>
      </c>
      <c r="Q1266" s="23" t="str">
        <f>IF(F1266="CAPTURE",IF(COUNTIF(orders!$A:$A,O1266)&gt;0,"Yes","NO ORDER"),"")</f>
        <v>Yes</v>
      </c>
    </row>
    <row r="1267" spans="1:17" ht="15" customHeight="1" x14ac:dyDescent="0.3">
      <c r="A1267" s="23" t="s">
        <v>13887</v>
      </c>
      <c r="B1267" s="23"/>
      <c r="C1267" s="23" t="s">
        <v>12228</v>
      </c>
      <c r="D1267" s="23" t="str">
        <f t="shared" si="57"/>
        <v>ORD26005914</v>
      </c>
      <c r="E1267" s="38">
        <v>46272</v>
      </c>
      <c r="F1267" s="23" t="s">
        <v>12410</v>
      </c>
      <c r="G1267" s="23" t="s">
        <v>75</v>
      </c>
      <c r="H1267" s="24">
        <v>6498</v>
      </c>
      <c r="I1267" s="24">
        <v>19.489999999999998</v>
      </c>
      <c r="J1267" s="24">
        <v>3.51</v>
      </c>
      <c r="K1267" s="24">
        <v>6475</v>
      </c>
      <c r="L1267" s="38">
        <v>46274</v>
      </c>
      <c r="M1267" s="23" t="s">
        <v>193</v>
      </c>
      <c r="N1267" s="23" t="str">
        <f>IF(COUNTIF($A$2:A1267,A1267)&gt;1,"DUP","OK")</f>
        <v>OK</v>
      </c>
      <c r="O1267" s="23" t="str">
        <f t="shared" si="58"/>
        <v>ORD26005914</v>
      </c>
      <c r="P1267" s="23" t="str">
        <f t="shared" si="59"/>
        <v>Sep</v>
      </c>
      <c r="Q1267" s="23" t="str">
        <f>IF(F1267="CAPTURE",IF(COUNTIF(orders!$A:$A,O1267)&gt;0,"Yes","NO ORDER"),"")</f>
        <v>Yes</v>
      </c>
    </row>
    <row r="1268" spans="1:17" ht="15" customHeight="1" x14ac:dyDescent="0.3">
      <c r="A1268" s="23" t="s">
        <v>13888</v>
      </c>
      <c r="B1268" s="23"/>
      <c r="C1268" s="23" t="s">
        <v>13889</v>
      </c>
      <c r="D1268" s="23" t="str">
        <f t="shared" si="57"/>
        <v>ORD26005945</v>
      </c>
      <c r="E1268" s="38">
        <v>46272</v>
      </c>
      <c r="F1268" s="23" t="s">
        <v>12410</v>
      </c>
      <c r="G1268" s="23" t="s">
        <v>79</v>
      </c>
      <c r="H1268" s="24">
        <v>499</v>
      </c>
      <c r="I1268" s="24">
        <v>8.98</v>
      </c>
      <c r="J1268" s="24">
        <v>1.62</v>
      </c>
      <c r="K1268" s="24">
        <v>488.4</v>
      </c>
      <c r="L1268" s="38">
        <v>46274</v>
      </c>
      <c r="M1268" s="23" t="s">
        <v>193</v>
      </c>
      <c r="N1268" s="23" t="str">
        <f>IF(COUNTIF($A$2:A1268,A1268)&gt;1,"DUP","OK")</f>
        <v>OK</v>
      </c>
      <c r="O1268" s="23" t="str">
        <f t="shared" si="58"/>
        <v>ORD26005945</v>
      </c>
      <c r="P1268" s="23" t="str">
        <f t="shared" si="59"/>
        <v>Sep</v>
      </c>
      <c r="Q1268" s="23" t="str">
        <f>IF(F1268="CAPTURE",IF(COUNTIF(orders!$A:$A,O1268)&gt;0,"Yes","NO ORDER"),"")</f>
        <v>Yes</v>
      </c>
    </row>
    <row r="1269" spans="1:17" ht="15" customHeight="1" x14ac:dyDescent="0.3">
      <c r="A1269" s="23" t="s">
        <v>13890</v>
      </c>
      <c r="B1269" s="23"/>
      <c r="C1269" s="23" t="s">
        <v>12303</v>
      </c>
      <c r="D1269" s="23" t="str">
        <f t="shared" si="57"/>
        <v>ORD26005954</v>
      </c>
      <c r="E1269" s="38">
        <v>46272</v>
      </c>
      <c r="F1269" s="23" t="s">
        <v>12410</v>
      </c>
      <c r="G1269" s="23" t="s">
        <v>75</v>
      </c>
      <c r="H1269" s="24">
        <v>2499</v>
      </c>
      <c r="I1269" s="24">
        <v>7.5</v>
      </c>
      <c r="J1269" s="24">
        <v>1.35</v>
      </c>
      <c r="K1269" s="24">
        <v>2490.15</v>
      </c>
      <c r="L1269" s="38">
        <v>46274</v>
      </c>
      <c r="M1269" s="23" t="s">
        <v>193</v>
      </c>
      <c r="N1269" s="23" t="str">
        <f>IF(COUNTIF($A$2:A1269,A1269)&gt;1,"DUP","OK")</f>
        <v>OK</v>
      </c>
      <c r="O1269" s="23" t="str">
        <f t="shared" si="58"/>
        <v>ORD26005954</v>
      </c>
      <c r="P1269" s="23" t="str">
        <f t="shared" si="59"/>
        <v>Sep</v>
      </c>
      <c r="Q1269" s="23" t="str">
        <f>IF(F1269="CAPTURE",IF(COUNTIF(orders!$A:$A,O1269)&gt;0,"Yes","NO ORDER"),"")</f>
        <v>Yes</v>
      </c>
    </row>
    <row r="1270" spans="1:17" ht="15" customHeight="1" x14ac:dyDescent="0.3">
      <c r="A1270" s="23" t="s">
        <v>13891</v>
      </c>
      <c r="B1270" s="23"/>
      <c r="C1270" s="23" t="s">
        <v>12359</v>
      </c>
      <c r="D1270" s="23" t="str">
        <f t="shared" si="57"/>
        <v>ORD26005984</v>
      </c>
      <c r="E1270" s="38">
        <v>46272</v>
      </c>
      <c r="F1270" s="23" t="s">
        <v>12410</v>
      </c>
      <c r="G1270" s="23" t="s">
        <v>75</v>
      </c>
      <c r="H1270" s="24">
        <v>9297</v>
      </c>
      <c r="I1270" s="24">
        <v>27.89</v>
      </c>
      <c r="J1270" s="24">
        <v>5.0199999999999996</v>
      </c>
      <c r="K1270" s="24">
        <v>9264.09</v>
      </c>
      <c r="L1270" s="38">
        <v>46274</v>
      </c>
      <c r="M1270" s="23" t="s">
        <v>193</v>
      </c>
      <c r="N1270" s="23" t="str">
        <f>IF(COUNTIF($A$2:A1270,A1270)&gt;1,"DUP","OK")</f>
        <v>OK</v>
      </c>
      <c r="O1270" s="23" t="str">
        <f t="shared" si="58"/>
        <v>ORD26005984</v>
      </c>
      <c r="P1270" s="23" t="str">
        <f t="shared" si="59"/>
        <v>Sep</v>
      </c>
      <c r="Q1270" s="23" t="str">
        <f>IF(F1270="CAPTURE",IF(COUNTIF(orders!$A:$A,O1270)&gt;0,"Yes","NO ORDER"),"")</f>
        <v>Yes</v>
      </c>
    </row>
    <row r="1271" spans="1:17" ht="15" customHeight="1" x14ac:dyDescent="0.3">
      <c r="A1271" s="23" t="s">
        <v>13892</v>
      </c>
      <c r="B1271" s="23"/>
      <c r="C1271" s="23" t="s">
        <v>13893</v>
      </c>
      <c r="D1271" s="23" t="str">
        <f t="shared" si="57"/>
        <v>ORD26006503</v>
      </c>
      <c r="E1271" s="38">
        <v>46272</v>
      </c>
      <c r="F1271" s="23" t="s">
        <v>12410</v>
      </c>
      <c r="G1271" s="23" t="s">
        <v>81</v>
      </c>
      <c r="H1271" s="24">
        <v>1299</v>
      </c>
      <c r="I1271" s="24">
        <v>19.489999999999998</v>
      </c>
      <c r="J1271" s="24">
        <v>3.51</v>
      </c>
      <c r="K1271" s="24">
        <v>1276</v>
      </c>
      <c r="L1271" s="38">
        <v>46274</v>
      </c>
      <c r="M1271" s="23" t="s">
        <v>193</v>
      </c>
      <c r="N1271" s="23" t="str">
        <f>IF(COUNTIF($A$2:A1271,A1271)&gt;1,"DUP","OK")</f>
        <v>OK</v>
      </c>
      <c r="O1271" s="23" t="str">
        <f t="shared" si="58"/>
        <v>ORD26006503</v>
      </c>
      <c r="P1271" s="23" t="str">
        <f t="shared" si="59"/>
        <v>Sep</v>
      </c>
      <c r="Q1271" s="23" t="str">
        <f>IF(F1271="CAPTURE",IF(COUNTIF(orders!$A:$A,O1271)&gt;0,"Yes","NO ORDER"),"")</f>
        <v>NO ORDER</v>
      </c>
    </row>
    <row r="1272" spans="1:17" ht="15" customHeight="1" x14ac:dyDescent="0.3">
      <c r="A1272" s="23" t="s">
        <v>13894</v>
      </c>
      <c r="B1272" s="23" t="s">
        <v>12542</v>
      </c>
      <c r="C1272" s="23"/>
      <c r="D1272" s="23" t="str">
        <f t="shared" si="57"/>
        <v/>
      </c>
      <c r="E1272" s="38">
        <v>46272</v>
      </c>
      <c r="F1272" s="23" t="s">
        <v>12791</v>
      </c>
      <c r="G1272" s="23" t="s">
        <v>75</v>
      </c>
      <c r="H1272" s="24">
        <v>2999</v>
      </c>
      <c r="I1272" s="24">
        <v>0</v>
      </c>
      <c r="J1272" s="24">
        <v>0</v>
      </c>
      <c r="K1272" s="24">
        <v>-2999</v>
      </c>
      <c r="L1272" s="38">
        <v>46274</v>
      </c>
      <c r="M1272" s="23" t="s">
        <v>193</v>
      </c>
      <c r="N1272" s="23" t="str">
        <f>IF(COUNTIF($A$2:A1272,A1272)&gt;1,"DUP","OK")</f>
        <v>OK</v>
      </c>
      <c r="O1272" s="23" t="str">
        <f t="shared" si="58"/>
        <v>ORD26005334</v>
      </c>
      <c r="P1272" s="23" t="str">
        <f t="shared" si="59"/>
        <v>Sep</v>
      </c>
      <c r="Q1272" s="23" t="str">
        <f>IF(F1272="CAPTURE",IF(COUNTIF(orders!$A:$A,O1272)&gt;0,"Yes","NO ORDER"),"")</f>
        <v/>
      </c>
    </row>
    <row r="1273" spans="1:17" ht="15" customHeight="1" x14ac:dyDescent="0.3">
      <c r="A1273" s="23" t="s">
        <v>13895</v>
      </c>
      <c r="B1273" s="23" t="s">
        <v>13572</v>
      </c>
      <c r="C1273" s="23"/>
      <c r="D1273" s="23" t="str">
        <f t="shared" si="57"/>
        <v/>
      </c>
      <c r="E1273" s="38">
        <v>46272</v>
      </c>
      <c r="F1273" s="23" t="s">
        <v>12791</v>
      </c>
      <c r="G1273" s="23" t="s">
        <v>75</v>
      </c>
      <c r="H1273" s="24">
        <v>8498</v>
      </c>
      <c r="I1273" s="24">
        <v>0</v>
      </c>
      <c r="J1273" s="24">
        <v>0</v>
      </c>
      <c r="K1273" s="24">
        <v>-8498</v>
      </c>
      <c r="L1273" s="38">
        <v>46274</v>
      </c>
      <c r="M1273" s="23" t="s">
        <v>193</v>
      </c>
      <c r="N1273" s="23" t="str">
        <f>IF(COUNTIF($A$2:A1273,A1273)&gt;1,"DUP","OK")</f>
        <v>OK</v>
      </c>
      <c r="O1273" s="23" t="str">
        <f t="shared" si="58"/>
        <v>ORD26002941</v>
      </c>
      <c r="P1273" s="23" t="str">
        <f t="shared" si="59"/>
        <v>Sep</v>
      </c>
      <c r="Q1273" s="23" t="str">
        <f>IF(F1273="CAPTURE",IF(COUNTIF(orders!$A:$A,O1273)&gt;0,"Yes","NO ORDER"),"")</f>
        <v/>
      </c>
    </row>
    <row r="1274" spans="1:17" ht="15" customHeight="1" x14ac:dyDescent="0.3">
      <c r="A1274" s="23" t="s">
        <v>13896</v>
      </c>
      <c r="B1274" s="23" t="s">
        <v>12540</v>
      </c>
      <c r="C1274" s="23"/>
      <c r="D1274" s="23" t="str">
        <f t="shared" si="57"/>
        <v/>
      </c>
      <c r="E1274" s="38">
        <v>46272</v>
      </c>
      <c r="F1274" s="23" t="s">
        <v>12791</v>
      </c>
      <c r="G1274" s="23" t="s">
        <v>79</v>
      </c>
      <c r="H1274" s="24">
        <v>2499</v>
      </c>
      <c r="I1274" s="24">
        <v>0</v>
      </c>
      <c r="J1274" s="24">
        <v>0</v>
      </c>
      <c r="K1274" s="24">
        <v>-2499</v>
      </c>
      <c r="L1274" s="38">
        <v>46274</v>
      </c>
      <c r="M1274" s="23" t="s">
        <v>193</v>
      </c>
      <c r="N1274" s="23" t="str">
        <f>IF(COUNTIF($A$2:A1274,A1274)&gt;1,"DUP","OK")</f>
        <v>OK</v>
      </c>
      <c r="O1274" s="23" t="str">
        <f t="shared" si="58"/>
        <v>ORD26005294</v>
      </c>
      <c r="P1274" s="23" t="str">
        <f t="shared" si="59"/>
        <v>Sep</v>
      </c>
      <c r="Q1274" s="23" t="str">
        <f>IF(F1274="CAPTURE",IF(COUNTIF(orders!$A:$A,O1274)&gt;0,"Yes","NO ORDER"),"")</f>
        <v/>
      </c>
    </row>
    <row r="1275" spans="1:17" ht="15" customHeight="1" x14ac:dyDescent="0.3">
      <c r="A1275" s="23" t="s">
        <v>13897</v>
      </c>
      <c r="B1275" s="23" t="s">
        <v>12625</v>
      </c>
      <c r="C1275" s="23"/>
      <c r="D1275" s="23" t="str">
        <f t="shared" si="57"/>
        <v/>
      </c>
      <c r="E1275" s="38">
        <v>46272</v>
      </c>
      <c r="F1275" s="23" t="s">
        <v>12791</v>
      </c>
      <c r="G1275" s="23" t="s">
        <v>75</v>
      </c>
      <c r="H1275" s="24">
        <v>1798</v>
      </c>
      <c r="I1275" s="24">
        <v>0</v>
      </c>
      <c r="J1275" s="24">
        <v>0</v>
      </c>
      <c r="K1275" s="24">
        <v>-1798</v>
      </c>
      <c r="L1275" s="38">
        <v>46274</v>
      </c>
      <c r="M1275" s="23" t="s">
        <v>193</v>
      </c>
      <c r="N1275" s="23" t="str">
        <f>IF(COUNTIF($A$2:A1275,A1275)&gt;1,"DUP","OK")</f>
        <v>OK</v>
      </c>
      <c r="O1275" s="23" t="str">
        <f t="shared" si="58"/>
        <v>ORD26001655</v>
      </c>
      <c r="P1275" s="23" t="str">
        <f t="shared" si="59"/>
        <v>Sep</v>
      </c>
      <c r="Q1275" s="23" t="str">
        <f>IF(F1275="CAPTURE",IF(COUNTIF(orders!$A:$A,O1275)&gt;0,"Yes","NO ORDER"),"")</f>
        <v/>
      </c>
    </row>
    <row r="1276" spans="1:17" ht="15" customHeight="1" x14ac:dyDescent="0.3">
      <c r="A1276" s="23" t="s">
        <v>13898</v>
      </c>
      <c r="B1276" s="23" t="s">
        <v>13676</v>
      </c>
      <c r="C1276" s="23"/>
      <c r="D1276" s="23" t="str">
        <f t="shared" si="57"/>
        <v/>
      </c>
      <c r="E1276" s="38">
        <v>46272</v>
      </c>
      <c r="F1276" s="23" t="s">
        <v>12791</v>
      </c>
      <c r="G1276" s="23" t="s">
        <v>75</v>
      </c>
      <c r="H1276" s="24">
        <v>4298</v>
      </c>
      <c r="I1276" s="24">
        <v>0</v>
      </c>
      <c r="J1276" s="24">
        <v>0</v>
      </c>
      <c r="K1276" s="24">
        <v>-4298</v>
      </c>
      <c r="L1276" s="38">
        <v>46274</v>
      </c>
      <c r="M1276" s="23" t="s">
        <v>193</v>
      </c>
      <c r="N1276" s="23" t="str">
        <f>IF(COUNTIF($A$2:A1276,A1276)&gt;1,"DUP","OK")</f>
        <v>OK</v>
      </c>
      <c r="O1276" s="23" t="str">
        <f t="shared" si="58"/>
        <v>ORD26006000</v>
      </c>
      <c r="P1276" s="23" t="str">
        <f t="shared" si="59"/>
        <v>Sep</v>
      </c>
      <c r="Q1276" s="23" t="str">
        <f>IF(F1276="CAPTURE",IF(COUNTIF(orders!$A:$A,O1276)&gt;0,"Yes","NO ORDER"),"")</f>
        <v/>
      </c>
    </row>
    <row r="1277" spans="1:17" ht="15" customHeight="1" x14ac:dyDescent="0.3">
      <c r="A1277" s="23" t="s">
        <v>13899</v>
      </c>
      <c r="B1277" s="23" t="s">
        <v>12994</v>
      </c>
      <c r="C1277" s="23"/>
      <c r="D1277" s="23" t="str">
        <f t="shared" si="57"/>
        <v/>
      </c>
      <c r="E1277" s="38">
        <v>46272</v>
      </c>
      <c r="F1277" s="23" t="s">
        <v>12791</v>
      </c>
      <c r="G1277" s="23" t="s">
        <v>75</v>
      </c>
      <c r="H1277" s="24">
        <v>799</v>
      </c>
      <c r="I1277" s="24">
        <v>0</v>
      </c>
      <c r="J1277" s="24">
        <v>0</v>
      </c>
      <c r="K1277" s="24">
        <v>-799</v>
      </c>
      <c r="L1277" s="38">
        <v>46274</v>
      </c>
      <c r="M1277" s="23" t="s">
        <v>193</v>
      </c>
      <c r="N1277" s="23" t="str">
        <f>IF(COUNTIF($A$2:A1277,A1277)&gt;1,"DUP","OK")</f>
        <v>OK</v>
      </c>
      <c r="O1277" s="23" t="str">
        <f t="shared" si="58"/>
        <v>ORD26005455</v>
      </c>
      <c r="P1277" s="23" t="str">
        <f t="shared" si="59"/>
        <v>Sep</v>
      </c>
      <c r="Q1277" s="23" t="str">
        <f>IF(F1277="CAPTURE",IF(COUNTIF(orders!$A:$A,O1277)&gt;0,"Yes","NO ORDER"),"")</f>
        <v/>
      </c>
    </row>
    <row r="1278" spans="1:17" ht="15" customHeight="1" x14ac:dyDescent="0.3">
      <c r="A1278" s="23" t="s">
        <v>13900</v>
      </c>
      <c r="B1278" s="23" t="s">
        <v>13519</v>
      </c>
      <c r="C1278" s="23"/>
      <c r="D1278" s="23" t="str">
        <f t="shared" si="57"/>
        <v/>
      </c>
      <c r="E1278" s="38">
        <v>46272</v>
      </c>
      <c r="F1278" s="23" t="s">
        <v>12791</v>
      </c>
      <c r="G1278" s="23" t="s">
        <v>75</v>
      </c>
      <c r="H1278" s="24">
        <v>5097</v>
      </c>
      <c r="I1278" s="24">
        <v>0</v>
      </c>
      <c r="J1278" s="24">
        <v>0</v>
      </c>
      <c r="K1278" s="24">
        <v>-5097</v>
      </c>
      <c r="L1278" s="38">
        <v>46274</v>
      </c>
      <c r="M1278" s="23" t="s">
        <v>193</v>
      </c>
      <c r="N1278" s="23" t="str">
        <f>IF(COUNTIF($A$2:A1278,A1278)&gt;1,"DUP","OK")</f>
        <v>OK</v>
      </c>
      <c r="O1278" s="23" t="str">
        <f t="shared" si="58"/>
        <v>ORD26001497</v>
      </c>
      <c r="P1278" s="23" t="str">
        <f t="shared" si="59"/>
        <v>Sep</v>
      </c>
      <c r="Q1278" s="23" t="str">
        <f>IF(F1278="CAPTURE",IF(COUNTIF(orders!$A:$A,O1278)&gt;0,"Yes","NO ORDER"),"")</f>
        <v/>
      </c>
    </row>
    <row r="1279" spans="1:17" ht="15" customHeight="1" x14ac:dyDescent="0.3">
      <c r="A1279" s="23" t="s">
        <v>13901</v>
      </c>
      <c r="B1279" s="23" t="s">
        <v>12930</v>
      </c>
      <c r="C1279" s="23"/>
      <c r="D1279" s="23" t="str">
        <f t="shared" si="57"/>
        <v/>
      </c>
      <c r="E1279" s="38">
        <v>46272</v>
      </c>
      <c r="F1279" s="23" t="s">
        <v>12791</v>
      </c>
      <c r="G1279" s="23" t="s">
        <v>79</v>
      </c>
      <c r="H1279" s="24">
        <v>3298</v>
      </c>
      <c r="I1279" s="24">
        <v>0</v>
      </c>
      <c r="J1279" s="24">
        <v>0</v>
      </c>
      <c r="K1279" s="24">
        <v>-3298</v>
      </c>
      <c r="L1279" s="38">
        <v>46274</v>
      </c>
      <c r="M1279" s="23" t="s">
        <v>193</v>
      </c>
      <c r="N1279" s="23" t="str">
        <f>IF(COUNTIF($A$2:A1279,A1279)&gt;1,"DUP","OK")</f>
        <v>OK</v>
      </c>
      <c r="O1279" s="23" t="str">
        <f t="shared" si="58"/>
        <v>ORD26003709</v>
      </c>
      <c r="P1279" s="23" t="str">
        <f t="shared" si="59"/>
        <v>Sep</v>
      </c>
      <c r="Q1279" s="23" t="str">
        <f>IF(F1279="CAPTURE",IF(COUNTIF(orders!$A:$A,O1279)&gt;0,"Yes","NO ORDER"),"")</f>
        <v/>
      </c>
    </row>
    <row r="1280" spans="1:17" ht="15" customHeight="1" x14ac:dyDescent="0.3">
      <c r="A1280" s="23" t="s">
        <v>13902</v>
      </c>
      <c r="B1280" s="23" t="s">
        <v>12468</v>
      </c>
      <c r="C1280" s="23"/>
      <c r="D1280" s="23" t="str">
        <f t="shared" si="57"/>
        <v/>
      </c>
      <c r="E1280" s="38">
        <v>46272</v>
      </c>
      <c r="F1280" s="23" t="s">
        <v>12791</v>
      </c>
      <c r="G1280" s="23" t="s">
        <v>79</v>
      </c>
      <c r="H1280" s="24">
        <v>1648</v>
      </c>
      <c r="I1280" s="24">
        <v>0</v>
      </c>
      <c r="J1280" s="24">
        <v>0</v>
      </c>
      <c r="K1280" s="24">
        <v>-1648</v>
      </c>
      <c r="L1280" s="38">
        <v>46274</v>
      </c>
      <c r="M1280" s="23" t="s">
        <v>193</v>
      </c>
      <c r="N1280" s="23" t="str">
        <f>IF(COUNTIF($A$2:A1280,A1280)&gt;1,"DUP","OK")</f>
        <v>OK</v>
      </c>
      <c r="O1280" s="23" t="str">
        <f t="shared" si="58"/>
        <v>ORD26002538</v>
      </c>
      <c r="P1280" s="23" t="str">
        <f t="shared" si="59"/>
        <v>Sep</v>
      </c>
      <c r="Q1280" s="23" t="str">
        <f>IF(F1280="CAPTURE",IF(COUNTIF(orders!$A:$A,O1280)&gt;0,"Yes","NO ORDER"),"")</f>
        <v/>
      </c>
    </row>
    <row r="1281" spans="1:17" ht="15" customHeight="1" x14ac:dyDescent="0.3">
      <c r="A1281" s="23" t="s">
        <v>13903</v>
      </c>
      <c r="B1281" s="23"/>
      <c r="C1281" s="23" t="s">
        <v>281</v>
      </c>
      <c r="D1281" s="23" t="str">
        <f t="shared" si="57"/>
        <v>ORD26000012</v>
      </c>
      <c r="E1281" s="38">
        <v>46273</v>
      </c>
      <c r="F1281" s="23" t="s">
        <v>12410</v>
      </c>
      <c r="G1281" s="23" t="s">
        <v>75</v>
      </c>
      <c r="H1281" s="24">
        <v>13997</v>
      </c>
      <c r="I1281" s="24">
        <v>41.99</v>
      </c>
      <c r="J1281" s="24">
        <v>7.56</v>
      </c>
      <c r="K1281" s="24">
        <v>13947.45</v>
      </c>
      <c r="L1281" s="38">
        <v>46275</v>
      </c>
      <c r="M1281" s="23" t="s">
        <v>194</v>
      </c>
      <c r="N1281" s="23" t="str">
        <f>IF(COUNTIF($A$2:A1281,A1281)&gt;1,"DUP","OK")</f>
        <v>OK</v>
      </c>
      <c r="O1281" s="23" t="str">
        <f t="shared" si="58"/>
        <v>ORD26000012</v>
      </c>
      <c r="P1281" s="23" t="str">
        <f t="shared" si="59"/>
        <v>Sep</v>
      </c>
      <c r="Q1281" s="23" t="str">
        <f>IF(F1281="CAPTURE",IF(COUNTIF(orders!$A:$A,O1281)&gt;0,"Yes","NO ORDER"),"")</f>
        <v>Yes</v>
      </c>
    </row>
    <row r="1282" spans="1:17" ht="15" customHeight="1" x14ac:dyDescent="0.3">
      <c r="A1282" s="23" t="s">
        <v>13904</v>
      </c>
      <c r="B1282" s="23"/>
      <c r="C1282" s="23" t="s">
        <v>311</v>
      </c>
      <c r="D1282" s="23" t="str">
        <f t="shared" ref="D1282:D1345" si="60">UPPER(SUBSTITUTE(TRIM(C1282),"-",""))</f>
        <v>ORD26000022</v>
      </c>
      <c r="E1282" s="38">
        <v>46273</v>
      </c>
      <c r="F1282" s="23" t="s">
        <v>12410</v>
      </c>
      <c r="G1282" s="23" t="s">
        <v>75</v>
      </c>
      <c r="H1282" s="24">
        <v>999</v>
      </c>
      <c r="I1282" s="24">
        <v>0</v>
      </c>
      <c r="J1282" s="24">
        <v>0</v>
      </c>
      <c r="K1282" s="24">
        <v>999</v>
      </c>
      <c r="L1282" s="38">
        <v>46275</v>
      </c>
      <c r="M1282" s="23" t="s">
        <v>194</v>
      </c>
      <c r="N1282" s="23" t="str">
        <f>IF(COUNTIF($A$2:A1282,A1282)&gt;1,"DUP","OK")</f>
        <v>OK</v>
      </c>
      <c r="O1282" s="23" t="str">
        <f t="shared" ref="O1282:O1345" si="61">IF(F1282="REFUND",INDEX($D:$D,MATCH(B1282,$A:$A,0)),D1282)</f>
        <v>ORD26000022</v>
      </c>
      <c r="P1282" s="23" t="str">
        <f t="shared" ref="P1282:P1345" si="62">IF(L1282&gt;DATE(2026,9,30),"Oct-Due","Sep")</f>
        <v>Sep</v>
      </c>
      <c r="Q1282" s="23" t="str">
        <f>IF(F1282="CAPTURE",IF(COUNTIF(orders!$A:$A,O1282)&gt;0,"Yes","NO ORDER"),"")</f>
        <v>Yes</v>
      </c>
    </row>
    <row r="1283" spans="1:17" ht="15" customHeight="1" x14ac:dyDescent="0.3">
      <c r="A1283" s="23" t="s">
        <v>13905</v>
      </c>
      <c r="B1283" s="23"/>
      <c r="C1283" s="23" t="s">
        <v>330</v>
      </c>
      <c r="D1283" s="23" t="str">
        <f t="shared" si="60"/>
        <v>ORD26000029</v>
      </c>
      <c r="E1283" s="38">
        <v>46273</v>
      </c>
      <c r="F1283" s="23" t="s">
        <v>12410</v>
      </c>
      <c r="G1283" s="23" t="s">
        <v>79</v>
      </c>
      <c r="H1283" s="24">
        <v>898</v>
      </c>
      <c r="I1283" s="24">
        <v>16.16</v>
      </c>
      <c r="J1283" s="24">
        <v>2.91</v>
      </c>
      <c r="K1283" s="24">
        <v>878.93</v>
      </c>
      <c r="L1283" s="38">
        <v>46275</v>
      </c>
      <c r="M1283" s="23" t="s">
        <v>194</v>
      </c>
      <c r="N1283" s="23" t="str">
        <f>IF(COUNTIF($A$2:A1283,A1283)&gt;1,"DUP","OK")</f>
        <v>OK</v>
      </c>
      <c r="O1283" s="23" t="str">
        <f t="shared" si="61"/>
        <v>ORD26000029</v>
      </c>
      <c r="P1283" s="23" t="str">
        <f t="shared" si="62"/>
        <v>Sep</v>
      </c>
      <c r="Q1283" s="23" t="str">
        <f>IF(F1283="CAPTURE",IF(COUNTIF(orders!$A:$A,O1283)&gt;0,"Yes","NO ORDER"),"")</f>
        <v>Yes</v>
      </c>
    </row>
    <row r="1284" spans="1:17" ht="15" customHeight="1" x14ac:dyDescent="0.3">
      <c r="A1284" s="23" t="s">
        <v>13906</v>
      </c>
      <c r="B1284" s="23"/>
      <c r="C1284" s="23" t="s">
        <v>361</v>
      </c>
      <c r="D1284" s="23" t="str">
        <f t="shared" si="60"/>
        <v>ORD26000040</v>
      </c>
      <c r="E1284" s="38">
        <v>46273</v>
      </c>
      <c r="F1284" s="23" t="s">
        <v>12410</v>
      </c>
      <c r="G1284" s="23" t="s">
        <v>75</v>
      </c>
      <c r="H1284" s="24">
        <v>2499</v>
      </c>
      <c r="I1284" s="24">
        <v>7.5</v>
      </c>
      <c r="J1284" s="24">
        <v>1.35</v>
      </c>
      <c r="K1284" s="24">
        <v>2490.15</v>
      </c>
      <c r="L1284" s="38">
        <v>46275</v>
      </c>
      <c r="M1284" s="23" t="s">
        <v>194</v>
      </c>
      <c r="N1284" s="23" t="str">
        <f>IF(COUNTIF($A$2:A1284,A1284)&gt;1,"DUP","OK")</f>
        <v>OK</v>
      </c>
      <c r="O1284" s="23" t="str">
        <f t="shared" si="61"/>
        <v>ORD26000040</v>
      </c>
      <c r="P1284" s="23" t="str">
        <f t="shared" si="62"/>
        <v>Sep</v>
      </c>
      <c r="Q1284" s="23" t="str">
        <f>IF(F1284="CAPTURE",IF(COUNTIF(orders!$A:$A,O1284)&gt;0,"Yes","NO ORDER"),"")</f>
        <v>Yes</v>
      </c>
    </row>
    <row r="1285" spans="1:17" ht="15" customHeight="1" x14ac:dyDescent="0.3">
      <c r="A1285" s="23" t="s">
        <v>13907</v>
      </c>
      <c r="B1285" s="23"/>
      <c r="C1285" s="23" t="s">
        <v>454</v>
      </c>
      <c r="D1285" s="23" t="str">
        <f t="shared" si="60"/>
        <v>ORD26000078</v>
      </c>
      <c r="E1285" s="38">
        <v>46273</v>
      </c>
      <c r="F1285" s="23" t="s">
        <v>12410</v>
      </c>
      <c r="G1285" s="23" t="s">
        <v>75</v>
      </c>
      <c r="H1285" s="24">
        <v>1499</v>
      </c>
      <c r="I1285" s="24">
        <v>0</v>
      </c>
      <c r="J1285" s="24">
        <v>0</v>
      </c>
      <c r="K1285" s="24">
        <v>1499</v>
      </c>
      <c r="L1285" s="38">
        <v>46275</v>
      </c>
      <c r="M1285" s="23" t="s">
        <v>194</v>
      </c>
      <c r="N1285" s="23" t="str">
        <f>IF(COUNTIF($A$2:A1285,A1285)&gt;1,"DUP","OK")</f>
        <v>OK</v>
      </c>
      <c r="O1285" s="23" t="str">
        <f t="shared" si="61"/>
        <v>ORD26000078</v>
      </c>
      <c r="P1285" s="23" t="str">
        <f t="shared" si="62"/>
        <v>Sep</v>
      </c>
      <c r="Q1285" s="23" t="str">
        <f>IF(F1285="CAPTURE",IF(COUNTIF(orders!$A:$A,O1285)&gt;0,"Yes","NO ORDER"),"")</f>
        <v>Yes</v>
      </c>
    </row>
    <row r="1286" spans="1:17" ht="15" customHeight="1" x14ac:dyDescent="0.3">
      <c r="A1286" s="23" t="s">
        <v>13908</v>
      </c>
      <c r="B1286" s="23"/>
      <c r="C1286" s="23" t="s">
        <v>539</v>
      </c>
      <c r="D1286" s="23" t="str">
        <f t="shared" si="60"/>
        <v>ORD26000114</v>
      </c>
      <c r="E1286" s="38">
        <v>46273</v>
      </c>
      <c r="F1286" s="23" t="s">
        <v>12410</v>
      </c>
      <c r="G1286" s="23" t="s">
        <v>79</v>
      </c>
      <c r="H1286" s="24">
        <v>499</v>
      </c>
      <c r="I1286" s="24">
        <v>8.98</v>
      </c>
      <c r="J1286" s="24">
        <v>1.62</v>
      </c>
      <c r="K1286" s="24">
        <v>488.4</v>
      </c>
      <c r="L1286" s="38">
        <v>46275</v>
      </c>
      <c r="M1286" s="23" t="s">
        <v>194</v>
      </c>
      <c r="N1286" s="23" t="str">
        <f>IF(COUNTIF($A$2:A1286,A1286)&gt;1,"DUP","OK")</f>
        <v>OK</v>
      </c>
      <c r="O1286" s="23" t="str">
        <f t="shared" si="61"/>
        <v>ORD26000114</v>
      </c>
      <c r="P1286" s="23" t="str">
        <f t="shared" si="62"/>
        <v>Sep</v>
      </c>
      <c r="Q1286" s="23" t="str">
        <f>IF(F1286="CAPTURE",IF(COUNTIF(orders!$A:$A,O1286)&gt;0,"Yes","NO ORDER"),"")</f>
        <v>Yes</v>
      </c>
    </row>
    <row r="1287" spans="1:17" ht="15" customHeight="1" x14ac:dyDescent="0.3">
      <c r="A1287" s="23" t="s">
        <v>13909</v>
      </c>
      <c r="B1287" s="23"/>
      <c r="C1287" s="23" t="s">
        <v>696</v>
      </c>
      <c r="D1287" s="23" t="str">
        <f t="shared" si="60"/>
        <v>ORD26000181</v>
      </c>
      <c r="E1287" s="38">
        <v>46273</v>
      </c>
      <c r="F1287" s="23" t="s">
        <v>12410</v>
      </c>
      <c r="G1287" s="23" t="s">
        <v>75</v>
      </c>
      <c r="H1287" s="24">
        <v>7999</v>
      </c>
      <c r="I1287" s="24">
        <v>24</v>
      </c>
      <c r="J1287" s="24">
        <v>4.32</v>
      </c>
      <c r="K1287" s="24">
        <v>7970.68</v>
      </c>
      <c r="L1287" s="38">
        <v>46275</v>
      </c>
      <c r="M1287" s="23" t="s">
        <v>194</v>
      </c>
      <c r="N1287" s="23" t="str">
        <f>IF(COUNTIF($A$2:A1287,A1287)&gt;1,"DUP","OK")</f>
        <v>OK</v>
      </c>
      <c r="O1287" s="23" t="str">
        <f t="shared" si="61"/>
        <v>ORD26000181</v>
      </c>
      <c r="P1287" s="23" t="str">
        <f t="shared" si="62"/>
        <v>Sep</v>
      </c>
      <c r="Q1287" s="23" t="str">
        <f>IF(F1287="CAPTURE",IF(COUNTIF(orders!$A:$A,O1287)&gt;0,"Yes","NO ORDER"),"")</f>
        <v>Yes</v>
      </c>
    </row>
    <row r="1288" spans="1:17" ht="15" customHeight="1" x14ac:dyDescent="0.3">
      <c r="A1288" s="23" t="s">
        <v>13910</v>
      </c>
      <c r="B1288" s="23"/>
      <c r="C1288" s="23" t="s">
        <v>733</v>
      </c>
      <c r="D1288" s="23" t="str">
        <f t="shared" si="60"/>
        <v>ORD26000198</v>
      </c>
      <c r="E1288" s="38">
        <v>46273</v>
      </c>
      <c r="F1288" s="23" t="s">
        <v>12410</v>
      </c>
      <c r="G1288" s="23" t="s">
        <v>75</v>
      </c>
      <c r="H1288" s="24">
        <v>999</v>
      </c>
      <c r="I1288" s="24">
        <v>0</v>
      </c>
      <c r="J1288" s="24">
        <v>0</v>
      </c>
      <c r="K1288" s="24">
        <v>999</v>
      </c>
      <c r="L1288" s="38">
        <v>46275</v>
      </c>
      <c r="M1288" s="23" t="s">
        <v>194</v>
      </c>
      <c r="N1288" s="23" t="str">
        <f>IF(COUNTIF($A$2:A1288,A1288)&gt;1,"DUP","OK")</f>
        <v>OK</v>
      </c>
      <c r="O1288" s="23" t="str">
        <f t="shared" si="61"/>
        <v>ORD26000198</v>
      </c>
      <c r="P1288" s="23" t="str">
        <f t="shared" si="62"/>
        <v>Sep</v>
      </c>
      <c r="Q1288" s="23" t="str">
        <f>IF(F1288="CAPTURE",IF(COUNTIF(orders!$A:$A,O1288)&gt;0,"Yes","NO ORDER"),"")</f>
        <v>Yes</v>
      </c>
    </row>
    <row r="1289" spans="1:17" ht="15" customHeight="1" x14ac:dyDescent="0.3">
      <c r="A1289" s="23" t="s">
        <v>13911</v>
      </c>
      <c r="B1289" s="23"/>
      <c r="C1289" s="23" t="s">
        <v>783</v>
      </c>
      <c r="D1289" s="23" t="str">
        <f t="shared" si="60"/>
        <v>ORD26000217</v>
      </c>
      <c r="E1289" s="38">
        <v>46273</v>
      </c>
      <c r="F1289" s="23" t="s">
        <v>12410</v>
      </c>
      <c r="G1289" s="23" t="s">
        <v>75</v>
      </c>
      <c r="H1289" s="24">
        <v>499</v>
      </c>
      <c r="I1289" s="24">
        <v>0</v>
      </c>
      <c r="J1289" s="24">
        <v>0</v>
      </c>
      <c r="K1289" s="24">
        <v>499</v>
      </c>
      <c r="L1289" s="38">
        <v>46275</v>
      </c>
      <c r="M1289" s="23" t="s">
        <v>194</v>
      </c>
      <c r="N1289" s="23" t="str">
        <f>IF(COUNTIF($A$2:A1289,A1289)&gt;1,"DUP","OK")</f>
        <v>OK</v>
      </c>
      <c r="O1289" s="23" t="str">
        <f t="shared" si="61"/>
        <v>ORD26000217</v>
      </c>
      <c r="P1289" s="23" t="str">
        <f t="shared" si="62"/>
        <v>Sep</v>
      </c>
      <c r="Q1289" s="23" t="str">
        <f>IF(F1289="CAPTURE",IF(COUNTIF(orders!$A:$A,O1289)&gt;0,"Yes","NO ORDER"),"")</f>
        <v>Yes</v>
      </c>
    </row>
    <row r="1290" spans="1:17" ht="15" customHeight="1" x14ac:dyDescent="0.3">
      <c r="A1290" s="23" t="s">
        <v>13912</v>
      </c>
      <c r="B1290" s="23"/>
      <c r="C1290" s="23" t="s">
        <v>955</v>
      </c>
      <c r="D1290" s="23" t="str">
        <f t="shared" si="60"/>
        <v>ORD26000295</v>
      </c>
      <c r="E1290" s="38">
        <v>46273</v>
      </c>
      <c r="F1290" s="23" t="s">
        <v>12410</v>
      </c>
      <c r="G1290" s="23" t="s">
        <v>75</v>
      </c>
      <c r="H1290" s="24">
        <v>2499</v>
      </c>
      <c r="I1290" s="24">
        <v>7.5</v>
      </c>
      <c r="J1290" s="24">
        <v>1.35</v>
      </c>
      <c r="K1290" s="24">
        <v>2490.15</v>
      </c>
      <c r="L1290" s="38">
        <v>46275</v>
      </c>
      <c r="M1290" s="23" t="s">
        <v>194</v>
      </c>
      <c r="N1290" s="23" t="str">
        <f>IF(COUNTIF($A$2:A1290,A1290)&gt;1,"DUP","OK")</f>
        <v>OK</v>
      </c>
      <c r="O1290" s="23" t="str">
        <f t="shared" si="61"/>
        <v>ORD26000295</v>
      </c>
      <c r="P1290" s="23" t="str">
        <f t="shared" si="62"/>
        <v>Sep</v>
      </c>
      <c r="Q1290" s="23" t="str">
        <f>IF(F1290="CAPTURE",IF(COUNTIF(orders!$A:$A,O1290)&gt;0,"Yes","NO ORDER"),"")</f>
        <v>Yes</v>
      </c>
    </row>
    <row r="1291" spans="1:17" ht="15" customHeight="1" x14ac:dyDescent="0.3">
      <c r="A1291" s="23" t="s">
        <v>13913</v>
      </c>
      <c r="B1291" s="23"/>
      <c r="C1291" s="23" t="s">
        <v>968</v>
      </c>
      <c r="D1291" s="23" t="str">
        <f t="shared" si="60"/>
        <v>ORD26000301</v>
      </c>
      <c r="E1291" s="38">
        <v>46273</v>
      </c>
      <c r="F1291" s="23" t="s">
        <v>12410</v>
      </c>
      <c r="G1291" s="23" t="s">
        <v>75</v>
      </c>
      <c r="H1291" s="24">
        <v>3098</v>
      </c>
      <c r="I1291" s="24">
        <v>9.2899999999999991</v>
      </c>
      <c r="J1291" s="24">
        <v>1.67</v>
      </c>
      <c r="K1291" s="24">
        <v>3087.04</v>
      </c>
      <c r="L1291" s="38">
        <v>46275</v>
      </c>
      <c r="M1291" s="23" t="s">
        <v>194</v>
      </c>
      <c r="N1291" s="23" t="str">
        <f>IF(COUNTIF($A$2:A1291,A1291)&gt;1,"DUP","OK")</f>
        <v>OK</v>
      </c>
      <c r="O1291" s="23" t="str">
        <f t="shared" si="61"/>
        <v>ORD26000301</v>
      </c>
      <c r="P1291" s="23" t="str">
        <f t="shared" si="62"/>
        <v>Sep</v>
      </c>
      <c r="Q1291" s="23" t="str">
        <f>IF(F1291="CAPTURE",IF(COUNTIF(orders!$A:$A,O1291)&gt;0,"Yes","NO ORDER"),"")</f>
        <v>Yes</v>
      </c>
    </row>
    <row r="1292" spans="1:17" ht="15" customHeight="1" x14ac:dyDescent="0.3">
      <c r="A1292" s="23" t="s">
        <v>13914</v>
      </c>
      <c r="B1292" s="23"/>
      <c r="C1292" s="23" t="s">
        <v>1092</v>
      </c>
      <c r="D1292" s="23" t="str">
        <f t="shared" si="60"/>
        <v>ORD26000357</v>
      </c>
      <c r="E1292" s="38">
        <v>46273</v>
      </c>
      <c r="F1292" s="23" t="s">
        <v>12410</v>
      </c>
      <c r="G1292" s="23" t="s">
        <v>75</v>
      </c>
      <c r="H1292" s="24">
        <v>799</v>
      </c>
      <c r="I1292" s="24">
        <v>0</v>
      </c>
      <c r="J1292" s="24">
        <v>0</v>
      </c>
      <c r="K1292" s="24">
        <v>799</v>
      </c>
      <c r="L1292" s="38">
        <v>46275</v>
      </c>
      <c r="M1292" s="23" t="s">
        <v>194</v>
      </c>
      <c r="N1292" s="23" t="str">
        <f>IF(COUNTIF($A$2:A1292,A1292)&gt;1,"DUP","OK")</f>
        <v>OK</v>
      </c>
      <c r="O1292" s="23" t="str">
        <f t="shared" si="61"/>
        <v>ORD26000357</v>
      </c>
      <c r="P1292" s="23" t="str">
        <f t="shared" si="62"/>
        <v>Sep</v>
      </c>
      <c r="Q1292" s="23" t="str">
        <f>IF(F1292="CAPTURE",IF(COUNTIF(orders!$A:$A,O1292)&gt;0,"Yes","NO ORDER"),"")</f>
        <v>Yes</v>
      </c>
    </row>
    <row r="1293" spans="1:17" ht="15" customHeight="1" x14ac:dyDescent="0.3">
      <c r="A1293" s="23" t="s">
        <v>13915</v>
      </c>
      <c r="B1293" s="23"/>
      <c r="C1293" s="23" t="s">
        <v>1348</v>
      </c>
      <c r="D1293" s="23" t="str">
        <f t="shared" si="60"/>
        <v>ORD26000475</v>
      </c>
      <c r="E1293" s="38">
        <v>46273</v>
      </c>
      <c r="F1293" s="23" t="s">
        <v>12410</v>
      </c>
      <c r="G1293" s="23" t="s">
        <v>75</v>
      </c>
      <c r="H1293" s="24">
        <v>2397</v>
      </c>
      <c r="I1293" s="24">
        <v>7.19</v>
      </c>
      <c r="J1293" s="24">
        <v>1.29</v>
      </c>
      <c r="K1293" s="24">
        <v>2388.52</v>
      </c>
      <c r="L1293" s="38">
        <v>46275</v>
      </c>
      <c r="M1293" s="23" t="s">
        <v>194</v>
      </c>
      <c r="N1293" s="23" t="str">
        <f>IF(COUNTIF($A$2:A1293,A1293)&gt;1,"DUP","OK")</f>
        <v>OK</v>
      </c>
      <c r="O1293" s="23" t="str">
        <f t="shared" si="61"/>
        <v>ORD26000475</v>
      </c>
      <c r="P1293" s="23" t="str">
        <f t="shared" si="62"/>
        <v>Sep</v>
      </c>
      <c r="Q1293" s="23" t="str">
        <f>IF(F1293="CAPTURE",IF(COUNTIF(orders!$A:$A,O1293)&gt;0,"Yes","NO ORDER"),"")</f>
        <v>Yes</v>
      </c>
    </row>
    <row r="1294" spans="1:17" ht="15" customHeight="1" x14ac:dyDescent="0.3">
      <c r="A1294" s="23" t="s">
        <v>13916</v>
      </c>
      <c r="B1294" s="23"/>
      <c r="C1294" s="23" t="s">
        <v>1353</v>
      </c>
      <c r="D1294" s="23" t="str">
        <f t="shared" si="60"/>
        <v>ORD26000477</v>
      </c>
      <c r="E1294" s="38">
        <v>46273</v>
      </c>
      <c r="F1294" s="23" t="s">
        <v>12410</v>
      </c>
      <c r="G1294" s="23" t="s">
        <v>79</v>
      </c>
      <c r="H1294" s="24">
        <v>599</v>
      </c>
      <c r="I1294" s="24">
        <v>10.78</v>
      </c>
      <c r="J1294" s="24">
        <v>1.94</v>
      </c>
      <c r="K1294" s="24">
        <v>586.28</v>
      </c>
      <c r="L1294" s="38">
        <v>46275</v>
      </c>
      <c r="M1294" s="23" t="s">
        <v>194</v>
      </c>
      <c r="N1294" s="23" t="str">
        <f>IF(COUNTIF($A$2:A1294,A1294)&gt;1,"DUP","OK")</f>
        <v>OK</v>
      </c>
      <c r="O1294" s="23" t="str">
        <f t="shared" si="61"/>
        <v>ORD26000477</v>
      </c>
      <c r="P1294" s="23" t="str">
        <f t="shared" si="62"/>
        <v>Sep</v>
      </c>
      <c r="Q1294" s="23" t="str">
        <f>IF(F1294="CAPTURE",IF(COUNTIF(orders!$A:$A,O1294)&gt;0,"Yes","NO ORDER"),"")</f>
        <v>Yes</v>
      </c>
    </row>
    <row r="1295" spans="1:17" ht="15" customHeight="1" x14ac:dyDescent="0.3">
      <c r="A1295" s="23" t="s">
        <v>13917</v>
      </c>
      <c r="B1295" s="23"/>
      <c r="C1295" s="23" t="s">
        <v>1396</v>
      </c>
      <c r="D1295" s="23" t="str">
        <f t="shared" si="60"/>
        <v>ORD26000496</v>
      </c>
      <c r="E1295" s="38">
        <v>46273</v>
      </c>
      <c r="F1295" s="23" t="s">
        <v>12410</v>
      </c>
      <c r="G1295" s="23" t="s">
        <v>79</v>
      </c>
      <c r="H1295" s="24">
        <v>3998</v>
      </c>
      <c r="I1295" s="24">
        <v>63.97</v>
      </c>
      <c r="J1295" s="24">
        <v>11.51</v>
      </c>
      <c r="K1295" s="24">
        <v>3922.52</v>
      </c>
      <c r="L1295" s="38">
        <v>46275</v>
      </c>
      <c r="M1295" s="23" t="s">
        <v>194</v>
      </c>
      <c r="N1295" s="23" t="str">
        <f>IF(COUNTIF($A$2:A1295,A1295)&gt;1,"DUP","OK")</f>
        <v>OK</v>
      </c>
      <c r="O1295" s="23" t="str">
        <f t="shared" si="61"/>
        <v>ORD26000496</v>
      </c>
      <c r="P1295" s="23" t="str">
        <f t="shared" si="62"/>
        <v>Sep</v>
      </c>
      <c r="Q1295" s="23" t="str">
        <f>IF(F1295="CAPTURE",IF(COUNTIF(orders!$A:$A,O1295)&gt;0,"Yes","NO ORDER"),"")</f>
        <v>Yes</v>
      </c>
    </row>
    <row r="1296" spans="1:17" ht="15" customHeight="1" x14ac:dyDescent="0.3">
      <c r="A1296" s="23" t="s">
        <v>13918</v>
      </c>
      <c r="B1296" s="23"/>
      <c r="C1296" s="23" t="s">
        <v>1419</v>
      </c>
      <c r="D1296" s="23" t="str">
        <f t="shared" si="60"/>
        <v>ORD26000507</v>
      </c>
      <c r="E1296" s="38">
        <v>46273</v>
      </c>
      <c r="F1296" s="23" t="s">
        <v>12410</v>
      </c>
      <c r="G1296" s="23" t="s">
        <v>77</v>
      </c>
      <c r="H1296" s="24">
        <v>3197</v>
      </c>
      <c r="I1296" s="24">
        <v>54.35</v>
      </c>
      <c r="J1296" s="24">
        <v>9.7799999999999994</v>
      </c>
      <c r="K1296" s="24">
        <v>3132.87</v>
      </c>
      <c r="L1296" s="38">
        <v>46275</v>
      </c>
      <c r="M1296" s="23" t="s">
        <v>194</v>
      </c>
      <c r="N1296" s="23" t="str">
        <f>IF(COUNTIF($A$2:A1296,A1296)&gt;1,"DUP","OK")</f>
        <v>OK</v>
      </c>
      <c r="O1296" s="23" t="str">
        <f t="shared" si="61"/>
        <v>ORD26000507</v>
      </c>
      <c r="P1296" s="23" t="str">
        <f t="shared" si="62"/>
        <v>Sep</v>
      </c>
      <c r="Q1296" s="23" t="str">
        <f>IF(F1296="CAPTURE",IF(COUNTIF(orders!$A:$A,O1296)&gt;0,"Yes","NO ORDER"),"")</f>
        <v>Yes</v>
      </c>
    </row>
    <row r="1297" spans="1:17" ht="15" customHeight="1" x14ac:dyDescent="0.3">
      <c r="A1297" s="23" t="s">
        <v>13919</v>
      </c>
      <c r="B1297" s="23"/>
      <c r="C1297" s="23" t="s">
        <v>1443</v>
      </c>
      <c r="D1297" s="23" t="str">
        <f t="shared" si="60"/>
        <v>ORD26000517</v>
      </c>
      <c r="E1297" s="38">
        <v>46273</v>
      </c>
      <c r="F1297" s="23" t="s">
        <v>12410</v>
      </c>
      <c r="G1297" s="23" t="s">
        <v>79</v>
      </c>
      <c r="H1297" s="24">
        <v>10997</v>
      </c>
      <c r="I1297" s="24">
        <v>175.95</v>
      </c>
      <c r="J1297" s="24">
        <v>31.67</v>
      </c>
      <c r="K1297" s="24">
        <v>10789.38</v>
      </c>
      <c r="L1297" s="38">
        <v>46275</v>
      </c>
      <c r="M1297" s="23" t="s">
        <v>194</v>
      </c>
      <c r="N1297" s="23" t="str">
        <f>IF(COUNTIF($A$2:A1297,A1297)&gt;1,"DUP","OK")</f>
        <v>OK</v>
      </c>
      <c r="O1297" s="23" t="str">
        <f t="shared" si="61"/>
        <v>ORD26000517</v>
      </c>
      <c r="P1297" s="23" t="str">
        <f t="shared" si="62"/>
        <v>Sep</v>
      </c>
      <c r="Q1297" s="23" t="str">
        <f>IF(F1297="CAPTURE",IF(COUNTIF(orders!$A:$A,O1297)&gt;0,"Yes","NO ORDER"),"")</f>
        <v>Yes</v>
      </c>
    </row>
    <row r="1298" spans="1:17" ht="15" customHeight="1" x14ac:dyDescent="0.3">
      <c r="A1298" s="23" t="s">
        <v>13920</v>
      </c>
      <c r="B1298" s="23"/>
      <c r="C1298" s="23" t="s">
        <v>1574</v>
      </c>
      <c r="D1298" s="23" t="str">
        <f t="shared" si="60"/>
        <v>ORD26000577</v>
      </c>
      <c r="E1298" s="38">
        <v>46273</v>
      </c>
      <c r="F1298" s="23" t="s">
        <v>12410</v>
      </c>
      <c r="G1298" s="23" t="s">
        <v>77</v>
      </c>
      <c r="H1298" s="24">
        <v>1299</v>
      </c>
      <c r="I1298" s="24">
        <v>24.68</v>
      </c>
      <c r="J1298" s="24">
        <v>4.4400000000000004</v>
      </c>
      <c r="K1298" s="24">
        <v>1269.8800000000001</v>
      </c>
      <c r="L1298" s="38">
        <v>46275</v>
      </c>
      <c r="M1298" s="23" t="s">
        <v>194</v>
      </c>
      <c r="N1298" s="23" t="str">
        <f>IF(COUNTIF($A$2:A1298,A1298)&gt;1,"DUP","OK")</f>
        <v>OK</v>
      </c>
      <c r="O1298" s="23" t="str">
        <f t="shared" si="61"/>
        <v>ORD26000577</v>
      </c>
      <c r="P1298" s="23" t="str">
        <f t="shared" si="62"/>
        <v>Sep</v>
      </c>
      <c r="Q1298" s="23" t="str">
        <f>IF(F1298="CAPTURE",IF(COUNTIF(orders!$A:$A,O1298)&gt;0,"Yes","NO ORDER"),"")</f>
        <v>Yes</v>
      </c>
    </row>
    <row r="1299" spans="1:17" ht="15" customHeight="1" x14ac:dyDescent="0.3">
      <c r="A1299" s="23" t="s">
        <v>13921</v>
      </c>
      <c r="B1299" s="23"/>
      <c r="C1299" s="23" t="s">
        <v>1689</v>
      </c>
      <c r="D1299" s="23" t="str">
        <f t="shared" si="60"/>
        <v>ORD26000630</v>
      </c>
      <c r="E1299" s="38">
        <v>46273</v>
      </c>
      <c r="F1299" s="23" t="s">
        <v>12410</v>
      </c>
      <c r="G1299" s="23" t="s">
        <v>79</v>
      </c>
      <c r="H1299" s="24">
        <v>2499</v>
      </c>
      <c r="I1299" s="24">
        <v>39.979999999999997</v>
      </c>
      <c r="J1299" s="24">
        <v>7.2</v>
      </c>
      <c r="K1299" s="24">
        <v>2451.8200000000002</v>
      </c>
      <c r="L1299" s="38">
        <v>46275</v>
      </c>
      <c r="M1299" s="23" t="s">
        <v>194</v>
      </c>
      <c r="N1299" s="23" t="str">
        <f>IF(COUNTIF($A$2:A1299,A1299)&gt;1,"DUP","OK")</f>
        <v>OK</v>
      </c>
      <c r="O1299" s="23" t="str">
        <f t="shared" si="61"/>
        <v>ORD26000630</v>
      </c>
      <c r="P1299" s="23" t="str">
        <f t="shared" si="62"/>
        <v>Sep</v>
      </c>
      <c r="Q1299" s="23" t="str">
        <f>IF(F1299="CAPTURE",IF(COUNTIF(orders!$A:$A,O1299)&gt;0,"Yes","NO ORDER"),"")</f>
        <v>Yes</v>
      </c>
    </row>
    <row r="1300" spans="1:17" ht="15" customHeight="1" x14ac:dyDescent="0.3">
      <c r="A1300" s="23" t="s">
        <v>13922</v>
      </c>
      <c r="B1300" s="23"/>
      <c r="C1300" s="23" t="s">
        <v>13923</v>
      </c>
      <c r="D1300" s="23" t="str">
        <f t="shared" si="60"/>
        <v>ORD26000747</v>
      </c>
      <c r="E1300" s="38">
        <v>46273</v>
      </c>
      <c r="F1300" s="23" t="s">
        <v>12410</v>
      </c>
      <c r="G1300" s="23" t="s">
        <v>75</v>
      </c>
      <c r="H1300" s="24">
        <v>5498</v>
      </c>
      <c r="I1300" s="24">
        <v>16.489999999999998</v>
      </c>
      <c r="J1300" s="24">
        <v>2.97</v>
      </c>
      <c r="K1300" s="24">
        <v>5478.54</v>
      </c>
      <c r="L1300" s="38">
        <v>46275</v>
      </c>
      <c r="M1300" s="23" t="s">
        <v>194</v>
      </c>
      <c r="N1300" s="23" t="str">
        <f>IF(COUNTIF($A$2:A1300,A1300)&gt;1,"DUP","OK")</f>
        <v>OK</v>
      </c>
      <c r="O1300" s="23" t="str">
        <f t="shared" si="61"/>
        <v>ORD26000747</v>
      </c>
      <c r="P1300" s="23" t="str">
        <f t="shared" si="62"/>
        <v>Sep</v>
      </c>
      <c r="Q1300" s="23" t="str">
        <f>IF(F1300="CAPTURE",IF(COUNTIF(orders!$A:$A,O1300)&gt;0,"Yes","NO ORDER"),"")</f>
        <v>Yes</v>
      </c>
    </row>
    <row r="1301" spans="1:17" ht="15" customHeight="1" x14ac:dyDescent="0.3">
      <c r="A1301" s="23" t="s">
        <v>13924</v>
      </c>
      <c r="B1301" s="23"/>
      <c r="C1301" s="23" t="s">
        <v>1941</v>
      </c>
      <c r="D1301" s="23" t="str">
        <f t="shared" si="60"/>
        <v>ORD26000751</v>
      </c>
      <c r="E1301" s="38">
        <v>46273</v>
      </c>
      <c r="F1301" s="23" t="s">
        <v>12410</v>
      </c>
      <c r="G1301" s="23" t="s">
        <v>79</v>
      </c>
      <c r="H1301" s="24">
        <v>999</v>
      </c>
      <c r="I1301" s="24">
        <v>17.98</v>
      </c>
      <c r="J1301" s="24">
        <v>3.24</v>
      </c>
      <c r="K1301" s="24">
        <v>977.78</v>
      </c>
      <c r="L1301" s="38">
        <v>46275</v>
      </c>
      <c r="M1301" s="23" t="s">
        <v>194</v>
      </c>
      <c r="N1301" s="23" t="str">
        <f>IF(COUNTIF($A$2:A1301,A1301)&gt;1,"DUP","OK")</f>
        <v>OK</v>
      </c>
      <c r="O1301" s="23" t="str">
        <f t="shared" si="61"/>
        <v>ORD26000751</v>
      </c>
      <c r="P1301" s="23" t="str">
        <f t="shared" si="62"/>
        <v>Sep</v>
      </c>
      <c r="Q1301" s="23" t="str">
        <f>IF(F1301="CAPTURE",IF(COUNTIF(orders!$A:$A,O1301)&gt;0,"Yes","NO ORDER"),"")</f>
        <v>Yes</v>
      </c>
    </row>
    <row r="1302" spans="1:17" ht="15" customHeight="1" x14ac:dyDescent="0.3">
      <c r="A1302" s="23" t="s">
        <v>13925</v>
      </c>
      <c r="B1302" s="23"/>
      <c r="C1302" s="23" t="s">
        <v>13926</v>
      </c>
      <c r="D1302" s="23" t="str">
        <f t="shared" si="60"/>
        <v>ORD26000757</v>
      </c>
      <c r="E1302" s="38">
        <v>46273</v>
      </c>
      <c r="F1302" s="23" t="s">
        <v>12410</v>
      </c>
      <c r="G1302" s="23" t="s">
        <v>75</v>
      </c>
      <c r="H1302" s="24">
        <v>5297</v>
      </c>
      <c r="I1302" s="24">
        <v>15.89</v>
      </c>
      <c r="J1302" s="24">
        <v>2.86</v>
      </c>
      <c r="K1302" s="24">
        <v>5278.25</v>
      </c>
      <c r="L1302" s="38">
        <v>46275</v>
      </c>
      <c r="M1302" s="23" t="s">
        <v>194</v>
      </c>
      <c r="N1302" s="23" t="str">
        <f>IF(COUNTIF($A$2:A1302,A1302)&gt;1,"DUP","OK")</f>
        <v>OK</v>
      </c>
      <c r="O1302" s="23" t="str">
        <f t="shared" si="61"/>
        <v>ORD26000757</v>
      </c>
      <c r="P1302" s="23" t="str">
        <f t="shared" si="62"/>
        <v>Sep</v>
      </c>
      <c r="Q1302" s="23" t="str">
        <f>IF(F1302="CAPTURE",IF(COUNTIF(orders!$A:$A,O1302)&gt;0,"Yes","NO ORDER"),"")</f>
        <v>Yes</v>
      </c>
    </row>
    <row r="1303" spans="1:17" ht="15" customHeight="1" x14ac:dyDescent="0.3">
      <c r="A1303" s="23" t="s">
        <v>13927</v>
      </c>
      <c r="B1303" s="23"/>
      <c r="C1303" s="23" t="s">
        <v>2043</v>
      </c>
      <c r="D1303" s="23" t="str">
        <f t="shared" si="60"/>
        <v>ORD26000798</v>
      </c>
      <c r="E1303" s="38">
        <v>46273</v>
      </c>
      <c r="F1303" s="23" t="s">
        <v>12410</v>
      </c>
      <c r="G1303" s="23" t="s">
        <v>75</v>
      </c>
      <c r="H1303" s="24">
        <v>698</v>
      </c>
      <c r="I1303" s="24">
        <v>0</v>
      </c>
      <c r="J1303" s="24">
        <v>0</v>
      </c>
      <c r="K1303" s="24">
        <v>698</v>
      </c>
      <c r="L1303" s="38">
        <v>46275</v>
      </c>
      <c r="M1303" s="23" t="s">
        <v>194</v>
      </c>
      <c r="N1303" s="23" t="str">
        <f>IF(COUNTIF($A$2:A1303,A1303)&gt;1,"DUP","OK")</f>
        <v>OK</v>
      </c>
      <c r="O1303" s="23" t="str">
        <f t="shared" si="61"/>
        <v>ORD26000798</v>
      </c>
      <c r="P1303" s="23" t="str">
        <f t="shared" si="62"/>
        <v>Sep</v>
      </c>
      <c r="Q1303" s="23" t="str">
        <f>IF(F1303="CAPTURE",IF(COUNTIF(orders!$A:$A,O1303)&gt;0,"Yes","NO ORDER"),"")</f>
        <v>Yes</v>
      </c>
    </row>
    <row r="1304" spans="1:17" ht="15" customHeight="1" x14ac:dyDescent="0.3">
      <c r="A1304" s="23" t="s">
        <v>13928</v>
      </c>
      <c r="B1304" s="23"/>
      <c r="C1304" s="23" t="s">
        <v>2065</v>
      </c>
      <c r="D1304" s="23" t="str">
        <f t="shared" si="60"/>
        <v>ORD26000809</v>
      </c>
      <c r="E1304" s="38">
        <v>46273</v>
      </c>
      <c r="F1304" s="23" t="s">
        <v>12410</v>
      </c>
      <c r="G1304" s="23" t="s">
        <v>75</v>
      </c>
      <c r="H1304" s="24">
        <v>799</v>
      </c>
      <c r="I1304" s="24">
        <v>0</v>
      </c>
      <c r="J1304" s="24">
        <v>0</v>
      </c>
      <c r="K1304" s="24">
        <v>799</v>
      </c>
      <c r="L1304" s="38">
        <v>46275</v>
      </c>
      <c r="M1304" s="23" t="s">
        <v>194</v>
      </c>
      <c r="N1304" s="23" t="str">
        <f>IF(COUNTIF($A$2:A1304,A1304)&gt;1,"DUP","OK")</f>
        <v>OK</v>
      </c>
      <c r="O1304" s="23" t="str">
        <f t="shared" si="61"/>
        <v>ORD26000809</v>
      </c>
      <c r="P1304" s="23" t="str">
        <f t="shared" si="62"/>
        <v>Sep</v>
      </c>
      <c r="Q1304" s="23" t="str">
        <f>IF(F1304="CAPTURE",IF(COUNTIF(orders!$A:$A,O1304)&gt;0,"Yes","NO ORDER"),"")</f>
        <v>Yes</v>
      </c>
    </row>
    <row r="1305" spans="1:17" ht="15" customHeight="1" x14ac:dyDescent="0.3">
      <c r="A1305" s="23" t="s">
        <v>13929</v>
      </c>
      <c r="B1305" s="23"/>
      <c r="C1305" s="23" t="s">
        <v>2126</v>
      </c>
      <c r="D1305" s="23" t="str">
        <f t="shared" si="60"/>
        <v>ORD26000838</v>
      </c>
      <c r="E1305" s="38">
        <v>46273</v>
      </c>
      <c r="F1305" s="23" t="s">
        <v>12410</v>
      </c>
      <c r="G1305" s="23" t="s">
        <v>77</v>
      </c>
      <c r="H1305" s="24">
        <v>1798</v>
      </c>
      <c r="I1305" s="24">
        <v>34.159999999999997</v>
      </c>
      <c r="J1305" s="24">
        <v>6.15</v>
      </c>
      <c r="K1305" s="24">
        <v>1757.69</v>
      </c>
      <c r="L1305" s="38">
        <v>46275</v>
      </c>
      <c r="M1305" s="23" t="s">
        <v>194</v>
      </c>
      <c r="N1305" s="23" t="str">
        <f>IF(COUNTIF($A$2:A1305,A1305)&gt;1,"DUP","OK")</f>
        <v>OK</v>
      </c>
      <c r="O1305" s="23" t="str">
        <f t="shared" si="61"/>
        <v>ORD26000838</v>
      </c>
      <c r="P1305" s="23" t="str">
        <f t="shared" si="62"/>
        <v>Sep</v>
      </c>
      <c r="Q1305" s="23" t="str">
        <f>IF(F1305="CAPTURE",IF(COUNTIF(orders!$A:$A,O1305)&gt;0,"Yes","NO ORDER"),"")</f>
        <v>Yes</v>
      </c>
    </row>
    <row r="1306" spans="1:17" ht="15" customHeight="1" x14ac:dyDescent="0.3">
      <c r="A1306" s="23" t="s">
        <v>13930</v>
      </c>
      <c r="B1306" s="23"/>
      <c r="C1306" s="23" t="s">
        <v>2210</v>
      </c>
      <c r="D1306" s="23" t="str">
        <f t="shared" si="60"/>
        <v>ORD26000878</v>
      </c>
      <c r="E1306" s="38">
        <v>46273</v>
      </c>
      <c r="F1306" s="23" t="s">
        <v>12410</v>
      </c>
      <c r="G1306" s="23" t="s">
        <v>75</v>
      </c>
      <c r="H1306" s="24">
        <v>1697</v>
      </c>
      <c r="I1306" s="24">
        <v>0</v>
      </c>
      <c r="J1306" s="24">
        <v>0</v>
      </c>
      <c r="K1306" s="24">
        <v>1697</v>
      </c>
      <c r="L1306" s="38">
        <v>46275</v>
      </c>
      <c r="M1306" s="23" t="s">
        <v>194</v>
      </c>
      <c r="N1306" s="23" t="str">
        <f>IF(COUNTIF($A$2:A1306,A1306)&gt;1,"DUP","OK")</f>
        <v>OK</v>
      </c>
      <c r="O1306" s="23" t="str">
        <f t="shared" si="61"/>
        <v>ORD26000878</v>
      </c>
      <c r="P1306" s="23" t="str">
        <f t="shared" si="62"/>
        <v>Sep</v>
      </c>
      <c r="Q1306" s="23" t="str">
        <f>IF(F1306="CAPTURE",IF(COUNTIF(orders!$A:$A,O1306)&gt;0,"Yes","NO ORDER"),"")</f>
        <v>Yes</v>
      </c>
    </row>
    <row r="1307" spans="1:17" ht="15" customHeight="1" x14ac:dyDescent="0.3">
      <c r="A1307" s="23" t="s">
        <v>13931</v>
      </c>
      <c r="B1307" s="23"/>
      <c r="C1307" s="23" t="s">
        <v>13932</v>
      </c>
      <c r="D1307" s="23" t="str">
        <f t="shared" si="60"/>
        <v>ORD26000913</v>
      </c>
      <c r="E1307" s="38">
        <v>46273</v>
      </c>
      <c r="F1307" s="23" t="s">
        <v>12410</v>
      </c>
      <c r="G1307" s="23" t="s">
        <v>79</v>
      </c>
      <c r="H1307" s="24">
        <v>8797</v>
      </c>
      <c r="I1307" s="24">
        <v>140.75</v>
      </c>
      <c r="J1307" s="24">
        <v>25.34</v>
      </c>
      <c r="K1307" s="24">
        <v>8630.91</v>
      </c>
      <c r="L1307" s="38">
        <v>46275</v>
      </c>
      <c r="M1307" s="23" t="s">
        <v>194</v>
      </c>
      <c r="N1307" s="23" t="str">
        <f>IF(COUNTIF($A$2:A1307,A1307)&gt;1,"DUP","OK")</f>
        <v>OK</v>
      </c>
      <c r="O1307" s="23" t="str">
        <f t="shared" si="61"/>
        <v>ORD26000913</v>
      </c>
      <c r="P1307" s="23" t="str">
        <f t="shared" si="62"/>
        <v>Sep</v>
      </c>
      <c r="Q1307" s="23" t="str">
        <f>IF(F1307="CAPTURE",IF(COUNTIF(orders!$A:$A,O1307)&gt;0,"Yes","NO ORDER"),"")</f>
        <v>Yes</v>
      </c>
    </row>
    <row r="1308" spans="1:17" ht="15" customHeight="1" x14ac:dyDescent="0.3">
      <c r="A1308" s="23" t="s">
        <v>13933</v>
      </c>
      <c r="B1308" s="23"/>
      <c r="C1308" s="23" t="s">
        <v>2430</v>
      </c>
      <c r="D1308" s="23" t="str">
        <f t="shared" si="60"/>
        <v>ORD26000985</v>
      </c>
      <c r="E1308" s="38">
        <v>46273</v>
      </c>
      <c r="F1308" s="23" t="s">
        <v>12410</v>
      </c>
      <c r="G1308" s="23" t="s">
        <v>75</v>
      </c>
      <c r="H1308" s="24">
        <v>2999</v>
      </c>
      <c r="I1308" s="24">
        <v>9</v>
      </c>
      <c r="J1308" s="24">
        <v>1.62</v>
      </c>
      <c r="K1308" s="24">
        <v>2988.38</v>
      </c>
      <c r="L1308" s="38">
        <v>46275</v>
      </c>
      <c r="M1308" s="23" t="s">
        <v>194</v>
      </c>
      <c r="N1308" s="23" t="str">
        <f>IF(COUNTIF($A$2:A1308,A1308)&gt;1,"DUP","OK")</f>
        <v>OK</v>
      </c>
      <c r="O1308" s="23" t="str">
        <f t="shared" si="61"/>
        <v>ORD26000985</v>
      </c>
      <c r="P1308" s="23" t="str">
        <f t="shared" si="62"/>
        <v>Sep</v>
      </c>
      <c r="Q1308" s="23" t="str">
        <f>IF(F1308="CAPTURE",IF(COUNTIF(orders!$A:$A,O1308)&gt;0,"Yes","NO ORDER"),"")</f>
        <v>Yes</v>
      </c>
    </row>
    <row r="1309" spans="1:17" ht="15" customHeight="1" x14ac:dyDescent="0.3">
      <c r="A1309" s="23" t="s">
        <v>13934</v>
      </c>
      <c r="B1309" s="23"/>
      <c r="C1309" s="23" t="s">
        <v>2514</v>
      </c>
      <c r="D1309" s="23" t="str">
        <f t="shared" si="60"/>
        <v>ORD26001026</v>
      </c>
      <c r="E1309" s="38">
        <v>46273</v>
      </c>
      <c r="F1309" s="23" t="s">
        <v>12410</v>
      </c>
      <c r="G1309" s="23" t="s">
        <v>75</v>
      </c>
      <c r="H1309" s="24">
        <v>1798</v>
      </c>
      <c r="I1309" s="24">
        <v>0</v>
      </c>
      <c r="J1309" s="24">
        <v>0</v>
      </c>
      <c r="K1309" s="24">
        <v>1798</v>
      </c>
      <c r="L1309" s="38">
        <v>46275</v>
      </c>
      <c r="M1309" s="23" t="s">
        <v>194</v>
      </c>
      <c r="N1309" s="23" t="str">
        <f>IF(COUNTIF($A$2:A1309,A1309)&gt;1,"DUP","OK")</f>
        <v>OK</v>
      </c>
      <c r="O1309" s="23" t="str">
        <f t="shared" si="61"/>
        <v>ORD26001026</v>
      </c>
      <c r="P1309" s="23" t="str">
        <f t="shared" si="62"/>
        <v>Sep</v>
      </c>
      <c r="Q1309" s="23" t="str">
        <f>IF(F1309="CAPTURE",IF(COUNTIF(orders!$A:$A,O1309)&gt;0,"Yes","NO ORDER"),"")</f>
        <v>Yes</v>
      </c>
    </row>
    <row r="1310" spans="1:17" ht="15" customHeight="1" x14ac:dyDescent="0.3">
      <c r="A1310" s="23" t="s">
        <v>13935</v>
      </c>
      <c r="B1310" s="23"/>
      <c r="C1310" s="23" t="s">
        <v>2537</v>
      </c>
      <c r="D1310" s="23" t="str">
        <f t="shared" si="60"/>
        <v>ORD26001037</v>
      </c>
      <c r="E1310" s="38">
        <v>46273</v>
      </c>
      <c r="F1310" s="23" t="s">
        <v>12410</v>
      </c>
      <c r="G1310" s="23" t="s">
        <v>75</v>
      </c>
      <c r="H1310" s="24">
        <v>599</v>
      </c>
      <c r="I1310" s="24">
        <v>0</v>
      </c>
      <c r="J1310" s="24">
        <v>0</v>
      </c>
      <c r="K1310" s="24">
        <v>599</v>
      </c>
      <c r="L1310" s="38">
        <v>46275</v>
      </c>
      <c r="M1310" s="23" t="s">
        <v>194</v>
      </c>
      <c r="N1310" s="23" t="str">
        <f>IF(COUNTIF($A$2:A1310,A1310)&gt;1,"DUP","OK")</f>
        <v>OK</v>
      </c>
      <c r="O1310" s="23" t="str">
        <f t="shared" si="61"/>
        <v>ORD26001037</v>
      </c>
      <c r="P1310" s="23" t="str">
        <f t="shared" si="62"/>
        <v>Sep</v>
      </c>
      <c r="Q1310" s="23" t="str">
        <f>IF(F1310="CAPTURE",IF(COUNTIF(orders!$A:$A,O1310)&gt;0,"Yes","NO ORDER"),"")</f>
        <v>Yes</v>
      </c>
    </row>
    <row r="1311" spans="1:17" ht="15" customHeight="1" x14ac:dyDescent="0.3">
      <c r="A1311" s="23" t="s">
        <v>13936</v>
      </c>
      <c r="B1311" s="23"/>
      <c r="C1311" s="23" t="s">
        <v>2545</v>
      </c>
      <c r="D1311" s="23" t="str">
        <f t="shared" si="60"/>
        <v>ORD26001041</v>
      </c>
      <c r="E1311" s="38">
        <v>46273</v>
      </c>
      <c r="F1311" s="23" t="s">
        <v>12410</v>
      </c>
      <c r="G1311" s="23" t="s">
        <v>75</v>
      </c>
      <c r="H1311" s="24">
        <v>6297</v>
      </c>
      <c r="I1311" s="24">
        <v>18.89</v>
      </c>
      <c r="J1311" s="24">
        <v>3.4</v>
      </c>
      <c r="K1311" s="24">
        <v>6274.71</v>
      </c>
      <c r="L1311" s="38">
        <v>46275</v>
      </c>
      <c r="M1311" s="23" t="s">
        <v>194</v>
      </c>
      <c r="N1311" s="23" t="str">
        <f>IF(COUNTIF($A$2:A1311,A1311)&gt;1,"DUP","OK")</f>
        <v>OK</v>
      </c>
      <c r="O1311" s="23" t="str">
        <f t="shared" si="61"/>
        <v>ORD26001041</v>
      </c>
      <c r="P1311" s="23" t="str">
        <f t="shared" si="62"/>
        <v>Sep</v>
      </c>
      <c r="Q1311" s="23" t="str">
        <f>IF(F1311="CAPTURE",IF(COUNTIF(orders!$A:$A,O1311)&gt;0,"Yes","NO ORDER"),"")</f>
        <v>Yes</v>
      </c>
    </row>
    <row r="1312" spans="1:17" ht="15" customHeight="1" x14ac:dyDescent="0.3">
      <c r="A1312" s="23" t="s">
        <v>13937</v>
      </c>
      <c r="B1312" s="23"/>
      <c r="C1312" s="23" t="s">
        <v>2610</v>
      </c>
      <c r="D1312" s="23" t="str">
        <f t="shared" si="60"/>
        <v>ORD26001073</v>
      </c>
      <c r="E1312" s="38">
        <v>46273</v>
      </c>
      <c r="F1312" s="23" t="s">
        <v>12410</v>
      </c>
      <c r="G1312" s="23" t="s">
        <v>75</v>
      </c>
      <c r="H1312" s="24">
        <v>5348</v>
      </c>
      <c r="I1312" s="24">
        <v>16.04</v>
      </c>
      <c r="J1312" s="24">
        <v>2.89</v>
      </c>
      <c r="K1312" s="24">
        <v>5329.07</v>
      </c>
      <c r="L1312" s="38">
        <v>46275</v>
      </c>
      <c r="M1312" s="23" t="s">
        <v>194</v>
      </c>
      <c r="N1312" s="23" t="str">
        <f>IF(COUNTIF($A$2:A1312,A1312)&gt;1,"DUP","OK")</f>
        <v>OK</v>
      </c>
      <c r="O1312" s="23" t="str">
        <f t="shared" si="61"/>
        <v>ORD26001073</v>
      </c>
      <c r="P1312" s="23" t="str">
        <f t="shared" si="62"/>
        <v>Sep</v>
      </c>
      <c r="Q1312" s="23" t="str">
        <f>IF(F1312="CAPTURE",IF(COUNTIF(orders!$A:$A,O1312)&gt;0,"Yes","NO ORDER"),"")</f>
        <v>Yes</v>
      </c>
    </row>
    <row r="1313" spans="1:17" ht="15" customHeight="1" x14ac:dyDescent="0.3">
      <c r="A1313" s="23" t="s">
        <v>13938</v>
      </c>
      <c r="B1313" s="23"/>
      <c r="C1313" s="23" t="s">
        <v>2633</v>
      </c>
      <c r="D1313" s="23" t="str">
        <f t="shared" si="60"/>
        <v>ORD26001084</v>
      </c>
      <c r="E1313" s="38">
        <v>46273</v>
      </c>
      <c r="F1313" s="23" t="s">
        <v>12410</v>
      </c>
      <c r="G1313" s="23" t="s">
        <v>81</v>
      </c>
      <c r="H1313" s="24">
        <v>1147</v>
      </c>
      <c r="I1313" s="24">
        <v>17.21</v>
      </c>
      <c r="J1313" s="24">
        <v>3.1</v>
      </c>
      <c r="K1313" s="24">
        <v>1126.69</v>
      </c>
      <c r="L1313" s="38">
        <v>46275</v>
      </c>
      <c r="M1313" s="23" t="s">
        <v>194</v>
      </c>
      <c r="N1313" s="23" t="str">
        <f>IF(COUNTIF($A$2:A1313,A1313)&gt;1,"DUP","OK")</f>
        <v>OK</v>
      </c>
      <c r="O1313" s="23" t="str">
        <f t="shared" si="61"/>
        <v>ORD26001084</v>
      </c>
      <c r="P1313" s="23" t="str">
        <f t="shared" si="62"/>
        <v>Sep</v>
      </c>
      <c r="Q1313" s="23" t="str">
        <f>IF(F1313="CAPTURE",IF(COUNTIF(orders!$A:$A,O1313)&gt;0,"Yes","NO ORDER"),"")</f>
        <v>Yes</v>
      </c>
    </row>
    <row r="1314" spans="1:17" ht="15" customHeight="1" x14ac:dyDescent="0.3">
      <c r="A1314" s="23" t="s">
        <v>13939</v>
      </c>
      <c r="B1314" s="23"/>
      <c r="C1314" s="23" t="s">
        <v>13940</v>
      </c>
      <c r="D1314" s="23" t="str">
        <f t="shared" si="60"/>
        <v>ORD26001121</v>
      </c>
      <c r="E1314" s="38">
        <v>46273</v>
      </c>
      <c r="F1314" s="23" t="s">
        <v>12410</v>
      </c>
      <c r="G1314" s="23" t="s">
        <v>77</v>
      </c>
      <c r="H1314" s="24">
        <v>349</v>
      </c>
      <c r="I1314" s="24">
        <v>6.63</v>
      </c>
      <c r="J1314" s="24">
        <v>1.19</v>
      </c>
      <c r="K1314" s="24">
        <v>341.18</v>
      </c>
      <c r="L1314" s="38">
        <v>46275</v>
      </c>
      <c r="M1314" s="23" t="s">
        <v>194</v>
      </c>
      <c r="N1314" s="23" t="str">
        <f>IF(COUNTIF($A$2:A1314,A1314)&gt;1,"DUP","OK")</f>
        <v>OK</v>
      </c>
      <c r="O1314" s="23" t="str">
        <f t="shared" si="61"/>
        <v>ORD26001121</v>
      </c>
      <c r="P1314" s="23" t="str">
        <f t="shared" si="62"/>
        <v>Sep</v>
      </c>
      <c r="Q1314" s="23" t="str">
        <f>IF(F1314="CAPTURE",IF(COUNTIF(orders!$A:$A,O1314)&gt;0,"Yes","NO ORDER"),"")</f>
        <v>Yes</v>
      </c>
    </row>
    <row r="1315" spans="1:17" ht="15" customHeight="1" x14ac:dyDescent="0.3">
      <c r="A1315" s="23" t="s">
        <v>13941</v>
      </c>
      <c r="B1315" s="23"/>
      <c r="C1315" s="23" t="s">
        <v>2737</v>
      </c>
      <c r="D1315" s="23" t="str">
        <f t="shared" si="60"/>
        <v>ORD26001135</v>
      </c>
      <c r="E1315" s="38">
        <v>46273</v>
      </c>
      <c r="F1315" s="23" t="s">
        <v>12410</v>
      </c>
      <c r="G1315" s="23" t="s">
        <v>79</v>
      </c>
      <c r="H1315" s="24">
        <v>8498</v>
      </c>
      <c r="I1315" s="24">
        <v>135.97</v>
      </c>
      <c r="J1315" s="24">
        <v>24.47</v>
      </c>
      <c r="K1315" s="24">
        <v>8337.56</v>
      </c>
      <c r="L1315" s="38">
        <v>46275</v>
      </c>
      <c r="M1315" s="23" t="s">
        <v>194</v>
      </c>
      <c r="N1315" s="23" t="str">
        <f>IF(COUNTIF($A$2:A1315,A1315)&gt;1,"DUP","OK")</f>
        <v>OK</v>
      </c>
      <c r="O1315" s="23" t="str">
        <f t="shared" si="61"/>
        <v>ORD26001135</v>
      </c>
      <c r="P1315" s="23" t="str">
        <f t="shared" si="62"/>
        <v>Sep</v>
      </c>
      <c r="Q1315" s="23" t="str">
        <f>IF(F1315="CAPTURE",IF(COUNTIF(orders!$A:$A,O1315)&gt;0,"Yes","NO ORDER"),"")</f>
        <v>Yes</v>
      </c>
    </row>
    <row r="1316" spans="1:17" ht="15" customHeight="1" x14ac:dyDescent="0.3">
      <c r="A1316" s="23" t="s">
        <v>13942</v>
      </c>
      <c r="B1316" s="23"/>
      <c r="C1316" s="23" t="s">
        <v>2855</v>
      </c>
      <c r="D1316" s="23" t="str">
        <f t="shared" si="60"/>
        <v>ORD26001194</v>
      </c>
      <c r="E1316" s="38">
        <v>46273</v>
      </c>
      <c r="F1316" s="23" t="s">
        <v>12410</v>
      </c>
      <c r="G1316" s="23" t="s">
        <v>75</v>
      </c>
      <c r="H1316" s="24">
        <v>2397</v>
      </c>
      <c r="I1316" s="24">
        <v>7.19</v>
      </c>
      <c r="J1316" s="24">
        <v>1.29</v>
      </c>
      <c r="K1316" s="24">
        <v>2388.52</v>
      </c>
      <c r="L1316" s="38">
        <v>46275</v>
      </c>
      <c r="M1316" s="23" t="s">
        <v>194</v>
      </c>
      <c r="N1316" s="23" t="str">
        <f>IF(COUNTIF($A$2:A1316,A1316)&gt;1,"DUP","OK")</f>
        <v>OK</v>
      </c>
      <c r="O1316" s="23" t="str">
        <f t="shared" si="61"/>
        <v>ORD26001194</v>
      </c>
      <c r="P1316" s="23" t="str">
        <f t="shared" si="62"/>
        <v>Sep</v>
      </c>
      <c r="Q1316" s="23" t="str">
        <f>IF(F1316="CAPTURE",IF(COUNTIF(orders!$A:$A,O1316)&gt;0,"Yes","NO ORDER"),"")</f>
        <v>Yes</v>
      </c>
    </row>
    <row r="1317" spans="1:17" ht="15" customHeight="1" x14ac:dyDescent="0.3">
      <c r="A1317" s="23" t="s">
        <v>13943</v>
      </c>
      <c r="B1317" s="23"/>
      <c r="C1317" s="23" t="s">
        <v>13944</v>
      </c>
      <c r="D1317" s="23" t="str">
        <f t="shared" si="60"/>
        <v>ORD26001227</v>
      </c>
      <c r="E1317" s="38">
        <v>46273</v>
      </c>
      <c r="F1317" s="23" t="s">
        <v>12410</v>
      </c>
      <c r="G1317" s="23" t="s">
        <v>79</v>
      </c>
      <c r="H1317" s="24">
        <v>799</v>
      </c>
      <c r="I1317" s="24">
        <v>14.38</v>
      </c>
      <c r="J1317" s="24">
        <v>2.59</v>
      </c>
      <c r="K1317" s="24">
        <v>782.03</v>
      </c>
      <c r="L1317" s="38">
        <v>46275</v>
      </c>
      <c r="M1317" s="23" t="s">
        <v>194</v>
      </c>
      <c r="N1317" s="23" t="str">
        <f>IF(COUNTIF($A$2:A1317,A1317)&gt;1,"DUP","OK")</f>
        <v>OK</v>
      </c>
      <c r="O1317" s="23" t="str">
        <f t="shared" si="61"/>
        <v>ORD26001227</v>
      </c>
      <c r="P1317" s="23" t="str">
        <f t="shared" si="62"/>
        <v>Sep</v>
      </c>
      <c r="Q1317" s="23" t="str">
        <f>IF(F1317="CAPTURE",IF(COUNTIF(orders!$A:$A,O1317)&gt;0,"Yes","NO ORDER"),"")</f>
        <v>Yes</v>
      </c>
    </row>
    <row r="1318" spans="1:17" ht="15" customHeight="1" x14ac:dyDescent="0.3">
      <c r="A1318" s="23" t="s">
        <v>13945</v>
      </c>
      <c r="B1318" s="23"/>
      <c r="C1318" s="23" t="s">
        <v>13946</v>
      </c>
      <c r="D1318" s="23" t="str">
        <f t="shared" si="60"/>
        <v>ORD26001303</v>
      </c>
      <c r="E1318" s="38">
        <v>46273</v>
      </c>
      <c r="F1318" s="23" t="s">
        <v>12410</v>
      </c>
      <c r="G1318" s="23" t="s">
        <v>75</v>
      </c>
      <c r="H1318" s="24">
        <v>2999</v>
      </c>
      <c r="I1318" s="24">
        <v>9</v>
      </c>
      <c r="J1318" s="24">
        <v>1.62</v>
      </c>
      <c r="K1318" s="24">
        <v>2988.38</v>
      </c>
      <c r="L1318" s="38">
        <v>46275</v>
      </c>
      <c r="M1318" s="23" t="s">
        <v>194</v>
      </c>
      <c r="N1318" s="23" t="str">
        <f>IF(COUNTIF($A$2:A1318,A1318)&gt;1,"DUP","OK")</f>
        <v>OK</v>
      </c>
      <c r="O1318" s="23" t="str">
        <f t="shared" si="61"/>
        <v>ORD26001303</v>
      </c>
      <c r="P1318" s="23" t="str">
        <f t="shared" si="62"/>
        <v>Sep</v>
      </c>
      <c r="Q1318" s="23" t="str">
        <f>IF(F1318="CAPTURE",IF(COUNTIF(orders!$A:$A,O1318)&gt;0,"Yes","NO ORDER"),"")</f>
        <v>Yes</v>
      </c>
    </row>
    <row r="1319" spans="1:17" ht="15" customHeight="1" x14ac:dyDescent="0.3">
      <c r="A1319" s="23" t="s">
        <v>13947</v>
      </c>
      <c r="B1319" s="23"/>
      <c r="C1319" s="23" t="s">
        <v>3138</v>
      </c>
      <c r="D1319" s="23" t="str">
        <f t="shared" si="60"/>
        <v>ORD26001330</v>
      </c>
      <c r="E1319" s="38">
        <v>46273</v>
      </c>
      <c r="F1319" s="23" t="s">
        <v>12410</v>
      </c>
      <c r="G1319" s="23" t="s">
        <v>75</v>
      </c>
      <c r="H1319" s="24">
        <v>3499</v>
      </c>
      <c r="I1319" s="24">
        <v>10.5</v>
      </c>
      <c r="J1319" s="24">
        <v>1.89</v>
      </c>
      <c r="K1319" s="24">
        <v>3486.61</v>
      </c>
      <c r="L1319" s="38">
        <v>46275</v>
      </c>
      <c r="M1319" s="23" t="s">
        <v>194</v>
      </c>
      <c r="N1319" s="23" t="str">
        <f>IF(COUNTIF($A$2:A1319,A1319)&gt;1,"DUP","OK")</f>
        <v>OK</v>
      </c>
      <c r="O1319" s="23" t="str">
        <f t="shared" si="61"/>
        <v>ORD26001330</v>
      </c>
      <c r="P1319" s="23" t="str">
        <f t="shared" si="62"/>
        <v>Sep</v>
      </c>
      <c r="Q1319" s="23" t="str">
        <f>IF(F1319="CAPTURE",IF(COUNTIF(orders!$A:$A,O1319)&gt;0,"Yes","NO ORDER"),"")</f>
        <v>Yes</v>
      </c>
    </row>
    <row r="1320" spans="1:17" ht="15" customHeight="1" x14ac:dyDescent="0.3">
      <c r="A1320" s="23" t="s">
        <v>13948</v>
      </c>
      <c r="B1320" s="23"/>
      <c r="C1320" s="23" t="s">
        <v>13949</v>
      </c>
      <c r="D1320" s="23" t="str">
        <f t="shared" si="60"/>
        <v>ORD26001337</v>
      </c>
      <c r="E1320" s="38">
        <v>46273</v>
      </c>
      <c r="F1320" s="23" t="s">
        <v>12410</v>
      </c>
      <c r="G1320" s="23" t="s">
        <v>75</v>
      </c>
      <c r="H1320" s="24">
        <v>2148</v>
      </c>
      <c r="I1320" s="24">
        <v>6.44</v>
      </c>
      <c r="J1320" s="24">
        <v>1.1599999999999999</v>
      </c>
      <c r="K1320" s="24">
        <v>2140.4</v>
      </c>
      <c r="L1320" s="38">
        <v>46275</v>
      </c>
      <c r="M1320" s="23" t="s">
        <v>194</v>
      </c>
      <c r="N1320" s="23" t="str">
        <f>IF(COUNTIF($A$2:A1320,A1320)&gt;1,"DUP","OK")</f>
        <v>OK</v>
      </c>
      <c r="O1320" s="23" t="str">
        <f t="shared" si="61"/>
        <v>ORD26001337</v>
      </c>
      <c r="P1320" s="23" t="str">
        <f t="shared" si="62"/>
        <v>Sep</v>
      </c>
      <c r="Q1320" s="23" t="str">
        <f>IF(F1320="CAPTURE",IF(COUNTIF(orders!$A:$A,O1320)&gt;0,"Yes","NO ORDER"),"")</f>
        <v>Yes</v>
      </c>
    </row>
    <row r="1321" spans="1:17" ht="15" customHeight="1" x14ac:dyDescent="0.3">
      <c r="A1321" s="23" t="s">
        <v>13950</v>
      </c>
      <c r="B1321" s="23"/>
      <c r="C1321" s="23" t="s">
        <v>3159</v>
      </c>
      <c r="D1321" s="23" t="str">
        <f t="shared" si="60"/>
        <v>ORD26001340</v>
      </c>
      <c r="E1321" s="38">
        <v>46273</v>
      </c>
      <c r="F1321" s="23" t="s">
        <v>12410</v>
      </c>
      <c r="G1321" s="23" t="s">
        <v>75</v>
      </c>
      <c r="H1321" s="24">
        <v>799</v>
      </c>
      <c r="I1321" s="24">
        <v>0</v>
      </c>
      <c r="J1321" s="24">
        <v>0</v>
      </c>
      <c r="K1321" s="24">
        <v>799</v>
      </c>
      <c r="L1321" s="38">
        <v>46275</v>
      </c>
      <c r="M1321" s="23" t="s">
        <v>194</v>
      </c>
      <c r="N1321" s="23" t="str">
        <f>IF(COUNTIF($A$2:A1321,A1321)&gt;1,"DUP","OK")</f>
        <v>OK</v>
      </c>
      <c r="O1321" s="23" t="str">
        <f t="shared" si="61"/>
        <v>ORD26001340</v>
      </c>
      <c r="P1321" s="23" t="str">
        <f t="shared" si="62"/>
        <v>Sep</v>
      </c>
      <c r="Q1321" s="23" t="str">
        <f>IF(F1321="CAPTURE",IF(COUNTIF(orders!$A:$A,O1321)&gt;0,"Yes","NO ORDER"),"")</f>
        <v>Yes</v>
      </c>
    </row>
    <row r="1322" spans="1:17" ht="15" customHeight="1" x14ac:dyDescent="0.3">
      <c r="A1322" s="23" t="s">
        <v>13951</v>
      </c>
      <c r="B1322" s="23"/>
      <c r="C1322" s="23" t="s">
        <v>3233</v>
      </c>
      <c r="D1322" s="23" t="str">
        <f t="shared" si="60"/>
        <v>ORD26001376</v>
      </c>
      <c r="E1322" s="38">
        <v>46273</v>
      </c>
      <c r="F1322" s="23" t="s">
        <v>12410</v>
      </c>
      <c r="G1322" s="23" t="s">
        <v>77</v>
      </c>
      <c r="H1322" s="24">
        <v>4397</v>
      </c>
      <c r="I1322" s="24">
        <v>74.75</v>
      </c>
      <c r="J1322" s="24">
        <v>13.46</v>
      </c>
      <c r="K1322" s="24">
        <v>4308.79</v>
      </c>
      <c r="L1322" s="38">
        <v>46275</v>
      </c>
      <c r="M1322" s="23" t="s">
        <v>194</v>
      </c>
      <c r="N1322" s="23" t="str">
        <f>IF(COUNTIF($A$2:A1322,A1322)&gt;1,"DUP","OK")</f>
        <v>OK</v>
      </c>
      <c r="O1322" s="23" t="str">
        <f t="shared" si="61"/>
        <v>ORD26001376</v>
      </c>
      <c r="P1322" s="23" t="str">
        <f t="shared" si="62"/>
        <v>Sep</v>
      </c>
      <c r="Q1322" s="23" t="str">
        <f>IF(F1322="CAPTURE",IF(COUNTIF(orders!$A:$A,O1322)&gt;0,"Yes","NO ORDER"),"")</f>
        <v>Yes</v>
      </c>
    </row>
    <row r="1323" spans="1:17" ht="15" customHeight="1" x14ac:dyDescent="0.3">
      <c r="A1323" s="23" t="s">
        <v>13952</v>
      </c>
      <c r="B1323" s="23"/>
      <c r="C1323" s="23" t="s">
        <v>3315</v>
      </c>
      <c r="D1323" s="23" t="str">
        <f t="shared" si="60"/>
        <v>ORD26001417</v>
      </c>
      <c r="E1323" s="38">
        <v>46273</v>
      </c>
      <c r="F1323" s="23" t="s">
        <v>12410</v>
      </c>
      <c r="G1323" s="23" t="s">
        <v>79</v>
      </c>
      <c r="H1323" s="24">
        <v>2798</v>
      </c>
      <c r="I1323" s="24">
        <v>44.77</v>
      </c>
      <c r="J1323" s="24">
        <v>8.06</v>
      </c>
      <c r="K1323" s="24">
        <v>2745.17</v>
      </c>
      <c r="L1323" s="38">
        <v>46275</v>
      </c>
      <c r="M1323" s="23" t="s">
        <v>194</v>
      </c>
      <c r="N1323" s="23" t="str">
        <f>IF(COUNTIF($A$2:A1323,A1323)&gt;1,"DUP","OK")</f>
        <v>OK</v>
      </c>
      <c r="O1323" s="23" t="str">
        <f t="shared" si="61"/>
        <v>ORD26001417</v>
      </c>
      <c r="P1323" s="23" t="str">
        <f t="shared" si="62"/>
        <v>Sep</v>
      </c>
      <c r="Q1323" s="23" t="str">
        <f>IF(F1323="CAPTURE",IF(COUNTIF(orders!$A:$A,O1323)&gt;0,"Yes","NO ORDER"),"")</f>
        <v>Yes</v>
      </c>
    </row>
    <row r="1324" spans="1:17" ht="15" customHeight="1" x14ac:dyDescent="0.3">
      <c r="A1324" s="23" t="s">
        <v>13953</v>
      </c>
      <c r="B1324" s="23"/>
      <c r="C1324" s="23" t="s">
        <v>3324</v>
      </c>
      <c r="D1324" s="23" t="str">
        <f t="shared" si="60"/>
        <v>ORD26001422</v>
      </c>
      <c r="E1324" s="38">
        <v>46273</v>
      </c>
      <c r="F1324" s="23" t="s">
        <v>12410</v>
      </c>
      <c r="G1324" s="23" t="s">
        <v>79</v>
      </c>
      <c r="H1324" s="24">
        <v>499</v>
      </c>
      <c r="I1324" s="24">
        <v>8.98</v>
      </c>
      <c r="J1324" s="24">
        <v>1.62</v>
      </c>
      <c r="K1324" s="24">
        <v>488.4</v>
      </c>
      <c r="L1324" s="38">
        <v>46275</v>
      </c>
      <c r="M1324" s="23" t="s">
        <v>194</v>
      </c>
      <c r="N1324" s="23" t="str">
        <f>IF(COUNTIF($A$2:A1324,A1324)&gt;1,"DUP","OK")</f>
        <v>OK</v>
      </c>
      <c r="O1324" s="23" t="str">
        <f t="shared" si="61"/>
        <v>ORD26001422</v>
      </c>
      <c r="P1324" s="23" t="str">
        <f t="shared" si="62"/>
        <v>Sep</v>
      </c>
      <c r="Q1324" s="23" t="str">
        <f>IF(F1324="CAPTURE",IF(COUNTIF(orders!$A:$A,O1324)&gt;0,"Yes","NO ORDER"),"")</f>
        <v>Yes</v>
      </c>
    </row>
    <row r="1325" spans="1:17" ht="15" customHeight="1" x14ac:dyDescent="0.3">
      <c r="A1325" s="23" t="s">
        <v>13954</v>
      </c>
      <c r="B1325" s="23"/>
      <c r="C1325" s="23" t="s">
        <v>3381</v>
      </c>
      <c r="D1325" s="23" t="str">
        <f t="shared" si="60"/>
        <v>ORD26001449</v>
      </c>
      <c r="E1325" s="38">
        <v>46273</v>
      </c>
      <c r="F1325" s="23" t="s">
        <v>12410</v>
      </c>
      <c r="G1325" s="23" t="s">
        <v>79</v>
      </c>
      <c r="H1325" s="24">
        <v>2499</v>
      </c>
      <c r="I1325" s="24">
        <v>39.979999999999997</v>
      </c>
      <c r="J1325" s="24">
        <v>7.2</v>
      </c>
      <c r="K1325" s="24">
        <v>2451.8200000000002</v>
      </c>
      <c r="L1325" s="38">
        <v>46275</v>
      </c>
      <c r="M1325" s="23" t="s">
        <v>194</v>
      </c>
      <c r="N1325" s="23" t="str">
        <f>IF(COUNTIF($A$2:A1325,A1325)&gt;1,"DUP","OK")</f>
        <v>OK</v>
      </c>
      <c r="O1325" s="23" t="str">
        <f t="shared" si="61"/>
        <v>ORD26001449</v>
      </c>
      <c r="P1325" s="23" t="str">
        <f t="shared" si="62"/>
        <v>Sep</v>
      </c>
      <c r="Q1325" s="23" t="str">
        <f>IF(F1325="CAPTURE",IF(COUNTIF(orders!$A:$A,O1325)&gt;0,"Yes","NO ORDER"),"")</f>
        <v>Yes</v>
      </c>
    </row>
    <row r="1326" spans="1:17" ht="15" customHeight="1" x14ac:dyDescent="0.3">
      <c r="A1326" s="23" t="s">
        <v>13955</v>
      </c>
      <c r="B1326" s="23"/>
      <c r="C1326" s="23" t="s">
        <v>3471</v>
      </c>
      <c r="D1326" s="23" t="str">
        <f t="shared" si="60"/>
        <v>ORD26001493</v>
      </c>
      <c r="E1326" s="38">
        <v>46273</v>
      </c>
      <c r="F1326" s="23" t="s">
        <v>12410</v>
      </c>
      <c r="G1326" s="23" t="s">
        <v>75</v>
      </c>
      <c r="H1326" s="24">
        <v>2298</v>
      </c>
      <c r="I1326" s="24">
        <v>6.89</v>
      </c>
      <c r="J1326" s="24">
        <v>1.24</v>
      </c>
      <c r="K1326" s="24">
        <v>2289.87</v>
      </c>
      <c r="L1326" s="38">
        <v>46275</v>
      </c>
      <c r="M1326" s="23" t="s">
        <v>194</v>
      </c>
      <c r="N1326" s="23" t="str">
        <f>IF(COUNTIF($A$2:A1326,A1326)&gt;1,"DUP","OK")</f>
        <v>OK</v>
      </c>
      <c r="O1326" s="23" t="str">
        <f t="shared" si="61"/>
        <v>ORD26001493</v>
      </c>
      <c r="P1326" s="23" t="str">
        <f t="shared" si="62"/>
        <v>Sep</v>
      </c>
      <c r="Q1326" s="23" t="str">
        <f>IF(F1326="CAPTURE",IF(COUNTIF(orders!$A:$A,O1326)&gt;0,"Yes","NO ORDER"),"")</f>
        <v>Yes</v>
      </c>
    </row>
    <row r="1327" spans="1:17" ht="15" customHeight="1" x14ac:dyDescent="0.3">
      <c r="A1327" s="23" t="s">
        <v>13956</v>
      </c>
      <c r="B1327" s="23"/>
      <c r="C1327" s="23" t="s">
        <v>3609</v>
      </c>
      <c r="D1327" s="23" t="str">
        <f t="shared" si="60"/>
        <v>ORD26001561</v>
      </c>
      <c r="E1327" s="38">
        <v>46273</v>
      </c>
      <c r="F1327" s="23" t="s">
        <v>12410</v>
      </c>
      <c r="G1327" s="23" t="s">
        <v>75</v>
      </c>
      <c r="H1327" s="24">
        <v>299</v>
      </c>
      <c r="I1327" s="24">
        <v>0</v>
      </c>
      <c r="J1327" s="24">
        <v>0</v>
      </c>
      <c r="K1327" s="24">
        <v>299</v>
      </c>
      <c r="L1327" s="38">
        <v>46275</v>
      </c>
      <c r="M1327" s="23" t="s">
        <v>194</v>
      </c>
      <c r="N1327" s="23" t="str">
        <f>IF(COUNTIF($A$2:A1327,A1327)&gt;1,"DUP","OK")</f>
        <v>OK</v>
      </c>
      <c r="O1327" s="23" t="str">
        <f t="shared" si="61"/>
        <v>ORD26001561</v>
      </c>
      <c r="P1327" s="23" t="str">
        <f t="shared" si="62"/>
        <v>Sep</v>
      </c>
      <c r="Q1327" s="23" t="str">
        <f>IF(F1327="CAPTURE",IF(COUNTIF(orders!$A:$A,O1327)&gt;0,"Yes","NO ORDER"),"")</f>
        <v>Yes</v>
      </c>
    </row>
    <row r="1328" spans="1:17" ht="15" customHeight="1" x14ac:dyDescent="0.3">
      <c r="A1328" s="23" t="s">
        <v>13957</v>
      </c>
      <c r="B1328" s="23"/>
      <c r="C1328" s="23" t="s">
        <v>3635</v>
      </c>
      <c r="D1328" s="23" t="str">
        <f t="shared" si="60"/>
        <v>ORD26001574</v>
      </c>
      <c r="E1328" s="38">
        <v>46273</v>
      </c>
      <c r="F1328" s="23" t="s">
        <v>12410</v>
      </c>
      <c r="G1328" s="23" t="s">
        <v>75</v>
      </c>
      <c r="H1328" s="24">
        <v>499</v>
      </c>
      <c r="I1328" s="24">
        <v>0</v>
      </c>
      <c r="J1328" s="24">
        <v>0</v>
      </c>
      <c r="K1328" s="24">
        <v>499</v>
      </c>
      <c r="L1328" s="38">
        <v>46275</v>
      </c>
      <c r="M1328" s="23" t="s">
        <v>194</v>
      </c>
      <c r="N1328" s="23" t="str">
        <f>IF(COUNTIF($A$2:A1328,A1328)&gt;1,"DUP","OK")</f>
        <v>OK</v>
      </c>
      <c r="O1328" s="23" t="str">
        <f t="shared" si="61"/>
        <v>ORD26001574</v>
      </c>
      <c r="P1328" s="23" t="str">
        <f t="shared" si="62"/>
        <v>Sep</v>
      </c>
      <c r="Q1328" s="23" t="str">
        <f>IF(F1328="CAPTURE",IF(COUNTIF(orders!$A:$A,O1328)&gt;0,"Yes","NO ORDER"),"")</f>
        <v>Yes</v>
      </c>
    </row>
    <row r="1329" spans="1:17" ht="15" customHeight="1" x14ac:dyDescent="0.3">
      <c r="A1329" s="23" t="s">
        <v>13958</v>
      </c>
      <c r="B1329" s="23"/>
      <c r="C1329" s="23" t="s">
        <v>3679</v>
      </c>
      <c r="D1329" s="23" t="str">
        <f t="shared" si="60"/>
        <v>ORD26001596</v>
      </c>
      <c r="E1329" s="38">
        <v>46273</v>
      </c>
      <c r="F1329" s="23" t="s">
        <v>12410</v>
      </c>
      <c r="G1329" s="23" t="s">
        <v>77</v>
      </c>
      <c r="H1329" s="24">
        <v>1348</v>
      </c>
      <c r="I1329" s="24">
        <v>25.61</v>
      </c>
      <c r="J1329" s="24">
        <v>4.6100000000000003</v>
      </c>
      <c r="K1329" s="24">
        <v>1317.78</v>
      </c>
      <c r="L1329" s="38">
        <v>46275</v>
      </c>
      <c r="M1329" s="23" t="s">
        <v>194</v>
      </c>
      <c r="N1329" s="23" t="str">
        <f>IF(COUNTIF($A$2:A1329,A1329)&gt;1,"DUP","OK")</f>
        <v>OK</v>
      </c>
      <c r="O1329" s="23" t="str">
        <f t="shared" si="61"/>
        <v>ORD26001596</v>
      </c>
      <c r="P1329" s="23" t="str">
        <f t="shared" si="62"/>
        <v>Sep</v>
      </c>
      <c r="Q1329" s="23" t="str">
        <f>IF(F1329="CAPTURE",IF(COUNTIF(orders!$A:$A,O1329)&gt;0,"Yes","NO ORDER"),"")</f>
        <v>Yes</v>
      </c>
    </row>
    <row r="1330" spans="1:17" ht="15" customHeight="1" x14ac:dyDescent="0.3">
      <c r="A1330" s="23" t="s">
        <v>13959</v>
      </c>
      <c r="B1330" s="23"/>
      <c r="C1330" s="23" t="s">
        <v>3821</v>
      </c>
      <c r="D1330" s="23" t="str">
        <f t="shared" si="60"/>
        <v>ORD26001668</v>
      </c>
      <c r="E1330" s="38">
        <v>46273</v>
      </c>
      <c r="F1330" s="23" t="s">
        <v>12410</v>
      </c>
      <c r="G1330" s="23" t="s">
        <v>75</v>
      </c>
      <c r="H1330" s="24">
        <v>4498</v>
      </c>
      <c r="I1330" s="24">
        <v>13.49</v>
      </c>
      <c r="J1330" s="24">
        <v>2.4300000000000002</v>
      </c>
      <c r="K1330" s="24">
        <v>4482.08</v>
      </c>
      <c r="L1330" s="38">
        <v>46275</v>
      </c>
      <c r="M1330" s="23" t="s">
        <v>194</v>
      </c>
      <c r="N1330" s="23" t="str">
        <f>IF(COUNTIF($A$2:A1330,A1330)&gt;1,"DUP","OK")</f>
        <v>OK</v>
      </c>
      <c r="O1330" s="23" t="str">
        <f t="shared" si="61"/>
        <v>ORD26001668</v>
      </c>
      <c r="P1330" s="23" t="str">
        <f t="shared" si="62"/>
        <v>Sep</v>
      </c>
      <c r="Q1330" s="23" t="str">
        <f>IF(F1330="CAPTURE",IF(COUNTIF(orders!$A:$A,O1330)&gt;0,"Yes","NO ORDER"),"")</f>
        <v>Yes</v>
      </c>
    </row>
    <row r="1331" spans="1:17" ht="15" customHeight="1" x14ac:dyDescent="0.3">
      <c r="A1331" s="23" t="s">
        <v>13960</v>
      </c>
      <c r="B1331" s="23"/>
      <c r="C1331" s="23" t="s">
        <v>13961</v>
      </c>
      <c r="D1331" s="23" t="str">
        <f t="shared" si="60"/>
        <v>ORD26001671</v>
      </c>
      <c r="E1331" s="38">
        <v>46273</v>
      </c>
      <c r="F1331" s="23" t="s">
        <v>12410</v>
      </c>
      <c r="G1331" s="23" t="s">
        <v>81</v>
      </c>
      <c r="H1331" s="24">
        <v>2999</v>
      </c>
      <c r="I1331" s="24">
        <v>35.99</v>
      </c>
      <c r="J1331" s="24">
        <v>6.48</v>
      </c>
      <c r="K1331" s="24">
        <v>2956.53</v>
      </c>
      <c r="L1331" s="38">
        <v>46275</v>
      </c>
      <c r="M1331" s="23" t="s">
        <v>194</v>
      </c>
      <c r="N1331" s="23" t="str">
        <f>IF(COUNTIF($A$2:A1331,A1331)&gt;1,"DUP","OK")</f>
        <v>OK</v>
      </c>
      <c r="O1331" s="23" t="str">
        <f t="shared" si="61"/>
        <v>ORD26001671</v>
      </c>
      <c r="P1331" s="23" t="str">
        <f t="shared" si="62"/>
        <v>Sep</v>
      </c>
      <c r="Q1331" s="23" t="str">
        <f>IF(F1331="CAPTURE",IF(COUNTIF(orders!$A:$A,O1331)&gt;0,"Yes","NO ORDER"),"")</f>
        <v>Yes</v>
      </c>
    </row>
    <row r="1332" spans="1:17" ht="15" customHeight="1" x14ac:dyDescent="0.3">
      <c r="A1332" s="23" t="s">
        <v>13962</v>
      </c>
      <c r="B1332" s="23"/>
      <c r="C1332" s="23" t="s">
        <v>3855</v>
      </c>
      <c r="D1332" s="23" t="str">
        <f t="shared" si="60"/>
        <v>ORD26001685</v>
      </c>
      <c r="E1332" s="38">
        <v>46273</v>
      </c>
      <c r="F1332" s="23" t="s">
        <v>12410</v>
      </c>
      <c r="G1332" s="23" t="s">
        <v>75</v>
      </c>
      <c r="H1332" s="24">
        <v>12297</v>
      </c>
      <c r="I1332" s="24">
        <v>36.89</v>
      </c>
      <c r="J1332" s="24">
        <v>6.64</v>
      </c>
      <c r="K1332" s="24">
        <v>12253.47</v>
      </c>
      <c r="L1332" s="38">
        <v>46275</v>
      </c>
      <c r="M1332" s="23" t="s">
        <v>194</v>
      </c>
      <c r="N1332" s="23" t="str">
        <f>IF(COUNTIF($A$2:A1332,A1332)&gt;1,"DUP","OK")</f>
        <v>OK</v>
      </c>
      <c r="O1332" s="23" t="str">
        <f t="shared" si="61"/>
        <v>ORD26001685</v>
      </c>
      <c r="P1332" s="23" t="str">
        <f t="shared" si="62"/>
        <v>Sep</v>
      </c>
      <c r="Q1332" s="23" t="str">
        <f>IF(F1332="CAPTURE",IF(COUNTIF(orders!$A:$A,O1332)&gt;0,"Yes","NO ORDER"),"")</f>
        <v>Yes</v>
      </c>
    </row>
    <row r="1333" spans="1:17" ht="15" customHeight="1" x14ac:dyDescent="0.3">
      <c r="A1333" s="23" t="s">
        <v>13963</v>
      </c>
      <c r="B1333" s="23"/>
      <c r="C1333" s="23" t="s">
        <v>3976</v>
      </c>
      <c r="D1333" s="23" t="str">
        <f t="shared" si="60"/>
        <v>ORD26001744</v>
      </c>
      <c r="E1333" s="38">
        <v>46273</v>
      </c>
      <c r="F1333" s="23" t="s">
        <v>12410</v>
      </c>
      <c r="G1333" s="23" t="s">
        <v>81</v>
      </c>
      <c r="H1333" s="24">
        <v>3499</v>
      </c>
      <c r="I1333" s="24">
        <v>41.99</v>
      </c>
      <c r="J1333" s="24">
        <v>7.56</v>
      </c>
      <c r="K1333" s="24">
        <v>3449.45</v>
      </c>
      <c r="L1333" s="38">
        <v>46275</v>
      </c>
      <c r="M1333" s="23" t="s">
        <v>194</v>
      </c>
      <c r="N1333" s="23" t="str">
        <f>IF(COUNTIF($A$2:A1333,A1333)&gt;1,"DUP","OK")</f>
        <v>OK</v>
      </c>
      <c r="O1333" s="23" t="str">
        <f t="shared" si="61"/>
        <v>ORD26001744</v>
      </c>
      <c r="P1333" s="23" t="str">
        <f t="shared" si="62"/>
        <v>Sep</v>
      </c>
      <c r="Q1333" s="23" t="str">
        <f>IF(F1333="CAPTURE",IF(COUNTIF(orders!$A:$A,O1333)&gt;0,"Yes","NO ORDER"),"")</f>
        <v>Yes</v>
      </c>
    </row>
    <row r="1334" spans="1:17" ht="15" customHeight="1" x14ac:dyDescent="0.3">
      <c r="A1334" s="23" t="s">
        <v>13964</v>
      </c>
      <c r="B1334" s="23"/>
      <c r="C1334" s="23" t="s">
        <v>4034</v>
      </c>
      <c r="D1334" s="23" t="str">
        <f t="shared" si="60"/>
        <v>ORD26001773</v>
      </c>
      <c r="E1334" s="38">
        <v>46273</v>
      </c>
      <c r="F1334" s="23" t="s">
        <v>12410</v>
      </c>
      <c r="G1334" s="23" t="s">
        <v>75</v>
      </c>
      <c r="H1334" s="24">
        <v>3499</v>
      </c>
      <c r="I1334" s="24">
        <v>10.5</v>
      </c>
      <c r="J1334" s="24">
        <v>1.89</v>
      </c>
      <c r="K1334" s="24">
        <v>3486.61</v>
      </c>
      <c r="L1334" s="38">
        <v>46275</v>
      </c>
      <c r="M1334" s="23" t="s">
        <v>194</v>
      </c>
      <c r="N1334" s="23" t="str">
        <f>IF(COUNTIF($A$2:A1334,A1334)&gt;1,"DUP","OK")</f>
        <v>OK</v>
      </c>
      <c r="O1334" s="23" t="str">
        <f t="shared" si="61"/>
        <v>ORD26001773</v>
      </c>
      <c r="P1334" s="23" t="str">
        <f t="shared" si="62"/>
        <v>Sep</v>
      </c>
      <c r="Q1334" s="23" t="str">
        <f>IF(F1334="CAPTURE",IF(COUNTIF(orders!$A:$A,O1334)&gt;0,"Yes","NO ORDER"),"")</f>
        <v>Yes</v>
      </c>
    </row>
    <row r="1335" spans="1:17" ht="15" customHeight="1" x14ac:dyDescent="0.3">
      <c r="A1335" s="23" t="s">
        <v>13965</v>
      </c>
      <c r="B1335" s="23"/>
      <c r="C1335" s="23" t="s">
        <v>4036</v>
      </c>
      <c r="D1335" s="23" t="str">
        <f t="shared" si="60"/>
        <v>ORD26001774</v>
      </c>
      <c r="E1335" s="38">
        <v>46273</v>
      </c>
      <c r="F1335" s="23" t="s">
        <v>12410</v>
      </c>
      <c r="G1335" s="23" t="s">
        <v>75</v>
      </c>
      <c r="H1335" s="24">
        <v>9497</v>
      </c>
      <c r="I1335" s="24">
        <v>28.49</v>
      </c>
      <c r="J1335" s="24">
        <v>5.13</v>
      </c>
      <c r="K1335" s="24">
        <v>9463.3799999999992</v>
      </c>
      <c r="L1335" s="38">
        <v>46275</v>
      </c>
      <c r="M1335" s="23" t="s">
        <v>194</v>
      </c>
      <c r="N1335" s="23" t="str">
        <f>IF(COUNTIF($A$2:A1335,A1335)&gt;1,"DUP","OK")</f>
        <v>OK</v>
      </c>
      <c r="O1335" s="23" t="str">
        <f t="shared" si="61"/>
        <v>ORD26001774</v>
      </c>
      <c r="P1335" s="23" t="str">
        <f t="shared" si="62"/>
        <v>Sep</v>
      </c>
      <c r="Q1335" s="23" t="str">
        <f>IF(F1335="CAPTURE",IF(COUNTIF(orders!$A:$A,O1335)&gt;0,"Yes","NO ORDER"),"")</f>
        <v>Yes</v>
      </c>
    </row>
    <row r="1336" spans="1:17" ht="15" customHeight="1" x14ac:dyDescent="0.3">
      <c r="A1336" s="23" t="s">
        <v>13966</v>
      </c>
      <c r="B1336" s="23"/>
      <c r="C1336" s="23" t="s">
        <v>13967</v>
      </c>
      <c r="D1336" s="23" t="str">
        <f t="shared" si="60"/>
        <v>ORD26001817</v>
      </c>
      <c r="E1336" s="38">
        <v>46273</v>
      </c>
      <c r="F1336" s="23" t="s">
        <v>12410</v>
      </c>
      <c r="G1336" s="23" t="s">
        <v>79</v>
      </c>
      <c r="H1336" s="24">
        <v>1499</v>
      </c>
      <c r="I1336" s="24">
        <v>26.98</v>
      </c>
      <c r="J1336" s="24">
        <v>4.8600000000000003</v>
      </c>
      <c r="K1336" s="24">
        <v>1467.16</v>
      </c>
      <c r="L1336" s="38">
        <v>46275</v>
      </c>
      <c r="M1336" s="23" t="s">
        <v>194</v>
      </c>
      <c r="N1336" s="23" t="str">
        <f>IF(COUNTIF($A$2:A1336,A1336)&gt;1,"DUP","OK")</f>
        <v>OK</v>
      </c>
      <c r="O1336" s="23" t="str">
        <f t="shared" si="61"/>
        <v>ORD26001817</v>
      </c>
      <c r="P1336" s="23" t="str">
        <f t="shared" si="62"/>
        <v>Sep</v>
      </c>
      <c r="Q1336" s="23" t="str">
        <f>IF(F1336="CAPTURE",IF(COUNTIF(orders!$A:$A,O1336)&gt;0,"Yes","NO ORDER"),"")</f>
        <v>Yes</v>
      </c>
    </row>
    <row r="1337" spans="1:17" ht="15" customHeight="1" x14ac:dyDescent="0.3">
      <c r="A1337" s="23" t="s">
        <v>13968</v>
      </c>
      <c r="B1337" s="23"/>
      <c r="C1337" s="23" t="s">
        <v>4150</v>
      </c>
      <c r="D1337" s="23" t="str">
        <f t="shared" si="60"/>
        <v>ORD26001832</v>
      </c>
      <c r="E1337" s="38">
        <v>46273</v>
      </c>
      <c r="F1337" s="23" t="s">
        <v>12410</v>
      </c>
      <c r="G1337" s="23" t="s">
        <v>77</v>
      </c>
      <c r="H1337" s="24">
        <v>2499</v>
      </c>
      <c r="I1337" s="24">
        <v>42.48</v>
      </c>
      <c r="J1337" s="24">
        <v>7.65</v>
      </c>
      <c r="K1337" s="24">
        <v>2448.87</v>
      </c>
      <c r="L1337" s="38">
        <v>46275</v>
      </c>
      <c r="M1337" s="23" t="s">
        <v>194</v>
      </c>
      <c r="N1337" s="23" t="str">
        <f>IF(COUNTIF($A$2:A1337,A1337)&gt;1,"DUP","OK")</f>
        <v>OK</v>
      </c>
      <c r="O1337" s="23" t="str">
        <f t="shared" si="61"/>
        <v>ORD26001832</v>
      </c>
      <c r="P1337" s="23" t="str">
        <f t="shared" si="62"/>
        <v>Sep</v>
      </c>
      <c r="Q1337" s="23" t="str">
        <f>IF(F1337="CAPTURE",IF(COUNTIF(orders!$A:$A,O1337)&gt;0,"Yes","NO ORDER"),"")</f>
        <v>Yes</v>
      </c>
    </row>
    <row r="1338" spans="1:17" ht="15" customHeight="1" x14ac:dyDescent="0.3">
      <c r="A1338" s="23" t="s">
        <v>13969</v>
      </c>
      <c r="B1338" s="23"/>
      <c r="C1338" s="23" t="s">
        <v>4154</v>
      </c>
      <c r="D1338" s="23" t="str">
        <f t="shared" si="60"/>
        <v>ORD26001834</v>
      </c>
      <c r="E1338" s="38">
        <v>46273</v>
      </c>
      <c r="F1338" s="23" t="s">
        <v>12410</v>
      </c>
      <c r="G1338" s="23" t="s">
        <v>75</v>
      </c>
      <c r="H1338" s="24">
        <v>10147</v>
      </c>
      <c r="I1338" s="24">
        <v>30.44</v>
      </c>
      <c r="J1338" s="24">
        <v>5.48</v>
      </c>
      <c r="K1338" s="24">
        <v>10111.08</v>
      </c>
      <c r="L1338" s="38">
        <v>46275</v>
      </c>
      <c r="M1338" s="23" t="s">
        <v>194</v>
      </c>
      <c r="N1338" s="23" t="str">
        <f>IF(COUNTIF($A$2:A1338,A1338)&gt;1,"DUP","OK")</f>
        <v>OK</v>
      </c>
      <c r="O1338" s="23" t="str">
        <f t="shared" si="61"/>
        <v>ORD26001834</v>
      </c>
      <c r="P1338" s="23" t="str">
        <f t="shared" si="62"/>
        <v>Sep</v>
      </c>
      <c r="Q1338" s="23" t="str">
        <f>IF(F1338="CAPTURE",IF(COUNTIF(orders!$A:$A,O1338)&gt;0,"Yes","NO ORDER"),"")</f>
        <v>Yes</v>
      </c>
    </row>
    <row r="1339" spans="1:17" ht="15" customHeight="1" x14ac:dyDescent="0.3">
      <c r="A1339" s="23" t="s">
        <v>13970</v>
      </c>
      <c r="B1339" s="23"/>
      <c r="C1339" s="23" t="s">
        <v>4356</v>
      </c>
      <c r="D1339" s="23" t="str">
        <f t="shared" si="60"/>
        <v>ORD26001934</v>
      </c>
      <c r="E1339" s="38">
        <v>46273</v>
      </c>
      <c r="F1339" s="23" t="s">
        <v>12410</v>
      </c>
      <c r="G1339" s="23" t="s">
        <v>75</v>
      </c>
      <c r="H1339" s="24">
        <v>599</v>
      </c>
      <c r="I1339" s="24">
        <v>0</v>
      </c>
      <c r="J1339" s="24">
        <v>0</v>
      </c>
      <c r="K1339" s="24">
        <v>599</v>
      </c>
      <c r="L1339" s="38">
        <v>46275</v>
      </c>
      <c r="M1339" s="23" t="s">
        <v>194</v>
      </c>
      <c r="N1339" s="23" t="str">
        <f>IF(COUNTIF($A$2:A1339,A1339)&gt;1,"DUP","OK")</f>
        <v>OK</v>
      </c>
      <c r="O1339" s="23" t="str">
        <f t="shared" si="61"/>
        <v>ORD26001934</v>
      </c>
      <c r="P1339" s="23" t="str">
        <f t="shared" si="62"/>
        <v>Sep</v>
      </c>
      <c r="Q1339" s="23" t="str">
        <f>IF(F1339="CAPTURE",IF(COUNTIF(orders!$A:$A,O1339)&gt;0,"Yes","NO ORDER"),"")</f>
        <v>Yes</v>
      </c>
    </row>
    <row r="1340" spans="1:17" ht="15" customHeight="1" x14ac:dyDescent="0.3">
      <c r="A1340" s="23" t="s">
        <v>13971</v>
      </c>
      <c r="B1340" s="23"/>
      <c r="C1340" s="23" t="s">
        <v>4405</v>
      </c>
      <c r="D1340" s="23" t="str">
        <f t="shared" si="60"/>
        <v>ORD26001959</v>
      </c>
      <c r="E1340" s="38">
        <v>46273</v>
      </c>
      <c r="F1340" s="23" t="s">
        <v>12410</v>
      </c>
      <c r="G1340" s="23" t="s">
        <v>79</v>
      </c>
      <c r="H1340" s="24">
        <v>2499</v>
      </c>
      <c r="I1340" s="24">
        <v>39.979999999999997</v>
      </c>
      <c r="J1340" s="24">
        <v>7.2</v>
      </c>
      <c r="K1340" s="24">
        <v>2451.8200000000002</v>
      </c>
      <c r="L1340" s="38">
        <v>46275</v>
      </c>
      <c r="M1340" s="23" t="s">
        <v>194</v>
      </c>
      <c r="N1340" s="23" t="str">
        <f>IF(COUNTIF($A$2:A1340,A1340)&gt;1,"DUP","OK")</f>
        <v>OK</v>
      </c>
      <c r="O1340" s="23" t="str">
        <f t="shared" si="61"/>
        <v>ORD26001959</v>
      </c>
      <c r="P1340" s="23" t="str">
        <f t="shared" si="62"/>
        <v>Sep</v>
      </c>
      <c r="Q1340" s="23" t="str">
        <f>IF(F1340="CAPTURE",IF(COUNTIF(orders!$A:$A,O1340)&gt;0,"Yes","NO ORDER"),"")</f>
        <v>Yes</v>
      </c>
    </row>
    <row r="1341" spans="1:17" ht="15" customHeight="1" x14ac:dyDescent="0.3">
      <c r="A1341" s="23" t="s">
        <v>13972</v>
      </c>
      <c r="B1341" s="23"/>
      <c r="C1341" s="23" t="s">
        <v>4446</v>
      </c>
      <c r="D1341" s="23" t="str">
        <f t="shared" si="60"/>
        <v>ORD26001979</v>
      </c>
      <c r="E1341" s="38">
        <v>46273</v>
      </c>
      <c r="F1341" s="23" t="s">
        <v>12410</v>
      </c>
      <c r="G1341" s="23" t="s">
        <v>77</v>
      </c>
      <c r="H1341" s="24">
        <v>4597</v>
      </c>
      <c r="I1341" s="24">
        <v>78.150000000000006</v>
      </c>
      <c r="J1341" s="24">
        <v>14.07</v>
      </c>
      <c r="K1341" s="24">
        <v>4504.78</v>
      </c>
      <c r="L1341" s="38">
        <v>46275</v>
      </c>
      <c r="M1341" s="23" t="s">
        <v>194</v>
      </c>
      <c r="N1341" s="23" t="str">
        <f>IF(COUNTIF($A$2:A1341,A1341)&gt;1,"DUP","OK")</f>
        <v>OK</v>
      </c>
      <c r="O1341" s="23" t="str">
        <f t="shared" si="61"/>
        <v>ORD26001979</v>
      </c>
      <c r="P1341" s="23" t="str">
        <f t="shared" si="62"/>
        <v>Sep</v>
      </c>
      <c r="Q1341" s="23" t="str">
        <f>IF(F1341="CAPTURE",IF(COUNTIF(orders!$A:$A,O1341)&gt;0,"Yes","NO ORDER"),"")</f>
        <v>Yes</v>
      </c>
    </row>
    <row r="1342" spans="1:17" ht="15" customHeight="1" x14ac:dyDescent="0.3">
      <c r="A1342" s="23" t="s">
        <v>13973</v>
      </c>
      <c r="B1342" s="23"/>
      <c r="C1342" s="23" t="s">
        <v>4484</v>
      </c>
      <c r="D1342" s="23" t="str">
        <f t="shared" si="60"/>
        <v>ORD26001998</v>
      </c>
      <c r="E1342" s="38">
        <v>46273</v>
      </c>
      <c r="F1342" s="23" t="s">
        <v>12410</v>
      </c>
      <c r="G1342" s="23" t="s">
        <v>75</v>
      </c>
      <c r="H1342" s="24">
        <v>599</v>
      </c>
      <c r="I1342" s="24">
        <v>0</v>
      </c>
      <c r="J1342" s="24">
        <v>0</v>
      </c>
      <c r="K1342" s="24">
        <v>599</v>
      </c>
      <c r="L1342" s="38">
        <v>46275</v>
      </c>
      <c r="M1342" s="23" t="s">
        <v>194</v>
      </c>
      <c r="N1342" s="23" t="str">
        <f>IF(COUNTIF($A$2:A1342,A1342)&gt;1,"DUP","OK")</f>
        <v>OK</v>
      </c>
      <c r="O1342" s="23" t="str">
        <f t="shared" si="61"/>
        <v>ORD26001998</v>
      </c>
      <c r="P1342" s="23" t="str">
        <f t="shared" si="62"/>
        <v>Sep</v>
      </c>
      <c r="Q1342" s="23" t="str">
        <f>IF(F1342="CAPTURE",IF(COUNTIF(orders!$A:$A,O1342)&gt;0,"Yes","NO ORDER"),"")</f>
        <v>Yes</v>
      </c>
    </row>
    <row r="1343" spans="1:17" ht="15" customHeight="1" x14ac:dyDescent="0.3">
      <c r="A1343" s="23" t="s">
        <v>13974</v>
      </c>
      <c r="B1343" s="23"/>
      <c r="C1343" s="23" t="s">
        <v>4505</v>
      </c>
      <c r="D1343" s="23" t="str">
        <f t="shared" si="60"/>
        <v>ORD26002008</v>
      </c>
      <c r="E1343" s="38">
        <v>46273</v>
      </c>
      <c r="F1343" s="23" t="s">
        <v>12410</v>
      </c>
      <c r="G1343" s="23" t="s">
        <v>79</v>
      </c>
      <c r="H1343" s="24">
        <v>2298</v>
      </c>
      <c r="I1343" s="24">
        <v>36.770000000000003</v>
      </c>
      <c r="J1343" s="24">
        <v>6.62</v>
      </c>
      <c r="K1343" s="24">
        <v>2254.61</v>
      </c>
      <c r="L1343" s="38">
        <v>46275</v>
      </c>
      <c r="M1343" s="23" t="s">
        <v>194</v>
      </c>
      <c r="N1343" s="23" t="str">
        <f>IF(COUNTIF($A$2:A1343,A1343)&gt;1,"DUP","OK")</f>
        <v>OK</v>
      </c>
      <c r="O1343" s="23" t="str">
        <f t="shared" si="61"/>
        <v>ORD26002008</v>
      </c>
      <c r="P1343" s="23" t="str">
        <f t="shared" si="62"/>
        <v>Sep</v>
      </c>
      <c r="Q1343" s="23" t="str">
        <f>IF(F1343="CAPTURE",IF(COUNTIF(orders!$A:$A,O1343)&gt;0,"Yes","NO ORDER"),"")</f>
        <v>Yes</v>
      </c>
    </row>
    <row r="1344" spans="1:17" ht="15" customHeight="1" x14ac:dyDescent="0.3">
      <c r="A1344" s="23" t="s">
        <v>13975</v>
      </c>
      <c r="B1344" s="23"/>
      <c r="C1344" s="23" t="s">
        <v>4581</v>
      </c>
      <c r="D1344" s="23" t="str">
        <f t="shared" si="60"/>
        <v>ORD26002045</v>
      </c>
      <c r="E1344" s="38">
        <v>46273</v>
      </c>
      <c r="F1344" s="23" t="s">
        <v>12410</v>
      </c>
      <c r="G1344" s="23" t="s">
        <v>75</v>
      </c>
      <c r="H1344" s="24">
        <v>599</v>
      </c>
      <c r="I1344" s="24">
        <v>0</v>
      </c>
      <c r="J1344" s="24">
        <v>0</v>
      </c>
      <c r="K1344" s="24">
        <v>599</v>
      </c>
      <c r="L1344" s="38">
        <v>46275</v>
      </c>
      <c r="M1344" s="23" t="s">
        <v>194</v>
      </c>
      <c r="N1344" s="23" t="str">
        <f>IF(COUNTIF($A$2:A1344,A1344)&gt;1,"DUP","OK")</f>
        <v>OK</v>
      </c>
      <c r="O1344" s="23" t="str">
        <f t="shared" si="61"/>
        <v>ORD26002045</v>
      </c>
      <c r="P1344" s="23" t="str">
        <f t="shared" si="62"/>
        <v>Sep</v>
      </c>
      <c r="Q1344" s="23" t="str">
        <f>IF(F1344="CAPTURE",IF(COUNTIF(orders!$A:$A,O1344)&gt;0,"Yes","NO ORDER"),"")</f>
        <v>Yes</v>
      </c>
    </row>
    <row r="1345" spans="1:17" ht="15" customHeight="1" x14ac:dyDescent="0.3">
      <c r="A1345" s="23" t="s">
        <v>13976</v>
      </c>
      <c r="B1345" s="23"/>
      <c r="C1345" s="23" t="s">
        <v>4651</v>
      </c>
      <c r="D1345" s="23" t="str">
        <f t="shared" si="60"/>
        <v>ORD26002080</v>
      </c>
      <c r="E1345" s="38">
        <v>46273</v>
      </c>
      <c r="F1345" s="23" t="s">
        <v>12410</v>
      </c>
      <c r="G1345" s="23" t="s">
        <v>79</v>
      </c>
      <c r="H1345" s="24">
        <v>8348</v>
      </c>
      <c r="I1345" s="24">
        <v>133.57</v>
      </c>
      <c r="J1345" s="24">
        <v>24.04</v>
      </c>
      <c r="K1345" s="24">
        <v>8190.39</v>
      </c>
      <c r="L1345" s="38">
        <v>46275</v>
      </c>
      <c r="M1345" s="23" t="s">
        <v>194</v>
      </c>
      <c r="N1345" s="23" t="str">
        <f>IF(COUNTIF($A$2:A1345,A1345)&gt;1,"DUP","OK")</f>
        <v>OK</v>
      </c>
      <c r="O1345" s="23" t="str">
        <f t="shared" si="61"/>
        <v>ORD26002080</v>
      </c>
      <c r="P1345" s="23" t="str">
        <f t="shared" si="62"/>
        <v>Sep</v>
      </c>
      <c r="Q1345" s="23" t="str">
        <f>IF(F1345="CAPTURE",IF(COUNTIF(orders!$A:$A,O1345)&gt;0,"Yes","NO ORDER"),"")</f>
        <v>Yes</v>
      </c>
    </row>
    <row r="1346" spans="1:17" ht="15" customHeight="1" x14ac:dyDescent="0.3">
      <c r="A1346" s="23" t="s">
        <v>13977</v>
      </c>
      <c r="B1346" s="23"/>
      <c r="C1346" s="23" t="s">
        <v>4672</v>
      </c>
      <c r="D1346" s="23" t="str">
        <f t="shared" ref="D1346:D1409" si="63">UPPER(SUBSTITUTE(TRIM(C1346),"-",""))</f>
        <v>ORD26002091</v>
      </c>
      <c r="E1346" s="38">
        <v>46273</v>
      </c>
      <c r="F1346" s="23" t="s">
        <v>12410</v>
      </c>
      <c r="G1346" s="23" t="s">
        <v>75</v>
      </c>
      <c r="H1346" s="24">
        <v>7999</v>
      </c>
      <c r="I1346" s="24">
        <v>24</v>
      </c>
      <c r="J1346" s="24">
        <v>4.32</v>
      </c>
      <c r="K1346" s="24">
        <v>7970.68</v>
      </c>
      <c r="L1346" s="38">
        <v>46275</v>
      </c>
      <c r="M1346" s="23" t="s">
        <v>194</v>
      </c>
      <c r="N1346" s="23" t="str">
        <f>IF(COUNTIF($A$2:A1346,A1346)&gt;1,"DUP","OK")</f>
        <v>OK</v>
      </c>
      <c r="O1346" s="23" t="str">
        <f t="shared" ref="O1346:O1409" si="64">IF(F1346="REFUND",INDEX($D:$D,MATCH(B1346,$A:$A,0)),D1346)</f>
        <v>ORD26002091</v>
      </c>
      <c r="P1346" s="23" t="str">
        <f t="shared" ref="P1346:P1409" si="65">IF(L1346&gt;DATE(2026,9,30),"Oct-Due","Sep")</f>
        <v>Sep</v>
      </c>
      <c r="Q1346" s="23" t="str">
        <f>IF(F1346="CAPTURE",IF(COUNTIF(orders!$A:$A,O1346)&gt;0,"Yes","NO ORDER"),"")</f>
        <v>Yes</v>
      </c>
    </row>
    <row r="1347" spans="1:17" ht="15" customHeight="1" x14ac:dyDescent="0.3">
      <c r="A1347" s="23" t="s">
        <v>13978</v>
      </c>
      <c r="B1347" s="23"/>
      <c r="C1347" s="23" t="s">
        <v>4688</v>
      </c>
      <c r="D1347" s="23" t="str">
        <f t="shared" si="63"/>
        <v>ORD26002099</v>
      </c>
      <c r="E1347" s="38">
        <v>46273</v>
      </c>
      <c r="F1347" s="23" t="s">
        <v>12410</v>
      </c>
      <c r="G1347" s="23" t="s">
        <v>75</v>
      </c>
      <c r="H1347" s="24">
        <v>12997</v>
      </c>
      <c r="I1347" s="24">
        <v>38.99</v>
      </c>
      <c r="J1347" s="24">
        <v>7.02</v>
      </c>
      <c r="K1347" s="24">
        <v>12950.99</v>
      </c>
      <c r="L1347" s="38">
        <v>46275</v>
      </c>
      <c r="M1347" s="23" t="s">
        <v>194</v>
      </c>
      <c r="N1347" s="23" t="str">
        <f>IF(COUNTIF($A$2:A1347,A1347)&gt;1,"DUP","OK")</f>
        <v>OK</v>
      </c>
      <c r="O1347" s="23" t="str">
        <f t="shared" si="64"/>
        <v>ORD26002099</v>
      </c>
      <c r="P1347" s="23" t="str">
        <f t="shared" si="65"/>
        <v>Sep</v>
      </c>
      <c r="Q1347" s="23" t="str">
        <f>IF(F1347="CAPTURE",IF(COUNTIF(orders!$A:$A,O1347)&gt;0,"Yes","NO ORDER"),"")</f>
        <v>Yes</v>
      </c>
    </row>
    <row r="1348" spans="1:17" ht="15" customHeight="1" x14ac:dyDescent="0.3">
      <c r="A1348" s="23" t="s">
        <v>13979</v>
      </c>
      <c r="B1348" s="23"/>
      <c r="C1348" s="23" t="s">
        <v>4738</v>
      </c>
      <c r="D1348" s="23" t="str">
        <f t="shared" si="63"/>
        <v>ORD26002124</v>
      </c>
      <c r="E1348" s="38">
        <v>46273</v>
      </c>
      <c r="F1348" s="23" t="s">
        <v>12410</v>
      </c>
      <c r="G1348" s="23" t="s">
        <v>81</v>
      </c>
      <c r="H1348" s="24">
        <v>7999</v>
      </c>
      <c r="I1348" s="24">
        <v>95.99</v>
      </c>
      <c r="J1348" s="24">
        <v>17.28</v>
      </c>
      <c r="K1348" s="24">
        <v>7885.73</v>
      </c>
      <c r="L1348" s="38">
        <v>46275</v>
      </c>
      <c r="M1348" s="23" t="s">
        <v>194</v>
      </c>
      <c r="N1348" s="23" t="str">
        <f>IF(COUNTIF($A$2:A1348,A1348)&gt;1,"DUP","OK")</f>
        <v>OK</v>
      </c>
      <c r="O1348" s="23" t="str">
        <f t="shared" si="64"/>
        <v>ORD26002124</v>
      </c>
      <c r="P1348" s="23" t="str">
        <f t="shared" si="65"/>
        <v>Sep</v>
      </c>
      <c r="Q1348" s="23" t="str">
        <f>IF(F1348="CAPTURE",IF(COUNTIF(orders!$A:$A,O1348)&gt;0,"Yes","NO ORDER"),"")</f>
        <v>Yes</v>
      </c>
    </row>
    <row r="1349" spans="1:17" ht="15" customHeight="1" x14ac:dyDescent="0.3">
      <c r="A1349" s="23" t="s">
        <v>13980</v>
      </c>
      <c r="B1349" s="23"/>
      <c r="C1349" s="23" t="s">
        <v>4768</v>
      </c>
      <c r="D1349" s="23" t="str">
        <f t="shared" si="63"/>
        <v>ORD26002139</v>
      </c>
      <c r="E1349" s="38">
        <v>46273</v>
      </c>
      <c r="F1349" s="23" t="s">
        <v>12410</v>
      </c>
      <c r="G1349" s="23" t="s">
        <v>81</v>
      </c>
      <c r="H1349" s="24">
        <v>9998</v>
      </c>
      <c r="I1349" s="24">
        <v>119.98</v>
      </c>
      <c r="J1349" s="24">
        <v>21.6</v>
      </c>
      <c r="K1349" s="24">
        <v>9856.42</v>
      </c>
      <c r="L1349" s="38">
        <v>46275</v>
      </c>
      <c r="M1349" s="23" t="s">
        <v>194</v>
      </c>
      <c r="N1349" s="23" t="str">
        <f>IF(COUNTIF($A$2:A1349,A1349)&gt;1,"DUP","OK")</f>
        <v>OK</v>
      </c>
      <c r="O1349" s="23" t="str">
        <f t="shared" si="64"/>
        <v>ORD26002139</v>
      </c>
      <c r="P1349" s="23" t="str">
        <f t="shared" si="65"/>
        <v>Sep</v>
      </c>
      <c r="Q1349" s="23" t="str">
        <f>IF(F1349="CAPTURE",IF(COUNTIF(orders!$A:$A,O1349)&gt;0,"Yes","NO ORDER"),"")</f>
        <v>Yes</v>
      </c>
    </row>
    <row r="1350" spans="1:17" ht="15" customHeight="1" x14ac:dyDescent="0.3">
      <c r="A1350" s="23" t="s">
        <v>13981</v>
      </c>
      <c r="B1350" s="23"/>
      <c r="C1350" s="23" t="s">
        <v>13982</v>
      </c>
      <c r="D1350" s="23" t="str">
        <f t="shared" si="63"/>
        <v>ORD26002196</v>
      </c>
      <c r="E1350" s="38">
        <v>46273</v>
      </c>
      <c r="F1350" s="23" t="s">
        <v>12410</v>
      </c>
      <c r="G1350" s="23" t="s">
        <v>75</v>
      </c>
      <c r="H1350" s="24">
        <v>3499</v>
      </c>
      <c r="I1350" s="24">
        <v>10.5</v>
      </c>
      <c r="J1350" s="24">
        <v>1.89</v>
      </c>
      <c r="K1350" s="24">
        <v>3486.61</v>
      </c>
      <c r="L1350" s="38">
        <v>46275</v>
      </c>
      <c r="M1350" s="23" t="s">
        <v>194</v>
      </c>
      <c r="N1350" s="23" t="str">
        <f>IF(COUNTIF($A$2:A1350,A1350)&gt;1,"DUP","OK")</f>
        <v>OK</v>
      </c>
      <c r="O1350" s="23" t="str">
        <f t="shared" si="64"/>
        <v>ORD26002196</v>
      </c>
      <c r="P1350" s="23" t="str">
        <f t="shared" si="65"/>
        <v>Sep</v>
      </c>
      <c r="Q1350" s="23" t="str">
        <f>IF(F1350="CAPTURE",IF(COUNTIF(orders!$A:$A,O1350)&gt;0,"Yes","NO ORDER"),"")</f>
        <v>Yes</v>
      </c>
    </row>
    <row r="1351" spans="1:17" ht="15" customHeight="1" x14ac:dyDescent="0.3">
      <c r="A1351" s="23" t="s">
        <v>13983</v>
      </c>
      <c r="B1351" s="23"/>
      <c r="C1351" s="23" t="s">
        <v>4887</v>
      </c>
      <c r="D1351" s="23" t="str">
        <f t="shared" si="63"/>
        <v>ORD26002198</v>
      </c>
      <c r="E1351" s="38">
        <v>46273</v>
      </c>
      <c r="F1351" s="23" t="s">
        <v>12410</v>
      </c>
      <c r="G1351" s="23" t="s">
        <v>79</v>
      </c>
      <c r="H1351" s="24">
        <v>1998</v>
      </c>
      <c r="I1351" s="24">
        <v>35.96</v>
      </c>
      <c r="J1351" s="24">
        <v>6.47</v>
      </c>
      <c r="K1351" s="24">
        <v>1955.57</v>
      </c>
      <c r="L1351" s="38">
        <v>46275</v>
      </c>
      <c r="M1351" s="23" t="s">
        <v>194</v>
      </c>
      <c r="N1351" s="23" t="str">
        <f>IF(COUNTIF($A$2:A1351,A1351)&gt;1,"DUP","OK")</f>
        <v>OK</v>
      </c>
      <c r="O1351" s="23" t="str">
        <f t="shared" si="64"/>
        <v>ORD26002198</v>
      </c>
      <c r="P1351" s="23" t="str">
        <f t="shared" si="65"/>
        <v>Sep</v>
      </c>
      <c r="Q1351" s="23" t="str">
        <f>IF(F1351="CAPTURE",IF(COUNTIF(orders!$A:$A,O1351)&gt;0,"Yes","NO ORDER"),"")</f>
        <v>Yes</v>
      </c>
    </row>
    <row r="1352" spans="1:17" ht="15" customHeight="1" x14ac:dyDescent="0.3">
      <c r="A1352" s="23" t="s">
        <v>13984</v>
      </c>
      <c r="B1352" s="23"/>
      <c r="C1352" s="23" t="s">
        <v>4991</v>
      </c>
      <c r="D1352" s="23" t="str">
        <f t="shared" si="63"/>
        <v>ORD26002249</v>
      </c>
      <c r="E1352" s="38">
        <v>46273</v>
      </c>
      <c r="F1352" s="23" t="s">
        <v>12410</v>
      </c>
      <c r="G1352" s="23" t="s">
        <v>75</v>
      </c>
      <c r="H1352" s="24">
        <v>1499</v>
      </c>
      <c r="I1352" s="24">
        <v>0</v>
      </c>
      <c r="J1352" s="24">
        <v>0</v>
      </c>
      <c r="K1352" s="24">
        <v>1499</v>
      </c>
      <c r="L1352" s="38">
        <v>46275</v>
      </c>
      <c r="M1352" s="23" t="s">
        <v>194</v>
      </c>
      <c r="N1352" s="23" t="str">
        <f>IF(COUNTIF($A$2:A1352,A1352)&gt;1,"DUP","OK")</f>
        <v>OK</v>
      </c>
      <c r="O1352" s="23" t="str">
        <f t="shared" si="64"/>
        <v>ORD26002249</v>
      </c>
      <c r="P1352" s="23" t="str">
        <f t="shared" si="65"/>
        <v>Sep</v>
      </c>
      <c r="Q1352" s="23" t="str">
        <f>IF(F1352="CAPTURE",IF(COUNTIF(orders!$A:$A,O1352)&gt;0,"Yes","NO ORDER"),"")</f>
        <v>Yes</v>
      </c>
    </row>
    <row r="1353" spans="1:17" ht="15" customHeight="1" x14ac:dyDescent="0.3">
      <c r="A1353" s="23" t="s">
        <v>13985</v>
      </c>
      <c r="B1353" s="23"/>
      <c r="C1353" s="23" t="s">
        <v>5050</v>
      </c>
      <c r="D1353" s="23" t="str">
        <f t="shared" si="63"/>
        <v>ORD26002278</v>
      </c>
      <c r="E1353" s="38">
        <v>46273</v>
      </c>
      <c r="F1353" s="23" t="s">
        <v>12410</v>
      </c>
      <c r="G1353" s="23" t="s">
        <v>75</v>
      </c>
      <c r="H1353" s="24">
        <v>2999</v>
      </c>
      <c r="I1353" s="24">
        <v>9</v>
      </c>
      <c r="J1353" s="24">
        <v>1.62</v>
      </c>
      <c r="K1353" s="24">
        <v>2988.38</v>
      </c>
      <c r="L1353" s="38">
        <v>46275</v>
      </c>
      <c r="M1353" s="23" t="s">
        <v>194</v>
      </c>
      <c r="N1353" s="23" t="str">
        <f>IF(COUNTIF($A$2:A1353,A1353)&gt;1,"DUP","OK")</f>
        <v>OK</v>
      </c>
      <c r="O1353" s="23" t="str">
        <f t="shared" si="64"/>
        <v>ORD26002278</v>
      </c>
      <c r="P1353" s="23" t="str">
        <f t="shared" si="65"/>
        <v>Sep</v>
      </c>
      <c r="Q1353" s="23" t="str">
        <f>IF(F1353="CAPTURE",IF(COUNTIF(orders!$A:$A,O1353)&gt;0,"Yes","NO ORDER"),"")</f>
        <v>Yes</v>
      </c>
    </row>
    <row r="1354" spans="1:17" ht="15" customHeight="1" x14ac:dyDescent="0.3">
      <c r="A1354" s="23" t="s">
        <v>13986</v>
      </c>
      <c r="B1354" s="23"/>
      <c r="C1354" s="23" t="s">
        <v>5199</v>
      </c>
      <c r="D1354" s="23" t="str">
        <f t="shared" si="63"/>
        <v>ORD26002353</v>
      </c>
      <c r="E1354" s="38">
        <v>46273</v>
      </c>
      <c r="F1354" s="23" t="s">
        <v>12410</v>
      </c>
      <c r="G1354" s="23" t="s">
        <v>75</v>
      </c>
      <c r="H1354" s="24">
        <v>1299</v>
      </c>
      <c r="I1354" s="24">
        <v>0</v>
      </c>
      <c r="J1354" s="24">
        <v>0</v>
      </c>
      <c r="K1354" s="24">
        <v>1299</v>
      </c>
      <c r="L1354" s="38">
        <v>46275</v>
      </c>
      <c r="M1354" s="23" t="s">
        <v>194</v>
      </c>
      <c r="N1354" s="23" t="str">
        <f>IF(COUNTIF($A$2:A1354,A1354)&gt;1,"DUP","OK")</f>
        <v>OK</v>
      </c>
      <c r="O1354" s="23" t="str">
        <f t="shared" si="64"/>
        <v>ORD26002353</v>
      </c>
      <c r="P1354" s="23" t="str">
        <f t="shared" si="65"/>
        <v>Sep</v>
      </c>
      <c r="Q1354" s="23" t="str">
        <f>IF(F1354="CAPTURE",IF(COUNTIF(orders!$A:$A,O1354)&gt;0,"Yes","NO ORDER"),"")</f>
        <v>Yes</v>
      </c>
    </row>
    <row r="1355" spans="1:17" ht="15" customHeight="1" x14ac:dyDescent="0.3">
      <c r="A1355" s="23" t="s">
        <v>13987</v>
      </c>
      <c r="B1355" s="23"/>
      <c r="C1355" s="23" t="s">
        <v>5221</v>
      </c>
      <c r="D1355" s="23" t="str">
        <f t="shared" si="63"/>
        <v>ORD26002364</v>
      </c>
      <c r="E1355" s="38">
        <v>46273</v>
      </c>
      <c r="F1355" s="23" t="s">
        <v>12410</v>
      </c>
      <c r="G1355" s="23" t="s">
        <v>75</v>
      </c>
      <c r="H1355" s="24">
        <v>799</v>
      </c>
      <c r="I1355" s="24">
        <v>0</v>
      </c>
      <c r="J1355" s="24">
        <v>0</v>
      </c>
      <c r="K1355" s="24">
        <v>799</v>
      </c>
      <c r="L1355" s="38">
        <v>46275</v>
      </c>
      <c r="M1355" s="23" t="s">
        <v>194</v>
      </c>
      <c r="N1355" s="23" t="str">
        <f>IF(COUNTIF($A$2:A1355,A1355)&gt;1,"DUP","OK")</f>
        <v>OK</v>
      </c>
      <c r="O1355" s="23" t="str">
        <f t="shared" si="64"/>
        <v>ORD26002364</v>
      </c>
      <c r="P1355" s="23" t="str">
        <f t="shared" si="65"/>
        <v>Sep</v>
      </c>
      <c r="Q1355" s="23" t="str">
        <f>IF(F1355="CAPTURE",IF(COUNTIF(orders!$A:$A,O1355)&gt;0,"Yes","NO ORDER"),"")</f>
        <v>Yes</v>
      </c>
    </row>
    <row r="1356" spans="1:17" ht="15" customHeight="1" x14ac:dyDescent="0.3">
      <c r="A1356" s="23" t="s">
        <v>13988</v>
      </c>
      <c r="B1356" s="23"/>
      <c r="C1356" s="23" t="s">
        <v>5229</v>
      </c>
      <c r="D1356" s="23" t="str">
        <f t="shared" si="63"/>
        <v>ORD26002368</v>
      </c>
      <c r="E1356" s="38">
        <v>46273</v>
      </c>
      <c r="F1356" s="23" t="s">
        <v>12410</v>
      </c>
      <c r="G1356" s="23" t="s">
        <v>75</v>
      </c>
      <c r="H1356" s="24">
        <v>7998</v>
      </c>
      <c r="I1356" s="24">
        <v>23.99</v>
      </c>
      <c r="J1356" s="24">
        <v>4.32</v>
      </c>
      <c r="K1356" s="24">
        <v>7969.69</v>
      </c>
      <c r="L1356" s="38">
        <v>46275</v>
      </c>
      <c r="M1356" s="23" t="s">
        <v>194</v>
      </c>
      <c r="N1356" s="23" t="str">
        <f>IF(COUNTIF($A$2:A1356,A1356)&gt;1,"DUP","OK")</f>
        <v>OK</v>
      </c>
      <c r="O1356" s="23" t="str">
        <f t="shared" si="64"/>
        <v>ORD26002368</v>
      </c>
      <c r="P1356" s="23" t="str">
        <f t="shared" si="65"/>
        <v>Sep</v>
      </c>
      <c r="Q1356" s="23" t="str">
        <f>IF(F1356="CAPTURE",IF(COUNTIF(orders!$A:$A,O1356)&gt;0,"Yes","NO ORDER"),"")</f>
        <v>Yes</v>
      </c>
    </row>
    <row r="1357" spans="1:17" ht="15" customHeight="1" x14ac:dyDescent="0.3">
      <c r="A1357" s="23" t="s">
        <v>13989</v>
      </c>
      <c r="B1357" s="23"/>
      <c r="C1357" s="23" t="s">
        <v>5248</v>
      </c>
      <c r="D1357" s="23" t="str">
        <f t="shared" si="63"/>
        <v>ORD26002378</v>
      </c>
      <c r="E1357" s="38">
        <v>46273</v>
      </c>
      <c r="F1357" s="23" t="s">
        <v>12410</v>
      </c>
      <c r="G1357" s="23" t="s">
        <v>77</v>
      </c>
      <c r="H1357" s="24">
        <v>4998</v>
      </c>
      <c r="I1357" s="24">
        <v>84.97</v>
      </c>
      <c r="J1357" s="24">
        <v>15.29</v>
      </c>
      <c r="K1357" s="24">
        <v>4897.74</v>
      </c>
      <c r="L1357" s="38">
        <v>46275</v>
      </c>
      <c r="M1357" s="23" t="s">
        <v>194</v>
      </c>
      <c r="N1357" s="23" t="str">
        <f>IF(COUNTIF($A$2:A1357,A1357)&gt;1,"DUP","OK")</f>
        <v>OK</v>
      </c>
      <c r="O1357" s="23" t="str">
        <f t="shared" si="64"/>
        <v>ORD26002378</v>
      </c>
      <c r="P1357" s="23" t="str">
        <f t="shared" si="65"/>
        <v>Sep</v>
      </c>
      <c r="Q1357" s="23" t="str">
        <f>IF(F1357="CAPTURE",IF(COUNTIF(orders!$A:$A,O1357)&gt;0,"Yes","NO ORDER"),"")</f>
        <v>Yes</v>
      </c>
    </row>
    <row r="1358" spans="1:17" ht="15" customHeight="1" x14ac:dyDescent="0.3">
      <c r="A1358" s="23" t="s">
        <v>13990</v>
      </c>
      <c r="B1358" s="23"/>
      <c r="C1358" s="23" t="s">
        <v>13991</v>
      </c>
      <c r="D1358" s="23" t="str">
        <f t="shared" si="63"/>
        <v>ORD26002404</v>
      </c>
      <c r="E1358" s="38">
        <v>46273</v>
      </c>
      <c r="F1358" s="23" t="s">
        <v>12410</v>
      </c>
      <c r="G1358" s="23" t="s">
        <v>75</v>
      </c>
      <c r="H1358" s="24">
        <v>8998</v>
      </c>
      <c r="I1358" s="24">
        <v>26.99</v>
      </c>
      <c r="J1358" s="24">
        <v>4.8600000000000003</v>
      </c>
      <c r="K1358" s="24">
        <v>8966.15</v>
      </c>
      <c r="L1358" s="38">
        <v>46275</v>
      </c>
      <c r="M1358" s="23" t="s">
        <v>194</v>
      </c>
      <c r="N1358" s="23" t="str">
        <f>IF(COUNTIF($A$2:A1358,A1358)&gt;1,"DUP","OK")</f>
        <v>OK</v>
      </c>
      <c r="O1358" s="23" t="str">
        <f t="shared" si="64"/>
        <v>ORD26002404</v>
      </c>
      <c r="P1358" s="23" t="str">
        <f t="shared" si="65"/>
        <v>Sep</v>
      </c>
      <c r="Q1358" s="23" t="str">
        <f>IF(F1358="CAPTURE",IF(COUNTIF(orders!$A:$A,O1358)&gt;0,"Yes","NO ORDER"),"")</f>
        <v>Yes</v>
      </c>
    </row>
    <row r="1359" spans="1:17" ht="15" customHeight="1" x14ac:dyDescent="0.3">
      <c r="A1359" s="23" t="s">
        <v>13992</v>
      </c>
      <c r="B1359" s="23"/>
      <c r="C1359" s="23" t="s">
        <v>5343</v>
      </c>
      <c r="D1359" s="23" t="str">
        <f t="shared" si="63"/>
        <v>ORD26002426</v>
      </c>
      <c r="E1359" s="38">
        <v>46273</v>
      </c>
      <c r="F1359" s="23" t="s">
        <v>12410</v>
      </c>
      <c r="G1359" s="23" t="s">
        <v>81</v>
      </c>
      <c r="H1359" s="24">
        <v>3098</v>
      </c>
      <c r="I1359" s="24">
        <v>37.18</v>
      </c>
      <c r="J1359" s="24">
        <v>6.69</v>
      </c>
      <c r="K1359" s="24">
        <v>3054.13</v>
      </c>
      <c r="L1359" s="38">
        <v>46275</v>
      </c>
      <c r="M1359" s="23" t="s">
        <v>194</v>
      </c>
      <c r="N1359" s="23" t="str">
        <f>IF(COUNTIF($A$2:A1359,A1359)&gt;1,"DUP","OK")</f>
        <v>OK</v>
      </c>
      <c r="O1359" s="23" t="str">
        <f t="shared" si="64"/>
        <v>ORD26002426</v>
      </c>
      <c r="P1359" s="23" t="str">
        <f t="shared" si="65"/>
        <v>Sep</v>
      </c>
      <c r="Q1359" s="23" t="str">
        <f>IF(F1359="CAPTURE",IF(COUNTIF(orders!$A:$A,O1359)&gt;0,"Yes","NO ORDER"),"")</f>
        <v>Yes</v>
      </c>
    </row>
    <row r="1360" spans="1:17" ht="15" customHeight="1" x14ac:dyDescent="0.3">
      <c r="A1360" s="23" t="s">
        <v>13993</v>
      </c>
      <c r="B1360" s="23"/>
      <c r="C1360" s="23" t="s">
        <v>13994</v>
      </c>
      <c r="D1360" s="23" t="str">
        <f t="shared" si="63"/>
        <v>ORD26002440</v>
      </c>
      <c r="E1360" s="38">
        <v>46273</v>
      </c>
      <c r="F1360" s="23" t="s">
        <v>12410</v>
      </c>
      <c r="G1360" s="23" t="s">
        <v>79</v>
      </c>
      <c r="H1360" s="24">
        <v>5498</v>
      </c>
      <c r="I1360" s="24">
        <v>87.97</v>
      </c>
      <c r="J1360" s="24">
        <v>15.83</v>
      </c>
      <c r="K1360" s="24">
        <v>5394.2</v>
      </c>
      <c r="L1360" s="38">
        <v>46275</v>
      </c>
      <c r="M1360" s="23" t="s">
        <v>194</v>
      </c>
      <c r="N1360" s="23" t="str">
        <f>IF(COUNTIF($A$2:A1360,A1360)&gt;1,"DUP","OK")</f>
        <v>OK</v>
      </c>
      <c r="O1360" s="23" t="str">
        <f t="shared" si="64"/>
        <v>ORD26002440</v>
      </c>
      <c r="P1360" s="23" t="str">
        <f t="shared" si="65"/>
        <v>Sep</v>
      </c>
      <c r="Q1360" s="23" t="str">
        <f>IF(F1360="CAPTURE",IF(COUNTIF(orders!$A:$A,O1360)&gt;0,"Yes","NO ORDER"),"")</f>
        <v>Yes</v>
      </c>
    </row>
    <row r="1361" spans="1:17" ht="15" customHeight="1" x14ac:dyDescent="0.3">
      <c r="A1361" s="23" t="s">
        <v>13995</v>
      </c>
      <c r="B1361" s="23"/>
      <c r="C1361" s="23" t="s">
        <v>5399</v>
      </c>
      <c r="D1361" s="23" t="str">
        <f t="shared" si="63"/>
        <v>ORD26002454</v>
      </c>
      <c r="E1361" s="38">
        <v>46273</v>
      </c>
      <c r="F1361" s="23" t="s">
        <v>12410</v>
      </c>
      <c r="G1361" s="23" t="s">
        <v>79</v>
      </c>
      <c r="H1361" s="24">
        <v>4097</v>
      </c>
      <c r="I1361" s="24">
        <v>65.55</v>
      </c>
      <c r="J1361" s="24">
        <v>11.8</v>
      </c>
      <c r="K1361" s="24">
        <v>4019.65</v>
      </c>
      <c r="L1361" s="38">
        <v>46275</v>
      </c>
      <c r="M1361" s="23" t="s">
        <v>194</v>
      </c>
      <c r="N1361" s="23" t="str">
        <f>IF(COUNTIF($A$2:A1361,A1361)&gt;1,"DUP","OK")</f>
        <v>OK</v>
      </c>
      <c r="O1361" s="23" t="str">
        <f t="shared" si="64"/>
        <v>ORD26002454</v>
      </c>
      <c r="P1361" s="23" t="str">
        <f t="shared" si="65"/>
        <v>Sep</v>
      </c>
      <c r="Q1361" s="23" t="str">
        <f>IF(F1361="CAPTURE",IF(COUNTIF(orders!$A:$A,O1361)&gt;0,"Yes","NO ORDER"),"")</f>
        <v>Yes</v>
      </c>
    </row>
    <row r="1362" spans="1:17" ht="15" customHeight="1" x14ac:dyDescent="0.3">
      <c r="A1362" s="23" t="s">
        <v>13996</v>
      </c>
      <c r="B1362" s="23"/>
      <c r="C1362" s="23" t="s">
        <v>5447</v>
      </c>
      <c r="D1362" s="23" t="str">
        <f t="shared" si="63"/>
        <v>ORD26002479</v>
      </c>
      <c r="E1362" s="38">
        <v>46273</v>
      </c>
      <c r="F1362" s="23" t="s">
        <v>12410</v>
      </c>
      <c r="G1362" s="23" t="s">
        <v>79</v>
      </c>
      <c r="H1362" s="24">
        <v>4999</v>
      </c>
      <c r="I1362" s="24">
        <v>79.98</v>
      </c>
      <c r="J1362" s="24">
        <v>14.4</v>
      </c>
      <c r="K1362" s="24">
        <v>4904.62</v>
      </c>
      <c r="L1362" s="38">
        <v>46275</v>
      </c>
      <c r="M1362" s="23" t="s">
        <v>194</v>
      </c>
      <c r="N1362" s="23" t="str">
        <f>IF(COUNTIF($A$2:A1362,A1362)&gt;1,"DUP","OK")</f>
        <v>OK</v>
      </c>
      <c r="O1362" s="23" t="str">
        <f t="shared" si="64"/>
        <v>ORD26002479</v>
      </c>
      <c r="P1362" s="23" t="str">
        <f t="shared" si="65"/>
        <v>Sep</v>
      </c>
      <c r="Q1362" s="23" t="str">
        <f>IF(F1362="CAPTURE",IF(COUNTIF(orders!$A:$A,O1362)&gt;0,"Yes","NO ORDER"),"")</f>
        <v>Yes</v>
      </c>
    </row>
    <row r="1363" spans="1:17" ht="15" customHeight="1" x14ac:dyDescent="0.3">
      <c r="A1363" s="23" t="s">
        <v>13997</v>
      </c>
      <c r="B1363" s="23"/>
      <c r="C1363" s="23" t="s">
        <v>5540</v>
      </c>
      <c r="D1363" s="23" t="str">
        <f t="shared" si="63"/>
        <v>ORD26002524</v>
      </c>
      <c r="E1363" s="38">
        <v>46273</v>
      </c>
      <c r="F1363" s="23" t="s">
        <v>12410</v>
      </c>
      <c r="G1363" s="23" t="s">
        <v>79</v>
      </c>
      <c r="H1363" s="24">
        <v>798</v>
      </c>
      <c r="I1363" s="24">
        <v>14.36</v>
      </c>
      <c r="J1363" s="24">
        <v>2.58</v>
      </c>
      <c r="K1363" s="24">
        <v>781.06</v>
      </c>
      <c r="L1363" s="38">
        <v>46275</v>
      </c>
      <c r="M1363" s="23" t="s">
        <v>194</v>
      </c>
      <c r="N1363" s="23" t="str">
        <f>IF(COUNTIF($A$2:A1363,A1363)&gt;1,"DUP","OK")</f>
        <v>OK</v>
      </c>
      <c r="O1363" s="23" t="str">
        <f t="shared" si="64"/>
        <v>ORD26002524</v>
      </c>
      <c r="P1363" s="23" t="str">
        <f t="shared" si="65"/>
        <v>Sep</v>
      </c>
      <c r="Q1363" s="23" t="str">
        <f>IF(F1363="CAPTURE",IF(COUNTIF(orders!$A:$A,O1363)&gt;0,"Yes","NO ORDER"),"")</f>
        <v>Yes</v>
      </c>
    </row>
    <row r="1364" spans="1:17" ht="15" customHeight="1" x14ac:dyDescent="0.3">
      <c r="A1364" s="23" t="s">
        <v>13998</v>
      </c>
      <c r="B1364" s="23"/>
      <c r="C1364" s="23" t="s">
        <v>5565</v>
      </c>
      <c r="D1364" s="23" t="str">
        <f t="shared" si="63"/>
        <v>ORD26002536</v>
      </c>
      <c r="E1364" s="38">
        <v>46273</v>
      </c>
      <c r="F1364" s="23" t="s">
        <v>12410</v>
      </c>
      <c r="G1364" s="23" t="s">
        <v>75</v>
      </c>
      <c r="H1364" s="24">
        <v>3098</v>
      </c>
      <c r="I1364" s="24">
        <v>9.2899999999999991</v>
      </c>
      <c r="J1364" s="24">
        <v>1.67</v>
      </c>
      <c r="K1364" s="24">
        <v>3087.04</v>
      </c>
      <c r="L1364" s="38">
        <v>46275</v>
      </c>
      <c r="M1364" s="23" t="s">
        <v>194</v>
      </c>
      <c r="N1364" s="23" t="str">
        <f>IF(COUNTIF($A$2:A1364,A1364)&gt;1,"DUP","OK")</f>
        <v>OK</v>
      </c>
      <c r="O1364" s="23" t="str">
        <f t="shared" si="64"/>
        <v>ORD26002536</v>
      </c>
      <c r="P1364" s="23" t="str">
        <f t="shared" si="65"/>
        <v>Sep</v>
      </c>
      <c r="Q1364" s="23" t="str">
        <f>IF(F1364="CAPTURE",IF(COUNTIF(orders!$A:$A,O1364)&gt;0,"Yes","NO ORDER"),"")</f>
        <v>Yes</v>
      </c>
    </row>
    <row r="1365" spans="1:17" ht="15" customHeight="1" x14ac:dyDescent="0.3">
      <c r="A1365" s="23" t="s">
        <v>13999</v>
      </c>
      <c r="B1365" s="23"/>
      <c r="C1365" s="23" t="s">
        <v>14000</v>
      </c>
      <c r="D1365" s="23" t="str">
        <f t="shared" si="63"/>
        <v>ORD26002637</v>
      </c>
      <c r="E1365" s="38">
        <v>46273</v>
      </c>
      <c r="F1365" s="23" t="s">
        <v>12410</v>
      </c>
      <c r="G1365" s="23" t="s">
        <v>77</v>
      </c>
      <c r="H1365" s="24">
        <v>2999</v>
      </c>
      <c r="I1365" s="24">
        <v>50.98</v>
      </c>
      <c r="J1365" s="24">
        <v>9.18</v>
      </c>
      <c r="K1365" s="24">
        <v>2938.84</v>
      </c>
      <c r="L1365" s="38">
        <v>46275</v>
      </c>
      <c r="M1365" s="23" t="s">
        <v>194</v>
      </c>
      <c r="N1365" s="23" t="str">
        <f>IF(COUNTIF($A$2:A1365,A1365)&gt;1,"DUP","OK")</f>
        <v>OK</v>
      </c>
      <c r="O1365" s="23" t="str">
        <f t="shared" si="64"/>
        <v>ORD26002637</v>
      </c>
      <c r="P1365" s="23" t="str">
        <f t="shared" si="65"/>
        <v>Sep</v>
      </c>
      <c r="Q1365" s="23" t="str">
        <f>IF(F1365="CAPTURE",IF(COUNTIF(orders!$A:$A,O1365)&gt;0,"Yes","NO ORDER"),"")</f>
        <v>Yes</v>
      </c>
    </row>
    <row r="1366" spans="1:17" ht="15" customHeight="1" x14ac:dyDescent="0.3">
      <c r="A1366" s="23" t="s">
        <v>14001</v>
      </c>
      <c r="B1366" s="23"/>
      <c r="C1366" s="23" t="s">
        <v>5842</v>
      </c>
      <c r="D1366" s="23" t="str">
        <f t="shared" si="63"/>
        <v>ORD26002673</v>
      </c>
      <c r="E1366" s="38">
        <v>46273</v>
      </c>
      <c r="F1366" s="23" t="s">
        <v>12410</v>
      </c>
      <c r="G1366" s="23" t="s">
        <v>81</v>
      </c>
      <c r="H1366" s="24">
        <v>15998</v>
      </c>
      <c r="I1366" s="24">
        <v>143.97999999999999</v>
      </c>
      <c r="J1366" s="24">
        <v>25.92</v>
      </c>
      <c r="K1366" s="24">
        <v>15828.1</v>
      </c>
      <c r="L1366" s="38">
        <v>46275</v>
      </c>
      <c r="M1366" s="23" t="s">
        <v>194</v>
      </c>
      <c r="N1366" s="23" t="str">
        <f>IF(COUNTIF($A$2:A1366,A1366)&gt;1,"DUP","OK")</f>
        <v>OK</v>
      </c>
      <c r="O1366" s="23" t="str">
        <f t="shared" si="64"/>
        <v>ORD26002673</v>
      </c>
      <c r="P1366" s="23" t="str">
        <f t="shared" si="65"/>
        <v>Sep</v>
      </c>
      <c r="Q1366" s="23" t="str">
        <f>IF(F1366="CAPTURE",IF(COUNTIF(orders!$A:$A,O1366)&gt;0,"Yes","NO ORDER"),"")</f>
        <v>Yes</v>
      </c>
    </row>
    <row r="1367" spans="1:17" ht="15" customHeight="1" x14ac:dyDescent="0.3">
      <c r="A1367" s="23" t="s">
        <v>14002</v>
      </c>
      <c r="B1367" s="23"/>
      <c r="C1367" s="23" t="s">
        <v>5854</v>
      </c>
      <c r="D1367" s="23" t="str">
        <f t="shared" si="63"/>
        <v>ORD26002679</v>
      </c>
      <c r="E1367" s="38">
        <v>46273</v>
      </c>
      <c r="F1367" s="23" t="s">
        <v>12410</v>
      </c>
      <c r="G1367" s="23" t="s">
        <v>77</v>
      </c>
      <c r="H1367" s="24">
        <v>4997</v>
      </c>
      <c r="I1367" s="24">
        <v>84.95</v>
      </c>
      <c r="J1367" s="24">
        <v>15.29</v>
      </c>
      <c r="K1367" s="24">
        <v>4896.76</v>
      </c>
      <c r="L1367" s="38">
        <v>46275</v>
      </c>
      <c r="M1367" s="23" t="s">
        <v>194</v>
      </c>
      <c r="N1367" s="23" t="str">
        <f>IF(COUNTIF($A$2:A1367,A1367)&gt;1,"DUP","OK")</f>
        <v>OK</v>
      </c>
      <c r="O1367" s="23" t="str">
        <f t="shared" si="64"/>
        <v>ORD26002679</v>
      </c>
      <c r="P1367" s="23" t="str">
        <f t="shared" si="65"/>
        <v>Sep</v>
      </c>
      <c r="Q1367" s="23" t="str">
        <f>IF(F1367="CAPTURE",IF(COUNTIF(orders!$A:$A,O1367)&gt;0,"Yes","NO ORDER"),"")</f>
        <v>Yes</v>
      </c>
    </row>
    <row r="1368" spans="1:17" ht="15" customHeight="1" x14ac:dyDescent="0.3">
      <c r="A1368" s="23" t="s">
        <v>14003</v>
      </c>
      <c r="B1368" s="23"/>
      <c r="C1368" s="23" t="s">
        <v>5918</v>
      </c>
      <c r="D1368" s="23" t="str">
        <f t="shared" si="63"/>
        <v>ORD26002711</v>
      </c>
      <c r="E1368" s="38">
        <v>46273</v>
      </c>
      <c r="F1368" s="23" t="s">
        <v>12410</v>
      </c>
      <c r="G1368" s="23" t="s">
        <v>81</v>
      </c>
      <c r="H1368" s="24">
        <v>4999</v>
      </c>
      <c r="I1368" s="24">
        <v>59.99</v>
      </c>
      <c r="J1368" s="24">
        <v>10.8</v>
      </c>
      <c r="K1368" s="24">
        <v>4928.21</v>
      </c>
      <c r="L1368" s="38">
        <v>46275</v>
      </c>
      <c r="M1368" s="23" t="s">
        <v>194</v>
      </c>
      <c r="N1368" s="23" t="str">
        <f>IF(COUNTIF($A$2:A1368,A1368)&gt;1,"DUP","OK")</f>
        <v>OK</v>
      </c>
      <c r="O1368" s="23" t="str">
        <f t="shared" si="64"/>
        <v>ORD26002711</v>
      </c>
      <c r="P1368" s="23" t="str">
        <f t="shared" si="65"/>
        <v>Sep</v>
      </c>
      <c r="Q1368" s="23" t="str">
        <f>IF(F1368="CAPTURE",IF(COUNTIF(orders!$A:$A,O1368)&gt;0,"Yes","NO ORDER"),"")</f>
        <v>Yes</v>
      </c>
    </row>
    <row r="1369" spans="1:17" ht="15" customHeight="1" x14ac:dyDescent="0.3">
      <c r="A1369" s="23" t="s">
        <v>14004</v>
      </c>
      <c r="B1369" s="23"/>
      <c r="C1369" s="23" t="s">
        <v>6007</v>
      </c>
      <c r="D1369" s="23" t="str">
        <f t="shared" si="63"/>
        <v>ORD26002755</v>
      </c>
      <c r="E1369" s="38">
        <v>46273</v>
      </c>
      <c r="F1369" s="23" t="s">
        <v>12410</v>
      </c>
      <c r="G1369" s="23" t="s">
        <v>75</v>
      </c>
      <c r="H1369" s="24">
        <v>8997</v>
      </c>
      <c r="I1369" s="24">
        <v>26.99</v>
      </c>
      <c r="J1369" s="24">
        <v>4.8600000000000003</v>
      </c>
      <c r="K1369" s="24">
        <v>8965.15</v>
      </c>
      <c r="L1369" s="38">
        <v>46275</v>
      </c>
      <c r="M1369" s="23" t="s">
        <v>194</v>
      </c>
      <c r="N1369" s="23" t="str">
        <f>IF(COUNTIF($A$2:A1369,A1369)&gt;1,"DUP","OK")</f>
        <v>OK</v>
      </c>
      <c r="O1369" s="23" t="str">
        <f t="shared" si="64"/>
        <v>ORD26002755</v>
      </c>
      <c r="P1369" s="23" t="str">
        <f t="shared" si="65"/>
        <v>Sep</v>
      </c>
      <c r="Q1369" s="23" t="str">
        <f>IF(F1369="CAPTURE",IF(COUNTIF(orders!$A:$A,O1369)&gt;0,"Yes","NO ORDER"),"")</f>
        <v>Yes</v>
      </c>
    </row>
    <row r="1370" spans="1:17" ht="15" customHeight="1" x14ac:dyDescent="0.3">
      <c r="A1370" s="23" t="s">
        <v>14005</v>
      </c>
      <c r="B1370" s="23"/>
      <c r="C1370" s="23" t="s">
        <v>14006</v>
      </c>
      <c r="D1370" s="23" t="str">
        <f t="shared" si="63"/>
        <v>ORD26002790</v>
      </c>
      <c r="E1370" s="38">
        <v>46273</v>
      </c>
      <c r="F1370" s="23" t="s">
        <v>12410</v>
      </c>
      <c r="G1370" s="23" t="s">
        <v>75</v>
      </c>
      <c r="H1370" s="24">
        <v>12297</v>
      </c>
      <c r="I1370" s="24">
        <v>36.89</v>
      </c>
      <c r="J1370" s="24">
        <v>6.64</v>
      </c>
      <c r="K1370" s="24">
        <v>12253.47</v>
      </c>
      <c r="L1370" s="38">
        <v>46275</v>
      </c>
      <c r="M1370" s="23" t="s">
        <v>194</v>
      </c>
      <c r="N1370" s="23" t="str">
        <f>IF(COUNTIF($A$2:A1370,A1370)&gt;1,"DUP","OK")</f>
        <v>OK</v>
      </c>
      <c r="O1370" s="23" t="str">
        <f t="shared" si="64"/>
        <v>ORD26002790</v>
      </c>
      <c r="P1370" s="23" t="str">
        <f t="shared" si="65"/>
        <v>Sep</v>
      </c>
      <c r="Q1370" s="23" t="str">
        <f>IF(F1370="CAPTURE",IF(COUNTIF(orders!$A:$A,O1370)&gt;0,"Yes","NO ORDER"),"")</f>
        <v>Yes</v>
      </c>
    </row>
    <row r="1371" spans="1:17" ht="15" customHeight="1" x14ac:dyDescent="0.3">
      <c r="A1371" s="23" t="s">
        <v>14007</v>
      </c>
      <c r="B1371" s="23"/>
      <c r="C1371" s="23" t="s">
        <v>6092</v>
      </c>
      <c r="D1371" s="23" t="str">
        <f t="shared" si="63"/>
        <v>ORD26002797</v>
      </c>
      <c r="E1371" s="38">
        <v>46273</v>
      </c>
      <c r="F1371" s="23" t="s">
        <v>12410</v>
      </c>
      <c r="G1371" s="23" t="s">
        <v>79</v>
      </c>
      <c r="H1371" s="24">
        <v>1499</v>
      </c>
      <c r="I1371" s="24">
        <v>26.98</v>
      </c>
      <c r="J1371" s="24">
        <v>4.8600000000000003</v>
      </c>
      <c r="K1371" s="24">
        <v>1467.16</v>
      </c>
      <c r="L1371" s="38">
        <v>46275</v>
      </c>
      <c r="M1371" s="23" t="s">
        <v>194</v>
      </c>
      <c r="N1371" s="23" t="str">
        <f>IF(COUNTIF($A$2:A1371,A1371)&gt;1,"DUP","OK")</f>
        <v>OK</v>
      </c>
      <c r="O1371" s="23" t="str">
        <f t="shared" si="64"/>
        <v>ORD26002797</v>
      </c>
      <c r="P1371" s="23" t="str">
        <f t="shared" si="65"/>
        <v>Sep</v>
      </c>
      <c r="Q1371" s="23" t="str">
        <f>IF(F1371="CAPTURE",IF(COUNTIF(orders!$A:$A,O1371)&gt;0,"Yes","NO ORDER"),"")</f>
        <v>Yes</v>
      </c>
    </row>
    <row r="1372" spans="1:17" ht="15" customHeight="1" x14ac:dyDescent="0.3">
      <c r="A1372" s="23" t="s">
        <v>14008</v>
      </c>
      <c r="B1372" s="23"/>
      <c r="C1372" s="23" t="s">
        <v>6104</v>
      </c>
      <c r="D1372" s="23" t="str">
        <f t="shared" si="63"/>
        <v>ORD26002803</v>
      </c>
      <c r="E1372" s="38">
        <v>46273</v>
      </c>
      <c r="F1372" s="23" t="s">
        <v>12410</v>
      </c>
      <c r="G1372" s="23" t="s">
        <v>75</v>
      </c>
      <c r="H1372" s="24">
        <v>848</v>
      </c>
      <c r="I1372" s="24">
        <v>0</v>
      </c>
      <c r="J1372" s="24">
        <v>0</v>
      </c>
      <c r="K1372" s="24">
        <v>848</v>
      </c>
      <c r="L1372" s="38">
        <v>46275</v>
      </c>
      <c r="M1372" s="23" t="s">
        <v>194</v>
      </c>
      <c r="N1372" s="23" t="str">
        <f>IF(COUNTIF($A$2:A1372,A1372)&gt;1,"DUP","OK")</f>
        <v>OK</v>
      </c>
      <c r="O1372" s="23" t="str">
        <f t="shared" si="64"/>
        <v>ORD26002803</v>
      </c>
      <c r="P1372" s="23" t="str">
        <f t="shared" si="65"/>
        <v>Sep</v>
      </c>
      <c r="Q1372" s="23" t="str">
        <f>IF(F1372="CAPTURE",IF(COUNTIF(orders!$A:$A,O1372)&gt;0,"Yes","NO ORDER"),"")</f>
        <v>Yes</v>
      </c>
    </row>
    <row r="1373" spans="1:17" ht="15" customHeight="1" x14ac:dyDescent="0.3">
      <c r="A1373" s="23" t="s">
        <v>14009</v>
      </c>
      <c r="B1373" s="23"/>
      <c r="C1373" s="23" t="s">
        <v>14010</v>
      </c>
      <c r="D1373" s="23" t="str">
        <f t="shared" si="63"/>
        <v>ORD26002812</v>
      </c>
      <c r="E1373" s="38">
        <v>46273</v>
      </c>
      <c r="F1373" s="23" t="s">
        <v>12410</v>
      </c>
      <c r="G1373" s="23" t="s">
        <v>79</v>
      </c>
      <c r="H1373" s="24">
        <v>6798</v>
      </c>
      <c r="I1373" s="24">
        <v>108.77</v>
      </c>
      <c r="J1373" s="24">
        <v>19.579999999999998</v>
      </c>
      <c r="K1373" s="24">
        <v>6669.65</v>
      </c>
      <c r="L1373" s="38">
        <v>46275</v>
      </c>
      <c r="M1373" s="23" t="s">
        <v>194</v>
      </c>
      <c r="N1373" s="23" t="str">
        <f>IF(COUNTIF($A$2:A1373,A1373)&gt;1,"DUP","OK")</f>
        <v>OK</v>
      </c>
      <c r="O1373" s="23" t="str">
        <f t="shared" si="64"/>
        <v>ORD26002812</v>
      </c>
      <c r="P1373" s="23" t="str">
        <f t="shared" si="65"/>
        <v>Sep</v>
      </c>
      <c r="Q1373" s="23" t="str">
        <f>IF(F1373="CAPTURE",IF(COUNTIF(orders!$A:$A,O1373)&gt;0,"Yes","NO ORDER"),"")</f>
        <v>Yes</v>
      </c>
    </row>
    <row r="1374" spans="1:17" ht="15" customHeight="1" x14ac:dyDescent="0.3">
      <c r="A1374" s="23" t="s">
        <v>14011</v>
      </c>
      <c r="B1374" s="23"/>
      <c r="C1374" s="23" t="s">
        <v>6150</v>
      </c>
      <c r="D1374" s="23" t="str">
        <f t="shared" si="63"/>
        <v>ORD26002826</v>
      </c>
      <c r="E1374" s="38">
        <v>46273</v>
      </c>
      <c r="F1374" s="23" t="s">
        <v>12410</v>
      </c>
      <c r="G1374" s="23" t="s">
        <v>79</v>
      </c>
      <c r="H1374" s="24">
        <v>2999</v>
      </c>
      <c r="I1374" s="24">
        <v>47.98</v>
      </c>
      <c r="J1374" s="24">
        <v>8.64</v>
      </c>
      <c r="K1374" s="24">
        <v>2942.38</v>
      </c>
      <c r="L1374" s="38">
        <v>46275</v>
      </c>
      <c r="M1374" s="23" t="s">
        <v>194</v>
      </c>
      <c r="N1374" s="23" t="str">
        <f>IF(COUNTIF($A$2:A1374,A1374)&gt;1,"DUP","OK")</f>
        <v>OK</v>
      </c>
      <c r="O1374" s="23" t="str">
        <f t="shared" si="64"/>
        <v>ORD26002826</v>
      </c>
      <c r="P1374" s="23" t="str">
        <f t="shared" si="65"/>
        <v>Sep</v>
      </c>
      <c r="Q1374" s="23" t="str">
        <f>IF(F1374="CAPTURE",IF(COUNTIF(orders!$A:$A,O1374)&gt;0,"Yes","NO ORDER"),"")</f>
        <v>Yes</v>
      </c>
    </row>
    <row r="1375" spans="1:17" ht="15" customHeight="1" x14ac:dyDescent="0.3">
      <c r="A1375" s="23" t="s">
        <v>14012</v>
      </c>
      <c r="B1375" s="23"/>
      <c r="C1375" s="23" t="s">
        <v>6286</v>
      </c>
      <c r="D1375" s="23" t="str">
        <f t="shared" si="63"/>
        <v>ORD26002896</v>
      </c>
      <c r="E1375" s="38">
        <v>46273</v>
      </c>
      <c r="F1375" s="23" t="s">
        <v>12410</v>
      </c>
      <c r="G1375" s="23" t="s">
        <v>75</v>
      </c>
      <c r="H1375" s="24">
        <v>3499</v>
      </c>
      <c r="I1375" s="24">
        <v>10.5</v>
      </c>
      <c r="J1375" s="24">
        <v>1.89</v>
      </c>
      <c r="K1375" s="24">
        <v>3486.61</v>
      </c>
      <c r="L1375" s="38">
        <v>46275</v>
      </c>
      <c r="M1375" s="23" t="s">
        <v>194</v>
      </c>
      <c r="N1375" s="23" t="str">
        <f>IF(COUNTIF($A$2:A1375,A1375)&gt;1,"DUP","OK")</f>
        <v>OK</v>
      </c>
      <c r="O1375" s="23" t="str">
        <f t="shared" si="64"/>
        <v>ORD26002896</v>
      </c>
      <c r="P1375" s="23" t="str">
        <f t="shared" si="65"/>
        <v>Sep</v>
      </c>
      <c r="Q1375" s="23" t="str">
        <f>IF(F1375="CAPTURE",IF(COUNTIF(orders!$A:$A,O1375)&gt;0,"Yes","NO ORDER"),"")</f>
        <v>Yes</v>
      </c>
    </row>
    <row r="1376" spans="1:17" ht="15" customHeight="1" x14ac:dyDescent="0.3">
      <c r="A1376" s="23" t="s">
        <v>14013</v>
      </c>
      <c r="B1376" s="23"/>
      <c r="C1376" s="23" t="s">
        <v>6314</v>
      </c>
      <c r="D1376" s="23" t="str">
        <f t="shared" si="63"/>
        <v>ORD26002910</v>
      </c>
      <c r="E1376" s="38">
        <v>46273</v>
      </c>
      <c r="F1376" s="23" t="s">
        <v>12410</v>
      </c>
      <c r="G1376" s="23" t="s">
        <v>77</v>
      </c>
      <c r="H1376" s="24">
        <v>3347</v>
      </c>
      <c r="I1376" s="24">
        <v>56.9</v>
      </c>
      <c r="J1376" s="24">
        <v>10.24</v>
      </c>
      <c r="K1376" s="24">
        <v>3279.86</v>
      </c>
      <c r="L1376" s="38">
        <v>46275</v>
      </c>
      <c r="M1376" s="23" t="s">
        <v>194</v>
      </c>
      <c r="N1376" s="23" t="str">
        <f>IF(COUNTIF($A$2:A1376,A1376)&gt;1,"DUP","OK")</f>
        <v>OK</v>
      </c>
      <c r="O1376" s="23" t="str">
        <f t="shared" si="64"/>
        <v>ORD26002910</v>
      </c>
      <c r="P1376" s="23" t="str">
        <f t="shared" si="65"/>
        <v>Sep</v>
      </c>
      <c r="Q1376" s="23" t="str">
        <f>IF(F1376="CAPTURE",IF(COUNTIF(orders!$A:$A,O1376)&gt;0,"Yes","NO ORDER"),"")</f>
        <v>Yes</v>
      </c>
    </row>
    <row r="1377" spans="1:17" ht="15" customHeight="1" x14ac:dyDescent="0.3">
      <c r="A1377" s="23" t="s">
        <v>14014</v>
      </c>
      <c r="B1377" s="23"/>
      <c r="C1377" s="23" t="s">
        <v>14015</v>
      </c>
      <c r="D1377" s="23" t="str">
        <f t="shared" si="63"/>
        <v>ORD26002937</v>
      </c>
      <c r="E1377" s="38">
        <v>46273</v>
      </c>
      <c r="F1377" s="23" t="s">
        <v>12410</v>
      </c>
      <c r="G1377" s="23" t="s">
        <v>77</v>
      </c>
      <c r="H1377" s="24">
        <v>3098</v>
      </c>
      <c r="I1377" s="24">
        <v>52.67</v>
      </c>
      <c r="J1377" s="24">
        <v>9.48</v>
      </c>
      <c r="K1377" s="24">
        <v>3035.85</v>
      </c>
      <c r="L1377" s="38">
        <v>46275</v>
      </c>
      <c r="M1377" s="23" t="s">
        <v>194</v>
      </c>
      <c r="N1377" s="23" t="str">
        <f>IF(COUNTIF($A$2:A1377,A1377)&gt;1,"DUP","OK")</f>
        <v>OK</v>
      </c>
      <c r="O1377" s="23" t="str">
        <f t="shared" si="64"/>
        <v>ORD26002937</v>
      </c>
      <c r="P1377" s="23" t="str">
        <f t="shared" si="65"/>
        <v>Sep</v>
      </c>
      <c r="Q1377" s="23" t="str">
        <f>IF(F1377="CAPTURE",IF(COUNTIF(orders!$A:$A,O1377)&gt;0,"Yes","NO ORDER"),"")</f>
        <v>Yes</v>
      </c>
    </row>
    <row r="1378" spans="1:17" ht="15" customHeight="1" x14ac:dyDescent="0.3">
      <c r="A1378" s="23" t="s">
        <v>14016</v>
      </c>
      <c r="B1378" s="23"/>
      <c r="C1378" s="23" t="s">
        <v>6653</v>
      </c>
      <c r="D1378" s="23" t="str">
        <f t="shared" si="63"/>
        <v>ORD26003079</v>
      </c>
      <c r="E1378" s="38">
        <v>46273</v>
      </c>
      <c r="F1378" s="23" t="s">
        <v>12410</v>
      </c>
      <c r="G1378" s="23" t="s">
        <v>75</v>
      </c>
      <c r="H1378" s="24">
        <v>2998</v>
      </c>
      <c r="I1378" s="24">
        <v>8.99</v>
      </c>
      <c r="J1378" s="24">
        <v>1.62</v>
      </c>
      <c r="K1378" s="24">
        <v>2987.39</v>
      </c>
      <c r="L1378" s="38">
        <v>46275</v>
      </c>
      <c r="M1378" s="23" t="s">
        <v>194</v>
      </c>
      <c r="N1378" s="23" t="str">
        <f>IF(COUNTIF($A$2:A1378,A1378)&gt;1,"DUP","OK")</f>
        <v>OK</v>
      </c>
      <c r="O1378" s="23" t="str">
        <f t="shared" si="64"/>
        <v>ORD26003079</v>
      </c>
      <c r="P1378" s="23" t="str">
        <f t="shared" si="65"/>
        <v>Sep</v>
      </c>
      <c r="Q1378" s="23" t="str">
        <f>IF(F1378="CAPTURE",IF(COUNTIF(orders!$A:$A,O1378)&gt;0,"Yes","NO ORDER"),"")</f>
        <v>Yes</v>
      </c>
    </row>
    <row r="1379" spans="1:17" ht="15" customHeight="1" x14ac:dyDescent="0.3">
      <c r="A1379" s="23" t="s">
        <v>14017</v>
      </c>
      <c r="B1379" s="23"/>
      <c r="C1379" s="23" t="s">
        <v>6682</v>
      </c>
      <c r="D1379" s="23" t="str">
        <f t="shared" si="63"/>
        <v>ORD26003093</v>
      </c>
      <c r="E1379" s="38">
        <v>46273</v>
      </c>
      <c r="F1379" s="23" t="s">
        <v>12410</v>
      </c>
      <c r="G1379" s="23" t="s">
        <v>75</v>
      </c>
      <c r="H1379" s="24">
        <v>349</v>
      </c>
      <c r="I1379" s="24">
        <v>0</v>
      </c>
      <c r="J1379" s="24">
        <v>0</v>
      </c>
      <c r="K1379" s="24">
        <v>349</v>
      </c>
      <c r="L1379" s="38">
        <v>46275</v>
      </c>
      <c r="M1379" s="23" t="s">
        <v>194</v>
      </c>
      <c r="N1379" s="23" t="str">
        <f>IF(COUNTIF($A$2:A1379,A1379)&gt;1,"DUP","OK")</f>
        <v>OK</v>
      </c>
      <c r="O1379" s="23" t="str">
        <f t="shared" si="64"/>
        <v>ORD26003093</v>
      </c>
      <c r="P1379" s="23" t="str">
        <f t="shared" si="65"/>
        <v>Sep</v>
      </c>
      <c r="Q1379" s="23" t="str">
        <f>IF(F1379="CAPTURE",IF(COUNTIF(orders!$A:$A,O1379)&gt;0,"Yes","NO ORDER"),"")</f>
        <v>Yes</v>
      </c>
    </row>
    <row r="1380" spans="1:17" ht="15" customHeight="1" x14ac:dyDescent="0.3">
      <c r="A1380" s="23" t="s">
        <v>14018</v>
      </c>
      <c r="B1380" s="23"/>
      <c r="C1380" s="23" t="s">
        <v>6716</v>
      </c>
      <c r="D1380" s="23" t="str">
        <f t="shared" si="63"/>
        <v>ORD26003109</v>
      </c>
      <c r="E1380" s="38">
        <v>46273</v>
      </c>
      <c r="F1380" s="23" t="s">
        <v>12410</v>
      </c>
      <c r="G1380" s="23" t="s">
        <v>75</v>
      </c>
      <c r="H1380" s="24">
        <v>1798</v>
      </c>
      <c r="I1380" s="24">
        <v>0</v>
      </c>
      <c r="J1380" s="24">
        <v>0</v>
      </c>
      <c r="K1380" s="24">
        <v>1798</v>
      </c>
      <c r="L1380" s="38">
        <v>46275</v>
      </c>
      <c r="M1380" s="23" t="s">
        <v>194</v>
      </c>
      <c r="N1380" s="23" t="str">
        <f>IF(COUNTIF($A$2:A1380,A1380)&gt;1,"DUP","OK")</f>
        <v>OK</v>
      </c>
      <c r="O1380" s="23" t="str">
        <f t="shared" si="64"/>
        <v>ORD26003109</v>
      </c>
      <c r="P1380" s="23" t="str">
        <f t="shared" si="65"/>
        <v>Sep</v>
      </c>
      <c r="Q1380" s="23" t="str">
        <f>IF(F1380="CAPTURE",IF(COUNTIF(orders!$A:$A,O1380)&gt;0,"Yes","NO ORDER"),"")</f>
        <v>Yes</v>
      </c>
    </row>
    <row r="1381" spans="1:17" ht="15" customHeight="1" x14ac:dyDescent="0.3">
      <c r="A1381" s="23" t="s">
        <v>14019</v>
      </c>
      <c r="B1381" s="23"/>
      <c r="C1381" s="23" t="s">
        <v>6718</v>
      </c>
      <c r="D1381" s="23" t="str">
        <f t="shared" si="63"/>
        <v>ORD26003110</v>
      </c>
      <c r="E1381" s="38">
        <v>46273</v>
      </c>
      <c r="F1381" s="23" t="s">
        <v>12410</v>
      </c>
      <c r="G1381" s="23" t="s">
        <v>75</v>
      </c>
      <c r="H1381" s="24">
        <v>11498</v>
      </c>
      <c r="I1381" s="24">
        <v>34.49</v>
      </c>
      <c r="J1381" s="24">
        <v>6.21</v>
      </c>
      <c r="K1381" s="24">
        <v>11457.3</v>
      </c>
      <c r="L1381" s="38">
        <v>46275</v>
      </c>
      <c r="M1381" s="23" t="s">
        <v>194</v>
      </c>
      <c r="N1381" s="23" t="str">
        <f>IF(COUNTIF($A$2:A1381,A1381)&gt;1,"DUP","OK")</f>
        <v>OK</v>
      </c>
      <c r="O1381" s="23" t="str">
        <f t="shared" si="64"/>
        <v>ORD26003110</v>
      </c>
      <c r="P1381" s="23" t="str">
        <f t="shared" si="65"/>
        <v>Sep</v>
      </c>
      <c r="Q1381" s="23" t="str">
        <f>IF(F1381="CAPTURE",IF(COUNTIF(orders!$A:$A,O1381)&gt;0,"Yes","NO ORDER"),"")</f>
        <v>Yes</v>
      </c>
    </row>
    <row r="1382" spans="1:17" ht="15" customHeight="1" x14ac:dyDescent="0.3">
      <c r="A1382" s="23" t="s">
        <v>14020</v>
      </c>
      <c r="B1382" s="23"/>
      <c r="C1382" s="23" t="s">
        <v>14021</v>
      </c>
      <c r="D1382" s="23" t="str">
        <f t="shared" si="63"/>
        <v>ORD26003115</v>
      </c>
      <c r="E1382" s="38">
        <v>46273</v>
      </c>
      <c r="F1382" s="23" t="s">
        <v>12410</v>
      </c>
      <c r="G1382" s="23" t="s">
        <v>75</v>
      </c>
      <c r="H1382" s="24">
        <v>2498</v>
      </c>
      <c r="I1382" s="24">
        <v>7.49</v>
      </c>
      <c r="J1382" s="24">
        <v>1.35</v>
      </c>
      <c r="K1382" s="24">
        <v>2489.16</v>
      </c>
      <c r="L1382" s="38">
        <v>46275</v>
      </c>
      <c r="M1382" s="23" t="s">
        <v>194</v>
      </c>
      <c r="N1382" s="23" t="str">
        <f>IF(COUNTIF($A$2:A1382,A1382)&gt;1,"DUP","OK")</f>
        <v>OK</v>
      </c>
      <c r="O1382" s="23" t="str">
        <f t="shared" si="64"/>
        <v>ORD26003115</v>
      </c>
      <c r="P1382" s="23" t="str">
        <f t="shared" si="65"/>
        <v>Sep</v>
      </c>
      <c r="Q1382" s="23" t="str">
        <f>IF(F1382="CAPTURE",IF(COUNTIF(orders!$A:$A,O1382)&gt;0,"Yes","NO ORDER"),"")</f>
        <v>Yes</v>
      </c>
    </row>
    <row r="1383" spans="1:17" ht="15" customHeight="1" x14ac:dyDescent="0.3">
      <c r="A1383" s="23" t="s">
        <v>14022</v>
      </c>
      <c r="B1383" s="23"/>
      <c r="C1383" s="23" t="s">
        <v>14023</v>
      </c>
      <c r="D1383" s="23" t="str">
        <f t="shared" si="63"/>
        <v>ORD26003145</v>
      </c>
      <c r="E1383" s="38">
        <v>46273</v>
      </c>
      <c r="F1383" s="23" t="s">
        <v>12410</v>
      </c>
      <c r="G1383" s="23" t="s">
        <v>75</v>
      </c>
      <c r="H1383" s="24">
        <v>2499</v>
      </c>
      <c r="I1383" s="24">
        <v>7.5</v>
      </c>
      <c r="J1383" s="24">
        <v>1.35</v>
      </c>
      <c r="K1383" s="24">
        <v>2490.15</v>
      </c>
      <c r="L1383" s="38">
        <v>46275</v>
      </c>
      <c r="M1383" s="23" t="s">
        <v>194</v>
      </c>
      <c r="N1383" s="23" t="str">
        <f>IF(COUNTIF($A$2:A1383,A1383)&gt;1,"DUP","OK")</f>
        <v>OK</v>
      </c>
      <c r="O1383" s="23" t="str">
        <f t="shared" si="64"/>
        <v>ORD26003145</v>
      </c>
      <c r="P1383" s="23" t="str">
        <f t="shared" si="65"/>
        <v>Sep</v>
      </c>
      <c r="Q1383" s="23" t="str">
        <f>IF(F1383="CAPTURE",IF(COUNTIF(orders!$A:$A,O1383)&gt;0,"Yes","NO ORDER"),"")</f>
        <v>Yes</v>
      </c>
    </row>
    <row r="1384" spans="1:17" ht="15" customHeight="1" x14ac:dyDescent="0.3">
      <c r="A1384" s="23" t="s">
        <v>14024</v>
      </c>
      <c r="B1384" s="23"/>
      <c r="C1384" s="23" t="s">
        <v>6819</v>
      </c>
      <c r="D1384" s="23" t="str">
        <f t="shared" si="63"/>
        <v>ORD26003161</v>
      </c>
      <c r="E1384" s="38">
        <v>46273</v>
      </c>
      <c r="F1384" s="23" t="s">
        <v>12410</v>
      </c>
      <c r="G1384" s="23" t="s">
        <v>75</v>
      </c>
      <c r="H1384" s="24">
        <v>1447</v>
      </c>
      <c r="I1384" s="24">
        <v>0</v>
      </c>
      <c r="J1384" s="24">
        <v>0</v>
      </c>
      <c r="K1384" s="24">
        <v>1447</v>
      </c>
      <c r="L1384" s="38">
        <v>46275</v>
      </c>
      <c r="M1384" s="23" t="s">
        <v>194</v>
      </c>
      <c r="N1384" s="23" t="str">
        <f>IF(COUNTIF($A$2:A1384,A1384)&gt;1,"DUP","OK")</f>
        <v>OK</v>
      </c>
      <c r="O1384" s="23" t="str">
        <f t="shared" si="64"/>
        <v>ORD26003161</v>
      </c>
      <c r="P1384" s="23" t="str">
        <f t="shared" si="65"/>
        <v>Sep</v>
      </c>
      <c r="Q1384" s="23" t="str">
        <f>IF(F1384="CAPTURE",IF(COUNTIF(orders!$A:$A,O1384)&gt;0,"Yes","NO ORDER"),"")</f>
        <v>Yes</v>
      </c>
    </row>
    <row r="1385" spans="1:17" ht="15" customHeight="1" x14ac:dyDescent="0.3">
      <c r="A1385" s="23" t="s">
        <v>14025</v>
      </c>
      <c r="B1385" s="23"/>
      <c r="C1385" s="23" t="s">
        <v>6829</v>
      </c>
      <c r="D1385" s="23" t="str">
        <f t="shared" si="63"/>
        <v>ORD26003166</v>
      </c>
      <c r="E1385" s="38">
        <v>46273</v>
      </c>
      <c r="F1385" s="23" t="s">
        <v>12410</v>
      </c>
      <c r="G1385" s="23" t="s">
        <v>75</v>
      </c>
      <c r="H1385" s="24">
        <v>299</v>
      </c>
      <c r="I1385" s="24">
        <v>0</v>
      </c>
      <c r="J1385" s="24">
        <v>0</v>
      </c>
      <c r="K1385" s="24">
        <v>299</v>
      </c>
      <c r="L1385" s="38">
        <v>46275</v>
      </c>
      <c r="M1385" s="23" t="s">
        <v>194</v>
      </c>
      <c r="N1385" s="23" t="str">
        <f>IF(COUNTIF($A$2:A1385,A1385)&gt;1,"DUP","OK")</f>
        <v>OK</v>
      </c>
      <c r="O1385" s="23" t="str">
        <f t="shared" si="64"/>
        <v>ORD26003166</v>
      </c>
      <c r="P1385" s="23" t="str">
        <f t="shared" si="65"/>
        <v>Sep</v>
      </c>
      <c r="Q1385" s="23" t="str">
        <f>IF(F1385="CAPTURE",IF(COUNTIF(orders!$A:$A,O1385)&gt;0,"Yes","NO ORDER"),"")</f>
        <v>Yes</v>
      </c>
    </row>
    <row r="1386" spans="1:17" ht="15" customHeight="1" x14ac:dyDescent="0.3">
      <c r="A1386" s="23" t="s">
        <v>14026</v>
      </c>
      <c r="B1386" s="23"/>
      <c r="C1386" s="23" t="s">
        <v>6870</v>
      </c>
      <c r="D1386" s="23" t="str">
        <f t="shared" si="63"/>
        <v>ORD26003186</v>
      </c>
      <c r="E1386" s="38">
        <v>46273</v>
      </c>
      <c r="F1386" s="23" t="s">
        <v>12410</v>
      </c>
      <c r="G1386" s="23" t="s">
        <v>79</v>
      </c>
      <c r="H1386" s="24">
        <v>3598</v>
      </c>
      <c r="I1386" s="24">
        <v>57.57</v>
      </c>
      <c r="J1386" s="24">
        <v>10.36</v>
      </c>
      <c r="K1386" s="24">
        <v>3530.07</v>
      </c>
      <c r="L1386" s="38">
        <v>46275</v>
      </c>
      <c r="M1386" s="23" t="s">
        <v>194</v>
      </c>
      <c r="N1386" s="23" t="str">
        <f>IF(COUNTIF($A$2:A1386,A1386)&gt;1,"DUP","OK")</f>
        <v>OK</v>
      </c>
      <c r="O1386" s="23" t="str">
        <f t="shared" si="64"/>
        <v>ORD26003186</v>
      </c>
      <c r="P1386" s="23" t="str">
        <f t="shared" si="65"/>
        <v>Sep</v>
      </c>
      <c r="Q1386" s="23" t="str">
        <f>IF(F1386="CAPTURE",IF(COUNTIF(orders!$A:$A,O1386)&gt;0,"Yes","NO ORDER"),"")</f>
        <v>Yes</v>
      </c>
    </row>
    <row r="1387" spans="1:17" ht="15" customHeight="1" x14ac:dyDescent="0.3">
      <c r="A1387" s="23" t="s">
        <v>14027</v>
      </c>
      <c r="B1387" s="23"/>
      <c r="C1387" s="23" t="s">
        <v>6886</v>
      </c>
      <c r="D1387" s="23" t="str">
        <f t="shared" si="63"/>
        <v>ORD26003194</v>
      </c>
      <c r="E1387" s="38">
        <v>46273</v>
      </c>
      <c r="F1387" s="23" t="s">
        <v>12410</v>
      </c>
      <c r="G1387" s="23" t="s">
        <v>75</v>
      </c>
      <c r="H1387" s="24">
        <v>1799</v>
      </c>
      <c r="I1387" s="24">
        <v>0</v>
      </c>
      <c r="J1387" s="24">
        <v>0</v>
      </c>
      <c r="K1387" s="24">
        <v>1799</v>
      </c>
      <c r="L1387" s="38">
        <v>46275</v>
      </c>
      <c r="M1387" s="23" t="s">
        <v>194</v>
      </c>
      <c r="N1387" s="23" t="str">
        <f>IF(COUNTIF($A$2:A1387,A1387)&gt;1,"DUP","OK")</f>
        <v>OK</v>
      </c>
      <c r="O1387" s="23" t="str">
        <f t="shared" si="64"/>
        <v>ORD26003194</v>
      </c>
      <c r="P1387" s="23" t="str">
        <f t="shared" si="65"/>
        <v>Sep</v>
      </c>
      <c r="Q1387" s="23" t="str">
        <f>IF(F1387="CAPTURE",IF(COUNTIF(orders!$A:$A,O1387)&gt;0,"Yes","NO ORDER"),"")</f>
        <v>Yes</v>
      </c>
    </row>
    <row r="1388" spans="1:17" ht="15" customHeight="1" x14ac:dyDescent="0.3">
      <c r="A1388" s="23" t="s">
        <v>14028</v>
      </c>
      <c r="B1388" s="23"/>
      <c r="C1388" s="23" t="s">
        <v>6969</v>
      </c>
      <c r="D1388" s="23" t="str">
        <f t="shared" si="63"/>
        <v>ORD26003236</v>
      </c>
      <c r="E1388" s="38">
        <v>46273</v>
      </c>
      <c r="F1388" s="23" t="s">
        <v>12410</v>
      </c>
      <c r="G1388" s="23" t="s">
        <v>75</v>
      </c>
      <c r="H1388" s="24">
        <v>4798</v>
      </c>
      <c r="I1388" s="24">
        <v>14.39</v>
      </c>
      <c r="J1388" s="24">
        <v>2.59</v>
      </c>
      <c r="K1388" s="24">
        <v>4781.0200000000004</v>
      </c>
      <c r="L1388" s="38">
        <v>46275</v>
      </c>
      <c r="M1388" s="23" t="s">
        <v>194</v>
      </c>
      <c r="N1388" s="23" t="str">
        <f>IF(COUNTIF($A$2:A1388,A1388)&gt;1,"DUP","OK")</f>
        <v>OK</v>
      </c>
      <c r="O1388" s="23" t="str">
        <f t="shared" si="64"/>
        <v>ORD26003236</v>
      </c>
      <c r="P1388" s="23" t="str">
        <f t="shared" si="65"/>
        <v>Sep</v>
      </c>
      <c r="Q1388" s="23" t="str">
        <f>IF(F1388="CAPTURE",IF(COUNTIF(orders!$A:$A,O1388)&gt;0,"Yes","NO ORDER"),"")</f>
        <v>Yes</v>
      </c>
    </row>
    <row r="1389" spans="1:17" ht="15" customHeight="1" x14ac:dyDescent="0.3">
      <c r="A1389" s="23" t="s">
        <v>14029</v>
      </c>
      <c r="B1389" s="23"/>
      <c r="C1389" s="23" t="s">
        <v>7001</v>
      </c>
      <c r="D1389" s="23" t="str">
        <f t="shared" si="63"/>
        <v>ORD26003251</v>
      </c>
      <c r="E1389" s="38">
        <v>46273</v>
      </c>
      <c r="F1389" s="23" t="s">
        <v>12410</v>
      </c>
      <c r="G1389" s="23" t="s">
        <v>79</v>
      </c>
      <c r="H1389" s="24">
        <v>3798</v>
      </c>
      <c r="I1389" s="24">
        <v>60.77</v>
      </c>
      <c r="J1389" s="24">
        <v>10.94</v>
      </c>
      <c r="K1389" s="24">
        <v>3726.29</v>
      </c>
      <c r="L1389" s="38">
        <v>46275</v>
      </c>
      <c r="M1389" s="23" t="s">
        <v>194</v>
      </c>
      <c r="N1389" s="23" t="str">
        <f>IF(COUNTIF($A$2:A1389,A1389)&gt;1,"DUP","OK")</f>
        <v>OK</v>
      </c>
      <c r="O1389" s="23" t="str">
        <f t="shared" si="64"/>
        <v>ORD26003251</v>
      </c>
      <c r="P1389" s="23" t="str">
        <f t="shared" si="65"/>
        <v>Sep</v>
      </c>
      <c r="Q1389" s="23" t="str">
        <f>IF(F1389="CAPTURE",IF(COUNTIF(orders!$A:$A,O1389)&gt;0,"Yes","NO ORDER"),"")</f>
        <v>Yes</v>
      </c>
    </row>
    <row r="1390" spans="1:17" ht="15" customHeight="1" x14ac:dyDescent="0.3">
      <c r="A1390" s="23" t="s">
        <v>14030</v>
      </c>
      <c r="B1390" s="23"/>
      <c r="C1390" s="23" t="s">
        <v>7030</v>
      </c>
      <c r="D1390" s="23" t="str">
        <f t="shared" si="63"/>
        <v>ORD26003266</v>
      </c>
      <c r="E1390" s="38">
        <v>46273</v>
      </c>
      <c r="F1390" s="23" t="s">
        <v>12410</v>
      </c>
      <c r="G1390" s="23" t="s">
        <v>81</v>
      </c>
      <c r="H1390" s="24">
        <v>5998</v>
      </c>
      <c r="I1390" s="24">
        <v>71.98</v>
      </c>
      <c r="J1390" s="24">
        <v>12.96</v>
      </c>
      <c r="K1390" s="24">
        <v>5913.06</v>
      </c>
      <c r="L1390" s="38">
        <v>46275</v>
      </c>
      <c r="M1390" s="23" t="s">
        <v>194</v>
      </c>
      <c r="N1390" s="23" t="str">
        <f>IF(COUNTIF($A$2:A1390,A1390)&gt;1,"DUP","OK")</f>
        <v>OK</v>
      </c>
      <c r="O1390" s="23" t="str">
        <f t="shared" si="64"/>
        <v>ORD26003266</v>
      </c>
      <c r="P1390" s="23" t="str">
        <f t="shared" si="65"/>
        <v>Sep</v>
      </c>
      <c r="Q1390" s="23" t="str">
        <f>IF(F1390="CAPTURE",IF(COUNTIF(orders!$A:$A,O1390)&gt;0,"Yes","NO ORDER"),"")</f>
        <v>Yes</v>
      </c>
    </row>
    <row r="1391" spans="1:17" ht="15" customHeight="1" x14ac:dyDescent="0.3">
      <c r="A1391" s="23" t="s">
        <v>14031</v>
      </c>
      <c r="B1391" s="23"/>
      <c r="C1391" s="23" t="s">
        <v>7109</v>
      </c>
      <c r="D1391" s="23" t="str">
        <f t="shared" si="63"/>
        <v>ORD26003306</v>
      </c>
      <c r="E1391" s="38">
        <v>46273</v>
      </c>
      <c r="F1391" s="23" t="s">
        <v>12410</v>
      </c>
      <c r="G1391" s="23" t="s">
        <v>79</v>
      </c>
      <c r="H1391" s="24">
        <v>7999</v>
      </c>
      <c r="I1391" s="24">
        <v>127.98</v>
      </c>
      <c r="J1391" s="24">
        <v>23.04</v>
      </c>
      <c r="K1391" s="24">
        <v>7847.98</v>
      </c>
      <c r="L1391" s="38">
        <v>46275</v>
      </c>
      <c r="M1391" s="23" t="s">
        <v>194</v>
      </c>
      <c r="N1391" s="23" t="str">
        <f>IF(COUNTIF($A$2:A1391,A1391)&gt;1,"DUP","OK")</f>
        <v>OK</v>
      </c>
      <c r="O1391" s="23" t="str">
        <f t="shared" si="64"/>
        <v>ORD26003306</v>
      </c>
      <c r="P1391" s="23" t="str">
        <f t="shared" si="65"/>
        <v>Sep</v>
      </c>
      <c r="Q1391" s="23" t="str">
        <f>IF(F1391="CAPTURE",IF(COUNTIF(orders!$A:$A,O1391)&gt;0,"Yes","NO ORDER"),"")</f>
        <v>Yes</v>
      </c>
    </row>
    <row r="1392" spans="1:17" ht="15" customHeight="1" x14ac:dyDescent="0.3">
      <c r="A1392" s="23" t="s">
        <v>14032</v>
      </c>
      <c r="B1392" s="23"/>
      <c r="C1392" s="23" t="s">
        <v>14033</v>
      </c>
      <c r="D1392" s="23" t="str">
        <f t="shared" si="63"/>
        <v>ORD26003331</v>
      </c>
      <c r="E1392" s="38">
        <v>46273</v>
      </c>
      <c r="F1392" s="23" t="s">
        <v>12410</v>
      </c>
      <c r="G1392" s="23" t="s">
        <v>75</v>
      </c>
      <c r="H1392" s="24">
        <v>4097</v>
      </c>
      <c r="I1392" s="24">
        <v>12.29</v>
      </c>
      <c r="J1392" s="24">
        <v>2.21</v>
      </c>
      <c r="K1392" s="24">
        <v>4082.5</v>
      </c>
      <c r="L1392" s="38">
        <v>46275</v>
      </c>
      <c r="M1392" s="23" t="s">
        <v>194</v>
      </c>
      <c r="N1392" s="23" t="str">
        <f>IF(COUNTIF($A$2:A1392,A1392)&gt;1,"DUP","OK")</f>
        <v>OK</v>
      </c>
      <c r="O1392" s="23" t="str">
        <f t="shared" si="64"/>
        <v>ORD26003331</v>
      </c>
      <c r="P1392" s="23" t="str">
        <f t="shared" si="65"/>
        <v>Sep</v>
      </c>
      <c r="Q1392" s="23" t="str">
        <f>IF(F1392="CAPTURE",IF(COUNTIF(orders!$A:$A,O1392)&gt;0,"Yes","NO ORDER"),"")</f>
        <v>Yes</v>
      </c>
    </row>
    <row r="1393" spans="1:17" ht="15" customHeight="1" x14ac:dyDescent="0.3">
      <c r="A1393" s="23" t="s">
        <v>14034</v>
      </c>
      <c r="B1393" s="23"/>
      <c r="C1393" s="23" t="s">
        <v>7213</v>
      </c>
      <c r="D1393" s="23" t="str">
        <f t="shared" si="63"/>
        <v>ORD26003357</v>
      </c>
      <c r="E1393" s="38">
        <v>46273</v>
      </c>
      <c r="F1393" s="23" t="s">
        <v>12410</v>
      </c>
      <c r="G1393" s="23" t="s">
        <v>75</v>
      </c>
      <c r="H1393" s="24">
        <v>2497</v>
      </c>
      <c r="I1393" s="24">
        <v>7.49</v>
      </c>
      <c r="J1393" s="24">
        <v>1.35</v>
      </c>
      <c r="K1393" s="24">
        <v>2488.16</v>
      </c>
      <c r="L1393" s="38">
        <v>46275</v>
      </c>
      <c r="M1393" s="23" t="s">
        <v>194</v>
      </c>
      <c r="N1393" s="23" t="str">
        <f>IF(COUNTIF($A$2:A1393,A1393)&gt;1,"DUP","OK")</f>
        <v>OK</v>
      </c>
      <c r="O1393" s="23" t="str">
        <f t="shared" si="64"/>
        <v>ORD26003357</v>
      </c>
      <c r="P1393" s="23" t="str">
        <f t="shared" si="65"/>
        <v>Sep</v>
      </c>
      <c r="Q1393" s="23" t="str">
        <f>IF(F1393="CAPTURE",IF(COUNTIF(orders!$A:$A,O1393)&gt;0,"Yes","NO ORDER"),"")</f>
        <v>Yes</v>
      </c>
    </row>
    <row r="1394" spans="1:17" ht="15" customHeight="1" x14ac:dyDescent="0.3">
      <c r="A1394" s="23" t="s">
        <v>14035</v>
      </c>
      <c r="B1394" s="23"/>
      <c r="C1394" s="23" t="s">
        <v>7217</v>
      </c>
      <c r="D1394" s="23" t="str">
        <f t="shared" si="63"/>
        <v>ORD26003359</v>
      </c>
      <c r="E1394" s="38">
        <v>46273</v>
      </c>
      <c r="F1394" s="23" t="s">
        <v>12410</v>
      </c>
      <c r="G1394" s="23" t="s">
        <v>77</v>
      </c>
      <c r="H1394" s="24">
        <v>10998</v>
      </c>
      <c r="I1394" s="24">
        <v>186.97</v>
      </c>
      <c r="J1394" s="24">
        <v>33.65</v>
      </c>
      <c r="K1394" s="24">
        <v>10777.38</v>
      </c>
      <c r="L1394" s="38">
        <v>46275</v>
      </c>
      <c r="M1394" s="23" t="s">
        <v>194</v>
      </c>
      <c r="N1394" s="23" t="str">
        <f>IF(COUNTIF($A$2:A1394,A1394)&gt;1,"DUP","OK")</f>
        <v>OK</v>
      </c>
      <c r="O1394" s="23" t="str">
        <f t="shared" si="64"/>
        <v>ORD26003359</v>
      </c>
      <c r="P1394" s="23" t="str">
        <f t="shared" si="65"/>
        <v>Sep</v>
      </c>
      <c r="Q1394" s="23" t="str">
        <f>IF(F1394="CAPTURE",IF(COUNTIF(orders!$A:$A,O1394)&gt;0,"Yes","NO ORDER"),"")</f>
        <v>Yes</v>
      </c>
    </row>
    <row r="1395" spans="1:17" ht="15" customHeight="1" x14ac:dyDescent="0.3">
      <c r="A1395" s="23" t="s">
        <v>14036</v>
      </c>
      <c r="B1395" s="23"/>
      <c r="C1395" s="23" t="s">
        <v>14037</v>
      </c>
      <c r="D1395" s="23" t="str">
        <f t="shared" si="63"/>
        <v>ORD26003385</v>
      </c>
      <c r="E1395" s="38">
        <v>46273</v>
      </c>
      <c r="F1395" s="23" t="s">
        <v>12410</v>
      </c>
      <c r="G1395" s="23" t="s">
        <v>77</v>
      </c>
      <c r="H1395" s="24">
        <v>5798</v>
      </c>
      <c r="I1395" s="24">
        <v>98.57</v>
      </c>
      <c r="J1395" s="24">
        <v>17.739999999999998</v>
      </c>
      <c r="K1395" s="24">
        <v>5681.69</v>
      </c>
      <c r="L1395" s="38">
        <v>46275</v>
      </c>
      <c r="M1395" s="23" t="s">
        <v>194</v>
      </c>
      <c r="N1395" s="23" t="str">
        <f>IF(COUNTIF($A$2:A1395,A1395)&gt;1,"DUP","OK")</f>
        <v>OK</v>
      </c>
      <c r="O1395" s="23" t="str">
        <f t="shared" si="64"/>
        <v>ORD26003385</v>
      </c>
      <c r="P1395" s="23" t="str">
        <f t="shared" si="65"/>
        <v>Sep</v>
      </c>
      <c r="Q1395" s="23" t="str">
        <f>IF(F1395="CAPTURE",IF(COUNTIF(orders!$A:$A,O1395)&gt;0,"Yes","NO ORDER"),"")</f>
        <v>Yes</v>
      </c>
    </row>
    <row r="1396" spans="1:17" ht="15" customHeight="1" x14ac:dyDescent="0.3">
      <c r="A1396" s="23" t="s">
        <v>14038</v>
      </c>
      <c r="B1396" s="23"/>
      <c r="C1396" s="23" t="s">
        <v>7371</v>
      </c>
      <c r="D1396" s="23" t="str">
        <f t="shared" si="63"/>
        <v>ORD26003436</v>
      </c>
      <c r="E1396" s="38">
        <v>46273</v>
      </c>
      <c r="F1396" s="23" t="s">
        <v>12410</v>
      </c>
      <c r="G1396" s="23" t="s">
        <v>75</v>
      </c>
      <c r="H1396" s="24">
        <v>10097</v>
      </c>
      <c r="I1396" s="24">
        <v>30.29</v>
      </c>
      <c r="J1396" s="24">
        <v>5.45</v>
      </c>
      <c r="K1396" s="24">
        <v>10061.26</v>
      </c>
      <c r="L1396" s="38">
        <v>46275</v>
      </c>
      <c r="M1396" s="23" t="s">
        <v>194</v>
      </c>
      <c r="N1396" s="23" t="str">
        <f>IF(COUNTIF($A$2:A1396,A1396)&gt;1,"DUP","OK")</f>
        <v>OK</v>
      </c>
      <c r="O1396" s="23" t="str">
        <f t="shared" si="64"/>
        <v>ORD26003436</v>
      </c>
      <c r="P1396" s="23" t="str">
        <f t="shared" si="65"/>
        <v>Sep</v>
      </c>
      <c r="Q1396" s="23" t="str">
        <f>IF(F1396="CAPTURE",IF(COUNTIF(orders!$A:$A,O1396)&gt;0,"Yes","NO ORDER"),"")</f>
        <v>Yes</v>
      </c>
    </row>
    <row r="1397" spans="1:17" ht="15" customHeight="1" x14ac:dyDescent="0.3">
      <c r="A1397" s="23" t="s">
        <v>14039</v>
      </c>
      <c r="B1397" s="23"/>
      <c r="C1397" s="23" t="s">
        <v>7373</v>
      </c>
      <c r="D1397" s="23" t="str">
        <f t="shared" si="63"/>
        <v>ORD26003437</v>
      </c>
      <c r="E1397" s="38">
        <v>46273</v>
      </c>
      <c r="F1397" s="23" t="s">
        <v>12410</v>
      </c>
      <c r="G1397" s="23" t="s">
        <v>79</v>
      </c>
      <c r="H1397" s="24">
        <v>999</v>
      </c>
      <c r="I1397" s="24">
        <v>17.98</v>
      </c>
      <c r="J1397" s="24">
        <v>3.24</v>
      </c>
      <c r="K1397" s="24">
        <v>977.78</v>
      </c>
      <c r="L1397" s="38">
        <v>46275</v>
      </c>
      <c r="M1397" s="23" t="s">
        <v>194</v>
      </c>
      <c r="N1397" s="23" t="str">
        <f>IF(COUNTIF($A$2:A1397,A1397)&gt;1,"DUP","OK")</f>
        <v>OK</v>
      </c>
      <c r="O1397" s="23" t="str">
        <f t="shared" si="64"/>
        <v>ORD26003437</v>
      </c>
      <c r="P1397" s="23" t="str">
        <f t="shared" si="65"/>
        <v>Sep</v>
      </c>
      <c r="Q1397" s="23" t="str">
        <f>IF(F1397="CAPTURE",IF(COUNTIF(orders!$A:$A,O1397)&gt;0,"Yes","NO ORDER"),"")</f>
        <v>Yes</v>
      </c>
    </row>
    <row r="1398" spans="1:17" ht="15" customHeight="1" x14ac:dyDescent="0.3">
      <c r="A1398" s="23" t="s">
        <v>14040</v>
      </c>
      <c r="B1398" s="23"/>
      <c r="C1398" s="23" t="s">
        <v>14041</v>
      </c>
      <c r="D1398" s="23" t="str">
        <f t="shared" si="63"/>
        <v>ORD26003494</v>
      </c>
      <c r="E1398" s="38">
        <v>46273</v>
      </c>
      <c r="F1398" s="23" t="s">
        <v>12410</v>
      </c>
      <c r="G1398" s="23" t="s">
        <v>75</v>
      </c>
      <c r="H1398" s="24">
        <v>5998</v>
      </c>
      <c r="I1398" s="24">
        <v>17.989999999999998</v>
      </c>
      <c r="J1398" s="24">
        <v>3.24</v>
      </c>
      <c r="K1398" s="24">
        <v>5976.77</v>
      </c>
      <c r="L1398" s="38">
        <v>46275</v>
      </c>
      <c r="M1398" s="23" t="s">
        <v>194</v>
      </c>
      <c r="N1398" s="23" t="str">
        <f>IF(COUNTIF($A$2:A1398,A1398)&gt;1,"DUP","OK")</f>
        <v>OK</v>
      </c>
      <c r="O1398" s="23" t="str">
        <f t="shared" si="64"/>
        <v>ORD26003494</v>
      </c>
      <c r="P1398" s="23" t="str">
        <f t="shared" si="65"/>
        <v>Sep</v>
      </c>
      <c r="Q1398" s="23" t="str">
        <f>IF(F1398="CAPTURE",IF(COUNTIF(orders!$A:$A,O1398)&gt;0,"Yes","NO ORDER"),"")</f>
        <v>Yes</v>
      </c>
    </row>
    <row r="1399" spans="1:17" ht="15" customHeight="1" x14ac:dyDescent="0.3">
      <c r="A1399" s="23" t="s">
        <v>14042</v>
      </c>
      <c r="B1399" s="23"/>
      <c r="C1399" s="23" t="s">
        <v>14043</v>
      </c>
      <c r="D1399" s="23" t="str">
        <f t="shared" si="63"/>
        <v>ORD26003588</v>
      </c>
      <c r="E1399" s="38">
        <v>46273</v>
      </c>
      <c r="F1399" s="23" t="s">
        <v>12410</v>
      </c>
      <c r="G1399" s="23" t="s">
        <v>79</v>
      </c>
      <c r="H1399" s="24">
        <v>4999</v>
      </c>
      <c r="I1399" s="24">
        <v>79.98</v>
      </c>
      <c r="J1399" s="24">
        <v>14.4</v>
      </c>
      <c r="K1399" s="24">
        <v>4904.62</v>
      </c>
      <c r="L1399" s="38">
        <v>46275</v>
      </c>
      <c r="M1399" s="23" t="s">
        <v>194</v>
      </c>
      <c r="N1399" s="23" t="str">
        <f>IF(COUNTIF($A$2:A1399,A1399)&gt;1,"DUP","OK")</f>
        <v>OK</v>
      </c>
      <c r="O1399" s="23" t="str">
        <f t="shared" si="64"/>
        <v>ORD26003588</v>
      </c>
      <c r="P1399" s="23" t="str">
        <f t="shared" si="65"/>
        <v>Sep</v>
      </c>
      <c r="Q1399" s="23" t="str">
        <f>IF(F1399="CAPTURE",IF(COUNTIF(orders!$A:$A,O1399)&gt;0,"Yes","NO ORDER"),"")</f>
        <v>Yes</v>
      </c>
    </row>
    <row r="1400" spans="1:17" ht="15" customHeight="1" x14ac:dyDescent="0.3">
      <c r="A1400" s="23" t="s">
        <v>14044</v>
      </c>
      <c r="B1400" s="23"/>
      <c r="C1400" s="23" t="s">
        <v>7685</v>
      </c>
      <c r="D1400" s="23" t="str">
        <f t="shared" si="63"/>
        <v>ORD26003595</v>
      </c>
      <c r="E1400" s="38">
        <v>46273</v>
      </c>
      <c r="F1400" s="23" t="s">
        <v>12410</v>
      </c>
      <c r="G1400" s="23" t="s">
        <v>75</v>
      </c>
      <c r="H1400" s="24">
        <v>4999</v>
      </c>
      <c r="I1400" s="24">
        <v>15</v>
      </c>
      <c r="J1400" s="24">
        <v>2.7</v>
      </c>
      <c r="K1400" s="24">
        <v>4981.3</v>
      </c>
      <c r="L1400" s="38">
        <v>46275</v>
      </c>
      <c r="M1400" s="23" t="s">
        <v>194</v>
      </c>
      <c r="N1400" s="23" t="str">
        <f>IF(COUNTIF($A$2:A1400,A1400)&gt;1,"DUP","OK")</f>
        <v>OK</v>
      </c>
      <c r="O1400" s="23" t="str">
        <f t="shared" si="64"/>
        <v>ORD26003595</v>
      </c>
      <c r="P1400" s="23" t="str">
        <f t="shared" si="65"/>
        <v>Sep</v>
      </c>
      <c r="Q1400" s="23" t="str">
        <f>IF(F1400="CAPTURE",IF(COUNTIF(orders!$A:$A,O1400)&gt;0,"Yes","NO ORDER"),"")</f>
        <v>Yes</v>
      </c>
    </row>
    <row r="1401" spans="1:17" ht="15" customHeight="1" x14ac:dyDescent="0.3">
      <c r="A1401" s="23" t="s">
        <v>14045</v>
      </c>
      <c r="B1401" s="23"/>
      <c r="C1401" s="23" t="s">
        <v>7810</v>
      </c>
      <c r="D1401" s="23" t="str">
        <f t="shared" si="63"/>
        <v>ORD26003660</v>
      </c>
      <c r="E1401" s="38">
        <v>46273</v>
      </c>
      <c r="F1401" s="23" t="s">
        <v>12410</v>
      </c>
      <c r="G1401" s="23" t="s">
        <v>81</v>
      </c>
      <c r="H1401" s="24">
        <v>2397</v>
      </c>
      <c r="I1401" s="24">
        <v>28.76</v>
      </c>
      <c r="J1401" s="24">
        <v>5.18</v>
      </c>
      <c r="K1401" s="24">
        <v>2363.06</v>
      </c>
      <c r="L1401" s="38">
        <v>46275</v>
      </c>
      <c r="M1401" s="23" t="s">
        <v>194</v>
      </c>
      <c r="N1401" s="23" t="str">
        <f>IF(COUNTIF($A$2:A1401,A1401)&gt;1,"DUP","OK")</f>
        <v>OK</v>
      </c>
      <c r="O1401" s="23" t="str">
        <f t="shared" si="64"/>
        <v>ORD26003660</v>
      </c>
      <c r="P1401" s="23" t="str">
        <f t="shared" si="65"/>
        <v>Sep</v>
      </c>
      <c r="Q1401" s="23" t="str">
        <f>IF(F1401="CAPTURE",IF(COUNTIF(orders!$A:$A,O1401)&gt;0,"Yes","NO ORDER"),"")</f>
        <v>Yes</v>
      </c>
    </row>
    <row r="1402" spans="1:17" ht="15" customHeight="1" x14ac:dyDescent="0.3">
      <c r="A1402" s="23" t="s">
        <v>14046</v>
      </c>
      <c r="B1402" s="23"/>
      <c r="C1402" s="23" t="s">
        <v>7830</v>
      </c>
      <c r="D1402" s="23" t="str">
        <f t="shared" si="63"/>
        <v>ORD26003670</v>
      </c>
      <c r="E1402" s="38">
        <v>46273</v>
      </c>
      <c r="F1402" s="23" t="s">
        <v>12410</v>
      </c>
      <c r="G1402" s="23" t="s">
        <v>81</v>
      </c>
      <c r="H1402" s="24">
        <v>11498</v>
      </c>
      <c r="I1402" s="24">
        <v>103.48</v>
      </c>
      <c r="J1402" s="24">
        <v>18.63</v>
      </c>
      <c r="K1402" s="24">
        <v>11375.89</v>
      </c>
      <c r="L1402" s="38">
        <v>46275</v>
      </c>
      <c r="M1402" s="23" t="s">
        <v>194</v>
      </c>
      <c r="N1402" s="23" t="str">
        <f>IF(COUNTIF($A$2:A1402,A1402)&gt;1,"DUP","OK")</f>
        <v>OK</v>
      </c>
      <c r="O1402" s="23" t="str">
        <f t="shared" si="64"/>
        <v>ORD26003670</v>
      </c>
      <c r="P1402" s="23" t="str">
        <f t="shared" si="65"/>
        <v>Sep</v>
      </c>
      <c r="Q1402" s="23" t="str">
        <f>IF(F1402="CAPTURE",IF(COUNTIF(orders!$A:$A,O1402)&gt;0,"Yes","NO ORDER"),"")</f>
        <v>Yes</v>
      </c>
    </row>
    <row r="1403" spans="1:17" ht="15" customHeight="1" x14ac:dyDescent="0.3">
      <c r="A1403" s="23" t="s">
        <v>14047</v>
      </c>
      <c r="B1403" s="23"/>
      <c r="C1403" s="23" t="s">
        <v>7960</v>
      </c>
      <c r="D1403" s="23" t="str">
        <f t="shared" si="63"/>
        <v>ORD26003736</v>
      </c>
      <c r="E1403" s="38">
        <v>46273</v>
      </c>
      <c r="F1403" s="23" t="s">
        <v>12410</v>
      </c>
      <c r="G1403" s="23" t="s">
        <v>75</v>
      </c>
      <c r="H1403" s="24">
        <v>3499</v>
      </c>
      <c r="I1403" s="24">
        <v>10.5</v>
      </c>
      <c r="J1403" s="24">
        <v>1.89</v>
      </c>
      <c r="K1403" s="24">
        <v>3486.61</v>
      </c>
      <c r="L1403" s="38">
        <v>46275</v>
      </c>
      <c r="M1403" s="23" t="s">
        <v>194</v>
      </c>
      <c r="N1403" s="23" t="str">
        <f>IF(COUNTIF($A$2:A1403,A1403)&gt;1,"DUP","OK")</f>
        <v>OK</v>
      </c>
      <c r="O1403" s="23" t="str">
        <f t="shared" si="64"/>
        <v>ORD26003736</v>
      </c>
      <c r="P1403" s="23" t="str">
        <f t="shared" si="65"/>
        <v>Sep</v>
      </c>
      <c r="Q1403" s="23" t="str">
        <f>IF(F1403="CAPTURE",IF(COUNTIF(orders!$A:$A,O1403)&gt;0,"Yes","NO ORDER"),"")</f>
        <v>Yes</v>
      </c>
    </row>
    <row r="1404" spans="1:17" ht="15" customHeight="1" x14ac:dyDescent="0.3">
      <c r="A1404" s="23" t="s">
        <v>14048</v>
      </c>
      <c r="B1404" s="23"/>
      <c r="C1404" s="23" t="s">
        <v>7968</v>
      </c>
      <c r="D1404" s="23" t="str">
        <f t="shared" si="63"/>
        <v>ORD26003740</v>
      </c>
      <c r="E1404" s="38">
        <v>46273</v>
      </c>
      <c r="F1404" s="23" t="s">
        <v>12410</v>
      </c>
      <c r="G1404" s="23" t="s">
        <v>75</v>
      </c>
      <c r="H1404" s="24">
        <v>1299</v>
      </c>
      <c r="I1404" s="24">
        <v>0</v>
      </c>
      <c r="J1404" s="24">
        <v>0</v>
      </c>
      <c r="K1404" s="24">
        <v>1299</v>
      </c>
      <c r="L1404" s="38">
        <v>46275</v>
      </c>
      <c r="M1404" s="23" t="s">
        <v>194</v>
      </c>
      <c r="N1404" s="23" t="str">
        <f>IF(COUNTIF($A$2:A1404,A1404)&gt;1,"DUP","OK")</f>
        <v>OK</v>
      </c>
      <c r="O1404" s="23" t="str">
        <f t="shared" si="64"/>
        <v>ORD26003740</v>
      </c>
      <c r="P1404" s="23" t="str">
        <f t="shared" si="65"/>
        <v>Sep</v>
      </c>
      <c r="Q1404" s="23" t="str">
        <f>IF(F1404="CAPTURE",IF(COUNTIF(orders!$A:$A,O1404)&gt;0,"Yes","NO ORDER"),"")</f>
        <v>Yes</v>
      </c>
    </row>
    <row r="1405" spans="1:17" ht="15" customHeight="1" x14ac:dyDescent="0.3">
      <c r="A1405" s="23" t="s">
        <v>14049</v>
      </c>
      <c r="B1405" s="23"/>
      <c r="C1405" s="23" t="s">
        <v>7998</v>
      </c>
      <c r="D1405" s="23" t="str">
        <f t="shared" si="63"/>
        <v>ORD26003755</v>
      </c>
      <c r="E1405" s="38">
        <v>46273</v>
      </c>
      <c r="F1405" s="23" t="s">
        <v>12410</v>
      </c>
      <c r="G1405" s="23" t="s">
        <v>75</v>
      </c>
      <c r="H1405" s="24">
        <v>5348</v>
      </c>
      <c r="I1405" s="24">
        <v>16.04</v>
      </c>
      <c r="J1405" s="24">
        <v>2.89</v>
      </c>
      <c r="K1405" s="24">
        <v>5329.07</v>
      </c>
      <c r="L1405" s="38">
        <v>46275</v>
      </c>
      <c r="M1405" s="23" t="s">
        <v>194</v>
      </c>
      <c r="N1405" s="23" t="str">
        <f>IF(COUNTIF($A$2:A1405,A1405)&gt;1,"DUP","OK")</f>
        <v>OK</v>
      </c>
      <c r="O1405" s="23" t="str">
        <f t="shared" si="64"/>
        <v>ORD26003755</v>
      </c>
      <c r="P1405" s="23" t="str">
        <f t="shared" si="65"/>
        <v>Sep</v>
      </c>
      <c r="Q1405" s="23" t="str">
        <f>IF(F1405="CAPTURE",IF(COUNTIF(orders!$A:$A,O1405)&gt;0,"Yes","NO ORDER"),"")</f>
        <v>Yes</v>
      </c>
    </row>
    <row r="1406" spans="1:17" ht="15" customHeight="1" x14ac:dyDescent="0.3">
      <c r="A1406" s="23" t="s">
        <v>14050</v>
      </c>
      <c r="B1406" s="23"/>
      <c r="C1406" s="23" t="s">
        <v>14051</v>
      </c>
      <c r="D1406" s="23" t="str">
        <f t="shared" si="63"/>
        <v>ORD26003784</v>
      </c>
      <c r="E1406" s="38">
        <v>46273</v>
      </c>
      <c r="F1406" s="23" t="s">
        <v>12410</v>
      </c>
      <c r="G1406" s="23" t="s">
        <v>79</v>
      </c>
      <c r="H1406" s="24">
        <v>2999</v>
      </c>
      <c r="I1406" s="24">
        <v>47.98</v>
      </c>
      <c r="J1406" s="24">
        <v>8.64</v>
      </c>
      <c r="K1406" s="24">
        <v>2942.38</v>
      </c>
      <c r="L1406" s="38">
        <v>46275</v>
      </c>
      <c r="M1406" s="23" t="s">
        <v>194</v>
      </c>
      <c r="N1406" s="23" t="str">
        <f>IF(COUNTIF($A$2:A1406,A1406)&gt;1,"DUP","OK")</f>
        <v>OK</v>
      </c>
      <c r="O1406" s="23" t="str">
        <f t="shared" si="64"/>
        <v>ORD26003784</v>
      </c>
      <c r="P1406" s="23" t="str">
        <f t="shared" si="65"/>
        <v>Sep</v>
      </c>
      <c r="Q1406" s="23" t="str">
        <f>IF(F1406="CAPTURE",IF(COUNTIF(orders!$A:$A,O1406)&gt;0,"Yes","NO ORDER"),"")</f>
        <v>Yes</v>
      </c>
    </row>
    <row r="1407" spans="1:17" ht="15" customHeight="1" x14ac:dyDescent="0.3">
      <c r="A1407" s="23" t="s">
        <v>14052</v>
      </c>
      <c r="B1407" s="23"/>
      <c r="C1407" s="23" t="s">
        <v>8114</v>
      </c>
      <c r="D1407" s="23" t="str">
        <f t="shared" si="63"/>
        <v>ORD26003813</v>
      </c>
      <c r="E1407" s="38">
        <v>46273</v>
      </c>
      <c r="F1407" s="23" t="s">
        <v>12410</v>
      </c>
      <c r="G1407" s="23" t="s">
        <v>77</v>
      </c>
      <c r="H1407" s="24">
        <v>7999</v>
      </c>
      <c r="I1407" s="24">
        <v>135.97999999999999</v>
      </c>
      <c r="J1407" s="24">
        <v>24.48</v>
      </c>
      <c r="K1407" s="24">
        <v>7838.54</v>
      </c>
      <c r="L1407" s="38">
        <v>46275</v>
      </c>
      <c r="M1407" s="23" t="s">
        <v>194</v>
      </c>
      <c r="N1407" s="23" t="str">
        <f>IF(COUNTIF($A$2:A1407,A1407)&gt;1,"DUP","OK")</f>
        <v>OK</v>
      </c>
      <c r="O1407" s="23" t="str">
        <f t="shared" si="64"/>
        <v>ORD26003813</v>
      </c>
      <c r="P1407" s="23" t="str">
        <f t="shared" si="65"/>
        <v>Sep</v>
      </c>
      <c r="Q1407" s="23" t="str">
        <f>IF(F1407="CAPTURE",IF(COUNTIF(orders!$A:$A,O1407)&gt;0,"Yes","NO ORDER"),"")</f>
        <v>Yes</v>
      </c>
    </row>
    <row r="1408" spans="1:17" ht="15" customHeight="1" x14ac:dyDescent="0.3">
      <c r="A1408" s="23" t="s">
        <v>14053</v>
      </c>
      <c r="B1408" s="23"/>
      <c r="C1408" s="23" t="s">
        <v>8144</v>
      </c>
      <c r="D1408" s="23" t="str">
        <f t="shared" si="63"/>
        <v>ORD26003828</v>
      </c>
      <c r="E1408" s="38">
        <v>46273</v>
      </c>
      <c r="F1408" s="23" t="s">
        <v>12410</v>
      </c>
      <c r="G1408" s="23" t="s">
        <v>79</v>
      </c>
      <c r="H1408" s="24">
        <v>2999</v>
      </c>
      <c r="I1408" s="24">
        <v>47.98</v>
      </c>
      <c r="J1408" s="24">
        <v>8.64</v>
      </c>
      <c r="K1408" s="24">
        <v>2942.38</v>
      </c>
      <c r="L1408" s="38">
        <v>46275</v>
      </c>
      <c r="M1408" s="23" t="s">
        <v>194</v>
      </c>
      <c r="N1408" s="23" t="str">
        <f>IF(COUNTIF($A$2:A1408,A1408)&gt;1,"DUP","OK")</f>
        <v>OK</v>
      </c>
      <c r="O1408" s="23" t="str">
        <f t="shared" si="64"/>
        <v>ORD26003828</v>
      </c>
      <c r="P1408" s="23" t="str">
        <f t="shared" si="65"/>
        <v>Sep</v>
      </c>
      <c r="Q1408" s="23" t="str">
        <f>IF(F1408="CAPTURE",IF(COUNTIF(orders!$A:$A,O1408)&gt;0,"Yes","NO ORDER"),"")</f>
        <v>Yes</v>
      </c>
    </row>
    <row r="1409" spans="1:17" ht="15" customHeight="1" x14ac:dyDescent="0.3">
      <c r="A1409" s="23" t="s">
        <v>14054</v>
      </c>
      <c r="B1409" s="23"/>
      <c r="C1409" s="23" t="s">
        <v>8225</v>
      </c>
      <c r="D1409" s="23" t="str">
        <f t="shared" si="63"/>
        <v>ORD26003869</v>
      </c>
      <c r="E1409" s="38">
        <v>46273</v>
      </c>
      <c r="F1409" s="23" t="s">
        <v>12410</v>
      </c>
      <c r="G1409" s="23" t="s">
        <v>75</v>
      </c>
      <c r="H1409" s="24">
        <v>2597</v>
      </c>
      <c r="I1409" s="24">
        <v>7.79</v>
      </c>
      <c r="J1409" s="24">
        <v>1.4</v>
      </c>
      <c r="K1409" s="24">
        <v>2587.81</v>
      </c>
      <c r="L1409" s="38">
        <v>46275</v>
      </c>
      <c r="M1409" s="23" t="s">
        <v>194</v>
      </c>
      <c r="N1409" s="23" t="str">
        <f>IF(COUNTIF($A$2:A1409,A1409)&gt;1,"DUP","OK")</f>
        <v>OK</v>
      </c>
      <c r="O1409" s="23" t="str">
        <f t="shared" si="64"/>
        <v>ORD26003869</v>
      </c>
      <c r="P1409" s="23" t="str">
        <f t="shared" si="65"/>
        <v>Sep</v>
      </c>
      <c r="Q1409" s="23" t="str">
        <f>IF(F1409="CAPTURE",IF(COUNTIF(orders!$A:$A,O1409)&gt;0,"Yes","NO ORDER"),"")</f>
        <v>Yes</v>
      </c>
    </row>
    <row r="1410" spans="1:17" ht="15" customHeight="1" x14ac:dyDescent="0.3">
      <c r="A1410" s="23" t="s">
        <v>14055</v>
      </c>
      <c r="B1410" s="23"/>
      <c r="C1410" s="23" t="s">
        <v>8369</v>
      </c>
      <c r="D1410" s="23" t="str">
        <f t="shared" ref="D1410:D1473" si="66">UPPER(SUBSTITUTE(TRIM(C1410),"-",""))</f>
        <v>ORD26003941</v>
      </c>
      <c r="E1410" s="38">
        <v>46273</v>
      </c>
      <c r="F1410" s="23" t="s">
        <v>12410</v>
      </c>
      <c r="G1410" s="23" t="s">
        <v>75</v>
      </c>
      <c r="H1410" s="24">
        <v>4297</v>
      </c>
      <c r="I1410" s="24">
        <v>12.89</v>
      </c>
      <c r="J1410" s="24">
        <v>2.3199999999999998</v>
      </c>
      <c r="K1410" s="24">
        <v>4281.79</v>
      </c>
      <c r="L1410" s="38">
        <v>46275</v>
      </c>
      <c r="M1410" s="23" t="s">
        <v>194</v>
      </c>
      <c r="N1410" s="23" t="str">
        <f>IF(COUNTIF($A$2:A1410,A1410)&gt;1,"DUP","OK")</f>
        <v>OK</v>
      </c>
      <c r="O1410" s="23" t="str">
        <f t="shared" ref="O1410:O1473" si="67">IF(F1410="REFUND",INDEX($D:$D,MATCH(B1410,$A:$A,0)),D1410)</f>
        <v>ORD26003941</v>
      </c>
      <c r="P1410" s="23" t="str">
        <f t="shared" ref="P1410:P1473" si="68">IF(L1410&gt;DATE(2026,9,30),"Oct-Due","Sep")</f>
        <v>Sep</v>
      </c>
      <c r="Q1410" s="23" t="str">
        <f>IF(F1410="CAPTURE",IF(COUNTIF(orders!$A:$A,O1410)&gt;0,"Yes","NO ORDER"),"")</f>
        <v>Yes</v>
      </c>
    </row>
    <row r="1411" spans="1:17" ht="15" customHeight="1" x14ac:dyDescent="0.3">
      <c r="A1411" s="23" t="s">
        <v>14056</v>
      </c>
      <c r="B1411" s="23"/>
      <c r="C1411" s="23" t="s">
        <v>8377</v>
      </c>
      <c r="D1411" s="23" t="str">
        <f t="shared" si="66"/>
        <v>ORD26003945</v>
      </c>
      <c r="E1411" s="38">
        <v>46273</v>
      </c>
      <c r="F1411" s="23" t="s">
        <v>12410</v>
      </c>
      <c r="G1411" s="23" t="s">
        <v>75</v>
      </c>
      <c r="H1411" s="24">
        <v>6498</v>
      </c>
      <c r="I1411" s="24">
        <v>19.489999999999998</v>
      </c>
      <c r="J1411" s="24">
        <v>3.51</v>
      </c>
      <c r="K1411" s="24">
        <v>6475</v>
      </c>
      <c r="L1411" s="38">
        <v>46275</v>
      </c>
      <c r="M1411" s="23" t="s">
        <v>194</v>
      </c>
      <c r="N1411" s="23" t="str">
        <f>IF(COUNTIF($A$2:A1411,A1411)&gt;1,"DUP","OK")</f>
        <v>OK</v>
      </c>
      <c r="O1411" s="23" t="str">
        <f t="shared" si="67"/>
        <v>ORD26003945</v>
      </c>
      <c r="P1411" s="23" t="str">
        <f t="shared" si="68"/>
        <v>Sep</v>
      </c>
      <c r="Q1411" s="23" t="str">
        <f>IF(F1411="CAPTURE",IF(COUNTIF(orders!$A:$A,O1411)&gt;0,"Yes","NO ORDER"),"")</f>
        <v>Yes</v>
      </c>
    </row>
    <row r="1412" spans="1:17" ht="15" customHeight="1" x14ac:dyDescent="0.3">
      <c r="A1412" s="23" t="s">
        <v>14057</v>
      </c>
      <c r="B1412" s="23"/>
      <c r="C1412" s="23" t="s">
        <v>14058</v>
      </c>
      <c r="D1412" s="23" t="str">
        <f t="shared" si="66"/>
        <v>ORD26003962</v>
      </c>
      <c r="E1412" s="38">
        <v>46273</v>
      </c>
      <c r="F1412" s="23" t="s">
        <v>12410</v>
      </c>
      <c r="G1412" s="23" t="s">
        <v>75</v>
      </c>
      <c r="H1412" s="24">
        <v>1499</v>
      </c>
      <c r="I1412" s="24">
        <v>0</v>
      </c>
      <c r="J1412" s="24">
        <v>0</v>
      </c>
      <c r="K1412" s="24">
        <v>1499</v>
      </c>
      <c r="L1412" s="38">
        <v>46275</v>
      </c>
      <c r="M1412" s="23" t="s">
        <v>194</v>
      </c>
      <c r="N1412" s="23" t="str">
        <f>IF(COUNTIF($A$2:A1412,A1412)&gt;1,"DUP","OK")</f>
        <v>OK</v>
      </c>
      <c r="O1412" s="23" t="str">
        <f t="shared" si="67"/>
        <v>ORD26003962</v>
      </c>
      <c r="P1412" s="23" t="str">
        <f t="shared" si="68"/>
        <v>Sep</v>
      </c>
      <c r="Q1412" s="23" t="str">
        <f>IF(F1412="CAPTURE",IF(COUNTIF(orders!$A:$A,O1412)&gt;0,"Yes","NO ORDER"),"")</f>
        <v>Yes</v>
      </c>
    </row>
    <row r="1413" spans="1:17" ht="15" customHeight="1" x14ac:dyDescent="0.3">
      <c r="A1413" s="23" t="s">
        <v>14059</v>
      </c>
      <c r="B1413" s="23"/>
      <c r="C1413" s="23" t="s">
        <v>8410</v>
      </c>
      <c r="D1413" s="23" t="str">
        <f t="shared" si="66"/>
        <v>ORD26003962</v>
      </c>
      <c r="E1413" s="38">
        <v>46273</v>
      </c>
      <c r="F1413" s="23" t="s">
        <v>12410</v>
      </c>
      <c r="G1413" s="23" t="s">
        <v>75</v>
      </c>
      <c r="H1413" s="24">
        <v>1499</v>
      </c>
      <c r="I1413" s="24">
        <v>0</v>
      </c>
      <c r="J1413" s="24">
        <v>0</v>
      </c>
      <c r="K1413" s="24">
        <v>1499</v>
      </c>
      <c r="L1413" s="38">
        <v>46275</v>
      </c>
      <c r="M1413" s="23" t="s">
        <v>194</v>
      </c>
      <c r="N1413" s="23" t="str">
        <f>IF(COUNTIF($A$2:A1413,A1413)&gt;1,"DUP","OK")</f>
        <v>OK</v>
      </c>
      <c r="O1413" s="23" t="str">
        <f t="shared" si="67"/>
        <v>ORD26003962</v>
      </c>
      <c r="P1413" s="23" t="str">
        <f t="shared" si="68"/>
        <v>Sep</v>
      </c>
      <c r="Q1413" s="23" t="str">
        <f>IF(F1413="CAPTURE",IF(COUNTIF(orders!$A:$A,O1413)&gt;0,"Yes","NO ORDER"),"")</f>
        <v>Yes</v>
      </c>
    </row>
    <row r="1414" spans="1:17" ht="15" customHeight="1" x14ac:dyDescent="0.3">
      <c r="A1414" s="23" t="s">
        <v>14060</v>
      </c>
      <c r="B1414" s="23"/>
      <c r="C1414" s="23" t="s">
        <v>8439</v>
      </c>
      <c r="D1414" s="23" t="str">
        <f t="shared" si="66"/>
        <v>ORD26003976</v>
      </c>
      <c r="E1414" s="38">
        <v>46273</v>
      </c>
      <c r="F1414" s="23" t="s">
        <v>12410</v>
      </c>
      <c r="G1414" s="23" t="s">
        <v>75</v>
      </c>
      <c r="H1414" s="24">
        <v>799</v>
      </c>
      <c r="I1414" s="24">
        <v>0</v>
      </c>
      <c r="J1414" s="24">
        <v>0</v>
      </c>
      <c r="K1414" s="24">
        <v>799</v>
      </c>
      <c r="L1414" s="38">
        <v>46275</v>
      </c>
      <c r="M1414" s="23" t="s">
        <v>194</v>
      </c>
      <c r="N1414" s="23" t="str">
        <f>IF(COUNTIF($A$2:A1414,A1414)&gt;1,"DUP","OK")</f>
        <v>OK</v>
      </c>
      <c r="O1414" s="23" t="str">
        <f t="shared" si="67"/>
        <v>ORD26003976</v>
      </c>
      <c r="P1414" s="23" t="str">
        <f t="shared" si="68"/>
        <v>Sep</v>
      </c>
      <c r="Q1414" s="23" t="str">
        <f>IF(F1414="CAPTURE",IF(COUNTIF(orders!$A:$A,O1414)&gt;0,"Yes","NO ORDER"),"")</f>
        <v>Yes</v>
      </c>
    </row>
    <row r="1415" spans="1:17" ht="15" customHeight="1" x14ac:dyDescent="0.3">
      <c r="A1415" s="23" t="s">
        <v>14061</v>
      </c>
      <c r="B1415" s="23"/>
      <c r="C1415" s="23" t="s">
        <v>8465</v>
      </c>
      <c r="D1415" s="23" t="str">
        <f t="shared" si="66"/>
        <v>ORD26003989</v>
      </c>
      <c r="E1415" s="38">
        <v>46273</v>
      </c>
      <c r="F1415" s="23" t="s">
        <v>12410</v>
      </c>
      <c r="G1415" s="23" t="s">
        <v>79</v>
      </c>
      <c r="H1415" s="24">
        <v>4999</v>
      </c>
      <c r="I1415" s="24">
        <v>79.98</v>
      </c>
      <c r="J1415" s="24">
        <v>14.4</v>
      </c>
      <c r="K1415" s="24">
        <v>4904.62</v>
      </c>
      <c r="L1415" s="38">
        <v>46275</v>
      </c>
      <c r="M1415" s="23" t="s">
        <v>194</v>
      </c>
      <c r="N1415" s="23" t="str">
        <f>IF(COUNTIF($A$2:A1415,A1415)&gt;1,"DUP","OK")</f>
        <v>OK</v>
      </c>
      <c r="O1415" s="23" t="str">
        <f t="shared" si="67"/>
        <v>ORD26003989</v>
      </c>
      <c r="P1415" s="23" t="str">
        <f t="shared" si="68"/>
        <v>Sep</v>
      </c>
      <c r="Q1415" s="23" t="str">
        <f>IF(F1415="CAPTURE",IF(COUNTIF(orders!$A:$A,O1415)&gt;0,"Yes","NO ORDER"),"")</f>
        <v>Yes</v>
      </c>
    </row>
    <row r="1416" spans="1:17" ht="15" customHeight="1" x14ac:dyDescent="0.3">
      <c r="A1416" s="23" t="s">
        <v>14062</v>
      </c>
      <c r="B1416" s="23"/>
      <c r="C1416" s="23" t="s">
        <v>8555</v>
      </c>
      <c r="D1416" s="23" t="str">
        <f t="shared" si="66"/>
        <v>ORD26004035</v>
      </c>
      <c r="E1416" s="38">
        <v>46273</v>
      </c>
      <c r="F1416" s="23" t="s">
        <v>12410</v>
      </c>
      <c r="G1416" s="23" t="s">
        <v>77</v>
      </c>
      <c r="H1416" s="24">
        <v>5798</v>
      </c>
      <c r="I1416" s="24">
        <v>98.57</v>
      </c>
      <c r="J1416" s="24">
        <v>17.739999999999998</v>
      </c>
      <c r="K1416" s="24">
        <v>5681.69</v>
      </c>
      <c r="L1416" s="38">
        <v>46275</v>
      </c>
      <c r="M1416" s="23" t="s">
        <v>194</v>
      </c>
      <c r="N1416" s="23" t="str">
        <f>IF(COUNTIF($A$2:A1416,A1416)&gt;1,"DUP","OK")</f>
        <v>OK</v>
      </c>
      <c r="O1416" s="23" t="str">
        <f t="shared" si="67"/>
        <v>ORD26004035</v>
      </c>
      <c r="P1416" s="23" t="str">
        <f t="shared" si="68"/>
        <v>Sep</v>
      </c>
      <c r="Q1416" s="23" t="str">
        <f>IF(F1416="CAPTURE",IF(COUNTIF(orders!$A:$A,O1416)&gt;0,"Yes","NO ORDER"),"")</f>
        <v>Yes</v>
      </c>
    </row>
    <row r="1417" spans="1:17" ht="15" customHeight="1" x14ac:dyDescent="0.3">
      <c r="A1417" s="23" t="s">
        <v>14063</v>
      </c>
      <c r="B1417" s="23"/>
      <c r="C1417" s="23" t="s">
        <v>8599</v>
      </c>
      <c r="D1417" s="23" t="str">
        <f t="shared" si="66"/>
        <v>ORD26004058</v>
      </c>
      <c r="E1417" s="38">
        <v>46273</v>
      </c>
      <c r="F1417" s="23" t="s">
        <v>12410</v>
      </c>
      <c r="G1417" s="23" t="s">
        <v>75</v>
      </c>
      <c r="H1417" s="24">
        <v>3998</v>
      </c>
      <c r="I1417" s="24">
        <v>11.99</v>
      </c>
      <c r="J1417" s="24">
        <v>2.16</v>
      </c>
      <c r="K1417" s="24">
        <v>3983.85</v>
      </c>
      <c r="L1417" s="38">
        <v>46275</v>
      </c>
      <c r="M1417" s="23" t="s">
        <v>194</v>
      </c>
      <c r="N1417" s="23" t="str">
        <f>IF(COUNTIF($A$2:A1417,A1417)&gt;1,"DUP","OK")</f>
        <v>OK</v>
      </c>
      <c r="O1417" s="23" t="str">
        <f t="shared" si="67"/>
        <v>ORD26004058</v>
      </c>
      <c r="P1417" s="23" t="str">
        <f t="shared" si="68"/>
        <v>Sep</v>
      </c>
      <c r="Q1417" s="23" t="str">
        <f>IF(F1417="CAPTURE",IF(COUNTIF(orders!$A:$A,O1417)&gt;0,"Yes","NO ORDER"),"")</f>
        <v>Yes</v>
      </c>
    </row>
    <row r="1418" spans="1:17" ht="15" customHeight="1" x14ac:dyDescent="0.3">
      <c r="A1418" s="23" t="s">
        <v>14064</v>
      </c>
      <c r="B1418" s="23"/>
      <c r="C1418" s="23" t="s">
        <v>8607</v>
      </c>
      <c r="D1418" s="23" t="str">
        <f t="shared" si="66"/>
        <v>ORD26004062</v>
      </c>
      <c r="E1418" s="38">
        <v>46273</v>
      </c>
      <c r="F1418" s="23" t="s">
        <v>12410</v>
      </c>
      <c r="G1418" s="23" t="s">
        <v>75</v>
      </c>
      <c r="H1418" s="24">
        <v>799</v>
      </c>
      <c r="I1418" s="24">
        <v>0</v>
      </c>
      <c r="J1418" s="24">
        <v>0</v>
      </c>
      <c r="K1418" s="24">
        <v>799</v>
      </c>
      <c r="L1418" s="38">
        <v>46275</v>
      </c>
      <c r="M1418" s="23" t="s">
        <v>194</v>
      </c>
      <c r="N1418" s="23" t="str">
        <f>IF(COUNTIF($A$2:A1418,A1418)&gt;1,"DUP","OK")</f>
        <v>OK</v>
      </c>
      <c r="O1418" s="23" t="str">
        <f t="shared" si="67"/>
        <v>ORD26004062</v>
      </c>
      <c r="P1418" s="23" t="str">
        <f t="shared" si="68"/>
        <v>Sep</v>
      </c>
      <c r="Q1418" s="23" t="str">
        <f>IF(F1418="CAPTURE",IF(COUNTIF(orders!$A:$A,O1418)&gt;0,"Yes","NO ORDER"),"")</f>
        <v>Yes</v>
      </c>
    </row>
    <row r="1419" spans="1:17" ht="15" customHeight="1" x14ac:dyDescent="0.3">
      <c r="A1419" s="23" t="s">
        <v>14065</v>
      </c>
      <c r="B1419" s="23"/>
      <c r="C1419" s="23" t="s">
        <v>8734</v>
      </c>
      <c r="D1419" s="23" t="str">
        <f t="shared" si="66"/>
        <v>ORD26004127</v>
      </c>
      <c r="E1419" s="38">
        <v>46273</v>
      </c>
      <c r="F1419" s="23" t="s">
        <v>12410</v>
      </c>
      <c r="G1419" s="23" t="s">
        <v>79</v>
      </c>
      <c r="H1419" s="24">
        <v>599</v>
      </c>
      <c r="I1419" s="24">
        <v>10.78</v>
      </c>
      <c r="J1419" s="24">
        <v>1.94</v>
      </c>
      <c r="K1419" s="24">
        <v>586.28</v>
      </c>
      <c r="L1419" s="38">
        <v>46275</v>
      </c>
      <c r="M1419" s="23" t="s">
        <v>194</v>
      </c>
      <c r="N1419" s="23" t="str">
        <f>IF(COUNTIF($A$2:A1419,A1419)&gt;1,"DUP","OK")</f>
        <v>OK</v>
      </c>
      <c r="O1419" s="23" t="str">
        <f t="shared" si="67"/>
        <v>ORD26004127</v>
      </c>
      <c r="P1419" s="23" t="str">
        <f t="shared" si="68"/>
        <v>Sep</v>
      </c>
      <c r="Q1419" s="23" t="str">
        <f>IF(F1419="CAPTURE",IF(COUNTIF(orders!$A:$A,O1419)&gt;0,"Yes","NO ORDER"),"")</f>
        <v>Yes</v>
      </c>
    </row>
    <row r="1420" spans="1:17" ht="15" customHeight="1" x14ac:dyDescent="0.3">
      <c r="A1420" s="23" t="s">
        <v>14066</v>
      </c>
      <c r="B1420" s="23"/>
      <c r="C1420" s="23" t="s">
        <v>14067</v>
      </c>
      <c r="D1420" s="23" t="str">
        <f t="shared" si="66"/>
        <v>ORD26004129</v>
      </c>
      <c r="E1420" s="38">
        <v>46273</v>
      </c>
      <c r="F1420" s="23" t="s">
        <v>12410</v>
      </c>
      <c r="G1420" s="23" t="s">
        <v>79</v>
      </c>
      <c r="H1420" s="24">
        <v>2499</v>
      </c>
      <c r="I1420" s="24">
        <v>39.979999999999997</v>
      </c>
      <c r="J1420" s="24">
        <v>7.2</v>
      </c>
      <c r="K1420" s="24">
        <v>2451.8200000000002</v>
      </c>
      <c r="L1420" s="38">
        <v>46275</v>
      </c>
      <c r="M1420" s="23" t="s">
        <v>194</v>
      </c>
      <c r="N1420" s="23" t="str">
        <f>IF(COUNTIF($A$2:A1420,A1420)&gt;1,"DUP","OK")</f>
        <v>OK</v>
      </c>
      <c r="O1420" s="23" t="str">
        <f t="shared" si="67"/>
        <v>ORD26004129</v>
      </c>
      <c r="P1420" s="23" t="str">
        <f t="shared" si="68"/>
        <v>Sep</v>
      </c>
      <c r="Q1420" s="23" t="str">
        <f>IF(F1420="CAPTURE",IF(COUNTIF(orders!$A:$A,O1420)&gt;0,"Yes","NO ORDER"),"")</f>
        <v>Yes</v>
      </c>
    </row>
    <row r="1421" spans="1:17" ht="15" customHeight="1" x14ac:dyDescent="0.3">
      <c r="A1421" s="23" t="s">
        <v>14068</v>
      </c>
      <c r="B1421" s="23"/>
      <c r="C1421" s="23" t="s">
        <v>8797</v>
      </c>
      <c r="D1421" s="23" t="str">
        <f t="shared" si="66"/>
        <v>ORD26004160</v>
      </c>
      <c r="E1421" s="38">
        <v>46273</v>
      </c>
      <c r="F1421" s="23" t="s">
        <v>12410</v>
      </c>
      <c r="G1421" s="23" t="s">
        <v>75</v>
      </c>
      <c r="H1421" s="24">
        <v>6097</v>
      </c>
      <c r="I1421" s="24">
        <v>18.29</v>
      </c>
      <c r="J1421" s="24">
        <v>3.29</v>
      </c>
      <c r="K1421" s="24">
        <v>6075.42</v>
      </c>
      <c r="L1421" s="38">
        <v>46275</v>
      </c>
      <c r="M1421" s="23" t="s">
        <v>194</v>
      </c>
      <c r="N1421" s="23" t="str">
        <f>IF(COUNTIF($A$2:A1421,A1421)&gt;1,"DUP","OK")</f>
        <v>OK</v>
      </c>
      <c r="O1421" s="23" t="str">
        <f t="shared" si="67"/>
        <v>ORD26004160</v>
      </c>
      <c r="P1421" s="23" t="str">
        <f t="shared" si="68"/>
        <v>Sep</v>
      </c>
      <c r="Q1421" s="23" t="str">
        <f>IF(F1421="CAPTURE",IF(COUNTIF(orders!$A:$A,O1421)&gt;0,"Yes","NO ORDER"),"")</f>
        <v>Yes</v>
      </c>
    </row>
    <row r="1422" spans="1:17" ht="15" customHeight="1" x14ac:dyDescent="0.3">
      <c r="A1422" s="23" t="s">
        <v>14069</v>
      </c>
      <c r="B1422" s="23"/>
      <c r="C1422" s="23" t="s">
        <v>8886</v>
      </c>
      <c r="D1422" s="23" t="str">
        <f t="shared" si="66"/>
        <v>ORD26004205</v>
      </c>
      <c r="E1422" s="38">
        <v>46273</v>
      </c>
      <c r="F1422" s="23" t="s">
        <v>12410</v>
      </c>
      <c r="G1422" s="23" t="s">
        <v>75</v>
      </c>
      <c r="H1422" s="24">
        <v>2999</v>
      </c>
      <c r="I1422" s="24">
        <v>9</v>
      </c>
      <c r="J1422" s="24">
        <v>1.62</v>
      </c>
      <c r="K1422" s="24">
        <v>2988.38</v>
      </c>
      <c r="L1422" s="38">
        <v>46275</v>
      </c>
      <c r="M1422" s="23" t="s">
        <v>194</v>
      </c>
      <c r="N1422" s="23" t="str">
        <f>IF(COUNTIF($A$2:A1422,A1422)&gt;1,"DUP","OK")</f>
        <v>OK</v>
      </c>
      <c r="O1422" s="23" t="str">
        <f t="shared" si="67"/>
        <v>ORD26004205</v>
      </c>
      <c r="P1422" s="23" t="str">
        <f t="shared" si="68"/>
        <v>Sep</v>
      </c>
      <c r="Q1422" s="23" t="str">
        <f>IF(F1422="CAPTURE",IF(COUNTIF(orders!$A:$A,O1422)&gt;0,"Yes","NO ORDER"),"")</f>
        <v>Yes</v>
      </c>
    </row>
    <row r="1423" spans="1:17" ht="15" customHeight="1" x14ac:dyDescent="0.3">
      <c r="A1423" s="23" t="s">
        <v>14070</v>
      </c>
      <c r="B1423" s="23"/>
      <c r="C1423" s="23" t="s">
        <v>9025</v>
      </c>
      <c r="D1423" s="23" t="str">
        <f t="shared" si="66"/>
        <v>ORD26004276</v>
      </c>
      <c r="E1423" s="38">
        <v>46273</v>
      </c>
      <c r="F1423" s="23" t="s">
        <v>12410</v>
      </c>
      <c r="G1423" s="23" t="s">
        <v>79</v>
      </c>
      <c r="H1423" s="24">
        <v>8298</v>
      </c>
      <c r="I1423" s="24">
        <v>132.77000000000001</v>
      </c>
      <c r="J1423" s="24">
        <v>23.9</v>
      </c>
      <c r="K1423" s="24">
        <v>8141.33</v>
      </c>
      <c r="L1423" s="38">
        <v>46275</v>
      </c>
      <c r="M1423" s="23" t="s">
        <v>194</v>
      </c>
      <c r="N1423" s="23" t="str">
        <f>IF(COUNTIF($A$2:A1423,A1423)&gt;1,"DUP","OK")</f>
        <v>OK</v>
      </c>
      <c r="O1423" s="23" t="str">
        <f t="shared" si="67"/>
        <v>ORD26004276</v>
      </c>
      <c r="P1423" s="23" t="str">
        <f t="shared" si="68"/>
        <v>Sep</v>
      </c>
      <c r="Q1423" s="23" t="str">
        <f>IF(F1423="CAPTURE",IF(COUNTIF(orders!$A:$A,O1423)&gt;0,"Yes","NO ORDER"),"")</f>
        <v>Yes</v>
      </c>
    </row>
    <row r="1424" spans="1:17" ht="15" customHeight="1" x14ac:dyDescent="0.3">
      <c r="A1424" s="23" t="s">
        <v>14071</v>
      </c>
      <c r="B1424" s="23"/>
      <c r="C1424" s="23" t="s">
        <v>9045</v>
      </c>
      <c r="D1424" s="23" t="str">
        <f t="shared" si="66"/>
        <v>ORD26004286</v>
      </c>
      <c r="E1424" s="38">
        <v>46273</v>
      </c>
      <c r="F1424" s="23" t="s">
        <v>12410</v>
      </c>
      <c r="G1424" s="23" t="s">
        <v>75</v>
      </c>
      <c r="H1424" s="24">
        <v>4998</v>
      </c>
      <c r="I1424" s="24">
        <v>14.99</v>
      </c>
      <c r="J1424" s="24">
        <v>2.7</v>
      </c>
      <c r="K1424" s="24">
        <v>4980.3100000000004</v>
      </c>
      <c r="L1424" s="38">
        <v>46275</v>
      </c>
      <c r="M1424" s="23" t="s">
        <v>194</v>
      </c>
      <c r="N1424" s="23" t="str">
        <f>IF(COUNTIF($A$2:A1424,A1424)&gt;1,"DUP","OK")</f>
        <v>OK</v>
      </c>
      <c r="O1424" s="23" t="str">
        <f t="shared" si="67"/>
        <v>ORD26004286</v>
      </c>
      <c r="P1424" s="23" t="str">
        <f t="shared" si="68"/>
        <v>Sep</v>
      </c>
      <c r="Q1424" s="23" t="str">
        <f>IF(F1424="CAPTURE",IF(COUNTIF(orders!$A:$A,O1424)&gt;0,"Yes","NO ORDER"),"")</f>
        <v>Yes</v>
      </c>
    </row>
    <row r="1425" spans="1:17" ht="15" customHeight="1" x14ac:dyDescent="0.3">
      <c r="A1425" s="23" t="s">
        <v>14072</v>
      </c>
      <c r="B1425" s="23"/>
      <c r="C1425" s="23" t="s">
        <v>9051</v>
      </c>
      <c r="D1425" s="23" t="str">
        <f t="shared" si="66"/>
        <v>ORD26004289</v>
      </c>
      <c r="E1425" s="38">
        <v>46273</v>
      </c>
      <c r="F1425" s="23" t="s">
        <v>12410</v>
      </c>
      <c r="G1425" s="23" t="s">
        <v>75</v>
      </c>
      <c r="H1425" s="24">
        <v>999</v>
      </c>
      <c r="I1425" s="24">
        <v>0</v>
      </c>
      <c r="J1425" s="24">
        <v>0</v>
      </c>
      <c r="K1425" s="24">
        <v>999</v>
      </c>
      <c r="L1425" s="38">
        <v>46275</v>
      </c>
      <c r="M1425" s="23" t="s">
        <v>194</v>
      </c>
      <c r="N1425" s="23" t="str">
        <f>IF(COUNTIF($A$2:A1425,A1425)&gt;1,"DUP","OK")</f>
        <v>OK</v>
      </c>
      <c r="O1425" s="23" t="str">
        <f t="shared" si="67"/>
        <v>ORD26004289</v>
      </c>
      <c r="P1425" s="23" t="str">
        <f t="shared" si="68"/>
        <v>Sep</v>
      </c>
      <c r="Q1425" s="23" t="str">
        <f>IF(F1425="CAPTURE",IF(COUNTIF(orders!$A:$A,O1425)&gt;0,"Yes","NO ORDER"),"")</f>
        <v>Yes</v>
      </c>
    </row>
    <row r="1426" spans="1:17" ht="15" customHeight="1" x14ac:dyDescent="0.3">
      <c r="A1426" s="23" t="s">
        <v>14073</v>
      </c>
      <c r="B1426" s="23"/>
      <c r="C1426" s="23" t="s">
        <v>14074</v>
      </c>
      <c r="D1426" s="23" t="str">
        <f t="shared" si="66"/>
        <v>ORD26004331</v>
      </c>
      <c r="E1426" s="38">
        <v>46273</v>
      </c>
      <c r="F1426" s="23" t="s">
        <v>12410</v>
      </c>
      <c r="G1426" s="23" t="s">
        <v>79</v>
      </c>
      <c r="H1426" s="24">
        <v>4999</v>
      </c>
      <c r="I1426" s="24">
        <v>79.98</v>
      </c>
      <c r="J1426" s="24">
        <v>14.4</v>
      </c>
      <c r="K1426" s="24">
        <v>4904.62</v>
      </c>
      <c r="L1426" s="38">
        <v>46275</v>
      </c>
      <c r="M1426" s="23" t="s">
        <v>194</v>
      </c>
      <c r="N1426" s="23" t="str">
        <f>IF(COUNTIF($A$2:A1426,A1426)&gt;1,"DUP","OK")</f>
        <v>OK</v>
      </c>
      <c r="O1426" s="23" t="str">
        <f t="shared" si="67"/>
        <v>ORD26004331</v>
      </c>
      <c r="P1426" s="23" t="str">
        <f t="shared" si="68"/>
        <v>Sep</v>
      </c>
      <c r="Q1426" s="23" t="str">
        <f>IF(F1426="CAPTURE",IF(COUNTIF(orders!$A:$A,O1426)&gt;0,"Yes","NO ORDER"),"")</f>
        <v>Yes</v>
      </c>
    </row>
    <row r="1427" spans="1:17" ht="15" customHeight="1" x14ac:dyDescent="0.3">
      <c r="A1427" s="23" t="s">
        <v>14075</v>
      </c>
      <c r="B1427" s="23"/>
      <c r="C1427" s="23" t="s">
        <v>9258</v>
      </c>
      <c r="D1427" s="23" t="str">
        <f t="shared" si="66"/>
        <v>ORD26004392</v>
      </c>
      <c r="E1427" s="38">
        <v>46273</v>
      </c>
      <c r="F1427" s="23" t="s">
        <v>12410</v>
      </c>
      <c r="G1427" s="23" t="s">
        <v>75</v>
      </c>
      <c r="H1427" s="24">
        <v>1499</v>
      </c>
      <c r="I1427" s="24">
        <v>0</v>
      </c>
      <c r="J1427" s="24">
        <v>0</v>
      </c>
      <c r="K1427" s="24">
        <v>1499</v>
      </c>
      <c r="L1427" s="38">
        <v>46275</v>
      </c>
      <c r="M1427" s="23" t="s">
        <v>194</v>
      </c>
      <c r="N1427" s="23" t="str">
        <f>IF(COUNTIF($A$2:A1427,A1427)&gt;1,"DUP","OK")</f>
        <v>OK</v>
      </c>
      <c r="O1427" s="23" t="str">
        <f t="shared" si="67"/>
        <v>ORD26004392</v>
      </c>
      <c r="P1427" s="23" t="str">
        <f t="shared" si="68"/>
        <v>Sep</v>
      </c>
      <c r="Q1427" s="23" t="str">
        <f>IF(F1427="CAPTURE",IF(COUNTIF(orders!$A:$A,O1427)&gt;0,"Yes","NO ORDER"),"")</f>
        <v>Yes</v>
      </c>
    </row>
    <row r="1428" spans="1:17" ht="15" customHeight="1" x14ac:dyDescent="0.3">
      <c r="A1428" s="23" t="s">
        <v>14076</v>
      </c>
      <c r="B1428" s="23"/>
      <c r="C1428" s="23" t="s">
        <v>14077</v>
      </c>
      <c r="D1428" s="23" t="str">
        <f t="shared" si="66"/>
        <v>ORD26004447</v>
      </c>
      <c r="E1428" s="38">
        <v>46273</v>
      </c>
      <c r="F1428" s="23" t="s">
        <v>12410</v>
      </c>
      <c r="G1428" s="23" t="s">
        <v>75</v>
      </c>
      <c r="H1428" s="24">
        <v>6797</v>
      </c>
      <c r="I1428" s="24">
        <v>20.39</v>
      </c>
      <c r="J1428" s="24">
        <v>3.67</v>
      </c>
      <c r="K1428" s="24">
        <v>6772.94</v>
      </c>
      <c r="L1428" s="38">
        <v>46275</v>
      </c>
      <c r="M1428" s="23" t="s">
        <v>194</v>
      </c>
      <c r="N1428" s="23" t="str">
        <f>IF(COUNTIF($A$2:A1428,A1428)&gt;1,"DUP","OK")</f>
        <v>OK</v>
      </c>
      <c r="O1428" s="23" t="str">
        <f t="shared" si="67"/>
        <v>ORD26004447</v>
      </c>
      <c r="P1428" s="23" t="str">
        <f t="shared" si="68"/>
        <v>Sep</v>
      </c>
      <c r="Q1428" s="23" t="str">
        <f>IF(F1428="CAPTURE",IF(COUNTIF(orders!$A:$A,O1428)&gt;0,"Yes","NO ORDER"),"")</f>
        <v>Yes</v>
      </c>
    </row>
    <row r="1429" spans="1:17" ht="15" customHeight="1" x14ac:dyDescent="0.3">
      <c r="A1429" s="23" t="s">
        <v>14078</v>
      </c>
      <c r="B1429" s="23"/>
      <c r="C1429" s="23" t="s">
        <v>9481</v>
      </c>
      <c r="D1429" s="23" t="str">
        <f t="shared" si="66"/>
        <v>ORD26004504</v>
      </c>
      <c r="E1429" s="38">
        <v>46273</v>
      </c>
      <c r="F1429" s="23" t="s">
        <v>12410</v>
      </c>
      <c r="G1429" s="23" t="s">
        <v>77</v>
      </c>
      <c r="H1429" s="24">
        <v>1798</v>
      </c>
      <c r="I1429" s="24">
        <v>34.159999999999997</v>
      </c>
      <c r="J1429" s="24">
        <v>6.15</v>
      </c>
      <c r="K1429" s="24">
        <v>1757.69</v>
      </c>
      <c r="L1429" s="38">
        <v>46275</v>
      </c>
      <c r="M1429" s="23" t="s">
        <v>194</v>
      </c>
      <c r="N1429" s="23" t="str">
        <f>IF(COUNTIF($A$2:A1429,A1429)&gt;1,"DUP","OK")</f>
        <v>OK</v>
      </c>
      <c r="O1429" s="23" t="str">
        <f t="shared" si="67"/>
        <v>ORD26004504</v>
      </c>
      <c r="P1429" s="23" t="str">
        <f t="shared" si="68"/>
        <v>Sep</v>
      </c>
      <c r="Q1429" s="23" t="str">
        <f>IF(F1429="CAPTURE",IF(COUNTIF(orders!$A:$A,O1429)&gt;0,"Yes","NO ORDER"),"")</f>
        <v>Yes</v>
      </c>
    </row>
    <row r="1430" spans="1:17" ht="15" customHeight="1" x14ac:dyDescent="0.3">
      <c r="A1430" s="23" t="s">
        <v>14079</v>
      </c>
      <c r="B1430" s="23"/>
      <c r="C1430" s="23" t="s">
        <v>9506</v>
      </c>
      <c r="D1430" s="23" t="str">
        <f t="shared" si="66"/>
        <v>ORD26004517</v>
      </c>
      <c r="E1430" s="38">
        <v>46273</v>
      </c>
      <c r="F1430" s="23" t="s">
        <v>12410</v>
      </c>
      <c r="G1430" s="23" t="s">
        <v>75</v>
      </c>
      <c r="H1430" s="24">
        <v>2447</v>
      </c>
      <c r="I1430" s="24">
        <v>7.34</v>
      </c>
      <c r="J1430" s="24">
        <v>1.32</v>
      </c>
      <c r="K1430" s="24">
        <v>2438.34</v>
      </c>
      <c r="L1430" s="38">
        <v>46275</v>
      </c>
      <c r="M1430" s="23" t="s">
        <v>194</v>
      </c>
      <c r="N1430" s="23" t="str">
        <f>IF(COUNTIF($A$2:A1430,A1430)&gt;1,"DUP","OK")</f>
        <v>OK</v>
      </c>
      <c r="O1430" s="23" t="str">
        <f t="shared" si="67"/>
        <v>ORD26004517</v>
      </c>
      <c r="P1430" s="23" t="str">
        <f t="shared" si="68"/>
        <v>Sep</v>
      </c>
      <c r="Q1430" s="23" t="str">
        <f>IF(F1430="CAPTURE",IF(COUNTIF(orders!$A:$A,O1430)&gt;0,"Yes","NO ORDER"),"")</f>
        <v>Yes</v>
      </c>
    </row>
    <row r="1431" spans="1:17" ht="15" customHeight="1" x14ac:dyDescent="0.3">
      <c r="A1431" s="23" t="s">
        <v>14080</v>
      </c>
      <c r="B1431" s="23"/>
      <c r="C1431" s="23" t="s">
        <v>9524</v>
      </c>
      <c r="D1431" s="23" t="str">
        <f t="shared" si="66"/>
        <v>ORD26004526</v>
      </c>
      <c r="E1431" s="38">
        <v>46273</v>
      </c>
      <c r="F1431" s="23" t="s">
        <v>12410</v>
      </c>
      <c r="G1431" s="23" t="s">
        <v>75</v>
      </c>
      <c r="H1431" s="24">
        <v>11347</v>
      </c>
      <c r="I1431" s="24">
        <v>34.04</v>
      </c>
      <c r="J1431" s="24">
        <v>6.13</v>
      </c>
      <c r="K1431" s="24">
        <v>11306.83</v>
      </c>
      <c r="L1431" s="38">
        <v>46275</v>
      </c>
      <c r="M1431" s="23" t="s">
        <v>194</v>
      </c>
      <c r="N1431" s="23" t="str">
        <f>IF(COUNTIF($A$2:A1431,A1431)&gt;1,"DUP","OK")</f>
        <v>OK</v>
      </c>
      <c r="O1431" s="23" t="str">
        <f t="shared" si="67"/>
        <v>ORD26004526</v>
      </c>
      <c r="P1431" s="23" t="str">
        <f t="shared" si="68"/>
        <v>Sep</v>
      </c>
      <c r="Q1431" s="23" t="str">
        <f>IF(F1431="CAPTURE",IF(COUNTIF(orders!$A:$A,O1431)&gt;0,"Yes","NO ORDER"),"")</f>
        <v>Yes</v>
      </c>
    </row>
    <row r="1432" spans="1:17" ht="15" customHeight="1" x14ac:dyDescent="0.3">
      <c r="A1432" s="23" t="s">
        <v>14081</v>
      </c>
      <c r="B1432" s="23"/>
      <c r="C1432" s="23" t="s">
        <v>9529</v>
      </c>
      <c r="D1432" s="23" t="str">
        <f t="shared" si="66"/>
        <v>ORD26004528</v>
      </c>
      <c r="E1432" s="38">
        <v>46273</v>
      </c>
      <c r="F1432" s="23" t="s">
        <v>12410</v>
      </c>
      <c r="G1432" s="23" t="s">
        <v>79</v>
      </c>
      <c r="H1432" s="24">
        <v>799</v>
      </c>
      <c r="I1432" s="24">
        <v>14.38</v>
      </c>
      <c r="J1432" s="24">
        <v>2.59</v>
      </c>
      <c r="K1432" s="24">
        <v>782.03</v>
      </c>
      <c r="L1432" s="38">
        <v>46275</v>
      </c>
      <c r="M1432" s="23" t="s">
        <v>194</v>
      </c>
      <c r="N1432" s="23" t="str">
        <f>IF(COUNTIF($A$2:A1432,A1432)&gt;1,"DUP","OK")</f>
        <v>OK</v>
      </c>
      <c r="O1432" s="23" t="str">
        <f t="shared" si="67"/>
        <v>ORD26004528</v>
      </c>
      <c r="P1432" s="23" t="str">
        <f t="shared" si="68"/>
        <v>Sep</v>
      </c>
      <c r="Q1432" s="23" t="str">
        <f>IF(F1432="CAPTURE",IF(COUNTIF(orders!$A:$A,O1432)&gt;0,"Yes","NO ORDER"),"")</f>
        <v>Yes</v>
      </c>
    </row>
    <row r="1433" spans="1:17" ht="15" customHeight="1" x14ac:dyDescent="0.3">
      <c r="A1433" s="23" t="s">
        <v>14082</v>
      </c>
      <c r="B1433" s="23"/>
      <c r="C1433" s="23" t="s">
        <v>9565</v>
      </c>
      <c r="D1433" s="23" t="str">
        <f t="shared" si="66"/>
        <v>ORD26004546</v>
      </c>
      <c r="E1433" s="38">
        <v>46273</v>
      </c>
      <c r="F1433" s="23" t="s">
        <v>12410</v>
      </c>
      <c r="G1433" s="23" t="s">
        <v>79</v>
      </c>
      <c r="H1433" s="24">
        <v>2999</v>
      </c>
      <c r="I1433" s="24">
        <v>47.98</v>
      </c>
      <c r="J1433" s="24">
        <v>8.64</v>
      </c>
      <c r="K1433" s="24">
        <v>2942.38</v>
      </c>
      <c r="L1433" s="38">
        <v>46275</v>
      </c>
      <c r="M1433" s="23" t="s">
        <v>194</v>
      </c>
      <c r="N1433" s="23" t="str">
        <f>IF(COUNTIF($A$2:A1433,A1433)&gt;1,"DUP","OK")</f>
        <v>OK</v>
      </c>
      <c r="O1433" s="23" t="str">
        <f t="shared" si="67"/>
        <v>ORD26004546</v>
      </c>
      <c r="P1433" s="23" t="str">
        <f t="shared" si="68"/>
        <v>Sep</v>
      </c>
      <c r="Q1433" s="23" t="str">
        <f>IF(F1433="CAPTURE",IF(COUNTIF(orders!$A:$A,O1433)&gt;0,"Yes","NO ORDER"),"")</f>
        <v>Yes</v>
      </c>
    </row>
    <row r="1434" spans="1:17" ht="15" customHeight="1" x14ac:dyDescent="0.3">
      <c r="A1434" s="23" t="s">
        <v>14083</v>
      </c>
      <c r="B1434" s="23"/>
      <c r="C1434" s="23" t="s">
        <v>9611</v>
      </c>
      <c r="D1434" s="23" t="str">
        <f t="shared" si="66"/>
        <v>ORD26004569</v>
      </c>
      <c r="E1434" s="38">
        <v>46273</v>
      </c>
      <c r="F1434" s="23" t="s">
        <v>12410</v>
      </c>
      <c r="G1434" s="23" t="s">
        <v>77</v>
      </c>
      <c r="H1434" s="24">
        <v>599</v>
      </c>
      <c r="I1434" s="24">
        <v>11.38</v>
      </c>
      <c r="J1434" s="24">
        <v>2.0499999999999998</v>
      </c>
      <c r="K1434" s="24">
        <v>585.57000000000005</v>
      </c>
      <c r="L1434" s="38">
        <v>46275</v>
      </c>
      <c r="M1434" s="23" t="s">
        <v>194</v>
      </c>
      <c r="N1434" s="23" t="str">
        <f>IF(COUNTIF($A$2:A1434,A1434)&gt;1,"DUP","OK")</f>
        <v>OK</v>
      </c>
      <c r="O1434" s="23" t="str">
        <f t="shared" si="67"/>
        <v>ORD26004569</v>
      </c>
      <c r="P1434" s="23" t="str">
        <f t="shared" si="68"/>
        <v>Sep</v>
      </c>
      <c r="Q1434" s="23" t="str">
        <f>IF(F1434="CAPTURE",IF(COUNTIF(orders!$A:$A,O1434)&gt;0,"Yes","NO ORDER"),"")</f>
        <v>Yes</v>
      </c>
    </row>
    <row r="1435" spans="1:17" ht="15" customHeight="1" x14ac:dyDescent="0.3">
      <c r="A1435" s="23" t="s">
        <v>14084</v>
      </c>
      <c r="B1435" s="23"/>
      <c r="C1435" s="23" t="s">
        <v>14085</v>
      </c>
      <c r="D1435" s="23" t="str">
        <f t="shared" si="66"/>
        <v>ORD26004573</v>
      </c>
      <c r="E1435" s="38">
        <v>46273</v>
      </c>
      <c r="F1435" s="23" t="s">
        <v>12410</v>
      </c>
      <c r="G1435" s="23" t="s">
        <v>75</v>
      </c>
      <c r="H1435" s="24">
        <v>1798</v>
      </c>
      <c r="I1435" s="24">
        <v>0</v>
      </c>
      <c r="J1435" s="24">
        <v>0</v>
      </c>
      <c r="K1435" s="24">
        <v>1798</v>
      </c>
      <c r="L1435" s="38">
        <v>46275</v>
      </c>
      <c r="M1435" s="23" t="s">
        <v>194</v>
      </c>
      <c r="N1435" s="23" t="str">
        <f>IF(COUNTIF($A$2:A1435,A1435)&gt;1,"DUP","OK")</f>
        <v>OK</v>
      </c>
      <c r="O1435" s="23" t="str">
        <f t="shared" si="67"/>
        <v>ORD26004573</v>
      </c>
      <c r="P1435" s="23" t="str">
        <f t="shared" si="68"/>
        <v>Sep</v>
      </c>
      <c r="Q1435" s="23" t="str">
        <f>IF(F1435="CAPTURE",IF(COUNTIF(orders!$A:$A,O1435)&gt;0,"Yes","NO ORDER"),"")</f>
        <v>Yes</v>
      </c>
    </row>
    <row r="1436" spans="1:17" ht="15" customHeight="1" x14ac:dyDescent="0.3">
      <c r="A1436" s="23" t="s">
        <v>14086</v>
      </c>
      <c r="B1436" s="23"/>
      <c r="C1436" s="23" t="s">
        <v>9648</v>
      </c>
      <c r="D1436" s="23" t="str">
        <f t="shared" si="66"/>
        <v>ORD26004588</v>
      </c>
      <c r="E1436" s="38">
        <v>46273</v>
      </c>
      <c r="F1436" s="23" t="s">
        <v>12410</v>
      </c>
      <c r="G1436" s="23" t="s">
        <v>75</v>
      </c>
      <c r="H1436" s="24">
        <v>4999</v>
      </c>
      <c r="I1436" s="24">
        <v>15</v>
      </c>
      <c r="J1436" s="24">
        <v>2.7</v>
      </c>
      <c r="K1436" s="24">
        <v>4981.3</v>
      </c>
      <c r="L1436" s="38">
        <v>46275</v>
      </c>
      <c r="M1436" s="23" t="s">
        <v>194</v>
      </c>
      <c r="N1436" s="23" t="str">
        <f>IF(COUNTIF($A$2:A1436,A1436)&gt;1,"DUP","OK")</f>
        <v>OK</v>
      </c>
      <c r="O1436" s="23" t="str">
        <f t="shared" si="67"/>
        <v>ORD26004588</v>
      </c>
      <c r="P1436" s="23" t="str">
        <f t="shared" si="68"/>
        <v>Sep</v>
      </c>
      <c r="Q1436" s="23" t="str">
        <f>IF(F1436="CAPTURE",IF(COUNTIF(orders!$A:$A,O1436)&gt;0,"Yes","NO ORDER"),"")</f>
        <v>Yes</v>
      </c>
    </row>
    <row r="1437" spans="1:17" ht="15" customHeight="1" x14ac:dyDescent="0.3">
      <c r="A1437" s="23" t="s">
        <v>14087</v>
      </c>
      <c r="B1437" s="23"/>
      <c r="C1437" s="23" t="s">
        <v>14088</v>
      </c>
      <c r="D1437" s="23" t="str">
        <f t="shared" si="66"/>
        <v>ORD26004589</v>
      </c>
      <c r="E1437" s="38">
        <v>46273</v>
      </c>
      <c r="F1437" s="23" t="s">
        <v>12410</v>
      </c>
      <c r="G1437" s="23" t="s">
        <v>75</v>
      </c>
      <c r="H1437" s="24">
        <v>13497</v>
      </c>
      <c r="I1437" s="24">
        <v>40.49</v>
      </c>
      <c r="J1437" s="24">
        <v>7.29</v>
      </c>
      <c r="K1437" s="24">
        <v>13449.22</v>
      </c>
      <c r="L1437" s="38">
        <v>46275</v>
      </c>
      <c r="M1437" s="23" t="s">
        <v>194</v>
      </c>
      <c r="N1437" s="23" t="str">
        <f>IF(COUNTIF($A$2:A1437,A1437)&gt;1,"DUP","OK")</f>
        <v>OK</v>
      </c>
      <c r="O1437" s="23" t="str">
        <f t="shared" si="67"/>
        <v>ORD26004589</v>
      </c>
      <c r="P1437" s="23" t="str">
        <f t="shared" si="68"/>
        <v>Sep</v>
      </c>
      <c r="Q1437" s="23" t="str">
        <f>IF(F1437="CAPTURE",IF(COUNTIF(orders!$A:$A,O1437)&gt;0,"Yes","NO ORDER"),"")</f>
        <v>Yes</v>
      </c>
    </row>
    <row r="1438" spans="1:17" ht="15" customHeight="1" x14ac:dyDescent="0.3">
      <c r="A1438" s="23" t="s">
        <v>14089</v>
      </c>
      <c r="B1438" s="23"/>
      <c r="C1438" s="23" t="s">
        <v>9670</v>
      </c>
      <c r="D1438" s="23" t="str">
        <f t="shared" si="66"/>
        <v>ORD26004599</v>
      </c>
      <c r="E1438" s="38">
        <v>46273</v>
      </c>
      <c r="F1438" s="23" t="s">
        <v>12410</v>
      </c>
      <c r="G1438" s="23" t="s">
        <v>79</v>
      </c>
      <c r="H1438" s="24">
        <v>3098</v>
      </c>
      <c r="I1438" s="24">
        <v>49.57</v>
      </c>
      <c r="J1438" s="24">
        <v>8.92</v>
      </c>
      <c r="K1438" s="24">
        <v>3039.51</v>
      </c>
      <c r="L1438" s="38">
        <v>46275</v>
      </c>
      <c r="M1438" s="23" t="s">
        <v>194</v>
      </c>
      <c r="N1438" s="23" t="str">
        <f>IF(COUNTIF($A$2:A1438,A1438)&gt;1,"DUP","OK")</f>
        <v>OK</v>
      </c>
      <c r="O1438" s="23" t="str">
        <f t="shared" si="67"/>
        <v>ORD26004599</v>
      </c>
      <c r="P1438" s="23" t="str">
        <f t="shared" si="68"/>
        <v>Sep</v>
      </c>
      <c r="Q1438" s="23" t="str">
        <f>IF(F1438="CAPTURE",IF(COUNTIF(orders!$A:$A,O1438)&gt;0,"Yes","NO ORDER"),"")</f>
        <v>Yes</v>
      </c>
    </row>
    <row r="1439" spans="1:17" ht="15" customHeight="1" x14ac:dyDescent="0.3">
      <c r="A1439" s="23" t="s">
        <v>14090</v>
      </c>
      <c r="B1439" s="23"/>
      <c r="C1439" s="23" t="s">
        <v>14091</v>
      </c>
      <c r="D1439" s="23" t="str">
        <f t="shared" si="66"/>
        <v>ORD26004612</v>
      </c>
      <c r="E1439" s="38">
        <v>46273</v>
      </c>
      <c r="F1439" s="23" t="s">
        <v>12410</v>
      </c>
      <c r="G1439" s="23" t="s">
        <v>77</v>
      </c>
      <c r="H1439" s="24">
        <v>1799</v>
      </c>
      <c r="I1439" s="24">
        <v>34.18</v>
      </c>
      <c r="J1439" s="24">
        <v>6.15</v>
      </c>
      <c r="K1439" s="24">
        <v>1758.67</v>
      </c>
      <c r="L1439" s="38">
        <v>46275</v>
      </c>
      <c r="M1439" s="23" t="s">
        <v>194</v>
      </c>
      <c r="N1439" s="23" t="str">
        <f>IF(COUNTIF($A$2:A1439,A1439)&gt;1,"DUP","OK")</f>
        <v>OK</v>
      </c>
      <c r="O1439" s="23" t="str">
        <f t="shared" si="67"/>
        <v>ORD26004612</v>
      </c>
      <c r="P1439" s="23" t="str">
        <f t="shared" si="68"/>
        <v>Sep</v>
      </c>
      <c r="Q1439" s="23" t="str">
        <f>IF(F1439="CAPTURE",IF(COUNTIF(orders!$A:$A,O1439)&gt;0,"Yes","NO ORDER"),"")</f>
        <v>Yes</v>
      </c>
    </row>
    <row r="1440" spans="1:17" ht="15" customHeight="1" x14ac:dyDescent="0.3">
      <c r="A1440" s="23" t="s">
        <v>14092</v>
      </c>
      <c r="B1440" s="23"/>
      <c r="C1440" s="23" t="s">
        <v>9717</v>
      </c>
      <c r="D1440" s="23" t="str">
        <f t="shared" si="66"/>
        <v>ORD26004622</v>
      </c>
      <c r="E1440" s="38">
        <v>46273</v>
      </c>
      <c r="F1440" s="23" t="s">
        <v>12410</v>
      </c>
      <c r="G1440" s="23" t="s">
        <v>77</v>
      </c>
      <c r="H1440" s="24">
        <v>599</v>
      </c>
      <c r="I1440" s="24">
        <v>11.38</v>
      </c>
      <c r="J1440" s="24">
        <v>2.0499999999999998</v>
      </c>
      <c r="K1440" s="24">
        <v>585.57000000000005</v>
      </c>
      <c r="L1440" s="38">
        <v>46275</v>
      </c>
      <c r="M1440" s="23" t="s">
        <v>194</v>
      </c>
      <c r="N1440" s="23" t="str">
        <f>IF(COUNTIF($A$2:A1440,A1440)&gt;1,"DUP","OK")</f>
        <v>OK</v>
      </c>
      <c r="O1440" s="23" t="str">
        <f t="shared" si="67"/>
        <v>ORD26004622</v>
      </c>
      <c r="P1440" s="23" t="str">
        <f t="shared" si="68"/>
        <v>Sep</v>
      </c>
      <c r="Q1440" s="23" t="str">
        <f>IF(F1440="CAPTURE",IF(COUNTIF(orders!$A:$A,O1440)&gt;0,"Yes","NO ORDER"),"")</f>
        <v>Yes</v>
      </c>
    </row>
    <row r="1441" spans="1:17" ht="15" customHeight="1" x14ac:dyDescent="0.3">
      <c r="A1441" s="23" t="s">
        <v>14093</v>
      </c>
      <c r="B1441" s="23"/>
      <c r="C1441" s="23" t="s">
        <v>9783</v>
      </c>
      <c r="D1441" s="23" t="str">
        <f t="shared" si="66"/>
        <v>ORD26004657</v>
      </c>
      <c r="E1441" s="38">
        <v>46273</v>
      </c>
      <c r="F1441" s="23" t="s">
        <v>12410</v>
      </c>
      <c r="G1441" s="23" t="s">
        <v>79</v>
      </c>
      <c r="H1441" s="24">
        <v>3499</v>
      </c>
      <c r="I1441" s="24">
        <v>55.98</v>
      </c>
      <c r="J1441" s="24">
        <v>10.08</v>
      </c>
      <c r="K1441" s="24">
        <v>3432.94</v>
      </c>
      <c r="L1441" s="38">
        <v>46275</v>
      </c>
      <c r="M1441" s="23" t="s">
        <v>194</v>
      </c>
      <c r="N1441" s="23" t="str">
        <f>IF(COUNTIF($A$2:A1441,A1441)&gt;1,"DUP","OK")</f>
        <v>OK</v>
      </c>
      <c r="O1441" s="23" t="str">
        <f t="shared" si="67"/>
        <v>ORD26004657</v>
      </c>
      <c r="P1441" s="23" t="str">
        <f t="shared" si="68"/>
        <v>Sep</v>
      </c>
      <c r="Q1441" s="23" t="str">
        <f>IF(F1441="CAPTURE",IF(COUNTIF(orders!$A:$A,O1441)&gt;0,"Yes","NO ORDER"),"")</f>
        <v>Yes</v>
      </c>
    </row>
    <row r="1442" spans="1:17" ht="15" customHeight="1" x14ac:dyDescent="0.3">
      <c r="A1442" s="23" t="s">
        <v>14094</v>
      </c>
      <c r="B1442" s="23"/>
      <c r="C1442" s="23" t="s">
        <v>9820</v>
      </c>
      <c r="D1442" s="23" t="str">
        <f t="shared" si="66"/>
        <v>ORD26004676</v>
      </c>
      <c r="E1442" s="38">
        <v>46273</v>
      </c>
      <c r="F1442" s="23" t="s">
        <v>12410</v>
      </c>
      <c r="G1442" s="23" t="s">
        <v>79</v>
      </c>
      <c r="H1442" s="24">
        <v>2499</v>
      </c>
      <c r="I1442" s="24">
        <v>39.979999999999997</v>
      </c>
      <c r="J1442" s="24">
        <v>7.2</v>
      </c>
      <c r="K1442" s="24">
        <v>2451.8200000000002</v>
      </c>
      <c r="L1442" s="38">
        <v>46275</v>
      </c>
      <c r="M1442" s="23" t="s">
        <v>194</v>
      </c>
      <c r="N1442" s="23" t="str">
        <f>IF(COUNTIF($A$2:A1442,A1442)&gt;1,"DUP","OK")</f>
        <v>OK</v>
      </c>
      <c r="O1442" s="23" t="str">
        <f t="shared" si="67"/>
        <v>ORD26004676</v>
      </c>
      <c r="P1442" s="23" t="str">
        <f t="shared" si="68"/>
        <v>Sep</v>
      </c>
      <c r="Q1442" s="23" t="str">
        <f>IF(F1442="CAPTURE",IF(COUNTIF(orders!$A:$A,O1442)&gt;0,"Yes","NO ORDER"),"")</f>
        <v>Yes</v>
      </c>
    </row>
    <row r="1443" spans="1:17" ht="15" customHeight="1" x14ac:dyDescent="0.3">
      <c r="A1443" s="23" t="s">
        <v>14095</v>
      </c>
      <c r="B1443" s="23"/>
      <c r="C1443" s="23" t="s">
        <v>9836</v>
      </c>
      <c r="D1443" s="23" t="str">
        <f t="shared" si="66"/>
        <v>ORD26004684</v>
      </c>
      <c r="E1443" s="38">
        <v>46273</v>
      </c>
      <c r="F1443" s="23" t="s">
        <v>12410</v>
      </c>
      <c r="G1443" s="23" t="s">
        <v>75</v>
      </c>
      <c r="H1443" s="24">
        <v>5298</v>
      </c>
      <c r="I1443" s="24">
        <v>15.89</v>
      </c>
      <c r="J1443" s="24">
        <v>2.86</v>
      </c>
      <c r="K1443" s="24">
        <v>5279.25</v>
      </c>
      <c r="L1443" s="38">
        <v>46275</v>
      </c>
      <c r="M1443" s="23" t="s">
        <v>194</v>
      </c>
      <c r="N1443" s="23" t="str">
        <f>IF(COUNTIF($A$2:A1443,A1443)&gt;1,"DUP","OK")</f>
        <v>OK</v>
      </c>
      <c r="O1443" s="23" t="str">
        <f t="shared" si="67"/>
        <v>ORD26004684</v>
      </c>
      <c r="P1443" s="23" t="str">
        <f t="shared" si="68"/>
        <v>Sep</v>
      </c>
      <c r="Q1443" s="23" t="str">
        <f>IF(F1443="CAPTURE",IF(COUNTIF(orders!$A:$A,O1443)&gt;0,"Yes","NO ORDER"),"")</f>
        <v>Yes</v>
      </c>
    </row>
    <row r="1444" spans="1:17" ht="15" customHeight="1" x14ac:dyDescent="0.3">
      <c r="A1444" s="23" t="s">
        <v>14096</v>
      </c>
      <c r="B1444" s="23"/>
      <c r="C1444" s="23" t="s">
        <v>9862</v>
      </c>
      <c r="D1444" s="23" t="str">
        <f t="shared" si="66"/>
        <v>ORD26004697</v>
      </c>
      <c r="E1444" s="38">
        <v>46273</v>
      </c>
      <c r="F1444" s="23" t="s">
        <v>12410</v>
      </c>
      <c r="G1444" s="23" t="s">
        <v>75</v>
      </c>
      <c r="H1444" s="24">
        <v>1148</v>
      </c>
      <c r="I1444" s="24">
        <v>0</v>
      </c>
      <c r="J1444" s="24">
        <v>0</v>
      </c>
      <c r="K1444" s="24">
        <v>1148</v>
      </c>
      <c r="L1444" s="38">
        <v>46275</v>
      </c>
      <c r="M1444" s="23" t="s">
        <v>194</v>
      </c>
      <c r="N1444" s="23" t="str">
        <f>IF(COUNTIF($A$2:A1444,A1444)&gt;1,"DUP","OK")</f>
        <v>OK</v>
      </c>
      <c r="O1444" s="23" t="str">
        <f t="shared" si="67"/>
        <v>ORD26004697</v>
      </c>
      <c r="P1444" s="23" t="str">
        <f t="shared" si="68"/>
        <v>Sep</v>
      </c>
      <c r="Q1444" s="23" t="str">
        <f>IF(F1444="CAPTURE",IF(COUNTIF(orders!$A:$A,O1444)&gt;0,"Yes","NO ORDER"),"")</f>
        <v>Yes</v>
      </c>
    </row>
    <row r="1445" spans="1:17" ht="15" customHeight="1" x14ac:dyDescent="0.3">
      <c r="A1445" s="23" t="s">
        <v>14097</v>
      </c>
      <c r="B1445" s="23"/>
      <c r="C1445" s="23" t="s">
        <v>9866</v>
      </c>
      <c r="D1445" s="23" t="str">
        <f t="shared" si="66"/>
        <v>ORD26004699</v>
      </c>
      <c r="E1445" s="38">
        <v>46273</v>
      </c>
      <c r="F1445" s="23" t="s">
        <v>12410</v>
      </c>
      <c r="G1445" s="23" t="s">
        <v>77</v>
      </c>
      <c r="H1445" s="24">
        <v>999</v>
      </c>
      <c r="I1445" s="24">
        <v>18.98</v>
      </c>
      <c r="J1445" s="24">
        <v>3.42</v>
      </c>
      <c r="K1445" s="24">
        <v>976.6</v>
      </c>
      <c r="L1445" s="38">
        <v>46275</v>
      </c>
      <c r="M1445" s="23" t="s">
        <v>194</v>
      </c>
      <c r="N1445" s="23" t="str">
        <f>IF(COUNTIF($A$2:A1445,A1445)&gt;1,"DUP","OK")</f>
        <v>OK</v>
      </c>
      <c r="O1445" s="23" t="str">
        <f t="shared" si="67"/>
        <v>ORD26004699</v>
      </c>
      <c r="P1445" s="23" t="str">
        <f t="shared" si="68"/>
        <v>Sep</v>
      </c>
      <c r="Q1445" s="23" t="str">
        <f>IF(F1445="CAPTURE",IF(COUNTIF(orders!$A:$A,O1445)&gt;0,"Yes","NO ORDER"),"")</f>
        <v>Yes</v>
      </c>
    </row>
    <row r="1446" spans="1:17" ht="15" customHeight="1" x14ac:dyDescent="0.3">
      <c r="A1446" s="23" t="s">
        <v>14098</v>
      </c>
      <c r="B1446" s="23"/>
      <c r="C1446" s="23" t="s">
        <v>9892</v>
      </c>
      <c r="D1446" s="23" t="str">
        <f t="shared" si="66"/>
        <v>ORD26004712</v>
      </c>
      <c r="E1446" s="38">
        <v>46273</v>
      </c>
      <c r="F1446" s="23" t="s">
        <v>12410</v>
      </c>
      <c r="G1446" s="23" t="s">
        <v>79</v>
      </c>
      <c r="H1446" s="24">
        <v>499</v>
      </c>
      <c r="I1446" s="24">
        <v>8.98</v>
      </c>
      <c r="J1446" s="24">
        <v>1.62</v>
      </c>
      <c r="K1446" s="24">
        <v>488.4</v>
      </c>
      <c r="L1446" s="38">
        <v>46275</v>
      </c>
      <c r="M1446" s="23" t="s">
        <v>194</v>
      </c>
      <c r="N1446" s="23" t="str">
        <f>IF(COUNTIF($A$2:A1446,A1446)&gt;1,"DUP","OK")</f>
        <v>OK</v>
      </c>
      <c r="O1446" s="23" t="str">
        <f t="shared" si="67"/>
        <v>ORD26004712</v>
      </c>
      <c r="P1446" s="23" t="str">
        <f t="shared" si="68"/>
        <v>Sep</v>
      </c>
      <c r="Q1446" s="23" t="str">
        <f>IF(F1446="CAPTURE",IF(COUNTIF(orders!$A:$A,O1446)&gt;0,"Yes","NO ORDER"),"")</f>
        <v>Yes</v>
      </c>
    </row>
    <row r="1447" spans="1:17" ht="15" customHeight="1" x14ac:dyDescent="0.3">
      <c r="A1447" s="23" t="s">
        <v>14099</v>
      </c>
      <c r="B1447" s="23"/>
      <c r="C1447" s="23" t="s">
        <v>9920</v>
      </c>
      <c r="D1447" s="23" t="str">
        <f t="shared" si="66"/>
        <v>ORD26004727</v>
      </c>
      <c r="E1447" s="38">
        <v>46273</v>
      </c>
      <c r="F1447" s="23" t="s">
        <v>12410</v>
      </c>
      <c r="G1447" s="23" t="s">
        <v>75</v>
      </c>
      <c r="H1447" s="24">
        <v>4999</v>
      </c>
      <c r="I1447" s="24">
        <v>15</v>
      </c>
      <c r="J1447" s="24">
        <v>2.7</v>
      </c>
      <c r="K1447" s="24">
        <v>4981.3</v>
      </c>
      <c r="L1447" s="38">
        <v>46275</v>
      </c>
      <c r="M1447" s="23" t="s">
        <v>194</v>
      </c>
      <c r="N1447" s="23" t="str">
        <f>IF(COUNTIF($A$2:A1447,A1447)&gt;1,"DUP","OK")</f>
        <v>OK</v>
      </c>
      <c r="O1447" s="23" t="str">
        <f t="shared" si="67"/>
        <v>ORD26004727</v>
      </c>
      <c r="P1447" s="23" t="str">
        <f t="shared" si="68"/>
        <v>Sep</v>
      </c>
      <c r="Q1447" s="23" t="str">
        <f>IF(F1447="CAPTURE",IF(COUNTIF(orders!$A:$A,O1447)&gt;0,"Yes","NO ORDER"),"")</f>
        <v>Yes</v>
      </c>
    </row>
    <row r="1448" spans="1:17" ht="15" customHeight="1" x14ac:dyDescent="0.3">
      <c r="A1448" s="23" t="s">
        <v>14100</v>
      </c>
      <c r="B1448" s="23"/>
      <c r="C1448" s="23" t="s">
        <v>10022</v>
      </c>
      <c r="D1448" s="23" t="str">
        <f t="shared" si="66"/>
        <v>ORD26004780</v>
      </c>
      <c r="E1448" s="38">
        <v>46273</v>
      </c>
      <c r="F1448" s="23" t="s">
        <v>12410</v>
      </c>
      <c r="G1448" s="23" t="s">
        <v>75</v>
      </c>
      <c r="H1448" s="24">
        <v>3499</v>
      </c>
      <c r="I1448" s="24">
        <v>10.5</v>
      </c>
      <c r="J1448" s="24">
        <v>1.89</v>
      </c>
      <c r="K1448" s="24">
        <v>3486.61</v>
      </c>
      <c r="L1448" s="38">
        <v>46275</v>
      </c>
      <c r="M1448" s="23" t="s">
        <v>194</v>
      </c>
      <c r="N1448" s="23" t="str">
        <f>IF(COUNTIF($A$2:A1448,A1448)&gt;1,"DUP","OK")</f>
        <v>OK</v>
      </c>
      <c r="O1448" s="23" t="str">
        <f t="shared" si="67"/>
        <v>ORD26004780</v>
      </c>
      <c r="P1448" s="23" t="str">
        <f t="shared" si="68"/>
        <v>Sep</v>
      </c>
      <c r="Q1448" s="23" t="str">
        <f>IF(F1448="CAPTURE",IF(COUNTIF(orders!$A:$A,O1448)&gt;0,"Yes","NO ORDER"),"")</f>
        <v>Yes</v>
      </c>
    </row>
    <row r="1449" spans="1:17" ht="15" customHeight="1" x14ac:dyDescent="0.3">
      <c r="A1449" s="23" t="s">
        <v>14101</v>
      </c>
      <c r="B1449" s="23"/>
      <c r="C1449" s="23" t="s">
        <v>10024</v>
      </c>
      <c r="D1449" s="23" t="str">
        <f t="shared" si="66"/>
        <v>ORD26004781</v>
      </c>
      <c r="E1449" s="38">
        <v>46273</v>
      </c>
      <c r="F1449" s="23" t="s">
        <v>12410</v>
      </c>
      <c r="G1449" s="23" t="s">
        <v>75</v>
      </c>
      <c r="H1449" s="24">
        <v>2999</v>
      </c>
      <c r="I1449" s="24">
        <v>9</v>
      </c>
      <c r="J1449" s="24">
        <v>1.62</v>
      </c>
      <c r="K1449" s="24">
        <v>2988.38</v>
      </c>
      <c r="L1449" s="38">
        <v>46275</v>
      </c>
      <c r="M1449" s="23" t="s">
        <v>194</v>
      </c>
      <c r="N1449" s="23" t="str">
        <f>IF(COUNTIF($A$2:A1449,A1449)&gt;1,"DUP","OK")</f>
        <v>OK</v>
      </c>
      <c r="O1449" s="23" t="str">
        <f t="shared" si="67"/>
        <v>ORD26004781</v>
      </c>
      <c r="P1449" s="23" t="str">
        <f t="shared" si="68"/>
        <v>Sep</v>
      </c>
      <c r="Q1449" s="23" t="str">
        <f>IF(F1449="CAPTURE",IF(COUNTIF(orders!$A:$A,O1449)&gt;0,"Yes","NO ORDER"),"")</f>
        <v>Yes</v>
      </c>
    </row>
    <row r="1450" spans="1:17" ht="15" customHeight="1" x14ac:dyDescent="0.3">
      <c r="A1450" s="23" t="s">
        <v>14102</v>
      </c>
      <c r="B1450" s="23"/>
      <c r="C1450" s="23" t="s">
        <v>14103</v>
      </c>
      <c r="D1450" s="23" t="str">
        <f t="shared" si="66"/>
        <v>ORD26004794</v>
      </c>
      <c r="E1450" s="38">
        <v>46273</v>
      </c>
      <c r="F1450" s="23" t="s">
        <v>12410</v>
      </c>
      <c r="G1450" s="23" t="s">
        <v>75</v>
      </c>
      <c r="H1450" s="24">
        <v>1848</v>
      </c>
      <c r="I1450" s="24">
        <v>0</v>
      </c>
      <c r="J1450" s="24">
        <v>0</v>
      </c>
      <c r="K1450" s="24">
        <v>1848</v>
      </c>
      <c r="L1450" s="38">
        <v>46275</v>
      </c>
      <c r="M1450" s="23" t="s">
        <v>194</v>
      </c>
      <c r="N1450" s="23" t="str">
        <f>IF(COUNTIF($A$2:A1450,A1450)&gt;1,"DUP","OK")</f>
        <v>OK</v>
      </c>
      <c r="O1450" s="23" t="str">
        <f t="shared" si="67"/>
        <v>ORD26004794</v>
      </c>
      <c r="P1450" s="23" t="str">
        <f t="shared" si="68"/>
        <v>Sep</v>
      </c>
      <c r="Q1450" s="23" t="str">
        <f>IF(F1450="CAPTURE",IF(COUNTIF(orders!$A:$A,O1450)&gt;0,"Yes","NO ORDER"),"")</f>
        <v>Yes</v>
      </c>
    </row>
    <row r="1451" spans="1:17" ht="15" customHeight="1" x14ac:dyDescent="0.3">
      <c r="A1451" s="23" t="s">
        <v>14104</v>
      </c>
      <c r="B1451" s="23"/>
      <c r="C1451" s="23" t="s">
        <v>10058</v>
      </c>
      <c r="D1451" s="23" t="str">
        <f t="shared" si="66"/>
        <v>ORD26004798</v>
      </c>
      <c r="E1451" s="38">
        <v>46273</v>
      </c>
      <c r="F1451" s="23" t="s">
        <v>12410</v>
      </c>
      <c r="G1451" s="23" t="s">
        <v>79</v>
      </c>
      <c r="H1451" s="24">
        <v>1499</v>
      </c>
      <c r="I1451" s="24">
        <v>26.98</v>
      </c>
      <c r="J1451" s="24">
        <v>4.8600000000000003</v>
      </c>
      <c r="K1451" s="24">
        <v>1467.16</v>
      </c>
      <c r="L1451" s="38">
        <v>46275</v>
      </c>
      <c r="M1451" s="23" t="s">
        <v>194</v>
      </c>
      <c r="N1451" s="23" t="str">
        <f>IF(COUNTIF($A$2:A1451,A1451)&gt;1,"DUP","OK")</f>
        <v>OK</v>
      </c>
      <c r="O1451" s="23" t="str">
        <f t="shared" si="67"/>
        <v>ORD26004798</v>
      </c>
      <c r="P1451" s="23" t="str">
        <f t="shared" si="68"/>
        <v>Sep</v>
      </c>
      <c r="Q1451" s="23" t="str">
        <f>IF(F1451="CAPTURE",IF(COUNTIF(orders!$A:$A,O1451)&gt;0,"Yes","NO ORDER"),"")</f>
        <v>Yes</v>
      </c>
    </row>
    <row r="1452" spans="1:17" ht="15" customHeight="1" x14ac:dyDescent="0.3">
      <c r="A1452" s="23" t="s">
        <v>14105</v>
      </c>
      <c r="B1452" s="23"/>
      <c r="C1452" s="23" t="s">
        <v>10130</v>
      </c>
      <c r="D1452" s="23" t="str">
        <f t="shared" si="66"/>
        <v>ORD26004835</v>
      </c>
      <c r="E1452" s="38">
        <v>46273</v>
      </c>
      <c r="F1452" s="23" t="s">
        <v>12410</v>
      </c>
      <c r="G1452" s="23" t="s">
        <v>79</v>
      </c>
      <c r="H1452" s="24">
        <v>1299</v>
      </c>
      <c r="I1452" s="24">
        <v>23.38</v>
      </c>
      <c r="J1452" s="24">
        <v>4.21</v>
      </c>
      <c r="K1452" s="24">
        <v>1271.4100000000001</v>
      </c>
      <c r="L1452" s="38">
        <v>46275</v>
      </c>
      <c r="M1452" s="23" t="s">
        <v>194</v>
      </c>
      <c r="N1452" s="23" t="str">
        <f>IF(COUNTIF($A$2:A1452,A1452)&gt;1,"DUP","OK")</f>
        <v>OK</v>
      </c>
      <c r="O1452" s="23" t="str">
        <f t="shared" si="67"/>
        <v>ORD26004835</v>
      </c>
      <c r="P1452" s="23" t="str">
        <f t="shared" si="68"/>
        <v>Sep</v>
      </c>
      <c r="Q1452" s="23" t="str">
        <f>IF(F1452="CAPTURE",IF(COUNTIF(orders!$A:$A,O1452)&gt;0,"Yes","NO ORDER"),"")</f>
        <v>Yes</v>
      </c>
    </row>
    <row r="1453" spans="1:17" ht="15" customHeight="1" x14ac:dyDescent="0.3">
      <c r="A1453" s="23" t="s">
        <v>14106</v>
      </c>
      <c r="B1453" s="23"/>
      <c r="C1453" s="23" t="s">
        <v>14107</v>
      </c>
      <c r="D1453" s="23" t="str">
        <f t="shared" si="66"/>
        <v>ORD26004924</v>
      </c>
      <c r="E1453" s="38">
        <v>46273</v>
      </c>
      <c r="F1453" s="23" t="s">
        <v>12410</v>
      </c>
      <c r="G1453" s="23" t="s">
        <v>79</v>
      </c>
      <c r="H1453" s="24">
        <v>5847</v>
      </c>
      <c r="I1453" s="24">
        <v>93.55</v>
      </c>
      <c r="J1453" s="24">
        <v>16.84</v>
      </c>
      <c r="K1453" s="24">
        <v>5736.61</v>
      </c>
      <c r="L1453" s="38">
        <v>46275</v>
      </c>
      <c r="M1453" s="23" t="s">
        <v>194</v>
      </c>
      <c r="N1453" s="23" t="str">
        <f>IF(COUNTIF($A$2:A1453,A1453)&gt;1,"DUP","OK")</f>
        <v>OK</v>
      </c>
      <c r="O1453" s="23" t="str">
        <f t="shared" si="67"/>
        <v>ORD26004924</v>
      </c>
      <c r="P1453" s="23" t="str">
        <f t="shared" si="68"/>
        <v>Sep</v>
      </c>
      <c r="Q1453" s="23" t="str">
        <f>IF(F1453="CAPTURE",IF(COUNTIF(orders!$A:$A,O1453)&gt;0,"Yes","NO ORDER"),"")</f>
        <v>Yes</v>
      </c>
    </row>
    <row r="1454" spans="1:17" ht="15" customHeight="1" x14ac:dyDescent="0.3">
      <c r="A1454" s="23" t="s">
        <v>14108</v>
      </c>
      <c r="B1454" s="23"/>
      <c r="C1454" s="23" t="s">
        <v>14109</v>
      </c>
      <c r="D1454" s="23" t="str">
        <f t="shared" si="66"/>
        <v>ORD26005037</v>
      </c>
      <c r="E1454" s="38">
        <v>46273</v>
      </c>
      <c r="F1454" s="23" t="s">
        <v>12410</v>
      </c>
      <c r="G1454" s="23" t="s">
        <v>79</v>
      </c>
      <c r="H1454" s="24">
        <v>1799</v>
      </c>
      <c r="I1454" s="24">
        <v>32.380000000000003</v>
      </c>
      <c r="J1454" s="24">
        <v>5.83</v>
      </c>
      <c r="K1454" s="24">
        <v>1760.79</v>
      </c>
      <c r="L1454" s="38">
        <v>46275</v>
      </c>
      <c r="M1454" s="23" t="s">
        <v>194</v>
      </c>
      <c r="N1454" s="23" t="str">
        <f>IF(COUNTIF($A$2:A1454,A1454)&gt;1,"DUP","OK")</f>
        <v>OK</v>
      </c>
      <c r="O1454" s="23" t="str">
        <f t="shared" si="67"/>
        <v>ORD26005037</v>
      </c>
      <c r="P1454" s="23" t="str">
        <f t="shared" si="68"/>
        <v>Sep</v>
      </c>
      <c r="Q1454" s="23" t="str">
        <f>IF(F1454="CAPTURE",IF(COUNTIF(orders!$A:$A,O1454)&gt;0,"Yes","NO ORDER"),"")</f>
        <v>Yes</v>
      </c>
    </row>
    <row r="1455" spans="1:17" ht="15" customHeight="1" x14ac:dyDescent="0.3">
      <c r="A1455" s="23" t="s">
        <v>14110</v>
      </c>
      <c r="B1455" s="23"/>
      <c r="C1455" s="23" t="s">
        <v>14111</v>
      </c>
      <c r="D1455" s="23" t="str">
        <f t="shared" si="66"/>
        <v>ORD26005131</v>
      </c>
      <c r="E1455" s="38">
        <v>46273</v>
      </c>
      <c r="F1455" s="23" t="s">
        <v>12410</v>
      </c>
      <c r="G1455" s="23" t="s">
        <v>75</v>
      </c>
      <c r="H1455" s="24">
        <v>7999</v>
      </c>
      <c r="I1455" s="24">
        <v>24</v>
      </c>
      <c r="J1455" s="24">
        <v>4.32</v>
      </c>
      <c r="K1455" s="24">
        <v>7970.68</v>
      </c>
      <c r="L1455" s="38">
        <v>46275</v>
      </c>
      <c r="M1455" s="23" t="s">
        <v>194</v>
      </c>
      <c r="N1455" s="23" t="str">
        <f>IF(COUNTIF($A$2:A1455,A1455)&gt;1,"DUP","OK")</f>
        <v>OK</v>
      </c>
      <c r="O1455" s="23" t="str">
        <f t="shared" si="67"/>
        <v>ORD26005131</v>
      </c>
      <c r="P1455" s="23" t="str">
        <f t="shared" si="68"/>
        <v>Sep</v>
      </c>
      <c r="Q1455" s="23" t="str">
        <f>IF(F1455="CAPTURE",IF(COUNTIF(orders!$A:$A,O1455)&gt;0,"Yes","NO ORDER"),"")</f>
        <v>Yes</v>
      </c>
    </row>
    <row r="1456" spans="1:17" ht="15" customHeight="1" x14ac:dyDescent="0.3">
      <c r="A1456" s="23" t="s">
        <v>14112</v>
      </c>
      <c r="B1456" s="23"/>
      <c r="C1456" s="23" t="s">
        <v>14113</v>
      </c>
      <c r="D1456" s="23" t="str">
        <f t="shared" si="66"/>
        <v>ORD26005139</v>
      </c>
      <c r="E1456" s="38">
        <v>46273</v>
      </c>
      <c r="F1456" s="23" t="s">
        <v>12410</v>
      </c>
      <c r="G1456" s="23" t="s">
        <v>75</v>
      </c>
      <c r="H1456" s="24">
        <v>2999</v>
      </c>
      <c r="I1456" s="24">
        <v>9</v>
      </c>
      <c r="J1456" s="24">
        <v>1.62</v>
      </c>
      <c r="K1456" s="24">
        <v>2988.38</v>
      </c>
      <c r="L1456" s="38">
        <v>46275</v>
      </c>
      <c r="M1456" s="23" t="s">
        <v>194</v>
      </c>
      <c r="N1456" s="23" t="str">
        <f>IF(COUNTIF($A$2:A1456,A1456)&gt;1,"DUP","OK")</f>
        <v>OK</v>
      </c>
      <c r="O1456" s="23" t="str">
        <f t="shared" si="67"/>
        <v>ORD26005139</v>
      </c>
      <c r="P1456" s="23" t="str">
        <f t="shared" si="68"/>
        <v>Sep</v>
      </c>
      <c r="Q1456" s="23" t="str">
        <f>IF(F1456="CAPTURE",IF(COUNTIF(orders!$A:$A,O1456)&gt;0,"Yes","NO ORDER"),"")</f>
        <v>Yes</v>
      </c>
    </row>
    <row r="1457" spans="1:17" ht="15" customHeight="1" x14ac:dyDescent="0.3">
      <c r="A1457" s="23" t="s">
        <v>14114</v>
      </c>
      <c r="B1457" s="23"/>
      <c r="C1457" s="23" t="s">
        <v>10723</v>
      </c>
      <c r="D1457" s="23" t="str">
        <f t="shared" si="66"/>
        <v>ORD26005140</v>
      </c>
      <c r="E1457" s="38">
        <v>46273</v>
      </c>
      <c r="F1457" s="23" t="s">
        <v>12410</v>
      </c>
      <c r="G1457" s="23" t="s">
        <v>79</v>
      </c>
      <c r="H1457" s="24">
        <v>1299</v>
      </c>
      <c r="I1457" s="24">
        <v>23.38</v>
      </c>
      <c r="J1457" s="24">
        <v>4.21</v>
      </c>
      <c r="K1457" s="24">
        <v>1271.4100000000001</v>
      </c>
      <c r="L1457" s="38">
        <v>46275</v>
      </c>
      <c r="M1457" s="23" t="s">
        <v>194</v>
      </c>
      <c r="N1457" s="23" t="str">
        <f>IF(COUNTIF($A$2:A1457,A1457)&gt;1,"DUP","OK")</f>
        <v>OK</v>
      </c>
      <c r="O1457" s="23" t="str">
        <f t="shared" si="67"/>
        <v>ORD26005140</v>
      </c>
      <c r="P1457" s="23" t="str">
        <f t="shared" si="68"/>
        <v>Sep</v>
      </c>
      <c r="Q1457" s="23" t="str">
        <f>IF(F1457="CAPTURE",IF(COUNTIF(orders!$A:$A,O1457)&gt;0,"Yes","NO ORDER"),"")</f>
        <v>Yes</v>
      </c>
    </row>
    <row r="1458" spans="1:17" ht="15" customHeight="1" x14ac:dyDescent="0.3">
      <c r="A1458" s="23" t="s">
        <v>14115</v>
      </c>
      <c r="B1458" s="23"/>
      <c r="C1458" s="23" t="s">
        <v>10796</v>
      </c>
      <c r="D1458" s="23" t="str">
        <f t="shared" si="66"/>
        <v>ORD26005178</v>
      </c>
      <c r="E1458" s="38">
        <v>46273</v>
      </c>
      <c r="F1458" s="23" t="s">
        <v>12410</v>
      </c>
      <c r="G1458" s="23" t="s">
        <v>75</v>
      </c>
      <c r="H1458" s="24">
        <v>349</v>
      </c>
      <c r="I1458" s="24">
        <v>0</v>
      </c>
      <c r="J1458" s="24">
        <v>0</v>
      </c>
      <c r="K1458" s="24">
        <v>349</v>
      </c>
      <c r="L1458" s="38">
        <v>46275</v>
      </c>
      <c r="M1458" s="23" t="s">
        <v>194</v>
      </c>
      <c r="N1458" s="23" t="str">
        <f>IF(COUNTIF($A$2:A1458,A1458)&gt;1,"DUP","OK")</f>
        <v>OK</v>
      </c>
      <c r="O1458" s="23" t="str">
        <f t="shared" si="67"/>
        <v>ORD26005178</v>
      </c>
      <c r="P1458" s="23" t="str">
        <f t="shared" si="68"/>
        <v>Sep</v>
      </c>
      <c r="Q1458" s="23" t="str">
        <f>IF(F1458="CAPTURE",IF(COUNTIF(orders!$A:$A,O1458)&gt;0,"Yes","NO ORDER"),"")</f>
        <v>Yes</v>
      </c>
    </row>
    <row r="1459" spans="1:17" ht="15" customHeight="1" x14ac:dyDescent="0.3">
      <c r="A1459" s="23" t="s">
        <v>14116</v>
      </c>
      <c r="B1459" s="23"/>
      <c r="C1459" s="23" t="s">
        <v>10910</v>
      </c>
      <c r="D1459" s="23" t="str">
        <f t="shared" si="66"/>
        <v>ORD26005236</v>
      </c>
      <c r="E1459" s="38">
        <v>46273</v>
      </c>
      <c r="F1459" s="23" t="s">
        <v>12410</v>
      </c>
      <c r="G1459" s="23" t="s">
        <v>75</v>
      </c>
      <c r="H1459" s="24">
        <v>2098</v>
      </c>
      <c r="I1459" s="24">
        <v>6.29</v>
      </c>
      <c r="J1459" s="24">
        <v>1.1299999999999999</v>
      </c>
      <c r="K1459" s="24">
        <v>2090.58</v>
      </c>
      <c r="L1459" s="38">
        <v>46275</v>
      </c>
      <c r="M1459" s="23" t="s">
        <v>194</v>
      </c>
      <c r="N1459" s="23" t="str">
        <f>IF(COUNTIF($A$2:A1459,A1459)&gt;1,"DUP","OK")</f>
        <v>OK</v>
      </c>
      <c r="O1459" s="23" t="str">
        <f t="shared" si="67"/>
        <v>ORD26005236</v>
      </c>
      <c r="P1459" s="23" t="str">
        <f t="shared" si="68"/>
        <v>Sep</v>
      </c>
      <c r="Q1459" s="23" t="str">
        <f>IF(F1459="CAPTURE",IF(COUNTIF(orders!$A:$A,O1459)&gt;0,"Yes","NO ORDER"),"")</f>
        <v>Yes</v>
      </c>
    </row>
    <row r="1460" spans="1:17" ht="15" customHeight="1" x14ac:dyDescent="0.3">
      <c r="A1460" s="23" t="s">
        <v>14117</v>
      </c>
      <c r="B1460" s="23"/>
      <c r="C1460" s="23" t="s">
        <v>10933</v>
      </c>
      <c r="D1460" s="23" t="str">
        <f t="shared" si="66"/>
        <v>ORD26005248</v>
      </c>
      <c r="E1460" s="38">
        <v>46273</v>
      </c>
      <c r="F1460" s="23" t="s">
        <v>12410</v>
      </c>
      <c r="G1460" s="23" t="s">
        <v>75</v>
      </c>
      <c r="H1460" s="24">
        <v>3098</v>
      </c>
      <c r="I1460" s="24">
        <v>9.2899999999999991</v>
      </c>
      <c r="J1460" s="24">
        <v>1.67</v>
      </c>
      <c r="K1460" s="24">
        <v>3087.04</v>
      </c>
      <c r="L1460" s="38">
        <v>46275</v>
      </c>
      <c r="M1460" s="23" t="s">
        <v>194</v>
      </c>
      <c r="N1460" s="23" t="str">
        <f>IF(COUNTIF($A$2:A1460,A1460)&gt;1,"DUP","OK")</f>
        <v>OK</v>
      </c>
      <c r="O1460" s="23" t="str">
        <f t="shared" si="67"/>
        <v>ORD26005248</v>
      </c>
      <c r="P1460" s="23" t="str">
        <f t="shared" si="68"/>
        <v>Sep</v>
      </c>
      <c r="Q1460" s="23" t="str">
        <f>IF(F1460="CAPTURE",IF(COUNTIF(orders!$A:$A,O1460)&gt;0,"Yes","NO ORDER"),"")</f>
        <v>Yes</v>
      </c>
    </row>
    <row r="1461" spans="1:17" ht="15" customHeight="1" x14ac:dyDescent="0.3">
      <c r="A1461" s="23" t="s">
        <v>14118</v>
      </c>
      <c r="B1461" s="23"/>
      <c r="C1461" s="23" t="s">
        <v>14119</v>
      </c>
      <c r="D1461" s="23" t="str">
        <f t="shared" si="66"/>
        <v>ORD26005321</v>
      </c>
      <c r="E1461" s="38">
        <v>46273</v>
      </c>
      <c r="F1461" s="23" t="s">
        <v>12410</v>
      </c>
      <c r="G1461" s="23" t="s">
        <v>75</v>
      </c>
      <c r="H1461" s="24">
        <v>7999</v>
      </c>
      <c r="I1461" s="24">
        <v>24</v>
      </c>
      <c r="J1461" s="24">
        <v>4.32</v>
      </c>
      <c r="K1461" s="24">
        <v>7970.68</v>
      </c>
      <c r="L1461" s="38">
        <v>46275</v>
      </c>
      <c r="M1461" s="23" t="s">
        <v>194</v>
      </c>
      <c r="N1461" s="23" t="str">
        <f>IF(COUNTIF($A$2:A1461,A1461)&gt;1,"DUP","OK")</f>
        <v>OK</v>
      </c>
      <c r="O1461" s="23" t="str">
        <f t="shared" si="67"/>
        <v>ORD26005321</v>
      </c>
      <c r="P1461" s="23" t="str">
        <f t="shared" si="68"/>
        <v>Sep</v>
      </c>
      <c r="Q1461" s="23" t="str">
        <f>IF(F1461="CAPTURE",IF(COUNTIF(orders!$A:$A,O1461)&gt;0,"Yes","NO ORDER"),"")</f>
        <v>Yes</v>
      </c>
    </row>
    <row r="1462" spans="1:17" ht="15" customHeight="1" x14ac:dyDescent="0.3">
      <c r="A1462" s="23" t="s">
        <v>14120</v>
      </c>
      <c r="B1462" s="23"/>
      <c r="C1462" s="23" t="s">
        <v>11142</v>
      </c>
      <c r="D1462" s="23" t="str">
        <f t="shared" si="66"/>
        <v>ORD26005355</v>
      </c>
      <c r="E1462" s="38">
        <v>46273</v>
      </c>
      <c r="F1462" s="23" t="s">
        <v>12410</v>
      </c>
      <c r="G1462" s="23" t="s">
        <v>75</v>
      </c>
      <c r="H1462" s="24">
        <v>2798</v>
      </c>
      <c r="I1462" s="24">
        <v>8.39</v>
      </c>
      <c r="J1462" s="24">
        <v>1.51</v>
      </c>
      <c r="K1462" s="24">
        <v>2788.1</v>
      </c>
      <c r="L1462" s="38">
        <v>46275</v>
      </c>
      <c r="M1462" s="23" t="s">
        <v>194</v>
      </c>
      <c r="N1462" s="23" t="str">
        <f>IF(COUNTIF($A$2:A1462,A1462)&gt;1,"DUP","OK")</f>
        <v>OK</v>
      </c>
      <c r="O1462" s="23" t="str">
        <f t="shared" si="67"/>
        <v>ORD26005355</v>
      </c>
      <c r="P1462" s="23" t="str">
        <f t="shared" si="68"/>
        <v>Sep</v>
      </c>
      <c r="Q1462" s="23" t="str">
        <f>IF(F1462="CAPTURE",IF(COUNTIF(orders!$A:$A,O1462)&gt;0,"Yes","NO ORDER"),"")</f>
        <v>Yes</v>
      </c>
    </row>
    <row r="1463" spans="1:17" ht="15" customHeight="1" x14ac:dyDescent="0.3">
      <c r="A1463" s="23" t="s">
        <v>14121</v>
      </c>
      <c r="B1463" s="23"/>
      <c r="C1463" s="23" t="s">
        <v>11311</v>
      </c>
      <c r="D1463" s="23" t="str">
        <f t="shared" si="66"/>
        <v>ORD26005440</v>
      </c>
      <c r="E1463" s="38">
        <v>46273</v>
      </c>
      <c r="F1463" s="23" t="s">
        <v>12410</v>
      </c>
      <c r="G1463" s="23" t="s">
        <v>81</v>
      </c>
      <c r="H1463" s="24">
        <v>299</v>
      </c>
      <c r="I1463" s="24">
        <v>4.49</v>
      </c>
      <c r="J1463" s="24">
        <v>0.81</v>
      </c>
      <c r="K1463" s="24">
        <v>293.7</v>
      </c>
      <c r="L1463" s="38">
        <v>46275</v>
      </c>
      <c r="M1463" s="23" t="s">
        <v>194</v>
      </c>
      <c r="N1463" s="23" t="str">
        <f>IF(COUNTIF($A$2:A1463,A1463)&gt;1,"DUP","OK")</f>
        <v>OK</v>
      </c>
      <c r="O1463" s="23" t="str">
        <f t="shared" si="67"/>
        <v>ORD26005440</v>
      </c>
      <c r="P1463" s="23" t="str">
        <f t="shared" si="68"/>
        <v>Sep</v>
      </c>
      <c r="Q1463" s="23" t="str">
        <f>IF(F1463="CAPTURE",IF(COUNTIF(orders!$A:$A,O1463)&gt;0,"Yes","NO ORDER"),"")</f>
        <v>Yes</v>
      </c>
    </row>
    <row r="1464" spans="1:17" ht="15" customHeight="1" x14ac:dyDescent="0.3">
      <c r="A1464" s="23" t="s">
        <v>14122</v>
      </c>
      <c r="B1464" s="23"/>
      <c r="C1464" s="23" t="s">
        <v>11425</v>
      </c>
      <c r="D1464" s="23" t="str">
        <f t="shared" si="66"/>
        <v>ORD26005499</v>
      </c>
      <c r="E1464" s="38">
        <v>46273</v>
      </c>
      <c r="F1464" s="23" t="s">
        <v>12410</v>
      </c>
      <c r="G1464" s="23" t="s">
        <v>75</v>
      </c>
      <c r="H1464" s="24">
        <v>7999</v>
      </c>
      <c r="I1464" s="24">
        <v>24</v>
      </c>
      <c r="J1464" s="24">
        <v>4.32</v>
      </c>
      <c r="K1464" s="24">
        <v>7970.68</v>
      </c>
      <c r="L1464" s="38">
        <v>46275</v>
      </c>
      <c r="M1464" s="23" t="s">
        <v>194</v>
      </c>
      <c r="N1464" s="23" t="str">
        <f>IF(COUNTIF($A$2:A1464,A1464)&gt;1,"DUP","OK")</f>
        <v>OK</v>
      </c>
      <c r="O1464" s="23" t="str">
        <f t="shared" si="67"/>
        <v>ORD26005499</v>
      </c>
      <c r="P1464" s="23" t="str">
        <f t="shared" si="68"/>
        <v>Sep</v>
      </c>
      <c r="Q1464" s="23" t="str">
        <f>IF(F1464="CAPTURE",IF(COUNTIF(orders!$A:$A,O1464)&gt;0,"Yes","NO ORDER"),"")</f>
        <v>Yes</v>
      </c>
    </row>
    <row r="1465" spans="1:17" ht="15" customHeight="1" x14ac:dyDescent="0.3">
      <c r="A1465" s="23" t="s">
        <v>14123</v>
      </c>
      <c r="B1465" s="23"/>
      <c r="C1465" s="23" t="s">
        <v>11482</v>
      </c>
      <c r="D1465" s="23" t="str">
        <f t="shared" si="66"/>
        <v>ORD26005528</v>
      </c>
      <c r="E1465" s="38">
        <v>46273</v>
      </c>
      <c r="F1465" s="23" t="s">
        <v>12410</v>
      </c>
      <c r="G1465" s="23" t="s">
        <v>75</v>
      </c>
      <c r="H1465" s="24">
        <v>799</v>
      </c>
      <c r="I1465" s="24">
        <v>0</v>
      </c>
      <c r="J1465" s="24">
        <v>0</v>
      </c>
      <c r="K1465" s="24">
        <v>799</v>
      </c>
      <c r="L1465" s="38">
        <v>46275</v>
      </c>
      <c r="M1465" s="23" t="s">
        <v>194</v>
      </c>
      <c r="N1465" s="23" t="str">
        <f>IF(COUNTIF($A$2:A1465,A1465)&gt;1,"DUP","OK")</f>
        <v>OK</v>
      </c>
      <c r="O1465" s="23" t="str">
        <f t="shared" si="67"/>
        <v>ORD26005528</v>
      </c>
      <c r="P1465" s="23" t="str">
        <f t="shared" si="68"/>
        <v>Sep</v>
      </c>
      <c r="Q1465" s="23" t="str">
        <f>IF(F1465="CAPTURE",IF(COUNTIF(orders!$A:$A,O1465)&gt;0,"Yes","NO ORDER"),"")</f>
        <v>Yes</v>
      </c>
    </row>
    <row r="1466" spans="1:17" ht="15" customHeight="1" x14ac:dyDescent="0.3">
      <c r="A1466" s="23" t="s">
        <v>14124</v>
      </c>
      <c r="B1466" s="23"/>
      <c r="C1466" s="23" t="s">
        <v>14125</v>
      </c>
      <c r="D1466" s="23" t="str">
        <f t="shared" si="66"/>
        <v>ORD26005571</v>
      </c>
      <c r="E1466" s="38">
        <v>46273</v>
      </c>
      <c r="F1466" s="23" t="s">
        <v>12410</v>
      </c>
      <c r="G1466" s="23" t="s">
        <v>75</v>
      </c>
      <c r="H1466" s="24">
        <v>999</v>
      </c>
      <c r="I1466" s="24">
        <v>0</v>
      </c>
      <c r="J1466" s="24">
        <v>0</v>
      </c>
      <c r="K1466" s="24">
        <v>999</v>
      </c>
      <c r="L1466" s="38">
        <v>46275</v>
      </c>
      <c r="M1466" s="23" t="s">
        <v>194</v>
      </c>
      <c r="N1466" s="23" t="str">
        <f>IF(COUNTIF($A$2:A1466,A1466)&gt;1,"DUP","OK")</f>
        <v>OK</v>
      </c>
      <c r="O1466" s="23" t="str">
        <f t="shared" si="67"/>
        <v>ORD26005571</v>
      </c>
      <c r="P1466" s="23" t="str">
        <f t="shared" si="68"/>
        <v>Sep</v>
      </c>
      <c r="Q1466" s="23" t="str">
        <f>IF(F1466="CAPTURE",IF(COUNTIF(orders!$A:$A,O1466)&gt;0,"Yes","NO ORDER"),"")</f>
        <v>Yes</v>
      </c>
    </row>
    <row r="1467" spans="1:17" ht="15" customHeight="1" x14ac:dyDescent="0.3">
      <c r="A1467" s="23" t="s">
        <v>14126</v>
      </c>
      <c r="B1467" s="23"/>
      <c r="C1467" s="23" t="s">
        <v>14127</v>
      </c>
      <c r="D1467" s="23" t="str">
        <f t="shared" si="66"/>
        <v>ORD26005574</v>
      </c>
      <c r="E1467" s="38">
        <v>46273</v>
      </c>
      <c r="F1467" s="23" t="s">
        <v>12410</v>
      </c>
      <c r="G1467" s="23" t="s">
        <v>75</v>
      </c>
      <c r="H1467" s="24">
        <v>3499</v>
      </c>
      <c r="I1467" s="24">
        <v>10.5</v>
      </c>
      <c r="J1467" s="24">
        <v>1.89</v>
      </c>
      <c r="K1467" s="24">
        <v>3486.61</v>
      </c>
      <c r="L1467" s="38">
        <v>46275</v>
      </c>
      <c r="M1467" s="23" t="s">
        <v>194</v>
      </c>
      <c r="N1467" s="23" t="str">
        <f>IF(COUNTIF($A$2:A1467,A1467)&gt;1,"DUP","OK")</f>
        <v>OK</v>
      </c>
      <c r="O1467" s="23" t="str">
        <f t="shared" si="67"/>
        <v>ORD26005574</v>
      </c>
      <c r="P1467" s="23" t="str">
        <f t="shared" si="68"/>
        <v>Sep</v>
      </c>
      <c r="Q1467" s="23" t="str">
        <f>IF(F1467="CAPTURE",IF(COUNTIF(orders!$A:$A,O1467)&gt;0,"Yes","NO ORDER"),"")</f>
        <v>Yes</v>
      </c>
    </row>
    <row r="1468" spans="1:17" ht="15" customHeight="1" x14ac:dyDescent="0.3">
      <c r="A1468" s="23" t="s">
        <v>14128</v>
      </c>
      <c r="B1468" s="23"/>
      <c r="C1468" s="23" t="s">
        <v>11603</v>
      </c>
      <c r="D1468" s="23" t="str">
        <f t="shared" si="66"/>
        <v>ORD26005591</v>
      </c>
      <c r="E1468" s="38">
        <v>46273</v>
      </c>
      <c r="F1468" s="23" t="s">
        <v>12410</v>
      </c>
      <c r="G1468" s="23" t="s">
        <v>75</v>
      </c>
      <c r="H1468" s="24">
        <v>1499</v>
      </c>
      <c r="I1468" s="24">
        <v>0</v>
      </c>
      <c r="J1468" s="24">
        <v>0</v>
      </c>
      <c r="K1468" s="24">
        <v>1499</v>
      </c>
      <c r="L1468" s="38">
        <v>46275</v>
      </c>
      <c r="M1468" s="23" t="s">
        <v>194</v>
      </c>
      <c r="N1468" s="23" t="str">
        <f>IF(COUNTIF($A$2:A1468,A1468)&gt;1,"DUP","OK")</f>
        <v>OK</v>
      </c>
      <c r="O1468" s="23" t="str">
        <f t="shared" si="67"/>
        <v>ORD26005591</v>
      </c>
      <c r="P1468" s="23" t="str">
        <f t="shared" si="68"/>
        <v>Sep</v>
      </c>
      <c r="Q1468" s="23" t="str">
        <f>IF(F1468="CAPTURE",IF(COUNTIF(orders!$A:$A,O1468)&gt;0,"Yes","NO ORDER"),"")</f>
        <v>Yes</v>
      </c>
    </row>
    <row r="1469" spans="1:17" ht="15" customHeight="1" x14ac:dyDescent="0.3">
      <c r="A1469" s="23" t="s">
        <v>14129</v>
      </c>
      <c r="B1469" s="23"/>
      <c r="C1469" s="23" t="s">
        <v>11672</v>
      </c>
      <c r="D1469" s="23" t="str">
        <f t="shared" si="66"/>
        <v>ORD26005625</v>
      </c>
      <c r="E1469" s="38">
        <v>46273</v>
      </c>
      <c r="F1469" s="23" t="s">
        <v>12410</v>
      </c>
      <c r="G1469" s="23" t="s">
        <v>81</v>
      </c>
      <c r="H1469" s="24">
        <v>2798</v>
      </c>
      <c r="I1469" s="24">
        <v>33.58</v>
      </c>
      <c r="J1469" s="24">
        <v>6.04</v>
      </c>
      <c r="K1469" s="24">
        <v>2758.38</v>
      </c>
      <c r="L1469" s="38">
        <v>46275</v>
      </c>
      <c r="M1469" s="23" t="s">
        <v>194</v>
      </c>
      <c r="N1469" s="23" t="str">
        <f>IF(COUNTIF($A$2:A1469,A1469)&gt;1,"DUP","OK")</f>
        <v>OK</v>
      </c>
      <c r="O1469" s="23" t="str">
        <f t="shared" si="67"/>
        <v>ORD26005625</v>
      </c>
      <c r="P1469" s="23" t="str">
        <f t="shared" si="68"/>
        <v>Sep</v>
      </c>
      <c r="Q1469" s="23" t="str">
        <f>IF(F1469="CAPTURE",IF(COUNTIF(orders!$A:$A,O1469)&gt;0,"Yes","NO ORDER"),"")</f>
        <v>Yes</v>
      </c>
    </row>
    <row r="1470" spans="1:17" ht="15" customHeight="1" x14ac:dyDescent="0.3">
      <c r="A1470" s="23" t="s">
        <v>14130</v>
      </c>
      <c r="B1470" s="23"/>
      <c r="C1470" s="23" t="s">
        <v>14131</v>
      </c>
      <c r="D1470" s="23" t="str">
        <f t="shared" si="66"/>
        <v>ORD26005653</v>
      </c>
      <c r="E1470" s="38">
        <v>46273</v>
      </c>
      <c r="F1470" s="23" t="s">
        <v>12410</v>
      </c>
      <c r="G1470" s="23" t="s">
        <v>79</v>
      </c>
      <c r="H1470" s="24">
        <v>499</v>
      </c>
      <c r="I1470" s="24">
        <v>8.98</v>
      </c>
      <c r="J1470" s="24">
        <v>1.62</v>
      </c>
      <c r="K1470" s="24">
        <v>488.4</v>
      </c>
      <c r="L1470" s="38">
        <v>46275</v>
      </c>
      <c r="M1470" s="23" t="s">
        <v>194</v>
      </c>
      <c r="N1470" s="23" t="str">
        <f>IF(COUNTIF($A$2:A1470,A1470)&gt;1,"DUP","OK")</f>
        <v>OK</v>
      </c>
      <c r="O1470" s="23" t="str">
        <f t="shared" si="67"/>
        <v>ORD26005653</v>
      </c>
      <c r="P1470" s="23" t="str">
        <f t="shared" si="68"/>
        <v>Sep</v>
      </c>
      <c r="Q1470" s="23" t="str">
        <f>IF(F1470="CAPTURE",IF(COUNTIF(orders!$A:$A,O1470)&gt;0,"Yes","NO ORDER"),"")</f>
        <v>Yes</v>
      </c>
    </row>
    <row r="1471" spans="1:17" ht="15" customHeight="1" x14ac:dyDescent="0.3">
      <c r="A1471" s="23" t="s">
        <v>14132</v>
      </c>
      <c r="B1471" s="23"/>
      <c r="C1471" s="23" t="s">
        <v>11823</v>
      </c>
      <c r="D1471" s="23" t="str">
        <f t="shared" si="66"/>
        <v>ORD26005703</v>
      </c>
      <c r="E1471" s="38">
        <v>46273</v>
      </c>
      <c r="F1471" s="23" t="s">
        <v>12410</v>
      </c>
      <c r="G1471" s="23" t="s">
        <v>79</v>
      </c>
      <c r="H1471" s="24">
        <v>799</v>
      </c>
      <c r="I1471" s="24">
        <v>14.38</v>
      </c>
      <c r="J1471" s="24">
        <v>2.59</v>
      </c>
      <c r="K1471" s="24">
        <v>782.03</v>
      </c>
      <c r="L1471" s="38">
        <v>46275</v>
      </c>
      <c r="M1471" s="23" t="s">
        <v>194</v>
      </c>
      <c r="N1471" s="23" t="str">
        <f>IF(COUNTIF($A$2:A1471,A1471)&gt;1,"DUP","OK")</f>
        <v>OK</v>
      </c>
      <c r="O1471" s="23" t="str">
        <f t="shared" si="67"/>
        <v>ORD26005703</v>
      </c>
      <c r="P1471" s="23" t="str">
        <f t="shared" si="68"/>
        <v>Sep</v>
      </c>
      <c r="Q1471" s="23" t="str">
        <f>IF(F1471="CAPTURE",IF(COUNTIF(orders!$A:$A,O1471)&gt;0,"Yes","NO ORDER"),"")</f>
        <v>Yes</v>
      </c>
    </row>
    <row r="1472" spans="1:17" ht="15" customHeight="1" x14ac:dyDescent="0.3">
      <c r="A1472" s="23" t="s">
        <v>14133</v>
      </c>
      <c r="B1472" s="23"/>
      <c r="C1472" s="23" t="s">
        <v>11879</v>
      </c>
      <c r="D1472" s="23" t="str">
        <f t="shared" si="66"/>
        <v>ORD26005732</v>
      </c>
      <c r="E1472" s="38">
        <v>46273</v>
      </c>
      <c r="F1472" s="23" t="s">
        <v>12410</v>
      </c>
      <c r="G1472" s="23" t="s">
        <v>81</v>
      </c>
      <c r="H1472" s="24">
        <v>799</v>
      </c>
      <c r="I1472" s="24">
        <v>11.99</v>
      </c>
      <c r="J1472" s="24">
        <v>2.16</v>
      </c>
      <c r="K1472" s="24">
        <v>784.85</v>
      </c>
      <c r="L1472" s="38">
        <v>46275</v>
      </c>
      <c r="M1472" s="23" t="s">
        <v>194</v>
      </c>
      <c r="N1472" s="23" t="str">
        <f>IF(COUNTIF($A$2:A1472,A1472)&gt;1,"DUP","OK")</f>
        <v>OK</v>
      </c>
      <c r="O1472" s="23" t="str">
        <f t="shared" si="67"/>
        <v>ORD26005732</v>
      </c>
      <c r="P1472" s="23" t="str">
        <f t="shared" si="68"/>
        <v>Sep</v>
      </c>
      <c r="Q1472" s="23" t="str">
        <f>IF(F1472="CAPTURE",IF(COUNTIF(orders!$A:$A,O1472)&gt;0,"Yes","NO ORDER"),"")</f>
        <v>Yes</v>
      </c>
    </row>
    <row r="1473" spans="1:17" ht="15" customHeight="1" x14ac:dyDescent="0.3">
      <c r="A1473" s="23" t="s">
        <v>14134</v>
      </c>
      <c r="B1473" s="23"/>
      <c r="C1473" s="23" t="s">
        <v>11942</v>
      </c>
      <c r="D1473" s="23" t="str">
        <f t="shared" si="66"/>
        <v>ORD26005764</v>
      </c>
      <c r="E1473" s="38">
        <v>46273</v>
      </c>
      <c r="F1473" s="23" t="s">
        <v>12410</v>
      </c>
      <c r="G1473" s="23" t="s">
        <v>75</v>
      </c>
      <c r="H1473" s="24">
        <v>299</v>
      </c>
      <c r="I1473" s="24">
        <v>0</v>
      </c>
      <c r="J1473" s="24">
        <v>0</v>
      </c>
      <c r="K1473" s="24">
        <v>299</v>
      </c>
      <c r="L1473" s="38">
        <v>46275</v>
      </c>
      <c r="M1473" s="23" t="s">
        <v>194</v>
      </c>
      <c r="N1473" s="23" t="str">
        <f>IF(COUNTIF($A$2:A1473,A1473)&gt;1,"DUP","OK")</f>
        <v>OK</v>
      </c>
      <c r="O1473" s="23" t="str">
        <f t="shared" si="67"/>
        <v>ORD26005764</v>
      </c>
      <c r="P1473" s="23" t="str">
        <f t="shared" si="68"/>
        <v>Sep</v>
      </c>
      <c r="Q1473" s="23" t="str">
        <f>IF(F1473="CAPTURE",IF(COUNTIF(orders!$A:$A,O1473)&gt;0,"Yes","NO ORDER"),"")</f>
        <v>Yes</v>
      </c>
    </row>
    <row r="1474" spans="1:17" ht="15" customHeight="1" x14ac:dyDescent="0.3">
      <c r="A1474" s="23" t="s">
        <v>14135</v>
      </c>
      <c r="B1474" s="23"/>
      <c r="C1474" s="23" t="s">
        <v>11965</v>
      </c>
      <c r="D1474" s="23" t="str">
        <f t="shared" ref="D1474:D1537" si="69">UPPER(SUBSTITUTE(TRIM(C1474),"-",""))</f>
        <v>ORD26005776</v>
      </c>
      <c r="E1474" s="38">
        <v>46273</v>
      </c>
      <c r="F1474" s="23" t="s">
        <v>12410</v>
      </c>
      <c r="G1474" s="23" t="s">
        <v>77</v>
      </c>
      <c r="H1474" s="24">
        <v>599</v>
      </c>
      <c r="I1474" s="24">
        <v>11.38</v>
      </c>
      <c r="J1474" s="24">
        <v>2.0499999999999998</v>
      </c>
      <c r="K1474" s="24">
        <v>585.57000000000005</v>
      </c>
      <c r="L1474" s="38">
        <v>46275</v>
      </c>
      <c r="M1474" s="23" t="s">
        <v>194</v>
      </c>
      <c r="N1474" s="23" t="str">
        <f>IF(COUNTIF($A$2:A1474,A1474)&gt;1,"DUP","OK")</f>
        <v>OK</v>
      </c>
      <c r="O1474" s="23" t="str">
        <f t="shared" ref="O1474:O1537" si="70">IF(F1474="REFUND",INDEX($D:$D,MATCH(B1474,$A:$A,0)),D1474)</f>
        <v>ORD26005776</v>
      </c>
      <c r="P1474" s="23" t="str">
        <f t="shared" ref="P1474:P1537" si="71">IF(L1474&gt;DATE(2026,9,30),"Oct-Due","Sep")</f>
        <v>Sep</v>
      </c>
      <c r="Q1474" s="23" t="str">
        <f>IF(F1474="CAPTURE",IF(COUNTIF(orders!$A:$A,O1474)&gt;0,"Yes","NO ORDER"),"")</f>
        <v>Yes</v>
      </c>
    </row>
    <row r="1475" spans="1:17" ht="15" customHeight="1" x14ac:dyDescent="0.3">
      <c r="A1475" s="23" t="s">
        <v>14136</v>
      </c>
      <c r="B1475" s="23"/>
      <c r="C1475" s="23" t="s">
        <v>12000</v>
      </c>
      <c r="D1475" s="23" t="str">
        <f t="shared" si="69"/>
        <v>ORD26005795</v>
      </c>
      <c r="E1475" s="38">
        <v>46273</v>
      </c>
      <c r="F1475" s="23" t="s">
        <v>12410</v>
      </c>
      <c r="G1475" s="23" t="s">
        <v>75</v>
      </c>
      <c r="H1475" s="24">
        <v>2098</v>
      </c>
      <c r="I1475" s="24">
        <v>6.29</v>
      </c>
      <c r="J1475" s="24">
        <v>1.1299999999999999</v>
      </c>
      <c r="K1475" s="24">
        <v>2090.58</v>
      </c>
      <c r="L1475" s="38">
        <v>46275</v>
      </c>
      <c r="M1475" s="23" t="s">
        <v>194</v>
      </c>
      <c r="N1475" s="23" t="str">
        <f>IF(COUNTIF($A$2:A1475,A1475)&gt;1,"DUP","OK")</f>
        <v>OK</v>
      </c>
      <c r="O1475" s="23" t="str">
        <f t="shared" si="70"/>
        <v>ORD26005795</v>
      </c>
      <c r="P1475" s="23" t="str">
        <f t="shared" si="71"/>
        <v>Sep</v>
      </c>
      <c r="Q1475" s="23" t="str">
        <f>IF(F1475="CAPTURE",IF(COUNTIF(orders!$A:$A,O1475)&gt;0,"Yes","NO ORDER"),"")</f>
        <v>Yes</v>
      </c>
    </row>
    <row r="1476" spans="1:17" ht="15" customHeight="1" x14ac:dyDescent="0.3">
      <c r="A1476" s="23" t="s">
        <v>14137</v>
      </c>
      <c r="B1476" s="23"/>
      <c r="C1476" s="23" t="s">
        <v>14138</v>
      </c>
      <c r="D1476" s="23" t="str">
        <f t="shared" si="69"/>
        <v>ORD26005812</v>
      </c>
      <c r="E1476" s="38">
        <v>46273</v>
      </c>
      <c r="F1476" s="23" t="s">
        <v>12410</v>
      </c>
      <c r="G1476" s="23" t="s">
        <v>81</v>
      </c>
      <c r="H1476" s="24">
        <v>4998</v>
      </c>
      <c r="I1476" s="24">
        <v>59.98</v>
      </c>
      <c r="J1476" s="24">
        <v>10.8</v>
      </c>
      <c r="K1476" s="24">
        <v>4927.22</v>
      </c>
      <c r="L1476" s="38">
        <v>46275</v>
      </c>
      <c r="M1476" s="23" t="s">
        <v>194</v>
      </c>
      <c r="N1476" s="23" t="str">
        <f>IF(COUNTIF($A$2:A1476,A1476)&gt;1,"DUP","OK")</f>
        <v>OK</v>
      </c>
      <c r="O1476" s="23" t="str">
        <f t="shared" si="70"/>
        <v>ORD26005812</v>
      </c>
      <c r="P1476" s="23" t="str">
        <f t="shared" si="71"/>
        <v>Sep</v>
      </c>
      <c r="Q1476" s="23" t="str">
        <f>IF(F1476="CAPTURE",IF(COUNTIF(orders!$A:$A,O1476)&gt;0,"Yes","NO ORDER"),"")</f>
        <v>Yes</v>
      </c>
    </row>
    <row r="1477" spans="1:17" ht="15" customHeight="1" x14ac:dyDescent="0.3">
      <c r="A1477" s="23" t="s">
        <v>14139</v>
      </c>
      <c r="B1477" s="23"/>
      <c r="C1477" s="23" t="s">
        <v>12155</v>
      </c>
      <c r="D1477" s="23" t="str">
        <f t="shared" si="69"/>
        <v>ORD26005876</v>
      </c>
      <c r="E1477" s="38">
        <v>46273</v>
      </c>
      <c r="F1477" s="23" t="s">
        <v>12410</v>
      </c>
      <c r="G1477" s="23" t="s">
        <v>79</v>
      </c>
      <c r="H1477" s="24">
        <v>10847</v>
      </c>
      <c r="I1477" s="24">
        <v>173.55</v>
      </c>
      <c r="J1477" s="24">
        <v>31.24</v>
      </c>
      <c r="K1477" s="24">
        <v>10642.21</v>
      </c>
      <c r="L1477" s="38">
        <v>46275</v>
      </c>
      <c r="M1477" s="23" t="s">
        <v>194</v>
      </c>
      <c r="N1477" s="23" t="str">
        <f>IF(COUNTIF($A$2:A1477,A1477)&gt;1,"DUP","OK")</f>
        <v>OK</v>
      </c>
      <c r="O1477" s="23" t="str">
        <f t="shared" si="70"/>
        <v>ORD26005876</v>
      </c>
      <c r="P1477" s="23" t="str">
        <f t="shared" si="71"/>
        <v>Sep</v>
      </c>
      <c r="Q1477" s="23" t="str">
        <f>IF(F1477="CAPTURE",IF(COUNTIF(orders!$A:$A,O1477)&gt;0,"Yes","NO ORDER"),"")</f>
        <v>Yes</v>
      </c>
    </row>
    <row r="1478" spans="1:17" ht="15" customHeight="1" x14ac:dyDescent="0.3">
      <c r="A1478" s="23" t="s">
        <v>14140</v>
      </c>
      <c r="B1478" s="23"/>
      <c r="C1478" s="23" t="s">
        <v>12251</v>
      </c>
      <c r="D1478" s="23" t="str">
        <f t="shared" si="69"/>
        <v>ORD26005926</v>
      </c>
      <c r="E1478" s="38">
        <v>46273</v>
      </c>
      <c r="F1478" s="23" t="s">
        <v>12410</v>
      </c>
      <c r="G1478" s="23" t="s">
        <v>75</v>
      </c>
      <c r="H1478" s="24">
        <v>11597</v>
      </c>
      <c r="I1478" s="24">
        <v>34.79</v>
      </c>
      <c r="J1478" s="24">
        <v>6.26</v>
      </c>
      <c r="K1478" s="24">
        <v>11555.95</v>
      </c>
      <c r="L1478" s="38">
        <v>46275</v>
      </c>
      <c r="M1478" s="23" t="s">
        <v>194</v>
      </c>
      <c r="N1478" s="23" t="str">
        <f>IF(COUNTIF($A$2:A1478,A1478)&gt;1,"DUP","OK")</f>
        <v>OK</v>
      </c>
      <c r="O1478" s="23" t="str">
        <f t="shared" si="70"/>
        <v>ORD26005926</v>
      </c>
      <c r="P1478" s="23" t="str">
        <f t="shared" si="71"/>
        <v>Sep</v>
      </c>
      <c r="Q1478" s="23" t="str">
        <f>IF(F1478="CAPTURE",IF(COUNTIF(orders!$A:$A,O1478)&gt;0,"Yes","NO ORDER"),"")</f>
        <v>Yes</v>
      </c>
    </row>
    <row r="1479" spans="1:17" ht="15" customHeight="1" x14ac:dyDescent="0.3">
      <c r="A1479" s="23" t="s">
        <v>14141</v>
      </c>
      <c r="B1479" s="23"/>
      <c r="C1479" s="23" t="s">
        <v>12316</v>
      </c>
      <c r="D1479" s="23" t="str">
        <f t="shared" si="69"/>
        <v>ORD26005961</v>
      </c>
      <c r="E1479" s="38">
        <v>46273</v>
      </c>
      <c r="F1479" s="23" t="s">
        <v>12410</v>
      </c>
      <c r="G1479" s="23" t="s">
        <v>75</v>
      </c>
      <c r="H1479" s="24">
        <v>999</v>
      </c>
      <c r="I1479" s="24">
        <v>0</v>
      </c>
      <c r="J1479" s="24">
        <v>0</v>
      </c>
      <c r="K1479" s="24">
        <v>999</v>
      </c>
      <c r="L1479" s="38">
        <v>46275</v>
      </c>
      <c r="M1479" s="23" t="s">
        <v>194</v>
      </c>
      <c r="N1479" s="23" t="str">
        <f>IF(COUNTIF($A$2:A1479,A1479)&gt;1,"DUP","OK")</f>
        <v>OK</v>
      </c>
      <c r="O1479" s="23" t="str">
        <f t="shared" si="70"/>
        <v>ORD26005961</v>
      </c>
      <c r="P1479" s="23" t="str">
        <f t="shared" si="71"/>
        <v>Sep</v>
      </c>
      <c r="Q1479" s="23" t="str">
        <f>IF(F1479="CAPTURE",IF(COUNTIF(orders!$A:$A,O1479)&gt;0,"Yes","NO ORDER"),"")</f>
        <v>Yes</v>
      </c>
    </row>
    <row r="1480" spans="1:17" ht="15" customHeight="1" x14ac:dyDescent="0.3">
      <c r="A1480" s="23" t="s">
        <v>14142</v>
      </c>
      <c r="B1480" s="23"/>
      <c r="C1480" s="23" t="s">
        <v>12336</v>
      </c>
      <c r="D1480" s="23" t="str">
        <f t="shared" si="69"/>
        <v>ORD26005972</v>
      </c>
      <c r="E1480" s="38">
        <v>46273</v>
      </c>
      <c r="F1480" s="23" t="s">
        <v>12410</v>
      </c>
      <c r="G1480" s="23" t="s">
        <v>75</v>
      </c>
      <c r="H1480" s="24">
        <v>4798</v>
      </c>
      <c r="I1480" s="24">
        <v>14.39</v>
      </c>
      <c r="J1480" s="24">
        <v>2.59</v>
      </c>
      <c r="K1480" s="24">
        <v>4781.0200000000004</v>
      </c>
      <c r="L1480" s="38">
        <v>46275</v>
      </c>
      <c r="M1480" s="23" t="s">
        <v>194</v>
      </c>
      <c r="N1480" s="23" t="str">
        <f>IF(COUNTIF($A$2:A1480,A1480)&gt;1,"DUP","OK")</f>
        <v>OK</v>
      </c>
      <c r="O1480" s="23" t="str">
        <f t="shared" si="70"/>
        <v>ORD26005972</v>
      </c>
      <c r="P1480" s="23" t="str">
        <f t="shared" si="71"/>
        <v>Sep</v>
      </c>
      <c r="Q1480" s="23" t="str">
        <f>IF(F1480="CAPTURE",IF(COUNTIF(orders!$A:$A,O1480)&gt;0,"Yes","NO ORDER"),"")</f>
        <v>Yes</v>
      </c>
    </row>
    <row r="1481" spans="1:17" ht="15" customHeight="1" x14ac:dyDescent="0.3">
      <c r="A1481" s="23" t="s">
        <v>14143</v>
      </c>
      <c r="B1481" s="23"/>
      <c r="C1481" s="23" t="s">
        <v>12367</v>
      </c>
      <c r="D1481" s="23" t="str">
        <f t="shared" si="69"/>
        <v>ORD26005988</v>
      </c>
      <c r="E1481" s="38">
        <v>46273</v>
      </c>
      <c r="F1481" s="23" t="s">
        <v>12410</v>
      </c>
      <c r="G1481" s="23" t="s">
        <v>75</v>
      </c>
      <c r="H1481" s="24">
        <v>7999</v>
      </c>
      <c r="I1481" s="24">
        <v>24</v>
      </c>
      <c r="J1481" s="24">
        <v>4.32</v>
      </c>
      <c r="K1481" s="24">
        <v>7970.68</v>
      </c>
      <c r="L1481" s="38">
        <v>46275</v>
      </c>
      <c r="M1481" s="23" t="s">
        <v>194</v>
      </c>
      <c r="N1481" s="23" t="str">
        <f>IF(COUNTIF($A$2:A1481,A1481)&gt;1,"DUP","OK")</f>
        <v>OK</v>
      </c>
      <c r="O1481" s="23" t="str">
        <f t="shared" si="70"/>
        <v>ORD26005988</v>
      </c>
      <c r="P1481" s="23" t="str">
        <f t="shared" si="71"/>
        <v>Sep</v>
      </c>
      <c r="Q1481" s="23" t="str">
        <f>IF(F1481="CAPTURE",IF(COUNTIF(orders!$A:$A,O1481)&gt;0,"Yes","NO ORDER"),"")</f>
        <v>Yes</v>
      </c>
    </row>
    <row r="1482" spans="1:17" ht="15" customHeight="1" x14ac:dyDescent="0.3">
      <c r="A1482" s="23" t="s">
        <v>14144</v>
      </c>
      <c r="B1482" s="23"/>
      <c r="C1482" s="23" t="s">
        <v>12378</v>
      </c>
      <c r="D1482" s="23" t="str">
        <f t="shared" si="69"/>
        <v>ORD26005993</v>
      </c>
      <c r="E1482" s="38">
        <v>46273</v>
      </c>
      <c r="F1482" s="23" t="s">
        <v>12410</v>
      </c>
      <c r="G1482" s="23" t="s">
        <v>75</v>
      </c>
      <c r="H1482" s="24">
        <v>1499</v>
      </c>
      <c r="I1482" s="24">
        <v>0</v>
      </c>
      <c r="J1482" s="24">
        <v>0</v>
      </c>
      <c r="K1482" s="24">
        <v>1499</v>
      </c>
      <c r="L1482" s="38">
        <v>46275</v>
      </c>
      <c r="M1482" s="23" t="s">
        <v>194</v>
      </c>
      <c r="N1482" s="23" t="str">
        <f>IF(COUNTIF($A$2:A1482,A1482)&gt;1,"DUP","OK")</f>
        <v>OK</v>
      </c>
      <c r="O1482" s="23" t="str">
        <f t="shared" si="70"/>
        <v>ORD26005993</v>
      </c>
      <c r="P1482" s="23" t="str">
        <f t="shared" si="71"/>
        <v>Sep</v>
      </c>
      <c r="Q1482" s="23" t="str">
        <f>IF(F1482="CAPTURE",IF(COUNTIF(orders!$A:$A,O1482)&gt;0,"Yes","NO ORDER"),"")</f>
        <v>Yes</v>
      </c>
    </row>
    <row r="1483" spans="1:17" ht="15" customHeight="1" x14ac:dyDescent="0.3">
      <c r="A1483" s="23" t="s">
        <v>14145</v>
      </c>
      <c r="B1483" s="23"/>
      <c r="C1483" s="23" t="s">
        <v>14146</v>
      </c>
      <c r="D1483" s="23" t="str">
        <f t="shared" si="69"/>
        <v>ORD26006502</v>
      </c>
      <c r="E1483" s="38">
        <v>46273</v>
      </c>
      <c r="F1483" s="23" t="s">
        <v>12410</v>
      </c>
      <c r="G1483" s="23" t="s">
        <v>79</v>
      </c>
      <c r="H1483" s="24">
        <v>1799</v>
      </c>
      <c r="I1483" s="24">
        <v>32.380000000000003</v>
      </c>
      <c r="J1483" s="24">
        <v>5.83</v>
      </c>
      <c r="K1483" s="24">
        <v>1760.79</v>
      </c>
      <c r="L1483" s="38">
        <v>46275</v>
      </c>
      <c r="M1483" s="23" t="s">
        <v>194</v>
      </c>
      <c r="N1483" s="23" t="str">
        <f>IF(COUNTIF($A$2:A1483,A1483)&gt;1,"DUP","OK")</f>
        <v>OK</v>
      </c>
      <c r="O1483" s="23" t="str">
        <f t="shared" si="70"/>
        <v>ORD26006502</v>
      </c>
      <c r="P1483" s="23" t="str">
        <f t="shared" si="71"/>
        <v>Sep</v>
      </c>
      <c r="Q1483" s="23" t="str">
        <f>IF(F1483="CAPTURE",IF(COUNTIF(orders!$A:$A,O1483)&gt;0,"Yes","NO ORDER"),"")</f>
        <v>NO ORDER</v>
      </c>
    </row>
    <row r="1484" spans="1:17" ht="15" customHeight="1" x14ac:dyDescent="0.3">
      <c r="A1484" s="23" t="s">
        <v>14147</v>
      </c>
      <c r="B1484" s="23" t="s">
        <v>12868</v>
      </c>
      <c r="C1484" s="23"/>
      <c r="D1484" s="23" t="str">
        <f t="shared" si="69"/>
        <v/>
      </c>
      <c r="E1484" s="38">
        <v>46273</v>
      </c>
      <c r="F1484" s="23" t="s">
        <v>12791</v>
      </c>
      <c r="G1484" s="23" t="s">
        <v>75</v>
      </c>
      <c r="H1484" s="24">
        <v>698</v>
      </c>
      <c r="I1484" s="24">
        <v>0</v>
      </c>
      <c r="J1484" s="24">
        <v>0</v>
      </c>
      <c r="K1484" s="24">
        <v>-698</v>
      </c>
      <c r="L1484" s="38">
        <v>46275</v>
      </c>
      <c r="M1484" s="23" t="s">
        <v>194</v>
      </c>
      <c r="N1484" s="23" t="str">
        <f>IF(COUNTIF($A$2:A1484,A1484)&gt;1,"DUP","OK")</f>
        <v>OK</v>
      </c>
      <c r="O1484" s="23" t="str">
        <f t="shared" si="70"/>
        <v>ORD26002065</v>
      </c>
      <c r="P1484" s="23" t="str">
        <f t="shared" si="71"/>
        <v>Sep</v>
      </c>
      <c r="Q1484" s="23" t="str">
        <f>IF(F1484="CAPTURE",IF(COUNTIF(orders!$A:$A,O1484)&gt;0,"Yes","NO ORDER"),"")</f>
        <v/>
      </c>
    </row>
    <row r="1485" spans="1:17" ht="15" customHeight="1" x14ac:dyDescent="0.3">
      <c r="A1485" s="23" t="s">
        <v>14148</v>
      </c>
      <c r="B1485" s="23" t="s">
        <v>13622</v>
      </c>
      <c r="C1485" s="23"/>
      <c r="D1485" s="23" t="str">
        <f t="shared" si="69"/>
        <v/>
      </c>
      <c r="E1485" s="38">
        <v>46273</v>
      </c>
      <c r="F1485" s="23" t="s">
        <v>12791</v>
      </c>
      <c r="G1485" s="23" t="s">
        <v>75</v>
      </c>
      <c r="H1485" s="24">
        <v>3798</v>
      </c>
      <c r="I1485" s="24">
        <v>0</v>
      </c>
      <c r="J1485" s="24">
        <v>0</v>
      </c>
      <c r="K1485" s="24">
        <v>-3798</v>
      </c>
      <c r="L1485" s="38">
        <v>46275</v>
      </c>
      <c r="M1485" s="23" t="s">
        <v>194</v>
      </c>
      <c r="N1485" s="23" t="str">
        <f>IF(COUNTIF($A$2:A1485,A1485)&gt;1,"DUP","OK")</f>
        <v>OK</v>
      </c>
      <c r="O1485" s="23" t="str">
        <f t="shared" si="70"/>
        <v>ORD26004550</v>
      </c>
      <c r="P1485" s="23" t="str">
        <f t="shared" si="71"/>
        <v>Sep</v>
      </c>
      <c r="Q1485" s="23" t="str">
        <f>IF(F1485="CAPTURE",IF(COUNTIF(orders!$A:$A,O1485)&gt;0,"Yes","NO ORDER"),"")</f>
        <v/>
      </c>
    </row>
    <row r="1486" spans="1:17" ht="15" customHeight="1" x14ac:dyDescent="0.3">
      <c r="A1486" s="23" t="s">
        <v>14149</v>
      </c>
      <c r="B1486" s="23" t="s">
        <v>13422</v>
      </c>
      <c r="C1486" s="23"/>
      <c r="D1486" s="23" t="str">
        <f t="shared" si="69"/>
        <v/>
      </c>
      <c r="E1486" s="38">
        <v>46273</v>
      </c>
      <c r="F1486" s="23" t="s">
        <v>12791</v>
      </c>
      <c r="G1486" s="23" t="s">
        <v>75</v>
      </c>
      <c r="H1486" s="24">
        <v>1799</v>
      </c>
      <c r="I1486" s="24">
        <v>0</v>
      </c>
      <c r="J1486" s="24">
        <v>0</v>
      </c>
      <c r="K1486" s="24">
        <v>-1799</v>
      </c>
      <c r="L1486" s="38">
        <v>46275</v>
      </c>
      <c r="M1486" s="23" t="s">
        <v>194</v>
      </c>
      <c r="N1486" s="23" t="str">
        <f>IF(COUNTIF($A$2:A1486,A1486)&gt;1,"DUP","OK")</f>
        <v>OK</v>
      </c>
      <c r="O1486" s="23" t="str">
        <f t="shared" si="70"/>
        <v>ORD26005032</v>
      </c>
      <c r="P1486" s="23" t="str">
        <f t="shared" si="71"/>
        <v>Sep</v>
      </c>
      <c r="Q1486" s="23" t="str">
        <f>IF(F1486="CAPTURE",IF(COUNTIF(orders!$A:$A,O1486)&gt;0,"Yes","NO ORDER"),"")</f>
        <v/>
      </c>
    </row>
    <row r="1487" spans="1:17" ht="15" customHeight="1" x14ac:dyDescent="0.3">
      <c r="A1487" s="23" t="s">
        <v>14150</v>
      </c>
      <c r="B1487" s="23" t="s">
        <v>13640</v>
      </c>
      <c r="C1487" s="23"/>
      <c r="D1487" s="23" t="str">
        <f t="shared" si="69"/>
        <v/>
      </c>
      <c r="E1487" s="38">
        <v>46273</v>
      </c>
      <c r="F1487" s="23" t="s">
        <v>12791</v>
      </c>
      <c r="G1487" s="23" t="s">
        <v>75</v>
      </c>
      <c r="H1487" s="24">
        <v>7999</v>
      </c>
      <c r="I1487" s="24">
        <v>0</v>
      </c>
      <c r="J1487" s="24">
        <v>0</v>
      </c>
      <c r="K1487" s="24">
        <v>-7999</v>
      </c>
      <c r="L1487" s="38">
        <v>46275</v>
      </c>
      <c r="M1487" s="23" t="s">
        <v>194</v>
      </c>
      <c r="N1487" s="23" t="str">
        <f>IF(COUNTIF($A$2:A1487,A1487)&gt;1,"DUP","OK")</f>
        <v>OK</v>
      </c>
      <c r="O1487" s="23" t="str">
        <f t="shared" si="70"/>
        <v>ORD26005009</v>
      </c>
      <c r="P1487" s="23" t="str">
        <f t="shared" si="71"/>
        <v>Sep</v>
      </c>
      <c r="Q1487" s="23" t="str">
        <f>IF(F1487="CAPTURE",IF(COUNTIF(orders!$A:$A,O1487)&gt;0,"Yes","NO ORDER"),"")</f>
        <v/>
      </c>
    </row>
    <row r="1488" spans="1:17" ht="15" customHeight="1" x14ac:dyDescent="0.3">
      <c r="A1488" s="23" t="s">
        <v>14151</v>
      </c>
      <c r="B1488" s="23" t="s">
        <v>13036</v>
      </c>
      <c r="C1488" s="23"/>
      <c r="D1488" s="23" t="str">
        <f t="shared" si="69"/>
        <v/>
      </c>
      <c r="E1488" s="38">
        <v>46273</v>
      </c>
      <c r="F1488" s="23" t="s">
        <v>12791</v>
      </c>
      <c r="G1488" s="23" t="s">
        <v>81</v>
      </c>
      <c r="H1488" s="24">
        <v>2999</v>
      </c>
      <c r="I1488" s="24">
        <v>0</v>
      </c>
      <c r="J1488" s="24">
        <v>0</v>
      </c>
      <c r="K1488" s="24">
        <v>-2999</v>
      </c>
      <c r="L1488" s="38">
        <v>46275</v>
      </c>
      <c r="M1488" s="23" t="s">
        <v>194</v>
      </c>
      <c r="N1488" s="23" t="str">
        <f>IF(COUNTIF($A$2:A1488,A1488)&gt;1,"DUP","OK")</f>
        <v>OK</v>
      </c>
      <c r="O1488" s="23" t="str">
        <f t="shared" si="70"/>
        <v>ORD26000666</v>
      </c>
      <c r="P1488" s="23" t="str">
        <f t="shared" si="71"/>
        <v>Sep</v>
      </c>
      <c r="Q1488" s="23" t="str">
        <f>IF(F1488="CAPTURE",IF(COUNTIF(orders!$A:$A,O1488)&gt;0,"Yes","NO ORDER"),"")</f>
        <v/>
      </c>
    </row>
    <row r="1489" spans="1:17" ht="15" customHeight="1" x14ac:dyDescent="0.3">
      <c r="A1489" s="23" t="s">
        <v>14152</v>
      </c>
      <c r="B1489" s="23" t="s">
        <v>13553</v>
      </c>
      <c r="C1489" s="23"/>
      <c r="D1489" s="23" t="str">
        <f t="shared" si="69"/>
        <v/>
      </c>
      <c r="E1489" s="38">
        <v>46273</v>
      </c>
      <c r="F1489" s="23" t="s">
        <v>12791</v>
      </c>
      <c r="G1489" s="23" t="s">
        <v>79</v>
      </c>
      <c r="H1489" s="24">
        <v>3298</v>
      </c>
      <c r="I1489" s="24">
        <v>0</v>
      </c>
      <c r="J1489" s="24">
        <v>0</v>
      </c>
      <c r="K1489" s="24">
        <v>-3298</v>
      </c>
      <c r="L1489" s="38">
        <v>46275</v>
      </c>
      <c r="M1489" s="23" t="s">
        <v>194</v>
      </c>
      <c r="N1489" s="23" t="str">
        <f>IF(COUNTIF($A$2:A1489,A1489)&gt;1,"DUP","OK")</f>
        <v>OK</v>
      </c>
      <c r="O1489" s="23" t="str">
        <f t="shared" si="70"/>
        <v>ORD26002492</v>
      </c>
      <c r="P1489" s="23" t="str">
        <f t="shared" si="71"/>
        <v>Sep</v>
      </c>
      <c r="Q1489" s="23" t="str">
        <f>IF(F1489="CAPTURE",IF(COUNTIF(orders!$A:$A,O1489)&gt;0,"Yes","NO ORDER"),"")</f>
        <v/>
      </c>
    </row>
    <row r="1490" spans="1:17" ht="15" customHeight="1" x14ac:dyDescent="0.3">
      <c r="A1490" s="23" t="s">
        <v>14153</v>
      </c>
      <c r="B1490" s="23" t="s">
        <v>13314</v>
      </c>
      <c r="C1490" s="23"/>
      <c r="D1490" s="23" t="str">
        <f t="shared" si="69"/>
        <v/>
      </c>
      <c r="E1490" s="38">
        <v>46273</v>
      </c>
      <c r="F1490" s="23" t="s">
        <v>12791</v>
      </c>
      <c r="G1490" s="23" t="s">
        <v>75</v>
      </c>
      <c r="H1490" s="24">
        <v>1647</v>
      </c>
      <c r="I1490" s="24">
        <v>0</v>
      </c>
      <c r="J1490" s="24">
        <v>0</v>
      </c>
      <c r="K1490" s="24">
        <v>-1647</v>
      </c>
      <c r="L1490" s="38">
        <v>46275</v>
      </c>
      <c r="M1490" s="23" t="s">
        <v>194</v>
      </c>
      <c r="N1490" s="23" t="str">
        <f>IF(COUNTIF($A$2:A1490,A1490)&gt;1,"DUP","OK")</f>
        <v>OK</v>
      </c>
      <c r="O1490" s="23" t="str">
        <f t="shared" si="70"/>
        <v>ORD26001901</v>
      </c>
      <c r="P1490" s="23" t="str">
        <f t="shared" si="71"/>
        <v>Sep</v>
      </c>
      <c r="Q1490" s="23" t="str">
        <f>IF(F1490="CAPTURE",IF(COUNTIF(orders!$A:$A,O1490)&gt;0,"Yes","NO ORDER"),"")</f>
        <v/>
      </c>
    </row>
    <row r="1491" spans="1:17" ht="15" customHeight="1" x14ac:dyDescent="0.3">
      <c r="A1491" s="23" t="s">
        <v>14154</v>
      </c>
      <c r="B1491" s="23"/>
      <c r="C1491" s="23" t="s">
        <v>257</v>
      </c>
      <c r="D1491" s="23" t="str">
        <f t="shared" si="69"/>
        <v>ORD26000004</v>
      </c>
      <c r="E1491" s="38">
        <v>46274</v>
      </c>
      <c r="F1491" s="23" t="s">
        <v>12410</v>
      </c>
      <c r="G1491" s="23" t="s">
        <v>75</v>
      </c>
      <c r="H1491" s="24">
        <v>3298</v>
      </c>
      <c r="I1491" s="24">
        <v>9.89</v>
      </c>
      <c r="J1491" s="24">
        <v>1.78</v>
      </c>
      <c r="K1491" s="24">
        <v>3286.33</v>
      </c>
      <c r="L1491" s="38">
        <v>46276</v>
      </c>
      <c r="M1491" s="23" t="s">
        <v>106</v>
      </c>
      <c r="N1491" s="23" t="str">
        <f>IF(COUNTIF($A$2:A1491,A1491)&gt;1,"DUP","OK")</f>
        <v>OK</v>
      </c>
      <c r="O1491" s="23" t="str">
        <f t="shared" si="70"/>
        <v>ORD26000004</v>
      </c>
      <c r="P1491" s="23" t="str">
        <f t="shared" si="71"/>
        <v>Sep</v>
      </c>
      <c r="Q1491" s="23" t="str">
        <f>IF(F1491="CAPTURE",IF(COUNTIF(orders!$A:$A,O1491)&gt;0,"Yes","NO ORDER"),"")</f>
        <v>Yes</v>
      </c>
    </row>
    <row r="1492" spans="1:17" ht="15" customHeight="1" x14ac:dyDescent="0.3">
      <c r="A1492" s="23" t="s">
        <v>14155</v>
      </c>
      <c r="B1492" s="23"/>
      <c r="C1492" s="23" t="s">
        <v>14156</v>
      </c>
      <c r="D1492" s="23" t="str">
        <f t="shared" si="69"/>
        <v>ORD26000016</v>
      </c>
      <c r="E1492" s="38">
        <v>46274</v>
      </c>
      <c r="F1492" s="23" t="s">
        <v>12410</v>
      </c>
      <c r="G1492" s="23" t="s">
        <v>79</v>
      </c>
      <c r="H1492" s="24">
        <v>1799</v>
      </c>
      <c r="I1492" s="24">
        <v>32.380000000000003</v>
      </c>
      <c r="J1492" s="24">
        <v>5.83</v>
      </c>
      <c r="K1492" s="24">
        <v>1760.79</v>
      </c>
      <c r="L1492" s="38">
        <v>46276</v>
      </c>
      <c r="M1492" s="23" t="s">
        <v>106</v>
      </c>
      <c r="N1492" s="23" t="str">
        <f>IF(COUNTIF($A$2:A1492,A1492)&gt;1,"DUP","OK")</f>
        <v>OK</v>
      </c>
      <c r="O1492" s="23" t="str">
        <f t="shared" si="70"/>
        <v>ORD26000016</v>
      </c>
      <c r="P1492" s="23" t="str">
        <f t="shared" si="71"/>
        <v>Sep</v>
      </c>
      <c r="Q1492" s="23" t="str">
        <f>IF(F1492="CAPTURE",IF(COUNTIF(orders!$A:$A,O1492)&gt;0,"Yes","NO ORDER"),"")</f>
        <v>Yes</v>
      </c>
    </row>
    <row r="1493" spans="1:17" ht="15" customHeight="1" x14ac:dyDescent="0.3">
      <c r="A1493" s="23" t="s">
        <v>14157</v>
      </c>
      <c r="B1493" s="23"/>
      <c r="C1493" s="23" t="s">
        <v>14158</v>
      </c>
      <c r="D1493" s="23" t="str">
        <f t="shared" si="69"/>
        <v>ORD26000074</v>
      </c>
      <c r="E1493" s="38">
        <v>46274</v>
      </c>
      <c r="F1493" s="23" t="s">
        <v>12410</v>
      </c>
      <c r="G1493" s="23" t="s">
        <v>75</v>
      </c>
      <c r="H1493" s="24">
        <v>499</v>
      </c>
      <c r="I1493" s="24">
        <v>0</v>
      </c>
      <c r="J1493" s="24">
        <v>0</v>
      </c>
      <c r="K1493" s="24">
        <v>499</v>
      </c>
      <c r="L1493" s="38">
        <v>46276</v>
      </c>
      <c r="M1493" s="23" t="s">
        <v>106</v>
      </c>
      <c r="N1493" s="23" t="str">
        <f>IF(COUNTIF($A$2:A1493,A1493)&gt;1,"DUP","OK")</f>
        <v>OK</v>
      </c>
      <c r="O1493" s="23" t="str">
        <f t="shared" si="70"/>
        <v>ORD26000074</v>
      </c>
      <c r="P1493" s="23" t="str">
        <f t="shared" si="71"/>
        <v>Sep</v>
      </c>
      <c r="Q1493" s="23" t="str">
        <f>IF(F1493="CAPTURE",IF(COUNTIF(orders!$A:$A,O1493)&gt;0,"Yes","NO ORDER"),"")</f>
        <v>Yes</v>
      </c>
    </row>
    <row r="1494" spans="1:17" ht="15" customHeight="1" x14ac:dyDescent="0.3">
      <c r="A1494" s="23" t="s">
        <v>14159</v>
      </c>
      <c r="B1494" s="23"/>
      <c r="C1494" s="23" t="s">
        <v>488</v>
      </c>
      <c r="D1494" s="23" t="str">
        <f t="shared" si="69"/>
        <v>ORD26000092</v>
      </c>
      <c r="E1494" s="38">
        <v>46274</v>
      </c>
      <c r="F1494" s="23" t="s">
        <v>12410</v>
      </c>
      <c r="G1494" s="23" t="s">
        <v>75</v>
      </c>
      <c r="H1494" s="24">
        <v>8798</v>
      </c>
      <c r="I1494" s="24">
        <v>26.39</v>
      </c>
      <c r="J1494" s="24">
        <v>4.75</v>
      </c>
      <c r="K1494" s="24">
        <v>8766.86</v>
      </c>
      <c r="L1494" s="38">
        <v>46276</v>
      </c>
      <c r="M1494" s="23" t="s">
        <v>106</v>
      </c>
      <c r="N1494" s="23" t="str">
        <f>IF(COUNTIF($A$2:A1494,A1494)&gt;1,"DUP","OK")</f>
        <v>OK</v>
      </c>
      <c r="O1494" s="23" t="str">
        <f t="shared" si="70"/>
        <v>ORD26000092</v>
      </c>
      <c r="P1494" s="23" t="str">
        <f t="shared" si="71"/>
        <v>Sep</v>
      </c>
      <c r="Q1494" s="23" t="str">
        <f>IF(F1494="CAPTURE",IF(COUNTIF(orders!$A:$A,O1494)&gt;0,"Yes","NO ORDER"),"")</f>
        <v>Yes</v>
      </c>
    </row>
    <row r="1495" spans="1:17" ht="15" customHeight="1" x14ac:dyDescent="0.3">
      <c r="A1495" s="23" t="s">
        <v>14160</v>
      </c>
      <c r="B1495" s="23"/>
      <c r="C1495" s="23" t="s">
        <v>493</v>
      </c>
      <c r="D1495" s="23" t="str">
        <f t="shared" si="69"/>
        <v>ORD26000094</v>
      </c>
      <c r="E1495" s="38">
        <v>46274</v>
      </c>
      <c r="F1495" s="23" t="s">
        <v>12410</v>
      </c>
      <c r="G1495" s="23" t="s">
        <v>75</v>
      </c>
      <c r="H1495" s="24">
        <v>7999</v>
      </c>
      <c r="I1495" s="24">
        <v>24</v>
      </c>
      <c r="J1495" s="24">
        <v>4.32</v>
      </c>
      <c r="K1495" s="24">
        <v>7970.68</v>
      </c>
      <c r="L1495" s="38">
        <v>46276</v>
      </c>
      <c r="M1495" s="23" t="s">
        <v>106</v>
      </c>
      <c r="N1495" s="23" t="str">
        <f>IF(COUNTIF($A$2:A1495,A1495)&gt;1,"DUP","OK")</f>
        <v>OK</v>
      </c>
      <c r="O1495" s="23" t="str">
        <f t="shared" si="70"/>
        <v>ORD26000094</v>
      </c>
      <c r="P1495" s="23" t="str">
        <f t="shared" si="71"/>
        <v>Sep</v>
      </c>
      <c r="Q1495" s="23" t="str">
        <f>IF(F1495="CAPTURE",IF(COUNTIF(orders!$A:$A,O1495)&gt;0,"Yes","NO ORDER"),"")</f>
        <v>Yes</v>
      </c>
    </row>
    <row r="1496" spans="1:17" ht="15" customHeight="1" x14ac:dyDescent="0.3">
      <c r="A1496" s="23" t="s">
        <v>14161</v>
      </c>
      <c r="B1496" s="23"/>
      <c r="C1496" s="23" t="s">
        <v>556</v>
      </c>
      <c r="D1496" s="23" t="str">
        <f t="shared" si="69"/>
        <v>ORD26000122</v>
      </c>
      <c r="E1496" s="38">
        <v>46274</v>
      </c>
      <c r="F1496" s="23" t="s">
        <v>12410</v>
      </c>
      <c r="G1496" s="23" t="s">
        <v>75</v>
      </c>
      <c r="H1496" s="24">
        <v>1447</v>
      </c>
      <c r="I1496" s="24">
        <v>0</v>
      </c>
      <c r="J1496" s="24">
        <v>0</v>
      </c>
      <c r="K1496" s="24">
        <v>1447</v>
      </c>
      <c r="L1496" s="38">
        <v>46276</v>
      </c>
      <c r="M1496" s="23" t="s">
        <v>106</v>
      </c>
      <c r="N1496" s="23" t="str">
        <f>IF(COUNTIF($A$2:A1496,A1496)&gt;1,"DUP","OK")</f>
        <v>OK</v>
      </c>
      <c r="O1496" s="23" t="str">
        <f t="shared" si="70"/>
        <v>ORD26000122</v>
      </c>
      <c r="P1496" s="23" t="str">
        <f t="shared" si="71"/>
        <v>Sep</v>
      </c>
      <c r="Q1496" s="23" t="str">
        <f>IF(F1496="CAPTURE",IF(COUNTIF(orders!$A:$A,O1496)&gt;0,"Yes","NO ORDER"),"")</f>
        <v>Yes</v>
      </c>
    </row>
    <row r="1497" spans="1:17" ht="15" customHeight="1" x14ac:dyDescent="0.3">
      <c r="A1497" s="23" t="s">
        <v>14162</v>
      </c>
      <c r="B1497" s="23"/>
      <c r="C1497" s="23" t="s">
        <v>575</v>
      </c>
      <c r="D1497" s="23" t="str">
        <f t="shared" si="69"/>
        <v>ORD26000129</v>
      </c>
      <c r="E1497" s="38">
        <v>46274</v>
      </c>
      <c r="F1497" s="23" t="s">
        <v>12410</v>
      </c>
      <c r="G1497" s="23" t="s">
        <v>79</v>
      </c>
      <c r="H1497" s="24">
        <v>349</v>
      </c>
      <c r="I1497" s="24">
        <v>6.28</v>
      </c>
      <c r="J1497" s="24">
        <v>1.1299999999999999</v>
      </c>
      <c r="K1497" s="24">
        <v>341.59</v>
      </c>
      <c r="L1497" s="38">
        <v>46276</v>
      </c>
      <c r="M1497" s="23" t="s">
        <v>106</v>
      </c>
      <c r="N1497" s="23" t="str">
        <f>IF(COUNTIF($A$2:A1497,A1497)&gt;1,"DUP","OK")</f>
        <v>OK</v>
      </c>
      <c r="O1497" s="23" t="str">
        <f t="shared" si="70"/>
        <v>ORD26000129</v>
      </c>
      <c r="P1497" s="23" t="str">
        <f t="shared" si="71"/>
        <v>Sep</v>
      </c>
      <c r="Q1497" s="23" t="str">
        <f>IF(F1497="CAPTURE",IF(COUNTIF(orders!$A:$A,O1497)&gt;0,"Yes","NO ORDER"),"")</f>
        <v>Yes</v>
      </c>
    </row>
    <row r="1498" spans="1:17" ht="15" customHeight="1" x14ac:dyDescent="0.3">
      <c r="A1498" s="23" t="s">
        <v>14163</v>
      </c>
      <c r="B1498" s="23"/>
      <c r="C1498" s="23" t="s">
        <v>594</v>
      </c>
      <c r="D1498" s="23" t="str">
        <f t="shared" si="69"/>
        <v>ORD26000137</v>
      </c>
      <c r="E1498" s="38">
        <v>46274</v>
      </c>
      <c r="F1498" s="23" t="s">
        <v>12410</v>
      </c>
      <c r="G1498" s="23" t="s">
        <v>79</v>
      </c>
      <c r="H1498" s="24">
        <v>1298</v>
      </c>
      <c r="I1498" s="24">
        <v>23.36</v>
      </c>
      <c r="J1498" s="24">
        <v>4.2</v>
      </c>
      <c r="K1498" s="24">
        <v>1270.44</v>
      </c>
      <c r="L1498" s="38">
        <v>46276</v>
      </c>
      <c r="M1498" s="23" t="s">
        <v>106</v>
      </c>
      <c r="N1498" s="23" t="str">
        <f>IF(COUNTIF($A$2:A1498,A1498)&gt;1,"DUP","OK")</f>
        <v>OK</v>
      </c>
      <c r="O1498" s="23" t="str">
        <f t="shared" si="70"/>
        <v>ORD26000137</v>
      </c>
      <c r="P1498" s="23" t="str">
        <f t="shared" si="71"/>
        <v>Sep</v>
      </c>
      <c r="Q1498" s="23" t="str">
        <f>IF(F1498="CAPTURE",IF(COUNTIF(orders!$A:$A,O1498)&gt;0,"Yes","NO ORDER"),"")</f>
        <v>Yes</v>
      </c>
    </row>
    <row r="1499" spans="1:17" ht="15" customHeight="1" x14ac:dyDescent="0.3">
      <c r="A1499" s="23" t="s">
        <v>14164</v>
      </c>
      <c r="B1499" s="23"/>
      <c r="C1499" s="23" t="s">
        <v>735</v>
      </c>
      <c r="D1499" s="23" t="str">
        <f t="shared" si="69"/>
        <v>ORD26000199</v>
      </c>
      <c r="E1499" s="38">
        <v>46274</v>
      </c>
      <c r="F1499" s="23" t="s">
        <v>12410</v>
      </c>
      <c r="G1499" s="23" t="s">
        <v>81</v>
      </c>
      <c r="H1499" s="24">
        <v>9798</v>
      </c>
      <c r="I1499" s="24">
        <v>117.58</v>
      </c>
      <c r="J1499" s="24">
        <v>21.16</v>
      </c>
      <c r="K1499" s="24">
        <v>9659.26</v>
      </c>
      <c r="L1499" s="38">
        <v>46276</v>
      </c>
      <c r="M1499" s="23" t="s">
        <v>106</v>
      </c>
      <c r="N1499" s="23" t="str">
        <f>IF(COUNTIF($A$2:A1499,A1499)&gt;1,"DUP","OK")</f>
        <v>OK</v>
      </c>
      <c r="O1499" s="23" t="str">
        <f t="shared" si="70"/>
        <v>ORD26000199</v>
      </c>
      <c r="P1499" s="23" t="str">
        <f t="shared" si="71"/>
        <v>Sep</v>
      </c>
      <c r="Q1499" s="23" t="str">
        <f>IF(F1499="CAPTURE",IF(COUNTIF(orders!$A:$A,O1499)&gt;0,"Yes","NO ORDER"),"")</f>
        <v>Yes</v>
      </c>
    </row>
    <row r="1500" spans="1:17" ht="15" customHeight="1" x14ac:dyDescent="0.3">
      <c r="A1500" s="23" t="s">
        <v>14165</v>
      </c>
      <c r="B1500" s="23"/>
      <c r="C1500" s="23" t="s">
        <v>14166</v>
      </c>
      <c r="D1500" s="23" t="str">
        <f t="shared" si="69"/>
        <v>ORD26000205</v>
      </c>
      <c r="E1500" s="38">
        <v>46274</v>
      </c>
      <c r="F1500" s="23" t="s">
        <v>12410</v>
      </c>
      <c r="G1500" s="23" t="s">
        <v>75</v>
      </c>
      <c r="H1500" s="24">
        <v>4298</v>
      </c>
      <c r="I1500" s="24">
        <v>12.89</v>
      </c>
      <c r="J1500" s="24">
        <v>2.3199999999999998</v>
      </c>
      <c r="K1500" s="24">
        <v>4282.79</v>
      </c>
      <c r="L1500" s="38">
        <v>46276</v>
      </c>
      <c r="M1500" s="23" t="s">
        <v>106</v>
      </c>
      <c r="N1500" s="23" t="str">
        <f>IF(COUNTIF($A$2:A1500,A1500)&gt;1,"DUP","OK")</f>
        <v>OK</v>
      </c>
      <c r="O1500" s="23" t="str">
        <f t="shared" si="70"/>
        <v>ORD26000205</v>
      </c>
      <c r="P1500" s="23" t="str">
        <f t="shared" si="71"/>
        <v>Sep</v>
      </c>
      <c r="Q1500" s="23" t="str">
        <f>IF(F1500="CAPTURE",IF(COUNTIF(orders!$A:$A,O1500)&gt;0,"Yes","NO ORDER"),"")</f>
        <v>Yes</v>
      </c>
    </row>
    <row r="1501" spans="1:17" ht="15" customHeight="1" x14ac:dyDescent="0.3">
      <c r="A1501" s="23" t="s">
        <v>14167</v>
      </c>
      <c r="B1501" s="23"/>
      <c r="C1501" s="23" t="s">
        <v>905</v>
      </c>
      <c r="D1501" s="23" t="str">
        <f t="shared" si="69"/>
        <v>ORD26000271</v>
      </c>
      <c r="E1501" s="38">
        <v>46274</v>
      </c>
      <c r="F1501" s="23" t="s">
        <v>12410</v>
      </c>
      <c r="G1501" s="23" t="s">
        <v>77</v>
      </c>
      <c r="H1501" s="24">
        <v>3499</v>
      </c>
      <c r="I1501" s="24">
        <v>59.48</v>
      </c>
      <c r="J1501" s="24">
        <v>10.71</v>
      </c>
      <c r="K1501" s="24">
        <v>3428.81</v>
      </c>
      <c r="L1501" s="38">
        <v>46276</v>
      </c>
      <c r="M1501" s="23" t="s">
        <v>106</v>
      </c>
      <c r="N1501" s="23" t="str">
        <f>IF(COUNTIF($A$2:A1501,A1501)&gt;1,"DUP","OK")</f>
        <v>OK</v>
      </c>
      <c r="O1501" s="23" t="str">
        <f t="shared" si="70"/>
        <v>ORD26000271</v>
      </c>
      <c r="P1501" s="23" t="str">
        <f t="shared" si="71"/>
        <v>Sep</v>
      </c>
      <c r="Q1501" s="23" t="str">
        <f>IF(F1501="CAPTURE",IF(COUNTIF(orders!$A:$A,O1501)&gt;0,"Yes","NO ORDER"),"")</f>
        <v>Yes</v>
      </c>
    </row>
    <row r="1502" spans="1:17" ht="15" customHeight="1" x14ac:dyDescent="0.3">
      <c r="A1502" s="23" t="s">
        <v>14168</v>
      </c>
      <c r="B1502" s="23"/>
      <c r="C1502" s="23" t="s">
        <v>1086</v>
      </c>
      <c r="D1502" s="23" t="str">
        <f t="shared" si="69"/>
        <v>ORD26000354</v>
      </c>
      <c r="E1502" s="38">
        <v>46274</v>
      </c>
      <c r="F1502" s="23" t="s">
        <v>12410</v>
      </c>
      <c r="G1502" s="23" t="s">
        <v>77</v>
      </c>
      <c r="H1502" s="24">
        <v>1598</v>
      </c>
      <c r="I1502" s="24">
        <v>30.36</v>
      </c>
      <c r="J1502" s="24">
        <v>5.46</v>
      </c>
      <c r="K1502" s="24">
        <v>1562.18</v>
      </c>
      <c r="L1502" s="38">
        <v>46276</v>
      </c>
      <c r="M1502" s="23" t="s">
        <v>106</v>
      </c>
      <c r="N1502" s="23" t="str">
        <f>IF(COUNTIF($A$2:A1502,A1502)&gt;1,"DUP","OK")</f>
        <v>OK</v>
      </c>
      <c r="O1502" s="23" t="str">
        <f t="shared" si="70"/>
        <v>ORD26000354</v>
      </c>
      <c r="P1502" s="23" t="str">
        <f t="shared" si="71"/>
        <v>Sep</v>
      </c>
      <c r="Q1502" s="23" t="str">
        <f>IF(F1502="CAPTURE",IF(COUNTIF(orders!$A:$A,O1502)&gt;0,"Yes","NO ORDER"),"")</f>
        <v>Yes</v>
      </c>
    </row>
    <row r="1503" spans="1:17" ht="15" customHeight="1" x14ac:dyDescent="0.3">
      <c r="A1503" s="23" t="s">
        <v>14169</v>
      </c>
      <c r="B1503" s="23"/>
      <c r="C1503" s="23" t="s">
        <v>1115</v>
      </c>
      <c r="D1503" s="23" t="str">
        <f t="shared" si="69"/>
        <v>ORD26000367</v>
      </c>
      <c r="E1503" s="38">
        <v>46274</v>
      </c>
      <c r="F1503" s="23" t="s">
        <v>12410</v>
      </c>
      <c r="G1503" s="23" t="s">
        <v>75</v>
      </c>
      <c r="H1503" s="24">
        <v>4998</v>
      </c>
      <c r="I1503" s="24">
        <v>14.99</v>
      </c>
      <c r="J1503" s="24">
        <v>2.7</v>
      </c>
      <c r="K1503" s="24">
        <v>4980.3100000000004</v>
      </c>
      <c r="L1503" s="38">
        <v>46276</v>
      </c>
      <c r="M1503" s="23" t="s">
        <v>106</v>
      </c>
      <c r="N1503" s="23" t="str">
        <f>IF(COUNTIF($A$2:A1503,A1503)&gt;1,"DUP","OK")</f>
        <v>OK</v>
      </c>
      <c r="O1503" s="23" t="str">
        <f t="shared" si="70"/>
        <v>ORD26000367</v>
      </c>
      <c r="P1503" s="23" t="str">
        <f t="shared" si="71"/>
        <v>Sep</v>
      </c>
      <c r="Q1503" s="23" t="str">
        <f>IF(F1503="CAPTURE",IF(COUNTIF(orders!$A:$A,O1503)&gt;0,"Yes","NO ORDER"),"")</f>
        <v>Yes</v>
      </c>
    </row>
    <row r="1504" spans="1:17" ht="15" customHeight="1" x14ac:dyDescent="0.3">
      <c r="A1504" s="23" t="s">
        <v>14170</v>
      </c>
      <c r="B1504" s="23"/>
      <c r="C1504" s="23" t="s">
        <v>1117</v>
      </c>
      <c r="D1504" s="23" t="str">
        <f t="shared" si="69"/>
        <v>ORD26000368</v>
      </c>
      <c r="E1504" s="38">
        <v>46274</v>
      </c>
      <c r="F1504" s="23" t="s">
        <v>12410</v>
      </c>
      <c r="G1504" s="23" t="s">
        <v>79</v>
      </c>
      <c r="H1504" s="24">
        <v>10498</v>
      </c>
      <c r="I1504" s="24">
        <v>167.97</v>
      </c>
      <c r="J1504" s="24">
        <v>30.23</v>
      </c>
      <c r="K1504" s="24">
        <v>10299.799999999999</v>
      </c>
      <c r="L1504" s="38">
        <v>46276</v>
      </c>
      <c r="M1504" s="23" t="s">
        <v>106</v>
      </c>
      <c r="N1504" s="23" t="str">
        <f>IF(COUNTIF($A$2:A1504,A1504)&gt;1,"DUP","OK")</f>
        <v>OK</v>
      </c>
      <c r="O1504" s="23" t="str">
        <f t="shared" si="70"/>
        <v>ORD26000368</v>
      </c>
      <c r="P1504" s="23" t="str">
        <f t="shared" si="71"/>
        <v>Sep</v>
      </c>
      <c r="Q1504" s="23" t="str">
        <f>IF(F1504="CAPTURE",IF(COUNTIF(orders!$A:$A,O1504)&gt;0,"Yes","NO ORDER"),"")</f>
        <v>Yes</v>
      </c>
    </row>
    <row r="1505" spans="1:17" ht="15" customHeight="1" x14ac:dyDescent="0.3">
      <c r="A1505" s="23" t="s">
        <v>14171</v>
      </c>
      <c r="B1505" s="23"/>
      <c r="C1505" s="23" t="s">
        <v>1119</v>
      </c>
      <c r="D1505" s="23" t="str">
        <f t="shared" si="69"/>
        <v>ORD26000369</v>
      </c>
      <c r="E1505" s="38">
        <v>46274</v>
      </c>
      <c r="F1505" s="23" t="s">
        <v>12410</v>
      </c>
      <c r="G1505" s="23" t="s">
        <v>75</v>
      </c>
      <c r="H1505" s="24">
        <v>6498</v>
      </c>
      <c r="I1505" s="24">
        <v>19.489999999999998</v>
      </c>
      <c r="J1505" s="24">
        <v>3.51</v>
      </c>
      <c r="K1505" s="24">
        <v>6475</v>
      </c>
      <c r="L1505" s="38">
        <v>46276</v>
      </c>
      <c r="M1505" s="23" t="s">
        <v>106</v>
      </c>
      <c r="N1505" s="23" t="str">
        <f>IF(COUNTIF($A$2:A1505,A1505)&gt;1,"DUP","OK")</f>
        <v>OK</v>
      </c>
      <c r="O1505" s="23" t="str">
        <f t="shared" si="70"/>
        <v>ORD26000369</v>
      </c>
      <c r="P1505" s="23" t="str">
        <f t="shared" si="71"/>
        <v>Sep</v>
      </c>
      <c r="Q1505" s="23" t="str">
        <f>IF(F1505="CAPTURE",IF(COUNTIF(orders!$A:$A,O1505)&gt;0,"Yes","NO ORDER"),"")</f>
        <v>Yes</v>
      </c>
    </row>
    <row r="1506" spans="1:17" ht="15" customHeight="1" x14ac:dyDescent="0.3">
      <c r="A1506" s="23" t="s">
        <v>14172</v>
      </c>
      <c r="B1506" s="23"/>
      <c r="C1506" s="23" t="s">
        <v>1176</v>
      </c>
      <c r="D1506" s="23" t="str">
        <f t="shared" si="69"/>
        <v>ORD26000396</v>
      </c>
      <c r="E1506" s="38">
        <v>46274</v>
      </c>
      <c r="F1506" s="23" t="s">
        <v>12410</v>
      </c>
      <c r="G1506" s="23" t="s">
        <v>75</v>
      </c>
      <c r="H1506" s="24">
        <v>799</v>
      </c>
      <c r="I1506" s="24">
        <v>0</v>
      </c>
      <c r="J1506" s="24">
        <v>0</v>
      </c>
      <c r="K1506" s="24">
        <v>799</v>
      </c>
      <c r="L1506" s="38">
        <v>46276</v>
      </c>
      <c r="M1506" s="23" t="s">
        <v>106</v>
      </c>
      <c r="N1506" s="23" t="str">
        <f>IF(COUNTIF($A$2:A1506,A1506)&gt;1,"DUP","OK")</f>
        <v>OK</v>
      </c>
      <c r="O1506" s="23" t="str">
        <f t="shared" si="70"/>
        <v>ORD26000396</v>
      </c>
      <c r="P1506" s="23" t="str">
        <f t="shared" si="71"/>
        <v>Sep</v>
      </c>
      <c r="Q1506" s="23" t="str">
        <f>IF(F1506="CAPTURE",IF(COUNTIF(orders!$A:$A,O1506)&gt;0,"Yes","NO ORDER"),"")</f>
        <v>Yes</v>
      </c>
    </row>
    <row r="1507" spans="1:17" ht="15" customHeight="1" x14ac:dyDescent="0.3">
      <c r="A1507" s="23" t="s">
        <v>14173</v>
      </c>
      <c r="B1507" s="23"/>
      <c r="C1507" s="23" t="s">
        <v>1378</v>
      </c>
      <c r="D1507" s="23" t="str">
        <f t="shared" si="69"/>
        <v>ORD26000488</v>
      </c>
      <c r="E1507" s="38">
        <v>46274</v>
      </c>
      <c r="F1507" s="23" t="s">
        <v>12410</v>
      </c>
      <c r="G1507" s="23" t="s">
        <v>81</v>
      </c>
      <c r="H1507" s="24">
        <v>4999</v>
      </c>
      <c r="I1507" s="24">
        <v>59.99</v>
      </c>
      <c r="J1507" s="24">
        <v>10.8</v>
      </c>
      <c r="K1507" s="24">
        <v>4928.21</v>
      </c>
      <c r="L1507" s="38">
        <v>46276</v>
      </c>
      <c r="M1507" s="23" t="s">
        <v>106</v>
      </c>
      <c r="N1507" s="23" t="str">
        <f>IF(COUNTIF($A$2:A1507,A1507)&gt;1,"DUP","OK")</f>
        <v>OK</v>
      </c>
      <c r="O1507" s="23" t="str">
        <f t="shared" si="70"/>
        <v>ORD26000488</v>
      </c>
      <c r="P1507" s="23" t="str">
        <f t="shared" si="71"/>
        <v>Sep</v>
      </c>
      <c r="Q1507" s="23" t="str">
        <f>IF(F1507="CAPTURE",IF(COUNTIF(orders!$A:$A,O1507)&gt;0,"Yes","NO ORDER"),"")</f>
        <v>Yes</v>
      </c>
    </row>
    <row r="1508" spans="1:17" ht="15" customHeight="1" x14ac:dyDescent="0.3">
      <c r="A1508" s="23" t="s">
        <v>14174</v>
      </c>
      <c r="B1508" s="23"/>
      <c r="C1508" s="23" t="s">
        <v>1510</v>
      </c>
      <c r="D1508" s="23" t="str">
        <f t="shared" si="69"/>
        <v>ORD26000547</v>
      </c>
      <c r="E1508" s="38">
        <v>46274</v>
      </c>
      <c r="F1508" s="23" t="s">
        <v>12410</v>
      </c>
      <c r="G1508" s="23" t="s">
        <v>75</v>
      </c>
      <c r="H1508" s="24">
        <v>4498</v>
      </c>
      <c r="I1508" s="24">
        <v>13.49</v>
      </c>
      <c r="J1508" s="24">
        <v>2.4300000000000002</v>
      </c>
      <c r="K1508" s="24">
        <v>4482.08</v>
      </c>
      <c r="L1508" s="38">
        <v>46276</v>
      </c>
      <c r="M1508" s="23" t="s">
        <v>106</v>
      </c>
      <c r="N1508" s="23" t="str">
        <f>IF(COUNTIF($A$2:A1508,A1508)&gt;1,"DUP","OK")</f>
        <v>OK</v>
      </c>
      <c r="O1508" s="23" t="str">
        <f t="shared" si="70"/>
        <v>ORD26000547</v>
      </c>
      <c r="P1508" s="23" t="str">
        <f t="shared" si="71"/>
        <v>Sep</v>
      </c>
      <c r="Q1508" s="23" t="str">
        <f>IF(F1508="CAPTURE",IF(COUNTIF(orders!$A:$A,O1508)&gt;0,"Yes","NO ORDER"),"")</f>
        <v>Yes</v>
      </c>
    </row>
    <row r="1509" spans="1:17" ht="15" customHeight="1" x14ac:dyDescent="0.3">
      <c r="A1509" s="23" t="s">
        <v>14175</v>
      </c>
      <c r="B1509" s="23"/>
      <c r="C1509" s="23" t="s">
        <v>1542</v>
      </c>
      <c r="D1509" s="23" t="str">
        <f t="shared" si="69"/>
        <v>ORD26000562</v>
      </c>
      <c r="E1509" s="38">
        <v>46274</v>
      </c>
      <c r="F1509" s="23" t="s">
        <v>12410</v>
      </c>
      <c r="G1509" s="23" t="s">
        <v>79</v>
      </c>
      <c r="H1509" s="24">
        <v>5798</v>
      </c>
      <c r="I1509" s="24">
        <v>92.77</v>
      </c>
      <c r="J1509" s="24">
        <v>16.7</v>
      </c>
      <c r="K1509" s="24">
        <v>5688.53</v>
      </c>
      <c r="L1509" s="38">
        <v>46276</v>
      </c>
      <c r="M1509" s="23" t="s">
        <v>106</v>
      </c>
      <c r="N1509" s="23" t="str">
        <f>IF(COUNTIF($A$2:A1509,A1509)&gt;1,"DUP","OK")</f>
        <v>OK</v>
      </c>
      <c r="O1509" s="23" t="str">
        <f t="shared" si="70"/>
        <v>ORD26000562</v>
      </c>
      <c r="P1509" s="23" t="str">
        <f t="shared" si="71"/>
        <v>Sep</v>
      </c>
      <c r="Q1509" s="23" t="str">
        <f>IF(F1509="CAPTURE",IF(COUNTIF(orders!$A:$A,O1509)&gt;0,"Yes","NO ORDER"),"")</f>
        <v>Yes</v>
      </c>
    </row>
    <row r="1510" spans="1:17" ht="15" customHeight="1" x14ac:dyDescent="0.3">
      <c r="A1510" s="23" t="s">
        <v>14176</v>
      </c>
      <c r="B1510" s="23"/>
      <c r="C1510" s="23" t="s">
        <v>1550</v>
      </c>
      <c r="D1510" s="23" t="str">
        <f t="shared" si="69"/>
        <v>ORD26000566</v>
      </c>
      <c r="E1510" s="38">
        <v>46274</v>
      </c>
      <c r="F1510" s="23" t="s">
        <v>12410</v>
      </c>
      <c r="G1510" s="23" t="s">
        <v>79</v>
      </c>
      <c r="H1510" s="24">
        <v>9797</v>
      </c>
      <c r="I1510" s="24">
        <v>156.75</v>
      </c>
      <c r="J1510" s="24">
        <v>28.22</v>
      </c>
      <c r="K1510" s="24">
        <v>9612.0300000000007</v>
      </c>
      <c r="L1510" s="38">
        <v>46276</v>
      </c>
      <c r="M1510" s="23" t="s">
        <v>106</v>
      </c>
      <c r="N1510" s="23" t="str">
        <f>IF(COUNTIF($A$2:A1510,A1510)&gt;1,"DUP","OK")</f>
        <v>OK</v>
      </c>
      <c r="O1510" s="23" t="str">
        <f t="shared" si="70"/>
        <v>ORD26000566</v>
      </c>
      <c r="P1510" s="23" t="str">
        <f t="shared" si="71"/>
        <v>Sep</v>
      </c>
      <c r="Q1510" s="23" t="str">
        <f>IF(F1510="CAPTURE",IF(COUNTIF(orders!$A:$A,O1510)&gt;0,"Yes","NO ORDER"),"")</f>
        <v>Yes</v>
      </c>
    </row>
    <row r="1511" spans="1:17" ht="15" customHeight="1" x14ac:dyDescent="0.3">
      <c r="A1511" s="23" t="s">
        <v>14177</v>
      </c>
      <c r="B1511" s="23"/>
      <c r="C1511" s="23" t="s">
        <v>14178</v>
      </c>
      <c r="D1511" s="23" t="str">
        <f t="shared" si="69"/>
        <v>ORD26000569</v>
      </c>
      <c r="E1511" s="38">
        <v>46274</v>
      </c>
      <c r="F1511" s="23" t="s">
        <v>12410</v>
      </c>
      <c r="G1511" s="23" t="s">
        <v>79</v>
      </c>
      <c r="H1511" s="24">
        <v>2598</v>
      </c>
      <c r="I1511" s="24">
        <v>41.57</v>
      </c>
      <c r="J1511" s="24">
        <v>7.48</v>
      </c>
      <c r="K1511" s="24">
        <v>2548.9499999999998</v>
      </c>
      <c r="L1511" s="38">
        <v>46276</v>
      </c>
      <c r="M1511" s="23" t="s">
        <v>106</v>
      </c>
      <c r="N1511" s="23" t="str">
        <f>IF(COUNTIF($A$2:A1511,A1511)&gt;1,"DUP","OK")</f>
        <v>OK</v>
      </c>
      <c r="O1511" s="23" t="str">
        <f t="shared" si="70"/>
        <v>ORD26000569</v>
      </c>
      <c r="P1511" s="23" t="str">
        <f t="shared" si="71"/>
        <v>Sep</v>
      </c>
      <c r="Q1511" s="23" t="str">
        <f>IF(F1511="CAPTURE",IF(COUNTIF(orders!$A:$A,O1511)&gt;0,"Yes","NO ORDER"),"")</f>
        <v>Yes</v>
      </c>
    </row>
    <row r="1512" spans="1:17" ht="15" customHeight="1" x14ac:dyDescent="0.3">
      <c r="A1512" s="23" t="s">
        <v>14179</v>
      </c>
      <c r="B1512" s="23"/>
      <c r="C1512" s="23" t="s">
        <v>1595</v>
      </c>
      <c r="D1512" s="23" t="str">
        <f t="shared" si="69"/>
        <v>ORD26000587</v>
      </c>
      <c r="E1512" s="38">
        <v>46274</v>
      </c>
      <c r="F1512" s="23" t="s">
        <v>12410</v>
      </c>
      <c r="G1512" s="23" t="s">
        <v>75</v>
      </c>
      <c r="H1512" s="24">
        <v>3499</v>
      </c>
      <c r="I1512" s="24">
        <v>10.5</v>
      </c>
      <c r="J1512" s="24">
        <v>1.89</v>
      </c>
      <c r="K1512" s="24">
        <v>3486.61</v>
      </c>
      <c r="L1512" s="38">
        <v>46276</v>
      </c>
      <c r="M1512" s="23" t="s">
        <v>106</v>
      </c>
      <c r="N1512" s="23" t="str">
        <f>IF(COUNTIF($A$2:A1512,A1512)&gt;1,"DUP","OK")</f>
        <v>OK</v>
      </c>
      <c r="O1512" s="23" t="str">
        <f t="shared" si="70"/>
        <v>ORD26000587</v>
      </c>
      <c r="P1512" s="23" t="str">
        <f t="shared" si="71"/>
        <v>Sep</v>
      </c>
      <c r="Q1512" s="23" t="str">
        <f>IF(F1512="CAPTURE",IF(COUNTIF(orders!$A:$A,O1512)&gt;0,"Yes","NO ORDER"),"")</f>
        <v>Yes</v>
      </c>
    </row>
    <row r="1513" spans="1:17" ht="15" customHeight="1" x14ac:dyDescent="0.3">
      <c r="A1513" s="23" t="s">
        <v>14180</v>
      </c>
      <c r="B1513" s="23"/>
      <c r="C1513" s="23" t="s">
        <v>1778</v>
      </c>
      <c r="D1513" s="23" t="str">
        <f t="shared" si="69"/>
        <v>ORD26000672</v>
      </c>
      <c r="E1513" s="38">
        <v>46274</v>
      </c>
      <c r="F1513" s="23" t="s">
        <v>12410</v>
      </c>
      <c r="G1513" s="23" t="s">
        <v>75</v>
      </c>
      <c r="H1513" s="24">
        <v>499</v>
      </c>
      <c r="I1513" s="24">
        <v>0</v>
      </c>
      <c r="J1513" s="24">
        <v>0</v>
      </c>
      <c r="K1513" s="24">
        <v>499</v>
      </c>
      <c r="L1513" s="38">
        <v>46276</v>
      </c>
      <c r="M1513" s="23" t="s">
        <v>106</v>
      </c>
      <c r="N1513" s="23" t="str">
        <f>IF(COUNTIF($A$2:A1513,A1513)&gt;1,"DUP","OK")</f>
        <v>OK</v>
      </c>
      <c r="O1513" s="23" t="str">
        <f t="shared" si="70"/>
        <v>ORD26000672</v>
      </c>
      <c r="P1513" s="23" t="str">
        <f t="shared" si="71"/>
        <v>Sep</v>
      </c>
      <c r="Q1513" s="23" t="str">
        <f>IF(F1513="CAPTURE",IF(COUNTIF(orders!$A:$A,O1513)&gt;0,"Yes","NO ORDER"),"")</f>
        <v>Yes</v>
      </c>
    </row>
    <row r="1514" spans="1:17" ht="15" customHeight="1" x14ac:dyDescent="0.3">
      <c r="A1514" s="23" t="s">
        <v>14181</v>
      </c>
      <c r="B1514" s="23"/>
      <c r="C1514" s="23" t="s">
        <v>1788</v>
      </c>
      <c r="D1514" s="23" t="str">
        <f t="shared" si="69"/>
        <v>ORD26000677</v>
      </c>
      <c r="E1514" s="38">
        <v>46274</v>
      </c>
      <c r="F1514" s="23" t="s">
        <v>12410</v>
      </c>
      <c r="G1514" s="23" t="s">
        <v>75</v>
      </c>
      <c r="H1514" s="24">
        <v>3298</v>
      </c>
      <c r="I1514" s="24">
        <v>9.89</v>
      </c>
      <c r="J1514" s="24">
        <v>1.78</v>
      </c>
      <c r="K1514" s="24">
        <v>3286.33</v>
      </c>
      <c r="L1514" s="38">
        <v>46276</v>
      </c>
      <c r="M1514" s="23" t="s">
        <v>106</v>
      </c>
      <c r="N1514" s="23" t="str">
        <f>IF(COUNTIF($A$2:A1514,A1514)&gt;1,"DUP","OK")</f>
        <v>OK</v>
      </c>
      <c r="O1514" s="23" t="str">
        <f t="shared" si="70"/>
        <v>ORD26000677</v>
      </c>
      <c r="P1514" s="23" t="str">
        <f t="shared" si="71"/>
        <v>Sep</v>
      </c>
      <c r="Q1514" s="23" t="str">
        <f>IF(F1514="CAPTURE",IF(COUNTIF(orders!$A:$A,O1514)&gt;0,"Yes","NO ORDER"),"")</f>
        <v>Yes</v>
      </c>
    </row>
    <row r="1515" spans="1:17" ht="15" customHeight="1" x14ac:dyDescent="0.3">
      <c r="A1515" s="23" t="s">
        <v>14182</v>
      </c>
      <c r="B1515" s="23"/>
      <c r="C1515" s="23" t="s">
        <v>1886</v>
      </c>
      <c r="D1515" s="23" t="str">
        <f t="shared" si="69"/>
        <v>ORD26000723</v>
      </c>
      <c r="E1515" s="38">
        <v>46274</v>
      </c>
      <c r="F1515" s="23" t="s">
        <v>12410</v>
      </c>
      <c r="G1515" s="23" t="s">
        <v>75</v>
      </c>
      <c r="H1515" s="24">
        <v>5297</v>
      </c>
      <c r="I1515" s="24">
        <v>15.89</v>
      </c>
      <c r="J1515" s="24">
        <v>2.86</v>
      </c>
      <c r="K1515" s="24">
        <v>5278.25</v>
      </c>
      <c r="L1515" s="38">
        <v>46276</v>
      </c>
      <c r="M1515" s="23" t="s">
        <v>106</v>
      </c>
      <c r="N1515" s="23" t="str">
        <f>IF(COUNTIF($A$2:A1515,A1515)&gt;1,"DUP","OK")</f>
        <v>OK</v>
      </c>
      <c r="O1515" s="23" t="str">
        <f t="shared" si="70"/>
        <v>ORD26000723</v>
      </c>
      <c r="P1515" s="23" t="str">
        <f t="shared" si="71"/>
        <v>Sep</v>
      </c>
      <c r="Q1515" s="23" t="str">
        <f>IF(F1515="CAPTURE",IF(COUNTIF(orders!$A:$A,O1515)&gt;0,"Yes","NO ORDER"),"")</f>
        <v>Yes</v>
      </c>
    </row>
    <row r="1516" spans="1:17" ht="15" customHeight="1" x14ac:dyDescent="0.3">
      <c r="A1516" s="23" t="s">
        <v>14183</v>
      </c>
      <c r="B1516" s="23"/>
      <c r="C1516" s="23" t="s">
        <v>14184</v>
      </c>
      <c r="D1516" s="23" t="str">
        <f t="shared" si="69"/>
        <v>ORD26000738</v>
      </c>
      <c r="E1516" s="38">
        <v>46274</v>
      </c>
      <c r="F1516" s="23" t="s">
        <v>12410</v>
      </c>
      <c r="G1516" s="23" t="s">
        <v>79</v>
      </c>
      <c r="H1516" s="24">
        <v>799</v>
      </c>
      <c r="I1516" s="24">
        <v>14.38</v>
      </c>
      <c r="J1516" s="24">
        <v>2.59</v>
      </c>
      <c r="K1516" s="24">
        <v>782.03</v>
      </c>
      <c r="L1516" s="38">
        <v>46276</v>
      </c>
      <c r="M1516" s="23" t="s">
        <v>106</v>
      </c>
      <c r="N1516" s="23" t="str">
        <f>IF(COUNTIF($A$2:A1516,A1516)&gt;1,"DUP","OK")</f>
        <v>OK</v>
      </c>
      <c r="O1516" s="23" t="str">
        <f t="shared" si="70"/>
        <v>ORD26000738</v>
      </c>
      <c r="P1516" s="23" t="str">
        <f t="shared" si="71"/>
        <v>Sep</v>
      </c>
      <c r="Q1516" s="23" t="str">
        <f>IF(F1516="CAPTURE",IF(COUNTIF(orders!$A:$A,O1516)&gt;0,"Yes","NO ORDER"),"")</f>
        <v>Yes</v>
      </c>
    </row>
    <row r="1517" spans="1:17" ht="15" customHeight="1" x14ac:dyDescent="0.3">
      <c r="A1517" s="23" t="s">
        <v>14185</v>
      </c>
      <c r="B1517" s="23"/>
      <c r="C1517" s="23" t="s">
        <v>1963</v>
      </c>
      <c r="D1517" s="23" t="str">
        <f t="shared" si="69"/>
        <v>ORD26000761</v>
      </c>
      <c r="E1517" s="38">
        <v>46274</v>
      </c>
      <c r="F1517" s="23" t="s">
        <v>12410</v>
      </c>
      <c r="G1517" s="23" t="s">
        <v>75</v>
      </c>
      <c r="H1517" s="24">
        <v>1499</v>
      </c>
      <c r="I1517" s="24">
        <v>0</v>
      </c>
      <c r="J1517" s="24">
        <v>0</v>
      </c>
      <c r="K1517" s="24">
        <v>1499</v>
      </c>
      <c r="L1517" s="38">
        <v>46276</v>
      </c>
      <c r="M1517" s="23" t="s">
        <v>106</v>
      </c>
      <c r="N1517" s="23" t="str">
        <f>IF(COUNTIF($A$2:A1517,A1517)&gt;1,"DUP","OK")</f>
        <v>OK</v>
      </c>
      <c r="O1517" s="23" t="str">
        <f t="shared" si="70"/>
        <v>ORD26000761</v>
      </c>
      <c r="P1517" s="23" t="str">
        <f t="shared" si="71"/>
        <v>Sep</v>
      </c>
      <c r="Q1517" s="23" t="str">
        <f>IF(F1517="CAPTURE",IF(COUNTIF(orders!$A:$A,O1517)&gt;0,"Yes","NO ORDER"),"")</f>
        <v>Yes</v>
      </c>
    </row>
    <row r="1518" spans="1:17" ht="15" customHeight="1" x14ac:dyDescent="0.3">
      <c r="A1518" s="23" t="s">
        <v>14186</v>
      </c>
      <c r="B1518" s="23"/>
      <c r="C1518" s="23" t="s">
        <v>2099</v>
      </c>
      <c r="D1518" s="23" t="str">
        <f t="shared" si="69"/>
        <v>ORD26000825</v>
      </c>
      <c r="E1518" s="38">
        <v>46274</v>
      </c>
      <c r="F1518" s="23" t="s">
        <v>12410</v>
      </c>
      <c r="G1518" s="23" t="s">
        <v>75</v>
      </c>
      <c r="H1518" s="24">
        <v>8498</v>
      </c>
      <c r="I1518" s="24">
        <v>25.49</v>
      </c>
      <c r="J1518" s="24">
        <v>4.59</v>
      </c>
      <c r="K1518" s="24">
        <v>8467.92</v>
      </c>
      <c r="L1518" s="38">
        <v>46276</v>
      </c>
      <c r="M1518" s="23" t="s">
        <v>106</v>
      </c>
      <c r="N1518" s="23" t="str">
        <f>IF(COUNTIF($A$2:A1518,A1518)&gt;1,"DUP","OK")</f>
        <v>OK</v>
      </c>
      <c r="O1518" s="23" t="str">
        <f t="shared" si="70"/>
        <v>ORD26000825</v>
      </c>
      <c r="P1518" s="23" t="str">
        <f t="shared" si="71"/>
        <v>Sep</v>
      </c>
      <c r="Q1518" s="23" t="str">
        <f>IF(F1518="CAPTURE",IF(COUNTIF(orders!$A:$A,O1518)&gt;0,"Yes","NO ORDER"),"")</f>
        <v>Yes</v>
      </c>
    </row>
    <row r="1519" spans="1:17" ht="15" customHeight="1" x14ac:dyDescent="0.3">
      <c r="A1519" s="23" t="s">
        <v>14187</v>
      </c>
      <c r="B1519" s="23"/>
      <c r="C1519" s="23" t="s">
        <v>2120</v>
      </c>
      <c r="D1519" s="23" t="str">
        <f t="shared" si="69"/>
        <v>ORD26000835</v>
      </c>
      <c r="E1519" s="38">
        <v>46274</v>
      </c>
      <c r="F1519" s="23" t="s">
        <v>12410</v>
      </c>
      <c r="G1519" s="23" t="s">
        <v>75</v>
      </c>
      <c r="H1519" s="24">
        <v>5798</v>
      </c>
      <c r="I1519" s="24">
        <v>17.39</v>
      </c>
      <c r="J1519" s="24">
        <v>3.13</v>
      </c>
      <c r="K1519" s="24">
        <v>5777.48</v>
      </c>
      <c r="L1519" s="38">
        <v>46276</v>
      </c>
      <c r="M1519" s="23" t="s">
        <v>106</v>
      </c>
      <c r="N1519" s="23" t="str">
        <f>IF(COUNTIF($A$2:A1519,A1519)&gt;1,"DUP","OK")</f>
        <v>OK</v>
      </c>
      <c r="O1519" s="23" t="str">
        <f t="shared" si="70"/>
        <v>ORD26000835</v>
      </c>
      <c r="P1519" s="23" t="str">
        <f t="shared" si="71"/>
        <v>Sep</v>
      </c>
      <c r="Q1519" s="23" t="str">
        <f>IF(F1519="CAPTURE",IF(COUNTIF(orders!$A:$A,O1519)&gt;0,"Yes","NO ORDER"),"")</f>
        <v>Yes</v>
      </c>
    </row>
    <row r="1520" spans="1:17" ht="15" customHeight="1" x14ac:dyDescent="0.3">
      <c r="A1520" s="23" t="s">
        <v>14188</v>
      </c>
      <c r="B1520" s="23"/>
      <c r="C1520" s="23" t="s">
        <v>2229</v>
      </c>
      <c r="D1520" s="23" t="str">
        <f t="shared" si="69"/>
        <v>ORD26000887</v>
      </c>
      <c r="E1520" s="38">
        <v>46274</v>
      </c>
      <c r="F1520" s="23" t="s">
        <v>12410</v>
      </c>
      <c r="G1520" s="23" t="s">
        <v>79</v>
      </c>
      <c r="H1520" s="24">
        <v>999</v>
      </c>
      <c r="I1520" s="24">
        <v>17.98</v>
      </c>
      <c r="J1520" s="24">
        <v>3.24</v>
      </c>
      <c r="K1520" s="24">
        <v>977.78</v>
      </c>
      <c r="L1520" s="38">
        <v>46276</v>
      </c>
      <c r="M1520" s="23" t="s">
        <v>106</v>
      </c>
      <c r="N1520" s="23" t="str">
        <f>IF(COUNTIF($A$2:A1520,A1520)&gt;1,"DUP","OK")</f>
        <v>OK</v>
      </c>
      <c r="O1520" s="23" t="str">
        <f t="shared" si="70"/>
        <v>ORD26000887</v>
      </c>
      <c r="P1520" s="23" t="str">
        <f t="shared" si="71"/>
        <v>Sep</v>
      </c>
      <c r="Q1520" s="23" t="str">
        <f>IF(F1520="CAPTURE",IF(COUNTIF(orders!$A:$A,O1520)&gt;0,"Yes","NO ORDER"),"")</f>
        <v>Yes</v>
      </c>
    </row>
    <row r="1521" spans="1:17" ht="15" customHeight="1" x14ac:dyDescent="0.3">
      <c r="A1521" s="23" t="s">
        <v>14189</v>
      </c>
      <c r="B1521" s="23"/>
      <c r="C1521" s="23" t="s">
        <v>2251</v>
      </c>
      <c r="D1521" s="23" t="str">
        <f t="shared" si="69"/>
        <v>ORD26000898</v>
      </c>
      <c r="E1521" s="38">
        <v>46274</v>
      </c>
      <c r="F1521" s="23" t="s">
        <v>12410</v>
      </c>
      <c r="G1521" s="23" t="s">
        <v>75</v>
      </c>
      <c r="H1521" s="24">
        <v>5998</v>
      </c>
      <c r="I1521" s="24">
        <v>17.989999999999998</v>
      </c>
      <c r="J1521" s="24">
        <v>3.24</v>
      </c>
      <c r="K1521" s="24">
        <v>5976.77</v>
      </c>
      <c r="L1521" s="38">
        <v>46276</v>
      </c>
      <c r="M1521" s="23" t="s">
        <v>106</v>
      </c>
      <c r="N1521" s="23" t="str">
        <f>IF(COUNTIF($A$2:A1521,A1521)&gt;1,"DUP","OK")</f>
        <v>OK</v>
      </c>
      <c r="O1521" s="23" t="str">
        <f t="shared" si="70"/>
        <v>ORD26000898</v>
      </c>
      <c r="P1521" s="23" t="str">
        <f t="shared" si="71"/>
        <v>Sep</v>
      </c>
      <c r="Q1521" s="23" t="str">
        <f>IF(F1521="CAPTURE",IF(COUNTIF(orders!$A:$A,O1521)&gt;0,"Yes","NO ORDER"),"")</f>
        <v>Yes</v>
      </c>
    </row>
    <row r="1522" spans="1:17" ht="15" customHeight="1" x14ac:dyDescent="0.3">
      <c r="A1522" s="23" t="s">
        <v>14190</v>
      </c>
      <c r="B1522" s="23"/>
      <c r="C1522" s="23" t="s">
        <v>2257</v>
      </c>
      <c r="D1522" s="23" t="str">
        <f t="shared" si="69"/>
        <v>ORD26000901</v>
      </c>
      <c r="E1522" s="38">
        <v>46274</v>
      </c>
      <c r="F1522" s="23" t="s">
        <v>12410</v>
      </c>
      <c r="G1522" s="23" t="s">
        <v>77</v>
      </c>
      <c r="H1522" s="24">
        <v>349</v>
      </c>
      <c r="I1522" s="24">
        <v>6.63</v>
      </c>
      <c r="J1522" s="24">
        <v>1.19</v>
      </c>
      <c r="K1522" s="24">
        <v>341.18</v>
      </c>
      <c r="L1522" s="38">
        <v>46276</v>
      </c>
      <c r="M1522" s="23" t="s">
        <v>106</v>
      </c>
      <c r="N1522" s="23" t="str">
        <f>IF(COUNTIF($A$2:A1522,A1522)&gt;1,"DUP","OK")</f>
        <v>OK</v>
      </c>
      <c r="O1522" s="23" t="str">
        <f t="shared" si="70"/>
        <v>ORD26000901</v>
      </c>
      <c r="P1522" s="23" t="str">
        <f t="shared" si="71"/>
        <v>Sep</v>
      </c>
      <c r="Q1522" s="23" t="str">
        <f>IF(F1522="CAPTURE",IF(COUNTIF(orders!$A:$A,O1522)&gt;0,"Yes","NO ORDER"),"")</f>
        <v>Yes</v>
      </c>
    </row>
    <row r="1523" spans="1:17" ht="15" customHeight="1" x14ac:dyDescent="0.3">
      <c r="A1523" s="23" t="s">
        <v>14191</v>
      </c>
      <c r="B1523" s="23"/>
      <c r="C1523" s="23" t="s">
        <v>2338</v>
      </c>
      <c r="D1523" s="23" t="str">
        <f t="shared" si="69"/>
        <v>ORD26000940</v>
      </c>
      <c r="E1523" s="38">
        <v>46274</v>
      </c>
      <c r="F1523" s="23" t="s">
        <v>12410</v>
      </c>
      <c r="G1523" s="23" t="s">
        <v>79</v>
      </c>
      <c r="H1523" s="24">
        <v>299</v>
      </c>
      <c r="I1523" s="24">
        <v>5.38</v>
      </c>
      <c r="J1523" s="24">
        <v>0.97</v>
      </c>
      <c r="K1523" s="24">
        <v>292.64999999999998</v>
      </c>
      <c r="L1523" s="38">
        <v>46276</v>
      </c>
      <c r="M1523" s="23" t="s">
        <v>106</v>
      </c>
      <c r="N1523" s="23" t="str">
        <f>IF(COUNTIF($A$2:A1523,A1523)&gt;1,"DUP","OK")</f>
        <v>OK</v>
      </c>
      <c r="O1523" s="23" t="str">
        <f t="shared" si="70"/>
        <v>ORD26000940</v>
      </c>
      <c r="P1523" s="23" t="str">
        <f t="shared" si="71"/>
        <v>Sep</v>
      </c>
      <c r="Q1523" s="23" t="str">
        <f>IF(F1523="CAPTURE",IF(COUNTIF(orders!$A:$A,O1523)&gt;0,"Yes","NO ORDER"),"")</f>
        <v>Yes</v>
      </c>
    </row>
    <row r="1524" spans="1:17" ht="15" customHeight="1" x14ac:dyDescent="0.3">
      <c r="A1524" s="23" t="s">
        <v>14192</v>
      </c>
      <c r="B1524" s="23"/>
      <c r="C1524" s="23" t="s">
        <v>14193</v>
      </c>
      <c r="D1524" s="23" t="str">
        <f t="shared" si="69"/>
        <v>ORD26000954</v>
      </c>
      <c r="E1524" s="38">
        <v>46274</v>
      </c>
      <c r="F1524" s="23" t="s">
        <v>12410</v>
      </c>
      <c r="G1524" s="23" t="s">
        <v>75</v>
      </c>
      <c r="H1524" s="24">
        <v>299</v>
      </c>
      <c r="I1524" s="24">
        <v>0</v>
      </c>
      <c r="J1524" s="24">
        <v>0</v>
      </c>
      <c r="K1524" s="24">
        <v>299</v>
      </c>
      <c r="L1524" s="38">
        <v>46276</v>
      </c>
      <c r="M1524" s="23" t="s">
        <v>106</v>
      </c>
      <c r="N1524" s="23" t="str">
        <f>IF(COUNTIF($A$2:A1524,A1524)&gt;1,"DUP","OK")</f>
        <v>OK</v>
      </c>
      <c r="O1524" s="23" t="str">
        <f t="shared" si="70"/>
        <v>ORD26000954</v>
      </c>
      <c r="P1524" s="23" t="str">
        <f t="shared" si="71"/>
        <v>Sep</v>
      </c>
      <c r="Q1524" s="23" t="str">
        <f>IF(F1524="CAPTURE",IF(COUNTIF(orders!$A:$A,O1524)&gt;0,"Yes","NO ORDER"),"")</f>
        <v>Yes</v>
      </c>
    </row>
    <row r="1525" spans="1:17" ht="15" customHeight="1" x14ac:dyDescent="0.3">
      <c r="A1525" s="23" t="s">
        <v>14194</v>
      </c>
      <c r="B1525" s="23"/>
      <c r="C1525" s="23" t="s">
        <v>2377</v>
      </c>
      <c r="D1525" s="23" t="str">
        <f t="shared" si="69"/>
        <v>ORD26000959</v>
      </c>
      <c r="E1525" s="38">
        <v>46274</v>
      </c>
      <c r="F1525" s="23" t="s">
        <v>12410</v>
      </c>
      <c r="G1525" s="23" t="s">
        <v>75</v>
      </c>
      <c r="H1525" s="24">
        <v>499</v>
      </c>
      <c r="I1525" s="24">
        <v>0</v>
      </c>
      <c r="J1525" s="24">
        <v>0</v>
      </c>
      <c r="K1525" s="24">
        <v>499</v>
      </c>
      <c r="L1525" s="38">
        <v>46276</v>
      </c>
      <c r="M1525" s="23" t="s">
        <v>106</v>
      </c>
      <c r="N1525" s="23" t="str">
        <f>IF(COUNTIF($A$2:A1525,A1525)&gt;1,"DUP","OK")</f>
        <v>OK</v>
      </c>
      <c r="O1525" s="23" t="str">
        <f t="shared" si="70"/>
        <v>ORD26000959</v>
      </c>
      <c r="P1525" s="23" t="str">
        <f t="shared" si="71"/>
        <v>Sep</v>
      </c>
      <c r="Q1525" s="23" t="str">
        <f>IF(F1525="CAPTURE",IF(COUNTIF(orders!$A:$A,O1525)&gt;0,"Yes","NO ORDER"),"")</f>
        <v>Yes</v>
      </c>
    </row>
    <row r="1526" spans="1:17" ht="15" customHeight="1" x14ac:dyDescent="0.3">
      <c r="A1526" s="23" t="s">
        <v>14195</v>
      </c>
      <c r="B1526" s="23"/>
      <c r="C1526" s="23" t="s">
        <v>2557</v>
      </c>
      <c r="D1526" s="23" t="str">
        <f t="shared" si="69"/>
        <v>ORD26001047</v>
      </c>
      <c r="E1526" s="38">
        <v>46274</v>
      </c>
      <c r="F1526" s="23" t="s">
        <v>12410</v>
      </c>
      <c r="G1526" s="23" t="s">
        <v>75</v>
      </c>
      <c r="H1526" s="24">
        <v>2999</v>
      </c>
      <c r="I1526" s="24">
        <v>9</v>
      </c>
      <c r="J1526" s="24">
        <v>1.62</v>
      </c>
      <c r="K1526" s="24">
        <v>2988.38</v>
      </c>
      <c r="L1526" s="38">
        <v>46276</v>
      </c>
      <c r="M1526" s="23" t="s">
        <v>106</v>
      </c>
      <c r="N1526" s="23" t="str">
        <f>IF(COUNTIF($A$2:A1526,A1526)&gt;1,"DUP","OK")</f>
        <v>OK</v>
      </c>
      <c r="O1526" s="23" t="str">
        <f t="shared" si="70"/>
        <v>ORD26001047</v>
      </c>
      <c r="P1526" s="23" t="str">
        <f t="shared" si="71"/>
        <v>Sep</v>
      </c>
      <c r="Q1526" s="23" t="str">
        <f>IF(F1526="CAPTURE",IF(COUNTIF(orders!$A:$A,O1526)&gt;0,"Yes","NO ORDER"),"")</f>
        <v>Yes</v>
      </c>
    </row>
    <row r="1527" spans="1:17" ht="15" customHeight="1" x14ac:dyDescent="0.3">
      <c r="A1527" s="23" t="s">
        <v>14196</v>
      </c>
      <c r="B1527" s="23"/>
      <c r="C1527" s="23" t="s">
        <v>2617</v>
      </c>
      <c r="D1527" s="23" t="str">
        <f t="shared" si="69"/>
        <v>ORD26001076</v>
      </c>
      <c r="E1527" s="38">
        <v>46274</v>
      </c>
      <c r="F1527" s="23" t="s">
        <v>12410</v>
      </c>
      <c r="G1527" s="23" t="s">
        <v>75</v>
      </c>
      <c r="H1527" s="24">
        <v>2098</v>
      </c>
      <c r="I1527" s="24">
        <v>6.29</v>
      </c>
      <c r="J1527" s="24">
        <v>1.1299999999999999</v>
      </c>
      <c r="K1527" s="24">
        <v>2090.58</v>
      </c>
      <c r="L1527" s="38">
        <v>46276</v>
      </c>
      <c r="M1527" s="23" t="s">
        <v>106</v>
      </c>
      <c r="N1527" s="23" t="str">
        <f>IF(COUNTIF($A$2:A1527,A1527)&gt;1,"DUP","OK")</f>
        <v>OK</v>
      </c>
      <c r="O1527" s="23" t="str">
        <f t="shared" si="70"/>
        <v>ORD26001076</v>
      </c>
      <c r="P1527" s="23" t="str">
        <f t="shared" si="71"/>
        <v>Sep</v>
      </c>
      <c r="Q1527" s="23" t="str">
        <f>IF(F1527="CAPTURE",IF(COUNTIF(orders!$A:$A,O1527)&gt;0,"Yes","NO ORDER"),"")</f>
        <v>Yes</v>
      </c>
    </row>
    <row r="1528" spans="1:17" ht="15" customHeight="1" x14ac:dyDescent="0.3">
      <c r="A1528" s="23" t="s">
        <v>14197</v>
      </c>
      <c r="B1528" s="23"/>
      <c r="C1528" s="23" t="s">
        <v>2629</v>
      </c>
      <c r="D1528" s="23" t="str">
        <f t="shared" si="69"/>
        <v>ORD26001082</v>
      </c>
      <c r="E1528" s="38">
        <v>46274</v>
      </c>
      <c r="F1528" s="23" t="s">
        <v>12410</v>
      </c>
      <c r="G1528" s="23" t="s">
        <v>77</v>
      </c>
      <c r="H1528" s="24">
        <v>3797</v>
      </c>
      <c r="I1528" s="24">
        <v>64.55</v>
      </c>
      <c r="J1528" s="24">
        <v>11.62</v>
      </c>
      <c r="K1528" s="24">
        <v>3720.83</v>
      </c>
      <c r="L1528" s="38">
        <v>46276</v>
      </c>
      <c r="M1528" s="23" t="s">
        <v>106</v>
      </c>
      <c r="N1528" s="23" t="str">
        <f>IF(COUNTIF($A$2:A1528,A1528)&gt;1,"DUP","OK")</f>
        <v>OK</v>
      </c>
      <c r="O1528" s="23" t="str">
        <f t="shared" si="70"/>
        <v>ORD26001082</v>
      </c>
      <c r="P1528" s="23" t="str">
        <f t="shared" si="71"/>
        <v>Sep</v>
      </c>
      <c r="Q1528" s="23" t="str">
        <f>IF(F1528="CAPTURE",IF(COUNTIF(orders!$A:$A,O1528)&gt;0,"Yes","NO ORDER"),"")</f>
        <v>Yes</v>
      </c>
    </row>
    <row r="1529" spans="1:17" ht="15" customHeight="1" x14ac:dyDescent="0.3">
      <c r="A1529" s="23" t="s">
        <v>14198</v>
      </c>
      <c r="B1529" s="23"/>
      <c r="C1529" s="23" t="s">
        <v>2631</v>
      </c>
      <c r="D1529" s="23" t="str">
        <f t="shared" si="69"/>
        <v>ORD26001083</v>
      </c>
      <c r="E1529" s="38">
        <v>46274</v>
      </c>
      <c r="F1529" s="23" t="s">
        <v>12410</v>
      </c>
      <c r="G1529" s="23" t="s">
        <v>75</v>
      </c>
      <c r="H1529" s="24">
        <v>4999</v>
      </c>
      <c r="I1529" s="24">
        <v>15</v>
      </c>
      <c r="J1529" s="24">
        <v>2.7</v>
      </c>
      <c r="K1529" s="24">
        <v>4981.3</v>
      </c>
      <c r="L1529" s="38">
        <v>46276</v>
      </c>
      <c r="M1529" s="23" t="s">
        <v>106</v>
      </c>
      <c r="N1529" s="23" t="str">
        <f>IF(COUNTIF($A$2:A1529,A1529)&gt;1,"DUP","OK")</f>
        <v>OK</v>
      </c>
      <c r="O1529" s="23" t="str">
        <f t="shared" si="70"/>
        <v>ORD26001083</v>
      </c>
      <c r="P1529" s="23" t="str">
        <f t="shared" si="71"/>
        <v>Sep</v>
      </c>
      <c r="Q1529" s="23" t="str">
        <f>IF(F1529="CAPTURE",IF(COUNTIF(orders!$A:$A,O1529)&gt;0,"Yes","NO ORDER"),"")</f>
        <v>Yes</v>
      </c>
    </row>
    <row r="1530" spans="1:17" ht="15" customHeight="1" x14ac:dyDescent="0.3">
      <c r="A1530" s="23" t="s">
        <v>14199</v>
      </c>
      <c r="B1530" s="23"/>
      <c r="C1530" s="23" t="s">
        <v>2709</v>
      </c>
      <c r="D1530" s="23" t="str">
        <f t="shared" si="69"/>
        <v>ORD26001122</v>
      </c>
      <c r="E1530" s="38">
        <v>46274</v>
      </c>
      <c r="F1530" s="23" t="s">
        <v>12410</v>
      </c>
      <c r="G1530" s="23" t="s">
        <v>79</v>
      </c>
      <c r="H1530" s="24">
        <v>1798</v>
      </c>
      <c r="I1530" s="24">
        <v>32.36</v>
      </c>
      <c r="J1530" s="24">
        <v>5.82</v>
      </c>
      <c r="K1530" s="24">
        <v>1759.82</v>
      </c>
      <c r="L1530" s="38">
        <v>46276</v>
      </c>
      <c r="M1530" s="23" t="s">
        <v>106</v>
      </c>
      <c r="N1530" s="23" t="str">
        <f>IF(COUNTIF($A$2:A1530,A1530)&gt;1,"DUP","OK")</f>
        <v>OK</v>
      </c>
      <c r="O1530" s="23" t="str">
        <f t="shared" si="70"/>
        <v>ORD26001122</v>
      </c>
      <c r="P1530" s="23" t="str">
        <f t="shared" si="71"/>
        <v>Sep</v>
      </c>
      <c r="Q1530" s="23" t="str">
        <f>IF(F1530="CAPTURE",IF(COUNTIF(orders!$A:$A,O1530)&gt;0,"Yes","NO ORDER"),"")</f>
        <v>Yes</v>
      </c>
    </row>
    <row r="1531" spans="1:17" ht="15" customHeight="1" x14ac:dyDescent="0.3">
      <c r="A1531" s="23" t="s">
        <v>14200</v>
      </c>
      <c r="B1531" s="23"/>
      <c r="C1531" s="23" t="s">
        <v>3056</v>
      </c>
      <c r="D1531" s="23" t="str">
        <f t="shared" si="69"/>
        <v>ORD26001291</v>
      </c>
      <c r="E1531" s="38">
        <v>46274</v>
      </c>
      <c r="F1531" s="23" t="s">
        <v>12410</v>
      </c>
      <c r="G1531" s="23" t="s">
        <v>75</v>
      </c>
      <c r="H1531" s="24">
        <v>7998</v>
      </c>
      <c r="I1531" s="24">
        <v>23.99</v>
      </c>
      <c r="J1531" s="24">
        <v>4.32</v>
      </c>
      <c r="K1531" s="24">
        <v>7969.69</v>
      </c>
      <c r="L1531" s="38">
        <v>46276</v>
      </c>
      <c r="M1531" s="23" t="s">
        <v>106</v>
      </c>
      <c r="N1531" s="23" t="str">
        <f>IF(COUNTIF($A$2:A1531,A1531)&gt;1,"DUP","OK")</f>
        <v>OK</v>
      </c>
      <c r="O1531" s="23" t="str">
        <f t="shared" si="70"/>
        <v>ORD26001291</v>
      </c>
      <c r="P1531" s="23" t="str">
        <f t="shared" si="71"/>
        <v>Sep</v>
      </c>
      <c r="Q1531" s="23" t="str">
        <f>IF(F1531="CAPTURE",IF(COUNTIF(orders!$A:$A,O1531)&gt;0,"Yes","NO ORDER"),"")</f>
        <v>Yes</v>
      </c>
    </row>
    <row r="1532" spans="1:17" ht="15" customHeight="1" x14ac:dyDescent="0.3">
      <c r="A1532" s="23" t="s">
        <v>14201</v>
      </c>
      <c r="B1532" s="23"/>
      <c r="C1532" s="23" t="s">
        <v>3216</v>
      </c>
      <c r="D1532" s="23" t="str">
        <f t="shared" si="69"/>
        <v>ORD26001368</v>
      </c>
      <c r="E1532" s="38">
        <v>46274</v>
      </c>
      <c r="F1532" s="23" t="s">
        <v>12410</v>
      </c>
      <c r="G1532" s="23" t="s">
        <v>79</v>
      </c>
      <c r="H1532" s="24">
        <v>2999</v>
      </c>
      <c r="I1532" s="24">
        <v>47.98</v>
      </c>
      <c r="J1532" s="24">
        <v>8.64</v>
      </c>
      <c r="K1532" s="24">
        <v>2942.38</v>
      </c>
      <c r="L1532" s="38">
        <v>46276</v>
      </c>
      <c r="M1532" s="23" t="s">
        <v>106</v>
      </c>
      <c r="N1532" s="23" t="str">
        <f>IF(COUNTIF($A$2:A1532,A1532)&gt;1,"DUP","OK")</f>
        <v>OK</v>
      </c>
      <c r="O1532" s="23" t="str">
        <f t="shared" si="70"/>
        <v>ORD26001368</v>
      </c>
      <c r="P1532" s="23" t="str">
        <f t="shared" si="71"/>
        <v>Sep</v>
      </c>
      <c r="Q1532" s="23" t="str">
        <f>IF(F1532="CAPTURE",IF(COUNTIF(orders!$A:$A,O1532)&gt;0,"Yes","NO ORDER"),"")</f>
        <v>Yes</v>
      </c>
    </row>
    <row r="1533" spans="1:17" ht="15" customHeight="1" x14ac:dyDescent="0.3">
      <c r="A1533" s="23" t="s">
        <v>14202</v>
      </c>
      <c r="B1533" s="23"/>
      <c r="C1533" s="23" t="s">
        <v>3251</v>
      </c>
      <c r="D1533" s="23" t="str">
        <f t="shared" si="69"/>
        <v>ORD26001385</v>
      </c>
      <c r="E1533" s="38">
        <v>46274</v>
      </c>
      <c r="F1533" s="23" t="s">
        <v>12410</v>
      </c>
      <c r="G1533" s="23" t="s">
        <v>75</v>
      </c>
      <c r="H1533" s="24">
        <v>1348</v>
      </c>
      <c r="I1533" s="24">
        <v>0</v>
      </c>
      <c r="J1533" s="24">
        <v>0</v>
      </c>
      <c r="K1533" s="24">
        <v>1348</v>
      </c>
      <c r="L1533" s="38">
        <v>46276</v>
      </c>
      <c r="M1533" s="23" t="s">
        <v>106</v>
      </c>
      <c r="N1533" s="23" t="str">
        <f>IF(COUNTIF($A$2:A1533,A1533)&gt;1,"DUP","OK")</f>
        <v>OK</v>
      </c>
      <c r="O1533" s="23" t="str">
        <f t="shared" si="70"/>
        <v>ORD26001385</v>
      </c>
      <c r="P1533" s="23" t="str">
        <f t="shared" si="71"/>
        <v>Sep</v>
      </c>
      <c r="Q1533" s="23" t="str">
        <f>IF(F1533="CAPTURE",IF(COUNTIF(orders!$A:$A,O1533)&gt;0,"Yes","NO ORDER"),"")</f>
        <v>Yes</v>
      </c>
    </row>
    <row r="1534" spans="1:17" ht="15" customHeight="1" x14ac:dyDescent="0.3">
      <c r="A1534" s="23" t="s">
        <v>14203</v>
      </c>
      <c r="B1534" s="23"/>
      <c r="C1534" s="23" t="s">
        <v>3275</v>
      </c>
      <c r="D1534" s="23" t="str">
        <f t="shared" si="69"/>
        <v>ORD26001397</v>
      </c>
      <c r="E1534" s="38">
        <v>46274</v>
      </c>
      <c r="F1534" s="23" t="s">
        <v>12410</v>
      </c>
      <c r="G1534" s="23" t="s">
        <v>75</v>
      </c>
      <c r="H1534" s="24">
        <v>5498</v>
      </c>
      <c r="I1534" s="24">
        <v>16.489999999999998</v>
      </c>
      <c r="J1534" s="24">
        <v>2.97</v>
      </c>
      <c r="K1534" s="24">
        <v>5478.54</v>
      </c>
      <c r="L1534" s="38">
        <v>46276</v>
      </c>
      <c r="M1534" s="23" t="s">
        <v>106</v>
      </c>
      <c r="N1534" s="23" t="str">
        <f>IF(COUNTIF($A$2:A1534,A1534)&gt;1,"DUP","OK")</f>
        <v>OK</v>
      </c>
      <c r="O1534" s="23" t="str">
        <f t="shared" si="70"/>
        <v>ORD26001397</v>
      </c>
      <c r="P1534" s="23" t="str">
        <f t="shared" si="71"/>
        <v>Sep</v>
      </c>
      <c r="Q1534" s="23" t="str">
        <f>IF(F1534="CAPTURE",IF(COUNTIF(orders!$A:$A,O1534)&gt;0,"Yes","NO ORDER"),"")</f>
        <v>Yes</v>
      </c>
    </row>
    <row r="1535" spans="1:17" ht="15" customHeight="1" x14ac:dyDescent="0.3">
      <c r="A1535" s="23" t="s">
        <v>14204</v>
      </c>
      <c r="B1535" s="23"/>
      <c r="C1535" s="23" t="s">
        <v>3279</v>
      </c>
      <c r="D1535" s="23" t="str">
        <f t="shared" si="69"/>
        <v>ORD26001399</v>
      </c>
      <c r="E1535" s="38">
        <v>46274</v>
      </c>
      <c r="F1535" s="23" t="s">
        <v>12410</v>
      </c>
      <c r="G1535" s="23" t="s">
        <v>75</v>
      </c>
      <c r="H1535" s="24">
        <v>4397</v>
      </c>
      <c r="I1535" s="24">
        <v>13.19</v>
      </c>
      <c r="J1535" s="24">
        <v>2.37</v>
      </c>
      <c r="K1535" s="24">
        <v>4381.4399999999996</v>
      </c>
      <c r="L1535" s="38">
        <v>46276</v>
      </c>
      <c r="M1535" s="23" t="s">
        <v>106</v>
      </c>
      <c r="N1535" s="23" t="str">
        <f>IF(COUNTIF($A$2:A1535,A1535)&gt;1,"DUP","OK")</f>
        <v>OK</v>
      </c>
      <c r="O1535" s="23" t="str">
        <f t="shared" si="70"/>
        <v>ORD26001399</v>
      </c>
      <c r="P1535" s="23" t="str">
        <f t="shared" si="71"/>
        <v>Sep</v>
      </c>
      <c r="Q1535" s="23" t="str">
        <f>IF(F1535="CAPTURE",IF(COUNTIF(orders!$A:$A,O1535)&gt;0,"Yes","NO ORDER"),"")</f>
        <v>Yes</v>
      </c>
    </row>
    <row r="1536" spans="1:17" ht="15" customHeight="1" x14ac:dyDescent="0.3">
      <c r="A1536" s="23" t="s">
        <v>14205</v>
      </c>
      <c r="B1536" s="23"/>
      <c r="C1536" s="23" t="s">
        <v>3283</v>
      </c>
      <c r="D1536" s="23" t="str">
        <f t="shared" si="69"/>
        <v>ORD26001401</v>
      </c>
      <c r="E1536" s="38">
        <v>46274</v>
      </c>
      <c r="F1536" s="23" t="s">
        <v>12410</v>
      </c>
      <c r="G1536" s="23" t="s">
        <v>75</v>
      </c>
      <c r="H1536" s="24">
        <v>5397</v>
      </c>
      <c r="I1536" s="24">
        <v>16.190000000000001</v>
      </c>
      <c r="J1536" s="24">
        <v>2.91</v>
      </c>
      <c r="K1536" s="24">
        <v>5377.9</v>
      </c>
      <c r="L1536" s="38">
        <v>46276</v>
      </c>
      <c r="M1536" s="23" t="s">
        <v>106</v>
      </c>
      <c r="N1536" s="23" t="str">
        <f>IF(COUNTIF($A$2:A1536,A1536)&gt;1,"DUP","OK")</f>
        <v>OK</v>
      </c>
      <c r="O1536" s="23" t="str">
        <f t="shared" si="70"/>
        <v>ORD26001401</v>
      </c>
      <c r="P1536" s="23" t="str">
        <f t="shared" si="71"/>
        <v>Sep</v>
      </c>
      <c r="Q1536" s="23" t="str">
        <f>IF(F1536="CAPTURE",IF(COUNTIF(orders!$A:$A,O1536)&gt;0,"Yes","NO ORDER"),"")</f>
        <v>Yes</v>
      </c>
    </row>
    <row r="1537" spans="1:17" ht="15" customHeight="1" x14ac:dyDescent="0.3">
      <c r="A1537" s="23" t="s">
        <v>14206</v>
      </c>
      <c r="B1537" s="23"/>
      <c r="C1537" s="23" t="s">
        <v>3550</v>
      </c>
      <c r="D1537" s="23" t="str">
        <f t="shared" si="69"/>
        <v>ORD26001531</v>
      </c>
      <c r="E1537" s="38">
        <v>46274</v>
      </c>
      <c r="F1537" s="23" t="s">
        <v>12410</v>
      </c>
      <c r="G1537" s="23" t="s">
        <v>75</v>
      </c>
      <c r="H1537" s="24">
        <v>2097</v>
      </c>
      <c r="I1537" s="24">
        <v>6.29</v>
      </c>
      <c r="J1537" s="24">
        <v>1.1299999999999999</v>
      </c>
      <c r="K1537" s="24">
        <v>2089.58</v>
      </c>
      <c r="L1537" s="38">
        <v>46276</v>
      </c>
      <c r="M1537" s="23" t="s">
        <v>106</v>
      </c>
      <c r="N1537" s="23" t="str">
        <f>IF(COUNTIF($A$2:A1537,A1537)&gt;1,"DUP","OK")</f>
        <v>OK</v>
      </c>
      <c r="O1537" s="23" t="str">
        <f t="shared" si="70"/>
        <v>ORD26001531</v>
      </c>
      <c r="P1537" s="23" t="str">
        <f t="shared" si="71"/>
        <v>Sep</v>
      </c>
      <c r="Q1537" s="23" t="str">
        <f>IF(F1537="CAPTURE",IF(COUNTIF(orders!$A:$A,O1537)&gt;0,"Yes","NO ORDER"),"")</f>
        <v>Yes</v>
      </c>
    </row>
    <row r="1538" spans="1:17" ht="15" customHeight="1" x14ac:dyDescent="0.3">
      <c r="A1538" s="23" t="s">
        <v>14207</v>
      </c>
      <c r="B1538" s="23"/>
      <c r="C1538" s="23" t="s">
        <v>3603</v>
      </c>
      <c r="D1538" s="23" t="str">
        <f t="shared" ref="D1538:D1601" si="72">UPPER(SUBSTITUTE(TRIM(C1538),"-",""))</f>
        <v>ORD26001558</v>
      </c>
      <c r="E1538" s="38">
        <v>46274</v>
      </c>
      <c r="F1538" s="23" t="s">
        <v>12410</v>
      </c>
      <c r="G1538" s="23" t="s">
        <v>81</v>
      </c>
      <c r="H1538" s="24">
        <v>299</v>
      </c>
      <c r="I1538" s="24">
        <v>4.49</v>
      </c>
      <c r="J1538" s="24">
        <v>0.81</v>
      </c>
      <c r="K1538" s="24">
        <v>293.7</v>
      </c>
      <c r="L1538" s="38">
        <v>46276</v>
      </c>
      <c r="M1538" s="23" t="s">
        <v>106</v>
      </c>
      <c r="N1538" s="23" t="str">
        <f>IF(COUNTIF($A$2:A1538,A1538)&gt;1,"DUP","OK")</f>
        <v>OK</v>
      </c>
      <c r="O1538" s="23" t="str">
        <f t="shared" ref="O1538:O1601" si="73">IF(F1538="REFUND",INDEX($D:$D,MATCH(B1538,$A:$A,0)),D1538)</f>
        <v>ORD26001558</v>
      </c>
      <c r="P1538" s="23" t="str">
        <f t="shared" ref="P1538:P1601" si="74">IF(L1538&gt;DATE(2026,9,30),"Oct-Due","Sep")</f>
        <v>Sep</v>
      </c>
      <c r="Q1538" s="23" t="str">
        <f>IF(F1538="CAPTURE",IF(COUNTIF(orders!$A:$A,O1538)&gt;0,"Yes","NO ORDER"),"")</f>
        <v>Yes</v>
      </c>
    </row>
    <row r="1539" spans="1:17" ht="15" customHeight="1" x14ac:dyDescent="0.3">
      <c r="A1539" s="23" t="s">
        <v>14208</v>
      </c>
      <c r="B1539" s="23"/>
      <c r="C1539" s="23" t="s">
        <v>3663</v>
      </c>
      <c r="D1539" s="23" t="str">
        <f t="shared" si="72"/>
        <v>ORD26001588</v>
      </c>
      <c r="E1539" s="38">
        <v>46274</v>
      </c>
      <c r="F1539" s="23" t="s">
        <v>12410</v>
      </c>
      <c r="G1539" s="23" t="s">
        <v>79</v>
      </c>
      <c r="H1539" s="24">
        <v>5798</v>
      </c>
      <c r="I1539" s="24">
        <v>92.77</v>
      </c>
      <c r="J1539" s="24">
        <v>16.7</v>
      </c>
      <c r="K1539" s="24">
        <v>5688.53</v>
      </c>
      <c r="L1539" s="38">
        <v>46276</v>
      </c>
      <c r="M1539" s="23" t="s">
        <v>106</v>
      </c>
      <c r="N1539" s="23" t="str">
        <f>IF(COUNTIF($A$2:A1539,A1539)&gt;1,"DUP","OK")</f>
        <v>OK</v>
      </c>
      <c r="O1539" s="23" t="str">
        <f t="shared" si="73"/>
        <v>ORD26001588</v>
      </c>
      <c r="P1539" s="23" t="str">
        <f t="shared" si="74"/>
        <v>Sep</v>
      </c>
      <c r="Q1539" s="23" t="str">
        <f>IF(F1539="CAPTURE",IF(COUNTIF(orders!$A:$A,O1539)&gt;0,"Yes","NO ORDER"),"")</f>
        <v>Yes</v>
      </c>
    </row>
    <row r="1540" spans="1:17" ht="15" customHeight="1" x14ac:dyDescent="0.3">
      <c r="A1540" s="23" t="s">
        <v>14209</v>
      </c>
      <c r="B1540" s="23"/>
      <c r="C1540" s="23" t="s">
        <v>3703</v>
      </c>
      <c r="D1540" s="23" t="str">
        <f t="shared" si="72"/>
        <v>ORD26001608</v>
      </c>
      <c r="E1540" s="38">
        <v>46274</v>
      </c>
      <c r="F1540" s="23" t="s">
        <v>12410</v>
      </c>
      <c r="G1540" s="23" t="s">
        <v>77</v>
      </c>
      <c r="H1540" s="24">
        <v>3798</v>
      </c>
      <c r="I1540" s="24">
        <v>64.569999999999993</v>
      </c>
      <c r="J1540" s="24">
        <v>11.62</v>
      </c>
      <c r="K1540" s="24">
        <v>3721.81</v>
      </c>
      <c r="L1540" s="38">
        <v>46276</v>
      </c>
      <c r="M1540" s="23" t="s">
        <v>106</v>
      </c>
      <c r="N1540" s="23" t="str">
        <f>IF(COUNTIF($A$2:A1540,A1540)&gt;1,"DUP","OK")</f>
        <v>OK</v>
      </c>
      <c r="O1540" s="23" t="str">
        <f t="shared" si="73"/>
        <v>ORD26001608</v>
      </c>
      <c r="P1540" s="23" t="str">
        <f t="shared" si="74"/>
        <v>Sep</v>
      </c>
      <c r="Q1540" s="23" t="str">
        <f>IF(F1540="CAPTURE",IF(COUNTIF(orders!$A:$A,O1540)&gt;0,"Yes","NO ORDER"),"")</f>
        <v>Yes</v>
      </c>
    </row>
    <row r="1541" spans="1:17" ht="15" customHeight="1" x14ac:dyDescent="0.3">
      <c r="A1541" s="23" t="s">
        <v>14210</v>
      </c>
      <c r="B1541" s="23"/>
      <c r="C1541" s="23" t="s">
        <v>3725</v>
      </c>
      <c r="D1541" s="23" t="str">
        <f t="shared" si="72"/>
        <v>ORD26001619</v>
      </c>
      <c r="E1541" s="38">
        <v>46274</v>
      </c>
      <c r="F1541" s="23" t="s">
        <v>12410</v>
      </c>
      <c r="G1541" s="23" t="s">
        <v>81</v>
      </c>
      <c r="H1541" s="24">
        <v>3098</v>
      </c>
      <c r="I1541" s="24">
        <v>37.18</v>
      </c>
      <c r="J1541" s="24">
        <v>6.69</v>
      </c>
      <c r="K1541" s="24">
        <v>3054.13</v>
      </c>
      <c r="L1541" s="38">
        <v>46276</v>
      </c>
      <c r="M1541" s="23" t="s">
        <v>106</v>
      </c>
      <c r="N1541" s="23" t="str">
        <f>IF(COUNTIF($A$2:A1541,A1541)&gt;1,"DUP","OK")</f>
        <v>OK</v>
      </c>
      <c r="O1541" s="23" t="str">
        <f t="shared" si="73"/>
        <v>ORD26001619</v>
      </c>
      <c r="P1541" s="23" t="str">
        <f t="shared" si="74"/>
        <v>Sep</v>
      </c>
      <c r="Q1541" s="23" t="str">
        <f>IF(F1541="CAPTURE",IF(COUNTIF(orders!$A:$A,O1541)&gt;0,"Yes","NO ORDER"),"")</f>
        <v>Yes</v>
      </c>
    </row>
    <row r="1542" spans="1:17" ht="15" customHeight="1" x14ac:dyDescent="0.3">
      <c r="A1542" s="23" t="s">
        <v>14211</v>
      </c>
      <c r="B1542" s="23"/>
      <c r="C1542" s="23" t="s">
        <v>3853</v>
      </c>
      <c r="D1542" s="23" t="str">
        <f t="shared" si="72"/>
        <v>ORD26001684</v>
      </c>
      <c r="E1542" s="38">
        <v>46274</v>
      </c>
      <c r="F1542" s="23" t="s">
        <v>12410</v>
      </c>
      <c r="G1542" s="23" t="s">
        <v>75</v>
      </c>
      <c r="H1542" s="24">
        <v>2299</v>
      </c>
      <c r="I1542" s="24">
        <v>6.9</v>
      </c>
      <c r="J1542" s="24">
        <v>1.24</v>
      </c>
      <c r="K1542" s="24">
        <v>2290.86</v>
      </c>
      <c r="L1542" s="38">
        <v>46276</v>
      </c>
      <c r="M1542" s="23" t="s">
        <v>106</v>
      </c>
      <c r="N1542" s="23" t="str">
        <f>IF(COUNTIF($A$2:A1542,A1542)&gt;1,"DUP","OK")</f>
        <v>OK</v>
      </c>
      <c r="O1542" s="23" t="str">
        <f t="shared" si="73"/>
        <v>ORD26001684</v>
      </c>
      <c r="P1542" s="23" t="str">
        <f t="shared" si="74"/>
        <v>Sep</v>
      </c>
      <c r="Q1542" s="23" t="str">
        <f>IF(F1542="CAPTURE",IF(COUNTIF(orders!$A:$A,O1542)&gt;0,"Yes","NO ORDER"),"")</f>
        <v>Yes</v>
      </c>
    </row>
    <row r="1543" spans="1:17" ht="15" customHeight="1" x14ac:dyDescent="0.3">
      <c r="A1543" s="23" t="s">
        <v>14212</v>
      </c>
      <c r="B1543" s="23"/>
      <c r="C1543" s="23" t="s">
        <v>3875</v>
      </c>
      <c r="D1543" s="23" t="str">
        <f t="shared" si="72"/>
        <v>ORD26001694</v>
      </c>
      <c r="E1543" s="38">
        <v>46274</v>
      </c>
      <c r="F1543" s="23" t="s">
        <v>12410</v>
      </c>
      <c r="G1543" s="23" t="s">
        <v>75</v>
      </c>
      <c r="H1543" s="24">
        <v>1499</v>
      </c>
      <c r="I1543" s="24">
        <v>0</v>
      </c>
      <c r="J1543" s="24">
        <v>0</v>
      </c>
      <c r="K1543" s="24">
        <v>1499</v>
      </c>
      <c r="L1543" s="38">
        <v>46276</v>
      </c>
      <c r="M1543" s="23" t="s">
        <v>106</v>
      </c>
      <c r="N1543" s="23" t="str">
        <f>IF(COUNTIF($A$2:A1543,A1543)&gt;1,"DUP","OK")</f>
        <v>OK</v>
      </c>
      <c r="O1543" s="23" t="str">
        <f t="shared" si="73"/>
        <v>ORD26001694</v>
      </c>
      <c r="P1543" s="23" t="str">
        <f t="shared" si="74"/>
        <v>Sep</v>
      </c>
      <c r="Q1543" s="23" t="str">
        <f>IF(F1543="CAPTURE",IF(COUNTIF(orders!$A:$A,O1543)&gt;0,"Yes","NO ORDER"),"")</f>
        <v>Yes</v>
      </c>
    </row>
    <row r="1544" spans="1:17" ht="15" customHeight="1" x14ac:dyDescent="0.3">
      <c r="A1544" s="23" t="s">
        <v>14213</v>
      </c>
      <c r="B1544" s="23"/>
      <c r="C1544" s="23" t="s">
        <v>3899</v>
      </c>
      <c r="D1544" s="23" t="str">
        <f t="shared" si="72"/>
        <v>ORD26001706</v>
      </c>
      <c r="E1544" s="38">
        <v>46274</v>
      </c>
      <c r="F1544" s="23" t="s">
        <v>12410</v>
      </c>
      <c r="G1544" s="23" t="s">
        <v>79</v>
      </c>
      <c r="H1544" s="24">
        <v>999</v>
      </c>
      <c r="I1544" s="24">
        <v>17.98</v>
      </c>
      <c r="J1544" s="24">
        <v>3.24</v>
      </c>
      <c r="K1544" s="24">
        <v>977.78</v>
      </c>
      <c r="L1544" s="38">
        <v>46276</v>
      </c>
      <c r="M1544" s="23" t="s">
        <v>106</v>
      </c>
      <c r="N1544" s="23" t="str">
        <f>IF(COUNTIF($A$2:A1544,A1544)&gt;1,"DUP","OK")</f>
        <v>OK</v>
      </c>
      <c r="O1544" s="23" t="str">
        <f t="shared" si="73"/>
        <v>ORD26001706</v>
      </c>
      <c r="P1544" s="23" t="str">
        <f t="shared" si="74"/>
        <v>Sep</v>
      </c>
      <c r="Q1544" s="23" t="str">
        <f>IF(F1544="CAPTURE",IF(COUNTIF(orders!$A:$A,O1544)&gt;0,"Yes","NO ORDER"),"")</f>
        <v>Yes</v>
      </c>
    </row>
    <row r="1545" spans="1:17" ht="15" customHeight="1" x14ac:dyDescent="0.3">
      <c r="A1545" s="23" t="s">
        <v>14214</v>
      </c>
      <c r="B1545" s="23"/>
      <c r="C1545" s="23" t="s">
        <v>3939</v>
      </c>
      <c r="D1545" s="23" t="str">
        <f t="shared" si="72"/>
        <v>ORD26001726</v>
      </c>
      <c r="E1545" s="38">
        <v>46274</v>
      </c>
      <c r="F1545" s="23" t="s">
        <v>12410</v>
      </c>
      <c r="G1545" s="23" t="s">
        <v>79</v>
      </c>
      <c r="H1545" s="24">
        <v>4498</v>
      </c>
      <c r="I1545" s="24">
        <v>71.97</v>
      </c>
      <c r="J1545" s="24">
        <v>12.95</v>
      </c>
      <c r="K1545" s="24">
        <v>4413.08</v>
      </c>
      <c r="L1545" s="38">
        <v>46276</v>
      </c>
      <c r="M1545" s="23" t="s">
        <v>106</v>
      </c>
      <c r="N1545" s="23" t="str">
        <f>IF(COUNTIF($A$2:A1545,A1545)&gt;1,"DUP","OK")</f>
        <v>OK</v>
      </c>
      <c r="O1545" s="23" t="str">
        <f t="shared" si="73"/>
        <v>ORD26001726</v>
      </c>
      <c r="P1545" s="23" t="str">
        <f t="shared" si="74"/>
        <v>Sep</v>
      </c>
      <c r="Q1545" s="23" t="str">
        <f>IF(F1545="CAPTURE",IF(COUNTIF(orders!$A:$A,O1545)&gt;0,"Yes","NO ORDER"),"")</f>
        <v>Yes</v>
      </c>
    </row>
    <row r="1546" spans="1:17" ht="15" customHeight="1" x14ac:dyDescent="0.3">
      <c r="A1546" s="23" t="s">
        <v>14215</v>
      </c>
      <c r="B1546" s="23"/>
      <c r="C1546" s="23" t="s">
        <v>14216</v>
      </c>
      <c r="D1546" s="23" t="str">
        <f t="shared" si="72"/>
        <v>ORD26001737</v>
      </c>
      <c r="E1546" s="38">
        <v>46274</v>
      </c>
      <c r="F1546" s="23" t="s">
        <v>12410</v>
      </c>
      <c r="G1546" s="23" t="s">
        <v>77</v>
      </c>
      <c r="H1546" s="24">
        <v>3499</v>
      </c>
      <c r="I1546" s="24">
        <v>59.48</v>
      </c>
      <c r="J1546" s="24">
        <v>10.71</v>
      </c>
      <c r="K1546" s="24">
        <v>3428.81</v>
      </c>
      <c r="L1546" s="38">
        <v>46276</v>
      </c>
      <c r="M1546" s="23" t="s">
        <v>106</v>
      </c>
      <c r="N1546" s="23" t="str">
        <f>IF(COUNTIF($A$2:A1546,A1546)&gt;1,"DUP","OK")</f>
        <v>OK</v>
      </c>
      <c r="O1546" s="23" t="str">
        <f t="shared" si="73"/>
        <v>ORD26001737</v>
      </c>
      <c r="P1546" s="23" t="str">
        <f t="shared" si="74"/>
        <v>Sep</v>
      </c>
      <c r="Q1546" s="23" t="str">
        <f>IF(F1546="CAPTURE",IF(COUNTIF(orders!$A:$A,O1546)&gt;0,"Yes","NO ORDER"),"")</f>
        <v>Yes</v>
      </c>
    </row>
    <row r="1547" spans="1:17" ht="15" customHeight="1" x14ac:dyDescent="0.3">
      <c r="A1547" s="23" t="s">
        <v>14217</v>
      </c>
      <c r="B1547" s="23"/>
      <c r="C1547" s="23" t="s">
        <v>4038</v>
      </c>
      <c r="D1547" s="23" t="str">
        <f t="shared" si="72"/>
        <v>ORD26001775</v>
      </c>
      <c r="E1547" s="38">
        <v>46274</v>
      </c>
      <c r="F1547" s="23" t="s">
        <v>12410</v>
      </c>
      <c r="G1547" s="23" t="s">
        <v>81</v>
      </c>
      <c r="H1547" s="24">
        <v>2499</v>
      </c>
      <c r="I1547" s="24">
        <v>29.99</v>
      </c>
      <c r="J1547" s="24">
        <v>5.4</v>
      </c>
      <c r="K1547" s="24">
        <v>2463.61</v>
      </c>
      <c r="L1547" s="38">
        <v>46276</v>
      </c>
      <c r="M1547" s="23" t="s">
        <v>106</v>
      </c>
      <c r="N1547" s="23" t="str">
        <f>IF(COUNTIF($A$2:A1547,A1547)&gt;1,"DUP","OK")</f>
        <v>OK</v>
      </c>
      <c r="O1547" s="23" t="str">
        <f t="shared" si="73"/>
        <v>ORD26001775</v>
      </c>
      <c r="P1547" s="23" t="str">
        <f t="shared" si="74"/>
        <v>Sep</v>
      </c>
      <c r="Q1547" s="23" t="str">
        <f>IF(F1547="CAPTURE",IF(COUNTIF(orders!$A:$A,O1547)&gt;0,"Yes","NO ORDER"),"")</f>
        <v>Yes</v>
      </c>
    </row>
    <row r="1548" spans="1:17" ht="15" customHeight="1" x14ac:dyDescent="0.3">
      <c r="A1548" s="23" t="s">
        <v>14218</v>
      </c>
      <c r="B1548" s="23"/>
      <c r="C1548" s="23" t="s">
        <v>4040</v>
      </c>
      <c r="D1548" s="23" t="str">
        <f t="shared" si="72"/>
        <v>ORD26001776</v>
      </c>
      <c r="E1548" s="38">
        <v>46274</v>
      </c>
      <c r="F1548" s="23" t="s">
        <v>12410</v>
      </c>
      <c r="G1548" s="23" t="s">
        <v>75</v>
      </c>
      <c r="H1548" s="24">
        <v>2798</v>
      </c>
      <c r="I1548" s="24">
        <v>8.39</v>
      </c>
      <c r="J1548" s="24">
        <v>1.51</v>
      </c>
      <c r="K1548" s="24">
        <v>2788.1</v>
      </c>
      <c r="L1548" s="38">
        <v>46276</v>
      </c>
      <c r="M1548" s="23" t="s">
        <v>106</v>
      </c>
      <c r="N1548" s="23" t="str">
        <f>IF(COUNTIF($A$2:A1548,A1548)&gt;1,"DUP","OK")</f>
        <v>OK</v>
      </c>
      <c r="O1548" s="23" t="str">
        <f t="shared" si="73"/>
        <v>ORD26001776</v>
      </c>
      <c r="P1548" s="23" t="str">
        <f t="shared" si="74"/>
        <v>Sep</v>
      </c>
      <c r="Q1548" s="23" t="str">
        <f>IF(F1548="CAPTURE",IF(COUNTIF(orders!$A:$A,O1548)&gt;0,"Yes","NO ORDER"),"")</f>
        <v>Yes</v>
      </c>
    </row>
    <row r="1549" spans="1:17" ht="15" customHeight="1" x14ac:dyDescent="0.3">
      <c r="A1549" s="23" t="s">
        <v>14219</v>
      </c>
      <c r="B1549" s="23"/>
      <c r="C1549" s="23" t="s">
        <v>4042</v>
      </c>
      <c r="D1549" s="23" t="str">
        <f t="shared" si="72"/>
        <v>ORD26001777</v>
      </c>
      <c r="E1549" s="38">
        <v>46274</v>
      </c>
      <c r="F1549" s="23" t="s">
        <v>12410</v>
      </c>
      <c r="G1549" s="23" t="s">
        <v>75</v>
      </c>
      <c r="H1549" s="24">
        <v>1299</v>
      </c>
      <c r="I1549" s="24">
        <v>0</v>
      </c>
      <c r="J1549" s="24">
        <v>0</v>
      </c>
      <c r="K1549" s="24">
        <v>1299</v>
      </c>
      <c r="L1549" s="38">
        <v>46276</v>
      </c>
      <c r="M1549" s="23" t="s">
        <v>106</v>
      </c>
      <c r="N1549" s="23" t="str">
        <f>IF(COUNTIF($A$2:A1549,A1549)&gt;1,"DUP","OK")</f>
        <v>OK</v>
      </c>
      <c r="O1549" s="23" t="str">
        <f t="shared" si="73"/>
        <v>ORD26001777</v>
      </c>
      <c r="P1549" s="23" t="str">
        <f t="shared" si="74"/>
        <v>Sep</v>
      </c>
      <c r="Q1549" s="23" t="str">
        <f>IF(F1549="CAPTURE",IF(COUNTIF(orders!$A:$A,O1549)&gt;0,"Yes","NO ORDER"),"")</f>
        <v>Yes</v>
      </c>
    </row>
    <row r="1550" spans="1:17" ht="15" customHeight="1" x14ac:dyDescent="0.3">
      <c r="A1550" s="23" t="s">
        <v>14220</v>
      </c>
      <c r="B1550" s="23"/>
      <c r="C1550" s="23" t="s">
        <v>4057</v>
      </c>
      <c r="D1550" s="23" t="str">
        <f t="shared" si="72"/>
        <v>ORD26001785</v>
      </c>
      <c r="E1550" s="38">
        <v>46274</v>
      </c>
      <c r="F1550" s="23" t="s">
        <v>12410</v>
      </c>
      <c r="G1550" s="23" t="s">
        <v>79</v>
      </c>
      <c r="H1550" s="24">
        <v>8797</v>
      </c>
      <c r="I1550" s="24">
        <v>140.75</v>
      </c>
      <c r="J1550" s="24">
        <v>25.34</v>
      </c>
      <c r="K1550" s="24">
        <v>8630.91</v>
      </c>
      <c r="L1550" s="38">
        <v>46276</v>
      </c>
      <c r="M1550" s="23" t="s">
        <v>106</v>
      </c>
      <c r="N1550" s="23" t="str">
        <f>IF(COUNTIF($A$2:A1550,A1550)&gt;1,"DUP","OK")</f>
        <v>OK</v>
      </c>
      <c r="O1550" s="23" t="str">
        <f t="shared" si="73"/>
        <v>ORD26001785</v>
      </c>
      <c r="P1550" s="23" t="str">
        <f t="shared" si="74"/>
        <v>Sep</v>
      </c>
      <c r="Q1550" s="23" t="str">
        <f>IF(F1550="CAPTURE",IF(COUNTIF(orders!$A:$A,O1550)&gt;0,"Yes","NO ORDER"),"")</f>
        <v>Yes</v>
      </c>
    </row>
    <row r="1551" spans="1:17" ht="15" customHeight="1" x14ac:dyDescent="0.3">
      <c r="A1551" s="23" t="s">
        <v>14221</v>
      </c>
      <c r="B1551" s="23"/>
      <c r="C1551" s="23" t="s">
        <v>4067</v>
      </c>
      <c r="D1551" s="23" t="str">
        <f t="shared" si="72"/>
        <v>ORD26001790</v>
      </c>
      <c r="E1551" s="38">
        <v>46274</v>
      </c>
      <c r="F1551" s="23" t="s">
        <v>12410</v>
      </c>
      <c r="G1551" s="23" t="s">
        <v>75</v>
      </c>
      <c r="H1551" s="24">
        <v>8997</v>
      </c>
      <c r="I1551" s="24">
        <v>26.99</v>
      </c>
      <c r="J1551" s="24">
        <v>4.8600000000000003</v>
      </c>
      <c r="K1551" s="24">
        <v>8965.15</v>
      </c>
      <c r="L1551" s="38">
        <v>46276</v>
      </c>
      <c r="M1551" s="23" t="s">
        <v>106</v>
      </c>
      <c r="N1551" s="23" t="str">
        <f>IF(COUNTIF($A$2:A1551,A1551)&gt;1,"DUP","OK")</f>
        <v>OK</v>
      </c>
      <c r="O1551" s="23" t="str">
        <f t="shared" si="73"/>
        <v>ORD26001790</v>
      </c>
      <c r="P1551" s="23" t="str">
        <f t="shared" si="74"/>
        <v>Sep</v>
      </c>
      <c r="Q1551" s="23" t="str">
        <f>IF(F1551="CAPTURE",IF(COUNTIF(orders!$A:$A,O1551)&gt;0,"Yes","NO ORDER"),"")</f>
        <v>Yes</v>
      </c>
    </row>
    <row r="1552" spans="1:17" ht="15" customHeight="1" x14ac:dyDescent="0.3">
      <c r="A1552" s="23" t="s">
        <v>14222</v>
      </c>
      <c r="B1552" s="23"/>
      <c r="C1552" s="23" t="s">
        <v>4091</v>
      </c>
      <c r="D1552" s="23" t="str">
        <f t="shared" si="72"/>
        <v>ORD26001802</v>
      </c>
      <c r="E1552" s="38">
        <v>46274</v>
      </c>
      <c r="F1552" s="23" t="s">
        <v>12410</v>
      </c>
      <c r="G1552" s="23" t="s">
        <v>77</v>
      </c>
      <c r="H1552" s="24">
        <v>7999</v>
      </c>
      <c r="I1552" s="24">
        <v>135.97999999999999</v>
      </c>
      <c r="J1552" s="24">
        <v>24.48</v>
      </c>
      <c r="K1552" s="24">
        <v>7838.54</v>
      </c>
      <c r="L1552" s="38">
        <v>46276</v>
      </c>
      <c r="M1552" s="23" t="s">
        <v>106</v>
      </c>
      <c r="N1552" s="23" t="str">
        <f>IF(COUNTIF($A$2:A1552,A1552)&gt;1,"DUP","OK")</f>
        <v>OK</v>
      </c>
      <c r="O1552" s="23" t="str">
        <f t="shared" si="73"/>
        <v>ORD26001802</v>
      </c>
      <c r="P1552" s="23" t="str">
        <f t="shared" si="74"/>
        <v>Sep</v>
      </c>
      <c r="Q1552" s="23" t="str">
        <f>IF(F1552="CAPTURE",IF(COUNTIF(orders!$A:$A,O1552)&gt;0,"Yes","NO ORDER"),"")</f>
        <v>Yes</v>
      </c>
    </row>
    <row r="1553" spans="1:17" ht="15" customHeight="1" x14ac:dyDescent="0.3">
      <c r="A1553" s="23" t="s">
        <v>14223</v>
      </c>
      <c r="B1553" s="23"/>
      <c r="C1553" s="23" t="s">
        <v>4099</v>
      </c>
      <c r="D1553" s="23" t="str">
        <f t="shared" si="72"/>
        <v>ORD26001806</v>
      </c>
      <c r="E1553" s="38">
        <v>46274</v>
      </c>
      <c r="F1553" s="23" t="s">
        <v>12410</v>
      </c>
      <c r="G1553" s="23" t="s">
        <v>79</v>
      </c>
      <c r="H1553" s="24">
        <v>5498</v>
      </c>
      <c r="I1553" s="24">
        <v>87.97</v>
      </c>
      <c r="J1553" s="24">
        <v>15.83</v>
      </c>
      <c r="K1553" s="24">
        <v>5394.2</v>
      </c>
      <c r="L1553" s="38">
        <v>46276</v>
      </c>
      <c r="M1553" s="23" t="s">
        <v>106</v>
      </c>
      <c r="N1553" s="23" t="str">
        <f>IF(COUNTIF($A$2:A1553,A1553)&gt;1,"DUP","OK")</f>
        <v>OK</v>
      </c>
      <c r="O1553" s="23" t="str">
        <f t="shared" si="73"/>
        <v>ORD26001806</v>
      </c>
      <c r="P1553" s="23" t="str">
        <f t="shared" si="74"/>
        <v>Sep</v>
      </c>
      <c r="Q1553" s="23" t="str">
        <f>IF(F1553="CAPTURE",IF(COUNTIF(orders!$A:$A,O1553)&gt;0,"Yes","NO ORDER"),"")</f>
        <v>Yes</v>
      </c>
    </row>
    <row r="1554" spans="1:17" ht="15" customHeight="1" x14ac:dyDescent="0.3">
      <c r="A1554" s="23" t="s">
        <v>14224</v>
      </c>
      <c r="B1554" s="23"/>
      <c r="C1554" s="23" t="s">
        <v>14225</v>
      </c>
      <c r="D1554" s="23" t="str">
        <f t="shared" si="72"/>
        <v>ORD26001809</v>
      </c>
      <c r="E1554" s="38">
        <v>46274</v>
      </c>
      <c r="F1554" s="23" t="s">
        <v>12410</v>
      </c>
      <c r="G1554" s="23" t="s">
        <v>75</v>
      </c>
      <c r="H1554" s="24">
        <v>4998</v>
      </c>
      <c r="I1554" s="24">
        <v>14.99</v>
      </c>
      <c r="J1554" s="24">
        <v>2.7</v>
      </c>
      <c r="K1554" s="24">
        <v>4980.3100000000004</v>
      </c>
      <c r="L1554" s="38">
        <v>46276</v>
      </c>
      <c r="M1554" s="23" t="s">
        <v>106</v>
      </c>
      <c r="N1554" s="23" t="str">
        <f>IF(COUNTIF($A$2:A1554,A1554)&gt;1,"DUP","OK")</f>
        <v>OK</v>
      </c>
      <c r="O1554" s="23" t="str">
        <f t="shared" si="73"/>
        <v>ORD26001809</v>
      </c>
      <c r="P1554" s="23" t="str">
        <f t="shared" si="74"/>
        <v>Sep</v>
      </c>
      <c r="Q1554" s="23" t="str">
        <f>IF(F1554="CAPTURE",IF(COUNTIF(orders!$A:$A,O1554)&gt;0,"Yes","NO ORDER"),"")</f>
        <v>Yes</v>
      </c>
    </row>
    <row r="1555" spans="1:17" ht="15" customHeight="1" x14ac:dyDescent="0.3">
      <c r="A1555" s="23" t="s">
        <v>14226</v>
      </c>
      <c r="B1555" s="23"/>
      <c r="C1555" s="23" t="s">
        <v>4152</v>
      </c>
      <c r="D1555" s="23" t="str">
        <f t="shared" si="72"/>
        <v>ORD26001833</v>
      </c>
      <c r="E1555" s="38">
        <v>46274</v>
      </c>
      <c r="F1555" s="23" t="s">
        <v>12410</v>
      </c>
      <c r="G1555" s="23" t="s">
        <v>79</v>
      </c>
      <c r="H1555" s="24">
        <v>1998</v>
      </c>
      <c r="I1555" s="24">
        <v>35.96</v>
      </c>
      <c r="J1555" s="24">
        <v>6.47</v>
      </c>
      <c r="K1555" s="24">
        <v>1955.57</v>
      </c>
      <c r="L1555" s="38">
        <v>46276</v>
      </c>
      <c r="M1555" s="23" t="s">
        <v>106</v>
      </c>
      <c r="N1555" s="23" t="str">
        <f>IF(COUNTIF($A$2:A1555,A1555)&gt;1,"DUP","OK")</f>
        <v>OK</v>
      </c>
      <c r="O1555" s="23" t="str">
        <f t="shared" si="73"/>
        <v>ORD26001833</v>
      </c>
      <c r="P1555" s="23" t="str">
        <f t="shared" si="74"/>
        <v>Sep</v>
      </c>
      <c r="Q1555" s="23" t="str">
        <f>IF(F1555="CAPTURE",IF(COUNTIF(orders!$A:$A,O1555)&gt;0,"Yes","NO ORDER"),"")</f>
        <v>Yes</v>
      </c>
    </row>
    <row r="1556" spans="1:17" ht="15" customHeight="1" x14ac:dyDescent="0.3">
      <c r="A1556" s="23" t="s">
        <v>14227</v>
      </c>
      <c r="B1556" s="23"/>
      <c r="C1556" s="23" t="s">
        <v>4196</v>
      </c>
      <c r="D1556" s="23" t="str">
        <f t="shared" si="72"/>
        <v>ORD26001855</v>
      </c>
      <c r="E1556" s="38">
        <v>46274</v>
      </c>
      <c r="F1556" s="23" t="s">
        <v>12410</v>
      </c>
      <c r="G1556" s="23" t="s">
        <v>79</v>
      </c>
      <c r="H1556" s="24">
        <v>948</v>
      </c>
      <c r="I1556" s="24">
        <v>17.059999999999999</v>
      </c>
      <c r="J1556" s="24">
        <v>3.07</v>
      </c>
      <c r="K1556" s="24">
        <v>927.87</v>
      </c>
      <c r="L1556" s="38">
        <v>46276</v>
      </c>
      <c r="M1556" s="23" t="s">
        <v>106</v>
      </c>
      <c r="N1556" s="23" t="str">
        <f>IF(COUNTIF($A$2:A1556,A1556)&gt;1,"DUP","OK")</f>
        <v>OK</v>
      </c>
      <c r="O1556" s="23" t="str">
        <f t="shared" si="73"/>
        <v>ORD26001855</v>
      </c>
      <c r="P1556" s="23" t="str">
        <f t="shared" si="74"/>
        <v>Sep</v>
      </c>
      <c r="Q1556" s="23" t="str">
        <f>IF(F1556="CAPTURE",IF(COUNTIF(orders!$A:$A,O1556)&gt;0,"Yes","NO ORDER"),"")</f>
        <v>Yes</v>
      </c>
    </row>
    <row r="1557" spans="1:17" ht="15" customHeight="1" x14ac:dyDescent="0.3">
      <c r="A1557" s="23" t="s">
        <v>14228</v>
      </c>
      <c r="B1557" s="23"/>
      <c r="C1557" s="23" t="s">
        <v>4244</v>
      </c>
      <c r="D1557" s="23" t="str">
        <f t="shared" si="72"/>
        <v>ORD26001879</v>
      </c>
      <c r="E1557" s="38">
        <v>46274</v>
      </c>
      <c r="F1557" s="23" t="s">
        <v>12410</v>
      </c>
      <c r="G1557" s="23" t="s">
        <v>75</v>
      </c>
      <c r="H1557" s="24">
        <v>799</v>
      </c>
      <c r="I1557" s="24">
        <v>0</v>
      </c>
      <c r="J1557" s="24">
        <v>0</v>
      </c>
      <c r="K1557" s="24">
        <v>799</v>
      </c>
      <c r="L1557" s="38">
        <v>46276</v>
      </c>
      <c r="M1557" s="23" t="s">
        <v>106</v>
      </c>
      <c r="N1557" s="23" t="str">
        <f>IF(COUNTIF($A$2:A1557,A1557)&gt;1,"DUP","OK")</f>
        <v>OK</v>
      </c>
      <c r="O1557" s="23" t="str">
        <f t="shared" si="73"/>
        <v>ORD26001879</v>
      </c>
      <c r="P1557" s="23" t="str">
        <f t="shared" si="74"/>
        <v>Sep</v>
      </c>
      <c r="Q1557" s="23" t="str">
        <f>IF(F1557="CAPTURE",IF(COUNTIF(orders!$A:$A,O1557)&gt;0,"Yes","NO ORDER"),"")</f>
        <v>Yes</v>
      </c>
    </row>
    <row r="1558" spans="1:17" ht="15" customHeight="1" x14ac:dyDescent="0.3">
      <c r="A1558" s="23" t="s">
        <v>14229</v>
      </c>
      <c r="B1558" s="23"/>
      <c r="C1558" s="23" t="s">
        <v>4294</v>
      </c>
      <c r="D1558" s="23" t="str">
        <f t="shared" si="72"/>
        <v>ORD26001903</v>
      </c>
      <c r="E1558" s="38">
        <v>46274</v>
      </c>
      <c r="F1558" s="23" t="s">
        <v>12410</v>
      </c>
      <c r="G1558" s="23" t="s">
        <v>79</v>
      </c>
      <c r="H1558" s="24">
        <v>1348</v>
      </c>
      <c r="I1558" s="24">
        <v>24.26</v>
      </c>
      <c r="J1558" s="24">
        <v>4.37</v>
      </c>
      <c r="K1558" s="24">
        <v>1319.37</v>
      </c>
      <c r="L1558" s="38">
        <v>46276</v>
      </c>
      <c r="M1558" s="23" t="s">
        <v>106</v>
      </c>
      <c r="N1558" s="23" t="str">
        <f>IF(COUNTIF($A$2:A1558,A1558)&gt;1,"DUP","OK")</f>
        <v>OK</v>
      </c>
      <c r="O1558" s="23" t="str">
        <f t="shared" si="73"/>
        <v>ORD26001903</v>
      </c>
      <c r="P1558" s="23" t="str">
        <f t="shared" si="74"/>
        <v>Sep</v>
      </c>
      <c r="Q1558" s="23" t="str">
        <f>IF(F1558="CAPTURE",IF(COUNTIF(orders!$A:$A,O1558)&gt;0,"Yes","NO ORDER"),"")</f>
        <v>Yes</v>
      </c>
    </row>
    <row r="1559" spans="1:17" ht="15" customHeight="1" x14ac:dyDescent="0.3">
      <c r="A1559" s="23" t="s">
        <v>14230</v>
      </c>
      <c r="B1559" s="23"/>
      <c r="C1559" s="23" t="s">
        <v>4342</v>
      </c>
      <c r="D1559" s="23" t="str">
        <f t="shared" si="72"/>
        <v>ORD26001926</v>
      </c>
      <c r="E1559" s="38">
        <v>46274</v>
      </c>
      <c r="F1559" s="23" t="s">
        <v>12410</v>
      </c>
      <c r="G1559" s="23" t="s">
        <v>75</v>
      </c>
      <c r="H1559" s="24">
        <v>1299</v>
      </c>
      <c r="I1559" s="24">
        <v>0</v>
      </c>
      <c r="J1559" s="24">
        <v>0</v>
      </c>
      <c r="K1559" s="24">
        <v>1299</v>
      </c>
      <c r="L1559" s="38">
        <v>46276</v>
      </c>
      <c r="M1559" s="23" t="s">
        <v>106</v>
      </c>
      <c r="N1559" s="23" t="str">
        <f>IF(COUNTIF($A$2:A1559,A1559)&gt;1,"DUP","OK")</f>
        <v>OK</v>
      </c>
      <c r="O1559" s="23" t="str">
        <f t="shared" si="73"/>
        <v>ORD26001926</v>
      </c>
      <c r="P1559" s="23" t="str">
        <f t="shared" si="74"/>
        <v>Sep</v>
      </c>
      <c r="Q1559" s="23" t="str">
        <f>IF(F1559="CAPTURE",IF(COUNTIF(orders!$A:$A,O1559)&gt;0,"Yes","NO ORDER"),"")</f>
        <v>Yes</v>
      </c>
    </row>
    <row r="1560" spans="1:17" ht="15" customHeight="1" x14ac:dyDescent="0.3">
      <c r="A1560" s="23" t="s">
        <v>14231</v>
      </c>
      <c r="B1560" s="23"/>
      <c r="C1560" s="23" t="s">
        <v>14232</v>
      </c>
      <c r="D1560" s="23" t="str">
        <f t="shared" si="72"/>
        <v>ORD26001932</v>
      </c>
      <c r="E1560" s="38">
        <v>46274</v>
      </c>
      <c r="F1560" s="23" t="s">
        <v>12410</v>
      </c>
      <c r="G1560" s="23" t="s">
        <v>75</v>
      </c>
      <c r="H1560" s="24">
        <v>5498</v>
      </c>
      <c r="I1560" s="24">
        <v>16.489999999999998</v>
      </c>
      <c r="J1560" s="24">
        <v>2.97</v>
      </c>
      <c r="K1560" s="24">
        <v>5478.54</v>
      </c>
      <c r="L1560" s="38">
        <v>46276</v>
      </c>
      <c r="M1560" s="23" t="s">
        <v>106</v>
      </c>
      <c r="N1560" s="23" t="str">
        <f>IF(COUNTIF($A$2:A1560,A1560)&gt;1,"DUP","OK")</f>
        <v>OK</v>
      </c>
      <c r="O1560" s="23" t="str">
        <f t="shared" si="73"/>
        <v>ORD26001932</v>
      </c>
      <c r="P1560" s="23" t="str">
        <f t="shared" si="74"/>
        <v>Sep</v>
      </c>
      <c r="Q1560" s="23" t="str">
        <f>IF(F1560="CAPTURE",IF(COUNTIF(orders!$A:$A,O1560)&gt;0,"Yes","NO ORDER"),"")</f>
        <v>Yes</v>
      </c>
    </row>
    <row r="1561" spans="1:17" ht="15" customHeight="1" x14ac:dyDescent="0.3">
      <c r="A1561" s="23" t="s">
        <v>14233</v>
      </c>
      <c r="B1561" s="23"/>
      <c r="C1561" s="23" t="s">
        <v>4360</v>
      </c>
      <c r="D1561" s="23" t="str">
        <f t="shared" si="72"/>
        <v>ORD26001936</v>
      </c>
      <c r="E1561" s="38">
        <v>46274</v>
      </c>
      <c r="F1561" s="23" t="s">
        <v>12410</v>
      </c>
      <c r="G1561" s="23" t="s">
        <v>75</v>
      </c>
      <c r="H1561" s="24">
        <v>998</v>
      </c>
      <c r="I1561" s="24">
        <v>0</v>
      </c>
      <c r="J1561" s="24">
        <v>0</v>
      </c>
      <c r="K1561" s="24">
        <v>998</v>
      </c>
      <c r="L1561" s="38">
        <v>46276</v>
      </c>
      <c r="M1561" s="23" t="s">
        <v>106</v>
      </c>
      <c r="N1561" s="23" t="str">
        <f>IF(COUNTIF($A$2:A1561,A1561)&gt;1,"DUP","OK")</f>
        <v>OK</v>
      </c>
      <c r="O1561" s="23" t="str">
        <f t="shared" si="73"/>
        <v>ORD26001936</v>
      </c>
      <c r="P1561" s="23" t="str">
        <f t="shared" si="74"/>
        <v>Sep</v>
      </c>
      <c r="Q1561" s="23" t="str">
        <f>IF(F1561="CAPTURE",IF(COUNTIF(orders!$A:$A,O1561)&gt;0,"Yes","NO ORDER"),"")</f>
        <v>Yes</v>
      </c>
    </row>
    <row r="1562" spans="1:17" ht="15" customHeight="1" x14ac:dyDescent="0.3">
      <c r="A1562" s="23" t="s">
        <v>14234</v>
      </c>
      <c r="B1562" s="23"/>
      <c r="C1562" s="23" t="s">
        <v>14235</v>
      </c>
      <c r="D1562" s="23" t="str">
        <f t="shared" si="72"/>
        <v>ORD26002004</v>
      </c>
      <c r="E1562" s="38">
        <v>46274</v>
      </c>
      <c r="F1562" s="23" t="s">
        <v>12410</v>
      </c>
      <c r="G1562" s="23" t="s">
        <v>79</v>
      </c>
      <c r="H1562" s="24">
        <v>1148</v>
      </c>
      <c r="I1562" s="24">
        <v>20.66</v>
      </c>
      <c r="J1562" s="24">
        <v>3.72</v>
      </c>
      <c r="K1562" s="24">
        <v>1123.6199999999999</v>
      </c>
      <c r="L1562" s="38">
        <v>46276</v>
      </c>
      <c r="M1562" s="23" t="s">
        <v>106</v>
      </c>
      <c r="N1562" s="23" t="str">
        <f>IF(COUNTIF($A$2:A1562,A1562)&gt;1,"DUP","OK")</f>
        <v>OK</v>
      </c>
      <c r="O1562" s="23" t="str">
        <f t="shared" si="73"/>
        <v>ORD26002004</v>
      </c>
      <c r="P1562" s="23" t="str">
        <f t="shared" si="74"/>
        <v>Sep</v>
      </c>
      <c r="Q1562" s="23" t="str">
        <f>IF(F1562="CAPTURE",IF(COUNTIF(orders!$A:$A,O1562)&gt;0,"Yes","NO ORDER"),"")</f>
        <v>Yes</v>
      </c>
    </row>
    <row r="1563" spans="1:17" ht="15" customHeight="1" x14ac:dyDescent="0.3">
      <c r="A1563" s="23" t="s">
        <v>14236</v>
      </c>
      <c r="B1563" s="23"/>
      <c r="C1563" s="23" t="s">
        <v>4558</v>
      </c>
      <c r="D1563" s="23" t="str">
        <f t="shared" si="72"/>
        <v>ORD26002034</v>
      </c>
      <c r="E1563" s="38">
        <v>46274</v>
      </c>
      <c r="F1563" s="23" t="s">
        <v>12410</v>
      </c>
      <c r="G1563" s="23" t="s">
        <v>79</v>
      </c>
      <c r="H1563" s="24">
        <v>3798</v>
      </c>
      <c r="I1563" s="24">
        <v>60.77</v>
      </c>
      <c r="J1563" s="24">
        <v>10.94</v>
      </c>
      <c r="K1563" s="24">
        <v>3726.29</v>
      </c>
      <c r="L1563" s="38">
        <v>46276</v>
      </c>
      <c r="M1563" s="23" t="s">
        <v>106</v>
      </c>
      <c r="N1563" s="23" t="str">
        <f>IF(COUNTIF($A$2:A1563,A1563)&gt;1,"DUP","OK")</f>
        <v>OK</v>
      </c>
      <c r="O1563" s="23" t="str">
        <f t="shared" si="73"/>
        <v>ORD26002034</v>
      </c>
      <c r="P1563" s="23" t="str">
        <f t="shared" si="74"/>
        <v>Sep</v>
      </c>
      <c r="Q1563" s="23" t="str">
        <f>IF(F1563="CAPTURE",IF(COUNTIF(orders!$A:$A,O1563)&gt;0,"Yes","NO ORDER"),"")</f>
        <v>Yes</v>
      </c>
    </row>
    <row r="1564" spans="1:17" ht="15" customHeight="1" x14ac:dyDescent="0.3">
      <c r="A1564" s="23" t="s">
        <v>14237</v>
      </c>
      <c r="B1564" s="23"/>
      <c r="C1564" s="23" t="s">
        <v>4587</v>
      </c>
      <c r="D1564" s="23" t="str">
        <f t="shared" si="72"/>
        <v>ORD26002048</v>
      </c>
      <c r="E1564" s="38">
        <v>46274</v>
      </c>
      <c r="F1564" s="23" t="s">
        <v>12410</v>
      </c>
      <c r="G1564" s="23" t="s">
        <v>75</v>
      </c>
      <c r="H1564" s="24">
        <v>599</v>
      </c>
      <c r="I1564" s="24">
        <v>0</v>
      </c>
      <c r="J1564" s="24">
        <v>0</v>
      </c>
      <c r="K1564" s="24">
        <v>599</v>
      </c>
      <c r="L1564" s="38">
        <v>46276</v>
      </c>
      <c r="M1564" s="23" t="s">
        <v>106</v>
      </c>
      <c r="N1564" s="23" t="str">
        <f>IF(COUNTIF($A$2:A1564,A1564)&gt;1,"DUP","OK")</f>
        <v>OK</v>
      </c>
      <c r="O1564" s="23" t="str">
        <f t="shared" si="73"/>
        <v>ORD26002048</v>
      </c>
      <c r="P1564" s="23" t="str">
        <f t="shared" si="74"/>
        <v>Sep</v>
      </c>
      <c r="Q1564" s="23" t="str">
        <f>IF(F1564="CAPTURE",IF(COUNTIF(orders!$A:$A,O1564)&gt;0,"Yes","NO ORDER"),"")</f>
        <v>Yes</v>
      </c>
    </row>
    <row r="1565" spans="1:17" ht="15" customHeight="1" x14ac:dyDescent="0.3">
      <c r="A1565" s="23" t="s">
        <v>14238</v>
      </c>
      <c r="B1565" s="23"/>
      <c r="C1565" s="23" t="s">
        <v>4599</v>
      </c>
      <c r="D1565" s="23" t="str">
        <f t="shared" si="72"/>
        <v>ORD26002054</v>
      </c>
      <c r="E1565" s="38">
        <v>46274</v>
      </c>
      <c r="F1565" s="23" t="s">
        <v>12410</v>
      </c>
      <c r="G1565" s="23" t="s">
        <v>75</v>
      </c>
      <c r="H1565" s="24">
        <v>1848</v>
      </c>
      <c r="I1565" s="24">
        <v>0</v>
      </c>
      <c r="J1565" s="24">
        <v>0</v>
      </c>
      <c r="K1565" s="24">
        <v>1848</v>
      </c>
      <c r="L1565" s="38">
        <v>46276</v>
      </c>
      <c r="M1565" s="23" t="s">
        <v>106</v>
      </c>
      <c r="N1565" s="23" t="str">
        <f>IF(COUNTIF($A$2:A1565,A1565)&gt;1,"DUP","OK")</f>
        <v>OK</v>
      </c>
      <c r="O1565" s="23" t="str">
        <f t="shared" si="73"/>
        <v>ORD26002054</v>
      </c>
      <c r="P1565" s="23" t="str">
        <f t="shared" si="74"/>
        <v>Sep</v>
      </c>
      <c r="Q1565" s="23" t="str">
        <f>IF(F1565="CAPTURE",IF(COUNTIF(orders!$A:$A,O1565)&gt;0,"Yes","NO ORDER"),"")</f>
        <v>Yes</v>
      </c>
    </row>
    <row r="1566" spans="1:17" ht="15" customHeight="1" x14ac:dyDescent="0.3">
      <c r="A1566" s="23" t="s">
        <v>14239</v>
      </c>
      <c r="B1566" s="23"/>
      <c r="C1566" s="23" t="s">
        <v>4736</v>
      </c>
      <c r="D1566" s="23" t="str">
        <f t="shared" si="72"/>
        <v>ORD26002123</v>
      </c>
      <c r="E1566" s="38">
        <v>46274</v>
      </c>
      <c r="F1566" s="23" t="s">
        <v>12410</v>
      </c>
      <c r="G1566" s="23" t="s">
        <v>75</v>
      </c>
      <c r="H1566" s="24">
        <v>1499</v>
      </c>
      <c r="I1566" s="24">
        <v>0</v>
      </c>
      <c r="J1566" s="24">
        <v>0</v>
      </c>
      <c r="K1566" s="24">
        <v>1499</v>
      </c>
      <c r="L1566" s="38">
        <v>46276</v>
      </c>
      <c r="M1566" s="23" t="s">
        <v>106</v>
      </c>
      <c r="N1566" s="23" t="str">
        <f>IF(COUNTIF($A$2:A1566,A1566)&gt;1,"DUP","OK")</f>
        <v>OK</v>
      </c>
      <c r="O1566" s="23" t="str">
        <f t="shared" si="73"/>
        <v>ORD26002123</v>
      </c>
      <c r="P1566" s="23" t="str">
        <f t="shared" si="74"/>
        <v>Sep</v>
      </c>
      <c r="Q1566" s="23" t="str">
        <f>IF(F1566="CAPTURE",IF(COUNTIF(orders!$A:$A,O1566)&gt;0,"Yes","NO ORDER"),"")</f>
        <v>Yes</v>
      </c>
    </row>
    <row r="1567" spans="1:17" ht="15" customHeight="1" x14ac:dyDescent="0.3">
      <c r="A1567" s="23" t="s">
        <v>14240</v>
      </c>
      <c r="B1567" s="23"/>
      <c r="C1567" s="23" t="s">
        <v>4871</v>
      </c>
      <c r="D1567" s="23" t="str">
        <f t="shared" si="72"/>
        <v>ORD26002190</v>
      </c>
      <c r="E1567" s="38">
        <v>46274</v>
      </c>
      <c r="F1567" s="23" t="s">
        <v>12410</v>
      </c>
      <c r="G1567" s="23" t="s">
        <v>77</v>
      </c>
      <c r="H1567" s="24">
        <v>2999</v>
      </c>
      <c r="I1567" s="24">
        <v>50.98</v>
      </c>
      <c r="J1567" s="24">
        <v>9.18</v>
      </c>
      <c r="K1567" s="24">
        <v>2938.84</v>
      </c>
      <c r="L1567" s="38">
        <v>46276</v>
      </c>
      <c r="M1567" s="23" t="s">
        <v>106</v>
      </c>
      <c r="N1567" s="23" t="str">
        <f>IF(COUNTIF($A$2:A1567,A1567)&gt;1,"DUP","OK")</f>
        <v>OK</v>
      </c>
      <c r="O1567" s="23" t="str">
        <f t="shared" si="73"/>
        <v>ORD26002190</v>
      </c>
      <c r="P1567" s="23" t="str">
        <f t="shared" si="74"/>
        <v>Sep</v>
      </c>
      <c r="Q1567" s="23" t="str">
        <f>IF(F1567="CAPTURE",IF(COUNTIF(orders!$A:$A,O1567)&gt;0,"Yes","NO ORDER"),"")</f>
        <v>Yes</v>
      </c>
    </row>
    <row r="1568" spans="1:17" ht="15" customHeight="1" x14ac:dyDescent="0.3">
      <c r="A1568" s="23" t="s">
        <v>14241</v>
      </c>
      <c r="B1568" s="23"/>
      <c r="C1568" s="23" t="s">
        <v>4875</v>
      </c>
      <c r="D1568" s="23" t="str">
        <f t="shared" si="72"/>
        <v>ORD26002192</v>
      </c>
      <c r="E1568" s="38">
        <v>46274</v>
      </c>
      <c r="F1568" s="23" t="s">
        <v>12410</v>
      </c>
      <c r="G1568" s="23" t="s">
        <v>75</v>
      </c>
      <c r="H1568" s="24">
        <v>999</v>
      </c>
      <c r="I1568" s="24">
        <v>0</v>
      </c>
      <c r="J1568" s="24">
        <v>0</v>
      </c>
      <c r="K1568" s="24">
        <v>999</v>
      </c>
      <c r="L1568" s="38">
        <v>46276</v>
      </c>
      <c r="M1568" s="23" t="s">
        <v>106</v>
      </c>
      <c r="N1568" s="23" t="str">
        <f>IF(COUNTIF($A$2:A1568,A1568)&gt;1,"DUP","OK")</f>
        <v>OK</v>
      </c>
      <c r="O1568" s="23" t="str">
        <f t="shared" si="73"/>
        <v>ORD26002192</v>
      </c>
      <c r="P1568" s="23" t="str">
        <f t="shared" si="74"/>
        <v>Sep</v>
      </c>
      <c r="Q1568" s="23" t="str">
        <f>IF(F1568="CAPTURE",IF(COUNTIF(orders!$A:$A,O1568)&gt;0,"Yes","NO ORDER"),"")</f>
        <v>Yes</v>
      </c>
    </row>
    <row r="1569" spans="1:17" ht="15" customHeight="1" x14ac:dyDescent="0.3">
      <c r="A1569" s="23" t="s">
        <v>14242</v>
      </c>
      <c r="B1569" s="23"/>
      <c r="C1569" s="23" t="s">
        <v>4975</v>
      </c>
      <c r="D1569" s="23" t="str">
        <f t="shared" si="72"/>
        <v>ORD26002241</v>
      </c>
      <c r="E1569" s="38">
        <v>46274</v>
      </c>
      <c r="F1569" s="23" t="s">
        <v>12410</v>
      </c>
      <c r="G1569" s="23" t="s">
        <v>81</v>
      </c>
      <c r="H1569" s="24">
        <v>10497</v>
      </c>
      <c r="I1569" s="24">
        <v>94.47</v>
      </c>
      <c r="J1569" s="24">
        <v>17</v>
      </c>
      <c r="K1569" s="24">
        <v>10385.530000000001</v>
      </c>
      <c r="L1569" s="38">
        <v>46276</v>
      </c>
      <c r="M1569" s="23" t="s">
        <v>106</v>
      </c>
      <c r="N1569" s="23" t="str">
        <f>IF(COUNTIF($A$2:A1569,A1569)&gt;1,"DUP","OK")</f>
        <v>OK</v>
      </c>
      <c r="O1569" s="23" t="str">
        <f t="shared" si="73"/>
        <v>ORD26002241</v>
      </c>
      <c r="P1569" s="23" t="str">
        <f t="shared" si="74"/>
        <v>Sep</v>
      </c>
      <c r="Q1569" s="23" t="str">
        <f>IF(F1569="CAPTURE",IF(COUNTIF(orders!$A:$A,O1569)&gt;0,"Yes","NO ORDER"),"")</f>
        <v>Yes</v>
      </c>
    </row>
    <row r="1570" spans="1:17" ht="15" customHeight="1" x14ac:dyDescent="0.3">
      <c r="A1570" s="23" t="s">
        <v>14243</v>
      </c>
      <c r="B1570" s="23"/>
      <c r="C1570" s="23" t="s">
        <v>5026</v>
      </c>
      <c r="D1570" s="23" t="str">
        <f t="shared" si="72"/>
        <v>ORD26002266</v>
      </c>
      <c r="E1570" s="38">
        <v>46274</v>
      </c>
      <c r="F1570" s="23" t="s">
        <v>12410</v>
      </c>
      <c r="G1570" s="23" t="s">
        <v>75</v>
      </c>
      <c r="H1570" s="24">
        <v>499</v>
      </c>
      <c r="I1570" s="24">
        <v>0</v>
      </c>
      <c r="J1570" s="24">
        <v>0</v>
      </c>
      <c r="K1570" s="24">
        <v>499</v>
      </c>
      <c r="L1570" s="38">
        <v>46276</v>
      </c>
      <c r="M1570" s="23" t="s">
        <v>106</v>
      </c>
      <c r="N1570" s="23" t="str">
        <f>IF(COUNTIF($A$2:A1570,A1570)&gt;1,"DUP","OK")</f>
        <v>OK</v>
      </c>
      <c r="O1570" s="23" t="str">
        <f t="shared" si="73"/>
        <v>ORD26002266</v>
      </c>
      <c r="P1570" s="23" t="str">
        <f t="shared" si="74"/>
        <v>Sep</v>
      </c>
      <c r="Q1570" s="23" t="str">
        <f>IF(F1570="CAPTURE",IF(COUNTIF(orders!$A:$A,O1570)&gt;0,"Yes","NO ORDER"),"")</f>
        <v>Yes</v>
      </c>
    </row>
    <row r="1571" spans="1:17" ht="15" customHeight="1" x14ac:dyDescent="0.3">
      <c r="A1571" s="23" t="s">
        <v>14244</v>
      </c>
      <c r="B1571" s="23"/>
      <c r="C1571" s="23" t="s">
        <v>14245</v>
      </c>
      <c r="D1571" s="23" t="str">
        <f t="shared" si="72"/>
        <v>ORD26002301</v>
      </c>
      <c r="E1571" s="38">
        <v>46274</v>
      </c>
      <c r="F1571" s="23" t="s">
        <v>12410</v>
      </c>
      <c r="G1571" s="23" t="s">
        <v>75</v>
      </c>
      <c r="H1571" s="24">
        <v>299</v>
      </c>
      <c r="I1571" s="24">
        <v>0</v>
      </c>
      <c r="J1571" s="24">
        <v>0</v>
      </c>
      <c r="K1571" s="24">
        <v>299</v>
      </c>
      <c r="L1571" s="38">
        <v>46276</v>
      </c>
      <c r="M1571" s="23" t="s">
        <v>106</v>
      </c>
      <c r="N1571" s="23" t="str">
        <f>IF(COUNTIF($A$2:A1571,A1571)&gt;1,"DUP","OK")</f>
        <v>OK</v>
      </c>
      <c r="O1571" s="23" t="str">
        <f t="shared" si="73"/>
        <v>ORD26002301</v>
      </c>
      <c r="P1571" s="23" t="str">
        <f t="shared" si="74"/>
        <v>Sep</v>
      </c>
      <c r="Q1571" s="23" t="str">
        <f>IF(F1571="CAPTURE",IF(COUNTIF(orders!$A:$A,O1571)&gt;0,"Yes","NO ORDER"),"")</f>
        <v>Yes</v>
      </c>
    </row>
    <row r="1572" spans="1:17" ht="15" customHeight="1" x14ac:dyDescent="0.3">
      <c r="A1572" s="23" t="s">
        <v>14246</v>
      </c>
      <c r="B1572" s="23"/>
      <c r="C1572" s="23" t="s">
        <v>5223</v>
      </c>
      <c r="D1572" s="23" t="str">
        <f t="shared" si="72"/>
        <v>ORD26002365</v>
      </c>
      <c r="E1572" s="38">
        <v>46274</v>
      </c>
      <c r="F1572" s="23" t="s">
        <v>12410</v>
      </c>
      <c r="G1572" s="23" t="s">
        <v>79</v>
      </c>
      <c r="H1572" s="24">
        <v>2499</v>
      </c>
      <c r="I1572" s="24">
        <v>39.979999999999997</v>
      </c>
      <c r="J1572" s="24">
        <v>7.2</v>
      </c>
      <c r="K1572" s="24">
        <v>2451.8200000000002</v>
      </c>
      <c r="L1572" s="38">
        <v>46276</v>
      </c>
      <c r="M1572" s="23" t="s">
        <v>106</v>
      </c>
      <c r="N1572" s="23" t="str">
        <f>IF(COUNTIF($A$2:A1572,A1572)&gt;1,"DUP","OK")</f>
        <v>OK</v>
      </c>
      <c r="O1572" s="23" t="str">
        <f t="shared" si="73"/>
        <v>ORD26002365</v>
      </c>
      <c r="P1572" s="23" t="str">
        <f t="shared" si="74"/>
        <v>Sep</v>
      </c>
      <c r="Q1572" s="23" t="str">
        <f>IF(F1572="CAPTURE",IF(COUNTIF(orders!$A:$A,O1572)&gt;0,"Yes","NO ORDER"),"")</f>
        <v>Yes</v>
      </c>
    </row>
    <row r="1573" spans="1:17" ht="15" customHeight="1" x14ac:dyDescent="0.3">
      <c r="A1573" s="23" t="s">
        <v>14247</v>
      </c>
      <c r="B1573" s="23"/>
      <c r="C1573" s="23" t="s">
        <v>5297</v>
      </c>
      <c r="D1573" s="23" t="str">
        <f t="shared" si="72"/>
        <v>ORD26002402</v>
      </c>
      <c r="E1573" s="38">
        <v>46274</v>
      </c>
      <c r="F1573" s="23" t="s">
        <v>12410</v>
      </c>
      <c r="G1573" s="23" t="s">
        <v>79</v>
      </c>
      <c r="H1573" s="24">
        <v>999</v>
      </c>
      <c r="I1573" s="24">
        <v>17.98</v>
      </c>
      <c r="J1573" s="24">
        <v>3.24</v>
      </c>
      <c r="K1573" s="24">
        <v>977.78</v>
      </c>
      <c r="L1573" s="38">
        <v>46276</v>
      </c>
      <c r="M1573" s="23" t="s">
        <v>106</v>
      </c>
      <c r="N1573" s="23" t="str">
        <f>IF(COUNTIF($A$2:A1573,A1573)&gt;1,"DUP","OK")</f>
        <v>OK</v>
      </c>
      <c r="O1573" s="23" t="str">
        <f t="shared" si="73"/>
        <v>ORD26002402</v>
      </c>
      <c r="P1573" s="23" t="str">
        <f t="shared" si="74"/>
        <v>Sep</v>
      </c>
      <c r="Q1573" s="23" t="str">
        <f>IF(F1573="CAPTURE",IF(COUNTIF(orders!$A:$A,O1573)&gt;0,"Yes","NO ORDER"),"")</f>
        <v>Yes</v>
      </c>
    </row>
    <row r="1574" spans="1:17" ht="15" customHeight="1" x14ac:dyDescent="0.3">
      <c r="A1574" s="23" t="s">
        <v>14248</v>
      </c>
      <c r="B1574" s="23"/>
      <c r="C1574" s="23" t="s">
        <v>5428</v>
      </c>
      <c r="D1574" s="23" t="str">
        <f t="shared" si="72"/>
        <v>ORD26002469</v>
      </c>
      <c r="E1574" s="38">
        <v>46274</v>
      </c>
      <c r="F1574" s="23" t="s">
        <v>12410</v>
      </c>
      <c r="G1574" s="23" t="s">
        <v>75</v>
      </c>
      <c r="H1574" s="24">
        <v>1098</v>
      </c>
      <c r="I1574" s="24">
        <v>0</v>
      </c>
      <c r="J1574" s="24">
        <v>0</v>
      </c>
      <c r="K1574" s="24">
        <v>1098</v>
      </c>
      <c r="L1574" s="38">
        <v>46276</v>
      </c>
      <c r="M1574" s="23" t="s">
        <v>106</v>
      </c>
      <c r="N1574" s="23" t="str">
        <f>IF(COUNTIF($A$2:A1574,A1574)&gt;1,"DUP","OK")</f>
        <v>OK</v>
      </c>
      <c r="O1574" s="23" t="str">
        <f t="shared" si="73"/>
        <v>ORD26002469</v>
      </c>
      <c r="P1574" s="23" t="str">
        <f t="shared" si="74"/>
        <v>Sep</v>
      </c>
      <c r="Q1574" s="23" t="str">
        <f>IF(F1574="CAPTURE",IF(COUNTIF(orders!$A:$A,O1574)&gt;0,"Yes","NO ORDER"),"")</f>
        <v>Yes</v>
      </c>
    </row>
    <row r="1575" spans="1:17" ht="15" customHeight="1" x14ac:dyDescent="0.3">
      <c r="A1575" s="23" t="s">
        <v>14249</v>
      </c>
      <c r="B1575" s="23"/>
      <c r="C1575" s="23" t="s">
        <v>5513</v>
      </c>
      <c r="D1575" s="23" t="str">
        <f t="shared" si="72"/>
        <v>ORD26002511</v>
      </c>
      <c r="E1575" s="38">
        <v>46274</v>
      </c>
      <c r="F1575" s="23" t="s">
        <v>12410</v>
      </c>
      <c r="G1575" s="23" t="s">
        <v>75</v>
      </c>
      <c r="H1575" s="24">
        <v>4297</v>
      </c>
      <c r="I1575" s="24">
        <v>12.89</v>
      </c>
      <c r="J1575" s="24">
        <v>2.3199999999999998</v>
      </c>
      <c r="K1575" s="24">
        <v>4281.79</v>
      </c>
      <c r="L1575" s="38">
        <v>46276</v>
      </c>
      <c r="M1575" s="23" t="s">
        <v>106</v>
      </c>
      <c r="N1575" s="23" t="str">
        <f>IF(COUNTIF($A$2:A1575,A1575)&gt;1,"DUP","OK")</f>
        <v>OK</v>
      </c>
      <c r="O1575" s="23" t="str">
        <f t="shared" si="73"/>
        <v>ORD26002511</v>
      </c>
      <c r="P1575" s="23" t="str">
        <f t="shared" si="74"/>
        <v>Sep</v>
      </c>
      <c r="Q1575" s="23" t="str">
        <f>IF(F1575="CAPTURE",IF(COUNTIF(orders!$A:$A,O1575)&gt;0,"Yes","NO ORDER"),"")</f>
        <v>Yes</v>
      </c>
    </row>
    <row r="1576" spans="1:17" ht="15" customHeight="1" x14ac:dyDescent="0.3">
      <c r="A1576" s="23" t="s">
        <v>14250</v>
      </c>
      <c r="B1576" s="23"/>
      <c r="C1576" s="23" t="s">
        <v>5655</v>
      </c>
      <c r="D1576" s="23" t="str">
        <f t="shared" si="72"/>
        <v>ORD26002581</v>
      </c>
      <c r="E1576" s="38">
        <v>46274</v>
      </c>
      <c r="F1576" s="23" t="s">
        <v>12410</v>
      </c>
      <c r="G1576" s="23" t="s">
        <v>75</v>
      </c>
      <c r="H1576" s="24">
        <v>12297</v>
      </c>
      <c r="I1576" s="24">
        <v>36.89</v>
      </c>
      <c r="J1576" s="24">
        <v>6.64</v>
      </c>
      <c r="K1576" s="24">
        <v>12253.47</v>
      </c>
      <c r="L1576" s="38">
        <v>46276</v>
      </c>
      <c r="M1576" s="23" t="s">
        <v>106</v>
      </c>
      <c r="N1576" s="23" t="str">
        <f>IF(COUNTIF($A$2:A1576,A1576)&gt;1,"DUP","OK")</f>
        <v>OK</v>
      </c>
      <c r="O1576" s="23" t="str">
        <f t="shared" si="73"/>
        <v>ORD26002581</v>
      </c>
      <c r="P1576" s="23" t="str">
        <f t="shared" si="74"/>
        <v>Sep</v>
      </c>
      <c r="Q1576" s="23" t="str">
        <f>IF(F1576="CAPTURE",IF(COUNTIF(orders!$A:$A,O1576)&gt;0,"Yes","NO ORDER"),"")</f>
        <v>Yes</v>
      </c>
    </row>
    <row r="1577" spans="1:17" ht="15" customHeight="1" x14ac:dyDescent="0.3">
      <c r="A1577" s="23" t="s">
        <v>14251</v>
      </c>
      <c r="B1577" s="23"/>
      <c r="C1577" s="23" t="s">
        <v>5718</v>
      </c>
      <c r="D1577" s="23" t="str">
        <f t="shared" si="72"/>
        <v>ORD26002612</v>
      </c>
      <c r="E1577" s="38">
        <v>46274</v>
      </c>
      <c r="F1577" s="23" t="s">
        <v>12410</v>
      </c>
      <c r="G1577" s="23" t="s">
        <v>75</v>
      </c>
      <c r="H1577" s="24">
        <v>999</v>
      </c>
      <c r="I1577" s="24">
        <v>0</v>
      </c>
      <c r="J1577" s="24">
        <v>0</v>
      </c>
      <c r="K1577" s="24">
        <v>999</v>
      </c>
      <c r="L1577" s="38">
        <v>46276</v>
      </c>
      <c r="M1577" s="23" t="s">
        <v>106</v>
      </c>
      <c r="N1577" s="23" t="str">
        <f>IF(COUNTIF($A$2:A1577,A1577)&gt;1,"DUP","OK")</f>
        <v>OK</v>
      </c>
      <c r="O1577" s="23" t="str">
        <f t="shared" si="73"/>
        <v>ORD26002612</v>
      </c>
      <c r="P1577" s="23" t="str">
        <f t="shared" si="74"/>
        <v>Sep</v>
      </c>
      <c r="Q1577" s="23" t="str">
        <f>IF(F1577="CAPTURE",IF(COUNTIF(orders!$A:$A,O1577)&gt;0,"Yes","NO ORDER"),"")</f>
        <v>Yes</v>
      </c>
    </row>
    <row r="1578" spans="1:17" ht="15" customHeight="1" x14ac:dyDescent="0.3">
      <c r="A1578" s="23" t="s">
        <v>14252</v>
      </c>
      <c r="B1578" s="23"/>
      <c r="C1578" s="23" t="s">
        <v>5756</v>
      </c>
      <c r="D1578" s="23" t="str">
        <f t="shared" si="72"/>
        <v>ORD26002631</v>
      </c>
      <c r="E1578" s="38">
        <v>46274</v>
      </c>
      <c r="F1578" s="23" t="s">
        <v>12410</v>
      </c>
      <c r="G1578" s="23" t="s">
        <v>75</v>
      </c>
      <c r="H1578" s="24">
        <v>999</v>
      </c>
      <c r="I1578" s="24">
        <v>0</v>
      </c>
      <c r="J1578" s="24">
        <v>0</v>
      </c>
      <c r="K1578" s="24">
        <v>999</v>
      </c>
      <c r="L1578" s="38">
        <v>46276</v>
      </c>
      <c r="M1578" s="23" t="s">
        <v>106</v>
      </c>
      <c r="N1578" s="23" t="str">
        <f>IF(COUNTIF($A$2:A1578,A1578)&gt;1,"DUP","OK")</f>
        <v>OK</v>
      </c>
      <c r="O1578" s="23" t="str">
        <f t="shared" si="73"/>
        <v>ORD26002631</v>
      </c>
      <c r="P1578" s="23" t="str">
        <f t="shared" si="74"/>
        <v>Sep</v>
      </c>
      <c r="Q1578" s="23" t="str">
        <f>IF(F1578="CAPTURE",IF(COUNTIF(orders!$A:$A,O1578)&gt;0,"Yes","NO ORDER"),"")</f>
        <v>Yes</v>
      </c>
    </row>
    <row r="1579" spans="1:17" ht="15" customHeight="1" x14ac:dyDescent="0.3">
      <c r="A1579" s="23" t="s">
        <v>14253</v>
      </c>
      <c r="B1579" s="23"/>
      <c r="C1579" s="23" t="s">
        <v>5894</v>
      </c>
      <c r="D1579" s="23" t="str">
        <f t="shared" si="72"/>
        <v>ORD26002699</v>
      </c>
      <c r="E1579" s="38">
        <v>46274</v>
      </c>
      <c r="F1579" s="23" t="s">
        <v>12410</v>
      </c>
      <c r="G1579" s="23" t="s">
        <v>79</v>
      </c>
      <c r="H1579" s="24">
        <v>1799</v>
      </c>
      <c r="I1579" s="24">
        <v>32.380000000000003</v>
      </c>
      <c r="J1579" s="24">
        <v>5.83</v>
      </c>
      <c r="K1579" s="24">
        <v>1760.79</v>
      </c>
      <c r="L1579" s="38">
        <v>46276</v>
      </c>
      <c r="M1579" s="23" t="s">
        <v>106</v>
      </c>
      <c r="N1579" s="23" t="str">
        <f>IF(COUNTIF($A$2:A1579,A1579)&gt;1,"DUP","OK")</f>
        <v>OK</v>
      </c>
      <c r="O1579" s="23" t="str">
        <f t="shared" si="73"/>
        <v>ORD26002699</v>
      </c>
      <c r="P1579" s="23" t="str">
        <f t="shared" si="74"/>
        <v>Sep</v>
      </c>
      <c r="Q1579" s="23" t="str">
        <f>IF(F1579="CAPTURE",IF(COUNTIF(orders!$A:$A,O1579)&gt;0,"Yes","NO ORDER"),"")</f>
        <v>Yes</v>
      </c>
    </row>
    <row r="1580" spans="1:17" ht="15" customHeight="1" x14ac:dyDescent="0.3">
      <c r="A1580" s="23" t="s">
        <v>14254</v>
      </c>
      <c r="B1580" s="23"/>
      <c r="C1580" s="23" t="s">
        <v>6032</v>
      </c>
      <c r="D1580" s="23" t="str">
        <f t="shared" si="72"/>
        <v>ORD26002767</v>
      </c>
      <c r="E1580" s="38">
        <v>46274</v>
      </c>
      <c r="F1580" s="23" t="s">
        <v>12410</v>
      </c>
      <c r="G1580" s="23" t="s">
        <v>79</v>
      </c>
      <c r="H1580" s="24">
        <v>13297</v>
      </c>
      <c r="I1580" s="24">
        <v>212.75</v>
      </c>
      <c r="J1580" s="24">
        <v>38.299999999999997</v>
      </c>
      <c r="K1580" s="24">
        <v>13045.95</v>
      </c>
      <c r="L1580" s="38">
        <v>46276</v>
      </c>
      <c r="M1580" s="23" t="s">
        <v>106</v>
      </c>
      <c r="N1580" s="23" t="str">
        <f>IF(COUNTIF($A$2:A1580,A1580)&gt;1,"DUP","OK")</f>
        <v>OK</v>
      </c>
      <c r="O1580" s="23" t="str">
        <f t="shared" si="73"/>
        <v>ORD26002767</v>
      </c>
      <c r="P1580" s="23" t="str">
        <f t="shared" si="74"/>
        <v>Sep</v>
      </c>
      <c r="Q1580" s="23" t="str">
        <f>IF(F1580="CAPTURE",IF(COUNTIF(orders!$A:$A,O1580)&gt;0,"Yes","NO ORDER"),"")</f>
        <v>Yes</v>
      </c>
    </row>
    <row r="1581" spans="1:17" ht="15" customHeight="1" x14ac:dyDescent="0.3">
      <c r="A1581" s="23" t="s">
        <v>14255</v>
      </c>
      <c r="B1581" s="23"/>
      <c r="C1581" s="23" t="s">
        <v>6174</v>
      </c>
      <c r="D1581" s="23" t="str">
        <f t="shared" si="72"/>
        <v>ORD26002838</v>
      </c>
      <c r="E1581" s="38">
        <v>46274</v>
      </c>
      <c r="F1581" s="23" t="s">
        <v>12410</v>
      </c>
      <c r="G1581" s="23" t="s">
        <v>79</v>
      </c>
      <c r="H1581" s="24">
        <v>2499</v>
      </c>
      <c r="I1581" s="24">
        <v>39.979999999999997</v>
      </c>
      <c r="J1581" s="24">
        <v>7.2</v>
      </c>
      <c r="K1581" s="24">
        <v>2451.8200000000002</v>
      </c>
      <c r="L1581" s="38">
        <v>46276</v>
      </c>
      <c r="M1581" s="23" t="s">
        <v>106</v>
      </c>
      <c r="N1581" s="23" t="str">
        <f>IF(COUNTIF($A$2:A1581,A1581)&gt;1,"DUP","OK")</f>
        <v>OK</v>
      </c>
      <c r="O1581" s="23" t="str">
        <f t="shared" si="73"/>
        <v>ORD26002838</v>
      </c>
      <c r="P1581" s="23" t="str">
        <f t="shared" si="74"/>
        <v>Sep</v>
      </c>
      <c r="Q1581" s="23" t="str">
        <f>IF(F1581="CAPTURE",IF(COUNTIF(orders!$A:$A,O1581)&gt;0,"Yes","NO ORDER"),"")</f>
        <v>Yes</v>
      </c>
    </row>
    <row r="1582" spans="1:17" ht="15" customHeight="1" x14ac:dyDescent="0.3">
      <c r="A1582" s="23" t="s">
        <v>14256</v>
      </c>
      <c r="B1582" s="23"/>
      <c r="C1582" s="23" t="s">
        <v>6275</v>
      </c>
      <c r="D1582" s="23" t="str">
        <f t="shared" si="72"/>
        <v>ORD26002890</v>
      </c>
      <c r="E1582" s="38">
        <v>46274</v>
      </c>
      <c r="F1582" s="23" t="s">
        <v>12410</v>
      </c>
      <c r="G1582" s="23" t="s">
        <v>75</v>
      </c>
      <c r="H1582" s="24">
        <v>4498</v>
      </c>
      <c r="I1582" s="24">
        <v>13.49</v>
      </c>
      <c r="J1582" s="24">
        <v>2.4300000000000002</v>
      </c>
      <c r="K1582" s="24">
        <v>4482.08</v>
      </c>
      <c r="L1582" s="38">
        <v>46276</v>
      </c>
      <c r="M1582" s="23" t="s">
        <v>106</v>
      </c>
      <c r="N1582" s="23" t="str">
        <f>IF(COUNTIF($A$2:A1582,A1582)&gt;1,"DUP","OK")</f>
        <v>OK</v>
      </c>
      <c r="O1582" s="23" t="str">
        <f t="shared" si="73"/>
        <v>ORD26002890</v>
      </c>
      <c r="P1582" s="23" t="str">
        <f t="shared" si="74"/>
        <v>Sep</v>
      </c>
      <c r="Q1582" s="23" t="str">
        <f>IF(F1582="CAPTURE",IF(COUNTIF(orders!$A:$A,O1582)&gt;0,"Yes","NO ORDER"),"")</f>
        <v>Yes</v>
      </c>
    </row>
    <row r="1583" spans="1:17" ht="15" customHeight="1" x14ac:dyDescent="0.3">
      <c r="A1583" s="23" t="s">
        <v>14257</v>
      </c>
      <c r="B1583" s="23"/>
      <c r="C1583" s="23" t="s">
        <v>14258</v>
      </c>
      <c r="D1583" s="23" t="str">
        <f t="shared" si="72"/>
        <v>ORD26002914</v>
      </c>
      <c r="E1583" s="38">
        <v>46274</v>
      </c>
      <c r="F1583" s="23" t="s">
        <v>12410</v>
      </c>
      <c r="G1583" s="23" t="s">
        <v>75</v>
      </c>
      <c r="H1583" s="24">
        <v>3498</v>
      </c>
      <c r="I1583" s="24">
        <v>10.49</v>
      </c>
      <c r="J1583" s="24">
        <v>1.89</v>
      </c>
      <c r="K1583" s="24">
        <v>3485.62</v>
      </c>
      <c r="L1583" s="38">
        <v>46276</v>
      </c>
      <c r="M1583" s="23" t="s">
        <v>106</v>
      </c>
      <c r="N1583" s="23" t="str">
        <f>IF(COUNTIF($A$2:A1583,A1583)&gt;1,"DUP","OK")</f>
        <v>OK</v>
      </c>
      <c r="O1583" s="23" t="str">
        <f t="shared" si="73"/>
        <v>ORD26002914</v>
      </c>
      <c r="P1583" s="23" t="str">
        <f t="shared" si="74"/>
        <v>Sep</v>
      </c>
      <c r="Q1583" s="23" t="str">
        <f>IF(F1583="CAPTURE",IF(COUNTIF(orders!$A:$A,O1583)&gt;0,"Yes","NO ORDER"),"")</f>
        <v>Yes</v>
      </c>
    </row>
    <row r="1584" spans="1:17" ht="15" customHeight="1" x14ac:dyDescent="0.3">
      <c r="A1584" s="23" t="s">
        <v>14259</v>
      </c>
      <c r="B1584" s="23"/>
      <c r="C1584" s="23" t="s">
        <v>6391</v>
      </c>
      <c r="D1584" s="23" t="str">
        <f t="shared" si="72"/>
        <v>ORD26002948</v>
      </c>
      <c r="E1584" s="38">
        <v>46274</v>
      </c>
      <c r="F1584" s="23" t="s">
        <v>12410</v>
      </c>
      <c r="G1584" s="23" t="s">
        <v>77</v>
      </c>
      <c r="H1584" s="24">
        <v>499</v>
      </c>
      <c r="I1584" s="24">
        <v>9.48</v>
      </c>
      <c r="J1584" s="24">
        <v>1.71</v>
      </c>
      <c r="K1584" s="24">
        <v>487.81</v>
      </c>
      <c r="L1584" s="38">
        <v>46276</v>
      </c>
      <c r="M1584" s="23" t="s">
        <v>106</v>
      </c>
      <c r="N1584" s="23" t="str">
        <f>IF(COUNTIF($A$2:A1584,A1584)&gt;1,"DUP","OK")</f>
        <v>OK</v>
      </c>
      <c r="O1584" s="23" t="str">
        <f t="shared" si="73"/>
        <v>ORD26002948</v>
      </c>
      <c r="P1584" s="23" t="str">
        <f t="shared" si="74"/>
        <v>Sep</v>
      </c>
      <c r="Q1584" s="23" t="str">
        <f>IF(F1584="CAPTURE",IF(COUNTIF(orders!$A:$A,O1584)&gt;0,"Yes","NO ORDER"),"")</f>
        <v>Yes</v>
      </c>
    </row>
    <row r="1585" spans="1:17" ht="15" customHeight="1" x14ac:dyDescent="0.3">
      <c r="A1585" s="23" t="s">
        <v>14260</v>
      </c>
      <c r="B1585" s="23"/>
      <c r="C1585" s="23" t="s">
        <v>6395</v>
      </c>
      <c r="D1585" s="23" t="str">
        <f t="shared" si="72"/>
        <v>ORD26002950</v>
      </c>
      <c r="E1585" s="38">
        <v>46274</v>
      </c>
      <c r="F1585" s="23" t="s">
        <v>12410</v>
      </c>
      <c r="G1585" s="23" t="s">
        <v>75</v>
      </c>
      <c r="H1585" s="24">
        <v>349</v>
      </c>
      <c r="I1585" s="24">
        <v>0</v>
      </c>
      <c r="J1585" s="24">
        <v>0</v>
      </c>
      <c r="K1585" s="24">
        <v>349</v>
      </c>
      <c r="L1585" s="38">
        <v>46276</v>
      </c>
      <c r="M1585" s="23" t="s">
        <v>106</v>
      </c>
      <c r="N1585" s="23" t="str">
        <f>IF(COUNTIF($A$2:A1585,A1585)&gt;1,"DUP","OK")</f>
        <v>OK</v>
      </c>
      <c r="O1585" s="23" t="str">
        <f t="shared" si="73"/>
        <v>ORD26002950</v>
      </c>
      <c r="P1585" s="23" t="str">
        <f t="shared" si="74"/>
        <v>Sep</v>
      </c>
      <c r="Q1585" s="23" t="str">
        <f>IF(F1585="CAPTURE",IF(COUNTIF(orders!$A:$A,O1585)&gt;0,"Yes","NO ORDER"),"")</f>
        <v>Yes</v>
      </c>
    </row>
    <row r="1586" spans="1:17" ht="15" customHeight="1" x14ac:dyDescent="0.3">
      <c r="A1586" s="23" t="s">
        <v>14261</v>
      </c>
      <c r="B1586" s="23"/>
      <c r="C1586" s="23" t="s">
        <v>14262</v>
      </c>
      <c r="D1586" s="23" t="str">
        <f t="shared" si="72"/>
        <v>ORD26002954</v>
      </c>
      <c r="E1586" s="38">
        <v>46274</v>
      </c>
      <c r="F1586" s="23" t="s">
        <v>12410</v>
      </c>
      <c r="G1586" s="23" t="s">
        <v>81</v>
      </c>
      <c r="H1586" s="24">
        <v>1499</v>
      </c>
      <c r="I1586" s="24">
        <v>22.49</v>
      </c>
      <c r="J1586" s="24">
        <v>4.05</v>
      </c>
      <c r="K1586" s="24">
        <v>1472.46</v>
      </c>
      <c r="L1586" s="38">
        <v>46276</v>
      </c>
      <c r="M1586" s="23" t="s">
        <v>106</v>
      </c>
      <c r="N1586" s="23" t="str">
        <f>IF(COUNTIF($A$2:A1586,A1586)&gt;1,"DUP","OK")</f>
        <v>OK</v>
      </c>
      <c r="O1586" s="23" t="str">
        <f t="shared" si="73"/>
        <v>ORD26002954</v>
      </c>
      <c r="P1586" s="23" t="str">
        <f t="shared" si="74"/>
        <v>Sep</v>
      </c>
      <c r="Q1586" s="23" t="str">
        <f>IF(F1586="CAPTURE",IF(COUNTIF(orders!$A:$A,O1586)&gt;0,"Yes","NO ORDER"),"")</f>
        <v>Yes</v>
      </c>
    </row>
    <row r="1587" spans="1:17" ht="15" customHeight="1" x14ac:dyDescent="0.3">
      <c r="A1587" s="23" t="s">
        <v>14263</v>
      </c>
      <c r="B1587" s="23"/>
      <c r="C1587" s="23" t="s">
        <v>6472</v>
      </c>
      <c r="D1587" s="23" t="str">
        <f t="shared" si="72"/>
        <v>ORD26002989</v>
      </c>
      <c r="E1587" s="38">
        <v>46274</v>
      </c>
      <c r="F1587" s="23" t="s">
        <v>12410</v>
      </c>
      <c r="G1587" s="23" t="s">
        <v>75</v>
      </c>
      <c r="H1587" s="24">
        <v>5498</v>
      </c>
      <c r="I1587" s="24">
        <v>16.489999999999998</v>
      </c>
      <c r="J1587" s="24">
        <v>2.97</v>
      </c>
      <c r="K1587" s="24">
        <v>5478.54</v>
      </c>
      <c r="L1587" s="38">
        <v>46276</v>
      </c>
      <c r="M1587" s="23" t="s">
        <v>106</v>
      </c>
      <c r="N1587" s="23" t="str">
        <f>IF(COUNTIF($A$2:A1587,A1587)&gt;1,"DUP","OK")</f>
        <v>OK</v>
      </c>
      <c r="O1587" s="23" t="str">
        <f t="shared" si="73"/>
        <v>ORD26002989</v>
      </c>
      <c r="P1587" s="23" t="str">
        <f t="shared" si="74"/>
        <v>Sep</v>
      </c>
      <c r="Q1587" s="23" t="str">
        <f>IF(F1587="CAPTURE",IF(COUNTIF(orders!$A:$A,O1587)&gt;0,"Yes","NO ORDER"),"")</f>
        <v>Yes</v>
      </c>
    </row>
    <row r="1588" spans="1:17" ht="15" customHeight="1" x14ac:dyDescent="0.3">
      <c r="A1588" s="23" t="s">
        <v>14264</v>
      </c>
      <c r="B1588" s="23"/>
      <c r="C1588" s="23" t="s">
        <v>6634</v>
      </c>
      <c r="D1588" s="23" t="str">
        <f t="shared" si="72"/>
        <v>ORD26003069</v>
      </c>
      <c r="E1588" s="38">
        <v>46274</v>
      </c>
      <c r="F1588" s="23" t="s">
        <v>12410</v>
      </c>
      <c r="G1588" s="23" t="s">
        <v>81</v>
      </c>
      <c r="H1588" s="24">
        <v>1299</v>
      </c>
      <c r="I1588" s="24">
        <v>19.489999999999998</v>
      </c>
      <c r="J1588" s="24">
        <v>3.51</v>
      </c>
      <c r="K1588" s="24">
        <v>1276</v>
      </c>
      <c r="L1588" s="38">
        <v>46276</v>
      </c>
      <c r="M1588" s="23" t="s">
        <v>106</v>
      </c>
      <c r="N1588" s="23" t="str">
        <f>IF(COUNTIF($A$2:A1588,A1588)&gt;1,"DUP","OK")</f>
        <v>OK</v>
      </c>
      <c r="O1588" s="23" t="str">
        <f t="shared" si="73"/>
        <v>ORD26003069</v>
      </c>
      <c r="P1588" s="23" t="str">
        <f t="shared" si="74"/>
        <v>Sep</v>
      </c>
      <c r="Q1588" s="23" t="str">
        <f>IF(F1588="CAPTURE",IF(COUNTIF(orders!$A:$A,O1588)&gt;0,"Yes","NO ORDER"),"")</f>
        <v>Yes</v>
      </c>
    </row>
    <row r="1589" spans="1:17" ht="15" customHeight="1" x14ac:dyDescent="0.3">
      <c r="A1589" s="23" t="s">
        <v>14265</v>
      </c>
      <c r="B1589" s="23"/>
      <c r="C1589" s="23" t="s">
        <v>6650</v>
      </c>
      <c r="D1589" s="23" t="str">
        <f t="shared" si="72"/>
        <v>ORD26003077</v>
      </c>
      <c r="E1589" s="38">
        <v>46274</v>
      </c>
      <c r="F1589" s="23" t="s">
        <v>12410</v>
      </c>
      <c r="G1589" s="23" t="s">
        <v>75</v>
      </c>
      <c r="H1589" s="24">
        <v>7497</v>
      </c>
      <c r="I1589" s="24">
        <v>22.49</v>
      </c>
      <c r="J1589" s="24">
        <v>4.05</v>
      </c>
      <c r="K1589" s="24">
        <v>7470.46</v>
      </c>
      <c r="L1589" s="38">
        <v>46276</v>
      </c>
      <c r="M1589" s="23" t="s">
        <v>106</v>
      </c>
      <c r="N1589" s="23" t="str">
        <f>IF(COUNTIF($A$2:A1589,A1589)&gt;1,"DUP","OK")</f>
        <v>OK</v>
      </c>
      <c r="O1589" s="23" t="str">
        <f t="shared" si="73"/>
        <v>ORD26003077</v>
      </c>
      <c r="P1589" s="23" t="str">
        <f t="shared" si="74"/>
        <v>Sep</v>
      </c>
      <c r="Q1589" s="23" t="str">
        <f>IF(F1589="CAPTURE",IF(COUNTIF(orders!$A:$A,O1589)&gt;0,"Yes","NO ORDER"),"")</f>
        <v>Yes</v>
      </c>
    </row>
    <row r="1590" spans="1:17" ht="15" customHeight="1" x14ac:dyDescent="0.3">
      <c r="A1590" s="23" t="s">
        <v>14266</v>
      </c>
      <c r="B1590" s="23"/>
      <c r="C1590" s="23" t="s">
        <v>6777</v>
      </c>
      <c r="D1590" s="23" t="str">
        <f t="shared" si="72"/>
        <v>ORD26003140</v>
      </c>
      <c r="E1590" s="38">
        <v>46274</v>
      </c>
      <c r="F1590" s="23" t="s">
        <v>12410</v>
      </c>
      <c r="G1590" s="23" t="s">
        <v>81</v>
      </c>
      <c r="H1590" s="24">
        <v>999</v>
      </c>
      <c r="I1590" s="24">
        <v>14.99</v>
      </c>
      <c r="J1590" s="24">
        <v>2.7</v>
      </c>
      <c r="K1590" s="24">
        <v>981.31</v>
      </c>
      <c r="L1590" s="38">
        <v>46276</v>
      </c>
      <c r="M1590" s="23" t="s">
        <v>106</v>
      </c>
      <c r="N1590" s="23" t="str">
        <f>IF(COUNTIF($A$2:A1590,A1590)&gt;1,"DUP","OK")</f>
        <v>OK</v>
      </c>
      <c r="O1590" s="23" t="str">
        <f t="shared" si="73"/>
        <v>ORD26003140</v>
      </c>
      <c r="P1590" s="23" t="str">
        <f t="shared" si="74"/>
        <v>Sep</v>
      </c>
      <c r="Q1590" s="23" t="str">
        <f>IF(F1590="CAPTURE",IF(COUNTIF(orders!$A:$A,O1590)&gt;0,"Yes","NO ORDER"),"")</f>
        <v>Yes</v>
      </c>
    </row>
    <row r="1591" spans="1:17" ht="15" customHeight="1" x14ac:dyDescent="0.3">
      <c r="A1591" s="23" t="s">
        <v>14267</v>
      </c>
      <c r="B1591" s="23"/>
      <c r="C1591" s="23" t="s">
        <v>6896</v>
      </c>
      <c r="D1591" s="23" t="str">
        <f t="shared" si="72"/>
        <v>ORD26003199</v>
      </c>
      <c r="E1591" s="38">
        <v>46274</v>
      </c>
      <c r="F1591" s="23" t="s">
        <v>12410</v>
      </c>
      <c r="G1591" s="23" t="s">
        <v>81</v>
      </c>
      <c r="H1591" s="24">
        <v>5298</v>
      </c>
      <c r="I1591" s="24">
        <v>63.58</v>
      </c>
      <c r="J1591" s="24">
        <v>11.44</v>
      </c>
      <c r="K1591" s="24">
        <v>5222.9799999999996</v>
      </c>
      <c r="L1591" s="38">
        <v>46276</v>
      </c>
      <c r="M1591" s="23" t="s">
        <v>106</v>
      </c>
      <c r="N1591" s="23" t="str">
        <f>IF(COUNTIF($A$2:A1591,A1591)&gt;1,"DUP","OK")</f>
        <v>OK</v>
      </c>
      <c r="O1591" s="23" t="str">
        <f t="shared" si="73"/>
        <v>ORD26003199</v>
      </c>
      <c r="P1591" s="23" t="str">
        <f t="shared" si="74"/>
        <v>Sep</v>
      </c>
      <c r="Q1591" s="23" t="str">
        <f>IF(F1591="CAPTURE",IF(COUNTIF(orders!$A:$A,O1591)&gt;0,"Yes","NO ORDER"),"")</f>
        <v>Yes</v>
      </c>
    </row>
    <row r="1592" spans="1:17" ht="15" customHeight="1" x14ac:dyDescent="0.3">
      <c r="A1592" s="23" t="s">
        <v>14268</v>
      </c>
      <c r="B1592" s="23"/>
      <c r="C1592" s="23" t="s">
        <v>6913</v>
      </c>
      <c r="D1592" s="23" t="str">
        <f t="shared" si="72"/>
        <v>ORD26003208</v>
      </c>
      <c r="E1592" s="38">
        <v>46274</v>
      </c>
      <c r="F1592" s="23" t="s">
        <v>12410</v>
      </c>
      <c r="G1592" s="23" t="s">
        <v>81</v>
      </c>
      <c r="H1592" s="24">
        <v>2098</v>
      </c>
      <c r="I1592" s="24">
        <v>25.18</v>
      </c>
      <c r="J1592" s="24">
        <v>4.53</v>
      </c>
      <c r="K1592" s="24">
        <v>2068.29</v>
      </c>
      <c r="L1592" s="38">
        <v>46276</v>
      </c>
      <c r="M1592" s="23" t="s">
        <v>106</v>
      </c>
      <c r="N1592" s="23" t="str">
        <f>IF(COUNTIF($A$2:A1592,A1592)&gt;1,"DUP","OK")</f>
        <v>OK</v>
      </c>
      <c r="O1592" s="23" t="str">
        <f t="shared" si="73"/>
        <v>ORD26003208</v>
      </c>
      <c r="P1592" s="23" t="str">
        <f t="shared" si="74"/>
        <v>Sep</v>
      </c>
      <c r="Q1592" s="23" t="str">
        <f>IF(F1592="CAPTURE",IF(COUNTIF(orders!$A:$A,O1592)&gt;0,"Yes","NO ORDER"),"")</f>
        <v>Yes</v>
      </c>
    </row>
    <row r="1593" spans="1:17" ht="15" customHeight="1" x14ac:dyDescent="0.3">
      <c r="A1593" s="23" t="s">
        <v>14269</v>
      </c>
      <c r="B1593" s="23"/>
      <c r="C1593" s="23" t="s">
        <v>14270</v>
      </c>
      <c r="D1593" s="23" t="str">
        <f t="shared" si="72"/>
        <v>ORD26003284</v>
      </c>
      <c r="E1593" s="38">
        <v>46274</v>
      </c>
      <c r="F1593" s="23" t="s">
        <v>12410</v>
      </c>
      <c r="G1593" s="23" t="s">
        <v>75</v>
      </c>
      <c r="H1593" s="24">
        <v>299</v>
      </c>
      <c r="I1593" s="24">
        <v>0</v>
      </c>
      <c r="J1593" s="24">
        <v>0</v>
      </c>
      <c r="K1593" s="24">
        <v>299</v>
      </c>
      <c r="L1593" s="38">
        <v>46276</v>
      </c>
      <c r="M1593" s="23" t="s">
        <v>106</v>
      </c>
      <c r="N1593" s="23" t="str">
        <f>IF(COUNTIF($A$2:A1593,A1593)&gt;1,"DUP","OK")</f>
        <v>OK</v>
      </c>
      <c r="O1593" s="23" t="str">
        <f t="shared" si="73"/>
        <v>ORD26003284</v>
      </c>
      <c r="P1593" s="23" t="str">
        <f t="shared" si="74"/>
        <v>Sep</v>
      </c>
      <c r="Q1593" s="23" t="str">
        <f>IF(F1593="CAPTURE",IF(COUNTIF(orders!$A:$A,O1593)&gt;0,"Yes","NO ORDER"),"")</f>
        <v>Yes</v>
      </c>
    </row>
    <row r="1594" spans="1:17" ht="15" customHeight="1" x14ac:dyDescent="0.3">
      <c r="A1594" s="23" t="s">
        <v>14271</v>
      </c>
      <c r="B1594" s="23"/>
      <c r="C1594" s="23" t="s">
        <v>7072</v>
      </c>
      <c r="D1594" s="23" t="str">
        <f t="shared" si="72"/>
        <v>ORD26003287</v>
      </c>
      <c r="E1594" s="38">
        <v>46274</v>
      </c>
      <c r="F1594" s="23" t="s">
        <v>12410</v>
      </c>
      <c r="G1594" s="23" t="s">
        <v>75</v>
      </c>
      <c r="H1594" s="24">
        <v>4997</v>
      </c>
      <c r="I1594" s="24">
        <v>14.99</v>
      </c>
      <c r="J1594" s="24">
        <v>2.7</v>
      </c>
      <c r="K1594" s="24">
        <v>4979.3100000000004</v>
      </c>
      <c r="L1594" s="38">
        <v>46276</v>
      </c>
      <c r="M1594" s="23" t="s">
        <v>106</v>
      </c>
      <c r="N1594" s="23" t="str">
        <f>IF(COUNTIF($A$2:A1594,A1594)&gt;1,"DUP","OK")</f>
        <v>OK</v>
      </c>
      <c r="O1594" s="23" t="str">
        <f t="shared" si="73"/>
        <v>ORD26003287</v>
      </c>
      <c r="P1594" s="23" t="str">
        <f t="shared" si="74"/>
        <v>Sep</v>
      </c>
      <c r="Q1594" s="23" t="str">
        <f>IF(F1594="CAPTURE",IF(COUNTIF(orders!$A:$A,O1594)&gt;0,"Yes","NO ORDER"),"")</f>
        <v>Yes</v>
      </c>
    </row>
    <row r="1595" spans="1:17" ht="15" customHeight="1" x14ac:dyDescent="0.3">
      <c r="A1595" s="23" t="s">
        <v>14272</v>
      </c>
      <c r="B1595" s="23"/>
      <c r="C1595" s="23" t="s">
        <v>14273</v>
      </c>
      <c r="D1595" s="23" t="str">
        <f t="shared" si="72"/>
        <v>ORD26003297</v>
      </c>
      <c r="E1595" s="38">
        <v>46274</v>
      </c>
      <c r="F1595" s="23" t="s">
        <v>12410</v>
      </c>
      <c r="G1595" s="23" t="s">
        <v>75</v>
      </c>
      <c r="H1595" s="24">
        <v>349</v>
      </c>
      <c r="I1595" s="24">
        <v>0</v>
      </c>
      <c r="J1595" s="24">
        <v>0</v>
      </c>
      <c r="K1595" s="24">
        <v>349</v>
      </c>
      <c r="L1595" s="38">
        <v>46276</v>
      </c>
      <c r="M1595" s="23" t="s">
        <v>106</v>
      </c>
      <c r="N1595" s="23" t="str">
        <f>IF(COUNTIF($A$2:A1595,A1595)&gt;1,"DUP","OK")</f>
        <v>OK</v>
      </c>
      <c r="O1595" s="23" t="str">
        <f t="shared" si="73"/>
        <v>ORD26003297</v>
      </c>
      <c r="P1595" s="23" t="str">
        <f t="shared" si="74"/>
        <v>Sep</v>
      </c>
      <c r="Q1595" s="23" t="str">
        <f>IF(F1595="CAPTURE",IF(COUNTIF(orders!$A:$A,O1595)&gt;0,"Yes","NO ORDER"),"")</f>
        <v>Yes</v>
      </c>
    </row>
    <row r="1596" spans="1:17" ht="15" customHeight="1" x14ac:dyDescent="0.3">
      <c r="A1596" s="23" t="s">
        <v>14274</v>
      </c>
      <c r="B1596" s="23"/>
      <c r="C1596" s="23" t="s">
        <v>7094</v>
      </c>
      <c r="D1596" s="23" t="str">
        <f t="shared" si="72"/>
        <v>ORD26003298</v>
      </c>
      <c r="E1596" s="38">
        <v>46274</v>
      </c>
      <c r="F1596" s="23" t="s">
        <v>12410</v>
      </c>
      <c r="G1596" s="23" t="s">
        <v>75</v>
      </c>
      <c r="H1596" s="24">
        <v>4797</v>
      </c>
      <c r="I1596" s="24">
        <v>14.39</v>
      </c>
      <c r="J1596" s="24">
        <v>2.59</v>
      </c>
      <c r="K1596" s="24">
        <v>4780.0200000000004</v>
      </c>
      <c r="L1596" s="38">
        <v>46276</v>
      </c>
      <c r="M1596" s="23" t="s">
        <v>106</v>
      </c>
      <c r="N1596" s="23" t="str">
        <f>IF(COUNTIF($A$2:A1596,A1596)&gt;1,"DUP","OK")</f>
        <v>OK</v>
      </c>
      <c r="O1596" s="23" t="str">
        <f t="shared" si="73"/>
        <v>ORD26003298</v>
      </c>
      <c r="P1596" s="23" t="str">
        <f t="shared" si="74"/>
        <v>Sep</v>
      </c>
      <c r="Q1596" s="23" t="str">
        <f>IF(F1596="CAPTURE",IF(COUNTIF(orders!$A:$A,O1596)&gt;0,"Yes","NO ORDER"),"")</f>
        <v>Yes</v>
      </c>
    </row>
    <row r="1597" spans="1:17" ht="15" customHeight="1" x14ac:dyDescent="0.3">
      <c r="A1597" s="23" t="s">
        <v>14275</v>
      </c>
      <c r="B1597" s="23"/>
      <c r="C1597" s="23" t="s">
        <v>7174</v>
      </c>
      <c r="D1597" s="23" t="str">
        <f t="shared" si="72"/>
        <v>ORD26003338</v>
      </c>
      <c r="E1597" s="38">
        <v>46274</v>
      </c>
      <c r="F1597" s="23" t="s">
        <v>12410</v>
      </c>
      <c r="G1597" s="23" t="s">
        <v>75</v>
      </c>
      <c r="H1597" s="24">
        <v>3998</v>
      </c>
      <c r="I1597" s="24">
        <v>11.99</v>
      </c>
      <c r="J1597" s="24">
        <v>2.16</v>
      </c>
      <c r="K1597" s="24">
        <v>3983.85</v>
      </c>
      <c r="L1597" s="38">
        <v>46276</v>
      </c>
      <c r="M1597" s="23" t="s">
        <v>106</v>
      </c>
      <c r="N1597" s="23" t="str">
        <f>IF(COUNTIF($A$2:A1597,A1597)&gt;1,"DUP","OK")</f>
        <v>OK</v>
      </c>
      <c r="O1597" s="23" t="str">
        <f t="shared" si="73"/>
        <v>ORD26003338</v>
      </c>
      <c r="P1597" s="23" t="str">
        <f t="shared" si="74"/>
        <v>Sep</v>
      </c>
      <c r="Q1597" s="23" t="str">
        <f>IF(F1597="CAPTURE",IF(COUNTIF(orders!$A:$A,O1597)&gt;0,"Yes","NO ORDER"),"")</f>
        <v>Yes</v>
      </c>
    </row>
    <row r="1598" spans="1:17" ht="15" customHeight="1" x14ac:dyDescent="0.3">
      <c r="A1598" s="23" t="s">
        <v>14276</v>
      </c>
      <c r="B1598" s="23"/>
      <c r="C1598" s="23" t="s">
        <v>14277</v>
      </c>
      <c r="D1598" s="23" t="str">
        <f t="shared" si="72"/>
        <v>ORD26003390</v>
      </c>
      <c r="E1598" s="38">
        <v>46274</v>
      </c>
      <c r="F1598" s="23" t="s">
        <v>12410</v>
      </c>
      <c r="G1598" s="23" t="s">
        <v>79</v>
      </c>
      <c r="H1598" s="24">
        <v>7999</v>
      </c>
      <c r="I1598" s="24">
        <v>127.98</v>
      </c>
      <c r="J1598" s="24">
        <v>23.04</v>
      </c>
      <c r="K1598" s="24">
        <v>7847.98</v>
      </c>
      <c r="L1598" s="38">
        <v>46276</v>
      </c>
      <c r="M1598" s="23" t="s">
        <v>106</v>
      </c>
      <c r="N1598" s="23" t="str">
        <f>IF(COUNTIF($A$2:A1598,A1598)&gt;1,"DUP","OK")</f>
        <v>OK</v>
      </c>
      <c r="O1598" s="23" t="str">
        <f t="shared" si="73"/>
        <v>ORD26003390</v>
      </c>
      <c r="P1598" s="23" t="str">
        <f t="shared" si="74"/>
        <v>Sep</v>
      </c>
      <c r="Q1598" s="23" t="str">
        <f>IF(F1598="CAPTURE",IF(COUNTIF(orders!$A:$A,O1598)&gt;0,"Yes","NO ORDER"),"")</f>
        <v>Yes</v>
      </c>
    </row>
    <row r="1599" spans="1:17" ht="15" customHeight="1" x14ac:dyDescent="0.3">
      <c r="A1599" s="23" t="s">
        <v>14278</v>
      </c>
      <c r="B1599" s="23"/>
      <c r="C1599" s="23" t="s">
        <v>7410</v>
      </c>
      <c r="D1599" s="23" t="str">
        <f t="shared" si="72"/>
        <v>ORD26003455</v>
      </c>
      <c r="E1599" s="38">
        <v>46274</v>
      </c>
      <c r="F1599" s="23" t="s">
        <v>12410</v>
      </c>
      <c r="G1599" s="23" t="s">
        <v>81</v>
      </c>
      <c r="H1599" s="24">
        <v>999</v>
      </c>
      <c r="I1599" s="24">
        <v>14.99</v>
      </c>
      <c r="J1599" s="24">
        <v>2.7</v>
      </c>
      <c r="K1599" s="24">
        <v>981.31</v>
      </c>
      <c r="L1599" s="38">
        <v>46276</v>
      </c>
      <c r="M1599" s="23" t="s">
        <v>106</v>
      </c>
      <c r="N1599" s="23" t="str">
        <f>IF(COUNTIF($A$2:A1599,A1599)&gt;1,"DUP","OK")</f>
        <v>OK</v>
      </c>
      <c r="O1599" s="23" t="str">
        <f t="shared" si="73"/>
        <v>ORD26003455</v>
      </c>
      <c r="P1599" s="23" t="str">
        <f t="shared" si="74"/>
        <v>Sep</v>
      </c>
      <c r="Q1599" s="23" t="str">
        <f>IF(F1599="CAPTURE",IF(COUNTIF(orders!$A:$A,O1599)&gt;0,"Yes","NO ORDER"),"")</f>
        <v>Yes</v>
      </c>
    </row>
    <row r="1600" spans="1:17" ht="15" customHeight="1" x14ac:dyDescent="0.3">
      <c r="A1600" s="23" t="s">
        <v>14279</v>
      </c>
      <c r="B1600" s="23"/>
      <c r="C1600" s="23" t="s">
        <v>7584</v>
      </c>
      <c r="D1600" s="23" t="str">
        <f t="shared" si="72"/>
        <v>ORD26003544</v>
      </c>
      <c r="E1600" s="38">
        <v>46274</v>
      </c>
      <c r="F1600" s="23" t="s">
        <v>12410</v>
      </c>
      <c r="G1600" s="23" t="s">
        <v>75</v>
      </c>
      <c r="H1600" s="24">
        <v>499</v>
      </c>
      <c r="I1600" s="24">
        <v>0</v>
      </c>
      <c r="J1600" s="24">
        <v>0</v>
      </c>
      <c r="K1600" s="24">
        <v>499</v>
      </c>
      <c r="L1600" s="38">
        <v>46276</v>
      </c>
      <c r="M1600" s="23" t="s">
        <v>106</v>
      </c>
      <c r="N1600" s="23" t="str">
        <f>IF(COUNTIF($A$2:A1600,A1600)&gt;1,"DUP","OK")</f>
        <v>OK</v>
      </c>
      <c r="O1600" s="23" t="str">
        <f t="shared" si="73"/>
        <v>ORD26003544</v>
      </c>
      <c r="P1600" s="23" t="str">
        <f t="shared" si="74"/>
        <v>Sep</v>
      </c>
      <c r="Q1600" s="23" t="str">
        <f>IF(F1600="CAPTURE",IF(COUNTIF(orders!$A:$A,O1600)&gt;0,"Yes","NO ORDER"),"")</f>
        <v>Yes</v>
      </c>
    </row>
    <row r="1601" spans="1:17" ht="15" customHeight="1" x14ac:dyDescent="0.3">
      <c r="A1601" s="23" t="s">
        <v>14280</v>
      </c>
      <c r="B1601" s="23"/>
      <c r="C1601" s="23" t="s">
        <v>14281</v>
      </c>
      <c r="D1601" s="23" t="str">
        <f t="shared" si="72"/>
        <v>ORD26003614</v>
      </c>
      <c r="E1601" s="38">
        <v>46274</v>
      </c>
      <c r="F1601" s="23" t="s">
        <v>12410</v>
      </c>
      <c r="G1601" s="23" t="s">
        <v>79</v>
      </c>
      <c r="H1601" s="24">
        <v>1499</v>
      </c>
      <c r="I1601" s="24">
        <v>26.98</v>
      </c>
      <c r="J1601" s="24">
        <v>4.8600000000000003</v>
      </c>
      <c r="K1601" s="24">
        <v>1467.16</v>
      </c>
      <c r="L1601" s="38">
        <v>46276</v>
      </c>
      <c r="M1601" s="23" t="s">
        <v>106</v>
      </c>
      <c r="N1601" s="23" t="str">
        <f>IF(COUNTIF($A$2:A1601,A1601)&gt;1,"DUP","OK")</f>
        <v>OK</v>
      </c>
      <c r="O1601" s="23" t="str">
        <f t="shared" si="73"/>
        <v>ORD26003614</v>
      </c>
      <c r="P1601" s="23" t="str">
        <f t="shared" si="74"/>
        <v>Sep</v>
      </c>
      <c r="Q1601" s="23" t="str">
        <f>IF(F1601="CAPTURE",IF(COUNTIF(orders!$A:$A,O1601)&gt;0,"Yes","NO ORDER"),"")</f>
        <v>Yes</v>
      </c>
    </row>
    <row r="1602" spans="1:17" ht="15" customHeight="1" x14ac:dyDescent="0.3">
      <c r="A1602" s="23" t="s">
        <v>14282</v>
      </c>
      <c r="B1602" s="23"/>
      <c r="C1602" s="23" t="s">
        <v>14283</v>
      </c>
      <c r="D1602" s="23" t="str">
        <f t="shared" ref="D1602:D1665" si="75">UPPER(SUBSTITUTE(TRIM(C1602),"-",""))</f>
        <v>ORD26003737</v>
      </c>
      <c r="E1602" s="38">
        <v>46274</v>
      </c>
      <c r="F1602" s="23" t="s">
        <v>12410</v>
      </c>
      <c r="G1602" s="23" t="s">
        <v>75</v>
      </c>
      <c r="H1602" s="24">
        <v>499</v>
      </c>
      <c r="I1602" s="24">
        <v>1.5</v>
      </c>
      <c r="J1602" s="24">
        <v>0.27</v>
      </c>
      <c r="K1602" s="24">
        <v>497.23</v>
      </c>
      <c r="L1602" s="38">
        <v>46276</v>
      </c>
      <c r="M1602" s="23" t="s">
        <v>106</v>
      </c>
      <c r="N1602" s="23" t="str">
        <f>IF(COUNTIF($A$2:A1602,A1602)&gt;1,"DUP","OK")</f>
        <v>OK</v>
      </c>
      <c r="O1602" s="23" t="str">
        <f t="shared" ref="O1602:O1665" si="76">IF(F1602="REFUND",INDEX($D:$D,MATCH(B1602,$A:$A,0)),D1602)</f>
        <v>ORD26003737</v>
      </c>
      <c r="P1602" s="23" t="str">
        <f t="shared" ref="P1602:P1665" si="77">IF(L1602&gt;DATE(2026,9,30),"Oct-Due","Sep")</f>
        <v>Sep</v>
      </c>
      <c r="Q1602" s="23" t="str">
        <f>IF(F1602="CAPTURE",IF(COUNTIF(orders!$A:$A,O1602)&gt;0,"Yes","NO ORDER"),"")</f>
        <v>Yes</v>
      </c>
    </row>
    <row r="1603" spans="1:17" ht="15" customHeight="1" x14ac:dyDescent="0.3">
      <c r="A1603" s="23" t="s">
        <v>14284</v>
      </c>
      <c r="B1603" s="23"/>
      <c r="C1603" s="23" t="s">
        <v>7972</v>
      </c>
      <c r="D1603" s="23" t="str">
        <f t="shared" si="75"/>
        <v>ORD26003742</v>
      </c>
      <c r="E1603" s="38">
        <v>46274</v>
      </c>
      <c r="F1603" s="23" t="s">
        <v>12410</v>
      </c>
      <c r="G1603" s="23" t="s">
        <v>75</v>
      </c>
      <c r="H1603" s="24">
        <v>2499</v>
      </c>
      <c r="I1603" s="24">
        <v>7.5</v>
      </c>
      <c r="J1603" s="24">
        <v>1.35</v>
      </c>
      <c r="K1603" s="24">
        <v>2490.15</v>
      </c>
      <c r="L1603" s="38">
        <v>46276</v>
      </c>
      <c r="M1603" s="23" t="s">
        <v>106</v>
      </c>
      <c r="N1603" s="23" t="str">
        <f>IF(COUNTIF($A$2:A1603,A1603)&gt;1,"DUP","OK")</f>
        <v>OK</v>
      </c>
      <c r="O1603" s="23" t="str">
        <f t="shared" si="76"/>
        <v>ORD26003742</v>
      </c>
      <c r="P1603" s="23" t="str">
        <f t="shared" si="77"/>
        <v>Sep</v>
      </c>
      <c r="Q1603" s="23" t="str">
        <f>IF(F1603="CAPTURE",IF(COUNTIF(orders!$A:$A,O1603)&gt;0,"Yes","NO ORDER"),"")</f>
        <v>Yes</v>
      </c>
    </row>
    <row r="1604" spans="1:17" ht="15" customHeight="1" x14ac:dyDescent="0.3">
      <c r="A1604" s="23" t="s">
        <v>14285</v>
      </c>
      <c r="B1604" s="23"/>
      <c r="C1604" s="23" t="s">
        <v>8034</v>
      </c>
      <c r="D1604" s="23" t="str">
        <f t="shared" si="75"/>
        <v>ORD26003773</v>
      </c>
      <c r="E1604" s="38">
        <v>46274</v>
      </c>
      <c r="F1604" s="23" t="s">
        <v>12410</v>
      </c>
      <c r="G1604" s="23" t="s">
        <v>77</v>
      </c>
      <c r="H1604" s="24">
        <v>499</v>
      </c>
      <c r="I1604" s="24">
        <v>9.48</v>
      </c>
      <c r="J1604" s="24">
        <v>1.71</v>
      </c>
      <c r="K1604" s="24">
        <v>487.81</v>
      </c>
      <c r="L1604" s="38">
        <v>46276</v>
      </c>
      <c r="M1604" s="23" t="s">
        <v>106</v>
      </c>
      <c r="N1604" s="23" t="str">
        <f>IF(COUNTIF($A$2:A1604,A1604)&gt;1,"DUP","OK")</f>
        <v>OK</v>
      </c>
      <c r="O1604" s="23" t="str">
        <f t="shared" si="76"/>
        <v>ORD26003773</v>
      </c>
      <c r="P1604" s="23" t="str">
        <f t="shared" si="77"/>
        <v>Sep</v>
      </c>
      <c r="Q1604" s="23" t="str">
        <f>IF(F1604="CAPTURE",IF(COUNTIF(orders!$A:$A,O1604)&gt;0,"Yes","NO ORDER"),"")</f>
        <v>Yes</v>
      </c>
    </row>
    <row r="1605" spans="1:17" ht="15" customHeight="1" x14ac:dyDescent="0.3">
      <c r="A1605" s="23" t="s">
        <v>14286</v>
      </c>
      <c r="B1605" s="23"/>
      <c r="C1605" s="23" t="s">
        <v>8156</v>
      </c>
      <c r="D1605" s="23" t="str">
        <f t="shared" si="75"/>
        <v>ORD26003834</v>
      </c>
      <c r="E1605" s="38">
        <v>46274</v>
      </c>
      <c r="F1605" s="23" t="s">
        <v>12410</v>
      </c>
      <c r="G1605" s="23" t="s">
        <v>79</v>
      </c>
      <c r="H1605" s="24">
        <v>3797</v>
      </c>
      <c r="I1605" s="24">
        <v>60.75</v>
      </c>
      <c r="J1605" s="24">
        <v>10.94</v>
      </c>
      <c r="K1605" s="24">
        <v>3725.31</v>
      </c>
      <c r="L1605" s="38">
        <v>46276</v>
      </c>
      <c r="M1605" s="23" t="s">
        <v>106</v>
      </c>
      <c r="N1605" s="23" t="str">
        <f>IF(COUNTIF($A$2:A1605,A1605)&gt;1,"DUP","OK")</f>
        <v>OK</v>
      </c>
      <c r="O1605" s="23" t="str">
        <f t="shared" si="76"/>
        <v>ORD26003834</v>
      </c>
      <c r="P1605" s="23" t="str">
        <f t="shared" si="77"/>
        <v>Sep</v>
      </c>
      <c r="Q1605" s="23" t="str">
        <f>IF(F1605="CAPTURE",IF(COUNTIF(orders!$A:$A,O1605)&gt;0,"Yes","NO ORDER"),"")</f>
        <v>Yes</v>
      </c>
    </row>
    <row r="1606" spans="1:17" ht="15" customHeight="1" x14ac:dyDescent="0.3">
      <c r="A1606" s="23" t="s">
        <v>14287</v>
      </c>
      <c r="B1606" s="23"/>
      <c r="C1606" s="23" t="s">
        <v>8192</v>
      </c>
      <c r="D1606" s="23" t="str">
        <f t="shared" si="75"/>
        <v>ORD26003852</v>
      </c>
      <c r="E1606" s="38">
        <v>46274</v>
      </c>
      <c r="F1606" s="23" t="s">
        <v>12410</v>
      </c>
      <c r="G1606" s="23" t="s">
        <v>75</v>
      </c>
      <c r="H1606" s="24">
        <v>10998</v>
      </c>
      <c r="I1606" s="24">
        <v>32.99</v>
      </c>
      <c r="J1606" s="24">
        <v>5.94</v>
      </c>
      <c r="K1606" s="24">
        <v>10959.07</v>
      </c>
      <c r="L1606" s="38">
        <v>46276</v>
      </c>
      <c r="M1606" s="23" t="s">
        <v>106</v>
      </c>
      <c r="N1606" s="23" t="str">
        <f>IF(COUNTIF($A$2:A1606,A1606)&gt;1,"DUP","OK")</f>
        <v>OK</v>
      </c>
      <c r="O1606" s="23" t="str">
        <f t="shared" si="76"/>
        <v>ORD26003852</v>
      </c>
      <c r="P1606" s="23" t="str">
        <f t="shared" si="77"/>
        <v>Sep</v>
      </c>
      <c r="Q1606" s="23" t="str">
        <f>IF(F1606="CAPTURE",IF(COUNTIF(orders!$A:$A,O1606)&gt;0,"Yes","NO ORDER"),"")</f>
        <v>Yes</v>
      </c>
    </row>
    <row r="1607" spans="1:17" ht="15" customHeight="1" x14ac:dyDescent="0.3">
      <c r="A1607" s="23" t="s">
        <v>14288</v>
      </c>
      <c r="B1607" s="23"/>
      <c r="C1607" s="23" t="s">
        <v>14289</v>
      </c>
      <c r="D1607" s="23" t="str">
        <f t="shared" si="75"/>
        <v>ORD26003893</v>
      </c>
      <c r="E1607" s="38">
        <v>46274</v>
      </c>
      <c r="F1607" s="23" t="s">
        <v>12410</v>
      </c>
      <c r="G1607" s="23" t="s">
        <v>75</v>
      </c>
      <c r="H1607" s="24">
        <v>4147</v>
      </c>
      <c r="I1607" s="24">
        <v>12.44</v>
      </c>
      <c r="J1607" s="24">
        <v>2.2400000000000002</v>
      </c>
      <c r="K1607" s="24">
        <v>4132.32</v>
      </c>
      <c r="L1607" s="38">
        <v>46276</v>
      </c>
      <c r="M1607" s="23" t="s">
        <v>106</v>
      </c>
      <c r="N1607" s="23" t="str">
        <f>IF(COUNTIF($A$2:A1607,A1607)&gt;1,"DUP","OK")</f>
        <v>OK</v>
      </c>
      <c r="O1607" s="23" t="str">
        <f t="shared" si="76"/>
        <v>ORD26003893</v>
      </c>
      <c r="P1607" s="23" t="str">
        <f t="shared" si="77"/>
        <v>Sep</v>
      </c>
      <c r="Q1607" s="23" t="str">
        <f>IF(F1607="CAPTURE",IF(COUNTIF(orders!$A:$A,O1607)&gt;0,"Yes","NO ORDER"),"")</f>
        <v>Yes</v>
      </c>
    </row>
    <row r="1608" spans="1:17" ht="15" customHeight="1" x14ac:dyDescent="0.3">
      <c r="A1608" s="23" t="s">
        <v>14290</v>
      </c>
      <c r="B1608" s="23"/>
      <c r="C1608" s="23" t="s">
        <v>8325</v>
      </c>
      <c r="D1608" s="23" t="str">
        <f t="shared" si="75"/>
        <v>ORD26003919</v>
      </c>
      <c r="E1608" s="38">
        <v>46274</v>
      </c>
      <c r="F1608" s="23" t="s">
        <v>12410</v>
      </c>
      <c r="G1608" s="23" t="s">
        <v>75</v>
      </c>
      <c r="H1608" s="24">
        <v>8997</v>
      </c>
      <c r="I1608" s="24">
        <v>26.99</v>
      </c>
      <c r="J1608" s="24">
        <v>4.8600000000000003</v>
      </c>
      <c r="K1608" s="24">
        <v>8965.15</v>
      </c>
      <c r="L1608" s="38">
        <v>46276</v>
      </c>
      <c r="M1608" s="23" t="s">
        <v>106</v>
      </c>
      <c r="N1608" s="23" t="str">
        <f>IF(COUNTIF($A$2:A1608,A1608)&gt;1,"DUP","OK")</f>
        <v>OK</v>
      </c>
      <c r="O1608" s="23" t="str">
        <f t="shared" si="76"/>
        <v>ORD26003919</v>
      </c>
      <c r="P1608" s="23" t="str">
        <f t="shared" si="77"/>
        <v>Sep</v>
      </c>
      <c r="Q1608" s="23" t="str">
        <f>IF(F1608="CAPTURE",IF(COUNTIF(orders!$A:$A,O1608)&gt;0,"Yes","NO ORDER"),"")</f>
        <v>Yes</v>
      </c>
    </row>
    <row r="1609" spans="1:17" ht="15" customHeight="1" x14ac:dyDescent="0.3">
      <c r="A1609" s="23" t="s">
        <v>14291</v>
      </c>
      <c r="B1609" s="23"/>
      <c r="C1609" s="23" t="s">
        <v>8344</v>
      </c>
      <c r="D1609" s="23" t="str">
        <f t="shared" si="75"/>
        <v>ORD26003929</v>
      </c>
      <c r="E1609" s="38">
        <v>46274</v>
      </c>
      <c r="F1609" s="23" t="s">
        <v>12410</v>
      </c>
      <c r="G1609" s="23" t="s">
        <v>79</v>
      </c>
      <c r="H1609" s="24">
        <v>2147</v>
      </c>
      <c r="I1609" s="24">
        <v>34.35</v>
      </c>
      <c r="J1609" s="24">
        <v>6.18</v>
      </c>
      <c r="K1609" s="24">
        <v>2106.4699999999998</v>
      </c>
      <c r="L1609" s="38">
        <v>46276</v>
      </c>
      <c r="M1609" s="23" t="s">
        <v>106</v>
      </c>
      <c r="N1609" s="23" t="str">
        <f>IF(COUNTIF($A$2:A1609,A1609)&gt;1,"DUP","OK")</f>
        <v>OK</v>
      </c>
      <c r="O1609" s="23" t="str">
        <f t="shared" si="76"/>
        <v>ORD26003929</v>
      </c>
      <c r="P1609" s="23" t="str">
        <f t="shared" si="77"/>
        <v>Sep</v>
      </c>
      <c r="Q1609" s="23" t="str">
        <f>IF(F1609="CAPTURE",IF(COUNTIF(orders!$A:$A,O1609)&gt;0,"Yes","NO ORDER"),"")</f>
        <v>Yes</v>
      </c>
    </row>
    <row r="1610" spans="1:17" ht="15" customHeight="1" x14ac:dyDescent="0.3">
      <c r="A1610" s="23" t="s">
        <v>14292</v>
      </c>
      <c r="B1610" s="23"/>
      <c r="C1610" s="23" t="s">
        <v>8499</v>
      </c>
      <c r="D1610" s="23" t="str">
        <f t="shared" si="75"/>
        <v>ORD26004007</v>
      </c>
      <c r="E1610" s="38">
        <v>46274</v>
      </c>
      <c r="F1610" s="23" t="s">
        <v>12410</v>
      </c>
      <c r="G1610" s="23" t="s">
        <v>79</v>
      </c>
      <c r="H1610" s="24">
        <v>8298</v>
      </c>
      <c r="I1610" s="24">
        <v>132.77000000000001</v>
      </c>
      <c r="J1610" s="24">
        <v>23.9</v>
      </c>
      <c r="K1610" s="24">
        <v>8141.33</v>
      </c>
      <c r="L1610" s="38">
        <v>46276</v>
      </c>
      <c r="M1610" s="23" t="s">
        <v>106</v>
      </c>
      <c r="N1610" s="23" t="str">
        <f>IF(COUNTIF($A$2:A1610,A1610)&gt;1,"DUP","OK")</f>
        <v>OK</v>
      </c>
      <c r="O1610" s="23" t="str">
        <f t="shared" si="76"/>
        <v>ORD26004007</v>
      </c>
      <c r="P1610" s="23" t="str">
        <f t="shared" si="77"/>
        <v>Sep</v>
      </c>
      <c r="Q1610" s="23" t="str">
        <f>IF(F1610="CAPTURE",IF(COUNTIF(orders!$A:$A,O1610)&gt;0,"Yes","NO ORDER"),"")</f>
        <v>Yes</v>
      </c>
    </row>
    <row r="1611" spans="1:17" ht="15" customHeight="1" x14ac:dyDescent="0.3">
      <c r="A1611" s="23" t="s">
        <v>14293</v>
      </c>
      <c r="B1611" s="23"/>
      <c r="C1611" s="23" t="s">
        <v>8576</v>
      </c>
      <c r="D1611" s="23" t="str">
        <f t="shared" si="75"/>
        <v>ORD26004046</v>
      </c>
      <c r="E1611" s="38">
        <v>46274</v>
      </c>
      <c r="F1611" s="23" t="s">
        <v>12410</v>
      </c>
      <c r="G1611" s="23" t="s">
        <v>75</v>
      </c>
      <c r="H1611" s="24">
        <v>999</v>
      </c>
      <c r="I1611" s="24">
        <v>0</v>
      </c>
      <c r="J1611" s="24">
        <v>0</v>
      </c>
      <c r="K1611" s="24">
        <v>999</v>
      </c>
      <c r="L1611" s="38">
        <v>46276</v>
      </c>
      <c r="M1611" s="23" t="s">
        <v>106</v>
      </c>
      <c r="N1611" s="23" t="str">
        <f>IF(COUNTIF($A$2:A1611,A1611)&gt;1,"DUP","OK")</f>
        <v>OK</v>
      </c>
      <c r="O1611" s="23" t="str">
        <f t="shared" si="76"/>
        <v>ORD26004046</v>
      </c>
      <c r="P1611" s="23" t="str">
        <f t="shared" si="77"/>
        <v>Sep</v>
      </c>
      <c r="Q1611" s="23" t="str">
        <f>IF(F1611="CAPTURE",IF(COUNTIF(orders!$A:$A,O1611)&gt;0,"Yes","NO ORDER"),"")</f>
        <v>Yes</v>
      </c>
    </row>
    <row r="1612" spans="1:17" ht="15" customHeight="1" x14ac:dyDescent="0.3">
      <c r="A1612" s="23" t="s">
        <v>14294</v>
      </c>
      <c r="B1612" s="23"/>
      <c r="C1612" s="23" t="s">
        <v>8717</v>
      </c>
      <c r="D1612" s="23" t="str">
        <f t="shared" si="75"/>
        <v>ORD26004118</v>
      </c>
      <c r="E1612" s="38">
        <v>46274</v>
      </c>
      <c r="F1612" s="23" t="s">
        <v>12410</v>
      </c>
      <c r="G1612" s="23" t="s">
        <v>75</v>
      </c>
      <c r="H1612" s="24">
        <v>3598</v>
      </c>
      <c r="I1612" s="24">
        <v>10.79</v>
      </c>
      <c r="J1612" s="24">
        <v>1.94</v>
      </c>
      <c r="K1612" s="24">
        <v>3585.27</v>
      </c>
      <c r="L1612" s="38">
        <v>46276</v>
      </c>
      <c r="M1612" s="23" t="s">
        <v>106</v>
      </c>
      <c r="N1612" s="23" t="str">
        <f>IF(COUNTIF($A$2:A1612,A1612)&gt;1,"DUP","OK")</f>
        <v>OK</v>
      </c>
      <c r="O1612" s="23" t="str">
        <f t="shared" si="76"/>
        <v>ORD26004118</v>
      </c>
      <c r="P1612" s="23" t="str">
        <f t="shared" si="77"/>
        <v>Sep</v>
      </c>
      <c r="Q1612" s="23" t="str">
        <f>IF(F1612="CAPTURE",IF(COUNTIF(orders!$A:$A,O1612)&gt;0,"Yes","NO ORDER"),"")</f>
        <v>Yes</v>
      </c>
    </row>
    <row r="1613" spans="1:17" ht="15" customHeight="1" x14ac:dyDescent="0.3">
      <c r="A1613" s="23" t="s">
        <v>14295</v>
      </c>
      <c r="B1613" s="23"/>
      <c r="C1613" s="23" t="s">
        <v>8722</v>
      </c>
      <c r="D1613" s="23" t="str">
        <f t="shared" si="75"/>
        <v>ORD26004121</v>
      </c>
      <c r="E1613" s="38">
        <v>46274</v>
      </c>
      <c r="F1613" s="23" t="s">
        <v>12410</v>
      </c>
      <c r="G1613" s="23" t="s">
        <v>79</v>
      </c>
      <c r="H1613" s="24">
        <v>349</v>
      </c>
      <c r="I1613" s="24">
        <v>6.28</v>
      </c>
      <c r="J1613" s="24">
        <v>1.1299999999999999</v>
      </c>
      <c r="K1613" s="24">
        <v>341.59</v>
      </c>
      <c r="L1613" s="38">
        <v>46276</v>
      </c>
      <c r="M1613" s="23" t="s">
        <v>106</v>
      </c>
      <c r="N1613" s="23" t="str">
        <f>IF(COUNTIF($A$2:A1613,A1613)&gt;1,"DUP","OK")</f>
        <v>OK</v>
      </c>
      <c r="O1613" s="23" t="str">
        <f t="shared" si="76"/>
        <v>ORD26004121</v>
      </c>
      <c r="P1613" s="23" t="str">
        <f t="shared" si="77"/>
        <v>Sep</v>
      </c>
      <c r="Q1613" s="23" t="str">
        <f>IF(F1613="CAPTURE",IF(COUNTIF(orders!$A:$A,O1613)&gt;0,"Yes","NO ORDER"),"")</f>
        <v>Yes</v>
      </c>
    </row>
    <row r="1614" spans="1:17" ht="15" customHeight="1" x14ac:dyDescent="0.3">
      <c r="A1614" s="23" t="s">
        <v>14296</v>
      </c>
      <c r="B1614" s="23"/>
      <c r="C1614" s="23" t="s">
        <v>8919</v>
      </c>
      <c r="D1614" s="23" t="str">
        <f t="shared" si="75"/>
        <v>ORD26004222</v>
      </c>
      <c r="E1614" s="38">
        <v>46274</v>
      </c>
      <c r="F1614" s="23" t="s">
        <v>12410</v>
      </c>
      <c r="G1614" s="23" t="s">
        <v>75</v>
      </c>
      <c r="H1614" s="24">
        <v>1998</v>
      </c>
      <c r="I1614" s="24">
        <v>0</v>
      </c>
      <c r="J1614" s="24">
        <v>0</v>
      </c>
      <c r="K1614" s="24">
        <v>1998</v>
      </c>
      <c r="L1614" s="38">
        <v>46276</v>
      </c>
      <c r="M1614" s="23" t="s">
        <v>106</v>
      </c>
      <c r="N1614" s="23" t="str">
        <f>IF(COUNTIF($A$2:A1614,A1614)&gt;1,"DUP","OK")</f>
        <v>OK</v>
      </c>
      <c r="O1614" s="23" t="str">
        <f t="shared" si="76"/>
        <v>ORD26004222</v>
      </c>
      <c r="P1614" s="23" t="str">
        <f t="shared" si="77"/>
        <v>Sep</v>
      </c>
      <c r="Q1614" s="23" t="str">
        <f>IF(F1614="CAPTURE",IF(COUNTIF(orders!$A:$A,O1614)&gt;0,"Yes","NO ORDER"),"")</f>
        <v>Yes</v>
      </c>
    </row>
    <row r="1615" spans="1:17" ht="15" customHeight="1" x14ac:dyDescent="0.3">
      <c r="A1615" s="23" t="s">
        <v>14297</v>
      </c>
      <c r="B1615" s="23"/>
      <c r="C1615" s="23" t="s">
        <v>8925</v>
      </c>
      <c r="D1615" s="23" t="str">
        <f t="shared" si="75"/>
        <v>ORD26004225</v>
      </c>
      <c r="E1615" s="38">
        <v>46274</v>
      </c>
      <c r="F1615" s="23" t="s">
        <v>12410</v>
      </c>
      <c r="G1615" s="23" t="s">
        <v>79</v>
      </c>
      <c r="H1615" s="24">
        <v>8997</v>
      </c>
      <c r="I1615" s="24">
        <v>143.94999999999999</v>
      </c>
      <c r="J1615" s="24">
        <v>25.91</v>
      </c>
      <c r="K1615" s="24">
        <v>8827.14</v>
      </c>
      <c r="L1615" s="38">
        <v>46276</v>
      </c>
      <c r="M1615" s="23" t="s">
        <v>106</v>
      </c>
      <c r="N1615" s="23" t="str">
        <f>IF(COUNTIF($A$2:A1615,A1615)&gt;1,"DUP","OK")</f>
        <v>OK</v>
      </c>
      <c r="O1615" s="23" t="str">
        <f t="shared" si="76"/>
        <v>ORD26004225</v>
      </c>
      <c r="P1615" s="23" t="str">
        <f t="shared" si="77"/>
        <v>Sep</v>
      </c>
      <c r="Q1615" s="23" t="str">
        <f>IF(F1615="CAPTURE",IF(COUNTIF(orders!$A:$A,O1615)&gt;0,"Yes","NO ORDER"),"")</f>
        <v>Yes</v>
      </c>
    </row>
    <row r="1616" spans="1:17" ht="15" customHeight="1" x14ac:dyDescent="0.3">
      <c r="A1616" s="23" t="s">
        <v>14298</v>
      </c>
      <c r="B1616" s="23"/>
      <c r="C1616" s="23" t="s">
        <v>14299</v>
      </c>
      <c r="D1616" s="23" t="str">
        <f t="shared" si="75"/>
        <v>ORD26004232</v>
      </c>
      <c r="E1616" s="38">
        <v>46274</v>
      </c>
      <c r="F1616" s="23" t="s">
        <v>12410</v>
      </c>
      <c r="G1616" s="23" t="s">
        <v>77</v>
      </c>
      <c r="H1616" s="24">
        <v>1299</v>
      </c>
      <c r="I1616" s="24">
        <v>24.68</v>
      </c>
      <c r="J1616" s="24">
        <v>4.4400000000000004</v>
      </c>
      <c r="K1616" s="24">
        <v>1269.8800000000001</v>
      </c>
      <c r="L1616" s="38">
        <v>46276</v>
      </c>
      <c r="M1616" s="23" t="s">
        <v>106</v>
      </c>
      <c r="N1616" s="23" t="str">
        <f>IF(COUNTIF($A$2:A1616,A1616)&gt;1,"DUP","OK")</f>
        <v>OK</v>
      </c>
      <c r="O1616" s="23" t="str">
        <f t="shared" si="76"/>
        <v>ORD26004232</v>
      </c>
      <c r="P1616" s="23" t="str">
        <f t="shared" si="77"/>
        <v>Sep</v>
      </c>
      <c r="Q1616" s="23" t="str">
        <f>IF(F1616="CAPTURE",IF(COUNTIF(orders!$A:$A,O1616)&gt;0,"Yes","NO ORDER"),"")</f>
        <v>Yes</v>
      </c>
    </row>
    <row r="1617" spans="1:17" ht="15" customHeight="1" x14ac:dyDescent="0.3">
      <c r="A1617" s="23" t="s">
        <v>14300</v>
      </c>
      <c r="B1617" s="23"/>
      <c r="C1617" s="23" t="s">
        <v>8956</v>
      </c>
      <c r="D1617" s="23" t="str">
        <f t="shared" si="75"/>
        <v>ORD26004241</v>
      </c>
      <c r="E1617" s="38">
        <v>46274</v>
      </c>
      <c r="F1617" s="23" t="s">
        <v>12410</v>
      </c>
      <c r="G1617" s="23" t="s">
        <v>75</v>
      </c>
      <c r="H1617" s="24">
        <v>499</v>
      </c>
      <c r="I1617" s="24">
        <v>0</v>
      </c>
      <c r="J1617" s="24">
        <v>0</v>
      </c>
      <c r="K1617" s="24">
        <v>499</v>
      </c>
      <c r="L1617" s="38">
        <v>46276</v>
      </c>
      <c r="M1617" s="23" t="s">
        <v>106</v>
      </c>
      <c r="N1617" s="23" t="str">
        <f>IF(COUNTIF($A$2:A1617,A1617)&gt;1,"DUP","OK")</f>
        <v>OK</v>
      </c>
      <c r="O1617" s="23" t="str">
        <f t="shared" si="76"/>
        <v>ORD26004241</v>
      </c>
      <c r="P1617" s="23" t="str">
        <f t="shared" si="77"/>
        <v>Sep</v>
      </c>
      <c r="Q1617" s="23" t="str">
        <f>IF(F1617="CAPTURE",IF(COUNTIF(orders!$A:$A,O1617)&gt;0,"Yes","NO ORDER"),"")</f>
        <v>Yes</v>
      </c>
    </row>
    <row r="1618" spans="1:17" ht="15" customHeight="1" x14ac:dyDescent="0.3">
      <c r="A1618" s="23" t="s">
        <v>14301</v>
      </c>
      <c r="B1618" s="23"/>
      <c r="C1618" s="23" t="s">
        <v>9011</v>
      </c>
      <c r="D1618" s="23" t="str">
        <f t="shared" si="75"/>
        <v>ORD26004269</v>
      </c>
      <c r="E1618" s="38">
        <v>46274</v>
      </c>
      <c r="F1618" s="23" t="s">
        <v>12410</v>
      </c>
      <c r="G1618" s="23" t="s">
        <v>75</v>
      </c>
      <c r="H1618" s="24">
        <v>6498</v>
      </c>
      <c r="I1618" s="24">
        <v>19.489999999999998</v>
      </c>
      <c r="J1618" s="24">
        <v>3.51</v>
      </c>
      <c r="K1618" s="24">
        <v>6475</v>
      </c>
      <c r="L1618" s="38">
        <v>46276</v>
      </c>
      <c r="M1618" s="23" t="s">
        <v>106</v>
      </c>
      <c r="N1618" s="23" t="str">
        <f>IF(COUNTIF($A$2:A1618,A1618)&gt;1,"DUP","OK")</f>
        <v>OK</v>
      </c>
      <c r="O1618" s="23" t="str">
        <f t="shared" si="76"/>
        <v>ORD26004269</v>
      </c>
      <c r="P1618" s="23" t="str">
        <f t="shared" si="77"/>
        <v>Sep</v>
      </c>
      <c r="Q1618" s="23" t="str">
        <f>IF(F1618="CAPTURE",IF(COUNTIF(orders!$A:$A,O1618)&gt;0,"Yes","NO ORDER"),"")</f>
        <v>Yes</v>
      </c>
    </row>
    <row r="1619" spans="1:17" ht="15" customHeight="1" x14ac:dyDescent="0.3">
      <c r="A1619" s="23" t="s">
        <v>14302</v>
      </c>
      <c r="B1619" s="23"/>
      <c r="C1619" s="23" t="s">
        <v>9041</v>
      </c>
      <c r="D1619" s="23" t="str">
        <f t="shared" si="75"/>
        <v>ORD26004284</v>
      </c>
      <c r="E1619" s="38">
        <v>46274</v>
      </c>
      <c r="F1619" s="23" t="s">
        <v>12410</v>
      </c>
      <c r="G1619" s="23" t="s">
        <v>75</v>
      </c>
      <c r="H1619" s="24">
        <v>1299</v>
      </c>
      <c r="I1619" s="24">
        <v>0</v>
      </c>
      <c r="J1619" s="24">
        <v>0</v>
      </c>
      <c r="K1619" s="24">
        <v>1299</v>
      </c>
      <c r="L1619" s="38">
        <v>46276</v>
      </c>
      <c r="M1619" s="23" t="s">
        <v>106</v>
      </c>
      <c r="N1619" s="23" t="str">
        <f>IF(COUNTIF($A$2:A1619,A1619)&gt;1,"DUP","OK")</f>
        <v>OK</v>
      </c>
      <c r="O1619" s="23" t="str">
        <f t="shared" si="76"/>
        <v>ORD26004284</v>
      </c>
      <c r="P1619" s="23" t="str">
        <f t="shared" si="77"/>
        <v>Sep</v>
      </c>
      <c r="Q1619" s="23" t="str">
        <f>IF(F1619="CAPTURE",IF(COUNTIF(orders!$A:$A,O1619)&gt;0,"Yes","NO ORDER"),"")</f>
        <v>Yes</v>
      </c>
    </row>
    <row r="1620" spans="1:17" ht="15" customHeight="1" x14ac:dyDescent="0.3">
      <c r="A1620" s="23" t="s">
        <v>14303</v>
      </c>
      <c r="B1620" s="23"/>
      <c r="C1620" s="23" t="s">
        <v>9134</v>
      </c>
      <c r="D1620" s="23" t="str">
        <f t="shared" si="75"/>
        <v>ORD26004329</v>
      </c>
      <c r="E1620" s="38">
        <v>46274</v>
      </c>
      <c r="F1620" s="23" t="s">
        <v>12410</v>
      </c>
      <c r="G1620" s="23" t="s">
        <v>75</v>
      </c>
      <c r="H1620" s="24">
        <v>799</v>
      </c>
      <c r="I1620" s="24">
        <v>0</v>
      </c>
      <c r="J1620" s="24">
        <v>0</v>
      </c>
      <c r="K1620" s="24">
        <v>799</v>
      </c>
      <c r="L1620" s="38">
        <v>46276</v>
      </c>
      <c r="M1620" s="23" t="s">
        <v>106</v>
      </c>
      <c r="N1620" s="23" t="str">
        <f>IF(COUNTIF($A$2:A1620,A1620)&gt;1,"DUP","OK")</f>
        <v>OK</v>
      </c>
      <c r="O1620" s="23" t="str">
        <f t="shared" si="76"/>
        <v>ORD26004329</v>
      </c>
      <c r="P1620" s="23" t="str">
        <f t="shared" si="77"/>
        <v>Sep</v>
      </c>
      <c r="Q1620" s="23" t="str">
        <f>IF(F1620="CAPTURE",IF(COUNTIF(orders!$A:$A,O1620)&gt;0,"Yes","NO ORDER"),"")</f>
        <v>Yes</v>
      </c>
    </row>
    <row r="1621" spans="1:17" ht="15" customHeight="1" x14ac:dyDescent="0.3">
      <c r="A1621" s="23" t="s">
        <v>14304</v>
      </c>
      <c r="B1621" s="23"/>
      <c r="C1621" s="23" t="s">
        <v>9213</v>
      </c>
      <c r="D1621" s="23" t="str">
        <f t="shared" si="75"/>
        <v>ORD26004369</v>
      </c>
      <c r="E1621" s="38">
        <v>46274</v>
      </c>
      <c r="F1621" s="23" t="s">
        <v>12410</v>
      </c>
      <c r="G1621" s="23" t="s">
        <v>75</v>
      </c>
      <c r="H1621" s="24">
        <v>1598</v>
      </c>
      <c r="I1621" s="24">
        <v>0</v>
      </c>
      <c r="J1621" s="24">
        <v>0</v>
      </c>
      <c r="K1621" s="24">
        <v>1598</v>
      </c>
      <c r="L1621" s="38">
        <v>46276</v>
      </c>
      <c r="M1621" s="23" t="s">
        <v>106</v>
      </c>
      <c r="N1621" s="23" t="str">
        <f>IF(COUNTIF($A$2:A1621,A1621)&gt;1,"DUP","OK")</f>
        <v>OK</v>
      </c>
      <c r="O1621" s="23" t="str">
        <f t="shared" si="76"/>
        <v>ORD26004369</v>
      </c>
      <c r="P1621" s="23" t="str">
        <f t="shared" si="77"/>
        <v>Sep</v>
      </c>
      <c r="Q1621" s="23" t="str">
        <f>IF(F1621="CAPTURE",IF(COUNTIF(orders!$A:$A,O1621)&gt;0,"Yes","NO ORDER"),"")</f>
        <v>Yes</v>
      </c>
    </row>
    <row r="1622" spans="1:17" ht="15" customHeight="1" x14ac:dyDescent="0.3">
      <c r="A1622" s="23" t="s">
        <v>14305</v>
      </c>
      <c r="B1622" s="23"/>
      <c r="C1622" s="23" t="s">
        <v>9408</v>
      </c>
      <c r="D1622" s="23" t="str">
        <f t="shared" si="75"/>
        <v>ORD26004468</v>
      </c>
      <c r="E1622" s="38">
        <v>46274</v>
      </c>
      <c r="F1622" s="23" t="s">
        <v>12410</v>
      </c>
      <c r="G1622" s="23" t="s">
        <v>77</v>
      </c>
      <c r="H1622" s="24">
        <v>3298</v>
      </c>
      <c r="I1622" s="24">
        <v>56.07</v>
      </c>
      <c r="J1622" s="24">
        <v>10.09</v>
      </c>
      <c r="K1622" s="24">
        <v>3231.84</v>
      </c>
      <c r="L1622" s="38">
        <v>46276</v>
      </c>
      <c r="M1622" s="23" t="s">
        <v>106</v>
      </c>
      <c r="N1622" s="23" t="str">
        <f>IF(COUNTIF($A$2:A1622,A1622)&gt;1,"DUP","OK")</f>
        <v>OK</v>
      </c>
      <c r="O1622" s="23" t="str">
        <f t="shared" si="76"/>
        <v>ORD26004468</v>
      </c>
      <c r="P1622" s="23" t="str">
        <f t="shared" si="77"/>
        <v>Sep</v>
      </c>
      <c r="Q1622" s="23" t="str">
        <f>IF(F1622="CAPTURE",IF(COUNTIF(orders!$A:$A,O1622)&gt;0,"Yes","NO ORDER"),"")</f>
        <v>Yes</v>
      </c>
    </row>
    <row r="1623" spans="1:17" ht="15" customHeight="1" x14ac:dyDescent="0.3">
      <c r="A1623" s="23" t="s">
        <v>14306</v>
      </c>
      <c r="B1623" s="23"/>
      <c r="C1623" s="23" t="s">
        <v>9423</v>
      </c>
      <c r="D1623" s="23" t="str">
        <f t="shared" si="75"/>
        <v>ORD26004476</v>
      </c>
      <c r="E1623" s="38">
        <v>46274</v>
      </c>
      <c r="F1623" s="23" t="s">
        <v>12410</v>
      </c>
      <c r="G1623" s="23" t="s">
        <v>77</v>
      </c>
      <c r="H1623" s="24">
        <v>7498</v>
      </c>
      <c r="I1623" s="24">
        <v>127.47</v>
      </c>
      <c r="J1623" s="24">
        <v>22.94</v>
      </c>
      <c r="K1623" s="24">
        <v>7347.59</v>
      </c>
      <c r="L1623" s="38">
        <v>46276</v>
      </c>
      <c r="M1623" s="23" t="s">
        <v>106</v>
      </c>
      <c r="N1623" s="23" t="str">
        <f>IF(COUNTIF($A$2:A1623,A1623)&gt;1,"DUP","OK")</f>
        <v>OK</v>
      </c>
      <c r="O1623" s="23" t="str">
        <f t="shared" si="76"/>
        <v>ORD26004476</v>
      </c>
      <c r="P1623" s="23" t="str">
        <f t="shared" si="77"/>
        <v>Sep</v>
      </c>
      <c r="Q1623" s="23" t="str">
        <f>IF(F1623="CAPTURE",IF(COUNTIF(orders!$A:$A,O1623)&gt;0,"Yes","NO ORDER"),"")</f>
        <v>Yes</v>
      </c>
    </row>
    <row r="1624" spans="1:17" ht="15" customHeight="1" x14ac:dyDescent="0.3">
      <c r="A1624" s="23" t="s">
        <v>14307</v>
      </c>
      <c r="B1624" s="23"/>
      <c r="C1624" s="23" t="s">
        <v>14308</v>
      </c>
      <c r="D1624" s="23" t="str">
        <f t="shared" si="75"/>
        <v>ORD26004513</v>
      </c>
      <c r="E1624" s="38">
        <v>46274</v>
      </c>
      <c r="F1624" s="23" t="s">
        <v>12410</v>
      </c>
      <c r="G1624" s="23" t="s">
        <v>75</v>
      </c>
      <c r="H1624" s="24">
        <v>3499</v>
      </c>
      <c r="I1624" s="24">
        <v>10.5</v>
      </c>
      <c r="J1624" s="24">
        <v>1.89</v>
      </c>
      <c r="K1624" s="24">
        <v>3486.61</v>
      </c>
      <c r="L1624" s="38">
        <v>46276</v>
      </c>
      <c r="M1624" s="23" t="s">
        <v>106</v>
      </c>
      <c r="N1624" s="23" t="str">
        <f>IF(COUNTIF($A$2:A1624,A1624)&gt;1,"DUP","OK")</f>
        <v>OK</v>
      </c>
      <c r="O1624" s="23" t="str">
        <f t="shared" si="76"/>
        <v>ORD26004513</v>
      </c>
      <c r="P1624" s="23" t="str">
        <f t="shared" si="77"/>
        <v>Sep</v>
      </c>
      <c r="Q1624" s="23" t="str">
        <f>IF(F1624="CAPTURE",IF(COUNTIF(orders!$A:$A,O1624)&gt;0,"Yes","NO ORDER"),"")</f>
        <v>Yes</v>
      </c>
    </row>
    <row r="1625" spans="1:17" ht="15" customHeight="1" x14ac:dyDescent="0.3">
      <c r="A1625" s="23" t="s">
        <v>14309</v>
      </c>
      <c r="B1625" s="23"/>
      <c r="C1625" s="23" t="s">
        <v>14310</v>
      </c>
      <c r="D1625" s="23" t="str">
        <f t="shared" si="75"/>
        <v>ORD26004605</v>
      </c>
      <c r="E1625" s="38">
        <v>46274</v>
      </c>
      <c r="F1625" s="23" t="s">
        <v>12410</v>
      </c>
      <c r="G1625" s="23" t="s">
        <v>79</v>
      </c>
      <c r="H1625" s="24">
        <v>8298</v>
      </c>
      <c r="I1625" s="24">
        <v>132.77000000000001</v>
      </c>
      <c r="J1625" s="24">
        <v>23.9</v>
      </c>
      <c r="K1625" s="24">
        <v>8141.33</v>
      </c>
      <c r="L1625" s="38">
        <v>46276</v>
      </c>
      <c r="M1625" s="23" t="s">
        <v>106</v>
      </c>
      <c r="N1625" s="23" t="str">
        <f>IF(COUNTIF($A$2:A1625,A1625)&gt;1,"DUP","OK")</f>
        <v>OK</v>
      </c>
      <c r="O1625" s="23" t="str">
        <f t="shared" si="76"/>
        <v>ORD26004605</v>
      </c>
      <c r="P1625" s="23" t="str">
        <f t="shared" si="77"/>
        <v>Sep</v>
      </c>
      <c r="Q1625" s="23" t="str">
        <f>IF(F1625="CAPTURE",IF(COUNTIF(orders!$A:$A,O1625)&gt;0,"Yes","NO ORDER"),"")</f>
        <v>Yes</v>
      </c>
    </row>
    <row r="1626" spans="1:17" ht="15" customHeight="1" x14ac:dyDescent="0.3">
      <c r="A1626" s="23" t="s">
        <v>14311</v>
      </c>
      <c r="B1626" s="23"/>
      <c r="C1626" s="23" t="s">
        <v>9801</v>
      </c>
      <c r="D1626" s="23" t="str">
        <f t="shared" si="75"/>
        <v>ORD26004666</v>
      </c>
      <c r="E1626" s="38">
        <v>46274</v>
      </c>
      <c r="F1626" s="23" t="s">
        <v>12410</v>
      </c>
      <c r="G1626" s="23" t="s">
        <v>75</v>
      </c>
      <c r="H1626" s="24">
        <v>9797</v>
      </c>
      <c r="I1626" s="24">
        <v>29.39</v>
      </c>
      <c r="J1626" s="24">
        <v>5.29</v>
      </c>
      <c r="K1626" s="24">
        <v>9762.32</v>
      </c>
      <c r="L1626" s="38">
        <v>46276</v>
      </c>
      <c r="M1626" s="23" t="s">
        <v>106</v>
      </c>
      <c r="N1626" s="23" t="str">
        <f>IF(COUNTIF($A$2:A1626,A1626)&gt;1,"DUP","OK")</f>
        <v>OK</v>
      </c>
      <c r="O1626" s="23" t="str">
        <f t="shared" si="76"/>
        <v>ORD26004666</v>
      </c>
      <c r="P1626" s="23" t="str">
        <f t="shared" si="77"/>
        <v>Sep</v>
      </c>
      <c r="Q1626" s="23" t="str">
        <f>IF(F1626="CAPTURE",IF(COUNTIF(orders!$A:$A,O1626)&gt;0,"Yes","NO ORDER"),"")</f>
        <v>Yes</v>
      </c>
    </row>
    <row r="1627" spans="1:17" ht="15" customHeight="1" x14ac:dyDescent="0.3">
      <c r="A1627" s="23" t="s">
        <v>14312</v>
      </c>
      <c r="B1627" s="23"/>
      <c r="C1627" s="23" t="s">
        <v>9888</v>
      </c>
      <c r="D1627" s="23" t="str">
        <f t="shared" si="75"/>
        <v>ORD26004710</v>
      </c>
      <c r="E1627" s="38">
        <v>46274</v>
      </c>
      <c r="F1627" s="23" t="s">
        <v>12410</v>
      </c>
      <c r="G1627" s="23" t="s">
        <v>75</v>
      </c>
      <c r="H1627" s="24">
        <v>898</v>
      </c>
      <c r="I1627" s="24">
        <v>0</v>
      </c>
      <c r="J1627" s="24">
        <v>0</v>
      </c>
      <c r="K1627" s="24">
        <v>898</v>
      </c>
      <c r="L1627" s="38">
        <v>46276</v>
      </c>
      <c r="M1627" s="23" t="s">
        <v>106</v>
      </c>
      <c r="N1627" s="23" t="str">
        <f>IF(COUNTIF($A$2:A1627,A1627)&gt;1,"DUP","OK")</f>
        <v>OK</v>
      </c>
      <c r="O1627" s="23" t="str">
        <f t="shared" si="76"/>
        <v>ORD26004710</v>
      </c>
      <c r="P1627" s="23" t="str">
        <f t="shared" si="77"/>
        <v>Sep</v>
      </c>
      <c r="Q1627" s="23" t="str">
        <f>IF(F1627="CAPTURE",IF(COUNTIF(orders!$A:$A,O1627)&gt;0,"Yes","NO ORDER"),"")</f>
        <v>Yes</v>
      </c>
    </row>
    <row r="1628" spans="1:17" ht="15" customHeight="1" x14ac:dyDescent="0.3">
      <c r="A1628" s="23" t="s">
        <v>14313</v>
      </c>
      <c r="B1628" s="23"/>
      <c r="C1628" s="23" t="s">
        <v>10013</v>
      </c>
      <c r="D1628" s="23" t="str">
        <f t="shared" si="75"/>
        <v>ORD26004775</v>
      </c>
      <c r="E1628" s="38">
        <v>46274</v>
      </c>
      <c r="F1628" s="23" t="s">
        <v>12410</v>
      </c>
      <c r="G1628" s="23" t="s">
        <v>75</v>
      </c>
      <c r="H1628" s="24">
        <v>1499</v>
      </c>
      <c r="I1628" s="24">
        <v>0</v>
      </c>
      <c r="J1628" s="24">
        <v>0</v>
      </c>
      <c r="K1628" s="24">
        <v>1499</v>
      </c>
      <c r="L1628" s="38">
        <v>46276</v>
      </c>
      <c r="M1628" s="23" t="s">
        <v>106</v>
      </c>
      <c r="N1628" s="23" t="str">
        <f>IF(COUNTIF($A$2:A1628,A1628)&gt;1,"DUP","OK")</f>
        <v>OK</v>
      </c>
      <c r="O1628" s="23" t="str">
        <f t="shared" si="76"/>
        <v>ORD26004775</v>
      </c>
      <c r="P1628" s="23" t="str">
        <f t="shared" si="77"/>
        <v>Sep</v>
      </c>
      <c r="Q1628" s="23" t="str">
        <f>IF(F1628="CAPTURE",IF(COUNTIF(orders!$A:$A,O1628)&gt;0,"Yes","NO ORDER"),"")</f>
        <v>Yes</v>
      </c>
    </row>
    <row r="1629" spans="1:17" ht="15" customHeight="1" x14ac:dyDescent="0.3">
      <c r="A1629" s="23" t="s">
        <v>14314</v>
      </c>
      <c r="B1629" s="23"/>
      <c r="C1629" s="23" t="s">
        <v>14315</v>
      </c>
      <c r="D1629" s="23" t="str">
        <f t="shared" si="75"/>
        <v>ORD26004831</v>
      </c>
      <c r="E1629" s="38">
        <v>46274</v>
      </c>
      <c r="F1629" s="23" t="s">
        <v>12410</v>
      </c>
      <c r="G1629" s="23" t="s">
        <v>81</v>
      </c>
      <c r="H1629" s="24">
        <v>10498</v>
      </c>
      <c r="I1629" s="24">
        <v>94.48</v>
      </c>
      <c r="J1629" s="24">
        <v>17.010000000000002</v>
      </c>
      <c r="K1629" s="24">
        <v>10386.51</v>
      </c>
      <c r="L1629" s="38">
        <v>46276</v>
      </c>
      <c r="M1629" s="23" t="s">
        <v>106</v>
      </c>
      <c r="N1629" s="23" t="str">
        <f>IF(COUNTIF($A$2:A1629,A1629)&gt;1,"DUP","OK")</f>
        <v>OK</v>
      </c>
      <c r="O1629" s="23" t="str">
        <f t="shared" si="76"/>
        <v>ORD26004831</v>
      </c>
      <c r="P1629" s="23" t="str">
        <f t="shared" si="77"/>
        <v>Sep</v>
      </c>
      <c r="Q1629" s="23" t="str">
        <f>IF(F1629="CAPTURE",IF(COUNTIF(orders!$A:$A,O1629)&gt;0,"Yes","NO ORDER"),"")</f>
        <v>Yes</v>
      </c>
    </row>
    <row r="1630" spans="1:17" ht="15" customHeight="1" x14ac:dyDescent="0.3">
      <c r="A1630" s="23" t="s">
        <v>14316</v>
      </c>
      <c r="B1630" s="23"/>
      <c r="C1630" s="23" t="s">
        <v>10302</v>
      </c>
      <c r="D1630" s="23" t="str">
        <f t="shared" si="75"/>
        <v>ORD26004923</v>
      </c>
      <c r="E1630" s="38">
        <v>46274</v>
      </c>
      <c r="F1630" s="23" t="s">
        <v>12410</v>
      </c>
      <c r="G1630" s="23" t="s">
        <v>75</v>
      </c>
      <c r="H1630" s="24">
        <v>6298</v>
      </c>
      <c r="I1630" s="24">
        <v>18.89</v>
      </c>
      <c r="J1630" s="24">
        <v>3.4</v>
      </c>
      <c r="K1630" s="24">
        <v>6275.71</v>
      </c>
      <c r="L1630" s="38">
        <v>46276</v>
      </c>
      <c r="M1630" s="23" t="s">
        <v>106</v>
      </c>
      <c r="N1630" s="23" t="str">
        <f>IF(COUNTIF($A$2:A1630,A1630)&gt;1,"DUP","OK")</f>
        <v>OK</v>
      </c>
      <c r="O1630" s="23" t="str">
        <f t="shared" si="76"/>
        <v>ORD26004923</v>
      </c>
      <c r="P1630" s="23" t="str">
        <f t="shared" si="77"/>
        <v>Sep</v>
      </c>
      <c r="Q1630" s="23" t="str">
        <f>IF(F1630="CAPTURE",IF(COUNTIF(orders!$A:$A,O1630)&gt;0,"Yes","NO ORDER"),"")</f>
        <v>Yes</v>
      </c>
    </row>
    <row r="1631" spans="1:17" ht="15" customHeight="1" x14ac:dyDescent="0.3">
      <c r="A1631" s="23" t="s">
        <v>14317</v>
      </c>
      <c r="B1631" s="23"/>
      <c r="C1631" s="23" t="s">
        <v>10339</v>
      </c>
      <c r="D1631" s="23" t="str">
        <f t="shared" si="75"/>
        <v>ORD26004942</v>
      </c>
      <c r="E1631" s="38">
        <v>46274</v>
      </c>
      <c r="F1631" s="23" t="s">
        <v>12410</v>
      </c>
      <c r="G1631" s="23" t="s">
        <v>75</v>
      </c>
      <c r="H1631" s="24">
        <v>1499</v>
      </c>
      <c r="I1631" s="24">
        <v>0</v>
      </c>
      <c r="J1631" s="24">
        <v>0</v>
      </c>
      <c r="K1631" s="24">
        <v>1499</v>
      </c>
      <c r="L1631" s="38">
        <v>46276</v>
      </c>
      <c r="M1631" s="23" t="s">
        <v>106</v>
      </c>
      <c r="N1631" s="23" t="str">
        <f>IF(COUNTIF($A$2:A1631,A1631)&gt;1,"DUP","OK")</f>
        <v>OK</v>
      </c>
      <c r="O1631" s="23" t="str">
        <f t="shared" si="76"/>
        <v>ORD26004942</v>
      </c>
      <c r="P1631" s="23" t="str">
        <f t="shared" si="77"/>
        <v>Sep</v>
      </c>
      <c r="Q1631" s="23" t="str">
        <f>IF(F1631="CAPTURE",IF(COUNTIF(orders!$A:$A,O1631)&gt;0,"Yes","NO ORDER"),"")</f>
        <v>Yes</v>
      </c>
    </row>
    <row r="1632" spans="1:17" ht="15" customHeight="1" x14ac:dyDescent="0.3">
      <c r="A1632" s="23" t="s">
        <v>14318</v>
      </c>
      <c r="B1632" s="23"/>
      <c r="C1632" s="23" t="s">
        <v>10370</v>
      </c>
      <c r="D1632" s="23" t="str">
        <f t="shared" si="75"/>
        <v>ORD26004958</v>
      </c>
      <c r="E1632" s="38">
        <v>46274</v>
      </c>
      <c r="F1632" s="23" t="s">
        <v>12410</v>
      </c>
      <c r="G1632" s="23" t="s">
        <v>75</v>
      </c>
      <c r="H1632" s="24">
        <v>1499</v>
      </c>
      <c r="I1632" s="24">
        <v>0</v>
      </c>
      <c r="J1632" s="24">
        <v>0</v>
      </c>
      <c r="K1632" s="24">
        <v>1499</v>
      </c>
      <c r="L1632" s="38">
        <v>46276</v>
      </c>
      <c r="M1632" s="23" t="s">
        <v>106</v>
      </c>
      <c r="N1632" s="23" t="str">
        <f>IF(COUNTIF($A$2:A1632,A1632)&gt;1,"DUP","OK")</f>
        <v>OK</v>
      </c>
      <c r="O1632" s="23" t="str">
        <f t="shared" si="76"/>
        <v>ORD26004958</v>
      </c>
      <c r="P1632" s="23" t="str">
        <f t="shared" si="77"/>
        <v>Sep</v>
      </c>
      <c r="Q1632" s="23" t="str">
        <f>IF(F1632="CAPTURE",IF(COUNTIF(orders!$A:$A,O1632)&gt;0,"Yes","NO ORDER"),"")</f>
        <v>Yes</v>
      </c>
    </row>
    <row r="1633" spans="1:17" ht="15" customHeight="1" x14ac:dyDescent="0.3">
      <c r="A1633" s="23" t="s">
        <v>14319</v>
      </c>
      <c r="B1633" s="23"/>
      <c r="C1633" s="23" t="s">
        <v>10455</v>
      </c>
      <c r="D1633" s="23" t="str">
        <f t="shared" si="75"/>
        <v>ORD26005001</v>
      </c>
      <c r="E1633" s="38">
        <v>46274</v>
      </c>
      <c r="F1633" s="23" t="s">
        <v>12410</v>
      </c>
      <c r="G1633" s="23" t="s">
        <v>75</v>
      </c>
      <c r="H1633" s="24">
        <v>1848</v>
      </c>
      <c r="I1633" s="24">
        <v>0</v>
      </c>
      <c r="J1633" s="24">
        <v>0</v>
      </c>
      <c r="K1633" s="24">
        <v>1848</v>
      </c>
      <c r="L1633" s="38">
        <v>46276</v>
      </c>
      <c r="M1633" s="23" t="s">
        <v>106</v>
      </c>
      <c r="N1633" s="23" t="str">
        <f>IF(COUNTIF($A$2:A1633,A1633)&gt;1,"DUP","OK")</f>
        <v>OK</v>
      </c>
      <c r="O1633" s="23" t="str">
        <f t="shared" si="76"/>
        <v>ORD26005001</v>
      </c>
      <c r="P1633" s="23" t="str">
        <f t="shared" si="77"/>
        <v>Sep</v>
      </c>
      <c r="Q1633" s="23" t="str">
        <f>IF(F1633="CAPTURE",IF(COUNTIF(orders!$A:$A,O1633)&gt;0,"Yes","NO ORDER"),"")</f>
        <v>Yes</v>
      </c>
    </row>
    <row r="1634" spans="1:17" ht="15" customHeight="1" x14ac:dyDescent="0.3">
      <c r="A1634" s="23" t="s">
        <v>14320</v>
      </c>
      <c r="B1634" s="23"/>
      <c r="C1634" s="23" t="s">
        <v>10480</v>
      </c>
      <c r="D1634" s="23" t="str">
        <f t="shared" si="75"/>
        <v>ORD26005015</v>
      </c>
      <c r="E1634" s="38">
        <v>46274</v>
      </c>
      <c r="F1634" s="23" t="s">
        <v>12410</v>
      </c>
      <c r="G1634" s="23" t="s">
        <v>77</v>
      </c>
      <c r="H1634" s="24">
        <v>599</v>
      </c>
      <c r="I1634" s="24">
        <v>11.38</v>
      </c>
      <c r="J1634" s="24">
        <v>2.0499999999999998</v>
      </c>
      <c r="K1634" s="24">
        <v>585.57000000000005</v>
      </c>
      <c r="L1634" s="38">
        <v>46276</v>
      </c>
      <c r="M1634" s="23" t="s">
        <v>106</v>
      </c>
      <c r="N1634" s="23" t="str">
        <f>IF(COUNTIF($A$2:A1634,A1634)&gt;1,"DUP","OK")</f>
        <v>OK</v>
      </c>
      <c r="O1634" s="23" t="str">
        <f t="shared" si="76"/>
        <v>ORD26005015</v>
      </c>
      <c r="P1634" s="23" t="str">
        <f t="shared" si="77"/>
        <v>Sep</v>
      </c>
      <c r="Q1634" s="23" t="str">
        <f>IF(F1634="CAPTURE",IF(COUNTIF(orders!$A:$A,O1634)&gt;0,"Yes","NO ORDER"),"")</f>
        <v>Yes</v>
      </c>
    </row>
    <row r="1635" spans="1:17" ht="15" customHeight="1" x14ac:dyDescent="0.3">
      <c r="A1635" s="23" t="s">
        <v>14321</v>
      </c>
      <c r="B1635" s="23"/>
      <c r="C1635" s="23" t="s">
        <v>14322</v>
      </c>
      <c r="D1635" s="23" t="str">
        <f t="shared" si="75"/>
        <v>ORD26005048</v>
      </c>
      <c r="E1635" s="38">
        <v>46274</v>
      </c>
      <c r="F1635" s="23" t="s">
        <v>12410</v>
      </c>
      <c r="G1635" s="23" t="s">
        <v>79</v>
      </c>
      <c r="H1635" s="24">
        <v>4297</v>
      </c>
      <c r="I1635" s="24">
        <v>68.75</v>
      </c>
      <c r="J1635" s="24">
        <v>12.38</v>
      </c>
      <c r="K1635" s="24">
        <v>4215.87</v>
      </c>
      <c r="L1635" s="38">
        <v>46276</v>
      </c>
      <c r="M1635" s="23" t="s">
        <v>106</v>
      </c>
      <c r="N1635" s="23" t="str">
        <f>IF(COUNTIF($A$2:A1635,A1635)&gt;1,"DUP","OK")</f>
        <v>OK</v>
      </c>
      <c r="O1635" s="23" t="str">
        <f t="shared" si="76"/>
        <v>ORD26005048</v>
      </c>
      <c r="P1635" s="23" t="str">
        <f t="shared" si="77"/>
        <v>Sep</v>
      </c>
      <c r="Q1635" s="23" t="str">
        <f>IF(F1635="CAPTURE",IF(COUNTIF(orders!$A:$A,O1635)&gt;0,"Yes","NO ORDER"),"")</f>
        <v>Yes</v>
      </c>
    </row>
    <row r="1636" spans="1:17" ht="15" customHeight="1" x14ac:dyDescent="0.3">
      <c r="A1636" s="23" t="s">
        <v>14323</v>
      </c>
      <c r="B1636" s="23"/>
      <c r="C1636" s="23" t="s">
        <v>10701</v>
      </c>
      <c r="D1636" s="23" t="str">
        <f t="shared" si="75"/>
        <v>ORD26005129</v>
      </c>
      <c r="E1636" s="38">
        <v>46274</v>
      </c>
      <c r="F1636" s="23" t="s">
        <v>12410</v>
      </c>
      <c r="G1636" s="23" t="s">
        <v>79</v>
      </c>
      <c r="H1636" s="24">
        <v>4999</v>
      </c>
      <c r="I1636" s="24">
        <v>79.98</v>
      </c>
      <c r="J1636" s="24">
        <v>14.4</v>
      </c>
      <c r="K1636" s="24">
        <v>4904.62</v>
      </c>
      <c r="L1636" s="38">
        <v>46276</v>
      </c>
      <c r="M1636" s="23" t="s">
        <v>106</v>
      </c>
      <c r="N1636" s="23" t="str">
        <f>IF(COUNTIF($A$2:A1636,A1636)&gt;1,"DUP","OK")</f>
        <v>OK</v>
      </c>
      <c r="O1636" s="23" t="str">
        <f t="shared" si="76"/>
        <v>ORD26005129</v>
      </c>
      <c r="P1636" s="23" t="str">
        <f t="shared" si="77"/>
        <v>Sep</v>
      </c>
      <c r="Q1636" s="23" t="str">
        <f>IF(F1636="CAPTURE",IF(COUNTIF(orders!$A:$A,O1636)&gt;0,"Yes","NO ORDER"),"")</f>
        <v>Yes</v>
      </c>
    </row>
    <row r="1637" spans="1:17" ht="15" customHeight="1" x14ac:dyDescent="0.3">
      <c r="A1637" s="23" t="s">
        <v>14324</v>
      </c>
      <c r="B1637" s="23"/>
      <c r="C1637" s="23" t="s">
        <v>10798</v>
      </c>
      <c r="D1637" s="23" t="str">
        <f t="shared" si="75"/>
        <v>ORD26005179</v>
      </c>
      <c r="E1637" s="38">
        <v>46274</v>
      </c>
      <c r="F1637" s="23" t="s">
        <v>12410</v>
      </c>
      <c r="G1637" s="23" t="s">
        <v>75</v>
      </c>
      <c r="H1637" s="24">
        <v>4798</v>
      </c>
      <c r="I1637" s="24">
        <v>14.39</v>
      </c>
      <c r="J1637" s="24">
        <v>2.59</v>
      </c>
      <c r="K1637" s="24">
        <v>4781.0200000000004</v>
      </c>
      <c r="L1637" s="38">
        <v>46276</v>
      </c>
      <c r="M1637" s="23" t="s">
        <v>106</v>
      </c>
      <c r="N1637" s="23" t="str">
        <f>IF(COUNTIF($A$2:A1637,A1637)&gt;1,"DUP","OK")</f>
        <v>OK</v>
      </c>
      <c r="O1637" s="23" t="str">
        <f t="shared" si="76"/>
        <v>ORD26005179</v>
      </c>
      <c r="P1637" s="23" t="str">
        <f t="shared" si="77"/>
        <v>Sep</v>
      </c>
      <c r="Q1637" s="23" t="str">
        <f>IF(F1637="CAPTURE",IF(COUNTIF(orders!$A:$A,O1637)&gt;0,"Yes","NO ORDER"),"")</f>
        <v>Yes</v>
      </c>
    </row>
    <row r="1638" spans="1:17" ht="15" customHeight="1" x14ac:dyDescent="0.3">
      <c r="A1638" s="23" t="s">
        <v>14325</v>
      </c>
      <c r="B1638" s="23"/>
      <c r="C1638" s="23" t="s">
        <v>10920</v>
      </c>
      <c r="D1638" s="23" t="str">
        <f t="shared" si="75"/>
        <v>ORD26005241</v>
      </c>
      <c r="E1638" s="38">
        <v>46274</v>
      </c>
      <c r="F1638" s="23" t="s">
        <v>12410</v>
      </c>
      <c r="G1638" s="23" t="s">
        <v>81</v>
      </c>
      <c r="H1638" s="24">
        <v>599</v>
      </c>
      <c r="I1638" s="24">
        <v>8.99</v>
      </c>
      <c r="J1638" s="24">
        <v>1.62</v>
      </c>
      <c r="K1638" s="24">
        <v>588.39</v>
      </c>
      <c r="L1638" s="38">
        <v>46276</v>
      </c>
      <c r="M1638" s="23" t="s">
        <v>106</v>
      </c>
      <c r="N1638" s="23" t="str">
        <f>IF(COUNTIF($A$2:A1638,A1638)&gt;1,"DUP","OK")</f>
        <v>OK</v>
      </c>
      <c r="O1638" s="23" t="str">
        <f t="shared" si="76"/>
        <v>ORD26005241</v>
      </c>
      <c r="P1638" s="23" t="str">
        <f t="shared" si="77"/>
        <v>Sep</v>
      </c>
      <c r="Q1638" s="23" t="str">
        <f>IF(F1638="CAPTURE",IF(COUNTIF(orders!$A:$A,O1638)&gt;0,"Yes","NO ORDER"),"")</f>
        <v>Yes</v>
      </c>
    </row>
    <row r="1639" spans="1:17" ht="15" customHeight="1" x14ac:dyDescent="0.3">
      <c r="A1639" s="23" t="s">
        <v>14326</v>
      </c>
      <c r="B1639" s="23"/>
      <c r="C1639" s="23" t="s">
        <v>10976</v>
      </c>
      <c r="D1639" s="23" t="str">
        <f t="shared" si="75"/>
        <v>ORD26005269</v>
      </c>
      <c r="E1639" s="38">
        <v>46274</v>
      </c>
      <c r="F1639" s="23" t="s">
        <v>12410</v>
      </c>
      <c r="G1639" s="23" t="s">
        <v>75</v>
      </c>
      <c r="H1639" s="24">
        <v>3499</v>
      </c>
      <c r="I1639" s="24">
        <v>10.5</v>
      </c>
      <c r="J1639" s="24">
        <v>1.89</v>
      </c>
      <c r="K1639" s="24">
        <v>3486.61</v>
      </c>
      <c r="L1639" s="38">
        <v>46276</v>
      </c>
      <c r="M1639" s="23" t="s">
        <v>106</v>
      </c>
      <c r="N1639" s="23" t="str">
        <f>IF(COUNTIF($A$2:A1639,A1639)&gt;1,"DUP","OK")</f>
        <v>OK</v>
      </c>
      <c r="O1639" s="23" t="str">
        <f t="shared" si="76"/>
        <v>ORD26005269</v>
      </c>
      <c r="P1639" s="23" t="str">
        <f t="shared" si="77"/>
        <v>Sep</v>
      </c>
      <c r="Q1639" s="23" t="str">
        <f>IF(F1639="CAPTURE",IF(COUNTIF(orders!$A:$A,O1639)&gt;0,"Yes","NO ORDER"),"")</f>
        <v>Yes</v>
      </c>
    </row>
    <row r="1640" spans="1:17" ht="15" customHeight="1" x14ac:dyDescent="0.3">
      <c r="A1640" s="23" t="s">
        <v>14327</v>
      </c>
      <c r="B1640" s="23"/>
      <c r="C1640" s="23" t="s">
        <v>10988</v>
      </c>
      <c r="D1640" s="23" t="str">
        <f t="shared" si="75"/>
        <v>ORD26005276</v>
      </c>
      <c r="E1640" s="38">
        <v>46274</v>
      </c>
      <c r="F1640" s="23" t="s">
        <v>12410</v>
      </c>
      <c r="G1640" s="23" t="s">
        <v>79</v>
      </c>
      <c r="H1640" s="24">
        <v>799</v>
      </c>
      <c r="I1640" s="24">
        <v>14.38</v>
      </c>
      <c r="J1640" s="24">
        <v>2.59</v>
      </c>
      <c r="K1640" s="24">
        <v>782.03</v>
      </c>
      <c r="L1640" s="38">
        <v>46276</v>
      </c>
      <c r="M1640" s="23" t="s">
        <v>106</v>
      </c>
      <c r="N1640" s="23" t="str">
        <f>IF(COUNTIF($A$2:A1640,A1640)&gt;1,"DUP","OK")</f>
        <v>OK</v>
      </c>
      <c r="O1640" s="23" t="str">
        <f t="shared" si="76"/>
        <v>ORD26005276</v>
      </c>
      <c r="P1640" s="23" t="str">
        <f t="shared" si="77"/>
        <v>Sep</v>
      </c>
      <c r="Q1640" s="23" t="str">
        <f>IF(F1640="CAPTURE",IF(COUNTIF(orders!$A:$A,O1640)&gt;0,"Yes","NO ORDER"),"")</f>
        <v>Yes</v>
      </c>
    </row>
    <row r="1641" spans="1:17" ht="15" customHeight="1" x14ac:dyDescent="0.3">
      <c r="A1641" s="23" t="s">
        <v>14328</v>
      </c>
      <c r="B1641" s="23"/>
      <c r="C1641" s="23" t="s">
        <v>11024</v>
      </c>
      <c r="D1641" s="23" t="str">
        <f t="shared" si="75"/>
        <v>ORD26005295</v>
      </c>
      <c r="E1641" s="38">
        <v>46274</v>
      </c>
      <c r="F1641" s="23" t="s">
        <v>12410</v>
      </c>
      <c r="G1641" s="23" t="s">
        <v>79</v>
      </c>
      <c r="H1641" s="24">
        <v>499</v>
      </c>
      <c r="I1641" s="24">
        <v>8.98</v>
      </c>
      <c r="J1641" s="24">
        <v>1.62</v>
      </c>
      <c r="K1641" s="24">
        <v>488.4</v>
      </c>
      <c r="L1641" s="38">
        <v>46276</v>
      </c>
      <c r="M1641" s="23" t="s">
        <v>106</v>
      </c>
      <c r="N1641" s="23" t="str">
        <f>IF(COUNTIF($A$2:A1641,A1641)&gt;1,"DUP","OK")</f>
        <v>OK</v>
      </c>
      <c r="O1641" s="23" t="str">
        <f t="shared" si="76"/>
        <v>ORD26005295</v>
      </c>
      <c r="P1641" s="23" t="str">
        <f t="shared" si="77"/>
        <v>Sep</v>
      </c>
      <c r="Q1641" s="23" t="str">
        <f>IF(F1641="CAPTURE",IF(COUNTIF(orders!$A:$A,O1641)&gt;0,"Yes","NO ORDER"),"")</f>
        <v>Yes</v>
      </c>
    </row>
    <row r="1642" spans="1:17" ht="15" customHeight="1" x14ac:dyDescent="0.3">
      <c r="A1642" s="23" t="s">
        <v>14329</v>
      </c>
      <c r="B1642" s="23"/>
      <c r="C1642" s="23" t="s">
        <v>11035</v>
      </c>
      <c r="D1642" s="23" t="str">
        <f t="shared" si="75"/>
        <v>ORD26005301</v>
      </c>
      <c r="E1642" s="38">
        <v>46274</v>
      </c>
      <c r="F1642" s="23" t="s">
        <v>12410</v>
      </c>
      <c r="G1642" s="23" t="s">
        <v>77</v>
      </c>
      <c r="H1642" s="24">
        <v>599</v>
      </c>
      <c r="I1642" s="24">
        <v>11.38</v>
      </c>
      <c r="J1642" s="24">
        <v>2.0499999999999998</v>
      </c>
      <c r="K1642" s="24">
        <v>585.57000000000005</v>
      </c>
      <c r="L1642" s="38">
        <v>46276</v>
      </c>
      <c r="M1642" s="23" t="s">
        <v>106</v>
      </c>
      <c r="N1642" s="23" t="str">
        <f>IF(COUNTIF($A$2:A1642,A1642)&gt;1,"DUP","OK")</f>
        <v>OK</v>
      </c>
      <c r="O1642" s="23" t="str">
        <f t="shared" si="76"/>
        <v>ORD26005301</v>
      </c>
      <c r="P1642" s="23" t="str">
        <f t="shared" si="77"/>
        <v>Sep</v>
      </c>
      <c r="Q1642" s="23" t="str">
        <f>IF(F1642="CAPTURE",IF(COUNTIF(orders!$A:$A,O1642)&gt;0,"Yes","NO ORDER"),"")</f>
        <v>Yes</v>
      </c>
    </row>
    <row r="1643" spans="1:17" ht="15" customHeight="1" x14ac:dyDescent="0.3">
      <c r="A1643" s="23" t="s">
        <v>14330</v>
      </c>
      <c r="B1643" s="23"/>
      <c r="C1643" s="23" t="s">
        <v>11067</v>
      </c>
      <c r="D1643" s="23" t="str">
        <f t="shared" si="75"/>
        <v>ORD26005317</v>
      </c>
      <c r="E1643" s="38">
        <v>46274</v>
      </c>
      <c r="F1643" s="23" t="s">
        <v>12410</v>
      </c>
      <c r="G1643" s="23" t="s">
        <v>81</v>
      </c>
      <c r="H1643" s="24">
        <v>599</v>
      </c>
      <c r="I1643" s="24">
        <v>8.99</v>
      </c>
      <c r="J1643" s="24">
        <v>1.62</v>
      </c>
      <c r="K1643" s="24">
        <v>588.39</v>
      </c>
      <c r="L1643" s="38">
        <v>46276</v>
      </c>
      <c r="M1643" s="23" t="s">
        <v>106</v>
      </c>
      <c r="N1643" s="23" t="str">
        <f>IF(COUNTIF($A$2:A1643,A1643)&gt;1,"DUP","OK")</f>
        <v>OK</v>
      </c>
      <c r="O1643" s="23" t="str">
        <f t="shared" si="76"/>
        <v>ORD26005317</v>
      </c>
      <c r="P1643" s="23" t="str">
        <f t="shared" si="77"/>
        <v>Sep</v>
      </c>
      <c r="Q1643" s="23" t="str">
        <f>IF(F1643="CAPTURE",IF(COUNTIF(orders!$A:$A,O1643)&gt;0,"Yes","NO ORDER"),"")</f>
        <v>Yes</v>
      </c>
    </row>
    <row r="1644" spans="1:17" ht="15" customHeight="1" x14ac:dyDescent="0.3">
      <c r="A1644" s="23" t="s">
        <v>14331</v>
      </c>
      <c r="B1644" s="23"/>
      <c r="C1644" s="23" t="s">
        <v>14332</v>
      </c>
      <c r="D1644" s="23" t="str">
        <f t="shared" si="75"/>
        <v>ORD26005346</v>
      </c>
      <c r="E1644" s="38">
        <v>46274</v>
      </c>
      <c r="F1644" s="23" t="s">
        <v>12410</v>
      </c>
      <c r="G1644" s="23" t="s">
        <v>79</v>
      </c>
      <c r="H1644" s="24">
        <v>2497</v>
      </c>
      <c r="I1644" s="24">
        <v>39.950000000000003</v>
      </c>
      <c r="J1644" s="24">
        <v>7.19</v>
      </c>
      <c r="K1644" s="24">
        <v>2449.86</v>
      </c>
      <c r="L1644" s="38">
        <v>46276</v>
      </c>
      <c r="M1644" s="23" t="s">
        <v>106</v>
      </c>
      <c r="N1644" s="23" t="str">
        <f>IF(COUNTIF($A$2:A1644,A1644)&gt;1,"DUP","OK")</f>
        <v>OK</v>
      </c>
      <c r="O1644" s="23" t="str">
        <f t="shared" si="76"/>
        <v>ORD26005346</v>
      </c>
      <c r="P1644" s="23" t="str">
        <f t="shared" si="77"/>
        <v>Sep</v>
      </c>
      <c r="Q1644" s="23" t="str">
        <f>IF(F1644="CAPTURE",IF(COUNTIF(orders!$A:$A,O1644)&gt;0,"Yes","NO ORDER"),"")</f>
        <v>Yes</v>
      </c>
    </row>
    <row r="1645" spans="1:17" ht="15" customHeight="1" x14ac:dyDescent="0.3">
      <c r="A1645" s="23" t="s">
        <v>14333</v>
      </c>
      <c r="B1645" s="23"/>
      <c r="C1645" s="23" t="s">
        <v>11184</v>
      </c>
      <c r="D1645" s="23" t="str">
        <f t="shared" si="75"/>
        <v>ORD26005375</v>
      </c>
      <c r="E1645" s="38">
        <v>46274</v>
      </c>
      <c r="F1645" s="23" t="s">
        <v>12410</v>
      </c>
      <c r="G1645" s="23" t="s">
        <v>75</v>
      </c>
      <c r="H1645" s="24">
        <v>798</v>
      </c>
      <c r="I1645" s="24">
        <v>0</v>
      </c>
      <c r="J1645" s="24">
        <v>0</v>
      </c>
      <c r="K1645" s="24">
        <v>798</v>
      </c>
      <c r="L1645" s="38">
        <v>46276</v>
      </c>
      <c r="M1645" s="23" t="s">
        <v>106</v>
      </c>
      <c r="N1645" s="23" t="str">
        <f>IF(COUNTIF($A$2:A1645,A1645)&gt;1,"DUP","OK")</f>
        <v>OK</v>
      </c>
      <c r="O1645" s="23" t="str">
        <f t="shared" si="76"/>
        <v>ORD26005375</v>
      </c>
      <c r="P1645" s="23" t="str">
        <f t="shared" si="77"/>
        <v>Sep</v>
      </c>
      <c r="Q1645" s="23" t="str">
        <f>IF(F1645="CAPTURE",IF(COUNTIF(orders!$A:$A,O1645)&gt;0,"Yes","NO ORDER"),"")</f>
        <v>Yes</v>
      </c>
    </row>
    <row r="1646" spans="1:17" ht="15" customHeight="1" x14ac:dyDescent="0.3">
      <c r="A1646" s="23" t="s">
        <v>14334</v>
      </c>
      <c r="B1646" s="23"/>
      <c r="C1646" s="23" t="s">
        <v>11231</v>
      </c>
      <c r="D1646" s="23" t="str">
        <f t="shared" si="75"/>
        <v>ORD26005399</v>
      </c>
      <c r="E1646" s="38">
        <v>46274</v>
      </c>
      <c r="F1646" s="23" t="s">
        <v>12410</v>
      </c>
      <c r="G1646" s="23" t="s">
        <v>75</v>
      </c>
      <c r="H1646" s="24">
        <v>5797</v>
      </c>
      <c r="I1646" s="24">
        <v>17.39</v>
      </c>
      <c r="J1646" s="24">
        <v>3.13</v>
      </c>
      <c r="K1646" s="24">
        <v>5776.48</v>
      </c>
      <c r="L1646" s="38">
        <v>46276</v>
      </c>
      <c r="M1646" s="23" t="s">
        <v>106</v>
      </c>
      <c r="N1646" s="23" t="str">
        <f>IF(COUNTIF($A$2:A1646,A1646)&gt;1,"DUP","OK")</f>
        <v>OK</v>
      </c>
      <c r="O1646" s="23" t="str">
        <f t="shared" si="76"/>
        <v>ORD26005399</v>
      </c>
      <c r="P1646" s="23" t="str">
        <f t="shared" si="77"/>
        <v>Sep</v>
      </c>
      <c r="Q1646" s="23" t="str">
        <f>IF(F1646="CAPTURE",IF(COUNTIF(orders!$A:$A,O1646)&gt;0,"Yes","NO ORDER"),"")</f>
        <v>Yes</v>
      </c>
    </row>
    <row r="1647" spans="1:17" ht="15" customHeight="1" x14ac:dyDescent="0.3">
      <c r="A1647" s="23" t="s">
        <v>14335</v>
      </c>
      <c r="B1647" s="23"/>
      <c r="C1647" s="23" t="s">
        <v>11291</v>
      </c>
      <c r="D1647" s="23" t="str">
        <f t="shared" si="75"/>
        <v>ORD26005430</v>
      </c>
      <c r="E1647" s="38">
        <v>46274</v>
      </c>
      <c r="F1647" s="23" t="s">
        <v>12410</v>
      </c>
      <c r="G1647" s="23" t="s">
        <v>75</v>
      </c>
      <c r="H1647" s="24">
        <v>6997</v>
      </c>
      <c r="I1647" s="24">
        <v>20.99</v>
      </c>
      <c r="J1647" s="24">
        <v>3.78</v>
      </c>
      <c r="K1647" s="24">
        <v>6972.23</v>
      </c>
      <c r="L1647" s="38">
        <v>46276</v>
      </c>
      <c r="M1647" s="23" t="s">
        <v>106</v>
      </c>
      <c r="N1647" s="23" t="str">
        <f>IF(COUNTIF($A$2:A1647,A1647)&gt;1,"DUP","OK")</f>
        <v>OK</v>
      </c>
      <c r="O1647" s="23" t="str">
        <f t="shared" si="76"/>
        <v>ORD26005430</v>
      </c>
      <c r="P1647" s="23" t="str">
        <f t="shared" si="77"/>
        <v>Sep</v>
      </c>
      <c r="Q1647" s="23" t="str">
        <f>IF(F1647="CAPTURE",IF(COUNTIF(orders!$A:$A,O1647)&gt;0,"Yes","NO ORDER"),"")</f>
        <v>Yes</v>
      </c>
    </row>
    <row r="1648" spans="1:17" ht="15" customHeight="1" x14ac:dyDescent="0.3">
      <c r="A1648" s="23" t="s">
        <v>14336</v>
      </c>
      <c r="B1648" s="23"/>
      <c r="C1648" s="23" t="s">
        <v>11401</v>
      </c>
      <c r="D1648" s="23" t="str">
        <f t="shared" si="75"/>
        <v>ORD26005486</v>
      </c>
      <c r="E1648" s="38">
        <v>46274</v>
      </c>
      <c r="F1648" s="23" t="s">
        <v>12410</v>
      </c>
      <c r="G1648" s="23" t="s">
        <v>77</v>
      </c>
      <c r="H1648" s="24">
        <v>3298</v>
      </c>
      <c r="I1648" s="24">
        <v>56.07</v>
      </c>
      <c r="J1648" s="24">
        <v>10.09</v>
      </c>
      <c r="K1648" s="24">
        <v>3231.84</v>
      </c>
      <c r="L1648" s="38">
        <v>46276</v>
      </c>
      <c r="M1648" s="23" t="s">
        <v>106</v>
      </c>
      <c r="N1648" s="23" t="str">
        <f>IF(COUNTIF($A$2:A1648,A1648)&gt;1,"DUP","OK")</f>
        <v>OK</v>
      </c>
      <c r="O1648" s="23" t="str">
        <f t="shared" si="76"/>
        <v>ORD26005486</v>
      </c>
      <c r="P1648" s="23" t="str">
        <f t="shared" si="77"/>
        <v>Sep</v>
      </c>
      <c r="Q1648" s="23" t="str">
        <f>IF(F1648="CAPTURE",IF(COUNTIF(orders!$A:$A,O1648)&gt;0,"Yes","NO ORDER"),"")</f>
        <v>Yes</v>
      </c>
    </row>
    <row r="1649" spans="1:17" ht="15" customHeight="1" x14ac:dyDescent="0.3">
      <c r="A1649" s="23" t="s">
        <v>14337</v>
      </c>
      <c r="B1649" s="23"/>
      <c r="C1649" s="23" t="s">
        <v>11590</v>
      </c>
      <c r="D1649" s="23" t="str">
        <f t="shared" si="75"/>
        <v>ORD26005584</v>
      </c>
      <c r="E1649" s="38">
        <v>46274</v>
      </c>
      <c r="F1649" s="23" t="s">
        <v>12410</v>
      </c>
      <c r="G1649" s="23" t="s">
        <v>75</v>
      </c>
      <c r="H1649" s="24">
        <v>599</v>
      </c>
      <c r="I1649" s="24">
        <v>0</v>
      </c>
      <c r="J1649" s="24">
        <v>0</v>
      </c>
      <c r="K1649" s="24">
        <v>599</v>
      </c>
      <c r="L1649" s="38">
        <v>46276</v>
      </c>
      <c r="M1649" s="23" t="s">
        <v>106</v>
      </c>
      <c r="N1649" s="23" t="str">
        <f>IF(COUNTIF($A$2:A1649,A1649)&gt;1,"DUP","OK")</f>
        <v>OK</v>
      </c>
      <c r="O1649" s="23" t="str">
        <f t="shared" si="76"/>
        <v>ORD26005584</v>
      </c>
      <c r="P1649" s="23" t="str">
        <f t="shared" si="77"/>
        <v>Sep</v>
      </c>
      <c r="Q1649" s="23" t="str">
        <f>IF(F1649="CAPTURE",IF(COUNTIF(orders!$A:$A,O1649)&gt;0,"Yes","NO ORDER"),"")</f>
        <v>Yes</v>
      </c>
    </row>
    <row r="1650" spans="1:17" ht="15" customHeight="1" x14ac:dyDescent="0.3">
      <c r="A1650" s="23" t="s">
        <v>14338</v>
      </c>
      <c r="B1650" s="23"/>
      <c r="C1650" s="23" t="s">
        <v>14339</v>
      </c>
      <c r="D1650" s="23" t="str">
        <f t="shared" si="75"/>
        <v>ORD26005598</v>
      </c>
      <c r="E1650" s="38">
        <v>46274</v>
      </c>
      <c r="F1650" s="23" t="s">
        <v>12410</v>
      </c>
      <c r="G1650" s="23" t="s">
        <v>77</v>
      </c>
      <c r="H1650" s="24">
        <v>2197</v>
      </c>
      <c r="I1650" s="24">
        <v>37.35</v>
      </c>
      <c r="J1650" s="24">
        <v>6.72</v>
      </c>
      <c r="K1650" s="24">
        <v>2152.9299999999998</v>
      </c>
      <c r="L1650" s="38">
        <v>46276</v>
      </c>
      <c r="M1650" s="23" t="s">
        <v>106</v>
      </c>
      <c r="N1650" s="23" t="str">
        <f>IF(COUNTIF($A$2:A1650,A1650)&gt;1,"DUP","OK")</f>
        <v>OK</v>
      </c>
      <c r="O1650" s="23" t="str">
        <f t="shared" si="76"/>
        <v>ORD26005598</v>
      </c>
      <c r="P1650" s="23" t="str">
        <f t="shared" si="77"/>
        <v>Sep</v>
      </c>
      <c r="Q1650" s="23" t="str">
        <f>IF(F1650="CAPTURE",IF(COUNTIF(orders!$A:$A,O1650)&gt;0,"Yes","NO ORDER"),"")</f>
        <v>Yes</v>
      </c>
    </row>
    <row r="1651" spans="1:17" ht="15" customHeight="1" x14ac:dyDescent="0.3">
      <c r="A1651" s="23" t="s">
        <v>14340</v>
      </c>
      <c r="B1651" s="23"/>
      <c r="C1651" s="23" t="s">
        <v>11758</v>
      </c>
      <c r="D1651" s="23" t="str">
        <f t="shared" si="75"/>
        <v>ORD26005669</v>
      </c>
      <c r="E1651" s="38">
        <v>46274</v>
      </c>
      <c r="F1651" s="23" t="s">
        <v>12410</v>
      </c>
      <c r="G1651" s="23" t="s">
        <v>75</v>
      </c>
      <c r="H1651" s="24">
        <v>3499</v>
      </c>
      <c r="I1651" s="24">
        <v>10.5</v>
      </c>
      <c r="J1651" s="24">
        <v>1.89</v>
      </c>
      <c r="K1651" s="24">
        <v>3486.61</v>
      </c>
      <c r="L1651" s="38">
        <v>46276</v>
      </c>
      <c r="M1651" s="23" t="s">
        <v>106</v>
      </c>
      <c r="N1651" s="23" t="str">
        <f>IF(COUNTIF($A$2:A1651,A1651)&gt;1,"DUP","OK")</f>
        <v>OK</v>
      </c>
      <c r="O1651" s="23" t="str">
        <f t="shared" si="76"/>
        <v>ORD26005669</v>
      </c>
      <c r="P1651" s="23" t="str">
        <f t="shared" si="77"/>
        <v>Sep</v>
      </c>
      <c r="Q1651" s="23" t="str">
        <f>IF(F1651="CAPTURE",IF(COUNTIF(orders!$A:$A,O1651)&gt;0,"Yes","NO ORDER"),"")</f>
        <v>Yes</v>
      </c>
    </row>
    <row r="1652" spans="1:17" ht="15" customHeight="1" x14ac:dyDescent="0.3">
      <c r="A1652" s="23" t="s">
        <v>14341</v>
      </c>
      <c r="B1652" s="23"/>
      <c r="C1652" s="23" t="s">
        <v>11778</v>
      </c>
      <c r="D1652" s="23" t="str">
        <f t="shared" si="75"/>
        <v>ORD26005680</v>
      </c>
      <c r="E1652" s="38">
        <v>46274</v>
      </c>
      <c r="F1652" s="23" t="s">
        <v>12410</v>
      </c>
      <c r="G1652" s="23" t="s">
        <v>75</v>
      </c>
      <c r="H1652" s="24">
        <v>2098</v>
      </c>
      <c r="I1652" s="24">
        <v>6.29</v>
      </c>
      <c r="J1652" s="24">
        <v>1.1299999999999999</v>
      </c>
      <c r="K1652" s="24">
        <v>2090.58</v>
      </c>
      <c r="L1652" s="38">
        <v>46276</v>
      </c>
      <c r="M1652" s="23" t="s">
        <v>106</v>
      </c>
      <c r="N1652" s="23" t="str">
        <f>IF(COUNTIF($A$2:A1652,A1652)&gt;1,"DUP","OK")</f>
        <v>OK</v>
      </c>
      <c r="O1652" s="23" t="str">
        <f t="shared" si="76"/>
        <v>ORD26005680</v>
      </c>
      <c r="P1652" s="23" t="str">
        <f t="shared" si="77"/>
        <v>Sep</v>
      </c>
      <c r="Q1652" s="23" t="str">
        <f>IF(F1652="CAPTURE",IF(COUNTIF(orders!$A:$A,O1652)&gt;0,"Yes","NO ORDER"),"")</f>
        <v>Yes</v>
      </c>
    </row>
    <row r="1653" spans="1:17" ht="15" customHeight="1" x14ac:dyDescent="0.3">
      <c r="A1653" s="23" t="s">
        <v>14342</v>
      </c>
      <c r="B1653" s="23"/>
      <c r="C1653" s="23" t="s">
        <v>11860</v>
      </c>
      <c r="D1653" s="23" t="str">
        <f t="shared" si="75"/>
        <v>ORD26005722</v>
      </c>
      <c r="E1653" s="38">
        <v>46274</v>
      </c>
      <c r="F1653" s="23" t="s">
        <v>12410</v>
      </c>
      <c r="G1653" s="23" t="s">
        <v>79</v>
      </c>
      <c r="H1653" s="24">
        <v>999</v>
      </c>
      <c r="I1653" s="24">
        <v>17.98</v>
      </c>
      <c r="J1653" s="24">
        <v>3.24</v>
      </c>
      <c r="K1653" s="24">
        <v>977.78</v>
      </c>
      <c r="L1653" s="38">
        <v>46276</v>
      </c>
      <c r="M1653" s="23" t="s">
        <v>106</v>
      </c>
      <c r="N1653" s="23" t="str">
        <f>IF(COUNTIF($A$2:A1653,A1653)&gt;1,"DUP","OK")</f>
        <v>OK</v>
      </c>
      <c r="O1653" s="23" t="str">
        <f t="shared" si="76"/>
        <v>ORD26005722</v>
      </c>
      <c r="P1653" s="23" t="str">
        <f t="shared" si="77"/>
        <v>Sep</v>
      </c>
      <c r="Q1653" s="23" t="str">
        <f>IF(F1653="CAPTURE",IF(COUNTIF(orders!$A:$A,O1653)&gt;0,"Yes","NO ORDER"),"")</f>
        <v>Yes</v>
      </c>
    </row>
    <row r="1654" spans="1:17" ht="15" customHeight="1" x14ac:dyDescent="0.3">
      <c r="A1654" s="23" t="s">
        <v>14343</v>
      </c>
      <c r="B1654" s="23"/>
      <c r="C1654" s="23" t="s">
        <v>11903</v>
      </c>
      <c r="D1654" s="23" t="str">
        <f t="shared" si="75"/>
        <v>ORD26005744</v>
      </c>
      <c r="E1654" s="38">
        <v>46274</v>
      </c>
      <c r="F1654" s="23" t="s">
        <v>12410</v>
      </c>
      <c r="G1654" s="23" t="s">
        <v>75</v>
      </c>
      <c r="H1654" s="24">
        <v>1499</v>
      </c>
      <c r="I1654" s="24">
        <v>0</v>
      </c>
      <c r="J1654" s="24">
        <v>0</v>
      </c>
      <c r="K1654" s="24">
        <v>1499</v>
      </c>
      <c r="L1654" s="38">
        <v>46276</v>
      </c>
      <c r="M1654" s="23" t="s">
        <v>106</v>
      </c>
      <c r="N1654" s="23" t="str">
        <f>IF(COUNTIF($A$2:A1654,A1654)&gt;1,"DUP","OK")</f>
        <v>OK</v>
      </c>
      <c r="O1654" s="23" t="str">
        <f t="shared" si="76"/>
        <v>ORD26005744</v>
      </c>
      <c r="P1654" s="23" t="str">
        <f t="shared" si="77"/>
        <v>Sep</v>
      </c>
      <c r="Q1654" s="23" t="str">
        <f>IF(F1654="CAPTURE",IF(COUNTIF(orders!$A:$A,O1654)&gt;0,"Yes","NO ORDER"),"")</f>
        <v>Yes</v>
      </c>
    </row>
    <row r="1655" spans="1:17" ht="15" customHeight="1" x14ac:dyDescent="0.3">
      <c r="A1655" s="23" t="s">
        <v>14344</v>
      </c>
      <c r="B1655" s="23"/>
      <c r="C1655" s="23" t="s">
        <v>14345</v>
      </c>
      <c r="D1655" s="23" t="str">
        <f t="shared" si="75"/>
        <v>ORD26005816</v>
      </c>
      <c r="E1655" s="38">
        <v>46274</v>
      </c>
      <c r="F1655" s="23" t="s">
        <v>12410</v>
      </c>
      <c r="G1655" s="23" t="s">
        <v>75</v>
      </c>
      <c r="H1655" s="24">
        <v>3499</v>
      </c>
      <c r="I1655" s="24">
        <v>10.5</v>
      </c>
      <c r="J1655" s="24">
        <v>1.89</v>
      </c>
      <c r="K1655" s="24">
        <v>3486.61</v>
      </c>
      <c r="L1655" s="38">
        <v>46276</v>
      </c>
      <c r="M1655" s="23" t="s">
        <v>106</v>
      </c>
      <c r="N1655" s="23" t="str">
        <f>IF(COUNTIF($A$2:A1655,A1655)&gt;1,"DUP","OK")</f>
        <v>OK</v>
      </c>
      <c r="O1655" s="23" t="str">
        <f t="shared" si="76"/>
        <v>ORD26005816</v>
      </c>
      <c r="P1655" s="23" t="str">
        <f t="shared" si="77"/>
        <v>Sep</v>
      </c>
      <c r="Q1655" s="23" t="str">
        <f>IF(F1655="CAPTURE",IF(COUNTIF(orders!$A:$A,O1655)&gt;0,"Yes","NO ORDER"),"")</f>
        <v>Yes</v>
      </c>
    </row>
    <row r="1656" spans="1:17" ht="15" customHeight="1" x14ac:dyDescent="0.3">
      <c r="A1656" s="23" t="s">
        <v>14346</v>
      </c>
      <c r="B1656" s="23"/>
      <c r="C1656" s="23" t="s">
        <v>12054</v>
      </c>
      <c r="D1656" s="23" t="str">
        <f t="shared" si="75"/>
        <v>ORD26005821</v>
      </c>
      <c r="E1656" s="38">
        <v>46274</v>
      </c>
      <c r="F1656" s="23" t="s">
        <v>12410</v>
      </c>
      <c r="G1656" s="23" t="s">
        <v>79</v>
      </c>
      <c r="H1656" s="24">
        <v>1299</v>
      </c>
      <c r="I1656" s="24">
        <v>23.38</v>
      </c>
      <c r="J1656" s="24">
        <v>4.21</v>
      </c>
      <c r="K1656" s="24">
        <v>1271.4100000000001</v>
      </c>
      <c r="L1656" s="38">
        <v>46276</v>
      </c>
      <c r="M1656" s="23" t="s">
        <v>106</v>
      </c>
      <c r="N1656" s="23" t="str">
        <f>IF(COUNTIF($A$2:A1656,A1656)&gt;1,"DUP","OK")</f>
        <v>OK</v>
      </c>
      <c r="O1656" s="23" t="str">
        <f t="shared" si="76"/>
        <v>ORD26005821</v>
      </c>
      <c r="P1656" s="23" t="str">
        <f t="shared" si="77"/>
        <v>Sep</v>
      </c>
      <c r="Q1656" s="23" t="str">
        <f>IF(F1656="CAPTURE",IF(COUNTIF(orders!$A:$A,O1656)&gt;0,"Yes","NO ORDER"),"")</f>
        <v>Yes</v>
      </c>
    </row>
    <row r="1657" spans="1:17" ht="15" customHeight="1" x14ac:dyDescent="0.3">
      <c r="A1657" s="23" t="s">
        <v>14347</v>
      </c>
      <c r="B1657" s="23"/>
      <c r="C1657" s="23" t="s">
        <v>12126</v>
      </c>
      <c r="D1657" s="23" t="str">
        <f t="shared" si="75"/>
        <v>ORD26005860</v>
      </c>
      <c r="E1657" s="38">
        <v>46274</v>
      </c>
      <c r="F1657" s="23" t="s">
        <v>12410</v>
      </c>
      <c r="G1657" s="23" t="s">
        <v>75</v>
      </c>
      <c r="H1657" s="24">
        <v>599</v>
      </c>
      <c r="I1657" s="24">
        <v>0</v>
      </c>
      <c r="J1657" s="24">
        <v>0</v>
      </c>
      <c r="K1657" s="24">
        <v>599</v>
      </c>
      <c r="L1657" s="38">
        <v>46276</v>
      </c>
      <c r="M1657" s="23" t="s">
        <v>106</v>
      </c>
      <c r="N1657" s="23" t="str">
        <f>IF(COUNTIF($A$2:A1657,A1657)&gt;1,"DUP","OK")</f>
        <v>OK</v>
      </c>
      <c r="O1657" s="23" t="str">
        <f t="shared" si="76"/>
        <v>ORD26005860</v>
      </c>
      <c r="P1657" s="23" t="str">
        <f t="shared" si="77"/>
        <v>Sep</v>
      </c>
      <c r="Q1657" s="23" t="str">
        <f>IF(F1657="CAPTURE",IF(COUNTIF(orders!$A:$A,O1657)&gt;0,"Yes","NO ORDER"),"")</f>
        <v>Yes</v>
      </c>
    </row>
    <row r="1658" spans="1:17" ht="15" customHeight="1" x14ac:dyDescent="0.3">
      <c r="A1658" s="23" t="s">
        <v>14348</v>
      </c>
      <c r="B1658" s="23"/>
      <c r="C1658" s="23" t="s">
        <v>12157</v>
      </c>
      <c r="D1658" s="23" t="str">
        <f t="shared" si="75"/>
        <v>ORD26005877</v>
      </c>
      <c r="E1658" s="38">
        <v>46274</v>
      </c>
      <c r="F1658" s="23" t="s">
        <v>12410</v>
      </c>
      <c r="G1658" s="23" t="s">
        <v>75</v>
      </c>
      <c r="H1658" s="24">
        <v>3848</v>
      </c>
      <c r="I1658" s="24">
        <v>11.54</v>
      </c>
      <c r="J1658" s="24">
        <v>2.08</v>
      </c>
      <c r="K1658" s="24">
        <v>3834.38</v>
      </c>
      <c r="L1658" s="38">
        <v>46276</v>
      </c>
      <c r="M1658" s="23" t="s">
        <v>106</v>
      </c>
      <c r="N1658" s="23" t="str">
        <f>IF(COUNTIF($A$2:A1658,A1658)&gt;1,"DUP","OK")</f>
        <v>OK</v>
      </c>
      <c r="O1658" s="23" t="str">
        <f t="shared" si="76"/>
        <v>ORD26005877</v>
      </c>
      <c r="P1658" s="23" t="str">
        <f t="shared" si="77"/>
        <v>Sep</v>
      </c>
      <c r="Q1658" s="23" t="str">
        <f>IF(F1658="CAPTURE",IF(COUNTIF(orders!$A:$A,O1658)&gt;0,"Yes","NO ORDER"),"")</f>
        <v>Yes</v>
      </c>
    </row>
    <row r="1659" spans="1:17" ht="15" customHeight="1" x14ac:dyDescent="0.3">
      <c r="A1659" s="23" t="s">
        <v>14349</v>
      </c>
      <c r="B1659" s="23"/>
      <c r="C1659" s="23" t="s">
        <v>12198</v>
      </c>
      <c r="D1659" s="23" t="str">
        <f t="shared" si="75"/>
        <v>ORD26005899</v>
      </c>
      <c r="E1659" s="38">
        <v>46274</v>
      </c>
      <c r="F1659" s="23" t="s">
        <v>12410</v>
      </c>
      <c r="G1659" s="23" t="s">
        <v>75</v>
      </c>
      <c r="H1659" s="24">
        <v>1147</v>
      </c>
      <c r="I1659" s="24">
        <v>0</v>
      </c>
      <c r="J1659" s="24">
        <v>0</v>
      </c>
      <c r="K1659" s="24">
        <v>1147</v>
      </c>
      <c r="L1659" s="38">
        <v>46276</v>
      </c>
      <c r="M1659" s="23" t="s">
        <v>106</v>
      </c>
      <c r="N1659" s="23" t="str">
        <f>IF(COUNTIF($A$2:A1659,A1659)&gt;1,"DUP","OK")</f>
        <v>OK</v>
      </c>
      <c r="O1659" s="23" t="str">
        <f t="shared" si="76"/>
        <v>ORD26005899</v>
      </c>
      <c r="P1659" s="23" t="str">
        <f t="shared" si="77"/>
        <v>Sep</v>
      </c>
      <c r="Q1659" s="23" t="str">
        <f>IF(F1659="CAPTURE",IF(COUNTIF(orders!$A:$A,O1659)&gt;0,"Yes","NO ORDER"),"")</f>
        <v>Yes</v>
      </c>
    </row>
    <row r="1660" spans="1:17" ht="15" customHeight="1" x14ac:dyDescent="0.3">
      <c r="A1660" s="23" t="s">
        <v>14350</v>
      </c>
      <c r="B1660" s="23"/>
      <c r="C1660" s="23" t="s">
        <v>12289</v>
      </c>
      <c r="D1660" s="23" t="str">
        <f t="shared" si="75"/>
        <v>ORD26005947</v>
      </c>
      <c r="E1660" s="38">
        <v>46274</v>
      </c>
      <c r="F1660" s="23" t="s">
        <v>12410</v>
      </c>
      <c r="G1660" s="23" t="s">
        <v>75</v>
      </c>
      <c r="H1660" s="24">
        <v>2999</v>
      </c>
      <c r="I1660" s="24">
        <v>9</v>
      </c>
      <c r="J1660" s="24">
        <v>1.62</v>
      </c>
      <c r="K1660" s="24">
        <v>2988.38</v>
      </c>
      <c r="L1660" s="38">
        <v>46276</v>
      </c>
      <c r="M1660" s="23" t="s">
        <v>106</v>
      </c>
      <c r="N1660" s="23" t="str">
        <f>IF(COUNTIF($A$2:A1660,A1660)&gt;1,"DUP","OK")</f>
        <v>OK</v>
      </c>
      <c r="O1660" s="23" t="str">
        <f t="shared" si="76"/>
        <v>ORD26005947</v>
      </c>
      <c r="P1660" s="23" t="str">
        <f t="shared" si="77"/>
        <v>Sep</v>
      </c>
      <c r="Q1660" s="23" t="str">
        <f>IF(F1660="CAPTURE",IF(COUNTIF(orders!$A:$A,O1660)&gt;0,"Yes","NO ORDER"),"")</f>
        <v>Yes</v>
      </c>
    </row>
    <row r="1661" spans="1:17" ht="15" customHeight="1" x14ac:dyDescent="0.3">
      <c r="A1661" s="23" t="s">
        <v>14351</v>
      </c>
      <c r="B1661" s="23"/>
      <c r="C1661" s="23" t="s">
        <v>12293</v>
      </c>
      <c r="D1661" s="23" t="str">
        <f t="shared" si="75"/>
        <v>ORD26005949</v>
      </c>
      <c r="E1661" s="38">
        <v>46274</v>
      </c>
      <c r="F1661" s="23" t="s">
        <v>12410</v>
      </c>
      <c r="G1661" s="23" t="s">
        <v>79</v>
      </c>
      <c r="H1661" s="24">
        <v>349</v>
      </c>
      <c r="I1661" s="24">
        <v>6.28</v>
      </c>
      <c r="J1661" s="24">
        <v>1.1299999999999999</v>
      </c>
      <c r="K1661" s="24">
        <v>341.59</v>
      </c>
      <c r="L1661" s="38">
        <v>46276</v>
      </c>
      <c r="M1661" s="23" t="s">
        <v>106</v>
      </c>
      <c r="N1661" s="23" t="str">
        <f>IF(COUNTIF($A$2:A1661,A1661)&gt;1,"DUP","OK")</f>
        <v>OK</v>
      </c>
      <c r="O1661" s="23" t="str">
        <f t="shared" si="76"/>
        <v>ORD26005949</v>
      </c>
      <c r="P1661" s="23" t="str">
        <f t="shared" si="77"/>
        <v>Sep</v>
      </c>
      <c r="Q1661" s="23" t="str">
        <f>IF(F1661="CAPTURE",IF(COUNTIF(orders!$A:$A,O1661)&gt;0,"Yes","NO ORDER"),"")</f>
        <v>Yes</v>
      </c>
    </row>
    <row r="1662" spans="1:17" ht="15" customHeight="1" x14ac:dyDescent="0.3">
      <c r="A1662" s="23" t="s">
        <v>14352</v>
      </c>
      <c r="B1662" s="23"/>
      <c r="C1662" s="23" t="s">
        <v>12361</v>
      </c>
      <c r="D1662" s="23" t="str">
        <f t="shared" si="75"/>
        <v>ORD26005985</v>
      </c>
      <c r="E1662" s="38">
        <v>46274</v>
      </c>
      <c r="F1662" s="23" t="s">
        <v>12410</v>
      </c>
      <c r="G1662" s="23" t="s">
        <v>79</v>
      </c>
      <c r="H1662" s="24">
        <v>2999</v>
      </c>
      <c r="I1662" s="24">
        <v>47.98</v>
      </c>
      <c r="J1662" s="24">
        <v>8.64</v>
      </c>
      <c r="K1662" s="24">
        <v>2942.38</v>
      </c>
      <c r="L1662" s="38">
        <v>46276</v>
      </c>
      <c r="M1662" s="23" t="s">
        <v>106</v>
      </c>
      <c r="N1662" s="23" t="str">
        <f>IF(COUNTIF($A$2:A1662,A1662)&gt;1,"DUP","OK")</f>
        <v>OK</v>
      </c>
      <c r="O1662" s="23" t="str">
        <f t="shared" si="76"/>
        <v>ORD26005985</v>
      </c>
      <c r="P1662" s="23" t="str">
        <f t="shared" si="77"/>
        <v>Sep</v>
      </c>
      <c r="Q1662" s="23" t="str">
        <f>IF(F1662="CAPTURE",IF(COUNTIF(orders!$A:$A,O1662)&gt;0,"Yes","NO ORDER"),"")</f>
        <v>Yes</v>
      </c>
    </row>
    <row r="1663" spans="1:17" ht="15" customHeight="1" x14ac:dyDescent="0.3">
      <c r="A1663" s="23" t="s">
        <v>14353</v>
      </c>
      <c r="B1663" s="23" t="s">
        <v>13039</v>
      </c>
      <c r="C1663" s="23"/>
      <c r="D1663" s="23" t="str">
        <f t="shared" si="75"/>
        <v/>
      </c>
      <c r="E1663" s="38">
        <v>46274</v>
      </c>
      <c r="F1663" s="23" t="s">
        <v>12791</v>
      </c>
      <c r="G1663" s="23" t="s">
        <v>75</v>
      </c>
      <c r="H1663" s="24">
        <v>6897</v>
      </c>
      <c r="I1663" s="24">
        <v>0</v>
      </c>
      <c r="J1663" s="24">
        <v>0</v>
      </c>
      <c r="K1663" s="24">
        <v>-6897</v>
      </c>
      <c r="L1663" s="38">
        <v>46276</v>
      </c>
      <c r="M1663" s="23" t="s">
        <v>106</v>
      </c>
      <c r="N1663" s="23" t="str">
        <f>IF(COUNTIF($A$2:A1663,A1663)&gt;1,"DUP","OK")</f>
        <v>OK</v>
      </c>
      <c r="O1663" s="23" t="str">
        <f t="shared" si="76"/>
        <v>ORD26000775</v>
      </c>
      <c r="P1663" s="23" t="str">
        <f t="shared" si="77"/>
        <v>Sep</v>
      </c>
      <c r="Q1663" s="23" t="str">
        <f>IF(F1663="CAPTURE",IF(COUNTIF(orders!$A:$A,O1663)&gt;0,"Yes","NO ORDER"),"")</f>
        <v/>
      </c>
    </row>
    <row r="1664" spans="1:17" ht="15" customHeight="1" x14ac:dyDescent="0.3">
      <c r="A1664" s="23" t="s">
        <v>14354</v>
      </c>
      <c r="B1664" s="23" t="s">
        <v>13214</v>
      </c>
      <c r="C1664" s="23"/>
      <c r="D1664" s="23" t="str">
        <f t="shared" si="75"/>
        <v/>
      </c>
      <c r="E1664" s="38">
        <v>46274</v>
      </c>
      <c r="F1664" s="23" t="s">
        <v>12791</v>
      </c>
      <c r="G1664" s="23" t="s">
        <v>79</v>
      </c>
      <c r="H1664" s="24">
        <v>3798</v>
      </c>
      <c r="I1664" s="24">
        <v>0</v>
      </c>
      <c r="J1664" s="24">
        <v>0</v>
      </c>
      <c r="K1664" s="24">
        <v>-3798</v>
      </c>
      <c r="L1664" s="38">
        <v>46276</v>
      </c>
      <c r="M1664" s="23" t="s">
        <v>106</v>
      </c>
      <c r="N1664" s="23" t="str">
        <f>IF(COUNTIF($A$2:A1664,A1664)&gt;1,"DUP","OK")</f>
        <v>OK</v>
      </c>
      <c r="O1664" s="23" t="str">
        <f t="shared" si="76"/>
        <v>ORD26005343</v>
      </c>
      <c r="P1664" s="23" t="str">
        <f t="shared" si="77"/>
        <v>Sep</v>
      </c>
      <c r="Q1664" s="23" t="str">
        <f>IF(F1664="CAPTURE",IF(COUNTIF(orders!$A:$A,O1664)&gt;0,"Yes","NO ORDER"),"")</f>
        <v/>
      </c>
    </row>
    <row r="1665" spans="1:17" ht="15" customHeight="1" x14ac:dyDescent="0.3">
      <c r="A1665" s="23" t="s">
        <v>14355</v>
      </c>
      <c r="B1665" s="23" t="s">
        <v>13867</v>
      </c>
      <c r="C1665" s="23"/>
      <c r="D1665" s="23" t="str">
        <f t="shared" si="75"/>
        <v/>
      </c>
      <c r="E1665" s="38">
        <v>46274</v>
      </c>
      <c r="F1665" s="23" t="s">
        <v>12791</v>
      </c>
      <c r="G1665" s="23" t="s">
        <v>79</v>
      </c>
      <c r="H1665" s="24">
        <v>4999</v>
      </c>
      <c r="I1665" s="24">
        <v>0</v>
      </c>
      <c r="J1665" s="24">
        <v>0</v>
      </c>
      <c r="K1665" s="24">
        <v>-4999</v>
      </c>
      <c r="L1665" s="38">
        <v>46276</v>
      </c>
      <c r="M1665" s="23" t="s">
        <v>106</v>
      </c>
      <c r="N1665" s="23" t="str">
        <f>IF(COUNTIF($A$2:A1665,A1665)&gt;1,"DUP","OK")</f>
        <v>OK</v>
      </c>
      <c r="O1665" s="23" t="str">
        <f t="shared" si="76"/>
        <v>ORD26005458</v>
      </c>
      <c r="P1665" s="23" t="str">
        <f t="shared" si="77"/>
        <v>Sep</v>
      </c>
      <c r="Q1665" s="23" t="str">
        <f>IF(F1665="CAPTURE",IF(COUNTIF(orders!$A:$A,O1665)&gt;0,"Yes","NO ORDER"),"")</f>
        <v/>
      </c>
    </row>
    <row r="1666" spans="1:17" ht="15" customHeight="1" x14ac:dyDescent="0.3">
      <c r="A1666" s="23" t="s">
        <v>14356</v>
      </c>
      <c r="B1666" s="23"/>
      <c r="C1666" s="23" t="s">
        <v>322</v>
      </c>
      <c r="D1666" s="23" t="str">
        <f t="shared" ref="D1666:D1729" si="78">UPPER(SUBSTITUTE(TRIM(C1666),"-",""))</f>
        <v>ORD26000026</v>
      </c>
      <c r="E1666" s="38">
        <v>46275</v>
      </c>
      <c r="F1666" s="23" t="s">
        <v>12410</v>
      </c>
      <c r="G1666" s="23" t="s">
        <v>75</v>
      </c>
      <c r="H1666" s="24">
        <v>10498</v>
      </c>
      <c r="I1666" s="24">
        <v>31.49</v>
      </c>
      <c r="J1666" s="24">
        <v>5.67</v>
      </c>
      <c r="K1666" s="24">
        <v>10460.84</v>
      </c>
      <c r="L1666" s="38">
        <v>46277</v>
      </c>
      <c r="M1666" s="23" t="s">
        <v>104</v>
      </c>
      <c r="N1666" s="23" t="str">
        <f>IF(COUNTIF($A$2:A1666,A1666)&gt;1,"DUP","OK")</f>
        <v>OK</v>
      </c>
      <c r="O1666" s="23" t="str">
        <f t="shared" ref="O1666:O1729" si="79">IF(F1666="REFUND",INDEX($D:$D,MATCH(B1666,$A:$A,0)),D1666)</f>
        <v>ORD26000026</v>
      </c>
      <c r="P1666" s="23" t="str">
        <f t="shared" ref="P1666:P1729" si="80">IF(L1666&gt;DATE(2026,9,30),"Oct-Due","Sep")</f>
        <v>Sep</v>
      </c>
      <c r="Q1666" s="23" t="str">
        <f>IF(F1666="CAPTURE",IF(COUNTIF(orders!$A:$A,O1666)&gt;0,"Yes","NO ORDER"),"")</f>
        <v>Yes</v>
      </c>
    </row>
    <row r="1667" spans="1:17" ht="15" customHeight="1" x14ac:dyDescent="0.3">
      <c r="A1667" s="23" t="s">
        <v>14357</v>
      </c>
      <c r="B1667" s="23"/>
      <c r="C1667" s="23" t="s">
        <v>391</v>
      </c>
      <c r="D1667" s="23" t="str">
        <f t="shared" si="78"/>
        <v>ORD26000052</v>
      </c>
      <c r="E1667" s="38">
        <v>46275</v>
      </c>
      <c r="F1667" s="23" t="s">
        <v>12410</v>
      </c>
      <c r="G1667" s="23" t="s">
        <v>81</v>
      </c>
      <c r="H1667" s="24">
        <v>349</v>
      </c>
      <c r="I1667" s="24">
        <v>5.24</v>
      </c>
      <c r="J1667" s="24">
        <v>0.94</v>
      </c>
      <c r="K1667" s="24">
        <v>342.82</v>
      </c>
      <c r="L1667" s="38">
        <v>46277</v>
      </c>
      <c r="M1667" s="23" t="s">
        <v>104</v>
      </c>
      <c r="N1667" s="23" t="str">
        <f>IF(COUNTIF($A$2:A1667,A1667)&gt;1,"DUP","OK")</f>
        <v>OK</v>
      </c>
      <c r="O1667" s="23" t="str">
        <f t="shared" si="79"/>
        <v>ORD26000052</v>
      </c>
      <c r="P1667" s="23" t="str">
        <f t="shared" si="80"/>
        <v>Sep</v>
      </c>
      <c r="Q1667" s="23" t="str">
        <f>IF(F1667="CAPTURE",IF(COUNTIF(orders!$A:$A,O1667)&gt;0,"Yes","NO ORDER"),"")</f>
        <v>Yes</v>
      </c>
    </row>
    <row r="1668" spans="1:17" ht="15" customHeight="1" x14ac:dyDescent="0.3">
      <c r="A1668" s="23" t="s">
        <v>14358</v>
      </c>
      <c r="B1668" s="23"/>
      <c r="C1668" s="23" t="s">
        <v>554</v>
      </c>
      <c r="D1668" s="23" t="str">
        <f t="shared" si="78"/>
        <v>ORD26000121</v>
      </c>
      <c r="E1668" s="38">
        <v>46275</v>
      </c>
      <c r="F1668" s="23" t="s">
        <v>12410</v>
      </c>
      <c r="G1668" s="23" t="s">
        <v>79</v>
      </c>
      <c r="H1668" s="24">
        <v>2798</v>
      </c>
      <c r="I1668" s="24">
        <v>44.77</v>
      </c>
      <c r="J1668" s="24">
        <v>8.06</v>
      </c>
      <c r="K1668" s="24">
        <v>2745.17</v>
      </c>
      <c r="L1668" s="38">
        <v>46277</v>
      </c>
      <c r="M1668" s="23" t="s">
        <v>104</v>
      </c>
      <c r="N1668" s="23" t="str">
        <f>IF(COUNTIF($A$2:A1668,A1668)&gt;1,"DUP","OK")</f>
        <v>OK</v>
      </c>
      <c r="O1668" s="23" t="str">
        <f t="shared" si="79"/>
        <v>ORD26000121</v>
      </c>
      <c r="P1668" s="23" t="str">
        <f t="shared" si="80"/>
        <v>Sep</v>
      </c>
      <c r="Q1668" s="23" t="str">
        <f>IF(F1668="CAPTURE",IF(COUNTIF(orders!$A:$A,O1668)&gt;0,"Yes","NO ORDER"),"")</f>
        <v>Yes</v>
      </c>
    </row>
    <row r="1669" spans="1:17" ht="15" customHeight="1" x14ac:dyDescent="0.3">
      <c r="A1669" s="23" t="s">
        <v>14359</v>
      </c>
      <c r="B1669" s="23"/>
      <c r="C1669" s="23" t="s">
        <v>14360</v>
      </c>
      <c r="D1669" s="23" t="str">
        <f t="shared" si="78"/>
        <v>ORD26000159</v>
      </c>
      <c r="E1669" s="38">
        <v>46275</v>
      </c>
      <c r="F1669" s="23" t="s">
        <v>12410</v>
      </c>
      <c r="G1669" s="23" t="s">
        <v>75</v>
      </c>
      <c r="H1669" s="24">
        <v>5597</v>
      </c>
      <c r="I1669" s="24">
        <v>16.79</v>
      </c>
      <c r="J1669" s="24">
        <v>3.02</v>
      </c>
      <c r="K1669" s="24">
        <v>5577.19</v>
      </c>
      <c r="L1669" s="38">
        <v>46277</v>
      </c>
      <c r="M1669" s="23" t="s">
        <v>104</v>
      </c>
      <c r="N1669" s="23" t="str">
        <f>IF(COUNTIF($A$2:A1669,A1669)&gt;1,"DUP","OK")</f>
        <v>OK</v>
      </c>
      <c r="O1669" s="23" t="str">
        <f t="shared" si="79"/>
        <v>ORD26000159</v>
      </c>
      <c r="P1669" s="23" t="str">
        <f t="shared" si="80"/>
        <v>Sep</v>
      </c>
      <c r="Q1669" s="23" t="str">
        <f>IF(F1669="CAPTURE",IF(COUNTIF(orders!$A:$A,O1669)&gt;0,"Yes","NO ORDER"),"")</f>
        <v>Yes</v>
      </c>
    </row>
    <row r="1670" spans="1:17" ht="15" customHeight="1" x14ac:dyDescent="0.3">
      <c r="A1670" s="23" t="s">
        <v>14361</v>
      </c>
      <c r="B1670" s="23"/>
      <c r="C1670" s="23" t="s">
        <v>14362</v>
      </c>
      <c r="D1670" s="23" t="str">
        <f t="shared" si="78"/>
        <v>ORD26000185</v>
      </c>
      <c r="E1670" s="38">
        <v>46275</v>
      </c>
      <c r="F1670" s="23" t="s">
        <v>12410</v>
      </c>
      <c r="G1670" s="23" t="s">
        <v>75</v>
      </c>
      <c r="H1670" s="24">
        <v>499</v>
      </c>
      <c r="I1670" s="24">
        <v>0</v>
      </c>
      <c r="J1670" s="24">
        <v>0</v>
      </c>
      <c r="K1670" s="24">
        <v>499</v>
      </c>
      <c r="L1670" s="38">
        <v>46277</v>
      </c>
      <c r="M1670" s="23" t="s">
        <v>104</v>
      </c>
      <c r="N1670" s="23" t="str">
        <f>IF(COUNTIF($A$2:A1670,A1670)&gt;1,"DUP","OK")</f>
        <v>OK</v>
      </c>
      <c r="O1670" s="23" t="str">
        <f t="shared" si="79"/>
        <v>ORD26000185</v>
      </c>
      <c r="P1670" s="23" t="str">
        <f t="shared" si="80"/>
        <v>Sep</v>
      </c>
      <c r="Q1670" s="23" t="str">
        <f>IF(F1670="CAPTURE",IF(COUNTIF(orders!$A:$A,O1670)&gt;0,"Yes","NO ORDER"),"")</f>
        <v>Yes</v>
      </c>
    </row>
    <row r="1671" spans="1:17" ht="15" customHeight="1" x14ac:dyDescent="0.3">
      <c r="A1671" s="23" t="s">
        <v>14363</v>
      </c>
      <c r="B1671" s="23"/>
      <c r="C1671" s="23" t="s">
        <v>731</v>
      </c>
      <c r="D1671" s="23" t="str">
        <f t="shared" si="78"/>
        <v>ORD26000197</v>
      </c>
      <c r="E1671" s="38">
        <v>46275</v>
      </c>
      <c r="F1671" s="23" t="s">
        <v>12410</v>
      </c>
      <c r="G1671" s="23" t="s">
        <v>75</v>
      </c>
      <c r="H1671" s="24">
        <v>1798</v>
      </c>
      <c r="I1671" s="24">
        <v>0</v>
      </c>
      <c r="J1671" s="24">
        <v>0</v>
      </c>
      <c r="K1671" s="24">
        <v>1798</v>
      </c>
      <c r="L1671" s="38">
        <v>46277</v>
      </c>
      <c r="M1671" s="23" t="s">
        <v>104</v>
      </c>
      <c r="N1671" s="23" t="str">
        <f>IF(COUNTIF($A$2:A1671,A1671)&gt;1,"DUP","OK")</f>
        <v>OK</v>
      </c>
      <c r="O1671" s="23" t="str">
        <f t="shared" si="79"/>
        <v>ORD26000197</v>
      </c>
      <c r="P1671" s="23" t="str">
        <f t="shared" si="80"/>
        <v>Sep</v>
      </c>
      <c r="Q1671" s="23" t="str">
        <f>IF(F1671="CAPTURE",IF(COUNTIF(orders!$A:$A,O1671)&gt;0,"Yes","NO ORDER"),"")</f>
        <v>Yes</v>
      </c>
    </row>
    <row r="1672" spans="1:17" ht="15" customHeight="1" x14ac:dyDescent="0.3">
      <c r="A1672" s="23" t="s">
        <v>14364</v>
      </c>
      <c r="B1672" s="23"/>
      <c r="C1672" s="23" t="s">
        <v>14365</v>
      </c>
      <c r="D1672" s="23" t="str">
        <f t="shared" si="78"/>
        <v>ORD26000237</v>
      </c>
      <c r="E1672" s="38">
        <v>46275</v>
      </c>
      <c r="F1672" s="23" t="s">
        <v>12410</v>
      </c>
      <c r="G1672" s="23" t="s">
        <v>75</v>
      </c>
      <c r="H1672" s="24">
        <v>7097</v>
      </c>
      <c r="I1672" s="24">
        <v>21.29</v>
      </c>
      <c r="J1672" s="24">
        <v>3.83</v>
      </c>
      <c r="K1672" s="24">
        <v>7071.88</v>
      </c>
      <c r="L1672" s="38">
        <v>46277</v>
      </c>
      <c r="M1672" s="23" t="s">
        <v>104</v>
      </c>
      <c r="N1672" s="23" t="str">
        <f>IF(COUNTIF($A$2:A1672,A1672)&gt;1,"DUP","OK")</f>
        <v>OK</v>
      </c>
      <c r="O1672" s="23" t="str">
        <f t="shared" si="79"/>
        <v>ORD26000237</v>
      </c>
      <c r="P1672" s="23" t="str">
        <f t="shared" si="80"/>
        <v>Sep</v>
      </c>
      <c r="Q1672" s="23" t="str">
        <f>IF(F1672="CAPTURE",IF(COUNTIF(orders!$A:$A,O1672)&gt;0,"Yes","NO ORDER"),"")</f>
        <v>Yes</v>
      </c>
    </row>
    <row r="1673" spans="1:17" ht="15" customHeight="1" x14ac:dyDescent="0.3">
      <c r="A1673" s="23" t="s">
        <v>14366</v>
      </c>
      <c r="B1673" s="23"/>
      <c r="C1673" s="23" t="s">
        <v>843</v>
      </c>
      <c r="D1673" s="23" t="str">
        <f t="shared" si="78"/>
        <v>ORD26000241</v>
      </c>
      <c r="E1673" s="38">
        <v>46275</v>
      </c>
      <c r="F1673" s="23" t="s">
        <v>12410</v>
      </c>
      <c r="G1673" s="23" t="s">
        <v>75</v>
      </c>
      <c r="H1673" s="24">
        <v>4999</v>
      </c>
      <c r="I1673" s="24">
        <v>15</v>
      </c>
      <c r="J1673" s="24">
        <v>2.7</v>
      </c>
      <c r="K1673" s="24">
        <v>4981.3</v>
      </c>
      <c r="L1673" s="38">
        <v>46277</v>
      </c>
      <c r="M1673" s="23" t="s">
        <v>104</v>
      </c>
      <c r="N1673" s="23" t="str">
        <f>IF(COUNTIF($A$2:A1673,A1673)&gt;1,"DUP","OK")</f>
        <v>OK</v>
      </c>
      <c r="O1673" s="23" t="str">
        <f t="shared" si="79"/>
        <v>ORD26000241</v>
      </c>
      <c r="P1673" s="23" t="str">
        <f t="shared" si="80"/>
        <v>Sep</v>
      </c>
      <c r="Q1673" s="23" t="str">
        <f>IF(F1673="CAPTURE",IF(COUNTIF(orders!$A:$A,O1673)&gt;0,"Yes","NO ORDER"),"")</f>
        <v>Yes</v>
      </c>
    </row>
    <row r="1674" spans="1:17" ht="15" customHeight="1" x14ac:dyDescent="0.3">
      <c r="A1674" s="23" t="s">
        <v>14367</v>
      </c>
      <c r="B1674" s="23"/>
      <c r="C1674" s="23" t="s">
        <v>940</v>
      </c>
      <c r="D1674" s="23" t="str">
        <f t="shared" si="78"/>
        <v>ORD26000288</v>
      </c>
      <c r="E1674" s="38">
        <v>46275</v>
      </c>
      <c r="F1674" s="23" t="s">
        <v>12410</v>
      </c>
      <c r="G1674" s="23" t="s">
        <v>75</v>
      </c>
      <c r="H1674" s="24">
        <v>3848</v>
      </c>
      <c r="I1674" s="24">
        <v>11.54</v>
      </c>
      <c r="J1674" s="24">
        <v>2.08</v>
      </c>
      <c r="K1674" s="24">
        <v>3834.38</v>
      </c>
      <c r="L1674" s="38">
        <v>46277</v>
      </c>
      <c r="M1674" s="23" t="s">
        <v>104</v>
      </c>
      <c r="N1674" s="23" t="str">
        <f>IF(COUNTIF($A$2:A1674,A1674)&gt;1,"DUP","OK")</f>
        <v>OK</v>
      </c>
      <c r="O1674" s="23" t="str">
        <f t="shared" si="79"/>
        <v>ORD26000288</v>
      </c>
      <c r="P1674" s="23" t="str">
        <f t="shared" si="80"/>
        <v>Sep</v>
      </c>
      <c r="Q1674" s="23" t="str">
        <f>IF(F1674="CAPTURE",IF(COUNTIF(orders!$A:$A,O1674)&gt;0,"Yes","NO ORDER"),"")</f>
        <v>Yes</v>
      </c>
    </row>
    <row r="1675" spans="1:17" ht="15" customHeight="1" x14ac:dyDescent="0.3">
      <c r="A1675" s="23" t="s">
        <v>14368</v>
      </c>
      <c r="B1675" s="23"/>
      <c r="C1675" s="23" t="s">
        <v>979</v>
      </c>
      <c r="D1675" s="23" t="str">
        <f t="shared" si="78"/>
        <v>ORD26000306</v>
      </c>
      <c r="E1675" s="38">
        <v>46275</v>
      </c>
      <c r="F1675" s="23" t="s">
        <v>12410</v>
      </c>
      <c r="G1675" s="23" t="s">
        <v>75</v>
      </c>
      <c r="H1675" s="24">
        <v>14497</v>
      </c>
      <c r="I1675" s="24">
        <v>43.49</v>
      </c>
      <c r="J1675" s="24">
        <v>7.83</v>
      </c>
      <c r="K1675" s="24">
        <v>14445.68</v>
      </c>
      <c r="L1675" s="38">
        <v>46277</v>
      </c>
      <c r="M1675" s="23" t="s">
        <v>104</v>
      </c>
      <c r="N1675" s="23" t="str">
        <f>IF(COUNTIF($A$2:A1675,A1675)&gt;1,"DUP","OK")</f>
        <v>OK</v>
      </c>
      <c r="O1675" s="23" t="str">
        <f t="shared" si="79"/>
        <v>ORD26000306</v>
      </c>
      <c r="P1675" s="23" t="str">
        <f t="shared" si="80"/>
        <v>Sep</v>
      </c>
      <c r="Q1675" s="23" t="str">
        <f>IF(F1675="CAPTURE",IF(COUNTIF(orders!$A:$A,O1675)&gt;0,"Yes","NO ORDER"),"")</f>
        <v>Yes</v>
      </c>
    </row>
    <row r="1676" spans="1:17" ht="15" customHeight="1" x14ac:dyDescent="0.3">
      <c r="A1676" s="23" t="s">
        <v>14369</v>
      </c>
      <c r="B1676" s="23"/>
      <c r="C1676" s="23" t="s">
        <v>14370</v>
      </c>
      <c r="D1676" s="23" t="str">
        <f t="shared" si="78"/>
        <v>ORD26000326</v>
      </c>
      <c r="E1676" s="38">
        <v>46275</v>
      </c>
      <c r="F1676" s="23" t="s">
        <v>12410</v>
      </c>
      <c r="G1676" s="23" t="s">
        <v>77</v>
      </c>
      <c r="H1676" s="24">
        <v>4798</v>
      </c>
      <c r="I1676" s="24">
        <v>81.569999999999993</v>
      </c>
      <c r="J1676" s="24">
        <v>14.68</v>
      </c>
      <c r="K1676" s="24">
        <v>4701.75</v>
      </c>
      <c r="L1676" s="38">
        <v>46277</v>
      </c>
      <c r="M1676" s="23" t="s">
        <v>104</v>
      </c>
      <c r="N1676" s="23" t="str">
        <f>IF(COUNTIF($A$2:A1676,A1676)&gt;1,"DUP","OK")</f>
        <v>OK</v>
      </c>
      <c r="O1676" s="23" t="str">
        <f t="shared" si="79"/>
        <v>ORD26000326</v>
      </c>
      <c r="P1676" s="23" t="str">
        <f t="shared" si="80"/>
        <v>Sep</v>
      </c>
      <c r="Q1676" s="23" t="str">
        <f>IF(F1676="CAPTURE",IF(COUNTIF(orders!$A:$A,O1676)&gt;0,"Yes","NO ORDER"),"")</f>
        <v>Yes</v>
      </c>
    </row>
    <row r="1677" spans="1:17" ht="15" customHeight="1" x14ac:dyDescent="0.3">
      <c r="A1677" s="23" t="s">
        <v>14371</v>
      </c>
      <c r="B1677" s="23"/>
      <c r="C1677" s="23" t="s">
        <v>1099</v>
      </c>
      <c r="D1677" s="23" t="str">
        <f t="shared" si="78"/>
        <v>ORD26000360</v>
      </c>
      <c r="E1677" s="38">
        <v>46275</v>
      </c>
      <c r="F1677" s="23" t="s">
        <v>12410</v>
      </c>
      <c r="G1677" s="23" t="s">
        <v>81</v>
      </c>
      <c r="H1677" s="24">
        <v>5498</v>
      </c>
      <c r="I1677" s="24">
        <v>65.98</v>
      </c>
      <c r="J1677" s="24">
        <v>11.88</v>
      </c>
      <c r="K1677" s="24">
        <v>5420.14</v>
      </c>
      <c r="L1677" s="38">
        <v>46277</v>
      </c>
      <c r="M1677" s="23" t="s">
        <v>104</v>
      </c>
      <c r="N1677" s="23" t="str">
        <f>IF(COUNTIF($A$2:A1677,A1677)&gt;1,"DUP","OK")</f>
        <v>OK</v>
      </c>
      <c r="O1677" s="23" t="str">
        <f t="shared" si="79"/>
        <v>ORD26000360</v>
      </c>
      <c r="P1677" s="23" t="str">
        <f t="shared" si="80"/>
        <v>Sep</v>
      </c>
      <c r="Q1677" s="23" t="str">
        <f>IF(F1677="CAPTURE",IF(COUNTIF(orders!$A:$A,O1677)&gt;0,"Yes","NO ORDER"),"")</f>
        <v>Yes</v>
      </c>
    </row>
    <row r="1678" spans="1:17" ht="15" customHeight="1" x14ac:dyDescent="0.3">
      <c r="A1678" s="23" t="s">
        <v>14372</v>
      </c>
      <c r="B1678" s="23"/>
      <c r="C1678" s="23" t="s">
        <v>1147</v>
      </c>
      <c r="D1678" s="23" t="str">
        <f t="shared" si="78"/>
        <v>ORD26000382</v>
      </c>
      <c r="E1678" s="38">
        <v>46275</v>
      </c>
      <c r="F1678" s="23" t="s">
        <v>12410</v>
      </c>
      <c r="G1678" s="23" t="s">
        <v>75</v>
      </c>
      <c r="H1678" s="24">
        <v>349</v>
      </c>
      <c r="I1678" s="24">
        <v>0</v>
      </c>
      <c r="J1678" s="24">
        <v>0</v>
      </c>
      <c r="K1678" s="24">
        <v>349</v>
      </c>
      <c r="L1678" s="38">
        <v>46277</v>
      </c>
      <c r="M1678" s="23" t="s">
        <v>104</v>
      </c>
      <c r="N1678" s="23" t="str">
        <f>IF(COUNTIF($A$2:A1678,A1678)&gt;1,"DUP","OK")</f>
        <v>OK</v>
      </c>
      <c r="O1678" s="23" t="str">
        <f t="shared" si="79"/>
        <v>ORD26000382</v>
      </c>
      <c r="P1678" s="23" t="str">
        <f t="shared" si="80"/>
        <v>Sep</v>
      </c>
      <c r="Q1678" s="23" t="str">
        <f>IF(F1678="CAPTURE",IF(COUNTIF(orders!$A:$A,O1678)&gt;0,"Yes","NO ORDER"),"")</f>
        <v>Yes</v>
      </c>
    </row>
    <row r="1679" spans="1:17" ht="15" customHeight="1" x14ac:dyDescent="0.3">
      <c r="A1679" s="23" t="s">
        <v>14373</v>
      </c>
      <c r="B1679" s="23"/>
      <c r="C1679" s="23" t="s">
        <v>1229</v>
      </c>
      <c r="D1679" s="23" t="str">
        <f t="shared" si="78"/>
        <v>ORD26000420</v>
      </c>
      <c r="E1679" s="38">
        <v>46275</v>
      </c>
      <c r="F1679" s="23" t="s">
        <v>12410</v>
      </c>
      <c r="G1679" s="23" t="s">
        <v>79</v>
      </c>
      <c r="H1679" s="24">
        <v>10347</v>
      </c>
      <c r="I1679" s="24">
        <v>165.55</v>
      </c>
      <c r="J1679" s="24">
        <v>29.8</v>
      </c>
      <c r="K1679" s="24">
        <v>10151.65</v>
      </c>
      <c r="L1679" s="38">
        <v>46277</v>
      </c>
      <c r="M1679" s="23" t="s">
        <v>104</v>
      </c>
      <c r="N1679" s="23" t="str">
        <f>IF(COUNTIF($A$2:A1679,A1679)&gt;1,"DUP","OK")</f>
        <v>OK</v>
      </c>
      <c r="O1679" s="23" t="str">
        <f t="shared" si="79"/>
        <v>ORD26000420</v>
      </c>
      <c r="P1679" s="23" t="str">
        <f t="shared" si="80"/>
        <v>Sep</v>
      </c>
      <c r="Q1679" s="23" t="str">
        <f>IF(F1679="CAPTURE",IF(COUNTIF(orders!$A:$A,O1679)&gt;0,"Yes","NO ORDER"),"")</f>
        <v>Yes</v>
      </c>
    </row>
    <row r="1680" spans="1:17" ht="15" customHeight="1" x14ac:dyDescent="0.3">
      <c r="A1680" s="23" t="s">
        <v>14374</v>
      </c>
      <c r="B1680" s="23"/>
      <c r="C1680" s="23" t="s">
        <v>14375</v>
      </c>
      <c r="D1680" s="23" t="str">
        <f t="shared" si="78"/>
        <v>ORD26000431</v>
      </c>
      <c r="E1680" s="38">
        <v>46275</v>
      </c>
      <c r="F1680" s="23" t="s">
        <v>12410</v>
      </c>
      <c r="G1680" s="23" t="s">
        <v>79</v>
      </c>
      <c r="H1680" s="24">
        <v>1799</v>
      </c>
      <c r="I1680" s="24">
        <v>32.380000000000003</v>
      </c>
      <c r="J1680" s="24">
        <v>5.83</v>
      </c>
      <c r="K1680" s="24">
        <v>1760.79</v>
      </c>
      <c r="L1680" s="38">
        <v>46277</v>
      </c>
      <c r="M1680" s="23" t="s">
        <v>104</v>
      </c>
      <c r="N1680" s="23" t="str">
        <f>IF(COUNTIF($A$2:A1680,A1680)&gt;1,"DUP","OK")</f>
        <v>OK</v>
      </c>
      <c r="O1680" s="23" t="str">
        <f t="shared" si="79"/>
        <v>ORD26000431</v>
      </c>
      <c r="P1680" s="23" t="str">
        <f t="shared" si="80"/>
        <v>Sep</v>
      </c>
      <c r="Q1680" s="23" t="str">
        <f>IF(F1680="CAPTURE",IF(COUNTIF(orders!$A:$A,O1680)&gt;0,"Yes","NO ORDER"),"")</f>
        <v>Yes</v>
      </c>
    </row>
    <row r="1681" spans="1:17" ht="15" customHeight="1" x14ac:dyDescent="0.3">
      <c r="A1681" s="23" t="s">
        <v>14376</v>
      </c>
      <c r="B1681" s="23"/>
      <c r="C1681" s="23" t="s">
        <v>1332</v>
      </c>
      <c r="D1681" s="23" t="str">
        <f t="shared" si="78"/>
        <v>ORD26000468</v>
      </c>
      <c r="E1681" s="38">
        <v>46275</v>
      </c>
      <c r="F1681" s="23" t="s">
        <v>12410</v>
      </c>
      <c r="G1681" s="23" t="s">
        <v>75</v>
      </c>
      <c r="H1681" s="24">
        <v>12797</v>
      </c>
      <c r="I1681" s="24">
        <v>38.39</v>
      </c>
      <c r="J1681" s="24">
        <v>6.91</v>
      </c>
      <c r="K1681" s="24">
        <v>12751.7</v>
      </c>
      <c r="L1681" s="38">
        <v>46277</v>
      </c>
      <c r="M1681" s="23" t="s">
        <v>104</v>
      </c>
      <c r="N1681" s="23" t="str">
        <f>IF(COUNTIF($A$2:A1681,A1681)&gt;1,"DUP","OK")</f>
        <v>OK</v>
      </c>
      <c r="O1681" s="23" t="str">
        <f t="shared" si="79"/>
        <v>ORD26000468</v>
      </c>
      <c r="P1681" s="23" t="str">
        <f t="shared" si="80"/>
        <v>Sep</v>
      </c>
      <c r="Q1681" s="23" t="str">
        <f>IF(F1681="CAPTURE",IF(COUNTIF(orders!$A:$A,O1681)&gt;0,"Yes","NO ORDER"),"")</f>
        <v>Yes</v>
      </c>
    </row>
    <row r="1682" spans="1:17" ht="15" customHeight="1" x14ac:dyDescent="0.3">
      <c r="A1682" s="23" t="s">
        <v>14377</v>
      </c>
      <c r="B1682" s="23"/>
      <c r="C1682" s="23" t="s">
        <v>1398</v>
      </c>
      <c r="D1682" s="23" t="str">
        <f t="shared" si="78"/>
        <v>ORD26000497</v>
      </c>
      <c r="E1682" s="38">
        <v>46275</v>
      </c>
      <c r="F1682" s="23" t="s">
        <v>12410</v>
      </c>
      <c r="G1682" s="23" t="s">
        <v>75</v>
      </c>
      <c r="H1682" s="24">
        <v>299</v>
      </c>
      <c r="I1682" s="24">
        <v>0</v>
      </c>
      <c r="J1682" s="24">
        <v>0</v>
      </c>
      <c r="K1682" s="24">
        <v>299</v>
      </c>
      <c r="L1682" s="38">
        <v>46277</v>
      </c>
      <c r="M1682" s="23" t="s">
        <v>104</v>
      </c>
      <c r="N1682" s="23" t="str">
        <f>IF(COUNTIF($A$2:A1682,A1682)&gt;1,"DUP","OK")</f>
        <v>OK</v>
      </c>
      <c r="O1682" s="23" t="str">
        <f t="shared" si="79"/>
        <v>ORD26000497</v>
      </c>
      <c r="P1682" s="23" t="str">
        <f t="shared" si="80"/>
        <v>Sep</v>
      </c>
      <c r="Q1682" s="23" t="str">
        <f>IF(F1682="CAPTURE",IF(COUNTIF(orders!$A:$A,O1682)&gt;0,"Yes","NO ORDER"),"")</f>
        <v>Yes</v>
      </c>
    </row>
    <row r="1683" spans="1:17" ht="15" customHeight="1" x14ac:dyDescent="0.3">
      <c r="A1683" s="23" t="s">
        <v>14378</v>
      </c>
      <c r="B1683" s="23"/>
      <c r="C1683" s="23" t="s">
        <v>1406</v>
      </c>
      <c r="D1683" s="23" t="str">
        <f t="shared" si="78"/>
        <v>ORD26000501</v>
      </c>
      <c r="E1683" s="38">
        <v>46275</v>
      </c>
      <c r="F1683" s="23" t="s">
        <v>12410</v>
      </c>
      <c r="G1683" s="23" t="s">
        <v>79</v>
      </c>
      <c r="H1683" s="24">
        <v>798</v>
      </c>
      <c r="I1683" s="24">
        <v>14.36</v>
      </c>
      <c r="J1683" s="24">
        <v>2.58</v>
      </c>
      <c r="K1683" s="24">
        <v>781.06</v>
      </c>
      <c r="L1683" s="38">
        <v>46277</v>
      </c>
      <c r="M1683" s="23" t="s">
        <v>104</v>
      </c>
      <c r="N1683" s="23" t="str">
        <f>IF(COUNTIF($A$2:A1683,A1683)&gt;1,"DUP","OK")</f>
        <v>OK</v>
      </c>
      <c r="O1683" s="23" t="str">
        <f t="shared" si="79"/>
        <v>ORD26000501</v>
      </c>
      <c r="P1683" s="23" t="str">
        <f t="shared" si="80"/>
        <v>Sep</v>
      </c>
      <c r="Q1683" s="23" t="str">
        <f>IF(F1683="CAPTURE",IF(COUNTIF(orders!$A:$A,O1683)&gt;0,"Yes","NO ORDER"),"")</f>
        <v>Yes</v>
      </c>
    </row>
    <row r="1684" spans="1:17" ht="15" customHeight="1" x14ac:dyDescent="0.3">
      <c r="A1684" s="23" t="s">
        <v>14379</v>
      </c>
      <c r="B1684" s="23"/>
      <c r="C1684" s="23" t="s">
        <v>1429</v>
      </c>
      <c r="D1684" s="23" t="str">
        <f t="shared" si="78"/>
        <v>ORD26000511</v>
      </c>
      <c r="E1684" s="38">
        <v>46275</v>
      </c>
      <c r="F1684" s="23" t="s">
        <v>12410</v>
      </c>
      <c r="G1684" s="23" t="s">
        <v>75</v>
      </c>
      <c r="H1684" s="24">
        <v>1499</v>
      </c>
      <c r="I1684" s="24">
        <v>0</v>
      </c>
      <c r="J1684" s="24">
        <v>0</v>
      </c>
      <c r="K1684" s="24">
        <v>1499</v>
      </c>
      <c r="L1684" s="38">
        <v>46277</v>
      </c>
      <c r="M1684" s="23" t="s">
        <v>104</v>
      </c>
      <c r="N1684" s="23" t="str">
        <f>IF(COUNTIF($A$2:A1684,A1684)&gt;1,"DUP","OK")</f>
        <v>OK</v>
      </c>
      <c r="O1684" s="23" t="str">
        <f t="shared" si="79"/>
        <v>ORD26000511</v>
      </c>
      <c r="P1684" s="23" t="str">
        <f t="shared" si="80"/>
        <v>Sep</v>
      </c>
      <c r="Q1684" s="23" t="str">
        <f>IF(F1684="CAPTURE",IF(COUNTIF(orders!$A:$A,O1684)&gt;0,"Yes","NO ORDER"),"")</f>
        <v>Yes</v>
      </c>
    </row>
    <row r="1685" spans="1:17" ht="15" customHeight="1" x14ac:dyDescent="0.3">
      <c r="A1685" s="23" t="s">
        <v>14380</v>
      </c>
      <c r="B1685" s="23"/>
      <c r="C1685" s="23" t="s">
        <v>1525</v>
      </c>
      <c r="D1685" s="23" t="str">
        <f t="shared" si="78"/>
        <v>ORD26000554</v>
      </c>
      <c r="E1685" s="38">
        <v>46275</v>
      </c>
      <c r="F1685" s="23" t="s">
        <v>12410</v>
      </c>
      <c r="G1685" s="23" t="s">
        <v>75</v>
      </c>
      <c r="H1685" s="24">
        <v>3597</v>
      </c>
      <c r="I1685" s="24">
        <v>10.79</v>
      </c>
      <c r="J1685" s="24">
        <v>1.94</v>
      </c>
      <c r="K1685" s="24">
        <v>3584.27</v>
      </c>
      <c r="L1685" s="38">
        <v>46277</v>
      </c>
      <c r="M1685" s="23" t="s">
        <v>104</v>
      </c>
      <c r="N1685" s="23" t="str">
        <f>IF(COUNTIF($A$2:A1685,A1685)&gt;1,"DUP","OK")</f>
        <v>OK</v>
      </c>
      <c r="O1685" s="23" t="str">
        <f t="shared" si="79"/>
        <v>ORD26000554</v>
      </c>
      <c r="P1685" s="23" t="str">
        <f t="shared" si="80"/>
        <v>Sep</v>
      </c>
      <c r="Q1685" s="23" t="str">
        <f>IF(F1685="CAPTURE",IF(COUNTIF(orders!$A:$A,O1685)&gt;0,"Yes","NO ORDER"),"")</f>
        <v>Yes</v>
      </c>
    </row>
    <row r="1686" spans="1:17" ht="15" customHeight="1" x14ac:dyDescent="0.3">
      <c r="A1686" s="23" t="s">
        <v>14381</v>
      </c>
      <c r="B1686" s="23"/>
      <c r="C1686" s="23" t="s">
        <v>14382</v>
      </c>
      <c r="D1686" s="23" t="str">
        <f t="shared" si="78"/>
        <v>ORD26000559</v>
      </c>
      <c r="E1686" s="38">
        <v>46275</v>
      </c>
      <c r="F1686" s="23" t="s">
        <v>12410</v>
      </c>
      <c r="G1686" s="23" t="s">
        <v>81</v>
      </c>
      <c r="H1686" s="24">
        <v>1299</v>
      </c>
      <c r="I1686" s="24">
        <v>19.489999999999998</v>
      </c>
      <c r="J1686" s="24">
        <v>3.51</v>
      </c>
      <c r="K1686" s="24">
        <v>1276</v>
      </c>
      <c r="L1686" s="38">
        <v>46277</v>
      </c>
      <c r="M1686" s="23" t="s">
        <v>104</v>
      </c>
      <c r="N1686" s="23" t="str">
        <f>IF(COUNTIF($A$2:A1686,A1686)&gt;1,"DUP","OK")</f>
        <v>OK</v>
      </c>
      <c r="O1686" s="23" t="str">
        <f t="shared" si="79"/>
        <v>ORD26000559</v>
      </c>
      <c r="P1686" s="23" t="str">
        <f t="shared" si="80"/>
        <v>Sep</v>
      </c>
      <c r="Q1686" s="23" t="str">
        <f>IF(F1686="CAPTURE",IF(COUNTIF(orders!$A:$A,O1686)&gt;0,"Yes","NO ORDER"),"")</f>
        <v>Yes</v>
      </c>
    </row>
    <row r="1687" spans="1:17" ht="15" customHeight="1" x14ac:dyDescent="0.3">
      <c r="A1687" s="23" t="s">
        <v>14383</v>
      </c>
      <c r="B1687" s="23"/>
      <c r="C1687" s="23" t="s">
        <v>14384</v>
      </c>
      <c r="D1687" s="23" t="str">
        <f t="shared" si="78"/>
        <v>ORD26000592</v>
      </c>
      <c r="E1687" s="38">
        <v>46275</v>
      </c>
      <c r="F1687" s="23" t="s">
        <v>12410</v>
      </c>
      <c r="G1687" s="23" t="s">
        <v>75</v>
      </c>
      <c r="H1687" s="24">
        <v>3348</v>
      </c>
      <c r="I1687" s="24">
        <v>10.039999999999999</v>
      </c>
      <c r="J1687" s="24">
        <v>1.81</v>
      </c>
      <c r="K1687" s="24">
        <v>3336.15</v>
      </c>
      <c r="L1687" s="38">
        <v>46277</v>
      </c>
      <c r="M1687" s="23" t="s">
        <v>104</v>
      </c>
      <c r="N1687" s="23" t="str">
        <f>IF(COUNTIF($A$2:A1687,A1687)&gt;1,"DUP","OK")</f>
        <v>OK</v>
      </c>
      <c r="O1687" s="23" t="str">
        <f t="shared" si="79"/>
        <v>ORD26000592</v>
      </c>
      <c r="P1687" s="23" t="str">
        <f t="shared" si="80"/>
        <v>Sep</v>
      </c>
      <c r="Q1687" s="23" t="str">
        <f>IF(F1687="CAPTURE",IF(COUNTIF(orders!$A:$A,O1687)&gt;0,"Yes","NO ORDER"),"")</f>
        <v>Yes</v>
      </c>
    </row>
    <row r="1688" spans="1:17" ht="15" customHeight="1" x14ac:dyDescent="0.3">
      <c r="A1688" s="23" t="s">
        <v>14385</v>
      </c>
      <c r="B1688" s="23"/>
      <c r="C1688" s="23" t="s">
        <v>14386</v>
      </c>
      <c r="D1688" s="23" t="str">
        <f t="shared" si="78"/>
        <v>ORD26000629</v>
      </c>
      <c r="E1688" s="38">
        <v>46275</v>
      </c>
      <c r="F1688" s="23" t="s">
        <v>12410</v>
      </c>
      <c r="G1688" s="23" t="s">
        <v>77</v>
      </c>
      <c r="H1688" s="24">
        <v>10797</v>
      </c>
      <c r="I1688" s="24">
        <v>183.55</v>
      </c>
      <c r="J1688" s="24">
        <v>33.04</v>
      </c>
      <c r="K1688" s="24">
        <v>10580.41</v>
      </c>
      <c r="L1688" s="38">
        <v>46277</v>
      </c>
      <c r="M1688" s="23" t="s">
        <v>104</v>
      </c>
      <c r="N1688" s="23" t="str">
        <f>IF(COUNTIF($A$2:A1688,A1688)&gt;1,"DUP","OK")</f>
        <v>OK</v>
      </c>
      <c r="O1688" s="23" t="str">
        <f t="shared" si="79"/>
        <v>ORD26000629</v>
      </c>
      <c r="P1688" s="23" t="str">
        <f t="shared" si="80"/>
        <v>Sep</v>
      </c>
      <c r="Q1688" s="23" t="str">
        <f>IF(F1688="CAPTURE",IF(COUNTIF(orders!$A:$A,O1688)&gt;0,"Yes","NO ORDER"),"")</f>
        <v>Yes</v>
      </c>
    </row>
    <row r="1689" spans="1:17" ht="15" customHeight="1" x14ac:dyDescent="0.3">
      <c r="A1689" s="23" t="s">
        <v>14387</v>
      </c>
      <c r="B1689" s="23"/>
      <c r="C1689" s="23" t="s">
        <v>1696</v>
      </c>
      <c r="D1689" s="23" t="str">
        <f t="shared" si="78"/>
        <v>ORD26000633</v>
      </c>
      <c r="E1689" s="38">
        <v>46275</v>
      </c>
      <c r="F1689" s="23" t="s">
        <v>12410</v>
      </c>
      <c r="G1689" s="23" t="s">
        <v>75</v>
      </c>
      <c r="H1689" s="24">
        <v>5298</v>
      </c>
      <c r="I1689" s="24">
        <v>15.89</v>
      </c>
      <c r="J1689" s="24">
        <v>2.86</v>
      </c>
      <c r="K1689" s="24">
        <v>5279.25</v>
      </c>
      <c r="L1689" s="38">
        <v>46277</v>
      </c>
      <c r="M1689" s="23" t="s">
        <v>104</v>
      </c>
      <c r="N1689" s="23" t="str">
        <f>IF(COUNTIF($A$2:A1689,A1689)&gt;1,"DUP","OK")</f>
        <v>OK</v>
      </c>
      <c r="O1689" s="23" t="str">
        <f t="shared" si="79"/>
        <v>ORD26000633</v>
      </c>
      <c r="P1689" s="23" t="str">
        <f t="shared" si="80"/>
        <v>Sep</v>
      </c>
      <c r="Q1689" s="23" t="str">
        <f>IF(F1689="CAPTURE",IF(COUNTIF(orders!$A:$A,O1689)&gt;0,"Yes","NO ORDER"),"")</f>
        <v>Yes</v>
      </c>
    </row>
    <row r="1690" spans="1:17" ht="15" customHeight="1" x14ac:dyDescent="0.3">
      <c r="A1690" s="23" t="s">
        <v>14388</v>
      </c>
      <c r="B1690" s="23"/>
      <c r="C1690" s="23" t="s">
        <v>1727</v>
      </c>
      <c r="D1690" s="23" t="str">
        <f t="shared" si="78"/>
        <v>ORD26000648</v>
      </c>
      <c r="E1690" s="38">
        <v>46275</v>
      </c>
      <c r="F1690" s="23" t="s">
        <v>12410</v>
      </c>
      <c r="G1690" s="23" t="s">
        <v>75</v>
      </c>
      <c r="H1690" s="24">
        <v>4999</v>
      </c>
      <c r="I1690" s="24">
        <v>15</v>
      </c>
      <c r="J1690" s="24">
        <v>2.7</v>
      </c>
      <c r="K1690" s="24">
        <v>4981.3</v>
      </c>
      <c r="L1690" s="38">
        <v>46277</v>
      </c>
      <c r="M1690" s="23" t="s">
        <v>104</v>
      </c>
      <c r="N1690" s="23" t="str">
        <f>IF(COUNTIF($A$2:A1690,A1690)&gt;1,"DUP","OK")</f>
        <v>OK</v>
      </c>
      <c r="O1690" s="23" t="str">
        <f t="shared" si="79"/>
        <v>ORD26000648</v>
      </c>
      <c r="P1690" s="23" t="str">
        <f t="shared" si="80"/>
        <v>Sep</v>
      </c>
      <c r="Q1690" s="23" t="str">
        <f>IF(F1690="CAPTURE",IF(COUNTIF(orders!$A:$A,O1690)&gt;0,"Yes","NO ORDER"),"")</f>
        <v>Yes</v>
      </c>
    </row>
    <row r="1691" spans="1:17" ht="15" customHeight="1" x14ac:dyDescent="0.3">
      <c r="A1691" s="23" t="s">
        <v>14389</v>
      </c>
      <c r="B1691" s="23"/>
      <c r="C1691" s="23" t="s">
        <v>1871</v>
      </c>
      <c r="D1691" s="23" t="str">
        <f t="shared" si="78"/>
        <v>ORD26000716</v>
      </c>
      <c r="E1691" s="38">
        <v>46275</v>
      </c>
      <c r="F1691" s="23" t="s">
        <v>12410</v>
      </c>
      <c r="G1691" s="23" t="s">
        <v>75</v>
      </c>
      <c r="H1691" s="24">
        <v>299</v>
      </c>
      <c r="I1691" s="24">
        <v>0</v>
      </c>
      <c r="J1691" s="24">
        <v>0</v>
      </c>
      <c r="K1691" s="24">
        <v>299</v>
      </c>
      <c r="L1691" s="38">
        <v>46277</v>
      </c>
      <c r="M1691" s="23" t="s">
        <v>104</v>
      </c>
      <c r="N1691" s="23" t="str">
        <f>IF(COUNTIF($A$2:A1691,A1691)&gt;1,"DUP","OK")</f>
        <v>OK</v>
      </c>
      <c r="O1691" s="23" t="str">
        <f t="shared" si="79"/>
        <v>ORD26000716</v>
      </c>
      <c r="P1691" s="23" t="str">
        <f t="shared" si="80"/>
        <v>Sep</v>
      </c>
      <c r="Q1691" s="23" t="str">
        <f>IF(F1691="CAPTURE",IF(COUNTIF(orders!$A:$A,O1691)&gt;0,"Yes","NO ORDER"),"")</f>
        <v>Yes</v>
      </c>
    </row>
    <row r="1692" spans="1:17" ht="15" customHeight="1" x14ac:dyDescent="0.3">
      <c r="A1692" s="23" t="s">
        <v>14390</v>
      </c>
      <c r="B1692" s="23"/>
      <c r="C1692" s="23" t="s">
        <v>1884</v>
      </c>
      <c r="D1692" s="23" t="str">
        <f t="shared" si="78"/>
        <v>ORD26000722</v>
      </c>
      <c r="E1692" s="38">
        <v>46275</v>
      </c>
      <c r="F1692" s="23" t="s">
        <v>12410</v>
      </c>
      <c r="G1692" s="23" t="s">
        <v>77</v>
      </c>
      <c r="H1692" s="24">
        <v>349</v>
      </c>
      <c r="I1692" s="24">
        <v>6.63</v>
      </c>
      <c r="J1692" s="24">
        <v>1.19</v>
      </c>
      <c r="K1692" s="24">
        <v>341.18</v>
      </c>
      <c r="L1692" s="38">
        <v>46277</v>
      </c>
      <c r="M1692" s="23" t="s">
        <v>104</v>
      </c>
      <c r="N1692" s="23" t="str">
        <f>IF(COUNTIF($A$2:A1692,A1692)&gt;1,"DUP","OK")</f>
        <v>OK</v>
      </c>
      <c r="O1692" s="23" t="str">
        <f t="shared" si="79"/>
        <v>ORD26000722</v>
      </c>
      <c r="P1692" s="23" t="str">
        <f t="shared" si="80"/>
        <v>Sep</v>
      </c>
      <c r="Q1692" s="23" t="str">
        <f>IF(F1692="CAPTURE",IF(COUNTIF(orders!$A:$A,O1692)&gt;0,"Yes","NO ORDER"),"")</f>
        <v>Yes</v>
      </c>
    </row>
    <row r="1693" spans="1:17" ht="15" customHeight="1" x14ac:dyDescent="0.3">
      <c r="A1693" s="23" t="s">
        <v>14391</v>
      </c>
      <c r="B1693" s="23"/>
      <c r="C1693" s="23" t="s">
        <v>1937</v>
      </c>
      <c r="D1693" s="23" t="str">
        <f t="shared" si="78"/>
        <v>ORD26000749</v>
      </c>
      <c r="E1693" s="38">
        <v>46275</v>
      </c>
      <c r="F1693" s="23" t="s">
        <v>12410</v>
      </c>
      <c r="G1693" s="23" t="s">
        <v>79</v>
      </c>
      <c r="H1693" s="24">
        <v>3498</v>
      </c>
      <c r="I1693" s="24">
        <v>55.97</v>
      </c>
      <c r="J1693" s="24">
        <v>10.07</v>
      </c>
      <c r="K1693" s="24">
        <v>3431.96</v>
      </c>
      <c r="L1693" s="38">
        <v>46277</v>
      </c>
      <c r="M1693" s="23" t="s">
        <v>104</v>
      </c>
      <c r="N1693" s="23" t="str">
        <f>IF(COUNTIF($A$2:A1693,A1693)&gt;1,"DUP","OK")</f>
        <v>OK</v>
      </c>
      <c r="O1693" s="23" t="str">
        <f t="shared" si="79"/>
        <v>ORD26000749</v>
      </c>
      <c r="P1693" s="23" t="str">
        <f t="shared" si="80"/>
        <v>Sep</v>
      </c>
      <c r="Q1693" s="23" t="str">
        <f>IF(F1693="CAPTURE",IF(COUNTIF(orders!$A:$A,O1693)&gt;0,"Yes","NO ORDER"),"")</f>
        <v>Yes</v>
      </c>
    </row>
    <row r="1694" spans="1:17" ht="15" customHeight="1" x14ac:dyDescent="0.3">
      <c r="A1694" s="23" t="s">
        <v>14392</v>
      </c>
      <c r="B1694" s="23"/>
      <c r="C1694" s="23" t="s">
        <v>1952</v>
      </c>
      <c r="D1694" s="23" t="str">
        <f t="shared" si="78"/>
        <v>ORD26000756</v>
      </c>
      <c r="E1694" s="38">
        <v>46275</v>
      </c>
      <c r="F1694" s="23" t="s">
        <v>12410</v>
      </c>
      <c r="G1694" s="23" t="s">
        <v>77</v>
      </c>
      <c r="H1694" s="24">
        <v>848</v>
      </c>
      <c r="I1694" s="24">
        <v>16.11</v>
      </c>
      <c r="J1694" s="24">
        <v>2.9</v>
      </c>
      <c r="K1694" s="24">
        <v>828.99</v>
      </c>
      <c r="L1694" s="38">
        <v>46277</v>
      </c>
      <c r="M1694" s="23" t="s">
        <v>104</v>
      </c>
      <c r="N1694" s="23" t="str">
        <f>IF(COUNTIF($A$2:A1694,A1694)&gt;1,"DUP","OK")</f>
        <v>OK</v>
      </c>
      <c r="O1694" s="23" t="str">
        <f t="shared" si="79"/>
        <v>ORD26000756</v>
      </c>
      <c r="P1694" s="23" t="str">
        <f t="shared" si="80"/>
        <v>Sep</v>
      </c>
      <c r="Q1694" s="23" t="str">
        <f>IF(F1694="CAPTURE",IF(COUNTIF(orders!$A:$A,O1694)&gt;0,"Yes","NO ORDER"),"")</f>
        <v>Yes</v>
      </c>
    </row>
    <row r="1695" spans="1:17" ht="15" customHeight="1" x14ac:dyDescent="0.3">
      <c r="A1695" s="23" t="s">
        <v>14393</v>
      </c>
      <c r="B1695" s="23"/>
      <c r="C1695" s="23" t="s">
        <v>2101</v>
      </c>
      <c r="D1695" s="23" t="str">
        <f t="shared" si="78"/>
        <v>ORD26000826</v>
      </c>
      <c r="E1695" s="38">
        <v>46275</v>
      </c>
      <c r="F1695" s="23" t="s">
        <v>12410</v>
      </c>
      <c r="G1695" s="23" t="s">
        <v>79</v>
      </c>
      <c r="H1695" s="24">
        <v>1798</v>
      </c>
      <c r="I1695" s="24">
        <v>32.36</v>
      </c>
      <c r="J1695" s="24">
        <v>5.82</v>
      </c>
      <c r="K1695" s="24">
        <v>1759.82</v>
      </c>
      <c r="L1695" s="38">
        <v>46277</v>
      </c>
      <c r="M1695" s="23" t="s">
        <v>104</v>
      </c>
      <c r="N1695" s="23" t="str">
        <f>IF(COUNTIF($A$2:A1695,A1695)&gt;1,"DUP","OK")</f>
        <v>OK</v>
      </c>
      <c r="O1695" s="23" t="str">
        <f t="shared" si="79"/>
        <v>ORD26000826</v>
      </c>
      <c r="P1695" s="23" t="str">
        <f t="shared" si="80"/>
        <v>Sep</v>
      </c>
      <c r="Q1695" s="23" t="str">
        <f>IF(F1695="CAPTURE",IF(COUNTIF(orders!$A:$A,O1695)&gt;0,"Yes","NO ORDER"),"")</f>
        <v>Yes</v>
      </c>
    </row>
    <row r="1696" spans="1:17" ht="15" customHeight="1" x14ac:dyDescent="0.3">
      <c r="A1696" s="23" t="s">
        <v>14394</v>
      </c>
      <c r="B1696" s="23"/>
      <c r="C1696" s="23" t="s">
        <v>2111</v>
      </c>
      <c r="D1696" s="23" t="str">
        <f t="shared" si="78"/>
        <v>ORD26000831</v>
      </c>
      <c r="E1696" s="38">
        <v>46275</v>
      </c>
      <c r="F1696" s="23" t="s">
        <v>12410</v>
      </c>
      <c r="G1696" s="23" t="s">
        <v>79</v>
      </c>
      <c r="H1696" s="24">
        <v>3197</v>
      </c>
      <c r="I1696" s="24">
        <v>51.15</v>
      </c>
      <c r="J1696" s="24">
        <v>9.2100000000000009</v>
      </c>
      <c r="K1696" s="24">
        <v>3136.64</v>
      </c>
      <c r="L1696" s="38">
        <v>46277</v>
      </c>
      <c r="M1696" s="23" t="s">
        <v>104</v>
      </c>
      <c r="N1696" s="23" t="str">
        <f>IF(COUNTIF($A$2:A1696,A1696)&gt;1,"DUP","OK")</f>
        <v>OK</v>
      </c>
      <c r="O1696" s="23" t="str">
        <f t="shared" si="79"/>
        <v>ORD26000831</v>
      </c>
      <c r="P1696" s="23" t="str">
        <f t="shared" si="80"/>
        <v>Sep</v>
      </c>
      <c r="Q1696" s="23" t="str">
        <f>IF(F1696="CAPTURE",IF(COUNTIF(orders!$A:$A,O1696)&gt;0,"Yes","NO ORDER"),"")</f>
        <v>Yes</v>
      </c>
    </row>
    <row r="1697" spans="1:17" ht="15" customHeight="1" x14ac:dyDescent="0.3">
      <c r="A1697" s="23" t="s">
        <v>14395</v>
      </c>
      <c r="B1697" s="23"/>
      <c r="C1697" s="23" t="s">
        <v>14396</v>
      </c>
      <c r="D1697" s="23" t="str">
        <f t="shared" si="78"/>
        <v>ORD26000845</v>
      </c>
      <c r="E1697" s="38">
        <v>46275</v>
      </c>
      <c r="F1697" s="23" t="s">
        <v>12410</v>
      </c>
      <c r="G1697" s="23" t="s">
        <v>75</v>
      </c>
      <c r="H1697" s="24">
        <v>4998</v>
      </c>
      <c r="I1697" s="24">
        <v>14.99</v>
      </c>
      <c r="J1697" s="24">
        <v>2.7</v>
      </c>
      <c r="K1697" s="24">
        <v>4980.3100000000004</v>
      </c>
      <c r="L1697" s="38">
        <v>46277</v>
      </c>
      <c r="M1697" s="23" t="s">
        <v>104</v>
      </c>
      <c r="N1697" s="23" t="str">
        <f>IF(COUNTIF($A$2:A1697,A1697)&gt;1,"DUP","OK")</f>
        <v>OK</v>
      </c>
      <c r="O1697" s="23" t="str">
        <f t="shared" si="79"/>
        <v>ORD26000845</v>
      </c>
      <c r="P1697" s="23" t="str">
        <f t="shared" si="80"/>
        <v>Sep</v>
      </c>
      <c r="Q1697" s="23" t="str">
        <f>IF(F1697="CAPTURE",IF(COUNTIF(orders!$A:$A,O1697)&gt;0,"Yes","NO ORDER"),"")</f>
        <v>Yes</v>
      </c>
    </row>
    <row r="1698" spans="1:17" ht="15" customHeight="1" x14ac:dyDescent="0.3">
      <c r="A1698" s="23" t="s">
        <v>14397</v>
      </c>
      <c r="B1698" s="23"/>
      <c r="C1698" s="23" t="s">
        <v>2179</v>
      </c>
      <c r="D1698" s="23" t="str">
        <f t="shared" si="78"/>
        <v>ORD26000863</v>
      </c>
      <c r="E1698" s="38">
        <v>46275</v>
      </c>
      <c r="F1698" s="23" t="s">
        <v>12410</v>
      </c>
      <c r="G1698" s="23" t="s">
        <v>75</v>
      </c>
      <c r="H1698" s="24">
        <v>3499</v>
      </c>
      <c r="I1698" s="24">
        <v>10.5</v>
      </c>
      <c r="J1698" s="24">
        <v>1.89</v>
      </c>
      <c r="K1698" s="24">
        <v>3486.61</v>
      </c>
      <c r="L1698" s="38">
        <v>46277</v>
      </c>
      <c r="M1698" s="23" t="s">
        <v>104</v>
      </c>
      <c r="N1698" s="23" t="str">
        <f>IF(COUNTIF($A$2:A1698,A1698)&gt;1,"DUP","OK")</f>
        <v>OK</v>
      </c>
      <c r="O1698" s="23" t="str">
        <f t="shared" si="79"/>
        <v>ORD26000863</v>
      </c>
      <c r="P1698" s="23" t="str">
        <f t="shared" si="80"/>
        <v>Sep</v>
      </c>
      <c r="Q1698" s="23" t="str">
        <f>IF(F1698="CAPTURE",IF(COUNTIF(orders!$A:$A,O1698)&gt;0,"Yes","NO ORDER"),"")</f>
        <v>Yes</v>
      </c>
    </row>
    <row r="1699" spans="1:17" ht="15" customHeight="1" x14ac:dyDescent="0.3">
      <c r="A1699" s="23" t="s">
        <v>14398</v>
      </c>
      <c r="B1699" s="23"/>
      <c r="C1699" s="23" t="s">
        <v>14399</v>
      </c>
      <c r="D1699" s="23" t="str">
        <f t="shared" si="78"/>
        <v>ORD26000885</v>
      </c>
      <c r="E1699" s="38">
        <v>46275</v>
      </c>
      <c r="F1699" s="23" t="s">
        <v>12410</v>
      </c>
      <c r="G1699" s="23" t="s">
        <v>75</v>
      </c>
      <c r="H1699" s="24">
        <v>6498</v>
      </c>
      <c r="I1699" s="24">
        <v>19.489999999999998</v>
      </c>
      <c r="J1699" s="24">
        <v>3.51</v>
      </c>
      <c r="K1699" s="24">
        <v>6475</v>
      </c>
      <c r="L1699" s="38">
        <v>46277</v>
      </c>
      <c r="M1699" s="23" t="s">
        <v>104</v>
      </c>
      <c r="N1699" s="23" t="str">
        <f>IF(COUNTIF($A$2:A1699,A1699)&gt;1,"DUP","OK")</f>
        <v>OK</v>
      </c>
      <c r="O1699" s="23" t="str">
        <f t="shared" si="79"/>
        <v>ORD26000885</v>
      </c>
      <c r="P1699" s="23" t="str">
        <f t="shared" si="80"/>
        <v>Sep</v>
      </c>
      <c r="Q1699" s="23" t="str">
        <f>IF(F1699="CAPTURE",IF(COUNTIF(orders!$A:$A,O1699)&gt;0,"Yes","NO ORDER"),"")</f>
        <v>Yes</v>
      </c>
    </row>
    <row r="1700" spans="1:17" ht="15" customHeight="1" x14ac:dyDescent="0.3">
      <c r="A1700" s="23" t="s">
        <v>14400</v>
      </c>
      <c r="B1700" s="23"/>
      <c r="C1700" s="23" t="s">
        <v>2288</v>
      </c>
      <c r="D1700" s="23" t="str">
        <f t="shared" si="78"/>
        <v>ORD26000916</v>
      </c>
      <c r="E1700" s="38">
        <v>46275</v>
      </c>
      <c r="F1700" s="23" t="s">
        <v>12410</v>
      </c>
      <c r="G1700" s="23" t="s">
        <v>81</v>
      </c>
      <c r="H1700" s="24">
        <v>2848</v>
      </c>
      <c r="I1700" s="24">
        <v>34.18</v>
      </c>
      <c r="J1700" s="24">
        <v>6.15</v>
      </c>
      <c r="K1700" s="24">
        <v>2807.67</v>
      </c>
      <c r="L1700" s="38">
        <v>46277</v>
      </c>
      <c r="M1700" s="23" t="s">
        <v>104</v>
      </c>
      <c r="N1700" s="23" t="str">
        <f>IF(COUNTIF($A$2:A1700,A1700)&gt;1,"DUP","OK")</f>
        <v>OK</v>
      </c>
      <c r="O1700" s="23" t="str">
        <f t="shared" si="79"/>
        <v>ORD26000916</v>
      </c>
      <c r="P1700" s="23" t="str">
        <f t="shared" si="80"/>
        <v>Sep</v>
      </c>
      <c r="Q1700" s="23" t="str">
        <f>IF(F1700="CAPTURE",IF(COUNTIF(orders!$A:$A,O1700)&gt;0,"Yes","NO ORDER"),"")</f>
        <v>Yes</v>
      </c>
    </row>
    <row r="1701" spans="1:17" ht="15" customHeight="1" x14ac:dyDescent="0.3">
      <c r="A1701" s="23" t="s">
        <v>14401</v>
      </c>
      <c r="B1701" s="23"/>
      <c r="C1701" s="23" t="s">
        <v>2354</v>
      </c>
      <c r="D1701" s="23" t="str">
        <f t="shared" si="78"/>
        <v>ORD26000948</v>
      </c>
      <c r="E1701" s="38">
        <v>46275</v>
      </c>
      <c r="F1701" s="23" t="s">
        <v>12410</v>
      </c>
      <c r="G1701" s="23" t="s">
        <v>75</v>
      </c>
      <c r="H1701" s="24">
        <v>4298</v>
      </c>
      <c r="I1701" s="24">
        <v>12.89</v>
      </c>
      <c r="J1701" s="24">
        <v>2.3199999999999998</v>
      </c>
      <c r="K1701" s="24">
        <v>4282.79</v>
      </c>
      <c r="L1701" s="38">
        <v>46277</v>
      </c>
      <c r="M1701" s="23" t="s">
        <v>104</v>
      </c>
      <c r="N1701" s="23" t="str">
        <f>IF(COUNTIF($A$2:A1701,A1701)&gt;1,"DUP","OK")</f>
        <v>OK</v>
      </c>
      <c r="O1701" s="23" t="str">
        <f t="shared" si="79"/>
        <v>ORD26000948</v>
      </c>
      <c r="P1701" s="23" t="str">
        <f t="shared" si="80"/>
        <v>Sep</v>
      </c>
      <c r="Q1701" s="23" t="str">
        <f>IF(F1701="CAPTURE",IF(COUNTIF(orders!$A:$A,O1701)&gt;0,"Yes","NO ORDER"),"")</f>
        <v>Yes</v>
      </c>
    </row>
    <row r="1702" spans="1:17" ht="15" customHeight="1" x14ac:dyDescent="0.3">
      <c r="A1702" s="23" t="s">
        <v>14402</v>
      </c>
      <c r="B1702" s="23"/>
      <c r="C1702" s="23" t="s">
        <v>2442</v>
      </c>
      <c r="D1702" s="23" t="str">
        <f t="shared" si="78"/>
        <v>ORD26000991</v>
      </c>
      <c r="E1702" s="38">
        <v>46275</v>
      </c>
      <c r="F1702" s="23" t="s">
        <v>12410</v>
      </c>
      <c r="G1702" s="23" t="s">
        <v>79</v>
      </c>
      <c r="H1702" s="24">
        <v>1299</v>
      </c>
      <c r="I1702" s="24">
        <v>23.38</v>
      </c>
      <c r="J1702" s="24">
        <v>4.21</v>
      </c>
      <c r="K1702" s="24">
        <v>1271.4100000000001</v>
      </c>
      <c r="L1702" s="38">
        <v>46277</v>
      </c>
      <c r="M1702" s="23" t="s">
        <v>104</v>
      </c>
      <c r="N1702" s="23" t="str">
        <f>IF(COUNTIF($A$2:A1702,A1702)&gt;1,"DUP","OK")</f>
        <v>OK</v>
      </c>
      <c r="O1702" s="23" t="str">
        <f t="shared" si="79"/>
        <v>ORD26000991</v>
      </c>
      <c r="P1702" s="23" t="str">
        <f t="shared" si="80"/>
        <v>Sep</v>
      </c>
      <c r="Q1702" s="23" t="str">
        <f>IF(F1702="CAPTURE",IF(COUNTIF(orders!$A:$A,O1702)&gt;0,"Yes","NO ORDER"),"")</f>
        <v>Yes</v>
      </c>
    </row>
    <row r="1703" spans="1:17" ht="15" customHeight="1" x14ac:dyDescent="0.3">
      <c r="A1703" s="23" t="s">
        <v>14403</v>
      </c>
      <c r="B1703" s="23"/>
      <c r="C1703" s="23" t="s">
        <v>2493</v>
      </c>
      <c r="D1703" s="23" t="str">
        <f t="shared" si="78"/>
        <v>ORD26001016</v>
      </c>
      <c r="E1703" s="38">
        <v>46275</v>
      </c>
      <c r="F1703" s="23" t="s">
        <v>12410</v>
      </c>
      <c r="G1703" s="23" t="s">
        <v>75</v>
      </c>
      <c r="H1703" s="24">
        <v>349</v>
      </c>
      <c r="I1703" s="24">
        <v>0</v>
      </c>
      <c r="J1703" s="24">
        <v>0</v>
      </c>
      <c r="K1703" s="24">
        <v>349</v>
      </c>
      <c r="L1703" s="38">
        <v>46277</v>
      </c>
      <c r="M1703" s="23" t="s">
        <v>104</v>
      </c>
      <c r="N1703" s="23" t="str">
        <f>IF(COUNTIF($A$2:A1703,A1703)&gt;1,"DUP","OK")</f>
        <v>OK</v>
      </c>
      <c r="O1703" s="23" t="str">
        <f t="shared" si="79"/>
        <v>ORD26001016</v>
      </c>
      <c r="P1703" s="23" t="str">
        <f t="shared" si="80"/>
        <v>Sep</v>
      </c>
      <c r="Q1703" s="23" t="str">
        <f>IF(F1703="CAPTURE",IF(COUNTIF(orders!$A:$A,O1703)&gt;0,"Yes","NO ORDER"),"")</f>
        <v>Yes</v>
      </c>
    </row>
    <row r="1704" spans="1:17" ht="15" customHeight="1" x14ac:dyDescent="0.3">
      <c r="A1704" s="23" t="s">
        <v>14404</v>
      </c>
      <c r="B1704" s="23"/>
      <c r="C1704" s="23" t="s">
        <v>14405</v>
      </c>
      <c r="D1704" s="23" t="str">
        <f t="shared" si="78"/>
        <v>ORD26001031</v>
      </c>
      <c r="E1704" s="38">
        <v>46275</v>
      </c>
      <c r="F1704" s="23" t="s">
        <v>12410</v>
      </c>
      <c r="G1704" s="23" t="s">
        <v>75</v>
      </c>
      <c r="H1704" s="24">
        <v>299</v>
      </c>
      <c r="I1704" s="24">
        <v>0</v>
      </c>
      <c r="J1704" s="24">
        <v>0</v>
      </c>
      <c r="K1704" s="24">
        <v>299</v>
      </c>
      <c r="L1704" s="38">
        <v>46277</v>
      </c>
      <c r="M1704" s="23" t="s">
        <v>104</v>
      </c>
      <c r="N1704" s="23" t="str">
        <f>IF(COUNTIF($A$2:A1704,A1704)&gt;1,"DUP","OK")</f>
        <v>OK</v>
      </c>
      <c r="O1704" s="23" t="str">
        <f t="shared" si="79"/>
        <v>ORD26001031</v>
      </c>
      <c r="P1704" s="23" t="str">
        <f t="shared" si="80"/>
        <v>Sep</v>
      </c>
      <c r="Q1704" s="23" t="str">
        <f>IF(F1704="CAPTURE",IF(COUNTIF(orders!$A:$A,O1704)&gt;0,"Yes","NO ORDER"),"")</f>
        <v>Yes</v>
      </c>
    </row>
    <row r="1705" spans="1:17" ht="15" customHeight="1" x14ac:dyDescent="0.3">
      <c r="A1705" s="23" t="s">
        <v>14406</v>
      </c>
      <c r="B1705" s="23"/>
      <c r="C1705" s="23" t="s">
        <v>2543</v>
      </c>
      <c r="D1705" s="23" t="str">
        <f t="shared" si="78"/>
        <v>ORD26001040</v>
      </c>
      <c r="E1705" s="38">
        <v>46275</v>
      </c>
      <c r="F1705" s="23" t="s">
        <v>12410</v>
      </c>
      <c r="G1705" s="23" t="s">
        <v>75</v>
      </c>
      <c r="H1705" s="24">
        <v>999</v>
      </c>
      <c r="I1705" s="24">
        <v>0</v>
      </c>
      <c r="J1705" s="24">
        <v>0</v>
      </c>
      <c r="K1705" s="24">
        <v>999</v>
      </c>
      <c r="L1705" s="38">
        <v>46277</v>
      </c>
      <c r="M1705" s="23" t="s">
        <v>104</v>
      </c>
      <c r="N1705" s="23" t="str">
        <f>IF(COUNTIF($A$2:A1705,A1705)&gt;1,"DUP","OK")</f>
        <v>OK</v>
      </c>
      <c r="O1705" s="23" t="str">
        <f t="shared" si="79"/>
        <v>ORD26001040</v>
      </c>
      <c r="P1705" s="23" t="str">
        <f t="shared" si="80"/>
        <v>Sep</v>
      </c>
      <c r="Q1705" s="23" t="str">
        <f>IF(F1705="CAPTURE",IF(COUNTIF(orders!$A:$A,O1705)&gt;0,"Yes","NO ORDER"),"")</f>
        <v>Yes</v>
      </c>
    </row>
    <row r="1706" spans="1:17" ht="15" customHeight="1" x14ac:dyDescent="0.3">
      <c r="A1706" s="23" t="s">
        <v>14407</v>
      </c>
      <c r="B1706" s="23"/>
      <c r="C1706" s="23" t="s">
        <v>2555</v>
      </c>
      <c r="D1706" s="23" t="str">
        <f t="shared" si="78"/>
        <v>ORD26001046</v>
      </c>
      <c r="E1706" s="38">
        <v>46275</v>
      </c>
      <c r="F1706" s="23" t="s">
        <v>12410</v>
      </c>
      <c r="G1706" s="23" t="s">
        <v>75</v>
      </c>
      <c r="H1706" s="24">
        <v>5298</v>
      </c>
      <c r="I1706" s="24">
        <v>15.89</v>
      </c>
      <c r="J1706" s="24">
        <v>2.86</v>
      </c>
      <c r="K1706" s="24">
        <v>5279.25</v>
      </c>
      <c r="L1706" s="38">
        <v>46277</v>
      </c>
      <c r="M1706" s="23" t="s">
        <v>104</v>
      </c>
      <c r="N1706" s="23" t="str">
        <f>IF(COUNTIF($A$2:A1706,A1706)&gt;1,"DUP","OK")</f>
        <v>OK</v>
      </c>
      <c r="O1706" s="23" t="str">
        <f t="shared" si="79"/>
        <v>ORD26001046</v>
      </c>
      <c r="P1706" s="23" t="str">
        <f t="shared" si="80"/>
        <v>Sep</v>
      </c>
      <c r="Q1706" s="23" t="str">
        <f>IF(F1706="CAPTURE",IF(COUNTIF(orders!$A:$A,O1706)&gt;0,"Yes","NO ORDER"),"")</f>
        <v>Yes</v>
      </c>
    </row>
    <row r="1707" spans="1:17" ht="15" customHeight="1" x14ac:dyDescent="0.3">
      <c r="A1707" s="23" t="s">
        <v>14408</v>
      </c>
      <c r="B1707" s="23"/>
      <c r="C1707" s="23" t="s">
        <v>2590</v>
      </c>
      <c r="D1707" s="23" t="str">
        <f t="shared" si="78"/>
        <v>ORD26001063</v>
      </c>
      <c r="E1707" s="38">
        <v>46275</v>
      </c>
      <c r="F1707" s="23" t="s">
        <v>12410</v>
      </c>
      <c r="G1707" s="23" t="s">
        <v>75</v>
      </c>
      <c r="H1707" s="24">
        <v>599</v>
      </c>
      <c r="I1707" s="24">
        <v>0</v>
      </c>
      <c r="J1707" s="24">
        <v>0</v>
      </c>
      <c r="K1707" s="24">
        <v>599</v>
      </c>
      <c r="L1707" s="38">
        <v>46277</v>
      </c>
      <c r="M1707" s="23" t="s">
        <v>104</v>
      </c>
      <c r="N1707" s="23" t="str">
        <f>IF(COUNTIF($A$2:A1707,A1707)&gt;1,"DUP","OK")</f>
        <v>OK</v>
      </c>
      <c r="O1707" s="23" t="str">
        <f t="shared" si="79"/>
        <v>ORD26001063</v>
      </c>
      <c r="P1707" s="23" t="str">
        <f t="shared" si="80"/>
        <v>Sep</v>
      </c>
      <c r="Q1707" s="23" t="str">
        <f>IF(F1707="CAPTURE",IF(COUNTIF(orders!$A:$A,O1707)&gt;0,"Yes","NO ORDER"),"")</f>
        <v>Yes</v>
      </c>
    </row>
    <row r="1708" spans="1:17" ht="15" customHeight="1" x14ac:dyDescent="0.3">
      <c r="A1708" s="23" t="s">
        <v>14409</v>
      </c>
      <c r="B1708" s="23"/>
      <c r="C1708" s="23" t="s">
        <v>2722</v>
      </c>
      <c r="D1708" s="23" t="str">
        <f t="shared" si="78"/>
        <v>ORD26001128</v>
      </c>
      <c r="E1708" s="38">
        <v>46275</v>
      </c>
      <c r="F1708" s="23" t="s">
        <v>12410</v>
      </c>
      <c r="G1708" s="23" t="s">
        <v>75</v>
      </c>
      <c r="H1708" s="24">
        <v>7999</v>
      </c>
      <c r="I1708" s="24">
        <v>24</v>
      </c>
      <c r="J1708" s="24">
        <v>4.32</v>
      </c>
      <c r="K1708" s="24">
        <v>7970.68</v>
      </c>
      <c r="L1708" s="38">
        <v>46277</v>
      </c>
      <c r="M1708" s="23" t="s">
        <v>104</v>
      </c>
      <c r="N1708" s="23" t="str">
        <f>IF(COUNTIF($A$2:A1708,A1708)&gt;1,"DUP","OK")</f>
        <v>OK</v>
      </c>
      <c r="O1708" s="23" t="str">
        <f t="shared" si="79"/>
        <v>ORD26001128</v>
      </c>
      <c r="P1708" s="23" t="str">
        <f t="shared" si="80"/>
        <v>Sep</v>
      </c>
      <c r="Q1708" s="23" t="str">
        <f>IF(F1708="CAPTURE",IF(COUNTIF(orders!$A:$A,O1708)&gt;0,"Yes","NO ORDER"),"")</f>
        <v>Yes</v>
      </c>
    </row>
    <row r="1709" spans="1:17" ht="15" customHeight="1" x14ac:dyDescent="0.3">
      <c r="A1709" s="23" t="s">
        <v>14410</v>
      </c>
      <c r="B1709" s="23"/>
      <c r="C1709" s="23" t="s">
        <v>2771</v>
      </c>
      <c r="D1709" s="23" t="str">
        <f t="shared" si="78"/>
        <v>ORD26001152</v>
      </c>
      <c r="E1709" s="38">
        <v>46275</v>
      </c>
      <c r="F1709" s="23" t="s">
        <v>12410</v>
      </c>
      <c r="G1709" s="23" t="s">
        <v>75</v>
      </c>
      <c r="H1709" s="24">
        <v>1799</v>
      </c>
      <c r="I1709" s="24">
        <v>0</v>
      </c>
      <c r="J1709" s="24">
        <v>0</v>
      </c>
      <c r="K1709" s="24">
        <v>1799</v>
      </c>
      <c r="L1709" s="38">
        <v>46277</v>
      </c>
      <c r="M1709" s="23" t="s">
        <v>104</v>
      </c>
      <c r="N1709" s="23" t="str">
        <f>IF(COUNTIF($A$2:A1709,A1709)&gt;1,"DUP","OK")</f>
        <v>OK</v>
      </c>
      <c r="O1709" s="23" t="str">
        <f t="shared" si="79"/>
        <v>ORD26001152</v>
      </c>
      <c r="P1709" s="23" t="str">
        <f t="shared" si="80"/>
        <v>Sep</v>
      </c>
      <c r="Q1709" s="23" t="str">
        <f>IF(F1709="CAPTURE",IF(COUNTIF(orders!$A:$A,O1709)&gt;0,"Yes","NO ORDER"),"")</f>
        <v>Yes</v>
      </c>
    </row>
    <row r="1710" spans="1:17" ht="15" customHeight="1" x14ac:dyDescent="0.3">
      <c r="A1710" s="23" t="s">
        <v>14411</v>
      </c>
      <c r="B1710" s="23"/>
      <c r="C1710" s="23" t="s">
        <v>2821</v>
      </c>
      <c r="D1710" s="23" t="str">
        <f t="shared" si="78"/>
        <v>ORD26001177</v>
      </c>
      <c r="E1710" s="38">
        <v>46275</v>
      </c>
      <c r="F1710" s="23" t="s">
        <v>12410</v>
      </c>
      <c r="G1710" s="23" t="s">
        <v>75</v>
      </c>
      <c r="H1710" s="24">
        <v>2098</v>
      </c>
      <c r="I1710" s="24">
        <v>6.29</v>
      </c>
      <c r="J1710" s="24">
        <v>1.1299999999999999</v>
      </c>
      <c r="K1710" s="24">
        <v>2090.58</v>
      </c>
      <c r="L1710" s="38">
        <v>46277</v>
      </c>
      <c r="M1710" s="23" t="s">
        <v>104</v>
      </c>
      <c r="N1710" s="23" t="str">
        <f>IF(COUNTIF($A$2:A1710,A1710)&gt;1,"DUP","OK")</f>
        <v>OK</v>
      </c>
      <c r="O1710" s="23" t="str">
        <f t="shared" si="79"/>
        <v>ORD26001177</v>
      </c>
      <c r="P1710" s="23" t="str">
        <f t="shared" si="80"/>
        <v>Sep</v>
      </c>
      <c r="Q1710" s="23" t="str">
        <f>IF(F1710="CAPTURE",IF(COUNTIF(orders!$A:$A,O1710)&gt;0,"Yes","NO ORDER"),"")</f>
        <v>Yes</v>
      </c>
    </row>
    <row r="1711" spans="1:17" ht="15" customHeight="1" x14ac:dyDescent="0.3">
      <c r="A1711" s="23" t="s">
        <v>14412</v>
      </c>
      <c r="B1711" s="23"/>
      <c r="C1711" s="23" t="s">
        <v>2825</v>
      </c>
      <c r="D1711" s="23" t="str">
        <f t="shared" si="78"/>
        <v>ORD26001179</v>
      </c>
      <c r="E1711" s="38">
        <v>46275</v>
      </c>
      <c r="F1711" s="23" t="s">
        <v>12410</v>
      </c>
      <c r="G1711" s="23" t="s">
        <v>75</v>
      </c>
      <c r="H1711" s="24">
        <v>5348</v>
      </c>
      <c r="I1711" s="24">
        <v>16.04</v>
      </c>
      <c r="J1711" s="24">
        <v>2.89</v>
      </c>
      <c r="K1711" s="24">
        <v>5329.07</v>
      </c>
      <c r="L1711" s="38">
        <v>46277</v>
      </c>
      <c r="M1711" s="23" t="s">
        <v>104</v>
      </c>
      <c r="N1711" s="23" t="str">
        <f>IF(COUNTIF($A$2:A1711,A1711)&gt;1,"DUP","OK")</f>
        <v>OK</v>
      </c>
      <c r="O1711" s="23" t="str">
        <f t="shared" si="79"/>
        <v>ORD26001179</v>
      </c>
      <c r="P1711" s="23" t="str">
        <f t="shared" si="80"/>
        <v>Sep</v>
      </c>
      <c r="Q1711" s="23" t="str">
        <f>IF(F1711="CAPTURE",IF(COUNTIF(orders!$A:$A,O1711)&gt;0,"Yes","NO ORDER"),"")</f>
        <v>Yes</v>
      </c>
    </row>
    <row r="1712" spans="1:17" ht="15" customHeight="1" x14ac:dyDescent="0.3">
      <c r="A1712" s="23" t="s">
        <v>14413</v>
      </c>
      <c r="B1712" s="23"/>
      <c r="C1712" s="23" t="s">
        <v>2870</v>
      </c>
      <c r="D1712" s="23" t="str">
        <f t="shared" si="78"/>
        <v>ORD26001201</v>
      </c>
      <c r="E1712" s="38">
        <v>46275</v>
      </c>
      <c r="F1712" s="23" t="s">
        <v>12410</v>
      </c>
      <c r="G1712" s="23" t="s">
        <v>77</v>
      </c>
      <c r="H1712" s="24">
        <v>599</v>
      </c>
      <c r="I1712" s="24">
        <v>11.38</v>
      </c>
      <c r="J1712" s="24">
        <v>2.0499999999999998</v>
      </c>
      <c r="K1712" s="24">
        <v>585.57000000000005</v>
      </c>
      <c r="L1712" s="38">
        <v>46277</v>
      </c>
      <c r="M1712" s="23" t="s">
        <v>104</v>
      </c>
      <c r="N1712" s="23" t="str">
        <f>IF(COUNTIF($A$2:A1712,A1712)&gt;1,"DUP","OK")</f>
        <v>OK</v>
      </c>
      <c r="O1712" s="23" t="str">
        <f t="shared" si="79"/>
        <v>ORD26001201</v>
      </c>
      <c r="P1712" s="23" t="str">
        <f t="shared" si="80"/>
        <v>Sep</v>
      </c>
      <c r="Q1712" s="23" t="str">
        <f>IF(F1712="CAPTURE",IF(COUNTIF(orders!$A:$A,O1712)&gt;0,"Yes","NO ORDER"),"")</f>
        <v>Yes</v>
      </c>
    </row>
    <row r="1713" spans="1:17" ht="15" customHeight="1" x14ac:dyDescent="0.3">
      <c r="A1713" s="23" t="s">
        <v>14414</v>
      </c>
      <c r="B1713" s="23"/>
      <c r="C1713" s="23" t="s">
        <v>2942</v>
      </c>
      <c r="D1713" s="23" t="str">
        <f t="shared" si="78"/>
        <v>ORD26001236</v>
      </c>
      <c r="E1713" s="38">
        <v>46275</v>
      </c>
      <c r="F1713" s="23" t="s">
        <v>12410</v>
      </c>
      <c r="G1713" s="23" t="s">
        <v>75</v>
      </c>
      <c r="H1713" s="24">
        <v>1799</v>
      </c>
      <c r="I1713" s="24">
        <v>0</v>
      </c>
      <c r="J1713" s="24">
        <v>0</v>
      </c>
      <c r="K1713" s="24">
        <v>1799</v>
      </c>
      <c r="L1713" s="38">
        <v>46277</v>
      </c>
      <c r="M1713" s="23" t="s">
        <v>104</v>
      </c>
      <c r="N1713" s="23" t="str">
        <f>IF(COUNTIF($A$2:A1713,A1713)&gt;1,"DUP","OK")</f>
        <v>OK</v>
      </c>
      <c r="O1713" s="23" t="str">
        <f t="shared" si="79"/>
        <v>ORD26001236</v>
      </c>
      <c r="P1713" s="23" t="str">
        <f t="shared" si="80"/>
        <v>Sep</v>
      </c>
      <c r="Q1713" s="23" t="str">
        <f>IF(F1713="CAPTURE",IF(COUNTIF(orders!$A:$A,O1713)&gt;0,"Yes","NO ORDER"),"")</f>
        <v>Yes</v>
      </c>
    </row>
    <row r="1714" spans="1:17" ht="15" customHeight="1" x14ac:dyDescent="0.3">
      <c r="A1714" s="23" t="s">
        <v>14415</v>
      </c>
      <c r="B1714" s="23"/>
      <c r="C1714" s="23" t="s">
        <v>2944</v>
      </c>
      <c r="D1714" s="23" t="str">
        <f t="shared" si="78"/>
        <v>ORD26001237</v>
      </c>
      <c r="E1714" s="38">
        <v>46275</v>
      </c>
      <c r="F1714" s="23" t="s">
        <v>12410</v>
      </c>
      <c r="G1714" s="23" t="s">
        <v>79</v>
      </c>
      <c r="H1714" s="24">
        <v>5298</v>
      </c>
      <c r="I1714" s="24">
        <v>84.77</v>
      </c>
      <c r="J1714" s="24">
        <v>15.26</v>
      </c>
      <c r="K1714" s="24">
        <v>5197.97</v>
      </c>
      <c r="L1714" s="38">
        <v>46277</v>
      </c>
      <c r="M1714" s="23" t="s">
        <v>104</v>
      </c>
      <c r="N1714" s="23" t="str">
        <f>IF(COUNTIF($A$2:A1714,A1714)&gt;1,"DUP","OK")</f>
        <v>OK</v>
      </c>
      <c r="O1714" s="23" t="str">
        <f t="shared" si="79"/>
        <v>ORD26001237</v>
      </c>
      <c r="P1714" s="23" t="str">
        <f t="shared" si="80"/>
        <v>Sep</v>
      </c>
      <c r="Q1714" s="23" t="str">
        <f>IF(F1714="CAPTURE",IF(COUNTIF(orders!$A:$A,O1714)&gt;0,"Yes","NO ORDER"),"")</f>
        <v>Yes</v>
      </c>
    </row>
    <row r="1715" spans="1:17" ht="15" customHeight="1" x14ac:dyDescent="0.3">
      <c r="A1715" s="23" t="s">
        <v>14416</v>
      </c>
      <c r="B1715" s="23"/>
      <c r="C1715" s="23" t="s">
        <v>3001</v>
      </c>
      <c r="D1715" s="23" t="str">
        <f t="shared" si="78"/>
        <v>ORD26001264</v>
      </c>
      <c r="E1715" s="38">
        <v>46275</v>
      </c>
      <c r="F1715" s="23" t="s">
        <v>12410</v>
      </c>
      <c r="G1715" s="23" t="s">
        <v>81</v>
      </c>
      <c r="H1715" s="24">
        <v>3098</v>
      </c>
      <c r="I1715" s="24">
        <v>37.18</v>
      </c>
      <c r="J1715" s="24">
        <v>6.69</v>
      </c>
      <c r="K1715" s="24">
        <v>3054.13</v>
      </c>
      <c r="L1715" s="38">
        <v>46277</v>
      </c>
      <c r="M1715" s="23" t="s">
        <v>104</v>
      </c>
      <c r="N1715" s="23" t="str">
        <f>IF(COUNTIF($A$2:A1715,A1715)&gt;1,"DUP","OK")</f>
        <v>OK</v>
      </c>
      <c r="O1715" s="23" t="str">
        <f t="shared" si="79"/>
        <v>ORD26001264</v>
      </c>
      <c r="P1715" s="23" t="str">
        <f t="shared" si="80"/>
        <v>Sep</v>
      </c>
      <c r="Q1715" s="23" t="str">
        <f>IF(F1715="CAPTURE",IF(COUNTIF(orders!$A:$A,O1715)&gt;0,"Yes","NO ORDER"),"")</f>
        <v>Yes</v>
      </c>
    </row>
    <row r="1716" spans="1:17" ht="15" customHeight="1" x14ac:dyDescent="0.3">
      <c r="A1716" s="23" t="s">
        <v>14417</v>
      </c>
      <c r="B1716" s="23"/>
      <c r="C1716" s="23" t="s">
        <v>3067</v>
      </c>
      <c r="D1716" s="23" t="str">
        <f t="shared" si="78"/>
        <v>ORD26001296</v>
      </c>
      <c r="E1716" s="38">
        <v>46275</v>
      </c>
      <c r="F1716" s="23" t="s">
        <v>12410</v>
      </c>
      <c r="G1716" s="23" t="s">
        <v>79</v>
      </c>
      <c r="H1716" s="24">
        <v>3098</v>
      </c>
      <c r="I1716" s="24">
        <v>49.57</v>
      </c>
      <c r="J1716" s="24">
        <v>8.92</v>
      </c>
      <c r="K1716" s="24">
        <v>3039.51</v>
      </c>
      <c r="L1716" s="38">
        <v>46277</v>
      </c>
      <c r="M1716" s="23" t="s">
        <v>104</v>
      </c>
      <c r="N1716" s="23" t="str">
        <f>IF(COUNTIF($A$2:A1716,A1716)&gt;1,"DUP","OK")</f>
        <v>OK</v>
      </c>
      <c r="O1716" s="23" t="str">
        <f t="shared" si="79"/>
        <v>ORD26001296</v>
      </c>
      <c r="P1716" s="23" t="str">
        <f t="shared" si="80"/>
        <v>Sep</v>
      </c>
      <c r="Q1716" s="23" t="str">
        <f>IF(F1716="CAPTURE",IF(COUNTIF(orders!$A:$A,O1716)&gt;0,"Yes","NO ORDER"),"")</f>
        <v>Yes</v>
      </c>
    </row>
    <row r="1717" spans="1:17" ht="15" customHeight="1" x14ac:dyDescent="0.3">
      <c r="A1717" s="23" t="s">
        <v>14418</v>
      </c>
      <c r="B1717" s="23"/>
      <c r="C1717" s="23" t="s">
        <v>14419</v>
      </c>
      <c r="D1717" s="23" t="str">
        <f t="shared" si="78"/>
        <v>ORD26001335</v>
      </c>
      <c r="E1717" s="38">
        <v>46275</v>
      </c>
      <c r="F1717" s="23" t="s">
        <v>12410</v>
      </c>
      <c r="G1717" s="23" t="s">
        <v>79</v>
      </c>
      <c r="H1717" s="24">
        <v>2499</v>
      </c>
      <c r="I1717" s="24">
        <v>39.979999999999997</v>
      </c>
      <c r="J1717" s="24">
        <v>7.2</v>
      </c>
      <c r="K1717" s="24">
        <v>2451.8200000000002</v>
      </c>
      <c r="L1717" s="38">
        <v>46277</v>
      </c>
      <c r="M1717" s="23" t="s">
        <v>104</v>
      </c>
      <c r="N1717" s="23" t="str">
        <f>IF(COUNTIF($A$2:A1717,A1717)&gt;1,"DUP","OK")</f>
        <v>OK</v>
      </c>
      <c r="O1717" s="23" t="str">
        <f t="shared" si="79"/>
        <v>ORD26001335</v>
      </c>
      <c r="P1717" s="23" t="str">
        <f t="shared" si="80"/>
        <v>Sep</v>
      </c>
      <c r="Q1717" s="23" t="str">
        <f>IF(F1717="CAPTURE",IF(COUNTIF(orders!$A:$A,O1717)&gt;0,"Yes","NO ORDER"),"")</f>
        <v>Yes</v>
      </c>
    </row>
    <row r="1718" spans="1:17" ht="15" customHeight="1" x14ac:dyDescent="0.3">
      <c r="A1718" s="23" t="s">
        <v>14420</v>
      </c>
      <c r="B1718" s="23"/>
      <c r="C1718" s="23" t="s">
        <v>3235</v>
      </c>
      <c r="D1718" s="23" t="str">
        <f t="shared" si="78"/>
        <v>ORD26001377</v>
      </c>
      <c r="E1718" s="38">
        <v>46275</v>
      </c>
      <c r="F1718" s="23" t="s">
        <v>12410</v>
      </c>
      <c r="G1718" s="23" t="s">
        <v>75</v>
      </c>
      <c r="H1718" s="24">
        <v>2999</v>
      </c>
      <c r="I1718" s="24">
        <v>9</v>
      </c>
      <c r="J1718" s="24">
        <v>1.62</v>
      </c>
      <c r="K1718" s="24">
        <v>2988.38</v>
      </c>
      <c r="L1718" s="38">
        <v>46277</v>
      </c>
      <c r="M1718" s="23" t="s">
        <v>104</v>
      </c>
      <c r="N1718" s="23" t="str">
        <f>IF(COUNTIF($A$2:A1718,A1718)&gt;1,"DUP","OK")</f>
        <v>OK</v>
      </c>
      <c r="O1718" s="23" t="str">
        <f t="shared" si="79"/>
        <v>ORD26001377</v>
      </c>
      <c r="P1718" s="23" t="str">
        <f t="shared" si="80"/>
        <v>Sep</v>
      </c>
      <c r="Q1718" s="23" t="str">
        <f>IF(F1718="CAPTURE",IF(COUNTIF(orders!$A:$A,O1718)&gt;0,"Yes","NO ORDER"),"")</f>
        <v>Yes</v>
      </c>
    </row>
    <row r="1719" spans="1:17" ht="15" customHeight="1" x14ac:dyDescent="0.3">
      <c r="A1719" s="23" t="s">
        <v>14421</v>
      </c>
      <c r="B1719" s="23"/>
      <c r="C1719" s="23" t="s">
        <v>3460</v>
      </c>
      <c r="D1719" s="23" t="str">
        <f t="shared" si="78"/>
        <v>ORD26001488</v>
      </c>
      <c r="E1719" s="38">
        <v>46275</v>
      </c>
      <c r="F1719" s="23" t="s">
        <v>12410</v>
      </c>
      <c r="G1719" s="23" t="s">
        <v>79</v>
      </c>
      <c r="H1719" s="24">
        <v>299</v>
      </c>
      <c r="I1719" s="24">
        <v>5.38</v>
      </c>
      <c r="J1719" s="24">
        <v>0.97</v>
      </c>
      <c r="K1719" s="24">
        <v>292.64999999999998</v>
      </c>
      <c r="L1719" s="38">
        <v>46277</v>
      </c>
      <c r="M1719" s="23" t="s">
        <v>104</v>
      </c>
      <c r="N1719" s="23" t="str">
        <f>IF(COUNTIF($A$2:A1719,A1719)&gt;1,"DUP","OK")</f>
        <v>OK</v>
      </c>
      <c r="O1719" s="23" t="str">
        <f t="shared" si="79"/>
        <v>ORD26001488</v>
      </c>
      <c r="P1719" s="23" t="str">
        <f t="shared" si="80"/>
        <v>Sep</v>
      </c>
      <c r="Q1719" s="23" t="str">
        <f>IF(F1719="CAPTURE",IF(COUNTIF(orders!$A:$A,O1719)&gt;0,"Yes","NO ORDER"),"")</f>
        <v>Yes</v>
      </c>
    </row>
    <row r="1720" spans="1:17" ht="15" customHeight="1" x14ac:dyDescent="0.3">
      <c r="A1720" s="23" t="s">
        <v>14422</v>
      </c>
      <c r="B1720" s="23"/>
      <c r="C1720" s="23" t="s">
        <v>3508</v>
      </c>
      <c r="D1720" s="23" t="str">
        <f t="shared" si="78"/>
        <v>ORD26001511</v>
      </c>
      <c r="E1720" s="38">
        <v>46275</v>
      </c>
      <c r="F1720" s="23" t="s">
        <v>12410</v>
      </c>
      <c r="G1720" s="23" t="s">
        <v>75</v>
      </c>
      <c r="H1720" s="24">
        <v>3298</v>
      </c>
      <c r="I1720" s="24">
        <v>9.89</v>
      </c>
      <c r="J1720" s="24">
        <v>1.78</v>
      </c>
      <c r="K1720" s="24">
        <v>3286.33</v>
      </c>
      <c r="L1720" s="38">
        <v>46277</v>
      </c>
      <c r="M1720" s="23" t="s">
        <v>104</v>
      </c>
      <c r="N1720" s="23" t="str">
        <f>IF(COUNTIF($A$2:A1720,A1720)&gt;1,"DUP","OK")</f>
        <v>OK</v>
      </c>
      <c r="O1720" s="23" t="str">
        <f t="shared" si="79"/>
        <v>ORD26001511</v>
      </c>
      <c r="P1720" s="23" t="str">
        <f t="shared" si="80"/>
        <v>Sep</v>
      </c>
      <c r="Q1720" s="23" t="str">
        <f>IF(F1720="CAPTURE",IF(COUNTIF(orders!$A:$A,O1720)&gt;0,"Yes","NO ORDER"),"")</f>
        <v>Yes</v>
      </c>
    </row>
    <row r="1721" spans="1:17" ht="15" customHeight="1" x14ac:dyDescent="0.3">
      <c r="A1721" s="23" t="s">
        <v>14423</v>
      </c>
      <c r="B1721" s="23"/>
      <c r="C1721" s="23" t="s">
        <v>3529</v>
      </c>
      <c r="D1721" s="23" t="str">
        <f t="shared" si="78"/>
        <v>ORD26001521</v>
      </c>
      <c r="E1721" s="38">
        <v>46275</v>
      </c>
      <c r="F1721" s="23" t="s">
        <v>12410</v>
      </c>
      <c r="G1721" s="23" t="s">
        <v>77</v>
      </c>
      <c r="H1721" s="24">
        <v>2499</v>
      </c>
      <c r="I1721" s="24">
        <v>59.98</v>
      </c>
      <c r="J1721" s="24">
        <v>10.8</v>
      </c>
      <c r="K1721" s="24">
        <v>2428.2199999999998</v>
      </c>
      <c r="L1721" s="38">
        <v>46277</v>
      </c>
      <c r="M1721" s="23" t="s">
        <v>104</v>
      </c>
      <c r="N1721" s="23" t="str">
        <f>IF(COUNTIF($A$2:A1721,A1721)&gt;1,"DUP","OK")</f>
        <v>OK</v>
      </c>
      <c r="O1721" s="23" t="str">
        <f t="shared" si="79"/>
        <v>ORD26001521</v>
      </c>
      <c r="P1721" s="23" t="str">
        <f t="shared" si="80"/>
        <v>Sep</v>
      </c>
      <c r="Q1721" s="23" t="str">
        <f>IF(F1721="CAPTURE",IF(COUNTIF(orders!$A:$A,O1721)&gt;0,"Yes","NO ORDER"),"")</f>
        <v>Yes</v>
      </c>
    </row>
    <row r="1722" spans="1:17" ht="15" customHeight="1" x14ac:dyDescent="0.3">
      <c r="A1722" s="23" t="s">
        <v>14424</v>
      </c>
      <c r="B1722" s="23"/>
      <c r="C1722" s="23" t="s">
        <v>3639</v>
      </c>
      <c r="D1722" s="23" t="str">
        <f t="shared" si="78"/>
        <v>ORD26001576</v>
      </c>
      <c r="E1722" s="38">
        <v>46275</v>
      </c>
      <c r="F1722" s="23" t="s">
        <v>12410</v>
      </c>
      <c r="G1722" s="23" t="s">
        <v>79</v>
      </c>
      <c r="H1722" s="24">
        <v>2499</v>
      </c>
      <c r="I1722" s="24">
        <v>39.979999999999997</v>
      </c>
      <c r="J1722" s="24">
        <v>7.2</v>
      </c>
      <c r="K1722" s="24">
        <v>2451.8200000000002</v>
      </c>
      <c r="L1722" s="38">
        <v>46277</v>
      </c>
      <c r="M1722" s="23" t="s">
        <v>104</v>
      </c>
      <c r="N1722" s="23" t="str">
        <f>IF(COUNTIF($A$2:A1722,A1722)&gt;1,"DUP","OK")</f>
        <v>OK</v>
      </c>
      <c r="O1722" s="23" t="str">
        <f t="shared" si="79"/>
        <v>ORD26001576</v>
      </c>
      <c r="P1722" s="23" t="str">
        <f t="shared" si="80"/>
        <v>Sep</v>
      </c>
      <c r="Q1722" s="23" t="str">
        <f>IF(F1722="CAPTURE",IF(COUNTIF(orders!$A:$A,O1722)&gt;0,"Yes","NO ORDER"),"")</f>
        <v>Yes</v>
      </c>
    </row>
    <row r="1723" spans="1:17" ht="15" customHeight="1" x14ac:dyDescent="0.3">
      <c r="A1723" s="23" t="s">
        <v>14425</v>
      </c>
      <c r="B1723" s="23"/>
      <c r="C1723" s="23" t="s">
        <v>3847</v>
      </c>
      <c r="D1723" s="23" t="str">
        <f t="shared" si="78"/>
        <v>ORD26001681</v>
      </c>
      <c r="E1723" s="38">
        <v>46275</v>
      </c>
      <c r="F1723" s="23" t="s">
        <v>12410</v>
      </c>
      <c r="G1723" s="23" t="s">
        <v>75</v>
      </c>
      <c r="H1723" s="24">
        <v>1299</v>
      </c>
      <c r="I1723" s="24">
        <v>0</v>
      </c>
      <c r="J1723" s="24">
        <v>0</v>
      </c>
      <c r="K1723" s="24">
        <v>1299</v>
      </c>
      <c r="L1723" s="38">
        <v>46277</v>
      </c>
      <c r="M1723" s="23" t="s">
        <v>104</v>
      </c>
      <c r="N1723" s="23" t="str">
        <f>IF(COUNTIF($A$2:A1723,A1723)&gt;1,"DUP","OK")</f>
        <v>OK</v>
      </c>
      <c r="O1723" s="23" t="str">
        <f t="shared" si="79"/>
        <v>ORD26001681</v>
      </c>
      <c r="P1723" s="23" t="str">
        <f t="shared" si="80"/>
        <v>Sep</v>
      </c>
      <c r="Q1723" s="23" t="str">
        <f>IF(F1723="CAPTURE",IF(COUNTIF(orders!$A:$A,O1723)&gt;0,"Yes","NO ORDER"),"")</f>
        <v>Yes</v>
      </c>
    </row>
    <row r="1724" spans="1:17" ht="15" customHeight="1" x14ac:dyDescent="0.3">
      <c r="A1724" s="23" t="s">
        <v>14426</v>
      </c>
      <c r="B1724" s="23"/>
      <c r="C1724" s="23" t="s">
        <v>3872</v>
      </c>
      <c r="D1724" s="23" t="str">
        <f t="shared" si="78"/>
        <v>ORD26001693</v>
      </c>
      <c r="E1724" s="38">
        <v>46275</v>
      </c>
      <c r="F1724" s="23" t="s">
        <v>12410</v>
      </c>
      <c r="G1724" s="23" t="s">
        <v>77</v>
      </c>
      <c r="H1724" s="24">
        <v>3997</v>
      </c>
      <c r="I1724" s="24">
        <v>67.95</v>
      </c>
      <c r="J1724" s="24">
        <v>12.23</v>
      </c>
      <c r="K1724" s="24">
        <v>3916.82</v>
      </c>
      <c r="L1724" s="38">
        <v>46277</v>
      </c>
      <c r="M1724" s="23" t="s">
        <v>104</v>
      </c>
      <c r="N1724" s="23" t="str">
        <f>IF(COUNTIF($A$2:A1724,A1724)&gt;1,"DUP","OK")</f>
        <v>OK</v>
      </c>
      <c r="O1724" s="23" t="str">
        <f t="shared" si="79"/>
        <v>ORD26001693</v>
      </c>
      <c r="P1724" s="23" t="str">
        <f t="shared" si="80"/>
        <v>Sep</v>
      </c>
      <c r="Q1724" s="23" t="str">
        <f>IF(F1724="CAPTURE",IF(COUNTIF(orders!$A:$A,O1724)&gt;0,"Yes","NO ORDER"),"")</f>
        <v>Yes</v>
      </c>
    </row>
    <row r="1725" spans="1:17" ht="15" customHeight="1" x14ac:dyDescent="0.3">
      <c r="A1725" s="23" t="s">
        <v>14427</v>
      </c>
      <c r="B1725" s="23"/>
      <c r="C1725" s="23" t="s">
        <v>3988</v>
      </c>
      <c r="D1725" s="23" t="str">
        <f t="shared" si="78"/>
        <v>ORD26001750</v>
      </c>
      <c r="E1725" s="38">
        <v>46275</v>
      </c>
      <c r="F1725" s="23" t="s">
        <v>12410</v>
      </c>
      <c r="G1725" s="23" t="s">
        <v>75</v>
      </c>
      <c r="H1725" s="24">
        <v>349</v>
      </c>
      <c r="I1725" s="24">
        <v>0</v>
      </c>
      <c r="J1725" s="24">
        <v>0</v>
      </c>
      <c r="K1725" s="24">
        <v>349</v>
      </c>
      <c r="L1725" s="38">
        <v>46277</v>
      </c>
      <c r="M1725" s="23" t="s">
        <v>104</v>
      </c>
      <c r="N1725" s="23" t="str">
        <f>IF(COUNTIF($A$2:A1725,A1725)&gt;1,"DUP","OK")</f>
        <v>OK</v>
      </c>
      <c r="O1725" s="23" t="str">
        <f t="shared" si="79"/>
        <v>ORD26001750</v>
      </c>
      <c r="P1725" s="23" t="str">
        <f t="shared" si="80"/>
        <v>Sep</v>
      </c>
      <c r="Q1725" s="23" t="str">
        <f>IF(F1725="CAPTURE",IF(COUNTIF(orders!$A:$A,O1725)&gt;0,"Yes","NO ORDER"),"")</f>
        <v>Yes</v>
      </c>
    </row>
    <row r="1726" spans="1:17" ht="15" customHeight="1" x14ac:dyDescent="0.3">
      <c r="A1726" s="23" t="s">
        <v>14428</v>
      </c>
      <c r="B1726" s="23"/>
      <c r="C1726" s="23" t="s">
        <v>4137</v>
      </c>
      <c r="D1726" s="23" t="str">
        <f t="shared" si="78"/>
        <v>ORD26001825</v>
      </c>
      <c r="E1726" s="38">
        <v>46275</v>
      </c>
      <c r="F1726" s="23" t="s">
        <v>12410</v>
      </c>
      <c r="G1726" s="23" t="s">
        <v>75</v>
      </c>
      <c r="H1726" s="24">
        <v>4798</v>
      </c>
      <c r="I1726" s="24">
        <v>14.39</v>
      </c>
      <c r="J1726" s="24">
        <v>2.59</v>
      </c>
      <c r="K1726" s="24">
        <v>4781.0200000000004</v>
      </c>
      <c r="L1726" s="38">
        <v>46277</v>
      </c>
      <c r="M1726" s="23" t="s">
        <v>104</v>
      </c>
      <c r="N1726" s="23" t="str">
        <f>IF(COUNTIF($A$2:A1726,A1726)&gt;1,"DUP","OK")</f>
        <v>OK</v>
      </c>
      <c r="O1726" s="23" t="str">
        <f t="shared" si="79"/>
        <v>ORD26001825</v>
      </c>
      <c r="P1726" s="23" t="str">
        <f t="shared" si="80"/>
        <v>Sep</v>
      </c>
      <c r="Q1726" s="23" t="str">
        <f>IF(F1726="CAPTURE",IF(COUNTIF(orders!$A:$A,O1726)&gt;0,"Yes","NO ORDER"),"")</f>
        <v>Yes</v>
      </c>
    </row>
    <row r="1727" spans="1:17" ht="15" customHeight="1" x14ac:dyDescent="0.3">
      <c r="A1727" s="23" t="s">
        <v>14429</v>
      </c>
      <c r="B1727" s="23"/>
      <c r="C1727" s="23" t="s">
        <v>4173</v>
      </c>
      <c r="D1727" s="23" t="str">
        <f t="shared" si="78"/>
        <v>ORD26001844</v>
      </c>
      <c r="E1727" s="38">
        <v>46275</v>
      </c>
      <c r="F1727" s="23" t="s">
        <v>12410</v>
      </c>
      <c r="G1727" s="23" t="s">
        <v>75</v>
      </c>
      <c r="H1727" s="24">
        <v>1898</v>
      </c>
      <c r="I1727" s="24">
        <v>0</v>
      </c>
      <c r="J1727" s="24">
        <v>0</v>
      </c>
      <c r="K1727" s="24">
        <v>1898</v>
      </c>
      <c r="L1727" s="38">
        <v>46277</v>
      </c>
      <c r="M1727" s="23" t="s">
        <v>104</v>
      </c>
      <c r="N1727" s="23" t="str">
        <f>IF(COUNTIF($A$2:A1727,A1727)&gt;1,"DUP","OK")</f>
        <v>OK</v>
      </c>
      <c r="O1727" s="23" t="str">
        <f t="shared" si="79"/>
        <v>ORD26001844</v>
      </c>
      <c r="P1727" s="23" t="str">
        <f t="shared" si="80"/>
        <v>Sep</v>
      </c>
      <c r="Q1727" s="23" t="str">
        <f>IF(F1727="CAPTURE",IF(COUNTIF(orders!$A:$A,O1727)&gt;0,"Yes","NO ORDER"),"")</f>
        <v>Yes</v>
      </c>
    </row>
    <row r="1728" spans="1:17" ht="15" customHeight="1" x14ac:dyDescent="0.3">
      <c r="A1728" s="23" t="s">
        <v>14430</v>
      </c>
      <c r="B1728" s="23"/>
      <c r="C1728" s="23" t="s">
        <v>4198</v>
      </c>
      <c r="D1728" s="23" t="str">
        <f t="shared" si="78"/>
        <v>ORD26001856</v>
      </c>
      <c r="E1728" s="38">
        <v>46275</v>
      </c>
      <c r="F1728" s="23" t="s">
        <v>12410</v>
      </c>
      <c r="G1728" s="23" t="s">
        <v>79</v>
      </c>
      <c r="H1728" s="24">
        <v>948</v>
      </c>
      <c r="I1728" s="24">
        <v>17.059999999999999</v>
      </c>
      <c r="J1728" s="24">
        <v>3.07</v>
      </c>
      <c r="K1728" s="24">
        <v>927.87</v>
      </c>
      <c r="L1728" s="38">
        <v>46277</v>
      </c>
      <c r="M1728" s="23" t="s">
        <v>104</v>
      </c>
      <c r="N1728" s="23" t="str">
        <f>IF(COUNTIF($A$2:A1728,A1728)&gt;1,"DUP","OK")</f>
        <v>OK</v>
      </c>
      <c r="O1728" s="23" t="str">
        <f t="shared" si="79"/>
        <v>ORD26001856</v>
      </c>
      <c r="P1728" s="23" t="str">
        <f t="shared" si="80"/>
        <v>Sep</v>
      </c>
      <c r="Q1728" s="23" t="str">
        <f>IF(F1728="CAPTURE",IF(COUNTIF(orders!$A:$A,O1728)&gt;0,"Yes","NO ORDER"),"")</f>
        <v>Yes</v>
      </c>
    </row>
    <row r="1729" spans="1:17" ht="15" customHeight="1" x14ac:dyDescent="0.3">
      <c r="A1729" s="23" t="s">
        <v>14431</v>
      </c>
      <c r="B1729" s="23"/>
      <c r="C1729" s="23" t="s">
        <v>14432</v>
      </c>
      <c r="D1729" s="23" t="str">
        <f t="shared" si="78"/>
        <v>ORD26001909</v>
      </c>
      <c r="E1729" s="38">
        <v>46275</v>
      </c>
      <c r="F1729" s="23" t="s">
        <v>12410</v>
      </c>
      <c r="G1729" s="23" t="s">
        <v>75</v>
      </c>
      <c r="H1729" s="24">
        <v>3499</v>
      </c>
      <c r="I1729" s="24">
        <v>10.5</v>
      </c>
      <c r="J1729" s="24">
        <v>1.89</v>
      </c>
      <c r="K1729" s="24">
        <v>3486.61</v>
      </c>
      <c r="L1729" s="38">
        <v>46277</v>
      </c>
      <c r="M1729" s="23" t="s">
        <v>104</v>
      </c>
      <c r="N1729" s="23" t="str">
        <f>IF(COUNTIF($A$2:A1729,A1729)&gt;1,"DUP","OK")</f>
        <v>OK</v>
      </c>
      <c r="O1729" s="23" t="str">
        <f t="shared" si="79"/>
        <v>ORD26001909</v>
      </c>
      <c r="P1729" s="23" t="str">
        <f t="shared" si="80"/>
        <v>Sep</v>
      </c>
      <c r="Q1729" s="23" t="str">
        <f>IF(F1729="CAPTURE",IF(COUNTIF(orders!$A:$A,O1729)&gt;0,"Yes","NO ORDER"),"")</f>
        <v>Yes</v>
      </c>
    </row>
    <row r="1730" spans="1:17" ht="15" customHeight="1" x14ac:dyDescent="0.3">
      <c r="A1730" s="23" t="s">
        <v>14433</v>
      </c>
      <c r="B1730" s="23"/>
      <c r="C1730" s="23" t="s">
        <v>14434</v>
      </c>
      <c r="D1730" s="23" t="str">
        <f t="shared" ref="D1730:D1793" si="81">UPPER(SUBSTITUTE(TRIM(C1730),"-",""))</f>
        <v>ORD26001924</v>
      </c>
      <c r="E1730" s="38">
        <v>46275</v>
      </c>
      <c r="F1730" s="23" t="s">
        <v>12410</v>
      </c>
      <c r="G1730" s="23" t="s">
        <v>75</v>
      </c>
      <c r="H1730" s="24">
        <v>4999</v>
      </c>
      <c r="I1730" s="24">
        <v>15</v>
      </c>
      <c r="J1730" s="24">
        <v>2.7</v>
      </c>
      <c r="K1730" s="24">
        <v>4981.3</v>
      </c>
      <c r="L1730" s="38">
        <v>46277</v>
      </c>
      <c r="M1730" s="23" t="s">
        <v>104</v>
      </c>
      <c r="N1730" s="23" t="str">
        <f>IF(COUNTIF($A$2:A1730,A1730)&gt;1,"DUP","OK")</f>
        <v>OK</v>
      </c>
      <c r="O1730" s="23" t="str">
        <f t="shared" ref="O1730:O1793" si="82">IF(F1730="REFUND",INDEX($D:$D,MATCH(B1730,$A:$A,0)),D1730)</f>
        <v>ORD26001924</v>
      </c>
      <c r="P1730" s="23" t="str">
        <f t="shared" ref="P1730:P1793" si="83">IF(L1730&gt;DATE(2026,9,30),"Oct-Due","Sep")</f>
        <v>Sep</v>
      </c>
      <c r="Q1730" s="23" t="str">
        <f>IF(F1730="CAPTURE",IF(COUNTIF(orders!$A:$A,O1730)&gt;0,"Yes","NO ORDER"),"")</f>
        <v>Yes</v>
      </c>
    </row>
    <row r="1731" spans="1:17" ht="15" customHeight="1" x14ac:dyDescent="0.3">
      <c r="A1731" s="23" t="s">
        <v>14435</v>
      </c>
      <c r="B1731" s="23"/>
      <c r="C1731" s="23" t="s">
        <v>14436</v>
      </c>
      <c r="D1731" s="23" t="str">
        <f t="shared" si="81"/>
        <v>ORD26002012</v>
      </c>
      <c r="E1731" s="38">
        <v>46275</v>
      </c>
      <c r="F1731" s="23" t="s">
        <v>12410</v>
      </c>
      <c r="G1731" s="23" t="s">
        <v>75</v>
      </c>
      <c r="H1731" s="24">
        <v>4397</v>
      </c>
      <c r="I1731" s="24">
        <v>13.19</v>
      </c>
      <c r="J1731" s="24">
        <v>2.37</v>
      </c>
      <c r="K1731" s="24">
        <v>4381.4399999999996</v>
      </c>
      <c r="L1731" s="38">
        <v>46277</v>
      </c>
      <c r="M1731" s="23" t="s">
        <v>104</v>
      </c>
      <c r="N1731" s="23" t="str">
        <f>IF(COUNTIF($A$2:A1731,A1731)&gt;1,"DUP","OK")</f>
        <v>OK</v>
      </c>
      <c r="O1731" s="23" t="str">
        <f t="shared" si="82"/>
        <v>ORD26002012</v>
      </c>
      <c r="P1731" s="23" t="str">
        <f t="shared" si="83"/>
        <v>Sep</v>
      </c>
      <c r="Q1731" s="23" t="str">
        <f>IF(F1731="CAPTURE",IF(COUNTIF(orders!$A:$A,O1731)&gt;0,"Yes","NO ORDER"),"")</f>
        <v>Yes</v>
      </c>
    </row>
    <row r="1732" spans="1:17" ht="15" customHeight="1" x14ac:dyDescent="0.3">
      <c r="A1732" s="23" t="s">
        <v>14437</v>
      </c>
      <c r="B1732" s="23"/>
      <c r="C1732" s="23" t="s">
        <v>4549</v>
      </c>
      <c r="D1732" s="23" t="str">
        <f t="shared" si="81"/>
        <v>ORD26002030</v>
      </c>
      <c r="E1732" s="38">
        <v>46275</v>
      </c>
      <c r="F1732" s="23" t="s">
        <v>12410</v>
      </c>
      <c r="G1732" s="23" t="s">
        <v>75</v>
      </c>
      <c r="H1732" s="24">
        <v>2398</v>
      </c>
      <c r="I1732" s="24">
        <v>7.19</v>
      </c>
      <c r="J1732" s="24">
        <v>1.29</v>
      </c>
      <c r="K1732" s="24">
        <v>2389.52</v>
      </c>
      <c r="L1732" s="38">
        <v>46277</v>
      </c>
      <c r="M1732" s="23" t="s">
        <v>104</v>
      </c>
      <c r="N1732" s="23" t="str">
        <f>IF(COUNTIF($A$2:A1732,A1732)&gt;1,"DUP","OK")</f>
        <v>OK</v>
      </c>
      <c r="O1732" s="23" t="str">
        <f t="shared" si="82"/>
        <v>ORD26002030</v>
      </c>
      <c r="P1732" s="23" t="str">
        <f t="shared" si="83"/>
        <v>Sep</v>
      </c>
      <c r="Q1732" s="23" t="str">
        <f>IF(F1732="CAPTURE",IF(COUNTIF(orders!$A:$A,O1732)&gt;0,"Yes","NO ORDER"),"")</f>
        <v>Yes</v>
      </c>
    </row>
    <row r="1733" spans="1:17" ht="15" customHeight="1" x14ac:dyDescent="0.3">
      <c r="A1733" s="23" t="s">
        <v>14438</v>
      </c>
      <c r="B1733" s="23"/>
      <c r="C1733" s="23" t="s">
        <v>14439</v>
      </c>
      <c r="D1733" s="23" t="str">
        <f t="shared" si="81"/>
        <v>ORD26002081</v>
      </c>
      <c r="E1733" s="38">
        <v>46275</v>
      </c>
      <c r="F1733" s="23" t="s">
        <v>12410</v>
      </c>
      <c r="G1733" s="23" t="s">
        <v>75</v>
      </c>
      <c r="H1733" s="24">
        <v>3098</v>
      </c>
      <c r="I1733" s="24">
        <v>9.2899999999999991</v>
      </c>
      <c r="J1733" s="24">
        <v>1.67</v>
      </c>
      <c r="K1733" s="24">
        <v>3087.04</v>
      </c>
      <c r="L1733" s="38">
        <v>46277</v>
      </c>
      <c r="M1733" s="23" t="s">
        <v>104</v>
      </c>
      <c r="N1733" s="23" t="str">
        <f>IF(COUNTIF($A$2:A1733,A1733)&gt;1,"DUP","OK")</f>
        <v>OK</v>
      </c>
      <c r="O1733" s="23" t="str">
        <f t="shared" si="82"/>
        <v>ORD26002081</v>
      </c>
      <c r="P1733" s="23" t="str">
        <f t="shared" si="83"/>
        <v>Sep</v>
      </c>
      <c r="Q1733" s="23" t="str">
        <f>IF(F1733="CAPTURE",IF(COUNTIF(orders!$A:$A,O1733)&gt;0,"Yes","NO ORDER"),"")</f>
        <v>Yes</v>
      </c>
    </row>
    <row r="1734" spans="1:17" ht="15" customHeight="1" x14ac:dyDescent="0.3">
      <c r="A1734" s="23" t="s">
        <v>14440</v>
      </c>
      <c r="B1734" s="23"/>
      <c r="C1734" s="23" t="s">
        <v>4774</v>
      </c>
      <c r="D1734" s="23" t="str">
        <f t="shared" si="81"/>
        <v>ORD26002142</v>
      </c>
      <c r="E1734" s="38">
        <v>46275</v>
      </c>
      <c r="F1734" s="23" t="s">
        <v>12410</v>
      </c>
      <c r="G1734" s="23" t="s">
        <v>81</v>
      </c>
      <c r="H1734" s="24">
        <v>499</v>
      </c>
      <c r="I1734" s="24">
        <v>7.49</v>
      </c>
      <c r="J1734" s="24">
        <v>1.35</v>
      </c>
      <c r="K1734" s="24">
        <v>490.16</v>
      </c>
      <c r="L1734" s="38">
        <v>46277</v>
      </c>
      <c r="M1734" s="23" t="s">
        <v>104</v>
      </c>
      <c r="N1734" s="23" t="str">
        <f>IF(COUNTIF($A$2:A1734,A1734)&gt;1,"DUP","OK")</f>
        <v>OK</v>
      </c>
      <c r="O1734" s="23" t="str">
        <f t="shared" si="82"/>
        <v>ORD26002142</v>
      </c>
      <c r="P1734" s="23" t="str">
        <f t="shared" si="83"/>
        <v>Sep</v>
      </c>
      <c r="Q1734" s="23" t="str">
        <f>IF(F1734="CAPTURE",IF(COUNTIF(orders!$A:$A,O1734)&gt;0,"Yes","NO ORDER"),"")</f>
        <v>Yes</v>
      </c>
    </row>
    <row r="1735" spans="1:17" ht="15" customHeight="1" x14ac:dyDescent="0.3">
      <c r="A1735" s="23" t="s">
        <v>14441</v>
      </c>
      <c r="B1735" s="23"/>
      <c r="C1735" s="23" t="s">
        <v>4815</v>
      </c>
      <c r="D1735" s="23" t="str">
        <f t="shared" si="81"/>
        <v>ORD26002163</v>
      </c>
      <c r="E1735" s="38">
        <v>46275</v>
      </c>
      <c r="F1735" s="23" t="s">
        <v>12410</v>
      </c>
      <c r="G1735" s="23" t="s">
        <v>75</v>
      </c>
      <c r="H1735" s="24">
        <v>1598</v>
      </c>
      <c r="I1735" s="24">
        <v>0</v>
      </c>
      <c r="J1735" s="24">
        <v>0</v>
      </c>
      <c r="K1735" s="24">
        <v>1598</v>
      </c>
      <c r="L1735" s="38">
        <v>46277</v>
      </c>
      <c r="M1735" s="23" t="s">
        <v>104</v>
      </c>
      <c r="N1735" s="23" t="str">
        <f>IF(COUNTIF($A$2:A1735,A1735)&gt;1,"DUP","OK")</f>
        <v>OK</v>
      </c>
      <c r="O1735" s="23" t="str">
        <f t="shared" si="82"/>
        <v>ORD26002163</v>
      </c>
      <c r="P1735" s="23" t="str">
        <f t="shared" si="83"/>
        <v>Sep</v>
      </c>
      <c r="Q1735" s="23" t="str">
        <f>IF(F1735="CAPTURE",IF(COUNTIF(orders!$A:$A,O1735)&gt;0,"Yes","NO ORDER"),"")</f>
        <v>Yes</v>
      </c>
    </row>
    <row r="1736" spans="1:17" ht="15" customHeight="1" x14ac:dyDescent="0.3">
      <c r="A1736" s="23" t="s">
        <v>14442</v>
      </c>
      <c r="B1736" s="23"/>
      <c r="C1736" s="23" t="s">
        <v>4839</v>
      </c>
      <c r="D1736" s="23" t="str">
        <f t="shared" si="81"/>
        <v>ORD26002175</v>
      </c>
      <c r="E1736" s="38">
        <v>46275</v>
      </c>
      <c r="F1736" s="23" t="s">
        <v>12410</v>
      </c>
      <c r="G1736" s="23" t="s">
        <v>75</v>
      </c>
      <c r="H1736" s="24">
        <v>1598</v>
      </c>
      <c r="I1736" s="24">
        <v>0</v>
      </c>
      <c r="J1736" s="24">
        <v>0</v>
      </c>
      <c r="K1736" s="24">
        <v>1598</v>
      </c>
      <c r="L1736" s="38">
        <v>46277</v>
      </c>
      <c r="M1736" s="23" t="s">
        <v>104</v>
      </c>
      <c r="N1736" s="23" t="str">
        <f>IF(COUNTIF($A$2:A1736,A1736)&gt;1,"DUP","OK")</f>
        <v>OK</v>
      </c>
      <c r="O1736" s="23" t="str">
        <f t="shared" si="82"/>
        <v>ORD26002175</v>
      </c>
      <c r="P1736" s="23" t="str">
        <f t="shared" si="83"/>
        <v>Sep</v>
      </c>
      <c r="Q1736" s="23" t="str">
        <f>IF(F1736="CAPTURE",IF(COUNTIF(orders!$A:$A,O1736)&gt;0,"Yes","NO ORDER"),"")</f>
        <v>Yes</v>
      </c>
    </row>
    <row r="1737" spans="1:17" ht="15" customHeight="1" x14ac:dyDescent="0.3">
      <c r="A1737" s="23" t="s">
        <v>14443</v>
      </c>
      <c r="B1737" s="23"/>
      <c r="C1737" s="23" t="s">
        <v>4919</v>
      </c>
      <c r="D1737" s="23" t="str">
        <f t="shared" si="81"/>
        <v>ORD26002214</v>
      </c>
      <c r="E1737" s="38">
        <v>46275</v>
      </c>
      <c r="F1737" s="23" t="s">
        <v>12410</v>
      </c>
      <c r="G1737" s="23" t="s">
        <v>79</v>
      </c>
      <c r="H1737" s="24">
        <v>2147</v>
      </c>
      <c r="I1737" s="24">
        <v>34.35</v>
      </c>
      <c r="J1737" s="24">
        <v>6.18</v>
      </c>
      <c r="K1737" s="24">
        <v>2106.4699999999998</v>
      </c>
      <c r="L1737" s="38">
        <v>46277</v>
      </c>
      <c r="M1737" s="23" t="s">
        <v>104</v>
      </c>
      <c r="N1737" s="23" t="str">
        <f>IF(COUNTIF($A$2:A1737,A1737)&gt;1,"DUP","OK")</f>
        <v>OK</v>
      </c>
      <c r="O1737" s="23" t="str">
        <f t="shared" si="82"/>
        <v>ORD26002214</v>
      </c>
      <c r="P1737" s="23" t="str">
        <f t="shared" si="83"/>
        <v>Sep</v>
      </c>
      <c r="Q1737" s="23" t="str">
        <f>IF(F1737="CAPTURE",IF(COUNTIF(orders!$A:$A,O1737)&gt;0,"Yes","NO ORDER"),"")</f>
        <v>Yes</v>
      </c>
    </row>
    <row r="1738" spans="1:17" ht="15" customHeight="1" x14ac:dyDescent="0.3">
      <c r="A1738" s="23" t="s">
        <v>14444</v>
      </c>
      <c r="B1738" s="23"/>
      <c r="C1738" s="23" t="s">
        <v>4965</v>
      </c>
      <c r="D1738" s="23" t="str">
        <f t="shared" si="81"/>
        <v>ORD26002236</v>
      </c>
      <c r="E1738" s="38">
        <v>46275</v>
      </c>
      <c r="F1738" s="23" t="s">
        <v>12410</v>
      </c>
      <c r="G1738" s="23" t="s">
        <v>75</v>
      </c>
      <c r="H1738" s="24">
        <v>3098</v>
      </c>
      <c r="I1738" s="24">
        <v>9.2899999999999991</v>
      </c>
      <c r="J1738" s="24">
        <v>1.67</v>
      </c>
      <c r="K1738" s="24">
        <v>3087.04</v>
      </c>
      <c r="L1738" s="38">
        <v>46277</v>
      </c>
      <c r="M1738" s="23" t="s">
        <v>104</v>
      </c>
      <c r="N1738" s="23" t="str">
        <f>IF(COUNTIF($A$2:A1738,A1738)&gt;1,"DUP","OK")</f>
        <v>OK</v>
      </c>
      <c r="O1738" s="23" t="str">
        <f t="shared" si="82"/>
        <v>ORD26002236</v>
      </c>
      <c r="P1738" s="23" t="str">
        <f t="shared" si="83"/>
        <v>Sep</v>
      </c>
      <c r="Q1738" s="23" t="str">
        <f>IF(F1738="CAPTURE",IF(COUNTIF(orders!$A:$A,O1738)&gt;0,"Yes","NO ORDER"),"")</f>
        <v>Yes</v>
      </c>
    </row>
    <row r="1739" spans="1:17" ht="15" customHeight="1" x14ac:dyDescent="0.3">
      <c r="A1739" s="23" t="s">
        <v>14445</v>
      </c>
      <c r="B1739" s="23"/>
      <c r="C1739" s="23" t="s">
        <v>4969</v>
      </c>
      <c r="D1739" s="23" t="str">
        <f t="shared" si="81"/>
        <v>ORD26002238</v>
      </c>
      <c r="E1739" s="38">
        <v>46275</v>
      </c>
      <c r="F1739" s="23" t="s">
        <v>12410</v>
      </c>
      <c r="G1739" s="23" t="s">
        <v>75</v>
      </c>
      <c r="H1739" s="24">
        <v>349</v>
      </c>
      <c r="I1739" s="24">
        <v>0</v>
      </c>
      <c r="J1739" s="24">
        <v>0</v>
      </c>
      <c r="K1739" s="24">
        <v>349</v>
      </c>
      <c r="L1739" s="38">
        <v>46277</v>
      </c>
      <c r="M1739" s="23" t="s">
        <v>104</v>
      </c>
      <c r="N1739" s="23" t="str">
        <f>IF(COUNTIF($A$2:A1739,A1739)&gt;1,"DUP","OK")</f>
        <v>OK</v>
      </c>
      <c r="O1739" s="23" t="str">
        <f t="shared" si="82"/>
        <v>ORD26002238</v>
      </c>
      <c r="P1739" s="23" t="str">
        <f t="shared" si="83"/>
        <v>Sep</v>
      </c>
      <c r="Q1739" s="23" t="str">
        <f>IF(F1739="CAPTURE",IF(COUNTIF(orders!$A:$A,O1739)&gt;0,"Yes","NO ORDER"),"")</f>
        <v>Yes</v>
      </c>
    </row>
    <row r="1740" spans="1:17" ht="15" customHeight="1" x14ac:dyDescent="0.3">
      <c r="A1740" s="23" t="s">
        <v>14446</v>
      </c>
      <c r="B1740" s="23"/>
      <c r="C1740" s="23" t="s">
        <v>4977</v>
      </c>
      <c r="D1740" s="23" t="str">
        <f t="shared" si="81"/>
        <v>ORD26002242</v>
      </c>
      <c r="E1740" s="38">
        <v>46275</v>
      </c>
      <c r="F1740" s="23" t="s">
        <v>12410</v>
      </c>
      <c r="G1740" s="23" t="s">
        <v>75</v>
      </c>
      <c r="H1740" s="24">
        <v>2798</v>
      </c>
      <c r="I1740" s="24">
        <v>8.39</v>
      </c>
      <c r="J1740" s="24">
        <v>1.51</v>
      </c>
      <c r="K1740" s="24">
        <v>2788.1</v>
      </c>
      <c r="L1740" s="38">
        <v>46277</v>
      </c>
      <c r="M1740" s="23" t="s">
        <v>104</v>
      </c>
      <c r="N1740" s="23" t="str">
        <f>IF(COUNTIF($A$2:A1740,A1740)&gt;1,"DUP","OK")</f>
        <v>OK</v>
      </c>
      <c r="O1740" s="23" t="str">
        <f t="shared" si="82"/>
        <v>ORD26002242</v>
      </c>
      <c r="P1740" s="23" t="str">
        <f t="shared" si="83"/>
        <v>Sep</v>
      </c>
      <c r="Q1740" s="23" t="str">
        <f>IF(F1740="CAPTURE",IF(COUNTIF(orders!$A:$A,O1740)&gt;0,"Yes","NO ORDER"),"")</f>
        <v>Yes</v>
      </c>
    </row>
    <row r="1741" spans="1:17" ht="15" customHeight="1" x14ac:dyDescent="0.3">
      <c r="A1741" s="23" t="s">
        <v>14447</v>
      </c>
      <c r="B1741" s="23"/>
      <c r="C1741" s="23" t="s">
        <v>5024</v>
      </c>
      <c r="D1741" s="23" t="str">
        <f t="shared" si="81"/>
        <v>ORD26002265</v>
      </c>
      <c r="E1741" s="38">
        <v>46275</v>
      </c>
      <c r="F1741" s="23" t="s">
        <v>12410</v>
      </c>
      <c r="G1741" s="23" t="s">
        <v>79</v>
      </c>
      <c r="H1741" s="24">
        <v>4999</v>
      </c>
      <c r="I1741" s="24">
        <v>79.98</v>
      </c>
      <c r="J1741" s="24">
        <v>14.4</v>
      </c>
      <c r="K1741" s="24">
        <v>4904.62</v>
      </c>
      <c r="L1741" s="38">
        <v>46277</v>
      </c>
      <c r="M1741" s="23" t="s">
        <v>104</v>
      </c>
      <c r="N1741" s="23" t="str">
        <f>IF(COUNTIF($A$2:A1741,A1741)&gt;1,"DUP","OK")</f>
        <v>OK</v>
      </c>
      <c r="O1741" s="23" t="str">
        <f t="shared" si="82"/>
        <v>ORD26002265</v>
      </c>
      <c r="P1741" s="23" t="str">
        <f t="shared" si="83"/>
        <v>Sep</v>
      </c>
      <c r="Q1741" s="23" t="str">
        <f>IF(F1741="CAPTURE",IF(COUNTIF(orders!$A:$A,O1741)&gt;0,"Yes","NO ORDER"),"")</f>
        <v>Yes</v>
      </c>
    </row>
    <row r="1742" spans="1:17" ht="15" customHeight="1" x14ac:dyDescent="0.3">
      <c r="A1742" s="23" t="s">
        <v>14448</v>
      </c>
      <c r="B1742" s="23"/>
      <c r="C1742" s="23" t="s">
        <v>5032</v>
      </c>
      <c r="D1742" s="23" t="str">
        <f t="shared" si="81"/>
        <v>ORD26002269</v>
      </c>
      <c r="E1742" s="38">
        <v>46275</v>
      </c>
      <c r="F1742" s="23" t="s">
        <v>12410</v>
      </c>
      <c r="G1742" s="23" t="s">
        <v>75</v>
      </c>
      <c r="H1742" s="24">
        <v>3499</v>
      </c>
      <c r="I1742" s="24">
        <v>10.5</v>
      </c>
      <c r="J1742" s="24">
        <v>1.89</v>
      </c>
      <c r="K1742" s="24">
        <v>3486.61</v>
      </c>
      <c r="L1742" s="38">
        <v>46277</v>
      </c>
      <c r="M1742" s="23" t="s">
        <v>104</v>
      </c>
      <c r="N1742" s="23" t="str">
        <f>IF(COUNTIF($A$2:A1742,A1742)&gt;1,"DUP","OK")</f>
        <v>OK</v>
      </c>
      <c r="O1742" s="23" t="str">
        <f t="shared" si="82"/>
        <v>ORD26002269</v>
      </c>
      <c r="P1742" s="23" t="str">
        <f t="shared" si="83"/>
        <v>Sep</v>
      </c>
      <c r="Q1742" s="23" t="str">
        <f>IF(F1742="CAPTURE",IF(COUNTIF(orders!$A:$A,O1742)&gt;0,"Yes","NO ORDER"),"")</f>
        <v>Yes</v>
      </c>
    </row>
    <row r="1743" spans="1:17" ht="15" customHeight="1" x14ac:dyDescent="0.3">
      <c r="A1743" s="23" t="s">
        <v>14449</v>
      </c>
      <c r="B1743" s="23"/>
      <c r="C1743" s="23" t="s">
        <v>14450</v>
      </c>
      <c r="D1743" s="23" t="str">
        <f t="shared" si="81"/>
        <v>ORD26002285</v>
      </c>
      <c r="E1743" s="38">
        <v>46275</v>
      </c>
      <c r="F1743" s="23" t="s">
        <v>12410</v>
      </c>
      <c r="G1743" s="23" t="s">
        <v>81</v>
      </c>
      <c r="H1743" s="24">
        <v>2798</v>
      </c>
      <c r="I1743" s="24">
        <v>33.58</v>
      </c>
      <c r="J1743" s="24">
        <v>6.04</v>
      </c>
      <c r="K1743" s="24">
        <v>2758.38</v>
      </c>
      <c r="L1743" s="38">
        <v>46277</v>
      </c>
      <c r="M1743" s="23" t="s">
        <v>104</v>
      </c>
      <c r="N1743" s="23" t="str">
        <f>IF(COUNTIF($A$2:A1743,A1743)&gt;1,"DUP","OK")</f>
        <v>OK</v>
      </c>
      <c r="O1743" s="23" t="str">
        <f t="shared" si="82"/>
        <v>ORD26002285</v>
      </c>
      <c r="P1743" s="23" t="str">
        <f t="shared" si="83"/>
        <v>Sep</v>
      </c>
      <c r="Q1743" s="23" t="str">
        <f>IF(F1743="CAPTURE",IF(COUNTIF(orders!$A:$A,O1743)&gt;0,"Yes","NO ORDER"),"")</f>
        <v>Yes</v>
      </c>
    </row>
    <row r="1744" spans="1:17" ht="15" customHeight="1" x14ac:dyDescent="0.3">
      <c r="A1744" s="23" t="s">
        <v>14451</v>
      </c>
      <c r="B1744" s="23"/>
      <c r="C1744" s="23" t="s">
        <v>5359</v>
      </c>
      <c r="D1744" s="23" t="str">
        <f t="shared" si="81"/>
        <v>ORD26002434</v>
      </c>
      <c r="E1744" s="38">
        <v>46275</v>
      </c>
      <c r="F1744" s="23" t="s">
        <v>12410</v>
      </c>
      <c r="G1744" s="23" t="s">
        <v>79</v>
      </c>
      <c r="H1744" s="24">
        <v>349</v>
      </c>
      <c r="I1744" s="24">
        <v>6.28</v>
      </c>
      <c r="J1744" s="24">
        <v>1.1299999999999999</v>
      </c>
      <c r="K1744" s="24">
        <v>341.59</v>
      </c>
      <c r="L1744" s="38">
        <v>46277</v>
      </c>
      <c r="M1744" s="23" t="s">
        <v>104</v>
      </c>
      <c r="N1744" s="23" t="str">
        <f>IF(COUNTIF($A$2:A1744,A1744)&gt;1,"DUP","OK")</f>
        <v>OK</v>
      </c>
      <c r="O1744" s="23" t="str">
        <f t="shared" si="82"/>
        <v>ORD26002434</v>
      </c>
      <c r="P1744" s="23" t="str">
        <f t="shared" si="83"/>
        <v>Sep</v>
      </c>
      <c r="Q1744" s="23" t="str">
        <f>IF(F1744="CAPTURE",IF(COUNTIF(orders!$A:$A,O1744)&gt;0,"Yes","NO ORDER"),"")</f>
        <v>Yes</v>
      </c>
    </row>
    <row r="1745" spans="1:17" ht="15" customHeight="1" x14ac:dyDescent="0.3">
      <c r="A1745" s="23" t="s">
        <v>14452</v>
      </c>
      <c r="B1745" s="23"/>
      <c r="C1745" s="23" t="s">
        <v>5435</v>
      </c>
      <c r="D1745" s="23" t="str">
        <f t="shared" si="81"/>
        <v>ORD26002473</v>
      </c>
      <c r="E1745" s="38">
        <v>46275</v>
      </c>
      <c r="F1745" s="23" t="s">
        <v>12410</v>
      </c>
      <c r="G1745" s="23" t="s">
        <v>77</v>
      </c>
      <c r="H1745" s="24">
        <v>7999</v>
      </c>
      <c r="I1745" s="24">
        <v>135.97999999999999</v>
      </c>
      <c r="J1745" s="24">
        <v>24.48</v>
      </c>
      <c r="K1745" s="24">
        <v>7838.54</v>
      </c>
      <c r="L1745" s="38">
        <v>46277</v>
      </c>
      <c r="M1745" s="23" t="s">
        <v>104</v>
      </c>
      <c r="N1745" s="23" t="str">
        <f>IF(COUNTIF($A$2:A1745,A1745)&gt;1,"DUP","OK")</f>
        <v>OK</v>
      </c>
      <c r="O1745" s="23" t="str">
        <f t="shared" si="82"/>
        <v>ORD26002473</v>
      </c>
      <c r="P1745" s="23" t="str">
        <f t="shared" si="83"/>
        <v>Sep</v>
      </c>
      <c r="Q1745" s="23" t="str">
        <f>IF(F1745="CAPTURE",IF(COUNTIF(orders!$A:$A,O1745)&gt;0,"Yes","NO ORDER"),"")</f>
        <v>Yes</v>
      </c>
    </row>
    <row r="1746" spans="1:17" ht="15" customHeight="1" x14ac:dyDescent="0.3">
      <c r="A1746" s="23" t="s">
        <v>14453</v>
      </c>
      <c r="B1746" s="23"/>
      <c r="C1746" s="23" t="s">
        <v>5494</v>
      </c>
      <c r="D1746" s="23" t="str">
        <f t="shared" si="81"/>
        <v>ORD26002503</v>
      </c>
      <c r="E1746" s="38">
        <v>46275</v>
      </c>
      <c r="F1746" s="23" t="s">
        <v>12410</v>
      </c>
      <c r="G1746" s="23" t="s">
        <v>77</v>
      </c>
      <c r="H1746" s="24">
        <v>1147</v>
      </c>
      <c r="I1746" s="24">
        <v>21.79</v>
      </c>
      <c r="J1746" s="24">
        <v>3.92</v>
      </c>
      <c r="K1746" s="24">
        <v>1121.29</v>
      </c>
      <c r="L1746" s="38">
        <v>46277</v>
      </c>
      <c r="M1746" s="23" t="s">
        <v>104</v>
      </c>
      <c r="N1746" s="23" t="str">
        <f>IF(COUNTIF($A$2:A1746,A1746)&gt;1,"DUP","OK")</f>
        <v>OK</v>
      </c>
      <c r="O1746" s="23" t="str">
        <f t="shared" si="82"/>
        <v>ORD26002503</v>
      </c>
      <c r="P1746" s="23" t="str">
        <f t="shared" si="83"/>
        <v>Sep</v>
      </c>
      <c r="Q1746" s="23" t="str">
        <f>IF(F1746="CAPTURE",IF(COUNTIF(orders!$A:$A,O1746)&gt;0,"Yes","NO ORDER"),"")</f>
        <v>Yes</v>
      </c>
    </row>
    <row r="1747" spans="1:17" ht="15" customHeight="1" x14ac:dyDescent="0.3">
      <c r="A1747" s="23" t="s">
        <v>14454</v>
      </c>
      <c r="B1747" s="23"/>
      <c r="C1747" s="23" t="s">
        <v>5641</v>
      </c>
      <c r="D1747" s="23" t="str">
        <f t="shared" si="81"/>
        <v>ORD26002574</v>
      </c>
      <c r="E1747" s="38">
        <v>46275</v>
      </c>
      <c r="F1747" s="23" t="s">
        <v>12410</v>
      </c>
      <c r="G1747" s="23" t="s">
        <v>75</v>
      </c>
      <c r="H1747" s="24">
        <v>1798</v>
      </c>
      <c r="I1747" s="24">
        <v>0</v>
      </c>
      <c r="J1747" s="24">
        <v>0</v>
      </c>
      <c r="K1747" s="24">
        <v>1798</v>
      </c>
      <c r="L1747" s="38">
        <v>46277</v>
      </c>
      <c r="M1747" s="23" t="s">
        <v>104</v>
      </c>
      <c r="N1747" s="23" t="str">
        <f>IF(COUNTIF($A$2:A1747,A1747)&gt;1,"DUP","OK")</f>
        <v>OK</v>
      </c>
      <c r="O1747" s="23" t="str">
        <f t="shared" si="82"/>
        <v>ORD26002574</v>
      </c>
      <c r="P1747" s="23" t="str">
        <f t="shared" si="83"/>
        <v>Sep</v>
      </c>
      <c r="Q1747" s="23" t="str">
        <f>IF(F1747="CAPTURE",IF(COUNTIF(orders!$A:$A,O1747)&gt;0,"Yes","NO ORDER"),"")</f>
        <v>Yes</v>
      </c>
    </row>
    <row r="1748" spans="1:17" ht="15" customHeight="1" x14ac:dyDescent="0.3">
      <c r="A1748" s="23" t="s">
        <v>14455</v>
      </c>
      <c r="B1748" s="23"/>
      <c r="C1748" s="23" t="s">
        <v>5705</v>
      </c>
      <c r="D1748" s="23" t="str">
        <f t="shared" si="81"/>
        <v>ORD26002606</v>
      </c>
      <c r="E1748" s="38">
        <v>46275</v>
      </c>
      <c r="F1748" s="23" t="s">
        <v>12410</v>
      </c>
      <c r="G1748" s="23" t="s">
        <v>79</v>
      </c>
      <c r="H1748" s="24">
        <v>11297</v>
      </c>
      <c r="I1748" s="24">
        <v>180.75</v>
      </c>
      <c r="J1748" s="24">
        <v>32.54</v>
      </c>
      <c r="K1748" s="24">
        <v>11083.71</v>
      </c>
      <c r="L1748" s="38">
        <v>46277</v>
      </c>
      <c r="M1748" s="23" t="s">
        <v>104</v>
      </c>
      <c r="N1748" s="23" t="str">
        <f>IF(COUNTIF($A$2:A1748,A1748)&gt;1,"DUP","OK")</f>
        <v>OK</v>
      </c>
      <c r="O1748" s="23" t="str">
        <f t="shared" si="82"/>
        <v>ORD26002606</v>
      </c>
      <c r="P1748" s="23" t="str">
        <f t="shared" si="83"/>
        <v>Sep</v>
      </c>
      <c r="Q1748" s="23" t="str">
        <f>IF(F1748="CAPTURE",IF(COUNTIF(orders!$A:$A,O1748)&gt;0,"Yes","NO ORDER"),"")</f>
        <v>Yes</v>
      </c>
    </row>
    <row r="1749" spans="1:17" ht="15" customHeight="1" x14ac:dyDescent="0.3">
      <c r="A1749" s="23" t="s">
        <v>14456</v>
      </c>
      <c r="B1749" s="23"/>
      <c r="C1749" s="23" t="s">
        <v>5796</v>
      </c>
      <c r="D1749" s="23" t="str">
        <f t="shared" si="81"/>
        <v>ORD26002651</v>
      </c>
      <c r="E1749" s="38">
        <v>46275</v>
      </c>
      <c r="F1749" s="23" t="s">
        <v>12410</v>
      </c>
      <c r="G1749" s="23" t="s">
        <v>75</v>
      </c>
      <c r="H1749" s="24">
        <v>10847</v>
      </c>
      <c r="I1749" s="24">
        <v>32.54</v>
      </c>
      <c r="J1749" s="24">
        <v>5.86</v>
      </c>
      <c r="K1749" s="24">
        <v>10808.6</v>
      </c>
      <c r="L1749" s="38">
        <v>46277</v>
      </c>
      <c r="M1749" s="23" t="s">
        <v>104</v>
      </c>
      <c r="N1749" s="23" t="str">
        <f>IF(COUNTIF($A$2:A1749,A1749)&gt;1,"DUP","OK")</f>
        <v>OK</v>
      </c>
      <c r="O1749" s="23" t="str">
        <f t="shared" si="82"/>
        <v>ORD26002651</v>
      </c>
      <c r="P1749" s="23" t="str">
        <f t="shared" si="83"/>
        <v>Sep</v>
      </c>
      <c r="Q1749" s="23" t="str">
        <f>IF(F1749="CAPTURE",IF(COUNTIF(orders!$A:$A,O1749)&gt;0,"Yes","NO ORDER"),"")</f>
        <v>Yes</v>
      </c>
    </row>
    <row r="1750" spans="1:17" ht="15" customHeight="1" x14ac:dyDescent="0.3">
      <c r="A1750" s="23" t="s">
        <v>14457</v>
      </c>
      <c r="B1750" s="23"/>
      <c r="C1750" s="23" t="s">
        <v>5826</v>
      </c>
      <c r="D1750" s="23" t="str">
        <f t="shared" si="81"/>
        <v>ORD26002665</v>
      </c>
      <c r="E1750" s="38">
        <v>46275</v>
      </c>
      <c r="F1750" s="23" t="s">
        <v>12410</v>
      </c>
      <c r="G1750" s="23" t="s">
        <v>79</v>
      </c>
      <c r="H1750" s="24">
        <v>799</v>
      </c>
      <c r="I1750" s="24">
        <v>14.38</v>
      </c>
      <c r="J1750" s="24">
        <v>2.59</v>
      </c>
      <c r="K1750" s="24">
        <v>782.03</v>
      </c>
      <c r="L1750" s="38">
        <v>46277</v>
      </c>
      <c r="M1750" s="23" t="s">
        <v>104</v>
      </c>
      <c r="N1750" s="23" t="str">
        <f>IF(COUNTIF($A$2:A1750,A1750)&gt;1,"DUP","OK")</f>
        <v>OK</v>
      </c>
      <c r="O1750" s="23" t="str">
        <f t="shared" si="82"/>
        <v>ORD26002665</v>
      </c>
      <c r="P1750" s="23" t="str">
        <f t="shared" si="83"/>
        <v>Sep</v>
      </c>
      <c r="Q1750" s="23" t="str">
        <f>IF(F1750="CAPTURE",IF(COUNTIF(orders!$A:$A,O1750)&gt;0,"Yes","NO ORDER"),"")</f>
        <v>Yes</v>
      </c>
    </row>
    <row r="1751" spans="1:17" ht="15" customHeight="1" x14ac:dyDescent="0.3">
      <c r="A1751" s="23" t="s">
        <v>14458</v>
      </c>
      <c r="B1751" s="23"/>
      <c r="C1751" s="23" t="s">
        <v>5964</v>
      </c>
      <c r="D1751" s="23" t="str">
        <f t="shared" si="81"/>
        <v>ORD26002734</v>
      </c>
      <c r="E1751" s="38">
        <v>46275</v>
      </c>
      <c r="F1751" s="23" t="s">
        <v>12410</v>
      </c>
      <c r="G1751" s="23" t="s">
        <v>81</v>
      </c>
      <c r="H1751" s="24">
        <v>349</v>
      </c>
      <c r="I1751" s="24">
        <v>5.24</v>
      </c>
      <c r="J1751" s="24">
        <v>0.94</v>
      </c>
      <c r="K1751" s="24">
        <v>342.82</v>
      </c>
      <c r="L1751" s="38">
        <v>46277</v>
      </c>
      <c r="M1751" s="23" t="s">
        <v>104</v>
      </c>
      <c r="N1751" s="23" t="str">
        <f>IF(COUNTIF($A$2:A1751,A1751)&gt;1,"DUP","OK")</f>
        <v>OK</v>
      </c>
      <c r="O1751" s="23" t="str">
        <f t="shared" si="82"/>
        <v>ORD26002734</v>
      </c>
      <c r="P1751" s="23" t="str">
        <f t="shared" si="83"/>
        <v>Sep</v>
      </c>
      <c r="Q1751" s="23" t="str">
        <f>IF(F1751="CAPTURE",IF(COUNTIF(orders!$A:$A,O1751)&gt;0,"Yes","NO ORDER"),"")</f>
        <v>Yes</v>
      </c>
    </row>
    <row r="1752" spans="1:17" ht="15" customHeight="1" x14ac:dyDescent="0.3">
      <c r="A1752" s="23" t="s">
        <v>14459</v>
      </c>
      <c r="B1752" s="23"/>
      <c r="C1752" s="23" t="s">
        <v>6048</v>
      </c>
      <c r="D1752" s="23" t="str">
        <f t="shared" si="81"/>
        <v>ORD26002775</v>
      </c>
      <c r="E1752" s="38">
        <v>46275</v>
      </c>
      <c r="F1752" s="23" t="s">
        <v>12410</v>
      </c>
      <c r="G1752" s="23" t="s">
        <v>75</v>
      </c>
      <c r="H1752" s="24">
        <v>1898</v>
      </c>
      <c r="I1752" s="24">
        <v>0</v>
      </c>
      <c r="J1752" s="24">
        <v>0</v>
      </c>
      <c r="K1752" s="24">
        <v>1898</v>
      </c>
      <c r="L1752" s="38">
        <v>46277</v>
      </c>
      <c r="M1752" s="23" t="s">
        <v>104</v>
      </c>
      <c r="N1752" s="23" t="str">
        <f>IF(COUNTIF($A$2:A1752,A1752)&gt;1,"DUP","OK")</f>
        <v>OK</v>
      </c>
      <c r="O1752" s="23" t="str">
        <f t="shared" si="82"/>
        <v>ORD26002775</v>
      </c>
      <c r="P1752" s="23" t="str">
        <f t="shared" si="83"/>
        <v>Sep</v>
      </c>
      <c r="Q1752" s="23" t="str">
        <f>IF(F1752="CAPTURE",IF(COUNTIF(orders!$A:$A,O1752)&gt;0,"Yes","NO ORDER"),"")</f>
        <v>Yes</v>
      </c>
    </row>
    <row r="1753" spans="1:17" ht="15" customHeight="1" x14ac:dyDescent="0.3">
      <c r="A1753" s="23" t="s">
        <v>14460</v>
      </c>
      <c r="B1753" s="23"/>
      <c r="C1753" s="23" t="s">
        <v>6128</v>
      </c>
      <c r="D1753" s="23" t="str">
        <f t="shared" si="81"/>
        <v>ORD26002815</v>
      </c>
      <c r="E1753" s="38">
        <v>46275</v>
      </c>
      <c r="F1753" s="23" t="s">
        <v>12410</v>
      </c>
      <c r="G1753" s="23" t="s">
        <v>77</v>
      </c>
      <c r="H1753" s="24">
        <v>18497</v>
      </c>
      <c r="I1753" s="24">
        <v>314.45</v>
      </c>
      <c r="J1753" s="24">
        <v>56.6</v>
      </c>
      <c r="K1753" s="24">
        <v>18125.95</v>
      </c>
      <c r="L1753" s="38">
        <v>46277</v>
      </c>
      <c r="M1753" s="23" t="s">
        <v>104</v>
      </c>
      <c r="N1753" s="23" t="str">
        <f>IF(COUNTIF($A$2:A1753,A1753)&gt;1,"DUP","OK")</f>
        <v>OK</v>
      </c>
      <c r="O1753" s="23" t="str">
        <f t="shared" si="82"/>
        <v>ORD26002815</v>
      </c>
      <c r="P1753" s="23" t="str">
        <f t="shared" si="83"/>
        <v>Sep</v>
      </c>
      <c r="Q1753" s="23" t="str">
        <f>IF(F1753="CAPTURE",IF(COUNTIF(orders!$A:$A,O1753)&gt;0,"Yes","NO ORDER"),"")</f>
        <v>Yes</v>
      </c>
    </row>
    <row r="1754" spans="1:17" ht="15" customHeight="1" x14ac:dyDescent="0.3">
      <c r="A1754" s="23" t="s">
        <v>14461</v>
      </c>
      <c r="B1754" s="23"/>
      <c r="C1754" s="23" t="s">
        <v>6308</v>
      </c>
      <c r="D1754" s="23" t="str">
        <f t="shared" si="81"/>
        <v>ORD26002907</v>
      </c>
      <c r="E1754" s="38">
        <v>46275</v>
      </c>
      <c r="F1754" s="23" t="s">
        <v>12410</v>
      </c>
      <c r="G1754" s="23" t="s">
        <v>81</v>
      </c>
      <c r="H1754" s="24">
        <v>2597</v>
      </c>
      <c r="I1754" s="24">
        <v>31.16</v>
      </c>
      <c r="J1754" s="24">
        <v>5.61</v>
      </c>
      <c r="K1754" s="24">
        <v>2560.23</v>
      </c>
      <c r="L1754" s="38">
        <v>46277</v>
      </c>
      <c r="M1754" s="23" t="s">
        <v>104</v>
      </c>
      <c r="N1754" s="23" t="str">
        <f>IF(COUNTIF($A$2:A1754,A1754)&gt;1,"DUP","OK")</f>
        <v>OK</v>
      </c>
      <c r="O1754" s="23" t="str">
        <f t="shared" si="82"/>
        <v>ORD26002907</v>
      </c>
      <c r="P1754" s="23" t="str">
        <f t="shared" si="83"/>
        <v>Sep</v>
      </c>
      <c r="Q1754" s="23" t="str">
        <f>IF(F1754="CAPTURE",IF(COUNTIF(orders!$A:$A,O1754)&gt;0,"Yes","NO ORDER"),"")</f>
        <v>Yes</v>
      </c>
    </row>
    <row r="1755" spans="1:17" ht="15" customHeight="1" x14ac:dyDescent="0.3">
      <c r="A1755" s="23" t="s">
        <v>14462</v>
      </c>
      <c r="B1755" s="23"/>
      <c r="C1755" s="23" t="s">
        <v>6434</v>
      </c>
      <c r="D1755" s="23" t="str">
        <f t="shared" si="81"/>
        <v>ORD26002969</v>
      </c>
      <c r="E1755" s="38">
        <v>46275</v>
      </c>
      <c r="F1755" s="23" t="s">
        <v>12410</v>
      </c>
      <c r="G1755" s="23" t="s">
        <v>79</v>
      </c>
      <c r="H1755" s="24">
        <v>299</v>
      </c>
      <c r="I1755" s="24">
        <v>5.38</v>
      </c>
      <c r="J1755" s="24">
        <v>0.97</v>
      </c>
      <c r="K1755" s="24">
        <v>292.64999999999998</v>
      </c>
      <c r="L1755" s="38">
        <v>46277</v>
      </c>
      <c r="M1755" s="23" t="s">
        <v>104</v>
      </c>
      <c r="N1755" s="23" t="str">
        <f>IF(COUNTIF($A$2:A1755,A1755)&gt;1,"DUP","OK")</f>
        <v>OK</v>
      </c>
      <c r="O1755" s="23" t="str">
        <f t="shared" si="82"/>
        <v>ORD26002969</v>
      </c>
      <c r="P1755" s="23" t="str">
        <f t="shared" si="83"/>
        <v>Sep</v>
      </c>
      <c r="Q1755" s="23" t="str">
        <f>IF(F1755="CAPTURE",IF(COUNTIF(orders!$A:$A,O1755)&gt;0,"Yes","NO ORDER"),"")</f>
        <v>Yes</v>
      </c>
    </row>
    <row r="1756" spans="1:17" ht="15" customHeight="1" x14ac:dyDescent="0.3">
      <c r="A1756" s="23" t="s">
        <v>14463</v>
      </c>
      <c r="B1756" s="23"/>
      <c r="C1756" s="23" t="s">
        <v>14464</v>
      </c>
      <c r="D1756" s="23" t="str">
        <f t="shared" si="81"/>
        <v>ORD26002993</v>
      </c>
      <c r="E1756" s="38">
        <v>46275</v>
      </c>
      <c r="F1756" s="23" t="s">
        <v>12410</v>
      </c>
      <c r="G1756" s="23" t="s">
        <v>75</v>
      </c>
      <c r="H1756" s="24">
        <v>3897</v>
      </c>
      <c r="I1756" s="24">
        <v>11.69</v>
      </c>
      <c r="J1756" s="24">
        <v>2.1</v>
      </c>
      <c r="K1756" s="24">
        <v>3883.21</v>
      </c>
      <c r="L1756" s="38">
        <v>46277</v>
      </c>
      <c r="M1756" s="23" t="s">
        <v>104</v>
      </c>
      <c r="N1756" s="23" t="str">
        <f>IF(COUNTIF($A$2:A1756,A1756)&gt;1,"DUP","OK")</f>
        <v>OK</v>
      </c>
      <c r="O1756" s="23" t="str">
        <f t="shared" si="82"/>
        <v>ORD26002993</v>
      </c>
      <c r="P1756" s="23" t="str">
        <f t="shared" si="83"/>
        <v>Sep</v>
      </c>
      <c r="Q1756" s="23" t="str">
        <f>IF(F1756="CAPTURE",IF(COUNTIF(orders!$A:$A,O1756)&gt;0,"Yes","NO ORDER"),"")</f>
        <v>Yes</v>
      </c>
    </row>
    <row r="1757" spans="1:17" ht="15" customHeight="1" x14ac:dyDescent="0.3">
      <c r="A1757" s="23" t="s">
        <v>14465</v>
      </c>
      <c r="B1757" s="23"/>
      <c r="C1757" s="23" t="s">
        <v>6554</v>
      </c>
      <c r="D1757" s="23" t="str">
        <f t="shared" si="81"/>
        <v>ORD26003030</v>
      </c>
      <c r="E1757" s="38">
        <v>46275</v>
      </c>
      <c r="F1757" s="23" t="s">
        <v>12410</v>
      </c>
      <c r="G1757" s="23" t="s">
        <v>79</v>
      </c>
      <c r="H1757" s="24">
        <v>1499</v>
      </c>
      <c r="I1757" s="24">
        <v>26.98</v>
      </c>
      <c r="J1757" s="24">
        <v>4.8600000000000003</v>
      </c>
      <c r="K1757" s="24">
        <v>1467.16</v>
      </c>
      <c r="L1757" s="38">
        <v>46277</v>
      </c>
      <c r="M1757" s="23" t="s">
        <v>104</v>
      </c>
      <c r="N1757" s="23" t="str">
        <f>IF(COUNTIF($A$2:A1757,A1757)&gt;1,"DUP","OK")</f>
        <v>OK</v>
      </c>
      <c r="O1757" s="23" t="str">
        <f t="shared" si="82"/>
        <v>ORD26003030</v>
      </c>
      <c r="P1757" s="23" t="str">
        <f t="shared" si="83"/>
        <v>Sep</v>
      </c>
      <c r="Q1757" s="23" t="str">
        <f>IF(F1757="CAPTURE",IF(COUNTIF(orders!$A:$A,O1757)&gt;0,"Yes","NO ORDER"),"")</f>
        <v>Yes</v>
      </c>
    </row>
    <row r="1758" spans="1:17" ht="15" customHeight="1" x14ac:dyDescent="0.3">
      <c r="A1758" s="23" t="s">
        <v>14466</v>
      </c>
      <c r="B1758" s="23"/>
      <c r="C1758" s="23" t="s">
        <v>6595</v>
      </c>
      <c r="D1758" s="23" t="str">
        <f t="shared" si="81"/>
        <v>ORD26003051</v>
      </c>
      <c r="E1758" s="38">
        <v>46275</v>
      </c>
      <c r="F1758" s="23" t="s">
        <v>12410</v>
      </c>
      <c r="G1758" s="23" t="s">
        <v>75</v>
      </c>
      <c r="H1758" s="24">
        <v>799</v>
      </c>
      <c r="I1758" s="24">
        <v>0</v>
      </c>
      <c r="J1758" s="24">
        <v>0</v>
      </c>
      <c r="K1758" s="24">
        <v>799</v>
      </c>
      <c r="L1758" s="38">
        <v>46277</v>
      </c>
      <c r="M1758" s="23" t="s">
        <v>104</v>
      </c>
      <c r="N1758" s="23" t="str">
        <f>IF(COUNTIF($A$2:A1758,A1758)&gt;1,"DUP","OK")</f>
        <v>OK</v>
      </c>
      <c r="O1758" s="23" t="str">
        <f t="shared" si="82"/>
        <v>ORD26003051</v>
      </c>
      <c r="P1758" s="23" t="str">
        <f t="shared" si="83"/>
        <v>Sep</v>
      </c>
      <c r="Q1758" s="23" t="str">
        <f>IF(F1758="CAPTURE",IF(COUNTIF(orders!$A:$A,O1758)&gt;0,"Yes","NO ORDER"),"")</f>
        <v>Yes</v>
      </c>
    </row>
    <row r="1759" spans="1:17" ht="15" customHeight="1" x14ac:dyDescent="0.3">
      <c r="A1759" s="23" t="s">
        <v>14467</v>
      </c>
      <c r="B1759" s="23"/>
      <c r="C1759" s="23" t="s">
        <v>6638</v>
      </c>
      <c r="D1759" s="23" t="str">
        <f t="shared" si="81"/>
        <v>ORD26003071</v>
      </c>
      <c r="E1759" s="38">
        <v>46275</v>
      </c>
      <c r="F1759" s="23" t="s">
        <v>12410</v>
      </c>
      <c r="G1759" s="23" t="s">
        <v>81</v>
      </c>
      <c r="H1759" s="24">
        <v>799</v>
      </c>
      <c r="I1759" s="24">
        <v>11.99</v>
      </c>
      <c r="J1759" s="24">
        <v>2.16</v>
      </c>
      <c r="K1759" s="24">
        <v>784.85</v>
      </c>
      <c r="L1759" s="38">
        <v>46277</v>
      </c>
      <c r="M1759" s="23" t="s">
        <v>104</v>
      </c>
      <c r="N1759" s="23" t="str">
        <f>IF(COUNTIF($A$2:A1759,A1759)&gt;1,"DUP","OK")</f>
        <v>OK</v>
      </c>
      <c r="O1759" s="23" t="str">
        <f t="shared" si="82"/>
        <v>ORD26003071</v>
      </c>
      <c r="P1759" s="23" t="str">
        <f t="shared" si="83"/>
        <v>Sep</v>
      </c>
      <c r="Q1759" s="23" t="str">
        <f>IF(F1759="CAPTURE",IF(COUNTIF(orders!$A:$A,O1759)&gt;0,"Yes","NO ORDER"),"")</f>
        <v>Yes</v>
      </c>
    </row>
    <row r="1760" spans="1:17" ht="15" customHeight="1" x14ac:dyDescent="0.3">
      <c r="A1760" s="23" t="s">
        <v>14468</v>
      </c>
      <c r="B1760" s="23"/>
      <c r="C1760" s="23" t="s">
        <v>6664</v>
      </c>
      <c r="D1760" s="23" t="str">
        <f t="shared" si="81"/>
        <v>ORD26003084</v>
      </c>
      <c r="E1760" s="38">
        <v>46275</v>
      </c>
      <c r="F1760" s="23" t="s">
        <v>12410</v>
      </c>
      <c r="G1760" s="23" t="s">
        <v>81</v>
      </c>
      <c r="H1760" s="24">
        <v>999</v>
      </c>
      <c r="I1760" s="24">
        <v>14.99</v>
      </c>
      <c r="J1760" s="24">
        <v>2.7</v>
      </c>
      <c r="K1760" s="24">
        <v>981.31</v>
      </c>
      <c r="L1760" s="38">
        <v>46277</v>
      </c>
      <c r="M1760" s="23" t="s">
        <v>104</v>
      </c>
      <c r="N1760" s="23" t="str">
        <f>IF(COUNTIF($A$2:A1760,A1760)&gt;1,"DUP","OK")</f>
        <v>OK</v>
      </c>
      <c r="O1760" s="23" t="str">
        <f t="shared" si="82"/>
        <v>ORD26003084</v>
      </c>
      <c r="P1760" s="23" t="str">
        <f t="shared" si="83"/>
        <v>Sep</v>
      </c>
      <c r="Q1760" s="23" t="str">
        <f>IF(F1760="CAPTURE",IF(COUNTIF(orders!$A:$A,O1760)&gt;0,"Yes","NO ORDER"),"")</f>
        <v>Yes</v>
      </c>
    </row>
    <row r="1761" spans="1:17" ht="15" customHeight="1" x14ac:dyDescent="0.3">
      <c r="A1761" s="23" t="s">
        <v>14469</v>
      </c>
      <c r="B1761" s="23"/>
      <c r="C1761" s="23" t="s">
        <v>6701</v>
      </c>
      <c r="D1761" s="23" t="str">
        <f t="shared" si="81"/>
        <v>ORD26003102</v>
      </c>
      <c r="E1761" s="38">
        <v>46275</v>
      </c>
      <c r="F1761" s="23" t="s">
        <v>12410</v>
      </c>
      <c r="G1761" s="23" t="s">
        <v>79</v>
      </c>
      <c r="H1761" s="24">
        <v>999</v>
      </c>
      <c r="I1761" s="24">
        <v>17.98</v>
      </c>
      <c r="J1761" s="24">
        <v>3.24</v>
      </c>
      <c r="K1761" s="24">
        <v>977.78</v>
      </c>
      <c r="L1761" s="38">
        <v>46277</v>
      </c>
      <c r="M1761" s="23" t="s">
        <v>104</v>
      </c>
      <c r="N1761" s="23" t="str">
        <f>IF(COUNTIF($A$2:A1761,A1761)&gt;1,"DUP","OK")</f>
        <v>OK</v>
      </c>
      <c r="O1761" s="23" t="str">
        <f t="shared" si="82"/>
        <v>ORD26003102</v>
      </c>
      <c r="P1761" s="23" t="str">
        <f t="shared" si="83"/>
        <v>Sep</v>
      </c>
      <c r="Q1761" s="23" t="str">
        <f>IF(F1761="CAPTURE",IF(COUNTIF(orders!$A:$A,O1761)&gt;0,"Yes","NO ORDER"),"")</f>
        <v>Yes</v>
      </c>
    </row>
    <row r="1762" spans="1:17" ht="15" customHeight="1" x14ac:dyDescent="0.3">
      <c r="A1762" s="23" t="s">
        <v>14470</v>
      </c>
      <c r="B1762" s="23"/>
      <c r="C1762" s="23" t="s">
        <v>6815</v>
      </c>
      <c r="D1762" s="23" t="str">
        <f t="shared" si="81"/>
        <v>ORD26003159</v>
      </c>
      <c r="E1762" s="38">
        <v>46275</v>
      </c>
      <c r="F1762" s="23" t="s">
        <v>12410</v>
      </c>
      <c r="G1762" s="23" t="s">
        <v>75</v>
      </c>
      <c r="H1762" s="24">
        <v>599</v>
      </c>
      <c r="I1762" s="24">
        <v>0</v>
      </c>
      <c r="J1762" s="24">
        <v>0</v>
      </c>
      <c r="K1762" s="24">
        <v>599</v>
      </c>
      <c r="L1762" s="38">
        <v>46277</v>
      </c>
      <c r="M1762" s="23" t="s">
        <v>104</v>
      </c>
      <c r="N1762" s="23" t="str">
        <f>IF(COUNTIF($A$2:A1762,A1762)&gt;1,"DUP","OK")</f>
        <v>OK</v>
      </c>
      <c r="O1762" s="23" t="str">
        <f t="shared" si="82"/>
        <v>ORD26003159</v>
      </c>
      <c r="P1762" s="23" t="str">
        <f t="shared" si="83"/>
        <v>Sep</v>
      </c>
      <c r="Q1762" s="23" t="str">
        <f>IF(F1762="CAPTURE",IF(COUNTIF(orders!$A:$A,O1762)&gt;0,"Yes","NO ORDER"),"")</f>
        <v>Yes</v>
      </c>
    </row>
    <row r="1763" spans="1:17" ht="15" customHeight="1" x14ac:dyDescent="0.3">
      <c r="A1763" s="23" t="s">
        <v>14471</v>
      </c>
      <c r="B1763" s="23"/>
      <c r="C1763" s="23" t="s">
        <v>6847</v>
      </c>
      <c r="D1763" s="23" t="str">
        <f t="shared" si="81"/>
        <v>ORD26003175</v>
      </c>
      <c r="E1763" s="38">
        <v>46275</v>
      </c>
      <c r="F1763" s="23" t="s">
        <v>12410</v>
      </c>
      <c r="G1763" s="23" t="s">
        <v>77</v>
      </c>
      <c r="H1763" s="24">
        <v>1897</v>
      </c>
      <c r="I1763" s="24">
        <v>36.04</v>
      </c>
      <c r="J1763" s="24">
        <v>6.49</v>
      </c>
      <c r="K1763" s="24">
        <v>1854.47</v>
      </c>
      <c r="L1763" s="38">
        <v>46277</v>
      </c>
      <c r="M1763" s="23" t="s">
        <v>104</v>
      </c>
      <c r="N1763" s="23" t="str">
        <f>IF(COUNTIF($A$2:A1763,A1763)&gt;1,"DUP","OK")</f>
        <v>OK</v>
      </c>
      <c r="O1763" s="23" t="str">
        <f t="shared" si="82"/>
        <v>ORD26003175</v>
      </c>
      <c r="P1763" s="23" t="str">
        <f t="shared" si="83"/>
        <v>Sep</v>
      </c>
      <c r="Q1763" s="23" t="str">
        <f>IF(F1763="CAPTURE",IF(COUNTIF(orders!$A:$A,O1763)&gt;0,"Yes","NO ORDER"),"")</f>
        <v>Yes</v>
      </c>
    </row>
    <row r="1764" spans="1:17" ht="15" customHeight="1" x14ac:dyDescent="0.3">
      <c r="A1764" s="23" t="s">
        <v>14472</v>
      </c>
      <c r="B1764" s="23"/>
      <c r="C1764" s="23" t="s">
        <v>6855</v>
      </c>
      <c r="D1764" s="23" t="str">
        <f t="shared" si="81"/>
        <v>ORD26003179</v>
      </c>
      <c r="E1764" s="38">
        <v>46275</v>
      </c>
      <c r="F1764" s="23" t="s">
        <v>12410</v>
      </c>
      <c r="G1764" s="23" t="s">
        <v>81</v>
      </c>
      <c r="H1764" s="24">
        <v>999</v>
      </c>
      <c r="I1764" s="24">
        <v>14.99</v>
      </c>
      <c r="J1764" s="24">
        <v>2.7</v>
      </c>
      <c r="K1764" s="24">
        <v>981.31</v>
      </c>
      <c r="L1764" s="38">
        <v>46277</v>
      </c>
      <c r="M1764" s="23" t="s">
        <v>104</v>
      </c>
      <c r="N1764" s="23" t="str">
        <f>IF(COUNTIF($A$2:A1764,A1764)&gt;1,"DUP","OK")</f>
        <v>OK</v>
      </c>
      <c r="O1764" s="23" t="str">
        <f t="shared" si="82"/>
        <v>ORD26003179</v>
      </c>
      <c r="P1764" s="23" t="str">
        <f t="shared" si="83"/>
        <v>Sep</v>
      </c>
      <c r="Q1764" s="23" t="str">
        <f>IF(F1764="CAPTURE",IF(COUNTIF(orders!$A:$A,O1764)&gt;0,"Yes","NO ORDER"),"")</f>
        <v>Yes</v>
      </c>
    </row>
    <row r="1765" spans="1:17" ht="15" customHeight="1" x14ac:dyDescent="0.3">
      <c r="A1765" s="23" t="s">
        <v>14473</v>
      </c>
      <c r="B1765" s="23"/>
      <c r="C1765" s="23" t="s">
        <v>6894</v>
      </c>
      <c r="D1765" s="23" t="str">
        <f t="shared" si="81"/>
        <v>ORD26003198</v>
      </c>
      <c r="E1765" s="38">
        <v>46275</v>
      </c>
      <c r="F1765" s="23" t="s">
        <v>12410</v>
      </c>
      <c r="G1765" s="23" t="s">
        <v>79</v>
      </c>
      <c r="H1765" s="24">
        <v>9798</v>
      </c>
      <c r="I1765" s="24">
        <v>156.77000000000001</v>
      </c>
      <c r="J1765" s="24">
        <v>28.22</v>
      </c>
      <c r="K1765" s="24">
        <v>9613.01</v>
      </c>
      <c r="L1765" s="38">
        <v>46277</v>
      </c>
      <c r="M1765" s="23" t="s">
        <v>104</v>
      </c>
      <c r="N1765" s="23" t="str">
        <f>IF(COUNTIF($A$2:A1765,A1765)&gt;1,"DUP","OK")</f>
        <v>OK</v>
      </c>
      <c r="O1765" s="23" t="str">
        <f t="shared" si="82"/>
        <v>ORD26003198</v>
      </c>
      <c r="P1765" s="23" t="str">
        <f t="shared" si="83"/>
        <v>Sep</v>
      </c>
      <c r="Q1765" s="23" t="str">
        <f>IF(F1765="CAPTURE",IF(COUNTIF(orders!$A:$A,O1765)&gt;0,"Yes","NO ORDER"),"")</f>
        <v>Yes</v>
      </c>
    </row>
    <row r="1766" spans="1:17" ht="15" customHeight="1" x14ac:dyDescent="0.3">
      <c r="A1766" s="23" t="s">
        <v>14474</v>
      </c>
      <c r="B1766" s="23"/>
      <c r="C1766" s="23" t="s">
        <v>6931</v>
      </c>
      <c r="D1766" s="23" t="str">
        <f t="shared" si="81"/>
        <v>ORD26003217</v>
      </c>
      <c r="E1766" s="38">
        <v>46275</v>
      </c>
      <c r="F1766" s="23" t="s">
        <v>12410</v>
      </c>
      <c r="G1766" s="23" t="s">
        <v>81</v>
      </c>
      <c r="H1766" s="24">
        <v>4999</v>
      </c>
      <c r="I1766" s="24">
        <v>59.99</v>
      </c>
      <c r="J1766" s="24">
        <v>10.8</v>
      </c>
      <c r="K1766" s="24">
        <v>4928.21</v>
      </c>
      <c r="L1766" s="38">
        <v>46277</v>
      </c>
      <c r="M1766" s="23" t="s">
        <v>104</v>
      </c>
      <c r="N1766" s="23" t="str">
        <f>IF(COUNTIF($A$2:A1766,A1766)&gt;1,"DUP","OK")</f>
        <v>OK</v>
      </c>
      <c r="O1766" s="23" t="str">
        <f t="shared" si="82"/>
        <v>ORD26003217</v>
      </c>
      <c r="P1766" s="23" t="str">
        <f t="shared" si="83"/>
        <v>Sep</v>
      </c>
      <c r="Q1766" s="23" t="str">
        <f>IF(F1766="CAPTURE",IF(COUNTIF(orders!$A:$A,O1766)&gt;0,"Yes","NO ORDER"),"")</f>
        <v>Yes</v>
      </c>
    </row>
    <row r="1767" spans="1:17" ht="15" customHeight="1" x14ac:dyDescent="0.3">
      <c r="A1767" s="23" t="s">
        <v>14475</v>
      </c>
      <c r="B1767" s="23"/>
      <c r="C1767" s="23" t="s">
        <v>6937</v>
      </c>
      <c r="D1767" s="23" t="str">
        <f t="shared" si="81"/>
        <v>ORD26003220</v>
      </c>
      <c r="E1767" s="38">
        <v>46275</v>
      </c>
      <c r="F1767" s="23" t="s">
        <v>12410</v>
      </c>
      <c r="G1767" s="23" t="s">
        <v>75</v>
      </c>
      <c r="H1767" s="24">
        <v>4298</v>
      </c>
      <c r="I1767" s="24">
        <v>12.89</v>
      </c>
      <c r="J1767" s="24">
        <v>2.3199999999999998</v>
      </c>
      <c r="K1767" s="24">
        <v>4282.79</v>
      </c>
      <c r="L1767" s="38">
        <v>46277</v>
      </c>
      <c r="M1767" s="23" t="s">
        <v>104</v>
      </c>
      <c r="N1767" s="23" t="str">
        <f>IF(COUNTIF($A$2:A1767,A1767)&gt;1,"DUP","OK")</f>
        <v>OK</v>
      </c>
      <c r="O1767" s="23" t="str">
        <f t="shared" si="82"/>
        <v>ORD26003220</v>
      </c>
      <c r="P1767" s="23" t="str">
        <f t="shared" si="83"/>
        <v>Sep</v>
      </c>
      <c r="Q1767" s="23" t="str">
        <f>IF(F1767="CAPTURE",IF(COUNTIF(orders!$A:$A,O1767)&gt;0,"Yes","NO ORDER"),"")</f>
        <v>Yes</v>
      </c>
    </row>
    <row r="1768" spans="1:17" ht="15" customHeight="1" x14ac:dyDescent="0.3">
      <c r="A1768" s="23" t="s">
        <v>14476</v>
      </c>
      <c r="B1768" s="23"/>
      <c r="C1768" s="23" t="s">
        <v>6943</v>
      </c>
      <c r="D1768" s="23" t="str">
        <f t="shared" si="81"/>
        <v>ORD26003223</v>
      </c>
      <c r="E1768" s="38">
        <v>46275</v>
      </c>
      <c r="F1768" s="23" t="s">
        <v>12410</v>
      </c>
      <c r="G1768" s="23" t="s">
        <v>75</v>
      </c>
      <c r="H1768" s="24">
        <v>2499</v>
      </c>
      <c r="I1768" s="24">
        <v>7.5</v>
      </c>
      <c r="J1768" s="24">
        <v>1.35</v>
      </c>
      <c r="K1768" s="24">
        <v>2490.15</v>
      </c>
      <c r="L1768" s="38">
        <v>46277</v>
      </c>
      <c r="M1768" s="23" t="s">
        <v>104</v>
      </c>
      <c r="N1768" s="23" t="str">
        <f>IF(COUNTIF($A$2:A1768,A1768)&gt;1,"DUP","OK")</f>
        <v>OK</v>
      </c>
      <c r="O1768" s="23" t="str">
        <f t="shared" si="82"/>
        <v>ORD26003223</v>
      </c>
      <c r="P1768" s="23" t="str">
        <f t="shared" si="83"/>
        <v>Sep</v>
      </c>
      <c r="Q1768" s="23" t="str">
        <f>IF(F1768="CAPTURE",IF(COUNTIF(orders!$A:$A,O1768)&gt;0,"Yes","NO ORDER"),"")</f>
        <v>Yes</v>
      </c>
    </row>
    <row r="1769" spans="1:17" ht="15" customHeight="1" x14ac:dyDescent="0.3">
      <c r="A1769" s="23" t="s">
        <v>14477</v>
      </c>
      <c r="B1769" s="23"/>
      <c r="C1769" s="23" t="s">
        <v>6999</v>
      </c>
      <c r="D1769" s="23" t="str">
        <f t="shared" si="81"/>
        <v>ORD26003250</v>
      </c>
      <c r="E1769" s="38">
        <v>46275</v>
      </c>
      <c r="F1769" s="23" t="s">
        <v>12410</v>
      </c>
      <c r="G1769" s="23" t="s">
        <v>77</v>
      </c>
      <c r="H1769" s="24">
        <v>4298</v>
      </c>
      <c r="I1769" s="24">
        <v>73.069999999999993</v>
      </c>
      <c r="J1769" s="24">
        <v>13.15</v>
      </c>
      <c r="K1769" s="24">
        <v>4211.78</v>
      </c>
      <c r="L1769" s="38">
        <v>46277</v>
      </c>
      <c r="M1769" s="23" t="s">
        <v>104</v>
      </c>
      <c r="N1769" s="23" t="str">
        <f>IF(COUNTIF($A$2:A1769,A1769)&gt;1,"DUP","OK")</f>
        <v>OK</v>
      </c>
      <c r="O1769" s="23" t="str">
        <f t="shared" si="82"/>
        <v>ORD26003250</v>
      </c>
      <c r="P1769" s="23" t="str">
        <f t="shared" si="83"/>
        <v>Sep</v>
      </c>
      <c r="Q1769" s="23" t="str">
        <f>IF(F1769="CAPTURE",IF(COUNTIF(orders!$A:$A,O1769)&gt;0,"Yes","NO ORDER"),"")</f>
        <v>Yes</v>
      </c>
    </row>
    <row r="1770" spans="1:17" ht="15" customHeight="1" x14ac:dyDescent="0.3">
      <c r="A1770" s="23" t="s">
        <v>14478</v>
      </c>
      <c r="B1770" s="23"/>
      <c r="C1770" s="23" t="s">
        <v>7084</v>
      </c>
      <c r="D1770" s="23" t="str">
        <f t="shared" si="81"/>
        <v>ORD26003293</v>
      </c>
      <c r="E1770" s="38">
        <v>46275</v>
      </c>
      <c r="F1770" s="23" t="s">
        <v>12410</v>
      </c>
      <c r="G1770" s="23" t="s">
        <v>75</v>
      </c>
      <c r="H1770" s="24">
        <v>5598</v>
      </c>
      <c r="I1770" s="24">
        <v>16.79</v>
      </c>
      <c r="J1770" s="24">
        <v>3.02</v>
      </c>
      <c r="K1770" s="24">
        <v>5578.19</v>
      </c>
      <c r="L1770" s="38">
        <v>46277</v>
      </c>
      <c r="M1770" s="23" t="s">
        <v>104</v>
      </c>
      <c r="N1770" s="23" t="str">
        <f>IF(COUNTIF($A$2:A1770,A1770)&gt;1,"DUP","OK")</f>
        <v>OK</v>
      </c>
      <c r="O1770" s="23" t="str">
        <f t="shared" si="82"/>
        <v>ORD26003293</v>
      </c>
      <c r="P1770" s="23" t="str">
        <f t="shared" si="83"/>
        <v>Sep</v>
      </c>
      <c r="Q1770" s="23" t="str">
        <f>IF(F1770="CAPTURE",IF(COUNTIF(orders!$A:$A,O1770)&gt;0,"Yes","NO ORDER"),"")</f>
        <v>Yes</v>
      </c>
    </row>
    <row r="1771" spans="1:17" ht="15" customHeight="1" x14ac:dyDescent="0.3">
      <c r="A1771" s="23" t="s">
        <v>14479</v>
      </c>
      <c r="B1771" s="23"/>
      <c r="C1771" s="23" t="s">
        <v>7132</v>
      </c>
      <c r="D1771" s="23" t="str">
        <f t="shared" si="81"/>
        <v>ORD26003317</v>
      </c>
      <c r="E1771" s="38">
        <v>46275</v>
      </c>
      <c r="F1771" s="23" t="s">
        <v>12410</v>
      </c>
      <c r="G1771" s="23" t="s">
        <v>77</v>
      </c>
      <c r="H1771" s="24">
        <v>2398</v>
      </c>
      <c r="I1771" s="24">
        <v>40.770000000000003</v>
      </c>
      <c r="J1771" s="24">
        <v>7.34</v>
      </c>
      <c r="K1771" s="24">
        <v>2349.89</v>
      </c>
      <c r="L1771" s="38">
        <v>46277</v>
      </c>
      <c r="M1771" s="23" t="s">
        <v>104</v>
      </c>
      <c r="N1771" s="23" t="str">
        <f>IF(COUNTIF($A$2:A1771,A1771)&gt;1,"DUP","OK")</f>
        <v>OK</v>
      </c>
      <c r="O1771" s="23" t="str">
        <f t="shared" si="82"/>
        <v>ORD26003317</v>
      </c>
      <c r="P1771" s="23" t="str">
        <f t="shared" si="83"/>
        <v>Sep</v>
      </c>
      <c r="Q1771" s="23" t="str">
        <f>IF(F1771="CAPTURE",IF(COUNTIF(orders!$A:$A,O1771)&gt;0,"Yes","NO ORDER"),"")</f>
        <v>Yes</v>
      </c>
    </row>
    <row r="1772" spans="1:17" ht="15" customHeight="1" x14ac:dyDescent="0.3">
      <c r="A1772" s="23" t="s">
        <v>14480</v>
      </c>
      <c r="B1772" s="23"/>
      <c r="C1772" s="23" t="s">
        <v>7241</v>
      </c>
      <c r="D1772" s="23" t="str">
        <f t="shared" si="81"/>
        <v>ORD26003371</v>
      </c>
      <c r="E1772" s="38">
        <v>46275</v>
      </c>
      <c r="F1772" s="23" t="s">
        <v>12410</v>
      </c>
      <c r="G1772" s="23" t="s">
        <v>75</v>
      </c>
      <c r="H1772" s="24">
        <v>3098</v>
      </c>
      <c r="I1772" s="24">
        <v>9.2899999999999991</v>
      </c>
      <c r="J1772" s="24">
        <v>1.67</v>
      </c>
      <c r="K1772" s="24">
        <v>3087.04</v>
      </c>
      <c r="L1772" s="38">
        <v>46277</v>
      </c>
      <c r="M1772" s="23" t="s">
        <v>104</v>
      </c>
      <c r="N1772" s="23" t="str">
        <f>IF(COUNTIF($A$2:A1772,A1772)&gt;1,"DUP","OK")</f>
        <v>OK</v>
      </c>
      <c r="O1772" s="23" t="str">
        <f t="shared" si="82"/>
        <v>ORD26003371</v>
      </c>
      <c r="P1772" s="23" t="str">
        <f t="shared" si="83"/>
        <v>Sep</v>
      </c>
      <c r="Q1772" s="23" t="str">
        <f>IF(F1772="CAPTURE",IF(COUNTIF(orders!$A:$A,O1772)&gt;0,"Yes","NO ORDER"),"")</f>
        <v>Yes</v>
      </c>
    </row>
    <row r="1773" spans="1:17" ht="15" customHeight="1" x14ac:dyDescent="0.3">
      <c r="A1773" s="23" t="s">
        <v>14481</v>
      </c>
      <c r="B1773" s="23"/>
      <c r="C1773" s="23" t="s">
        <v>7299</v>
      </c>
      <c r="D1773" s="23" t="str">
        <f t="shared" si="81"/>
        <v>ORD26003400</v>
      </c>
      <c r="E1773" s="38">
        <v>46275</v>
      </c>
      <c r="F1773" s="23" t="s">
        <v>12410</v>
      </c>
      <c r="G1773" s="23" t="s">
        <v>75</v>
      </c>
      <c r="H1773" s="24">
        <v>2598</v>
      </c>
      <c r="I1773" s="24">
        <v>7.79</v>
      </c>
      <c r="J1773" s="24">
        <v>1.4</v>
      </c>
      <c r="K1773" s="24">
        <v>2588.81</v>
      </c>
      <c r="L1773" s="38">
        <v>46277</v>
      </c>
      <c r="M1773" s="23" t="s">
        <v>104</v>
      </c>
      <c r="N1773" s="23" t="str">
        <f>IF(COUNTIF($A$2:A1773,A1773)&gt;1,"DUP","OK")</f>
        <v>OK</v>
      </c>
      <c r="O1773" s="23" t="str">
        <f t="shared" si="82"/>
        <v>ORD26003400</v>
      </c>
      <c r="P1773" s="23" t="str">
        <f t="shared" si="83"/>
        <v>Sep</v>
      </c>
      <c r="Q1773" s="23" t="str">
        <f>IF(F1773="CAPTURE",IF(COUNTIF(orders!$A:$A,O1773)&gt;0,"Yes","NO ORDER"),"")</f>
        <v>Yes</v>
      </c>
    </row>
    <row r="1774" spans="1:17" ht="15" customHeight="1" x14ac:dyDescent="0.3">
      <c r="A1774" s="23" t="s">
        <v>14482</v>
      </c>
      <c r="B1774" s="23"/>
      <c r="C1774" s="23" t="s">
        <v>7387</v>
      </c>
      <c r="D1774" s="23" t="str">
        <f t="shared" si="81"/>
        <v>ORD26003444</v>
      </c>
      <c r="E1774" s="38">
        <v>46275</v>
      </c>
      <c r="F1774" s="23" t="s">
        <v>12410</v>
      </c>
      <c r="G1774" s="23" t="s">
        <v>75</v>
      </c>
      <c r="H1774" s="24">
        <v>9498</v>
      </c>
      <c r="I1774" s="24">
        <v>28.49</v>
      </c>
      <c r="J1774" s="24">
        <v>5.13</v>
      </c>
      <c r="K1774" s="24">
        <v>9464.3799999999992</v>
      </c>
      <c r="L1774" s="38">
        <v>46277</v>
      </c>
      <c r="M1774" s="23" t="s">
        <v>104</v>
      </c>
      <c r="N1774" s="23" t="str">
        <f>IF(COUNTIF($A$2:A1774,A1774)&gt;1,"DUP","OK")</f>
        <v>OK</v>
      </c>
      <c r="O1774" s="23" t="str">
        <f t="shared" si="82"/>
        <v>ORD26003444</v>
      </c>
      <c r="P1774" s="23" t="str">
        <f t="shared" si="83"/>
        <v>Sep</v>
      </c>
      <c r="Q1774" s="23" t="str">
        <f>IF(F1774="CAPTURE",IF(COUNTIF(orders!$A:$A,O1774)&gt;0,"Yes","NO ORDER"),"")</f>
        <v>Yes</v>
      </c>
    </row>
    <row r="1775" spans="1:17" ht="15" customHeight="1" x14ac:dyDescent="0.3">
      <c r="A1775" s="23" t="s">
        <v>14483</v>
      </c>
      <c r="B1775" s="23"/>
      <c r="C1775" s="23" t="s">
        <v>7424</v>
      </c>
      <c r="D1775" s="23" t="str">
        <f t="shared" si="81"/>
        <v>ORD26003462</v>
      </c>
      <c r="E1775" s="38">
        <v>46275</v>
      </c>
      <c r="F1775" s="23" t="s">
        <v>12410</v>
      </c>
      <c r="G1775" s="23" t="s">
        <v>79</v>
      </c>
      <c r="H1775" s="24">
        <v>8348</v>
      </c>
      <c r="I1775" s="24">
        <v>133.57</v>
      </c>
      <c r="J1775" s="24">
        <v>24.04</v>
      </c>
      <c r="K1775" s="24">
        <v>8190.39</v>
      </c>
      <c r="L1775" s="38">
        <v>46277</v>
      </c>
      <c r="M1775" s="23" t="s">
        <v>104</v>
      </c>
      <c r="N1775" s="23" t="str">
        <f>IF(COUNTIF($A$2:A1775,A1775)&gt;1,"DUP","OK")</f>
        <v>OK</v>
      </c>
      <c r="O1775" s="23" t="str">
        <f t="shared" si="82"/>
        <v>ORD26003462</v>
      </c>
      <c r="P1775" s="23" t="str">
        <f t="shared" si="83"/>
        <v>Sep</v>
      </c>
      <c r="Q1775" s="23" t="str">
        <f>IF(F1775="CAPTURE",IF(COUNTIF(orders!$A:$A,O1775)&gt;0,"Yes","NO ORDER"),"")</f>
        <v>Yes</v>
      </c>
    </row>
    <row r="1776" spans="1:17" ht="15" customHeight="1" x14ac:dyDescent="0.3">
      <c r="A1776" s="23" t="s">
        <v>14484</v>
      </c>
      <c r="B1776" s="23"/>
      <c r="C1776" s="23" t="s">
        <v>7488</v>
      </c>
      <c r="D1776" s="23" t="str">
        <f t="shared" si="81"/>
        <v>ORD26003495</v>
      </c>
      <c r="E1776" s="38">
        <v>46275</v>
      </c>
      <c r="F1776" s="23" t="s">
        <v>12410</v>
      </c>
      <c r="G1776" s="23" t="s">
        <v>79</v>
      </c>
      <c r="H1776" s="24">
        <v>1299</v>
      </c>
      <c r="I1776" s="24">
        <v>23.38</v>
      </c>
      <c r="J1776" s="24">
        <v>4.21</v>
      </c>
      <c r="K1776" s="24">
        <v>1271.4100000000001</v>
      </c>
      <c r="L1776" s="38">
        <v>46277</v>
      </c>
      <c r="M1776" s="23" t="s">
        <v>104</v>
      </c>
      <c r="N1776" s="23" t="str">
        <f>IF(COUNTIF($A$2:A1776,A1776)&gt;1,"DUP","OK")</f>
        <v>OK</v>
      </c>
      <c r="O1776" s="23" t="str">
        <f t="shared" si="82"/>
        <v>ORD26003495</v>
      </c>
      <c r="P1776" s="23" t="str">
        <f t="shared" si="83"/>
        <v>Sep</v>
      </c>
      <c r="Q1776" s="23" t="str">
        <f>IF(F1776="CAPTURE",IF(COUNTIF(orders!$A:$A,O1776)&gt;0,"Yes","NO ORDER"),"")</f>
        <v>Yes</v>
      </c>
    </row>
    <row r="1777" spans="1:17" ht="15" customHeight="1" x14ac:dyDescent="0.3">
      <c r="A1777" s="23" t="s">
        <v>14485</v>
      </c>
      <c r="B1777" s="23"/>
      <c r="C1777" s="23" t="s">
        <v>7574</v>
      </c>
      <c r="D1777" s="23" t="str">
        <f t="shared" si="81"/>
        <v>ORD26003539</v>
      </c>
      <c r="E1777" s="38">
        <v>46275</v>
      </c>
      <c r="F1777" s="23" t="s">
        <v>12410</v>
      </c>
      <c r="G1777" s="23" t="s">
        <v>77</v>
      </c>
      <c r="H1777" s="24">
        <v>1299</v>
      </c>
      <c r="I1777" s="24">
        <v>24.68</v>
      </c>
      <c r="J1777" s="24">
        <v>4.4400000000000004</v>
      </c>
      <c r="K1777" s="24">
        <v>1269.8800000000001</v>
      </c>
      <c r="L1777" s="38">
        <v>46277</v>
      </c>
      <c r="M1777" s="23" t="s">
        <v>104</v>
      </c>
      <c r="N1777" s="23" t="str">
        <f>IF(COUNTIF($A$2:A1777,A1777)&gt;1,"DUP","OK")</f>
        <v>OK</v>
      </c>
      <c r="O1777" s="23" t="str">
        <f t="shared" si="82"/>
        <v>ORD26003539</v>
      </c>
      <c r="P1777" s="23" t="str">
        <f t="shared" si="83"/>
        <v>Sep</v>
      </c>
      <c r="Q1777" s="23" t="str">
        <f>IF(F1777="CAPTURE",IF(COUNTIF(orders!$A:$A,O1777)&gt;0,"Yes","NO ORDER"),"")</f>
        <v>Yes</v>
      </c>
    </row>
    <row r="1778" spans="1:17" ht="15" customHeight="1" x14ac:dyDescent="0.3">
      <c r="A1778" s="23" t="s">
        <v>14486</v>
      </c>
      <c r="B1778" s="23"/>
      <c r="C1778" s="23" t="s">
        <v>7591</v>
      </c>
      <c r="D1778" s="23" t="str">
        <f t="shared" si="81"/>
        <v>ORD26003548</v>
      </c>
      <c r="E1778" s="38">
        <v>46275</v>
      </c>
      <c r="F1778" s="23" t="s">
        <v>12410</v>
      </c>
      <c r="G1778" s="23" t="s">
        <v>79</v>
      </c>
      <c r="H1778" s="24">
        <v>8097</v>
      </c>
      <c r="I1778" s="24">
        <v>129.55000000000001</v>
      </c>
      <c r="J1778" s="24">
        <v>23.32</v>
      </c>
      <c r="K1778" s="24">
        <v>7944.13</v>
      </c>
      <c r="L1778" s="38">
        <v>46277</v>
      </c>
      <c r="M1778" s="23" t="s">
        <v>104</v>
      </c>
      <c r="N1778" s="23" t="str">
        <f>IF(COUNTIF($A$2:A1778,A1778)&gt;1,"DUP","OK")</f>
        <v>OK</v>
      </c>
      <c r="O1778" s="23" t="str">
        <f t="shared" si="82"/>
        <v>ORD26003548</v>
      </c>
      <c r="P1778" s="23" t="str">
        <f t="shared" si="83"/>
        <v>Sep</v>
      </c>
      <c r="Q1778" s="23" t="str">
        <f>IF(F1778="CAPTURE",IF(COUNTIF(orders!$A:$A,O1778)&gt;0,"Yes","NO ORDER"),"")</f>
        <v>Yes</v>
      </c>
    </row>
    <row r="1779" spans="1:17" ht="15" customHeight="1" x14ac:dyDescent="0.3">
      <c r="A1779" s="23" t="s">
        <v>14487</v>
      </c>
      <c r="B1779" s="23"/>
      <c r="C1779" s="23" t="s">
        <v>7687</v>
      </c>
      <c r="D1779" s="23" t="str">
        <f t="shared" si="81"/>
        <v>ORD26003596</v>
      </c>
      <c r="E1779" s="38">
        <v>46275</v>
      </c>
      <c r="F1779" s="23" t="s">
        <v>12410</v>
      </c>
      <c r="G1779" s="23" t="s">
        <v>75</v>
      </c>
      <c r="H1779" s="24">
        <v>2447</v>
      </c>
      <c r="I1779" s="24">
        <v>7.34</v>
      </c>
      <c r="J1779" s="24">
        <v>1.32</v>
      </c>
      <c r="K1779" s="24">
        <v>2438.34</v>
      </c>
      <c r="L1779" s="38">
        <v>46277</v>
      </c>
      <c r="M1779" s="23" t="s">
        <v>104</v>
      </c>
      <c r="N1779" s="23" t="str">
        <f>IF(COUNTIF($A$2:A1779,A1779)&gt;1,"DUP","OK")</f>
        <v>OK</v>
      </c>
      <c r="O1779" s="23" t="str">
        <f t="shared" si="82"/>
        <v>ORD26003596</v>
      </c>
      <c r="P1779" s="23" t="str">
        <f t="shared" si="83"/>
        <v>Sep</v>
      </c>
      <c r="Q1779" s="23" t="str">
        <f>IF(F1779="CAPTURE",IF(COUNTIF(orders!$A:$A,O1779)&gt;0,"Yes","NO ORDER"),"")</f>
        <v>Yes</v>
      </c>
    </row>
    <row r="1780" spans="1:17" ht="15" customHeight="1" x14ac:dyDescent="0.3">
      <c r="A1780" s="23" t="s">
        <v>14488</v>
      </c>
      <c r="B1780" s="23"/>
      <c r="C1780" s="23" t="s">
        <v>14489</v>
      </c>
      <c r="D1780" s="23" t="str">
        <f t="shared" si="81"/>
        <v>ORD26003628</v>
      </c>
      <c r="E1780" s="38">
        <v>46275</v>
      </c>
      <c r="F1780" s="23" t="s">
        <v>12410</v>
      </c>
      <c r="G1780" s="23" t="s">
        <v>79</v>
      </c>
      <c r="H1780" s="24">
        <v>11997</v>
      </c>
      <c r="I1780" s="24">
        <v>191.95</v>
      </c>
      <c r="J1780" s="24">
        <v>34.549999999999997</v>
      </c>
      <c r="K1780" s="24">
        <v>11770.5</v>
      </c>
      <c r="L1780" s="38">
        <v>46277</v>
      </c>
      <c r="M1780" s="23" t="s">
        <v>104</v>
      </c>
      <c r="N1780" s="23" t="str">
        <f>IF(COUNTIF($A$2:A1780,A1780)&gt;1,"DUP","OK")</f>
        <v>OK</v>
      </c>
      <c r="O1780" s="23" t="str">
        <f t="shared" si="82"/>
        <v>ORD26003628</v>
      </c>
      <c r="P1780" s="23" t="str">
        <f t="shared" si="83"/>
        <v>Sep</v>
      </c>
      <c r="Q1780" s="23" t="str">
        <f>IF(F1780="CAPTURE",IF(COUNTIF(orders!$A:$A,O1780)&gt;0,"Yes","NO ORDER"),"")</f>
        <v>Yes</v>
      </c>
    </row>
    <row r="1781" spans="1:17" ht="15" customHeight="1" x14ac:dyDescent="0.3">
      <c r="A1781" s="23" t="s">
        <v>14490</v>
      </c>
      <c r="B1781" s="23"/>
      <c r="C1781" s="23" t="s">
        <v>7816</v>
      </c>
      <c r="D1781" s="23" t="str">
        <f t="shared" si="81"/>
        <v>ORD26003663</v>
      </c>
      <c r="E1781" s="38">
        <v>46275</v>
      </c>
      <c r="F1781" s="23" t="s">
        <v>12410</v>
      </c>
      <c r="G1781" s="23" t="s">
        <v>75</v>
      </c>
      <c r="H1781" s="24">
        <v>2999</v>
      </c>
      <c r="I1781" s="24">
        <v>9</v>
      </c>
      <c r="J1781" s="24">
        <v>1.62</v>
      </c>
      <c r="K1781" s="24">
        <v>2988.38</v>
      </c>
      <c r="L1781" s="38">
        <v>46277</v>
      </c>
      <c r="M1781" s="23" t="s">
        <v>104</v>
      </c>
      <c r="N1781" s="23" t="str">
        <f>IF(COUNTIF($A$2:A1781,A1781)&gt;1,"DUP","OK")</f>
        <v>OK</v>
      </c>
      <c r="O1781" s="23" t="str">
        <f t="shared" si="82"/>
        <v>ORD26003663</v>
      </c>
      <c r="P1781" s="23" t="str">
        <f t="shared" si="83"/>
        <v>Sep</v>
      </c>
      <c r="Q1781" s="23" t="str">
        <f>IF(F1781="CAPTURE",IF(COUNTIF(orders!$A:$A,O1781)&gt;0,"Yes","NO ORDER"),"")</f>
        <v>Yes</v>
      </c>
    </row>
    <row r="1782" spans="1:17" ht="15" customHeight="1" x14ac:dyDescent="0.3">
      <c r="A1782" s="23" t="s">
        <v>14491</v>
      </c>
      <c r="B1782" s="23"/>
      <c r="C1782" s="23" t="s">
        <v>7838</v>
      </c>
      <c r="D1782" s="23" t="str">
        <f t="shared" si="81"/>
        <v>ORD26003675</v>
      </c>
      <c r="E1782" s="38">
        <v>46275</v>
      </c>
      <c r="F1782" s="23" t="s">
        <v>12410</v>
      </c>
      <c r="G1782" s="23" t="s">
        <v>81</v>
      </c>
      <c r="H1782" s="24">
        <v>9498</v>
      </c>
      <c r="I1782" s="24">
        <v>113.98</v>
      </c>
      <c r="J1782" s="24">
        <v>20.52</v>
      </c>
      <c r="K1782" s="24">
        <v>9363.5</v>
      </c>
      <c r="L1782" s="38">
        <v>46277</v>
      </c>
      <c r="M1782" s="23" t="s">
        <v>104</v>
      </c>
      <c r="N1782" s="23" t="str">
        <f>IF(COUNTIF($A$2:A1782,A1782)&gt;1,"DUP","OK")</f>
        <v>OK</v>
      </c>
      <c r="O1782" s="23" t="str">
        <f t="shared" si="82"/>
        <v>ORD26003675</v>
      </c>
      <c r="P1782" s="23" t="str">
        <f t="shared" si="83"/>
        <v>Sep</v>
      </c>
      <c r="Q1782" s="23" t="str">
        <f>IF(F1782="CAPTURE",IF(COUNTIF(orders!$A:$A,O1782)&gt;0,"Yes","NO ORDER"),"")</f>
        <v>Yes</v>
      </c>
    </row>
    <row r="1783" spans="1:17" ht="15" customHeight="1" x14ac:dyDescent="0.3">
      <c r="A1783" s="23" t="s">
        <v>14492</v>
      </c>
      <c r="B1783" s="23"/>
      <c r="C1783" s="23" t="s">
        <v>14493</v>
      </c>
      <c r="D1783" s="23" t="str">
        <f t="shared" si="81"/>
        <v>ORD26003682</v>
      </c>
      <c r="E1783" s="38">
        <v>46275</v>
      </c>
      <c r="F1783" s="23" t="s">
        <v>12410</v>
      </c>
      <c r="G1783" s="23" t="s">
        <v>75</v>
      </c>
      <c r="H1783" s="24">
        <v>599</v>
      </c>
      <c r="I1783" s="24">
        <v>0</v>
      </c>
      <c r="J1783" s="24">
        <v>0</v>
      </c>
      <c r="K1783" s="24">
        <v>599</v>
      </c>
      <c r="L1783" s="38">
        <v>46277</v>
      </c>
      <c r="M1783" s="23" t="s">
        <v>104</v>
      </c>
      <c r="N1783" s="23" t="str">
        <f>IF(COUNTIF($A$2:A1783,A1783)&gt;1,"DUP","OK")</f>
        <v>OK</v>
      </c>
      <c r="O1783" s="23" t="str">
        <f t="shared" si="82"/>
        <v>ORD26003682</v>
      </c>
      <c r="P1783" s="23" t="str">
        <f t="shared" si="83"/>
        <v>Sep</v>
      </c>
      <c r="Q1783" s="23" t="str">
        <f>IF(F1783="CAPTURE",IF(COUNTIF(orders!$A:$A,O1783)&gt;0,"Yes","NO ORDER"),"")</f>
        <v>Yes</v>
      </c>
    </row>
    <row r="1784" spans="1:17" ht="15" customHeight="1" x14ac:dyDescent="0.3">
      <c r="A1784" s="23" t="s">
        <v>14494</v>
      </c>
      <c r="B1784" s="23"/>
      <c r="C1784" s="23" t="s">
        <v>8082</v>
      </c>
      <c r="D1784" s="23" t="str">
        <f t="shared" si="81"/>
        <v>ORD26003797</v>
      </c>
      <c r="E1784" s="38">
        <v>46275</v>
      </c>
      <c r="F1784" s="23" t="s">
        <v>12410</v>
      </c>
      <c r="G1784" s="23" t="s">
        <v>79</v>
      </c>
      <c r="H1784" s="24">
        <v>5298</v>
      </c>
      <c r="I1784" s="24">
        <v>84.77</v>
      </c>
      <c r="J1784" s="24">
        <v>15.26</v>
      </c>
      <c r="K1784" s="24">
        <v>5197.97</v>
      </c>
      <c r="L1784" s="38">
        <v>46277</v>
      </c>
      <c r="M1784" s="23" t="s">
        <v>104</v>
      </c>
      <c r="N1784" s="23" t="str">
        <f>IF(COUNTIF($A$2:A1784,A1784)&gt;1,"DUP","OK")</f>
        <v>OK</v>
      </c>
      <c r="O1784" s="23" t="str">
        <f t="shared" si="82"/>
        <v>ORD26003797</v>
      </c>
      <c r="P1784" s="23" t="str">
        <f t="shared" si="83"/>
        <v>Sep</v>
      </c>
      <c r="Q1784" s="23" t="str">
        <f>IF(F1784="CAPTURE",IF(COUNTIF(orders!$A:$A,O1784)&gt;0,"Yes","NO ORDER"),"")</f>
        <v>Yes</v>
      </c>
    </row>
    <row r="1785" spans="1:17" ht="15" customHeight="1" x14ac:dyDescent="0.3">
      <c r="A1785" s="23" t="s">
        <v>14495</v>
      </c>
      <c r="B1785" s="23"/>
      <c r="C1785" s="23" t="s">
        <v>14496</v>
      </c>
      <c r="D1785" s="23" t="str">
        <f t="shared" si="81"/>
        <v>ORD26003820</v>
      </c>
      <c r="E1785" s="38">
        <v>46275</v>
      </c>
      <c r="F1785" s="23" t="s">
        <v>12410</v>
      </c>
      <c r="G1785" s="23" t="s">
        <v>75</v>
      </c>
      <c r="H1785" s="24">
        <v>1647</v>
      </c>
      <c r="I1785" s="24">
        <v>0</v>
      </c>
      <c r="J1785" s="24">
        <v>0</v>
      </c>
      <c r="K1785" s="24">
        <v>1647</v>
      </c>
      <c r="L1785" s="38">
        <v>46277</v>
      </c>
      <c r="M1785" s="23" t="s">
        <v>104</v>
      </c>
      <c r="N1785" s="23" t="str">
        <f>IF(COUNTIF($A$2:A1785,A1785)&gt;1,"DUP","OK")</f>
        <v>OK</v>
      </c>
      <c r="O1785" s="23" t="str">
        <f t="shared" si="82"/>
        <v>ORD26003820</v>
      </c>
      <c r="P1785" s="23" t="str">
        <f t="shared" si="83"/>
        <v>Sep</v>
      </c>
      <c r="Q1785" s="23" t="str">
        <f>IF(F1785="CAPTURE",IF(COUNTIF(orders!$A:$A,O1785)&gt;0,"Yes","NO ORDER"),"")</f>
        <v>Yes</v>
      </c>
    </row>
    <row r="1786" spans="1:17" ht="15" customHeight="1" x14ac:dyDescent="0.3">
      <c r="A1786" s="23" t="s">
        <v>14497</v>
      </c>
      <c r="B1786" s="23"/>
      <c r="C1786" s="23" t="s">
        <v>8249</v>
      </c>
      <c r="D1786" s="23" t="str">
        <f t="shared" si="81"/>
        <v>ORD26003881</v>
      </c>
      <c r="E1786" s="38">
        <v>46275</v>
      </c>
      <c r="F1786" s="23" t="s">
        <v>12410</v>
      </c>
      <c r="G1786" s="23" t="s">
        <v>79</v>
      </c>
      <c r="H1786" s="24">
        <v>1299</v>
      </c>
      <c r="I1786" s="24">
        <v>23.38</v>
      </c>
      <c r="J1786" s="24">
        <v>4.21</v>
      </c>
      <c r="K1786" s="24">
        <v>1271.4100000000001</v>
      </c>
      <c r="L1786" s="38">
        <v>46277</v>
      </c>
      <c r="M1786" s="23" t="s">
        <v>104</v>
      </c>
      <c r="N1786" s="23" t="str">
        <f>IF(COUNTIF($A$2:A1786,A1786)&gt;1,"DUP","OK")</f>
        <v>OK</v>
      </c>
      <c r="O1786" s="23" t="str">
        <f t="shared" si="82"/>
        <v>ORD26003881</v>
      </c>
      <c r="P1786" s="23" t="str">
        <f t="shared" si="83"/>
        <v>Sep</v>
      </c>
      <c r="Q1786" s="23" t="str">
        <f>IF(F1786="CAPTURE",IF(COUNTIF(orders!$A:$A,O1786)&gt;0,"Yes","NO ORDER"),"")</f>
        <v>Yes</v>
      </c>
    </row>
    <row r="1787" spans="1:17" ht="15" customHeight="1" x14ac:dyDescent="0.3">
      <c r="A1787" s="23" t="s">
        <v>14498</v>
      </c>
      <c r="B1787" s="23"/>
      <c r="C1787" s="23" t="s">
        <v>8269</v>
      </c>
      <c r="D1787" s="23" t="str">
        <f t="shared" si="81"/>
        <v>ORD26003891</v>
      </c>
      <c r="E1787" s="38">
        <v>46275</v>
      </c>
      <c r="F1787" s="23" t="s">
        <v>12410</v>
      </c>
      <c r="G1787" s="23" t="s">
        <v>75</v>
      </c>
      <c r="H1787" s="24">
        <v>9498</v>
      </c>
      <c r="I1787" s="24">
        <v>28.49</v>
      </c>
      <c r="J1787" s="24">
        <v>5.13</v>
      </c>
      <c r="K1787" s="24">
        <v>9464.3799999999992</v>
      </c>
      <c r="L1787" s="38">
        <v>46277</v>
      </c>
      <c r="M1787" s="23" t="s">
        <v>104</v>
      </c>
      <c r="N1787" s="23" t="str">
        <f>IF(COUNTIF($A$2:A1787,A1787)&gt;1,"DUP","OK")</f>
        <v>OK</v>
      </c>
      <c r="O1787" s="23" t="str">
        <f t="shared" si="82"/>
        <v>ORD26003891</v>
      </c>
      <c r="P1787" s="23" t="str">
        <f t="shared" si="83"/>
        <v>Sep</v>
      </c>
      <c r="Q1787" s="23" t="str">
        <f>IF(F1787="CAPTURE",IF(COUNTIF(orders!$A:$A,O1787)&gt;0,"Yes","NO ORDER"),"")</f>
        <v>Yes</v>
      </c>
    </row>
    <row r="1788" spans="1:17" ht="15" customHeight="1" x14ac:dyDescent="0.3">
      <c r="A1788" s="23" t="s">
        <v>14499</v>
      </c>
      <c r="B1788" s="23"/>
      <c r="C1788" s="23" t="s">
        <v>8282</v>
      </c>
      <c r="D1788" s="23" t="str">
        <f t="shared" si="81"/>
        <v>ORD26003897</v>
      </c>
      <c r="E1788" s="38">
        <v>46275</v>
      </c>
      <c r="F1788" s="23" t="s">
        <v>12410</v>
      </c>
      <c r="G1788" s="23" t="s">
        <v>79</v>
      </c>
      <c r="H1788" s="24">
        <v>3499</v>
      </c>
      <c r="I1788" s="24">
        <v>55.98</v>
      </c>
      <c r="J1788" s="24">
        <v>10.08</v>
      </c>
      <c r="K1788" s="24">
        <v>3432.94</v>
      </c>
      <c r="L1788" s="38">
        <v>46277</v>
      </c>
      <c r="M1788" s="23" t="s">
        <v>104</v>
      </c>
      <c r="N1788" s="23" t="str">
        <f>IF(COUNTIF($A$2:A1788,A1788)&gt;1,"DUP","OK")</f>
        <v>OK</v>
      </c>
      <c r="O1788" s="23" t="str">
        <f t="shared" si="82"/>
        <v>ORD26003897</v>
      </c>
      <c r="P1788" s="23" t="str">
        <f t="shared" si="83"/>
        <v>Sep</v>
      </c>
      <c r="Q1788" s="23" t="str">
        <f>IF(F1788="CAPTURE",IF(COUNTIF(orders!$A:$A,O1788)&gt;0,"Yes","NO ORDER"),"")</f>
        <v>Yes</v>
      </c>
    </row>
    <row r="1789" spans="1:17" ht="15" customHeight="1" x14ac:dyDescent="0.3">
      <c r="A1789" s="23" t="s">
        <v>14500</v>
      </c>
      <c r="B1789" s="23"/>
      <c r="C1789" s="23" t="s">
        <v>14501</v>
      </c>
      <c r="D1789" s="23" t="str">
        <f t="shared" si="81"/>
        <v>ORD26003921</v>
      </c>
      <c r="E1789" s="38">
        <v>46275</v>
      </c>
      <c r="F1789" s="23" t="s">
        <v>12410</v>
      </c>
      <c r="G1789" s="23" t="s">
        <v>75</v>
      </c>
      <c r="H1789" s="24">
        <v>1499</v>
      </c>
      <c r="I1789" s="24">
        <v>0</v>
      </c>
      <c r="J1789" s="24">
        <v>0</v>
      </c>
      <c r="K1789" s="24">
        <v>1499</v>
      </c>
      <c r="L1789" s="38">
        <v>46277</v>
      </c>
      <c r="M1789" s="23" t="s">
        <v>104</v>
      </c>
      <c r="N1789" s="23" t="str">
        <f>IF(COUNTIF($A$2:A1789,A1789)&gt;1,"DUP","OK")</f>
        <v>OK</v>
      </c>
      <c r="O1789" s="23" t="str">
        <f t="shared" si="82"/>
        <v>ORD26003921</v>
      </c>
      <c r="P1789" s="23" t="str">
        <f t="shared" si="83"/>
        <v>Sep</v>
      </c>
      <c r="Q1789" s="23" t="str">
        <f>IF(F1789="CAPTURE",IF(COUNTIF(orders!$A:$A,O1789)&gt;0,"Yes","NO ORDER"),"")</f>
        <v>Yes</v>
      </c>
    </row>
    <row r="1790" spans="1:17" ht="15" customHeight="1" x14ac:dyDescent="0.3">
      <c r="A1790" s="23" t="s">
        <v>14502</v>
      </c>
      <c r="B1790" s="23"/>
      <c r="C1790" s="23" t="s">
        <v>8387</v>
      </c>
      <c r="D1790" s="23" t="str">
        <f t="shared" si="81"/>
        <v>ORD26003950</v>
      </c>
      <c r="E1790" s="38">
        <v>46275</v>
      </c>
      <c r="F1790" s="23" t="s">
        <v>12410</v>
      </c>
      <c r="G1790" s="23" t="s">
        <v>77</v>
      </c>
      <c r="H1790" s="24">
        <v>799</v>
      </c>
      <c r="I1790" s="24">
        <v>15.18</v>
      </c>
      <c r="J1790" s="24">
        <v>2.73</v>
      </c>
      <c r="K1790" s="24">
        <v>781.09</v>
      </c>
      <c r="L1790" s="38">
        <v>46277</v>
      </c>
      <c r="M1790" s="23" t="s">
        <v>104</v>
      </c>
      <c r="N1790" s="23" t="str">
        <f>IF(COUNTIF($A$2:A1790,A1790)&gt;1,"DUP","OK")</f>
        <v>OK</v>
      </c>
      <c r="O1790" s="23" t="str">
        <f t="shared" si="82"/>
        <v>ORD26003950</v>
      </c>
      <c r="P1790" s="23" t="str">
        <f t="shared" si="83"/>
        <v>Sep</v>
      </c>
      <c r="Q1790" s="23" t="str">
        <f>IF(F1790="CAPTURE",IF(COUNTIF(orders!$A:$A,O1790)&gt;0,"Yes","NO ORDER"),"")</f>
        <v>Yes</v>
      </c>
    </row>
    <row r="1791" spans="1:17" ht="15" customHeight="1" x14ac:dyDescent="0.3">
      <c r="A1791" s="23" t="s">
        <v>14503</v>
      </c>
      <c r="B1791" s="23"/>
      <c r="C1791" s="23" t="s">
        <v>8443</v>
      </c>
      <c r="D1791" s="23" t="str">
        <f t="shared" si="81"/>
        <v>ORD26003978</v>
      </c>
      <c r="E1791" s="38">
        <v>46275</v>
      </c>
      <c r="F1791" s="23" t="s">
        <v>12410</v>
      </c>
      <c r="G1791" s="23" t="s">
        <v>79</v>
      </c>
      <c r="H1791" s="24">
        <v>7999</v>
      </c>
      <c r="I1791" s="24">
        <v>127.98</v>
      </c>
      <c r="J1791" s="24">
        <v>23.04</v>
      </c>
      <c r="K1791" s="24">
        <v>7847.98</v>
      </c>
      <c r="L1791" s="38">
        <v>46277</v>
      </c>
      <c r="M1791" s="23" t="s">
        <v>104</v>
      </c>
      <c r="N1791" s="23" t="str">
        <f>IF(COUNTIF($A$2:A1791,A1791)&gt;1,"DUP","OK")</f>
        <v>OK</v>
      </c>
      <c r="O1791" s="23" t="str">
        <f t="shared" si="82"/>
        <v>ORD26003978</v>
      </c>
      <c r="P1791" s="23" t="str">
        <f t="shared" si="83"/>
        <v>Sep</v>
      </c>
      <c r="Q1791" s="23" t="str">
        <f>IF(F1791="CAPTURE",IF(COUNTIF(orders!$A:$A,O1791)&gt;0,"Yes","NO ORDER"),"")</f>
        <v>Yes</v>
      </c>
    </row>
    <row r="1792" spans="1:17" ht="15" customHeight="1" x14ac:dyDescent="0.3">
      <c r="A1792" s="23" t="s">
        <v>14504</v>
      </c>
      <c r="B1792" s="23"/>
      <c r="C1792" s="23" t="s">
        <v>8496</v>
      </c>
      <c r="D1792" s="23" t="str">
        <f t="shared" si="81"/>
        <v>ORD26004005</v>
      </c>
      <c r="E1792" s="38">
        <v>46275</v>
      </c>
      <c r="F1792" s="23" t="s">
        <v>12410</v>
      </c>
      <c r="G1792" s="23" t="s">
        <v>75</v>
      </c>
      <c r="H1792" s="24">
        <v>7999</v>
      </c>
      <c r="I1792" s="24">
        <v>24</v>
      </c>
      <c r="J1792" s="24">
        <v>4.32</v>
      </c>
      <c r="K1792" s="24">
        <v>7970.68</v>
      </c>
      <c r="L1792" s="38">
        <v>46277</v>
      </c>
      <c r="M1792" s="23" t="s">
        <v>104</v>
      </c>
      <c r="N1792" s="23" t="str">
        <f>IF(COUNTIF($A$2:A1792,A1792)&gt;1,"DUP","OK")</f>
        <v>OK</v>
      </c>
      <c r="O1792" s="23" t="str">
        <f t="shared" si="82"/>
        <v>ORD26004005</v>
      </c>
      <c r="P1792" s="23" t="str">
        <f t="shared" si="83"/>
        <v>Sep</v>
      </c>
      <c r="Q1792" s="23" t="str">
        <f>IF(F1792="CAPTURE",IF(COUNTIF(orders!$A:$A,O1792)&gt;0,"Yes","NO ORDER"),"")</f>
        <v>Yes</v>
      </c>
    </row>
    <row r="1793" spans="1:17" ht="15" customHeight="1" x14ac:dyDescent="0.3">
      <c r="A1793" s="23" t="s">
        <v>14505</v>
      </c>
      <c r="B1793" s="23"/>
      <c r="C1793" s="23" t="s">
        <v>8515</v>
      </c>
      <c r="D1793" s="23" t="str">
        <f t="shared" si="81"/>
        <v>ORD26004015</v>
      </c>
      <c r="E1793" s="38">
        <v>46275</v>
      </c>
      <c r="F1793" s="23" t="s">
        <v>12410</v>
      </c>
      <c r="G1793" s="23" t="s">
        <v>75</v>
      </c>
      <c r="H1793" s="24">
        <v>8998</v>
      </c>
      <c r="I1793" s="24">
        <v>26.99</v>
      </c>
      <c r="J1793" s="24">
        <v>4.8600000000000003</v>
      </c>
      <c r="K1793" s="24">
        <v>8966.15</v>
      </c>
      <c r="L1793" s="38">
        <v>46277</v>
      </c>
      <c r="M1793" s="23" t="s">
        <v>104</v>
      </c>
      <c r="N1793" s="23" t="str">
        <f>IF(COUNTIF($A$2:A1793,A1793)&gt;1,"DUP","OK")</f>
        <v>OK</v>
      </c>
      <c r="O1793" s="23" t="str">
        <f t="shared" si="82"/>
        <v>ORD26004015</v>
      </c>
      <c r="P1793" s="23" t="str">
        <f t="shared" si="83"/>
        <v>Sep</v>
      </c>
      <c r="Q1793" s="23" t="str">
        <f>IF(F1793="CAPTURE",IF(COUNTIF(orders!$A:$A,O1793)&gt;0,"Yes","NO ORDER"),"")</f>
        <v>Yes</v>
      </c>
    </row>
    <row r="1794" spans="1:17" ht="15" customHeight="1" x14ac:dyDescent="0.3">
      <c r="A1794" s="23" t="s">
        <v>14506</v>
      </c>
      <c r="B1794" s="23"/>
      <c r="C1794" s="23" t="s">
        <v>8531</v>
      </c>
      <c r="D1794" s="23" t="str">
        <f t="shared" ref="D1794:D1857" si="84">UPPER(SUBSTITUTE(TRIM(C1794),"-",""))</f>
        <v>ORD26004023</v>
      </c>
      <c r="E1794" s="38">
        <v>46275</v>
      </c>
      <c r="F1794" s="23" t="s">
        <v>12410</v>
      </c>
      <c r="G1794" s="23" t="s">
        <v>75</v>
      </c>
      <c r="H1794" s="24">
        <v>2397</v>
      </c>
      <c r="I1794" s="24">
        <v>7.19</v>
      </c>
      <c r="J1794" s="24">
        <v>1.29</v>
      </c>
      <c r="K1794" s="24">
        <v>2388.52</v>
      </c>
      <c r="L1794" s="38">
        <v>46277</v>
      </c>
      <c r="M1794" s="23" t="s">
        <v>104</v>
      </c>
      <c r="N1794" s="23" t="str">
        <f>IF(COUNTIF($A$2:A1794,A1794)&gt;1,"DUP","OK")</f>
        <v>OK</v>
      </c>
      <c r="O1794" s="23" t="str">
        <f t="shared" ref="O1794:O1857" si="85">IF(F1794="REFUND",INDEX($D:$D,MATCH(B1794,$A:$A,0)),D1794)</f>
        <v>ORD26004023</v>
      </c>
      <c r="P1794" s="23" t="str">
        <f t="shared" ref="P1794:P1857" si="86">IF(L1794&gt;DATE(2026,9,30),"Oct-Due","Sep")</f>
        <v>Sep</v>
      </c>
      <c r="Q1794" s="23" t="str">
        <f>IF(F1794="CAPTURE",IF(COUNTIF(orders!$A:$A,O1794)&gt;0,"Yes","NO ORDER"),"")</f>
        <v>Yes</v>
      </c>
    </row>
    <row r="1795" spans="1:17" ht="15" customHeight="1" x14ac:dyDescent="0.3">
      <c r="A1795" s="23" t="s">
        <v>14507</v>
      </c>
      <c r="B1795" s="23"/>
      <c r="C1795" s="23" t="s">
        <v>8566</v>
      </c>
      <c r="D1795" s="23" t="str">
        <f t="shared" si="84"/>
        <v>ORD26004041</v>
      </c>
      <c r="E1795" s="38">
        <v>46275</v>
      </c>
      <c r="F1795" s="23" t="s">
        <v>12410</v>
      </c>
      <c r="G1795" s="23" t="s">
        <v>75</v>
      </c>
      <c r="H1795" s="24">
        <v>4597</v>
      </c>
      <c r="I1795" s="24">
        <v>13.79</v>
      </c>
      <c r="J1795" s="24">
        <v>2.48</v>
      </c>
      <c r="K1795" s="24">
        <v>4580.7299999999996</v>
      </c>
      <c r="L1795" s="38">
        <v>46277</v>
      </c>
      <c r="M1795" s="23" t="s">
        <v>104</v>
      </c>
      <c r="N1795" s="23" t="str">
        <f>IF(COUNTIF($A$2:A1795,A1795)&gt;1,"DUP","OK")</f>
        <v>OK</v>
      </c>
      <c r="O1795" s="23" t="str">
        <f t="shared" si="85"/>
        <v>ORD26004041</v>
      </c>
      <c r="P1795" s="23" t="str">
        <f t="shared" si="86"/>
        <v>Sep</v>
      </c>
      <c r="Q1795" s="23" t="str">
        <f>IF(F1795="CAPTURE",IF(COUNTIF(orders!$A:$A,O1795)&gt;0,"Yes","NO ORDER"),"")</f>
        <v>Yes</v>
      </c>
    </row>
    <row r="1796" spans="1:17" ht="15" customHeight="1" x14ac:dyDescent="0.3">
      <c r="A1796" s="23" t="s">
        <v>14508</v>
      </c>
      <c r="B1796" s="23"/>
      <c r="C1796" s="23" t="s">
        <v>8658</v>
      </c>
      <c r="D1796" s="23" t="str">
        <f t="shared" si="84"/>
        <v>ORD26004088</v>
      </c>
      <c r="E1796" s="38">
        <v>46275</v>
      </c>
      <c r="F1796" s="23" t="s">
        <v>12410</v>
      </c>
      <c r="G1796" s="23" t="s">
        <v>81</v>
      </c>
      <c r="H1796" s="24">
        <v>1798</v>
      </c>
      <c r="I1796" s="24">
        <v>26.97</v>
      </c>
      <c r="J1796" s="24">
        <v>4.8499999999999996</v>
      </c>
      <c r="K1796" s="24">
        <v>1766.18</v>
      </c>
      <c r="L1796" s="38">
        <v>46277</v>
      </c>
      <c r="M1796" s="23" t="s">
        <v>104</v>
      </c>
      <c r="N1796" s="23" t="str">
        <f>IF(COUNTIF($A$2:A1796,A1796)&gt;1,"DUP","OK")</f>
        <v>OK</v>
      </c>
      <c r="O1796" s="23" t="str">
        <f t="shared" si="85"/>
        <v>ORD26004088</v>
      </c>
      <c r="P1796" s="23" t="str">
        <f t="shared" si="86"/>
        <v>Sep</v>
      </c>
      <c r="Q1796" s="23" t="str">
        <f>IF(F1796="CAPTURE",IF(COUNTIF(orders!$A:$A,O1796)&gt;0,"Yes","NO ORDER"),"")</f>
        <v>Yes</v>
      </c>
    </row>
    <row r="1797" spans="1:17" ht="15" customHeight="1" x14ac:dyDescent="0.3">
      <c r="A1797" s="23" t="s">
        <v>14509</v>
      </c>
      <c r="B1797" s="23"/>
      <c r="C1797" s="23" t="s">
        <v>8713</v>
      </c>
      <c r="D1797" s="23" t="str">
        <f t="shared" si="84"/>
        <v>ORD26004116</v>
      </c>
      <c r="E1797" s="38">
        <v>46275</v>
      </c>
      <c r="F1797" s="23" t="s">
        <v>12410</v>
      </c>
      <c r="G1797" s="23" t="s">
        <v>75</v>
      </c>
      <c r="H1797" s="24">
        <v>799</v>
      </c>
      <c r="I1797" s="24">
        <v>0</v>
      </c>
      <c r="J1797" s="24">
        <v>0</v>
      </c>
      <c r="K1797" s="24">
        <v>799</v>
      </c>
      <c r="L1797" s="38">
        <v>46277</v>
      </c>
      <c r="M1797" s="23" t="s">
        <v>104</v>
      </c>
      <c r="N1797" s="23" t="str">
        <f>IF(COUNTIF($A$2:A1797,A1797)&gt;1,"DUP","OK")</f>
        <v>OK</v>
      </c>
      <c r="O1797" s="23" t="str">
        <f t="shared" si="85"/>
        <v>ORD26004116</v>
      </c>
      <c r="P1797" s="23" t="str">
        <f t="shared" si="86"/>
        <v>Sep</v>
      </c>
      <c r="Q1797" s="23" t="str">
        <f>IF(F1797="CAPTURE",IF(COUNTIF(orders!$A:$A,O1797)&gt;0,"Yes","NO ORDER"),"")</f>
        <v>Yes</v>
      </c>
    </row>
    <row r="1798" spans="1:17" ht="15" customHeight="1" x14ac:dyDescent="0.3">
      <c r="A1798" s="23" t="s">
        <v>14510</v>
      </c>
      <c r="B1798" s="23"/>
      <c r="C1798" s="23" t="s">
        <v>8805</v>
      </c>
      <c r="D1798" s="23" t="str">
        <f t="shared" si="84"/>
        <v>ORD26004164</v>
      </c>
      <c r="E1798" s="38">
        <v>46275</v>
      </c>
      <c r="F1798" s="23" t="s">
        <v>12410</v>
      </c>
      <c r="G1798" s="23" t="s">
        <v>79</v>
      </c>
      <c r="H1798" s="24">
        <v>299</v>
      </c>
      <c r="I1798" s="24">
        <v>5.38</v>
      </c>
      <c r="J1798" s="24">
        <v>0.97</v>
      </c>
      <c r="K1798" s="24">
        <v>292.64999999999998</v>
      </c>
      <c r="L1798" s="38">
        <v>46277</v>
      </c>
      <c r="M1798" s="23" t="s">
        <v>104</v>
      </c>
      <c r="N1798" s="23" t="str">
        <f>IF(COUNTIF($A$2:A1798,A1798)&gt;1,"DUP","OK")</f>
        <v>OK</v>
      </c>
      <c r="O1798" s="23" t="str">
        <f t="shared" si="85"/>
        <v>ORD26004164</v>
      </c>
      <c r="P1798" s="23" t="str">
        <f t="shared" si="86"/>
        <v>Sep</v>
      </c>
      <c r="Q1798" s="23" t="str">
        <f>IF(F1798="CAPTURE",IF(COUNTIF(orders!$A:$A,O1798)&gt;0,"Yes","NO ORDER"),"")</f>
        <v>Yes</v>
      </c>
    </row>
    <row r="1799" spans="1:17" ht="15" customHeight="1" x14ac:dyDescent="0.3">
      <c r="A1799" s="23" t="s">
        <v>14511</v>
      </c>
      <c r="B1799" s="23"/>
      <c r="C1799" s="23" t="s">
        <v>8837</v>
      </c>
      <c r="D1799" s="23" t="str">
        <f t="shared" si="84"/>
        <v>ORD26004181</v>
      </c>
      <c r="E1799" s="38">
        <v>46275</v>
      </c>
      <c r="F1799" s="23" t="s">
        <v>12410</v>
      </c>
      <c r="G1799" s="23" t="s">
        <v>77</v>
      </c>
      <c r="H1799" s="24">
        <v>349</v>
      </c>
      <c r="I1799" s="24">
        <v>6.63</v>
      </c>
      <c r="J1799" s="24">
        <v>1.19</v>
      </c>
      <c r="K1799" s="24">
        <v>341.18</v>
      </c>
      <c r="L1799" s="38">
        <v>46277</v>
      </c>
      <c r="M1799" s="23" t="s">
        <v>104</v>
      </c>
      <c r="N1799" s="23" t="str">
        <f>IF(COUNTIF($A$2:A1799,A1799)&gt;1,"DUP","OK")</f>
        <v>OK</v>
      </c>
      <c r="O1799" s="23" t="str">
        <f t="shared" si="85"/>
        <v>ORD26004181</v>
      </c>
      <c r="P1799" s="23" t="str">
        <f t="shared" si="86"/>
        <v>Sep</v>
      </c>
      <c r="Q1799" s="23" t="str">
        <f>IF(F1799="CAPTURE",IF(COUNTIF(orders!$A:$A,O1799)&gt;0,"Yes","NO ORDER"),"")</f>
        <v>Yes</v>
      </c>
    </row>
    <row r="1800" spans="1:17" ht="15" customHeight="1" x14ac:dyDescent="0.3">
      <c r="A1800" s="23" t="s">
        <v>14512</v>
      </c>
      <c r="B1800" s="23"/>
      <c r="C1800" s="23" t="s">
        <v>8896</v>
      </c>
      <c r="D1800" s="23" t="str">
        <f t="shared" si="84"/>
        <v>ORD26004210</v>
      </c>
      <c r="E1800" s="38">
        <v>46275</v>
      </c>
      <c r="F1800" s="23" t="s">
        <v>12410</v>
      </c>
      <c r="G1800" s="23" t="s">
        <v>75</v>
      </c>
      <c r="H1800" s="24">
        <v>5498</v>
      </c>
      <c r="I1800" s="24">
        <v>16.489999999999998</v>
      </c>
      <c r="J1800" s="24">
        <v>2.97</v>
      </c>
      <c r="K1800" s="24">
        <v>5478.54</v>
      </c>
      <c r="L1800" s="38">
        <v>46277</v>
      </c>
      <c r="M1800" s="23" t="s">
        <v>104</v>
      </c>
      <c r="N1800" s="23" t="str">
        <f>IF(COUNTIF($A$2:A1800,A1800)&gt;1,"DUP","OK")</f>
        <v>OK</v>
      </c>
      <c r="O1800" s="23" t="str">
        <f t="shared" si="85"/>
        <v>ORD26004210</v>
      </c>
      <c r="P1800" s="23" t="str">
        <f t="shared" si="86"/>
        <v>Sep</v>
      </c>
      <c r="Q1800" s="23" t="str">
        <f>IF(F1800="CAPTURE",IF(COUNTIF(orders!$A:$A,O1800)&gt;0,"Yes","NO ORDER"),"")</f>
        <v>Yes</v>
      </c>
    </row>
    <row r="1801" spans="1:17" ht="15" customHeight="1" x14ac:dyDescent="0.3">
      <c r="A1801" s="23" t="s">
        <v>14513</v>
      </c>
      <c r="B1801" s="23"/>
      <c r="C1801" s="23" t="s">
        <v>8921</v>
      </c>
      <c r="D1801" s="23" t="str">
        <f t="shared" si="84"/>
        <v>ORD26004223</v>
      </c>
      <c r="E1801" s="38">
        <v>46275</v>
      </c>
      <c r="F1801" s="23" t="s">
        <v>12410</v>
      </c>
      <c r="G1801" s="23" t="s">
        <v>75</v>
      </c>
      <c r="H1801" s="24">
        <v>4999</v>
      </c>
      <c r="I1801" s="24">
        <v>15</v>
      </c>
      <c r="J1801" s="24">
        <v>2.7</v>
      </c>
      <c r="K1801" s="24">
        <v>4981.3</v>
      </c>
      <c r="L1801" s="38">
        <v>46277</v>
      </c>
      <c r="M1801" s="23" t="s">
        <v>104</v>
      </c>
      <c r="N1801" s="23" t="str">
        <f>IF(COUNTIF($A$2:A1801,A1801)&gt;1,"DUP","OK")</f>
        <v>OK</v>
      </c>
      <c r="O1801" s="23" t="str">
        <f t="shared" si="85"/>
        <v>ORD26004223</v>
      </c>
      <c r="P1801" s="23" t="str">
        <f t="shared" si="86"/>
        <v>Sep</v>
      </c>
      <c r="Q1801" s="23" t="str">
        <f>IF(F1801="CAPTURE",IF(COUNTIF(orders!$A:$A,O1801)&gt;0,"Yes","NO ORDER"),"")</f>
        <v>Yes</v>
      </c>
    </row>
    <row r="1802" spans="1:17" ht="15" customHeight="1" x14ac:dyDescent="0.3">
      <c r="A1802" s="23" t="s">
        <v>14514</v>
      </c>
      <c r="B1802" s="23"/>
      <c r="C1802" s="23" t="s">
        <v>8973</v>
      </c>
      <c r="D1802" s="23" t="str">
        <f t="shared" si="84"/>
        <v>ORD26004250</v>
      </c>
      <c r="E1802" s="38">
        <v>46275</v>
      </c>
      <c r="F1802" s="23" t="s">
        <v>12410</v>
      </c>
      <c r="G1802" s="23" t="s">
        <v>75</v>
      </c>
      <c r="H1802" s="24">
        <v>299</v>
      </c>
      <c r="I1802" s="24">
        <v>0</v>
      </c>
      <c r="J1802" s="24">
        <v>0</v>
      </c>
      <c r="K1802" s="24">
        <v>299</v>
      </c>
      <c r="L1802" s="38">
        <v>46277</v>
      </c>
      <c r="M1802" s="23" t="s">
        <v>104</v>
      </c>
      <c r="N1802" s="23" t="str">
        <f>IF(COUNTIF($A$2:A1802,A1802)&gt;1,"DUP","OK")</f>
        <v>OK</v>
      </c>
      <c r="O1802" s="23" t="str">
        <f t="shared" si="85"/>
        <v>ORD26004250</v>
      </c>
      <c r="P1802" s="23" t="str">
        <f t="shared" si="86"/>
        <v>Sep</v>
      </c>
      <c r="Q1802" s="23" t="str">
        <f>IF(F1802="CAPTURE",IF(COUNTIF(orders!$A:$A,O1802)&gt;0,"Yes","NO ORDER"),"")</f>
        <v>Yes</v>
      </c>
    </row>
    <row r="1803" spans="1:17" ht="15" customHeight="1" x14ac:dyDescent="0.3">
      <c r="A1803" s="23" t="s">
        <v>14515</v>
      </c>
      <c r="B1803" s="23"/>
      <c r="C1803" s="23" t="s">
        <v>9057</v>
      </c>
      <c r="D1803" s="23" t="str">
        <f t="shared" si="84"/>
        <v>ORD26004292</v>
      </c>
      <c r="E1803" s="38">
        <v>46275</v>
      </c>
      <c r="F1803" s="23" t="s">
        <v>12410</v>
      </c>
      <c r="G1803" s="23" t="s">
        <v>75</v>
      </c>
      <c r="H1803" s="24">
        <v>1798</v>
      </c>
      <c r="I1803" s="24">
        <v>0</v>
      </c>
      <c r="J1803" s="24">
        <v>0</v>
      </c>
      <c r="K1803" s="24">
        <v>1798</v>
      </c>
      <c r="L1803" s="38">
        <v>46277</v>
      </c>
      <c r="M1803" s="23" t="s">
        <v>104</v>
      </c>
      <c r="N1803" s="23" t="str">
        <f>IF(COUNTIF($A$2:A1803,A1803)&gt;1,"DUP","OK")</f>
        <v>OK</v>
      </c>
      <c r="O1803" s="23" t="str">
        <f t="shared" si="85"/>
        <v>ORD26004292</v>
      </c>
      <c r="P1803" s="23" t="str">
        <f t="shared" si="86"/>
        <v>Sep</v>
      </c>
      <c r="Q1803" s="23" t="str">
        <f>IF(F1803="CAPTURE",IF(COUNTIF(orders!$A:$A,O1803)&gt;0,"Yes","NO ORDER"),"")</f>
        <v>Yes</v>
      </c>
    </row>
    <row r="1804" spans="1:17" ht="15" customHeight="1" x14ac:dyDescent="0.3">
      <c r="A1804" s="23" t="s">
        <v>14516</v>
      </c>
      <c r="B1804" s="23"/>
      <c r="C1804" s="23" t="s">
        <v>14517</v>
      </c>
      <c r="D1804" s="23" t="str">
        <f t="shared" si="84"/>
        <v>ORD26004347</v>
      </c>
      <c r="E1804" s="38">
        <v>46275</v>
      </c>
      <c r="F1804" s="23" t="s">
        <v>12410</v>
      </c>
      <c r="G1804" s="23" t="s">
        <v>79</v>
      </c>
      <c r="H1804" s="24">
        <v>349</v>
      </c>
      <c r="I1804" s="24">
        <v>6.28</v>
      </c>
      <c r="J1804" s="24">
        <v>1.1299999999999999</v>
      </c>
      <c r="K1804" s="24">
        <v>341.59</v>
      </c>
      <c r="L1804" s="38">
        <v>46277</v>
      </c>
      <c r="M1804" s="23" t="s">
        <v>104</v>
      </c>
      <c r="N1804" s="23" t="str">
        <f>IF(COUNTIF($A$2:A1804,A1804)&gt;1,"DUP","OK")</f>
        <v>OK</v>
      </c>
      <c r="O1804" s="23" t="str">
        <f t="shared" si="85"/>
        <v>ORD26004347</v>
      </c>
      <c r="P1804" s="23" t="str">
        <f t="shared" si="86"/>
        <v>Sep</v>
      </c>
      <c r="Q1804" s="23" t="str">
        <f>IF(F1804="CAPTURE",IF(COUNTIF(orders!$A:$A,O1804)&gt;0,"Yes","NO ORDER"),"")</f>
        <v>Yes</v>
      </c>
    </row>
    <row r="1805" spans="1:17" ht="15" customHeight="1" x14ac:dyDescent="0.3">
      <c r="A1805" s="23" t="s">
        <v>14518</v>
      </c>
      <c r="B1805" s="23"/>
      <c r="C1805" s="23" t="s">
        <v>9254</v>
      </c>
      <c r="D1805" s="23" t="str">
        <f t="shared" si="84"/>
        <v>ORD26004390</v>
      </c>
      <c r="E1805" s="38">
        <v>46275</v>
      </c>
      <c r="F1805" s="23" t="s">
        <v>12410</v>
      </c>
      <c r="G1805" s="23" t="s">
        <v>75</v>
      </c>
      <c r="H1805" s="24">
        <v>4397</v>
      </c>
      <c r="I1805" s="24">
        <v>13.19</v>
      </c>
      <c r="J1805" s="24">
        <v>2.37</v>
      </c>
      <c r="K1805" s="24">
        <v>4381.4399999999996</v>
      </c>
      <c r="L1805" s="38">
        <v>46277</v>
      </c>
      <c r="M1805" s="23" t="s">
        <v>104</v>
      </c>
      <c r="N1805" s="23" t="str">
        <f>IF(COUNTIF($A$2:A1805,A1805)&gt;1,"DUP","OK")</f>
        <v>OK</v>
      </c>
      <c r="O1805" s="23" t="str">
        <f t="shared" si="85"/>
        <v>ORD26004390</v>
      </c>
      <c r="P1805" s="23" t="str">
        <f t="shared" si="86"/>
        <v>Sep</v>
      </c>
      <c r="Q1805" s="23" t="str">
        <f>IF(F1805="CAPTURE",IF(COUNTIF(orders!$A:$A,O1805)&gt;0,"Yes","NO ORDER"),"")</f>
        <v>Yes</v>
      </c>
    </row>
    <row r="1806" spans="1:17" ht="15" customHeight="1" x14ac:dyDescent="0.3">
      <c r="A1806" s="23" t="s">
        <v>14519</v>
      </c>
      <c r="B1806" s="23"/>
      <c r="C1806" s="23" t="s">
        <v>9328</v>
      </c>
      <c r="D1806" s="23" t="str">
        <f t="shared" si="84"/>
        <v>ORD26004428</v>
      </c>
      <c r="E1806" s="38">
        <v>46275</v>
      </c>
      <c r="F1806" s="23" t="s">
        <v>12410</v>
      </c>
      <c r="G1806" s="23" t="s">
        <v>75</v>
      </c>
      <c r="H1806" s="24">
        <v>599</v>
      </c>
      <c r="I1806" s="24">
        <v>0</v>
      </c>
      <c r="J1806" s="24">
        <v>0</v>
      </c>
      <c r="K1806" s="24">
        <v>599</v>
      </c>
      <c r="L1806" s="38">
        <v>46277</v>
      </c>
      <c r="M1806" s="23" t="s">
        <v>104</v>
      </c>
      <c r="N1806" s="23" t="str">
        <f>IF(COUNTIF($A$2:A1806,A1806)&gt;1,"DUP","OK")</f>
        <v>OK</v>
      </c>
      <c r="O1806" s="23" t="str">
        <f t="shared" si="85"/>
        <v>ORD26004428</v>
      </c>
      <c r="P1806" s="23" t="str">
        <f t="shared" si="86"/>
        <v>Sep</v>
      </c>
      <c r="Q1806" s="23" t="str">
        <f>IF(F1806="CAPTURE",IF(COUNTIF(orders!$A:$A,O1806)&gt;0,"Yes","NO ORDER"),"")</f>
        <v>Yes</v>
      </c>
    </row>
    <row r="1807" spans="1:17" ht="15" customHeight="1" x14ac:dyDescent="0.3">
      <c r="A1807" s="23" t="s">
        <v>14520</v>
      </c>
      <c r="B1807" s="23"/>
      <c r="C1807" s="23" t="s">
        <v>9350</v>
      </c>
      <c r="D1807" s="23" t="str">
        <f t="shared" si="84"/>
        <v>ORD26004439</v>
      </c>
      <c r="E1807" s="38">
        <v>46275</v>
      </c>
      <c r="F1807" s="23" t="s">
        <v>12410</v>
      </c>
      <c r="G1807" s="23" t="s">
        <v>81</v>
      </c>
      <c r="H1807" s="24">
        <v>349</v>
      </c>
      <c r="I1807" s="24">
        <v>5.24</v>
      </c>
      <c r="J1807" s="24">
        <v>0.94</v>
      </c>
      <c r="K1807" s="24">
        <v>342.82</v>
      </c>
      <c r="L1807" s="38">
        <v>46277</v>
      </c>
      <c r="M1807" s="23" t="s">
        <v>104</v>
      </c>
      <c r="N1807" s="23" t="str">
        <f>IF(COUNTIF($A$2:A1807,A1807)&gt;1,"DUP","OK")</f>
        <v>OK</v>
      </c>
      <c r="O1807" s="23" t="str">
        <f t="shared" si="85"/>
        <v>ORD26004439</v>
      </c>
      <c r="P1807" s="23" t="str">
        <f t="shared" si="86"/>
        <v>Sep</v>
      </c>
      <c r="Q1807" s="23" t="str">
        <f>IF(F1807="CAPTURE",IF(COUNTIF(orders!$A:$A,O1807)&gt;0,"Yes","NO ORDER"),"")</f>
        <v>Yes</v>
      </c>
    </row>
    <row r="1808" spans="1:17" ht="15" customHeight="1" x14ac:dyDescent="0.3">
      <c r="A1808" s="23" t="s">
        <v>14521</v>
      </c>
      <c r="B1808" s="23"/>
      <c r="C1808" s="23" t="s">
        <v>9356</v>
      </c>
      <c r="D1808" s="23" t="str">
        <f t="shared" si="84"/>
        <v>ORD26004442</v>
      </c>
      <c r="E1808" s="38">
        <v>46275</v>
      </c>
      <c r="F1808" s="23" t="s">
        <v>12410</v>
      </c>
      <c r="G1808" s="23" t="s">
        <v>75</v>
      </c>
      <c r="H1808" s="24">
        <v>2247</v>
      </c>
      <c r="I1808" s="24">
        <v>6.74</v>
      </c>
      <c r="J1808" s="24">
        <v>1.21</v>
      </c>
      <c r="K1808" s="24">
        <v>2239.0500000000002</v>
      </c>
      <c r="L1808" s="38">
        <v>46277</v>
      </c>
      <c r="M1808" s="23" t="s">
        <v>104</v>
      </c>
      <c r="N1808" s="23" t="str">
        <f>IF(COUNTIF($A$2:A1808,A1808)&gt;1,"DUP","OK")</f>
        <v>OK</v>
      </c>
      <c r="O1808" s="23" t="str">
        <f t="shared" si="85"/>
        <v>ORD26004442</v>
      </c>
      <c r="P1808" s="23" t="str">
        <f t="shared" si="86"/>
        <v>Sep</v>
      </c>
      <c r="Q1808" s="23" t="str">
        <f>IF(F1808="CAPTURE",IF(COUNTIF(orders!$A:$A,O1808)&gt;0,"Yes","NO ORDER"),"")</f>
        <v>Yes</v>
      </c>
    </row>
    <row r="1809" spans="1:17" ht="15" customHeight="1" x14ac:dyDescent="0.3">
      <c r="A1809" s="23" t="s">
        <v>14522</v>
      </c>
      <c r="B1809" s="23"/>
      <c r="C1809" s="23" t="s">
        <v>9599</v>
      </c>
      <c r="D1809" s="23" t="str">
        <f t="shared" si="84"/>
        <v>ORD26004563</v>
      </c>
      <c r="E1809" s="38">
        <v>46275</v>
      </c>
      <c r="F1809" s="23" t="s">
        <v>12410</v>
      </c>
      <c r="G1809" s="23" t="s">
        <v>79</v>
      </c>
      <c r="H1809" s="24">
        <v>349</v>
      </c>
      <c r="I1809" s="24">
        <v>6.28</v>
      </c>
      <c r="J1809" s="24">
        <v>1.1299999999999999</v>
      </c>
      <c r="K1809" s="24">
        <v>341.59</v>
      </c>
      <c r="L1809" s="38">
        <v>46277</v>
      </c>
      <c r="M1809" s="23" t="s">
        <v>104</v>
      </c>
      <c r="N1809" s="23" t="str">
        <f>IF(COUNTIF($A$2:A1809,A1809)&gt;1,"DUP","OK")</f>
        <v>OK</v>
      </c>
      <c r="O1809" s="23" t="str">
        <f t="shared" si="85"/>
        <v>ORD26004563</v>
      </c>
      <c r="P1809" s="23" t="str">
        <f t="shared" si="86"/>
        <v>Sep</v>
      </c>
      <c r="Q1809" s="23" t="str">
        <f>IF(F1809="CAPTURE",IF(COUNTIF(orders!$A:$A,O1809)&gt;0,"Yes","NO ORDER"),"")</f>
        <v>Yes</v>
      </c>
    </row>
    <row r="1810" spans="1:17" ht="15" customHeight="1" x14ac:dyDescent="0.3">
      <c r="A1810" s="23" t="s">
        <v>14523</v>
      </c>
      <c r="B1810" s="23"/>
      <c r="C1810" s="23" t="s">
        <v>9609</v>
      </c>
      <c r="D1810" s="23" t="str">
        <f t="shared" si="84"/>
        <v>ORD26004568</v>
      </c>
      <c r="E1810" s="38">
        <v>46275</v>
      </c>
      <c r="F1810" s="23" t="s">
        <v>12410</v>
      </c>
      <c r="G1810" s="23" t="s">
        <v>77</v>
      </c>
      <c r="H1810" s="24">
        <v>3498</v>
      </c>
      <c r="I1810" s="24">
        <v>59.47</v>
      </c>
      <c r="J1810" s="24">
        <v>10.7</v>
      </c>
      <c r="K1810" s="24">
        <v>3427.83</v>
      </c>
      <c r="L1810" s="38">
        <v>46277</v>
      </c>
      <c r="M1810" s="23" t="s">
        <v>104</v>
      </c>
      <c r="N1810" s="23" t="str">
        <f>IF(COUNTIF($A$2:A1810,A1810)&gt;1,"DUP","OK")</f>
        <v>OK</v>
      </c>
      <c r="O1810" s="23" t="str">
        <f t="shared" si="85"/>
        <v>ORD26004568</v>
      </c>
      <c r="P1810" s="23" t="str">
        <f t="shared" si="86"/>
        <v>Sep</v>
      </c>
      <c r="Q1810" s="23" t="str">
        <f>IF(F1810="CAPTURE",IF(COUNTIF(orders!$A:$A,O1810)&gt;0,"Yes","NO ORDER"),"")</f>
        <v>Yes</v>
      </c>
    </row>
    <row r="1811" spans="1:17" ht="15" customHeight="1" x14ac:dyDescent="0.3">
      <c r="A1811" s="23" t="s">
        <v>14524</v>
      </c>
      <c r="B1811" s="23"/>
      <c r="C1811" s="23" t="s">
        <v>9795</v>
      </c>
      <c r="D1811" s="23" t="str">
        <f t="shared" si="84"/>
        <v>ORD26004663</v>
      </c>
      <c r="E1811" s="38">
        <v>46275</v>
      </c>
      <c r="F1811" s="23" t="s">
        <v>12410</v>
      </c>
      <c r="G1811" s="23" t="s">
        <v>79</v>
      </c>
      <c r="H1811" s="24">
        <v>6498</v>
      </c>
      <c r="I1811" s="24">
        <v>103.97</v>
      </c>
      <c r="J1811" s="24">
        <v>18.71</v>
      </c>
      <c r="K1811" s="24">
        <v>6375.32</v>
      </c>
      <c r="L1811" s="38">
        <v>46277</v>
      </c>
      <c r="M1811" s="23" t="s">
        <v>104</v>
      </c>
      <c r="N1811" s="23" t="str">
        <f>IF(COUNTIF($A$2:A1811,A1811)&gt;1,"DUP","OK")</f>
        <v>OK</v>
      </c>
      <c r="O1811" s="23" t="str">
        <f t="shared" si="85"/>
        <v>ORD26004663</v>
      </c>
      <c r="P1811" s="23" t="str">
        <f t="shared" si="86"/>
        <v>Sep</v>
      </c>
      <c r="Q1811" s="23" t="str">
        <f>IF(F1811="CAPTURE",IF(COUNTIF(orders!$A:$A,O1811)&gt;0,"Yes","NO ORDER"),"")</f>
        <v>Yes</v>
      </c>
    </row>
    <row r="1812" spans="1:17" ht="15" customHeight="1" x14ac:dyDescent="0.3">
      <c r="A1812" s="23" t="s">
        <v>14525</v>
      </c>
      <c r="B1812" s="23"/>
      <c r="C1812" s="23" t="s">
        <v>9842</v>
      </c>
      <c r="D1812" s="23" t="str">
        <f t="shared" si="84"/>
        <v>ORD26004687</v>
      </c>
      <c r="E1812" s="38">
        <v>46275</v>
      </c>
      <c r="F1812" s="23" t="s">
        <v>12410</v>
      </c>
      <c r="G1812" s="23" t="s">
        <v>79</v>
      </c>
      <c r="H1812" s="24">
        <v>1648</v>
      </c>
      <c r="I1812" s="24">
        <v>29.66</v>
      </c>
      <c r="J1812" s="24">
        <v>5.34</v>
      </c>
      <c r="K1812" s="24">
        <v>1613</v>
      </c>
      <c r="L1812" s="38">
        <v>46277</v>
      </c>
      <c r="M1812" s="23" t="s">
        <v>104</v>
      </c>
      <c r="N1812" s="23" t="str">
        <f>IF(COUNTIF($A$2:A1812,A1812)&gt;1,"DUP","OK")</f>
        <v>OK</v>
      </c>
      <c r="O1812" s="23" t="str">
        <f t="shared" si="85"/>
        <v>ORD26004687</v>
      </c>
      <c r="P1812" s="23" t="str">
        <f t="shared" si="86"/>
        <v>Sep</v>
      </c>
      <c r="Q1812" s="23" t="str">
        <f>IF(F1812="CAPTURE",IF(COUNTIF(orders!$A:$A,O1812)&gt;0,"Yes","NO ORDER"),"")</f>
        <v>Yes</v>
      </c>
    </row>
    <row r="1813" spans="1:17" ht="15" customHeight="1" x14ac:dyDescent="0.3">
      <c r="A1813" s="23" t="s">
        <v>14526</v>
      </c>
      <c r="B1813" s="23"/>
      <c r="C1813" s="23" t="s">
        <v>9926</v>
      </c>
      <c r="D1813" s="23" t="str">
        <f t="shared" si="84"/>
        <v>ORD26004730</v>
      </c>
      <c r="E1813" s="38">
        <v>46275</v>
      </c>
      <c r="F1813" s="23" t="s">
        <v>12410</v>
      </c>
      <c r="G1813" s="23" t="s">
        <v>75</v>
      </c>
      <c r="H1813" s="24">
        <v>1598</v>
      </c>
      <c r="I1813" s="24">
        <v>0</v>
      </c>
      <c r="J1813" s="24">
        <v>0</v>
      </c>
      <c r="K1813" s="24">
        <v>1598</v>
      </c>
      <c r="L1813" s="38">
        <v>46277</v>
      </c>
      <c r="M1813" s="23" t="s">
        <v>104</v>
      </c>
      <c r="N1813" s="23" t="str">
        <f>IF(COUNTIF($A$2:A1813,A1813)&gt;1,"DUP","OK")</f>
        <v>OK</v>
      </c>
      <c r="O1813" s="23" t="str">
        <f t="shared" si="85"/>
        <v>ORD26004730</v>
      </c>
      <c r="P1813" s="23" t="str">
        <f t="shared" si="86"/>
        <v>Sep</v>
      </c>
      <c r="Q1813" s="23" t="str">
        <f>IF(F1813="CAPTURE",IF(COUNTIF(orders!$A:$A,O1813)&gt;0,"Yes","NO ORDER"),"")</f>
        <v>Yes</v>
      </c>
    </row>
    <row r="1814" spans="1:17" ht="15" customHeight="1" x14ac:dyDescent="0.3">
      <c r="A1814" s="23" t="s">
        <v>14527</v>
      </c>
      <c r="B1814" s="23"/>
      <c r="C1814" s="23" t="s">
        <v>9950</v>
      </c>
      <c r="D1814" s="23" t="str">
        <f t="shared" si="84"/>
        <v>ORD26004743</v>
      </c>
      <c r="E1814" s="38">
        <v>46275</v>
      </c>
      <c r="F1814" s="23" t="s">
        <v>12410</v>
      </c>
      <c r="G1814" s="23" t="s">
        <v>75</v>
      </c>
      <c r="H1814" s="24">
        <v>1648</v>
      </c>
      <c r="I1814" s="24">
        <v>0</v>
      </c>
      <c r="J1814" s="24">
        <v>0</v>
      </c>
      <c r="K1814" s="24">
        <v>1648</v>
      </c>
      <c r="L1814" s="38">
        <v>46277</v>
      </c>
      <c r="M1814" s="23" t="s">
        <v>104</v>
      </c>
      <c r="N1814" s="23" t="str">
        <f>IF(COUNTIF($A$2:A1814,A1814)&gt;1,"DUP","OK")</f>
        <v>OK</v>
      </c>
      <c r="O1814" s="23" t="str">
        <f t="shared" si="85"/>
        <v>ORD26004743</v>
      </c>
      <c r="P1814" s="23" t="str">
        <f t="shared" si="86"/>
        <v>Sep</v>
      </c>
      <c r="Q1814" s="23" t="str">
        <f>IF(F1814="CAPTURE",IF(COUNTIF(orders!$A:$A,O1814)&gt;0,"Yes","NO ORDER"),"")</f>
        <v>Yes</v>
      </c>
    </row>
    <row r="1815" spans="1:17" ht="15" customHeight="1" x14ac:dyDescent="0.3">
      <c r="A1815" s="23" t="s">
        <v>14528</v>
      </c>
      <c r="B1815" s="23"/>
      <c r="C1815" s="23" t="s">
        <v>9981</v>
      </c>
      <c r="D1815" s="23" t="str">
        <f t="shared" si="84"/>
        <v>ORD26004758</v>
      </c>
      <c r="E1815" s="38">
        <v>46275</v>
      </c>
      <c r="F1815" s="23" t="s">
        <v>12410</v>
      </c>
      <c r="G1815" s="23" t="s">
        <v>75</v>
      </c>
      <c r="H1815" s="24">
        <v>499</v>
      </c>
      <c r="I1815" s="24">
        <v>0</v>
      </c>
      <c r="J1815" s="24">
        <v>0</v>
      </c>
      <c r="K1815" s="24">
        <v>499</v>
      </c>
      <c r="L1815" s="38">
        <v>46277</v>
      </c>
      <c r="M1815" s="23" t="s">
        <v>104</v>
      </c>
      <c r="N1815" s="23" t="str">
        <f>IF(COUNTIF($A$2:A1815,A1815)&gt;1,"DUP","OK")</f>
        <v>OK</v>
      </c>
      <c r="O1815" s="23" t="str">
        <f t="shared" si="85"/>
        <v>ORD26004758</v>
      </c>
      <c r="P1815" s="23" t="str">
        <f t="shared" si="86"/>
        <v>Sep</v>
      </c>
      <c r="Q1815" s="23" t="str">
        <f>IF(F1815="CAPTURE",IF(COUNTIF(orders!$A:$A,O1815)&gt;0,"Yes","NO ORDER"),"")</f>
        <v>Yes</v>
      </c>
    </row>
    <row r="1816" spans="1:17" ht="15" customHeight="1" x14ac:dyDescent="0.3">
      <c r="A1816" s="23" t="s">
        <v>14529</v>
      </c>
      <c r="B1816" s="23"/>
      <c r="C1816" s="23" t="s">
        <v>10014</v>
      </c>
      <c r="D1816" s="23" t="str">
        <f t="shared" si="84"/>
        <v>ORD26004776</v>
      </c>
      <c r="E1816" s="38">
        <v>46275</v>
      </c>
      <c r="F1816" s="23" t="s">
        <v>12410</v>
      </c>
      <c r="G1816" s="23" t="s">
        <v>79</v>
      </c>
      <c r="H1816" s="24">
        <v>2499</v>
      </c>
      <c r="I1816" s="24">
        <v>39.979999999999997</v>
      </c>
      <c r="J1816" s="24">
        <v>7.2</v>
      </c>
      <c r="K1816" s="24">
        <v>2451.8200000000002</v>
      </c>
      <c r="L1816" s="38">
        <v>46277</v>
      </c>
      <c r="M1816" s="23" t="s">
        <v>104</v>
      </c>
      <c r="N1816" s="23" t="str">
        <f>IF(COUNTIF($A$2:A1816,A1816)&gt;1,"DUP","OK")</f>
        <v>OK</v>
      </c>
      <c r="O1816" s="23" t="str">
        <f t="shared" si="85"/>
        <v>ORD26004776</v>
      </c>
      <c r="P1816" s="23" t="str">
        <f t="shared" si="86"/>
        <v>Sep</v>
      </c>
      <c r="Q1816" s="23" t="str">
        <f>IF(F1816="CAPTURE",IF(COUNTIF(orders!$A:$A,O1816)&gt;0,"Yes","NO ORDER"),"")</f>
        <v>Yes</v>
      </c>
    </row>
    <row r="1817" spans="1:17" ht="15" customHeight="1" x14ac:dyDescent="0.3">
      <c r="A1817" s="23" t="s">
        <v>14530</v>
      </c>
      <c r="B1817" s="23"/>
      <c r="C1817" s="23" t="s">
        <v>14531</v>
      </c>
      <c r="D1817" s="23" t="str">
        <f t="shared" si="84"/>
        <v>ORD26004778</v>
      </c>
      <c r="E1817" s="38">
        <v>46275</v>
      </c>
      <c r="F1817" s="23" t="s">
        <v>12410</v>
      </c>
      <c r="G1817" s="23" t="s">
        <v>75</v>
      </c>
      <c r="H1817" s="24">
        <v>499</v>
      </c>
      <c r="I1817" s="24">
        <v>0</v>
      </c>
      <c r="J1817" s="24">
        <v>0</v>
      </c>
      <c r="K1817" s="24">
        <v>499</v>
      </c>
      <c r="L1817" s="38">
        <v>46277</v>
      </c>
      <c r="M1817" s="23" t="s">
        <v>104</v>
      </c>
      <c r="N1817" s="23" t="str">
        <f>IF(COUNTIF($A$2:A1817,A1817)&gt;1,"DUP","OK")</f>
        <v>OK</v>
      </c>
      <c r="O1817" s="23" t="str">
        <f t="shared" si="85"/>
        <v>ORD26004778</v>
      </c>
      <c r="P1817" s="23" t="str">
        <f t="shared" si="86"/>
        <v>Sep</v>
      </c>
      <c r="Q1817" s="23" t="str">
        <f>IF(F1817="CAPTURE",IF(COUNTIF(orders!$A:$A,O1817)&gt;0,"Yes","NO ORDER"),"")</f>
        <v>Yes</v>
      </c>
    </row>
    <row r="1818" spans="1:17" ht="15" customHeight="1" x14ac:dyDescent="0.3">
      <c r="A1818" s="23" t="s">
        <v>14532</v>
      </c>
      <c r="B1818" s="23"/>
      <c r="C1818" s="23" t="s">
        <v>10048</v>
      </c>
      <c r="D1818" s="23" t="str">
        <f t="shared" si="84"/>
        <v>ORD26004793</v>
      </c>
      <c r="E1818" s="38">
        <v>46275</v>
      </c>
      <c r="F1818" s="23" t="s">
        <v>12410</v>
      </c>
      <c r="G1818" s="23" t="s">
        <v>77</v>
      </c>
      <c r="H1818" s="24">
        <v>7297</v>
      </c>
      <c r="I1818" s="24">
        <v>124.05</v>
      </c>
      <c r="J1818" s="24">
        <v>22.33</v>
      </c>
      <c r="K1818" s="24">
        <v>7150.62</v>
      </c>
      <c r="L1818" s="38">
        <v>46277</v>
      </c>
      <c r="M1818" s="23" t="s">
        <v>104</v>
      </c>
      <c r="N1818" s="23" t="str">
        <f>IF(COUNTIF($A$2:A1818,A1818)&gt;1,"DUP","OK")</f>
        <v>OK</v>
      </c>
      <c r="O1818" s="23" t="str">
        <f t="shared" si="85"/>
        <v>ORD26004793</v>
      </c>
      <c r="P1818" s="23" t="str">
        <f t="shared" si="86"/>
        <v>Sep</v>
      </c>
      <c r="Q1818" s="23" t="str">
        <f>IF(F1818="CAPTURE",IF(COUNTIF(orders!$A:$A,O1818)&gt;0,"Yes","NO ORDER"),"")</f>
        <v>Yes</v>
      </c>
    </row>
    <row r="1819" spans="1:17" ht="15" customHeight="1" x14ac:dyDescent="0.3">
      <c r="A1819" s="23" t="s">
        <v>14533</v>
      </c>
      <c r="B1819" s="23"/>
      <c r="C1819" s="23" t="s">
        <v>10142</v>
      </c>
      <c r="D1819" s="23" t="str">
        <f t="shared" si="84"/>
        <v>ORD26004841</v>
      </c>
      <c r="E1819" s="38">
        <v>46275</v>
      </c>
      <c r="F1819" s="23" t="s">
        <v>12410</v>
      </c>
      <c r="G1819" s="23" t="s">
        <v>75</v>
      </c>
      <c r="H1819" s="24">
        <v>1799</v>
      </c>
      <c r="I1819" s="24">
        <v>0</v>
      </c>
      <c r="J1819" s="24">
        <v>0</v>
      </c>
      <c r="K1819" s="24">
        <v>1799</v>
      </c>
      <c r="L1819" s="38">
        <v>46277</v>
      </c>
      <c r="M1819" s="23" t="s">
        <v>104</v>
      </c>
      <c r="N1819" s="23" t="str">
        <f>IF(COUNTIF($A$2:A1819,A1819)&gt;1,"DUP","OK")</f>
        <v>OK</v>
      </c>
      <c r="O1819" s="23" t="str">
        <f t="shared" si="85"/>
        <v>ORD26004841</v>
      </c>
      <c r="P1819" s="23" t="str">
        <f t="shared" si="86"/>
        <v>Sep</v>
      </c>
      <c r="Q1819" s="23" t="str">
        <f>IF(F1819="CAPTURE",IF(COUNTIF(orders!$A:$A,O1819)&gt;0,"Yes","NO ORDER"),"")</f>
        <v>Yes</v>
      </c>
    </row>
    <row r="1820" spans="1:17" ht="15" customHeight="1" x14ac:dyDescent="0.3">
      <c r="A1820" s="23" t="s">
        <v>14534</v>
      </c>
      <c r="B1820" s="23"/>
      <c r="C1820" s="23" t="s">
        <v>14535</v>
      </c>
      <c r="D1820" s="23" t="str">
        <f t="shared" si="84"/>
        <v>ORD26004854</v>
      </c>
      <c r="E1820" s="38">
        <v>46275</v>
      </c>
      <c r="F1820" s="23" t="s">
        <v>12410</v>
      </c>
      <c r="G1820" s="23" t="s">
        <v>81</v>
      </c>
      <c r="H1820" s="24">
        <v>1799</v>
      </c>
      <c r="I1820" s="24">
        <v>26.99</v>
      </c>
      <c r="J1820" s="24">
        <v>4.8600000000000003</v>
      </c>
      <c r="K1820" s="24">
        <v>1767.15</v>
      </c>
      <c r="L1820" s="38">
        <v>46277</v>
      </c>
      <c r="M1820" s="23" t="s">
        <v>104</v>
      </c>
      <c r="N1820" s="23" t="str">
        <f>IF(COUNTIF($A$2:A1820,A1820)&gt;1,"DUP","OK")</f>
        <v>OK</v>
      </c>
      <c r="O1820" s="23" t="str">
        <f t="shared" si="85"/>
        <v>ORD26004854</v>
      </c>
      <c r="P1820" s="23" t="str">
        <f t="shared" si="86"/>
        <v>Sep</v>
      </c>
      <c r="Q1820" s="23" t="str">
        <f>IF(F1820="CAPTURE",IF(COUNTIF(orders!$A:$A,O1820)&gt;0,"Yes","NO ORDER"),"")</f>
        <v>Yes</v>
      </c>
    </row>
    <row r="1821" spans="1:17" ht="15" customHeight="1" x14ac:dyDescent="0.3">
      <c r="A1821" s="23" t="s">
        <v>14536</v>
      </c>
      <c r="B1821" s="23"/>
      <c r="C1821" s="23" t="s">
        <v>10366</v>
      </c>
      <c r="D1821" s="23" t="str">
        <f t="shared" si="84"/>
        <v>ORD26004956</v>
      </c>
      <c r="E1821" s="38">
        <v>46275</v>
      </c>
      <c r="F1821" s="23" t="s">
        <v>12410</v>
      </c>
      <c r="G1821" s="23" t="s">
        <v>79</v>
      </c>
      <c r="H1821" s="24">
        <v>1299</v>
      </c>
      <c r="I1821" s="24">
        <v>23.38</v>
      </c>
      <c r="J1821" s="24">
        <v>4.21</v>
      </c>
      <c r="K1821" s="24">
        <v>1271.4100000000001</v>
      </c>
      <c r="L1821" s="38">
        <v>46277</v>
      </c>
      <c r="M1821" s="23" t="s">
        <v>104</v>
      </c>
      <c r="N1821" s="23" t="str">
        <f>IF(COUNTIF($A$2:A1821,A1821)&gt;1,"DUP","OK")</f>
        <v>OK</v>
      </c>
      <c r="O1821" s="23" t="str">
        <f t="shared" si="85"/>
        <v>ORD26004956</v>
      </c>
      <c r="P1821" s="23" t="str">
        <f t="shared" si="86"/>
        <v>Sep</v>
      </c>
      <c r="Q1821" s="23" t="str">
        <f>IF(F1821="CAPTURE",IF(COUNTIF(orders!$A:$A,O1821)&gt;0,"Yes","NO ORDER"),"")</f>
        <v>Yes</v>
      </c>
    </row>
    <row r="1822" spans="1:17" ht="15" customHeight="1" x14ac:dyDescent="0.3">
      <c r="A1822" s="23" t="s">
        <v>14537</v>
      </c>
      <c r="B1822" s="23"/>
      <c r="C1822" s="23" t="s">
        <v>10407</v>
      </c>
      <c r="D1822" s="23" t="str">
        <f t="shared" si="84"/>
        <v>ORD26004977</v>
      </c>
      <c r="E1822" s="38">
        <v>46275</v>
      </c>
      <c r="F1822" s="23" t="s">
        <v>12410</v>
      </c>
      <c r="G1822" s="23" t="s">
        <v>79</v>
      </c>
      <c r="H1822" s="24">
        <v>999</v>
      </c>
      <c r="I1822" s="24">
        <v>17.98</v>
      </c>
      <c r="J1822" s="24">
        <v>3.24</v>
      </c>
      <c r="K1822" s="24">
        <v>977.78</v>
      </c>
      <c r="L1822" s="38">
        <v>46277</v>
      </c>
      <c r="M1822" s="23" t="s">
        <v>104</v>
      </c>
      <c r="N1822" s="23" t="str">
        <f>IF(COUNTIF($A$2:A1822,A1822)&gt;1,"DUP","OK")</f>
        <v>OK</v>
      </c>
      <c r="O1822" s="23" t="str">
        <f t="shared" si="85"/>
        <v>ORD26004977</v>
      </c>
      <c r="P1822" s="23" t="str">
        <f t="shared" si="86"/>
        <v>Sep</v>
      </c>
      <c r="Q1822" s="23" t="str">
        <f>IF(F1822="CAPTURE",IF(COUNTIF(orders!$A:$A,O1822)&gt;0,"Yes","NO ORDER"),"")</f>
        <v>Yes</v>
      </c>
    </row>
    <row r="1823" spans="1:17" ht="15" customHeight="1" x14ac:dyDescent="0.3">
      <c r="A1823" s="23" t="s">
        <v>14538</v>
      </c>
      <c r="B1823" s="23"/>
      <c r="C1823" s="23" t="s">
        <v>10498</v>
      </c>
      <c r="D1823" s="23" t="str">
        <f t="shared" si="84"/>
        <v>ORD26005024</v>
      </c>
      <c r="E1823" s="38">
        <v>46275</v>
      </c>
      <c r="F1823" s="23" t="s">
        <v>12410</v>
      </c>
      <c r="G1823" s="23" t="s">
        <v>79</v>
      </c>
      <c r="H1823" s="24">
        <v>5998</v>
      </c>
      <c r="I1823" s="24">
        <v>95.97</v>
      </c>
      <c r="J1823" s="24">
        <v>17.27</v>
      </c>
      <c r="K1823" s="24">
        <v>5884.76</v>
      </c>
      <c r="L1823" s="38">
        <v>46277</v>
      </c>
      <c r="M1823" s="23" t="s">
        <v>104</v>
      </c>
      <c r="N1823" s="23" t="str">
        <f>IF(COUNTIF($A$2:A1823,A1823)&gt;1,"DUP","OK")</f>
        <v>OK</v>
      </c>
      <c r="O1823" s="23" t="str">
        <f t="shared" si="85"/>
        <v>ORD26005024</v>
      </c>
      <c r="P1823" s="23" t="str">
        <f t="shared" si="86"/>
        <v>Sep</v>
      </c>
      <c r="Q1823" s="23" t="str">
        <f>IF(F1823="CAPTURE",IF(COUNTIF(orders!$A:$A,O1823)&gt;0,"Yes","NO ORDER"),"")</f>
        <v>Yes</v>
      </c>
    </row>
    <row r="1824" spans="1:17" ht="15" customHeight="1" x14ac:dyDescent="0.3">
      <c r="A1824" s="23" t="s">
        <v>14539</v>
      </c>
      <c r="B1824" s="23"/>
      <c r="C1824" s="23" t="s">
        <v>10610</v>
      </c>
      <c r="D1824" s="23" t="str">
        <f t="shared" si="84"/>
        <v>ORD26005082</v>
      </c>
      <c r="E1824" s="38">
        <v>46275</v>
      </c>
      <c r="F1824" s="23" t="s">
        <v>12410</v>
      </c>
      <c r="G1824" s="23" t="s">
        <v>81</v>
      </c>
      <c r="H1824" s="24">
        <v>499</v>
      </c>
      <c r="I1824" s="24">
        <v>7.49</v>
      </c>
      <c r="J1824" s="24">
        <v>1.35</v>
      </c>
      <c r="K1824" s="24">
        <v>490.16</v>
      </c>
      <c r="L1824" s="38">
        <v>46277</v>
      </c>
      <c r="M1824" s="23" t="s">
        <v>104</v>
      </c>
      <c r="N1824" s="23" t="str">
        <f>IF(COUNTIF($A$2:A1824,A1824)&gt;1,"DUP","OK")</f>
        <v>OK</v>
      </c>
      <c r="O1824" s="23" t="str">
        <f t="shared" si="85"/>
        <v>ORD26005082</v>
      </c>
      <c r="P1824" s="23" t="str">
        <f t="shared" si="86"/>
        <v>Sep</v>
      </c>
      <c r="Q1824" s="23" t="str">
        <f>IF(F1824="CAPTURE",IF(COUNTIF(orders!$A:$A,O1824)&gt;0,"Yes","NO ORDER"),"")</f>
        <v>Yes</v>
      </c>
    </row>
    <row r="1825" spans="1:17" ht="15" customHeight="1" x14ac:dyDescent="0.3">
      <c r="A1825" s="23" t="s">
        <v>14540</v>
      </c>
      <c r="B1825" s="23"/>
      <c r="C1825" s="23" t="s">
        <v>14541</v>
      </c>
      <c r="D1825" s="23" t="str">
        <f t="shared" si="84"/>
        <v>ORD26005103</v>
      </c>
      <c r="E1825" s="38">
        <v>46275</v>
      </c>
      <c r="F1825" s="23" t="s">
        <v>12410</v>
      </c>
      <c r="G1825" s="23" t="s">
        <v>75</v>
      </c>
      <c r="H1825" s="24">
        <v>3499</v>
      </c>
      <c r="I1825" s="24">
        <v>10.5</v>
      </c>
      <c r="J1825" s="24">
        <v>1.89</v>
      </c>
      <c r="K1825" s="24">
        <v>3486.61</v>
      </c>
      <c r="L1825" s="38">
        <v>46277</v>
      </c>
      <c r="M1825" s="23" t="s">
        <v>104</v>
      </c>
      <c r="N1825" s="23" t="str">
        <f>IF(COUNTIF($A$2:A1825,A1825)&gt;1,"DUP","OK")</f>
        <v>OK</v>
      </c>
      <c r="O1825" s="23" t="str">
        <f t="shared" si="85"/>
        <v>ORD26005103</v>
      </c>
      <c r="P1825" s="23" t="str">
        <f t="shared" si="86"/>
        <v>Sep</v>
      </c>
      <c r="Q1825" s="23" t="str">
        <f>IF(F1825="CAPTURE",IF(COUNTIF(orders!$A:$A,O1825)&gt;0,"Yes","NO ORDER"),"")</f>
        <v>Yes</v>
      </c>
    </row>
    <row r="1826" spans="1:17" ht="15" customHeight="1" x14ac:dyDescent="0.3">
      <c r="A1826" s="23" t="s">
        <v>14542</v>
      </c>
      <c r="B1826" s="23"/>
      <c r="C1826" s="23" t="s">
        <v>10667</v>
      </c>
      <c r="D1826" s="23" t="str">
        <f t="shared" si="84"/>
        <v>ORD26005112</v>
      </c>
      <c r="E1826" s="38">
        <v>46275</v>
      </c>
      <c r="F1826" s="23" t="s">
        <v>12410</v>
      </c>
      <c r="G1826" s="23" t="s">
        <v>75</v>
      </c>
      <c r="H1826" s="24">
        <v>6298</v>
      </c>
      <c r="I1826" s="24">
        <v>18.89</v>
      </c>
      <c r="J1826" s="24">
        <v>3.4</v>
      </c>
      <c r="K1826" s="24">
        <v>6275.71</v>
      </c>
      <c r="L1826" s="38">
        <v>46277</v>
      </c>
      <c r="M1826" s="23" t="s">
        <v>104</v>
      </c>
      <c r="N1826" s="23" t="str">
        <f>IF(COUNTIF($A$2:A1826,A1826)&gt;1,"DUP","OK")</f>
        <v>OK</v>
      </c>
      <c r="O1826" s="23" t="str">
        <f t="shared" si="85"/>
        <v>ORD26005112</v>
      </c>
      <c r="P1826" s="23" t="str">
        <f t="shared" si="86"/>
        <v>Sep</v>
      </c>
      <c r="Q1826" s="23" t="str">
        <f>IF(F1826="CAPTURE",IF(COUNTIF(orders!$A:$A,O1826)&gt;0,"Yes","NO ORDER"),"")</f>
        <v>Yes</v>
      </c>
    </row>
    <row r="1827" spans="1:17" ht="15" customHeight="1" x14ac:dyDescent="0.3">
      <c r="A1827" s="23" t="s">
        <v>14543</v>
      </c>
      <c r="B1827" s="23"/>
      <c r="C1827" s="23" t="s">
        <v>10788</v>
      </c>
      <c r="D1827" s="23" t="str">
        <f t="shared" si="84"/>
        <v>ORD26005174</v>
      </c>
      <c r="E1827" s="38">
        <v>46275</v>
      </c>
      <c r="F1827" s="23" t="s">
        <v>12410</v>
      </c>
      <c r="G1827" s="23" t="s">
        <v>75</v>
      </c>
      <c r="H1827" s="24">
        <v>4999</v>
      </c>
      <c r="I1827" s="24">
        <v>15</v>
      </c>
      <c r="J1827" s="24">
        <v>2.7</v>
      </c>
      <c r="K1827" s="24">
        <v>4981.3</v>
      </c>
      <c r="L1827" s="38">
        <v>46277</v>
      </c>
      <c r="M1827" s="23" t="s">
        <v>104</v>
      </c>
      <c r="N1827" s="23" t="str">
        <f>IF(COUNTIF($A$2:A1827,A1827)&gt;1,"DUP","OK")</f>
        <v>OK</v>
      </c>
      <c r="O1827" s="23" t="str">
        <f t="shared" si="85"/>
        <v>ORD26005174</v>
      </c>
      <c r="P1827" s="23" t="str">
        <f t="shared" si="86"/>
        <v>Sep</v>
      </c>
      <c r="Q1827" s="23" t="str">
        <f>IF(F1827="CAPTURE",IF(COUNTIF(orders!$A:$A,O1827)&gt;0,"Yes","NO ORDER"),"")</f>
        <v>Yes</v>
      </c>
    </row>
    <row r="1828" spans="1:17" ht="15" customHeight="1" x14ac:dyDescent="0.3">
      <c r="A1828" s="23" t="s">
        <v>14544</v>
      </c>
      <c r="B1828" s="23"/>
      <c r="C1828" s="23" t="s">
        <v>10875</v>
      </c>
      <c r="D1828" s="23" t="str">
        <f t="shared" si="84"/>
        <v>ORD26005218</v>
      </c>
      <c r="E1828" s="38">
        <v>46275</v>
      </c>
      <c r="F1828" s="23" t="s">
        <v>12410</v>
      </c>
      <c r="G1828" s="23" t="s">
        <v>79</v>
      </c>
      <c r="H1828" s="24">
        <v>4999</v>
      </c>
      <c r="I1828" s="24">
        <v>79.98</v>
      </c>
      <c r="J1828" s="24">
        <v>14.4</v>
      </c>
      <c r="K1828" s="24">
        <v>4904.62</v>
      </c>
      <c r="L1828" s="38">
        <v>46277</v>
      </c>
      <c r="M1828" s="23" t="s">
        <v>104</v>
      </c>
      <c r="N1828" s="23" t="str">
        <f>IF(COUNTIF($A$2:A1828,A1828)&gt;1,"DUP","OK")</f>
        <v>OK</v>
      </c>
      <c r="O1828" s="23" t="str">
        <f t="shared" si="85"/>
        <v>ORD26005218</v>
      </c>
      <c r="P1828" s="23" t="str">
        <f t="shared" si="86"/>
        <v>Sep</v>
      </c>
      <c r="Q1828" s="23" t="str">
        <f>IF(F1828="CAPTURE",IF(COUNTIF(orders!$A:$A,O1828)&gt;0,"Yes","NO ORDER"),"")</f>
        <v>Yes</v>
      </c>
    </row>
    <row r="1829" spans="1:17" ht="15" customHeight="1" x14ac:dyDescent="0.3">
      <c r="A1829" s="23" t="s">
        <v>14545</v>
      </c>
      <c r="B1829" s="23"/>
      <c r="C1829" s="23" t="s">
        <v>11193</v>
      </c>
      <c r="D1829" s="23" t="str">
        <f t="shared" si="84"/>
        <v>ORD26005380</v>
      </c>
      <c r="E1829" s="38">
        <v>46275</v>
      </c>
      <c r="F1829" s="23" t="s">
        <v>12410</v>
      </c>
      <c r="G1829" s="23" t="s">
        <v>75</v>
      </c>
      <c r="H1829" s="24">
        <v>4999</v>
      </c>
      <c r="I1829" s="24">
        <v>15</v>
      </c>
      <c r="J1829" s="24">
        <v>2.7</v>
      </c>
      <c r="K1829" s="24">
        <v>4981.3</v>
      </c>
      <c r="L1829" s="38">
        <v>46277</v>
      </c>
      <c r="M1829" s="23" t="s">
        <v>104</v>
      </c>
      <c r="N1829" s="23" t="str">
        <f>IF(COUNTIF($A$2:A1829,A1829)&gt;1,"DUP","OK")</f>
        <v>OK</v>
      </c>
      <c r="O1829" s="23" t="str">
        <f t="shared" si="85"/>
        <v>ORD26005380</v>
      </c>
      <c r="P1829" s="23" t="str">
        <f t="shared" si="86"/>
        <v>Sep</v>
      </c>
      <c r="Q1829" s="23" t="str">
        <f>IF(F1829="CAPTURE",IF(COUNTIF(orders!$A:$A,O1829)&gt;0,"Yes","NO ORDER"),"")</f>
        <v>Yes</v>
      </c>
    </row>
    <row r="1830" spans="1:17" ht="15" customHeight="1" x14ac:dyDescent="0.3">
      <c r="A1830" s="23" t="s">
        <v>14546</v>
      </c>
      <c r="B1830" s="23"/>
      <c r="C1830" s="23" t="s">
        <v>11287</v>
      </c>
      <c r="D1830" s="23" t="str">
        <f t="shared" si="84"/>
        <v>ORD26005428</v>
      </c>
      <c r="E1830" s="38">
        <v>46275</v>
      </c>
      <c r="F1830" s="23" t="s">
        <v>12410</v>
      </c>
      <c r="G1830" s="23" t="s">
        <v>77</v>
      </c>
      <c r="H1830" s="24">
        <v>4298</v>
      </c>
      <c r="I1830" s="24">
        <v>73.069999999999993</v>
      </c>
      <c r="J1830" s="24">
        <v>13.15</v>
      </c>
      <c r="K1830" s="24">
        <v>4211.78</v>
      </c>
      <c r="L1830" s="38">
        <v>46277</v>
      </c>
      <c r="M1830" s="23" t="s">
        <v>104</v>
      </c>
      <c r="N1830" s="23" t="str">
        <f>IF(COUNTIF($A$2:A1830,A1830)&gt;1,"DUP","OK")</f>
        <v>OK</v>
      </c>
      <c r="O1830" s="23" t="str">
        <f t="shared" si="85"/>
        <v>ORD26005428</v>
      </c>
      <c r="P1830" s="23" t="str">
        <f t="shared" si="86"/>
        <v>Sep</v>
      </c>
      <c r="Q1830" s="23" t="str">
        <f>IF(F1830="CAPTURE",IF(COUNTIF(orders!$A:$A,O1830)&gt;0,"Yes","NO ORDER"),"")</f>
        <v>Yes</v>
      </c>
    </row>
    <row r="1831" spans="1:17" ht="15" customHeight="1" x14ac:dyDescent="0.3">
      <c r="A1831" s="23" t="s">
        <v>14547</v>
      </c>
      <c r="B1831" s="23"/>
      <c r="C1831" s="23" t="s">
        <v>11378</v>
      </c>
      <c r="D1831" s="23" t="str">
        <f t="shared" si="84"/>
        <v>ORD26005474</v>
      </c>
      <c r="E1831" s="38">
        <v>46275</v>
      </c>
      <c r="F1831" s="23" t="s">
        <v>12410</v>
      </c>
      <c r="G1831" s="23" t="s">
        <v>75</v>
      </c>
      <c r="H1831" s="24">
        <v>3499</v>
      </c>
      <c r="I1831" s="24">
        <v>10.5</v>
      </c>
      <c r="J1831" s="24">
        <v>1.89</v>
      </c>
      <c r="K1831" s="24">
        <v>3486.61</v>
      </c>
      <c r="L1831" s="38">
        <v>46277</v>
      </c>
      <c r="M1831" s="23" t="s">
        <v>104</v>
      </c>
      <c r="N1831" s="23" t="str">
        <f>IF(COUNTIF($A$2:A1831,A1831)&gt;1,"DUP","OK")</f>
        <v>OK</v>
      </c>
      <c r="O1831" s="23" t="str">
        <f t="shared" si="85"/>
        <v>ORD26005474</v>
      </c>
      <c r="P1831" s="23" t="str">
        <f t="shared" si="86"/>
        <v>Sep</v>
      </c>
      <c r="Q1831" s="23" t="str">
        <f>IF(F1831="CAPTURE",IF(COUNTIF(orders!$A:$A,O1831)&gt;0,"Yes","NO ORDER"),"")</f>
        <v>Yes</v>
      </c>
    </row>
    <row r="1832" spans="1:17" ht="15" customHeight="1" x14ac:dyDescent="0.3">
      <c r="A1832" s="23" t="s">
        <v>14548</v>
      </c>
      <c r="B1832" s="23"/>
      <c r="C1832" s="23" t="s">
        <v>11391</v>
      </c>
      <c r="D1832" s="23" t="str">
        <f t="shared" si="84"/>
        <v>ORD26005481</v>
      </c>
      <c r="E1832" s="38">
        <v>46275</v>
      </c>
      <c r="F1832" s="23" t="s">
        <v>12410</v>
      </c>
      <c r="G1832" s="23" t="s">
        <v>77</v>
      </c>
      <c r="H1832" s="24">
        <v>3597</v>
      </c>
      <c r="I1832" s="24">
        <v>61.15</v>
      </c>
      <c r="J1832" s="24">
        <v>11.01</v>
      </c>
      <c r="K1832" s="24">
        <v>3524.84</v>
      </c>
      <c r="L1832" s="38">
        <v>46277</v>
      </c>
      <c r="M1832" s="23" t="s">
        <v>104</v>
      </c>
      <c r="N1832" s="23" t="str">
        <f>IF(COUNTIF($A$2:A1832,A1832)&gt;1,"DUP","OK")</f>
        <v>OK</v>
      </c>
      <c r="O1832" s="23" t="str">
        <f t="shared" si="85"/>
        <v>ORD26005481</v>
      </c>
      <c r="P1832" s="23" t="str">
        <f t="shared" si="86"/>
        <v>Sep</v>
      </c>
      <c r="Q1832" s="23" t="str">
        <f>IF(F1832="CAPTURE",IF(COUNTIF(orders!$A:$A,O1832)&gt;0,"Yes","NO ORDER"),"")</f>
        <v>Yes</v>
      </c>
    </row>
    <row r="1833" spans="1:17" ht="15" customHeight="1" x14ac:dyDescent="0.3">
      <c r="A1833" s="23" t="s">
        <v>14549</v>
      </c>
      <c r="B1833" s="23"/>
      <c r="C1833" s="23" t="s">
        <v>11611</v>
      </c>
      <c r="D1833" s="23" t="str">
        <f t="shared" si="84"/>
        <v>ORD26005595</v>
      </c>
      <c r="E1833" s="38">
        <v>46275</v>
      </c>
      <c r="F1833" s="23" t="s">
        <v>12410</v>
      </c>
      <c r="G1833" s="23" t="s">
        <v>77</v>
      </c>
      <c r="H1833" s="24">
        <v>999</v>
      </c>
      <c r="I1833" s="24">
        <v>18.98</v>
      </c>
      <c r="J1833" s="24">
        <v>3.42</v>
      </c>
      <c r="K1833" s="24">
        <v>976.6</v>
      </c>
      <c r="L1833" s="38">
        <v>46277</v>
      </c>
      <c r="M1833" s="23" t="s">
        <v>104</v>
      </c>
      <c r="N1833" s="23" t="str">
        <f>IF(COUNTIF($A$2:A1833,A1833)&gt;1,"DUP","OK")</f>
        <v>OK</v>
      </c>
      <c r="O1833" s="23" t="str">
        <f t="shared" si="85"/>
        <v>ORD26005595</v>
      </c>
      <c r="P1833" s="23" t="str">
        <f t="shared" si="86"/>
        <v>Sep</v>
      </c>
      <c r="Q1833" s="23" t="str">
        <f>IF(F1833="CAPTURE",IF(COUNTIF(orders!$A:$A,O1833)&gt;0,"Yes","NO ORDER"),"")</f>
        <v>Yes</v>
      </c>
    </row>
    <row r="1834" spans="1:17" ht="15" customHeight="1" x14ac:dyDescent="0.3">
      <c r="A1834" s="23" t="s">
        <v>14550</v>
      </c>
      <c r="B1834" s="23"/>
      <c r="C1834" s="23" t="s">
        <v>11666</v>
      </c>
      <c r="D1834" s="23" t="str">
        <f t="shared" si="84"/>
        <v>ORD26005622</v>
      </c>
      <c r="E1834" s="38">
        <v>46275</v>
      </c>
      <c r="F1834" s="23" t="s">
        <v>12410</v>
      </c>
      <c r="G1834" s="23" t="s">
        <v>79</v>
      </c>
      <c r="H1834" s="24">
        <v>1799</v>
      </c>
      <c r="I1834" s="24">
        <v>32.380000000000003</v>
      </c>
      <c r="J1834" s="24">
        <v>5.83</v>
      </c>
      <c r="K1834" s="24">
        <v>1760.79</v>
      </c>
      <c r="L1834" s="38">
        <v>46277</v>
      </c>
      <c r="M1834" s="23" t="s">
        <v>104</v>
      </c>
      <c r="N1834" s="23" t="str">
        <f>IF(COUNTIF($A$2:A1834,A1834)&gt;1,"DUP","OK")</f>
        <v>OK</v>
      </c>
      <c r="O1834" s="23" t="str">
        <f t="shared" si="85"/>
        <v>ORD26005622</v>
      </c>
      <c r="P1834" s="23" t="str">
        <f t="shared" si="86"/>
        <v>Sep</v>
      </c>
      <c r="Q1834" s="23" t="str">
        <f>IF(F1834="CAPTURE",IF(COUNTIF(orders!$A:$A,O1834)&gt;0,"Yes","NO ORDER"),"")</f>
        <v>Yes</v>
      </c>
    </row>
    <row r="1835" spans="1:17" ht="15" customHeight="1" x14ac:dyDescent="0.3">
      <c r="A1835" s="23" t="s">
        <v>14551</v>
      </c>
      <c r="B1835" s="23"/>
      <c r="C1835" s="23" t="s">
        <v>11678</v>
      </c>
      <c r="D1835" s="23" t="str">
        <f t="shared" si="84"/>
        <v>ORD26005628</v>
      </c>
      <c r="E1835" s="38">
        <v>46275</v>
      </c>
      <c r="F1835" s="23" t="s">
        <v>12410</v>
      </c>
      <c r="G1835" s="23" t="s">
        <v>77</v>
      </c>
      <c r="H1835" s="24">
        <v>1799</v>
      </c>
      <c r="I1835" s="24">
        <v>34.18</v>
      </c>
      <c r="J1835" s="24">
        <v>6.15</v>
      </c>
      <c r="K1835" s="24">
        <v>1758.67</v>
      </c>
      <c r="L1835" s="38">
        <v>46277</v>
      </c>
      <c r="M1835" s="23" t="s">
        <v>104</v>
      </c>
      <c r="N1835" s="23" t="str">
        <f>IF(COUNTIF($A$2:A1835,A1835)&gt;1,"DUP","OK")</f>
        <v>OK</v>
      </c>
      <c r="O1835" s="23" t="str">
        <f t="shared" si="85"/>
        <v>ORD26005628</v>
      </c>
      <c r="P1835" s="23" t="str">
        <f t="shared" si="86"/>
        <v>Sep</v>
      </c>
      <c r="Q1835" s="23" t="str">
        <f>IF(F1835="CAPTURE",IF(COUNTIF(orders!$A:$A,O1835)&gt;0,"Yes","NO ORDER"),"")</f>
        <v>Yes</v>
      </c>
    </row>
    <row r="1836" spans="1:17" ht="15" customHeight="1" x14ac:dyDescent="0.3">
      <c r="A1836" s="23" t="s">
        <v>14552</v>
      </c>
      <c r="B1836" s="23"/>
      <c r="C1836" s="23" t="s">
        <v>11686</v>
      </c>
      <c r="D1836" s="23" t="str">
        <f t="shared" si="84"/>
        <v>ORD26005632</v>
      </c>
      <c r="E1836" s="38">
        <v>46275</v>
      </c>
      <c r="F1836" s="23" t="s">
        <v>12410</v>
      </c>
      <c r="G1836" s="23" t="s">
        <v>75</v>
      </c>
      <c r="H1836" s="24">
        <v>5498</v>
      </c>
      <c r="I1836" s="24">
        <v>16.489999999999998</v>
      </c>
      <c r="J1836" s="24">
        <v>2.97</v>
      </c>
      <c r="K1836" s="24">
        <v>5478.54</v>
      </c>
      <c r="L1836" s="38">
        <v>46277</v>
      </c>
      <c r="M1836" s="23" t="s">
        <v>104</v>
      </c>
      <c r="N1836" s="23" t="str">
        <f>IF(COUNTIF($A$2:A1836,A1836)&gt;1,"DUP","OK")</f>
        <v>OK</v>
      </c>
      <c r="O1836" s="23" t="str">
        <f t="shared" si="85"/>
        <v>ORD26005632</v>
      </c>
      <c r="P1836" s="23" t="str">
        <f t="shared" si="86"/>
        <v>Sep</v>
      </c>
      <c r="Q1836" s="23" t="str">
        <f>IF(F1836="CAPTURE",IF(COUNTIF(orders!$A:$A,O1836)&gt;0,"Yes","NO ORDER"),"")</f>
        <v>Yes</v>
      </c>
    </row>
    <row r="1837" spans="1:17" ht="15" customHeight="1" x14ac:dyDescent="0.3">
      <c r="A1837" s="23" t="s">
        <v>14553</v>
      </c>
      <c r="B1837" s="23"/>
      <c r="C1837" s="23" t="s">
        <v>14554</v>
      </c>
      <c r="D1837" s="23" t="str">
        <f t="shared" si="84"/>
        <v>ORD26005643</v>
      </c>
      <c r="E1837" s="38">
        <v>46275</v>
      </c>
      <c r="F1837" s="23" t="s">
        <v>12410</v>
      </c>
      <c r="G1837" s="23" t="s">
        <v>75</v>
      </c>
      <c r="H1837" s="24">
        <v>7497</v>
      </c>
      <c r="I1837" s="24">
        <v>22.49</v>
      </c>
      <c r="J1837" s="24">
        <v>4.05</v>
      </c>
      <c r="K1837" s="24">
        <v>7470.46</v>
      </c>
      <c r="L1837" s="38">
        <v>46277</v>
      </c>
      <c r="M1837" s="23" t="s">
        <v>104</v>
      </c>
      <c r="N1837" s="23" t="str">
        <f>IF(COUNTIF($A$2:A1837,A1837)&gt;1,"DUP","OK")</f>
        <v>OK</v>
      </c>
      <c r="O1837" s="23" t="str">
        <f t="shared" si="85"/>
        <v>ORD26005643</v>
      </c>
      <c r="P1837" s="23" t="str">
        <f t="shared" si="86"/>
        <v>Sep</v>
      </c>
      <c r="Q1837" s="23" t="str">
        <f>IF(F1837="CAPTURE",IF(COUNTIF(orders!$A:$A,O1837)&gt;0,"Yes","NO ORDER"),"")</f>
        <v>Yes</v>
      </c>
    </row>
    <row r="1838" spans="1:17" ht="15" customHeight="1" x14ac:dyDescent="0.3">
      <c r="A1838" s="23" t="s">
        <v>14555</v>
      </c>
      <c r="B1838" s="23"/>
      <c r="C1838" s="23" t="s">
        <v>14556</v>
      </c>
      <c r="D1838" s="23" t="str">
        <f t="shared" si="84"/>
        <v>ORD26005652</v>
      </c>
      <c r="E1838" s="38">
        <v>46275</v>
      </c>
      <c r="F1838" s="23" t="s">
        <v>12410</v>
      </c>
      <c r="G1838" s="23" t="s">
        <v>77</v>
      </c>
      <c r="H1838" s="24">
        <v>1499</v>
      </c>
      <c r="I1838" s="24">
        <v>28.48</v>
      </c>
      <c r="J1838" s="24">
        <v>5.13</v>
      </c>
      <c r="K1838" s="24">
        <v>1465.39</v>
      </c>
      <c r="L1838" s="38">
        <v>46277</v>
      </c>
      <c r="M1838" s="23" t="s">
        <v>104</v>
      </c>
      <c r="N1838" s="23" t="str">
        <f>IF(COUNTIF($A$2:A1838,A1838)&gt;1,"DUP","OK")</f>
        <v>OK</v>
      </c>
      <c r="O1838" s="23" t="str">
        <f t="shared" si="85"/>
        <v>ORD26005652</v>
      </c>
      <c r="P1838" s="23" t="str">
        <f t="shared" si="86"/>
        <v>Sep</v>
      </c>
      <c r="Q1838" s="23" t="str">
        <f>IF(F1838="CAPTURE",IF(COUNTIF(orders!$A:$A,O1838)&gt;0,"Yes","NO ORDER"),"")</f>
        <v>Yes</v>
      </c>
    </row>
    <row r="1839" spans="1:17" ht="15" customHeight="1" x14ac:dyDescent="0.3">
      <c r="A1839" s="23" t="s">
        <v>14557</v>
      </c>
      <c r="B1839" s="23"/>
      <c r="C1839" s="23" t="s">
        <v>11858</v>
      </c>
      <c r="D1839" s="23" t="str">
        <f t="shared" si="84"/>
        <v>ORD26005721</v>
      </c>
      <c r="E1839" s="38">
        <v>46275</v>
      </c>
      <c r="F1839" s="23" t="s">
        <v>12410</v>
      </c>
      <c r="G1839" s="23" t="s">
        <v>79</v>
      </c>
      <c r="H1839" s="24">
        <v>3499</v>
      </c>
      <c r="I1839" s="24">
        <v>55.98</v>
      </c>
      <c r="J1839" s="24">
        <v>10.08</v>
      </c>
      <c r="K1839" s="24">
        <v>3432.94</v>
      </c>
      <c r="L1839" s="38">
        <v>46277</v>
      </c>
      <c r="M1839" s="23" t="s">
        <v>104</v>
      </c>
      <c r="N1839" s="23" t="str">
        <f>IF(COUNTIF($A$2:A1839,A1839)&gt;1,"DUP","OK")</f>
        <v>OK</v>
      </c>
      <c r="O1839" s="23" t="str">
        <f t="shared" si="85"/>
        <v>ORD26005721</v>
      </c>
      <c r="P1839" s="23" t="str">
        <f t="shared" si="86"/>
        <v>Sep</v>
      </c>
      <c r="Q1839" s="23" t="str">
        <f>IF(F1839="CAPTURE",IF(COUNTIF(orders!$A:$A,O1839)&gt;0,"Yes","NO ORDER"),"")</f>
        <v>Yes</v>
      </c>
    </row>
    <row r="1840" spans="1:17" ht="15" customHeight="1" x14ac:dyDescent="0.3">
      <c r="A1840" s="23" t="s">
        <v>14558</v>
      </c>
      <c r="B1840" s="23"/>
      <c r="C1840" s="23" t="s">
        <v>11983</v>
      </c>
      <c r="D1840" s="23" t="str">
        <f t="shared" si="84"/>
        <v>ORD26005785</v>
      </c>
      <c r="E1840" s="38">
        <v>46275</v>
      </c>
      <c r="F1840" s="23" t="s">
        <v>12410</v>
      </c>
      <c r="G1840" s="23" t="s">
        <v>79</v>
      </c>
      <c r="H1840" s="24">
        <v>2999</v>
      </c>
      <c r="I1840" s="24">
        <v>47.98</v>
      </c>
      <c r="J1840" s="24">
        <v>8.64</v>
      </c>
      <c r="K1840" s="24">
        <v>2942.38</v>
      </c>
      <c r="L1840" s="38">
        <v>46277</v>
      </c>
      <c r="M1840" s="23" t="s">
        <v>104</v>
      </c>
      <c r="N1840" s="23" t="str">
        <f>IF(COUNTIF($A$2:A1840,A1840)&gt;1,"DUP","OK")</f>
        <v>OK</v>
      </c>
      <c r="O1840" s="23" t="str">
        <f t="shared" si="85"/>
        <v>ORD26005785</v>
      </c>
      <c r="P1840" s="23" t="str">
        <f t="shared" si="86"/>
        <v>Sep</v>
      </c>
      <c r="Q1840" s="23" t="str">
        <f>IF(F1840="CAPTURE",IF(COUNTIF(orders!$A:$A,O1840)&gt;0,"Yes","NO ORDER"),"")</f>
        <v>Yes</v>
      </c>
    </row>
    <row r="1841" spans="1:17" ht="15" customHeight="1" x14ac:dyDescent="0.3">
      <c r="A1841" s="23" t="s">
        <v>14559</v>
      </c>
      <c r="B1841" s="23"/>
      <c r="C1841" s="23" t="s">
        <v>12034</v>
      </c>
      <c r="D1841" s="23" t="str">
        <f t="shared" si="84"/>
        <v>ORD26005811</v>
      </c>
      <c r="E1841" s="38">
        <v>46275</v>
      </c>
      <c r="F1841" s="23" t="s">
        <v>12410</v>
      </c>
      <c r="G1841" s="23" t="s">
        <v>75</v>
      </c>
      <c r="H1841" s="24">
        <v>599</v>
      </c>
      <c r="I1841" s="24">
        <v>0</v>
      </c>
      <c r="J1841" s="24">
        <v>0</v>
      </c>
      <c r="K1841" s="24">
        <v>599</v>
      </c>
      <c r="L1841" s="38">
        <v>46277</v>
      </c>
      <c r="M1841" s="23" t="s">
        <v>104</v>
      </c>
      <c r="N1841" s="23" t="str">
        <f>IF(COUNTIF($A$2:A1841,A1841)&gt;1,"DUP","OK")</f>
        <v>OK</v>
      </c>
      <c r="O1841" s="23" t="str">
        <f t="shared" si="85"/>
        <v>ORD26005811</v>
      </c>
      <c r="P1841" s="23" t="str">
        <f t="shared" si="86"/>
        <v>Sep</v>
      </c>
      <c r="Q1841" s="23" t="str">
        <f>IF(F1841="CAPTURE",IF(COUNTIF(orders!$A:$A,O1841)&gt;0,"Yes","NO ORDER"),"")</f>
        <v>Yes</v>
      </c>
    </row>
    <row r="1842" spans="1:17" ht="15" customHeight="1" x14ac:dyDescent="0.3">
      <c r="A1842" s="23" t="s">
        <v>14560</v>
      </c>
      <c r="B1842" s="23"/>
      <c r="C1842" s="23" t="s">
        <v>12042</v>
      </c>
      <c r="D1842" s="23" t="str">
        <f t="shared" si="84"/>
        <v>ORD26005815</v>
      </c>
      <c r="E1842" s="38">
        <v>46275</v>
      </c>
      <c r="F1842" s="23" t="s">
        <v>12410</v>
      </c>
      <c r="G1842" s="23" t="s">
        <v>75</v>
      </c>
      <c r="H1842" s="24">
        <v>799</v>
      </c>
      <c r="I1842" s="24">
        <v>0</v>
      </c>
      <c r="J1842" s="24">
        <v>0</v>
      </c>
      <c r="K1842" s="24">
        <v>799</v>
      </c>
      <c r="L1842" s="38">
        <v>46277</v>
      </c>
      <c r="M1842" s="23" t="s">
        <v>104</v>
      </c>
      <c r="N1842" s="23" t="str">
        <f>IF(COUNTIF($A$2:A1842,A1842)&gt;1,"DUP","OK")</f>
        <v>OK</v>
      </c>
      <c r="O1842" s="23" t="str">
        <f t="shared" si="85"/>
        <v>ORD26005815</v>
      </c>
      <c r="P1842" s="23" t="str">
        <f t="shared" si="86"/>
        <v>Sep</v>
      </c>
      <c r="Q1842" s="23" t="str">
        <f>IF(F1842="CAPTURE",IF(COUNTIF(orders!$A:$A,O1842)&gt;0,"Yes","NO ORDER"),"")</f>
        <v>Yes</v>
      </c>
    </row>
    <row r="1843" spans="1:17" ht="15" customHeight="1" x14ac:dyDescent="0.3">
      <c r="A1843" s="23" t="s">
        <v>14561</v>
      </c>
      <c r="B1843" s="23"/>
      <c r="C1843" s="23" t="s">
        <v>12144</v>
      </c>
      <c r="D1843" s="23" t="str">
        <f t="shared" si="84"/>
        <v>ORD26005870</v>
      </c>
      <c r="E1843" s="38">
        <v>46275</v>
      </c>
      <c r="F1843" s="23" t="s">
        <v>12410</v>
      </c>
      <c r="G1843" s="23" t="s">
        <v>75</v>
      </c>
      <c r="H1843" s="24">
        <v>1148</v>
      </c>
      <c r="I1843" s="24">
        <v>0</v>
      </c>
      <c r="J1843" s="24">
        <v>0</v>
      </c>
      <c r="K1843" s="24">
        <v>1148</v>
      </c>
      <c r="L1843" s="38">
        <v>46277</v>
      </c>
      <c r="M1843" s="23" t="s">
        <v>104</v>
      </c>
      <c r="N1843" s="23" t="str">
        <f>IF(COUNTIF($A$2:A1843,A1843)&gt;1,"DUP","OK")</f>
        <v>OK</v>
      </c>
      <c r="O1843" s="23" t="str">
        <f t="shared" si="85"/>
        <v>ORD26005870</v>
      </c>
      <c r="P1843" s="23" t="str">
        <f t="shared" si="86"/>
        <v>Sep</v>
      </c>
      <c r="Q1843" s="23" t="str">
        <f>IF(F1843="CAPTURE",IF(COUNTIF(orders!$A:$A,O1843)&gt;0,"Yes","NO ORDER"),"")</f>
        <v>Yes</v>
      </c>
    </row>
    <row r="1844" spans="1:17" ht="15" customHeight="1" x14ac:dyDescent="0.3">
      <c r="A1844" s="23" t="s">
        <v>14562</v>
      </c>
      <c r="B1844" s="23"/>
      <c r="C1844" s="23" t="s">
        <v>12210</v>
      </c>
      <c r="D1844" s="23" t="str">
        <f t="shared" si="84"/>
        <v>ORD26005905</v>
      </c>
      <c r="E1844" s="38">
        <v>46275</v>
      </c>
      <c r="F1844" s="23" t="s">
        <v>12410</v>
      </c>
      <c r="G1844" s="23" t="s">
        <v>79</v>
      </c>
      <c r="H1844" s="24">
        <v>3597</v>
      </c>
      <c r="I1844" s="24">
        <v>57.55</v>
      </c>
      <c r="J1844" s="24">
        <v>10.36</v>
      </c>
      <c r="K1844" s="24">
        <v>3529.09</v>
      </c>
      <c r="L1844" s="38">
        <v>46277</v>
      </c>
      <c r="M1844" s="23" t="s">
        <v>104</v>
      </c>
      <c r="N1844" s="23" t="str">
        <f>IF(COUNTIF($A$2:A1844,A1844)&gt;1,"DUP","OK")</f>
        <v>OK</v>
      </c>
      <c r="O1844" s="23" t="str">
        <f t="shared" si="85"/>
        <v>ORD26005905</v>
      </c>
      <c r="P1844" s="23" t="str">
        <f t="shared" si="86"/>
        <v>Sep</v>
      </c>
      <c r="Q1844" s="23" t="str">
        <f>IF(F1844="CAPTURE",IF(COUNTIF(orders!$A:$A,O1844)&gt;0,"Yes","NO ORDER"),"")</f>
        <v>Yes</v>
      </c>
    </row>
    <row r="1845" spans="1:17" ht="15" customHeight="1" x14ac:dyDescent="0.3">
      <c r="A1845" s="23" t="s">
        <v>14563</v>
      </c>
      <c r="B1845" s="23"/>
      <c r="C1845" s="23" t="s">
        <v>12276</v>
      </c>
      <c r="D1845" s="23" t="str">
        <f t="shared" si="84"/>
        <v>ORD26005939</v>
      </c>
      <c r="E1845" s="38">
        <v>46275</v>
      </c>
      <c r="F1845" s="23" t="s">
        <v>12410</v>
      </c>
      <c r="G1845" s="23" t="s">
        <v>77</v>
      </c>
      <c r="H1845" s="24">
        <v>1799</v>
      </c>
      <c r="I1845" s="24">
        <v>34.18</v>
      </c>
      <c r="J1845" s="24">
        <v>6.15</v>
      </c>
      <c r="K1845" s="24">
        <v>1758.67</v>
      </c>
      <c r="L1845" s="38">
        <v>46277</v>
      </c>
      <c r="M1845" s="23" t="s">
        <v>104</v>
      </c>
      <c r="N1845" s="23" t="str">
        <f>IF(COUNTIF($A$2:A1845,A1845)&gt;1,"DUP","OK")</f>
        <v>OK</v>
      </c>
      <c r="O1845" s="23" t="str">
        <f t="shared" si="85"/>
        <v>ORD26005939</v>
      </c>
      <c r="P1845" s="23" t="str">
        <f t="shared" si="86"/>
        <v>Sep</v>
      </c>
      <c r="Q1845" s="23" t="str">
        <f>IF(F1845="CAPTURE",IF(COUNTIF(orders!$A:$A,O1845)&gt;0,"Yes","NO ORDER"),"")</f>
        <v>Yes</v>
      </c>
    </row>
    <row r="1846" spans="1:17" ht="15" customHeight="1" x14ac:dyDescent="0.3">
      <c r="A1846" s="23" t="s">
        <v>14564</v>
      </c>
      <c r="B1846" s="23"/>
      <c r="C1846" s="23" t="s">
        <v>12347</v>
      </c>
      <c r="D1846" s="23" t="str">
        <f t="shared" si="84"/>
        <v>ORD26005978</v>
      </c>
      <c r="E1846" s="38">
        <v>46275</v>
      </c>
      <c r="F1846" s="23" t="s">
        <v>12410</v>
      </c>
      <c r="G1846" s="23" t="s">
        <v>75</v>
      </c>
      <c r="H1846" s="24">
        <v>9798</v>
      </c>
      <c r="I1846" s="24">
        <v>29.39</v>
      </c>
      <c r="J1846" s="24">
        <v>5.29</v>
      </c>
      <c r="K1846" s="24">
        <v>9763.32</v>
      </c>
      <c r="L1846" s="38">
        <v>46277</v>
      </c>
      <c r="M1846" s="23" t="s">
        <v>104</v>
      </c>
      <c r="N1846" s="23" t="str">
        <f>IF(COUNTIF($A$2:A1846,A1846)&gt;1,"DUP","OK")</f>
        <v>OK</v>
      </c>
      <c r="O1846" s="23" t="str">
        <f t="shared" si="85"/>
        <v>ORD26005978</v>
      </c>
      <c r="P1846" s="23" t="str">
        <f t="shared" si="86"/>
        <v>Sep</v>
      </c>
      <c r="Q1846" s="23" t="str">
        <f>IF(F1846="CAPTURE",IF(COUNTIF(orders!$A:$A,O1846)&gt;0,"Yes","NO ORDER"),"")</f>
        <v>Yes</v>
      </c>
    </row>
    <row r="1847" spans="1:17" ht="15" customHeight="1" x14ac:dyDescent="0.3">
      <c r="A1847" s="23" t="s">
        <v>14565</v>
      </c>
      <c r="B1847" s="23" t="s">
        <v>13256</v>
      </c>
      <c r="C1847" s="23"/>
      <c r="D1847" s="23" t="str">
        <f t="shared" si="84"/>
        <v/>
      </c>
      <c r="E1847" s="38">
        <v>46275</v>
      </c>
      <c r="F1847" s="23" t="s">
        <v>12791</v>
      </c>
      <c r="G1847" s="23" t="s">
        <v>77</v>
      </c>
      <c r="H1847" s="24">
        <v>8598</v>
      </c>
      <c r="I1847" s="24">
        <v>0</v>
      </c>
      <c r="J1847" s="24">
        <v>0</v>
      </c>
      <c r="K1847" s="24">
        <v>-8598</v>
      </c>
      <c r="L1847" s="38">
        <v>46277</v>
      </c>
      <c r="M1847" s="23" t="s">
        <v>104</v>
      </c>
      <c r="N1847" s="23" t="str">
        <f>IF(COUNTIF($A$2:A1847,A1847)&gt;1,"DUP","OK")</f>
        <v>OK</v>
      </c>
      <c r="O1847" s="23" t="str">
        <f t="shared" si="85"/>
        <v>ORD26000510</v>
      </c>
      <c r="P1847" s="23" t="str">
        <f t="shared" si="86"/>
        <v>Sep</v>
      </c>
      <c r="Q1847" s="23" t="str">
        <f>IF(F1847="CAPTURE",IF(COUNTIF(orders!$A:$A,O1847)&gt;0,"Yes","NO ORDER"),"")</f>
        <v/>
      </c>
    </row>
    <row r="1848" spans="1:17" ht="15" customHeight="1" x14ac:dyDescent="0.3">
      <c r="A1848" s="23" t="s">
        <v>14566</v>
      </c>
      <c r="B1848" s="23" t="s">
        <v>13065</v>
      </c>
      <c r="C1848" s="23"/>
      <c r="D1848" s="23" t="str">
        <f t="shared" si="84"/>
        <v/>
      </c>
      <c r="E1848" s="38">
        <v>46275</v>
      </c>
      <c r="F1848" s="23" t="s">
        <v>12791</v>
      </c>
      <c r="G1848" s="23" t="s">
        <v>75</v>
      </c>
      <c r="H1848" s="24">
        <v>1798</v>
      </c>
      <c r="I1848" s="24">
        <v>0</v>
      </c>
      <c r="J1848" s="24">
        <v>0</v>
      </c>
      <c r="K1848" s="24">
        <v>-1798</v>
      </c>
      <c r="L1848" s="38">
        <v>46277</v>
      </c>
      <c r="M1848" s="23" t="s">
        <v>104</v>
      </c>
      <c r="N1848" s="23" t="str">
        <f>IF(COUNTIF($A$2:A1848,A1848)&gt;1,"DUP","OK")</f>
        <v>OK</v>
      </c>
      <c r="O1848" s="23" t="str">
        <f t="shared" si="85"/>
        <v>ORD26001457</v>
      </c>
      <c r="P1848" s="23" t="str">
        <f t="shared" si="86"/>
        <v>Sep</v>
      </c>
      <c r="Q1848" s="23" t="str">
        <f>IF(F1848="CAPTURE",IF(COUNTIF(orders!$A:$A,O1848)&gt;0,"Yes","NO ORDER"),"")</f>
        <v/>
      </c>
    </row>
    <row r="1849" spans="1:17" ht="15" customHeight="1" x14ac:dyDescent="0.3">
      <c r="A1849" s="23" t="s">
        <v>14567</v>
      </c>
      <c r="B1849" s="23" t="s">
        <v>13222</v>
      </c>
      <c r="C1849" s="23"/>
      <c r="D1849" s="23" t="str">
        <f t="shared" si="84"/>
        <v/>
      </c>
      <c r="E1849" s="38">
        <v>46275</v>
      </c>
      <c r="F1849" s="23" t="s">
        <v>12791</v>
      </c>
      <c r="G1849" s="23" t="s">
        <v>75</v>
      </c>
      <c r="H1849" s="24">
        <v>8298</v>
      </c>
      <c r="I1849" s="24">
        <v>0</v>
      </c>
      <c r="J1849" s="24">
        <v>0</v>
      </c>
      <c r="K1849" s="24">
        <v>-8298</v>
      </c>
      <c r="L1849" s="38">
        <v>46277</v>
      </c>
      <c r="M1849" s="23" t="s">
        <v>104</v>
      </c>
      <c r="N1849" s="23" t="str">
        <f>IF(COUNTIF($A$2:A1849,A1849)&gt;1,"DUP","OK")</f>
        <v>OK</v>
      </c>
      <c r="O1849" s="23" t="str">
        <f t="shared" si="85"/>
        <v>ORD26005532</v>
      </c>
      <c r="P1849" s="23" t="str">
        <f t="shared" si="86"/>
        <v>Sep</v>
      </c>
      <c r="Q1849" s="23" t="str">
        <f>IF(F1849="CAPTURE",IF(COUNTIF(orders!$A:$A,O1849)&gt;0,"Yes","NO ORDER"),"")</f>
        <v/>
      </c>
    </row>
    <row r="1850" spans="1:17" ht="15" customHeight="1" x14ac:dyDescent="0.3">
      <c r="A1850" s="23" t="s">
        <v>14568</v>
      </c>
      <c r="B1850" s="23" t="s">
        <v>14249</v>
      </c>
      <c r="C1850" s="23"/>
      <c r="D1850" s="23" t="str">
        <f t="shared" si="84"/>
        <v/>
      </c>
      <c r="E1850" s="38">
        <v>46275</v>
      </c>
      <c r="F1850" s="23" t="s">
        <v>12791</v>
      </c>
      <c r="G1850" s="23" t="s">
        <v>75</v>
      </c>
      <c r="H1850" s="24">
        <v>4297</v>
      </c>
      <c r="I1850" s="24">
        <v>0</v>
      </c>
      <c r="J1850" s="24">
        <v>0</v>
      </c>
      <c r="K1850" s="24">
        <v>-4297</v>
      </c>
      <c r="L1850" s="38">
        <v>46277</v>
      </c>
      <c r="M1850" s="23" t="s">
        <v>104</v>
      </c>
      <c r="N1850" s="23" t="str">
        <f>IF(COUNTIF($A$2:A1850,A1850)&gt;1,"DUP","OK")</f>
        <v>OK</v>
      </c>
      <c r="O1850" s="23" t="str">
        <f t="shared" si="85"/>
        <v>ORD26002511</v>
      </c>
      <c r="P1850" s="23" t="str">
        <f t="shared" si="86"/>
        <v>Sep</v>
      </c>
      <c r="Q1850" s="23" t="str">
        <f>IF(F1850="CAPTURE",IF(COUNTIF(orders!$A:$A,O1850)&gt;0,"Yes","NO ORDER"),"")</f>
        <v/>
      </c>
    </row>
    <row r="1851" spans="1:17" ht="15" customHeight="1" x14ac:dyDescent="0.3">
      <c r="A1851" s="23" t="s">
        <v>14569</v>
      </c>
      <c r="B1851" s="23" t="s">
        <v>13773</v>
      </c>
      <c r="C1851" s="23"/>
      <c r="D1851" s="23" t="str">
        <f t="shared" si="84"/>
        <v/>
      </c>
      <c r="E1851" s="38">
        <v>46275</v>
      </c>
      <c r="F1851" s="23" t="s">
        <v>12791</v>
      </c>
      <c r="G1851" s="23" t="s">
        <v>79</v>
      </c>
      <c r="H1851" s="24">
        <v>12297</v>
      </c>
      <c r="I1851" s="24">
        <v>0</v>
      </c>
      <c r="J1851" s="24">
        <v>0</v>
      </c>
      <c r="K1851" s="24">
        <v>-12297</v>
      </c>
      <c r="L1851" s="38">
        <v>46277</v>
      </c>
      <c r="M1851" s="23" t="s">
        <v>104</v>
      </c>
      <c r="N1851" s="23" t="str">
        <f>IF(COUNTIF($A$2:A1851,A1851)&gt;1,"DUP","OK")</f>
        <v>OK</v>
      </c>
      <c r="O1851" s="23" t="str">
        <f t="shared" si="85"/>
        <v>ORD26002532</v>
      </c>
      <c r="P1851" s="23" t="str">
        <f t="shared" si="86"/>
        <v>Sep</v>
      </c>
      <c r="Q1851" s="23" t="str">
        <f>IF(F1851="CAPTURE",IF(COUNTIF(orders!$A:$A,O1851)&gt;0,"Yes","NO ORDER"),"")</f>
        <v/>
      </c>
    </row>
    <row r="1852" spans="1:17" ht="15" customHeight="1" x14ac:dyDescent="0.3">
      <c r="A1852" s="23" t="s">
        <v>14570</v>
      </c>
      <c r="B1852" s="23" t="s">
        <v>13143</v>
      </c>
      <c r="C1852" s="23"/>
      <c r="D1852" s="23" t="str">
        <f t="shared" si="84"/>
        <v/>
      </c>
      <c r="E1852" s="38">
        <v>46275</v>
      </c>
      <c r="F1852" s="23" t="s">
        <v>12791</v>
      </c>
      <c r="G1852" s="23" t="s">
        <v>75</v>
      </c>
      <c r="H1852" s="24">
        <v>7999</v>
      </c>
      <c r="I1852" s="24">
        <v>0</v>
      </c>
      <c r="J1852" s="24">
        <v>0</v>
      </c>
      <c r="K1852" s="24">
        <v>-7999</v>
      </c>
      <c r="L1852" s="38">
        <v>46277</v>
      </c>
      <c r="M1852" s="23" t="s">
        <v>104</v>
      </c>
      <c r="N1852" s="23" t="str">
        <f>IF(COUNTIF($A$2:A1852,A1852)&gt;1,"DUP","OK")</f>
        <v>OK</v>
      </c>
      <c r="O1852" s="23" t="str">
        <f t="shared" si="85"/>
        <v>ORD26003551</v>
      </c>
      <c r="P1852" s="23" t="str">
        <f t="shared" si="86"/>
        <v>Sep</v>
      </c>
      <c r="Q1852" s="23" t="str">
        <f>IF(F1852="CAPTURE",IF(COUNTIF(orders!$A:$A,O1852)&gt;0,"Yes","NO ORDER"),"")</f>
        <v/>
      </c>
    </row>
    <row r="1853" spans="1:17" ht="15" customHeight="1" x14ac:dyDescent="0.3">
      <c r="A1853" s="23" t="s">
        <v>14571</v>
      </c>
      <c r="B1853" s="23" t="s">
        <v>13920</v>
      </c>
      <c r="C1853" s="23"/>
      <c r="D1853" s="23" t="str">
        <f t="shared" si="84"/>
        <v/>
      </c>
      <c r="E1853" s="38">
        <v>46275</v>
      </c>
      <c r="F1853" s="23" t="s">
        <v>12791</v>
      </c>
      <c r="G1853" s="23" t="s">
        <v>77</v>
      </c>
      <c r="H1853" s="24">
        <v>1299</v>
      </c>
      <c r="I1853" s="24">
        <v>0</v>
      </c>
      <c r="J1853" s="24">
        <v>0</v>
      </c>
      <c r="K1853" s="24">
        <v>-1299</v>
      </c>
      <c r="L1853" s="38">
        <v>46277</v>
      </c>
      <c r="M1853" s="23" t="s">
        <v>104</v>
      </c>
      <c r="N1853" s="23" t="str">
        <f>IF(COUNTIF($A$2:A1853,A1853)&gt;1,"DUP","OK")</f>
        <v>OK</v>
      </c>
      <c r="O1853" s="23" t="str">
        <f t="shared" si="85"/>
        <v>ORD26000577</v>
      </c>
      <c r="P1853" s="23" t="str">
        <f t="shared" si="86"/>
        <v>Sep</v>
      </c>
      <c r="Q1853" s="23" t="str">
        <f>IF(F1853="CAPTURE",IF(COUNTIF(orders!$A:$A,O1853)&gt;0,"Yes","NO ORDER"),"")</f>
        <v/>
      </c>
    </row>
    <row r="1854" spans="1:17" ht="15" customHeight="1" x14ac:dyDescent="0.3">
      <c r="A1854" s="23" t="s">
        <v>14572</v>
      </c>
      <c r="B1854" s="23" t="s">
        <v>13157</v>
      </c>
      <c r="C1854" s="23"/>
      <c r="D1854" s="23" t="str">
        <f t="shared" si="84"/>
        <v/>
      </c>
      <c r="E1854" s="38">
        <v>46275</v>
      </c>
      <c r="F1854" s="23" t="s">
        <v>12791</v>
      </c>
      <c r="G1854" s="23" t="s">
        <v>75</v>
      </c>
      <c r="H1854" s="24">
        <v>6797</v>
      </c>
      <c r="I1854" s="24">
        <v>0</v>
      </c>
      <c r="J1854" s="24">
        <v>0</v>
      </c>
      <c r="K1854" s="24">
        <v>-6797</v>
      </c>
      <c r="L1854" s="38">
        <v>46277</v>
      </c>
      <c r="M1854" s="23" t="s">
        <v>104</v>
      </c>
      <c r="N1854" s="23" t="str">
        <f>IF(COUNTIF($A$2:A1854,A1854)&gt;1,"DUP","OK")</f>
        <v>OK</v>
      </c>
      <c r="O1854" s="23" t="str">
        <f t="shared" si="85"/>
        <v>ORD26003923</v>
      </c>
      <c r="P1854" s="23" t="str">
        <f t="shared" si="86"/>
        <v>Sep</v>
      </c>
      <c r="Q1854" s="23" t="str">
        <f>IF(F1854="CAPTURE",IF(COUNTIF(orders!$A:$A,O1854)&gt;0,"Yes","NO ORDER"),"")</f>
        <v/>
      </c>
    </row>
    <row r="1855" spans="1:17" ht="15" customHeight="1" x14ac:dyDescent="0.3">
      <c r="A1855" s="23" t="s">
        <v>14573</v>
      </c>
      <c r="B1855" s="23" t="s">
        <v>13188</v>
      </c>
      <c r="C1855" s="23"/>
      <c r="D1855" s="23" t="str">
        <f t="shared" si="84"/>
        <v/>
      </c>
      <c r="E1855" s="38">
        <v>46275</v>
      </c>
      <c r="F1855" s="23" t="s">
        <v>12791</v>
      </c>
      <c r="G1855" s="23" t="s">
        <v>79</v>
      </c>
      <c r="H1855" s="24">
        <v>7999</v>
      </c>
      <c r="I1855" s="24">
        <v>0</v>
      </c>
      <c r="J1855" s="24">
        <v>0</v>
      </c>
      <c r="K1855" s="24">
        <v>-7999</v>
      </c>
      <c r="L1855" s="38">
        <v>46277</v>
      </c>
      <c r="M1855" s="23" t="s">
        <v>104</v>
      </c>
      <c r="N1855" s="23" t="str">
        <f>IF(COUNTIF($A$2:A1855,A1855)&gt;1,"DUP","OK")</f>
        <v>OK</v>
      </c>
      <c r="O1855" s="23" t="str">
        <f t="shared" si="85"/>
        <v>ORD26004768</v>
      </c>
      <c r="P1855" s="23" t="str">
        <f t="shared" si="86"/>
        <v>Sep</v>
      </c>
      <c r="Q1855" s="23" t="str">
        <f>IF(F1855="CAPTURE",IF(COUNTIF(orders!$A:$A,O1855)&gt;0,"Yes","NO ORDER"),"")</f>
        <v/>
      </c>
    </row>
    <row r="1856" spans="1:17" ht="15" customHeight="1" x14ac:dyDescent="0.3">
      <c r="A1856" s="23" t="s">
        <v>14574</v>
      </c>
      <c r="B1856" s="23" t="s">
        <v>13300</v>
      </c>
      <c r="C1856" s="23"/>
      <c r="D1856" s="23" t="str">
        <f t="shared" si="84"/>
        <v/>
      </c>
      <c r="E1856" s="38">
        <v>46275</v>
      </c>
      <c r="F1856" s="23" t="s">
        <v>12791</v>
      </c>
      <c r="G1856" s="23" t="s">
        <v>77</v>
      </c>
      <c r="H1856" s="24">
        <v>1098</v>
      </c>
      <c r="I1856" s="24">
        <v>0</v>
      </c>
      <c r="J1856" s="24">
        <v>0</v>
      </c>
      <c r="K1856" s="24">
        <v>-1098</v>
      </c>
      <c r="L1856" s="38">
        <v>46277</v>
      </c>
      <c r="M1856" s="23" t="s">
        <v>104</v>
      </c>
      <c r="N1856" s="23" t="str">
        <f>IF(COUNTIF($A$2:A1856,A1856)&gt;1,"DUP","OK")</f>
        <v>OK</v>
      </c>
      <c r="O1856" s="23" t="str">
        <f t="shared" si="85"/>
        <v>ORD26001506</v>
      </c>
      <c r="P1856" s="23" t="str">
        <f t="shared" si="86"/>
        <v>Sep</v>
      </c>
      <c r="Q1856" s="23" t="str">
        <f>IF(F1856="CAPTURE",IF(COUNTIF(orders!$A:$A,O1856)&gt;0,"Yes","NO ORDER"),"")</f>
        <v/>
      </c>
    </row>
    <row r="1857" spans="1:17" ht="15" customHeight="1" x14ac:dyDescent="0.3">
      <c r="A1857" s="23" t="s">
        <v>14575</v>
      </c>
      <c r="B1857" s="23" t="s">
        <v>13486</v>
      </c>
      <c r="C1857" s="23"/>
      <c r="D1857" s="23" t="str">
        <f t="shared" si="84"/>
        <v/>
      </c>
      <c r="E1857" s="38">
        <v>46275</v>
      </c>
      <c r="F1857" s="23" t="s">
        <v>12791</v>
      </c>
      <c r="G1857" s="23" t="s">
        <v>75</v>
      </c>
      <c r="H1857" s="24">
        <v>5998</v>
      </c>
      <c r="I1857" s="24">
        <v>0</v>
      </c>
      <c r="J1857" s="24">
        <v>0</v>
      </c>
      <c r="K1857" s="24">
        <v>-5998</v>
      </c>
      <c r="L1857" s="38">
        <v>46277</v>
      </c>
      <c r="M1857" s="23" t="s">
        <v>104</v>
      </c>
      <c r="N1857" s="23" t="str">
        <f>IF(COUNTIF($A$2:A1857,A1857)&gt;1,"DUP","OK")</f>
        <v>OK</v>
      </c>
      <c r="O1857" s="23" t="str">
        <f t="shared" si="85"/>
        <v>ORD26000519</v>
      </c>
      <c r="P1857" s="23" t="str">
        <f t="shared" si="86"/>
        <v>Sep</v>
      </c>
      <c r="Q1857" s="23" t="str">
        <f>IF(F1857="CAPTURE",IF(COUNTIF(orders!$A:$A,O1857)&gt;0,"Yes","NO ORDER"),"")</f>
        <v/>
      </c>
    </row>
    <row r="1858" spans="1:17" ht="15" customHeight="1" x14ac:dyDescent="0.3">
      <c r="A1858" s="23" t="s">
        <v>14576</v>
      </c>
      <c r="B1858" s="23"/>
      <c r="C1858" s="23" t="s">
        <v>260</v>
      </c>
      <c r="D1858" s="23" t="str">
        <f t="shared" ref="D1858:D1921" si="87">UPPER(SUBSTITUTE(TRIM(C1858),"-",""))</f>
        <v>ORD26000005</v>
      </c>
      <c r="E1858" s="38">
        <v>46276</v>
      </c>
      <c r="F1858" s="23" t="s">
        <v>12410</v>
      </c>
      <c r="G1858" s="23" t="s">
        <v>79</v>
      </c>
      <c r="H1858" s="24">
        <v>499</v>
      </c>
      <c r="I1858" s="24">
        <v>8.98</v>
      </c>
      <c r="J1858" s="24">
        <v>1.62</v>
      </c>
      <c r="K1858" s="24">
        <v>488.4</v>
      </c>
      <c r="L1858" s="38">
        <v>46278</v>
      </c>
      <c r="M1858" s="23" t="s">
        <v>196</v>
      </c>
      <c r="N1858" s="23" t="str">
        <f>IF(COUNTIF($A$2:A1858,A1858)&gt;1,"DUP","OK")</f>
        <v>OK</v>
      </c>
      <c r="O1858" s="23" t="str">
        <f t="shared" ref="O1858:O1921" si="88">IF(F1858="REFUND",INDEX($D:$D,MATCH(B1858,$A:$A,0)),D1858)</f>
        <v>ORD26000005</v>
      </c>
      <c r="P1858" s="23" t="str">
        <f t="shared" ref="P1858:P1921" si="89">IF(L1858&gt;DATE(2026,9,30),"Oct-Due","Sep")</f>
        <v>Sep</v>
      </c>
      <c r="Q1858" s="23" t="str">
        <f>IF(F1858="CAPTURE",IF(COUNTIF(orders!$A:$A,O1858)&gt;0,"Yes","NO ORDER"),"")</f>
        <v>Yes</v>
      </c>
    </row>
    <row r="1859" spans="1:17" ht="15" customHeight="1" x14ac:dyDescent="0.3">
      <c r="A1859" s="23" t="s">
        <v>14577</v>
      </c>
      <c r="B1859" s="23"/>
      <c r="C1859" s="23" t="s">
        <v>394</v>
      </c>
      <c r="D1859" s="23" t="str">
        <f t="shared" si="87"/>
        <v>ORD26000053</v>
      </c>
      <c r="E1859" s="38">
        <v>46276</v>
      </c>
      <c r="F1859" s="23" t="s">
        <v>12410</v>
      </c>
      <c r="G1859" s="23" t="s">
        <v>75</v>
      </c>
      <c r="H1859" s="24">
        <v>2999</v>
      </c>
      <c r="I1859" s="24">
        <v>9</v>
      </c>
      <c r="J1859" s="24">
        <v>1.62</v>
      </c>
      <c r="K1859" s="24">
        <v>2988.38</v>
      </c>
      <c r="L1859" s="38">
        <v>46278</v>
      </c>
      <c r="M1859" s="23" t="s">
        <v>196</v>
      </c>
      <c r="N1859" s="23" t="str">
        <f>IF(COUNTIF($A$2:A1859,A1859)&gt;1,"DUP","OK")</f>
        <v>OK</v>
      </c>
      <c r="O1859" s="23" t="str">
        <f t="shared" si="88"/>
        <v>ORD26000053</v>
      </c>
      <c r="P1859" s="23" t="str">
        <f t="shared" si="89"/>
        <v>Sep</v>
      </c>
      <c r="Q1859" s="23" t="str">
        <f>IF(F1859="CAPTURE",IF(COUNTIF(orders!$A:$A,O1859)&gt;0,"Yes","NO ORDER"),"")</f>
        <v>Yes</v>
      </c>
    </row>
    <row r="1860" spans="1:17" ht="15" customHeight="1" x14ac:dyDescent="0.3">
      <c r="A1860" s="23" t="s">
        <v>14578</v>
      </c>
      <c r="B1860" s="23"/>
      <c r="C1860" s="23" t="s">
        <v>413</v>
      </c>
      <c r="D1860" s="23" t="str">
        <f t="shared" si="87"/>
        <v>ORD26000061</v>
      </c>
      <c r="E1860" s="38">
        <v>46276</v>
      </c>
      <c r="F1860" s="23" t="s">
        <v>12410</v>
      </c>
      <c r="G1860" s="23" t="s">
        <v>75</v>
      </c>
      <c r="H1860" s="24">
        <v>599</v>
      </c>
      <c r="I1860" s="24">
        <v>0</v>
      </c>
      <c r="J1860" s="24">
        <v>0</v>
      </c>
      <c r="K1860" s="24">
        <v>599</v>
      </c>
      <c r="L1860" s="38">
        <v>46278</v>
      </c>
      <c r="M1860" s="23" t="s">
        <v>196</v>
      </c>
      <c r="N1860" s="23" t="str">
        <f>IF(COUNTIF($A$2:A1860,A1860)&gt;1,"DUP","OK")</f>
        <v>OK</v>
      </c>
      <c r="O1860" s="23" t="str">
        <f t="shared" si="88"/>
        <v>ORD26000061</v>
      </c>
      <c r="P1860" s="23" t="str">
        <f t="shared" si="89"/>
        <v>Sep</v>
      </c>
      <c r="Q1860" s="23" t="str">
        <f>IF(F1860="CAPTURE",IF(COUNTIF(orders!$A:$A,O1860)&gt;0,"Yes","NO ORDER"),"")</f>
        <v>Yes</v>
      </c>
    </row>
    <row r="1861" spans="1:17" ht="15" customHeight="1" x14ac:dyDescent="0.3">
      <c r="A1861" s="23" t="s">
        <v>14579</v>
      </c>
      <c r="B1861" s="23"/>
      <c r="C1861" s="23" t="s">
        <v>813</v>
      </c>
      <c r="D1861" s="23" t="str">
        <f t="shared" si="87"/>
        <v>ORD26000229</v>
      </c>
      <c r="E1861" s="38">
        <v>46276</v>
      </c>
      <c r="F1861" s="23" t="s">
        <v>12410</v>
      </c>
      <c r="G1861" s="23" t="s">
        <v>77</v>
      </c>
      <c r="H1861" s="24">
        <v>2499</v>
      </c>
      <c r="I1861" s="24">
        <v>42.48</v>
      </c>
      <c r="J1861" s="24">
        <v>7.65</v>
      </c>
      <c r="K1861" s="24">
        <v>2448.87</v>
      </c>
      <c r="L1861" s="38">
        <v>46278</v>
      </c>
      <c r="M1861" s="23" t="s">
        <v>196</v>
      </c>
      <c r="N1861" s="23" t="str">
        <f>IF(COUNTIF($A$2:A1861,A1861)&gt;1,"DUP","OK")</f>
        <v>OK</v>
      </c>
      <c r="O1861" s="23" t="str">
        <f t="shared" si="88"/>
        <v>ORD26000229</v>
      </c>
      <c r="P1861" s="23" t="str">
        <f t="shared" si="89"/>
        <v>Sep</v>
      </c>
      <c r="Q1861" s="23" t="str">
        <f>IF(F1861="CAPTURE",IF(COUNTIF(orders!$A:$A,O1861)&gt;0,"Yes","NO ORDER"),"")</f>
        <v>Yes</v>
      </c>
    </row>
    <row r="1862" spans="1:17" ht="15" customHeight="1" x14ac:dyDescent="0.3">
      <c r="A1862" s="23" t="s">
        <v>14580</v>
      </c>
      <c r="B1862" s="23"/>
      <c r="C1862" s="23" t="s">
        <v>861</v>
      </c>
      <c r="D1862" s="23" t="str">
        <f t="shared" si="87"/>
        <v>ORD26000250</v>
      </c>
      <c r="E1862" s="38">
        <v>46276</v>
      </c>
      <c r="F1862" s="23" t="s">
        <v>12410</v>
      </c>
      <c r="G1862" s="23" t="s">
        <v>79</v>
      </c>
      <c r="H1862" s="24">
        <v>2798</v>
      </c>
      <c r="I1862" s="24">
        <v>44.77</v>
      </c>
      <c r="J1862" s="24">
        <v>8.06</v>
      </c>
      <c r="K1862" s="24">
        <v>2745.17</v>
      </c>
      <c r="L1862" s="38">
        <v>46278</v>
      </c>
      <c r="M1862" s="23" t="s">
        <v>196</v>
      </c>
      <c r="N1862" s="23" t="str">
        <f>IF(COUNTIF($A$2:A1862,A1862)&gt;1,"DUP","OK")</f>
        <v>OK</v>
      </c>
      <c r="O1862" s="23" t="str">
        <f t="shared" si="88"/>
        <v>ORD26000250</v>
      </c>
      <c r="P1862" s="23" t="str">
        <f t="shared" si="89"/>
        <v>Sep</v>
      </c>
      <c r="Q1862" s="23" t="str">
        <f>IF(F1862="CAPTURE",IF(COUNTIF(orders!$A:$A,O1862)&gt;0,"Yes","NO ORDER"),"")</f>
        <v>Yes</v>
      </c>
    </row>
    <row r="1863" spans="1:17" ht="15" customHeight="1" x14ac:dyDescent="0.3">
      <c r="A1863" s="23" t="s">
        <v>14581</v>
      </c>
      <c r="B1863" s="23"/>
      <c r="C1863" s="23" t="s">
        <v>975</v>
      </c>
      <c r="D1863" s="23" t="str">
        <f t="shared" si="87"/>
        <v>ORD26000304</v>
      </c>
      <c r="E1863" s="38">
        <v>46276</v>
      </c>
      <c r="F1863" s="23" t="s">
        <v>12410</v>
      </c>
      <c r="G1863" s="23" t="s">
        <v>79</v>
      </c>
      <c r="H1863" s="24">
        <v>9798</v>
      </c>
      <c r="I1863" s="24">
        <v>156.77000000000001</v>
      </c>
      <c r="J1863" s="24">
        <v>28.22</v>
      </c>
      <c r="K1863" s="24">
        <v>9613.01</v>
      </c>
      <c r="L1863" s="38">
        <v>46278</v>
      </c>
      <c r="M1863" s="23" t="s">
        <v>196</v>
      </c>
      <c r="N1863" s="23" t="str">
        <f>IF(COUNTIF($A$2:A1863,A1863)&gt;1,"DUP","OK")</f>
        <v>OK</v>
      </c>
      <c r="O1863" s="23" t="str">
        <f t="shared" si="88"/>
        <v>ORD26000304</v>
      </c>
      <c r="P1863" s="23" t="str">
        <f t="shared" si="89"/>
        <v>Sep</v>
      </c>
      <c r="Q1863" s="23" t="str">
        <f>IF(F1863="CAPTURE",IF(COUNTIF(orders!$A:$A,O1863)&gt;0,"Yes","NO ORDER"),"")</f>
        <v>Yes</v>
      </c>
    </row>
    <row r="1864" spans="1:17" ht="15" customHeight="1" x14ac:dyDescent="0.3">
      <c r="A1864" s="23" t="s">
        <v>14582</v>
      </c>
      <c r="B1864" s="23"/>
      <c r="C1864" s="23" t="s">
        <v>1166</v>
      </c>
      <c r="D1864" s="23" t="str">
        <f t="shared" si="87"/>
        <v>ORD26000391</v>
      </c>
      <c r="E1864" s="38">
        <v>46276</v>
      </c>
      <c r="F1864" s="23" t="s">
        <v>12410</v>
      </c>
      <c r="G1864" s="23" t="s">
        <v>77</v>
      </c>
      <c r="H1864" s="24">
        <v>349</v>
      </c>
      <c r="I1864" s="24">
        <v>6.63</v>
      </c>
      <c r="J1864" s="24">
        <v>1.19</v>
      </c>
      <c r="K1864" s="24">
        <v>341.18</v>
      </c>
      <c r="L1864" s="38">
        <v>46278</v>
      </c>
      <c r="M1864" s="23" t="s">
        <v>196</v>
      </c>
      <c r="N1864" s="23" t="str">
        <f>IF(COUNTIF($A$2:A1864,A1864)&gt;1,"DUP","OK")</f>
        <v>OK</v>
      </c>
      <c r="O1864" s="23" t="str">
        <f t="shared" si="88"/>
        <v>ORD26000391</v>
      </c>
      <c r="P1864" s="23" t="str">
        <f t="shared" si="89"/>
        <v>Sep</v>
      </c>
      <c r="Q1864" s="23" t="str">
        <f>IF(F1864="CAPTURE",IF(COUNTIF(orders!$A:$A,O1864)&gt;0,"Yes","NO ORDER"),"")</f>
        <v>Yes</v>
      </c>
    </row>
    <row r="1865" spans="1:17" ht="15" customHeight="1" x14ac:dyDescent="0.3">
      <c r="A1865" s="23" t="s">
        <v>14583</v>
      </c>
      <c r="B1865" s="23"/>
      <c r="C1865" s="23" t="s">
        <v>1189</v>
      </c>
      <c r="D1865" s="23" t="str">
        <f t="shared" si="87"/>
        <v>ORD26000402</v>
      </c>
      <c r="E1865" s="38">
        <v>46276</v>
      </c>
      <c r="F1865" s="23" t="s">
        <v>12410</v>
      </c>
      <c r="G1865" s="23" t="s">
        <v>75</v>
      </c>
      <c r="H1865" s="24">
        <v>8798</v>
      </c>
      <c r="I1865" s="24">
        <v>26.39</v>
      </c>
      <c r="J1865" s="24">
        <v>4.75</v>
      </c>
      <c r="K1865" s="24">
        <v>8766.86</v>
      </c>
      <c r="L1865" s="38">
        <v>46278</v>
      </c>
      <c r="M1865" s="23" t="s">
        <v>196</v>
      </c>
      <c r="N1865" s="23" t="str">
        <f>IF(COUNTIF($A$2:A1865,A1865)&gt;1,"DUP","OK")</f>
        <v>OK</v>
      </c>
      <c r="O1865" s="23" t="str">
        <f t="shared" si="88"/>
        <v>ORD26000402</v>
      </c>
      <c r="P1865" s="23" t="str">
        <f t="shared" si="89"/>
        <v>Sep</v>
      </c>
      <c r="Q1865" s="23" t="str">
        <f>IF(F1865="CAPTURE",IF(COUNTIF(orders!$A:$A,O1865)&gt;0,"Yes","NO ORDER"),"")</f>
        <v>Yes</v>
      </c>
    </row>
    <row r="1866" spans="1:17" ht="15" customHeight="1" x14ac:dyDescent="0.3">
      <c r="A1866" s="23" t="s">
        <v>14584</v>
      </c>
      <c r="B1866" s="23"/>
      <c r="C1866" s="23" t="s">
        <v>1216</v>
      </c>
      <c r="D1866" s="23" t="str">
        <f t="shared" si="87"/>
        <v>ORD26000414</v>
      </c>
      <c r="E1866" s="38">
        <v>46276</v>
      </c>
      <c r="F1866" s="23" t="s">
        <v>12410</v>
      </c>
      <c r="G1866" s="23" t="s">
        <v>75</v>
      </c>
      <c r="H1866" s="24">
        <v>5598</v>
      </c>
      <c r="I1866" s="24">
        <v>16.79</v>
      </c>
      <c r="J1866" s="24">
        <v>3.02</v>
      </c>
      <c r="K1866" s="24">
        <v>5578.19</v>
      </c>
      <c r="L1866" s="38">
        <v>46278</v>
      </c>
      <c r="M1866" s="23" t="s">
        <v>196</v>
      </c>
      <c r="N1866" s="23" t="str">
        <f>IF(COUNTIF($A$2:A1866,A1866)&gt;1,"DUP","OK")</f>
        <v>OK</v>
      </c>
      <c r="O1866" s="23" t="str">
        <f t="shared" si="88"/>
        <v>ORD26000414</v>
      </c>
      <c r="P1866" s="23" t="str">
        <f t="shared" si="89"/>
        <v>Sep</v>
      </c>
      <c r="Q1866" s="23" t="str">
        <f>IF(F1866="CAPTURE",IF(COUNTIF(orders!$A:$A,O1866)&gt;0,"Yes","NO ORDER"),"")</f>
        <v>Yes</v>
      </c>
    </row>
    <row r="1867" spans="1:17" ht="15" customHeight="1" x14ac:dyDescent="0.3">
      <c r="A1867" s="23" t="s">
        <v>14585</v>
      </c>
      <c r="B1867" s="23"/>
      <c r="C1867" s="23" t="s">
        <v>1424</v>
      </c>
      <c r="D1867" s="23" t="str">
        <f t="shared" si="87"/>
        <v>ORD26000509</v>
      </c>
      <c r="E1867" s="38">
        <v>46276</v>
      </c>
      <c r="F1867" s="23" t="s">
        <v>12410</v>
      </c>
      <c r="G1867" s="23" t="s">
        <v>79</v>
      </c>
      <c r="H1867" s="24">
        <v>6997</v>
      </c>
      <c r="I1867" s="24">
        <v>111.95</v>
      </c>
      <c r="J1867" s="24">
        <v>20.149999999999999</v>
      </c>
      <c r="K1867" s="24">
        <v>6864.9</v>
      </c>
      <c r="L1867" s="38">
        <v>46278</v>
      </c>
      <c r="M1867" s="23" t="s">
        <v>196</v>
      </c>
      <c r="N1867" s="23" t="str">
        <f>IF(COUNTIF($A$2:A1867,A1867)&gt;1,"DUP","OK")</f>
        <v>OK</v>
      </c>
      <c r="O1867" s="23" t="str">
        <f t="shared" si="88"/>
        <v>ORD26000509</v>
      </c>
      <c r="P1867" s="23" t="str">
        <f t="shared" si="89"/>
        <v>Sep</v>
      </c>
      <c r="Q1867" s="23" t="str">
        <f>IF(F1867="CAPTURE",IF(COUNTIF(orders!$A:$A,O1867)&gt;0,"Yes","NO ORDER"),"")</f>
        <v>Yes</v>
      </c>
    </row>
    <row r="1868" spans="1:17" ht="15" customHeight="1" x14ac:dyDescent="0.3">
      <c r="A1868" s="23" t="s">
        <v>14586</v>
      </c>
      <c r="B1868" s="23"/>
      <c r="C1868" s="23" t="s">
        <v>1559</v>
      </c>
      <c r="D1868" s="23" t="str">
        <f t="shared" si="87"/>
        <v>ORD26000570</v>
      </c>
      <c r="E1868" s="38">
        <v>46276</v>
      </c>
      <c r="F1868" s="23" t="s">
        <v>12410</v>
      </c>
      <c r="G1868" s="23" t="s">
        <v>79</v>
      </c>
      <c r="H1868" s="24">
        <v>7097</v>
      </c>
      <c r="I1868" s="24">
        <v>113.55</v>
      </c>
      <c r="J1868" s="24">
        <v>20.440000000000001</v>
      </c>
      <c r="K1868" s="24">
        <v>6963.01</v>
      </c>
      <c r="L1868" s="38">
        <v>46278</v>
      </c>
      <c r="M1868" s="23" t="s">
        <v>196</v>
      </c>
      <c r="N1868" s="23" t="str">
        <f>IF(COUNTIF($A$2:A1868,A1868)&gt;1,"DUP","OK")</f>
        <v>OK</v>
      </c>
      <c r="O1868" s="23" t="str">
        <f t="shared" si="88"/>
        <v>ORD26000570</v>
      </c>
      <c r="P1868" s="23" t="str">
        <f t="shared" si="89"/>
        <v>Sep</v>
      </c>
      <c r="Q1868" s="23" t="str">
        <f>IF(F1868="CAPTURE",IF(COUNTIF(orders!$A:$A,O1868)&gt;0,"Yes","NO ORDER"),"")</f>
        <v>Yes</v>
      </c>
    </row>
    <row r="1869" spans="1:17" ht="15" customHeight="1" x14ac:dyDescent="0.3">
      <c r="A1869" s="23" t="s">
        <v>14587</v>
      </c>
      <c r="B1869" s="23"/>
      <c r="C1869" s="23" t="s">
        <v>1563</v>
      </c>
      <c r="D1869" s="23" t="str">
        <f t="shared" si="87"/>
        <v>ORD26000572</v>
      </c>
      <c r="E1869" s="38">
        <v>46276</v>
      </c>
      <c r="F1869" s="23" t="s">
        <v>12410</v>
      </c>
      <c r="G1869" s="23" t="s">
        <v>75</v>
      </c>
      <c r="H1869" s="24">
        <v>1499</v>
      </c>
      <c r="I1869" s="24">
        <v>0</v>
      </c>
      <c r="J1869" s="24">
        <v>0</v>
      </c>
      <c r="K1869" s="24">
        <v>1499</v>
      </c>
      <c r="L1869" s="38">
        <v>46278</v>
      </c>
      <c r="M1869" s="23" t="s">
        <v>196</v>
      </c>
      <c r="N1869" s="23" t="str">
        <f>IF(COUNTIF($A$2:A1869,A1869)&gt;1,"DUP","OK")</f>
        <v>OK</v>
      </c>
      <c r="O1869" s="23" t="str">
        <f t="shared" si="88"/>
        <v>ORD26000572</v>
      </c>
      <c r="P1869" s="23" t="str">
        <f t="shared" si="89"/>
        <v>Sep</v>
      </c>
      <c r="Q1869" s="23" t="str">
        <f>IF(F1869="CAPTURE",IF(COUNTIF(orders!$A:$A,O1869)&gt;0,"Yes","NO ORDER"),"")</f>
        <v>Yes</v>
      </c>
    </row>
    <row r="1870" spans="1:17" ht="15" customHeight="1" x14ac:dyDescent="0.3">
      <c r="A1870" s="23" t="s">
        <v>14588</v>
      </c>
      <c r="B1870" s="23"/>
      <c r="C1870" s="23" t="s">
        <v>1615</v>
      </c>
      <c r="D1870" s="23" t="str">
        <f t="shared" si="87"/>
        <v>ORD26000596</v>
      </c>
      <c r="E1870" s="38">
        <v>46276</v>
      </c>
      <c r="F1870" s="23" t="s">
        <v>12410</v>
      </c>
      <c r="G1870" s="23" t="s">
        <v>75</v>
      </c>
      <c r="H1870" s="24">
        <v>299</v>
      </c>
      <c r="I1870" s="24">
        <v>0</v>
      </c>
      <c r="J1870" s="24">
        <v>0</v>
      </c>
      <c r="K1870" s="24">
        <v>299</v>
      </c>
      <c r="L1870" s="38">
        <v>46278</v>
      </c>
      <c r="M1870" s="23" t="s">
        <v>196</v>
      </c>
      <c r="N1870" s="23" t="str">
        <f>IF(COUNTIF($A$2:A1870,A1870)&gt;1,"DUP","OK")</f>
        <v>OK</v>
      </c>
      <c r="O1870" s="23" t="str">
        <f t="shared" si="88"/>
        <v>ORD26000596</v>
      </c>
      <c r="P1870" s="23" t="str">
        <f t="shared" si="89"/>
        <v>Sep</v>
      </c>
      <c r="Q1870" s="23" t="str">
        <f>IF(F1870="CAPTURE",IF(COUNTIF(orders!$A:$A,O1870)&gt;0,"Yes","NO ORDER"),"")</f>
        <v>Yes</v>
      </c>
    </row>
    <row r="1871" spans="1:17" ht="15" customHeight="1" x14ac:dyDescent="0.3">
      <c r="A1871" s="23" t="s">
        <v>14589</v>
      </c>
      <c r="B1871" s="23"/>
      <c r="C1871" s="23" t="s">
        <v>1935</v>
      </c>
      <c r="D1871" s="23" t="str">
        <f t="shared" si="87"/>
        <v>ORD26000748</v>
      </c>
      <c r="E1871" s="38">
        <v>46276</v>
      </c>
      <c r="F1871" s="23" t="s">
        <v>12410</v>
      </c>
      <c r="G1871" s="23" t="s">
        <v>77</v>
      </c>
      <c r="H1871" s="24">
        <v>8297</v>
      </c>
      <c r="I1871" s="24">
        <v>141.05000000000001</v>
      </c>
      <c r="J1871" s="24">
        <v>25.39</v>
      </c>
      <c r="K1871" s="24">
        <v>8130.56</v>
      </c>
      <c r="L1871" s="38">
        <v>46278</v>
      </c>
      <c r="M1871" s="23" t="s">
        <v>196</v>
      </c>
      <c r="N1871" s="23" t="str">
        <f>IF(COUNTIF($A$2:A1871,A1871)&gt;1,"DUP","OK")</f>
        <v>OK</v>
      </c>
      <c r="O1871" s="23" t="str">
        <f t="shared" si="88"/>
        <v>ORD26000748</v>
      </c>
      <c r="P1871" s="23" t="str">
        <f t="shared" si="89"/>
        <v>Sep</v>
      </c>
      <c r="Q1871" s="23" t="str">
        <f>IF(F1871="CAPTURE",IF(COUNTIF(orders!$A:$A,O1871)&gt;0,"Yes","NO ORDER"),"")</f>
        <v>Yes</v>
      </c>
    </row>
    <row r="1872" spans="1:17" ht="15" customHeight="1" x14ac:dyDescent="0.3">
      <c r="A1872" s="23" t="s">
        <v>14590</v>
      </c>
      <c r="B1872" s="23"/>
      <c r="C1872" s="23" t="s">
        <v>1989</v>
      </c>
      <c r="D1872" s="23" t="str">
        <f t="shared" si="87"/>
        <v>ORD26000773</v>
      </c>
      <c r="E1872" s="38">
        <v>46276</v>
      </c>
      <c r="F1872" s="23" t="s">
        <v>12410</v>
      </c>
      <c r="G1872" s="23" t="s">
        <v>75</v>
      </c>
      <c r="H1872" s="24">
        <v>7999</v>
      </c>
      <c r="I1872" s="24">
        <v>24</v>
      </c>
      <c r="J1872" s="24">
        <v>4.32</v>
      </c>
      <c r="K1872" s="24">
        <v>7970.68</v>
      </c>
      <c r="L1872" s="38">
        <v>46278</v>
      </c>
      <c r="M1872" s="23" t="s">
        <v>196</v>
      </c>
      <c r="N1872" s="23" t="str">
        <f>IF(COUNTIF($A$2:A1872,A1872)&gt;1,"DUP","OK")</f>
        <v>OK</v>
      </c>
      <c r="O1872" s="23" t="str">
        <f t="shared" si="88"/>
        <v>ORD26000773</v>
      </c>
      <c r="P1872" s="23" t="str">
        <f t="shared" si="89"/>
        <v>Sep</v>
      </c>
      <c r="Q1872" s="23" t="str">
        <f>IF(F1872="CAPTURE",IF(COUNTIF(orders!$A:$A,O1872)&gt;0,"Yes","NO ORDER"),"")</f>
        <v>Yes</v>
      </c>
    </row>
    <row r="1873" spans="1:17" ht="15" customHeight="1" x14ac:dyDescent="0.3">
      <c r="A1873" s="23" t="s">
        <v>14591</v>
      </c>
      <c r="B1873" s="23"/>
      <c r="C1873" s="23" t="s">
        <v>2010</v>
      </c>
      <c r="D1873" s="23" t="str">
        <f t="shared" si="87"/>
        <v>ORD26000782</v>
      </c>
      <c r="E1873" s="38">
        <v>46276</v>
      </c>
      <c r="F1873" s="23" t="s">
        <v>12410</v>
      </c>
      <c r="G1873" s="23" t="s">
        <v>79</v>
      </c>
      <c r="H1873" s="24">
        <v>1597</v>
      </c>
      <c r="I1873" s="24">
        <v>28.75</v>
      </c>
      <c r="J1873" s="24">
        <v>5.18</v>
      </c>
      <c r="K1873" s="24">
        <v>1563.07</v>
      </c>
      <c r="L1873" s="38">
        <v>46278</v>
      </c>
      <c r="M1873" s="23" t="s">
        <v>196</v>
      </c>
      <c r="N1873" s="23" t="str">
        <f>IF(COUNTIF($A$2:A1873,A1873)&gt;1,"DUP","OK")</f>
        <v>OK</v>
      </c>
      <c r="O1873" s="23" t="str">
        <f t="shared" si="88"/>
        <v>ORD26000782</v>
      </c>
      <c r="P1873" s="23" t="str">
        <f t="shared" si="89"/>
        <v>Sep</v>
      </c>
      <c r="Q1873" s="23" t="str">
        <f>IF(F1873="CAPTURE",IF(COUNTIF(orders!$A:$A,O1873)&gt;0,"Yes","NO ORDER"),"")</f>
        <v>Yes</v>
      </c>
    </row>
    <row r="1874" spans="1:17" ht="15" customHeight="1" x14ac:dyDescent="0.3">
      <c r="A1874" s="23" t="s">
        <v>14592</v>
      </c>
      <c r="B1874" s="23"/>
      <c r="C1874" s="23" t="s">
        <v>2029</v>
      </c>
      <c r="D1874" s="23" t="str">
        <f t="shared" si="87"/>
        <v>ORD26000791</v>
      </c>
      <c r="E1874" s="38">
        <v>46276</v>
      </c>
      <c r="F1874" s="23" t="s">
        <v>12410</v>
      </c>
      <c r="G1874" s="23" t="s">
        <v>75</v>
      </c>
      <c r="H1874" s="24">
        <v>1299</v>
      </c>
      <c r="I1874" s="24">
        <v>0</v>
      </c>
      <c r="J1874" s="24">
        <v>0</v>
      </c>
      <c r="K1874" s="24">
        <v>1299</v>
      </c>
      <c r="L1874" s="38">
        <v>46278</v>
      </c>
      <c r="M1874" s="23" t="s">
        <v>196</v>
      </c>
      <c r="N1874" s="23" t="str">
        <f>IF(COUNTIF($A$2:A1874,A1874)&gt;1,"DUP","OK")</f>
        <v>OK</v>
      </c>
      <c r="O1874" s="23" t="str">
        <f t="shared" si="88"/>
        <v>ORD26000791</v>
      </c>
      <c r="P1874" s="23" t="str">
        <f t="shared" si="89"/>
        <v>Sep</v>
      </c>
      <c r="Q1874" s="23" t="str">
        <f>IF(F1874="CAPTURE",IF(COUNTIF(orders!$A:$A,O1874)&gt;0,"Yes","NO ORDER"),"")</f>
        <v>Yes</v>
      </c>
    </row>
    <row r="1875" spans="1:17" ht="15" customHeight="1" x14ac:dyDescent="0.3">
      <c r="A1875" s="23" t="s">
        <v>14593</v>
      </c>
      <c r="B1875" s="23"/>
      <c r="C1875" s="23" t="s">
        <v>2091</v>
      </c>
      <c r="D1875" s="23" t="str">
        <f t="shared" si="87"/>
        <v>ORD26000821</v>
      </c>
      <c r="E1875" s="38">
        <v>46276</v>
      </c>
      <c r="F1875" s="23" t="s">
        <v>12410</v>
      </c>
      <c r="G1875" s="23" t="s">
        <v>75</v>
      </c>
      <c r="H1875" s="24">
        <v>3197</v>
      </c>
      <c r="I1875" s="24">
        <v>9.59</v>
      </c>
      <c r="J1875" s="24">
        <v>1.73</v>
      </c>
      <c r="K1875" s="24">
        <v>3185.68</v>
      </c>
      <c r="L1875" s="38">
        <v>46278</v>
      </c>
      <c r="M1875" s="23" t="s">
        <v>196</v>
      </c>
      <c r="N1875" s="23" t="str">
        <f>IF(COUNTIF($A$2:A1875,A1875)&gt;1,"DUP","OK")</f>
        <v>OK</v>
      </c>
      <c r="O1875" s="23" t="str">
        <f t="shared" si="88"/>
        <v>ORD26000821</v>
      </c>
      <c r="P1875" s="23" t="str">
        <f t="shared" si="89"/>
        <v>Sep</v>
      </c>
      <c r="Q1875" s="23" t="str">
        <f>IF(F1875="CAPTURE",IF(COUNTIF(orders!$A:$A,O1875)&gt;0,"Yes","NO ORDER"),"")</f>
        <v>Yes</v>
      </c>
    </row>
    <row r="1876" spans="1:17" ht="15" customHeight="1" x14ac:dyDescent="0.3">
      <c r="A1876" s="23" t="s">
        <v>14594</v>
      </c>
      <c r="B1876" s="23"/>
      <c r="C1876" s="23" t="s">
        <v>2093</v>
      </c>
      <c r="D1876" s="23" t="str">
        <f t="shared" si="87"/>
        <v>ORD26000822</v>
      </c>
      <c r="E1876" s="38">
        <v>46276</v>
      </c>
      <c r="F1876" s="23" t="s">
        <v>12410</v>
      </c>
      <c r="G1876" s="23" t="s">
        <v>79</v>
      </c>
      <c r="H1876" s="24">
        <v>2499</v>
      </c>
      <c r="I1876" s="24">
        <v>39.979999999999997</v>
      </c>
      <c r="J1876" s="24">
        <v>7.2</v>
      </c>
      <c r="K1876" s="24">
        <v>2451.8200000000002</v>
      </c>
      <c r="L1876" s="38">
        <v>46278</v>
      </c>
      <c r="M1876" s="23" t="s">
        <v>196</v>
      </c>
      <c r="N1876" s="23" t="str">
        <f>IF(COUNTIF($A$2:A1876,A1876)&gt;1,"DUP","OK")</f>
        <v>OK</v>
      </c>
      <c r="O1876" s="23" t="str">
        <f t="shared" si="88"/>
        <v>ORD26000822</v>
      </c>
      <c r="P1876" s="23" t="str">
        <f t="shared" si="89"/>
        <v>Sep</v>
      </c>
      <c r="Q1876" s="23" t="str">
        <f>IF(F1876="CAPTURE",IF(COUNTIF(orders!$A:$A,O1876)&gt;0,"Yes","NO ORDER"),"")</f>
        <v>Yes</v>
      </c>
    </row>
    <row r="1877" spans="1:17" ht="15" customHeight="1" x14ac:dyDescent="0.3">
      <c r="A1877" s="23" t="s">
        <v>14595</v>
      </c>
      <c r="B1877" s="23"/>
      <c r="C1877" s="23" t="s">
        <v>2358</v>
      </c>
      <c r="D1877" s="23" t="str">
        <f t="shared" si="87"/>
        <v>ORD26000950</v>
      </c>
      <c r="E1877" s="38">
        <v>46276</v>
      </c>
      <c r="F1877" s="23" t="s">
        <v>12410</v>
      </c>
      <c r="G1877" s="23" t="s">
        <v>75</v>
      </c>
      <c r="H1877" s="24">
        <v>799</v>
      </c>
      <c r="I1877" s="24">
        <v>0</v>
      </c>
      <c r="J1877" s="24">
        <v>0</v>
      </c>
      <c r="K1877" s="24">
        <v>799</v>
      </c>
      <c r="L1877" s="38">
        <v>46278</v>
      </c>
      <c r="M1877" s="23" t="s">
        <v>196</v>
      </c>
      <c r="N1877" s="23" t="str">
        <f>IF(COUNTIF($A$2:A1877,A1877)&gt;1,"DUP","OK")</f>
        <v>OK</v>
      </c>
      <c r="O1877" s="23" t="str">
        <f t="shared" si="88"/>
        <v>ORD26000950</v>
      </c>
      <c r="P1877" s="23" t="str">
        <f t="shared" si="89"/>
        <v>Sep</v>
      </c>
      <c r="Q1877" s="23" t="str">
        <f>IF(F1877="CAPTURE",IF(COUNTIF(orders!$A:$A,O1877)&gt;0,"Yes","NO ORDER"),"")</f>
        <v>Yes</v>
      </c>
    </row>
    <row r="1878" spans="1:17" ht="15" customHeight="1" x14ac:dyDescent="0.3">
      <c r="A1878" s="23" t="s">
        <v>14596</v>
      </c>
      <c r="B1878" s="23"/>
      <c r="C1878" s="23" t="s">
        <v>14597</v>
      </c>
      <c r="D1878" s="23" t="str">
        <f t="shared" si="87"/>
        <v>ORD26000979</v>
      </c>
      <c r="E1878" s="38">
        <v>46276</v>
      </c>
      <c r="F1878" s="23" t="s">
        <v>12410</v>
      </c>
      <c r="G1878" s="23" t="s">
        <v>75</v>
      </c>
      <c r="H1878" s="24">
        <v>2999</v>
      </c>
      <c r="I1878" s="24">
        <v>9</v>
      </c>
      <c r="J1878" s="24">
        <v>1.62</v>
      </c>
      <c r="K1878" s="24">
        <v>2988.38</v>
      </c>
      <c r="L1878" s="38">
        <v>46278</v>
      </c>
      <c r="M1878" s="23" t="s">
        <v>196</v>
      </c>
      <c r="N1878" s="23" t="str">
        <f>IF(COUNTIF($A$2:A1878,A1878)&gt;1,"DUP","OK")</f>
        <v>OK</v>
      </c>
      <c r="O1878" s="23" t="str">
        <f t="shared" si="88"/>
        <v>ORD26000979</v>
      </c>
      <c r="P1878" s="23" t="str">
        <f t="shared" si="89"/>
        <v>Sep</v>
      </c>
      <c r="Q1878" s="23" t="str">
        <f>IF(F1878="CAPTURE",IF(COUNTIF(orders!$A:$A,O1878)&gt;0,"Yes","NO ORDER"),"")</f>
        <v>Yes</v>
      </c>
    </row>
    <row r="1879" spans="1:17" ht="15" customHeight="1" x14ac:dyDescent="0.3">
      <c r="A1879" s="23" t="s">
        <v>14598</v>
      </c>
      <c r="B1879" s="23"/>
      <c r="C1879" s="23" t="s">
        <v>2510</v>
      </c>
      <c r="D1879" s="23" t="str">
        <f t="shared" si="87"/>
        <v>ORD26001024</v>
      </c>
      <c r="E1879" s="38">
        <v>46276</v>
      </c>
      <c r="F1879" s="23" t="s">
        <v>12410</v>
      </c>
      <c r="G1879" s="23" t="s">
        <v>79</v>
      </c>
      <c r="H1879" s="24">
        <v>8997</v>
      </c>
      <c r="I1879" s="24">
        <v>143.94999999999999</v>
      </c>
      <c r="J1879" s="24">
        <v>25.91</v>
      </c>
      <c r="K1879" s="24">
        <v>8827.14</v>
      </c>
      <c r="L1879" s="38">
        <v>46278</v>
      </c>
      <c r="M1879" s="23" t="s">
        <v>196</v>
      </c>
      <c r="N1879" s="23" t="str">
        <f>IF(COUNTIF($A$2:A1879,A1879)&gt;1,"DUP","OK")</f>
        <v>OK</v>
      </c>
      <c r="O1879" s="23" t="str">
        <f t="shared" si="88"/>
        <v>ORD26001024</v>
      </c>
      <c r="P1879" s="23" t="str">
        <f t="shared" si="89"/>
        <v>Sep</v>
      </c>
      <c r="Q1879" s="23" t="str">
        <f>IF(F1879="CAPTURE",IF(COUNTIF(orders!$A:$A,O1879)&gt;0,"Yes","NO ORDER"),"")</f>
        <v>Yes</v>
      </c>
    </row>
    <row r="1880" spans="1:17" ht="15" customHeight="1" x14ac:dyDescent="0.3">
      <c r="A1880" s="23" t="s">
        <v>14599</v>
      </c>
      <c r="B1880" s="23"/>
      <c r="C1880" s="23" t="s">
        <v>2586</v>
      </c>
      <c r="D1880" s="23" t="str">
        <f t="shared" si="87"/>
        <v>ORD26001061</v>
      </c>
      <c r="E1880" s="38">
        <v>46276</v>
      </c>
      <c r="F1880" s="23" t="s">
        <v>12410</v>
      </c>
      <c r="G1880" s="23" t="s">
        <v>77</v>
      </c>
      <c r="H1880" s="24">
        <v>9497</v>
      </c>
      <c r="I1880" s="24">
        <v>161.44999999999999</v>
      </c>
      <c r="J1880" s="24">
        <v>29.06</v>
      </c>
      <c r="K1880" s="24">
        <v>9306.49</v>
      </c>
      <c r="L1880" s="38">
        <v>46278</v>
      </c>
      <c r="M1880" s="23" t="s">
        <v>196</v>
      </c>
      <c r="N1880" s="23" t="str">
        <f>IF(COUNTIF($A$2:A1880,A1880)&gt;1,"DUP","OK")</f>
        <v>OK</v>
      </c>
      <c r="O1880" s="23" t="str">
        <f t="shared" si="88"/>
        <v>ORD26001061</v>
      </c>
      <c r="P1880" s="23" t="str">
        <f t="shared" si="89"/>
        <v>Sep</v>
      </c>
      <c r="Q1880" s="23" t="str">
        <f>IF(F1880="CAPTURE",IF(COUNTIF(orders!$A:$A,O1880)&gt;0,"Yes","NO ORDER"),"")</f>
        <v>Yes</v>
      </c>
    </row>
    <row r="1881" spans="1:17" ht="15" customHeight="1" x14ac:dyDescent="0.3">
      <c r="A1881" s="23" t="s">
        <v>14600</v>
      </c>
      <c r="B1881" s="23"/>
      <c r="C1881" s="23" t="s">
        <v>2615</v>
      </c>
      <c r="D1881" s="23" t="str">
        <f t="shared" si="87"/>
        <v>ORD26001075</v>
      </c>
      <c r="E1881" s="38">
        <v>46276</v>
      </c>
      <c r="F1881" s="23" t="s">
        <v>12410</v>
      </c>
      <c r="G1881" s="23" t="s">
        <v>79</v>
      </c>
      <c r="H1881" s="24">
        <v>1648</v>
      </c>
      <c r="I1881" s="24">
        <v>29.66</v>
      </c>
      <c r="J1881" s="24">
        <v>5.34</v>
      </c>
      <c r="K1881" s="24">
        <v>1613</v>
      </c>
      <c r="L1881" s="38">
        <v>46278</v>
      </c>
      <c r="M1881" s="23" t="s">
        <v>196</v>
      </c>
      <c r="N1881" s="23" t="str">
        <f>IF(COUNTIF($A$2:A1881,A1881)&gt;1,"DUP","OK")</f>
        <v>OK</v>
      </c>
      <c r="O1881" s="23" t="str">
        <f t="shared" si="88"/>
        <v>ORD26001075</v>
      </c>
      <c r="P1881" s="23" t="str">
        <f t="shared" si="89"/>
        <v>Sep</v>
      </c>
      <c r="Q1881" s="23" t="str">
        <f>IF(F1881="CAPTURE",IF(COUNTIF(orders!$A:$A,O1881)&gt;0,"Yes","NO ORDER"),"")</f>
        <v>Yes</v>
      </c>
    </row>
    <row r="1882" spans="1:17" ht="15" customHeight="1" x14ac:dyDescent="0.3">
      <c r="A1882" s="23" t="s">
        <v>14601</v>
      </c>
      <c r="B1882" s="23"/>
      <c r="C1882" s="23" t="s">
        <v>2640</v>
      </c>
      <c r="D1882" s="23" t="str">
        <f t="shared" si="87"/>
        <v>ORD26001087</v>
      </c>
      <c r="E1882" s="38">
        <v>46276</v>
      </c>
      <c r="F1882" s="23" t="s">
        <v>12410</v>
      </c>
      <c r="G1882" s="23" t="s">
        <v>75</v>
      </c>
      <c r="H1882" s="24">
        <v>4797</v>
      </c>
      <c r="I1882" s="24">
        <v>14.39</v>
      </c>
      <c r="J1882" s="24">
        <v>2.59</v>
      </c>
      <c r="K1882" s="24">
        <v>4780.0200000000004</v>
      </c>
      <c r="L1882" s="38">
        <v>46278</v>
      </c>
      <c r="M1882" s="23" t="s">
        <v>196</v>
      </c>
      <c r="N1882" s="23" t="str">
        <f>IF(COUNTIF($A$2:A1882,A1882)&gt;1,"DUP","OK")</f>
        <v>OK</v>
      </c>
      <c r="O1882" s="23" t="str">
        <f t="shared" si="88"/>
        <v>ORD26001087</v>
      </c>
      <c r="P1882" s="23" t="str">
        <f t="shared" si="89"/>
        <v>Sep</v>
      </c>
      <c r="Q1882" s="23" t="str">
        <f>IF(F1882="CAPTURE",IF(COUNTIF(orders!$A:$A,O1882)&gt;0,"Yes","NO ORDER"),"")</f>
        <v>Yes</v>
      </c>
    </row>
    <row r="1883" spans="1:17" ht="15" customHeight="1" x14ac:dyDescent="0.3">
      <c r="A1883" s="23" t="s">
        <v>14602</v>
      </c>
      <c r="B1883" s="23"/>
      <c r="C1883" s="23" t="s">
        <v>2777</v>
      </c>
      <c r="D1883" s="23" t="str">
        <f t="shared" si="87"/>
        <v>ORD26001155</v>
      </c>
      <c r="E1883" s="38">
        <v>46276</v>
      </c>
      <c r="F1883" s="23" t="s">
        <v>12410</v>
      </c>
      <c r="G1883" s="23" t="s">
        <v>77</v>
      </c>
      <c r="H1883" s="24">
        <v>2499</v>
      </c>
      <c r="I1883" s="24">
        <v>42.48</v>
      </c>
      <c r="J1883" s="24">
        <v>7.65</v>
      </c>
      <c r="K1883" s="24">
        <v>2448.87</v>
      </c>
      <c r="L1883" s="38">
        <v>46278</v>
      </c>
      <c r="M1883" s="23" t="s">
        <v>196</v>
      </c>
      <c r="N1883" s="23" t="str">
        <f>IF(COUNTIF($A$2:A1883,A1883)&gt;1,"DUP","OK")</f>
        <v>OK</v>
      </c>
      <c r="O1883" s="23" t="str">
        <f t="shared" si="88"/>
        <v>ORD26001155</v>
      </c>
      <c r="P1883" s="23" t="str">
        <f t="shared" si="89"/>
        <v>Sep</v>
      </c>
      <c r="Q1883" s="23" t="str">
        <f>IF(F1883="CAPTURE",IF(COUNTIF(orders!$A:$A,O1883)&gt;0,"Yes","NO ORDER"),"")</f>
        <v>Yes</v>
      </c>
    </row>
    <row r="1884" spans="1:17" ht="15" customHeight="1" x14ac:dyDescent="0.3">
      <c r="A1884" s="23" t="s">
        <v>14603</v>
      </c>
      <c r="B1884" s="23"/>
      <c r="C1884" s="23" t="s">
        <v>2876</v>
      </c>
      <c r="D1884" s="23" t="str">
        <f t="shared" si="87"/>
        <v>ORD26001204</v>
      </c>
      <c r="E1884" s="38">
        <v>46276</v>
      </c>
      <c r="F1884" s="23" t="s">
        <v>12410</v>
      </c>
      <c r="G1884" s="23" t="s">
        <v>81</v>
      </c>
      <c r="H1884" s="24">
        <v>4999</v>
      </c>
      <c r="I1884" s="24">
        <v>59.99</v>
      </c>
      <c r="J1884" s="24">
        <v>10.8</v>
      </c>
      <c r="K1884" s="24">
        <v>4928.21</v>
      </c>
      <c r="L1884" s="38">
        <v>46278</v>
      </c>
      <c r="M1884" s="23" t="s">
        <v>196</v>
      </c>
      <c r="N1884" s="23" t="str">
        <f>IF(COUNTIF($A$2:A1884,A1884)&gt;1,"DUP","OK")</f>
        <v>OK</v>
      </c>
      <c r="O1884" s="23" t="str">
        <f t="shared" si="88"/>
        <v>ORD26001204</v>
      </c>
      <c r="P1884" s="23" t="str">
        <f t="shared" si="89"/>
        <v>Sep</v>
      </c>
      <c r="Q1884" s="23" t="str">
        <f>IF(F1884="CAPTURE",IF(COUNTIF(orders!$A:$A,O1884)&gt;0,"Yes","NO ORDER"),"")</f>
        <v>Yes</v>
      </c>
    </row>
    <row r="1885" spans="1:17" ht="15" customHeight="1" x14ac:dyDescent="0.3">
      <c r="A1885" s="23" t="s">
        <v>14604</v>
      </c>
      <c r="B1885" s="23"/>
      <c r="C1885" s="23" t="s">
        <v>2898</v>
      </c>
      <c r="D1885" s="23" t="str">
        <f t="shared" si="87"/>
        <v>ORD26001215</v>
      </c>
      <c r="E1885" s="38">
        <v>46276</v>
      </c>
      <c r="F1885" s="23" t="s">
        <v>12410</v>
      </c>
      <c r="G1885" s="23" t="s">
        <v>75</v>
      </c>
      <c r="H1885" s="24">
        <v>5498</v>
      </c>
      <c r="I1885" s="24">
        <v>16.489999999999998</v>
      </c>
      <c r="J1885" s="24">
        <v>2.97</v>
      </c>
      <c r="K1885" s="24">
        <v>5478.54</v>
      </c>
      <c r="L1885" s="38">
        <v>46278</v>
      </c>
      <c r="M1885" s="23" t="s">
        <v>196</v>
      </c>
      <c r="N1885" s="23" t="str">
        <f>IF(COUNTIF($A$2:A1885,A1885)&gt;1,"DUP","OK")</f>
        <v>OK</v>
      </c>
      <c r="O1885" s="23" t="str">
        <f t="shared" si="88"/>
        <v>ORD26001215</v>
      </c>
      <c r="P1885" s="23" t="str">
        <f t="shared" si="89"/>
        <v>Sep</v>
      </c>
      <c r="Q1885" s="23" t="str">
        <f>IF(F1885="CAPTURE",IF(COUNTIF(orders!$A:$A,O1885)&gt;0,"Yes","NO ORDER"),"")</f>
        <v>Yes</v>
      </c>
    </row>
    <row r="1886" spans="1:17" ht="15" customHeight="1" x14ac:dyDescent="0.3">
      <c r="A1886" s="23" t="s">
        <v>14605</v>
      </c>
      <c r="B1886" s="23"/>
      <c r="C1886" s="23" t="s">
        <v>3091</v>
      </c>
      <c r="D1886" s="23" t="str">
        <f t="shared" si="87"/>
        <v>ORD26001308</v>
      </c>
      <c r="E1886" s="38">
        <v>46276</v>
      </c>
      <c r="F1886" s="23" t="s">
        <v>12410</v>
      </c>
      <c r="G1886" s="23" t="s">
        <v>75</v>
      </c>
      <c r="H1886" s="24">
        <v>1098</v>
      </c>
      <c r="I1886" s="24">
        <v>0</v>
      </c>
      <c r="J1886" s="24">
        <v>0</v>
      </c>
      <c r="K1886" s="24">
        <v>1098</v>
      </c>
      <c r="L1886" s="38">
        <v>46278</v>
      </c>
      <c r="M1886" s="23" t="s">
        <v>196</v>
      </c>
      <c r="N1886" s="23" t="str">
        <f>IF(COUNTIF($A$2:A1886,A1886)&gt;1,"DUP","OK")</f>
        <v>OK</v>
      </c>
      <c r="O1886" s="23" t="str">
        <f t="shared" si="88"/>
        <v>ORD26001308</v>
      </c>
      <c r="P1886" s="23" t="str">
        <f t="shared" si="89"/>
        <v>Sep</v>
      </c>
      <c r="Q1886" s="23" t="str">
        <f>IF(F1886="CAPTURE",IF(COUNTIF(orders!$A:$A,O1886)&gt;0,"Yes","NO ORDER"),"")</f>
        <v>Yes</v>
      </c>
    </row>
    <row r="1887" spans="1:17" ht="15" customHeight="1" x14ac:dyDescent="0.3">
      <c r="A1887" s="23" t="s">
        <v>14606</v>
      </c>
      <c r="B1887" s="23"/>
      <c r="C1887" s="23" t="s">
        <v>3151</v>
      </c>
      <c r="D1887" s="23" t="str">
        <f t="shared" si="87"/>
        <v>ORD26001336</v>
      </c>
      <c r="E1887" s="38">
        <v>46276</v>
      </c>
      <c r="F1887" s="23" t="s">
        <v>12410</v>
      </c>
      <c r="G1887" s="23" t="s">
        <v>79</v>
      </c>
      <c r="H1887" s="24">
        <v>7998</v>
      </c>
      <c r="I1887" s="24">
        <v>127.97</v>
      </c>
      <c r="J1887" s="24">
        <v>23.03</v>
      </c>
      <c r="K1887" s="24">
        <v>7847</v>
      </c>
      <c r="L1887" s="38">
        <v>46278</v>
      </c>
      <c r="M1887" s="23" t="s">
        <v>196</v>
      </c>
      <c r="N1887" s="23" t="str">
        <f>IF(COUNTIF($A$2:A1887,A1887)&gt;1,"DUP","OK")</f>
        <v>OK</v>
      </c>
      <c r="O1887" s="23" t="str">
        <f t="shared" si="88"/>
        <v>ORD26001336</v>
      </c>
      <c r="P1887" s="23" t="str">
        <f t="shared" si="89"/>
        <v>Sep</v>
      </c>
      <c r="Q1887" s="23" t="str">
        <f>IF(F1887="CAPTURE",IF(COUNTIF(orders!$A:$A,O1887)&gt;0,"Yes","NO ORDER"),"")</f>
        <v>Yes</v>
      </c>
    </row>
    <row r="1888" spans="1:17" ht="15" customHeight="1" x14ac:dyDescent="0.3">
      <c r="A1888" s="23" t="s">
        <v>14607</v>
      </c>
      <c r="B1888" s="23"/>
      <c r="C1888" s="23" t="s">
        <v>3504</v>
      </c>
      <c r="D1888" s="23" t="str">
        <f t="shared" si="87"/>
        <v>ORD26001509</v>
      </c>
      <c r="E1888" s="38">
        <v>46276</v>
      </c>
      <c r="F1888" s="23" t="s">
        <v>12410</v>
      </c>
      <c r="G1888" s="23" t="s">
        <v>77</v>
      </c>
      <c r="H1888" s="24">
        <v>799</v>
      </c>
      <c r="I1888" s="24">
        <v>15.18</v>
      </c>
      <c r="J1888" s="24">
        <v>2.73</v>
      </c>
      <c r="K1888" s="24">
        <v>781.09</v>
      </c>
      <c r="L1888" s="38">
        <v>46278</v>
      </c>
      <c r="M1888" s="23" t="s">
        <v>196</v>
      </c>
      <c r="N1888" s="23" t="str">
        <f>IF(COUNTIF($A$2:A1888,A1888)&gt;1,"DUP","OK")</f>
        <v>OK</v>
      </c>
      <c r="O1888" s="23" t="str">
        <f t="shared" si="88"/>
        <v>ORD26001509</v>
      </c>
      <c r="P1888" s="23" t="str">
        <f t="shared" si="89"/>
        <v>Sep</v>
      </c>
      <c r="Q1888" s="23" t="str">
        <f>IF(F1888="CAPTURE",IF(COUNTIF(orders!$A:$A,O1888)&gt;0,"Yes","NO ORDER"),"")</f>
        <v>Yes</v>
      </c>
    </row>
    <row r="1889" spans="1:17" ht="15" customHeight="1" x14ac:dyDescent="0.3">
      <c r="A1889" s="23" t="s">
        <v>14608</v>
      </c>
      <c r="B1889" s="23"/>
      <c r="C1889" s="23" t="s">
        <v>14609</v>
      </c>
      <c r="D1889" s="23" t="str">
        <f t="shared" si="87"/>
        <v>ORD26001510</v>
      </c>
      <c r="E1889" s="38">
        <v>46276</v>
      </c>
      <c r="F1889" s="23" t="s">
        <v>12410</v>
      </c>
      <c r="G1889" s="23" t="s">
        <v>75</v>
      </c>
      <c r="H1889" s="24">
        <v>499</v>
      </c>
      <c r="I1889" s="24">
        <v>0</v>
      </c>
      <c r="J1889" s="24">
        <v>0</v>
      </c>
      <c r="K1889" s="24">
        <v>499</v>
      </c>
      <c r="L1889" s="38">
        <v>46278</v>
      </c>
      <c r="M1889" s="23" t="s">
        <v>196</v>
      </c>
      <c r="N1889" s="23" t="str">
        <f>IF(COUNTIF($A$2:A1889,A1889)&gt;1,"DUP","OK")</f>
        <v>OK</v>
      </c>
      <c r="O1889" s="23" t="str">
        <f t="shared" si="88"/>
        <v>ORD26001510</v>
      </c>
      <c r="P1889" s="23" t="str">
        <f t="shared" si="89"/>
        <v>Sep</v>
      </c>
      <c r="Q1889" s="23" t="str">
        <f>IF(F1889="CAPTURE",IF(COUNTIF(orders!$A:$A,O1889)&gt;0,"Yes","NO ORDER"),"")</f>
        <v>Yes</v>
      </c>
    </row>
    <row r="1890" spans="1:17" ht="15" customHeight="1" x14ac:dyDescent="0.3">
      <c r="A1890" s="23" t="s">
        <v>14610</v>
      </c>
      <c r="B1890" s="23"/>
      <c r="C1890" s="23" t="s">
        <v>3512</v>
      </c>
      <c r="D1890" s="23" t="str">
        <f t="shared" si="87"/>
        <v>ORD26001513</v>
      </c>
      <c r="E1890" s="38">
        <v>46276</v>
      </c>
      <c r="F1890" s="23" t="s">
        <v>12410</v>
      </c>
      <c r="G1890" s="23" t="s">
        <v>79</v>
      </c>
      <c r="H1890" s="24">
        <v>3499</v>
      </c>
      <c r="I1890" s="24">
        <v>55.98</v>
      </c>
      <c r="J1890" s="24">
        <v>10.08</v>
      </c>
      <c r="K1890" s="24">
        <v>3432.94</v>
      </c>
      <c r="L1890" s="38">
        <v>46278</v>
      </c>
      <c r="M1890" s="23" t="s">
        <v>196</v>
      </c>
      <c r="N1890" s="23" t="str">
        <f>IF(COUNTIF($A$2:A1890,A1890)&gt;1,"DUP","OK")</f>
        <v>OK</v>
      </c>
      <c r="O1890" s="23" t="str">
        <f t="shared" si="88"/>
        <v>ORD26001513</v>
      </c>
      <c r="P1890" s="23" t="str">
        <f t="shared" si="89"/>
        <v>Sep</v>
      </c>
      <c r="Q1890" s="23" t="str">
        <f>IF(F1890="CAPTURE",IF(COUNTIF(orders!$A:$A,O1890)&gt;0,"Yes","NO ORDER"),"")</f>
        <v>Yes</v>
      </c>
    </row>
    <row r="1891" spans="1:17" ht="15" customHeight="1" x14ac:dyDescent="0.3">
      <c r="A1891" s="23" t="s">
        <v>14611</v>
      </c>
      <c r="B1891" s="23"/>
      <c r="C1891" s="23" t="s">
        <v>3575</v>
      </c>
      <c r="D1891" s="23" t="str">
        <f t="shared" si="87"/>
        <v>ORD26001543</v>
      </c>
      <c r="E1891" s="38">
        <v>46276</v>
      </c>
      <c r="F1891" s="23" t="s">
        <v>12410</v>
      </c>
      <c r="G1891" s="23" t="s">
        <v>79</v>
      </c>
      <c r="H1891" s="24">
        <v>1098</v>
      </c>
      <c r="I1891" s="24">
        <v>19.760000000000002</v>
      </c>
      <c r="J1891" s="24">
        <v>3.56</v>
      </c>
      <c r="K1891" s="24">
        <v>1074.68</v>
      </c>
      <c r="L1891" s="38">
        <v>46278</v>
      </c>
      <c r="M1891" s="23" t="s">
        <v>196</v>
      </c>
      <c r="N1891" s="23" t="str">
        <f>IF(COUNTIF($A$2:A1891,A1891)&gt;1,"DUP","OK")</f>
        <v>OK</v>
      </c>
      <c r="O1891" s="23" t="str">
        <f t="shared" si="88"/>
        <v>ORD26001543</v>
      </c>
      <c r="P1891" s="23" t="str">
        <f t="shared" si="89"/>
        <v>Sep</v>
      </c>
      <c r="Q1891" s="23" t="str">
        <f>IF(F1891="CAPTURE",IF(COUNTIF(orders!$A:$A,O1891)&gt;0,"Yes","NO ORDER"),"")</f>
        <v>Yes</v>
      </c>
    </row>
    <row r="1892" spans="1:17" ht="15" customHeight="1" x14ac:dyDescent="0.3">
      <c r="A1892" s="23" t="s">
        <v>14612</v>
      </c>
      <c r="B1892" s="23"/>
      <c r="C1892" s="23" t="s">
        <v>3735</v>
      </c>
      <c r="D1892" s="23" t="str">
        <f t="shared" si="87"/>
        <v>ORD26001624</v>
      </c>
      <c r="E1892" s="38">
        <v>46276</v>
      </c>
      <c r="F1892" s="23" t="s">
        <v>12410</v>
      </c>
      <c r="G1892" s="23" t="s">
        <v>75</v>
      </c>
      <c r="H1892" s="24">
        <v>2499</v>
      </c>
      <c r="I1892" s="24">
        <v>7.5</v>
      </c>
      <c r="J1892" s="24">
        <v>1.35</v>
      </c>
      <c r="K1892" s="24">
        <v>2490.15</v>
      </c>
      <c r="L1892" s="38">
        <v>46278</v>
      </c>
      <c r="M1892" s="23" t="s">
        <v>196</v>
      </c>
      <c r="N1892" s="23" t="str">
        <f>IF(COUNTIF($A$2:A1892,A1892)&gt;1,"DUP","OK")</f>
        <v>OK</v>
      </c>
      <c r="O1892" s="23" t="str">
        <f t="shared" si="88"/>
        <v>ORD26001624</v>
      </c>
      <c r="P1892" s="23" t="str">
        <f t="shared" si="89"/>
        <v>Sep</v>
      </c>
      <c r="Q1892" s="23" t="str">
        <f>IF(F1892="CAPTURE",IF(COUNTIF(orders!$A:$A,O1892)&gt;0,"Yes","NO ORDER"),"")</f>
        <v>Yes</v>
      </c>
    </row>
    <row r="1893" spans="1:17" ht="15" customHeight="1" x14ac:dyDescent="0.3">
      <c r="A1893" s="23" t="s">
        <v>14613</v>
      </c>
      <c r="B1893" s="23"/>
      <c r="C1893" s="23" t="s">
        <v>3861</v>
      </c>
      <c r="D1893" s="23" t="str">
        <f t="shared" si="87"/>
        <v>ORD26001688</v>
      </c>
      <c r="E1893" s="38">
        <v>46276</v>
      </c>
      <c r="F1893" s="23" t="s">
        <v>12410</v>
      </c>
      <c r="G1893" s="23" t="s">
        <v>75</v>
      </c>
      <c r="H1893" s="24">
        <v>1347</v>
      </c>
      <c r="I1893" s="24">
        <v>0</v>
      </c>
      <c r="J1893" s="24">
        <v>0</v>
      </c>
      <c r="K1893" s="24">
        <v>1347</v>
      </c>
      <c r="L1893" s="38">
        <v>46278</v>
      </c>
      <c r="M1893" s="23" t="s">
        <v>196</v>
      </c>
      <c r="N1893" s="23" t="str">
        <f>IF(COUNTIF($A$2:A1893,A1893)&gt;1,"DUP","OK")</f>
        <v>OK</v>
      </c>
      <c r="O1893" s="23" t="str">
        <f t="shared" si="88"/>
        <v>ORD26001688</v>
      </c>
      <c r="P1893" s="23" t="str">
        <f t="shared" si="89"/>
        <v>Sep</v>
      </c>
      <c r="Q1893" s="23" t="str">
        <f>IF(F1893="CAPTURE",IF(COUNTIF(orders!$A:$A,O1893)&gt;0,"Yes","NO ORDER"),"")</f>
        <v>Yes</v>
      </c>
    </row>
    <row r="1894" spans="1:17" ht="15" customHeight="1" x14ac:dyDescent="0.3">
      <c r="A1894" s="23" t="s">
        <v>14614</v>
      </c>
      <c r="B1894" s="23"/>
      <c r="C1894" s="23" t="s">
        <v>3925</v>
      </c>
      <c r="D1894" s="23" t="str">
        <f t="shared" si="87"/>
        <v>ORD26001719</v>
      </c>
      <c r="E1894" s="38">
        <v>46276</v>
      </c>
      <c r="F1894" s="23" t="s">
        <v>12410</v>
      </c>
      <c r="G1894" s="23" t="s">
        <v>75</v>
      </c>
      <c r="H1894" s="24">
        <v>8348</v>
      </c>
      <c r="I1894" s="24">
        <v>25.04</v>
      </c>
      <c r="J1894" s="24">
        <v>4.51</v>
      </c>
      <c r="K1894" s="24">
        <v>8318.4500000000007</v>
      </c>
      <c r="L1894" s="38">
        <v>46278</v>
      </c>
      <c r="M1894" s="23" t="s">
        <v>196</v>
      </c>
      <c r="N1894" s="23" t="str">
        <f>IF(COUNTIF($A$2:A1894,A1894)&gt;1,"DUP","OK")</f>
        <v>OK</v>
      </c>
      <c r="O1894" s="23" t="str">
        <f t="shared" si="88"/>
        <v>ORD26001719</v>
      </c>
      <c r="P1894" s="23" t="str">
        <f t="shared" si="89"/>
        <v>Sep</v>
      </c>
      <c r="Q1894" s="23" t="str">
        <f>IF(F1894="CAPTURE",IF(COUNTIF(orders!$A:$A,O1894)&gt;0,"Yes","NO ORDER"),"")</f>
        <v>Yes</v>
      </c>
    </row>
    <row r="1895" spans="1:17" ht="15" customHeight="1" x14ac:dyDescent="0.3">
      <c r="A1895" s="23" t="s">
        <v>14615</v>
      </c>
      <c r="B1895" s="23"/>
      <c r="C1895" s="23" t="s">
        <v>14616</v>
      </c>
      <c r="D1895" s="23" t="str">
        <f t="shared" si="87"/>
        <v>ORD26001722</v>
      </c>
      <c r="E1895" s="38">
        <v>46276</v>
      </c>
      <c r="F1895" s="23" t="s">
        <v>12410</v>
      </c>
      <c r="G1895" s="23" t="s">
        <v>79</v>
      </c>
      <c r="H1895" s="24">
        <v>4597</v>
      </c>
      <c r="I1895" s="24">
        <v>73.55</v>
      </c>
      <c r="J1895" s="24">
        <v>13.24</v>
      </c>
      <c r="K1895" s="24">
        <v>4510.21</v>
      </c>
      <c r="L1895" s="38">
        <v>46278</v>
      </c>
      <c r="M1895" s="23" t="s">
        <v>196</v>
      </c>
      <c r="N1895" s="23" t="str">
        <f>IF(COUNTIF($A$2:A1895,A1895)&gt;1,"DUP","OK")</f>
        <v>OK</v>
      </c>
      <c r="O1895" s="23" t="str">
        <f t="shared" si="88"/>
        <v>ORD26001722</v>
      </c>
      <c r="P1895" s="23" t="str">
        <f t="shared" si="89"/>
        <v>Sep</v>
      </c>
      <c r="Q1895" s="23" t="str">
        <f>IF(F1895="CAPTURE",IF(COUNTIF(orders!$A:$A,O1895)&gt;0,"Yes","NO ORDER"),"")</f>
        <v>Yes</v>
      </c>
    </row>
    <row r="1896" spans="1:17" ht="15" customHeight="1" x14ac:dyDescent="0.3">
      <c r="A1896" s="23" t="s">
        <v>14617</v>
      </c>
      <c r="B1896" s="23"/>
      <c r="C1896" s="23" t="s">
        <v>4101</v>
      </c>
      <c r="D1896" s="23" t="str">
        <f t="shared" si="87"/>
        <v>ORD26001807</v>
      </c>
      <c r="E1896" s="38">
        <v>46276</v>
      </c>
      <c r="F1896" s="23" t="s">
        <v>12410</v>
      </c>
      <c r="G1896" s="23" t="s">
        <v>75</v>
      </c>
      <c r="H1896" s="24">
        <v>349</v>
      </c>
      <c r="I1896" s="24">
        <v>0</v>
      </c>
      <c r="J1896" s="24">
        <v>0</v>
      </c>
      <c r="K1896" s="24">
        <v>349</v>
      </c>
      <c r="L1896" s="38">
        <v>46278</v>
      </c>
      <c r="M1896" s="23" t="s">
        <v>196</v>
      </c>
      <c r="N1896" s="23" t="str">
        <f>IF(COUNTIF($A$2:A1896,A1896)&gt;1,"DUP","OK")</f>
        <v>OK</v>
      </c>
      <c r="O1896" s="23" t="str">
        <f t="shared" si="88"/>
        <v>ORD26001807</v>
      </c>
      <c r="P1896" s="23" t="str">
        <f t="shared" si="89"/>
        <v>Sep</v>
      </c>
      <c r="Q1896" s="23" t="str">
        <f>IF(F1896="CAPTURE",IF(COUNTIF(orders!$A:$A,O1896)&gt;0,"Yes","NO ORDER"),"")</f>
        <v>Yes</v>
      </c>
    </row>
    <row r="1897" spans="1:17" ht="15" customHeight="1" x14ac:dyDescent="0.3">
      <c r="A1897" s="23" t="s">
        <v>14618</v>
      </c>
      <c r="B1897" s="23"/>
      <c r="C1897" s="23" t="s">
        <v>14619</v>
      </c>
      <c r="D1897" s="23" t="str">
        <f t="shared" si="87"/>
        <v>ORD26001812</v>
      </c>
      <c r="E1897" s="38">
        <v>46276</v>
      </c>
      <c r="F1897" s="23" t="s">
        <v>12410</v>
      </c>
      <c r="G1897" s="23" t="s">
        <v>75</v>
      </c>
      <c r="H1897" s="24">
        <v>2499</v>
      </c>
      <c r="I1897" s="24">
        <v>7.5</v>
      </c>
      <c r="J1897" s="24">
        <v>1.35</v>
      </c>
      <c r="K1897" s="24">
        <v>2490.15</v>
      </c>
      <c r="L1897" s="38">
        <v>46278</v>
      </c>
      <c r="M1897" s="23" t="s">
        <v>196</v>
      </c>
      <c r="N1897" s="23" t="str">
        <f>IF(COUNTIF($A$2:A1897,A1897)&gt;1,"DUP","OK")</f>
        <v>OK</v>
      </c>
      <c r="O1897" s="23" t="str">
        <f t="shared" si="88"/>
        <v>ORD26001812</v>
      </c>
      <c r="P1897" s="23" t="str">
        <f t="shared" si="89"/>
        <v>Sep</v>
      </c>
      <c r="Q1897" s="23" t="str">
        <f>IF(F1897="CAPTURE",IF(COUNTIF(orders!$A:$A,O1897)&gt;0,"Yes","NO ORDER"),"")</f>
        <v>Yes</v>
      </c>
    </row>
    <row r="1898" spans="1:17" ht="15" customHeight="1" x14ac:dyDescent="0.3">
      <c r="A1898" s="23" t="s">
        <v>14620</v>
      </c>
      <c r="B1898" s="23"/>
      <c r="C1898" s="23" t="s">
        <v>4206</v>
      </c>
      <c r="D1898" s="23" t="str">
        <f t="shared" si="87"/>
        <v>ORD26001860</v>
      </c>
      <c r="E1898" s="38">
        <v>46276</v>
      </c>
      <c r="F1898" s="23" t="s">
        <v>12410</v>
      </c>
      <c r="G1898" s="23" t="s">
        <v>75</v>
      </c>
      <c r="H1898" s="24">
        <v>4999</v>
      </c>
      <c r="I1898" s="24">
        <v>15</v>
      </c>
      <c r="J1898" s="24">
        <v>2.7</v>
      </c>
      <c r="K1898" s="24">
        <v>4981.3</v>
      </c>
      <c r="L1898" s="38">
        <v>46278</v>
      </c>
      <c r="M1898" s="23" t="s">
        <v>196</v>
      </c>
      <c r="N1898" s="23" t="str">
        <f>IF(COUNTIF($A$2:A1898,A1898)&gt;1,"DUP","OK")</f>
        <v>OK</v>
      </c>
      <c r="O1898" s="23" t="str">
        <f t="shared" si="88"/>
        <v>ORD26001860</v>
      </c>
      <c r="P1898" s="23" t="str">
        <f t="shared" si="89"/>
        <v>Sep</v>
      </c>
      <c r="Q1898" s="23" t="str">
        <f>IF(F1898="CAPTURE",IF(COUNTIF(orders!$A:$A,O1898)&gt;0,"Yes","NO ORDER"),"")</f>
        <v>Yes</v>
      </c>
    </row>
    <row r="1899" spans="1:17" ht="15" customHeight="1" x14ac:dyDescent="0.3">
      <c r="A1899" s="23" t="s">
        <v>14621</v>
      </c>
      <c r="B1899" s="23"/>
      <c r="C1899" s="23" t="s">
        <v>4228</v>
      </c>
      <c r="D1899" s="23" t="str">
        <f t="shared" si="87"/>
        <v>ORD26001871</v>
      </c>
      <c r="E1899" s="38">
        <v>46276</v>
      </c>
      <c r="F1899" s="23" t="s">
        <v>12410</v>
      </c>
      <c r="G1899" s="23" t="s">
        <v>77</v>
      </c>
      <c r="H1899" s="24">
        <v>3598</v>
      </c>
      <c r="I1899" s="24">
        <v>61.17</v>
      </c>
      <c r="J1899" s="24">
        <v>11.01</v>
      </c>
      <c r="K1899" s="24">
        <v>3525.82</v>
      </c>
      <c r="L1899" s="38">
        <v>46278</v>
      </c>
      <c r="M1899" s="23" t="s">
        <v>196</v>
      </c>
      <c r="N1899" s="23" t="str">
        <f>IF(COUNTIF($A$2:A1899,A1899)&gt;1,"DUP","OK")</f>
        <v>OK</v>
      </c>
      <c r="O1899" s="23" t="str">
        <f t="shared" si="88"/>
        <v>ORD26001871</v>
      </c>
      <c r="P1899" s="23" t="str">
        <f t="shared" si="89"/>
        <v>Sep</v>
      </c>
      <c r="Q1899" s="23" t="str">
        <f>IF(F1899="CAPTURE",IF(COUNTIF(orders!$A:$A,O1899)&gt;0,"Yes","NO ORDER"),"")</f>
        <v>Yes</v>
      </c>
    </row>
    <row r="1900" spans="1:17" ht="15" customHeight="1" x14ac:dyDescent="0.3">
      <c r="A1900" s="23" t="s">
        <v>14622</v>
      </c>
      <c r="B1900" s="23"/>
      <c r="C1900" s="23" t="s">
        <v>4255</v>
      </c>
      <c r="D1900" s="23" t="str">
        <f t="shared" si="87"/>
        <v>ORD26001884</v>
      </c>
      <c r="E1900" s="38">
        <v>46276</v>
      </c>
      <c r="F1900" s="23" t="s">
        <v>12410</v>
      </c>
      <c r="G1900" s="23" t="s">
        <v>75</v>
      </c>
      <c r="H1900" s="24">
        <v>1799</v>
      </c>
      <c r="I1900" s="24">
        <v>0</v>
      </c>
      <c r="J1900" s="24">
        <v>0</v>
      </c>
      <c r="K1900" s="24">
        <v>1799</v>
      </c>
      <c r="L1900" s="38">
        <v>46278</v>
      </c>
      <c r="M1900" s="23" t="s">
        <v>196</v>
      </c>
      <c r="N1900" s="23" t="str">
        <f>IF(COUNTIF($A$2:A1900,A1900)&gt;1,"DUP","OK")</f>
        <v>OK</v>
      </c>
      <c r="O1900" s="23" t="str">
        <f t="shared" si="88"/>
        <v>ORD26001884</v>
      </c>
      <c r="P1900" s="23" t="str">
        <f t="shared" si="89"/>
        <v>Sep</v>
      </c>
      <c r="Q1900" s="23" t="str">
        <f>IF(F1900="CAPTURE",IF(COUNTIF(orders!$A:$A,O1900)&gt;0,"Yes","NO ORDER"),"")</f>
        <v>Yes</v>
      </c>
    </row>
    <row r="1901" spans="1:17" ht="15" customHeight="1" x14ac:dyDescent="0.3">
      <c r="A1901" s="23" t="s">
        <v>14623</v>
      </c>
      <c r="B1901" s="23"/>
      <c r="C1901" s="23" t="s">
        <v>4409</v>
      </c>
      <c r="D1901" s="23" t="str">
        <f t="shared" si="87"/>
        <v>ORD26001961</v>
      </c>
      <c r="E1901" s="38">
        <v>46276</v>
      </c>
      <c r="F1901" s="23" t="s">
        <v>12410</v>
      </c>
      <c r="G1901" s="23" t="s">
        <v>75</v>
      </c>
      <c r="H1901" s="24">
        <v>999</v>
      </c>
      <c r="I1901" s="24">
        <v>0</v>
      </c>
      <c r="J1901" s="24">
        <v>0</v>
      </c>
      <c r="K1901" s="24">
        <v>999</v>
      </c>
      <c r="L1901" s="38">
        <v>46278</v>
      </c>
      <c r="M1901" s="23" t="s">
        <v>196</v>
      </c>
      <c r="N1901" s="23" t="str">
        <f>IF(COUNTIF($A$2:A1901,A1901)&gt;1,"DUP","OK")</f>
        <v>OK</v>
      </c>
      <c r="O1901" s="23" t="str">
        <f t="shared" si="88"/>
        <v>ORD26001961</v>
      </c>
      <c r="P1901" s="23" t="str">
        <f t="shared" si="89"/>
        <v>Sep</v>
      </c>
      <c r="Q1901" s="23" t="str">
        <f>IF(F1901="CAPTURE",IF(COUNTIF(orders!$A:$A,O1901)&gt;0,"Yes","NO ORDER"),"")</f>
        <v>Yes</v>
      </c>
    </row>
    <row r="1902" spans="1:17" ht="15" customHeight="1" x14ac:dyDescent="0.3">
      <c r="A1902" s="23" t="s">
        <v>14624</v>
      </c>
      <c r="B1902" s="23"/>
      <c r="C1902" s="23" t="s">
        <v>14625</v>
      </c>
      <c r="D1902" s="23" t="str">
        <f t="shared" si="87"/>
        <v>ORD26001964</v>
      </c>
      <c r="E1902" s="38">
        <v>46276</v>
      </c>
      <c r="F1902" s="23" t="s">
        <v>12410</v>
      </c>
      <c r="G1902" s="23" t="s">
        <v>79</v>
      </c>
      <c r="H1902" s="24">
        <v>4999</v>
      </c>
      <c r="I1902" s="24">
        <v>79.98</v>
      </c>
      <c r="J1902" s="24">
        <v>14.4</v>
      </c>
      <c r="K1902" s="24">
        <v>4904.62</v>
      </c>
      <c r="L1902" s="38">
        <v>46278</v>
      </c>
      <c r="M1902" s="23" t="s">
        <v>196</v>
      </c>
      <c r="N1902" s="23" t="str">
        <f>IF(COUNTIF($A$2:A1902,A1902)&gt;1,"DUP","OK")</f>
        <v>OK</v>
      </c>
      <c r="O1902" s="23" t="str">
        <f t="shared" si="88"/>
        <v>ORD26001964</v>
      </c>
      <c r="P1902" s="23" t="str">
        <f t="shared" si="89"/>
        <v>Sep</v>
      </c>
      <c r="Q1902" s="23" t="str">
        <f>IF(F1902="CAPTURE",IF(COUNTIF(orders!$A:$A,O1902)&gt;0,"Yes","NO ORDER"),"")</f>
        <v>Yes</v>
      </c>
    </row>
    <row r="1903" spans="1:17" ht="15" customHeight="1" x14ac:dyDescent="0.3">
      <c r="A1903" s="23" t="s">
        <v>14626</v>
      </c>
      <c r="B1903" s="23"/>
      <c r="C1903" s="23" t="s">
        <v>4425</v>
      </c>
      <c r="D1903" s="23" t="str">
        <f t="shared" si="87"/>
        <v>ORD26001969</v>
      </c>
      <c r="E1903" s="38">
        <v>46276</v>
      </c>
      <c r="F1903" s="23" t="s">
        <v>12410</v>
      </c>
      <c r="G1903" s="23" t="s">
        <v>77</v>
      </c>
      <c r="H1903" s="24">
        <v>2999</v>
      </c>
      <c r="I1903" s="24">
        <v>50.98</v>
      </c>
      <c r="J1903" s="24">
        <v>9.18</v>
      </c>
      <c r="K1903" s="24">
        <v>2938.84</v>
      </c>
      <c r="L1903" s="38">
        <v>46278</v>
      </c>
      <c r="M1903" s="23" t="s">
        <v>196</v>
      </c>
      <c r="N1903" s="23" t="str">
        <f>IF(COUNTIF($A$2:A1903,A1903)&gt;1,"DUP","OK")</f>
        <v>OK</v>
      </c>
      <c r="O1903" s="23" t="str">
        <f t="shared" si="88"/>
        <v>ORD26001969</v>
      </c>
      <c r="P1903" s="23" t="str">
        <f t="shared" si="89"/>
        <v>Sep</v>
      </c>
      <c r="Q1903" s="23" t="str">
        <f>IF(F1903="CAPTURE",IF(COUNTIF(orders!$A:$A,O1903)&gt;0,"Yes","NO ORDER"),"")</f>
        <v>Yes</v>
      </c>
    </row>
    <row r="1904" spans="1:17" ht="15" customHeight="1" x14ac:dyDescent="0.3">
      <c r="A1904" s="23" t="s">
        <v>14627</v>
      </c>
      <c r="B1904" s="23"/>
      <c r="C1904" s="23" t="s">
        <v>4470</v>
      </c>
      <c r="D1904" s="23" t="str">
        <f t="shared" si="87"/>
        <v>ORD26001991</v>
      </c>
      <c r="E1904" s="38">
        <v>46276</v>
      </c>
      <c r="F1904" s="23" t="s">
        <v>12410</v>
      </c>
      <c r="G1904" s="23" t="s">
        <v>79</v>
      </c>
      <c r="H1904" s="24">
        <v>5997</v>
      </c>
      <c r="I1904" s="24">
        <v>95.95</v>
      </c>
      <c r="J1904" s="24">
        <v>17.27</v>
      </c>
      <c r="K1904" s="24">
        <v>5883.78</v>
      </c>
      <c r="L1904" s="38">
        <v>46278</v>
      </c>
      <c r="M1904" s="23" t="s">
        <v>196</v>
      </c>
      <c r="N1904" s="23" t="str">
        <f>IF(COUNTIF($A$2:A1904,A1904)&gt;1,"DUP","OK")</f>
        <v>OK</v>
      </c>
      <c r="O1904" s="23" t="str">
        <f t="shared" si="88"/>
        <v>ORD26001991</v>
      </c>
      <c r="P1904" s="23" t="str">
        <f t="shared" si="89"/>
        <v>Sep</v>
      </c>
      <c r="Q1904" s="23" t="str">
        <f>IF(F1904="CAPTURE",IF(COUNTIF(orders!$A:$A,O1904)&gt;0,"Yes","NO ORDER"),"")</f>
        <v>Yes</v>
      </c>
    </row>
    <row r="1905" spans="1:17" ht="15" customHeight="1" x14ac:dyDescent="0.3">
      <c r="A1905" s="23" t="s">
        <v>14628</v>
      </c>
      <c r="B1905" s="23"/>
      <c r="C1905" s="23" t="s">
        <v>4537</v>
      </c>
      <c r="D1905" s="23" t="str">
        <f t="shared" si="87"/>
        <v>ORD26002024</v>
      </c>
      <c r="E1905" s="38">
        <v>46276</v>
      </c>
      <c r="F1905" s="23" t="s">
        <v>12410</v>
      </c>
      <c r="G1905" s="23" t="s">
        <v>79</v>
      </c>
      <c r="H1905" s="24">
        <v>6298</v>
      </c>
      <c r="I1905" s="24">
        <v>100.77</v>
      </c>
      <c r="J1905" s="24">
        <v>18.14</v>
      </c>
      <c r="K1905" s="24">
        <v>6179.09</v>
      </c>
      <c r="L1905" s="38">
        <v>46278</v>
      </c>
      <c r="M1905" s="23" t="s">
        <v>196</v>
      </c>
      <c r="N1905" s="23" t="str">
        <f>IF(COUNTIF($A$2:A1905,A1905)&gt;1,"DUP","OK")</f>
        <v>OK</v>
      </c>
      <c r="O1905" s="23" t="str">
        <f t="shared" si="88"/>
        <v>ORD26002024</v>
      </c>
      <c r="P1905" s="23" t="str">
        <f t="shared" si="89"/>
        <v>Sep</v>
      </c>
      <c r="Q1905" s="23" t="str">
        <f>IF(F1905="CAPTURE",IF(COUNTIF(orders!$A:$A,O1905)&gt;0,"Yes","NO ORDER"),"")</f>
        <v>Yes</v>
      </c>
    </row>
    <row r="1906" spans="1:17" ht="15" customHeight="1" x14ac:dyDescent="0.3">
      <c r="A1906" s="23" t="s">
        <v>14629</v>
      </c>
      <c r="B1906" s="23"/>
      <c r="C1906" s="23" t="s">
        <v>4576</v>
      </c>
      <c r="D1906" s="23" t="str">
        <f t="shared" si="87"/>
        <v>ORD26002043</v>
      </c>
      <c r="E1906" s="38">
        <v>46276</v>
      </c>
      <c r="F1906" s="23" t="s">
        <v>12410</v>
      </c>
      <c r="G1906" s="23" t="s">
        <v>79</v>
      </c>
      <c r="H1906" s="24">
        <v>1298</v>
      </c>
      <c r="I1906" s="24">
        <v>23.36</v>
      </c>
      <c r="J1906" s="24">
        <v>4.2</v>
      </c>
      <c r="K1906" s="24">
        <v>1270.44</v>
      </c>
      <c r="L1906" s="38">
        <v>46278</v>
      </c>
      <c r="M1906" s="23" t="s">
        <v>196</v>
      </c>
      <c r="N1906" s="23" t="str">
        <f>IF(COUNTIF($A$2:A1906,A1906)&gt;1,"DUP","OK")</f>
        <v>OK</v>
      </c>
      <c r="O1906" s="23" t="str">
        <f t="shared" si="88"/>
        <v>ORD26002043</v>
      </c>
      <c r="P1906" s="23" t="str">
        <f t="shared" si="89"/>
        <v>Sep</v>
      </c>
      <c r="Q1906" s="23" t="str">
        <f>IF(F1906="CAPTURE",IF(COUNTIF(orders!$A:$A,O1906)&gt;0,"Yes","NO ORDER"),"")</f>
        <v>Yes</v>
      </c>
    </row>
    <row r="1907" spans="1:17" ht="15" customHeight="1" x14ac:dyDescent="0.3">
      <c r="A1907" s="23" t="s">
        <v>14630</v>
      </c>
      <c r="B1907" s="23"/>
      <c r="C1907" s="23" t="s">
        <v>4634</v>
      </c>
      <c r="D1907" s="23" t="str">
        <f t="shared" si="87"/>
        <v>ORD26002071</v>
      </c>
      <c r="E1907" s="38">
        <v>46276</v>
      </c>
      <c r="F1907" s="23" t="s">
        <v>12410</v>
      </c>
      <c r="G1907" s="23" t="s">
        <v>79</v>
      </c>
      <c r="H1907" s="24">
        <v>6997</v>
      </c>
      <c r="I1907" s="24">
        <v>111.95</v>
      </c>
      <c r="J1907" s="24">
        <v>20.149999999999999</v>
      </c>
      <c r="K1907" s="24">
        <v>6864.9</v>
      </c>
      <c r="L1907" s="38">
        <v>46278</v>
      </c>
      <c r="M1907" s="23" t="s">
        <v>196</v>
      </c>
      <c r="N1907" s="23" t="str">
        <f>IF(COUNTIF($A$2:A1907,A1907)&gt;1,"DUP","OK")</f>
        <v>OK</v>
      </c>
      <c r="O1907" s="23" t="str">
        <f t="shared" si="88"/>
        <v>ORD26002071</v>
      </c>
      <c r="P1907" s="23" t="str">
        <f t="shared" si="89"/>
        <v>Sep</v>
      </c>
      <c r="Q1907" s="23" t="str">
        <f>IF(F1907="CAPTURE",IF(COUNTIF(orders!$A:$A,O1907)&gt;0,"Yes","NO ORDER"),"")</f>
        <v>Yes</v>
      </c>
    </row>
    <row r="1908" spans="1:17" ht="15" customHeight="1" x14ac:dyDescent="0.3">
      <c r="A1908" s="23" t="s">
        <v>14631</v>
      </c>
      <c r="B1908" s="23"/>
      <c r="C1908" s="23" t="s">
        <v>4636</v>
      </c>
      <c r="D1908" s="23" t="str">
        <f t="shared" si="87"/>
        <v>ORD26002072</v>
      </c>
      <c r="E1908" s="38">
        <v>46276</v>
      </c>
      <c r="F1908" s="23" t="s">
        <v>12410</v>
      </c>
      <c r="G1908" s="23" t="s">
        <v>79</v>
      </c>
      <c r="H1908" s="24">
        <v>3998</v>
      </c>
      <c r="I1908" s="24">
        <v>63.97</v>
      </c>
      <c r="J1908" s="24">
        <v>11.51</v>
      </c>
      <c r="K1908" s="24">
        <v>3922.52</v>
      </c>
      <c r="L1908" s="38">
        <v>46278</v>
      </c>
      <c r="M1908" s="23" t="s">
        <v>196</v>
      </c>
      <c r="N1908" s="23" t="str">
        <f>IF(COUNTIF($A$2:A1908,A1908)&gt;1,"DUP","OK")</f>
        <v>OK</v>
      </c>
      <c r="O1908" s="23" t="str">
        <f t="shared" si="88"/>
        <v>ORD26002072</v>
      </c>
      <c r="P1908" s="23" t="str">
        <f t="shared" si="89"/>
        <v>Sep</v>
      </c>
      <c r="Q1908" s="23" t="str">
        <f>IF(F1908="CAPTURE",IF(COUNTIF(orders!$A:$A,O1908)&gt;0,"Yes","NO ORDER"),"")</f>
        <v>Yes</v>
      </c>
    </row>
    <row r="1909" spans="1:17" ht="15" customHeight="1" x14ac:dyDescent="0.3">
      <c r="A1909" s="23" t="s">
        <v>14632</v>
      </c>
      <c r="B1909" s="23"/>
      <c r="C1909" s="23" t="s">
        <v>4693</v>
      </c>
      <c r="D1909" s="23" t="str">
        <f t="shared" si="87"/>
        <v>ORD26002101</v>
      </c>
      <c r="E1909" s="38">
        <v>46276</v>
      </c>
      <c r="F1909" s="23" t="s">
        <v>12410</v>
      </c>
      <c r="G1909" s="23" t="s">
        <v>75</v>
      </c>
      <c r="H1909" s="24">
        <v>10998</v>
      </c>
      <c r="I1909" s="24">
        <v>32.99</v>
      </c>
      <c r="J1909" s="24">
        <v>5.94</v>
      </c>
      <c r="K1909" s="24">
        <v>10959.07</v>
      </c>
      <c r="L1909" s="38">
        <v>46278</v>
      </c>
      <c r="M1909" s="23" t="s">
        <v>196</v>
      </c>
      <c r="N1909" s="23" t="str">
        <f>IF(COUNTIF($A$2:A1909,A1909)&gt;1,"DUP","OK")</f>
        <v>OK</v>
      </c>
      <c r="O1909" s="23" t="str">
        <f t="shared" si="88"/>
        <v>ORD26002101</v>
      </c>
      <c r="P1909" s="23" t="str">
        <f t="shared" si="89"/>
        <v>Sep</v>
      </c>
      <c r="Q1909" s="23" t="str">
        <f>IF(F1909="CAPTURE",IF(COUNTIF(orders!$A:$A,O1909)&gt;0,"Yes","NO ORDER"),"")</f>
        <v>Yes</v>
      </c>
    </row>
    <row r="1910" spans="1:17" ht="15" customHeight="1" x14ac:dyDescent="0.3">
      <c r="A1910" s="23" t="s">
        <v>14633</v>
      </c>
      <c r="B1910" s="23"/>
      <c r="C1910" s="23" t="s">
        <v>4717</v>
      </c>
      <c r="D1910" s="23" t="str">
        <f t="shared" si="87"/>
        <v>ORD26002113</v>
      </c>
      <c r="E1910" s="38">
        <v>46276</v>
      </c>
      <c r="F1910" s="23" t="s">
        <v>12410</v>
      </c>
      <c r="G1910" s="23" t="s">
        <v>81</v>
      </c>
      <c r="H1910" s="24">
        <v>2499</v>
      </c>
      <c r="I1910" s="24">
        <v>29.99</v>
      </c>
      <c r="J1910" s="24">
        <v>5.4</v>
      </c>
      <c r="K1910" s="24">
        <v>2463.61</v>
      </c>
      <c r="L1910" s="38">
        <v>46278</v>
      </c>
      <c r="M1910" s="23" t="s">
        <v>196</v>
      </c>
      <c r="N1910" s="23" t="str">
        <f>IF(COUNTIF($A$2:A1910,A1910)&gt;1,"DUP","OK")</f>
        <v>OK</v>
      </c>
      <c r="O1910" s="23" t="str">
        <f t="shared" si="88"/>
        <v>ORD26002113</v>
      </c>
      <c r="P1910" s="23" t="str">
        <f t="shared" si="89"/>
        <v>Sep</v>
      </c>
      <c r="Q1910" s="23" t="str">
        <f>IF(F1910="CAPTURE",IF(COUNTIF(orders!$A:$A,O1910)&gt;0,"Yes","NO ORDER"),"")</f>
        <v>Yes</v>
      </c>
    </row>
    <row r="1911" spans="1:17" ht="15" customHeight="1" x14ac:dyDescent="0.3">
      <c r="A1911" s="23" t="s">
        <v>14634</v>
      </c>
      <c r="B1911" s="23"/>
      <c r="C1911" s="23" t="s">
        <v>4723</v>
      </c>
      <c r="D1911" s="23" t="str">
        <f t="shared" si="87"/>
        <v>ORD26002116</v>
      </c>
      <c r="E1911" s="38">
        <v>46276</v>
      </c>
      <c r="F1911" s="23" t="s">
        <v>12410</v>
      </c>
      <c r="G1911" s="23" t="s">
        <v>75</v>
      </c>
      <c r="H1911" s="24">
        <v>5998</v>
      </c>
      <c r="I1911" s="24">
        <v>17.989999999999998</v>
      </c>
      <c r="J1911" s="24">
        <v>3.24</v>
      </c>
      <c r="K1911" s="24">
        <v>5976.77</v>
      </c>
      <c r="L1911" s="38">
        <v>46278</v>
      </c>
      <c r="M1911" s="23" t="s">
        <v>196</v>
      </c>
      <c r="N1911" s="23" t="str">
        <f>IF(COUNTIF($A$2:A1911,A1911)&gt;1,"DUP","OK")</f>
        <v>OK</v>
      </c>
      <c r="O1911" s="23" t="str">
        <f t="shared" si="88"/>
        <v>ORD26002116</v>
      </c>
      <c r="P1911" s="23" t="str">
        <f t="shared" si="89"/>
        <v>Sep</v>
      </c>
      <c r="Q1911" s="23" t="str">
        <f>IF(F1911="CAPTURE",IF(COUNTIF(orders!$A:$A,O1911)&gt;0,"Yes","NO ORDER"),"")</f>
        <v>Yes</v>
      </c>
    </row>
    <row r="1912" spans="1:17" ht="15" customHeight="1" x14ac:dyDescent="0.3">
      <c r="A1912" s="23" t="s">
        <v>14635</v>
      </c>
      <c r="B1912" s="23"/>
      <c r="C1912" s="23" t="s">
        <v>4778</v>
      </c>
      <c r="D1912" s="23" t="str">
        <f t="shared" si="87"/>
        <v>ORD26002144</v>
      </c>
      <c r="E1912" s="38">
        <v>46276</v>
      </c>
      <c r="F1912" s="23" t="s">
        <v>12410</v>
      </c>
      <c r="G1912" s="23" t="s">
        <v>75</v>
      </c>
      <c r="H1912" s="24">
        <v>5348</v>
      </c>
      <c r="I1912" s="24">
        <v>16.04</v>
      </c>
      <c r="J1912" s="24">
        <v>2.89</v>
      </c>
      <c r="K1912" s="24">
        <v>5329.07</v>
      </c>
      <c r="L1912" s="38">
        <v>46278</v>
      </c>
      <c r="M1912" s="23" t="s">
        <v>196</v>
      </c>
      <c r="N1912" s="23" t="str">
        <f>IF(COUNTIF($A$2:A1912,A1912)&gt;1,"DUP","OK")</f>
        <v>OK</v>
      </c>
      <c r="O1912" s="23" t="str">
        <f t="shared" si="88"/>
        <v>ORD26002144</v>
      </c>
      <c r="P1912" s="23" t="str">
        <f t="shared" si="89"/>
        <v>Sep</v>
      </c>
      <c r="Q1912" s="23" t="str">
        <f>IF(F1912="CAPTURE",IF(COUNTIF(orders!$A:$A,O1912)&gt;0,"Yes","NO ORDER"),"")</f>
        <v>Yes</v>
      </c>
    </row>
    <row r="1913" spans="1:17" ht="15" customHeight="1" x14ac:dyDescent="0.3">
      <c r="A1913" s="23" t="s">
        <v>14636</v>
      </c>
      <c r="B1913" s="23"/>
      <c r="C1913" s="23" t="s">
        <v>4856</v>
      </c>
      <c r="D1913" s="23" t="str">
        <f t="shared" si="87"/>
        <v>ORD26002183</v>
      </c>
      <c r="E1913" s="38">
        <v>46276</v>
      </c>
      <c r="F1913" s="23" t="s">
        <v>12410</v>
      </c>
      <c r="G1913" s="23" t="s">
        <v>75</v>
      </c>
      <c r="H1913" s="24">
        <v>5297</v>
      </c>
      <c r="I1913" s="24">
        <v>15.89</v>
      </c>
      <c r="J1913" s="24">
        <v>2.86</v>
      </c>
      <c r="K1913" s="24">
        <v>5278.25</v>
      </c>
      <c r="L1913" s="38">
        <v>46278</v>
      </c>
      <c r="M1913" s="23" t="s">
        <v>196</v>
      </c>
      <c r="N1913" s="23" t="str">
        <f>IF(COUNTIF($A$2:A1913,A1913)&gt;1,"DUP","OK")</f>
        <v>OK</v>
      </c>
      <c r="O1913" s="23" t="str">
        <f t="shared" si="88"/>
        <v>ORD26002183</v>
      </c>
      <c r="P1913" s="23" t="str">
        <f t="shared" si="89"/>
        <v>Sep</v>
      </c>
      <c r="Q1913" s="23" t="str">
        <f>IF(F1913="CAPTURE",IF(COUNTIF(orders!$A:$A,O1913)&gt;0,"Yes","NO ORDER"),"")</f>
        <v>Yes</v>
      </c>
    </row>
    <row r="1914" spans="1:17" ht="15" customHeight="1" x14ac:dyDescent="0.3">
      <c r="A1914" s="23" t="s">
        <v>14637</v>
      </c>
      <c r="B1914" s="23"/>
      <c r="C1914" s="23" t="s">
        <v>4897</v>
      </c>
      <c r="D1914" s="23" t="str">
        <f t="shared" si="87"/>
        <v>ORD26002203</v>
      </c>
      <c r="E1914" s="38">
        <v>46276</v>
      </c>
      <c r="F1914" s="23" t="s">
        <v>12410</v>
      </c>
      <c r="G1914" s="23" t="s">
        <v>79</v>
      </c>
      <c r="H1914" s="24">
        <v>7498</v>
      </c>
      <c r="I1914" s="24">
        <v>119.97</v>
      </c>
      <c r="J1914" s="24">
        <v>21.59</v>
      </c>
      <c r="K1914" s="24">
        <v>7356.44</v>
      </c>
      <c r="L1914" s="38">
        <v>46278</v>
      </c>
      <c r="M1914" s="23" t="s">
        <v>196</v>
      </c>
      <c r="N1914" s="23" t="str">
        <f>IF(COUNTIF($A$2:A1914,A1914)&gt;1,"DUP","OK")</f>
        <v>OK</v>
      </c>
      <c r="O1914" s="23" t="str">
        <f t="shared" si="88"/>
        <v>ORD26002203</v>
      </c>
      <c r="P1914" s="23" t="str">
        <f t="shared" si="89"/>
        <v>Sep</v>
      </c>
      <c r="Q1914" s="23" t="str">
        <f>IF(F1914="CAPTURE",IF(COUNTIF(orders!$A:$A,O1914)&gt;0,"Yes","NO ORDER"),"")</f>
        <v>Yes</v>
      </c>
    </row>
    <row r="1915" spans="1:17" ht="15" customHeight="1" x14ac:dyDescent="0.3">
      <c r="A1915" s="23" t="s">
        <v>14638</v>
      </c>
      <c r="B1915" s="23"/>
      <c r="C1915" s="23" t="s">
        <v>4903</v>
      </c>
      <c r="D1915" s="23" t="str">
        <f t="shared" si="87"/>
        <v>ORD26002206</v>
      </c>
      <c r="E1915" s="38">
        <v>46276</v>
      </c>
      <c r="F1915" s="23" t="s">
        <v>12410</v>
      </c>
      <c r="G1915" s="23" t="s">
        <v>75</v>
      </c>
      <c r="H1915" s="24">
        <v>999</v>
      </c>
      <c r="I1915" s="24">
        <v>0</v>
      </c>
      <c r="J1915" s="24">
        <v>0</v>
      </c>
      <c r="K1915" s="24">
        <v>999</v>
      </c>
      <c r="L1915" s="38">
        <v>46278</v>
      </c>
      <c r="M1915" s="23" t="s">
        <v>196</v>
      </c>
      <c r="N1915" s="23" t="str">
        <f>IF(COUNTIF($A$2:A1915,A1915)&gt;1,"DUP","OK")</f>
        <v>OK</v>
      </c>
      <c r="O1915" s="23" t="str">
        <f t="shared" si="88"/>
        <v>ORD26002206</v>
      </c>
      <c r="P1915" s="23" t="str">
        <f t="shared" si="89"/>
        <v>Sep</v>
      </c>
      <c r="Q1915" s="23" t="str">
        <f>IF(F1915="CAPTURE",IF(COUNTIF(orders!$A:$A,O1915)&gt;0,"Yes","NO ORDER"),"")</f>
        <v>Yes</v>
      </c>
    </row>
    <row r="1916" spans="1:17" ht="15" customHeight="1" x14ac:dyDescent="0.3">
      <c r="A1916" s="23" t="s">
        <v>14639</v>
      </c>
      <c r="B1916" s="23"/>
      <c r="C1916" s="23" t="s">
        <v>4905</v>
      </c>
      <c r="D1916" s="23" t="str">
        <f t="shared" si="87"/>
        <v>ORD26002207</v>
      </c>
      <c r="E1916" s="38">
        <v>46276</v>
      </c>
      <c r="F1916" s="23" t="s">
        <v>12410</v>
      </c>
      <c r="G1916" s="23" t="s">
        <v>79</v>
      </c>
      <c r="H1916" s="24">
        <v>2097</v>
      </c>
      <c r="I1916" s="24">
        <v>33.549999999999997</v>
      </c>
      <c r="J1916" s="24">
        <v>6.04</v>
      </c>
      <c r="K1916" s="24">
        <v>2057.41</v>
      </c>
      <c r="L1916" s="38">
        <v>46278</v>
      </c>
      <c r="M1916" s="23" t="s">
        <v>196</v>
      </c>
      <c r="N1916" s="23" t="str">
        <f>IF(COUNTIF($A$2:A1916,A1916)&gt;1,"DUP","OK")</f>
        <v>OK</v>
      </c>
      <c r="O1916" s="23" t="str">
        <f t="shared" si="88"/>
        <v>ORD26002207</v>
      </c>
      <c r="P1916" s="23" t="str">
        <f t="shared" si="89"/>
        <v>Sep</v>
      </c>
      <c r="Q1916" s="23" t="str">
        <f>IF(F1916="CAPTURE",IF(COUNTIF(orders!$A:$A,O1916)&gt;0,"Yes","NO ORDER"),"")</f>
        <v>Yes</v>
      </c>
    </row>
    <row r="1917" spans="1:17" ht="15" customHeight="1" x14ac:dyDescent="0.3">
      <c r="A1917" s="23" t="s">
        <v>14640</v>
      </c>
      <c r="B1917" s="23"/>
      <c r="C1917" s="23" t="s">
        <v>4973</v>
      </c>
      <c r="D1917" s="23" t="str">
        <f t="shared" si="87"/>
        <v>ORD26002240</v>
      </c>
      <c r="E1917" s="38">
        <v>46276</v>
      </c>
      <c r="F1917" s="23" t="s">
        <v>12410</v>
      </c>
      <c r="G1917" s="23" t="s">
        <v>79</v>
      </c>
      <c r="H1917" s="24">
        <v>5998</v>
      </c>
      <c r="I1917" s="24">
        <v>95.97</v>
      </c>
      <c r="J1917" s="24">
        <v>17.27</v>
      </c>
      <c r="K1917" s="24">
        <v>5884.76</v>
      </c>
      <c r="L1917" s="38">
        <v>46278</v>
      </c>
      <c r="M1917" s="23" t="s">
        <v>196</v>
      </c>
      <c r="N1917" s="23" t="str">
        <f>IF(COUNTIF($A$2:A1917,A1917)&gt;1,"DUP","OK")</f>
        <v>OK</v>
      </c>
      <c r="O1917" s="23" t="str">
        <f t="shared" si="88"/>
        <v>ORD26002240</v>
      </c>
      <c r="P1917" s="23" t="str">
        <f t="shared" si="89"/>
        <v>Sep</v>
      </c>
      <c r="Q1917" s="23" t="str">
        <f>IF(F1917="CAPTURE",IF(COUNTIF(orders!$A:$A,O1917)&gt;0,"Yes","NO ORDER"),"")</f>
        <v>Yes</v>
      </c>
    </row>
    <row r="1918" spans="1:17" ht="15" customHeight="1" x14ac:dyDescent="0.3">
      <c r="A1918" s="23" t="s">
        <v>14641</v>
      </c>
      <c r="B1918" s="23"/>
      <c r="C1918" s="23" t="s">
        <v>4989</v>
      </c>
      <c r="D1918" s="23" t="str">
        <f t="shared" si="87"/>
        <v>ORD26002248</v>
      </c>
      <c r="E1918" s="38">
        <v>46276</v>
      </c>
      <c r="F1918" s="23" t="s">
        <v>12410</v>
      </c>
      <c r="G1918" s="23" t="s">
        <v>75</v>
      </c>
      <c r="H1918" s="24">
        <v>299</v>
      </c>
      <c r="I1918" s="24">
        <v>0</v>
      </c>
      <c r="J1918" s="24">
        <v>0</v>
      </c>
      <c r="K1918" s="24">
        <v>299</v>
      </c>
      <c r="L1918" s="38">
        <v>46278</v>
      </c>
      <c r="M1918" s="23" t="s">
        <v>196</v>
      </c>
      <c r="N1918" s="23" t="str">
        <f>IF(COUNTIF($A$2:A1918,A1918)&gt;1,"DUP","OK")</f>
        <v>OK</v>
      </c>
      <c r="O1918" s="23" t="str">
        <f t="shared" si="88"/>
        <v>ORD26002248</v>
      </c>
      <c r="P1918" s="23" t="str">
        <f t="shared" si="89"/>
        <v>Sep</v>
      </c>
      <c r="Q1918" s="23" t="str">
        <f>IF(F1918="CAPTURE",IF(COUNTIF(orders!$A:$A,O1918)&gt;0,"Yes","NO ORDER"),"")</f>
        <v>Yes</v>
      </c>
    </row>
    <row r="1919" spans="1:17" ht="15" customHeight="1" x14ac:dyDescent="0.3">
      <c r="A1919" s="23" t="s">
        <v>14642</v>
      </c>
      <c r="B1919" s="23"/>
      <c r="C1919" s="23" t="s">
        <v>4995</v>
      </c>
      <c r="D1919" s="23" t="str">
        <f t="shared" si="87"/>
        <v>ORD26002251</v>
      </c>
      <c r="E1919" s="38">
        <v>46276</v>
      </c>
      <c r="F1919" s="23" t="s">
        <v>12410</v>
      </c>
      <c r="G1919" s="23" t="s">
        <v>75</v>
      </c>
      <c r="H1919" s="24">
        <v>599</v>
      </c>
      <c r="I1919" s="24">
        <v>0</v>
      </c>
      <c r="J1919" s="24">
        <v>0</v>
      </c>
      <c r="K1919" s="24">
        <v>599</v>
      </c>
      <c r="L1919" s="38">
        <v>46278</v>
      </c>
      <c r="M1919" s="23" t="s">
        <v>196</v>
      </c>
      <c r="N1919" s="23" t="str">
        <f>IF(COUNTIF($A$2:A1919,A1919)&gt;1,"DUP","OK")</f>
        <v>OK</v>
      </c>
      <c r="O1919" s="23" t="str">
        <f t="shared" si="88"/>
        <v>ORD26002251</v>
      </c>
      <c r="P1919" s="23" t="str">
        <f t="shared" si="89"/>
        <v>Sep</v>
      </c>
      <c r="Q1919" s="23" t="str">
        <f>IF(F1919="CAPTURE",IF(COUNTIF(orders!$A:$A,O1919)&gt;0,"Yes","NO ORDER"),"")</f>
        <v>Yes</v>
      </c>
    </row>
    <row r="1920" spans="1:17" ht="15" customHeight="1" x14ac:dyDescent="0.3">
      <c r="A1920" s="23" t="s">
        <v>14643</v>
      </c>
      <c r="B1920" s="23"/>
      <c r="C1920" s="23" t="s">
        <v>5004</v>
      </c>
      <c r="D1920" s="23" t="str">
        <f t="shared" si="87"/>
        <v>ORD26002255</v>
      </c>
      <c r="E1920" s="38">
        <v>46276</v>
      </c>
      <c r="F1920" s="23" t="s">
        <v>12410</v>
      </c>
      <c r="G1920" s="23" t="s">
        <v>77</v>
      </c>
      <c r="H1920" s="24">
        <v>9597</v>
      </c>
      <c r="I1920" s="24">
        <v>163.15</v>
      </c>
      <c r="J1920" s="24">
        <v>29.37</v>
      </c>
      <c r="K1920" s="24">
        <v>9404.48</v>
      </c>
      <c r="L1920" s="38">
        <v>46278</v>
      </c>
      <c r="M1920" s="23" t="s">
        <v>196</v>
      </c>
      <c r="N1920" s="23" t="str">
        <f>IF(COUNTIF($A$2:A1920,A1920)&gt;1,"DUP","OK")</f>
        <v>OK</v>
      </c>
      <c r="O1920" s="23" t="str">
        <f t="shared" si="88"/>
        <v>ORD26002255</v>
      </c>
      <c r="P1920" s="23" t="str">
        <f t="shared" si="89"/>
        <v>Sep</v>
      </c>
      <c r="Q1920" s="23" t="str">
        <f>IF(F1920="CAPTURE",IF(COUNTIF(orders!$A:$A,O1920)&gt;0,"Yes","NO ORDER"),"")</f>
        <v>Yes</v>
      </c>
    </row>
    <row r="1921" spans="1:17" ht="15" customHeight="1" x14ac:dyDescent="0.3">
      <c r="A1921" s="23" t="s">
        <v>14644</v>
      </c>
      <c r="B1921" s="23"/>
      <c r="C1921" s="23" t="s">
        <v>5012</v>
      </c>
      <c r="D1921" s="23" t="str">
        <f t="shared" si="87"/>
        <v>ORD26002259</v>
      </c>
      <c r="E1921" s="38">
        <v>46276</v>
      </c>
      <c r="F1921" s="23" t="s">
        <v>12410</v>
      </c>
      <c r="G1921" s="23" t="s">
        <v>79</v>
      </c>
      <c r="H1921" s="24">
        <v>1799</v>
      </c>
      <c r="I1921" s="24">
        <v>32.380000000000003</v>
      </c>
      <c r="J1921" s="24">
        <v>5.83</v>
      </c>
      <c r="K1921" s="24">
        <v>1760.79</v>
      </c>
      <c r="L1921" s="38">
        <v>46278</v>
      </c>
      <c r="M1921" s="23" t="s">
        <v>196</v>
      </c>
      <c r="N1921" s="23" t="str">
        <f>IF(COUNTIF($A$2:A1921,A1921)&gt;1,"DUP","OK")</f>
        <v>OK</v>
      </c>
      <c r="O1921" s="23" t="str">
        <f t="shared" si="88"/>
        <v>ORD26002259</v>
      </c>
      <c r="P1921" s="23" t="str">
        <f t="shared" si="89"/>
        <v>Sep</v>
      </c>
      <c r="Q1921" s="23" t="str">
        <f>IF(F1921="CAPTURE",IF(COUNTIF(orders!$A:$A,O1921)&gt;0,"Yes","NO ORDER"),"")</f>
        <v>Yes</v>
      </c>
    </row>
    <row r="1922" spans="1:17" ht="15" customHeight="1" x14ac:dyDescent="0.3">
      <c r="A1922" s="23" t="s">
        <v>14645</v>
      </c>
      <c r="B1922" s="23"/>
      <c r="C1922" s="23" t="s">
        <v>5034</v>
      </c>
      <c r="D1922" s="23" t="str">
        <f t="shared" ref="D1922:D1985" si="90">UPPER(SUBSTITUTE(TRIM(C1922),"-",""))</f>
        <v>ORD26002270</v>
      </c>
      <c r="E1922" s="38">
        <v>46276</v>
      </c>
      <c r="F1922" s="23" t="s">
        <v>12410</v>
      </c>
      <c r="G1922" s="23" t="s">
        <v>75</v>
      </c>
      <c r="H1922" s="24">
        <v>349</v>
      </c>
      <c r="I1922" s="24">
        <v>0</v>
      </c>
      <c r="J1922" s="24">
        <v>0</v>
      </c>
      <c r="K1922" s="24">
        <v>349</v>
      </c>
      <c r="L1922" s="38">
        <v>46278</v>
      </c>
      <c r="M1922" s="23" t="s">
        <v>196</v>
      </c>
      <c r="N1922" s="23" t="str">
        <f>IF(COUNTIF($A$2:A1922,A1922)&gt;1,"DUP","OK")</f>
        <v>OK</v>
      </c>
      <c r="O1922" s="23" t="str">
        <f t="shared" ref="O1922:O1985" si="91">IF(F1922="REFUND",INDEX($D:$D,MATCH(B1922,$A:$A,0)),D1922)</f>
        <v>ORD26002270</v>
      </c>
      <c r="P1922" s="23" t="str">
        <f t="shared" ref="P1922:P1985" si="92">IF(L1922&gt;DATE(2026,9,30),"Oct-Due","Sep")</f>
        <v>Sep</v>
      </c>
      <c r="Q1922" s="23" t="str">
        <f>IF(F1922="CAPTURE",IF(COUNTIF(orders!$A:$A,O1922)&gt;0,"Yes","NO ORDER"),"")</f>
        <v>Yes</v>
      </c>
    </row>
    <row r="1923" spans="1:17" ht="15" customHeight="1" x14ac:dyDescent="0.3">
      <c r="A1923" s="23" t="s">
        <v>14646</v>
      </c>
      <c r="B1923" s="23"/>
      <c r="C1923" s="23" t="s">
        <v>5040</v>
      </c>
      <c r="D1923" s="23" t="str">
        <f t="shared" si="90"/>
        <v>ORD26002273</v>
      </c>
      <c r="E1923" s="38">
        <v>46276</v>
      </c>
      <c r="F1923" s="23" t="s">
        <v>12410</v>
      </c>
      <c r="G1923" s="23" t="s">
        <v>75</v>
      </c>
      <c r="H1923" s="24">
        <v>7498</v>
      </c>
      <c r="I1923" s="24">
        <v>22.49</v>
      </c>
      <c r="J1923" s="24">
        <v>4.05</v>
      </c>
      <c r="K1923" s="24">
        <v>7471.46</v>
      </c>
      <c r="L1923" s="38">
        <v>46278</v>
      </c>
      <c r="M1923" s="23" t="s">
        <v>196</v>
      </c>
      <c r="N1923" s="23" t="str">
        <f>IF(COUNTIF($A$2:A1923,A1923)&gt;1,"DUP","OK")</f>
        <v>OK</v>
      </c>
      <c r="O1923" s="23" t="str">
        <f t="shared" si="91"/>
        <v>ORD26002273</v>
      </c>
      <c r="P1923" s="23" t="str">
        <f t="shared" si="92"/>
        <v>Sep</v>
      </c>
      <c r="Q1923" s="23" t="str">
        <f>IF(F1923="CAPTURE",IF(COUNTIF(orders!$A:$A,O1923)&gt;0,"Yes","NO ORDER"),"")</f>
        <v>Yes</v>
      </c>
    </row>
    <row r="1924" spans="1:17" ht="15" customHeight="1" x14ac:dyDescent="0.3">
      <c r="A1924" s="23" t="s">
        <v>14647</v>
      </c>
      <c r="B1924" s="23"/>
      <c r="C1924" s="23" t="s">
        <v>14648</v>
      </c>
      <c r="D1924" s="23" t="str">
        <f t="shared" si="90"/>
        <v>ORD26002298</v>
      </c>
      <c r="E1924" s="38">
        <v>46276</v>
      </c>
      <c r="F1924" s="23" t="s">
        <v>12410</v>
      </c>
      <c r="G1924" s="23" t="s">
        <v>77</v>
      </c>
      <c r="H1924" s="24">
        <v>799</v>
      </c>
      <c r="I1924" s="24">
        <v>15.18</v>
      </c>
      <c r="J1924" s="24">
        <v>2.73</v>
      </c>
      <c r="K1924" s="24">
        <v>781.09</v>
      </c>
      <c r="L1924" s="38">
        <v>46278</v>
      </c>
      <c r="M1924" s="23" t="s">
        <v>196</v>
      </c>
      <c r="N1924" s="23" t="str">
        <f>IF(COUNTIF($A$2:A1924,A1924)&gt;1,"DUP","OK")</f>
        <v>OK</v>
      </c>
      <c r="O1924" s="23" t="str">
        <f t="shared" si="91"/>
        <v>ORD26002298</v>
      </c>
      <c r="P1924" s="23" t="str">
        <f t="shared" si="92"/>
        <v>Sep</v>
      </c>
      <c r="Q1924" s="23" t="str">
        <f>IF(F1924="CAPTURE",IF(COUNTIF(orders!$A:$A,O1924)&gt;0,"Yes","NO ORDER"),"")</f>
        <v>Yes</v>
      </c>
    </row>
    <row r="1925" spans="1:17" ht="15" customHeight="1" x14ac:dyDescent="0.3">
      <c r="A1925" s="23" t="s">
        <v>14649</v>
      </c>
      <c r="B1925" s="23"/>
      <c r="C1925" s="23" t="s">
        <v>14650</v>
      </c>
      <c r="D1925" s="23" t="str">
        <f t="shared" si="90"/>
        <v>ORD26002311</v>
      </c>
      <c r="E1925" s="38">
        <v>46276</v>
      </c>
      <c r="F1925" s="23" t="s">
        <v>12410</v>
      </c>
      <c r="G1925" s="23" t="s">
        <v>79</v>
      </c>
      <c r="H1925" s="24">
        <v>2999</v>
      </c>
      <c r="I1925" s="24">
        <v>47.98</v>
      </c>
      <c r="J1925" s="24">
        <v>8.64</v>
      </c>
      <c r="K1925" s="24">
        <v>2942.38</v>
      </c>
      <c r="L1925" s="38">
        <v>46278</v>
      </c>
      <c r="M1925" s="23" t="s">
        <v>196</v>
      </c>
      <c r="N1925" s="23" t="str">
        <f>IF(COUNTIF($A$2:A1925,A1925)&gt;1,"DUP","OK")</f>
        <v>OK</v>
      </c>
      <c r="O1925" s="23" t="str">
        <f t="shared" si="91"/>
        <v>ORD26002311</v>
      </c>
      <c r="P1925" s="23" t="str">
        <f t="shared" si="92"/>
        <v>Sep</v>
      </c>
      <c r="Q1925" s="23" t="str">
        <f>IF(F1925="CAPTURE",IF(COUNTIF(orders!$A:$A,O1925)&gt;0,"Yes","NO ORDER"),"")</f>
        <v>Yes</v>
      </c>
    </row>
    <row r="1926" spans="1:17" ht="15" customHeight="1" x14ac:dyDescent="0.3">
      <c r="A1926" s="23" t="s">
        <v>14651</v>
      </c>
      <c r="B1926" s="23"/>
      <c r="C1926" s="23" t="s">
        <v>5146</v>
      </c>
      <c r="D1926" s="23" t="str">
        <f t="shared" si="90"/>
        <v>ORD26002326</v>
      </c>
      <c r="E1926" s="38">
        <v>46276</v>
      </c>
      <c r="F1926" s="23" t="s">
        <v>12410</v>
      </c>
      <c r="G1926" s="23" t="s">
        <v>75</v>
      </c>
      <c r="H1926" s="24">
        <v>299</v>
      </c>
      <c r="I1926" s="24">
        <v>0</v>
      </c>
      <c r="J1926" s="24">
        <v>0</v>
      </c>
      <c r="K1926" s="24">
        <v>299</v>
      </c>
      <c r="L1926" s="38">
        <v>46278</v>
      </c>
      <c r="M1926" s="23" t="s">
        <v>196</v>
      </c>
      <c r="N1926" s="23" t="str">
        <f>IF(COUNTIF($A$2:A1926,A1926)&gt;1,"DUP","OK")</f>
        <v>OK</v>
      </c>
      <c r="O1926" s="23" t="str">
        <f t="shared" si="91"/>
        <v>ORD26002326</v>
      </c>
      <c r="P1926" s="23" t="str">
        <f t="shared" si="92"/>
        <v>Sep</v>
      </c>
      <c r="Q1926" s="23" t="str">
        <f>IF(F1926="CAPTURE",IF(COUNTIF(orders!$A:$A,O1926)&gt;0,"Yes","NO ORDER"),"")</f>
        <v>Yes</v>
      </c>
    </row>
    <row r="1927" spans="1:17" ht="15" customHeight="1" x14ac:dyDescent="0.3">
      <c r="A1927" s="23" t="s">
        <v>14652</v>
      </c>
      <c r="B1927" s="23"/>
      <c r="C1927" s="23" t="s">
        <v>5422</v>
      </c>
      <c r="D1927" s="23" t="str">
        <f t="shared" si="90"/>
        <v>ORD26002466</v>
      </c>
      <c r="E1927" s="38">
        <v>46276</v>
      </c>
      <c r="F1927" s="23" t="s">
        <v>12410</v>
      </c>
      <c r="G1927" s="23" t="s">
        <v>77</v>
      </c>
      <c r="H1927" s="24">
        <v>1299</v>
      </c>
      <c r="I1927" s="24">
        <v>24.68</v>
      </c>
      <c r="J1927" s="24">
        <v>4.4400000000000004</v>
      </c>
      <c r="K1927" s="24">
        <v>1269.8800000000001</v>
      </c>
      <c r="L1927" s="38">
        <v>46278</v>
      </c>
      <c r="M1927" s="23" t="s">
        <v>196</v>
      </c>
      <c r="N1927" s="23" t="str">
        <f>IF(COUNTIF($A$2:A1927,A1927)&gt;1,"DUP","OK")</f>
        <v>OK</v>
      </c>
      <c r="O1927" s="23" t="str">
        <f t="shared" si="91"/>
        <v>ORD26002466</v>
      </c>
      <c r="P1927" s="23" t="str">
        <f t="shared" si="92"/>
        <v>Sep</v>
      </c>
      <c r="Q1927" s="23" t="str">
        <f>IF(F1927="CAPTURE",IF(COUNTIF(orders!$A:$A,O1927)&gt;0,"Yes","NO ORDER"),"")</f>
        <v>Yes</v>
      </c>
    </row>
    <row r="1928" spans="1:17" ht="15" customHeight="1" x14ac:dyDescent="0.3">
      <c r="A1928" s="23" t="s">
        <v>14653</v>
      </c>
      <c r="B1928" s="23"/>
      <c r="C1928" s="23" t="s">
        <v>5486</v>
      </c>
      <c r="D1928" s="23" t="str">
        <f t="shared" si="90"/>
        <v>ORD26002499</v>
      </c>
      <c r="E1928" s="38">
        <v>46276</v>
      </c>
      <c r="F1928" s="23" t="s">
        <v>12410</v>
      </c>
      <c r="G1928" s="23" t="s">
        <v>79</v>
      </c>
      <c r="H1928" s="24">
        <v>499</v>
      </c>
      <c r="I1928" s="24">
        <v>8.98</v>
      </c>
      <c r="J1928" s="24">
        <v>1.62</v>
      </c>
      <c r="K1928" s="24">
        <v>488.4</v>
      </c>
      <c r="L1928" s="38">
        <v>46278</v>
      </c>
      <c r="M1928" s="23" t="s">
        <v>196</v>
      </c>
      <c r="N1928" s="23" t="str">
        <f>IF(COUNTIF($A$2:A1928,A1928)&gt;1,"DUP","OK")</f>
        <v>OK</v>
      </c>
      <c r="O1928" s="23" t="str">
        <f t="shared" si="91"/>
        <v>ORD26002499</v>
      </c>
      <c r="P1928" s="23" t="str">
        <f t="shared" si="92"/>
        <v>Sep</v>
      </c>
      <c r="Q1928" s="23" t="str">
        <f>IF(F1928="CAPTURE",IF(COUNTIF(orders!$A:$A,O1928)&gt;0,"Yes","NO ORDER"),"")</f>
        <v>Yes</v>
      </c>
    </row>
    <row r="1929" spans="1:17" ht="15" customHeight="1" x14ac:dyDescent="0.3">
      <c r="A1929" s="23" t="s">
        <v>14654</v>
      </c>
      <c r="B1929" s="23"/>
      <c r="C1929" s="23" t="s">
        <v>5552</v>
      </c>
      <c r="D1929" s="23" t="str">
        <f t="shared" si="90"/>
        <v>ORD26002530</v>
      </c>
      <c r="E1929" s="38">
        <v>46276</v>
      </c>
      <c r="F1929" s="23" t="s">
        <v>12410</v>
      </c>
      <c r="G1929" s="23" t="s">
        <v>75</v>
      </c>
      <c r="H1929" s="24">
        <v>8097</v>
      </c>
      <c r="I1929" s="24">
        <v>24.29</v>
      </c>
      <c r="J1929" s="24">
        <v>4.37</v>
      </c>
      <c r="K1929" s="24">
        <v>8068.34</v>
      </c>
      <c r="L1929" s="38">
        <v>46278</v>
      </c>
      <c r="M1929" s="23" t="s">
        <v>196</v>
      </c>
      <c r="N1929" s="23" t="str">
        <f>IF(COUNTIF($A$2:A1929,A1929)&gt;1,"DUP","OK")</f>
        <v>OK</v>
      </c>
      <c r="O1929" s="23" t="str">
        <f t="shared" si="91"/>
        <v>ORD26002530</v>
      </c>
      <c r="P1929" s="23" t="str">
        <f t="shared" si="92"/>
        <v>Sep</v>
      </c>
      <c r="Q1929" s="23" t="str">
        <f>IF(F1929="CAPTURE",IF(COUNTIF(orders!$A:$A,O1929)&gt;0,"Yes","NO ORDER"),"")</f>
        <v>Yes</v>
      </c>
    </row>
    <row r="1930" spans="1:17" ht="15" customHeight="1" x14ac:dyDescent="0.3">
      <c r="A1930" s="23" t="s">
        <v>14655</v>
      </c>
      <c r="B1930" s="23"/>
      <c r="C1930" s="23" t="s">
        <v>5586</v>
      </c>
      <c r="D1930" s="23" t="str">
        <f t="shared" si="90"/>
        <v>ORD26002546</v>
      </c>
      <c r="E1930" s="38">
        <v>46276</v>
      </c>
      <c r="F1930" s="23" t="s">
        <v>12410</v>
      </c>
      <c r="G1930" s="23" t="s">
        <v>79</v>
      </c>
      <c r="H1930" s="24">
        <v>3298</v>
      </c>
      <c r="I1930" s="24">
        <v>52.77</v>
      </c>
      <c r="J1930" s="24">
        <v>9.5</v>
      </c>
      <c r="K1930" s="24">
        <v>3235.73</v>
      </c>
      <c r="L1930" s="38">
        <v>46278</v>
      </c>
      <c r="M1930" s="23" t="s">
        <v>196</v>
      </c>
      <c r="N1930" s="23" t="str">
        <f>IF(COUNTIF($A$2:A1930,A1930)&gt;1,"DUP","OK")</f>
        <v>OK</v>
      </c>
      <c r="O1930" s="23" t="str">
        <f t="shared" si="91"/>
        <v>ORD26002546</v>
      </c>
      <c r="P1930" s="23" t="str">
        <f t="shared" si="92"/>
        <v>Sep</v>
      </c>
      <c r="Q1930" s="23" t="str">
        <f>IF(F1930="CAPTURE",IF(COUNTIF(orders!$A:$A,O1930)&gt;0,"Yes","NO ORDER"),"")</f>
        <v>Yes</v>
      </c>
    </row>
    <row r="1931" spans="1:17" ht="15" customHeight="1" x14ac:dyDescent="0.3">
      <c r="A1931" s="23" t="s">
        <v>14656</v>
      </c>
      <c r="B1931" s="23"/>
      <c r="C1931" s="23" t="s">
        <v>14657</v>
      </c>
      <c r="D1931" s="23" t="str">
        <f t="shared" si="90"/>
        <v>ORD26002554</v>
      </c>
      <c r="E1931" s="38">
        <v>46276</v>
      </c>
      <c r="F1931" s="23" t="s">
        <v>12410</v>
      </c>
      <c r="G1931" s="23" t="s">
        <v>79</v>
      </c>
      <c r="H1931" s="24">
        <v>2499</v>
      </c>
      <c r="I1931" s="24">
        <v>39.979999999999997</v>
      </c>
      <c r="J1931" s="24">
        <v>7.2</v>
      </c>
      <c r="K1931" s="24">
        <v>2451.8200000000002</v>
      </c>
      <c r="L1931" s="38">
        <v>46278</v>
      </c>
      <c r="M1931" s="23" t="s">
        <v>196</v>
      </c>
      <c r="N1931" s="23" t="str">
        <f>IF(COUNTIF($A$2:A1931,A1931)&gt;1,"DUP","OK")</f>
        <v>OK</v>
      </c>
      <c r="O1931" s="23" t="str">
        <f t="shared" si="91"/>
        <v>ORD26002554</v>
      </c>
      <c r="P1931" s="23" t="str">
        <f t="shared" si="92"/>
        <v>Sep</v>
      </c>
      <c r="Q1931" s="23" t="str">
        <f>IF(F1931="CAPTURE",IF(COUNTIF(orders!$A:$A,O1931)&gt;0,"Yes","NO ORDER"),"")</f>
        <v>Yes</v>
      </c>
    </row>
    <row r="1932" spans="1:17" ht="15" customHeight="1" x14ac:dyDescent="0.3">
      <c r="A1932" s="23" t="s">
        <v>14658</v>
      </c>
      <c r="B1932" s="23"/>
      <c r="C1932" s="23" t="s">
        <v>5746</v>
      </c>
      <c r="D1932" s="23" t="str">
        <f t="shared" si="90"/>
        <v>ORD26002626</v>
      </c>
      <c r="E1932" s="38">
        <v>46276</v>
      </c>
      <c r="F1932" s="23" t="s">
        <v>12410</v>
      </c>
      <c r="G1932" s="23" t="s">
        <v>75</v>
      </c>
      <c r="H1932" s="24">
        <v>798</v>
      </c>
      <c r="I1932" s="24">
        <v>0</v>
      </c>
      <c r="J1932" s="24">
        <v>0</v>
      </c>
      <c r="K1932" s="24">
        <v>798</v>
      </c>
      <c r="L1932" s="38">
        <v>46278</v>
      </c>
      <c r="M1932" s="23" t="s">
        <v>196</v>
      </c>
      <c r="N1932" s="23" t="str">
        <f>IF(COUNTIF($A$2:A1932,A1932)&gt;1,"DUP","OK")</f>
        <v>OK</v>
      </c>
      <c r="O1932" s="23" t="str">
        <f t="shared" si="91"/>
        <v>ORD26002626</v>
      </c>
      <c r="P1932" s="23" t="str">
        <f t="shared" si="92"/>
        <v>Sep</v>
      </c>
      <c r="Q1932" s="23" t="str">
        <f>IF(F1932="CAPTURE",IF(COUNTIF(orders!$A:$A,O1932)&gt;0,"Yes","NO ORDER"),"")</f>
        <v>Yes</v>
      </c>
    </row>
    <row r="1933" spans="1:17" ht="15" customHeight="1" x14ac:dyDescent="0.3">
      <c r="A1933" s="23" t="s">
        <v>14659</v>
      </c>
      <c r="B1933" s="23"/>
      <c r="C1933" s="23" t="s">
        <v>5828</v>
      </c>
      <c r="D1933" s="23" t="str">
        <f t="shared" si="90"/>
        <v>ORD26002666</v>
      </c>
      <c r="E1933" s="38">
        <v>46276</v>
      </c>
      <c r="F1933" s="23" t="s">
        <v>12410</v>
      </c>
      <c r="G1933" s="23" t="s">
        <v>75</v>
      </c>
      <c r="H1933" s="24">
        <v>499</v>
      </c>
      <c r="I1933" s="24">
        <v>0</v>
      </c>
      <c r="J1933" s="24">
        <v>0</v>
      </c>
      <c r="K1933" s="24">
        <v>499</v>
      </c>
      <c r="L1933" s="38">
        <v>46278</v>
      </c>
      <c r="M1933" s="23" t="s">
        <v>196</v>
      </c>
      <c r="N1933" s="23" t="str">
        <f>IF(COUNTIF($A$2:A1933,A1933)&gt;1,"DUP","OK")</f>
        <v>OK</v>
      </c>
      <c r="O1933" s="23" t="str">
        <f t="shared" si="91"/>
        <v>ORD26002666</v>
      </c>
      <c r="P1933" s="23" t="str">
        <f t="shared" si="92"/>
        <v>Sep</v>
      </c>
      <c r="Q1933" s="23" t="str">
        <f>IF(F1933="CAPTURE",IF(COUNTIF(orders!$A:$A,O1933)&gt;0,"Yes","NO ORDER"),"")</f>
        <v>Yes</v>
      </c>
    </row>
    <row r="1934" spans="1:17" ht="15" customHeight="1" x14ac:dyDescent="0.3">
      <c r="A1934" s="23" t="s">
        <v>14660</v>
      </c>
      <c r="B1934" s="23"/>
      <c r="C1934" s="23" t="s">
        <v>14661</v>
      </c>
      <c r="D1934" s="23" t="str">
        <f t="shared" si="90"/>
        <v>ORD26002705</v>
      </c>
      <c r="E1934" s="38">
        <v>46276</v>
      </c>
      <c r="F1934" s="23" t="s">
        <v>12410</v>
      </c>
      <c r="G1934" s="23" t="s">
        <v>75</v>
      </c>
      <c r="H1934" s="24">
        <v>7498</v>
      </c>
      <c r="I1934" s="24">
        <v>22.49</v>
      </c>
      <c r="J1934" s="24">
        <v>4.05</v>
      </c>
      <c r="K1934" s="24">
        <v>7471.46</v>
      </c>
      <c r="L1934" s="38">
        <v>46278</v>
      </c>
      <c r="M1934" s="23" t="s">
        <v>196</v>
      </c>
      <c r="N1934" s="23" t="str">
        <f>IF(COUNTIF($A$2:A1934,A1934)&gt;1,"DUP","OK")</f>
        <v>OK</v>
      </c>
      <c r="O1934" s="23" t="str">
        <f t="shared" si="91"/>
        <v>ORD26002705</v>
      </c>
      <c r="P1934" s="23" t="str">
        <f t="shared" si="92"/>
        <v>Sep</v>
      </c>
      <c r="Q1934" s="23" t="str">
        <f>IF(F1934="CAPTURE",IF(COUNTIF(orders!$A:$A,O1934)&gt;0,"Yes","NO ORDER"),"")</f>
        <v>Yes</v>
      </c>
    </row>
    <row r="1935" spans="1:17" ht="15" customHeight="1" x14ac:dyDescent="0.3">
      <c r="A1935" s="23" t="s">
        <v>14662</v>
      </c>
      <c r="B1935" s="23"/>
      <c r="C1935" s="23" t="s">
        <v>14663</v>
      </c>
      <c r="D1935" s="23" t="str">
        <f t="shared" si="90"/>
        <v>ORD26002712</v>
      </c>
      <c r="E1935" s="38">
        <v>46276</v>
      </c>
      <c r="F1935" s="23" t="s">
        <v>12410</v>
      </c>
      <c r="G1935" s="23" t="s">
        <v>75</v>
      </c>
      <c r="H1935" s="24">
        <v>999</v>
      </c>
      <c r="I1935" s="24">
        <v>0</v>
      </c>
      <c r="J1935" s="24">
        <v>0</v>
      </c>
      <c r="K1935" s="24">
        <v>999</v>
      </c>
      <c r="L1935" s="38">
        <v>46278</v>
      </c>
      <c r="M1935" s="23" t="s">
        <v>196</v>
      </c>
      <c r="N1935" s="23" t="str">
        <f>IF(COUNTIF($A$2:A1935,A1935)&gt;1,"DUP","OK")</f>
        <v>OK</v>
      </c>
      <c r="O1935" s="23" t="str">
        <f t="shared" si="91"/>
        <v>ORD26002712</v>
      </c>
      <c r="P1935" s="23" t="str">
        <f t="shared" si="92"/>
        <v>Sep</v>
      </c>
      <c r="Q1935" s="23" t="str">
        <f>IF(F1935="CAPTURE",IF(COUNTIF(orders!$A:$A,O1935)&gt;0,"Yes","NO ORDER"),"")</f>
        <v>Yes</v>
      </c>
    </row>
    <row r="1936" spans="1:17" ht="15" customHeight="1" x14ac:dyDescent="0.3">
      <c r="A1936" s="23" t="s">
        <v>14664</v>
      </c>
      <c r="B1936" s="23"/>
      <c r="C1936" s="23" t="s">
        <v>5942</v>
      </c>
      <c r="D1936" s="23" t="str">
        <f t="shared" si="90"/>
        <v>ORD26002723</v>
      </c>
      <c r="E1936" s="38">
        <v>46276</v>
      </c>
      <c r="F1936" s="23" t="s">
        <v>12410</v>
      </c>
      <c r="G1936" s="23" t="s">
        <v>79</v>
      </c>
      <c r="H1936" s="24">
        <v>5597</v>
      </c>
      <c r="I1936" s="24">
        <v>89.55</v>
      </c>
      <c r="J1936" s="24">
        <v>16.12</v>
      </c>
      <c r="K1936" s="24">
        <v>5491.33</v>
      </c>
      <c r="L1936" s="38">
        <v>46278</v>
      </c>
      <c r="M1936" s="23" t="s">
        <v>196</v>
      </c>
      <c r="N1936" s="23" t="str">
        <f>IF(COUNTIF($A$2:A1936,A1936)&gt;1,"DUP","OK")</f>
        <v>OK</v>
      </c>
      <c r="O1936" s="23" t="str">
        <f t="shared" si="91"/>
        <v>ORD26002723</v>
      </c>
      <c r="P1936" s="23" t="str">
        <f t="shared" si="92"/>
        <v>Sep</v>
      </c>
      <c r="Q1936" s="23" t="str">
        <f>IF(F1936="CAPTURE",IF(COUNTIF(orders!$A:$A,O1936)&gt;0,"Yes","NO ORDER"),"")</f>
        <v>Yes</v>
      </c>
    </row>
    <row r="1937" spans="1:17" ht="15" customHeight="1" x14ac:dyDescent="0.3">
      <c r="A1937" s="23" t="s">
        <v>14665</v>
      </c>
      <c r="B1937" s="23"/>
      <c r="C1937" s="23" t="s">
        <v>5954</v>
      </c>
      <c r="D1937" s="23" t="str">
        <f t="shared" si="90"/>
        <v>ORD26002729</v>
      </c>
      <c r="E1937" s="38">
        <v>46276</v>
      </c>
      <c r="F1937" s="23" t="s">
        <v>12410</v>
      </c>
      <c r="G1937" s="23" t="s">
        <v>75</v>
      </c>
      <c r="H1937" s="24">
        <v>1499</v>
      </c>
      <c r="I1937" s="24">
        <v>0</v>
      </c>
      <c r="J1937" s="24">
        <v>0</v>
      </c>
      <c r="K1937" s="24">
        <v>1499</v>
      </c>
      <c r="L1937" s="38">
        <v>46278</v>
      </c>
      <c r="M1937" s="23" t="s">
        <v>196</v>
      </c>
      <c r="N1937" s="23" t="str">
        <f>IF(COUNTIF($A$2:A1937,A1937)&gt;1,"DUP","OK")</f>
        <v>OK</v>
      </c>
      <c r="O1937" s="23" t="str">
        <f t="shared" si="91"/>
        <v>ORD26002729</v>
      </c>
      <c r="P1937" s="23" t="str">
        <f t="shared" si="92"/>
        <v>Sep</v>
      </c>
      <c r="Q1937" s="23" t="str">
        <f>IF(F1937="CAPTURE",IF(COUNTIF(orders!$A:$A,O1937)&gt;0,"Yes","NO ORDER"),"")</f>
        <v>Yes</v>
      </c>
    </row>
    <row r="1938" spans="1:17" ht="15" customHeight="1" x14ac:dyDescent="0.3">
      <c r="A1938" s="23" t="s">
        <v>14666</v>
      </c>
      <c r="B1938" s="23"/>
      <c r="C1938" s="23" t="s">
        <v>5980</v>
      </c>
      <c r="D1938" s="23" t="str">
        <f t="shared" si="90"/>
        <v>ORD26002742</v>
      </c>
      <c r="E1938" s="38">
        <v>46276</v>
      </c>
      <c r="F1938" s="23" t="s">
        <v>12410</v>
      </c>
      <c r="G1938" s="23" t="s">
        <v>81</v>
      </c>
      <c r="H1938" s="24">
        <v>2499</v>
      </c>
      <c r="I1938" s="24">
        <v>29.99</v>
      </c>
      <c r="J1938" s="24">
        <v>5.4</v>
      </c>
      <c r="K1938" s="24">
        <v>2463.61</v>
      </c>
      <c r="L1938" s="38">
        <v>46278</v>
      </c>
      <c r="M1938" s="23" t="s">
        <v>196</v>
      </c>
      <c r="N1938" s="23" t="str">
        <f>IF(COUNTIF($A$2:A1938,A1938)&gt;1,"DUP","OK")</f>
        <v>OK</v>
      </c>
      <c r="O1938" s="23" t="str">
        <f t="shared" si="91"/>
        <v>ORD26002742</v>
      </c>
      <c r="P1938" s="23" t="str">
        <f t="shared" si="92"/>
        <v>Sep</v>
      </c>
      <c r="Q1938" s="23" t="str">
        <f>IF(F1938="CAPTURE",IF(COUNTIF(orders!$A:$A,O1938)&gt;0,"Yes","NO ORDER"),"")</f>
        <v>Yes</v>
      </c>
    </row>
    <row r="1939" spans="1:17" ht="15" customHeight="1" x14ac:dyDescent="0.3">
      <c r="A1939" s="23" t="s">
        <v>14667</v>
      </c>
      <c r="B1939" s="23"/>
      <c r="C1939" s="23" t="s">
        <v>5997</v>
      </c>
      <c r="D1939" s="23" t="str">
        <f t="shared" si="90"/>
        <v>ORD26002750</v>
      </c>
      <c r="E1939" s="38">
        <v>46276</v>
      </c>
      <c r="F1939" s="23" t="s">
        <v>12410</v>
      </c>
      <c r="G1939" s="23" t="s">
        <v>75</v>
      </c>
      <c r="H1939" s="24">
        <v>1598</v>
      </c>
      <c r="I1939" s="24">
        <v>0</v>
      </c>
      <c r="J1939" s="24">
        <v>0</v>
      </c>
      <c r="K1939" s="24">
        <v>1598</v>
      </c>
      <c r="L1939" s="38">
        <v>46278</v>
      </c>
      <c r="M1939" s="23" t="s">
        <v>196</v>
      </c>
      <c r="N1939" s="23" t="str">
        <f>IF(COUNTIF($A$2:A1939,A1939)&gt;1,"DUP","OK")</f>
        <v>OK</v>
      </c>
      <c r="O1939" s="23" t="str">
        <f t="shared" si="91"/>
        <v>ORD26002750</v>
      </c>
      <c r="P1939" s="23" t="str">
        <f t="shared" si="92"/>
        <v>Sep</v>
      </c>
      <c r="Q1939" s="23" t="str">
        <f>IF(F1939="CAPTURE",IF(COUNTIF(orders!$A:$A,O1939)&gt;0,"Yes","NO ORDER"),"")</f>
        <v>Yes</v>
      </c>
    </row>
    <row r="1940" spans="1:17" ht="15" customHeight="1" x14ac:dyDescent="0.3">
      <c r="A1940" s="23" t="s">
        <v>14668</v>
      </c>
      <c r="B1940" s="23"/>
      <c r="C1940" s="23" t="s">
        <v>6001</v>
      </c>
      <c r="D1940" s="23" t="str">
        <f t="shared" si="90"/>
        <v>ORD26002752</v>
      </c>
      <c r="E1940" s="38">
        <v>46276</v>
      </c>
      <c r="F1940" s="23" t="s">
        <v>12410</v>
      </c>
      <c r="G1940" s="23" t="s">
        <v>81</v>
      </c>
      <c r="H1940" s="24">
        <v>7999</v>
      </c>
      <c r="I1940" s="24">
        <v>95.99</v>
      </c>
      <c r="J1940" s="24">
        <v>17.28</v>
      </c>
      <c r="K1940" s="24">
        <v>7885.73</v>
      </c>
      <c r="L1940" s="38">
        <v>46278</v>
      </c>
      <c r="M1940" s="23" t="s">
        <v>196</v>
      </c>
      <c r="N1940" s="23" t="str">
        <f>IF(COUNTIF($A$2:A1940,A1940)&gt;1,"DUP","OK")</f>
        <v>OK</v>
      </c>
      <c r="O1940" s="23" t="str">
        <f t="shared" si="91"/>
        <v>ORD26002752</v>
      </c>
      <c r="P1940" s="23" t="str">
        <f t="shared" si="92"/>
        <v>Sep</v>
      </c>
      <c r="Q1940" s="23" t="str">
        <f>IF(F1940="CAPTURE",IF(COUNTIF(orders!$A:$A,O1940)&gt;0,"Yes","NO ORDER"),"")</f>
        <v>Yes</v>
      </c>
    </row>
    <row r="1941" spans="1:17" ht="15" customHeight="1" x14ac:dyDescent="0.3">
      <c r="A1941" s="23" t="s">
        <v>14669</v>
      </c>
      <c r="B1941" s="23"/>
      <c r="C1941" s="23" t="s">
        <v>6140</v>
      </c>
      <c r="D1941" s="23" t="str">
        <f t="shared" si="90"/>
        <v>ORD26002821</v>
      </c>
      <c r="E1941" s="38">
        <v>46276</v>
      </c>
      <c r="F1941" s="23" t="s">
        <v>12410</v>
      </c>
      <c r="G1941" s="23" t="s">
        <v>75</v>
      </c>
      <c r="H1941" s="24">
        <v>2848</v>
      </c>
      <c r="I1941" s="24">
        <v>8.5399999999999991</v>
      </c>
      <c r="J1941" s="24">
        <v>1.54</v>
      </c>
      <c r="K1941" s="24">
        <v>2837.92</v>
      </c>
      <c r="L1941" s="38">
        <v>46278</v>
      </c>
      <c r="M1941" s="23" t="s">
        <v>196</v>
      </c>
      <c r="N1941" s="23" t="str">
        <f>IF(COUNTIF($A$2:A1941,A1941)&gt;1,"DUP","OK")</f>
        <v>OK</v>
      </c>
      <c r="O1941" s="23" t="str">
        <f t="shared" si="91"/>
        <v>ORD26002821</v>
      </c>
      <c r="P1941" s="23" t="str">
        <f t="shared" si="92"/>
        <v>Sep</v>
      </c>
      <c r="Q1941" s="23" t="str">
        <f>IF(F1941="CAPTURE",IF(COUNTIF(orders!$A:$A,O1941)&gt;0,"Yes","NO ORDER"),"")</f>
        <v>Yes</v>
      </c>
    </row>
    <row r="1942" spans="1:17" ht="15" customHeight="1" x14ac:dyDescent="0.3">
      <c r="A1942" s="23" t="s">
        <v>14670</v>
      </c>
      <c r="B1942" s="23"/>
      <c r="C1942" s="23" t="s">
        <v>6164</v>
      </c>
      <c r="D1942" s="23" t="str">
        <f t="shared" si="90"/>
        <v>ORD26002833</v>
      </c>
      <c r="E1942" s="38">
        <v>46276</v>
      </c>
      <c r="F1942" s="23" t="s">
        <v>12410</v>
      </c>
      <c r="G1942" s="23" t="s">
        <v>75</v>
      </c>
      <c r="H1942" s="24">
        <v>3348</v>
      </c>
      <c r="I1942" s="24">
        <v>10.039999999999999</v>
      </c>
      <c r="J1942" s="24">
        <v>1.81</v>
      </c>
      <c r="K1942" s="24">
        <v>3336.15</v>
      </c>
      <c r="L1942" s="38">
        <v>46278</v>
      </c>
      <c r="M1942" s="23" t="s">
        <v>196</v>
      </c>
      <c r="N1942" s="23" t="str">
        <f>IF(COUNTIF($A$2:A1942,A1942)&gt;1,"DUP","OK")</f>
        <v>OK</v>
      </c>
      <c r="O1942" s="23" t="str">
        <f t="shared" si="91"/>
        <v>ORD26002833</v>
      </c>
      <c r="P1942" s="23" t="str">
        <f t="shared" si="92"/>
        <v>Sep</v>
      </c>
      <c r="Q1942" s="23" t="str">
        <f>IF(F1942="CAPTURE",IF(COUNTIF(orders!$A:$A,O1942)&gt;0,"Yes","NO ORDER"),"")</f>
        <v>Yes</v>
      </c>
    </row>
    <row r="1943" spans="1:17" ht="15" customHeight="1" x14ac:dyDescent="0.3">
      <c r="A1943" s="23" t="s">
        <v>14671</v>
      </c>
      <c r="B1943" s="23"/>
      <c r="C1943" s="23" t="s">
        <v>14672</v>
      </c>
      <c r="D1943" s="23" t="str">
        <f t="shared" si="90"/>
        <v>ORD26002841</v>
      </c>
      <c r="E1943" s="38">
        <v>46276</v>
      </c>
      <c r="F1943" s="23" t="s">
        <v>12410</v>
      </c>
      <c r="G1943" s="23" t="s">
        <v>75</v>
      </c>
      <c r="H1943" s="24">
        <v>2647</v>
      </c>
      <c r="I1943" s="24">
        <v>7.94</v>
      </c>
      <c r="J1943" s="24">
        <v>1.43</v>
      </c>
      <c r="K1943" s="24">
        <v>2637.63</v>
      </c>
      <c r="L1943" s="38">
        <v>46278</v>
      </c>
      <c r="M1943" s="23" t="s">
        <v>196</v>
      </c>
      <c r="N1943" s="23" t="str">
        <f>IF(COUNTIF($A$2:A1943,A1943)&gt;1,"DUP","OK")</f>
        <v>OK</v>
      </c>
      <c r="O1943" s="23" t="str">
        <f t="shared" si="91"/>
        <v>ORD26002841</v>
      </c>
      <c r="P1943" s="23" t="str">
        <f t="shared" si="92"/>
        <v>Sep</v>
      </c>
      <c r="Q1943" s="23" t="str">
        <f>IF(F1943="CAPTURE",IF(COUNTIF(orders!$A:$A,O1943)&gt;0,"Yes","NO ORDER"),"")</f>
        <v>Yes</v>
      </c>
    </row>
    <row r="1944" spans="1:17" ht="15" customHeight="1" x14ac:dyDescent="0.3">
      <c r="A1944" s="23" t="s">
        <v>14673</v>
      </c>
      <c r="B1944" s="23"/>
      <c r="C1944" s="23" t="s">
        <v>6234</v>
      </c>
      <c r="D1944" s="23" t="str">
        <f t="shared" si="90"/>
        <v>ORD26002869</v>
      </c>
      <c r="E1944" s="38">
        <v>46276</v>
      </c>
      <c r="F1944" s="23" t="s">
        <v>12410</v>
      </c>
      <c r="G1944" s="23" t="s">
        <v>79</v>
      </c>
      <c r="H1944" s="24">
        <v>1299</v>
      </c>
      <c r="I1944" s="24">
        <v>23.38</v>
      </c>
      <c r="J1944" s="24">
        <v>4.21</v>
      </c>
      <c r="K1944" s="24">
        <v>1271.4100000000001</v>
      </c>
      <c r="L1944" s="38">
        <v>46278</v>
      </c>
      <c r="M1944" s="23" t="s">
        <v>196</v>
      </c>
      <c r="N1944" s="23" t="str">
        <f>IF(COUNTIF($A$2:A1944,A1944)&gt;1,"DUP","OK")</f>
        <v>OK</v>
      </c>
      <c r="O1944" s="23" t="str">
        <f t="shared" si="91"/>
        <v>ORD26002869</v>
      </c>
      <c r="P1944" s="23" t="str">
        <f t="shared" si="92"/>
        <v>Sep</v>
      </c>
      <c r="Q1944" s="23" t="str">
        <f>IF(F1944="CAPTURE",IF(COUNTIF(orders!$A:$A,O1944)&gt;0,"Yes","NO ORDER"),"")</f>
        <v>Yes</v>
      </c>
    </row>
    <row r="1945" spans="1:17" ht="15" customHeight="1" x14ac:dyDescent="0.3">
      <c r="A1945" s="23" t="s">
        <v>14674</v>
      </c>
      <c r="B1945" s="23"/>
      <c r="C1945" s="23" t="s">
        <v>6298</v>
      </c>
      <c r="D1945" s="23" t="str">
        <f t="shared" si="90"/>
        <v>ORD26002902</v>
      </c>
      <c r="E1945" s="38">
        <v>46276</v>
      </c>
      <c r="F1945" s="23" t="s">
        <v>12410</v>
      </c>
      <c r="G1945" s="23" t="s">
        <v>77</v>
      </c>
      <c r="H1945" s="24">
        <v>3897</v>
      </c>
      <c r="I1945" s="24">
        <v>66.25</v>
      </c>
      <c r="J1945" s="24">
        <v>11.93</v>
      </c>
      <c r="K1945" s="24">
        <v>3818.82</v>
      </c>
      <c r="L1945" s="38">
        <v>46278</v>
      </c>
      <c r="M1945" s="23" t="s">
        <v>196</v>
      </c>
      <c r="N1945" s="23" t="str">
        <f>IF(COUNTIF($A$2:A1945,A1945)&gt;1,"DUP","OK")</f>
        <v>OK</v>
      </c>
      <c r="O1945" s="23" t="str">
        <f t="shared" si="91"/>
        <v>ORD26002902</v>
      </c>
      <c r="P1945" s="23" t="str">
        <f t="shared" si="92"/>
        <v>Sep</v>
      </c>
      <c r="Q1945" s="23" t="str">
        <f>IF(F1945="CAPTURE",IF(COUNTIF(orders!$A:$A,O1945)&gt;0,"Yes","NO ORDER"),"")</f>
        <v>Yes</v>
      </c>
    </row>
    <row r="1946" spans="1:17" ht="15" customHeight="1" x14ac:dyDescent="0.3">
      <c r="A1946" s="23" t="s">
        <v>14675</v>
      </c>
      <c r="B1946" s="23"/>
      <c r="C1946" s="23" t="s">
        <v>6321</v>
      </c>
      <c r="D1946" s="23" t="str">
        <f t="shared" si="90"/>
        <v>ORD26002913</v>
      </c>
      <c r="E1946" s="38">
        <v>46276</v>
      </c>
      <c r="F1946" s="23" t="s">
        <v>12410</v>
      </c>
      <c r="G1946" s="23" t="s">
        <v>75</v>
      </c>
      <c r="H1946" s="24">
        <v>1499</v>
      </c>
      <c r="I1946" s="24">
        <v>0</v>
      </c>
      <c r="J1946" s="24">
        <v>0</v>
      </c>
      <c r="K1946" s="24">
        <v>1499</v>
      </c>
      <c r="L1946" s="38">
        <v>46278</v>
      </c>
      <c r="M1946" s="23" t="s">
        <v>196</v>
      </c>
      <c r="N1946" s="23" t="str">
        <f>IF(COUNTIF($A$2:A1946,A1946)&gt;1,"DUP","OK")</f>
        <v>OK</v>
      </c>
      <c r="O1946" s="23" t="str">
        <f t="shared" si="91"/>
        <v>ORD26002913</v>
      </c>
      <c r="P1946" s="23" t="str">
        <f t="shared" si="92"/>
        <v>Sep</v>
      </c>
      <c r="Q1946" s="23" t="str">
        <f>IF(F1946="CAPTURE",IF(COUNTIF(orders!$A:$A,O1946)&gt;0,"Yes","NO ORDER"),"")</f>
        <v>Yes</v>
      </c>
    </row>
    <row r="1947" spans="1:17" ht="15" customHeight="1" x14ac:dyDescent="0.3">
      <c r="A1947" s="23" t="s">
        <v>14676</v>
      </c>
      <c r="B1947" s="23"/>
      <c r="C1947" s="23" t="s">
        <v>14677</v>
      </c>
      <c r="D1947" s="23" t="str">
        <f t="shared" si="90"/>
        <v>ORD26002963</v>
      </c>
      <c r="E1947" s="38">
        <v>46276</v>
      </c>
      <c r="F1947" s="23" t="s">
        <v>12410</v>
      </c>
      <c r="G1947" s="23" t="s">
        <v>79</v>
      </c>
      <c r="H1947" s="24">
        <v>2097</v>
      </c>
      <c r="I1947" s="24">
        <v>33.549999999999997</v>
      </c>
      <c r="J1947" s="24">
        <v>6.04</v>
      </c>
      <c r="K1947" s="24">
        <v>2057.41</v>
      </c>
      <c r="L1947" s="38">
        <v>46278</v>
      </c>
      <c r="M1947" s="23" t="s">
        <v>196</v>
      </c>
      <c r="N1947" s="23" t="str">
        <f>IF(COUNTIF($A$2:A1947,A1947)&gt;1,"DUP","OK")</f>
        <v>OK</v>
      </c>
      <c r="O1947" s="23" t="str">
        <f t="shared" si="91"/>
        <v>ORD26002963</v>
      </c>
      <c r="P1947" s="23" t="str">
        <f t="shared" si="92"/>
        <v>Sep</v>
      </c>
      <c r="Q1947" s="23" t="str">
        <f>IF(F1947="CAPTURE",IF(COUNTIF(orders!$A:$A,O1947)&gt;0,"Yes","NO ORDER"),"")</f>
        <v>Yes</v>
      </c>
    </row>
    <row r="1948" spans="1:17" ht="15" customHeight="1" x14ac:dyDescent="0.3">
      <c r="A1948" s="23" t="s">
        <v>14678</v>
      </c>
      <c r="B1948" s="23"/>
      <c r="C1948" s="23" t="s">
        <v>6486</v>
      </c>
      <c r="D1948" s="23" t="str">
        <f t="shared" si="90"/>
        <v>ORD26002996</v>
      </c>
      <c r="E1948" s="38">
        <v>46276</v>
      </c>
      <c r="F1948" s="23" t="s">
        <v>12410</v>
      </c>
      <c r="G1948" s="23" t="s">
        <v>75</v>
      </c>
      <c r="H1948" s="24">
        <v>3447</v>
      </c>
      <c r="I1948" s="24">
        <v>10.34</v>
      </c>
      <c r="J1948" s="24">
        <v>1.86</v>
      </c>
      <c r="K1948" s="24">
        <v>3434.8</v>
      </c>
      <c r="L1948" s="38">
        <v>46278</v>
      </c>
      <c r="M1948" s="23" t="s">
        <v>196</v>
      </c>
      <c r="N1948" s="23" t="str">
        <f>IF(COUNTIF($A$2:A1948,A1948)&gt;1,"DUP","OK")</f>
        <v>OK</v>
      </c>
      <c r="O1948" s="23" t="str">
        <f t="shared" si="91"/>
        <v>ORD26002996</v>
      </c>
      <c r="P1948" s="23" t="str">
        <f t="shared" si="92"/>
        <v>Sep</v>
      </c>
      <c r="Q1948" s="23" t="str">
        <f>IF(F1948="CAPTURE",IF(COUNTIF(orders!$A:$A,O1948)&gt;0,"Yes","NO ORDER"),"")</f>
        <v>Yes</v>
      </c>
    </row>
    <row r="1949" spans="1:17" ht="15" customHeight="1" x14ac:dyDescent="0.3">
      <c r="A1949" s="23" t="s">
        <v>14679</v>
      </c>
      <c r="B1949" s="23"/>
      <c r="C1949" s="23" t="s">
        <v>6502</v>
      </c>
      <c r="D1949" s="23" t="str">
        <f t="shared" si="90"/>
        <v>ORD26003004</v>
      </c>
      <c r="E1949" s="38">
        <v>46276</v>
      </c>
      <c r="F1949" s="23" t="s">
        <v>12410</v>
      </c>
      <c r="G1949" s="23" t="s">
        <v>75</v>
      </c>
      <c r="H1949" s="24">
        <v>599</v>
      </c>
      <c r="I1949" s="24">
        <v>0</v>
      </c>
      <c r="J1949" s="24">
        <v>0</v>
      </c>
      <c r="K1949" s="24">
        <v>599</v>
      </c>
      <c r="L1949" s="38">
        <v>46278</v>
      </c>
      <c r="M1949" s="23" t="s">
        <v>196</v>
      </c>
      <c r="N1949" s="23" t="str">
        <f>IF(COUNTIF($A$2:A1949,A1949)&gt;1,"DUP","OK")</f>
        <v>OK</v>
      </c>
      <c r="O1949" s="23" t="str">
        <f t="shared" si="91"/>
        <v>ORD26003004</v>
      </c>
      <c r="P1949" s="23" t="str">
        <f t="shared" si="92"/>
        <v>Sep</v>
      </c>
      <c r="Q1949" s="23" t="str">
        <f>IF(F1949="CAPTURE",IF(COUNTIF(orders!$A:$A,O1949)&gt;0,"Yes","NO ORDER"),"")</f>
        <v>Yes</v>
      </c>
    </row>
    <row r="1950" spans="1:17" ht="15" customHeight="1" x14ac:dyDescent="0.3">
      <c r="A1950" s="23" t="s">
        <v>14680</v>
      </c>
      <c r="B1950" s="23"/>
      <c r="C1950" s="23" t="s">
        <v>6506</v>
      </c>
      <c r="D1950" s="23" t="str">
        <f t="shared" si="90"/>
        <v>ORD26003006</v>
      </c>
      <c r="E1950" s="38">
        <v>46276</v>
      </c>
      <c r="F1950" s="23" t="s">
        <v>12410</v>
      </c>
      <c r="G1950" s="23" t="s">
        <v>75</v>
      </c>
      <c r="H1950" s="24">
        <v>1499</v>
      </c>
      <c r="I1950" s="24">
        <v>0</v>
      </c>
      <c r="J1950" s="24">
        <v>0</v>
      </c>
      <c r="K1950" s="24">
        <v>1499</v>
      </c>
      <c r="L1950" s="38">
        <v>46278</v>
      </c>
      <c r="M1950" s="23" t="s">
        <v>196</v>
      </c>
      <c r="N1950" s="23" t="str">
        <f>IF(COUNTIF($A$2:A1950,A1950)&gt;1,"DUP","OK")</f>
        <v>OK</v>
      </c>
      <c r="O1950" s="23" t="str">
        <f t="shared" si="91"/>
        <v>ORD26003006</v>
      </c>
      <c r="P1950" s="23" t="str">
        <f t="shared" si="92"/>
        <v>Sep</v>
      </c>
      <c r="Q1950" s="23" t="str">
        <f>IF(F1950="CAPTURE",IF(COUNTIF(orders!$A:$A,O1950)&gt;0,"Yes","NO ORDER"),"")</f>
        <v>Yes</v>
      </c>
    </row>
    <row r="1951" spans="1:17" ht="15" customHeight="1" x14ac:dyDescent="0.3">
      <c r="A1951" s="23" t="s">
        <v>14681</v>
      </c>
      <c r="B1951" s="23"/>
      <c r="C1951" s="23" t="s">
        <v>6697</v>
      </c>
      <c r="D1951" s="23" t="str">
        <f t="shared" si="90"/>
        <v>ORD26003100</v>
      </c>
      <c r="E1951" s="38">
        <v>46276</v>
      </c>
      <c r="F1951" s="23" t="s">
        <v>12410</v>
      </c>
      <c r="G1951" s="23" t="s">
        <v>75</v>
      </c>
      <c r="H1951" s="24">
        <v>5798</v>
      </c>
      <c r="I1951" s="24">
        <v>17.39</v>
      </c>
      <c r="J1951" s="24">
        <v>3.13</v>
      </c>
      <c r="K1951" s="24">
        <v>5777.48</v>
      </c>
      <c r="L1951" s="38">
        <v>46278</v>
      </c>
      <c r="M1951" s="23" t="s">
        <v>196</v>
      </c>
      <c r="N1951" s="23" t="str">
        <f>IF(COUNTIF($A$2:A1951,A1951)&gt;1,"DUP","OK")</f>
        <v>OK</v>
      </c>
      <c r="O1951" s="23" t="str">
        <f t="shared" si="91"/>
        <v>ORD26003100</v>
      </c>
      <c r="P1951" s="23" t="str">
        <f t="shared" si="92"/>
        <v>Sep</v>
      </c>
      <c r="Q1951" s="23" t="str">
        <f>IF(F1951="CAPTURE",IF(COUNTIF(orders!$A:$A,O1951)&gt;0,"Yes","NO ORDER"),"")</f>
        <v>Yes</v>
      </c>
    </row>
    <row r="1952" spans="1:17" ht="15" customHeight="1" x14ac:dyDescent="0.3">
      <c r="A1952" s="23" t="s">
        <v>14682</v>
      </c>
      <c r="B1952" s="23"/>
      <c r="C1952" s="23" t="s">
        <v>6779</v>
      </c>
      <c r="D1952" s="23" t="str">
        <f t="shared" si="90"/>
        <v>ORD26003141</v>
      </c>
      <c r="E1952" s="38">
        <v>46276</v>
      </c>
      <c r="F1952" s="23" t="s">
        <v>12410</v>
      </c>
      <c r="G1952" s="23" t="s">
        <v>75</v>
      </c>
      <c r="H1952" s="24">
        <v>6147</v>
      </c>
      <c r="I1952" s="24">
        <v>18.440000000000001</v>
      </c>
      <c r="J1952" s="24">
        <v>3.32</v>
      </c>
      <c r="K1952" s="24">
        <v>6125.24</v>
      </c>
      <c r="L1952" s="38">
        <v>46278</v>
      </c>
      <c r="M1952" s="23" t="s">
        <v>196</v>
      </c>
      <c r="N1952" s="23" t="str">
        <f>IF(COUNTIF($A$2:A1952,A1952)&gt;1,"DUP","OK")</f>
        <v>OK</v>
      </c>
      <c r="O1952" s="23" t="str">
        <f t="shared" si="91"/>
        <v>ORD26003141</v>
      </c>
      <c r="P1952" s="23" t="str">
        <f t="shared" si="92"/>
        <v>Sep</v>
      </c>
      <c r="Q1952" s="23" t="str">
        <f>IF(F1952="CAPTURE",IF(COUNTIF(orders!$A:$A,O1952)&gt;0,"Yes","NO ORDER"),"")</f>
        <v>Yes</v>
      </c>
    </row>
    <row r="1953" spans="1:17" ht="15" customHeight="1" x14ac:dyDescent="0.3">
      <c r="A1953" s="23" t="s">
        <v>14683</v>
      </c>
      <c r="B1953" s="23"/>
      <c r="C1953" s="23" t="s">
        <v>6833</v>
      </c>
      <c r="D1953" s="23" t="str">
        <f t="shared" si="90"/>
        <v>ORD26003168</v>
      </c>
      <c r="E1953" s="38">
        <v>46276</v>
      </c>
      <c r="F1953" s="23" t="s">
        <v>12410</v>
      </c>
      <c r="G1953" s="23" t="s">
        <v>79</v>
      </c>
      <c r="H1953" s="24">
        <v>1499</v>
      </c>
      <c r="I1953" s="24">
        <v>26.98</v>
      </c>
      <c r="J1953" s="24">
        <v>4.8600000000000003</v>
      </c>
      <c r="K1953" s="24">
        <v>1467.16</v>
      </c>
      <c r="L1953" s="38">
        <v>46278</v>
      </c>
      <c r="M1953" s="23" t="s">
        <v>196</v>
      </c>
      <c r="N1953" s="23" t="str">
        <f>IF(COUNTIF($A$2:A1953,A1953)&gt;1,"DUP","OK")</f>
        <v>OK</v>
      </c>
      <c r="O1953" s="23" t="str">
        <f t="shared" si="91"/>
        <v>ORD26003168</v>
      </c>
      <c r="P1953" s="23" t="str">
        <f t="shared" si="92"/>
        <v>Sep</v>
      </c>
      <c r="Q1953" s="23" t="str">
        <f>IF(F1953="CAPTURE",IF(COUNTIF(orders!$A:$A,O1953)&gt;0,"Yes","NO ORDER"),"")</f>
        <v>Yes</v>
      </c>
    </row>
    <row r="1954" spans="1:17" ht="15" customHeight="1" x14ac:dyDescent="0.3">
      <c r="A1954" s="23" t="s">
        <v>14684</v>
      </c>
      <c r="B1954" s="23"/>
      <c r="C1954" s="23" t="s">
        <v>6919</v>
      </c>
      <c r="D1954" s="23" t="str">
        <f t="shared" si="90"/>
        <v>ORD26003211</v>
      </c>
      <c r="E1954" s="38">
        <v>46276</v>
      </c>
      <c r="F1954" s="23" t="s">
        <v>12410</v>
      </c>
      <c r="G1954" s="23" t="s">
        <v>75</v>
      </c>
      <c r="H1954" s="24">
        <v>599</v>
      </c>
      <c r="I1954" s="24">
        <v>0</v>
      </c>
      <c r="J1954" s="24">
        <v>0</v>
      </c>
      <c r="K1954" s="24">
        <v>599</v>
      </c>
      <c r="L1954" s="38">
        <v>46278</v>
      </c>
      <c r="M1954" s="23" t="s">
        <v>196</v>
      </c>
      <c r="N1954" s="23" t="str">
        <f>IF(COUNTIF($A$2:A1954,A1954)&gt;1,"DUP","OK")</f>
        <v>OK</v>
      </c>
      <c r="O1954" s="23" t="str">
        <f t="shared" si="91"/>
        <v>ORD26003211</v>
      </c>
      <c r="P1954" s="23" t="str">
        <f t="shared" si="92"/>
        <v>Sep</v>
      </c>
      <c r="Q1954" s="23" t="str">
        <f>IF(F1954="CAPTURE",IF(COUNTIF(orders!$A:$A,O1954)&gt;0,"Yes","NO ORDER"),"")</f>
        <v>Yes</v>
      </c>
    </row>
    <row r="1955" spans="1:17" ht="15" customHeight="1" x14ac:dyDescent="0.3">
      <c r="A1955" s="23" t="s">
        <v>14685</v>
      </c>
      <c r="B1955" s="23"/>
      <c r="C1955" s="23" t="s">
        <v>7009</v>
      </c>
      <c r="D1955" s="23" t="str">
        <f t="shared" si="90"/>
        <v>ORD26003255</v>
      </c>
      <c r="E1955" s="38">
        <v>46276</v>
      </c>
      <c r="F1955" s="23" t="s">
        <v>12410</v>
      </c>
      <c r="G1955" s="23" t="s">
        <v>79</v>
      </c>
      <c r="H1955" s="24">
        <v>5297</v>
      </c>
      <c r="I1955" s="24">
        <v>84.75</v>
      </c>
      <c r="J1955" s="24">
        <v>15.26</v>
      </c>
      <c r="K1955" s="24">
        <v>5196.99</v>
      </c>
      <c r="L1955" s="38">
        <v>46278</v>
      </c>
      <c r="M1955" s="23" t="s">
        <v>196</v>
      </c>
      <c r="N1955" s="23" t="str">
        <f>IF(COUNTIF($A$2:A1955,A1955)&gt;1,"DUP","OK")</f>
        <v>OK</v>
      </c>
      <c r="O1955" s="23" t="str">
        <f t="shared" si="91"/>
        <v>ORD26003255</v>
      </c>
      <c r="P1955" s="23" t="str">
        <f t="shared" si="92"/>
        <v>Sep</v>
      </c>
      <c r="Q1955" s="23" t="str">
        <f>IF(F1955="CAPTURE",IF(COUNTIF(orders!$A:$A,O1955)&gt;0,"Yes","NO ORDER"),"")</f>
        <v>Yes</v>
      </c>
    </row>
    <row r="1956" spans="1:17" ht="15" customHeight="1" x14ac:dyDescent="0.3">
      <c r="A1956" s="23" t="s">
        <v>14686</v>
      </c>
      <c r="B1956" s="23"/>
      <c r="C1956" s="23" t="s">
        <v>7056</v>
      </c>
      <c r="D1956" s="23" t="str">
        <f t="shared" si="90"/>
        <v>ORD26003279</v>
      </c>
      <c r="E1956" s="38">
        <v>46276</v>
      </c>
      <c r="F1956" s="23" t="s">
        <v>12410</v>
      </c>
      <c r="G1956" s="23" t="s">
        <v>81</v>
      </c>
      <c r="H1956" s="24">
        <v>5498</v>
      </c>
      <c r="I1956" s="24">
        <v>65.98</v>
      </c>
      <c r="J1956" s="24">
        <v>11.88</v>
      </c>
      <c r="K1956" s="24">
        <v>5420.14</v>
      </c>
      <c r="L1956" s="38">
        <v>46278</v>
      </c>
      <c r="M1956" s="23" t="s">
        <v>196</v>
      </c>
      <c r="N1956" s="23" t="str">
        <f>IF(COUNTIF($A$2:A1956,A1956)&gt;1,"DUP","OK")</f>
        <v>OK</v>
      </c>
      <c r="O1956" s="23" t="str">
        <f t="shared" si="91"/>
        <v>ORD26003279</v>
      </c>
      <c r="P1956" s="23" t="str">
        <f t="shared" si="92"/>
        <v>Sep</v>
      </c>
      <c r="Q1956" s="23" t="str">
        <f>IF(F1956="CAPTURE",IF(COUNTIF(orders!$A:$A,O1956)&gt;0,"Yes","NO ORDER"),"")</f>
        <v>Yes</v>
      </c>
    </row>
    <row r="1957" spans="1:17" ht="15" customHeight="1" x14ac:dyDescent="0.3">
      <c r="A1957" s="23" t="s">
        <v>14687</v>
      </c>
      <c r="B1957" s="23"/>
      <c r="C1957" s="23" t="s">
        <v>14688</v>
      </c>
      <c r="D1957" s="23" t="str">
        <f t="shared" si="90"/>
        <v>ORD26003296</v>
      </c>
      <c r="E1957" s="38">
        <v>46276</v>
      </c>
      <c r="F1957" s="23" t="s">
        <v>12410</v>
      </c>
      <c r="G1957" s="23" t="s">
        <v>75</v>
      </c>
      <c r="H1957" s="24">
        <v>898</v>
      </c>
      <c r="I1957" s="24">
        <v>2.69</v>
      </c>
      <c r="J1957" s="24">
        <v>0.48</v>
      </c>
      <c r="K1957" s="24">
        <v>894.83</v>
      </c>
      <c r="L1957" s="38">
        <v>46278</v>
      </c>
      <c r="M1957" s="23" t="s">
        <v>196</v>
      </c>
      <c r="N1957" s="23" t="str">
        <f>IF(COUNTIF($A$2:A1957,A1957)&gt;1,"DUP","OK")</f>
        <v>OK</v>
      </c>
      <c r="O1957" s="23" t="str">
        <f t="shared" si="91"/>
        <v>ORD26003296</v>
      </c>
      <c r="P1957" s="23" t="str">
        <f t="shared" si="92"/>
        <v>Sep</v>
      </c>
      <c r="Q1957" s="23" t="str">
        <f>IF(F1957="CAPTURE",IF(COUNTIF(orders!$A:$A,O1957)&gt;0,"Yes","NO ORDER"),"")</f>
        <v>Yes</v>
      </c>
    </row>
    <row r="1958" spans="1:17" ht="15" customHeight="1" x14ac:dyDescent="0.3">
      <c r="A1958" s="23" t="s">
        <v>14689</v>
      </c>
      <c r="B1958" s="23"/>
      <c r="C1958" s="23" t="s">
        <v>7102</v>
      </c>
      <c r="D1958" s="23" t="str">
        <f t="shared" si="90"/>
        <v>ORD26003302</v>
      </c>
      <c r="E1958" s="38">
        <v>46276</v>
      </c>
      <c r="F1958" s="23" t="s">
        <v>12410</v>
      </c>
      <c r="G1958" s="23" t="s">
        <v>81</v>
      </c>
      <c r="H1958" s="24">
        <v>5097</v>
      </c>
      <c r="I1958" s="24">
        <v>61.16</v>
      </c>
      <c r="J1958" s="24">
        <v>11.01</v>
      </c>
      <c r="K1958" s="24">
        <v>5024.83</v>
      </c>
      <c r="L1958" s="38">
        <v>46278</v>
      </c>
      <c r="M1958" s="23" t="s">
        <v>196</v>
      </c>
      <c r="N1958" s="23" t="str">
        <f>IF(COUNTIF($A$2:A1958,A1958)&gt;1,"DUP","OK")</f>
        <v>OK</v>
      </c>
      <c r="O1958" s="23" t="str">
        <f t="shared" si="91"/>
        <v>ORD26003302</v>
      </c>
      <c r="P1958" s="23" t="str">
        <f t="shared" si="92"/>
        <v>Sep</v>
      </c>
      <c r="Q1958" s="23" t="str">
        <f>IF(F1958="CAPTURE",IF(COUNTIF(orders!$A:$A,O1958)&gt;0,"Yes","NO ORDER"),"")</f>
        <v>Yes</v>
      </c>
    </row>
    <row r="1959" spans="1:17" ht="15" customHeight="1" x14ac:dyDescent="0.3">
      <c r="A1959" s="23" t="s">
        <v>14690</v>
      </c>
      <c r="B1959" s="23"/>
      <c r="C1959" s="23" t="s">
        <v>7106</v>
      </c>
      <c r="D1959" s="23" t="str">
        <f t="shared" si="90"/>
        <v>ORD26003304</v>
      </c>
      <c r="E1959" s="38">
        <v>46276</v>
      </c>
      <c r="F1959" s="23" t="s">
        <v>12410</v>
      </c>
      <c r="G1959" s="23" t="s">
        <v>75</v>
      </c>
      <c r="H1959" s="24">
        <v>7999</v>
      </c>
      <c r="I1959" s="24">
        <v>24</v>
      </c>
      <c r="J1959" s="24">
        <v>4.32</v>
      </c>
      <c r="K1959" s="24">
        <v>7970.68</v>
      </c>
      <c r="L1959" s="38">
        <v>46278</v>
      </c>
      <c r="M1959" s="23" t="s">
        <v>196</v>
      </c>
      <c r="N1959" s="23" t="str">
        <f>IF(COUNTIF($A$2:A1959,A1959)&gt;1,"DUP","OK")</f>
        <v>OK</v>
      </c>
      <c r="O1959" s="23" t="str">
        <f t="shared" si="91"/>
        <v>ORD26003304</v>
      </c>
      <c r="P1959" s="23" t="str">
        <f t="shared" si="92"/>
        <v>Sep</v>
      </c>
      <c r="Q1959" s="23" t="str">
        <f>IF(F1959="CAPTURE",IF(COUNTIF(orders!$A:$A,O1959)&gt;0,"Yes","NO ORDER"),"")</f>
        <v>Yes</v>
      </c>
    </row>
    <row r="1960" spans="1:17" ht="15" customHeight="1" x14ac:dyDescent="0.3">
      <c r="A1960" s="23" t="s">
        <v>14691</v>
      </c>
      <c r="B1960" s="23"/>
      <c r="C1960" s="23" t="s">
        <v>7186</v>
      </c>
      <c r="D1960" s="23" t="str">
        <f t="shared" si="90"/>
        <v>ORD26003344</v>
      </c>
      <c r="E1960" s="38">
        <v>46276</v>
      </c>
      <c r="F1960" s="23" t="s">
        <v>12410</v>
      </c>
      <c r="G1960" s="23" t="s">
        <v>75</v>
      </c>
      <c r="H1960" s="24">
        <v>15998</v>
      </c>
      <c r="I1960" s="24">
        <v>47.99</v>
      </c>
      <c r="J1960" s="24">
        <v>8.64</v>
      </c>
      <c r="K1960" s="24">
        <v>15941.37</v>
      </c>
      <c r="L1960" s="38">
        <v>46278</v>
      </c>
      <c r="M1960" s="23" t="s">
        <v>196</v>
      </c>
      <c r="N1960" s="23" t="str">
        <f>IF(COUNTIF($A$2:A1960,A1960)&gt;1,"DUP","OK")</f>
        <v>OK</v>
      </c>
      <c r="O1960" s="23" t="str">
        <f t="shared" si="91"/>
        <v>ORD26003344</v>
      </c>
      <c r="P1960" s="23" t="str">
        <f t="shared" si="92"/>
        <v>Sep</v>
      </c>
      <c r="Q1960" s="23" t="str">
        <f>IF(F1960="CAPTURE",IF(COUNTIF(orders!$A:$A,O1960)&gt;0,"Yes","NO ORDER"),"")</f>
        <v>Yes</v>
      </c>
    </row>
    <row r="1961" spans="1:17" ht="15" customHeight="1" x14ac:dyDescent="0.3">
      <c r="A1961" s="23" t="s">
        <v>14692</v>
      </c>
      <c r="B1961" s="23"/>
      <c r="C1961" s="23" t="s">
        <v>7349</v>
      </c>
      <c r="D1961" s="23" t="str">
        <f t="shared" si="90"/>
        <v>ORD26003425</v>
      </c>
      <c r="E1961" s="38">
        <v>46276</v>
      </c>
      <c r="F1961" s="23" t="s">
        <v>12410</v>
      </c>
      <c r="G1961" s="23" t="s">
        <v>75</v>
      </c>
      <c r="H1961" s="24">
        <v>599</v>
      </c>
      <c r="I1961" s="24">
        <v>0</v>
      </c>
      <c r="J1961" s="24">
        <v>0</v>
      </c>
      <c r="K1961" s="24">
        <v>599</v>
      </c>
      <c r="L1961" s="38">
        <v>46278</v>
      </c>
      <c r="M1961" s="23" t="s">
        <v>196</v>
      </c>
      <c r="N1961" s="23" t="str">
        <f>IF(COUNTIF($A$2:A1961,A1961)&gt;1,"DUP","OK")</f>
        <v>OK</v>
      </c>
      <c r="O1961" s="23" t="str">
        <f t="shared" si="91"/>
        <v>ORD26003425</v>
      </c>
      <c r="P1961" s="23" t="str">
        <f t="shared" si="92"/>
        <v>Sep</v>
      </c>
      <c r="Q1961" s="23" t="str">
        <f>IF(F1961="CAPTURE",IF(COUNTIF(orders!$A:$A,O1961)&gt;0,"Yes","NO ORDER"),"")</f>
        <v>Yes</v>
      </c>
    </row>
    <row r="1962" spans="1:17" ht="15" customHeight="1" x14ac:dyDescent="0.3">
      <c r="A1962" s="23" t="s">
        <v>14693</v>
      </c>
      <c r="B1962" s="23"/>
      <c r="C1962" s="23" t="s">
        <v>7406</v>
      </c>
      <c r="D1962" s="23" t="str">
        <f t="shared" si="90"/>
        <v>ORD26003453</v>
      </c>
      <c r="E1962" s="38">
        <v>46276</v>
      </c>
      <c r="F1962" s="23" t="s">
        <v>12410</v>
      </c>
      <c r="G1962" s="23" t="s">
        <v>81</v>
      </c>
      <c r="H1962" s="24">
        <v>8297</v>
      </c>
      <c r="I1962" s="24">
        <v>99.56</v>
      </c>
      <c r="J1962" s="24">
        <v>17.920000000000002</v>
      </c>
      <c r="K1962" s="24">
        <v>8179.52</v>
      </c>
      <c r="L1962" s="38">
        <v>46278</v>
      </c>
      <c r="M1962" s="23" t="s">
        <v>196</v>
      </c>
      <c r="N1962" s="23" t="str">
        <f>IF(COUNTIF($A$2:A1962,A1962)&gt;1,"DUP","OK")</f>
        <v>OK</v>
      </c>
      <c r="O1962" s="23" t="str">
        <f t="shared" si="91"/>
        <v>ORD26003453</v>
      </c>
      <c r="P1962" s="23" t="str">
        <f t="shared" si="92"/>
        <v>Sep</v>
      </c>
      <c r="Q1962" s="23" t="str">
        <f>IF(F1962="CAPTURE",IF(COUNTIF(orders!$A:$A,O1962)&gt;0,"Yes","NO ORDER"),"")</f>
        <v>Yes</v>
      </c>
    </row>
    <row r="1963" spans="1:17" ht="15" customHeight="1" x14ac:dyDescent="0.3">
      <c r="A1963" s="23" t="s">
        <v>14694</v>
      </c>
      <c r="B1963" s="23"/>
      <c r="C1963" s="23" t="s">
        <v>7500</v>
      </c>
      <c r="D1963" s="23" t="str">
        <f t="shared" si="90"/>
        <v>ORD26003501</v>
      </c>
      <c r="E1963" s="38">
        <v>46276</v>
      </c>
      <c r="F1963" s="23" t="s">
        <v>12410</v>
      </c>
      <c r="G1963" s="23" t="s">
        <v>79</v>
      </c>
      <c r="H1963" s="24">
        <v>599</v>
      </c>
      <c r="I1963" s="24">
        <v>10.78</v>
      </c>
      <c r="J1963" s="24">
        <v>1.94</v>
      </c>
      <c r="K1963" s="24">
        <v>586.28</v>
      </c>
      <c r="L1963" s="38">
        <v>46278</v>
      </c>
      <c r="M1963" s="23" t="s">
        <v>196</v>
      </c>
      <c r="N1963" s="23" t="str">
        <f>IF(COUNTIF($A$2:A1963,A1963)&gt;1,"DUP","OK")</f>
        <v>OK</v>
      </c>
      <c r="O1963" s="23" t="str">
        <f t="shared" si="91"/>
        <v>ORD26003501</v>
      </c>
      <c r="P1963" s="23" t="str">
        <f t="shared" si="92"/>
        <v>Sep</v>
      </c>
      <c r="Q1963" s="23" t="str">
        <f>IF(F1963="CAPTURE",IF(COUNTIF(orders!$A:$A,O1963)&gt;0,"Yes","NO ORDER"),"")</f>
        <v>Yes</v>
      </c>
    </row>
    <row r="1964" spans="1:17" ht="15" customHeight="1" x14ac:dyDescent="0.3">
      <c r="A1964" s="23" t="s">
        <v>14695</v>
      </c>
      <c r="B1964" s="23"/>
      <c r="C1964" s="23" t="s">
        <v>7613</v>
      </c>
      <c r="D1964" s="23" t="str">
        <f t="shared" si="90"/>
        <v>ORD26003559</v>
      </c>
      <c r="E1964" s="38">
        <v>46276</v>
      </c>
      <c r="F1964" s="23" t="s">
        <v>12410</v>
      </c>
      <c r="G1964" s="23" t="s">
        <v>79</v>
      </c>
      <c r="H1964" s="24">
        <v>2999</v>
      </c>
      <c r="I1964" s="24">
        <v>47.98</v>
      </c>
      <c r="J1964" s="24">
        <v>8.64</v>
      </c>
      <c r="K1964" s="24">
        <v>2942.38</v>
      </c>
      <c r="L1964" s="38">
        <v>46278</v>
      </c>
      <c r="M1964" s="23" t="s">
        <v>196</v>
      </c>
      <c r="N1964" s="23" t="str">
        <f>IF(COUNTIF($A$2:A1964,A1964)&gt;1,"DUP","OK")</f>
        <v>OK</v>
      </c>
      <c r="O1964" s="23" t="str">
        <f t="shared" si="91"/>
        <v>ORD26003559</v>
      </c>
      <c r="P1964" s="23" t="str">
        <f t="shared" si="92"/>
        <v>Sep</v>
      </c>
      <c r="Q1964" s="23" t="str">
        <f>IF(F1964="CAPTURE",IF(COUNTIF(orders!$A:$A,O1964)&gt;0,"Yes","NO ORDER"),"")</f>
        <v>Yes</v>
      </c>
    </row>
    <row r="1965" spans="1:17" ht="15" customHeight="1" x14ac:dyDescent="0.3">
      <c r="A1965" s="23" t="s">
        <v>14696</v>
      </c>
      <c r="B1965" s="23"/>
      <c r="C1965" s="23" t="s">
        <v>7695</v>
      </c>
      <c r="D1965" s="23" t="str">
        <f t="shared" si="90"/>
        <v>ORD26003600</v>
      </c>
      <c r="E1965" s="38">
        <v>46276</v>
      </c>
      <c r="F1965" s="23" t="s">
        <v>12410</v>
      </c>
      <c r="G1965" s="23" t="s">
        <v>81</v>
      </c>
      <c r="H1965" s="24">
        <v>2499</v>
      </c>
      <c r="I1965" s="24">
        <v>29.99</v>
      </c>
      <c r="J1965" s="24">
        <v>5.4</v>
      </c>
      <c r="K1965" s="24">
        <v>2463.61</v>
      </c>
      <c r="L1965" s="38">
        <v>46278</v>
      </c>
      <c r="M1965" s="23" t="s">
        <v>196</v>
      </c>
      <c r="N1965" s="23" t="str">
        <f>IF(COUNTIF($A$2:A1965,A1965)&gt;1,"DUP","OK")</f>
        <v>OK</v>
      </c>
      <c r="O1965" s="23" t="str">
        <f t="shared" si="91"/>
        <v>ORD26003600</v>
      </c>
      <c r="P1965" s="23" t="str">
        <f t="shared" si="92"/>
        <v>Sep</v>
      </c>
      <c r="Q1965" s="23" t="str">
        <f>IF(F1965="CAPTURE",IF(COUNTIF(orders!$A:$A,O1965)&gt;0,"Yes","NO ORDER"),"")</f>
        <v>Yes</v>
      </c>
    </row>
    <row r="1966" spans="1:17" ht="15" customHeight="1" x14ac:dyDescent="0.3">
      <c r="A1966" s="23" t="s">
        <v>14697</v>
      </c>
      <c r="B1966" s="23"/>
      <c r="C1966" s="23" t="s">
        <v>7712</v>
      </c>
      <c r="D1966" s="23" t="str">
        <f t="shared" si="90"/>
        <v>ORD26003609</v>
      </c>
      <c r="E1966" s="38">
        <v>46276</v>
      </c>
      <c r="F1966" s="23" t="s">
        <v>12410</v>
      </c>
      <c r="G1966" s="23" t="s">
        <v>79</v>
      </c>
      <c r="H1966" s="24">
        <v>1799</v>
      </c>
      <c r="I1966" s="24">
        <v>32.380000000000003</v>
      </c>
      <c r="J1966" s="24">
        <v>5.83</v>
      </c>
      <c r="K1966" s="24">
        <v>1760.79</v>
      </c>
      <c r="L1966" s="38">
        <v>46278</v>
      </c>
      <c r="M1966" s="23" t="s">
        <v>196</v>
      </c>
      <c r="N1966" s="23" t="str">
        <f>IF(COUNTIF($A$2:A1966,A1966)&gt;1,"DUP","OK")</f>
        <v>OK</v>
      </c>
      <c r="O1966" s="23" t="str">
        <f t="shared" si="91"/>
        <v>ORD26003609</v>
      </c>
      <c r="P1966" s="23" t="str">
        <f t="shared" si="92"/>
        <v>Sep</v>
      </c>
      <c r="Q1966" s="23" t="str">
        <f>IF(F1966="CAPTURE",IF(COUNTIF(orders!$A:$A,O1966)&gt;0,"Yes","NO ORDER"),"")</f>
        <v>Yes</v>
      </c>
    </row>
    <row r="1967" spans="1:17" ht="15" customHeight="1" x14ac:dyDescent="0.3">
      <c r="A1967" s="23" t="s">
        <v>14698</v>
      </c>
      <c r="B1967" s="23"/>
      <c r="C1967" s="23" t="s">
        <v>7798</v>
      </c>
      <c r="D1967" s="23" t="str">
        <f t="shared" si="90"/>
        <v>ORD26003654</v>
      </c>
      <c r="E1967" s="38">
        <v>46276</v>
      </c>
      <c r="F1967" s="23" t="s">
        <v>12410</v>
      </c>
      <c r="G1967" s="23" t="s">
        <v>75</v>
      </c>
      <c r="H1967" s="24">
        <v>2999</v>
      </c>
      <c r="I1967" s="24">
        <v>9</v>
      </c>
      <c r="J1967" s="24">
        <v>1.62</v>
      </c>
      <c r="K1967" s="24">
        <v>2988.38</v>
      </c>
      <c r="L1967" s="38">
        <v>46278</v>
      </c>
      <c r="M1967" s="23" t="s">
        <v>196</v>
      </c>
      <c r="N1967" s="23" t="str">
        <f>IF(COUNTIF($A$2:A1967,A1967)&gt;1,"DUP","OK")</f>
        <v>OK</v>
      </c>
      <c r="O1967" s="23" t="str">
        <f t="shared" si="91"/>
        <v>ORD26003654</v>
      </c>
      <c r="P1967" s="23" t="str">
        <f t="shared" si="92"/>
        <v>Sep</v>
      </c>
      <c r="Q1967" s="23" t="str">
        <f>IF(F1967="CAPTURE",IF(COUNTIF(orders!$A:$A,O1967)&gt;0,"Yes","NO ORDER"),"")</f>
        <v>Yes</v>
      </c>
    </row>
    <row r="1968" spans="1:17" ht="15" customHeight="1" x14ac:dyDescent="0.3">
      <c r="A1968" s="23" t="s">
        <v>14699</v>
      </c>
      <c r="B1968" s="23"/>
      <c r="C1968" s="23" t="s">
        <v>14700</v>
      </c>
      <c r="D1968" s="23" t="str">
        <f t="shared" si="90"/>
        <v>ORD26003689</v>
      </c>
      <c r="E1968" s="38">
        <v>46276</v>
      </c>
      <c r="F1968" s="23" t="s">
        <v>12410</v>
      </c>
      <c r="G1968" s="23" t="s">
        <v>75</v>
      </c>
      <c r="H1968" s="24">
        <v>2999</v>
      </c>
      <c r="I1968" s="24">
        <v>9</v>
      </c>
      <c r="J1968" s="24">
        <v>1.62</v>
      </c>
      <c r="K1968" s="24">
        <v>2988.38</v>
      </c>
      <c r="L1968" s="38">
        <v>46278</v>
      </c>
      <c r="M1968" s="23" t="s">
        <v>196</v>
      </c>
      <c r="N1968" s="23" t="str">
        <f>IF(COUNTIF($A$2:A1968,A1968)&gt;1,"DUP","OK")</f>
        <v>OK</v>
      </c>
      <c r="O1968" s="23" t="str">
        <f t="shared" si="91"/>
        <v>ORD26003689</v>
      </c>
      <c r="P1968" s="23" t="str">
        <f t="shared" si="92"/>
        <v>Sep</v>
      </c>
      <c r="Q1968" s="23" t="str">
        <f>IF(F1968="CAPTURE",IF(COUNTIF(orders!$A:$A,O1968)&gt;0,"Yes","NO ORDER"),"")</f>
        <v>Yes</v>
      </c>
    </row>
    <row r="1969" spans="1:17" ht="15" customHeight="1" x14ac:dyDescent="0.3">
      <c r="A1969" s="23" t="s">
        <v>14701</v>
      </c>
      <c r="B1969" s="23"/>
      <c r="C1969" s="23" t="s">
        <v>7921</v>
      </c>
      <c r="D1969" s="23" t="str">
        <f t="shared" si="90"/>
        <v>ORD26003716</v>
      </c>
      <c r="E1969" s="38">
        <v>46276</v>
      </c>
      <c r="F1969" s="23" t="s">
        <v>12410</v>
      </c>
      <c r="G1969" s="23" t="s">
        <v>77</v>
      </c>
      <c r="H1969" s="24">
        <v>349</v>
      </c>
      <c r="I1969" s="24">
        <v>6.63</v>
      </c>
      <c r="J1969" s="24">
        <v>1.19</v>
      </c>
      <c r="K1969" s="24">
        <v>341.18</v>
      </c>
      <c r="L1969" s="38">
        <v>46278</v>
      </c>
      <c r="M1969" s="23" t="s">
        <v>196</v>
      </c>
      <c r="N1969" s="23" t="str">
        <f>IF(COUNTIF($A$2:A1969,A1969)&gt;1,"DUP","OK")</f>
        <v>OK</v>
      </c>
      <c r="O1969" s="23" t="str">
        <f t="shared" si="91"/>
        <v>ORD26003716</v>
      </c>
      <c r="P1969" s="23" t="str">
        <f t="shared" si="92"/>
        <v>Sep</v>
      </c>
      <c r="Q1969" s="23" t="str">
        <f>IF(F1969="CAPTURE",IF(COUNTIF(orders!$A:$A,O1969)&gt;0,"Yes","NO ORDER"),"")</f>
        <v>Yes</v>
      </c>
    </row>
    <row r="1970" spans="1:17" ht="15" customHeight="1" x14ac:dyDescent="0.3">
      <c r="A1970" s="23" t="s">
        <v>14702</v>
      </c>
      <c r="B1970" s="23"/>
      <c r="C1970" s="23" t="s">
        <v>14703</v>
      </c>
      <c r="D1970" s="23" t="str">
        <f t="shared" si="90"/>
        <v>ORD26003779</v>
      </c>
      <c r="E1970" s="38">
        <v>46276</v>
      </c>
      <c r="F1970" s="23" t="s">
        <v>12410</v>
      </c>
      <c r="G1970" s="23" t="s">
        <v>75</v>
      </c>
      <c r="H1970" s="24">
        <v>599</v>
      </c>
      <c r="I1970" s="24">
        <v>0</v>
      </c>
      <c r="J1970" s="24">
        <v>0</v>
      </c>
      <c r="K1970" s="24">
        <v>599</v>
      </c>
      <c r="L1970" s="38">
        <v>46278</v>
      </c>
      <c r="M1970" s="23" t="s">
        <v>196</v>
      </c>
      <c r="N1970" s="23" t="str">
        <f>IF(COUNTIF($A$2:A1970,A1970)&gt;1,"DUP","OK")</f>
        <v>OK</v>
      </c>
      <c r="O1970" s="23" t="str">
        <f t="shared" si="91"/>
        <v>ORD26003779</v>
      </c>
      <c r="P1970" s="23" t="str">
        <f t="shared" si="92"/>
        <v>Sep</v>
      </c>
      <c r="Q1970" s="23" t="str">
        <f>IF(F1970="CAPTURE",IF(COUNTIF(orders!$A:$A,O1970)&gt;0,"Yes","NO ORDER"),"")</f>
        <v>Yes</v>
      </c>
    </row>
    <row r="1971" spans="1:17" ht="15" customHeight="1" x14ac:dyDescent="0.3">
      <c r="A1971" s="23" t="s">
        <v>14704</v>
      </c>
      <c r="B1971" s="23"/>
      <c r="C1971" s="23" t="s">
        <v>8064</v>
      </c>
      <c r="D1971" s="23" t="str">
        <f t="shared" si="90"/>
        <v>ORD26003788</v>
      </c>
      <c r="E1971" s="38">
        <v>46276</v>
      </c>
      <c r="F1971" s="23" t="s">
        <v>12410</v>
      </c>
      <c r="G1971" s="23" t="s">
        <v>79</v>
      </c>
      <c r="H1971" s="24">
        <v>1498</v>
      </c>
      <c r="I1971" s="24">
        <v>26.96</v>
      </c>
      <c r="J1971" s="24">
        <v>4.8499999999999996</v>
      </c>
      <c r="K1971" s="24">
        <v>1466.19</v>
      </c>
      <c r="L1971" s="38">
        <v>46278</v>
      </c>
      <c r="M1971" s="23" t="s">
        <v>196</v>
      </c>
      <c r="N1971" s="23" t="str">
        <f>IF(COUNTIF($A$2:A1971,A1971)&gt;1,"DUP","OK")</f>
        <v>OK</v>
      </c>
      <c r="O1971" s="23" t="str">
        <f t="shared" si="91"/>
        <v>ORD26003788</v>
      </c>
      <c r="P1971" s="23" t="str">
        <f t="shared" si="92"/>
        <v>Sep</v>
      </c>
      <c r="Q1971" s="23" t="str">
        <f>IF(F1971="CAPTURE",IF(COUNTIF(orders!$A:$A,O1971)&gt;0,"Yes","NO ORDER"),"")</f>
        <v>Yes</v>
      </c>
    </row>
    <row r="1972" spans="1:17" ht="15" customHeight="1" x14ac:dyDescent="0.3">
      <c r="A1972" s="23" t="s">
        <v>14705</v>
      </c>
      <c r="B1972" s="23"/>
      <c r="C1972" s="23" t="s">
        <v>8172</v>
      </c>
      <c r="D1972" s="23" t="str">
        <f t="shared" si="90"/>
        <v>ORD26003842</v>
      </c>
      <c r="E1972" s="38">
        <v>46276</v>
      </c>
      <c r="F1972" s="23" t="s">
        <v>12410</v>
      </c>
      <c r="G1972" s="23" t="s">
        <v>81</v>
      </c>
      <c r="H1972" s="24">
        <v>11097</v>
      </c>
      <c r="I1972" s="24">
        <v>99.87</v>
      </c>
      <c r="J1972" s="24">
        <v>17.98</v>
      </c>
      <c r="K1972" s="24">
        <v>10979.15</v>
      </c>
      <c r="L1972" s="38">
        <v>46278</v>
      </c>
      <c r="M1972" s="23" t="s">
        <v>196</v>
      </c>
      <c r="N1972" s="23" t="str">
        <f>IF(COUNTIF($A$2:A1972,A1972)&gt;1,"DUP","OK")</f>
        <v>OK</v>
      </c>
      <c r="O1972" s="23" t="str">
        <f t="shared" si="91"/>
        <v>ORD26003842</v>
      </c>
      <c r="P1972" s="23" t="str">
        <f t="shared" si="92"/>
        <v>Sep</v>
      </c>
      <c r="Q1972" s="23" t="str">
        <f>IF(F1972="CAPTURE",IF(COUNTIF(orders!$A:$A,O1972)&gt;0,"Yes","NO ORDER"),"")</f>
        <v>Yes</v>
      </c>
    </row>
    <row r="1973" spans="1:17" ht="15" customHeight="1" x14ac:dyDescent="0.3">
      <c r="A1973" s="23" t="s">
        <v>14706</v>
      </c>
      <c r="B1973" s="23"/>
      <c r="C1973" s="23" t="s">
        <v>8341</v>
      </c>
      <c r="D1973" s="23" t="str">
        <f t="shared" si="90"/>
        <v>ORD26003927</v>
      </c>
      <c r="E1973" s="38">
        <v>46276</v>
      </c>
      <c r="F1973" s="23" t="s">
        <v>12410</v>
      </c>
      <c r="G1973" s="23" t="s">
        <v>75</v>
      </c>
      <c r="H1973" s="24">
        <v>1298</v>
      </c>
      <c r="I1973" s="24">
        <v>0</v>
      </c>
      <c r="J1973" s="24">
        <v>0</v>
      </c>
      <c r="K1973" s="24">
        <v>1298</v>
      </c>
      <c r="L1973" s="38">
        <v>46278</v>
      </c>
      <c r="M1973" s="23" t="s">
        <v>196</v>
      </c>
      <c r="N1973" s="23" t="str">
        <f>IF(COUNTIF($A$2:A1973,A1973)&gt;1,"DUP","OK")</f>
        <v>OK</v>
      </c>
      <c r="O1973" s="23" t="str">
        <f t="shared" si="91"/>
        <v>ORD26003927</v>
      </c>
      <c r="P1973" s="23" t="str">
        <f t="shared" si="92"/>
        <v>Sep</v>
      </c>
      <c r="Q1973" s="23" t="str">
        <f>IF(F1973="CAPTURE",IF(COUNTIF(orders!$A:$A,O1973)&gt;0,"Yes","NO ORDER"),"")</f>
        <v>Yes</v>
      </c>
    </row>
    <row r="1974" spans="1:17" ht="15" customHeight="1" x14ac:dyDescent="0.3">
      <c r="A1974" s="23" t="s">
        <v>14707</v>
      </c>
      <c r="B1974" s="23"/>
      <c r="C1974" s="23" t="s">
        <v>8459</v>
      </c>
      <c r="D1974" s="23" t="str">
        <f t="shared" si="90"/>
        <v>ORD26003986</v>
      </c>
      <c r="E1974" s="38">
        <v>46276</v>
      </c>
      <c r="F1974" s="23" t="s">
        <v>12410</v>
      </c>
      <c r="G1974" s="23" t="s">
        <v>79</v>
      </c>
      <c r="H1974" s="24">
        <v>349</v>
      </c>
      <c r="I1974" s="24">
        <v>6.28</v>
      </c>
      <c r="J1974" s="24">
        <v>1.1299999999999999</v>
      </c>
      <c r="K1974" s="24">
        <v>341.59</v>
      </c>
      <c r="L1974" s="38">
        <v>46278</v>
      </c>
      <c r="M1974" s="23" t="s">
        <v>196</v>
      </c>
      <c r="N1974" s="23" t="str">
        <f>IF(COUNTIF($A$2:A1974,A1974)&gt;1,"DUP","OK")</f>
        <v>OK</v>
      </c>
      <c r="O1974" s="23" t="str">
        <f t="shared" si="91"/>
        <v>ORD26003986</v>
      </c>
      <c r="P1974" s="23" t="str">
        <f t="shared" si="92"/>
        <v>Sep</v>
      </c>
      <c r="Q1974" s="23" t="str">
        <f>IF(F1974="CAPTURE",IF(COUNTIF(orders!$A:$A,O1974)&gt;0,"Yes","NO ORDER"),"")</f>
        <v>Yes</v>
      </c>
    </row>
    <row r="1975" spans="1:17" ht="15" customHeight="1" x14ac:dyDescent="0.3">
      <c r="A1975" s="23" t="s">
        <v>14708</v>
      </c>
      <c r="B1975" s="23"/>
      <c r="C1975" s="23" t="s">
        <v>8477</v>
      </c>
      <c r="D1975" s="23" t="str">
        <f t="shared" si="90"/>
        <v>ORD26003995</v>
      </c>
      <c r="E1975" s="38">
        <v>46276</v>
      </c>
      <c r="F1975" s="23" t="s">
        <v>12410</v>
      </c>
      <c r="G1975" s="23" t="s">
        <v>75</v>
      </c>
      <c r="H1975" s="24">
        <v>3348</v>
      </c>
      <c r="I1975" s="24">
        <v>10.039999999999999</v>
      </c>
      <c r="J1975" s="24">
        <v>1.81</v>
      </c>
      <c r="K1975" s="24">
        <v>3336.15</v>
      </c>
      <c r="L1975" s="38">
        <v>46278</v>
      </c>
      <c r="M1975" s="23" t="s">
        <v>196</v>
      </c>
      <c r="N1975" s="23" t="str">
        <f>IF(COUNTIF($A$2:A1975,A1975)&gt;1,"DUP","OK")</f>
        <v>OK</v>
      </c>
      <c r="O1975" s="23" t="str">
        <f t="shared" si="91"/>
        <v>ORD26003995</v>
      </c>
      <c r="P1975" s="23" t="str">
        <f t="shared" si="92"/>
        <v>Sep</v>
      </c>
      <c r="Q1975" s="23" t="str">
        <f>IF(F1975="CAPTURE",IF(COUNTIF(orders!$A:$A,O1975)&gt;0,"Yes","NO ORDER"),"")</f>
        <v>Yes</v>
      </c>
    </row>
    <row r="1976" spans="1:17" ht="15" customHeight="1" x14ac:dyDescent="0.3">
      <c r="A1976" s="23" t="s">
        <v>14709</v>
      </c>
      <c r="B1976" s="23"/>
      <c r="C1976" s="23" t="s">
        <v>8485</v>
      </c>
      <c r="D1976" s="23" t="str">
        <f t="shared" si="90"/>
        <v>ORD26003999</v>
      </c>
      <c r="E1976" s="38">
        <v>46276</v>
      </c>
      <c r="F1976" s="23" t="s">
        <v>12410</v>
      </c>
      <c r="G1976" s="23" t="s">
        <v>79</v>
      </c>
      <c r="H1976" s="24">
        <v>999</v>
      </c>
      <c r="I1976" s="24">
        <v>17.98</v>
      </c>
      <c r="J1976" s="24">
        <v>3.24</v>
      </c>
      <c r="K1976" s="24">
        <v>977.78</v>
      </c>
      <c r="L1976" s="38">
        <v>46278</v>
      </c>
      <c r="M1976" s="23" t="s">
        <v>196</v>
      </c>
      <c r="N1976" s="23" t="str">
        <f>IF(COUNTIF($A$2:A1976,A1976)&gt;1,"DUP","OK")</f>
        <v>OK</v>
      </c>
      <c r="O1976" s="23" t="str">
        <f t="shared" si="91"/>
        <v>ORD26003999</v>
      </c>
      <c r="P1976" s="23" t="str">
        <f t="shared" si="92"/>
        <v>Sep</v>
      </c>
      <c r="Q1976" s="23" t="str">
        <f>IF(F1976="CAPTURE",IF(COUNTIF(orders!$A:$A,O1976)&gt;0,"Yes","NO ORDER"),"")</f>
        <v>Yes</v>
      </c>
    </row>
    <row r="1977" spans="1:17" ht="15" customHeight="1" x14ac:dyDescent="0.3">
      <c r="A1977" s="23" t="s">
        <v>14710</v>
      </c>
      <c r="B1977" s="23"/>
      <c r="C1977" s="23" t="s">
        <v>8523</v>
      </c>
      <c r="D1977" s="23" t="str">
        <f t="shared" si="90"/>
        <v>ORD26004019</v>
      </c>
      <c r="E1977" s="38">
        <v>46276</v>
      </c>
      <c r="F1977" s="23" t="s">
        <v>12410</v>
      </c>
      <c r="G1977" s="23" t="s">
        <v>75</v>
      </c>
      <c r="H1977" s="24">
        <v>998</v>
      </c>
      <c r="I1977" s="24">
        <v>0</v>
      </c>
      <c r="J1977" s="24">
        <v>0</v>
      </c>
      <c r="K1977" s="24">
        <v>998</v>
      </c>
      <c r="L1977" s="38">
        <v>46278</v>
      </c>
      <c r="M1977" s="23" t="s">
        <v>196</v>
      </c>
      <c r="N1977" s="23" t="str">
        <f>IF(COUNTIF($A$2:A1977,A1977)&gt;1,"DUP","OK")</f>
        <v>OK</v>
      </c>
      <c r="O1977" s="23" t="str">
        <f t="shared" si="91"/>
        <v>ORD26004019</v>
      </c>
      <c r="P1977" s="23" t="str">
        <f t="shared" si="92"/>
        <v>Sep</v>
      </c>
      <c r="Q1977" s="23" t="str">
        <f>IF(F1977="CAPTURE",IF(COUNTIF(orders!$A:$A,O1977)&gt;0,"Yes","NO ORDER"),"")</f>
        <v>Yes</v>
      </c>
    </row>
    <row r="1978" spans="1:17" ht="15" customHeight="1" x14ac:dyDescent="0.3">
      <c r="A1978" s="23" t="s">
        <v>14711</v>
      </c>
      <c r="B1978" s="23"/>
      <c r="C1978" s="23" t="s">
        <v>8536</v>
      </c>
      <c r="D1978" s="23" t="str">
        <f t="shared" si="90"/>
        <v>ORD26004025</v>
      </c>
      <c r="E1978" s="38">
        <v>46276</v>
      </c>
      <c r="F1978" s="23" t="s">
        <v>12410</v>
      </c>
      <c r="G1978" s="23" t="s">
        <v>75</v>
      </c>
      <c r="H1978" s="24">
        <v>5297</v>
      </c>
      <c r="I1978" s="24">
        <v>15.89</v>
      </c>
      <c r="J1978" s="24">
        <v>2.86</v>
      </c>
      <c r="K1978" s="24">
        <v>5278.25</v>
      </c>
      <c r="L1978" s="38">
        <v>46278</v>
      </c>
      <c r="M1978" s="23" t="s">
        <v>196</v>
      </c>
      <c r="N1978" s="23" t="str">
        <f>IF(COUNTIF($A$2:A1978,A1978)&gt;1,"DUP","OK")</f>
        <v>OK</v>
      </c>
      <c r="O1978" s="23" t="str">
        <f t="shared" si="91"/>
        <v>ORD26004025</v>
      </c>
      <c r="P1978" s="23" t="str">
        <f t="shared" si="92"/>
        <v>Sep</v>
      </c>
      <c r="Q1978" s="23" t="str">
        <f>IF(F1978="CAPTURE",IF(COUNTIF(orders!$A:$A,O1978)&gt;0,"Yes","NO ORDER"),"")</f>
        <v>Yes</v>
      </c>
    </row>
    <row r="1979" spans="1:17" ht="15" customHeight="1" x14ac:dyDescent="0.3">
      <c r="A1979" s="23" t="s">
        <v>14712</v>
      </c>
      <c r="B1979" s="23"/>
      <c r="C1979" s="23" t="s">
        <v>8662</v>
      </c>
      <c r="D1979" s="23" t="str">
        <f t="shared" si="90"/>
        <v>ORD26004090</v>
      </c>
      <c r="E1979" s="38">
        <v>46276</v>
      </c>
      <c r="F1979" s="23" t="s">
        <v>12410</v>
      </c>
      <c r="G1979" s="23" t="s">
        <v>77</v>
      </c>
      <c r="H1979" s="24">
        <v>1299</v>
      </c>
      <c r="I1979" s="24">
        <v>24.68</v>
      </c>
      <c r="J1979" s="24">
        <v>4.4400000000000004</v>
      </c>
      <c r="K1979" s="24">
        <v>1269.8800000000001</v>
      </c>
      <c r="L1979" s="38">
        <v>46278</v>
      </c>
      <c r="M1979" s="23" t="s">
        <v>196</v>
      </c>
      <c r="N1979" s="23" t="str">
        <f>IF(COUNTIF($A$2:A1979,A1979)&gt;1,"DUP","OK")</f>
        <v>OK</v>
      </c>
      <c r="O1979" s="23" t="str">
        <f t="shared" si="91"/>
        <v>ORD26004090</v>
      </c>
      <c r="P1979" s="23" t="str">
        <f t="shared" si="92"/>
        <v>Sep</v>
      </c>
      <c r="Q1979" s="23" t="str">
        <f>IF(F1979="CAPTURE",IF(COUNTIF(orders!$A:$A,O1979)&gt;0,"Yes","NO ORDER"),"")</f>
        <v>Yes</v>
      </c>
    </row>
    <row r="1980" spans="1:17" ht="15" customHeight="1" x14ac:dyDescent="0.3">
      <c r="A1980" s="23" t="s">
        <v>14713</v>
      </c>
      <c r="B1980" s="23"/>
      <c r="C1980" s="23" t="s">
        <v>8715</v>
      </c>
      <c r="D1980" s="23" t="str">
        <f t="shared" si="90"/>
        <v>ORD26004117</v>
      </c>
      <c r="E1980" s="38">
        <v>46276</v>
      </c>
      <c r="F1980" s="23" t="s">
        <v>12410</v>
      </c>
      <c r="G1980" s="23" t="s">
        <v>75</v>
      </c>
      <c r="H1980" s="24">
        <v>2999</v>
      </c>
      <c r="I1980" s="24">
        <v>9</v>
      </c>
      <c r="J1980" s="24">
        <v>1.62</v>
      </c>
      <c r="K1980" s="24">
        <v>2988.38</v>
      </c>
      <c r="L1980" s="38">
        <v>46278</v>
      </c>
      <c r="M1980" s="23" t="s">
        <v>196</v>
      </c>
      <c r="N1980" s="23" t="str">
        <f>IF(COUNTIF($A$2:A1980,A1980)&gt;1,"DUP","OK")</f>
        <v>OK</v>
      </c>
      <c r="O1980" s="23" t="str">
        <f t="shared" si="91"/>
        <v>ORD26004117</v>
      </c>
      <c r="P1980" s="23" t="str">
        <f t="shared" si="92"/>
        <v>Sep</v>
      </c>
      <c r="Q1980" s="23" t="str">
        <f>IF(F1980="CAPTURE",IF(COUNTIF(orders!$A:$A,O1980)&gt;0,"Yes","NO ORDER"),"")</f>
        <v>Yes</v>
      </c>
    </row>
    <row r="1981" spans="1:17" ht="15" customHeight="1" x14ac:dyDescent="0.3">
      <c r="A1981" s="23" t="s">
        <v>14714</v>
      </c>
      <c r="B1981" s="23"/>
      <c r="C1981" s="23" t="s">
        <v>8740</v>
      </c>
      <c r="D1981" s="23" t="str">
        <f t="shared" si="90"/>
        <v>ORD26004130</v>
      </c>
      <c r="E1981" s="38">
        <v>46276</v>
      </c>
      <c r="F1981" s="23" t="s">
        <v>12410</v>
      </c>
      <c r="G1981" s="23" t="s">
        <v>75</v>
      </c>
      <c r="H1981" s="24">
        <v>1299</v>
      </c>
      <c r="I1981" s="24">
        <v>0</v>
      </c>
      <c r="J1981" s="24">
        <v>0</v>
      </c>
      <c r="K1981" s="24">
        <v>1299</v>
      </c>
      <c r="L1981" s="38">
        <v>46278</v>
      </c>
      <c r="M1981" s="23" t="s">
        <v>196</v>
      </c>
      <c r="N1981" s="23" t="str">
        <f>IF(COUNTIF($A$2:A1981,A1981)&gt;1,"DUP","OK")</f>
        <v>OK</v>
      </c>
      <c r="O1981" s="23" t="str">
        <f t="shared" si="91"/>
        <v>ORD26004130</v>
      </c>
      <c r="P1981" s="23" t="str">
        <f t="shared" si="92"/>
        <v>Sep</v>
      </c>
      <c r="Q1981" s="23" t="str">
        <f>IF(F1981="CAPTURE",IF(COUNTIF(orders!$A:$A,O1981)&gt;0,"Yes","NO ORDER"),"")</f>
        <v>Yes</v>
      </c>
    </row>
    <row r="1982" spans="1:17" ht="15" customHeight="1" x14ac:dyDescent="0.3">
      <c r="A1982" s="23" t="s">
        <v>14715</v>
      </c>
      <c r="B1982" s="23"/>
      <c r="C1982" s="23" t="s">
        <v>8742</v>
      </c>
      <c r="D1982" s="23" t="str">
        <f t="shared" si="90"/>
        <v>ORD26004131</v>
      </c>
      <c r="E1982" s="38">
        <v>46276</v>
      </c>
      <c r="F1982" s="23" t="s">
        <v>12410</v>
      </c>
      <c r="G1982" s="23" t="s">
        <v>75</v>
      </c>
      <c r="H1982" s="24">
        <v>648</v>
      </c>
      <c r="I1982" s="24">
        <v>0</v>
      </c>
      <c r="J1982" s="24">
        <v>0</v>
      </c>
      <c r="K1982" s="24">
        <v>648</v>
      </c>
      <c r="L1982" s="38">
        <v>46278</v>
      </c>
      <c r="M1982" s="23" t="s">
        <v>196</v>
      </c>
      <c r="N1982" s="23" t="str">
        <f>IF(COUNTIF($A$2:A1982,A1982)&gt;1,"DUP","OK")</f>
        <v>OK</v>
      </c>
      <c r="O1982" s="23" t="str">
        <f t="shared" si="91"/>
        <v>ORD26004131</v>
      </c>
      <c r="P1982" s="23" t="str">
        <f t="shared" si="92"/>
        <v>Sep</v>
      </c>
      <c r="Q1982" s="23" t="str">
        <f>IF(F1982="CAPTURE",IF(COUNTIF(orders!$A:$A,O1982)&gt;0,"Yes","NO ORDER"),"")</f>
        <v>Yes</v>
      </c>
    </row>
    <row r="1983" spans="1:17" ht="15" customHeight="1" x14ac:dyDescent="0.3">
      <c r="A1983" s="23" t="s">
        <v>14716</v>
      </c>
      <c r="B1983" s="23"/>
      <c r="C1983" s="23" t="s">
        <v>8808</v>
      </c>
      <c r="D1983" s="23" t="str">
        <f t="shared" si="90"/>
        <v>ORD26004166</v>
      </c>
      <c r="E1983" s="38">
        <v>46276</v>
      </c>
      <c r="F1983" s="23" t="s">
        <v>12410</v>
      </c>
      <c r="G1983" s="23" t="s">
        <v>79</v>
      </c>
      <c r="H1983" s="24">
        <v>2499</v>
      </c>
      <c r="I1983" s="24">
        <v>39.979999999999997</v>
      </c>
      <c r="J1983" s="24">
        <v>7.2</v>
      </c>
      <c r="K1983" s="24">
        <v>2451.8200000000002</v>
      </c>
      <c r="L1983" s="38">
        <v>46278</v>
      </c>
      <c r="M1983" s="23" t="s">
        <v>196</v>
      </c>
      <c r="N1983" s="23" t="str">
        <f>IF(COUNTIF($A$2:A1983,A1983)&gt;1,"DUP","OK")</f>
        <v>OK</v>
      </c>
      <c r="O1983" s="23" t="str">
        <f t="shared" si="91"/>
        <v>ORD26004166</v>
      </c>
      <c r="P1983" s="23" t="str">
        <f t="shared" si="92"/>
        <v>Sep</v>
      </c>
      <c r="Q1983" s="23" t="str">
        <f>IF(F1983="CAPTURE",IF(COUNTIF(orders!$A:$A,O1983)&gt;0,"Yes","NO ORDER"),"")</f>
        <v>Yes</v>
      </c>
    </row>
    <row r="1984" spans="1:17" ht="15" customHeight="1" x14ac:dyDescent="0.3">
      <c r="A1984" s="23" t="s">
        <v>14717</v>
      </c>
      <c r="B1984" s="23"/>
      <c r="C1984" s="23" t="s">
        <v>8931</v>
      </c>
      <c r="D1984" s="23" t="str">
        <f t="shared" si="90"/>
        <v>ORD26004228</v>
      </c>
      <c r="E1984" s="38">
        <v>46276</v>
      </c>
      <c r="F1984" s="23" t="s">
        <v>12410</v>
      </c>
      <c r="G1984" s="23" t="s">
        <v>79</v>
      </c>
      <c r="H1984" s="24">
        <v>2999</v>
      </c>
      <c r="I1984" s="24">
        <v>47.98</v>
      </c>
      <c r="J1984" s="24">
        <v>8.64</v>
      </c>
      <c r="K1984" s="24">
        <v>2942.38</v>
      </c>
      <c r="L1984" s="38">
        <v>46278</v>
      </c>
      <c r="M1984" s="23" t="s">
        <v>196</v>
      </c>
      <c r="N1984" s="23" t="str">
        <f>IF(COUNTIF($A$2:A1984,A1984)&gt;1,"DUP","OK")</f>
        <v>OK</v>
      </c>
      <c r="O1984" s="23" t="str">
        <f t="shared" si="91"/>
        <v>ORD26004228</v>
      </c>
      <c r="P1984" s="23" t="str">
        <f t="shared" si="92"/>
        <v>Sep</v>
      </c>
      <c r="Q1984" s="23" t="str">
        <f>IF(F1984="CAPTURE",IF(COUNTIF(orders!$A:$A,O1984)&gt;0,"Yes","NO ORDER"),"")</f>
        <v>Yes</v>
      </c>
    </row>
    <row r="1985" spans="1:17" ht="15" customHeight="1" x14ac:dyDescent="0.3">
      <c r="A1985" s="23" t="s">
        <v>14718</v>
      </c>
      <c r="B1985" s="23"/>
      <c r="C1985" s="23" t="s">
        <v>8933</v>
      </c>
      <c r="D1985" s="23" t="str">
        <f t="shared" si="90"/>
        <v>ORD26004229</v>
      </c>
      <c r="E1985" s="38">
        <v>46276</v>
      </c>
      <c r="F1985" s="23" t="s">
        <v>12410</v>
      </c>
      <c r="G1985" s="23" t="s">
        <v>75</v>
      </c>
      <c r="H1985" s="24">
        <v>349</v>
      </c>
      <c r="I1985" s="24">
        <v>0</v>
      </c>
      <c r="J1985" s="24">
        <v>0</v>
      </c>
      <c r="K1985" s="24">
        <v>349</v>
      </c>
      <c r="L1985" s="38">
        <v>46278</v>
      </c>
      <c r="M1985" s="23" t="s">
        <v>196</v>
      </c>
      <c r="N1985" s="23" t="str">
        <f>IF(COUNTIF($A$2:A1985,A1985)&gt;1,"DUP","OK")</f>
        <v>OK</v>
      </c>
      <c r="O1985" s="23" t="str">
        <f t="shared" si="91"/>
        <v>ORD26004229</v>
      </c>
      <c r="P1985" s="23" t="str">
        <f t="shared" si="92"/>
        <v>Sep</v>
      </c>
      <c r="Q1985" s="23" t="str">
        <f>IF(F1985="CAPTURE",IF(COUNTIF(orders!$A:$A,O1985)&gt;0,"Yes","NO ORDER"),"")</f>
        <v>Yes</v>
      </c>
    </row>
    <row r="1986" spans="1:17" ht="15" customHeight="1" x14ac:dyDescent="0.3">
      <c r="A1986" s="23" t="s">
        <v>14719</v>
      </c>
      <c r="B1986" s="23"/>
      <c r="C1986" s="23" t="s">
        <v>9043</v>
      </c>
      <c r="D1986" s="23" t="str">
        <f t="shared" ref="D1986:D2049" si="93">UPPER(SUBSTITUTE(TRIM(C1986),"-",""))</f>
        <v>ORD26004285</v>
      </c>
      <c r="E1986" s="38">
        <v>46276</v>
      </c>
      <c r="F1986" s="23" t="s">
        <v>12410</v>
      </c>
      <c r="G1986" s="23" t="s">
        <v>75</v>
      </c>
      <c r="H1986" s="24">
        <v>8348</v>
      </c>
      <c r="I1986" s="24">
        <v>25.04</v>
      </c>
      <c r="J1986" s="24">
        <v>4.51</v>
      </c>
      <c r="K1986" s="24">
        <v>8318.4500000000007</v>
      </c>
      <c r="L1986" s="38">
        <v>46278</v>
      </c>
      <c r="M1986" s="23" t="s">
        <v>196</v>
      </c>
      <c r="N1986" s="23" t="str">
        <f>IF(COUNTIF($A$2:A1986,A1986)&gt;1,"DUP","OK")</f>
        <v>OK</v>
      </c>
      <c r="O1986" s="23" t="str">
        <f t="shared" ref="O1986:O2049" si="94">IF(F1986="REFUND",INDEX($D:$D,MATCH(B1986,$A:$A,0)),D1986)</f>
        <v>ORD26004285</v>
      </c>
      <c r="P1986" s="23" t="str">
        <f t="shared" ref="P1986:P2049" si="95">IF(L1986&gt;DATE(2026,9,30),"Oct-Due","Sep")</f>
        <v>Sep</v>
      </c>
      <c r="Q1986" s="23" t="str">
        <f>IF(F1986="CAPTURE",IF(COUNTIF(orders!$A:$A,O1986)&gt;0,"Yes","NO ORDER"),"")</f>
        <v>Yes</v>
      </c>
    </row>
    <row r="1987" spans="1:17" ht="15" customHeight="1" x14ac:dyDescent="0.3">
      <c r="A1987" s="23" t="s">
        <v>14720</v>
      </c>
      <c r="B1987" s="23"/>
      <c r="C1987" s="23" t="s">
        <v>9059</v>
      </c>
      <c r="D1987" s="23" t="str">
        <f t="shared" si="93"/>
        <v>ORD26004293</v>
      </c>
      <c r="E1987" s="38">
        <v>46276</v>
      </c>
      <c r="F1987" s="23" t="s">
        <v>12410</v>
      </c>
      <c r="G1987" s="23" t="s">
        <v>79</v>
      </c>
      <c r="H1987" s="24">
        <v>5697</v>
      </c>
      <c r="I1987" s="24">
        <v>91.15</v>
      </c>
      <c r="J1987" s="24">
        <v>16.41</v>
      </c>
      <c r="K1987" s="24">
        <v>5589.44</v>
      </c>
      <c r="L1987" s="38">
        <v>46278</v>
      </c>
      <c r="M1987" s="23" t="s">
        <v>196</v>
      </c>
      <c r="N1987" s="23" t="str">
        <f>IF(COUNTIF($A$2:A1987,A1987)&gt;1,"DUP","OK")</f>
        <v>OK</v>
      </c>
      <c r="O1987" s="23" t="str">
        <f t="shared" si="94"/>
        <v>ORD26004293</v>
      </c>
      <c r="P1987" s="23" t="str">
        <f t="shared" si="95"/>
        <v>Sep</v>
      </c>
      <c r="Q1987" s="23" t="str">
        <f>IF(F1987="CAPTURE",IF(COUNTIF(orders!$A:$A,O1987)&gt;0,"Yes","NO ORDER"),"")</f>
        <v>Yes</v>
      </c>
    </row>
    <row r="1988" spans="1:17" ht="15" customHeight="1" x14ac:dyDescent="0.3">
      <c r="A1988" s="23" t="s">
        <v>14721</v>
      </c>
      <c r="B1988" s="23"/>
      <c r="C1988" s="23" t="s">
        <v>9078</v>
      </c>
      <c r="D1988" s="23" t="str">
        <f t="shared" si="93"/>
        <v>ORD26004301</v>
      </c>
      <c r="E1988" s="38">
        <v>46276</v>
      </c>
      <c r="F1988" s="23" t="s">
        <v>12410</v>
      </c>
      <c r="G1988" s="23" t="s">
        <v>77</v>
      </c>
      <c r="H1988" s="24">
        <v>1398</v>
      </c>
      <c r="I1988" s="24">
        <v>26.56</v>
      </c>
      <c r="J1988" s="24">
        <v>4.78</v>
      </c>
      <c r="K1988" s="24">
        <v>1366.66</v>
      </c>
      <c r="L1988" s="38">
        <v>46278</v>
      </c>
      <c r="M1988" s="23" t="s">
        <v>196</v>
      </c>
      <c r="N1988" s="23" t="str">
        <f>IF(COUNTIF($A$2:A1988,A1988)&gt;1,"DUP","OK")</f>
        <v>OK</v>
      </c>
      <c r="O1988" s="23" t="str">
        <f t="shared" si="94"/>
        <v>ORD26004301</v>
      </c>
      <c r="P1988" s="23" t="str">
        <f t="shared" si="95"/>
        <v>Sep</v>
      </c>
      <c r="Q1988" s="23" t="str">
        <f>IF(F1988="CAPTURE",IF(COUNTIF(orders!$A:$A,O1988)&gt;0,"Yes","NO ORDER"),"")</f>
        <v>Yes</v>
      </c>
    </row>
    <row r="1989" spans="1:17" ht="15" customHeight="1" x14ac:dyDescent="0.3">
      <c r="A1989" s="23" t="s">
        <v>14722</v>
      </c>
      <c r="B1989" s="23"/>
      <c r="C1989" s="23" t="s">
        <v>9090</v>
      </c>
      <c r="D1989" s="23" t="str">
        <f t="shared" si="93"/>
        <v>ORD26004307</v>
      </c>
      <c r="E1989" s="38">
        <v>46276</v>
      </c>
      <c r="F1989" s="23" t="s">
        <v>12410</v>
      </c>
      <c r="G1989" s="23" t="s">
        <v>75</v>
      </c>
      <c r="H1989" s="24">
        <v>7999</v>
      </c>
      <c r="I1989" s="24">
        <v>24</v>
      </c>
      <c r="J1989" s="24">
        <v>4.32</v>
      </c>
      <c r="K1989" s="24">
        <v>7970.68</v>
      </c>
      <c r="L1989" s="38">
        <v>46278</v>
      </c>
      <c r="M1989" s="23" t="s">
        <v>196</v>
      </c>
      <c r="N1989" s="23" t="str">
        <f>IF(COUNTIF($A$2:A1989,A1989)&gt;1,"DUP","OK")</f>
        <v>OK</v>
      </c>
      <c r="O1989" s="23" t="str">
        <f t="shared" si="94"/>
        <v>ORD26004307</v>
      </c>
      <c r="P1989" s="23" t="str">
        <f t="shared" si="95"/>
        <v>Sep</v>
      </c>
      <c r="Q1989" s="23" t="str">
        <f>IF(F1989="CAPTURE",IF(COUNTIF(orders!$A:$A,O1989)&gt;0,"Yes","NO ORDER"),"")</f>
        <v>Yes</v>
      </c>
    </row>
    <row r="1990" spans="1:17" ht="15" customHeight="1" x14ac:dyDescent="0.3">
      <c r="A1990" s="23" t="s">
        <v>14723</v>
      </c>
      <c r="B1990" s="23"/>
      <c r="C1990" s="23" t="s">
        <v>9146</v>
      </c>
      <c r="D1990" s="23" t="str">
        <f t="shared" si="93"/>
        <v>ORD26004335</v>
      </c>
      <c r="E1990" s="38">
        <v>46276</v>
      </c>
      <c r="F1990" s="23" t="s">
        <v>12410</v>
      </c>
      <c r="G1990" s="23" t="s">
        <v>75</v>
      </c>
      <c r="H1990" s="24">
        <v>6647</v>
      </c>
      <c r="I1990" s="24">
        <v>19.940000000000001</v>
      </c>
      <c r="J1990" s="24">
        <v>3.59</v>
      </c>
      <c r="K1990" s="24">
        <v>6623.47</v>
      </c>
      <c r="L1990" s="38">
        <v>46278</v>
      </c>
      <c r="M1990" s="23" t="s">
        <v>196</v>
      </c>
      <c r="N1990" s="23" t="str">
        <f>IF(COUNTIF($A$2:A1990,A1990)&gt;1,"DUP","OK")</f>
        <v>OK</v>
      </c>
      <c r="O1990" s="23" t="str">
        <f t="shared" si="94"/>
        <v>ORD26004335</v>
      </c>
      <c r="P1990" s="23" t="str">
        <f t="shared" si="95"/>
        <v>Sep</v>
      </c>
      <c r="Q1990" s="23" t="str">
        <f>IF(F1990="CAPTURE",IF(COUNTIF(orders!$A:$A,O1990)&gt;0,"Yes","NO ORDER"),"")</f>
        <v>Yes</v>
      </c>
    </row>
    <row r="1991" spans="1:17" ht="15" customHeight="1" x14ac:dyDescent="0.3">
      <c r="A1991" s="23" t="s">
        <v>14724</v>
      </c>
      <c r="B1991" s="23"/>
      <c r="C1991" s="23" t="s">
        <v>9175</v>
      </c>
      <c r="D1991" s="23" t="str">
        <f t="shared" si="93"/>
        <v>ORD26004349</v>
      </c>
      <c r="E1991" s="38">
        <v>46276</v>
      </c>
      <c r="F1991" s="23" t="s">
        <v>12410</v>
      </c>
      <c r="G1991" s="23" t="s">
        <v>79</v>
      </c>
      <c r="H1991" s="24">
        <v>3498</v>
      </c>
      <c r="I1991" s="24">
        <v>55.97</v>
      </c>
      <c r="J1991" s="24">
        <v>10.07</v>
      </c>
      <c r="K1991" s="24">
        <v>3431.96</v>
      </c>
      <c r="L1991" s="38">
        <v>46278</v>
      </c>
      <c r="M1991" s="23" t="s">
        <v>196</v>
      </c>
      <c r="N1991" s="23" t="str">
        <f>IF(COUNTIF($A$2:A1991,A1991)&gt;1,"DUP","OK")</f>
        <v>OK</v>
      </c>
      <c r="O1991" s="23" t="str">
        <f t="shared" si="94"/>
        <v>ORD26004349</v>
      </c>
      <c r="P1991" s="23" t="str">
        <f t="shared" si="95"/>
        <v>Sep</v>
      </c>
      <c r="Q1991" s="23" t="str">
        <f>IF(F1991="CAPTURE",IF(COUNTIF(orders!$A:$A,O1991)&gt;0,"Yes","NO ORDER"),"")</f>
        <v>Yes</v>
      </c>
    </row>
    <row r="1992" spans="1:17" ht="15" customHeight="1" x14ac:dyDescent="0.3">
      <c r="A1992" s="23" t="s">
        <v>14725</v>
      </c>
      <c r="B1992" s="23"/>
      <c r="C1992" s="23" t="s">
        <v>14726</v>
      </c>
      <c r="D1992" s="23" t="str">
        <f t="shared" si="93"/>
        <v>ORD26004359</v>
      </c>
      <c r="E1992" s="38">
        <v>46276</v>
      </c>
      <c r="F1992" s="23" t="s">
        <v>12410</v>
      </c>
      <c r="G1992" s="23" t="s">
        <v>75</v>
      </c>
      <c r="H1992" s="24">
        <v>3499</v>
      </c>
      <c r="I1992" s="24">
        <v>10.5</v>
      </c>
      <c r="J1992" s="24">
        <v>1.89</v>
      </c>
      <c r="K1992" s="24">
        <v>3486.61</v>
      </c>
      <c r="L1992" s="38">
        <v>46278</v>
      </c>
      <c r="M1992" s="23" t="s">
        <v>196</v>
      </c>
      <c r="N1992" s="23" t="str">
        <f>IF(COUNTIF($A$2:A1992,A1992)&gt;1,"DUP","OK")</f>
        <v>OK</v>
      </c>
      <c r="O1992" s="23" t="str">
        <f t="shared" si="94"/>
        <v>ORD26004359</v>
      </c>
      <c r="P1992" s="23" t="str">
        <f t="shared" si="95"/>
        <v>Sep</v>
      </c>
      <c r="Q1992" s="23" t="str">
        <f>IF(F1992="CAPTURE",IF(COUNTIF(orders!$A:$A,O1992)&gt;0,"Yes","NO ORDER"),"")</f>
        <v>Yes</v>
      </c>
    </row>
    <row r="1993" spans="1:17" ht="15" customHeight="1" x14ac:dyDescent="0.3">
      <c r="A1993" s="23" t="s">
        <v>14727</v>
      </c>
      <c r="B1993" s="23"/>
      <c r="C1993" s="23" t="s">
        <v>9206</v>
      </c>
      <c r="D1993" s="23" t="str">
        <f t="shared" si="93"/>
        <v>ORD26004365</v>
      </c>
      <c r="E1993" s="38">
        <v>46276</v>
      </c>
      <c r="F1993" s="23" t="s">
        <v>12410</v>
      </c>
      <c r="G1993" s="23" t="s">
        <v>81</v>
      </c>
      <c r="H1993" s="24">
        <v>799</v>
      </c>
      <c r="I1993" s="24">
        <v>11.99</v>
      </c>
      <c r="J1993" s="24">
        <v>2.16</v>
      </c>
      <c r="K1993" s="24">
        <v>784.85</v>
      </c>
      <c r="L1993" s="38">
        <v>46278</v>
      </c>
      <c r="M1993" s="23" t="s">
        <v>196</v>
      </c>
      <c r="N1993" s="23" t="str">
        <f>IF(COUNTIF($A$2:A1993,A1993)&gt;1,"DUP","OK")</f>
        <v>OK</v>
      </c>
      <c r="O1993" s="23" t="str">
        <f t="shared" si="94"/>
        <v>ORD26004365</v>
      </c>
      <c r="P1993" s="23" t="str">
        <f t="shared" si="95"/>
        <v>Sep</v>
      </c>
      <c r="Q1993" s="23" t="str">
        <f>IF(F1993="CAPTURE",IF(COUNTIF(orders!$A:$A,O1993)&gt;0,"Yes","NO ORDER"),"")</f>
        <v>Yes</v>
      </c>
    </row>
    <row r="1994" spans="1:17" ht="15" customHeight="1" x14ac:dyDescent="0.3">
      <c r="A1994" s="23" t="s">
        <v>14728</v>
      </c>
      <c r="B1994" s="23"/>
      <c r="C1994" s="23" t="s">
        <v>9219</v>
      </c>
      <c r="D1994" s="23" t="str">
        <f t="shared" si="93"/>
        <v>ORD26004372</v>
      </c>
      <c r="E1994" s="38">
        <v>46276</v>
      </c>
      <c r="F1994" s="23" t="s">
        <v>12410</v>
      </c>
      <c r="G1994" s="23" t="s">
        <v>75</v>
      </c>
      <c r="H1994" s="24">
        <v>9498</v>
      </c>
      <c r="I1994" s="24">
        <v>28.49</v>
      </c>
      <c r="J1994" s="24">
        <v>5.13</v>
      </c>
      <c r="K1994" s="24">
        <v>9464.3799999999992</v>
      </c>
      <c r="L1994" s="38">
        <v>46278</v>
      </c>
      <c r="M1994" s="23" t="s">
        <v>196</v>
      </c>
      <c r="N1994" s="23" t="str">
        <f>IF(COUNTIF($A$2:A1994,A1994)&gt;1,"DUP","OK")</f>
        <v>OK</v>
      </c>
      <c r="O1994" s="23" t="str">
        <f t="shared" si="94"/>
        <v>ORD26004372</v>
      </c>
      <c r="P1994" s="23" t="str">
        <f t="shared" si="95"/>
        <v>Sep</v>
      </c>
      <c r="Q1994" s="23" t="str">
        <f>IF(F1994="CAPTURE",IF(COUNTIF(orders!$A:$A,O1994)&gt;0,"Yes","NO ORDER"),"")</f>
        <v>Yes</v>
      </c>
    </row>
    <row r="1995" spans="1:17" ht="15" customHeight="1" x14ac:dyDescent="0.3">
      <c r="A1995" s="23" t="s">
        <v>14729</v>
      </c>
      <c r="B1995" s="23"/>
      <c r="C1995" s="23" t="s">
        <v>14730</v>
      </c>
      <c r="D1995" s="23" t="str">
        <f t="shared" si="93"/>
        <v>ORD26004381</v>
      </c>
      <c r="E1995" s="38">
        <v>46276</v>
      </c>
      <c r="F1995" s="23" t="s">
        <v>12410</v>
      </c>
      <c r="G1995" s="23" t="s">
        <v>75</v>
      </c>
      <c r="H1995" s="24">
        <v>7999</v>
      </c>
      <c r="I1995" s="24">
        <v>24</v>
      </c>
      <c r="J1995" s="24">
        <v>4.32</v>
      </c>
      <c r="K1995" s="24">
        <v>7970.68</v>
      </c>
      <c r="L1995" s="38">
        <v>46278</v>
      </c>
      <c r="M1995" s="23" t="s">
        <v>196</v>
      </c>
      <c r="N1995" s="23" t="str">
        <f>IF(COUNTIF($A$2:A1995,A1995)&gt;1,"DUP","OK")</f>
        <v>OK</v>
      </c>
      <c r="O1995" s="23" t="str">
        <f t="shared" si="94"/>
        <v>ORD26004381</v>
      </c>
      <c r="P1995" s="23" t="str">
        <f t="shared" si="95"/>
        <v>Sep</v>
      </c>
      <c r="Q1995" s="23" t="str">
        <f>IF(F1995="CAPTURE",IF(COUNTIF(orders!$A:$A,O1995)&gt;0,"Yes","NO ORDER"),"")</f>
        <v>Yes</v>
      </c>
    </row>
    <row r="1996" spans="1:17" ht="15" customHeight="1" x14ac:dyDescent="0.3">
      <c r="A1996" s="23" t="s">
        <v>14731</v>
      </c>
      <c r="B1996" s="23"/>
      <c r="C1996" s="23" t="s">
        <v>9336</v>
      </c>
      <c r="D1996" s="23" t="str">
        <f t="shared" si="93"/>
        <v>ORD26004432</v>
      </c>
      <c r="E1996" s="38">
        <v>46276</v>
      </c>
      <c r="F1996" s="23" t="s">
        <v>12410</v>
      </c>
      <c r="G1996" s="23" t="s">
        <v>75</v>
      </c>
      <c r="H1996" s="24">
        <v>2499</v>
      </c>
      <c r="I1996" s="24">
        <v>7.5</v>
      </c>
      <c r="J1996" s="24">
        <v>1.35</v>
      </c>
      <c r="K1996" s="24">
        <v>2490.15</v>
      </c>
      <c r="L1996" s="38">
        <v>46278</v>
      </c>
      <c r="M1996" s="23" t="s">
        <v>196</v>
      </c>
      <c r="N1996" s="23" t="str">
        <f>IF(COUNTIF($A$2:A1996,A1996)&gt;1,"DUP","OK")</f>
        <v>OK</v>
      </c>
      <c r="O1996" s="23" t="str">
        <f t="shared" si="94"/>
        <v>ORD26004432</v>
      </c>
      <c r="P1996" s="23" t="str">
        <f t="shared" si="95"/>
        <v>Sep</v>
      </c>
      <c r="Q1996" s="23" t="str">
        <f>IF(F1996="CAPTURE",IF(COUNTIF(orders!$A:$A,O1996)&gt;0,"Yes","NO ORDER"),"")</f>
        <v>Yes</v>
      </c>
    </row>
    <row r="1997" spans="1:17" ht="15" customHeight="1" x14ac:dyDescent="0.3">
      <c r="A1997" s="23" t="s">
        <v>14732</v>
      </c>
      <c r="B1997" s="23"/>
      <c r="C1997" s="23" t="s">
        <v>14733</v>
      </c>
      <c r="D1997" s="23" t="str">
        <f t="shared" si="93"/>
        <v>ORD26004434</v>
      </c>
      <c r="E1997" s="38">
        <v>46276</v>
      </c>
      <c r="F1997" s="23" t="s">
        <v>12410</v>
      </c>
      <c r="G1997" s="23" t="s">
        <v>77</v>
      </c>
      <c r="H1997" s="24">
        <v>4999</v>
      </c>
      <c r="I1997" s="24">
        <v>84.98</v>
      </c>
      <c r="J1997" s="24">
        <v>15.3</v>
      </c>
      <c r="K1997" s="24">
        <v>4898.72</v>
      </c>
      <c r="L1997" s="38">
        <v>46278</v>
      </c>
      <c r="M1997" s="23" t="s">
        <v>196</v>
      </c>
      <c r="N1997" s="23" t="str">
        <f>IF(COUNTIF($A$2:A1997,A1997)&gt;1,"DUP","OK")</f>
        <v>OK</v>
      </c>
      <c r="O1997" s="23" t="str">
        <f t="shared" si="94"/>
        <v>ORD26004434</v>
      </c>
      <c r="P1997" s="23" t="str">
        <f t="shared" si="95"/>
        <v>Sep</v>
      </c>
      <c r="Q1997" s="23" t="str">
        <f>IF(F1997="CAPTURE",IF(COUNTIF(orders!$A:$A,O1997)&gt;0,"Yes","NO ORDER"),"")</f>
        <v>Yes</v>
      </c>
    </row>
    <row r="1998" spans="1:17" ht="15" customHeight="1" x14ac:dyDescent="0.3">
      <c r="A1998" s="23" t="s">
        <v>14734</v>
      </c>
      <c r="B1998" s="23"/>
      <c r="C1998" s="23" t="s">
        <v>9371</v>
      </c>
      <c r="D1998" s="23" t="str">
        <f t="shared" si="93"/>
        <v>ORD26004449</v>
      </c>
      <c r="E1998" s="38">
        <v>46276</v>
      </c>
      <c r="F1998" s="23" t="s">
        <v>12410</v>
      </c>
      <c r="G1998" s="23" t="s">
        <v>79</v>
      </c>
      <c r="H1998" s="24">
        <v>299</v>
      </c>
      <c r="I1998" s="24">
        <v>5.38</v>
      </c>
      <c r="J1998" s="24">
        <v>0.97</v>
      </c>
      <c r="K1998" s="24">
        <v>292.64999999999998</v>
      </c>
      <c r="L1998" s="38">
        <v>46278</v>
      </c>
      <c r="M1998" s="23" t="s">
        <v>196</v>
      </c>
      <c r="N1998" s="23" t="str">
        <f>IF(COUNTIF($A$2:A1998,A1998)&gt;1,"DUP","OK")</f>
        <v>OK</v>
      </c>
      <c r="O1998" s="23" t="str">
        <f t="shared" si="94"/>
        <v>ORD26004449</v>
      </c>
      <c r="P1998" s="23" t="str">
        <f t="shared" si="95"/>
        <v>Sep</v>
      </c>
      <c r="Q1998" s="23" t="str">
        <f>IF(F1998="CAPTURE",IF(COUNTIF(orders!$A:$A,O1998)&gt;0,"Yes","NO ORDER"),"")</f>
        <v>Yes</v>
      </c>
    </row>
    <row r="1999" spans="1:17" ht="15" customHeight="1" x14ac:dyDescent="0.3">
      <c r="A1999" s="23" t="s">
        <v>14735</v>
      </c>
      <c r="B1999" s="23"/>
      <c r="C1999" s="23" t="s">
        <v>14736</v>
      </c>
      <c r="D1999" s="23" t="str">
        <f t="shared" si="93"/>
        <v>ORD26004463</v>
      </c>
      <c r="E1999" s="38">
        <v>46276</v>
      </c>
      <c r="F1999" s="23" t="s">
        <v>12410</v>
      </c>
      <c r="G1999" s="23" t="s">
        <v>81</v>
      </c>
      <c r="H1999" s="24">
        <v>798</v>
      </c>
      <c r="I1999" s="24">
        <v>11.97</v>
      </c>
      <c r="J1999" s="24">
        <v>2.15</v>
      </c>
      <c r="K1999" s="24">
        <v>783.88</v>
      </c>
      <c r="L1999" s="38">
        <v>46278</v>
      </c>
      <c r="M1999" s="23" t="s">
        <v>196</v>
      </c>
      <c r="N1999" s="23" t="str">
        <f>IF(COUNTIF($A$2:A1999,A1999)&gt;1,"DUP","OK")</f>
        <v>OK</v>
      </c>
      <c r="O1999" s="23" t="str">
        <f t="shared" si="94"/>
        <v>ORD26004463</v>
      </c>
      <c r="P1999" s="23" t="str">
        <f t="shared" si="95"/>
        <v>Sep</v>
      </c>
      <c r="Q1999" s="23" t="str">
        <f>IF(F1999="CAPTURE",IF(COUNTIF(orders!$A:$A,O1999)&gt;0,"Yes","NO ORDER"),"")</f>
        <v>Yes</v>
      </c>
    </row>
    <row r="2000" spans="1:17" ht="15" customHeight="1" x14ac:dyDescent="0.3">
      <c r="A2000" s="23" t="s">
        <v>14737</v>
      </c>
      <c r="B2000" s="23"/>
      <c r="C2000" s="23" t="s">
        <v>14738</v>
      </c>
      <c r="D2000" s="23" t="str">
        <f t="shared" si="93"/>
        <v>ORD26004520</v>
      </c>
      <c r="E2000" s="38">
        <v>46276</v>
      </c>
      <c r="F2000" s="23" t="s">
        <v>12410</v>
      </c>
      <c r="G2000" s="23" t="s">
        <v>75</v>
      </c>
      <c r="H2000" s="24">
        <v>6297</v>
      </c>
      <c r="I2000" s="24">
        <v>18.89</v>
      </c>
      <c r="J2000" s="24">
        <v>3.4</v>
      </c>
      <c r="K2000" s="24">
        <v>6274.71</v>
      </c>
      <c r="L2000" s="38">
        <v>46278</v>
      </c>
      <c r="M2000" s="23" t="s">
        <v>196</v>
      </c>
      <c r="N2000" s="23" t="str">
        <f>IF(COUNTIF($A$2:A2000,A2000)&gt;1,"DUP","OK")</f>
        <v>OK</v>
      </c>
      <c r="O2000" s="23" t="str">
        <f t="shared" si="94"/>
        <v>ORD26004520</v>
      </c>
      <c r="P2000" s="23" t="str">
        <f t="shared" si="95"/>
        <v>Sep</v>
      </c>
      <c r="Q2000" s="23" t="str">
        <f>IF(F2000="CAPTURE",IF(COUNTIF(orders!$A:$A,O2000)&gt;0,"Yes","NO ORDER"),"")</f>
        <v>Yes</v>
      </c>
    </row>
    <row r="2001" spans="1:17" ht="15" customHeight="1" x14ac:dyDescent="0.3">
      <c r="A2001" s="23" t="s">
        <v>14739</v>
      </c>
      <c r="B2001" s="23"/>
      <c r="C2001" s="23" t="s">
        <v>9575</v>
      </c>
      <c r="D2001" s="23" t="str">
        <f t="shared" si="93"/>
        <v>ORD26004551</v>
      </c>
      <c r="E2001" s="38">
        <v>46276</v>
      </c>
      <c r="F2001" s="23" t="s">
        <v>12410</v>
      </c>
      <c r="G2001" s="23" t="s">
        <v>75</v>
      </c>
      <c r="H2001" s="24">
        <v>8498</v>
      </c>
      <c r="I2001" s="24">
        <v>25.49</v>
      </c>
      <c r="J2001" s="24">
        <v>4.59</v>
      </c>
      <c r="K2001" s="24">
        <v>8467.92</v>
      </c>
      <c r="L2001" s="38">
        <v>46278</v>
      </c>
      <c r="M2001" s="23" t="s">
        <v>196</v>
      </c>
      <c r="N2001" s="23" t="str">
        <f>IF(COUNTIF($A$2:A2001,A2001)&gt;1,"DUP","OK")</f>
        <v>OK</v>
      </c>
      <c r="O2001" s="23" t="str">
        <f t="shared" si="94"/>
        <v>ORD26004551</v>
      </c>
      <c r="P2001" s="23" t="str">
        <f t="shared" si="95"/>
        <v>Sep</v>
      </c>
      <c r="Q2001" s="23" t="str">
        <f>IF(F2001="CAPTURE",IF(COUNTIF(orders!$A:$A,O2001)&gt;0,"Yes","NO ORDER"),"")</f>
        <v>Yes</v>
      </c>
    </row>
    <row r="2002" spans="1:17" ht="15" customHeight="1" x14ac:dyDescent="0.3">
      <c r="A2002" s="23" t="s">
        <v>14740</v>
      </c>
      <c r="B2002" s="23"/>
      <c r="C2002" s="23" t="s">
        <v>9630</v>
      </c>
      <c r="D2002" s="23" t="str">
        <f t="shared" si="93"/>
        <v>ORD26004579</v>
      </c>
      <c r="E2002" s="38">
        <v>46276</v>
      </c>
      <c r="F2002" s="23" t="s">
        <v>12410</v>
      </c>
      <c r="G2002" s="23" t="s">
        <v>75</v>
      </c>
      <c r="H2002" s="24">
        <v>8597</v>
      </c>
      <c r="I2002" s="24">
        <v>25.79</v>
      </c>
      <c r="J2002" s="24">
        <v>4.6399999999999997</v>
      </c>
      <c r="K2002" s="24">
        <v>8566.57</v>
      </c>
      <c r="L2002" s="38">
        <v>46278</v>
      </c>
      <c r="M2002" s="23" t="s">
        <v>196</v>
      </c>
      <c r="N2002" s="23" t="str">
        <f>IF(COUNTIF($A$2:A2002,A2002)&gt;1,"DUP","OK")</f>
        <v>OK</v>
      </c>
      <c r="O2002" s="23" t="str">
        <f t="shared" si="94"/>
        <v>ORD26004579</v>
      </c>
      <c r="P2002" s="23" t="str">
        <f t="shared" si="95"/>
        <v>Sep</v>
      </c>
      <c r="Q2002" s="23" t="str">
        <f>IF(F2002="CAPTURE",IF(COUNTIF(orders!$A:$A,O2002)&gt;0,"Yes","NO ORDER"),"")</f>
        <v>Yes</v>
      </c>
    </row>
    <row r="2003" spans="1:17" ht="15" customHeight="1" x14ac:dyDescent="0.3">
      <c r="A2003" s="23" t="s">
        <v>14741</v>
      </c>
      <c r="B2003" s="23"/>
      <c r="C2003" s="23" t="s">
        <v>9680</v>
      </c>
      <c r="D2003" s="23" t="str">
        <f t="shared" si="93"/>
        <v>ORD26004604</v>
      </c>
      <c r="E2003" s="38">
        <v>46276</v>
      </c>
      <c r="F2003" s="23" t="s">
        <v>12410</v>
      </c>
      <c r="G2003" s="23" t="s">
        <v>79</v>
      </c>
      <c r="H2003" s="24">
        <v>8798</v>
      </c>
      <c r="I2003" s="24">
        <v>140.77000000000001</v>
      </c>
      <c r="J2003" s="24">
        <v>25.34</v>
      </c>
      <c r="K2003" s="24">
        <v>8631.89</v>
      </c>
      <c r="L2003" s="38">
        <v>46278</v>
      </c>
      <c r="M2003" s="23" t="s">
        <v>196</v>
      </c>
      <c r="N2003" s="23" t="str">
        <f>IF(COUNTIF($A$2:A2003,A2003)&gt;1,"DUP","OK")</f>
        <v>OK</v>
      </c>
      <c r="O2003" s="23" t="str">
        <f t="shared" si="94"/>
        <v>ORD26004604</v>
      </c>
      <c r="P2003" s="23" t="str">
        <f t="shared" si="95"/>
        <v>Sep</v>
      </c>
      <c r="Q2003" s="23" t="str">
        <f>IF(F2003="CAPTURE",IF(COUNTIF(orders!$A:$A,O2003)&gt;0,"Yes","NO ORDER"),"")</f>
        <v>Yes</v>
      </c>
    </row>
    <row r="2004" spans="1:17" ht="15" customHeight="1" x14ac:dyDescent="0.3">
      <c r="A2004" s="23" t="s">
        <v>14742</v>
      </c>
      <c r="B2004" s="23"/>
      <c r="C2004" s="23" t="s">
        <v>9751</v>
      </c>
      <c r="D2004" s="23" t="str">
        <f t="shared" si="93"/>
        <v>ORD26004640</v>
      </c>
      <c r="E2004" s="38">
        <v>46276</v>
      </c>
      <c r="F2004" s="23" t="s">
        <v>12410</v>
      </c>
      <c r="G2004" s="23" t="s">
        <v>75</v>
      </c>
      <c r="H2004" s="24">
        <v>1299</v>
      </c>
      <c r="I2004" s="24">
        <v>0</v>
      </c>
      <c r="J2004" s="24">
        <v>0</v>
      </c>
      <c r="K2004" s="24">
        <v>1299</v>
      </c>
      <c r="L2004" s="38">
        <v>46278</v>
      </c>
      <c r="M2004" s="23" t="s">
        <v>196</v>
      </c>
      <c r="N2004" s="23" t="str">
        <f>IF(COUNTIF($A$2:A2004,A2004)&gt;1,"DUP","OK")</f>
        <v>OK</v>
      </c>
      <c r="O2004" s="23" t="str">
        <f t="shared" si="94"/>
        <v>ORD26004640</v>
      </c>
      <c r="P2004" s="23" t="str">
        <f t="shared" si="95"/>
        <v>Sep</v>
      </c>
      <c r="Q2004" s="23" t="str">
        <f>IF(F2004="CAPTURE",IF(COUNTIF(orders!$A:$A,O2004)&gt;0,"Yes","NO ORDER"),"")</f>
        <v>Yes</v>
      </c>
    </row>
    <row r="2005" spans="1:17" ht="15" customHeight="1" x14ac:dyDescent="0.3">
      <c r="A2005" s="23" t="s">
        <v>14743</v>
      </c>
      <c r="B2005" s="23"/>
      <c r="C2005" s="23" t="s">
        <v>9774</v>
      </c>
      <c r="D2005" s="23" t="str">
        <f t="shared" si="93"/>
        <v>ORD26004652</v>
      </c>
      <c r="E2005" s="38">
        <v>46276</v>
      </c>
      <c r="F2005" s="23" t="s">
        <v>12410</v>
      </c>
      <c r="G2005" s="23" t="s">
        <v>75</v>
      </c>
      <c r="H2005" s="24">
        <v>2998</v>
      </c>
      <c r="I2005" s="24">
        <v>8.99</v>
      </c>
      <c r="J2005" s="24">
        <v>1.62</v>
      </c>
      <c r="K2005" s="24">
        <v>2987.39</v>
      </c>
      <c r="L2005" s="38">
        <v>46278</v>
      </c>
      <c r="M2005" s="23" t="s">
        <v>196</v>
      </c>
      <c r="N2005" s="23" t="str">
        <f>IF(COUNTIF($A$2:A2005,A2005)&gt;1,"DUP","OK")</f>
        <v>OK</v>
      </c>
      <c r="O2005" s="23" t="str">
        <f t="shared" si="94"/>
        <v>ORD26004652</v>
      </c>
      <c r="P2005" s="23" t="str">
        <f t="shared" si="95"/>
        <v>Sep</v>
      </c>
      <c r="Q2005" s="23" t="str">
        <f>IF(F2005="CAPTURE",IF(COUNTIF(orders!$A:$A,O2005)&gt;0,"Yes","NO ORDER"),"")</f>
        <v>Yes</v>
      </c>
    </row>
    <row r="2006" spans="1:17" ht="15" customHeight="1" x14ac:dyDescent="0.3">
      <c r="A2006" s="23" t="s">
        <v>14744</v>
      </c>
      <c r="B2006" s="23"/>
      <c r="C2006" s="23" t="s">
        <v>9806</v>
      </c>
      <c r="D2006" s="23" t="str">
        <f t="shared" si="93"/>
        <v>ORD26004669</v>
      </c>
      <c r="E2006" s="38">
        <v>46276</v>
      </c>
      <c r="F2006" s="23" t="s">
        <v>12410</v>
      </c>
      <c r="G2006" s="23" t="s">
        <v>75</v>
      </c>
      <c r="H2006" s="24">
        <v>8498</v>
      </c>
      <c r="I2006" s="24">
        <v>25.49</v>
      </c>
      <c r="J2006" s="24">
        <v>4.59</v>
      </c>
      <c r="K2006" s="24">
        <v>8467.92</v>
      </c>
      <c r="L2006" s="38">
        <v>46278</v>
      </c>
      <c r="M2006" s="23" t="s">
        <v>196</v>
      </c>
      <c r="N2006" s="23" t="str">
        <f>IF(COUNTIF($A$2:A2006,A2006)&gt;1,"DUP","OK")</f>
        <v>OK</v>
      </c>
      <c r="O2006" s="23" t="str">
        <f t="shared" si="94"/>
        <v>ORD26004669</v>
      </c>
      <c r="P2006" s="23" t="str">
        <f t="shared" si="95"/>
        <v>Sep</v>
      </c>
      <c r="Q2006" s="23" t="str">
        <f>IF(F2006="CAPTURE",IF(COUNTIF(orders!$A:$A,O2006)&gt;0,"Yes","NO ORDER"),"")</f>
        <v>Yes</v>
      </c>
    </row>
    <row r="2007" spans="1:17" ht="15" customHeight="1" x14ac:dyDescent="0.3">
      <c r="A2007" s="23" t="s">
        <v>14745</v>
      </c>
      <c r="B2007" s="23"/>
      <c r="C2007" s="23" t="s">
        <v>9878</v>
      </c>
      <c r="D2007" s="23" t="str">
        <f t="shared" si="93"/>
        <v>ORD26004705</v>
      </c>
      <c r="E2007" s="38">
        <v>46276</v>
      </c>
      <c r="F2007" s="23" t="s">
        <v>12410</v>
      </c>
      <c r="G2007" s="23" t="s">
        <v>75</v>
      </c>
      <c r="H2007" s="24">
        <v>1799</v>
      </c>
      <c r="I2007" s="24">
        <v>0</v>
      </c>
      <c r="J2007" s="24">
        <v>0</v>
      </c>
      <c r="K2007" s="24">
        <v>1799</v>
      </c>
      <c r="L2007" s="38">
        <v>46278</v>
      </c>
      <c r="M2007" s="23" t="s">
        <v>196</v>
      </c>
      <c r="N2007" s="23" t="str">
        <f>IF(COUNTIF($A$2:A2007,A2007)&gt;1,"DUP","OK")</f>
        <v>OK</v>
      </c>
      <c r="O2007" s="23" t="str">
        <f t="shared" si="94"/>
        <v>ORD26004705</v>
      </c>
      <c r="P2007" s="23" t="str">
        <f t="shared" si="95"/>
        <v>Sep</v>
      </c>
      <c r="Q2007" s="23" t="str">
        <f>IF(F2007="CAPTURE",IF(COUNTIF(orders!$A:$A,O2007)&gt;0,"Yes","NO ORDER"),"")</f>
        <v>Yes</v>
      </c>
    </row>
    <row r="2008" spans="1:17" ht="15" customHeight="1" x14ac:dyDescent="0.3">
      <c r="A2008" s="23" t="s">
        <v>14746</v>
      </c>
      <c r="B2008" s="23"/>
      <c r="C2008" s="23" t="s">
        <v>9944</v>
      </c>
      <c r="D2008" s="23" t="str">
        <f t="shared" si="93"/>
        <v>ORD26004740</v>
      </c>
      <c r="E2008" s="38">
        <v>46276</v>
      </c>
      <c r="F2008" s="23" t="s">
        <v>12410</v>
      </c>
      <c r="G2008" s="23" t="s">
        <v>75</v>
      </c>
      <c r="H2008" s="24">
        <v>2999</v>
      </c>
      <c r="I2008" s="24">
        <v>9</v>
      </c>
      <c r="J2008" s="24">
        <v>1.62</v>
      </c>
      <c r="K2008" s="24">
        <v>2988.38</v>
      </c>
      <c r="L2008" s="38">
        <v>46278</v>
      </c>
      <c r="M2008" s="23" t="s">
        <v>196</v>
      </c>
      <c r="N2008" s="23" t="str">
        <f>IF(COUNTIF($A$2:A2008,A2008)&gt;1,"DUP","OK")</f>
        <v>OK</v>
      </c>
      <c r="O2008" s="23" t="str">
        <f t="shared" si="94"/>
        <v>ORD26004740</v>
      </c>
      <c r="P2008" s="23" t="str">
        <f t="shared" si="95"/>
        <v>Sep</v>
      </c>
      <c r="Q2008" s="23" t="str">
        <f>IF(F2008="CAPTURE",IF(COUNTIF(orders!$A:$A,O2008)&gt;0,"Yes","NO ORDER"),"")</f>
        <v>Yes</v>
      </c>
    </row>
    <row r="2009" spans="1:17" ht="15" customHeight="1" x14ac:dyDescent="0.3">
      <c r="A2009" s="23" t="s">
        <v>14747</v>
      </c>
      <c r="B2009" s="23"/>
      <c r="C2009" s="23" t="s">
        <v>14748</v>
      </c>
      <c r="D2009" s="23" t="str">
        <f t="shared" si="93"/>
        <v>ORD26004745</v>
      </c>
      <c r="E2009" s="38">
        <v>46276</v>
      </c>
      <c r="F2009" s="23" t="s">
        <v>12410</v>
      </c>
      <c r="G2009" s="23" t="s">
        <v>75</v>
      </c>
      <c r="H2009" s="24">
        <v>999</v>
      </c>
      <c r="I2009" s="24">
        <v>0</v>
      </c>
      <c r="J2009" s="24">
        <v>0</v>
      </c>
      <c r="K2009" s="24">
        <v>999</v>
      </c>
      <c r="L2009" s="38">
        <v>46278</v>
      </c>
      <c r="M2009" s="23" t="s">
        <v>196</v>
      </c>
      <c r="N2009" s="23" t="str">
        <f>IF(COUNTIF($A$2:A2009,A2009)&gt;1,"DUP","OK")</f>
        <v>OK</v>
      </c>
      <c r="O2009" s="23" t="str">
        <f t="shared" si="94"/>
        <v>ORD26004745</v>
      </c>
      <c r="P2009" s="23" t="str">
        <f t="shared" si="95"/>
        <v>Sep</v>
      </c>
      <c r="Q2009" s="23" t="str">
        <f>IF(F2009="CAPTURE",IF(COUNTIF(orders!$A:$A,O2009)&gt;0,"Yes","NO ORDER"),"")</f>
        <v>Yes</v>
      </c>
    </row>
    <row r="2010" spans="1:17" ht="15" customHeight="1" x14ac:dyDescent="0.3">
      <c r="A2010" s="23" t="s">
        <v>14749</v>
      </c>
      <c r="B2010" s="23"/>
      <c r="C2010" s="23" t="s">
        <v>9958</v>
      </c>
      <c r="D2010" s="23" t="str">
        <f t="shared" si="93"/>
        <v>ORD26004747</v>
      </c>
      <c r="E2010" s="38">
        <v>46276</v>
      </c>
      <c r="F2010" s="23" t="s">
        <v>12410</v>
      </c>
      <c r="G2010" s="23" t="s">
        <v>75</v>
      </c>
      <c r="H2010" s="24">
        <v>1299</v>
      </c>
      <c r="I2010" s="24">
        <v>0</v>
      </c>
      <c r="J2010" s="24">
        <v>0</v>
      </c>
      <c r="K2010" s="24">
        <v>1299</v>
      </c>
      <c r="L2010" s="38">
        <v>46278</v>
      </c>
      <c r="M2010" s="23" t="s">
        <v>196</v>
      </c>
      <c r="N2010" s="23" t="str">
        <f>IF(COUNTIF($A$2:A2010,A2010)&gt;1,"DUP","OK")</f>
        <v>OK</v>
      </c>
      <c r="O2010" s="23" t="str">
        <f t="shared" si="94"/>
        <v>ORD26004747</v>
      </c>
      <c r="P2010" s="23" t="str">
        <f t="shared" si="95"/>
        <v>Sep</v>
      </c>
      <c r="Q2010" s="23" t="str">
        <f>IF(F2010="CAPTURE",IF(COUNTIF(orders!$A:$A,O2010)&gt;0,"Yes","NO ORDER"),"")</f>
        <v>Yes</v>
      </c>
    </row>
    <row r="2011" spans="1:17" ht="15" customHeight="1" x14ac:dyDescent="0.3">
      <c r="A2011" s="23" t="s">
        <v>14750</v>
      </c>
      <c r="B2011" s="23"/>
      <c r="C2011" s="23" t="s">
        <v>9979</v>
      </c>
      <c r="D2011" s="23" t="str">
        <f t="shared" si="93"/>
        <v>ORD26004757</v>
      </c>
      <c r="E2011" s="38">
        <v>46276</v>
      </c>
      <c r="F2011" s="23" t="s">
        <v>12410</v>
      </c>
      <c r="G2011" s="23" t="s">
        <v>75</v>
      </c>
      <c r="H2011" s="24">
        <v>1499</v>
      </c>
      <c r="I2011" s="24">
        <v>0</v>
      </c>
      <c r="J2011" s="24">
        <v>0</v>
      </c>
      <c r="K2011" s="24">
        <v>1499</v>
      </c>
      <c r="L2011" s="38">
        <v>46278</v>
      </c>
      <c r="M2011" s="23" t="s">
        <v>196</v>
      </c>
      <c r="N2011" s="23" t="str">
        <f>IF(COUNTIF($A$2:A2011,A2011)&gt;1,"DUP","OK")</f>
        <v>OK</v>
      </c>
      <c r="O2011" s="23" t="str">
        <f t="shared" si="94"/>
        <v>ORD26004757</v>
      </c>
      <c r="P2011" s="23" t="str">
        <f t="shared" si="95"/>
        <v>Sep</v>
      </c>
      <c r="Q2011" s="23" t="str">
        <f>IF(F2011="CAPTURE",IF(COUNTIF(orders!$A:$A,O2011)&gt;0,"Yes","NO ORDER"),"")</f>
        <v>Yes</v>
      </c>
    </row>
    <row r="2012" spans="1:17" ht="15" customHeight="1" x14ac:dyDescent="0.3">
      <c r="A2012" s="23" t="s">
        <v>14751</v>
      </c>
      <c r="B2012" s="23"/>
      <c r="C2012" s="23" t="s">
        <v>10011</v>
      </c>
      <c r="D2012" s="23" t="str">
        <f t="shared" si="93"/>
        <v>ORD26004774</v>
      </c>
      <c r="E2012" s="38">
        <v>46276</v>
      </c>
      <c r="F2012" s="23" t="s">
        <v>12410</v>
      </c>
      <c r="G2012" s="23" t="s">
        <v>75</v>
      </c>
      <c r="H2012" s="24">
        <v>5498</v>
      </c>
      <c r="I2012" s="24">
        <v>16.489999999999998</v>
      </c>
      <c r="J2012" s="24">
        <v>2.97</v>
      </c>
      <c r="K2012" s="24">
        <v>5478.54</v>
      </c>
      <c r="L2012" s="38">
        <v>46278</v>
      </c>
      <c r="M2012" s="23" t="s">
        <v>196</v>
      </c>
      <c r="N2012" s="23" t="str">
        <f>IF(COUNTIF($A$2:A2012,A2012)&gt;1,"DUP","OK")</f>
        <v>OK</v>
      </c>
      <c r="O2012" s="23" t="str">
        <f t="shared" si="94"/>
        <v>ORD26004774</v>
      </c>
      <c r="P2012" s="23" t="str">
        <f t="shared" si="95"/>
        <v>Sep</v>
      </c>
      <c r="Q2012" s="23" t="str">
        <f>IF(F2012="CAPTURE",IF(COUNTIF(orders!$A:$A,O2012)&gt;0,"Yes","NO ORDER"),"")</f>
        <v>Yes</v>
      </c>
    </row>
    <row r="2013" spans="1:17" ht="15" customHeight="1" x14ac:dyDescent="0.3">
      <c r="A2013" s="23" t="s">
        <v>14752</v>
      </c>
      <c r="B2013" s="23"/>
      <c r="C2013" s="23" t="s">
        <v>10038</v>
      </c>
      <c r="D2013" s="23" t="str">
        <f t="shared" si="93"/>
        <v>ORD26004788</v>
      </c>
      <c r="E2013" s="38">
        <v>46276</v>
      </c>
      <c r="F2013" s="23" t="s">
        <v>12410</v>
      </c>
      <c r="G2013" s="23" t="s">
        <v>75</v>
      </c>
      <c r="H2013" s="24">
        <v>3298</v>
      </c>
      <c r="I2013" s="24">
        <v>9.89</v>
      </c>
      <c r="J2013" s="24">
        <v>1.78</v>
      </c>
      <c r="K2013" s="24">
        <v>3286.33</v>
      </c>
      <c r="L2013" s="38">
        <v>46278</v>
      </c>
      <c r="M2013" s="23" t="s">
        <v>196</v>
      </c>
      <c r="N2013" s="23" t="str">
        <f>IF(COUNTIF($A$2:A2013,A2013)&gt;1,"DUP","OK")</f>
        <v>OK</v>
      </c>
      <c r="O2013" s="23" t="str">
        <f t="shared" si="94"/>
        <v>ORD26004788</v>
      </c>
      <c r="P2013" s="23" t="str">
        <f t="shared" si="95"/>
        <v>Sep</v>
      </c>
      <c r="Q2013" s="23" t="str">
        <f>IF(F2013="CAPTURE",IF(COUNTIF(orders!$A:$A,O2013)&gt;0,"Yes","NO ORDER"),"")</f>
        <v>Yes</v>
      </c>
    </row>
    <row r="2014" spans="1:17" ht="15" customHeight="1" x14ac:dyDescent="0.3">
      <c r="A2014" s="23" t="s">
        <v>14753</v>
      </c>
      <c r="B2014" s="23"/>
      <c r="C2014" s="23" t="s">
        <v>14754</v>
      </c>
      <c r="D2014" s="23" t="str">
        <f t="shared" si="93"/>
        <v>ORD26004836</v>
      </c>
      <c r="E2014" s="38">
        <v>46276</v>
      </c>
      <c r="F2014" s="23" t="s">
        <v>12410</v>
      </c>
      <c r="G2014" s="23" t="s">
        <v>75</v>
      </c>
      <c r="H2014" s="24">
        <v>2998</v>
      </c>
      <c r="I2014" s="24">
        <v>8.99</v>
      </c>
      <c r="J2014" s="24">
        <v>1.62</v>
      </c>
      <c r="K2014" s="24">
        <v>2987.39</v>
      </c>
      <c r="L2014" s="38">
        <v>46278</v>
      </c>
      <c r="M2014" s="23" t="s">
        <v>196</v>
      </c>
      <c r="N2014" s="23" t="str">
        <f>IF(COUNTIF($A$2:A2014,A2014)&gt;1,"DUP","OK")</f>
        <v>OK</v>
      </c>
      <c r="O2014" s="23" t="str">
        <f t="shared" si="94"/>
        <v>ORD26004836</v>
      </c>
      <c r="P2014" s="23" t="str">
        <f t="shared" si="95"/>
        <v>Sep</v>
      </c>
      <c r="Q2014" s="23" t="str">
        <f>IF(F2014="CAPTURE",IF(COUNTIF(orders!$A:$A,O2014)&gt;0,"Yes","NO ORDER"),"")</f>
        <v>Yes</v>
      </c>
    </row>
    <row r="2015" spans="1:17" ht="15" customHeight="1" x14ac:dyDescent="0.3">
      <c r="A2015" s="23" t="s">
        <v>14755</v>
      </c>
      <c r="B2015" s="23"/>
      <c r="C2015" s="23" t="s">
        <v>10172</v>
      </c>
      <c r="D2015" s="23" t="str">
        <f t="shared" si="93"/>
        <v>ORD26004856</v>
      </c>
      <c r="E2015" s="38">
        <v>46276</v>
      </c>
      <c r="F2015" s="23" t="s">
        <v>12410</v>
      </c>
      <c r="G2015" s="23" t="s">
        <v>79</v>
      </c>
      <c r="H2015" s="24">
        <v>499</v>
      </c>
      <c r="I2015" s="24">
        <v>8.98</v>
      </c>
      <c r="J2015" s="24">
        <v>1.62</v>
      </c>
      <c r="K2015" s="24">
        <v>488.4</v>
      </c>
      <c r="L2015" s="38">
        <v>46278</v>
      </c>
      <c r="M2015" s="23" t="s">
        <v>196</v>
      </c>
      <c r="N2015" s="23" t="str">
        <f>IF(COUNTIF($A$2:A2015,A2015)&gt;1,"DUP","OK")</f>
        <v>OK</v>
      </c>
      <c r="O2015" s="23" t="str">
        <f t="shared" si="94"/>
        <v>ORD26004856</v>
      </c>
      <c r="P2015" s="23" t="str">
        <f t="shared" si="95"/>
        <v>Sep</v>
      </c>
      <c r="Q2015" s="23" t="str">
        <f>IF(F2015="CAPTURE",IF(COUNTIF(orders!$A:$A,O2015)&gt;0,"Yes","NO ORDER"),"")</f>
        <v>Yes</v>
      </c>
    </row>
    <row r="2016" spans="1:17" ht="15" customHeight="1" x14ac:dyDescent="0.3">
      <c r="A2016" s="23" t="s">
        <v>14756</v>
      </c>
      <c r="B2016" s="23"/>
      <c r="C2016" s="23" t="s">
        <v>10195</v>
      </c>
      <c r="D2016" s="23" t="str">
        <f t="shared" si="93"/>
        <v>ORD26004868</v>
      </c>
      <c r="E2016" s="38">
        <v>46276</v>
      </c>
      <c r="F2016" s="23" t="s">
        <v>12410</v>
      </c>
      <c r="G2016" s="23" t="s">
        <v>79</v>
      </c>
      <c r="H2016" s="24">
        <v>4999</v>
      </c>
      <c r="I2016" s="24">
        <v>79.98</v>
      </c>
      <c r="J2016" s="24">
        <v>14.4</v>
      </c>
      <c r="K2016" s="24">
        <v>4904.62</v>
      </c>
      <c r="L2016" s="38">
        <v>46278</v>
      </c>
      <c r="M2016" s="23" t="s">
        <v>196</v>
      </c>
      <c r="N2016" s="23" t="str">
        <f>IF(COUNTIF($A$2:A2016,A2016)&gt;1,"DUP","OK")</f>
        <v>OK</v>
      </c>
      <c r="O2016" s="23" t="str">
        <f t="shared" si="94"/>
        <v>ORD26004868</v>
      </c>
      <c r="P2016" s="23" t="str">
        <f t="shared" si="95"/>
        <v>Sep</v>
      </c>
      <c r="Q2016" s="23" t="str">
        <f>IF(F2016="CAPTURE",IF(COUNTIF(orders!$A:$A,O2016)&gt;0,"Yes","NO ORDER"),"")</f>
        <v>Yes</v>
      </c>
    </row>
    <row r="2017" spans="1:17" ht="15" customHeight="1" x14ac:dyDescent="0.3">
      <c r="A2017" s="23" t="s">
        <v>14757</v>
      </c>
      <c r="B2017" s="23"/>
      <c r="C2017" s="23" t="s">
        <v>10200</v>
      </c>
      <c r="D2017" s="23" t="str">
        <f t="shared" si="93"/>
        <v>ORD26004871</v>
      </c>
      <c r="E2017" s="38">
        <v>46276</v>
      </c>
      <c r="F2017" s="23" t="s">
        <v>12410</v>
      </c>
      <c r="G2017" s="23" t="s">
        <v>81</v>
      </c>
      <c r="H2017" s="24">
        <v>2999</v>
      </c>
      <c r="I2017" s="24">
        <v>35.99</v>
      </c>
      <c r="J2017" s="24">
        <v>6.48</v>
      </c>
      <c r="K2017" s="24">
        <v>2956.53</v>
      </c>
      <c r="L2017" s="38">
        <v>46278</v>
      </c>
      <c r="M2017" s="23" t="s">
        <v>196</v>
      </c>
      <c r="N2017" s="23" t="str">
        <f>IF(COUNTIF($A$2:A2017,A2017)&gt;1,"DUP","OK")</f>
        <v>OK</v>
      </c>
      <c r="O2017" s="23" t="str">
        <f t="shared" si="94"/>
        <v>ORD26004871</v>
      </c>
      <c r="P2017" s="23" t="str">
        <f t="shared" si="95"/>
        <v>Sep</v>
      </c>
      <c r="Q2017" s="23" t="str">
        <f>IF(F2017="CAPTURE",IF(COUNTIF(orders!$A:$A,O2017)&gt;0,"Yes","NO ORDER"),"")</f>
        <v>Yes</v>
      </c>
    </row>
    <row r="2018" spans="1:17" ht="15" customHeight="1" x14ac:dyDescent="0.3">
      <c r="A2018" s="23" t="s">
        <v>14758</v>
      </c>
      <c r="B2018" s="23"/>
      <c r="C2018" s="23" t="s">
        <v>14759</v>
      </c>
      <c r="D2018" s="23" t="str">
        <f t="shared" si="93"/>
        <v>ORD26004878</v>
      </c>
      <c r="E2018" s="38">
        <v>46276</v>
      </c>
      <c r="F2018" s="23" t="s">
        <v>12410</v>
      </c>
      <c r="G2018" s="23" t="s">
        <v>75</v>
      </c>
      <c r="H2018" s="24">
        <v>4298</v>
      </c>
      <c r="I2018" s="24">
        <v>12.89</v>
      </c>
      <c r="J2018" s="24">
        <v>2.3199999999999998</v>
      </c>
      <c r="K2018" s="24">
        <v>4282.79</v>
      </c>
      <c r="L2018" s="38">
        <v>46278</v>
      </c>
      <c r="M2018" s="23" t="s">
        <v>196</v>
      </c>
      <c r="N2018" s="23" t="str">
        <f>IF(COUNTIF($A$2:A2018,A2018)&gt;1,"DUP","OK")</f>
        <v>OK</v>
      </c>
      <c r="O2018" s="23" t="str">
        <f t="shared" si="94"/>
        <v>ORD26004878</v>
      </c>
      <c r="P2018" s="23" t="str">
        <f t="shared" si="95"/>
        <v>Sep</v>
      </c>
      <c r="Q2018" s="23" t="str">
        <f>IF(F2018="CAPTURE",IF(COUNTIF(orders!$A:$A,O2018)&gt;0,"Yes","NO ORDER"),"")</f>
        <v>Yes</v>
      </c>
    </row>
    <row r="2019" spans="1:17" ht="15" customHeight="1" x14ac:dyDescent="0.3">
      <c r="A2019" s="23" t="s">
        <v>14760</v>
      </c>
      <c r="B2019" s="23"/>
      <c r="C2019" s="23" t="s">
        <v>10234</v>
      </c>
      <c r="D2019" s="23" t="str">
        <f t="shared" si="93"/>
        <v>ORD26004888</v>
      </c>
      <c r="E2019" s="38">
        <v>46276</v>
      </c>
      <c r="F2019" s="23" t="s">
        <v>12410</v>
      </c>
      <c r="G2019" s="23" t="s">
        <v>79</v>
      </c>
      <c r="H2019" s="24">
        <v>1997</v>
      </c>
      <c r="I2019" s="24">
        <v>35.950000000000003</v>
      </c>
      <c r="J2019" s="24">
        <v>6.47</v>
      </c>
      <c r="K2019" s="24">
        <v>1954.58</v>
      </c>
      <c r="L2019" s="38">
        <v>46278</v>
      </c>
      <c r="M2019" s="23" t="s">
        <v>196</v>
      </c>
      <c r="N2019" s="23" t="str">
        <f>IF(COUNTIF($A$2:A2019,A2019)&gt;1,"DUP","OK")</f>
        <v>OK</v>
      </c>
      <c r="O2019" s="23" t="str">
        <f t="shared" si="94"/>
        <v>ORD26004888</v>
      </c>
      <c r="P2019" s="23" t="str">
        <f t="shared" si="95"/>
        <v>Sep</v>
      </c>
      <c r="Q2019" s="23" t="str">
        <f>IF(F2019="CAPTURE",IF(COUNTIF(orders!$A:$A,O2019)&gt;0,"Yes","NO ORDER"),"")</f>
        <v>Yes</v>
      </c>
    </row>
    <row r="2020" spans="1:17" ht="15" customHeight="1" x14ac:dyDescent="0.3">
      <c r="A2020" s="23" t="s">
        <v>14761</v>
      </c>
      <c r="B2020" s="23"/>
      <c r="C2020" s="23" t="s">
        <v>10261</v>
      </c>
      <c r="D2020" s="23" t="str">
        <f t="shared" si="93"/>
        <v>ORD26004902</v>
      </c>
      <c r="E2020" s="38">
        <v>46276</v>
      </c>
      <c r="F2020" s="23" t="s">
        <v>12410</v>
      </c>
      <c r="G2020" s="23" t="s">
        <v>81</v>
      </c>
      <c r="H2020" s="24">
        <v>5998</v>
      </c>
      <c r="I2020" s="24">
        <v>71.98</v>
      </c>
      <c r="J2020" s="24">
        <v>12.96</v>
      </c>
      <c r="K2020" s="24">
        <v>5913.06</v>
      </c>
      <c r="L2020" s="38">
        <v>46278</v>
      </c>
      <c r="M2020" s="23" t="s">
        <v>196</v>
      </c>
      <c r="N2020" s="23" t="str">
        <f>IF(COUNTIF($A$2:A2020,A2020)&gt;1,"DUP","OK")</f>
        <v>OK</v>
      </c>
      <c r="O2020" s="23" t="str">
        <f t="shared" si="94"/>
        <v>ORD26004902</v>
      </c>
      <c r="P2020" s="23" t="str">
        <f t="shared" si="95"/>
        <v>Sep</v>
      </c>
      <c r="Q2020" s="23" t="str">
        <f>IF(F2020="CAPTURE",IF(COUNTIF(orders!$A:$A,O2020)&gt;0,"Yes","NO ORDER"),"")</f>
        <v>Yes</v>
      </c>
    </row>
    <row r="2021" spans="1:17" ht="15" customHeight="1" x14ac:dyDescent="0.3">
      <c r="A2021" s="23" t="s">
        <v>14762</v>
      </c>
      <c r="B2021" s="23"/>
      <c r="C2021" s="23" t="s">
        <v>10288</v>
      </c>
      <c r="D2021" s="23" t="str">
        <f t="shared" si="93"/>
        <v>ORD26004916</v>
      </c>
      <c r="E2021" s="38">
        <v>46276</v>
      </c>
      <c r="F2021" s="23" t="s">
        <v>12410</v>
      </c>
      <c r="G2021" s="23" t="s">
        <v>75</v>
      </c>
      <c r="H2021" s="24">
        <v>8797</v>
      </c>
      <c r="I2021" s="24">
        <v>26.39</v>
      </c>
      <c r="J2021" s="24">
        <v>4.75</v>
      </c>
      <c r="K2021" s="24">
        <v>8765.86</v>
      </c>
      <c r="L2021" s="38">
        <v>46278</v>
      </c>
      <c r="M2021" s="23" t="s">
        <v>196</v>
      </c>
      <c r="N2021" s="23" t="str">
        <f>IF(COUNTIF($A$2:A2021,A2021)&gt;1,"DUP","OK")</f>
        <v>OK</v>
      </c>
      <c r="O2021" s="23" t="str">
        <f t="shared" si="94"/>
        <v>ORD26004916</v>
      </c>
      <c r="P2021" s="23" t="str">
        <f t="shared" si="95"/>
        <v>Sep</v>
      </c>
      <c r="Q2021" s="23" t="str">
        <f>IF(F2021="CAPTURE",IF(COUNTIF(orders!$A:$A,O2021)&gt;0,"Yes","NO ORDER"),"")</f>
        <v>Yes</v>
      </c>
    </row>
    <row r="2022" spans="1:17" ht="15" customHeight="1" x14ac:dyDescent="0.3">
      <c r="A2022" s="23" t="s">
        <v>14763</v>
      </c>
      <c r="B2022" s="23"/>
      <c r="C2022" s="23" t="s">
        <v>10290</v>
      </c>
      <c r="D2022" s="23" t="str">
        <f t="shared" si="93"/>
        <v>ORD26004917</v>
      </c>
      <c r="E2022" s="38">
        <v>46276</v>
      </c>
      <c r="F2022" s="23" t="s">
        <v>12410</v>
      </c>
      <c r="G2022" s="23" t="s">
        <v>75</v>
      </c>
      <c r="H2022" s="24">
        <v>499</v>
      </c>
      <c r="I2022" s="24">
        <v>0</v>
      </c>
      <c r="J2022" s="24">
        <v>0</v>
      </c>
      <c r="K2022" s="24">
        <v>499</v>
      </c>
      <c r="L2022" s="38">
        <v>46278</v>
      </c>
      <c r="M2022" s="23" t="s">
        <v>196</v>
      </c>
      <c r="N2022" s="23" t="str">
        <f>IF(COUNTIF($A$2:A2022,A2022)&gt;1,"DUP","OK")</f>
        <v>OK</v>
      </c>
      <c r="O2022" s="23" t="str">
        <f t="shared" si="94"/>
        <v>ORD26004917</v>
      </c>
      <c r="P2022" s="23" t="str">
        <f t="shared" si="95"/>
        <v>Sep</v>
      </c>
      <c r="Q2022" s="23" t="str">
        <f>IF(F2022="CAPTURE",IF(COUNTIF(orders!$A:$A,O2022)&gt;0,"Yes","NO ORDER"),"")</f>
        <v>Yes</v>
      </c>
    </row>
    <row r="2023" spans="1:17" ht="15" customHeight="1" x14ac:dyDescent="0.3">
      <c r="A2023" s="23" t="s">
        <v>14764</v>
      </c>
      <c r="B2023" s="23"/>
      <c r="C2023" s="23" t="s">
        <v>10306</v>
      </c>
      <c r="D2023" s="23" t="str">
        <f t="shared" si="93"/>
        <v>ORD26004925</v>
      </c>
      <c r="E2023" s="38">
        <v>46276</v>
      </c>
      <c r="F2023" s="23" t="s">
        <v>12410</v>
      </c>
      <c r="G2023" s="23" t="s">
        <v>75</v>
      </c>
      <c r="H2023" s="24">
        <v>1499</v>
      </c>
      <c r="I2023" s="24">
        <v>0</v>
      </c>
      <c r="J2023" s="24">
        <v>0</v>
      </c>
      <c r="K2023" s="24">
        <v>1499</v>
      </c>
      <c r="L2023" s="38">
        <v>46278</v>
      </c>
      <c r="M2023" s="23" t="s">
        <v>196</v>
      </c>
      <c r="N2023" s="23" t="str">
        <f>IF(COUNTIF($A$2:A2023,A2023)&gt;1,"DUP","OK")</f>
        <v>OK</v>
      </c>
      <c r="O2023" s="23" t="str">
        <f t="shared" si="94"/>
        <v>ORD26004925</v>
      </c>
      <c r="P2023" s="23" t="str">
        <f t="shared" si="95"/>
        <v>Sep</v>
      </c>
      <c r="Q2023" s="23" t="str">
        <f>IF(F2023="CAPTURE",IF(COUNTIF(orders!$A:$A,O2023)&gt;0,"Yes","NO ORDER"),"")</f>
        <v>Yes</v>
      </c>
    </row>
    <row r="2024" spans="1:17" ht="15" customHeight="1" x14ac:dyDescent="0.3">
      <c r="A2024" s="23" t="s">
        <v>14765</v>
      </c>
      <c r="B2024" s="23"/>
      <c r="C2024" s="23" t="s">
        <v>10314</v>
      </c>
      <c r="D2024" s="23" t="str">
        <f t="shared" si="93"/>
        <v>ORD26004929</v>
      </c>
      <c r="E2024" s="38">
        <v>46276</v>
      </c>
      <c r="F2024" s="23" t="s">
        <v>12410</v>
      </c>
      <c r="G2024" s="23" t="s">
        <v>75</v>
      </c>
      <c r="H2024" s="24">
        <v>499</v>
      </c>
      <c r="I2024" s="24">
        <v>0</v>
      </c>
      <c r="J2024" s="24">
        <v>0</v>
      </c>
      <c r="K2024" s="24">
        <v>499</v>
      </c>
      <c r="L2024" s="38">
        <v>46278</v>
      </c>
      <c r="M2024" s="23" t="s">
        <v>196</v>
      </c>
      <c r="N2024" s="23" t="str">
        <f>IF(COUNTIF($A$2:A2024,A2024)&gt;1,"DUP","OK")</f>
        <v>OK</v>
      </c>
      <c r="O2024" s="23" t="str">
        <f t="shared" si="94"/>
        <v>ORD26004929</v>
      </c>
      <c r="P2024" s="23" t="str">
        <f t="shared" si="95"/>
        <v>Sep</v>
      </c>
      <c r="Q2024" s="23" t="str">
        <f>IF(F2024="CAPTURE",IF(COUNTIF(orders!$A:$A,O2024)&gt;0,"Yes","NO ORDER"),"")</f>
        <v>Yes</v>
      </c>
    </row>
    <row r="2025" spans="1:17" ht="15" customHeight="1" x14ac:dyDescent="0.3">
      <c r="A2025" s="23" t="s">
        <v>14766</v>
      </c>
      <c r="B2025" s="23"/>
      <c r="C2025" s="23" t="s">
        <v>10345</v>
      </c>
      <c r="D2025" s="23" t="str">
        <f t="shared" si="93"/>
        <v>ORD26004945</v>
      </c>
      <c r="E2025" s="38">
        <v>46276</v>
      </c>
      <c r="F2025" s="23" t="s">
        <v>12410</v>
      </c>
      <c r="G2025" s="23" t="s">
        <v>75</v>
      </c>
      <c r="H2025" s="24">
        <v>5298</v>
      </c>
      <c r="I2025" s="24">
        <v>15.89</v>
      </c>
      <c r="J2025" s="24">
        <v>2.86</v>
      </c>
      <c r="K2025" s="24">
        <v>5279.25</v>
      </c>
      <c r="L2025" s="38">
        <v>46278</v>
      </c>
      <c r="M2025" s="23" t="s">
        <v>196</v>
      </c>
      <c r="N2025" s="23" t="str">
        <f>IF(COUNTIF($A$2:A2025,A2025)&gt;1,"DUP","OK")</f>
        <v>OK</v>
      </c>
      <c r="O2025" s="23" t="str">
        <f t="shared" si="94"/>
        <v>ORD26004945</v>
      </c>
      <c r="P2025" s="23" t="str">
        <f t="shared" si="95"/>
        <v>Sep</v>
      </c>
      <c r="Q2025" s="23" t="str">
        <f>IF(F2025="CAPTURE",IF(COUNTIF(orders!$A:$A,O2025)&gt;0,"Yes","NO ORDER"),"")</f>
        <v>Yes</v>
      </c>
    </row>
    <row r="2026" spans="1:17" ht="15" customHeight="1" x14ac:dyDescent="0.3">
      <c r="A2026" s="23" t="s">
        <v>14767</v>
      </c>
      <c r="B2026" s="23"/>
      <c r="C2026" s="23" t="s">
        <v>10502</v>
      </c>
      <c r="D2026" s="23" t="str">
        <f t="shared" si="93"/>
        <v>ORD26005026</v>
      </c>
      <c r="E2026" s="38">
        <v>46276</v>
      </c>
      <c r="F2026" s="23" t="s">
        <v>12410</v>
      </c>
      <c r="G2026" s="23" t="s">
        <v>79</v>
      </c>
      <c r="H2026" s="24">
        <v>299</v>
      </c>
      <c r="I2026" s="24">
        <v>5.38</v>
      </c>
      <c r="J2026" s="24">
        <v>0.97</v>
      </c>
      <c r="K2026" s="24">
        <v>292.64999999999998</v>
      </c>
      <c r="L2026" s="38">
        <v>46278</v>
      </c>
      <c r="M2026" s="23" t="s">
        <v>196</v>
      </c>
      <c r="N2026" s="23" t="str">
        <f>IF(COUNTIF($A$2:A2026,A2026)&gt;1,"DUP","OK")</f>
        <v>OK</v>
      </c>
      <c r="O2026" s="23" t="str">
        <f t="shared" si="94"/>
        <v>ORD26005026</v>
      </c>
      <c r="P2026" s="23" t="str">
        <f t="shared" si="95"/>
        <v>Sep</v>
      </c>
      <c r="Q2026" s="23" t="str">
        <f>IF(F2026="CAPTURE",IF(COUNTIF(orders!$A:$A,O2026)&gt;0,"Yes","NO ORDER"),"")</f>
        <v>Yes</v>
      </c>
    </row>
    <row r="2027" spans="1:17" ht="15" customHeight="1" x14ac:dyDescent="0.3">
      <c r="A2027" s="23" t="s">
        <v>14768</v>
      </c>
      <c r="B2027" s="23"/>
      <c r="C2027" s="23" t="s">
        <v>10529</v>
      </c>
      <c r="D2027" s="23" t="str">
        <f t="shared" si="93"/>
        <v>ORD26005040</v>
      </c>
      <c r="E2027" s="38">
        <v>46276</v>
      </c>
      <c r="F2027" s="23" t="s">
        <v>12410</v>
      </c>
      <c r="G2027" s="23" t="s">
        <v>75</v>
      </c>
      <c r="H2027" s="24">
        <v>999</v>
      </c>
      <c r="I2027" s="24">
        <v>0</v>
      </c>
      <c r="J2027" s="24">
        <v>0</v>
      </c>
      <c r="K2027" s="24">
        <v>999</v>
      </c>
      <c r="L2027" s="38">
        <v>46278</v>
      </c>
      <c r="M2027" s="23" t="s">
        <v>196</v>
      </c>
      <c r="N2027" s="23" t="str">
        <f>IF(COUNTIF($A$2:A2027,A2027)&gt;1,"DUP","OK")</f>
        <v>OK</v>
      </c>
      <c r="O2027" s="23" t="str">
        <f t="shared" si="94"/>
        <v>ORD26005040</v>
      </c>
      <c r="P2027" s="23" t="str">
        <f t="shared" si="95"/>
        <v>Sep</v>
      </c>
      <c r="Q2027" s="23" t="str">
        <f>IF(F2027="CAPTURE",IF(COUNTIF(orders!$A:$A,O2027)&gt;0,"Yes","NO ORDER"),"")</f>
        <v>Yes</v>
      </c>
    </row>
    <row r="2028" spans="1:17" ht="15" customHeight="1" x14ac:dyDescent="0.3">
      <c r="A2028" s="23" t="s">
        <v>14769</v>
      </c>
      <c r="B2028" s="23"/>
      <c r="C2028" s="23" t="s">
        <v>10546</v>
      </c>
      <c r="D2028" s="23" t="str">
        <f t="shared" si="93"/>
        <v>ORD26005050</v>
      </c>
      <c r="E2028" s="38">
        <v>46276</v>
      </c>
      <c r="F2028" s="23" t="s">
        <v>12410</v>
      </c>
      <c r="G2028" s="23" t="s">
        <v>77</v>
      </c>
      <c r="H2028" s="24">
        <v>299</v>
      </c>
      <c r="I2028" s="24">
        <v>5.68</v>
      </c>
      <c r="J2028" s="24">
        <v>1.02</v>
      </c>
      <c r="K2028" s="24">
        <v>292.3</v>
      </c>
      <c r="L2028" s="38">
        <v>46278</v>
      </c>
      <c r="M2028" s="23" t="s">
        <v>196</v>
      </c>
      <c r="N2028" s="23" t="str">
        <f>IF(COUNTIF($A$2:A2028,A2028)&gt;1,"DUP","OK")</f>
        <v>OK</v>
      </c>
      <c r="O2028" s="23" t="str">
        <f t="shared" si="94"/>
        <v>ORD26005050</v>
      </c>
      <c r="P2028" s="23" t="str">
        <f t="shared" si="95"/>
        <v>Sep</v>
      </c>
      <c r="Q2028" s="23" t="str">
        <f>IF(F2028="CAPTURE",IF(COUNTIF(orders!$A:$A,O2028)&gt;0,"Yes","NO ORDER"),"")</f>
        <v>Yes</v>
      </c>
    </row>
    <row r="2029" spans="1:17" ht="15" customHeight="1" x14ac:dyDescent="0.3">
      <c r="A2029" s="23" t="s">
        <v>14770</v>
      </c>
      <c r="B2029" s="23"/>
      <c r="C2029" s="23" t="s">
        <v>10578</v>
      </c>
      <c r="D2029" s="23" t="str">
        <f t="shared" si="93"/>
        <v>ORD26005066</v>
      </c>
      <c r="E2029" s="38">
        <v>46276</v>
      </c>
      <c r="F2029" s="23" t="s">
        <v>12410</v>
      </c>
      <c r="G2029" s="23" t="s">
        <v>75</v>
      </c>
      <c r="H2029" s="24">
        <v>299</v>
      </c>
      <c r="I2029" s="24">
        <v>0</v>
      </c>
      <c r="J2029" s="24">
        <v>0</v>
      </c>
      <c r="K2029" s="24">
        <v>299</v>
      </c>
      <c r="L2029" s="38">
        <v>46278</v>
      </c>
      <c r="M2029" s="23" t="s">
        <v>196</v>
      </c>
      <c r="N2029" s="23" t="str">
        <f>IF(COUNTIF($A$2:A2029,A2029)&gt;1,"DUP","OK")</f>
        <v>OK</v>
      </c>
      <c r="O2029" s="23" t="str">
        <f t="shared" si="94"/>
        <v>ORD26005066</v>
      </c>
      <c r="P2029" s="23" t="str">
        <f t="shared" si="95"/>
        <v>Sep</v>
      </c>
      <c r="Q2029" s="23" t="str">
        <f>IF(F2029="CAPTURE",IF(COUNTIF(orders!$A:$A,O2029)&gt;0,"Yes","NO ORDER"),"")</f>
        <v>Yes</v>
      </c>
    </row>
    <row r="2030" spans="1:17" ht="15" customHeight="1" x14ac:dyDescent="0.3">
      <c r="A2030" s="23" t="s">
        <v>14771</v>
      </c>
      <c r="B2030" s="23"/>
      <c r="C2030" s="23" t="s">
        <v>10602</v>
      </c>
      <c r="D2030" s="23" t="str">
        <f t="shared" si="93"/>
        <v>ORD26005078</v>
      </c>
      <c r="E2030" s="38">
        <v>46276</v>
      </c>
      <c r="F2030" s="23" t="s">
        <v>12410</v>
      </c>
      <c r="G2030" s="23" t="s">
        <v>75</v>
      </c>
      <c r="H2030" s="24">
        <v>349</v>
      </c>
      <c r="I2030" s="24">
        <v>0</v>
      </c>
      <c r="J2030" s="24">
        <v>0</v>
      </c>
      <c r="K2030" s="24">
        <v>349</v>
      </c>
      <c r="L2030" s="38">
        <v>46278</v>
      </c>
      <c r="M2030" s="23" t="s">
        <v>196</v>
      </c>
      <c r="N2030" s="23" t="str">
        <f>IF(COUNTIF($A$2:A2030,A2030)&gt;1,"DUP","OK")</f>
        <v>OK</v>
      </c>
      <c r="O2030" s="23" t="str">
        <f t="shared" si="94"/>
        <v>ORD26005078</v>
      </c>
      <c r="P2030" s="23" t="str">
        <f t="shared" si="95"/>
        <v>Sep</v>
      </c>
      <c r="Q2030" s="23" t="str">
        <f>IF(F2030="CAPTURE",IF(COUNTIF(orders!$A:$A,O2030)&gt;0,"Yes","NO ORDER"),"")</f>
        <v>Yes</v>
      </c>
    </row>
    <row r="2031" spans="1:17" ht="15" customHeight="1" x14ac:dyDescent="0.3">
      <c r="A2031" s="23" t="s">
        <v>14772</v>
      </c>
      <c r="B2031" s="23"/>
      <c r="C2031" s="23" t="s">
        <v>10683</v>
      </c>
      <c r="D2031" s="23" t="str">
        <f t="shared" si="93"/>
        <v>ORD26005120</v>
      </c>
      <c r="E2031" s="38">
        <v>46276</v>
      </c>
      <c r="F2031" s="23" t="s">
        <v>12410</v>
      </c>
      <c r="G2031" s="23" t="s">
        <v>75</v>
      </c>
      <c r="H2031" s="24">
        <v>3499</v>
      </c>
      <c r="I2031" s="24">
        <v>10.5</v>
      </c>
      <c r="J2031" s="24">
        <v>1.89</v>
      </c>
      <c r="K2031" s="24">
        <v>3486.61</v>
      </c>
      <c r="L2031" s="38">
        <v>46278</v>
      </c>
      <c r="M2031" s="23" t="s">
        <v>196</v>
      </c>
      <c r="N2031" s="23" t="str">
        <f>IF(COUNTIF($A$2:A2031,A2031)&gt;1,"DUP","OK")</f>
        <v>OK</v>
      </c>
      <c r="O2031" s="23" t="str">
        <f t="shared" si="94"/>
        <v>ORD26005120</v>
      </c>
      <c r="P2031" s="23" t="str">
        <f t="shared" si="95"/>
        <v>Sep</v>
      </c>
      <c r="Q2031" s="23" t="str">
        <f>IF(F2031="CAPTURE",IF(COUNTIF(orders!$A:$A,O2031)&gt;0,"Yes","NO ORDER"),"")</f>
        <v>Yes</v>
      </c>
    </row>
    <row r="2032" spans="1:17" ht="15" customHeight="1" x14ac:dyDescent="0.3">
      <c r="A2032" s="23" t="s">
        <v>14773</v>
      </c>
      <c r="B2032" s="23"/>
      <c r="C2032" s="23" t="s">
        <v>14774</v>
      </c>
      <c r="D2032" s="23" t="str">
        <f t="shared" si="93"/>
        <v>ORD26005146</v>
      </c>
      <c r="E2032" s="38">
        <v>46276</v>
      </c>
      <c r="F2032" s="23" t="s">
        <v>12410</v>
      </c>
      <c r="G2032" s="23" t="s">
        <v>77</v>
      </c>
      <c r="H2032" s="24">
        <v>6497</v>
      </c>
      <c r="I2032" s="24">
        <v>110.45</v>
      </c>
      <c r="J2032" s="24">
        <v>19.88</v>
      </c>
      <c r="K2032" s="24">
        <v>6366.67</v>
      </c>
      <c r="L2032" s="38">
        <v>46278</v>
      </c>
      <c r="M2032" s="23" t="s">
        <v>196</v>
      </c>
      <c r="N2032" s="23" t="str">
        <f>IF(COUNTIF($A$2:A2032,A2032)&gt;1,"DUP","OK")</f>
        <v>OK</v>
      </c>
      <c r="O2032" s="23" t="str">
        <f t="shared" si="94"/>
        <v>ORD26005146</v>
      </c>
      <c r="P2032" s="23" t="str">
        <f t="shared" si="95"/>
        <v>Sep</v>
      </c>
      <c r="Q2032" s="23" t="str">
        <f>IF(F2032="CAPTURE",IF(COUNTIF(orders!$A:$A,O2032)&gt;0,"Yes","NO ORDER"),"")</f>
        <v>Yes</v>
      </c>
    </row>
    <row r="2033" spans="1:17" ht="15" customHeight="1" x14ac:dyDescent="0.3">
      <c r="A2033" s="23" t="s">
        <v>14775</v>
      </c>
      <c r="B2033" s="23"/>
      <c r="C2033" s="23" t="s">
        <v>10984</v>
      </c>
      <c r="D2033" s="23" t="str">
        <f t="shared" si="93"/>
        <v>ORD26005274</v>
      </c>
      <c r="E2033" s="38">
        <v>46276</v>
      </c>
      <c r="F2033" s="23" t="s">
        <v>12410</v>
      </c>
      <c r="G2033" s="23" t="s">
        <v>79</v>
      </c>
      <c r="H2033" s="24">
        <v>3798</v>
      </c>
      <c r="I2033" s="24">
        <v>60.77</v>
      </c>
      <c r="J2033" s="24">
        <v>10.94</v>
      </c>
      <c r="K2033" s="24">
        <v>3726.29</v>
      </c>
      <c r="L2033" s="38">
        <v>46278</v>
      </c>
      <c r="M2033" s="23" t="s">
        <v>196</v>
      </c>
      <c r="N2033" s="23" t="str">
        <f>IF(COUNTIF($A$2:A2033,A2033)&gt;1,"DUP","OK")</f>
        <v>OK</v>
      </c>
      <c r="O2033" s="23" t="str">
        <f t="shared" si="94"/>
        <v>ORD26005274</v>
      </c>
      <c r="P2033" s="23" t="str">
        <f t="shared" si="95"/>
        <v>Sep</v>
      </c>
      <c r="Q2033" s="23" t="str">
        <f>IF(F2033="CAPTURE",IF(COUNTIF(orders!$A:$A,O2033)&gt;0,"Yes","NO ORDER"),"")</f>
        <v>Yes</v>
      </c>
    </row>
    <row r="2034" spans="1:17" ht="15" customHeight="1" x14ac:dyDescent="0.3">
      <c r="A2034" s="23" t="s">
        <v>14776</v>
      </c>
      <c r="B2034" s="23"/>
      <c r="C2034" s="23" t="s">
        <v>10998</v>
      </c>
      <c r="D2034" s="23" t="str">
        <f t="shared" si="93"/>
        <v>ORD26005282</v>
      </c>
      <c r="E2034" s="38">
        <v>46276</v>
      </c>
      <c r="F2034" s="23" t="s">
        <v>12410</v>
      </c>
      <c r="G2034" s="23" t="s">
        <v>77</v>
      </c>
      <c r="H2034" s="24">
        <v>798</v>
      </c>
      <c r="I2034" s="24">
        <v>15.16</v>
      </c>
      <c r="J2034" s="24">
        <v>2.73</v>
      </c>
      <c r="K2034" s="24">
        <v>780.11</v>
      </c>
      <c r="L2034" s="38">
        <v>46278</v>
      </c>
      <c r="M2034" s="23" t="s">
        <v>196</v>
      </c>
      <c r="N2034" s="23" t="str">
        <f>IF(COUNTIF($A$2:A2034,A2034)&gt;1,"DUP","OK")</f>
        <v>OK</v>
      </c>
      <c r="O2034" s="23" t="str">
        <f t="shared" si="94"/>
        <v>ORD26005282</v>
      </c>
      <c r="P2034" s="23" t="str">
        <f t="shared" si="95"/>
        <v>Sep</v>
      </c>
      <c r="Q2034" s="23" t="str">
        <f>IF(F2034="CAPTURE",IF(COUNTIF(orders!$A:$A,O2034)&gt;0,"Yes","NO ORDER"),"")</f>
        <v>Yes</v>
      </c>
    </row>
    <row r="2035" spans="1:17" ht="15" customHeight="1" x14ac:dyDescent="0.3">
      <c r="A2035" s="23" t="s">
        <v>14777</v>
      </c>
      <c r="B2035" s="23"/>
      <c r="C2035" s="23" t="s">
        <v>11053</v>
      </c>
      <c r="D2035" s="23" t="str">
        <f t="shared" si="93"/>
        <v>ORD26005310</v>
      </c>
      <c r="E2035" s="38">
        <v>46276</v>
      </c>
      <c r="F2035" s="23" t="s">
        <v>12410</v>
      </c>
      <c r="G2035" s="23" t="s">
        <v>75</v>
      </c>
      <c r="H2035" s="24">
        <v>599</v>
      </c>
      <c r="I2035" s="24">
        <v>0</v>
      </c>
      <c r="J2035" s="24">
        <v>0</v>
      </c>
      <c r="K2035" s="24">
        <v>599</v>
      </c>
      <c r="L2035" s="38">
        <v>46278</v>
      </c>
      <c r="M2035" s="23" t="s">
        <v>196</v>
      </c>
      <c r="N2035" s="23" t="str">
        <f>IF(COUNTIF($A$2:A2035,A2035)&gt;1,"DUP","OK")</f>
        <v>OK</v>
      </c>
      <c r="O2035" s="23" t="str">
        <f t="shared" si="94"/>
        <v>ORD26005310</v>
      </c>
      <c r="P2035" s="23" t="str">
        <f t="shared" si="95"/>
        <v>Sep</v>
      </c>
      <c r="Q2035" s="23" t="str">
        <f>IF(F2035="CAPTURE",IF(COUNTIF(orders!$A:$A,O2035)&gt;0,"Yes","NO ORDER"),"")</f>
        <v>Yes</v>
      </c>
    </row>
    <row r="2036" spans="1:17" ht="15" customHeight="1" x14ac:dyDescent="0.3">
      <c r="A2036" s="23" t="s">
        <v>14778</v>
      </c>
      <c r="B2036" s="23"/>
      <c r="C2036" s="23" t="s">
        <v>11059</v>
      </c>
      <c r="D2036" s="23" t="str">
        <f t="shared" si="93"/>
        <v>ORD26005313</v>
      </c>
      <c r="E2036" s="38">
        <v>46276</v>
      </c>
      <c r="F2036" s="23" t="s">
        <v>12410</v>
      </c>
      <c r="G2036" s="23" t="s">
        <v>79</v>
      </c>
      <c r="H2036" s="24">
        <v>13297</v>
      </c>
      <c r="I2036" s="24">
        <v>212.75</v>
      </c>
      <c r="J2036" s="24">
        <v>38.299999999999997</v>
      </c>
      <c r="K2036" s="24">
        <v>13045.95</v>
      </c>
      <c r="L2036" s="38">
        <v>46278</v>
      </c>
      <c r="M2036" s="23" t="s">
        <v>196</v>
      </c>
      <c r="N2036" s="23" t="str">
        <f>IF(COUNTIF($A$2:A2036,A2036)&gt;1,"DUP","OK")</f>
        <v>OK</v>
      </c>
      <c r="O2036" s="23" t="str">
        <f t="shared" si="94"/>
        <v>ORD26005313</v>
      </c>
      <c r="P2036" s="23" t="str">
        <f t="shared" si="95"/>
        <v>Sep</v>
      </c>
      <c r="Q2036" s="23" t="str">
        <f>IF(F2036="CAPTURE",IF(COUNTIF(orders!$A:$A,O2036)&gt;0,"Yes","NO ORDER"),"")</f>
        <v>Yes</v>
      </c>
    </row>
    <row r="2037" spans="1:17" ht="15" customHeight="1" x14ac:dyDescent="0.3">
      <c r="A2037" s="23" t="s">
        <v>14779</v>
      </c>
      <c r="B2037" s="23"/>
      <c r="C2037" s="23" t="s">
        <v>11093</v>
      </c>
      <c r="D2037" s="23" t="str">
        <f t="shared" si="93"/>
        <v>ORD26005330</v>
      </c>
      <c r="E2037" s="38">
        <v>46276</v>
      </c>
      <c r="F2037" s="23" t="s">
        <v>12410</v>
      </c>
      <c r="G2037" s="23" t="s">
        <v>81</v>
      </c>
      <c r="H2037" s="24">
        <v>1799</v>
      </c>
      <c r="I2037" s="24">
        <v>26.99</v>
      </c>
      <c r="J2037" s="24">
        <v>4.8600000000000003</v>
      </c>
      <c r="K2037" s="24">
        <v>1767.15</v>
      </c>
      <c r="L2037" s="38">
        <v>46278</v>
      </c>
      <c r="M2037" s="23" t="s">
        <v>196</v>
      </c>
      <c r="N2037" s="23" t="str">
        <f>IF(COUNTIF($A$2:A2037,A2037)&gt;1,"DUP","OK")</f>
        <v>OK</v>
      </c>
      <c r="O2037" s="23" t="str">
        <f t="shared" si="94"/>
        <v>ORD26005330</v>
      </c>
      <c r="P2037" s="23" t="str">
        <f t="shared" si="95"/>
        <v>Sep</v>
      </c>
      <c r="Q2037" s="23" t="str">
        <f>IF(F2037="CAPTURE",IF(COUNTIF(orders!$A:$A,O2037)&gt;0,"Yes","NO ORDER"),"")</f>
        <v>Yes</v>
      </c>
    </row>
    <row r="2038" spans="1:17" ht="15" customHeight="1" x14ac:dyDescent="0.3">
      <c r="A2038" s="23" t="s">
        <v>14780</v>
      </c>
      <c r="B2038" s="23"/>
      <c r="C2038" s="23" t="s">
        <v>11146</v>
      </c>
      <c r="D2038" s="23" t="str">
        <f t="shared" si="93"/>
        <v>ORD26005357</v>
      </c>
      <c r="E2038" s="38">
        <v>46276</v>
      </c>
      <c r="F2038" s="23" t="s">
        <v>12410</v>
      </c>
      <c r="G2038" s="23" t="s">
        <v>75</v>
      </c>
      <c r="H2038" s="24">
        <v>1799</v>
      </c>
      <c r="I2038" s="24">
        <v>0</v>
      </c>
      <c r="J2038" s="24">
        <v>0</v>
      </c>
      <c r="K2038" s="24">
        <v>1799</v>
      </c>
      <c r="L2038" s="38">
        <v>46278</v>
      </c>
      <c r="M2038" s="23" t="s">
        <v>196</v>
      </c>
      <c r="N2038" s="23" t="str">
        <f>IF(COUNTIF($A$2:A2038,A2038)&gt;1,"DUP","OK")</f>
        <v>OK</v>
      </c>
      <c r="O2038" s="23" t="str">
        <f t="shared" si="94"/>
        <v>ORD26005357</v>
      </c>
      <c r="P2038" s="23" t="str">
        <f t="shared" si="95"/>
        <v>Sep</v>
      </c>
      <c r="Q2038" s="23" t="str">
        <f>IF(F2038="CAPTURE",IF(COUNTIF(orders!$A:$A,O2038)&gt;0,"Yes","NO ORDER"),"")</f>
        <v>Yes</v>
      </c>
    </row>
    <row r="2039" spans="1:17" ht="15" customHeight="1" x14ac:dyDescent="0.3">
      <c r="A2039" s="23" t="s">
        <v>14781</v>
      </c>
      <c r="B2039" s="23"/>
      <c r="C2039" s="23" t="s">
        <v>11211</v>
      </c>
      <c r="D2039" s="23" t="str">
        <f t="shared" si="93"/>
        <v>ORD26005389</v>
      </c>
      <c r="E2039" s="38">
        <v>46276</v>
      </c>
      <c r="F2039" s="23" t="s">
        <v>12410</v>
      </c>
      <c r="G2039" s="23" t="s">
        <v>81</v>
      </c>
      <c r="H2039" s="24">
        <v>299</v>
      </c>
      <c r="I2039" s="24">
        <v>4.49</v>
      </c>
      <c r="J2039" s="24">
        <v>0.81</v>
      </c>
      <c r="K2039" s="24">
        <v>293.7</v>
      </c>
      <c r="L2039" s="38">
        <v>46278</v>
      </c>
      <c r="M2039" s="23" t="s">
        <v>196</v>
      </c>
      <c r="N2039" s="23" t="str">
        <f>IF(COUNTIF($A$2:A2039,A2039)&gt;1,"DUP","OK")</f>
        <v>OK</v>
      </c>
      <c r="O2039" s="23" t="str">
        <f t="shared" si="94"/>
        <v>ORD26005389</v>
      </c>
      <c r="P2039" s="23" t="str">
        <f t="shared" si="95"/>
        <v>Sep</v>
      </c>
      <c r="Q2039" s="23" t="str">
        <f>IF(F2039="CAPTURE",IF(COUNTIF(orders!$A:$A,O2039)&gt;0,"Yes","NO ORDER"),"")</f>
        <v>Yes</v>
      </c>
    </row>
    <row r="2040" spans="1:17" ht="15" customHeight="1" x14ac:dyDescent="0.3">
      <c r="A2040" s="23" t="s">
        <v>14782</v>
      </c>
      <c r="B2040" s="23"/>
      <c r="C2040" s="23" t="s">
        <v>11282</v>
      </c>
      <c r="D2040" s="23" t="str">
        <f t="shared" si="93"/>
        <v>ORD26005425</v>
      </c>
      <c r="E2040" s="38">
        <v>46276</v>
      </c>
      <c r="F2040" s="23" t="s">
        <v>12410</v>
      </c>
      <c r="G2040" s="23" t="s">
        <v>77</v>
      </c>
      <c r="H2040" s="24">
        <v>599</v>
      </c>
      <c r="I2040" s="24">
        <v>11.38</v>
      </c>
      <c r="J2040" s="24">
        <v>2.0499999999999998</v>
      </c>
      <c r="K2040" s="24">
        <v>585.57000000000005</v>
      </c>
      <c r="L2040" s="38">
        <v>46278</v>
      </c>
      <c r="M2040" s="23" t="s">
        <v>196</v>
      </c>
      <c r="N2040" s="23" t="str">
        <f>IF(COUNTIF($A$2:A2040,A2040)&gt;1,"DUP","OK")</f>
        <v>OK</v>
      </c>
      <c r="O2040" s="23" t="str">
        <f t="shared" si="94"/>
        <v>ORD26005425</v>
      </c>
      <c r="P2040" s="23" t="str">
        <f t="shared" si="95"/>
        <v>Sep</v>
      </c>
      <c r="Q2040" s="23" t="str">
        <f>IF(F2040="CAPTURE",IF(COUNTIF(orders!$A:$A,O2040)&gt;0,"Yes","NO ORDER"),"")</f>
        <v>Yes</v>
      </c>
    </row>
    <row r="2041" spans="1:17" ht="15" customHeight="1" x14ac:dyDescent="0.3">
      <c r="A2041" s="23" t="s">
        <v>14783</v>
      </c>
      <c r="B2041" s="23"/>
      <c r="C2041" s="23" t="s">
        <v>11334</v>
      </c>
      <c r="D2041" s="23" t="str">
        <f t="shared" si="93"/>
        <v>ORD26005452</v>
      </c>
      <c r="E2041" s="38">
        <v>46276</v>
      </c>
      <c r="F2041" s="23" t="s">
        <v>12410</v>
      </c>
      <c r="G2041" s="23" t="s">
        <v>79</v>
      </c>
      <c r="H2041" s="24">
        <v>4999</v>
      </c>
      <c r="I2041" s="24">
        <v>79.98</v>
      </c>
      <c r="J2041" s="24">
        <v>14.4</v>
      </c>
      <c r="K2041" s="24">
        <v>4904.62</v>
      </c>
      <c r="L2041" s="38">
        <v>46278</v>
      </c>
      <c r="M2041" s="23" t="s">
        <v>196</v>
      </c>
      <c r="N2041" s="23" t="str">
        <f>IF(COUNTIF($A$2:A2041,A2041)&gt;1,"DUP","OK")</f>
        <v>OK</v>
      </c>
      <c r="O2041" s="23" t="str">
        <f t="shared" si="94"/>
        <v>ORD26005452</v>
      </c>
      <c r="P2041" s="23" t="str">
        <f t="shared" si="95"/>
        <v>Sep</v>
      </c>
      <c r="Q2041" s="23" t="str">
        <f>IF(F2041="CAPTURE",IF(COUNTIF(orders!$A:$A,O2041)&gt;0,"Yes","NO ORDER"),"")</f>
        <v>Yes</v>
      </c>
    </row>
    <row r="2042" spans="1:17" ht="15" customHeight="1" x14ac:dyDescent="0.3">
      <c r="A2042" s="23" t="s">
        <v>14784</v>
      </c>
      <c r="B2042" s="23"/>
      <c r="C2042" s="23" t="s">
        <v>11451</v>
      </c>
      <c r="D2042" s="23" t="str">
        <f t="shared" si="93"/>
        <v>ORD26005512</v>
      </c>
      <c r="E2042" s="38">
        <v>46276</v>
      </c>
      <c r="F2042" s="23" t="s">
        <v>12410</v>
      </c>
      <c r="G2042" s="23" t="s">
        <v>75</v>
      </c>
      <c r="H2042" s="24">
        <v>4999</v>
      </c>
      <c r="I2042" s="24">
        <v>15</v>
      </c>
      <c r="J2042" s="24">
        <v>2.7</v>
      </c>
      <c r="K2042" s="24">
        <v>4981.3</v>
      </c>
      <c r="L2042" s="38">
        <v>46278</v>
      </c>
      <c r="M2042" s="23" t="s">
        <v>196</v>
      </c>
      <c r="N2042" s="23" t="str">
        <f>IF(COUNTIF($A$2:A2042,A2042)&gt;1,"DUP","OK")</f>
        <v>OK</v>
      </c>
      <c r="O2042" s="23" t="str">
        <f t="shared" si="94"/>
        <v>ORD26005512</v>
      </c>
      <c r="P2042" s="23" t="str">
        <f t="shared" si="95"/>
        <v>Sep</v>
      </c>
      <c r="Q2042" s="23" t="str">
        <f>IF(F2042="CAPTURE",IF(COUNTIF(orders!$A:$A,O2042)&gt;0,"Yes","NO ORDER"),"")</f>
        <v>Yes</v>
      </c>
    </row>
    <row r="2043" spans="1:17" ht="15" customHeight="1" x14ac:dyDescent="0.3">
      <c r="A2043" s="23" t="s">
        <v>14785</v>
      </c>
      <c r="B2043" s="23"/>
      <c r="C2043" s="23" t="s">
        <v>11455</v>
      </c>
      <c r="D2043" s="23" t="str">
        <f t="shared" si="93"/>
        <v>ORD26005514</v>
      </c>
      <c r="E2043" s="38">
        <v>46276</v>
      </c>
      <c r="F2043" s="23" t="s">
        <v>12410</v>
      </c>
      <c r="G2043" s="23" t="s">
        <v>75</v>
      </c>
      <c r="H2043" s="24">
        <v>1598</v>
      </c>
      <c r="I2043" s="24">
        <v>0</v>
      </c>
      <c r="J2043" s="24">
        <v>0</v>
      </c>
      <c r="K2043" s="24">
        <v>1598</v>
      </c>
      <c r="L2043" s="38">
        <v>46278</v>
      </c>
      <c r="M2043" s="23" t="s">
        <v>196</v>
      </c>
      <c r="N2043" s="23" t="str">
        <f>IF(COUNTIF($A$2:A2043,A2043)&gt;1,"DUP","OK")</f>
        <v>OK</v>
      </c>
      <c r="O2043" s="23" t="str">
        <f t="shared" si="94"/>
        <v>ORD26005514</v>
      </c>
      <c r="P2043" s="23" t="str">
        <f t="shared" si="95"/>
        <v>Sep</v>
      </c>
      <c r="Q2043" s="23" t="str">
        <f>IF(F2043="CAPTURE",IF(COUNTIF(orders!$A:$A,O2043)&gt;0,"Yes","NO ORDER"),"")</f>
        <v>Yes</v>
      </c>
    </row>
    <row r="2044" spans="1:17" ht="15" customHeight="1" x14ac:dyDescent="0.3">
      <c r="A2044" s="23" t="s">
        <v>14786</v>
      </c>
      <c r="B2044" s="23"/>
      <c r="C2044" s="23" t="s">
        <v>11457</v>
      </c>
      <c r="D2044" s="23" t="str">
        <f t="shared" si="93"/>
        <v>ORD26005515</v>
      </c>
      <c r="E2044" s="38">
        <v>46276</v>
      </c>
      <c r="F2044" s="23" t="s">
        <v>12410</v>
      </c>
      <c r="G2044" s="23" t="s">
        <v>75</v>
      </c>
      <c r="H2044" s="24">
        <v>1299</v>
      </c>
      <c r="I2044" s="24">
        <v>0</v>
      </c>
      <c r="J2044" s="24">
        <v>0</v>
      </c>
      <c r="K2044" s="24">
        <v>1299</v>
      </c>
      <c r="L2044" s="38">
        <v>46278</v>
      </c>
      <c r="M2044" s="23" t="s">
        <v>196</v>
      </c>
      <c r="N2044" s="23" t="str">
        <f>IF(COUNTIF($A$2:A2044,A2044)&gt;1,"DUP","OK")</f>
        <v>OK</v>
      </c>
      <c r="O2044" s="23" t="str">
        <f t="shared" si="94"/>
        <v>ORD26005515</v>
      </c>
      <c r="P2044" s="23" t="str">
        <f t="shared" si="95"/>
        <v>Sep</v>
      </c>
      <c r="Q2044" s="23" t="str">
        <f>IF(F2044="CAPTURE",IF(COUNTIF(orders!$A:$A,O2044)&gt;0,"Yes","NO ORDER"),"")</f>
        <v>Yes</v>
      </c>
    </row>
    <row r="2045" spans="1:17" ht="15" customHeight="1" x14ac:dyDescent="0.3">
      <c r="A2045" s="23" t="s">
        <v>14787</v>
      </c>
      <c r="B2045" s="23"/>
      <c r="C2045" s="23" t="s">
        <v>14788</v>
      </c>
      <c r="D2045" s="23" t="str">
        <f t="shared" si="93"/>
        <v>ORD26005555</v>
      </c>
      <c r="E2045" s="38">
        <v>46276</v>
      </c>
      <c r="F2045" s="23" t="s">
        <v>12410</v>
      </c>
      <c r="G2045" s="23" t="s">
        <v>79</v>
      </c>
      <c r="H2045" s="24">
        <v>1798</v>
      </c>
      <c r="I2045" s="24">
        <v>32.36</v>
      </c>
      <c r="J2045" s="24">
        <v>5.82</v>
      </c>
      <c r="K2045" s="24">
        <v>1759.82</v>
      </c>
      <c r="L2045" s="38">
        <v>46278</v>
      </c>
      <c r="M2045" s="23" t="s">
        <v>196</v>
      </c>
      <c r="N2045" s="23" t="str">
        <f>IF(COUNTIF($A$2:A2045,A2045)&gt;1,"DUP","OK")</f>
        <v>OK</v>
      </c>
      <c r="O2045" s="23" t="str">
        <f t="shared" si="94"/>
        <v>ORD26005555</v>
      </c>
      <c r="P2045" s="23" t="str">
        <f t="shared" si="95"/>
        <v>Sep</v>
      </c>
      <c r="Q2045" s="23" t="str">
        <f>IF(F2045="CAPTURE",IF(COUNTIF(orders!$A:$A,O2045)&gt;0,"Yes","NO ORDER"),"")</f>
        <v>Yes</v>
      </c>
    </row>
    <row r="2046" spans="1:17" ht="15" customHeight="1" x14ac:dyDescent="0.3">
      <c r="A2046" s="23" t="s">
        <v>14789</v>
      </c>
      <c r="B2046" s="23"/>
      <c r="C2046" s="23" t="s">
        <v>14790</v>
      </c>
      <c r="D2046" s="23" t="str">
        <f t="shared" si="93"/>
        <v>ORD26005570</v>
      </c>
      <c r="E2046" s="38">
        <v>46276</v>
      </c>
      <c r="F2046" s="23" t="s">
        <v>12410</v>
      </c>
      <c r="G2046" s="23" t="s">
        <v>79</v>
      </c>
      <c r="H2046" s="24">
        <v>3597</v>
      </c>
      <c r="I2046" s="24">
        <v>57.55</v>
      </c>
      <c r="J2046" s="24">
        <v>10.36</v>
      </c>
      <c r="K2046" s="24">
        <v>3529.09</v>
      </c>
      <c r="L2046" s="38">
        <v>46278</v>
      </c>
      <c r="M2046" s="23" t="s">
        <v>196</v>
      </c>
      <c r="N2046" s="23" t="str">
        <f>IF(COUNTIF($A$2:A2046,A2046)&gt;1,"DUP","OK")</f>
        <v>OK</v>
      </c>
      <c r="O2046" s="23" t="str">
        <f t="shared" si="94"/>
        <v>ORD26005570</v>
      </c>
      <c r="P2046" s="23" t="str">
        <f t="shared" si="95"/>
        <v>Sep</v>
      </c>
      <c r="Q2046" s="23" t="str">
        <f>IF(F2046="CAPTURE",IF(COUNTIF(orders!$A:$A,O2046)&gt;0,"Yes","NO ORDER"),"")</f>
        <v>Yes</v>
      </c>
    </row>
    <row r="2047" spans="1:17" ht="15" customHeight="1" x14ac:dyDescent="0.3">
      <c r="A2047" s="23" t="s">
        <v>14791</v>
      </c>
      <c r="B2047" s="23"/>
      <c r="C2047" s="23" t="s">
        <v>11596</v>
      </c>
      <c r="D2047" s="23" t="str">
        <f t="shared" si="93"/>
        <v>ORD26005587</v>
      </c>
      <c r="E2047" s="38">
        <v>46276</v>
      </c>
      <c r="F2047" s="23" t="s">
        <v>12410</v>
      </c>
      <c r="G2047" s="23" t="s">
        <v>79</v>
      </c>
      <c r="H2047" s="24">
        <v>7999</v>
      </c>
      <c r="I2047" s="24">
        <v>127.98</v>
      </c>
      <c r="J2047" s="24">
        <v>23.04</v>
      </c>
      <c r="K2047" s="24">
        <v>7847.98</v>
      </c>
      <c r="L2047" s="38">
        <v>46278</v>
      </c>
      <c r="M2047" s="23" t="s">
        <v>196</v>
      </c>
      <c r="N2047" s="23" t="str">
        <f>IF(COUNTIF($A$2:A2047,A2047)&gt;1,"DUP","OK")</f>
        <v>OK</v>
      </c>
      <c r="O2047" s="23" t="str">
        <f t="shared" si="94"/>
        <v>ORD26005587</v>
      </c>
      <c r="P2047" s="23" t="str">
        <f t="shared" si="95"/>
        <v>Sep</v>
      </c>
      <c r="Q2047" s="23" t="str">
        <f>IF(F2047="CAPTURE",IF(COUNTIF(orders!$A:$A,O2047)&gt;0,"Yes","NO ORDER"),"")</f>
        <v>Yes</v>
      </c>
    </row>
    <row r="2048" spans="1:17" ht="15" customHeight="1" x14ac:dyDescent="0.3">
      <c r="A2048" s="23" t="s">
        <v>14792</v>
      </c>
      <c r="B2048" s="23"/>
      <c r="C2048" s="23" t="s">
        <v>14793</v>
      </c>
      <c r="D2048" s="23" t="str">
        <f t="shared" si="93"/>
        <v>ORD26005672</v>
      </c>
      <c r="E2048" s="38">
        <v>46276</v>
      </c>
      <c r="F2048" s="23" t="s">
        <v>12410</v>
      </c>
      <c r="G2048" s="23" t="s">
        <v>75</v>
      </c>
      <c r="H2048" s="24">
        <v>999</v>
      </c>
      <c r="I2048" s="24">
        <v>0</v>
      </c>
      <c r="J2048" s="24">
        <v>0</v>
      </c>
      <c r="K2048" s="24">
        <v>999</v>
      </c>
      <c r="L2048" s="38">
        <v>46278</v>
      </c>
      <c r="M2048" s="23" t="s">
        <v>196</v>
      </c>
      <c r="N2048" s="23" t="str">
        <f>IF(COUNTIF($A$2:A2048,A2048)&gt;1,"DUP","OK")</f>
        <v>OK</v>
      </c>
      <c r="O2048" s="23" t="str">
        <f t="shared" si="94"/>
        <v>ORD26005672</v>
      </c>
      <c r="P2048" s="23" t="str">
        <f t="shared" si="95"/>
        <v>Sep</v>
      </c>
      <c r="Q2048" s="23" t="str">
        <f>IF(F2048="CAPTURE",IF(COUNTIF(orders!$A:$A,O2048)&gt;0,"Yes","NO ORDER"),"")</f>
        <v>Yes</v>
      </c>
    </row>
    <row r="2049" spans="1:17" ht="15" customHeight="1" x14ac:dyDescent="0.3">
      <c r="A2049" s="23" t="s">
        <v>14794</v>
      </c>
      <c r="B2049" s="23"/>
      <c r="C2049" s="23" t="s">
        <v>14795</v>
      </c>
      <c r="D2049" s="23" t="str">
        <f t="shared" si="93"/>
        <v>ORD26005681</v>
      </c>
      <c r="E2049" s="38">
        <v>46276</v>
      </c>
      <c r="F2049" s="23" t="s">
        <v>12410</v>
      </c>
      <c r="G2049" s="23" t="s">
        <v>77</v>
      </c>
      <c r="H2049" s="24">
        <v>3499</v>
      </c>
      <c r="I2049" s="24">
        <v>59.48</v>
      </c>
      <c r="J2049" s="24">
        <v>10.71</v>
      </c>
      <c r="K2049" s="24">
        <v>3428.81</v>
      </c>
      <c r="L2049" s="38">
        <v>46278</v>
      </c>
      <c r="M2049" s="23" t="s">
        <v>196</v>
      </c>
      <c r="N2049" s="23" t="str">
        <f>IF(COUNTIF($A$2:A2049,A2049)&gt;1,"DUP","OK")</f>
        <v>OK</v>
      </c>
      <c r="O2049" s="23" t="str">
        <f t="shared" si="94"/>
        <v>ORD26005681</v>
      </c>
      <c r="P2049" s="23" t="str">
        <f t="shared" si="95"/>
        <v>Sep</v>
      </c>
      <c r="Q2049" s="23" t="str">
        <f>IF(F2049="CAPTURE",IF(COUNTIF(orders!$A:$A,O2049)&gt;0,"Yes","NO ORDER"),"")</f>
        <v>Yes</v>
      </c>
    </row>
    <row r="2050" spans="1:17" ht="15" customHeight="1" x14ac:dyDescent="0.3">
      <c r="A2050" s="23" t="s">
        <v>14796</v>
      </c>
      <c r="B2050" s="23"/>
      <c r="C2050" s="23" t="s">
        <v>11809</v>
      </c>
      <c r="D2050" s="23" t="str">
        <f t="shared" ref="D2050:D2113" si="96">UPPER(SUBSTITUTE(TRIM(C2050),"-",""))</f>
        <v>ORD26005696</v>
      </c>
      <c r="E2050" s="38">
        <v>46276</v>
      </c>
      <c r="F2050" s="23" t="s">
        <v>12410</v>
      </c>
      <c r="G2050" s="23" t="s">
        <v>79</v>
      </c>
      <c r="H2050" s="24">
        <v>3848</v>
      </c>
      <c r="I2050" s="24">
        <v>61.57</v>
      </c>
      <c r="J2050" s="24">
        <v>11.08</v>
      </c>
      <c r="K2050" s="24">
        <v>3775.35</v>
      </c>
      <c r="L2050" s="38">
        <v>46278</v>
      </c>
      <c r="M2050" s="23" t="s">
        <v>196</v>
      </c>
      <c r="N2050" s="23" t="str">
        <f>IF(COUNTIF($A$2:A2050,A2050)&gt;1,"DUP","OK")</f>
        <v>OK</v>
      </c>
      <c r="O2050" s="23" t="str">
        <f t="shared" ref="O2050:O2113" si="97">IF(F2050="REFUND",INDEX($D:$D,MATCH(B2050,$A:$A,0)),D2050)</f>
        <v>ORD26005696</v>
      </c>
      <c r="P2050" s="23" t="str">
        <f t="shared" ref="P2050:P2113" si="98">IF(L2050&gt;DATE(2026,9,30),"Oct-Due","Sep")</f>
        <v>Sep</v>
      </c>
      <c r="Q2050" s="23" t="str">
        <f>IF(F2050="CAPTURE",IF(COUNTIF(orders!$A:$A,O2050)&gt;0,"Yes","NO ORDER"),"")</f>
        <v>Yes</v>
      </c>
    </row>
    <row r="2051" spans="1:17" ht="15" customHeight="1" x14ac:dyDescent="0.3">
      <c r="A2051" s="23" t="s">
        <v>14797</v>
      </c>
      <c r="B2051" s="23"/>
      <c r="C2051" s="23" t="s">
        <v>14798</v>
      </c>
      <c r="D2051" s="23" t="str">
        <f t="shared" si="96"/>
        <v>ORD26005743</v>
      </c>
      <c r="E2051" s="38">
        <v>46276</v>
      </c>
      <c r="F2051" s="23" t="s">
        <v>12410</v>
      </c>
      <c r="G2051" s="23" t="s">
        <v>75</v>
      </c>
      <c r="H2051" s="24">
        <v>2999</v>
      </c>
      <c r="I2051" s="24">
        <v>9</v>
      </c>
      <c r="J2051" s="24">
        <v>1.62</v>
      </c>
      <c r="K2051" s="24">
        <v>2988.38</v>
      </c>
      <c r="L2051" s="38">
        <v>46278</v>
      </c>
      <c r="M2051" s="23" t="s">
        <v>196</v>
      </c>
      <c r="N2051" s="23" t="str">
        <f>IF(COUNTIF($A$2:A2051,A2051)&gt;1,"DUP","OK")</f>
        <v>OK</v>
      </c>
      <c r="O2051" s="23" t="str">
        <f t="shared" si="97"/>
        <v>ORD26005743</v>
      </c>
      <c r="P2051" s="23" t="str">
        <f t="shared" si="98"/>
        <v>Sep</v>
      </c>
      <c r="Q2051" s="23" t="str">
        <f>IF(F2051="CAPTURE",IF(COUNTIF(orders!$A:$A,O2051)&gt;0,"Yes","NO ORDER"),"")</f>
        <v>Yes</v>
      </c>
    </row>
    <row r="2052" spans="1:17" ht="15" customHeight="1" x14ac:dyDescent="0.3">
      <c r="A2052" s="23" t="s">
        <v>14799</v>
      </c>
      <c r="B2052" s="23"/>
      <c r="C2052" s="23" t="s">
        <v>11930</v>
      </c>
      <c r="D2052" s="23" t="str">
        <f t="shared" si="96"/>
        <v>ORD26005758</v>
      </c>
      <c r="E2052" s="38">
        <v>46276</v>
      </c>
      <c r="F2052" s="23" t="s">
        <v>12410</v>
      </c>
      <c r="G2052" s="23" t="s">
        <v>79</v>
      </c>
      <c r="H2052" s="24">
        <v>6397</v>
      </c>
      <c r="I2052" s="24">
        <v>102.35</v>
      </c>
      <c r="J2052" s="24">
        <v>18.420000000000002</v>
      </c>
      <c r="K2052" s="24">
        <v>6276.23</v>
      </c>
      <c r="L2052" s="38">
        <v>46278</v>
      </c>
      <c r="M2052" s="23" t="s">
        <v>196</v>
      </c>
      <c r="N2052" s="23" t="str">
        <f>IF(COUNTIF($A$2:A2052,A2052)&gt;1,"DUP","OK")</f>
        <v>OK</v>
      </c>
      <c r="O2052" s="23" t="str">
        <f t="shared" si="97"/>
        <v>ORD26005758</v>
      </c>
      <c r="P2052" s="23" t="str">
        <f t="shared" si="98"/>
        <v>Sep</v>
      </c>
      <c r="Q2052" s="23" t="str">
        <f>IF(F2052="CAPTURE",IF(COUNTIF(orders!$A:$A,O2052)&gt;0,"Yes","NO ORDER"),"")</f>
        <v>Yes</v>
      </c>
    </row>
    <row r="2053" spans="1:17" ht="15" customHeight="1" x14ac:dyDescent="0.3">
      <c r="A2053" s="23" t="s">
        <v>14800</v>
      </c>
      <c r="B2053" s="23"/>
      <c r="C2053" s="23" t="s">
        <v>11975</v>
      </c>
      <c r="D2053" s="23" t="str">
        <f t="shared" si="96"/>
        <v>ORD26005781</v>
      </c>
      <c r="E2053" s="38">
        <v>46276</v>
      </c>
      <c r="F2053" s="23" t="s">
        <v>12410</v>
      </c>
      <c r="G2053" s="23" t="s">
        <v>79</v>
      </c>
      <c r="H2053" s="24">
        <v>2499</v>
      </c>
      <c r="I2053" s="24">
        <v>39.979999999999997</v>
      </c>
      <c r="J2053" s="24">
        <v>7.2</v>
      </c>
      <c r="K2053" s="24">
        <v>2451.8200000000002</v>
      </c>
      <c r="L2053" s="38">
        <v>46278</v>
      </c>
      <c r="M2053" s="23" t="s">
        <v>196</v>
      </c>
      <c r="N2053" s="23" t="str">
        <f>IF(COUNTIF($A$2:A2053,A2053)&gt;1,"DUP","OK")</f>
        <v>OK</v>
      </c>
      <c r="O2053" s="23" t="str">
        <f t="shared" si="97"/>
        <v>ORD26005781</v>
      </c>
      <c r="P2053" s="23" t="str">
        <f t="shared" si="98"/>
        <v>Sep</v>
      </c>
      <c r="Q2053" s="23" t="str">
        <f>IF(F2053="CAPTURE",IF(COUNTIF(orders!$A:$A,O2053)&gt;0,"Yes","NO ORDER"),"")</f>
        <v>Yes</v>
      </c>
    </row>
    <row r="2054" spans="1:17" ht="15" customHeight="1" x14ac:dyDescent="0.3">
      <c r="A2054" s="23" t="s">
        <v>14801</v>
      </c>
      <c r="B2054" s="23"/>
      <c r="C2054" s="23" t="s">
        <v>11992</v>
      </c>
      <c r="D2054" s="23" t="str">
        <f t="shared" si="96"/>
        <v>ORD26005790</v>
      </c>
      <c r="E2054" s="38">
        <v>46276</v>
      </c>
      <c r="F2054" s="23" t="s">
        <v>12410</v>
      </c>
      <c r="G2054" s="23" t="s">
        <v>79</v>
      </c>
      <c r="H2054" s="24">
        <v>3298</v>
      </c>
      <c r="I2054" s="24">
        <v>52.77</v>
      </c>
      <c r="J2054" s="24">
        <v>9.5</v>
      </c>
      <c r="K2054" s="24">
        <v>3235.73</v>
      </c>
      <c r="L2054" s="38">
        <v>46278</v>
      </c>
      <c r="M2054" s="23" t="s">
        <v>196</v>
      </c>
      <c r="N2054" s="23" t="str">
        <f>IF(COUNTIF($A$2:A2054,A2054)&gt;1,"DUP","OK")</f>
        <v>OK</v>
      </c>
      <c r="O2054" s="23" t="str">
        <f t="shared" si="97"/>
        <v>ORD26005790</v>
      </c>
      <c r="P2054" s="23" t="str">
        <f t="shared" si="98"/>
        <v>Sep</v>
      </c>
      <c r="Q2054" s="23" t="str">
        <f>IF(F2054="CAPTURE",IF(COUNTIF(orders!$A:$A,O2054)&gt;0,"Yes","NO ORDER"),"")</f>
        <v>Yes</v>
      </c>
    </row>
    <row r="2055" spans="1:17" ht="15" customHeight="1" x14ac:dyDescent="0.3">
      <c r="A2055" s="23" t="s">
        <v>14802</v>
      </c>
      <c r="B2055" s="23"/>
      <c r="C2055" s="23" t="s">
        <v>12100</v>
      </c>
      <c r="D2055" s="23" t="str">
        <f t="shared" si="96"/>
        <v>ORD26005846</v>
      </c>
      <c r="E2055" s="38">
        <v>46276</v>
      </c>
      <c r="F2055" s="23" t="s">
        <v>12410</v>
      </c>
      <c r="G2055" s="23" t="s">
        <v>79</v>
      </c>
      <c r="H2055" s="24">
        <v>5097</v>
      </c>
      <c r="I2055" s="24">
        <v>81.55</v>
      </c>
      <c r="J2055" s="24">
        <v>14.68</v>
      </c>
      <c r="K2055" s="24">
        <v>5000.7700000000004</v>
      </c>
      <c r="L2055" s="38">
        <v>46278</v>
      </c>
      <c r="M2055" s="23" t="s">
        <v>196</v>
      </c>
      <c r="N2055" s="23" t="str">
        <f>IF(COUNTIF($A$2:A2055,A2055)&gt;1,"DUP","OK")</f>
        <v>OK</v>
      </c>
      <c r="O2055" s="23" t="str">
        <f t="shared" si="97"/>
        <v>ORD26005846</v>
      </c>
      <c r="P2055" s="23" t="str">
        <f t="shared" si="98"/>
        <v>Sep</v>
      </c>
      <c r="Q2055" s="23" t="str">
        <f>IF(F2055="CAPTURE",IF(COUNTIF(orders!$A:$A,O2055)&gt;0,"Yes","NO ORDER"),"")</f>
        <v>Yes</v>
      </c>
    </row>
    <row r="2056" spans="1:17" ht="15" customHeight="1" x14ac:dyDescent="0.3">
      <c r="A2056" s="23" t="s">
        <v>14803</v>
      </c>
      <c r="B2056" s="23"/>
      <c r="C2056" s="23" t="s">
        <v>12161</v>
      </c>
      <c r="D2056" s="23" t="str">
        <f t="shared" si="96"/>
        <v>ORD26005879</v>
      </c>
      <c r="E2056" s="38">
        <v>46276</v>
      </c>
      <c r="F2056" s="23" t="s">
        <v>12410</v>
      </c>
      <c r="G2056" s="23" t="s">
        <v>75</v>
      </c>
      <c r="H2056" s="24">
        <v>349</v>
      </c>
      <c r="I2056" s="24">
        <v>0</v>
      </c>
      <c r="J2056" s="24">
        <v>0</v>
      </c>
      <c r="K2056" s="24">
        <v>349</v>
      </c>
      <c r="L2056" s="38">
        <v>46278</v>
      </c>
      <c r="M2056" s="23" t="s">
        <v>196</v>
      </c>
      <c r="N2056" s="23" t="str">
        <f>IF(COUNTIF($A$2:A2056,A2056)&gt;1,"DUP","OK")</f>
        <v>OK</v>
      </c>
      <c r="O2056" s="23" t="str">
        <f t="shared" si="97"/>
        <v>ORD26005879</v>
      </c>
      <c r="P2056" s="23" t="str">
        <f t="shared" si="98"/>
        <v>Sep</v>
      </c>
      <c r="Q2056" s="23" t="str">
        <f>IF(F2056="CAPTURE",IF(COUNTIF(orders!$A:$A,O2056)&gt;0,"Yes","NO ORDER"),"")</f>
        <v>Yes</v>
      </c>
    </row>
    <row r="2057" spans="1:17" ht="15" customHeight="1" x14ac:dyDescent="0.3">
      <c r="A2057" s="23" t="s">
        <v>14804</v>
      </c>
      <c r="B2057" s="23"/>
      <c r="C2057" s="23" t="s">
        <v>14805</v>
      </c>
      <c r="D2057" s="23" t="str">
        <f t="shared" si="96"/>
        <v>ORD26005894</v>
      </c>
      <c r="E2057" s="38">
        <v>46276</v>
      </c>
      <c r="F2057" s="23" t="s">
        <v>12410</v>
      </c>
      <c r="G2057" s="23" t="s">
        <v>75</v>
      </c>
      <c r="H2057" s="24">
        <v>1499</v>
      </c>
      <c r="I2057" s="24">
        <v>0</v>
      </c>
      <c r="J2057" s="24">
        <v>0</v>
      </c>
      <c r="K2057" s="24">
        <v>1499</v>
      </c>
      <c r="L2057" s="38">
        <v>46278</v>
      </c>
      <c r="M2057" s="23" t="s">
        <v>196</v>
      </c>
      <c r="N2057" s="23" t="str">
        <f>IF(COUNTIF($A$2:A2057,A2057)&gt;1,"DUP","OK")</f>
        <v>OK</v>
      </c>
      <c r="O2057" s="23" t="str">
        <f t="shared" si="97"/>
        <v>ORD26005894</v>
      </c>
      <c r="P2057" s="23" t="str">
        <f t="shared" si="98"/>
        <v>Sep</v>
      </c>
      <c r="Q2057" s="23" t="str">
        <f>IF(F2057="CAPTURE",IF(COUNTIF(orders!$A:$A,O2057)&gt;0,"Yes","NO ORDER"),"")</f>
        <v>Yes</v>
      </c>
    </row>
    <row r="2058" spans="1:17" ht="15" customHeight="1" x14ac:dyDescent="0.3">
      <c r="A2058" s="23" t="s">
        <v>14806</v>
      </c>
      <c r="B2058" s="23"/>
      <c r="C2058" s="23" t="s">
        <v>12194</v>
      </c>
      <c r="D2058" s="23" t="str">
        <f t="shared" si="96"/>
        <v>ORD26005897</v>
      </c>
      <c r="E2058" s="38">
        <v>46276</v>
      </c>
      <c r="F2058" s="23" t="s">
        <v>12410</v>
      </c>
      <c r="G2058" s="23" t="s">
        <v>79</v>
      </c>
      <c r="H2058" s="24">
        <v>598</v>
      </c>
      <c r="I2058" s="24">
        <v>10.76</v>
      </c>
      <c r="J2058" s="24">
        <v>1.94</v>
      </c>
      <c r="K2058" s="24">
        <v>585.29999999999995</v>
      </c>
      <c r="L2058" s="38">
        <v>46278</v>
      </c>
      <c r="M2058" s="23" t="s">
        <v>196</v>
      </c>
      <c r="N2058" s="23" t="str">
        <f>IF(COUNTIF($A$2:A2058,A2058)&gt;1,"DUP","OK")</f>
        <v>OK</v>
      </c>
      <c r="O2058" s="23" t="str">
        <f t="shared" si="97"/>
        <v>ORD26005897</v>
      </c>
      <c r="P2058" s="23" t="str">
        <f t="shared" si="98"/>
        <v>Sep</v>
      </c>
      <c r="Q2058" s="23" t="str">
        <f>IF(F2058="CAPTURE",IF(COUNTIF(orders!$A:$A,O2058)&gt;0,"Yes","NO ORDER"),"")</f>
        <v>Yes</v>
      </c>
    </row>
    <row r="2059" spans="1:17" ht="15" customHeight="1" x14ac:dyDescent="0.3">
      <c r="A2059" s="23" t="s">
        <v>14807</v>
      </c>
      <c r="B2059" s="23"/>
      <c r="C2059" s="23" t="s">
        <v>12308</v>
      </c>
      <c r="D2059" s="23" t="str">
        <f t="shared" si="96"/>
        <v>ORD26005957</v>
      </c>
      <c r="E2059" s="38">
        <v>46276</v>
      </c>
      <c r="F2059" s="23" t="s">
        <v>12410</v>
      </c>
      <c r="G2059" s="23" t="s">
        <v>75</v>
      </c>
      <c r="H2059" s="24">
        <v>299</v>
      </c>
      <c r="I2059" s="24">
        <v>0</v>
      </c>
      <c r="J2059" s="24">
        <v>0</v>
      </c>
      <c r="K2059" s="24">
        <v>299</v>
      </c>
      <c r="L2059" s="38">
        <v>46278</v>
      </c>
      <c r="M2059" s="23" t="s">
        <v>196</v>
      </c>
      <c r="N2059" s="23" t="str">
        <f>IF(COUNTIF($A$2:A2059,A2059)&gt;1,"DUP","OK")</f>
        <v>OK</v>
      </c>
      <c r="O2059" s="23" t="str">
        <f t="shared" si="97"/>
        <v>ORD26005957</v>
      </c>
      <c r="P2059" s="23" t="str">
        <f t="shared" si="98"/>
        <v>Sep</v>
      </c>
      <c r="Q2059" s="23" t="str">
        <f>IF(F2059="CAPTURE",IF(COUNTIF(orders!$A:$A,O2059)&gt;0,"Yes","NO ORDER"),"")</f>
        <v>Yes</v>
      </c>
    </row>
    <row r="2060" spans="1:17" ht="15" customHeight="1" x14ac:dyDescent="0.3">
      <c r="A2060" s="23" t="s">
        <v>14808</v>
      </c>
      <c r="B2060" s="23"/>
      <c r="C2060" s="23" t="s">
        <v>12310</v>
      </c>
      <c r="D2060" s="23" t="str">
        <f t="shared" si="96"/>
        <v>ORD26005958</v>
      </c>
      <c r="E2060" s="38">
        <v>46276</v>
      </c>
      <c r="F2060" s="23" t="s">
        <v>12410</v>
      </c>
      <c r="G2060" s="23" t="s">
        <v>79</v>
      </c>
      <c r="H2060" s="24">
        <v>2998</v>
      </c>
      <c r="I2060" s="24">
        <v>47.97</v>
      </c>
      <c r="J2060" s="24">
        <v>8.6300000000000008</v>
      </c>
      <c r="K2060" s="24">
        <v>2941.4</v>
      </c>
      <c r="L2060" s="38">
        <v>46278</v>
      </c>
      <c r="M2060" s="23" t="s">
        <v>196</v>
      </c>
      <c r="N2060" s="23" t="str">
        <f>IF(COUNTIF($A$2:A2060,A2060)&gt;1,"DUP","OK")</f>
        <v>OK</v>
      </c>
      <c r="O2060" s="23" t="str">
        <f t="shared" si="97"/>
        <v>ORD26005958</v>
      </c>
      <c r="P2060" s="23" t="str">
        <f t="shared" si="98"/>
        <v>Sep</v>
      </c>
      <c r="Q2060" s="23" t="str">
        <f>IF(F2060="CAPTURE",IF(COUNTIF(orders!$A:$A,O2060)&gt;0,"Yes","NO ORDER"),"")</f>
        <v>Yes</v>
      </c>
    </row>
    <row r="2061" spans="1:17" ht="15" customHeight="1" x14ac:dyDescent="0.3">
      <c r="A2061" s="23" t="s">
        <v>14809</v>
      </c>
      <c r="B2061" s="23"/>
      <c r="C2061" s="23" t="s">
        <v>14810</v>
      </c>
      <c r="D2061" s="23" t="str">
        <f t="shared" si="96"/>
        <v>ORD26005967</v>
      </c>
      <c r="E2061" s="38">
        <v>46276</v>
      </c>
      <c r="F2061" s="23" t="s">
        <v>12410</v>
      </c>
      <c r="G2061" s="23" t="s">
        <v>79</v>
      </c>
      <c r="H2061" s="24">
        <v>349</v>
      </c>
      <c r="I2061" s="24">
        <v>6.28</v>
      </c>
      <c r="J2061" s="24">
        <v>1.1299999999999999</v>
      </c>
      <c r="K2061" s="24">
        <v>341.59</v>
      </c>
      <c r="L2061" s="38">
        <v>46278</v>
      </c>
      <c r="M2061" s="23" t="s">
        <v>196</v>
      </c>
      <c r="N2061" s="23" t="str">
        <f>IF(COUNTIF($A$2:A2061,A2061)&gt;1,"DUP","OK")</f>
        <v>OK</v>
      </c>
      <c r="O2061" s="23" t="str">
        <f t="shared" si="97"/>
        <v>ORD26005967</v>
      </c>
      <c r="P2061" s="23" t="str">
        <f t="shared" si="98"/>
        <v>Sep</v>
      </c>
      <c r="Q2061" s="23" t="str">
        <f>IF(F2061="CAPTURE",IF(COUNTIF(orders!$A:$A,O2061)&gt;0,"Yes","NO ORDER"),"")</f>
        <v>Yes</v>
      </c>
    </row>
    <row r="2062" spans="1:17" ht="15" customHeight="1" x14ac:dyDescent="0.3">
      <c r="A2062" s="23" t="s">
        <v>14811</v>
      </c>
      <c r="B2062" s="23"/>
      <c r="C2062" s="23" t="s">
        <v>12384</v>
      </c>
      <c r="D2062" s="23" t="str">
        <f t="shared" si="96"/>
        <v>ORD26005996</v>
      </c>
      <c r="E2062" s="38">
        <v>46276</v>
      </c>
      <c r="F2062" s="23" t="s">
        <v>12410</v>
      </c>
      <c r="G2062" s="23" t="s">
        <v>75</v>
      </c>
      <c r="H2062" s="24">
        <v>2498</v>
      </c>
      <c r="I2062" s="24">
        <v>7.49</v>
      </c>
      <c r="J2062" s="24">
        <v>1.35</v>
      </c>
      <c r="K2062" s="24">
        <v>2489.16</v>
      </c>
      <c r="L2062" s="38">
        <v>46278</v>
      </c>
      <c r="M2062" s="23" t="s">
        <v>196</v>
      </c>
      <c r="N2062" s="23" t="str">
        <f>IF(COUNTIF($A$2:A2062,A2062)&gt;1,"DUP","OK")</f>
        <v>OK</v>
      </c>
      <c r="O2062" s="23" t="str">
        <f t="shared" si="97"/>
        <v>ORD26005996</v>
      </c>
      <c r="P2062" s="23" t="str">
        <f t="shared" si="98"/>
        <v>Sep</v>
      </c>
      <c r="Q2062" s="23" t="str">
        <f>IF(F2062="CAPTURE",IF(COUNTIF(orders!$A:$A,O2062)&gt;0,"Yes","NO ORDER"),"")</f>
        <v>Yes</v>
      </c>
    </row>
    <row r="2063" spans="1:17" ht="15" customHeight="1" x14ac:dyDescent="0.3">
      <c r="A2063" s="23" t="s">
        <v>14812</v>
      </c>
      <c r="B2063" s="23" t="s">
        <v>14086</v>
      </c>
      <c r="C2063" s="23"/>
      <c r="D2063" s="23" t="str">
        <f t="shared" si="96"/>
        <v/>
      </c>
      <c r="E2063" s="38">
        <v>46276</v>
      </c>
      <c r="F2063" s="23" t="s">
        <v>12791</v>
      </c>
      <c r="G2063" s="23" t="s">
        <v>75</v>
      </c>
      <c r="H2063" s="24">
        <v>4999</v>
      </c>
      <c r="I2063" s="24">
        <v>0</v>
      </c>
      <c r="J2063" s="24">
        <v>0</v>
      </c>
      <c r="K2063" s="24">
        <v>-4999</v>
      </c>
      <c r="L2063" s="38">
        <v>46278</v>
      </c>
      <c r="M2063" s="23" t="s">
        <v>196</v>
      </c>
      <c r="N2063" s="23" t="str">
        <f>IF(COUNTIF($A$2:A2063,A2063)&gt;1,"DUP","OK")</f>
        <v>OK</v>
      </c>
      <c r="O2063" s="23" t="str">
        <f t="shared" si="97"/>
        <v>ORD26004588</v>
      </c>
      <c r="P2063" s="23" t="str">
        <f t="shared" si="98"/>
        <v>Sep</v>
      </c>
      <c r="Q2063" s="23" t="str">
        <f>IF(F2063="CAPTURE",IF(COUNTIF(orders!$A:$A,O2063)&gt;0,"Yes","NO ORDER"),"")</f>
        <v/>
      </c>
    </row>
    <row r="2064" spans="1:17" ht="15" customHeight="1" x14ac:dyDescent="0.3">
      <c r="A2064" s="23" t="s">
        <v>14813</v>
      </c>
      <c r="B2064" s="23" t="s">
        <v>14465</v>
      </c>
      <c r="C2064" s="23"/>
      <c r="D2064" s="23" t="str">
        <f t="shared" si="96"/>
        <v/>
      </c>
      <c r="E2064" s="38">
        <v>46276</v>
      </c>
      <c r="F2064" s="23" t="s">
        <v>12791</v>
      </c>
      <c r="G2064" s="23" t="s">
        <v>79</v>
      </c>
      <c r="H2064" s="24">
        <v>1499</v>
      </c>
      <c r="I2064" s="24">
        <v>0</v>
      </c>
      <c r="J2064" s="24">
        <v>0</v>
      </c>
      <c r="K2064" s="24">
        <v>-1499</v>
      </c>
      <c r="L2064" s="38">
        <v>46278</v>
      </c>
      <c r="M2064" s="23" t="s">
        <v>196</v>
      </c>
      <c r="N2064" s="23" t="str">
        <f>IF(COUNTIF($A$2:A2064,A2064)&gt;1,"DUP","OK")</f>
        <v>OK</v>
      </c>
      <c r="O2064" s="23" t="str">
        <f t="shared" si="97"/>
        <v>ORD26003030</v>
      </c>
      <c r="P2064" s="23" t="str">
        <f t="shared" si="98"/>
        <v>Sep</v>
      </c>
      <c r="Q2064" s="23" t="str">
        <f>IF(F2064="CAPTURE",IF(COUNTIF(orders!$A:$A,O2064)&gt;0,"Yes","NO ORDER"),"")</f>
        <v/>
      </c>
    </row>
    <row r="2065" spans="1:17" ht="15" customHeight="1" x14ac:dyDescent="0.3">
      <c r="A2065" s="23" t="s">
        <v>14814</v>
      </c>
      <c r="B2065" s="23" t="s">
        <v>14076</v>
      </c>
      <c r="C2065" s="23"/>
      <c r="D2065" s="23" t="str">
        <f t="shared" si="96"/>
        <v/>
      </c>
      <c r="E2065" s="38">
        <v>46276</v>
      </c>
      <c r="F2065" s="23" t="s">
        <v>12791</v>
      </c>
      <c r="G2065" s="23" t="s">
        <v>75</v>
      </c>
      <c r="H2065" s="24">
        <v>6797</v>
      </c>
      <c r="I2065" s="24">
        <v>0</v>
      </c>
      <c r="J2065" s="24">
        <v>0</v>
      </c>
      <c r="K2065" s="24">
        <v>-6797</v>
      </c>
      <c r="L2065" s="38">
        <v>46278</v>
      </c>
      <c r="M2065" s="23" t="s">
        <v>196</v>
      </c>
      <c r="N2065" s="23" t="str">
        <f>IF(COUNTIF($A$2:A2065,A2065)&gt;1,"DUP","OK")</f>
        <v>OK</v>
      </c>
      <c r="O2065" s="23" t="str">
        <f t="shared" si="97"/>
        <v>ORD26004447</v>
      </c>
      <c r="P2065" s="23" t="str">
        <f t="shared" si="98"/>
        <v>Sep</v>
      </c>
      <c r="Q2065" s="23" t="str">
        <f>IF(F2065="CAPTURE",IF(COUNTIF(orders!$A:$A,O2065)&gt;0,"Yes","NO ORDER"),"")</f>
        <v/>
      </c>
    </row>
    <row r="2066" spans="1:17" ht="15" customHeight="1" x14ac:dyDescent="0.3">
      <c r="A2066" s="23" t="s">
        <v>14815</v>
      </c>
      <c r="B2066" s="23" t="s">
        <v>13980</v>
      </c>
      <c r="C2066" s="23"/>
      <c r="D2066" s="23" t="str">
        <f t="shared" si="96"/>
        <v/>
      </c>
      <c r="E2066" s="38">
        <v>46276</v>
      </c>
      <c r="F2066" s="23" t="s">
        <v>12791</v>
      </c>
      <c r="G2066" s="23" t="s">
        <v>81</v>
      </c>
      <c r="H2066" s="24">
        <v>9998</v>
      </c>
      <c r="I2066" s="24">
        <v>0</v>
      </c>
      <c r="J2066" s="24">
        <v>0</v>
      </c>
      <c r="K2066" s="24">
        <v>-9998</v>
      </c>
      <c r="L2066" s="38">
        <v>46278</v>
      </c>
      <c r="M2066" s="23" t="s">
        <v>196</v>
      </c>
      <c r="N2066" s="23" t="str">
        <f>IF(COUNTIF($A$2:A2066,A2066)&gt;1,"DUP","OK")</f>
        <v>OK</v>
      </c>
      <c r="O2066" s="23" t="str">
        <f t="shared" si="97"/>
        <v>ORD26002139</v>
      </c>
      <c r="P2066" s="23" t="str">
        <f t="shared" si="98"/>
        <v>Sep</v>
      </c>
      <c r="Q2066" s="23" t="str">
        <f>IF(F2066="CAPTURE",IF(COUNTIF(orders!$A:$A,O2066)&gt;0,"Yes","NO ORDER"),"")</f>
        <v/>
      </c>
    </row>
    <row r="2067" spans="1:17" ht="15" customHeight="1" x14ac:dyDescent="0.3">
      <c r="A2067" s="23" t="s">
        <v>14816</v>
      </c>
      <c r="B2067" s="23" t="s">
        <v>14295</v>
      </c>
      <c r="C2067" s="23"/>
      <c r="D2067" s="23" t="str">
        <f t="shared" si="96"/>
        <v/>
      </c>
      <c r="E2067" s="38">
        <v>46276</v>
      </c>
      <c r="F2067" s="23" t="s">
        <v>12791</v>
      </c>
      <c r="G2067" s="23" t="s">
        <v>79</v>
      </c>
      <c r="H2067" s="24">
        <v>349</v>
      </c>
      <c r="I2067" s="24">
        <v>0</v>
      </c>
      <c r="J2067" s="24">
        <v>0</v>
      </c>
      <c r="K2067" s="24">
        <v>-349</v>
      </c>
      <c r="L2067" s="38">
        <v>46278</v>
      </c>
      <c r="M2067" s="23" t="s">
        <v>196</v>
      </c>
      <c r="N2067" s="23" t="str">
        <f>IF(COUNTIF($A$2:A2067,A2067)&gt;1,"DUP","OK")</f>
        <v>OK</v>
      </c>
      <c r="O2067" s="23" t="str">
        <f t="shared" si="97"/>
        <v>ORD26004121</v>
      </c>
      <c r="P2067" s="23" t="str">
        <f t="shared" si="98"/>
        <v>Sep</v>
      </c>
      <c r="Q2067" s="23" t="str">
        <f>IF(F2067="CAPTURE",IF(COUNTIF(orders!$A:$A,O2067)&gt;0,"Yes","NO ORDER"),"")</f>
        <v/>
      </c>
    </row>
    <row r="2068" spans="1:17" ht="15" customHeight="1" x14ac:dyDescent="0.3">
      <c r="A2068" s="23" t="s">
        <v>14817</v>
      </c>
      <c r="B2068" s="23" t="s">
        <v>14377</v>
      </c>
      <c r="C2068" s="23"/>
      <c r="D2068" s="23" t="str">
        <f t="shared" si="96"/>
        <v/>
      </c>
      <c r="E2068" s="38">
        <v>46276</v>
      </c>
      <c r="F2068" s="23" t="s">
        <v>12791</v>
      </c>
      <c r="G2068" s="23" t="s">
        <v>75</v>
      </c>
      <c r="H2068" s="24">
        <v>299</v>
      </c>
      <c r="I2068" s="24">
        <v>0</v>
      </c>
      <c r="J2068" s="24">
        <v>0</v>
      </c>
      <c r="K2068" s="24">
        <v>-299</v>
      </c>
      <c r="L2068" s="38">
        <v>46278</v>
      </c>
      <c r="M2068" s="23" t="s">
        <v>196</v>
      </c>
      <c r="N2068" s="23" t="str">
        <f>IF(COUNTIF($A$2:A2068,A2068)&gt;1,"DUP","OK")</f>
        <v>OK</v>
      </c>
      <c r="O2068" s="23" t="str">
        <f t="shared" si="97"/>
        <v>ORD26000497</v>
      </c>
      <c r="P2068" s="23" t="str">
        <f t="shared" si="98"/>
        <v>Sep</v>
      </c>
      <c r="Q2068" s="23" t="str">
        <f>IF(F2068="CAPTURE",IF(COUNTIF(orders!$A:$A,O2068)&gt;0,"Yes","NO ORDER"),"")</f>
        <v/>
      </c>
    </row>
    <row r="2069" spans="1:17" ht="15" customHeight="1" x14ac:dyDescent="0.3">
      <c r="A2069" s="23" t="s">
        <v>14818</v>
      </c>
      <c r="B2069" s="23" t="s">
        <v>14179</v>
      </c>
      <c r="C2069" s="23"/>
      <c r="D2069" s="23" t="str">
        <f t="shared" si="96"/>
        <v/>
      </c>
      <c r="E2069" s="38">
        <v>46276</v>
      </c>
      <c r="F2069" s="23" t="s">
        <v>12791</v>
      </c>
      <c r="G2069" s="23" t="s">
        <v>75</v>
      </c>
      <c r="H2069" s="24">
        <v>3499</v>
      </c>
      <c r="I2069" s="24">
        <v>0</v>
      </c>
      <c r="J2069" s="24">
        <v>0</v>
      </c>
      <c r="K2069" s="24">
        <v>-3499</v>
      </c>
      <c r="L2069" s="38">
        <v>46278</v>
      </c>
      <c r="M2069" s="23" t="s">
        <v>196</v>
      </c>
      <c r="N2069" s="23" t="str">
        <f>IF(COUNTIF($A$2:A2069,A2069)&gt;1,"DUP","OK")</f>
        <v>OK</v>
      </c>
      <c r="O2069" s="23" t="str">
        <f t="shared" si="97"/>
        <v>ORD26000587</v>
      </c>
      <c r="P2069" s="23" t="str">
        <f t="shared" si="98"/>
        <v>Sep</v>
      </c>
      <c r="Q2069" s="23" t="str">
        <f>IF(F2069="CAPTURE",IF(COUNTIF(orders!$A:$A,O2069)&gt;0,"Yes","NO ORDER"),"")</f>
        <v/>
      </c>
    </row>
    <row r="2070" spans="1:17" ht="15" customHeight="1" x14ac:dyDescent="0.3">
      <c r="A2070" s="23" t="s">
        <v>14819</v>
      </c>
      <c r="B2070" s="23" t="s">
        <v>13937</v>
      </c>
      <c r="C2070" s="23"/>
      <c r="D2070" s="23" t="str">
        <f t="shared" si="96"/>
        <v/>
      </c>
      <c r="E2070" s="38">
        <v>46276</v>
      </c>
      <c r="F2070" s="23" t="s">
        <v>12791</v>
      </c>
      <c r="G2070" s="23" t="s">
        <v>75</v>
      </c>
      <c r="H2070" s="24">
        <v>5348</v>
      </c>
      <c r="I2070" s="24">
        <v>0</v>
      </c>
      <c r="J2070" s="24">
        <v>0</v>
      </c>
      <c r="K2070" s="24">
        <v>-5348</v>
      </c>
      <c r="L2070" s="38">
        <v>46278</v>
      </c>
      <c r="M2070" s="23" t="s">
        <v>196</v>
      </c>
      <c r="N2070" s="23" t="str">
        <f>IF(COUNTIF($A$2:A2070,A2070)&gt;1,"DUP","OK")</f>
        <v>OK</v>
      </c>
      <c r="O2070" s="23" t="str">
        <f t="shared" si="97"/>
        <v>ORD26001073</v>
      </c>
      <c r="P2070" s="23" t="str">
        <f t="shared" si="98"/>
        <v>Sep</v>
      </c>
      <c r="Q2070" s="23" t="str">
        <f>IF(F2070="CAPTURE",IF(COUNTIF(orders!$A:$A,O2070)&gt;0,"Yes","NO ORDER"),"")</f>
        <v/>
      </c>
    </row>
    <row r="2071" spans="1:17" ht="15" customHeight="1" x14ac:dyDescent="0.3">
      <c r="A2071" s="23" t="s">
        <v>14820</v>
      </c>
      <c r="B2071" s="23" t="s">
        <v>13316</v>
      </c>
      <c r="C2071" s="23"/>
      <c r="D2071" s="23" t="str">
        <f t="shared" si="96"/>
        <v/>
      </c>
      <c r="E2071" s="38">
        <v>46276</v>
      </c>
      <c r="F2071" s="23" t="s">
        <v>12791</v>
      </c>
      <c r="G2071" s="23" t="s">
        <v>79</v>
      </c>
      <c r="H2071" s="24">
        <v>1198</v>
      </c>
      <c r="I2071" s="24">
        <v>0</v>
      </c>
      <c r="J2071" s="24">
        <v>0</v>
      </c>
      <c r="K2071" s="24">
        <v>-1198</v>
      </c>
      <c r="L2071" s="38">
        <v>46278</v>
      </c>
      <c r="M2071" s="23" t="s">
        <v>196</v>
      </c>
      <c r="N2071" s="23" t="str">
        <f>IF(COUNTIF($A$2:A2071,A2071)&gt;1,"DUP","OK")</f>
        <v>OK</v>
      </c>
      <c r="O2071" s="23" t="str">
        <f t="shared" si="97"/>
        <v>ORD26001967</v>
      </c>
      <c r="P2071" s="23" t="str">
        <f t="shared" si="98"/>
        <v>Sep</v>
      </c>
      <c r="Q2071" s="23" t="str">
        <f>IF(F2071="CAPTURE",IF(COUNTIF(orders!$A:$A,O2071)&gt;0,"Yes","NO ORDER"),"")</f>
        <v/>
      </c>
    </row>
    <row r="2072" spans="1:17" ht="15" customHeight="1" x14ac:dyDescent="0.3">
      <c r="A2072" s="23" t="s">
        <v>14821</v>
      </c>
      <c r="B2072" s="23" t="s">
        <v>14532</v>
      </c>
      <c r="C2072" s="23"/>
      <c r="D2072" s="23" t="str">
        <f t="shared" si="96"/>
        <v/>
      </c>
      <c r="E2072" s="38">
        <v>46276</v>
      </c>
      <c r="F2072" s="23" t="s">
        <v>12791</v>
      </c>
      <c r="G2072" s="23" t="s">
        <v>77</v>
      </c>
      <c r="H2072" s="24">
        <v>7297</v>
      </c>
      <c r="I2072" s="24">
        <v>0</v>
      </c>
      <c r="J2072" s="24">
        <v>0</v>
      </c>
      <c r="K2072" s="24">
        <v>-7297</v>
      </c>
      <c r="L2072" s="38">
        <v>46278</v>
      </c>
      <c r="M2072" s="23" t="s">
        <v>196</v>
      </c>
      <c r="N2072" s="23" t="str">
        <f>IF(COUNTIF($A$2:A2072,A2072)&gt;1,"DUP","OK")</f>
        <v>OK</v>
      </c>
      <c r="O2072" s="23" t="str">
        <f t="shared" si="97"/>
        <v>ORD26004793</v>
      </c>
      <c r="P2072" s="23" t="str">
        <f t="shared" si="98"/>
        <v>Sep</v>
      </c>
      <c r="Q2072" s="23" t="str">
        <f>IF(F2072="CAPTURE",IF(COUNTIF(orders!$A:$A,O2072)&gt;0,"Yes","NO ORDER"),"")</f>
        <v/>
      </c>
    </row>
    <row r="2073" spans="1:17" ht="15" customHeight="1" x14ac:dyDescent="0.3">
      <c r="A2073" s="23" t="s">
        <v>14822</v>
      </c>
      <c r="B2073" s="23" t="s">
        <v>14164</v>
      </c>
      <c r="C2073" s="23"/>
      <c r="D2073" s="23" t="str">
        <f t="shared" si="96"/>
        <v/>
      </c>
      <c r="E2073" s="38">
        <v>46276</v>
      </c>
      <c r="F2073" s="23" t="s">
        <v>12791</v>
      </c>
      <c r="G2073" s="23" t="s">
        <v>81</v>
      </c>
      <c r="H2073" s="24">
        <v>9798</v>
      </c>
      <c r="I2073" s="24">
        <v>0</v>
      </c>
      <c r="J2073" s="24">
        <v>0</v>
      </c>
      <c r="K2073" s="24">
        <v>-9798</v>
      </c>
      <c r="L2073" s="38">
        <v>46278</v>
      </c>
      <c r="M2073" s="23" t="s">
        <v>196</v>
      </c>
      <c r="N2073" s="23" t="str">
        <f>IF(COUNTIF($A$2:A2073,A2073)&gt;1,"DUP","OK")</f>
        <v>OK</v>
      </c>
      <c r="O2073" s="23" t="str">
        <f t="shared" si="97"/>
        <v>ORD26000199</v>
      </c>
      <c r="P2073" s="23" t="str">
        <f t="shared" si="98"/>
        <v>Sep</v>
      </c>
      <c r="Q2073" s="23" t="str">
        <f>IF(F2073="CAPTURE",IF(COUNTIF(orders!$A:$A,O2073)&gt;0,"Yes","NO ORDER"),"")</f>
        <v/>
      </c>
    </row>
    <row r="2074" spans="1:17" ht="15" customHeight="1" x14ac:dyDescent="0.3">
      <c r="A2074" s="23" t="s">
        <v>14823</v>
      </c>
      <c r="B2074" s="23" t="s">
        <v>13509</v>
      </c>
      <c r="C2074" s="23"/>
      <c r="D2074" s="23" t="str">
        <f t="shared" si="96"/>
        <v/>
      </c>
      <c r="E2074" s="38">
        <v>46276</v>
      </c>
      <c r="F2074" s="23" t="s">
        <v>12791</v>
      </c>
      <c r="G2074" s="23" t="s">
        <v>75</v>
      </c>
      <c r="H2074" s="24">
        <v>1798</v>
      </c>
      <c r="I2074" s="24">
        <v>0</v>
      </c>
      <c r="J2074" s="24">
        <v>0</v>
      </c>
      <c r="K2074" s="24">
        <v>-1798</v>
      </c>
      <c r="L2074" s="38">
        <v>46278</v>
      </c>
      <c r="M2074" s="23" t="s">
        <v>196</v>
      </c>
      <c r="N2074" s="23" t="str">
        <f>IF(COUNTIF($A$2:A2074,A2074)&gt;1,"DUP","OK")</f>
        <v>OK</v>
      </c>
      <c r="O2074" s="23" t="str">
        <f t="shared" si="97"/>
        <v>ORD26001101</v>
      </c>
      <c r="P2074" s="23" t="str">
        <f t="shared" si="98"/>
        <v>Sep</v>
      </c>
      <c r="Q2074" s="23" t="str">
        <f>IF(F2074="CAPTURE",IF(COUNTIF(orders!$A:$A,O2074)&gt;0,"Yes","NO ORDER"),"")</f>
        <v/>
      </c>
    </row>
    <row r="2075" spans="1:17" ht="15" customHeight="1" x14ac:dyDescent="0.3">
      <c r="A2075" s="23" t="s">
        <v>14824</v>
      </c>
      <c r="B2075" s="23"/>
      <c r="C2075" s="23" t="s">
        <v>417</v>
      </c>
      <c r="D2075" s="23" t="str">
        <f t="shared" si="96"/>
        <v>ORD26000063</v>
      </c>
      <c r="E2075" s="38">
        <v>46277</v>
      </c>
      <c r="F2075" s="23" t="s">
        <v>12410</v>
      </c>
      <c r="G2075" s="23" t="s">
        <v>75</v>
      </c>
      <c r="H2075" s="24">
        <v>349</v>
      </c>
      <c r="I2075" s="24">
        <v>0</v>
      </c>
      <c r="J2075" s="24">
        <v>0</v>
      </c>
      <c r="K2075" s="24">
        <v>349</v>
      </c>
      <c r="L2075" s="38">
        <v>46279</v>
      </c>
      <c r="M2075" s="23" t="s">
        <v>200</v>
      </c>
      <c r="N2075" s="23" t="str">
        <f>IF(COUNTIF($A$2:A2075,A2075)&gt;1,"DUP","OK")</f>
        <v>OK</v>
      </c>
      <c r="O2075" s="23" t="str">
        <f t="shared" si="97"/>
        <v>ORD26000063</v>
      </c>
      <c r="P2075" s="23" t="str">
        <f t="shared" si="98"/>
        <v>Sep</v>
      </c>
      <c r="Q2075" s="23" t="str">
        <f>IF(F2075="CAPTURE",IF(COUNTIF(orders!$A:$A,O2075)&gt;0,"Yes","NO ORDER"),"")</f>
        <v>Yes</v>
      </c>
    </row>
    <row r="2076" spans="1:17" ht="15" customHeight="1" x14ac:dyDescent="0.3">
      <c r="A2076" s="23" t="s">
        <v>14825</v>
      </c>
      <c r="B2076" s="23"/>
      <c r="C2076" s="23" t="s">
        <v>14826</v>
      </c>
      <c r="D2076" s="23" t="str">
        <f t="shared" si="96"/>
        <v>ORD26000093</v>
      </c>
      <c r="E2076" s="38">
        <v>46277</v>
      </c>
      <c r="F2076" s="23" t="s">
        <v>12410</v>
      </c>
      <c r="G2076" s="23" t="s">
        <v>77</v>
      </c>
      <c r="H2076" s="24">
        <v>2999</v>
      </c>
      <c r="I2076" s="24">
        <v>50.98</v>
      </c>
      <c r="J2076" s="24">
        <v>9.18</v>
      </c>
      <c r="K2076" s="24">
        <v>2938.84</v>
      </c>
      <c r="L2076" s="38">
        <v>46279</v>
      </c>
      <c r="M2076" s="23" t="s">
        <v>200</v>
      </c>
      <c r="N2076" s="23" t="str">
        <f>IF(COUNTIF($A$2:A2076,A2076)&gt;1,"DUP","OK")</f>
        <v>OK</v>
      </c>
      <c r="O2076" s="23" t="str">
        <f t="shared" si="97"/>
        <v>ORD26000093</v>
      </c>
      <c r="P2076" s="23" t="str">
        <f t="shared" si="98"/>
        <v>Sep</v>
      </c>
      <c r="Q2076" s="23" t="str">
        <f>IF(F2076="CAPTURE",IF(COUNTIF(orders!$A:$A,O2076)&gt;0,"Yes","NO ORDER"),"")</f>
        <v>Yes</v>
      </c>
    </row>
    <row r="2077" spans="1:17" ht="15" customHeight="1" x14ac:dyDescent="0.3">
      <c r="A2077" s="23" t="s">
        <v>14827</v>
      </c>
      <c r="B2077" s="23"/>
      <c r="C2077" s="23" t="s">
        <v>506</v>
      </c>
      <c r="D2077" s="23" t="str">
        <f t="shared" si="96"/>
        <v>ORD26000100</v>
      </c>
      <c r="E2077" s="38">
        <v>46277</v>
      </c>
      <c r="F2077" s="23" t="s">
        <v>12410</v>
      </c>
      <c r="G2077" s="23" t="s">
        <v>75</v>
      </c>
      <c r="H2077" s="24">
        <v>4298</v>
      </c>
      <c r="I2077" s="24">
        <v>12.89</v>
      </c>
      <c r="J2077" s="24">
        <v>2.3199999999999998</v>
      </c>
      <c r="K2077" s="24">
        <v>4282.79</v>
      </c>
      <c r="L2077" s="38">
        <v>46279</v>
      </c>
      <c r="M2077" s="23" t="s">
        <v>200</v>
      </c>
      <c r="N2077" s="23" t="str">
        <f>IF(COUNTIF($A$2:A2077,A2077)&gt;1,"DUP","OK")</f>
        <v>OK</v>
      </c>
      <c r="O2077" s="23" t="str">
        <f t="shared" si="97"/>
        <v>ORD26000100</v>
      </c>
      <c r="P2077" s="23" t="str">
        <f t="shared" si="98"/>
        <v>Sep</v>
      </c>
      <c r="Q2077" s="23" t="str">
        <f>IF(F2077="CAPTURE",IF(COUNTIF(orders!$A:$A,O2077)&gt;0,"Yes","NO ORDER"),"")</f>
        <v>Yes</v>
      </c>
    </row>
    <row r="2078" spans="1:17" ht="15" customHeight="1" x14ac:dyDescent="0.3">
      <c r="A2078" s="23" t="s">
        <v>14828</v>
      </c>
      <c r="B2078" s="23"/>
      <c r="C2078" s="23" t="s">
        <v>529</v>
      </c>
      <c r="D2078" s="23" t="str">
        <f t="shared" si="96"/>
        <v>ORD26000110</v>
      </c>
      <c r="E2078" s="38">
        <v>46277</v>
      </c>
      <c r="F2078" s="23" t="s">
        <v>12410</v>
      </c>
      <c r="G2078" s="23" t="s">
        <v>77</v>
      </c>
      <c r="H2078" s="24">
        <v>3598</v>
      </c>
      <c r="I2078" s="24">
        <v>61.17</v>
      </c>
      <c r="J2078" s="24">
        <v>11.01</v>
      </c>
      <c r="K2078" s="24">
        <v>3525.82</v>
      </c>
      <c r="L2078" s="38">
        <v>46279</v>
      </c>
      <c r="M2078" s="23" t="s">
        <v>200</v>
      </c>
      <c r="N2078" s="23" t="str">
        <f>IF(COUNTIF($A$2:A2078,A2078)&gt;1,"DUP","OK")</f>
        <v>OK</v>
      </c>
      <c r="O2078" s="23" t="str">
        <f t="shared" si="97"/>
        <v>ORD26000110</v>
      </c>
      <c r="P2078" s="23" t="str">
        <f t="shared" si="98"/>
        <v>Sep</v>
      </c>
      <c r="Q2078" s="23" t="str">
        <f>IF(F2078="CAPTURE",IF(COUNTIF(orders!$A:$A,O2078)&gt;0,"Yes","NO ORDER"),"")</f>
        <v>Yes</v>
      </c>
    </row>
    <row r="2079" spans="1:17" ht="15" customHeight="1" x14ac:dyDescent="0.3">
      <c r="A2079" s="23" t="s">
        <v>14829</v>
      </c>
      <c r="B2079" s="23"/>
      <c r="C2079" s="23" t="s">
        <v>637</v>
      </c>
      <c r="D2079" s="23" t="str">
        <f t="shared" si="96"/>
        <v>ORD26000155</v>
      </c>
      <c r="E2079" s="38">
        <v>46277</v>
      </c>
      <c r="F2079" s="23" t="s">
        <v>12410</v>
      </c>
      <c r="G2079" s="23" t="s">
        <v>79</v>
      </c>
      <c r="H2079" s="24">
        <v>1098</v>
      </c>
      <c r="I2079" s="24">
        <v>19.760000000000002</v>
      </c>
      <c r="J2079" s="24">
        <v>3.56</v>
      </c>
      <c r="K2079" s="24">
        <v>1074.68</v>
      </c>
      <c r="L2079" s="38">
        <v>46279</v>
      </c>
      <c r="M2079" s="23" t="s">
        <v>200</v>
      </c>
      <c r="N2079" s="23" t="str">
        <f>IF(COUNTIF($A$2:A2079,A2079)&gt;1,"DUP","OK")</f>
        <v>OK</v>
      </c>
      <c r="O2079" s="23" t="str">
        <f t="shared" si="97"/>
        <v>ORD26000155</v>
      </c>
      <c r="P2079" s="23" t="str">
        <f t="shared" si="98"/>
        <v>Sep</v>
      </c>
      <c r="Q2079" s="23" t="str">
        <f>IF(F2079="CAPTURE",IF(COUNTIF(orders!$A:$A,O2079)&gt;0,"Yes","NO ORDER"),"")</f>
        <v>Yes</v>
      </c>
    </row>
    <row r="2080" spans="1:17" ht="15" customHeight="1" x14ac:dyDescent="0.3">
      <c r="A2080" s="23" t="s">
        <v>14830</v>
      </c>
      <c r="B2080" s="23"/>
      <c r="C2080" s="23" t="s">
        <v>761</v>
      </c>
      <c r="D2080" s="23" t="str">
        <f t="shared" si="96"/>
        <v>ORD26000209</v>
      </c>
      <c r="E2080" s="38">
        <v>46277</v>
      </c>
      <c r="F2080" s="23" t="s">
        <v>12410</v>
      </c>
      <c r="G2080" s="23" t="s">
        <v>75</v>
      </c>
      <c r="H2080" s="24">
        <v>299</v>
      </c>
      <c r="I2080" s="24">
        <v>0</v>
      </c>
      <c r="J2080" s="24">
        <v>0</v>
      </c>
      <c r="K2080" s="24">
        <v>299</v>
      </c>
      <c r="L2080" s="38">
        <v>46279</v>
      </c>
      <c r="M2080" s="23" t="s">
        <v>200</v>
      </c>
      <c r="N2080" s="23" t="str">
        <f>IF(COUNTIF($A$2:A2080,A2080)&gt;1,"DUP","OK")</f>
        <v>OK</v>
      </c>
      <c r="O2080" s="23" t="str">
        <f t="shared" si="97"/>
        <v>ORD26000209</v>
      </c>
      <c r="P2080" s="23" t="str">
        <f t="shared" si="98"/>
        <v>Sep</v>
      </c>
      <c r="Q2080" s="23" t="str">
        <f>IF(F2080="CAPTURE",IF(COUNTIF(orders!$A:$A,O2080)&gt;0,"Yes","NO ORDER"),"")</f>
        <v>Yes</v>
      </c>
    </row>
    <row r="2081" spans="1:17" ht="15" customHeight="1" x14ac:dyDescent="0.3">
      <c r="A2081" s="23" t="s">
        <v>14831</v>
      </c>
      <c r="B2081" s="23"/>
      <c r="C2081" s="23" t="s">
        <v>835</v>
      </c>
      <c r="D2081" s="23" t="str">
        <f t="shared" si="96"/>
        <v>ORD26000238</v>
      </c>
      <c r="E2081" s="38">
        <v>46277</v>
      </c>
      <c r="F2081" s="23" t="s">
        <v>12410</v>
      </c>
      <c r="G2081" s="23" t="s">
        <v>79</v>
      </c>
      <c r="H2081" s="24">
        <v>5497</v>
      </c>
      <c r="I2081" s="24">
        <v>87.95</v>
      </c>
      <c r="J2081" s="24">
        <v>15.83</v>
      </c>
      <c r="K2081" s="24">
        <v>5393.22</v>
      </c>
      <c r="L2081" s="38">
        <v>46279</v>
      </c>
      <c r="M2081" s="23" t="s">
        <v>200</v>
      </c>
      <c r="N2081" s="23" t="str">
        <f>IF(COUNTIF($A$2:A2081,A2081)&gt;1,"DUP","OK")</f>
        <v>OK</v>
      </c>
      <c r="O2081" s="23" t="str">
        <f t="shared" si="97"/>
        <v>ORD26000238</v>
      </c>
      <c r="P2081" s="23" t="str">
        <f t="shared" si="98"/>
        <v>Sep</v>
      </c>
      <c r="Q2081" s="23" t="str">
        <f>IF(F2081="CAPTURE",IF(COUNTIF(orders!$A:$A,O2081)&gt;0,"Yes","NO ORDER"),"")</f>
        <v>Yes</v>
      </c>
    </row>
    <row r="2082" spans="1:17" ht="15" customHeight="1" x14ac:dyDescent="0.3">
      <c r="A2082" s="23" t="s">
        <v>14832</v>
      </c>
      <c r="B2082" s="23"/>
      <c r="C2082" s="23" t="s">
        <v>891</v>
      </c>
      <c r="D2082" s="23" t="str">
        <f t="shared" si="96"/>
        <v>ORD26000264</v>
      </c>
      <c r="E2082" s="38">
        <v>46277</v>
      </c>
      <c r="F2082" s="23" t="s">
        <v>12410</v>
      </c>
      <c r="G2082" s="23" t="s">
        <v>75</v>
      </c>
      <c r="H2082" s="24">
        <v>3798</v>
      </c>
      <c r="I2082" s="24">
        <v>11.39</v>
      </c>
      <c r="J2082" s="24">
        <v>2.0499999999999998</v>
      </c>
      <c r="K2082" s="24">
        <v>3784.56</v>
      </c>
      <c r="L2082" s="38">
        <v>46279</v>
      </c>
      <c r="M2082" s="23" t="s">
        <v>200</v>
      </c>
      <c r="N2082" s="23" t="str">
        <f>IF(COUNTIF($A$2:A2082,A2082)&gt;1,"DUP","OK")</f>
        <v>OK</v>
      </c>
      <c r="O2082" s="23" t="str">
        <f t="shared" si="97"/>
        <v>ORD26000264</v>
      </c>
      <c r="P2082" s="23" t="str">
        <f t="shared" si="98"/>
        <v>Sep</v>
      </c>
      <c r="Q2082" s="23" t="str">
        <f>IF(F2082="CAPTURE",IF(COUNTIF(orders!$A:$A,O2082)&gt;0,"Yes","NO ORDER"),"")</f>
        <v>Yes</v>
      </c>
    </row>
    <row r="2083" spans="1:17" ht="15" customHeight="1" x14ac:dyDescent="0.3">
      <c r="A2083" s="23" t="s">
        <v>14833</v>
      </c>
      <c r="B2083" s="23"/>
      <c r="C2083" s="23" t="s">
        <v>14834</v>
      </c>
      <c r="D2083" s="23" t="str">
        <f t="shared" si="96"/>
        <v>ORD26000359</v>
      </c>
      <c r="E2083" s="38">
        <v>46277</v>
      </c>
      <c r="F2083" s="23" t="s">
        <v>12410</v>
      </c>
      <c r="G2083" s="23" t="s">
        <v>75</v>
      </c>
      <c r="H2083" s="24">
        <v>9847</v>
      </c>
      <c r="I2083" s="24">
        <v>29.54</v>
      </c>
      <c r="J2083" s="24">
        <v>5.32</v>
      </c>
      <c r="K2083" s="24">
        <v>9812.14</v>
      </c>
      <c r="L2083" s="38">
        <v>46279</v>
      </c>
      <c r="M2083" s="23" t="s">
        <v>200</v>
      </c>
      <c r="N2083" s="23" t="str">
        <f>IF(COUNTIF($A$2:A2083,A2083)&gt;1,"DUP","OK")</f>
        <v>OK</v>
      </c>
      <c r="O2083" s="23" t="str">
        <f t="shared" si="97"/>
        <v>ORD26000359</v>
      </c>
      <c r="P2083" s="23" t="str">
        <f t="shared" si="98"/>
        <v>Sep</v>
      </c>
      <c r="Q2083" s="23" t="str">
        <f>IF(F2083="CAPTURE",IF(COUNTIF(orders!$A:$A,O2083)&gt;0,"Yes","NO ORDER"),"")</f>
        <v>Yes</v>
      </c>
    </row>
    <row r="2084" spans="1:17" ht="15" customHeight="1" x14ac:dyDescent="0.3">
      <c r="A2084" s="23" t="s">
        <v>14835</v>
      </c>
      <c r="B2084" s="23"/>
      <c r="C2084" s="23" t="s">
        <v>1113</v>
      </c>
      <c r="D2084" s="23" t="str">
        <f t="shared" si="96"/>
        <v>ORD26000366</v>
      </c>
      <c r="E2084" s="38">
        <v>46277</v>
      </c>
      <c r="F2084" s="23" t="s">
        <v>12410</v>
      </c>
      <c r="G2084" s="23" t="s">
        <v>81</v>
      </c>
      <c r="H2084" s="24">
        <v>1299</v>
      </c>
      <c r="I2084" s="24">
        <v>19.489999999999998</v>
      </c>
      <c r="J2084" s="24">
        <v>3.51</v>
      </c>
      <c r="K2084" s="24">
        <v>1276</v>
      </c>
      <c r="L2084" s="38">
        <v>46279</v>
      </c>
      <c r="M2084" s="23" t="s">
        <v>200</v>
      </c>
      <c r="N2084" s="23" t="str">
        <f>IF(COUNTIF($A$2:A2084,A2084)&gt;1,"DUP","OK")</f>
        <v>OK</v>
      </c>
      <c r="O2084" s="23" t="str">
        <f t="shared" si="97"/>
        <v>ORD26000366</v>
      </c>
      <c r="P2084" s="23" t="str">
        <f t="shared" si="98"/>
        <v>Sep</v>
      </c>
      <c r="Q2084" s="23" t="str">
        <f>IF(F2084="CAPTURE",IF(COUNTIF(orders!$A:$A,O2084)&gt;0,"Yes","NO ORDER"),"")</f>
        <v>Yes</v>
      </c>
    </row>
    <row r="2085" spans="1:17" ht="15" customHeight="1" x14ac:dyDescent="0.3">
      <c r="A2085" s="23" t="s">
        <v>14836</v>
      </c>
      <c r="B2085" s="23"/>
      <c r="C2085" s="23" t="s">
        <v>1236</v>
      </c>
      <c r="D2085" s="23" t="str">
        <f t="shared" si="96"/>
        <v>ORD26000423</v>
      </c>
      <c r="E2085" s="38">
        <v>46277</v>
      </c>
      <c r="F2085" s="23" t="s">
        <v>12410</v>
      </c>
      <c r="G2085" s="23" t="s">
        <v>79</v>
      </c>
      <c r="H2085" s="24">
        <v>2998</v>
      </c>
      <c r="I2085" s="24">
        <v>47.97</v>
      </c>
      <c r="J2085" s="24">
        <v>8.6300000000000008</v>
      </c>
      <c r="K2085" s="24">
        <v>2941.4</v>
      </c>
      <c r="L2085" s="38">
        <v>46279</v>
      </c>
      <c r="M2085" s="23" t="s">
        <v>200</v>
      </c>
      <c r="N2085" s="23" t="str">
        <f>IF(COUNTIF($A$2:A2085,A2085)&gt;1,"DUP","OK")</f>
        <v>OK</v>
      </c>
      <c r="O2085" s="23" t="str">
        <f t="shared" si="97"/>
        <v>ORD26000423</v>
      </c>
      <c r="P2085" s="23" t="str">
        <f t="shared" si="98"/>
        <v>Sep</v>
      </c>
      <c r="Q2085" s="23" t="str">
        <f>IF(F2085="CAPTURE",IF(COUNTIF(orders!$A:$A,O2085)&gt;0,"Yes","NO ORDER"),"")</f>
        <v>Yes</v>
      </c>
    </row>
    <row r="2086" spans="1:17" ht="15" customHeight="1" x14ac:dyDescent="0.3">
      <c r="A2086" s="23" t="s">
        <v>14837</v>
      </c>
      <c r="B2086" s="23"/>
      <c r="C2086" s="23" t="s">
        <v>14838</v>
      </c>
      <c r="D2086" s="23" t="str">
        <f t="shared" si="96"/>
        <v>ORD26000438</v>
      </c>
      <c r="E2086" s="38">
        <v>46277</v>
      </c>
      <c r="F2086" s="23" t="s">
        <v>12410</v>
      </c>
      <c r="G2086" s="23" t="s">
        <v>75</v>
      </c>
      <c r="H2086" s="24">
        <v>3298</v>
      </c>
      <c r="I2086" s="24">
        <v>9.89</v>
      </c>
      <c r="J2086" s="24">
        <v>1.78</v>
      </c>
      <c r="K2086" s="24">
        <v>3286.33</v>
      </c>
      <c r="L2086" s="38">
        <v>46279</v>
      </c>
      <c r="M2086" s="23" t="s">
        <v>200</v>
      </c>
      <c r="N2086" s="23" t="str">
        <f>IF(COUNTIF($A$2:A2086,A2086)&gt;1,"DUP","OK")</f>
        <v>OK</v>
      </c>
      <c r="O2086" s="23" t="str">
        <f t="shared" si="97"/>
        <v>ORD26000438</v>
      </c>
      <c r="P2086" s="23" t="str">
        <f t="shared" si="98"/>
        <v>Sep</v>
      </c>
      <c r="Q2086" s="23" t="str">
        <f>IF(F2086="CAPTURE",IF(COUNTIF(orders!$A:$A,O2086)&gt;0,"Yes","NO ORDER"),"")</f>
        <v>Yes</v>
      </c>
    </row>
    <row r="2087" spans="1:17" ht="15" customHeight="1" x14ac:dyDescent="0.3">
      <c r="A2087" s="23" t="s">
        <v>14839</v>
      </c>
      <c r="B2087" s="23"/>
      <c r="C2087" s="23" t="s">
        <v>1285</v>
      </c>
      <c r="D2087" s="23" t="str">
        <f t="shared" si="96"/>
        <v>ORD26000446</v>
      </c>
      <c r="E2087" s="38">
        <v>46277</v>
      </c>
      <c r="F2087" s="23" t="s">
        <v>12410</v>
      </c>
      <c r="G2087" s="23" t="s">
        <v>75</v>
      </c>
      <c r="H2087" s="24">
        <v>2998</v>
      </c>
      <c r="I2087" s="24">
        <v>8.99</v>
      </c>
      <c r="J2087" s="24">
        <v>1.62</v>
      </c>
      <c r="K2087" s="24">
        <v>2987.39</v>
      </c>
      <c r="L2087" s="38">
        <v>46279</v>
      </c>
      <c r="M2087" s="23" t="s">
        <v>200</v>
      </c>
      <c r="N2087" s="23" t="str">
        <f>IF(COUNTIF($A$2:A2087,A2087)&gt;1,"DUP","OK")</f>
        <v>OK</v>
      </c>
      <c r="O2087" s="23" t="str">
        <f t="shared" si="97"/>
        <v>ORD26000446</v>
      </c>
      <c r="P2087" s="23" t="str">
        <f t="shared" si="98"/>
        <v>Sep</v>
      </c>
      <c r="Q2087" s="23" t="str">
        <f>IF(F2087="CAPTURE",IF(COUNTIF(orders!$A:$A,O2087)&gt;0,"Yes","NO ORDER"),"")</f>
        <v>Yes</v>
      </c>
    </row>
    <row r="2088" spans="1:17" ht="15" customHeight="1" x14ac:dyDescent="0.3">
      <c r="A2088" s="23" t="s">
        <v>14840</v>
      </c>
      <c r="B2088" s="23"/>
      <c r="C2088" s="23" t="s">
        <v>1322</v>
      </c>
      <c r="D2088" s="23" t="str">
        <f t="shared" si="96"/>
        <v>ORD26000463</v>
      </c>
      <c r="E2088" s="38">
        <v>46277</v>
      </c>
      <c r="F2088" s="23" t="s">
        <v>12410</v>
      </c>
      <c r="G2088" s="23" t="s">
        <v>77</v>
      </c>
      <c r="H2088" s="24">
        <v>3498</v>
      </c>
      <c r="I2088" s="24">
        <v>59.47</v>
      </c>
      <c r="J2088" s="24">
        <v>10.7</v>
      </c>
      <c r="K2088" s="24">
        <v>3427.83</v>
      </c>
      <c r="L2088" s="38">
        <v>46279</v>
      </c>
      <c r="M2088" s="23" t="s">
        <v>200</v>
      </c>
      <c r="N2088" s="23" t="str">
        <f>IF(COUNTIF($A$2:A2088,A2088)&gt;1,"DUP","OK")</f>
        <v>OK</v>
      </c>
      <c r="O2088" s="23" t="str">
        <f t="shared" si="97"/>
        <v>ORD26000463</v>
      </c>
      <c r="P2088" s="23" t="str">
        <f t="shared" si="98"/>
        <v>Sep</v>
      </c>
      <c r="Q2088" s="23" t="str">
        <f>IF(F2088="CAPTURE",IF(COUNTIF(orders!$A:$A,O2088)&gt;0,"Yes","NO ORDER"),"")</f>
        <v>Yes</v>
      </c>
    </row>
    <row r="2089" spans="1:17" ht="15" customHeight="1" x14ac:dyDescent="0.3">
      <c r="A2089" s="23" t="s">
        <v>14841</v>
      </c>
      <c r="B2089" s="23"/>
      <c r="C2089" s="23" t="s">
        <v>1359</v>
      </c>
      <c r="D2089" s="23" t="str">
        <f t="shared" si="96"/>
        <v>ORD26000480</v>
      </c>
      <c r="E2089" s="38">
        <v>46277</v>
      </c>
      <c r="F2089" s="23" t="s">
        <v>12410</v>
      </c>
      <c r="G2089" s="23" t="s">
        <v>75</v>
      </c>
      <c r="H2089" s="24">
        <v>1799</v>
      </c>
      <c r="I2089" s="24">
        <v>0</v>
      </c>
      <c r="J2089" s="24">
        <v>0</v>
      </c>
      <c r="K2089" s="24">
        <v>1799</v>
      </c>
      <c r="L2089" s="38">
        <v>46279</v>
      </c>
      <c r="M2089" s="23" t="s">
        <v>200</v>
      </c>
      <c r="N2089" s="23" t="str">
        <f>IF(COUNTIF($A$2:A2089,A2089)&gt;1,"DUP","OK")</f>
        <v>OK</v>
      </c>
      <c r="O2089" s="23" t="str">
        <f t="shared" si="97"/>
        <v>ORD26000480</v>
      </c>
      <c r="P2089" s="23" t="str">
        <f t="shared" si="98"/>
        <v>Sep</v>
      </c>
      <c r="Q2089" s="23" t="str">
        <f>IF(F2089="CAPTURE",IF(COUNTIF(orders!$A:$A,O2089)&gt;0,"Yes","NO ORDER"),"")</f>
        <v>Yes</v>
      </c>
    </row>
    <row r="2090" spans="1:17" ht="15" customHeight="1" x14ac:dyDescent="0.3">
      <c r="A2090" s="23" t="s">
        <v>14842</v>
      </c>
      <c r="B2090" s="23"/>
      <c r="C2090" s="23" t="s">
        <v>1384</v>
      </c>
      <c r="D2090" s="23" t="str">
        <f t="shared" si="96"/>
        <v>ORD26000491</v>
      </c>
      <c r="E2090" s="38">
        <v>46277</v>
      </c>
      <c r="F2090" s="23" t="s">
        <v>12410</v>
      </c>
      <c r="G2090" s="23" t="s">
        <v>75</v>
      </c>
      <c r="H2090" s="24">
        <v>1499</v>
      </c>
      <c r="I2090" s="24">
        <v>0</v>
      </c>
      <c r="J2090" s="24">
        <v>0</v>
      </c>
      <c r="K2090" s="24">
        <v>1499</v>
      </c>
      <c r="L2090" s="38">
        <v>46279</v>
      </c>
      <c r="M2090" s="23" t="s">
        <v>200</v>
      </c>
      <c r="N2090" s="23" t="str">
        <f>IF(COUNTIF($A$2:A2090,A2090)&gt;1,"DUP","OK")</f>
        <v>OK</v>
      </c>
      <c r="O2090" s="23" t="str">
        <f t="shared" si="97"/>
        <v>ORD26000491</v>
      </c>
      <c r="P2090" s="23" t="str">
        <f t="shared" si="98"/>
        <v>Sep</v>
      </c>
      <c r="Q2090" s="23" t="str">
        <f>IF(F2090="CAPTURE",IF(COUNTIF(orders!$A:$A,O2090)&gt;0,"Yes","NO ORDER"),"")</f>
        <v>Yes</v>
      </c>
    </row>
    <row r="2091" spans="1:17" ht="15" customHeight="1" x14ac:dyDescent="0.3">
      <c r="A2091" s="23" t="s">
        <v>14843</v>
      </c>
      <c r="B2091" s="23"/>
      <c r="C2091" s="23" t="s">
        <v>1415</v>
      </c>
      <c r="D2091" s="23" t="str">
        <f t="shared" si="96"/>
        <v>ORD26000505</v>
      </c>
      <c r="E2091" s="38">
        <v>46277</v>
      </c>
      <c r="F2091" s="23" t="s">
        <v>12410</v>
      </c>
      <c r="G2091" s="23" t="s">
        <v>79</v>
      </c>
      <c r="H2091" s="24">
        <v>1298</v>
      </c>
      <c r="I2091" s="24">
        <v>23.36</v>
      </c>
      <c r="J2091" s="24">
        <v>4.2</v>
      </c>
      <c r="K2091" s="24">
        <v>1270.44</v>
      </c>
      <c r="L2091" s="38">
        <v>46279</v>
      </c>
      <c r="M2091" s="23" t="s">
        <v>200</v>
      </c>
      <c r="N2091" s="23" t="str">
        <f>IF(COUNTIF($A$2:A2091,A2091)&gt;1,"DUP","OK")</f>
        <v>OK</v>
      </c>
      <c r="O2091" s="23" t="str">
        <f t="shared" si="97"/>
        <v>ORD26000505</v>
      </c>
      <c r="P2091" s="23" t="str">
        <f t="shared" si="98"/>
        <v>Sep</v>
      </c>
      <c r="Q2091" s="23" t="str">
        <f>IF(F2091="CAPTURE",IF(COUNTIF(orders!$A:$A,O2091)&gt;0,"Yes","NO ORDER"),"")</f>
        <v>Yes</v>
      </c>
    </row>
    <row r="2092" spans="1:17" ht="15" customHeight="1" x14ac:dyDescent="0.3">
      <c r="A2092" s="23" t="s">
        <v>14844</v>
      </c>
      <c r="B2092" s="23"/>
      <c r="C2092" s="23" t="s">
        <v>1474</v>
      </c>
      <c r="D2092" s="23" t="str">
        <f t="shared" si="96"/>
        <v>ORD26000531</v>
      </c>
      <c r="E2092" s="38">
        <v>46277</v>
      </c>
      <c r="F2092" s="23" t="s">
        <v>12410</v>
      </c>
      <c r="G2092" s="23" t="s">
        <v>81</v>
      </c>
      <c r="H2092" s="24">
        <v>1299</v>
      </c>
      <c r="I2092" s="24">
        <v>19.489999999999998</v>
      </c>
      <c r="J2092" s="24">
        <v>3.51</v>
      </c>
      <c r="K2092" s="24">
        <v>1276</v>
      </c>
      <c r="L2092" s="38">
        <v>46279</v>
      </c>
      <c r="M2092" s="23" t="s">
        <v>200</v>
      </c>
      <c r="N2092" s="23" t="str">
        <f>IF(COUNTIF($A$2:A2092,A2092)&gt;1,"DUP","OK")</f>
        <v>OK</v>
      </c>
      <c r="O2092" s="23" t="str">
        <f t="shared" si="97"/>
        <v>ORD26000531</v>
      </c>
      <c r="P2092" s="23" t="str">
        <f t="shared" si="98"/>
        <v>Sep</v>
      </c>
      <c r="Q2092" s="23" t="str">
        <f>IF(F2092="CAPTURE",IF(COUNTIF(orders!$A:$A,O2092)&gt;0,"Yes","NO ORDER"),"")</f>
        <v>Yes</v>
      </c>
    </row>
    <row r="2093" spans="1:17" ht="15" customHeight="1" x14ac:dyDescent="0.3">
      <c r="A2093" s="23" t="s">
        <v>14845</v>
      </c>
      <c r="B2093" s="23"/>
      <c r="C2093" s="23" t="s">
        <v>14846</v>
      </c>
      <c r="D2093" s="23" t="str">
        <f t="shared" si="96"/>
        <v>ORD26000578</v>
      </c>
      <c r="E2093" s="38">
        <v>46277</v>
      </c>
      <c r="F2093" s="23" t="s">
        <v>12410</v>
      </c>
      <c r="G2093" s="23" t="s">
        <v>79</v>
      </c>
      <c r="H2093" s="24">
        <v>5847</v>
      </c>
      <c r="I2093" s="24">
        <v>93.55</v>
      </c>
      <c r="J2093" s="24">
        <v>16.84</v>
      </c>
      <c r="K2093" s="24">
        <v>5736.61</v>
      </c>
      <c r="L2093" s="38">
        <v>46279</v>
      </c>
      <c r="M2093" s="23" t="s">
        <v>200</v>
      </c>
      <c r="N2093" s="23" t="str">
        <f>IF(COUNTIF($A$2:A2093,A2093)&gt;1,"DUP","OK")</f>
        <v>OK</v>
      </c>
      <c r="O2093" s="23" t="str">
        <f t="shared" si="97"/>
        <v>ORD26000578</v>
      </c>
      <c r="P2093" s="23" t="str">
        <f t="shared" si="98"/>
        <v>Sep</v>
      </c>
      <c r="Q2093" s="23" t="str">
        <f>IF(F2093="CAPTURE",IF(COUNTIF(orders!$A:$A,O2093)&gt;0,"Yes","NO ORDER"),"")</f>
        <v>Yes</v>
      </c>
    </row>
    <row r="2094" spans="1:17" ht="15" customHeight="1" x14ac:dyDescent="0.3">
      <c r="A2094" s="23" t="s">
        <v>14847</v>
      </c>
      <c r="B2094" s="23"/>
      <c r="C2094" s="23" t="s">
        <v>14848</v>
      </c>
      <c r="D2094" s="23" t="str">
        <f t="shared" si="96"/>
        <v>ORD26000595</v>
      </c>
      <c r="E2094" s="38">
        <v>46277</v>
      </c>
      <c r="F2094" s="23" t="s">
        <v>12410</v>
      </c>
      <c r="G2094" s="23" t="s">
        <v>75</v>
      </c>
      <c r="H2094" s="24">
        <v>2597</v>
      </c>
      <c r="I2094" s="24">
        <v>7.79</v>
      </c>
      <c r="J2094" s="24">
        <v>1.4</v>
      </c>
      <c r="K2094" s="24">
        <v>2587.81</v>
      </c>
      <c r="L2094" s="38">
        <v>46279</v>
      </c>
      <c r="M2094" s="23" t="s">
        <v>200</v>
      </c>
      <c r="N2094" s="23" t="str">
        <f>IF(COUNTIF($A$2:A2094,A2094)&gt;1,"DUP","OK")</f>
        <v>OK</v>
      </c>
      <c r="O2094" s="23" t="str">
        <f t="shared" si="97"/>
        <v>ORD26000595</v>
      </c>
      <c r="P2094" s="23" t="str">
        <f t="shared" si="98"/>
        <v>Sep</v>
      </c>
      <c r="Q2094" s="23" t="str">
        <f>IF(F2094="CAPTURE",IF(COUNTIF(orders!$A:$A,O2094)&gt;0,"Yes","NO ORDER"),"")</f>
        <v>Yes</v>
      </c>
    </row>
    <row r="2095" spans="1:17" ht="15" customHeight="1" x14ac:dyDescent="0.3">
      <c r="A2095" s="23" t="s">
        <v>14849</v>
      </c>
      <c r="B2095" s="23"/>
      <c r="C2095" s="23" t="s">
        <v>1685</v>
      </c>
      <c r="D2095" s="23" t="str">
        <f t="shared" si="96"/>
        <v>ORD26000628</v>
      </c>
      <c r="E2095" s="38">
        <v>46277</v>
      </c>
      <c r="F2095" s="23" t="s">
        <v>12410</v>
      </c>
      <c r="G2095" s="23" t="s">
        <v>75</v>
      </c>
      <c r="H2095" s="24">
        <v>1499</v>
      </c>
      <c r="I2095" s="24">
        <v>0</v>
      </c>
      <c r="J2095" s="24">
        <v>0</v>
      </c>
      <c r="K2095" s="24">
        <v>1499</v>
      </c>
      <c r="L2095" s="38">
        <v>46279</v>
      </c>
      <c r="M2095" s="23" t="s">
        <v>200</v>
      </c>
      <c r="N2095" s="23" t="str">
        <f>IF(COUNTIF($A$2:A2095,A2095)&gt;1,"DUP","OK")</f>
        <v>OK</v>
      </c>
      <c r="O2095" s="23" t="str">
        <f t="shared" si="97"/>
        <v>ORD26000628</v>
      </c>
      <c r="P2095" s="23" t="str">
        <f t="shared" si="98"/>
        <v>Sep</v>
      </c>
      <c r="Q2095" s="23" t="str">
        <f>IF(F2095="CAPTURE",IF(COUNTIF(orders!$A:$A,O2095)&gt;0,"Yes","NO ORDER"),"")</f>
        <v>Yes</v>
      </c>
    </row>
    <row r="2096" spans="1:17" ht="15" customHeight="1" x14ac:dyDescent="0.3">
      <c r="A2096" s="23" t="s">
        <v>14850</v>
      </c>
      <c r="B2096" s="23"/>
      <c r="C2096" s="23" t="s">
        <v>1702</v>
      </c>
      <c r="D2096" s="23" t="str">
        <f t="shared" si="96"/>
        <v>ORD26000636</v>
      </c>
      <c r="E2096" s="38">
        <v>46277</v>
      </c>
      <c r="F2096" s="23" t="s">
        <v>12410</v>
      </c>
      <c r="G2096" s="23" t="s">
        <v>79</v>
      </c>
      <c r="H2096" s="24">
        <v>2848</v>
      </c>
      <c r="I2096" s="24">
        <v>45.57</v>
      </c>
      <c r="J2096" s="24">
        <v>8.1999999999999993</v>
      </c>
      <c r="K2096" s="24">
        <v>2794.23</v>
      </c>
      <c r="L2096" s="38">
        <v>46279</v>
      </c>
      <c r="M2096" s="23" t="s">
        <v>200</v>
      </c>
      <c r="N2096" s="23" t="str">
        <f>IF(COUNTIF($A$2:A2096,A2096)&gt;1,"DUP","OK")</f>
        <v>OK</v>
      </c>
      <c r="O2096" s="23" t="str">
        <f t="shared" si="97"/>
        <v>ORD26000636</v>
      </c>
      <c r="P2096" s="23" t="str">
        <f t="shared" si="98"/>
        <v>Sep</v>
      </c>
      <c r="Q2096" s="23" t="str">
        <f>IF(F2096="CAPTURE",IF(COUNTIF(orders!$A:$A,O2096)&gt;0,"Yes","NO ORDER"),"")</f>
        <v>Yes</v>
      </c>
    </row>
    <row r="2097" spans="1:17" ht="15" customHeight="1" x14ac:dyDescent="0.3">
      <c r="A2097" s="23" t="s">
        <v>14851</v>
      </c>
      <c r="B2097" s="23"/>
      <c r="C2097" s="23" t="s">
        <v>1800</v>
      </c>
      <c r="D2097" s="23" t="str">
        <f t="shared" si="96"/>
        <v>ORD26000682</v>
      </c>
      <c r="E2097" s="38">
        <v>46277</v>
      </c>
      <c r="F2097" s="23" t="s">
        <v>12410</v>
      </c>
      <c r="G2097" s="23" t="s">
        <v>75</v>
      </c>
      <c r="H2097" s="24">
        <v>299</v>
      </c>
      <c r="I2097" s="24">
        <v>0</v>
      </c>
      <c r="J2097" s="24">
        <v>0</v>
      </c>
      <c r="K2097" s="24">
        <v>299</v>
      </c>
      <c r="L2097" s="38">
        <v>46279</v>
      </c>
      <c r="M2097" s="23" t="s">
        <v>200</v>
      </c>
      <c r="N2097" s="23" t="str">
        <f>IF(COUNTIF($A$2:A2097,A2097)&gt;1,"DUP","OK")</f>
        <v>OK</v>
      </c>
      <c r="O2097" s="23" t="str">
        <f t="shared" si="97"/>
        <v>ORD26000682</v>
      </c>
      <c r="P2097" s="23" t="str">
        <f t="shared" si="98"/>
        <v>Sep</v>
      </c>
      <c r="Q2097" s="23" t="str">
        <f>IF(F2097="CAPTURE",IF(COUNTIF(orders!$A:$A,O2097)&gt;0,"Yes","NO ORDER"),"")</f>
        <v>Yes</v>
      </c>
    </row>
    <row r="2098" spans="1:17" ht="15" customHeight="1" x14ac:dyDescent="0.3">
      <c r="A2098" s="23" t="s">
        <v>14852</v>
      </c>
      <c r="B2098" s="23"/>
      <c r="C2098" s="23" t="s">
        <v>1851</v>
      </c>
      <c r="D2098" s="23" t="str">
        <f t="shared" si="96"/>
        <v>ORD26000706</v>
      </c>
      <c r="E2098" s="38">
        <v>46277</v>
      </c>
      <c r="F2098" s="23" t="s">
        <v>12410</v>
      </c>
      <c r="G2098" s="23" t="s">
        <v>79</v>
      </c>
      <c r="H2098" s="24">
        <v>499</v>
      </c>
      <c r="I2098" s="24">
        <v>8.98</v>
      </c>
      <c r="J2098" s="24">
        <v>1.62</v>
      </c>
      <c r="K2098" s="24">
        <v>488.4</v>
      </c>
      <c r="L2098" s="38">
        <v>46279</v>
      </c>
      <c r="M2098" s="23" t="s">
        <v>200</v>
      </c>
      <c r="N2098" s="23" t="str">
        <f>IF(COUNTIF($A$2:A2098,A2098)&gt;1,"DUP","OK")</f>
        <v>OK</v>
      </c>
      <c r="O2098" s="23" t="str">
        <f t="shared" si="97"/>
        <v>ORD26000706</v>
      </c>
      <c r="P2098" s="23" t="str">
        <f t="shared" si="98"/>
        <v>Sep</v>
      </c>
      <c r="Q2098" s="23" t="str">
        <f>IF(F2098="CAPTURE",IF(COUNTIF(orders!$A:$A,O2098)&gt;0,"Yes","NO ORDER"),"")</f>
        <v>Yes</v>
      </c>
    </row>
    <row r="2099" spans="1:17" ht="15" customHeight="1" x14ac:dyDescent="0.3">
      <c r="A2099" s="23" t="s">
        <v>14853</v>
      </c>
      <c r="B2099" s="23"/>
      <c r="C2099" s="23" t="s">
        <v>1880</v>
      </c>
      <c r="D2099" s="23" t="str">
        <f t="shared" si="96"/>
        <v>ORD26000720</v>
      </c>
      <c r="E2099" s="38">
        <v>46277</v>
      </c>
      <c r="F2099" s="23" t="s">
        <v>12410</v>
      </c>
      <c r="G2099" s="23" t="s">
        <v>75</v>
      </c>
      <c r="H2099" s="24">
        <v>599</v>
      </c>
      <c r="I2099" s="24">
        <v>0</v>
      </c>
      <c r="J2099" s="24">
        <v>0</v>
      </c>
      <c r="K2099" s="24">
        <v>599</v>
      </c>
      <c r="L2099" s="38">
        <v>46279</v>
      </c>
      <c r="M2099" s="23" t="s">
        <v>200</v>
      </c>
      <c r="N2099" s="23" t="str">
        <f>IF(COUNTIF($A$2:A2099,A2099)&gt;1,"DUP","OK")</f>
        <v>OK</v>
      </c>
      <c r="O2099" s="23" t="str">
        <f t="shared" si="97"/>
        <v>ORD26000720</v>
      </c>
      <c r="P2099" s="23" t="str">
        <f t="shared" si="98"/>
        <v>Sep</v>
      </c>
      <c r="Q2099" s="23" t="str">
        <f>IF(F2099="CAPTURE",IF(COUNTIF(orders!$A:$A,O2099)&gt;0,"Yes","NO ORDER"),"")</f>
        <v>Yes</v>
      </c>
    </row>
    <row r="2100" spans="1:17" ht="15" customHeight="1" x14ac:dyDescent="0.3">
      <c r="A2100" s="23" t="s">
        <v>14854</v>
      </c>
      <c r="B2100" s="23"/>
      <c r="C2100" s="23" t="s">
        <v>2023</v>
      </c>
      <c r="D2100" s="23" t="str">
        <f t="shared" si="96"/>
        <v>ORD26000788</v>
      </c>
      <c r="E2100" s="38">
        <v>46277</v>
      </c>
      <c r="F2100" s="23" t="s">
        <v>12410</v>
      </c>
      <c r="G2100" s="23" t="s">
        <v>75</v>
      </c>
      <c r="H2100" s="24">
        <v>5298</v>
      </c>
      <c r="I2100" s="24">
        <v>15.89</v>
      </c>
      <c r="J2100" s="24">
        <v>2.86</v>
      </c>
      <c r="K2100" s="24">
        <v>5279.25</v>
      </c>
      <c r="L2100" s="38">
        <v>46279</v>
      </c>
      <c r="M2100" s="23" t="s">
        <v>200</v>
      </c>
      <c r="N2100" s="23" t="str">
        <f>IF(COUNTIF($A$2:A2100,A2100)&gt;1,"DUP","OK")</f>
        <v>OK</v>
      </c>
      <c r="O2100" s="23" t="str">
        <f t="shared" si="97"/>
        <v>ORD26000788</v>
      </c>
      <c r="P2100" s="23" t="str">
        <f t="shared" si="98"/>
        <v>Sep</v>
      </c>
      <c r="Q2100" s="23" t="str">
        <f>IF(F2100="CAPTURE",IF(COUNTIF(orders!$A:$A,O2100)&gt;0,"Yes","NO ORDER"),"")</f>
        <v>Yes</v>
      </c>
    </row>
    <row r="2101" spans="1:17" ht="15" customHeight="1" x14ac:dyDescent="0.3">
      <c r="A2101" s="23" t="s">
        <v>14855</v>
      </c>
      <c r="B2101" s="23"/>
      <c r="C2101" s="23" t="s">
        <v>2057</v>
      </c>
      <c r="D2101" s="23" t="str">
        <f t="shared" si="96"/>
        <v>ORD26000805</v>
      </c>
      <c r="E2101" s="38">
        <v>46277</v>
      </c>
      <c r="F2101" s="23" t="s">
        <v>12410</v>
      </c>
      <c r="G2101" s="23" t="s">
        <v>75</v>
      </c>
      <c r="H2101" s="24">
        <v>2798</v>
      </c>
      <c r="I2101" s="24">
        <v>8.39</v>
      </c>
      <c r="J2101" s="24">
        <v>1.51</v>
      </c>
      <c r="K2101" s="24">
        <v>2788.1</v>
      </c>
      <c r="L2101" s="38">
        <v>46279</v>
      </c>
      <c r="M2101" s="23" t="s">
        <v>200</v>
      </c>
      <c r="N2101" s="23" t="str">
        <f>IF(COUNTIF($A$2:A2101,A2101)&gt;1,"DUP","OK")</f>
        <v>OK</v>
      </c>
      <c r="O2101" s="23" t="str">
        <f t="shared" si="97"/>
        <v>ORD26000805</v>
      </c>
      <c r="P2101" s="23" t="str">
        <f t="shared" si="98"/>
        <v>Sep</v>
      </c>
      <c r="Q2101" s="23" t="str">
        <f>IF(F2101="CAPTURE",IF(COUNTIF(orders!$A:$A,O2101)&gt;0,"Yes","NO ORDER"),"")</f>
        <v>Yes</v>
      </c>
    </row>
    <row r="2102" spans="1:17" ht="15" customHeight="1" x14ac:dyDescent="0.3">
      <c r="A2102" s="23" t="s">
        <v>14856</v>
      </c>
      <c r="B2102" s="23"/>
      <c r="C2102" s="23" t="s">
        <v>2315</v>
      </c>
      <c r="D2102" s="23" t="str">
        <f t="shared" si="96"/>
        <v>ORD26000929</v>
      </c>
      <c r="E2102" s="38">
        <v>46277</v>
      </c>
      <c r="F2102" s="23" t="s">
        <v>12410</v>
      </c>
      <c r="G2102" s="23" t="s">
        <v>75</v>
      </c>
      <c r="H2102" s="24">
        <v>499</v>
      </c>
      <c r="I2102" s="24">
        <v>1.5</v>
      </c>
      <c r="J2102" s="24">
        <v>0.27</v>
      </c>
      <c r="K2102" s="24">
        <v>497.23</v>
      </c>
      <c r="L2102" s="38">
        <v>46279</v>
      </c>
      <c r="M2102" s="23" t="s">
        <v>200</v>
      </c>
      <c r="N2102" s="23" t="str">
        <f>IF(COUNTIF($A$2:A2102,A2102)&gt;1,"DUP","OK")</f>
        <v>OK</v>
      </c>
      <c r="O2102" s="23" t="str">
        <f t="shared" si="97"/>
        <v>ORD26000929</v>
      </c>
      <c r="P2102" s="23" t="str">
        <f t="shared" si="98"/>
        <v>Sep</v>
      </c>
      <c r="Q2102" s="23" t="str">
        <f>IF(F2102="CAPTURE",IF(COUNTIF(orders!$A:$A,O2102)&gt;0,"Yes","NO ORDER"),"")</f>
        <v>Yes</v>
      </c>
    </row>
    <row r="2103" spans="1:17" ht="15" customHeight="1" x14ac:dyDescent="0.3">
      <c r="A2103" s="23" t="s">
        <v>14857</v>
      </c>
      <c r="B2103" s="23"/>
      <c r="C2103" s="23" t="s">
        <v>2394</v>
      </c>
      <c r="D2103" s="23" t="str">
        <f t="shared" si="96"/>
        <v>ORD26000967</v>
      </c>
      <c r="E2103" s="38">
        <v>46277</v>
      </c>
      <c r="F2103" s="23" t="s">
        <v>12410</v>
      </c>
      <c r="G2103" s="23" t="s">
        <v>75</v>
      </c>
      <c r="H2103" s="24">
        <v>8998</v>
      </c>
      <c r="I2103" s="24">
        <v>26.99</v>
      </c>
      <c r="J2103" s="24">
        <v>4.8600000000000003</v>
      </c>
      <c r="K2103" s="24">
        <v>8966.15</v>
      </c>
      <c r="L2103" s="38">
        <v>46279</v>
      </c>
      <c r="M2103" s="23" t="s">
        <v>200</v>
      </c>
      <c r="N2103" s="23" t="str">
        <f>IF(COUNTIF($A$2:A2103,A2103)&gt;1,"DUP","OK")</f>
        <v>OK</v>
      </c>
      <c r="O2103" s="23" t="str">
        <f t="shared" si="97"/>
        <v>ORD26000967</v>
      </c>
      <c r="P2103" s="23" t="str">
        <f t="shared" si="98"/>
        <v>Sep</v>
      </c>
      <c r="Q2103" s="23" t="str">
        <f>IF(F2103="CAPTURE",IF(COUNTIF(orders!$A:$A,O2103)&gt;0,"Yes","NO ORDER"),"")</f>
        <v>Yes</v>
      </c>
    </row>
    <row r="2104" spans="1:17" ht="15" customHeight="1" x14ac:dyDescent="0.3">
      <c r="A2104" s="23" t="s">
        <v>14858</v>
      </c>
      <c r="B2104" s="23"/>
      <c r="C2104" s="23" t="s">
        <v>2434</v>
      </c>
      <c r="D2104" s="23" t="str">
        <f t="shared" si="96"/>
        <v>ORD26000987</v>
      </c>
      <c r="E2104" s="38">
        <v>46277</v>
      </c>
      <c r="F2104" s="23" t="s">
        <v>12410</v>
      </c>
      <c r="G2104" s="23" t="s">
        <v>75</v>
      </c>
      <c r="H2104" s="24">
        <v>2098</v>
      </c>
      <c r="I2104" s="24">
        <v>6.29</v>
      </c>
      <c r="J2104" s="24">
        <v>1.1299999999999999</v>
      </c>
      <c r="K2104" s="24">
        <v>2090.58</v>
      </c>
      <c r="L2104" s="38">
        <v>46279</v>
      </c>
      <c r="M2104" s="23" t="s">
        <v>200</v>
      </c>
      <c r="N2104" s="23" t="str">
        <f>IF(COUNTIF($A$2:A2104,A2104)&gt;1,"DUP","OK")</f>
        <v>OK</v>
      </c>
      <c r="O2104" s="23" t="str">
        <f t="shared" si="97"/>
        <v>ORD26000987</v>
      </c>
      <c r="P2104" s="23" t="str">
        <f t="shared" si="98"/>
        <v>Sep</v>
      </c>
      <c r="Q2104" s="23" t="str">
        <f>IF(F2104="CAPTURE",IF(COUNTIF(orders!$A:$A,O2104)&gt;0,"Yes","NO ORDER"),"")</f>
        <v>Yes</v>
      </c>
    </row>
    <row r="2105" spans="1:17" ht="15" customHeight="1" x14ac:dyDescent="0.3">
      <c r="A2105" s="23" t="s">
        <v>14859</v>
      </c>
      <c r="B2105" s="23"/>
      <c r="C2105" s="23" t="s">
        <v>2489</v>
      </c>
      <c r="D2105" s="23" t="str">
        <f t="shared" si="96"/>
        <v>ORD26001014</v>
      </c>
      <c r="E2105" s="38">
        <v>46277</v>
      </c>
      <c r="F2105" s="23" t="s">
        <v>12410</v>
      </c>
      <c r="G2105" s="23" t="s">
        <v>75</v>
      </c>
      <c r="H2105" s="24">
        <v>1799</v>
      </c>
      <c r="I2105" s="24">
        <v>0</v>
      </c>
      <c r="J2105" s="24">
        <v>0</v>
      </c>
      <c r="K2105" s="24">
        <v>1799</v>
      </c>
      <c r="L2105" s="38">
        <v>46279</v>
      </c>
      <c r="M2105" s="23" t="s">
        <v>200</v>
      </c>
      <c r="N2105" s="23" t="str">
        <f>IF(COUNTIF($A$2:A2105,A2105)&gt;1,"DUP","OK")</f>
        <v>OK</v>
      </c>
      <c r="O2105" s="23" t="str">
        <f t="shared" si="97"/>
        <v>ORD26001014</v>
      </c>
      <c r="P2105" s="23" t="str">
        <f t="shared" si="98"/>
        <v>Sep</v>
      </c>
      <c r="Q2105" s="23" t="str">
        <f>IF(F2105="CAPTURE",IF(COUNTIF(orders!$A:$A,O2105)&gt;0,"Yes","NO ORDER"),"")</f>
        <v>Yes</v>
      </c>
    </row>
    <row r="2106" spans="1:17" ht="15" customHeight="1" x14ac:dyDescent="0.3">
      <c r="A2106" s="23" t="s">
        <v>14860</v>
      </c>
      <c r="B2106" s="23"/>
      <c r="C2106" s="23" t="s">
        <v>2535</v>
      </c>
      <c r="D2106" s="23" t="str">
        <f t="shared" si="96"/>
        <v>ORD26001036</v>
      </c>
      <c r="E2106" s="38">
        <v>46277</v>
      </c>
      <c r="F2106" s="23" t="s">
        <v>12410</v>
      </c>
      <c r="G2106" s="23" t="s">
        <v>79</v>
      </c>
      <c r="H2106" s="24">
        <v>999</v>
      </c>
      <c r="I2106" s="24">
        <v>17.98</v>
      </c>
      <c r="J2106" s="24">
        <v>3.24</v>
      </c>
      <c r="K2106" s="24">
        <v>977.78</v>
      </c>
      <c r="L2106" s="38">
        <v>46279</v>
      </c>
      <c r="M2106" s="23" t="s">
        <v>200</v>
      </c>
      <c r="N2106" s="23" t="str">
        <f>IF(COUNTIF($A$2:A2106,A2106)&gt;1,"DUP","OK")</f>
        <v>OK</v>
      </c>
      <c r="O2106" s="23" t="str">
        <f t="shared" si="97"/>
        <v>ORD26001036</v>
      </c>
      <c r="P2106" s="23" t="str">
        <f t="shared" si="98"/>
        <v>Sep</v>
      </c>
      <c r="Q2106" s="23" t="str">
        <f>IF(F2106="CAPTURE",IF(COUNTIF(orders!$A:$A,O2106)&gt;0,"Yes","NO ORDER"),"")</f>
        <v>Yes</v>
      </c>
    </row>
    <row r="2107" spans="1:17" ht="15" customHeight="1" x14ac:dyDescent="0.3">
      <c r="A2107" s="23" t="s">
        <v>14861</v>
      </c>
      <c r="B2107" s="23"/>
      <c r="C2107" s="23" t="s">
        <v>2731</v>
      </c>
      <c r="D2107" s="23" t="str">
        <f t="shared" si="96"/>
        <v>ORD26001132</v>
      </c>
      <c r="E2107" s="38">
        <v>46277</v>
      </c>
      <c r="F2107" s="23" t="s">
        <v>12410</v>
      </c>
      <c r="G2107" s="23" t="s">
        <v>79</v>
      </c>
      <c r="H2107" s="24">
        <v>5998</v>
      </c>
      <c r="I2107" s="24">
        <v>95.97</v>
      </c>
      <c r="J2107" s="24">
        <v>17.27</v>
      </c>
      <c r="K2107" s="24">
        <v>5884.76</v>
      </c>
      <c r="L2107" s="38">
        <v>46279</v>
      </c>
      <c r="M2107" s="23" t="s">
        <v>200</v>
      </c>
      <c r="N2107" s="23" t="str">
        <f>IF(COUNTIF($A$2:A2107,A2107)&gt;1,"DUP","OK")</f>
        <v>OK</v>
      </c>
      <c r="O2107" s="23" t="str">
        <f t="shared" si="97"/>
        <v>ORD26001132</v>
      </c>
      <c r="P2107" s="23" t="str">
        <f t="shared" si="98"/>
        <v>Sep</v>
      </c>
      <c r="Q2107" s="23" t="str">
        <f>IF(F2107="CAPTURE",IF(COUNTIF(orders!$A:$A,O2107)&gt;0,"Yes","NO ORDER"),"")</f>
        <v>Yes</v>
      </c>
    </row>
    <row r="2108" spans="1:17" ht="15" customHeight="1" x14ac:dyDescent="0.3">
      <c r="A2108" s="23" t="s">
        <v>14862</v>
      </c>
      <c r="B2108" s="23"/>
      <c r="C2108" s="23" t="s">
        <v>2795</v>
      </c>
      <c r="D2108" s="23" t="str">
        <f t="shared" si="96"/>
        <v>ORD26001164</v>
      </c>
      <c r="E2108" s="38">
        <v>46277</v>
      </c>
      <c r="F2108" s="23" t="s">
        <v>12410</v>
      </c>
      <c r="G2108" s="23" t="s">
        <v>75</v>
      </c>
      <c r="H2108" s="24">
        <v>8348</v>
      </c>
      <c r="I2108" s="24">
        <v>25.04</v>
      </c>
      <c r="J2108" s="24">
        <v>4.51</v>
      </c>
      <c r="K2108" s="24">
        <v>8318.4500000000007</v>
      </c>
      <c r="L2108" s="38">
        <v>46279</v>
      </c>
      <c r="M2108" s="23" t="s">
        <v>200</v>
      </c>
      <c r="N2108" s="23" t="str">
        <f>IF(COUNTIF($A$2:A2108,A2108)&gt;1,"DUP","OK")</f>
        <v>OK</v>
      </c>
      <c r="O2108" s="23" t="str">
        <f t="shared" si="97"/>
        <v>ORD26001164</v>
      </c>
      <c r="P2108" s="23" t="str">
        <f t="shared" si="98"/>
        <v>Sep</v>
      </c>
      <c r="Q2108" s="23" t="str">
        <f>IF(F2108="CAPTURE",IF(COUNTIF(orders!$A:$A,O2108)&gt;0,"Yes","NO ORDER"),"")</f>
        <v>Yes</v>
      </c>
    </row>
    <row r="2109" spans="1:17" ht="15" customHeight="1" x14ac:dyDescent="0.3">
      <c r="A2109" s="23" t="s">
        <v>14863</v>
      </c>
      <c r="B2109" s="23"/>
      <c r="C2109" s="23" t="s">
        <v>14864</v>
      </c>
      <c r="D2109" s="23" t="str">
        <f t="shared" si="96"/>
        <v>ORD26001202</v>
      </c>
      <c r="E2109" s="38">
        <v>46277</v>
      </c>
      <c r="F2109" s="23" t="s">
        <v>12410</v>
      </c>
      <c r="G2109" s="23" t="s">
        <v>75</v>
      </c>
      <c r="H2109" s="24">
        <v>8997</v>
      </c>
      <c r="I2109" s="24">
        <v>26.99</v>
      </c>
      <c r="J2109" s="24">
        <v>4.8600000000000003</v>
      </c>
      <c r="K2109" s="24">
        <v>8965.15</v>
      </c>
      <c r="L2109" s="38">
        <v>46279</v>
      </c>
      <c r="M2109" s="23" t="s">
        <v>200</v>
      </c>
      <c r="N2109" s="23" t="str">
        <f>IF(COUNTIF($A$2:A2109,A2109)&gt;1,"DUP","OK")</f>
        <v>OK</v>
      </c>
      <c r="O2109" s="23" t="str">
        <f t="shared" si="97"/>
        <v>ORD26001202</v>
      </c>
      <c r="P2109" s="23" t="str">
        <f t="shared" si="98"/>
        <v>Sep</v>
      </c>
      <c r="Q2109" s="23" t="str">
        <f>IF(F2109="CAPTURE",IF(COUNTIF(orders!$A:$A,O2109)&gt;0,"Yes","NO ORDER"),"")</f>
        <v>Yes</v>
      </c>
    </row>
    <row r="2110" spans="1:17" ht="15" customHeight="1" x14ac:dyDescent="0.3">
      <c r="A2110" s="23" t="s">
        <v>14865</v>
      </c>
      <c r="B2110" s="23"/>
      <c r="C2110" s="23" t="s">
        <v>2932</v>
      </c>
      <c r="D2110" s="23" t="str">
        <f t="shared" si="96"/>
        <v>ORD26001231</v>
      </c>
      <c r="E2110" s="38">
        <v>46277</v>
      </c>
      <c r="F2110" s="23" t="s">
        <v>12410</v>
      </c>
      <c r="G2110" s="23" t="s">
        <v>79</v>
      </c>
      <c r="H2110" s="24">
        <v>5597</v>
      </c>
      <c r="I2110" s="24">
        <v>89.55</v>
      </c>
      <c r="J2110" s="24">
        <v>16.12</v>
      </c>
      <c r="K2110" s="24">
        <v>5491.33</v>
      </c>
      <c r="L2110" s="38">
        <v>46279</v>
      </c>
      <c r="M2110" s="23" t="s">
        <v>200</v>
      </c>
      <c r="N2110" s="23" t="str">
        <f>IF(COUNTIF($A$2:A2110,A2110)&gt;1,"DUP","OK")</f>
        <v>OK</v>
      </c>
      <c r="O2110" s="23" t="str">
        <f t="shared" si="97"/>
        <v>ORD26001231</v>
      </c>
      <c r="P2110" s="23" t="str">
        <f t="shared" si="98"/>
        <v>Sep</v>
      </c>
      <c r="Q2110" s="23" t="str">
        <f>IF(F2110="CAPTURE",IF(COUNTIF(orders!$A:$A,O2110)&gt;0,"Yes","NO ORDER"),"")</f>
        <v>Yes</v>
      </c>
    </row>
    <row r="2111" spans="1:17" ht="15" customHeight="1" x14ac:dyDescent="0.3">
      <c r="A2111" s="23" t="s">
        <v>14866</v>
      </c>
      <c r="B2111" s="23"/>
      <c r="C2111" s="23" t="s">
        <v>2996</v>
      </c>
      <c r="D2111" s="23" t="str">
        <f t="shared" si="96"/>
        <v>ORD26001262</v>
      </c>
      <c r="E2111" s="38">
        <v>46277</v>
      </c>
      <c r="F2111" s="23" t="s">
        <v>12410</v>
      </c>
      <c r="G2111" s="23" t="s">
        <v>75</v>
      </c>
      <c r="H2111" s="24">
        <v>11097</v>
      </c>
      <c r="I2111" s="24">
        <v>33.29</v>
      </c>
      <c r="J2111" s="24">
        <v>5.99</v>
      </c>
      <c r="K2111" s="24">
        <v>11057.72</v>
      </c>
      <c r="L2111" s="38">
        <v>46279</v>
      </c>
      <c r="M2111" s="23" t="s">
        <v>200</v>
      </c>
      <c r="N2111" s="23" t="str">
        <f>IF(COUNTIF($A$2:A2111,A2111)&gt;1,"DUP","OK")</f>
        <v>OK</v>
      </c>
      <c r="O2111" s="23" t="str">
        <f t="shared" si="97"/>
        <v>ORD26001262</v>
      </c>
      <c r="P2111" s="23" t="str">
        <f t="shared" si="98"/>
        <v>Sep</v>
      </c>
      <c r="Q2111" s="23" t="str">
        <f>IF(F2111="CAPTURE",IF(COUNTIF(orders!$A:$A,O2111)&gt;0,"Yes","NO ORDER"),"")</f>
        <v>Yes</v>
      </c>
    </row>
    <row r="2112" spans="1:17" ht="15" customHeight="1" x14ac:dyDescent="0.3">
      <c r="A2112" s="23" t="s">
        <v>14867</v>
      </c>
      <c r="B2112" s="23"/>
      <c r="C2112" s="23" t="s">
        <v>3071</v>
      </c>
      <c r="D2112" s="23" t="str">
        <f t="shared" si="96"/>
        <v>ORD26001298</v>
      </c>
      <c r="E2112" s="38">
        <v>46277</v>
      </c>
      <c r="F2112" s="23" t="s">
        <v>12410</v>
      </c>
      <c r="G2112" s="23" t="s">
        <v>79</v>
      </c>
      <c r="H2112" s="24">
        <v>1799</v>
      </c>
      <c r="I2112" s="24">
        <v>32.380000000000003</v>
      </c>
      <c r="J2112" s="24">
        <v>5.83</v>
      </c>
      <c r="K2112" s="24">
        <v>1760.79</v>
      </c>
      <c r="L2112" s="38">
        <v>46279</v>
      </c>
      <c r="M2112" s="23" t="s">
        <v>200</v>
      </c>
      <c r="N2112" s="23" t="str">
        <f>IF(COUNTIF($A$2:A2112,A2112)&gt;1,"DUP","OK")</f>
        <v>OK</v>
      </c>
      <c r="O2112" s="23" t="str">
        <f t="shared" si="97"/>
        <v>ORD26001298</v>
      </c>
      <c r="P2112" s="23" t="str">
        <f t="shared" si="98"/>
        <v>Sep</v>
      </c>
      <c r="Q2112" s="23" t="str">
        <f>IF(F2112="CAPTURE",IF(COUNTIF(orders!$A:$A,O2112)&gt;0,"Yes","NO ORDER"),"")</f>
        <v>Yes</v>
      </c>
    </row>
    <row r="2113" spans="1:17" ht="15" customHeight="1" x14ac:dyDescent="0.3">
      <c r="A2113" s="23" t="s">
        <v>14868</v>
      </c>
      <c r="B2113" s="23"/>
      <c r="C2113" s="23" t="s">
        <v>3348</v>
      </c>
      <c r="D2113" s="23" t="str">
        <f t="shared" si="96"/>
        <v>ORD26001434</v>
      </c>
      <c r="E2113" s="38">
        <v>46277</v>
      </c>
      <c r="F2113" s="23" t="s">
        <v>12410</v>
      </c>
      <c r="G2113" s="23" t="s">
        <v>75</v>
      </c>
      <c r="H2113" s="24">
        <v>1799</v>
      </c>
      <c r="I2113" s="24">
        <v>0</v>
      </c>
      <c r="J2113" s="24">
        <v>0</v>
      </c>
      <c r="K2113" s="24">
        <v>1799</v>
      </c>
      <c r="L2113" s="38">
        <v>46279</v>
      </c>
      <c r="M2113" s="23" t="s">
        <v>200</v>
      </c>
      <c r="N2113" s="23" t="str">
        <f>IF(COUNTIF($A$2:A2113,A2113)&gt;1,"DUP","OK")</f>
        <v>OK</v>
      </c>
      <c r="O2113" s="23" t="str">
        <f t="shared" si="97"/>
        <v>ORD26001434</v>
      </c>
      <c r="P2113" s="23" t="str">
        <f t="shared" si="98"/>
        <v>Sep</v>
      </c>
      <c r="Q2113" s="23" t="str">
        <f>IF(F2113="CAPTURE",IF(COUNTIF(orders!$A:$A,O2113)&gt;0,"Yes","NO ORDER"),"")</f>
        <v>Yes</v>
      </c>
    </row>
    <row r="2114" spans="1:17" ht="15" customHeight="1" x14ac:dyDescent="0.3">
      <c r="A2114" s="23" t="s">
        <v>14869</v>
      </c>
      <c r="B2114" s="23"/>
      <c r="C2114" s="23" t="s">
        <v>3465</v>
      </c>
      <c r="D2114" s="23" t="str">
        <f t="shared" ref="D2114:D2177" si="99">UPPER(SUBSTITUTE(TRIM(C2114),"-",""))</f>
        <v>ORD26001490</v>
      </c>
      <c r="E2114" s="38">
        <v>46277</v>
      </c>
      <c r="F2114" s="23" t="s">
        <v>12410</v>
      </c>
      <c r="G2114" s="23" t="s">
        <v>75</v>
      </c>
      <c r="H2114" s="24">
        <v>2499</v>
      </c>
      <c r="I2114" s="24">
        <v>7.5</v>
      </c>
      <c r="J2114" s="24">
        <v>1.35</v>
      </c>
      <c r="K2114" s="24">
        <v>2490.15</v>
      </c>
      <c r="L2114" s="38">
        <v>46279</v>
      </c>
      <c r="M2114" s="23" t="s">
        <v>200</v>
      </c>
      <c r="N2114" s="23" t="str">
        <f>IF(COUNTIF($A$2:A2114,A2114)&gt;1,"DUP","OK")</f>
        <v>OK</v>
      </c>
      <c r="O2114" s="23" t="str">
        <f t="shared" ref="O2114:O2177" si="100">IF(F2114="REFUND",INDEX($D:$D,MATCH(B2114,$A:$A,0)),D2114)</f>
        <v>ORD26001490</v>
      </c>
      <c r="P2114" s="23" t="str">
        <f t="shared" ref="P2114:P2177" si="101">IF(L2114&gt;DATE(2026,9,30),"Oct-Due","Sep")</f>
        <v>Sep</v>
      </c>
      <c r="Q2114" s="23" t="str">
        <f>IF(F2114="CAPTURE",IF(COUNTIF(orders!$A:$A,O2114)&gt;0,"Yes","NO ORDER"),"")</f>
        <v>Yes</v>
      </c>
    </row>
    <row r="2115" spans="1:17" ht="15" customHeight="1" x14ac:dyDescent="0.3">
      <c r="A2115" s="23" t="s">
        <v>14870</v>
      </c>
      <c r="B2115" s="23"/>
      <c r="C2115" s="23" t="s">
        <v>3510</v>
      </c>
      <c r="D2115" s="23" t="str">
        <f t="shared" si="99"/>
        <v>ORD26001512</v>
      </c>
      <c r="E2115" s="38">
        <v>46277</v>
      </c>
      <c r="F2115" s="23" t="s">
        <v>12410</v>
      </c>
      <c r="G2115" s="23" t="s">
        <v>75</v>
      </c>
      <c r="H2115" s="24">
        <v>349</v>
      </c>
      <c r="I2115" s="24">
        <v>0</v>
      </c>
      <c r="J2115" s="24">
        <v>0</v>
      </c>
      <c r="K2115" s="24">
        <v>349</v>
      </c>
      <c r="L2115" s="38">
        <v>46279</v>
      </c>
      <c r="M2115" s="23" t="s">
        <v>200</v>
      </c>
      <c r="N2115" s="23" t="str">
        <f>IF(COUNTIF($A$2:A2115,A2115)&gt;1,"DUP","OK")</f>
        <v>OK</v>
      </c>
      <c r="O2115" s="23" t="str">
        <f t="shared" si="100"/>
        <v>ORD26001512</v>
      </c>
      <c r="P2115" s="23" t="str">
        <f t="shared" si="101"/>
        <v>Sep</v>
      </c>
      <c r="Q2115" s="23" t="str">
        <f>IF(F2115="CAPTURE",IF(COUNTIF(orders!$A:$A,O2115)&gt;0,"Yes","NO ORDER"),"")</f>
        <v>Yes</v>
      </c>
    </row>
    <row r="2116" spans="1:17" ht="15" customHeight="1" x14ac:dyDescent="0.3">
      <c r="A2116" s="23" t="s">
        <v>14871</v>
      </c>
      <c r="B2116" s="23"/>
      <c r="C2116" s="23" t="s">
        <v>3525</v>
      </c>
      <c r="D2116" s="23" t="str">
        <f t="shared" si="99"/>
        <v>ORD26001519</v>
      </c>
      <c r="E2116" s="38">
        <v>46277</v>
      </c>
      <c r="F2116" s="23" t="s">
        <v>12410</v>
      </c>
      <c r="G2116" s="23" t="s">
        <v>75</v>
      </c>
      <c r="H2116" s="24">
        <v>1499</v>
      </c>
      <c r="I2116" s="24">
        <v>0</v>
      </c>
      <c r="J2116" s="24">
        <v>0</v>
      </c>
      <c r="K2116" s="24">
        <v>1499</v>
      </c>
      <c r="L2116" s="38">
        <v>46279</v>
      </c>
      <c r="M2116" s="23" t="s">
        <v>200</v>
      </c>
      <c r="N2116" s="23" t="str">
        <f>IF(COUNTIF($A$2:A2116,A2116)&gt;1,"DUP","OK")</f>
        <v>OK</v>
      </c>
      <c r="O2116" s="23" t="str">
        <f t="shared" si="100"/>
        <v>ORD26001519</v>
      </c>
      <c r="P2116" s="23" t="str">
        <f t="shared" si="101"/>
        <v>Sep</v>
      </c>
      <c r="Q2116" s="23" t="str">
        <f>IF(F2116="CAPTURE",IF(COUNTIF(orders!$A:$A,O2116)&gt;0,"Yes","NO ORDER"),"")</f>
        <v>Yes</v>
      </c>
    </row>
    <row r="2117" spans="1:17" ht="15" customHeight="1" x14ac:dyDescent="0.3">
      <c r="A2117" s="23" t="s">
        <v>14872</v>
      </c>
      <c r="B2117" s="23"/>
      <c r="C2117" s="23" t="s">
        <v>3585</v>
      </c>
      <c r="D2117" s="23" t="str">
        <f t="shared" si="99"/>
        <v>ORD26001548</v>
      </c>
      <c r="E2117" s="38">
        <v>46277</v>
      </c>
      <c r="F2117" s="23" t="s">
        <v>12410</v>
      </c>
      <c r="G2117" s="23" t="s">
        <v>75</v>
      </c>
      <c r="H2117" s="24">
        <v>2499</v>
      </c>
      <c r="I2117" s="24">
        <v>7.5</v>
      </c>
      <c r="J2117" s="24">
        <v>1.35</v>
      </c>
      <c r="K2117" s="24">
        <v>2490.15</v>
      </c>
      <c r="L2117" s="38">
        <v>46279</v>
      </c>
      <c r="M2117" s="23" t="s">
        <v>200</v>
      </c>
      <c r="N2117" s="23" t="str">
        <f>IF(COUNTIF($A$2:A2117,A2117)&gt;1,"DUP","OK")</f>
        <v>OK</v>
      </c>
      <c r="O2117" s="23" t="str">
        <f t="shared" si="100"/>
        <v>ORD26001548</v>
      </c>
      <c r="P2117" s="23" t="str">
        <f t="shared" si="101"/>
        <v>Sep</v>
      </c>
      <c r="Q2117" s="23" t="str">
        <f>IF(F2117="CAPTURE",IF(COUNTIF(orders!$A:$A,O2117)&gt;0,"Yes","NO ORDER"),"")</f>
        <v>Yes</v>
      </c>
    </row>
    <row r="2118" spans="1:17" ht="15" customHeight="1" x14ac:dyDescent="0.3">
      <c r="A2118" s="23" t="s">
        <v>14873</v>
      </c>
      <c r="B2118" s="23"/>
      <c r="C2118" s="23" t="s">
        <v>14874</v>
      </c>
      <c r="D2118" s="23" t="str">
        <f t="shared" si="99"/>
        <v>ORD26001613</v>
      </c>
      <c r="E2118" s="38">
        <v>46277</v>
      </c>
      <c r="F2118" s="23" t="s">
        <v>12410</v>
      </c>
      <c r="G2118" s="23" t="s">
        <v>75</v>
      </c>
      <c r="H2118" s="24">
        <v>7999</v>
      </c>
      <c r="I2118" s="24">
        <v>24</v>
      </c>
      <c r="J2118" s="24">
        <v>4.32</v>
      </c>
      <c r="K2118" s="24">
        <v>7970.68</v>
      </c>
      <c r="L2118" s="38">
        <v>46279</v>
      </c>
      <c r="M2118" s="23" t="s">
        <v>200</v>
      </c>
      <c r="N2118" s="23" t="str">
        <f>IF(COUNTIF($A$2:A2118,A2118)&gt;1,"DUP","OK")</f>
        <v>OK</v>
      </c>
      <c r="O2118" s="23" t="str">
        <f t="shared" si="100"/>
        <v>ORD26001613</v>
      </c>
      <c r="P2118" s="23" t="str">
        <f t="shared" si="101"/>
        <v>Sep</v>
      </c>
      <c r="Q2118" s="23" t="str">
        <f>IF(F2118="CAPTURE",IF(COUNTIF(orders!$A:$A,O2118)&gt;0,"Yes","NO ORDER"),"")</f>
        <v>Yes</v>
      </c>
    </row>
    <row r="2119" spans="1:17" ht="15" customHeight="1" x14ac:dyDescent="0.3">
      <c r="A2119" s="23" t="s">
        <v>14875</v>
      </c>
      <c r="B2119" s="23"/>
      <c r="C2119" s="23" t="s">
        <v>3729</v>
      </c>
      <c r="D2119" s="23" t="str">
        <f t="shared" si="99"/>
        <v>ORD26001621</v>
      </c>
      <c r="E2119" s="38">
        <v>46277</v>
      </c>
      <c r="F2119" s="23" t="s">
        <v>12410</v>
      </c>
      <c r="G2119" s="23" t="s">
        <v>81</v>
      </c>
      <c r="H2119" s="24">
        <v>1799</v>
      </c>
      <c r="I2119" s="24">
        <v>26.99</v>
      </c>
      <c r="J2119" s="24">
        <v>4.8600000000000003</v>
      </c>
      <c r="K2119" s="24">
        <v>1767.15</v>
      </c>
      <c r="L2119" s="38">
        <v>46279</v>
      </c>
      <c r="M2119" s="23" t="s">
        <v>200</v>
      </c>
      <c r="N2119" s="23" t="str">
        <f>IF(COUNTIF($A$2:A2119,A2119)&gt;1,"DUP","OK")</f>
        <v>OK</v>
      </c>
      <c r="O2119" s="23" t="str">
        <f t="shared" si="100"/>
        <v>ORD26001621</v>
      </c>
      <c r="P2119" s="23" t="str">
        <f t="shared" si="101"/>
        <v>Sep</v>
      </c>
      <c r="Q2119" s="23" t="str">
        <f>IF(F2119="CAPTURE",IF(COUNTIF(orders!$A:$A,O2119)&gt;0,"Yes","NO ORDER"),"")</f>
        <v>Yes</v>
      </c>
    </row>
    <row r="2120" spans="1:17" ht="15" customHeight="1" x14ac:dyDescent="0.3">
      <c r="A2120" s="23" t="s">
        <v>14876</v>
      </c>
      <c r="B2120" s="23"/>
      <c r="C2120" s="23" t="s">
        <v>14877</v>
      </c>
      <c r="D2120" s="23" t="str">
        <f t="shared" si="99"/>
        <v>ORD26001811</v>
      </c>
      <c r="E2120" s="38">
        <v>46277</v>
      </c>
      <c r="F2120" s="23" t="s">
        <v>12410</v>
      </c>
      <c r="G2120" s="23" t="s">
        <v>75</v>
      </c>
      <c r="H2120" s="24">
        <v>1299</v>
      </c>
      <c r="I2120" s="24">
        <v>0</v>
      </c>
      <c r="J2120" s="24">
        <v>0</v>
      </c>
      <c r="K2120" s="24">
        <v>1299</v>
      </c>
      <c r="L2120" s="38">
        <v>46279</v>
      </c>
      <c r="M2120" s="23" t="s">
        <v>200</v>
      </c>
      <c r="N2120" s="23" t="str">
        <f>IF(COUNTIF($A$2:A2120,A2120)&gt;1,"DUP","OK")</f>
        <v>OK</v>
      </c>
      <c r="O2120" s="23" t="str">
        <f t="shared" si="100"/>
        <v>ORD26001811</v>
      </c>
      <c r="P2120" s="23" t="str">
        <f t="shared" si="101"/>
        <v>Sep</v>
      </c>
      <c r="Q2120" s="23" t="str">
        <f>IF(F2120="CAPTURE",IF(COUNTIF(orders!$A:$A,O2120)&gt;0,"Yes","NO ORDER"),"")</f>
        <v>Yes</v>
      </c>
    </row>
    <row r="2121" spans="1:17" ht="15" customHeight="1" x14ac:dyDescent="0.3">
      <c r="A2121" s="23" t="s">
        <v>14878</v>
      </c>
      <c r="B2121" s="23"/>
      <c r="C2121" s="23" t="s">
        <v>4236</v>
      </c>
      <c r="D2121" s="23" t="str">
        <f t="shared" si="99"/>
        <v>ORD26001875</v>
      </c>
      <c r="E2121" s="38">
        <v>46277</v>
      </c>
      <c r="F2121" s="23" t="s">
        <v>12410</v>
      </c>
      <c r="G2121" s="23" t="s">
        <v>79</v>
      </c>
      <c r="H2121" s="24">
        <v>299</v>
      </c>
      <c r="I2121" s="24">
        <v>5.38</v>
      </c>
      <c r="J2121" s="24">
        <v>0.97</v>
      </c>
      <c r="K2121" s="24">
        <v>292.64999999999998</v>
      </c>
      <c r="L2121" s="38">
        <v>46279</v>
      </c>
      <c r="M2121" s="23" t="s">
        <v>200</v>
      </c>
      <c r="N2121" s="23" t="str">
        <f>IF(COUNTIF($A$2:A2121,A2121)&gt;1,"DUP","OK")</f>
        <v>OK</v>
      </c>
      <c r="O2121" s="23" t="str">
        <f t="shared" si="100"/>
        <v>ORD26001875</v>
      </c>
      <c r="P2121" s="23" t="str">
        <f t="shared" si="101"/>
        <v>Sep</v>
      </c>
      <c r="Q2121" s="23" t="str">
        <f>IF(F2121="CAPTURE",IF(COUNTIF(orders!$A:$A,O2121)&gt;0,"Yes","NO ORDER"),"")</f>
        <v>Yes</v>
      </c>
    </row>
    <row r="2122" spans="1:17" ht="15" customHeight="1" x14ac:dyDescent="0.3">
      <c r="A2122" s="23" t="s">
        <v>14879</v>
      </c>
      <c r="B2122" s="23"/>
      <c r="C2122" s="23" t="s">
        <v>14880</v>
      </c>
      <c r="D2122" s="23" t="str">
        <f t="shared" si="99"/>
        <v>ORD26001890</v>
      </c>
      <c r="E2122" s="38">
        <v>46277</v>
      </c>
      <c r="F2122" s="23" t="s">
        <v>12410</v>
      </c>
      <c r="G2122" s="23" t="s">
        <v>75</v>
      </c>
      <c r="H2122" s="24">
        <v>3499</v>
      </c>
      <c r="I2122" s="24">
        <v>10.5</v>
      </c>
      <c r="J2122" s="24">
        <v>1.89</v>
      </c>
      <c r="K2122" s="24">
        <v>3486.61</v>
      </c>
      <c r="L2122" s="38">
        <v>46279</v>
      </c>
      <c r="M2122" s="23" t="s">
        <v>200</v>
      </c>
      <c r="N2122" s="23" t="str">
        <f>IF(COUNTIF($A$2:A2122,A2122)&gt;1,"DUP","OK")</f>
        <v>OK</v>
      </c>
      <c r="O2122" s="23" t="str">
        <f t="shared" si="100"/>
        <v>ORD26001890</v>
      </c>
      <c r="P2122" s="23" t="str">
        <f t="shared" si="101"/>
        <v>Sep</v>
      </c>
      <c r="Q2122" s="23" t="str">
        <f>IF(F2122="CAPTURE",IF(COUNTIF(orders!$A:$A,O2122)&gt;0,"Yes","NO ORDER"),"")</f>
        <v>Yes</v>
      </c>
    </row>
    <row r="2123" spans="1:17" ht="15" customHeight="1" x14ac:dyDescent="0.3">
      <c r="A2123" s="23" t="s">
        <v>14881</v>
      </c>
      <c r="B2123" s="23"/>
      <c r="C2123" s="23" t="s">
        <v>14882</v>
      </c>
      <c r="D2123" s="23" t="str">
        <f t="shared" si="99"/>
        <v>ORD26001905</v>
      </c>
      <c r="E2123" s="38">
        <v>46277</v>
      </c>
      <c r="F2123" s="23" t="s">
        <v>12410</v>
      </c>
      <c r="G2123" s="23" t="s">
        <v>79</v>
      </c>
      <c r="H2123" s="24">
        <v>3298</v>
      </c>
      <c r="I2123" s="24">
        <v>52.77</v>
      </c>
      <c r="J2123" s="24">
        <v>9.5</v>
      </c>
      <c r="K2123" s="24">
        <v>3235.73</v>
      </c>
      <c r="L2123" s="38">
        <v>46279</v>
      </c>
      <c r="M2123" s="23" t="s">
        <v>200</v>
      </c>
      <c r="N2123" s="23" t="str">
        <f>IF(COUNTIF($A$2:A2123,A2123)&gt;1,"DUP","OK")</f>
        <v>OK</v>
      </c>
      <c r="O2123" s="23" t="str">
        <f t="shared" si="100"/>
        <v>ORD26001905</v>
      </c>
      <c r="P2123" s="23" t="str">
        <f t="shared" si="101"/>
        <v>Sep</v>
      </c>
      <c r="Q2123" s="23" t="str">
        <f>IF(F2123="CAPTURE",IF(COUNTIF(orders!$A:$A,O2123)&gt;0,"Yes","NO ORDER"),"")</f>
        <v>Yes</v>
      </c>
    </row>
    <row r="2124" spans="1:17" ht="15" customHeight="1" x14ac:dyDescent="0.3">
      <c r="A2124" s="23" t="s">
        <v>14883</v>
      </c>
      <c r="B2124" s="23"/>
      <c r="C2124" s="23" t="s">
        <v>14884</v>
      </c>
      <c r="D2124" s="23" t="str">
        <f t="shared" si="99"/>
        <v>ORD26001910</v>
      </c>
      <c r="E2124" s="38">
        <v>46277</v>
      </c>
      <c r="F2124" s="23" t="s">
        <v>12410</v>
      </c>
      <c r="G2124" s="23" t="s">
        <v>75</v>
      </c>
      <c r="H2124" s="24">
        <v>4999</v>
      </c>
      <c r="I2124" s="24">
        <v>15</v>
      </c>
      <c r="J2124" s="24">
        <v>2.7</v>
      </c>
      <c r="K2124" s="24">
        <v>4981.3</v>
      </c>
      <c r="L2124" s="38">
        <v>46279</v>
      </c>
      <c r="M2124" s="23" t="s">
        <v>200</v>
      </c>
      <c r="N2124" s="23" t="str">
        <f>IF(COUNTIF($A$2:A2124,A2124)&gt;1,"DUP","OK")</f>
        <v>OK</v>
      </c>
      <c r="O2124" s="23" t="str">
        <f t="shared" si="100"/>
        <v>ORD26001910</v>
      </c>
      <c r="P2124" s="23" t="str">
        <f t="shared" si="101"/>
        <v>Sep</v>
      </c>
      <c r="Q2124" s="23" t="str">
        <f>IF(F2124="CAPTURE",IF(COUNTIF(orders!$A:$A,O2124)&gt;0,"Yes","NO ORDER"),"")</f>
        <v>Yes</v>
      </c>
    </row>
    <row r="2125" spans="1:17" ht="15" customHeight="1" x14ac:dyDescent="0.3">
      <c r="A2125" s="23" t="s">
        <v>14885</v>
      </c>
      <c r="B2125" s="23"/>
      <c r="C2125" s="23" t="s">
        <v>4613</v>
      </c>
      <c r="D2125" s="23" t="str">
        <f t="shared" si="99"/>
        <v>ORD26002061</v>
      </c>
      <c r="E2125" s="38">
        <v>46277</v>
      </c>
      <c r="F2125" s="23" t="s">
        <v>12410</v>
      </c>
      <c r="G2125" s="23" t="s">
        <v>75</v>
      </c>
      <c r="H2125" s="24">
        <v>4999</v>
      </c>
      <c r="I2125" s="24">
        <v>15</v>
      </c>
      <c r="J2125" s="24">
        <v>2.7</v>
      </c>
      <c r="K2125" s="24">
        <v>4981.3</v>
      </c>
      <c r="L2125" s="38">
        <v>46279</v>
      </c>
      <c r="M2125" s="23" t="s">
        <v>200</v>
      </c>
      <c r="N2125" s="23" t="str">
        <f>IF(COUNTIF($A$2:A2125,A2125)&gt;1,"DUP","OK")</f>
        <v>OK</v>
      </c>
      <c r="O2125" s="23" t="str">
        <f t="shared" si="100"/>
        <v>ORD26002061</v>
      </c>
      <c r="P2125" s="23" t="str">
        <f t="shared" si="101"/>
        <v>Sep</v>
      </c>
      <c r="Q2125" s="23" t="str">
        <f>IF(F2125="CAPTURE",IF(COUNTIF(orders!$A:$A,O2125)&gt;0,"Yes","NO ORDER"),"")</f>
        <v>Yes</v>
      </c>
    </row>
    <row r="2126" spans="1:17" ht="15" customHeight="1" x14ac:dyDescent="0.3">
      <c r="A2126" s="23" t="s">
        <v>14886</v>
      </c>
      <c r="B2126" s="23"/>
      <c r="C2126" s="23" t="s">
        <v>4660</v>
      </c>
      <c r="D2126" s="23" t="str">
        <f t="shared" si="99"/>
        <v>ORD26002085</v>
      </c>
      <c r="E2126" s="38">
        <v>46277</v>
      </c>
      <c r="F2126" s="23" t="s">
        <v>12410</v>
      </c>
      <c r="G2126" s="23" t="s">
        <v>79</v>
      </c>
      <c r="H2126" s="24">
        <v>349</v>
      </c>
      <c r="I2126" s="24">
        <v>6.28</v>
      </c>
      <c r="J2126" s="24">
        <v>1.1299999999999999</v>
      </c>
      <c r="K2126" s="24">
        <v>341.59</v>
      </c>
      <c r="L2126" s="38">
        <v>46279</v>
      </c>
      <c r="M2126" s="23" t="s">
        <v>200</v>
      </c>
      <c r="N2126" s="23" t="str">
        <f>IF(COUNTIF($A$2:A2126,A2126)&gt;1,"DUP","OK")</f>
        <v>OK</v>
      </c>
      <c r="O2126" s="23" t="str">
        <f t="shared" si="100"/>
        <v>ORD26002085</v>
      </c>
      <c r="P2126" s="23" t="str">
        <f t="shared" si="101"/>
        <v>Sep</v>
      </c>
      <c r="Q2126" s="23" t="str">
        <f>IF(F2126="CAPTURE",IF(COUNTIF(orders!$A:$A,O2126)&gt;0,"Yes","NO ORDER"),"")</f>
        <v>Yes</v>
      </c>
    </row>
    <row r="2127" spans="1:17" ht="15" customHeight="1" x14ac:dyDescent="0.3">
      <c r="A2127" s="23" t="s">
        <v>14887</v>
      </c>
      <c r="B2127" s="23"/>
      <c r="C2127" s="23" t="s">
        <v>4711</v>
      </c>
      <c r="D2127" s="23" t="str">
        <f t="shared" si="99"/>
        <v>ORD26002110</v>
      </c>
      <c r="E2127" s="38">
        <v>46277</v>
      </c>
      <c r="F2127" s="23" t="s">
        <v>12410</v>
      </c>
      <c r="G2127" s="23" t="s">
        <v>75</v>
      </c>
      <c r="H2127" s="24">
        <v>799</v>
      </c>
      <c r="I2127" s="24">
        <v>0</v>
      </c>
      <c r="J2127" s="24">
        <v>0</v>
      </c>
      <c r="K2127" s="24">
        <v>799</v>
      </c>
      <c r="L2127" s="38">
        <v>46279</v>
      </c>
      <c r="M2127" s="23" t="s">
        <v>200</v>
      </c>
      <c r="N2127" s="23" t="str">
        <f>IF(COUNTIF($A$2:A2127,A2127)&gt;1,"DUP","OK")</f>
        <v>OK</v>
      </c>
      <c r="O2127" s="23" t="str">
        <f t="shared" si="100"/>
        <v>ORD26002110</v>
      </c>
      <c r="P2127" s="23" t="str">
        <f t="shared" si="101"/>
        <v>Sep</v>
      </c>
      <c r="Q2127" s="23" t="str">
        <f>IF(F2127="CAPTURE",IF(COUNTIF(orders!$A:$A,O2127)&gt;0,"Yes","NO ORDER"),"")</f>
        <v>Yes</v>
      </c>
    </row>
    <row r="2128" spans="1:17" ht="15" customHeight="1" x14ac:dyDescent="0.3">
      <c r="A2128" s="23" t="s">
        <v>14888</v>
      </c>
      <c r="B2128" s="23"/>
      <c r="C2128" s="23" t="s">
        <v>4744</v>
      </c>
      <c r="D2128" s="23" t="str">
        <f t="shared" si="99"/>
        <v>ORD26002127</v>
      </c>
      <c r="E2128" s="38">
        <v>46277</v>
      </c>
      <c r="F2128" s="23" t="s">
        <v>12410</v>
      </c>
      <c r="G2128" s="23" t="s">
        <v>75</v>
      </c>
      <c r="H2128" s="24">
        <v>599</v>
      </c>
      <c r="I2128" s="24">
        <v>0</v>
      </c>
      <c r="J2128" s="24">
        <v>0</v>
      </c>
      <c r="K2128" s="24">
        <v>599</v>
      </c>
      <c r="L2128" s="38">
        <v>46279</v>
      </c>
      <c r="M2128" s="23" t="s">
        <v>200</v>
      </c>
      <c r="N2128" s="23" t="str">
        <f>IF(COUNTIF($A$2:A2128,A2128)&gt;1,"DUP","OK")</f>
        <v>OK</v>
      </c>
      <c r="O2128" s="23" t="str">
        <f t="shared" si="100"/>
        <v>ORD26002127</v>
      </c>
      <c r="P2128" s="23" t="str">
        <f t="shared" si="101"/>
        <v>Sep</v>
      </c>
      <c r="Q2128" s="23" t="str">
        <f>IF(F2128="CAPTURE",IF(COUNTIF(orders!$A:$A,O2128)&gt;0,"Yes","NO ORDER"),"")</f>
        <v>Yes</v>
      </c>
    </row>
    <row r="2129" spans="1:17" ht="15" customHeight="1" x14ac:dyDescent="0.3">
      <c r="A2129" s="23" t="s">
        <v>14889</v>
      </c>
      <c r="B2129" s="23"/>
      <c r="C2129" s="23" t="s">
        <v>14890</v>
      </c>
      <c r="D2129" s="23" t="str">
        <f t="shared" si="99"/>
        <v>ORD26002147</v>
      </c>
      <c r="E2129" s="38">
        <v>46277</v>
      </c>
      <c r="F2129" s="23" t="s">
        <v>12410</v>
      </c>
      <c r="G2129" s="23" t="s">
        <v>79</v>
      </c>
      <c r="H2129" s="24">
        <v>499</v>
      </c>
      <c r="I2129" s="24">
        <v>8.98</v>
      </c>
      <c r="J2129" s="24">
        <v>1.62</v>
      </c>
      <c r="K2129" s="24">
        <v>488.4</v>
      </c>
      <c r="L2129" s="38">
        <v>46279</v>
      </c>
      <c r="M2129" s="23" t="s">
        <v>200</v>
      </c>
      <c r="N2129" s="23" t="str">
        <f>IF(COUNTIF($A$2:A2129,A2129)&gt;1,"DUP","OK")</f>
        <v>OK</v>
      </c>
      <c r="O2129" s="23" t="str">
        <f t="shared" si="100"/>
        <v>ORD26002147</v>
      </c>
      <c r="P2129" s="23" t="str">
        <f t="shared" si="101"/>
        <v>Sep</v>
      </c>
      <c r="Q2129" s="23" t="str">
        <f>IF(F2129="CAPTURE",IF(COUNTIF(orders!$A:$A,O2129)&gt;0,"Yes","NO ORDER"),"")</f>
        <v>Yes</v>
      </c>
    </row>
    <row r="2130" spans="1:17" ht="15" customHeight="1" x14ac:dyDescent="0.3">
      <c r="A2130" s="23" t="s">
        <v>14891</v>
      </c>
      <c r="B2130" s="23"/>
      <c r="C2130" s="23" t="s">
        <v>4928</v>
      </c>
      <c r="D2130" s="23" t="str">
        <f t="shared" si="99"/>
        <v>ORD26002218</v>
      </c>
      <c r="E2130" s="38">
        <v>46277</v>
      </c>
      <c r="F2130" s="23" t="s">
        <v>12410</v>
      </c>
      <c r="G2130" s="23" t="s">
        <v>79</v>
      </c>
      <c r="H2130" s="24">
        <v>299</v>
      </c>
      <c r="I2130" s="24">
        <v>5.38</v>
      </c>
      <c r="J2130" s="24">
        <v>0.97</v>
      </c>
      <c r="K2130" s="24">
        <v>292.64999999999998</v>
      </c>
      <c r="L2130" s="38">
        <v>46279</v>
      </c>
      <c r="M2130" s="23" t="s">
        <v>200</v>
      </c>
      <c r="N2130" s="23" t="str">
        <f>IF(COUNTIF($A$2:A2130,A2130)&gt;1,"DUP","OK")</f>
        <v>OK</v>
      </c>
      <c r="O2130" s="23" t="str">
        <f t="shared" si="100"/>
        <v>ORD26002218</v>
      </c>
      <c r="P2130" s="23" t="str">
        <f t="shared" si="101"/>
        <v>Sep</v>
      </c>
      <c r="Q2130" s="23" t="str">
        <f>IF(F2130="CAPTURE",IF(COUNTIF(orders!$A:$A,O2130)&gt;0,"Yes","NO ORDER"),"")</f>
        <v>Yes</v>
      </c>
    </row>
    <row r="2131" spans="1:17" ht="15" customHeight="1" x14ac:dyDescent="0.3">
      <c r="A2131" s="23" t="s">
        <v>14892</v>
      </c>
      <c r="B2131" s="23"/>
      <c r="C2131" s="23" t="s">
        <v>5002</v>
      </c>
      <c r="D2131" s="23" t="str">
        <f t="shared" si="99"/>
        <v>ORD26002254</v>
      </c>
      <c r="E2131" s="38">
        <v>46277</v>
      </c>
      <c r="F2131" s="23" t="s">
        <v>12410</v>
      </c>
      <c r="G2131" s="23" t="s">
        <v>75</v>
      </c>
      <c r="H2131" s="24">
        <v>1848</v>
      </c>
      <c r="I2131" s="24">
        <v>0</v>
      </c>
      <c r="J2131" s="24">
        <v>0</v>
      </c>
      <c r="K2131" s="24">
        <v>1848</v>
      </c>
      <c r="L2131" s="38">
        <v>46279</v>
      </c>
      <c r="M2131" s="23" t="s">
        <v>200</v>
      </c>
      <c r="N2131" s="23" t="str">
        <f>IF(COUNTIF($A$2:A2131,A2131)&gt;1,"DUP","OK")</f>
        <v>OK</v>
      </c>
      <c r="O2131" s="23" t="str">
        <f t="shared" si="100"/>
        <v>ORD26002254</v>
      </c>
      <c r="P2131" s="23" t="str">
        <f t="shared" si="101"/>
        <v>Sep</v>
      </c>
      <c r="Q2131" s="23" t="str">
        <f>IF(F2131="CAPTURE",IF(COUNTIF(orders!$A:$A,O2131)&gt;0,"Yes","NO ORDER"),"")</f>
        <v>Yes</v>
      </c>
    </row>
    <row r="2132" spans="1:17" ht="15" customHeight="1" x14ac:dyDescent="0.3">
      <c r="A2132" s="23" t="s">
        <v>14893</v>
      </c>
      <c r="B2132" s="23"/>
      <c r="C2132" s="23" t="s">
        <v>14894</v>
      </c>
      <c r="D2132" s="23" t="str">
        <f t="shared" si="99"/>
        <v>ORD26002263</v>
      </c>
      <c r="E2132" s="38">
        <v>46277</v>
      </c>
      <c r="F2132" s="23" t="s">
        <v>12410</v>
      </c>
      <c r="G2132" s="23" t="s">
        <v>79</v>
      </c>
      <c r="H2132" s="24">
        <v>2398</v>
      </c>
      <c r="I2132" s="24">
        <v>38.369999999999997</v>
      </c>
      <c r="J2132" s="24">
        <v>6.91</v>
      </c>
      <c r="K2132" s="24">
        <v>2352.7199999999998</v>
      </c>
      <c r="L2132" s="38">
        <v>46279</v>
      </c>
      <c r="M2132" s="23" t="s">
        <v>200</v>
      </c>
      <c r="N2132" s="23" t="str">
        <f>IF(COUNTIF($A$2:A2132,A2132)&gt;1,"DUP","OK")</f>
        <v>OK</v>
      </c>
      <c r="O2132" s="23" t="str">
        <f t="shared" si="100"/>
        <v>ORD26002263</v>
      </c>
      <c r="P2132" s="23" t="str">
        <f t="shared" si="101"/>
        <v>Sep</v>
      </c>
      <c r="Q2132" s="23" t="str">
        <f>IF(F2132="CAPTURE",IF(COUNTIF(orders!$A:$A,O2132)&gt;0,"Yes","NO ORDER"),"")</f>
        <v>Yes</v>
      </c>
    </row>
    <row r="2133" spans="1:17" ht="15" customHeight="1" x14ac:dyDescent="0.3">
      <c r="A2133" s="23" t="s">
        <v>14895</v>
      </c>
      <c r="B2133" s="23"/>
      <c r="C2133" s="23" t="s">
        <v>5309</v>
      </c>
      <c r="D2133" s="23" t="str">
        <f t="shared" si="99"/>
        <v>ORD26002408</v>
      </c>
      <c r="E2133" s="38">
        <v>46277</v>
      </c>
      <c r="F2133" s="23" t="s">
        <v>12410</v>
      </c>
      <c r="G2133" s="23" t="s">
        <v>75</v>
      </c>
      <c r="H2133" s="24">
        <v>5998</v>
      </c>
      <c r="I2133" s="24">
        <v>17.989999999999998</v>
      </c>
      <c r="J2133" s="24">
        <v>3.24</v>
      </c>
      <c r="K2133" s="24">
        <v>5976.77</v>
      </c>
      <c r="L2133" s="38">
        <v>46279</v>
      </c>
      <c r="M2133" s="23" t="s">
        <v>200</v>
      </c>
      <c r="N2133" s="23" t="str">
        <f>IF(COUNTIF($A$2:A2133,A2133)&gt;1,"DUP","OK")</f>
        <v>OK</v>
      </c>
      <c r="O2133" s="23" t="str">
        <f t="shared" si="100"/>
        <v>ORD26002408</v>
      </c>
      <c r="P2133" s="23" t="str">
        <f t="shared" si="101"/>
        <v>Sep</v>
      </c>
      <c r="Q2133" s="23" t="str">
        <f>IF(F2133="CAPTURE",IF(COUNTIF(orders!$A:$A,O2133)&gt;0,"Yes","NO ORDER"),"")</f>
        <v>Yes</v>
      </c>
    </row>
    <row r="2134" spans="1:17" ht="15" customHeight="1" x14ac:dyDescent="0.3">
      <c r="A2134" s="23" t="s">
        <v>14896</v>
      </c>
      <c r="B2134" s="23"/>
      <c r="C2134" s="23" t="s">
        <v>5324</v>
      </c>
      <c r="D2134" s="23" t="str">
        <f t="shared" si="99"/>
        <v>ORD26002416</v>
      </c>
      <c r="E2134" s="38">
        <v>46277</v>
      </c>
      <c r="F2134" s="23" t="s">
        <v>12410</v>
      </c>
      <c r="G2134" s="23" t="s">
        <v>75</v>
      </c>
      <c r="H2134" s="24">
        <v>999</v>
      </c>
      <c r="I2134" s="24">
        <v>0</v>
      </c>
      <c r="J2134" s="24">
        <v>0</v>
      </c>
      <c r="K2134" s="24">
        <v>999</v>
      </c>
      <c r="L2134" s="38">
        <v>46279</v>
      </c>
      <c r="M2134" s="23" t="s">
        <v>200</v>
      </c>
      <c r="N2134" s="23" t="str">
        <f>IF(COUNTIF($A$2:A2134,A2134)&gt;1,"DUP","OK")</f>
        <v>OK</v>
      </c>
      <c r="O2134" s="23" t="str">
        <f t="shared" si="100"/>
        <v>ORD26002416</v>
      </c>
      <c r="P2134" s="23" t="str">
        <f t="shared" si="101"/>
        <v>Sep</v>
      </c>
      <c r="Q2134" s="23" t="str">
        <f>IF(F2134="CAPTURE",IF(COUNTIF(orders!$A:$A,O2134)&gt;0,"Yes","NO ORDER"),"")</f>
        <v>Yes</v>
      </c>
    </row>
    <row r="2135" spans="1:17" ht="15" customHeight="1" x14ac:dyDescent="0.3">
      <c r="A2135" s="23" t="s">
        <v>14897</v>
      </c>
      <c r="B2135" s="23"/>
      <c r="C2135" s="23" t="s">
        <v>5357</v>
      </c>
      <c r="D2135" s="23" t="str">
        <f t="shared" si="99"/>
        <v>ORD26002433</v>
      </c>
      <c r="E2135" s="38">
        <v>46277</v>
      </c>
      <c r="F2135" s="23" t="s">
        <v>12410</v>
      </c>
      <c r="G2135" s="23" t="s">
        <v>77</v>
      </c>
      <c r="H2135" s="24">
        <v>2298</v>
      </c>
      <c r="I2135" s="24">
        <v>39.07</v>
      </c>
      <c r="J2135" s="24">
        <v>7.03</v>
      </c>
      <c r="K2135" s="24">
        <v>2251.9</v>
      </c>
      <c r="L2135" s="38">
        <v>46279</v>
      </c>
      <c r="M2135" s="23" t="s">
        <v>200</v>
      </c>
      <c r="N2135" s="23" t="str">
        <f>IF(COUNTIF($A$2:A2135,A2135)&gt;1,"DUP","OK")</f>
        <v>OK</v>
      </c>
      <c r="O2135" s="23" t="str">
        <f t="shared" si="100"/>
        <v>ORD26002433</v>
      </c>
      <c r="P2135" s="23" t="str">
        <f t="shared" si="101"/>
        <v>Sep</v>
      </c>
      <c r="Q2135" s="23" t="str">
        <f>IF(F2135="CAPTURE",IF(COUNTIF(orders!$A:$A,O2135)&gt;0,"Yes","NO ORDER"),"")</f>
        <v>Yes</v>
      </c>
    </row>
    <row r="2136" spans="1:17" ht="15" customHeight="1" x14ac:dyDescent="0.3">
      <c r="A2136" s="23" t="s">
        <v>14898</v>
      </c>
      <c r="B2136" s="23"/>
      <c r="C2136" s="23" t="s">
        <v>14899</v>
      </c>
      <c r="D2136" s="23" t="str">
        <f t="shared" si="99"/>
        <v>ORD26002576</v>
      </c>
      <c r="E2136" s="38">
        <v>46277</v>
      </c>
      <c r="F2136" s="23" t="s">
        <v>12410</v>
      </c>
      <c r="G2136" s="23" t="s">
        <v>79</v>
      </c>
      <c r="H2136" s="24">
        <v>7999</v>
      </c>
      <c r="I2136" s="24">
        <v>127.98</v>
      </c>
      <c r="J2136" s="24">
        <v>23.04</v>
      </c>
      <c r="K2136" s="24">
        <v>7847.98</v>
      </c>
      <c r="L2136" s="38">
        <v>46279</v>
      </c>
      <c r="M2136" s="23" t="s">
        <v>200</v>
      </c>
      <c r="N2136" s="23" t="str">
        <f>IF(COUNTIF($A$2:A2136,A2136)&gt;1,"DUP","OK")</f>
        <v>OK</v>
      </c>
      <c r="O2136" s="23" t="str">
        <f t="shared" si="100"/>
        <v>ORD26002576</v>
      </c>
      <c r="P2136" s="23" t="str">
        <f t="shared" si="101"/>
        <v>Sep</v>
      </c>
      <c r="Q2136" s="23" t="str">
        <f>IF(F2136="CAPTURE",IF(COUNTIF(orders!$A:$A,O2136)&gt;0,"Yes","NO ORDER"),"")</f>
        <v>Yes</v>
      </c>
    </row>
    <row r="2137" spans="1:17" ht="15" customHeight="1" x14ac:dyDescent="0.3">
      <c r="A2137" s="23" t="s">
        <v>14900</v>
      </c>
      <c r="B2137" s="23"/>
      <c r="C2137" s="23" t="s">
        <v>5884</v>
      </c>
      <c r="D2137" s="23" t="str">
        <f t="shared" si="99"/>
        <v>ORD26002694</v>
      </c>
      <c r="E2137" s="38">
        <v>46277</v>
      </c>
      <c r="F2137" s="23" t="s">
        <v>12410</v>
      </c>
      <c r="G2137" s="23" t="s">
        <v>79</v>
      </c>
      <c r="H2137" s="24">
        <v>3098</v>
      </c>
      <c r="I2137" s="24">
        <v>49.57</v>
      </c>
      <c r="J2137" s="24">
        <v>8.92</v>
      </c>
      <c r="K2137" s="24">
        <v>3039.51</v>
      </c>
      <c r="L2137" s="38">
        <v>46279</v>
      </c>
      <c r="M2137" s="23" t="s">
        <v>200</v>
      </c>
      <c r="N2137" s="23" t="str">
        <f>IF(COUNTIF($A$2:A2137,A2137)&gt;1,"DUP","OK")</f>
        <v>OK</v>
      </c>
      <c r="O2137" s="23" t="str">
        <f t="shared" si="100"/>
        <v>ORD26002694</v>
      </c>
      <c r="P2137" s="23" t="str">
        <f t="shared" si="101"/>
        <v>Sep</v>
      </c>
      <c r="Q2137" s="23" t="str">
        <f>IF(F2137="CAPTURE",IF(COUNTIF(orders!$A:$A,O2137)&gt;0,"Yes","NO ORDER"),"")</f>
        <v>Yes</v>
      </c>
    </row>
    <row r="2138" spans="1:17" ht="15" customHeight="1" x14ac:dyDescent="0.3">
      <c r="A2138" s="23" t="s">
        <v>14901</v>
      </c>
      <c r="B2138" s="23"/>
      <c r="C2138" s="23" t="s">
        <v>5886</v>
      </c>
      <c r="D2138" s="23" t="str">
        <f t="shared" si="99"/>
        <v>ORD26002695</v>
      </c>
      <c r="E2138" s="38">
        <v>46277</v>
      </c>
      <c r="F2138" s="23" t="s">
        <v>12410</v>
      </c>
      <c r="G2138" s="23" t="s">
        <v>79</v>
      </c>
      <c r="H2138" s="24">
        <v>3397</v>
      </c>
      <c r="I2138" s="24">
        <v>54.35</v>
      </c>
      <c r="J2138" s="24">
        <v>9.7799999999999994</v>
      </c>
      <c r="K2138" s="24">
        <v>3332.87</v>
      </c>
      <c r="L2138" s="38">
        <v>46279</v>
      </c>
      <c r="M2138" s="23" t="s">
        <v>200</v>
      </c>
      <c r="N2138" s="23" t="str">
        <f>IF(COUNTIF($A$2:A2138,A2138)&gt;1,"DUP","OK")</f>
        <v>OK</v>
      </c>
      <c r="O2138" s="23" t="str">
        <f t="shared" si="100"/>
        <v>ORD26002695</v>
      </c>
      <c r="P2138" s="23" t="str">
        <f t="shared" si="101"/>
        <v>Sep</v>
      </c>
      <c r="Q2138" s="23" t="str">
        <f>IF(F2138="CAPTURE",IF(COUNTIF(orders!$A:$A,O2138)&gt;0,"Yes","NO ORDER"),"")</f>
        <v>Yes</v>
      </c>
    </row>
    <row r="2139" spans="1:17" ht="15" customHeight="1" x14ac:dyDescent="0.3">
      <c r="A2139" s="23" t="s">
        <v>14902</v>
      </c>
      <c r="B2139" s="23"/>
      <c r="C2139" s="23" t="s">
        <v>5896</v>
      </c>
      <c r="D2139" s="23" t="str">
        <f t="shared" si="99"/>
        <v>ORD26002700</v>
      </c>
      <c r="E2139" s="38">
        <v>46277</v>
      </c>
      <c r="F2139" s="23" t="s">
        <v>12410</v>
      </c>
      <c r="G2139" s="23" t="s">
        <v>79</v>
      </c>
      <c r="H2139" s="24">
        <v>1298</v>
      </c>
      <c r="I2139" s="24">
        <v>23.36</v>
      </c>
      <c r="J2139" s="24">
        <v>4.2</v>
      </c>
      <c r="K2139" s="24">
        <v>1270.44</v>
      </c>
      <c r="L2139" s="38">
        <v>46279</v>
      </c>
      <c r="M2139" s="23" t="s">
        <v>200</v>
      </c>
      <c r="N2139" s="23" t="str">
        <f>IF(COUNTIF($A$2:A2139,A2139)&gt;1,"DUP","OK")</f>
        <v>OK</v>
      </c>
      <c r="O2139" s="23" t="str">
        <f t="shared" si="100"/>
        <v>ORD26002700</v>
      </c>
      <c r="P2139" s="23" t="str">
        <f t="shared" si="101"/>
        <v>Sep</v>
      </c>
      <c r="Q2139" s="23" t="str">
        <f>IF(F2139="CAPTURE",IF(COUNTIF(orders!$A:$A,O2139)&gt;0,"Yes","NO ORDER"),"")</f>
        <v>Yes</v>
      </c>
    </row>
    <row r="2140" spans="1:17" ht="15" customHeight="1" x14ac:dyDescent="0.3">
      <c r="A2140" s="23" t="s">
        <v>14903</v>
      </c>
      <c r="B2140" s="23"/>
      <c r="C2140" s="23" t="s">
        <v>6084</v>
      </c>
      <c r="D2140" s="23" t="str">
        <f t="shared" si="99"/>
        <v>ORD26002793</v>
      </c>
      <c r="E2140" s="38">
        <v>46277</v>
      </c>
      <c r="F2140" s="23" t="s">
        <v>12410</v>
      </c>
      <c r="G2140" s="23" t="s">
        <v>77</v>
      </c>
      <c r="H2140" s="24">
        <v>1299</v>
      </c>
      <c r="I2140" s="24">
        <v>24.68</v>
      </c>
      <c r="J2140" s="24">
        <v>4.4400000000000004</v>
      </c>
      <c r="K2140" s="24">
        <v>1269.8800000000001</v>
      </c>
      <c r="L2140" s="38">
        <v>46279</v>
      </c>
      <c r="M2140" s="23" t="s">
        <v>200</v>
      </c>
      <c r="N2140" s="23" t="str">
        <f>IF(COUNTIF($A$2:A2140,A2140)&gt;1,"DUP","OK")</f>
        <v>OK</v>
      </c>
      <c r="O2140" s="23" t="str">
        <f t="shared" si="100"/>
        <v>ORD26002793</v>
      </c>
      <c r="P2140" s="23" t="str">
        <f t="shared" si="101"/>
        <v>Sep</v>
      </c>
      <c r="Q2140" s="23" t="str">
        <f>IF(F2140="CAPTURE",IF(COUNTIF(orders!$A:$A,O2140)&gt;0,"Yes","NO ORDER"),"")</f>
        <v>Yes</v>
      </c>
    </row>
    <row r="2141" spans="1:17" ht="15" customHeight="1" x14ac:dyDescent="0.3">
      <c r="A2141" s="23" t="s">
        <v>14904</v>
      </c>
      <c r="B2141" s="23"/>
      <c r="C2141" s="23" t="s">
        <v>6110</v>
      </c>
      <c r="D2141" s="23" t="str">
        <f t="shared" si="99"/>
        <v>ORD26002806</v>
      </c>
      <c r="E2141" s="38">
        <v>46277</v>
      </c>
      <c r="F2141" s="23" t="s">
        <v>12410</v>
      </c>
      <c r="G2141" s="23" t="s">
        <v>79</v>
      </c>
      <c r="H2141" s="24">
        <v>2999</v>
      </c>
      <c r="I2141" s="24">
        <v>47.98</v>
      </c>
      <c r="J2141" s="24">
        <v>8.64</v>
      </c>
      <c r="K2141" s="24">
        <v>2942.38</v>
      </c>
      <c r="L2141" s="38">
        <v>46279</v>
      </c>
      <c r="M2141" s="23" t="s">
        <v>200</v>
      </c>
      <c r="N2141" s="23" t="str">
        <f>IF(COUNTIF($A$2:A2141,A2141)&gt;1,"DUP","OK")</f>
        <v>OK</v>
      </c>
      <c r="O2141" s="23" t="str">
        <f t="shared" si="100"/>
        <v>ORD26002806</v>
      </c>
      <c r="P2141" s="23" t="str">
        <f t="shared" si="101"/>
        <v>Sep</v>
      </c>
      <c r="Q2141" s="23" t="str">
        <f>IF(F2141="CAPTURE",IF(COUNTIF(orders!$A:$A,O2141)&gt;0,"Yes","NO ORDER"),"")</f>
        <v>Yes</v>
      </c>
    </row>
    <row r="2142" spans="1:17" ht="15" customHeight="1" x14ac:dyDescent="0.3">
      <c r="A2142" s="23" t="s">
        <v>14905</v>
      </c>
      <c r="B2142" s="23"/>
      <c r="C2142" s="23" t="s">
        <v>6263</v>
      </c>
      <c r="D2142" s="23" t="str">
        <f t="shared" si="99"/>
        <v>ORD26002884</v>
      </c>
      <c r="E2142" s="38">
        <v>46277</v>
      </c>
      <c r="F2142" s="23" t="s">
        <v>12410</v>
      </c>
      <c r="G2142" s="23" t="s">
        <v>75</v>
      </c>
      <c r="H2142" s="24">
        <v>8798</v>
      </c>
      <c r="I2142" s="24">
        <v>26.39</v>
      </c>
      <c r="J2142" s="24">
        <v>4.75</v>
      </c>
      <c r="K2142" s="24">
        <v>8766.86</v>
      </c>
      <c r="L2142" s="38">
        <v>46279</v>
      </c>
      <c r="M2142" s="23" t="s">
        <v>200</v>
      </c>
      <c r="N2142" s="23" t="str">
        <f>IF(COUNTIF($A$2:A2142,A2142)&gt;1,"DUP","OK")</f>
        <v>OK</v>
      </c>
      <c r="O2142" s="23" t="str">
        <f t="shared" si="100"/>
        <v>ORD26002884</v>
      </c>
      <c r="P2142" s="23" t="str">
        <f t="shared" si="101"/>
        <v>Sep</v>
      </c>
      <c r="Q2142" s="23" t="str">
        <f>IF(F2142="CAPTURE",IF(COUNTIF(orders!$A:$A,O2142)&gt;0,"Yes","NO ORDER"),"")</f>
        <v>Yes</v>
      </c>
    </row>
    <row r="2143" spans="1:17" ht="15" customHeight="1" x14ac:dyDescent="0.3">
      <c r="A2143" s="23" t="s">
        <v>14906</v>
      </c>
      <c r="B2143" s="23"/>
      <c r="C2143" s="23" t="s">
        <v>6280</v>
      </c>
      <c r="D2143" s="23" t="str">
        <f t="shared" si="99"/>
        <v>ORD26002893</v>
      </c>
      <c r="E2143" s="38">
        <v>46277</v>
      </c>
      <c r="F2143" s="23" t="s">
        <v>12410</v>
      </c>
      <c r="G2143" s="23" t="s">
        <v>77</v>
      </c>
      <c r="H2143" s="24">
        <v>999</v>
      </c>
      <c r="I2143" s="24">
        <v>18.98</v>
      </c>
      <c r="J2143" s="24">
        <v>3.42</v>
      </c>
      <c r="K2143" s="24">
        <v>976.6</v>
      </c>
      <c r="L2143" s="38">
        <v>46279</v>
      </c>
      <c r="M2143" s="23" t="s">
        <v>200</v>
      </c>
      <c r="N2143" s="23" t="str">
        <f>IF(COUNTIF($A$2:A2143,A2143)&gt;1,"DUP","OK")</f>
        <v>OK</v>
      </c>
      <c r="O2143" s="23" t="str">
        <f t="shared" si="100"/>
        <v>ORD26002893</v>
      </c>
      <c r="P2143" s="23" t="str">
        <f t="shared" si="101"/>
        <v>Sep</v>
      </c>
      <c r="Q2143" s="23" t="str">
        <f>IF(F2143="CAPTURE",IF(COUNTIF(orders!$A:$A,O2143)&gt;0,"Yes","NO ORDER"),"")</f>
        <v>Yes</v>
      </c>
    </row>
    <row r="2144" spans="1:17" ht="15" customHeight="1" x14ac:dyDescent="0.3">
      <c r="A2144" s="23" t="s">
        <v>14907</v>
      </c>
      <c r="B2144" s="23"/>
      <c r="C2144" s="23" t="s">
        <v>6451</v>
      </c>
      <c r="D2144" s="23" t="str">
        <f t="shared" si="99"/>
        <v>ORD26002978</v>
      </c>
      <c r="E2144" s="38">
        <v>46277</v>
      </c>
      <c r="F2144" s="23" t="s">
        <v>12410</v>
      </c>
      <c r="G2144" s="23" t="s">
        <v>75</v>
      </c>
      <c r="H2144" s="24">
        <v>999</v>
      </c>
      <c r="I2144" s="24">
        <v>0</v>
      </c>
      <c r="J2144" s="24">
        <v>0</v>
      </c>
      <c r="K2144" s="24">
        <v>999</v>
      </c>
      <c r="L2144" s="38">
        <v>46279</v>
      </c>
      <c r="M2144" s="23" t="s">
        <v>200</v>
      </c>
      <c r="N2144" s="23" t="str">
        <f>IF(COUNTIF($A$2:A2144,A2144)&gt;1,"DUP","OK")</f>
        <v>OK</v>
      </c>
      <c r="O2144" s="23" t="str">
        <f t="shared" si="100"/>
        <v>ORD26002978</v>
      </c>
      <c r="P2144" s="23" t="str">
        <f t="shared" si="101"/>
        <v>Sep</v>
      </c>
      <c r="Q2144" s="23" t="str">
        <f>IF(F2144="CAPTURE",IF(COUNTIF(orders!$A:$A,O2144)&gt;0,"Yes","NO ORDER"),"")</f>
        <v>Yes</v>
      </c>
    </row>
    <row r="2145" spans="1:17" ht="15" customHeight="1" x14ac:dyDescent="0.3">
      <c r="A2145" s="23" t="s">
        <v>14908</v>
      </c>
      <c r="B2145" s="23"/>
      <c r="C2145" s="23" t="s">
        <v>6471</v>
      </c>
      <c r="D2145" s="23" t="str">
        <f t="shared" si="99"/>
        <v>ORD26002988</v>
      </c>
      <c r="E2145" s="38">
        <v>46277</v>
      </c>
      <c r="F2145" s="23" t="s">
        <v>12410</v>
      </c>
      <c r="G2145" s="23" t="s">
        <v>75</v>
      </c>
      <c r="H2145" s="24">
        <v>7999</v>
      </c>
      <c r="I2145" s="24">
        <v>24</v>
      </c>
      <c r="J2145" s="24">
        <v>4.32</v>
      </c>
      <c r="K2145" s="24">
        <v>7970.68</v>
      </c>
      <c r="L2145" s="38">
        <v>46279</v>
      </c>
      <c r="M2145" s="23" t="s">
        <v>200</v>
      </c>
      <c r="N2145" s="23" t="str">
        <f>IF(COUNTIF($A$2:A2145,A2145)&gt;1,"DUP","OK")</f>
        <v>OK</v>
      </c>
      <c r="O2145" s="23" t="str">
        <f t="shared" si="100"/>
        <v>ORD26002988</v>
      </c>
      <c r="P2145" s="23" t="str">
        <f t="shared" si="101"/>
        <v>Sep</v>
      </c>
      <c r="Q2145" s="23" t="str">
        <f>IF(F2145="CAPTURE",IF(COUNTIF(orders!$A:$A,O2145)&gt;0,"Yes","NO ORDER"),"")</f>
        <v>Yes</v>
      </c>
    </row>
    <row r="2146" spans="1:17" ht="15" customHeight="1" x14ac:dyDescent="0.3">
      <c r="A2146" s="23" t="s">
        <v>14909</v>
      </c>
      <c r="B2146" s="23"/>
      <c r="C2146" s="23" t="s">
        <v>6525</v>
      </c>
      <c r="D2146" s="23" t="str">
        <f t="shared" si="99"/>
        <v>ORD26003016</v>
      </c>
      <c r="E2146" s="38">
        <v>46277</v>
      </c>
      <c r="F2146" s="23" t="s">
        <v>12410</v>
      </c>
      <c r="G2146" s="23" t="s">
        <v>77</v>
      </c>
      <c r="H2146" s="24">
        <v>848</v>
      </c>
      <c r="I2146" s="24">
        <v>16.11</v>
      </c>
      <c r="J2146" s="24">
        <v>2.9</v>
      </c>
      <c r="K2146" s="24">
        <v>828.99</v>
      </c>
      <c r="L2146" s="38">
        <v>46279</v>
      </c>
      <c r="M2146" s="23" t="s">
        <v>200</v>
      </c>
      <c r="N2146" s="23" t="str">
        <f>IF(COUNTIF($A$2:A2146,A2146)&gt;1,"DUP","OK")</f>
        <v>OK</v>
      </c>
      <c r="O2146" s="23" t="str">
        <f t="shared" si="100"/>
        <v>ORD26003016</v>
      </c>
      <c r="P2146" s="23" t="str">
        <f t="shared" si="101"/>
        <v>Sep</v>
      </c>
      <c r="Q2146" s="23" t="str">
        <f>IF(F2146="CAPTURE",IF(COUNTIF(orders!$A:$A,O2146)&gt;0,"Yes","NO ORDER"),"")</f>
        <v>Yes</v>
      </c>
    </row>
    <row r="2147" spans="1:17" ht="15" customHeight="1" x14ac:dyDescent="0.3">
      <c r="A2147" s="23" t="s">
        <v>14910</v>
      </c>
      <c r="B2147" s="23"/>
      <c r="C2147" s="23" t="s">
        <v>6564</v>
      </c>
      <c r="D2147" s="23" t="str">
        <f t="shared" si="99"/>
        <v>ORD26003035</v>
      </c>
      <c r="E2147" s="38">
        <v>46277</v>
      </c>
      <c r="F2147" s="23" t="s">
        <v>12410</v>
      </c>
      <c r="G2147" s="23" t="s">
        <v>75</v>
      </c>
      <c r="H2147" s="24">
        <v>5897</v>
      </c>
      <c r="I2147" s="24">
        <v>17.690000000000001</v>
      </c>
      <c r="J2147" s="24">
        <v>3.18</v>
      </c>
      <c r="K2147" s="24">
        <v>5876.13</v>
      </c>
      <c r="L2147" s="38">
        <v>46279</v>
      </c>
      <c r="M2147" s="23" t="s">
        <v>200</v>
      </c>
      <c r="N2147" s="23" t="str">
        <f>IF(COUNTIF($A$2:A2147,A2147)&gt;1,"DUP","OK")</f>
        <v>OK</v>
      </c>
      <c r="O2147" s="23" t="str">
        <f t="shared" si="100"/>
        <v>ORD26003035</v>
      </c>
      <c r="P2147" s="23" t="str">
        <f t="shared" si="101"/>
        <v>Sep</v>
      </c>
      <c r="Q2147" s="23" t="str">
        <f>IF(F2147="CAPTURE",IF(COUNTIF(orders!$A:$A,O2147)&gt;0,"Yes","NO ORDER"),"")</f>
        <v>Yes</v>
      </c>
    </row>
    <row r="2148" spans="1:17" ht="15" customHeight="1" x14ac:dyDescent="0.3">
      <c r="A2148" s="23" t="s">
        <v>14911</v>
      </c>
      <c r="B2148" s="23"/>
      <c r="C2148" s="23" t="s">
        <v>6609</v>
      </c>
      <c r="D2148" s="23" t="str">
        <f t="shared" si="99"/>
        <v>ORD26003057</v>
      </c>
      <c r="E2148" s="38">
        <v>46277</v>
      </c>
      <c r="F2148" s="23" t="s">
        <v>12410</v>
      </c>
      <c r="G2148" s="23" t="s">
        <v>77</v>
      </c>
      <c r="H2148" s="24">
        <v>1198</v>
      </c>
      <c r="I2148" s="24">
        <v>22.76</v>
      </c>
      <c r="J2148" s="24">
        <v>4.0999999999999996</v>
      </c>
      <c r="K2148" s="24">
        <v>1171.1400000000001</v>
      </c>
      <c r="L2148" s="38">
        <v>46279</v>
      </c>
      <c r="M2148" s="23" t="s">
        <v>200</v>
      </c>
      <c r="N2148" s="23" t="str">
        <f>IF(COUNTIF($A$2:A2148,A2148)&gt;1,"DUP","OK")</f>
        <v>OK</v>
      </c>
      <c r="O2148" s="23" t="str">
        <f t="shared" si="100"/>
        <v>ORD26003057</v>
      </c>
      <c r="P2148" s="23" t="str">
        <f t="shared" si="101"/>
        <v>Sep</v>
      </c>
      <c r="Q2148" s="23" t="str">
        <f>IF(F2148="CAPTURE",IF(COUNTIF(orders!$A:$A,O2148)&gt;0,"Yes","NO ORDER"),"")</f>
        <v>Yes</v>
      </c>
    </row>
    <row r="2149" spans="1:17" ht="15" customHeight="1" x14ac:dyDescent="0.3">
      <c r="A2149" s="23" t="s">
        <v>14912</v>
      </c>
      <c r="B2149" s="23"/>
      <c r="C2149" s="23" t="s">
        <v>6690</v>
      </c>
      <c r="D2149" s="23" t="str">
        <f t="shared" si="99"/>
        <v>ORD26003097</v>
      </c>
      <c r="E2149" s="38">
        <v>46277</v>
      </c>
      <c r="F2149" s="23" t="s">
        <v>12410</v>
      </c>
      <c r="G2149" s="23" t="s">
        <v>77</v>
      </c>
      <c r="H2149" s="24">
        <v>17797</v>
      </c>
      <c r="I2149" s="24">
        <v>302.55</v>
      </c>
      <c r="J2149" s="24">
        <v>54.46</v>
      </c>
      <c r="K2149" s="24">
        <v>17439.990000000002</v>
      </c>
      <c r="L2149" s="38">
        <v>46279</v>
      </c>
      <c r="M2149" s="23" t="s">
        <v>200</v>
      </c>
      <c r="N2149" s="23" t="str">
        <f>IF(COUNTIF($A$2:A2149,A2149)&gt;1,"DUP","OK")</f>
        <v>OK</v>
      </c>
      <c r="O2149" s="23" t="str">
        <f t="shared" si="100"/>
        <v>ORD26003097</v>
      </c>
      <c r="P2149" s="23" t="str">
        <f t="shared" si="101"/>
        <v>Sep</v>
      </c>
      <c r="Q2149" s="23" t="str">
        <f>IF(F2149="CAPTURE",IF(COUNTIF(orders!$A:$A,O2149)&gt;0,"Yes","NO ORDER"),"")</f>
        <v>Yes</v>
      </c>
    </row>
    <row r="2150" spans="1:17" ht="15" customHeight="1" x14ac:dyDescent="0.3">
      <c r="A2150" s="23" t="s">
        <v>14913</v>
      </c>
      <c r="B2150" s="23"/>
      <c r="C2150" s="23" t="s">
        <v>6707</v>
      </c>
      <c r="D2150" s="23" t="str">
        <f t="shared" si="99"/>
        <v>ORD26003105</v>
      </c>
      <c r="E2150" s="38">
        <v>46277</v>
      </c>
      <c r="F2150" s="23" t="s">
        <v>12410</v>
      </c>
      <c r="G2150" s="23" t="s">
        <v>79</v>
      </c>
      <c r="H2150" s="24">
        <v>2197</v>
      </c>
      <c r="I2150" s="24">
        <v>35.15</v>
      </c>
      <c r="J2150" s="24">
        <v>6.33</v>
      </c>
      <c r="K2150" s="24">
        <v>2155.52</v>
      </c>
      <c r="L2150" s="38">
        <v>46279</v>
      </c>
      <c r="M2150" s="23" t="s">
        <v>200</v>
      </c>
      <c r="N2150" s="23" t="str">
        <f>IF(COUNTIF($A$2:A2150,A2150)&gt;1,"DUP","OK")</f>
        <v>OK</v>
      </c>
      <c r="O2150" s="23" t="str">
        <f t="shared" si="100"/>
        <v>ORD26003105</v>
      </c>
      <c r="P2150" s="23" t="str">
        <f t="shared" si="101"/>
        <v>Sep</v>
      </c>
      <c r="Q2150" s="23" t="str">
        <f>IF(F2150="CAPTURE",IF(COUNTIF(orders!$A:$A,O2150)&gt;0,"Yes","NO ORDER"),"")</f>
        <v>Yes</v>
      </c>
    </row>
    <row r="2151" spans="1:17" ht="15" customHeight="1" x14ac:dyDescent="0.3">
      <c r="A2151" s="23" t="s">
        <v>14914</v>
      </c>
      <c r="B2151" s="23"/>
      <c r="C2151" s="23" t="s">
        <v>6751</v>
      </c>
      <c r="D2151" s="23" t="str">
        <f t="shared" si="99"/>
        <v>ORD26003127</v>
      </c>
      <c r="E2151" s="38">
        <v>46277</v>
      </c>
      <c r="F2151" s="23" t="s">
        <v>12410</v>
      </c>
      <c r="G2151" s="23" t="s">
        <v>81</v>
      </c>
      <c r="H2151" s="24">
        <v>4999</v>
      </c>
      <c r="I2151" s="24">
        <v>59.99</v>
      </c>
      <c r="J2151" s="24">
        <v>10.8</v>
      </c>
      <c r="K2151" s="24">
        <v>4928.21</v>
      </c>
      <c r="L2151" s="38">
        <v>46279</v>
      </c>
      <c r="M2151" s="23" t="s">
        <v>200</v>
      </c>
      <c r="N2151" s="23" t="str">
        <f>IF(COUNTIF($A$2:A2151,A2151)&gt;1,"DUP","OK")</f>
        <v>OK</v>
      </c>
      <c r="O2151" s="23" t="str">
        <f t="shared" si="100"/>
        <v>ORD26003127</v>
      </c>
      <c r="P2151" s="23" t="str">
        <f t="shared" si="101"/>
        <v>Sep</v>
      </c>
      <c r="Q2151" s="23" t="str">
        <f>IF(F2151="CAPTURE",IF(COUNTIF(orders!$A:$A,O2151)&gt;0,"Yes","NO ORDER"),"")</f>
        <v>Yes</v>
      </c>
    </row>
    <row r="2152" spans="1:17" ht="15" customHeight="1" x14ac:dyDescent="0.3">
      <c r="A2152" s="23" t="s">
        <v>14915</v>
      </c>
      <c r="B2152" s="23"/>
      <c r="C2152" s="23" t="s">
        <v>6859</v>
      </c>
      <c r="D2152" s="23" t="str">
        <f t="shared" si="99"/>
        <v>ORD26003181</v>
      </c>
      <c r="E2152" s="38">
        <v>46277</v>
      </c>
      <c r="F2152" s="23" t="s">
        <v>12410</v>
      </c>
      <c r="G2152" s="23" t="s">
        <v>79</v>
      </c>
      <c r="H2152" s="24">
        <v>1299</v>
      </c>
      <c r="I2152" s="24">
        <v>23.38</v>
      </c>
      <c r="J2152" s="24">
        <v>4.21</v>
      </c>
      <c r="K2152" s="24">
        <v>1271.4100000000001</v>
      </c>
      <c r="L2152" s="38">
        <v>46279</v>
      </c>
      <c r="M2152" s="23" t="s">
        <v>200</v>
      </c>
      <c r="N2152" s="23" t="str">
        <f>IF(COUNTIF($A$2:A2152,A2152)&gt;1,"DUP","OK")</f>
        <v>OK</v>
      </c>
      <c r="O2152" s="23" t="str">
        <f t="shared" si="100"/>
        <v>ORD26003181</v>
      </c>
      <c r="P2152" s="23" t="str">
        <f t="shared" si="101"/>
        <v>Sep</v>
      </c>
      <c r="Q2152" s="23" t="str">
        <f>IF(F2152="CAPTURE",IF(COUNTIF(orders!$A:$A,O2152)&gt;0,"Yes","NO ORDER"),"")</f>
        <v>Yes</v>
      </c>
    </row>
    <row r="2153" spans="1:17" ht="15" customHeight="1" x14ac:dyDescent="0.3">
      <c r="A2153" s="23" t="s">
        <v>14916</v>
      </c>
      <c r="B2153" s="23"/>
      <c r="C2153" s="23" t="s">
        <v>7032</v>
      </c>
      <c r="D2153" s="23" t="str">
        <f t="shared" si="99"/>
        <v>ORD26003267</v>
      </c>
      <c r="E2153" s="38">
        <v>46277</v>
      </c>
      <c r="F2153" s="23" t="s">
        <v>12410</v>
      </c>
      <c r="G2153" s="23" t="s">
        <v>77</v>
      </c>
      <c r="H2153" s="24">
        <v>8598</v>
      </c>
      <c r="I2153" s="24">
        <v>146.16999999999999</v>
      </c>
      <c r="J2153" s="24">
        <v>26.31</v>
      </c>
      <c r="K2153" s="24">
        <v>8425.52</v>
      </c>
      <c r="L2153" s="38">
        <v>46279</v>
      </c>
      <c r="M2153" s="23" t="s">
        <v>200</v>
      </c>
      <c r="N2153" s="23" t="str">
        <f>IF(COUNTIF($A$2:A2153,A2153)&gt;1,"DUP","OK")</f>
        <v>OK</v>
      </c>
      <c r="O2153" s="23" t="str">
        <f t="shared" si="100"/>
        <v>ORD26003267</v>
      </c>
      <c r="P2153" s="23" t="str">
        <f t="shared" si="101"/>
        <v>Sep</v>
      </c>
      <c r="Q2153" s="23" t="str">
        <f>IF(F2153="CAPTURE",IF(COUNTIF(orders!$A:$A,O2153)&gt;0,"Yes","NO ORDER"),"")</f>
        <v>Yes</v>
      </c>
    </row>
    <row r="2154" spans="1:17" ht="15" customHeight="1" x14ac:dyDescent="0.3">
      <c r="A2154" s="23" t="s">
        <v>14917</v>
      </c>
      <c r="B2154" s="23"/>
      <c r="C2154" s="23" t="s">
        <v>7068</v>
      </c>
      <c r="D2154" s="23" t="str">
        <f t="shared" si="99"/>
        <v>ORD26003285</v>
      </c>
      <c r="E2154" s="38">
        <v>46277</v>
      </c>
      <c r="F2154" s="23" t="s">
        <v>12410</v>
      </c>
      <c r="G2154" s="23" t="s">
        <v>81</v>
      </c>
      <c r="H2154" s="24">
        <v>1947</v>
      </c>
      <c r="I2154" s="24">
        <v>29.21</v>
      </c>
      <c r="J2154" s="24">
        <v>5.26</v>
      </c>
      <c r="K2154" s="24">
        <v>1912.53</v>
      </c>
      <c r="L2154" s="38">
        <v>46279</v>
      </c>
      <c r="M2154" s="23" t="s">
        <v>200</v>
      </c>
      <c r="N2154" s="23" t="str">
        <f>IF(COUNTIF($A$2:A2154,A2154)&gt;1,"DUP","OK")</f>
        <v>OK</v>
      </c>
      <c r="O2154" s="23" t="str">
        <f t="shared" si="100"/>
        <v>ORD26003285</v>
      </c>
      <c r="P2154" s="23" t="str">
        <f t="shared" si="101"/>
        <v>Sep</v>
      </c>
      <c r="Q2154" s="23" t="str">
        <f>IF(F2154="CAPTURE",IF(COUNTIF(orders!$A:$A,O2154)&gt;0,"Yes","NO ORDER"),"")</f>
        <v>Yes</v>
      </c>
    </row>
    <row r="2155" spans="1:17" ht="15" customHeight="1" x14ac:dyDescent="0.3">
      <c r="A2155" s="23" t="s">
        <v>14918</v>
      </c>
      <c r="B2155" s="23"/>
      <c r="C2155" s="23" t="s">
        <v>7125</v>
      </c>
      <c r="D2155" s="23" t="str">
        <f t="shared" si="99"/>
        <v>ORD26003314</v>
      </c>
      <c r="E2155" s="38">
        <v>46277</v>
      </c>
      <c r="F2155" s="23" t="s">
        <v>12410</v>
      </c>
      <c r="G2155" s="23" t="s">
        <v>75</v>
      </c>
      <c r="H2155" s="24">
        <v>6997</v>
      </c>
      <c r="I2155" s="24">
        <v>20.99</v>
      </c>
      <c r="J2155" s="24">
        <v>3.78</v>
      </c>
      <c r="K2155" s="24">
        <v>6972.23</v>
      </c>
      <c r="L2155" s="38">
        <v>46279</v>
      </c>
      <c r="M2155" s="23" t="s">
        <v>200</v>
      </c>
      <c r="N2155" s="23" t="str">
        <f>IF(COUNTIF($A$2:A2155,A2155)&gt;1,"DUP","OK")</f>
        <v>OK</v>
      </c>
      <c r="O2155" s="23" t="str">
        <f t="shared" si="100"/>
        <v>ORD26003314</v>
      </c>
      <c r="P2155" s="23" t="str">
        <f t="shared" si="101"/>
        <v>Sep</v>
      </c>
      <c r="Q2155" s="23" t="str">
        <f>IF(F2155="CAPTURE",IF(COUNTIF(orders!$A:$A,O2155)&gt;0,"Yes","NO ORDER"),"")</f>
        <v>Yes</v>
      </c>
    </row>
    <row r="2156" spans="1:17" ht="15" customHeight="1" x14ac:dyDescent="0.3">
      <c r="A2156" s="23" t="s">
        <v>14919</v>
      </c>
      <c r="B2156" s="23"/>
      <c r="C2156" s="23" t="s">
        <v>7188</v>
      </c>
      <c r="D2156" s="23" t="str">
        <f t="shared" si="99"/>
        <v>ORD26003345</v>
      </c>
      <c r="E2156" s="38">
        <v>46277</v>
      </c>
      <c r="F2156" s="23" t="s">
        <v>12410</v>
      </c>
      <c r="G2156" s="23" t="s">
        <v>79</v>
      </c>
      <c r="H2156" s="24">
        <v>299</v>
      </c>
      <c r="I2156" s="24">
        <v>5.38</v>
      </c>
      <c r="J2156" s="24">
        <v>0.97</v>
      </c>
      <c r="K2156" s="24">
        <v>292.64999999999998</v>
      </c>
      <c r="L2156" s="38">
        <v>46279</v>
      </c>
      <c r="M2156" s="23" t="s">
        <v>200</v>
      </c>
      <c r="N2156" s="23" t="str">
        <f>IF(COUNTIF($A$2:A2156,A2156)&gt;1,"DUP","OK")</f>
        <v>OK</v>
      </c>
      <c r="O2156" s="23" t="str">
        <f t="shared" si="100"/>
        <v>ORD26003345</v>
      </c>
      <c r="P2156" s="23" t="str">
        <f t="shared" si="101"/>
        <v>Sep</v>
      </c>
      <c r="Q2156" s="23" t="str">
        <f>IF(F2156="CAPTURE",IF(COUNTIF(orders!$A:$A,O2156)&gt;0,"Yes","NO ORDER"),"")</f>
        <v>Yes</v>
      </c>
    </row>
    <row r="2157" spans="1:17" ht="15" customHeight="1" x14ac:dyDescent="0.3">
      <c r="A2157" s="23" t="s">
        <v>14920</v>
      </c>
      <c r="B2157" s="23"/>
      <c r="C2157" s="23" t="s">
        <v>7365</v>
      </c>
      <c r="D2157" s="23" t="str">
        <f t="shared" si="99"/>
        <v>ORD26003433</v>
      </c>
      <c r="E2157" s="38">
        <v>46277</v>
      </c>
      <c r="F2157" s="23" t="s">
        <v>12410</v>
      </c>
      <c r="G2157" s="23" t="s">
        <v>77</v>
      </c>
      <c r="H2157" s="24">
        <v>499</v>
      </c>
      <c r="I2157" s="24">
        <v>9.48</v>
      </c>
      <c r="J2157" s="24">
        <v>1.71</v>
      </c>
      <c r="K2157" s="24">
        <v>487.81</v>
      </c>
      <c r="L2157" s="38">
        <v>46279</v>
      </c>
      <c r="M2157" s="23" t="s">
        <v>200</v>
      </c>
      <c r="N2157" s="23" t="str">
        <f>IF(COUNTIF($A$2:A2157,A2157)&gt;1,"DUP","OK")</f>
        <v>OK</v>
      </c>
      <c r="O2157" s="23" t="str">
        <f t="shared" si="100"/>
        <v>ORD26003433</v>
      </c>
      <c r="P2157" s="23" t="str">
        <f t="shared" si="101"/>
        <v>Sep</v>
      </c>
      <c r="Q2157" s="23" t="str">
        <f>IF(F2157="CAPTURE",IF(COUNTIF(orders!$A:$A,O2157)&gt;0,"Yes","NO ORDER"),"")</f>
        <v>Yes</v>
      </c>
    </row>
    <row r="2158" spans="1:17" ht="15" customHeight="1" x14ac:dyDescent="0.3">
      <c r="A2158" s="23" t="s">
        <v>14921</v>
      </c>
      <c r="B2158" s="23"/>
      <c r="C2158" s="23" t="s">
        <v>7389</v>
      </c>
      <c r="D2158" s="23" t="str">
        <f t="shared" si="99"/>
        <v>ORD26003445</v>
      </c>
      <c r="E2158" s="38">
        <v>46277</v>
      </c>
      <c r="F2158" s="23" t="s">
        <v>12410</v>
      </c>
      <c r="G2158" s="23" t="s">
        <v>77</v>
      </c>
      <c r="H2158" s="24">
        <v>299</v>
      </c>
      <c r="I2158" s="24">
        <v>5.68</v>
      </c>
      <c r="J2158" s="24">
        <v>1.02</v>
      </c>
      <c r="K2158" s="24">
        <v>292.3</v>
      </c>
      <c r="L2158" s="38">
        <v>46279</v>
      </c>
      <c r="M2158" s="23" t="s">
        <v>200</v>
      </c>
      <c r="N2158" s="23" t="str">
        <f>IF(COUNTIF($A$2:A2158,A2158)&gt;1,"DUP","OK")</f>
        <v>OK</v>
      </c>
      <c r="O2158" s="23" t="str">
        <f t="shared" si="100"/>
        <v>ORD26003445</v>
      </c>
      <c r="P2158" s="23" t="str">
        <f t="shared" si="101"/>
        <v>Sep</v>
      </c>
      <c r="Q2158" s="23" t="str">
        <f>IF(F2158="CAPTURE",IF(COUNTIF(orders!$A:$A,O2158)&gt;0,"Yes","NO ORDER"),"")</f>
        <v>Yes</v>
      </c>
    </row>
    <row r="2159" spans="1:17" ht="15" customHeight="1" x14ac:dyDescent="0.3">
      <c r="A2159" s="23" t="s">
        <v>14922</v>
      </c>
      <c r="B2159" s="23"/>
      <c r="C2159" s="23" t="s">
        <v>7449</v>
      </c>
      <c r="D2159" s="23" t="str">
        <f t="shared" si="99"/>
        <v>ORD26003475</v>
      </c>
      <c r="E2159" s="38">
        <v>46277</v>
      </c>
      <c r="F2159" s="23" t="s">
        <v>12410</v>
      </c>
      <c r="G2159" s="23" t="s">
        <v>75</v>
      </c>
      <c r="H2159" s="24">
        <v>1499</v>
      </c>
      <c r="I2159" s="24">
        <v>0</v>
      </c>
      <c r="J2159" s="24">
        <v>0</v>
      </c>
      <c r="K2159" s="24">
        <v>1499</v>
      </c>
      <c r="L2159" s="38">
        <v>46279</v>
      </c>
      <c r="M2159" s="23" t="s">
        <v>200</v>
      </c>
      <c r="N2159" s="23" t="str">
        <f>IF(COUNTIF($A$2:A2159,A2159)&gt;1,"DUP","OK")</f>
        <v>OK</v>
      </c>
      <c r="O2159" s="23" t="str">
        <f t="shared" si="100"/>
        <v>ORD26003475</v>
      </c>
      <c r="P2159" s="23" t="str">
        <f t="shared" si="101"/>
        <v>Sep</v>
      </c>
      <c r="Q2159" s="23" t="str">
        <f>IF(F2159="CAPTURE",IF(COUNTIF(orders!$A:$A,O2159)&gt;0,"Yes","NO ORDER"),"")</f>
        <v>Yes</v>
      </c>
    </row>
    <row r="2160" spans="1:17" ht="15" customHeight="1" x14ac:dyDescent="0.3">
      <c r="A2160" s="23" t="s">
        <v>14923</v>
      </c>
      <c r="B2160" s="23"/>
      <c r="C2160" s="23" t="s">
        <v>7566</v>
      </c>
      <c r="D2160" s="23" t="str">
        <f t="shared" si="99"/>
        <v>ORD26003535</v>
      </c>
      <c r="E2160" s="38">
        <v>46277</v>
      </c>
      <c r="F2160" s="23" t="s">
        <v>12410</v>
      </c>
      <c r="G2160" s="23" t="s">
        <v>75</v>
      </c>
      <c r="H2160" s="24">
        <v>6097</v>
      </c>
      <c r="I2160" s="24">
        <v>18.29</v>
      </c>
      <c r="J2160" s="24">
        <v>3.29</v>
      </c>
      <c r="K2160" s="24">
        <v>6075.42</v>
      </c>
      <c r="L2160" s="38">
        <v>46279</v>
      </c>
      <c r="M2160" s="23" t="s">
        <v>200</v>
      </c>
      <c r="N2160" s="23" t="str">
        <f>IF(COUNTIF($A$2:A2160,A2160)&gt;1,"DUP","OK")</f>
        <v>OK</v>
      </c>
      <c r="O2160" s="23" t="str">
        <f t="shared" si="100"/>
        <v>ORD26003535</v>
      </c>
      <c r="P2160" s="23" t="str">
        <f t="shared" si="101"/>
        <v>Sep</v>
      </c>
      <c r="Q2160" s="23" t="str">
        <f>IF(F2160="CAPTURE",IF(COUNTIF(orders!$A:$A,O2160)&gt;0,"Yes","NO ORDER"),"")</f>
        <v>Yes</v>
      </c>
    </row>
    <row r="2161" spans="1:17" ht="15" customHeight="1" x14ac:dyDescent="0.3">
      <c r="A2161" s="23" t="s">
        <v>14924</v>
      </c>
      <c r="B2161" s="23"/>
      <c r="C2161" s="23" t="s">
        <v>7572</v>
      </c>
      <c r="D2161" s="23" t="str">
        <f t="shared" si="99"/>
        <v>ORD26003538</v>
      </c>
      <c r="E2161" s="38">
        <v>46277</v>
      </c>
      <c r="F2161" s="23" t="s">
        <v>12410</v>
      </c>
      <c r="G2161" s="23" t="s">
        <v>75</v>
      </c>
      <c r="H2161" s="24">
        <v>1499</v>
      </c>
      <c r="I2161" s="24">
        <v>0</v>
      </c>
      <c r="J2161" s="24">
        <v>0</v>
      </c>
      <c r="K2161" s="24">
        <v>1499</v>
      </c>
      <c r="L2161" s="38">
        <v>46279</v>
      </c>
      <c r="M2161" s="23" t="s">
        <v>200</v>
      </c>
      <c r="N2161" s="23" t="str">
        <f>IF(COUNTIF($A$2:A2161,A2161)&gt;1,"DUP","OK")</f>
        <v>OK</v>
      </c>
      <c r="O2161" s="23" t="str">
        <f t="shared" si="100"/>
        <v>ORD26003538</v>
      </c>
      <c r="P2161" s="23" t="str">
        <f t="shared" si="101"/>
        <v>Sep</v>
      </c>
      <c r="Q2161" s="23" t="str">
        <f>IF(F2161="CAPTURE",IF(COUNTIF(orders!$A:$A,O2161)&gt;0,"Yes","NO ORDER"),"")</f>
        <v>Yes</v>
      </c>
    </row>
    <row r="2162" spans="1:17" ht="15" customHeight="1" x14ac:dyDescent="0.3">
      <c r="A2162" s="23" t="s">
        <v>14925</v>
      </c>
      <c r="B2162" s="23"/>
      <c r="C2162" s="23" t="s">
        <v>7589</v>
      </c>
      <c r="D2162" s="23" t="str">
        <f t="shared" si="99"/>
        <v>ORD26003547</v>
      </c>
      <c r="E2162" s="38">
        <v>46277</v>
      </c>
      <c r="F2162" s="23" t="s">
        <v>12410</v>
      </c>
      <c r="G2162" s="23" t="s">
        <v>79</v>
      </c>
      <c r="H2162" s="24">
        <v>3897</v>
      </c>
      <c r="I2162" s="24">
        <v>62.35</v>
      </c>
      <c r="J2162" s="24">
        <v>11.22</v>
      </c>
      <c r="K2162" s="24">
        <v>3823.43</v>
      </c>
      <c r="L2162" s="38">
        <v>46279</v>
      </c>
      <c r="M2162" s="23" t="s">
        <v>200</v>
      </c>
      <c r="N2162" s="23" t="str">
        <f>IF(COUNTIF($A$2:A2162,A2162)&gt;1,"DUP","OK")</f>
        <v>OK</v>
      </c>
      <c r="O2162" s="23" t="str">
        <f t="shared" si="100"/>
        <v>ORD26003547</v>
      </c>
      <c r="P2162" s="23" t="str">
        <f t="shared" si="101"/>
        <v>Sep</v>
      </c>
      <c r="Q2162" s="23" t="str">
        <f>IF(F2162="CAPTURE",IF(COUNTIF(orders!$A:$A,O2162)&gt;0,"Yes","NO ORDER"),"")</f>
        <v>Yes</v>
      </c>
    </row>
    <row r="2163" spans="1:17" ht="15" customHeight="1" x14ac:dyDescent="0.3">
      <c r="A2163" s="23" t="s">
        <v>14926</v>
      </c>
      <c r="B2163" s="23"/>
      <c r="C2163" s="23" t="s">
        <v>7611</v>
      </c>
      <c r="D2163" s="23" t="str">
        <f t="shared" si="99"/>
        <v>ORD26003558</v>
      </c>
      <c r="E2163" s="38">
        <v>46277</v>
      </c>
      <c r="F2163" s="23" t="s">
        <v>12410</v>
      </c>
      <c r="G2163" s="23" t="s">
        <v>77</v>
      </c>
      <c r="H2163" s="24">
        <v>3499</v>
      </c>
      <c r="I2163" s="24">
        <v>59.48</v>
      </c>
      <c r="J2163" s="24">
        <v>10.71</v>
      </c>
      <c r="K2163" s="24">
        <v>3428.81</v>
      </c>
      <c r="L2163" s="38">
        <v>46279</v>
      </c>
      <c r="M2163" s="23" t="s">
        <v>200</v>
      </c>
      <c r="N2163" s="23" t="str">
        <f>IF(COUNTIF($A$2:A2163,A2163)&gt;1,"DUP","OK")</f>
        <v>OK</v>
      </c>
      <c r="O2163" s="23" t="str">
        <f t="shared" si="100"/>
        <v>ORD26003558</v>
      </c>
      <c r="P2163" s="23" t="str">
        <f t="shared" si="101"/>
        <v>Sep</v>
      </c>
      <c r="Q2163" s="23" t="str">
        <f>IF(F2163="CAPTURE",IF(COUNTIF(orders!$A:$A,O2163)&gt;0,"Yes","NO ORDER"),"")</f>
        <v>Yes</v>
      </c>
    </row>
    <row r="2164" spans="1:17" ht="15" customHeight="1" x14ac:dyDescent="0.3">
      <c r="A2164" s="23" t="s">
        <v>14927</v>
      </c>
      <c r="B2164" s="23"/>
      <c r="C2164" s="23" t="s">
        <v>14928</v>
      </c>
      <c r="D2164" s="23" t="str">
        <f t="shared" si="99"/>
        <v>ORD26003572</v>
      </c>
      <c r="E2164" s="38">
        <v>46277</v>
      </c>
      <c r="F2164" s="23" t="s">
        <v>12410</v>
      </c>
      <c r="G2164" s="23" t="s">
        <v>77</v>
      </c>
      <c r="H2164" s="24">
        <v>999</v>
      </c>
      <c r="I2164" s="24">
        <v>18.98</v>
      </c>
      <c r="J2164" s="24">
        <v>3.42</v>
      </c>
      <c r="K2164" s="24">
        <v>976.6</v>
      </c>
      <c r="L2164" s="38">
        <v>46279</v>
      </c>
      <c r="M2164" s="23" t="s">
        <v>200</v>
      </c>
      <c r="N2164" s="23" t="str">
        <f>IF(COUNTIF($A$2:A2164,A2164)&gt;1,"DUP","OK")</f>
        <v>OK</v>
      </c>
      <c r="O2164" s="23" t="str">
        <f t="shared" si="100"/>
        <v>ORD26003572</v>
      </c>
      <c r="P2164" s="23" t="str">
        <f t="shared" si="101"/>
        <v>Sep</v>
      </c>
      <c r="Q2164" s="23" t="str">
        <f>IF(F2164="CAPTURE",IF(COUNTIF(orders!$A:$A,O2164)&gt;0,"Yes","NO ORDER"),"")</f>
        <v>Yes</v>
      </c>
    </row>
    <row r="2165" spans="1:17" ht="15" customHeight="1" x14ac:dyDescent="0.3">
      <c r="A2165" s="23" t="s">
        <v>14929</v>
      </c>
      <c r="B2165" s="23"/>
      <c r="C2165" s="23" t="s">
        <v>7706</v>
      </c>
      <c r="D2165" s="23" t="str">
        <f t="shared" si="99"/>
        <v>ORD26003606</v>
      </c>
      <c r="E2165" s="38">
        <v>46277</v>
      </c>
      <c r="F2165" s="23" t="s">
        <v>12410</v>
      </c>
      <c r="G2165" s="23" t="s">
        <v>79</v>
      </c>
      <c r="H2165" s="24">
        <v>4999</v>
      </c>
      <c r="I2165" s="24">
        <v>79.98</v>
      </c>
      <c r="J2165" s="24">
        <v>14.4</v>
      </c>
      <c r="K2165" s="24">
        <v>4904.62</v>
      </c>
      <c r="L2165" s="38">
        <v>46279</v>
      </c>
      <c r="M2165" s="23" t="s">
        <v>200</v>
      </c>
      <c r="N2165" s="23" t="str">
        <f>IF(COUNTIF($A$2:A2165,A2165)&gt;1,"DUP","OK")</f>
        <v>OK</v>
      </c>
      <c r="O2165" s="23" t="str">
        <f t="shared" si="100"/>
        <v>ORD26003606</v>
      </c>
      <c r="P2165" s="23" t="str">
        <f t="shared" si="101"/>
        <v>Sep</v>
      </c>
      <c r="Q2165" s="23" t="str">
        <f>IF(F2165="CAPTURE",IF(COUNTIF(orders!$A:$A,O2165)&gt;0,"Yes","NO ORDER"),"")</f>
        <v>Yes</v>
      </c>
    </row>
    <row r="2166" spans="1:17" ht="15" customHeight="1" x14ac:dyDescent="0.3">
      <c r="A2166" s="23" t="s">
        <v>14930</v>
      </c>
      <c r="B2166" s="23"/>
      <c r="C2166" s="23" t="s">
        <v>7729</v>
      </c>
      <c r="D2166" s="23" t="str">
        <f t="shared" si="99"/>
        <v>ORD26003618</v>
      </c>
      <c r="E2166" s="38">
        <v>46277</v>
      </c>
      <c r="F2166" s="23" t="s">
        <v>12410</v>
      </c>
      <c r="G2166" s="23" t="s">
        <v>77</v>
      </c>
      <c r="H2166" s="24">
        <v>5998</v>
      </c>
      <c r="I2166" s="24">
        <v>101.97</v>
      </c>
      <c r="J2166" s="24">
        <v>18.350000000000001</v>
      </c>
      <c r="K2166" s="24">
        <v>5877.68</v>
      </c>
      <c r="L2166" s="38">
        <v>46279</v>
      </c>
      <c r="M2166" s="23" t="s">
        <v>200</v>
      </c>
      <c r="N2166" s="23" t="str">
        <f>IF(COUNTIF($A$2:A2166,A2166)&gt;1,"DUP","OK")</f>
        <v>OK</v>
      </c>
      <c r="O2166" s="23" t="str">
        <f t="shared" si="100"/>
        <v>ORD26003618</v>
      </c>
      <c r="P2166" s="23" t="str">
        <f t="shared" si="101"/>
        <v>Sep</v>
      </c>
      <c r="Q2166" s="23" t="str">
        <f>IF(F2166="CAPTURE",IF(COUNTIF(orders!$A:$A,O2166)&gt;0,"Yes","NO ORDER"),"")</f>
        <v>Yes</v>
      </c>
    </row>
    <row r="2167" spans="1:17" ht="15" customHeight="1" x14ac:dyDescent="0.3">
      <c r="A2167" s="23" t="s">
        <v>14931</v>
      </c>
      <c r="B2167" s="23"/>
      <c r="C2167" s="23" t="s">
        <v>14932</v>
      </c>
      <c r="D2167" s="23" t="str">
        <f t="shared" si="99"/>
        <v>ORD26003621</v>
      </c>
      <c r="E2167" s="38">
        <v>46277</v>
      </c>
      <c r="F2167" s="23" t="s">
        <v>12410</v>
      </c>
      <c r="G2167" s="23" t="s">
        <v>77</v>
      </c>
      <c r="H2167" s="24">
        <v>6298</v>
      </c>
      <c r="I2167" s="24">
        <v>107.07</v>
      </c>
      <c r="J2167" s="24">
        <v>19.27</v>
      </c>
      <c r="K2167" s="24">
        <v>6171.66</v>
      </c>
      <c r="L2167" s="38">
        <v>46279</v>
      </c>
      <c r="M2167" s="23" t="s">
        <v>200</v>
      </c>
      <c r="N2167" s="23" t="str">
        <f>IF(COUNTIF($A$2:A2167,A2167)&gt;1,"DUP","OK")</f>
        <v>OK</v>
      </c>
      <c r="O2167" s="23" t="str">
        <f t="shared" si="100"/>
        <v>ORD26003621</v>
      </c>
      <c r="P2167" s="23" t="str">
        <f t="shared" si="101"/>
        <v>Sep</v>
      </c>
      <c r="Q2167" s="23" t="str">
        <f>IF(F2167="CAPTURE",IF(COUNTIF(orders!$A:$A,O2167)&gt;0,"Yes","NO ORDER"),"")</f>
        <v>Yes</v>
      </c>
    </row>
    <row r="2168" spans="1:17" ht="15" customHeight="1" x14ac:dyDescent="0.3">
      <c r="A2168" s="23" t="s">
        <v>14933</v>
      </c>
      <c r="B2168" s="23"/>
      <c r="C2168" s="23" t="s">
        <v>7826</v>
      </c>
      <c r="D2168" s="23" t="str">
        <f t="shared" si="99"/>
        <v>ORD26003668</v>
      </c>
      <c r="E2168" s="38">
        <v>46277</v>
      </c>
      <c r="F2168" s="23" t="s">
        <v>12410</v>
      </c>
      <c r="G2168" s="23" t="s">
        <v>75</v>
      </c>
      <c r="H2168" s="24">
        <v>599</v>
      </c>
      <c r="I2168" s="24">
        <v>0</v>
      </c>
      <c r="J2168" s="24">
        <v>0</v>
      </c>
      <c r="K2168" s="24">
        <v>599</v>
      </c>
      <c r="L2168" s="38">
        <v>46279</v>
      </c>
      <c r="M2168" s="23" t="s">
        <v>200</v>
      </c>
      <c r="N2168" s="23" t="str">
        <f>IF(COUNTIF($A$2:A2168,A2168)&gt;1,"DUP","OK")</f>
        <v>OK</v>
      </c>
      <c r="O2168" s="23" t="str">
        <f t="shared" si="100"/>
        <v>ORD26003668</v>
      </c>
      <c r="P2168" s="23" t="str">
        <f t="shared" si="101"/>
        <v>Sep</v>
      </c>
      <c r="Q2168" s="23" t="str">
        <f>IF(F2168="CAPTURE",IF(COUNTIF(orders!$A:$A,O2168)&gt;0,"Yes","NO ORDER"),"")</f>
        <v>Yes</v>
      </c>
    </row>
    <row r="2169" spans="1:17" ht="15" customHeight="1" x14ac:dyDescent="0.3">
      <c r="A2169" s="23" t="s">
        <v>14934</v>
      </c>
      <c r="B2169" s="23"/>
      <c r="C2169" s="23" t="s">
        <v>14935</v>
      </c>
      <c r="D2169" s="23" t="str">
        <f t="shared" si="99"/>
        <v>ORD26003831</v>
      </c>
      <c r="E2169" s="38">
        <v>46277</v>
      </c>
      <c r="F2169" s="23" t="s">
        <v>12410</v>
      </c>
      <c r="G2169" s="23" t="s">
        <v>75</v>
      </c>
      <c r="H2169" s="24">
        <v>3298</v>
      </c>
      <c r="I2169" s="24">
        <v>9.89</v>
      </c>
      <c r="J2169" s="24">
        <v>1.78</v>
      </c>
      <c r="K2169" s="24">
        <v>3286.33</v>
      </c>
      <c r="L2169" s="38">
        <v>46279</v>
      </c>
      <c r="M2169" s="23" t="s">
        <v>200</v>
      </c>
      <c r="N2169" s="23" t="str">
        <f>IF(COUNTIF($A$2:A2169,A2169)&gt;1,"DUP","OK")</f>
        <v>OK</v>
      </c>
      <c r="O2169" s="23" t="str">
        <f t="shared" si="100"/>
        <v>ORD26003831</v>
      </c>
      <c r="P2169" s="23" t="str">
        <f t="shared" si="101"/>
        <v>Sep</v>
      </c>
      <c r="Q2169" s="23" t="str">
        <f>IF(F2169="CAPTURE",IF(COUNTIF(orders!$A:$A,O2169)&gt;0,"Yes","NO ORDER"),"")</f>
        <v>Yes</v>
      </c>
    </row>
    <row r="2170" spans="1:17" ht="15" customHeight="1" x14ac:dyDescent="0.3">
      <c r="A2170" s="23" t="s">
        <v>14936</v>
      </c>
      <c r="B2170" s="23"/>
      <c r="C2170" s="23" t="s">
        <v>8182</v>
      </c>
      <c r="D2170" s="23" t="str">
        <f t="shared" si="99"/>
        <v>ORD26003847</v>
      </c>
      <c r="E2170" s="38">
        <v>46277</v>
      </c>
      <c r="F2170" s="23" t="s">
        <v>12410</v>
      </c>
      <c r="G2170" s="23" t="s">
        <v>77</v>
      </c>
      <c r="H2170" s="24">
        <v>4999</v>
      </c>
      <c r="I2170" s="24">
        <v>84.98</v>
      </c>
      <c r="J2170" s="24">
        <v>15.3</v>
      </c>
      <c r="K2170" s="24">
        <v>4898.72</v>
      </c>
      <c r="L2170" s="38">
        <v>46279</v>
      </c>
      <c r="M2170" s="23" t="s">
        <v>200</v>
      </c>
      <c r="N2170" s="23" t="str">
        <f>IF(COUNTIF($A$2:A2170,A2170)&gt;1,"DUP","OK")</f>
        <v>OK</v>
      </c>
      <c r="O2170" s="23" t="str">
        <f t="shared" si="100"/>
        <v>ORD26003847</v>
      </c>
      <c r="P2170" s="23" t="str">
        <f t="shared" si="101"/>
        <v>Sep</v>
      </c>
      <c r="Q2170" s="23" t="str">
        <f>IF(F2170="CAPTURE",IF(COUNTIF(orders!$A:$A,O2170)&gt;0,"Yes","NO ORDER"),"")</f>
        <v>Yes</v>
      </c>
    </row>
    <row r="2171" spans="1:17" ht="15" customHeight="1" x14ac:dyDescent="0.3">
      <c r="A2171" s="23" t="s">
        <v>14937</v>
      </c>
      <c r="B2171" s="23"/>
      <c r="C2171" s="23" t="s">
        <v>14938</v>
      </c>
      <c r="D2171" s="23" t="str">
        <f t="shared" si="99"/>
        <v>ORD26003875</v>
      </c>
      <c r="E2171" s="38">
        <v>46277</v>
      </c>
      <c r="F2171" s="23" t="s">
        <v>12410</v>
      </c>
      <c r="G2171" s="23" t="s">
        <v>75</v>
      </c>
      <c r="H2171" s="24">
        <v>2398</v>
      </c>
      <c r="I2171" s="24">
        <v>7.19</v>
      </c>
      <c r="J2171" s="24">
        <v>1.29</v>
      </c>
      <c r="K2171" s="24">
        <v>2389.52</v>
      </c>
      <c r="L2171" s="38">
        <v>46279</v>
      </c>
      <c r="M2171" s="23" t="s">
        <v>200</v>
      </c>
      <c r="N2171" s="23" t="str">
        <f>IF(COUNTIF($A$2:A2171,A2171)&gt;1,"DUP","OK")</f>
        <v>OK</v>
      </c>
      <c r="O2171" s="23" t="str">
        <f t="shared" si="100"/>
        <v>ORD26003875</v>
      </c>
      <c r="P2171" s="23" t="str">
        <f t="shared" si="101"/>
        <v>Sep</v>
      </c>
      <c r="Q2171" s="23" t="str">
        <f>IF(F2171="CAPTURE",IF(COUNTIF(orders!$A:$A,O2171)&gt;0,"Yes","NO ORDER"),"")</f>
        <v>Yes</v>
      </c>
    </row>
    <row r="2172" spans="1:17" ht="15" customHeight="1" x14ac:dyDescent="0.3">
      <c r="A2172" s="23" t="s">
        <v>14939</v>
      </c>
      <c r="B2172" s="23"/>
      <c r="C2172" s="23" t="s">
        <v>8367</v>
      </c>
      <c r="D2172" s="23" t="str">
        <f t="shared" si="99"/>
        <v>ORD26003940</v>
      </c>
      <c r="E2172" s="38">
        <v>46277</v>
      </c>
      <c r="F2172" s="23" t="s">
        <v>12410</v>
      </c>
      <c r="G2172" s="23" t="s">
        <v>77</v>
      </c>
      <c r="H2172" s="24">
        <v>1799</v>
      </c>
      <c r="I2172" s="24">
        <v>34.18</v>
      </c>
      <c r="J2172" s="24">
        <v>6.15</v>
      </c>
      <c r="K2172" s="24">
        <v>1758.67</v>
      </c>
      <c r="L2172" s="38">
        <v>46279</v>
      </c>
      <c r="M2172" s="23" t="s">
        <v>200</v>
      </c>
      <c r="N2172" s="23" t="str">
        <f>IF(COUNTIF($A$2:A2172,A2172)&gt;1,"DUP","OK")</f>
        <v>OK</v>
      </c>
      <c r="O2172" s="23" t="str">
        <f t="shared" si="100"/>
        <v>ORD26003940</v>
      </c>
      <c r="P2172" s="23" t="str">
        <f t="shared" si="101"/>
        <v>Sep</v>
      </c>
      <c r="Q2172" s="23" t="str">
        <f>IF(F2172="CAPTURE",IF(COUNTIF(orders!$A:$A,O2172)&gt;0,"Yes","NO ORDER"),"")</f>
        <v>Yes</v>
      </c>
    </row>
    <row r="2173" spans="1:17" ht="15" customHeight="1" x14ac:dyDescent="0.3">
      <c r="A2173" s="23" t="s">
        <v>14940</v>
      </c>
      <c r="B2173" s="23"/>
      <c r="C2173" s="23" t="s">
        <v>8381</v>
      </c>
      <c r="D2173" s="23" t="str">
        <f t="shared" si="99"/>
        <v>ORD26003947</v>
      </c>
      <c r="E2173" s="38">
        <v>46277</v>
      </c>
      <c r="F2173" s="23" t="s">
        <v>12410</v>
      </c>
      <c r="G2173" s="23" t="s">
        <v>79</v>
      </c>
      <c r="H2173" s="24">
        <v>12998</v>
      </c>
      <c r="I2173" s="24">
        <v>207.97</v>
      </c>
      <c r="J2173" s="24">
        <v>37.43</v>
      </c>
      <c r="K2173" s="24">
        <v>12752.6</v>
      </c>
      <c r="L2173" s="38">
        <v>46279</v>
      </c>
      <c r="M2173" s="23" t="s">
        <v>200</v>
      </c>
      <c r="N2173" s="23" t="str">
        <f>IF(COUNTIF($A$2:A2173,A2173)&gt;1,"DUP","OK")</f>
        <v>OK</v>
      </c>
      <c r="O2173" s="23" t="str">
        <f t="shared" si="100"/>
        <v>ORD26003947</v>
      </c>
      <c r="P2173" s="23" t="str">
        <f t="shared" si="101"/>
        <v>Sep</v>
      </c>
      <c r="Q2173" s="23" t="str">
        <f>IF(F2173="CAPTURE",IF(COUNTIF(orders!$A:$A,O2173)&gt;0,"Yes","NO ORDER"),"")</f>
        <v>Yes</v>
      </c>
    </row>
    <row r="2174" spans="1:17" ht="15" customHeight="1" x14ac:dyDescent="0.3">
      <c r="A2174" s="23" t="s">
        <v>14941</v>
      </c>
      <c r="B2174" s="23"/>
      <c r="C2174" s="23" t="s">
        <v>14942</v>
      </c>
      <c r="D2174" s="23" t="str">
        <f t="shared" si="99"/>
        <v>ORD26003948</v>
      </c>
      <c r="E2174" s="38">
        <v>46277</v>
      </c>
      <c r="F2174" s="23" t="s">
        <v>12410</v>
      </c>
      <c r="G2174" s="23" t="s">
        <v>75</v>
      </c>
      <c r="H2174" s="24">
        <v>2499</v>
      </c>
      <c r="I2174" s="24">
        <v>7.5</v>
      </c>
      <c r="J2174" s="24">
        <v>1.35</v>
      </c>
      <c r="K2174" s="24">
        <v>2490.15</v>
      </c>
      <c r="L2174" s="38">
        <v>46279</v>
      </c>
      <c r="M2174" s="23" t="s">
        <v>200</v>
      </c>
      <c r="N2174" s="23" t="str">
        <f>IF(COUNTIF($A$2:A2174,A2174)&gt;1,"DUP","OK")</f>
        <v>OK</v>
      </c>
      <c r="O2174" s="23" t="str">
        <f t="shared" si="100"/>
        <v>ORD26003948</v>
      </c>
      <c r="P2174" s="23" t="str">
        <f t="shared" si="101"/>
        <v>Sep</v>
      </c>
      <c r="Q2174" s="23" t="str">
        <f>IF(F2174="CAPTURE",IF(COUNTIF(orders!$A:$A,O2174)&gt;0,"Yes","NO ORDER"),"")</f>
        <v>Yes</v>
      </c>
    </row>
    <row r="2175" spans="1:17" ht="15" customHeight="1" x14ac:dyDescent="0.3">
      <c r="A2175" s="23" t="s">
        <v>14943</v>
      </c>
      <c r="B2175" s="23"/>
      <c r="C2175" s="23" t="s">
        <v>8557</v>
      </c>
      <c r="D2175" s="23" t="str">
        <f t="shared" si="99"/>
        <v>ORD26004036</v>
      </c>
      <c r="E2175" s="38">
        <v>46277</v>
      </c>
      <c r="F2175" s="23" t="s">
        <v>12410</v>
      </c>
      <c r="G2175" s="23" t="s">
        <v>77</v>
      </c>
      <c r="H2175" s="24">
        <v>1499</v>
      </c>
      <c r="I2175" s="24">
        <v>28.48</v>
      </c>
      <c r="J2175" s="24">
        <v>5.13</v>
      </c>
      <c r="K2175" s="24">
        <v>1465.39</v>
      </c>
      <c r="L2175" s="38">
        <v>46279</v>
      </c>
      <c r="M2175" s="23" t="s">
        <v>200</v>
      </c>
      <c r="N2175" s="23" t="str">
        <f>IF(COUNTIF($A$2:A2175,A2175)&gt;1,"DUP","OK")</f>
        <v>OK</v>
      </c>
      <c r="O2175" s="23" t="str">
        <f t="shared" si="100"/>
        <v>ORD26004036</v>
      </c>
      <c r="P2175" s="23" t="str">
        <f t="shared" si="101"/>
        <v>Sep</v>
      </c>
      <c r="Q2175" s="23" t="str">
        <f>IF(F2175="CAPTURE",IF(COUNTIF(orders!$A:$A,O2175)&gt;0,"Yes","NO ORDER"),"")</f>
        <v>Yes</v>
      </c>
    </row>
    <row r="2176" spans="1:17" ht="15" customHeight="1" x14ac:dyDescent="0.3">
      <c r="A2176" s="23" t="s">
        <v>14944</v>
      </c>
      <c r="B2176" s="23"/>
      <c r="C2176" s="23" t="s">
        <v>8619</v>
      </c>
      <c r="D2176" s="23" t="str">
        <f t="shared" si="99"/>
        <v>ORD26004068</v>
      </c>
      <c r="E2176" s="38">
        <v>46277</v>
      </c>
      <c r="F2176" s="23" t="s">
        <v>12410</v>
      </c>
      <c r="G2176" s="23" t="s">
        <v>77</v>
      </c>
      <c r="H2176" s="24">
        <v>2999</v>
      </c>
      <c r="I2176" s="24">
        <v>50.98</v>
      </c>
      <c r="J2176" s="24">
        <v>9.18</v>
      </c>
      <c r="K2176" s="24">
        <v>2938.84</v>
      </c>
      <c r="L2176" s="38">
        <v>46279</v>
      </c>
      <c r="M2176" s="23" t="s">
        <v>200</v>
      </c>
      <c r="N2176" s="23" t="str">
        <f>IF(COUNTIF($A$2:A2176,A2176)&gt;1,"DUP","OK")</f>
        <v>OK</v>
      </c>
      <c r="O2176" s="23" t="str">
        <f t="shared" si="100"/>
        <v>ORD26004068</v>
      </c>
      <c r="P2176" s="23" t="str">
        <f t="shared" si="101"/>
        <v>Sep</v>
      </c>
      <c r="Q2176" s="23" t="str">
        <f>IF(F2176="CAPTURE",IF(COUNTIF(orders!$A:$A,O2176)&gt;0,"Yes","NO ORDER"),"")</f>
        <v>Yes</v>
      </c>
    </row>
    <row r="2177" spans="1:17" ht="15" customHeight="1" x14ac:dyDescent="0.3">
      <c r="A2177" s="23" t="s">
        <v>14945</v>
      </c>
      <c r="B2177" s="23"/>
      <c r="C2177" s="23" t="s">
        <v>8629</v>
      </c>
      <c r="D2177" s="23" t="str">
        <f t="shared" si="99"/>
        <v>ORD26004073</v>
      </c>
      <c r="E2177" s="38">
        <v>46277</v>
      </c>
      <c r="F2177" s="23" t="s">
        <v>12410</v>
      </c>
      <c r="G2177" s="23" t="s">
        <v>79</v>
      </c>
      <c r="H2177" s="24">
        <v>499</v>
      </c>
      <c r="I2177" s="24">
        <v>8.98</v>
      </c>
      <c r="J2177" s="24">
        <v>1.62</v>
      </c>
      <c r="K2177" s="24">
        <v>488.4</v>
      </c>
      <c r="L2177" s="38">
        <v>46279</v>
      </c>
      <c r="M2177" s="23" t="s">
        <v>200</v>
      </c>
      <c r="N2177" s="23" t="str">
        <f>IF(COUNTIF($A$2:A2177,A2177)&gt;1,"DUP","OK")</f>
        <v>OK</v>
      </c>
      <c r="O2177" s="23" t="str">
        <f t="shared" si="100"/>
        <v>ORD26004073</v>
      </c>
      <c r="P2177" s="23" t="str">
        <f t="shared" si="101"/>
        <v>Sep</v>
      </c>
      <c r="Q2177" s="23" t="str">
        <f>IF(F2177="CAPTURE",IF(COUNTIF(orders!$A:$A,O2177)&gt;0,"Yes","NO ORDER"),"")</f>
        <v>Yes</v>
      </c>
    </row>
    <row r="2178" spans="1:17" ht="15" customHeight="1" x14ac:dyDescent="0.3">
      <c r="A2178" s="23" t="s">
        <v>14946</v>
      </c>
      <c r="B2178" s="23"/>
      <c r="C2178" s="23" t="s">
        <v>14947</v>
      </c>
      <c r="D2178" s="23" t="str">
        <f t="shared" ref="D2178:D2241" si="102">UPPER(SUBSTITUTE(TRIM(C2178),"-",""))</f>
        <v>ORD26004074</v>
      </c>
      <c r="E2178" s="38">
        <v>46277</v>
      </c>
      <c r="F2178" s="23" t="s">
        <v>12410</v>
      </c>
      <c r="G2178" s="23" t="s">
        <v>75</v>
      </c>
      <c r="H2178" s="24">
        <v>848</v>
      </c>
      <c r="I2178" s="24">
        <v>0</v>
      </c>
      <c r="J2178" s="24">
        <v>0</v>
      </c>
      <c r="K2178" s="24">
        <v>848</v>
      </c>
      <c r="L2178" s="38">
        <v>46279</v>
      </c>
      <c r="M2178" s="23" t="s">
        <v>200</v>
      </c>
      <c r="N2178" s="23" t="str">
        <f>IF(COUNTIF($A$2:A2178,A2178)&gt;1,"DUP","OK")</f>
        <v>OK</v>
      </c>
      <c r="O2178" s="23" t="str">
        <f t="shared" ref="O2178:O2241" si="103">IF(F2178="REFUND",INDEX($D:$D,MATCH(B2178,$A:$A,0)),D2178)</f>
        <v>ORD26004074</v>
      </c>
      <c r="P2178" s="23" t="str">
        <f t="shared" ref="P2178:P2241" si="104">IF(L2178&gt;DATE(2026,9,30),"Oct-Due","Sep")</f>
        <v>Sep</v>
      </c>
      <c r="Q2178" s="23" t="str">
        <f>IF(F2178="CAPTURE",IF(COUNTIF(orders!$A:$A,O2178)&gt;0,"Yes","NO ORDER"),"")</f>
        <v>Yes</v>
      </c>
    </row>
    <row r="2179" spans="1:17" ht="15" customHeight="1" x14ac:dyDescent="0.3">
      <c r="A2179" s="23" t="s">
        <v>14948</v>
      </c>
      <c r="B2179" s="23"/>
      <c r="C2179" s="23" t="s">
        <v>14949</v>
      </c>
      <c r="D2179" s="23" t="str">
        <f t="shared" si="102"/>
        <v>ORD26004125</v>
      </c>
      <c r="E2179" s="38">
        <v>46277</v>
      </c>
      <c r="F2179" s="23" t="s">
        <v>12410</v>
      </c>
      <c r="G2179" s="23" t="s">
        <v>79</v>
      </c>
      <c r="H2179" s="24">
        <v>6998</v>
      </c>
      <c r="I2179" s="24">
        <v>111.97</v>
      </c>
      <c r="J2179" s="24">
        <v>20.149999999999999</v>
      </c>
      <c r="K2179" s="24">
        <v>6865.88</v>
      </c>
      <c r="L2179" s="38">
        <v>46279</v>
      </c>
      <c r="M2179" s="23" t="s">
        <v>200</v>
      </c>
      <c r="N2179" s="23" t="str">
        <f>IF(COUNTIF($A$2:A2179,A2179)&gt;1,"DUP","OK")</f>
        <v>OK</v>
      </c>
      <c r="O2179" s="23" t="str">
        <f t="shared" si="103"/>
        <v>ORD26004125</v>
      </c>
      <c r="P2179" s="23" t="str">
        <f t="shared" si="104"/>
        <v>Sep</v>
      </c>
      <c r="Q2179" s="23" t="str">
        <f>IF(F2179="CAPTURE",IF(COUNTIF(orders!$A:$A,O2179)&gt;0,"Yes","NO ORDER"),"")</f>
        <v>Yes</v>
      </c>
    </row>
    <row r="2180" spans="1:17" ht="15" customHeight="1" x14ac:dyDescent="0.3">
      <c r="A2180" s="23" t="s">
        <v>14950</v>
      </c>
      <c r="B2180" s="23"/>
      <c r="C2180" s="23" t="s">
        <v>8736</v>
      </c>
      <c r="D2180" s="23" t="str">
        <f t="shared" si="102"/>
        <v>ORD26004128</v>
      </c>
      <c r="E2180" s="38">
        <v>46277</v>
      </c>
      <c r="F2180" s="23" t="s">
        <v>12410</v>
      </c>
      <c r="G2180" s="23" t="s">
        <v>75</v>
      </c>
      <c r="H2180" s="24">
        <v>2498</v>
      </c>
      <c r="I2180" s="24">
        <v>7.49</v>
      </c>
      <c r="J2180" s="24">
        <v>1.35</v>
      </c>
      <c r="K2180" s="24">
        <v>2489.16</v>
      </c>
      <c r="L2180" s="38">
        <v>46279</v>
      </c>
      <c r="M2180" s="23" t="s">
        <v>200</v>
      </c>
      <c r="N2180" s="23" t="str">
        <f>IF(COUNTIF($A$2:A2180,A2180)&gt;1,"DUP","OK")</f>
        <v>OK</v>
      </c>
      <c r="O2180" s="23" t="str">
        <f t="shared" si="103"/>
        <v>ORD26004128</v>
      </c>
      <c r="P2180" s="23" t="str">
        <f t="shared" si="104"/>
        <v>Sep</v>
      </c>
      <c r="Q2180" s="23" t="str">
        <f>IF(F2180="CAPTURE",IF(COUNTIF(orders!$A:$A,O2180)&gt;0,"Yes","NO ORDER"),"")</f>
        <v>Yes</v>
      </c>
    </row>
    <row r="2181" spans="1:17" ht="15" customHeight="1" x14ac:dyDescent="0.3">
      <c r="A2181" s="23" t="s">
        <v>14951</v>
      </c>
      <c r="B2181" s="23"/>
      <c r="C2181" s="23" t="s">
        <v>8751</v>
      </c>
      <c r="D2181" s="23" t="str">
        <f t="shared" si="102"/>
        <v>ORD26004136</v>
      </c>
      <c r="E2181" s="38">
        <v>46277</v>
      </c>
      <c r="F2181" s="23" t="s">
        <v>12410</v>
      </c>
      <c r="G2181" s="23" t="s">
        <v>75</v>
      </c>
      <c r="H2181" s="24">
        <v>1299</v>
      </c>
      <c r="I2181" s="24">
        <v>0</v>
      </c>
      <c r="J2181" s="24">
        <v>0</v>
      </c>
      <c r="K2181" s="24">
        <v>1299</v>
      </c>
      <c r="L2181" s="38">
        <v>46279</v>
      </c>
      <c r="M2181" s="23" t="s">
        <v>200</v>
      </c>
      <c r="N2181" s="23" t="str">
        <f>IF(COUNTIF($A$2:A2181,A2181)&gt;1,"DUP","OK")</f>
        <v>OK</v>
      </c>
      <c r="O2181" s="23" t="str">
        <f t="shared" si="103"/>
        <v>ORD26004136</v>
      </c>
      <c r="P2181" s="23" t="str">
        <f t="shared" si="104"/>
        <v>Sep</v>
      </c>
      <c r="Q2181" s="23" t="str">
        <f>IF(F2181="CAPTURE",IF(COUNTIF(orders!$A:$A,O2181)&gt;0,"Yes","NO ORDER"),"")</f>
        <v>Yes</v>
      </c>
    </row>
    <row r="2182" spans="1:17" ht="15" customHeight="1" x14ac:dyDescent="0.3">
      <c r="A2182" s="23" t="s">
        <v>14952</v>
      </c>
      <c r="B2182" s="23"/>
      <c r="C2182" s="23" t="s">
        <v>14953</v>
      </c>
      <c r="D2182" s="23" t="str">
        <f t="shared" si="102"/>
        <v>ORD26004144</v>
      </c>
      <c r="E2182" s="38">
        <v>46277</v>
      </c>
      <c r="F2182" s="23" t="s">
        <v>12410</v>
      </c>
      <c r="G2182" s="23" t="s">
        <v>79</v>
      </c>
      <c r="H2182" s="24">
        <v>12497</v>
      </c>
      <c r="I2182" s="24">
        <v>199.95</v>
      </c>
      <c r="J2182" s="24">
        <v>35.99</v>
      </c>
      <c r="K2182" s="24">
        <v>12261.06</v>
      </c>
      <c r="L2182" s="38">
        <v>46279</v>
      </c>
      <c r="M2182" s="23" t="s">
        <v>200</v>
      </c>
      <c r="N2182" s="23" t="str">
        <f>IF(COUNTIF($A$2:A2182,A2182)&gt;1,"DUP","OK")</f>
        <v>OK</v>
      </c>
      <c r="O2182" s="23" t="str">
        <f t="shared" si="103"/>
        <v>ORD26004144</v>
      </c>
      <c r="P2182" s="23" t="str">
        <f t="shared" si="104"/>
        <v>Sep</v>
      </c>
      <c r="Q2182" s="23" t="str">
        <f>IF(F2182="CAPTURE",IF(COUNTIF(orders!$A:$A,O2182)&gt;0,"Yes","NO ORDER"),"")</f>
        <v>Yes</v>
      </c>
    </row>
    <row r="2183" spans="1:17" ht="15" customHeight="1" x14ac:dyDescent="0.3">
      <c r="A2183" s="23" t="s">
        <v>14954</v>
      </c>
      <c r="B2183" s="23"/>
      <c r="C2183" s="23" t="s">
        <v>14955</v>
      </c>
      <c r="D2183" s="23" t="str">
        <f t="shared" si="102"/>
        <v>ORD26004156</v>
      </c>
      <c r="E2183" s="38">
        <v>46277</v>
      </c>
      <c r="F2183" s="23" t="s">
        <v>12410</v>
      </c>
      <c r="G2183" s="23" t="s">
        <v>75</v>
      </c>
      <c r="H2183" s="24">
        <v>5998</v>
      </c>
      <c r="I2183" s="24">
        <v>17.989999999999998</v>
      </c>
      <c r="J2183" s="24">
        <v>3.24</v>
      </c>
      <c r="K2183" s="24">
        <v>5976.77</v>
      </c>
      <c r="L2183" s="38">
        <v>46279</v>
      </c>
      <c r="M2183" s="23" t="s">
        <v>200</v>
      </c>
      <c r="N2183" s="23" t="str">
        <f>IF(COUNTIF($A$2:A2183,A2183)&gt;1,"DUP","OK")</f>
        <v>OK</v>
      </c>
      <c r="O2183" s="23" t="str">
        <f t="shared" si="103"/>
        <v>ORD26004156</v>
      </c>
      <c r="P2183" s="23" t="str">
        <f t="shared" si="104"/>
        <v>Sep</v>
      </c>
      <c r="Q2183" s="23" t="str">
        <f>IF(F2183="CAPTURE",IF(COUNTIF(orders!$A:$A,O2183)&gt;0,"Yes","NO ORDER"),"")</f>
        <v>Yes</v>
      </c>
    </row>
    <row r="2184" spans="1:17" ht="15" customHeight="1" x14ac:dyDescent="0.3">
      <c r="A2184" s="23" t="s">
        <v>14956</v>
      </c>
      <c r="B2184" s="23"/>
      <c r="C2184" s="23" t="s">
        <v>8884</v>
      </c>
      <c r="D2184" s="23" t="str">
        <f t="shared" si="102"/>
        <v>ORD26004204</v>
      </c>
      <c r="E2184" s="38">
        <v>46277</v>
      </c>
      <c r="F2184" s="23" t="s">
        <v>12410</v>
      </c>
      <c r="G2184" s="23" t="s">
        <v>81</v>
      </c>
      <c r="H2184" s="24">
        <v>499</v>
      </c>
      <c r="I2184" s="24">
        <v>7.49</v>
      </c>
      <c r="J2184" s="24">
        <v>1.35</v>
      </c>
      <c r="K2184" s="24">
        <v>490.16</v>
      </c>
      <c r="L2184" s="38">
        <v>46279</v>
      </c>
      <c r="M2184" s="23" t="s">
        <v>200</v>
      </c>
      <c r="N2184" s="23" t="str">
        <f>IF(COUNTIF($A$2:A2184,A2184)&gt;1,"DUP","OK")</f>
        <v>OK</v>
      </c>
      <c r="O2184" s="23" t="str">
        <f t="shared" si="103"/>
        <v>ORD26004204</v>
      </c>
      <c r="P2184" s="23" t="str">
        <f t="shared" si="104"/>
        <v>Sep</v>
      </c>
      <c r="Q2184" s="23" t="str">
        <f>IF(F2184="CAPTURE",IF(COUNTIF(orders!$A:$A,O2184)&gt;0,"Yes","NO ORDER"),"")</f>
        <v>Yes</v>
      </c>
    </row>
    <row r="2185" spans="1:17" ht="15" customHeight="1" x14ac:dyDescent="0.3">
      <c r="A2185" s="23" t="s">
        <v>14957</v>
      </c>
      <c r="B2185" s="23"/>
      <c r="C2185" s="23" t="s">
        <v>8929</v>
      </c>
      <c r="D2185" s="23" t="str">
        <f t="shared" si="102"/>
        <v>ORD26004227</v>
      </c>
      <c r="E2185" s="38">
        <v>46277</v>
      </c>
      <c r="F2185" s="23" t="s">
        <v>12410</v>
      </c>
      <c r="G2185" s="23" t="s">
        <v>79</v>
      </c>
      <c r="H2185" s="24">
        <v>2999</v>
      </c>
      <c r="I2185" s="24">
        <v>47.98</v>
      </c>
      <c r="J2185" s="24">
        <v>8.64</v>
      </c>
      <c r="K2185" s="24">
        <v>2942.38</v>
      </c>
      <c r="L2185" s="38">
        <v>46279</v>
      </c>
      <c r="M2185" s="23" t="s">
        <v>200</v>
      </c>
      <c r="N2185" s="23" t="str">
        <f>IF(COUNTIF($A$2:A2185,A2185)&gt;1,"DUP","OK")</f>
        <v>OK</v>
      </c>
      <c r="O2185" s="23" t="str">
        <f t="shared" si="103"/>
        <v>ORD26004227</v>
      </c>
      <c r="P2185" s="23" t="str">
        <f t="shared" si="104"/>
        <v>Sep</v>
      </c>
      <c r="Q2185" s="23" t="str">
        <f>IF(F2185="CAPTURE",IF(COUNTIF(orders!$A:$A,O2185)&gt;0,"Yes","NO ORDER"),"")</f>
        <v>Yes</v>
      </c>
    </row>
    <row r="2186" spans="1:17" ht="15" customHeight="1" x14ac:dyDescent="0.3">
      <c r="A2186" s="23" t="s">
        <v>14958</v>
      </c>
      <c r="B2186" s="23"/>
      <c r="C2186" s="23" t="s">
        <v>9001</v>
      </c>
      <c r="D2186" s="23" t="str">
        <f t="shared" si="102"/>
        <v>ORD26004264</v>
      </c>
      <c r="E2186" s="38">
        <v>46277</v>
      </c>
      <c r="F2186" s="23" t="s">
        <v>12410</v>
      </c>
      <c r="G2186" s="23" t="s">
        <v>75</v>
      </c>
      <c r="H2186" s="24">
        <v>299</v>
      </c>
      <c r="I2186" s="24">
        <v>0.9</v>
      </c>
      <c r="J2186" s="24">
        <v>0.16</v>
      </c>
      <c r="K2186" s="24">
        <v>297.94</v>
      </c>
      <c r="L2186" s="38">
        <v>46279</v>
      </c>
      <c r="M2186" s="23" t="s">
        <v>200</v>
      </c>
      <c r="N2186" s="23" t="str">
        <f>IF(COUNTIF($A$2:A2186,A2186)&gt;1,"DUP","OK")</f>
        <v>OK</v>
      </c>
      <c r="O2186" s="23" t="str">
        <f t="shared" si="103"/>
        <v>ORD26004264</v>
      </c>
      <c r="P2186" s="23" t="str">
        <f t="shared" si="104"/>
        <v>Sep</v>
      </c>
      <c r="Q2186" s="23" t="str">
        <f>IF(F2186="CAPTURE",IF(COUNTIF(orders!$A:$A,O2186)&gt;0,"Yes","NO ORDER"),"")</f>
        <v>Yes</v>
      </c>
    </row>
    <row r="2187" spans="1:17" ht="15" customHeight="1" x14ac:dyDescent="0.3">
      <c r="A2187" s="23" t="s">
        <v>14959</v>
      </c>
      <c r="B2187" s="23"/>
      <c r="C2187" s="23" t="s">
        <v>9110</v>
      </c>
      <c r="D2187" s="23" t="str">
        <f t="shared" si="102"/>
        <v>ORD26004317</v>
      </c>
      <c r="E2187" s="38">
        <v>46277</v>
      </c>
      <c r="F2187" s="23" t="s">
        <v>12410</v>
      </c>
      <c r="G2187" s="23" t="s">
        <v>75</v>
      </c>
      <c r="H2187" s="24">
        <v>4999</v>
      </c>
      <c r="I2187" s="24">
        <v>15</v>
      </c>
      <c r="J2187" s="24">
        <v>2.7</v>
      </c>
      <c r="K2187" s="24">
        <v>4981.3</v>
      </c>
      <c r="L2187" s="38">
        <v>46279</v>
      </c>
      <c r="M2187" s="23" t="s">
        <v>200</v>
      </c>
      <c r="N2187" s="23" t="str">
        <f>IF(COUNTIF($A$2:A2187,A2187)&gt;1,"DUP","OK")</f>
        <v>OK</v>
      </c>
      <c r="O2187" s="23" t="str">
        <f t="shared" si="103"/>
        <v>ORD26004317</v>
      </c>
      <c r="P2187" s="23" t="str">
        <f t="shared" si="104"/>
        <v>Sep</v>
      </c>
      <c r="Q2187" s="23" t="str">
        <f>IF(F2187="CAPTURE",IF(COUNTIF(orders!$A:$A,O2187)&gt;0,"Yes","NO ORDER"),"")</f>
        <v>Yes</v>
      </c>
    </row>
    <row r="2188" spans="1:17" ht="15" customHeight="1" x14ac:dyDescent="0.3">
      <c r="A2188" s="23" t="s">
        <v>14960</v>
      </c>
      <c r="B2188" s="23"/>
      <c r="C2188" s="23" t="s">
        <v>9136</v>
      </c>
      <c r="D2188" s="23" t="str">
        <f t="shared" si="102"/>
        <v>ORD26004330</v>
      </c>
      <c r="E2188" s="38">
        <v>46277</v>
      </c>
      <c r="F2188" s="23" t="s">
        <v>12410</v>
      </c>
      <c r="G2188" s="23" t="s">
        <v>75</v>
      </c>
      <c r="H2188" s="24">
        <v>349</v>
      </c>
      <c r="I2188" s="24">
        <v>0</v>
      </c>
      <c r="J2188" s="24">
        <v>0</v>
      </c>
      <c r="K2188" s="24">
        <v>349</v>
      </c>
      <c r="L2188" s="38">
        <v>46279</v>
      </c>
      <c r="M2188" s="23" t="s">
        <v>200</v>
      </c>
      <c r="N2188" s="23" t="str">
        <f>IF(COUNTIF($A$2:A2188,A2188)&gt;1,"DUP","OK")</f>
        <v>OK</v>
      </c>
      <c r="O2188" s="23" t="str">
        <f t="shared" si="103"/>
        <v>ORD26004330</v>
      </c>
      <c r="P2188" s="23" t="str">
        <f t="shared" si="104"/>
        <v>Sep</v>
      </c>
      <c r="Q2188" s="23" t="str">
        <f>IF(F2188="CAPTURE",IF(COUNTIF(orders!$A:$A,O2188)&gt;0,"Yes","NO ORDER"),"")</f>
        <v>Yes</v>
      </c>
    </row>
    <row r="2189" spans="1:17" ht="15" customHeight="1" x14ac:dyDescent="0.3">
      <c r="A2189" s="23" t="s">
        <v>14961</v>
      </c>
      <c r="B2189" s="23"/>
      <c r="C2189" s="23" t="s">
        <v>9191</v>
      </c>
      <c r="D2189" s="23" t="str">
        <f t="shared" si="102"/>
        <v>ORD26004357</v>
      </c>
      <c r="E2189" s="38">
        <v>46277</v>
      </c>
      <c r="F2189" s="23" t="s">
        <v>12410</v>
      </c>
      <c r="G2189" s="23" t="s">
        <v>75</v>
      </c>
      <c r="H2189" s="24">
        <v>3499</v>
      </c>
      <c r="I2189" s="24">
        <v>10.5</v>
      </c>
      <c r="J2189" s="24">
        <v>1.89</v>
      </c>
      <c r="K2189" s="24">
        <v>3486.61</v>
      </c>
      <c r="L2189" s="38">
        <v>46279</v>
      </c>
      <c r="M2189" s="23" t="s">
        <v>200</v>
      </c>
      <c r="N2189" s="23" t="str">
        <f>IF(COUNTIF($A$2:A2189,A2189)&gt;1,"DUP","OK")</f>
        <v>OK</v>
      </c>
      <c r="O2189" s="23" t="str">
        <f t="shared" si="103"/>
        <v>ORD26004357</v>
      </c>
      <c r="P2189" s="23" t="str">
        <f t="shared" si="104"/>
        <v>Sep</v>
      </c>
      <c r="Q2189" s="23" t="str">
        <f>IF(F2189="CAPTURE",IF(COUNTIF(orders!$A:$A,O2189)&gt;0,"Yes","NO ORDER"),"")</f>
        <v>Yes</v>
      </c>
    </row>
    <row r="2190" spans="1:17" ht="15" customHeight="1" x14ac:dyDescent="0.3">
      <c r="A2190" s="23" t="s">
        <v>14962</v>
      </c>
      <c r="B2190" s="23"/>
      <c r="C2190" s="23" t="s">
        <v>9204</v>
      </c>
      <c r="D2190" s="23" t="str">
        <f t="shared" si="102"/>
        <v>ORD26004364</v>
      </c>
      <c r="E2190" s="38">
        <v>46277</v>
      </c>
      <c r="F2190" s="23" t="s">
        <v>12410</v>
      </c>
      <c r="G2190" s="23" t="s">
        <v>81</v>
      </c>
      <c r="H2190" s="24">
        <v>999</v>
      </c>
      <c r="I2190" s="24">
        <v>14.99</v>
      </c>
      <c r="J2190" s="24">
        <v>2.7</v>
      </c>
      <c r="K2190" s="24">
        <v>981.31</v>
      </c>
      <c r="L2190" s="38">
        <v>46279</v>
      </c>
      <c r="M2190" s="23" t="s">
        <v>200</v>
      </c>
      <c r="N2190" s="23" t="str">
        <f>IF(COUNTIF($A$2:A2190,A2190)&gt;1,"DUP","OK")</f>
        <v>OK</v>
      </c>
      <c r="O2190" s="23" t="str">
        <f t="shared" si="103"/>
        <v>ORD26004364</v>
      </c>
      <c r="P2190" s="23" t="str">
        <f t="shared" si="104"/>
        <v>Sep</v>
      </c>
      <c r="Q2190" s="23" t="str">
        <f>IF(F2190="CAPTURE",IF(COUNTIF(orders!$A:$A,O2190)&gt;0,"Yes","NO ORDER"),"")</f>
        <v>Yes</v>
      </c>
    </row>
    <row r="2191" spans="1:17" ht="15" customHeight="1" x14ac:dyDescent="0.3">
      <c r="A2191" s="23" t="s">
        <v>14963</v>
      </c>
      <c r="B2191" s="23"/>
      <c r="C2191" s="23" t="s">
        <v>9314</v>
      </c>
      <c r="D2191" s="23" t="str">
        <f t="shared" si="102"/>
        <v>ORD26004420</v>
      </c>
      <c r="E2191" s="38">
        <v>46277</v>
      </c>
      <c r="F2191" s="23" t="s">
        <v>12410</v>
      </c>
      <c r="G2191" s="23" t="s">
        <v>75</v>
      </c>
      <c r="H2191" s="24">
        <v>7999</v>
      </c>
      <c r="I2191" s="24">
        <v>24</v>
      </c>
      <c r="J2191" s="24">
        <v>4.32</v>
      </c>
      <c r="K2191" s="24">
        <v>7970.68</v>
      </c>
      <c r="L2191" s="38">
        <v>46279</v>
      </c>
      <c r="M2191" s="23" t="s">
        <v>200</v>
      </c>
      <c r="N2191" s="23" t="str">
        <f>IF(COUNTIF($A$2:A2191,A2191)&gt;1,"DUP","OK")</f>
        <v>OK</v>
      </c>
      <c r="O2191" s="23" t="str">
        <f t="shared" si="103"/>
        <v>ORD26004420</v>
      </c>
      <c r="P2191" s="23" t="str">
        <f t="shared" si="104"/>
        <v>Sep</v>
      </c>
      <c r="Q2191" s="23" t="str">
        <f>IF(F2191="CAPTURE",IF(COUNTIF(orders!$A:$A,O2191)&gt;0,"Yes","NO ORDER"),"")</f>
        <v>Yes</v>
      </c>
    </row>
    <row r="2192" spans="1:17" ht="15" customHeight="1" x14ac:dyDescent="0.3">
      <c r="A2192" s="23" t="s">
        <v>14964</v>
      </c>
      <c r="B2192" s="23"/>
      <c r="C2192" s="23" t="s">
        <v>9410</v>
      </c>
      <c r="D2192" s="23" t="str">
        <f t="shared" si="102"/>
        <v>ORD26004469</v>
      </c>
      <c r="E2192" s="38">
        <v>46277</v>
      </c>
      <c r="F2192" s="23" t="s">
        <v>12410</v>
      </c>
      <c r="G2192" s="23" t="s">
        <v>75</v>
      </c>
      <c r="H2192" s="24">
        <v>5998</v>
      </c>
      <c r="I2192" s="24">
        <v>17.989999999999998</v>
      </c>
      <c r="J2192" s="24">
        <v>3.24</v>
      </c>
      <c r="K2192" s="24">
        <v>5976.77</v>
      </c>
      <c r="L2192" s="38">
        <v>46279</v>
      </c>
      <c r="M2192" s="23" t="s">
        <v>200</v>
      </c>
      <c r="N2192" s="23" t="str">
        <f>IF(COUNTIF($A$2:A2192,A2192)&gt;1,"DUP","OK")</f>
        <v>OK</v>
      </c>
      <c r="O2192" s="23" t="str">
        <f t="shared" si="103"/>
        <v>ORD26004469</v>
      </c>
      <c r="P2192" s="23" t="str">
        <f t="shared" si="104"/>
        <v>Sep</v>
      </c>
      <c r="Q2192" s="23" t="str">
        <f>IF(F2192="CAPTURE",IF(COUNTIF(orders!$A:$A,O2192)&gt;0,"Yes","NO ORDER"),"")</f>
        <v>Yes</v>
      </c>
    </row>
    <row r="2193" spans="1:17" ht="15" customHeight="1" x14ac:dyDescent="0.3">
      <c r="A2193" s="23" t="s">
        <v>14965</v>
      </c>
      <c r="B2193" s="23"/>
      <c r="C2193" s="23" t="s">
        <v>9443</v>
      </c>
      <c r="D2193" s="23" t="str">
        <f t="shared" si="102"/>
        <v>ORD26004486</v>
      </c>
      <c r="E2193" s="38">
        <v>46277</v>
      </c>
      <c r="F2193" s="23" t="s">
        <v>12410</v>
      </c>
      <c r="G2193" s="23" t="s">
        <v>79</v>
      </c>
      <c r="H2193" s="24">
        <v>2098</v>
      </c>
      <c r="I2193" s="24">
        <v>33.57</v>
      </c>
      <c r="J2193" s="24">
        <v>6.04</v>
      </c>
      <c r="K2193" s="24">
        <v>2058.39</v>
      </c>
      <c r="L2193" s="38">
        <v>46279</v>
      </c>
      <c r="M2193" s="23" t="s">
        <v>200</v>
      </c>
      <c r="N2193" s="23" t="str">
        <f>IF(COUNTIF($A$2:A2193,A2193)&gt;1,"DUP","OK")</f>
        <v>OK</v>
      </c>
      <c r="O2193" s="23" t="str">
        <f t="shared" si="103"/>
        <v>ORD26004486</v>
      </c>
      <c r="P2193" s="23" t="str">
        <f t="shared" si="104"/>
        <v>Sep</v>
      </c>
      <c r="Q2193" s="23" t="str">
        <f>IF(F2193="CAPTURE",IF(COUNTIF(orders!$A:$A,O2193)&gt;0,"Yes","NO ORDER"),"")</f>
        <v>Yes</v>
      </c>
    </row>
    <row r="2194" spans="1:17" ht="15" customHeight="1" x14ac:dyDescent="0.3">
      <c r="A2194" s="23" t="s">
        <v>14966</v>
      </c>
      <c r="B2194" s="23"/>
      <c r="C2194" s="23" t="s">
        <v>9522</v>
      </c>
      <c r="D2194" s="23" t="str">
        <f t="shared" si="102"/>
        <v>ORD26004525</v>
      </c>
      <c r="E2194" s="38">
        <v>46277</v>
      </c>
      <c r="F2194" s="23" t="s">
        <v>12410</v>
      </c>
      <c r="G2194" s="23" t="s">
        <v>79</v>
      </c>
      <c r="H2194" s="24">
        <v>3797</v>
      </c>
      <c r="I2194" s="24">
        <v>60.75</v>
      </c>
      <c r="J2194" s="24">
        <v>10.94</v>
      </c>
      <c r="K2194" s="24">
        <v>3725.31</v>
      </c>
      <c r="L2194" s="38">
        <v>46279</v>
      </c>
      <c r="M2194" s="23" t="s">
        <v>200</v>
      </c>
      <c r="N2194" s="23" t="str">
        <f>IF(COUNTIF($A$2:A2194,A2194)&gt;1,"DUP","OK")</f>
        <v>OK</v>
      </c>
      <c r="O2194" s="23" t="str">
        <f t="shared" si="103"/>
        <v>ORD26004525</v>
      </c>
      <c r="P2194" s="23" t="str">
        <f t="shared" si="104"/>
        <v>Sep</v>
      </c>
      <c r="Q2194" s="23" t="str">
        <f>IF(F2194="CAPTURE",IF(COUNTIF(orders!$A:$A,O2194)&gt;0,"Yes","NO ORDER"),"")</f>
        <v>Yes</v>
      </c>
    </row>
    <row r="2195" spans="1:17" ht="15" customHeight="1" x14ac:dyDescent="0.3">
      <c r="A2195" s="23" t="s">
        <v>14967</v>
      </c>
      <c r="B2195" s="23"/>
      <c r="C2195" s="23" t="s">
        <v>9527</v>
      </c>
      <c r="D2195" s="23" t="str">
        <f t="shared" si="102"/>
        <v>ORD26004527</v>
      </c>
      <c r="E2195" s="38">
        <v>46277</v>
      </c>
      <c r="F2195" s="23" t="s">
        <v>12410</v>
      </c>
      <c r="G2195" s="23" t="s">
        <v>75</v>
      </c>
      <c r="H2195" s="24">
        <v>1499</v>
      </c>
      <c r="I2195" s="24">
        <v>0</v>
      </c>
      <c r="J2195" s="24">
        <v>0</v>
      </c>
      <c r="K2195" s="24">
        <v>1499</v>
      </c>
      <c r="L2195" s="38">
        <v>46279</v>
      </c>
      <c r="M2195" s="23" t="s">
        <v>200</v>
      </c>
      <c r="N2195" s="23" t="str">
        <f>IF(COUNTIF($A$2:A2195,A2195)&gt;1,"DUP","OK")</f>
        <v>OK</v>
      </c>
      <c r="O2195" s="23" t="str">
        <f t="shared" si="103"/>
        <v>ORD26004527</v>
      </c>
      <c r="P2195" s="23" t="str">
        <f t="shared" si="104"/>
        <v>Sep</v>
      </c>
      <c r="Q2195" s="23" t="str">
        <f>IF(F2195="CAPTURE",IF(COUNTIF(orders!$A:$A,O2195)&gt;0,"Yes","NO ORDER"),"")</f>
        <v>Yes</v>
      </c>
    </row>
    <row r="2196" spans="1:17" ht="15" customHeight="1" x14ac:dyDescent="0.3">
      <c r="A2196" s="23" t="s">
        <v>14968</v>
      </c>
      <c r="B2196" s="23"/>
      <c r="C2196" s="23" t="s">
        <v>9535</v>
      </c>
      <c r="D2196" s="23" t="str">
        <f t="shared" si="102"/>
        <v>ORD26004531</v>
      </c>
      <c r="E2196" s="38">
        <v>46277</v>
      </c>
      <c r="F2196" s="23" t="s">
        <v>12410</v>
      </c>
      <c r="G2196" s="23" t="s">
        <v>79</v>
      </c>
      <c r="H2196" s="24">
        <v>8298</v>
      </c>
      <c r="I2196" s="24">
        <v>132.77000000000001</v>
      </c>
      <c r="J2196" s="24">
        <v>23.9</v>
      </c>
      <c r="K2196" s="24">
        <v>8141.33</v>
      </c>
      <c r="L2196" s="38">
        <v>46279</v>
      </c>
      <c r="M2196" s="23" t="s">
        <v>200</v>
      </c>
      <c r="N2196" s="23" t="str">
        <f>IF(COUNTIF($A$2:A2196,A2196)&gt;1,"DUP","OK")</f>
        <v>OK</v>
      </c>
      <c r="O2196" s="23" t="str">
        <f t="shared" si="103"/>
        <v>ORD26004531</v>
      </c>
      <c r="P2196" s="23" t="str">
        <f t="shared" si="104"/>
        <v>Sep</v>
      </c>
      <c r="Q2196" s="23" t="str">
        <f>IF(F2196="CAPTURE",IF(COUNTIF(orders!$A:$A,O2196)&gt;0,"Yes","NO ORDER"),"")</f>
        <v>Yes</v>
      </c>
    </row>
    <row r="2197" spans="1:17" ht="15" customHeight="1" x14ac:dyDescent="0.3">
      <c r="A2197" s="23" t="s">
        <v>14969</v>
      </c>
      <c r="B2197" s="23"/>
      <c r="C2197" s="23" t="s">
        <v>9725</v>
      </c>
      <c r="D2197" s="23" t="str">
        <f t="shared" si="102"/>
        <v>ORD26004626</v>
      </c>
      <c r="E2197" s="38">
        <v>46277</v>
      </c>
      <c r="F2197" s="23" t="s">
        <v>12410</v>
      </c>
      <c r="G2197" s="23" t="s">
        <v>81</v>
      </c>
      <c r="H2197" s="24">
        <v>2097</v>
      </c>
      <c r="I2197" s="24">
        <v>25.16</v>
      </c>
      <c r="J2197" s="24">
        <v>4.53</v>
      </c>
      <c r="K2197" s="24">
        <v>2067.31</v>
      </c>
      <c r="L2197" s="38">
        <v>46279</v>
      </c>
      <c r="M2197" s="23" t="s">
        <v>200</v>
      </c>
      <c r="N2197" s="23" t="str">
        <f>IF(COUNTIF($A$2:A2197,A2197)&gt;1,"DUP","OK")</f>
        <v>OK</v>
      </c>
      <c r="O2197" s="23" t="str">
        <f t="shared" si="103"/>
        <v>ORD26004626</v>
      </c>
      <c r="P2197" s="23" t="str">
        <f t="shared" si="104"/>
        <v>Sep</v>
      </c>
      <c r="Q2197" s="23" t="str">
        <f>IF(F2197="CAPTURE",IF(COUNTIF(orders!$A:$A,O2197)&gt;0,"Yes","NO ORDER"),"")</f>
        <v>Yes</v>
      </c>
    </row>
    <row r="2198" spans="1:17" ht="15" customHeight="1" x14ac:dyDescent="0.3">
      <c r="A2198" s="23" t="s">
        <v>14970</v>
      </c>
      <c r="B2198" s="23"/>
      <c r="C2198" s="23" t="s">
        <v>9737</v>
      </c>
      <c r="D2198" s="23" t="str">
        <f t="shared" si="102"/>
        <v>ORD26004632</v>
      </c>
      <c r="E2198" s="38">
        <v>46277</v>
      </c>
      <c r="F2198" s="23" t="s">
        <v>12410</v>
      </c>
      <c r="G2198" s="23" t="s">
        <v>79</v>
      </c>
      <c r="H2198" s="24">
        <v>4999</v>
      </c>
      <c r="I2198" s="24">
        <v>79.98</v>
      </c>
      <c r="J2198" s="24">
        <v>14.4</v>
      </c>
      <c r="K2198" s="24">
        <v>4904.62</v>
      </c>
      <c r="L2198" s="38">
        <v>46279</v>
      </c>
      <c r="M2198" s="23" t="s">
        <v>200</v>
      </c>
      <c r="N2198" s="23" t="str">
        <f>IF(COUNTIF($A$2:A2198,A2198)&gt;1,"DUP","OK")</f>
        <v>OK</v>
      </c>
      <c r="O2198" s="23" t="str">
        <f t="shared" si="103"/>
        <v>ORD26004632</v>
      </c>
      <c r="P2198" s="23" t="str">
        <f t="shared" si="104"/>
        <v>Sep</v>
      </c>
      <c r="Q2198" s="23" t="str">
        <f>IF(F2198="CAPTURE",IF(COUNTIF(orders!$A:$A,O2198)&gt;0,"Yes","NO ORDER"),"")</f>
        <v>Yes</v>
      </c>
    </row>
    <row r="2199" spans="1:17" ht="15" customHeight="1" x14ac:dyDescent="0.3">
      <c r="A2199" s="23" t="s">
        <v>14971</v>
      </c>
      <c r="B2199" s="23"/>
      <c r="C2199" s="23" t="s">
        <v>9764</v>
      </c>
      <c r="D2199" s="23" t="str">
        <f t="shared" si="102"/>
        <v>ORD26004647</v>
      </c>
      <c r="E2199" s="38">
        <v>46277</v>
      </c>
      <c r="F2199" s="23" t="s">
        <v>12410</v>
      </c>
      <c r="G2199" s="23" t="s">
        <v>79</v>
      </c>
      <c r="H2199" s="24">
        <v>1299</v>
      </c>
      <c r="I2199" s="24">
        <v>23.38</v>
      </c>
      <c r="J2199" s="24">
        <v>4.21</v>
      </c>
      <c r="K2199" s="24">
        <v>1271.4100000000001</v>
      </c>
      <c r="L2199" s="38">
        <v>46279</v>
      </c>
      <c r="M2199" s="23" t="s">
        <v>200</v>
      </c>
      <c r="N2199" s="23" t="str">
        <f>IF(COUNTIF($A$2:A2199,A2199)&gt;1,"DUP","OK")</f>
        <v>OK</v>
      </c>
      <c r="O2199" s="23" t="str">
        <f t="shared" si="103"/>
        <v>ORD26004647</v>
      </c>
      <c r="P2199" s="23" t="str">
        <f t="shared" si="104"/>
        <v>Sep</v>
      </c>
      <c r="Q2199" s="23" t="str">
        <f>IF(F2199="CAPTURE",IF(COUNTIF(orders!$A:$A,O2199)&gt;0,"Yes","NO ORDER"),"")</f>
        <v>Yes</v>
      </c>
    </row>
    <row r="2200" spans="1:17" ht="15" customHeight="1" x14ac:dyDescent="0.3">
      <c r="A2200" s="23" t="s">
        <v>14972</v>
      </c>
      <c r="B2200" s="23"/>
      <c r="C2200" s="23" t="s">
        <v>9818</v>
      </c>
      <c r="D2200" s="23" t="str">
        <f t="shared" si="102"/>
        <v>ORD26004675</v>
      </c>
      <c r="E2200" s="38">
        <v>46277</v>
      </c>
      <c r="F2200" s="23" t="s">
        <v>12410</v>
      </c>
      <c r="G2200" s="23" t="s">
        <v>75</v>
      </c>
      <c r="H2200" s="24">
        <v>2499</v>
      </c>
      <c r="I2200" s="24">
        <v>7.5</v>
      </c>
      <c r="J2200" s="24">
        <v>1.35</v>
      </c>
      <c r="K2200" s="24">
        <v>2490.15</v>
      </c>
      <c r="L2200" s="38">
        <v>46279</v>
      </c>
      <c r="M2200" s="23" t="s">
        <v>200</v>
      </c>
      <c r="N2200" s="23" t="str">
        <f>IF(COUNTIF($A$2:A2200,A2200)&gt;1,"DUP","OK")</f>
        <v>OK</v>
      </c>
      <c r="O2200" s="23" t="str">
        <f t="shared" si="103"/>
        <v>ORD26004675</v>
      </c>
      <c r="P2200" s="23" t="str">
        <f t="shared" si="104"/>
        <v>Sep</v>
      </c>
      <c r="Q2200" s="23" t="str">
        <f>IF(F2200="CAPTURE",IF(COUNTIF(orders!$A:$A,O2200)&gt;0,"Yes","NO ORDER"),"")</f>
        <v>Yes</v>
      </c>
    </row>
    <row r="2201" spans="1:17" ht="15" customHeight="1" x14ac:dyDescent="0.3">
      <c r="A2201" s="23" t="s">
        <v>14973</v>
      </c>
      <c r="B2201" s="23"/>
      <c r="C2201" s="23" t="s">
        <v>9854</v>
      </c>
      <c r="D2201" s="23" t="str">
        <f t="shared" si="102"/>
        <v>ORD26004693</v>
      </c>
      <c r="E2201" s="38">
        <v>46277</v>
      </c>
      <c r="F2201" s="23" t="s">
        <v>12410</v>
      </c>
      <c r="G2201" s="23" t="s">
        <v>79</v>
      </c>
      <c r="H2201" s="24">
        <v>3499</v>
      </c>
      <c r="I2201" s="24">
        <v>55.98</v>
      </c>
      <c r="J2201" s="24">
        <v>10.08</v>
      </c>
      <c r="K2201" s="24">
        <v>3432.94</v>
      </c>
      <c r="L2201" s="38">
        <v>46279</v>
      </c>
      <c r="M2201" s="23" t="s">
        <v>200</v>
      </c>
      <c r="N2201" s="23" t="str">
        <f>IF(COUNTIF($A$2:A2201,A2201)&gt;1,"DUP","OK")</f>
        <v>OK</v>
      </c>
      <c r="O2201" s="23" t="str">
        <f t="shared" si="103"/>
        <v>ORD26004693</v>
      </c>
      <c r="P2201" s="23" t="str">
        <f t="shared" si="104"/>
        <v>Sep</v>
      </c>
      <c r="Q2201" s="23" t="str">
        <f>IF(F2201="CAPTURE",IF(COUNTIF(orders!$A:$A,O2201)&gt;0,"Yes","NO ORDER"),"")</f>
        <v>Yes</v>
      </c>
    </row>
    <row r="2202" spans="1:17" ht="15" customHeight="1" x14ac:dyDescent="0.3">
      <c r="A2202" s="23" t="s">
        <v>14974</v>
      </c>
      <c r="B2202" s="23"/>
      <c r="C2202" s="23" t="s">
        <v>9882</v>
      </c>
      <c r="D2202" s="23" t="str">
        <f t="shared" si="102"/>
        <v>ORD26004707</v>
      </c>
      <c r="E2202" s="38">
        <v>46277</v>
      </c>
      <c r="F2202" s="23" t="s">
        <v>12410</v>
      </c>
      <c r="G2202" s="23" t="s">
        <v>79</v>
      </c>
      <c r="H2202" s="24">
        <v>7597</v>
      </c>
      <c r="I2202" s="24">
        <v>121.55</v>
      </c>
      <c r="J2202" s="24">
        <v>21.88</v>
      </c>
      <c r="K2202" s="24">
        <v>7453.57</v>
      </c>
      <c r="L2202" s="38">
        <v>46279</v>
      </c>
      <c r="M2202" s="23" t="s">
        <v>200</v>
      </c>
      <c r="N2202" s="23" t="str">
        <f>IF(COUNTIF($A$2:A2202,A2202)&gt;1,"DUP","OK")</f>
        <v>OK</v>
      </c>
      <c r="O2202" s="23" t="str">
        <f t="shared" si="103"/>
        <v>ORD26004707</v>
      </c>
      <c r="P2202" s="23" t="str">
        <f t="shared" si="104"/>
        <v>Sep</v>
      </c>
      <c r="Q2202" s="23" t="str">
        <f>IF(F2202="CAPTURE",IF(COUNTIF(orders!$A:$A,O2202)&gt;0,"Yes","NO ORDER"),"")</f>
        <v>Yes</v>
      </c>
    </row>
    <row r="2203" spans="1:17" ht="15" customHeight="1" x14ac:dyDescent="0.3">
      <c r="A2203" s="23" t="s">
        <v>14975</v>
      </c>
      <c r="B2203" s="23"/>
      <c r="C2203" s="23" t="s">
        <v>14976</v>
      </c>
      <c r="D2203" s="23" t="str">
        <f t="shared" si="102"/>
        <v>ORD26004726</v>
      </c>
      <c r="E2203" s="38">
        <v>46277</v>
      </c>
      <c r="F2203" s="23" t="s">
        <v>12410</v>
      </c>
      <c r="G2203" s="23" t="s">
        <v>75</v>
      </c>
      <c r="H2203" s="24">
        <v>1098</v>
      </c>
      <c r="I2203" s="24">
        <v>0</v>
      </c>
      <c r="J2203" s="24">
        <v>0</v>
      </c>
      <c r="K2203" s="24">
        <v>1098</v>
      </c>
      <c r="L2203" s="38">
        <v>46279</v>
      </c>
      <c r="M2203" s="23" t="s">
        <v>200</v>
      </c>
      <c r="N2203" s="23" t="str">
        <f>IF(COUNTIF($A$2:A2203,A2203)&gt;1,"DUP","OK")</f>
        <v>OK</v>
      </c>
      <c r="O2203" s="23" t="str">
        <f t="shared" si="103"/>
        <v>ORD26004726</v>
      </c>
      <c r="P2203" s="23" t="str">
        <f t="shared" si="104"/>
        <v>Sep</v>
      </c>
      <c r="Q2203" s="23" t="str">
        <f>IF(F2203="CAPTURE",IF(COUNTIF(orders!$A:$A,O2203)&gt;0,"Yes","NO ORDER"),"")</f>
        <v>Yes</v>
      </c>
    </row>
    <row r="2204" spans="1:17" ht="15" customHeight="1" x14ac:dyDescent="0.3">
      <c r="A2204" s="23" t="s">
        <v>14977</v>
      </c>
      <c r="B2204" s="23"/>
      <c r="C2204" s="23" t="s">
        <v>9936</v>
      </c>
      <c r="D2204" s="23" t="str">
        <f t="shared" si="102"/>
        <v>ORD26004735</v>
      </c>
      <c r="E2204" s="38">
        <v>46277</v>
      </c>
      <c r="F2204" s="23" t="s">
        <v>12410</v>
      </c>
      <c r="G2204" s="23" t="s">
        <v>79</v>
      </c>
      <c r="H2204" s="24">
        <v>8998</v>
      </c>
      <c r="I2204" s="24">
        <v>143.97</v>
      </c>
      <c r="J2204" s="24">
        <v>25.91</v>
      </c>
      <c r="K2204" s="24">
        <v>8828.1200000000008</v>
      </c>
      <c r="L2204" s="38">
        <v>46279</v>
      </c>
      <c r="M2204" s="23" t="s">
        <v>200</v>
      </c>
      <c r="N2204" s="23" t="str">
        <f>IF(COUNTIF($A$2:A2204,A2204)&gt;1,"DUP","OK")</f>
        <v>OK</v>
      </c>
      <c r="O2204" s="23" t="str">
        <f t="shared" si="103"/>
        <v>ORD26004735</v>
      </c>
      <c r="P2204" s="23" t="str">
        <f t="shared" si="104"/>
        <v>Sep</v>
      </c>
      <c r="Q2204" s="23" t="str">
        <f>IF(F2204="CAPTURE",IF(COUNTIF(orders!$A:$A,O2204)&gt;0,"Yes","NO ORDER"),"")</f>
        <v>Yes</v>
      </c>
    </row>
    <row r="2205" spans="1:17" ht="15" customHeight="1" x14ac:dyDescent="0.3">
      <c r="A2205" s="23" t="s">
        <v>14978</v>
      </c>
      <c r="B2205" s="23"/>
      <c r="C2205" s="23" t="s">
        <v>9966</v>
      </c>
      <c r="D2205" s="23" t="str">
        <f t="shared" si="102"/>
        <v>ORD26004751</v>
      </c>
      <c r="E2205" s="38">
        <v>46277</v>
      </c>
      <c r="F2205" s="23" t="s">
        <v>12410</v>
      </c>
      <c r="G2205" s="23" t="s">
        <v>81</v>
      </c>
      <c r="H2205" s="24">
        <v>4998</v>
      </c>
      <c r="I2205" s="24">
        <v>59.98</v>
      </c>
      <c r="J2205" s="24">
        <v>10.8</v>
      </c>
      <c r="K2205" s="24">
        <v>4927.22</v>
      </c>
      <c r="L2205" s="38">
        <v>46279</v>
      </c>
      <c r="M2205" s="23" t="s">
        <v>200</v>
      </c>
      <c r="N2205" s="23" t="str">
        <f>IF(COUNTIF($A$2:A2205,A2205)&gt;1,"DUP","OK")</f>
        <v>OK</v>
      </c>
      <c r="O2205" s="23" t="str">
        <f t="shared" si="103"/>
        <v>ORD26004751</v>
      </c>
      <c r="P2205" s="23" t="str">
        <f t="shared" si="104"/>
        <v>Sep</v>
      </c>
      <c r="Q2205" s="23" t="str">
        <f>IF(F2205="CAPTURE",IF(COUNTIF(orders!$A:$A,O2205)&gt;0,"Yes","NO ORDER"),"")</f>
        <v>Yes</v>
      </c>
    </row>
    <row r="2206" spans="1:17" ht="15" customHeight="1" x14ac:dyDescent="0.3">
      <c r="A2206" s="23" t="s">
        <v>14979</v>
      </c>
      <c r="B2206" s="23"/>
      <c r="C2206" s="23" t="s">
        <v>10052</v>
      </c>
      <c r="D2206" s="23" t="str">
        <f t="shared" si="102"/>
        <v>ORD26004795</v>
      </c>
      <c r="E2206" s="38">
        <v>46277</v>
      </c>
      <c r="F2206" s="23" t="s">
        <v>12410</v>
      </c>
      <c r="G2206" s="23" t="s">
        <v>79</v>
      </c>
      <c r="H2206" s="24">
        <v>299</v>
      </c>
      <c r="I2206" s="24">
        <v>5.38</v>
      </c>
      <c r="J2206" s="24">
        <v>0.97</v>
      </c>
      <c r="K2206" s="24">
        <v>292.64999999999998</v>
      </c>
      <c r="L2206" s="38">
        <v>46279</v>
      </c>
      <c r="M2206" s="23" t="s">
        <v>200</v>
      </c>
      <c r="N2206" s="23" t="str">
        <f>IF(COUNTIF($A$2:A2206,A2206)&gt;1,"DUP","OK")</f>
        <v>OK</v>
      </c>
      <c r="O2206" s="23" t="str">
        <f t="shared" si="103"/>
        <v>ORD26004795</v>
      </c>
      <c r="P2206" s="23" t="str">
        <f t="shared" si="104"/>
        <v>Sep</v>
      </c>
      <c r="Q2206" s="23" t="str">
        <f>IF(F2206="CAPTURE",IF(COUNTIF(orders!$A:$A,O2206)&gt;0,"Yes","NO ORDER"),"")</f>
        <v>Yes</v>
      </c>
    </row>
    <row r="2207" spans="1:17" ht="15" customHeight="1" x14ac:dyDescent="0.3">
      <c r="A2207" s="23" t="s">
        <v>14980</v>
      </c>
      <c r="B2207" s="23"/>
      <c r="C2207" s="23" t="s">
        <v>10079</v>
      </c>
      <c r="D2207" s="23" t="str">
        <f t="shared" si="102"/>
        <v>ORD26004809</v>
      </c>
      <c r="E2207" s="38">
        <v>46277</v>
      </c>
      <c r="F2207" s="23" t="s">
        <v>12410</v>
      </c>
      <c r="G2207" s="23" t="s">
        <v>79</v>
      </c>
      <c r="H2207" s="24">
        <v>8298</v>
      </c>
      <c r="I2207" s="24">
        <v>132.77000000000001</v>
      </c>
      <c r="J2207" s="24">
        <v>23.9</v>
      </c>
      <c r="K2207" s="24">
        <v>8141.33</v>
      </c>
      <c r="L2207" s="38">
        <v>46279</v>
      </c>
      <c r="M2207" s="23" t="s">
        <v>200</v>
      </c>
      <c r="N2207" s="23" t="str">
        <f>IF(COUNTIF($A$2:A2207,A2207)&gt;1,"DUP","OK")</f>
        <v>OK</v>
      </c>
      <c r="O2207" s="23" t="str">
        <f t="shared" si="103"/>
        <v>ORD26004809</v>
      </c>
      <c r="P2207" s="23" t="str">
        <f t="shared" si="104"/>
        <v>Sep</v>
      </c>
      <c r="Q2207" s="23" t="str">
        <f>IF(F2207="CAPTURE",IF(COUNTIF(orders!$A:$A,O2207)&gt;0,"Yes","NO ORDER"),"")</f>
        <v>Yes</v>
      </c>
    </row>
    <row r="2208" spans="1:17" ht="15" customHeight="1" x14ac:dyDescent="0.3">
      <c r="A2208" s="23" t="s">
        <v>14981</v>
      </c>
      <c r="B2208" s="23"/>
      <c r="C2208" s="23" t="s">
        <v>14982</v>
      </c>
      <c r="D2208" s="23" t="str">
        <f t="shared" si="102"/>
        <v>ORD26004832</v>
      </c>
      <c r="E2208" s="38">
        <v>46277</v>
      </c>
      <c r="F2208" s="23" t="s">
        <v>12410</v>
      </c>
      <c r="G2208" s="23" t="s">
        <v>75</v>
      </c>
      <c r="H2208" s="24">
        <v>2499</v>
      </c>
      <c r="I2208" s="24">
        <v>7.5</v>
      </c>
      <c r="J2208" s="24">
        <v>1.35</v>
      </c>
      <c r="K2208" s="24">
        <v>2490.15</v>
      </c>
      <c r="L2208" s="38">
        <v>46279</v>
      </c>
      <c r="M2208" s="23" t="s">
        <v>200</v>
      </c>
      <c r="N2208" s="23" t="str">
        <f>IF(COUNTIF($A$2:A2208,A2208)&gt;1,"DUP","OK")</f>
        <v>OK</v>
      </c>
      <c r="O2208" s="23" t="str">
        <f t="shared" si="103"/>
        <v>ORD26004832</v>
      </c>
      <c r="P2208" s="23" t="str">
        <f t="shared" si="104"/>
        <v>Sep</v>
      </c>
      <c r="Q2208" s="23" t="str">
        <f>IF(F2208="CAPTURE",IF(COUNTIF(orders!$A:$A,O2208)&gt;0,"Yes","NO ORDER"),"")</f>
        <v>Yes</v>
      </c>
    </row>
    <row r="2209" spans="1:17" ht="15" customHeight="1" x14ac:dyDescent="0.3">
      <c r="A2209" s="23" t="s">
        <v>14983</v>
      </c>
      <c r="B2209" s="23"/>
      <c r="C2209" s="23" t="s">
        <v>14984</v>
      </c>
      <c r="D2209" s="23" t="str">
        <f t="shared" si="102"/>
        <v>ORD26004849</v>
      </c>
      <c r="E2209" s="38">
        <v>46277</v>
      </c>
      <c r="F2209" s="23" t="s">
        <v>12410</v>
      </c>
      <c r="G2209" s="23" t="s">
        <v>75</v>
      </c>
      <c r="H2209" s="24">
        <v>898</v>
      </c>
      <c r="I2209" s="24">
        <v>0</v>
      </c>
      <c r="J2209" s="24">
        <v>0</v>
      </c>
      <c r="K2209" s="24">
        <v>898</v>
      </c>
      <c r="L2209" s="38">
        <v>46279</v>
      </c>
      <c r="M2209" s="23" t="s">
        <v>200</v>
      </c>
      <c r="N2209" s="23" t="str">
        <f>IF(COUNTIF($A$2:A2209,A2209)&gt;1,"DUP","OK")</f>
        <v>OK</v>
      </c>
      <c r="O2209" s="23" t="str">
        <f t="shared" si="103"/>
        <v>ORD26004849</v>
      </c>
      <c r="P2209" s="23" t="str">
        <f t="shared" si="104"/>
        <v>Sep</v>
      </c>
      <c r="Q2209" s="23" t="str">
        <f>IF(F2209="CAPTURE",IF(COUNTIF(orders!$A:$A,O2209)&gt;0,"Yes","NO ORDER"),"")</f>
        <v>Yes</v>
      </c>
    </row>
    <row r="2210" spans="1:17" ht="15" customHeight="1" x14ac:dyDescent="0.3">
      <c r="A2210" s="23" t="s">
        <v>14985</v>
      </c>
      <c r="B2210" s="23"/>
      <c r="C2210" s="23" t="s">
        <v>10298</v>
      </c>
      <c r="D2210" s="23" t="str">
        <f t="shared" si="102"/>
        <v>ORD26004921</v>
      </c>
      <c r="E2210" s="38">
        <v>46277</v>
      </c>
      <c r="F2210" s="23" t="s">
        <v>12410</v>
      </c>
      <c r="G2210" s="23" t="s">
        <v>75</v>
      </c>
      <c r="H2210" s="24">
        <v>2297</v>
      </c>
      <c r="I2210" s="24">
        <v>6.89</v>
      </c>
      <c r="J2210" s="24">
        <v>1.24</v>
      </c>
      <c r="K2210" s="24">
        <v>2288.87</v>
      </c>
      <c r="L2210" s="38">
        <v>46279</v>
      </c>
      <c r="M2210" s="23" t="s">
        <v>200</v>
      </c>
      <c r="N2210" s="23" t="str">
        <f>IF(COUNTIF($A$2:A2210,A2210)&gt;1,"DUP","OK")</f>
        <v>OK</v>
      </c>
      <c r="O2210" s="23" t="str">
        <f t="shared" si="103"/>
        <v>ORD26004921</v>
      </c>
      <c r="P2210" s="23" t="str">
        <f t="shared" si="104"/>
        <v>Sep</v>
      </c>
      <c r="Q2210" s="23" t="str">
        <f>IF(F2210="CAPTURE",IF(COUNTIF(orders!$A:$A,O2210)&gt;0,"Yes","NO ORDER"),"")</f>
        <v>Yes</v>
      </c>
    </row>
    <row r="2211" spans="1:17" ht="15" customHeight="1" x14ac:dyDescent="0.3">
      <c r="A2211" s="23" t="s">
        <v>14986</v>
      </c>
      <c r="B2211" s="23"/>
      <c r="C2211" s="23" t="s">
        <v>14987</v>
      </c>
      <c r="D2211" s="23" t="str">
        <f t="shared" si="102"/>
        <v>ORD26004927</v>
      </c>
      <c r="E2211" s="38">
        <v>46277</v>
      </c>
      <c r="F2211" s="23" t="s">
        <v>12410</v>
      </c>
      <c r="G2211" s="23" t="s">
        <v>79</v>
      </c>
      <c r="H2211" s="24">
        <v>1598</v>
      </c>
      <c r="I2211" s="24">
        <v>28.76</v>
      </c>
      <c r="J2211" s="24">
        <v>5.18</v>
      </c>
      <c r="K2211" s="24">
        <v>1564.06</v>
      </c>
      <c r="L2211" s="38">
        <v>46279</v>
      </c>
      <c r="M2211" s="23" t="s">
        <v>200</v>
      </c>
      <c r="N2211" s="23" t="str">
        <f>IF(COUNTIF($A$2:A2211,A2211)&gt;1,"DUP","OK")</f>
        <v>OK</v>
      </c>
      <c r="O2211" s="23" t="str">
        <f t="shared" si="103"/>
        <v>ORD26004927</v>
      </c>
      <c r="P2211" s="23" t="str">
        <f t="shared" si="104"/>
        <v>Sep</v>
      </c>
      <c r="Q2211" s="23" t="str">
        <f>IF(F2211="CAPTURE",IF(COUNTIF(orders!$A:$A,O2211)&gt;0,"Yes","NO ORDER"),"")</f>
        <v>Yes</v>
      </c>
    </row>
    <row r="2212" spans="1:17" ht="15" customHeight="1" x14ac:dyDescent="0.3">
      <c r="A2212" s="23" t="s">
        <v>14988</v>
      </c>
      <c r="B2212" s="23"/>
      <c r="C2212" s="23" t="s">
        <v>10359</v>
      </c>
      <c r="D2212" s="23" t="str">
        <f t="shared" si="102"/>
        <v>ORD26004952</v>
      </c>
      <c r="E2212" s="38">
        <v>46277</v>
      </c>
      <c r="F2212" s="23" t="s">
        <v>12410</v>
      </c>
      <c r="G2212" s="23" t="s">
        <v>79</v>
      </c>
      <c r="H2212" s="24">
        <v>2098</v>
      </c>
      <c r="I2212" s="24">
        <v>33.57</v>
      </c>
      <c r="J2212" s="24">
        <v>6.04</v>
      </c>
      <c r="K2212" s="24">
        <v>2058.39</v>
      </c>
      <c r="L2212" s="38">
        <v>46279</v>
      </c>
      <c r="M2212" s="23" t="s">
        <v>200</v>
      </c>
      <c r="N2212" s="23" t="str">
        <f>IF(COUNTIF($A$2:A2212,A2212)&gt;1,"DUP","OK")</f>
        <v>OK</v>
      </c>
      <c r="O2212" s="23" t="str">
        <f t="shared" si="103"/>
        <v>ORD26004952</v>
      </c>
      <c r="P2212" s="23" t="str">
        <f t="shared" si="104"/>
        <v>Sep</v>
      </c>
      <c r="Q2212" s="23" t="str">
        <f>IF(F2212="CAPTURE",IF(COUNTIF(orders!$A:$A,O2212)&gt;0,"Yes","NO ORDER"),"")</f>
        <v>Yes</v>
      </c>
    </row>
    <row r="2213" spans="1:17" ht="15" customHeight="1" x14ac:dyDescent="0.3">
      <c r="A2213" s="23" t="s">
        <v>14989</v>
      </c>
      <c r="B2213" s="23"/>
      <c r="C2213" s="23" t="s">
        <v>10391</v>
      </c>
      <c r="D2213" s="23" t="str">
        <f t="shared" si="102"/>
        <v>ORD26004969</v>
      </c>
      <c r="E2213" s="38">
        <v>46277</v>
      </c>
      <c r="F2213" s="23" t="s">
        <v>12410</v>
      </c>
      <c r="G2213" s="23" t="s">
        <v>75</v>
      </c>
      <c r="H2213" s="24">
        <v>5297</v>
      </c>
      <c r="I2213" s="24">
        <v>15.89</v>
      </c>
      <c r="J2213" s="24">
        <v>2.86</v>
      </c>
      <c r="K2213" s="24">
        <v>5278.25</v>
      </c>
      <c r="L2213" s="38">
        <v>46279</v>
      </c>
      <c r="M2213" s="23" t="s">
        <v>200</v>
      </c>
      <c r="N2213" s="23" t="str">
        <f>IF(COUNTIF($A$2:A2213,A2213)&gt;1,"DUP","OK")</f>
        <v>OK</v>
      </c>
      <c r="O2213" s="23" t="str">
        <f t="shared" si="103"/>
        <v>ORD26004969</v>
      </c>
      <c r="P2213" s="23" t="str">
        <f t="shared" si="104"/>
        <v>Sep</v>
      </c>
      <c r="Q2213" s="23" t="str">
        <f>IF(F2213="CAPTURE",IF(COUNTIF(orders!$A:$A,O2213)&gt;0,"Yes","NO ORDER"),"")</f>
        <v>Yes</v>
      </c>
    </row>
    <row r="2214" spans="1:17" ht="15" customHeight="1" x14ac:dyDescent="0.3">
      <c r="A2214" s="23" t="s">
        <v>14990</v>
      </c>
      <c r="B2214" s="23"/>
      <c r="C2214" s="23" t="s">
        <v>10419</v>
      </c>
      <c r="D2214" s="23" t="str">
        <f t="shared" si="102"/>
        <v>ORD26004983</v>
      </c>
      <c r="E2214" s="38">
        <v>46277</v>
      </c>
      <c r="F2214" s="23" t="s">
        <v>12410</v>
      </c>
      <c r="G2214" s="23" t="s">
        <v>81</v>
      </c>
      <c r="H2214" s="24">
        <v>1499</v>
      </c>
      <c r="I2214" s="24">
        <v>22.49</v>
      </c>
      <c r="J2214" s="24">
        <v>4.05</v>
      </c>
      <c r="K2214" s="24">
        <v>1472.46</v>
      </c>
      <c r="L2214" s="38">
        <v>46279</v>
      </c>
      <c r="M2214" s="23" t="s">
        <v>200</v>
      </c>
      <c r="N2214" s="23" t="str">
        <f>IF(COUNTIF($A$2:A2214,A2214)&gt;1,"DUP","OK")</f>
        <v>OK</v>
      </c>
      <c r="O2214" s="23" t="str">
        <f t="shared" si="103"/>
        <v>ORD26004983</v>
      </c>
      <c r="P2214" s="23" t="str">
        <f t="shared" si="104"/>
        <v>Sep</v>
      </c>
      <c r="Q2214" s="23" t="str">
        <f>IF(F2214="CAPTURE",IF(COUNTIF(orders!$A:$A,O2214)&gt;0,"Yes","NO ORDER"),"")</f>
        <v>Yes</v>
      </c>
    </row>
    <row r="2215" spans="1:17" ht="15" customHeight="1" x14ac:dyDescent="0.3">
      <c r="A2215" s="23" t="s">
        <v>14991</v>
      </c>
      <c r="B2215" s="23"/>
      <c r="C2215" s="23" t="s">
        <v>10433</v>
      </c>
      <c r="D2215" s="23" t="str">
        <f t="shared" si="102"/>
        <v>ORD26004990</v>
      </c>
      <c r="E2215" s="38">
        <v>46277</v>
      </c>
      <c r="F2215" s="23" t="s">
        <v>12410</v>
      </c>
      <c r="G2215" s="23" t="s">
        <v>79</v>
      </c>
      <c r="H2215" s="24">
        <v>10147</v>
      </c>
      <c r="I2215" s="24">
        <v>162.35</v>
      </c>
      <c r="J2215" s="24">
        <v>29.22</v>
      </c>
      <c r="K2215" s="24">
        <v>9955.43</v>
      </c>
      <c r="L2215" s="38">
        <v>46279</v>
      </c>
      <c r="M2215" s="23" t="s">
        <v>200</v>
      </c>
      <c r="N2215" s="23" t="str">
        <f>IF(COUNTIF($A$2:A2215,A2215)&gt;1,"DUP","OK")</f>
        <v>OK</v>
      </c>
      <c r="O2215" s="23" t="str">
        <f t="shared" si="103"/>
        <v>ORD26004990</v>
      </c>
      <c r="P2215" s="23" t="str">
        <f t="shared" si="104"/>
        <v>Sep</v>
      </c>
      <c r="Q2215" s="23" t="str">
        <f>IF(F2215="CAPTURE",IF(COUNTIF(orders!$A:$A,O2215)&gt;0,"Yes","NO ORDER"),"")</f>
        <v>Yes</v>
      </c>
    </row>
    <row r="2216" spans="1:17" ht="15" customHeight="1" x14ac:dyDescent="0.3">
      <c r="A2216" s="23" t="s">
        <v>14992</v>
      </c>
      <c r="B2216" s="23"/>
      <c r="C2216" s="23" t="s">
        <v>10457</v>
      </c>
      <c r="D2216" s="23" t="str">
        <f t="shared" si="102"/>
        <v>ORD26005002</v>
      </c>
      <c r="E2216" s="38">
        <v>46277</v>
      </c>
      <c r="F2216" s="23" t="s">
        <v>12410</v>
      </c>
      <c r="G2216" s="23" t="s">
        <v>75</v>
      </c>
      <c r="H2216" s="24">
        <v>2499</v>
      </c>
      <c r="I2216" s="24">
        <v>7.5</v>
      </c>
      <c r="J2216" s="24">
        <v>1.35</v>
      </c>
      <c r="K2216" s="24">
        <v>2490.15</v>
      </c>
      <c r="L2216" s="38">
        <v>46279</v>
      </c>
      <c r="M2216" s="23" t="s">
        <v>200</v>
      </c>
      <c r="N2216" s="23" t="str">
        <f>IF(COUNTIF($A$2:A2216,A2216)&gt;1,"DUP","OK")</f>
        <v>OK</v>
      </c>
      <c r="O2216" s="23" t="str">
        <f t="shared" si="103"/>
        <v>ORD26005002</v>
      </c>
      <c r="P2216" s="23" t="str">
        <f t="shared" si="104"/>
        <v>Sep</v>
      </c>
      <c r="Q2216" s="23" t="str">
        <f>IF(F2216="CAPTURE",IF(COUNTIF(orders!$A:$A,O2216)&gt;0,"Yes","NO ORDER"),"")</f>
        <v>Yes</v>
      </c>
    </row>
    <row r="2217" spans="1:17" ht="15" customHeight="1" x14ac:dyDescent="0.3">
      <c r="A2217" s="23" t="s">
        <v>14993</v>
      </c>
      <c r="B2217" s="23"/>
      <c r="C2217" s="23" t="s">
        <v>10527</v>
      </c>
      <c r="D2217" s="23" t="str">
        <f t="shared" si="102"/>
        <v>ORD26005039</v>
      </c>
      <c r="E2217" s="38">
        <v>46277</v>
      </c>
      <c r="F2217" s="23" t="s">
        <v>12410</v>
      </c>
      <c r="G2217" s="23" t="s">
        <v>79</v>
      </c>
      <c r="H2217" s="24">
        <v>1098</v>
      </c>
      <c r="I2217" s="24">
        <v>19.760000000000002</v>
      </c>
      <c r="J2217" s="24">
        <v>3.56</v>
      </c>
      <c r="K2217" s="24">
        <v>1074.68</v>
      </c>
      <c r="L2217" s="38">
        <v>46279</v>
      </c>
      <c r="M2217" s="23" t="s">
        <v>200</v>
      </c>
      <c r="N2217" s="23" t="str">
        <f>IF(COUNTIF($A$2:A2217,A2217)&gt;1,"DUP","OK")</f>
        <v>OK</v>
      </c>
      <c r="O2217" s="23" t="str">
        <f t="shared" si="103"/>
        <v>ORD26005039</v>
      </c>
      <c r="P2217" s="23" t="str">
        <f t="shared" si="104"/>
        <v>Sep</v>
      </c>
      <c r="Q2217" s="23" t="str">
        <f>IF(F2217="CAPTURE",IF(COUNTIF(orders!$A:$A,O2217)&gt;0,"Yes","NO ORDER"),"")</f>
        <v>Yes</v>
      </c>
    </row>
    <row r="2218" spans="1:17" ht="15" customHeight="1" x14ac:dyDescent="0.3">
      <c r="A2218" s="23" t="s">
        <v>14994</v>
      </c>
      <c r="B2218" s="23"/>
      <c r="C2218" s="23" t="s">
        <v>10552</v>
      </c>
      <c r="D2218" s="23" t="str">
        <f t="shared" si="102"/>
        <v>ORD26005053</v>
      </c>
      <c r="E2218" s="38">
        <v>46277</v>
      </c>
      <c r="F2218" s="23" t="s">
        <v>12410</v>
      </c>
      <c r="G2218" s="23" t="s">
        <v>77</v>
      </c>
      <c r="H2218" s="24">
        <v>4298</v>
      </c>
      <c r="I2218" s="24">
        <v>73.069999999999993</v>
      </c>
      <c r="J2218" s="24">
        <v>13.15</v>
      </c>
      <c r="K2218" s="24">
        <v>4211.78</v>
      </c>
      <c r="L2218" s="38">
        <v>46279</v>
      </c>
      <c r="M2218" s="23" t="s">
        <v>200</v>
      </c>
      <c r="N2218" s="23" t="str">
        <f>IF(COUNTIF($A$2:A2218,A2218)&gt;1,"DUP","OK")</f>
        <v>OK</v>
      </c>
      <c r="O2218" s="23" t="str">
        <f t="shared" si="103"/>
        <v>ORD26005053</v>
      </c>
      <c r="P2218" s="23" t="str">
        <f t="shared" si="104"/>
        <v>Sep</v>
      </c>
      <c r="Q2218" s="23" t="str">
        <f>IF(F2218="CAPTURE",IF(COUNTIF(orders!$A:$A,O2218)&gt;0,"Yes","NO ORDER"),"")</f>
        <v>Yes</v>
      </c>
    </row>
    <row r="2219" spans="1:17" ht="15" customHeight="1" x14ac:dyDescent="0.3">
      <c r="A2219" s="23" t="s">
        <v>14995</v>
      </c>
      <c r="B2219" s="23"/>
      <c r="C2219" s="23" t="s">
        <v>10570</v>
      </c>
      <c r="D2219" s="23" t="str">
        <f t="shared" si="102"/>
        <v>ORD26005062</v>
      </c>
      <c r="E2219" s="38">
        <v>46277</v>
      </c>
      <c r="F2219" s="23" t="s">
        <v>12410</v>
      </c>
      <c r="G2219" s="23" t="s">
        <v>79</v>
      </c>
      <c r="H2219" s="24">
        <v>3499</v>
      </c>
      <c r="I2219" s="24">
        <v>55.98</v>
      </c>
      <c r="J2219" s="24">
        <v>10.08</v>
      </c>
      <c r="K2219" s="24">
        <v>3432.94</v>
      </c>
      <c r="L2219" s="38">
        <v>46279</v>
      </c>
      <c r="M2219" s="23" t="s">
        <v>200</v>
      </c>
      <c r="N2219" s="23" t="str">
        <f>IF(COUNTIF($A$2:A2219,A2219)&gt;1,"DUP","OK")</f>
        <v>OK</v>
      </c>
      <c r="O2219" s="23" t="str">
        <f t="shared" si="103"/>
        <v>ORD26005062</v>
      </c>
      <c r="P2219" s="23" t="str">
        <f t="shared" si="104"/>
        <v>Sep</v>
      </c>
      <c r="Q2219" s="23" t="str">
        <f>IF(F2219="CAPTURE",IF(COUNTIF(orders!$A:$A,O2219)&gt;0,"Yes","NO ORDER"),"")</f>
        <v>Yes</v>
      </c>
    </row>
    <row r="2220" spans="1:17" ht="15" customHeight="1" x14ac:dyDescent="0.3">
      <c r="A2220" s="23" t="s">
        <v>14996</v>
      </c>
      <c r="B2220" s="23"/>
      <c r="C2220" s="23" t="s">
        <v>14997</v>
      </c>
      <c r="D2220" s="23" t="str">
        <f t="shared" si="102"/>
        <v>ORD26005072</v>
      </c>
      <c r="E2220" s="38">
        <v>46277</v>
      </c>
      <c r="F2220" s="23" t="s">
        <v>12410</v>
      </c>
      <c r="G2220" s="23" t="s">
        <v>79</v>
      </c>
      <c r="H2220" s="24">
        <v>11497</v>
      </c>
      <c r="I2220" s="24">
        <v>183.95</v>
      </c>
      <c r="J2220" s="24">
        <v>33.11</v>
      </c>
      <c r="K2220" s="24">
        <v>11279.94</v>
      </c>
      <c r="L2220" s="38">
        <v>46279</v>
      </c>
      <c r="M2220" s="23" t="s">
        <v>200</v>
      </c>
      <c r="N2220" s="23" t="str">
        <f>IF(COUNTIF($A$2:A2220,A2220)&gt;1,"DUP","OK")</f>
        <v>OK</v>
      </c>
      <c r="O2220" s="23" t="str">
        <f t="shared" si="103"/>
        <v>ORD26005072</v>
      </c>
      <c r="P2220" s="23" t="str">
        <f t="shared" si="104"/>
        <v>Sep</v>
      </c>
      <c r="Q2220" s="23" t="str">
        <f>IF(F2220="CAPTURE",IF(COUNTIF(orders!$A:$A,O2220)&gt;0,"Yes","NO ORDER"),"")</f>
        <v>Yes</v>
      </c>
    </row>
    <row r="2221" spans="1:17" ht="15" customHeight="1" x14ac:dyDescent="0.3">
      <c r="A2221" s="23" t="s">
        <v>14998</v>
      </c>
      <c r="B2221" s="23"/>
      <c r="C2221" s="23" t="s">
        <v>10639</v>
      </c>
      <c r="D2221" s="23" t="str">
        <f t="shared" si="102"/>
        <v>ORD26005097</v>
      </c>
      <c r="E2221" s="38">
        <v>46277</v>
      </c>
      <c r="F2221" s="23" t="s">
        <v>12410</v>
      </c>
      <c r="G2221" s="23" t="s">
        <v>79</v>
      </c>
      <c r="H2221" s="24">
        <v>3298</v>
      </c>
      <c r="I2221" s="24">
        <v>52.77</v>
      </c>
      <c r="J2221" s="24">
        <v>9.5</v>
      </c>
      <c r="K2221" s="24">
        <v>3235.73</v>
      </c>
      <c r="L2221" s="38">
        <v>46279</v>
      </c>
      <c r="M2221" s="23" t="s">
        <v>200</v>
      </c>
      <c r="N2221" s="23" t="str">
        <f>IF(COUNTIF($A$2:A2221,A2221)&gt;1,"DUP","OK")</f>
        <v>OK</v>
      </c>
      <c r="O2221" s="23" t="str">
        <f t="shared" si="103"/>
        <v>ORD26005097</v>
      </c>
      <c r="P2221" s="23" t="str">
        <f t="shared" si="104"/>
        <v>Sep</v>
      </c>
      <c r="Q2221" s="23" t="str">
        <f>IF(F2221="CAPTURE",IF(COUNTIF(orders!$A:$A,O2221)&gt;0,"Yes","NO ORDER"),"")</f>
        <v>Yes</v>
      </c>
    </row>
    <row r="2222" spans="1:17" ht="15" customHeight="1" x14ac:dyDescent="0.3">
      <c r="A2222" s="23" t="s">
        <v>14999</v>
      </c>
      <c r="B2222" s="23"/>
      <c r="C2222" s="23" t="s">
        <v>10751</v>
      </c>
      <c r="D2222" s="23" t="str">
        <f t="shared" si="102"/>
        <v>ORD26005155</v>
      </c>
      <c r="E2222" s="38">
        <v>46277</v>
      </c>
      <c r="F2222" s="23" t="s">
        <v>12410</v>
      </c>
      <c r="G2222" s="23" t="s">
        <v>75</v>
      </c>
      <c r="H2222" s="24">
        <v>499</v>
      </c>
      <c r="I2222" s="24">
        <v>0</v>
      </c>
      <c r="J2222" s="24">
        <v>0</v>
      </c>
      <c r="K2222" s="24">
        <v>499</v>
      </c>
      <c r="L2222" s="38">
        <v>46279</v>
      </c>
      <c r="M2222" s="23" t="s">
        <v>200</v>
      </c>
      <c r="N2222" s="23" t="str">
        <f>IF(COUNTIF($A$2:A2222,A2222)&gt;1,"DUP","OK")</f>
        <v>OK</v>
      </c>
      <c r="O2222" s="23" t="str">
        <f t="shared" si="103"/>
        <v>ORD26005155</v>
      </c>
      <c r="P2222" s="23" t="str">
        <f t="shared" si="104"/>
        <v>Sep</v>
      </c>
      <c r="Q2222" s="23" t="str">
        <f>IF(F2222="CAPTURE",IF(COUNTIF(orders!$A:$A,O2222)&gt;0,"Yes","NO ORDER"),"")</f>
        <v>Yes</v>
      </c>
    </row>
    <row r="2223" spans="1:17" ht="15" customHeight="1" x14ac:dyDescent="0.3">
      <c r="A2223" s="23" t="s">
        <v>15000</v>
      </c>
      <c r="B2223" s="23"/>
      <c r="C2223" s="23" t="s">
        <v>10759</v>
      </c>
      <c r="D2223" s="23" t="str">
        <f t="shared" si="102"/>
        <v>ORD26005159</v>
      </c>
      <c r="E2223" s="38">
        <v>46277</v>
      </c>
      <c r="F2223" s="23" t="s">
        <v>12410</v>
      </c>
      <c r="G2223" s="23" t="s">
        <v>75</v>
      </c>
      <c r="H2223" s="24">
        <v>499</v>
      </c>
      <c r="I2223" s="24">
        <v>0</v>
      </c>
      <c r="J2223" s="24">
        <v>0</v>
      </c>
      <c r="K2223" s="24">
        <v>499</v>
      </c>
      <c r="L2223" s="38">
        <v>46279</v>
      </c>
      <c r="M2223" s="23" t="s">
        <v>200</v>
      </c>
      <c r="N2223" s="23" t="str">
        <f>IF(COUNTIF($A$2:A2223,A2223)&gt;1,"DUP","OK")</f>
        <v>OK</v>
      </c>
      <c r="O2223" s="23" t="str">
        <f t="shared" si="103"/>
        <v>ORD26005159</v>
      </c>
      <c r="P2223" s="23" t="str">
        <f t="shared" si="104"/>
        <v>Sep</v>
      </c>
      <c r="Q2223" s="23" t="str">
        <f>IF(F2223="CAPTURE",IF(COUNTIF(orders!$A:$A,O2223)&gt;0,"Yes","NO ORDER"),"")</f>
        <v>Yes</v>
      </c>
    </row>
    <row r="2224" spans="1:17" ht="15" customHeight="1" x14ac:dyDescent="0.3">
      <c r="A2224" s="23" t="s">
        <v>15001</v>
      </c>
      <c r="B2224" s="23"/>
      <c r="C2224" s="23" t="s">
        <v>10783</v>
      </c>
      <c r="D2224" s="23" t="str">
        <f t="shared" si="102"/>
        <v>ORD26005172</v>
      </c>
      <c r="E2224" s="38">
        <v>46277</v>
      </c>
      <c r="F2224" s="23" t="s">
        <v>12410</v>
      </c>
      <c r="G2224" s="23" t="s">
        <v>75</v>
      </c>
      <c r="H2224" s="24">
        <v>6147</v>
      </c>
      <c r="I2224" s="24">
        <v>18.440000000000001</v>
      </c>
      <c r="J2224" s="24">
        <v>3.32</v>
      </c>
      <c r="K2224" s="24">
        <v>6125.24</v>
      </c>
      <c r="L2224" s="38">
        <v>46279</v>
      </c>
      <c r="M2224" s="23" t="s">
        <v>200</v>
      </c>
      <c r="N2224" s="23" t="str">
        <f>IF(COUNTIF($A$2:A2224,A2224)&gt;1,"DUP","OK")</f>
        <v>OK</v>
      </c>
      <c r="O2224" s="23" t="str">
        <f t="shared" si="103"/>
        <v>ORD26005172</v>
      </c>
      <c r="P2224" s="23" t="str">
        <f t="shared" si="104"/>
        <v>Sep</v>
      </c>
      <c r="Q2224" s="23" t="str">
        <f>IF(F2224="CAPTURE",IF(COUNTIF(orders!$A:$A,O2224)&gt;0,"Yes","NO ORDER"),"")</f>
        <v>Yes</v>
      </c>
    </row>
    <row r="2225" spans="1:17" ht="15" customHeight="1" x14ac:dyDescent="0.3">
      <c r="A2225" s="23" t="s">
        <v>15002</v>
      </c>
      <c r="B2225" s="23"/>
      <c r="C2225" s="23" t="s">
        <v>10962</v>
      </c>
      <c r="D2225" s="23" t="str">
        <f t="shared" si="102"/>
        <v>ORD26005262</v>
      </c>
      <c r="E2225" s="38">
        <v>46277</v>
      </c>
      <c r="F2225" s="23" t="s">
        <v>12410</v>
      </c>
      <c r="G2225" s="23" t="s">
        <v>75</v>
      </c>
      <c r="H2225" s="24">
        <v>11498</v>
      </c>
      <c r="I2225" s="24">
        <v>34.49</v>
      </c>
      <c r="J2225" s="24">
        <v>6.21</v>
      </c>
      <c r="K2225" s="24">
        <v>11457.3</v>
      </c>
      <c r="L2225" s="38">
        <v>46279</v>
      </c>
      <c r="M2225" s="23" t="s">
        <v>200</v>
      </c>
      <c r="N2225" s="23" t="str">
        <f>IF(COUNTIF($A$2:A2225,A2225)&gt;1,"DUP","OK")</f>
        <v>OK</v>
      </c>
      <c r="O2225" s="23" t="str">
        <f t="shared" si="103"/>
        <v>ORD26005262</v>
      </c>
      <c r="P2225" s="23" t="str">
        <f t="shared" si="104"/>
        <v>Sep</v>
      </c>
      <c r="Q2225" s="23" t="str">
        <f>IF(F2225="CAPTURE",IF(COUNTIF(orders!$A:$A,O2225)&gt;0,"Yes","NO ORDER"),"")</f>
        <v>Yes</v>
      </c>
    </row>
    <row r="2226" spans="1:17" ht="15" customHeight="1" x14ac:dyDescent="0.3">
      <c r="A2226" s="23" t="s">
        <v>15003</v>
      </c>
      <c r="B2226" s="23"/>
      <c r="C2226" s="23" t="s">
        <v>11047</v>
      </c>
      <c r="D2226" s="23" t="str">
        <f t="shared" si="102"/>
        <v>ORD26005307</v>
      </c>
      <c r="E2226" s="38">
        <v>46277</v>
      </c>
      <c r="F2226" s="23" t="s">
        <v>12410</v>
      </c>
      <c r="G2226" s="23" t="s">
        <v>75</v>
      </c>
      <c r="H2226" s="24">
        <v>799</v>
      </c>
      <c r="I2226" s="24">
        <v>0</v>
      </c>
      <c r="J2226" s="24">
        <v>0</v>
      </c>
      <c r="K2226" s="24">
        <v>799</v>
      </c>
      <c r="L2226" s="38">
        <v>46279</v>
      </c>
      <c r="M2226" s="23" t="s">
        <v>200</v>
      </c>
      <c r="N2226" s="23" t="str">
        <f>IF(COUNTIF($A$2:A2226,A2226)&gt;1,"DUP","OK")</f>
        <v>OK</v>
      </c>
      <c r="O2226" s="23" t="str">
        <f t="shared" si="103"/>
        <v>ORD26005307</v>
      </c>
      <c r="P2226" s="23" t="str">
        <f t="shared" si="104"/>
        <v>Sep</v>
      </c>
      <c r="Q2226" s="23" t="str">
        <f>IF(F2226="CAPTURE",IF(COUNTIF(orders!$A:$A,O2226)&gt;0,"Yes","NO ORDER"),"")</f>
        <v>Yes</v>
      </c>
    </row>
    <row r="2227" spans="1:17" ht="15" customHeight="1" x14ac:dyDescent="0.3">
      <c r="A2227" s="23" t="s">
        <v>15004</v>
      </c>
      <c r="B2227" s="23"/>
      <c r="C2227" s="23" t="s">
        <v>11144</v>
      </c>
      <c r="D2227" s="23" t="str">
        <f t="shared" si="102"/>
        <v>ORD26005356</v>
      </c>
      <c r="E2227" s="38">
        <v>46277</v>
      </c>
      <c r="F2227" s="23" t="s">
        <v>12410</v>
      </c>
      <c r="G2227" s="23" t="s">
        <v>75</v>
      </c>
      <c r="H2227" s="24">
        <v>299</v>
      </c>
      <c r="I2227" s="24">
        <v>0</v>
      </c>
      <c r="J2227" s="24">
        <v>0</v>
      </c>
      <c r="K2227" s="24">
        <v>299</v>
      </c>
      <c r="L2227" s="38">
        <v>46279</v>
      </c>
      <c r="M2227" s="23" t="s">
        <v>200</v>
      </c>
      <c r="N2227" s="23" t="str">
        <f>IF(COUNTIF($A$2:A2227,A2227)&gt;1,"DUP","OK")</f>
        <v>OK</v>
      </c>
      <c r="O2227" s="23" t="str">
        <f t="shared" si="103"/>
        <v>ORD26005356</v>
      </c>
      <c r="P2227" s="23" t="str">
        <f t="shared" si="104"/>
        <v>Sep</v>
      </c>
      <c r="Q2227" s="23" t="str">
        <f>IF(F2227="CAPTURE",IF(COUNTIF(orders!$A:$A,O2227)&gt;0,"Yes","NO ORDER"),"")</f>
        <v>Yes</v>
      </c>
    </row>
    <row r="2228" spans="1:17" ht="15" customHeight="1" x14ac:dyDescent="0.3">
      <c r="A2228" s="23" t="s">
        <v>15005</v>
      </c>
      <c r="B2228" s="23"/>
      <c r="C2228" s="23" t="s">
        <v>11209</v>
      </c>
      <c r="D2228" s="23" t="str">
        <f t="shared" si="102"/>
        <v>ORD26005388</v>
      </c>
      <c r="E2228" s="38">
        <v>46277</v>
      </c>
      <c r="F2228" s="23" t="s">
        <v>12410</v>
      </c>
      <c r="G2228" s="23" t="s">
        <v>75</v>
      </c>
      <c r="H2228" s="24">
        <v>3499</v>
      </c>
      <c r="I2228" s="24">
        <v>10.5</v>
      </c>
      <c r="J2228" s="24">
        <v>1.89</v>
      </c>
      <c r="K2228" s="24">
        <v>3486.61</v>
      </c>
      <c r="L2228" s="38">
        <v>46279</v>
      </c>
      <c r="M2228" s="23" t="s">
        <v>200</v>
      </c>
      <c r="N2228" s="23" t="str">
        <f>IF(COUNTIF($A$2:A2228,A2228)&gt;1,"DUP","OK")</f>
        <v>OK</v>
      </c>
      <c r="O2228" s="23" t="str">
        <f t="shared" si="103"/>
        <v>ORD26005388</v>
      </c>
      <c r="P2228" s="23" t="str">
        <f t="shared" si="104"/>
        <v>Sep</v>
      </c>
      <c r="Q2228" s="23" t="str">
        <f>IF(F2228="CAPTURE",IF(COUNTIF(orders!$A:$A,O2228)&gt;0,"Yes","NO ORDER"),"")</f>
        <v>Yes</v>
      </c>
    </row>
    <row r="2229" spans="1:17" ht="15" customHeight="1" x14ac:dyDescent="0.3">
      <c r="A2229" s="23" t="s">
        <v>15006</v>
      </c>
      <c r="B2229" s="23"/>
      <c r="C2229" s="23" t="s">
        <v>15007</v>
      </c>
      <c r="D2229" s="23" t="str">
        <f t="shared" si="102"/>
        <v>ORD26005396</v>
      </c>
      <c r="E2229" s="38">
        <v>46277</v>
      </c>
      <c r="F2229" s="23" t="s">
        <v>12410</v>
      </c>
      <c r="G2229" s="23" t="s">
        <v>75</v>
      </c>
      <c r="H2229" s="24">
        <v>1299</v>
      </c>
      <c r="I2229" s="24">
        <v>0</v>
      </c>
      <c r="J2229" s="24">
        <v>0</v>
      </c>
      <c r="K2229" s="24">
        <v>1299</v>
      </c>
      <c r="L2229" s="38">
        <v>46279</v>
      </c>
      <c r="M2229" s="23" t="s">
        <v>200</v>
      </c>
      <c r="N2229" s="23" t="str">
        <f>IF(COUNTIF($A$2:A2229,A2229)&gt;1,"DUP","OK")</f>
        <v>OK</v>
      </c>
      <c r="O2229" s="23" t="str">
        <f t="shared" si="103"/>
        <v>ORD26005396</v>
      </c>
      <c r="P2229" s="23" t="str">
        <f t="shared" si="104"/>
        <v>Sep</v>
      </c>
      <c r="Q2229" s="23" t="str">
        <f>IF(F2229="CAPTURE",IF(COUNTIF(orders!$A:$A,O2229)&gt;0,"Yes","NO ORDER"),"")</f>
        <v>Yes</v>
      </c>
    </row>
    <row r="2230" spans="1:17" ht="15" customHeight="1" x14ac:dyDescent="0.3">
      <c r="A2230" s="23" t="s">
        <v>15008</v>
      </c>
      <c r="B2230" s="23"/>
      <c r="C2230" s="23" t="s">
        <v>15009</v>
      </c>
      <c r="D2230" s="23" t="str">
        <f t="shared" si="102"/>
        <v>ORD26005421</v>
      </c>
      <c r="E2230" s="38">
        <v>46277</v>
      </c>
      <c r="F2230" s="23" t="s">
        <v>12410</v>
      </c>
      <c r="G2230" s="23" t="s">
        <v>77</v>
      </c>
      <c r="H2230" s="24">
        <v>1798</v>
      </c>
      <c r="I2230" s="24">
        <v>34.159999999999997</v>
      </c>
      <c r="J2230" s="24">
        <v>6.15</v>
      </c>
      <c r="K2230" s="24">
        <v>1757.69</v>
      </c>
      <c r="L2230" s="38">
        <v>46279</v>
      </c>
      <c r="M2230" s="23" t="s">
        <v>200</v>
      </c>
      <c r="N2230" s="23" t="str">
        <f>IF(COUNTIF($A$2:A2230,A2230)&gt;1,"DUP","OK")</f>
        <v>OK</v>
      </c>
      <c r="O2230" s="23" t="str">
        <f t="shared" si="103"/>
        <v>ORD26005421</v>
      </c>
      <c r="P2230" s="23" t="str">
        <f t="shared" si="104"/>
        <v>Sep</v>
      </c>
      <c r="Q2230" s="23" t="str">
        <f>IF(F2230="CAPTURE",IF(COUNTIF(orders!$A:$A,O2230)&gt;0,"Yes","NO ORDER"),"")</f>
        <v>Yes</v>
      </c>
    </row>
    <row r="2231" spans="1:17" ht="15" customHeight="1" x14ac:dyDescent="0.3">
      <c r="A2231" s="23" t="s">
        <v>15010</v>
      </c>
      <c r="B2231" s="23"/>
      <c r="C2231" s="23" t="s">
        <v>11297</v>
      </c>
      <c r="D2231" s="23" t="str">
        <f t="shared" si="102"/>
        <v>ORD26005433</v>
      </c>
      <c r="E2231" s="38">
        <v>46277</v>
      </c>
      <c r="F2231" s="23" t="s">
        <v>12410</v>
      </c>
      <c r="G2231" s="23" t="s">
        <v>81</v>
      </c>
      <c r="H2231" s="24">
        <v>1799</v>
      </c>
      <c r="I2231" s="24">
        <v>26.99</v>
      </c>
      <c r="J2231" s="24">
        <v>4.8600000000000003</v>
      </c>
      <c r="K2231" s="24">
        <v>1767.15</v>
      </c>
      <c r="L2231" s="38">
        <v>46279</v>
      </c>
      <c r="M2231" s="23" t="s">
        <v>200</v>
      </c>
      <c r="N2231" s="23" t="str">
        <f>IF(COUNTIF($A$2:A2231,A2231)&gt;1,"DUP","OK")</f>
        <v>OK</v>
      </c>
      <c r="O2231" s="23" t="str">
        <f t="shared" si="103"/>
        <v>ORD26005433</v>
      </c>
      <c r="P2231" s="23" t="str">
        <f t="shared" si="104"/>
        <v>Sep</v>
      </c>
      <c r="Q2231" s="23" t="str">
        <f>IF(F2231="CAPTURE",IF(COUNTIF(orders!$A:$A,O2231)&gt;0,"Yes","NO ORDER"),"")</f>
        <v>Yes</v>
      </c>
    </row>
    <row r="2232" spans="1:17" ht="15" customHeight="1" x14ac:dyDescent="0.3">
      <c r="A2232" s="23" t="s">
        <v>15011</v>
      </c>
      <c r="B2232" s="23"/>
      <c r="C2232" s="23" t="s">
        <v>15012</v>
      </c>
      <c r="D2232" s="23" t="str">
        <f t="shared" si="102"/>
        <v>ORD26005441</v>
      </c>
      <c r="E2232" s="38">
        <v>46277</v>
      </c>
      <c r="F2232" s="23" t="s">
        <v>12410</v>
      </c>
      <c r="G2232" s="23" t="s">
        <v>79</v>
      </c>
      <c r="H2232" s="24">
        <v>2499</v>
      </c>
      <c r="I2232" s="24">
        <v>39.979999999999997</v>
      </c>
      <c r="J2232" s="24">
        <v>7.2</v>
      </c>
      <c r="K2232" s="24">
        <v>2451.8200000000002</v>
      </c>
      <c r="L2232" s="38">
        <v>46279</v>
      </c>
      <c r="M2232" s="23" t="s">
        <v>200</v>
      </c>
      <c r="N2232" s="23" t="str">
        <f>IF(COUNTIF($A$2:A2232,A2232)&gt;1,"DUP","OK")</f>
        <v>OK</v>
      </c>
      <c r="O2232" s="23" t="str">
        <f t="shared" si="103"/>
        <v>ORD26005441</v>
      </c>
      <c r="P2232" s="23" t="str">
        <f t="shared" si="104"/>
        <v>Sep</v>
      </c>
      <c r="Q2232" s="23" t="str">
        <f>IF(F2232="CAPTURE",IF(COUNTIF(orders!$A:$A,O2232)&gt;0,"Yes","NO ORDER"),"")</f>
        <v>Yes</v>
      </c>
    </row>
    <row r="2233" spans="1:17" ht="15" customHeight="1" x14ac:dyDescent="0.3">
      <c r="A2233" s="23" t="s">
        <v>15013</v>
      </c>
      <c r="B2233" s="23"/>
      <c r="C2233" s="23" t="s">
        <v>11342</v>
      </c>
      <c r="D2233" s="23" t="str">
        <f t="shared" si="102"/>
        <v>ORD26005456</v>
      </c>
      <c r="E2233" s="38">
        <v>46277</v>
      </c>
      <c r="F2233" s="23" t="s">
        <v>12410</v>
      </c>
      <c r="G2233" s="23" t="s">
        <v>77</v>
      </c>
      <c r="H2233" s="24">
        <v>2499</v>
      </c>
      <c r="I2233" s="24">
        <v>42.48</v>
      </c>
      <c r="J2233" s="24">
        <v>7.65</v>
      </c>
      <c r="K2233" s="24">
        <v>2448.87</v>
      </c>
      <c r="L2233" s="38">
        <v>46279</v>
      </c>
      <c r="M2233" s="23" t="s">
        <v>200</v>
      </c>
      <c r="N2233" s="23" t="str">
        <f>IF(COUNTIF($A$2:A2233,A2233)&gt;1,"DUP","OK")</f>
        <v>OK</v>
      </c>
      <c r="O2233" s="23" t="str">
        <f t="shared" si="103"/>
        <v>ORD26005456</v>
      </c>
      <c r="P2233" s="23" t="str">
        <f t="shared" si="104"/>
        <v>Sep</v>
      </c>
      <c r="Q2233" s="23" t="str">
        <f>IF(F2233="CAPTURE",IF(COUNTIF(orders!$A:$A,O2233)&gt;0,"Yes","NO ORDER"),"")</f>
        <v>Yes</v>
      </c>
    </row>
    <row r="2234" spans="1:17" ht="15" customHeight="1" x14ac:dyDescent="0.3">
      <c r="A2234" s="23" t="s">
        <v>15014</v>
      </c>
      <c r="B2234" s="23"/>
      <c r="C2234" s="23" t="s">
        <v>11362</v>
      </c>
      <c r="D2234" s="23" t="str">
        <f t="shared" si="102"/>
        <v>ORD26005466</v>
      </c>
      <c r="E2234" s="38">
        <v>46277</v>
      </c>
      <c r="F2234" s="23" t="s">
        <v>12410</v>
      </c>
      <c r="G2234" s="23" t="s">
        <v>75</v>
      </c>
      <c r="H2234" s="24">
        <v>4999</v>
      </c>
      <c r="I2234" s="24">
        <v>15</v>
      </c>
      <c r="J2234" s="24">
        <v>2.7</v>
      </c>
      <c r="K2234" s="24">
        <v>4981.3</v>
      </c>
      <c r="L2234" s="38">
        <v>46279</v>
      </c>
      <c r="M2234" s="23" t="s">
        <v>200</v>
      </c>
      <c r="N2234" s="23" t="str">
        <f>IF(COUNTIF($A$2:A2234,A2234)&gt;1,"DUP","OK")</f>
        <v>OK</v>
      </c>
      <c r="O2234" s="23" t="str">
        <f t="shared" si="103"/>
        <v>ORD26005466</v>
      </c>
      <c r="P2234" s="23" t="str">
        <f t="shared" si="104"/>
        <v>Sep</v>
      </c>
      <c r="Q2234" s="23" t="str">
        <f>IF(F2234="CAPTURE",IF(COUNTIF(orders!$A:$A,O2234)&gt;0,"Yes","NO ORDER"),"")</f>
        <v>Yes</v>
      </c>
    </row>
    <row r="2235" spans="1:17" ht="15" customHeight="1" x14ac:dyDescent="0.3">
      <c r="A2235" s="23" t="s">
        <v>15015</v>
      </c>
      <c r="B2235" s="23"/>
      <c r="C2235" s="23" t="s">
        <v>11447</v>
      </c>
      <c r="D2235" s="23" t="str">
        <f t="shared" si="102"/>
        <v>ORD26005510</v>
      </c>
      <c r="E2235" s="38">
        <v>46277</v>
      </c>
      <c r="F2235" s="23" t="s">
        <v>12410</v>
      </c>
      <c r="G2235" s="23" t="s">
        <v>75</v>
      </c>
      <c r="H2235" s="24">
        <v>7999</v>
      </c>
      <c r="I2235" s="24">
        <v>24</v>
      </c>
      <c r="J2235" s="24">
        <v>4.32</v>
      </c>
      <c r="K2235" s="24">
        <v>7970.68</v>
      </c>
      <c r="L2235" s="38">
        <v>46279</v>
      </c>
      <c r="M2235" s="23" t="s">
        <v>200</v>
      </c>
      <c r="N2235" s="23" t="str">
        <f>IF(COUNTIF($A$2:A2235,A2235)&gt;1,"DUP","OK")</f>
        <v>OK</v>
      </c>
      <c r="O2235" s="23" t="str">
        <f t="shared" si="103"/>
        <v>ORD26005510</v>
      </c>
      <c r="P2235" s="23" t="str">
        <f t="shared" si="104"/>
        <v>Sep</v>
      </c>
      <c r="Q2235" s="23" t="str">
        <f>IF(F2235="CAPTURE",IF(COUNTIF(orders!$A:$A,O2235)&gt;0,"Yes","NO ORDER"),"")</f>
        <v>Yes</v>
      </c>
    </row>
    <row r="2236" spans="1:17" ht="15" customHeight="1" x14ac:dyDescent="0.3">
      <c r="A2236" s="23" t="s">
        <v>15016</v>
      </c>
      <c r="B2236" s="23"/>
      <c r="C2236" s="23" t="s">
        <v>11480</v>
      </c>
      <c r="D2236" s="23" t="str">
        <f t="shared" si="102"/>
        <v>ORD26005527</v>
      </c>
      <c r="E2236" s="38">
        <v>46277</v>
      </c>
      <c r="F2236" s="23" t="s">
        <v>12410</v>
      </c>
      <c r="G2236" s="23" t="s">
        <v>75</v>
      </c>
      <c r="H2236" s="24">
        <v>4397</v>
      </c>
      <c r="I2236" s="24">
        <v>13.19</v>
      </c>
      <c r="J2236" s="24">
        <v>2.37</v>
      </c>
      <c r="K2236" s="24">
        <v>4381.4399999999996</v>
      </c>
      <c r="L2236" s="38">
        <v>46279</v>
      </c>
      <c r="M2236" s="23" t="s">
        <v>200</v>
      </c>
      <c r="N2236" s="23" t="str">
        <f>IF(COUNTIF($A$2:A2236,A2236)&gt;1,"DUP","OK")</f>
        <v>OK</v>
      </c>
      <c r="O2236" s="23" t="str">
        <f t="shared" si="103"/>
        <v>ORD26005527</v>
      </c>
      <c r="P2236" s="23" t="str">
        <f t="shared" si="104"/>
        <v>Sep</v>
      </c>
      <c r="Q2236" s="23" t="str">
        <f>IF(F2236="CAPTURE",IF(COUNTIF(orders!$A:$A,O2236)&gt;0,"Yes","NO ORDER"),"")</f>
        <v>Yes</v>
      </c>
    </row>
    <row r="2237" spans="1:17" ht="15" customHeight="1" x14ac:dyDescent="0.3">
      <c r="A2237" s="23" t="s">
        <v>15017</v>
      </c>
      <c r="B2237" s="23"/>
      <c r="C2237" s="23" t="s">
        <v>11577</v>
      </c>
      <c r="D2237" s="23" t="str">
        <f t="shared" si="102"/>
        <v>ORD26005577</v>
      </c>
      <c r="E2237" s="38">
        <v>46277</v>
      </c>
      <c r="F2237" s="23" t="s">
        <v>12410</v>
      </c>
      <c r="G2237" s="23" t="s">
        <v>75</v>
      </c>
      <c r="H2237" s="24">
        <v>4297</v>
      </c>
      <c r="I2237" s="24">
        <v>12.89</v>
      </c>
      <c r="J2237" s="24">
        <v>2.3199999999999998</v>
      </c>
      <c r="K2237" s="24">
        <v>4281.79</v>
      </c>
      <c r="L2237" s="38">
        <v>46279</v>
      </c>
      <c r="M2237" s="23" t="s">
        <v>200</v>
      </c>
      <c r="N2237" s="23" t="str">
        <f>IF(COUNTIF($A$2:A2237,A2237)&gt;1,"DUP","OK")</f>
        <v>OK</v>
      </c>
      <c r="O2237" s="23" t="str">
        <f t="shared" si="103"/>
        <v>ORD26005577</v>
      </c>
      <c r="P2237" s="23" t="str">
        <f t="shared" si="104"/>
        <v>Sep</v>
      </c>
      <c r="Q2237" s="23" t="str">
        <f>IF(F2237="CAPTURE",IF(COUNTIF(orders!$A:$A,O2237)&gt;0,"Yes","NO ORDER"),"")</f>
        <v>Yes</v>
      </c>
    </row>
    <row r="2238" spans="1:17" ht="15" customHeight="1" x14ac:dyDescent="0.3">
      <c r="A2238" s="23" t="s">
        <v>15018</v>
      </c>
      <c r="B2238" s="23"/>
      <c r="C2238" s="23" t="s">
        <v>11585</v>
      </c>
      <c r="D2238" s="23" t="str">
        <f t="shared" si="102"/>
        <v>ORD26005581</v>
      </c>
      <c r="E2238" s="38">
        <v>46277</v>
      </c>
      <c r="F2238" s="23" t="s">
        <v>12410</v>
      </c>
      <c r="G2238" s="23" t="s">
        <v>77</v>
      </c>
      <c r="H2238" s="24">
        <v>7999</v>
      </c>
      <c r="I2238" s="24">
        <v>135.97999999999999</v>
      </c>
      <c r="J2238" s="24">
        <v>24.48</v>
      </c>
      <c r="K2238" s="24">
        <v>7838.54</v>
      </c>
      <c r="L2238" s="38">
        <v>46279</v>
      </c>
      <c r="M2238" s="23" t="s">
        <v>200</v>
      </c>
      <c r="N2238" s="23" t="str">
        <f>IF(COUNTIF($A$2:A2238,A2238)&gt;1,"DUP","OK")</f>
        <v>OK</v>
      </c>
      <c r="O2238" s="23" t="str">
        <f t="shared" si="103"/>
        <v>ORD26005581</v>
      </c>
      <c r="P2238" s="23" t="str">
        <f t="shared" si="104"/>
        <v>Sep</v>
      </c>
      <c r="Q2238" s="23" t="str">
        <f>IF(F2238="CAPTURE",IF(COUNTIF(orders!$A:$A,O2238)&gt;0,"Yes","NO ORDER"),"")</f>
        <v>Yes</v>
      </c>
    </row>
    <row r="2239" spans="1:17" ht="15" customHeight="1" x14ac:dyDescent="0.3">
      <c r="A2239" s="23" t="s">
        <v>15019</v>
      </c>
      <c r="B2239" s="23"/>
      <c r="C2239" s="23" t="s">
        <v>11646</v>
      </c>
      <c r="D2239" s="23" t="str">
        <f t="shared" si="102"/>
        <v>ORD26005612</v>
      </c>
      <c r="E2239" s="38">
        <v>46277</v>
      </c>
      <c r="F2239" s="23" t="s">
        <v>12410</v>
      </c>
      <c r="G2239" s="23" t="s">
        <v>79</v>
      </c>
      <c r="H2239" s="24">
        <v>7297</v>
      </c>
      <c r="I2239" s="24">
        <v>116.75</v>
      </c>
      <c r="J2239" s="24">
        <v>21.02</v>
      </c>
      <c r="K2239" s="24">
        <v>7159.23</v>
      </c>
      <c r="L2239" s="38">
        <v>46279</v>
      </c>
      <c r="M2239" s="23" t="s">
        <v>200</v>
      </c>
      <c r="N2239" s="23" t="str">
        <f>IF(COUNTIF($A$2:A2239,A2239)&gt;1,"DUP","OK")</f>
        <v>OK</v>
      </c>
      <c r="O2239" s="23" t="str">
        <f t="shared" si="103"/>
        <v>ORD26005612</v>
      </c>
      <c r="P2239" s="23" t="str">
        <f t="shared" si="104"/>
        <v>Sep</v>
      </c>
      <c r="Q2239" s="23" t="str">
        <f>IF(F2239="CAPTURE",IF(COUNTIF(orders!$A:$A,O2239)&gt;0,"Yes","NO ORDER"),"")</f>
        <v>Yes</v>
      </c>
    </row>
    <row r="2240" spans="1:17" ht="15" customHeight="1" x14ac:dyDescent="0.3">
      <c r="A2240" s="23" t="s">
        <v>15020</v>
      </c>
      <c r="B2240" s="23"/>
      <c r="C2240" s="23" t="s">
        <v>11767</v>
      </c>
      <c r="D2240" s="23" t="str">
        <f t="shared" si="102"/>
        <v>ORD26005674</v>
      </c>
      <c r="E2240" s="38">
        <v>46277</v>
      </c>
      <c r="F2240" s="23" t="s">
        <v>12410</v>
      </c>
      <c r="G2240" s="23" t="s">
        <v>75</v>
      </c>
      <c r="H2240" s="24">
        <v>12998</v>
      </c>
      <c r="I2240" s="24">
        <v>38.99</v>
      </c>
      <c r="J2240" s="24">
        <v>7.02</v>
      </c>
      <c r="K2240" s="24">
        <v>12951.99</v>
      </c>
      <c r="L2240" s="38">
        <v>46279</v>
      </c>
      <c r="M2240" s="23" t="s">
        <v>200</v>
      </c>
      <c r="N2240" s="23" t="str">
        <f>IF(COUNTIF($A$2:A2240,A2240)&gt;1,"DUP","OK")</f>
        <v>OK</v>
      </c>
      <c r="O2240" s="23" t="str">
        <f t="shared" si="103"/>
        <v>ORD26005674</v>
      </c>
      <c r="P2240" s="23" t="str">
        <f t="shared" si="104"/>
        <v>Sep</v>
      </c>
      <c r="Q2240" s="23" t="str">
        <f>IF(F2240="CAPTURE",IF(COUNTIF(orders!$A:$A,O2240)&gt;0,"Yes","NO ORDER"),"")</f>
        <v>Yes</v>
      </c>
    </row>
    <row r="2241" spans="1:17" ht="15" customHeight="1" x14ac:dyDescent="0.3">
      <c r="A2241" s="23" t="s">
        <v>15021</v>
      </c>
      <c r="B2241" s="23"/>
      <c r="C2241" s="23" t="s">
        <v>11790</v>
      </c>
      <c r="D2241" s="23" t="str">
        <f t="shared" si="102"/>
        <v>ORD26005686</v>
      </c>
      <c r="E2241" s="38">
        <v>46277</v>
      </c>
      <c r="F2241" s="23" t="s">
        <v>12410</v>
      </c>
      <c r="G2241" s="23" t="s">
        <v>75</v>
      </c>
      <c r="H2241" s="24">
        <v>7999</v>
      </c>
      <c r="I2241" s="24">
        <v>24</v>
      </c>
      <c r="J2241" s="24">
        <v>4.32</v>
      </c>
      <c r="K2241" s="24">
        <v>7970.68</v>
      </c>
      <c r="L2241" s="38">
        <v>46279</v>
      </c>
      <c r="M2241" s="23" t="s">
        <v>200</v>
      </c>
      <c r="N2241" s="23" t="str">
        <f>IF(COUNTIF($A$2:A2241,A2241)&gt;1,"DUP","OK")</f>
        <v>OK</v>
      </c>
      <c r="O2241" s="23" t="str">
        <f t="shared" si="103"/>
        <v>ORD26005686</v>
      </c>
      <c r="P2241" s="23" t="str">
        <f t="shared" si="104"/>
        <v>Sep</v>
      </c>
      <c r="Q2241" s="23" t="str">
        <f>IF(F2241="CAPTURE",IF(COUNTIF(orders!$A:$A,O2241)&gt;0,"Yes","NO ORDER"),"")</f>
        <v>Yes</v>
      </c>
    </row>
    <row r="2242" spans="1:17" ht="15" customHeight="1" x14ac:dyDescent="0.3">
      <c r="A2242" s="23" t="s">
        <v>15022</v>
      </c>
      <c r="B2242" s="23"/>
      <c r="C2242" s="23" t="s">
        <v>11850</v>
      </c>
      <c r="D2242" s="23" t="str">
        <f t="shared" ref="D2242:D2305" si="105">UPPER(SUBSTITUTE(TRIM(C2242),"-",""))</f>
        <v>ORD26005717</v>
      </c>
      <c r="E2242" s="38">
        <v>46277</v>
      </c>
      <c r="F2242" s="23" t="s">
        <v>12410</v>
      </c>
      <c r="G2242" s="23" t="s">
        <v>79</v>
      </c>
      <c r="H2242" s="24">
        <v>499</v>
      </c>
      <c r="I2242" s="24">
        <v>8.98</v>
      </c>
      <c r="J2242" s="24">
        <v>1.62</v>
      </c>
      <c r="K2242" s="24">
        <v>488.4</v>
      </c>
      <c r="L2242" s="38">
        <v>46279</v>
      </c>
      <c r="M2242" s="23" t="s">
        <v>200</v>
      </c>
      <c r="N2242" s="23" t="str">
        <f>IF(COUNTIF($A$2:A2242,A2242)&gt;1,"DUP","OK")</f>
        <v>OK</v>
      </c>
      <c r="O2242" s="23" t="str">
        <f t="shared" ref="O2242:O2305" si="106">IF(F2242="REFUND",INDEX($D:$D,MATCH(B2242,$A:$A,0)),D2242)</f>
        <v>ORD26005717</v>
      </c>
      <c r="P2242" s="23" t="str">
        <f t="shared" ref="P2242:P2305" si="107">IF(L2242&gt;DATE(2026,9,30),"Oct-Due","Sep")</f>
        <v>Sep</v>
      </c>
      <c r="Q2242" s="23" t="str">
        <f>IF(F2242="CAPTURE",IF(COUNTIF(orders!$A:$A,O2242)&gt;0,"Yes","NO ORDER"),"")</f>
        <v>Yes</v>
      </c>
    </row>
    <row r="2243" spans="1:17" ht="15" customHeight="1" x14ac:dyDescent="0.3">
      <c r="A2243" s="23" t="s">
        <v>15023</v>
      </c>
      <c r="B2243" s="23"/>
      <c r="C2243" s="23" t="s">
        <v>15024</v>
      </c>
      <c r="D2243" s="23" t="str">
        <f t="shared" si="105"/>
        <v>ORD26005747</v>
      </c>
      <c r="E2243" s="38">
        <v>46277</v>
      </c>
      <c r="F2243" s="23" t="s">
        <v>12410</v>
      </c>
      <c r="G2243" s="23" t="s">
        <v>75</v>
      </c>
      <c r="H2243" s="24">
        <v>5298</v>
      </c>
      <c r="I2243" s="24">
        <v>15.89</v>
      </c>
      <c r="J2243" s="24">
        <v>2.86</v>
      </c>
      <c r="K2243" s="24">
        <v>5279.25</v>
      </c>
      <c r="L2243" s="38">
        <v>46279</v>
      </c>
      <c r="M2243" s="23" t="s">
        <v>200</v>
      </c>
      <c r="N2243" s="23" t="str">
        <f>IF(COUNTIF($A$2:A2243,A2243)&gt;1,"DUP","OK")</f>
        <v>OK</v>
      </c>
      <c r="O2243" s="23" t="str">
        <f t="shared" si="106"/>
        <v>ORD26005747</v>
      </c>
      <c r="P2243" s="23" t="str">
        <f t="shared" si="107"/>
        <v>Sep</v>
      </c>
      <c r="Q2243" s="23" t="str">
        <f>IF(F2243="CAPTURE",IF(COUNTIF(orders!$A:$A,O2243)&gt;0,"Yes","NO ORDER"),"")</f>
        <v>Yes</v>
      </c>
    </row>
    <row r="2244" spans="1:17" ht="15" customHeight="1" x14ac:dyDescent="0.3">
      <c r="A2244" s="23" t="s">
        <v>15025</v>
      </c>
      <c r="B2244" s="23"/>
      <c r="C2244" s="23" t="s">
        <v>11923</v>
      </c>
      <c r="D2244" s="23" t="str">
        <f t="shared" si="105"/>
        <v>ORD26005754</v>
      </c>
      <c r="E2244" s="38">
        <v>46277</v>
      </c>
      <c r="F2244" s="23" t="s">
        <v>12410</v>
      </c>
      <c r="G2244" s="23" t="s">
        <v>81</v>
      </c>
      <c r="H2244" s="24">
        <v>499</v>
      </c>
      <c r="I2244" s="24">
        <v>7.49</v>
      </c>
      <c r="J2244" s="24">
        <v>1.35</v>
      </c>
      <c r="K2244" s="24">
        <v>490.16</v>
      </c>
      <c r="L2244" s="38">
        <v>46279</v>
      </c>
      <c r="M2244" s="23" t="s">
        <v>200</v>
      </c>
      <c r="N2244" s="23" t="str">
        <f>IF(COUNTIF($A$2:A2244,A2244)&gt;1,"DUP","OK")</f>
        <v>OK</v>
      </c>
      <c r="O2244" s="23" t="str">
        <f t="shared" si="106"/>
        <v>ORD26005754</v>
      </c>
      <c r="P2244" s="23" t="str">
        <f t="shared" si="107"/>
        <v>Sep</v>
      </c>
      <c r="Q2244" s="23" t="str">
        <f>IF(F2244="CAPTURE",IF(COUNTIF(orders!$A:$A,O2244)&gt;0,"Yes","NO ORDER"),"")</f>
        <v>Yes</v>
      </c>
    </row>
    <row r="2245" spans="1:17" ht="15" customHeight="1" x14ac:dyDescent="0.3">
      <c r="A2245" s="23" t="s">
        <v>15026</v>
      </c>
      <c r="B2245" s="23"/>
      <c r="C2245" s="23" t="s">
        <v>15027</v>
      </c>
      <c r="D2245" s="23" t="str">
        <f t="shared" si="105"/>
        <v>ORD26005799</v>
      </c>
      <c r="E2245" s="38">
        <v>46277</v>
      </c>
      <c r="F2245" s="23" t="s">
        <v>12410</v>
      </c>
      <c r="G2245" s="23" t="s">
        <v>77</v>
      </c>
      <c r="H2245" s="24">
        <v>848</v>
      </c>
      <c r="I2245" s="24">
        <v>16.11</v>
      </c>
      <c r="J2245" s="24">
        <v>2.9</v>
      </c>
      <c r="K2245" s="24">
        <v>828.99</v>
      </c>
      <c r="L2245" s="38">
        <v>46279</v>
      </c>
      <c r="M2245" s="23" t="s">
        <v>200</v>
      </c>
      <c r="N2245" s="23" t="str">
        <f>IF(COUNTIF($A$2:A2245,A2245)&gt;1,"DUP","OK")</f>
        <v>OK</v>
      </c>
      <c r="O2245" s="23" t="str">
        <f t="shared" si="106"/>
        <v>ORD26005799</v>
      </c>
      <c r="P2245" s="23" t="str">
        <f t="shared" si="107"/>
        <v>Sep</v>
      </c>
      <c r="Q2245" s="23" t="str">
        <f>IF(F2245="CAPTURE",IF(COUNTIF(orders!$A:$A,O2245)&gt;0,"Yes","NO ORDER"),"")</f>
        <v>Yes</v>
      </c>
    </row>
    <row r="2246" spans="1:17" ht="15" customHeight="1" x14ac:dyDescent="0.3">
      <c r="A2246" s="23" t="s">
        <v>15028</v>
      </c>
      <c r="B2246" s="23"/>
      <c r="C2246" s="23" t="s">
        <v>15029</v>
      </c>
      <c r="D2246" s="23" t="str">
        <f t="shared" si="105"/>
        <v>ORD26005829</v>
      </c>
      <c r="E2246" s="38">
        <v>46277</v>
      </c>
      <c r="F2246" s="23" t="s">
        <v>12410</v>
      </c>
      <c r="G2246" s="23" t="s">
        <v>75</v>
      </c>
      <c r="H2246" s="24">
        <v>799</v>
      </c>
      <c r="I2246" s="24">
        <v>0</v>
      </c>
      <c r="J2246" s="24">
        <v>0</v>
      </c>
      <c r="K2246" s="24">
        <v>799</v>
      </c>
      <c r="L2246" s="38">
        <v>46279</v>
      </c>
      <c r="M2246" s="23" t="s">
        <v>200</v>
      </c>
      <c r="N2246" s="23" t="str">
        <f>IF(COUNTIF($A$2:A2246,A2246)&gt;1,"DUP","OK")</f>
        <v>OK</v>
      </c>
      <c r="O2246" s="23" t="str">
        <f t="shared" si="106"/>
        <v>ORD26005829</v>
      </c>
      <c r="P2246" s="23" t="str">
        <f t="shared" si="107"/>
        <v>Sep</v>
      </c>
      <c r="Q2246" s="23" t="str">
        <f>IF(F2246="CAPTURE",IF(COUNTIF(orders!$A:$A,O2246)&gt;0,"Yes","NO ORDER"),"")</f>
        <v>Yes</v>
      </c>
    </row>
    <row r="2247" spans="1:17" ht="15" customHeight="1" x14ac:dyDescent="0.3">
      <c r="A2247" s="23" t="s">
        <v>15030</v>
      </c>
      <c r="B2247" s="23"/>
      <c r="C2247" s="23" t="s">
        <v>12287</v>
      </c>
      <c r="D2247" s="23" t="str">
        <f t="shared" si="105"/>
        <v>ORD26005946</v>
      </c>
      <c r="E2247" s="38">
        <v>46277</v>
      </c>
      <c r="F2247" s="23" t="s">
        <v>12410</v>
      </c>
      <c r="G2247" s="23" t="s">
        <v>75</v>
      </c>
      <c r="H2247" s="24">
        <v>11498</v>
      </c>
      <c r="I2247" s="24">
        <v>34.49</v>
      </c>
      <c r="J2247" s="24">
        <v>6.21</v>
      </c>
      <c r="K2247" s="24">
        <v>11457.3</v>
      </c>
      <c r="L2247" s="38">
        <v>46279</v>
      </c>
      <c r="M2247" s="23" t="s">
        <v>200</v>
      </c>
      <c r="N2247" s="23" t="str">
        <f>IF(COUNTIF($A$2:A2247,A2247)&gt;1,"DUP","OK")</f>
        <v>OK</v>
      </c>
      <c r="O2247" s="23" t="str">
        <f t="shared" si="106"/>
        <v>ORD26005946</v>
      </c>
      <c r="P2247" s="23" t="str">
        <f t="shared" si="107"/>
        <v>Sep</v>
      </c>
      <c r="Q2247" s="23" t="str">
        <f>IF(F2247="CAPTURE",IF(COUNTIF(orders!$A:$A,O2247)&gt;0,"Yes","NO ORDER"),"")</f>
        <v>Yes</v>
      </c>
    </row>
    <row r="2248" spans="1:17" ht="15" customHeight="1" x14ac:dyDescent="0.3">
      <c r="A2248" s="23" t="s">
        <v>15031</v>
      </c>
      <c r="B2248" s="23"/>
      <c r="C2248" s="23" t="s">
        <v>15032</v>
      </c>
      <c r="D2248" s="23" t="str">
        <f t="shared" si="105"/>
        <v>ORD26006506</v>
      </c>
      <c r="E2248" s="38">
        <v>46277</v>
      </c>
      <c r="F2248" s="23" t="s">
        <v>12410</v>
      </c>
      <c r="G2248" s="23" t="s">
        <v>79</v>
      </c>
      <c r="H2248" s="24">
        <v>599</v>
      </c>
      <c r="I2248" s="24">
        <v>10.78</v>
      </c>
      <c r="J2248" s="24">
        <v>1.94</v>
      </c>
      <c r="K2248" s="24">
        <v>586.28</v>
      </c>
      <c r="L2248" s="38">
        <v>46279</v>
      </c>
      <c r="M2248" s="23" t="s">
        <v>200</v>
      </c>
      <c r="N2248" s="23" t="str">
        <f>IF(COUNTIF($A$2:A2248,A2248)&gt;1,"DUP","OK")</f>
        <v>OK</v>
      </c>
      <c r="O2248" s="23" t="str">
        <f t="shared" si="106"/>
        <v>ORD26006506</v>
      </c>
      <c r="P2248" s="23" t="str">
        <f t="shared" si="107"/>
        <v>Sep</v>
      </c>
      <c r="Q2248" s="23" t="str">
        <f>IF(F2248="CAPTURE",IF(COUNTIF(orders!$A:$A,O2248)&gt;0,"Yes","NO ORDER"),"")</f>
        <v>NO ORDER</v>
      </c>
    </row>
    <row r="2249" spans="1:17" ht="15" customHeight="1" x14ac:dyDescent="0.3">
      <c r="A2249" s="23" t="s">
        <v>15033</v>
      </c>
      <c r="B2249" s="23" t="s">
        <v>14128</v>
      </c>
      <c r="C2249" s="23"/>
      <c r="D2249" s="23" t="str">
        <f t="shared" si="105"/>
        <v/>
      </c>
      <c r="E2249" s="38">
        <v>46277</v>
      </c>
      <c r="F2249" s="23" t="s">
        <v>12791</v>
      </c>
      <c r="G2249" s="23" t="s">
        <v>75</v>
      </c>
      <c r="H2249" s="24">
        <v>1499</v>
      </c>
      <c r="I2249" s="24">
        <v>0</v>
      </c>
      <c r="J2249" s="24">
        <v>0</v>
      </c>
      <c r="K2249" s="24">
        <v>-1499</v>
      </c>
      <c r="L2249" s="38">
        <v>46279</v>
      </c>
      <c r="M2249" s="23" t="s">
        <v>200</v>
      </c>
      <c r="N2249" s="23" t="str">
        <f>IF(COUNTIF($A$2:A2249,A2249)&gt;1,"DUP","OK")</f>
        <v>OK</v>
      </c>
      <c r="O2249" s="23" t="str">
        <f t="shared" si="106"/>
        <v>ORD26005591</v>
      </c>
      <c r="P2249" s="23" t="str">
        <f t="shared" si="107"/>
        <v>Sep</v>
      </c>
      <c r="Q2249" s="23" t="str">
        <f>IF(F2249="CAPTURE",IF(COUNTIF(orders!$A:$A,O2249)&gt;0,"Yes","NO ORDER"),"")</f>
        <v/>
      </c>
    </row>
    <row r="2250" spans="1:17" ht="15" customHeight="1" x14ac:dyDescent="0.3">
      <c r="A2250" s="23" t="s">
        <v>15034</v>
      </c>
      <c r="B2250" s="23" t="s">
        <v>14678</v>
      </c>
      <c r="C2250" s="23"/>
      <c r="D2250" s="23" t="str">
        <f t="shared" si="105"/>
        <v/>
      </c>
      <c r="E2250" s="38">
        <v>46277</v>
      </c>
      <c r="F2250" s="23" t="s">
        <v>12791</v>
      </c>
      <c r="G2250" s="23" t="s">
        <v>75</v>
      </c>
      <c r="H2250" s="24">
        <v>3447</v>
      </c>
      <c r="I2250" s="24">
        <v>0</v>
      </c>
      <c r="J2250" s="24">
        <v>0</v>
      </c>
      <c r="K2250" s="24">
        <v>-3447</v>
      </c>
      <c r="L2250" s="38">
        <v>46279</v>
      </c>
      <c r="M2250" s="23" t="s">
        <v>200</v>
      </c>
      <c r="N2250" s="23" t="str">
        <f>IF(COUNTIF($A$2:A2250,A2250)&gt;1,"DUP","OK")</f>
        <v>OK</v>
      </c>
      <c r="O2250" s="23" t="str">
        <f t="shared" si="106"/>
        <v>ORD26002996</v>
      </c>
      <c r="P2250" s="23" t="str">
        <f t="shared" si="107"/>
        <v>Sep</v>
      </c>
      <c r="Q2250" s="23" t="str">
        <f>IF(F2250="CAPTURE",IF(COUNTIF(orders!$A:$A,O2250)&gt;0,"Yes","NO ORDER"),"")</f>
        <v/>
      </c>
    </row>
    <row r="2251" spans="1:17" ht="15" customHeight="1" x14ac:dyDescent="0.3">
      <c r="A2251" s="23" t="s">
        <v>15035</v>
      </c>
      <c r="B2251" s="23" t="s">
        <v>14012</v>
      </c>
      <c r="C2251" s="23"/>
      <c r="D2251" s="23" t="str">
        <f t="shared" si="105"/>
        <v/>
      </c>
      <c r="E2251" s="38">
        <v>46277</v>
      </c>
      <c r="F2251" s="23" t="s">
        <v>12791</v>
      </c>
      <c r="G2251" s="23" t="s">
        <v>75</v>
      </c>
      <c r="H2251" s="24">
        <v>3499</v>
      </c>
      <c r="I2251" s="24">
        <v>0</v>
      </c>
      <c r="J2251" s="24">
        <v>0</v>
      </c>
      <c r="K2251" s="24">
        <v>-3499</v>
      </c>
      <c r="L2251" s="38">
        <v>46279</v>
      </c>
      <c r="M2251" s="23" t="s">
        <v>200</v>
      </c>
      <c r="N2251" s="23" t="str">
        <f>IF(COUNTIF($A$2:A2251,A2251)&gt;1,"DUP","OK")</f>
        <v>OK</v>
      </c>
      <c r="O2251" s="23" t="str">
        <f t="shared" si="106"/>
        <v>ORD26002896</v>
      </c>
      <c r="P2251" s="23" t="str">
        <f t="shared" si="107"/>
        <v>Sep</v>
      </c>
      <c r="Q2251" s="23" t="str">
        <f>IF(F2251="CAPTURE",IF(COUNTIF(orders!$A:$A,O2251)&gt;0,"Yes","NO ORDER"),"")</f>
        <v/>
      </c>
    </row>
    <row r="2252" spans="1:17" ht="15" customHeight="1" x14ac:dyDescent="0.3">
      <c r="A2252" s="23" t="s">
        <v>15036</v>
      </c>
      <c r="B2252" s="23" t="s">
        <v>14206</v>
      </c>
      <c r="C2252" s="23"/>
      <c r="D2252" s="23" t="str">
        <f t="shared" si="105"/>
        <v/>
      </c>
      <c r="E2252" s="38">
        <v>46277</v>
      </c>
      <c r="F2252" s="23" t="s">
        <v>12791</v>
      </c>
      <c r="G2252" s="23" t="s">
        <v>75</v>
      </c>
      <c r="H2252" s="24">
        <v>2097</v>
      </c>
      <c r="I2252" s="24">
        <v>0</v>
      </c>
      <c r="J2252" s="24">
        <v>0</v>
      </c>
      <c r="K2252" s="24">
        <v>-2097</v>
      </c>
      <c r="L2252" s="38">
        <v>46279</v>
      </c>
      <c r="M2252" s="23" t="s">
        <v>200</v>
      </c>
      <c r="N2252" s="23" t="str">
        <f>IF(COUNTIF($A$2:A2252,A2252)&gt;1,"DUP","OK")</f>
        <v>OK</v>
      </c>
      <c r="O2252" s="23" t="str">
        <f t="shared" si="106"/>
        <v>ORD26001531</v>
      </c>
      <c r="P2252" s="23" t="str">
        <f t="shared" si="107"/>
        <v>Sep</v>
      </c>
      <c r="Q2252" s="23" t="str">
        <f>IF(F2252="CAPTURE",IF(COUNTIF(orders!$A:$A,O2252)&gt;0,"Yes","NO ORDER"),"")</f>
        <v/>
      </c>
    </row>
    <row r="2253" spans="1:17" ht="15" customHeight="1" x14ac:dyDescent="0.3">
      <c r="A2253" s="23" t="s">
        <v>15037</v>
      </c>
      <c r="B2253" s="23" t="s">
        <v>13929</v>
      </c>
      <c r="C2253" s="23"/>
      <c r="D2253" s="23" t="str">
        <f t="shared" si="105"/>
        <v/>
      </c>
      <c r="E2253" s="38">
        <v>46277</v>
      </c>
      <c r="F2253" s="23" t="s">
        <v>12791</v>
      </c>
      <c r="G2253" s="23" t="s">
        <v>77</v>
      </c>
      <c r="H2253" s="24">
        <v>1798</v>
      </c>
      <c r="I2253" s="24">
        <v>0</v>
      </c>
      <c r="J2253" s="24">
        <v>0</v>
      </c>
      <c r="K2253" s="24">
        <v>-1798</v>
      </c>
      <c r="L2253" s="38">
        <v>46279</v>
      </c>
      <c r="M2253" s="23" t="s">
        <v>200</v>
      </c>
      <c r="N2253" s="23" t="str">
        <f>IF(COUNTIF($A$2:A2253,A2253)&gt;1,"DUP","OK")</f>
        <v>OK</v>
      </c>
      <c r="O2253" s="23" t="str">
        <f t="shared" si="106"/>
        <v>ORD26000838</v>
      </c>
      <c r="P2253" s="23" t="str">
        <f t="shared" si="107"/>
        <v>Sep</v>
      </c>
      <c r="Q2253" s="23" t="str">
        <f>IF(F2253="CAPTURE",IF(COUNTIF(orders!$A:$A,O2253)&gt;0,"Yes","NO ORDER"),"")</f>
        <v/>
      </c>
    </row>
    <row r="2254" spans="1:17" ht="15" customHeight="1" x14ac:dyDescent="0.3">
      <c r="A2254" s="23" t="s">
        <v>15038</v>
      </c>
      <c r="B2254" s="23" t="s">
        <v>13998</v>
      </c>
      <c r="C2254" s="23"/>
      <c r="D2254" s="23" t="str">
        <f t="shared" si="105"/>
        <v/>
      </c>
      <c r="E2254" s="38">
        <v>46277</v>
      </c>
      <c r="F2254" s="23" t="s">
        <v>12791</v>
      </c>
      <c r="G2254" s="23" t="s">
        <v>75</v>
      </c>
      <c r="H2254" s="24">
        <v>3098</v>
      </c>
      <c r="I2254" s="24">
        <v>0</v>
      </c>
      <c r="J2254" s="24">
        <v>0</v>
      </c>
      <c r="K2254" s="24">
        <v>-3098</v>
      </c>
      <c r="L2254" s="38">
        <v>46279</v>
      </c>
      <c r="M2254" s="23" t="s">
        <v>200</v>
      </c>
      <c r="N2254" s="23" t="str">
        <f>IF(COUNTIF($A$2:A2254,A2254)&gt;1,"DUP","OK")</f>
        <v>OK</v>
      </c>
      <c r="O2254" s="23" t="str">
        <f t="shared" si="106"/>
        <v>ORD26002536</v>
      </c>
      <c r="P2254" s="23" t="str">
        <f t="shared" si="107"/>
        <v>Sep</v>
      </c>
      <c r="Q2254" s="23" t="str">
        <f>IF(F2254="CAPTURE",IF(COUNTIF(orders!$A:$A,O2254)&gt;0,"Yes","NO ORDER"),"")</f>
        <v/>
      </c>
    </row>
    <row r="2255" spans="1:17" ht="15" customHeight="1" x14ac:dyDescent="0.3">
      <c r="A2255" s="23" t="s">
        <v>15039</v>
      </c>
      <c r="B2255" s="23" t="s">
        <v>14776</v>
      </c>
      <c r="C2255" s="23"/>
      <c r="D2255" s="23" t="str">
        <f t="shared" si="105"/>
        <v/>
      </c>
      <c r="E2255" s="38">
        <v>46277</v>
      </c>
      <c r="F2255" s="23" t="s">
        <v>12791</v>
      </c>
      <c r="G2255" s="23" t="s">
        <v>77</v>
      </c>
      <c r="H2255" s="24">
        <v>798</v>
      </c>
      <c r="I2255" s="24">
        <v>0</v>
      </c>
      <c r="J2255" s="24">
        <v>0</v>
      </c>
      <c r="K2255" s="24">
        <v>-798</v>
      </c>
      <c r="L2255" s="38">
        <v>46279</v>
      </c>
      <c r="M2255" s="23" t="s">
        <v>200</v>
      </c>
      <c r="N2255" s="23" t="str">
        <f>IF(COUNTIF($A$2:A2255,A2255)&gt;1,"DUP","OK")</f>
        <v>OK</v>
      </c>
      <c r="O2255" s="23" t="str">
        <f t="shared" si="106"/>
        <v>ORD26005282</v>
      </c>
      <c r="P2255" s="23" t="str">
        <f t="shared" si="107"/>
        <v>Sep</v>
      </c>
      <c r="Q2255" s="23" t="str">
        <f>IF(F2255="CAPTURE",IF(COUNTIF(orders!$A:$A,O2255)&gt;0,"Yes","NO ORDER"),"")</f>
        <v/>
      </c>
    </row>
    <row r="2256" spans="1:17" ht="15" customHeight="1" x14ac:dyDescent="0.3">
      <c r="A2256" s="23" t="s">
        <v>15040</v>
      </c>
      <c r="B2256" s="23" t="s">
        <v>13550</v>
      </c>
      <c r="C2256" s="23"/>
      <c r="D2256" s="23" t="str">
        <f t="shared" si="105"/>
        <v/>
      </c>
      <c r="E2256" s="38">
        <v>46277</v>
      </c>
      <c r="F2256" s="23" t="s">
        <v>12791</v>
      </c>
      <c r="G2256" s="23" t="s">
        <v>79</v>
      </c>
      <c r="H2256" s="24">
        <v>4498</v>
      </c>
      <c r="I2256" s="24">
        <v>0</v>
      </c>
      <c r="J2256" s="24">
        <v>0</v>
      </c>
      <c r="K2256" s="24">
        <v>-4498</v>
      </c>
      <c r="L2256" s="38">
        <v>46279</v>
      </c>
      <c r="M2256" s="23" t="s">
        <v>200</v>
      </c>
      <c r="N2256" s="23" t="str">
        <f>IF(COUNTIF($A$2:A2256,A2256)&gt;1,"DUP","OK")</f>
        <v>OK</v>
      </c>
      <c r="O2256" s="23" t="str">
        <f t="shared" si="106"/>
        <v>ORD26002457</v>
      </c>
      <c r="P2256" s="23" t="str">
        <f t="shared" si="107"/>
        <v>Sep</v>
      </c>
      <c r="Q2256" s="23" t="str">
        <f>IF(F2256="CAPTURE",IF(COUNTIF(orders!$A:$A,O2256)&gt;0,"Yes","NO ORDER"),"")</f>
        <v/>
      </c>
    </row>
    <row r="2257" spans="1:17" ht="15" customHeight="1" x14ac:dyDescent="0.3">
      <c r="A2257" s="23" t="s">
        <v>15041</v>
      </c>
      <c r="B2257" s="23" t="s">
        <v>14196</v>
      </c>
      <c r="C2257" s="23"/>
      <c r="D2257" s="23" t="str">
        <f t="shared" si="105"/>
        <v/>
      </c>
      <c r="E2257" s="38">
        <v>46277</v>
      </c>
      <c r="F2257" s="23" t="s">
        <v>12791</v>
      </c>
      <c r="G2257" s="23" t="s">
        <v>75</v>
      </c>
      <c r="H2257" s="24">
        <v>2098</v>
      </c>
      <c r="I2257" s="24">
        <v>0</v>
      </c>
      <c r="J2257" s="24">
        <v>0</v>
      </c>
      <c r="K2257" s="24">
        <v>-2098</v>
      </c>
      <c r="L2257" s="38">
        <v>46279</v>
      </c>
      <c r="M2257" s="23" t="s">
        <v>200</v>
      </c>
      <c r="N2257" s="23" t="str">
        <f>IF(COUNTIF($A$2:A2257,A2257)&gt;1,"DUP","OK")</f>
        <v>OK</v>
      </c>
      <c r="O2257" s="23" t="str">
        <f t="shared" si="106"/>
        <v>ORD26001076</v>
      </c>
      <c r="P2257" s="23" t="str">
        <f t="shared" si="107"/>
        <v>Sep</v>
      </c>
      <c r="Q2257" s="23" t="str">
        <f>IF(F2257="CAPTURE",IF(COUNTIF(orders!$A:$A,O2257)&gt;0,"Yes","NO ORDER"),"")</f>
        <v/>
      </c>
    </row>
    <row r="2258" spans="1:17" ht="15" customHeight="1" x14ac:dyDescent="0.3">
      <c r="A2258" s="23" t="s">
        <v>15042</v>
      </c>
      <c r="B2258" s="23"/>
      <c r="C2258" s="23" t="s">
        <v>15043</v>
      </c>
      <c r="D2258" s="23" t="str">
        <f t="shared" si="105"/>
        <v>ORD26000006</v>
      </c>
      <c r="E2258" s="38">
        <v>46278</v>
      </c>
      <c r="F2258" s="23" t="s">
        <v>12410</v>
      </c>
      <c r="G2258" s="23" t="s">
        <v>79</v>
      </c>
      <c r="H2258" s="24">
        <v>999</v>
      </c>
      <c r="I2258" s="24">
        <v>17.98</v>
      </c>
      <c r="J2258" s="24">
        <v>3.24</v>
      </c>
      <c r="K2258" s="24">
        <v>977.78</v>
      </c>
      <c r="L2258" s="38">
        <v>46280</v>
      </c>
      <c r="M2258" s="23" t="s">
        <v>202</v>
      </c>
      <c r="N2258" s="23" t="str">
        <f>IF(COUNTIF($A$2:A2258,A2258)&gt;1,"DUP","OK")</f>
        <v>OK</v>
      </c>
      <c r="O2258" s="23" t="str">
        <f t="shared" si="106"/>
        <v>ORD26000006</v>
      </c>
      <c r="P2258" s="23" t="str">
        <f t="shared" si="107"/>
        <v>Sep</v>
      </c>
      <c r="Q2258" s="23" t="str">
        <f>IF(F2258="CAPTURE",IF(COUNTIF(orders!$A:$A,O2258)&gt;0,"Yes","NO ORDER"),"")</f>
        <v>Yes</v>
      </c>
    </row>
    <row r="2259" spans="1:17" ht="15" customHeight="1" x14ac:dyDescent="0.3">
      <c r="A2259" s="23" t="s">
        <v>15044</v>
      </c>
      <c r="B2259" s="23"/>
      <c r="C2259" s="23" t="s">
        <v>284</v>
      </c>
      <c r="D2259" s="23" t="str">
        <f t="shared" si="105"/>
        <v>ORD26000013</v>
      </c>
      <c r="E2259" s="38">
        <v>46278</v>
      </c>
      <c r="F2259" s="23" t="s">
        <v>12410</v>
      </c>
      <c r="G2259" s="23" t="s">
        <v>77</v>
      </c>
      <c r="H2259" s="24">
        <v>349</v>
      </c>
      <c r="I2259" s="24">
        <v>6.63</v>
      </c>
      <c r="J2259" s="24">
        <v>1.19</v>
      </c>
      <c r="K2259" s="24">
        <v>341.18</v>
      </c>
      <c r="L2259" s="38">
        <v>46280</v>
      </c>
      <c r="M2259" s="23" t="s">
        <v>202</v>
      </c>
      <c r="N2259" s="23" t="str">
        <f>IF(COUNTIF($A$2:A2259,A2259)&gt;1,"DUP","OK")</f>
        <v>OK</v>
      </c>
      <c r="O2259" s="23" t="str">
        <f t="shared" si="106"/>
        <v>ORD26000013</v>
      </c>
      <c r="P2259" s="23" t="str">
        <f t="shared" si="107"/>
        <v>Sep</v>
      </c>
      <c r="Q2259" s="23" t="str">
        <f>IF(F2259="CAPTURE",IF(COUNTIF(orders!$A:$A,O2259)&gt;0,"Yes","NO ORDER"),"")</f>
        <v>Yes</v>
      </c>
    </row>
    <row r="2260" spans="1:17" ht="15" customHeight="1" x14ac:dyDescent="0.3">
      <c r="A2260" s="23" t="s">
        <v>15045</v>
      </c>
      <c r="B2260" s="23"/>
      <c r="C2260" s="23" t="s">
        <v>15046</v>
      </c>
      <c r="D2260" s="23" t="str">
        <f t="shared" si="105"/>
        <v>ORD26000045</v>
      </c>
      <c r="E2260" s="38">
        <v>46278</v>
      </c>
      <c r="F2260" s="23" t="s">
        <v>12410</v>
      </c>
      <c r="G2260" s="23" t="s">
        <v>75</v>
      </c>
      <c r="H2260" s="24">
        <v>2999</v>
      </c>
      <c r="I2260" s="24">
        <v>9</v>
      </c>
      <c r="J2260" s="24">
        <v>1.62</v>
      </c>
      <c r="K2260" s="24">
        <v>2988.38</v>
      </c>
      <c r="L2260" s="38">
        <v>46280</v>
      </c>
      <c r="M2260" s="23" t="s">
        <v>202</v>
      </c>
      <c r="N2260" s="23" t="str">
        <f>IF(COUNTIF($A$2:A2260,A2260)&gt;1,"DUP","OK")</f>
        <v>OK</v>
      </c>
      <c r="O2260" s="23" t="str">
        <f t="shared" si="106"/>
        <v>ORD26000045</v>
      </c>
      <c r="P2260" s="23" t="str">
        <f t="shared" si="107"/>
        <v>Sep</v>
      </c>
      <c r="Q2260" s="23" t="str">
        <f>IF(F2260="CAPTURE",IF(COUNTIF(orders!$A:$A,O2260)&gt;0,"Yes","NO ORDER"),"")</f>
        <v>Yes</v>
      </c>
    </row>
    <row r="2261" spans="1:17" ht="15" customHeight="1" x14ac:dyDescent="0.3">
      <c r="A2261" s="23" t="s">
        <v>15047</v>
      </c>
      <c r="B2261" s="23"/>
      <c r="C2261" s="23" t="s">
        <v>15048</v>
      </c>
      <c r="D2261" s="23" t="str">
        <f t="shared" si="105"/>
        <v>ORD26000056</v>
      </c>
      <c r="E2261" s="38">
        <v>46278</v>
      </c>
      <c r="F2261" s="23" t="s">
        <v>12410</v>
      </c>
      <c r="G2261" s="23" t="s">
        <v>75</v>
      </c>
      <c r="H2261" s="24">
        <v>999</v>
      </c>
      <c r="I2261" s="24">
        <v>0</v>
      </c>
      <c r="J2261" s="24">
        <v>0</v>
      </c>
      <c r="K2261" s="24">
        <v>999</v>
      </c>
      <c r="L2261" s="38">
        <v>46280</v>
      </c>
      <c r="M2261" s="23" t="s">
        <v>202</v>
      </c>
      <c r="N2261" s="23" t="str">
        <f>IF(COUNTIF($A$2:A2261,A2261)&gt;1,"DUP","OK")</f>
        <v>OK</v>
      </c>
      <c r="O2261" s="23" t="str">
        <f t="shared" si="106"/>
        <v>ORD26000056</v>
      </c>
      <c r="P2261" s="23" t="str">
        <f t="shared" si="107"/>
        <v>Sep</v>
      </c>
      <c r="Q2261" s="23" t="str">
        <f>IF(F2261="CAPTURE",IF(COUNTIF(orders!$A:$A,O2261)&gt;0,"Yes","NO ORDER"),"")</f>
        <v>Yes</v>
      </c>
    </row>
    <row r="2262" spans="1:17" ht="15" customHeight="1" x14ac:dyDescent="0.3">
      <c r="A2262" s="23" t="s">
        <v>15049</v>
      </c>
      <c r="B2262" s="23"/>
      <c r="C2262" s="23" t="s">
        <v>532</v>
      </c>
      <c r="D2262" s="23" t="str">
        <f t="shared" si="105"/>
        <v>ORD26000111</v>
      </c>
      <c r="E2262" s="38">
        <v>46278</v>
      </c>
      <c r="F2262" s="23" t="s">
        <v>12410</v>
      </c>
      <c r="G2262" s="23" t="s">
        <v>75</v>
      </c>
      <c r="H2262" s="24">
        <v>3097</v>
      </c>
      <c r="I2262" s="24">
        <v>9.2899999999999991</v>
      </c>
      <c r="J2262" s="24">
        <v>1.67</v>
      </c>
      <c r="K2262" s="24">
        <v>3086.04</v>
      </c>
      <c r="L2262" s="38">
        <v>46280</v>
      </c>
      <c r="M2262" s="23" t="s">
        <v>202</v>
      </c>
      <c r="N2262" s="23" t="str">
        <f>IF(COUNTIF($A$2:A2262,A2262)&gt;1,"DUP","OK")</f>
        <v>OK</v>
      </c>
      <c r="O2262" s="23" t="str">
        <f t="shared" si="106"/>
        <v>ORD26000111</v>
      </c>
      <c r="P2262" s="23" t="str">
        <f t="shared" si="107"/>
        <v>Sep</v>
      </c>
      <c r="Q2262" s="23" t="str">
        <f>IF(F2262="CAPTURE",IF(COUNTIF(orders!$A:$A,O2262)&gt;0,"Yes","NO ORDER"),"")</f>
        <v>Yes</v>
      </c>
    </row>
    <row r="2263" spans="1:17" ht="15" customHeight="1" x14ac:dyDescent="0.3">
      <c r="A2263" s="23" t="s">
        <v>15050</v>
      </c>
      <c r="B2263" s="23"/>
      <c r="C2263" s="23" t="s">
        <v>615</v>
      </c>
      <c r="D2263" s="23" t="str">
        <f t="shared" si="105"/>
        <v>ORD26000146</v>
      </c>
      <c r="E2263" s="38">
        <v>46278</v>
      </c>
      <c r="F2263" s="23" t="s">
        <v>12410</v>
      </c>
      <c r="G2263" s="23" t="s">
        <v>75</v>
      </c>
      <c r="H2263" s="24">
        <v>7999</v>
      </c>
      <c r="I2263" s="24">
        <v>24</v>
      </c>
      <c r="J2263" s="24">
        <v>4.32</v>
      </c>
      <c r="K2263" s="24">
        <v>7970.68</v>
      </c>
      <c r="L2263" s="38">
        <v>46280</v>
      </c>
      <c r="M2263" s="23" t="s">
        <v>202</v>
      </c>
      <c r="N2263" s="23" t="str">
        <f>IF(COUNTIF($A$2:A2263,A2263)&gt;1,"DUP","OK")</f>
        <v>OK</v>
      </c>
      <c r="O2263" s="23" t="str">
        <f t="shared" si="106"/>
        <v>ORD26000146</v>
      </c>
      <c r="P2263" s="23" t="str">
        <f t="shared" si="107"/>
        <v>Sep</v>
      </c>
      <c r="Q2263" s="23" t="str">
        <f>IF(F2263="CAPTURE",IF(COUNTIF(orders!$A:$A,O2263)&gt;0,"Yes","NO ORDER"),"")</f>
        <v>Yes</v>
      </c>
    </row>
    <row r="2264" spans="1:17" ht="15" customHeight="1" x14ac:dyDescent="0.3">
      <c r="A2264" s="23" t="s">
        <v>15051</v>
      </c>
      <c r="B2264" s="23"/>
      <c r="C2264" s="23" t="s">
        <v>617</v>
      </c>
      <c r="D2264" s="23" t="str">
        <f t="shared" si="105"/>
        <v>ORD26000147</v>
      </c>
      <c r="E2264" s="38">
        <v>46278</v>
      </c>
      <c r="F2264" s="23" t="s">
        <v>12410</v>
      </c>
      <c r="G2264" s="23" t="s">
        <v>75</v>
      </c>
      <c r="H2264" s="24">
        <v>15997</v>
      </c>
      <c r="I2264" s="24">
        <v>47.99</v>
      </c>
      <c r="J2264" s="24">
        <v>8.64</v>
      </c>
      <c r="K2264" s="24">
        <v>15940.37</v>
      </c>
      <c r="L2264" s="38">
        <v>46280</v>
      </c>
      <c r="M2264" s="23" t="s">
        <v>202</v>
      </c>
      <c r="N2264" s="23" t="str">
        <f>IF(COUNTIF($A$2:A2264,A2264)&gt;1,"DUP","OK")</f>
        <v>OK</v>
      </c>
      <c r="O2264" s="23" t="str">
        <f t="shared" si="106"/>
        <v>ORD26000147</v>
      </c>
      <c r="P2264" s="23" t="str">
        <f t="shared" si="107"/>
        <v>Sep</v>
      </c>
      <c r="Q2264" s="23" t="str">
        <f>IF(F2264="CAPTURE",IF(COUNTIF(orders!$A:$A,O2264)&gt;0,"Yes","NO ORDER"),"")</f>
        <v>Yes</v>
      </c>
    </row>
    <row r="2265" spans="1:17" ht="15" customHeight="1" x14ac:dyDescent="0.3">
      <c r="A2265" s="23" t="s">
        <v>15052</v>
      </c>
      <c r="B2265" s="23"/>
      <c r="C2265" s="23" t="s">
        <v>15053</v>
      </c>
      <c r="D2265" s="23" t="str">
        <f t="shared" si="105"/>
        <v>ORD26000175</v>
      </c>
      <c r="E2265" s="38">
        <v>46278</v>
      </c>
      <c r="F2265" s="23" t="s">
        <v>12410</v>
      </c>
      <c r="G2265" s="23" t="s">
        <v>79</v>
      </c>
      <c r="H2265" s="24">
        <v>8797</v>
      </c>
      <c r="I2265" s="24">
        <v>140.75</v>
      </c>
      <c r="J2265" s="24">
        <v>25.34</v>
      </c>
      <c r="K2265" s="24">
        <v>8630.91</v>
      </c>
      <c r="L2265" s="38">
        <v>46280</v>
      </c>
      <c r="M2265" s="23" t="s">
        <v>202</v>
      </c>
      <c r="N2265" s="23" t="str">
        <f>IF(COUNTIF($A$2:A2265,A2265)&gt;1,"DUP","OK")</f>
        <v>OK</v>
      </c>
      <c r="O2265" s="23" t="str">
        <f t="shared" si="106"/>
        <v>ORD26000175</v>
      </c>
      <c r="P2265" s="23" t="str">
        <f t="shared" si="107"/>
        <v>Sep</v>
      </c>
      <c r="Q2265" s="23" t="str">
        <f>IF(F2265="CAPTURE",IF(COUNTIF(orders!$A:$A,O2265)&gt;0,"Yes","NO ORDER"),"")</f>
        <v>Yes</v>
      </c>
    </row>
    <row r="2266" spans="1:17" ht="15" customHeight="1" x14ac:dyDescent="0.3">
      <c r="A2266" s="23" t="s">
        <v>15054</v>
      </c>
      <c r="B2266" s="23"/>
      <c r="C2266" s="23" t="s">
        <v>745</v>
      </c>
      <c r="D2266" s="23" t="str">
        <f t="shared" si="105"/>
        <v>ORD26000203</v>
      </c>
      <c r="E2266" s="38">
        <v>46278</v>
      </c>
      <c r="F2266" s="23" t="s">
        <v>12410</v>
      </c>
      <c r="G2266" s="23" t="s">
        <v>75</v>
      </c>
      <c r="H2266" s="24">
        <v>2498</v>
      </c>
      <c r="I2266" s="24">
        <v>7.49</v>
      </c>
      <c r="J2266" s="24">
        <v>1.35</v>
      </c>
      <c r="K2266" s="24">
        <v>2489.16</v>
      </c>
      <c r="L2266" s="38">
        <v>46280</v>
      </c>
      <c r="M2266" s="23" t="s">
        <v>202</v>
      </c>
      <c r="N2266" s="23" t="str">
        <f>IF(COUNTIF($A$2:A2266,A2266)&gt;1,"DUP","OK")</f>
        <v>OK</v>
      </c>
      <c r="O2266" s="23" t="str">
        <f t="shared" si="106"/>
        <v>ORD26000203</v>
      </c>
      <c r="P2266" s="23" t="str">
        <f t="shared" si="107"/>
        <v>Sep</v>
      </c>
      <c r="Q2266" s="23" t="str">
        <f>IF(F2266="CAPTURE",IF(COUNTIF(orders!$A:$A,O2266)&gt;0,"Yes","NO ORDER"),"")</f>
        <v>Yes</v>
      </c>
    </row>
    <row r="2267" spans="1:17" ht="15" customHeight="1" x14ac:dyDescent="0.3">
      <c r="A2267" s="23" t="s">
        <v>15055</v>
      </c>
      <c r="B2267" s="23"/>
      <c r="C2267" s="23" t="s">
        <v>878</v>
      </c>
      <c r="D2267" s="23" t="str">
        <f t="shared" si="105"/>
        <v>ORD26000258</v>
      </c>
      <c r="E2267" s="38">
        <v>46278</v>
      </c>
      <c r="F2267" s="23" t="s">
        <v>12410</v>
      </c>
      <c r="G2267" s="23" t="s">
        <v>79</v>
      </c>
      <c r="H2267" s="24">
        <v>2298</v>
      </c>
      <c r="I2267" s="24">
        <v>36.770000000000003</v>
      </c>
      <c r="J2267" s="24">
        <v>6.62</v>
      </c>
      <c r="K2267" s="24">
        <v>2254.61</v>
      </c>
      <c r="L2267" s="38">
        <v>46280</v>
      </c>
      <c r="M2267" s="23" t="s">
        <v>202</v>
      </c>
      <c r="N2267" s="23" t="str">
        <f>IF(COUNTIF($A$2:A2267,A2267)&gt;1,"DUP","OK")</f>
        <v>OK</v>
      </c>
      <c r="O2267" s="23" t="str">
        <f t="shared" si="106"/>
        <v>ORD26000258</v>
      </c>
      <c r="P2267" s="23" t="str">
        <f t="shared" si="107"/>
        <v>Sep</v>
      </c>
      <c r="Q2267" s="23" t="str">
        <f>IF(F2267="CAPTURE",IF(COUNTIF(orders!$A:$A,O2267)&gt;0,"Yes","NO ORDER"),"")</f>
        <v>Yes</v>
      </c>
    </row>
    <row r="2268" spans="1:17" ht="15" customHeight="1" x14ac:dyDescent="0.3">
      <c r="A2268" s="23" t="s">
        <v>15056</v>
      </c>
      <c r="B2268" s="23"/>
      <c r="C2268" s="23" t="s">
        <v>1109</v>
      </c>
      <c r="D2268" s="23" t="str">
        <f t="shared" si="105"/>
        <v>ORD26000364</v>
      </c>
      <c r="E2268" s="38">
        <v>46278</v>
      </c>
      <c r="F2268" s="23" t="s">
        <v>12410</v>
      </c>
      <c r="G2268" s="23" t="s">
        <v>75</v>
      </c>
      <c r="H2268" s="24">
        <v>4798</v>
      </c>
      <c r="I2268" s="24">
        <v>14.39</v>
      </c>
      <c r="J2268" s="24">
        <v>2.59</v>
      </c>
      <c r="K2268" s="24">
        <v>4781.0200000000004</v>
      </c>
      <c r="L2268" s="38">
        <v>46280</v>
      </c>
      <c r="M2268" s="23" t="s">
        <v>202</v>
      </c>
      <c r="N2268" s="23" t="str">
        <f>IF(COUNTIF($A$2:A2268,A2268)&gt;1,"DUP","OK")</f>
        <v>OK</v>
      </c>
      <c r="O2268" s="23" t="str">
        <f t="shared" si="106"/>
        <v>ORD26000364</v>
      </c>
      <c r="P2268" s="23" t="str">
        <f t="shared" si="107"/>
        <v>Sep</v>
      </c>
      <c r="Q2268" s="23" t="str">
        <f>IF(F2268="CAPTURE",IF(COUNTIF(orders!$A:$A,O2268)&gt;0,"Yes","NO ORDER"),"")</f>
        <v>Yes</v>
      </c>
    </row>
    <row r="2269" spans="1:17" ht="15" customHeight="1" x14ac:dyDescent="0.3">
      <c r="A2269" s="23" t="s">
        <v>15057</v>
      </c>
      <c r="B2269" s="23"/>
      <c r="C2269" s="23" t="s">
        <v>1138</v>
      </c>
      <c r="D2269" s="23" t="str">
        <f t="shared" si="105"/>
        <v>ORD26000378</v>
      </c>
      <c r="E2269" s="38">
        <v>46278</v>
      </c>
      <c r="F2269" s="23" t="s">
        <v>12410</v>
      </c>
      <c r="G2269" s="23" t="s">
        <v>75</v>
      </c>
      <c r="H2269" s="24">
        <v>3098</v>
      </c>
      <c r="I2269" s="24">
        <v>9.2899999999999991</v>
      </c>
      <c r="J2269" s="24">
        <v>1.67</v>
      </c>
      <c r="K2269" s="24">
        <v>3087.04</v>
      </c>
      <c r="L2269" s="38">
        <v>46280</v>
      </c>
      <c r="M2269" s="23" t="s">
        <v>202</v>
      </c>
      <c r="N2269" s="23" t="str">
        <f>IF(COUNTIF($A$2:A2269,A2269)&gt;1,"DUP","OK")</f>
        <v>OK</v>
      </c>
      <c r="O2269" s="23" t="str">
        <f t="shared" si="106"/>
        <v>ORD26000378</v>
      </c>
      <c r="P2269" s="23" t="str">
        <f t="shared" si="107"/>
        <v>Sep</v>
      </c>
      <c r="Q2269" s="23" t="str">
        <f>IF(F2269="CAPTURE",IF(COUNTIF(orders!$A:$A,O2269)&gt;0,"Yes","NO ORDER"),"")</f>
        <v>Yes</v>
      </c>
    </row>
    <row r="2270" spans="1:17" ht="15" customHeight="1" x14ac:dyDescent="0.3">
      <c r="A2270" s="23" t="s">
        <v>15058</v>
      </c>
      <c r="B2270" s="23"/>
      <c r="C2270" s="23" t="s">
        <v>1232</v>
      </c>
      <c r="D2270" s="23" t="str">
        <f t="shared" si="105"/>
        <v>ORD26000421</v>
      </c>
      <c r="E2270" s="38">
        <v>46278</v>
      </c>
      <c r="F2270" s="23" t="s">
        <v>12410</v>
      </c>
      <c r="G2270" s="23" t="s">
        <v>75</v>
      </c>
      <c r="H2270" s="24">
        <v>599</v>
      </c>
      <c r="I2270" s="24">
        <v>1.8</v>
      </c>
      <c r="J2270" s="24">
        <v>0.32</v>
      </c>
      <c r="K2270" s="24">
        <v>596.88</v>
      </c>
      <c r="L2270" s="38">
        <v>46280</v>
      </c>
      <c r="M2270" s="23" t="s">
        <v>202</v>
      </c>
      <c r="N2270" s="23" t="str">
        <f>IF(COUNTIF($A$2:A2270,A2270)&gt;1,"DUP","OK")</f>
        <v>OK</v>
      </c>
      <c r="O2270" s="23" t="str">
        <f t="shared" si="106"/>
        <v>ORD26000421</v>
      </c>
      <c r="P2270" s="23" t="str">
        <f t="shared" si="107"/>
        <v>Sep</v>
      </c>
      <c r="Q2270" s="23" t="str">
        <f>IF(F2270="CAPTURE",IF(COUNTIF(orders!$A:$A,O2270)&gt;0,"Yes","NO ORDER"),"")</f>
        <v>Yes</v>
      </c>
    </row>
    <row r="2271" spans="1:17" ht="15" customHeight="1" x14ac:dyDescent="0.3">
      <c r="A2271" s="23" t="s">
        <v>15059</v>
      </c>
      <c r="B2271" s="23"/>
      <c r="C2271" s="23" t="s">
        <v>1283</v>
      </c>
      <c r="D2271" s="23" t="str">
        <f t="shared" si="105"/>
        <v>ORD26000445</v>
      </c>
      <c r="E2271" s="38">
        <v>46278</v>
      </c>
      <c r="F2271" s="23" t="s">
        <v>12410</v>
      </c>
      <c r="G2271" s="23" t="s">
        <v>75</v>
      </c>
      <c r="H2271" s="24">
        <v>1299</v>
      </c>
      <c r="I2271" s="24">
        <v>0</v>
      </c>
      <c r="J2271" s="24">
        <v>0</v>
      </c>
      <c r="K2271" s="24">
        <v>1299</v>
      </c>
      <c r="L2271" s="38">
        <v>46280</v>
      </c>
      <c r="M2271" s="23" t="s">
        <v>202</v>
      </c>
      <c r="N2271" s="23" t="str">
        <f>IF(COUNTIF($A$2:A2271,A2271)&gt;1,"DUP","OK")</f>
        <v>OK</v>
      </c>
      <c r="O2271" s="23" t="str">
        <f t="shared" si="106"/>
        <v>ORD26000445</v>
      </c>
      <c r="P2271" s="23" t="str">
        <f t="shared" si="107"/>
        <v>Sep</v>
      </c>
      <c r="Q2271" s="23" t="str">
        <f>IF(F2271="CAPTURE",IF(COUNTIF(orders!$A:$A,O2271)&gt;0,"Yes","NO ORDER"),"")</f>
        <v>Yes</v>
      </c>
    </row>
    <row r="2272" spans="1:17" ht="15" customHeight="1" x14ac:dyDescent="0.3">
      <c r="A2272" s="23" t="s">
        <v>15060</v>
      </c>
      <c r="B2272" s="23"/>
      <c r="C2272" s="23" t="s">
        <v>1512</v>
      </c>
      <c r="D2272" s="23" t="str">
        <f t="shared" si="105"/>
        <v>ORD26000548</v>
      </c>
      <c r="E2272" s="38">
        <v>46278</v>
      </c>
      <c r="F2272" s="23" t="s">
        <v>12410</v>
      </c>
      <c r="G2272" s="23" t="s">
        <v>79</v>
      </c>
      <c r="H2272" s="24">
        <v>2499</v>
      </c>
      <c r="I2272" s="24">
        <v>39.979999999999997</v>
      </c>
      <c r="J2272" s="24">
        <v>7.2</v>
      </c>
      <c r="K2272" s="24">
        <v>2451.8200000000002</v>
      </c>
      <c r="L2272" s="38">
        <v>46280</v>
      </c>
      <c r="M2272" s="23" t="s">
        <v>202</v>
      </c>
      <c r="N2272" s="23" t="str">
        <f>IF(COUNTIF($A$2:A2272,A2272)&gt;1,"DUP","OK")</f>
        <v>OK</v>
      </c>
      <c r="O2272" s="23" t="str">
        <f t="shared" si="106"/>
        <v>ORD26000548</v>
      </c>
      <c r="P2272" s="23" t="str">
        <f t="shared" si="107"/>
        <v>Sep</v>
      </c>
      <c r="Q2272" s="23" t="str">
        <f>IF(F2272="CAPTURE",IF(COUNTIF(orders!$A:$A,O2272)&gt;0,"Yes","NO ORDER"),"")</f>
        <v>Yes</v>
      </c>
    </row>
    <row r="2273" spans="1:17" ht="15" customHeight="1" x14ac:dyDescent="0.3">
      <c r="A2273" s="23" t="s">
        <v>15061</v>
      </c>
      <c r="B2273" s="23"/>
      <c r="C2273" s="23" t="s">
        <v>1531</v>
      </c>
      <c r="D2273" s="23" t="str">
        <f t="shared" si="105"/>
        <v>ORD26000557</v>
      </c>
      <c r="E2273" s="38">
        <v>46278</v>
      </c>
      <c r="F2273" s="23" t="s">
        <v>12410</v>
      </c>
      <c r="G2273" s="23" t="s">
        <v>75</v>
      </c>
      <c r="H2273" s="24">
        <v>3647</v>
      </c>
      <c r="I2273" s="24">
        <v>10.94</v>
      </c>
      <c r="J2273" s="24">
        <v>1.97</v>
      </c>
      <c r="K2273" s="24">
        <v>3634.09</v>
      </c>
      <c r="L2273" s="38">
        <v>46280</v>
      </c>
      <c r="M2273" s="23" t="s">
        <v>202</v>
      </c>
      <c r="N2273" s="23" t="str">
        <f>IF(COUNTIF($A$2:A2273,A2273)&gt;1,"DUP","OK")</f>
        <v>OK</v>
      </c>
      <c r="O2273" s="23" t="str">
        <f t="shared" si="106"/>
        <v>ORD26000557</v>
      </c>
      <c r="P2273" s="23" t="str">
        <f t="shared" si="107"/>
        <v>Sep</v>
      </c>
      <c r="Q2273" s="23" t="str">
        <f>IF(F2273="CAPTURE",IF(COUNTIF(orders!$A:$A,O2273)&gt;0,"Yes","NO ORDER"),"")</f>
        <v>Yes</v>
      </c>
    </row>
    <row r="2274" spans="1:17" ht="15" customHeight="1" x14ac:dyDescent="0.3">
      <c r="A2274" s="23" t="s">
        <v>15062</v>
      </c>
      <c r="B2274" s="23"/>
      <c r="C2274" s="23" t="s">
        <v>15063</v>
      </c>
      <c r="D2274" s="23" t="str">
        <f t="shared" si="105"/>
        <v>ORD26000637</v>
      </c>
      <c r="E2274" s="38">
        <v>46278</v>
      </c>
      <c r="F2274" s="23" t="s">
        <v>12410</v>
      </c>
      <c r="G2274" s="23" t="s">
        <v>79</v>
      </c>
      <c r="H2274" s="24">
        <v>1799</v>
      </c>
      <c r="I2274" s="24">
        <v>32.380000000000003</v>
      </c>
      <c r="J2274" s="24">
        <v>5.83</v>
      </c>
      <c r="K2274" s="24">
        <v>1760.79</v>
      </c>
      <c r="L2274" s="38">
        <v>46280</v>
      </c>
      <c r="M2274" s="23" t="s">
        <v>202</v>
      </c>
      <c r="N2274" s="23" t="str">
        <f>IF(COUNTIF($A$2:A2274,A2274)&gt;1,"DUP","OK")</f>
        <v>OK</v>
      </c>
      <c r="O2274" s="23" t="str">
        <f t="shared" si="106"/>
        <v>ORD26000637</v>
      </c>
      <c r="P2274" s="23" t="str">
        <f t="shared" si="107"/>
        <v>Sep</v>
      </c>
      <c r="Q2274" s="23" t="str">
        <f>IF(F2274="CAPTURE",IF(COUNTIF(orders!$A:$A,O2274)&gt;0,"Yes","NO ORDER"),"")</f>
        <v>Yes</v>
      </c>
    </row>
    <row r="2275" spans="1:17" ht="15" customHeight="1" x14ac:dyDescent="0.3">
      <c r="A2275" s="23" t="s">
        <v>15064</v>
      </c>
      <c r="B2275" s="23"/>
      <c r="C2275" s="23" t="s">
        <v>1746</v>
      </c>
      <c r="D2275" s="23" t="str">
        <f t="shared" si="105"/>
        <v>ORD26000657</v>
      </c>
      <c r="E2275" s="38">
        <v>46278</v>
      </c>
      <c r="F2275" s="23" t="s">
        <v>12410</v>
      </c>
      <c r="G2275" s="23" t="s">
        <v>75</v>
      </c>
      <c r="H2275" s="24">
        <v>4298</v>
      </c>
      <c r="I2275" s="24">
        <v>12.89</v>
      </c>
      <c r="J2275" s="24">
        <v>2.3199999999999998</v>
      </c>
      <c r="K2275" s="24">
        <v>4282.79</v>
      </c>
      <c r="L2275" s="38">
        <v>46280</v>
      </c>
      <c r="M2275" s="23" t="s">
        <v>202</v>
      </c>
      <c r="N2275" s="23" t="str">
        <f>IF(COUNTIF($A$2:A2275,A2275)&gt;1,"DUP","OK")</f>
        <v>OK</v>
      </c>
      <c r="O2275" s="23" t="str">
        <f t="shared" si="106"/>
        <v>ORD26000657</v>
      </c>
      <c r="P2275" s="23" t="str">
        <f t="shared" si="107"/>
        <v>Sep</v>
      </c>
      <c r="Q2275" s="23" t="str">
        <f>IF(F2275="CAPTURE",IF(COUNTIF(orders!$A:$A,O2275)&gt;0,"Yes","NO ORDER"),"")</f>
        <v>Yes</v>
      </c>
    </row>
    <row r="2276" spans="1:17" ht="15" customHeight="1" x14ac:dyDescent="0.3">
      <c r="A2276" s="23" t="s">
        <v>15065</v>
      </c>
      <c r="B2276" s="23"/>
      <c r="C2276" s="23" t="s">
        <v>1760</v>
      </c>
      <c r="D2276" s="23" t="str">
        <f t="shared" si="105"/>
        <v>ORD26000664</v>
      </c>
      <c r="E2276" s="38">
        <v>46278</v>
      </c>
      <c r="F2276" s="23" t="s">
        <v>12410</v>
      </c>
      <c r="G2276" s="23" t="s">
        <v>79</v>
      </c>
      <c r="H2276" s="24">
        <v>2148</v>
      </c>
      <c r="I2276" s="24">
        <v>34.369999999999997</v>
      </c>
      <c r="J2276" s="24">
        <v>6.19</v>
      </c>
      <c r="K2276" s="24">
        <v>2107.44</v>
      </c>
      <c r="L2276" s="38">
        <v>46280</v>
      </c>
      <c r="M2276" s="23" t="s">
        <v>202</v>
      </c>
      <c r="N2276" s="23" t="str">
        <f>IF(COUNTIF($A$2:A2276,A2276)&gt;1,"DUP","OK")</f>
        <v>OK</v>
      </c>
      <c r="O2276" s="23" t="str">
        <f t="shared" si="106"/>
        <v>ORD26000664</v>
      </c>
      <c r="P2276" s="23" t="str">
        <f t="shared" si="107"/>
        <v>Sep</v>
      </c>
      <c r="Q2276" s="23" t="str">
        <f>IF(F2276="CAPTURE",IF(COUNTIF(orders!$A:$A,O2276)&gt;0,"Yes","NO ORDER"),"")</f>
        <v>Yes</v>
      </c>
    </row>
    <row r="2277" spans="1:17" ht="15" customHeight="1" x14ac:dyDescent="0.3">
      <c r="A2277" s="23" t="s">
        <v>15066</v>
      </c>
      <c r="B2277" s="23"/>
      <c r="C2277" s="23" t="s">
        <v>1810</v>
      </c>
      <c r="D2277" s="23" t="str">
        <f t="shared" si="105"/>
        <v>ORD26000686</v>
      </c>
      <c r="E2277" s="38">
        <v>46278</v>
      </c>
      <c r="F2277" s="23" t="s">
        <v>12410</v>
      </c>
      <c r="G2277" s="23" t="s">
        <v>75</v>
      </c>
      <c r="H2277" s="24">
        <v>7999</v>
      </c>
      <c r="I2277" s="24">
        <v>24</v>
      </c>
      <c r="J2277" s="24">
        <v>4.32</v>
      </c>
      <c r="K2277" s="24">
        <v>7970.68</v>
      </c>
      <c r="L2277" s="38">
        <v>46280</v>
      </c>
      <c r="M2277" s="23" t="s">
        <v>202</v>
      </c>
      <c r="N2277" s="23" t="str">
        <f>IF(COUNTIF($A$2:A2277,A2277)&gt;1,"DUP","OK")</f>
        <v>OK</v>
      </c>
      <c r="O2277" s="23" t="str">
        <f t="shared" si="106"/>
        <v>ORD26000686</v>
      </c>
      <c r="P2277" s="23" t="str">
        <f t="shared" si="107"/>
        <v>Sep</v>
      </c>
      <c r="Q2277" s="23" t="str">
        <f>IF(F2277="CAPTURE",IF(COUNTIF(orders!$A:$A,O2277)&gt;0,"Yes","NO ORDER"),"")</f>
        <v>Yes</v>
      </c>
    </row>
    <row r="2278" spans="1:17" ht="15" customHeight="1" x14ac:dyDescent="0.3">
      <c r="A2278" s="23" t="s">
        <v>15067</v>
      </c>
      <c r="B2278" s="23"/>
      <c r="C2278" s="23" t="s">
        <v>1927</v>
      </c>
      <c r="D2278" s="23" t="str">
        <f t="shared" si="105"/>
        <v>ORD26000744</v>
      </c>
      <c r="E2278" s="38">
        <v>46278</v>
      </c>
      <c r="F2278" s="23" t="s">
        <v>12410</v>
      </c>
      <c r="G2278" s="23" t="s">
        <v>75</v>
      </c>
      <c r="H2278" s="24">
        <v>3499</v>
      </c>
      <c r="I2278" s="24">
        <v>10.5</v>
      </c>
      <c r="J2278" s="24">
        <v>1.89</v>
      </c>
      <c r="K2278" s="24">
        <v>3486.61</v>
      </c>
      <c r="L2278" s="38">
        <v>46280</v>
      </c>
      <c r="M2278" s="23" t="s">
        <v>202</v>
      </c>
      <c r="N2278" s="23" t="str">
        <f>IF(COUNTIF($A$2:A2278,A2278)&gt;1,"DUP","OK")</f>
        <v>OK</v>
      </c>
      <c r="O2278" s="23" t="str">
        <f t="shared" si="106"/>
        <v>ORD26000744</v>
      </c>
      <c r="P2278" s="23" t="str">
        <f t="shared" si="107"/>
        <v>Sep</v>
      </c>
      <c r="Q2278" s="23" t="str">
        <f>IF(F2278="CAPTURE",IF(COUNTIF(orders!$A:$A,O2278)&gt;0,"Yes","NO ORDER"),"")</f>
        <v>Yes</v>
      </c>
    </row>
    <row r="2279" spans="1:17" ht="15" customHeight="1" x14ac:dyDescent="0.3">
      <c r="A2279" s="23" t="s">
        <v>15068</v>
      </c>
      <c r="B2279" s="23"/>
      <c r="C2279" s="23" t="s">
        <v>2105</v>
      </c>
      <c r="D2279" s="23" t="str">
        <f t="shared" si="105"/>
        <v>ORD26000828</v>
      </c>
      <c r="E2279" s="38">
        <v>46278</v>
      </c>
      <c r="F2279" s="23" t="s">
        <v>12410</v>
      </c>
      <c r="G2279" s="23" t="s">
        <v>75</v>
      </c>
      <c r="H2279" s="24">
        <v>4798</v>
      </c>
      <c r="I2279" s="24">
        <v>14.39</v>
      </c>
      <c r="J2279" s="24">
        <v>2.59</v>
      </c>
      <c r="K2279" s="24">
        <v>4781.0200000000004</v>
      </c>
      <c r="L2279" s="38">
        <v>46280</v>
      </c>
      <c r="M2279" s="23" t="s">
        <v>202</v>
      </c>
      <c r="N2279" s="23" t="str">
        <f>IF(COUNTIF($A$2:A2279,A2279)&gt;1,"DUP","OK")</f>
        <v>OK</v>
      </c>
      <c r="O2279" s="23" t="str">
        <f t="shared" si="106"/>
        <v>ORD26000828</v>
      </c>
      <c r="P2279" s="23" t="str">
        <f t="shared" si="107"/>
        <v>Sep</v>
      </c>
      <c r="Q2279" s="23" t="str">
        <f>IF(F2279="CAPTURE",IF(COUNTIF(orders!$A:$A,O2279)&gt;0,"Yes","NO ORDER"),"")</f>
        <v>Yes</v>
      </c>
    </row>
    <row r="2280" spans="1:17" ht="15" customHeight="1" x14ac:dyDescent="0.3">
      <c r="A2280" s="23" t="s">
        <v>15069</v>
      </c>
      <c r="B2280" s="23"/>
      <c r="C2280" s="23" t="s">
        <v>15070</v>
      </c>
      <c r="D2280" s="23" t="str">
        <f t="shared" si="105"/>
        <v>ORD26000854</v>
      </c>
      <c r="E2280" s="38">
        <v>46278</v>
      </c>
      <c r="F2280" s="23" t="s">
        <v>12410</v>
      </c>
      <c r="G2280" s="23" t="s">
        <v>75</v>
      </c>
      <c r="H2280" s="24">
        <v>7998</v>
      </c>
      <c r="I2280" s="24">
        <v>23.99</v>
      </c>
      <c r="J2280" s="24">
        <v>4.32</v>
      </c>
      <c r="K2280" s="24">
        <v>7969.69</v>
      </c>
      <c r="L2280" s="38">
        <v>46280</v>
      </c>
      <c r="M2280" s="23" t="s">
        <v>202</v>
      </c>
      <c r="N2280" s="23" t="str">
        <f>IF(COUNTIF($A$2:A2280,A2280)&gt;1,"DUP","OK")</f>
        <v>OK</v>
      </c>
      <c r="O2280" s="23" t="str">
        <f t="shared" si="106"/>
        <v>ORD26000854</v>
      </c>
      <c r="P2280" s="23" t="str">
        <f t="shared" si="107"/>
        <v>Sep</v>
      </c>
      <c r="Q2280" s="23" t="str">
        <f>IF(F2280="CAPTURE",IF(COUNTIF(orders!$A:$A,O2280)&gt;0,"Yes","NO ORDER"),"")</f>
        <v>Yes</v>
      </c>
    </row>
    <row r="2281" spans="1:17" ht="15" customHeight="1" x14ac:dyDescent="0.3">
      <c r="A2281" s="23" t="s">
        <v>15071</v>
      </c>
      <c r="B2281" s="23"/>
      <c r="C2281" s="23" t="s">
        <v>2168</v>
      </c>
      <c r="D2281" s="23" t="str">
        <f t="shared" si="105"/>
        <v>ORD26000858</v>
      </c>
      <c r="E2281" s="38">
        <v>46278</v>
      </c>
      <c r="F2281" s="23" t="s">
        <v>12410</v>
      </c>
      <c r="G2281" s="23" t="s">
        <v>75</v>
      </c>
      <c r="H2281" s="24">
        <v>2498</v>
      </c>
      <c r="I2281" s="24">
        <v>7.49</v>
      </c>
      <c r="J2281" s="24">
        <v>1.35</v>
      </c>
      <c r="K2281" s="24">
        <v>2489.16</v>
      </c>
      <c r="L2281" s="38">
        <v>46280</v>
      </c>
      <c r="M2281" s="23" t="s">
        <v>202</v>
      </c>
      <c r="N2281" s="23" t="str">
        <f>IF(COUNTIF($A$2:A2281,A2281)&gt;1,"DUP","OK")</f>
        <v>OK</v>
      </c>
      <c r="O2281" s="23" t="str">
        <f t="shared" si="106"/>
        <v>ORD26000858</v>
      </c>
      <c r="P2281" s="23" t="str">
        <f t="shared" si="107"/>
        <v>Sep</v>
      </c>
      <c r="Q2281" s="23" t="str">
        <f>IF(F2281="CAPTURE",IF(COUNTIF(orders!$A:$A,O2281)&gt;0,"Yes","NO ORDER"),"")</f>
        <v>Yes</v>
      </c>
    </row>
    <row r="2282" spans="1:17" ht="15" customHeight="1" x14ac:dyDescent="0.3">
      <c r="A2282" s="23" t="s">
        <v>15072</v>
      </c>
      <c r="B2282" s="23"/>
      <c r="C2282" s="23" t="s">
        <v>2298</v>
      </c>
      <c r="D2282" s="23" t="str">
        <f t="shared" si="105"/>
        <v>ORD26000921</v>
      </c>
      <c r="E2282" s="38">
        <v>46278</v>
      </c>
      <c r="F2282" s="23" t="s">
        <v>12410</v>
      </c>
      <c r="G2282" s="23" t="s">
        <v>75</v>
      </c>
      <c r="H2282" s="24">
        <v>7999</v>
      </c>
      <c r="I2282" s="24">
        <v>24</v>
      </c>
      <c r="J2282" s="24">
        <v>4.32</v>
      </c>
      <c r="K2282" s="24">
        <v>7970.68</v>
      </c>
      <c r="L2282" s="38">
        <v>46280</v>
      </c>
      <c r="M2282" s="23" t="s">
        <v>202</v>
      </c>
      <c r="N2282" s="23" t="str">
        <f>IF(COUNTIF($A$2:A2282,A2282)&gt;1,"DUP","OK")</f>
        <v>OK</v>
      </c>
      <c r="O2282" s="23" t="str">
        <f t="shared" si="106"/>
        <v>ORD26000921</v>
      </c>
      <c r="P2282" s="23" t="str">
        <f t="shared" si="107"/>
        <v>Sep</v>
      </c>
      <c r="Q2282" s="23" t="str">
        <f>IF(F2282="CAPTURE",IF(COUNTIF(orders!$A:$A,O2282)&gt;0,"Yes","NO ORDER"),"")</f>
        <v>Yes</v>
      </c>
    </row>
    <row r="2283" spans="1:17" ht="15" customHeight="1" x14ac:dyDescent="0.3">
      <c r="A2283" s="23" t="s">
        <v>15073</v>
      </c>
      <c r="B2283" s="23"/>
      <c r="C2283" s="23" t="s">
        <v>2352</v>
      </c>
      <c r="D2283" s="23" t="str">
        <f t="shared" si="105"/>
        <v>ORD26000947</v>
      </c>
      <c r="E2283" s="38">
        <v>46278</v>
      </c>
      <c r="F2283" s="23" t="s">
        <v>12410</v>
      </c>
      <c r="G2283" s="23" t="s">
        <v>75</v>
      </c>
      <c r="H2283" s="24">
        <v>6297</v>
      </c>
      <c r="I2283" s="24">
        <v>18.89</v>
      </c>
      <c r="J2283" s="24">
        <v>3.4</v>
      </c>
      <c r="K2283" s="24">
        <v>6274.71</v>
      </c>
      <c r="L2283" s="38">
        <v>46280</v>
      </c>
      <c r="M2283" s="23" t="s">
        <v>202</v>
      </c>
      <c r="N2283" s="23" t="str">
        <f>IF(COUNTIF($A$2:A2283,A2283)&gt;1,"DUP","OK")</f>
        <v>OK</v>
      </c>
      <c r="O2283" s="23" t="str">
        <f t="shared" si="106"/>
        <v>ORD26000947</v>
      </c>
      <c r="P2283" s="23" t="str">
        <f t="shared" si="107"/>
        <v>Sep</v>
      </c>
      <c r="Q2283" s="23" t="str">
        <f>IF(F2283="CAPTURE",IF(COUNTIF(orders!$A:$A,O2283)&gt;0,"Yes","NO ORDER"),"")</f>
        <v>Yes</v>
      </c>
    </row>
    <row r="2284" spans="1:17" ht="15" customHeight="1" x14ac:dyDescent="0.3">
      <c r="A2284" s="23" t="s">
        <v>15074</v>
      </c>
      <c r="B2284" s="23"/>
      <c r="C2284" s="23" t="s">
        <v>2379</v>
      </c>
      <c r="D2284" s="23" t="str">
        <f t="shared" si="105"/>
        <v>ORD26000960</v>
      </c>
      <c r="E2284" s="38">
        <v>46278</v>
      </c>
      <c r="F2284" s="23" t="s">
        <v>12410</v>
      </c>
      <c r="G2284" s="23" t="s">
        <v>75</v>
      </c>
      <c r="H2284" s="24">
        <v>2999</v>
      </c>
      <c r="I2284" s="24">
        <v>9</v>
      </c>
      <c r="J2284" s="24">
        <v>1.62</v>
      </c>
      <c r="K2284" s="24">
        <v>2988.38</v>
      </c>
      <c r="L2284" s="38">
        <v>46280</v>
      </c>
      <c r="M2284" s="23" t="s">
        <v>202</v>
      </c>
      <c r="N2284" s="23" t="str">
        <f>IF(COUNTIF($A$2:A2284,A2284)&gt;1,"DUP","OK")</f>
        <v>OK</v>
      </c>
      <c r="O2284" s="23" t="str">
        <f t="shared" si="106"/>
        <v>ORD26000960</v>
      </c>
      <c r="P2284" s="23" t="str">
        <f t="shared" si="107"/>
        <v>Sep</v>
      </c>
      <c r="Q2284" s="23" t="str">
        <f>IF(F2284="CAPTURE",IF(COUNTIF(orders!$A:$A,O2284)&gt;0,"Yes","NO ORDER"),"")</f>
        <v>Yes</v>
      </c>
    </row>
    <row r="2285" spans="1:17" ht="15" customHeight="1" x14ac:dyDescent="0.3">
      <c r="A2285" s="23" t="s">
        <v>15075</v>
      </c>
      <c r="B2285" s="23"/>
      <c r="C2285" s="23" t="s">
        <v>2487</v>
      </c>
      <c r="D2285" s="23" t="str">
        <f t="shared" si="105"/>
        <v>ORD26001013</v>
      </c>
      <c r="E2285" s="38">
        <v>46278</v>
      </c>
      <c r="F2285" s="23" t="s">
        <v>12410</v>
      </c>
      <c r="G2285" s="23" t="s">
        <v>75</v>
      </c>
      <c r="H2285" s="24">
        <v>2850</v>
      </c>
      <c r="I2285" s="24">
        <v>8.5500000000000007</v>
      </c>
      <c r="J2285" s="24">
        <v>1.54</v>
      </c>
      <c r="K2285" s="24">
        <v>2839.91</v>
      </c>
      <c r="L2285" s="38">
        <v>46280</v>
      </c>
      <c r="M2285" s="23" t="s">
        <v>202</v>
      </c>
      <c r="N2285" s="23" t="str">
        <f>IF(COUNTIF($A$2:A2285,A2285)&gt;1,"DUP","OK")</f>
        <v>OK</v>
      </c>
      <c r="O2285" s="23" t="str">
        <f t="shared" si="106"/>
        <v>ORD26001013</v>
      </c>
      <c r="P2285" s="23" t="str">
        <f t="shared" si="107"/>
        <v>Sep</v>
      </c>
      <c r="Q2285" s="23" t="str">
        <f>IF(F2285="CAPTURE",IF(COUNTIF(orders!$A:$A,O2285)&gt;0,"Yes","NO ORDER"),"")</f>
        <v>Yes</v>
      </c>
    </row>
    <row r="2286" spans="1:17" ht="15" customHeight="1" x14ac:dyDescent="0.3">
      <c r="A2286" s="23" t="s">
        <v>15076</v>
      </c>
      <c r="B2286" s="23"/>
      <c r="C2286" s="23" t="s">
        <v>2506</v>
      </c>
      <c r="D2286" s="23" t="str">
        <f t="shared" si="105"/>
        <v>ORD26001022</v>
      </c>
      <c r="E2286" s="38">
        <v>46278</v>
      </c>
      <c r="F2286" s="23" t="s">
        <v>12410</v>
      </c>
      <c r="G2286" s="23" t="s">
        <v>75</v>
      </c>
      <c r="H2286" s="24">
        <v>4998</v>
      </c>
      <c r="I2286" s="24">
        <v>14.99</v>
      </c>
      <c r="J2286" s="24">
        <v>2.7</v>
      </c>
      <c r="K2286" s="24">
        <v>4980.3100000000004</v>
      </c>
      <c r="L2286" s="38">
        <v>46280</v>
      </c>
      <c r="M2286" s="23" t="s">
        <v>202</v>
      </c>
      <c r="N2286" s="23" t="str">
        <f>IF(COUNTIF($A$2:A2286,A2286)&gt;1,"DUP","OK")</f>
        <v>OK</v>
      </c>
      <c r="O2286" s="23" t="str">
        <f t="shared" si="106"/>
        <v>ORD26001022</v>
      </c>
      <c r="P2286" s="23" t="str">
        <f t="shared" si="107"/>
        <v>Sep</v>
      </c>
      <c r="Q2286" s="23" t="str">
        <f>IF(F2286="CAPTURE",IF(COUNTIF(orders!$A:$A,O2286)&gt;0,"Yes","NO ORDER"),"")</f>
        <v>Yes</v>
      </c>
    </row>
    <row r="2287" spans="1:17" ht="15" customHeight="1" x14ac:dyDescent="0.3">
      <c r="A2287" s="23" t="s">
        <v>15077</v>
      </c>
      <c r="B2287" s="23"/>
      <c r="C2287" s="23" t="s">
        <v>2541</v>
      </c>
      <c r="D2287" s="23" t="str">
        <f t="shared" si="105"/>
        <v>ORD26001039</v>
      </c>
      <c r="E2287" s="38">
        <v>46278</v>
      </c>
      <c r="F2287" s="23" t="s">
        <v>12410</v>
      </c>
      <c r="G2287" s="23" t="s">
        <v>75</v>
      </c>
      <c r="H2287" s="24">
        <v>3499</v>
      </c>
      <c r="I2287" s="24">
        <v>10.5</v>
      </c>
      <c r="J2287" s="24">
        <v>1.89</v>
      </c>
      <c r="K2287" s="24">
        <v>3486.61</v>
      </c>
      <c r="L2287" s="38">
        <v>46280</v>
      </c>
      <c r="M2287" s="23" t="s">
        <v>202</v>
      </c>
      <c r="N2287" s="23" t="str">
        <f>IF(COUNTIF($A$2:A2287,A2287)&gt;1,"DUP","OK")</f>
        <v>OK</v>
      </c>
      <c r="O2287" s="23" t="str">
        <f t="shared" si="106"/>
        <v>ORD26001039</v>
      </c>
      <c r="P2287" s="23" t="str">
        <f t="shared" si="107"/>
        <v>Sep</v>
      </c>
      <c r="Q2287" s="23" t="str">
        <f>IF(F2287="CAPTURE",IF(COUNTIF(orders!$A:$A,O2287)&gt;0,"Yes","NO ORDER"),"")</f>
        <v>Yes</v>
      </c>
    </row>
    <row r="2288" spans="1:17" ht="15" customHeight="1" x14ac:dyDescent="0.3">
      <c r="A2288" s="23" t="s">
        <v>15078</v>
      </c>
      <c r="B2288" s="23"/>
      <c r="C2288" s="23" t="s">
        <v>2621</v>
      </c>
      <c r="D2288" s="23" t="str">
        <f t="shared" si="105"/>
        <v>ORD26001078</v>
      </c>
      <c r="E2288" s="38">
        <v>46278</v>
      </c>
      <c r="F2288" s="23" t="s">
        <v>12410</v>
      </c>
      <c r="G2288" s="23" t="s">
        <v>75</v>
      </c>
      <c r="H2288" s="24">
        <v>4798</v>
      </c>
      <c r="I2288" s="24">
        <v>14.39</v>
      </c>
      <c r="J2288" s="24">
        <v>2.59</v>
      </c>
      <c r="K2288" s="24">
        <v>4781.0200000000004</v>
      </c>
      <c r="L2288" s="38">
        <v>46280</v>
      </c>
      <c r="M2288" s="23" t="s">
        <v>202</v>
      </c>
      <c r="N2288" s="23" t="str">
        <f>IF(COUNTIF($A$2:A2288,A2288)&gt;1,"DUP","OK")</f>
        <v>OK</v>
      </c>
      <c r="O2288" s="23" t="str">
        <f t="shared" si="106"/>
        <v>ORD26001078</v>
      </c>
      <c r="P2288" s="23" t="str">
        <f t="shared" si="107"/>
        <v>Sep</v>
      </c>
      <c r="Q2288" s="23" t="str">
        <f>IF(F2288="CAPTURE",IF(COUNTIF(orders!$A:$A,O2288)&gt;0,"Yes","NO ORDER"),"")</f>
        <v>Yes</v>
      </c>
    </row>
    <row r="2289" spans="1:17" ht="15" customHeight="1" x14ac:dyDescent="0.3">
      <c r="A2289" s="23" t="s">
        <v>15079</v>
      </c>
      <c r="B2289" s="23"/>
      <c r="C2289" s="23" t="s">
        <v>2656</v>
      </c>
      <c r="D2289" s="23" t="str">
        <f t="shared" si="105"/>
        <v>ORD26001095</v>
      </c>
      <c r="E2289" s="38">
        <v>46278</v>
      </c>
      <c r="F2289" s="23" t="s">
        <v>12410</v>
      </c>
      <c r="G2289" s="23" t="s">
        <v>75</v>
      </c>
      <c r="H2289" s="24">
        <v>1299</v>
      </c>
      <c r="I2289" s="24">
        <v>0</v>
      </c>
      <c r="J2289" s="24">
        <v>0</v>
      </c>
      <c r="K2289" s="24">
        <v>1299</v>
      </c>
      <c r="L2289" s="38">
        <v>46280</v>
      </c>
      <c r="M2289" s="23" t="s">
        <v>202</v>
      </c>
      <c r="N2289" s="23" t="str">
        <f>IF(COUNTIF($A$2:A2289,A2289)&gt;1,"DUP","OK")</f>
        <v>OK</v>
      </c>
      <c r="O2289" s="23" t="str">
        <f t="shared" si="106"/>
        <v>ORD26001095</v>
      </c>
      <c r="P2289" s="23" t="str">
        <f t="shared" si="107"/>
        <v>Sep</v>
      </c>
      <c r="Q2289" s="23" t="str">
        <f>IF(F2289="CAPTURE",IF(COUNTIF(orders!$A:$A,O2289)&gt;0,"Yes","NO ORDER"),"")</f>
        <v>Yes</v>
      </c>
    </row>
    <row r="2290" spans="1:17" ht="15" customHeight="1" x14ac:dyDescent="0.3">
      <c r="A2290" s="23" t="s">
        <v>15080</v>
      </c>
      <c r="B2290" s="23"/>
      <c r="C2290" s="23" t="s">
        <v>2691</v>
      </c>
      <c r="D2290" s="23" t="str">
        <f t="shared" si="105"/>
        <v>ORD26001113</v>
      </c>
      <c r="E2290" s="38">
        <v>46278</v>
      </c>
      <c r="F2290" s="23" t="s">
        <v>12410</v>
      </c>
      <c r="G2290" s="23" t="s">
        <v>75</v>
      </c>
      <c r="H2290" s="24">
        <v>349</v>
      </c>
      <c r="I2290" s="24">
        <v>0</v>
      </c>
      <c r="J2290" s="24">
        <v>0</v>
      </c>
      <c r="K2290" s="24">
        <v>349</v>
      </c>
      <c r="L2290" s="38">
        <v>46280</v>
      </c>
      <c r="M2290" s="23" t="s">
        <v>202</v>
      </c>
      <c r="N2290" s="23" t="str">
        <f>IF(COUNTIF($A$2:A2290,A2290)&gt;1,"DUP","OK")</f>
        <v>OK</v>
      </c>
      <c r="O2290" s="23" t="str">
        <f t="shared" si="106"/>
        <v>ORD26001113</v>
      </c>
      <c r="P2290" s="23" t="str">
        <f t="shared" si="107"/>
        <v>Sep</v>
      </c>
      <c r="Q2290" s="23" t="str">
        <f>IF(F2290="CAPTURE",IF(COUNTIF(orders!$A:$A,O2290)&gt;0,"Yes","NO ORDER"),"")</f>
        <v>Yes</v>
      </c>
    </row>
    <row r="2291" spans="1:17" ht="15" customHeight="1" x14ac:dyDescent="0.3">
      <c r="A2291" s="23" t="s">
        <v>15081</v>
      </c>
      <c r="B2291" s="23"/>
      <c r="C2291" s="23" t="s">
        <v>2701</v>
      </c>
      <c r="D2291" s="23" t="str">
        <f t="shared" si="105"/>
        <v>ORD26001118</v>
      </c>
      <c r="E2291" s="38">
        <v>46278</v>
      </c>
      <c r="F2291" s="23" t="s">
        <v>12410</v>
      </c>
      <c r="G2291" s="23" t="s">
        <v>79</v>
      </c>
      <c r="H2291" s="24">
        <v>9097</v>
      </c>
      <c r="I2291" s="24">
        <v>145.55000000000001</v>
      </c>
      <c r="J2291" s="24">
        <v>26.2</v>
      </c>
      <c r="K2291" s="24">
        <v>8925.25</v>
      </c>
      <c r="L2291" s="38">
        <v>46280</v>
      </c>
      <c r="M2291" s="23" t="s">
        <v>202</v>
      </c>
      <c r="N2291" s="23" t="str">
        <f>IF(COUNTIF($A$2:A2291,A2291)&gt;1,"DUP","OK")</f>
        <v>OK</v>
      </c>
      <c r="O2291" s="23" t="str">
        <f t="shared" si="106"/>
        <v>ORD26001118</v>
      </c>
      <c r="P2291" s="23" t="str">
        <f t="shared" si="107"/>
        <v>Sep</v>
      </c>
      <c r="Q2291" s="23" t="str">
        <f>IF(F2291="CAPTURE",IF(COUNTIF(orders!$A:$A,O2291)&gt;0,"Yes","NO ORDER"),"")</f>
        <v>Yes</v>
      </c>
    </row>
    <row r="2292" spans="1:17" ht="15" customHeight="1" x14ac:dyDescent="0.3">
      <c r="A2292" s="23" t="s">
        <v>15082</v>
      </c>
      <c r="B2292" s="23"/>
      <c r="C2292" s="23" t="s">
        <v>2911</v>
      </c>
      <c r="D2292" s="23" t="str">
        <f t="shared" si="105"/>
        <v>ORD26001221</v>
      </c>
      <c r="E2292" s="38">
        <v>46278</v>
      </c>
      <c r="F2292" s="23" t="s">
        <v>12410</v>
      </c>
      <c r="G2292" s="23" t="s">
        <v>75</v>
      </c>
      <c r="H2292" s="24">
        <v>7497</v>
      </c>
      <c r="I2292" s="24">
        <v>22.49</v>
      </c>
      <c r="J2292" s="24">
        <v>4.05</v>
      </c>
      <c r="K2292" s="24">
        <v>7470.46</v>
      </c>
      <c r="L2292" s="38">
        <v>46280</v>
      </c>
      <c r="M2292" s="23" t="s">
        <v>202</v>
      </c>
      <c r="N2292" s="23" t="str">
        <f>IF(COUNTIF($A$2:A2292,A2292)&gt;1,"DUP","OK")</f>
        <v>OK</v>
      </c>
      <c r="O2292" s="23" t="str">
        <f t="shared" si="106"/>
        <v>ORD26001221</v>
      </c>
      <c r="P2292" s="23" t="str">
        <f t="shared" si="107"/>
        <v>Sep</v>
      </c>
      <c r="Q2292" s="23" t="str">
        <f>IF(F2292="CAPTURE",IF(COUNTIF(orders!$A:$A,O2292)&gt;0,"Yes","NO ORDER"),"")</f>
        <v>Yes</v>
      </c>
    </row>
    <row r="2293" spans="1:17" ht="15" customHeight="1" x14ac:dyDescent="0.3">
      <c r="A2293" s="23" t="s">
        <v>15083</v>
      </c>
      <c r="B2293" s="23"/>
      <c r="C2293" s="23" t="s">
        <v>2982</v>
      </c>
      <c r="D2293" s="23" t="str">
        <f t="shared" si="105"/>
        <v>ORD26001255</v>
      </c>
      <c r="E2293" s="38">
        <v>46278</v>
      </c>
      <c r="F2293" s="23" t="s">
        <v>12410</v>
      </c>
      <c r="G2293" s="23" t="s">
        <v>75</v>
      </c>
      <c r="H2293" s="24">
        <v>799</v>
      </c>
      <c r="I2293" s="24">
        <v>0</v>
      </c>
      <c r="J2293" s="24">
        <v>0</v>
      </c>
      <c r="K2293" s="24">
        <v>799</v>
      </c>
      <c r="L2293" s="38">
        <v>46280</v>
      </c>
      <c r="M2293" s="23" t="s">
        <v>202</v>
      </c>
      <c r="N2293" s="23" t="str">
        <f>IF(COUNTIF($A$2:A2293,A2293)&gt;1,"DUP","OK")</f>
        <v>OK</v>
      </c>
      <c r="O2293" s="23" t="str">
        <f t="shared" si="106"/>
        <v>ORD26001255</v>
      </c>
      <c r="P2293" s="23" t="str">
        <f t="shared" si="107"/>
        <v>Sep</v>
      </c>
      <c r="Q2293" s="23" t="str">
        <f>IF(F2293="CAPTURE",IF(COUNTIF(orders!$A:$A,O2293)&gt;0,"Yes","NO ORDER"),"")</f>
        <v>Yes</v>
      </c>
    </row>
    <row r="2294" spans="1:17" ht="15" customHeight="1" x14ac:dyDescent="0.3">
      <c r="A2294" s="23" t="s">
        <v>15084</v>
      </c>
      <c r="B2294" s="23"/>
      <c r="C2294" s="23" t="s">
        <v>15085</v>
      </c>
      <c r="D2294" s="23" t="str">
        <f t="shared" si="105"/>
        <v>ORD26001270</v>
      </c>
      <c r="E2294" s="38">
        <v>46278</v>
      </c>
      <c r="F2294" s="23" t="s">
        <v>12410</v>
      </c>
      <c r="G2294" s="23" t="s">
        <v>79</v>
      </c>
      <c r="H2294" s="24">
        <v>7999</v>
      </c>
      <c r="I2294" s="24">
        <v>127.98</v>
      </c>
      <c r="J2294" s="24">
        <v>23.04</v>
      </c>
      <c r="K2294" s="24">
        <v>7847.98</v>
      </c>
      <c r="L2294" s="38">
        <v>46280</v>
      </c>
      <c r="M2294" s="23" t="s">
        <v>202</v>
      </c>
      <c r="N2294" s="23" t="str">
        <f>IF(COUNTIF($A$2:A2294,A2294)&gt;1,"DUP","OK")</f>
        <v>OK</v>
      </c>
      <c r="O2294" s="23" t="str">
        <f t="shared" si="106"/>
        <v>ORD26001270</v>
      </c>
      <c r="P2294" s="23" t="str">
        <f t="shared" si="107"/>
        <v>Sep</v>
      </c>
      <c r="Q2294" s="23" t="str">
        <f>IF(F2294="CAPTURE",IF(COUNTIF(orders!$A:$A,O2294)&gt;0,"Yes","NO ORDER"),"")</f>
        <v>Yes</v>
      </c>
    </row>
    <row r="2295" spans="1:17" ht="15" customHeight="1" x14ac:dyDescent="0.3">
      <c r="A2295" s="23" t="s">
        <v>15086</v>
      </c>
      <c r="B2295" s="23"/>
      <c r="C2295" s="23" t="s">
        <v>3175</v>
      </c>
      <c r="D2295" s="23" t="str">
        <f t="shared" si="105"/>
        <v>ORD26001348</v>
      </c>
      <c r="E2295" s="38">
        <v>46278</v>
      </c>
      <c r="F2295" s="23" t="s">
        <v>12410</v>
      </c>
      <c r="G2295" s="23" t="s">
        <v>75</v>
      </c>
      <c r="H2295" s="24">
        <v>12998</v>
      </c>
      <c r="I2295" s="24">
        <v>38.99</v>
      </c>
      <c r="J2295" s="24">
        <v>7.02</v>
      </c>
      <c r="K2295" s="24">
        <v>12951.99</v>
      </c>
      <c r="L2295" s="38">
        <v>46280</v>
      </c>
      <c r="M2295" s="23" t="s">
        <v>202</v>
      </c>
      <c r="N2295" s="23" t="str">
        <f>IF(COUNTIF($A$2:A2295,A2295)&gt;1,"DUP","OK")</f>
        <v>OK</v>
      </c>
      <c r="O2295" s="23" t="str">
        <f t="shared" si="106"/>
        <v>ORD26001348</v>
      </c>
      <c r="P2295" s="23" t="str">
        <f t="shared" si="107"/>
        <v>Sep</v>
      </c>
      <c r="Q2295" s="23" t="str">
        <f>IF(F2295="CAPTURE",IF(COUNTIF(orders!$A:$A,O2295)&gt;0,"Yes","NO ORDER"),"")</f>
        <v>Yes</v>
      </c>
    </row>
    <row r="2296" spans="1:17" ht="15" customHeight="1" x14ac:dyDescent="0.3">
      <c r="A2296" s="23" t="s">
        <v>15087</v>
      </c>
      <c r="B2296" s="23"/>
      <c r="C2296" s="23" t="s">
        <v>3179</v>
      </c>
      <c r="D2296" s="23" t="str">
        <f t="shared" si="105"/>
        <v>ORD26001350</v>
      </c>
      <c r="E2296" s="38">
        <v>46278</v>
      </c>
      <c r="F2296" s="23" t="s">
        <v>12410</v>
      </c>
      <c r="G2296" s="23" t="s">
        <v>77</v>
      </c>
      <c r="H2296" s="24">
        <v>8897</v>
      </c>
      <c r="I2296" s="24">
        <v>151.25</v>
      </c>
      <c r="J2296" s="24">
        <v>27.23</v>
      </c>
      <c r="K2296" s="24">
        <v>8718.52</v>
      </c>
      <c r="L2296" s="38">
        <v>46280</v>
      </c>
      <c r="M2296" s="23" t="s">
        <v>202</v>
      </c>
      <c r="N2296" s="23" t="str">
        <f>IF(COUNTIF($A$2:A2296,A2296)&gt;1,"DUP","OK")</f>
        <v>OK</v>
      </c>
      <c r="O2296" s="23" t="str">
        <f t="shared" si="106"/>
        <v>ORD26001350</v>
      </c>
      <c r="P2296" s="23" t="str">
        <f t="shared" si="107"/>
        <v>Sep</v>
      </c>
      <c r="Q2296" s="23" t="str">
        <f>IF(F2296="CAPTURE",IF(COUNTIF(orders!$A:$A,O2296)&gt;0,"Yes","NO ORDER"),"")</f>
        <v>Yes</v>
      </c>
    </row>
    <row r="2297" spans="1:17" ht="15" customHeight="1" x14ac:dyDescent="0.3">
      <c r="A2297" s="23" t="s">
        <v>15088</v>
      </c>
      <c r="B2297" s="23"/>
      <c r="C2297" s="23" t="s">
        <v>3202</v>
      </c>
      <c r="D2297" s="23" t="str">
        <f t="shared" si="105"/>
        <v>ORD26001361</v>
      </c>
      <c r="E2297" s="38">
        <v>46278</v>
      </c>
      <c r="F2297" s="23" t="s">
        <v>12410</v>
      </c>
      <c r="G2297" s="23" t="s">
        <v>75</v>
      </c>
      <c r="H2297" s="24">
        <v>2597</v>
      </c>
      <c r="I2297" s="24">
        <v>7.79</v>
      </c>
      <c r="J2297" s="24">
        <v>1.4</v>
      </c>
      <c r="K2297" s="24">
        <v>2587.81</v>
      </c>
      <c r="L2297" s="38">
        <v>46280</v>
      </c>
      <c r="M2297" s="23" t="s">
        <v>202</v>
      </c>
      <c r="N2297" s="23" t="str">
        <f>IF(COUNTIF($A$2:A2297,A2297)&gt;1,"DUP","OK")</f>
        <v>OK</v>
      </c>
      <c r="O2297" s="23" t="str">
        <f t="shared" si="106"/>
        <v>ORD26001361</v>
      </c>
      <c r="P2297" s="23" t="str">
        <f t="shared" si="107"/>
        <v>Sep</v>
      </c>
      <c r="Q2297" s="23" t="str">
        <f>IF(F2297="CAPTURE",IF(COUNTIF(orders!$A:$A,O2297)&gt;0,"Yes","NO ORDER"),"")</f>
        <v>Yes</v>
      </c>
    </row>
    <row r="2298" spans="1:17" ht="15" customHeight="1" x14ac:dyDescent="0.3">
      <c r="A2298" s="23" t="s">
        <v>15089</v>
      </c>
      <c r="B2298" s="23"/>
      <c r="C2298" s="23" t="s">
        <v>3304</v>
      </c>
      <c r="D2298" s="23" t="str">
        <f t="shared" si="105"/>
        <v>ORD26001411</v>
      </c>
      <c r="E2298" s="38">
        <v>46278</v>
      </c>
      <c r="F2298" s="23" t="s">
        <v>12410</v>
      </c>
      <c r="G2298" s="23" t="s">
        <v>75</v>
      </c>
      <c r="H2298" s="24">
        <v>9997</v>
      </c>
      <c r="I2298" s="24">
        <v>29.99</v>
      </c>
      <c r="J2298" s="24">
        <v>5.4</v>
      </c>
      <c r="K2298" s="24">
        <v>9961.61</v>
      </c>
      <c r="L2298" s="38">
        <v>46280</v>
      </c>
      <c r="M2298" s="23" t="s">
        <v>202</v>
      </c>
      <c r="N2298" s="23" t="str">
        <f>IF(COUNTIF($A$2:A2298,A2298)&gt;1,"DUP","OK")</f>
        <v>OK</v>
      </c>
      <c r="O2298" s="23" t="str">
        <f t="shared" si="106"/>
        <v>ORD26001411</v>
      </c>
      <c r="P2298" s="23" t="str">
        <f t="shared" si="107"/>
        <v>Sep</v>
      </c>
      <c r="Q2298" s="23" t="str">
        <f>IF(F2298="CAPTURE",IF(COUNTIF(orders!$A:$A,O2298)&gt;0,"Yes","NO ORDER"),"")</f>
        <v>Yes</v>
      </c>
    </row>
    <row r="2299" spans="1:17" ht="15" customHeight="1" x14ac:dyDescent="0.3">
      <c r="A2299" s="23" t="s">
        <v>15090</v>
      </c>
      <c r="B2299" s="23"/>
      <c r="C2299" s="23" t="s">
        <v>3339</v>
      </c>
      <c r="D2299" s="23" t="str">
        <f t="shared" si="105"/>
        <v>ORD26001429</v>
      </c>
      <c r="E2299" s="38">
        <v>46278</v>
      </c>
      <c r="F2299" s="23" t="s">
        <v>12410</v>
      </c>
      <c r="G2299" s="23" t="s">
        <v>75</v>
      </c>
      <c r="H2299" s="24">
        <v>7999</v>
      </c>
      <c r="I2299" s="24">
        <v>24</v>
      </c>
      <c r="J2299" s="24">
        <v>4.32</v>
      </c>
      <c r="K2299" s="24">
        <v>7970.68</v>
      </c>
      <c r="L2299" s="38">
        <v>46280</v>
      </c>
      <c r="M2299" s="23" t="s">
        <v>202</v>
      </c>
      <c r="N2299" s="23" t="str">
        <f>IF(COUNTIF($A$2:A2299,A2299)&gt;1,"DUP","OK")</f>
        <v>OK</v>
      </c>
      <c r="O2299" s="23" t="str">
        <f t="shared" si="106"/>
        <v>ORD26001429</v>
      </c>
      <c r="P2299" s="23" t="str">
        <f t="shared" si="107"/>
        <v>Sep</v>
      </c>
      <c r="Q2299" s="23" t="str">
        <f>IF(F2299="CAPTURE",IF(COUNTIF(orders!$A:$A,O2299)&gt;0,"Yes","NO ORDER"),"")</f>
        <v>Yes</v>
      </c>
    </row>
    <row r="2300" spans="1:17" ht="15" customHeight="1" x14ac:dyDescent="0.3">
      <c r="A2300" s="23" t="s">
        <v>15091</v>
      </c>
      <c r="B2300" s="23"/>
      <c r="C2300" s="23" t="s">
        <v>3374</v>
      </c>
      <c r="D2300" s="23" t="str">
        <f t="shared" si="105"/>
        <v>ORD26001446</v>
      </c>
      <c r="E2300" s="38">
        <v>46278</v>
      </c>
      <c r="F2300" s="23" t="s">
        <v>12410</v>
      </c>
      <c r="G2300" s="23" t="s">
        <v>75</v>
      </c>
      <c r="H2300" s="24">
        <v>4298</v>
      </c>
      <c r="I2300" s="24">
        <v>12.89</v>
      </c>
      <c r="J2300" s="24">
        <v>2.3199999999999998</v>
      </c>
      <c r="K2300" s="24">
        <v>4282.79</v>
      </c>
      <c r="L2300" s="38">
        <v>46280</v>
      </c>
      <c r="M2300" s="23" t="s">
        <v>202</v>
      </c>
      <c r="N2300" s="23" t="str">
        <f>IF(COUNTIF($A$2:A2300,A2300)&gt;1,"DUP","OK")</f>
        <v>OK</v>
      </c>
      <c r="O2300" s="23" t="str">
        <f t="shared" si="106"/>
        <v>ORD26001446</v>
      </c>
      <c r="P2300" s="23" t="str">
        <f t="shared" si="107"/>
        <v>Sep</v>
      </c>
      <c r="Q2300" s="23" t="str">
        <f>IF(F2300="CAPTURE",IF(COUNTIF(orders!$A:$A,O2300)&gt;0,"Yes","NO ORDER"),"")</f>
        <v>Yes</v>
      </c>
    </row>
    <row r="2301" spans="1:17" ht="15" customHeight="1" x14ac:dyDescent="0.3">
      <c r="A2301" s="23" t="s">
        <v>15092</v>
      </c>
      <c r="B2301" s="23"/>
      <c r="C2301" s="23" t="s">
        <v>3379</v>
      </c>
      <c r="D2301" s="23" t="str">
        <f t="shared" si="105"/>
        <v>ORD26001448</v>
      </c>
      <c r="E2301" s="38">
        <v>46278</v>
      </c>
      <c r="F2301" s="23" t="s">
        <v>12410</v>
      </c>
      <c r="G2301" s="23" t="s">
        <v>75</v>
      </c>
      <c r="H2301" s="24">
        <v>349</v>
      </c>
      <c r="I2301" s="24">
        <v>0</v>
      </c>
      <c r="J2301" s="24">
        <v>0</v>
      </c>
      <c r="K2301" s="24">
        <v>349</v>
      </c>
      <c r="L2301" s="38">
        <v>46280</v>
      </c>
      <c r="M2301" s="23" t="s">
        <v>202</v>
      </c>
      <c r="N2301" s="23" t="str">
        <f>IF(COUNTIF($A$2:A2301,A2301)&gt;1,"DUP","OK")</f>
        <v>OK</v>
      </c>
      <c r="O2301" s="23" t="str">
        <f t="shared" si="106"/>
        <v>ORD26001448</v>
      </c>
      <c r="P2301" s="23" t="str">
        <f t="shared" si="107"/>
        <v>Sep</v>
      </c>
      <c r="Q2301" s="23" t="str">
        <f>IF(F2301="CAPTURE",IF(COUNTIF(orders!$A:$A,O2301)&gt;0,"Yes","NO ORDER"),"")</f>
        <v>Yes</v>
      </c>
    </row>
    <row r="2302" spans="1:17" ht="15" customHeight="1" x14ac:dyDescent="0.3">
      <c r="A2302" s="23" t="s">
        <v>15093</v>
      </c>
      <c r="B2302" s="23"/>
      <c r="C2302" s="23" t="s">
        <v>3387</v>
      </c>
      <c r="D2302" s="23" t="str">
        <f t="shared" si="105"/>
        <v>ORD26001452</v>
      </c>
      <c r="E2302" s="38">
        <v>46278</v>
      </c>
      <c r="F2302" s="23" t="s">
        <v>12410</v>
      </c>
      <c r="G2302" s="23" t="s">
        <v>79</v>
      </c>
      <c r="H2302" s="24">
        <v>3397</v>
      </c>
      <c r="I2302" s="24">
        <v>54.35</v>
      </c>
      <c r="J2302" s="24">
        <v>9.7799999999999994</v>
      </c>
      <c r="K2302" s="24">
        <v>3332.87</v>
      </c>
      <c r="L2302" s="38">
        <v>46280</v>
      </c>
      <c r="M2302" s="23" t="s">
        <v>202</v>
      </c>
      <c r="N2302" s="23" t="str">
        <f>IF(COUNTIF($A$2:A2302,A2302)&gt;1,"DUP","OK")</f>
        <v>OK</v>
      </c>
      <c r="O2302" s="23" t="str">
        <f t="shared" si="106"/>
        <v>ORD26001452</v>
      </c>
      <c r="P2302" s="23" t="str">
        <f t="shared" si="107"/>
        <v>Sep</v>
      </c>
      <c r="Q2302" s="23" t="str">
        <f>IF(F2302="CAPTURE",IF(COUNTIF(orders!$A:$A,O2302)&gt;0,"Yes","NO ORDER"),"")</f>
        <v>Yes</v>
      </c>
    </row>
    <row r="2303" spans="1:17" ht="15" customHeight="1" x14ac:dyDescent="0.3">
      <c r="A2303" s="23" t="s">
        <v>15094</v>
      </c>
      <c r="B2303" s="23"/>
      <c r="C2303" s="23" t="s">
        <v>3417</v>
      </c>
      <c r="D2303" s="23" t="str">
        <f t="shared" si="105"/>
        <v>ORD26001467</v>
      </c>
      <c r="E2303" s="38">
        <v>46278</v>
      </c>
      <c r="F2303" s="23" t="s">
        <v>12410</v>
      </c>
      <c r="G2303" s="23" t="s">
        <v>75</v>
      </c>
      <c r="H2303" s="24">
        <v>2499</v>
      </c>
      <c r="I2303" s="24">
        <v>7.5</v>
      </c>
      <c r="J2303" s="24">
        <v>1.35</v>
      </c>
      <c r="K2303" s="24">
        <v>2490.15</v>
      </c>
      <c r="L2303" s="38">
        <v>46280</v>
      </c>
      <c r="M2303" s="23" t="s">
        <v>202</v>
      </c>
      <c r="N2303" s="23" t="str">
        <f>IF(COUNTIF($A$2:A2303,A2303)&gt;1,"DUP","OK")</f>
        <v>OK</v>
      </c>
      <c r="O2303" s="23" t="str">
        <f t="shared" si="106"/>
        <v>ORD26001467</v>
      </c>
      <c r="P2303" s="23" t="str">
        <f t="shared" si="107"/>
        <v>Sep</v>
      </c>
      <c r="Q2303" s="23" t="str">
        <f>IF(F2303="CAPTURE",IF(COUNTIF(orders!$A:$A,O2303)&gt;0,"Yes","NO ORDER"),"")</f>
        <v>Yes</v>
      </c>
    </row>
    <row r="2304" spans="1:17" ht="15" customHeight="1" x14ac:dyDescent="0.3">
      <c r="A2304" s="23" t="s">
        <v>15095</v>
      </c>
      <c r="B2304" s="23"/>
      <c r="C2304" s="23" t="s">
        <v>3437</v>
      </c>
      <c r="D2304" s="23" t="str">
        <f t="shared" si="105"/>
        <v>ORD26001477</v>
      </c>
      <c r="E2304" s="38">
        <v>46278</v>
      </c>
      <c r="F2304" s="23" t="s">
        <v>12410</v>
      </c>
      <c r="G2304" s="23" t="s">
        <v>75</v>
      </c>
      <c r="H2304" s="24">
        <v>2598</v>
      </c>
      <c r="I2304" s="24">
        <v>7.79</v>
      </c>
      <c r="J2304" s="24">
        <v>1.4</v>
      </c>
      <c r="K2304" s="24">
        <v>2588.81</v>
      </c>
      <c r="L2304" s="38">
        <v>46280</v>
      </c>
      <c r="M2304" s="23" t="s">
        <v>202</v>
      </c>
      <c r="N2304" s="23" t="str">
        <f>IF(COUNTIF($A$2:A2304,A2304)&gt;1,"DUP","OK")</f>
        <v>OK</v>
      </c>
      <c r="O2304" s="23" t="str">
        <f t="shared" si="106"/>
        <v>ORD26001477</v>
      </c>
      <c r="P2304" s="23" t="str">
        <f t="shared" si="107"/>
        <v>Sep</v>
      </c>
      <c r="Q2304" s="23" t="str">
        <f>IF(F2304="CAPTURE",IF(COUNTIF(orders!$A:$A,O2304)&gt;0,"Yes","NO ORDER"),"")</f>
        <v>Yes</v>
      </c>
    </row>
    <row r="2305" spans="1:17" ht="15" customHeight="1" x14ac:dyDescent="0.3">
      <c r="A2305" s="23" t="s">
        <v>15096</v>
      </c>
      <c r="B2305" s="23"/>
      <c r="C2305" s="23" t="s">
        <v>3448</v>
      </c>
      <c r="D2305" s="23" t="str">
        <f t="shared" si="105"/>
        <v>ORD26001482</v>
      </c>
      <c r="E2305" s="38">
        <v>46278</v>
      </c>
      <c r="F2305" s="23" t="s">
        <v>12410</v>
      </c>
      <c r="G2305" s="23" t="s">
        <v>81</v>
      </c>
      <c r="H2305" s="24">
        <v>2499</v>
      </c>
      <c r="I2305" s="24">
        <v>29.99</v>
      </c>
      <c r="J2305" s="24">
        <v>5.4</v>
      </c>
      <c r="K2305" s="24">
        <v>2463.61</v>
      </c>
      <c r="L2305" s="38">
        <v>46280</v>
      </c>
      <c r="M2305" s="23" t="s">
        <v>202</v>
      </c>
      <c r="N2305" s="23" t="str">
        <f>IF(COUNTIF($A$2:A2305,A2305)&gt;1,"DUP","OK")</f>
        <v>OK</v>
      </c>
      <c r="O2305" s="23" t="str">
        <f t="shared" si="106"/>
        <v>ORD26001482</v>
      </c>
      <c r="P2305" s="23" t="str">
        <f t="shared" si="107"/>
        <v>Sep</v>
      </c>
      <c r="Q2305" s="23" t="str">
        <f>IF(F2305="CAPTURE",IF(COUNTIF(orders!$A:$A,O2305)&gt;0,"Yes","NO ORDER"),"")</f>
        <v>Yes</v>
      </c>
    </row>
    <row r="2306" spans="1:17" ht="15" customHeight="1" x14ac:dyDescent="0.3">
      <c r="A2306" s="23" t="s">
        <v>15097</v>
      </c>
      <c r="B2306" s="23"/>
      <c r="C2306" s="23" t="s">
        <v>3467</v>
      </c>
      <c r="D2306" s="23" t="str">
        <f t="shared" ref="D2306:D2369" si="108">UPPER(SUBSTITUTE(TRIM(C2306),"-",""))</f>
        <v>ORD26001491</v>
      </c>
      <c r="E2306" s="38">
        <v>46278</v>
      </c>
      <c r="F2306" s="23" t="s">
        <v>12410</v>
      </c>
      <c r="G2306" s="23" t="s">
        <v>75</v>
      </c>
      <c r="H2306" s="24">
        <v>2797</v>
      </c>
      <c r="I2306" s="24">
        <v>8.39</v>
      </c>
      <c r="J2306" s="24">
        <v>1.51</v>
      </c>
      <c r="K2306" s="24">
        <v>2787.1</v>
      </c>
      <c r="L2306" s="38">
        <v>46280</v>
      </c>
      <c r="M2306" s="23" t="s">
        <v>202</v>
      </c>
      <c r="N2306" s="23" t="str">
        <f>IF(COUNTIF($A$2:A2306,A2306)&gt;1,"DUP","OK")</f>
        <v>OK</v>
      </c>
      <c r="O2306" s="23" t="str">
        <f t="shared" ref="O2306:O2369" si="109">IF(F2306="REFUND",INDEX($D:$D,MATCH(B2306,$A:$A,0)),D2306)</f>
        <v>ORD26001491</v>
      </c>
      <c r="P2306" s="23" t="str">
        <f t="shared" ref="P2306:P2369" si="110">IF(L2306&gt;DATE(2026,9,30),"Oct-Due","Sep")</f>
        <v>Sep</v>
      </c>
      <c r="Q2306" s="23" t="str">
        <f>IF(F2306="CAPTURE",IF(COUNTIF(orders!$A:$A,O2306)&gt;0,"Yes","NO ORDER"),"")</f>
        <v>Yes</v>
      </c>
    </row>
    <row r="2307" spans="1:17" ht="15" customHeight="1" x14ac:dyDescent="0.3">
      <c r="A2307" s="23" t="s">
        <v>15098</v>
      </c>
      <c r="B2307" s="23"/>
      <c r="C2307" s="23" t="s">
        <v>3599</v>
      </c>
      <c r="D2307" s="23" t="str">
        <f t="shared" si="108"/>
        <v>ORD26001556</v>
      </c>
      <c r="E2307" s="38">
        <v>46278</v>
      </c>
      <c r="F2307" s="23" t="s">
        <v>12410</v>
      </c>
      <c r="G2307" s="23" t="s">
        <v>75</v>
      </c>
      <c r="H2307" s="24">
        <v>3298</v>
      </c>
      <c r="I2307" s="24">
        <v>9.89</v>
      </c>
      <c r="J2307" s="24">
        <v>1.78</v>
      </c>
      <c r="K2307" s="24">
        <v>3286.33</v>
      </c>
      <c r="L2307" s="38">
        <v>46280</v>
      </c>
      <c r="M2307" s="23" t="s">
        <v>202</v>
      </c>
      <c r="N2307" s="23" t="str">
        <f>IF(COUNTIF($A$2:A2307,A2307)&gt;1,"DUP","OK")</f>
        <v>OK</v>
      </c>
      <c r="O2307" s="23" t="str">
        <f t="shared" si="109"/>
        <v>ORD26001556</v>
      </c>
      <c r="P2307" s="23" t="str">
        <f t="shared" si="110"/>
        <v>Sep</v>
      </c>
      <c r="Q2307" s="23" t="str">
        <f>IF(F2307="CAPTURE",IF(COUNTIF(orders!$A:$A,O2307)&gt;0,"Yes","NO ORDER"),"")</f>
        <v>Yes</v>
      </c>
    </row>
    <row r="2308" spans="1:17" ht="15" customHeight="1" x14ac:dyDescent="0.3">
      <c r="A2308" s="23" t="s">
        <v>15099</v>
      </c>
      <c r="B2308" s="23"/>
      <c r="C2308" s="23" t="s">
        <v>15100</v>
      </c>
      <c r="D2308" s="23" t="str">
        <f t="shared" si="108"/>
        <v>ORD26001557</v>
      </c>
      <c r="E2308" s="38">
        <v>46278</v>
      </c>
      <c r="F2308" s="23" t="s">
        <v>12410</v>
      </c>
      <c r="G2308" s="23" t="s">
        <v>75</v>
      </c>
      <c r="H2308" s="24">
        <v>2499</v>
      </c>
      <c r="I2308" s="24">
        <v>7.5</v>
      </c>
      <c r="J2308" s="24">
        <v>1.35</v>
      </c>
      <c r="K2308" s="24">
        <v>2490.15</v>
      </c>
      <c r="L2308" s="38">
        <v>46280</v>
      </c>
      <c r="M2308" s="23" t="s">
        <v>202</v>
      </c>
      <c r="N2308" s="23" t="str">
        <f>IF(COUNTIF($A$2:A2308,A2308)&gt;1,"DUP","OK")</f>
        <v>OK</v>
      </c>
      <c r="O2308" s="23" t="str">
        <f t="shared" si="109"/>
        <v>ORD26001557</v>
      </c>
      <c r="P2308" s="23" t="str">
        <f t="shared" si="110"/>
        <v>Sep</v>
      </c>
      <c r="Q2308" s="23" t="str">
        <f>IF(F2308="CAPTURE",IF(COUNTIF(orders!$A:$A,O2308)&gt;0,"Yes","NO ORDER"),"")</f>
        <v>Yes</v>
      </c>
    </row>
    <row r="2309" spans="1:17" ht="15" customHeight="1" x14ac:dyDescent="0.3">
      <c r="A2309" s="23" t="s">
        <v>15101</v>
      </c>
      <c r="B2309" s="23"/>
      <c r="C2309" s="23" t="s">
        <v>3643</v>
      </c>
      <c r="D2309" s="23" t="str">
        <f t="shared" si="108"/>
        <v>ORD26001578</v>
      </c>
      <c r="E2309" s="38">
        <v>46278</v>
      </c>
      <c r="F2309" s="23" t="s">
        <v>12410</v>
      </c>
      <c r="G2309" s="23" t="s">
        <v>79</v>
      </c>
      <c r="H2309" s="24">
        <v>1598</v>
      </c>
      <c r="I2309" s="24">
        <v>28.76</v>
      </c>
      <c r="J2309" s="24">
        <v>5.18</v>
      </c>
      <c r="K2309" s="24">
        <v>1564.06</v>
      </c>
      <c r="L2309" s="38">
        <v>46280</v>
      </c>
      <c r="M2309" s="23" t="s">
        <v>202</v>
      </c>
      <c r="N2309" s="23" t="str">
        <f>IF(COUNTIF($A$2:A2309,A2309)&gt;1,"DUP","OK")</f>
        <v>OK</v>
      </c>
      <c r="O2309" s="23" t="str">
        <f t="shared" si="109"/>
        <v>ORD26001578</v>
      </c>
      <c r="P2309" s="23" t="str">
        <f t="shared" si="110"/>
        <v>Sep</v>
      </c>
      <c r="Q2309" s="23" t="str">
        <f>IF(F2309="CAPTURE",IF(COUNTIF(orders!$A:$A,O2309)&gt;0,"Yes","NO ORDER"),"")</f>
        <v>Yes</v>
      </c>
    </row>
    <row r="2310" spans="1:17" ht="15" customHeight="1" x14ac:dyDescent="0.3">
      <c r="A2310" s="23" t="s">
        <v>15102</v>
      </c>
      <c r="B2310" s="23"/>
      <c r="C2310" s="23" t="s">
        <v>15103</v>
      </c>
      <c r="D2310" s="23" t="str">
        <f t="shared" si="108"/>
        <v>ORD26001594</v>
      </c>
      <c r="E2310" s="38">
        <v>46278</v>
      </c>
      <c r="F2310" s="23" t="s">
        <v>12410</v>
      </c>
      <c r="G2310" s="23" t="s">
        <v>75</v>
      </c>
      <c r="H2310" s="24">
        <v>3348</v>
      </c>
      <c r="I2310" s="24">
        <v>10.039999999999999</v>
      </c>
      <c r="J2310" s="24">
        <v>1.81</v>
      </c>
      <c r="K2310" s="24">
        <v>3336.15</v>
      </c>
      <c r="L2310" s="38">
        <v>46280</v>
      </c>
      <c r="M2310" s="23" t="s">
        <v>202</v>
      </c>
      <c r="N2310" s="23" t="str">
        <f>IF(COUNTIF($A$2:A2310,A2310)&gt;1,"DUP","OK")</f>
        <v>OK</v>
      </c>
      <c r="O2310" s="23" t="str">
        <f t="shared" si="109"/>
        <v>ORD26001594</v>
      </c>
      <c r="P2310" s="23" t="str">
        <f t="shared" si="110"/>
        <v>Sep</v>
      </c>
      <c r="Q2310" s="23" t="str">
        <f>IF(F2310="CAPTURE",IF(COUNTIF(orders!$A:$A,O2310)&gt;0,"Yes","NO ORDER"),"")</f>
        <v>Yes</v>
      </c>
    </row>
    <row r="2311" spans="1:17" ht="15" customHeight="1" x14ac:dyDescent="0.3">
      <c r="A2311" s="23" t="s">
        <v>15104</v>
      </c>
      <c r="B2311" s="23"/>
      <c r="C2311" s="23" t="s">
        <v>15105</v>
      </c>
      <c r="D2311" s="23" t="str">
        <f t="shared" si="108"/>
        <v>ORD26001630</v>
      </c>
      <c r="E2311" s="38">
        <v>46278</v>
      </c>
      <c r="F2311" s="23" t="s">
        <v>12410</v>
      </c>
      <c r="G2311" s="23" t="s">
        <v>77</v>
      </c>
      <c r="H2311" s="24">
        <v>3499</v>
      </c>
      <c r="I2311" s="24">
        <v>59.48</v>
      </c>
      <c r="J2311" s="24">
        <v>10.71</v>
      </c>
      <c r="K2311" s="24">
        <v>3428.81</v>
      </c>
      <c r="L2311" s="38">
        <v>46280</v>
      </c>
      <c r="M2311" s="23" t="s">
        <v>202</v>
      </c>
      <c r="N2311" s="23" t="str">
        <f>IF(COUNTIF($A$2:A2311,A2311)&gt;1,"DUP","OK")</f>
        <v>OK</v>
      </c>
      <c r="O2311" s="23" t="str">
        <f t="shared" si="109"/>
        <v>ORD26001630</v>
      </c>
      <c r="P2311" s="23" t="str">
        <f t="shared" si="110"/>
        <v>Sep</v>
      </c>
      <c r="Q2311" s="23" t="str">
        <f>IF(F2311="CAPTURE",IF(COUNTIF(orders!$A:$A,O2311)&gt;0,"Yes","NO ORDER"),"")</f>
        <v>Yes</v>
      </c>
    </row>
    <row r="2312" spans="1:17" ht="15" customHeight="1" x14ac:dyDescent="0.3">
      <c r="A2312" s="23" t="s">
        <v>15106</v>
      </c>
      <c r="B2312" s="23"/>
      <c r="C2312" s="23" t="s">
        <v>3956</v>
      </c>
      <c r="D2312" s="23" t="str">
        <f t="shared" si="108"/>
        <v>ORD26001734</v>
      </c>
      <c r="E2312" s="38">
        <v>46278</v>
      </c>
      <c r="F2312" s="23" t="s">
        <v>12410</v>
      </c>
      <c r="G2312" s="23" t="s">
        <v>75</v>
      </c>
      <c r="H2312" s="24">
        <v>848</v>
      </c>
      <c r="I2312" s="24">
        <v>0</v>
      </c>
      <c r="J2312" s="24">
        <v>0</v>
      </c>
      <c r="K2312" s="24">
        <v>848</v>
      </c>
      <c r="L2312" s="38">
        <v>46280</v>
      </c>
      <c r="M2312" s="23" t="s">
        <v>202</v>
      </c>
      <c r="N2312" s="23" t="str">
        <f>IF(COUNTIF($A$2:A2312,A2312)&gt;1,"DUP","OK")</f>
        <v>OK</v>
      </c>
      <c r="O2312" s="23" t="str">
        <f t="shared" si="109"/>
        <v>ORD26001734</v>
      </c>
      <c r="P2312" s="23" t="str">
        <f t="shared" si="110"/>
        <v>Sep</v>
      </c>
      <c r="Q2312" s="23" t="str">
        <f>IF(F2312="CAPTURE",IF(COUNTIF(orders!$A:$A,O2312)&gt;0,"Yes","NO ORDER"),"")</f>
        <v>Yes</v>
      </c>
    </row>
    <row r="2313" spans="1:17" ht="15" customHeight="1" x14ac:dyDescent="0.3">
      <c r="A2313" s="23" t="s">
        <v>15107</v>
      </c>
      <c r="B2313" s="23"/>
      <c r="C2313" s="23" t="s">
        <v>4050</v>
      </c>
      <c r="D2313" s="23" t="str">
        <f t="shared" si="108"/>
        <v>ORD26001781</v>
      </c>
      <c r="E2313" s="38">
        <v>46278</v>
      </c>
      <c r="F2313" s="23" t="s">
        <v>12410</v>
      </c>
      <c r="G2313" s="23" t="s">
        <v>75</v>
      </c>
      <c r="H2313" s="24">
        <v>11797</v>
      </c>
      <c r="I2313" s="24">
        <v>35.39</v>
      </c>
      <c r="J2313" s="24">
        <v>6.37</v>
      </c>
      <c r="K2313" s="24">
        <v>11755.24</v>
      </c>
      <c r="L2313" s="38">
        <v>46280</v>
      </c>
      <c r="M2313" s="23" t="s">
        <v>202</v>
      </c>
      <c r="N2313" s="23" t="str">
        <f>IF(COUNTIF($A$2:A2313,A2313)&gt;1,"DUP","OK")</f>
        <v>OK</v>
      </c>
      <c r="O2313" s="23" t="str">
        <f t="shared" si="109"/>
        <v>ORD26001781</v>
      </c>
      <c r="P2313" s="23" t="str">
        <f t="shared" si="110"/>
        <v>Sep</v>
      </c>
      <c r="Q2313" s="23" t="str">
        <f>IF(F2313="CAPTURE",IF(COUNTIF(orders!$A:$A,O2313)&gt;0,"Yes","NO ORDER"),"")</f>
        <v>Yes</v>
      </c>
    </row>
    <row r="2314" spans="1:17" ht="15" customHeight="1" x14ac:dyDescent="0.3">
      <c r="A2314" s="23" t="s">
        <v>15108</v>
      </c>
      <c r="B2314" s="23"/>
      <c r="C2314" s="23" t="s">
        <v>15109</v>
      </c>
      <c r="D2314" s="23" t="str">
        <f t="shared" si="108"/>
        <v>ORD26001816</v>
      </c>
      <c r="E2314" s="38">
        <v>46278</v>
      </c>
      <c r="F2314" s="23" t="s">
        <v>12410</v>
      </c>
      <c r="G2314" s="23" t="s">
        <v>79</v>
      </c>
      <c r="H2314" s="24">
        <v>1499</v>
      </c>
      <c r="I2314" s="24">
        <v>26.98</v>
      </c>
      <c r="J2314" s="24">
        <v>4.8600000000000003</v>
      </c>
      <c r="K2314" s="24">
        <v>1467.16</v>
      </c>
      <c r="L2314" s="38">
        <v>46280</v>
      </c>
      <c r="M2314" s="23" t="s">
        <v>202</v>
      </c>
      <c r="N2314" s="23" t="str">
        <f>IF(COUNTIF($A$2:A2314,A2314)&gt;1,"DUP","OK")</f>
        <v>OK</v>
      </c>
      <c r="O2314" s="23" t="str">
        <f t="shared" si="109"/>
        <v>ORD26001816</v>
      </c>
      <c r="P2314" s="23" t="str">
        <f t="shared" si="110"/>
        <v>Sep</v>
      </c>
      <c r="Q2314" s="23" t="str">
        <f>IF(F2314="CAPTURE",IF(COUNTIF(orders!$A:$A,O2314)&gt;0,"Yes","NO ORDER"),"")</f>
        <v>Yes</v>
      </c>
    </row>
    <row r="2315" spans="1:17" ht="15" customHeight="1" x14ac:dyDescent="0.3">
      <c r="A2315" s="23" t="s">
        <v>15110</v>
      </c>
      <c r="B2315" s="23"/>
      <c r="C2315" s="23" t="s">
        <v>4143</v>
      </c>
      <c r="D2315" s="23" t="str">
        <f t="shared" si="108"/>
        <v>ORD26001828</v>
      </c>
      <c r="E2315" s="38">
        <v>46278</v>
      </c>
      <c r="F2315" s="23" t="s">
        <v>12410</v>
      </c>
      <c r="G2315" s="23" t="s">
        <v>79</v>
      </c>
      <c r="H2315" s="24">
        <v>3499</v>
      </c>
      <c r="I2315" s="24">
        <v>55.98</v>
      </c>
      <c r="J2315" s="24">
        <v>10.08</v>
      </c>
      <c r="K2315" s="24">
        <v>3432.94</v>
      </c>
      <c r="L2315" s="38">
        <v>46280</v>
      </c>
      <c r="M2315" s="23" t="s">
        <v>202</v>
      </c>
      <c r="N2315" s="23" t="str">
        <f>IF(COUNTIF($A$2:A2315,A2315)&gt;1,"DUP","OK")</f>
        <v>OK</v>
      </c>
      <c r="O2315" s="23" t="str">
        <f t="shared" si="109"/>
        <v>ORD26001828</v>
      </c>
      <c r="P2315" s="23" t="str">
        <f t="shared" si="110"/>
        <v>Sep</v>
      </c>
      <c r="Q2315" s="23" t="str">
        <f>IF(F2315="CAPTURE",IF(COUNTIF(orders!$A:$A,O2315)&gt;0,"Yes","NO ORDER"),"")</f>
        <v>Yes</v>
      </c>
    </row>
    <row r="2316" spans="1:17" ht="15" customHeight="1" x14ac:dyDescent="0.3">
      <c r="A2316" s="23" t="s">
        <v>15111</v>
      </c>
      <c r="B2316" s="23"/>
      <c r="C2316" s="23" t="s">
        <v>4352</v>
      </c>
      <c r="D2316" s="23" t="str">
        <f t="shared" si="108"/>
        <v>ORD26001931</v>
      </c>
      <c r="E2316" s="38">
        <v>46278</v>
      </c>
      <c r="F2316" s="23" t="s">
        <v>12410</v>
      </c>
      <c r="G2316" s="23" t="s">
        <v>79</v>
      </c>
      <c r="H2316" s="24">
        <v>1348</v>
      </c>
      <c r="I2316" s="24">
        <v>24.26</v>
      </c>
      <c r="J2316" s="24">
        <v>4.37</v>
      </c>
      <c r="K2316" s="24">
        <v>1319.37</v>
      </c>
      <c r="L2316" s="38">
        <v>46280</v>
      </c>
      <c r="M2316" s="23" t="s">
        <v>202</v>
      </c>
      <c r="N2316" s="23" t="str">
        <f>IF(COUNTIF($A$2:A2316,A2316)&gt;1,"DUP","OK")</f>
        <v>OK</v>
      </c>
      <c r="O2316" s="23" t="str">
        <f t="shared" si="109"/>
        <v>ORD26001931</v>
      </c>
      <c r="P2316" s="23" t="str">
        <f t="shared" si="110"/>
        <v>Sep</v>
      </c>
      <c r="Q2316" s="23" t="str">
        <f>IF(F2316="CAPTURE",IF(COUNTIF(orders!$A:$A,O2316)&gt;0,"Yes","NO ORDER"),"")</f>
        <v>Yes</v>
      </c>
    </row>
    <row r="2317" spans="1:17" ht="15" customHeight="1" x14ac:dyDescent="0.3">
      <c r="A2317" s="23" t="s">
        <v>15112</v>
      </c>
      <c r="B2317" s="23"/>
      <c r="C2317" s="23" t="s">
        <v>15113</v>
      </c>
      <c r="D2317" s="23" t="str">
        <f t="shared" si="108"/>
        <v>ORD26001951</v>
      </c>
      <c r="E2317" s="38">
        <v>46278</v>
      </c>
      <c r="F2317" s="23" t="s">
        <v>12410</v>
      </c>
      <c r="G2317" s="23" t="s">
        <v>79</v>
      </c>
      <c r="H2317" s="24">
        <v>3848</v>
      </c>
      <c r="I2317" s="24">
        <v>61.57</v>
      </c>
      <c r="J2317" s="24">
        <v>11.08</v>
      </c>
      <c r="K2317" s="24">
        <v>3775.35</v>
      </c>
      <c r="L2317" s="38">
        <v>46280</v>
      </c>
      <c r="M2317" s="23" t="s">
        <v>202</v>
      </c>
      <c r="N2317" s="23" t="str">
        <f>IF(COUNTIF($A$2:A2317,A2317)&gt;1,"DUP","OK")</f>
        <v>OK</v>
      </c>
      <c r="O2317" s="23" t="str">
        <f t="shared" si="109"/>
        <v>ORD26001951</v>
      </c>
      <c r="P2317" s="23" t="str">
        <f t="shared" si="110"/>
        <v>Sep</v>
      </c>
      <c r="Q2317" s="23" t="str">
        <f>IF(F2317="CAPTURE",IF(COUNTIF(orders!$A:$A,O2317)&gt;0,"Yes","NO ORDER"),"")</f>
        <v>Yes</v>
      </c>
    </row>
    <row r="2318" spans="1:17" ht="15" customHeight="1" x14ac:dyDescent="0.3">
      <c r="A2318" s="23" t="s">
        <v>15114</v>
      </c>
      <c r="B2318" s="23"/>
      <c r="C2318" s="23" t="s">
        <v>4574</v>
      </c>
      <c r="D2318" s="23" t="str">
        <f t="shared" si="108"/>
        <v>ORD26002042</v>
      </c>
      <c r="E2318" s="38">
        <v>46278</v>
      </c>
      <c r="F2318" s="23" t="s">
        <v>12410</v>
      </c>
      <c r="G2318" s="23" t="s">
        <v>75</v>
      </c>
      <c r="H2318" s="24">
        <v>1098</v>
      </c>
      <c r="I2318" s="24">
        <v>0</v>
      </c>
      <c r="J2318" s="24">
        <v>0</v>
      </c>
      <c r="K2318" s="24">
        <v>1098</v>
      </c>
      <c r="L2318" s="38">
        <v>46280</v>
      </c>
      <c r="M2318" s="23" t="s">
        <v>202</v>
      </c>
      <c r="N2318" s="23" t="str">
        <f>IF(COUNTIF($A$2:A2318,A2318)&gt;1,"DUP","OK")</f>
        <v>OK</v>
      </c>
      <c r="O2318" s="23" t="str">
        <f t="shared" si="109"/>
        <v>ORD26002042</v>
      </c>
      <c r="P2318" s="23" t="str">
        <f t="shared" si="110"/>
        <v>Sep</v>
      </c>
      <c r="Q2318" s="23" t="str">
        <f>IF(F2318="CAPTURE",IF(COUNTIF(orders!$A:$A,O2318)&gt;0,"Yes","NO ORDER"),"")</f>
        <v>Yes</v>
      </c>
    </row>
    <row r="2319" spans="1:17" ht="15" customHeight="1" x14ac:dyDescent="0.3">
      <c r="A2319" s="23" t="s">
        <v>15115</v>
      </c>
      <c r="B2319" s="23"/>
      <c r="C2319" s="23" t="s">
        <v>4655</v>
      </c>
      <c r="D2319" s="23" t="str">
        <f t="shared" si="108"/>
        <v>ORD26002082</v>
      </c>
      <c r="E2319" s="38">
        <v>46278</v>
      </c>
      <c r="F2319" s="23" t="s">
        <v>12410</v>
      </c>
      <c r="G2319" s="23" t="s">
        <v>75</v>
      </c>
      <c r="H2319" s="24">
        <v>1098</v>
      </c>
      <c r="I2319" s="24">
        <v>0</v>
      </c>
      <c r="J2319" s="24">
        <v>0</v>
      </c>
      <c r="K2319" s="24">
        <v>1098</v>
      </c>
      <c r="L2319" s="38">
        <v>46280</v>
      </c>
      <c r="M2319" s="23" t="s">
        <v>202</v>
      </c>
      <c r="N2319" s="23" t="str">
        <f>IF(COUNTIF($A$2:A2319,A2319)&gt;1,"DUP","OK")</f>
        <v>OK</v>
      </c>
      <c r="O2319" s="23" t="str">
        <f t="shared" si="109"/>
        <v>ORD26002082</v>
      </c>
      <c r="P2319" s="23" t="str">
        <f t="shared" si="110"/>
        <v>Sep</v>
      </c>
      <c r="Q2319" s="23" t="str">
        <f>IF(F2319="CAPTURE",IF(COUNTIF(orders!$A:$A,O2319)&gt;0,"Yes","NO ORDER"),"")</f>
        <v>Yes</v>
      </c>
    </row>
    <row r="2320" spans="1:17" ht="15" customHeight="1" x14ac:dyDescent="0.3">
      <c r="A2320" s="23" t="s">
        <v>15116</v>
      </c>
      <c r="B2320" s="23"/>
      <c r="C2320" s="23" t="s">
        <v>4807</v>
      </c>
      <c r="D2320" s="23" t="str">
        <f t="shared" si="108"/>
        <v>ORD26002159</v>
      </c>
      <c r="E2320" s="38">
        <v>46278</v>
      </c>
      <c r="F2320" s="23" t="s">
        <v>12410</v>
      </c>
      <c r="G2320" s="23" t="s">
        <v>75</v>
      </c>
      <c r="H2320" s="24">
        <v>1499</v>
      </c>
      <c r="I2320" s="24">
        <v>0</v>
      </c>
      <c r="J2320" s="24">
        <v>0</v>
      </c>
      <c r="K2320" s="24">
        <v>1499</v>
      </c>
      <c r="L2320" s="38">
        <v>46280</v>
      </c>
      <c r="M2320" s="23" t="s">
        <v>202</v>
      </c>
      <c r="N2320" s="23" t="str">
        <f>IF(COUNTIF($A$2:A2320,A2320)&gt;1,"DUP","OK")</f>
        <v>OK</v>
      </c>
      <c r="O2320" s="23" t="str">
        <f t="shared" si="109"/>
        <v>ORD26002159</v>
      </c>
      <c r="P2320" s="23" t="str">
        <f t="shared" si="110"/>
        <v>Sep</v>
      </c>
      <c r="Q2320" s="23" t="str">
        <f>IF(F2320="CAPTURE",IF(COUNTIF(orders!$A:$A,O2320)&gt;0,"Yes","NO ORDER"),"")</f>
        <v>Yes</v>
      </c>
    </row>
    <row r="2321" spans="1:17" ht="15" customHeight="1" x14ac:dyDescent="0.3">
      <c r="A2321" s="23" t="s">
        <v>15117</v>
      </c>
      <c r="B2321" s="23"/>
      <c r="C2321" s="23" t="s">
        <v>4854</v>
      </c>
      <c r="D2321" s="23" t="str">
        <f t="shared" si="108"/>
        <v>ORD26002182</v>
      </c>
      <c r="E2321" s="38">
        <v>46278</v>
      </c>
      <c r="F2321" s="23" t="s">
        <v>12410</v>
      </c>
      <c r="G2321" s="23" t="s">
        <v>75</v>
      </c>
      <c r="H2321" s="24">
        <v>799</v>
      </c>
      <c r="I2321" s="24">
        <v>0</v>
      </c>
      <c r="J2321" s="24">
        <v>0</v>
      </c>
      <c r="K2321" s="24">
        <v>799</v>
      </c>
      <c r="L2321" s="38">
        <v>46280</v>
      </c>
      <c r="M2321" s="23" t="s">
        <v>202</v>
      </c>
      <c r="N2321" s="23" t="str">
        <f>IF(COUNTIF($A$2:A2321,A2321)&gt;1,"DUP","OK")</f>
        <v>OK</v>
      </c>
      <c r="O2321" s="23" t="str">
        <f t="shared" si="109"/>
        <v>ORD26002182</v>
      </c>
      <c r="P2321" s="23" t="str">
        <f t="shared" si="110"/>
        <v>Sep</v>
      </c>
      <c r="Q2321" s="23" t="str">
        <f>IF(F2321="CAPTURE",IF(COUNTIF(orders!$A:$A,O2321)&gt;0,"Yes","NO ORDER"),"")</f>
        <v>Yes</v>
      </c>
    </row>
    <row r="2322" spans="1:17" ht="15" customHeight="1" x14ac:dyDescent="0.3">
      <c r="A2322" s="23" t="s">
        <v>15118</v>
      </c>
      <c r="B2322" s="23"/>
      <c r="C2322" s="23" t="s">
        <v>4881</v>
      </c>
      <c r="D2322" s="23" t="str">
        <f t="shared" si="108"/>
        <v>ORD26002195</v>
      </c>
      <c r="E2322" s="38">
        <v>46278</v>
      </c>
      <c r="F2322" s="23" t="s">
        <v>12410</v>
      </c>
      <c r="G2322" s="23" t="s">
        <v>75</v>
      </c>
      <c r="H2322" s="24">
        <v>1998</v>
      </c>
      <c r="I2322" s="24">
        <v>0</v>
      </c>
      <c r="J2322" s="24">
        <v>0</v>
      </c>
      <c r="K2322" s="24">
        <v>1998</v>
      </c>
      <c r="L2322" s="38">
        <v>46280</v>
      </c>
      <c r="M2322" s="23" t="s">
        <v>202</v>
      </c>
      <c r="N2322" s="23" t="str">
        <f>IF(COUNTIF($A$2:A2322,A2322)&gt;1,"DUP","OK")</f>
        <v>OK</v>
      </c>
      <c r="O2322" s="23" t="str">
        <f t="shared" si="109"/>
        <v>ORD26002195</v>
      </c>
      <c r="P2322" s="23" t="str">
        <f t="shared" si="110"/>
        <v>Sep</v>
      </c>
      <c r="Q2322" s="23" t="str">
        <f>IF(F2322="CAPTURE",IF(COUNTIF(orders!$A:$A,O2322)&gt;0,"Yes","NO ORDER"),"")</f>
        <v>Yes</v>
      </c>
    </row>
    <row r="2323" spans="1:17" ht="15" customHeight="1" x14ac:dyDescent="0.3">
      <c r="A2323" s="23" t="s">
        <v>15119</v>
      </c>
      <c r="B2323" s="23"/>
      <c r="C2323" s="23" t="s">
        <v>4885</v>
      </c>
      <c r="D2323" s="23" t="str">
        <f t="shared" si="108"/>
        <v>ORD26002197</v>
      </c>
      <c r="E2323" s="38">
        <v>46278</v>
      </c>
      <c r="F2323" s="23" t="s">
        <v>12410</v>
      </c>
      <c r="G2323" s="23" t="s">
        <v>75</v>
      </c>
      <c r="H2323" s="24">
        <v>9798</v>
      </c>
      <c r="I2323" s="24">
        <v>29.39</v>
      </c>
      <c r="J2323" s="24">
        <v>5.29</v>
      </c>
      <c r="K2323" s="24">
        <v>9763.32</v>
      </c>
      <c r="L2323" s="38">
        <v>46280</v>
      </c>
      <c r="M2323" s="23" t="s">
        <v>202</v>
      </c>
      <c r="N2323" s="23" t="str">
        <f>IF(COUNTIF($A$2:A2323,A2323)&gt;1,"DUP","OK")</f>
        <v>OK</v>
      </c>
      <c r="O2323" s="23" t="str">
        <f t="shared" si="109"/>
        <v>ORD26002197</v>
      </c>
      <c r="P2323" s="23" t="str">
        <f t="shared" si="110"/>
        <v>Sep</v>
      </c>
      <c r="Q2323" s="23" t="str">
        <f>IF(F2323="CAPTURE",IF(COUNTIF(orders!$A:$A,O2323)&gt;0,"Yes","NO ORDER"),"")</f>
        <v>Yes</v>
      </c>
    </row>
    <row r="2324" spans="1:17" ht="15" customHeight="1" x14ac:dyDescent="0.3">
      <c r="A2324" s="23" t="s">
        <v>15120</v>
      </c>
      <c r="B2324" s="23"/>
      <c r="C2324" s="23" t="s">
        <v>4955</v>
      </c>
      <c r="D2324" s="23" t="str">
        <f t="shared" si="108"/>
        <v>ORD26002231</v>
      </c>
      <c r="E2324" s="38">
        <v>46278</v>
      </c>
      <c r="F2324" s="23" t="s">
        <v>12410</v>
      </c>
      <c r="G2324" s="23" t="s">
        <v>75</v>
      </c>
      <c r="H2324" s="24">
        <v>2999</v>
      </c>
      <c r="I2324" s="24">
        <v>9</v>
      </c>
      <c r="J2324" s="24">
        <v>1.62</v>
      </c>
      <c r="K2324" s="24">
        <v>2988.38</v>
      </c>
      <c r="L2324" s="38">
        <v>46280</v>
      </c>
      <c r="M2324" s="23" t="s">
        <v>202</v>
      </c>
      <c r="N2324" s="23" t="str">
        <f>IF(COUNTIF($A$2:A2324,A2324)&gt;1,"DUP","OK")</f>
        <v>OK</v>
      </c>
      <c r="O2324" s="23" t="str">
        <f t="shared" si="109"/>
        <v>ORD26002231</v>
      </c>
      <c r="P2324" s="23" t="str">
        <f t="shared" si="110"/>
        <v>Sep</v>
      </c>
      <c r="Q2324" s="23" t="str">
        <f>IF(F2324="CAPTURE",IF(COUNTIF(orders!$A:$A,O2324)&gt;0,"Yes","NO ORDER"),"")</f>
        <v>Yes</v>
      </c>
    </row>
    <row r="2325" spans="1:17" ht="15" customHeight="1" x14ac:dyDescent="0.3">
      <c r="A2325" s="23" t="s">
        <v>15121</v>
      </c>
      <c r="B2325" s="23"/>
      <c r="C2325" s="23" t="s">
        <v>4985</v>
      </c>
      <c r="D2325" s="23" t="str">
        <f t="shared" si="108"/>
        <v>ORD26002246</v>
      </c>
      <c r="E2325" s="38">
        <v>46278</v>
      </c>
      <c r="F2325" s="23" t="s">
        <v>12410</v>
      </c>
      <c r="G2325" s="23" t="s">
        <v>81</v>
      </c>
      <c r="H2325" s="24">
        <v>299</v>
      </c>
      <c r="I2325" s="24">
        <v>4.49</v>
      </c>
      <c r="J2325" s="24">
        <v>0.81</v>
      </c>
      <c r="K2325" s="24">
        <v>293.7</v>
      </c>
      <c r="L2325" s="38">
        <v>46280</v>
      </c>
      <c r="M2325" s="23" t="s">
        <v>202</v>
      </c>
      <c r="N2325" s="23" t="str">
        <f>IF(COUNTIF($A$2:A2325,A2325)&gt;1,"DUP","OK")</f>
        <v>OK</v>
      </c>
      <c r="O2325" s="23" t="str">
        <f t="shared" si="109"/>
        <v>ORD26002246</v>
      </c>
      <c r="P2325" s="23" t="str">
        <f t="shared" si="110"/>
        <v>Sep</v>
      </c>
      <c r="Q2325" s="23" t="str">
        <f>IF(F2325="CAPTURE",IF(COUNTIF(orders!$A:$A,O2325)&gt;0,"Yes","NO ORDER"),"")</f>
        <v>Yes</v>
      </c>
    </row>
    <row r="2326" spans="1:17" ht="15" customHeight="1" x14ac:dyDescent="0.3">
      <c r="A2326" s="23" t="s">
        <v>15122</v>
      </c>
      <c r="B2326" s="23"/>
      <c r="C2326" s="23" t="s">
        <v>5046</v>
      </c>
      <c r="D2326" s="23" t="str">
        <f t="shared" si="108"/>
        <v>ORD26002276</v>
      </c>
      <c r="E2326" s="38">
        <v>46278</v>
      </c>
      <c r="F2326" s="23" t="s">
        <v>12410</v>
      </c>
      <c r="G2326" s="23" t="s">
        <v>79</v>
      </c>
      <c r="H2326" s="24">
        <v>2098</v>
      </c>
      <c r="I2326" s="24">
        <v>33.57</v>
      </c>
      <c r="J2326" s="24">
        <v>6.04</v>
      </c>
      <c r="K2326" s="24">
        <v>2058.39</v>
      </c>
      <c r="L2326" s="38">
        <v>46280</v>
      </c>
      <c r="M2326" s="23" t="s">
        <v>202</v>
      </c>
      <c r="N2326" s="23" t="str">
        <f>IF(COUNTIF($A$2:A2326,A2326)&gt;1,"DUP","OK")</f>
        <v>OK</v>
      </c>
      <c r="O2326" s="23" t="str">
        <f t="shared" si="109"/>
        <v>ORD26002276</v>
      </c>
      <c r="P2326" s="23" t="str">
        <f t="shared" si="110"/>
        <v>Sep</v>
      </c>
      <c r="Q2326" s="23" t="str">
        <f>IF(F2326="CAPTURE",IF(COUNTIF(orders!$A:$A,O2326)&gt;0,"Yes","NO ORDER"),"")</f>
        <v>Yes</v>
      </c>
    </row>
    <row r="2327" spans="1:17" ht="15" customHeight="1" x14ac:dyDescent="0.3">
      <c r="A2327" s="23" t="s">
        <v>15123</v>
      </c>
      <c r="B2327" s="23"/>
      <c r="C2327" s="23" t="s">
        <v>15124</v>
      </c>
      <c r="D2327" s="23" t="str">
        <f t="shared" si="108"/>
        <v>ORD26002284</v>
      </c>
      <c r="E2327" s="38">
        <v>46278</v>
      </c>
      <c r="F2327" s="23" t="s">
        <v>12410</v>
      </c>
      <c r="G2327" s="23" t="s">
        <v>77</v>
      </c>
      <c r="H2327" s="24">
        <v>499</v>
      </c>
      <c r="I2327" s="24">
        <v>9.48</v>
      </c>
      <c r="J2327" s="24">
        <v>1.71</v>
      </c>
      <c r="K2327" s="24">
        <v>487.81</v>
      </c>
      <c r="L2327" s="38">
        <v>46280</v>
      </c>
      <c r="M2327" s="23" t="s">
        <v>202</v>
      </c>
      <c r="N2327" s="23" t="str">
        <f>IF(COUNTIF($A$2:A2327,A2327)&gt;1,"DUP","OK")</f>
        <v>OK</v>
      </c>
      <c r="O2327" s="23" t="str">
        <f t="shared" si="109"/>
        <v>ORD26002284</v>
      </c>
      <c r="P2327" s="23" t="str">
        <f t="shared" si="110"/>
        <v>Sep</v>
      </c>
      <c r="Q2327" s="23" t="str">
        <f>IF(F2327="CAPTURE",IF(COUNTIF(orders!$A:$A,O2327)&gt;0,"Yes","NO ORDER"),"")</f>
        <v>Yes</v>
      </c>
    </row>
    <row r="2328" spans="1:17" ht="15" customHeight="1" x14ac:dyDescent="0.3">
      <c r="A2328" s="23" t="s">
        <v>15125</v>
      </c>
      <c r="B2328" s="23"/>
      <c r="C2328" s="23" t="s">
        <v>5180</v>
      </c>
      <c r="D2328" s="23" t="str">
        <f t="shared" si="108"/>
        <v>ORD26002343</v>
      </c>
      <c r="E2328" s="38">
        <v>46278</v>
      </c>
      <c r="F2328" s="23" t="s">
        <v>12410</v>
      </c>
      <c r="G2328" s="23" t="s">
        <v>75</v>
      </c>
      <c r="H2328" s="24">
        <v>1098</v>
      </c>
      <c r="I2328" s="24">
        <v>0</v>
      </c>
      <c r="J2328" s="24">
        <v>0</v>
      </c>
      <c r="K2328" s="24">
        <v>1098</v>
      </c>
      <c r="L2328" s="38">
        <v>46280</v>
      </c>
      <c r="M2328" s="23" t="s">
        <v>202</v>
      </c>
      <c r="N2328" s="23" t="str">
        <f>IF(COUNTIF($A$2:A2328,A2328)&gt;1,"DUP","OK")</f>
        <v>OK</v>
      </c>
      <c r="O2328" s="23" t="str">
        <f t="shared" si="109"/>
        <v>ORD26002343</v>
      </c>
      <c r="P2328" s="23" t="str">
        <f t="shared" si="110"/>
        <v>Sep</v>
      </c>
      <c r="Q2328" s="23" t="str">
        <f>IF(F2328="CAPTURE",IF(COUNTIF(orders!$A:$A,O2328)&gt;0,"Yes","NO ORDER"),"")</f>
        <v>Yes</v>
      </c>
    </row>
    <row r="2329" spans="1:17" ht="15" customHeight="1" x14ac:dyDescent="0.3">
      <c r="A2329" s="23" t="s">
        <v>15126</v>
      </c>
      <c r="B2329" s="23"/>
      <c r="C2329" s="23" t="s">
        <v>5187</v>
      </c>
      <c r="D2329" s="23" t="str">
        <f t="shared" si="108"/>
        <v>ORD26002347</v>
      </c>
      <c r="E2329" s="38">
        <v>46278</v>
      </c>
      <c r="F2329" s="23" t="s">
        <v>12410</v>
      </c>
      <c r="G2329" s="23" t="s">
        <v>75</v>
      </c>
      <c r="H2329" s="24">
        <v>1799</v>
      </c>
      <c r="I2329" s="24">
        <v>0</v>
      </c>
      <c r="J2329" s="24">
        <v>0</v>
      </c>
      <c r="K2329" s="24">
        <v>1799</v>
      </c>
      <c r="L2329" s="38">
        <v>46280</v>
      </c>
      <c r="M2329" s="23" t="s">
        <v>202</v>
      </c>
      <c r="N2329" s="23" t="str">
        <f>IF(COUNTIF($A$2:A2329,A2329)&gt;1,"DUP","OK")</f>
        <v>OK</v>
      </c>
      <c r="O2329" s="23" t="str">
        <f t="shared" si="109"/>
        <v>ORD26002347</v>
      </c>
      <c r="P2329" s="23" t="str">
        <f t="shared" si="110"/>
        <v>Sep</v>
      </c>
      <c r="Q2329" s="23" t="str">
        <f>IF(F2329="CAPTURE",IF(COUNTIF(orders!$A:$A,O2329)&gt;0,"Yes","NO ORDER"),"")</f>
        <v>Yes</v>
      </c>
    </row>
    <row r="2330" spans="1:17" ht="15" customHeight="1" x14ac:dyDescent="0.3">
      <c r="A2330" s="23" t="s">
        <v>15127</v>
      </c>
      <c r="B2330" s="23"/>
      <c r="C2330" s="23" t="s">
        <v>5209</v>
      </c>
      <c r="D2330" s="23" t="str">
        <f t="shared" si="108"/>
        <v>ORD26002358</v>
      </c>
      <c r="E2330" s="38">
        <v>46278</v>
      </c>
      <c r="F2330" s="23" t="s">
        <v>12410</v>
      </c>
      <c r="G2330" s="23" t="s">
        <v>79</v>
      </c>
      <c r="H2330" s="24">
        <v>1299</v>
      </c>
      <c r="I2330" s="24">
        <v>23.38</v>
      </c>
      <c r="J2330" s="24">
        <v>4.21</v>
      </c>
      <c r="K2330" s="24">
        <v>1271.4100000000001</v>
      </c>
      <c r="L2330" s="38">
        <v>46280</v>
      </c>
      <c r="M2330" s="23" t="s">
        <v>202</v>
      </c>
      <c r="N2330" s="23" t="str">
        <f>IF(COUNTIF($A$2:A2330,A2330)&gt;1,"DUP","OK")</f>
        <v>OK</v>
      </c>
      <c r="O2330" s="23" t="str">
        <f t="shared" si="109"/>
        <v>ORD26002358</v>
      </c>
      <c r="P2330" s="23" t="str">
        <f t="shared" si="110"/>
        <v>Sep</v>
      </c>
      <c r="Q2330" s="23" t="str">
        <f>IF(F2330="CAPTURE",IF(COUNTIF(orders!$A:$A,O2330)&gt;0,"Yes","NO ORDER"),"")</f>
        <v>Yes</v>
      </c>
    </row>
    <row r="2331" spans="1:17" ht="15" customHeight="1" x14ac:dyDescent="0.3">
      <c r="A2331" s="23" t="s">
        <v>15128</v>
      </c>
      <c r="B2331" s="23"/>
      <c r="C2331" s="23" t="s">
        <v>5231</v>
      </c>
      <c r="D2331" s="23" t="str">
        <f t="shared" si="108"/>
        <v>ORD26002369</v>
      </c>
      <c r="E2331" s="38">
        <v>46278</v>
      </c>
      <c r="F2331" s="23" t="s">
        <v>12410</v>
      </c>
      <c r="G2331" s="23" t="s">
        <v>75</v>
      </c>
      <c r="H2331" s="24">
        <v>1299</v>
      </c>
      <c r="I2331" s="24">
        <v>0</v>
      </c>
      <c r="J2331" s="24">
        <v>0</v>
      </c>
      <c r="K2331" s="24">
        <v>1299</v>
      </c>
      <c r="L2331" s="38">
        <v>46280</v>
      </c>
      <c r="M2331" s="23" t="s">
        <v>202</v>
      </c>
      <c r="N2331" s="23" t="str">
        <f>IF(COUNTIF($A$2:A2331,A2331)&gt;1,"DUP","OK")</f>
        <v>OK</v>
      </c>
      <c r="O2331" s="23" t="str">
        <f t="shared" si="109"/>
        <v>ORD26002369</v>
      </c>
      <c r="P2331" s="23" t="str">
        <f t="shared" si="110"/>
        <v>Sep</v>
      </c>
      <c r="Q2331" s="23" t="str">
        <f>IF(F2331="CAPTURE",IF(COUNTIF(orders!$A:$A,O2331)&gt;0,"Yes","NO ORDER"),"")</f>
        <v>Yes</v>
      </c>
    </row>
    <row r="2332" spans="1:17" ht="15" customHeight="1" x14ac:dyDescent="0.3">
      <c r="A2332" s="23" t="s">
        <v>15129</v>
      </c>
      <c r="B2332" s="23"/>
      <c r="C2332" s="23" t="s">
        <v>5271</v>
      </c>
      <c r="D2332" s="23" t="str">
        <f t="shared" si="108"/>
        <v>ORD26002389</v>
      </c>
      <c r="E2332" s="38">
        <v>46278</v>
      </c>
      <c r="F2332" s="23" t="s">
        <v>12410</v>
      </c>
      <c r="G2332" s="23" t="s">
        <v>77</v>
      </c>
      <c r="H2332" s="24">
        <v>599</v>
      </c>
      <c r="I2332" s="24">
        <v>11.38</v>
      </c>
      <c r="J2332" s="24">
        <v>2.0499999999999998</v>
      </c>
      <c r="K2332" s="24">
        <v>585.57000000000005</v>
      </c>
      <c r="L2332" s="38">
        <v>46280</v>
      </c>
      <c r="M2332" s="23" t="s">
        <v>202</v>
      </c>
      <c r="N2332" s="23" t="str">
        <f>IF(COUNTIF($A$2:A2332,A2332)&gt;1,"DUP","OK")</f>
        <v>OK</v>
      </c>
      <c r="O2332" s="23" t="str">
        <f t="shared" si="109"/>
        <v>ORD26002389</v>
      </c>
      <c r="P2332" s="23" t="str">
        <f t="shared" si="110"/>
        <v>Sep</v>
      </c>
      <c r="Q2332" s="23" t="str">
        <f>IF(F2332="CAPTURE",IF(COUNTIF(orders!$A:$A,O2332)&gt;0,"Yes","NO ORDER"),"")</f>
        <v>Yes</v>
      </c>
    </row>
    <row r="2333" spans="1:17" ht="15" customHeight="1" x14ac:dyDescent="0.3">
      <c r="A2333" s="23" t="s">
        <v>15130</v>
      </c>
      <c r="B2333" s="23"/>
      <c r="C2333" s="23" t="s">
        <v>5305</v>
      </c>
      <c r="D2333" s="23" t="str">
        <f t="shared" si="108"/>
        <v>ORD26002406</v>
      </c>
      <c r="E2333" s="38">
        <v>46278</v>
      </c>
      <c r="F2333" s="23" t="s">
        <v>12410</v>
      </c>
      <c r="G2333" s="23" t="s">
        <v>75</v>
      </c>
      <c r="H2333" s="24">
        <v>299</v>
      </c>
      <c r="I2333" s="24">
        <v>0</v>
      </c>
      <c r="J2333" s="24">
        <v>0</v>
      </c>
      <c r="K2333" s="24">
        <v>299</v>
      </c>
      <c r="L2333" s="38">
        <v>46280</v>
      </c>
      <c r="M2333" s="23" t="s">
        <v>202</v>
      </c>
      <c r="N2333" s="23" t="str">
        <f>IF(COUNTIF($A$2:A2333,A2333)&gt;1,"DUP","OK")</f>
        <v>OK</v>
      </c>
      <c r="O2333" s="23" t="str">
        <f t="shared" si="109"/>
        <v>ORD26002406</v>
      </c>
      <c r="P2333" s="23" t="str">
        <f t="shared" si="110"/>
        <v>Sep</v>
      </c>
      <c r="Q2333" s="23" t="str">
        <f>IF(F2333="CAPTURE",IF(COUNTIF(orders!$A:$A,O2333)&gt;0,"Yes","NO ORDER"),"")</f>
        <v>Yes</v>
      </c>
    </row>
    <row r="2334" spans="1:17" ht="15" customHeight="1" x14ac:dyDescent="0.3">
      <c r="A2334" s="23" t="s">
        <v>15131</v>
      </c>
      <c r="B2334" s="23"/>
      <c r="C2334" s="23" t="s">
        <v>5315</v>
      </c>
      <c r="D2334" s="23" t="str">
        <f t="shared" si="108"/>
        <v>ORD26002411</v>
      </c>
      <c r="E2334" s="38">
        <v>46278</v>
      </c>
      <c r="F2334" s="23" t="s">
        <v>12410</v>
      </c>
      <c r="G2334" s="23" t="s">
        <v>75</v>
      </c>
      <c r="H2334" s="24">
        <v>999</v>
      </c>
      <c r="I2334" s="24">
        <v>0</v>
      </c>
      <c r="J2334" s="24">
        <v>0</v>
      </c>
      <c r="K2334" s="24">
        <v>999</v>
      </c>
      <c r="L2334" s="38">
        <v>46280</v>
      </c>
      <c r="M2334" s="23" t="s">
        <v>202</v>
      </c>
      <c r="N2334" s="23" t="str">
        <f>IF(COUNTIF($A$2:A2334,A2334)&gt;1,"DUP","OK")</f>
        <v>OK</v>
      </c>
      <c r="O2334" s="23" t="str">
        <f t="shared" si="109"/>
        <v>ORD26002411</v>
      </c>
      <c r="P2334" s="23" t="str">
        <f t="shared" si="110"/>
        <v>Sep</v>
      </c>
      <c r="Q2334" s="23" t="str">
        <f>IF(F2334="CAPTURE",IF(COUNTIF(orders!$A:$A,O2334)&gt;0,"Yes","NO ORDER"),"")</f>
        <v>Yes</v>
      </c>
    </row>
    <row r="2335" spans="1:17" ht="15" customHeight="1" x14ac:dyDescent="0.3">
      <c r="A2335" s="23" t="s">
        <v>15132</v>
      </c>
      <c r="B2335" s="23"/>
      <c r="C2335" s="23" t="s">
        <v>5318</v>
      </c>
      <c r="D2335" s="23" t="str">
        <f t="shared" si="108"/>
        <v>ORD26002413</v>
      </c>
      <c r="E2335" s="38">
        <v>46278</v>
      </c>
      <c r="F2335" s="23" t="s">
        <v>12410</v>
      </c>
      <c r="G2335" s="23" t="s">
        <v>75</v>
      </c>
      <c r="H2335" s="24">
        <v>499</v>
      </c>
      <c r="I2335" s="24">
        <v>0</v>
      </c>
      <c r="J2335" s="24">
        <v>0</v>
      </c>
      <c r="K2335" s="24">
        <v>499</v>
      </c>
      <c r="L2335" s="38">
        <v>46280</v>
      </c>
      <c r="M2335" s="23" t="s">
        <v>202</v>
      </c>
      <c r="N2335" s="23" t="str">
        <f>IF(COUNTIF($A$2:A2335,A2335)&gt;1,"DUP","OK")</f>
        <v>OK</v>
      </c>
      <c r="O2335" s="23" t="str">
        <f t="shared" si="109"/>
        <v>ORD26002413</v>
      </c>
      <c r="P2335" s="23" t="str">
        <f t="shared" si="110"/>
        <v>Sep</v>
      </c>
      <c r="Q2335" s="23" t="str">
        <f>IF(F2335="CAPTURE",IF(COUNTIF(orders!$A:$A,O2335)&gt;0,"Yes","NO ORDER"),"")</f>
        <v>Yes</v>
      </c>
    </row>
    <row r="2336" spans="1:17" ht="15" customHeight="1" x14ac:dyDescent="0.3">
      <c r="A2336" s="23" t="s">
        <v>15133</v>
      </c>
      <c r="B2336" s="23"/>
      <c r="C2336" s="23" t="s">
        <v>15134</v>
      </c>
      <c r="D2336" s="23" t="str">
        <f t="shared" si="108"/>
        <v>ORD26002421</v>
      </c>
      <c r="E2336" s="38">
        <v>46278</v>
      </c>
      <c r="F2336" s="23" t="s">
        <v>12410</v>
      </c>
      <c r="G2336" s="23" t="s">
        <v>81</v>
      </c>
      <c r="H2336" s="24">
        <v>1798</v>
      </c>
      <c r="I2336" s="24">
        <v>26.97</v>
      </c>
      <c r="J2336" s="24">
        <v>4.8499999999999996</v>
      </c>
      <c r="K2336" s="24">
        <v>1766.18</v>
      </c>
      <c r="L2336" s="38">
        <v>46280</v>
      </c>
      <c r="M2336" s="23" t="s">
        <v>202</v>
      </c>
      <c r="N2336" s="23" t="str">
        <f>IF(COUNTIF($A$2:A2336,A2336)&gt;1,"DUP","OK")</f>
        <v>OK</v>
      </c>
      <c r="O2336" s="23" t="str">
        <f t="shared" si="109"/>
        <v>ORD26002421</v>
      </c>
      <c r="P2336" s="23" t="str">
        <f t="shared" si="110"/>
        <v>Sep</v>
      </c>
      <c r="Q2336" s="23" t="str">
        <f>IF(F2336="CAPTURE",IF(COUNTIF(orders!$A:$A,O2336)&gt;0,"Yes","NO ORDER"),"")</f>
        <v>Yes</v>
      </c>
    </row>
    <row r="2337" spans="1:17" ht="15" customHeight="1" x14ac:dyDescent="0.3">
      <c r="A2337" s="23" t="s">
        <v>15135</v>
      </c>
      <c r="B2337" s="23"/>
      <c r="C2337" s="23" t="s">
        <v>5430</v>
      </c>
      <c r="D2337" s="23" t="str">
        <f t="shared" si="108"/>
        <v>ORD26002470</v>
      </c>
      <c r="E2337" s="38">
        <v>46278</v>
      </c>
      <c r="F2337" s="23" t="s">
        <v>12410</v>
      </c>
      <c r="G2337" s="23" t="s">
        <v>75</v>
      </c>
      <c r="H2337" s="24">
        <v>1299</v>
      </c>
      <c r="I2337" s="24">
        <v>0</v>
      </c>
      <c r="J2337" s="24">
        <v>0</v>
      </c>
      <c r="K2337" s="24">
        <v>1299</v>
      </c>
      <c r="L2337" s="38">
        <v>46280</v>
      </c>
      <c r="M2337" s="23" t="s">
        <v>202</v>
      </c>
      <c r="N2337" s="23" t="str">
        <f>IF(COUNTIF($A$2:A2337,A2337)&gt;1,"DUP","OK")</f>
        <v>OK</v>
      </c>
      <c r="O2337" s="23" t="str">
        <f t="shared" si="109"/>
        <v>ORD26002470</v>
      </c>
      <c r="P2337" s="23" t="str">
        <f t="shared" si="110"/>
        <v>Sep</v>
      </c>
      <c r="Q2337" s="23" t="str">
        <f>IF(F2337="CAPTURE",IF(COUNTIF(orders!$A:$A,O2337)&gt;0,"Yes","NO ORDER"),"")</f>
        <v>Yes</v>
      </c>
    </row>
    <row r="2338" spans="1:17" ht="15" customHeight="1" x14ac:dyDescent="0.3">
      <c r="A2338" s="23" t="s">
        <v>15136</v>
      </c>
      <c r="B2338" s="23"/>
      <c r="C2338" s="23" t="s">
        <v>5592</v>
      </c>
      <c r="D2338" s="23" t="str">
        <f t="shared" si="108"/>
        <v>ORD26002549</v>
      </c>
      <c r="E2338" s="38">
        <v>46278</v>
      </c>
      <c r="F2338" s="23" t="s">
        <v>12410</v>
      </c>
      <c r="G2338" s="23" t="s">
        <v>81</v>
      </c>
      <c r="H2338" s="24">
        <v>1799</v>
      </c>
      <c r="I2338" s="24">
        <v>26.99</v>
      </c>
      <c r="J2338" s="24">
        <v>4.8600000000000003</v>
      </c>
      <c r="K2338" s="24">
        <v>1767.15</v>
      </c>
      <c r="L2338" s="38">
        <v>46280</v>
      </c>
      <c r="M2338" s="23" t="s">
        <v>202</v>
      </c>
      <c r="N2338" s="23" t="str">
        <f>IF(COUNTIF($A$2:A2338,A2338)&gt;1,"DUP","OK")</f>
        <v>OK</v>
      </c>
      <c r="O2338" s="23" t="str">
        <f t="shared" si="109"/>
        <v>ORD26002549</v>
      </c>
      <c r="P2338" s="23" t="str">
        <f t="shared" si="110"/>
        <v>Sep</v>
      </c>
      <c r="Q2338" s="23" t="str">
        <f>IF(F2338="CAPTURE",IF(COUNTIF(orders!$A:$A,O2338)&gt;0,"Yes","NO ORDER"),"")</f>
        <v>Yes</v>
      </c>
    </row>
    <row r="2339" spans="1:17" ht="15" customHeight="1" x14ac:dyDescent="0.3">
      <c r="A2339" s="23" t="s">
        <v>15137</v>
      </c>
      <c r="B2339" s="23"/>
      <c r="C2339" s="23" t="s">
        <v>15138</v>
      </c>
      <c r="D2339" s="23" t="str">
        <f t="shared" si="108"/>
        <v>ORD26002555</v>
      </c>
      <c r="E2339" s="38">
        <v>46278</v>
      </c>
      <c r="F2339" s="23" t="s">
        <v>12410</v>
      </c>
      <c r="G2339" s="23" t="s">
        <v>75</v>
      </c>
      <c r="H2339" s="24">
        <v>1299</v>
      </c>
      <c r="I2339" s="24">
        <v>0</v>
      </c>
      <c r="J2339" s="24">
        <v>0</v>
      </c>
      <c r="K2339" s="24">
        <v>1299</v>
      </c>
      <c r="L2339" s="38">
        <v>46280</v>
      </c>
      <c r="M2339" s="23" t="s">
        <v>202</v>
      </c>
      <c r="N2339" s="23" t="str">
        <f>IF(COUNTIF($A$2:A2339,A2339)&gt;1,"DUP","OK")</f>
        <v>OK</v>
      </c>
      <c r="O2339" s="23" t="str">
        <f t="shared" si="109"/>
        <v>ORD26002555</v>
      </c>
      <c r="P2339" s="23" t="str">
        <f t="shared" si="110"/>
        <v>Sep</v>
      </c>
      <c r="Q2339" s="23" t="str">
        <f>IF(F2339="CAPTURE",IF(COUNTIF(orders!$A:$A,O2339)&gt;0,"Yes","NO ORDER"),"")</f>
        <v>Yes</v>
      </c>
    </row>
    <row r="2340" spans="1:17" ht="15" customHeight="1" x14ac:dyDescent="0.3">
      <c r="A2340" s="23" t="s">
        <v>15139</v>
      </c>
      <c r="B2340" s="23"/>
      <c r="C2340" s="23" t="s">
        <v>5671</v>
      </c>
      <c r="D2340" s="23" t="str">
        <f t="shared" si="108"/>
        <v>ORD26002589</v>
      </c>
      <c r="E2340" s="38">
        <v>46278</v>
      </c>
      <c r="F2340" s="23" t="s">
        <v>12410</v>
      </c>
      <c r="G2340" s="23" t="s">
        <v>75</v>
      </c>
      <c r="H2340" s="24">
        <v>3499</v>
      </c>
      <c r="I2340" s="24">
        <v>10.5</v>
      </c>
      <c r="J2340" s="24">
        <v>1.89</v>
      </c>
      <c r="K2340" s="24">
        <v>3486.61</v>
      </c>
      <c r="L2340" s="38">
        <v>46280</v>
      </c>
      <c r="M2340" s="23" t="s">
        <v>202</v>
      </c>
      <c r="N2340" s="23" t="str">
        <f>IF(COUNTIF($A$2:A2340,A2340)&gt;1,"DUP","OK")</f>
        <v>OK</v>
      </c>
      <c r="O2340" s="23" t="str">
        <f t="shared" si="109"/>
        <v>ORD26002589</v>
      </c>
      <c r="P2340" s="23" t="str">
        <f t="shared" si="110"/>
        <v>Sep</v>
      </c>
      <c r="Q2340" s="23" t="str">
        <f>IF(F2340="CAPTURE",IF(COUNTIF(orders!$A:$A,O2340)&gt;0,"Yes","NO ORDER"),"")</f>
        <v>Yes</v>
      </c>
    </row>
    <row r="2341" spans="1:17" ht="15" customHeight="1" x14ac:dyDescent="0.3">
      <c r="A2341" s="23" t="s">
        <v>15140</v>
      </c>
      <c r="B2341" s="23"/>
      <c r="C2341" s="23" t="s">
        <v>5824</v>
      </c>
      <c r="D2341" s="23" t="str">
        <f t="shared" si="108"/>
        <v>ORD26002664</v>
      </c>
      <c r="E2341" s="38">
        <v>46278</v>
      </c>
      <c r="F2341" s="23" t="s">
        <v>12410</v>
      </c>
      <c r="G2341" s="23" t="s">
        <v>75</v>
      </c>
      <c r="H2341" s="24">
        <v>599</v>
      </c>
      <c r="I2341" s="24">
        <v>1.8</v>
      </c>
      <c r="J2341" s="24">
        <v>0.32</v>
      </c>
      <c r="K2341" s="24">
        <v>596.88</v>
      </c>
      <c r="L2341" s="38">
        <v>46280</v>
      </c>
      <c r="M2341" s="23" t="s">
        <v>202</v>
      </c>
      <c r="N2341" s="23" t="str">
        <f>IF(COUNTIF($A$2:A2341,A2341)&gt;1,"DUP","OK")</f>
        <v>OK</v>
      </c>
      <c r="O2341" s="23" t="str">
        <f t="shared" si="109"/>
        <v>ORD26002664</v>
      </c>
      <c r="P2341" s="23" t="str">
        <f t="shared" si="110"/>
        <v>Sep</v>
      </c>
      <c r="Q2341" s="23" t="str">
        <f>IF(F2341="CAPTURE",IF(COUNTIF(orders!$A:$A,O2341)&gt;0,"Yes","NO ORDER"),"")</f>
        <v>Yes</v>
      </c>
    </row>
    <row r="2342" spans="1:17" ht="15" customHeight="1" x14ac:dyDescent="0.3">
      <c r="A2342" s="23" t="s">
        <v>15141</v>
      </c>
      <c r="B2342" s="23"/>
      <c r="C2342" s="23" t="s">
        <v>5904</v>
      </c>
      <c r="D2342" s="23" t="str">
        <f t="shared" si="108"/>
        <v>ORD26002704</v>
      </c>
      <c r="E2342" s="38">
        <v>46278</v>
      </c>
      <c r="F2342" s="23" t="s">
        <v>12410</v>
      </c>
      <c r="G2342" s="23" t="s">
        <v>77</v>
      </c>
      <c r="H2342" s="24">
        <v>2499</v>
      </c>
      <c r="I2342" s="24">
        <v>42.48</v>
      </c>
      <c r="J2342" s="24">
        <v>7.65</v>
      </c>
      <c r="K2342" s="24">
        <v>2448.87</v>
      </c>
      <c r="L2342" s="38">
        <v>46280</v>
      </c>
      <c r="M2342" s="23" t="s">
        <v>202</v>
      </c>
      <c r="N2342" s="23" t="str">
        <f>IF(COUNTIF($A$2:A2342,A2342)&gt;1,"DUP","OK")</f>
        <v>OK</v>
      </c>
      <c r="O2342" s="23" t="str">
        <f t="shared" si="109"/>
        <v>ORD26002704</v>
      </c>
      <c r="P2342" s="23" t="str">
        <f t="shared" si="110"/>
        <v>Sep</v>
      </c>
      <c r="Q2342" s="23" t="str">
        <f>IF(F2342="CAPTURE",IF(COUNTIF(orders!$A:$A,O2342)&gt;0,"Yes","NO ORDER"),"")</f>
        <v>Yes</v>
      </c>
    </row>
    <row r="2343" spans="1:17" ht="15" customHeight="1" x14ac:dyDescent="0.3">
      <c r="A2343" s="23" t="s">
        <v>15142</v>
      </c>
      <c r="B2343" s="23"/>
      <c r="C2343" s="23" t="s">
        <v>5910</v>
      </c>
      <c r="D2343" s="23" t="str">
        <f t="shared" si="108"/>
        <v>ORD26002707</v>
      </c>
      <c r="E2343" s="38">
        <v>46278</v>
      </c>
      <c r="F2343" s="23" t="s">
        <v>12410</v>
      </c>
      <c r="G2343" s="23" t="s">
        <v>79</v>
      </c>
      <c r="H2343" s="24">
        <v>1298</v>
      </c>
      <c r="I2343" s="24">
        <v>23.36</v>
      </c>
      <c r="J2343" s="24">
        <v>4.2</v>
      </c>
      <c r="K2343" s="24">
        <v>1270.44</v>
      </c>
      <c r="L2343" s="38">
        <v>46280</v>
      </c>
      <c r="M2343" s="23" t="s">
        <v>202</v>
      </c>
      <c r="N2343" s="23" t="str">
        <f>IF(COUNTIF($A$2:A2343,A2343)&gt;1,"DUP","OK")</f>
        <v>OK</v>
      </c>
      <c r="O2343" s="23" t="str">
        <f t="shared" si="109"/>
        <v>ORD26002707</v>
      </c>
      <c r="P2343" s="23" t="str">
        <f t="shared" si="110"/>
        <v>Sep</v>
      </c>
      <c r="Q2343" s="23" t="str">
        <f>IF(F2343="CAPTURE",IF(COUNTIF(orders!$A:$A,O2343)&gt;0,"Yes","NO ORDER"),"")</f>
        <v>Yes</v>
      </c>
    </row>
    <row r="2344" spans="1:17" ht="15" customHeight="1" x14ac:dyDescent="0.3">
      <c r="A2344" s="23" t="s">
        <v>15143</v>
      </c>
      <c r="B2344" s="23"/>
      <c r="C2344" s="23" t="s">
        <v>5950</v>
      </c>
      <c r="D2344" s="23" t="str">
        <f t="shared" si="108"/>
        <v>ORD26002727</v>
      </c>
      <c r="E2344" s="38">
        <v>46278</v>
      </c>
      <c r="F2344" s="23" t="s">
        <v>12410</v>
      </c>
      <c r="G2344" s="23" t="s">
        <v>75</v>
      </c>
      <c r="H2344" s="24">
        <v>6097</v>
      </c>
      <c r="I2344" s="24">
        <v>18.29</v>
      </c>
      <c r="J2344" s="24">
        <v>3.29</v>
      </c>
      <c r="K2344" s="24">
        <v>6075.42</v>
      </c>
      <c r="L2344" s="38">
        <v>46280</v>
      </c>
      <c r="M2344" s="23" t="s">
        <v>202</v>
      </c>
      <c r="N2344" s="23" t="str">
        <f>IF(COUNTIF($A$2:A2344,A2344)&gt;1,"DUP","OK")</f>
        <v>OK</v>
      </c>
      <c r="O2344" s="23" t="str">
        <f t="shared" si="109"/>
        <v>ORD26002727</v>
      </c>
      <c r="P2344" s="23" t="str">
        <f t="shared" si="110"/>
        <v>Sep</v>
      </c>
      <c r="Q2344" s="23" t="str">
        <f>IF(F2344="CAPTURE",IF(COUNTIF(orders!$A:$A,O2344)&gt;0,"Yes","NO ORDER"),"")</f>
        <v>Yes</v>
      </c>
    </row>
    <row r="2345" spans="1:17" ht="15" customHeight="1" x14ac:dyDescent="0.3">
      <c r="A2345" s="23" t="s">
        <v>15144</v>
      </c>
      <c r="B2345" s="23"/>
      <c r="C2345" s="23" t="s">
        <v>5982</v>
      </c>
      <c r="D2345" s="23" t="str">
        <f t="shared" si="108"/>
        <v>ORD26002743</v>
      </c>
      <c r="E2345" s="38">
        <v>46278</v>
      </c>
      <c r="F2345" s="23" t="s">
        <v>12410</v>
      </c>
      <c r="G2345" s="23" t="s">
        <v>75</v>
      </c>
      <c r="H2345" s="24">
        <v>5897</v>
      </c>
      <c r="I2345" s="24">
        <v>17.690000000000001</v>
      </c>
      <c r="J2345" s="24">
        <v>3.18</v>
      </c>
      <c r="K2345" s="24">
        <v>5876.13</v>
      </c>
      <c r="L2345" s="38">
        <v>46280</v>
      </c>
      <c r="M2345" s="23" t="s">
        <v>202</v>
      </c>
      <c r="N2345" s="23" t="str">
        <f>IF(COUNTIF($A$2:A2345,A2345)&gt;1,"DUP","OK")</f>
        <v>OK</v>
      </c>
      <c r="O2345" s="23" t="str">
        <f t="shared" si="109"/>
        <v>ORD26002743</v>
      </c>
      <c r="P2345" s="23" t="str">
        <f t="shared" si="110"/>
        <v>Sep</v>
      </c>
      <c r="Q2345" s="23" t="str">
        <f>IF(F2345="CAPTURE",IF(COUNTIF(orders!$A:$A,O2345)&gt;0,"Yes","NO ORDER"),"")</f>
        <v>Yes</v>
      </c>
    </row>
    <row r="2346" spans="1:17" ht="15" customHeight="1" x14ac:dyDescent="0.3">
      <c r="A2346" s="23" t="s">
        <v>15145</v>
      </c>
      <c r="B2346" s="23"/>
      <c r="C2346" s="23" t="s">
        <v>6021</v>
      </c>
      <c r="D2346" s="23" t="str">
        <f t="shared" si="108"/>
        <v>ORD26002762</v>
      </c>
      <c r="E2346" s="38">
        <v>46278</v>
      </c>
      <c r="F2346" s="23" t="s">
        <v>12410</v>
      </c>
      <c r="G2346" s="23" t="s">
        <v>79</v>
      </c>
      <c r="H2346" s="24">
        <v>4999</v>
      </c>
      <c r="I2346" s="24">
        <v>79.98</v>
      </c>
      <c r="J2346" s="24">
        <v>14.4</v>
      </c>
      <c r="K2346" s="24">
        <v>4904.62</v>
      </c>
      <c r="L2346" s="38">
        <v>46280</v>
      </c>
      <c r="M2346" s="23" t="s">
        <v>202</v>
      </c>
      <c r="N2346" s="23" t="str">
        <f>IF(COUNTIF($A$2:A2346,A2346)&gt;1,"DUP","OK")</f>
        <v>OK</v>
      </c>
      <c r="O2346" s="23" t="str">
        <f t="shared" si="109"/>
        <v>ORD26002762</v>
      </c>
      <c r="P2346" s="23" t="str">
        <f t="shared" si="110"/>
        <v>Sep</v>
      </c>
      <c r="Q2346" s="23" t="str">
        <f>IF(F2346="CAPTURE",IF(COUNTIF(orders!$A:$A,O2346)&gt;0,"Yes","NO ORDER"),"")</f>
        <v>Yes</v>
      </c>
    </row>
    <row r="2347" spans="1:17" ht="15" customHeight="1" x14ac:dyDescent="0.3">
      <c r="A2347" s="23" t="s">
        <v>15146</v>
      </c>
      <c r="B2347" s="23"/>
      <c r="C2347" s="23" t="s">
        <v>15147</v>
      </c>
      <c r="D2347" s="23" t="str">
        <f t="shared" si="108"/>
        <v>ORD26002808</v>
      </c>
      <c r="E2347" s="38">
        <v>46278</v>
      </c>
      <c r="F2347" s="23" t="s">
        <v>12410</v>
      </c>
      <c r="G2347" s="23" t="s">
        <v>75</v>
      </c>
      <c r="H2347" s="24">
        <v>2148</v>
      </c>
      <c r="I2347" s="24">
        <v>6.44</v>
      </c>
      <c r="J2347" s="24">
        <v>1.1599999999999999</v>
      </c>
      <c r="K2347" s="24">
        <v>2140.4</v>
      </c>
      <c r="L2347" s="38">
        <v>46280</v>
      </c>
      <c r="M2347" s="23" t="s">
        <v>202</v>
      </c>
      <c r="N2347" s="23" t="str">
        <f>IF(COUNTIF($A$2:A2347,A2347)&gt;1,"DUP","OK")</f>
        <v>OK</v>
      </c>
      <c r="O2347" s="23" t="str">
        <f t="shared" si="109"/>
        <v>ORD26002808</v>
      </c>
      <c r="P2347" s="23" t="str">
        <f t="shared" si="110"/>
        <v>Sep</v>
      </c>
      <c r="Q2347" s="23" t="str">
        <f>IF(F2347="CAPTURE",IF(COUNTIF(orders!$A:$A,O2347)&gt;0,"Yes","NO ORDER"),"")</f>
        <v>Yes</v>
      </c>
    </row>
    <row r="2348" spans="1:17" ht="15" customHeight="1" x14ac:dyDescent="0.3">
      <c r="A2348" s="23" t="s">
        <v>15148</v>
      </c>
      <c r="B2348" s="23"/>
      <c r="C2348" s="23" t="s">
        <v>6204</v>
      </c>
      <c r="D2348" s="23" t="str">
        <f t="shared" si="108"/>
        <v>ORD26002854</v>
      </c>
      <c r="E2348" s="38">
        <v>46278</v>
      </c>
      <c r="F2348" s="23" t="s">
        <v>12410</v>
      </c>
      <c r="G2348" s="23" t="s">
        <v>75</v>
      </c>
      <c r="H2348" s="24">
        <v>4999</v>
      </c>
      <c r="I2348" s="24">
        <v>15</v>
      </c>
      <c r="J2348" s="24">
        <v>2.7</v>
      </c>
      <c r="K2348" s="24">
        <v>4981.3</v>
      </c>
      <c r="L2348" s="38">
        <v>46280</v>
      </c>
      <c r="M2348" s="23" t="s">
        <v>202</v>
      </c>
      <c r="N2348" s="23" t="str">
        <f>IF(COUNTIF($A$2:A2348,A2348)&gt;1,"DUP","OK")</f>
        <v>OK</v>
      </c>
      <c r="O2348" s="23" t="str">
        <f t="shared" si="109"/>
        <v>ORD26002854</v>
      </c>
      <c r="P2348" s="23" t="str">
        <f t="shared" si="110"/>
        <v>Sep</v>
      </c>
      <c r="Q2348" s="23" t="str">
        <f>IF(F2348="CAPTURE",IF(COUNTIF(orders!$A:$A,O2348)&gt;0,"Yes","NO ORDER"),"")</f>
        <v>Yes</v>
      </c>
    </row>
    <row r="2349" spans="1:17" ht="15" customHeight="1" x14ac:dyDescent="0.3">
      <c r="A2349" s="23" t="s">
        <v>15149</v>
      </c>
      <c r="B2349" s="23"/>
      <c r="C2349" s="23" t="s">
        <v>15150</v>
      </c>
      <c r="D2349" s="23" t="str">
        <f t="shared" si="108"/>
        <v>ORD26002863</v>
      </c>
      <c r="E2349" s="38">
        <v>46278</v>
      </c>
      <c r="F2349" s="23" t="s">
        <v>12410</v>
      </c>
      <c r="G2349" s="23" t="s">
        <v>75</v>
      </c>
      <c r="H2349" s="24">
        <v>5797</v>
      </c>
      <c r="I2349" s="24">
        <v>17.39</v>
      </c>
      <c r="J2349" s="24">
        <v>3.13</v>
      </c>
      <c r="K2349" s="24">
        <v>5776.48</v>
      </c>
      <c r="L2349" s="38">
        <v>46280</v>
      </c>
      <c r="M2349" s="23" t="s">
        <v>202</v>
      </c>
      <c r="N2349" s="23" t="str">
        <f>IF(COUNTIF($A$2:A2349,A2349)&gt;1,"DUP","OK")</f>
        <v>OK</v>
      </c>
      <c r="O2349" s="23" t="str">
        <f t="shared" si="109"/>
        <v>ORD26002863</v>
      </c>
      <c r="P2349" s="23" t="str">
        <f t="shared" si="110"/>
        <v>Sep</v>
      </c>
      <c r="Q2349" s="23" t="str">
        <f>IF(F2349="CAPTURE",IF(COUNTIF(orders!$A:$A,O2349)&gt;0,"Yes","NO ORDER"),"")</f>
        <v>Yes</v>
      </c>
    </row>
    <row r="2350" spans="1:17" ht="15" customHeight="1" x14ac:dyDescent="0.3">
      <c r="A2350" s="23" t="s">
        <v>15151</v>
      </c>
      <c r="B2350" s="23"/>
      <c r="C2350" s="23" t="s">
        <v>6356</v>
      </c>
      <c r="D2350" s="23" t="str">
        <f t="shared" si="108"/>
        <v>ORD26002930</v>
      </c>
      <c r="E2350" s="38">
        <v>46278</v>
      </c>
      <c r="F2350" s="23" t="s">
        <v>12410</v>
      </c>
      <c r="G2350" s="23" t="s">
        <v>77</v>
      </c>
      <c r="H2350" s="24">
        <v>8348</v>
      </c>
      <c r="I2350" s="24">
        <v>141.91999999999999</v>
      </c>
      <c r="J2350" s="24">
        <v>25.55</v>
      </c>
      <c r="K2350" s="24">
        <v>8180.53</v>
      </c>
      <c r="L2350" s="38">
        <v>46280</v>
      </c>
      <c r="M2350" s="23" t="s">
        <v>202</v>
      </c>
      <c r="N2350" s="23" t="str">
        <f>IF(COUNTIF($A$2:A2350,A2350)&gt;1,"DUP","OK")</f>
        <v>OK</v>
      </c>
      <c r="O2350" s="23" t="str">
        <f t="shared" si="109"/>
        <v>ORD26002930</v>
      </c>
      <c r="P2350" s="23" t="str">
        <f t="shared" si="110"/>
        <v>Sep</v>
      </c>
      <c r="Q2350" s="23" t="str">
        <f>IF(F2350="CAPTURE",IF(COUNTIF(orders!$A:$A,O2350)&gt;0,"Yes","NO ORDER"),"")</f>
        <v>Yes</v>
      </c>
    </row>
    <row r="2351" spans="1:17" ht="15" customHeight="1" x14ac:dyDescent="0.3">
      <c r="A2351" s="23" t="s">
        <v>15152</v>
      </c>
      <c r="B2351" s="23"/>
      <c r="C2351" s="23" t="s">
        <v>6388</v>
      </c>
      <c r="D2351" s="23" t="str">
        <f t="shared" si="108"/>
        <v>ORD26002946</v>
      </c>
      <c r="E2351" s="38">
        <v>46278</v>
      </c>
      <c r="F2351" s="23" t="s">
        <v>12410</v>
      </c>
      <c r="G2351" s="23" t="s">
        <v>75</v>
      </c>
      <c r="H2351" s="24">
        <v>5498</v>
      </c>
      <c r="I2351" s="24">
        <v>16.489999999999998</v>
      </c>
      <c r="J2351" s="24">
        <v>2.97</v>
      </c>
      <c r="K2351" s="24">
        <v>5478.54</v>
      </c>
      <c r="L2351" s="38">
        <v>46280</v>
      </c>
      <c r="M2351" s="23" t="s">
        <v>202</v>
      </c>
      <c r="N2351" s="23" t="str">
        <f>IF(COUNTIF($A$2:A2351,A2351)&gt;1,"DUP","OK")</f>
        <v>OK</v>
      </c>
      <c r="O2351" s="23" t="str">
        <f t="shared" si="109"/>
        <v>ORD26002946</v>
      </c>
      <c r="P2351" s="23" t="str">
        <f t="shared" si="110"/>
        <v>Sep</v>
      </c>
      <c r="Q2351" s="23" t="str">
        <f>IF(F2351="CAPTURE",IF(COUNTIF(orders!$A:$A,O2351)&gt;0,"Yes","NO ORDER"),"")</f>
        <v>Yes</v>
      </c>
    </row>
    <row r="2352" spans="1:17" ht="15" customHeight="1" x14ac:dyDescent="0.3">
      <c r="A2352" s="23" t="s">
        <v>15153</v>
      </c>
      <c r="B2352" s="23"/>
      <c r="C2352" s="23" t="s">
        <v>15154</v>
      </c>
      <c r="D2352" s="23" t="str">
        <f t="shared" si="108"/>
        <v>ORD26002958</v>
      </c>
      <c r="E2352" s="38">
        <v>46278</v>
      </c>
      <c r="F2352" s="23" t="s">
        <v>12410</v>
      </c>
      <c r="G2352" s="23" t="s">
        <v>75</v>
      </c>
      <c r="H2352" s="24">
        <v>9998</v>
      </c>
      <c r="I2352" s="24">
        <v>29.99</v>
      </c>
      <c r="J2352" s="24">
        <v>5.4</v>
      </c>
      <c r="K2352" s="24">
        <v>9962.61</v>
      </c>
      <c r="L2352" s="38">
        <v>46280</v>
      </c>
      <c r="M2352" s="23" t="s">
        <v>202</v>
      </c>
      <c r="N2352" s="23" t="str">
        <f>IF(COUNTIF($A$2:A2352,A2352)&gt;1,"DUP","OK")</f>
        <v>OK</v>
      </c>
      <c r="O2352" s="23" t="str">
        <f t="shared" si="109"/>
        <v>ORD26002958</v>
      </c>
      <c r="P2352" s="23" t="str">
        <f t="shared" si="110"/>
        <v>Sep</v>
      </c>
      <c r="Q2352" s="23" t="str">
        <f>IF(F2352="CAPTURE",IF(COUNTIF(orders!$A:$A,O2352)&gt;0,"Yes","NO ORDER"),"")</f>
        <v>Yes</v>
      </c>
    </row>
    <row r="2353" spans="1:17" ht="15" customHeight="1" x14ac:dyDescent="0.3">
      <c r="A2353" s="23" t="s">
        <v>15155</v>
      </c>
      <c r="B2353" s="23"/>
      <c r="C2353" s="23" t="s">
        <v>15156</v>
      </c>
      <c r="D2353" s="23" t="str">
        <f t="shared" si="108"/>
        <v>ORD26002970</v>
      </c>
      <c r="E2353" s="38">
        <v>46278</v>
      </c>
      <c r="F2353" s="23" t="s">
        <v>12410</v>
      </c>
      <c r="G2353" s="23" t="s">
        <v>75</v>
      </c>
      <c r="H2353" s="24">
        <v>2999</v>
      </c>
      <c r="I2353" s="24">
        <v>9</v>
      </c>
      <c r="J2353" s="24">
        <v>1.62</v>
      </c>
      <c r="K2353" s="24">
        <v>2988.38</v>
      </c>
      <c r="L2353" s="38">
        <v>46280</v>
      </c>
      <c r="M2353" s="23" t="s">
        <v>202</v>
      </c>
      <c r="N2353" s="23" t="str">
        <f>IF(COUNTIF($A$2:A2353,A2353)&gt;1,"DUP","OK")</f>
        <v>OK</v>
      </c>
      <c r="O2353" s="23" t="str">
        <f t="shared" si="109"/>
        <v>ORD26002970</v>
      </c>
      <c r="P2353" s="23" t="str">
        <f t="shared" si="110"/>
        <v>Sep</v>
      </c>
      <c r="Q2353" s="23" t="str">
        <f>IF(F2353="CAPTURE",IF(COUNTIF(orders!$A:$A,O2353)&gt;0,"Yes","NO ORDER"),"")</f>
        <v>Yes</v>
      </c>
    </row>
    <row r="2354" spans="1:17" ht="15" customHeight="1" x14ac:dyDescent="0.3">
      <c r="A2354" s="23" t="s">
        <v>15157</v>
      </c>
      <c r="B2354" s="23"/>
      <c r="C2354" s="23" t="s">
        <v>6448</v>
      </c>
      <c r="D2354" s="23" t="str">
        <f t="shared" si="108"/>
        <v>ORD26002976</v>
      </c>
      <c r="E2354" s="38">
        <v>46278</v>
      </c>
      <c r="F2354" s="23" t="s">
        <v>12410</v>
      </c>
      <c r="G2354" s="23" t="s">
        <v>75</v>
      </c>
      <c r="H2354" s="24">
        <v>1799</v>
      </c>
      <c r="I2354" s="24">
        <v>0</v>
      </c>
      <c r="J2354" s="24">
        <v>0</v>
      </c>
      <c r="K2354" s="24">
        <v>1799</v>
      </c>
      <c r="L2354" s="38">
        <v>46280</v>
      </c>
      <c r="M2354" s="23" t="s">
        <v>202</v>
      </c>
      <c r="N2354" s="23" t="str">
        <f>IF(COUNTIF($A$2:A2354,A2354)&gt;1,"DUP","OK")</f>
        <v>OK</v>
      </c>
      <c r="O2354" s="23" t="str">
        <f t="shared" si="109"/>
        <v>ORD26002976</v>
      </c>
      <c r="P2354" s="23" t="str">
        <f t="shared" si="110"/>
        <v>Sep</v>
      </c>
      <c r="Q2354" s="23" t="str">
        <f>IF(F2354="CAPTURE",IF(COUNTIF(orders!$A:$A,O2354)&gt;0,"Yes","NO ORDER"),"")</f>
        <v>Yes</v>
      </c>
    </row>
    <row r="2355" spans="1:17" ht="15" customHeight="1" x14ac:dyDescent="0.3">
      <c r="A2355" s="23" t="s">
        <v>15158</v>
      </c>
      <c r="B2355" s="23"/>
      <c r="C2355" s="23" t="s">
        <v>6459</v>
      </c>
      <c r="D2355" s="23" t="str">
        <f t="shared" si="108"/>
        <v>ORD26002982</v>
      </c>
      <c r="E2355" s="38">
        <v>46278</v>
      </c>
      <c r="F2355" s="23" t="s">
        <v>12410</v>
      </c>
      <c r="G2355" s="23" t="s">
        <v>75</v>
      </c>
      <c r="H2355" s="24">
        <v>2499</v>
      </c>
      <c r="I2355" s="24">
        <v>7.5</v>
      </c>
      <c r="J2355" s="24">
        <v>1.35</v>
      </c>
      <c r="K2355" s="24">
        <v>2490.15</v>
      </c>
      <c r="L2355" s="38">
        <v>46280</v>
      </c>
      <c r="M2355" s="23" t="s">
        <v>202</v>
      </c>
      <c r="N2355" s="23" t="str">
        <f>IF(COUNTIF($A$2:A2355,A2355)&gt;1,"DUP","OK")</f>
        <v>OK</v>
      </c>
      <c r="O2355" s="23" t="str">
        <f t="shared" si="109"/>
        <v>ORD26002982</v>
      </c>
      <c r="P2355" s="23" t="str">
        <f t="shared" si="110"/>
        <v>Sep</v>
      </c>
      <c r="Q2355" s="23" t="str">
        <f>IF(F2355="CAPTURE",IF(COUNTIF(orders!$A:$A,O2355)&gt;0,"Yes","NO ORDER"),"")</f>
        <v>Yes</v>
      </c>
    </row>
    <row r="2356" spans="1:17" ht="15" customHeight="1" x14ac:dyDescent="0.3">
      <c r="A2356" s="23" t="s">
        <v>15159</v>
      </c>
      <c r="B2356" s="23"/>
      <c r="C2356" s="23" t="s">
        <v>6463</v>
      </c>
      <c r="D2356" s="23" t="str">
        <f t="shared" si="108"/>
        <v>ORD26002984</v>
      </c>
      <c r="E2356" s="38">
        <v>46278</v>
      </c>
      <c r="F2356" s="23" t="s">
        <v>12410</v>
      </c>
      <c r="G2356" s="23" t="s">
        <v>77</v>
      </c>
      <c r="H2356" s="24">
        <v>4097</v>
      </c>
      <c r="I2356" s="24">
        <v>69.650000000000006</v>
      </c>
      <c r="J2356" s="24">
        <v>12.54</v>
      </c>
      <c r="K2356" s="24">
        <v>4014.81</v>
      </c>
      <c r="L2356" s="38">
        <v>46280</v>
      </c>
      <c r="M2356" s="23" t="s">
        <v>202</v>
      </c>
      <c r="N2356" s="23" t="str">
        <f>IF(COUNTIF($A$2:A2356,A2356)&gt;1,"DUP","OK")</f>
        <v>OK</v>
      </c>
      <c r="O2356" s="23" t="str">
        <f t="shared" si="109"/>
        <v>ORD26002984</v>
      </c>
      <c r="P2356" s="23" t="str">
        <f t="shared" si="110"/>
        <v>Sep</v>
      </c>
      <c r="Q2356" s="23" t="str">
        <f>IF(F2356="CAPTURE",IF(COUNTIF(orders!$A:$A,O2356)&gt;0,"Yes","NO ORDER"),"")</f>
        <v>Yes</v>
      </c>
    </row>
    <row r="2357" spans="1:17" ht="15" customHeight="1" x14ac:dyDescent="0.3">
      <c r="A2357" s="23" t="s">
        <v>15160</v>
      </c>
      <c r="B2357" s="23"/>
      <c r="C2357" s="23" t="s">
        <v>6515</v>
      </c>
      <c r="D2357" s="23" t="str">
        <f t="shared" si="108"/>
        <v>ORD26003011</v>
      </c>
      <c r="E2357" s="38">
        <v>46278</v>
      </c>
      <c r="F2357" s="23" t="s">
        <v>12410</v>
      </c>
      <c r="G2357" s="23" t="s">
        <v>79</v>
      </c>
      <c r="H2357" s="24">
        <v>2098</v>
      </c>
      <c r="I2357" s="24">
        <v>33.57</v>
      </c>
      <c r="J2357" s="24">
        <v>6.04</v>
      </c>
      <c r="K2357" s="24">
        <v>2058.39</v>
      </c>
      <c r="L2357" s="38">
        <v>46280</v>
      </c>
      <c r="M2357" s="23" t="s">
        <v>202</v>
      </c>
      <c r="N2357" s="23" t="str">
        <f>IF(COUNTIF($A$2:A2357,A2357)&gt;1,"DUP","OK")</f>
        <v>OK</v>
      </c>
      <c r="O2357" s="23" t="str">
        <f t="shared" si="109"/>
        <v>ORD26003011</v>
      </c>
      <c r="P2357" s="23" t="str">
        <f t="shared" si="110"/>
        <v>Sep</v>
      </c>
      <c r="Q2357" s="23" t="str">
        <f>IF(F2357="CAPTURE",IF(COUNTIF(orders!$A:$A,O2357)&gt;0,"Yes","NO ORDER"),"")</f>
        <v>Yes</v>
      </c>
    </row>
    <row r="2358" spans="1:17" ht="15" customHeight="1" x14ac:dyDescent="0.3">
      <c r="A2358" s="23" t="s">
        <v>15161</v>
      </c>
      <c r="B2358" s="23"/>
      <c r="C2358" s="23" t="s">
        <v>15162</v>
      </c>
      <c r="D2358" s="23" t="str">
        <f t="shared" si="108"/>
        <v>ORD26003038</v>
      </c>
      <c r="E2358" s="38">
        <v>46278</v>
      </c>
      <c r="F2358" s="23" t="s">
        <v>12410</v>
      </c>
      <c r="G2358" s="23" t="s">
        <v>75</v>
      </c>
      <c r="H2358" s="24">
        <v>2848</v>
      </c>
      <c r="I2358" s="24">
        <v>8.5399999999999991</v>
      </c>
      <c r="J2358" s="24">
        <v>1.54</v>
      </c>
      <c r="K2358" s="24">
        <v>2837.92</v>
      </c>
      <c r="L2358" s="38">
        <v>46280</v>
      </c>
      <c r="M2358" s="23" t="s">
        <v>202</v>
      </c>
      <c r="N2358" s="23" t="str">
        <f>IF(COUNTIF($A$2:A2358,A2358)&gt;1,"DUP","OK")</f>
        <v>OK</v>
      </c>
      <c r="O2358" s="23" t="str">
        <f t="shared" si="109"/>
        <v>ORD26003038</v>
      </c>
      <c r="P2358" s="23" t="str">
        <f t="shared" si="110"/>
        <v>Sep</v>
      </c>
      <c r="Q2358" s="23" t="str">
        <f>IF(F2358="CAPTURE",IF(COUNTIF(orders!$A:$A,O2358)&gt;0,"Yes","NO ORDER"),"")</f>
        <v>Yes</v>
      </c>
    </row>
    <row r="2359" spans="1:17" ht="15" customHeight="1" x14ac:dyDescent="0.3">
      <c r="A2359" s="23" t="s">
        <v>15163</v>
      </c>
      <c r="B2359" s="23"/>
      <c r="C2359" s="23" t="s">
        <v>6622</v>
      </c>
      <c r="D2359" s="23" t="str">
        <f t="shared" si="108"/>
        <v>ORD26003063</v>
      </c>
      <c r="E2359" s="38">
        <v>46278</v>
      </c>
      <c r="F2359" s="23" t="s">
        <v>12410</v>
      </c>
      <c r="G2359" s="23" t="s">
        <v>81</v>
      </c>
      <c r="H2359" s="24">
        <v>9297</v>
      </c>
      <c r="I2359" s="24">
        <v>111.56</v>
      </c>
      <c r="J2359" s="24">
        <v>20.079999999999998</v>
      </c>
      <c r="K2359" s="24">
        <v>9165.36</v>
      </c>
      <c r="L2359" s="38">
        <v>46280</v>
      </c>
      <c r="M2359" s="23" t="s">
        <v>202</v>
      </c>
      <c r="N2359" s="23" t="str">
        <f>IF(COUNTIF($A$2:A2359,A2359)&gt;1,"DUP","OK")</f>
        <v>OK</v>
      </c>
      <c r="O2359" s="23" t="str">
        <f t="shared" si="109"/>
        <v>ORD26003063</v>
      </c>
      <c r="P2359" s="23" t="str">
        <f t="shared" si="110"/>
        <v>Sep</v>
      </c>
      <c r="Q2359" s="23" t="str">
        <f>IF(F2359="CAPTURE",IF(COUNTIF(orders!$A:$A,O2359)&gt;0,"Yes","NO ORDER"),"")</f>
        <v>Yes</v>
      </c>
    </row>
    <row r="2360" spans="1:17" ht="15" customHeight="1" x14ac:dyDescent="0.3">
      <c r="A2360" s="23" t="s">
        <v>15164</v>
      </c>
      <c r="B2360" s="23"/>
      <c r="C2360" s="23" t="s">
        <v>6688</v>
      </c>
      <c r="D2360" s="23" t="str">
        <f t="shared" si="108"/>
        <v>ORD26003096</v>
      </c>
      <c r="E2360" s="38">
        <v>46278</v>
      </c>
      <c r="F2360" s="23" t="s">
        <v>12410</v>
      </c>
      <c r="G2360" s="23" t="s">
        <v>75</v>
      </c>
      <c r="H2360" s="24">
        <v>349</v>
      </c>
      <c r="I2360" s="24">
        <v>0</v>
      </c>
      <c r="J2360" s="24">
        <v>0</v>
      </c>
      <c r="K2360" s="24">
        <v>349</v>
      </c>
      <c r="L2360" s="38">
        <v>46280</v>
      </c>
      <c r="M2360" s="23" t="s">
        <v>202</v>
      </c>
      <c r="N2360" s="23" t="str">
        <f>IF(COUNTIF($A$2:A2360,A2360)&gt;1,"DUP","OK")</f>
        <v>OK</v>
      </c>
      <c r="O2360" s="23" t="str">
        <f t="shared" si="109"/>
        <v>ORD26003096</v>
      </c>
      <c r="P2360" s="23" t="str">
        <f t="shared" si="110"/>
        <v>Sep</v>
      </c>
      <c r="Q2360" s="23" t="str">
        <f>IF(F2360="CAPTURE",IF(COUNTIF(orders!$A:$A,O2360)&gt;0,"Yes","NO ORDER"),"")</f>
        <v>Yes</v>
      </c>
    </row>
    <row r="2361" spans="1:17" ht="15" customHeight="1" x14ac:dyDescent="0.3">
      <c r="A2361" s="23" t="s">
        <v>15165</v>
      </c>
      <c r="B2361" s="23"/>
      <c r="C2361" s="23" t="s">
        <v>6757</v>
      </c>
      <c r="D2361" s="23" t="str">
        <f t="shared" si="108"/>
        <v>ORD26003130</v>
      </c>
      <c r="E2361" s="38">
        <v>46278</v>
      </c>
      <c r="F2361" s="23" t="s">
        <v>12410</v>
      </c>
      <c r="G2361" s="23" t="s">
        <v>75</v>
      </c>
      <c r="H2361" s="24">
        <v>2499</v>
      </c>
      <c r="I2361" s="24">
        <v>7.5</v>
      </c>
      <c r="J2361" s="24">
        <v>1.35</v>
      </c>
      <c r="K2361" s="24">
        <v>2490.15</v>
      </c>
      <c r="L2361" s="38">
        <v>46280</v>
      </c>
      <c r="M2361" s="23" t="s">
        <v>202</v>
      </c>
      <c r="N2361" s="23" t="str">
        <f>IF(COUNTIF($A$2:A2361,A2361)&gt;1,"DUP","OK")</f>
        <v>OK</v>
      </c>
      <c r="O2361" s="23" t="str">
        <f t="shared" si="109"/>
        <v>ORD26003130</v>
      </c>
      <c r="P2361" s="23" t="str">
        <f t="shared" si="110"/>
        <v>Sep</v>
      </c>
      <c r="Q2361" s="23" t="str">
        <f>IF(F2361="CAPTURE",IF(COUNTIF(orders!$A:$A,O2361)&gt;0,"Yes","NO ORDER"),"")</f>
        <v>Yes</v>
      </c>
    </row>
    <row r="2362" spans="1:17" ht="15" customHeight="1" x14ac:dyDescent="0.3">
      <c r="A2362" s="23" t="s">
        <v>15166</v>
      </c>
      <c r="B2362" s="23"/>
      <c r="C2362" s="23" t="s">
        <v>6843</v>
      </c>
      <c r="D2362" s="23" t="str">
        <f t="shared" si="108"/>
        <v>ORD26003173</v>
      </c>
      <c r="E2362" s="38">
        <v>46278</v>
      </c>
      <c r="F2362" s="23" t="s">
        <v>12410</v>
      </c>
      <c r="G2362" s="23" t="s">
        <v>75</v>
      </c>
      <c r="H2362" s="24">
        <v>1499</v>
      </c>
      <c r="I2362" s="24">
        <v>0</v>
      </c>
      <c r="J2362" s="24">
        <v>0</v>
      </c>
      <c r="K2362" s="24">
        <v>1499</v>
      </c>
      <c r="L2362" s="38">
        <v>46280</v>
      </c>
      <c r="M2362" s="23" t="s">
        <v>202</v>
      </c>
      <c r="N2362" s="23" t="str">
        <f>IF(COUNTIF($A$2:A2362,A2362)&gt;1,"DUP","OK")</f>
        <v>OK</v>
      </c>
      <c r="O2362" s="23" t="str">
        <f t="shared" si="109"/>
        <v>ORD26003173</v>
      </c>
      <c r="P2362" s="23" t="str">
        <f t="shared" si="110"/>
        <v>Sep</v>
      </c>
      <c r="Q2362" s="23" t="str">
        <f>IF(F2362="CAPTURE",IF(COUNTIF(orders!$A:$A,O2362)&gt;0,"Yes","NO ORDER"),"")</f>
        <v>Yes</v>
      </c>
    </row>
    <row r="2363" spans="1:17" ht="15" customHeight="1" x14ac:dyDescent="0.3">
      <c r="A2363" s="23" t="s">
        <v>15167</v>
      </c>
      <c r="B2363" s="23"/>
      <c r="C2363" s="23" t="s">
        <v>6867</v>
      </c>
      <c r="D2363" s="23" t="str">
        <f t="shared" si="108"/>
        <v>ORD26003185</v>
      </c>
      <c r="E2363" s="38">
        <v>46278</v>
      </c>
      <c r="F2363" s="23" t="s">
        <v>12410</v>
      </c>
      <c r="G2363" s="23" t="s">
        <v>75</v>
      </c>
      <c r="H2363" s="24">
        <v>6798</v>
      </c>
      <c r="I2363" s="24">
        <v>20.39</v>
      </c>
      <c r="J2363" s="24">
        <v>3.67</v>
      </c>
      <c r="K2363" s="24">
        <v>6773.94</v>
      </c>
      <c r="L2363" s="38">
        <v>46280</v>
      </c>
      <c r="M2363" s="23" t="s">
        <v>202</v>
      </c>
      <c r="N2363" s="23" t="str">
        <f>IF(COUNTIF($A$2:A2363,A2363)&gt;1,"DUP","OK")</f>
        <v>OK</v>
      </c>
      <c r="O2363" s="23" t="str">
        <f t="shared" si="109"/>
        <v>ORD26003185</v>
      </c>
      <c r="P2363" s="23" t="str">
        <f t="shared" si="110"/>
        <v>Sep</v>
      </c>
      <c r="Q2363" s="23" t="str">
        <f>IF(F2363="CAPTURE",IF(COUNTIF(orders!$A:$A,O2363)&gt;0,"Yes","NO ORDER"),"")</f>
        <v>Yes</v>
      </c>
    </row>
    <row r="2364" spans="1:17" ht="15" customHeight="1" x14ac:dyDescent="0.3">
      <c r="A2364" s="23" t="s">
        <v>15168</v>
      </c>
      <c r="B2364" s="23"/>
      <c r="C2364" s="23" t="s">
        <v>6917</v>
      </c>
      <c r="D2364" s="23" t="str">
        <f t="shared" si="108"/>
        <v>ORD26003210</v>
      </c>
      <c r="E2364" s="38">
        <v>46278</v>
      </c>
      <c r="F2364" s="23" t="s">
        <v>12410</v>
      </c>
      <c r="G2364" s="23" t="s">
        <v>79</v>
      </c>
      <c r="H2364" s="24">
        <v>999</v>
      </c>
      <c r="I2364" s="24">
        <v>17.98</v>
      </c>
      <c r="J2364" s="24">
        <v>3.24</v>
      </c>
      <c r="K2364" s="24">
        <v>977.78</v>
      </c>
      <c r="L2364" s="38">
        <v>46280</v>
      </c>
      <c r="M2364" s="23" t="s">
        <v>202</v>
      </c>
      <c r="N2364" s="23" t="str">
        <f>IF(COUNTIF($A$2:A2364,A2364)&gt;1,"DUP","OK")</f>
        <v>OK</v>
      </c>
      <c r="O2364" s="23" t="str">
        <f t="shared" si="109"/>
        <v>ORD26003210</v>
      </c>
      <c r="P2364" s="23" t="str">
        <f t="shared" si="110"/>
        <v>Sep</v>
      </c>
      <c r="Q2364" s="23" t="str">
        <f>IF(F2364="CAPTURE",IF(COUNTIF(orders!$A:$A,O2364)&gt;0,"Yes","NO ORDER"),"")</f>
        <v>Yes</v>
      </c>
    </row>
    <row r="2365" spans="1:17" ht="15" customHeight="1" x14ac:dyDescent="0.3">
      <c r="A2365" s="23" t="s">
        <v>15169</v>
      </c>
      <c r="B2365" s="23"/>
      <c r="C2365" s="23" t="s">
        <v>6957</v>
      </c>
      <c r="D2365" s="23" t="str">
        <f t="shared" si="108"/>
        <v>ORD26003230</v>
      </c>
      <c r="E2365" s="38">
        <v>46278</v>
      </c>
      <c r="F2365" s="23" t="s">
        <v>12410</v>
      </c>
      <c r="G2365" s="23" t="s">
        <v>75</v>
      </c>
      <c r="H2365" s="24">
        <v>7999</v>
      </c>
      <c r="I2365" s="24">
        <v>24</v>
      </c>
      <c r="J2365" s="24">
        <v>4.32</v>
      </c>
      <c r="K2365" s="24">
        <v>7970.68</v>
      </c>
      <c r="L2365" s="38">
        <v>46280</v>
      </c>
      <c r="M2365" s="23" t="s">
        <v>202</v>
      </c>
      <c r="N2365" s="23" t="str">
        <f>IF(COUNTIF($A$2:A2365,A2365)&gt;1,"DUP","OK")</f>
        <v>OK</v>
      </c>
      <c r="O2365" s="23" t="str">
        <f t="shared" si="109"/>
        <v>ORD26003230</v>
      </c>
      <c r="P2365" s="23" t="str">
        <f t="shared" si="110"/>
        <v>Sep</v>
      </c>
      <c r="Q2365" s="23" t="str">
        <f>IF(F2365="CAPTURE",IF(COUNTIF(orders!$A:$A,O2365)&gt;0,"Yes","NO ORDER"),"")</f>
        <v>Yes</v>
      </c>
    </row>
    <row r="2366" spans="1:17" ht="15" customHeight="1" x14ac:dyDescent="0.3">
      <c r="A2366" s="23" t="s">
        <v>15170</v>
      </c>
      <c r="B2366" s="23"/>
      <c r="C2366" s="23" t="s">
        <v>7080</v>
      </c>
      <c r="D2366" s="23" t="str">
        <f t="shared" si="108"/>
        <v>ORD26003291</v>
      </c>
      <c r="E2366" s="38">
        <v>46278</v>
      </c>
      <c r="F2366" s="23" t="s">
        <v>12410</v>
      </c>
      <c r="G2366" s="23" t="s">
        <v>75</v>
      </c>
      <c r="H2366" s="24">
        <v>1848</v>
      </c>
      <c r="I2366" s="24">
        <v>0</v>
      </c>
      <c r="J2366" s="24">
        <v>0</v>
      </c>
      <c r="K2366" s="24">
        <v>1848</v>
      </c>
      <c r="L2366" s="38">
        <v>46280</v>
      </c>
      <c r="M2366" s="23" t="s">
        <v>202</v>
      </c>
      <c r="N2366" s="23" t="str">
        <f>IF(COUNTIF($A$2:A2366,A2366)&gt;1,"DUP","OK")</f>
        <v>OK</v>
      </c>
      <c r="O2366" s="23" t="str">
        <f t="shared" si="109"/>
        <v>ORD26003291</v>
      </c>
      <c r="P2366" s="23" t="str">
        <f t="shared" si="110"/>
        <v>Sep</v>
      </c>
      <c r="Q2366" s="23" t="str">
        <f>IF(F2366="CAPTURE",IF(COUNTIF(orders!$A:$A,O2366)&gt;0,"Yes","NO ORDER"),"")</f>
        <v>Yes</v>
      </c>
    </row>
    <row r="2367" spans="1:17" ht="15" customHeight="1" x14ac:dyDescent="0.3">
      <c r="A2367" s="23" t="s">
        <v>15171</v>
      </c>
      <c r="B2367" s="23"/>
      <c r="C2367" s="23" t="s">
        <v>7088</v>
      </c>
      <c r="D2367" s="23" t="str">
        <f t="shared" si="108"/>
        <v>ORD26003295</v>
      </c>
      <c r="E2367" s="38">
        <v>46278</v>
      </c>
      <c r="F2367" s="23" t="s">
        <v>12410</v>
      </c>
      <c r="G2367" s="23" t="s">
        <v>79</v>
      </c>
      <c r="H2367" s="24">
        <v>4298</v>
      </c>
      <c r="I2367" s="24">
        <v>68.77</v>
      </c>
      <c r="J2367" s="24">
        <v>12.38</v>
      </c>
      <c r="K2367" s="24">
        <v>4216.8500000000004</v>
      </c>
      <c r="L2367" s="38">
        <v>46280</v>
      </c>
      <c r="M2367" s="23" t="s">
        <v>202</v>
      </c>
      <c r="N2367" s="23" t="str">
        <f>IF(COUNTIF($A$2:A2367,A2367)&gt;1,"DUP","OK")</f>
        <v>OK</v>
      </c>
      <c r="O2367" s="23" t="str">
        <f t="shared" si="109"/>
        <v>ORD26003295</v>
      </c>
      <c r="P2367" s="23" t="str">
        <f t="shared" si="110"/>
        <v>Sep</v>
      </c>
      <c r="Q2367" s="23" t="str">
        <f>IF(F2367="CAPTURE",IF(COUNTIF(orders!$A:$A,O2367)&gt;0,"Yes","NO ORDER"),"")</f>
        <v>Yes</v>
      </c>
    </row>
    <row r="2368" spans="1:17" ht="15" customHeight="1" x14ac:dyDescent="0.3">
      <c r="A2368" s="23" t="s">
        <v>15172</v>
      </c>
      <c r="B2368" s="23"/>
      <c r="C2368" s="23" t="s">
        <v>7172</v>
      </c>
      <c r="D2368" s="23" t="str">
        <f t="shared" si="108"/>
        <v>ORD26003337</v>
      </c>
      <c r="E2368" s="38">
        <v>46278</v>
      </c>
      <c r="F2368" s="23" t="s">
        <v>12410</v>
      </c>
      <c r="G2368" s="23" t="s">
        <v>79</v>
      </c>
      <c r="H2368" s="24">
        <v>5297</v>
      </c>
      <c r="I2368" s="24">
        <v>84.75</v>
      </c>
      <c r="J2368" s="24">
        <v>15.26</v>
      </c>
      <c r="K2368" s="24">
        <v>5196.99</v>
      </c>
      <c r="L2368" s="38">
        <v>46280</v>
      </c>
      <c r="M2368" s="23" t="s">
        <v>202</v>
      </c>
      <c r="N2368" s="23" t="str">
        <f>IF(COUNTIF($A$2:A2368,A2368)&gt;1,"DUP","OK")</f>
        <v>OK</v>
      </c>
      <c r="O2368" s="23" t="str">
        <f t="shared" si="109"/>
        <v>ORD26003337</v>
      </c>
      <c r="P2368" s="23" t="str">
        <f t="shared" si="110"/>
        <v>Sep</v>
      </c>
      <c r="Q2368" s="23" t="str">
        <f>IF(F2368="CAPTURE",IF(COUNTIF(orders!$A:$A,O2368)&gt;0,"Yes","NO ORDER"),"")</f>
        <v>Yes</v>
      </c>
    </row>
    <row r="2369" spans="1:17" ht="15" customHeight="1" x14ac:dyDescent="0.3">
      <c r="A2369" s="23" t="s">
        <v>15173</v>
      </c>
      <c r="B2369" s="23"/>
      <c r="C2369" s="23" t="s">
        <v>15174</v>
      </c>
      <c r="D2369" s="23" t="str">
        <f t="shared" si="108"/>
        <v>ORD26003339</v>
      </c>
      <c r="E2369" s="38">
        <v>46278</v>
      </c>
      <c r="F2369" s="23" t="s">
        <v>12410</v>
      </c>
      <c r="G2369" s="23" t="s">
        <v>79</v>
      </c>
      <c r="H2369" s="24">
        <v>599</v>
      </c>
      <c r="I2369" s="24">
        <v>10.78</v>
      </c>
      <c r="J2369" s="24">
        <v>1.94</v>
      </c>
      <c r="K2369" s="24">
        <v>586.28</v>
      </c>
      <c r="L2369" s="38">
        <v>46280</v>
      </c>
      <c r="M2369" s="23" t="s">
        <v>202</v>
      </c>
      <c r="N2369" s="23" t="str">
        <f>IF(COUNTIF($A$2:A2369,A2369)&gt;1,"DUP","OK")</f>
        <v>OK</v>
      </c>
      <c r="O2369" s="23" t="str">
        <f t="shared" si="109"/>
        <v>ORD26003339</v>
      </c>
      <c r="P2369" s="23" t="str">
        <f t="shared" si="110"/>
        <v>Sep</v>
      </c>
      <c r="Q2369" s="23" t="str">
        <f>IF(F2369="CAPTURE",IF(COUNTIF(orders!$A:$A,O2369)&gt;0,"Yes","NO ORDER"),"")</f>
        <v>Yes</v>
      </c>
    </row>
    <row r="2370" spans="1:17" ht="15" customHeight="1" x14ac:dyDescent="0.3">
      <c r="A2370" s="23" t="s">
        <v>15175</v>
      </c>
      <c r="B2370" s="23"/>
      <c r="C2370" s="23" t="s">
        <v>7267</v>
      </c>
      <c r="D2370" s="23" t="str">
        <f t="shared" ref="D2370:D2433" si="111">UPPER(SUBSTITUTE(TRIM(C2370),"-",""))</f>
        <v>ORD26003384</v>
      </c>
      <c r="E2370" s="38">
        <v>46278</v>
      </c>
      <c r="F2370" s="23" t="s">
        <v>12410</v>
      </c>
      <c r="G2370" s="23" t="s">
        <v>75</v>
      </c>
      <c r="H2370" s="24">
        <v>349</v>
      </c>
      <c r="I2370" s="24">
        <v>0</v>
      </c>
      <c r="J2370" s="24">
        <v>0</v>
      </c>
      <c r="K2370" s="24">
        <v>349</v>
      </c>
      <c r="L2370" s="38">
        <v>46280</v>
      </c>
      <c r="M2370" s="23" t="s">
        <v>202</v>
      </c>
      <c r="N2370" s="23" t="str">
        <f>IF(COUNTIF($A$2:A2370,A2370)&gt;1,"DUP","OK")</f>
        <v>OK</v>
      </c>
      <c r="O2370" s="23" t="str">
        <f t="shared" ref="O2370:O2433" si="112">IF(F2370="REFUND",INDEX($D:$D,MATCH(B2370,$A:$A,0)),D2370)</f>
        <v>ORD26003384</v>
      </c>
      <c r="P2370" s="23" t="str">
        <f t="shared" ref="P2370:P2433" si="113">IF(L2370&gt;DATE(2026,9,30),"Oct-Due","Sep")</f>
        <v>Sep</v>
      </c>
      <c r="Q2370" s="23" t="str">
        <f>IF(F2370="CAPTURE",IF(COUNTIF(orders!$A:$A,O2370)&gt;0,"Yes","NO ORDER"),"")</f>
        <v>Yes</v>
      </c>
    </row>
    <row r="2371" spans="1:17" ht="15" customHeight="1" x14ac:dyDescent="0.3">
      <c r="A2371" s="23" t="s">
        <v>15176</v>
      </c>
      <c r="B2371" s="23"/>
      <c r="C2371" s="23" t="s">
        <v>7273</v>
      </c>
      <c r="D2371" s="23" t="str">
        <f t="shared" si="111"/>
        <v>ORD26003387</v>
      </c>
      <c r="E2371" s="38">
        <v>46278</v>
      </c>
      <c r="F2371" s="23" t="s">
        <v>12410</v>
      </c>
      <c r="G2371" s="23" t="s">
        <v>75</v>
      </c>
      <c r="H2371" s="24">
        <v>898</v>
      </c>
      <c r="I2371" s="24">
        <v>0</v>
      </c>
      <c r="J2371" s="24">
        <v>0</v>
      </c>
      <c r="K2371" s="24">
        <v>898</v>
      </c>
      <c r="L2371" s="38">
        <v>46280</v>
      </c>
      <c r="M2371" s="23" t="s">
        <v>202</v>
      </c>
      <c r="N2371" s="23" t="str">
        <f>IF(COUNTIF($A$2:A2371,A2371)&gt;1,"DUP","OK")</f>
        <v>OK</v>
      </c>
      <c r="O2371" s="23" t="str">
        <f t="shared" si="112"/>
        <v>ORD26003387</v>
      </c>
      <c r="P2371" s="23" t="str">
        <f t="shared" si="113"/>
        <v>Sep</v>
      </c>
      <c r="Q2371" s="23" t="str">
        <f>IF(F2371="CAPTURE",IF(COUNTIF(orders!$A:$A,O2371)&gt;0,"Yes","NO ORDER"),"")</f>
        <v>Yes</v>
      </c>
    </row>
    <row r="2372" spans="1:17" ht="15" customHeight="1" x14ac:dyDescent="0.3">
      <c r="A2372" s="23" t="s">
        <v>15177</v>
      </c>
      <c r="B2372" s="23"/>
      <c r="C2372" s="23" t="s">
        <v>15178</v>
      </c>
      <c r="D2372" s="23" t="str">
        <f t="shared" si="111"/>
        <v>ORD26003391</v>
      </c>
      <c r="E2372" s="38">
        <v>46278</v>
      </c>
      <c r="F2372" s="23" t="s">
        <v>12410</v>
      </c>
      <c r="G2372" s="23" t="s">
        <v>79</v>
      </c>
      <c r="H2372" s="24">
        <v>499</v>
      </c>
      <c r="I2372" s="24">
        <v>8.98</v>
      </c>
      <c r="J2372" s="24">
        <v>1.62</v>
      </c>
      <c r="K2372" s="24">
        <v>488.4</v>
      </c>
      <c r="L2372" s="38">
        <v>46280</v>
      </c>
      <c r="M2372" s="23" t="s">
        <v>202</v>
      </c>
      <c r="N2372" s="23" t="str">
        <f>IF(COUNTIF($A$2:A2372,A2372)&gt;1,"DUP","OK")</f>
        <v>OK</v>
      </c>
      <c r="O2372" s="23" t="str">
        <f t="shared" si="112"/>
        <v>ORD26003391</v>
      </c>
      <c r="P2372" s="23" t="str">
        <f t="shared" si="113"/>
        <v>Sep</v>
      </c>
      <c r="Q2372" s="23" t="str">
        <f>IF(F2372="CAPTURE",IF(COUNTIF(orders!$A:$A,O2372)&gt;0,"Yes","NO ORDER"),"")</f>
        <v>Yes</v>
      </c>
    </row>
    <row r="2373" spans="1:17" ht="15" customHeight="1" x14ac:dyDescent="0.3">
      <c r="A2373" s="23" t="s">
        <v>15179</v>
      </c>
      <c r="B2373" s="23"/>
      <c r="C2373" s="23" t="s">
        <v>7297</v>
      </c>
      <c r="D2373" s="23" t="str">
        <f t="shared" si="111"/>
        <v>ORD26003399</v>
      </c>
      <c r="E2373" s="38">
        <v>46278</v>
      </c>
      <c r="F2373" s="23" t="s">
        <v>12410</v>
      </c>
      <c r="G2373" s="23" t="s">
        <v>75</v>
      </c>
      <c r="H2373" s="24">
        <v>6498</v>
      </c>
      <c r="I2373" s="24">
        <v>19.489999999999998</v>
      </c>
      <c r="J2373" s="24">
        <v>3.51</v>
      </c>
      <c r="K2373" s="24">
        <v>6475</v>
      </c>
      <c r="L2373" s="38">
        <v>46280</v>
      </c>
      <c r="M2373" s="23" t="s">
        <v>202</v>
      </c>
      <c r="N2373" s="23" t="str">
        <f>IF(COUNTIF($A$2:A2373,A2373)&gt;1,"DUP","OK")</f>
        <v>OK</v>
      </c>
      <c r="O2373" s="23" t="str">
        <f t="shared" si="112"/>
        <v>ORD26003399</v>
      </c>
      <c r="P2373" s="23" t="str">
        <f t="shared" si="113"/>
        <v>Sep</v>
      </c>
      <c r="Q2373" s="23" t="str">
        <f>IF(F2373="CAPTURE",IF(COUNTIF(orders!$A:$A,O2373)&gt;0,"Yes","NO ORDER"),"")</f>
        <v>Yes</v>
      </c>
    </row>
    <row r="2374" spans="1:17" ht="15" customHeight="1" x14ac:dyDescent="0.3">
      <c r="A2374" s="23" t="s">
        <v>15180</v>
      </c>
      <c r="B2374" s="23"/>
      <c r="C2374" s="23" t="s">
        <v>7369</v>
      </c>
      <c r="D2374" s="23" t="str">
        <f t="shared" si="111"/>
        <v>ORD26003435</v>
      </c>
      <c r="E2374" s="38">
        <v>46278</v>
      </c>
      <c r="F2374" s="23" t="s">
        <v>12410</v>
      </c>
      <c r="G2374" s="23" t="s">
        <v>75</v>
      </c>
      <c r="H2374" s="24">
        <v>4097</v>
      </c>
      <c r="I2374" s="24">
        <v>12.29</v>
      </c>
      <c r="J2374" s="24">
        <v>2.21</v>
      </c>
      <c r="K2374" s="24">
        <v>4082.5</v>
      </c>
      <c r="L2374" s="38">
        <v>46280</v>
      </c>
      <c r="M2374" s="23" t="s">
        <v>202</v>
      </c>
      <c r="N2374" s="23" t="str">
        <f>IF(COUNTIF($A$2:A2374,A2374)&gt;1,"DUP","OK")</f>
        <v>OK</v>
      </c>
      <c r="O2374" s="23" t="str">
        <f t="shared" si="112"/>
        <v>ORD26003435</v>
      </c>
      <c r="P2374" s="23" t="str">
        <f t="shared" si="113"/>
        <v>Sep</v>
      </c>
      <c r="Q2374" s="23" t="str">
        <f>IF(F2374="CAPTURE",IF(COUNTIF(orders!$A:$A,O2374)&gt;0,"Yes","NO ORDER"),"")</f>
        <v>Yes</v>
      </c>
    </row>
    <row r="2375" spans="1:17" ht="15" customHeight="1" x14ac:dyDescent="0.3">
      <c r="A2375" s="23" t="s">
        <v>15181</v>
      </c>
      <c r="B2375" s="23"/>
      <c r="C2375" s="23" t="s">
        <v>7400</v>
      </c>
      <c r="D2375" s="23" t="str">
        <f t="shared" si="111"/>
        <v>ORD26003450</v>
      </c>
      <c r="E2375" s="38">
        <v>46278</v>
      </c>
      <c r="F2375" s="23" t="s">
        <v>12410</v>
      </c>
      <c r="G2375" s="23" t="s">
        <v>81</v>
      </c>
      <c r="H2375" s="24">
        <v>9297</v>
      </c>
      <c r="I2375" s="24">
        <v>111.56</v>
      </c>
      <c r="J2375" s="24">
        <v>20.079999999999998</v>
      </c>
      <c r="K2375" s="24">
        <v>9165.36</v>
      </c>
      <c r="L2375" s="38">
        <v>46280</v>
      </c>
      <c r="M2375" s="23" t="s">
        <v>202</v>
      </c>
      <c r="N2375" s="23" t="str">
        <f>IF(COUNTIF($A$2:A2375,A2375)&gt;1,"DUP","OK")</f>
        <v>OK</v>
      </c>
      <c r="O2375" s="23" t="str">
        <f t="shared" si="112"/>
        <v>ORD26003450</v>
      </c>
      <c r="P2375" s="23" t="str">
        <f t="shared" si="113"/>
        <v>Sep</v>
      </c>
      <c r="Q2375" s="23" t="str">
        <f>IF(F2375="CAPTURE",IF(COUNTIF(orders!$A:$A,O2375)&gt;0,"Yes","NO ORDER"),"")</f>
        <v>Yes</v>
      </c>
    </row>
    <row r="2376" spans="1:17" ht="15" customHeight="1" x14ac:dyDescent="0.3">
      <c r="A2376" s="23" t="s">
        <v>15182</v>
      </c>
      <c r="B2376" s="23"/>
      <c r="C2376" s="23" t="s">
        <v>7457</v>
      </c>
      <c r="D2376" s="23" t="str">
        <f t="shared" si="111"/>
        <v>ORD26003479</v>
      </c>
      <c r="E2376" s="38">
        <v>46278</v>
      </c>
      <c r="F2376" s="23" t="s">
        <v>12410</v>
      </c>
      <c r="G2376" s="23" t="s">
        <v>79</v>
      </c>
      <c r="H2376" s="24">
        <v>3097</v>
      </c>
      <c r="I2376" s="24">
        <v>49.55</v>
      </c>
      <c r="J2376" s="24">
        <v>8.92</v>
      </c>
      <c r="K2376" s="24">
        <v>3038.53</v>
      </c>
      <c r="L2376" s="38">
        <v>46280</v>
      </c>
      <c r="M2376" s="23" t="s">
        <v>202</v>
      </c>
      <c r="N2376" s="23" t="str">
        <f>IF(COUNTIF($A$2:A2376,A2376)&gt;1,"DUP","OK")</f>
        <v>OK</v>
      </c>
      <c r="O2376" s="23" t="str">
        <f t="shared" si="112"/>
        <v>ORD26003479</v>
      </c>
      <c r="P2376" s="23" t="str">
        <f t="shared" si="113"/>
        <v>Sep</v>
      </c>
      <c r="Q2376" s="23" t="str">
        <f>IF(F2376="CAPTURE",IF(COUNTIF(orders!$A:$A,O2376)&gt;0,"Yes","NO ORDER"),"")</f>
        <v>Yes</v>
      </c>
    </row>
    <row r="2377" spans="1:17" ht="15" customHeight="1" x14ac:dyDescent="0.3">
      <c r="A2377" s="23" t="s">
        <v>15183</v>
      </c>
      <c r="B2377" s="23"/>
      <c r="C2377" s="23" t="s">
        <v>7463</v>
      </c>
      <c r="D2377" s="23" t="str">
        <f t="shared" si="111"/>
        <v>ORD26003482</v>
      </c>
      <c r="E2377" s="38">
        <v>46278</v>
      </c>
      <c r="F2377" s="23" t="s">
        <v>12410</v>
      </c>
      <c r="G2377" s="23" t="s">
        <v>75</v>
      </c>
      <c r="H2377" s="24">
        <v>299</v>
      </c>
      <c r="I2377" s="24">
        <v>0</v>
      </c>
      <c r="J2377" s="24">
        <v>0</v>
      </c>
      <c r="K2377" s="24">
        <v>299</v>
      </c>
      <c r="L2377" s="38">
        <v>46280</v>
      </c>
      <c r="M2377" s="23" t="s">
        <v>202</v>
      </c>
      <c r="N2377" s="23" t="str">
        <f>IF(COUNTIF($A$2:A2377,A2377)&gt;1,"DUP","OK")</f>
        <v>OK</v>
      </c>
      <c r="O2377" s="23" t="str">
        <f t="shared" si="112"/>
        <v>ORD26003482</v>
      </c>
      <c r="P2377" s="23" t="str">
        <f t="shared" si="113"/>
        <v>Sep</v>
      </c>
      <c r="Q2377" s="23" t="str">
        <f>IF(F2377="CAPTURE",IF(COUNTIF(orders!$A:$A,O2377)&gt;0,"Yes","NO ORDER"),"")</f>
        <v>Yes</v>
      </c>
    </row>
    <row r="2378" spans="1:17" ht="15" customHeight="1" x14ac:dyDescent="0.3">
      <c r="A2378" s="23" t="s">
        <v>15184</v>
      </c>
      <c r="B2378" s="23"/>
      <c r="C2378" s="23" t="s">
        <v>7504</v>
      </c>
      <c r="D2378" s="23" t="str">
        <f t="shared" si="111"/>
        <v>ORD26003503</v>
      </c>
      <c r="E2378" s="38">
        <v>46278</v>
      </c>
      <c r="F2378" s="23" t="s">
        <v>12410</v>
      </c>
      <c r="G2378" s="23" t="s">
        <v>75</v>
      </c>
      <c r="H2378" s="24">
        <v>499</v>
      </c>
      <c r="I2378" s="24">
        <v>0</v>
      </c>
      <c r="J2378" s="24">
        <v>0</v>
      </c>
      <c r="K2378" s="24">
        <v>499</v>
      </c>
      <c r="L2378" s="38">
        <v>46280</v>
      </c>
      <c r="M2378" s="23" t="s">
        <v>202</v>
      </c>
      <c r="N2378" s="23" t="str">
        <f>IF(COUNTIF($A$2:A2378,A2378)&gt;1,"DUP","OK")</f>
        <v>OK</v>
      </c>
      <c r="O2378" s="23" t="str">
        <f t="shared" si="112"/>
        <v>ORD26003503</v>
      </c>
      <c r="P2378" s="23" t="str">
        <f t="shared" si="113"/>
        <v>Sep</v>
      </c>
      <c r="Q2378" s="23" t="str">
        <f>IF(F2378="CAPTURE",IF(COUNTIF(orders!$A:$A,O2378)&gt;0,"Yes","NO ORDER"),"")</f>
        <v>Yes</v>
      </c>
    </row>
    <row r="2379" spans="1:17" ht="15" customHeight="1" x14ac:dyDescent="0.3">
      <c r="A2379" s="23" t="s">
        <v>15185</v>
      </c>
      <c r="B2379" s="23"/>
      <c r="C2379" s="23" t="s">
        <v>7506</v>
      </c>
      <c r="D2379" s="23" t="str">
        <f t="shared" si="111"/>
        <v>ORD26003504</v>
      </c>
      <c r="E2379" s="38">
        <v>46278</v>
      </c>
      <c r="F2379" s="23" t="s">
        <v>12410</v>
      </c>
      <c r="G2379" s="23" t="s">
        <v>75</v>
      </c>
      <c r="H2379" s="24">
        <v>1499</v>
      </c>
      <c r="I2379" s="24">
        <v>0</v>
      </c>
      <c r="J2379" s="24">
        <v>0</v>
      </c>
      <c r="K2379" s="24">
        <v>1499</v>
      </c>
      <c r="L2379" s="38">
        <v>46280</v>
      </c>
      <c r="M2379" s="23" t="s">
        <v>202</v>
      </c>
      <c r="N2379" s="23" t="str">
        <f>IF(COUNTIF($A$2:A2379,A2379)&gt;1,"DUP","OK")</f>
        <v>OK</v>
      </c>
      <c r="O2379" s="23" t="str">
        <f t="shared" si="112"/>
        <v>ORD26003504</v>
      </c>
      <c r="P2379" s="23" t="str">
        <f t="shared" si="113"/>
        <v>Sep</v>
      </c>
      <c r="Q2379" s="23" t="str">
        <f>IF(F2379="CAPTURE",IF(COUNTIF(orders!$A:$A,O2379)&gt;0,"Yes","NO ORDER"),"")</f>
        <v>Yes</v>
      </c>
    </row>
    <row r="2380" spans="1:17" ht="15" customHeight="1" x14ac:dyDescent="0.3">
      <c r="A2380" s="23" t="s">
        <v>15186</v>
      </c>
      <c r="B2380" s="23"/>
      <c r="C2380" s="23" t="s">
        <v>7615</v>
      </c>
      <c r="D2380" s="23" t="str">
        <f t="shared" si="111"/>
        <v>ORD26003560</v>
      </c>
      <c r="E2380" s="38">
        <v>46278</v>
      </c>
      <c r="F2380" s="23" t="s">
        <v>12410</v>
      </c>
      <c r="G2380" s="23" t="s">
        <v>77</v>
      </c>
      <c r="H2380" s="24">
        <v>499</v>
      </c>
      <c r="I2380" s="24">
        <v>9.48</v>
      </c>
      <c r="J2380" s="24">
        <v>1.71</v>
      </c>
      <c r="K2380" s="24">
        <v>487.81</v>
      </c>
      <c r="L2380" s="38">
        <v>46280</v>
      </c>
      <c r="M2380" s="23" t="s">
        <v>202</v>
      </c>
      <c r="N2380" s="23" t="str">
        <f>IF(COUNTIF($A$2:A2380,A2380)&gt;1,"DUP","OK")</f>
        <v>OK</v>
      </c>
      <c r="O2380" s="23" t="str">
        <f t="shared" si="112"/>
        <v>ORD26003560</v>
      </c>
      <c r="P2380" s="23" t="str">
        <f t="shared" si="113"/>
        <v>Sep</v>
      </c>
      <c r="Q2380" s="23" t="str">
        <f>IF(F2380="CAPTURE",IF(COUNTIF(orders!$A:$A,O2380)&gt;0,"Yes","NO ORDER"),"")</f>
        <v>Yes</v>
      </c>
    </row>
    <row r="2381" spans="1:17" ht="15" customHeight="1" x14ac:dyDescent="0.3">
      <c r="A2381" s="23" t="s">
        <v>15187</v>
      </c>
      <c r="B2381" s="23"/>
      <c r="C2381" s="23" t="s">
        <v>7656</v>
      </c>
      <c r="D2381" s="23" t="str">
        <f t="shared" si="111"/>
        <v>ORD26003580</v>
      </c>
      <c r="E2381" s="38">
        <v>46278</v>
      </c>
      <c r="F2381" s="23" t="s">
        <v>12410</v>
      </c>
      <c r="G2381" s="23" t="s">
        <v>79</v>
      </c>
      <c r="H2381" s="24">
        <v>10997</v>
      </c>
      <c r="I2381" s="24">
        <v>175.95</v>
      </c>
      <c r="J2381" s="24">
        <v>31.67</v>
      </c>
      <c r="K2381" s="24">
        <v>10789.38</v>
      </c>
      <c r="L2381" s="38">
        <v>46280</v>
      </c>
      <c r="M2381" s="23" t="s">
        <v>202</v>
      </c>
      <c r="N2381" s="23" t="str">
        <f>IF(COUNTIF($A$2:A2381,A2381)&gt;1,"DUP","OK")</f>
        <v>OK</v>
      </c>
      <c r="O2381" s="23" t="str">
        <f t="shared" si="112"/>
        <v>ORD26003580</v>
      </c>
      <c r="P2381" s="23" t="str">
        <f t="shared" si="113"/>
        <v>Sep</v>
      </c>
      <c r="Q2381" s="23" t="str">
        <f>IF(F2381="CAPTURE",IF(COUNTIF(orders!$A:$A,O2381)&gt;0,"Yes","NO ORDER"),"")</f>
        <v>Yes</v>
      </c>
    </row>
    <row r="2382" spans="1:17" ht="15" customHeight="1" x14ac:dyDescent="0.3">
      <c r="A2382" s="23" t="s">
        <v>15188</v>
      </c>
      <c r="B2382" s="23"/>
      <c r="C2382" s="23" t="s">
        <v>7664</v>
      </c>
      <c r="D2382" s="23" t="str">
        <f t="shared" si="111"/>
        <v>ORD26003584</v>
      </c>
      <c r="E2382" s="38">
        <v>46278</v>
      </c>
      <c r="F2382" s="23" t="s">
        <v>12410</v>
      </c>
      <c r="G2382" s="23" t="s">
        <v>75</v>
      </c>
      <c r="H2382" s="24">
        <v>7999</v>
      </c>
      <c r="I2382" s="24">
        <v>24</v>
      </c>
      <c r="J2382" s="24">
        <v>4.32</v>
      </c>
      <c r="K2382" s="24">
        <v>7970.68</v>
      </c>
      <c r="L2382" s="38">
        <v>46280</v>
      </c>
      <c r="M2382" s="23" t="s">
        <v>202</v>
      </c>
      <c r="N2382" s="23" t="str">
        <f>IF(COUNTIF($A$2:A2382,A2382)&gt;1,"DUP","OK")</f>
        <v>OK</v>
      </c>
      <c r="O2382" s="23" t="str">
        <f t="shared" si="112"/>
        <v>ORD26003584</v>
      </c>
      <c r="P2382" s="23" t="str">
        <f t="shared" si="113"/>
        <v>Sep</v>
      </c>
      <c r="Q2382" s="23" t="str">
        <f>IF(F2382="CAPTURE",IF(COUNTIF(orders!$A:$A,O2382)&gt;0,"Yes","NO ORDER"),"")</f>
        <v>Yes</v>
      </c>
    </row>
    <row r="2383" spans="1:17" ht="15" customHeight="1" x14ac:dyDescent="0.3">
      <c r="A2383" s="23" t="s">
        <v>15189</v>
      </c>
      <c r="B2383" s="23"/>
      <c r="C2383" s="23" t="s">
        <v>7668</v>
      </c>
      <c r="D2383" s="23" t="str">
        <f t="shared" si="111"/>
        <v>ORD26003586</v>
      </c>
      <c r="E2383" s="38">
        <v>46278</v>
      </c>
      <c r="F2383" s="23" t="s">
        <v>12410</v>
      </c>
      <c r="G2383" s="23" t="s">
        <v>81</v>
      </c>
      <c r="H2383" s="24">
        <v>1098</v>
      </c>
      <c r="I2383" s="24">
        <v>16.47</v>
      </c>
      <c r="J2383" s="24">
        <v>2.96</v>
      </c>
      <c r="K2383" s="24">
        <v>1078.57</v>
      </c>
      <c r="L2383" s="38">
        <v>46280</v>
      </c>
      <c r="M2383" s="23" t="s">
        <v>202</v>
      </c>
      <c r="N2383" s="23" t="str">
        <f>IF(COUNTIF($A$2:A2383,A2383)&gt;1,"DUP","OK")</f>
        <v>OK</v>
      </c>
      <c r="O2383" s="23" t="str">
        <f t="shared" si="112"/>
        <v>ORD26003586</v>
      </c>
      <c r="P2383" s="23" t="str">
        <f t="shared" si="113"/>
        <v>Sep</v>
      </c>
      <c r="Q2383" s="23" t="str">
        <f>IF(F2383="CAPTURE",IF(COUNTIF(orders!$A:$A,O2383)&gt;0,"Yes","NO ORDER"),"")</f>
        <v>Yes</v>
      </c>
    </row>
    <row r="2384" spans="1:17" ht="15" customHeight="1" x14ac:dyDescent="0.3">
      <c r="A2384" s="23" t="s">
        <v>15190</v>
      </c>
      <c r="B2384" s="23"/>
      <c r="C2384" s="23" t="s">
        <v>15191</v>
      </c>
      <c r="D2384" s="23" t="str">
        <f t="shared" si="111"/>
        <v>ORD26003597</v>
      </c>
      <c r="E2384" s="38">
        <v>46278</v>
      </c>
      <c r="F2384" s="23" t="s">
        <v>12410</v>
      </c>
      <c r="G2384" s="23" t="s">
        <v>77</v>
      </c>
      <c r="H2384" s="24">
        <v>7999</v>
      </c>
      <c r="I2384" s="24">
        <v>135.97999999999999</v>
      </c>
      <c r="J2384" s="24">
        <v>24.48</v>
      </c>
      <c r="K2384" s="24">
        <v>7838.54</v>
      </c>
      <c r="L2384" s="38">
        <v>46280</v>
      </c>
      <c r="M2384" s="23" t="s">
        <v>202</v>
      </c>
      <c r="N2384" s="23" t="str">
        <f>IF(COUNTIF($A$2:A2384,A2384)&gt;1,"DUP","OK")</f>
        <v>OK</v>
      </c>
      <c r="O2384" s="23" t="str">
        <f t="shared" si="112"/>
        <v>ORD26003597</v>
      </c>
      <c r="P2384" s="23" t="str">
        <f t="shared" si="113"/>
        <v>Sep</v>
      </c>
      <c r="Q2384" s="23" t="str">
        <f>IF(F2384="CAPTURE",IF(COUNTIF(orders!$A:$A,O2384)&gt;0,"Yes","NO ORDER"),"")</f>
        <v>Yes</v>
      </c>
    </row>
    <row r="2385" spans="1:17" ht="15" customHeight="1" x14ac:dyDescent="0.3">
      <c r="A2385" s="23" t="s">
        <v>15192</v>
      </c>
      <c r="B2385" s="23"/>
      <c r="C2385" s="23" t="s">
        <v>15193</v>
      </c>
      <c r="D2385" s="23" t="str">
        <f t="shared" si="111"/>
        <v>ORD26003667</v>
      </c>
      <c r="E2385" s="38">
        <v>46278</v>
      </c>
      <c r="F2385" s="23" t="s">
        <v>12410</v>
      </c>
      <c r="G2385" s="23" t="s">
        <v>77</v>
      </c>
      <c r="H2385" s="24">
        <v>499</v>
      </c>
      <c r="I2385" s="24">
        <v>9.48</v>
      </c>
      <c r="J2385" s="24">
        <v>1.71</v>
      </c>
      <c r="K2385" s="24">
        <v>487.81</v>
      </c>
      <c r="L2385" s="38">
        <v>46280</v>
      </c>
      <c r="M2385" s="23" t="s">
        <v>202</v>
      </c>
      <c r="N2385" s="23" t="str">
        <f>IF(COUNTIF($A$2:A2385,A2385)&gt;1,"DUP","OK")</f>
        <v>OK</v>
      </c>
      <c r="O2385" s="23" t="str">
        <f t="shared" si="112"/>
        <v>ORD26003667</v>
      </c>
      <c r="P2385" s="23" t="str">
        <f t="shared" si="113"/>
        <v>Sep</v>
      </c>
      <c r="Q2385" s="23" t="str">
        <f>IF(F2385="CAPTURE",IF(COUNTIF(orders!$A:$A,O2385)&gt;0,"Yes","NO ORDER"),"")</f>
        <v>Yes</v>
      </c>
    </row>
    <row r="2386" spans="1:17" ht="15" customHeight="1" x14ac:dyDescent="0.3">
      <c r="A2386" s="23" t="s">
        <v>15194</v>
      </c>
      <c r="B2386" s="23"/>
      <c r="C2386" s="23" t="s">
        <v>7876</v>
      </c>
      <c r="D2386" s="23" t="str">
        <f t="shared" si="111"/>
        <v>ORD26003694</v>
      </c>
      <c r="E2386" s="38">
        <v>46278</v>
      </c>
      <c r="F2386" s="23" t="s">
        <v>12410</v>
      </c>
      <c r="G2386" s="23" t="s">
        <v>81</v>
      </c>
      <c r="H2386" s="24">
        <v>2499</v>
      </c>
      <c r="I2386" s="24">
        <v>29.99</v>
      </c>
      <c r="J2386" s="24">
        <v>5.4</v>
      </c>
      <c r="K2386" s="24">
        <v>2463.61</v>
      </c>
      <c r="L2386" s="38">
        <v>46280</v>
      </c>
      <c r="M2386" s="23" t="s">
        <v>202</v>
      </c>
      <c r="N2386" s="23" t="str">
        <f>IF(COUNTIF($A$2:A2386,A2386)&gt;1,"DUP","OK")</f>
        <v>OK</v>
      </c>
      <c r="O2386" s="23" t="str">
        <f t="shared" si="112"/>
        <v>ORD26003694</v>
      </c>
      <c r="P2386" s="23" t="str">
        <f t="shared" si="113"/>
        <v>Sep</v>
      </c>
      <c r="Q2386" s="23" t="str">
        <f>IF(F2386="CAPTURE",IF(COUNTIF(orders!$A:$A,O2386)&gt;0,"Yes","NO ORDER"),"")</f>
        <v>Yes</v>
      </c>
    </row>
    <row r="2387" spans="1:17" ht="15" customHeight="1" x14ac:dyDescent="0.3">
      <c r="A2387" s="23" t="s">
        <v>15195</v>
      </c>
      <c r="B2387" s="23"/>
      <c r="C2387" s="23" t="s">
        <v>7911</v>
      </c>
      <c r="D2387" s="23" t="str">
        <f t="shared" si="111"/>
        <v>ORD26003711</v>
      </c>
      <c r="E2387" s="38">
        <v>46278</v>
      </c>
      <c r="F2387" s="23" t="s">
        <v>12410</v>
      </c>
      <c r="G2387" s="23" t="s">
        <v>81</v>
      </c>
      <c r="H2387" s="24">
        <v>1398</v>
      </c>
      <c r="I2387" s="24">
        <v>20.97</v>
      </c>
      <c r="J2387" s="24">
        <v>3.77</v>
      </c>
      <c r="K2387" s="24">
        <v>1373.26</v>
      </c>
      <c r="L2387" s="38">
        <v>46280</v>
      </c>
      <c r="M2387" s="23" t="s">
        <v>202</v>
      </c>
      <c r="N2387" s="23" t="str">
        <f>IF(COUNTIF($A$2:A2387,A2387)&gt;1,"DUP","OK")</f>
        <v>OK</v>
      </c>
      <c r="O2387" s="23" t="str">
        <f t="shared" si="112"/>
        <v>ORD26003711</v>
      </c>
      <c r="P2387" s="23" t="str">
        <f t="shared" si="113"/>
        <v>Sep</v>
      </c>
      <c r="Q2387" s="23" t="str">
        <f>IF(F2387="CAPTURE",IF(COUNTIF(orders!$A:$A,O2387)&gt;0,"Yes","NO ORDER"),"")</f>
        <v>Yes</v>
      </c>
    </row>
    <row r="2388" spans="1:17" ht="15" customHeight="1" x14ac:dyDescent="0.3">
      <c r="A2388" s="23" t="s">
        <v>15196</v>
      </c>
      <c r="B2388" s="23"/>
      <c r="C2388" s="23" t="s">
        <v>7956</v>
      </c>
      <c r="D2388" s="23" t="str">
        <f t="shared" si="111"/>
        <v>ORD26003734</v>
      </c>
      <c r="E2388" s="38">
        <v>46278</v>
      </c>
      <c r="F2388" s="23" t="s">
        <v>12410</v>
      </c>
      <c r="G2388" s="23" t="s">
        <v>79</v>
      </c>
      <c r="H2388" s="24">
        <v>10847</v>
      </c>
      <c r="I2388" s="24">
        <v>173.55</v>
      </c>
      <c r="J2388" s="24">
        <v>31.24</v>
      </c>
      <c r="K2388" s="24">
        <v>10642.21</v>
      </c>
      <c r="L2388" s="38">
        <v>46280</v>
      </c>
      <c r="M2388" s="23" t="s">
        <v>202</v>
      </c>
      <c r="N2388" s="23" t="str">
        <f>IF(COUNTIF($A$2:A2388,A2388)&gt;1,"DUP","OK")</f>
        <v>OK</v>
      </c>
      <c r="O2388" s="23" t="str">
        <f t="shared" si="112"/>
        <v>ORD26003734</v>
      </c>
      <c r="P2388" s="23" t="str">
        <f t="shared" si="113"/>
        <v>Sep</v>
      </c>
      <c r="Q2388" s="23" t="str">
        <f>IF(F2388="CAPTURE",IF(COUNTIF(orders!$A:$A,O2388)&gt;0,"Yes","NO ORDER"),"")</f>
        <v>Yes</v>
      </c>
    </row>
    <row r="2389" spans="1:17" ht="15" customHeight="1" x14ac:dyDescent="0.3">
      <c r="A2389" s="23" t="s">
        <v>15197</v>
      </c>
      <c r="B2389" s="23"/>
      <c r="C2389" s="23" t="s">
        <v>7994</v>
      </c>
      <c r="D2389" s="23" t="str">
        <f t="shared" si="111"/>
        <v>ORD26003753</v>
      </c>
      <c r="E2389" s="38">
        <v>46278</v>
      </c>
      <c r="F2389" s="23" t="s">
        <v>12410</v>
      </c>
      <c r="G2389" s="23" t="s">
        <v>79</v>
      </c>
      <c r="H2389" s="24">
        <v>7999</v>
      </c>
      <c r="I2389" s="24">
        <v>127.98</v>
      </c>
      <c r="J2389" s="24">
        <v>23.04</v>
      </c>
      <c r="K2389" s="24">
        <v>7847.98</v>
      </c>
      <c r="L2389" s="38">
        <v>46280</v>
      </c>
      <c r="M2389" s="23" t="s">
        <v>202</v>
      </c>
      <c r="N2389" s="23" t="str">
        <f>IF(COUNTIF($A$2:A2389,A2389)&gt;1,"DUP","OK")</f>
        <v>OK</v>
      </c>
      <c r="O2389" s="23" t="str">
        <f t="shared" si="112"/>
        <v>ORD26003753</v>
      </c>
      <c r="P2389" s="23" t="str">
        <f t="shared" si="113"/>
        <v>Sep</v>
      </c>
      <c r="Q2389" s="23" t="str">
        <f>IF(F2389="CAPTURE",IF(COUNTIF(orders!$A:$A,O2389)&gt;0,"Yes","NO ORDER"),"")</f>
        <v>Yes</v>
      </c>
    </row>
    <row r="2390" spans="1:17" ht="15" customHeight="1" x14ac:dyDescent="0.3">
      <c r="A2390" s="23" t="s">
        <v>15198</v>
      </c>
      <c r="B2390" s="23"/>
      <c r="C2390" s="23" t="s">
        <v>8004</v>
      </c>
      <c r="D2390" s="23" t="str">
        <f t="shared" si="111"/>
        <v>ORD26003758</v>
      </c>
      <c r="E2390" s="38">
        <v>46278</v>
      </c>
      <c r="F2390" s="23" t="s">
        <v>12410</v>
      </c>
      <c r="G2390" s="23" t="s">
        <v>75</v>
      </c>
      <c r="H2390" s="24">
        <v>349</v>
      </c>
      <c r="I2390" s="24">
        <v>0</v>
      </c>
      <c r="J2390" s="24">
        <v>0</v>
      </c>
      <c r="K2390" s="24">
        <v>349</v>
      </c>
      <c r="L2390" s="38">
        <v>46280</v>
      </c>
      <c r="M2390" s="23" t="s">
        <v>202</v>
      </c>
      <c r="N2390" s="23" t="str">
        <f>IF(COUNTIF($A$2:A2390,A2390)&gt;1,"DUP","OK")</f>
        <v>OK</v>
      </c>
      <c r="O2390" s="23" t="str">
        <f t="shared" si="112"/>
        <v>ORD26003758</v>
      </c>
      <c r="P2390" s="23" t="str">
        <f t="shared" si="113"/>
        <v>Sep</v>
      </c>
      <c r="Q2390" s="23" t="str">
        <f>IF(F2390="CAPTURE",IF(COUNTIF(orders!$A:$A,O2390)&gt;0,"Yes","NO ORDER"),"")</f>
        <v>Yes</v>
      </c>
    </row>
    <row r="2391" spans="1:17" ht="15" customHeight="1" x14ac:dyDescent="0.3">
      <c r="A2391" s="23" t="s">
        <v>15199</v>
      </c>
      <c r="B2391" s="23"/>
      <c r="C2391" s="23" t="s">
        <v>15200</v>
      </c>
      <c r="D2391" s="23" t="str">
        <f t="shared" si="111"/>
        <v>ORD26003814</v>
      </c>
      <c r="E2391" s="38">
        <v>46278</v>
      </c>
      <c r="F2391" s="23" t="s">
        <v>12410</v>
      </c>
      <c r="G2391" s="23" t="s">
        <v>75</v>
      </c>
      <c r="H2391" s="24">
        <v>299</v>
      </c>
      <c r="I2391" s="24">
        <v>0</v>
      </c>
      <c r="J2391" s="24">
        <v>0</v>
      </c>
      <c r="K2391" s="24">
        <v>299</v>
      </c>
      <c r="L2391" s="38">
        <v>46280</v>
      </c>
      <c r="M2391" s="23" t="s">
        <v>202</v>
      </c>
      <c r="N2391" s="23" t="str">
        <f>IF(COUNTIF($A$2:A2391,A2391)&gt;1,"DUP","OK")</f>
        <v>OK</v>
      </c>
      <c r="O2391" s="23" t="str">
        <f t="shared" si="112"/>
        <v>ORD26003814</v>
      </c>
      <c r="P2391" s="23" t="str">
        <f t="shared" si="113"/>
        <v>Sep</v>
      </c>
      <c r="Q2391" s="23" t="str">
        <f>IF(F2391="CAPTURE",IF(COUNTIF(orders!$A:$A,O2391)&gt;0,"Yes","NO ORDER"),"")</f>
        <v>Yes</v>
      </c>
    </row>
    <row r="2392" spans="1:17" ht="15" customHeight="1" x14ac:dyDescent="0.3">
      <c r="A2392" s="23" t="s">
        <v>15201</v>
      </c>
      <c r="B2392" s="23"/>
      <c r="C2392" s="23" t="s">
        <v>8122</v>
      </c>
      <c r="D2392" s="23" t="str">
        <f t="shared" si="111"/>
        <v>ORD26003817</v>
      </c>
      <c r="E2392" s="38">
        <v>46278</v>
      </c>
      <c r="F2392" s="23" t="s">
        <v>12410</v>
      </c>
      <c r="G2392" s="23" t="s">
        <v>75</v>
      </c>
      <c r="H2392" s="24">
        <v>999</v>
      </c>
      <c r="I2392" s="24">
        <v>0</v>
      </c>
      <c r="J2392" s="24">
        <v>0</v>
      </c>
      <c r="K2392" s="24">
        <v>999</v>
      </c>
      <c r="L2392" s="38">
        <v>46280</v>
      </c>
      <c r="M2392" s="23" t="s">
        <v>202</v>
      </c>
      <c r="N2392" s="23" t="str">
        <f>IF(COUNTIF($A$2:A2392,A2392)&gt;1,"DUP","OK")</f>
        <v>OK</v>
      </c>
      <c r="O2392" s="23" t="str">
        <f t="shared" si="112"/>
        <v>ORD26003817</v>
      </c>
      <c r="P2392" s="23" t="str">
        <f t="shared" si="113"/>
        <v>Sep</v>
      </c>
      <c r="Q2392" s="23" t="str">
        <f>IF(F2392="CAPTURE",IF(COUNTIF(orders!$A:$A,O2392)&gt;0,"Yes","NO ORDER"),"")</f>
        <v>Yes</v>
      </c>
    </row>
    <row r="2393" spans="1:17" ht="15" customHeight="1" x14ac:dyDescent="0.3">
      <c r="A2393" s="23" t="s">
        <v>15202</v>
      </c>
      <c r="B2393" s="23"/>
      <c r="C2393" s="23" t="s">
        <v>8126</v>
      </c>
      <c r="D2393" s="23" t="str">
        <f t="shared" si="111"/>
        <v>ORD26003819</v>
      </c>
      <c r="E2393" s="38">
        <v>46278</v>
      </c>
      <c r="F2393" s="23" t="s">
        <v>12410</v>
      </c>
      <c r="G2393" s="23" t="s">
        <v>81</v>
      </c>
      <c r="H2393" s="24">
        <v>2498</v>
      </c>
      <c r="I2393" s="24">
        <v>29.98</v>
      </c>
      <c r="J2393" s="24">
        <v>5.4</v>
      </c>
      <c r="K2393" s="24">
        <v>2462.62</v>
      </c>
      <c r="L2393" s="38">
        <v>46280</v>
      </c>
      <c r="M2393" s="23" t="s">
        <v>202</v>
      </c>
      <c r="N2393" s="23" t="str">
        <f>IF(COUNTIF($A$2:A2393,A2393)&gt;1,"DUP","OK")</f>
        <v>OK</v>
      </c>
      <c r="O2393" s="23" t="str">
        <f t="shared" si="112"/>
        <v>ORD26003819</v>
      </c>
      <c r="P2393" s="23" t="str">
        <f t="shared" si="113"/>
        <v>Sep</v>
      </c>
      <c r="Q2393" s="23" t="str">
        <f>IF(F2393="CAPTURE",IF(COUNTIF(orders!$A:$A,O2393)&gt;0,"Yes","NO ORDER"),"")</f>
        <v>Yes</v>
      </c>
    </row>
    <row r="2394" spans="1:17" ht="15" customHeight="1" x14ac:dyDescent="0.3">
      <c r="A2394" s="23" t="s">
        <v>15203</v>
      </c>
      <c r="B2394" s="23"/>
      <c r="C2394" s="23" t="s">
        <v>8209</v>
      </c>
      <c r="D2394" s="23" t="str">
        <f t="shared" si="111"/>
        <v>ORD26003861</v>
      </c>
      <c r="E2394" s="38">
        <v>46278</v>
      </c>
      <c r="F2394" s="23" t="s">
        <v>12410</v>
      </c>
      <c r="G2394" s="23" t="s">
        <v>75</v>
      </c>
      <c r="H2394" s="24">
        <v>499</v>
      </c>
      <c r="I2394" s="24">
        <v>0</v>
      </c>
      <c r="J2394" s="24">
        <v>0</v>
      </c>
      <c r="K2394" s="24">
        <v>499</v>
      </c>
      <c r="L2394" s="38">
        <v>46280</v>
      </c>
      <c r="M2394" s="23" t="s">
        <v>202</v>
      </c>
      <c r="N2394" s="23" t="str">
        <f>IF(COUNTIF($A$2:A2394,A2394)&gt;1,"DUP","OK")</f>
        <v>OK</v>
      </c>
      <c r="O2394" s="23" t="str">
        <f t="shared" si="112"/>
        <v>ORD26003861</v>
      </c>
      <c r="P2394" s="23" t="str">
        <f t="shared" si="113"/>
        <v>Sep</v>
      </c>
      <c r="Q2394" s="23" t="str">
        <f>IF(F2394="CAPTURE",IF(COUNTIF(orders!$A:$A,O2394)&gt;0,"Yes","NO ORDER"),"")</f>
        <v>Yes</v>
      </c>
    </row>
    <row r="2395" spans="1:17" ht="15" customHeight="1" x14ac:dyDescent="0.3">
      <c r="A2395" s="23" t="s">
        <v>15204</v>
      </c>
      <c r="B2395" s="23"/>
      <c r="C2395" s="23" t="s">
        <v>8228</v>
      </c>
      <c r="D2395" s="23" t="str">
        <f t="shared" si="111"/>
        <v>ORD26003871</v>
      </c>
      <c r="E2395" s="38">
        <v>46278</v>
      </c>
      <c r="F2395" s="23" t="s">
        <v>12410</v>
      </c>
      <c r="G2395" s="23" t="s">
        <v>75</v>
      </c>
      <c r="H2395" s="24">
        <v>6797</v>
      </c>
      <c r="I2395" s="24">
        <v>20.39</v>
      </c>
      <c r="J2395" s="24">
        <v>3.67</v>
      </c>
      <c r="K2395" s="24">
        <v>6772.94</v>
      </c>
      <c r="L2395" s="38">
        <v>46280</v>
      </c>
      <c r="M2395" s="23" t="s">
        <v>202</v>
      </c>
      <c r="N2395" s="23" t="str">
        <f>IF(COUNTIF($A$2:A2395,A2395)&gt;1,"DUP","OK")</f>
        <v>OK</v>
      </c>
      <c r="O2395" s="23" t="str">
        <f t="shared" si="112"/>
        <v>ORD26003871</v>
      </c>
      <c r="P2395" s="23" t="str">
        <f t="shared" si="113"/>
        <v>Sep</v>
      </c>
      <c r="Q2395" s="23" t="str">
        <f>IF(F2395="CAPTURE",IF(COUNTIF(orders!$A:$A,O2395)&gt;0,"Yes","NO ORDER"),"")</f>
        <v>Yes</v>
      </c>
    </row>
    <row r="2396" spans="1:17" ht="15" customHeight="1" x14ac:dyDescent="0.3">
      <c r="A2396" s="23" t="s">
        <v>15205</v>
      </c>
      <c r="B2396" s="23"/>
      <c r="C2396" s="23" t="s">
        <v>8280</v>
      </c>
      <c r="D2396" s="23" t="str">
        <f t="shared" si="111"/>
        <v>ORD26003896</v>
      </c>
      <c r="E2396" s="38">
        <v>46278</v>
      </c>
      <c r="F2396" s="23" t="s">
        <v>12410</v>
      </c>
      <c r="G2396" s="23" t="s">
        <v>79</v>
      </c>
      <c r="H2396" s="24">
        <v>6297</v>
      </c>
      <c r="I2396" s="24">
        <v>100.75</v>
      </c>
      <c r="J2396" s="24">
        <v>18.14</v>
      </c>
      <c r="K2396" s="24">
        <v>6178.11</v>
      </c>
      <c r="L2396" s="38">
        <v>46280</v>
      </c>
      <c r="M2396" s="23" t="s">
        <v>202</v>
      </c>
      <c r="N2396" s="23" t="str">
        <f>IF(COUNTIF($A$2:A2396,A2396)&gt;1,"DUP","OK")</f>
        <v>OK</v>
      </c>
      <c r="O2396" s="23" t="str">
        <f t="shared" si="112"/>
        <v>ORD26003896</v>
      </c>
      <c r="P2396" s="23" t="str">
        <f t="shared" si="113"/>
        <v>Sep</v>
      </c>
      <c r="Q2396" s="23" t="str">
        <f>IF(F2396="CAPTURE",IF(COUNTIF(orders!$A:$A,O2396)&gt;0,"Yes","NO ORDER"),"")</f>
        <v>Yes</v>
      </c>
    </row>
    <row r="2397" spans="1:17" ht="15" customHeight="1" x14ac:dyDescent="0.3">
      <c r="A2397" s="23" t="s">
        <v>15206</v>
      </c>
      <c r="B2397" s="23"/>
      <c r="C2397" s="23" t="s">
        <v>8284</v>
      </c>
      <c r="D2397" s="23" t="str">
        <f t="shared" si="111"/>
        <v>ORD26003898</v>
      </c>
      <c r="E2397" s="38">
        <v>46278</v>
      </c>
      <c r="F2397" s="23" t="s">
        <v>12410</v>
      </c>
      <c r="G2397" s="23" t="s">
        <v>75</v>
      </c>
      <c r="H2397" s="24">
        <v>2999</v>
      </c>
      <c r="I2397" s="24">
        <v>9</v>
      </c>
      <c r="J2397" s="24">
        <v>1.62</v>
      </c>
      <c r="K2397" s="24">
        <v>2988.38</v>
      </c>
      <c r="L2397" s="38">
        <v>46280</v>
      </c>
      <c r="M2397" s="23" t="s">
        <v>202</v>
      </c>
      <c r="N2397" s="23" t="str">
        <f>IF(COUNTIF($A$2:A2397,A2397)&gt;1,"DUP","OK")</f>
        <v>OK</v>
      </c>
      <c r="O2397" s="23" t="str">
        <f t="shared" si="112"/>
        <v>ORD26003898</v>
      </c>
      <c r="P2397" s="23" t="str">
        <f t="shared" si="113"/>
        <v>Sep</v>
      </c>
      <c r="Q2397" s="23" t="str">
        <f>IF(F2397="CAPTURE",IF(COUNTIF(orders!$A:$A,O2397)&gt;0,"Yes","NO ORDER"),"")</f>
        <v>Yes</v>
      </c>
    </row>
    <row r="2398" spans="1:17" ht="15" customHeight="1" x14ac:dyDescent="0.3">
      <c r="A2398" s="23" t="s">
        <v>15207</v>
      </c>
      <c r="B2398" s="23"/>
      <c r="C2398" s="23" t="s">
        <v>8307</v>
      </c>
      <c r="D2398" s="23" t="str">
        <f t="shared" si="111"/>
        <v>ORD26003910</v>
      </c>
      <c r="E2398" s="38">
        <v>46278</v>
      </c>
      <c r="F2398" s="23" t="s">
        <v>12410</v>
      </c>
      <c r="G2398" s="23" t="s">
        <v>79</v>
      </c>
      <c r="H2398" s="24">
        <v>349</v>
      </c>
      <c r="I2398" s="24">
        <v>6.28</v>
      </c>
      <c r="J2398" s="24">
        <v>1.1299999999999999</v>
      </c>
      <c r="K2398" s="24">
        <v>341.59</v>
      </c>
      <c r="L2398" s="38">
        <v>46280</v>
      </c>
      <c r="M2398" s="23" t="s">
        <v>202</v>
      </c>
      <c r="N2398" s="23" t="str">
        <f>IF(COUNTIF($A$2:A2398,A2398)&gt;1,"DUP","OK")</f>
        <v>OK</v>
      </c>
      <c r="O2398" s="23" t="str">
        <f t="shared" si="112"/>
        <v>ORD26003910</v>
      </c>
      <c r="P2398" s="23" t="str">
        <f t="shared" si="113"/>
        <v>Sep</v>
      </c>
      <c r="Q2398" s="23" t="str">
        <f>IF(F2398="CAPTURE",IF(COUNTIF(orders!$A:$A,O2398)&gt;0,"Yes","NO ORDER"),"")</f>
        <v>Yes</v>
      </c>
    </row>
    <row r="2399" spans="1:17" ht="15" customHeight="1" x14ac:dyDescent="0.3">
      <c r="A2399" s="23" t="s">
        <v>15208</v>
      </c>
      <c r="B2399" s="23"/>
      <c r="C2399" s="23" t="s">
        <v>8385</v>
      </c>
      <c r="D2399" s="23" t="str">
        <f t="shared" si="111"/>
        <v>ORD26003949</v>
      </c>
      <c r="E2399" s="38">
        <v>46278</v>
      </c>
      <c r="F2399" s="23" t="s">
        <v>12410</v>
      </c>
      <c r="G2399" s="23" t="s">
        <v>75</v>
      </c>
      <c r="H2399" s="24">
        <v>7999</v>
      </c>
      <c r="I2399" s="24">
        <v>24</v>
      </c>
      <c r="J2399" s="24">
        <v>4.32</v>
      </c>
      <c r="K2399" s="24">
        <v>7970.68</v>
      </c>
      <c r="L2399" s="38">
        <v>46280</v>
      </c>
      <c r="M2399" s="23" t="s">
        <v>202</v>
      </c>
      <c r="N2399" s="23" t="str">
        <f>IF(COUNTIF($A$2:A2399,A2399)&gt;1,"DUP","OK")</f>
        <v>OK</v>
      </c>
      <c r="O2399" s="23" t="str">
        <f t="shared" si="112"/>
        <v>ORD26003949</v>
      </c>
      <c r="P2399" s="23" t="str">
        <f t="shared" si="113"/>
        <v>Sep</v>
      </c>
      <c r="Q2399" s="23" t="str">
        <f>IF(F2399="CAPTURE",IF(COUNTIF(orders!$A:$A,O2399)&gt;0,"Yes","NO ORDER"),"")</f>
        <v>Yes</v>
      </c>
    </row>
    <row r="2400" spans="1:17" ht="15" customHeight="1" x14ac:dyDescent="0.3">
      <c r="A2400" s="23" t="s">
        <v>15209</v>
      </c>
      <c r="B2400" s="23"/>
      <c r="C2400" s="23" t="s">
        <v>8389</v>
      </c>
      <c r="D2400" s="23" t="str">
        <f t="shared" si="111"/>
        <v>ORD26003951</v>
      </c>
      <c r="E2400" s="38">
        <v>46278</v>
      </c>
      <c r="F2400" s="23" t="s">
        <v>12410</v>
      </c>
      <c r="G2400" s="23" t="s">
        <v>81</v>
      </c>
      <c r="H2400" s="24">
        <v>4498</v>
      </c>
      <c r="I2400" s="24">
        <v>53.98</v>
      </c>
      <c r="J2400" s="24">
        <v>9.7200000000000006</v>
      </c>
      <c r="K2400" s="24">
        <v>4434.3</v>
      </c>
      <c r="L2400" s="38">
        <v>46280</v>
      </c>
      <c r="M2400" s="23" t="s">
        <v>202</v>
      </c>
      <c r="N2400" s="23" t="str">
        <f>IF(COUNTIF($A$2:A2400,A2400)&gt;1,"DUP","OK")</f>
        <v>OK</v>
      </c>
      <c r="O2400" s="23" t="str">
        <f t="shared" si="112"/>
        <v>ORD26003951</v>
      </c>
      <c r="P2400" s="23" t="str">
        <f t="shared" si="113"/>
        <v>Sep</v>
      </c>
      <c r="Q2400" s="23" t="str">
        <f>IF(F2400="CAPTURE",IF(COUNTIF(orders!$A:$A,O2400)&gt;0,"Yes","NO ORDER"),"")</f>
        <v>Yes</v>
      </c>
    </row>
    <row r="2401" spans="1:17" ht="15" customHeight="1" x14ac:dyDescent="0.3">
      <c r="A2401" s="23" t="s">
        <v>15210</v>
      </c>
      <c r="B2401" s="23"/>
      <c r="C2401" s="23" t="s">
        <v>8435</v>
      </c>
      <c r="D2401" s="23" t="str">
        <f t="shared" si="111"/>
        <v>ORD26003974</v>
      </c>
      <c r="E2401" s="38">
        <v>46278</v>
      </c>
      <c r="F2401" s="23" t="s">
        <v>12410</v>
      </c>
      <c r="G2401" s="23" t="s">
        <v>79</v>
      </c>
      <c r="H2401" s="24">
        <v>499</v>
      </c>
      <c r="I2401" s="24">
        <v>8.98</v>
      </c>
      <c r="J2401" s="24">
        <v>1.62</v>
      </c>
      <c r="K2401" s="24">
        <v>488.4</v>
      </c>
      <c r="L2401" s="38">
        <v>46280</v>
      </c>
      <c r="M2401" s="23" t="s">
        <v>202</v>
      </c>
      <c r="N2401" s="23" t="str">
        <f>IF(COUNTIF($A$2:A2401,A2401)&gt;1,"DUP","OK")</f>
        <v>OK</v>
      </c>
      <c r="O2401" s="23" t="str">
        <f t="shared" si="112"/>
        <v>ORD26003974</v>
      </c>
      <c r="P2401" s="23" t="str">
        <f t="shared" si="113"/>
        <v>Sep</v>
      </c>
      <c r="Q2401" s="23" t="str">
        <f>IF(F2401="CAPTURE",IF(COUNTIF(orders!$A:$A,O2401)&gt;0,"Yes","NO ORDER"),"")</f>
        <v>Yes</v>
      </c>
    </row>
    <row r="2402" spans="1:17" ht="15" customHeight="1" x14ac:dyDescent="0.3">
      <c r="A2402" s="23" t="s">
        <v>15211</v>
      </c>
      <c r="B2402" s="23"/>
      <c r="C2402" s="23" t="s">
        <v>8490</v>
      </c>
      <c r="D2402" s="23" t="str">
        <f t="shared" si="111"/>
        <v>ORD26004002</v>
      </c>
      <c r="E2402" s="38">
        <v>46278</v>
      </c>
      <c r="F2402" s="23" t="s">
        <v>12410</v>
      </c>
      <c r="G2402" s="23" t="s">
        <v>77</v>
      </c>
      <c r="H2402" s="24">
        <v>2598</v>
      </c>
      <c r="I2402" s="24">
        <v>44.17</v>
      </c>
      <c r="J2402" s="24">
        <v>7.95</v>
      </c>
      <c r="K2402" s="24">
        <v>2545.88</v>
      </c>
      <c r="L2402" s="38">
        <v>46280</v>
      </c>
      <c r="M2402" s="23" t="s">
        <v>202</v>
      </c>
      <c r="N2402" s="23" t="str">
        <f>IF(COUNTIF($A$2:A2402,A2402)&gt;1,"DUP","OK")</f>
        <v>OK</v>
      </c>
      <c r="O2402" s="23" t="str">
        <f t="shared" si="112"/>
        <v>ORD26004002</v>
      </c>
      <c r="P2402" s="23" t="str">
        <f t="shared" si="113"/>
        <v>Sep</v>
      </c>
      <c r="Q2402" s="23" t="str">
        <f>IF(F2402="CAPTURE",IF(COUNTIF(orders!$A:$A,O2402)&gt;0,"Yes","NO ORDER"),"")</f>
        <v>Yes</v>
      </c>
    </row>
    <row r="2403" spans="1:17" ht="15" customHeight="1" x14ac:dyDescent="0.3">
      <c r="A2403" s="23" t="s">
        <v>15212</v>
      </c>
      <c r="B2403" s="23"/>
      <c r="C2403" s="23" t="s">
        <v>8574</v>
      </c>
      <c r="D2403" s="23" t="str">
        <f t="shared" si="111"/>
        <v>ORD26004045</v>
      </c>
      <c r="E2403" s="38">
        <v>46278</v>
      </c>
      <c r="F2403" s="23" t="s">
        <v>12410</v>
      </c>
      <c r="G2403" s="23" t="s">
        <v>81</v>
      </c>
      <c r="H2403" s="24">
        <v>7999</v>
      </c>
      <c r="I2403" s="24">
        <v>95.99</v>
      </c>
      <c r="J2403" s="24">
        <v>17.28</v>
      </c>
      <c r="K2403" s="24">
        <v>7885.73</v>
      </c>
      <c r="L2403" s="38">
        <v>46280</v>
      </c>
      <c r="M2403" s="23" t="s">
        <v>202</v>
      </c>
      <c r="N2403" s="23" t="str">
        <f>IF(COUNTIF($A$2:A2403,A2403)&gt;1,"DUP","OK")</f>
        <v>OK</v>
      </c>
      <c r="O2403" s="23" t="str">
        <f t="shared" si="112"/>
        <v>ORD26004045</v>
      </c>
      <c r="P2403" s="23" t="str">
        <f t="shared" si="113"/>
        <v>Sep</v>
      </c>
      <c r="Q2403" s="23" t="str">
        <f>IF(F2403="CAPTURE",IF(COUNTIF(orders!$A:$A,O2403)&gt;0,"Yes","NO ORDER"),"")</f>
        <v>Yes</v>
      </c>
    </row>
    <row r="2404" spans="1:17" ht="15" customHeight="1" x14ac:dyDescent="0.3">
      <c r="A2404" s="23" t="s">
        <v>15213</v>
      </c>
      <c r="B2404" s="23"/>
      <c r="C2404" s="23" t="s">
        <v>15214</v>
      </c>
      <c r="D2404" s="23" t="str">
        <f t="shared" si="111"/>
        <v>ORD26004049</v>
      </c>
      <c r="E2404" s="38">
        <v>46278</v>
      </c>
      <c r="F2404" s="23" t="s">
        <v>12410</v>
      </c>
      <c r="G2404" s="23" t="s">
        <v>77</v>
      </c>
      <c r="H2404" s="24">
        <v>299</v>
      </c>
      <c r="I2404" s="24">
        <v>5.68</v>
      </c>
      <c r="J2404" s="24">
        <v>1.02</v>
      </c>
      <c r="K2404" s="24">
        <v>292.3</v>
      </c>
      <c r="L2404" s="38">
        <v>46280</v>
      </c>
      <c r="M2404" s="23" t="s">
        <v>202</v>
      </c>
      <c r="N2404" s="23" t="str">
        <f>IF(COUNTIF($A$2:A2404,A2404)&gt;1,"DUP","OK")</f>
        <v>OK</v>
      </c>
      <c r="O2404" s="23" t="str">
        <f t="shared" si="112"/>
        <v>ORD26004049</v>
      </c>
      <c r="P2404" s="23" t="str">
        <f t="shared" si="113"/>
        <v>Sep</v>
      </c>
      <c r="Q2404" s="23" t="str">
        <f>IF(F2404="CAPTURE",IF(COUNTIF(orders!$A:$A,O2404)&gt;0,"Yes","NO ORDER"),"")</f>
        <v>Yes</v>
      </c>
    </row>
    <row r="2405" spans="1:17" ht="15" customHeight="1" x14ac:dyDescent="0.3">
      <c r="A2405" s="23" t="s">
        <v>15215</v>
      </c>
      <c r="B2405" s="23"/>
      <c r="C2405" s="23" t="s">
        <v>8603</v>
      </c>
      <c r="D2405" s="23" t="str">
        <f t="shared" si="111"/>
        <v>ORD26004060</v>
      </c>
      <c r="E2405" s="38">
        <v>46278</v>
      </c>
      <c r="F2405" s="23" t="s">
        <v>12410</v>
      </c>
      <c r="G2405" s="23" t="s">
        <v>75</v>
      </c>
      <c r="H2405" s="24">
        <v>7297</v>
      </c>
      <c r="I2405" s="24">
        <v>21.89</v>
      </c>
      <c r="J2405" s="24">
        <v>3.94</v>
      </c>
      <c r="K2405" s="24">
        <v>7271.17</v>
      </c>
      <c r="L2405" s="38">
        <v>46280</v>
      </c>
      <c r="M2405" s="23" t="s">
        <v>202</v>
      </c>
      <c r="N2405" s="23" t="str">
        <f>IF(COUNTIF($A$2:A2405,A2405)&gt;1,"DUP","OK")</f>
        <v>OK</v>
      </c>
      <c r="O2405" s="23" t="str">
        <f t="shared" si="112"/>
        <v>ORD26004060</v>
      </c>
      <c r="P2405" s="23" t="str">
        <f t="shared" si="113"/>
        <v>Sep</v>
      </c>
      <c r="Q2405" s="23" t="str">
        <f>IF(F2405="CAPTURE",IF(COUNTIF(orders!$A:$A,O2405)&gt;0,"Yes","NO ORDER"),"")</f>
        <v>Yes</v>
      </c>
    </row>
    <row r="2406" spans="1:17" ht="15" customHeight="1" x14ac:dyDescent="0.3">
      <c r="A2406" s="23" t="s">
        <v>15216</v>
      </c>
      <c r="B2406" s="23"/>
      <c r="C2406" s="23" t="s">
        <v>8664</v>
      </c>
      <c r="D2406" s="23" t="str">
        <f t="shared" si="111"/>
        <v>ORD26004091</v>
      </c>
      <c r="E2406" s="38">
        <v>46278</v>
      </c>
      <c r="F2406" s="23" t="s">
        <v>12410</v>
      </c>
      <c r="G2406" s="23" t="s">
        <v>81</v>
      </c>
      <c r="H2406" s="24">
        <v>8998</v>
      </c>
      <c r="I2406" s="24">
        <v>107.98</v>
      </c>
      <c r="J2406" s="24">
        <v>19.440000000000001</v>
      </c>
      <c r="K2406" s="24">
        <v>8870.58</v>
      </c>
      <c r="L2406" s="38">
        <v>46280</v>
      </c>
      <c r="M2406" s="23" t="s">
        <v>202</v>
      </c>
      <c r="N2406" s="23" t="str">
        <f>IF(COUNTIF($A$2:A2406,A2406)&gt;1,"DUP","OK")</f>
        <v>OK</v>
      </c>
      <c r="O2406" s="23" t="str">
        <f t="shared" si="112"/>
        <v>ORD26004091</v>
      </c>
      <c r="P2406" s="23" t="str">
        <f t="shared" si="113"/>
        <v>Sep</v>
      </c>
      <c r="Q2406" s="23" t="str">
        <f>IF(F2406="CAPTURE",IF(COUNTIF(orders!$A:$A,O2406)&gt;0,"Yes","NO ORDER"),"")</f>
        <v>Yes</v>
      </c>
    </row>
    <row r="2407" spans="1:17" ht="15" customHeight="1" x14ac:dyDescent="0.3">
      <c r="A2407" s="23" t="s">
        <v>15217</v>
      </c>
      <c r="B2407" s="23"/>
      <c r="C2407" s="23" t="s">
        <v>15218</v>
      </c>
      <c r="D2407" s="23" t="str">
        <f t="shared" si="111"/>
        <v>ORD26004103</v>
      </c>
      <c r="E2407" s="38">
        <v>46278</v>
      </c>
      <c r="F2407" s="23" t="s">
        <v>12410</v>
      </c>
      <c r="G2407" s="23" t="s">
        <v>79</v>
      </c>
      <c r="H2407" s="24">
        <v>1299</v>
      </c>
      <c r="I2407" s="24">
        <v>23.38</v>
      </c>
      <c r="J2407" s="24">
        <v>4.21</v>
      </c>
      <c r="K2407" s="24">
        <v>1271.4100000000001</v>
      </c>
      <c r="L2407" s="38">
        <v>46280</v>
      </c>
      <c r="M2407" s="23" t="s">
        <v>202</v>
      </c>
      <c r="N2407" s="23" t="str">
        <f>IF(COUNTIF($A$2:A2407,A2407)&gt;1,"DUP","OK")</f>
        <v>OK</v>
      </c>
      <c r="O2407" s="23" t="str">
        <f t="shared" si="112"/>
        <v>ORD26004103</v>
      </c>
      <c r="P2407" s="23" t="str">
        <f t="shared" si="113"/>
        <v>Sep</v>
      </c>
      <c r="Q2407" s="23" t="str">
        <f>IF(F2407="CAPTURE",IF(COUNTIF(orders!$A:$A,O2407)&gt;0,"Yes","NO ORDER"),"")</f>
        <v>Yes</v>
      </c>
    </row>
    <row r="2408" spans="1:17" ht="15" customHeight="1" x14ac:dyDescent="0.3">
      <c r="A2408" s="23" t="s">
        <v>15219</v>
      </c>
      <c r="B2408" s="23"/>
      <c r="C2408" s="23" t="s">
        <v>8692</v>
      </c>
      <c r="D2408" s="23" t="str">
        <f t="shared" si="111"/>
        <v>ORD26004106</v>
      </c>
      <c r="E2408" s="38">
        <v>46278</v>
      </c>
      <c r="F2408" s="23" t="s">
        <v>12410</v>
      </c>
      <c r="G2408" s="23" t="s">
        <v>75</v>
      </c>
      <c r="H2408" s="24">
        <v>4999</v>
      </c>
      <c r="I2408" s="24">
        <v>15</v>
      </c>
      <c r="J2408" s="24">
        <v>2.7</v>
      </c>
      <c r="K2408" s="24">
        <v>4981.3</v>
      </c>
      <c r="L2408" s="38">
        <v>46280</v>
      </c>
      <c r="M2408" s="23" t="s">
        <v>202</v>
      </c>
      <c r="N2408" s="23" t="str">
        <f>IF(COUNTIF($A$2:A2408,A2408)&gt;1,"DUP","OK")</f>
        <v>OK</v>
      </c>
      <c r="O2408" s="23" t="str">
        <f t="shared" si="112"/>
        <v>ORD26004106</v>
      </c>
      <c r="P2408" s="23" t="str">
        <f t="shared" si="113"/>
        <v>Sep</v>
      </c>
      <c r="Q2408" s="23" t="str">
        <f>IF(F2408="CAPTURE",IF(COUNTIF(orders!$A:$A,O2408)&gt;0,"Yes","NO ORDER"),"")</f>
        <v>Yes</v>
      </c>
    </row>
    <row r="2409" spans="1:17" ht="15" customHeight="1" x14ac:dyDescent="0.3">
      <c r="A2409" s="23" t="s">
        <v>15220</v>
      </c>
      <c r="B2409" s="23"/>
      <c r="C2409" s="23" t="s">
        <v>8698</v>
      </c>
      <c r="D2409" s="23" t="str">
        <f t="shared" si="111"/>
        <v>ORD26004109</v>
      </c>
      <c r="E2409" s="38">
        <v>46278</v>
      </c>
      <c r="F2409" s="23" t="s">
        <v>12410</v>
      </c>
      <c r="G2409" s="23" t="s">
        <v>79</v>
      </c>
      <c r="H2409" s="24">
        <v>7999</v>
      </c>
      <c r="I2409" s="24">
        <v>127.98</v>
      </c>
      <c r="J2409" s="24">
        <v>23.04</v>
      </c>
      <c r="K2409" s="24">
        <v>7847.98</v>
      </c>
      <c r="L2409" s="38">
        <v>46280</v>
      </c>
      <c r="M2409" s="23" t="s">
        <v>202</v>
      </c>
      <c r="N2409" s="23" t="str">
        <f>IF(COUNTIF($A$2:A2409,A2409)&gt;1,"DUP","OK")</f>
        <v>OK</v>
      </c>
      <c r="O2409" s="23" t="str">
        <f t="shared" si="112"/>
        <v>ORD26004109</v>
      </c>
      <c r="P2409" s="23" t="str">
        <f t="shared" si="113"/>
        <v>Sep</v>
      </c>
      <c r="Q2409" s="23" t="str">
        <f>IF(F2409="CAPTURE",IF(COUNTIF(orders!$A:$A,O2409)&gt;0,"Yes","NO ORDER"),"")</f>
        <v>Yes</v>
      </c>
    </row>
    <row r="2410" spans="1:17" ht="15" customHeight="1" x14ac:dyDescent="0.3">
      <c r="A2410" s="23" t="s">
        <v>15221</v>
      </c>
      <c r="B2410" s="23"/>
      <c r="C2410" s="23" t="s">
        <v>8773</v>
      </c>
      <c r="D2410" s="23" t="str">
        <f t="shared" si="111"/>
        <v>ORD26004147</v>
      </c>
      <c r="E2410" s="38">
        <v>46278</v>
      </c>
      <c r="F2410" s="23" t="s">
        <v>12410</v>
      </c>
      <c r="G2410" s="23" t="s">
        <v>79</v>
      </c>
      <c r="H2410" s="24">
        <v>2098</v>
      </c>
      <c r="I2410" s="24">
        <v>33.57</v>
      </c>
      <c r="J2410" s="24">
        <v>6.04</v>
      </c>
      <c r="K2410" s="24">
        <v>2058.39</v>
      </c>
      <c r="L2410" s="38">
        <v>46280</v>
      </c>
      <c r="M2410" s="23" t="s">
        <v>202</v>
      </c>
      <c r="N2410" s="23" t="str">
        <f>IF(COUNTIF($A$2:A2410,A2410)&gt;1,"DUP","OK")</f>
        <v>OK</v>
      </c>
      <c r="O2410" s="23" t="str">
        <f t="shared" si="112"/>
        <v>ORD26004147</v>
      </c>
      <c r="P2410" s="23" t="str">
        <f t="shared" si="113"/>
        <v>Sep</v>
      </c>
      <c r="Q2410" s="23" t="str">
        <f>IF(F2410="CAPTURE",IF(COUNTIF(orders!$A:$A,O2410)&gt;0,"Yes","NO ORDER"),"")</f>
        <v>Yes</v>
      </c>
    </row>
    <row r="2411" spans="1:17" ht="15" customHeight="1" x14ac:dyDescent="0.3">
      <c r="A2411" s="23" t="s">
        <v>15222</v>
      </c>
      <c r="B2411" s="23"/>
      <c r="C2411" s="23" t="s">
        <v>8788</v>
      </c>
      <c r="D2411" s="23" t="str">
        <f t="shared" si="111"/>
        <v>ORD26004155</v>
      </c>
      <c r="E2411" s="38">
        <v>46278</v>
      </c>
      <c r="F2411" s="23" t="s">
        <v>12410</v>
      </c>
      <c r="G2411" s="23" t="s">
        <v>75</v>
      </c>
      <c r="H2411" s="24">
        <v>9797</v>
      </c>
      <c r="I2411" s="24">
        <v>29.39</v>
      </c>
      <c r="J2411" s="24">
        <v>5.29</v>
      </c>
      <c r="K2411" s="24">
        <v>9762.32</v>
      </c>
      <c r="L2411" s="38">
        <v>46280</v>
      </c>
      <c r="M2411" s="23" t="s">
        <v>202</v>
      </c>
      <c r="N2411" s="23" t="str">
        <f>IF(COUNTIF($A$2:A2411,A2411)&gt;1,"DUP","OK")</f>
        <v>OK</v>
      </c>
      <c r="O2411" s="23" t="str">
        <f t="shared" si="112"/>
        <v>ORD26004155</v>
      </c>
      <c r="P2411" s="23" t="str">
        <f t="shared" si="113"/>
        <v>Sep</v>
      </c>
      <c r="Q2411" s="23" t="str">
        <f>IF(F2411="CAPTURE",IF(COUNTIF(orders!$A:$A,O2411)&gt;0,"Yes","NO ORDER"),"")</f>
        <v>Yes</v>
      </c>
    </row>
    <row r="2412" spans="1:17" ht="15" customHeight="1" x14ac:dyDescent="0.3">
      <c r="A2412" s="23" t="s">
        <v>15223</v>
      </c>
      <c r="B2412" s="23"/>
      <c r="C2412" s="23" t="s">
        <v>8900</v>
      </c>
      <c r="D2412" s="23" t="str">
        <f t="shared" si="111"/>
        <v>ORD26004212</v>
      </c>
      <c r="E2412" s="38">
        <v>46278</v>
      </c>
      <c r="F2412" s="23" t="s">
        <v>12410</v>
      </c>
      <c r="G2412" s="23" t="s">
        <v>75</v>
      </c>
      <c r="H2412" s="24">
        <v>799</v>
      </c>
      <c r="I2412" s="24">
        <v>0</v>
      </c>
      <c r="J2412" s="24">
        <v>0</v>
      </c>
      <c r="K2412" s="24">
        <v>799</v>
      </c>
      <c r="L2412" s="38">
        <v>46280</v>
      </c>
      <c r="M2412" s="23" t="s">
        <v>202</v>
      </c>
      <c r="N2412" s="23" t="str">
        <f>IF(COUNTIF($A$2:A2412,A2412)&gt;1,"DUP","OK")</f>
        <v>OK</v>
      </c>
      <c r="O2412" s="23" t="str">
        <f t="shared" si="112"/>
        <v>ORD26004212</v>
      </c>
      <c r="P2412" s="23" t="str">
        <f t="shared" si="113"/>
        <v>Sep</v>
      </c>
      <c r="Q2412" s="23" t="str">
        <f>IF(F2412="CAPTURE",IF(COUNTIF(orders!$A:$A,O2412)&gt;0,"Yes","NO ORDER"),"")</f>
        <v>Yes</v>
      </c>
    </row>
    <row r="2413" spans="1:17" ht="15" customHeight="1" x14ac:dyDescent="0.3">
      <c r="A2413" s="23" t="s">
        <v>15224</v>
      </c>
      <c r="B2413" s="23"/>
      <c r="C2413" s="23" t="s">
        <v>8977</v>
      </c>
      <c r="D2413" s="23" t="str">
        <f t="shared" si="111"/>
        <v>ORD26004252</v>
      </c>
      <c r="E2413" s="38">
        <v>46278</v>
      </c>
      <c r="F2413" s="23" t="s">
        <v>12410</v>
      </c>
      <c r="G2413" s="23" t="s">
        <v>75</v>
      </c>
      <c r="H2413" s="24">
        <v>2998</v>
      </c>
      <c r="I2413" s="24">
        <v>8.99</v>
      </c>
      <c r="J2413" s="24">
        <v>1.62</v>
      </c>
      <c r="K2413" s="24">
        <v>2987.39</v>
      </c>
      <c r="L2413" s="38">
        <v>46280</v>
      </c>
      <c r="M2413" s="23" t="s">
        <v>202</v>
      </c>
      <c r="N2413" s="23" t="str">
        <f>IF(COUNTIF($A$2:A2413,A2413)&gt;1,"DUP","OK")</f>
        <v>OK</v>
      </c>
      <c r="O2413" s="23" t="str">
        <f t="shared" si="112"/>
        <v>ORD26004252</v>
      </c>
      <c r="P2413" s="23" t="str">
        <f t="shared" si="113"/>
        <v>Sep</v>
      </c>
      <c r="Q2413" s="23" t="str">
        <f>IF(F2413="CAPTURE",IF(COUNTIF(orders!$A:$A,O2413)&gt;0,"Yes","NO ORDER"),"")</f>
        <v>Yes</v>
      </c>
    </row>
    <row r="2414" spans="1:17" ht="15" customHeight="1" x14ac:dyDescent="0.3">
      <c r="A2414" s="23" t="s">
        <v>15225</v>
      </c>
      <c r="B2414" s="23"/>
      <c r="C2414" s="23" t="s">
        <v>15226</v>
      </c>
      <c r="D2414" s="23" t="str">
        <f t="shared" si="111"/>
        <v>ORD26004295</v>
      </c>
      <c r="E2414" s="38">
        <v>46278</v>
      </c>
      <c r="F2414" s="23" t="s">
        <v>12410</v>
      </c>
      <c r="G2414" s="23" t="s">
        <v>77</v>
      </c>
      <c r="H2414" s="24">
        <v>4798</v>
      </c>
      <c r="I2414" s="24">
        <v>81.569999999999993</v>
      </c>
      <c r="J2414" s="24">
        <v>14.68</v>
      </c>
      <c r="K2414" s="24">
        <v>4701.75</v>
      </c>
      <c r="L2414" s="38">
        <v>46280</v>
      </c>
      <c r="M2414" s="23" t="s">
        <v>202</v>
      </c>
      <c r="N2414" s="23" t="str">
        <f>IF(COUNTIF($A$2:A2414,A2414)&gt;1,"DUP","OK")</f>
        <v>OK</v>
      </c>
      <c r="O2414" s="23" t="str">
        <f t="shared" si="112"/>
        <v>ORD26004295</v>
      </c>
      <c r="P2414" s="23" t="str">
        <f t="shared" si="113"/>
        <v>Sep</v>
      </c>
      <c r="Q2414" s="23" t="str">
        <f>IF(F2414="CAPTURE",IF(COUNTIF(orders!$A:$A,O2414)&gt;0,"Yes","NO ORDER"),"")</f>
        <v>Yes</v>
      </c>
    </row>
    <row r="2415" spans="1:17" ht="15" customHeight="1" x14ac:dyDescent="0.3">
      <c r="A2415" s="23" t="s">
        <v>15227</v>
      </c>
      <c r="B2415" s="23"/>
      <c r="C2415" s="23" t="s">
        <v>9073</v>
      </c>
      <c r="D2415" s="23" t="str">
        <f t="shared" si="111"/>
        <v>ORD26004299</v>
      </c>
      <c r="E2415" s="38">
        <v>46278</v>
      </c>
      <c r="F2415" s="23" t="s">
        <v>12410</v>
      </c>
      <c r="G2415" s="23" t="s">
        <v>75</v>
      </c>
      <c r="H2415" s="24">
        <v>12097</v>
      </c>
      <c r="I2415" s="24">
        <v>36.29</v>
      </c>
      <c r="J2415" s="24">
        <v>6.53</v>
      </c>
      <c r="K2415" s="24">
        <v>12054.18</v>
      </c>
      <c r="L2415" s="38">
        <v>46280</v>
      </c>
      <c r="M2415" s="23" t="s">
        <v>202</v>
      </c>
      <c r="N2415" s="23" t="str">
        <f>IF(COUNTIF($A$2:A2415,A2415)&gt;1,"DUP","OK")</f>
        <v>OK</v>
      </c>
      <c r="O2415" s="23" t="str">
        <f t="shared" si="112"/>
        <v>ORD26004299</v>
      </c>
      <c r="P2415" s="23" t="str">
        <f t="shared" si="113"/>
        <v>Sep</v>
      </c>
      <c r="Q2415" s="23" t="str">
        <f>IF(F2415="CAPTURE",IF(COUNTIF(orders!$A:$A,O2415)&gt;0,"Yes","NO ORDER"),"")</f>
        <v>Yes</v>
      </c>
    </row>
    <row r="2416" spans="1:17" ht="15" customHeight="1" x14ac:dyDescent="0.3">
      <c r="A2416" s="23" t="s">
        <v>15228</v>
      </c>
      <c r="B2416" s="23"/>
      <c r="C2416" s="23" t="s">
        <v>15229</v>
      </c>
      <c r="D2416" s="23" t="str">
        <f t="shared" si="111"/>
        <v>ORD26004374</v>
      </c>
      <c r="E2416" s="38">
        <v>46278</v>
      </c>
      <c r="F2416" s="23" t="s">
        <v>12410</v>
      </c>
      <c r="G2416" s="23" t="s">
        <v>77</v>
      </c>
      <c r="H2416" s="24">
        <v>3798</v>
      </c>
      <c r="I2416" s="24">
        <v>64.569999999999993</v>
      </c>
      <c r="J2416" s="24">
        <v>11.62</v>
      </c>
      <c r="K2416" s="24">
        <v>3721.81</v>
      </c>
      <c r="L2416" s="38">
        <v>46280</v>
      </c>
      <c r="M2416" s="23" t="s">
        <v>202</v>
      </c>
      <c r="N2416" s="23" t="str">
        <f>IF(COUNTIF($A$2:A2416,A2416)&gt;1,"DUP","OK")</f>
        <v>OK</v>
      </c>
      <c r="O2416" s="23" t="str">
        <f t="shared" si="112"/>
        <v>ORD26004374</v>
      </c>
      <c r="P2416" s="23" t="str">
        <f t="shared" si="113"/>
        <v>Sep</v>
      </c>
      <c r="Q2416" s="23" t="str">
        <f>IF(F2416="CAPTURE",IF(COUNTIF(orders!$A:$A,O2416)&gt;0,"Yes","NO ORDER"),"")</f>
        <v>Yes</v>
      </c>
    </row>
    <row r="2417" spans="1:17" ht="15" customHeight="1" x14ac:dyDescent="0.3">
      <c r="A2417" s="23" t="s">
        <v>15230</v>
      </c>
      <c r="B2417" s="23"/>
      <c r="C2417" s="23" t="s">
        <v>9264</v>
      </c>
      <c r="D2417" s="23" t="str">
        <f t="shared" si="111"/>
        <v>ORD26004395</v>
      </c>
      <c r="E2417" s="38">
        <v>46278</v>
      </c>
      <c r="F2417" s="23" t="s">
        <v>12410</v>
      </c>
      <c r="G2417" s="23" t="s">
        <v>75</v>
      </c>
      <c r="H2417" s="24">
        <v>2798</v>
      </c>
      <c r="I2417" s="24">
        <v>8.39</v>
      </c>
      <c r="J2417" s="24">
        <v>1.51</v>
      </c>
      <c r="K2417" s="24">
        <v>2788.1</v>
      </c>
      <c r="L2417" s="38">
        <v>46280</v>
      </c>
      <c r="M2417" s="23" t="s">
        <v>202</v>
      </c>
      <c r="N2417" s="23" t="str">
        <f>IF(COUNTIF($A$2:A2417,A2417)&gt;1,"DUP","OK")</f>
        <v>OK</v>
      </c>
      <c r="O2417" s="23" t="str">
        <f t="shared" si="112"/>
        <v>ORD26004395</v>
      </c>
      <c r="P2417" s="23" t="str">
        <f t="shared" si="113"/>
        <v>Sep</v>
      </c>
      <c r="Q2417" s="23" t="str">
        <f>IF(F2417="CAPTURE",IF(COUNTIF(orders!$A:$A,O2417)&gt;0,"Yes","NO ORDER"),"")</f>
        <v>Yes</v>
      </c>
    </row>
    <row r="2418" spans="1:17" ht="15" customHeight="1" x14ac:dyDescent="0.3">
      <c r="A2418" s="23" t="s">
        <v>15231</v>
      </c>
      <c r="B2418" s="23"/>
      <c r="C2418" s="23" t="s">
        <v>9308</v>
      </c>
      <c r="D2418" s="23" t="str">
        <f t="shared" si="111"/>
        <v>ORD26004417</v>
      </c>
      <c r="E2418" s="38">
        <v>46278</v>
      </c>
      <c r="F2418" s="23" t="s">
        <v>12410</v>
      </c>
      <c r="G2418" s="23" t="s">
        <v>75</v>
      </c>
      <c r="H2418" s="24">
        <v>2499</v>
      </c>
      <c r="I2418" s="24">
        <v>7.5</v>
      </c>
      <c r="J2418" s="24">
        <v>1.35</v>
      </c>
      <c r="K2418" s="24">
        <v>2490.15</v>
      </c>
      <c r="L2418" s="38">
        <v>46280</v>
      </c>
      <c r="M2418" s="23" t="s">
        <v>202</v>
      </c>
      <c r="N2418" s="23" t="str">
        <f>IF(COUNTIF($A$2:A2418,A2418)&gt;1,"DUP","OK")</f>
        <v>OK</v>
      </c>
      <c r="O2418" s="23" t="str">
        <f t="shared" si="112"/>
        <v>ORD26004417</v>
      </c>
      <c r="P2418" s="23" t="str">
        <f t="shared" si="113"/>
        <v>Sep</v>
      </c>
      <c r="Q2418" s="23" t="str">
        <f>IF(F2418="CAPTURE",IF(COUNTIF(orders!$A:$A,O2418)&gt;0,"Yes","NO ORDER"),"")</f>
        <v>Yes</v>
      </c>
    </row>
    <row r="2419" spans="1:17" ht="15" customHeight="1" x14ac:dyDescent="0.3">
      <c r="A2419" s="23" t="s">
        <v>15232</v>
      </c>
      <c r="B2419" s="23"/>
      <c r="C2419" s="23" t="s">
        <v>15233</v>
      </c>
      <c r="D2419" s="23" t="str">
        <f t="shared" si="111"/>
        <v>ORD26004443</v>
      </c>
      <c r="E2419" s="38">
        <v>46278</v>
      </c>
      <c r="F2419" s="23" t="s">
        <v>12410</v>
      </c>
      <c r="G2419" s="23" t="s">
        <v>75</v>
      </c>
      <c r="H2419" s="24">
        <v>7999</v>
      </c>
      <c r="I2419" s="24">
        <v>24</v>
      </c>
      <c r="J2419" s="24">
        <v>4.32</v>
      </c>
      <c r="K2419" s="24">
        <v>7970.68</v>
      </c>
      <c r="L2419" s="38">
        <v>46280</v>
      </c>
      <c r="M2419" s="23" t="s">
        <v>202</v>
      </c>
      <c r="N2419" s="23" t="str">
        <f>IF(COUNTIF($A$2:A2419,A2419)&gt;1,"DUP","OK")</f>
        <v>OK</v>
      </c>
      <c r="O2419" s="23" t="str">
        <f t="shared" si="112"/>
        <v>ORD26004443</v>
      </c>
      <c r="P2419" s="23" t="str">
        <f t="shared" si="113"/>
        <v>Sep</v>
      </c>
      <c r="Q2419" s="23" t="str">
        <f>IF(F2419="CAPTURE",IF(COUNTIF(orders!$A:$A,O2419)&gt;0,"Yes","NO ORDER"),"")</f>
        <v>Yes</v>
      </c>
    </row>
    <row r="2420" spans="1:17" ht="15" customHeight="1" x14ac:dyDescent="0.3">
      <c r="A2420" s="23" t="s">
        <v>15234</v>
      </c>
      <c r="B2420" s="23"/>
      <c r="C2420" s="23" t="s">
        <v>9431</v>
      </c>
      <c r="D2420" s="23" t="str">
        <f t="shared" si="111"/>
        <v>ORD26004480</v>
      </c>
      <c r="E2420" s="38">
        <v>46278</v>
      </c>
      <c r="F2420" s="23" t="s">
        <v>12410</v>
      </c>
      <c r="G2420" s="23" t="s">
        <v>79</v>
      </c>
      <c r="H2420" s="24">
        <v>10297</v>
      </c>
      <c r="I2420" s="24">
        <v>164.75</v>
      </c>
      <c r="J2420" s="24">
        <v>29.66</v>
      </c>
      <c r="K2420" s="24">
        <v>10102.59</v>
      </c>
      <c r="L2420" s="38">
        <v>46280</v>
      </c>
      <c r="M2420" s="23" t="s">
        <v>202</v>
      </c>
      <c r="N2420" s="23" t="str">
        <f>IF(COUNTIF($A$2:A2420,A2420)&gt;1,"DUP","OK")</f>
        <v>OK</v>
      </c>
      <c r="O2420" s="23" t="str">
        <f t="shared" si="112"/>
        <v>ORD26004480</v>
      </c>
      <c r="P2420" s="23" t="str">
        <f t="shared" si="113"/>
        <v>Sep</v>
      </c>
      <c r="Q2420" s="23" t="str">
        <f>IF(F2420="CAPTURE",IF(COUNTIF(orders!$A:$A,O2420)&gt;0,"Yes","NO ORDER"),"")</f>
        <v>Yes</v>
      </c>
    </row>
    <row r="2421" spans="1:17" ht="15" customHeight="1" x14ac:dyDescent="0.3">
      <c r="A2421" s="23" t="s">
        <v>15235</v>
      </c>
      <c r="B2421" s="23"/>
      <c r="C2421" s="23" t="s">
        <v>15236</v>
      </c>
      <c r="D2421" s="23" t="str">
        <f t="shared" si="111"/>
        <v>ORD26004533</v>
      </c>
      <c r="E2421" s="38">
        <v>46278</v>
      </c>
      <c r="F2421" s="23" t="s">
        <v>12410</v>
      </c>
      <c r="G2421" s="23" t="s">
        <v>77</v>
      </c>
      <c r="H2421" s="24">
        <v>499</v>
      </c>
      <c r="I2421" s="24">
        <v>9.48</v>
      </c>
      <c r="J2421" s="24">
        <v>1.71</v>
      </c>
      <c r="K2421" s="24">
        <v>487.81</v>
      </c>
      <c r="L2421" s="38">
        <v>46280</v>
      </c>
      <c r="M2421" s="23" t="s">
        <v>202</v>
      </c>
      <c r="N2421" s="23" t="str">
        <f>IF(COUNTIF($A$2:A2421,A2421)&gt;1,"DUP","OK")</f>
        <v>OK</v>
      </c>
      <c r="O2421" s="23" t="str">
        <f t="shared" si="112"/>
        <v>ORD26004533</v>
      </c>
      <c r="P2421" s="23" t="str">
        <f t="shared" si="113"/>
        <v>Sep</v>
      </c>
      <c r="Q2421" s="23" t="str">
        <f>IF(F2421="CAPTURE",IF(COUNTIF(orders!$A:$A,O2421)&gt;0,"Yes","NO ORDER"),"")</f>
        <v>Yes</v>
      </c>
    </row>
    <row r="2422" spans="1:17" ht="15" customHeight="1" x14ac:dyDescent="0.3">
      <c r="A2422" s="23" t="s">
        <v>15237</v>
      </c>
      <c r="B2422" s="23"/>
      <c r="C2422" s="23" t="s">
        <v>9587</v>
      </c>
      <c r="D2422" s="23" t="str">
        <f t="shared" si="111"/>
        <v>ORD26004557</v>
      </c>
      <c r="E2422" s="38">
        <v>46278</v>
      </c>
      <c r="F2422" s="23" t="s">
        <v>12410</v>
      </c>
      <c r="G2422" s="23" t="s">
        <v>75</v>
      </c>
      <c r="H2422" s="24">
        <v>2848</v>
      </c>
      <c r="I2422" s="24">
        <v>8.5399999999999991</v>
      </c>
      <c r="J2422" s="24">
        <v>1.54</v>
      </c>
      <c r="K2422" s="24">
        <v>2837.92</v>
      </c>
      <c r="L2422" s="38">
        <v>46280</v>
      </c>
      <c r="M2422" s="23" t="s">
        <v>202</v>
      </c>
      <c r="N2422" s="23" t="str">
        <f>IF(COUNTIF($A$2:A2422,A2422)&gt;1,"DUP","OK")</f>
        <v>OK</v>
      </c>
      <c r="O2422" s="23" t="str">
        <f t="shared" si="112"/>
        <v>ORD26004557</v>
      </c>
      <c r="P2422" s="23" t="str">
        <f t="shared" si="113"/>
        <v>Sep</v>
      </c>
      <c r="Q2422" s="23" t="str">
        <f>IF(F2422="CAPTURE",IF(COUNTIF(orders!$A:$A,O2422)&gt;0,"Yes","NO ORDER"),"")</f>
        <v>Yes</v>
      </c>
    </row>
    <row r="2423" spans="1:17" ht="15" customHeight="1" x14ac:dyDescent="0.3">
      <c r="A2423" s="23" t="s">
        <v>15238</v>
      </c>
      <c r="B2423" s="23"/>
      <c r="C2423" s="23" t="s">
        <v>9644</v>
      </c>
      <c r="D2423" s="23" t="str">
        <f t="shared" si="111"/>
        <v>ORD26004586</v>
      </c>
      <c r="E2423" s="38">
        <v>46278</v>
      </c>
      <c r="F2423" s="23" t="s">
        <v>12410</v>
      </c>
      <c r="G2423" s="23" t="s">
        <v>75</v>
      </c>
      <c r="H2423" s="24">
        <v>499</v>
      </c>
      <c r="I2423" s="24">
        <v>0</v>
      </c>
      <c r="J2423" s="24">
        <v>0</v>
      </c>
      <c r="K2423" s="24">
        <v>499</v>
      </c>
      <c r="L2423" s="38">
        <v>46280</v>
      </c>
      <c r="M2423" s="23" t="s">
        <v>202</v>
      </c>
      <c r="N2423" s="23" t="str">
        <f>IF(COUNTIF($A$2:A2423,A2423)&gt;1,"DUP","OK")</f>
        <v>OK</v>
      </c>
      <c r="O2423" s="23" t="str">
        <f t="shared" si="112"/>
        <v>ORD26004586</v>
      </c>
      <c r="P2423" s="23" t="str">
        <f t="shared" si="113"/>
        <v>Sep</v>
      </c>
      <c r="Q2423" s="23" t="str">
        <f>IF(F2423="CAPTURE",IF(COUNTIF(orders!$A:$A,O2423)&gt;0,"Yes","NO ORDER"),"")</f>
        <v>Yes</v>
      </c>
    </row>
    <row r="2424" spans="1:17" ht="15" customHeight="1" x14ac:dyDescent="0.3">
      <c r="A2424" s="23" t="s">
        <v>15239</v>
      </c>
      <c r="B2424" s="23"/>
      <c r="C2424" s="23" t="s">
        <v>9721</v>
      </c>
      <c r="D2424" s="23" t="str">
        <f t="shared" si="111"/>
        <v>ORD26004624</v>
      </c>
      <c r="E2424" s="38">
        <v>46278</v>
      </c>
      <c r="F2424" s="23" t="s">
        <v>12410</v>
      </c>
      <c r="G2424" s="23" t="s">
        <v>79</v>
      </c>
      <c r="H2424" s="24">
        <v>4999</v>
      </c>
      <c r="I2424" s="24">
        <v>79.98</v>
      </c>
      <c r="J2424" s="24">
        <v>14.4</v>
      </c>
      <c r="K2424" s="24">
        <v>4904.62</v>
      </c>
      <c r="L2424" s="38">
        <v>46280</v>
      </c>
      <c r="M2424" s="23" t="s">
        <v>202</v>
      </c>
      <c r="N2424" s="23" t="str">
        <f>IF(COUNTIF($A$2:A2424,A2424)&gt;1,"DUP","OK")</f>
        <v>OK</v>
      </c>
      <c r="O2424" s="23" t="str">
        <f t="shared" si="112"/>
        <v>ORD26004624</v>
      </c>
      <c r="P2424" s="23" t="str">
        <f t="shared" si="113"/>
        <v>Sep</v>
      </c>
      <c r="Q2424" s="23" t="str">
        <f>IF(F2424="CAPTURE",IF(COUNTIF(orders!$A:$A,O2424)&gt;0,"Yes","NO ORDER"),"")</f>
        <v>Yes</v>
      </c>
    </row>
    <row r="2425" spans="1:17" ht="15" customHeight="1" x14ac:dyDescent="0.3">
      <c r="A2425" s="23" t="s">
        <v>15240</v>
      </c>
      <c r="B2425" s="23"/>
      <c r="C2425" s="23" t="s">
        <v>9848</v>
      </c>
      <c r="D2425" s="23" t="str">
        <f t="shared" si="111"/>
        <v>ORD26004690</v>
      </c>
      <c r="E2425" s="38">
        <v>46278</v>
      </c>
      <c r="F2425" s="23" t="s">
        <v>12410</v>
      </c>
      <c r="G2425" s="23" t="s">
        <v>79</v>
      </c>
      <c r="H2425" s="24">
        <v>3998</v>
      </c>
      <c r="I2425" s="24">
        <v>63.97</v>
      </c>
      <c r="J2425" s="24">
        <v>11.51</v>
      </c>
      <c r="K2425" s="24">
        <v>3922.52</v>
      </c>
      <c r="L2425" s="38">
        <v>46280</v>
      </c>
      <c r="M2425" s="23" t="s">
        <v>202</v>
      </c>
      <c r="N2425" s="23" t="str">
        <f>IF(COUNTIF($A$2:A2425,A2425)&gt;1,"DUP","OK")</f>
        <v>OK</v>
      </c>
      <c r="O2425" s="23" t="str">
        <f t="shared" si="112"/>
        <v>ORD26004690</v>
      </c>
      <c r="P2425" s="23" t="str">
        <f t="shared" si="113"/>
        <v>Sep</v>
      </c>
      <c r="Q2425" s="23" t="str">
        <f>IF(F2425="CAPTURE",IF(COUNTIF(orders!$A:$A,O2425)&gt;0,"Yes","NO ORDER"),"")</f>
        <v>Yes</v>
      </c>
    </row>
    <row r="2426" spans="1:17" ht="15" customHeight="1" x14ac:dyDescent="0.3">
      <c r="A2426" s="23" t="s">
        <v>15241</v>
      </c>
      <c r="B2426" s="23"/>
      <c r="C2426" s="23" t="s">
        <v>9906</v>
      </c>
      <c r="D2426" s="23" t="str">
        <f t="shared" si="111"/>
        <v>ORD26004720</v>
      </c>
      <c r="E2426" s="38">
        <v>46278</v>
      </c>
      <c r="F2426" s="23" t="s">
        <v>12410</v>
      </c>
      <c r="G2426" s="23" t="s">
        <v>75</v>
      </c>
      <c r="H2426" s="24">
        <v>1799</v>
      </c>
      <c r="I2426" s="24">
        <v>0</v>
      </c>
      <c r="J2426" s="24">
        <v>0</v>
      </c>
      <c r="K2426" s="24">
        <v>1799</v>
      </c>
      <c r="L2426" s="38">
        <v>46280</v>
      </c>
      <c r="M2426" s="23" t="s">
        <v>202</v>
      </c>
      <c r="N2426" s="23" t="str">
        <f>IF(COUNTIF($A$2:A2426,A2426)&gt;1,"DUP","OK")</f>
        <v>OK</v>
      </c>
      <c r="O2426" s="23" t="str">
        <f t="shared" si="112"/>
        <v>ORD26004720</v>
      </c>
      <c r="P2426" s="23" t="str">
        <f t="shared" si="113"/>
        <v>Sep</v>
      </c>
      <c r="Q2426" s="23" t="str">
        <f>IF(F2426="CAPTURE",IF(COUNTIF(orders!$A:$A,O2426)&gt;0,"Yes","NO ORDER"),"")</f>
        <v>Yes</v>
      </c>
    </row>
    <row r="2427" spans="1:17" ht="15" customHeight="1" x14ac:dyDescent="0.3">
      <c r="A2427" s="23" t="s">
        <v>15242</v>
      </c>
      <c r="B2427" s="23"/>
      <c r="C2427" s="23" t="s">
        <v>9912</v>
      </c>
      <c r="D2427" s="23" t="str">
        <f t="shared" si="111"/>
        <v>ORD26004723</v>
      </c>
      <c r="E2427" s="38">
        <v>46278</v>
      </c>
      <c r="F2427" s="23" t="s">
        <v>12410</v>
      </c>
      <c r="G2427" s="23" t="s">
        <v>75</v>
      </c>
      <c r="H2427" s="24">
        <v>6798</v>
      </c>
      <c r="I2427" s="24">
        <v>20.39</v>
      </c>
      <c r="J2427" s="24">
        <v>3.67</v>
      </c>
      <c r="K2427" s="24">
        <v>6773.94</v>
      </c>
      <c r="L2427" s="38">
        <v>46280</v>
      </c>
      <c r="M2427" s="23" t="s">
        <v>202</v>
      </c>
      <c r="N2427" s="23" t="str">
        <f>IF(COUNTIF($A$2:A2427,A2427)&gt;1,"DUP","OK")</f>
        <v>OK</v>
      </c>
      <c r="O2427" s="23" t="str">
        <f t="shared" si="112"/>
        <v>ORD26004723</v>
      </c>
      <c r="P2427" s="23" t="str">
        <f t="shared" si="113"/>
        <v>Sep</v>
      </c>
      <c r="Q2427" s="23" t="str">
        <f>IF(F2427="CAPTURE",IF(COUNTIF(orders!$A:$A,O2427)&gt;0,"Yes","NO ORDER"),"")</f>
        <v>Yes</v>
      </c>
    </row>
    <row r="2428" spans="1:17" ht="15" customHeight="1" x14ac:dyDescent="0.3">
      <c r="A2428" s="23" t="s">
        <v>15243</v>
      </c>
      <c r="B2428" s="23"/>
      <c r="C2428" s="23" t="s">
        <v>9928</v>
      </c>
      <c r="D2428" s="23" t="str">
        <f t="shared" si="111"/>
        <v>ORD26004731</v>
      </c>
      <c r="E2428" s="38">
        <v>46278</v>
      </c>
      <c r="F2428" s="23" t="s">
        <v>12410</v>
      </c>
      <c r="G2428" s="23" t="s">
        <v>79</v>
      </c>
      <c r="H2428" s="24">
        <v>7999</v>
      </c>
      <c r="I2428" s="24">
        <v>127.98</v>
      </c>
      <c r="J2428" s="24">
        <v>23.04</v>
      </c>
      <c r="K2428" s="24">
        <v>7847.98</v>
      </c>
      <c r="L2428" s="38">
        <v>46280</v>
      </c>
      <c r="M2428" s="23" t="s">
        <v>202</v>
      </c>
      <c r="N2428" s="23" t="str">
        <f>IF(COUNTIF($A$2:A2428,A2428)&gt;1,"DUP","OK")</f>
        <v>OK</v>
      </c>
      <c r="O2428" s="23" t="str">
        <f t="shared" si="112"/>
        <v>ORD26004731</v>
      </c>
      <c r="P2428" s="23" t="str">
        <f t="shared" si="113"/>
        <v>Sep</v>
      </c>
      <c r="Q2428" s="23" t="str">
        <f>IF(F2428="CAPTURE",IF(COUNTIF(orders!$A:$A,O2428)&gt;0,"Yes","NO ORDER"),"")</f>
        <v>Yes</v>
      </c>
    </row>
    <row r="2429" spans="1:17" ht="15" customHeight="1" x14ac:dyDescent="0.3">
      <c r="A2429" s="23" t="s">
        <v>15244</v>
      </c>
      <c r="B2429" s="23"/>
      <c r="C2429" s="23" t="s">
        <v>15245</v>
      </c>
      <c r="D2429" s="23" t="str">
        <f t="shared" si="111"/>
        <v>ORD26004752</v>
      </c>
      <c r="E2429" s="38">
        <v>46278</v>
      </c>
      <c r="F2429" s="23" t="s">
        <v>12410</v>
      </c>
      <c r="G2429" s="23" t="s">
        <v>79</v>
      </c>
      <c r="H2429" s="24">
        <v>2999</v>
      </c>
      <c r="I2429" s="24">
        <v>47.98</v>
      </c>
      <c r="J2429" s="24">
        <v>8.64</v>
      </c>
      <c r="K2429" s="24">
        <v>2942.38</v>
      </c>
      <c r="L2429" s="38">
        <v>46280</v>
      </c>
      <c r="M2429" s="23" t="s">
        <v>202</v>
      </c>
      <c r="N2429" s="23" t="str">
        <f>IF(COUNTIF($A$2:A2429,A2429)&gt;1,"DUP","OK")</f>
        <v>OK</v>
      </c>
      <c r="O2429" s="23" t="str">
        <f t="shared" si="112"/>
        <v>ORD26004752</v>
      </c>
      <c r="P2429" s="23" t="str">
        <f t="shared" si="113"/>
        <v>Sep</v>
      </c>
      <c r="Q2429" s="23" t="str">
        <f>IF(F2429="CAPTURE",IF(COUNTIF(orders!$A:$A,O2429)&gt;0,"Yes","NO ORDER"),"")</f>
        <v>Yes</v>
      </c>
    </row>
    <row r="2430" spans="1:17" ht="15" customHeight="1" x14ac:dyDescent="0.3">
      <c r="A2430" s="23" t="s">
        <v>15246</v>
      </c>
      <c r="B2430" s="23"/>
      <c r="C2430" s="23" t="s">
        <v>10026</v>
      </c>
      <c r="D2430" s="23" t="str">
        <f t="shared" si="111"/>
        <v>ORD26004782</v>
      </c>
      <c r="E2430" s="38">
        <v>46278</v>
      </c>
      <c r="F2430" s="23" t="s">
        <v>12410</v>
      </c>
      <c r="G2430" s="23" t="s">
        <v>75</v>
      </c>
      <c r="H2430" s="24">
        <v>3097</v>
      </c>
      <c r="I2430" s="24">
        <v>9.2899999999999991</v>
      </c>
      <c r="J2430" s="24">
        <v>1.67</v>
      </c>
      <c r="K2430" s="24">
        <v>3086.04</v>
      </c>
      <c r="L2430" s="38">
        <v>46280</v>
      </c>
      <c r="M2430" s="23" t="s">
        <v>202</v>
      </c>
      <c r="N2430" s="23" t="str">
        <f>IF(COUNTIF($A$2:A2430,A2430)&gt;1,"DUP","OK")</f>
        <v>OK</v>
      </c>
      <c r="O2430" s="23" t="str">
        <f t="shared" si="112"/>
        <v>ORD26004782</v>
      </c>
      <c r="P2430" s="23" t="str">
        <f t="shared" si="113"/>
        <v>Sep</v>
      </c>
      <c r="Q2430" s="23" t="str">
        <f>IF(F2430="CAPTURE",IF(COUNTIF(orders!$A:$A,O2430)&gt;0,"Yes","NO ORDER"),"")</f>
        <v>Yes</v>
      </c>
    </row>
    <row r="2431" spans="1:17" ht="15" customHeight="1" x14ac:dyDescent="0.3">
      <c r="A2431" s="23" t="s">
        <v>15247</v>
      </c>
      <c r="B2431" s="23"/>
      <c r="C2431" s="23" t="s">
        <v>10034</v>
      </c>
      <c r="D2431" s="23" t="str">
        <f t="shared" si="111"/>
        <v>ORD26004786</v>
      </c>
      <c r="E2431" s="38">
        <v>46278</v>
      </c>
      <c r="F2431" s="23" t="s">
        <v>12410</v>
      </c>
      <c r="G2431" s="23" t="s">
        <v>77</v>
      </c>
      <c r="H2431" s="24">
        <v>299</v>
      </c>
      <c r="I2431" s="24">
        <v>5.68</v>
      </c>
      <c r="J2431" s="24">
        <v>1.02</v>
      </c>
      <c r="K2431" s="24">
        <v>292.3</v>
      </c>
      <c r="L2431" s="38">
        <v>46280</v>
      </c>
      <c r="M2431" s="23" t="s">
        <v>202</v>
      </c>
      <c r="N2431" s="23" t="str">
        <f>IF(COUNTIF($A$2:A2431,A2431)&gt;1,"DUP","OK")</f>
        <v>OK</v>
      </c>
      <c r="O2431" s="23" t="str">
        <f t="shared" si="112"/>
        <v>ORD26004786</v>
      </c>
      <c r="P2431" s="23" t="str">
        <f t="shared" si="113"/>
        <v>Sep</v>
      </c>
      <c r="Q2431" s="23" t="str">
        <f>IF(F2431="CAPTURE",IF(COUNTIF(orders!$A:$A,O2431)&gt;0,"Yes","NO ORDER"),"")</f>
        <v>Yes</v>
      </c>
    </row>
    <row r="2432" spans="1:17" ht="15" customHeight="1" x14ac:dyDescent="0.3">
      <c r="A2432" s="23" t="s">
        <v>15248</v>
      </c>
      <c r="B2432" s="23"/>
      <c r="C2432" s="23" t="s">
        <v>10074</v>
      </c>
      <c r="D2432" s="23" t="str">
        <f t="shared" si="111"/>
        <v>ORD26004806</v>
      </c>
      <c r="E2432" s="38">
        <v>46278</v>
      </c>
      <c r="F2432" s="23" t="s">
        <v>12410</v>
      </c>
      <c r="G2432" s="23" t="s">
        <v>79</v>
      </c>
      <c r="H2432" s="24">
        <v>999</v>
      </c>
      <c r="I2432" s="24">
        <v>17.98</v>
      </c>
      <c r="J2432" s="24">
        <v>3.24</v>
      </c>
      <c r="K2432" s="24">
        <v>977.78</v>
      </c>
      <c r="L2432" s="38">
        <v>46280</v>
      </c>
      <c r="M2432" s="23" t="s">
        <v>202</v>
      </c>
      <c r="N2432" s="23" t="str">
        <f>IF(COUNTIF($A$2:A2432,A2432)&gt;1,"DUP","OK")</f>
        <v>OK</v>
      </c>
      <c r="O2432" s="23" t="str">
        <f t="shared" si="112"/>
        <v>ORD26004806</v>
      </c>
      <c r="P2432" s="23" t="str">
        <f t="shared" si="113"/>
        <v>Sep</v>
      </c>
      <c r="Q2432" s="23" t="str">
        <f>IF(F2432="CAPTURE",IF(COUNTIF(orders!$A:$A,O2432)&gt;0,"Yes","NO ORDER"),"")</f>
        <v>Yes</v>
      </c>
    </row>
    <row r="2433" spans="1:17" ht="15" customHeight="1" x14ac:dyDescent="0.3">
      <c r="A2433" s="23" t="s">
        <v>15249</v>
      </c>
      <c r="B2433" s="23"/>
      <c r="C2433" s="23" t="s">
        <v>10083</v>
      </c>
      <c r="D2433" s="23" t="str">
        <f t="shared" si="111"/>
        <v>ORD26004811</v>
      </c>
      <c r="E2433" s="38">
        <v>46278</v>
      </c>
      <c r="F2433" s="23" t="s">
        <v>12410</v>
      </c>
      <c r="G2433" s="23" t="s">
        <v>79</v>
      </c>
      <c r="H2433" s="24">
        <v>3997</v>
      </c>
      <c r="I2433" s="24">
        <v>63.95</v>
      </c>
      <c r="J2433" s="24">
        <v>11.51</v>
      </c>
      <c r="K2433" s="24">
        <v>3921.54</v>
      </c>
      <c r="L2433" s="38">
        <v>46280</v>
      </c>
      <c r="M2433" s="23" t="s">
        <v>202</v>
      </c>
      <c r="N2433" s="23" t="str">
        <f>IF(COUNTIF($A$2:A2433,A2433)&gt;1,"DUP","OK")</f>
        <v>OK</v>
      </c>
      <c r="O2433" s="23" t="str">
        <f t="shared" si="112"/>
        <v>ORD26004811</v>
      </c>
      <c r="P2433" s="23" t="str">
        <f t="shared" si="113"/>
        <v>Sep</v>
      </c>
      <c r="Q2433" s="23" t="str">
        <f>IF(F2433="CAPTURE",IF(COUNTIF(orders!$A:$A,O2433)&gt;0,"Yes","NO ORDER"),"")</f>
        <v>Yes</v>
      </c>
    </row>
    <row r="2434" spans="1:17" ht="15" customHeight="1" x14ac:dyDescent="0.3">
      <c r="A2434" s="23" t="s">
        <v>15250</v>
      </c>
      <c r="B2434" s="23"/>
      <c r="C2434" s="23" t="s">
        <v>10151</v>
      </c>
      <c r="D2434" s="23" t="str">
        <f t="shared" ref="D2434:D2497" si="114">UPPER(SUBSTITUTE(TRIM(C2434),"-",""))</f>
        <v>ORD26004846</v>
      </c>
      <c r="E2434" s="38">
        <v>46278</v>
      </c>
      <c r="F2434" s="23" t="s">
        <v>12410</v>
      </c>
      <c r="G2434" s="23" t="s">
        <v>75</v>
      </c>
      <c r="H2434" s="24">
        <v>898</v>
      </c>
      <c r="I2434" s="24">
        <v>0</v>
      </c>
      <c r="J2434" s="24">
        <v>0</v>
      </c>
      <c r="K2434" s="24">
        <v>898</v>
      </c>
      <c r="L2434" s="38">
        <v>46280</v>
      </c>
      <c r="M2434" s="23" t="s">
        <v>202</v>
      </c>
      <c r="N2434" s="23" t="str">
        <f>IF(COUNTIF($A$2:A2434,A2434)&gt;1,"DUP","OK")</f>
        <v>OK</v>
      </c>
      <c r="O2434" s="23" t="str">
        <f t="shared" ref="O2434:O2497" si="115">IF(F2434="REFUND",INDEX($D:$D,MATCH(B2434,$A:$A,0)),D2434)</f>
        <v>ORD26004846</v>
      </c>
      <c r="P2434" s="23" t="str">
        <f t="shared" ref="P2434:P2497" si="116">IF(L2434&gt;DATE(2026,9,30),"Oct-Due","Sep")</f>
        <v>Sep</v>
      </c>
      <c r="Q2434" s="23" t="str">
        <f>IF(F2434="CAPTURE",IF(COUNTIF(orders!$A:$A,O2434)&gt;0,"Yes","NO ORDER"),"")</f>
        <v>Yes</v>
      </c>
    </row>
    <row r="2435" spans="1:17" ht="15" customHeight="1" x14ac:dyDescent="0.3">
      <c r="A2435" s="23" t="s">
        <v>15251</v>
      </c>
      <c r="B2435" s="23"/>
      <c r="C2435" s="23" t="s">
        <v>10190</v>
      </c>
      <c r="D2435" s="23" t="str">
        <f t="shared" si="114"/>
        <v>ORD26004865</v>
      </c>
      <c r="E2435" s="38">
        <v>46278</v>
      </c>
      <c r="F2435" s="23" t="s">
        <v>12410</v>
      </c>
      <c r="G2435" s="23" t="s">
        <v>75</v>
      </c>
      <c r="H2435" s="24">
        <v>4998</v>
      </c>
      <c r="I2435" s="24">
        <v>14.99</v>
      </c>
      <c r="J2435" s="24">
        <v>2.7</v>
      </c>
      <c r="K2435" s="24">
        <v>4980.3100000000004</v>
      </c>
      <c r="L2435" s="38">
        <v>46280</v>
      </c>
      <c r="M2435" s="23" t="s">
        <v>202</v>
      </c>
      <c r="N2435" s="23" t="str">
        <f>IF(COUNTIF($A$2:A2435,A2435)&gt;1,"DUP","OK")</f>
        <v>OK</v>
      </c>
      <c r="O2435" s="23" t="str">
        <f t="shared" si="115"/>
        <v>ORD26004865</v>
      </c>
      <c r="P2435" s="23" t="str">
        <f t="shared" si="116"/>
        <v>Sep</v>
      </c>
      <c r="Q2435" s="23" t="str">
        <f>IF(F2435="CAPTURE",IF(COUNTIF(orders!$A:$A,O2435)&gt;0,"Yes","NO ORDER"),"")</f>
        <v>Yes</v>
      </c>
    </row>
    <row r="2436" spans="1:17" ht="15" customHeight="1" x14ac:dyDescent="0.3">
      <c r="A2436" s="23" t="s">
        <v>15252</v>
      </c>
      <c r="B2436" s="23"/>
      <c r="C2436" s="23" t="s">
        <v>10281</v>
      </c>
      <c r="D2436" s="23" t="str">
        <f t="shared" si="114"/>
        <v>ORD26004912</v>
      </c>
      <c r="E2436" s="38">
        <v>46278</v>
      </c>
      <c r="F2436" s="23" t="s">
        <v>12410</v>
      </c>
      <c r="G2436" s="23" t="s">
        <v>75</v>
      </c>
      <c r="H2436" s="24">
        <v>2999</v>
      </c>
      <c r="I2436" s="24">
        <v>9</v>
      </c>
      <c r="J2436" s="24">
        <v>1.62</v>
      </c>
      <c r="K2436" s="24">
        <v>2988.38</v>
      </c>
      <c r="L2436" s="38">
        <v>46280</v>
      </c>
      <c r="M2436" s="23" t="s">
        <v>202</v>
      </c>
      <c r="N2436" s="23" t="str">
        <f>IF(COUNTIF($A$2:A2436,A2436)&gt;1,"DUP","OK")</f>
        <v>OK</v>
      </c>
      <c r="O2436" s="23" t="str">
        <f t="shared" si="115"/>
        <v>ORD26004912</v>
      </c>
      <c r="P2436" s="23" t="str">
        <f t="shared" si="116"/>
        <v>Sep</v>
      </c>
      <c r="Q2436" s="23" t="str">
        <f>IF(F2436="CAPTURE",IF(COUNTIF(orders!$A:$A,O2436)&gt;0,"Yes","NO ORDER"),"")</f>
        <v>Yes</v>
      </c>
    </row>
    <row r="2437" spans="1:17" ht="15" customHeight="1" x14ac:dyDescent="0.3">
      <c r="A2437" s="23" t="s">
        <v>15253</v>
      </c>
      <c r="B2437" s="23"/>
      <c r="C2437" s="23" t="s">
        <v>10334</v>
      </c>
      <c r="D2437" s="23" t="str">
        <f t="shared" si="114"/>
        <v>ORD26004939</v>
      </c>
      <c r="E2437" s="38">
        <v>46278</v>
      </c>
      <c r="F2437" s="23" t="s">
        <v>12410</v>
      </c>
      <c r="G2437" s="23" t="s">
        <v>79</v>
      </c>
      <c r="H2437" s="24">
        <v>3499</v>
      </c>
      <c r="I2437" s="24">
        <v>55.98</v>
      </c>
      <c r="J2437" s="24">
        <v>10.08</v>
      </c>
      <c r="K2437" s="24">
        <v>3432.94</v>
      </c>
      <c r="L2437" s="38">
        <v>46280</v>
      </c>
      <c r="M2437" s="23" t="s">
        <v>202</v>
      </c>
      <c r="N2437" s="23" t="str">
        <f>IF(COUNTIF($A$2:A2437,A2437)&gt;1,"DUP","OK")</f>
        <v>OK</v>
      </c>
      <c r="O2437" s="23" t="str">
        <f t="shared" si="115"/>
        <v>ORD26004939</v>
      </c>
      <c r="P2437" s="23" t="str">
        <f t="shared" si="116"/>
        <v>Sep</v>
      </c>
      <c r="Q2437" s="23" t="str">
        <f>IF(F2437="CAPTURE",IF(COUNTIF(orders!$A:$A,O2437)&gt;0,"Yes","NO ORDER"),"")</f>
        <v>Yes</v>
      </c>
    </row>
    <row r="2438" spans="1:17" ht="15" customHeight="1" x14ac:dyDescent="0.3">
      <c r="A2438" s="23" t="s">
        <v>15254</v>
      </c>
      <c r="B2438" s="23"/>
      <c r="C2438" s="23" t="s">
        <v>10376</v>
      </c>
      <c r="D2438" s="23" t="str">
        <f t="shared" si="114"/>
        <v>ORD26004961</v>
      </c>
      <c r="E2438" s="38">
        <v>46278</v>
      </c>
      <c r="F2438" s="23" t="s">
        <v>12410</v>
      </c>
      <c r="G2438" s="23" t="s">
        <v>79</v>
      </c>
      <c r="H2438" s="24">
        <v>1499</v>
      </c>
      <c r="I2438" s="24">
        <v>26.98</v>
      </c>
      <c r="J2438" s="24">
        <v>4.8600000000000003</v>
      </c>
      <c r="K2438" s="24">
        <v>1467.16</v>
      </c>
      <c r="L2438" s="38">
        <v>46280</v>
      </c>
      <c r="M2438" s="23" t="s">
        <v>202</v>
      </c>
      <c r="N2438" s="23" t="str">
        <f>IF(COUNTIF($A$2:A2438,A2438)&gt;1,"DUP","OK")</f>
        <v>OK</v>
      </c>
      <c r="O2438" s="23" t="str">
        <f t="shared" si="115"/>
        <v>ORD26004961</v>
      </c>
      <c r="P2438" s="23" t="str">
        <f t="shared" si="116"/>
        <v>Sep</v>
      </c>
      <c r="Q2438" s="23" t="str">
        <f>IF(F2438="CAPTURE",IF(COUNTIF(orders!$A:$A,O2438)&gt;0,"Yes","NO ORDER"),"")</f>
        <v>Yes</v>
      </c>
    </row>
    <row r="2439" spans="1:17" ht="15" customHeight="1" x14ac:dyDescent="0.3">
      <c r="A2439" s="23" t="s">
        <v>15255</v>
      </c>
      <c r="B2439" s="23"/>
      <c r="C2439" s="23" t="s">
        <v>10403</v>
      </c>
      <c r="D2439" s="23" t="str">
        <f t="shared" si="114"/>
        <v>ORD26004975</v>
      </c>
      <c r="E2439" s="38">
        <v>46278</v>
      </c>
      <c r="F2439" s="23" t="s">
        <v>12410</v>
      </c>
      <c r="G2439" s="23" t="s">
        <v>79</v>
      </c>
      <c r="H2439" s="24">
        <v>7498</v>
      </c>
      <c r="I2439" s="24">
        <v>119.97</v>
      </c>
      <c r="J2439" s="24">
        <v>21.59</v>
      </c>
      <c r="K2439" s="24">
        <v>7356.44</v>
      </c>
      <c r="L2439" s="38">
        <v>46280</v>
      </c>
      <c r="M2439" s="23" t="s">
        <v>202</v>
      </c>
      <c r="N2439" s="23" t="str">
        <f>IF(COUNTIF($A$2:A2439,A2439)&gt;1,"DUP","OK")</f>
        <v>OK</v>
      </c>
      <c r="O2439" s="23" t="str">
        <f t="shared" si="115"/>
        <v>ORD26004975</v>
      </c>
      <c r="P2439" s="23" t="str">
        <f t="shared" si="116"/>
        <v>Sep</v>
      </c>
      <c r="Q2439" s="23" t="str">
        <f>IF(F2439="CAPTURE",IF(COUNTIF(orders!$A:$A,O2439)&gt;0,"Yes","NO ORDER"),"")</f>
        <v>Yes</v>
      </c>
    </row>
    <row r="2440" spans="1:17" ht="15" customHeight="1" x14ac:dyDescent="0.3">
      <c r="A2440" s="23" t="s">
        <v>15256</v>
      </c>
      <c r="B2440" s="23"/>
      <c r="C2440" s="23" t="s">
        <v>15257</v>
      </c>
      <c r="D2440" s="23" t="str">
        <f t="shared" si="114"/>
        <v>ORD26005043</v>
      </c>
      <c r="E2440" s="38">
        <v>46278</v>
      </c>
      <c r="F2440" s="23" t="s">
        <v>12410</v>
      </c>
      <c r="G2440" s="23" t="s">
        <v>79</v>
      </c>
      <c r="H2440" s="24">
        <v>3897</v>
      </c>
      <c r="I2440" s="24">
        <v>62.35</v>
      </c>
      <c r="J2440" s="24">
        <v>11.22</v>
      </c>
      <c r="K2440" s="24">
        <v>3823.43</v>
      </c>
      <c r="L2440" s="38">
        <v>46280</v>
      </c>
      <c r="M2440" s="23" t="s">
        <v>202</v>
      </c>
      <c r="N2440" s="23" t="str">
        <f>IF(COUNTIF($A$2:A2440,A2440)&gt;1,"DUP","OK")</f>
        <v>OK</v>
      </c>
      <c r="O2440" s="23" t="str">
        <f t="shared" si="115"/>
        <v>ORD26005043</v>
      </c>
      <c r="P2440" s="23" t="str">
        <f t="shared" si="116"/>
        <v>Sep</v>
      </c>
      <c r="Q2440" s="23" t="str">
        <f>IF(F2440="CAPTURE",IF(COUNTIF(orders!$A:$A,O2440)&gt;0,"Yes","NO ORDER"),"")</f>
        <v>Yes</v>
      </c>
    </row>
    <row r="2441" spans="1:17" ht="15" customHeight="1" x14ac:dyDescent="0.3">
      <c r="A2441" s="23" t="s">
        <v>15258</v>
      </c>
      <c r="B2441" s="23"/>
      <c r="C2441" s="23" t="s">
        <v>10631</v>
      </c>
      <c r="D2441" s="23" t="str">
        <f t="shared" si="114"/>
        <v>ORD26005093</v>
      </c>
      <c r="E2441" s="38">
        <v>46278</v>
      </c>
      <c r="F2441" s="23" t="s">
        <v>12410</v>
      </c>
      <c r="G2441" s="23" t="s">
        <v>75</v>
      </c>
      <c r="H2441" s="24">
        <v>7999</v>
      </c>
      <c r="I2441" s="24">
        <v>24</v>
      </c>
      <c r="J2441" s="24">
        <v>4.32</v>
      </c>
      <c r="K2441" s="24">
        <v>7970.68</v>
      </c>
      <c r="L2441" s="38">
        <v>46280</v>
      </c>
      <c r="M2441" s="23" t="s">
        <v>202</v>
      </c>
      <c r="N2441" s="23" t="str">
        <f>IF(COUNTIF($A$2:A2441,A2441)&gt;1,"DUP","OK")</f>
        <v>OK</v>
      </c>
      <c r="O2441" s="23" t="str">
        <f t="shared" si="115"/>
        <v>ORD26005093</v>
      </c>
      <c r="P2441" s="23" t="str">
        <f t="shared" si="116"/>
        <v>Sep</v>
      </c>
      <c r="Q2441" s="23" t="str">
        <f>IF(F2441="CAPTURE",IF(COUNTIF(orders!$A:$A,O2441)&gt;0,"Yes","NO ORDER"),"")</f>
        <v>Yes</v>
      </c>
    </row>
    <row r="2442" spans="1:17" ht="15" customHeight="1" x14ac:dyDescent="0.3">
      <c r="A2442" s="23" t="s">
        <v>15259</v>
      </c>
      <c r="B2442" s="23"/>
      <c r="C2442" s="23" t="s">
        <v>10637</v>
      </c>
      <c r="D2442" s="23" t="str">
        <f t="shared" si="114"/>
        <v>ORD26005096</v>
      </c>
      <c r="E2442" s="38">
        <v>46278</v>
      </c>
      <c r="F2442" s="23" t="s">
        <v>12410</v>
      </c>
      <c r="G2442" s="23" t="s">
        <v>81</v>
      </c>
      <c r="H2442" s="24">
        <v>299</v>
      </c>
      <c r="I2442" s="24">
        <v>4.49</v>
      </c>
      <c r="J2442" s="24">
        <v>0.81</v>
      </c>
      <c r="K2442" s="24">
        <v>293.7</v>
      </c>
      <c r="L2442" s="38">
        <v>46280</v>
      </c>
      <c r="M2442" s="23" t="s">
        <v>202</v>
      </c>
      <c r="N2442" s="23" t="str">
        <f>IF(COUNTIF($A$2:A2442,A2442)&gt;1,"DUP","OK")</f>
        <v>OK</v>
      </c>
      <c r="O2442" s="23" t="str">
        <f t="shared" si="115"/>
        <v>ORD26005096</v>
      </c>
      <c r="P2442" s="23" t="str">
        <f t="shared" si="116"/>
        <v>Sep</v>
      </c>
      <c r="Q2442" s="23" t="str">
        <f>IF(F2442="CAPTURE",IF(COUNTIF(orders!$A:$A,O2442)&gt;0,"Yes","NO ORDER"),"")</f>
        <v>Yes</v>
      </c>
    </row>
    <row r="2443" spans="1:17" ht="15" customHeight="1" x14ac:dyDescent="0.3">
      <c r="A2443" s="23" t="s">
        <v>15260</v>
      </c>
      <c r="B2443" s="23"/>
      <c r="C2443" s="23" t="s">
        <v>10663</v>
      </c>
      <c r="D2443" s="23" t="str">
        <f t="shared" si="114"/>
        <v>ORD26005110</v>
      </c>
      <c r="E2443" s="38">
        <v>46278</v>
      </c>
      <c r="F2443" s="23" t="s">
        <v>12410</v>
      </c>
      <c r="G2443" s="23" t="s">
        <v>77</v>
      </c>
      <c r="H2443" s="24">
        <v>10998</v>
      </c>
      <c r="I2443" s="24">
        <v>186.97</v>
      </c>
      <c r="J2443" s="24">
        <v>33.65</v>
      </c>
      <c r="K2443" s="24">
        <v>10777.38</v>
      </c>
      <c r="L2443" s="38">
        <v>46280</v>
      </c>
      <c r="M2443" s="23" t="s">
        <v>202</v>
      </c>
      <c r="N2443" s="23" t="str">
        <f>IF(COUNTIF($A$2:A2443,A2443)&gt;1,"DUP","OK")</f>
        <v>OK</v>
      </c>
      <c r="O2443" s="23" t="str">
        <f t="shared" si="115"/>
        <v>ORD26005110</v>
      </c>
      <c r="P2443" s="23" t="str">
        <f t="shared" si="116"/>
        <v>Sep</v>
      </c>
      <c r="Q2443" s="23" t="str">
        <f>IF(F2443="CAPTURE",IF(COUNTIF(orders!$A:$A,O2443)&gt;0,"Yes","NO ORDER"),"")</f>
        <v>Yes</v>
      </c>
    </row>
    <row r="2444" spans="1:17" ht="15" customHeight="1" x14ac:dyDescent="0.3">
      <c r="A2444" s="23" t="s">
        <v>15261</v>
      </c>
      <c r="B2444" s="23"/>
      <c r="C2444" s="23" t="s">
        <v>15262</v>
      </c>
      <c r="D2444" s="23" t="str">
        <f t="shared" si="114"/>
        <v>ORD26005268</v>
      </c>
      <c r="E2444" s="38">
        <v>46278</v>
      </c>
      <c r="F2444" s="23" t="s">
        <v>12410</v>
      </c>
      <c r="G2444" s="23" t="s">
        <v>79</v>
      </c>
      <c r="H2444" s="24">
        <v>4999</v>
      </c>
      <c r="I2444" s="24">
        <v>79.98</v>
      </c>
      <c r="J2444" s="24">
        <v>14.4</v>
      </c>
      <c r="K2444" s="24">
        <v>4904.62</v>
      </c>
      <c r="L2444" s="38">
        <v>46280</v>
      </c>
      <c r="M2444" s="23" t="s">
        <v>202</v>
      </c>
      <c r="N2444" s="23" t="str">
        <f>IF(COUNTIF($A$2:A2444,A2444)&gt;1,"DUP","OK")</f>
        <v>OK</v>
      </c>
      <c r="O2444" s="23" t="str">
        <f t="shared" si="115"/>
        <v>ORD26005268</v>
      </c>
      <c r="P2444" s="23" t="str">
        <f t="shared" si="116"/>
        <v>Sep</v>
      </c>
      <c r="Q2444" s="23" t="str">
        <f>IF(F2444="CAPTURE",IF(COUNTIF(orders!$A:$A,O2444)&gt;0,"Yes","NO ORDER"),"")</f>
        <v>Yes</v>
      </c>
    </row>
    <row r="2445" spans="1:17" ht="15" customHeight="1" x14ac:dyDescent="0.3">
      <c r="A2445" s="23" t="s">
        <v>15263</v>
      </c>
      <c r="B2445" s="23"/>
      <c r="C2445" s="23" t="s">
        <v>11002</v>
      </c>
      <c r="D2445" s="23" t="str">
        <f t="shared" si="114"/>
        <v>ORD26005284</v>
      </c>
      <c r="E2445" s="38">
        <v>46278</v>
      </c>
      <c r="F2445" s="23" t="s">
        <v>12410</v>
      </c>
      <c r="G2445" s="23" t="s">
        <v>79</v>
      </c>
      <c r="H2445" s="24">
        <v>5298</v>
      </c>
      <c r="I2445" s="24">
        <v>84.77</v>
      </c>
      <c r="J2445" s="24">
        <v>15.26</v>
      </c>
      <c r="K2445" s="24">
        <v>5197.97</v>
      </c>
      <c r="L2445" s="38">
        <v>46280</v>
      </c>
      <c r="M2445" s="23" t="s">
        <v>202</v>
      </c>
      <c r="N2445" s="23" t="str">
        <f>IF(COUNTIF($A$2:A2445,A2445)&gt;1,"DUP","OK")</f>
        <v>OK</v>
      </c>
      <c r="O2445" s="23" t="str">
        <f t="shared" si="115"/>
        <v>ORD26005284</v>
      </c>
      <c r="P2445" s="23" t="str">
        <f t="shared" si="116"/>
        <v>Sep</v>
      </c>
      <c r="Q2445" s="23" t="str">
        <f>IF(F2445="CAPTURE",IF(COUNTIF(orders!$A:$A,O2445)&gt;0,"Yes","NO ORDER"),"")</f>
        <v>Yes</v>
      </c>
    </row>
    <row r="2446" spans="1:17" ht="15" customHeight="1" x14ac:dyDescent="0.3">
      <c r="A2446" s="23" t="s">
        <v>15264</v>
      </c>
      <c r="B2446" s="23"/>
      <c r="C2446" s="23" t="s">
        <v>11016</v>
      </c>
      <c r="D2446" s="23" t="str">
        <f t="shared" si="114"/>
        <v>ORD26005291</v>
      </c>
      <c r="E2446" s="38">
        <v>46278</v>
      </c>
      <c r="F2446" s="23" t="s">
        <v>12410</v>
      </c>
      <c r="G2446" s="23" t="s">
        <v>75</v>
      </c>
      <c r="H2446" s="24">
        <v>1499</v>
      </c>
      <c r="I2446" s="24">
        <v>0</v>
      </c>
      <c r="J2446" s="24">
        <v>0</v>
      </c>
      <c r="K2446" s="24">
        <v>1499</v>
      </c>
      <c r="L2446" s="38">
        <v>46280</v>
      </c>
      <c r="M2446" s="23" t="s">
        <v>202</v>
      </c>
      <c r="N2446" s="23" t="str">
        <f>IF(COUNTIF($A$2:A2446,A2446)&gt;1,"DUP","OK")</f>
        <v>OK</v>
      </c>
      <c r="O2446" s="23" t="str">
        <f t="shared" si="115"/>
        <v>ORD26005291</v>
      </c>
      <c r="P2446" s="23" t="str">
        <f t="shared" si="116"/>
        <v>Sep</v>
      </c>
      <c r="Q2446" s="23" t="str">
        <f>IF(F2446="CAPTURE",IF(COUNTIF(orders!$A:$A,O2446)&gt;0,"Yes","NO ORDER"),"")</f>
        <v>Yes</v>
      </c>
    </row>
    <row r="2447" spans="1:17" ht="15" customHeight="1" x14ac:dyDescent="0.3">
      <c r="A2447" s="23" t="s">
        <v>15265</v>
      </c>
      <c r="B2447" s="23"/>
      <c r="C2447" s="23" t="s">
        <v>11087</v>
      </c>
      <c r="D2447" s="23" t="str">
        <f t="shared" si="114"/>
        <v>ORD26005327</v>
      </c>
      <c r="E2447" s="38">
        <v>46278</v>
      </c>
      <c r="F2447" s="23" t="s">
        <v>12410</v>
      </c>
      <c r="G2447" s="23" t="s">
        <v>75</v>
      </c>
      <c r="H2447" s="24">
        <v>2998</v>
      </c>
      <c r="I2447" s="24">
        <v>8.99</v>
      </c>
      <c r="J2447" s="24">
        <v>1.62</v>
      </c>
      <c r="K2447" s="24">
        <v>2987.39</v>
      </c>
      <c r="L2447" s="38">
        <v>46280</v>
      </c>
      <c r="M2447" s="23" t="s">
        <v>202</v>
      </c>
      <c r="N2447" s="23" t="str">
        <f>IF(COUNTIF($A$2:A2447,A2447)&gt;1,"DUP","OK")</f>
        <v>OK</v>
      </c>
      <c r="O2447" s="23" t="str">
        <f t="shared" si="115"/>
        <v>ORD26005327</v>
      </c>
      <c r="P2447" s="23" t="str">
        <f t="shared" si="116"/>
        <v>Sep</v>
      </c>
      <c r="Q2447" s="23" t="str">
        <f>IF(F2447="CAPTURE",IF(COUNTIF(orders!$A:$A,O2447)&gt;0,"Yes","NO ORDER"),"")</f>
        <v>Yes</v>
      </c>
    </row>
    <row r="2448" spans="1:17" ht="15" customHeight="1" x14ac:dyDescent="0.3">
      <c r="A2448" s="23" t="s">
        <v>15266</v>
      </c>
      <c r="B2448" s="23"/>
      <c r="C2448" s="23" t="s">
        <v>11138</v>
      </c>
      <c r="D2448" s="23" t="str">
        <f t="shared" si="114"/>
        <v>ORD26005353</v>
      </c>
      <c r="E2448" s="38">
        <v>46278</v>
      </c>
      <c r="F2448" s="23" t="s">
        <v>12410</v>
      </c>
      <c r="G2448" s="23" t="s">
        <v>79</v>
      </c>
      <c r="H2448" s="24">
        <v>4999</v>
      </c>
      <c r="I2448" s="24">
        <v>79.98</v>
      </c>
      <c r="J2448" s="24">
        <v>14.4</v>
      </c>
      <c r="K2448" s="24">
        <v>4904.62</v>
      </c>
      <c r="L2448" s="38">
        <v>46280</v>
      </c>
      <c r="M2448" s="23" t="s">
        <v>202</v>
      </c>
      <c r="N2448" s="23" t="str">
        <f>IF(COUNTIF($A$2:A2448,A2448)&gt;1,"DUP","OK")</f>
        <v>OK</v>
      </c>
      <c r="O2448" s="23" t="str">
        <f t="shared" si="115"/>
        <v>ORD26005353</v>
      </c>
      <c r="P2448" s="23" t="str">
        <f t="shared" si="116"/>
        <v>Sep</v>
      </c>
      <c r="Q2448" s="23" t="str">
        <f>IF(F2448="CAPTURE",IF(COUNTIF(orders!$A:$A,O2448)&gt;0,"Yes","NO ORDER"),"")</f>
        <v>Yes</v>
      </c>
    </row>
    <row r="2449" spans="1:17" ht="15" customHeight="1" x14ac:dyDescent="0.3">
      <c r="A2449" s="23" t="s">
        <v>15267</v>
      </c>
      <c r="B2449" s="23"/>
      <c r="C2449" s="23" t="s">
        <v>11197</v>
      </c>
      <c r="D2449" s="23" t="str">
        <f t="shared" si="114"/>
        <v>ORD26005382</v>
      </c>
      <c r="E2449" s="38">
        <v>46278</v>
      </c>
      <c r="F2449" s="23" t="s">
        <v>12410</v>
      </c>
      <c r="G2449" s="23" t="s">
        <v>75</v>
      </c>
      <c r="H2449" s="24">
        <v>599</v>
      </c>
      <c r="I2449" s="24">
        <v>1.8</v>
      </c>
      <c r="J2449" s="24">
        <v>0.32</v>
      </c>
      <c r="K2449" s="24">
        <v>596.88</v>
      </c>
      <c r="L2449" s="38">
        <v>46280</v>
      </c>
      <c r="M2449" s="23" t="s">
        <v>202</v>
      </c>
      <c r="N2449" s="23" t="str">
        <f>IF(COUNTIF($A$2:A2449,A2449)&gt;1,"DUP","OK")</f>
        <v>OK</v>
      </c>
      <c r="O2449" s="23" t="str">
        <f t="shared" si="115"/>
        <v>ORD26005382</v>
      </c>
      <c r="P2449" s="23" t="str">
        <f t="shared" si="116"/>
        <v>Sep</v>
      </c>
      <c r="Q2449" s="23" t="str">
        <f>IF(F2449="CAPTURE",IF(COUNTIF(orders!$A:$A,O2449)&gt;0,"Yes","NO ORDER"),"")</f>
        <v>Yes</v>
      </c>
    </row>
    <row r="2450" spans="1:17" ht="15" customHeight="1" x14ac:dyDescent="0.3">
      <c r="A2450" s="23" t="s">
        <v>15268</v>
      </c>
      <c r="B2450" s="23"/>
      <c r="C2450" s="23" t="s">
        <v>11241</v>
      </c>
      <c r="D2450" s="23" t="str">
        <f t="shared" si="114"/>
        <v>ORD26005404</v>
      </c>
      <c r="E2450" s="38">
        <v>46278</v>
      </c>
      <c r="F2450" s="23" t="s">
        <v>12410</v>
      </c>
      <c r="G2450" s="23" t="s">
        <v>75</v>
      </c>
      <c r="H2450" s="24">
        <v>5498</v>
      </c>
      <c r="I2450" s="24">
        <v>16.489999999999998</v>
      </c>
      <c r="J2450" s="24">
        <v>2.97</v>
      </c>
      <c r="K2450" s="24">
        <v>5478.54</v>
      </c>
      <c r="L2450" s="38">
        <v>46280</v>
      </c>
      <c r="M2450" s="23" t="s">
        <v>202</v>
      </c>
      <c r="N2450" s="23" t="str">
        <f>IF(COUNTIF($A$2:A2450,A2450)&gt;1,"DUP","OK")</f>
        <v>OK</v>
      </c>
      <c r="O2450" s="23" t="str">
        <f t="shared" si="115"/>
        <v>ORD26005404</v>
      </c>
      <c r="P2450" s="23" t="str">
        <f t="shared" si="116"/>
        <v>Sep</v>
      </c>
      <c r="Q2450" s="23" t="str">
        <f>IF(F2450="CAPTURE",IF(COUNTIF(orders!$A:$A,O2450)&gt;0,"Yes","NO ORDER"),"")</f>
        <v>Yes</v>
      </c>
    </row>
    <row r="2451" spans="1:17" ht="15" customHeight="1" x14ac:dyDescent="0.3">
      <c r="A2451" s="23" t="s">
        <v>15269</v>
      </c>
      <c r="B2451" s="23"/>
      <c r="C2451" s="23" t="s">
        <v>15270</v>
      </c>
      <c r="D2451" s="23" t="str">
        <f t="shared" si="114"/>
        <v>ORD26005424</v>
      </c>
      <c r="E2451" s="38">
        <v>46278</v>
      </c>
      <c r="F2451" s="23" t="s">
        <v>12410</v>
      </c>
      <c r="G2451" s="23" t="s">
        <v>77</v>
      </c>
      <c r="H2451" s="24">
        <v>349</v>
      </c>
      <c r="I2451" s="24">
        <v>6.63</v>
      </c>
      <c r="J2451" s="24">
        <v>1.19</v>
      </c>
      <c r="K2451" s="24">
        <v>341.18</v>
      </c>
      <c r="L2451" s="38">
        <v>46280</v>
      </c>
      <c r="M2451" s="23" t="s">
        <v>202</v>
      </c>
      <c r="N2451" s="23" t="str">
        <f>IF(COUNTIF($A$2:A2451,A2451)&gt;1,"DUP","OK")</f>
        <v>OK</v>
      </c>
      <c r="O2451" s="23" t="str">
        <f t="shared" si="115"/>
        <v>ORD26005424</v>
      </c>
      <c r="P2451" s="23" t="str">
        <f t="shared" si="116"/>
        <v>Sep</v>
      </c>
      <c r="Q2451" s="23" t="str">
        <f>IF(F2451="CAPTURE",IF(COUNTIF(orders!$A:$A,O2451)&gt;0,"Yes","NO ORDER"),"")</f>
        <v>Yes</v>
      </c>
    </row>
    <row r="2452" spans="1:17" ht="15" customHeight="1" x14ac:dyDescent="0.3">
      <c r="A2452" s="23" t="s">
        <v>15271</v>
      </c>
      <c r="B2452" s="23"/>
      <c r="C2452" s="23" t="s">
        <v>11424</v>
      </c>
      <c r="D2452" s="23" t="str">
        <f t="shared" si="114"/>
        <v>ORD26005498</v>
      </c>
      <c r="E2452" s="38">
        <v>46278</v>
      </c>
      <c r="F2452" s="23" t="s">
        <v>12410</v>
      </c>
      <c r="G2452" s="23" t="s">
        <v>75</v>
      </c>
      <c r="H2452" s="24">
        <v>8297</v>
      </c>
      <c r="I2452" s="24">
        <v>24.89</v>
      </c>
      <c r="J2452" s="24">
        <v>4.4800000000000004</v>
      </c>
      <c r="K2452" s="24">
        <v>8267.6299999999992</v>
      </c>
      <c r="L2452" s="38">
        <v>46280</v>
      </c>
      <c r="M2452" s="23" t="s">
        <v>202</v>
      </c>
      <c r="N2452" s="23" t="str">
        <f>IF(COUNTIF($A$2:A2452,A2452)&gt;1,"DUP","OK")</f>
        <v>OK</v>
      </c>
      <c r="O2452" s="23" t="str">
        <f t="shared" si="115"/>
        <v>ORD26005498</v>
      </c>
      <c r="P2452" s="23" t="str">
        <f t="shared" si="116"/>
        <v>Sep</v>
      </c>
      <c r="Q2452" s="23" t="str">
        <f>IF(F2452="CAPTURE",IF(COUNTIF(orders!$A:$A,O2452)&gt;0,"Yes","NO ORDER"),"")</f>
        <v>Yes</v>
      </c>
    </row>
    <row r="2453" spans="1:17" ht="15" customHeight="1" x14ac:dyDescent="0.3">
      <c r="A2453" s="23" t="s">
        <v>15272</v>
      </c>
      <c r="B2453" s="23"/>
      <c r="C2453" s="23" t="s">
        <v>11453</v>
      </c>
      <c r="D2453" s="23" t="str">
        <f t="shared" si="114"/>
        <v>ORD26005513</v>
      </c>
      <c r="E2453" s="38">
        <v>46278</v>
      </c>
      <c r="F2453" s="23" t="s">
        <v>12410</v>
      </c>
      <c r="G2453" s="23" t="s">
        <v>75</v>
      </c>
      <c r="H2453" s="24">
        <v>499</v>
      </c>
      <c r="I2453" s="24">
        <v>0</v>
      </c>
      <c r="J2453" s="24">
        <v>0</v>
      </c>
      <c r="K2453" s="24">
        <v>499</v>
      </c>
      <c r="L2453" s="38">
        <v>46280</v>
      </c>
      <c r="M2453" s="23" t="s">
        <v>202</v>
      </c>
      <c r="N2453" s="23" t="str">
        <f>IF(COUNTIF($A$2:A2453,A2453)&gt;1,"DUP","OK")</f>
        <v>OK</v>
      </c>
      <c r="O2453" s="23" t="str">
        <f t="shared" si="115"/>
        <v>ORD26005513</v>
      </c>
      <c r="P2453" s="23" t="str">
        <f t="shared" si="116"/>
        <v>Sep</v>
      </c>
      <c r="Q2453" s="23" t="str">
        <f>IF(F2453="CAPTURE",IF(COUNTIF(orders!$A:$A,O2453)&gt;0,"Yes","NO ORDER"),"")</f>
        <v>Yes</v>
      </c>
    </row>
    <row r="2454" spans="1:17" ht="15" customHeight="1" x14ac:dyDescent="0.3">
      <c r="A2454" s="23" t="s">
        <v>15273</v>
      </c>
      <c r="B2454" s="23"/>
      <c r="C2454" s="23" t="s">
        <v>11537</v>
      </c>
      <c r="D2454" s="23" t="str">
        <f t="shared" si="114"/>
        <v>ORD26005556</v>
      </c>
      <c r="E2454" s="38">
        <v>46278</v>
      </c>
      <c r="F2454" s="23" t="s">
        <v>12410</v>
      </c>
      <c r="G2454" s="23" t="s">
        <v>79</v>
      </c>
      <c r="H2454" s="24">
        <v>10497</v>
      </c>
      <c r="I2454" s="24">
        <v>167.95</v>
      </c>
      <c r="J2454" s="24">
        <v>30.23</v>
      </c>
      <c r="K2454" s="24">
        <v>10298.82</v>
      </c>
      <c r="L2454" s="38">
        <v>46280</v>
      </c>
      <c r="M2454" s="23" t="s">
        <v>202</v>
      </c>
      <c r="N2454" s="23" t="str">
        <f>IF(COUNTIF($A$2:A2454,A2454)&gt;1,"DUP","OK")</f>
        <v>OK</v>
      </c>
      <c r="O2454" s="23" t="str">
        <f t="shared" si="115"/>
        <v>ORD26005556</v>
      </c>
      <c r="P2454" s="23" t="str">
        <f t="shared" si="116"/>
        <v>Sep</v>
      </c>
      <c r="Q2454" s="23" t="str">
        <f>IF(F2454="CAPTURE",IF(COUNTIF(orders!$A:$A,O2454)&gt;0,"Yes","NO ORDER"),"")</f>
        <v>Yes</v>
      </c>
    </row>
    <row r="2455" spans="1:17" ht="15" customHeight="1" x14ac:dyDescent="0.3">
      <c r="A2455" s="23" t="s">
        <v>15274</v>
      </c>
      <c r="B2455" s="23"/>
      <c r="C2455" s="23" t="s">
        <v>11654</v>
      </c>
      <c r="D2455" s="23" t="str">
        <f t="shared" si="114"/>
        <v>ORD26005616</v>
      </c>
      <c r="E2455" s="38">
        <v>46278</v>
      </c>
      <c r="F2455" s="23" t="s">
        <v>12410</v>
      </c>
      <c r="G2455" s="23" t="s">
        <v>75</v>
      </c>
      <c r="H2455" s="24">
        <v>2499</v>
      </c>
      <c r="I2455" s="24">
        <v>7.5</v>
      </c>
      <c r="J2455" s="24">
        <v>1.35</v>
      </c>
      <c r="K2455" s="24">
        <v>2490.15</v>
      </c>
      <c r="L2455" s="38">
        <v>46280</v>
      </c>
      <c r="M2455" s="23" t="s">
        <v>202</v>
      </c>
      <c r="N2455" s="23" t="str">
        <f>IF(COUNTIF($A$2:A2455,A2455)&gt;1,"DUP","OK")</f>
        <v>OK</v>
      </c>
      <c r="O2455" s="23" t="str">
        <f t="shared" si="115"/>
        <v>ORD26005616</v>
      </c>
      <c r="P2455" s="23" t="str">
        <f t="shared" si="116"/>
        <v>Sep</v>
      </c>
      <c r="Q2455" s="23" t="str">
        <f>IF(F2455="CAPTURE",IF(COUNTIF(orders!$A:$A,O2455)&gt;0,"Yes","NO ORDER"),"")</f>
        <v>Yes</v>
      </c>
    </row>
    <row r="2456" spans="1:17" ht="15" customHeight="1" x14ac:dyDescent="0.3">
      <c r="A2456" s="23" t="s">
        <v>15275</v>
      </c>
      <c r="B2456" s="23"/>
      <c r="C2456" s="23" t="s">
        <v>11724</v>
      </c>
      <c r="D2456" s="23" t="str">
        <f t="shared" si="114"/>
        <v>ORD26005651</v>
      </c>
      <c r="E2456" s="38">
        <v>46278</v>
      </c>
      <c r="F2456" s="23" t="s">
        <v>12410</v>
      </c>
      <c r="G2456" s="23" t="s">
        <v>77</v>
      </c>
      <c r="H2456" s="24">
        <v>3299</v>
      </c>
      <c r="I2456" s="24">
        <v>56.08</v>
      </c>
      <c r="J2456" s="24">
        <v>10.09</v>
      </c>
      <c r="K2456" s="24">
        <v>3232.83</v>
      </c>
      <c r="L2456" s="38">
        <v>46280</v>
      </c>
      <c r="M2456" s="23" t="s">
        <v>202</v>
      </c>
      <c r="N2456" s="23" t="str">
        <f>IF(COUNTIF($A$2:A2456,A2456)&gt;1,"DUP","OK")</f>
        <v>OK</v>
      </c>
      <c r="O2456" s="23" t="str">
        <f t="shared" si="115"/>
        <v>ORD26005651</v>
      </c>
      <c r="P2456" s="23" t="str">
        <f t="shared" si="116"/>
        <v>Sep</v>
      </c>
      <c r="Q2456" s="23" t="str">
        <f>IF(F2456="CAPTURE",IF(COUNTIF(orders!$A:$A,O2456)&gt;0,"Yes","NO ORDER"),"")</f>
        <v>Yes</v>
      </c>
    </row>
    <row r="2457" spans="1:17" ht="15" customHeight="1" x14ac:dyDescent="0.3">
      <c r="A2457" s="23" t="s">
        <v>15276</v>
      </c>
      <c r="B2457" s="23"/>
      <c r="C2457" s="23" t="s">
        <v>11786</v>
      </c>
      <c r="D2457" s="23" t="str">
        <f t="shared" si="114"/>
        <v>ORD26005684</v>
      </c>
      <c r="E2457" s="38">
        <v>46278</v>
      </c>
      <c r="F2457" s="23" t="s">
        <v>12410</v>
      </c>
      <c r="G2457" s="23" t="s">
        <v>79</v>
      </c>
      <c r="H2457" s="24">
        <v>5998</v>
      </c>
      <c r="I2457" s="24">
        <v>95.97</v>
      </c>
      <c r="J2457" s="24">
        <v>17.27</v>
      </c>
      <c r="K2457" s="24">
        <v>5884.76</v>
      </c>
      <c r="L2457" s="38">
        <v>46280</v>
      </c>
      <c r="M2457" s="23" t="s">
        <v>202</v>
      </c>
      <c r="N2457" s="23" t="str">
        <f>IF(COUNTIF($A$2:A2457,A2457)&gt;1,"DUP","OK")</f>
        <v>OK</v>
      </c>
      <c r="O2457" s="23" t="str">
        <f t="shared" si="115"/>
        <v>ORD26005684</v>
      </c>
      <c r="P2457" s="23" t="str">
        <f t="shared" si="116"/>
        <v>Sep</v>
      </c>
      <c r="Q2457" s="23" t="str">
        <f>IF(F2457="CAPTURE",IF(COUNTIF(orders!$A:$A,O2457)&gt;0,"Yes","NO ORDER"),"")</f>
        <v>Yes</v>
      </c>
    </row>
    <row r="2458" spans="1:17" ht="15" customHeight="1" x14ac:dyDescent="0.3">
      <c r="A2458" s="23" t="s">
        <v>15277</v>
      </c>
      <c r="B2458" s="23"/>
      <c r="C2458" s="23" t="s">
        <v>11875</v>
      </c>
      <c r="D2458" s="23" t="str">
        <f t="shared" si="114"/>
        <v>ORD26005730</v>
      </c>
      <c r="E2458" s="38">
        <v>46278</v>
      </c>
      <c r="F2458" s="23" t="s">
        <v>12410</v>
      </c>
      <c r="G2458" s="23" t="s">
        <v>75</v>
      </c>
      <c r="H2458" s="24">
        <v>799</v>
      </c>
      <c r="I2458" s="24">
        <v>0</v>
      </c>
      <c r="J2458" s="24">
        <v>0</v>
      </c>
      <c r="K2458" s="24">
        <v>799</v>
      </c>
      <c r="L2458" s="38">
        <v>46280</v>
      </c>
      <c r="M2458" s="23" t="s">
        <v>202</v>
      </c>
      <c r="N2458" s="23" t="str">
        <f>IF(COUNTIF($A$2:A2458,A2458)&gt;1,"DUP","OK")</f>
        <v>OK</v>
      </c>
      <c r="O2458" s="23" t="str">
        <f t="shared" si="115"/>
        <v>ORD26005730</v>
      </c>
      <c r="P2458" s="23" t="str">
        <f t="shared" si="116"/>
        <v>Sep</v>
      </c>
      <c r="Q2458" s="23" t="str">
        <f>IF(F2458="CAPTURE",IF(COUNTIF(orders!$A:$A,O2458)&gt;0,"Yes","NO ORDER"),"")</f>
        <v>Yes</v>
      </c>
    </row>
    <row r="2459" spans="1:17" ht="15" customHeight="1" x14ac:dyDescent="0.3">
      <c r="A2459" s="23" t="s">
        <v>15278</v>
      </c>
      <c r="B2459" s="23"/>
      <c r="C2459" s="23" t="s">
        <v>11875</v>
      </c>
      <c r="D2459" s="23" t="str">
        <f t="shared" si="114"/>
        <v>ORD26005730</v>
      </c>
      <c r="E2459" s="38">
        <v>46278</v>
      </c>
      <c r="F2459" s="23" t="s">
        <v>12410</v>
      </c>
      <c r="G2459" s="23" t="s">
        <v>75</v>
      </c>
      <c r="H2459" s="24">
        <v>799</v>
      </c>
      <c r="I2459" s="24">
        <v>0</v>
      </c>
      <c r="J2459" s="24">
        <v>0</v>
      </c>
      <c r="K2459" s="24">
        <v>799</v>
      </c>
      <c r="L2459" s="38">
        <v>46280</v>
      </c>
      <c r="M2459" s="23" t="s">
        <v>202</v>
      </c>
      <c r="N2459" s="23" t="str">
        <f>IF(COUNTIF($A$2:A2459,A2459)&gt;1,"DUP","OK")</f>
        <v>OK</v>
      </c>
      <c r="O2459" s="23" t="str">
        <f t="shared" si="115"/>
        <v>ORD26005730</v>
      </c>
      <c r="P2459" s="23" t="str">
        <f t="shared" si="116"/>
        <v>Sep</v>
      </c>
      <c r="Q2459" s="23" t="str">
        <f>IF(F2459="CAPTURE",IF(COUNTIF(orders!$A:$A,O2459)&gt;0,"Yes","NO ORDER"),"")</f>
        <v>Yes</v>
      </c>
    </row>
    <row r="2460" spans="1:17" ht="15" customHeight="1" x14ac:dyDescent="0.3">
      <c r="A2460" s="23" t="s">
        <v>15279</v>
      </c>
      <c r="B2460" s="23"/>
      <c r="C2460" s="23" t="s">
        <v>15280</v>
      </c>
      <c r="D2460" s="23" t="str">
        <f t="shared" si="114"/>
        <v>ORD26005834</v>
      </c>
      <c r="E2460" s="38">
        <v>46278</v>
      </c>
      <c r="F2460" s="23" t="s">
        <v>12410</v>
      </c>
      <c r="G2460" s="23" t="s">
        <v>77</v>
      </c>
      <c r="H2460" s="24">
        <v>1298</v>
      </c>
      <c r="I2460" s="24">
        <v>24.66</v>
      </c>
      <c r="J2460" s="24">
        <v>4.4400000000000004</v>
      </c>
      <c r="K2460" s="24">
        <v>1268.9000000000001</v>
      </c>
      <c r="L2460" s="38">
        <v>46280</v>
      </c>
      <c r="M2460" s="23" t="s">
        <v>202</v>
      </c>
      <c r="N2460" s="23" t="str">
        <f>IF(COUNTIF($A$2:A2460,A2460)&gt;1,"DUP","OK")</f>
        <v>OK</v>
      </c>
      <c r="O2460" s="23" t="str">
        <f t="shared" si="115"/>
        <v>ORD26005834</v>
      </c>
      <c r="P2460" s="23" t="str">
        <f t="shared" si="116"/>
        <v>Sep</v>
      </c>
      <c r="Q2460" s="23" t="str">
        <f>IF(F2460="CAPTURE",IF(COUNTIF(orders!$A:$A,O2460)&gt;0,"Yes","NO ORDER"),"")</f>
        <v>Yes</v>
      </c>
    </row>
    <row r="2461" spans="1:17" ht="15" customHeight="1" x14ac:dyDescent="0.3">
      <c r="A2461" s="23" t="s">
        <v>15281</v>
      </c>
      <c r="B2461" s="23"/>
      <c r="C2461" s="23" t="s">
        <v>12088</v>
      </c>
      <c r="D2461" s="23" t="str">
        <f t="shared" si="114"/>
        <v>ORD26005840</v>
      </c>
      <c r="E2461" s="38">
        <v>46278</v>
      </c>
      <c r="F2461" s="23" t="s">
        <v>12410</v>
      </c>
      <c r="G2461" s="23" t="s">
        <v>75</v>
      </c>
      <c r="H2461" s="24">
        <v>999</v>
      </c>
      <c r="I2461" s="24">
        <v>0</v>
      </c>
      <c r="J2461" s="24">
        <v>0</v>
      </c>
      <c r="K2461" s="24">
        <v>999</v>
      </c>
      <c r="L2461" s="38">
        <v>46280</v>
      </c>
      <c r="M2461" s="23" t="s">
        <v>202</v>
      </c>
      <c r="N2461" s="23" t="str">
        <f>IF(COUNTIF($A$2:A2461,A2461)&gt;1,"DUP","OK")</f>
        <v>OK</v>
      </c>
      <c r="O2461" s="23" t="str">
        <f t="shared" si="115"/>
        <v>ORD26005840</v>
      </c>
      <c r="P2461" s="23" t="str">
        <f t="shared" si="116"/>
        <v>Sep</v>
      </c>
      <c r="Q2461" s="23" t="str">
        <f>IF(F2461="CAPTURE",IF(COUNTIF(orders!$A:$A,O2461)&gt;0,"Yes","NO ORDER"),"")</f>
        <v>Yes</v>
      </c>
    </row>
    <row r="2462" spans="1:17" ht="15" customHeight="1" x14ac:dyDescent="0.3">
      <c r="A2462" s="23" t="s">
        <v>15282</v>
      </c>
      <c r="B2462" s="23"/>
      <c r="C2462" s="23" t="s">
        <v>12166</v>
      </c>
      <c r="D2462" s="23" t="str">
        <f t="shared" si="114"/>
        <v>ORD26005882</v>
      </c>
      <c r="E2462" s="38">
        <v>46278</v>
      </c>
      <c r="F2462" s="23" t="s">
        <v>12410</v>
      </c>
      <c r="G2462" s="23" t="s">
        <v>75</v>
      </c>
      <c r="H2462" s="24">
        <v>599</v>
      </c>
      <c r="I2462" s="24">
        <v>0</v>
      </c>
      <c r="J2462" s="24">
        <v>0</v>
      </c>
      <c r="K2462" s="24">
        <v>599</v>
      </c>
      <c r="L2462" s="38">
        <v>46280</v>
      </c>
      <c r="M2462" s="23" t="s">
        <v>202</v>
      </c>
      <c r="N2462" s="23" t="str">
        <f>IF(COUNTIF($A$2:A2462,A2462)&gt;1,"DUP","OK")</f>
        <v>OK</v>
      </c>
      <c r="O2462" s="23" t="str">
        <f t="shared" si="115"/>
        <v>ORD26005882</v>
      </c>
      <c r="P2462" s="23" t="str">
        <f t="shared" si="116"/>
        <v>Sep</v>
      </c>
      <c r="Q2462" s="23" t="str">
        <f>IF(F2462="CAPTURE",IF(COUNTIF(orders!$A:$A,O2462)&gt;0,"Yes","NO ORDER"),"")</f>
        <v>Yes</v>
      </c>
    </row>
    <row r="2463" spans="1:17" ht="15" customHeight="1" x14ac:dyDescent="0.3">
      <c r="A2463" s="23" t="s">
        <v>15283</v>
      </c>
      <c r="B2463" s="23"/>
      <c r="C2463" s="23" t="s">
        <v>12190</v>
      </c>
      <c r="D2463" s="23" t="str">
        <f t="shared" si="114"/>
        <v>ORD26005895</v>
      </c>
      <c r="E2463" s="38">
        <v>46278</v>
      </c>
      <c r="F2463" s="23" t="s">
        <v>12410</v>
      </c>
      <c r="G2463" s="23" t="s">
        <v>77</v>
      </c>
      <c r="H2463" s="24">
        <v>4999</v>
      </c>
      <c r="I2463" s="24">
        <v>84.98</v>
      </c>
      <c r="J2463" s="24">
        <v>15.3</v>
      </c>
      <c r="K2463" s="24">
        <v>4898.72</v>
      </c>
      <c r="L2463" s="38">
        <v>46280</v>
      </c>
      <c r="M2463" s="23" t="s">
        <v>202</v>
      </c>
      <c r="N2463" s="23" t="str">
        <f>IF(COUNTIF($A$2:A2463,A2463)&gt;1,"DUP","OK")</f>
        <v>OK</v>
      </c>
      <c r="O2463" s="23" t="str">
        <f t="shared" si="115"/>
        <v>ORD26005895</v>
      </c>
      <c r="P2463" s="23" t="str">
        <f t="shared" si="116"/>
        <v>Sep</v>
      </c>
      <c r="Q2463" s="23" t="str">
        <f>IF(F2463="CAPTURE",IF(COUNTIF(orders!$A:$A,O2463)&gt;0,"Yes","NO ORDER"),"")</f>
        <v>Yes</v>
      </c>
    </row>
    <row r="2464" spans="1:17" ht="15" customHeight="1" x14ac:dyDescent="0.3">
      <c r="A2464" s="23" t="s">
        <v>15284</v>
      </c>
      <c r="B2464" s="23"/>
      <c r="C2464" s="23" t="s">
        <v>12272</v>
      </c>
      <c r="D2464" s="23" t="str">
        <f t="shared" si="114"/>
        <v>ORD26005937</v>
      </c>
      <c r="E2464" s="38">
        <v>46278</v>
      </c>
      <c r="F2464" s="23" t="s">
        <v>12410</v>
      </c>
      <c r="G2464" s="23" t="s">
        <v>79</v>
      </c>
      <c r="H2464" s="24">
        <v>6998</v>
      </c>
      <c r="I2464" s="24">
        <v>111.97</v>
      </c>
      <c r="J2464" s="24">
        <v>20.149999999999999</v>
      </c>
      <c r="K2464" s="24">
        <v>6865.88</v>
      </c>
      <c r="L2464" s="38">
        <v>46280</v>
      </c>
      <c r="M2464" s="23" t="s">
        <v>202</v>
      </c>
      <c r="N2464" s="23" t="str">
        <f>IF(COUNTIF($A$2:A2464,A2464)&gt;1,"DUP","OK")</f>
        <v>OK</v>
      </c>
      <c r="O2464" s="23" t="str">
        <f t="shared" si="115"/>
        <v>ORD26005937</v>
      </c>
      <c r="P2464" s="23" t="str">
        <f t="shared" si="116"/>
        <v>Sep</v>
      </c>
      <c r="Q2464" s="23" t="str">
        <f>IF(F2464="CAPTURE",IF(COUNTIF(orders!$A:$A,O2464)&gt;0,"Yes","NO ORDER"),"")</f>
        <v>Yes</v>
      </c>
    </row>
    <row r="2465" spans="1:17" ht="15" customHeight="1" x14ac:dyDescent="0.3">
      <c r="A2465" s="23" t="s">
        <v>15285</v>
      </c>
      <c r="B2465" s="23"/>
      <c r="C2465" s="23" t="s">
        <v>12301</v>
      </c>
      <c r="D2465" s="23" t="str">
        <f t="shared" si="114"/>
        <v>ORD26005953</v>
      </c>
      <c r="E2465" s="38">
        <v>46278</v>
      </c>
      <c r="F2465" s="23" t="s">
        <v>12410</v>
      </c>
      <c r="G2465" s="23" t="s">
        <v>75</v>
      </c>
      <c r="H2465" s="24">
        <v>4999</v>
      </c>
      <c r="I2465" s="24">
        <v>15</v>
      </c>
      <c r="J2465" s="24">
        <v>2.7</v>
      </c>
      <c r="K2465" s="24">
        <v>4981.3</v>
      </c>
      <c r="L2465" s="38">
        <v>46280</v>
      </c>
      <c r="M2465" s="23" t="s">
        <v>202</v>
      </c>
      <c r="N2465" s="23" t="str">
        <f>IF(COUNTIF($A$2:A2465,A2465)&gt;1,"DUP","OK")</f>
        <v>OK</v>
      </c>
      <c r="O2465" s="23" t="str">
        <f t="shared" si="115"/>
        <v>ORD26005953</v>
      </c>
      <c r="P2465" s="23" t="str">
        <f t="shared" si="116"/>
        <v>Sep</v>
      </c>
      <c r="Q2465" s="23" t="str">
        <f>IF(F2465="CAPTURE",IF(COUNTIF(orders!$A:$A,O2465)&gt;0,"Yes","NO ORDER"),"")</f>
        <v>Yes</v>
      </c>
    </row>
    <row r="2466" spans="1:17" ht="15" customHeight="1" x14ac:dyDescent="0.3">
      <c r="A2466" s="23" t="s">
        <v>15286</v>
      </c>
      <c r="B2466" s="23"/>
      <c r="C2466" s="23" t="s">
        <v>12332</v>
      </c>
      <c r="D2466" s="23" t="str">
        <f t="shared" si="114"/>
        <v>ORD26005970</v>
      </c>
      <c r="E2466" s="38">
        <v>46278</v>
      </c>
      <c r="F2466" s="23" t="s">
        <v>12410</v>
      </c>
      <c r="G2466" s="23" t="s">
        <v>75</v>
      </c>
      <c r="H2466" s="24">
        <v>2999</v>
      </c>
      <c r="I2466" s="24">
        <v>9</v>
      </c>
      <c r="J2466" s="24">
        <v>1.62</v>
      </c>
      <c r="K2466" s="24">
        <v>2988.38</v>
      </c>
      <c r="L2466" s="38">
        <v>46280</v>
      </c>
      <c r="M2466" s="23" t="s">
        <v>202</v>
      </c>
      <c r="N2466" s="23" t="str">
        <f>IF(COUNTIF($A$2:A2466,A2466)&gt;1,"DUP","OK")</f>
        <v>OK</v>
      </c>
      <c r="O2466" s="23" t="str">
        <f t="shared" si="115"/>
        <v>ORD26005970</v>
      </c>
      <c r="P2466" s="23" t="str">
        <f t="shared" si="116"/>
        <v>Sep</v>
      </c>
      <c r="Q2466" s="23" t="str">
        <f>IF(F2466="CAPTURE",IF(COUNTIF(orders!$A:$A,O2466)&gt;0,"Yes","NO ORDER"),"")</f>
        <v>Yes</v>
      </c>
    </row>
    <row r="2467" spans="1:17" ht="15" customHeight="1" x14ac:dyDescent="0.3">
      <c r="A2467" s="23" t="s">
        <v>15287</v>
      </c>
      <c r="B2467" s="23"/>
      <c r="C2467" s="23" t="s">
        <v>12342</v>
      </c>
      <c r="D2467" s="23" t="str">
        <f t="shared" si="114"/>
        <v>ORD26005975</v>
      </c>
      <c r="E2467" s="38">
        <v>46278</v>
      </c>
      <c r="F2467" s="23" t="s">
        <v>12410</v>
      </c>
      <c r="G2467" s="23" t="s">
        <v>75</v>
      </c>
      <c r="H2467" s="24">
        <v>2147</v>
      </c>
      <c r="I2467" s="24">
        <v>6.44</v>
      </c>
      <c r="J2467" s="24">
        <v>1.1599999999999999</v>
      </c>
      <c r="K2467" s="24">
        <v>2139.4</v>
      </c>
      <c r="L2467" s="38">
        <v>46280</v>
      </c>
      <c r="M2467" s="23" t="s">
        <v>202</v>
      </c>
      <c r="N2467" s="23" t="str">
        <f>IF(COUNTIF($A$2:A2467,A2467)&gt;1,"DUP","OK")</f>
        <v>OK</v>
      </c>
      <c r="O2467" s="23" t="str">
        <f t="shared" si="115"/>
        <v>ORD26005975</v>
      </c>
      <c r="P2467" s="23" t="str">
        <f t="shared" si="116"/>
        <v>Sep</v>
      </c>
      <c r="Q2467" s="23" t="str">
        <f>IF(F2467="CAPTURE",IF(COUNTIF(orders!$A:$A,O2467)&gt;0,"Yes","NO ORDER"),"")</f>
        <v>Yes</v>
      </c>
    </row>
    <row r="2468" spans="1:17" ht="15" customHeight="1" x14ac:dyDescent="0.3">
      <c r="A2468" s="23" t="s">
        <v>15288</v>
      </c>
      <c r="B2468" s="23"/>
      <c r="C2468" s="23" t="s">
        <v>12374</v>
      </c>
      <c r="D2468" s="23" t="str">
        <f t="shared" si="114"/>
        <v>ORD26005991</v>
      </c>
      <c r="E2468" s="38">
        <v>46278</v>
      </c>
      <c r="F2468" s="23" t="s">
        <v>12410</v>
      </c>
      <c r="G2468" s="23" t="s">
        <v>75</v>
      </c>
      <c r="H2468" s="24">
        <v>4897</v>
      </c>
      <c r="I2468" s="24">
        <v>14.69</v>
      </c>
      <c r="J2468" s="24">
        <v>2.64</v>
      </c>
      <c r="K2468" s="24">
        <v>4879.67</v>
      </c>
      <c r="L2468" s="38">
        <v>46280</v>
      </c>
      <c r="M2468" s="23" t="s">
        <v>202</v>
      </c>
      <c r="N2468" s="23" t="str">
        <f>IF(COUNTIF($A$2:A2468,A2468)&gt;1,"DUP","OK")</f>
        <v>OK</v>
      </c>
      <c r="O2468" s="23" t="str">
        <f t="shared" si="115"/>
        <v>ORD26005991</v>
      </c>
      <c r="P2468" s="23" t="str">
        <f t="shared" si="116"/>
        <v>Sep</v>
      </c>
      <c r="Q2468" s="23" t="str">
        <f>IF(F2468="CAPTURE",IF(COUNTIF(orders!$A:$A,O2468)&gt;0,"Yes","NO ORDER"),"")</f>
        <v>Yes</v>
      </c>
    </row>
    <row r="2469" spans="1:17" ht="15" customHeight="1" x14ac:dyDescent="0.3">
      <c r="A2469" s="23" t="s">
        <v>15289</v>
      </c>
      <c r="B2469" s="23"/>
      <c r="C2469" s="23" t="s">
        <v>12376</v>
      </c>
      <c r="D2469" s="23" t="str">
        <f t="shared" si="114"/>
        <v>ORD26005992</v>
      </c>
      <c r="E2469" s="38">
        <v>46278</v>
      </c>
      <c r="F2469" s="23" t="s">
        <v>12410</v>
      </c>
      <c r="G2469" s="23" t="s">
        <v>79</v>
      </c>
      <c r="H2469" s="24">
        <v>4999</v>
      </c>
      <c r="I2469" s="24">
        <v>79.98</v>
      </c>
      <c r="J2469" s="24">
        <v>14.4</v>
      </c>
      <c r="K2469" s="24">
        <v>4904.62</v>
      </c>
      <c r="L2469" s="38">
        <v>46280</v>
      </c>
      <c r="M2469" s="23" t="s">
        <v>202</v>
      </c>
      <c r="N2469" s="23" t="str">
        <f>IF(COUNTIF($A$2:A2469,A2469)&gt;1,"DUP","OK")</f>
        <v>OK</v>
      </c>
      <c r="O2469" s="23" t="str">
        <f t="shared" si="115"/>
        <v>ORD26005992</v>
      </c>
      <c r="P2469" s="23" t="str">
        <f t="shared" si="116"/>
        <v>Sep</v>
      </c>
      <c r="Q2469" s="23" t="str">
        <f>IF(F2469="CAPTURE",IF(COUNTIF(orders!$A:$A,O2469)&gt;0,"Yes","NO ORDER"),"")</f>
        <v>Yes</v>
      </c>
    </row>
    <row r="2470" spans="1:17" ht="15" customHeight="1" x14ac:dyDescent="0.3">
      <c r="A2470" s="23" t="s">
        <v>15290</v>
      </c>
      <c r="B2470" s="23" t="s">
        <v>14499</v>
      </c>
      <c r="C2470" s="23"/>
      <c r="D2470" s="23" t="str">
        <f t="shared" si="114"/>
        <v/>
      </c>
      <c r="E2470" s="38">
        <v>46278</v>
      </c>
      <c r="F2470" s="23" t="s">
        <v>12791</v>
      </c>
      <c r="G2470" s="23" t="s">
        <v>79</v>
      </c>
      <c r="H2470" s="24">
        <v>3499</v>
      </c>
      <c r="I2470" s="24">
        <v>0</v>
      </c>
      <c r="J2470" s="24">
        <v>0</v>
      </c>
      <c r="K2470" s="24">
        <v>-3499</v>
      </c>
      <c r="L2470" s="38">
        <v>46280</v>
      </c>
      <c r="M2470" s="23" t="s">
        <v>202</v>
      </c>
      <c r="N2470" s="23" t="str">
        <f>IF(COUNTIF($A$2:A2470,A2470)&gt;1,"DUP","OK")</f>
        <v>OK</v>
      </c>
      <c r="O2470" s="23" t="str">
        <f t="shared" si="115"/>
        <v>ORD26003897</v>
      </c>
      <c r="P2470" s="23" t="str">
        <f t="shared" si="116"/>
        <v>Sep</v>
      </c>
      <c r="Q2470" s="23" t="str">
        <f>IF(F2470="CAPTURE",IF(COUNTIF(orders!$A:$A,O2470)&gt;0,"Yes","NO ORDER"),"")</f>
        <v/>
      </c>
    </row>
    <row r="2471" spans="1:17" ht="15" customHeight="1" x14ac:dyDescent="0.3">
      <c r="A2471" s="23" t="s">
        <v>15291</v>
      </c>
      <c r="B2471" s="23" t="s">
        <v>14780</v>
      </c>
      <c r="C2471" s="23"/>
      <c r="D2471" s="23" t="str">
        <f t="shared" si="114"/>
        <v/>
      </c>
      <c r="E2471" s="38">
        <v>46278</v>
      </c>
      <c r="F2471" s="23" t="s">
        <v>12791</v>
      </c>
      <c r="G2471" s="23" t="s">
        <v>75</v>
      </c>
      <c r="H2471" s="24">
        <v>1799</v>
      </c>
      <c r="I2471" s="24">
        <v>0</v>
      </c>
      <c r="J2471" s="24">
        <v>0</v>
      </c>
      <c r="K2471" s="24">
        <v>-1799</v>
      </c>
      <c r="L2471" s="38">
        <v>46280</v>
      </c>
      <c r="M2471" s="23" t="s">
        <v>202</v>
      </c>
      <c r="N2471" s="23" t="str">
        <f>IF(COUNTIF($A$2:A2471,A2471)&gt;1,"DUP","OK")</f>
        <v>OK</v>
      </c>
      <c r="O2471" s="23" t="str">
        <f t="shared" si="115"/>
        <v>ORD26005357</v>
      </c>
      <c r="P2471" s="23" t="str">
        <f t="shared" si="116"/>
        <v>Sep</v>
      </c>
      <c r="Q2471" s="23" t="str">
        <f>IF(F2471="CAPTURE",IF(COUNTIF(orders!$A:$A,O2471)&gt;0,"Yes","NO ORDER"),"")</f>
        <v/>
      </c>
    </row>
    <row r="2472" spans="1:17" ht="15" customHeight="1" x14ac:dyDescent="0.3">
      <c r="A2472" s="23" t="s">
        <v>15292</v>
      </c>
      <c r="B2472" s="23" t="s">
        <v>14907</v>
      </c>
      <c r="C2472" s="23"/>
      <c r="D2472" s="23" t="str">
        <f t="shared" si="114"/>
        <v/>
      </c>
      <c r="E2472" s="38">
        <v>46278</v>
      </c>
      <c r="F2472" s="23" t="s">
        <v>12791</v>
      </c>
      <c r="G2472" s="23" t="s">
        <v>75</v>
      </c>
      <c r="H2472" s="24">
        <v>999</v>
      </c>
      <c r="I2472" s="24">
        <v>0</v>
      </c>
      <c r="J2472" s="24">
        <v>0</v>
      </c>
      <c r="K2472" s="24">
        <v>-999</v>
      </c>
      <c r="L2472" s="38">
        <v>46280</v>
      </c>
      <c r="M2472" s="23" t="s">
        <v>202</v>
      </c>
      <c r="N2472" s="23" t="str">
        <f>IF(COUNTIF($A$2:A2472,A2472)&gt;1,"DUP","OK")</f>
        <v>OK</v>
      </c>
      <c r="O2472" s="23" t="str">
        <f t="shared" si="115"/>
        <v>ORD26002978</v>
      </c>
      <c r="P2472" s="23" t="str">
        <f t="shared" si="116"/>
        <v>Sep</v>
      </c>
      <c r="Q2472" s="23" t="str">
        <f>IF(F2472="CAPTURE",IF(COUNTIF(orders!$A:$A,O2472)&gt;0,"Yes","NO ORDER"),"")</f>
        <v/>
      </c>
    </row>
    <row r="2473" spans="1:17" ht="15" customHeight="1" x14ac:dyDescent="0.3">
      <c r="A2473" s="23" t="s">
        <v>15293</v>
      </c>
      <c r="B2473" s="23" t="s">
        <v>14430</v>
      </c>
      <c r="C2473" s="23"/>
      <c r="D2473" s="23" t="str">
        <f t="shared" si="114"/>
        <v/>
      </c>
      <c r="E2473" s="38">
        <v>46278</v>
      </c>
      <c r="F2473" s="23" t="s">
        <v>12791</v>
      </c>
      <c r="G2473" s="23" t="s">
        <v>79</v>
      </c>
      <c r="H2473" s="24">
        <v>948</v>
      </c>
      <c r="I2473" s="24">
        <v>0</v>
      </c>
      <c r="J2473" s="24">
        <v>0</v>
      </c>
      <c r="K2473" s="24">
        <v>-948</v>
      </c>
      <c r="L2473" s="38">
        <v>46280</v>
      </c>
      <c r="M2473" s="23" t="s">
        <v>202</v>
      </c>
      <c r="N2473" s="23" t="str">
        <f>IF(COUNTIF($A$2:A2473,A2473)&gt;1,"DUP","OK")</f>
        <v>OK</v>
      </c>
      <c r="O2473" s="23" t="str">
        <f t="shared" si="115"/>
        <v>ORD26001856</v>
      </c>
      <c r="P2473" s="23" t="str">
        <f t="shared" si="116"/>
        <v>Sep</v>
      </c>
      <c r="Q2473" s="23" t="str">
        <f>IF(F2473="CAPTURE",IF(COUNTIF(orders!$A:$A,O2473)&gt;0,"Yes","NO ORDER"),"")</f>
        <v/>
      </c>
    </row>
    <row r="2474" spans="1:17" ht="15" customHeight="1" x14ac:dyDescent="0.3">
      <c r="A2474" s="23" t="s">
        <v>15294</v>
      </c>
      <c r="B2474" s="23" t="s">
        <v>14060</v>
      </c>
      <c r="C2474" s="23"/>
      <c r="D2474" s="23" t="str">
        <f t="shared" si="114"/>
        <v/>
      </c>
      <c r="E2474" s="38">
        <v>46278</v>
      </c>
      <c r="F2474" s="23" t="s">
        <v>12791</v>
      </c>
      <c r="G2474" s="23" t="s">
        <v>75</v>
      </c>
      <c r="H2474" s="24">
        <v>799</v>
      </c>
      <c r="I2474" s="24">
        <v>0</v>
      </c>
      <c r="J2474" s="24">
        <v>0</v>
      </c>
      <c r="K2474" s="24">
        <v>-799</v>
      </c>
      <c r="L2474" s="38">
        <v>46280</v>
      </c>
      <c r="M2474" s="23" t="s">
        <v>202</v>
      </c>
      <c r="N2474" s="23" t="str">
        <f>IF(COUNTIF($A$2:A2474,A2474)&gt;1,"DUP","OK")</f>
        <v>OK</v>
      </c>
      <c r="O2474" s="23" t="str">
        <f t="shared" si="115"/>
        <v>ORD26003976</v>
      </c>
      <c r="P2474" s="23" t="str">
        <f t="shared" si="116"/>
        <v>Sep</v>
      </c>
      <c r="Q2474" s="23" t="str">
        <f>IF(F2474="CAPTURE",IF(COUNTIF(orders!$A:$A,O2474)&gt;0,"Yes","NO ORDER"),"")</f>
        <v/>
      </c>
    </row>
    <row r="2475" spans="1:17" ht="15" customHeight="1" x14ac:dyDescent="0.3">
      <c r="A2475" s="23" t="s">
        <v>15295</v>
      </c>
      <c r="B2475" s="23" t="s">
        <v>14188</v>
      </c>
      <c r="C2475" s="23"/>
      <c r="D2475" s="23" t="str">
        <f t="shared" si="114"/>
        <v/>
      </c>
      <c r="E2475" s="38">
        <v>46278</v>
      </c>
      <c r="F2475" s="23" t="s">
        <v>12791</v>
      </c>
      <c r="G2475" s="23" t="s">
        <v>79</v>
      </c>
      <c r="H2475" s="24">
        <v>999</v>
      </c>
      <c r="I2475" s="24">
        <v>0</v>
      </c>
      <c r="J2475" s="24">
        <v>0</v>
      </c>
      <c r="K2475" s="24">
        <v>-999</v>
      </c>
      <c r="L2475" s="38">
        <v>46280</v>
      </c>
      <c r="M2475" s="23" t="s">
        <v>202</v>
      </c>
      <c r="N2475" s="23" t="str">
        <f>IF(COUNTIF($A$2:A2475,A2475)&gt;1,"DUP","OK")</f>
        <v>OK</v>
      </c>
      <c r="O2475" s="23" t="str">
        <f t="shared" si="115"/>
        <v>ORD26000887</v>
      </c>
      <c r="P2475" s="23" t="str">
        <f t="shared" si="116"/>
        <v>Sep</v>
      </c>
      <c r="Q2475" s="23" t="str">
        <f>IF(F2475="CAPTURE",IF(COUNTIF(orders!$A:$A,O2475)&gt;0,"Yes","NO ORDER"),"")</f>
        <v/>
      </c>
    </row>
    <row r="2476" spans="1:17" ht="15" customHeight="1" x14ac:dyDescent="0.3">
      <c r="A2476" s="23" t="s">
        <v>15296</v>
      </c>
      <c r="B2476" s="23" t="s">
        <v>14443</v>
      </c>
      <c r="C2476" s="23"/>
      <c r="D2476" s="23" t="str">
        <f t="shared" si="114"/>
        <v/>
      </c>
      <c r="E2476" s="38">
        <v>46278</v>
      </c>
      <c r="F2476" s="23" t="s">
        <v>12791</v>
      </c>
      <c r="G2476" s="23" t="s">
        <v>79</v>
      </c>
      <c r="H2476" s="24">
        <v>2147</v>
      </c>
      <c r="I2476" s="24">
        <v>0</v>
      </c>
      <c r="J2476" s="24">
        <v>0</v>
      </c>
      <c r="K2476" s="24">
        <v>-2147</v>
      </c>
      <c r="L2476" s="38">
        <v>46280</v>
      </c>
      <c r="M2476" s="23" t="s">
        <v>202</v>
      </c>
      <c r="N2476" s="23" t="str">
        <f>IF(COUNTIF($A$2:A2476,A2476)&gt;1,"DUP","OK")</f>
        <v>OK</v>
      </c>
      <c r="O2476" s="23" t="str">
        <f t="shared" si="115"/>
        <v>ORD26002214</v>
      </c>
      <c r="P2476" s="23" t="str">
        <f t="shared" si="116"/>
        <v>Sep</v>
      </c>
      <c r="Q2476" s="23" t="str">
        <f>IF(F2476="CAPTURE",IF(COUNTIF(orders!$A:$A,O2476)&gt;0,"Yes","NO ORDER"),"")</f>
        <v/>
      </c>
    </row>
    <row r="2477" spans="1:17" ht="15" customHeight="1" x14ac:dyDescent="0.3">
      <c r="A2477" s="23" t="s">
        <v>15297</v>
      </c>
      <c r="B2477" s="23" t="s">
        <v>14438</v>
      </c>
      <c r="C2477" s="23"/>
      <c r="D2477" s="23" t="str">
        <f t="shared" si="114"/>
        <v/>
      </c>
      <c r="E2477" s="38">
        <v>46278</v>
      </c>
      <c r="F2477" s="23" t="s">
        <v>12791</v>
      </c>
      <c r="G2477" s="23" t="s">
        <v>75</v>
      </c>
      <c r="H2477" s="24">
        <v>3098</v>
      </c>
      <c r="I2477" s="24">
        <v>0</v>
      </c>
      <c r="J2477" s="24">
        <v>0</v>
      </c>
      <c r="K2477" s="24">
        <v>-3098</v>
      </c>
      <c r="L2477" s="38">
        <v>46280</v>
      </c>
      <c r="M2477" s="23" t="s">
        <v>202</v>
      </c>
      <c r="N2477" s="23" t="str">
        <f>IF(COUNTIF($A$2:A2477,A2477)&gt;1,"DUP","OK")</f>
        <v>OK</v>
      </c>
      <c r="O2477" s="23" t="str">
        <f t="shared" si="115"/>
        <v>ORD26002081</v>
      </c>
      <c r="P2477" s="23" t="str">
        <f t="shared" si="116"/>
        <v>Sep</v>
      </c>
      <c r="Q2477" s="23" t="str">
        <f>IF(F2477="CAPTURE",IF(COUNTIF(orders!$A:$A,O2477)&gt;0,"Yes","NO ORDER"),"")</f>
        <v/>
      </c>
    </row>
    <row r="2478" spans="1:17" ht="15" customHeight="1" x14ac:dyDescent="0.3">
      <c r="A2478" s="23" t="s">
        <v>15298</v>
      </c>
      <c r="B2478" s="23" t="s">
        <v>14897</v>
      </c>
      <c r="C2478" s="23"/>
      <c r="D2478" s="23" t="str">
        <f t="shared" si="114"/>
        <v/>
      </c>
      <c r="E2478" s="38">
        <v>46278</v>
      </c>
      <c r="F2478" s="23" t="s">
        <v>12791</v>
      </c>
      <c r="G2478" s="23" t="s">
        <v>77</v>
      </c>
      <c r="H2478" s="24">
        <v>2298</v>
      </c>
      <c r="I2478" s="24">
        <v>0</v>
      </c>
      <c r="J2478" s="24">
        <v>0</v>
      </c>
      <c r="K2478" s="24">
        <v>-2298</v>
      </c>
      <c r="L2478" s="38">
        <v>46280</v>
      </c>
      <c r="M2478" s="23" t="s">
        <v>202</v>
      </c>
      <c r="N2478" s="23" t="str">
        <f>IF(COUNTIF($A$2:A2478,A2478)&gt;1,"DUP","OK")</f>
        <v>OK</v>
      </c>
      <c r="O2478" s="23" t="str">
        <f t="shared" si="115"/>
        <v>ORD26002433</v>
      </c>
      <c r="P2478" s="23" t="str">
        <f t="shared" si="116"/>
        <v>Sep</v>
      </c>
      <c r="Q2478" s="23" t="str">
        <f>IF(F2478="CAPTURE",IF(COUNTIF(orders!$A:$A,O2478)&gt;0,"Yes","NO ORDER"),"")</f>
        <v/>
      </c>
    </row>
    <row r="2479" spans="1:17" ht="15" customHeight="1" x14ac:dyDescent="0.3">
      <c r="A2479" s="23" t="s">
        <v>15299</v>
      </c>
      <c r="B2479" s="23" t="s">
        <v>13791</v>
      </c>
      <c r="C2479" s="23"/>
      <c r="D2479" s="23" t="str">
        <f t="shared" si="114"/>
        <v/>
      </c>
      <c r="E2479" s="38">
        <v>46278</v>
      </c>
      <c r="F2479" s="23" t="s">
        <v>12791</v>
      </c>
      <c r="G2479" s="23" t="s">
        <v>79</v>
      </c>
      <c r="H2479" s="24">
        <v>1799</v>
      </c>
      <c r="I2479" s="24">
        <v>0</v>
      </c>
      <c r="J2479" s="24">
        <v>0</v>
      </c>
      <c r="K2479" s="24">
        <v>-1799</v>
      </c>
      <c r="L2479" s="38">
        <v>46280</v>
      </c>
      <c r="M2479" s="23" t="s">
        <v>202</v>
      </c>
      <c r="N2479" s="23" t="str">
        <f>IF(COUNTIF($A$2:A2479,A2479)&gt;1,"DUP","OK")</f>
        <v>OK</v>
      </c>
      <c r="O2479" s="23" t="str">
        <f t="shared" si="115"/>
        <v>ORD26003169</v>
      </c>
      <c r="P2479" s="23" t="str">
        <f t="shared" si="116"/>
        <v>Sep</v>
      </c>
      <c r="Q2479" s="23" t="str">
        <f>IF(F2479="CAPTURE",IF(COUNTIF(orders!$A:$A,O2479)&gt;0,"Yes","NO ORDER"),"")</f>
        <v/>
      </c>
    </row>
    <row r="2480" spans="1:17" ht="15" customHeight="1" x14ac:dyDescent="0.3">
      <c r="A2480" s="23" t="s">
        <v>15300</v>
      </c>
      <c r="B2480" s="23" t="s">
        <v>13785</v>
      </c>
      <c r="C2480" s="23"/>
      <c r="D2480" s="23" t="str">
        <f t="shared" si="114"/>
        <v/>
      </c>
      <c r="E2480" s="38">
        <v>46278</v>
      </c>
      <c r="F2480" s="23" t="s">
        <v>12791</v>
      </c>
      <c r="G2480" s="23" t="s">
        <v>79</v>
      </c>
      <c r="H2480" s="24">
        <v>5348</v>
      </c>
      <c r="I2480" s="24">
        <v>0</v>
      </c>
      <c r="J2480" s="24">
        <v>0</v>
      </c>
      <c r="K2480" s="24">
        <v>-5348</v>
      </c>
      <c r="L2480" s="38">
        <v>46280</v>
      </c>
      <c r="M2480" s="23" t="s">
        <v>202</v>
      </c>
      <c r="N2480" s="23" t="str">
        <f>IF(COUNTIF($A$2:A2480,A2480)&gt;1,"DUP","OK")</f>
        <v>OK</v>
      </c>
      <c r="O2480" s="23" t="str">
        <f t="shared" si="115"/>
        <v>ORD26002960</v>
      </c>
      <c r="P2480" s="23" t="str">
        <f t="shared" si="116"/>
        <v>Sep</v>
      </c>
      <c r="Q2480" s="23" t="str">
        <f>IF(F2480="CAPTURE",IF(COUNTIF(orders!$A:$A,O2480)&gt;0,"Yes","NO ORDER"),"")</f>
        <v/>
      </c>
    </row>
    <row r="2481" spans="1:17" ht="15" customHeight="1" x14ac:dyDescent="0.3">
      <c r="A2481" s="23" t="s">
        <v>15301</v>
      </c>
      <c r="B2481" s="23"/>
      <c r="C2481" s="23" t="s">
        <v>341</v>
      </c>
      <c r="D2481" s="23" t="str">
        <f t="shared" si="114"/>
        <v>ORD26000033</v>
      </c>
      <c r="E2481" s="38">
        <v>46279</v>
      </c>
      <c r="F2481" s="23" t="s">
        <v>12410</v>
      </c>
      <c r="G2481" s="23" t="s">
        <v>79</v>
      </c>
      <c r="H2481" s="24">
        <v>9498</v>
      </c>
      <c r="I2481" s="24">
        <v>151.97</v>
      </c>
      <c r="J2481" s="24">
        <v>27.35</v>
      </c>
      <c r="K2481" s="24">
        <v>9318.68</v>
      </c>
      <c r="L2481" s="38">
        <v>46281</v>
      </c>
      <c r="M2481" s="23" t="s">
        <v>204</v>
      </c>
      <c r="N2481" s="23" t="str">
        <f>IF(COUNTIF($A$2:A2481,A2481)&gt;1,"DUP","OK")</f>
        <v>OK</v>
      </c>
      <c r="O2481" s="23" t="str">
        <f t="shared" si="115"/>
        <v>ORD26000033</v>
      </c>
      <c r="P2481" s="23" t="str">
        <f t="shared" si="116"/>
        <v>Sep</v>
      </c>
      <c r="Q2481" s="23" t="str">
        <f>IF(F2481="CAPTURE",IF(COUNTIF(orders!$A:$A,O2481)&gt;0,"Yes","NO ORDER"),"")</f>
        <v>Yes</v>
      </c>
    </row>
    <row r="2482" spans="1:17" ht="15" customHeight="1" x14ac:dyDescent="0.3">
      <c r="A2482" s="23" t="s">
        <v>15302</v>
      </c>
      <c r="B2482" s="23"/>
      <c r="C2482" s="23" t="s">
        <v>469</v>
      </c>
      <c r="D2482" s="23" t="str">
        <f t="shared" si="114"/>
        <v>ORD26000084</v>
      </c>
      <c r="E2482" s="38">
        <v>46279</v>
      </c>
      <c r="F2482" s="23" t="s">
        <v>12410</v>
      </c>
      <c r="G2482" s="23" t="s">
        <v>75</v>
      </c>
      <c r="H2482" s="24">
        <v>1799</v>
      </c>
      <c r="I2482" s="24">
        <v>0</v>
      </c>
      <c r="J2482" s="24">
        <v>0</v>
      </c>
      <c r="K2482" s="24">
        <v>1799</v>
      </c>
      <c r="L2482" s="38">
        <v>46281</v>
      </c>
      <c r="M2482" s="23" t="s">
        <v>204</v>
      </c>
      <c r="N2482" s="23" t="str">
        <f>IF(COUNTIF($A$2:A2482,A2482)&gt;1,"DUP","OK")</f>
        <v>OK</v>
      </c>
      <c r="O2482" s="23" t="str">
        <f t="shared" si="115"/>
        <v>ORD26000084</v>
      </c>
      <c r="P2482" s="23" t="str">
        <f t="shared" si="116"/>
        <v>Sep</v>
      </c>
      <c r="Q2482" s="23" t="str">
        <f>IF(F2482="CAPTURE",IF(COUNTIF(orders!$A:$A,O2482)&gt;0,"Yes","NO ORDER"),"")</f>
        <v>Yes</v>
      </c>
    </row>
    <row r="2483" spans="1:17" ht="15" customHeight="1" x14ac:dyDescent="0.3">
      <c r="A2483" s="23" t="s">
        <v>15303</v>
      </c>
      <c r="B2483" s="23"/>
      <c r="C2483" s="23" t="s">
        <v>15304</v>
      </c>
      <c r="D2483" s="23" t="str">
        <f t="shared" si="114"/>
        <v>ORD26000139</v>
      </c>
      <c r="E2483" s="38">
        <v>46279</v>
      </c>
      <c r="F2483" s="23" t="s">
        <v>12410</v>
      </c>
      <c r="G2483" s="23" t="s">
        <v>77</v>
      </c>
      <c r="H2483" s="24">
        <v>599</v>
      </c>
      <c r="I2483" s="24">
        <v>11.38</v>
      </c>
      <c r="J2483" s="24">
        <v>2.0499999999999998</v>
      </c>
      <c r="K2483" s="24">
        <v>585.57000000000005</v>
      </c>
      <c r="L2483" s="38">
        <v>46281</v>
      </c>
      <c r="M2483" s="23" t="s">
        <v>204</v>
      </c>
      <c r="N2483" s="23" t="str">
        <f>IF(COUNTIF($A$2:A2483,A2483)&gt;1,"DUP","OK")</f>
        <v>OK</v>
      </c>
      <c r="O2483" s="23" t="str">
        <f t="shared" si="115"/>
        <v>ORD26000139</v>
      </c>
      <c r="P2483" s="23" t="str">
        <f t="shared" si="116"/>
        <v>Sep</v>
      </c>
      <c r="Q2483" s="23" t="str">
        <f>IF(F2483="CAPTURE",IF(COUNTIF(orders!$A:$A,O2483)&gt;0,"Yes","NO ORDER"),"")</f>
        <v>Yes</v>
      </c>
    </row>
    <row r="2484" spans="1:17" ht="15" customHeight="1" x14ac:dyDescent="0.3">
      <c r="A2484" s="23" t="s">
        <v>15305</v>
      </c>
      <c r="B2484" s="23"/>
      <c r="C2484" s="23" t="s">
        <v>633</v>
      </c>
      <c r="D2484" s="23" t="str">
        <f t="shared" si="114"/>
        <v>ORD26000153</v>
      </c>
      <c r="E2484" s="38">
        <v>46279</v>
      </c>
      <c r="F2484" s="23" t="s">
        <v>12410</v>
      </c>
      <c r="G2484" s="23" t="s">
        <v>81</v>
      </c>
      <c r="H2484" s="24">
        <v>4999</v>
      </c>
      <c r="I2484" s="24">
        <v>59.99</v>
      </c>
      <c r="J2484" s="24">
        <v>10.8</v>
      </c>
      <c r="K2484" s="24">
        <v>4928.21</v>
      </c>
      <c r="L2484" s="38">
        <v>46281</v>
      </c>
      <c r="M2484" s="23" t="s">
        <v>204</v>
      </c>
      <c r="N2484" s="23" t="str">
        <f>IF(COUNTIF($A$2:A2484,A2484)&gt;1,"DUP","OK")</f>
        <v>OK</v>
      </c>
      <c r="O2484" s="23" t="str">
        <f t="shared" si="115"/>
        <v>ORD26000153</v>
      </c>
      <c r="P2484" s="23" t="str">
        <f t="shared" si="116"/>
        <v>Sep</v>
      </c>
      <c r="Q2484" s="23" t="str">
        <f>IF(F2484="CAPTURE",IF(COUNTIF(orders!$A:$A,O2484)&gt;0,"Yes","NO ORDER"),"")</f>
        <v>Yes</v>
      </c>
    </row>
    <row r="2485" spans="1:17" ht="15" customHeight="1" x14ac:dyDescent="0.3">
      <c r="A2485" s="23" t="s">
        <v>15306</v>
      </c>
      <c r="B2485" s="23"/>
      <c r="C2485" s="23" t="s">
        <v>722</v>
      </c>
      <c r="D2485" s="23" t="str">
        <f t="shared" si="114"/>
        <v>ORD26000193</v>
      </c>
      <c r="E2485" s="38">
        <v>46279</v>
      </c>
      <c r="F2485" s="23" t="s">
        <v>12410</v>
      </c>
      <c r="G2485" s="23" t="s">
        <v>75</v>
      </c>
      <c r="H2485" s="24">
        <v>3848</v>
      </c>
      <c r="I2485" s="24">
        <v>11.54</v>
      </c>
      <c r="J2485" s="24">
        <v>2.08</v>
      </c>
      <c r="K2485" s="24">
        <v>3834.38</v>
      </c>
      <c r="L2485" s="38">
        <v>46281</v>
      </c>
      <c r="M2485" s="23" t="s">
        <v>204</v>
      </c>
      <c r="N2485" s="23" t="str">
        <f>IF(COUNTIF($A$2:A2485,A2485)&gt;1,"DUP","OK")</f>
        <v>OK</v>
      </c>
      <c r="O2485" s="23" t="str">
        <f t="shared" si="115"/>
        <v>ORD26000193</v>
      </c>
      <c r="P2485" s="23" t="str">
        <f t="shared" si="116"/>
        <v>Sep</v>
      </c>
      <c r="Q2485" s="23" t="str">
        <f>IF(F2485="CAPTURE",IF(COUNTIF(orders!$A:$A,O2485)&gt;0,"Yes","NO ORDER"),"")</f>
        <v>Yes</v>
      </c>
    </row>
    <row r="2486" spans="1:17" ht="15" customHeight="1" x14ac:dyDescent="0.3">
      <c r="A2486" s="23" t="s">
        <v>15307</v>
      </c>
      <c r="B2486" s="23"/>
      <c r="C2486" s="23" t="s">
        <v>15308</v>
      </c>
      <c r="D2486" s="23" t="str">
        <f t="shared" si="114"/>
        <v>ORD26000214</v>
      </c>
      <c r="E2486" s="38">
        <v>46279</v>
      </c>
      <c r="F2486" s="23" t="s">
        <v>12410</v>
      </c>
      <c r="G2486" s="23" t="s">
        <v>75</v>
      </c>
      <c r="H2486" s="24">
        <v>599</v>
      </c>
      <c r="I2486" s="24">
        <v>0</v>
      </c>
      <c r="J2486" s="24">
        <v>0</v>
      </c>
      <c r="K2486" s="24">
        <v>599</v>
      </c>
      <c r="L2486" s="38">
        <v>46281</v>
      </c>
      <c r="M2486" s="23" t="s">
        <v>204</v>
      </c>
      <c r="N2486" s="23" t="str">
        <f>IF(COUNTIF($A$2:A2486,A2486)&gt;1,"DUP","OK")</f>
        <v>OK</v>
      </c>
      <c r="O2486" s="23" t="str">
        <f t="shared" si="115"/>
        <v>ORD26000214</v>
      </c>
      <c r="P2486" s="23" t="str">
        <f t="shared" si="116"/>
        <v>Sep</v>
      </c>
      <c r="Q2486" s="23" t="str">
        <f>IF(F2486="CAPTURE",IF(COUNTIF(orders!$A:$A,O2486)&gt;0,"Yes","NO ORDER"),"")</f>
        <v>Yes</v>
      </c>
    </row>
    <row r="2487" spans="1:17" ht="15" customHeight="1" x14ac:dyDescent="0.3">
      <c r="A2487" s="23" t="s">
        <v>15309</v>
      </c>
      <c r="B2487" s="23"/>
      <c r="C2487" s="23" t="s">
        <v>15310</v>
      </c>
      <c r="D2487" s="23" t="str">
        <f t="shared" si="114"/>
        <v>ORD26000239</v>
      </c>
      <c r="E2487" s="38">
        <v>46279</v>
      </c>
      <c r="F2487" s="23" t="s">
        <v>12410</v>
      </c>
      <c r="G2487" s="23" t="s">
        <v>79</v>
      </c>
      <c r="H2487" s="24">
        <v>7999</v>
      </c>
      <c r="I2487" s="24">
        <v>127.98</v>
      </c>
      <c r="J2487" s="24">
        <v>23.04</v>
      </c>
      <c r="K2487" s="24">
        <v>7847.98</v>
      </c>
      <c r="L2487" s="38">
        <v>46281</v>
      </c>
      <c r="M2487" s="23" t="s">
        <v>204</v>
      </c>
      <c r="N2487" s="23" t="str">
        <f>IF(COUNTIF($A$2:A2487,A2487)&gt;1,"DUP","OK")</f>
        <v>OK</v>
      </c>
      <c r="O2487" s="23" t="str">
        <f t="shared" si="115"/>
        <v>ORD26000239</v>
      </c>
      <c r="P2487" s="23" t="str">
        <f t="shared" si="116"/>
        <v>Sep</v>
      </c>
      <c r="Q2487" s="23" t="str">
        <f>IF(F2487="CAPTURE",IF(COUNTIF(orders!$A:$A,O2487)&gt;0,"Yes","NO ORDER"),"")</f>
        <v>Yes</v>
      </c>
    </row>
    <row r="2488" spans="1:17" ht="15" customHeight="1" x14ac:dyDescent="0.3">
      <c r="A2488" s="23" t="s">
        <v>15311</v>
      </c>
      <c r="B2488" s="23"/>
      <c r="C2488" s="23" t="s">
        <v>887</v>
      </c>
      <c r="D2488" s="23" t="str">
        <f t="shared" si="114"/>
        <v>ORD26000262</v>
      </c>
      <c r="E2488" s="38">
        <v>46279</v>
      </c>
      <c r="F2488" s="23" t="s">
        <v>12410</v>
      </c>
      <c r="G2488" s="23" t="s">
        <v>75</v>
      </c>
      <c r="H2488" s="24">
        <v>8498</v>
      </c>
      <c r="I2488" s="24">
        <v>25.49</v>
      </c>
      <c r="J2488" s="24">
        <v>4.59</v>
      </c>
      <c r="K2488" s="24">
        <v>8467.92</v>
      </c>
      <c r="L2488" s="38">
        <v>46281</v>
      </c>
      <c r="M2488" s="23" t="s">
        <v>204</v>
      </c>
      <c r="N2488" s="23" t="str">
        <f>IF(COUNTIF($A$2:A2488,A2488)&gt;1,"DUP","OK")</f>
        <v>OK</v>
      </c>
      <c r="O2488" s="23" t="str">
        <f t="shared" si="115"/>
        <v>ORD26000262</v>
      </c>
      <c r="P2488" s="23" t="str">
        <f t="shared" si="116"/>
        <v>Sep</v>
      </c>
      <c r="Q2488" s="23" t="str">
        <f>IF(F2488="CAPTURE",IF(COUNTIF(orders!$A:$A,O2488)&gt;0,"Yes","NO ORDER"),"")</f>
        <v>Yes</v>
      </c>
    </row>
    <row r="2489" spans="1:17" ht="15" customHeight="1" x14ac:dyDescent="0.3">
      <c r="A2489" s="23" t="s">
        <v>15312</v>
      </c>
      <c r="B2489" s="23"/>
      <c r="C2489" s="23" t="s">
        <v>920</v>
      </c>
      <c r="D2489" s="23" t="str">
        <f t="shared" si="114"/>
        <v>ORD26000278</v>
      </c>
      <c r="E2489" s="38">
        <v>46279</v>
      </c>
      <c r="F2489" s="23" t="s">
        <v>12410</v>
      </c>
      <c r="G2489" s="23" t="s">
        <v>77</v>
      </c>
      <c r="H2489" s="24">
        <v>10498</v>
      </c>
      <c r="I2489" s="24">
        <v>178.47</v>
      </c>
      <c r="J2489" s="24">
        <v>32.119999999999997</v>
      </c>
      <c r="K2489" s="24">
        <v>10287.41</v>
      </c>
      <c r="L2489" s="38">
        <v>46281</v>
      </c>
      <c r="M2489" s="23" t="s">
        <v>204</v>
      </c>
      <c r="N2489" s="23" t="str">
        <f>IF(COUNTIF($A$2:A2489,A2489)&gt;1,"DUP","OK")</f>
        <v>OK</v>
      </c>
      <c r="O2489" s="23" t="str">
        <f t="shared" si="115"/>
        <v>ORD26000278</v>
      </c>
      <c r="P2489" s="23" t="str">
        <f t="shared" si="116"/>
        <v>Sep</v>
      </c>
      <c r="Q2489" s="23" t="str">
        <f>IF(F2489="CAPTURE",IF(COUNTIF(orders!$A:$A,O2489)&gt;0,"Yes","NO ORDER"),"")</f>
        <v>Yes</v>
      </c>
    </row>
    <row r="2490" spans="1:17" ht="15" customHeight="1" x14ac:dyDescent="0.3">
      <c r="A2490" s="23" t="s">
        <v>15313</v>
      </c>
      <c r="B2490" s="23"/>
      <c r="C2490" s="23" t="s">
        <v>15314</v>
      </c>
      <c r="D2490" s="23" t="str">
        <f t="shared" si="114"/>
        <v>ORD26000290</v>
      </c>
      <c r="E2490" s="38">
        <v>46279</v>
      </c>
      <c r="F2490" s="23" t="s">
        <v>12410</v>
      </c>
      <c r="G2490" s="23" t="s">
        <v>79</v>
      </c>
      <c r="H2490" s="24">
        <v>4999</v>
      </c>
      <c r="I2490" s="24">
        <v>79.98</v>
      </c>
      <c r="J2490" s="24">
        <v>14.4</v>
      </c>
      <c r="K2490" s="24">
        <v>4904.62</v>
      </c>
      <c r="L2490" s="38">
        <v>46281</v>
      </c>
      <c r="M2490" s="23" t="s">
        <v>204</v>
      </c>
      <c r="N2490" s="23" t="str">
        <f>IF(COUNTIF($A$2:A2490,A2490)&gt;1,"DUP","OK")</f>
        <v>OK</v>
      </c>
      <c r="O2490" s="23" t="str">
        <f t="shared" si="115"/>
        <v>ORD26000290</v>
      </c>
      <c r="P2490" s="23" t="str">
        <f t="shared" si="116"/>
        <v>Sep</v>
      </c>
      <c r="Q2490" s="23" t="str">
        <f>IF(F2490="CAPTURE",IF(COUNTIF(orders!$A:$A,O2490)&gt;0,"Yes","NO ORDER"),"")</f>
        <v>Yes</v>
      </c>
    </row>
    <row r="2491" spans="1:17" ht="15" customHeight="1" x14ac:dyDescent="0.3">
      <c r="A2491" s="23" t="s">
        <v>15315</v>
      </c>
      <c r="B2491" s="23"/>
      <c r="C2491" s="23" t="s">
        <v>15316</v>
      </c>
      <c r="D2491" s="23" t="str">
        <f t="shared" si="114"/>
        <v>ORD26000292</v>
      </c>
      <c r="E2491" s="38">
        <v>46279</v>
      </c>
      <c r="F2491" s="23" t="s">
        <v>12410</v>
      </c>
      <c r="G2491" s="23" t="s">
        <v>77</v>
      </c>
      <c r="H2491" s="24">
        <v>1898</v>
      </c>
      <c r="I2491" s="24">
        <v>36.06</v>
      </c>
      <c r="J2491" s="24">
        <v>6.49</v>
      </c>
      <c r="K2491" s="24">
        <v>1855.45</v>
      </c>
      <c r="L2491" s="38">
        <v>46281</v>
      </c>
      <c r="M2491" s="23" t="s">
        <v>204</v>
      </c>
      <c r="N2491" s="23" t="str">
        <f>IF(COUNTIF($A$2:A2491,A2491)&gt;1,"DUP","OK")</f>
        <v>OK</v>
      </c>
      <c r="O2491" s="23" t="str">
        <f t="shared" si="115"/>
        <v>ORD26000292</v>
      </c>
      <c r="P2491" s="23" t="str">
        <f t="shared" si="116"/>
        <v>Sep</v>
      </c>
      <c r="Q2491" s="23" t="str">
        <f>IF(F2491="CAPTURE",IF(COUNTIF(orders!$A:$A,O2491)&gt;0,"Yes","NO ORDER"),"")</f>
        <v>Yes</v>
      </c>
    </row>
    <row r="2492" spans="1:17" ht="15" customHeight="1" x14ac:dyDescent="0.3">
      <c r="A2492" s="23" t="s">
        <v>15317</v>
      </c>
      <c r="B2492" s="23"/>
      <c r="C2492" s="23" t="s">
        <v>15318</v>
      </c>
      <c r="D2492" s="23" t="str">
        <f t="shared" si="114"/>
        <v>ORD26000397</v>
      </c>
      <c r="E2492" s="38">
        <v>46279</v>
      </c>
      <c r="F2492" s="23" t="s">
        <v>12410</v>
      </c>
      <c r="G2492" s="23" t="s">
        <v>75</v>
      </c>
      <c r="H2492" s="24">
        <v>1499</v>
      </c>
      <c r="I2492" s="24">
        <v>0</v>
      </c>
      <c r="J2492" s="24">
        <v>0</v>
      </c>
      <c r="K2492" s="24">
        <v>1499</v>
      </c>
      <c r="L2492" s="38">
        <v>46281</v>
      </c>
      <c r="M2492" s="23" t="s">
        <v>204</v>
      </c>
      <c r="N2492" s="23" t="str">
        <f>IF(COUNTIF($A$2:A2492,A2492)&gt;1,"DUP","OK")</f>
        <v>OK</v>
      </c>
      <c r="O2492" s="23" t="str">
        <f t="shared" si="115"/>
        <v>ORD26000397</v>
      </c>
      <c r="P2492" s="23" t="str">
        <f t="shared" si="116"/>
        <v>Sep</v>
      </c>
      <c r="Q2492" s="23" t="str">
        <f>IF(F2492="CAPTURE",IF(COUNTIF(orders!$A:$A,O2492)&gt;0,"Yes","NO ORDER"),"")</f>
        <v>Yes</v>
      </c>
    </row>
    <row r="2493" spans="1:17" ht="15" customHeight="1" x14ac:dyDescent="0.3">
      <c r="A2493" s="23" t="s">
        <v>15319</v>
      </c>
      <c r="B2493" s="23"/>
      <c r="C2493" s="23" t="s">
        <v>1370</v>
      </c>
      <c r="D2493" s="23" t="str">
        <f t="shared" si="114"/>
        <v>ORD26000485</v>
      </c>
      <c r="E2493" s="38">
        <v>46279</v>
      </c>
      <c r="F2493" s="23" t="s">
        <v>12410</v>
      </c>
      <c r="G2493" s="23" t="s">
        <v>75</v>
      </c>
      <c r="H2493" s="24">
        <v>798</v>
      </c>
      <c r="I2493" s="24">
        <v>0</v>
      </c>
      <c r="J2493" s="24">
        <v>0</v>
      </c>
      <c r="K2493" s="24">
        <v>798</v>
      </c>
      <c r="L2493" s="38">
        <v>46281</v>
      </c>
      <c r="M2493" s="23" t="s">
        <v>204</v>
      </c>
      <c r="N2493" s="23" t="str">
        <f>IF(COUNTIF($A$2:A2493,A2493)&gt;1,"DUP","OK")</f>
        <v>OK</v>
      </c>
      <c r="O2493" s="23" t="str">
        <f t="shared" si="115"/>
        <v>ORD26000485</v>
      </c>
      <c r="P2493" s="23" t="str">
        <f t="shared" si="116"/>
        <v>Sep</v>
      </c>
      <c r="Q2493" s="23" t="str">
        <f>IF(F2493="CAPTURE",IF(COUNTIF(orders!$A:$A,O2493)&gt;0,"Yes","NO ORDER"),"")</f>
        <v>Yes</v>
      </c>
    </row>
    <row r="2494" spans="1:17" ht="15" customHeight="1" x14ac:dyDescent="0.3">
      <c r="A2494" s="23" t="s">
        <v>15320</v>
      </c>
      <c r="B2494" s="23"/>
      <c r="C2494" s="23" t="s">
        <v>1373</v>
      </c>
      <c r="D2494" s="23" t="str">
        <f t="shared" si="114"/>
        <v>ORD26000486</v>
      </c>
      <c r="E2494" s="38">
        <v>46279</v>
      </c>
      <c r="F2494" s="23" t="s">
        <v>12410</v>
      </c>
      <c r="G2494" s="23" t="s">
        <v>75</v>
      </c>
      <c r="H2494" s="24">
        <v>5997</v>
      </c>
      <c r="I2494" s="24">
        <v>17.989999999999998</v>
      </c>
      <c r="J2494" s="24">
        <v>3.24</v>
      </c>
      <c r="K2494" s="24">
        <v>5975.77</v>
      </c>
      <c r="L2494" s="38">
        <v>46281</v>
      </c>
      <c r="M2494" s="23" t="s">
        <v>204</v>
      </c>
      <c r="N2494" s="23" t="str">
        <f>IF(COUNTIF($A$2:A2494,A2494)&gt;1,"DUP","OK")</f>
        <v>OK</v>
      </c>
      <c r="O2494" s="23" t="str">
        <f t="shared" si="115"/>
        <v>ORD26000486</v>
      </c>
      <c r="P2494" s="23" t="str">
        <f t="shared" si="116"/>
        <v>Sep</v>
      </c>
      <c r="Q2494" s="23" t="str">
        <f>IF(F2494="CAPTURE",IF(COUNTIF(orders!$A:$A,O2494)&gt;0,"Yes","NO ORDER"),"")</f>
        <v>Yes</v>
      </c>
    </row>
    <row r="2495" spans="1:17" ht="15" customHeight="1" x14ac:dyDescent="0.3">
      <c r="A2495" s="23" t="s">
        <v>15321</v>
      </c>
      <c r="B2495" s="23"/>
      <c r="C2495" s="23" t="s">
        <v>1468</v>
      </c>
      <c r="D2495" s="23" t="str">
        <f t="shared" si="114"/>
        <v>ORD26000528</v>
      </c>
      <c r="E2495" s="38">
        <v>46279</v>
      </c>
      <c r="F2495" s="23" t="s">
        <v>12410</v>
      </c>
      <c r="G2495" s="23" t="s">
        <v>75</v>
      </c>
      <c r="H2495" s="24">
        <v>4297</v>
      </c>
      <c r="I2495" s="24">
        <v>12.89</v>
      </c>
      <c r="J2495" s="24">
        <v>2.3199999999999998</v>
      </c>
      <c r="K2495" s="24">
        <v>4281.79</v>
      </c>
      <c r="L2495" s="38">
        <v>46281</v>
      </c>
      <c r="M2495" s="23" t="s">
        <v>204</v>
      </c>
      <c r="N2495" s="23" t="str">
        <f>IF(COUNTIF($A$2:A2495,A2495)&gt;1,"DUP","OK")</f>
        <v>OK</v>
      </c>
      <c r="O2495" s="23" t="str">
        <f t="shared" si="115"/>
        <v>ORD26000528</v>
      </c>
      <c r="P2495" s="23" t="str">
        <f t="shared" si="116"/>
        <v>Sep</v>
      </c>
      <c r="Q2495" s="23" t="str">
        <f>IF(F2495="CAPTURE",IF(COUNTIF(orders!$A:$A,O2495)&gt;0,"Yes","NO ORDER"),"")</f>
        <v>Yes</v>
      </c>
    </row>
    <row r="2496" spans="1:17" ht="15" customHeight="1" x14ac:dyDescent="0.3">
      <c r="A2496" s="23" t="s">
        <v>15322</v>
      </c>
      <c r="B2496" s="23"/>
      <c r="C2496" s="23" t="s">
        <v>1470</v>
      </c>
      <c r="D2496" s="23" t="str">
        <f t="shared" si="114"/>
        <v>ORD26000529</v>
      </c>
      <c r="E2496" s="38">
        <v>46279</v>
      </c>
      <c r="F2496" s="23" t="s">
        <v>12410</v>
      </c>
      <c r="G2496" s="23" t="s">
        <v>79</v>
      </c>
      <c r="H2496" s="24">
        <v>8797</v>
      </c>
      <c r="I2496" s="24">
        <v>140.75</v>
      </c>
      <c r="J2496" s="24">
        <v>25.34</v>
      </c>
      <c r="K2496" s="24">
        <v>8630.91</v>
      </c>
      <c r="L2496" s="38">
        <v>46281</v>
      </c>
      <c r="M2496" s="23" t="s">
        <v>204</v>
      </c>
      <c r="N2496" s="23" t="str">
        <f>IF(COUNTIF($A$2:A2496,A2496)&gt;1,"DUP","OK")</f>
        <v>OK</v>
      </c>
      <c r="O2496" s="23" t="str">
        <f t="shared" si="115"/>
        <v>ORD26000529</v>
      </c>
      <c r="P2496" s="23" t="str">
        <f t="shared" si="116"/>
        <v>Sep</v>
      </c>
      <c r="Q2496" s="23" t="str">
        <f>IF(F2496="CAPTURE",IF(COUNTIF(orders!$A:$A,O2496)&gt;0,"Yes","NO ORDER"),"")</f>
        <v>Yes</v>
      </c>
    </row>
    <row r="2497" spans="1:17" ht="15" customHeight="1" x14ac:dyDescent="0.3">
      <c r="A2497" s="23" t="s">
        <v>15323</v>
      </c>
      <c r="B2497" s="23"/>
      <c r="C2497" s="23" t="s">
        <v>1582</v>
      </c>
      <c r="D2497" s="23" t="str">
        <f t="shared" si="114"/>
        <v>ORD26000581</v>
      </c>
      <c r="E2497" s="38">
        <v>46279</v>
      </c>
      <c r="F2497" s="23" t="s">
        <v>12410</v>
      </c>
      <c r="G2497" s="23" t="s">
        <v>75</v>
      </c>
      <c r="H2497" s="24">
        <v>3897</v>
      </c>
      <c r="I2497" s="24">
        <v>11.69</v>
      </c>
      <c r="J2497" s="24">
        <v>2.1</v>
      </c>
      <c r="K2497" s="24">
        <v>3883.21</v>
      </c>
      <c r="L2497" s="38">
        <v>46281</v>
      </c>
      <c r="M2497" s="23" t="s">
        <v>204</v>
      </c>
      <c r="N2497" s="23" t="str">
        <f>IF(COUNTIF($A$2:A2497,A2497)&gt;1,"DUP","OK")</f>
        <v>OK</v>
      </c>
      <c r="O2497" s="23" t="str">
        <f t="shared" si="115"/>
        <v>ORD26000581</v>
      </c>
      <c r="P2497" s="23" t="str">
        <f t="shared" si="116"/>
        <v>Sep</v>
      </c>
      <c r="Q2497" s="23" t="str">
        <f>IF(F2497="CAPTURE",IF(COUNTIF(orders!$A:$A,O2497)&gt;0,"Yes","NO ORDER"),"")</f>
        <v>Yes</v>
      </c>
    </row>
    <row r="2498" spans="1:17" ht="15" customHeight="1" x14ac:dyDescent="0.3">
      <c r="A2498" s="23" t="s">
        <v>15324</v>
      </c>
      <c r="B2498" s="23"/>
      <c r="C2498" s="23" t="s">
        <v>1608</v>
      </c>
      <c r="D2498" s="23" t="str">
        <f t="shared" ref="D2498:D2561" si="117">UPPER(SUBSTITUTE(TRIM(C2498),"-",""))</f>
        <v>ORD26000593</v>
      </c>
      <c r="E2498" s="38">
        <v>46279</v>
      </c>
      <c r="F2498" s="23" t="s">
        <v>12410</v>
      </c>
      <c r="G2498" s="23" t="s">
        <v>75</v>
      </c>
      <c r="H2498" s="24">
        <v>1799</v>
      </c>
      <c r="I2498" s="24">
        <v>0</v>
      </c>
      <c r="J2498" s="24">
        <v>0</v>
      </c>
      <c r="K2498" s="24">
        <v>1799</v>
      </c>
      <c r="L2498" s="38">
        <v>46281</v>
      </c>
      <c r="M2498" s="23" t="s">
        <v>204</v>
      </c>
      <c r="N2498" s="23" t="str">
        <f>IF(COUNTIF($A$2:A2498,A2498)&gt;1,"DUP","OK")</f>
        <v>OK</v>
      </c>
      <c r="O2498" s="23" t="str">
        <f t="shared" ref="O2498:O2561" si="118">IF(F2498="REFUND",INDEX($D:$D,MATCH(B2498,$A:$A,0)),D2498)</f>
        <v>ORD26000593</v>
      </c>
      <c r="P2498" s="23" t="str">
        <f t="shared" ref="P2498:P2561" si="119">IF(L2498&gt;DATE(2026,9,30),"Oct-Due","Sep")</f>
        <v>Sep</v>
      </c>
      <c r="Q2498" s="23" t="str">
        <f>IF(F2498="CAPTURE",IF(COUNTIF(orders!$A:$A,O2498)&gt;0,"Yes","NO ORDER"),"")</f>
        <v>Yes</v>
      </c>
    </row>
    <row r="2499" spans="1:17" ht="15" customHeight="1" x14ac:dyDescent="0.3">
      <c r="A2499" s="23" t="s">
        <v>15325</v>
      </c>
      <c r="B2499" s="23"/>
      <c r="C2499" s="23" t="s">
        <v>1763</v>
      </c>
      <c r="D2499" s="23" t="str">
        <f t="shared" si="117"/>
        <v>ORD26000665</v>
      </c>
      <c r="E2499" s="38">
        <v>46279</v>
      </c>
      <c r="F2499" s="23" t="s">
        <v>12410</v>
      </c>
      <c r="G2499" s="23" t="s">
        <v>75</v>
      </c>
      <c r="H2499" s="24">
        <v>10297</v>
      </c>
      <c r="I2499" s="24">
        <v>30.89</v>
      </c>
      <c r="J2499" s="24">
        <v>5.56</v>
      </c>
      <c r="K2499" s="24">
        <v>10260.549999999999</v>
      </c>
      <c r="L2499" s="38">
        <v>46281</v>
      </c>
      <c r="M2499" s="23" t="s">
        <v>204</v>
      </c>
      <c r="N2499" s="23" t="str">
        <f>IF(COUNTIF($A$2:A2499,A2499)&gt;1,"DUP","OK")</f>
        <v>OK</v>
      </c>
      <c r="O2499" s="23" t="str">
        <f t="shared" si="118"/>
        <v>ORD26000665</v>
      </c>
      <c r="P2499" s="23" t="str">
        <f t="shared" si="119"/>
        <v>Sep</v>
      </c>
      <c r="Q2499" s="23" t="str">
        <f>IF(F2499="CAPTURE",IF(COUNTIF(orders!$A:$A,O2499)&gt;0,"Yes","NO ORDER"),"")</f>
        <v>Yes</v>
      </c>
    </row>
    <row r="2500" spans="1:17" ht="15" customHeight="1" x14ac:dyDescent="0.3">
      <c r="A2500" s="23" t="s">
        <v>15326</v>
      </c>
      <c r="B2500" s="23"/>
      <c r="C2500" s="23" t="s">
        <v>1793</v>
      </c>
      <c r="D2500" s="23" t="str">
        <f t="shared" si="117"/>
        <v>ORD26000679</v>
      </c>
      <c r="E2500" s="38">
        <v>46279</v>
      </c>
      <c r="F2500" s="23" t="s">
        <v>12410</v>
      </c>
      <c r="G2500" s="23" t="s">
        <v>75</v>
      </c>
      <c r="H2500" s="24">
        <v>1799</v>
      </c>
      <c r="I2500" s="24">
        <v>0</v>
      </c>
      <c r="J2500" s="24">
        <v>0</v>
      </c>
      <c r="K2500" s="24">
        <v>1799</v>
      </c>
      <c r="L2500" s="38">
        <v>46281</v>
      </c>
      <c r="M2500" s="23" t="s">
        <v>204</v>
      </c>
      <c r="N2500" s="23" t="str">
        <f>IF(COUNTIF($A$2:A2500,A2500)&gt;1,"DUP","OK")</f>
        <v>OK</v>
      </c>
      <c r="O2500" s="23" t="str">
        <f t="shared" si="118"/>
        <v>ORD26000679</v>
      </c>
      <c r="P2500" s="23" t="str">
        <f t="shared" si="119"/>
        <v>Sep</v>
      </c>
      <c r="Q2500" s="23" t="str">
        <f>IF(F2500="CAPTURE",IF(COUNTIF(orders!$A:$A,O2500)&gt;0,"Yes","NO ORDER"),"")</f>
        <v>Yes</v>
      </c>
    </row>
    <row r="2501" spans="1:17" ht="15" customHeight="1" x14ac:dyDescent="0.3">
      <c r="A2501" s="23" t="s">
        <v>15327</v>
      </c>
      <c r="B2501" s="23"/>
      <c r="C2501" s="23" t="s">
        <v>1816</v>
      </c>
      <c r="D2501" s="23" t="str">
        <f t="shared" si="117"/>
        <v>ORD26000689</v>
      </c>
      <c r="E2501" s="38">
        <v>46279</v>
      </c>
      <c r="F2501" s="23" t="s">
        <v>12410</v>
      </c>
      <c r="G2501" s="23" t="s">
        <v>79</v>
      </c>
      <c r="H2501" s="24">
        <v>3499</v>
      </c>
      <c r="I2501" s="24">
        <v>55.98</v>
      </c>
      <c r="J2501" s="24">
        <v>10.08</v>
      </c>
      <c r="K2501" s="24">
        <v>3432.94</v>
      </c>
      <c r="L2501" s="38">
        <v>46281</v>
      </c>
      <c r="M2501" s="23" t="s">
        <v>204</v>
      </c>
      <c r="N2501" s="23" t="str">
        <f>IF(COUNTIF($A$2:A2501,A2501)&gt;1,"DUP","OK")</f>
        <v>OK</v>
      </c>
      <c r="O2501" s="23" t="str">
        <f t="shared" si="118"/>
        <v>ORD26000689</v>
      </c>
      <c r="P2501" s="23" t="str">
        <f t="shared" si="119"/>
        <v>Sep</v>
      </c>
      <c r="Q2501" s="23" t="str">
        <f>IF(F2501="CAPTURE",IF(COUNTIF(orders!$A:$A,O2501)&gt;0,"Yes","NO ORDER"),"")</f>
        <v>Yes</v>
      </c>
    </row>
    <row r="2502" spans="1:17" ht="15" customHeight="1" x14ac:dyDescent="0.3">
      <c r="A2502" s="23" t="s">
        <v>15328</v>
      </c>
      <c r="B2502" s="23"/>
      <c r="C2502" s="23" t="s">
        <v>1845</v>
      </c>
      <c r="D2502" s="23" t="str">
        <f t="shared" si="117"/>
        <v>ORD26000703</v>
      </c>
      <c r="E2502" s="38">
        <v>46279</v>
      </c>
      <c r="F2502" s="23" t="s">
        <v>12410</v>
      </c>
      <c r="G2502" s="23" t="s">
        <v>75</v>
      </c>
      <c r="H2502" s="24">
        <v>799</v>
      </c>
      <c r="I2502" s="24">
        <v>0</v>
      </c>
      <c r="J2502" s="24">
        <v>0</v>
      </c>
      <c r="K2502" s="24">
        <v>799</v>
      </c>
      <c r="L2502" s="38">
        <v>46281</v>
      </c>
      <c r="M2502" s="23" t="s">
        <v>204</v>
      </c>
      <c r="N2502" s="23" t="str">
        <f>IF(COUNTIF($A$2:A2502,A2502)&gt;1,"DUP","OK")</f>
        <v>OK</v>
      </c>
      <c r="O2502" s="23" t="str">
        <f t="shared" si="118"/>
        <v>ORD26000703</v>
      </c>
      <c r="P2502" s="23" t="str">
        <f t="shared" si="119"/>
        <v>Sep</v>
      </c>
      <c r="Q2502" s="23" t="str">
        <f>IF(F2502="CAPTURE",IF(COUNTIF(orders!$A:$A,O2502)&gt;0,"Yes","NO ORDER"),"")</f>
        <v>Yes</v>
      </c>
    </row>
    <row r="2503" spans="1:17" ht="15" customHeight="1" x14ac:dyDescent="0.3">
      <c r="A2503" s="23" t="s">
        <v>15329</v>
      </c>
      <c r="B2503" s="23"/>
      <c r="C2503" s="23" t="s">
        <v>1853</v>
      </c>
      <c r="D2503" s="23" t="str">
        <f t="shared" si="117"/>
        <v>ORD26000707</v>
      </c>
      <c r="E2503" s="38">
        <v>46279</v>
      </c>
      <c r="F2503" s="23" t="s">
        <v>12410</v>
      </c>
      <c r="G2503" s="23" t="s">
        <v>79</v>
      </c>
      <c r="H2503" s="24">
        <v>3498</v>
      </c>
      <c r="I2503" s="24">
        <v>55.97</v>
      </c>
      <c r="J2503" s="24">
        <v>10.07</v>
      </c>
      <c r="K2503" s="24">
        <v>3431.96</v>
      </c>
      <c r="L2503" s="38">
        <v>46281</v>
      </c>
      <c r="M2503" s="23" t="s">
        <v>204</v>
      </c>
      <c r="N2503" s="23" t="str">
        <f>IF(COUNTIF($A$2:A2503,A2503)&gt;1,"DUP","OK")</f>
        <v>OK</v>
      </c>
      <c r="O2503" s="23" t="str">
        <f t="shared" si="118"/>
        <v>ORD26000707</v>
      </c>
      <c r="P2503" s="23" t="str">
        <f t="shared" si="119"/>
        <v>Sep</v>
      </c>
      <c r="Q2503" s="23" t="str">
        <f>IF(F2503="CAPTURE",IF(COUNTIF(orders!$A:$A,O2503)&gt;0,"Yes","NO ORDER"),"")</f>
        <v>Yes</v>
      </c>
    </row>
    <row r="2504" spans="1:17" ht="15" customHeight="1" x14ac:dyDescent="0.3">
      <c r="A2504" s="23" t="s">
        <v>15330</v>
      </c>
      <c r="B2504" s="23"/>
      <c r="C2504" s="23" t="s">
        <v>15331</v>
      </c>
      <c r="D2504" s="23" t="str">
        <f t="shared" si="117"/>
        <v>ORD26000713</v>
      </c>
      <c r="E2504" s="38">
        <v>46279</v>
      </c>
      <c r="F2504" s="23" t="s">
        <v>12410</v>
      </c>
      <c r="G2504" s="23" t="s">
        <v>75</v>
      </c>
      <c r="H2504" s="24">
        <v>349</v>
      </c>
      <c r="I2504" s="24">
        <v>0</v>
      </c>
      <c r="J2504" s="24">
        <v>0</v>
      </c>
      <c r="K2504" s="24">
        <v>349</v>
      </c>
      <c r="L2504" s="38">
        <v>46281</v>
      </c>
      <c r="M2504" s="23" t="s">
        <v>204</v>
      </c>
      <c r="N2504" s="23" t="str">
        <f>IF(COUNTIF($A$2:A2504,A2504)&gt;1,"DUP","OK")</f>
        <v>OK</v>
      </c>
      <c r="O2504" s="23" t="str">
        <f t="shared" si="118"/>
        <v>ORD26000713</v>
      </c>
      <c r="P2504" s="23" t="str">
        <f t="shared" si="119"/>
        <v>Sep</v>
      </c>
      <c r="Q2504" s="23" t="str">
        <f>IF(F2504="CAPTURE",IF(COUNTIF(orders!$A:$A,O2504)&gt;0,"Yes","NO ORDER"),"")</f>
        <v>Yes</v>
      </c>
    </row>
    <row r="2505" spans="1:17" ht="15" customHeight="1" x14ac:dyDescent="0.3">
      <c r="A2505" s="23" t="s">
        <v>15332</v>
      </c>
      <c r="B2505" s="23"/>
      <c r="C2505" s="23" t="s">
        <v>1945</v>
      </c>
      <c r="D2505" s="23" t="str">
        <f t="shared" si="117"/>
        <v>ORD26000753</v>
      </c>
      <c r="E2505" s="38">
        <v>46279</v>
      </c>
      <c r="F2505" s="23" t="s">
        <v>12410</v>
      </c>
      <c r="G2505" s="23" t="s">
        <v>75</v>
      </c>
      <c r="H2505" s="24">
        <v>499</v>
      </c>
      <c r="I2505" s="24">
        <v>0</v>
      </c>
      <c r="J2505" s="24">
        <v>0</v>
      </c>
      <c r="K2505" s="24">
        <v>499</v>
      </c>
      <c r="L2505" s="38">
        <v>46281</v>
      </c>
      <c r="M2505" s="23" t="s">
        <v>204</v>
      </c>
      <c r="N2505" s="23" t="str">
        <f>IF(COUNTIF($A$2:A2505,A2505)&gt;1,"DUP","OK")</f>
        <v>OK</v>
      </c>
      <c r="O2505" s="23" t="str">
        <f t="shared" si="118"/>
        <v>ORD26000753</v>
      </c>
      <c r="P2505" s="23" t="str">
        <f t="shared" si="119"/>
        <v>Sep</v>
      </c>
      <c r="Q2505" s="23" t="str">
        <f>IF(F2505="CAPTURE",IF(COUNTIF(orders!$A:$A,O2505)&gt;0,"Yes","NO ORDER"),"")</f>
        <v>Yes</v>
      </c>
    </row>
    <row r="2506" spans="1:17" ht="15" customHeight="1" x14ac:dyDescent="0.3">
      <c r="A2506" s="23" t="s">
        <v>15333</v>
      </c>
      <c r="B2506" s="23"/>
      <c r="C2506" s="23" t="s">
        <v>1961</v>
      </c>
      <c r="D2506" s="23" t="str">
        <f t="shared" si="117"/>
        <v>ORD26000760</v>
      </c>
      <c r="E2506" s="38">
        <v>46279</v>
      </c>
      <c r="F2506" s="23" t="s">
        <v>12410</v>
      </c>
      <c r="G2506" s="23" t="s">
        <v>77</v>
      </c>
      <c r="H2506" s="24">
        <v>5998</v>
      </c>
      <c r="I2506" s="24">
        <v>101.97</v>
      </c>
      <c r="J2506" s="24">
        <v>18.350000000000001</v>
      </c>
      <c r="K2506" s="24">
        <v>5877.68</v>
      </c>
      <c r="L2506" s="38">
        <v>46281</v>
      </c>
      <c r="M2506" s="23" t="s">
        <v>204</v>
      </c>
      <c r="N2506" s="23" t="str">
        <f>IF(COUNTIF($A$2:A2506,A2506)&gt;1,"DUP","OK")</f>
        <v>OK</v>
      </c>
      <c r="O2506" s="23" t="str">
        <f t="shared" si="118"/>
        <v>ORD26000760</v>
      </c>
      <c r="P2506" s="23" t="str">
        <f t="shared" si="119"/>
        <v>Sep</v>
      </c>
      <c r="Q2506" s="23" t="str">
        <f>IF(F2506="CAPTURE",IF(COUNTIF(orders!$A:$A,O2506)&gt;0,"Yes","NO ORDER"),"")</f>
        <v>Yes</v>
      </c>
    </row>
    <row r="2507" spans="1:17" ht="15" customHeight="1" x14ac:dyDescent="0.3">
      <c r="A2507" s="23" t="s">
        <v>15334</v>
      </c>
      <c r="B2507" s="23"/>
      <c r="C2507" s="23" t="s">
        <v>1987</v>
      </c>
      <c r="D2507" s="23" t="str">
        <f t="shared" si="117"/>
        <v>ORD26000772</v>
      </c>
      <c r="E2507" s="38">
        <v>46279</v>
      </c>
      <c r="F2507" s="23" t="s">
        <v>12410</v>
      </c>
      <c r="G2507" s="23" t="s">
        <v>77</v>
      </c>
      <c r="H2507" s="24">
        <v>4999</v>
      </c>
      <c r="I2507" s="24">
        <v>84.98</v>
      </c>
      <c r="J2507" s="24">
        <v>15.3</v>
      </c>
      <c r="K2507" s="24">
        <v>4898.72</v>
      </c>
      <c r="L2507" s="38">
        <v>46281</v>
      </c>
      <c r="M2507" s="23" t="s">
        <v>204</v>
      </c>
      <c r="N2507" s="23" t="str">
        <f>IF(COUNTIF($A$2:A2507,A2507)&gt;1,"DUP","OK")</f>
        <v>OK</v>
      </c>
      <c r="O2507" s="23" t="str">
        <f t="shared" si="118"/>
        <v>ORD26000772</v>
      </c>
      <c r="P2507" s="23" t="str">
        <f t="shared" si="119"/>
        <v>Sep</v>
      </c>
      <c r="Q2507" s="23" t="str">
        <f>IF(F2507="CAPTURE",IF(COUNTIF(orders!$A:$A,O2507)&gt;0,"Yes","NO ORDER"),"")</f>
        <v>Yes</v>
      </c>
    </row>
    <row r="2508" spans="1:17" ht="15" customHeight="1" x14ac:dyDescent="0.3">
      <c r="A2508" s="23" t="s">
        <v>15335</v>
      </c>
      <c r="B2508" s="23"/>
      <c r="C2508" s="23" t="s">
        <v>2082</v>
      </c>
      <c r="D2508" s="23" t="str">
        <f t="shared" si="117"/>
        <v>ORD26000817</v>
      </c>
      <c r="E2508" s="38">
        <v>46279</v>
      </c>
      <c r="F2508" s="23" t="s">
        <v>12410</v>
      </c>
      <c r="G2508" s="23" t="s">
        <v>75</v>
      </c>
      <c r="H2508" s="24">
        <v>4999</v>
      </c>
      <c r="I2508" s="24">
        <v>15</v>
      </c>
      <c r="J2508" s="24">
        <v>2.7</v>
      </c>
      <c r="K2508" s="24">
        <v>4981.3</v>
      </c>
      <c r="L2508" s="38">
        <v>46281</v>
      </c>
      <c r="M2508" s="23" t="s">
        <v>204</v>
      </c>
      <c r="N2508" s="23" t="str">
        <f>IF(COUNTIF($A$2:A2508,A2508)&gt;1,"DUP","OK")</f>
        <v>OK</v>
      </c>
      <c r="O2508" s="23" t="str">
        <f t="shared" si="118"/>
        <v>ORD26000817</v>
      </c>
      <c r="P2508" s="23" t="str">
        <f t="shared" si="119"/>
        <v>Sep</v>
      </c>
      <c r="Q2508" s="23" t="str">
        <f>IF(F2508="CAPTURE",IF(COUNTIF(orders!$A:$A,O2508)&gt;0,"Yes","NO ORDER"),"")</f>
        <v>Yes</v>
      </c>
    </row>
    <row r="2509" spans="1:17" ht="15" customHeight="1" x14ac:dyDescent="0.3">
      <c r="A2509" s="23" t="s">
        <v>15336</v>
      </c>
      <c r="B2509" s="23"/>
      <c r="C2509" s="23" t="s">
        <v>2302</v>
      </c>
      <c r="D2509" s="23" t="str">
        <f t="shared" si="117"/>
        <v>ORD26000923</v>
      </c>
      <c r="E2509" s="38">
        <v>46279</v>
      </c>
      <c r="F2509" s="23" t="s">
        <v>12410</v>
      </c>
      <c r="G2509" s="23" t="s">
        <v>75</v>
      </c>
      <c r="H2509" s="24">
        <v>6797</v>
      </c>
      <c r="I2509" s="24">
        <v>20.39</v>
      </c>
      <c r="J2509" s="24">
        <v>3.67</v>
      </c>
      <c r="K2509" s="24">
        <v>6772.94</v>
      </c>
      <c r="L2509" s="38">
        <v>46281</v>
      </c>
      <c r="M2509" s="23" t="s">
        <v>204</v>
      </c>
      <c r="N2509" s="23" t="str">
        <f>IF(COUNTIF($A$2:A2509,A2509)&gt;1,"DUP","OK")</f>
        <v>OK</v>
      </c>
      <c r="O2509" s="23" t="str">
        <f t="shared" si="118"/>
        <v>ORD26000923</v>
      </c>
      <c r="P2509" s="23" t="str">
        <f t="shared" si="119"/>
        <v>Sep</v>
      </c>
      <c r="Q2509" s="23" t="str">
        <f>IF(F2509="CAPTURE",IF(COUNTIF(orders!$A:$A,O2509)&gt;0,"Yes","NO ORDER"),"")</f>
        <v>Yes</v>
      </c>
    </row>
    <row r="2510" spans="1:17" ht="15" customHeight="1" x14ac:dyDescent="0.3">
      <c r="A2510" s="23" t="s">
        <v>15337</v>
      </c>
      <c r="B2510" s="23"/>
      <c r="C2510" s="23" t="s">
        <v>2329</v>
      </c>
      <c r="D2510" s="23" t="str">
        <f t="shared" si="117"/>
        <v>ORD26000936</v>
      </c>
      <c r="E2510" s="38">
        <v>46279</v>
      </c>
      <c r="F2510" s="23" t="s">
        <v>12410</v>
      </c>
      <c r="G2510" s="23" t="s">
        <v>75</v>
      </c>
      <c r="H2510" s="24">
        <v>4999</v>
      </c>
      <c r="I2510" s="24">
        <v>15</v>
      </c>
      <c r="J2510" s="24">
        <v>2.7</v>
      </c>
      <c r="K2510" s="24">
        <v>4981.3</v>
      </c>
      <c r="L2510" s="38">
        <v>46281</v>
      </c>
      <c r="M2510" s="23" t="s">
        <v>204</v>
      </c>
      <c r="N2510" s="23" t="str">
        <f>IF(COUNTIF($A$2:A2510,A2510)&gt;1,"DUP","OK")</f>
        <v>OK</v>
      </c>
      <c r="O2510" s="23" t="str">
        <f t="shared" si="118"/>
        <v>ORD26000936</v>
      </c>
      <c r="P2510" s="23" t="str">
        <f t="shared" si="119"/>
        <v>Sep</v>
      </c>
      <c r="Q2510" s="23" t="str">
        <f>IF(F2510="CAPTURE",IF(COUNTIF(orders!$A:$A,O2510)&gt;0,"Yes","NO ORDER"),"")</f>
        <v>Yes</v>
      </c>
    </row>
    <row r="2511" spans="1:17" ht="15" customHeight="1" x14ac:dyDescent="0.3">
      <c r="A2511" s="23" t="s">
        <v>15338</v>
      </c>
      <c r="B2511" s="23"/>
      <c r="C2511" s="23" t="s">
        <v>2365</v>
      </c>
      <c r="D2511" s="23" t="str">
        <f t="shared" si="117"/>
        <v>ORD26000953</v>
      </c>
      <c r="E2511" s="38">
        <v>46279</v>
      </c>
      <c r="F2511" s="23" t="s">
        <v>12410</v>
      </c>
      <c r="G2511" s="23" t="s">
        <v>75</v>
      </c>
      <c r="H2511" s="24">
        <v>1799</v>
      </c>
      <c r="I2511" s="24">
        <v>0</v>
      </c>
      <c r="J2511" s="24">
        <v>0</v>
      </c>
      <c r="K2511" s="24">
        <v>1799</v>
      </c>
      <c r="L2511" s="38">
        <v>46281</v>
      </c>
      <c r="M2511" s="23" t="s">
        <v>204</v>
      </c>
      <c r="N2511" s="23" t="str">
        <f>IF(COUNTIF($A$2:A2511,A2511)&gt;1,"DUP","OK")</f>
        <v>OK</v>
      </c>
      <c r="O2511" s="23" t="str">
        <f t="shared" si="118"/>
        <v>ORD26000953</v>
      </c>
      <c r="P2511" s="23" t="str">
        <f t="shared" si="119"/>
        <v>Sep</v>
      </c>
      <c r="Q2511" s="23" t="str">
        <f>IF(F2511="CAPTURE",IF(COUNTIF(orders!$A:$A,O2511)&gt;0,"Yes","NO ORDER"),"")</f>
        <v>Yes</v>
      </c>
    </row>
    <row r="2512" spans="1:17" ht="15" customHeight="1" x14ac:dyDescent="0.3">
      <c r="A2512" s="23" t="s">
        <v>15339</v>
      </c>
      <c r="B2512" s="23"/>
      <c r="C2512" s="23" t="s">
        <v>2389</v>
      </c>
      <c r="D2512" s="23" t="str">
        <f t="shared" si="117"/>
        <v>ORD26000965</v>
      </c>
      <c r="E2512" s="38">
        <v>46279</v>
      </c>
      <c r="F2512" s="23" t="s">
        <v>12410</v>
      </c>
      <c r="G2512" s="23" t="s">
        <v>75</v>
      </c>
      <c r="H2512" s="24">
        <v>14997</v>
      </c>
      <c r="I2512" s="24">
        <v>44.99</v>
      </c>
      <c r="J2512" s="24">
        <v>8.1</v>
      </c>
      <c r="K2512" s="24">
        <v>14943.91</v>
      </c>
      <c r="L2512" s="38">
        <v>46281</v>
      </c>
      <c r="M2512" s="23" t="s">
        <v>204</v>
      </c>
      <c r="N2512" s="23" t="str">
        <f>IF(COUNTIF($A$2:A2512,A2512)&gt;1,"DUP","OK")</f>
        <v>OK</v>
      </c>
      <c r="O2512" s="23" t="str">
        <f t="shared" si="118"/>
        <v>ORD26000965</v>
      </c>
      <c r="P2512" s="23" t="str">
        <f t="shared" si="119"/>
        <v>Sep</v>
      </c>
      <c r="Q2512" s="23" t="str">
        <f>IF(F2512="CAPTURE",IF(COUNTIF(orders!$A:$A,O2512)&gt;0,"Yes","NO ORDER"),"")</f>
        <v>Yes</v>
      </c>
    </row>
    <row r="2513" spans="1:17" ht="15" customHeight="1" x14ac:dyDescent="0.3">
      <c r="A2513" s="23" t="s">
        <v>15340</v>
      </c>
      <c r="B2513" s="23"/>
      <c r="C2513" s="23" t="s">
        <v>2677</v>
      </c>
      <c r="D2513" s="23" t="str">
        <f t="shared" si="117"/>
        <v>ORD26001106</v>
      </c>
      <c r="E2513" s="38">
        <v>46279</v>
      </c>
      <c r="F2513" s="23" t="s">
        <v>12410</v>
      </c>
      <c r="G2513" s="23" t="s">
        <v>75</v>
      </c>
      <c r="H2513" s="24">
        <v>3397</v>
      </c>
      <c r="I2513" s="24">
        <v>10.19</v>
      </c>
      <c r="J2513" s="24">
        <v>1.83</v>
      </c>
      <c r="K2513" s="24">
        <v>3384.98</v>
      </c>
      <c r="L2513" s="38">
        <v>46281</v>
      </c>
      <c r="M2513" s="23" t="s">
        <v>204</v>
      </c>
      <c r="N2513" s="23" t="str">
        <f>IF(COUNTIF($A$2:A2513,A2513)&gt;1,"DUP","OK")</f>
        <v>OK</v>
      </c>
      <c r="O2513" s="23" t="str">
        <f t="shared" si="118"/>
        <v>ORD26001106</v>
      </c>
      <c r="P2513" s="23" t="str">
        <f t="shared" si="119"/>
        <v>Sep</v>
      </c>
      <c r="Q2513" s="23" t="str">
        <f>IF(F2513="CAPTURE",IF(COUNTIF(orders!$A:$A,O2513)&gt;0,"Yes","NO ORDER"),"")</f>
        <v>Yes</v>
      </c>
    </row>
    <row r="2514" spans="1:17" ht="15" customHeight="1" x14ac:dyDescent="0.3">
      <c r="A2514" s="23" t="s">
        <v>15341</v>
      </c>
      <c r="B2514" s="23"/>
      <c r="C2514" s="23" t="s">
        <v>2757</v>
      </c>
      <c r="D2514" s="23" t="str">
        <f t="shared" si="117"/>
        <v>ORD26001145</v>
      </c>
      <c r="E2514" s="38">
        <v>46279</v>
      </c>
      <c r="F2514" s="23" t="s">
        <v>12410</v>
      </c>
      <c r="G2514" s="23" t="s">
        <v>75</v>
      </c>
      <c r="H2514" s="24">
        <v>299</v>
      </c>
      <c r="I2514" s="24">
        <v>0</v>
      </c>
      <c r="J2514" s="24">
        <v>0</v>
      </c>
      <c r="K2514" s="24">
        <v>299</v>
      </c>
      <c r="L2514" s="38">
        <v>46281</v>
      </c>
      <c r="M2514" s="23" t="s">
        <v>204</v>
      </c>
      <c r="N2514" s="23" t="str">
        <f>IF(COUNTIF($A$2:A2514,A2514)&gt;1,"DUP","OK")</f>
        <v>OK</v>
      </c>
      <c r="O2514" s="23" t="str">
        <f t="shared" si="118"/>
        <v>ORD26001145</v>
      </c>
      <c r="P2514" s="23" t="str">
        <f t="shared" si="119"/>
        <v>Sep</v>
      </c>
      <c r="Q2514" s="23" t="str">
        <f>IF(F2514="CAPTURE",IF(COUNTIF(orders!$A:$A,O2514)&gt;0,"Yes","NO ORDER"),"")</f>
        <v>Yes</v>
      </c>
    </row>
    <row r="2515" spans="1:17" ht="15" customHeight="1" x14ac:dyDescent="0.3">
      <c r="A2515" s="23" t="s">
        <v>15342</v>
      </c>
      <c r="B2515" s="23"/>
      <c r="C2515" s="23" t="s">
        <v>2779</v>
      </c>
      <c r="D2515" s="23" t="str">
        <f t="shared" si="117"/>
        <v>ORD26001156</v>
      </c>
      <c r="E2515" s="38">
        <v>46279</v>
      </c>
      <c r="F2515" s="23" t="s">
        <v>12410</v>
      </c>
      <c r="G2515" s="23" t="s">
        <v>75</v>
      </c>
      <c r="H2515" s="24">
        <v>999</v>
      </c>
      <c r="I2515" s="24">
        <v>0</v>
      </c>
      <c r="J2515" s="24">
        <v>0</v>
      </c>
      <c r="K2515" s="24">
        <v>999</v>
      </c>
      <c r="L2515" s="38">
        <v>46281</v>
      </c>
      <c r="M2515" s="23" t="s">
        <v>204</v>
      </c>
      <c r="N2515" s="23" t="str">
        <f>IF(COUNTIF($A$2:A2515,A2515)&gt;1,"DUP","OK")</f>
        <v>OK</v>
      </c>
      <c r="O2515" s="23" t="str">
        <f t="shared" si="118"/>
        <v>ORD26001156</v>
      </c>
      <c r="P2515" s="23" t="str">
        <f t="shared" si="119"/>
        <v>Sep</v>
      </c>
      <c r="Q2515" s="23" t="str">
        <f>IF(F2515="CAPTURE",IF(COUNTIF(orders!$A:$A,O2515)&gt;0,"Yes","NO ORDER"),"")</f>
        <v>Yes</v>
      </c>
    </row>
    <row r="2516" spans="1:17" ht="15" customHeight="1" x14ac:dyDescent="0.3">
      <c r="A2516" s="23" t="s">
        <v>15343</v>
      </c>
      <c r="B2516" s="23"/>
      <c r="C2516" s="23" t="s">
        <v>15344</v>
      </c>
      <c r="D2516" s="23" t="str">
        <f t="shared" si="117"/>
        <v>ORD26001178</v>
      </c>
      <c r="E2516" s="38">
        <v>46279</v>
      </c>
      <c r="F2516" s="23" t="s">
        <v>12410</v>
      </c>
      <c r="G2516" s="23" t="s">
        <v>79</v>
      </c>
      <c r="H2516" s="24">
        <v>1848</v>
      </c>
      <c r="I2516" s="24">
        <v>33.26</v>
      </c>
      <c r="J2516" s="24">
        <v>5.99</v>
      </c>
      <c r="K2516" s="24">
        <v>1808.75</v>
      </c>
      <c r="L2516" s="38">
        <v>46281</v>
      </c>
      <c r="M2516" s="23" t="s">
        <v>204</v>
      </c>
      <c r="N2516" s="23" t="str">
        <f>IF(COUNTIF($A$2:A2516,A2516)&gt;1,"DUP","OK")</f>
        <v>OK</v>
      </c>
      <c r="O2516" s="23" t="str">
        <f t="shared" si="118"/>
        <v>ORD26001178</v>
      </c>
      <c r="P2516" s="23" t="str">
        <f t="shared" si="119"/>
        <v>Sep</v>
      </c>
      <c r="Q2516" s="23" t="str">
        <f>IF(F2516="CAPTURE",IF(COUNTIF(orders!$A:$A,O2516)&gt;0,"Yes","NO ORDER"),"")</f>
        <v>Yes</v>
      </c>
    </row>
    <row r="2517" spans="1:17" ht="15" customHeight="1" x14ac:dyDescent="0.3">
      <c r="A2517" s="23" t="s">
        <v>15345</v>
      </c>
      <c r="B2517" s="23"/>
      <c r="C2517" s="23" t="s">
        <v>2833</v>
      </c>
      <c r="D2517" s="23" t="str">
        <f t="shared" si="117"/>
        <v>ORD26001183</v>
      </c>
      <c r="E2517" s="38">
        <v>46279</v>
      </c>
      <c r="F2517" s="23" t="s">
        <v>12410</v>
      </c>
      <c r="G2517" s="23" t="s">
        <v>75</v>
      </c>
      <c r="H2517" s="24">
        <v>598</v>
      </c>
      <c r="I2517" s="24">
        <v>0</v>
      </c>
      <c r="J2517" s="24">
        <v>0</v>
      </c>
      <c r="K2517" s="24">
        <v>598</v>
      </c>
      <c r="L2517" s="38">
        <v>46281</v>
      </c>
      <c r="M2517" s="23" t="s">
        <v>204</v>
      </c>
      <c r="N2517" s="23" t="str">
        <f>IF(COUNTIF($A$2:A2517,A2517)&gt;1,"DUP","OK")</f>
        <v>OK</v>
      </c>
      <c r="O2517" s="23" t="str">
        <f t="shared" si="118"/>
        <v>ORD26001183</v>
      </c>
      <c r="P2517" s="23" t="str">
        <f t="shared" si="119"/>
        <v>Sep</v>
      </c>
      <c r="Q2517" s="23" t="str">
        <f>IF(F2517="CAPTURE",IF(COUNTIF(orders!$A:$A,O2517)&gt;0,"Yes","NO ORDER"),"")</f>
        <v>Yes</v>
      </c>
    </row>
    <row r="2518" spans="1:17" ht="15" customHeight="1" x14ac:dyDescent="0.3">
      <c r="A2518" s="23" t="s">
        <v>15346</v>
      </c>
      <c r="B2518" s="23"/>
      <c r="C2518" s="23" t="s">
        <v>15347</v>
      </c>
      <c r="D2518" s="23" t="str">
        <f t="shared" si="117"/>
        <v>ORD26001203</v>
      </c>
      <c r="E2518" s="38">
        <v>46279</v>
      </c>
      <c r="F2518" s="23" t="s">
        <v>12410</v>
      </c>
      <c r="G2518" s="23" t="s">
        <v>79</v>
      </c>
      <c r="H2518" s="24">
        <v>2499</v>
      </c>
      <c r="I2518" s="24">
        <v>39.979999999999997</v>
      </c>
      <c r="J2518" s="24">
        <v>7.2</v>
      </c>
      <c r="K2518" s="24">
        <v>2451.8200000000002</v>
      </c>
      <c r="L2518" s="38">
        <v>46281</v>
      </c>
      <c r="M2518" s="23" t="s">
        <v>204</v>
      </c>
      <c r="N2518" s="23" t="str">
        <f>IF(COUNTIF($A$2:A2518,A2518)&gt;1,"DUP","OK")</f>
        <v>OK</v>
      </c>
      <c r="O2518" s="23" t="str">
        <f t="shared" si="118"/>
        <v>ORD26001203</v>
      </c>
      <c r="P2518" s="23" t="str">
        <f t="shared" si="119"/>
        <v>Sep</v>
      </c>
      <c r="Q2518" s="23" t="str">
        <f>IF(F2518="CAPTURE",IF(COUNTIF(orders!$A:$A,O2518)&gt;0,"Yes","NO ORDER"),"")</f>
        <v>Yes</v>
      </c>
    </row>
    <row r="2519" spans="1:17" ht="15" customHeight="1" x14ac:dyDescent="0.3">
      <c r="A2519" s="23" t="s">
        <v>15348</v>
      </c>
      <c r="B2519" s="23"/>
      <c r="C2519" s="23" t="s">
        <v>2888</v>
      </c>
      <c r="D2519" s="23" t="str">
        <f t="shared" si="117"/>
        <v>ORD26001210</v>
      </c>
      <c r="E2519" s="38">
        <v>46279</v>
      </c>
      <c r="F2519" s="23" t="s">
        <v>12410</v>
      </c>
      <c r="G2519" s="23" t="s">
        <v>75</v>
      </c>
      <c r="H2519" s="24">
        <v>599</v>
      </c>
      <c r="I2519" s="24">
        <v>0</v>
      </c>
      <c r="J2519" s="24">
        <v>0</v>
      </c>
      <c r="K2519" s="24">
        <v>599</v>
      </c>
      <c r="L2519" s="38">
        <v>46281</v>
      </c>
      <c r="M2519" s="23" t="s">
        <v>204</v>
      </c>
      <c r="N2519" s="23" t="str">
        <f>IF(COUNTIF($A$2:A2519,A2519)&gt;1,"DUP","OK")</f>
        <v>OK</v>
      </c>
      <c r="O2519" s="23" t="str">
        <f t="shared" si="118"/>
        <v>ORD26001210</v>
      </c>
      <c r="P2519" s="23" t="str">
        <f t="shared" si="119"/>
        <v>Sep</v>
      </c>
      <c r="Q2519" s="23" t="str">
        <f>IF(F2519="CAPTURE",IF(COUNTIF(orders!$A:$A,O2519)&gt;0,"Yes","NO ORDER"),"")</f>
        <v>Yes</v>
      </c>
    </row>
    <row r="2520" spans="1:17" ht="15" customHeight="1" x14ac:dyDescent="0.3">
      <c r="A2520" s="23" t="s">
        <v>15349</v>
      </c>
      <c r="B2520" s="23"/>
      <c r="C2520" s="23" t="s">
        <v>2902</v>
      </c>
      <c r="D2520" s="23" t="str">
        <f t="shared" si="117"/>
        <v>ORD26001217</v>
      </c>
      <c r="E2520" s="38">
        <v>46279</v>
      </c>
      <c r="F2520" s="23" t="s">
        <v>12410</v>
      </c>
      <c r="G2520" s="23" t="s">
        <v>75</v>
      </c>
      <c r="H2520" s="24">
        <v>6498</v>
      </c>
      <c r="I2520" s="24">
        <v>19.489999999999998</v>
      </c>
      <c r="J2520" s="24">
        <v>3.51</v>
      </c>
      <c r="K2520" s="24">
        <v>6475</v>
      </c>
      <c r="L2520" s="38">
        <v>46281</v>
      </c>
      <c r="M2520" s="23" t="s">
        <v>204</v>
      </c>
      <c r="N2520" s="23" t="str">
        <f>IF(COUNTIF($A$2:A2520,A2520)&gt;1,"DUP","OK")</f>
        <v>OK</v>
      </c>
      <c r="O2520" s="23" t="str">
        <f t="shared" si="118"/>
        <v>ORD26001217</v>
      </c>
      <c r="P2520" s="23" t="str">
        <f t="shared" si="119"/>
        <v>Sep</v>
      </c>
      <c r="Q2520" s="23" t="str">
        <f>IF(F2520="CAPTURE",IF(COUNTIF(orders!$A:$A,O2520)&gt;0,"Yes","NO ORDER"),"")</f>
        <v>Yes</v>
      </c>
    </row>
    <row r="2521" spans="1:17" ht="15" customHeight="1" x14ac:dyDescent="0.3">
      <c r="A2521" s="23" t="s">
        <v>15350</v>
      </c>
      <c r="B2521" s="23"/>
      <c r="C2521" s="23" t="s">
        <v>2970</v>
      </c>
      <c r="D2521" s="23" t="str">
        <f t="shared" si="117"/>
        <v>ORD26001249</v>
      </c>
      <c r="E2521" s="38">
        <v>46279</v>
      </c>
      <c r="F2521" s="23" t="s">
        <v>12410</v>
      </c>
      <c r="G2521" s="23" t="s">
        <v>75</v>
      </c>
      <c r="H2521" s="24">
        <v>1299</v>
      </c>
      <c r="I2521" s="24">
        <v>0</v>
      </c>
      <c r="J2521" s="24">
        <v>0</v>
      </c>
      <c r="K2521" s="24">
        <v>1299</v>
      </c>
      <c r="L2521" s="38">
        <v>46281</v>
      </c>
      <c r="M2521" s="23" t="s">
        <v>204</v>
      </c>
      <c r="N2521" s="23" t="str">
        <f>IF(COUNTIF($A$2:A2521,A2521)&gt;1,"DUP","OK")</f>
        <v>OK</v>
      </c>
      <c r="O2521" s="23" t="str">
        <f t="shared" si="118"/>
        <v>ORD26001249</v>
      </c>
      <c r="P2521" s="23" t="str">
        <f t="shared" si="119"/>
        <v>Sep</v>
      </c>
      <c r="Q2521" s="23" t="str">
        <f>IF(F2521="CAPTURE",IF(COUNTIF(orders!$A:$A,O2521)&gt;0,"Yes","NO ORDER"),"")</f>
        <v>Yes</v>
      </c>
    </row>
    <row r="2522" spans="1:17" ht="15" customHeight="1" x14ac:dyDescent="0.3">
      <c r="A2522" s="23" t="s">
        <v>15351</v>
      </c>
      <c r="B2522" s="23"/>
      <c r="C2522" s="23" t="s">
        <v>3044</v>
      </c>
      <c r="D2522" s="23" t="str">
        <f t="shared" si="117"/>
        <v>ORD26001285</v>
      </c>
      <c r="E2522" s="38">
        <v>46279</v>
      </c>
      <c r="F2522" s="23" t="s">
        <v>12410</v>
      </c>
      <c r="G2522" s="23" t="s">
        <v>77</v>
      </c>
      <c r="H2522" s="24">
        <v>2499</v>
      </c>
      <c r="I2522" s="24">
        <v>42.48</v>
      </c>
      <c r="J2522" s="24">
        <v>7.65</v>
      </c>
      <c r="K2522" s="24">
        <v>2448.87</v>
      </c>
      <c r="L2522" s="38">
        <v>46281</v>
      </c>
      <c r="M2522" s="23" t="s">
        <v>204</v>
      </c>
      <c r="N2522" s="23" t="str">
        <f>IF(COUNTIF($A$2:A2522,A2522)&gt;1,"DUP","OK")</f>
        <v>OK</v>
      </c>
      <c r="O2522" s="23" t="str">
        <f t="shared" si="118"/>
        <v>ORD26001285</v>
      </c>
      <c r="P2522" s="23" t="str">
        <f t="shared" si="119"/>
        <v>Sep</v>
      </c>
      <c r="Q2522" s="23" t="str">
        <f>IF(F2522="CAPTURE",IF(COUNTIF(orders!$A:$A,O2522)&gt;0,"Yes","NO ORDER"),"")</f>
        <v>Yes</v>
      </c>
    </row>
    <row r="2523" spans="1:17" ht="15" customHeight="1" x14ac:dyDescent="0.3">
      <c r="A2523" s="23" t="s">
        <v>15352</v>
      </c>
      <c r="B2523" s="23"/>
      <c r="C2523" s="23" t="s">
        <v>3079</v>
      </c>
      <c r="D2523" s="23" t="str">
        <f t="shared" si="117"/>
        <v>ORD26001302</v>
      </c>
      <c r="E2523" s="38">
        <v>46279</v>
      </c>
      <c r="F2523" s="23" t="s">
        <v>12410</v>
      </c>
      <c r="G2523" s="23" t="s">
        <v>81</v>
      </c>
      <c r="H2523" s="24">
        <v>499</v>
      </c>
      <c r="I2523" s="24">
        <v>7.49</v>
      </c>
      <c r="J2523" s="24">
        <v>1.35</v>
      </c>
      <c r="K2523" s="24">
        <v>490.16</v>
      </c>
      <c r="L2523" s="38">
        <v>46281</v>
      </c>
      <c r="M2523" s="23" t="s">
        <v>204</v>
      </c>
      <c r="N2523" s="23" t="str">
        <f>IF(COUNTIF($A$2:A2523,A2523)&gt;1,"DUP","OK")</f>
        <v>OK</v>
      </c>
      <c r="O2523" s="23" t="str">
        <f t="shared" si="118"/>
        <v>ORD26001302</v>
      </c>
      <c r="P2523" s="23" t="str">
        <f t="shared" si="119"/>
        <v>Sep</v>
      </c>
      <c r="Q2523" s="23" t="str">
        <f>IF(F2523="CAPTURE",IF(COUNTIF(orders!$A:$A,O2523)&gt;0,"Yes","NO ORDER"),"")</f>
        <v>Yes</v>
      </c>
    </row>
    <row r="2524" spans="1:17" ht="15" customHeight="1" x14ac:dyDescent="0.3">
      <c r="A2524" s="23" t="s">
        <v>15353</v>
      </c>
      <c r="B2524" s="23"/>
      <c r="C2524" s="23" t="s">
        <v>3085</v>
      </c>
      <c r="D2524" s="23" t="str">
        <f t="shared" si="117"/>
        <v>ORD26001305</v>
      </c>
      <c r="E2524" s="38">
        <v>46279</v>
      </c>
      <c r="F2524" s="23" t="s">
        <v>12410</v>
      </c>
      <c r="G2524" s="23" t="s">
        <v>75</v>
      </c>
      <c r="H2524" s="24">
        <v>7999</v>
      </c>
      <c r="I2524" s="24">
        <v>24</v>
      </c>
      <c r="J2524" s="24">
        <v>4.32</v>
      </c>
      <c r="K2524" s="24">
        <v>7970.68</v>
      </c>
      <c r="L2524" s="38">
        <v>46281</v>
      </c>
      <c r="M2524" s="23" t="s">
        <v>204</v>
      </c>
      <c r="N2524" s="23" t="str">
        <f>IF(COUNTIF($A$2:A2524,A2524)&gt;1,"DUP","OK")</f>
        <v>OK</v>
      </c>
      <c r="O2524" s="23" t="str">
        <f t="shared" si="118"/>
        <v>ORD26001305</v>
      </c>
      <c r="P2524" s="23" t="str">
        <f t="shared" si="119"/>
        <v>Sep</v>
      </c>
      <c r="Q2524" s="23" t="str">
        <f>IF(F2524="CAPTURE",IF(COUNTIF(orders!$A:$A,O2524)&gt;0,"Yes","NO ORDER"),"")</f>
        <v>Yes</v>
      </c>
    </row>
    <row r="2525" spans="1:17" ht="15" customHeight="1" x14ac:dyDescent="0.3">
      <c r="A2525" s="23" t="s">
        <v>15354</v>
      </c>
      <c r="B2525" s="23"/>
      <c r="C2525" s="23" t="s">
        <v>3249</v>
      </c>
      <c r="D2525" s="23" t="str">
        <f t="shared" si="117"/>
        <v>ORD26001384</v>
      </c>
      <c r="E2525" s="38">
        <v>46279</v>
      </c>
      <c r="F2525" s="23" t="s">
        <v>12410</v>
      </c>
      <c r="G2525" s="23" t="s">
        <v>75</v>
      </c>
      <c r="H2525" s="24">
        <v>2499</v>
      </c>
      <c r="I2525" s="24">
        <v>7.5</v>
      </c>
      <c r="J2525" s="24">
        <v>1.35</v>
      </c>
      <c r="K2525" s="24">
        <v>2490.15</v>
      </c>
      <c r="L2525" s="38">
        <v>46281</v>
      </c>
      <c r="M2525" s="23" t="s">
        <v>204</v>
      </c>
      <c r="N2525" s="23" t="str">
        <f>IF(COUNTIF($A$2:A2525,A2525)&gt;1,"DUP","OK")</f>
        <v>OK</v>
      </c>
      <c r="O2525" s="23" t="str">
        <f t="shared" si="118"/>
        <v>ORD26001384</v>
      </c>
      <c r="P2525" s="23" t="str">
        <f t="shared" si="119"/>
        <v>Sep</v>
      </c>
      <c r="Q2525" s="23" t="str">
        <f>IF(F2525="CAPTURE",IF(COUNTIF(orders!$A:$A,O2525)&gt;0,"Yes","NO ORDER"),"")</f>
        <v>Yes</v>
      </c>
    </row>
    <row r="2526" spans="1:17" ht="15" customHeight="1" x14ac:dyDescent="0.3">
      <c r="A2526" s="23" t="s">
        <v>15355</v>
      </c>
      <c r="B2526" s="23"/>
      <c r="C2526" s="23" t="s">
        <v>3548</v>
      </c>
      <c r="D2526" s="23" t="str">
        <f t="shared" si="117"/>
        <v>ORD26001530</v>
      </c>
      <c r="E2526" s="38">
        <v>46279</v>
      </c>
      <c r="F2526" s="23" t="s">
        <v>12410</v>
      </c>
      <c r="G2526" s="23" t="s">
        <v>79</v>
      </c>
      <c r="H2526" s="24">
        <v>1798</v>
      </c>
      <c r="I2526" s="24">
        <v>32.36</v>
      </c>
      <c r="J2526" s="24">
        <v>5.82</v>
      </c>
      <c r="K2526" s="24">
        <v>1759.82</v>
      </c>
      <c r="L2526" s="38">
        <v>46281</v>
      </c>
      <c r="M2526" s="23" t="s">
        <v>204</v>
      </c>
      <c r="N2526" s="23" t="str">
        <f>IF(COUNTIF($A$2:A2526,A2526)&gt;1,"DUP","OK")</f>
        <v>OK</v>
      </c>
      <c r="O2526" s="23" t="str">
        <f t="shared" si="118"/>
        <v>ORD26001530</v>
      </c>
      <c r="P2526" s="23" t="str">
        <f t="shared" si="119"/>
        <v>Sep</v>
      </c>
      <c r="Q2526" s="23" t="str">
        <f>IF(F2526="CAPTURE",IF(COUNTIF(orders!$A:$A,O2526)&gt;0,"Yes","NO ORDER"),"")</f>
        <v>Yes</v>
      </c>
    </row>
    <row r="2527" spans="1:17" ht="15" customHeight="1" x14ac:dyDescent="0.3">
      <c r="A2527" s="23" t="s">
        <v>15356</v>
      </c>
      <c r="B2527" s="23"/>
      <c r="C2527" s="23" t="s">
        <v>3567</v>
      </c>
      <c r="D2527" s="23" t="str">
        <f t="shared" si="117"/>
        <v>ORD26001539</v>
      </c>
      <c r="E2527" s="38">
        <v>46279</v>
      </c>
      <c r="F2527" s="23" t="s">
        <v>12410</v>
      </c>
      <c r="G2527" s="23" t="s">
        <v>79</v>
      </c>
      <c r="H2527" s="24">
        <v>349</v>
      </c>
      <c r="I2527" s="24">
        <v>6.28</v>
      </c>
      <c r="J2527" s="24">
        <v>1.1299999999999999</v>
      </c>
      <c r="K2527" s="24">
        <v>341.59</v>
      </c>
      <c r="L2527" s="38">
        <v>46281</v>
      </c>
      <c r="M2527" s="23" t="s">
        <v>204</v>
      </c>
      <c r="N2527" s="23" t="str">
        <f>IF(COUNTIF($A$2:A2527,A2527)&gt;1,"DUP","OK")</f>
        <v>OK</v>
      </c>
      <c r="O2527" s="23" t="str">
        <f t="shared" si="118"/>
        <v>ORD26001539</v>
      </c>
      <c r="P2527" s="23" t="str">
        <f t="shared" si="119"/>
        <v>Sep</v>
      </c>
      <c r="Q2527" s="23" t="str">
        <f>IF(F2527="CAPTURE",IF(COUNTIF(orders!$A:$A,O2527)&gt;0,"Yes","NO ORDER"),"")</f>
        <v>Yes</v>
      </c>
    </row>
    <row r="2528" spans="1:17" ht="15" customHeight="1" x14ac:dyDescent="0.3">
      <c r="A2528" s="23" t="s">
        <v>15357</v>
      </c>
      <c r="B2528" s="23"/>
      <c r="C2528" s="23" t="s">
        <v>3619</v>
      </c>
      <c r="D2528" s="23" t="str">
        <f t="shared" si="117"/>
        <v>ORD26001566</v>
      </c>
      <c r="E2528" s="38">
        <v>46279</v>
      </c>
      <c r="F2528" s="23" t="s">
        <v>12410</v>
      </c>
      <c r="G2528" s="23" t="s">
        <v>75</v>
      </c>
      <c r="H2528" s="24">
        <v>7497</v>
      </c>
      <c r="I2528" s="24">
        <v>22.49</v>
      </c>
      <c r="J2528" s="24">
        <v>4.05</v>
      </c>
      <c r="K2528" s="24">
        <v>7470.46</v>
      </c>
      <c r="L2528" s="38">
        <v>46281</v>
      </c>
      <c r="M2528" s="23" t="s">
        <v>204</v>
      </c>
      <c r="N2528" s="23" t="str">
        <f>IF(COUNTIF($A$2:A2528,A2528)&gt;1,"DUP","OK")</f>
        <v>OK</v>
      </c>
      <c r="O2528" s="23" t="str">
        <f t="shared" si="118"/>
        <v>ORD26001566</v>
      </c>
      <c r="P2528" s="23" t="str">
        <f t="shared" si="119"/>
        <v>Sep</v>
      </c>
      <c r="Q2528" s="23" t="str">
        <f>IF(F2528="CAPTURE",IF(COUNTIF(orders!$A:$A,O2528)&gt;0,"Yes","NO ORDER"),"")</f>
        <v>Yes</v>
      </c>
    </row>
    <row r="2529" spans="1:17" ht="15" customHeight="1" x14ac:dyDescent="0.3">
      <c r="A2529" s="23" t="s">
        <v>15358</v>
      </c>
      <c r="B2529" s="23"/>
      <c r="C2529" s="23" t="s">
        <v>3627</v>
      </c>
      <c r="D2529" s="23" t="str">
        <f t="shared" si="117"/>
        <v>ORD26001570</v>
      </c>
      <c r="E2529" s="38">
        <v>46279</v>
      </c>
      <c r="F2529" s="23" t="s">
        <v>12410</v>
      </c>
      <c r="G2529" s="23" t="s">
        <v>79</v>
      </c>
      <c r="H2529" s="24">
        <v>3499</v>
      </c>
      <c r="I2529" s="24">
        <v>55.98</v>
      </c>
      <c r="J2529" s="24">
        <v>10.08</v>
      </c>
      <c r="K2529" s="24">
        <v>3432.94</v>
      </c>
      <c r="L2529" s="38">
        <v>46281</v>
      </c>
      <c r="M2529" s="23" t="s">
        <v>204</v>
      </c>
      <c r="N2529" s="23" t="str">
        <f>IF(COUNTIF($A$2:A2529,A2529)&gt;1,"DUP","OK")</f>
        <v>OK</v>
      </c>
      <c r="O2529" s="23" t="str">
        <f t="shared" si="118"/>
        <v>ORD26001570</v>
      </c>
      <c r="P2529" s="23" t="str">
        <f t="shared" si="119"/>
        <v>Sep</v>
      </c>
      <c r="Q2529" s="23" t="str">
        <f>IF(F2529="CAPTURE",IF(COUNTIF(orders!$A:$A,O2529)&gt;0,"Yes","NO ORDER"),"")</f>
        <v>Yes</v>
      </c>
    </row>
    <row r="2530" spans="1:17" ht="15" customHeight="1" x14ac:dyDescent="0.3">
      <c r="A2530" s="23" t="s">
        <v>15359</v>
      </c>
      <c r="B2530" s="23"/>
      <c r="C2530" s="23" t="s">
        <v>3697</v>
      </c>
      <c r="D2530" s="23" t="str">
        <f t="shared" si="117"/>
        <v>ORD26001605</v>
      </c>
      <c r="E2530" s="38">
        <v>46279</v>
      </c>
      <c r="F2530" s="23" t="s">
        <v>12410</v>
      </c>
      <c r="G2530" s="23" t="s">
        <v>79</v>
      </c>
      <c r="H2530" s="24">
        <v>1799</v>
      </c>
      <c r="I2530" s="24">
        <v>32.380000000000003</v>
      </c>
      <c r="J2530" s="24">
        <v>5.83</v>
      </c>
      <c r="K2530" s="24">
        <v>1760.79</v>
      </c>
      <c r="L2530" s="38">
        <v>46281</v>
      </c>
      <c r="M2530" s="23" t="s">
        <v>204</v>
      </c>
      <c r="N2530" s="23" t="str">
        <f>IF(COUNTIF($A$2:A2530,A2530)&gt;1,"DUP","OK")</f>
        <v>OK</v>
      </c>
      <c r="O2530" s="23" t="str">
        <f t="shared" si="118"/>
        <v>ORD26001605</v>
      </c>
      <c r="P2530" s="23" t="str">
        <f t="shared" si="119"/>
        <v>Sep</v>
      </c>
      <c r="Q2530" s="23" t="str">
        <f>IF(F2530="CAPTURE",IF(COUNTIF(orders!$A:$A,O2530)&gt;0,"Yes","NO ORDER"),"")</f>
        <v>Yes</v>
      </c>
    </row>
    <row r="2531" spans="1:17" ht="15" customHeight="1" x14ac:dyDescent="0.3">
      <c r="A2531" s="23" t="s">
        <v>15360</v>
      </c>
      <c r="B2531" s="23"/>
      <c r="C2531" s="23" t="s">
        <v>3773</v>
      </c>
      <c r="D2531" s="23" t="str">
        <f t="shared" si="117"/>
        <v>ORD26001644</v>
      </c>
      <c r="E2531" s="38">
        <v>46279</v>
      </c>
      <c r="F2531" s="23" t="s">
        <v>12410</v>
      </c>
      <c r="G2531" s="23" t="s">
        <v>79</v>
      </c>
      <c r="H2531" s="24">
        <v>799</v>
      </c>
      <c r="I2531" s="24">
        <v>14.38</v>
      </c>
      <c r="J2531" s="24">
        <v>2.59</v>
      </c>
      <c r="K2531" s="24">
        <v>782.03</v>
      </c>
      <c r="L2531" s="38">
        <v>46281</v>
      </c>
      <c r="M2531" s="23" t="s">
        <v>204</v>
      </c>
      <c r="N2531" s="23" t="str">
        <f>IF(COUNTIF($A$2:A2531,A2531)&gt;1,"DUP","OK")</f>
        <v>OK</v>
      </c>
      <c r="O2531" s="23" t="str">
        <f t="shared" si="118"/>
        <v>ORD26001644</v>
      </c>
      <c r="P2531" s="23" t="str">
        <f t="shared" si="119"/>
        <v>Sep</v>
      </c>
      <c r="Q2531" s="23" t="str">
        <f>IF(F2531="CAPTURE",IF(COUNTIF(orders!$A:$A,O2531)&gt;0,"Yes","NO ORDER"),"")</f>
        <v>Yes</v>
      </c>
    </row>
    <row r="2532" spans="1:17" ht="15" customHeight="1" x14ac:dyDescent="0.3">
      <c r="A2532" s="23" t="s">
        <v>15361</v>
      </c>
      <c r="B2532" s="23"/>
      <c r="C2532" s="23" t="s">
        <v>3843</v>
      </c>
      <c r="D2532" s="23" t="str">
        <f t="shared" si="117"/>
        <v>ORD26001679</v>
      </c>
      <c r="E2532" s="38">
        <v>46279</v>
      </c>
      <c r="F2532" s="23" t="s">
        <v>12410</v>
      </c>
      <c r="G2532" s="23" t="s">
        <v>75</v>
      </c>
      <c r="H2532" s="24">
        <v>499</v>
      </c>
      <c r="I2532" s="24">
        <v>0</v>
      </c>
      <c r="J2532" s="24">
        <v>0</v>
      </c>
      <c r="K2532" s="24">
        <v>499</v>
      </c>
      <c r="L2532" s="38">
        <v>46281</v>
      </c>
      <c r="M2532" s="23" t="s">
        <v>204</v>
      </c>
      <c r="N2532" s="23" t="str">
        <f>IF(COUNTIF($A$2:A2532,A2532)&gt;1,"DUP","OK")</f>
        <v>OK</v>
      </c>
      <c r="O2532" s="23" t="str">
        <f t="shared" si="118"/>
        <v>ORD26001679</v>
      </c>
      <c r="P2532" s="23" t="str">
        <f t="shared" si="119"/>
        <v>Sep</v>
      </c>
      <c r="Q2532" s="23" t="str">
        <f>IF(F2532="CAPTURE",IF(COUNTIF(orders!$A:$A,O2532)&gt;0,"Yes","NO ORDER"),"")</f>
        <v>Yes</v>
      </c>
    </row>
    <row r="2533" spans="1:17" ht="15" customHeight="1" x14ac:dyDescent="0.3">
      <c r="A2533" s="23" t="s">
        <v>15362</v>
      </c>
      <c r="B2533" s="23"/>
      <c r="C2533" s="23" t="s">
        <v>15363</v>
      </c>
      <c r="D2533" s="23" t="str">
        <f t="shared" si="117"/>
        <v>ORD26001689</v>
      </c>
      <c r="E2533" s="38">
        <v>46279</v>
      </c>
      <c r="F2533" s="23" t="s">
        <v>12410</v>
      </c>
      <c r="G2533" s="23" t="s">
        <v>75</v>
      </c>
      <c r="H2533" s="24">
        <v>299</v>
      </c>
      <c r="I2533" s="24">
        <v>0</v>
      </c>
      <c r="J2533" s="24">
        <v>0</v>
      </c>
      <c r="K2533" s="24">
        <v>299</v>
      </c>
      <c r="L2533" s="38">
        <v>46281</v>
      </c>
      <c r="M2533" s="23" t="s">
        <v>204</v>
      </c>
      <c r="N2533" s="23" t="str">
        <f>IF(COUNTIF($A$2:A2533,A2533)&gt;1,"DUP","OK")</f>
        <v>OK</v>
      </c>
      <c r="O2533" s="23" t="str">
        <f t="shared" si="118"/>
        <v>ORD26001689</v>
      </c>
      <c r="P2533" s="23" t="str">
        <f t="shared" si="119"/>
        <v>Sep</v>
      </c>
      <c r="Q2533" s="23" t="str">
        <f>IF(F2533="CAPTURE",IF(COUNTIF(orders!$A:$A,O2533)&gt;0,"Yes","NO ORDER"),"")</f>
        <v>Yes</v>
      </c>
    </row>
    <row r="2534" spans="1:17" ht="15" customHeight="1" x14ac:dyDescent="0.3">
      <c r="A2534" s="23" t="s">
        <v>15364</v>
      </c>
      <c r="B2534" s="23"/>
      <c r="C2534" s="23" t="s">
        <v>3948</v>
      </c>
      <c r="D2534" s="23" t="str">
        <f t="shared" si="117"/>
        <v>ORD26001730</v>
      </c>
      <c r="E2534" s="38">
        <v>46279</v>
      </c>
      <c r="F2534" s="23" t="s">
        <v>12410</v>
      </c>
      <c r="G2534" s="23" t="s">
        <v>75</v>
      </c>
      <c r="H2534" s="24">
        <v>798</v>
      </c>
      <c r="I2534" s="24">
        <v>0</v>
      </c>
      <c r="J2534" s="24">
        <v>0</v>
      </c>
      <c r="K2534" s="24">
        <v>798</v>
      </c>
      <c r="L2534" s="38">
        <v>46281</v>
      </c>
      <c r="M2534" s="23" t="s">
        <v>204</v>
      </c>
      <c r="N2534" s="23" t="str">
        <f>IF(COUNTIF($A$2:A2534,A2534)&gt;1,"DUP","OK")</f>
        <v>OK</v>
      </c>
      <c r="O2534" s="23" t="str">
        <f t="shared" si="118"/>
        <v>ORD26001730</v>
      </c>
      <c r="P2534" s="23" t="str">
        <f t="shared" si="119"/>
        <v>Sep</v>
      </c>
      <c r="Q2534" s="23" t="str">
        <f>IF(F2534="CAPTURE",IF(COUNTIF(orders!$A:$A,O2534)&gt;0,"Yes","NO ORDER"),"")</f>
        <v>Yes</v>
      </c>
    </row>
    <row r="2535" spans="1:17" ht="15" customHeight="1" x14ac:dyDescent="0.3">
      <c r="A2535" s="23" t="s">
        <v>15365</v>
      </c>
      <c r="B2535" s="23"/>
      <c r="C2535" s="23" t="s">
        <v>4018</v>
      </c>
      <c r="D2535" s="23" t="str">
        <f t="shared" si="117"/>
        <v>ORD26001765</v>
      </c>
      <c r="E2535" s="38">
        <v>46279</v>
      </c>
      <c r="F2535" s="23" t="s">
        <v>12410</v>
      </c>
      <c r="G2535" s="23" t="s">
        <v>79</v>
      </c>
      <c r="H2535" s="24">
        <v>599</v>
      </c>
      <c r="I2535" s="24">
        <v>10.78</v>
      </c>
      <c r="J2535" s="24">
        <v>1.94</v>
      </c>
      <c r="K2535" s="24">
        <v>586.28</v>
      </c>
      <c r="L2535" s="38">
        <v>46281</v>
      </c>
      <c r="M2535" s="23" t="s">
        <v>204</v>
      </c>
      <c r="N2535" s="23" t="str">
        <f>IF(COUNTIF($A$2:A2535,A2535)&gt;1,"DUP","OK")</f>
        <v>OK</v>
      </c>
      <c r="O2535" s="23" t="str">
        <f t="shared" si="118"/>
        <v>ORD26001765</v>
      </c>
      <c r="P2535" s="23" t="str">
        <f t="shared" si="119"/>
        <v>Sep</v>
      </c>
      <c r="Q2535" s="23" t="str">
        <f>IF(F2535="CAPTURE",IF(COUNTIF(orders!$A:$A,O2535)&gt;0,"Yes","NO ORDER"),"")</f>
        <v>Yes</v>
      </c>
    </row>
    <row r="2536" spans="1:17" ht="15" customHeight="1" x14ac:dyDescent="0.3">
      <c r="A2536" s="23" t="s">
        <v>15366</v>
      </c>
      <c r="B2536" s="23"/>
      <c r="C2536" s="23" t="s">
        <v>4079</v>
      </c>
      <c r="D2536" s="23" t="str">
        <f t="shared" si="117"/>
        <v>ORD26001796</v>
      </c>
      <c r="E2536" s="38">
        <v>46279</v>
      </c>
      <c r="F2536" s="23" t="s">
        <v>12410</v>
      </c>
      <c r="G2536" s="23" t="s">
        <v>75</v>
      </c>
      <c r="H2536" s="24">
        <v>3297</v>
      </c>
      <c r="I2536" s="24">
        <v>9.89</v>
      </c>
      <c r="J2536" s="24">
        <v>1.78</v>
      </c>
      <c r="K2536" s="24">
        <v>3285.33</v>
      </c>
      <c r="L2536" s="38">
        <v>46281</v>
      </c>
      <c r="M2536" s="23" t="s">
        <v>204</v>
      </c>
      <c r="N2536" s="23" t="str">
        <f>IF(COUNTIF($A$2:A2536,A2536)&gt;1,"DUP","OK")</f>
        <v>OK</v>
      </c>
      <c r="O2536" s="23" t="str">
        <f t="shared" si="118"/>
        <v>ORD26001796</v>
      </c>
      <c r="P2536" s="23" t="str">
        <f t="shared" si="119"/>
        <v>Sep</v>
      </c>
      <c r="Q2536" s="23" t="str">
        <f>IF(F2536="CAPTURE",IF(COUNTIF(orders!$A:$A,O2536)&gt;0,"Yes","NO ORDER"),"")</f>
        <v>Yes</v>
      </c>
    </row>
    <row r="2537" spans="1:17" ht="15" customHeight="1" x14ac:dyDescent="0.3">
      <c r="A2537" s="23" t="s">
        <v>15367</v>
      </c>
      <c r="B2537" s="23"/>
      <c r="C2537" s="23" t="s">
        <v>4158</v>
      </c>
      <c r="D2537" s="23" t="str">
        <f t="shared" si="117"/>
        <v>ORD26001836</v>
      </c>
      <c r="E2537" s="38">
        <v>46279</v>
      </c>
      <c r="F2537" s="23" t="s">
        <v>12410</v>
      </c>
      <c r="G2537" s="23" t="s">
        <v>75</v>
      </c>
      <c r="H2537" s="24">
        <v>6097</v>
      </c>
      <c r="I2537" s="24">
        <v>18.29</v>
      </c>
      <c r="J2537" s="24">
        <v>3.29</v>
      </c>
      <c r="K2537" s="24">
        <v>6075.42</v>
      </c>
      <c r="L2537" s="38">
        <v>46281</v>
      </c>
      <c r="M2537" s="23" t="s">
        <v>204</v>
      </c>
      <c r="N2537" s="23" t="str">
        <f>IF(COUNTIF($A$2:A2537,A2537)&gt;1,"DUP","OK")</f>
        <v>OK</v>
      </c>
      <c r="O2537" s="23" t="str">
        <f t="shared" si="118"/>
        <v>ORD26001836</v>
      </c>
      <c r="P2537" s="23" t="str">
        <f t="shared" si="119"/>
        <v>Sep</v>
      </c>
      <c r="Q2537" s="23" t="str">
        <f>IF(F2537="CAPTURE",IF(COUNTIF(orders!$A:$A,O2537)&gt;0,"Yes","NO ORDER"),"")</f>
        <v>Yes</v>
      </c>
    </row>
    <row r="2538" spans="1:17" ht="15" customHeight="1" x14ac:dyDescent="0.3">
      <c r="A2538" s="23" t="s">
        <v>15368</v>
      </c>
      <c r="B2538" s="23"/>
      <c r="C2538" s="23" t="s">
        <v>15369</v>
      </c>
      <c r="D2538" s="23" t="str">
        <f t="shared" si="117"/>
        <v>ORD26001839</v>
      </c>
      <c r="E2538" s="38">
        <v>46279</v>
      </c>
      <c r="F2538" s="23" t="s">
        <v>12410</v>
      </c>
      <c r="G2538" s="23" t="s">
        <v>75</v>
      </c>
      <c r="H2538" s="24">
        <v>1598</v>
      </c>
      <c r="I2538" s="24">
        <v>0</v>
      </c>
      <c r="J2538" s="24">
        <v>0</v>
      </c>
      <c r="K2538" s="24">
        <v>1598</v>
      </c>
      <c r="L2538" s="38">
        <v>46281</v>
      </c>
      <c r="M2538" s="23" t="s">
        <v>204</v>
      </c>
      <c r="N2538" s="23" t="str">
        <f>IF(COUNTIF($A$2:A2538,A2538)&gt;1,"DUP","OK")</f>
        <v>OK</v>
      </c>
      <c r="O2538" s="23" t="str">
        <f t="shared" si="118"/>
        <v>ORD26001839</v>
      </c>
      <c r="P2538" s="23" t="str">
        <f t="shared" si="119"/>
        <v>Sep</v>
      </c>
      <c r="Q2538" s="23" t="str">
        <f>IF(F2538="CAPTURE",IF(COUNTIF(orders!$A:$A,O2538)&gt;0,"Yes","NO ORDER"),"")</f>
        <v>Yes</v>
      </c>
    </row>
    <row r="2539" spans="1:17" ht="15" customHeight="1" x14ac:dyDescent="0.3">
      <c r="A2539" s="23" t="s">
        <v>15370</v>
      </c>
      <c r="B2539" s="23"/>
      <c r="C2539" s="23" t="s">
        <v>4171</v>
      </c>
      <c r="D2539" s="23" t="str">
        <f t="shared" si="117"/>
        <v>ORD26001843</v>
      </c>
      <c r="E2539" s="38">
        <v>46279</v>
      </c>
      <c r="F2539" s="23" t="s">
        <v>12410</v>
      </c>
      <c r="G2539" s="23" t="s">
        <v>79</v>
      </c>
      <c r="H2539" s="24">
        <v>1098</v>
      </c>
      <c r="I2539" s="24">
        <v>19.760000000000002</v>
      </c>
      <c r="J2539" s="24">
        <v>3.56</v>
      </c>
      <c r="K2539" s="24">
        <v>1074.68</v>
      </c>
      <c r="L2539" s="38">
        <v>46281</v>
      </c>
      <c r="M2539" s="23" t="s">
        <v>204</v>
      </c>
      <c r="N2539" s="23" t="str">
        <f>IF(COUNTIF($A$2:A2539,A2539)&gt;1,"DUP","OK")</f>
        <v>OK</v>
      </c>
      <c r="O2539" s="23" t="str">
        <f t="shared" si="118"/>
        <v>ORD26001843</v>
      </c>
      <c r="P2539" s="23" t="str">
        <f t="shared" si="119"/>
        <v>Sep</v>
      </c>
      <c r="Q2539" s="23" t="str">
        <f>IF(F2539="CAPTURE",IF(COUNTIF(orders!$A:$A,O2539)&gt;0,"Yes","NO ORDER"),"")</f>
        <v>Yes</v>
      </c>
    </row>
    <row r="2540" spans="1:17" ht="15" customHeight="1" x14ac:dyDescent="0.3">
      <c r="A2540" s="23" t="s">
        <v>15371</v>
      </c>
      <c r="B2540" s="23"/>
      <c r="C2540" s="23" t="s">
        <v>4214</v>
      </c>
      <c r="D2540" s="23" t="str">
        <f t="shared" si="117"/>
        <v>ORD26001864</v>
      </c>
      <c r="E2540" s="38">
        <v>46279</v>
      </c>
      <c r="F2540" s="23" t="s">
        <v>12410</v>
      </c>
      <c r="G2540" s="23" t="s">
        <v>79</v>
      </c>
      <c r="H2540" s="24">
        <v>799</v>
      </c>
      <c r="I2540" s="24">
        <v>14.38</v>
      </c>
      <c r="J2540" s="24">
        <v>2.59</v>
      </c>
      <c r="K2540" s="24">
        <v>782.03</v>
      </c>
      <c r="L2540" s="38">
        <v>46281</v>
      </c>
      <c r="M2540" s="23" t="s">
        <v>204</v>
      </c>
      <c r="N2540" s="23" t="str">
        <f>IF(COUNTIF($A$2:A2540,A2540)&gt;1,"DUP","OK")</f>
        <v>OK</v>
      </c>
      <c r="O2540" s="23" t="str">
        <f t="shared" si="118"/>
        <v>ORD26001864</v>
      </c>
      <c r="P2540" s="23" t="str">
        <f t="shared" si="119"/>
        <v>Sep</v>
      </c>
      <c r="Q2540" s="23" t="str">
        <f>IF(F2540="CAPTURE",IF(COUNTIF(orders!$A:$A,O2540)&gt;0,"Yes","NO ORDER"),"")</f>
        <v>Yes</v>
      </c>
    </row>
    <row r="2541" spans="1:17" ht="15" customHeight="1" x14ac:dyDescent="0.3">
      <c r="A2541" s="23" t="s">
        <v>15372</v>
      </c>
      <c r="B2541" s="23"/>
      <c r="C2541" s="23" t="s">
        <v>4224</v>
      </c>
      <c r="D2541" s="23" t="str">
        <f t="shared" si="117"/>
        <v>ORD26001869</v>
      </c>
      <c r="E2541" s="38">
        <v>46279</v>
      </c>
      <c r="F2541" s="23" t="s">
        <v>12410</v>
      </c>
      <c r="G2541" s="23" t="s">
        <v>77</v>
      </c>
      <c r="H2541" s="24">
        <v>1098</v>
      </c>
      <c r="I2541" s="24">
        <v>20.86</v>
      </c>
      <c r="J2541" s="24">
        <v>3.75</v>
      </c>
      <c r="K2541" s="24">
        <v>1073.3900000000001</v>
      </c>
      <c r="L2541" s="38">
        <v>46281</v>
      </c>
      <c r="M2541" s="23" t="s">
        <v>204</v>
      </c>
      <c r="N2541" s="23" t="str">
        <f>IF(COUNTIF($A$2:A2541,A2541)&gt;1,"DUP","OK")</f>
        <v>OK</v>
      </c>
      <c r="O2541" s="23" t="str">
        <f t="shared" si="118"/>
        <v>ORD26001869</v>
      </c>
      <c r="P2541" s="23" t="str">
        <f t="shared" si="119"/>
        <v>Sep</v>
      </c>
      <c r="Q2541" s="23" t="str">
        <f>IF(F2541="CAPTURE",IF(COUNTIF(orders!$A:$A,O2541)&gt;0,"Yes","NO ORDER"),"")</f>
        <v>Yes</v>
      </c>
    </row>
    <row r="2542" spans="1:17" ht="15" customHeight="1" x14ac:dyDescent="0.3">
      <c r="A2542" s="23" t="s">
        <v>15373</v>
      </c>
      <c r="B2542" s="23"/>
      <c r="C2542" s="23" t="s">
        <v>4273</v>
      </c>
      <c r="D2542" s="23" t="str">
        <f t="shared" si="117"/>
        <v>ORD26001893</v>
      </c>
      <c r="E2542" s="38">
        <v>46279</v>
      </c>
      <c r="F2542" s="23" t="s">
        <v>12410</v>
      </c>
      <c r="G2542" s="23" t="s">
        <v>75</v>
      </c>
      <c r="H2542" s="24">
        <v>3499</v>
      </c>
      <c r="I2542" s="24">
        <v>10.5</v>
      </c>
      <c r="J2542" s="24">
        <v>1.89</v>
      </c>
      <c r="K2542" s="24">
        <v>3486.61</v>
      </c>
      <c r="L2542" s="38">
        <v>46281</v>
      </c>
      <c r="M2542" s="23" t="s">
        <v>204</v>
      </c>
      <c r="N2542" s="23" t="str">
        <f>IF(COUNTIF($A$2:A2542,A2542)&gt;1,"DUP","OK")</f>
        <v>OK</v>
      </c>
      <c r="O2542" s="23" t="str">
        <f t="shared" si="118"/>
        <v>ORD26001893</v>
      </c>
      <c r="P2542" s="23" t="str">
        <f t="shared" si="119"/>
        <v>Sep</v>
      </c>
      <c r="Q2542" s="23" t="str">
        <f>IF(F2542="CAPTURE",IF(COUNTIF(orders!$A:$A,O2542)&gt;0,"Yes","NO ORDER"),"")</f>
        <v>Yes</v>
      </c>
    </row>
    <row r="2543" spans="1:17" ht="15" customHeight="1" x14ac:dyDescent="0.3">
      <c r="A2543" s="23" t="s">
        <v>15374</v>
      </c>
      <c r="B2543" s="23"/>
      <c r="C2543" s="23" t="s">
        <v>15375</v>
      </c>
      <c r="D2543" s="23" t="str">
        <f t="shared" si="117"/>
        <v>ORD26001902</v>
      </c>
      <c r="E2543" s="38">
        <v>46279</v>
      </c>
      <c r="F2543" s="23" t="s">
        <v>12410</v>
      </c>
      <c r="G2543" s="23" t="s">
        <v>81</v>
      </c>
      <c r="H2543" s="24">
        <v>2999</v>
      </c>
      <c r="I2543" s="24">
        <v>35.99</v>
      </c>
      <c r="J2543" s="24">
        <v>6.48</v>
      </c>
      <c r="K2543" s="24">
        <v>2956.53</v>
      </c>
      <c r="L2543" s="38">
        <v>46281</v>
      </c>
      <c r="M2543" s="23" t="s">
        <v>204</v>
      </c>
      <c r="N2543" s="23" t="str">
        <f>IF(COUNTIF($A$2:A2543,A2543)&gt;1,"DUP","OK")</f>
        <v>OK</v>
      </c>
      <c r="O2543" s="23" t="str">
        <f t="shared" si="118"/>
        <v>ORD26001902</v>
      </c>
      <c r="P2543" s="23" t="str">
        <f t="shared" si="119"/>
        <v>Sep</v>
      </c>
      <c r="Q2543" s="23" t="str">
        <f>IF(F2543="CAPTURE",IF(COUNTIF(orders!$A:$A,O2543)&gt;0,"Yes","NO ORDER"),"")</f>
        <v>Yes</v>
      </c>
    </row>
    <row r="2544" spans="1:17" ht="15" customHeight="1" x14ac:dyDescent="0.3">
      <c r="A2544" s="23" t="s">
        <v>15376</v>
      </c>
      <c r="B2544" s="23"/>
      <c r="C2544" s="23" t="s">
        <v>4320</v>
      </c>
      <c r="D2544" s="23" t="str">
        <f t="shared" si="117"/>
        <v>ORD26001915</v>
      </c>
      <c r="E2544" s="38">
        <v>46279</v>
      </c>
      <c r="F2544" s="23" t="s">
        <v>12410</v>
      </c>
      <c r="G2544" s="23" t="s">
        <v>79</v>
      </c>
      <c r="H2544" s="24">
        <v>3797</v>
      </c>
      <c r="I2544" s="24">
        <v>60.75</v>
      </c>
      <c r="J2544" s="24">
        <v>10.94</v>
      </c>
      <c r="K2544" s="24">
        <v>3725.31</v>
      </c>
      <c r="L2544" s="38">
        <v>46281</v>
      </c>
      <c r="M2544" s="23" t="s">
        <v>204</v>
      </c>
      <c r="N2544" s="23" t="str">
        <f>IF(COUNTIF($A$2:A2544,A2544)&gt;1,"DUP","OK")</f>
        <v>OK</v>
      </c>
      <c r="O2544" s="23" t="str">
        <f t="shared" si="118"/>
        <v>ORD26001915</v>
      </c>
      <c r="P2544" s="23" t="str">
        <f t="shared" si="119"/>
        <v>Sep</v>
      </c>
      <c r="Q2544" s="23" t="str">
        <f>IF(F2544="CAPTURE",IF(COUNTIF(orders!$A:$A,O2544)&gt;0,"Yes","NO ORDER"),"")</f>
        <v>Yes</v>
      </c>
    </row>
    <row r="2545" spans="1:17" ht="15" customHeight="1" x14ac:dyDescent="0.3">
      <c r="A2545" s="23" t="s">
        <v>15377</v>
      </c>
      <c r="B2545" s="23"/>
      <c r="C2545" s="23" t="s">
        <v>15378</v>
      </c>
      <c r="D2545" s="23" t="str">
        <f t="shared" si="117"/>
        <v>ORD26001916</v>
      </c>
      <c r="E2545" s="38">
        <v>46279</v>
      </c>
      <c r="F2545" s="23" t="s">
        <v>12410</v>
      </c>
      <c r="G2545" s="23" t="s">
        <v>75</v>
      </c>
      <c r="H2545" s="24">
        <v>1998</v>
      </c>
      <c r="I2545" s="24">
        <v>0</v>
      </c>
      <c r="J2545" s="24">
        <v>0</v>
      </c>
      <c r="K2545" s="24">
        <v>1998</v>
      </c>
      <c r="L2545" s="38">
        <v>46281</v>
      </c>
      <c r="M2545" s="23" t="s">
        <v>204</v>
      </c>
      <c r="N2545" s="23" t="str">
        <f>IF(COUNTIF($A$2:A2545,A2545)&gt;1,"DUP","OK")</f>
        <v>OK</v>
      </c>
      <c r="O2545" s="23" t="str">
        <f t="shared" si="118"/>
        <v>ORD26001916</v>
      </c>
      <c r="P2545" s="23" t="str">
        <f t="shared" si="119"/>
        <v>Sep</v>
      </c>
      <c r="Q2545" s="23" t="str">
        <f>IF(F2545="CAPTURE",IF(COUNTIF(orders!$A:$A,O2545)&gt;0,"Yes","NO ORDER"),"")</f>
        <v>Yes</v>
      </c>
    </row>
    <row r="2546" spans="1:17" ht="15" customHeight="1" x14ac:dyDescent="0.3">
      <c r="A2546" s="23" t="s">
        <v>15379</v>
      </c>
      <c r="B2546" s="23"/>
      <c r="C2546" s="23" t="s">
        <v>4332</v>
      </c>
      <c r="D2546" s="23" t="str">
        <f t="shared" si="117"/>
        <v>ORD26001921</v>
      </c>
      <c r="E2546" s="38">
        <v>46279</v>
      </c>
      <c r="F2546" s="23" t="s">
        <v>12410</v>
      </c>
      <c r="G2546" s="23" t="s">
        <v>75</v>
      </c>
      <c r="H2546" s="24">
        <v>2499</v>
      </c>
      <c r="I2546" s="24">
        <v>7.5</v>
      </c>
      <c r="J2546" s="24">
        <v>1.35</v>
      </c>
      <c r="K2546" s="24">
        <v>2490.15</v>
      </c>
      <c r="L2546" s="38">
        <v>46281</v>
      </c>
      <c r="M2546" s="23" t="s">
        <v>204</v>
      </c>
      <c r="N2546" s="23" t="str">
        <f>IF(COUNTIF($A$2:A2546,A2546)&gt;1,"DUP","OK")</f>
        <v>OK</v>
      </c>
      <c r="O2546" s="23" t="str">
        <f t="shared" si="118"/>
        <v>ORD26001921</v>
      </c>
      <c r="P2546" s="23" t="str">
        <f t="shared" si="119"/>
        <v>Sep</v>
      </c>
      <c r="Q2546" s="23" t="str">
        <f>IF(F2546="CAPTURE",IF(COUNTIF(orders!$A:$A,O2546)&gt;0,"Yes","NO ORDER"),"")</f>
        <v>Yes</v>
      </c>
    </row>
    <row r="2547" spans="1:17" ht="15" customHeight="1" x14ac:dyDescent="0.3">
      <c r="A2547" s="23" t="s">
        <v>15380</v>
      </c>
      <c r="B2547" s="23"/>
      <c r="C2547" s="23" t="s">
        <v>4358</v>
      </c>
      <c r="D2547" s="23" t="str">
        <f t="shared" si="117"/>
        <v>ORD26001935</v>
      </c>
      <c r="E2547" s="38">
        <v>46279</v>
      </c>
      <c r="F2547" s="23" t="s">
        <v>12410</v>
      </c>
      <c r="G2547" s="23" t="s">
        <v>79</v>
      </c>
      <c r="H2547" s="24">
        <v>799</v>
      </c>
      <c r="I2547" s="24">
        <v>14.38</v>
      </c>
      <c r="J2547" s="24">
        <v>2.59</v>
      </c>
      <c r="K2547" s="24">
        <v>782.03</v>
      </c>
      <c r="L2547" s="38">
        <v>46281</v>
      </c>
      <c r="M2547" s="23" t="s">
        <v>204</v>
      </c>
      <c r="N2547" s="23" t="str">
        <f>IF(COUNTIF($A$2:A2547,A2547)&gt;1,"DUP","OK")</f>
        <v>OK</v>
      </c>
      <c r="O2547" s="23" t="str">
        <f t="shared" si="118"/>
        <v>ORD26001935</v>
      </c>
      <c r="P2547" s="23" t="str">
        <f t="shared" si="119"/>
        <v>Sep</v>
      </c>
      <c r="Q2547" s="23" t="str">
        <f>IF(F2547="CAPTURE",IF(COUNTIF(orders!$A:$A,O2547)&gt;0,"Yes","NO ORDER"),"")</f>
        <v>Yes</v>
      </c>
    </row>
    <row r="2548" spans="1:17" ht="15" customHeight="1" x14ac:dyDescent="0.3">
      <c r="A2548" s="23" t="s">
        <v>15381</v>
      </c>
      <c r="B2548" s="23"/>
      <c r="C2548" s="23" t="s">
        <v>4377</v>
      </c>
      <c r="D2548" s="23" t="str">
        <f t="shared" si="117"/>
        <v>ORD26001945</v>
      </c>
      <c r="E2548" s="38">
        <v>46279</v>
      </c>
      <c r="F2548" s="23" t="s">
        <v>12410</v>
      </c>
      <c r="G2548" s="23" t="s">
        <v>81</v>
      </c>
      <c r="H2548" s="24">
        <v>2999</v>
      </c>
      <c r="I2548" s="24">
        <v>35.99</v>
      </c>
      <c r="J2548" s="24">
        <v>6.48</v>
      </c>
      <c r="K2548" s="24">
        <v>2956.53</v>
      </c>
      <c r="L2548" s="38">
        <v>46281</v>
      </c>
      <c r="M2548" s="23" t="s">
        <v>204</v>
      </c>
      <c r="N2548" s="23" t="str">
        <f>IF(COUNTIF($A$2:A2548,A2548)&gt;1,"DUP","OK")</f>
        <v>OK</v>
      </c>
      <c r="O2548" s="23" t="str">
        <f t="shared" si="118"/>
        <v>ORD26001945</v>
      </c>
      <c r="P2548" s="23" t="str">
        <f t="shared" si="119"/>
        <v>Sep</v>
      </c>
      <c r="Q2548" s="23" t="str">
        <f>IF(F2548="CAPTURE",IF(COUNTIF(orders!$A:$A,O2548)&gt;0,"Yes","NO ORDER"),"")</f>
        <v>Yes</v>
      </c>
    </row>
    <row r="2549" spans="1:17" ht="15" customHeight="1" x14ac:dyDescent="0.3">
      <c r="A2549" s="23" t="s">
        <v>15382</v>
      </c>
      <c r="B2549" s="23"/>
      <c r="C2549" s="23" t="s">
        <v>4385</v>
      </c>
      <c r="D2549" s="23" t="str">
        <f t="shared" si="117"/>
        <v>ORD26001949</v>
      </c>
      <c r="E2549" s="38">
        <v>46279</v>
      </c>
      <c r="F2549" s="23" t="s">
        <v>12410</v>
      </c>
      <c r="G2549" s="23" t="s">
        <v>79</v>
      </c>
      <c r="H2549" s="24">
        <v>999</v>
      </c>
      <c r="I2549" s="24">
        <v>17.98</v>
      </c>
      <c r="J2549" s="24">
        <v>3.24</v>
      </c>
      <c r="K2549" s="24">
        <v>977.78</v>
      </c>
      <c r="L2549" s="38">
        <v>46281</v>
      </c>
      <c r="M2549" s="23" t="s">
        <v>204</v>
      </c>
      <c r="N2549" s="23" t="str">
        <f>IF(COUNTIF($A$2:A2549,A2549)&gt;1,"DUP","OK")</f>
        <v>OK</v>
      </c>
      <c r="O2549" s="23" t="str">
        <f t="shared" si="118"/>
        <v>ORD26001949</v>
      </c>
      <c r="P2549" s="23" t="str">
        <f t="shared" si="119"/>
        <v>Sep</v>
      </c>
      <c r="Q2549" s="23" t="str">
        <f>IF(F2549="CAPTURE",IF(COUNTIF(orders!$A:$A,O2549)&gt;0,"Yes","NO ORDER"),"")</f>
        <v>Yes</v>
      </c>
    </row>
    <row r="2550" spans="1:17" ht="15" customHeight="1" x14ac:dyDescent="0.3">
      <c r="A2550" s="23" t="s">
        <v>15383</v>
      </c>
      <c r="B2550" s="23"/>
      <c r="C2550" s="23" t="s">
        <v>15384</v>
      </c>
      <c r="D2550" s="23" t="str">
        <f t="shared" si="117"/>
        <v>ORD26001960</v>
      </c>
      <c r="E2550" s="38">
        <v>46279</v>
      </c>
      <c r="F2550" s="23" t="s">
        <v>12410</v>
      </c>
      <c r="G2550" s="23" t="s">
        <v>77</v>
      </c>
      <c r="H2550" s="24">
        <v>5297</v>
      </c>
      <c r="I2550" s="24">
        <v>90.05</v>
      </c>
      <c r="J2550" s="24">
        <v>16.21</v>
      </c>
      <c r="K2550" s="24">
        <v>5190.74</v>
      </c>
      <c r="L2550" s="38">
        <v>46281</v>
      </c>
      <c r="M2550" s="23" t="s">
        <v>204</v>
      </c>
      <c r="N2550" s="23" t="str">
        <f>IF(COUNTIF($A$2:A2550,A2550)&gt;1,"DUP","OK")</f>
        <v>OK</v>
      </c>
      <c r="O2550" s="23" t="str">
        <f t="shared" si="118"/>
        <v>ORD26001960</v>
      </c>
      <c r="P2550" s="23" t="str">
        <f t="shared" si="119"/>
        <v>Sep</v>
      </c>
      <c r="Q2550" s="23" t="str">
        <f>IF(F2550="CAPTURE",IF(COUNTIF(orders!$A:$A,O2550)&gt;0,"Yes","NO ORDER"),"")</f>
        <v>Yes</v>
      </c>
    </row>
    <row r="2551" spans="1:17" ht="15" customHeight="1" x14ac:dyDescent="0.3">
      <c r="A2551" s="23" t="s">
        <v>15385</v>
      </c>
      <c r="B2551" s="23"/>
      <c r="C2551" s="23" t="s">
        <v>4611</v>
      </c>
      <c r="D2551" s="23" t="str">
        <f t="shared" si="117"/>
        <v>ORD26002060</v>
      </c>
      <c r="E2551" s="38">
        <v>46279</v>
      </c>
      <c r="F2551" s="23" t="s">
        <v>12410</v>
      </c>
      <c r="G2551" s="23" t="s">
        <v>77</v>
      </c>
      <c r="H2551" s="24">
        <v>1299</v>
      </c>
      <c r="I2551" s="24">
        <v>24.68</v>
      </c>
      <c r="J2551" s="24">
        <v>4.4400000000000004</v>
      </c>
      <c r="K2551" s="24">
        <v>1269.8800000000001</v>
      </c>
      <c r="L2551" s="38">
        <v>46281</v>
      </c>
      <c r="M2551" s="23" t="s">
        <v>204</v>
      </c>
      <c r="N2551" s="23" t="str">
        <f>IF(COUNTIF($A$2:A2551,A2551)&gt;1,"DUP","OK")</f>
        <v>OK</v>
      </c>
      <c r="O2551" s="23" t="str">
        <f t="shared" si="118"/>
        <v>ORD26002060</v>
      </c>
      <c r="P2551" s="23" t="str">
        <f t="shared" si="119"/>
        <v>Sep</v>
      </c>
      <c r="Q2551" s="23" t="str">
        <f>IF(F2551="CAPTURE",IF(COUNTIF(orders!$A:$A,O2551)&gt;0,"Yes","NO ORDER"),"")</f>
        <v>Yes</v>
      </c>
    </row>
    <row r="2552" spans="1:17" ht="15" customHeight="1" x14ac:dyDescent="0.3">
      <c r="A2552" s="23" t="s">
        <v>15386</v>
      </c>
      <c r="B2552" s="23"/>
      <c r="C2552" s="23" t="s">
        <v>15387</v>
      </c>
      <c r="D2552" s="23" t="str">
        <f t="shared" si="117"/>
        <v>ORD26002064</v>
      </c>
      <c r="E2552" s="38">
        <v>46279</v>
      </c>
      <c r="F2552" s="23" t="s">
        <v>12410</v>
      </c>
      <c r="G2552" s="23" t="s">
        <v>75</v>
      </c>
      <c r="H2552" s="24">
        <v>5298</v>
      </c>
      <c r="I2552" s="24">
        <v>15.89</v>
      </c>
      <c r="J2552" s="24">
        <v>2.86</v>
      </c>
      <c r="K2552" s="24">
        <v>5279.25</v>
      </c>
      <c r="L2552" s="38">
        <v>46281</v>
      </c>
      <c r="M2552" s="23" t="s">
        <v>204</v>
      </c>
      <c r="N2552" s="23" t="str">
        <f>IF(COUNTIF($A$2:A2552,A2552)&gt;1,"DUP","OK")</f>
        <v>OK</v>
      </c>
      <c r="O2552" s="23" t="str">
        <f t="shared" si="118"/>
        <v>ORD26002064</v>
      </c>
      <c r="P2552" s="23" t="str">
        <f t="shared" si="119"/>
        <v>Sep</v>
      </c>
      <c r="Q2552" s="23" t="str">
        <f>IF(F2552="CAPTURE",IF(COUNTIF(orders!$A:$A,O2552)&gt;0,"Yes","NO ORDER"),"")</f>
        <v>Yes</v>
      </c>
    </row>
    <row r="2553" spans="1:17" ht="15" customHeight="1" x14ac:dyDescent="0.3">
      <c r="A2553" s="23" t="s">
        <v>15388</v>
      </c>
      <c r="B2553" s="23"/>
      <c r="C2553" s="23" t="s">
        <v>4684</v>
      </c>
      <c r="D2553" s="23" t="str">
        <f t="shared" si="117"/>
        <v>ORD26002097</v>
      </c>
      <c r="E2553" s="38">
        <v>46279</v>
      </c>
      <c r="F2553" s="23" t="s">
        <v>12410</v>
      </c>
      <c r="G2553" s="23" t="s">
        <v>79</v>
      </c>
      <c r="H2553" s="24">
        <v>3998</v>
      </c>
      <c r="I2553" s="24">
        <v>63.97</v>
      </c>
      <c r="J2553" s="24">
        <v>11.51</v>
      </c>
      <c r="K2553" s="24">
        <v>3922.52</v>
      </c>
      <c r="L2553" s="38">
        <v>46281</v>
      </c>
      <c r="M2553" s="23" t="s">
        <v>204</v>
      </c>
      <c r="N2553" s="23" t="str">
        <f>IF(COUNTIF($A$2:A2553,A2553)&gt;1,"DUP","OK")</f>
        <v>OK</v>
      </c>
      <c r="O2553" s="23" t="str">
        <f t="shared" si="118"/>
        <v>ORD26002097</v>
      </c>
      <c r="P2553" s="23" t="str">
        <f t="shared" si="119"/>
        <v>Sep</v>
      </c>
      <c r="Q2553" s="23" t="str">
        <f>IF(F2553="CAPTURE",IF(COUNTIF(orders!$A:$A,O2553)&gt;0,"Yes","NO ORDER"),"")</f>
        <v>Yes</v>
      </c>
    </row>
    <row r="2554" spans="1:17" ht="15" customHeight="1" x14ac:dyDescent="0.3">
      <c r="A2554" s="23" t="s">
        <v>15389</v>
      </c>
      <c r="B2554" s="23"/>
      <c r="C2554" s="23" t="s">
        <v>4889</v>
      </c>
      <c r="D2554" s="23" t="str">
        <f t="shared" si="117"/>
        <v>ORD26002199</v>
      </c>
      <c r="E2554" s="38">
        <v>46279</v>
      </c>
      <c r="F2554" s="23" t="s">
        <v>12410</v>
      </c>
      <c r="G2554" s="23" t="s">
        <v>79</v>
      </c>
      <c r="H2554" s="24">
        <v>599</v>
      </c>
      <c r="I2554" s="24">
        <v>10.78</v>
      </c>
      <c r="J2554" s="24">
        <v>1.94</v>
      </c>
      <c r="K2554" s="24">
        <v>586.28</v>
      </c>
      <c r="L2554" s="38">
        <v>46281</v>
      </c>
      <c r="M2554" s="23" t="s">
        <v>204</v>
      </c>
      <c r="N2554" s="23" t="str">
        <f>IF(COUNTIF($A$2:A2554,A2554)&gt;1,"DUP","OK")</f>
        <v>OK</v>
      </c>
      <c r="O2554" s="23" t="str">
        <f t="shared" si="118"/>
        <v>ORD26002199</v>
      </c>
      <c r="P2554" s="23" t="str">
        <f t="shared" si="119"/>
        <v>Sep</v>
      </c>
      <c r="Q2554" s="23" t="str">
        <f>IF(F2554="CAPTURE",IF(COUNTIF(orders!$A:$A,O2554)&gt;0,"Yes","NO ORDER"),"")</f>
        <v>Yes</v>
      </c>
    </row>
    <row r="2555" spans="1:17" ht="15" customHeight="1" x14ac:dyDescent="0.3">
      <c r="A2555" s="23" t="s">
        <v>15390</v>
      </c>
      <c r="B2555" s="23"/>
      <c r="C2555" s="23" t="s">
        <v>4930</v>
      </c>
      <c r="D2555" s="23" t="str">
        <f t="shared" si="117"/>
        <v>ORD26002219</v>
      </c>
      <c r="E2555" s="38">
        <v>46279</v>
      </c>
      <c r="F2555" s="23" t="s">
        <v>12410</v>
      </c>
      <c r="G2555" s="23" t="s">
        <v>77</v>
      </c>
      <c r="H2555" s="24">
        <v>299</v>
      </c>
      <c r="I2555" s="24">
        <v>5.68</v>
      </c>
      <c r="J2555" s="24">
        <v>1.02</v>
      </c>
      <c r="K2555" s="24">
        <v>292.3</v>
      </c>
      <c r="L2555" s="38">
        <v>46281</v>
      </c>
      <c r="M2555" s="23" t="s">
        <v>204</v>
      </c>
      <c r="N2555" s="23" t="str">
        <f>IF(COUNTIF($A$2:A2555,A2555)&gt;1,"DUP","OK")</f>
        <v>OK</v>
      </c>
      <c r="O2555" s="23" t="str">
        <f t="shared" si="118"/>
        <v>ORD26002219</v>
      </c>
      <c r="P2555" s="23" t="str">
        <f t="shared" si="119"/>
        <v>Sep</v>
      </c>
      <c r="Q2555" s="23" t="str">
        <f>IF(F2555="CAPTURE",IF(COUNTIF(orders!$A:$A,O2555)&gt;0,"Yes","NO ORDER"),"")</f>
        <v>Yes</v>
      </c>
    </row>
    <row r="2556" spans="1:17" ht="15" customHeight="1" x14ac:dyDescent="0.3">
      <c r="A2556" s="23" t="s">
        <v>15391</v>
      </c>
      <c r="B2556" s="23"/>
      <c r="C2556" s="23" t="s">
        <v>4938</v>
      </c>
      <c r="D2556" s="23" t="str">
        <f t="shared" si="117"/>
        <v>ORD26002223</v>
      </c>
      <c r="E2556" s="38">
        <v>46279</v>
      </c>
      <c r="F2556" s="23" t="s">
        <v>12410</v>
      </c>
      <c r="G2556" s="23" t="s">
        <v>79</v>
      </c>
      <c r="H2556" s="24">
        <v>2497</v>
      </c>
      <c r="I2556" s="24">
        <v>39.950000000000003</v>
      </c>
      <c r="J2556" s="24">
        <v>7.19</v>
      </c>
      <c r="K2556" s="24">
        <v>2449.86</v>
      </c>
      <c r="L2556" s="38">
        <v>46281</v>
      </c>
      <c r="M2556" s="23" t="s">
        <v>204</v>
      </c>
      <c r="N2556" s="23" t="str">
        <f>IF(COUNTIF($A$2:A2556,A2556)&gt;1,"DUP","OK")</f>
        <v>OK</v>
      </c>
      <c r="O2556" s="23" t="str">
        <f t="shared" si="118"/>
        <v>ORD26002223</v>
      </c>
      <c r="P2556" s="23" t="str">
        <f t="shared" si="119"/>
        <v>Sep</v>
      </c>
      <c r="Q2556" s="23" t="str">
        <f>IF(F2556="CAPTURE",IF(COUNTIF(orders!$A:$A,O2556)&gt;0,"Yes","NO ORDER"),"")</f>
        <v>Yes</v>
      </c>
    </row>
    <row r="2557" spans="1:17" ht="15" customHeight="1" x14ac:dyDescent="0.3">
      <c r="A2557" s="23" t="s">
        <v>15392</v>
      </c>
      <c r="B2557" s="23"/>
      <c r="C2557" s="23" t="s">
        <v>4999</v>
      </c>
      <c r="D2557" s="23" t="str">
        <f t="shared" si="117"/>
        <v>ORD26002253</v>
      </c>
      <c r="E2557" s="38">
        <v>46279</v>
      </c>
      <c r="F2557" s="23" t="s">
        <v>12410</v>
      </c>
      <c r="G2557" s="23" t="s">
        <v>75</v>
      </c>
      <c r="H2557" s="24">
        <v>2848</v>
      </c>
      <c r="I2557" s="24">
        <v>8.5399999999999991</v>
      </c>
      <c r="J2557" s="24">
        <v>1.54</v>
      </c>
      <c r="K2557" s="24">
        <v>2837.92</v>
      </c>
      <c r="L2557" s="38">
        <v>46281</v>
      </c>
      <c r="M2557" s="23" t="s">
        <v>204</v>
      </c>
      <c r="N2557" s="23" t="str">
        <f>IF(COUNTIF($A$2:A2557,A2557)&gt;1,"DUP","OK")</f>
        <v>OK</v>
      </c>
      <c r="O2557" s="23" t="str">
        <f t="shared" si="118"/>
        <v>ORD26002253</v>
      </c>
      <c r="P2557" s="23" t="str">
        <f t="shared" si="119"/>
        <v>Sep</v>
      </c>
      <c r="Q2557" s="23" t="str">
        <f>IF(F2557="CAPTURE",IF(COUNTIF(orders!$A:$A,O2557)&gt;0,"Yes","NO ORDER"),"")</f>
        <v>Yes</v>
      </c>
    </row>
    <row r="2558" spans="1:17" ht="15" customHeight="1" x14ac:dyDescent="0.3">
      <c r="A2558" s="23" t="s">
        <v>15393</v>
      </c>
      <c r="B2558" s="23"/>
      <c r="C2558" s="23" t="s">
        <v>5154</v>
      </c>
      <c r="D2558" s="23" t="str">
        <f t="shared" si="117"/>
        <v>ORD26002330</v>
      </c>
      <c r="E2558" s="38">
        <v>46279</v>
      </c>
      <c r="F2558" s="23" t="s">
        <v>12410</v>
      </c>
      <c r="G2558" s="23" t="s">
        <v>75</v>
      </c>
      <c r="H2558" s="24">
        <v>4097</v>
      </c>
      <c r="I2558" s="24">
        <v>12.29</v>
      </c>
      <c r="J2558" s="24">
        <v>2.21</v>
      </c>
      <c r="K2558" s="24">
        <v>4082.5</v>
      </c>
      <c r="L2558" s="38">
        <v>46281</v>
      </c>
      <c r="M2558" s="23" t="s">
        <v>204</v>
      </c>
      <c r="N2558" s="23" t="str">
        <f>IF(COUNTIF($A$2:A2558,A2558)&gt;1,"DUP","OK")</f>
        <v>OK</v>
      </c>
      <c r="O2558" s="23" t="str">
        <f t="shared" si="118"/>
        <v>ORD26002330</v>
      </c>
      <c r="P2558" s="23" t="str">
        <f t="shared" si="119"/>
        <v>Sep</v>
      </c>
      <c r="Q2558" s="23" t="str">
        <f>IF(F2558="CAPTURE",IF(COUNTIF(orders!$A:$A,O2558)&gt;0,"Yes","NO ORDER"),"")</f>
        <v>Yes</v>
      </c>
    </row>
    <row r="2559" spans="1:17" ht="15" customHeight="1" x14ac:dyDescent="0.3">
      <c r="A2559" s="23" t="s">
        <v>15394</v>
      </c>
      <c r="B2559" s="23"/>
      <c r="C2559" s="23" t="s">
        <v>5277</v>
      </c>
      <c r="D2559" s="23" t="str">
        <f t="shared" si="117"/>
        <v>ORD26002392</v>
      </c>
      <c r="E2559" s="38">
        <v>46279</v>
      </c>
      <c r="F2559" s="23" t="s">
        <v>12410</v>
      </c>
      <c r="G2559" s="23" t="s">
        <v>75</v>
      </c>
      <c r="H2559" s="24">
        <v>3147</v>
      </c>
      <c r="I2559" s="24">
        <v>9.44</v>
      </c>
      <c r="J2559" s="24">
        <v>1.7</v>
      </c>
      <c r="K2559" s="24">
        <v>3135.86</v>
      </c>
      <c r="L2559" s="38">
        <v>46281</v>
      </c>
      <c r="M2559" s="23" t="s">
        <v>204</v>
      </c>
      <c r="N2559" s="23" t="str">
        <f>IF(COUNTIF($A$2:A2559,A2559)&gt;1,"DUP","OK")</f>
        <v>OK</v>
      </c>
      <c r="O2559" s="23" t="str">
        <f t="shared" si="118"/>
        <v>ORD26002392</v>
      </c>
      <c r="P2559" s="23" t="str">
        <f t="shared" si="119"/>
        <v>Sep</v>
      </c>
      <c r="Q2559" s="23" t="str">
        <f>IF(F2559="CAPTURE",IF(COUNTIF(orders!$A:$A,O2559)&gt;0,"Yes","NO ORDER"),"")</f>
        <v>Yes</v>
      </c>
    </row>
    <row r="2560" spans="1:17" ht="15" customHeight="1" x14ac:dyDescent="0.3">
      <c r="A2560" s="23" t="s">
        <v>15395</v>
      </c>
      <c r="B2560" s="23"/>
      <c r="C2560" s="23" t="s">
        <v>15396</v>
      </c>
      <c r="D2560" s="23" t="str">
        <f t="shared" si="117"/>
        <v>ORD26002412</v>
      </c>
      <c r="E2560" s="38">
        <v>46279</v>
      </c>
      <c r="F2560" s="23" t="s">
        <v>12410</v>
      </c>
      <c r="G2560" s="23" t="s">
        <v>79</v>
      </c>
      <c r="H2560" s="24">
        <v>6997</v>
      </c>
      <c r="I2560" s="24">
        <v>111.95</v>
      </c>
      <c r="J2560" s="24">
        <v>20.149999999999999</v>
      </c>
      <c r="K2560" s="24">
        <v>6864.9</v>
      </c>
      <c r="L2560" s="38">
        <v>46281</v>
      </c>
      <c r="M2560" s="23" t="s">
        <v>204</v>
      </c>
      <c r="N2560" s="23" t="str">
        <f>IF(COUNTIF($A$2:A2560,A2560)&gt;1,"DUP","OK")</f>
        <v>OK</v>
      </c>
      <c r="O2560" s="23" t="str">
        <f t="shared" si="118"/>
        <v>ORD26002412</v>
      </c>
      <c r="P2560" s="23" t="str">
        <f t="shared" si="119"/>
        <v>Sep</v>
      </c>
      <c r="Q2560" s="23" t="str">
        <f>IF(F2560="CAPTURE",IF(COUNTIF(orders!$A:$A,O2560)&gt;0,"Yes","NO ORDER"),"")</f>
        <v>Yes</v>
      </c>
    </row>
    <row r="2561" spans="1:17" ht="15" customHeight="1" x14ac:dyDescent="0.3">
      <c r="A2561" s="23" t="s">
        <v>15397</v>
      </c>
      <c r="B2561" s="23"/>
      <c r="C2561" s="23" t="s">
        <v>15398</v>
      </c>
      <c r="D2561" s="23" t="str">
        <f t="shared" si="117"/>
        <v>ORD26002436</v>
      </c>
      <c r="E2561" s="38">
        <v>46279</v>
      </c>
      <c r="F2561" s="23" t="s">
        <v>12410</v>
      </c>
      <c r="G2561" s="23" t="s">
        <v>75</v>
      </c>
      <c r="H2561" s="24">
        <v>1798</v>
      </c>
      <c r="I2561" s="24">
        <v>0</v>
      </c>
      <c r="J2561" s="24">
        <v>0</v>
      </c>
      <c r="K2561" s="24">
        <v>1798</v>
      </c>
      <c r="L2561" s="38">
        <v>46281</v>
      </c>
      <c r="M2561" s="23" t="s">
        <v>204</v>
      </c>
      <c r="N2561" s="23" t="str">
        <f>IF(COUNTIF($A$2:A2561,A2561)&gt;1,"DUP","OK")</f>
        <v>OK</v>
      </c>
      <c r="O2561" s="23" t="str">
        <f t="shared" si="118"/>
        <v>ORD26002436</v>
      </c>
      <c r="P2561" s="23" t="str">
        <f t="shared" si="119"/>
        <v>Sep</v>
      </c>
      <c r="Q2561" s="23" t="str">
        <f>IF(F2561="CAPTURE",IF(COUNTIF(orders!$A:$A,O2561)&gt;0,"Yes","NO ORDER"),"")</f>
        <v>Yes</v>
      </c>
    </row>
    <row r="2562" spans="1:17" ht="15" customHeight="1" x14ac:dyDescent="0.3">
      <c r="A2562" s="23" t="s">
        <v>15399</v>
      </c>
      <c r="B2562" s="23"/>
      <c r="C2562" s="23" t="s">
        <v>5511</v>
      </c>
      <c r="D2562" s="23" t="str">
        <f t="shared" ref="D2562:D2625" si="120">UPPER(SUBSTITUTE(TRIM(C2562),"-",""))</f>
        <v>ORD26002510</v>
      </c>
      <c r="E2562" s="38">
        <v>46279</v>
      </c>
      <c r="F2562" s="23" t="s">
        <v>12410</v>
      </c>
      <c r="G2562" s="23" t="s">
        <v>81</v>
      </c>
      <c r="H2562" s="24">
        <v>1598</v>
      </c>
      <c r="I2562" s="24">
        <v>23.97</v>
      </c>
      <c r="J2562" s="24">
        <v>4.3099999999999996</v>
      </c>
      <c r="K2562" s="24">
        <v>1569.72</v>
      </c>
      <c r="L2562" s="38">
        <v>46281</v>
      </c>
      <c r="M2562" s="23" t="s">
        <v>204</v>
      </c>
      <c r="N2562" s="23" t="str">
        <f>IF(COUNTIF($A$2:A2562,A2562)&gt;1,"DUP","OK")</f>
        <v>OK</v>
      </c>
      <c r="O2562" s="23" t="str">
        <f t="shared" ref="O2562:O2625" si="121">IF(F2562="REFUND",INDEX($D:$D,MATCH(B2562,$A:$A,0)),D2562)</f>
        <v>ORD26002510</v>
      </c>
      <c r="P2562" s="23" t="str">
        <f t="shared" ref="P2562:P2625" si="122">IF(L2562&gt;DATE(2026,9,30),"Oct-Due","Sep")</f>
        <v>Sep</v>
      </c>
      <c r="Q2562" s="23" t="str">
        <f>IF(F2562="CAPTURE",IF(COUNTIF(orders!$A:$A,O2562)&gt;0,"Yes","NO ORDER"),"")</f>
        <v>Yes</v>
      </c>
    </row>
    <row r="2563" spans="1:17" ht="15" customHeight="1" x14ac:dyDescent="0.3">
      <c r="A2563" s="23" t="s">
        <v>15400</v>
      </c>
      <c r="B2563" s="23"/>
      <c r="C2563" s="23" t="s">
        <v>5525</v>
      </c>
      <c r="D2563" s="23" t="str">
        <f t="shared" si="120"/>
        <v>ORD26002517</v>
      </c>
      <c r="E2563" s="38">
        <v>46279</v>
      </c>
      <c r="F2563" s="23" t="s">
        <v>12410</v>
      </c>
      <c r="G2563" s="23" t="s">
        <v>75</v>
      </c>
      <c r="H2563" s="24">
        <v>4798</v>
      </c>
      <c r="I2563" s="24">
        <v>14.39</v>
      </c>
      <c r="J2563" s="24">
        <v>2.59</v>
      </c>
      <c r="K2563" s="24">
        <v>4781.0200000000004</v>
      </c>
      <c r="L2563" s="38">
        <v>46281</v>
      </c>
      <c r="M2563" s="23" t="s">
        <v>204</v>
      </c>
      <c r="N2563" s="23" t="str">
        <f>IF(COUNTIF($A$2:A2563,A2563)&gt;1,"DUP","OK")</f>
        <v>OK</v>
      </c>
      <c r="O2563" s="23" t="str">
        <f t="shared" si="121"/>
        <v>ORD26002517</v>
      </c>
      <c r="P2563" s="23" t="str">
        <f t="shared" si="122"/>
        <v>Sep</v>
      </c>
      <c r="Q2563" s="23" t="str">
        <f>IF(F2563="CAPTURE",IF(COUNTIF(orders!$A:$A,O2563)&gt;0,"Yes","NO ORDER"),"")</f>
        <v>Yes</v>
      </c>
    </row>
    <row r="2564" spans="1:17" ht="15" customHeight="1" x14ac:dyDescent="0.3">
      <c r="A2564" s="23" t="s">
        <v>15401</v>
      </c>
      <c r="B2564" s="23"/>
      <c r="C2564" s="23" t="s">
        <v>15402</v>
      </c>
      <c r="D2564" s="23" t="str">
        <f t="shared" si="120"/>
        <v>ORD26002543</v>
      </c>
      <c r="E2564" s="38">
        <v>46279</v>
      </c>
      <c r="F2564" s="23" t="s">
        <v>12410</v>
      </c>
      <c r="G2564" s="23" t="s">
        <v>79</v>
      </c>
      <c r="H2564" s="24">
        <v>6997</v>
      </c>
      <c r="I2564" s="24">
        <v>111.95</v>
      </c>
      <c r="J2564" s="24">
        <v>20.149999999999999</v>
      </c>
      <c r="K2564" s="24">
        <v>6864.9</v>
      </c>
      <c r="L2564" s="38">
        <v>46281</v>
      </c>
      <c r="M2564" s="23" t="s">
        <v>204</v>
      </c>
      <c r="N2564" s="23" t="str">
        <f>IF(COUNTIF($A$2:A2564,A2564)&gt;1,"DUP","OK")</f>
        <v>OK</v>
      </c>
      <c r="O2564" s="23" t="str">
        <f t="shared" si="121"/>
        <v>ORD26002543</v>
      </c>
      <c r="P2564" s="23" t="str">
        <f t="shared" si="122"/>
        <v>Sep</v>
      </c>
      <c r="Q2564" s="23" t="str">
        <f>IF(F2564="CAPTURE",IF(COUNTIF(orders!$A:$A,O2564)&gt;0,"Yes","NO ORDER"),"")</f>
        <v>Yes</v>
      </c>
    </row>
    <row r="2565" spans="1:17" ht="15" customHeight="1" x14ac:dyDescent="0.3">
      <c r="A2565" s="23" t="s">
        <v>15403</v>
      </c>
      <c r="B2565" s="23"/>
      <c r="C2565" s="23" t="s">
        <v>5616</v>
      </c>
      <c r="D2565" s="23" t="str">
        <f t="shared" si="120"/>
        <v>ORD26002561</v>
      </c>
      <c r="E2565" s="38">
        <v>46279</v>
      </c>
      <c r="F2565" s="23" t="s">
        <v>12410</v>
      </c>
      <c r="G2565" s="23" t="s">
        <v>81</v>
      </c>
      <c r="H2565" s="24">
        <v>15998</v>
      </c>
      <c r="I2565" s="24">
        <v>143.97999999999999</v>
      </c>
      <c r="J2565" s="24">
        <v>25.92</v>
      </c>
      <c r="K2565" s="24">
        <v>15828.1</v>
      </c>
      <c r="L2565" s="38">
        <v>46281</v>
      </c>
      <c r="M2565" s="23" t="s">
        <v>204</v>
      </c>
      <c r="N2565" s="23" t="str">
        <f>IF(COUNTIF($A$2:A2565,A2565)&gt;1,"DUP","OK")</f>
        <v>OK</v>
      </c>
      <c r="O2565" s="23" t="str">
        <f t="shared" si="121"/>
        <v>ORD26002561</v>
      </c>
      <c r="P2565" s="23" t="str">
        <f t="shared" si="122"/>
        <v>Sep</v>
      </c>
      <c r="Q2565" s="23" t="str">
        <f>IF(F2565="CAPTURE",IF(COUNTIF(orders!$A:$A,O2565)&gt;0,"Yes","NO ORDER"),"")</f>
        <v>Yes</v>
      </c>
    </row>
    <row r="2566" spans="1:17" ht="15" customHeight="1" x14ac:dyDescent="0.3">
      <c r="A2566" s="23" t="s">
        <v>15404</v>
      </c>
      <c r="B2566" s="23"/>
      <c r="C2566" s="23" t="s">
        <v>15405</v>
      </c>
      <c r="D2566" s="23" t="str">
        <f t="shared" si="120"/>
        <v>ORD26002585</v>
      </c>
      <c r="E2566" s="38">
        <v>46279</v>
      </c>
      <c r="F2566" s="23" t="s">
        <v>12410</v>
      </c>
      <c r="G2566" s="23" t="s">
        <v>81</v>
      </c>
      <c r="H2566" s="24">
        <v>499</v>
      </c>
      <c r="I2566" s="24">
        <v>7.49</v>
      </c>
      <c r="J2566" s="24">
        <v>1.35</v>
      </c>
      <c r="K2566" s="24">
        <v>490.16</v>
      </c>
      <c r="L2566" s="38">
        <v>46281</v>
      </c>
      <c r="M2566" s="23" t="s">
        <v>204</v>
      </c>
      <c r="N2566" s="23" t="str">
        <f>IF(COUNTIF($A$2:A2566,A2566)&gt;1,"DUP","OK")</f>
        <v>OK</v>
      </c>
      <c r="O2566" s="23" t="str">
        <f t="shared" si="121"/>
        <v>ORD26002585</v>
      </c>
      <c r="P2566" s="23" t="str">
        <f t="shared" si="122"/>
        <v>Sep</v>
      </c>
      <c r="Q2566" s="23" t="str">
        <f>IF(F2566="CAPTURE",IF(COUNTIF(orders!$A:$A,O2566)&gt;0,"Yes","NO ORDER"),"")</f>
        <v>Yes</v>
      </c>
    </row>
    <row r="2567" spans="1:17" ht="15" customHeight="1" x14ac:dyDescent="0.3">
      <c r="A2567" s="23" t="s">
        <v>15406</v>
      </c>
      <c r="B2567" s="23"/>
      <c r="C2567" s="23" t="s">
        <v>5675</v>
      </c>
      <c r="D2567" s="23" t="str">
        <f t="shared" si="120"/>
        <v>ORD26002591</v>
      </c>
      <c r="E2567" s="38">
        <v>46279</v>
      </c>
      <c r="F2567" s="23" t="s">
        <v>12410</v>
      </c>
      <c r="G2567" s="23" t="s">
        <v>81</v>
      </c>
      <c r="H2567" s="24">
        <v>1299</v>
      </c>
      <c r="I2567" s="24">
        <v>19.489999999999998</v>
      </c>
      <c r="J2567" s="24">
        <v>3.51</v>
      </c>
      <c r="K2567" s="24">
        <v>1276</v>
      </c>
      <c r="L2567" s="38">
        <v>46281</v>
      </c>
      <c r="M2567" s="23" t="s">
        <v>204</v>
      </c>
      <c r="N2567" s="23" t="str">
        <f>IF(COUNTIF($A$2:A2567,A2567)&gt;1,"DUP","OK")</f>
        <v>OK</v>
      </c>
      <c r="O2567" s="23" t="str">
        <f t="shared" si="121"/>
        <v>ORD26002591</v>
      </c>
      <c r="P2567" s="23" t="str">
        <f t="shared" si="122"/>
        <v>Sep</v>
      </c>
      <c r="Q2567" s="23" t="str">
        <f>IF(F2567="CAPTURE",IF(COUNTIF(orders!$A:$A,O2567)&gt;0,"Yes","NO ORDER"),"")</f>
        <v>Yes</v>
      </c>
    </row>
    <row r="2568" spans="1:17" ht="15" customHeight="1" x14ac:dyDescent="0.3">
      <c r="A2568" s="23" t="s">
        <v>15407</v>
      </c>
      <c r="B2568" s="23"/>
      <c r="C2568" s="23" t="s">
        <v>5790</v>
      </c>
      <c r="D2568" s="23" t="str">
        <f t="shared" si="120"/>
        <v>ORD26002648</v>
      </c>
      <c r="E2568" s="38">
        <v>46279</v>
      </c>
      <c r="F2568" s="23" t="s">
        <v>12410</v>
      </c>
      <c r="G2568" s="23" t="s">
        <v>75</v>
      </c>
      <c r="H2568" s="24">
        <v>2598</v>
      </c>
      <c r="I2568" s="24">
        <v>7.79</v>
      </c>
      <c r="J2568" s="24">
        <v>1.4</v>
      </c>
      <c r="K2568" s="24">
        <v>2588.81</v>
      </c>
      <c r="L2568" s="38">
        <v>46281</v>
      </c>
      <c r="M2568" s="23" t="s">
        <v>204</v>
      </c>
      <c r="N2568" s="23" t="str">
        <f>IF(COUNTIF($A$2:A2568,A2568)&gt;1,"DUP","OK")</f>
        <v>OK</v>
      </c>
      <c r="O2568" s="23" t="str">
        <f t="shared" si="121"/>
        <v>ORD26002648</v>
      </c>
      <c r="P2568" s="23" t="str">
        <f t="shared" si="122"/>
        <v>Sep</v>
      </c>
      <c r="Q2568" s="23" t="str">
        <f>IF(F2568="CAPTURE",IF(COUNTIF(orders!$A:$A,O2568)&gt;0,"Yes","NO ORDER"),"")</f>
        <v>Yes</v>
      </c>
    </row>
    <row r="2569" spans="1:17" ht="15" customHeight="1" x14ac:dyDescent="0.3">
      <c r="A2569" s="23" t="s">
        <v>15408</v>
      </c>
      <c r="B2569" s="23"/>
      <c r="C2569" s="23" t="s">
        <v>5850</v>
      </c>
      <c r="D2569" s="23" t="str">
        <f t="shared" si="120"/>
        <v>ORD26002677</v>
      </c>
      <c r="E2569" s="38">
        <v>46279</v>
      </c>
      <c r="F2569" s="23" t="s">
        <v>12410</v>
      </c>
      <c r="G2569" s="23" t="s">
        <v>81</v>
      </c>
      <c r="H2569" s="24">
        <v>1898</v>
      </c>
      <c r="I2569" s="24">
        <v>28.47</v>
      </c>
      <c r="J2569" s="24">
        <v>5.12</v>
      </c>
      <c r="K2569" s="24">
        <v>1864.41</v>
      </c>
      <c r="L2569" s="38">
        <v>46281</v>
      </c>
      <c r="M2569" s="23" t="s">
        <v>204</v>
      </c>
      <c r="N2569" s="23" t="str">
        <f>IF(COUNTIF($A$2:A2569,A2569)&gt;1,"DUP","OK")</f>
        <v>OK</v>
      </c>
      <c r="O2569" s="23" t="str">
        <f t="shared" si="121"/>
        <v>ORD26002677</v>
      </c>
      <c r="P2569" s="23" t="str">
        <f t="shared" si="122"/>
        <v>Sep</v>
      </c>
      <c r="Q2569" s="23" t="str">
        <f>IF(F2569="CAPTURE",IF(COUNTIF(orders!$A:$A,O2569)&gt;0,"Yes","NO ORDER"),"")</f>
        <v>Yes</v>
      </c>
    </row>
    <row r="2570" spans="1:17" ht="15" customHeight="1" x14ac:dyDescent="0.3">
      <c r="A2570" s="23" t="s">
        <v>15409</v>
      </c>
      <c r="B2570" s="23"/>
      <c r="C2570" s="23" t="s">
        <v>6358</v>
      </c>
      <c r="D2570" s="23" t="str">
        <f t="shared" si="120"/>
        <v>ORD26002931</v>
      </c>
      <c r="E2570" s="38">
        <v>46279</v>
      </c>
      <c r="F2570" s="23" t="s">
        <v>12410</v>
      </c>
      <c r="G2570" s="23" t="s">
        <v>75</v>
      </c>
      <c r="H2570" s="24">
        <v>3397</v>
      </c>
      <c r="I2570" s="24">
        <v>10.19</v>
      </c>
      <c r="J2570" s="24">
        <v>1.83</v>
      </c>
      <c r="K2570" s="24">
        <v>3384.98</v>
      </c>
      <c r="L2570" s="38">
        <v>46281</v>
      </c>
      <c r="M2570" s="23" t="s">
        <v>204</v>
      </c>
      <c r="N2570" s="23" t="str">
        <f>IF(COUNTIF($A$2:A2570,A2570)&gt;1,"DUP","OK")</f>
        <v>OK</v>
      </c>
      <c r="O2570" s="23" t="str">
        <f t="shared" si="121"/>
        <v>ORD26002931</v>
      </c>
      <c r="P2570" s="23" t="str">
        <f t="shared" si="122"/>
        <v>Sep</v>
      </c>
      <c r="Q2570" s="23" t="str">
        <f>IF(F2570="CAPTURE",IF(COUNTIF(orders!$A:$A,O2570)&gt;0,"Yes","NO ORDER"),"")</f>
        <v>Yes</v>
      </c>
    </row>
    <row r="2571" spans="1:17" ht="15" customHeight="1" x14ac:dyDescent="0.3">
      <c r="A2571" s="23" t="s">
        <v>15410</v>
      </c>
      <c r="B2571" s="23"/>
      <c r="C2571" s="23" t="s">
        <v>6429</v>
      </c>
      <c r="D2571" s="23" t="str">
        <f t="shared" si="120"/>
        <v>ORD26002967</v>
      </c>
      <c r="E2571" s="38">
        <v>46279</v>
      </c>
      <c r="F2571" s="23" t="s">
        <v>12410</v>
      </c>
      <c r="G2571" s="23" t="s">
        <v>77</v>
      </c>
      <c r="H2571" s="24">
        <v>7847</v>
      </c>
      <c r="I2571" s="24">
        <v>133.4</v>
      </c>
      <c r="J2571" s="24">
        <v>24.01</v>
      </c>
      <c r="K2571" s="24">
        <v>7689.59</v>
      </c>
      <c r="L2571" s="38">
        <v>46281</v>
      </c>
      <c r="M2571" s="23" t="s">
        <v>204</v>
      </c>
      <c r="N2571" s="23" t="str">
        <f>IF(COUNTIF($A$2:A2571,A2571)&gt;1,"DUP","OK")</f>
        <v>OK</v>
      </c>
      <c r="O2571" s="23" t="str">
        <f t="shared" si="121"/>
        <v>ORD26002967</v>
      </c>
      <c r="P2571" s="23" t="str">
        <f t="shared" si="122"/>
        <v>Sep</v>
      </c>
      <c r="Q2571" s="23" t="str">
        <f>IF(F2571="CAPTURE",IF(COUNTIF(orders!$A:$A,O2571)&gt;0,"Yes","NO ORDER"),"")</f>
        <v>Yes</v>
      </c>
    </row>
    <row r="2572" spans="1:17" ht="15" customHeight="1" x14ac:dyDescent="0.3">
      <c r="A2572" s="23" t="s">
        <v>15411</v>
      </c>
      <c r="B2572" s="23"/>
      <c r="C2572" s="23" t="s">
        <v>6492</v>
      </c>
      <c r="D2572" s="23" t="str">
        <f t="shared" si="120"/>
        <v>ORD26002999</v>
      </c>
      <c r="E2572" s="38">
        <v>46279</v>
      </c>
      <c r="F2572" s="23" t="s">
        <v>12410</v>
      </c>
      <c r="G2572" s="23" t="s">
        <v>75</v>
      </c>
      <c r="H2572" s="24">
        <v>4998</v>
      </c>
      <c r="I2572" s="24">
        <v>14.99</v>
      </c>
      <c r="J2572" s="24">
        <v>2.7</v>
      </c>
      <c r="K2572" s="24">
        <v>4980.3100000000004</v>
      </c>
      <c r="L2572" s="38">
        <v>46281</v>
      </c>
      <c r="M2572" s="23" t="s">
        <v>204</v>
      </c>
      <c r="N2572" s="23" t="str">
        <f>IF(COUNTIF($A$2:A2572,A2572)&gt;1,"DUP","OK")</f>
        <v>OK</v>
      </c>
      <c r="O2572" s="23" t="str">
        <f t="shared" si="121"/>
        <v>ORD26002999</v>
      </c>
      <c r="P2572" s="23" t="str">
        <f t="shared" si="122"/>
        <v>Sep</v>
      </c>
      <c r="Q2572" s="23" t="str">
        <f>IF(F2572="CAPTURE",IF(COUNTIF(orders!$A:$A,O2572)&gt;0,"Yes","NO ORDER"),"")</f>
        <v>Yes</v>
      </c>
    </row>
    <row r="2573" spans="1:17" ht="15" customHeight="1" x14ac:dyDescent="0.3">
      <c r="A2573" s="23" t="s">
        <v>15412</v>
      </c>
      <c r="B2573" s="23"/>
      <c r="C2573" s="23" t="s">
        <v>6581</v>
      </c>
      <c r="D2573" s="23" t="str">
        <f t="shared" si="120"/>
        <v>ORD26003044</v>
      </c>
      <c r="E2573" s="38">
        <v>46279</v>
      </c>
      <c r="F2573" s="23" t="s">
        <v>12410</v>
      </c>
      <c r="G2573" s="23" t="s">
        <v>77</v>
      </c>
      <c r="H2573" s="24">
        <v>8998</v>
      </c>
      <c r="I2573" s="24">
        <v>152.97</v>
      </c>
      <c r="J2573" s="24">
        <v>27.53</v>
      </c>
      <c r="K2573" s="24">
        <v>8817.5</v>
      </c>
      <c r="L2573" s="38">
        <v>46281</v>
      </c>
      <c r="M2573" s="23" t="s">
        <v>204</v>
      </c>
      <c r="N2573" s="23" t="str">
        <f>IF(COUNTIF($A$2:A2573,A2573)&gt;1,"DUP","OK")</f>
        <v>OK</v>
      </c>
      <c r="O2573" s="23" t="str">
        <f t="shared" si="121"/>
        <v>ORD26003044</v>
      </c>
      <c r="P2573" s="23" t="str">
        <f t="shared" si="122"/>
        <v>Sep</v>
      </c>
      <c r="Q2573" s="23" t="str">
        <f>IF(F2573="CAPTURE",IF(COUNTIF(orders!$A:$A,O2573)&gt;0,"Yes","NO ORDER"),"")</f>
        <v>Yes</v>
      </c>
    </row>
    <row r="2574" spans="1:17" ht="15" customHeight="1" x14ac:dyDescent="0.3">
      <c r="A2574" s="23" t="s">
        <v>15413</v>
      </c>
      <c r="B2574" s="23"/>
      <c r="C2574" s="23" t="s">
        <v>6614</v>
      </c>
      <c r="D2574" s="23" t="str">
        <f t="shared" si="120"/>
        <v>ORD26003059</v>
      </c>
      <c r="E2574" s="38">
        <v>46279</v>
      </c>
      <c r="F2574" s="23" t="s">
        <v>12410</v>
      </c>
      <c r="G2574" s="23" t="s">
        <v>75</v>
      </c>
      <c r="H2574" s="24">
        <v>999</v>
      </c>
      <c r="I2574" s="24">
        <v>0</v>
      </c>
      <c r="J2574" s="24">
        <v>0</v>
      </c>
      <c r="K2574" s="24">
        <v>999</v>
      </c>
      <c r="L2574" s="38">
        <v>46281</v>
      </c>
      <c r="M2574" s="23" t="s">
        <v>204</v>
      </c>
      <c r="N2574" s="23" t="str">
        <f>IF(COUNTIF($A$2:A2574,A2574)&gt;1,"DUP","OK")</f>
        <v>OK</v>
      </c>
      <c r="O2574" s="23" t="str">
        <f t="shared" si="121"/>
        <v>ORD26003059</v>
      </c>
      <c r="P2574" s="23" t="str">
        <f t="shared" si="122"/>
        <v>Sep</v>
      </c>
      <c r="Q2574" s="23" t="str">
        <f>IF(F2574="CAPTURE",IF(COUNTIF(orders!$A:$A,O2574)&gt;0,"Yes","NO ORDER"),"")</f>
        <v>Yes</v>
      </c>
    </row>
    <row r="2575" spans="1:17" ht="15" customHeight="1" x14ac:dyDescent="0.3">
      <c r="A2575" s="23" t="s">
        <v>15414</v>
      </c>
      <c r="B2575" s="23"/>
      <c r="C2575" s="23" t="s">
        <v>6640</v>
      </c>
      <c r="D2575" s="23" t="str">
        <f t="shared" si="120"/>
        <v>ORD26003072</v>
      </c>
      <c r="E2575" s="38">
        <v>46279</v>
      </c>
      <c r="F2575" s="23" t="s">
        <v>12410</v>
      </c>
      <c r="G2575" s="23" t="s">
        <v>75</v>
      </c>
      <c r="H2575" s="24">
        <v>2999</v>
      </c>
      <c r="I2575" s="24">
        <v>9</v>
      </c>
      <c r="J2575" s="24">
        <v>1.62</v>
      </c>
      <c r="K2575" s="24">
        <v>2988.38</v>
      </c>
      <c r="L2575" s="38">
        <v>46281</v>
      </c>
      <c r="M2575" s="23" t="s">
        <v>204</v>
      </c>
      <c r="N2575" s="23" t="str">
        <f>IF(COUNTIF($A$2:A2575,A2575)&gt;1,"DUP","OK")</f>
        <v>OK</v>
      </c>
      <c r="O2575" s="23" t="str">
        <f t="shared" si="121"/>
        <v>ORD26003072</v>
      </c>
      <c r="P2575" s="23" t="str">
        <f t="shared" si="122"/>
        <v>Sep</v>
      </c>
      <c r="Q2575" s="23" t="str">
        <f>IF(F2575="CAPTURE",IF(COUNTIF(orders!$A:$A,O2575)&gt;0,"Yes","NO ORDER"),"")</f>
        <v>Yes</v>
      </c>
    </row>
    <row r="2576" spans="1:17" ht="15" customHeight="1" x14ac:dyDescent="0.3">
      <c r="A2576" s="23" t="s">
        <v>15415</v>
      </c>
      <c r="B2576" s="23"/>
      <c r="C2576" s="23" t="s">
        <v>6655</v>
      </c>
      <c r="D2576" s="23" t="str">
        <f t="shared" si="120"/>
        <v>ORD26003080</v>
      </c>
      <c r="E2576" s="38">
        <v>46279</v>
      </c>
      <c r="F2576" s="23" t="s">
        <v>12410</v>
      </c>
      <c r="G2576" s="23" t="s">
        <v>75</v>
      </c>
      <c r="H2576" s="24">
        <v>599</v>
      </c>
      <c r="I2576" s="24">
        <v>0</v>
      </c>
      <c r="J2576" s="24">
        <v>0</v>
      </c>
      <c r="K2576" s="24">
        <v>599</v>
      </c>
      <c r="L2576" s="38">
        <v>46281</v>
      </c>
      <c r="M2576" s="23" t="s">
        <v>204</v>
      </c>
      <c r="N2576" s="23" t="str">
        <f>IF(COUNTIF($A$2:A2576,A2576)&gt;1,"DUP","OK")</f>
        <v>OK</v>
      </c>
      <c r="O2576" s="23" t="str">
        <f t="shared" si="121"/>
        <v>ORD26003080</v>
      </c>
      <c r="P2576" s="23" t="str">
        <f t="shared" si="122"/>
        <v>Sep</v>
      </c>
      <c r="Q2576" s="23" t="str">
        <f>IF(F2576="CAPTURE",IF(COUNTIF(orders!$A:$A,O2576)&gt;0,"Yes","NO ORDER"),"")</f>
        <v>Yes</v>
      </c>
    </row>
    <row r="2577" spans="1:17" ht="15" customHeight="1" x14ac:dyDescent="0.3">
      <c r="A2577" s="23" t="s">
        <v>15416</v>
      </c>
      <c r="B2577" s="23"/>
      <c r="C2577" s="23" t="s">
        <v>6666</v>
      </c>
      <c r="D2577" s="23" t="str">
        <f t="shared" si="120"/>
        <v>ORD26003085</v>
      </c>
      <c r="E2577" s="38">
        <v>46279</v>
      </c>
      <c r="F2577" s="23" t="s">
        <v>12410</v>
      </c>
      <c r="G2577" s="23" t="s">
        <v>77</v>
      </c>
      <c r="H2577" s="24">
        <v>2499</v>
      </c>
      <c r="I2577" s="24">
        <v>42.48</v>
      </c>
      <c r="J2577" s="24">
        <v>7.65</v>
      </c>
      <c r="K2577" s="24">
        <v>2448.87</v>
      </c>
      <c r="L2577" s="38">
        <v>46281</v>
      </c>
      <c r="M2577" s="23" t="s">
        <v>204</v>
      </c>
      <c r="N2577" s="23" t="str">
        <f>IF(COUNTIF($A$2:A2577,A2577)&gt;1,"DUP","OK")</f>
        <v>OK</v>
      </c>
      <c r="O2577" s="23" t="str">
        <f t="shared" si="121"/>
        <v>ORD26003085</v>
      </c>
      <c r="P2577" s="23" t="str">
        <f t="shared" si="122"/>
        <v>Sep</v>
      </c>
      <c r="Q2577" s="23" t="str">
        <f>IF(F2577="CAPTURE",IF(COUNTIF(orders!$A:$A,O2577)&gt;0,"Yes","NO ORDER"),"")</f>
        <v>Yes</v>
      </c>
    </row>
    <row r="2578" spans="1:17" ht="15" customHeight="1" x14ac:dyDescent="0.3">
      <c r="A2578" s="23" t="s">
        <v>15417</v>
      </c>
      <c r="B2578" s="23"/>
      <c r="C2578" s="23" t="s">
        <v>6755</v>
      </c>
      <c r="D2578" s="23" t="str">
        <f t="shared" si="120"/>
        <v>ORD26003129</v>
      </c>
      <c r="E2578" s="38">
        <v>46279</v>
      </c>
      <c r="F2578" s="23" t="s">
        <v>12410</v>
      </c>
      <c r="G2578" s="23" t="s">
        <v>75</v>
      </c>
      <c r="H2578" s="24">
        <v>2798</v>
      </c>
      <c r="I2578" s="24">
        <v>8.39</v>
      </c>
      <c r="J2578" s="24">
        <v>1.51</v>
      </c>
      <c r="K2578" s="24">
        <v>2788.1</v>
      </c>
      <c r="L2578" s="38">
        <v>46281</v>
      </c>
      <c r="M2578" s="23" t="s">
        <v>204</v>
      </c>
      <c r="N2578" s="23" t="str">
        <f>IF(COUNTIF($A$2:A2578,A2578)&gt;1,"DUP","OK")</f>
        <v>OK</v>
      </c>
      <c r="O2578" s="23" t="str">
        <f t="shared" si="121"/>
        <v>ORD26003129</v>
      </c>
      <c r="P2578" s="23" t="str">
        <f t="shared" si="122"/>
        <v>Sep</v>
      </c>
      <c r="Q2578" s="23" t="str">
        <f>IF(F2578="CAPTURE",IF(COUNTIF(orders!$A:$A,O2578)&gt;0,"Yes","NO ORDER"),"")</f>
        <v>Yes</v>
      </c>
    </row>
    <row r="2579" spans="1:17" ht="15" customHeight="1" x14ac:dyDescent="0.3">
      <c r="A2579" s="23" t="s">
        <v>15418</v>
      </c>
      <c r="B2579" s="23"/>
      <c r="C2579" s="23" t="s">
        <v>6765</v>
      </c>
      <c r="D2579" s="23" t="str">
        <f t="shared" si="120"/>
        <v>ORD26003134</v>
      </c>
      <c r="E2579" s="38">
        <v>46279</v>
      </c>
      <c r="F2579" s="23" t="s">
        <v>12410</v>
      </c>
      <c r="G2579" s="23" t="s">
        <v>75</v>
      </c>
      <c r="H2579" s="24">
        <v>1998</v>
      </c>
      <c r="I2579" s="24">
        <v>0</v>
      </c>
      <c r="J2579" s="24">
        <v>0</v>
      </c>
      <c r="K2579" s="24">
        <v>1998</v>
      </c>
      <c r="L2579" s="38">
        <v>46281</v>
      </c>
      <c r="M2579" s="23" t="s">
        <v>204</v>
      </c>
      <c r="N2579" s="23" t="str">
        <f>IF(COUNTIF($A$2:A2579,A2579)&gt;1,"DUP","OK")</f>
        <v>OK</v>
      </c>
      <c r="O2579" s="23" t="str">
        <f t="shared" si="121"/>
        <v>ORD26003134</v>
      </c>
      <c r="P2579" s="23" t="str">
        <f t="shared" si="122"/>
        <v>Sep</v>
      </c>
      <c r="Q2579" s="23" t="str">
        <f>IF(F2579="CAPTURE",IF(COUNTIF(orders!$A:$A,O2579)&gt;0,"Yes","NO ORDER"),"")</f>
        <v>Yes</v>
      </c>
    </row>
    <row r="2580" spans="1:17" ht="15" customHeight="1" x14ac:dyDescent="0.3">
      <c r="A2580" s="23" t="s">
        <v>15419</v>
      </c>
      <c r="B2580" s="23"/>
      <c r="C2580" s="23" t="s">
        <v>6801</v>
      </c>
      <c r="D2580" s="23" t="str">
        <f t="shared" si="120"/>
        <v>ORD26003152</v>
      </c>
      <c r="E2580" s="38">
        <v>46279</v>
      </c>
      <c r="F2580" s="23" t="s">
        <v>12410</v>
      </c>
      <c r="G2580" s="23" t="s">
        <v>75</v>
      </c>
      <c r="H2580" s="24">
        <v>499</v>
      </c>
      <c r="I2580" s="24">
        <v>1.5</v>
      </c>
      <c r="J2580" s="24">
        <v>0.27</v>
      </c>
      <c r="K2580" s="24">
        <v>497.23</v>
      </c>
      <c r="L2580" s="38">
        <v>46281</v>
      </c>
      <c r="M2580" s="23" t="s">
        <v>204</v>
      </c>
      <c r="N2580" s="23" t="str">
        <f>IF(COUNTIF($A$2:A2580,A2580)&gt;1,"DUP","OK")</f>
        <v>OK</v>
      </c>
      <c r="O2580" s="23" t="str">
        <f t="shared" si="121"/>
        <v>ORD26003152</v>
      </c>
      <c r="P2580" s="23" t="str">
        <f t="shared" si="122"/>
        <v>Sep</v>
      </c>
      <c r="Q2580" s="23" t="str">
        <f>IF(F2580="CAPTURE",IF(COUNTIF(orders!$A:$A,O2580)&gt;0,"Yes","NO ORDER"),"")</f>
        <v>Yes</v>
      </c>
    </row>
    <row r="2581" spans="1:17" ht="15" customHeight="1" x14ac:dyDescent="0.3">
      <c r="A2581" s="23" t="s">
        <v>15420</v>
      </c>
      <c r="B2581" s="23"/>
      <c r="C2581" s="23" t="s">
        <v>6809</v>
      </c>
      <c r="D2581" s="23" t="str">
        <f t="shared" si="120"/>
        <v>ORD26003156</v>
      </c>
      <c r="E2581" s="38">
        <v>46279</v>
      </c>
      <c r="F2581" s="23" t="s">
        <v>12410</v>
      </c>
      <c r="G2581" s="23" t="s">
        <v>77</v>
      </c>
      <c r="H2581" s="24">
        <v>2499</v>
      </c>
      <c r="I2581" s="24">
        <v>42.48</v>
      </c>
      <c r="J2581" s="24">
        <v>7.65</v>
      </c>
      <c r="K2581" s="24">
        <v>2448.87</v>
      </c>
      <c r="L2581" s="38">
        <v>46281</v>
      </c>
      <c r="M2581" s="23" t="s">
        <v>204</v>
      </c>
      <c r="N2581" s="23" t="str">
        <f>IF(COUNTIF($A$2:A2581,A2581)&gt;1,"DUP","OK")</f>
        <v>OK</v>
      </c>
      <c r="O2581" s="23" t="str">
        <f t="shared" si="121"/>
        <v>ORD26003156</v>
      </c>
      <c r="P2581" s="23" t="str">
        <f t="shared" si="122"/>
        <v>Sep</v>
      </c>
      <c r="Q2581" s="23" t="str">
        <f>IF(F2581="CAPTURE",IF(COUNTIF(orders!$A:$A,O2581)&gt;0,"Yes","NO ORDER"),"")</f>
        <v>Yes</v>
      </c>
    </row>
    <row r="2582" spans="1:17" ht="15" customHeight="1" x14ac:dyDescent="0.3">
      <c r="A2582" s="23" t="s">
        <v>15421</v>
      </c>
      <c r="B2582" s="23"/>
      <c r="C2582" s="23" t="s">
        <v>6953</v>
      </c>
      <c r="D2582" s="23" t="str">
        <f t="shared" si="120"/>
        <v>ORD26003228</v>
      </c>
      <c r="E2582" s="38">
        <v>46279</v>
      </c>
      <c r="F2582" s="23" t="s">
        <v>12410</v>
      </c>
      <c r="G2582" s="23" t="s">
        <v>75</v>
      </c>
      <c r="H2582" s="24">
        <v>3798</v>
      </c>
      <c r="I2582" s="24">
        <v>11.39</v>
      </c>
      <c r="J2582" s="24">
        <v>2.0499999999999998</v>
      </c>
      <c r="K2582" s="24">
        <v>3784.56</v>
      </c>
      <c r="L2582" s="38">
        <v>46281</v>
      </c>
      <c r="M2582" s="23" t="s">
        <v>204</v>
      </c>
      <c r="N2582" s="23" t="str">
        <f>IF(COUNTIF($A$2:A2582,A2582)&gt;1,"DUP","OK")</f>
        <v>OK</v>
      </c>
      <c r="O2582" s="23" t="str">
        <f t="shared" si="121"/>
        <v>ORD26003228</v>
      </c>
      <c r="P2582" s="23" t="str">
        <f t="shared" si="122"/>
        <v>Sep</v>
      </c>
      <c r="Q2582" s="23" t="str">
        <f>IF(F2582="CAPTURE",IF(COUNTIF(orders!$A:$A,O2582)&gt;0,"Yes","NO ORDER"),"")</f>
        <v>Yes</v>
      </c>
    </row>
    <row r="2583" spans="1:17" ht="15" customHeight="1" x14ac:dyDescent="0.3">
      <c r="A2583" s="23" t="s">
        <v>15422</v>
      </c>
      <c r="B2583" s="23"/>
      <c r="C2583" s="23" t="s">
        <v>6991</v>
      </c>
      <c r="D2583" s="23" t="str">
        <f t="shared" si="120"/>
        <v>ORD26003246</v>
      </c>
      <c r="E2583" s="38">
        <v>46279</v>
      </c>
      <c r="F2583" s="23" t="s">
        <v>12410</v>
      </c>
      <c r="G2583" s="23" t="s">
        <v>75</v>
      </c>
      <c r="H2583" s="24">
        <v>9798</v>
      </c>
      <c r="I2583" s="24">
        <v>29.39</v>
      </c>
      <c r="J2583" s="24">
        <v>5.29</v>
      </c>
      <c r="K2583" s="24">
        <v>9763.32</v>
      </c>
      <c r="L2583" s="38">
        <v>46281</v>
      </c>
      <c r="M2583" s="23" t="s">
        <v>204</v>
      </c>
      <c r="N2583" s="23" t="str">
        <f>IF(COUNTIF($A$2:A2583,A2583)&gt;1,"DUP","OK")</f>
        <v>OK</v>
      </c>
      <c r="O2583" s="23" t="str">
        <f t="shared" si="121"/>
        <v>ORD26003246</v>
      </c>
      <c r="P2583" s="23" t="str">
        <f t="shared" si="122"/>
        <v>Sep</v>
      </c>
      <c r="Q2583" s="23" t="str">
        <f>IF(F2583="CAPTURE",IF(COUNTIF(orders!$A:$A,O2583)&gt;0,"Yes","NO ORDER"),"")</f>
        <v>Yes</v>
      </c>
    </row>
    <row r="2584" spans="1:17" ht="15" customHeight="1" x14ac:dyDescent="0.3">
      <c r="A2584" s="23" t="s">
        <v>15423</v>
      </c>
      <c r="B2584" s="23"/>
      <c r="C2584" s="23" t="s">
        <v>7017</v>
      </c>
      <c r="D2584" s="23" t="str">
        <f t="shared" si="120"/>
        <v>ORD26003259</v>
      </c>
      <c r="E2584" s="38">
        <v>46279</v>
      </c>
      <c r="F2584" s="23" t="s">
        <v>12410</v>
      </c>
      <c r="G2584" s="23" t="s">
        <v>75</v>
      </c>
      <c r="H2584" s="24">
        <v>4999</v>
      </c>
      <c r="I2584" s="24">
        <v>15</v>
      </c>
      <c r="J2584" s="24">
        <v>2.7</v>
      </c>
      <c r="K2584" s="24">
        <v>4981.3</v>
      </c>
      <c r="L2584" s="38">
        <v>46281</v>
      </c>
      <c r="M2584" s="23" t="s">
        <v>204</v>
      </c>
      <c r="N2584" s="23" t="str">
        <f>IF(COUNTIF($A$2:A2584,A2584)&gt;1,"DUP","OK")</f>
        <v>OK</v>
      </c>
      <c r="O2584" s="23" t="str">
        <f t="shared" si="121"/>
        <v>ORD26003259</v>
      </c>
      <c r="P2584" s="23" t="str">
        <f t="shared" si="122"/>
        <v>Sep</v>
      </c>
      <c r="Q2584" s="23" t="str">
        <f>IF(F2584="CAPTURE",IF(COUNTIF(orders!$A:$A,O2584)&gt;0,"Yes","NO ORDER"),"")</f>
        <v>Yes</v>
      </c>
    </row>
    <row r="2585" spans="1:17" ht="15" customHeight="1" x14ac:dyDescent="0.3">
      <c r="A2585" s="23" t="s">
        <v>15424</v>
      </c>
      <c r="B2585" s="23"/>
      <c r="C2585" s="23" t="s">
        <v>7235</v>
      </c>
      <c r="D2585" s="23" t="str">
        <f t="shared" si="120"/>
        <v>ORD26003368</v>
      </c>
      <c r="E2585" s="38">
        <v>46279</v>
      </c>
      <c r="F2585" s="23" t="s">
        <v>12410</v>
      </c>
      <c r="G2585" s="23" t="s">
        <v>75</v>
      </c>
      <c r="H2585" s="24">
        <v>499</v>
      </c>
      <c r="I2585" s="24">
        <v>0</v>
      </c>
      <c r="J2585" s="24">
        <v>0</v>
      </c>
      <c r="K2585" s="24">
        <v>499</v>
      </c>
      <c r="L2585" s="38">
        <v>46281</v>
      </c>
      <c r="M2585" s="23" t="s">
        <v>204</v>
      </c>
      <c r="N2585" s="23" t="str">
        <f>IF(COUNTIF($A$2:A2585,A2585)&gt;1,"DUP","OK")</f>
        <v>OK</v>
      </c>
      <c r="O2585" s="23" t="str">
        <f t="shared" si="121"/>
        <v>ORD26003368</v>
      </c>
      <c r="P2585" s="23" t="str">
        <f t="shared" si="122"/>
        <v>Sep</v>
      </c>
      <c r="Q2585" s="23" t="str">
        <f>IF(F2585="CAPTURE",IF(COUNTIF(orders!$A:$A,O2585)&gt;0,"Yes","NO ORDER"),"")</f>
        <v>Yes</v>
      </c>
    </row>
    <row r="2586" spans="1:17" ht="15" customHeight="1" x14ac:dyDescent="0.3">
      <c r="A2586" s="23" t="s">
        <v>15425</v>
      </c>
      <c r="B2586" s="23"/>
      <c r="C2586" s="23" t="s">
        <v>7295</v>
      </c>
      <c r="D2586" s="23" t="str">
        <f t="shared" si="120"/>
        <v>ORD26003398</v>
      </c>
      <c r="E2586" s="38">
        <v>46279</v>
      </c>
      <c r="F2586" s="23" t="s">
        <v>12410</v>
      </c>
      <c r="G2586" s="23" t="s">
        <v>79</v>
      </c>
      <c r="H2586" s="24">
        <v>299</v>
      </c>
      <c r="I2586" s="24">
        <v>5.38</v>
      </c>
      <c r="J2586" s="24">
        <v>0.97</v>
      </c>
      <c r="K2586" s="24">
        <v>292.64999999999998</v>
      </c>
      <c r="L2586" s="38">
        <v>46281</v>
      </c>
      <c r="M2586" s="23" t="s">
        <v>204</v>
      </c>
      <c r="N2586" s="23" t="str">
        <f>IF(COUNTIF($A$2:A2586,A2586)&gt;1,"DUP","OK")</f>
        <v>OK</v>
      </c>
      <c r="O2586" s="23" t="str">
        <f t="shared" si="121"/>
        <v>ORD26003398</v>
      </c>
      <c r="P2586" s="23" t="str">
        <f t="shared" si="122"/>
        <v>Sep</v>
      </c>
      <c r="Q2586" s="23" t="str">
        <f>IF(F2586="CAPTURE",IF(COUNTIF(orders!$A:$A,O2586)&gt;0,"Yes","NO ORDER"),"")</f>
        <v>Yes</v>
      </c>
    </row>
    <row r="2587" spans="1:17" ht="15" customHeight="1" x14ac:dyDescent="0.3">
      <c r="A2587" s="23" t="s">
        <v>15426</v>
      </c>
      <c r="B2587" s="23"/>
      <c r="C2587" s="23" t="s">
        <v>7377</v>
      </c>
      <c r="D2587" s="23" t="str">
        <f t="shared" si="120"/>
        <v>ORD26003439</v>
      </c>
      <c r="E2587" s="38">
        <v>46279</v>
      </c>
      <c r="F2587" s="23" t="s">
        <v>12410</v>
      </c>
      <c r="G2587" s="23" t="s">
        <v>75</v>
      </c>
      <c r="H2587" s="24">
        <v>1499</v>
      </c>
      <c r="I2587" s="24">
        <v>0</v>
      </c>
      <c r="J2587" s="24">
        <v>0</v>
      </c>
      <c r="K2587" s="24">
        <v>1499</v>
      </c>
      <c r="L2587" s="38">
        <v>46281</v>
      </c>
      <c r="M2587" s="23" t="s">
        <v>204</v>
      </c>
      <c r="N2587" s="23" t="str">
        <f>IF(COUNTIF($A$2:A2587,A2587)&gt;1,"DUP","OK")</f>
        <v>OK</v>
      </c>
      <c r="O2587" s="23" t="str">
        <f t="shared" si="121"/>
        <v>ORD26003439</v>
      </c>
      <c r="P2587" s="23" t="str">
        <f t="shared" si="122"/>
        <v>Sep</v>
      </c>
      <c r="Q2587" s="23" t="str">
        <f>IF(F2587="CAPTURE",IF(COUNTIF(orders!$A:$A,O2587)&gt;0,"Yes","NO ORDER"),"")</f>
        <v>Yes</v>
      </c>
    </row>
    <row r="2588" spans="1:17" ht="15" customHeight="1" x14ac:dyDescent="0.3">
      <c r="A2588" s="23" t="s">
        <v>15427</v>
      </c>
      <c r="B2588" s="23"/>
      <c r="C2588" s="23" t="s">
        <v>7381</v>
      </c>
      <c r="D2588" s="23" t="str">
        <f t="shared" si="120"/>
        <v>ORD26003441</v>
      </c>
      <c r="E2588" s="38">
        <v>46279</v>
      </c>
      <c r="F2588" s="23" t="s">
        <v>12410</v>
      </c>
      <c r="G2588" s="23" t="s">
        <v>75</v>
      </c>
      <c r="H2588" s="24">
        <v>2098</v>
      </c>
      <c r="I2588" s="24">
        <v>6.29</v>
      </c>
      <c r="J2588" s="24">
        <v>1.1299999999999999</v>
      </c>
      <c r="K2588" s="24">
        <v>2090.58</v>
      </c>
      <c r="L2588" s="38">
        <v>46281</v>
      </c>
      <c r="M2588" s="23" t="s">
        <v>204</v>
      </c>
      <c r="N2588" s="23" t="str">
        <f>IF(COUNTIF($A$2:A2588,A2588)&gt;1,"DUP","OK")</f>
        <v>OK</v>
      </c>
      <c r="O2588" s="23" t="str">
        <f t="shared" si="121"/>
        <v>ORD26003441</v>
      </c>
      <c r="P2588" s="23" t="str">
        <f t="shared" si="122"/>
        <v>Sep</v>
      </c>
      <c r="Q2588" s="23" t="str">
        <f>IF(F2588="CAPTURE",IF(COUNTIF(orders!$A:$A,O2588)&gt;0,"Yes","NO ORDER"),"")</f>
        <v>Yes</v>
      </c>
    </row>
    <row r="2589" spans="1:17" ht="15" customHeight="1" x14ac:dyDescent="0.3">
      <c r="A2589" s="23" t="s">
        <v>15428</v>
      </c>
      <c r="B2589" s="23"/>
      <c r="C2589" s="23" t="s">
        <v>7459</v>
      </c>
      <c r="D2589" s="23" t="str">
        <f t="shared" si="120"/>
        <v>ORD26003480</v>
      </c>
      <c r="E2589" s="38">
        <v>46279</v>
      </c>
      <c r="F2589" s="23" t="s">
        <v>12410</v>
      </c>
      <c r="G2589" s="23" t="s">
        <v>81</v>
      </c>
      <c r="H2589" s="24">
        <v>3848</v>
      </c>
      <c r="I2589" s="24">
        <v>46.18</v>
      </c>
      <c r="J2589" s="24">
        <v>8.31</v>
      </c>
      <c r="K2589" s="24">
        <v>3793.51</v>
      </c>
      <c r="L2589" s="38">
        <v>46281</v>
      </c>
      <c r="M2589" s="23" t="s">
        <v>204</v>
      </c>
      <c r="N2589" s="23" t="str">
        <f>IF(COUNTIF($A$2:A2589,A2589)&gt;1,"DUP","OK")</f>
        <v>OK</v>
      </c>
      <c r="O2589" s="23" t="str">
        <f t="shared" si="121"/>
        <v>ORD26003480</v>
      </c>
      <c r="P2589" s="23" t="str">
        <f t="shared" si="122"/>
        <v>Sep</v>
      </c>
      <c r="Q2589" s="23" t="str">
        <f>IF(F2589="CAPTURE",IF(COUNTIF(orders!$A:$A,O2589)&gt;0,"Yes","NO ORDER"),"")</f>
        <v>Yes</v>
      </c>
    </row>
    <row r="2590" spans="1:17" ht="15" customHeight="1" x14ac:dyDescent="0.3">
      <c r="A2590" s="23" t="s">
        <v>15429</v>
      </c>
      <c r="B2590" s="23"/>
      <c r="C2590" s="23" t="s">
        <v>7526</v>
      </c>
      <c r="D2590" s="23" t="str">
        <f t="shared" si="120"/>
        <v>ORD26003514</v>
      </c>
      <c r="E2590" s="38">
        <v>46279</v>
      </c>
      <c r="F2590" s="23" t="s">
        <v>12410</v>
      </c>
      <c r="G2590" s="23" t="s">
        <v>79</v>
      </c>
      <c r="H2590" s="24">
        <v>3798</v>
      </c>
      <c r="I2590" s="24">
        <v>60.77</v>
      </c>
      <c r="J2590" s="24">
        <v>10.94</v>
      </c>
      <c r="K2590" s="24">
        <v>3726.29</v>
      </c>
      <c r="L2590" s="38">
        <v>46281</v>
      </c>
      <c r="M2590" s="23" t="s">
        <v>204</v>
      </c>
      <c r="N2590" s="23" t="str">
        <f>IF(COUNTIF($A$2:A2590,A2590)&gt;1,"DUP","OK")</f>
        <v>OK</v>
      </c>
      <c r="O2590" s="23" t="str">
        <f t="shared" si="121"/>
        <v>ORD26003514</v>
      </c>
      <c r="P2590" s="23" t="str">
        <f t="shared" si="122"/>
        <v>Sep</v>
      </c>
      <c r="Q2590" s="23" t="str">
        <f>IF(F2590="CAPTURE",IF(COUNTIF(orders!$A:$A,O2590)&gt;0,"Yes","NO ORDER"),"")</f>
        <v>Yes</v>
      </c>
    </row>
    <row r="2591" spans="1:17" ht="15" customHeight="1" x14ac:dyDescent="0.3">
      <c r="A2591" s="23" t="s">
        <v>15430</v>
      </c>
      <c r="B2591" s="23"/>
      <c r="C2591" s="23" t="s">
        <v>7536</v>
      </c>
      <c r="D2591" s="23" t="str">
        <f t="shared" si="120"/>
        <v>ORD26003520</v>
      </c>
      <c r="E2591" s="38">
        <v>46279</v>
      </c>
      <c r="F2591" s="23" t="s">
        <v>12410</v>
      </c>
      <c r="G2591" s="23" t="s">
        <v>75</v>
      </c>
      <c r="H2591" s="24">
        <v>1848</v>
      </c>
      <c r="I2591" s="24">
        <v>0</v>
      </c>
      <c r="J2591" s="24">
        <v>0</v>
      </c>
      <c r="K2591" s="24">
        <v>1848</v>
      </c>
      <c r="L2591" s="38">
        <v>46281</v>
      </c>
      <c r="M2591" s="23" t="s">
        <v>204</v>
      </c>
      <c r="N2591" s="23" t="str">
        <f>IF(COUNTIF($A$2:A2591,A2591)&gt;1,"DUP","OK")</f>
        <v>OK</v>
      </c>
      <c r="O2591" s="23" t="str">
        <f t="shared" si="121"/>
        <v>ORD26003520</v>
      </c>
      <c r="P2591" s="23" t="str">
        <f t="shared" si="122"/>
        <v>Sep</v>
      </c>
      <c r="Q2591" s="23" t="str">
        <f>IF(F2591="CAPTURE",IF(COUNTIF(orders!$A:$A,O2591)&gt;0,"Yes","NO ORDER"),"")</f>
        <v>Yes</v>
      </c>
    </row>
    <row r="2592" spans="1:17" ht="15" customHeight="1" x14ac:dyDescent="0.3">
      <c r="A2592" s="23" t="s">
        <v>15431</v>
      </c>
      <c r="B2592" s="23"/>
      <c r="C2592" s="23" t="s">
        <v>7677</v>
      </c>
      <c r="D2592" s="23" t="str">
        <f t="shared" si="120"/>
        <v>ORD26003591</v>
      </c>
      <c r="E2592" s="38">
        <v>46279</v>
      </c>
      <c r="F2592" s="23" t="s">
        <v>12410</v>
      </c>
      <c r="G2592" s="23" t="s">
        <v>79</v>
      </c>
      <c r="H2592" s="24">
        <v>1299</v>
      </c>
      <c r="I2592" s="24">
        <v>23.38</v>
      </c>
      <c r="J2592" s="24">
        <v>4.21</v>
      </c>
      <c r="K2592" s="24">
        <v>1271.4100000000001</v>
      </c>
      <c r="L2592" s="38">
        <v>46281</v>
      </c>
      <c r="M2592" s="23" t="s">
        <v>204</v>
      </c>
      <c r="N2592" s="23" t="str">
        <f>IF(COUNTIF($A$2:A2592,A2592)&gt;1,"DUP","OK")</f>
        <v>OK</v>
      </c>
      <c r="O2592" s="23" t="str">
        <f t="shared" si="121"/>
        <v>ORD26003591</v>
      </c>
      <c r="P2592" s="23" t="str">
        <f t="shared" si="122"/>
        <v>Sep</v>
      </c>
      <c r="Q2592" s="23" t="str">
        <f>IF(F2592="CAPTURE",IF(COUNTIF(orders!$A:$A,O2592)&gt;0,"Yes","NO ORDER"),"")</f>
        <v>Yes</v>
      </c>
    </row>
    <row r="2593" spans="1:17" ht="15" customHeight="1" x14ac:dyDescent="0.3">
      <c r="A2593" s="23" t="s">
        <v>15432</v>
      </c>
      <c r="B2593" s="23"/>
      <c r="C2593" s="23" t="s">
        <v>7683</v>
      </c>
      <c r="D2593" s="23" t="str">
        <f t="shared" si="120"/>
        <v>ORD26003594</v>
      </c>
      <c r="E2593" s="38">
        <v>46279</v>
      </c>
      <c r="F2593" s="23" t="s">
        <v>12410</v>
      </c>
      <c r="G2593" s="23" t="s">
        <v>79</v>
      </c>
      <c r="H2593" s="24">
        <v>1499</v>
      </c>
      <c r="I2593" s="24">
        <v>26.98</v>
      </c>
      <c r="J2593" s="24">
        <v>4.8600000000000003</v>
      </c>
      <c r="K2593" s="24">
        <v>1467.16</v>
      </c>
      <c r="L2593" s="38">
        <v>46281</v>
      </c>
      <c r="M2593" s="23" t="s">
        <v>204</v>
      </c>
      <c r="N2593" s="23" t="str">
        <f>IF(COUNTIF($A$2:A2593,A2593)&gt;1,"DUP","OK")</f>
        <v>OK</v>
      </c>
      <c r="O2593" s="23" t="str">
        <f t="shared" si="121"/>
        <v>ORD26003594</v>
      </c>
      <c r="P2593" s="23" t="str">
        <f t="shared" si="122"/>
        <v>Sep</v>
      </c>
      <c r="Q2593" s="23" t="str">
        <f>IF(F2593="CAPTURE",IF(COUNTIF(orders!$A:$A,O2593)&gt;0,"Yes","NO ORDER"),"")</f>
        <v>Yes</v>
      </c>
    </row>
    <row r="2594" spans="1:17" ht="15" customHeight="1" x14ac:dyDescent="0.3">
      <c r="A2594" s="23" t="s">
        <v>15433</v>
      </c>
      <c r="B2594" s="23"/>
      <c r="C2594" s="23" t="s">
        <v>7708</v>
      </c>
      <c r="D2594" s="23" t="str">
        <f t="shared" si="120"/>
        <v>ORD26003607</v>
      </c>
      <c r="E2594" s="38">
        <v>46279</v>
      </c>
      <c r="F2594" s="23" t="s">
        <v>12410</v>
      </c>
      <c r="G2594" s="23" t="s">
        <v>75</v>
      </c>
      <c r="H2594" s="24">
        <v>2798</v>
      </c>
      <c r="I2594" s="24">
        <v>8.39</v>
      </c>
      <c r="J2594" s="24">
        <v>1.51</v>
      </c>
      <c r="K2594" s="24">
        <v>2788.1</v>
      </c>
      <c r="L2594" s="38">
        <v>46281</v>
      </c>
      <c r="M2594" s="23" t="s">
        <v>204</v>
      </c>
      <c r="N2594" s="23" t="str">
        <f>IF(COUNTIF($A$2:A2594,A2594)&gt;1,"DUP","OK")</f>
        <v>OK</v>
      </c>
      <c r="O2594" s="23" t="str">
        <f t="shared" si="121"/>
        <v>ORD26003607</v>
      </c>
      <c r="P2594" s="23" t="str">
        <f t="shared" si="122"/>
        <v>Sep</v>
      </c>
      <c r="Q2594" s="23" t="str">
        <f>IF(F2594="CAPTURE",IF(COUNTIF(orders!$A:$A,O2594)&gt;0,"Yes","NO ORDER"),"")</f>
        <v>Yes</v>
      </c>
    </row>
    <row r="2595" spans="1:17" ht="15" customHeight="1" x14ac:dyDescent="0.3">
      <c r="A2595" s="23" t="s">
        <v>15434</v>
      </c>
      <c r="B2595" s="23"/>
      <c r="C2595" s="23" t="s">
        <v>7710</v>
      </c>
      <c r="D2595" s="23" t="str">
        <f t="shared" si="120"/>
        <v>ORD26003608</v>
      </c>
      <c r="E2595" s="38">
        <v>46279</v>
      </c>
      <c r="F2595" s="23" t="s">
        <v>12410</v>
      </c>
      <c r="G2595" s="23" t="s">
        <v>77</v>
      </c>
      <c r="H2595" s="24">
        <v>4647</v>
      </c>
      <c r="I2595" s="24">
        <v>79</v>
      </c>
      <c r="J2595" s="24">
        <v>14.22</v>
      </c>
      <c r="K2595" s="24">
        <v>4553.78</v>
      </c>
      <c r="L2595" s="38">
        <v>46281</v>
      </c>
      <c r="M2595" s="23" t="s">
        <v>204</v>
      </c>
      <c r="N2595" s="23" t="str">
        <f>IF(COUNTIF($A$2:A2595,A2595)&gt;1,"DUP","OK")</f>
        <v>OK</v>
      </c>
      <c r="O2595" s="23" t="str">
        <f t="shared" si="121"/>
        <v>ORD26003608</v>
      </c>
      <c r="P2595" s="23" t="str">
        <f t="shared" si="122"/>
        <v>Sep</v>
      </c>
      <c r="Q2595" s="23" t="str">
        <f>IF(F2595="CAPTURE",IF(COUNTIF(orders!$A:$A,O2595)&gt;0,"Yes","NO ORDER"),"")</f>
        <v>Yes</v>
      </c>
    </row>
    <row r="2596" spans="1:17" ht="15" customHeight="1" x14ac:dyDescent="0.3">
      <c r="A2596" s="23" t="s">
        <v>15435</v>
      </c>
      <c r="B2596" s="23"/>
      <c r="C2596" s="23" t="s">
        <v>7752</v>
      </c>
      <c r="D2596" s="23" t="str">
        <f t="shared" si="120"/>
        <v>ORD26003629</v>
      </c>
      <c r="E2596" s="38">
        <v>46279</v>
      </c>
      <c r="F2596" s="23" t="s">
        <v>12410</v>
      </c>
      <c r="G2596" s="23" t="s">
        <v>79</v>
      </c>
      <c r="H2596" s="24">
        <v>3499</v>
      </c>
      <c r="I2596" s="24">
        <v>55.98</v>
      </c>
      <c r="J2596" s="24">
        <v>10.08</v>
      </c>
      <c r="K2596" s="24">
        <v>3432.94</v>
      </c>
      <c r="L2596" s="38">
        <v>46281</v>
      </c>
      <c r="M2596" s="23" t="s">
        <v>204</v>
      </c>
      <c r="N2596" s="23" t="str">
        <f>IF(COUNTIF($A$2:A2596,A2596)&gt;1,"DUP","OK")</f>
        <v>OK</v>
      </c>
      <c r="O2596" s="23" t="str">
        <f t="shared" si="121"/>
        <v>ORD26003629</v>
      </c>
      <c r="P2596" s="23" t="str">
        <f t="shared" si="122"/>
        <v>Sep</v>
      </c>
      <c r="Q2596" s="23" t="str">
        <f>IF(F2596="CAPTURE",IF(COUNTIF(orders!$A:$A,O2596)&gt;0,"Yes","NO ORDER"),"")</f>
        <v>Yes</v>
      </c>
    </row>
    <row r="2597" spans="1:17" ht="15" customHeight="1" x14ac:dyDescent="0.3">
      <c r="A2597" s="23" t="s">
        <v>15436</v>
      </c>
      <c r="B2597" s="23"/>
      <c r="C2597" s="23" t="s">
        <v>7759</v>
      </c>
      <c r="D2597" s="23" t="str">
        <f t="shared" si="120"/>
        <v>ORD26003633</v>
      </c>
      <c r="E2597" s="38">
        <v>46279</v>
      </c>
      <c r="F2597" s="23" t="s">
        <v>12410</v>
      </c>
      <c r="G2597" s="23" t="s">
        <v>79</v>
      </c>
      <c r="H2597" s="24">
        <v>1098</v>
      </c>
      <c r="I2597" s="24">
        <v>19.760000000000002</v>
      </c>
      <c r="J2597" s="24">
        <v>3.56</v>
      </c>
      <c r="K2597" s="24">
        <v>1074.68</v>
      </c>
      <c r="L2597" s="38">
        <v>46281</v>
      </c>
      <c r="M2597" s="23" t="s">
        <v>204</v>
      </c>
      <c r="N2597" s="23" t="str">
        <f>IF(COUNTIF($A$2:A2597,A2597)&gt;1,"DUP","OK")</f>
        <v>OK</v>
      </c>
      <c r="O2597" s="23" t="str">
        <f t="shared" si="121"/>
        <v>ORD26003633</v>
      </c>
      <c r="P2597" s="23" t="str">
        <f t="shared" si="122"/>
        <v>Sep</v>
      </c>
      <c r="Q2597" s="23" t="str">
        <f>IF(F2597="CAPTURE",IF(COUNTIF(orders!$A:$A,O2597)&gt;0,"Yes","NO ORDER"),"")</f>
        <v>Yes</v>
      </c>
    </row>
    <row r="2598" spans="1:17" ht="15" customHeight="1" x14ac:dyDescent="0.3">
      <c r="A2598" s="23" t="s">
        <v>15437</v>
      </c>
      <c r="B2598" s="23"/>
      <c r="C2598" s="23" t="s">
        <v>15438</v>
      </c>
      <c r="D2598" s="23" t="str">
        <f t="shared" si="120"/>
        <v>ORD26003693</v>
      </c>
      <c r="E2598" s="38">
        <v>46279</v>
      </c>
      <c r="F2598" s="23" t="s">
        <v>12410</v>
      </c>
      <c r="G2598" s="23" t="s">
        <v>77</v>
      </c>
      <c r="H2598" s="24">
        <v>7498</v>
      </c>
      <c r="I2598" s="24">
        <v>127.47</v>
      </c>
      <c r="J2598" s="24">
        <v>22.94</v>
      </c>
      <c r="K2598" s="24">
        <v>7347.59</v>
      </c>
      <c r="L2598" s="38">
        <v>46281</v>
      </c>
      <c r="M2598" s="23" t="s">
        <v>204</v>
      </c>
      <c r="N2598" s="23" t="str">
        <f>IF(COUNTIF($A$2:A2598,A2598)&gt;1,"DUP","OK")</f>
        <v>OK</v>
      </c>
      <c r="O2598" s="23" t="str">
        <f t="shared" si="121"/>
        <v>ORD26003693</v>
      </c>
      <c r="P2598" s="23" t="str">
        <f t="shared" si="122"/>
        <v>Sep</v>
      </c>
      <c r="Q2598" s="23" t="str">
        <f>IF(F2598="CAPTURE",IF(COUNTIF(orders!$A:$A,O2598)&gt;0,"Yes","NO ORDER"),"")</f>
        <v>Yes</v>
      </c>
    </row>
    <row r="2599" spans="1:17" ht="15" customHeight="1" x14ac:dyDescent="0.3">
      <c r="A2599" s="23" t="s">
        <v>15439</v>
      </c>
      <c r="B2599" s="23"/>
      <c r="C2599" s="23" t="s">
        <v>7882</v>
      </c>
      <c r="D2599" s="23" t="str">
        <f t="shared" si="120"/>
        <v>ORD26003697</v>
      </c>
      <c r="E2599" s="38">
        <v>46279</v>
      </c>
      <c r="F2599" s="23" t="s">
        <v>12410</v>
      </c>
      <c r="G2599" s="23" t="s">
        <v>75</v>
      </c>
      <c r="H2599" s="24">
        <v>1799</v>
      </c>
      <c r="I2599" s="24">
        <v>0</v>
      </c>
      <c r="J2599" s="24">
        <v>0</v>
      </c>
      <c r="K2599" s="24">
        <v>1799</v>
      </c>
      <c r="L2599" s="38">
        <v>46281</v>
      </c>
      <c r="M2599" s="23" t="s">
        <v>204</v>
      </c>
      <c r="N2599" s="23" t="str">
        <f>IF(COUNTIF($A$2:A2599,A2599)&gt;1,"DUP","OK")</f>
        <v>OK</v>
      </c>
      <c r="O2599" s="23" t="str">
        <f t="shared" si="121"/>
        <v>ORD26003697</v>
      </c>
      <c r="P2599" s="23" t="str">
        <f t="shared" si="122"/>
        <v>Sep</v>
      </c>
      <c r="Q2599" s="23" t="str">
        <f>IF(F2599="CAPTURE",IF(COUNTIF(orders!$A:$A,O2599)&gt;0,"Yes","NO ORDER"),"")</f>
        <v>Yes</v>
      </c>
    </row>
    <row r="2600" spans="1:17" ht="15" customHeight="1" x14ac:dyDescent="0.3">
      <c r="A2600" s="23" t="s">
        <v>15440</v>
      </c>
      <c r="B2600" s="23"/>
      <c r="C2600" s="23" t="s">
        <v>7944</v>
      </c>
      <c r="D2600" s="23" t="str">
        <f t="shared" si="120"/>
        <v>ORD26003728</v>
      </c>
      <c r="E2600" s="38">
        <v>46279</v>
      </c>
      <c r="F2600" s="23" t="s">
        <v>12410</v>
      </c>
      <c r="G2600" s="23" t="s">
        <v>75</v>
      </c>
      <c r="H2600" s="24">
        <v>349</v>
      </c>
      <c r="I2600" s="24">
        <v>0</v>
      </c>
      <c r="J2600" s="24">
        <v>0</v>
      </c>
      <c r="K2600" s="24">
        <v>349</v>
      </c>
      <c r="L2600" s="38">
        <v>46281</v>
      </c>
      <c r="M2600" s="23" t="s">
        <v>204</v>
      </c>
      <c r="N2600" s="23" t="str">
        <f>IF(COUNTIF($A$2:A2600,A2600)&gt;1,"DUP","OK")</f>
        <v>OK</v>
      </c>
      <c r="O2600" s="23" t="str">
        <f t="shared" si="121"/>
        <v>ORD26003728</v>
      </c>
      <c r="P2600" s="23" t="str">
        <f t="shared" si="122"/>
        <v>Sep</v>
      </c>
      <c r="Q2600" s="23" t="str">
        <f>IF(F2600="CAPTURE",IF(COUNTIF(orders!$A:$A,O2600)&gt;0,"Yes","NO ORDER"),"")</f>
        <v>Yes</v>
      </c>
    </row>
    <row r="2601" spans="1:17" ht="15" customHeight="1" x14ac:dyDescent="0.3">
      <c r="A2601" s="23" t="s">
        <v>15441</v>
      </c>
      <c r="B2601" s="23"/>
      <c r="C2601" s="23" t="s">
        <v>7958</v>
      </c>
      <c r="D2601" s="23" t="str">
        <f t="shared" si="120"/>
        <v>ORD26003735</v>
      </c>
      <c r="E2601" s="38">
        <v>46279</v>
      </c>
      <c r="F2601" s="23" t="s">
        <v>12410</v>
      </c>
      <c r="G2601" s="23" t="s">
        <v>75</v>
      </c>
      <c r="H2601" s="24">
        <v>6298</v>
      </c>
      <c r="I2601" s="24">
        <v>18.89</v>
      </c>
      <c r="J2601" s="24">
        <v>3.4</v>
      </c>
      <c r="K2601" s="24">
        <v>6275.71</v>
      </c>
      <c r="L2601" s="38">
        <v>46281</v>
      </c>
      <c r="M2601" s="23" t="s">
        <v>204</v>
      </c>
      <c r="N2601" s="23" t="str">
        <f>IF(COUNTIF($A$2:A2601,A2601)&gt;1,"DUP","OK")</f>
        <v>OK</v>
      </c>
      <c r="O2601" s="23" t="str">
        <f t="shared" si="121"/>
        <v>ORD26003735</v>
      </c>
      <c r="P2601" s="23" t="str">
        <f t="shared" si="122"/>
        <v>Sep</v>
      </c>
      <c r="Q2601" s="23" t="str">
        <f>IF(F2601="CAPTURE",IF(COUNTIF(orders!$A:$A,O2601)&gt;0,"Yes","NO ORDER"),"")</f>
        <v>Yes</v>
      </c>
    </row>
    <row r="2602" spans="1:17" ht="15" customHeight="1" x14ac:dyDescent="0.3">
      <c r="A2602" s="23" t="s">
        <v>15442</v>
      </c>
      <c r="B2602" s="23"/>
      <c r="C2602" s="23" t="s">
        <v>8076</v>
      </c>
      <c r="D2602" s="23" t="str">
        <f t="shared" si="120"/>
        <v>ORD26003794</v>
      </c>
      <c r="E2602" s="38">
        <v>46279</v>
      </c>
      <c r="F2602" s="23" t="s">
        <v>12410</v>
      </c>
      <c r="G2602" s="23" t="s">
        <v>75</v>
      </c>
      <c r="H2602" s="24">
        <v>3647</v>
      </c>
      <c r="I2602" s="24">
        <v>10.94</v>
      </c>
      <c r="J2602" s="24">
        <v>1.97</v>
      </c>
      <c r="K2602" s="24">
        <v>3634.09</v>
      </c>
      <c r="L2602" s="38">
        <v>46281</v>
      </c>
      <c r="M2602" s="23" t="s">
        <v>204</v>
      </c>
      <c r="N2602" s="23" t="str">
        <f>IF(COUNTIF($A$2:A2602,A2602)&gt;1,"DUP","OK")</f>
        <v>OK</v>
      </c>
      <c r="O2602" s="23" t="str">
        <f t="shared" si="121"/>
        <v>ORD26003794</v>
      </c>
      <c r="P2602" s="23" t="str">
        <f t="shared" si="122"/>
        <v>Sep</v>
      </c>
      <c r="Q2602" s="23" t="str">
        <f>IF(F2602="CAPTURE",IF(COUNTIF(orders!$A:$A,O2602)&gt;0,"Yes","NO ORDER"),"")</f>
        <v>Yes</v>
      </c>
    </row>
    <row r="2603" spans="1:17" ht="15" customHeight="1" x14ac:dyDescent="0.3">
      <c r="A2603" s="23" t="s">
        <v>15443</v>
      </c>
      <c r="B2603" s="23"/>
      <c r="C2603" s="23" t="s">
        <v>8289</v>
      </c>
      <c r="D2603" s="23" t="str">
        <f t="shared" si="120"/>
        <v>ORD26003901</v>
      </c>
      <c r="E2603" s="38">
        <v>46279</v>
      </c>
      <c r="F2603" s="23" t="s">
        <v>12410</v>
      </c>
      <c r="G2603" s="23" t="s">
        <v>75</v>
      </c>
      <c r="H2603" s="24">
        <v>1848</v>
      </c>
      <c r="I2603" s="24">
        <v>0</v>
      </c>
      <c r="J2603" s="24">
        <v>0</v>
      </c>
      <c r="K2603" s="24">
        <v>1848</v>
      </c>
      <c r="L2603" s="38">
        <v>46281</v>
      </c>
      <c r="M2603" s="23" t="s">
        <v>204</v>
      </c>
      <c r="N2603" s="23" t="str">
        <f>IF(COUNTIF($A$2:A2603,A2603)&gt;1,"DUP","OK")</f>
        <v>OK</v>
      </c>
      <c r="O2603" s="23" t="str">
        <f t="shared" si="121"/>
        <v>ORD26003901</v>
      </c>
      <c r="P2603" s="23" t="str">
        <f t="shared" si="122"/>
        <v>Sep</v>
      </c>
      <c r="Q2603" s="23" t="str">
        <f>IF(F2603="CAPTURE",IF(COUNTIF(orders!$A:$A,O2603)&gt;0,"Yes","NO ORDER"),"")</f>
        <v>Yes</v>
      </c>
    </row>
    <row r="2604" spans="1:17" ht="15" customHeight="1" x14ac:dyDescent="0.3">
      <c r="A2604" s="23" t="s">
        <v>15444</v>
      </c>
      <c r="B2604" s="23"/>
      <c r="C2604" s="23" t="s">
        <v>8291</v>
      </c>
      <c r="D2604" s="23" t="str">
        <f t="shared" si="120"/>
        <v>ORD26003902</v>
      </c>
      <c r="E2604" s="38">
        <v>46279</v>
      </c>
      <c r="F2604" s="23" t="s">
        <v>12410</v>
      </c>
      <c r="G2604" s="23" t="s">
        <v>75</v>
      </c>
      <c r="H2604" s="24">
        <v>299</v>
      </c>
      <c r="I2604" s="24">
        <v>0</v>
      </c>
      <c r="J2604" s="24">
        <v>0</v>
      </c>
      <c r="K2604" s="24">
        <v>299</v>
      </c>
      <c r="L2604" s="38">
        <v>46281</v>
      </c>
      <c r="M2604" s="23" t="s">
        <v>204</v>
      </c>
      <c r="N2604" s="23" t="str">
        <f>IF(COUNTIF($A$2:A2604,A2604)&gt;1,"DUP","OK")</f>
        <v>OK</v>
      </c>
      <c r="O2604" s="23" t="str">
        <f t="shared" si="121"/>
        <v>ORD26003902</v>
      </c>
      <c r="P2604" s="23" t="str">
        <f t="shared" si="122"/>
        <v>Sep</v>
      </c>
      <c r="Q2604" s="23" t="str">
        <f>IF(F2604="CAPTURE",IF(COUNTIF(orders!$A:$A,O2604)&gt;0,"Yes","NO ORDER"),"")</f>
        <v>Yes</v>
      </c>
    </row>
    <row r="2605" spans="1:17" ht="15" customHeight="1" x14ac:dyDescent="0.3">
      <c r="A2605" s="23" t="s">
        <v>15445</v>
      </c>
      <c r="B2605" s="23"/>
      <c r="C2605" s="23" t="s">
        <v>15446</v>
      </c>
      <c r="D2605" s="23" t="str">
        <f t="shared" si="120"/>
        <v>ORD26003905</v>
      </c>
      <c r="E2605" s="38">
        <v>46279</v>
      </c>
      <c r="F2605" s="23" t="s">
        <v>12410</v>
      </c>
      <c r="G2605" s="23" t="s">
        <v>79</v>
      </c>
      <c r="H2605" s="24">
        <v>1898</v>
      </c>
      <c r="I2605" s="24">
        <v>34.159999999999997</v>
      </c>
      <c r="J2605" s="24">
        <v>6.15</v>
      </c>
      <c r="K2605" s="24">
        <v>1857.69</v>
      </c>
      <c r="L2605" s="38">
        <v>46281</v>
      </c>
      <c r="M2605" s="23" t="s">
        <v>204</v>
      </c>
      <c r="N2605" s="23" t="str">
        <f>IF(COUNTIF($A$2:A2605,A2605)&gt;1,"DUP","OK")</f>
        <v>OK</v>
      </c>
      <c r="O2605" s="23" t="str">
        <f t="shared" si="121"/>
        <v>ORD26003905</v>
      </c>
      <c r="P2605" s="23" t="str">
        <f t="shared" si="122"/>
        <v>Sep</v>
      </c>
      <c r="Q2605" s="23" t="str">
        <f>IF(F2605="CAPTURE",IF(COUNTIF(orders!$A:$A,O2605)&gt;0,"Yes","NO ORDER"),"")</f>
        <v>Yes</v>
      </c>
    </row>
    <row r="2606" spans="1:17" ht="15" customHeight="1" x14ac:dyDescent="0.3">
      <c r="A2606" s="23" t="s">
        <v>15447</v>
      </c>
      <c r="B2606" s="23"/>
      <c r="C2606" s="23" t="s">
        <v>8402</v>
      </c>
      <c r="D2606" s="23" t="str">
        <f t="shared" si="120"/>
        <v>ORD26003958</v>
      </c>
      <c r="E2606" s="38">
        <v>46279</v>
      </c>
      <c r="F2606" s="23" t="s">
        <v>12410</v>
      </c>
      <c r="G2606" s="23" t="s">
        <v>75</v>
      </c>
      <c r="H2606" s="24">
        <v>1299</v>
      </c>
      <c r="I2606" s="24">
        <v>0</v>
      </c>
      <c r="J2606" s="24">
        <v>0</v>
      </c>
      <c r="K2606" s="24">
        <v>1299</v>
      </c>
      <c r="L2606" s="38">
        <v>46281</v>
      </c>
      <c r="M2606" s="23" t="s">
        <v>204</v>
      </c>
      <c r="N2606" s="23" t="str">
        <f>IF(COUNTIF($A$2:A2606,A2606)&gt;1,"DUP","OK")</f>
        <v>OK</v>
      </c>
      <c r="O2606" s="23" t="str">
        <f t="shared" si="121"/>
        <v>ORD26003958</v>
      </c>
      <c r="P2606" s="23" t="str">
        <f t="shared" si="122"/>
        <v>Sep</v>
      </c>
      <c r="Q2606" s="23" t="str">
        <f>IF(F2606="CAPTURE",IF(COUNTIF(orders!$A:$A,O2606)&gt;0,"Yes","NO ORDER"),"")</f>
        <v>Yes</v>
      </c>
    </row>
    <row r="2607" spans="1:17" ht="15" customHeight="1" x14ac:dyDescent="0.3">
      <c r="A2607" s="23" t="s">
        <v>15448</v>
      </c>
      <c r="B2607" s="23"/>
      <c r="C2607" s="23" t="s">
        <v>8421</v>
      </c>
      <c r="D2607" s="23" t="str">
        <f t="shared" si="120"/>
        <v>ORD26003967</v>
      </c>
      <c r="E2607" s="38">
        <v>46279</v>
      </c>
      <c r="F2607" s="23" t="s">
        <v>12410</v>
      </c>
      <c r="G2607" s="23" t="s">
        <v>81</v>
      </c>
      <c r="H2607" s="24">
        <v>999</v>
      </c>
      <c r="I2607" s="24">
        <v>14.99</v>
      </c>
      <c r="J2607" s="24">
        <v>2.7</v>
      </c>
      <c r="K2607" s="24">
        <v>981.31</v>
      </c>
      <c r="L2607" s="38">
        <v>46281</v>
      </c>
      <c r="M2607" s="23" t="s">
        <v>204</v>
      </c>
      <c r="N2607" s="23" t="str">
        <f>IF(COUNTIF($A$2:A2607,A2607)&gt;1,"DUP","OK")</f>
        <v>OK</v>
      </c>
      <c r="O2607" s="23" t="str">
        <f t="shared" si="121"/>
        <v>ORD26003967</v>
      </c>
      <c r="P2607" s="23" t="str">
        <f t="shared" si="122"/>
        <v>Sep</v>
      </c>
      <c r="Q2607" s="23" t="str">
        <f>IF(F2607="CAPTURE",IF(COUNTIF(orders!$A:$A,O2607)&gt;0,"Yes","NO ORDER"),"")</f>
        <v>Yes</v>
      </c>
    </row>
    <row r="2608" spans="1:17" ht="15" customHeight="1" x14ac:dyDescent="0.3">
      <c r="A2608" s="23" t="s">
        <v>15449</v>
      </c>
      <c r="B2608" s="23"/>
      <c r="C2608" s="23" t="s">
        <v>8423</v>
      </c>
      <c r="D2608" s="23" t="str">
        <f t="shared" si="120"/>
        <v>ORD26003968</v>
      </c>
      <c r="E2608" s="38">
        <v>46279</v>
      </c>
      <c r="F2608" s="23" t="s">
        <v>12410</v>
      </c>
      <c r="G2608" s="23" t="s">
        <v>77</v>
      </c>
      <c r="H2608" s="24">
        <v>6797</v>
      </c>
      <c r="I2608" s="24">
        <v>163.13</v>
      </c>
      <c r="J2608" s="24">
        <v>29.36</v>
      </c>
      <c r="K2608" s="24">
        <v>6604.51</v>
      </c>
      <c r="L2608" s="38">
        <v>46281</v>
      </c>
      <c r="M2608" s="23" t="s">
        <v>204</v>
      </c>
      <c r="N2608" s="23" t="str">
        <f>IF(COUNTIF($A$2:A2608,A2608)&gt;1,"DUP","OK")</f>
        <v>OK</v>
      </c>
      <c r="O2608" s="23" t="str">
        <f t="shared" si="121"/>
        <v>ORD26003968</v>
      </c>
      <c r="P2608" s="23" t="str">
        <f t="shared" si="122"/>
        <v>Sep</v>
      </c>
      <c r="Q2608" s="23" t="str">
        <f>IF(F2608="CAPTURE",IF(COUNTIF(orders!$A:$A,O2608)&gt;0,"Yes","NO ORDER"),"")</f>
        <v>Yes</v>
      </c>
    </row>
    <row r="2609" spans="1:17" ht="15" customHeight="1" x14ac:dyDescent="0.3">
      <c r="A2609" s="23" t="s">
        <v>15450</v>
      </c>
      <c r="B2609" s="23"/>
      <c r="C2609" s="23" t="s">
        <v>8473</v>
      </c>
      <c r="D2609" s="23" t="str">
        <f t="shared" si="120"/>
        <v>ORD26003993</v>
      </c>
      <c r="E2609" s="38">
        <v>46279</v>
      </c>
      <c r="F2609" s="23" t="s">
        <v>12410</v>
      </c>
      <c r="G2609" s="23" t="s">
        <v>75</v>
      </c>
      <c r="H2609" s="24">
        <v>9798</v>
      </c>
      <c r="I2609" s="24">
        <v>29.39</v>
      </c>
      <c r="J2609" s="24">
        <v>5.29</v>
      </c>
      <c r="K2609" s="24">
        <v>9763.32</v>
      </c>
      <c r="L2609" s="38">
        <v>46281</v>
      </c>
      <c r="M2609" s="23" t="s">
        <v>204</v>
      </c>
      <c r="N2609" s="23" t="str">
        <f>IF(COUNTIF($A$2:A2609,A2609)&gt;1,"DUP","OK")</f>
        <v>OK</v>
      </c>
      <c r="O2609" s="23" t="str">
        <f t="shared" si="121"/>
        <v>ORD26003993</v>
      </c>
      <c r="P2609" s="23" t="str">
        <f t="shared" si="122"/>
        <v>Sep</v>
      </c>
      <c r="Q2609" s="23" t="str">
        <f>IF(F2609="CAPTURE",IF(COUNTIF(orders!$A:$A,O2609)&gt;0,"Yes","NO ORDER"),"")</f>
        <v>Yes</v>
      </c>
    </row>
    <row r="2610" spans="1:17" ht="15" customHeight="1" x14ac:dyDescent="0.3">
      <c r="A2610" s="23" t="s">
        <v>15451</v>
      </c>
      <c r="B2610" s="23"/>
      <c r="C2610" s="23" t="s">
        <v>8584</v>
      </c>
      <c r="D2610" s="23" t="str">
        <f t="shared" si="120"/>
        <v>ORD26004050</v>
      </c>
      <c r="E2610" s="38">
        <v>46279</v>
      </c>
      <c r="F2610" s="23" t="s">
        <v>12410</v>
      </c>
      <c r="G2610" s="23" t="s">
        <v>75</v>
      </c>
      <c r="H2610" s="24">
        <v>3998</v>
      </c>
      <c r="I2610" s="24">
        <v>11.99</v>
      </c>
      <c r="J2610" s="24">
        <v>2.16</v>
      </c>
      <c r="K2610" s="24">
        <v>3983.85</v>
      </c>
      <c r="L2610" s="38">
        <v>46281</v>
      </c>
      <c r="M2610" s="23" t="s">
        <v>204</v>
      </c>
      <c r="N2610" s="23" t="str">
        <f>IF(COUNTIF($A$2:A2610,A2610)&gt;1,"DUP","OK")</f>
        <v>OK</v>
      </c>
      <c r="O2610" s="23" t="str">
        <f t="shared" si="121"/>
        <v>ORD26004050</v>
      </c>
      <c r="P2610" s="23" t="str">
        <f t="shared" si="122"/>
        <v>Sep</v>
      </c>
      <c r="Q2610" s="23" t="str">
        <f>IF(F2610="CAPTURE",IF(COUNTIF(orders!$A:$A,O2610)&gt;0,"Yes","NO ORDER"),"")</f>
        <v>Yes</v>
      </c>
    </row>
    <row r="2611" spans="1:17" ht="15" customHeight="1" x14ac:dyDescent="0.3">
      <c r="A2611" s="23" t="s">
        <v>15452</v>
      </c>
      <c r="B2611" s="23"/>
      <c r="C2611" s="23" t="s">
        <v>8640</v>
      </c>
      <c r="D2611" s="23" t="str">
        <f t="shared" si="120"/>
        <v>ORD26004079</v>
      </c>
      <c r="E2611" s="38">
        <v>46279</v>
      </c>
      <c r="F2611" s="23" t="s">
        <v>12410</v>
      </c>
      <c r="G2611" s="23" t="s">
        <v>75</v>
      </c>
      <c r="H2611" s="24">
        <v>2499</v>
      </c>
      <c r="I2611" s="24">
        <v>7.5</v>
      </c>
      <c r="J2611" s="24">
        <v>1.35</v>
      </c>
      <c r="K2611" s="24">
        <v>2490.15</v>
      </c>
      <c r="L2611" s="38">
        <v>46281</v>
      </c>
      <c r="M2611" s="23" t="s">
        <v>204</v>
      </c>
      <c r="N2611" s="23" t="str">
        <f>IF(COUNTIF($A$2:A2611,A2611)&gt;1,"DUP","OK")</f>
        <v>OK</v>
      </c>
      <c r="O2611" s="23" t="str">
        <f t="shared" si="121"/>
        <v>ORD26004079</v>
      </c>
      <c r="P2611" s="23" t="str">
        <f t="shared" si="122"/>
        <v>Sep</v>
      </c>
      <c r="Q2611" s="23" t="str">
        <f>IF(F2611="CAPTURE",IF(COUNTIF(orders!$A:$A,O2611)&gt;0,"Yes","NO ORDER"),"")</f>
        <v>Yes</v>
      </c>
    </row>
    <row r="2612" spans="1:17" ht="15" customHeight="1" x14ac:dyDescent="0.3">
      <c r="A2612" s="23" t="s">
        <v>15453</v>
      </c>
      <c r="B2612" s="23"/>
      <c r="C2612" s="23" t="s">
        <v>8694</v>
      </c>
      <c r="D2612" s="23" t="str">
        <f t="shared" si="120"/>
        <v>ORD26004107</v>
      </c>
      <c r="E2612" s="38">
        <v>46279</v>
      </c>
      <c r="F2612" s="23" t="s">
        <v>12410</v>
      </c>
      <c r="G2612" s="23" t="s">
        <v>77</v>
      </c>
      <c r="H2612" s="24">
        <v>5498</v>
      </c>
      <c r="I2612" s="24">
        <v>93.47</v>
      </c>
      <c r="J2612" s="24">
        <v>16.82</v>
      </c>
      <c r="K2612" s="24">
        <v>5387.71</v>
      </c>
      <c r="L2612" s="38">
        <v>46281</v>
      </c>
      <c r="M2612" s="23" t="s">
        <v>204</v>
      </c>
      <c r="N2612" s="23" t="str">
        <f>IF(COUNTIF($A$2:A2612,A2612)&gt;1,"DUP","OK")</f>
        <v>OK</v>
      </c>
      <c r="O2612" s="23" t="str">
        <f t="shared" si="121"/>
        <v>ORD26004107</v>
      </c>
      <c r="P2612" s="23" t="str">
        <f t="shared" si="122"/>
        <v>Sep</v>
      </c>
      <c r="Q2612" s="23" t="str">
        <f>IF(F2612="CAPTURE",IF(COUNTIF(orders!$A:$A,O2612)&gt;0,"Yes","NO ORDER"),"")</f>
        <v>Yes</v>
      </c>
    </row>
    <row r="2613" spans="1:17" ht="15" customHeight="1" x14ac:dyDescent="0.3">
      <c r="A2613" s="23" t="s">
        <v>15454</v>
      </c>
      <c r="B2613" s="23"/>
      <c r="C2613" s="23" t="s">
        <v>8744</v>
      </c>
      <c r="D2613" s="23" t="str">
        <f t="shared" si="120"/>
        <v>ORD26004132</v>
      </c>
      <c r="E2613" s="38">
        <v>46279</v>
      </c>
      <c r="F2613" s="23" t="s">
        <v>12410</v>
      </c>
      <c r="G2613" s="23" t="s">
        <v>75</v>
      </c>
      <c r="H2613" s="24">
        <v>3998</v>
      </c>
      <c r="I2613" s="24">
        <v>11.99</v>
      </c>
      <c r="J2613" s="24">
        <v>2.16</v>
      </c>
      <c r="K2613" s="24">
        <v>3983.85</v>
      </c>
      <c r="L2613" s="38">
        <v>46281</v>
      </c>
      <c r="M2613" s="23" t="s">
        <v>204</v>
      </c>
      <c r="N2613" s="23" t="str">
        <f>IF(COUNTIF($A$2:A2613,A2613)&gt;1,"DUP","OK")</f>
        <v>OK</v>
      </c>
      <c r="O2613" s="23" t="str">
        <f t="shared" si="121"/>
        <v>ORD26004132</v>
      </c>
      <c r="P2613" s="23" t="str">
        <f t="shared" si="122"/>
        <v>Sep</v>
      </c>
      <c r="Q2613" s="23" t="str">
        <f>IF(F2613="CAPTURE",IF(COUNTIF(orders!$A:$A,O2613)&gt;0,"Yes","NO ORDER"),"")</f>
        <v>Yes</v>
      </c>
    </row>
    <row r="2614" spans="1:17" ht="15" customHeight="1" x14ac:dyDescent="0.3">
      <c r="A2614" s="23" t="s">
        <v>15455</v>
      </c>
      <c r="B2614" s="23"/>
      <c r="C2614" s="23" t="s">
        <v>8784</v>
      </c>
      <c r="D2614" s="23" t="str">
        <f t="shared" si="120"/>
        <v>ORD26004153</v>
      </c>
      <c r="E2614" s="38">
        <v>46279</v>
      </c>
      <c r="F2614" s="23" t="s">
        <v>12410</v>
      </c>
      <c r="G2614" s="23" t="s">
        <v>75</v>
      </c>
      <c r="H2614" s="24">
        <v>4999</v>
      </c>
      <c r="I2614" s="24">
        <v>15</v>
      </c>
      <c r="J2614" s="24">
        <v>2.7</v>
      </c>
      <c r="K2614" s="24">
        <v>4981.3</v>
      </c>
      <c r="L2614" s="38">
        <v>46281</v>
      </c>
      <c r="M2614" s="23" t="s">
        <v>204</v>
      </c>
      <c r="N2614" s="23" t="str">
        <f>IF(COUNTIF($A$2:A2614,A2614)&gt;1,"DUP","OK")</f>
        <v>OK</v>
      </c>
      <c r="O2614" s="23" t="str">
        <f t="shared" si="121"/>
        <v>ORD26004153</v>
      </c>
      <c r="P2614" s="23" t="str">
        <f t="shared" si="122"/>
        <v>Sep</v>
      </c>
      <c r="Q2614" s="23" t="str">
        <f>IF(F2614="CAPTURE",IF(COUNTIF(orders!$A:$A,O2614)&gt;0,"Yes","NO ORDER"),"")</f>
        <v>Yes</v>
      </c>
    </row>
    <row r="2615" spans="1:17" ht="15" customHeight="1" x14ac:dyDescent="0.3">
      <c r="A2615" s="23" t="s">
        <v>15456</v>
      </c>
      <c r="B2615" s="23"/>
      <c r="C2615" s="23" t="s">
        <v>8801</v>
      </c>
      <c r="D2615" s="23" t="str">
        <f t="shared" si="120"/>
        <v>ORD26004162</v>
      </c>
      <c r="E2615" s="38">
        <v>46279</v>
      </c>
      <c r="F2615" s="23" t="s">
        <v>12410</v>
      </c>
      <c r="G2615" s="23" t="s">
        <v>75</v>
      </c>
      <c r="H2615" s="24">
        <v>499</v>
      </c>
      <c r="I2615" s="24">
        <v>0</v>
      </c>
      <c r="J2615" s="24">
        <v>0</v>
      </c>
      <c r="K2615" s="24">
        <v>499</v>
      </c>
      <c r="L2615" s="38">
        <v>46281</v>
      </c>
      <c r="M2615" s="23" t="s">
        <v>204</v>
      </c>
      <c r="N2615" s="23" t="str">
        <f>IF(COUNTIF($A$2:A2615,A2615)&gt;1,"DUP","OK")</f>
        <v>OK</v>
      </c>
      <c r="O2615" s="23" t="str">
        <f t="shared" si="121"/>
        <v>ORD26004162</v>
      </c>
      <c r="P2615" s="23" t="str">
        <f t="shared" si="122"/>
        <v>Sep</v>
      </c>
      <c r="Q2615" s="23" t="str">
        <f>IF(F2615="CAPTURE",IF(COUNTIF(orders!$A:$A,O2615)&gt;0,"Yes","NO ORDER"),"")</f>
        <v>Yes</v>
      </c>
    </row>
    <row r="2616" spans="1:17" ht="15" customHeight="1" x14ac:dyDescent="0.3">
      <c r="A2616" s="23" t="s">
        <v>15457</v>
      </c>
      <c r="B2616" s="23"/>
      <c r="C2616" s="23" t="s">
        <v>15458</v>
      </c>
      <c r="D2616" s="23" t="str">
        <f t="shared" si="120"/>
        <v>ORD26004185</v>
      </c>
      <c r="E2616" s="38">
        <v>46279</v>
      </c>
      <c r="F2616" s="23" t="s">
        <v>12410</v>
      </c>
      <c r="G2616" s="23" t="s">
        <v>77</v>
      </c>
      <c r="H2616" s="24">
        <v>1299</v>
      </c>
      <c r="I2616" s="24">
        <v>24.68</v>
      </c>
      <c r="J2616" s="24">
        <v>4.4400000000000004</v>
      </c>
      <c r="K2616" s="24">
        <v>1269.8800000000001</v>
      </c>
      <c r="L2616" s="38">
        <v>46281</v>
      </c>
      <c r="M2616" s="23" t="s">
        <v>204</v>
      </c>
      <c r="N2616" s="23" t="str">
        <f>IF(COUNTIF($A$2:A2616,A2616)&gt;1,"DUP","OK")</f>
        <v>OK</v>
      </c>
      <c r="O2616" s="23" t="str">
        <f t="shared" si="121"/>
        <v>ORD26004185</v>
      </c>
      <c r="P2616" s="23" t="str">
        <f t="shared" si="122"/>
        <v>Sep</v>
      </c>
      <c r="Q2616" s="23" t="str">
        <f>IF(F2616="CAPTURE",IF(COUNTIF(orders!$A:$A,O2616)&gt;0,"Yes","NO ORDER"),"")</f>
        <v>Yes</v>
      </c>
    </row>
    <row r="2617" spans="1:17" ht="15" customHeight="1" x14ac:dyDescent="0.3">
      <c r="A2617" s="23" t="s">
        <v>15459</v>
      </c>
      <c r="B2617" s="23"/>
      <c r="C2617" s="23" t="s">
        <v>8908</v>
      </c>
      <c r="D2617" s="23" t="str">
        <f t="shared" si="120"/>
        <v>ORD26004216</v>
      </c>
      <c r="E2617" s="38">
        <v>46279</v>
      </c>
      <c r="F2617" s="23" t="s">
        <v>12410</v>
      </c>
      <c r="G2617" s="23" t="s">
        <v>75</v>
      </c>
      <c r="H2617" s="24">
        <v>8798</v>
      </c>
      <c r="I2617" s="24">
        <v>26.39</v>
      </c>
      <c r="J2617" s="24">
        <v>4.75</v>
      </c>
      <c r="K2617" s="24">
        <v>8766.86</v>
      </c>
      <c r="L2617" s="38">
        <v>46281</v>
      </c>
      <c r="M2617" s="23" t="s">
        <v>204</v>
      </c>
      <c r="N2617" s="23" t="str">
        <f>IF(COUNTIF($A$2:A2617,A2617)&gt;1,"DUP","OK")</f>
        <v>OK</v>
      </c>
      <c r="O2617" s="23" t="str">
        <f t="shared" si="121"/>
        <v>ORD26004216</v>
      </c>
      <c r="P2617" s="23" t="str">
        <f t="shared" si="122"/>
        <v>Sep</v>
      </c>
      <c r="Q2617" s="23" t="str">
        <f>IF(F2617="CAPTURE",IF(COUNTIF(orders!$A:$A,O2617)&gt;0,"Yes","NO ORDER"),"")</f>
        <v>Yes</v>
      </c>
    </row>
    <row r="2618" spans="1:17" ht="15" customHeight="1" x14ac:dyDescent="0.3">
      <c r="A2618" s="23" t="s">
        <v>15460</v>
      </c>
      <c r="B2618" s="23"/>
      <c r="C2618" s="23" t="s">
        <v>8953</v>
      </c>
      <c r="D2618" s="23" t="str">
        <f t="shared" si="120"/>
        <v>ORD26004239</v>
      </c>
      <c r="E2618" s="38">
        <v>46279</v>
      </c>
      <c r="F2618" s="23" t="s">
        <v>12410</v>
      </c>
      <c r="G2618" s="23" t="s">
        <v>75</v>
      </c>
      <c r="H2618" s="24">
        <v>1198</v>
      </c>
      <c r="I2618" s="24">
        <v>0</v>
      </c>
      <c r="J2618" s="24">
        <v>0</v>
      </c>
      <c r="K2618" s="24">
        <v>1198</v>
      </c>
      <c r="L2618" s="38">
        <v>46281</v>
      </c>
      <c r="M2618" s="23" t="s">
        <v>204</v>
      </c>
      <c r="N2618" s="23" t="str">
        <f>IF(COUNTIF($A$2:A2618,A2618)&gt;1,"DUP","OK")</f>
        <v>OK</v>
      </c>
      <c r="O2618" s="23" t="str">
        <f t="shared" si="121"/>
        <v>ORD26004239</v>
      </c>
      <c r="P2618" s="23" t="str">
        <f t="shared" si="122"/>
        <v>Sep</v>
      </c>
      <c r="Q2618" s="23" t="str">
        <f>IF(F2618="CAPTURE",IF(COUNTIF(orders!$A:$A,O2618)&gt;0,"Yes","NO ORDER"),"")</f>
        <v>Yes</v>
      </c>
    </row>
    <row r="2619" spans="1:17" ht="15" customHeight="1" x14ac:dyDescent="0.3">
      <c r="A2619" s="23" t="s">
        <v>15461</v>
      </c>
      <c r="B2619" s="23"/>
      <c r="C2619" s="23" t="s">
        <v>9102</v>
      </c>
      <c r="D2619" s="23" t="str">
        <f t="shared" si="120"/>
        <v>ORD26004313</v>
      </c>
      <c r="E2619" s="38">
        <v>46279</v>
      </c>
      <c r="F2619" s="23" t="s">
        <v>12410</v>
      </c>
      <c r="G2619" s="23" t="s">
        <v>75</v>
      </c>
      <c r="H2619" s="24">
        <v>3298</v>
      </c>
      <c r="I2619" s="24">
        <v>9.89</v>
      </c>
      <c r="J2619" s="24">
        <v>1.78</v>
      </c>
      <c r="K2619" s="24">
        <v>3286.33</v>
      </c>
      <c r="L2619" s="38">
        <v>46281</v>
      </c>
      <c r="M2619" s="23" t="s">
        <v>204</v>
      </c>
      <c r="N2619" s="23" t="str">
        <f>IF(COUNTIF($A$2:A2619,A2619)&gt;1,"DUP","OK")</f>
        <v>OK</v>
      </c>
      <c r="O2619" s="23" t="str">
        <f t="shared" si="121"/>
        <v>ORD26004313</v>
      </c>
      <c r="P2619" s="23" t="str">
        <f t="shared" si="122"/>
        <v>Sep</v>
      </c>
      <c r="Q2619" s="23" t="str">
        <f>IF(F2619="CAPTURE",IF(COUNTIF(orders!$A:$A,O2619)&gt;0,"Yes","NO ORDER"),"")</f>
        <v>Yes</v>
      </c>
    </row>
    <row r="2620" spans="1:17" ht="15" customHeight="1" x14ac:dyDescent="0.3">
      <c r="A2620" s="23" t="s">
        <v>15462</v>
      </c>
      <c r="B2620" s="23"/>
      <c r="C2620" s="23" t="s">
        <v>9181</v>
      </c>
      <c r="D2620" s="23" t="str">
        <f t="shared" si="120"/>
        <v>ORD26004352</v>
      </c>
      <c r="E2620" s="38">
        <v>46279</v>
      </c>
      <c r="F2620" s="23" t="s">
        <v>12410</v>
      </c>
      <c r="G2620" s="23" t="s">
        <v>81</v>
      </c>
      <c r="H2620" s="24">
        <v>2499</v>
      </c>
      <c r="I2620" s="24">
        <v>29.99</v>
      </c>
      <c r="J2620" s="24">
        <v>5.4</v>
      </c>
      <c r="K2620" s="24">
        <v>2463.61</v>
      </c>
      <c r="L2620" s="38">
        <v>46281</v>
      </c>
      <c r="M2620" s="23" t="s">
        <v>204</v>
      </c>
      <c r="N2620" s="23" t="str">
        <f>IF(COUNTIF($A$2:A2620,A2620)&gt;1,"DUP","OK")</f>
        <v>OK</v>
      </c>
      <c r="O2620" s="23" t="str">
        <f t="shared" si="121"/>
        <v>ORD26004352</v>
      </c>
      <c r="P2620" s="23" t="str">
        <f t="shared" si="122"/>
        <v>Sep</v>
      </c>
      <c r="Q2620" s="23" t="str">
        <f>IF(F2620="CAPTURE",IF(COUNTIF(orders!$A:$A,O2620)&gt;0,"Yes","NO ORDER"),"")</f>
        <v>Yes</v>
      </c>
    </row>
    <row r="2621" spans="1:17" ht="15" customHeight="1" x14ac:dyDescent="0.3">
      <c r="A2621" s="23" t="s">
        <v>15463</v>
      </c>
      <c r="B2621" s="23"/>
      <c r="C2621" s="23" t="s">
        <v>9187</v>
      </c>
      <c r="D2621" s="23" t="str">
        <f t="shared" si="120"/>
        <v>ORD26004355</v>
      </c>
      <c r="E2621" s="38">
        <v>46279</v>
      </c>
      <c r="F2621" s="23" t="s">
        <v>12410</v>
      </c>
      <c r="G2621" s="23" t="s">
        <v>75</v>
      </c>
      <c r="H2621" s="24">
        <v>5797</v>
      </c>
      <c r="I2621" s="24">
        <v>17.39</v>
      </c>
      <c r="J2621" s="24">
        <v>3.13</v>
      </c>
      <c r="K2621" s="24">
        <v>5776.48</v>
      </c>
      <c r="L2621" s="38">
        <v>46281</v>
      </c>
      <c r="M2621" s="23" t="s">
        <v>204</v>
      </c>
      <c r="N2621" s="23" t="str">
        <f>IF(COUNTIF($A$2:A2621,A2621)&gt;1,"DUP","OK")</f>
        <v>OK</v>
      </c>
      <c r="O2621" s="23" t="str">
        <f t="shared" si="121"/>
        <v>ORD26004355</v>
      </c>
      <c r="P2621" s="23" t="str">
        <f t="shared" si="122"/>
        <v>Sep</v>
      </c>
      <c r="Q2621" s="23" t="str">
        <f>IF(F2621="CAPTURE",IF(COUNTIF(orders!$A:$A,O2621)&gt;0,"Yes","NO ORDER"),"")</f>
        <v>Yes</v>
      </c>
    </row>
    <row r="2622" spans="1:17" ht="15" customHeight="1" x14ac:dyDescent="0.3">
      <c r="A2622" s="23" t="s">
        <v>15464</v>
      </c>
      <c r="B2622" s="23"/>
      <c r="C2622" s="23" t="s">
        <v>15465</v>
      </c>
      <c r="D2622" s="23" t="str">
        <f t="shared" si="120"/>
        <v>ORD26004382</v>
      </c>
      <c r="E2622" s="38">
        <v>46279</v>
      </c>
      <c r="F2622" s="23" t="s">
        <v>12410</v>
      </c>
      <c r="G2622" s="23" t="s">
        <v>75</v>
      </c>
      <c r="H2622" s="24">
        <v>6797</v>
      </c>
      <c r="I2622" s="24">
        <v>20.39</v>
      </c>
      <c r="J2622" s="24">
        <v>3.67</v>
      </c>
      <c r="K2622" s="24">
        <v>6772.94</v>
      </c>
      <c r="L2622" s="38">
        <v>46281</v>
      </c>
      <c r="M2622" s="23" t="s">
        <v>204</v>
      </c>
      <c r="N2622" s="23" t="str">
        <f>IF(COUNTIF($A$2:A2622,A2622)&gt;1,"DUP","OK")</f>
        <v>OK</v>
      </c>
      <c r="O2622" s="23" t="str">
        <f t="shared" si="121"/>
        <v>ORD26004382</v>
      </c>
      <c r="P2622" s="23" t="str">
        <f t="shared" si="122"/>
        <v>Sep</v>
      </c>
      <c r="Q2622" s="23" t="str">
        <f>IF(F2622="CAPTURE",IF(COUNTIF(orders!$A:$A,O2622)&gt;0,"Yes","NO ORDER"),"")</f>
        <v>Yes</v>
      </c>
    </row>
    <row r="2623" spans="1:17" ht="15" customHeight="1" x14ac:dyDescent="0.3">
      <c r="A2623" s="23" t="s">
        <v>15466</v>
      </c>
      <c r="B2623" s="23"/>
      <c r="C2623" s="23" t="s">
        <v>9300</v>
      </c>
      <c r="D2623" s="23" t="str">
        <f t="shared" si="120"/>
        <v>ORD26004413</v>
      </c>
      <c r="E2623" s="38">
        <v>46279</v>
      </c>
      <c r="F2623" s="23" t="s">
        <v>12410</v>
      </c>
      <c r="G2623" s="23" t="s">
        <v>75</v>
      </c>
      <c r="H2623" s="24">
        <v>799</v>
      </c>
      <c r="I2623" s="24">
        <v>0</v>
      </c>
      <c r="J2623" s="24">
        <v>0</v>
      </c>
      <c r="K2623" s="24">
        <v>799</v>
      </c>
      <c r="L2623" s="38">
        <v>46281</v>
      </c>
      <c r="M2623" s="23" t="s">
        <v>204</v>
      </c>
      <c r="N2623" s="23" t="str">
        <f>IF(COUNTIF($A$2:A2623,A2623)&gt;1,"DUP","OK")</f>
        <v>OK</v>
      </c>
      <c r="O2623" s="23" t="str">
        <f t="shared" si="121"/>
        <v>ORD26004413</v>
      </c>
      <c r="P2623" s="23" t="str">
        <f t="shared" si="122"/>
        <v>Sep</v>
      </c>
      <c r="Q2623" s="23" t="str">
        <f>IF(F2623="CAPTURE",IF(COUNTIF(orders!$A:$A,O2623)&gt;0,"Yes","NO ORDER"),"")</f>
        <v>Yes</v>
      </c>
    </row>
    <row r="2624" spans="1:17" ht="15" customHeight="1" x14ac:dyDescent="0.3">
      <c r="A2624" s="23" t="s">
        <v>15467</v>
      </c>
      <c r="B2624" s="23"/>
      <c r="C2624" s="23" t="s">
        <v>15468</v>
      </c>
      <c r="D2624" s="23" t="str">
        <f t="shared" si="120"/>
        <v>ORD26004464</v>
      </c>
      <c r="E2624" s="38">
        <v>46279</v>
      </c>
      <c r="F2624" s="23" t="s">
        <v>12410</v>
      </c>
      <c r="G2624" s="23" t="s">
        <v>75</v>
      </c>
      <c r="H2624" s="24">
        <v>7999</v>
      </c>
      <c r="I2624" s="24">
        <v>24</v>
      </c>
      <c r="J2624" s="24">
        <v>4.32</v>
      </c>
      <c r="K2624" s="24">
        <v>7970.68</v>
      </c>
      <c r="L2624" s="38">
        <v>46281</v>
      </c>
      <c r="M2624" s="23" t="s">
        <v>204</v>
      </c>
      <c r="N2624" s="23" t="str">
        <f>IF(COUNTIF($A$2:A2624,A2624)&gt;1,"DUP","OK")</f>
        <v>OK</v>
      </c>
      <c r="O2624" s="23" t="str">
        <f t="shared" si="121"/>
        <v>ORD26004464</v>
      </c>
      <c r="P2624" s="23" t="str">
        <f t="shared" si="122"/>
        <v>Sep</v>
      </c>
      <c r="Q2624" s="23" t="str">
        <f>IF(F2624="CAPTURE",IF(COUNTIF(orders!$A:$A,O2624)&gt;0,"Yes","NO ORDER"),"")</f>
        <v>Yes</v>
      </c>
    </row>
    <row r="2625" spans="1:17" ht="15" customHeight="1" x14ac:dyDescent="0.3">
      <c r="A2625" s="23" t="s">
        <v>15469</v>
      </c>
      <c r="B2625" s="23"/>
      <c r="C2625" s="23" t="s">
        <v>9473</v>
      </c>
      <c r="D2625" s="23" t="str">
        <f t="shared" si="120"/>
        <v>ORD26004500</v>
      </c>
      <c r="E2625" s="38">
        <v>46279</v>
      </c>
      <c r="F2625" s="23" t="s">
        <v>12410</v>
      </c>
      <c r="G2625" s="23" t="s">
        <v>81</v>
      </c>
      <c r="H2625" s="24">
        <v>4147</v>
      </c>
      <c r="I2625" s="24">
        <v>49.76</v>
      </c>
      <c r="J2625" s="24">
        <v>8.9600000000000009</v>
      </c>
      <c r="K2625" s="24">
        <v>4088.28</v>
      </c>
      <c r="L2625" s="38">
        <v>46281</v>
      </c>
      <c r="M2625" s="23" t="s">
        <v>204</v>
      </c>
      <c r="N2625" s="23" t="str">
        <f>IF(COUNTIF($A$2:A2625,A2625)&gt;1,"DUP","OK")</f>
        <v>OK</v>
      </c>
      <c r="O2625" s="23" t="str">
        <f t="shared" si="121"/>
        <v>ORD26004500</v>
      </c>
      <c r="P2625" s="23" t="str">
        <f t="shared" si="122"/>
        <v>Sep</v>
      </c>
      <c r="Q2625" s="23" t="str">
        <f>IF(F2625="CAPTURE",IF(COUNTIF(orders!$A:$A,O2625)&gt;0,"Yes","NO ORDER"),"")</f>
        <v>Yes</v>
      </c>
    </row>
    <row r="2626" spans="1:17" ht="15" customHeight="1" x14ac:dyDescent="0.3">
      <c r="A2626" s="23" t="s">
        <v>15470</v>
      </c>
      <c r="B2626" s="23"/>
      <c r="C2626" s="23" t="s">
        <v>9479</v>
      </c>
      <c r="D2626" s="23" t="str">
        <f t="shared" ref="D2626:D2689" si="123">UPPER(SUBSTITUTE(TRIM(C2626),"-",""))</f>
        <v>ORD26004503</v>
      </c>
      <c r="E2626" s="38">
        <v>46279</v>
      </c>
      <c r="F2626" s="23" t="s">
        <v>12410</v>
      </c>
      <c r="G2626" s="23" t="s">
        <v>75</v>
      </c>
      <c r="H2626" s="24">
        <v>2847</v>
      </c>
      <c r="I2626" s="24">
        <v>8.5399999999999991</v>
      </c>
      <c r="J2626" s="24">
        <v>1.54</v>
      </c>
      <c r="K2626" s="24">
        <v>2836.92</v>
      </c>
      <c r="L2626" s="38">
        <v>46281</v>
      </c>
      <c r="M2626" s="23" t="s">
        <v>204</v>
      </c>
      <c r="N2626" s="23" t="str">
        <f>IF(COUNTIF($A$2:A2626,A2626)&gt;1,"DUP","OK")</f>
        <v>OK</v>
      </c>
      <c r="O2626" s="23" t="str">
        <f t="shared" ref="O2626:O2689" si="124">IF(F2626="REFUND",INDEX($D:$D,MATCH(B2626,$A:$A,0)),D2626)</f>
        <v>ORD26004503</v>
      </c>
      <c r="P2626" s="23" t="str">
        <f t="shared" ref="P2626:P2689" si="125">IF(L2626&gt;DATE(2026,9,30),"Oct-Due","Sep")</f>
        <v>Sep</v>
      </c>
      <c r="Q2626" s="23" t="str">
        <f>IF(F2626="CAPTURE",IF(COUNTIF(orders!$A:$A,O2626)&gt;0,"Yes","NO ORDER"),"")</f>
        <v>Yes</v>
      </c>
    </row>
    <row r="2627" spans="1:17" ht="15" customHeight="1" x14ac:dyDescent="0.3">
      <c r="A2627" s="23" t="s">
        <v>15471</v>
      </c>
      <c r="B2627" s="23"/>
      <c r="C2627" s="23" t="s">
        <v>15472</v>
      </c>
      <c r="D2627" s="23" t="str">
        <f t="shared" si="123"/>
        <v>ORD26004636</v>
      </c>
      <c r="E2627" s="38">
        <v>46279</v>
      </c>
      <c r="F2627" s="23" t="s">
        <v>12410</v>
      </c>
      <c r="G2627" s="23" t="s">
        <v>79</v>
      </c>
      <c r="H2627" s="24">
        <v>2499</v>
      </c>
      <c r="I2627" s="24">
        <v>39.979999999999997</v>
      </c>
      <c r="J2627" s="24">
        <v>7.2</v>
      </c>
      <c r="K2627" s="24">
        <v>2451.8200000000002</v>
      </c>
      <c r="L2627" s="38">
        <v>46281</v>
      </c>
      <c r="M2627" s="23" t="s">
        <v>204</v>
      </c>
      <c r="N2627" s="23" t="str">
        <f>IF(COUNTIF($A$2:A2627,A2627)&gt;1,"DUP","OK")</f>
        <v>OK</v>
      </c>
      <c r="O2627" s="23" t="str">
        <f t="shared" si="124"/>
        <v>ORD26004636</v>
      </c>
      <c r="P2627" s="23" t="str">
        <f t="shared" si="125"/>
        <v>Sep</v>
      </c>
      <c r="Q2627" s="23" t="str">
        <f>IF(F2627="CAPTURE",IF(COUNTIF(orders!$A:$A,O2627)&gt;0,"Yes","NO ORDER"),"")</f>
        <v>Yes</v>
      </c>
    </row>
    <row r="2628" spans="1:17" ht="15" customHeight="1" x14ac:dyDescent="0.3">
      <c r="A2628" s="23" t="s">
        <v>15473</v>
      </c>
      <c r="B2628" s="23"/>
      <c r="C2628" s="23" t="s">
        <v>9762</v>
      </c>
      <c r="D2628" s="23" t="str">
        <f t="shared" si="123"/>
        <v>ORD26004646</v>
      </c>
      <c r="E2628" s="38">
        <v>46279</v>
      </c>
      <c r="F2628" s="23" t="s">
        <v>12410</v>
      </c>
      <c r="G2628" s="23" t="s">
        <v>79</v>
      </c>
      <c r="H2628" s="24">
        <v>7999</v>
      </c>
      <c r="I2628" s="24">
        <v>127.98</v>
      </c>
      <c r="J2628" s="24">
        <v>23.04</v>
      </c>
      <c r="K2628" s="24">
        <v>7847.98</v>
      </c>
      <c r="L2628" s="38">
        <v>46281</v>
      </c>
      <c r="M2628" s="23" t="s">
        <v>204</v>
      </c>
      <c r="N2628" s="23" t="str">
        <f>IF(COUNTIF($A$2:A2628,A2628)&gt;1,"DUP","OK")</f>
        <v>OK</v>
      </c>
      <c r="O2628" s="23" t="str">
        <f t="shared" si="124"/>
        <v>ORD26004646</v>
      </c>
      <c r="P2628" s="23" t="str">
        <f t="shared" si="125"/>
        <v>Sep</v>
      </c>
      <c r="Q2628" s="23" t="str">
        <f>IF(F2628="CAPTURE",IF(COUNTIF(orders!$A:$A,O2628)&gt;0,"Yes","NO ORDER"),"")</f>
        <v>Yes</v>
      </c>
    </row>
    <row r="2629" spans="1:17" ht="15" customHeight="1" x14ac:dyDescent="0.3">
      <c r="A2629" s="23" t="s">
        <v>15474</v>
      </c>
      <c r="B2629" s="23"/>
      <c r="C2629" s="23" t="s">
        <v>9930</v>
      </c>
      <c r="D2629" s="23" t="str">
        <f t="shared" si="123"/>
        <v>ORD26004732</v>
      </c>
      <c r="E2629" s="38">
        <v>46279</v>
      </c>
      <c r="F2629" s="23" t="s">
        <v>12410</v>
      </c>
      <c r="G2629" s="23" t="s">
        <v>75</v>
      </c>
      <c r="H2629" s="24">
        <v>999</v>
      </c>
      <c r="I2629" s="24">
        <v>0</v>
      </c>
      <c r="J2629" s="24">
        <v>0</v>
      </c>
      <c r="K2629" s="24">
        <v>999</v>
      </c>
      <c r="L2629" s="38">
        <v>46281</v>
      </c>
      <c r="M2629" s="23" t="s">
        <v>204</v>
      </c>
      <c r="N2629" s="23" t="str">
        <f>IF(COUNTIF($A$2:A2629,A2629)&gt;1,"DUP","OK")</f>
        <v>OK</v>
      </c>
      <c r="O2629" s="23" t="str">
        <f t="shared" si="124"/>
        <v>ORD26004732</v>
      </c>
      <c r="P2629" s="23" t="str">
        <f t="shared" si="125"/>
        <v>Sep</v>
      </c>
      <c r="Q2629" s="23" t="str">
        <f>IF(F2629="CAPTURE",IF(COUNTIF(orders!$A:$A,O2629)&gt;0,"Yes","NO ORDER"),"")</f>
        <v>Yes</v>
      </c>
    </row>
    <row r="2630" spans="1:17" ht="15" customHeight="1" x14ac:dyDescent="0.3">
      <c r="A2630" s="23" t="s">
        <v>15475</v>
      </c>
      <c r="B2630" s="23"/>
      <c r="C2630" s="23" t="s">
        <v>10005</v>
      </c>
      <c r="D2630" s="23" t="str">
        <f t="shared" si="123"/>
        <v>ORD26004771</v>
      </c>
      <c r="E2630" s="38">
        <v>46279</v>
      </c>
      <c r="F2630" s="23" t="s">
        <v>12410</v>
      </c>
      <c r="G2630" s="23" t="s">
        <v>79</v>
      </c>
      <c r="H2630" s="24">
        <v>2499</v>
      </c>
      <c r="I2630" s="24">
        <v>39.979999999999997</v>
      </c>
      <c r="J2630" s="24">
        <v>7.2</v>
      </c>
      <c r="K2630" s="24">
        <v>2451.8200000000002</v>
      </c>
      <c r="L2630" s="38">
        <v>46281</v>
      </c>
      <c r="M2630" s="23" t="s">
        <v>204</v>
      </c>
      <c r="N2630" s="23" t="str">
        <f>IF(COUNTIF($A$2:A2630,A2630)&gt;1,"DUP","OK")</f>
        <v>OK</v>
      </c>
      <c r="O2630" s="23" t="str">
        <f t="shared" si="124"/>
        <v>ORD26004771</v>
      </c>
      <c r="P2630" s="23" t="str">
        <f t="shared" si="125"/>
        <v>Sep</v>
      </c>
      <c r="Q2630" s="23" t="str">
        <f>IF(F2630="CAPTURE",IF(COUNTIF(orders!$A:$A,O2630)&gt;0,"Yes","NO ORDER"),"")</f>
        <v>Yes</v>
      </c>
    </row>
    <row r="2631" spans="1:17" ht="15" customHeight="1" x14ac:dyDescent="0.3">
      <c r="A2631" s="23" t="s">
        <v>15476</v>
      </c>
      <c r="B2631" s="23"/>
      <c r="C2631" s="23" t="s">
        <v>10296</v>
      </c>
      <c r="D2631" s="23" t="str">
        <f t="shared" si="123"/>
        <v>ORD26004920</v>
      </c>
      <c r="E2631" s="38">
        <v>46279</v>
      </c>
      <c r="F2631" s="23" t="s">
        <v>12410</v>
      </c>
      <c r="G2631" s="23" t="s">
        <v>79</v>
      </c>
      <c r="H2631" s="24">
        <v>1298</v>
      </c>
      <c r="I2631" s="24">
        <v>23.36</v>
      </c>
      <c r="J2631" s="24">
        <v>4.2</v>
      </c>
      <c r="K2631" s="24">
        <v>1270.44</v>
      </c>
      <c r="L2631" s="38">
        <v>46281</v>
      </c>
      <c r="M2631" s="23" t="s">
        <v>204</v>
      </c>
      <c r="N2631" s="23" t="str">
        <f>IF(COUNTIF($A$2:A2631,A2631)&gt;1,"DUP","OK")</f>
        <v>OK</v>
      </c>
      <c r="O2631" s="23" t="str">
        <f t="shared" si="124"/>
        <v>ORD26004920</v>
      </c>
      <c r="P2631" s="23" t="str">
        <f t="shared" si="125"/>
        <v>Sep</v>
      </c>
      <c r="Q2631" s="23" t="str">
        <f>IF(F2631="CAPTURE",IF(COUNTIF(orders!$A:$A,O2631)&gt;0,"Yes","NO ORDER"),"")</f>
        <v>Yes</v>
      </c>
    </row>
    <row r="2632" spans="1:17" ht="15" customHeight="1" x14ac:dyDescent="0.3">
      <c r="A2632" s="23" t="s">
        <v>15477</v>
      </c>
      <c r="B2632" s="23"/>
      <c r="C2632" s="23" t="s">
        <v>10362</v>
      </c>
      <c r="D2632" s="23" t="str">
        <f t="shared" si="123"/>
        <v>ORD26004954</v>
      </c>
      <c r="E2632" s="38">
        <v>46279</v>
      </c>
      <c r="F2632" s="23" t="s">
        <v>12410</v>
      </c>
      <c r="G2632" s="23" t="s">
        <v>79</v>
      </c>
      <c r="H2632" s="24">
        <v>1499</v>
      </c>
      <c r="I2632" s="24">
        <v>26.98</v>
      </c>
      <c r="J2632" s="24">
        <v>4.8600000000000003</v>
      </c>
      <c r="K2632" s="24">
        <v>1467.16</v>
      </c>
      <c r="L2632" s="38">
        <v>46281</v>
      </c>
      <c r="M2632" s="23" t="s">
        <v>204</v>
      </c>
      <c r="N2632" s="23" t="str">
        <f>IF(COUNTIF($A$2:A2632,A2632)&gt;1,"DUP","OK")</f>
        <v>OK</v>
      </c>
      <c r="O2632" s="23" t="str">
        <f t="shared" si="124"/>
        <v>ORD26004954</v>
      </c>
      <c r="P2632" s="23" t="str">
        <f t="shared" si="125"/>
        <v>Sep</v>
      </c>
      <c r="Q2632" s="23" t="str">
        <f>IF(F2632="CAPTURE",IF(COUNTIF(orders!$A:$A,O2632)&gt;0,"Yes","NO ORDER"),"")</f>
        <v>Yes</v>
      </c>
    </row>
    <row r="2633" spans="1:17" ht="15" customHeight="1" x14ac:dyDescent="0.3">
      <c r="A2633" s="23" t="s">
        <v>15478</v>
      </c>
      <c r="B2633" s="23"/>
      <c r="C2633" s="23" t="s">
        <v>10429</v>
      </c>
      <c r="D2633" s="23" t="str">
        <f t="shared" si="123"/>
        <v>ORD26004988</v>
      </c>
      <c r="E2633" s="38">
        <v>46279</v>
      </c>
      <c r="F2633" s="23" t="s">
        <v>12410</v>
      </c>
      <c r="G2633" s="23" t="s">
        <v>79</v>
      </c>
      <c r="H2633" s="24">
        <v>499</v>
      </c>
      <c r="I2633" s="24">
        <v>8.98</v>
      </c>
      <c r="J2633" s="24">
        <v>1.62</v>
      </c>
      <c r="K2633" s="24">
        <v>488.4</v>
      </c>
      <c r="L2633" s="38">
        <v>46281</v>
      </c>
      <c r="M2633" s="23" t="s">
        <v>204</v>
      </c>
      <c r="N2633" s="23" t="str">
        <f>IF(COUNTIF($A$2:A2633,A2633)&gt;1,"DUP","OK")</f>
        <v>OK</v>
      </c>
      <c r="O2633" s="23" t="str">
        <f t="shared" si="124"/>
        <v>ORD26004988</v>
      </c>
      <c r="P2633" s="23" t="str">
        <f t="shared" si="125"/>
        <v>Sep</v>
      </c>
      <c r="Q2633" s="23" t="str">
        <f>IF(F2633="CAPTURE",IF(COUNTIF(orders!$A:$A,O2633)&gt;0,"Yes","NO ORDER"),"")</f>
        <v>Yes</v>
      </c>
    </row>
    <row r="2634" spans="1:17" ht="15" customHeight="1" x14ac:dyDescent="0.3">
      <c r="A2634" s="23" t="s">
        <v>15479</v>
      </c>
      <c r="B2634" s="23"/>
      <c r="C2634" s="23" t="s">
        <v>10465</v>
      </c>
      <c r="D2634" s="23" t="str">
        <f t="shared" si="123"/>
        <v>ORD26005007</v>
      </c>
      <c r="E2634" s="38">
        <v>46279</v>
      </c>
      <c r="F2634" s="23" t="s">
        <v>12410</v>
      </c>
      <c r="G2634" s="23" t="s">
        <v>79</v>
      </c>
      <c r="H2634" s="24">
        <v>3499</v>
      </c>
      <c r="I2634" s="24">
        <v>55.98</v>
      </c>
      <c r="J2634" s="24">
        <v>10.08</v>
      </c>
      <c r="K2634" s="24">
        <v>3432.94</v>
      </c>
      <c r="L2634" s="38">
        <v>46281</v>
      </c>
      <c r="M2634" s="23" t="s">
        <v>204</v>
      </c>
      <c r="N2634" s="23" t="str">
        <f>IF(COUNTIF($A$2:A2634,A2634)&gt;1,"DUP","OK")</f>
        <v>OK</v>
      </c>
      <c r="O2634" s="23" t="str">
        <f t="shared" si="124"/>
        <v>ORD26005007</v>
      </c>
      <c r="P2634" s="23" t="str">
        <f t="shared" si="125"/>
        <v>Sep</v>
      </c>
      <c r="Q2634" s="23" t="str">
        <f>IF(F2634="CAPTURE",IF(COUNTIF(orders!$A:$A,O2634)&gt;0,"Yes","NO ORDER"),"")</f>
        <v>Yes</v>
      </c>
    </row>
    <row r="2635" spans="1:17" ht="15" customHeight="1" x14ac:dyDescent="0.3">
      <c r="A2635" s="23" t="s">
        <v>15480</v>
      </c>
      <c r="B2635" s="23"/>
      <c r="C2635" s="23" t="s">
        <v>10508</v>
      </c>
      <c r="D2635" s="23" t="str">
        <f t="shared" si="123"/>
        <v>ORD26005029</v>
      </c>
      <c r="E2635" s="38">
        <v>46279</v>
      </c>
      <c r="F2635" s="23" t="s">
        <v>12410</v>
      </c>
      <c r="G2635" s="23" t="s">
        <v>77</v>
      </c>
      <c r="H2635" s="24">
        <v>499</v>
      </c>
      <c r="I2635" s="24">
        <v>9.48</v>
      </c>
      <c r="J2635" s="24">
        <v>1.71</v>
      </c>
      <c r="K2635" s="24">
        <v>487.81</v>
      </c>
      <c r="L2635" s="38">
        <v>46281</v>
      </c>
      <c r="M2635" s="23" t="s">
        <v>204</v>
      </c>
      <c r="N2635" s="23" t="str">
        <f>IF(COUNTIF($A$2:A2635,A2635)&gt;1,"DUP","OK")</f>
        <v>OK</v>
      </c>
      <c r="O2635" s="23" t="str">
        <f t="shared" si="124"/>
        <v>ORD26005029</v>
      </c>
      <c r="P2635" s="23" t="str">
        <f t="shared" si="125"/>
        <v>Sep</v>
      </c>
      <c r="Q2635" s="23" t="str">
        <f>IF(F2635="CAPTURE",IF(COUNTIF(orders!$A:$A,O2635)&gt;0,"Yes","NO ORDER"),"")</f>
        <v>Yes</v>
      </c>
    </row>
    <row r="2636" spans="1:17" ht="15" customHeight="1" x14ac:dyDescent="0.3">
      <c r="A2636" s="23" t="s">
        <v>15481</v>
      </c>
      <c r="B2636" s="23"/>
      <c r="C2636" s="23" t="s">
        <v>10544</v>
      </c>
      <c r="D2636" s="23" t="str">
        <f t="shared" si="123"/>
        <v>ORD26005049</v>
      </c>
      <c r="E2636" s="38">
        <v>46279</v>
      </c>
      <c r="F2636" s="23" t="s">
        <v>12410</v>
      </c>
      <c r="G2636" s="23" t="s">
        <v>75</v>
      </c>
      <c r="H2636" s="24">
        <v>299</v>
      </c>
      <c r="I2636" s="24">
        <v>0</v>
      </c>
      <c r="J2636" s="24">
        <v>0</v>
      </c>
      <c r="K2636" s="24">
        <v>299</v>
      </c>
      <c r="L2636" s="38">
        <v>46281</v>
      </c>
      <c r="M2636" s="23" t="s">
        <v>204</v>
      </c>
      <c r="N2636" s="23" t="str">
        <f>IF(COUNTIF($A$2:A2636,A2636)&gt;1,"DUP","OK")</f>
        <v>OK</v>
      </c>
      <c r="O2636" s="23" t="str">
        <f t="shared" si="124"/>
        <v>ORD26005049</v>
      </c>
      <c r="P2636" s="23" t="str">
        <f t="shared" si="125"/>
        <v>Sep</v>
      </c>
      <c r="Q2636" s="23" t="str">
        <f>IF(F2636="CAPTURE",IF(COUNTIF(orders!$A:$A,O2636)&gt;0,"Yes","NO ORDER"),"")</f>
        <v>Yes</v>
      </c>
    </row>
    <row r="2637" spans="1:17" ht="15" customHeight="1" x14ac:dyDescent="0.3">
      <c r="A2637" s="23" t="s">
        <v>15482</v>
      </c>
      <c r="B2637" s="23"/>
      <c r="C2637" s="23" t="s">
        <v>10600</v>
      </c>
      <c r="D2637" s="23" t="str">
        <f t="shared" si="123"/>
        <v>ORD26005077</v>
      </c>
      <c r="E2637" s="38">
        <v>46279</v>
      </c>
      <c r="F2637" s="23" t="s">
        <v>12410</v>
      </c>
      <c r="G2637" s="23" t="s">
        <v>75</v>
      </c>
      <c r="H2637" s="24">
        <v>3297</v>
      </c>
      <c r="I2637" s="24">
        <v>9.89</v>
      </c>
      <c r="J2637" s="24">
        <v>1.78</v>
      </c>
      <c r="K2637" s="24">
        <v>3285.33</v>
      </c>
      <c r="L2637" s="38">
        <v>46281</v>
      </c>
      <c r="M2637" s="23" t="s">
        <v>204</v>
      </c>
      <c r="N2637" s="23" t="str">
        <f>IF(COUNTIF($A$2:A2637,A2637)&gt;1,"DUP","OK")</f>
        <v>OK</v>
      </c>
      <c r="O2637" s="23" t="str">
        <f t="shared" si="124"/>
        <v>ORD26005077</v>
      </c>
      <c r="P2637" s="23" t="str">
        <f t="shared" si="125"/>
        <v>Sep</v>
      </c>
      <c r="Q2637" s="23" t="str">
        <f>IF(F2637="CAPTURE",IF(COUNTIF(orders!$A:$A,O2637)&gt;0,"Yes","NO ORDER"),"")</f>
        <v>Yes</v>
      </c>
    </row>
    <row r="2638" spans="1:17" ht="15" customHeight="1" x14ac:dyDescent="0.3">
      <c r="A2638" s="23" t="s">
        <v>15483</v>
      </c>
      <c r="B2638" s="23"/>
      <c r="C2638" s="23" t="s">
        <v>10614</v>
      </c>
      <c r="D2638" s="23" t="str">
        <f t="shared" si="123"/>
        <v>ORD26005084</v>
      </c>
      <c r="E2638" s="38">
        <v>46279</v>
      </c>
      <c r="F2638" s="23" t="s">
        <v>12410</v>
      </c>
      <c r="G2638" s="23" t="s">
        <v>75</v>
      </c>
      <c r="H2638" s="24">
        <v>11498</v>
      </c>
      <c r="I2638" s="24">
        <v>34.49</v>
      </c>
      <c r="J2638" s="24">
        <v>6.21</v>
      </c>
      <c r="K2638" s="24">
        <v>11457.3</v>
      </c>
      <c r="L2638" s="38">
        <v>46281</v>
      </c>
      <c r="M2638" s="23" t="s">
        <v>204</v>
      </c>
      <c r="N2638" s="23" t="str">
        <f>IF(COUNTIF($A$2:A2638,A2638)&gt;1,"DUP","OK")</f>
        <v>OK</v>
      </c>
      <c r="O2638" s="23" t="str">
        <f t="shared" si="124"/>
        <v>ORD26005084</v>
      </c>
      <c r="P2638" s="23" t="str">
        <f t="shared" si="125"/>
        <v>Sep</v>
      </c>
      <c r="Q2638" s="23" t="str">
        <f>IF(F2638="CAPTURE",IF(COUNTIF(orders!$A:$A,O2638)&gt;0,"Yes","NO ORDER"),"")</f>
        <v>Yes</v>
      </c>
    </row>
    <row r="2639" spans="1:17" ht="15" customHeight="1" x14ac:dyDescent="0.3">
      <c r="A2639" s="23" t="s">
        <v>15484</v>
      </c>
      <c r="B2639" s="23"/>
      <c r="C2639" s="23" t="s">
        <v>10693</v>
      </c>
      <c r="D2639" s="23" t="str">
        <f t="shared" si="123"/>
        <v>ORD26005125</v>
      </c>
      <c r="E2639" s="38">
        <v>46279</v>
      </c>
      <c r="F2639" s="23" t="s">
        <v>12410</v>
      </c>
      <c r="G2639" s="23" t="s">
        <v>77</v>
      </c>
      <c r="H2639" s="24">
        <v>2497</v>
      </c>
      <c r="I2639" s="24">
        <v>42.45</v>
      </c>
      <c r="J2639" s="24">
        <v>7.64</v>
      </c>
      <c r="K2639" s="24">
        <v>2446.91</v>
      </c>
      <c r="L2639" s="38">
        <v>46281</v>
      </c>
      <c r="M2639" s="23" t="s">
        <v>204</v>
      </c>
      <c r="N2639" s="23" t="str">
        <f>IF(COUNTIF($A$2:A2639,A2639)&gt;1,"DUP","OK")</f>
        <v>OK</v>
      </c>
      <c r="O2639" s="23" t="str">
        <f t="shared" si="124"/>
        <v>ORD26005125</v>
      </c>
      <c r="P2639" s="23" t="str">
        <f t="shared" si="125"/>
        <v>Sep</v>
      </c>
      <c r="Q2639" s="23" t="str">
        <f>IF(F2639="CAPTURE",IF(COUNTIF(orders!$A:$A,O2639)&gt;0,"Yes","NO ORDER"),"")</f>
        <v>Yes</v>
      </c>
    </row>
    <row r="2640" spans="1:17" ht="15" customHeight="1" x14ac:dyDescent="0.3">
      <c r="A2640" s="23" t="s">
        <v>15485</v>
      </c>
      <c r="B2640" s="23"/>
      <c r="C2640" s="23" t="s">
        <v>10712</v>
      </c>
      <c r="D2640" s="23" t="str">
        <f t="shared" si="123"/>
        <v>ORD26005135</v>
      </c>
      <c r="E2640" s="38">
        <v>46279</v>
      </c>
      <c r="F2640" s="23" t="s">
        <v>12410</v>
      </c>
      <c r="G2640" s="23" t="s">
        <v>75</v>
      </c>
      <c r="H2640" s="24">
        <v>1798</v>
      </c>
      <c r="I2640" s="24">
        <v>0</v>
      </c>
      <c r="J2640" s="24">
        <v>0</v>
      </c>
      <c r="K2640" s="24">
        <v>1798</v>
      </c>
      <c r="L2640" s="38">
        <v>46281</v>
      </c>
      <c r="M2640" s="23" t="s">
        <v>204</v>
      </c>
      <c r="N2640" s="23" t="str">
        <f>IF(COUNTIF($A$2:A2640,A2640)&gt;1,"DUP","OK")</f>
        <v>OK</v>
      </c>
      <c r="O2640" s="23" t="str">
        <f t="shared" si="124"/>
        <v>ORD26005135</v>
      </c>
      <c r="P2640" s="23" t="str">
        <f t="shared" si="125"/>
        <v>Sep</v>
      </c>
      <c r="Q2640" s="23" t="str">
        <f>IF(F2640="CAPTURE",IF(COUNTIF(orders!$A:$A,O2640)&gt;0,"Yes","NO ORDER"),"")</f>
        <v>Yes</v>
      </c>
    </row>
    <row r="2641" spans="1:17" ht="15" customHeight="1" x14ac:dyDescent="0.3">
      <c r="A2641" s="23" t="s">
        <v>15486</v>
      </c>
      <c r="B2641" s="23"/>
      <c r="C2641" s="23" t="s">
        <v>10779</v>
      </c>
      <c r="D2641" s="23" t="str">
        <f t="shared" si="123"/>
        <v>ORD26005170</v>
      </c>
      <c r="E2641" s="38">
        <v>46279</v>
      </c>
      <c r="F2641" s="23" t="s">
        <v>12410</v>
      </c>
      <c r="G2641" s="23" t="s">
        <v>79</v>
      </c>
      <c r="H2641" s="24">
        <v>299</v>
      </c>
      <c r="I2641" s="24">
        <v>5.38</v>
      </c>
      <c r="J2641" s="24">
        <v>0.97</v>
      </c>
      <c r="K2641" s="24">
        <v>292.64999999999998</v>
      </c>
      <c r="L2641" s="38">
        <v>46281</v>
      </c>
      <c r="M2641" s="23" t="s">
        <v>204</v>
      </c>
      <c r="N2641" s="23" t="str">
        <f>IF(COUNTIF($A$2:A2641,A2641)&gt;1,"DUP","OK")</f>
        <v>OK</v>
      </c>
      <c r="O2641" s="23" t="str">
        <f t="shared" si="124"/>
        <v>ORD26005170</v>
      </c>
      <c r="P2641" s="23" t="str">
        <f t="shared" si="125"/>
        <v>Sep</v>
      </c>
      <c r="Q2641" s="23" t="str">
        <f>IF(F2641="CAPTURE",IF(COUNTIF(orders!$A:$A,O2641)&gt;0,"Yes","NO ORDER"),"")</f>
        <v>Yes</v>
      </c>
    </row>
    <row r="2642" spans="1:17" ht="15" customHeight="1" x14ac:dyDescent="0.3">
      <c r="A2642" s="23" t="s">
        <v>15487</v>
      </c>
      <c r="B2642" s="23"/>
      <c r="C2642" s="23" t="s">
        <v>10844</v>
      </c>
      <c r="D2642" s="23" t="str">
        <f t="shared" si="123"/>
        <v>ORD26005202</v>
      </c>
      <c r="E2642" s="38">
        <v>46279</v>
      </c>
      <c r="F2642" s="23" t="s">
        <v>12410</v>
      </c>
      <c r="G2642" s="23" t="s">
        <v>75</v>
      </c>
      <c r="H2642" s="24">
        <v>8297</v>
      </c>
      <c r="I2642" s="24">
        <v>24.89</v>
      </c>
      <c r="J2642" s="24">
        <v>4.4800000000000004</v>
      </c>
      <c r="K2642" s="24">
        <v>8267.6299999999992</v>
      </c>
      <c r="L2642" s="38">
        <v>46281</v>
      </c>
      <c r="M2642" s="23" t="s">
        <v>204</v>
      </c>
      <c r="N2642" s="23" t="str">
        <f>IF(COUNTIF($A$2:A2642,A2642)&gt;1,"DUP","OK")</f>
        <v>OK</v>
      </c>
      <c r="O2642" s="23" t="str">
        <f t="shared" si="124"/>
        <v>ORD26005202</v>
      </c>
      <c r="P2642" s="23" t="str">
        <f t="shared" si="125"/>
        <v>Sep</v>
      </c>
      <c r="Q2642" s="23" t="str">
        <f>IF(F2642="CAPTURE",IF(COUNTIF(orders!$A:$A,O2642)&gt;0,"Yes","NO ORDER"),"")</f>
        <v>Yes</v>
      </c>
    </row>
    <row r="2643" spans="1:17" ht="15" customHeight="1" x14ac:dyDescent="0.3">
      <c r="A2643" s="23" t="s">
        <v>15488</v>
      </c>
      <c r="B2643" s="23"/>
      <c r="C2643" s="23" t="s">
        <v>10846</v>
      </c>
      <c r="D2643" s="23" t="str">
        <f t="shared" si="123"/>
        <v>ORD26005203</v>
      </c>
      <c r="E2643" s="38">
        <v>46279</v>
      </c>
      <c r="F2643" s="23" t="s">
        <v>12410</v>
      </c>
      <c r="G2643" s="23" t="s">
        <v>79</v>
      </c>
      <c r="H2643" s="24">
        <v>8348</v>
      </c>
      <c r="I2643" s="24">
        <v>133.57</v>
      </c>
      <c r="J2643" s="24">
        <v>24.04</v>
      </c>
      <c r="K2643" s="24">
        <v>8190.39</v>
      </c>
      <c r="L2643" s="38">
        <v>46281</v>
      </c>
      <c r="M2643" s="23" t="s">
        <v>204</v>
      </c>
      <c r="N2643" s="23" t="str">
        <f>IF(COUNTIF($A$2:A2643,A2643)&gt;1,"DUP","OK")</f>
        <v>OK</v>
      </c>
      <c r="O2643" s="23" t="str">
        <f t="shared" si="124"/>
        <v>ORD26005203</v>
      </c>
      <c r="P2643" s="23" t="str">
        <f t="shared" si="125"/>
        <v>Sep</v>
      </c>
      <c r="Q2643" s="23" t="str">
        <f>IF(F2643="CAPTURE",IF(COUNTIF(orders!$A:$A,O2643)&gt;0,"Yes","NO ORDER"),"")</f>
        <v>Yes</v>
      </c>
    </row>
    <row r="2644" spans="1:17" ht="15" customHeight="1" x14ac:dyDescent="0.3">
      <c r="A2644" s="23" t="s">
        <v>15489</v>
      </c>
      <c r="B2644" s="23"/>
      <c r="C2644" s="23" t="s">
        <v>10884</v>
      </c>
      <c r="D2644" s="23" t="str">
        <f t="shared" si="123"/>
        <v>ORD26005223</v>
      </c>
      <c r="E2644" s="38">
        <v>46279</v>
      </c>
      <c r="F2644" s="23" t="s">
        <v>12410</v>
      </c>
      <c r="G2644" s="23" t="s">
        <v>77</v>
      </c>
      <c r="H2644" s="24">
        <v>10498</v>
      </c>
      <c r="I2644" s="24">
        <v>178.47</v>
      </c>
      <c r="J2644" s="24">
        <v>32.119999999999997</v>
      </c>
      <c r="K2644" s="24">
        <v>10287.41</v>
      </c>
      <c r="L2644" s="38">
        <v>46281</v>
      </c>
      <c r="M2644" s="23" t="s">
        <v>204</v>
      </c>
      <c r="N2644" s="23" t="str">
        <f>IF(COUNTIF($A$2:A2644,A2644)&gt;1,"DUP","OK")</f>
        <v>OK</v>
      </c>
      <c r="O2644" s="23" t="str">
        <f t="shared" si="124"/>
        <v>ORD26005223</v>
      </c>
      <c r="P2644" s="23" t="str">
        <f t="shared" si="125"/>
        <v>Sep</v>
      </c>
      <c r="Q2644" s="23" t="str">
        <f>IF(F2644="CAPTURE",IF(COUNTIF(orders!$A:$A,O2644)&gt;0,"Yes","NO ORDER"),"")</f>
        <v>Yes</v>
      </c>
    </row>
    <row r="2645" spans="1:17" ht="15" customHeight="1" x14ac:dyDescent="0.3">
      <c r="A2645" s="23" t="s">
        <v>15490</v>
      </c>
      <c r="B2645" s="23"/>
      <c r="C2645" s="23" t="s">
        <v>10908</v>
      </c>
      <c r="D2645" s="23" t="str">
        <f t="shared" si="123"/>
        <v>ORD26005235</v>
      </c>
      <c r="E2645" s="38">
        <v>46279</v>
      </c>
      <c r="F2645" s="23" t="s">
        <v>12410</v>
      </c>
      <c r="G2645" s="23" t="s">
        <v>77</v>
      </c>
      <c r="H2645" s="24">
        <v>2098</v>
      </c>
      <c r="I2645" s="24">
        <v>35.67</v>
      </c>
      <c r="J2645" s="24">
        <v>6.42</v>
      </c>
      <c r="K2645" s="24">
        <v>2055.91</v>
      </c>
      <c r="L2645" s="38">
        <v>46281</v>
      </c>
      <c r="M2645" s="23" t="s">
        <v>204</v>
      </c>
      <c r="N2645" s="23" t="str">
        <f>IF(COUNTIF($A$2:A2645,A2645)&gt;1,"DUP","OK")</f>
        <v>OK</v>
      </c>
      <c r="O2645" s="23" t="str">
        <f t="shared" si="124"/>
        <v>ORD26005235</v>
      </c>
      <c r="P2645" s="23" t="str">
        <f t="shared" si="125"/>
        <v>Sep</v>
      </c>
      <c r="Q2645" s="23" t="str">
        <f>IF(F2645="CAPTURE",IF(COUNTIF(orders!$A:$A,O2645)&gt;0,"Yes","NO ORDER"),"")</f>
        <v>Yes</v>
      </c>
    </row>
    <row r="2646" spans="1:17" ht="15" customHeight="1" x14ac:dyDescent="0.3">
      <c r="A2646" s="23" t="s">
        <v>15491</v>
      </c>
      <c r="B2646" s="23"/>
      <c r="C2646" s="23" t="s">
        <v>15492</v>
      </c>
      <c r="D2646" s="23" t="str">
        <f t="shared" si="123"/>
        <v>ORD26005263</v>
      </c>
      <c r="E2646" s="38">
        <v>46279</v>
      </c>
      <c r="F2646" s="23" t="s">
        <v>12410</v>
      </c>
      <c r="G2646" s="23" t="s">
        <v>75</v>
      </c>
      <c r="H2646" s="24">
        <v>599</v>
      </c>
      <c r="I2646" s="24">
        <v>0</v>
      </c>
      <c r="J2646" s="24">
        <v>0</v>
      </c>
      <c r="K2646" s="24">
        <v>599</v>
      </c>
      <c r="L2646" s="38">
        <v>46281</v>
      </c>
      <c r="M2646" s="23" t="s">
        <v>204</v>
      </c>
      <c r="N2646" s="23" t="str">
        <f>IF(COUNTIF($A$2:A2646,A2646)&gt;1,"DUP","OK")</f>
        <v>OK</v>
      </c>
      <c r="O2646" s="23" t="str">
        <f t="shared" si="124"/>
        <v>ORD26005263</v>
      </c>
      <c r="P2646" s="23" t="str">
        <f t="shared" si="125"/>
        <v>Sep</v>
      </c>
      <c r="Q2646" s="23" t="str">
        <f>IF(F2646="CAPTURE",IF(COUNTIF(orders!$A:$A,O2646)&gt;0,"Yes","NO ORDER"),"")</f>
        <v>Yes</v>
      </c>
    </row>
    <row r="2647" spans="1:17" ht="15" customHeight="1" x14ac:dyDescent="0.3">
      <c r="A2647" s="23" t="s">
        <v>15493</v>
      </c>
      <c r="B2647" s="23"/>
      <c r="C2647" s="23" t="s">
        <v>11039</v>
      </c>
      <c r="D2647" s="23" t="str">
        <f t="shared" si="123"/>
        <v>ORD26005303</v>
      </c>
      <c r="E2647" s="38">
        <v>46279</v>
      </c>
      <c r="F2647" s="23" t="s">
        <v>12410</v>
      </c>
      <c r="G2647" s="23" t="s">
        <v>77</v>
      </c>
      <c r="H2647" s="24">
        <v>7999</v>
      </c>
      <c r="I2647" s="24">
        <v>135.97999999999999</v>
      </c>
      <c r="J2647" s="24">
        <v>24.48</v>
      </c>
      <c r="K2647" s="24">
        <v>7838.54</v>
      </c>
      <c r="L2647" s="38">
        <v>46281</v>
      </c>
      <c r="M2647" s="23" t="s">
        <v>204</v>
      </c>
      <c r="N2647" s="23" t="str">
        <f>IF(COUNTIF($A$2:A2647,A2647)&gt;1,"DUP","OK")</f>
        <v>OK</v>
      </c>
      <c r="O2647" s="23" t="str">
        <f t="shared" si="124"/>
        <v>ORD26005303</v>
      </c>
      <c r="P2647" s="23" t="str">
        <f t="shared" si="125"/>
        <v>Sep</v>
      </c>
      <c r="Q2647" s="23" t="str">
        <f>IF(F2647="CAPTURE",IF(COUNTIF(orders!$A:$A,O2647)&gt;0,"Yes","NO ORDER"),"")</f>
        <v>Yes</v>
      </c>
    </row>
    <row r="2648" spans="1:17" ht="15" customHeight="1" x14ac:dyDescent="0.3">
      <c r="A2648" s="23" t="s">
        <v>15494</v>
      </c>
      <c r="B2648" s="23"/>
      <c r="C2648" s="23" t="s">
        <v>11085</v>
      </c>
      <c r="D2648" s="23" t="str">
        <f t="shared" si="123"/>
        <v>ORD26005326</v>
      </c>
      <c r="E2648" s="38">
        <v>46279</v>
      </c>
      <c r="F2648" s="23" t="s">
        <v>12410</v>
      </c>
      <c r="G2648" s="23" t="s">
        <v>81</v>
      </c>
      <c r="H2648" s="24">
        <v>3499</v>
      </c>
      <c r="I2648" s="24">
        <v>41.99</v>
      </c>
      <c r="J2648" s="24">
        <v>7.56</v>
      </c>
      <c r="K2648" s="24">
        <v>3449.45</v>
      </c>
      <c r="L2648" s="38">
        <v>46281</v>
      </c>
      <c r="M2648" s="23" t="s">
        <v>204</v>
      </c>
      <c r="N2648" s="23" t="str">
        <f>IF(COUNTIF($A$2:A2648,A2648)&gt;1,"DUP","OK")</f>
        <v>OK</v>
      </c>
      <c r="O2648" s="23" t="str">
        <f t="shared" si="124"/>
        <v>ORD26005326</v>
      </c>
      <c r="P2648" s="23" t="str">
        <f t="shared" si="125"/>
        <v>Sep</v>
      </c>
      <c r="Q2648" s="23" t="str">
        <f>IF(F2648="CAPTURE",IF(COUNTIF(orders!$A:$A,O2648)&gt;0,"Yes","NO ORDER"),"")</f>
        <v>Yes</v>
      </c>
    </row>
    <row r="2649" spans="1:17" ht="15" customHeight="1" x14ac:dyDescent="0.3">
      <c r="A2649" s="23" t="s">
        <v>15495</v>
      </c>
      <c r="B2649" s="23"/>
      <c r="C2649" s="23" t="s">
        <v>11109</v>
      </c>
      <c r="D2649" s="23" t="str">
        <f t="shared" si="123"/>
        <v>ORD26005338</v>
      </c>
      <c r="E2649" s="38">
        <v>46279</v>
      </c>
      <c r="F2649" s="23" t="s">
        <v>12410</v>
      </c>
      <c r="G2649" s="23" t="s">
        <v>79</v>
      </c>
      <c r="H2649" s="24">
        <v>3499</v>
      </c>
      <c r="I2649" s="24">
        <v>55.98</v>
      </c>
      <c r="J2649" s="24">
        <v>10.08</v>
      </c>
      <c r="K2649" s="24">
        <v>3432.94</v>
      </c>
      <c r="L2649" s="38">
        <v>46281</v>
      </c>
      <c r="M2649" s="23" t="s">
        <v>204</v>
      </c>
      <c r="N2649" s="23" t="str">
        <f>IF(COUNTIF($A$2:A2649,A2649)&gt;1,"DUP","OK")</f>
        <v>OK</v>
      </c>
      <c r="O2649" s="23" t="str">
        <f t="shared" si="124"/>
        <v>ORD26005338</v>
      </c>
      <c r="P2649" s="23" t="str">
        <f t="shared" si="125"/>
        <v>Sep</v>
      </c>
      <c r="Q2649" s="23" t="str">
        <f>IF(F2649="CAPTURE",IF(COUNTIF(orders!$A:$A,O2649)&gt;0,"Yes","NO ORDER"),"")</f>
        <v>Yes</v>
      </c>
    </row>
    <row r="2650" spans="1:17" ht="15" customHeight="1" x14ac:dyDescent="0.3">
      <c r="A2650" s="23" t="s">
        <v>15496</v>
      </c>
      <c r="B2650" s="23"/>
      <c r="C2650" s="23" t="s">
        <v>11148</v>
      </c>
      <c r="D2650" s="23" t="str">
        <f t="shared" si="123"/>
        <v>ORD26005358</v>
      </c>
      <c r="E2650" s="38">
        <v>46279</v>
      </c>
      <c r="F2650" s="23" t="s">
        <v>12410</v>
      </c>
      <c r="G2650" s="23" t="s">
        <v>79</v>
      </c>
      <c r="H2650" s="24">
        <v>1499</v>
      </c>
      <c r="I2650" s="24">
        <v>26.98</v>
      </c>
      <c r="J2650" s="24">
        <v>4.8600000000000003</v>
      </c>
      <c r="K2650" s="24">
        <v>1467.16</v>
      </c>
      <c r="L2650" s="38">
        <v>46281</v>
      </c>
      <c r="M2650" s="23" t="s">
        <v>204</v>
      </c>
      <c r="N2650" s="23" t="str">
        <f>IF(COUNTIF($A$2:A2650,A2650)&gt;1,"DUP","OK")</f>
        <v>OK</v>
      </c>
      <c r="O2650" s="23" t="str">
        <f t="shared" si="124"/>
        <v>ORD26005358</v>
      </c>
      <c r="P2650" s="23" t="str">
        <f t="shared" si="125"/>
        <v>Sep</v>
      </c>
      <c r="Q2650" s="23" t="str">
        <f>IF(F2650="CAPTURE",IF(COUNTIF(orders!$A:$A,O2650)&gt;0,"Yes","NO ORDER"),"")</f>
        <v>Yes</v>
      </c>
    </row>
    <row r="2651" spans="1:17" ht="15" customHeight="1" x14ac:dyDescent="0.3">
      <c r="A2651" s="23" t="s">
        <v>15497</v>
      </c>
      <c r="B2651" s="23"/>
      <c r="C2651" s="23" t="s">
        <v>11233</v>
      </c>
      <c r="D2651" s="23" t="str">
        <f t="shared" si="123"/>
        <v>ORD26005400</v>
      </c>
      <c r="E2651" s="38">
        <v>46279</v>
      </c>
      <c r="F2651" s="23" t="s">
        <v>12410</v>
      </c>
      <c r="G2651" s="23" t="s">
        <v>75</v>
      </c>
      <c r="H2651" s="24">
        <v>499</v>
      </c>
      <c r="I2651" s="24">
        <v>0</v>
      </c>
      <c r="J2651" s="24">
        <v>0</v>
      </c>
      <c r="K2651" s="24">
        <v>499</v>
      </c>
      <c r="L2651" s="38">
        <v>46281</v>
      </c>
      <c r="M2651" s="23" t="s">
        <v>204</v>
      </c>
      <c r="N2651" s="23" t="str">
        <f>IF(COUNTIF($A$2:A2651,A2651)&gt;1,"DUP","OK")</f>
        <v>OK</v>
      </c>
      <c r="O2651" s="23" t="str">
        <f t="shared" si="124"/>
        <v>ORD26005400</v>
      </c>
      <c r="P2651" s="23" t="str">
        <f t="shared" si="125"/>
        <v>Sep</v>
      </c>
      <c r="Q2651" s="23" t="str">
        <f>IF(F2651="CAPTURE",IF(COUNTIF(orders!$A:$A,O2651)&gt;0,"Yes","NO ORDER"),"")</f>
        <v>Yes</v>
      </c>
    </row>
    <row r="2652" spans="1:17" ht="15" customHeight="1" x14ac:dyDescent="0.3">
      <c r="A2652" s="23" t="s">
        <v>15498</v>
      </c>
      <c r="B2652" s="23"/>
      <c r="C2652" s="23" t="s">
        <v>11328</v>
      </c>
      <c r="D2652" s="23" t="str">
        <f t="shared" si="123"/>
        <v>ORD26005449</v>
      </c>
      <c r="E2652" s="38">
        <v>46279</v>
      </c>
      <c r="F2652" s="23" t="s">
        <v>12410</v>
      </c>
      <c r="G2652" s="23" t="s">
        <v>75</v>
      </c>
      <c r="H2652" s="24">
        <v>1098</v>
      </c>
      <c r="I2652" s="24">
        <v>0</v>
      </c>
      <c r="J2652" s="24">
        <v>0</v>
      </c>
      <c r="K2652" s="24">
        <v>1098</v>
      </c>
      <c r="L2652" s="38">
        <v>46281</v>
      </c>
      <c r="M2652" s="23" t="s">
        <v>204</v>
      </c>
      <c r="N2652" s="23" t="str">
        <f>IF(COUNTIF($A$2:A2652,A2652)&gt;1,"DUP","OK")</f>
        <v>OK</v>
      </c>
      <c r="O2652" s="23" t="str">
        <f t="shared" si="124"/>
        <v>ORD26005449</v>
      </c>
      <c r="P2652" s="23" t="str">
        <f t="shared" si="125"/>
        <v>Sep</v>
      </c>
      <c r="Q2652" s="23" t="str">
        <f>IF(F2652="CAPTURE",IF(COUNTIF(orders!$A:$A,O2652)&gt;0,"Yes","NO ORDER"),"")</f>
        <v>Yes</v>
      </c>
    </row>
    <row r="2653" spans="1:17" ht="15" customHeight="1" x14ac:dyDescent="0.3">
      <c r="A2653" s="23" t="s">
        <v>15499</v>
      </c>
      <c r="B2653" s="23"/>
      <c r="C2653" s="23" t="s">
        <v>11410</v>
      </c>
      <c r="D2653" s="23" t="str">
        <f t="shared" si="123"/>
        <v>ORD26005490</v>
      </c>
      <c r="E2653" s="38">
        <v>46279</v>
      </c>
      <c r="F2653" s="23" t="s">
        <v>12410</v>
      </c>
      <c r="G2653" s="23" t="s">
        <v>79</v>
      </c>
      <c r="H2653" s="24">
        <v>8997</v>
      </c>
      <c r="I2653" s="24">
        <v>143.94999999999999</v>
      </c>
      <c r="J2653" s="24">
        <v>25.91</v>
      </c>
      <c r="K2653" s="24">
        <v>8827.14</v>
      </c>
      <c r="L2653" s="38">
        <v>46281</v>
      </c>
      <c r="M2653" s="23" t="s">
        <v>204</v>
      </c>
      <c r="N2653" s="23" t="str">
        <f>IF(COUNTIF($A$2:A2653,A2653)&gt;1,"DUP","OK")</f>
        <v>OK</v>
      </c>
      <c r="O2653" s="23" t="str">
        <f t="shared" si="124"/>
        <v>ORD26005490</v>
      </c>
      <c r="P2653" s="23" t="str">
        <f t="shared" si="125"/>
        <v>Sep</v>
      </c>
      <c r="Q2653" s="23" t="str">
        <f>IF(F2653="CAPTURE",IF(COUNTIF(orders!$A:$A,O2653)&gt;0,"Yes","NO ORDER"),"")</f>
        <v>Yes</v>
      </c>
    </row>
    <row r="2654" spans="1:17" ht="15" customHeight="1" x14ac:dyDescent="0.3">
      <c r="A2654" s="23" t="s">
        <v>15500</v>
      </c>
      <c r="B2654" s="23"/>
      <c r="C2654" s="23" t="s">
        <v>11459</v>
      </c>
      <c r="D2654" s="23" t="str">
        <f t="shared" si="123"/>
        <v>ORD26005516</v>
      </c>
      <c r="E2654" s="38">
        <v>46279</v>
      </c>
      <c r="F2654" s="23" t="s">
        <v>12410</v>
      </c>
      <c r="G2654" s="23" t="s">
        <v>79</v>
      </c>
      <c r="H2654" s="24">
        <v>5297</v>
      </c>
      <c r="I2654" s="24">
        <v>84.75</v>
      </c>
      <c r="J2654" s="24">
        <v>15.26</v>
      </c>
      <c r="K2654" s="24">
        <v>5196.99</v>
      </c>
      <c r="L2654" s="38">
        <v>46281</v>
      </c>
      <c r="M2654" s="23" t="s">
        <v>204</v>
      </c>
      <c r="N2654" s="23" t="str">
        <f>IF(COUNTIF($A$2:A2654,A2654)&gt;1,"DUP","OK")</f>
        <v>OK</v>
      </c>
      <c r="O2654" s="23" t="str">
        <f t="shared" si="124"/>
        <v>ORD26005516</v>
      </c>
      <c r="P2654" s="23" t="str">
        <f t="shared" si="125"/>
        <v>Sep</v>
      </c>
      <c r="Q2654" s="23" t="str">
        <f>IF(F2654="CAPTURE",IF(COUNTIF(orders!$A:$A,O2654)&gt;0,"Yes","NO ORDER"),"")</f>
        <v>Yes</v>
      </c>
    </row>
    <row r="2655" spans="1:17" ht="15" customHeight="1" x14ac:dyDescent="0.3">
      <c r="A2655" s="23" t="s">
        <v>15501</v>
      </c>
      <c r="B2655" s="23"/>
      <c r="C2655" s="23" t="s">
        <v>15502</v>
      </c>
      <c r="D2655" s="23" t="str">
        <f t="shared" si="123"/>
        <v>ORD26005529</v>
      </c>
      <c r="E2655" s="38">
        <v>46279</v>
      </c>
      <c r="F2655" s="23" t="s">
        <v>12410</v>
      </c>
      <c r="G2655" s="23" t="s">
        <v>75</v>
      </c>
      <c r="H2655" s="24">
        <v>4999</v>
      </c>
      <c r="I2655" s="24">
        <v>15</v>
      </c>
      <c r="J2655" s="24">
        <v>2.7</v>
      </c>
      <c r="K2655" s="24">
        <v>4981.3</v>
      </c>
      <c r="L2655" s="38">
        <v>46281</v>
      </c>
      <c r="M2655" s="23" t="s">
        <v>204</v>
      </c>
      <c r="N2655" s="23" t="str">
        <f>IF(COUNTIF($A$2:A2655,A2655)&gt;1,"DUP","OK")</f>
        <v>OK</v>
      </c>
      <c r="O2655" s="23" t="str">
        <f t="shared" si="124"/>
        <v>ORD26005529</v>
      </c>
      <c r="P2655" s="23" t="str">
        <f t="shared" si="125"/>
        <v>Sep</v>
      </c>
      <c r="Q2655" s="23" t="str">
        <f>IF(F2655="CAPTURE",IF(COUNTIF(orders!$A:$A,O2655)&gt;0,"Yes","NO ORDER"),"")</f>
        <v>Yes</v>
      </c>
    </row>
    <row r="2656" spans="1:17" ht="15" customHeight="1" x14ac:dyDescent="0.3">
      <c r="A2656" s="23" t="s">
        <v>15503</v>
      </c>
      <c r="B2656" s="23"/>
      <c r="C2656" s="23" t="s">
        <v>11547</v>
      </c>
      <c r="D2656" s="23" t="str">
        <f t="shared" si="123"/>
        <v>ORD26005561</v>
      </c>
      <c r="E2656" s="38">
        <v>46279</v>
      </c>
      <c r="F2656" s="23" t="s">
        <v>12410</v>
      </c>
      <c r="G2656" s="23" t="s">
        <v>79</v>
      </c>
      <c r="H2656" s="24">
        <v>3097</v>
      </c>
      <c r="I2656" s="24">
        <v>49.55</v>
      </c>
      <c r="J2656" s="24">
        <v>8.92</v>
      </c>
      <c r="K2656" s="24">
        <v>3038.53</v>
      </c>
      <c r="L2656" s="38">
        <v>46281</v>
      </c>
      <c r="M2656" s="23" t="s">
        <v>204</v>
      </c>
      <c r="N2656" s="23" t="str">
        <f>IF(COUNTIF($A$2:A2656,A2656)&gt;1,"DUP","OK")</f>
        <v>OK</v>
      </c>
      <c r="O2656" s="23" t="str">
        <f t="shared" si="124"/>
        <v>ORD26005561</v>
      </c>
      <c r="P2656" s="23" t="str">
        <f t="shared" si="125"/>
        <v>Sep</v>
      </c>
      <c r="Q2656" s="23" t="str">
        <f>IF(F2656="CAPTURE",IF(COUNTIF(orders!$A:$A,O2656)&gt;0,"Yes","NO ORDER"),"")</f>
        <v>Yes</v>
      </c>
    </row>
    <row r="2657" spans="1:17" ht="15" customHeight="1" x14ac:dyDescent="0.3">
      <c r="A2657" s="23" t="s">
        <v>15504</v>
      </c>
      <c r="B2657" s="23"/>
      <c r="C2657" s="23" t="s">
        <v>11561</v>
      </c>
      <c r="D2657" s="23" t="str">
        <f t="shared" si="123"/>
        <v>ORD26005568</v>
      </c>
      <c r="E2657" s="38">
        <v>46279</v>
      </c>
      <c r="F2657" s="23" t="s">
        <v>12410</v>
      </c>
      <c r="G2657" s="23" t="s">
        <v>75</v>
      </c>
      <c r="H2657" s="24">
        <v>3098</v>
      </c>
      <c r="I2657" s="24">
        <v>9.2899999999999991</v>
      </c>
      <c r="J2657" s="24">
        <v>1.67</v>
      </c>
      <c r="K2657" s="24">
        <v>3087.04</v>
      </c>
      <c r="L2657" s="38">
        <v>46281</v>
      </c>
      <c r="M2657" s="23" t="s">
        <v>204</v>
      </c>
      <c r="N2657" s="23" t="str">
        <f>IF(COUNTIF($A$2:A2657,A2657)&gt;1,"DUP","OK")</f>
        <v>OK</v>
      </c>
      <c r="O2657" s="23" t="str">
        <f t="shared" si="124"/>
        <v>ORD26005568</v>
      </c>
      <c r="P2657" s="23" t="str">
        <f t="shared" si="125"/>
        <v>Sep</v>
      </c>
      <c r="Q2657" s="23" t="str">
        <f>IF(F2657="CAPTURE",IF(COUNTIF(orders!$A:$A,O2657)&gt;0,"Yes","NO ORDER"),"")</f>
        <v>Yes</v>
      </c>
    </row>
    <row r="2658" spans="1:17" ht="15" customHeight="1" x14ac:dyDescent="0.3">
      <c r="A2658" s="23" t="s">
        <v>15505</v>
      </c>
      <c r="B2658" s="23"/>
      <c r="C2658" s="23" t="s">
        <v>11630</v>
      </c>
      <c r="D2658" s="23" t="str">
        <f t="shared" si="123"/>
        <v>ORD26005604</v>
      </c>
      <c r="E2658" s="38">
        <v>46279</v>
      </c>
      <c r="F2658" s="23" t="s">
        <v>12410</v>
      </c>
      <c r="G2658" s="23" t="s">
        <v>75</v>
      </c>
      <c r="H2658" s="24">
        <v>2999</v>
      </c>
      <c r="I2658" s="24">
        <v>9</v>
      </c>
      <c r="J2658" s="24">
        <v>1.62</v>
      </c>
      <c r="K2658" s="24">
        <v>2988.38</v>
      </c>
      <c r="L2658" s="38">
        <v>46281</v>
      </c>
      <c r="M2658" s="23" t="s">
        <v>204</v>
      </c>
      <c r="N2658" s="23" t="str">
        <f>IF(COUNTIF($A$2:A2658,A2658)&gt;1,"DUP","OK")</f>
        <v>OK</v>
      </c>
      <c r="O2658" s="23" t="str">
        <f t="shared" si="124"/>
        <v>ORD26005604</v>
      </c>
      <c r="P2658" s="23" t="str">
        <f t="shared" si="125"/>
        <v>Sep</v>
      </c>
      <c r="Q2658" s="23" t="str">
        <f>IF(F2658="CAPTURE",IF(COUNTIF(orders!$A:$A,O2658)&gt;0,"Yes","NO ORDER"),"")</f>
        <v>Yes</v>
      </c>
    </row>
    <row r="2659" spans="1:17" ht="15" customHeight="1" x14ac:dyDescent="0.3">
      <c r="A2659" s="23" t="s">
        <v>15506</v>
      </c>
      <c r="B2659" s="23"/>
      <c r="C2659" s="23" t="s">
        <v>11648</v>
      </c>
      <c r="D2659" s="23" t="str">
        <f t="shared" si="123"/>
        <v>ORD26005613</v>
      </c>
      <c r="E2659" s="38">
        <v>46279</v>
      </c>
      <c r="F2659" s="23" t="s">
        <v>12410</v>
      </c>
      <c r="G2659" s="23" t="s">
        <v>75</v>
      </c>
      <c r="H2659" s="24">
        <v>499</v>
      </c>
      <c r="I2659" s="24">
        <v>0</v>
      </c>
      <c r="J2659" s="24">
        <v>0</v>
      </c>
      <c r="K2659" s="24">
        <v>499</v>
      </c>
      <c r="L2659" s="38">
        <v>46281</v>
      </c>
      <c r="M2659" s="23" t="s">
        <v>204</v>
      </c>
      <c r="N2659" s="23" t="str">
        <f>IF(COUNTIF($A$2:A2659,A2659)&gt;1,"DUP","OK")</f>
        <v>OK</v>
      </c>
      <c r="O2659" s="23" t="str">
        <f t="shared" si="124"/>
        <v>ORD26005613</v>
      </c>
      <c r="P2659" s="23" t="str">
        <f t="shared" si="125"/>
        <v>Sep</v>
      </c>
      <c r="Q2659" s="23" t="str">
        <f>IF(F2659="CAPTURE",IF(COUNTIF(orders!$A:$A,O2659)&gt;0,"Yes","NO ORDER"),"")</f>
        <v>Yes</v>
      </c>
    </row>
    <row r="2660" spans="1:17" ht="15" customHeight="1" x14ac:dyDescent="0.3">
      <c r="A2660" s="23" t="s">
        <v>15507</v>
      </c>
      <c r="B2660" s="23"/>
      <c r="C2660" s="23" t="s">
        <v>11752</v>
      </c>
      <c r="D2660" s="23" t="str">
        <f t="shared" si="123"/>
        <v>ORD26005666</v>
      </c>
      <c r="E2660" s="38">
        <v>46279</v>
      </c>
      <c r="F2660" s="23" t="s">
        <v>12410</v>
      </c>
      <c r="G2660" s="23" t="s">
        <v>79</v>
      </c>
      <c r="H2660" s="24">
        <v>5097</v>
      </c>
      <c r="I2660" s="24">
        <v>81.55</v>
      </c>
      <c r="J2660" s="24">
        <v>14.68</v>
      </c>
      <c r="K2660" s="24">
        <v>5000.7700000000004</v>
      </c>
      <c r="L2660" s="38">
        <v>46281</v>
      </c>
      <c r="M2660" s="23" t="s">
        <v>204</v>
      </c>
      <c r="N2660" s="23" t="str">
        <f>IF(COUNTIF($A$2:A2660,A2660)&gt;1,"DUP","OK")</f>
        <v>OK</v>
      </c>
      <c r="O2660" s="23" t="str">
        <f t="shared" si="124"/>
        <v>ORD26005666</v>
      </c>
      <c r="P2660" s="23" t="str">
        <f t="shared" si="125"/>
        <v>Sep</v>
      </c>
      <c r="Q2660" s="23" t="str">
        <f>IF(F2660="CAPTURE",IF(COUNTIF(orders!$A:$A,O2660)&gt;0,"Yes","NO ORDER"),"")</f>
        <v>Yes</v>
      </c>
    </row>
    <row r="2661" spans="1:17" ht="15" customHeight="1" x14ac:dyDescent="0.3">
      <c r="A2661" s="23" t="s">
        <v>15508</v>
      </c>
      <c r="B2661" s="23"/>
      <c r="C2661" s="23" t="s">
        <v>11760</v>
      </c>
      <c r="D2661" s="23" t="str">
        <f t="shared" si="123"/>
        <v>ORD26005670</v>
      </c>
      <c r="E2661" s="38">
        <v>46279</v>
      </c>
      <c r="F2661" s="23" t="s">
        <v>12410</v>
      </c>
      <c r="G2661" s="23" t="s">
        <v>81</v>
      </c>
      <c r="H2661" s="24">
        <v>349</v>
      </c>
      <c r="I2661" s="24">
        <v>5.24</v>
      </c>
      <c r="J2661" s="24">
        <v>0.94</v>
      </c>
      <c r="K2661" s="24">
        <v>342.82</v>
      </c>
      <c r="L2661" s="38">
        <v>46281</v>
      </c>
      <c r="M2661" s="23" t="s">
        <v>204</v>
      </c>
      <c r="N2661" s="23" t="str">
        <f>IF(COUNTIF($A$2:A2661,A2661)&gt;1,"DUP","OK")</f>
        <v>OK</v>
      </c>
      <c r="O2661" s="23" t="str">
        <f t="shared" si="124"/>
        <v>ORD26005670</v>
      </c>
      <c r="P2661" s="23" t="str">
        <f t="shared" si="125"/>
        <v>Sep</v>
      </c>
      <c r="Q2661" s="23" t="str">
        <f>IF(F2661="CAPTURE",IF(COUNTIF(orders!$A:$A,O2661)&gt;0,"Yes","NO ORDER"),"")</f>
        <v>Yes</v>
      </c>
    </row>
    <row r="2662" spans="1:17" ht="15" customHeight="1" x14ac:dyDescent="0.3">
      <c r="A2662" s="23" t="s">
        <v>15509</v>
      </c>
      <c r="B2662" s="23"/>
      <c r="C2662" s="23" t="s">
        <v>11815</v>
      </c>
      <c r="D2662" s="23" t="str">
        <f t="shared" si="123"/>
        <v>ORD26005699</v>
      </c>
      <c r="E2662" s="38">
        <v>46279</v>
      </c>
      <c r="F2662" s="23" t="s">
        <v>12410</v>
      </c>
      <c r="G2662" s="23" t="s">
        <v>81</v>
      </c>
      <c r="H2662" s="24">
        <v>4999</v>
      </c>
      <c r="I2662" s="24">
        <v>59.99</v>
      </c>
      <c r="J2662" s="24">
        <v>10.8</v>
      </c>
      <c r="K2662" s="24">
        <v>4928.21</v>
      </c>
      <c r="L2662" s="38">
        <v>46281</v>
      </c>
      <c r="M2662" s="23" t="s">
        <v>204</v>
      </c>
      <c r="N2662" s="23" t="str">
        <f>IF(COUNTIF($A$2:A2662,A2662)&gt;1,"DUP","OK")</f>
        <v>OK</v>
      </c>
      <c r="O2662" s="23" t="str">
        <f t="shared" si="124"/>
        <v>ORD26005699</v>
      </c>
      <c r="P2662" s="23" t="str">
        <f t="shared" si="125"/>
        <v>Sep</v>
      </c>
      <c r="Q2662" s="23" t="str">
        <f>IF(F2662="CAPTURE",IF(COUNTIF(orders!$A:$A,O2662)&gt;0,"Yes","NO ORDER"),"")</f>
        <v>Yes</v>
      </c>
    </row>
    <row r="2663" spans="1:17" ht="15" customHeight="1" x14ac:dyDescent="0.3">
      <c r="A2663" s="23" t="s">
        <v>15510</v>
      </c>
      <c r="B2663" s="23"/>
      <c r="C2663" s="23" t="s">
        <v>11831</v>
      </c>
      <c r="D2663" s="23" t="str">
        <f t="shared" si="123"/>
        <v>ORD26005707</v>
      </c>
      <c r="E2663" s="38">
        <v>46279</v>
      </c>
      <c r="F2663" s="23" t="s">
        <v>12410</v>
      </c>
      <c r="G2663" s="23" t="s">
        <v>75</v>
      </c>
      <c r="H2663" s="24">
        <v>1298</v>
      </c>
      <c r="I2663" s="24">
        <v>0</v>
      </c>
      <c r="J2663" s="24">
        <v>0</v>
      </c>
      <c r="K2663" s="24">
        <v>1298</v>
      </c>
      <c r="L2663" s="38">
        <v>46281</v>
      </c>
      <c r="M2663" s="23" t="s">
        <v>204</v>
      </c>
      <c r="N2663" s="23" t="str">
        <f>IF(COUNTIF($A$2:A2663,A2663)&gt;1,"DUP","OK")</f>
        <v>OK</v>
      </c>
      <c r="O2663" s="23" t="str">
        <f t="shared" si="124"/>
        <v>ORD26005707</v>
      </c>
      <c r="P2663" s="23" t="str">
        <f t="shared" si="125"/>
        <v>Sep</v>
      </c>
      <c r="Q2663" s="23" t="str">
        <f>IF(F2663="CAPTURE",IF(COUNTIF(orders!$A:$A,O2663)&gt;0,"Yes","NO ORDER"),"")</f>
        <v>Yes</v>
      </c>
    </row>
    <row r="2664" spans="1:17" ht="15" customHeight="1" x14ac:dyDescent="0.3">
      <c r="A2664" s="23" t="s">
        <v>15511</v>
      </c>
      <c r="B2664" s="23"/>
      <c r="C2664" s="23" t="s">
        <v>11979</v>
      </c>
      <c r="D2664" s="23" t="str">
        <f t="shared" si="123"/>
        <v>ORD26005783</v>
      </c>
      <c r="E2664" s="38">
        <v>46279</v>
      </c>
      <c r="F2664" s="23" t="s">
        <v>12410</v>
      </c>
      <c r="G2664" s="23" t="s">
        <v>75</v>
      </c>
      <c r="H2664" s="24">
        <v>3798</v>
      </c>
      <c r="I2664" s="24">
        <v>11.39</v>
      </c>
      <c r="J2664" s="24">
        <v>2.0499999999999998</v>
      </c>
      <c r="K2664" s="24">
        <v>3784.56</v>
      </c>
      <c r="L2664" s="38">
        <v>46281</v>
      </c>
      <c r="M2664" s="23" t="s">
        <v>204</v>
      </c>
      <c r="N2664" s="23" t="str">
        <f>IF(COUNTIF($A$2:A2664,A2664)&gt;1,"DUP","OK")</f>
        <v>OK</v>
      </c>
      <c r="O2664" s="23" t="str">
        <f t="shared" si="124"/>
        <v>ORD26005783</v>
      </c>
      <c r="P2664" s="23" t="str">
        <f t="shared" si="125"/>
        <v>Sep</v>
      </c>
      <c r="Q2664" s="23" t="str">
        <f>IF(F2664="CAPTURE",IF(COUNTIF(orders!$A:$A,O2664)&gt;0,"Yes","NO ORDER"),"")</f>
        <v>Yes</v>
      </c>
    </row>
    <row r="2665" spans="1:17" ht="15" customHeight="1" x14ac:dyDescent="0.3">
      <c r="A2665" s="23" t="s">
        <v>15512</v>
      </c>
      <c r="B2665" s="23"/>
      <c r="C2665" s="23" t="s">
        <v>15513</v>
      </c>
      <c r="D2665" s="23" t="str">
        <f t="shared" si="123"/>
        <v>ORD26005788</v>
      </c>
      <c r="E2665" s="38">
        <v>46279</v>
      </c>
      <c r="F2665" s="23" t="s">
        <v>12410</v>
      </c>
      <c r="G2665" s="23" t="s">
        <v>75</v>
      </c>
      <c r="H2665" s="24">
        <v>7797</v>
      </c>
      <c r="I2665" s="24">
        <v>23.39</v>
      </c>
      <c r="J2665" s="24">
        <v>4.21</v>
      </c>
      <c r="K2665" s="24">
        <v>7769.4</v>
      </c>
      <c r="L2665" s="38">
        <v>46281</v>
      </c>
      <c r="M2665" s="23" t="s">
        <v>204</v>
      </c>
      <c r="N2665" s="23" t="str">
        <f>IF(COUNTIF($A$2:A2665,A2665)&gt;1,"DUP","OK")</f>
        <v>OK</v>
      </c>
      <c r="O2665" s="23" t="str">
        <f t="shared" si="124"/>
        <v>ORD26005788</v>
      </c>
      <c r="P2665" s="23" t="str">
        <f t="shared" si="125"/>
        <v>Sep</v>
      </c>
      <c r="Q2665" s="23" t="str">
        <f>IF(F2665="CAPTURE",IF(COUNTIF(orders!$A:$A,O2665)&gt;0,"Yes","NO ORDER"),"")</f>
        <v>Yes</v>
      </c>
    </row>
    <row r="2666" spans="1:17" ht="15" customHeight="1" x14ac:dyDescent="0.3">
      <c r="A2666" s="23" t="s">
        <v>15514</v>
      </c>
      <c r="B2666" s="23"/>
      <c r="C2666" s="23" t="s">
        <v>11998</v>
      </c>
      <c r="D2666" s="23" t="str">
        <f t="shared" si="123"/>
        <v>ORD26005794</v>
      </c>
      <c r="E2666" s="38">
        <v>46279</v>
      </c>
      <c r="F2666" s="23" t="s">
        <v>12410</v>
      </c>
      <c r="G2666" s="23" t="s">
        <v>75</v>
      </c>
      <c r="H2666" s="24">
        <v>4797</v>
      </c>
      <c r="I2666" s="24">
        <v>14.39</v>
      </c>
      <c r="J2666" s="24">
        <v>2.59</v>
      </c>
      <c r="K2666" s="24">
        <v>4780.0200000000004</v>
      </c>
      <c r="L2666" s="38">
        <v>46281</v>
      </c>
      <c r="M2666" s="23" t="s">
        <v>204</v>
      </c>
      <c r="N2666" s="23" t="str">
        <f>IF(COUNTIF($A$2:A2666,A2666)&gt;1,"DUP","OK")</f>
        <v>OK</v>
      </c>
      <c r="O2666" s="23" t="str">
        <f t="shared" si="124"/>
        <v>ORD26005794</v>
      </c>
      <c r="P2666" s="23" t="str">
        <f t="shared" si="125"/>
        <v>Sep</v>
      </c>
      <c r="Q2666" s="23" t="str">
        <f>IF(F2666="CAPTURE",IF(COUNTIF(orders!$A:$A,O2666)&gt;0,"Yes","NO ORDER"),"")</f>
        <v>Yes</v>
      </c>
    </row>
    <row r="2667" spans="1:17" ht="15" customHeight="1" x14ac:dyDescent="0.3">
      <c r="A2667" s="23" t="s">
        <v>15515</v>
      </c>
      <c r="B2667" s="23"/>
      <c r="C2667" s="23" t="s">
        <v>15516</v>
      </c>
      <c r="D2667" s="23" t="str">
        <f t="shared" si="123"/>
        <v>ORD26005817</v>
      </c>
      <c r="E2667" s="38">
        <v>46279</v>
      </c>
      <c r="F2667" s="23" t="s">
        <v>12410</v>
      </c>
      <c r="G2667" s="23" t="s">
        <v>79</v>
      </c>
      <c r="H2667" s="24">
        <v>3499</v>
      </c>
      <c r="I2667" s="24">
        <v>55.98</v>
      </c>
      <c r="J2667" s="24">
        <v>10.08</v>
      </c>
      <c r="K2667" s="24">
        <v>3432.94</v>
      </c>
      <c r="L2667" s="38">
        <v>46281</v>
      </c>
      <c r="M2667" s="23" t="s">
        <v>204</v>
      </c>
      <c r="N2667" s="23" t="str">
        <f>IF(COUNTIF($A$2:A2667,A2667)&gt;1,"DUP","OK")</f>
        <v>OK</v>
      </c>
      <c r="O2667" s="23" t="str">
        <f t="shared" si="124"/>
        <v>ORD26005817</v>
      </c>
      <c r="P2667" s="23" t="str">
        <f t="shared" si="125"/>
        <v>Sep</v>
      </c>
      <c r="Q2667" s="23" t="str">
        <f>IF(F2667="CAPTURE",IF(COUNTIF(orders!$A:$A,O2667)&gt;0,"Yes","NO ORDER"),"")</f>
        <v>Yes</v>
      </c>
    </row>
    <row r="2668" spans="1:17" ht="15" customHeight="1" x14ac:dyDescent="0.3">
      <c r="A2668" s="23" t="s">
        <v>15517</v>
      </c>
      <c r="B2668" s="23"/>
      <c r="C2668" s="23" t="s">
        <v>12104</v>
      </c>
      <c r="D2668" s="23" t="str">
        <f t="shared" si="123"/>
        <v>ORD26005848</v>
      </c>
      <c r="E2668" s="38">
        <v>46279</v>
      </c>
      <c r="F2668" s="23" t="s">
        <v>12410</v>
      </c>
      <c r="G2668" s="23" t="s">
        <v>77</v>
      </c>
      <c r="H2668" s="24">
        <v>3597</v>
      </c>
      <c r="I2668" s="24">
        <v>61.15</v>
      </c>
      <c r="J2668" s="24">
        <v>11.01</v>
      </c>
      <c r="K2668" s="24">
        <v>3524.84</v>
      </c>
      <c r="L2668" s="38">
        <v>46281</v>
      </c>
      <c r="M2668" s="23" t="s">
        <v>204</v>
      </c>
      <c r="N2668" s="23" t="str">
        <f>IF(COUNTIF($A$2:A2668,A2668)&gt;1,"DUP","OK")</f>
        <v>OK</v>
      </c>
      <c r="O2668" s="23" t="str">
        <f t="shared" si="124"/>
        <v>ORD26005848</v>
      </c>
      <c r="P2668" s="23" t="str">
        <f t="shared" si="125"/>
        <v>Sep</v>
      </c>
      <c r="Q2668" s="23" t="str">
        <f>IF(F2668="CAPTURE",IF(COUNTIF(orders!$A:$A,O2668)&gt;0,"Yes","NO ORDER"),"")</f>
        <v>Yes</v>
      </c>
    </row>
    <row r="2669" spans="1:17" ht="15" customHeight="1" x14ac:dyDescent="0.3">
      <c r="A2669" s="23" t="s">
        <v>15518</v>
      </c>
      <c r="B2669" s="23"/>
      <c r="C2669" s="23" t="s">
        <v>12180</v>
      </c>
      <c r="D2669" s="23" t="str">
        <f t="shared" si="123"/>
        <v>ORD26005890</v>
      </c>
      <c r="E2669" s="38">
        <v>46279</v>
      </c>
      <c r="F2669" s="23" t="s">
        <v>12410</v>
      </c>
      <c r="G2669" s="23" t="s">
        <v>75</v>
      </c>
      <c r="H2669" s="24">
        <v>1799</v>
      </c>
      <c r="I2669" s="24">
        <v>0</v>
      </c>
      <c r="J2669" s="24">
        <v>0</v>
      </c>
      <c r="K2669" s="24">
        <v>1799</v>
      </c>
      <c r="L2669" s="38">
        <v>46281</v>
      </c>
      <c r="M2669" s="23" t="s">
        <v>204</v>
      </c>
      <c r="N2669" s="23" t="str">
        <f>IF(COUNTIF($A$2:A2669,A2669)&gt;1,"DUP","OK")</f>
        <v>OK</v>
      </c>
      <c r="O2669" s="23" t="str">
        <f t="shared" si="124"/>
        <v>ORD26005890</v>
      </c>
      <c r="P2669" s="23" t="str">
        <f t="shared" si="125"/>
        <v>Sep</v>
      </c>
      <c r="Q2669" s="23" t="str">
        <f>IF(F2669="CAPTURE",IF(COUNTIF(orders!$A:$A,O2669)&gt;0,"Yes","NO ORDER"),"")</f>
        <v>Yes</v>
      </c>
    </row>
    <row r="2670" spans="1:17" ht="15" customHeight="1" x14ac:dyDescent="0.3">
      <c r="A2670" s="23" t="s">
        <v>15519</v>
      </c>
      <c r="B2670" s="23"/>
      <c r="C2670" s="23" t="s">
        <v>12253</v>
      </c>
      <c r="D2670" s="23" t="str">
        <f t="shared" si="123"/>
        <v>ORD26005927</v>
      </c>
      <c r="E2670" s="38">
        <v>46279</v>
      </c>
      <c r="F2670" s="23" t="s">
        <v>12410</v>
      </c>
      <c r="G2670" s="23" t="s">
        <v>75</v>
      </c>
      <c r="H2670" s="24">
        <v>4098</v>
      </c>
      <c r="I2670" s="24">
        <v>12.29</v>
      </c>
      <c r="J2670" s="24">
        <v>2.21</v>
      </c>
      <c r="K2670" s="24">
        <v>4083.5</v>
      </c>
      <c r="L2670" s="38">
        <v>46281</v>
      </c>
      <c r="M2670" s="23" t="s">
        <v>204</v>
      </c>
      <c r="N2670" s="23" t="str">
        <f>IF(COUNTIF($A$2:A2670,A2670)&gt;1,"DUP","OK")</f>
        <v>OK</v>
      </c>
      <c r="O2670" s="23" t="str">
        <f t="shared" si="124"/>
        <v>ORD26005927</v>
      </c>
      <c r="P2670" s="23" t="str">
        <f t="shared" si="125"/>
        <v>Sep</v>
      </c>
      <c r="Q2670" s="23" t="str">
        <f>IF(F2670="CAPTURE",IF(COUNTIF(orders!$A:$A,O2670)&gt;0,"Yes","NO ORDER"),"")</f>
        <v>Yes</v>
      </c>
    </row>
    <row r="2671" spans="1:17" ht="15" customHeight="1" x14ac:dyDescent="0.3">
      <c r="A2671" s="23" t="s">
        <v>15520</v>
      </c>
      <c r="B2671" s="23"/>
      <c r="C2671" s="23" t="s">
        <v>12299</v>
      </c>
      <c r="D2671" s="23" t="str">
        <f t="shared" si="123"/>
        <v>ORD26005952</v>
      </c>
      <c r="E2671" s="38">
        <v>46279</v>
      </c>
      <c r="F2671" s="23" t="s">
        <v>12410</v>
      </c>
      <c r="G2671" s="23" t="s">
        <v>75</v>
      </c>
      <c r="H2671" s="24">
        <v>3297</v>
      </c>
      <c r="I2671" s="24">
        <v>9.89</v>
      </c>
      <c r="J2671" s="24">
        <v>1.78</v>
      </c>
      <c r="K2671" s="24">
        <v>3285.33</v>
      </c>
      <c r="L2671" s="38">
        <v>46281</v>
      </c>
      <c r="M2671" s="23" t="s">
        <v>204</v>
      </c>
      <c r="N2671" s="23" t="str">
        <f>IF(COUNTIF($A$2:A2671,A2671)&gt;1,"DUP","OK")</f>
        <v>OK</v>
      </c>
      <c r="O2671" s="23" t="str">
        <f t="shared" si="124"/>
        <v>ORD26005952</v>
      </c>
      <c r="P2671" s="23" t="str">
        <f t="shared" si="125"/>
        <v>Sep</v>
      </c>
      <c r="Q2671" s="23" t="str">
        <f>IF(F2671="CAPTURE",IF(COUNTIF(orders!$A:$A,O2671)&gt;0,"Yes","NO ORDER"),"")</f>
        <v>Yes</v>
      </c>
    </row>
    <row r="2672" spans="1:17" ht="15" customHeight="1" x14ac:dyDescent="0.3">
      <c r="A2672" s="23" t="s">
        <v>15521</v>
      </c>
      <c r="B2672" s="23"/>
      <c r="C2672" s="23" t="s">
        <v>15522</v>
      </c>
      <c r="D2672" s="23" t="str">
        <f t="shared" si="123"/>
        <v>ORD26005959</v>
      </c>
      <c r="E2672" s="38">
        <v>46279</v>
      </c>
      <c r="F2672" s="23" t="s">
        <v>12410</v>
      </c>
      <c r="G2672" s="23" t="s">
        <v>75</v>
      </c>
      <c r="H2672" s="24">
        <v>3998</v>
      </c>
      <c r="I2672" s="24">
        <v>11.99</v>
      </c>
      <c r="J2672" s="24">
        <v>2.16</v>
      </c>
      <c r="K2672" s="24">
        <v>3983.85</v>
      </c>
      <c r="L2672" s="38">
        <v>46281</v>
      </c>
      <c r="M2672" s="23" t="s">
        <v>204</v>
      </c>
      <c r="N2672" s="23" t="str">
        <f>IF(COUNTIF($A$2:A2672,A2672)&gt;1,"DUP","OK")</f>
        <v>OK</v>
      </c>
      <c r="O2672" s="23" t="str">
        <f t="shared" si="124"/>
        <v>ORD26005959</v>
      </c>
      <c r="P2672" s="23" t="str">
        <f t="shared" si="125"/>
        <v>Sep</v>
      </c>
      <c r="Q2672" s="23" t="str">
        <f>IF(F2672="CAPTURE",IF(COUNTIF(orders!$A:$A,O2672)&gt;0,"Yes","NO ORDER"),"")</f>
        <v>Yes</v>
      </c>
    </row>
    <row r="2673" spans="1:17" ht="15" customHeight="1" x14ac:dyDescent="0.3">
      <c r="A2673" s="23" t="s">
        <v>15523</v>
      </c>
      <c r="B2673" s="23"/>
      <c r="C2673" s="23" t="s">
        <v>12344</v>
      </c>
      <c r="D2673" s="23" t="str">
        <f t="shared" si="123"/>
        <v>ORD26005976</v>
      </c>
      <c r="E2673" s="38">
        <v>46279</v>
      </c>
      <c r="F2673" s="23" t="s">
        <v>12410</v>
      </c>
      <c r="G2673" s="23" t="s">
        <v>77</v>
      </c>
      <c r="H2673" s="24">
        <v>999</v>
      </c>
      <c r="I2673" s="24">
        <v>18.98</v>
      </c>
      <c r="J2673" s="24">
        <v>3.42</v>
      </c>
      <c r="K2673" s="24">
        <v>976.6</v>
      </c>
      <c r="L2673" s="38">
        <v>46281</v>
      </c>
      <c r="M2673" s="23" t="s">
        <v>204</v>
      </c>
      <c r="N2673" s="23" t="str">
        <f>IF(COUNTIF($A$2:A2673,A2673)&gt;1,"DUP","OK")</f>
        <v>OK</v>
      </c>
      <c r="O2673" s="23" t="str">
        <f t="shared" si="124"/>
        <v>ORD26005976</v>
      </c>
      <c r="P2673" s="23" t="str">
        <f t="shared" si="125"/>
        <v>Sep</v>
      </c>
      <c r="Q2673" s="23" t="str">
        <f>IF(F2673="CAPTURE",IF(COUNTIF(orders!$A:$A,O2673)&gt;0,"Yes","NO ORDER"),"")</f>
        <v>Yes</v>
      </c>
    </row>
    <row r="2674" spans="1:17" ht="15" customHeight="1" x14ac:dyDescent="0.3">
      <c r="A2674" s="23" t="s">
        <v>15524</v>
      </c>
      <c r="B2674" s="23"/>
      <c r="C2674" s="23" t="s">
        <v>12369</v>
      </c>
      <c r="D2674" s="23" t="str">
        <f t="shared" si="123"/>
        <v>ORD26005989</v>
      </c>
      <c r="E2674" s="38">
        <v>46279</v>
      </c>
      <c r="F2674" s="23" t="s">
        <v>12410</v>
      </c>
      <c r="G2674" s="23" t="s">
        <v>75</v>
      </c>
      <c r="H2674" s="24">
        <v>8797</v>
      </c>
      <c r="I2674" s="24">
        <v>26.39</v>
      </c>
      <c r="J2674" s="24">
        <v>4.75</v>
      </c>
      <c r="K2674" s="24">
        <v>8765.86</v>
      </c>
      <c r="L2674" s="38">
        <v>46281</v>
      </c>
      <c r="M2674" s="23" t="s">
        <v>204</v>
      </c>
      <c r="N2674" s="23" t="str">
        <f>IF(COUNTIF($A$2:A2674,A2674)&gt;1,"DUP","OK")</f>
        <v>OK</v>
      </c>
      <c r="O2674" s="23" t="str">
        <f t="shared" si="124"/>
        <v>ORD26005989</v>
      </c>
      <c r="P2674" s="23" t="str">
        <f t="shared" si="125"/>
        <v>Sep</v>
      </c>
      <c r="Q2674" s="23" t="str">
        <f>IF(F2674="CAPTURE",IF(COUNTIF(orders!$A:$A,O2674)&gt;0,"Yes","NO ORDER"),"")</f>
        <v>Yes</v>
      </c>
    </row>
    <row r="2675" spans="1:17" ht="15" customHeight="1" x14ac:dyDescent="0.3">
      <c r="A2675" s="23" t="s">
        <v>15525</v>
      </c>
      <c r="B2675" s="23" t="s">
        <v>15057</v>
      </c>
      <c r="C2675" s="23"/>
      <c r="D2675" s="23" t="str">
        <f t="shared" si="123"/>
        <v/>
      </c>
      <c r="E2675" s="38">
        <v>46279</v>
      </c>
      <c r="F2675" s="23" t="s">
        <v>12791</v>
      </c>
      <c r="G2675" s="23" t="s">
        <v>75</v>
      </c>
      <c r="H2675" s="24">
        <v>3098</v>
      </c>
      <c r="I2675" s="24">
        <v>0</v>
      </c>
      <c r="J2675" s="24">
        <v>0</v>
      </c>
      <c r="K2675" s="24">
        <v>-3098</v>
      </c>
      <c r="L2675" s="38">
        <v>46281</v>
      </c>
      <c r="M2675" s="23" t="s">
        <v>204</v>
      </c>
      <c r="N2675" s="23" t="str">
        <f>IF(COUNTIF($A$2:A2675,A2675)&gt;1,"DUP","OK")</f>
        <v>OK</v>
      </c>
      <c r="O2675" s="23" t="str">
        <f t="shared" si="124"/>
        <v>ORD26000378</v>
      </c>
      <c r="P2675" s="23" t="str">
        <f t="shared" si="125"/>
        <v>Sep</v>
      </c>
      <c r="Q2675" s="23" t="str">
        <f>IF(F2675="CAPTURE",IF(COUNTIF(orders!$A:$A,O2675)&gt;0,"Yes","NO ORDER"),"")</f>
        <v/>
      </c>
    </row>
    <row r="2676" spans="1:17" ht="15" customHeight="1" x14ac:dyDescent="0.3">
      <c r="A2676" s="23" t="s">
        <v>15526</v>
      </c>
      <c r="B2676" s="23" t="s">
        <v>14038</v>
      </c>
      <c r="C2676" s="23"/>
      <c r="D2676" s="23" t="str">
        <f t="shared" si="123"/>
        <v/>
      </c>
      <c r="E2676" s="38">
        <v>46279</v>
      </c>
      <c r="F2676" s="23" t="s">
        <v>12791</v>
      </c>
      <c r="G2676" s="23" t="s">
        <v>75</v>
      </c>
      <c r="H2676" s="24">
        <v>10097</v>
      </c>
      <c r="I2676" s="24">
        <v>0</v>
      </c>
      <c r="J2676" s="24">
        <v>0</v>
      </c>
      <c r="K2676" s="24">
        <v>-10097</v>
      </c>
      <c r="L2676" s="38">
        <v>46281</v>
      </c>
      <c r="M2676" s="23" t="s">
        <v>204</v>
      </c>
      <c r="N2676" s="23" t="str">
        <f>IF(COUNTIF($A$2:A2676,A2676)&gt;1,"DUP","OK")</f>
        <v>OK</v>
      </c>
      <c r="O2676" s="23" t="str">
        <f t="shared" si="124"/>
        <v>ORD26003436</v>
      </c>
      <c r="P2676" s="23" t="str">
        <f t="shared" si="125"/>
        <v>Sep</v>
      </c>
      <c r="Q2676" s="23" t="str">
        <f>IF(F2676="CAPTURE",IF(COUNTIF(orders!$A:$A,O2676)&gt;0,"Yes","NO ORDER"),"")</f>
        <v/>
      </c>
    </row>
    <row r="2677" spans="1:17" ht="15" customHeight="1" x14ac:dyDescent="0.3">
      <c r="A2677" s="23" t="s">
        <v>15527</v>
      </c>
      <c r="B2677" s="23" t="s">
        <v>14504</v>
      </c>
      <c r="C2677" s="23"/>
      <c r="D2677" s="23" t="str">
        <f t="shared" si="123"/>
        <v/>
      </c>
      <c r="E2677" s="38">
        <v>46279</v>
      </c>
      <c r="F2677" s="23" t="s">
        <v>12791</v>
      </c>
      <c r="G2677" s="23" t="s">
        <v>75</v>
      </c>
      <c r="H2677" s="24">
        <v>7999</v>
      </c>
      <c r="I2677" s="24">
        <v>0</v>
      </c>
      <c r="J2677" s="24">
        <v>0</v>
      </c>
      <c r="K2677" s="24">
        <v>-7999</v>
      </c>
      <c r="L2677" s="38">
        <v>46281</v>
      </c>
      <c r="M2677" s="23" t="s">
        <v>204</v>
      </c>
      <c r="N2677" s="23" t="str">
        <f>IF(COUNTIF($A$2:A2677,A2677)&gt;1,"DUP","OK")</f>
        <v>OK</v>
      </c>
      <c r="O2677" s="23" t="str">
        <f t="shared" si="124"/>
        <v>ORD26004005</v>
      </c>
      <c r="P2677" s="23" t="str">
        <f t="shared" si="125"/>
        <v>Sep</v>
      </c>
      <c r="Q2677" s="23" t="str">
        <f>IF(F2677="CAPTURE",IF(COUNTIF(orders!$A:$A,O2677)&gt;0,"Yes","NO ORDER"),"")</f>
        <v/>
      </c>
    </row>
    <row r="2678" spans="1:17" ht="15" customHeight="1" x14ac:dyDescent="0.3">
      <c r="A2678" s="23" t="s">
        <v>15528</v>
      </c>
      <c r="B2678" s="23" t="s">
        <v>13978</v>
      </c>
      <c r="C2678" s="23"/>
      <c r="D2678" s="23" t="str">
        <f t="shared" si="123"/>
        <v/>
      </c>
      <c r="E2678" s="38">
        <v>46279</v>
      </c>
      <c r="F2678" s="23" t="s">
        <v>12791</v>
      </c>
      <c r="G2678" s="23" t="s">
        <v>75</v>
      </c>
      <c r="H2678" s="24">
        <v>12997</v>
      </c>
      <c r="I2678" s="24">
        <v>0</v>
      </c>
      <c r="J2678" s="24">
        <v>0</v>
      </c>
      <c r="K2678" s="24">
        <v>-12997</v>
      </c>
      <c r="L2678" s="38">
        <v>46281</v>
      </c>
      <c r="M2678" s="23" t="s">
        <v>204</v>
      </c>
      <c r="N2678" s="23" t="str">
        <f>IF(COUNTIF($A$2:A2678,A2678)&gt;1,"DUP","OK")</f>
        <v>OK</v>
      </c>
      <c r="O2678" s="23" t="str">
        <f t="shared" si="124"/>
        <v>ORD26002099</v>
      </c>
      <c r="P2678" s="23" t="str">
        <f t="shared" si="125"/>
        <v>Sep</v>
      </c>
      <c r="Q2678" s="23" t="str">
        <f>IF(F2678="CAPTURE",IF(COUNTIF(orders!$A:$A,O2678)&gt;0,"Yes","NO ORDER"),"")</f>
        <v/>
      </c>
    </row>
    <row r="2679" spans="1:17" ht="15" customHeight="1" x14ac:dyDescent="0.3">
      <c r="A2679" s="23" t="s">
        <v>15529</v>
      </c>
      <c r="B2679" s="23" t="s">
        <v>15020</v>
      </c>
      <c r="C2679" s="23"/>
      <c r="D2679" s="23" t="str">
        <f t="shared" si="123"/>
        <v/>
      </c>
      <c r="E2679" s="38">
        <v>46279</v>
      </c>
      <c r="F2679" s="23" t="s">
        <v>12791</v>
      </c>
      <c r="G2679" s="23" t="s">
        <v>75</v>
      </c>
      <c r="H2679" s="24">
        <v>12998</v>
      </c>
      <c r="I2679" s="24">
        <v>0</v>
      </c>
      <c r="J2679" s="24">
        <v>0</v>
      </c>
      <c r="K2679" s="24">
        <v>-12998</v>
      </c>
      <c r="L2679" s="38">
        <v>46281</v>
      </c>
      <c r="M2679" s="23" t="s">
        <v>204</v>
      </c>
      <c r="N2679" s="23" t="str">
        <f>IF(COUNTIF($A$2:A2679,A2679)&gt;1,"DUP","OK")</f>
        <v>OK</v>
      </c>
      <c r="O2679" s="23" t="str">
        <f t="shared" si="124"/>
        <v>ORD26005674</v>
      </c>
      <c r="P2679" s="23" t="str">
        <f t="shared" si="125"/>
        <v>Sep</v>
      </c>
      <c r="Q2679" s="23" t="str">
        <f>IF(F2679="CAPTURE",IF(COUNTIF(orders!$A:$A,O2679)&gt;0,"Yes","NO ORDER"),"")</f>
        <v/>
      </c>
    </row>
    <row r="2680" spans="1:17" ht="15" customHeight="1" x14ac:dyDescent="0.3">
      <c r="A2680" s="23" t="s">
        <v>15530</v>
      </c>
      <c r="B2680" s="23" t="s">
        <v>14696</v>
      </c>
      <c r="C2680" s="23"/>
      <c r="D2680" s="23" t="str">
        <f t="shared" si="123"/>
        <v/>
      </c>
      <c r="E2680" s="38">
        <v>46279</v>
      </c>
      <c r="F2680" s="23" t="s">
        <v>12791</v>
      </c>
      <c r="G2680" s="23" t="s">
        <v>81</v>
      </c>
      <c r="H2680" s="24">
        <v>2499</v>
      </c>
      <c r="I2680" s="24">
        <v>0</v>
      </c>
      <c r="J2680" s="24">
        <v>0</v>
      </c>
      <c r="K2680" s="24">
        <v>-2499</v>
      </c>
      <c r="L2680" s="38">
        <v>46281</v>
      </c>
      <c r="M2680" s="23" t="s">
        <v>204</v>
      </c>
      <c r="N2680" s="23" t="str">
        <f>IF(COUNTIF($A$2:A2680,A2680)&gt;1,"DUP","OK")</f>
        <v>OK</v>
      </c>
      <c r="O2680" s="23" t="str">
        <f t="shared" si="124"/>
        <v>ORD26003600</v>
      </c>
      <c r="P2680" s="23" t="str">
        <f t="shared" si="125"/>
        <v>Sep</v>
      </c>
      <c r="Q2680" s="23" t="str">
        <f>IF(F2680="CAPTURE",IF(COUNTIF(orders!$A:$A,O2680)&gt;0,"Yes","NO ORDER"),"")</f>
        <v/>
      </c>
    </row>
    <row r="2681" spans="1:17" ht="15" customHeight="1" x14ac:dyDescent="0.3">
      <c r="A2681" s="23" t="s">
        <v>15531</v>
      </c>
      <c r="B2681" s="23" t="s">
        <v>14209</v>
      </c>
      <c r="C2681" s="23"/>
      <c r="D2681" s="23" t="str">
        <f t="shared" si="123"/>
        <v/>
      </c>
      <c r="E2681" s="38">
        <v>46279</v>
      </c>
      <c r="F2681" s="23" t="s">
        <v>12791</v>
      </c>
      <c r="G2681" s="23" t="s">
        <v>77</v>
      </c>
      <c r="H2681" s="24">
        <v>3798</v>
      </c>
      <c r="I2681" s="24">
        <v>0</v>
      </c>
      <c r="J2681" s="24">
        <v>0</v>
      </c>
      <c r="K2681" s="24">
        <v>-3798</v>
      </c>
      <c r="L2681" s="38">
        <v>46281</v>
      </c>
      <c r="M2681" s="23" t="s">
        <v>204</v>
      </c>
      <c r="N2681" s="23" t="str">
        <f>IF(COUNTIF($A$2:A2681,A2681)&gt;1,"DUP","OK")</f>
        <v>OK</v>
      </c>
      <c r="O2681" s="23" t="str">
        <f t="shared" si="124"/>
        <v>ORD26001608</v>
      </c>
      <c r="P2681" s="23" t="str">
        <f t="shared" si="125"/>
        <v>Sep</v>
      </c>
      <c r="Q2681" s="23" t="str">
        <f>IF(F2681="CAPTURE",IF(COUNTIF(orders!$A:$A,O2681)&gt;0,"Yes","NO ORDER"),"")</f>
        <v/>
      </c>
    </row>
    <row r="2682" spans="1:17" ht="15" customHeight="1" x14ac:dyDescent="0.3">
      <c r="A2682" s="23" t="s">
        <v>15532</v>
      </c>
      <c r="B2682" s="23" t="s">
        <v>14497</v>
      </c>
      <c r="C2682" s="23"/>
      <c r="D2682" s="23" t="str">
        <f t="shared" si="123"/>
        <v/>
      </c>
      <c r="E2682" s="38">
        <v>46279</v>
      </c>
      <c r="F2682" s="23" t="s">
        <v>12791</v>
      </c>
      <c r="G2682" s="23" t="s">
        <v>79</v>
      </c>
      <c r="H2682" s="24">
        <v>1299</v>
      </c>
      <c r="I2682" s="24">
        <v>0</v>
      </c>
      <c r="J2682" s="24">
        <v>0</v>
      </c>
      <c r="K2682" s="24">
        <v>-1299</v>
      </c>
      <c r="L2682" s="38">
        <v>46281</v>
      </c>
      <c r="M2682" s="23" t="s">
        <v>204</v>
      </c>
      <c r="N2682" s="23" t="str">
        <f>IF(COUNTIF($A$2:A2682,A2682)&gt;1,"DUP","OK")</f>
        <v>OK</v>
      </c>
      <c r="O2682" s="23" t="str">
        <f t="shared" si="124"/>
        <v>ORD26003881</v>
      </c>
      <c r="P2682" s="23" t="str">
        <f t="shared" si="125"/>
        <v>Sep</v>
      </c>
      <c r="Q2682" s="23" t="str">
        <f>IF(F2682="CAPTURE",IF(COUNTIF(orders!$A:$A,O2682)&gt;0,"Yes","NO ORDER"),"")</f>
        <v/>
      </c>
    </row>
    <row r="2683" spans="1:17" ht="15" customHeight="1" x14ac:dyDescent="0.3">
      <c r="A2683" s="23" t="s">
        <v>15533</v>
      </c>
      <c r="B2683" s="23" t="s">
        <v>14792</v>
      </c>
      <c r="C2683" s="23"/>
      <c r="D2683" s="23" t="str">
        <f t="shared" si="123"/>
        <v/>
      </c>
      <c r="E2683" s="38">
        <v>46279</v>
      </c>
      <c r="F2683" s="23" t="s">
        <v>12791</v>
      </c>
      <c r="G2683" s="23" t="s">
        <v>75</v>
      </c>
      <c r="H2683" s="24">
        <v>999</v>
      </c>
      <c r="I2683" s="24">
        <v>0</v>
      </c>
      <c r="J2683" s="24">
        <v>0</v>
      </c>
      <c r="K2683" s="24">
        <v>-999</v>
      </c>
      <c r="L2683" s="38">
        <v>46281</v>
      </c>
      <c r="M2683" s="23" t="s">
        <v>204</v>
      </c>
      <c r="N2683" s="23" t="str">
        <f>IF(COUNTIF($A$2:A2683,A2683)&gt;1,"DUP","OK")</f>
        <v>OK</v>
      </c>
      <c r="O2683" s="23" t="str">
        <f t="shared" si="124"/>
        <v>ORD26005672</v>
      </c>
      <c r="P2683" s="23" t="str">
        <f t="shared" si="125"/>
        <v>Sep</v>
      </c>
      <c r="Q2683" s="23" t="str">
        <f>IF(F2683="CAPTURE",IF(COUNTIF(orders!$A:$A,O2683)&gt;0,"Yes","NO ORDER"),"")</f>
        <v/>
      </c>
    </row>
    <row r="2684" spans="1:17" ht="15" customHeight="1" x14ac:dyDescent="0.3">
      <c r="A2684" s="23" t="s">
        <v>15534</v>
      </c>
      <c r="B2684" s="23"/>
      <c r="C2684" s="23" t="s">
        <v>275</v>
      </c>
      <c r="D2684" s="23" t="str">
        <f t="shared" si="123"/>
        <v>ORD26000010</v>
      </c>
      <c r="E2684" s="38">
        <v>46280</v>
      </c>
      <c r="F2684" s="23" t="s">
        <v>12410</v>
      </c>
      <c r="G2684" s="23" t="s">
        <v>75</v>
      </c>
      <c r="H2684" s="24">
        <v>9497</v>
      </c>
      <c r="I2684" s="24">
        <v>28.49</v>
      </c>
      <c r="J2684" s="24">
        <v>5.13</v>
      </c>
      <c r="K2684" s="24">
        <v>9463.3799999999992</v>
      </c>
      <c r="L2684" s="38">
        <v>46282</v>
      </c>
      <c r="M2684" s="23" t="s">
        <v>206</v>
      </c>
      <c r="N2684" s="23" t="str">
        <f>IF(COUNTIF($A$2:A2684,A2684)&gt;1,"DUP","OK")</f>
        <v>OK</v>
      </c>
      <c r="O2684" s="23" t="str">
        <f t="shared" si="124"/>
        <v>ORD26000010</v>
      </c>
      <c r="P2684" s="23" t="str">
        <f t="shared" si="125"/>
        <v>Sep</v>
      </c>
      <c r="Q2684" s="23" t="str">
        <f>IF(F2684="CAPTURE",IF(COUNTIF(orders!$A:$A,O2684)&gt;0,"Yes","NO ORDER"),"")</f>
        <v>Yes</v>
      </c>
    </row>
    <row r="2685" spans="1:17" ht="15" customHeight="1" x14ac:dyDescent="0.3">
      <c r="A2685" s="23" t="s">
        <v>15535</v>
      </c>
      <c r="B2685" s="23"/>
      <c r="C2685" s="23" t="s">
        <v>327</v>
      </c>
      <c r="D2685" s="23" t="str">
        <f t="shared" si="123"/>
        <v>ORD26000028</v>
      </c>
      <c r="E2685" s="38">
        <v>46280</v>
      </c>
      <c r="F2685" s="23" t="s">
        <v>12410</v>
      </c>
      <c r="G2685" s="23" t="s">
        <v>75</v>
      </c>
      <c r="H2685" s="24">
        <v>599</v>
      </c>
      <c r="I2685" s="24">
        <v>0</v>
      </c>
      <c r="J2685" s="24">
        <v>0</v>
      </c>
      <c r="K2685" s="24">
        <v>599</v>
      </c>
      <c r="L2685" s="38">
        <v>46282</v>
      </c>
      <c r="M2685" s="23" t="s">
        <v>206</v>
      </c>
      <c r="N2685" s="23" t="str">
        <f>IF(COUNTIF($A$2:A2685,A2685)&gt;1,"DUP","OK")</f>
        <v>OK</v>
      </c>
      <c r="O2685" s="23" t="str">
        <f t="shared" si="124"/>
        <v>ORD26000028</v>
      </c>
      <c r="P2685" s="23" t="str">
        <f t="shared" si="125"/>
        <v>Sep</v>
      </c>
      <c r="Q2685" s="23" t="str">
        <f>IF(F2685="CAPTURE",IF(COUNTIF(orders!$A:$A,O2685)&gt;0,"Yes","NO ORDER"),"")</f>
        <v>Yes</v>
      </c>
    </row>
    <row r="2686" spans="1:17" ht="15" customHeight="1" x14ac:dyDescent="0.3">
      <c r="A2686" s="23" t="s">
        <v>15536</v>
      </c>
      <c r="B2686" s="23"/>
      <c r="C2686" s="23" t="s">
        <v>358</v>
      </c>
      <c r="D2686" s="23" t="str">
        <f t="shared" si="123"/>
        <v>ORD26000039</v>
      </c>
      <c r="E2686" s="38">
        <v>46280</v>
      </c>
      <c r="F2686" s="23" t="s">
        <v>12410</v>
      </c>
      <c r="G2686" s="23" t="s">
        <v>75</v>
      </c>
      <c r="H2686" s="24">
        <v>10297</v>
      </c>
      <c r="I2686" s="24">
        <v>30.89</v>
      </c>
      <c r="J2686" s="24">
        <v>5.56</v>
      </c>
      <c r="K2686" s="24">
        <v>10260.549999999999</v>
      </c>
      <c r="L2686" s="38">
        <v>46282</v>
      </c>
      <c r="M2686" s="23" t="s">
        <v>206</v>
      </c>
      <c r="N2686" s="23" t="str">
        <f>IF(COUNTIF($A$2:A2686,A2686)&gt;1,"DUP","OK")</f>
        <v>OK</v>
      </c>
      <c r="O2686" s="23" t="str">
        <f t="shared" si="124"/>
        <v>ORD26000039</v>
      </c>
      <c r="P2686" s="23" t="str">
        <f t="shared" si="125"/>
        <v>Sep</v>
      </c>
      <c r="Q2686" s="23" t="str">
        <f>IF(F2686="CAPTURE",IF(COUNTIF(orders!$A:$A,O2686)&gt;0,"Yes","NO ORDER"),"")</f>
        <v>Yes</v>
      </c>
    </row>
    <row r="2687" spans="1:17" ht="15" customHeight="1" x14ac:dyDescent="0.3">
      <c r="A2687" s="23" t="s">
        <v>15537</v>
      </c>
      <c r="B2687" s="23"/>
      <c r="C2687" s="23" t="s">
        <v>376</v>
      </c>
      <c r="D2687" s="23" t="str">
        <f t="shared" si="123"/>
        <v>ORD26000046</v>
      </c>
      <c r="E2687" s="38">
        <v>46280</v>
      </c>
      <c r="F2687" s="23" t="s">
        <v>12410</v>
      </c>
      <c r="G2687" s="23" t="s">
        <v>75</v>
      </c>
      <c r="H2687" s="24">
        <v>2848</v>
      </c>
      <c r="I2687" s="24">
        <v>8.5399999999999991</v>
      </c>
      <c r="J2687" s="24">
        <v>1.54</v>
      </c>
      <c r="K2687" s="24">
        <v>2837.92</v>
      </c>
      <c r="L2687" s="38">
        <v>46282</v>
      </c>
      <c r="M2687" s="23" t="s">
        <v>206</v>
      </c>
      <c r="N2687" s="23" t="str">
        <f>IF(COUNTIF($A$2:A2687,A2687)&gt;1,"DUP","OK")</f>
        <v>OK</v>
      </c>
      <c r="O2687" s="23" t="str">
        <f t="shared" si="124"/>
        <v>ORD26000046</v>
      </c>
      <c r="P2687" s="23" t="str">
        <f t="shared" si="125"/>
        <v>Sep</v>
      </c>
      <c r="Q2687" s="23" t="str">
        <f>IF(F2687="CAPTURE",IF(COUNTIF(orders!$A:$A,O2687)&gt;0,"Yes","NO ORDER"),"")</f>
        <v>Yes</v>
      </c>
    </row>
    <row r="2688" spans="1:17" ht="15" customHeight="1" x14ac:dyDescent="0.3">
      <c r="A2688" s="23" t="s">
        <v>15538</v>
      </c>
      <c r="B2688" s="23"/>
      <c r="C2688" s="23" t="s">
        <v>436</v>
      </c>
      <c r="D2688" s="23" t="str">
        <f t="shared" si="123"/>
        <v>ORD26000071</v>
      </c>
      <c r="E2688" s="38">
        <v>46280</v>
      </c>
      <c r="F2688" s="23" t="s">
        <v>12410</v>
      </c>
      <c r="G2688" s="23" t="s">
        <v>75</v>
      </c>
      <c r="H2688" s="24">
        <v>5498</v>
      </c>
      <c r="I2688" s="24">
        <v>16.489999999999998</v>
      </c>
      <c r="J2688" s="24">
        <v>2.97</v>
      </c>
      <c r="K2688" s="24">
        <v>5478.54</v>
      </c>
      <c r="L2688" s="38">
        <v>46282</v>
      </c>
      <c r="M2688" s="23" t="s">
        <v>206</v>
      </c>
      <c r="N2688" s="23" t="str">
        <f>IF(COUNTIF($A$2:A2688,A2688)&gt;1,"DUP","OK")</f>
        <v>OK</v>
      </c>
      <c r="O2688" s="23" t="str">
        <f t="shared" si="124"/>
        <v>ORD26000071</v>
      </c>
      <c r="P2688" s="23" t="str">
        <f t="shared" si="125"/>
        <v>Sep</v>
      </c>
      <c r="Q2688" s="23" t="str">
        <f>IF(F2688="CAPTURE",IF(COUNTIF(orders!$A:$A,O2688)&gt;0,"Yes","NO ORDER"),"")</f>
        <v>Yes</v>
      </c>
    </row>
    <row r="2689" spans="1:17" ht="15" customHeight="1" x14ac:dyDescent="0.3">
      <c r="A2689" s="23" t="s">
        <v>15539</v>
      </c>
      <c r="B2689" s="23"/>
      <c r="C2689" s="23" t="s">
        <v>15540</v>
      </c>
      <c r="D2689" s="23" t="str">
        <f t="shared" si="123"/>
        <v>ORD26000123</v>
      </c>
      <c r="E2689" s="38">
        <v>46280</v>
      </c>
      <c r="F2689" s="23" t="s">
        <v>12410</v>
      </c>
      <c r="G2689" s="23" t="s">
        <v>75</v>
      </c>
      <c r="H2689" s="24">
        <v>4797</v>
      </c>
      <c r="I2689" s="24">
        <v>14.39</v>
      </c>
      <c r="J2689" s="24">
        <v>2.59</v>
      </c>
      <c r="K2689" s="24">
        <v>4780.0200000000004</v>
      </c>
      <c r="L2689" s="38">
        <v>46282</v>
      </c>
      <c r="M2689" s="23" t="s">
        <v>206</v>
      </c>
      <c r="N2689" s="23" t="str">
        <f>IF(COUNTIF($A$2:A2689,A2689)&gt;1,"DUP","OK")</f>
        <v>OK</v>
      </c>
      <c r="O2689" s="23" t="str">
        <f t="shared" si="124"/>
        <v>ORD26000123</v>
      </c>
      <c r="P2689" s="23" t="str">
        <f t="shared" si="125"/>
        <v>Sep</v>
      </c>
      <c r="Q2689" s="23" t="str">
        <f>IF(F2689="CAPTURE",IF(COUNTIF(orders!$A:$A,O2689)&gt;0,"Yes","NO ORDER"),"")</f>
        <v>Yes</v>
      </c>
    </row>
    <row r="2690" spans="1:17" ht="15" customHeight="1" x14ac:dyDescent="0.3">
      <c r="A2690" s="23" t="s">
        <v>15541</v>
      </c>
      <c r="B2690" s="23"/>
      <c r="C2690" s="23" t="s">
        <v>570</v>
      </c>
      <c r="D2690" s="23" t="str">
        <f t="shared" ref="D2690:D2753" si="126">UPPER(SUBSTITUTE(TRIM(C2690),"-",""))</f>
        <v>ORD26000127</v>
      </c>
      <c r="E2690" s="38">
        <v>46280</v>
      </c>
      <c r="F2690" s="23" t="s">
        <v>12410</v>
      </c>
      <c r="G2690" s="23" t="s">
        <v>79</v>
      </c>
      <c r="H2690" s="24">
        <v>1499</v>
      </c>
      <c r="I2690" s="24">
        <v>26.98</v>
      </c>
      <c r="J2690" s="24">
        <v>4.8600000000000003</v>
      </c>
      <c r="K2690" s="24">
        <v>1467.16</v>
      </c>
      <c r="L2690" s="38">
        <v>46282</v>
      </c>
      <c r="M2690" s="23" t="s">
        <v>206</v>
      </c>
      <c r="N2690" s="23" t="str">
        <f>IF(COUNTIF($A$2:A2690,A2690)&gt;1,"DUP","OK")</f>
        <v>OK</v>
      </c>
      <c r="O2690" s="23" t="str">
        <f t="shared" ref="O2690:O2753" si="127">IF(F2690="REFUND",INDEX($D:$D,MATCH(B2690,$A:$A,0)),D2690)</f>
        <v>ORD26000127</v>
      </c>
      <c r="P2690" s="23" t="str">
        <f t="shared" ref="P2690:P2753" si="128">IF(L2690&gt;DATE(2026,9,30),"Oct-Due","Sep")</f>
        <v>Sep</v>
      </c>
      <c r="Q2690" s="23" t="str">
        <f>IF(F2690="CAPTURE",IF(COUNTIF(orders!$A:$A,O2690)&gt;0,"Yes","NO ORDER"),"")</f>
        <v>Yes</v>
      </c>
    </row>
    <row r="2691" spans="1:17" ht="15" customHeight="1" x14ac:dyDescent="0.3">
      <c r="A2691" s="23" t="s">
        <v>15542</v>
      </c>
      <c r="B2691" s="23"/>
      <c r="C2691" s="23" t="s">
        <v>588</v>
      </c>
      <c r="D2691" s="23" t="str">
        <f t="shared" si="126"/>
        <v>ORD26000134</v>
      </c>
      <c r="E2691" s="38">
        <v>46280</v>
      </c>
      <c r="F2691" s="23" t="s">
        <v>12410</v>
      </c>
      <c r="G2691" s="23" t="s">
        <v>75</v>
      </c>
      <c r="H2691" s="24">
        <v>999</v>
      </c>
      <c r="I2691" s="24">
        <v>0</v>
      </c>
      <c r="J2691" s="24">
        <v>0</v>
      </c>
      <c r="K2691" s="24">
        <v>999</v>
      </c>
      <c r="L2691" s="38">
        <v>46282</v>
      </c>
      <c r="M2691" s="23" t="s">
        <v>206</v>
      </c>
      <c r="N2691" s="23" t="str">
        <f>IF(COUNTIF($A$2:A2691,A2691)&gt;1,"DUP","OK")</f>
        <v>OK</v>
      </c>
      <c r="O2691" s="23" t="str">
        <f t="shared" si="127"/>
        <v>ORD26000134</v>
      </c>
      <c r="P2691" s="23" t="str">
        <f t="shared" si="128"/>
        <v>Sep</v>
      </c>
      <c r="Q2691" s="23" t="str">
        <f>IF(F2691="CAPTURE",IF(COUNTIF(orders!$A:$A,O2691)&gt;0,"Yes","NO ORDER"),"")</f>
        <v>Yes</v>
      </c>
    </row>
    <row r="2692" spans="1:17" ht="15" customHeight="1" x14ac:dyDescent="0.3">
      <c r="A2692" s="23" t="s">
        <v>15543</v>
      </c>
      <c r="B2692" s="23"/>
      <c r="C2692" s="23" t="s">
        <v>15544</v>
      </c>
      <c r="D2692" s="23" t="str">
        <f t="shared" si="126"/>
        <v>ORD26000186</v>
      </c>
      <c r="E2692" s="38">
        <v>46280</v>
      </c>
      <c r="F2692" s="23" t="s">
        <v>12410</v>
      </c>
      <c r="G2692" s="23" t="s">
        <v>75</v>
      </c>
      <c r="H2692" s="24">
        <v>1799</v>
      </c>
      <c r="I2692" s="24">
        <v>0</v>
      </c>
      <c r="J2692" s="24">
        <v>0</v>
      </c>
      <c r="K2692" s="24">
        <v>1799</v>
      </c>
      <c r="L2692" s="38">
        <v>46282</v>
      </c>
      <c r="M2692" s="23" t="s">
        <v>206</v>
      </c>
      <c r="N2692" s="23" t="str">
        <f>IF(COUNTIF($A$2:A2692,A2692)&gt;1,"DUP","OK")</f>
        <v>OK</v>
      </c>
      <c r="O2692" s="23" t="str">
        <f t="shared" si="127"/>
        <v>ORD26000186</v>
      </c>
      <c r="P2692" s="23" t="str">
        <f t="shared" si="128"/>
        <v>Sep</v>
      </c>
      <c r="Q2692" s="23" t="str">
        <f>IF(F2692="CAPTURE",IF(COUNTIF(orders!$A:$A,O2692)&gt;0,"Yes","NO ORDER"),"")</f>
        <v>Yes</v>
      </c>
    </row>
    <row r="2693" spans="1:17" ht="15" customHeight="1" x14ac:dyDescent="0.3">
      <c r="A2693" s="23" t="s">
        <v>15545</v>
      </c>
      <c r="B2693" s="23"/>
      <c r="C2693" s="23" t="s">
        <v>718</v>
      </c>
      <c r="D2693" s="23" t="str">
        <f t="shared" si="126"/>
        <v>ORD26000191</v>
      </c>
      <c r="E2693" s="38">
        <v>46280</v>
      </c>
      <c r="F2693" s="23" t="s">
        <v>12410</v>
      </c>
      <c r="G2693" s="23" t="s">
        <v>79</v>
      </c>
      <c r="H2693" s="24">
        <v>3798</v>
      </c>
      <c r="I2693" s="24">
        <v>60.77</v>
      </c>
      <c r="J2693" s="24">
        <v>10.94</v>
      </c>
      <c r="K2693" s="24">
        <v>3726.29</v>
      </c>
      <c r="L2693" s="38">
        <v>46282</v>
      </c>
      <c r="M2693" s="23" t="s">
        <v>206</v>
      </c>
      <c r="N2693" s="23" t="str">
        <f>IF(COUNTIF($A$2:A2693,A2693)&gt;1,"DUP","OK")</f>
        <v>OK</v>
      </c>
      <c r="O2693" s="23" t="str">
        <f t="shared" si="127"/>
        <v>ORD26000191</v>
      </c>
      <c r="P2693" s="23" t="str">
        <f t="shared" si="128"/>
        <v>Sep</v>
      </c>
      <c r="Q2693" s="23" t="str">
        <f>IF(F2693="CAPTURE",IF(COUNTIF(orders!$A:$A,O2693)&gt;0,"Yes","NO ORDER"),"")</f>
        <v>Yes</v>
      </c>
    </row>
    <row r="2694" spans="1:17" ht="15" customHeight="1" x14ac:dyDescent="0.3">
      <c r="A2694" s="23" t="s">
        <v>15546</v>
      </c>
      <c r="B2694" s="23"/>
      <c r="C2694" s="23" t="s">
        <v>770</v>
      </c>
      <c r="D2694" s="23" t="str">
        <f t="shared" si="126"/>
        <v>ORD26000212</v>
      </c>
      <c r="E2694" s="38">
        <v>46280</v>
      </c>
      <c r="F2694" s="23" t="s">
        <v>12410</v>
      </c>
      <c r="G2694" s="23" t="s">
        <v>75</v>
      </c>
      <c r="H2694" s="24">
        <v>4798</v>
      </c>
      <c r="I2694" s="24">
        <v>14.39</v>
      </c>
      <c r="J2694" s="24">
        <v>2.59</v>
      </c>
      <c r="K2694" s="24">
        <v>4781.0200000000004</v>
      </c>
      <c r="L2694" s="38">
        <v>46282</v>
      </c>
      <c r="M2694" s="23" t="s">
        <v>206</v>
      </c>
      <c r="N2694" s="23" t="str">
        <f>IF(COUNTIF($A$2:A2694,A2694)&gt;1,"DUP","OK")</f>
        <v>OK</v>
      </c>
      <c r="O2694" s="23" t="str">
        <f t="shared" si="127"/>
        <v>ORD26000212</v>
      </c>
      <c r="P2694" s="23" t="str">
        <f t="shared" si="128"/>
        <v>Sep</v>
      </c>
      <c r="Q2694" s="23" t="str">
        <f>IF(F2694="CAPTURE",IF(COUNTIF(orders!$A:$A,O2694)&gt;0,"Yes","NO ORDER"),"")</f>
        <v>Yes</v>
      </c>
    </row>
    <row r="2695" spans="1:17" ht="15" customHeight="1" x14ac:dyDescent="0.3">
      <c r="A2695" s="23" t="s">
        <v>15547</v>
      </c>
      <c r="B2695" s="23"/>
      <c r="C2695" s="23" t="s">
        <v>922</v>
      </c>
      <c r="D2695" s="23" t="str">
        <f t="shared" si="126"/>
        <v>ORD26000279</v>
      </c>
      <c r="E2695" s="38">
        <v>46280</v>
      </c>
      <c r="F2695" s="23" t="s">
        <v>12410</v>
      </c>
      <c r="G2695" s="23" t="s">
        <v>81</v>
      </c>
      <c r="H2695" s="24">
        <v>4798</v>
      </c>
      <c r="I2695" s="24">
        <v>57.58</v>
      </c>
      <c r="J2695" s="24">
        <v>10.36</v>
      </c>
      <c r="K2695" s="24">
        <v>4730.0600000000004</v>
      </c>
      <c r="L2695" s="38">
        <v>46282</v>
      </c>
      <c r="M2695" s="23" t="s">
        <v>206</v>
      </c>
      <c r="N2695" s="23" t="str">
        <f>IF(COUNTIF($A$2:A2695,A2695)&gt;1,"DUP","OK")</f>
        <v>OK</v>
      </c>
      <c r="O2695" s="23" t="str">
        <f t="shared" si="127"/>
        <v>ORD26000279</v>
      </c>
      <c r="P2695" s="23" t="str">
        <f t="shared" si="128"/>
        <v>Sep</v>
      </c>
      <c r="Q2695" s="23" t="str">
        <f>IF(F2695="CAPTURE",IF(COUNTIF(orders!$A:$A,O2695)&gt;0,"Yes","NO ORDER"),"")</f>
        <v>Yes</v>
      </c>
    </row>
    <row r="2696" spans="1:17" ht="15" customHeight="1" x14ac:dyDescent="0.3">
      <c r="A2696" s="23" t="s">
        <v>15548</v>
      </c>
      <c r="B2696" s="23"/>
      <c r="C2696" s="23" t="s">
        <v>946</v>
      </c>
      <c r="D2696" s="23" t="str">
        <f t="shared" si="126"/>
        <v>ORD26000291</v>
      </c>
      <c r="E2696" s="38">
        <v>46280</v>
      </c>
      <c r="F2696" s="23" t="s">
        <v>12410</v>
      </c>
      <c r="G2696" s="23" t="s">
        <v>75</v>
      </c>
      <c r="H2696" s="24">
        <v>799</v>
      </c>
      <c r="I2696" s="24">
        <v>0</v>
      </c>
      <c r="J2696" s="24">
        <v>0</v>
      </c>
      <c r="K2696" s="24">
        <v>799</v>
      </c>
      <c r="L2696" s="38">
        <v>46282</v>
      </c>
      <c r="M2696" s="23" t="s">
        <v>206</v>
      </c>
      <c r="N2696" s="23" t="str">
        <f>IF(COUNTIF($A$2:A2696,A2696)&gt;1,"DUP","OK")</f>
        <v>OK</v>
      </c>
      <c r="O2696" s="23" t="str">
        <f t="shared" si="127"/>
        <v>ORD26000291</v>
      </c>
      <c r="P2696" s="23" t="str">
        <f t="shared" si="128"/>
        <v>Sep</v>
      </c>
      <c r="Q2696" s="23" t="str">
        <f>IF(F2696="CAPTURE",IF(COUNTIF(orders!$A:$A,O2696)&gt;0,"Yes","NO ORDER"),"")</f>
        <v>Yes</v>
      </c>
    </row>
    <row r="2697" spans="1:17" ht="15" customHeight="1" x14ac:dyDescent="0.3">
      <c r="A2697" s="23" t="s">
        <v>15549</v>
      </c>
      <c r="B2697" s="23"/>
      <c r="C2697" s="23" t="s">
        <v>964</v>
      </c>
      <c r="D2697" s="23" t="str">
        <f t="shared" si="126"/>
        <v>ORD26000299</v>
      </c>
      <c r="E2697" s="38">
        <v>46280</v>
      </c>
      <c r="F2697" s="23" t="s">
        <v>12410</v>
      </c>
      <c r="G2697" s="23" t="s">
        <v>79</v>
      </c>
      <c r="H2697" s="24">
        <v>8798</v>
      </c>
      <c r="I2697" s="24">
        <v>140.77000000000001</v>
      </c>
      <c r="J2697" s="24">
        <v>25.34</v>
      </c>
      <c r="K2697" s="24">
        <v>8631.89</v>
      </c>
      <c r="L2697" s="38">
        <v>46282</v>
      </c>
      <c r="M2697" s="23" t="s">
        <v>206</v>
      </c>
      <c r="N2697" s="23" t="str">
        <f>IF(COUNTIF($A$2:A2697,A2697)&gt;1,"DUP","OK")</f>
        <v>OK</v>
      </c>
      <c r="O2697" s="23" t="str">
        <f t="shared" si="127"/>
        <v>ORD26000299</v>
      </c>
      <c r="P2697" s="23" t="str">
        <f t="shared" si="128"/>
        <v>Sep</v>
      </c>
      <c r="Q2697" s="23" t="str">
        <f>IF(F2697="CAPTURE",IF(COUNTIF(orders!$A:$A,O2697)&gt;0,"Yes","NO ORDER"),"")</f>
        <v>Yes</v>
      </c>
    </row>
    <row r="2698" spans="1:17" ht="15" customHeight="1" x14ac:dyDescent="0.3">
      <c r="A2698" s="23" t="s">
        <v>15550</v>
      </c>
      <c r="B2698" s="23"/>
      <c r="C2698" s="23" t="s">
        <v>15551</v>
      </c>
      <c r="D2698" s="23" t="str">
        <f t="shared" si="126"/>
        <v>ORD26000324</v>
      </c>
      <c r="E2698" s="38">
        <v>46280</v>
      </c>
      <c r="F2698" s="23" t="s">
        <v>12410</v>
      </c>
      <c r="G2698" s="23" t="s">
        <v>75</v>
      </c>
      <c r="H2698" s="24">
        <v>299</v>
      </c>
      <c r="I2698" s="24">
        <v>0</v>
      </c>
      <c r="J2698" s="24">
        <v>0</v>
      </c>
      <c r="K2698" s="24">
        <v>299</v>
      </c>
      <c r="L2698" s="38">
        <v>46282</v>
      </c>
      <c r="M2698" s="23" t="s">
        <v>206</v>
      </c>
      <c r="N2698" s="23" t="str">
        <f>IF(COUNTIF($A$2:A2698,A2698)&gt;1,"DUP","OK")</f>
        <v>OK</v>
      </c>
      <c r="O2698" s="23" t="str">
        <f t="shared" si="127"/>
        <v>ORD26000324</v>
      </c>
      <c r="P2698" s="23" t="str">
        <f t="shared" si="128"/>
        <v>Sep</v>
      </c>
      <c r="Q2698" s="23" t="str">
        <f>IF(F2698="CAPTURE",IF(COUNTIF(orders!$A:$A,O2698)&gt;0,"Yes","NO ORDER"),"")</f>
        <v>Yes</v>
      </c>
    </row>
    <row r="2699" spans="1:17" ht="15" customHeight="1" x14ac:dyDescent="0.3">
      <c r="A2699" s="23" t="s">
        <v>15552</v>
      </c>
      <c r="B2699" s="23"/>
      <c r="C2699" s="23" t="s">
        <v>15553</v>
      </c>
      <c r="D2699" s="23" t="str">
        <f t="shared" si="126"/>
        <v>ORD26000327</v>
      </c>
      <c r="E2699" s="38">
        <v>46280</v>
      </c>
      <c r="F2699" s="23" t="s">
        <v>12410</v>
      </c>
      <c r="G2699" s="23" t="s">
        <v>75</v>
      </c>
      <c r="H2699" s="24">
        <v>599</v>
      </c>
      <c r="I2699" s="24">
        <v>0</v>
      </c>
      <c r="J2699" s="24">
        <v>0</v>
      </c>
      <c r="K2699" s="24">
        <v>599</v>
      </c>
      <c r="L2699" s="38">
        <v>46282</v>
      </c>
      <c r="M2699" s="23" t="s">
        <v>206</v>
      </c>
      <c r="N2699" s="23" t="str">
        <f>IF(COUNTIF($A$2:A2699,A2699)&gt;1,"DUP","OK")</f>
        <v>OK</v>
      </c>
      <c r="O2699" s="23" t="str">
        <f t="shared" si="127"/>
        <v>ORD26000327</v>
      </c>
      <c r="P2699" s="23" t="str">
        <f t="shared" si="128"/>
        <v>Sep</v>
      </c>
      <c r="Q2699" s="23" t="str">
        <f>IF(F2699="CAPTURE",IF(COUNTIF(orders!$A:$A,O2699)&gt;0,"Yes","NO ORDER"),"")</f>
        <v>Yes</v>
      </c>
    </row>
    <row r="2700" spans="1:17" ht="15" customHeight="1" x14ac:dyDescent="0.3">
      <c r="A2700" s="23" t="s">
        <v>15554</v>
      </c>
      <c r="B2700" s="23"/>
      <c r="C2700" s="23" t="s">
        <v>1039</v>
      </c>
      <c r="D2700" s="23" t="str">
        <f t="shared" si="126"/>
        <v>ORD26000333</v>
      </c>
      <c r="E2700" s="38">
        <v>46280</v>
      </c>
      <c r="F2700" s="23" t="s">
        <v>12410</v>
      </c>
      <c r="G2700" s="23" t="s">
        <v>75</v>
      </c>
      <c r="H2700" s="24">
        <v>499</v>
      </c>
      <c r="I2700" s="24">
        <v>0</v>
      </c>
      <c r="J2700" s="24">
        <v>0</v>
      </c>
      <c r="K2700" s="24">
        <v>499</v>
      </c>
      <c r="L2700" s="38">
        <v>46282</v>
      </c>
      <c r="M2700" s="23" t="s">
        <v>206</v>
      </c>
      <c r="N2700" s="23" t="str">
        <f>IF(COUNTIF($A$2:A2700,A2700)&gt;1,"DUP","OK")</f>
        <v>OK</v>
      </c>
      <c r="O2700" s="23" t="str">
        <f t="shared" si="127"/>
        <v>ORD26000333</v>
      </c>
      <c r="P2700" s="23" t="str">
        <f t="shared" si="128"/>
        <v>Sep</v>
      </c>
      <c r="Q2700" s="23" t="str">
        <f>IF(F2700="CAPTURE",IF(COUNTIF(orders!$A:$A,O2700)&gt;0,"Yes","NO ORDER"),"")</f>
        <v>Yes</v>
      </c>
    </row>
    <row r="2701" spans="1:17" ht="15" customHeight="1" x14ac:dyDescent="0.3">
      <c r="A2701" s="23" t="s">
        <v>15555</v>
      </c>
      <c r="B2701" s="23"/>
      <c r="C2701" s="23" t="s">
        <v>1048</v>
      </c>
      <c r="D2701" s="23" t="str">
        <f t="shared" si="126"/>
        <v>ORD26000337</v>
      </c>
      <c r="E2701" s="38">
        <v>46280</v>
      </c>
      <c r="F2701" s="23" t="s">
        <v>12410</v>
      </c>
      <c r="G2701" s="23" t="s">
        <v>79</v>
      </c>
      <c r="H2701" s="24">
        <v>4498</v>
      </c>
      <c r="I2701" s="24">
        <v>71.97</v>
      </c>
      <c r="J2701" s="24">
        <v>12.95</v>
      </c>
      <c r="K2701" s="24">
        <v>4413.08</v>
      </c>
      <c r="L2701" s="38">
        <v>46282</v>
      </c>
      <c r="M2701" s="23" t="s">
        <v>206</v>
      </c>
      <c r="N2701" s="23" t="str">
        <f>IF(COUNTIF($A$2:A2701,A2701)&gt;1,"DUP","OK")</f>
        <v>OK</v>
      </c>
      <c r="O2701" s="23" t="str">
        <f t="shared" si="127"/>
        <v>ORD26000337</v>
      </c>
      <c r="P2701" s="23" t="str">
        <f t="shared" si="128"/>
        <v>Sep</v>
      </c>
      <c r="Q2701" s="23" t="str">
        <f>IF(F2701="CAPTURE",IF(COUNTIF(orders!$A:$A,O2701)&gt;0,"Yes","NO ORDER"),"")</f>
        <v>Yes</v>
      </c>
    </row>
    <row r="2702" spans="1:17" ht="15" customHeight="1" x14ac:dyDescent="0.3">
      <c r="A2702" s="23" t="s">
        <v>15556</v>
      </c>
      <c r="B2702" s="23"/>
      <c r="C2702" s="23" t="s">
        <v>1055</v>
      </c>
      <c r="D2702" s="23" t="str">
        <f t="shared" si="126"/>
        <v>ORD26000340</v>
      </c>
      <c r="E2702" s="38">
        <v>46280</v>
      </c>
      <c r="F2702" s="23" t="s">
        <v>12410</v>
      </c>
      <c r="G2702" s="23" t="s">
        <v>79</v>
      </c>
      <c r="H2702" s="24">
        <v>1799</v>
      </c>
      <c r="I2702" s="24">
        <v>32.380000000000003</v>
      </c>
      <c r="J2702" s="24">
        <v>5.83</v>
      </c>
      <c r="K2702" s="24">
        <v>1760.79</v>
      </c>
      <c r="L2702" s="38">
        <v>46282</v>
      </c>
      <c r="M2702" s="23" t="s">
        <v>206</v>
      </c>
      <c r="N2702" s="23" t="str">
        <f>IF(COUNTIF($A$2:A2702,A2702)&gt;1,"DUP","OK")</f>
        <v>OK</v>
      </c>
      <c r="O2702" s="23" t="str">
        <f t="shared" si="127"/>
        <v>ORD26000340</v>
      </c>
      <c r="P2702" s="23" t="str">
        <f t="shared" si="128"/>
        <v>Sep</v>
      </c>
      <c r="Q2702" s="23" t="str">
        <f>IF(F2702="CAPTURE",IF(COUNTIF(orders!$A:$A,O2702)&gt;0,"Yes","NO ORDER"),"")</f>
        <v>Yes</v>
      </c>
    </row>
    <row r="2703" spans="1:17" ht="15" customHeight="1" x14ac:dyDescent="0.3">
      <c r="A2703" s="23" t="s">
        <v>15557</v>
      </c>
      <c r="B2703" s="23"/>
      <c r="C2703" s="23" t="s">
        <v>1111</v>
      </c>
      <c r="D2703" s="23" t="str">
        <f t="shared" si="126"/>
        <v>ORD26000365</v>
      </c>
      <c r="E2703" s="38">
        <v>46280</v>
      </c>
      <c r="F2703" s="23" t="s">
        <v>12410</v>
      </c>
      <c r="G2703" s="23" t="s">
        <v>75</v>
      </c>
      <c r="H2703" s="24">
        <v>4999</v>
      </c>
      <c r="I2703" s="24">
        <v>15</v>
      </c>
      <c r="J2703" s="24">
        <v>2.7</v>
      </c>
      <c r="K2703" s="24">
        <v>4981.3</v>
      </c>
      <c r="L2703" s="38">
        <v>46282</v>
      </c>
      <c r="M2703" s="23" t="s">
        <v>206</v>
      </c>
      <c r="N2703" s="23" t="str">
        <f>IF(COUNTIF($A$2:A2703,A2703)&gt;1,"DUP","OK")</f>
        <v>OK</v>
      </c>
      <c r="O2703" s="23" t="str">
        <f t="shared" si="127"/>
        <v>ORD26000365</v>
      </c>
      <c r="P2703" s="23" t="str">
        <f t="shared" si="128"/>
        <v>Sep</v>
      </c>
      <c r="Q2703" s="23" t="str">
        <f>IF(F2703="CAPTURE",IF(COUNTIF(orders!$A:$A,O2703)&gt;0,"Yes","NO ORDER"),"")</f>
        <v>Yes</v>
      </c>
    </row>
    <row r="2704" spans="1:17" ht="15" customHeight="1" x14ac:dyDescent="0.3">
      <c r="A2704" s="23" t="s">
        <v>15558</v>
      </c>
      <c r="B2704" s="23"/>
      <c r="C2704" s="23" t="s">
        <v>1194</v>
      </c>
      <c r="D2704" s="23" t="str">
        <f t="shared" si="126"/>
        <v>ORD26000404</v>
      </c>
      <c r="E2704" s="38">
        <v>46280</v>
      </c>
      <c r="F2704" s="23" t="s">
        <v>12410</v>
      </c>
      <c r="G2704" s="23" t="s">
        <v>81</v>
      </c>
      <c r="H2704" s="24">
        <v>7999</v>
      </c>
      <c r="I2704" s="24">
        <v>95.99</v>
      </c>
      <c r="J2704" s="24">
        <v>17.28</v>
      </c>
      <c r="K2704" s="24">
        <v>7885.73</v>
      </c>
      <c r="L2704" s="38">
        <v>46282</v>
      </c>
      <c r="M2704" s="23" t="s">
        <v>206</v>
      </c>
      <c r="N2704" s="23" t="str">
        <f>IF(COUNTIF($A$2:A2704,A2704)&gt;1,"DUP","OK")</f>
        <v>OK</v>
      </c>
      <c r="O2704" s="23" t="str">
        <f t="shared" si="127"/>
        <v>ORD26000404</v>
      </c>
      <c r="P2704" s="23" t="str">
        <f t="shared" si="128"/>
        <v>Sep</v>
      </c>
      <c r="Q2704" s="23" t="str">
        <f>IF(F2704="CAPTURE",IF(COUNTIF(orders!$A:$A,O2704)&gt;0,"Yes","NO ORDER"),"")</f>
        <v>Yes</v>
      </c>
    </row>
    <row r="2705" spans="1:17" ht="15" customHeight="1" x14ac:dyDescent="0.3">
      <c r="A2705" s="23" t="s">
        <v>15559</v>
      </c>
      <c r="B2705" s="23"/>
      <c r="C2705" s="23" t="s">
        <v>1289</v>
      </c>
      <c r="D2705" s="23" t="str">
        <f t="shared" si="126"/>
        <v>ORD26000448</v>
      </c>
      <c r="E2705" s="38">
        <v>46280</v>
      </c>
      <c r="F2705" s="23" t="s">
        <v>12410</v>
      </c>
      <c r="G2705" s="23" t="s">
        <v>79</v>
      </c>
      <c r="H2705" s="24">
        <v>1598</v>
      </c>
      <c r="I2705" s="24">
        <v>28.76</v>
      </c>
      <c r="J2705" s="24">
        <v>5.18</v>
      </c>
      <c r="K2705" s="24">
        <v>1564.06</v>
      </c>
      <c r="L2705" s="38">
        <v>46282</v>
      </c>
      <c r="M2705" s="23" t="s">
        <v>206</v>
      </c>
      <c r="N2705" s="23" t="str">
        <f>IF(COUNTIF($A$2:A2705,A2705)&gt;1,"DUP","OK")</f>
        <v>OK</v>
      </c>
      <c r="O2705" s="23" t="str">
        <f t="shared" si="127"/>
        <v>ORD26000448</v>
      </c>
      <c r="P2705" s="23" t="str">
        <f t="shared" si="128"/>
        <v>Sep</v>
      </c>
      <c r="Q2705" s="23" t="str">
        <f>IF(F2705="CAPTURE",IF(COUNTIF(orders!$A:$A,O2705)&gt;0,"Yes","NO ORDER"),"")</f>
        <v>Yes</v>
      </c>
    </row>
    <row r="2706" spans="1:17" ht="15" customHeight="1" x14ac:dyDescent="0.3">
      <c r="A2706" s="23" t="s">
        <v>15560</v>
      </c>
      <c r="B2706" s="23"/>
      <c r="C2706" s="23" t="s">
        <v>1335</v>
      </c>
      <c r="D2706" s="23" t="str">
        <f t="shared" si="126"/>
        <v>ORD26000469</v>
      </c>
      <c r="E2706" s="38">
        <v>46280</v>
      </c>
      <c r="F2706" s="23" t="s">
        <v>12410</v>
      </c>
      <c r="G2706" s="23" t="s">
        <v>79</v>
      </c>
      <c r="H2706" s="24">
        <v>2798</v>
      </c>
      <c r="I2706" s="24">
        <v>44.77</v>
      </c>
      <c r="J2706" s="24">
        <v>8.06</v>
      </c>
      <c r="K2706" s="24">
        <v>2745.17</v>
      </c>
      <c r="L2706" s="38">
        <v>46282</v>
      </c>
      <c r="M2706" s="23" t="s">
        <v>206</v>
      </c>
      <c r="N2706" s="23" t="str">
        <f>IF(COUNTIF($A$2:A2706,A2706)&gt;1,"DUP","OK")</f>
        <v>OK</v>
      </c>
      <c r="O2706" s="23" t="str">
        <f t="shared" si="127"/>
        <v>ORD26000469</v>
      </c>
      <c r="P2706" s="23" t="str">
        <f t="shared" si="128"/>
        <v>Sep</v>
      </c>
      <c r="Q2706" s="23" t="str">
        <f>IF(F2706="CAPTURE",IF(COUNTIF(orders!$A:$A,O2706)&gt;0,"Yes","NO ORDER"),"")</f>
        <v>Yes</v>
      </c>
    </row>
    <row r="2707" spans="1:17" ht="15" customHeight="1" x14ac:dyDescent="0.3">
      <c r="A2707" s="23" t="s">
        <v>15561</v>
      </c>
      <c r="B2707" s="23"/>
      <c r="C2707" s="23" t="s">
        <v>15562</v>
      </c>
      <c r="D2707" s="23" t="str">
        <f t="shared" si="126"/>
        <v>ORD26000600</v>
      </c>
      <c r="E2707" s="38">
        <v>46280</v>
      </c>
      <c r="F2707" s="23" t="s">
        <v>12410</v>
      </c>
      <c r="G2707" s="23" t="s">
        <v>75</v>
      </c>
      <c r="H2707" s="24">
        <v>8697</v>
      </c>
      <c r="I2707" s="24">
        <v>26.09</v>
      </c>
      <c r="J2707" s="24">
        <v>4.7</v>
      </c>
      <c r="K2707" s="24">
        <v>8666.2099999999991</v>
      </c>
      <c r="L2707" s="38">
        <v>46282</v>
      </c>
      <c r="M2707" s="23" t="s">
        <v>206</v>
      </c>
      <c r="N2707" s="23" t="str">
        <f>IF(COUNTIF($A$2:A2707,A2707)&gt;1,"DUP","OK")</f>
        <v>OK</v>
      </c>
      <c r="O2707" s="23" t="str">
        <f t="shared" si="127"/>
        <v>ORD26000600</v>
      </c>
      <c r="P2707" s="23" t="str">
        <f t="shared" si="128"/>
        <v>Sep</v>
      </c>
      <c r="Q2707" s="23" t="str">
        <f>IF(F2707="CAPTURE",IF(COUNTIF(orders!$A:$A,O2707)&gt;0,"Yes","NO ORDER"),"")</f>
        <v>Yes</v>
      </c>
    </row>
    <row r="2708" spans="1:17" ht="15" customHeight="1" x14ac:dyDescent="0.3">
      <c r="A2708" s="23" t="s">
        <v>15563</v>
      </c>
      <c r="B2708" s="23"/>
      <c r="C2708" s="23" t="s">
        <v>1780</v>
      </c>
      <c r="D2708" s="23" t="str">
        <f t="shared" si="126"/>
        <v>ORD26000673</v>
      </c>
      <c r="E2708" s="38">
        <v>46280</v>
      </c>
      <c r="F2708" s="23" t="s">
        <v>12410</v>
      </c>
      <c r="G2708" s="23" t="s">
        <v>79</v>
      </c>
      <c r="H2708" s="24">
        <v>4999</v>
      </c>
      <c r="I2708" s="24">
        <v>79.98</v>
      </c>
      <c r="J2708" s="24">
        <v>14.4</v>
      </c>
      <c r="K2708" s="24">
        <v>4904.62</v>
      </c>
      <c r="L2708" s="38">
        <v>46282</v>
      </c>
      <c r="M2708" s="23" t="s">
        <v>206</v>
      </c>
      <c r="N2708" s="23" t="str">
        <f>IF(COUNTIF($A$2:A2708,A2708)&gt;1,"DUP","OK")</f>
        <v>OK</v>
      </c>
      <c r="O2708" s="23" t="str">
        <f t="shared" si="127"/>
        <v>ORD26000673</v>
      </c>
      <c r="P2708" s="23" t="str">
        <f t="shared" si="128"/>
        <v>Sep</v>
      </c>
      <c r="Q2708" s="23" t="str">
        <f>IF(F2708="CAPTURE",IF(COUNTIF(orders!$A:$A,O2708)&gt;0,"Yes","NO ORDER"),"")</f>
        <v>Yes</v>
      </c>
    </row>
    <row r="2709" spans="1:17" ht="15" customHeight="1" x14ac:dyDescent="0.3">
      <c r="A2709" s="23" t="s">
        <v>15564</v>
      </c>
      <c r="B2709" s="23"/>
      <c r="C2709" s="23" t="s">
        <v>1826</v>
      </c>
      <c r="D2709" s="23" t="str">
        <f t="shared" si="126"/>
        <v>ORD26000694</v>
      </c>
      <c r="E2709" s="38">
        <v>46280</v>
      </c>
      <c r="F2709" s="23" t="s">
        <v>12410</v>
      </c>
      <c r="G2709" s="23" t="s">
        <v>75</v>
      </c>
      <c r="H2709" s="24">
        <v>9498</v>
      </c>
      <c r="I2709" s="24">
        <v>28.49</v>
      </c>
      <c r="J2709" s="24">
        <v>5.13</v>
      </c>
      <c r="K2709" s="24">
        <v>9464.3799999999992</v>
      </c>
      <c r="L2709" s="38">
        <v>46282</v>
      </c>
      <c r="M2709" s="23" t="s">
        <v>206</v>
      </c>
      <c r="N2709" s="23" t="str">
        <f>IF(COUNTIF($A$2:A2709,A2709)&gt;1,"DUP","OK")</f>
        <v>OK</v>
      </c>
      <c r="O2709" s="23" t="str">
        <f t="shared" si="127"/>
        <v>ORD26000694</v>
      </c>
      <c r="P2709" s="23" t="str">
        <f t="shared" si="128"/>
        <v>Sep</v>
      </c>
      <c r="Q2709" s="23" t="str">
        <f>IF(F2709="CAPTURE",IF(COUNTIF(orders!$A:$A,O2709)&gt;0,"Yes","NO ORDER"),"")</f>
        <v>Yes</v>
      </c>
    </row>
    <row r="2710" spans="1:17" ht="15" customHeight="1" x14ac:dyDescent="0.3">
      <c r="A2710" s="23" t="s">
        <v>15565</v>
      </c>
      <c r="B2710" s="23"/>
      <c r="C2710" s="23" t="s">
        <v>1981</v>
      </c>
      <c r="D2710" s="23" t="str">
        <f t="shared" si="126"/>
        <v>ORD26000769</v>
      </c>
      <c r="E2710" s="38">
        <v>46280</v>
      </c>
      <c r="F2710" s="23" t="s">
        <v>12410</v>
      </c>
      <c r="G2710" s="23" t="s">
        <v>75</v>
      </c>
      <c r="H2710" s="24">
        <v>3499</v>
      </c>
      <c r="I2710" s="24">
        <v>10.5</v>
      </c>
      <c r="J2710" s="24">
        <v>1.89</v>
      </c>
      <c r="K2710" s="24">
        <v>3486.61</v>
      </c>
      <c r="L2710" s="38">
        <v>46282</v>
      </c>
      <c r="M2710" s="23" t="s">
        <v>206</v>
      </c>
      <c r="N2710" s="23" t="str">
        <f>IF(COUNTIF($A$2:A2710,A2710)&gt;1,"DUP","OK")</f>
        <v>OK</v>
      </c>
      <c r="O2710" s="23" t="str">
        <f t="shared" si="127"/>
        <v>ORD26000769</v>
      </c>
      <c r="P2710" s="23" t="str">
        <f t="shared" si="128"/>
        <v>Sep</v>
      </c>
      <c r="Q2710" s="23" t="str">
        <f>IF(F2710="CAPTURE",IF(COUNTIF(orders!$A:$A,O2710)&gt;0,"Yes","NO ORDER"),"")</f>
        <v>Yes</v>
      </c>
    </row>
    <row r="2711" spans="1:17" ht="15" customHeight="1" x14ac:dyDescent="0.3">
      <c r="A2711" s="23" t="s">
        <v>15566</v>
      </c>
      <c r="B2711" s="23"/>
      <c r="C2711" s="23" t="s">
        <v>1996</v>
      </c>
      <c r="D2711" s="23" t="str">
        <f t="shared" si="126"/>
        <v>ORD26000776</v>
      </c>
      <c r="E2711" s="38">
        <v>46280</v>
      </c>
      <c r="F2711" s="23" t="s">
        <v>12410</v>
      </c>
      <c r="G2711" s="23" t="s">
        <v>75</v>
      </c>
      <c r="H2711" s="24">
        <v>7147</v>
      </c>
      <c r="I2711" s="24">
        <v>21.44</v>
      </c>
      <c r="J2711" s="24">
        <v>3.86</v>
      </c>
      <c r="K2711" s="24">
        <v>7121.7</v>
      </c>
      <c r="L2711" s="38">
        <v>46282</v>
      </c>
      <c r="M2711" s="23" t="s">
        <v>206</v>
      </c>
      <c r="N2711" s="23" t="str">
        <f>IF(COUNTIF($A$2:A2711,A2711)&gt;1,"DUP","OK")</f>
        <v>OK</v>
      </c>
      <c r="O2711" s="23" t="str">
        <f t="shared" si="127"/>
        <v>ORD26000776</v>
      </c>
      <c r="P2711" s="23" t="str">
        <f t="shared" si="128"/>
        <v>Sep</v>
      </c>
      <c r="Q2711" s="23" t="str">
        <f>IF(F2711="CAPTURE",IF(COUNTIF(orders!$A:$A,O2711)&gt;0,"Yes","NO ORDER"),"")</f>
        <v>Yes</v>
      </c>
    </row>
    <row r="2712" spans="1:17" ht="15" customHeight="1" x14ac:dyDescent="0.3">
      <c r="A2712" s="23" t="s">
        <v>15567</v>
      </c>
      <c r="B2712" s="23"/>
      <c r="C2712" s="23" t="s">
        <v>2195</v>
      </c>
      <c r="D2712" s="23" t="str">
        <f t="shared" si="126"/>
        <v>ORD26000871</v>
      </c>
      <c r="E2712" s="38">
        <v>46280</v>
      </c>
      <c r="F2712" s="23" t="s">
        <v>12410</v>
      </c>
      <c r="G2712" s="23" t="s">
        <v>75</v>
      </c>
      <c r="H2712" s="24">
        <v>3797</v>
      </c>
      <c r="I2712" s="24">
        <v>11.39</v>
      </c>
      <c r="J2712" s="24">
        <v>2.0499999999999998</v>
      </c>
      <c r="K2712" s="24">
        <v>3783.56</v>
      </c>
      <c r="L2712" s="38">
        <v>46282</v>
      </c>
      <c r="M2712" s="23" t="s">
        <v>206</v>
      </c>
      <c r="N2712" s="23" t="str">
        <f>IF(COUNTIF($A$2:A2712,A2712)&gt;1,"DUP","OK")</f>
        <v>OK</v>
      </c>
      <c r="O2712" s="23" t="str">
        <f t="shared" si="127"/>
        <v>ORD26000871</v>
      </c>
      <c r="P2712" s="23" t="str">
        <f t="shared" si="128"/>
        <v>Sep</v>
      </c>
      <c r="Q2712" s="23" t="str">
        <f>IF(F2712="CAPTURE",IF(COUNTIF(orders!$A:$A,O2712)&gt;0,"Yes","NO ORDER"),"")</f>
        <v>Yes</v>
      </c>
    </row>
    <row r="2713" spans="1:17" ht="15" customHeight="1" x14ac:dyDescent="0.3">
      <c r="A2713" s="23" t="s">
        <v>15568</v>
      </c>
      <c r="B2713" s="23"/>
      <c r="C2713" s="23" t="s">
        <v>15569</v>
      </c>
      <c r="D2713" s="23" t="str">
        <f t="shared" si="126"/>
        <v>ORD26000890</v>
      </c>
      <c r="E2713" s="38">
        <v>46280</v>
      </c>
      <c r="F2713" s="23" t="s">
        <v>12410</v>
      </c>
      <c r="G2713" s="23" t="s">
        <v>75</v>
      </c>
      <c r="H2713" s="24">
        <v>599</v>
      </c>
      <c r="I2713" s="24">
        <v>0</v>
      </c>
      <c r="J2713" s="24">
        <v>0</v>
      </c>
      <c r="K2713" s="24">
        <v>599</v>
      </c>
      <c r="L2713" s="38">
        <v>46282</v>
      </c>
      <c r="M2713" s="23" t="s">
        <v>206</v>
      </c>
      <c r="N2713" s="23" t="str">
        <f>IF(COUNTIF($A$2:A2713,A2713)&gt;1,"DUP","OK")</f>
        <v>OK</v>
      </c>
      <c r="O2713" s="23" t="str">
        <f t="shared" si="127"/>
        <v>ORD26000890</v>
      </c>
      <c r="P2713" s="23" t="str">
        <f t="shared" si="128"/>
        <v>Sep</v>
      </c>
      <c r="Q2713" s="23" t="str">
        <f>IF(F2713="CAPTURE",IF(COUNTIF(orders!$A:$A,O2713)&gt;0,"Yes","NO ORDER"),"")</f>
        <v>Yes</v>
      </c>
    </row>
    <row r="2714" spans="1:17" ht="15" customHeight="1" x14ac:dyDescent="0.3">
      <c r="A2714" s="23" t="s">
        <v>15570</v>
      </c>
      <c r="B2714" s="23"/>
      <c r="C2714" s="23" t="s">
        <v>2458</v>
      </c>
      <c r="D2714" s="23" t="str">
        <f t="shared" si="126"/>
        <v>ORD26000999</v>
      </c>
      <c r="E2714" s="38">
        <v>46280</v>
      </c>
      <c r="F2714" s="23" t="s">
        <v>12410</v>
      </c>
      <c r="G2714" s="23" t="s">
        <v>77</v>
      </c>
      <c r="H2714" s="24">
        <v>5498</v>
      </c>
      <c r="I2714" s="24">
        <v>93.47</v>
      </c>
      <c r="J2714" s="24">
        <v>16.82</v>
      </c>
      <c r="K2714" s="24">
        <v>5387.71</v>
      </c>
      <c r="L2714" s="38">
        <v>46282</v>
      </c>
      <c r="M2714" s="23" t="s">
        <v>206</v>
      </c>
      <c r="N2714" s="23" t="str">
        <f>IF(COUNTIF($A$2:A2714,A2714)&gt;1,"DUP","OK")</f>
        <v>OK</v>
      </c>
      <c r="O2714" s="23" t="str">
        <f t="shared" si="127"/>
        <v>ORD26000999</v>
      </c>
      <c r="P2714" s="23" t="str">
        <f t="shared" si="128"/>
        <v>Sep</v>
      </c>
      <c r="Q2714" s="23" t="str">
        <f>IF(F2714="CAPTURE",IF(COUNTIF(orders!$A:$A,O2714)&gt;0,"Yes","NO ORDER"),"")</f>
        <v>Yes</v>
      </c>
    </row>
    <row r="2715" spans="1:17" ht="15" customHeight="1" x14ac:dyDescent="0.3">
      <c r="A2715" s="23" t="s">
        <v>15571</v>
      </c>
      <c r="B2715" s="23"/>
      <c r="C2715" s="23" t="s">
        <v>2476</v>
      </c>
      <c r="D2715" s="23" t="str">
        <f t="shared" si="126"/>
        <v>ORD26001008</v>
      </c>
      <c r="E2715" s="38">
        <v>46280</v>
      </c>
      <c r="F2715" s="23" t="s">
        <v>12410</v>
      </c>
      <c r="G2715" s="23" t="s">
        <v>75</v>
      </c>
      <c r="H2715" s="24">
        <v>5498</v>
      </c>
      <c r="I2715" s="24">
        <v>16.489999999999998</v>
      </c>
      <c r="J2715" s="24">
        <v>2.97</v>
      </c>
      <c r="K2715" s="24">
        <v>5478.54</v>
      </c>
      <c r="L2715" s="38">
        <v>46282</v>
      </c>
      <c r="M2715" s="23" t="s">
        <v>206</v>
      </c>
      <c r="N2715" s="23" t="str">
        <f>IF(COUNTIF($A$2:A2715,A2715)&gt;1,"DUP","OK")</f>
        <v>OK</v>
      </c>
      <c r="O2715" s="23" t="str">
        <f t="shared" si="127"/>
        <v>ORD26001008</v>
      </c>
      <c r="P2715" s="23" t="str">
        <f t="shared" si="128"/>
        <v>Sep</v>
      </c>
      <c r="Q2715" s="23" t="str">
        <f>IF(F2715="CAPTURE",IF(COUNTIF(orders!$A:$A,O2715)&gt;0,"Yes","NO ORDER"),"")</f>
        <v>Yes</v>
      </c>
    </row>
    <row r="2716" spans="1:17" ht="15" customHeight="1" x14ac:dyDescent="0.3">
      <c r="A2716" s="23" t="s">
        <v>15572</v>
      </c>
      <c r="B2716" s="23"/>
      <c r="C2716" s="23" t="s">
        <v>2497</v>
      </c>
      <c r="D2716" s="23" t="str">
        <f t="shared" si="126"/>
        <v>ORD26001018</v>
      </c>
      <c r="E2716" s="38">
        <v>46280</v>
      </c>
      <c r="F2716" s="23" t="s">
        <v>12410</v>
      </c>
      <c r="G2716" s="23" t="s">
        <v>79</v>
      </c>
      <c r="H2716" s="24">
        <v>5998</v>
      </c>
      <c r="I2716" s="24">
        <v>95.97</v>
      </c>
      <c r="J2716" s="24">
        <v>17.27</v>
      </c>
      <c r="K2716" s="24">
        <v>5884.76</v>
      </c>
      <c r="L2716" s="38">
        <v>46282</v>
      </c>
      <c r="M2716" s="23" t="s">
        <v>206</v>
      </c>
      <c r="N2716" s="23" t="str">
        <f>IF(COUNTIF($A$2:A2716,A2716)&gt;1,"DUP","OK")</f>
        <v>OK</v>
      </c>
      <c r="O2716" s="23" t="str">
        <f t="shared" si="127"/>
        <v>ORD26001018</v>
      </c>
      <c r="P2716" s="23" t="str">
        <f t="shared" si="128"/>
        <v>Sep</v>
      </c>
      <c r="Q2716" s="23" t="str">
        <f>IF(F2716="CAPTURE",IF(COUNTIF(orders!$A:$A,O2716)&gt;0,"Yes","NO ORDER"),"")</f>
        <v>Yes</v>
      </c>
    </row>
    <row r="2717" spans="1:17" ht="15" customHeight="1" x14ac:dyDescent="0.3">
      <c r="A2717" s="23" t="s">
        <v>15573</v>
      </c>
      <c r="B2717" s="23"/>
      <c r="C2717" s="23" t="s">
        <v>2512</v>
      </c>
      <c r="D2717" s="23" t="str">
        <f t="shared" si="126"/>
        <v>ORD26001025</v>
      </c>
      <c r="E2717" s="38">
        <v>46280</v>
      </c>
      <c r="F2717" s="23" t="s">
        <v>12410</v>
      </c>
      <c r="G2717" s="23" t="s">
        <v>79</v>
      </c>
      <c r="H2717" s="24">
        <v>3298</v>
      </c>
      <c r="I2717" s="24">
        <v>52.77</v>
      </c>
      <c r="J2717" s="24">
        <v>9.5</v>
      </c>
      <c r="K2717" s="24">
        <v>3235.73</v>
      </c>
      <c r="L2717" s="38">
        <v>46282</v>
      </c>
      <c r="M2717" s="23" t="s">
        <v>206</v>
      </c>
      <c r="N2717" s="23" t="str">
        <f>IF(COUNTIF($A$2:A2717,A2717)&gt;1,"DUP","OK")</f>
        <v>OK</v>
      </c>
      <c r="O2717" s="23" t="str">
        <f t="shared" si="127"/>
        <v>ORD26001025</v>
      </c>
      <c r="P2717" s="23" t="str">
        <f t="shared" si="128"/>
        <v>Sep</v>
      </c>
      <c r="Q2717" s="23" t="str">
        <f>IF(F2717="CAPTURE",IF(COUNTIF(orders!$A:$A,O2717)&gt;0,"Yes","NO ORDER"),"")</f>
        <v>Yes</v>
      </c>
    </row>
    <row r="2718" spans="1:17" ht="15" customHeight="1" x14ac:dyDescent="0.3">
      <c r="A2718" s="23" t="s">
        <v>15574</v>
      </c>
      <c r="B2718" s="23"/>
      <c r="C2718" s="23" t="s">
        <v>2567</v>
      </c>
      <c r="D2718" s="23" t="str">
        <f t="shared" si="126"/>
        <v>ORD26001052</v>
      </c>
      <c r="E2718" s="38">
        <v>46280</v>
      </c>
      <c r="F2718" s="23" t="s">
        <v>12410</v>
      </c>
      <c r="G2718" s="23" t="s">
        <v>75</v>
      </c>
      <c r="H2718" s="24">
        <v>1997</v>
      </c>
      <c r="I2718" s="24">
        <v>0</v>
      </c>
      <c r="J2718" s="24">
        <v>0</v>
      </c>
      <c r="K2718" s="24">
        <v>1997</v>
      </c>
      <c r="L2718" s="38">
        <v>46282</v>
      </c>
      <c r="M2718" s="23" t="s">
        <v>206</v>
      </c>
      <c r="N2718" s="23" t="str">
        <f>IF(COUNTIF($A$2:A2718,A2718)&gt;1,"DUP","OK")</f>
        <v>OK</v>
      </c>
      <c r="O2718" s="23" t="str">
        <f t="shared" si="127"/>
        <v>ORD26001052</v>
      </c>
      <c r="P2718" s="23" t="str">
        <f t="shared" si="128"/>
        <v>Sep</v>
      </c>
      <c r="Q2718" s="23" t="str">
        <f>IF(F2718="CAPTURE",IF(COUNTIF(orders!$A:$A,O2718)&gt;0,"Yes","NO ORDER"),"")</f>
        <v>Yes</v>
      </c>
    </row>
    <row r="2719" spans="1:17" ht="15" customHeight="1" x14ac:dyDescent="0.3">
      <c r="A2719" s="23" t="s">
        <v>15575</v>
      </c>
      <c r="B2719" s="23"/>
      <c r="C2719" s="23" t="s">
        <v>2608</v>
      </c>
      <c r="D2719" s="23" t="str">
        <f t="shared" si="126"/>
        <v>ORD26001072</v>
      </c>
      <c r="E2719" s="38">
        <v>46280</v>
      </c>
      <c r="F2719" s="23" t="s">
        <v>12410</v>
      </c>
      <c r="G2719" s="23" t="s">
        <v>75</v>
      </c>
      <c r="H2719" s="24">
        <v>8847</v>
      </c>
      <c r="I2719" s="24">
        <v>26.54</v>
      </c>
      <c r="J2719" s="24">
        <v>4.78</v>
      </c>
      <c r="K2719" s="24">
        <v>8815.68</v>
      </c>
      <c r="L2719" s="38">
        <v>46282</v>
      </c>
      <c r="M2719" s="23" t="s">
        <v>206</v>
      </c>
      <c r="N2719" s="23" t="str">
        <f>IF(COUNTIF($A$2:A2719,A2719)&gt;1,"DUP","OK")</f>
        <v>OK</v>
      </c>
      <c r="O2719" s="23" t="str">
        <f t="shared" si="127"/>
        <v>ORD26001072</v>
      </c>
      <c r="P2719" s="23" t="str">
        <f t="shared" si="128"/>
        <v>Sep</v>
      </c>
      <c r="Q2719" s="23" t="str">
        <f>IF(F2719="CAPTURE",IF(COUNTIF(orders!$A:$A,O2719)&gt;0,"Yes","NO ORDER"),"")</f>
        <v>Yes</v>
      </c>
    </row>
    <row r="2720" spans="1:17" ht="15" customHeight="1" x14ac:dyDescent="0.3">
      <c r="A2720" s="23" t="s">
        <v>15576</v>
      </c>
      <c r="B2720" s="23"/>
      <c r="C2720" s="23" t="s">
        <v>2785</v>
      </c>
      <c r="D2720" s="23" t="str">
        <f t="shared" si="126"/>
        <v>ORD26001159</v>
      </c>
      <c r="E2720" s="38">
        <v>46280</v>
      </c>
      <c r="F2720" s="23" t="s">
        <v>12410</v>
      </c>
      <c r="G2720" s="23" t="s">
        <v>75</v>
      </c>
      <c r="H2720" s="24">
        <v>3499</v>
      </c>
      <c r="I2720" s="24">
        <v>10.5</v>
      </c>
      <c r="J2720" s="24">
        <v>1.89</v>
      </c>
      <c r="K2720" s="24">
        <v>3486.61</v>
      </c>
      <c r="L2720" s="38">
        <v>46282</v>
      </c>
      <c r="M2720" s="23" t="s">
        <v>206</v>
      </c>
      <c r="N2720" s="23" t="str">
        <f>IF(COUNTIF($A$2:A2720,A2720)&gt;1,"DUP","OK")</f>
        <v>OK</v>
      </c>
      <c r="O2720" s="23" t="str">
        <f t="shared" si="127"/>
        <v>ORD26001159</v>
      </c>
      <c r="P2720" s="23" t="str">
        <f t="shared" si="128"/>
        <v>Sep</v>
      </c>
      <c r="Q2720" s="23" t="str">
        <f>IF(F2720="CAPTURE",IF(COUNTIF(orders!$A:$A,O2720)&gt;0,"Yes","NO ORDER"),"")</f>
        <v>Yes</v>
      </c>
    </row>
    <row r="2721" spans="1:17" ht="15" customHeight="1" x14ac:dyDescent="0.3">
      <c r="A2721" s="23" t="s">
        <v>15577</v>
      </c>
      <c r="B2721" s="23"/>
      <c r="C2721" s="23" t="s">
        <v>15578</v>
      </c>
      <c r="D2721" s="23" t="str">
        <f t="shared" si="126"/>
        <v>ORD26001165</v>
      </c>
      <c r="E2721" s="38">
        <v>46280</v>
      </c>
      <c r="F2721" s="23" t="s">
        <v>12410</v>
      </c>
      <c r="G2721" s="23" t="s">
        <v>77</v>
      </c>
      <c r="H2721" s="24">
        <v>6297</v>
      </c>
      <c r="I2721" s="24">
        <v>107.05</v>
      </c>
      <c r="J2721" s="24">
        <v>19.27</v>
      </c>
      <c r="K2721" s="24">
        <v>6170.68</v>
      </c>
      <c r="L2721" s="38">
        <v>46282</v>
      </c>
      <c r="M2721" s="23" t="s">
        <v>206</v>
      </c>
      <c r="N2721" s="23" t="str">
        <f>IF(COUNTIF($A$2:A2721,A2721)&gt;1,"DUP","OK")</f>
        <v>OK</v>
      </c>
      <c r="O2721" s="23" t="str">
        <f t="shared" si="127"/>
        <v>ORD26001165</v>
      </c>
      <c r="P2721" s="23" t="str">
        <f t="shared" si="128"/>
        <v>Sep</v>
      </c>
      <c r="Q2721" s="23" t="str">
        <f>IF(F2721="CAPTURE",IF(COUNTIF(orders!$A:$A,O2721)&gt;0,"Yes","NO ORDER"),"")</f>
        <v>Yes</v>
      </c>
    </row>
    <row r="2722" spans="1:17" ht="15" customHeight="1" x14ac:dyDescent="0.3">
      <c r="A2722" s="23" t="s">
        <v>15579</v>
      </c>
      <c r="B2722" s="23"/>
      <c r="C2722" s="23" t="s">
        <v>2811</v>
      </c>
      <c r="D2722" s="23" t="str">
        <f t="shared" si="126"/>
        <v>ORD26001172</v>
      </c>
      <c r="E2722" s="38">
        <v>46280</v>
      </c>
      <c r="F2722" s="23" t="s">
        <v>12410</v>
      </c>
      <c r="G2722" s="23" t="s">
        <v>75</v>
      </c>
      <c r="H2722" s="24">
        <v>2298</v>
      </c>
      <c r="I2722" s="24">
        <v>6.89</v>
      </c>
      <c r="J2722" s="24">
        <v>1.24</v>
      </c>
      <c r="K2722" s="24">
        <v>2289.87</v>
      </c>
      <c r="L2722" s="38">
        <v>46282</v>
      </c>
      <c r="M2722" s="23" t="s">
        <v>206</v>
      </c>
      <c r="N2722" s="23" t="str">
        <f>IF(COUNTIF($A$2:A2722,A2722)&gt;1,"DUP","OK")</f>
        <v>OK</v>
      </c>
      <c r="O2722" s="23" t="str">
        <f t="shared" si="127"/>
        <v>ORD26001172</v>
      </c>
      <c r="P2722" s="23" t="str">
        <f t="shared" si="128"/>
        <v>Sep</v>
      </c>
      <c r="Q2722" s="23" t="str">
        <f>IF(F2722="CAPTURE",IF(COUNTIF(orders!$A:$A,O2722)&gt;0,"Yes","NO ORDER"),"")</f>
        <v>Yes</v>
      </c>
    </row>
    <row r="2723" spans="1:17" ht="15" customHeight="1" x14ac:dyDescent="0.3">
      <c r="A2723" s="23" t="s">
        <v>15580</v>
      </c>
      <c r="B2723" s="23"/>
      <c r="C2723" s="23" t="s">
        <v>2815</v>
      </c>
      <c r="D2723" s="23" t="str">
        <f t="shared" si="126"/>
        <v>ORD26001174</v>
      </c>
      <c r="E2723" s="38">
        <v>46280</v>
      </c>
      <c r="F2723" s="23" t="s">
        <v>12410</v>
      </c>
      <c r="G2723" s="23" t="s">
        <v>77</v>
      </c>
      <c r="H2723" s="24">
        <v>6597</v>
      </c>
      <c r="I2723" s="24">
        <v>112.15</v>
      </c>
      <c r="J2723" s="24">
        <v>20.190000000000001</v>
      </c>
      <c r="K2723" s="24">
        <v>6464.66</v>
      </c>
      <c r="L2723" s="38">
        <v>46282</v>
      </c>
      <c r="M2723" s="23" t="s">
        <v>206</v>
      </c>
      <c r="N2723" s="23" t="str">
        <f>IF(COUNTIF($A$2:A2723,A2723)&gt;1,"DUP","OK")</f>
        <v>OK</v>
      </c>
      <c r="O2723" s="23" t="str">
        <f t="shared" si="127"/>
        <v>ORD26001174</v>
      </c>
      <c r="P2723" s="23" t="str">
        <f t="shared" si="128"/>
        <v>Sep</v>
      </c>
      <c r="Q2723" s="23" t="str">
        <f>IF(F2723="CAPTURE",IF(COUNTIF(orders!$A:$A,O2723)&gt;0,"Yes","NO ORDER"),"")</f>
        <v>Yes</v>
      </c>
    </row>
    <row r="2724" spans="1:17" ht="15" customHeight="1" x14ac:dyDescent="0.3">
      <c r="A2724" s="23" t="s">
        <v>15581</v>
      </c>
      <c r="B2724" s="23"/>
      <c r="C2724" s="23" t="s">
        <v>2835</v>
      </c>
      <c r="D2724" s="23" t="str">
        <f t="shared" si="126"/>
        <v>ORD26001184</v>
      </c>
      <c r="E2724" s="38">
        <v>46280</v>
      </c>
      <c r="F2724" s="23" t="s">
        <v>12410</v>
      </c>
      <c r="G2724" s="23" t="s">
        <v>79</v>
      </c>
      <c r="H2724" s="24">
        <v>12297</v>
      </c>
      <c r="I2724" s="24">
        <v>196.75</v>
      </c>
      <c r="J2724" s="24">
        <v>35.42</v>
      </c>
      <c r="K2724" s="24">
        <v>12064.83</v>
      </c>
      <c r="L2724" s="38">
        <v>46282</v>
      </c>
      <c r="M2724" s="23" t="s">
        <v>206</v>
      </c>
      <c r="N2724" s="23" t="str">
        <f>IF(COUNTIF($A$2:A2724,A2724)&gt;1,"DUP","OK")</f>
        <v>OK</v>
      </c>
      <c r="O2724" s="23" t="str">
        <f t="shared" si="127"/>
        <v>ORD26001184</v>
      </c>
      <c r="P2724" s="23" t="str">
        <f t="shared" si="128"/>
        <v>Sep</v>
      </c>
      <c r="Q2724" s="23" t="str">
        <f>IF(F2724="CAPTURE",IF(COUNTIF(orders!$A:$A,O2724)&gt;0,"Yes","NO ORDER"),"")</f>
        <v>Yes</v>
      </c>
    </row>
    <row r="2725" spans="1:17" ht="15" customHeight="1" x14ac:dyDescent="0.3">
      <c r="A2725" s="23" t="s">
        <v>15582</v>
      </c>
      <c r="B2725" s="23"/>
      <c r="C2725" s="23" t="s">
        <v>3038</v>
      </c>
      <c r="D2725" s="23" t="str">
        <f t="shared" si="126"/>
        <v>ORD26001282</v>
      </c>
      <c r="E2725" s="38">
        <v>46280</v>
      </c>
      <c r="F2725" s="23" t="s">
        <v>12410</v>
      </c>
      <c r="G2725" s="23" t="s">
        <v>75</v>
      </c>
      <c r="H2725" s="24">
        <v>299</v>
      </c>
      <c r="I2725" s="24">
        <v>0</v>
      </c>
      <c r="J2725" s="24">
        <v>0</v>
      </c>
      <c r="K2725" s="24">
        <v>299</v>
      </c>
      <c r="L2725" s="38">
        <v>46282</v>
      </c>
      <c r="M2725" s="23" t="s">
        <v>206</v>
      </c>
      <c r="N2725" s="23" t="str">
        <f>IF(COUNTIF($A$2:A2725,A2725)&gt;1,"DUP","OK")</f>
        <v>OK</v>
      </c>
      <c r="O2725" s="23" t="str">
        <f t="shared" si="127"/>
        <v>ORD26001282</v>
      </c>
      <c r="P2725" s="23" t="str">
        <f t="shared" si="128"/>
        <v>Sep</v>
      </c>
      <c r="Q2725" s="23" t="str">
        <f>IF(F2725="CAPTURE",IF(COUNTIF(orders!$A:$A,O2725)&gt;0,"Yes","NO ORDER"),"")</f>
        <v>Yes</v>
      </c>
    </row>
    <row r="2726" spans="1:17" ht="15" customHeight="1" x14ac:dyDescent="0.3">
      <c r="A2726" s="23" t="s">
        <v>15583</v>
      </c>
      <c r="B2726" s="23"/>
      <c r="C2726" s="23" t="s">
        <v>3096</v>
      </c>
      <c r="D2726" s="23" t="str">
        <f t="shared" si="126"/>
        <v>ORD26001310</v>
      </c>
      <c r="E2726" s="38">
        <v>46280</v>
      </c>
      <c r="F2726" s="23" t="s">
        <v>12410</v>
      </c>
      <c r="G2726" s="23" t="s">
        <v>79</v>
      </c>
      <c r="H2726" s="24">
        <v>999</v>
      </c>
      <c r="I2726" s="24">
        <v>17.98</v>
      </c>
      <c r="J2726" s="24">
        <v>3.24</v>
      </c>
      <c r="K2726" s="24">
        <v>977.78</v>
      </c>
      <c r="L2726" s="38">
        <v>46282</v>
      </c>
      <c r="M2726" s="23" t="s">
        <v>206</v>
      </c>
      <c r="N2726" s="23" t="str">
        <f>IF(COUNTIF($A$2:A2726,A2726)&gt;1,"DUP","OK")</f>
        <v>OK</v>
      </c>
      <c r="O2726" s="23" t="str">
        <f t="shared" si="127"/>
        <v>ORD26001310</v>
      </c>
      <c r="P2726" s="23" t="str">
        <f t="shared" si="128"/>
        <v>Sep</v>
      </c>
      <c r="Q2726" s="23" t="str">
        <f>IF(F2726="CAPTURE",IF(COUNTIF(orders!$A:$A,O2726)&gt;0,"Yes","NO ORDER"),"")</f>
        <v>Yes</v>
      </c>
    </row>
    <row r="2727" spans="1:17" ht="15" customHeight="1" x14ac:dyDescent="0.3">
      <c r="A2727" s="23" t="s">
        <v>15584</v>
      </c>
      <c r="B2727" s="23"/>
      <c r="C2727" s="23" t="s">
        <v>3122</v>
      </c>
      <c r="D2727" s="23" t="str">
        <f t="shared" si="126"/>
        <v>ORD26001322</v>
      </c>
      <c r="E2727" s="38">
        <v>46280</v>
      </c>
      <c r="F2727" s="23" t="s">
        <v>12410</v>
      </c>
      <c r="G2727" s="23" t="s">
        <v>75</v>
      </c>
      <c r="H2727" s="24">
        <v>3498</v>
      </c>
      <c r="I2727" s="24">
        <v>10.49</v>
      </c>
      <c r="J2727" s="24">
        <v>1.89</v>
      </c>
      <c r="K2727" s="24">
        <v>3485.62</v>
      </c>
      <c r="L2727" s="38">
        <v>46282</v>
      </c>
      <c r="M2727" s="23" t="s">
        <v>206</v>
      </c>
      <c r="N2727" s="23" t="str">
        <f>IF(COUNTIF($A$2:A2727,A2727)&gt;1,"DUP","OK")</f>
        <v>OK</v>
      </c>
      <c r="O2727" s="23" t="str">
        <f t="shared" si="127"/>
        <v>ORD26001322</v>
      </c>
      <c r="P2727" s="23" t="str">
        <f t="shared" si="128"/>
        <v>Sep</v>
      </c>
      <c r="Q2727" s="23" t="str">
        <f>IF(F2727="CAPTURE",IF(COUNTIF(orders!$A:$A,O2727)&gt;0,"Yes","NO ORDER"),"")</f>
        <v>Yes</v>
      </c>
    </row>
    <row r="2728" spans="1:17" ht="15" customHeight="1" x14ac:dyDescent="0.3">
      <c r="A2728" s="23" t="s">
        <v>15585</v>
      </c>
      <c r="B2728" s="23"/>
      <c r="C2728" s="23" t="s">
        <v>3144</v>
      </c>
      <c r="D2728" s="23" t="str">
        <f t="shared" si="126"/>
        <v>ORD26001333</v>
      </c>
      <c r="E2728" s="38">
        <v>46280</v>
      </c>
      <c r="F2728" s="23" t="s">
        <v>12410</v>
      </c>
      <c r="G2728" s="23" t="s">
        <v>81</v>
      </c>
      <c r="H2728" s="24">
        <v>1298</v>
      </c>
      <c r="I2728" s="24">
        <v>19.47</v>
      </c>
      <c r="J2728" s="24">
        <v>3.5</v>
      </c>
      <c r="K2728" s="24">
        <v>1275.03</v>
      </c>
      <c r="L2728" s="38">
        <v>46282</v>
      </c>
      <c r="M2728" s="23" t="s">
        <v>206</v>
      </c>
      <c r="N2728" s="23" t="str">
        <f>IF(COUNTIF($A$2:A2728,A2728)&gt;1,"DUP","OK")</f>
        <v>OK</v>
      </c>
      <c r="O2728" s="23" t="str">
        <f t="shared" si="127"/>
        <v>ORD26001333</v>
      </c>
      <c r="P2728" s="23" t="str">
        <f t="shared" si="128"/>
        <v>Sep</v>
      </c>
      <c r="Q2728" s="23" t="str">
        <f>IF(F2728="CAPTURE",IF(COUNTIF(orders!$A:$A,O2728)&gt;0,"Yes","NO ORDER"),"")</f>
        <v>Yes</v>
      </c>
    </row>
    <row r="2729" spans="1:17" ht="15" customHeight="1" x14ac:dyDescent="0.3">
      <c r="A2729" s="23" t="s">
        <v>15586</v>
      </c>
      <c r="B2729" s="23"/>
      <c r="C2729" s="23" t="s">
        <v>3155</v>
      </c>
      <c r="D2729" s="23" t="str">
        <f t="shared" si="126"/>
        <v>ORD26001338</v>
      </c>
      <c r="E2729" s="38">
        <v>46280</v>
      </c>
      <c r="F2729" s="23" t="s">
        <v>12410</v>
      </c>
      <c r="G2729" s="23" t="s">
        <v>79</v>
      </c>
      <c r="H2729" s="24">
        <v>1647</v>
      </c>
      <c r="I2729" s="24">
        <v>29.65</v>
      </c>
      <c r="J2729" s="24">
        <v>5.34</v>
      </c>
      <c r="K2729" s="24">
        <v>1612.01</v>
      </c>
      <c r="L2729" s="38">
        <v>46282</v>
      </c>
      <c r="M2729" s="23" t="s">
        <v>206</v>
      </c>
      <c r="N2729" s="23" t="str">
        <f>IF(COUNTIF($A$2:A2729,A2729)&gt;1,"DUP","OK")</f>
        <v>OK</v>
      </c>
      <c r="O2729" s="23" t="str">
        <f t="shared" si="127"/>
        <v>ORD26001338</v>
      </c>
      <c r="P2729" s="23" t="str">
        <f t="shared" si="128"/>
        <v>Sep</v>
      </c>
      <c r="Q2729" s="23" t="str">
        <f>IF(F2729="CAPTURE",IF(COUNTIF(orders!$A:$A,O2729)&gt;0,"Yes","NO ORDER"),"")</f>
        <v>Yes</v>
      </c>
    </row>
    <row r="2730" spans="1:17" ht="15" customHeight="1" x14ac:dyDescent="0.3">
      <c r="A2730" s="23" t="s">
        <v>15587</v>
      </c>
      <c r="B2730" s="23"/>
      <c r="C2730" s="23" t="s">
        <v>3210</v>
      </c>
      <c r="D2730" s="23" t="str">
        <f t="shared" si="126"/>
        <v>ORD26001365</v>
      </c>
      <c r="E2730" s="38">
        <v>46280</v>
      </c>
      <c r="F2730" s="23" t="s">
        <v>12410</v>
      </c>
      <c r="G2730" s="23" t="s">
        <v>79</v>
      </c>
      <c r="H2730" s="24">
        <v>8348</v>
      </c>
      <c r="I2730" s="24">
        <v>133.57</v>
      </c>
      <c r="J2730" s="24">
        <v>24.04</v>
      </c>
      <c r="K2730" s="24">
        <v>8190.39</v>
      </c>
      <c r="L2730" s="38">
        <v>46282</v>
      </c>
      <c r="M2730" s="23" t="s">
        <v>206</v>
      </c>
      <c r="N2730" s="23" t="str">
        <f>IF(COUNTIF($A$2:A2730,A2730)&gt;1,"DUP","OK")</f>
        <v>OK</v>
      </c>
      <c r="O2730" s="23" t="str">
        <f t="shared" si="127"/>
        <v>ORD26001365</v>
      </c>
      <c r="P2730" s="23" t="str">
        <f t="shared" si="128"/>
        <v>Sep</v>
      </c>
      <c r="Q2730" s="23" t="str">
        <f>IF(F2730="CAPTURE",IF(COUNTIF(orders!$A:$A,O2730)&gt;0,"Yes","NO ORDER"),"")</f>
        <v>Yes</v>
      </c>
    </row>
    <row r="2731" spans="1:17" ht="15" customHeight="1" x14ac:dyDescent="0.3">
      <c r="A2731" s="23" t="s">
        <v>15588</v>
      </c>
      <c r="B2731" s="23"/>
      <c r="C2731" s="23" t="s">
        <v>3259</v>
      </c>
      <c r="D2731" s="23" t="str">
        <f t="shared" si="126"/>
        <v>ORD26001389</v>
      </c>
      <c r="E2731" s="38">
        <v>46280</v>
      </c>
      <c r="F2731" s="23" t="s">
        <v>12410</v>
      </c>
      <c r="G2731" s="23" t="s">
        <v>75</v>
      </c>
      <c r="H2731" s="24">
        <v>1299</v>
      </c>
      <c r="I2731" s="24">
        <v>0</v>
      </c>
      <c r="J2731" s="24">
        <v>0</v>
      </c>
      <c r="K2731" s="24">
        <v>1299</v>
      </c>
      <c r="L2731" s="38">
        <v>46282</v>
      </c>
      <c r="M2731" s="23" t="s">
        <v>206</v>
      </c>
      <c r="N2731" s="23" t="str">
        <f>IF(COUNTIF($A$2:A2731,A2731)&gt;1,"DUP","OK")</f>
        <v>OK</v>
      </c>
      <c r="O2731" s="23" t="str">
        <f t="shared" si="127"/>
        <v>ORD26001389</v>
      </c>
      <c r="P2731" s="23" t="str">
        <f t="shared" si="128"/>
        <v>Sep</v>
      </c>
      <c r="Q2731" s="23" t="str">
        <f>IF(F2731="CAPTURE",IF(COUNTIF(orders!$A:$A,O2731)&gt;0,"Yes","NO ORDER"),"")</f>
        <v>Yes</v>
      </c>
    </row>
    <row r="2732" spans="1:17" ht="15" customHeight="1" x14ac:dyDescent="0.3">
      <c r="A2732" s="23" t="s">
        <v>15589</v>
      </c>
      <c r="B2732" s="23"/>
      <c r="C2732" s="23" t="s">
        <v>3363</v>
      </c>
      <c r="D2732" s="23" t="str">
        <f t="shared" si="126"/>
        <v>ORD26001441</v>
      </c>
      <c r="E2732" s="38">
        <v>46280</v>
      </c>
      <c r="F2732" s="23" t="s">
        <v>12410</v>
      </c>
      <c r="G2732" s="23" t="s">
        <v>75</v>
      </c>
      <c r="H2732" s="24">
        <v>3497</v>
      </c>
      <c r="I2732" s="24">
        <v>10.49</v>
      </c>
      <c r="J2732" s="24">
        <v>1.89</v>
      </c>
      <c r="K2732" s="24">
        <v>3484.62</v>
      </c>
      <c r="L2732" s="38">
        <v>46282</v>
      </c>
      <c r="M2732" s="23" t="s">
        <v>206</v>
      </c>
      <c r="N2732" s="23" t="str">
        <f>IF(COUNTIF($A$2:A2732,A2732)&gt;1,"DUP","OK")</f>
        <v>OK</v>
      </c>
      <c r="O2732" s="23" t="str">
        <f t="shared" si="127"/>
        <v>ORD26001441</v>
      </c>
      <c r="P2732" s="23" t="str">
        <f t="shared" si="128"/>
        <v>Sep</v>
      </c>
      <c r="Q2732" s="23" t="str">
        <f>IF(F2732="CAPTURE",IF(COUNTIF(orders!$A:$A,O2732)&gt;0,"Yes","NO ORDER"),"")</f>
        <v>Yes</v>
      </c>
    </row>
    <row r="2733" spans="1:17" ht="15" customHeight="1" x14ac:dyDescent="0.3">
      <c r="A2733" s="23" t="s">
        <v>15590</v>
      </c>
      <c r="B2733" s="23"/>
      <c r="C2733" s="23" t="s">
        <v>3488</v>
      </c>
      <c r="D2733" s="23" t="str">
        <f t="shared" si="126"/>
        <v>ORD26001501</v>
      </c>
      <c r="E2733" s="38">
        <v>46280</v>
      </c>
      <c r="F2733" s="23" t="s">
        <v>12410</v>
      </c>
      <c r="G2733" s="23" t="s">
        <v>75</v>
      </c>
      <c r="H2733" s="24">
        <v>3798</v>
      </c>
      <c r="I2733" s="24">
        <v>11.39</v>
      </c>
      <c r="J2733" s="24">
        <v>2.0499999999999998</v>
      </c>
      <c r="K2733" s="24">
        <v>3784.56</v>
      </c>
      <c r="L2733" s="38">
        <v>46282</v>
      </c>
      <c r="M2733" s="23" t="s">
        <v>206</v>
      </c>
      <c r="N2733" s="23" t="str">
        <f>IF(COUNTIF($A$2:A2733,A2733)&gt;1,"DUP","OK")</f>
        <v>OK</v>
      </c>
      <c r="O2733" s="23" t="str">
        <f t="shared" si="127"/>
        <v>ORD26001501</v>
      </c>
      <c r="P2733" s="23" t="str">
        <f t="shared" si="128"/>
        <v>Sep</v>
      </c>
      <c r="Q2733" s="23" t="str">
        <f>IF(F2733="CAPTURE",IF(COUNTIF(orders!$A:$A,O2733)&gt;0,"Yes","NO ORDER"),"")</f>
        <v>Yes</v>
      </c>
    </row>
    <row r="2734" spans="1:17" ht="15" customHeight="1" x14ac:dyDescent="0.3">
      <c r="A2734" s="23" t="s">
        <v>15591</v>
      </c>
      <c r="B2734" s="23"/>
      <c r="C2734" s="23" t="s">
        <v>3557</v>
      </c>
      <c r="D2734" s="23" t="str">
        <f t="shared" si="126"/>
        <v>ORD26001534</v>
      </c>
      <c r="E2734" s="38">
        <v>46280</v>
      </c>
      <c r="F2734" s="23" t="s">
        <v>12410</v>
      </c>
      <c r="G2734" s="23" t="s">
        <v>75</v>
      </c>
      <c r="H2734" s="24">
        <v>3499</v>
      </c>
      <c r="I2734" s="24">
        <v>10.5</v>
      </c>
      <c r="J2734" s="24">
        <v>1.89</v>
      </c>
      <c r="K2734" s="24">
        <v>3486.61</v>
      </c>
      <c r="L2734" s="38">
        <v>46282</v>
      </c>
      <c r="M2734" s="23" t="s">
        <v>206</v>
      </c>
      <c r="N2734" s="23" t="str">
        <f>IF(COUNTIF($A$2:A2734,A2734)&gt;1,"DUP","OK")</f>
        <v>OK</v>
      </c>
      <c r="O2734" s="23" t="str">
        <f t="shared" si="127"/>
        <v>ORD26001534</v>
      </c>
      <c r="P2734" s="23" t="str">
        <f t="shared" si="128"/>
        <v>Sep</v>
      </c>
      <c r="Q2734" s="23" t="str">
        <f>IF(F2734="CAPTURE",IF(COUNTIF(orders!$A:$A,O2734)&gt;0,"Yes","NO ORDER"),"")</f>
        <v>Yes</v>
      </c>
    </row>
    <row r="2735" spans="1:17" ht="15" customHeight="1" x14ac:dyDescent="0.3">
      <c r="A2735" s="23" t="s">
        <v>15592</v>
      </c>
      <c r="B2735" s="23"/>
      <c r="C2735" s="23" t="s">
        <v>3597</v>
      </c>
      <c r="D2735" s="23" t="str">
        <f t="shared" si="126"/>
        <v>ORD26001555</v>
      </c>
      <c r="E2735" s="38">
        <v>46280</v>
      </c>
      <c r="F2735" s="23" t="s">
        <v>12410</v>
      </c>
      <c r="G2735" s="23" t="s">
        <v>79</v>
      </c>
      <c r="H2735" s="24">
        <v>4798</v>
      </c>
      <c r="I2735" s="24">
        <v>76.77</v>
      </c>
      <c r="J2735" s="24">
        <v>13.82</v>
      </c>
      <c r="K2735" s="24">
        <v>4707.41</v>
      </c>
      <c r="L2735" s="38">
        <v>46282</v>
      </c>
      <c r="M2735" s="23" t="s">
        <v>206</v>
      </c>
      <c r="N2735" s="23" t="str">
        <f>IF(COUNTIF($A$2:A2735,A2735)&gt;1,"DUP","OK")</f>
        <v>OK</v>
      </c>
      <c r="O2735" s="23" t="str">
        <f t="shared" si="127"/>
        <v>ORD26001555</v>
      </c>
      <c r="P2735" s="23" t="str">
        <f t="shared" si="128"/>
        <v>Sep</v>
      </c>
      <c r="Q2735" s="23" t="str">
        <f>IF(F2735="CAPTURE",IF(COUNTIF(orders!$A:$A,O2735)&gt;0,"Yes","NO ORDER"),"")</f>
        <v>Yes</v>
      </c>
    </row>
    <row r="2736" spans="1:17" ht="15" customHeight="1" x14ac:dyDescent="0.3">
      <c r="A2736" s="23" t="s">
        <v>15593</v>
      </c>
      <c r="B2736" s="23"/>
      <c r="C2736" s="23" t="s">
        <v>3607</v>
      </c>
      <c r="D2736" s="23" t="str">
        <f t="shared" si="126"/>
        <v>ORD26001560</v>
      </c>
      <c r="E2736" s="38">
        <v>46280</v>
      </c>
      <c r="F2736" s="23" t="s">
        <v>12410</v>
      </c>
      <c r="G2736" s="23" t="s">
        <v>77</v>
      </c>
      <c r="H2736" s="24">
        <v>7999</v>
      </c>
      <c r="I2736" s="24">
        <v>135.97999999999999</v>
      </c>
      <c r="J2736" s="24">
        <v>24.48</v>
      </c>
      <c r="K2736" s="24">
        <v>7838.54</v>
      </c>
      <c r="L2736" s="38">
        <v>46282</v>
      </c>
      <c r="M2736" s="23" t="s">
        <v>206</v>
      </c>
      <c r="N2736" s="23" t="str">
        <f>IF(COUNTIF($A$2:A2736,A2736)&gt;1,"DUP","OK")</f>
        <v>OK</v>
      </c>
      <c r="O2736" s="23" t="str">
        <f t="shared" si="127"/>
        <v>ORD26001560</v>
      </c>
      <c r="P2736" s="23" t="str">
        <f t="shared" si="128"/>
        <v>Sep</v>
      </c>
      <c r="Q2736" s="23" t="str">
        <f>IF(F2736="CAPTURE",IF(COUNTIF(orders!$A:$A,O2736)&gt;0,"Yes","NO ORDER"),"")</f>
        <v>Yes</v>
      </c>
    </row>
    <row r="2737" spans="1:17" ht="15" customHeight="1" x14ac:dyDescent="0.3">
      <c r="A2737" s="23" t="s">
        <v>15594</v>
      </c>
      <c r="B2737" s="23"/>
      <c r="C2737" s="23" t="s">
        <v>3653</v>
      </c>
      <c r="D2737" s="23" t="str">
        <f t="shared" si="126"/>
        <v>ORD26001583</v>
      </c>
      <c r="E2737" s="38">
        <v>46280</v>
      </c>
      <c r="F2737" s="23" t="s">
        <v>12410</v>
      </c>
      <c r="G2737" s="23" t="s">
        <v>79</v>
      </c>
      <c r="H2737" s="24">
        <v>999</v>
      </c>
      <c r="I2737" s="24">
        <v>17.98</v>
      </c>
      <c r="J2737" s="24">
        <v>3.24</v>
      </c>
      <c r="K2737" s="24">
        <v>977.78</v>
      </c>
      <c r="L2737" s="38">
        <v>46282</v>
      </c>
      <c r="M2737" s="23" t="s">
        <v>206</v>
      </c>
      <c r="N2737" s="23" t="str">
        <f>IF(COUNTIF($A$2:A2737,A2737)&gt;1,"DUP","OK")</f>
        <v>OK</v>
      </c>
      <c r="O2737" s="23" t="str">
        <f t="shared" si="127"/>
        <v>ORD26001583</v>
      </c>
      <c r="P2737" s="23" t="str">
        <f t="shared" si="128"/>
        <v>Sep</v>
      </c>
      <c r="Q2737" s="23" t="str">
        <f>IF(F2737="CAPTURE",IF(COUNTIF(orders!$A:$A,O2737)&gt;0,"Yes","NO ORDER"),"")</f>
        <v>Yes</v>
      </c>
    </row>
    <row r="2738" spans="1:17" ht="15" customHeight="1" x14ac:dyDescent="0.3">
      <c r="A2738" s="23" t="s">
        <v>15595</v>
      </c>
      <c r="B2738" s="23"/>
      <c r="C2738" s="23" t="s">
        <v>3667</v>
      </c>
      <c r="D2738" s="23" t="str">
        <f t="shared" si="126"/>
        <v>ORD26001590</v>
      </c>
      <c r="E2738" s="38">
        <v>46280</v>
      </c>
      <c r="F2738" s="23" t="s">
        <v>12410</v>
      </c>
      <c r="G2738" s="23" t="s">
        <v>77</v>
      </c>
      <c r="H2738" s="24">
        <v>1799</v>
      </c>
      <c r="I2738" s="24">
        <v>34.18</v>
      </c>
      <c r="J2738" s="24">
        <v>6.15</v>
      </c>
      <c r="K2738" s="24">
        <v>1758.67</v>
      </c>
      <c r="L2738" s="38">
        <v>46282</v>
      </c>
      <c r="M2738" s="23" t="s">
        <v>206</v>
      </c>
      <c r="N2738" s="23" t="str">
        <f>IF(COUNTIF($A$2:A2738,A2738)&gt;1,"DUP","OK")</f>
        <v>OK</v>
      </c>
      <c r="O2738" s="23" t="str">
        <f t="shared" si="127"/>
        <v>ORD26001590</v>
      </c>
      <c r="P2738" s="23" t="str">
        <f t="shared" si="128"/>
        <v>Sep</v>
      </c>
      <c r="Q2738" s="23" t="str">
        <f>IF(F2738="CAPTURE",IF(COUNTIF(orders!$A:$A,O2738)&gt;0,"Yes","NO ORDER"),"")</f>
        <v>Yes</v>
      </c>
    </row>
    <row r="2739" spans="1:17" ht="15" customHeight="1" x14ac:dyDescent="0.3">
      <c r="A2739" s="23" t="s">
        <v>15596</v>
      </c>
      <c r="B2739" s="23"/>
      <c r="C2739" s="23" t="s">
        <v>15597</v>
      </c>
      <c r="D2739" s="23" t="str">
        <f t="shared" si="126"/>
        <v>ORD26001646</v>
      </c>
      <c r="E2739" s="38">
        <v>46280</v>
      </c>
      <c r="F2739" s="23" t="s">
        <v>12410</v>
      </c>
      <c r="G2739" s="23" t="s">
        <v>81</v>
      </c>
      <c r="H2739" s="24">
        <v>3798</v>
      </c>
      <c r="I2739" s="24">
        <v>45.58</v>
      </c>
      <c r="J2739" s="24">
        <v>8.1999999999999993</v>
      </c>
      <c r="K2739" s="24">
        <v>3744.22</v>
      </c>
      <c r="L2739" s="38">
        <v>46282</v>
      </c>
      <c r="M2739" s="23" t="s">
        <v>206</v>
      </c>
      <c r="N2739" s="23" t="str">
        <f>IF(COUNTIF($A$2:A2739,A2739)&gt;1,"DUP","OK")</f>
        <v>OK</v>
      </c>
      <c r="O2739" s="23" t="str">
        <f t="shared" si="127"/>
        <v>ORD26001646</v>
      </c>
      <c r="P2739" s="23" t="str">
        <f t="shared" si="128"/>
        <v>Sep</v>
      </c>
      <c r="Q2739" s="23" t="str">
        <f>IF(F2739="CAPTURE",IF(COUNTIF(orders!$A:$A,O2739)&gt;0,"Yes","NO ORDER"),"")</f>
        <v>Yes</v>
      </c>
    </row>
    <row r="2740" spans="1:17" ht="15" customHeight="1" x14ac:dyDescent="0.3">
      <c r="A2740" s="23" t="s">
        <v>15598</v>
      </c>
      <c r="B2740" s="23"/>
      <c r="C2740" s="23" t="s">
        <v>3915</v>
      </c>
      <c r="D2740" s="23" t="str">
        <f t="shared" si="126"/>
        <v>ORD26001714</v>
      </c>
      <c r="E2740" s="38">
        <v>46280</v>
      </c>
      <c r="F2740" s="23" t="s">
        <v>12410</v>
      </c>
      <c r="G2740" s="23" t="s">
        <v>77</v>
      </c>
      <c r="H2740" s="24">
        <v>1299</v>
      </c>
      <c r="I2740" s="24">
        <v>24.68</v>
      </c>
      <c r="J2740" s="24">
        <v>4.4400000000000004</v>
      </c>
      <c r="K2740" s="24">
        <v>1269.8800000000001</v>
      </c>
      <c r="L2740" s="38">
        <v>46282</v>
      </c>
      <c r="M2740" s="23" t="s">
        <v>206</v>
      </c>
      <c r="N2740" s="23" t="str">
        <f>IF(COUNTIF($A$2:A2740,A2740)&gt;1,"DUP","OK")</f>
        <v>OK</v>
      </c>
      <c r="O2740" s="23" t="str">
        <f t="shared" si="127"/>
        <v>ORD26001714</v>
      </c>
      <c r="P2740" s="23" t="str">
        <f t="shared" si="128"/>
        <v>Sep</v>
      </c>
      <c r="Q2740" s="23" t="str">
        <f>IF(F2740="CAPTURE",IF(COUNTIF(orders!$A:$A,O2740)&gt;0,"Yes","NO ORDER"),"")</f>
        <v>Yes</v>
      </c>
    </row>
    <row r="2741" spans="1:17" ht="15" customHeight="1" x14ac:dyDescent="0.3">
      <c r="A2741" s="23" t="s">
        <v>15599</v>
      </c>
      <c r="B2741" s="23"/>
      <c r="C2741" s="23" t="s">
        <v>3923</v>
      </c>
      <c r="D2741" s="23" t="str">
        <f t="shared" si="126"/>
        <v>ORD26001718</v>
      </c>
      <c r="E2741" s="38">
        <v>46280</v>
      </c>
      <c r="F2741" s="23" t="s">
        <v>12410</v>
      </c>
      <c r="G2741" s="23" t="s">
        <v>75</v>
      </c>
      <c r="H2741" s="24">
        <v>9498</v>
      </c>
      <c r="I2741" s="24">
        <v>28.49</v>
      </c>
      <c r="J2741" s="24">
        <v>5.13</v>
      </c>
      <c r="K2741" s="24">
        <v>9464.3799999999992</v>
      </c>
      <c r="L2741" s="38">
        <v>46282</v>
      </c>
      <c r="M2741" s="23" t="s">
        <v>206</v>
      </c>
      <c r="N2741" s="23" t="str">
        <f>IF(COUNTIF($A$2:A2741,A2741)&gt;1,"DUP","OK")</f>
        <v>OK</v>
      </c>
      <c r="O2741" s="23" t="str">
        <f t="shared" si="127"/>
        <v>ORD26001718</v>
      </c>
      <c r="P2741" s="23" t="str">
        <f t="shared" si="128"/>
        <v>Sep</v>
      </c>
      <c r="Q2741" s="23" t="str">
        <f>IF(F2741="CAPTURE",IF(COUNTIF(orders!$A:$A,O2741)&gt;0,"Yes","NO ORDER"),"")</f>
        <v>Yes</v>
      </c>
    </row>
    <row r="2742" spans="1:17" ht="15" customHeight="1" x14ac:dyDescent="0.3">
      <c r="A2742" s="23" t="s">
        <v>15600</v>
      </c>
      <c r="B2742" s="23"/>
      <c r="C2742" s="23" t="s">
        <v>3986</v>
      </c>
      <c r="D2742" s="23" t="str">
        <f t="shared" si="126"/>
        <v>ORD26001749</v>
      </c>
      <c r="E2742" s="38">
        <v>46280</v>
      </c>
      <c r="F2742" s="23" t="s">
        <v>12410</v>
      </c>
      <c r="G2742" s="23" t="s">
        <v>79</v>
      </c>
      <c r="H2742" s="24">
        <v>4298</v>
      </c>
      <c r="I2742" s="24">
        <v>68.77</v>
      </c>
      <c r="J2742" s="24">
        <v>12.38</v>
      </c>
      <c r="K2742" s="24">
        <v>4216.8500000000004</v>
      </c>
      <c r="L2742" s="38">
        <v>46282</v>
      </c>
      <c r="M2742" s="23" t="s">
        <v>206</v>
      </c>
      <c r="N2742" s="23" t="str">
        <f>IF(COUNTIF($A$2:A2742,A2742)&gt;1,"DUP","OK")</f>
        <v>OK</v>
      </c>
      <c r="O2742" s="23" t="str">
        <f t="shared" si="127"/>
        <v>ORD26001749</v>
      </c>
      <c r="P2742" s="23" t="str">
        <f t="shared" si="128"/>
        <v>Sep</v>
      </c>
      <c r="Q2742" s="23" t="str">
        <f>IF(F2742="CAPTURE",IF(COUNTIF(orders!$A:$A,O2742)&gt;0,"Yes","NO ORDER"),"")</f>
        <v>Yes</v>
      </c>
    </row>
    <row r="2743" spans="1:17" ht="15" customHeight="1" x14ac:dyDescent="0.3">
      <c r="A2743" s="23" t="s">
        <v>15601</v>
      </c>
      <c r="B2743" s="23"/>
      <c r="C2743" s="23" t="s">
        <v>4016</v>
      </c>
      <c r="D2743" s="23" t="str">
        <f t="shared" si="126"/>
        <v>ORD26001764</v>
      </c>
      <c r="E2743" s="38">
        <v>46280</v>
      </c>
      <c r="F2743" s="23" t="s">
        <v>12410</v>
      </c>
      <c r="G2743" s="23" t="s">
        <v>75</v>
      </c>
      <c r="H2743" s="24">
        <v>2499</v>
      </c>
      <c r="I2743" s="24">
        <v>7.5</v>
      </c>
      <c r="J2743" s="24">
        <v>1.35</v>
      </c>
      <c r="K2743" s="24">
        <v>2490.15</v>
      </c>
      <c r="L2743" s="38">
        <v>46282</v>
      </c>
      <c r="M2743" s="23" t="s">
        <v>206</v>
      </c>
      <c r="N2743" s="23" t="str">
        <f>IF(COUNTIF($A$2:A2743,A2743)&gt;1,"DUP","OK")</f>
        <v>OK</v>
      </c>
      <c r="O2743" s="23" t="str">
        <f t="shared" si="127"/>
        <v>ORD26001764</v>
      </c>
      <c r="P2743" s="23" t="str">
        <f t="shared" si="128"/>
        <v>Sep</v>
      </c>
      <c r="Q2743" s="23" t="str">
        <f>IF(F2743="CAPTURE",IF(COUNTIF(orders!$A:$A,O2743)&gt;0,"Yes","NO ORDER"),"")</f>
        <v>Yes</v>
      </c>
    </row>
    <row r="2744" spans="1:17" ht="15" customHeight="1" x14ac:dyDescent="0.3">
      <c r="A2744" s="23" t="s">
        <v>15602</v>
      </c>
      <c r="B2744" s="23"/>
      <c r="C2744" s="23" t="s">
        <v>4028</v>
      </c>
      <c r="D2744" s="23" t="str">
        <f t="shared" si="126"/>
        <v>ORD26001770</v>
      </c>
      <c r="E2744" s="38">
        <v>46280</v>
      </c>
      <c r="F2744" s="23" t="s">
        <v>12410</v>
      </c>
      <c r="G2744" s="23" t="s">
        <v>81</v>
      </c>
      <c r="H2744" s="24">
        <v>6797</v>
      </c>
      <c r="I2744" s="24">
        <v>81.56</v>
      </c>
      <c r="J2744" s="24">
        <v>14.68</v>
      </c>
      <c r="K2744" s="24">
        <v>6700.76</v>
      </c>
      <c r="L2744" s="38">
        <v>46282</v>
      </c>
      <c r="M2744" s="23" t="s">
        <v>206</v>
      </c>
      <c r="N2744" s="23" t="str">
        <f>IF(COUNTIF($A$2:A2744,A2744)&gt;1,"DUP","OK")</f>
        <v>OK</v>
      </c>
      <c r="O2744" s="23" t="str">
        <f t="shared" si="127"/>
        <v>ORD26001770</v>
      </c>
      <c r="P2744" s="23" t="str">
        <f t="shared" si="128"/>
        <v>Sep</v>
      </c>
      <c r="Q2744" s="23" t="str">
        <f>IF(F2744="CAPTURE",IF(COUNTIF(orders!$A:$A,O2744)&gt;0,"Yes","NO ORDER"),"")</f>
        <v>Yes</v>
      </c>
    </row>
    <row r="2745" spans="1:17" ht="15" customHeight="1" x14ac:dyDescent="0.3">
      <c r="A2745" s="23" t="s">
        <v>15603</v>
      </c>
      <c r="B2745" s="23"/>
      <c r="C2745" s="23" t="s">
        <v>4401</v>
      </c>
      <c r="D2745" s="23" t="str">
        <f t="shared" si="126"/>
        <v>ORD26001957</v>
      </c>
      <c r="E2745" s="38">
        <v>46280</v>
      </c>
      <c r="F2745" s="23" t="s">
        <v>12410</v>
      </c>
      <c r="G2745" s="23" t="s">
        <v>79</v>
      </c>
      <c r="H2745" s="24">
        <v>299</v>
      </c>
      <c r="I2745" s="24">
        <v>5.38</v>
      </c>
      <c r="J2745" s="24">
        <v>0.97</v>
      </c>
      <c r="K2745" s="24">
        <v>292.64999999999998</v>
      </c>
      <c r="L2745" s="38">
        <v>46282</v>
      </c>
      <c r="M2745" s="23" t="s">
        <v>206</v>
      </c>
      <c r="N2745" s="23" t="str">
        <f>IF(COUNTIF($A$2:A2745,A2745)&gt;1,"DUP","OK")</f>
        <v>OK</v>
      </c>
      <c r="O2745" s="23" t="str">
        <f t="shared" si="127"/>
        <v>ORD26001957</v>
      </c>
      <c r="P2745" s="23" t="str">
        <f t="shared" si="128"/>
        <v>Sep</v>
      </c>
      <c r="Q2745" s="23" t="str">
        <f>IF(F2745="CAPTURE",IF(COUNTIF(orders!$A:$A,O2745)&gt;0,"Yes","NO ORDER"),"")</f>
        <v>Yes</v>
      </c>
    </row>
    <row r="2746" spans="1:17" ht="15" customHeight="1" x14ac:dyDescent="0.3">
      <c r="A2746" s="23" t="s">
        <v>15604</v>
      </c>
      <c r="B2746" s="23"/>
      <c r="C2746" s="23" t="s">
        <v>15605</v>
      </c>
      <c r="D2746" s="23" t="str">
        <f t="shared" si="126"/>
        <v>ORD26001958</v>
      </c>
      <c r="E2746" s="38">
        <v>46280</v>
      </c>
      <c r="F2746" s="23" t="s">
        <v>12410</v>
      </c>
      <c r="G2746" s="23" t="s">
        <v>75</v>
      </c>
      <c r="H2746" s="24">
        <v>7998</v>
      </c>
      <c r="I2746" s="24">
        <v>23.99</v>
      </c>
      <c r="J2746" s="24">
        <v>4.32</v>
      </c>
      <c r="K2746" s="24">
        <v>7969.69</v>
      </c>
      <c r="L2746" s="38">
        <v>46282</v>
      </c>
      <c r="M2746" s="23" t="s">
        <v>206</v>
      </c>
      <c r="N2746" s="23" t="str">
        <f>IF(COUNTIF($A$2:A2746,A2746)&gt;1,"DUP","OK")</f>
        <v>OK</v>
      </c>
      <c r="O2746" s="23" t="str">
        <f t="shared" si="127"/>
        <v>ORD26001958</v>
      </c>
      <c r="P2746" s="23" t="str">
        <f t="shared" si="128"/>
        <v>Sep</v>
      </c>
      <c r="Q2746" s="23" t="str">
        <f>IF(F2746="CAPTURE",IF(COUNTIF(orders!$A:$A,O2746)&gt;0,"Yes","NO ORDER"),"")</f>
        <v>Yes</v>
      </c>
    </row>
    <row r="2747" spans="1:17" ht="15" customHeight="1" x14ac:dyDescent="0.3">
      <c r="A2747" s="23" t="s">
        <v>15606</v>
      </c>
      <c r="B2747" s="23"/>
      <c r="C2747" s="23" t="s">
        <v>4433</v>
      </c>
      <c r="D2747" s="23" t="str">
        <f t="shared" si="126"/>
        <v>ORD26001973</v>
      </c>
      <c r="E2747" s="38">
        <v>46280</v>
      </c>
      <c r="F2747" s="23" t="s">
        <v>12410</v>
      </c>
      <c r="G2747" s="23" t="s">
        <v>75</v>
      </c>
      <c r="H2747" s="24">
        <v>3598</v>
      </c>
      <c r="I2747" s="24">
        <v>10.79</v>
      </c>
      <c r="J2747" s="24">
        <v>1.94</v>
      </c>
      <c r="K2747" s="24">
        <v>3585.27</v>
      </c>
      <c r="L2747" s="38">
        <v>46282</v>
      </c>
      <c r="M2747" s="23" t="s">
        <v>206</v>
      </c>
      <c r="N2747" s="23" t="str">
        <f>IF(COUNTIF($A$2:A2747,A2747)&gt;1,"DUP","OK")</f>
        <v>OK</v>
      </c>
      <c r="O2747" s="23" t="str">
        <f t="shared" si="127"/>
        <v>ORD26001973</v>
      </c>
      <c r="P2747" s="23" t="str">
        <f t="shared" si="128"/>
        <v>Sep</v>
      </c>
      <c r="Q2747" s="23" t="str">
        <f>IF(F2747="CAPTURE",IF(COUNTIF(orders!$A:$A,O2747)&gt;0,"Yes","NO ORDER"),"")</f>
        <v>Yes</v>
      </c>
    </row>
    <row r="2748" spans="1:17" ht="15" customHeight="1" x14ac:dyDescent="0.3">
      <c r="A2748" s="23" t="s">
        <v>15607</v>
      </c>
      <c r="B2748" s="23"/>
      <c r="C2748" s="23" t="s">
        <v>4442</v>
      </c>
      <c r="D2748" s="23" t="str">
        <f t="shared" si="126"/>
        <v>ORD26001977</v>
      </c>
      <c r="E2748" s="38">
        <v>46280</v>
      </c>
      <c r="F2748" s="23" t="s">
        <v>12410</v>
      </c>
      <c r="G2748" s="23" t="s">
        <v>75</v>
      </c>
      <c r="H2748" s="24">
        <v>3499</v>
      </c>
      <c r="I2748" s="24">
        <v>10.5</v>
      </c>
      <c r="J2748" s="24">
        <v>1.89</v>
      </c>
      <c r="K2748" s="24">
        <v>3486.61</v>
      </c>
      <c r="L2748" s="38">
        <v>46282</v>
      </c>
      <c r="M2748" s="23" t="s">
        <v>206</v>
      </c>
      <c r="N2748" s="23" t="str">
        <f>IF(COUNTIF($A$2:A2748,A2748)&gt;1,"DUP","OK")</f>
        <v>OK</v>
      </c>
      <c r="O2748" s="23" t="str">
        <f t="shared" si="127"/>
        <v>ORD26001977</v>
      </c>
      <c r="P2748" s="23" t="str">
        <f t="shared" si="128"/>
        <v>Sep</v>
      </c>
      <c r="Q2748" s="23" t="str">
        <f>IF(F2748="CAPTURE",IF(COUNTIF(orders!$A:$A,O2748)&gt;0,"Yes","NO ORDER"),"")</f>
        <v>Yes</v>
      </c>
    </row>
    <row r="2749" spans="1:17" ht="15" customHeight="1" x14ac:dyDescent="0.3">
      <c r="A2749" s="23" t="s">
        <v>15608</v>
      </c>
      <c r="B2749" s="23"/>
      <c r="C2749" s="23" t="s">
        <v>4464</v>
      </c>
      <c r="D2749" s="23" t="str">
        <f t="shared" si="126"/>
        <v>ORD26001988</v>
      </c>
      <c r="E2749" s="38">
        <v>46280</v>
      </c>
      <c r="F2749" s="23" t="s">
        <v>12410</v>
      </c>
      <c r="G2749" s="23" t="s">
        <v>75</v>
      </c>
      <c r="H2749" s="24">
        <v>7097</v>
      </c>
      <c r="I2749" s="24">
        <v>21.29</v>
      </c>
      <c r="J2749" s="24">
        <v>3.83</v>
      </c>
      <c r="K2749" s="24">
        <v>7071.88</v>
      </c>
      <c r="L2749" s="38">
        <v>46282</v>
      </c>
      <c r="M2749" s="23" t="s">
        <v>206</v>
      </c>
      <c r="N2749" s="23" t="str">
        <f>IF(COUNTIF($A$2:A2749,A2749)&gt;1,"DUP","OK")</f>
        <v>OK</v>
      </c>
      <c r="O2749" s="23" t="str">
        <f t="shared" si="127"/>
        <v>ORD26001988</v>
      </c>
      <c r="P2749" s="23" t="str">
        <f t="shared" si="128"/>
        <v>Sep</v>
      </c>
      <c r="Q2749" s="23" t="str">
        <f>IF(F2749="CAPTURE",IF(COUNTIF(orders!$A:$A,O2749)&gt;0,"Yes","NO ORDER"),"")</f>
        <v>Yes</v>
      </c>
    </row>
    <row r="2750" spans="1:17" ht="15" customHeight="1" x14ac:dyDescent="0.3">
      <c r="A2750" s="23" t="s">
        <v>15609</v>
      </c>
      <c r="B2750" s="23"/>
      <c r="C2750" s="23" t="s">
        <v>4578</v>
      </c>
      <c r="D2750" s="23" t="str">
        <f t="shared" si="126"/>
        <v>ORD26002044</v>
      </c>
      <c r="E2750" s="38">
        <v>46280</v>
      </c>
      <c r="F2750" s="23" t="s">
        <v>12410</v>
      </c>
      <c r="G2750" s="23" t="s">
        <v>77</v>
      </c>
      <c r="H2750" s="24">
        <v>8597</v>
      </c>
      <c r="I2750" s="24">
        <v>146.15</v>
      </c>
      <c r="J2750" s="24">
        <v>26.31</v>
      </c>
      <c r="K2750" s="24">
        <v>8424.5400000000009</v>
      </c>
      <c r="L2750" s="38">
        <v>46282</v>
      </c>
      <c r="M2750" s="23" t="s">
        <v>206</v>
      </c>
      <c r="N2750" s="23" t="str">
        <f>IF(COUNTIF($A$2:A2750,A2750)&gt;1,"DUP","OK")</f>
        <v>OK</v>
      </c>
      <c r="O2750" s="23" t="str">
        <f t="shared" si="127"/>
        <v>ORD26002044</v>
      </c>
      <c r="P2750" s="23" t="str">
        <f t="shared" si="128"/>
        <v>Sep</v>
      </c>
      <c r="Q2750" s="23" t="str">
        <f>IF(F2750="CAPTURE",IF(COUNTIF(orders!$A:$A,O2750)&gt;0,"Yes","NO ORDER"),"")</f>
        <v>Yes</v>
      </c>
    </row>
    <row r="2751" spans="1:17" ht="15" customHeight="1" x14ac:dyDescent="0.3">
      <c r="A2751" s="23" t="s">
        <v>15610</v>
      </c>
      <c r="B2751" s="23"/>
      <c r="C2751" s="23" t="s">
        <v>4597</v>
      </c>
      <c r="D2751" s="23" t="str">
        <f t="shared" si="126"/>
        <v>ORD26002053</v>
      </c>
      <c r="E2751" s="38">
        <v>46280</v>
      </c>
      <c r="F2751" s="23" t="s">
        <v>12410</v>
      </c>
      <c r="G2751" s="23" t="s">
        <v>79</v>
      </c>
      <c r="H2751" s="24">
        <v>599</v>
      </c>
      <c r="I2751" s="24">
        <v>10.78</v>
      </c>
      <c r="J2751" s="24">
        <v>1.94</v>
      </c>
      <c r="K2751" s="24">
        <v>586.28</v>
      </c>
      <c r="L2751" s="38">
        <v>46282</v>
      </c>
      <c r="M2751" s="23" t="s">
        <v>206</v>
      </c>
      <c r="N2751" s="23" t="str">
        <f>IF(COUNTIF($A$2:A2751,A2751)&gt;1,"DUP","OK")</f>
        <v>OK</v>
      </c>
      <c r="O2751" s="23" t="str">
        <f t="shared" si="127"/>
        <v>ORD26002053</v>
      </c>
      <c r="P2751" s="23" t="str">
        <f t="shared" si="128"/>
        <v>Sep</v>
      </c>
      <c r="Q2751" s="23" t="str">
        <f>IF(F2751="CAPTURE",IF(COUNTIF(orders!$A:$A,O2751)&gt;0,"Yes","NO ORDER"),"")</f>
        <v>Yes</v>
      </c>
    </row>
    <row r="2752" spans="1:17" ht="15" customHeight="1" x14ac:dyDescent="0.3">
      <c r="A2752" s="23" t="s">
        <v>15611</v>
      </c>
      <c r="B2752" s="23"/>
      <c r="C2752" s="23" t="s">
        <v>4624</v>
      </c>
      <c r="D2752" s="23" t="str">
        <f t="shared" si="126"/>
        <v>ORD26002066</v>
      </c>
      <c r="E2752" s="38">
        <v>46280</v>
      </c>
      <c r="F2752" s="23" t="s">
        <v>12410</v>
      </c>
      <c r="G2752" s="23" t="s">
        <v>79</v>
      </c>
      <c r="H2752" s="24">
        <v>7999</v>
      </c>
      <c r="I2752" s="24">
        <v>127.98</v>
      </c>
      <c r="J2752" s="24">
        <v>23.04</v>
      </c>
      <c r="K2752" s="24">
        <v>7847.98</v>
      </c>
      <c r="L2752" s="38">
        <v>46282</v>
      </c>
      <c r="M2752" s="23" t="s">
        <v>206</v>
      </c>
      <c r="N2752" s="23" t="str">
        <f>IF(COUNTIF($A$2:A2752,A2752)&gt;1,"DUP","OK")</f>
        <v>OK</v>
      </c>
      <c r="O2752" s="23" t="str">
        <f t="shared" si="127"/>
        <v>ORD26002066</v>
      </c>
      <c r="P2752" s="23" t="str">
        <f t="shared" si="128"/>
        <v>Sep</v>
      </c>
      <c r="Q2752" s="23" t="str">
        <f>IF(F2752="CAPTURE",IF(COUNTIF(orders!$A:$A,O2752)&gt;0,"Yes","NO ORDER"),"")</f>
        <v>Yes</v>
      </c>
    </row>
    <row r="2753" spans="1:17" ht="15" customHeight="1" x14ac:dyDescent="0.3">
      <c r="A2753" s="23" t="s">
        <v>15612</v>
      </c>
      <c r="B2753" s="23"/>
      <c r="C2753" s="23" t="s">
        <v>4644</v>
      </c>
      <c r="D2753" s="23" t="str">
        <f t="shared" si="126"/>
        <v>ORD26002076</v>
      </c>
      <c r="E2753" s="38">
        <v>46280</v>
      </c>
      <c r="F2753" s="23" t="s">
        <v>12410</v>
      </c>
      <c r="G2753" s="23" t="s">
        <v>75</v>
      </c>
      <c r="H2753" s="24">
        <v>1499</v>
      </c>
      <c r="I2753" s="24">
        <v>0</v>
      </c>
      <c r="J2753" s="24">
        <v>0</v>
      </c>
      <c r="K2753" s="24">
        <v>1499</v>
      </c>
      <c r="L2753" s="38">
        <v>46282</v>
      </c>
      <c r="M2753" s="23" t="s">
        <v>206</v>
      </c>
      <c r="N2753" s="23" t="str">
        <f>IF(COUNTIF($A$2:A2753,A2753)&gt;1,"DUP","OK")</f>
        <v>OK</v>
      </c>
      <c r="O2753" s="23" t="str">
        <f t="shared" si="127"/>
        <v>ORD26002076</v>
      </c>
      <c r="P2753" s="23" t="str">
        <f t="shared" si="128"/>
        <v>Sep</v>
      </c>
      <c r="Q2753" s="23" t="str">
        <f>IF(F2753="CAPTURE",IF(COUNTIF(orders!$A:$A,O2753)&gt;0,"Yes","NO ORDER"),"")</f>
        <v>Yes</v>
      </c>
    </row>
    <row r="2754" spans="1:17" ht="15" customHeight="1" x14ac:dyDescent="0.3">
      <c r="A2754" s="23" t="s">
        <v>15613</v>
      </c>
      <c r="B2754" s="23"/>
      <c r="C2754" s="23" t="s">
        <v>4676</v>
      </c>
      <c r="D2754" s="23" t="str">
        <f t="shared" ref="D2754:D2817" si="129">UPPER(SUBSTITUTE(TRIM(C2754),"-",""))</f>
        <v>ORD26002093</v>
      </c>
      <c r="E2754" s="38">
        <v>46280</v>
      </c>
      <c r="F2754" s="23" t="s">
        <v>12410</v>
      </c>
      <c r="G2754" s="23" t="s">
        <v>75</v>
      </c>
      <c r="H2754" s="24">
        <v>2999</v>
      </c>
      <c r="I2754" s="24">
        <v>9</v>
      </c>
      <c r="J2754" s="24">
        <v>1.62</v>
      </c>
      <c r="K2754" s="24">
        <v>2988.38</v>
      </c>
      <c r="L2754" s="38">
        <v>46282</v>
      </c>
      <c r="M2754" s="23" t="s">
        <v>206</v>
      </c>
      <c r="N2754" s="23" t="str">
        <f>IF(COUNTIF($A$2:A2754,A2754)&gt;1,"DUP","OK")</f>
        <v>OK</v>
      </c>
      <c r="O2754" s="23" t="str">
        <f t="shared" ref="O2754:O2817" si="130">IF(F2754="REFUND",INDEX($D:$D,MATCH(B2754,$A:$A,0)),D2754)</f>
        <v>ORD26002093</v>
      </c>
      <c r="P2754" s="23" t="str">
        <f t="shared" ref="P2754:P2817" si="131">IF(L2754&gt;DATE(2026,9,30),"Oct-Due","Sep")</f>
        <v>Sep</v>
      </c>
      <c r="Q2754" s="23" t="str">
        <f>IF(F2754="CAPTURE",IF(COUNTIF(orders!$A:$A,O2754)&gt;0,"Yes","NO ORDER"),"")</f>
        <v>Yes</v>
      </c>
    </row>
    <row r="2755" spans="1:17" ht="15" customHeight="1" x14ac:dyDescent="0.3">
      <c r="A2755" s="23" t="s">
        <v>15614</v>
      </c>
      <c r="B2755" s="23"/>
      <c r="C2755" s="23" t="s">
        <v>4752</v>
      </c>
      <c r="D2755" s="23" t="str">
        <f t="shared" si="129"/>
        <v>ORD26002131</v>
      </c>
      <c r="E2755" s="38">
        <v>46280</v>
      </c>
      <c r="F2755" s="23" t="s">
        <v>12410</v>
      </c>
      <c r="G2755" s="23" t="s">
        <v>77</v>
      </c>
      <c r="H2755" s="24">
        <v>3798</v>
      </c>
      <c r="I2755" s="24">
        <v>64.569999999999993</v>
      </c>
      <c r="J2755" s="24">
        <v>11.62</v>
      </c>
      <c r="K2755" s="24">
        <v>3721.81</v>
      </c>
      <c r="L2755" s="38">
        <v>46282</v>
      </c>
      <c r="M2755" s="23" t="s">
        <v>206</v>
      </c>
      <c r="N2755" s="23" t="str">
        <f>IF(COUNTIF($A$2:A2755,A2755)&gt;1,"DUP","OK")</f>
        <v>OK</v>
      </c>
      <c r="O2755" s="23" t="str">
        <f t="shared" si="130"/>
        <v>ORD26002131</v>
      </c>
      <c r="P2755" s="23" t="str">
        <f t="shared" si="131"/>
        <v>Sep</v>
      </c>
      <c r="Q2755" s="23" t="str">
        <f>IF(F2755="CAPTURE",IF(COUNTIF(orders!$A:$A,O2755)&gt;0,"Yes","NO ORDER"),"")</f>
        <v>Yes</v>
      </c>
    </row>
    <row r="2756" spans="1:17" ht="15" customHeight="1" x14ac:dyDescent="0.3">
      <c r="A2756" s="23" t="s">
        <v>15615</v>
      </c>
      <c r="B2756" s="23"/>
      <c r="C2756" s="23" t="s">
        <v>4795</v>
      </c>
      <c r="D2756" s="23" t="str">
        <f t="shared" si="129"/>
        <v>ORD26002153</v>
      </c>
      <c r="E2756" s="38">
        <v>46280</v>
      </c>
      <c r="F2756" s="23" t="s">
        <v>12410</v>
      </c>
      <c r="G2756" s="23" t="s">
        <v>77</v>
      </c>
      <c r="H2756" s="24">
        <v>11097</v>
      </c>
      <c r="I2756" s="24">
        <v>188.65</v>
      </c>
      <c r="J2756" s="24">
        <v>33.96</v>
      </c>
      <c r="K2756" s="24">
        <v>10874.39</v>
      </c>
      <c r="L2756" s="38">
        <v>46282</v>
      </c>
      <c r="M2756" s="23" t="s">
        <v>206</v>
      </c>
      <c r="N2756" s="23" t="str">
        <f>IF(COUNTIF($A$2:A2756,A2756)&gt;1,"DUP","OK")</f>
        <v>OK</v>
      </c>
      <c r="O2756" s="23" t="str">
        <f t="shared" si="130"/>
        <v>ORD26002153</v>
      </c>
      <c r="P2756" s="23" t="str">
        <f t="shared" si="131"/>
        <v>Sep</v>
      </c>
      <c r="Q2756" s="23" t="str">
        <f>IF(F2756="CAPTURE",IF(COUNTIF(orders!$A:$A,O2756)&gt;0,"Yes","NO ORDER"),"")</f>
        <v>Yes</v>
      </c>
    </row>
    <row r="2757" spans="1:17" ht="15" customHeight="1" x14ac:dyDescent="0.3">
      <c r="A2757" s="23" t="s">
        <v>15616</v>
      </c>
      <c r="B2757" s="23"/>
      <c r="C2757" s="23" t="s">
        <v>5014</v>
      </c>
      <c r="D2757" s="23" t="str">
        <f t="shared" si="129"/>
        <v>ORD26002260</v>
      </c>
      <c r="E2757" s="38">
        <v>46280</v>
      </c>
      <c r="F2757" s="23" t="s">
        <v>12410</v>
      </c>
      <c r="G2757" s="23" t="s">
        <v>75</v>
      </c>
      <c r="H2757" s="24">
        <v>5598</v>
      </c>
      <c r="I2757" s="24">
        <v>16.79</v>
      </c>
      <c r="J2757" s="24">
        <v>3.02</v>
      </c>
      <c r="K2757" s="24">
        <v>5578.19</v>
      </c>
      <c r="L2757" s="38">
        <v>46282</v>
      </c>
      <c r="M2757" s="23" t="s">
        <v>206</v>
      </c>
      <c r="N2757" s="23" t="str">
        <f>IF(COUNTIF($A$2:A2757,A2757)&gt;1,"DUP","OK")</f>
        <v>OK</v>
      </c>
      <c r="O2757" s="23" t="str">
        <f t="shared" si="130"/>
        <v>ORD26002260</v>
      </c>
      <c r="P2757" s="23" t="str">
        <f t="shared" si="131"/>
        <v>Sep</v>
      </c>
      <c r="Q2757" s="23" t="str">
        <f>IF(F2757="CAPTURE",IF(COUNTIF(orders!$A:$A,O2757)&gt;0,"Yes","NO ORDER"),"")</f>
        <v>Yes</v>
      </c>
    </row>
    <row r="2758" spans="1:17" ht="15" customHeight="1" x14ac:dyDescent="0.3">
      <c r="A2758" s="23" t="s">
        <v>15617</v>
      </c>
      <c r="B2758" s="23"/>
      <c r="C2758" s="23" t="s">
        <v>5237</v>
      </c>
      <c r="D2758" s="23" t="str">
        <f t="shared" si="129"/>
        <v>ORD26002372</v>
      </c>
      <c r="E2758" s="38">
        <v>46280</v>
      </c>
      <c r="F2758" s="23" t="s">
        <v>12410</v>
      </c>
      <c r="G2758" s="23" t="s">
        <v>79</v>
      </c>
      <c r="H2758" s="24">
        <v>10498</v>
      </c>
      <c r="I2758" s="24">
        <v>167.97</v>
      </c>
      <c r="J2758" s="24">
        <v>30.23</v>
      </c>
      <c r="K2758" s="24">
        <v>10299.799999999999</v>
      </c>
      <c r="L2758" s="38">
        <v>46282</v>
      </c>
      <c r="M2758" s="23" t="s">
        <v>206</v>
      </c>
      <c r="N2758" s="23" t="str">
        <f>IF(COUNTIF($A$2:A2758,A2758)&gt;1,"DUP","OK")</f>
        <v>OK</v>
      </c>
      <c r="O2758" s="23" t="str">
        <f t="shared" si="130"/>
        <v>ORD26002372</v>
      </c>
      <c r="P2758" s="23" t="str">
        <f t="shared" si="131"/>
        <v>Sep</v>
      </c>
      <c r="Q2758" s="23" t="str">
        <f>IF(F2758="CAPTURE",IF(COUNTIF(orders!$A:$A,O2758)&gt;0,"Yes","NO ORDER"),"")</f>
        <v>Yes</v>
      </c>
    </row>
    <row r="2759" spans="1:17" ht="15" customHeight="1" x14ac:dyDescent="0.3">
      <c r="A2759" s="23" t="s">
        <v>15618</v>
      </c>
      <c r="B2759" s="23"/>
      <c r="C2759" s="23" t="s">
        <v>5361</v>
      </c>
      <c r="D2759" s="23" t="str">
        <f t="shared" si="129"/>
        <v>ORD26002435</v>
      </c>
      <c r="E2759" s="38">
        <v>46280</v>
      </c>
      <c r="F2759" s="23" t="s">
        <v>12410</v>
      </c>
      <c r="G2759" s="23" t="s">
        <v>75</v>
      </c>
      <c r="H2759" s="24">
        <v>349</v>
      </c>
      <c r="I2759" s="24">
        <v>0</v>
      </c>
      <c r="J2759" s="24">
        <v>0</v>
      </c>
      <c r="K2759" s="24">
        <v>349</v>
      </c>
      <c r="L2759" s="38">
        <v>46282</v>
      </c>
      <c r="M2759" s="23" t="s">
        <v>206</v>
      </c>
      <c r="N2759" s="23" t="str">
        <f>IF(COUNTIF($A$2:A2759,A2759)&gt;1,"DUP","OK")</f>
        <v>OK</v>
      </c>
      <c r="O2759" s="23" t="str">
        <f t="shared" si="130"/>
        <v>ORD26002435</v>
      </c>
      <c r="P2759" s="23" t="str">
        <f t="shared" si="131"/>
        <v>Sep</v>
      </c>
      <c r="Q2759" s="23" t="str">
        <f>IF(F2759="CAPTURE",IF(COUNTIF(orders!$A:$A,O2759)&gt;0,"Yes","NO ORDER"),"")</f>
        <v>Yes</v>
      </c>
    </row>
    <row r="2760" spans="1:17" ht="15" customHeight="1" x14ac:dyDescent="0.3">
      <c r="A2760" s="23" t="s">
        <v>15619</v>
      </c>
      <c r="B2760" s="23"/>
      <c r="C2760" s="23" t="s">
        <v>15620</v>
      </c>
      <c r="D2760" s="23" t="str">
        <f t="shared" si="129"/>
        <v>ORD26002465</v>
      </c>
      <c r="E2760" s="38">
        <v>46280</v>
      </c>
      <c r="F2760" s="23" t="s">
        <v>12410</v>
      </c>
      <c r="G2760" s="23" t="s">
        <v>79</v>
      </c>
      <c r="H2760" s="24">
        <v>5097</v>
      </c>
      <c r="I2760" s="24">
        <v>81.55</v>
      </c>
      <c r="J2760" s="24">
        <v>14.68</v>
      </c>
      <c r="K2760" s="24">
        <v>5000.7700000000004</v>
      </c>
      <c r="L2760" s="38">
        <v>46282</v>
      </c>
      <c r="M2760" s="23" t="s">
        <v>206</v>
      </c>
      <c r="N2760" s="23" t="str">
        <f>IF(COUNTIF($A$2:A2760,A2760)&gt;1,"DUP","OK")</f>
        <v>OK</v>
      </c>
      <c r="O2760" s="23" t="str">
        <f t="shared" si="130"/>
        <v>ORD26002465</v>
      </c>
      <c r="P2760" s="23" t="str">
        <f t="shared" si="131"/>
        <v>Sep</v>
      </c>
      <c r="Q2760" s="23" t="str">
        <f>IF(F2760="CAPTURE",IF(COUNTIF(orders!$A:$A,O2760)&gt;0,"Yes","NO ORDER"),"")</f>
        <v>Yes</v>
      </c>
    </row>
    <row r="2761" spans="1:17" ht="15" customHeight="1" x14ac:dyDescent="0.3">
      <c r="A2761" s="23" t="s">
        <v>15621</v>
      </c>
      <c r="B2761" s="23"/>
      <c r="C2761" s="23" t="s">
        <v>5466</v>
      </c>
      <c r="D2761" s="23" t="str">
        <f t="shared" si="129"/>
        <v>ORD26002489</v>
      </c>
      <c r="E2761" s="38">
        <v>46280</v>
      </c>
      <c r="F2761" s="23" t="s">
        <v>12410</v>
      </c>
      <c r="G2761" s="23" t="s">
        <v>75</v>
      </c>
      <c r="H2761" s="24">
        <v>299</v>
      </c>
      <c r="I2761" s="24">
        <v>0</v>
      </c>
      <c r="J2761" s="24">
        <v>0</v>
      </c>
      <c r="K2761" s="24">
        <v>299</v>
      </c>
      <c r="L2761" s="38">
        <v>46282</v>
      </c>
      <c r="M2761" s="23" t="s">
        <v>206</v>
      </c>
      <c r="N2761" s="23" t="str">
        <f>IF(COUNTIF($A$2:A2761,A2761)&gt;1,"DUP","OK")</f>
        <v>OK</v>
      </c>
      <c r="O2761" s="23" t="str">
        <f t="shared" si="130"/>
        <v>ORD26002489</v>
      </c>
      <c r="P2761" s="23" t="str">
        <f t="shared" si="131"/>
        <v>Sep</v>
      </c>
      <c r="Q2761" s="23" t="str">
        <f>IF(F2761="CAPTURE",IF(COUNTIF(orders!$A:$A,O2761)&gt;0,"Yes","NO ORDER"),"")</f>
        <v>Yes</v>
      </c>
    </row>
    <row r="2762" spans="1:17" ht="15" customHeight="1" x14ac:dyDescent="0.3">
      <c r="A2762" s="23" t="s">
        <v>15622</v>
      </c>
      <c r="B2762" s="23"/>
      <c r="C2762" s="23" t="s">
        <v>5523</v>
      </c>
      <c r="D2762" s="23" t="str">
        <f t="shared" si="129"/>
        <v>ORD26002516</v>
      </c>
      <c r="E2762" s="38">
        <v>46280</v>
      </c>
      <c r="F2762" s="23" t="s">
        <v>12410</v>
      </c>
      <c r="G2762" s="23" t="s">
        <v>79</v>
      </c>
      <c r="H2762" s="24">
        <v>499</v>
      </c>
      <c r="I2762" s="24">
        <v>8.98</v>
      </c>
      <c r="J2762" s="24">
        <v>1.62</v>
      </c>
      <c r="K2762" s="24">
        <v>488.4</v>
      </c>
      <c r="L2762" s="38">
        <v>46282</v>
      </c>
      <c r="M2762" s="23" t="s">
        <v>206</v>
      </c>
      <c r="N2762" s="23" t="str">
        <f>IF(COUNTIF($A$2:A2762,A2762)&gt;1,"DUP","OK")</f>
        <v>OK</v>
      </c>
      <c r="O2762" s="23" t="str">
        <f t="shared" si="130"/>
        <v>ORD26002516</v>
      </c>
      <c r="P2762" s="23" t="str">
        <f t="shared" si="131"/>
        <v>Sep</v>
      </c>
      <c r="Q2762" s="23" t="str">
        <f>IF(F2762="CAPTURE",IF(COUNTIF(orders!$A:$A,O2762)&gt;0,"Yes","NO ORDER"),"")</f>
        <v>Yes</v>
      </c>
    </row>
    <row r="2763" spans="1:17" ht="15" customHeight="1" x14ac:dyDescent="0.3">
      <c r="A2763" s="23" t="s">
        <v>15623</v>
      </c>
      <c r="B2763" s="23"/>
      <c r="C2763" s="23" t="s">
        <v>5567</v>
      </c>
      <c r="D2763" s="23" t="str">
        <f t="shared" si="129"/>
        <v>ORD26002537</v>
      </c>
      <c r="E2763" s="38">
        <v>46280</v>
      </c>
      <c r="F2763" s="23" t="s">
        <v>12410</v>
      </c>
      <c r="G2763" s="23" t="s">
        <v>75</v>
      </c>
      <c r="H2763" s="24">
        <v>4597</v>
      </c>
      <c r="I2763" s="24">
        <v>13.79</v>
      </c>
      <c r="J2763" s="24">
        <v>2.48</v>
      </c>
      <c r="K2763" s="24">
        <v>4580.7299999999996</v>
      </c>
      <c r="L2763" s="38">
        <v>46282</v>
      </c>
      <c r="M2763" s="23" t="s">
        <v>206</v>
      </c>
      <c r="N2763" s="23" t="str">
        <f>IF(COUNTIF($A$2:A2763,A2763)&gt;1,"DUP","OK")</f>
        <v>OK</v>
      </c>
      <c r="O2763" s="23" t="str">
        <f t="shared" si="130"/>
        <v>ORD26002537</v>
      </c>
      <c r="P2763" s="23" t="str">
        <f t="shared" si="131"/>
        <v>Sep</v>
      </c>
      <c r="Q2763" s="23" t="str">
        <f>IF(F2763="CAPTURE",IF(COUNTIF(orders!$A:$A,O2763)&gt;0,"Yes","NO ORDER"),"")</f>
        <v>Yes</v>
      </c>
    </row>
    <row r="2764" spans="1:17" ht="15" customHeight="1" x14ac:dyDescent="0.3">
      <c r="A2764" s="23" t="s">
        <v>15624</v>
      </c>
      <c r="B2764" s="23"/>
      <c r="C2764" s="23" t="s">
        <v>15625</v>
      </c>
      <c r="D2764" s="23" t="str">
        <f t="shared" si="129"/>
        <v>ORD26002587</v>
      </c>
      <c r="E2764" s="38">
        <v>46280</v>
      </c>
      <c r="F2764" s="23" t="s">
        <v>12410</v>
      </c>
      <c r="G2764" s="23" t="s">
        <v>77</v>
      </c>
      <c r="H2764" s="24">
        <v>7999</v>
      </c>
      <c r="I2764" s="24">
        <v>135.97999999999999</v>
      </c>
      <c r="J2764" s="24">
        <v>24.48</v>
      </c>
      <c r="K2764" s="24">
        <v>7838.54</v>
      </c>
      <c r="L2764" s="38">
        <v>46282</v>
      </c>
      <c r="M2764" s="23" t="s">
        <v>206</v>
      </c>
      <c r="N2764" s="23" t="str">
        <f>IF(COUNTIF($A$2:A2764,A2764)&gt;1,"DUP","OK")</f>
        <v>OK</v>
      </c>
      <c r="O2764" s="23" t="str">
        <f t="shared" si="130"/>
        <v>ORD26002587</v>
      </c>
      <c r="P2764" s="23" t="str">
        <f t="shared" si="131"/>
        <v>Sep</v>
      </c>
      <c r="Q2764" s="23" t="str">
        <f>IF(F2764="CAPTURE",IF(COUNTIF(orders!$A:$A,O2764)&gt;0,"Yes","NO ORDER"),"")</f>
        <v>Yes</v>
      </c>
    </row>
    <row r="2765" spans="1:17" ht="15" customHeight="1" x14ac:dyDescent="0.3">
      <c r="A2765" s="23" t="s">
        <v>15626</v>
      </c>
      <c r="B2765" s="23"/>
      <c r="C2765" s="23" t="s">
        <v>5697</v>
      </c>
      <c r="D2765" s="23" t="str">
        <f t="shared" si="129"/>
        <v>ORD26002602</v>
      </c>
      <c r="E2765" s="38">
        <v>46280</v>
      </c>
      <c r="F2765" s="23" t="s">
        <v>12410</v>
      </c>
      <c r="G2765" s="23" t="s">
        <v>79</v>
      </c>
      <c r="H2765" s="24">
        <v>9298</v>
      </c>
      <c r="I2765" s="24">
        <v>148.77000000000001</v>
      </c>
      <c r="J2765" s="24">
        <v>26.78</v>
      </c>
      <c r="K2765" s="24">
        <v>9122.4500000000007</v>
      </c>
      <c r="L2765" s="38">
        <v>46282</v>
      </c>
      <c r="M2765" s="23" t="s">
        <v>206</v>
      </c>
      <c r="N2765" s="23" t="str">
        <f>IF(COUNTIF($A$2:A2765,A2765)&gt;1,"DUP","OK")</f>
        <v>OK</v>
      </c>
      <c r="O2765" s="23" t="str">
        <f t="shared" si="130"/>
        <v>ORD26002602</v>
      </c>
      <c r="P2765" s="23" t="str">
        <f t="shared" si="131"/>
        <v>Sep</v>
      </c>
      <c r="Q2765" s="23" t="str">
        <f>IF(F2765="CAPTURE",IF(COUNTIF(orders!$A:$A,O2765)&gt;0,"Yes","NO ORDER"),"")</f>
        <v>Yes</v>
      </c>
    </row>
    <row r="2766" spans="1:17" ht="15" customHeight="1" x14ac:dyDescent="0.3">
      <c r="A2766" s="23" t="s">
        <v>15627</v>
      </c>
      <c r="B2766" s="23"/>
      <c r="C2766" s="23" t="s">
        <v>5734</v>
      </c>
      <c r="D2766" s="23" t="str">
        <f t="shared" si="129"/>
        <v>ORD26002620</v>
      </c>
      <c r="E2766" s="38">
        <v>46280</v>
      </c>
      <c r="F2766" s="23" t="s">
        <v>12410</v>
      </c>
      <c r="G2766" s="23" t="s">
        <v>77</v>
      </c>
      <c r="H2766" s="24">
        <v>3498</v>
      </c>
      <c r="I2766" s="24">
        <v>59.47</v>
      </c>
      <c r="J2766" s="24">
        <v>10.7</v>
      </c>
      <c r="K2766" s="24">
        <v>3427.83</v>
      </c>
      <c r="L2766" s="38">
        <v>46282</v>
      </c>
      <c r="M2766" s="23" t="s">
        <v>206</v>
      </c>
      <c r="N2766" s="23" t="str">
        <f>IF(COUNTIF($A$2:A2766,A2766)&gt;1,"DUP","OK")</f>
        <v>OK</v>
      </c>
      <c r="O2766" s="23" t="str">
        <f t="shared" si="130"/>
        <v>ORD26002620</v>
      </c>
      <c r="P2766" s="23" t="str">
        <f t="shared" si="131"/>
        <v>Sep</v>
      </c>
      <c r="Q2766" s="23" t="str">
        <f>IF(F2766="CAPTURE",IF(COUNTIF(orders!$A:$A,O2766)&gt;0,"Yes","NO ORDER"),"")</f>
        <v>Yes</v>
      </c>
    </row>
    <row r="2767" spans="1:17" ht="15" customHeight="1" x14ac:dyDescent="0.3">
      <c r="A2767" s="23" t="s">
        <v>15628</v>
      </c>
      <c r="B2767" s="23"/>
      <c r="C2767" s="23" t="s">
        <v>15629</v>
      </c>
      <c r="D2767" s="23" t="str">
        <f t="shared" si="129"/>
        <v>ORD26002622</v>
      </c>
      <c r="E2767" s="38">
        <v>46280</v>
      </c>
      <c r="F2767" s="23" t="s">
        <v>12410</v>
      </c>
      <c r="G2767" s="23" t="s">
        <v>75</v>
      </c>
      <c r="H2767" s="24">
        <v>999</v>
      </c>
      <c r="I2767" s="24">
        <v>0</v>
      </c>
      <c r="J2767" s="24">
        <v>0</v>
      </c>
      <c r="K2767" s="24">
        <v>999</v>
      </c>
      <c r="L2767" s="38">
        <v>46282</v>
      </c>
      <c r="M2767" s="23" t="s">
        <v>206</v>
      </c>
      <c r="N2767" s="23" t="str">
        <f>IF(COUNTIF($A$2:A2767,A2767)&gt;1,"DUP","OK")</f>
        <v>OK</v>
      </c>
      <c r="O2767" s="23" t="str">
        <f t="shared" si="130"/>
        <v>ORD26002622</v>
      </c>
      <c r="P2767" s="23" t="str">
        <f t="shared" si="131"/>
        <v>Sep</v>
      </c>
      <c r="Q2767" s="23" t="str">
        <f>IF(F2767="CAPTURE",IF(COUNTIF(orders!$A:$A,O2767)&gt;0,"Yes","NO ORDER"),"")</f>
        <v>Yes</v>
      </c>
    </row>
    <row r="2768" spans="1:17" ht="15" customHeight="1" x14ac:dyDescent="0.3">
      <c r="A2768" s="23" t="s">
        <v>15630</v>
      </c>
      <c r="B2768" s="23"/>
      <c r="C2768" s="23" t="s">
        <v>5804</v>
      </c>
      <c r="D2768" s="23" t="str">
        <f t="shared" si="129"/>
        <v>ORD26002654</v>
      </c>
      <c r="E2768" s="38">
        <v>46280</v>
      </c>
      <c r="F2768" s="23" t="s">
        <v>12410</v>
      </c>
      <c r="G2768" s="23" t="s">
        <v>79</v>
      </c>
      <c r="H2768" s="24">
        <v>2098</v>
      </c>
      <c r="I2768" s="24">
        <v>33.57</v>
      </c>
      <c r="J2768" s="24">
        <v>6.04</v>
      </c>
      <c r="K2768" s="24">
        <v>2058.39</v>
      </c>
      <c r="L2768" s="38">
        <v>46282</v>
      </c>
      <c r="M2768" s="23" t="s">
        <v>206</v>
      </c>
      <c r="N2768" s="23" t="str">
        <f>IF(COUNTIF($A$2:A2768,A2768)&gt;1,"DUP","OK")</f>
        <v>OK</v>
      </c>
      <c r="O2768" s="23" t="str">
        <f t="shared" si="130"/>
        <v>ORD26002654</v>
      </c>
      <c r="P2768" s="23" t="str">
        <f t="shared" si="131"/>
        <v>Sep</v>
      </c>
      <c r="Q2768" s="23" t="str">
        <f>IF(F2768="CAPTURE",IF(COUNTIF(orders!$A:$A,O2768)&gt;0,"Yes","NO ORDER"),"")</f>
        <v>Yes</v>
      </c>
    </row>
    <row r="2769" spans="1:17" ht="15" customHeight="1" x14ac:dyDescent="0.3">
      <c r="A2769" s="23" t="s">
        <v>15631</v>
      </c>
      <c r="B2769" s="23"/>
      <c r="C2769" s="23" t="s">
        <v>5830</v>
      </c>
      <c r="D2769" s="23" t="str">
        <f t="shared" si="129"/>
        <v>ORD26002667</v>
      </c>
      <c r="E2769" s="38">
        <v>46280</v>
      </c>
      <c r="F2769" s="23" t="s">
        <v>12410</v>
      </c>
      <c r="G2769" s="23" t="s">
        <v>75</v>
      </c>
      <c r="H2769" s="24">
        <v>799</v>
      </c>
      <c r="I2769" s="24">
        <v>0</v>
      </c>
      <c r="J2769" s="24">
        <v>0</v>
      </c>
      <c r="K2769" s="24">
        <v>799</v>
      </c>
      <c r="L2769" s="38">
        <v>46282</v>
      </c>
      <c r="M2769" s="23" t="s">
        <v>206</v>
      </c>
      <c r="N2769" s="23" t="str">
        <f>IF(COUNTIF($A$2:A2769,A2769)&gt;1,"DUP","OK")</f>
        <v>OK</v>
      </c>
      <c r="O2769" s="23" t="str">
        <f t="shared" si="130"/>
        <v>ORD26002667</v>
      </c>
      <c r="P2769" s="23" t="str">
        <f t="shared" si="131"/>
        <v>Sep</v>
      </c>
      <c r="Q2769" s="23" t="str">
        <f>IF(F2769="CAPTURE",IF(COUNTIF(orders!$A:$A,O2769)&gt;0,"Yes","NO ORDER"),"")</f>
        <v>Yes</v>
      </c>
    </row>
    <row r="2770" spans="1:17" ht="15" customHeight="1" x14ac:dyDescent="0.3">
      <c r="A2770" s="23" t="s">
        <v>15632</v>
      </c>
      <c r="B2770" s="23"/>
      <c r="C2770" s="23" t="s">
        <v>5874</v>
      </c>
      <c r="D2770" s="23" t="str">
        <f t="shared" si="129"/>
        <v>ORD26002689</v>
      </c>
      <c r="E2770" s="38">
        <v>46280</v>
      </c>
      <c r="F2770" s="23" t="s">
        <v>12410</v>
      </c>
      <c r="G2770" s="23" t="s">
        <v>75</v>
      </c>
      <c r="H2770" s="24">
        <v>3499</v>
      </c>
      <c r="I2770" s="24">
        <v>10.5</v>
      </c>
      <c r="J2770" s="24">
        <v>1.89</v>
      </c>
      <c r="K2770" s="24">
        <v>3486.61</v>
      </c>
      <c r="L2770" s="38">
        <v>46282</v>
      </c>
      <c r="M2770" s="23" t="s">
        <v>206</v>
      </c>
      <c r="N2770" s="23" t="str">
        <f>IF(COUNTIF($A$2:A2770,A2770)&gt;1,"DUP","OK")</f>
        <v>OK</v>
      </c>
      <c r="O2770" s="23" t="str">
        <f t="shared" si="130"/>
        <v>ORD26002689</v>
      </c>
      <c r="P2770" s="23" t="str">
        <f t="shared" si="131"/>
        <v>Sep</v>
      </c>
      <c r="Q2770" s="23" t="str">
        <f>IF(F2770="CAPTURE",IF(COUNTIF(orders!$A:$A,O2770)&gt;0,"Yes","NO ORDER"),"")</f>
        <v>Yes</v>
      </c>
    </row>
    <row r="2771" spans="1:17" ht="15" customHeight="1" x14ac:dyDescent="0.3">
      <c r="A2771" s="23" t="s">
        <v>15633</v>
      </c>
      <c r="B2771" s="23"/>
      <c r="C2771" s="23" t="s">
        <v>5940</v>
      </c>
      <c r="D2771" s="23" t="str">
        <f t="shared" si="129"/>
        <v>ORD26002722</v>
      </c>
      <c r="E2771" s="38">
        <v>46280</v>
      </c>
      <c r="F2771" s="23" t="s">
        <v>12410</v>
      </c>
      <c r="G2771" s="23" t="s">
        <v>75</v>
      </c>
      <c r="H2771" s="24">
        <v>799</v>
      </c>
      <c r="I2771" s="24">
        <v>0</v>
      </c>
      <c r="J2771" s="24">
        <v>0</v>
      </c>
      <c r="K2771" s="24">
        <v>799</v>
      </c>
      <c r="L2771" s="38">
        <v>46282</v>
      </c>
      <c r="M2771" s="23" t="s">
        <v>206</v>
      </c>
      <c r="N2771" s="23" t="str">
        <f>IF(COUNTIF($A$2:A2771,A2771)&gt;1,"DUP","OK")</f>
        <v>OK</v>
      </c>
      <c r="O2771" s="23" t="str">
        <f t="shared" si="130"/>
        <v>ORD26002722</v>
      </c>
      <c r="P2771" s="23" t="str">
        <f t="shared" si="131"/>
        <v>Sep</v>
      </c>
      <c r="Q2771" s="23" t="str">
        <f>IF(F2771="CAPTURE",IF(COUNTIF(orders!$A:$A,O2771)&gt;0,"Yes","NO ORDER"),"")</f>
        <v>Yes</v>
      </c>
    </row>
    <row r="2772" spans="1:17" ht="15" customHeight="1" x14ac:dyDescent="0.3">
      <c r="A2772" s="23" t="s">
        <v>15634</v>
      </c>
      <c r="B2772" s="23"/>
      <c r="C2772" s="23" t="s">
        <v>6040</v>
      </c>
      <c r="D2772" s="23" t="str">
        <f t="shared" si="129"/>
        <v>ORD26002771</v>
      </c>
      <c r="E2772" s="38">
        <v>46280</v>
      </c>
      <c r="F2772" s="23" t="s">
        <v>12410</v>
      </c>
      <c r="G2772" s="23" t="s">
        <v>79</v>
      </c>
      <c r="H2772" s="24">
        <v>1147</v>
      </c>
      <c r="I2772" s="24">
        <v>20.65</v>
      </c>
      <c r="J2772" s="24">
        <v>3.72</v>
      </c>
      <c r="K2772" s="24">
        <v>1122.6300000000001</v>
      </c>
      <c r="L2772" s="38">
        <v>46282</v>
      </c>
      <c r="M2772" s="23" t="s">
        <v>206</v>
      </c>
      <c r="N2772" s="23" t="str">
        <f>IF(COUNTIF($A$2:A2772,A2772)&gt;1,"DUP","OK")</f>
        <v>OK</v>
      </c>
      <c r="O2772" s="23" t="str">
        <f t="shared" si="130"/>
        <v>ORD26002771</v>
      </c>
      <c r="P2772" s="23" t="str">
        <f t="shared" si="131"/>
        <v>Sep</v>
      </c>
      <c r="Q2772" s="23" t="str">
        <f>IF(F2772="CAPTURE",IF(COUNTIF(orders!$A:$A,O2772)&gt;0,"Yes","NO ORDER"),"")</f>
        <v>Yes</v>
      </c>
    </row>
    <row r="2773" spans="1:17" ht="15" customHeight="1" x14ac:dyDescent="0.3">
      <c r="A2773" s="23" t="s">
        <v>15635</v>
      </c>
      <c r="B2773" s="23"/>
      <c r="C2773" s="23" t="s">
        <v>6050</v>
      </c>
      <c r="D2773" s="23" t="str">
        <f t="shared" si="129"/>
        <v>ORD26002776</v>
      </c>
      <c r="E2773" s="38">
        <v>46280</v>
      </c>
      <c r="F2773" s="23" t="s">
        <v>12410</v>
      </c>
      <c r="G2773" s="23" t="s">
        <v>75</v>
      </c>
      <c r="H2773" s="24">
        <v>8797</v>
      </c>
      <c r="I2773" s="24">
        <v>26.39</v>
      </c>
      <c r="J2773" s="24">
        <v>4.75</v>
      </c>
      <c r="K2773" s="24">
        <v>8765.86</v>
      </c>
      <c r="L2773" s="38">
        <v>46282</v>
      </c>
      <c r="M2773" s="23" t="s">
        <v>206</v>
      </c>
      <c r="N2773" s="23" t="str">
        <f>IF(COUNTIF($A$2:A2773,A2773)&gt;1,"DUP","OK")</f>
        <v>OK</v>
      </c>
      <c r="O2773" s="23" t="str">
        <f t="shared" si="130"/>
        <v>ORD26002776</v>
      </c>
      <c r="P2773" s="23" t="str">
        <f t="shared" si="131"/>
        <v>Sep</v>
      </c>
      <c r="Q2773" s="23" t="str">
        <f>IF(F2773="CAPTURE",IF(COUNTIF(orders!$A:$A,O2773)&gt;0,"Yes","NO ORDER"),"")</f>
        <v>Yes</v>
      </c>
    </row>
    <row r="2774" spans="1:17" ht="15" customHeight="1" x14ac:dyDescent="0.3">
      <c r="A2774" s="23" t="s">
        <v>15636</v>
      </c>
      <c r="B2774" s="23"/>
      <c r="C2774" s="23" t="s">
        <v>6074</v>
      </c>
      <c r="D2774" s="23" t="str">
        <f t="shared" si="129"/>
        <v>ORD26002788</v>
      </c>
      <c r="E2774" s="38">
        <v>46280</v>
      </c>
      <c r="F2774" s="23" t="s">
        <v>12410</v>
      </c>
      <c r="G2774" s="23" t="s">
        <v>75</v>
      </c>
      <c r="H2774" s="24">
        <v>1598</v>
      </c>
      <c r="I2774" s="24">
        <v>0</v>
      </c>
      <c r="J2774" s="24">
        <v>0</v>
      </c>
      <c r="K2774" s="24">
        <v>1598</v>
      </c>
      <c r="L2774" s="38">
        <v>46282</v>
      </c>
      <c r="M2774" s="23" t="s">
        <v>206</v>
      </c>
      <c r="N2774" s="23" t="str">
        <f>IF(COUNTIF($A$2:A2774,A2774)&gt;1,"DUP","OK")</f>
        <v>OK</v>
      </c>
      <c r="O2774" s="23" t="str">
        <f t="shared" si="130"/>
        <v>ORD26002788</v>
      </c>
      <c r="P2774" s="23" t="str">
        <f t="shared" si="131"/>
        <v>Sep</v>
      </c>
      <c r="Q2774" s="23" t="str">
        <f>IF(F2774="CAPTURE",IF(COUNTIF(orders!$A:$A,O2774)&gt;0,"Yes","NO ORDER"),"")</f>
        <v>Yes</v>
      </c>
    </row>
    <row r="2775" spans="1:17" ht="15" customHeight="1" x14ac:dyDescent="0.3">
      <c r="A2775" s="23" t="s">
        <v>15637</v>
      </c>
      <c r="B2775" s="23"/>
      <c r="C2775" s="23" t="s">
        <v>6245</v>
      </c>
      <c r="D2775" s="23" t="str">
        <f t="shared" si="129"/>
        <v>ORD26002875</v>
      </c>
      <c r="E2775" s="38">
        <v>46280</v>
      </c>
      <c r="F2775" s="23" t="s">
        <v>12410</v>
      </c>
      <c r="G2775" s="23" t="s">
        <v>75</v>
      </c>
      <c r="H2775" s="24">
        <v>1499</v>
      </c>
      <c r="I2775" s="24">
        <v>0</v>
      </c>
      <c r="J2775" s="24">
        <v>0</v>
      </c>
      <c r="K2775" s="24">
        <v>1499</v>
      </c>
      <c r="L2775" s="38">
        <v>46282</v>
      </c>
      <c r="M2775" s="23" t="s">
        <v>206</v>
      </c>
      <c r="N2775" s="23" t="str">
        <f>IF(COUNTIF($A$2:A2775,A2775)&gt;1,"DUP","OK")</f>
        <v>OK</v>
      </c>
      <c r="O2775" s="23" t="str">
        <f t="shared" si="130"/>
        <v>ORD26002875</v>
      </c>
      <c r="P2775" s="23" t="str">
        <f t="shared" si="131"/>
        <v>Sep</v>
      </c>
      <c r="Q2775" s="23" t="str">
        <f>IF(F2775="CAPTURE",IF(COUNTIF(orders!$A:$A,O2775)&gt;0,"Yes","NO ORDER"),"")</f>
        <v>Yes</v>
      </c>
    </row>
    <row r="2776" spans="1:17" ht="15" customHeight="1" x14ac:dyDescent="0.3">
      <c r="A2776" s="23" t="s">
        <v>15638</v>
      </c>
      <c r="B2776" s="23"/>
      <c r="C2776" s="23" t="s">
        <v>6247</v>
      </c>
      <c r="D2776" s="23" t="str">
        <f t="shared" si="129"/>
        <v>ORD26002876</v>
      </c>
      <c r="E2776" s="38">
        <v>46280</v>
      </c>
      <c r="F2776" s="23" t="s">
        <v>12410</v>
      </c>
      <c r="G2776" s="23" t="s">
        <v>75</v>
      </c>
      <c r="H2776" s="24">
        <v>4999</v>
      </c>
      <c r="I2776" s="24">
        <v>15</v>
      </c>
      <c r="J2776" s="24">
        <v>2.7</v>
      </c>
      <c r="K2776" s="24">
        <v>4981.3</v>
      </c>
      <c r="L2776" s="38">
        <v>46282</v>
      </c>
      <c r="M2776" s="23" t="s">
        <v>206</v>
      </c>
      <c r="N2776" s="23" t="str">
        <f>IF(COUNTIF($A$2:A2776,A2776)&gt;1,"DUP","OK")</f>
        <v>OK</v>
      </c>
      <c r="O2776" s="23" t="str">
        <f t="shared" si="130"/>
        <v>ORD26002876</v>
      </c>
      <c r="P2776" s="23" t="str">
        <f t="shared" si="131"/>
        <v>Sep</v>
      </c>
      <c r="Q2776" s="23" t="str">
        <f>IF(F2776="CAPTURE",IF(COUNTIF(orders!$A:$A,O2776)&gt;0,"Yes","NO ORDER"),"")</f>
        <v>Yes</v>
      </c>
    </row>
    <row r="2777" spans="1:17" ht="15" customHeight="1" x14ac:dyDescent="0.3">
      <c r="A2777" s="23" t="s">
        <v>15639</v>
      </c>
      <c r="B2777" s="23"/>
      <c r="C2777" s="23" t="s">
        <v>6366</v>
      </c>
      <c r="D2777" s="23" t="str">
        <f t="shared" si="129"/>
        <v>ORD26002935</v>
      </c>
      <c r="E2777" s="38">
        <v>46280</v>
      </c>
      <c r="F2777" s="23" t="s">
        <v>12410</v>
      </c>
      <c r="G2777" s="23" t="s">
        <v>75</v>
      </c>
      <c r="H2777" s="24">
        <v>2398</v>
      </c>
      <c r="I2777" s="24">
        <v>7.19</v>
      </c>
      <c r="J2777" s="24">
        <v>1.29</v>
      </c>
      <c r="K2777" s="24">
        <v>2389.52</v>
      </c>
      <c r="L2777" s="38">
        <v>46282</v>
      </c>
      <c r="M2777" s="23" t="s">
        <v>206</v>
      </c>
      <c r="N2777" s="23" t="str">
        <f>IF(COUNTIF($A$2:A2777,A2777)&gt;1,"DUP","OK")</f>
        <v>OK</v>
      </c>
      <c r="O2777" s="23" t="str">
        <f t="shared" si="130"/>
        <v>ORD26002935</v>
      </c>
      <c r="P2777" s="23" t="str">
        <f t="shared" si="131"/>
        <v>Sep</v>
      </c>
      <c r="Q2777" s="23" t="str">
        <f>IF(F2777="CAPTURE",IF(COUNTIF(orders!$A:$A,O2777)&gt;0,"Yes","NO ORDER"),"")</f>
        <v>Yes</v>
      </c>
    </row>
    <row r="2778" spans="1:17" ht="15" customHeight="1" x14ac:dyDescent="0.3">
      <c r="A2778" s="23" t="s">
        <v>15640</v>
      </c>
      <c r="B2778" s="23"/>
      <c r="C2778" s="23" t="s">
        <v>6442</v>
      </c>
      <c r="D2778" s="23" t="str">
        <f t="shared" si="129"/>
        <v>ORD26002973</v>
      </c>
      <c r="E2778" s="38">
        <v>46280</v>
      </c>
      <c r="F2778" s="23" t="s">
        <v>12410</v>
      </c>
      <c r="G2778" s="23" t="s">
        <v>75</v>
      </c>
      <c r="H2778" s="24">
        <v>3499</v>
      </c>
      <c r="I2778" s="24">
        <v>10.5</v>
      </c>
      <c r="J2778" s="24">
        <v>1.89</v>
      </c>
      <c r="K2778" s="24">
        <v>3486.61</v>
      </c>
      <c r="L2778" s="38">
        <v>46282</v>
      </c>
      <c r="M2778" s="23" t="s">
        <v>206</v>
      </c>
      <c r="N2778" s="23" t="str">
        <f>IF(COUNTIF($A$2:A2778,A2778)&gt;1,"DUP","OK")</f>
        <v>OK</v>
      </c>
      <c r="O2778" s="23" t="str">
        <f t="shared" si="130"/>
        <v>ORD26002973</v>
      </c>
      <c r="P2778" s="23" t="str">
        <f t="shared" si="131"/>
        <v>Sep</v>
      </c>
      <c r="Q2778" s="23" t="str">
        <f>IF(F2778="CAPTURE",IF(COUNTIF(orders!$A:$A,O2778)&gt;0,"Yes","NO ORDER"),"")</f>
        <v>Yes</v>
      </c>
    </row>
    <row r="2779" spans="1:17" ht="15" customHeight="1" x14ac:dyDescent="0.3">
      <c r="A2779" s="23" t="s">
        <v>15641</v>
      </c>
      <c r="B2779" s="23"/>
      <c r="C2779" s="23" t="s">
        <v>6523</v>
      </c>
      <c r="D2779" s="23" t="str">
        <f t="shared" si="129"/>
        <v>ORD26003015</v>
      </c>
      <c r="E2779" s="38">
        <v>46280</v>
      </c>
      <c r="F2779" s="23" t="s">
        <v>12410</v>
      </c>
      <c r="G2779" s="23" t="s">
        <v>79</v>
      </c>
      <c r="H2779" s="24">
        <v>10497</v>
      </c>
      <c r="I2779" s="24">
        <v>167.95</v>
      </c>
      <c r="J2779" s="24">
        <v>30.23</v>
      </c>
      <c r="K2779" s="24">
        <v>10298.82</v>
      </c>
      <c r="L2779" s="38">
        <v>46282</v>
      </c>
      <c r="M2779" s="23" t="s">
        <v>206</v>
      </c>
      <c r="N2779" s="23" t="str">
        <f>IF(COUNTIF($A$2:A2779,A2779)&gt;1,"DUP","OK")</f>
        <v>OK</v>
      </c>
      <c r="O2779" s="23" t="str">
        <f t="shared" si="130"/>
        <v>ORD26003015</v>
      </c>
      <c r="P2779" s="23" t="str">
        <f t="shared" si="131"/>
        <v>Sep</v>
      </c>
      <c r="Q2779" s="23" t="str">
        <f>IF(F2779="CAPTURE",IF(COUNTIF(orders!$A:$A,O2779)&gt;0,"Yes","NO ORDER"),"")</f>
        <v>Yes</v>
      </c>
    </row>
    <row r="2780" spans="1:17" ht="15" customHeight="1" x14ac:dyDescent="0.3">
      <c r="A2780" s="23" t="s">
        <v>15642</v>
      </c>
      <c r="B2780" s="23"/>
      <c r="C2780" s="23" t="s">
        <v>6741</v>
      </c>
      <c r="D2780" s="23" t="str">
        <f t="shared" si="129"/>
        <v>ORD26003122</v>
      </c>
      <c r="E2780" s="38">
        <v>46280</v>
      </c>
      <c r="F2780" s="23" t="s">
        <v>12410</v>
      </c>
      <c r="G2780" s="23" t="s">
        <v>75</v>
      </c>
      <c r="H2780" s="24">
        <v>3499</v>
      </c>
      <c r="I2780" s="24">
        <v>10.5</v>
      </c>
      <c r="J2780" s="24">
        <v>1.89</v>
      </c>
      <c r="K2780" s="24">
        <v>3486.61</v>
      </c>
      <c r="L2780" s="38">
        <v>46282</v>
      </c>
      <c r="M2780" s="23" t="s">
        <v>206</v>
      </c>
      <c r="N2780" s="23" t="str">
        <f>IF(COUNTIF($A$2:A2780,A2780)&gt;1,"DUP","OK")</f>
        <v>OK</v>
      </c>
      <c r="O2780" s="23" t="str">
        <f t="shared" si="130"/>
        <v>ORD26003122</v>
      </c>
      <c r="P2780" s="23" t="str">
        <f t="shared" si="131"/>
        <v>Sep</v>
      </c>
      <c r="Q2780" s="23" t="str">
        <f>IF(F2780="CAPTURE",IF(COUNTIF(orders!$A:$A,O2780)&gt;0,"Yes","NO ORDER"),"")</f>
        <v>Yes</v>
      </c>
    </row>
    <row r="2781" spans="1:17" ht="15" customHeight="1" x14ac:dyDescent="0.3">
      <c r="A2781" s="23" t="s">
        <v>15643</v>
      </c>
      <c r="B2781" s="23"/>
      <c r="C2781" s="23" t="s">
        <v>7022</v>
      </c>
      <c r="D2781" s="23" t="str">
        <f t="shared" si="129"/>
        <v>ORD26003262</v>
      </c>
      <c r="E2781" s="38">
        <v>46280</v>
      </c>
      <c r="F2781" s="23" t="s">
        <v>12410</v>
      </c>
      <c r="G2781" s="23" t="s">
        <v>79</v>
      </c>
      <c r="H2781" s="24">
        <v>1299</v>
      </c>
      <c r="I2781" s="24">
        <v>23.38</v>
      </c>
      <c r="J2781" s="24">
        <v>4.21</v>
      </c>
      <c r="K2781" s="24">
        <v>1271.4100000000001</v>
      </c>
      <c r="L2781" s="38">
        <v>46282</v>
      </c>
      <c r="M2781" s="23" t="s">
        <v>206</v>
      </c>
      <c r="N2781" s="23" t="str">
        <f>IF(COUNTIF($A$2:A2781,A2781)&gt;1,"DUP","OK")</f>
        <v>OK</v>
      </c>
      <c r="O2781" s="23" t="str">
        <f t="shared" si="130"/>
        <v>ORD26003262</v>
      </c>
      <c r="P2781" s="23" t="str">
        <f t="shared" si="131"/>
        <v>Sep</v>
      </c>
      <c r="Q2781" s="23" t="str">
        <f>IF(F2781="CAPTURE",IF(COUNTIF(orders!$A:$A,O2781)&gt;0,"Yes","NO ORDER"),"")</f>
        <v>Yes</v>
      </c>
    </row>
    <row r="2782" spans="1:17" ht="15" customHeight="1" x14ac:dyDescent="0.3">
      <c r="A2782" s="23" t="s">
        <v>15644</v>
      </c>
      <c r="B2782" s="23"/>
      <c r="C2782" s="23" t="s">
        <v>7060</v>
      </c>
      <c r="D2782" s="23" t="str">
        <f t="shared" si="129"/>
        <v>ORD26003281</v>
      </c>
      <c r="E2782" s="38">
        <v>46280</v>
      </c>
      <c r="F2782" s="23" t="s">
        <v>12410</v>
      </c>
      <c r="G2782" s="23" t="s">
        <v>75</v>
      </c>
      <c r="H2782" s="24">
        <v>799</v>
      </c>
      <c r="I2782" s="24">
        <v>2.4</v>
      </c>
      <c r="J2782" s="24">
        <v>0.43</v>
      </c>
      <c r="K2782" s="24">
        <v>796.17</v>
      </c>
      <c r="L2782" s="38">
        <v>46282</v>
      </c>
      <c r="M2782" s="23" t="s">
        <v>206</v>
      </c>
      <c r="N2782" s="23" t="str">
        <f>IF(COUNTIF($A$2:A2782,A2782)&gt;1,"DUP","OK")</f>
        <v>OK</v>
      </c>
      <c r="O2782" s="23" t="str">
        <f t="shared" si="130"/>
        <v>ORD26003281</v>
      </c>
      <c r="P2782" s="23" t="str">
        <f t="shared" si="131"/>
        <v>Sep</v>
      </c>
      <c r="Q2782" s="23" t="str">
        <f>IF(F2782="CAPTURE",IF(COUNTIF(orders!$A:$A,O2782)&gt;0,"Yes","NO ORDER"),"")</f>
        <v>Yes</v>
      </c>
    </row>
    <row r="2783" spans="1:17" ht="15" customHeight="1" x14ac:dyDescent="0.3">
      <c r="A2783" s="23" t="s">
        <v>15645</v>
      </c>
      <c r="B2783" s="23"/>
      <c r="C2783" s="23" t="s">
        <v>7064</v>
      </c>
      <c r="D2783" s="23" t="str">
        <f t="shared" si="129"/>
        <v>ORD26003283</v>
      </c>
      <c r="E2783" s="38">
        <v>46280</v>
      </c>
      <c r="F2783" s="23" t="s">
        <v>12410</v>
      </c>
      <c r="G2783" s="23" t="s">
        <v>81</v>
      </c>
      <c r="H2783" s="24">
        <v>499</v>
      </c>
      <c r="I2783" s="24">
        <v>7.49</v>
      </c>
      <c r="J2783" s="24">
        <v>1.35</v>
      </c>
      <c r="K2783" s="24">
        <v>490.16</v>
      </c>
      <c r="L2783" s="38">
        <v>46282</v>
      </c>
      <c r="M2783" s="23" t="s">
        <v>206</v>
      </c>
      <c r="N2783" s="23" t="str">
        <f>IF(COUNTIF($A$2:A2783,A2783)&gt;1,"DUP","OK")</f>
        <v>OK</v>
      </c>
      <c r="O2783" s="23" t="str">
        <f t="shared" si="130"/>
        <v>ORD26003283</v>
      </c>
      <c r="P2783" s="23" t="str">
        <f t="shared" si="131"/>
        <v>Sep</v>
      </c>
      <c r="Q2783" s="23" t="str">
        <f>IF(F2783="CAPTURE",IF(COUNTIF(orders!$A:$A,O2783)&gt;0,"Yes","NO ORDER"),"")</f>
        <v>Yes</v>
      </c>
    </row>
    <row r="2784" spans="1:17" ht="15" customHeight="1" x14ac:dyDescent="0.3">
      <c r="A2784" s="23" t="s">
        <v>15646</v>
      </c>
      <c r="B2784" s="23"/>
      <c r="C2784" s="23" t="s">
        <v>7086</v>
      </c>
      <c r="D2784" s="23" t="str">
        <f t="shared" si="129"/>
        <v>ORD26003294</v>
      </c>
      <c r="E2784" s="38">
        <v>46280</v>
      </c>
      <c r="F2784" s="23" t="s">
        <v>12410</v>
      </c>
      <c r="G2784" s="23" t="s">
        <v>75</v>
      </c>
      <c r="H2784" s="24">
        <v>6998</v>
      </c>
      <c r="I2784" s="24">
        <v>20.99</v>
      </c>
      <c r="J2784" s="24">
        <v>3.78</v>
      </c>
      <c r="K2784" s="24">
        <v>6973.23</v>
      </c>
      <c r="L2784" s="38">
        <v>46282</v>
      </c>
      <c r="M2784" s="23" t="s">
        <v>206</v>
      </c>
      <c r="N2784" s="23" t="str">
        <f>IF(COUNTIF($A$2:A2784,A2784)&gt;1,"DUP","OK")</f>
        <v>OK</v>
      </c>
      <c r="O2784" s="23" t="str">
        <f t="shared" si="130"/>
        <v>ORD26003294</v>
      </c>
      <c r="P2784" s="23" t="str">
        <f t="shared" si="131"/>
        <v>Sep</v>
      </c>
      <c r="Q2784" s="23" t="str">
        <f>IF(F2784="CAPTURE",IF(COUNTIF(orders!$A:$A,O2784)&gt;0,"Yes","NO ORDER"),"")</f>
        <v>Yes</v>
      </c>
    </row>
    <row r="2785" spans="1:17" ht="15" customHeight="1" x14ac:dyDescent="0.3">
      <c r="A2785" s="23" t="s">
        <v>15647</v>
      </c>
      <c r="B2785" s="23"/>
      <c r="C2785" s="23" t="s">
        <v>7134</v>
      </c>
      <c r="D2785" s="23" t="str">
        <f t="shared" si="129"/>
        <v>ORD26003318</v>
      </c>
      <c r="E2785" s="38">
        <v>46280</v>
      </c>
      <c r="F2785" s="23" t="s">
        <v>12410</v>
      </c>
      <c r="G2785" s="23" t="s">
        <v>75</v>
      </c>
      <c r="H2785" s="24">
        <v>999</v>
      </c>
      <c r="I2785" s="24">
        <v>0</v>
      </c>
      <c r="J2785" s="24">
        <v>0</v>
      </c>
      <c r="K2785" s="24">
        <v>999</v>
      </c>
      <c r="L2785" s="38">
        <v>46282</v>
      </c>
      <c r="M2785" s="23" t="s">
        <v>206</v>
      </c>
      <c r="N2785" s="23" t="str">
        <f>IF(COUNTIF($A$2:A2785,A2785)&gt;1,"DUP","OK")</f>
        <v>OK</v>
      </c>
      <c r="O2785" s="23" t="str">
        <f t="shared" si="130"/>
        <v>ORD26003318</v>
      </c>
      <c r="P2785" s="23" t="str">
        <f t="shared" si="131"/>
        <v>Sep</v>
      </c>
      <c r="Q2785" s="23" t="str">
        <f>IF(F2785="CAPTURE",IF(COUNTIF(orders!$A:$A,O2785)&gt;0,"Yes","NO ORDER"),"")</f>
        <v>Yes</v>
      </c>
    </row>
    <row r="2786" spans="1:17" ht="15" customHeight="1" x14ac:dyDescent="0.3">
      <c r="A2786" s="23" t="s">
        <v>15648</v>
      </c>
      <c r="B2786" s="23"/>
      <c r="C2786" s="23" t="s">
        <v>7303</v>
      </c>
      <c r="D2786" s="23" t="str">
        <f t="shared" si="129"/>
        <v>ORD26003402</v>
      </c>
      <c r="E2786" s="38">
        <v>46280</v>
      </c>
      <c r="F2786" s="23" t="s">
        <v>12410</v>
      </c>
      <c r="G2786" s="23" t="s">
        <v>75</v>
      </c>
      <c r="H2786" s="24">
        <v>499</v>
      </c>
      <c r="I2786" s="24">
        <v>0</v>
      </c>
      <c r="J2786" s="24">
        <v>0</v>
      </c>
      <c r="K2786" s="24">
        <v>499</v>
      </c>
      <c r="L2786" s="38">
        <v>46282</v>
      </c>
      <c r="M2786" s="23" t="s">
        <v>206</v>
      </c>
      <c r="N2786" s="23" t="str">
        <f>IF(COUNTIF($A$2:A2786,A2786)&gt;1,"DUP","OK")</f>
        <v>OK</v>
      </c>
      <c r="O2786" s="23" t="str">
        <f t="shared" si="130"/>
        <v>ORD26003402</v>
      </c>
      <c r="P2786" s="23" t="str">
        <f t="shared" si="131"/>
        <v>Sep</v>
      </c>
      <c r="Q2786" s="23" t="str">
        <f>IF(F2786="CAPTURE",IF(COUNTIF(orders!$A:$A,O2786)&gt;0,"Yes","NO ORDER"),"")</f>
        <v>Yes</v>
      </c>
    </row>
    <row r="2787" spans="1:17" ht="15" customHeight="1" x14ac:dyDescent="0.3">
      <c r="A2787" s="23" t="s">
        <v>15649</v>
      </c>
      <c r="B2787" s="23"/>
      <c r="C2787" s="23" t="s">
        <v>7311</v>
      </c>
      <c r="D2787" s="23" t="str">
        <f t="shared" si="129"/>
        <v>ORD26003406</v>
      </c>
      <c r="E2787" s="38">
        <v>46280</v>
      </c>
      <c r="F2787" s="23" t="s">
        <v>12410</v>
      </c>
      <c r="G2787" s="23" t="s">
        <v>75</v>
      </c>
      <c r="H2787" s="24">
        <v>2499</v>
      </c>
      <c r="I2787" s="24">
        <v>7.5</v>
      </c>
      <c r="J2787" s="24">
        <v>1.35</v>
      </c>
      <c r="K2787" s="24">
        <v>2490.15</v>
      </c>
      <c r="L2787" s="38">
        <v>46282</v>
      </c>
      <c r="M2787" s="23" t="s">
        <v>206</v>
      </c>
      <c r="N2787" s="23" t="str">
        <f>IF(COUNTIF($A$2:A2787,A2787)&gt;1,"DUP","OK")</f>
        <v>OK</v>
      </c>
      <c r="O2787" s="23" t="str">
        <f t="shared" si="130"/>
        <v>ORD26003406</v>
      </c>
      <c r="P2787" s="23" t="str">
        <f t="shared" si="131"/>
        <v>Sep</v>
      </c>
      <c r="Q2787" s="23" t="str">
        <f>IF(F2787="CAPTURE",IF(COUNTIF(orders!$A:$A,O2787)&gt;0,"Yes","NO ORDER"),"")</f>
        <v>Yes</v>
      </c>
    </row>
    <row r="2788" spans="1:17" ht="15" customHeight="1" x14ac:dyDescent="0.3">
      <c r="A2788" s="23" t="s">
        <v>15650</v>
      </c>
      <c r="B2788" s="23"/>
      <c r="C2788" s="23" t="s">
        <v>7327</v>
      </c>
      <c r="D2788" s="23" t="str">
        <f t="shared" si="129"/>
        <v>ORD26003414</v>
      </c>
      <c r="E2788" s="38">
        <v>46280</v>
      </c>
      <c r="F2788" s="23" t="s">
        <v>12410</v>
      </c>
      <c r="G2788" s="23" t="s">
        <v>75</v>
      </c>
      <c r="H2788" s="24">
        <v>349</v>
      </c>
      <c r="I2788" s="24">
        <v>0</v>
      </c>
      <c r="J2788" s="24">
        <v>0</v>
      </c>
      <c r="K2788" s="24">
        <v>349</v>
      </c>
      <c r="L2788" s="38">
        <v>46282</v>
      </c>
      <c r="M2788" s="23" t="s">
        <v>206</v>
      </c>
      <c r="N2788" s="23" t="str">
        <f>IF(COUNTIF($A$2:A2788,A2788)&gt;1,"DUP","OK")</f>
        <v>OK</v>
      </c>
      <c r="O2788" s="23" t="str">
        <f t="shared" si="130"/>
        <v>ORD26003414</v>
      </c>
      <c r="P2788" s="23" t="str">
        <f t="shared" si="131"/>
        <v>Sep</v>
      </c>
      <c r="Q2788" s="23" t="str">
        <f>IF(F2788="CAPTURE",IF(COUNTIF(orders!$A:$A,O2788)&gt;0,"Yes","NO ORDER"),"")</f>
        <v>Yes</v>
      </c>
    </row>
    <row r="2789" spans="1:17" ht="15" customHeight="1" x14ac:dyDescent="0.3">
      <c r="A2789" s="23" t="s">
        <v>15651</v>
      </c>
      <c r="B2789" s="23"/>
      <c r="C2789" s="23" t="s">
        <v>15652</v>
      </c>
      <c r="D2789" s="23" t="str">
        <f t="shared" si="129"/>
        <v>ORD26003430</v>
      </c>
      <c r="E2789" s="38">
        <v>46280</v>
      </c>
      <c r="F2789" s="23" t="s">
        <v>12410</v>
      </c>
      <c r="G2789" s="23" t="s">
        <v>79</v>
      </c>
      <c r="H2789" s="24">
        <v>598</v>
      </c>
      <c r="I2789" s="24">
        <v>10.76</v>
      </c>
      <c r="J2789" s="24">
        <v>1.94</v>
      </c>
      <c r="K2789" s="24">
        <v>585.29999999999995</v>
      </c>
      <c r="L2789" s="38">
        <v>46282</v>
      </c>
      <c r="M2789" s="23" t="s">
        <v>206</v>
      </c>
      <c r="N2789" s="23" t="str">
        <f>IF(COUNTIF($A$2:A2789,A2789)&gt;1,"DUP","OK")</f>
        <v>OK</v>
      </c>
      <c r="O2789" s="23" t="str">
        <f t="shared" si="130"/>
        <v>ORD26003430</v>
      </c>
      <c r="P2789" s="23" t="str">
        <f t="shared" si="131"/>
        <v>Sep</v>
      </c>
      <c r="Q2789" s="23" t="str">
        <f>IF(F2789="CAPTURE",IF(COUNTIF(orders!$A:$A,O2789)&gt;0,"Yes","NO ORDER"),"")</f>
        <v>Yes</v>
      </c>
    </row>
    <row r="2790" spans="1:17" ht="15" customHeight="1" x14ac:dyDescent="0.3">
      <c r="A2790" s="23" t="s">
        <v>15653</v>
      </c>
      <c r="B2790" s="23"/>
      <c r="C2790" s="23" t="s">
        <v>15654</v>
      </c>
      <c r="D2790" s="23" t="str">
        <f t="shared" si="129"/>
        <v>ORD26003431</v>
      </c>
      <c r="E2790" s="38">
        <v>46280</v>
      </c>
      <c r="F2790" s="23" t="s">
        <v>12410</v>
      </c>
      <c r="G2790" s="23" t="s">
        <v>81</v>
      </c>
      <c r="H2790" s="24">
        <v>299</v>
      </c>
      <c r="I2790" s="24">
        <v>4.49</v>
      </c>
      <c r="J2790" s="24">
        <v>0.81</v>
      </c>
      <c r="K2790" s="24">
        <v>293.7</v>
      </c>
      <c r="L2790" s="38">
        <v>46282</v>
      </c>
      <c r="M2790" s="23" t="s">
        <v>206</v>
      </c>
      <c r="N2790" s="23" t="str">
        <f>IF(COUNTIF($A$2:A2790,A2790)&gt;1,"DUP","OK")</f>
        <v>OK</v>
      </c>
      <c r="O2790" s="23" t="str">
        <f t="shared" si="130"/>
        <v>ORD26003431</v>
      </c>
      <c r="P2790" s="23" t="str">
        <f t="shared" si="131"/>
        <v>Sep</v>
      </c>
      <c r="Q2790" s="23" t="str">
        <f>IF(F2790="CAPTURE",IF(COUNTIF(orders!$A:$A,O2790)&gt;0,"Yes","NO ORDER"),"")</f>
        <v>Yes</v>
      </c>
    </row>
    <row r="2791" spans="1:17" ht="15" customHeight="1" x14ac:dyDescent="0.3">
      <c r="A2791" s="23" t="s">
        <v>15655</v>
      </c>
      <c r="B2791" s="23"/>
      <c r="C2791" s="23" t="s">
        <v>7404</v>
      </c>
      <c r="D2791" s="23" t="str">
        <f t="shared" si="129"/>
        <v>ORD26003452</v>
      </c>
      <c r="E2791" s="38">
        <v>46280</v>
      </c>
      <c r="F2791" s="23" t="s">
        <v>12410</v>
      </c>
      <c r="G2791" s="23" t="s">
        <v>75</v>
      </c>
      <c r="H2791" s="24">
        <v>299</v>
      </c>
      <c r="I2791" s="24">
        <v>0</v>
      </c>
      <c r="J2791" s="24">
        <v>0</v>
      </c>
      <c r="K2791" s="24">
        <v>299</v>
      </c>
      <c r="L2791" s="38">
        <v>46282</v>
      </c>
      <c r="M2791" s="23" t="s">
        <v>206</v>
      </c>
      <c r="N2791" s="23" t="str">
        <f>IF(COUNTIF($A$2:A2791,A2791)&gt;1,"DUP","OK")</f>
        <v>OK</v>
      </c>
      <c r="O2791" s="23" t="str">
        <f t="shared" si="130"/>
        <v>ORD26003452</v>
      </c>
      <c r="P2791" s="23" t="str">
        <f t="shared" si="131"/>
        <v>Sep</v>
      </c>
      <c r="Q2791" s="23" t="str">
        <f>IF(F2791="CAPTURE",IF(COUNTIF(orders!$A:$A,O2791)&gt;0,"Yes","NO ORDER"),"")</f>
        <v>Yes</v>
      </c>
    </row>
    <row r="2792" spans="1:17" ht="15" customHeight="1" x14ac:dyDescent="0.3">
      <c r="A2792" s="23" t="s">
        <v>15656</v>
      </c>
      <c r="B2792" s="23"/>
      <c r="C2792" s="23" t="s">
        <v>15657</v>
      </c>
      <c r="D2792" s="23" t="str">
        <f t="shared" si="129"/>
        <v>ORD26003470</v>
      </c>
      <c r="E2792" s="38">
        <v>46280</v>
      </c>
      <c r="F2792" s="23" t="s">
        <v>12410</v>
      </c>
      <c r="G2792" s="23" t="s">
        <v>75</v>
      </c>
      <c r="H2792" s="24">
        <v>1299</v>
      </c>
      <c r="I2792" s="24">
        <v>0</v>
      </c>
      <c r="J2792" s="24">
        <v>0</v>
      </c>
      <c r="K2792" s="24">
        <v>1299</v>
      </c>
      <c r="L2792" s="38">
        <v>46282</v>
      </c>
      <c r="M2792" s="23" t="s">
        <v>206</v>
      </c>
      <c r="N2792" s="23" t="str">
        <f>IF(COUNTIF($A$2:A2792,A2792)&gt;1,"DUP","OK")</f>
        <v>OK</v>
      </c>
      <c r="O2792" s="23" t="str">
        <f t="shared" si="130"/>
        <v>ORD26003470</v>
      </c>
      <c r="P2792" s="23" t="str">
        <f t="shared" si="131"/>
        <v>Sep</v>
      </c>
      <c r="Q2792" s="23" t="str">
        <f>IF(F2792="CAPTURE",IF(COUNTIF(orders!$A:$A,O2792)&gt;0,"Yes","NO ORDER"),"")</f>
        <v>Yes</v>
      </c>
    </row>
    <row r="2793" spans="1:17" ht="15" customHeight="1" x14ac:dyDescent="0.3">
      <c r="A2793" s="23" t="s">
        <v>15658</v>
      </c>
      <c r="B2793" s="23"/>
      <c r="C2793" s="23" t="s">
        <v>7490</v>
      </c>
      <c r="D2793" s="23" t="str">
        <f t="shared" si="129"/>
        <v>ORD26003496</v>
      </c>
      <c r="E2793" s="38">
        <v>46280</v>
      </c>
      <c r="F2793" s="23" t="s">
        <v>12410</v>
      </c>
      <c r="G2793" s="23" t="s">
        <v>75</v>
      </c>
      <c r="H2793" s="24">
        <v>599</v>
      </c>
      <c r="I2793" s="24">
        <v>0</v>
      </c>
      <c r="J2793" s="24">
        <v>0</v>
      </c>
      <c r="K2793" s="24">
        <v>599</v>
      </c>
      <c r="L2793" s="38">
        <v>46282</v>
      </c>
      <c r="M2793" s="23" t="s">
        <v>206</v>
      </c>
      <c r="N2793" s="23" t="str">
        <f>IF(COUNTIF($A$2:A2793,A2793)&gt;1,"DUP","OK")</f>
        <v>OK</v>
      </c>
      <c r="O2793" s="23" t="str">
        <f t="shared" si="130"/>
        <v>ORD26003496</v>
      </c>
      <c r="P2793" s="23" t="str">
        <f t="shared" si="131"/>
        <v>Sep</v>
      </c>
      <c r="Q2793" s="23" t="str">
        <f>IF(F2793="CAPTURE",IF(COUNTIF(orders!$A:$A,O2793)&gt;0,"Yes","NO ORDER"),"")</f>
        <v>Yes</v>
      </c>
    </row>
    <row r="2794" spans="1:17" ht="15" customHeight="1" x14ac:dyDescent="0.3">
      <c r="A2794" s="23" t="s">
        <v>15659</v>
      </c>
      <c r="B2794" s="23"/>
      <c r="C2794" s="23" t="s">
        <v>7492</v>
      </c>
      <c r="D2794" s="23" t="str">
        <f t="shared" si="129"/>
        <v>ORD26003497</v>
      </c>
      <c r="E2794" s="38">
        <v>46280</v>
      </c>
      <c r="F2794" s="23" t="s">
        <v>12410</v>
      </c>
      <c r="G2794" s="23" t="s">
        <v>79</v>
      </c>
      <c r="H2794" s="24">
        <v>13997</v>
      </c>
      <c r="I2794" s="24">
        <v>223.95</v>
      </c>
      <c r="J2794" s="24">
        <v>40.31</v>
      </c>
      <c r="K2794" s="24">
        <v>13732.74</v>
      </c>
      <c r="L2794" s="38">
        <v>46282</v>
      </c>
      <c r="M2794" s="23" t="s">
        <v>206</v>
      </c>
      <c r="N2794" s="23" t="str">
        <f>IF(COUNTIF($A$2:A2794,A2794)&gt;1,"DUP","OK")</f>
        <v>OK</v>
      </c>
      <c r="O2794" s="23" t="str">
        <f t="shared" si="130"/>
        <v>ORD26003497</v>
      </c>
      <c r="P2794" s="23" t="str">
        <f t="shared" si="131"/>
        <v>Sep</v>
      </c>
      <c r="Q2794" s="23" t="str">
        <f>IF(F2794="CAPTURE",IF(COUNTIF(orders!$A:$A,O2794)&gt;0,"Yes","NO ORDER"),"")</f>
        <v>Yes</v>
      </c>
    </row>
    <row r="2795" spans="1:17" ht="15" customHeight="1" x14ac:dyDescent="0.3">
      <c r="A2795" s="23" t="s">
        <v>15660</v>
      </c>
      <c r="B2795" s="23"/>
      <c r="C2795" s="23" t="s">
        <v>7508</v>
      </c>
      <c r="D2795" s="23" t="str">
        <f t="shared" si="129"/>
        <v>ORD26003505</v>
      </c>
      <c r="E2795" s="38">
        <v>46280</v>
      </c>
      <c r="F2795" s="23" t="s">
        <v>12410</v>
      </c>
      <c r="G2795" s="23" t="s">
        <v>75</v>
      </c>
      <c r="H2795" s="24">
        <v>2098</v>
      </c>
      <c r="I2795" s="24">
        <v>6.29</v>
      </c>
      <c r="J2795" s="24">
        <v>1.1299999999999999</v>
      </c>
      <c r="K2795" s="24">
        <v>2090.58</v>
      </c>
      <c r="L2795" s="38">
        <v>46282</v>
      </c>
      <c r="M2795" s="23" t="s">
        <v>206</v>
      </c>
      <c r="N2795" s="23" t="str">
        <f>IF(COUNTIF($A$2:A2795,A2795)&gt;1,"DUP","OK")</f>
        <v>OK</v>
      </c>
      <c r="O2795" s="23" t="str">
        <f t="shared" si="130"/>
        <v>ORD26003505</v>
      </c>
      <c r="P2795" s="23" t="str">
        <f t="shared" si="131"/>
        <v>Sep</v>
      </c>
      <c r="Q2795" s="23" t="str">
        <f>IF(F2795="CAPTURE",IF(COUNTIF(orders!$A:$A,O2795)&gt;0,"Yes","NO ORDER"),"")</f>
        <v>Yes</v>
      </c>
    </row>
    <row r="2796" spans="1:17" ht="15" customHeight="1" x14ac:dyDescent="0.3">
      <c r="A2796" s="23" t="s">
        <v>15661</v>
      </c>
      <c r="B2796" s="23"/>
      <c r="C2796" s="23" t="s">
        <v>7675</v>
      </c>
      <c r="D2796" s="23" t="str">
        <f t="shared" si="129"/>
        <v>ORD26003590</v>
      </c>
      <c r="E2796" s="38">
        <v>46280</v>
      </c>
      <c r="F2796" s="23" t="s">
        <v>12410</v>
      </c>
      <c r="G2796" s="23" t="s">
        <v>75</v>
      </c>
      <c r="H2796" s="24">
        <v>1799</v>
      </c>
      <c r="I2796" s="24">
        <v>0</v>
      </c>
      <c r="J2796" s="24">
        <v>0</v>
      </c>
      <c r="K2796" s="24">
        <v>1799</v>
      </c>
      <c r="L2796" s="38">
        <v>46282</v>
      </c>
      <c r="M2796" s="23" t="s">
        <v>206</v>
      </c>
      <c r="N2796" s="23" t="str">
        <f>IF(COUNTIF($A$2:A2796,A2796)&gt;1,"DUP","OK")</f>
        <v>OK</v>
      </c>
      <c r="O2796" s="23" t="str">
        <f t="shared" si="130"/>
        <v>ORD26003590</v>
      </c>
      <c r="P2796" s="23" t="str">
        <f t="shared" si="131"/>
        <v>Sep</v>
      </c>
      <c r="Q2796" s="23" t="str">
        <f>IF(F2796="CAPTURE",IF(COUNTIF(orders!$A:$A,O2796)&gt;0,"Yes","NO ORDER"),"")</f>
        <v>Yes</v>
      </c>
    </row>
    <row r="2797" spans="1:17" ht="15" customHeight="1" x14ac:dyDescent="0.3">
      <c r="A2797" s="23" t="s">
        <v>15662</v>
      </c>
      <c r="B2797" s="23"/>
      <c r="C2797" s="23" t="s">
        <v>15663</v>
      </c>
      <c r="D2797" s="23" t="str">
        <f t="shared" si="129"/>
        <v>ORD26003622</v>
      </c>
      <c r="E2797" s="38">
        <v>46280</v>
      </c>
      <c r="F2797" s="23" t="s">
        <v>12410</v>
      </c>
      <c r="G2797" s="23" t="s">
        <v>75</v>
      </c>
      <c r="H2797" s="24">
        <v>1299</v>
      </c>
      <c r="I2797" s="24">
        <v>0</v>
      </c>
      <c r="J2797" s="24">
        <v>0</v>
      </c>
      <c r="K2797" s="24">
        <v>1299</v>
      </c>
      <c r="L2797" s="38">
        <v>46282</v>
      </c>
      <c r="M2797" s="23" t="s">
        <v>206</v>
      </c>
      <c r="N2797" s="23" t="str">
        <f>IF(COUNTIF($A$2:A2797,A2797)&gt;1,"DUP","OK")</f>
        <v>OK</v>
      </c>
      <c r="O2797" s="23" t="str">
        <f t="shared" si="130"/>
        <v>ORD26003622</v>
      </c>
      <c r="P2797" s="23" t="str">
        <f t="shared" si="131"/>
        <v>Sep</v>
      </c>
      <c r="Q2797" s="23" t="str">
        <f>IF(F2797="CAPTURE",IF(COUNTIF(orders!$A:$A,O2797)&gt;0,"Yes","NO ORDER"),"")</f>
        <v>Yes</v>
      </c>
    </row>
    <row r="2798" spans="1:17" ht="15" customHeight="1" x14ac:dyDescent="0.3">
      <c r="A2798" s="23" t="s">
        <v>15664</v>
      </c>
      <c r="B2798" s="23"/>
      <c r="C2798" s="23" t="s">
        <v>7767</v>
      </c>
      <c r="D2798" s="23" t="str">
        <f t="shared" si="129"/>
        <v>ORD26003637</v>
      </c>
      <c r="E2798" s="38">
        <v>46280</v>
      </c>
      <c r="F2798" s="23" t="s">
        <v>12410</v>
      </c>
      <c r="G2798" s="23" t="s">
        <v>77</v>
      </c>
      <c r="H2798" s="24">
        <v>1499</v>
      </c>
      <c r="I2798" s="24">
        <v>28.48</v>
      </c>
      <c r="J2798" s="24">
        <v>5.13</v>
      </c>
      <c r="K2798" s="24">
        <v>1465.39</v>
      </c>
      <c r="L2798" s="38">
        <v>46282</v>
      </c>
      <c r="M2798" s="23" t="s">
        <v>206</v>
      </c>
      <c r="N2798" s="23" t="str">
        <f>IF(COUNTIF($A$2:A2798,A2798)&gt;1,"DUP","OK")</f>
        <v>OK</v>
      </c>
      <c r="O2798" s="23" t="str">
        <f t="shared" si="130"/>
        <v>ORD26003637</v>
      </c>
      <c r="P2798" s="23" t="str">
        <f t="shared" si="131"/>
        <v>Sep</v>
      </c>
      <c r="Q2798" s="23" t="str">
        <f>IF(F2798="CAPTURE",IF(COUNTIF(orders!$A:$A,O2798)&gt;0,"Yes","NO ORDER"),"")</f>
        <v>Yes</v>
      </c>
    </row>
    <row r="2799" spans="1:17" ht="15" customHeight="1" x14ac:dyDescent="0.3">
      <c r="A2799" s="23" t="s">
        <v>15665</v>
      </c>
      <c r="B2799" s="23"/>
      <c r="C2799" s="23" t="s">
        <v>7777</v>
      </c>
      <c r="D2799" s="23" t="str">
        <f t="shared" si="129"/>
        <v>ORD26003642</v>
      </c>
      <c r="E2799" s="38">
        <v>46280</v>
      </c>
      <c r="F2799" s="23" t="s">
        <v>12410</v>
      </c>
      <c r="G2799" s="23" t="s">
        <v>75</v>
      </c>
      <c r="H2799" s="24">
        <v>1299</v>
      </c>
      <c r="I2799" s="24">
        <v>0</v>
      </c>
      <c r="J2799" s="24">
        <v>0</v>
      </c>
      <c r="K2799" s="24">
        <v>1299</v>
      </c>
      <c r="L2799" s="38">
        <v>46282</v>
      </c>
      <c r="M2799" s="23" t="s">
        <v>206</v>
      </c>
      <c r="N2799" s="23" t="str">
        <f>IF(COUNTIF($A$2:A2799,A2799)&gt;1,"DUP","OK")</f>
        <v>OK</v>
      </c>
      <c r="O2799" s="23" t="str">
        <f t="shared" si="130"/>
        <v>ORD26003642</v>
      </c>
      <c r="P2799" s="23" t="str">
        <f t="shared" si="131"/>
        <v>Sep</v>
      </c>
      <c r="Q2799" s="23" t="str">
        <f>IF(F2799="CAPTURE",IF(COUNTIF(orders!$A:$A,O2799)&gt;0,"Yes","NO ORDER"),"")</f>
        <v>Yes</v>
      </c>
    </row>
    <row r="2800" spans="1:17" ht="15" customHeight="1" x14ac:dyDescent="0.3">
      <c r="A2800" s="23" t="s">
        <v>15666</v>
      </c>
      <c r="B2800" s="23"/>
      <c r="C2800" s="23" t="s">
        <v>7779</v>
      </c>
      <c r="D2800" s="23" t="str">
        <f t="shared" si="129"/>
        <v>ORD26003643</v>
      </c>
      <c r="E2800" s="38">
        <v>46280</v>
      </c>
      <c r="F2800" s="23" t="s">
        <v>12410</v>
      </c>
      <c r="G2800" s="23" t="s">
        <v>77</v>
      </c>
      <c r="H2800" s="24">
        <v>299</v>
      </c>
      <c r="I2800" s="24">
        <v>5.68</v>
      </c>
      <c r="J2800" s="24">
        <v>1.02</v>
      </c>
      <c r="K2800" s="24">
        <v>292.3</v>
      </c>
      <c r="L2800" s="38">
        <v>46282</v>
      </c>
      <c r="M2800" s="23" t="s">
        <v>206</v>
      </c>
      <c r="N2800" s="23" t="str">
        <f>IF(COUNTIF($A$2:A2800,A2800)&gt;1,"DUP","OK")</f>
        <v>OK</v>
      </c>
      <c r="O2800" s="23" t="str">
        <f t="shared" si="130"/>
        <v>ORD26003643</v>
      </c>
      <c r="P2800" s="23" t="str">
        <f t="shared" si="131"/>
        <v>Sep</v>
      </c>
      <c r="Q2800" s="23" t="str">
        <f>IF(F2800="CAPTURE",IF(COUNTIF(orders!$A:$A,O2800)&gt;0,"Yes","NO ORDER"),"")</f>
        <v>Yes</v>
      </c>
    </row>
    <row r="2801" spans="1:17" ht="15" customHeight="1" x14ac:dyDescent="0.3">
      <c r="A2801" s="23" t="s">
        <v>15667</v>
      </c>
      <c r="B2801" s="23"/>
      <c r="C2801" s="23" t="s">
        <v>7785</v>
      </c>
      <c r="D2801" s="23" t="str">
        <f t="shared" si="129"/>
        <v>ORD26003646</v>
      </c>
      <c r="E2801" s="38">
        <v>46280</v>
      </c>
      <c r="F2801" s="23" t="s">
        <v>12410</v>
      </c>
      <c r="G2801" s="23" t="s">
        <v>81</v>
      </c>
      <c r="H2801" s="24">
        <v>3447</v>
      </c>
      <c r="I2801" s="24">
        <v>41.36</v>
      </c>
      <c r="J2801" s="24">
        <v>7.44</v>
      </c>
      <c r="K2801" s="24">
        <v>3398.2</v>
      </c>
      <c r="L2801" s="38">
        <v>46282</v>
      </c>
      <c r="M2801" s="23" t="s">
        <v>206</v>
      </c>
      <c r="N2801" s="23" t="str">
        <f>IF(COUNTIF($A$2:A2801,A2801)&gt;1,"DUP","OK")</f>
        <v>OK</v>
      </c>
      <c r="O2801" s="23" t="str">
        <f t="shared" si="130"/>
        <v>ORD26003646</v>
      </c>
      <c r="P2801" s="23" t="str">
        <f t="shared" si="131"/>
        <v>Sep</v>
      </c>
      <c r="Q2801" s="23" t="str">
        <f>IF(F2801="CAPTURE",IF(COUNTIF(orders!$A:$A,O2801)&gt;0,"Yes","NO ORDER"),"")</f>
        <v>Yes</v>
      </c>
    </row>
    <row r="2802" spans="1:17" ht="15" customHeight="1" x14ac:dyDescent="0.3">
      <c r="A2802" s="23" t="s">
        <v>15668</v>
      </c>
      <c r="B2802" s="23"/>
      <c r="C2802" s="23" t="s">
        <v>15669</v>
      </c>
      <c r="D2802" s="23" t="str">
        <f t="shared" si="129"/>
        <v>ORD26003653</v>
      </c>
      <c r="E2802" s="38">
        <v>46280</v>
      </c>
      <c r="F2802" s="23" t="s">
        <v>12410</v>
      </c>
      <c r="G2802" s="23" t="s">
        <v>75</v>
      </c>
      <c r="H2802" s="24">
        <v>3498</v>
      </c>
      <c r="I2802" s="24">
        <v>10.49</v>
      </c>
      <c r="J2802" s="24">
        <v>1.89</v>
      </c>
      <c r="K2802" s="24">
        <v>3485.62</v>
      </c>
      <c r="L2802" s="38">
        <v>46282</v>
      </c>
      <c r="M2802" s="23" t="s">
        <v>206</v>
      </c>
      <c r="N2802" s="23" t="str">
        <f>IF(COUNTIF($A$2:A2802,A2802)&gt;1,"DUP","OK")</f>
        <v>OK</v>
      </c>
      <c r="O2802" s="23" t="str">
        <f t="shared" si="130"/>
        <v>ORD26003653</v>
      </c>
      <c r="P2802" s="23" t="str">
        <f t="shared" si="131"/>
        <v>Sep</v>
      </c>
      <c r="Q2802" s="23" t="str">
        <f>IF(F2802="CAPTURE",IF(COUNTIF(orders!$A:$A,O2802)&gt;0,"Yes","NO ORDER"),"")</f>
        <v>Yes</v>
      </c>
    </row>
    <row r="2803" spans="1:17" ht="15" customHeight="1" x14ac:dyDescent="0.3">
      <c r="A2803" s="23" t="s">
        <v>15670</v>
      </c>
      <c r="B2803" s="23"/>
      <c r="C2803" s="23" t="s">
        <v>8006</v>
      </c>
      <c r="D2803" s="23" t="str">
        <f t="shared" si="129"/>
        <v>ORD26003759</v>
      </c>
      <c r="E2803" s="38">
        <v>46280</v>
      </c>
      <c r="F2803" s="23" t="s">
        <v>12410</v>
      </c>
      <c r="G2803" s="23" t="s">
        <v>77</v>
      </c>
      <c r="H2803" s="24">
        <v>2999</v>
      </c>
      <c r="I2803" s="24">
        <v>71.98</v>
      </c>
      <c r="J2803" s="24">
        <v>12.96</v>
      </c>
      <c r="K2803" s="24">
        <v>2914.06</v>
      </c>
      <c r="L2803" s="38">
        <v>46282</v>
      </c>
      <c r="M2803" s="23" t="s">
        <v>206</v>
      </c>
      <c r="N2803" s="23" t="str">
        <f>IF(COUNTIF($A$2:A2803,A2803)&gt;1,"DUP","OK")</f>
        <v>OK</v>
      </c>
      <c r="O2803" s="23" t="str">
        <f t="shared" si="130"/>
        <v>ORD26003759</v>
      </c>
      <c r="P2803" s="23" t="str">
        <f t="shared" si="131"/>
        <v>Sep</v>
      </c>
      <c r="Q2803" s="23" t="str">
        <f>IF(F2803="CAPTURE",IF(COUNTIF(orders!$A:$A,O2803)&gt;0,"Yes","NO ORDER"),"")</f>
        <v>Yes</v>
      </c>
    </row>
    <row r="2804" spans="1:17" ht="15" customHeight="1" x14ac:dyDescent="0.3">
      <c r="A2804" s="23" t="s">
        <v>15671</v>
      </c>
      <c r="B2804" s="23"/>
      <c r="C2804" s="23" t="s">
        <v>15672</v>
      </c>
      <c r="D2804" s="23" t="str">
        <f t="shared" si="129"/>
        <v>ORD26003768</v>
      </c>
      <c r="E2804" s="38">
        <v>46280</v>
      </c>
      <c r="F2804" s="23" t="s">
        <v>12410</v>
      </c>
      <c r="G2804" s="23" t="s">
        <v>75</v>
      </c>
      <c r="H2804" s="24">
        <v>2098</v>
      </c>
      <c r="I2804" s="24">
        <v>6.29</v>
      </c>
      <c r="J2804" s="24">
        <v>1.1299999999999999</v>
      </c>
      <c r="K2804" s="24">
        <v>2090.58</v>
      </c>
      <c r="L2804" s="38">
        <v>46282</v>
      </c>
      <c r="M2804" s="23" t="s">
        <v>206</v>
      </c>
      <c r="N2804" s="23" t="str">
        <f>IF(COUNTIF($A$2:A2804,A2804)&gt;1,"DUP","OK")</f>
        <v>OK</v>
      </c>
      <c r="O2804" s="23" t="str">
        <f t="shared" si="130"/>
        <v>ORD26003768</v>
      </c>
      <c r="P2804" s="23" t="str">
        <f t="shared" si="131"/>
        <v>Sep</v>
      </c>
      <c r="Q2804" s="23" t="str">
        <f>IF(F2804="CAPTURE",IF(COUNTIF(orders!$A:$A,O2804)&gt;0,"Yes","NO ORDER"),"")</f>
        <v>Yes</v>
      </c>
    </row>
    <row r="2805" spans="1:17" ht="15" customHeight="1" x14ac:dyDescent="0.3">
      <c r="A2805" s="23" t="s">
        <v>15673</v>
      </c>
      <c r="B2805" s="23"/>
      <c r="C2805" s="23" t="s">
        <v>8178</v>
      </c>
      <c r="D2805" s="23" t="str">
        <f t="shared" si="129"/>
        <v>ORD26003845</v>
      </c>
      <c r="E2805" s="38">
        <v>46280</v>
      </c>
      <c r="F2805" s="23" t="s">
        <v>12410</v>
      </c>
      <c r="G2805" s="23" t="s">
        <v>75</v>
      </c>
      <c r="H2805" s="24">
        <v>9498</v>
      </c>
      <c r="I2805" s="24">
        <v>28.49</v>
      </c>
      <c r="J2805" s="24">
        <v>5.13</v>
      </c>
      <c r="K2805" s="24">
        <v>9464.3799999999992</v>
      </c>
      <c r="L2805" s="38">
        <v>46282</v>
      </c>
      <c r="M2805" s="23" t="s">
        <v>206</v>
      </c>
      <c r="N2805" s="23" t="str">
        <f>IF(COUNTIF($A$2:A2805,A2805)&gt;1,"DUP","OK")</f>
        <v>OK</v>
      </c>
      <c r="O2805" s="23" t="str">
        <f t="shared" si="130"/>
        <v>ORD26003845</v>
      </c>
      <c r="P2805" s="23" t="str">
        <f t="shared" si="131"/>
        <v>Sep</v>
      </c>
      <c r="Q2805" s="23" t="str">
        <f>IF(F2805="CAPTURE",IF(COUNTIF(orders!$A:$A,O2805)&gt;0,"Yes","NO ORDER"),"")</f>
        <v>Yes</v>
      </c>
    </row>
    <row r="2806" spans="1:17" ht="15" customHeight="1" x14ac:dyDescent="0.3">
      <c r="A2806" s="23" t="s">
        <v>15674</v>
      </c>
      <c r="B2806" s="23"/>
      <c r="C2806" s="23" t="s">
        <v>8207</v>
      </c>
      <c r="D2806" s="23" t="str">
        <f t="shared" si="129"/>
        <v>ORD26003860</v>
      </c>
      <c r="E2806" s="38">
        <v>46280</v>
      </c>
      <c r="F2806" s="23" t="s">
        <v>12410</v>
      </c>
      <c r="G2806" s="23" t="s">
        <v>75</v>
      </c>
      <c r="H2806" s="24">
        <v>1799</v>
      </c>
      <c r="I2806" s="24">
        <v>0</v>
      </c>
      <c r="J2806" s="24">
        <v>0</v>
      </c>
      <c r="K2806" s="24">
        <v>1799</v>
      </c>
      <c r="L2806" s="38">
        <v>46282</v>
      </c>
      <c r="M2806" s="23" t="s">
        <v>206</v>
      </c>
      <c r="N2806" s="23" t="str">
        <f>IF(COUNTIF($A$2:A2806,A2806)&gt;1,"DUP","OK")</f>
        <v>OK</v>
      </c>
      <c r="O2806" s="23" t="str">
        <f t="shared" si="130"/>
        <v>ORD26003860</v>
      </c>
      <c r="P2806" s="23" t="str">
        <f t="shared" si="131"/>
        <v>Sep</v>
      </c>
      <c r="Q2806" s="23" t="str">
        <f>IF(F2806="CAPTURE",IF(COUNTIF(orders!$A:$A,O2806)&gt;0,"Yes","NO ORDER"),"")</f>
        <v>Yes</v>
      </c>
    </row>
    <row r="2807" spans="1:17" ht="15" customHeight="1" x14ac:dyDescent="0.3">
      <c r="A2807" s="23" t="s">
        <v>15675</v>
      </c>
      <c r="B2807" s="23"/>
      <c r="C2807" s="23" t="s">
        <v>8232</v>
      </c>
      <c r="D2807" s="23" t="str">
        <f t="shared" si="129"/>
        <v>ORD26003873</v>
      </c>
      <c r="E2807" s="38">
        <v>46280</v>
      </c>
      <c r="F2807" s="23" t="s">
        <v>12410</v>
      </c>
      <c r="G2807" s="23" t="s">
        <v>75</v>
      </c>
      <c r="H2807" s="24">
        <v>1797</v>
      </c>
      <c r="I2807" s="24">
        <v>0</v>
      </c>
      <c r="J2807" s="24">
        <v>0</v>
      </c>
      <c r="K2807" s="24">
        <v>1797</v>
      </c>
      <c r="L2807" s="38">
        <v>46282</v>
      </c>
      <c r="M2807" s="23" t="s">
        <v>206</v>
      </c>
      <c r="N2807" s="23" t="str">
        <f>IF(COUNTIF($A$2:A2807,A2807)&gt;1,"DUP","OK")</f>
        <v>OK</v>
      </c>
      <c r="O2807" s="23" t="str">
        <f t="shared" si="130"/>
        <v>ORD26003873</v>
      </c>
      <c r="P2807" s="23" t="str">
        <f t="shared" si="131"/>
        <v>Sep</v>
      </c>
      <c r="Q2807" s="23" t="str">
        <f>IF(F2807="CAPTURE",IF(COUNTIF(orders!$A:$A,O2807)&gt;0,"Yes","NO ORDER"),"")</f>
        <v>Yes</v>
      </c>
    </row>
    <row r="2808" spans="1:17" ht="15" customHeight="1" x14ac:dyDescent="0.3">
      <c r="A2808" s="23" t="s">
        <v>15676</v>
      </c>
      <c r="B2808" s="23"/>
      <c r="C2808" s="23" t="s">
        <v>8373</v>
      </c>
      <c r="D2808" s="23" t="str">
        <f t="shared" si="129"/>
        <v>ORD26003943</v>
      </c>
      <c r="E2808" s="38">
        <v>46280</v>
      </c>
      <c r="F2808" s="23" t="s">
        <v>12410</v>
      </c>
      <c r="G2808" s="23" t="s">
        <v>79</v>
      </c>
      <c r="H2808" s="24">
        <v>5298</v>
      </c>
      <c r="I2808" s="24">
        <v>84.77</v>
      </c>
      <c r="J2808" s="24">
        <v>15.26</v>
      </c>
      <c r="K2808" s="24">
        <v>5197.97</v>
      </c>
      <c r="L2808" s="38">
        <v>46282</v>
      </c>
      <c r="M2808" s="23" t="s">
        <v>206</v>
      </c>
      <c r="N2808" s="23" t="str">
        <f>IF(COUNTIF($A$2:A2808,A2808)&gt;1,"DUP","OK")</f>
        <v>OK</v>
      </c>
      <c r="O2808" s="23" t="str">
        <f t="shared" si="130"/>
        <v>ORD26003943</v>
      </c>
      <c r="P2808" s="23" t="str">
        <f t="shared" si="131"/>
        <v>Sep</v>
      </c>
      <c r="Q2808" s="23" t="str">
        <f>IF(F2808="CAPTURE",IF(COUNTIF(orders!$A:$A,O2808)&gt;0,"Yes","NO ORDER"),"")</f>
        <v>Yes</v>
      </c>
    </row>
    <row r="2809" spans="1:17" ht="15" customHeight="1" x14ac:dyDescent="0.3">
      <c r="A2809" s="23" t="s">
        <v>15677</v>
      </c>
      <c r="B2809" s="23"/>
      <c r="C2809" s="23" t="s">
        <v>8391</v>
      </c>
      <c r="D2809" s="23" t="str">
        <f t="shared" si="129"/>
        <v>ORD26003952</v>
      </c>
      <c r="E2809" s="38">
        <v>46280</v>
      </c>
      <c r="F2809" s="23" t="s">
        <v>12410</v>
      </c>
      <c r="G2809" s="23" t="s">
        <v>79</v>
      </c>
      <c r="H2809" s="24">
        <v>4597</v>
      </c>
      <c r="I2809" s="24">
        <v>73.55</v>
      </c>
      <c r="J2809" s="24">
        <v>13.24</v>
      </c>
      <c r="K2809" s="24">
        <v>4510.21</v>
      </c>
      <c r="L2809" s="38">
        <v>46282</v>
      </c>
      <c r="M2809" s="23" t="s">
        <v>206</v>
      </c>
      <c r="N2809" s="23" t="str">
        <f>IF(COUNTIF($A$2:A2809,A2809)&gt;1,"DUP","OK")</f>
        <v>OK</v>
      </c>
      <c r="O2809" s="23" t="str">
        <f t="shared" si="130"/>
        <v>ORD26003952</v>
      </c>
      <c r="P2809" s="23" t="str">
        <f t="shared" si="131"/>
        <v>Sep</v>
      </c>
      <c r="Q2809" s="23" t="str">
        <f>IF(F2809="CAPTURE",IF(COUNTIF(orders!$A:$A,O2809)&gt;0,"Yes","NO ORDER"),"")</f>
        <v>Yes</v>
      </c>
    </row>
    <row r="2810" spans="1:17" ht="15" customHeight="1" x14ac:dyDescent="0.3">
      <c r="A2810" s="23" t="s">
        <v>15678</v>
      </c>
      <c r="B2810" s="23"/>
      <c r="C2810" s="23" t="s">
        <v>8406</v>
      </c>
      <c r="D2810" s="23" t="str">
        <f t="shared" si="129"/>
        <v>ORD26003960</v>
      </c>
      <c r="E2810" s="38">
        <v>46280</v>
      </c>
      <c r="F2810" s="23" t="s">
        <v>12410</v>
      </c>
      <c r="G2810" s="23" t="s">
        <v>79</v>
      </c>
      <c r="H2810" s="24">
        <v>999</v>
      </c>
      <c r="I2810" s="24">
        <v>17.98</v>
      </c>
      <c r="J2810" s="24">
        <v>3.24</v>
      </c>
      <c r="K2810" s="24">
        <v>977.78</v>
      </c>
      <c r="L2810" s="38">
        <v>46282</v>
      </c>
      <c r="M2810" s="23" t="s">
        <v>206</v>
      </c>
      <c r="N2810" s="23" t="str">
        <f>IF(COUNTIF($A$2:A2810,A2810)&gt;1,"DUP","OK")</f>
        <v>OK</v>
      </c>
      <c r="O2810" s="23" t="str">
        <f t="shared" si="130"/>
        <v>ORD26003960</v>
      </c>
      <c r="P2810" s="23" t="str">
        <f t="shared" si="131"/>
        <v>Sep</v>
      </c>
      <c r="Q2810" s="23" t="str">
        <f>IF(F2810="CAPTURE",IF(COUNTIF(orders!$A:$A,O2810)&gt;0,"Yes","NO ORDER"),"")</f>
        <v>Yes</v>
      </c>
    </row>
    <row r="2811" spans="1:17" ht="15" customHeight="1" x14ac:dyDescent="0.3">
      <c r="A2811" s="23" t="s">
        <v>15679</v>
      </c>
      <c r="B2811" s="23"/>
      <c r="C2811" s="23" t="s">
        <v>8519</v>
      </c>
      <c r="D2811" s="23" t="str">
        <f t="shared" si="129"/>
        <v>ORD26004017</v>
      </c>
      <c r="E2811" s="38">
        <v>46280</v>
      </c>
      <c r="F2811" s="23" t="s">
        <v>12410</v>
      </c>
      <c r="G2811" s="23" t="s">
        <v>77</v>
      </c>
      <c r="H2811" s="24">
        <v>5348</v>
      </c>
      <c r="I2811" s="24">
        <v>90.92</v>
      </c>
      <c r="J2811" s="24">
        <v>16.37</v>
      </c>
      <c r="K2811" s="24">
        <v>5240.71</v>
      </c>
      <c r="L2811" s="38">
        <v>46282</v>
      </c>
      <c r="M2811" s="23" t="s">
        <v>206</v>
      </c>
      <c r="N2811" s="23" t="str">
        <f>IF(COUNTIF($A$2:A2811,A2811)&gt;1,"DUP","OK")</f>
        <v>OK</v>
      </c>
      <c r="O2811" s="23" t="str">
        <f t="shared" si="130"/>
        <v>ORD26004017</v>
      </c>
      <c r="P2811" s="23" t="str">
        <f t="shared" si="131"/>
        <v>Sep</v>
      </c>
      <c r="Q2811" s="23" t="str">
        <f>IF(F2811="CAPTURE",IF(COUNTIF(orders!$A:$A,O2811)&gt;0,"Yes","NO ORDER"),"")</f>
        <v>Yes</v>
      </c>
    </row>
    <row r="2812" spans="1:17" ht="15" customHeight="1" x14ac:dyDescent="0.3">
      <c r="A2812" s="23" t="s">
        <v>15680</v>
      </c>
      <c r="B2812" s="23"/>
      <c r="C2812" s="23" t="s">
        <v>8825</v>
      </c>
      <c r="D2812" s="23" t="str">
        <f t="shared" si="129"/>
        <v>ORD26004175</v>
      </c>
      <c r="E2812" s="38">
        <v>46280</v>
      </c>
      <c r="F2812" s="23" t="s">
        <v>12410</v>
      </c>
      <c r="G2812" s="23" t="s">
        <v>75</v>
      </c>
      <c r="H2812" s="24">
        <v>948</v>
      </c>
      <c r="I2812" s="24">
        <v>0</v>
      </c>
      <c r="J2812" s="24">
        <v>0</v>
      </c>
      <c r="K2812" s="24">
        <v>948</v>
      </c>
      <c r="L2812" s="38">
        <v>46282</v>
      </c>
      <c r="M2812" s="23" t="s">
        <v>206</v>
      </c>
      <c r="N2812" s="23" t="str">
        <f>IF(COUNTIF($A$2:A2812,A2812)&gt;1,"DUP","OK")</f>
        <v>OK</v>
      </c>
      <c r="O2812" s="23" t="str">
        <f t="shared" si="130"/>
        <v>ORD26004175</v>
      </c>
      <c r="P2812" s="23" t="str">
        <f t="shared" si="131"/>
        <v>Sep</v>
      </c>
      <c r="Q2812" s="23" t="str">
        <f>IF(F2812="CAPTURE",IF(COUNTIF(orders!$A:$A,O2812)&gt;0,"Yes","NO ORDER"),"")</f>
        <v>Yes</v>
      </c>
    </row>
    <row r="2813" spans="1:17" ht="15" customHeight="1" x14ac:dyDescent="0.3">
      <c r="A2813" s="23" t="s">
        <v>15681</v>
      </c>
      <c r="B2813" s="23"/>
      <c r="C2813" s="23" t="s">
        <v>8850</v>
      </c>
      <c r="D2813" s="23" t="str">
        <f t="shared" si="129"/>
        <v>ORD26004187</v>
      </c>
      <c r="E2813" s="38">
        <v>46280</v>
      </c>
      <c r="F2813" s="23" t="s">
        <v>12410</v>
      </c>
      <c r="G2813" s="23" t="s">
        <v>75</v>
      </c>
      <c r="H2813" s="24">
        <v>2998</v>
      </c>
      <c r="I2813" s="24">
        <v>8.99</v>
      </c>
      <c r="J2813" s="24">
        <v>1.62</v>
      </c>
      <c r="K2813" s="24">
        <v>2987.39</v>
      </c>
      <c r="L2813" s="38">
        <v>46282</v>
      </c>
      <c r="M2813" s="23" t="s">
        <v>206</v>
      </c>
      <c r="N2813" s="23" t="str">
        <f>IF(COUNTIF($A$2:A2813,A2813)&gt;1,"DUP","OK")</f>
        <v>OK</v>
      </c>
      <c r="O2813" s="23" t="str">
        <f t="shared" si="130"/>
        <v>ORD26004187</v>
      </c>
      <c r="P2813" s="23" t="str">
        <f t="shared" si="131"/>
        <v>Sep</v>
      </c>
      <c r="Q2813" s="23" t="str">
        <f>IF(F2813="CAPTURE",IF(COUNTIF(orders!$A:$A,O2813)&gt;0,"Yes","NO ORDER"),"")</f>
        <v>Yes</v>
      </c>
    </row>
    <row r="2814" spans="1:17" ht="15" customHeight="1" x14ac:dyDescent="0.3">
      <c r="A2814" s="23" t="s">
        <v>15682</v>
      </c>
      <c r="B2814" s="23"/>
      <c r="C2814" s="23" t="s">
        <v>8870</v>
      </c>
      <c r="D2814" s="23" t="str">
        <f t="shared" si="129"/>
        <v>ORD26004197</v>
      </c>
      <c r="E2814" s="38">
        <v>46280</v>
      </c>
      <c r="F2814" s="23" t="s">
        <v>12410</v>
      </c>
      <c r="G2814" s="23" t="s">
        <v>77</v>
      </c>
      <c r="H2814" s="24">
        <v>2999</v>
      </c>
      <c r="I2814" s="24">
        <v>50.98</v>
      </c>
      <c r="J2814" s="24">
        <v>9.18</v>
      </c>
      <c r="K2814" s="24">
        <v>2938.84</v>
      </c>
      <c r="L2814" s="38">
        <v>46282</v>
      </c>
      <c r="M2814" s="23" t="s">
        <v>206</v>
      </c>
      <c r="N2814" s="23" t="str">
        <f>IF(COUNTIF($A$2:A2814,A2814)&gt;1,"DUP","OK")</f>
        <v>OK</v>
      </c>
      <c r="O2814" s="23" t="str">
        <f t="shared" si="130"/>
        <v>ORD26004197</v>
      </c>
      <c r="P2814" s="23" t="str">
        <f t="shared" si="131"/>
        <v>Sep</v>
      </c>
      <c r="Q2814" s="23" t="str">
        <f>IF(F2814="CAPTURE",IF(COUNTIF(orders!$A:$A,O2814)&gt;0,"Yes","NO ORDER"),"")</f>
        <v>Yes</v>
      </c>
    </row>
    <row r="2815" spans="1:17" ht="15" customHeight="1" x14ac:dyDescent="0.3">
      <c r="A2815" s="23" t="s">
        <v>15683</v>
      </c>
      <c r="B2815" s="23"/>
      <c r="C2815" s="23" t="s">
        <v>8923</v>
      </c>
      <c r="D2815" s="23" t="str">
        <f t="shared" si="129"/>
        <v>ORD26004224</v>
      </c>
      <c r="E2815" s="38">
        <v>46280</v>
      </c>
      <c r="F2815" s="23" t="s">
        <v>12410</v>
      </c>
      <c r="G2815" s="23" t="s">
        <v>75</v>
      </c>
      <c r="H2815" s="24">
        <v>3499</v>
      </c>
      <c r="I2815" s="24">
        <v>10.5</v>
      </c>
      <c r="J2815" s="24">
        <v>1.89</v>
      </c>
      <c r="K2815" s="24">
        <v>3486.61</v>
      </c>
      <c r="L2815" s="38">
        <v>46282</v>
      </c>
      <c r="M2815" s="23" t="s">
        <v>206</v>
      </c>
      <c r="N2815" s="23" t="str">
        <f>IF(COUNTIF($A$2:A2815,A2815)&gt;1,"DUP","OK")</f>
        <v>OK</v>
      </c>
      <c r="O2815" s="23" t="str">
        <f t="shared" si="130"/>
        <v>ORD26004224</v>
      </c>
      <c r="P2815" s="23" t="str">
        <f t="shared" si="131"/>
        <v>Sep</v>
      </c>
      <c r="Q2815" s="23" t="str">
        <f>IF(F2815="CAPTURE",IF(COUNTIF(orders!$A:$A,O2815)&gt;0,"Yes","NO ORDER"),"")</f>
        <v>Yes</v>
      </c>
    </row>
    <row r="2816" spans="1:17" ht="15" customHeight="1" x14ac:dyDescent="0.3">
      <c r="A2816" s="23" t="s">
        <v>15684</v>
      </c>
      <c r="B2816" s="23"/>
      <c r="C2816" s="23" t="s">
        <v>9126</v>
      </c>
      <c r="D2816" s="23" t="str">
        <f t="shared" si="129"/>
        <v>ORD26004325</v>
      </c>
      <c r="E2816" s="38">
        <v>46280</v>
      </c>
      <c r="F2816" s="23" t="s">
        <v>12410</v>
      </c>
      <c r="G2816" s="23" t="s">
        <v>79</v>
      </c>
      <c r="H2816" s="24">
        <v>349</v>
      </c>
      <c r="I2816" s="24">
        <v>6.28</v>
      </c>
      <c r="J2816" s="24">
        <v>1.1299999999999999</v>
      </c>
      <c r="K2816" s="24">
        <v>341.59</v>
      </c>
      <c r="L2816" s="38">
        <v>46282</v>
      </c>
      <c r="M2816" s="23" t="s">
        <v>206</v>
      </c>
      <c r="N2816" s="23" t="str">
        <f>IF(COUNTIF($A$2:A2816,A2816)&gt;1,"DUP","OK")</f>
        <v>OK</v>
      </c>
      <c r="O2816" s="23" t="str">
        <f t="shared" si="130"/>
        <v>ORD26004325</v>
      </c>
      <c r="P2816" s="23" t="str">
        <f t="shared" si="131"/>
        <v>Sep</v>
      </c>
      <c r="Q2816" s="23" t="str">
        <f>IF(F2816="CAPTURE",IF(COUNTIF(orders!$A:$A,O2816)&gt;0,"Yes","NO ORDER"),"")</f>
        <v>Yes</v>
      </c>
    </row>
    <row r="2817" spans="1:17" ht="15" customHeight="1" x14ac:dyDescent="0.3">
      <c r="A2817" s="23" t="s">
        <v>15685</v>
      </c>
      <c r="B2817" s="23"/>
      <c r="C2817" s="23" t="s">
        <v>9250</v>
      </c>
      <c r="D2817" s="23" t="str">
        <f t="shared" si="129"/>
        <v>ORD26004388</v>
      </c>
      <c r="E2817" s="38">
        <v>46280</v>
      </c>
      <c r="F2817" s="23" t="s">
        <v>12410</v>
      </c>
      <c r="G2817" s="23" t="s">
        <v>75</v>
      </c>
      <c r="H2817" s="24">
        <v>1799</v>
      </c>
      <c r="I2817" s="24">
        <v>0</v>
      </c>
      <c r="J2817" s="24">
        <v>0</v>
      </c>
      <c r="K2817" s="24">
        <v>1799</v>
      </c>
      <c r="L2817" s="38">
        <v>46282</v>
      </c>
      <c r="M2817" s="23" t="s">
        <v>206</v>
      </c>
      <c r="N2817" s="23" t="str">
        <f>IF(COUNTIF($A$2:A2817,A2817)&gt;1,"DUP","OK")</f>
        <v>OK</v>
      </c>
      <c r="O2817" s="23" t="str">
        <f t="shared" si="130"/>
        <v>ORD26004388</v>
      </c>
      <c r="P2817" s="23" t="str">
        <f t="shared" si="131"/>
        <v>Sep</v>
      </c>
      <c r="Q2817" s="23" t="str">
        <f>IF(F2817="CAPTURE",IF(COUNTIF(orders!$A:$A,O2817)&gt;0,"Yes","NO ORDER"),"")</f>
        <v>Yes</v>
      </c>
    </row>
    <row r="2818" spans="1:17" ht="15" customHeight="1" x14ac:dyDescent="0.3">
      <c r="A2818" s="23" t="s">
        <v>15686</v>
      </c>
      <c r="B2818" s="23"/>
      <c r="C2818" s="23" t="s">
        <v>9262</v>
      </c>
      <c r="D2818" s="23" t="str">
        <f t="shared" ref="D2818:D2881" si="132">UPPER(SUBSTITUTE(TRIM(C2818),"-",""))</f>
        <v>ORD26004394</v>
      </c>
      <c r="E2818" s="38">
        <v>46280</v>
      </c>
      <c r="F2818" s="23" t="s">
        <v>12410</v>
      </c>
      <c r="G2818" s="23" t="s">
        <v>77</v>
      </c>
      <c r="H2818" s="24">
        <v>1798</v>
      </c>
      <c r="I2818" s="24">
        <v>34.159999999999997</v>
      </c>
      <c r="J2818" s="24">
        <v>6.15</v>
      </c>
      <c r="K2818" s="24">
        <v>1757.69</v>
      </c>
      <c r="L2818" s="38">
        <v>46282</v>
      </c>
      <c r="M2818" s="23" t="s">
        <v>206</v>
      </c>
      <c r="N2818" s="23" t="str">
        <f>IF(COUNTIF($A$2:A2818,A2818)&gt;1,"DUP","OK")</f>
        <v>OK</v>
      </c>
      <c r="O2818" s="23" t="str">
        <f t="shared" ref="O2818:O2881" si="133">IF(F2818="REFUND",INDEX($D:$D,MATCH(B2818,$A:$A,0)),D2818)</f>
        <v>ORD26004394</v>
      </c>
      <c r="P2818" s="23" t="str">
        <f t="shared" ref="P2818:P2881" si="134">IF(L2818&gt;DATE(2026,9,30),"Oct-Due","Sep")</f>
        <v>Sep</v>
      </c>
      <c r="Q2818" s="23" t="str">
        <f>IF(F2818="CAPTURE",IF(COUNTIF(orders!$A:$A,O2818)&gt;0,"Yes","NO ORDER"),"")</f>
        <v>Yes</v>
      </c>
    </row>
    <row r="2819" spans="1:17" ht="15" customHeight="1" x14ac:dyDescent="0.3">
      <c r="A2819" s="23" t="s">
        <v>15687</v>
      </c>
      <c r="B2819" s="23"/>
      <c r="C2819" s="23" t="s">
        <v>9276</v>
      </c>
      <c r="D2819" s="23" t="str">
        <f t="shared" si="132"/>
        <v>ORD26004401</v>
      </c>
      <c r="E2819" s="38">
        <v>46280</v>
      </c>
      <c r="F2819" s="23" t="s">
        <v>12410</v>
      </c>
      <c r="G2819" s="23" t="s">
        <v>75</v>
      </c>
      <c r="H2819" s="24">
        <v>349</v>
      </c>
      <c r="I2819" s="24">
        <v>0</v>
      </c>
      <c r="J2819" s="24">
        <v>0</v>
      </c>
      <c r="K2819" s="24">
        <v>349</v>
      </c>
      <c r="L2819" s="38">
        <v>46282</v>
      </c>
      <c r="M2819" s="23" t="s">
        <v>206</v>
      </c>
      <c r="N2819" s="23" t="str">
        <f>IF(COUNTIF($A$2:A2819,A2819)&gt;1,"DUP","OK")</f>
        <v>OK</v>
      </c>
      <c r="O2819" s="23" t="str">
        <f t="shared" si="133"/>
        <v>ORD26004401</v>
      </c>
      <c r="P2819" s="23" t="str">
        <f t="shared" si="134"/>
        <v>Sep</v>
      </c>
      <c r="Q2819" s="23" t="str">
        <f>IF(F2819="CAPTURE",IF(COUNTIF(orders!$A:$A,O2819)&gt;0,"Yes","NO ORDER"),"")</f>
        <v>Yes</v>
      </c>
    </row>
    <row r="2820" spans="1:17" ht="15" customHeight="1" x14ac:dyDescent="0.3">
      <c r="A2820" s="23" t="s">
        <v>15688</v>
      </c>
      <c r="B2820" s="23"/>
      <c r="C2820" s="23" t="s">
        <v>9342</v>
      </c>
      <c r="D2820" s="23" t="str">
        <f t="shared" si="132"/>
        <v>ORD26004435</v>
      </c>
      <c r="E2820" s="38">
        <v>46280</v>
      </c>
      <c r="F2820" s="23" t="s">
        <v>12410</v>
      </c>
      <c r="G2820" s="23" t="s">
        <v>75</v>
      </c>
      <c r="H2820" s="24">
        <v>4999</v>
      </c>
      <c r="I2820" s="24">
        <v>15</v>
      </c>
      <c r="J2820" s="24">
        <v>2.7</v>
      </c>
      <c r="K2820" s="24">
        <v>4981.3</v>
      </c>
      <c r="L2820" s="38">
        <v>46282</v>
      </c>
      <c r="M2820" s="23" t="s">
        <v>206</v>
      </c>
      <c r="N2820" s="23" t="str">
        <f>IF(COUNTIF($A$2:A2820,A2820)&gt;1,"DUP","OK")</f>
        <v>OK</v>
      </c>
      <c r="O2820" s="23" t="str">
        <f t="shared" si="133"/>
        <v>ORD26004435</v>
      </c>
      <c r="P2820" s="23" t="str">
        <f t="shared" si="134"/>
        <v>Sep</v>
      </c>
      <c r="Q2820" s="23" t="str">
        <f>IF(F2820="CAPTURE",IF(COUNTIF(orders!$A:$A,O2820)&gt;0,"Yes","NO ORDER"),"")</f>
        <v>Yes</v>
      </c>
    </row>
    <row r="2821" spans="1:17" ht="15" customHeight="1" x14ac:dyDescent="0.3">
      <c r="A2821" s="23" t="s">
        <v>15689</v>
      </c>
      <c r="B2821" s="23"/>
      <c r="C2821" s="23" t="s">
        <v>9425</v>
      </c>
      <c r="D2821" s="23" t="str">
        <f t="shared" si="132"/>
        <v>ORD26004477</v>
      </c>
      <c r="E2821" s="38">
        <v>46280</v>
      </c>
      <c r="F2821" s="23" t="s">
        <v>12410</v>
      </c>
      <c r="G2821" s="23" t="s">
        <v>75</v>
      </c>
      <c r="H2821" s="24">
        <v>1799</v>
      </c>
      <c r="I2821" s="24">
        <v>0</v>
      </c>
      <c r="J2821" s="24">
        <v>0</v>
      </c>
      <c r="K2821" s="24">
        <v>1799</v>
      </c>
      <c r="L2821" s="38">
        <v>46282</v>
      </c>
      <c r="M2821" s="23" t="s">
        <v>206</v>
      </c>
      <c r="N2821" s="23" t="str">
        <f>IF(COUNTIF($A$2:A2821,A2821)&gt;1,"DUP","OK")</f>
        <v>OK</v>
      </c>
      <c r="O2821" s="23" t="str">
        <f t="shared" si="133"/>
        <v>ORD26004477</v>
      </c>
      <c r="P2821" s="23" t="str">
        <f t="shared" si="134"/>
        <v>Sep</v>
      </c>
      <c r="Q2821" s="23" t="str">
        <f>IF(F2821="CAPTURE",IF(COUNTIF(orders!$A:$A,O2821)&gt;0,"Yes","NO ORDER"),"")</f>
        <v>Yes</v>
      </c>
    </row>
    <row r="2822" spans="1:17" ht="15" customHeight="1" x14ac:dyDescent="0.3">
      <c r="A2822" s="23" t="s">
        <v>15690</v>
      </c>
      <c r="B2822" s="23"/>
      <c r="C2822" s="23" t="s">
        <v>9455</v>
      </c>
      <c r="D2822" s="23" t="str">
        <f t="shared" si="132"/>
        <v>ORD26004491</v>
      </c>
      <c r="E2822" s="38">
        <v>46280</v>
      </c>
      <c r="F2822" s="23" t="s">
        <v>12410</v>
      </c>
      <c r="G2822" s="23" t="s">
        <v>79</v>
      </c>
      <c r="H2822" s="24">
        <v>5998</v>
      </c>
      <c r="I2822" s="24">
        <v>95.97</v>
      </c>
      <c r="J2822" s="24">
        <v>17.27</v>
      </c>
      <c r="K2822" s="24">
        <v>5884.76</v>
      </c>
      <c r="L2822" s="38">
        <v>46282</v>
      </c>
      <c r="M2822" s="23" t="s">
        <v>206</v>
      </c>
      <c r="N2822" s="23" t="str">
        <f>IF(COUNTIF($A$2:A2822,A2822)&gt;1,"DUP","OK")</f>
        <v>OK</v>
      </c>
      <c r="O2822" s="23" t="str">
        <f t="shared" si="133"/>
        <v>ORD26004491</v>
      </c>
      <c r="P2822" s="23" t="str">
        <f t="shared" si="134"/>
        <v>Sep</v>
      </c>
      <c r="Q2822" s="23" t="str">
        <f>IF(F2822="CAPTURE",IF(COUNTIF(orders!$A:$A,O2822)&gt;0,"Yes","NO ORDER"),"")</f>
        <v>Yes</v>
      </c>
    </row>
    <row r="2823" spans="1:17" ht="15" customHeight="1" x14ac:dyDescent="0.3">
      <c r="A2823" s="23" t="s">
        <v>15691</v>
      </c>
      <c r="B2823" s="23"/>
      <c r="C2823" s="23" t="s">
        <v>9543</v>
      </c>
      <c r="D2823" s="23" t="str">
        <f t="shared" si="132"/>
        <v>ORD26004535</v>
      </c>
      <c r="E2823" s="38">
        <v>46280</v>
      </c>
      <c r="F2823" s="23" t="s">
        <v>12410</v>
      </c>
      <c r="G2823" s="23" t="s">
        <v>75</v>
      </c>
      <c r="H2823" s="24">
        <v>799</v>
      </c>
      <c r="I2823" s="24">
        <v>0</v>
      </c>
      <c r="J2823" s="24">
        <v>0</v>
      </c>
      <c r="K2823" s="24">
        <v>799</v>
      </c>
      <c r="L2823" s="38">
        <v>46282</v>
      </c>
      <c r="M2823" s="23" t="s">
        <v>206</v>
      </c>
      <c r="N2823" s="23" t="str">
        <f>IF(COUNTIF($A$2:A2823,A2823)&gt;1,"DUP","OK")</f>
        <v>OK</v>
      </c>
      <c r="O2823" s="23" t="str">
        <f t="shared" si="133"/>
        <v>ORD26004535</v>
      </c>
      <c r="P2823" s="23" t="str">
        <f t="shared" si="134"/>
        <v>Sep</v>
      </c>
      <c r="Q2823" s="23" t="str">
        <f>IF(F2823="CAPTURE",IF(COUNTIF(orders!$A:$A,O2823)&gt;0,"Yes","NO ORDER"),"")</f>
        <v>Yes</v>
      </c>
    </row>
    <row r="2824" spans="1:17" ht="15" customHeight="1" x14ac:dyDescent="0.3">
      <c r="A2824" s="23" t="s">
        <v>15692</v>
      </c>
      <c r="B2824" s="23"/>
      <c r="C2824" s="23" t="s">
        <v>15693</v>
      </c>
      <c r="D2824" s="23" t="str">
        <f t="shared" si="132"/>
        <v>ORD26004540</v>
      </c>
      <c r="E2824" s="38">
        <v>46280</v>
      </c>
      <c r="F2824" s="23" t="s">
        <v>12410</v>
      </c>
      <c r="G2824" s="23" t="s">
        <v>79</v>
      </c>
      <c r="H2824" s="24">
        <v>2499</v>
      </c>
      <c r="I2824" s="24">
        <v>39.979999999999997</v>
      </c>
      <c r="J2824" s="24">
        <v>7.2</v>
      </c>
      <c r="K2824" s="24">
        <v>2451.8200000000002</v>
      </c>
      <c r="L2824" s="38">
        <v>46282</v>
      </c>
      <c r="M2824" s="23" t="s">
        <v>206</v>
      </c>
      <c r="N2824" s="23" t="str">
        <f>IF(COUNTIF($A$2:A2824,A2824)&gt;1,"DUP","OK")</f>
        <v>OK</v>
      </c>
      <c r="O2824" s="23" t="str">
        <f t="shared" si="133"/>
        <v>ORD26004540</v>
      </c>
      <c r="P2824" s="23" t="str">
        <f t="shared" si="134"/>
        <v>Sep</v>
      </c>
      <c r="Q2824" s="23" t="str">
        <f>IF(F2824="CAPTURE",IF(COUNTIF(orders!$A:$A,O2824)&gt;0,"Yes","NO ORDER"),"")</f>
        <v>Yes</v>
      </c>
    </row>
    <row r="2825" spans="1:17" ht="15" customHeight="1" x14ac:dyDescent="0.3">
      <c r="A2825" s="23" t="s">
        <v>15694</v>
      </c>
      <c r="B2825" s="23"/>
      <c r="C2825" s="23" t="s">
        <v>9555</v>
      </c>
      <c r="D2825" s="23" t="str">
        <f t="shared" si="132"/>
        <v>ORD26004541</v>
      </c>
      <c r="E2825" s="38">
        <v>46280</v>
      </c>
      <c r="F2825" s="23" t="s">
        <v>12410</v>
      </c>
      <c r="G2825" s="23" t="s">
        <v>79</v>
      </c>
      <c r="H2825" s="24">
        <v>3097</v>
      </c>
      <c r="I2825" s="24">
        <v>49.55</v>
      </c>
      <c r="J2825" s="24">
        <v>8.92</v>
      </c>
      <c r="K2825" s="24">
        <v>3038.53</v>
      </c>
      <c r="L2825" s="38">
        <v>46282</v>
      </c>
      <c r="M2825" s="23" t="s">
        <v>206</v>
      </c>
      <c r="N2825" s="23" t="str">
        <f>IF(COUNTIF($A$2:A2825,A2825)&gt;1,"DUP","OK")</f>
        <v>OK</v>
      </c>
      <c r="O2825" s="23" t="str">
        <f t="shared" si="133"/>
        <v>ORD26004541</v>
      </c>
      <c r="P2825" s="23" t="str">
        <f t="shared" si="134"/>
        <v>Sep</v>
      </c>
      <c r="Q2825" s="23" t="str">
        <f>IF(F2825="CAPTURE",IF(COUNTIF(orders!$A:$A,O2825)&gt;0,"Yes","NO ORDER"),"")</f>
        <v>Yes</v>
      </c>
    </row>
    <row r="2826" spans="1:17" ht="15" customHeight="1" x14ac:dyDescent="0.3">
      <c r="A2826" s="23" t="s">
        <v>15695</v>
      </c>
      <c r="B2826" s="23"/>
      <c r="C2826" s="23" t="s">
        <v>9563</v>
      </c>
      <c r="D2826" s="23" t="str">
        <f t="shared" si="132"/>
        <v>ORD26004545</v>
      </c>
      <c r="E2826" s="38">
        <v>46280</v>
      </c>
      <c r="F2826" s="23" t="s">
        <v>12410</v>
      </c>
      <c r="G2826" s="23" t="s">
        <v>75</v>
      </c>
      <c r="H2826" s="24">
        <v>3598</v>
      </c>
      <c r="I2826" s="24">
        <v>10.79</v>
      </c>
      <c r="J2826" s="24">
        <v>1.94</v>
      </c>
      <c r="K2826" s="24">
        <v>3585.27</v>
      </c>
      <c r="L2826" s="38">
        <v>46282</v>
      </c>
      <c r="M2826" s="23" t="s">
        <v>206</v>
      </c>
      <c r="N2826" s="23" t="str">
        <f>IF(COUNTIF($A$2:A2826,A2826)&gt;1,"DUP","OK")</f>
        <v>OK</v>
      </c>
      <c r="O2826" s="23" t="str">
        <f t="shared" si="133"/>
        <v>ORD26004545</v>
      </c>
      <c r="P2826" s="23" t="str">
        <f t="shared" si="134"/>
        <v>Sep</v>
      </c>
      <c r="Q2826" s="23" t="str">
        <f>IF(F2826="CAPTURE",IF(COUNTIF(orders!$A:$A,O2826)&gt;0,"Yes","NO ORDER"),"")</f>
        <v>Yes</v>
      </c>
    </row>
    <row r="2827" spans="1:17" ht="15" customHeight="1" x14ac:dyDescent="0.3">
      <c r="A2827" s="23" t="s">
        <v>15696</v>
      </c>
      <c r="B2827" s="23"/>
      <c r="C2827" s="23" t="s">
        <v>9640</v>
      </c>
      <c r="D2827" s="23" t="str">
        <f t="shared" si="132"/>
        <v>ORD26004584</v>
      </c>
      <c r="E2827" s="38">
        <v>46280</v>
      </c>
      <c r="F2827" s="23" t="s">
        <v>12410</v>
      </c>
      <c r="G2827" s="23" t="s">
        <v>75</v>
      </c>
      <c r="H2827" s="24">
        <v>1499</v>
      </c>
      <c r="I2827" s="24">
        <v>0</v>
      </c>
      <c r="J2827" s="24">
        <v>0</v>
      </c>
      <c r="K2827" s="24">
        <v>1499</v>
      </c>
      <c r="L2827" s="38">
        <v>46282</v>
      </c>
      <c r="M2827" s="23" t="s">
        <v>206</v>
      </c>
      <c r="N2827" s="23" t="str">
        <f>IF(COUNTIF($A$2:A2827,A2827)&gt;1,"DUP","OK")</f>
        <v>OK</v>
      </c>
      <c r="O2827" s="23" t="str">
        <f t="shared" si="133"/>
        <v>ORD26004584</v>
      </c>
      <c r="P2827" s="23" t="str">
        <f t="shared" si="134"/>
        <v>Sep</v>
      </c>
      <c r="Q2827" s="23" t="str">
        <f>IF(F2827="CAPTURE",IF(COUNTIF(orders!$A:$A,O2827)&gt;0,"Yes","NO ORDER"),"")</f>
        <v>Yes</v>
      </c>
    </row>
    <row r="2828" spans="1:17" ht="15" customHeight="1" x14ac:dyDescent="0.3">
      <c r="A2828" s="23" t="s">
        <v>15697</v>
      </c>
      <c r="B2828" s="23"/>
      <c r="C2828" s="23" t="s">
        <v>15698</v>
      </c>
      <c r="D2828" s="23" t="str">
        <f t="shared" si="132"/>
        <v>ORD26004600</v>
      </c>
      <c r="E2828" s="38">
        <v>46280</v>
      </c>
      <c r="F2828" s="23" t="s">
        <v>12410</v>
      </c>
      <c r="G2828" s="23" t="s">
        <v>75</v>
      </c>
      <c r="H2828" s="24">
        <v>10998</v>
      </c>
      <c r="I2828" s="24">
        <v>32.99</v>
      </c>
      <c r="J2828" s="24">
        <v>5.94</v>
      </c>
      <c r="K2828" s="24">
        <v>10959.07</v>
      </c>
      <c r="L2828" s="38">
        <v>46282</v>
      </c>
      <c r="M2828" s="23" t="s">
        <v>206</v>
      </c>
      <c r="N2828" s="23" t="str">
        <f>IF(COUNTIF($A$2:A2828,A2828)&gt;1,"DUP","OK")</f>
        <v>OK</v>
      </c>
      <c r="O2828" s="23" t="str">
        <f t="shared" si="133"/>
        <v>ORD26004600</v>
      </c>
      <c r="P2828" s="23" t="str">
        <f t="shared" si="134"/>
        <v>Sep</v>
      </c>
      <c r="Q2828" s="23" t="str">
        <f>IF(F2828="CAPTURE",IF(COUNTIF(orders!$A:$A,O2828)&gt;0,"Yes","NO ORDER"),"")</f>
        <v>Yes</v>
      </c>
    </row>
    <row r="2829" spans="1:17" ht="15" customHeight="1" x14ac:dyDescent="0.3">
      <c r="A2829" s="23" t="s">
        <v>15699</v>
      </c>
      <c r="B2829" s="23"/>
      <c r="C2829" s="23" t="s">
        <v>9834</v>
      </c>
      <c r="D2829" s="23" t="str">
        <f t="shared" si="132"/>
        <v>ORD26004683</v>
      </c>
      <c r="E2829" s="38">
        <v>46280</v>
      </c>
      <c r="F2829" s="23" t="s">
        <v>12410</v>
      </c>
      <c r="G2829" s="23" t="s">
        <v>79</v>
      </c>
      <c r="H2829" s="24">
        <v>6297</v>
      </c>
      <c r="I2829" s="24">
        <v>100.75</v>
      </c>
      <c r="J2829" s="24">
        <v>18.14</v>
      </c>
      <c r="K2829" s="24">
        <v>6178.11</v>
      </c>
      <c r="L2829" s="38">
        <v>46282</v>
      </c>
      <c r="M2829" s="23" t="s">
        <v>206</v>
      </c>
      <c r="N2829" s="23" t="str">
        <f>IF(COUNTIF($A$2:A2829,A2829)&gt;1,"DUP","OK")</f>
        <v>OK</v>
      </c>
      <c r="O2829" s="23" t="str">
        <f t="shared" si="133"/>
        <v>ORD26004683</v>
      </c>
      <c r="P2829" s="23" t="str">
        <f t="shared" si="134"/>
        <v>Sep</v>
      </c>
      <c r="Q2829" s="23" t="str">
        <f>IF(F2829="CAPTURE",IF(COUNTIF(orders!$A:$A,O2829)&gt;0,"Yes","NO ORDER"),"")</f>
        <v>Yes</v>
      </c>
    </row>
    <row r="2830" spans="1:17" ht="15" customHeight="1" x14ac:dyDescent="0.3">
      <c r="A2830" s="23" t="s">
        <v>15700</v>
      </c>
      <c r="B2830" s="23"/>
      <c r="C2830" s="23" t="s">
        <v>9838</v>
      </c>
      <c r="D2830" s="23" t="str">
        <f t="shared" si="132"/>
        <v>ORD26004685</v>
      </c>
      <c r="E2830" s="38">
        <v>46280</v>
      </c>
      <c r="F2830" s="23" t="s">
        <v>12410</v>
      </c>
      <c r="G2830" s="23" t="s">
        <v>75</v>
      </c>
      <c r="H2830" s="24">
        <v>6897</v>
      </c>
      <c r="I2830" s="24">
        <v>20.69</v>
      </c>
      <c r="J2830" s="24">
        <v>3.72</v>
      </c>
      <c r="K2830" s="24">
        <v>6872.59</v>
      </c>
      <c r="L2830" s="38">
        <v>46282</v>
      </c>
      <c r="M2830" s="23" t="s">
        <v>206</v>
      </c>
      <c r="N2830" s="23" t="str">
        <f>IF(COUNTIF($A$2:A2830,A2830)&gt;1,"DUP","OK")</f>
        <v>OK</v>
      </c>
      <c r="O2830" s="23" t="str">
        <f t="shared" si="133"/>
        <v>ORD26004685</v>
      </c>
      <c r="P2830" s="23" t="str">
        <f t="shared" si="134"/>
        <v>Sep</v>
      </c>
      <c r="Q2830" s="23" t="str">
        <f>IF(F2830="CAPTURE",IF(COUNTIF(orders!$A:$A,O2830)&gt;0,"Yes","NO ORDER"),"")</f>
        <v>Yes</v>
      </c>
    </row>
    <row r="2831" spans="1:17" ht="15" customHeight="1" x14ac:dyDescent="0.3">
      <c r="A2831" s="23" t="s">
        <v>15701</v>
      </c>
      <c r="B2831" s="23"/>
      <c r="C2831" s="23" t="s">
        <v>9844</v>
      </c>
      <c r="D2831" s="23" t="str">
        <f t="shared" si="132"/>
        <v>ORD26004688</v>
      </c>
      <c r="E2831" s="38">
        <v>46280</v>
      </c>
      <c r="F2831" s="23" t="s">
        <v>12410</v>
      </c>
      <c r="G2831" s="23" t="s">
        <v>79</v>
      </c>
      <c r="H2831" s="24">
        <v>2098</v>
      </c>
      <c r="I2831" s="24">
        <v>33.57</v>
      </c>
      <c r="J2831" s="24">
        <v>6.04</v>
      </c>
      <c r="K2831" s="24">
        <v>2058.39</v>
      </c>
      <c r="L2831" s="38">
        <v>46282</v>
      </c>
      <c r="M2831" s="23" t="s">
        <v>206</v>
      </c>
      <c r="N2831" s="23" t="str">
        <f>IF(COUNTIF($A$2:A2831,A2831)&gt;1,"DUP","OK")</f>
        <v>OK</v>
      </c>
      <c r="O2831" s="23" t="str">
        <f t="shared" si="133"/>
        <v>ORD26004688</v>
      </c>
      <c r="P2831" s="23" t="str">
        <f t="shared" si="134"/>
        <v>Sep</v>
      </c>
      <c r="Q2831" s="23" t="str">
        <f>IF(F2831="CAPTURE",IF(COUNTIF(orders!$A:$A,O2831)&gt;0,"Yes","NO ORDER"),"")</f>
        <v>Yes</v>
      </c>
    </row>
    <row r="2832" spans="1:17" ht="15" customHeight="1" x14ac:dyDescent="0.3">
      <c r="A2832" s="23" t="s">
        <v>15702</v>
      </c>
      <c r="B2832" s="23"/>
      <c r="C2832" s="23" t="s">
        <v>9850</v>
      </c>
      <c r="D2832" s="23" t="str">
        <f t="shared" si="132"/>
        <v>ORD26004691</v>
      </c>
      <c r="E2832" s="38">
        <v>46280</v>
      </c>
      <c r="F2832" s="23" t="s">
        <v>12410</v>
      </c>
      <c r="G2832" s="23" t="s">
        <v>77</v>
      </c>
      <c r="H2832" s="24">
        <v>4999</v>
      </c>
      <c r="I2832" s="24">
        <v>84.98</v>
      </c>
      <c r="J2832" s="24">
        <v>15.3</v>
      </c>
      <c r="K2832" s="24">
        <v>4898.72</v>
      </c>
      <c r="L2832" s="38">
        <v>46282</v>
      </c>
      <c r="M2832" s="23" t="s">
        <v>206</v>
      </c>
      <c r="N2832" s="23" t="str">
        <f>IF(COUNTIF($A$2:A2832,A2832)&gt;1,"DUP","OK")</f>
        <v>OK</v>
      </c>
      <c r="O2832" s="23" t="str">
        <f t="shared" si="133"/>
        <v>ORD26004691</v>
      </c>
      <c r="P2832" s="23" t="str">
        <f t="shared" si="134"/>
        <v>Sep</v>
      </c>
      <c r="Q2832" s="23" t="str">
        <f>IF(F2832="CAPTURE",IF(COUNTIF(orders!$A:$A,O2832)&gt;0,"Yes","NO ORDER"),"")</f>
        <v>Yes</v>
      </c>
    </row>
    <row r="2833" spans="1:17" ht="15" customHeight="1" x14ac:dyDescent="0.3">
      <c r="A2833" s="23" t="s">
        <v>15703</v>
      </c>
      <c r="B2833" s="23"/>
      <c r="C2833" s="23" t="s">
        <v>9897</v>
      </c>
      <c r="D2833" s="23" t="str">
        <f t="shared" si="132"/>
        <v>ORD26004715</v>
      </c>
      <c r="E2833" s="38">
        <v>46280</v>
      </c>
      <c r="F2833" s="23" t="s">
        <v>12410</v>
      </c>
      <c r="G2833" s="23" t="s">
        <v>75</v>
      </c>
      <c r="H2833" s="24">
        <v>799</v>
      </c>
      <c r="I2833" s="24">
        <v>0</v>
      </c>
      <c r="J2833" s="24">
        <v>0</v>
      </c>
      <c r="K2833" s="24">
        <v>799</v>
      </c>
      <c r="L2833" s="38">
        <v>46282</v>
      </c>
      <c r="M2833" s="23" t="s">
        <v>206</v>
      </c>
      <c r="N2833" s="23" t="str">
        <f>IF(COUNTIF($A$2:A2833,A2833)&gt;1,"DUP","OK")</f>
        <v>OK</v>
      </c>
      <c r="O2833" s="23" t="str">
        <f t="shared" si="133"/>
        <v>ORD26004715</v>
      </c>
      <c r="P2833" s="23" t="str">
        <f t="shared" si="134"/>
        <v>Sep</v>
      </c>
      <c r="Q2833" s="23" t="str">
        <f>IF(F2833="CAPTURE",IF(COUNTIF(orders!$A:$A,O2833)&gt;0,"Yes","NO ORDER"),"")</f>
        <v>Yes</v>
      </c>
    </row>
    <row r="2834" spans="1:17" ht="15" customHeight="1" x14ac:dyDescent="0.3">
      <c r="A2834" s="23" t="s">
        <v>15704</v>
      </c>
      <c r="B2834" s="23"/>
      <c r="C2834" s="23" t="s">
        <v>10004</v>
      </c>
      <c r="D2834" s="23" t="str">
        <f t="shared" si="132"/>
        <v>ORD26004770</v>
      </c>
      <c r="E2834" s="38">
        <v>46280</v>
      </c>
      <c r="F2834" s="23" t="s">
        <v>12410</v>
      </c>
      <c r="G2834" s="23" t="s">
        <v>75</v>
      </c>
      <c r="H2834" s="24">
        <v>3298</v>
      </c>
      <c r="I2834" s="24">
        <v>9.89</v>
      </c>
      <c r="J2834" s="24">
        <v>1.78</v>
      </c>
      <c r="K2834" s="24">
        <v>3286.33</v>
      </c>
      <c r="L2834" s="38">
        <v>46282</v>
      </c>
      <c r="M2834" s="23" t="s">
        <v>206</v>
      </c>
      <c r="N2834" s="23" t="str">
        <f>IF(COUNTIF($A$2:A2834,A2834)&gt;1,"DUP","OK")</f>
        <v>OK</v>
      </c>
      <c r="O2834" s="23" t="str">
        <f t="shared" si="133"/>
        <v>ORD26004770</v>
      </c>
      <c r="P2834" s="23" t="str">
        <f t="shared" si="134"/>
        <v>Sep</v>
      </c>
      <c r="Q2834" s="23" t="str">
        <f>IF(F2834="CAPTURE",IF(COUNTIF(orders!$A:$A,O2834)&gt;0,"Yes","NO ORDER"),"")</f>
        <v>Yes</v>
      </c>
    </row>
    <row r="2835" spans="1:17" ht="15" customHeight="1" x14ac:dyDescent="0.3">
      <c r="A2835" s="23" t="s">
        <v>15705</v>
      </c>
      <c r="B2835" s="23"/>
      <c r="C2835" s="23" t="s">
        <v>10030</v>
      </c>
      <c r="D2835" s="23" t="str">
        <f t="shared" si="132"/>
        <v>ORD26004784</v>
      </c>
      <c r="E2835" s="38">
        <v>46280</v>
      </c>
      <c r="F2835" s="23" t="s">
        <v>12410</v>
      </c>
      <c r="G2835" s="23" t="s">
        <v>79</v>
      </c>
      <c r="H2835" s="24">
        <v>2598</v>
      </c>
      <c r="I2835" s="24">
        <v>41.57</v>
      </c>
      <c r="J2835" s="24">
        <v>7.48</v>
      </c>
      <c r="K2835" s="24">
        <v>2548.9499999999998</v>
      </c>
      <c r="L2835" s="38">
        <v>46282</v>
      </c>
      <c r="M2835" s="23" t="s">
        <v>206</v>
      </c>
      <c r="N2835" s="23" t="str">
        <f>IF(COUNTIF($A$2:A2835,A2835)&gt;1,"DUP","OK")</f>
        <v>OK</v>
      </c>
      <c r="O2835" s="23" t="str">
        <f t="shared" si="133"/>
        <v>ORD26004784</v>
      </c>
      <c r="P2835" s="23" t="str">
        <f t="shared" si="134"/>
        <v>Sep</v>
      </c>
      <c r="Q2835" s="23" t="str">
        <f>IF(F2835="CAPTURE",IF(COUNTIF(orders!$A:$A,O2835)&gt;0,"Yes","NO ORDER"),"")</f>
        <v>Yes</v>
      </c>
    </row>
    <row r="2836" spans="1:17" ht="15" customHeight="1" x14ac:dyDescent="0.3">
      <c r="A2836" s="23" t="s">
        <v>15706</v>
      </c>
      <c r="B2836" s="23"/>
      <c r="C2836" s="23" t="s">
        <v>15707</v>
      </c>
      <c r="D2836" s="23" t="str">
        <f t="shared" si="132"/>
        <v>ORD26004804</v>
      </c>
      <c r="E2836" s="38">
        <v>46280</v>
      </c>
      <c r="F2836" s="23" t="s">
        <v>12410</v>
      </c>
      <c r="G2836" s="23" t="s">
        <v>75</v>
      </c>
      <c r="H2836" s="24">
        <v>1299</v>
      </c>
      <c r="I2836" s="24">
        <v>0</v>
      </c>
      <c r="J2836" s="24">
        <v>0</v>
      </c>
      <c r="K2836" s="24">
        <v>1299</v>
      </c>
      <c r="L2836" s="38">
        <v>46282</v>
      </c>
      <c r="M2836" s="23" t="s">
        <v>206</v>
      </c>
      <c r="N2836" s="23" t="str">
        <f>IF(COUNTIF($A$2:A2836,A2836)&gt;1,"DUP","OK")</f>
        <v>OK</v>
      </c>
      <c r="O2836" s="23" t="str">
        <f t="shared" si="133"/>
        <v>ORD26004804</v>
      </c>
      <c r="P2836" s="23" t="str">
        <f t="shared" si="134"/>
        <v>Sep</v>
      </c>
      <c r="Q2836" s="23" t="str">
        <f>IF(F2836="CAPTURE",IF(COUNTIF(orders!$A:$A,O2836)&gt;0,"Yes","NO ORDER"),"")</f>
        <v>Yes</v>
      </c>
    </row>
    <row r="2837" spans="1:17" ht="15" customHeight="1" x14ac:dyDescent="0.3">
      <c r="A2837" s="23" t="s">
        <v>15708</v>
      </c>
      <c r="B2837" s="23"/>
      <c r="C2837" s="23" t="s">
        <v>15709</v>
      </c>
      <c r="D2837" s="23" t="str">
        <f t="shared" si="132"/>
        <v>ORD26004859</v>
      </c>
      <c r="E2837" s="38">
        <v>46280</v>
      </c>
      <c r="F2837" s="23" t="s">
        <v>12410</v>
      </c>
      <c r="G2837" s="23" t="s">
        <v>75</v>
      </c>
      <c r="H2837" s="24">
        <v>599</v>
      </c>
      <c r="I2837" s="24">
        <v>0</v>
      </c>
      <c r="J2837" s="24">
        <v>0</v>
      </c>
      <c r="K2837" s="24">
        <v>599</v>
      </c>
      <c r="L2837" s="38">
        <v>46282</v>
      </c>
      <c r="M2837" s="23" t="s">
        <v>206</v>
      </c>
      <c r="N2837" s="23" t="str">
        <f>IF(COUNTIF($A$2:A2837,A2837)&gt;1,"DUP","OK")</f>
        <v>OK</v>
      </c>
      <c r="O2837" s="23" t="str">
        <f t="shared" si="133"/>
        <v>ORD26004859</v>
      </c>
      <c r="P2837" s="23" t="str">
        <f t="shared" si="134"/>
        <v>Sep</v>
      </c>
      <c r="Q2837" s="23" t="str">
        <f>IF(F2837="CAPTURE",IF(COUNTIF(orders!$A:$A,O2837)&gt;0,"Yes","NO ORDER"),"")</f>
        <v>Yes</v>
      </c>
    </row>
    <row r="2838" spans="1:17" ht="15" customHeight="1" x14ac:dyDescent="0.3">
      <c r="A2838" s="23" t="s">
        <v>15710</v>
      </c>
      <c r="B2838" s="23"/>
      <c r="C2838" s="23" t="s">
        <v>15711</v>
      </c>
      <c r="D2838" s="23" t="str">
        <f t="shared" si="132"/>
        <v>ORD26004860</v>
      </c>
      <c r="E2838" s="38">
        <v>46280</v>
      </c>
      <c r="F2838" s="23" t="s">
        <v>12410</v>
      </c>
      <c r="G2838" s="23" t="s">
        <v>75</v>
      </c>
      <c r="H2838" s="24">
        <v>499</v>
      </c>
      <c r="I2838" s="24">
        <v>0</v>
      </c>
      <c r="J2838" s="24">
        <v>0</v>
      </c>
      <c r="K2838" s="24">
        <v>499</v>
      </c>
      <c r="L2838" s="38">
        <v>46282</v>
      </c>
      <c r="M2838" s="23" t="s">
        <v>206</v>
      </c>
      <c r="N2838" s="23" t="str">
        <f>IF(COUNTIF($A$2:A2838,A2838)&gt;1,"DUP","OK")</f>
        <v>OK</v>
      </c>
      <c r="O2838" s="23" t="str">
        <f t="shared" si="133"/>
        <v>ORD26004860</v>
      </c>
      <c r="P2838" s="23" t="str">
        <f t="shared" si="134"/>
        <v>Sep</v>
      </c>
      <c r="Q2838" s="23" t="str">
        <f>IF(F2838="CAPTURE",IF(COUNTIF(orders!$A:$A,O2838)&gt;0,"Yes","NO ORDER"),"")</f>
        <v>Yes</v>
      </c>
    </row>
    <row r="2839" spans="1:17" ht="15" customHeight="1" x14ac:dyDescent="0.3">
      <c r="A2839" s="23" t="s">
        <v>15712</v>
      </c>
      <c r="B2839" s="23"/>
      <c r="C2839" s="23" t="s">
        <v>15713</v>
      </c>
      <c r="D2839" s="23" t="str">
        <f t="shared" si="132"/>
        <v>ORD26004935</v>
      </c>
      <c r="E2839" s="38">
        <v>46280</v>
      </c>
      <c r="F2839" s="23" t="s">
        <v>12410</v>
      </c>
      <c r="G2839" s="23" t="s">
        <v>75</v>
      </c>
      <c r="H2839" s="24">
        <v>999</v>
      </c>
      <c r="I2839" s="24">
        <v>0</v>
      </c>
      <c r="J2839" s="24">
        <v>0</v>
      </c>
      <c r="K2839" s="24">
        <v>999</v>
      </c>
      <c r="L2839" s="38">
        <v>46282</v>
      </c>
      <c r="M2839" s="23" t="s">
        <v>206</v>
      </c>
      <c r="N2839" s="23" t="str">
        <f>IF(COUNTIF($A$2:A2839,A2839)&gt;1,"DUP","OK")</f>
        <v>OK</v>
      </c>
      <c r="O2839" s="23" t="str">
        <f t="shared" si="133"/>
        <v>ORD26004935</v>
      </c>
      <c r="P2839" s="23" t="str">
        <f t="shared" si="134"/>
        <v>Sep</v>
      </c>
      <c r="Q2839" s="23" t="str">
        <f>IF(F2839="CAPTURE",IF(COUNTIF(orders!$A:$A,O2839)&gt;0,"Yes","NO ORDER"),"")</f>
        <v>Yes</v>
      </c>
    </row>
    <row r="2840" spans="1:17" ht="15" customHeight="1" x14ac:dyDescent="0.3">
      <c r="A2840" s="23" t="s">
        <v>15714</v>
      </c>
      <c r="B2840" s="23"/>
      <c r="C2840" s="23" t="s">
        <v>10343</v>
      </c>
      <c r="D2840" s="23" t="str">
        <f t="shared" si="132"/>
        <v>ORD26004944</v>
      </c>
      <c r="E2840" s="38">
        <v>46280</v>
      </c>
      <c r="F2840" s="23" t="s">
        <v>12410</v>
      </c>
      <c r="G2840" s="23" t="s">
        <v>75</v>
      </c>
      <c r="H2840" s="24">
        <v>2797</v>
      </c>
      <c r="I2840" s="24">
        <v>8.39</v>
      </c>
      <c r="J2840" s="24">
        <v>1.51</v>
      </c>
      <c r="K2840" s="24">
        <v>2787.1</v>
      </c>
      <c r="L2840" s="38">
        <v>46282</v>
      </c>
      <c r="M2840" s="23" t="s">
        <v>206</v>
      </c>
      <c r="N2840" s="23" t="str">
        <f>IF(COUNTIF($A$2:A2840,A2840)&gt;1,"DUP","OK")</f>
        <v>OK</v>
      </c>
      <c r="O2840" s="23" t="str">
        <f t="shared" si="133"/>
        <v>ORD26004944</v>
      </c>
      <c r="P2840" s="23" t="str">
        <f t="shared" si="134"/>
        <v>Sep</v>
      </c>
      <c r="Q2840" s="23" t="str">
        <f>IF(F2840="CAPTURE",IF(COUNTIF(orders!$A:$A,O2840)&gt;0,"Yes","NO ORDER"),"")</f>
        <v>Yes</v>
      </c>
    </row>
    <row r="2841" spans="1:17" ht="15" customHeight="1" x14ac:dyDescent="0.3">
      <c r="A2841" s="23" t="s">
        <v>15715</v>
      </c>
      <c r="B2841" s="23"/>
      <c r="C2841" s="23" t="s">
        <v>10417</v>
      </c>
      <c r="D2841" s="23" t="str">
        <f t="shared" si="132"/>
        <v>ORD26004982</v>
      </c>
      <c r="E2841" s="38">
        <v>46280</v>
      </c>
      <c r="F2841" s="23" t="s">
        <v>12410</v>
      </c>
      <c r="G2841" s="23" t="s">
        <v>77</v>
      </c>
      <c r="H2841" s="24">
        <v>2148</v>
      </c>
      <c r="I2841" s="24">
        <v>36.520000000000003</v>
      </c>
      <c r="J2841" s="24">
        <v>6.57</v>
      </c>
      <c r="K2841" s="24">
        <v>2104.91</v>
      </c>
      <c r="L2841" s="38">
        <v>46282</v>
      </c>
      <c r="M2841" s="23" t="s">
        <v>206</v>
      </c>
      <c r="N2841" s="23" t="str">
        <f>IF(COUNTIF($A$2:A2841,A2841)&gt;1,"DUP","OK")</f>
        <v>OK</v>
      </c>
      <c r="O2841" s="23" t="str">
        <f t="shared" si="133"/>
        <v>ORD26004982</v>
      </c>
      <c r="P2841" s="23" t="str">
        <f t="shared" si="134"/>
        <v>Sep</v>
      </c>
      <c r="Q2841" s="23" t="str">
        <f>IF(F2841="CAPTURE",IF(COUNTIF(orders!$A:$A,O2841)&gt;0,"Yes","NO ORDER"),"")</f>
        <v>Yes</v>
      </c>
    </row>
    <row r="2842" spans="1:17" ht="15" customHeight="1" x14ac:dyDescent="0.3">
      <c r="A2842" s="23" t="s">
        <v>15716</v>
      </c>
      <c r="B2842" s="23"/>
      <c r="C2842" s="23" t="s">
        <v>10427</v>
      </c>
      <c r="D2842" s="23" t="str">
        <f t="shared" si="132"/>
        <v>ORD26004987</v>
      </c>
      <c r="E2842" s="38">
        <v>46280</v>
      </c>
      <c r="F2842" s="23" t="s">
        <v>12410</v>
      </c>
      <c r="G2842" s="23" t="s">
        <v>79</v>
      </c>
      <c r="H2842" s="24">
        <v>799</v>
      </c>
      <c r="I2842" s="24">
        <v>14.38</v>
      </c>
      <c r="J2842" s="24">
        <v>2.59</v>
      </c>
      <c r="K2842" s="24">
        <v>782.03</v>
      </c>
      <c r="L2842" s="38">
        <v>46282</v>
      </c>
      <c r="M2842" s="23" t="s">
        <v>206</v>
      </c>
      <c r="N2842" s="23" t="str">
        <f>IF(COUNTIF($A$2:A2842,A2842)&gt;1,"DUP","OK")</f>
        <v>OK</v>
      </c>
      <c r="O2842" s="23" t="str">
        <f t="shared" si="133"/>
        <v>ORD26004987</v>
      </c>
      <c r="P2842" s="23" t="str">
        <f t="shared" si="134"/>
        <v>Sep</v>
      </c>
      <c r="Q2842" s="23" t="str">
        <f>IF(F2842="CAPTURE",IF(COUNTIF(orders!$A:$A,O2842)&gt;0,"Yes","NO ORDER"),"")</f>
        <v>Yes</v>
      </c>
    </row>
    <row r="2843" spans="1:17" ht="15" customHeight="1" x14ac:dyDescent="0.3">
      <c r="A2843" s="23" t="s">
        <v>15717</v>
      </c>
      <c r="B2843" s="23"/>
      <c r="C2843" s="23" t="s">
        <v>10460</v>
      </c>
      <c r="D2843" s="23" t="str">
        <f t="shared" si="132"/>
        <v>ORD26005004</v>
      </c>
      <c r="E2843" s="38">
        <v>46280</v>
      </c>
      <c r="F2843" s="23" t="s">
        <v>12410</v>
      </c>
      <c r="G2843" s="23" t="s">
        <v>75</v>
      </c>
      <c r="H2843" s="24">
        <v>1798</v>
      </c>
      <c r="I2843" s="24">
        <v>0</v>
      </c>
      <c r="J2843" s="24">
        <v>0</v>
      </c>
      <c r="K2843" s="24">
        <v>1798</v>
      </c>
      <c r="L2843" s="38">
        <v>46282</v>
      </c>
      <c r="M2843" s="23" t="s">
        <v>206</v>
      </c>
      <c r="N2843" s="23" t="str">
        <f>IF(COUNTIF($A$2:A2843,A2843)&gt;1,"DUP","OK")</f>
        <v>OK</v>
      </c>
      <c r="O2843" s="23" t="str">
        <f t="shared" si="133"/>
        <v>ORD26005004</v>
      </c>
      <c r="P2843" s="23" t="str">
        <f t="shared" si="134"/>
        <v>Sep</v>
      </c>
      <c r="Q2843" s="23" t="str">
        <f>IF(F2843="CAPTURE",IF(COUNTIF(orders!$A:$A,O2843)&gt;0,"Yes","NO ORDER"),"")</f>
        <v>Yes</v>
      </c>
    </row>
    <row r="2844" spans="1:17" ht="15" customHeight="1" x14ac:dyDescent="0.3">
      <c r="A2844" s="23" t="s">
        <v>15718</v>
      </c>
      <c r="B2844" s="23"/>
      <c r="C2844" s="23" t="s">
        <v>10484</v>
      </c>
      <c r="D2844" s="23" t="str">
        <f t="shared" si="132"/>
        <v>ORD26005017</v>
      </c>
      <c r="E2844" s="38">
        <v>46280</v>
      </c>
      <c r="F2844" s="23" t="s">
        <v>12410</v>
      </c>
      <c r="G2844" s="23" t="s">
        <v>81</v>
      </c>
      <c r="H2844" s="24">
        <v>7999</v>
      </c>
      <c r="I2844" s="24">
        <v>95.99</v>
      </c>
      <c r="J2844" s="24">
        <v>17.28</v>
      </c>
      <c r="K2844" s="24">
        <v>7885.73</v>
      </c>
      <c r="L2844" s="38">
        <v>46282</v>
      </c>
      <c r="M2844" s="23" t="s">
        <v>206</v>
      </c>
      <c r="N2844" s="23" t="str">
        <f>IF(COUNTIF($A$2:A2844,A2844)&gt;1,"DUP","OK")</f>
        <v>OK</v>
      </c>
      <c r="O2844" s="23" t="str">
        <f t="shared" si="133"/>
        <v>ORD26005017</v>
      </c>
      <c r="P2844" s="23" t="str">
        <f t="shared" si="134"/>
        <v>Sep</v>
      </c>
      <c r="Q2844" s="23" t="str">
        <f>IF(F2844="CAPTURE",IF(COUNTIF(orders!$A:$A,O2844)&gt;0,"Yes","NO ORDER"),"")</f>
        <v>Yes</v>
      </c>
    </row>
    <row r="2845" spans="1:17" ht="15" customHeight="1" x14ac:dyDescent="0.3">
      <c r="A2845" s="23" t="s">
        <v>15719</v>
      </c>
      <c r="B2845" s="23"/>
      <c r="C2845" s="23" t="s">
        <v>10556</v>
      </c>
      <c r="D2845" s="23" t="str">
        <f t="shared" si="132"/>
        <v>ORD26005055</v>
      </c>
      <c r="E2845" s="38">
        <v>46280</v>
      </c>
      <c r="F2845" s="23" t="s">
        <v>12410</v>
      </c>
      <c r="G2845" s="23" t="s">
        <v>75</v>
      </c>
      <c r="H2845" s="24">
        <v>7999</v>
      </c>
      <c r="I2845" s="24">
        <v>24</v>
      </c>
      <c r="J2845" s="24">
        <v>4.32</v>
      </c>
      <c r="K2845" s="24">
        <v>7970.68</v>
      </c>
      <c r="L2845" s="38">
        <v>46282</v>
      </c>
      <c r="M2845" s="23" t="s">
        <v>206</v>
      </c>
      <c r="N2845" s="23" t="str">
        <f>IF(COUNTIF($A$2:A2845,A2845)&gt;1,"DUP","OK")</f>
        <v>OK</v>
      </c>
      <c r="O2845" s="23" t="str">
        <f t="shared" si="133"/>
        <v>ORD26005055</v>
      </c>
      <c r="P2845" s="23" t="str">
        <f t="shared" si="134"/>
        <v>Sep</v>
      </c>
      <c r="Q2845" s="23" t="str">
        <f>IF(F2845="CAPTURE",IF(COUNTIF(orders!$A:$A,O2845)&gt;0,"Yes","NO ORDER"),"")</f>
        <v>Yes</v>
      </c>
    </row>
    <row r="2846" spans="1:17" ht="15" customHeight="1" x14ac:dyDescent="0.3">
      <c r="A2846" s="23" t="s">
        <v>15720</v>
      </c>
      <c r="B2846" s="23"/>
      <c r="C2846" s="23" t="s">
        <v>10686</v>
      </c>
      <c r="D2846" s="23" t="str">
        <f t="shared" si="132"/>
        <v>ORD26005122</v>
      </c>
      <c r="E2846" s="38">
        <v>46280</v>
      </c>
      <c r="F2846" s="23" t="s">
        <v>12410</v>
      </c>
      <c r="G2846" s="23" t="s">
        <v>75</v>
      </c>
      <c r="H2846" s="24">
        <v>799</v>
      </c>
      <c r="I2846" s="24">
        <v>0</v>
      </c>
      <c r="J2846" s="24">
        <v>0</v>
      </c>
      <c r="K2846" s="24">
        <v>799</v>
      </c>
      <c r="L2846" s="38">
        <v>46282</v>
      </c>
      <c r="M2846" s="23" t="s">
        <v>206</v>
      </c>
      <c r="N2846" s="23" t="str">
        <f>IF(COUNTIF($A$2:A2846,A2846)&gt;1,"DUP","OK")</f>
        <v>OK</v>
      </c>
      <c r="O2846" s="23" t="str">
        <f t="shared" si="133"/>
        <v>ORD26005122</v>
      </c>
      <c r="P2846" s="23" t="str">
        <f t="shared" si="134"/>
        <v>Sep</v>
      </c>
      <c r="Q2846" s="23" t="str">
        <f>IF(F2846="CAPTURE",IF(COUNTIF(orders!$A:$A,O2846)&gt;0,"Yes","NO ORDER"),"")</f>
        <v>Yes</v>
      </c>
    </row>
    <row r="2847" spans="1:17" ht="15" customHeight="1" x14ac:dyDescent="0.3">
      <c r="A2847" s="23" t="s">
        <v>15721</v>
      </c>
      <c r="B2847" s="23"/>
      <c r="C2847" s="23" t="s">
        <v>10717</v>
      </c>
      <c r="D2847" s="23" t="str">
        <f t="shared" si="132"/>
        <v>ORD26005137</v>
      </c>
      <c r="E2847" s="38">
        <v>46280</v>
      </c>
      <c r="F2847" s="23" t="s">
        <v>12410</v>
      </c>
      <c r="G2847" s="23" t="s">
        <v>75</v>
      </c>
      <c r="H2847" s="24">
        <v>11847</v>
      </c>
      <c r="I2847" s="24">
        <v>35.54</v>
      </c>
      <c r="J2847" s="24">
        <v>6.4</v>
      </c>
      <c r="K2847" s="24">
        <v>11805.06</v>
      </c>
      <c r="L2847" s="38">
        <v>46282</v>
      </c>
      <c r="M2847" s="23" t="s">
        <v>206</v>
      </c>
      <c r="N2847" s="23" t="str">
        <f>IF(COUNTIF($A$2:A2847,A2847)&gt;1,"DUP","OK")</f>
        <v>OK</v>
      </c>
      <c r="O2847" s="23" t="str">
        <f t="shared" si="133"/>
        <v>ORD26005137</v>
      </c>
      <c r="P2847" s="23" t="str">
        <f t="shared" si="134"/>
        <v>Sep</v>
      </c>
      <c r="Q2847" s="23" t="str">
        <f>IF(F2847="CAPTURE",IF(COUNTIF(orders!$A:$A,O2847)&gt;0,"Yes","NO ORDER"),"")</f>
        <v>Yes</v>
      </c>
    </row>
    <row r="2848" spans="1:17" ht="15" customHeight="1" x14ac:dyDescent="0.3">
      <c r="A2848" s="23" t="s">
        <v>15722</v>
      </c>
      <c r="B2848" s="23"/>
      <c r="C2848" s="23" t="s">
        <v>10720</v>
      </c>
      <c r="D2848" s="23" t="str">
        <f t="shared" si="132"/>
        <v>ORD26005138</v>
      </c>
      <c r="E2848" s="38">
        <v>46280</v>
      </c>
      <c r="F2848" s="23" t="s">
        <v>12410</v>
      </c>
      <c r="G2848" s="23" t="s">
        <v>79</v>
      </c>
      <c r="H2848" s="24">
        <v>7998</v>
      </c>
      <c r="I2848" s="24">
        <v>127.97</v>
      </c>
      <c r="J2848" s="24">
        <v>23.03</v>
      </c>
      <c r="K2848" s="24">
        <v>7847</v>
      </c>
      <c r="L2848" s="38">
        <v>46282</v>
      </c>
      <c r="M2848" s="23" t="s">
        <v>206</v>
      </c>
      <c r="N2848" s="23" t="str">
        <f>IF(COUNTIF($A$2:A2848,A2848)&gt;1,"DUP","OK")</f>
        <v>OK</v>
      </c>
      <c r="O2848" s="23" t="str">
        <f t="shared" si="133"/>
        <v>ORD26005138</v>
      </c>
      <c r="P2848" s="23" t="str">
        <f t="shared" si="134"/>
        <v>Sep</v>
      </c>
      <c r="Q2848" s="23" t="str">
        <f>IF(F2848="CAPTURE",IF(COUNTIF(orders!$A:$A,O2848)&gt;0,"Yes","NO ORDER"),"")</f>
        <v>Yes</v>
      </c>
    </row>
    <row r="2849" spans="1:17" ht="15" customHeight="1" x14ac:dyDescent="0.3">
      <c r="A2849" s="23" t="s">
        <v>15723</v>
      </c>
      <c r="B2849" s="23"/>
      <c r="C2849" s="23" t="s">
        <v>10727</v>
      </c>
      <c r="D2849" s="23" t="str">
        <f t="shared" si="132"/>
        <v>ORD26005142</v>
      </c>
      <c r="E2849" s="38">
        <v>46280</v>
      </c>
      <c r="F2849" s="23" t="s">
        <v>12410</v>
      </c>
      <c r="G2849" s="23" t="s">
        <v>77</v>
      </c>
      <c r="H2849" s="24">
        <v>1499</v>
      </c>
      <c r="I2849" s="24">
        <v>28.48</v>
      </c>
      <c r="J2849" s="24">
        <v>5.13</v>
      </c>
      <c r="K2849" s="24">
        <v>1465.39</v>
      </c>
      <c r="L2849" s="38">
        <v>46282</v>
      </c>
      <c r="M2849" s="23" t="s">
        <v>206</v>
      </c>
      <c r="N2849" s="23" t="str">
        <f>IF(COUNTIF($A$2:A2849,A2849)&gt;1,"DUP","OK")</f>
        <v>OK</v>
      </c>
      <c r="O2849" s="23" t="str">
        <f t="shared" si="133"/>
        <v>ORD26005142</v>
      </c>
      <c r="P2849" s="23" t="str">
        <f t="shared" si="134"/>
        <v>Sep</v>
      </c>
      <c r="Q2849" s="23" t="str">
        <f>IF(F2849="CAPTURE",IF(COUNTIF(orders!$A:$A,O2849)&gt;0,"Yes","NO ORDER"),"")</f>
        <v>Yes</v>
      </c>
    </row>
    <row r="2850" spans="1:17" ht="15" customHeight="1" x14ac:dyDescent="0.3">
      <c r="A2850" s="23" t="s">
        <v>15724</v>
      </c>
      <c r="B2850" s="23"/>
      <c r="C2850" s="23" t="s">
        <v>10808</v>
      </c>
      <c r="D2850" s="23" t="str">
        <f t="shared" si="132"/>
        <v>ORD26005184</v>
      </c>
      <c r="E2850" s="38">
        <v>46280</v>
      </c>
      <c r="F2850" s="23" t="s">
        <v>12410</v>
      </c>
      <c r="G2850" s="23" t="s">
        <v>81</v>
      </c>
      <c r="H2850" s="24">
        <v>4999</v>
      </c>
      <c r="I2850" s="24">
        <v>59.99</v>
      </c>
      <c r="J2850" s="24">
        <v>10.8</v>
      </c>
      <c r="K2850" s="24">
        <v>4928.21</v>
      </c>
      <c r="L2850" s="38">
        <v>46282</v>
      </c>
      <c r="M2850" s="23" t="s">
        <v>206</v>
      </c>
      <c r="N2850" s="23" t="str">
        <f>IF(COUNTIF($A$2:A2850,A2850)&gt;1,"DUP","OK")</f>
        <v>OK</v>
      </c>
      <c r="O2850" s="23" t="str">
        <f t="shared" si="133"/>
        <v>ORD26005184</v>
      </c>
      <c r="P2850" s="23" t="str">
        <f t="shared" si="134"/>
        <v>Sep</v>
      </c>
      <c r="Q2850" s="23" t="str">
        <f>IF(F2850="CAPTURE",IF(COUNTIF(orders!$A:$A,O2850)&gt;0,"Yes","NO ORDER"),"")</f>
        <v>Yes</v>
      </c>
    </row>
    <row r="2851" spans="1:17" ht="15" customHeight="1" x14ac:dyDescent="0.3">
      <c r="A2851" s="23" t="s">
        <v>15725</v>
      </c>
      <c r="B2851" s="23"/>
      <c r="C2851" s="23" t="s">
        <v>10822</v>
      </c>
      <c r="D2851" s="23" t="str">
        <f t="shared" si="132"/>
        <v>ORD26005191</v>
      </c>
      <c r="E2851" s="38">
        <v>46280</v>
      </c>
      <c r="F2851" s="23" t="s">
        <v>12410</v>
      </c>
      <c r="G2851" s="23" t="s">
        <v>75</v>
      </c>
      <c r="H2851" s="24">
        <v>1499</v>
      </c>
      <c r="I2851" s="24">
        <v>0</v>
      </c>
      <c r="J2851" s="24">
        <v>0</v>
      </c>
      <c r="K2851" s="24">
        <v>1499</v>
      </c>
      <c r="L2851" s="38">
        <v>46282</v>
      </c>
      <c r="M2851" s="23" t="s">
        <v>206</v>
      </c>
      <c r="N2851" s="23" t="str">
        <f>IF(COUNTIF($A$2:A2851,A2851)&gt;1,"DUP","OK")</f>
        <v>OK</v>
      </c>
      <c r="O2851" s="23" t="str">
        <f t="shared" si="133"/>
        <v>ORD26005191</v>
      </c>
      <c r="P2851" s="23" t="str">
        <f t="shared" si="134"/>
        <v>Sep</v>
      </c>
      <c r="Q2851" s="23" t="str">
        <f>IF(F2851="CAPTURE",IF(COUNTIF(orders!$A:$A,O2851)&gt;0,"Yes","NO ORDER"),"")</f>
        <v>Yes</v>
      </c>
    </row>
    <row r="2852" spans="1:17" ht="15" customHeight="1" x14ac:dyDescent="0.3">
      <c r="A2852" s="23" t="s">
        <v>15726</v>
      </c>
      <c r="B2852" s="23"/>
      <c r="C2852" s="23" t="s">
        <v>15727</v>
      </c>
      <c r="D2852" s="23" t="str">
        <f t="shared" si="132"/>
        <v>ORD26005204</v>
      </c>
      <c r="E2852" s="38">
        <v>46280</v>
      </c>
      <c r="F2852" s="23" t="s">
        <v>12410</v>
      </c>
      <c r="G2852" s="23" t="s">
        <v>75</v>
      </c>
      <c r="H2852" s="24">
        <v>499</v>
      </c>
      <c r="I2852" s="24">
        <v>0</v>
      </c>
      <c r="J2852" s="24">
        <v>0</v>
      </c>
      <c r="K2852" s="24">
        <v>499</v>
      </c>
      <c r="L2852" s="38">
        <v>46282</v>
      </c>
      <c r="M2852" s="23" t="s">
        <v>206</v>
      </c>
      <c r="N2852" s="23" t="str">
        <f>IF(COUNTIF($A$2:A2852,A2852)&gt;1,"DUP","OK")</f>
        <v>OK</v>
      </c>
      <c r="O2852" s="23" t="str">
        <f t="shared" si="133"/>
        <v>ORD26005204</v>
      </c>
      <c r="P2852" s="23" t="str">
        <f t="shared" si="134"/>
        <v>Sep</v>
      </c>
      <c r="Q2852" s="23" t="str">
        <f>IF(F2852="CAPTURE",IF(COUNTIF(orders!$A:$A,O2852)&gt;0,"Yes","NO ORDER"),"")</f>
        <v>Yes</v>
      </c>
    </row>
    <row r="2853" spans="1:17" ht="15" customHeight="1" x14ac:dyDescent="0.3">
      <c r="A2853" s="23" t="s">
        <v>15728</v>
      </c>
      <c r="B2853" s="23"/>
      <c r="C2853" s="23" t="s">
        <v>11189</v>
      </c>
      <c r="D2853" s="23" t="str">
        <f t="shared" si="132"/>
        <v>ORD26005378</v>
      </c>
      <c r="E2853" s="38">
        <v>46280</v>
      </c>
      <c r="F2853" s="23" t="s">
        <v>12410</v>
      </c>
      <c r="G2853" s="23" t="s">
        <v>81</v>
      </c>
      <c r="H2853" s="24">
        <v>2347</v>
      </c>
      <c r="I2853" s="24">
        <v>28.16</v>
      </c>
      <c r="J2853" s="24">
        <v>5.07</v>
      </c>
      <c r="K2853" s="24">
        <v>2313.77</v>
      </c>
      <c r="L2853" s="38">
        <v>46282</v>
      </c>
      <c r="M2853" s="23" t="s">
        <v>206</v>
      </c>
      <c r="N2853" s="23" t="str">
        <f>IF(COUNTIF($A$2:A2853,A2853)&gt;1,"DUP","OK")</f>
        <v>OK</v>
      </c>
      <c r="O2853" s="23" t="str">
        <f t="shared" si="133"/>
        <v>ORD26005378</v>
      </c>
      <c r="P2853" s="23" t="str">
        <f t="shared" si="134"/>
        <v>Sep</v>
      </c>
      <c r="Q2853" s="23" t="str">
        <f>IF(F2853="CAPTURE",IF(COUNTIF(orders!$A:$A,O2853)&gt;0,"Yes","NO ORDER"),"")</f>
        <v>Yes</v>
      </c>
    </row>
    <row r="2854" spans="1:17" ht="15" customHeight="1" x14ac:dyDescent="0.3">
      <c r="A2854" s="23" t="s">
        <v>15729</v>
      </c>
      <c r="B2854" s="23"/>
      <c r="C2854" s="23" t="s">
        <v>11199</v>
      </c>
      <c r="D2854" s="23" t="str">
        <f t="shared" si="132"/>
        <v>ORD26005383</v>
      </c>
      <c r="E2854" s="38">
        <v>46280</v>
      </c>
      <c r="F2854" s="23" t="s">
        <v>12410</v>
      </c>
      <c r="G2854" s="23" t="s">
        <v>77</v>
      </c>
      <c r="H2854" s="24">
        <v>799</v>
      </c>
      <c r="I2854" s="24">
        <v>15.18</v>
      </c>
      <c r="J2854" s="24">
        <v>2.73</v>
      </c>
      <c r="K2854" s="24">
        <v>781.09</v>
      </c>
      <c r="L2854" s="38">
        <v>46282</v>
      </c>
      <c r="M2854" s="23" t="s">
        <v>206</v>
      </c>
      <c r="N2854" s="23" t="str">
        <f>IF(COUNTIF($A$2:A2854,A2854)&gt;1,"DUP","OK")</f>
        <v>OK</v>
      </c>
      <c r="O2854" s="23" t="str">
        <f t="shared" si="133"/>
        <v>ORD26005383</v>
      </c>
      <c r="P2854" s="23" t="str">
        <f t="shared" si="134"/>
        <v>Sep</v>
      </c>
      <c r="Q2854" s="23" t="str">
        <f>IF(F2854="CAPTURE",IF(COUNTIF(orders!$A:$A,O2854)&gt;0,"Yes","NO ORDER"),"")</f>
        <v>Yes</v>
      </c>
    </row>
    <row r="2855" spans="1:17" ht="15" customHeight="1" x14ac:dyDescent="0.3">
      <c r="A2855" s="23" t="s">
        <v>15730</v>
      </c>
      <c r="B2855" s="23"/>
      <c r="C2855" s="23" t="s">
        <v>11229</v>
      </c>
      <c r="D2855" s="23" t="str">
        <f t="shared" si="132"/>
        <v>ORD26005398</v>
      </c>
      <c r="E2855" s="38">
        <v>46280</v>
      </c>
      <c r="F2855" s="23" t="s">
        <v>12410</v>
      </c>
      <c r="G2855" s="23" t="s">
        <v>77</v>
      </c>
      <c r="H2855" s="24">
        <v>799</v>
      </c>
      <c r="I2855" s="24">
        <v>15.18</v>
      </c>
      <c r="J2855" s="24">
        <v>2.73</v>
      </c>
      <c r="K2855" s="24">
        <v>781.09</v>
      </c>
      <c r="L2855" s="38">
        <v>46282</v>
      </c>
      <c r="M2855" s="23" t="s">
        <v>206</v>
      </c>
      <c r="N2855" s="23" t="str">
        <f>IF(COUNTIF($A$2:A2855,A2855)&gt;1,"DUP","OK")</f>
        <v>OK</v>
      </c>
      <c r="O2855" s="23" t="str">
        <f t="shared" si="133"/>
        <v>ORD26005398</v>
      </c>
      <c r="P2855" s="23" t="str">
        <f t="shared" si="134"/>
        <v>Sep</v>
      </c>
      <c r="Q2855" s="23" t="str">
        <f>IF(F2855="CAPTURE",IF(COUNTIF(orders!$A:$A,O2855)&gt;0,"Yes","NO ORDER"),"")</f>
        <v>Yes</v>
      </c>
    </row>
    <row r="2856" spans="1:17" ht="15" customHeight="1" x14ac:dyDescent="0.3">
      <c r="A2856" s="23" t="s">
        <v>15731</v>
      </c>
      <c r="B2856" s="23"/>
      <c r="C2856" s="23" t="s">
        <v>11249</v>
      </c>
      <c r="D2856" s="23" t="str">
        <f t="shared" si="132"/>
        <v>ORD26005408</v>
      </c>
      <c r="E2856" s="38">
        <v>46280</v>
      </c>
      <c r="F2856" s="23" t="s">
        <v>12410</v>
      </c>
      <c r="G2856" s="23" t="s">
        <v>79</v>
      </c>
      <c r="H2856" s="24">
        <v>5598</v>
      </c>
      <c r="I2856" s="24">
        <v>89.57</v>
      </c>
      <c r="J2856" s="24">
        <v>16.12</v>
      </c>
      <c r="K2856" s="24">
        <v>5492.31</v>
      </c>
      <c r="L2856" s="38">
        <v>46282</v>
      </c>
      <c r="M2856" s="23" t="s">
        <v>206</v>
      </c>
      <c r="N2856" s="23" t="str">
        <f>IF(COUNTIF($A$2:A2856,A2856)&gt;1,"DUP","OK")</f>
        <v>OK</v>
      </c>
      <c r="O2856" s="23" t="str">
        <f t="shared" si="133"/>
        <v>ORD26005408</v>
      </c>
      <c r="P2856" s="23" t="str">
        <f t="shared" si="134"/>
        <v>Sep</v>
      </c>
      <c r="Q2856" s="23" t="str">
        <f>IF(F2856="CAPTURE",IF(COUNTIF(orders!$A:$A,O2856)&gt;0,"Yes","NO ORDER"),"")</f>
        <v>Yes</v>
      </c>
    </row>
    <row r="2857" spans="1:17" ht="15" customHeight="1" x14ac:dyDescent="0.3">
      <c r="A2857" s="23" t="s">
        <v>15732</v>
      </c>
      <c r="B2857" s="23"/>
      <c r="C2857" s="23" t="s">
        <v>11385</v>
      </c>
      <c r="D2857" s="23" t="str">
        <f t="shared" si="132"/>
        <v>ORD26005478</v>
      </c>
      <c r="E2857" s="38">
        <v>46280</v>
      </c>
      <c r="F2857" s="23" t="s">
        <v>12410</v>
      </c>
      <c r="G2857" s="23" t="s">
        <v>75</v>
      </c>
      <c r="H2857" s="24">
        <v>799</v>
      </c>
      <c r="I2857" s="24">
        <v>0</v>
      </c>
      <c r="J2857" s="24">
        <v>0</v>
      </c>
      <c r="K2857" s="24">
        <v>799</v>
      </c>
      <c r="L2857" s="38">
        <v>46282</v>
      </c>
      <c r="M2857" s="23" t="s">
        <v>206</v>
      </c>
      <c r="N2857" s="23" t="str">
        <f>IF(COUNTIF($A$2:A2857,A2857)&gt;1,"DUP","OK")</f>
        <v>OK</v>
      </c>
      <c r="O2857" s="23" t="str">
        <f t="shared" si="133"/>
        <v>ORD26005478</v>
      </c>
      <c r="P2857" s="23" t="str">
        <f t="shared" si="134"/>
        <v>Sep</v>
      </c>
      <c r="Q2857" s="23" t="str">
        <f>IF(F2857="CAPTURE",IF(COUNTIF(orders!$A:$A,O2857)&gt;0,"Yes","NO ORDER"),"")</f>
        <v>Yes</v>
      </c>
    </row>
    <row r="2858" spans="1:17" ht="15" customHeight="1" x14ac:dyDescent="0.3">
      <c r="A2858" s="23" t="s">
        <v>15733</v>
      </c>
      <c r="B2858" s="23"/>
      <c r="C2858" s="23" t="s">
        <v>11387</v>
      </c>
      <c r="D2858" s="23" t="str">
        <f t="shared" si="132"/>
        <v>ORD26005479</v>
      </c>
      <c r="E2858" s="38">
        <v>46280</v>
      </c>
      <c r="F2858" s="23" t="s">
        <v>12410</v>
      </c>
      <c r="G2858" s="23" t="s">
        <v>79</v>
      </c>
      <c r="H2858" s="24">
        <v>1947</v>
      </c>
      <c r="I2858" s="24">
        <v>35.049999999999997</v>
      </c>
      <c r="J2858" s="24">
        <v>6.31</v>
      </c>
      <c r="K2858" s="24">
        <v>1905.64</v>
      </c>
      <c r="L2858" s="38">
        <v>46282</v>
      </c>
      <c r="M2858" s="23" t="s">
        <v>206</v>
      </c>
      <c r="N2858" s="23" t="str">
        <f>IF(COUNTIF($A$2:A2858,A2858)&gt;1,"DUP","OK")</f>
        <v>OK</v>
      </c>
      <c r="O2858" s="23" t="str">
        <f t="shared" si="133"/>
        <v>ORD26005479</v>
      </c>
      <c r="P2858" s="23" t="str">
        <f t="shared" si="134"/>
        <v>Sep</v>
      </c>
      <c r="Q2858" s="23" t="str">
        <f>IF(F2858="CAPTURE",IF(COUNTIF(orders!$A:$A,O2858)&gt;0,"Yes","NO ORDER"),"")</f>
        <v>Yes</v>
      </c>
    </row>
    <row r="2859" spans="1:17" ht="15" customHeight="1" x14ac:dyDescent="0.3">
      <c r="A2859" s="23" t="s">
        <v>15734</v>
      </c>
      <c r="B2859" s="23"/>
      <c r="C2859" s="23" t="s">
        <v>11429</v>
      </c>
      <c r="D2859" s="23" t="str">
        <f t="shared" si="132"/>
        <v>ORD26005501</v>
      </c>
      <c r="E2859" s="38">
        <v>46280</v>
      </c>
      <c r="F2859" s="23" t="s">
        <v>12410</v>
      </c>
      <c r="G2859" s="23" t="s">
        <v>79</v>
      </c>
      <c r="H2859" s="24">
        <v>9097</v>
      </c>
      <c r="I2859" s="24">
        <v>145.55000000000001</v>
      </c>
      <c r="J2859" s="24">
        <v>26.2</v>
      </c>
      <c r="K2859" s="24">
        <v>8925.25</v>
      </c>
      <c r="L2859" s="38">
        <v>46282</v>
      </c>
      <c r="M2859" s="23" t="s">
        <v>206</v>
      </c>
      <c r="N2859" s="23" t="str">
        <f>IF(COUNTIF($A$2:A2859,A2859)&gt;1,"DUP","OK")</f>
        <v>OK</v>
      </c>
      <c r="O2859" s="23" t="str">
        <f t="shared" si="133"/>
        <v>ORD26005501</v>
      </c>
      <c r="P2859" s="23" t="str">
        <f t="shared" si="134"/>
        <v>Sep</v>
      </c>
      <c r="Q2859" s="23" t="str">
        <f>IF(F2859="CAPTURE",IF(COUNTIF(orders!$A:$A,O2859)&gt;0,"Yes","NO ORDER"),"")</f>
        <v>Yes</v>
      </c>
    </row>
    <row r="2860" spans="1:17" ht="15" customHeight="1" x14ac:dyDescent="0.3">
      <c r="A2860" s="23" t="s">
        <v>15735</v>
      </c>
      <c r="B2860" s="23"/>
      <c r="C2860" s="23" t="s">
        <v>11529</v>
      </c>
      <c r="D2860" s="23" t="str">
        <f t="shared" si="132"/>
        <v>ORD26005552</v>
      </c>
      <c r="E2860" s="38">
        <v>46280</v>
      </c>
      <c r="F2860" s="23" t="s">
        <v>12410</v>
      </c>
      <c r="G2860" s="23" t="s">
        <v>79</v>
      </c>
      <c r="H2860" s="24">
        <v>9498</v>
      </c>
      <c r="I2860" s="24">
        <v>151.97</v>
      </c>
      <c r="J2860" s="24">
        <v>27.35</v>
      </c>
      <c r="K2860" s="24">
        <v>9318.68</v>
      </c>
      <c r="L2860" s="38">
        <v>46282</v>
      </c>
      <c r="M2860" s="23" t="s">
        <v>206</v>
      </c>
      <c r="N2860" s="23" t="str">
        <f>IF(COUNTIF($A$2:A2860,A2860)&gt;1,"DUP","OK")</f>
        <v>OK</v>
      </c>
      <c r="O2860" s="23" t="str">
        <f t="shared" si="133"/>
        <v>ORD26005552</v>
      </c>
      <c r="P2860" s="23" t="str">
        <f t="shared" si="134"/>
        <v>Sep</v>
      </c>
      <c r="Q2860" s="23" t="str">
        <f>IF(F2860="CAPTURE",IF(COUNTIF(orders!$A:$A,O2860)&gt;0,"Yes","NO ORDER"),"")</f>
        <v>Yes</v>
      </c>
    </row>
    <row r="2861" spans="1:17" ht="15" customHeight="1" x14ac:dyDescent="0.3">
      <c r="A2861" s="23" t="s">
        <v>15736</v>
      </c>
      <c r="B2861" s="23"/>
      <c r="C2861" s="23" t="s">
        <v>11656</v>
      </c>
      <c r="D2861" s="23" t="str">
        <f t="shared" si="132"/>
        <v>ORD26005617</v>
      </c>
      <c r="E2861" s="38">
        <v>46280</v>
      </c>
      <c r="F2861" s="23" t="s">
        <v>12410</v>
      </c>
      <c r="G2861" s="23" t="s">
        <v>75</v>
      </c>
      <c r="H2861" s="24">
        <v>4999</v>
      </c>
      <c r="I2861" s="24">
        <v>15</v>
      </c>
      <c r="J2861" s="24">
        <v>2.7</v>
      </c>
      <c r="K2861" s="24">
        <v>4981.3</v>
      </c>
      <c r="L2861" s="38">
        <v>46282</v>
      </c>
      <c r="M2861" s="23" t="s">
        <v>206</v>
      </c>
      <c r="N2861" s="23" t="str">
        <f>IF(COUNTIF($A$2:A2861,A2861)&gt;1,"DUP","OK")</f>
        <v>OK</v>
      </c>
      <c r="O2861" s="23" t="str">
        <f t="shared" si="133"/>
        <v>ORD26005617</v>
      </c>
      <c r="P2861" s="23" t="str">
        <f t="shared" si="134"/>
        <v>Sep</v>
      </c>
      <c r="Q2861" s="23" t="str">
        <f>IF(F2861="CAPTURE",IF(COUNTIF(orders!$A:$A,O2861)&gt;0,"Yes","NO ORDER"),"")</f>
        <v>Yes</v>
      </c>
    </row>
    <row r="2862" spans="1:17" ht="15" customHeight="1" x14ac:dyDescent="0.3">
      <c r="A2862" s="23" t="s">
        <v>15737</v>
      </c>
      <c r="B2862" s="23"/>
      <c r="C2862" s="23" t="s">
        <v>11802</v>
      </c>
      <c r="D2862" s="23" t="str">
        <f t="shared" si="132"/>
        <v>ORD26005692</v>
      </c>
      <c r="E2862" s="38">
        <v>46280</v>
      </c>
      <c r="F2862" s="23" t="s">
        <v>12410</v>
      </c>
      <c r="G2862" s="23" t="s">
        <v>75</v>
      </c>
      <c r="H2862" s="24">
        <v>5998</v>
      </c>
      <c r="I2862" s="24">
        <v>17.989999999999998</v>
      </c>
      <c r="J2862" s="24">
        <v>3.24</v>
      </c>
      <c r="K2862" s="24">
        <v>5976.77</v>
      </c>
      <c r="L2862" s="38">
        <v>46282</v>
      </c>
      <c r="M2862" s="23" t="s">
        <v>206</v>
      </c>
      <c r="N2862" s="23" t="str">
        <f>IF(COUNTIF($A$2:A2862,A2862)&gt;1,"DUP","OK")</f>
        <v>OK</v>
      </c>
      <c r="O2862" s="23" t="str">
        <f t="shared" si="133"/>
        <v>ORD26005692</v>
      </c>
      <c r="P2862" s="23" t="str">
        <f t="shared" si="134"/>
        <v>Sep</v>
      </c>
      <c r="Q2862" s="23" t="str">
        <f>IF(F2862="CAPTURE",IF(COUNTIF(orders!$A:$A,O2862)&gt;0,"Yes","NO ORDER"),"")</f>
        <v>Yes</v>
      </c>
    </row>
    <row r="2863" spans="1:17" ht="15" customHeight="1" x14ac:dyDescent="0.3">
      <c r="A2863" s="23" t="s">
        <v>15738</v>
      </c>
      <c r="B2863" s="23"/>
      <c r="C2863" s="23" t="s">
        <v>11813</v>
      </c>
      <c r="D2863" s="23" t="str">
        <f t="shared" si="132"/>
        <v>ORD26005698</v>
      </c>
      <c r="E2863" s="38">
        <v>46280</v>
      </c>
      <c r="F2863" s="23" t="s">
        <v>12410</v>
      </c>
      <c r="G2863" s="23" t="s">
        <v>75</v>
      </c>
      <c r="H2863" s="24">
        <v>1848</v>
      </c>
      <c r="I2863" s="24">
        <v>0</v>
      </c>
      <c r="J2863" s="24">
        <v>0</v>
      </c>
      <c r="K2863" s="24">
        <v>1848</v>
      </c>
      <c r="L2863" s="38">
        <v>46282</v>
      </c>
      <c r="M2863" s="23" t="s">
        <v>206</v>
      </c>
      <c r="N2863" s="23" t="str">
        <f>IF(COUNTIF($A$2:A2863,A2863)&gt;1,"DUP","OK")</f>
        <v>OK</v>
      </c>
      <c r="O2863" s="23" t="str">
        <f t="shared" si="133"/>
        <v>ORD26005698</v>
      </c>
      <c r="P2863" s="23" t="str">
        <f t="shared" si="134"/>
        <v>Sep</v>
      </c>
      <c r="Q2863" s="23" t="str">
        <f>IF(F2863="CAPTURE",IF(COUNTIF(orders!$A:$A,O2863)&gt;0,"Yes","NO ORDER"),"")</f>
        <v>Yes</v>
      </c>
    </row>
    <row r="2864" spans="1:17" ht="15" customHeight="1" x14ac:dyDescent="0.3">
      <c r="A2864" s="23" t="s">
        <v>15739</v>
      </c>
      <c r="B2864" s="23"/>
      <c r="C2864" s="23" t="s">
        <v>11821</v>
      </c>
      <c r="D2864" s="23" t="str">
        <f t="shared" si="132"/>
        <v>ORD26005702</v>
      </c>
      <c r="E2864" s="38">
        <v>46280</v>
      </c>
      <c r="F2864" s="23" t="s">
        <v>12410</v>
      </c>
      <c r="G2864" s="23" t="s">
        <v>75</v>
      </c>
      <c r="H2864" s="24">
        <v>3499</v>
      </c>
      <c r="I2864" s="24">
        <v>10.5</v>
      </c>
      <c r="J2864" s="24">
        <v>1.89</v>
      </c>
      <c r="K2864" s="24">
        <v>3486.61</v>
      </c>
      <c r="L2864" s="38">
        <v>46282</v>
      </c>
      <c r="M2864" s="23" t="s">
        <v>206</v>
      </c>
      <c r="N2864" s="23" t="str">
        <f>IF(COUNTIF($A$2:A2864,A2864)&gt;1,"DUP","OK")</f>
        <v>OK</v>
      </c>
      <c r="O2864" s="23" t="str">
        <f t="shared" si="133"/>
        <v>ORD26005702</v>
      </c>
      <c r="P2864" s="23" t="str">
        <f t="shared" si="134"/>
        <v>Sep</v>
      </c>
      <c r="Q2864" s="23" t="str">
        <f>IF(F2864="CAPTURE",IF(COUNTIF(orders!$A:$A,O2864)&gt;0,"Yes","NO ORDER"),"")</f>
        <v>Yes</v>
      </c>
    </row>
    <row r="2865" spans="1:17" ht="15" customHeight="1" x14ac:dyDescent="0.3">
      <c r="A2865" s="23" t="s">
        <v>15740</v>
      </c>
      <c r="B2865" s="23"/>
      <c r="C2865" s="23" t="s">
        <v>11895</v>
      </c>
      <c r="D2865" s="23" t="str">
        <f t="shared" si="132"/>
        <v>ORD26005740</v>
      </c>
      <c r="E2865" s="38">
        <v>46280</v>
      </c>
      <c r="F2865" s="23" t="s">
        <v>12410</v>
      </c>
      <c r="G2865" s="23" t="s">
        <v>75</v>
      </c>
      <c r="H2865" s="24">
        <v>1499</v>
      </c>
      <c r="I2865" s="24">
        <v>0</v>
      </c>
      <c r="J2865" s="24">
        <v>0</v>
      </c>
      <c r="K2865" s="24">
        <v>1499</v>
      </c>
      <c r="L2865" s="38">
        <v>46282</v>
      </c>
      <c r="M2865" s="23" t="s">
        <v>206</v>
      </c>
      <c r="N2865" s="23" t="str">
        <f>IF(COUNTIF($A$2:A2865,A2865)&gt;1,"DUP","OK")</f>
        <v>OK</v>
      </c>
      <c r="O2865" s="23" t="str">
        <f t="shared" si="133"/>
        <v>ORD26005740</v>
      </c>
      <c r="P2865" s="23" t="str">
        <f t="shared" si="134"/>
        <v>Sep</v>
      </c>
      <c r="Q2865" s="23" t="str">
        <f>IF(F2865="CAPTURE",IF(COUNTIF(orders!$A:$A,O2865)&gt;0,"Yes","NO ORDER"),"")</f>
        <v>Yes</v>
      </c>
    </row>
    <row r="2866" spans="1:17" ht="15" customHeight="1" x14ac:dyDescent="0.3">
      <c r="A2866" s="23" t="s">
        <v>15741</v>
      </c>
      <c r="B2866" s="23"/>
      <c r="C2866" s="23" t="s">
        <v>15742</v>
      </c>
      <c r="D2866" s="23" t="str">
        <f t="shared" si="132"/>
        <v>ORD26005745</v>
      </c>
      <c r="E2866" s="38">
        <v>46280</v>
      </c>
      <c r="F2866" s="23" t="s">
        <v>12410</v>
      </c>
      <c r="G2866" s="23" t="s">
        <v>79</v>
      </c>
      <c r="H2866" s="24">
        <v>4999</v>
      </c>
      <c r="I2866" s="24">
        <v>79.98</v>
      </c>
      <c r="J2866" s="24">
        <v>14.4</v>
      </c>
      <c r="K2866" s="24">
        <v>4904.62</v>
      </c>
      <c r="L2866" s="38">
        <v>46282</v>
      </c>
      <c r="M2866" s="23" t="s">
        <v>206</v>
      </c>
      <c r="N2866" s="23" t="str">
        <f>IF(COUNTIF($A$2:A2866,A2866)&gt;1,"DUP","OK")</f>
        <v>OK</v>
      </c>
      <c r="O2866" s="23" t="str">
        <f t="shared" si="133"/>
        <v>ORD26005745</v>
      </c>
      <c r="P2866" s="23" t="str">
        <f t="shared" si="134"/>
        <v>Sep</v>
      </c>
      <c r="Q2866" s="23" t="str">
        <f>IF(F2866="CAPTURE",IF(COUNTIF(orders!$A:$A,O2866)&gt;0,"Yes","NO ORDER"),"")</f>
        <v>Yes</v>
      </c>
    </row>
    <row r="2867" spans="1:17" ht="15" customHeight="1" x14ac:dyDescent="0.3">
      <c r="A2867" s="23" t="s">
        <v>15743</v>
      </c>
      <c r="B2867" s="23"/>
      <c r="C2867" s="23" t="s">
        <v>11907</v>
      </c>
      <c r="D2867" s="23" t="str">
        <f t="shared" si="132"/>
        <v>ORD26005746</v>
      </c>
      <c r="E2867" s="38">
        <v>46280</v>
      </c>
      <c r="F2867" s="23" t="s">
        <v>12410</v>
      </c>
      <c r="G2867" s="23" t="s">
        <v>79</v>
      </c>
      <c r="H2867" s="24">
        <v>6797</v>
      </c>
      <c r="I2867" s="24">
        <v>108.75</v>
      </c>
      <c r="J2867" s="24">
        <v>19.579999999999998</v>
      </c>
      <c r="K2867" s="24">
        <v>6668.67</v>
      </c>
      <c r="L2867" s="38">
        <v>46282</v>
      </c>
      <c r="M2867" s="23" t="s">
        <v>206</v>
      </c>
      <c r="N2867" s="23" t="str">
        <f>IF(COUNTIF($A$2:A2867,A2867)&gt;1,"DUP","OK")</f>
        <v>OK</v>
      </c>
      <c r="O2867" s="23" t="str">
        <f t="shared" si="133"/>
        <v>ORD26005746</v>
      </c>
      <c r="P2867" s="23" t="str">
        <f t="shared" si="134"/>
        <v>Sep</v>
      </c>
      <c r="Q2867" s="23" t="str">
        <f>IF(F2867="CAPTURE",IF(COUNTIF(orders!$A:$A,O2867)&gt;0,"Yes","NO ORDER"),"")</f>
        <v>Yes</v>
      </c>
    </row>
    <row r="2868" spans="1:17" ht="15" customHeight="1" x14ac:dyDescent="0.3">
      <c r="A2868" s="23" t="s">
        <v>15744</v>
      </c>
      <c r="B2868" s="23"/>
      <c r="C2868" s="23" t="s">
        <v>11996</v>
      </c>
      <c r="D2868" s="23" t="str">
        <f t="shared" si="132"/>
        <v>ORD26005792</v>
      </c>
      <c r="E2868" s="38">
        <v>46280</v>
      </c>
      <c r="F2868" s="23" t="s">
        <v>12410</v>
      </c>
      <c r="G2868" s="23" t="s">
        <v>75</v>
      </c>
      <c r="H2868" s="24">
        <v>3598</v>
      </c>
      <c r="I2868" s="24">
        <v>10.79</v>
      </c>
      <c r="J2868" s="24">
        <v>1.94</v>
      </c>
      <c r="K2868" s="24">
        <v>3585.27</v>
      </c>
      <c r="L2868" s="38">
        <v>46282</v>
      </c>
      <c r="M2868" s="23" t="s">
        <v>206</v>
      </c>
      <c r="N2868" s="23" t="str">
        <f>IF(COUNTIF($A$2:A2868,A2868)&gt;1,"DUP","OK")</f>
        <v>OK</v>
      </c>
      <c r="O2868" s="23" t="str">
        <f t="shared" si="133"/>
        <v>ORD26005792</v>
      </c>
      <c r="P2868" s="23" t="str">
        <f t="shared" si="134"/>
        <v>Sep</v>
      </c>
      <c r="Q2868" s="23" t="str">
        <f>IF(F2868="CAPTURE",IF(COUNTIF(orders!$A:$A,O2868)&gt;0,"Yes","NO ORDER"),"")</f>
        <v>Yes</v>
      </c>
    </row>
    <row r="2869" spans="1:17" ht="15" customHeight="1" x14ac:dyDescent="0.3">
      <c r="A2869" s="23" t="s">
        <v>15745</v>
      </c>
      <c r="B2869" s="23"/>
      <c r="C2869" s="23" t="s">
        <v>15746</v>
      </c>
      <c r="D2869" s="23" t="str">
        <f t="shared" si="132"/>
        <v>ORD26005891</v>
      </c>
      <c r="E2869" s="38">
        <v>46280</v>
      </c>
      <c r="F2869" s="23" t="s">
        <v>12410</v>
      </c>
      <c r="G2869" s="23" t="s">
        <v>75</v>
      </c>
      <c r="H2869" s="24">
        <v>1697</v>
      </c>
      <c r="I2869" s="24">
        <v>0</v>
      </c>
      <c r="J2869" s="24">
        <v>0</v>
      </c>
      <c r="K2869" s="24">
        <v>1697</v>
      </c>
      <c r="L2869" s="38">
        <v>46282</v>
      </c>
      <c r="M2869" s="23" t="s">
        <v>206</v>
      </c>
      <c r="N2869" s="23" t="str">
        <f>IF(COUNTIF($A$2:A2869,A2869)&gt;1,"DUP","OK")</f>
        <v>OK</v>
      </c>
      <c r="O2869" s="23" t="str">
        <f t="shared" si="133"/>
        <v>ORD26005891</v>
      </c>
      <c r="P2869" s="23" t="str">
        <f t="shared" si="134"/>
        <v>Sep</v>
      </c>
      <c r="Q2869" s="23" t="str">
        <f>IF(F2869="CAPTURE",IF(COUNTIF(orders!$A:$A,O2869)&gt;0,"Yes","NO ORDER"),"")</f>
        <v>Yes</v>
      </c>
    </row>
    <row r="2870" spans="1:17" ht="15" customHeight="1" x14ac:dyDescent="0.3">
      <c r="A2870" s="23" t="s">
        <v>15747</v>
      </c>
      <c r="B2870" s="23"/>
      <c r="C2870" s="23" t="s">
        <v>12214</v>
      </c>
      <c r="D2870" s="23" t="str">
        <f t="shared" si="132"/>
        <v>ORD26005907</v>
      </c>
      <c r="E2870" s="38">
        <v>46280</v>
      </c>
      <c r="F2870" s="23" t="s">
        <v>12410</v>
      </c>
      <c r="G2870" s="23" t="s">
        <v>81</v>
      </c>
      <c r="H2870" s="24">
        <v>5998</v>
      </c>
      <c r="I2870" s="24">
        <v>71.98</v>
      </c>
      <c r="J2870" s="24">
        <v>12.96</v>
      </c>
      <c r="K2870" s="24">
        <v>5913.06</v>
      </c>
      <c r="L2870" s="38">
        <v>46282</v>
      </c>
      <c r="M2870" s="23" t="s">
        <v>206</v>
      </c>
      <c r="N2870" s="23" t="str">
        <f>IF(COUNTIF($A$2:A2870,A2870)&gt;1,"DUP","OK")</f>
        <v>OK</v>
      </c>
      <c r="O2870" s="23" t="str">
        <f t="shared" si="133"/>
        <v>ORD26005907</v>
      </c>
      <c r="P2870" s="23" t="str">
        <f t="shared" si="134"/>
        <v>Sep</v>
      </c>
      <c r="Q2870" s="23" t="str">
        <f>IF(F2870="CAPTURE",IF(COUNTIF(orders!$A:$A,O2870)&gt;0,"Yes","NO ORDER"),"")</f>
        <v>Yes</v>
      </c>
    </row>
    <row r="2871" spans="1:17" ht="15" customHeight="1" x14ac:dyDescent="0.3">
      <c r="A2871" s="23" t="s">
        <v>15748</v>
      </c>
      <c r="B2871" s="23"/>
      <c r="C2871" s="23" t="s">
        <v>12297</v>
      </c>
      <c r="D2871" s="23" t="str">
        <f t="shared" si="132"/>
        <v>ORD26005951</v>
      </c>
      <c r="E2871" s="38">
        <v>46280</v>
      </c>
      <c r="F2871" s="23" t="s">
        <v>12410</v>
      </c>
      <c r="G2871" s="23" t="s">
        <v>77</v>
      </c>
      <c r="H2871" s="24">
        <v>698</v>
      </c>
      <c r="I2871" s="24">
        <v>13.26</v>
      </c>
      <c r="J2871" s="24">
        <v>2.39</v>
      </c>
      <c r="K2871" s="24">
        <v>682.35</v>
      </c>
      <c r="L2871" s="38">
        <v>46282</v>
      </c>
      <c r="M2871" s="23" t="s">
        <v>206</v>
      </c>
      <c r="N2871" s="23" t="str">
        <f>IF(COUNTIF($A$2:A2871,A2871)&gt;1,"DUP","OK")</f>
        <v>OK</v>
      </c>
      <c r="O2871" s="23" t="str">
        <f t="shared" si="133"/>
        <v>ORD26005951</v>
      </c>
      <c r="P2871" s="23" t="str">
        <f t="shared" si="134"/>
        <v>Sep</v>
      </c>
      <c r="Q2871" s="23" t="str">
        <f>IF(F2871="CAPTURE",IF(COUNTIF(orders!$A:$A,O2871)&gt;0,"Yes","NO ORDER"),"")</f>
        <v>Yes</v>
      </c>
    </row>
    <row r="2872" spans="1:17" ht="15" customHeight="1" x14ac:dyDescent="0.3">
      <c r="A2872" s="23" t="s">
        <v>15749</v>
      </c>
      <c r="B2872" s="23"/>
      <c r="C2872" s="23" t="s">
        <v>12318</v>
      </c>
      <c r="D2872" s="23" t="str">
        <f t="shared" si="132"/>
        <v>ORD26005962</v>
      </c>
      <c r="E2872" s="38">
        <v>46280</v>
      </c>
      <c r="F2872" s="23" t="s">
        <v>12410</v>
      </c>
      <c r="G2872" s="23" t="s">
        <v>77</v>
      </c>
      <c r="H2872" s="24">
        <v>1499</v>
      </c>
      <c r="I2872" s="24">
        <v>28.48</v>
      </c>
      <c r="J2872" s="24">
        <v>5.13</v>
      </c>
      <c r="K2872" s="24">
        <v>1465.39</v>
      </c>
      <c r="L2872" s="38">
        <v>46282</v>
      </c>
      <c r="M2872" s="23" t="s">
        <v>206</v>
      </c>
      <c r="N2872" s="23" t="str">
        <f>IF(COUNTIF($A$2:A2872,A2872)&gt;1,"DUP","OK")</f>
        <v>OK</v>
      </c>
      <c r="O2872" s="23" t="str">
        <f t="shared" si="133"/>
        <v>ORD26005962</v>
      </c>
      <c r="P2872" s="23" t="str">
        <f t="shared" si="134"/>
        <v>Sep</v>
      </c>
      <c r="Q2872" s="23" t="str">
        <f>IF(F2872="CAPTURE",IF(COUNTIF(orders!$A:$A,O2872)&gt;0,"Yes","NO ORDER"),"")</f>
        <v>Yes</v>
      </c>
    </row>
    <row r="2873" spans="1:17" ht="15" customHeight="1" x14ac:dyDescent="0.3">
      <c r="A2873" s="23" t="s">
        <v>15750</v>
      </c>
      <c r="B2873" s="23"/>
      <c r="C2873" s="23" t="s">
        <v>12340</v>
      </c>
      <c r="D2873" s="23" t="str">
        <f t="shared" si="132"/>
        <v>ORD26005974</v>
      </c>
      <c r="E2873" s="38">
        <v>46280</v>
      </c>
      <c r="F2873" s="23" t="s">
        <v>12410</v>
      </c>
      <c r="G2873" s="23" t="s">
        <v>75</v>
      </c>
      <c r="H2873" s="24">
        <v>1648</v>
      </c>
      <c r="I2873" s="24">
        <v>0</v>
      </c>
      <c r="J2873" s="24">
        <v>0</v>
      </c>
      <c r="K2873" s="24">
        <v>1648</v>
      </c>
      <c r="L2873" s="38">
        <v>46282</v>
      </c>
      <c r="M2873" s="23" t="s">
        <v>206</v>
      </c>
      <c r="N2873" s="23" t="str">
        <f>IF(COUNTIF($A$2:A2873,A2873)&gt;1,"DUP","OK")</f>
        <v>OK</v>
      </c>
      <c r="O2873" s="23" t="str">
        <f t="shared" si="133"/>
        <v>ORD26005974</v>
      </c>
      <c r="P2873" s="23" t="str">
        <f t="shared" si="134"/>
        <v>Sep</v>
      </c>
      <c r="Q2873" s="23" t="str">
        <f>IF(F2873="CAPTURE",IF(COUNTIF(orders!$A:$A,O2873)&gt;0,"Yes","NO ORDER"),"")</f>
        <v>Yes</v>
      </c>
    </row>
    <row r="2874" spans="1:17" ht="15" customHeight="1" x14ac:dyDescent="0.3">
      <c r="A2874" s="23" t="s">
        <v>15751</v>
      </c>
      <c r="B2874" s="23" t="s">
        <v>15303</v>
      </c>
      <c r="C2874" s="23"/>
      <c r="D2874" s="23" t="str">
        <f t="shared" si="132"/>
        <v/>
      </c>
      <c r="E2874" s="38">
        <v>46280</v>
      </c>
      <c r="F2874" s="23" t="s">
        <v>12791</v>
      </c>
      <c r="G2874" s="23" t="s">
        <v>77</v>
      </c>
      <c r="H2874" s="24">
        <v>599</v>
      </c>
      <c r="I2874" s="24">
        <v>0</v>
      </c>
      <c r="J2874" s="24">
        <v>0</v>
      </c>
      <c r="K2874" s="24">
        <v>-599</v>
      </c>
      <c r="L2874" s="38">
        <v>46282</v>
      </c>
      <c r="M2874" s="23" t="s">
        <v>206</v>
      </c>
      <c r="N2874" s="23" t="str">
        <f>IF(COUNTIF($A$2:A2874,A2874)&gt;1,"DUP","OK")</f>
        <v>OK</v>
      </c>
      <c r="O2874" s="23" t="str">
        <f t="shared" si="133"/>
        <v>ORD26000139</v>
      </c>
      <c r="P2874" s="23" t="str">
        <f t="shared" si="134"/>
        <v>Sep</v>
      </c>
      <c r="Q2874" s="23" t="str">
        <f>IF(F2874="CAPTURE",IF(COUNTIF(orders!$A:$A,O2874)&gt;0,"Yes","NO ORDER"),"")</f>
        <v/>
      </c>
    </row>
    <row r="2875" spans="1:17" ht="15" customHeight="1" x14ac:dyDescent="0.3">
      <c r="A2875" s="23" t="s">
        <v>15752</v>
      </c>
      <c r="B2875" s="23" t="s">
        <v>14612</v>
      </c>
      <c r="C2875" s="23"/>
      <c r="D2875" s="23" t="str">
        <f t="shared" si="132"/>
        <v/>
      </c>
      <c r="E2875" s="38">
        <v>46280</v>
      </c>
      <c r="F2875" s="23" t="s">
        <v>12791</v>
      </c>
      <c r="G2875" s="23" t="s">
        <v>75</v>
      </c>
      <c r="H2875" s="24">
        <v>2499</v>
      </c>
      <c r="I2875" s="24">
        <v>0</v>
      </c>
      <c r="J2875" s="24">
        <v>0</v>
      </c>
      <c r="K2875" s="24">
        <v>-2499</v>
      </c>
      <c r="L2875" s="38">
        <v>46282</v>
      </c>
      <c r="M2875" s="23" t="s">
        <v>206</v>
      </c>
      <c r="N2875" s="23" t="str">
        <f>IF(COUNTIF($A$2:A2875,A2875)&gt;1,"DUP","OK")</f>
        <v>OK</v>
      </c>
      <c r="O2875" s="23" t="str">
        <f t="shared" si="133"/>
        <v>ORD26001624</v>
      </c>
      <c r="P2875" s="23" t="str">
        <f t="shared" si="134"/>
        <v>Sep</v>
      </c>
      <c r="Q2875" s="23" t="str">
        <f>IF(F2875="CAPTURE",IF(COUNTIF(orders!$A:$A,O2875)&gt;0,"Yes","NO ORDER"),"")</f>
        <v/>
      </c>
    </row>
    <row r="2876" spans="1:17" ht="15" customHeight="1" x14ac:dyDescent="0.3">
      <c r="A2876" s="23" t="s">
        <v>15753</v>
      </c>
      <c r="B2876" s="23" t="s">
        <v>15158</v>
      </c>
      <c r="C2876" s="23"/>
      <c r="D2876" s="23" t="str">
        <f t="shared" si="132"/>
        <v/>
      </c>
      <c r="E2876" s="38">
        <v>46280</v>
      </c>
      <c r="F2876" s="23" t="s">
        <v>12791</v>
      </c>
      <c r="G2876" s="23" t="s">
        <v>75</v>
      </c>
      <c r="H2876" s="24">
        <v>2499</v>
      </c>
      <c r="I2876" s="24">
        <v>0</v>
      </c>
      <c r="J2876" s="24">
        <v>0</v>
      </c>
      <c r="K2876" s="24">
        <v>-2499</v>
      </c>
      <c r="L2876" s="38">
        <v>46282</v>
      </c>
      <c r="M2876" s="23" t="s">
        <v>206</v>
      </c>
      <c r="N2876" s="23" t="str">
        <f>IF(COUNTIF($A$2:A2876,A2876)&gt;1,"DUP","OK")</f>
        <v>OK</v>
      </c>
      <c r="O2876" s="23" t="str">
        <f t="shared" si="133"/>
        <v>ORD26002982</v>
      </c>
      <c r="P2876" s="23" t="str">
        <f t="shared" si="134"/>
        <v>Sep</v>
      </c>
      <c r="Q2876" s="23" t="str">
        <f>IF(F2876="CAPTURE",IF(COUNTIF(orders!$A:$A,O2876)&gt;0,"Yes","NO ORDER"),"")</f>
        <v/>
      </c>
    </row>
    <row r="2877" spans="1:17" ht="15" customHeight="1" x14ac:dyDescent="0.3">
      <c r="A2877" s="23" t="s">
        <v>15754</v>
      </c>
      <c r="B2877" s="23" t="s">
        <v>15494</v>
      </c>
      <c r="C2877" s="23"/>
      <c r="D2877" s="23" t="str">
        <f t="shared" si="132"/>
        <v/>
      </c>
      <c r="E2877" s="38">
        <v>46280</v>
      </c>
      <c r="F2877" s="23" t="s">
        <v>12791</v>
      </c>
      <c r="G2877" s="23" t="s">
        <v>81</v>
      </c>
      <c r="H2877" s="24">
        <v>3499</v>
      </c>
      <c r="I2877" s="24">
        <v>0</v>
      </c>
      <c r="J2877" s="24">
        <v>0</v>
      </c>
      <c r="K2877" s="24">
        <v>-3499</v>
      </c>
      <c r="L2877" s="38">
        <v>46282</v>
      </c>
      <c r="M2877" s="23" t="s">
        <v>206</v>
      </c>
      <c r="N2877" s="23" t="str">
        <f>IF(COUNTIF($A$2:A2877,A2877)&gt;1,"DUP","OK")</f>
        <v>OK</v>
      </c>
      <c r="O2877" s="23" t="str">
        <f t="shared" si="133"/>
        <v>ORD26005326</v>
      </c>
      <c r="P2877" s="23" t="str">
        <f t="shared" si="134"/>
        <v>Sep</v>
      </c>
      <c r="Q2877" s="23" t="str">
        <f>IF(F2877="CAPTURE",IF(COUNTIF(orders!$A:$A,O2877)&gt;0,"Yes","NO ORDER"),"")</f>
        <v/>
      </c>
    </row>
    <row r="2878" spans="1:17" ht="15" customHeight="1" x14ac:dyDescent="0.3">
      <c r="A2878" s="23" t="s">
        <v>15755</v>
      </c>
      <c r="B2878" s="23" t="s">
        <v>14702</v>
      </c>
      <c r="C2878" s="23"/>
      <c r="D2878" s="23" t="str">
        <f t="shared" si="132"/>
        <v/>
      </c>
      <c r="E2878" s="38">
        <v>46280</v>
      </c>
      <c r="F2878" s="23" t="s">
        <v>12791</v>
      </c>
      <c r="G2878" s="23" t="s">
        <v>75</v>
      </c>
      <c r="H2878" s="24">
        <v>599</v>
      </c>
      <c r="I2878" s="24">
        <v>0</v>
      </c>
      <c r="J2878" s="24">
        <v>0</v>
      </c>
      <c r="K2878" s="24">
        <v>-599</v>
      </c>
      <c r="L2878" s="38">
        <v>46282</v>
      </c>
      <c r="M2878" s="23" t="s">
        <v>206</v>
      </c>
      <c r="N2878" s="23" t="str">
        <f>IF(COUNTIF($A$2:A2878,A2878)&gt;1,"DUP","OK")</f>
        <v>OK</v>
      </c>
      <c r="O2878" s="23" t="str">
        <f t="shared" si="133"/>
        <v>ORD26003779</v>
      </c>
      <c r="P2878" s="23" t="str">
        <f t="shared" si="134"/>
        <v>Sep</v>
      </c>
      <c r="Q2878" s="23" t="str">
        <f>IF(F2878="CAPTURE",IF(COUNTIF(orders!$A:$A,O2878)&gt;0,"Yes","NO ORDER"),"")</f>
        <v/>
      </c>
    </row>
    <row r="2879" spans="1:17" ht="15" customHeight="1" x14ac:dyDescent="0.3">
      <c r="A2879" s="23" t="s">
        <v>15756</v>
      </c>
      <c r="B2879" s="23" t="s">
        <v>15355</v>
      </c>
      <c r="C2879" s="23"/>
      <c r="D2879" s="23" t="str">
        <f t="shared" si="132"/>
        <v/>
      </c>
      <c r="E2879" s="38">
        <v>46280</v>
      </c>
      <c r="F2879" s="23" t="s">
        <v>12791</v>
      </c>
      <c r="G2879" s="23" t="s">
        <v>79</v>
      </c>
      <c r="H2879" s="24">
        <v>1798</v>
      </c>
      <c r="I2879" s="24">
        <v>0</v>
      </c>
      <c r="J2879" s="24">
        <v>0</v>
      </c>
      <c r="K2879" s="24">
        <v>-1798</v>
      </c>
      <c r="L2879" s="38">
        <v>46282</v>
      </c>
      <c r="M2879" s="23" t="s">
        <v>206</v>
      </c>
      <c r="N2879" s="23" t="str">
        <f>IF(COUNTIF($A$2:A2879,A2879)&gt;1,"DUP","OK")</f>
        <v>OK</v>
      </c>
      <c r="O2879" s="23" t="str">
        <f t="shared" si="133"/>
        <v>ORD26001530</v>
      </c>
      <c r="P2879" s="23" t="str">
        <f t="shared" si="134"/>
        <v>Sep</v>
      </c>
      <c r="Q2879" s="23" t="str">
        <f>IF(F2879="CAPTURE",IF(COUNTIF(orders!$A:$A,O2879)&gt;0,"Yes","NO ORDER"),"")</f>
        <v/>
      </c>
    </row>
    <row r="2880" spans="1:17" ht="15" customHeight="1" x14ac:dyDescent="0.3">
      <c r="A2880" s="23" t="s">
        <v>15757</v>
      </c>
      <c r="B2880" s="23" t="s">
        <v>15382</v>
      </c>
      <c r="C2880" s="23"/>
      <c r="D2880" s="23" t="str">
        <f t="shared" si="132"/>
        <v/>
      </c>
      <c r="E2880" s="38">
        <v>46280</v>
      </c>
      <c r="F2880" s="23" t="s">
        <v>12791</v>
      </c>
      <c r="G2880" s="23" t="s">
        <v>79</v>
      </c>
      <c r="H2880" s="24">
        <v>999</v>
      </c>
      <c r="I2880" s="24">
        <v>0</v>
      </c>
      <c r="J2880" s="24">
        <v>0</v>
      </c>
      <c r="K2880" s="24">
        <v>-999</v>
      </c>
      <c r="L2880" s="38">
        <v>46282</v>
      </c>
      <c r="M2880" s="23" t="s">
        <v>206</v>
      </c>
      <c r="N2880" s="23" t="str">
        <f>IF(COUNTIF($A$2:A2880,A2880)&gt;1,"DUP","OK")</f>
        <v>OK</v>
      </c>
      <c r="O2880" s="23" t="str">
        <f t="shared" si="133"/>
        <v>ORD26001949</v>
      </c>
      <c r="P2880" s="23" t="str">
        <f t="shared" si="134"/>
        <v>Sep</v>
      </c>
      <c r="Q2880" s="23" t="str">
        <f>IF(F2880="CAPTURE",IF(COUNTIF(orders!$A:$A,O2880)&gt;0,"Yes","NO ORDER"),"")</f>
        <v/>
      </c>
    </row>
    <row r="2881" spans="1:17" ht="15" customHeight="1" x14ac:dyDescent="0.3">
      <c r="A2881" s="23" t="s">
        <v>15758</v>
      </c>
      <c r="B2881" s="23" t="s">
        <v>14868</v>
      </c>
      <c r="C2881" s="23"/>
      <c r="D2881" s="23" t="str">
        <f t="shared" si="132"/>
        <v/>
      </c>
      <c r="E2881" s="38">
        <v>46280</v>
      </c>
      <c r="F2881" s="23" t="s">
        <v>12791</v>
      </c>
      <c r="G2881" s="23" t="s">
        <v>75</v>
      </c>
      <c r="H2881" s="24">
        <v>1799</v>
      </c>
      <c r="I2881" s="24">
        <v>0</v>
      </c>
      <c r="J2881" s="24">
        <v>0</v>
      </c>
      <c r="K2881" s="24">
        <v>-1799</v>
      </c>
      <c r="L2881" s="38">
        <v>46282</v>
      </c>
      <c r="M2881" s="23" t="s">
        <v>206</v>
      </c>
      <c r="N2881" s="23" t="str">
        <f>IF(COUNTIF($A$2:A2881,A2881)&gt;1,"DUP","OK")</f>
        <v>OK</v>
      </c>
      <c r="O2881" s="23" t="str">
        <f t="shared" si="133"/>
        <v>ORD26001434</v>
      </c>
      <c r="P2881" s="23" t="str">
        <f t="shared" si="134"/>
        <v>Sep</v>
      </c>
      <c r="Q2881" s="23" t="str">
        <f>IF(F2881="CAPTURE",IF(COUNTIF(orders!$A:$A,O2881)&gt;0,"Yes","NO ORDER"),"")</f>
        <v/>
      </c>
    </row>
    <row r="2882" spans="1:17" ht="15" customHeight="1" x14ac:dyDescent="0.3">
      <c r="A2882" s="23" t="s">
        <v>15759</v>
      </c>
      <c r="B2882" s="23" t="s">
        <v>15315</v>
      </c>
      <c r="C2882" s="23"/>
      <c r="D2882" s="23" t="str">
        <f t="shared" ref="D2882:D2945" si="135">UPPER(SUBSTITUTE(TRIM(C2882),"-",""))</f>
        <v/>
      </c>
      <c r="E2882" s="38">
        <v>46280</v>
      </c>
      <c r="F2882" s="23" t="s">
        <v>12791</v>
      </c>
      <c r="G2882" s="23" t="s">
        <v>77</v>
      </c>
      <c r="H2882" s="24">
        <v>1898</v>
      </c>
      <c r="I2882" s="24">
        <v>0</v>
      </c>
      <c r="J2882" s="24">
        <v>0</v>
      </c>
      <c r="K2882" s="24">
        <v>-1898</v>
      </c>
      <c r="L2882" s="38">
        <v>46282</v>
      </c>
      <c r="M2882" s="23" t="s">
        <v>206</v>
      </c>
      <c r="N2882" s="23" t="str">
        <f>IF(COUNTIF($A$2:A2882,A2882)&gt;1,"DUP","OK")</f>
        <v>OK</v>
      </c>
      <c r="O2882" s="23" t="str">
        <f t="shared" ref="O2882:O2945" si="136">IF(F2882="REFUND",INDEX($D:$D,MATCH(B2882,$A:$A,0)),D2882)</f>
        <v>ORD26000292</v>
      </c>
      <c r="P2882" s="23" t="str">
        <f t="shared" ref="P2882:P2945" si="137">IF(L2882&gt;DATE(2026,9,30),"Oct-Due","Sep")</f>
        <v>Sep</v>
      </c>
      <c r="Q2882" s="23" t="str">
        <f>IF(F2882="CAPTURE",IF(COUNTIF(orders!$A:$A,O2882)&gt;0,"Yes","NO ORDER"),"")</f>
        <v/>
      </c>
    </row>
    <row r="2883" spans="1:17" ht="15" customHeight="1" x14ac:dyDescent="0.3">
      <c r="A2883" s="23" t="s">
        <v>15760</v>
      </c>
      <c r="B2883" s="23" t="s">
        <v>14441</v>
      </c>
      <c r="C2883" s="23"/>
      <c r="D2883" s="23" t="str">
        <f t="shared" si="135"/>
        <v/>
      </c>
      <c r="E2883" s="38">
        <v>46280</v>
      </c>
      <c r="F2883" s="23" t="s">
        <v>12791</v>
      </c>
      <c r="G2883" s="23" t="s">
        <v>75</v>
      </c>
      <c r="H2883" s="24">
        <v>1598</v>
      </c>
      <c r="I2883" s="24">
        <v>0</v>
      </c>
      <c r="J2883" s="24">
        <v>0</v>
      </c>
      <c r="K2883" s="24">
        <v>-1598</v>
      </c>
      <c r="L2883" s="38">
        <v>46282</v>
      </c>
      <c r="M2883" s="23" t="s">
        <v>206</v>
      </c>
      <c r="N2883" s="23" t="str">
        <f>IF(COUNTIF($A$2:A2883,A2883)&gt;1,"DUP","OK")</f>
        <v>OK</v>
      </c>
      <c r="O2883" s="23" t="str">
        <f t="shared" si="136"/>
        <v>ORD26002163</v>
      </c>
      <c r="P2883" s="23" t="str">
        <f t="shared" si="137"/>
        <v>Sep</v>
      </c>
      <c r="Q2883" s="23" t="str">
        <f>IF(F2883="CAPTURE",IF(COUNTIF(orders!$A:$A,O2883)&gt;0,"Yes","NO ORDER"),"")</f>
        <v/>
      </c>
    </row>
    <row r="2884" spans="1:17" ht="15" customHeight="1" x14ac:dyDescent="0.3">
      <c r="A2884" s="23" t="s">
        <v>15761</v>
      </c>
      <c r="B2884" s="23" t="s">
        <v>14577</v>
      </c>
      <c r="C2884" s="23"/>
      <c r="D2884" s="23" t="str">
        <f t="shared" si="135"/>
        <v/>
      </c>
      <c r="E2884" s="38">
        <v>46280</v>
      </c>
      <c r="F2884" s="23" t="s">
        <v>12791</v>
      </c>
      <c r="G2884" s="23" t="s">
        <v>75</v>
      </c>
      <c r="H2884" s="24">
        <v>2999</v>
      </c>
      <c r="I2884" s="24">
        <v>0</v>
      </c>
      <c r="J2884" s="24">
        <v>0</v>
      </c>
      <c r="K2884" s="24">
        <v>-2999</v>
      </c>
      <c r="L2884" s="38">
        <v>46282</v>
      </c>
      <c r="M2884" s="23" t="s">
        <v>206</v>
      </c>
      <c r="N2884" s="23" t="str">
        <f>IF(COUNTIF($A$2:A2884,A2884)&gt;1,"DUP","OK")</f>
        <v>OK</v>
      </c>
      <c r="O2884" s="23" t="str">
        <f t="shared" si="136"/>
        <v>ORD26000053</v>
      </c>
      <c r="P2884" s="23" t="str">
        <f t="shared" si="137"/>
        <v>Sep</v>
      </c>
      <c r="Q2884" s="23" t="str">
        <f>IF(F2884="CAPTURE",IF(COUNTIF(orders!$A:$A,O2884)&gt;0,"Yes","NO ORDER"),"")</f>
        <v/>
      </c>
    </row>
    <row r="2885" spans="1:17" ht="15" customHeight="1" x14ac:dyDescent="0.3">
      <c r="A2885" s="23" t="s">
        <v>15762</v>
      </c>
      <c r="B2885" s="23" t="s">
        <v>15247</v>
      </c>
      <c r="C2885" s="23"/>
      <c r="D2885" s="23" t="str">
        <f t="shared" si="135"/>
        <v/>
      </c>
      <c r="E2885" s="38">
        <v>46280</v>
      </c>
      <c r="F2885" s="23" t="s">
        <v>12791</v>
      </c>
      <c r="G2885" s="23" t="s">
        <v>77</v>
      </c>
      <c r="H2885" s="24">
        <v>299</v>
      </c>
      <c r="I2885" s="24">
        <v>0</v>
      </c>
      <c r="J2885" s="24">
        <v>0</v>
      </c>
      <c r="K2885" s="24">
        <v>-299</v>
      </c>
      <c r="L2885" s="38">
        <v>46282</v>
      </c>
      <c r="M2885" s="23" t="s">
        <v>206</v>
      </c>
      <c r="N2885" s="23" t="str">
        <f>IF(COUNTIF($A$2:A2885,A2885)&gt;1,"DUP","OK")</f>
        <v>OK</v>
      </c>
      <c r="O2885" s="23" t="str">
        <f t="shared" si="136"/>
        <v>ORD26004786</v>
      </c>
      <c r="P2885" s="23" t="str">
        <f t="shared" si="137"/>
        <v>Sep</v>
      </c>
      <c r="Q2885" s="23" t="str">
        <f>IF(F2885="CAPTURE",IF(COUNTIF(orders!$A:$A,O2885)&gt;0,"Yes","NO ORDER"),"")</f>
        <v/>
      </c>
    </row>
    <row r="2886" spans="1:17" ht="15" customHeight="1" x14ac:dyDescent="0.3">
      <c r="A2886" s="23" t="s">
        <v>15763</v>
      </c>
      <c r="B2886" s="23" t="s">
        <v>14765</v>
      </c>
      <c r="C2886" s="23"/>
      <c r="D2886" s="23" t="str">
        <f t="shared" si="135"/>
        <v/>
      </c>
      <c r="E2886" s="38">
        <v>46280</v>
      </c>
      <c r="F2886" s="23" t="s">
        <v>12791</v>
      </c>
      <c r="G2886" s="23" t="s">
        <v>75</v>
      </c>
      <c r="H2886" s="24">
        <v>499</v>
      </c>
      <c r="I2886" s="24">
        <v>0</v>
      </c>
      <c r="J2886" s="24">
        <v>0</v>
      </c>
      <c r="K2886" s="24">
        <v>-499</v>
      </c>
      <c r="L2886" s="38">
        <v>46282</v>
      </c>
      <c r="M2886" s="23" t="s">
        <v>206</v>
      </c>
      <c r="N2886" s="23" t="str">
        <f>IF(COUNTIF($A$2:A2886,A2886)&gt;1,"DUP","OK")</f>
        <v>OK</v>
      </c>
      <c r="O2886" s="23" t="str">
        <f t="shared" si="136"/>
        <v>ORD26004929</v>
      </c>
      <c r="P2886" s="23" t="str">
        <f t="shared" si="137"/>
        <v>Sep</v>
      </c>
      <c r="Q2886" s="23" t="str">
        <f>IF(F2886="CAPTURE",IF(COUNTIF(orders!$A:$A,O2886)&gt;0,"Yes","NO ORDER"),"")</f>
        <v/>
      </c>
    </row>
    <row r="2887" spans="1:17" ht="15" customHeight="1" x14ac:dyDescent="0.3">
      <c r="A2887" s="23" t="s">
        <v>15764</v>
      </c>
      <c r="B2887" s="23"/>
      <c r="C2887" s="23" t="s">
        <v>15765</v>
      </c>
      <c r="D2887" s="23" t="str">
        <f t="shared" si="135"/>
        <v>ORD26000076</v>
      </c>
      <c r="E2887" s="38">
        <v>46281</v>
      </c>
      <c r="F2887" s="23" t="s">
        <v>12410</v>
      </c>
      <c r="G2887" s="23" t="s">
        <v>75</v>
      </c>
      <c r="H2887" s="24">
        <v>1098</v>
      </c>
      <c r="I2887" s="24">
        <v>0</v>
      </c>
      <c r="J2887" s="24">
        <v>0</v>
      </c>
      <c r="K2887" s="24">
        <v>1098</v>
      </c>
      <c r="L2887" s="38">
        <v>46283</v>
      </c>
      <c r="M2887" s="23" t="s">
        <v>208</v>
      </c>
      <c r="N2887" s="23" t="str">
        <f>IF(COUNTIF($A$2:A2887,A2887)&gt;1,"DUP","OK")</f>
        <v>OK</v>
      </c>
      <c r="O2887" s="23" t="str">
        <f t="shared" si="136"/>
        <v>ORD26000076</v>
      </c>
      <c r="P2887" s="23" t="str">
        <f t="shared" si="137"/>
        <v>Sep</v>
      </c>
      <c r="Q2887" s="23" t="str">
        <f>IF(F2887="CAPTURE",IF(COUNTIF(orders!$A:$A,O2887)&gt;0,"Yes","NO ORDER"),"")</f>
        <v>Yes</v>
      </c>
    </row>
    <row r="2888" spans="1:17" ht="15" customHeight="1" x14ac:dyDescent="0.3">
      <c r="A2888" s="23" t="s">
        <v>15766</v>
      </c>
      <c r="B2888" s="23"/>
      <c r="C2888" s="23" t="s">
        <v>681</v>
      </c>
      <c r="D2888" s="23" t="str">
        <f t="shared" si="135"/>
        <v>ORD26000174</v>
      </c>
      <c r="E2888" s="38">
        <v>46281</v>
      </c>
      <c r="F2888" s="23" t="s">
        <v>12410</v>
      </c>
      <c r="G2888" s="23" t="s">
        <v>75</v>
      </c>
      <c r="H2888" s="24">
        <v>349</v>
      </c>
      <c r="I2888" s="24">
        <v>0</v>
      </c>
      <c r="J2888" s="24">
        <v>0</v>
      </c>
      <c r="K2888" s="24">
        <v>349</v>
      </c>
      <c r="L2888" s="38">
        <v>46283</v>
      </c>
      <c r="M2888" s="23" t="s">
        <v>208</v>
      </c>
      <c r="N2888" s="23" t="str">
        <f>IF(COUNTIF($A$2:A2888,A2888)&gt;1,"DUP","OK")</f>
        <v>OK</v>
      </c>
      <c r="O2888" s="23" t="str">
        <f t="shared" si="136"/>
        <v>ORD26000174</v>
      </c>
      <c r="P2888" s="23" t="str">
        <f t="shared" si="137"/>
        <v>Sep</v>
      </c>
      <c r="Q2888" s="23" t="str">
        <f>IF(F2888="CAPTURE",IF(COUNTIF(orders!$A:$A,O2888)&gt;0,"Yes","NO ORDER"),"")</f>
        <v>Yes</v>
      </c>
    </row>
    <row r="2889" spans="1:17" ht="15" customHeight="1" x14ac:dyDescent="0.3">
      <c r="A2889" s="23" t="s">
        <v>15767</v>
      </c>
      <c r="B2889" s="23"/>
      <c r="C2889" s="23" t="s">
        <v>710</v>
      </c>
      <c r="D2889" s="23" t="str">
        <f t="shared" si="135"/>
        <v>ORD26000188</v>
      </c>
      <c r="E2889" s="38">
        <v>46281</v>
      </c>
      <c r="F2889" s="23" t="s">
        <v>12410</v>
      </c>
      <c r="G2889" s="23" t="s">
        <v>79</v>
      </c>
      <c r="H2889" s="24">
        <v>4298</v>
      </c>
      <c r="I2889" s="24">
        <v>68.77</v>
      </c>
      <c r="J2889" s="24">
        <v>12.38</v>
      </c>
      <c r="K2889" s="24">
        <v>4216.8500000000004</v>
      </c>
      <c r="L2889" s="38">
        <v>46283</v>
      </c>
      <c r="M2889" s="23" t="s">
        <v>208</v>
      </c>
      <c r="N2889" s="23" t="str">
        <f>IF(COUNTIF($A$2:A2889,A2889)&gt;1,"DUP","OK")</f>
        <v>OK</v>
      </c>
      <c r="O2889" s="23" t="str">
        <f t="shared" si="136"/>
        <v>ORD26000188</v>
      </c>
      <c r="P2889" s="23" t="str">
        <f t="shared" si="137"/>
        <v>Sep</v>
      </c>
      <c r="Q2889" s="23" t="str">
        <f>IF(F2889="CAPTURE",IF(COUNTIF(orders!$A:$A,O2889)&gt;0,"Yes","NO ORDER"),"")</f>
        <v>Yes</v>
      </c>
    </row>
    <row r="2890" spans="1:17" ht="15" customHeight="1" x14ac:dyDescent="0.3">
      <c r="A2890" s="23" t="s">
        <v>15768</v>
      </c>
      <c r="B2890" s="23"/>
      <c r="C2890" s="23" t="s">
        <v>15769</v>
      </c>
      <c r="D2890" s="23" t="str">
        <f t="shared" si="135"/>
        <v>ORD26000294</v>
      </c>
      <c r="E2890" s="38">
        <v>46281</v>
      </c>
      <c r="F2890" s="23" t="s">
        <v>12410</v>
      </c>
      <c r="G2890" s="23" t="s">
        <v>77</v>
      </c>
      <c r="H2890" s="24">
        <v>1499</v>
      </c>
      <c r="I2890" s="24">
        <v>28.48</v>
      </c>
      <c r="J2890" s="24">
        <v>5.13</v>
      </c>
      <c r="K2890" s="24">
        <v>1465.39</v>
      </c>
      <c r="L2890" s="38">
        <v>46283</v>
      </c>
      <c r="M2890" s="23" t="s">
        <v>208</v>
      </c>
      <c r="N2890" s="23" t="str">
        <f>IF(COUNTIF($A$2:A2890,A2890)&gt;1,"DUP","OK")</f>
        <v>OK</v>
      </c>
      <c r="O2890" s="23" t="str">
        <f t="shared" si="136"/>
        <v>ORD26000294</v>
      </c>
      <c r="P2890" s="23" t="str">
        <f t="shared" si="137"/>
        <v>Sep</v>
      </c>
      <c r="Q2890" s="23" t="str">
        <f>IF(F2890="CAPTURE",IF(COUNTIF(orders!$A:$A,O2890)&gt;0,"Yes","NO ORDER"),"")</f>
        <v>Yes</v>
      </c>
    </row>
    <row r="2891" spans="1:17" ht="15" customHeight="1" x14ac:dyDescent="0.3">
      <c r="A2891" s="23" t="s">
        <v>15770</v>
      </c>
      <c r="B2891" s="23"/>
      <c r="C2891" s="23" t="s">
        <v>1198</v>
      </c>
      <c r="D2891" s="23" t="str">
        <f t="shared" si="135"/>
        <v>ORD26000406</v>
      </c>
      <c r="E2891" s="38">
        <v>46281</v>
      </c>
      <c r="F2891" s="23" t="s">
        <v>12410</v>
      </c>
      <c r="G2891" s="23" t="s">
        <v>75</v>
      </c>
      <c r="H2891" s="24">
        <v>3998</v>
      </c>
      <c r="I2891" s="24">
        <v>11.99</v>
      </c>
      <c r="J2891" s="24">
        <v>2.16</v>
      </c>
      <c r="K2891" s="24">
        <v>3983.85</v>
      </c>
      <c r="L2891" s="38">
        <v>46283</v>
      </c>
      <c r="M2891" s="23" t="s">
        <v>208</v>
      </c>
      <c r="N2891" s="23" t="str">
        <f>IF(COUNTIF($A$2:A2891,A2891)&gt;1,"DUP","OK")</f>
        <v>OK</v>
      </c>
      <c r="O2891" s="23" t="str">
        <f t="shared" si="136"/>
        <v>ORD26000406</v>
      </c>
      <c r="P2891" s="23" t="str">
        <f t="shared" si="137"/>
        <v>Sep</v>
      </c>
      <c r="Q2891" s="23" t="str">
        <f>IF(F2891="CAPTURE",IF(COUNTIF(orders!$A:$A,O2891)&gt;0,"Yes","NO ORDER"),"")</f>
        <v>Yes</v>
      </c>
    </row>
    <row r="2892" spans="1:17" ht="15" customHeight="1" x14ac:dyDescent="0.3">
      <c r="A2892" s="23" t="s">
        <v>15771</v>
      </c>
      <c r="B2892" s="23"/>
      <c r="C2892" s="23" t="s">
        <v>1300</v>
      </c>
      <c r="D2892" s="23" t="str">
        <f t="shared" si="135"/>
        <v>ORD26000453</v>
      </c>
      <c r="E2892" s="38">
        <v>46281</v>
      </c>
      <c r="F2892" s="23" t="s">
        <v>12410</v>
      </c>
      <c r="G2892" s="23" t="s">
        <v>79</v>
      </c>
      <c r="H2892" s="24">
        <v>599</v>
      </c>
      <c r="I2892" s="24">
        <v>10.78</v>
      </c>
      <c r="J2892" s="24">
        <v>1.94</v>
      </c>
      <c r="K2892" s="24">
        <v>586.28</v>
      </c>
      <c r="L2892" s="38">
        <v>46283</v>
      </c>
      <c r="M2892" s="23" t="s">
        <v>208</v>
      </c>
      <c r="N2892" s="23" t="str">
        <f>IF(COUNTIF($A$2:A2892,A2892)&gt;1,"DUP","OK")</f>
        <v>OK</v>
      </c>
      <c r="O2892" s="23" t="str">
        <f t="shared" si="136"/>
        <v>ORD26000453</v>
      </c>
      <c r="P2892" s="23" t="str">
        <f t="shared" si="137"/>
        <v>Sep</v>
      </c>
      <c r="Q2892" s="23" t="str">
        <f>IF(F2892="CAPTURE",IF(COUNTIF(orders!$A:$A,O2892)&gt;0,"Yes","NO ORDER"),"")</f>
        <v>Yes</v>
      </c>
    </row>
    <row r="2893" spans="1:17" ht="15" customHeight="1" x14ac:dyDescent="0.3">
      <c r="A2893" s="23" t="s">
        <v>15772</v>
      </c>
      <c r="B2893" s="23"/>
      <c r="C2893" s="23" t="s">
        <v>1380</v>
      </c>
      <c r="D2893" s="23" t="str">
        <f t="shared" si="135"/>
        <v>ORD26000489</v>
      </c>
      <c r="E2893" s="38">
        <v>46281</v>
      </c>
      <c r="F2893" s="23" t="s">
        <v>12410</v>
      </c>
      <c r="G2893" s="23" t="s">
        <v>75</v>
      </c>
      <c r="H2893" s="24">
        <v>599</v>
      </c>
      <c r="I2893" s="24">
        <v>0</v>
      </c>
      <c r="J2893" s="24">
        <v>0</v>
      </c>
      <c r="K2893" s="24">
        <v>599</v>
      </c>
      <c r="L2893" s="38">
        <v>46283</v>
      </c>
      <c r="M2893" s="23" t="s">
        <v>208</v>
      </c>
      <c r="N2893" s="23" t="str">
        <f>IF(COUNTIF($A$2:A2893,A2893)&gt;1,"DUP","OK")</f>
        <v>OK</v>
      </c>
      <c r="O2893" s="23" t="str">
        <f t="shared" si="136"/>
        <v>ORD26000489</v>
      </c>
      <c r="P2893" s="23" t="str">
        <f t="shared" si="137"/>
        <v>Sep</v>
      </c>
      <c r="Q2893" s="23" t="str">
        <f>IF(F2893="CAPTURE",IF(COUNTIF(orders!$A:$A,O2893)&gt;0,"Yes","NO ORDER"),"")</f>
        <v>Yes</v>
      </c>
    </row>
    <row r="2894" spans="1:17" ht="15" customHeight="1" x14ac:dyDescent="0.3">
      <c r="A2894" s="23" t="s">
        <v>15773</v>
      </c>
      <c r="B2894" s="23"/>
      <c r="C2894" s="23" t="s">
        <v>15774</v>
      </c>
      <c r="D2894" s="23" t="str">
        <f t="shared" si="135"/>
        <v>ORD26000524</v>
      </c>
      <c r="E2894" s="38">
        <v>46281</v>
      </c>
      <c r="F2894" s="23" t="s">
        <v>12410</v>
      </c>
      <c r="G2894" s="23" t="s">
        <v>81</v>
      </c>
      <c r="H2894" s="24">
        <v>2798</v>
      </c>
      <c r="I2894" s="24">
        <v>33.58</v>
      </c>
      <c r="J2894" s="24">
        <v>6.04</v>
      </c>
      <c r="K2894" s="24">
        <v>2758.38</v>
      </c>
      <c r="L2894" s="38">
        <v>46283</v>
      </c>
      <c r="M2894" s="23" t="s">
        <v>208</v>
      </c>
      <c r="N2894" s="23" t="str">
        <f>IF(COUNTIF($A$2:A2894,A2894)&gt;1,"DUP","OK")</f>
        <v>OK</v>
      </c>
      <c r="O2894" s="23" t="str">
        <f t="shared" si="136"/>
        <v>ORD26000524</v>
      </c>
      <c r="P2894" s="23" t="str">
        <f t="shared" si="137"/>
        <v>Sep</v>
      </c>
      <c r="Q2894" s="23" t="str">
        <f>IF(F2894="CAPTURE",IF(COUNTIF(orders!$A:$A,O2894)&gt;0,"Yes","NO ORDER"),"")</f>
        <v>Yes</v>
      </c>
    </row>
    <row r="2895" spans="1:17" ht="15" customHeight="1" x14ac:dyDescent="0.3">
      <c r="A2895" s="23" t="s">
        <v>15775</v>
      </c>
      <c r="B2895" s="23"/>
      <c r="C2895" s="23" t="s">
        <v>1476</v>
      </c>
      <c r="D2895" s="23" t="str">
        <f t="shared" si="135"/>
        <v>ORD26000532</v>
      </c>
      <c r="E2895" s="38">
        <v>46281</v>
      </c>
      <c r="F2895" s="23" t="s">
        <v>12410</v>
      </c>
      <c r="G2895" s="23" t="s">
        <v>75</v>
      </c>
      <c r="H2895" s="24">
        <v>349</v>
      </c>
      <c r="I2895" s="24">
        <v>0</v>
      </c>
      <c r="J2895" s="24">
        <v>0</v>
      </c>
      <c r="K2895" s="24">
        <v>349</v>
      </c>
      <c r="L2895" s="38">
        <v>46283</v>
      </c>
      <c r="M2895" s="23" t="s">
        <v>208</v>
      </c>
      <c r="N2895" s="23" t="str">
        <f>IF(COUNTIF($A$2:A2895,A2895)&gt;1,"DUP","OK")</f>
        <v>OK</v>
      </c>
      <c r="O2895" s="23" t="str">
        <f t="shared" si="136"/>
        <v>ORD26000532</v>
      </c>
      <c r="P2895" s="23" t="str">
        <f t="shared" si="137"/>
        <v>Sep</v>
      </c>
      <c r="Q2895" s="23" t="str">
        <f>IF(F2895="CAPTURE",IF(COUNTIF(orders!$A:$A,O2895)&gt;0,"Yes","NO ORDER"),"")</f>
        <v>Yes</v>
      </c>
    </row>
    <row r="2896" spans="1:17" ht="15" customHeight="1" x14ac:dyDescent="0.3">
      <c r="A2896" s="23" t="s">
        <v>15776</v>
      </c>
      <c r="B2896" s="23"/>
      <c r="C2896" s="23" t="s">
        <v>1478</v>
      </c>
      <c r="D2896" s="23" t="str">
        <f t="shared" si="135"/>
        <v>ORD26000533</v>
      </c>
      <c r="E2896" s="38">
        <v>46281</v>
      </c>
      <c r="F2896" s="23" t="s">
        <v>12410</v>
      </c>
      <c r="G2896" s="23" t="s">
        <v>75</v>
      </c>
      <c r="H2896" s="24">
        <v>799</v>
      </c>
      <c r="I2896" s="24">
        <v>0</v>
      </c>
      <c r="J2896" s="24">
        <v>0</v>
      </c>
      <c r="K2896" s="24">
        <v>799</v>
      </c>
      <c r="L2896" s="38">
        <v>46283</v>
      </c>
      <c r="M2896" s="23" t="s">
        <v>208</v>
      </c>
      <c r="N2896" s="23" t="str">
        <f>IF(COUNTIF($A$2:A2896,A2896)&gt;1,"DUP","OK")</f>
        <v>OK</v>
      </c>
      <c r="O2896" s="23" t="str">
        <f t="shared" si="136"/>
        <v>ORD26000533</v>
      </c>
      <c r="P2896" s="23" t="str">
        <f t="shared" si="137"/>
        <v>Sep</v>
      </c>
      <c r="Q2896" s="23" t="str">
        <f>IF(F2896="CAPTURE",IF(COUNTIF(orders!$A:$A,O2896)&gt;0,"Yes","NO ORDER"),"")</f>
        <v>Yes</v>
      </c>
    </row>
    <row r="2897" spans="1:17" ht="15" customHeight="1" x14ac:dyDescent="0.3">
      <c r="A2897" s="23" t="s">
        <v>15777</v>
      </c>
      <c r="B2897" s="23"/>
      <c r="C2897" s="23" t="s">
        <v>1610</v>
      </c>
      <c r="D2897" s="23" t="str">
        <f t="shared" si="135"/>
        <v>ORD26000594</v>
      </c>
      <c r="E2897" s="38">
        <v>46281</v>
      </c>
      <c r="F2897" s="23" t="s">
        <v>12410</v>
      </c>
      <c r="G2897" s="23" t="s">
        <v>75</v>
      </c>
      <c r="H2897" s="24">
        <v>2499</v>
      </c>
      <c r="I2897" s="24">
        <v>7.5</v>
      </c>
      <c r="J2897" s="24">
        <v>1.35</v>
      </c>
      <c r="K2897" s="24">
        <v>2490.15</v>
      </c>
      <c r="L2897" s="38">
        <v>46283</v>
      </c>
      <c r="M2897" s="23" t="s">
        <v>208</v>
      </c>
      <c r="N2897" s="23" t="str">
        <f>IF(COUNTIF($A$2:A2897,A2897)&gt;1,"DUP","OK")</f>
        <v>OK</v>
      </c>
      <c r="O2897" s="23" t="str">
        <f t="shared" si="136"/>
        <v>ORD26000594</v>
      </c>
      <c r="P2897" s="23" t="str">
        <f t="shared" si="137"/>
        <v>Sep</v>
      </c>
      <c r="Q2897" s="23" t="str">
        <f>IF(F2897="CAPTURE",IF(COUNTIF(orders!$A:$A,O2897)&gt;0,"Yes","NO ORDER"),"")</f>
        <v>Yes</v>
      </c>
    </row>
    <row r="2898" spans="1:17" ht="15" customHeight="1" x14ac:dyDescent="0.3">
      <c r="A2898" s="23" t="s">
        <v>15778</v>
      </c>
      <c r="B2898" s="23"/>
      <c r="C2898" s="23" t="s">
        <v>1754</v>
      </c>
      <c r="D2898" s="23" t="str">
        <f t="shared" si="135"/>
        <v>ORD26000661</v>
      </c>
      <c r="E2898" s="38">
        <v>46281</v>
      </c>
      <c r="F2898" s="23" t="s">
        <v>12410</v>
      </c>
      <c r="G2898" s="23" t="s">
        <v>79</v>
      </c>
      <c r="H2898" s="24">
        <v>1799</v>
      </c>
      <c r="I2898" s="24">
        <v>32.380000000000003</v>
      </c>
      <c r="J2898" s="24">
        <v>5.83</v>
      </c>
      <c r="K2898" s="24">
        <v>1760.79</v>
      </c>
      <c r="L2898" s="38">
        <v>46283</v>
      </c>
      <c r="M2898" s="23" t="s">
        <v>208</v>
      </c>
      <c r="N2898" s="23" t="str">
        <f>IF(COUNTIF($A$2:A2898,A2898)&gt;1,"DUP","OK")</f>
        <v>OK</v>
      </c>
      <c r="O2898" s="23" t="str">
        <f t="shared" si="136"/>
        <v>ORD26000661</v>
      </c>
      <c r="P2898" s="23" t="str">
        <f t="shared" si="137"/>
        <v>Sep</v>
      </c>
      <c r="Q2898" s="23" t="str">
        <f>IF(F2898="CAPTURE",IF(COUNTIF(orders!$A:$A,O2898)&gt;0,"Yes","NO ORDER"),"")</f>
        <v>Yes</v>
      </c>
    </row>
    <row r="2899" spans="1:17" ht="15" customHeight="1" x14ac:dyDescent="0.3">
      <c r="A2899" s="23" t="s">
        <v>15779</v>
      </c>
      <c r="B2899" s="23"/>
      <c r="C2899" s="23" t="s">
        <v>1770</v>
      </c>
      <c r="D2899" s="23" t="str">
        <f t="shared" si="135"/>
        <v>ORD26000668</v>
      </c>
      <c r="E2899" s="38">
        <v>46281</v>
      </c>
      <c r="F2899" s="23" t="s">
        <v>12410</v>
      </c>
      <c r="G2899" s="23" t="s">
        <v>79</v>
      </c>
      <c r="H2899" s="24">
        <v>999</v>
      </c>
      <c r="I2899" s="24">
        <v>17.98</v>
      </c>
      <c r="J2899" s="24">
        <v>3.24</v>
      </c>
      <c r="K2899" s="24">
        <v>977.78</v>
      </c>
      <c r="L2899" s="38">
        <v>46283</v>
      </c>
      <c r="M2899" s="23" t="s">
        <v>208</v>
      </c>
      <c r="N2899" s="23" t="str">
        <f>IF(COUNTIF($A$2:A2899,A2899)&gt;1,"DUP","OK")</f>
        <v>OK</v>
      </c>
      <c r="O2899" s="23" t="str">
        <f t="shared" si="136"/>
        <v>ORD26000668</v>
      </c>
      <c r="P2899" s="23" t="str">
        <f t="shared" si="137"/>
        <v>Sep</v>
      </c>
      <c r="Q2899" s="23" t="str">
        <f>IF(F2899="CAPTURE",IF(COUNTIF(orders!$A:$A,O2899)&gt;0,"Yes","NO ORDER"),"")</f>
        <v>Yes</v>
      </c>
    </row>
    <row r="2900" spans="1:17" ht="15" customHeight="1" x14ac:dyDescent="0.3">
      <c r="A2900" s="23" t="s">
        <v>15780</v>
      </c>
      <c r="B2900" s="23"/>
      <c r="C2900" s="23" t="s">
        <v>1802</v>
      </c>
      <c r="D2900" s="23" t="str">
        <f t="shared" si="135"/>
        <v>ORD26000683</v>
      </c>
      <c r="E2900" s="38">
        <v>46281</v>
      </c>
      <c r="F2900" s="23" t="s">
        <v>12410</v>
      </c>
      <c r="G2900" s="23" t="s">
        <v>75</v>
      </c>
      <c r="H2900" s="24">
        <v>598</v>
      </c>
      <c r="I2900" s="24">
        <v>0</v>
      </c>
      <c r="J2900" s="24">
        <v>0</v>
      </c>
      <c r="K2900" s="24">
        <v>598</v>
      </c>
      <c r="L2900" s="38">
        <v>46283</v>
      </c>
      <c r="M2900" s="23" t="s">
        <v>208</v>
      </c>
      <c r="N2900" s="23" t="str">
        <f>IF(COUNTIF($A$2:A2900,A2900)&gt;1,"DUP","OK")</f>
        <v>OK</v>
      </c>
      <c r="O2900" s="23" t="str">
        <f t="shared" si="136"/>
        <v>ORD26000683</v>
      </c>
      <c r="P2900" s="23" t="str">
        <f t="shared" si="137"/>
        <v>Sep</v>
      </c>
      <c r="Q2900" s="23" t="str">
        <f>IF(F2900="CAPTURE",IF(COUNTIF(orders!$A:$A,O2900)&gt;0,"Yes","NO ORDER"),"")</f>
        <v>Yes</v>
      </c>
    </row>
    <row r="2901" spans="1:17" ht="15" customHeight="1" x14ac:dyDescent="0.3">
      <c r="A2901" s="23" t="s">
        <v>15781</v>
      </c>
      <c r="B2901" s="23"/>
      <c r="C2901" s="23" t="s">
        <v>1917</v>
      </c>
      <c r="D2901" s="23" t="str">
        <f t="shared" si="135"/>
        <v>ORD26000739</v>
      </c>
      <c r="E2901" s="38">
        <v>46281</v>
      </c>
      <c r="F2901" s="23" t="s">
        <v>12410</v>
      </c>
      <c r="G2901" s="23" t="s">
        <v>75</v>
      </c>
      <c r="H2901" s="24">
        <v>1898</v>
      </c>
      <c r="I2901" s="24">
        <v>0</v>
      </c>
      <c r="J2901" s="24">
        <v>0</v>
      </c>
      <c r="K2901" s="24">
        <v>1898</v>
      </c>
      <c r="L2901" s="38">
        <v>46283</v>
      </c>
      <c r="M2901" s="23" t="s">
        <v>208</v>
      </c>
      <c r="N2901" s="23" t="str">
        <f>IF(COUNTIF($A$2:A2901,A2901)&gt;1,"DUP","OK")</f>
        <v>OK</v>
      </c>
      <c r="O2901" s="23" t="str">
        <f t="shared" si="136"/>
        <v>ORD26000739</v>
      </c>
      <c r="P2901" s="23" t="str">
        <f t="shared" si="137"/>
        <v>Sep</v>
      </c>
      <c r="Q2901" s="23" t="str">
        <f>IF(F2901="CAPTURE",IF(COUNTIF(orders!$A:$A,O2901)&gt;0,"Yes","NO ORDER"),"")</f>
        <v>Yes</v>
      </c>
    </row>
    <row r="2902" spans="1:17" ht="15" customHeight="1" x14ac:dyDescent="0.3">
      <c r="A2902" s="23" t="s">
        <v>15782</v>
      </c>
      <c r="B2902" s="23"/>
      <c r="C2902" s="23" t="s">
        <v>1919</v>
      </c>
      <c r="D2902" s="23" t="str">
        <f t="shared" si="135"/>
        <v>ORD26000740</v>
      </c>
      <c r="E2902" s="38">
        <v>46281</v>
      </c>
      <c r="F2902" s="23" t="s">
        <v>12410</v>
      </c>
      <c r="G2902" s="23" t="s">
        <v>79</v>
      </c>
      <c r="H2902" s="24">
        <v>2499</v>
      </c>
      <c r="I2902" s="24">
        <v>39.979999999999997</v>
      </c>
      <c r="J2902" s="24">
        <v>7.2</v>
      </c>
      <c r="K2902" s="24">
        <v>2451.8200000000002</v>
      </c>
      <c r="L2902" s="38">
        <v>46283</v>
      </c>
      <c r="M2902" s="23" t="s">
        <v>208</v>
      </c>
      <c r="N2902" s="23" t="str">
        <f>IF(COUNTIF($A$2:A2902,A2902)&gt;1,"DUP","OK")</f>
        <v>OK</v>
      </c>
      <c r="O2902" s="23" t="str">
        <f t="shared" si="136"/>
        <v>ORD26000740</v>
      </c>
      <c r="P2902" s="23" t="str">
        <f t="shared" si="137"/>
        <v>Sep</v>
      </c>
      <c r="Q2902" s="23" t="str">
        <f>IF(F2902="CAPTURE",IF(COUNTIF(orders!$A:$A,O2902)&gt;0,"Yes","NO ORDER"),"")</f>
        <v>Yes</v>
      </c>
    </row>
    <row r="2903" spans="1:17" ht="15" customHeight="1" x14ac:dyDescent="0.3">
      <c r="A2903" s="23" t="s">
        <v>15783</v>
      </c>
      <c r="B2903" s="23"/>
      <c r="C2903" s="23" t="s">
        <v>2013</v>
      </c>
      <c r="D2903" s="23" t="str">
        <f t="shared" si="135"/>
        <v>ORD26000783</v>
      </c>
      <c r="E2903" s="38">
        <v>46281</v>
      </c>
      <c r="F2903" s="23" t="s">
        <v>12410</v>
      </c>
      <c r="G2903" s="23" t="s">
        <v>79</v>
      </c>
      <c r="H2903" s="24">
        <v>999</v>
      </c>
      <c r="I2903" s="24">
        <v>17.98</v>
      </c>
      <c r="J2903" s="24">
        <v>3.24</v>
      </c>
      <c r="K2903" s="24">
        <v>977.78</v>
      </c>
      <c r="L2903" s="38">
        <v>46283</v>
      </c>
      <c r="M2903" s="23" t="s">
        <v>208</v>
      </c>
      <c r="N2903" s="23" t="str">
        <f>IF(COUNTIF($A$2:A2903,A2903)&gt;1,"DUP","OK")</f>
        <v>OK</v>
      </c>
      <c r="O2903" s="23" t="str">
        <f t="shared" si="136"/>
        <v>ORD26000783</v>
      </c>
      <c r="P2903" s="23" t="str">
        <f t="shared" si="137"/>
        <v>Sep</v>
      </c>
      <c r="Q2903" s="23" t="str">
        <f>IF(F2903="CAPTURE",IF(COUNTIF(orders!$A:$A,O2903)&gt;0,"Yes","NO ORDER"),"")</f>
        <v>Yes</v>
      </c>
    </row>
    <row r="2904" spans="1:17" ht="15" customHeight="1" x14ac:dyDescent="0.3">
      <c r="A2904" s="23" t="s">
        <v>15784</v>
      </c>
      <c r="B2904" s="23"/>
      <c r="C2904" s="23" t="s">
        <v>2183</v>
      </c>
      <c r="D2904" s="23" t="str">
        <f t="shared" si="135"/>
        <v>ORD26000865</v>
      </c>
      <c r="E2904" s="38">
        <v>46281</v>
      </c>
      <c r="F2904" s="23" t="s">
        <v>12410</v>
      </c>
      <c r="G2904" s="23" t="s">
        <v>77</v>
      </c>
      <c r="H2904" s="24">
        <v>6798</v>
      </c>
      <c r="I2904" s="24">
        <v>115.57</v>
      </c>
      <c r="J2904" s="24">
        <v>20.8</v>
      </c>
      <c r="K2904" s="24">
        <v>6661.63</v>
      </c>
      <c r="L2904" s="38">
        <v>46283</v>
      </c>
      <c r="M2904" s="23" t="s">
        <v>208</v>
      </c>
      <c r="N2904" s="23" t="str">
        <f>IF(COUNTIF($A$2:A2904,A2904)&gt;1,"DUP","OK")</f>
        <v>OK</v>
      </c>
      <c r="O2904" s="23" t="str">
        <f t="shared" si="136"/>
        <v>ORD26000865</v>
      </c>
      <c r="P2904" s="23" t="str">
        <f t="shared" si="137"/>
        <v>Sep</v>
      </c>
      <c r="Q2904" s="23" t="str">
        <f>IF(F2904="CAPTURE",IF(COUNTIF(orders!$A:$A,O2904)&gt;0,"Yes","NO ORDER"),"")</f>
        <v>Yes</v>
      </c>
    </row>
    <row r="2905" spans="1:17" ht="15" customHeight="1" x14ac:dyDescent="0.3">
      <c r="A2905" s="23" t="s">
        <v>15785</v>
      </c>
      <c r="B2905" s="23"/>
      <c r="C2905" s="23" t="s">
        <v>2267</v>
      </c>
      <c r="D2905" s="23" t="str">
        <f t="shared" si="135"/>
        <v>ORD26000906</v>
      </c>
      <c r="E2905" s="38">
        <v>46281</v>
      </c>
      <c r="F2905" s="23" t="s">
        <v>12410</v>
      </c>
      <c r="G2905" s="23" t="s">
        <v>79</v>
      </c>
      <c r="H2905" s="24">
        <v>2999</v>
      </c>
      <c r="I2905" s="24">
        <v>47.98</v>
      </c>
      <c r="J2905" s="24">
        <v>8.64</v>
      </c>
      <c r="K2905" s="24">
        <v>2942.38</v>
      </c>
      <c r="L2905" s="38">
        <v>46283</v>
      </c>
      <c r="M2905" s="23" t="s">
        <v>208</v>
      </c>
      <c r="N2905" s="23" t="str">
        <f>IF(COUNTIF($A$2:A2905,A2905)&gt;1,"DUP","OK")</f>
        <v>OK</v>
      </c>
      <c r="O2905" s="23" t="str">
        <f t="shared" si="136"/>
        <v>ORD26000906</v>
      </c>
      <c r="P2905" s="23" t="str">
        <f t="shared" si="137"/>
        <v>Sep</v>
      </c>
      <c r="Q2905" s="23" t="str">
        <f>IF(F2905="CAPTURE",IF(COUNTIF(orders!$A:$A,O2905)&gt;0,"Yes","NO ORDER"),"")</f>
        <v>Yes</v>
      </c>
    </row>
    <row r="2906" spans="1:17" ht="15" customHeight="1" x14ac:dyDescent="0.3">
      <c r="A2906" s="23" t="s">
        <v>15786</v>
      </c>
      <c r="B2906" s="23"/>
      <c r="C2906" s="23" t="s">
        <v>2290</v>
      </c>
      <c r="D2906" s="23" t="str">
        <f t="shared" si="135"/>
        <v>ORD26000917</v>
      </c>
      <c r="E2906" s="38">
        <v>46281</v>
      </c>
      <c r="F2906" s="23" t="s">
        <v>12410</v>
      </c>
      <c r="G2906" s="23" t="s">
        <v>75</v>
      </c>
      <c r="H2906" s="24">
        <v>3647</v>
      </c>
      <c r="I2906" s="24">
        <v>10.94</v>
      </c>
      <c r="J2906" s="24">
        <v>1.97</v>
      </c>
      <c r="K2906" s="24">
        <v>3634.09</v>
      </c>
      <c r="L2906" s="38">
        <v>46283</v>
      </c>
      <c r="M2906" s="23" t="s">
        <v>208</v>
      </c>
      <c r="N2906" s="23" t="str">
        <f>IF(COUNTIF($A$2:A2906,A2906)&gt;1,"DUP","OK")</f>
        <v>OK</v>
      </c>
      <c r="O2906" s="23" t="str">
        <f t="shared" si="136"/>
        <v>ORD26000917</v>
      </c>
      <c r="P2906" s="23" t="str">
        <f t="shared" si="137"/>
        <v>Sep</v>
      </c>
      <c r="Q2906" s="23" t="str">
        <f>IF(F2906="CAPTURE",IF(COUNTIF(orders!$A:$A,O2906)&gt;0,"Yes","NO ORDER"),"")</f>
        <v>Yes</v>
      </c>
    </row>
    <row r="2907" spans="1:17" ht="15" customHeight="1" x14ac:dyDescent="0.3">
      <c r="A2907" s="23" t="s">
        <v>15787</v>
      </c>
      <c r="B2907" s="23"/>
      <c r="C2907" s="23" t="s">
        <v>2360</v>
      </c>
      <c r="D2907" s="23" t="str">
        <f t="shared" si="135"/>
        <v>ORD26000951</v>
      </c>
      <c r="E2907" s="38">
        <v>46281</v>
      </c>
      <c r="F2907" s="23" t="s">
        <v>12410</v>
      </c>
      <c r="G2907" s="23" t="s">
        <v>79</v>
      </c>
      <c r="H2907" s="24">
        <v>7597</v>
      </c>
      <c r="I2907" s="24">
        <v>121.55</v>
      </c>
      <c r="J2907" s="24">
        <v>21.88</v>
      </c>
      <c r="K2907" s="24">
        <v>7453.57</v>
      </c>
      <c r="L2907" s="38">
        <v>46283</v>
      </c>
      <c r="M2907" s="23" t="s">
        <v>208</v>
      </c>
      <c r="N2907" s="23" t="str">
        <f>IF(COUNTIF($A$2:A2907,A2907)&gt;1,"DUP","OK")</f>
        <v>OK</v>
      </c>
      <c r="O2907" s="23" t="str">
        <f t="shared" si="136"/>
        <v>ORD26000951</v>
      </c>
      <c r="P2907" s="23" t="str">
        <f t="shared" si="137"/>
        <v>Sep</v>
      </c>
      <c r="Q2907" s="23" t="str">
        <f>IF(F2907="CAPTURE",IF(COUNTIF(orders!$A:$A,O2907)&gt;0,"Yes","NO ORDER"),"")</f>
        <v>Yes</v>
      </c>
    </row>
    <row r="2908" spans="1:17" ht="15" customHeight="1" x14ac:dyDescent="0.3">
      <c r="A2908" s="23" t="s">
        <v>15788</v>
      </c>
      <c r="B2908" s="23"/>
      <c r="C2908" s="23" t="s">
        <v>2410</v>
      </c>
      <c r="D2908" s="23" t="str">
        <f t="shared" si="135"/>
        <v>ORD26000975</v>
      </c>
      <c r="E2908" s="38">
        <v>46281</v>
      </c>
      <c r="F2908" s="23" t="s">
        <v>12410</v>
      </c>
      <c r="G2908" s="23" t="s">
        <v>75</v>
      </c>
      <c r="H2908" s="24">
        <v>898</v>
      </c>
      <c r="I2908" s="24">
        <v>0</v>
      </c>
      <c r="J2908" s="24">
        <v>0</v>
      </c>
      <c r="K2908" s="24">
        <v>898</v>
      </c>
      <c r="L2908" s="38">
        <v>46283</v>
      </c>
      <c r="M2908" s="23" t="s">
        <v>208</v>
      </c>
      <c r="N2908" s="23" t="str">
        <f>IF(COUNTIF($A$2:A2908,A2908)&gt;1,"DUP","OK")</f>
        <v>OK</v>
      </c>
      <c r="O2908" s="23" t="str">
        <f t="shared" si="136"/>
        <v>ORD26000975</v>
      </c>
      <c r="P2908" s="23" t="str">
        <f t="shared" si="137"/>
        <v>Sep</v>
      </c>
      <c r="Q2908" s="23" t="str">
        <f>IF(F2908="CAPTURE",IF(COUNTIF(orders!$A:$A,O2908)&gt;0,"Yes","NO ORDER"),"")</f>
        <v>Yes</v>
      </c>
    </row>
    <row r="2909" spans="1:17" ht="15" customHeight="1" x14ac:dyDescent="0.3">
      <c r="A2909" s="23" t="s">
        <v>15789</v>
      </c>
      <c r="B2909" s="23"/>
      <c r="C2909" s="23" t="s">
        <v>2440</v>
      </c>
      <c r="D2909" s="23" t="str">
        <f t="shared" si="135"/>
        <v>ORD26000990</v>
      </c>
      <c r="E2909" s="38">
        <v>46281</v>
      </c>
      <c r="F2909" s="23" t="s">
        <v>12410</v>
      </c>
      <c r="G2909" s="23" t="s">
        <v>75</v>
      </c>
      <c r="H2909" s="24">
        <v>499</v>
      </c>
      <c r="I2909" s="24">
        <v>0</v>
      </c>
      <c r="J2909" s="24">
        <v>0</v>
      </c>
      <c r="K2909" s="24">
        <v>499</v>
      </c>
      <c r="L2909" s="38">
        <v>46283</v>
      </c>
      <c r="M2909" s="23" t="s">
        <v>208</v>
      </c>
      <c r="N2909" s="23" t="str">
        <f>IF(COUNTIF($A$2:A2909,A2909)&gt;1,"DUP","OK")</f>
        <v>OK</v>
      </c>
      <c r="O2909" s="23" t="str">
        <f t="shared" si="136"/>
        <v>ORD26000990</v>
      </c>
      <c r="P2909" s="23" t="str">
        <f t="shared" si="137"/>
        <v>Sep</v>
      </c>
      <c r="Q2909" s="23" t="str">
        <f>IF(F2909="CAPTURE",IF(COUNTIF(orders!$A:$A,O2909)&gt;0,"Yes","NO ORDER"),"")</f>
        <v>Yes</v>
      </c>
    </row>
    <row r="2910" spans="1:17" ht="15" customHeight="1" x14ac:dyDescent="0.3">
      <c r="A2910" s="23" t="s">
        <v>15790</v>
      </c>
      <c r="B2910" s="23"/>
      <c r="C2910" s="23" t="s">
        <v>2468</v>
      </c>
      <c r="D2910" s="23" t="str">
        <f t="shared" si="135"/>
        <v>ORD26001004</v>
      </c>
      <c r="E2910" s="38">
        <v>46281</v>
      </c>
      <c r="F2910" s="23" t="s">
        <v>12410</v>
      </c>
      <c r="G2910" s="23" t="s">
        <v>75</v>
      </c>
      <c r="H2910" s="24">
        <v>7097</v>
      </c>
      <c r="I2910" s="24">
        <v>21.29</v>
      </c>
      <c r="J2910" s="24">
        <v>3.83</v>
      </c>
      <c r="K2910" s="24">
        <v>7071.88</v>
      </c>
      <c r="L2910" s="38">
        <v>46283</v>
      </c>
      <c r="M2910" s="23" t="s">
        <v>208</v>
      </c>
      <c r="N2910" s="23" t="str">
        <f>IF(COUNTIF($A$2:A2910,A2910)&gt;1,"DUP","OK")</f>
        <v>OK</v>
      </c>
      <c r="O2910" s="23" t="str">
        <f t="shared" si="136"/>
        <v>ORD26001004</v>
      </c>
      <c r="P2910" s="23" t="str">
        <f t="shared" si="137"/>
        <v>Sep</v>
      </c>
      <c r="Q2910" s="23" t="str">
        <f>IF(F2910="CAPTURE",IF(COUNTIF(orders!$A:$A,O2910)&gt;0,"Yes","NO ORDER"),"")</f>
        <v>Yes</v>
      </c>
    </row>
    <row r="2911" spans="1:17" ht="15" customHeight="1" x14ac:dyDescent="0.3">
      <c r="A2911" s="23" t="s">
        <v>15791</v>
      </c>
      <c r="B2911" s="23"/>
      <c r="C2911" s="23" t="s">
        <v>2470</v>
      </c>
      <c r="D2911" s="23" t="str">
        <f t="shared" si="135"/>
        <v>ORD26001005</v>
      </c>
      <c r="E2911" s="38">
        <v>46281</v>
      </c>
      <c r="F2911" s="23" t="s">
        <v>12410</v>
      </c>
      <c r="G2911" s="23" t="s">
        <v>75</v>
      </c>
      <c r="H2911" s="24">
        <v>349</v>
      </c>
      <c r="I2911" s="24">
        <v>0</v>
      </c>
      <c r="J2911" s="24">
        <v>0</v>
      </c>
      <c r="K2911" s="24">
        <v>349</v>
      </c>
      <c r="L2911" s="38">
        <v>46283</v>
      </c>
      <c r="M2911" s="23" t="s">
        <v>208</v>
      </c>
      <c r="N2911" s="23" t="str">
        <f>IF(COUNTIF($A$2:A2911,A2911)&gt;1,"DUP","OK")</f>
        <v>OK</v>
      </c>
      <c r="O2911" s="23" t="str">
        <f t="shared" si="136"/>
        <v>ORD26001005</v>
      </c>
      <c r="P2911" s="23" t="str">
        <f t="shared" si="137"/>
        <v>Sep</v>
      </c>
      <c r="Q2911" s="23" t="str">
        <f>IF(F2911="CAPTURE",IF(COUNTIF(orders!$A:$A,O2911)&gt;0,"Yes","NO ORDER"),"")</f>
        <v>Yes</v>
      </c>
    </row>
    <row r="2912" spans="1:17" ht="15" customHeight="1" x14ac:dyDescent="0.3">
      <c r="A2912" s="23" t="s">
        <v>15792</v>
      </c>
      <c r="B2912" s="23"/>
      <c r="C2912" s="23" t="s">
        <v>2563</v>
      </c>
      <c r="D2912" s="23" t="str">
        <f t="shared" si="135"/>
        <v>ORD26001050</v>
      </c>
      <c r="E2912" s="38">
        <v>46281</v>
      </c>
      <c r="F2912" s="23" t="s">
        <v>12410</v>
      </c>
      <c r="G2912" s="23" t="s">
        <v>79</v>
      </c>
      <c r="H2912" s="24">
        <v>9298</v>
      </c>
      <c r="I2912" s="24">
        <v>148.77000000000001</v>
      </c>
      <c r="J2912" s="24">
        <v>26.78</v>
      </c>
      <c r="K2912" s="24">
        <v>9122.4500000000007</v>
      </c>
      <c r="L2912" s="38">
        <v>46283</v>
      </c>
      <c r="M2912" s="23" t="s">
        <v>208</v>
      </c>
      <c r="N2912" s="23" t="str">
        <f>IF(COUNTIF($A$2:A2912,A2912)&gt;1,"DUP","OK")</f>
        <v>OK</v>
      </c>
      <c r="O2912" s="23" t="str">
        <f t="shared" si="136"/>
        <v>ORD26001050</v>
      </c>
      <c r="P2912" s="23" t="str">
        <f t="shared" si="137"/>
        <v>Sep</v>
      </c>
      <c r="Q2912" s="23" t="str">
        <f>IF(F2912="CAPTURE",IF(COUNTIF(orders!$A:$A,O2912)&gt;0,"Yes","NO ORDER"),"")</f>
        <v>Yes</v>
      </c>
    </row>
    <row r="2913" spans="1:17" ht="15" customHeight="1" x14ac:dyDescent="0.3">
      <c r="A2913" s="23" t="s">
        <v>15793</v>
      </c>
      <c r="B2913" s="23"/>
      <c r="C2913" s="23" t="s">
        <v>2662</v>
      </c>
      <c r="D2913" s="23" t="str">
        <f t="shared" si="135"/>
        <v>ORD26001098</v>
      </c>
      <c r="E2913" s="38">
        <v>46281</v>
      </c>
      <c r="F2913" s="23" t="s">
        <v>12410</v>
      </c>
      <c r="G2913" s="23" t="s">
        <v>75</v>
      </c>
      <c r="H2913" s="24">
        <v>11797</v>
      </c>
      <c r="I2913" s="24">
        <v>35.39</v>
      </c>
      <c r="J2913" s="24">
        <v>6.37</v>
      </c>
      <c r="K2913" s="24">
        <v>11755.24</v>
      </c>
      <c r="L2913" s="38">
        <v>46283</v>
      </c>
      <c r="M2913" s="23" t="s">
        <v>208</v>
      </c>
      <c r="N2913" s="23" t="str">
        <f>IF(COUNTIF($A$2:A2913,A2913)&gt;1,"DUP","OK")</f>
        <v>OK</v>
      </c>
      <c r="O2913" s="23" t="str">
        <f t="shared" si="136"/>
        <v>ORD26001098</v>
      </c>
      <c r="P2913" s="23" t="str">
        <f t="shared" si="137"/>
        <v>Sep</v>
      </c>
      <c r="Q2913" s="23" t="str">
        <f>IF(F2913="CAPTURE",IF(COUNTIF(orders!$A:$A,O2913)&gt;0,"Yes","NO ORDER"),"")</f>
        <v>Yes</v>
      </c>
    </row>
    <row r="2914" spans="1:17" ht="15" customHeight="1" x14ac:dyDescent="0.3">
      <c r="A2914" s="23" t="s">
        <v>15794</v>
      </c>
      <c r="B2914" s="23"/>
      <c r="C2914" s="23" t="s">
        <v>2681</v>
      </c>
      <c r="D2914" s="23" t="str">
        <f t="shared" si="135"/>
        <v>ORD26001108</v>
      </c>
      <c r="E2914" s="38">
        <v>46281</v>
      </c>
      <c r="F2914" s="23" t="s">
        <v>12410</v>
      </c>
      <c r="G2914" s="23" t="s">
        <v>79</v>
      </c>
      <c r="H2914" s="24">
        <v>2999</v>
      </c>
      <c r="I2914" s="24">
        <v>47.98</v>
      </c>
      <c r="J2914" s="24">
        <v>8.64</v>
      </c>
      <c r="K2914" s="24">
        <v>2942.38</v>
      </c>
      <c r="L2914" s="38">
        <v>46283</v>
      </c>
      <c r="M2914" s="23" t="s">
        <v>208</v>
      </c>
      <c r="N2914" s="23" t="str">
        <f>IF(COUNTIF($A$2:A2914,A2914)&gt;1,"DUP","OK")</f>
        <v>OK</v>
      </c>
      <c r="O2914" s="23" t="str">
        <f t="shared" si="136"/>
        <v>ORD26001108</v>
      </c>
      <c r="P2914" s="23" t="str">
        <f t="shared" si="137"/>
        <v>Sep</v>
      </c>
      <c r="Q2914" s="23" t="str">
        <f>IF(F2914="CAPTURE",IF(COUNTIF(orders!$A:$A,O2914)&gt;0,"Yes","NO ORDER"),"")</f>
        <v>Yes</v>
      </c>
    </row>
    <row r="2915" spans="1:17" ht="15" customHeight="1" x14ac:dyDescent="0.3">
      <c r="A2915" s="23" t="s">
        <v>15795</v>
      </c>
      <c r="B2915" s="23"/>
      <c r="C2915" s="23" t="s">
        <v>2693</v>
      </c>
      <c r="D2915" s="23" t="str">
        <f t="shared" si="135"/>
        <v>ORD26001114</v>
      </c>
      <c r="E2915" s="38">
        <v>46281</v>
      </c>
      <c r="F2915" s="23" t="s">
        <v>12410</v>
      </c>
      <c r="G2915" s="23" t="s">
        <v>75</v>
      </c>
      <c r="H2915" s="24">
        <v>2598</v>
      </c>
      <c r="I2915" s="24">
        <v>7.79</v>
      </c>
      <c r="J2915" s="24">
        <v>1.4</v>
      </c>
      <c r="K2915" s="24">
        <v>2588.81</v>
      </c>
      <c r="L2915" s="38">
        <v>46283</v>
      </c>
      <c r="M2915" s="23" t="s">
        <v>208</v>
      </c>
      <c r="N2915" s="23" t="str">
        <f>IF(COUNTIF($A$2:A2915,A2915)&gt;1,"DUP","OK")</f>
        <v>OK</v>
      </c>
      <c r="O2915" s="23" t="str">
        <f t="shared" si="136"/>
        <v>ORD26001114</v>
      </c>
      <c r="P2915" s="23" t="str">
        <f t="shared" si="137"/>
        <v>Sep</v>
      </c>
      <c r="Q2915" s="23" t="str">
        <f>IF(F2915="CAPTURE",IF(COUNTIF(orders!$A:$A,O2915)&gt;0,"Yes","NO ORDER"),"")</f>
        <v>Yes</v>
      </c>
    </row>
    <row r="2916" spans="1:17" ht="15" customHeight="1" x14ac:dyDescent="0.3">
      <c r="A2916" s="23" t="s">
        <v>15796</v>
      </c>
      <c r="B2916" s="23"/>
      <c r="C2916" s="23" t="s">
        <v>2713</v>
      </c>
      <c r="D2916" s="23" t="str">
        <f t="shared" si="135"/>
        <v>ORD26001124</v>
      </c>
      <c r="E2916" s="38">
        <v>46281</v>
      </c>
      <c r="F2916" s="23" t="s">
        <v>12410</v>
      </c>
      <c r="G2916" s="23" t="s">
        <v>77</v>
      </c>
      <c r="H2916" s="24">
        <v>9797</v>
      </c>
      <c r="I2916" s="24">
        <v>166.55</v>
      </c>
      <c r="J2916" s="24">
        <v>29.98</v>
      </c>
      <c r="K2916" s="24">
        <v>9600.4699999999993</v>
      </c>
      <c r="L2916" s="38">
        <v>46283</v>
      </c>
      <c r="M2916" s="23" t="s">
        <v>208</v>
      </c>
      <c r="N2916" s="23" t="str">
        <f>IF(COUNTIF($A$2:A2916,A2916)&gt;1,"DUP","OK")</f>
        <v>OK</v>
      </c>
      <c r="O2916" s="23" t="str">
        <f t="shared" si="136"/>
        <v>ORD26001124</v>
      </c>
      <c r="P2916" s="23" t="str">
        <f t="shared" si="137"/>
        <v>Sep</v>
      </c>
      <c r="Q2916" s="23" t="str">
        <f>IF(F2916="CAPTURE",IF(COUNTIF(orders!$A:$A,O2916)&gt;0,"Yes","NO ORDER"),"")</f>
        <v>Yes</v>
      </c>
    </row>
    <row r="2917" spans="1:17" ht="15" customHeight="1" x14ac:dyDescent="0.3">
      <c r="A2917" s="23" t="s">
        <v>15797</v>
      </c>
      <c r="B2917" s="23"/>
      <c r="C2917" s="23" t="s">
        <v>2761</v>
      </c>
      <c r="D2917" s="23" t="str">
        <f t="shared" si="135"/>
        <v>ORD26001147</v>
      </c>
      <c r="E2917" s="38">
        <v>46281</v>
      </c>
      <c r="F2917" s="23" t="s">
        <v>12410</v>
      </c>
      <c r="G2917" s="23" t="s">
        <v>79</v>
      </c>
      <c r="H2917" s="24">
        <v>7999</v>
      </c>
      <c r="I2917" s="24">
        <v>127.98</v>
      </c>
      <c r="J2917" s="24">
        <v>23.04</v>
      </c>
      <c r="K2917" s="24">
        <v>7847.98</v>
      </c>
      <c r="L2917" s="38">
        <v>46283</v>
      </c>
      <c r="M2917" s="23" t="s">
        <v>208</v>
      </c>
      <c r="N2917" s="23" t="str">
        <f>IF(COUNTIF($A$2:A2917,A2917)&gt;1,"DUP","OK")</f>
        <v>OK</v>
      </c>
      <c r="O2917" s="23" t="str">
        <f t="shared" si="136"/>
        <v>ORD26001147</v>
      </c>
      <c r="P2917" s="23" t="str">
        <f t="shared" si="137"/>
        <v>Sep</v>
      </c>
      <c r="Q2917" s="23" t="str">
        <f>IF(F2917="CAPTURE",IF(COUNTIF(orders!$A:$A,O2917)&gt;0,"Yes","NO ORDER"),"")</f>
        <v>Yes</v>
      </c>
    </row>
    <row r="2918" spans="1:17" ht="15" customHeight="1" x14ac:dyDescent="0.3">
      <c r="A2918" s="23" t="s">
        <v>15798</v>
      </c>
      <c r="B2918" s="23"/>
      <c r="C2918" s="23" t="s">
        <v>2799</v>
      </c>
      <c r="D2918" s="23" t="str">
        <f t="shared" si="135"/>
        <v>ORD26001166</v>
      </c>
      <c r="E2918" s="38">
        <v>46281</v>
      </c>
      <c r="F2918" s="23" t="s">
        <v>12410</v>
      </c>
      <c r="G2918" s="23" t="s">
        <v>77</v>
      </c>
      <c r="H2918" s="24">
        <v>3499</v>
      </c>
      <c r="I2918" s="24">
        <v>59.48</v>
      </c>
      <c r="J2918" s="24">
        <v>10.71</v>
      </c>
      <c r="K2918" s="24">
        <v>3428.81</v>
      </c>
      <c r="L2918" s="38">
        <v>46283</v>
      </c>
      <c r="M2918" s="23" t="s">
        <v>208</v>
      </c>
      <c r="N2918" s="23" t="str">
        <f>IF(COUNTIF($A$2:A2918,A2918)&gt;1,"DUP","OK")</f>
        <v>OK</v>
      </c>
      <c r="O2918" s="23" t="str">
        <f t="shared" si="136"/>
        <v>ORD26001166</v>
      </c>
      <c r="P2918" s="23" t="str">
        <f t="shared" si="137"/>
        <v>Sep</v>
      </c>
      <c r="Q2918" s="23" t="str">
        <f>IF(F2918="CAPTURE",IF(COUNTIF(orders!$A:$A,O2918)&gt;0,"Yes","NO ORDER"),"")</f>
        <v>Yes</v>
      </c>
    </row>
    <row r="2919" spans="1:17" ht="15" customHeight="1" x14ac:dyDescent="0.3">
      <c r="A2919" s="23" t="s">
        <v>15799</v>
      </c>
      <c r="B2919" s="23"/>
      <c r="C2919" s="23" t="s">
        <v>2847</v>
      </c>
      <c r="D2919" s="23" t="str">
        <f t="shared" si="135"/>
        <v>ORD26001190</v>
      </c>
      <c r="E2919" s="38">
        <v>46281</v>
      </c>
      <c r="F2919" s="23" t="s">
        <v>12410</v>
      </c>
      <c r="G2919" s="23" t="s">
        <v>75</v>
      </c>
      <c r="H2919" s="24">
        <v>7999</v>
      </c>
      <c r="I2919" s="24">
        <v>24</v>
      </c>
      <c r="J2919" s="24">
        <v>4.32</v>
      </c>
      <c r="K2919" s="24">
        <v>7970.68</v>
      </c>
      <c r="L2919" s="38">
        <v>46283</v>
      </c>
      <c r="M2919" s="23" t="s">
        <v>208</v>
      </c>
      <c r="N2919" s="23" t="str">
        <f>IF(COUNTIF($A$2:A2919,A2919)&gt;1,"DUP","OK")</f>
        <v>OK</v>
      </c>
      <c r="O2919" s="23" t="str">
        <f t="shared" si="136"/>
        <v>ORD26001190</v>
      </c>
      <c r="P2919" s="23" t="str">
        <f t="shared" si="137"/>
        <v>Sep</v>
      </c>
      <c r="Q2919" s="23" t="str">
        <f>IF(F2919="CAPTURE",IF(COUNTIF(orders!$A:$A,O2919)&gt;0,"Yes","NO ORDER"),"")</f>
        <v>Yes</v>
      </c>
    </row>
    <row r="2920" spans="1:17" ht="15" customHeight="1" x14ac:dyDescent="0.3">
      <c r="A2920" s="23" t="s">
        <v>15800</v>
      </c>
      <c r="B2920" s="23"/>
      <c r="C2920" s="23" t="s">
        <v>2853</v>
      </c>
      <c r="D2920" s="23" t="str">
        <f t="shared" si="135"/>
        <v>ORD26001193</v>
      </c>
      <c r="E2920" s="38">
        <v>46281</v>
      </c>
      <c r="F2920" s="23" t="s">
        <v>12410</v>
      </c>
      <c r="G2920" s="23" t="s">
        <v>79</v>
      </c>
      <c r="H2920" s="24">
        <v>3298</v>
      </c>
      <c r="I2920" s="24">
        <v>52.77</v>
      </c>
      <c r="J2920" s="24">
        <v>9.5</v>
      </c>
      <c r="K2920" s="24">
        <v>3235.73</v>
      </c>
      <c r="L2920" s="38">
        <v>46283</v>
      </c>
      <c r="M2920" s="23" t="s">
        <v>208</v>
      </c>
      <c r="N2920" s="23" t="str">
        <f>IF(COUNTIF($A$2:A2920,A2920)&gt;1,"DUP","OK")</f>
        <v>OK</v>
      </c>
      <c r="O2920" s="23" t="str">
        <f t="shared" si="136"/>
        <v>ORD26001193</v>
      </c>
      <c r="P2920" s="23" t="str">
        <f t="shared" si="137"/>
        <v>Sep</v>
      </c>
      <c r="Q2920" s="23" t="str">
        <f>IF(F2920="CAPTURE",IF(COUNTIF(orders!$A:$A,O2920)&gt;0,"Yes","NO ORDER"),"")</f>
        <v>Yes</v>
      </c>
    </row>
    <row r="2921" spans="1:17" ht="15" customHeight="1" x14ac:dyDescent="0.3">
      <c r="A2921" s="23" t="s">
        <v>15801</v>
      </c>
      <c r="B2921" s="23"/>
      <c r="C2921" s="23" t="s">
        <v>2984</v>
      </c>
      <c r="D2921" s="23" t="str">
        <f t="shared" si="135"/>
        <v>ORD26001256</v>
      </c>
      <c r="E2921" s="38">
        <v>46281</v>
      </c>
      <c r="F2921" s="23" t="s">
        <v>12410</v>
      </c>
      <c r="G2921" s="23" t="s">
        <v>77</v>
      </c>
      <c r="H2921" s="24">
        <v>1299</v>
      </c>
      <c r="I2921" s="24">
        <v>24.68</v>
      </c>
      <c r="J2921" s="24">
        <v>4.4400000000000004</v>
      </c>
      <c r="K2921" s="24">
        <v>1269.8800000000001</v>
      </c>
      <c r="L2921" s="38">
        <v>46283</v>
      </c>
      <c r="M2921" s="23" t="s">
        <v>208</v>
      </c>
      <c r="N2921" s="23" t="str">
        <f>IF(COUNTIF($A$2:A2921,A2921)&gt;1,"DUP","OK")</f>
        <v>OK</v>
      </c>
      <c r="O2921" s="23" t="str">
        <f t="shared" si="136"/>
        <v>ORD26001256</v>
      </c>
      <c r="P2921" s="23" t="str">
        <f t="shared" si="137"/>
        <v>Sep</v>
      </c>
      <c r="Q2921" s="23" t="str">
        <f>IF(F2921="CAPTURE",IF(COUNTIF(orders!$A:$A,O2921)&gt;0,"Yes","NO ORDER"),"")</f>
        <v>Yes</v>
      </c>
    </row>
    <row r="2922" spans="1:17" ht="15" customHeight="1" x14ac:dyDescent="0.3">
      <c r="A2922" s="23" t="s">
        <v>15802</v>
      </c>
      <c r="B2922" s="23"/>
      <c r="C2922" s="23" t="s">
        <v>3016</v>
      </c>
      <c r="D2922" s="23" t="str">
        <f t="shared" si="135"/>
        <v>ORD26001271</v>
      </c>
      <c r="E2922" s="38">
        <v>46281</v>
      </c>
      <c r="F2922" s="23" t="s">
        <v>12410</v>
      </c>
      <c r="G2922" s="23" t="s">
        <v>75</v>
      </c>
      <c r="H2922" s="24">
        <v>599</v>
      </c>
      <c r="I2922" s="24">
        <v>0</v>
      </c>
      <c r="J2922" s="24">
        <v>0</v>
      </c>
      <c r="K2922" s="24">
        <v>599</v>
      </c>
      <c r="L2922" s="38">
        <v>46283</v>
      </c>
      <c r="M2922" s="23" t="s">
        <v>208</v>
      </c>
      <c r="N2922" s="23" t="str">
        <f>IF(COUNTIF($A$2:A2922,A2922)&gt;1,"DUP","OK")</f>
        <v>OK</v>
      </c>
      <c r="O2922" s="23" t="str">
        <f t="shared" si="136"/>
        <v>ORD26001271</v>
      </c>
      <c r="P2922" s="23" t="str">
        <f t="shared" si="137"/>
        <v>Sep</v>
      </c>
      <c r="Q2922" s="23" t="str">
        <f>IF(F2922="CAPTURE",IF(COUNTIF(orders!$A:$A,O2922)&gt;0,"Yes","NO ORDER"),"")</f>
        <v>Yes</v>
      </c>
    </row>
    <row r="2923" spans="1:17" ht="15" customHeight="1" x14ac:dyDescent="0.3">
      <c r="A2923" s="23" t="s">
        <v>15803</v>
      </c>
      <c r="B2923" s="23"/>
      <c r="C2923" s="23" t="s">
        <v>3020</v>
      </c>
      <c r="D2923" s="23" t="str">
        <f t="shared" si="135"/>
        <v>ORD26001273</v>
      </c>
      <c r="E2923" s="38">
        <v>46281</v>
      </c>
      <c r="F2923" s="23" t="s">
        <v>12410</v>
      </c>
      <c r="G2923" s="23" t="s">
        <v>77</v>
      </c>
      <c r="H2923" s="24">
        <v>299</v>
      </c>
      <c r="I2923" s="24">
        <v>5.68</v>
      </c>
      <c r="J2923" s="24">
        <v>1.02</v>
      </c>
      <c r="K2923" s="24">
        <v>292.3</v>
      </c>
      <c r="L2923" s="38">
        <v>46283</v>
      </c>
      <c r="M2923" s="23" t="s">
        <v>208</v>
      </c>
      <c r="N2923" s="23" t="str">
        <f>IF(COUNTIF($A$2:A2923,A2923)&gt;1,"DUP","OK")</f>
        <v>OK</v>
      </c>
      <c r="O2923" s="23" t="str">
        <f t="shared" si="136"/>
        <v>ORD26001273</v>
      </c>
      <c r="P2923" s="23" t="str">
        <f t="shared" si="137"/>
        <v>Sep</v>
      </c>
      <c r="Q2923" s="23" t="str">
        <f>IF(F2923="CAPTURE",IF(COUNTIF(orders!$A:$A,O2923)&gt;0,"Yes","NO ORDER"),"")</f>
        <v>Yes</v>
      </c>
    </row>
    <row r="2924" spans="1:17" ht="15" customHeight="1" x14ac:dyDescent="0.3">
      <c r="A2924" s="23" t="s">
        <v>15804</v>
      </c>
      <c r="B2924" s="23"/>
      <c r="C2924" s="23" t="s">
        <v>3064</v>
      </c>
      <c r="D2924" s="23" t="str">
        <f t="shared" si="135"/>
        <v>ORD26001295</v>
      </c>
      <c r="E2924" s="38">
        <v>46281</v>
      </c>
      <c r="F2924" s="23" t="s">
        <v>12410</v>
      </c>
      <c r="G2924" s="23" t="s">
        <v>79</v>
      </c>
      <c r="H2924" s="24">
        <v>4497</v>
      </c>
      <c r="I2924" s="24">
        <v>71.95</v>
      </c>
      <c r="J2924" s="24">
        <v>12.95</v>
      </c>
      <c r="K2924" s="24">
        <v>4412.1000000000004</v>
      </c>
      <c r="L2924" s="38">
        <v>46283</v>
      </c>
      <c r="M2924" s="23" t="s">
        <v>208</v>
      </c>
      <c r="N2924" s="23" t="str">
        <f>IF(COUNTIF($A$2:A2924,A2924)&gt;1,"DUP","OK")</f>
        <v>OK</v>
      </c>
      <c r="O2924" s="23" t="str">
        <f t="shared" si="136"/>
        <v>ORD26001295</v>
      </c>
      <c r="P2924" s="23" t="str">
        <f t="shared" si="137"/>
        <v>Sep</v>
      </c>
      <c r="Q2924" s="23" t="str">
        <f>IF(F2924="CAPTURE",IF(COUNTIF(orders!$A:$A,O2924)&gt;0,"Yes","NO ORDER"),"")</f>
        <v>Yes</v>
      </c>
    </row>
    <row r="2925" spans="1:17" ht="15" customHeight="1" x14ac:dyDescent="0.3">
      <c r="A2925" s="23" t="s">
        <v>15805</v>
      </c>
      <c r="B2925" s="23"/>
      <c r="C2925" s="23" t="s">
        <v>3114</v>
      </c>
      <c r="D2925" s="23" t="str">
        <f t="shared" si="135"/>
        <v>ORD26001318</v>
      </c>
      <c r="E2925" s="38">
        <v>46281</v>
      </c>
      <c r="F2925" s="23" t="s">
        <v>12410</v>
      </c>
      <c r="G2925" s="23" t="s">
        <v>77</v>
      </c>
      <c r="H2925" s="24">
        <v>2499</v>
      </c>
      <c r="I2925" s="24">
        <v>42.48</v>
      </c>
      <c r="J2925" s="24">
        <v>7.65</v>
      </c>
      <c r="K2925" s="24">
        <v>2448.87</v>
      </c>
      <c r="L2925" s="38">
        <v>46283</v>
      </c>
      <c r="M2925" s="23" t="s">
        <v>208</v>
      </c>
      <c r="N2925" s="23" t="str">
        <f>IF(COUNTIF($A$2:A2925,A2925)&gt;1,"DUP","OK")</f>
        <v>OK</v>
      </c>
      <c r="O2925" s="23" t="str">
        <f t="shared" si="136"/>
        <v>ORD26001318</v>
      </c>
      <c r="P2925" s="23" t="str">
        <f t="shared" si="137"/>
        <v>Sep</v>
      </c>
      <c r="Q2925" s="23" t="str">
        <f>IF(F2925="CAPTURE",IF(COUNTIF(orders!$A:$A,O2925)&gt;0,"Yes","NO ORDER"),"")</f>
        <v>Yes</v>
      </c>
    </row>
    <row r="2926" spans="1:17" ht="15" customHeight="1" x14ac:dyDescent="0.3">
      <c r="A2926" s="23" t="s">
        <v>15806</v>
      </c>
      <c r="B2926" s="23"/>
      <c r="C2926" s="23" t="s">
        <v>3146</v>
      </c>
      <c r="D2926" s="23" t="str">
        <f t="shared" si="135"/>
        <v>ORD26001334</v>
      </c>
      <c r="E2926" s="38">
        <v>46281</v>
      </c>
      <c r="F2926" s="23" t="s">
        <v>12410</v>
      </c>
      <c r="G2926" s="23" t="s">
        <v>75</v>
      </c>
      <c r="H2926" s="24">
        <v>9997</v>
      </c>
      <c r="I2926" s="24">
        <v>29.99</v>
      </c>
      <c r="J2926" s="24">
        <v>5.4</v>
      </c>
      <c r="K2926" s="24">
        <v>9961.61</v>
      </c>
      <c r="L2926" s="38">
        <v>46283</v>
      </c>
      <c r="M2926" s="23" t="s">
        <v>208</v>
      </c>
      <c r="N2926" s="23" t="str">
        <f>IF(COUNTIF($A$2:A2926,A2926)&gt;1,"DUP","OK")</f>
        <v>OK</v>
      </c>
      <c r="O2926" s="23" t="str">
        <f t="shared" si="136"/>
        <v>ORD26001334</v>
      </c>
      <c r="P2926" s="23" t="str">
        <f t="shared" si="137"/>
        <v>Sep</v>
      </c>
      <c r="Q2926" s="23" t="str">
        <f>IF(F2926="CAPTURE",IF(COUNTIF(orders!$A:$A,O2926)&gt;0,"Yes","NO ORDER"),"")</f>
        <v>Yes</v>
      </c>
    </row>
    <row r="2927" spans="1:17" ht="15" customHeight="1" x14ac:dyDescent="0.3">
      <c r="A2927" s="23" t="s">
        <v>15807</v>
      </c>
      <c r="B2927" s="23"/>
      <c r="C2927" s="23" t="s">
        <v>15808</v>
      </c>
      <c r="D2927" s="23" t="str">
        <f t="shared" si="135"/>
        <v>ORD26001353</v>
      </c>
      <c r="E2927" s="38">
        <v>46281</v>
      </c>
      <c r="F2927" s="23" t="s">
        <v>12410</v>
      </c>
      <c r="G2927" s="23" t="s">
        <v>75</v>
      </c>
      <c r="H2927" s="24">
        <v>799</v>
      </c>
      <c r="I2927" s="24">
        <v>0</v>
      </c>
      <c r="J2927" s="24">
        <v>0</v>
      </c>
      <c r="K2927" s="24">
        <v>799</v>
      </c>
      <c r="L2927" s="38">
        <v>46283</v>
      </c>
      <c r="M2927" s="23" t="s">
        <v>208</v>
      </c>
      <c r="N2927" s="23" t="str">
        <f>IF(COUNTIF($A$2:A2927,A2927)&gt;1,"DUP","OK")</f>
        <v>OK</v>
      </c>
      <c r="O2927" s="23" t="str">
        <f t="shared" si="136"/>
        <v>ORD26001353</v>
      </c>
      <c r="P2927" s="23" t="str">
        <f t="shared" si="137"/>
        <v>Sep</v>
      </c>
      <c r="Q2927" s="23" t="str">
        <f>IF(F2927="CAPTURE",IF(COUNTIF(orders!$A:$A,O2927)&gt;0,"Yes","NO ORDER"),"")</f>
        <v>Yes</v>
      </c>
    </row>
    <row r="2928" spans="1:17" ht="15" customHeight="1" x14ac:dyDescent="0.3">
      <c r="A2928" s="23" t="s">
        <v>15809</v>
      </c>
      <c r="B2928" s="23"/>
      <c r="C2928" s="23" t="s">
        <v>3263</v>
      </c>
      <c r="D2928" s="23" t="str">
        <f t="shared" si="135"/>
        <v>ORD26001391</v>
      </c>
      <c r="E2928" s="38">
        <v>46281</v>
      </c>
      <c r="F2928" s="23" t="s">
        <v>12410</v>
      </c>
      <c r="G2928" s="23" t="s">
        <v>75</v>
      </c>
      <c r="H2928" s="24">
        <v>2598</v>
      </c>
      <c r="I2928" s="24">
        <v>7.79</v>
      </c>
      <c r="J2928" s="24">
        <v>1.4</v>
      </c>
      <c r="K2928" s="24">
        <v>2588.81</v>
      </c>
      <c r="L2928" s="38">
        <v>46283</v>
      </c>
      <c r="M2928" s="23" t="s">
        <v>208</v>
      </c>
      <c r="N2928" s="23" t="str">
        <f>IF(COUNTIF($A$2:A2928,A2928)&gt;1,"DUP","OK")</f>
        <v>OK</v>
      </c>
      <c r="O2928" s="23" t="str">
        <f t="shared" si="136"/>
        <v>ORD26001391</v>
      </c>
      <c r="P2928" s="23" t="str">
        <f t="shared" si="137"/>
        <v>Sep</v>
      </c>
      <c r="Q2928" s="23" t="str">
        <f>IF(F2928="CAPTURE",IF(COUNTIF(orders!$A:$A,O2928)&gt;0,"Yes","NO ORDER"),"")</f>
        <v>Yes</v>
      </c>
    </row>
    <row r="2929" spans="1:17" ht="15" customHeight="1" x14ac:dyDescent="0.3">
      <c r="A2929" s="23" t="s">
        <v>15810</v>
      </c>
      <c r="B2929" s="23"/>
      <c r="C2929" s="23" t="s">
        <v>3401</v>
      </c>
      <c r="D2929" s="23" t="str">
        <f t="shared" si="135"/>
        <v>ORD26001459</v>
      </c>
      <c r="E2929" s="38">
        <v>46281</v>
      </c>
      <c r="F2929" s="23" t="s">
        <v>12410</v>
      </c>
      <c r="G2929" s="23" t="s">
        <v>75</v>
      </c>
      <c r="H2929" s="24">
        <v>2499</v>
      </c>
      <c r="I2929" s="24">
        <v>7.5</v>
      </c>
      <c r="J2929" s="24">
        <v>1.35</v>
      </c>
      <c r="K2929" s="24">
        <v>2490.15</v>
      </c>
      <c r="L2929" s="38">
        <v>46283</v>
      </c>
      <c r="M2929" s="23" t="s">
        <v>208</v>
      </c>
      <c r="N2929" s="23" t="str">
        <f>IF(COUNTIF($A$2:A2929,A2929)&gt;1,"DUP","OK")</f>
        <v>OK</v>
      </c>
      <c r="O2929" s="23" t="str">
        <f t="shared" si="136"/>
        <v>ORD26001459</v>
      </c>
      <c r="P2929" s="23" t="str">
        <f t="shared" si="137"/>
        <v>Sep</v>
      </c>
      <c r="Q2929" s="23" t="str">
        <f>IF(F2929="CAPTURE",IF(COUNTIF(orders!$A:$A,O2929)&gt;0,"Yes","NO ORDER"),"")</f>
        <v>Yes</v>
      </c>
    </row>
    <row r="2930" spans="1:17" ht="15" customHeight="1" x14ac:dyDescent="0.3">
      <c r="A2930" s="23" t="s">
        <v>15811</v>
      </c>
      <c r="B2930" s="23"/>
      <c r="C2930" s="23" t="s">
        <v>3527</v>
      </c>
      <c r="D2930" s="23" t="str">
        <f t="shared" si="135"/>
        <v>ORD26001520</v>
      </c>
      <c r="E2930" s="38">
        <v>46281</v>
      </c>
      <c r="F2930" s="23" t="s">
        <v>12410</v>
      </c>
      <c r="G2930" s="23" t="s">
        <v>75</v>
      </c>
      <c r="H2930" s="24">
        <v>3598</v>
      </c>
      <c r="I2930" s="24">
        <v>10.79</v>
      </c>
      <c r="J2930" s="24">
        <v>1.94</v>
      </c>
      <c r="K2930" s="24">
        <v>3585.27</v>
      </c>
      <c r="L2930" s="38">
        <v>46283</v>
      </c>
      <c r="M2930" s="23" t="s">
        <v>208</v>
      </c>
      <c r="N2930" s="23" t="str">
        <f>IF(COUNTIF($A$2:A2930,A2930)&gt;1,"DUP","OK")</f>
        <v>OK</v>
      </c>
      <c r="O2930" s="23" t="str">
        <f t="shared" si="136"/>
        <v>ORD26001520</v>
      </c>
      <c r="P2930" s="23" t="str">
        <f t="shared" si="137"/>
        <v>Sep</v>
      </c>
      <c r="Q2930" s="23" t="str">
        <f>IF(F2930="CAPTURE",IF(COUNTIF(orders!$A:$A,O2930)&gt;0,"Yes","NO ORDER"),"")</f>
        <v>Yes</v>
      </c>
    </row>
    <row r="2931" spans="1:17" ht="15" customHeight="1" x14ac:dyDescent="0.3">
      <c r="A2931" s="23" t="s">
        <v>15812</v>
      </c>
      <c r="B2931" s="23"/>
      <c r="C2931" s="23" t="s">
        <v>3531</v>
      </c>
      <c r="D2931" s="23" t="str">
        <f t="shared" si="135"/>
        <v>ORD26001522</v>
      </c>
      <c r="E2931" s="38">
        <v>46281</v>
      </c>
      <c r="F2931" s="23" t="s">
        <v>12410</v>
      </c>
      <c r="G2931" s="23" t="s">
        <v>75</v>
      </c>
      <c r="H2931" s="24">
        <v>11597</v>
      </c>
      <c r="I2931" s="24">
        <v>34.79</v>
      </c>
      <c r="J2931" s="24">
        <v>6.26</v>
      </c>
      <c r="K2931" s="24">
        <v>11555.95</v>
      </c>
      <c r="L2931" s="38">
        <v>46283</v>
      </c>
      <c r="M2931" s="23" t="s">
        <v>208</v>
      </c>
      <c r="N2931" s="23" t="str">
        <f>IF(COUNTIF($A$2:A2931,A2931)&gt;1,"DUP","OK")</f>
        <v>OK</v>
      </c>
      <c r="O2931" s="23" t="str">
        <f t="shared" si="136"/>
        <v>ORD26001522</v>
      </c>
      <c r="P2931" s="23" t="str">
        <f t="shared" si="137"/>
        <v>Sep</v>
      </c>
      <c r="Q2931" s="23" t="str">
        <f>IF(F2931="CAPTURE",IF(COUNTIF(orders!$A:$A,O2931)&gt;0,"Yes","NO ORDER"),"")</f>
        <v>Yes</v>
      </c>
    </row>
    <row r="2932" spans="1:17" ht="15" customHeight="1" x14ac:dyDescent="0.3">
      <c r="A2932" s="23" t="s">
        <v>15813</v>
      </c>
      <c r="B2932" s="23"/>
      <c r="C2932" s="23" t="s">
        <v>3695</v>
      </c>
      <c r="D2932" s="23" t="str">
        <f t="shared" si="135"/>
        <v>ORD26001604</v>
      </c>
      <c r="E2932" s="38">
        <v>46281</v>
      </c>
      <c r="F2932" s="23" t="s">
        <v>12410</v>
      </c>
      <c r="G2932" s="23" t="s">
        <v>79</v>
      </c>
      <c r="H2932" s="24">
        <v>8498</v>
      </c>
      <c r="I2932" s="24">
        <v>135.97</v>
      </c>
      <c r="J2932" s="24">
        <v>24.47</v>
      </c>
      <c r="K2932" s="24">
        <v>8337.56</v>
      </c>
      <c r="L2932" s="38">
        <v>46283</v>
      </c>
      <c r="M2932" s="23" t="s">
        <v>208</v>
      </c>
      <c r="N2932" s="23" t="str">
        <f>IF(COUNTIF($A$2:A2932,A2932)&gt;1,"DUP","OK")</f>
        <v>OK</v>
      </c>
      <c r="O2932" s="23" t="str">
        <f t="shared" si="136"/>
        <v>ORD26001604</v>
      </c>
      <c r="P2932" s="23" t="str">
        <f t="shared" si="137"/>
        <v>Sep</v>
      </c>
      <c r="Q2932" s="23" t="str">
        <f>IF(F2932="CAPTURE",IF(COUNTIF(orders!$A:$A,O2932)&gt;0,"Yes","NO ORDER"),"")</f>
        <v>Yes</v>
      </c>
    </row>
    <row r="2933" spans="1:17" ht="15" customHeight="1" x14ac:dyDescent="0.3">
      <c r="A2933" s="23" t="s">
        <v>15814</v>
      </c>
      <c r="B2933" s="23"/>
      <c r="C2933" s="23" t="s">
        <v>3841</v>
      </c>
      <c r="D2933" s="23" t="str">
        <f t="shared" si="135"/>
        <v>ORD26001678</v>
      </c>
      <c r="E2933" s="38">
        <v>46281</v>
      </c>
      <c r="F2933" s="23" t="s">
        <v>12410</v>
      </c>
      <c r="G2933" s="23" t="s">
        <v>77</v>
      </c>
      <c r="H2933" s="24">
        <v>4297</v>
      </c>
      <c r="I2933" s="24">
        <v>73.05</v>
      </c>
      <c r="J2933" s="24">
        <v>13.15</v>
      </c>
      <c r="K2933" s="24">
        <v>4210.8</v>
      </c>
      <c r="L2933" s="38">
        <v>46283</v>
      </c>
      <c r="M2933" s="23" t="s">
        <v>208</v>
      </c>
      <c r="N2933" s="23" t="str">
        <f>IF(COUNTIF($A$2:A2933,A2933)&gt;1,"DUP","OK")</f>
        <v>OK</v>
      </c>
      <c r="O2933" s="23" t="str">
        <f t="shared" si="136"/>
        <v>ORD26001678</v>
      </c>
      <c r="P2933" s="23" t="str">
        <f t="shared" si="137"/>
        <v>Sep</v>
      </c>
      <c r="Q2933" s="23" t="str">
        <f>IF(F2933="CAPTURE",IF(COUNTIF(orders!$A:$A,O2933)&gt;0,"Yes","NO ORDER"),"")</f>
        <v>Yes</v>
      </c>
    </row>
    <row r="2934" spans="1:17" ht="15" customHeight="1" x14ac:dyDescent="0.3">
      <c r="A2934" s="23" t="s">
        <v>15815</v>
      </c>
      <c r="B2934" s="23"/>
      <c r="C2934" s="23" t="s">
        <v>15816</v>
      </c>
      <c r="D2934" s="23" t="str">
        <f t="shared" si="135"/>
        <v>ORD26001680</v>
      </c>
      <c r="E2934" s="38">
        <v>46281</v>
      </c>
      <c r="F2934" s="23" t="s">
        <v>12410</v>
      </c>
      <c r="G2934" s="23" t="s">
        <v>79</v>
      </c>
      <c r="H2934" s="24">
        <v>999</v>
      </c>
      <c r="I2934" s="24">
        <v>17.98</v>
      </c>
      <c r="J2934" s="24">
        <v>3.24</v>
      </c>
      <c r="K2934" s="24">
        <v>977.78</v>
      </c>
      <c r="L2934" s="38">
        <v>46283</v>
      </c>
      <c r="M2934" s="23" t="s">
        <v>208</v>
      </c>
      <c r="N2934" s="23" t="str">
        <f>IF(COUNTIF($A$2:A2934,A2934)&gt;1,"DUP","OK")</f>
        <v>OK</v>
      </c>
      <c r="O2934" s="23" t="str">
        <f t="shared" si="136"/>
        <v>ORD26001680</v>
      </c>
      <c r="P2934" s="23" t="str">
        <f t="shared" si="137"/>
        <v>Sep</v>
      </c>
      <c r="Q2934" s="23" t="str">
        <f>IF(F2934="CAPTURE",IF(COUNTIF(orders!$A:$A,O2934)&gt;0,"Yes","NO ORDER"),"")</f>
        <v>Yes</v>
      </c>
    </row>
    <row r="2935" spans="1:17" ht="15" customHeight="1" x14ac:dyDescent="0.3">
      <c r="A2935" s="23" t="s">
        <v>15817</v>
      </c>
      <c r="B2935" s="23"/>
      <c r="C2935" s="23" t="s">
        <v>3958</v>
      </c>
      <c r="D2935" s="23" t="str">
        <f t="shared" si="135"/>
        <v>ORD26001735</v>
      </c>
      <c r="E2935" s="38">
        <v>46281</v>
      </c>
      <c r="F2935" s="23" t="s">
        <v>12410</v>
      </c>
      <c r="G2935" s="23" t="s">
        <v>79</v>
      </c>
      <c r="H2935" s="24">
        <v>13497</v>
      </c>
      <c r="I2935" s="24">
        <v>215.95</v>
      </c>
      <c r="J2935" s="24">
        <v>38.869999999999997</v>
      </c>
      <c r="K2935" s="24">
        <v>13242.18</v>
      </c>
      <c r="L2935" s="38">
        <v>46283</v>
      </c>
      <c r="M2935" s="23" t="s">
        <v>208</v>
      </c>
      <c r="N2935" s="23" t="str">
        <f>IF(COUNTIF($A$2:A2935,A2935)&gt;1,"DUP","OK")</f>
        <v>OK</v>
      </c>
      <c r="O2935" s="23" t="str">
        <f t="shared" si="136"/>
        <v>ORD26001735</v>
      </c>
      <c r="P2935" s="23" t="str">
        <f t="shared" si="137"/>
        <v>Sep</v>
      </c>
      <c r="Q2935" s="23" t="str">
        <f>IF(F2935="CAPTURE",IF(COUNTIF(orders!$A:$A,O2935)&gt;0,"Yes","NO ORDER"),"")</f>
        <v>Yes</v>
      </c>
    </row>
    <row r="2936" spans="1:17" ht="15" customHeight="1" x14ac:dyDescent="0.3">
      <c r="A2936" s="23" t="s">
        <v>15818</v>
      </c>
      <c r="B2936" s="23"/>
      <c r="C2936" s="23" t="s">
        <v>4095</v>
      </c>
      <c r="D2936" s="23" t="str">
        <f t="shared" si="135"/>
        <v>ORD26001804</v>
      </c>
      <c r="E2936" s="38">
        <v>46281</v>
      </c>
      <c r="F2936" s="23" t="s">
        <v>12410</v>
      </c>
      <c r="G2936" s="23" t="s">
        <v>75</v>
      </c>
      <c r="H2936" s="24">
        <v>2647</v>
      </c>
      <c r="I2936" s="24">
        <v>7.94</v>
      </c>
      <c r="J2936" s="24">
        <v>1.43</v>
      </c>
      <c r="K2936" s="24">
        <v>2637.63</v>
      </c>
      <c r="L2936" s="38">
        <v>46283</v>
      </c>
      <c r="M2936" s="23" t="s">
        <v>208</v>
      </c>
      <c r="N2936" s="23" t="str">
        <f>IF(COUNTIF($A$2:A2936,A2936)&gt;1,"DUP","OK")</f>
        <v>OK</v>
      </c>
      <c r="O2936" s="23" t="str">
        <f t="shared" si="136"/>
        <v>ORD26001804</v>
      </c>
      <c r="P2936" s="23" t="str">
        <f t="shared" si="137"/>
        <v>Sep</v>
      </c>
      <c r="Q2936" s="23" t="str">
        <f>IF(F2936="CAPTURE",IF(COUNTIF(orders!$A:$A,O2936)&gt;0,"Yes","NO ORDER"),"")</f>
        <v>Yes</v>
      </c>
    </row>
    <row r="2937" spans="1:17" ht="15" customHeight="1" x14ac:dyDescent="0.3">
      <c r="A2937" s="23" t="s">
        <v>15819</v>
      </c>
      <c r="B2937" s="23"/>
      <c r="C2937" s="23" t="s">
        <v>4141</v>
      </c>
      <c r="D2937" s="23" t="str">
        <f t="shared" si="135"/>
        <v>ORD26001827</v>
      </c>
      <c r="E2937" s="38">
        <v>46281</v>
      </c>
      <c r="F2937" s="23" t="s">
        <v>12410</v>
      </c>
      <c r="G2937" s="23" t="s">
        <v>77</v>
      </c>
      <c r="H2937" s="24">
        <v>349</v>
      </c>
      <c r="I2937" s="24">
        <v>6.63</v>
      </c>
      <c r="J2937" s="24">
        <v>1.19</v>
      </c>
      <c r="K2937" s="24">
        <v>341.18</v>
      </c>
      <c r="L2937" s="38">
        <v>46283</v>
      </c>
      <c r="M2937" s="23" t="s">
        <v>208</v>
      </c>
      <c r="N2937" s="23" t="str">
        <f>IF(COUNTIF($A$2:A2937,A2937)&gt;1,"DUP","OK")</f>
        <v>OK</v>
      </c>
      <c r="O2937" s="23" t="str">
        <f t="shared" si="136"/>
        <v>ORD26001827</v>
      </c>
      <c r="P2937" s="23" t="str">
        <f t="shared" si="137"/>
        <v>Sep</v>
      </c>
      <c r="Q2937" s="23" t="str">
        <f>IF(F2937="CAPTURE",IF(COUNTIF(orders!$A:$A,O2937)&gt;0,"Yes","NO ORDER"),"")</f>
        <v>Yes</v>
      </c>
    </row>
    <row r="2938" spans="1:17" ht="15" customHeight="1" x14ac:dyDescent="0.3">
      <c r="A2938" s="23" t="s">
        <v>15820</v>
      </c>
      <c r="B2938" s="23"/>
      <c r="C2938" s="23" t="s">
        <v>4216</v>
      </c>
      <c r="D2938" s="23" t="str">
        <f t="shared" si="135"/>
        <v>ORD26001865</v>
      </c>
      <c r="E2938" s="38">
        <v>46281</v>
      </c>
      <c r="F2938" s="23" t="s">
        <v>12410</v>
      </c>
      <c r="G2938" s="23" t="s">
        <v>75</v>
      </c>
      <c r="H2938" s="24">
        <v>2999</v>
      </c>
      <c r="I2938" s="24">
        <v>9</v>
      </c>
      <c r="J2938" s="24">
        <v>1.62</v>
      </c>
      <c r="K2938" s="24">
        <v>2988.38</v>
      </c>
      <c r="L2938" s="38">
        <v>46283</v>
      </c>
      <c r="M2938" s="23" t="s">
        <v>208</v>
      </c>
      <c r="N2938" s="23" t="str">
        <f>IF(COUNTIF($A$2:A2938,A2938)&gt;1,"DUP","OK")</f>
        <v>OK</v>
      </c>
      <c r="O2938" s="23" t="str">
        <f t="shared" si="136"/>
        <v>ORD26001865</v>
      </c>
      <c r="P2938" s="23" t="str">
        <f t="shared" si="137"/>
        <v>Sep</v>
      </c>
      <c r="Q2938" s="23" t="str">
        <f>IF(F2938="CAPTURE",IF(COUNTIF(orders!$A:$A,O2938)&gt;0,"Yes","NO ORDER"),"")</f>
        <v>Yes</v>
      </c>
    </row>
    <row r="2939" spans="1:17" ht="15" customHeight="1" x14ac:dyDescent="0.3">
      <c r="A2939" s="23" t="s">
        <v>15821</v>
      </c>
      <c r="B2939" s="23"/>
      <c r="C2939" s="23" t="s">
        <v>4277</v>
      </c>
      <c r="D2939" s="23" t="str">
        <f t="shared" si="135"/>
        <v>ORD26001895</v>
      </c>
      <c r="E2939" s="38">
        <v>46281</v>
      </c>
      <c r="F2939" s="23" t="s">
        <v>12410</v>
      </c>
      <c r="G2939" s="23" t="s">
        <v>79</v>
      </c>
      <c r="H2939" s="24">
        <v>1499</v>
      </c>
      <c r="I2939" s="24">
        <v>26.98</v>
      </c>
      <c r="J2939" s="24">
        <v>4.8600000000000003</v>
      </c>
      <c r="K2939" s="24">
        <v>1467.16</v>
      </c>
      <c r="L2939" s="38">
        <v>46283</v>
      </c>
      <c r="M2939" s="23" t="s">
        <v>208</v>
      </c>
      <c r="N2939" s="23" t="str">
        <f>IF(COUNTIF($A$2:A2939,A2939)&gt;1,"DUP","OK")</f>
        <v>OK</v>
      </c>
      <c r="O2939" s="23" t="str">
        <f t="shared" si="136"/>
        <v>ORD26001895</v>
      </c>
      <c r="P2939" s="23" t="str">
        <f t="shared" si="137"/>
        <v>Sep</v>
      </c>
      <c r="Q2939" s="23" t="str">
        <f>IF(F2939="CAPTURE",IF(COUNTIF(orders!$A:$A,O2939)&gt;0,"Yes","NO ORDER"),"")</f>
        <v>Yes</v>
      </c>
    </row>
    <row r="2940" spans="1:17" ht="15" customHeight="1" x14ac:dyDescent="0.3">
      <c r="A2940" s="23" t="s">
        <v>15822</v>
      </c>
      <c r="B2940" s="23"/>
      <c r="C2940" s="23" t="s">
        <v>4366</v>
      </c>
      <c r="D2940" s="23" t="str">
        <f t="shared" si="135"/>
        <v>ORD26001939</v>
      </c>
      <c r="E2940" s="38">
        <v>46281</v>
      </c>
      <c r="F2940" s="23" t="s">
        <v>12410</v>
      </c>
      <c r="G2940" s="23" t="s">
        <v>75</v>
      </c>
      <c r="H2940" s="24">
        <v>5597</v>
      </c>
      <c r="I2940" s="24">
        <v>16.79</v>
      </c>
      <c r="J2940" s="24">
        <v>3.02</v>
      </c>
      <c r="K2940" s="24">
        <v>5577.19</v>
      </c>
      <c r="L2940" s="38">
        <v>46283</v>
      </c>
      <c r="M2940" s="23" t="s">
        <v>208</v>
      </c>
      <c r="N2940" s="23" t="str">
        <f>IF(COUNTIF($A$2:A2940,A2940)&gt;1,"DUP","OK")</f>
        <v>OK</v>
      </c>
      <c r="O2940" s="23" t="str">
        <f t="shared" si="136"/>
        <v>ORD26001939</v>
      </c>
      <c r="P2940" s="23" t="str">
        <f t="shared" si="137"/>
        <v>Sep</v>
      </c>
      <c r="Q2940" s="23" t="str">
        <f>IF(F2940="CAPTURE",IF(COUNTIF(orders!$A:$A,O2940)&gt;0,"Yes","NO ORDER"),"")</f>
        <v>Yes</v>
      </c>
    </row>
    <row r="2941" spans="1:17" ht="15" customHeight="1" x14ac:dyDescent="0.3">
      <c r="A2941" s="23" t="s">
        <v>15823</v>
      </c>
      <c r="B2941" s="23"/>
      <c r="C2941" s="23" t="s">
        <v>4452</v>
      </c>
      <c r="D2941" s="23" t="str">
        <f t="shared" si="135"/>
        <v>ORD26001982</v>
      </c>
      <c r="E2941" s="38">
        <v>46281</v>
      </c>
      <c r="F2941" s="23" t="s">
        <v>12410</v>
      </c>
      <c r="G2941" s="23" t="s">
        <v>75</v>
      </c>
      <c r="H2941" s="24">
        <v>5348</v>
      </c>
      <c r="I2941" s="24">
        <v>16.04</v>
      </c>
      <c r="J2941" s="24">
        <v>2.89</v>
      </c>
      <c r="K2941" s="24">
        <v>5329.07</v>
      </c>
      <c r="L2941" s="38">
        <v>46283</v>
      </c>
      <c r="M2941" s="23" t="s">
        <v>208</v>
      </c>
      <c r="N2941" s="23" t="str">
        <f>IF(COUNTIF($A$2:A2941,A2941)&gt;1,"DUP","OK")</f>
        <v>OK</v>
      </c>
      <c r="O2941" s="23" t="str">
        <f t="shared" si="136"/>
        <v>ORD26001982</v>
      </c>
      <c r="P2941" s="23" t="str">
        <f t="shared" si="137"/>
        <v>Sep</v>
      </c>
      <c r="Q2941" s="23" t="str">
        <f>IF(F2941="CAPTURE",IF(COUNTIF(orders!$A:$A,O2941)&gt;0,"Yes","NO ORDER"),"")</f>
        <v>Yes</v>
      </c>
    </row>
    <row r="2942" spans="1:17" ht="15" customHeight="1" x14ac:dyDescent="0.3">
      <c r="A2942" s="23" t="s">
        <v>15824</v>
      </c>
      <c r="B2942" s="23"/>
      <c r="C2942" s="23" t="s">
        <v>4478</v>
      </c>
      <c r="D2942" s="23" t="str">
        <f t="shared" si="135"/>
        <v>ORD26001995</v>
      </c>
      <c r="E2942" s="38">
        <v>46281</v>
      </c>
      <c r="F2942" s="23" t="s">
        <v>12410</v>
      </c>
      <c r="G2942" s="23" t="s">
        <v>79</v>
      </c>
      <c r="H2942" s="24">
        <v>1498</v>
      </c>
      <c r="I2942" s="24">
        <v>26.96</v>
      </c>
      <c r="J2942" s="24">
        <v>4.8499999999999996</v>
      </c>
      <c r="K2942" s="24">
        <v>1466.19</v>
      </c>
      <c r="L2942" s="38">
        <v>46283</v>
      </c>
      <c r="M2942" s="23" t="s">
        <v>208</v>
      </c>
      <c r="N2942" s="23" t="str">
        <f>IF(COUNTIF($A$2:A2942,A2942)&gt;1,"DUP","OK")</f>
        <v>OK</v>
      </c>
      <c r="O2942" s="23" t="str">
        <f t="shared" si="136"/>
        <v>ORD26001995</v>
      </c>
      <c r="P2942" s="23" t="str">
        <f t="shared" si="137"/>
        <v>Sep</v>
      </c>
      <c r="Q2942" s="23" t="str">
        <f>IF(F2942="CAPTURE",IF(COUNTIF(orders!$A:$A,O2942)&gt;0,"Yes","NO ORDER"),"")</f>
        <v>Yes</v>
      </c>
    </row>
    <row r="2943" spans="1:17" ht="15" customHeight="1" x14ac:dyDescent="0.3">
      <c r="A2943" s="23" t="s">
        <v>15825</v>
      </c>
      <c r="B2943" s="23"/>
      <c r="C2943" s="23" t="s">
        <v>4531</v>
      </c>
      <c r="D2943" s="23" t="str">
        <f t="shared" si="135"/>
        <v>ORD26002021</v>
      </c>
      <c r="E2943" s="38">
        <v>46281</v>
      </c>
      <c r="F2943" s="23" t="s">
        <v>12410</v>
      </c>
      <c r="G2943" s="23" t="s">
        <v>79</v>
      </c>
      <c r="H2943" s="24">
        <v>1299</v>
      </c>
      <c r="I2943" s="24">
        <v>23.38</v>
      </c>
      <c r="J2943" s="24">
        <v>4.21</v>
      </c>
      <c r="K2943" s="24">
        <v>1271.4100000000001</v>
      </c>
      <c r="L2943" s="38">
        <v>46283</v>
      </c>
      <c r="M2943" s="23" t="s">
        <v>208</v>
      </c>
      <c r="N2943" s="23" t="str">
        <f>IF(COUNTIF($A$2:A2943,A2943)&gt;1,"DUP","OK")</f>
        <v>OK</v>
      </c>
      <c r="O2943" s="23" t="str">
        <f t="shared" si="136"/>
        <v>ORD26002021</v>
      </c>
      <c r="P2943" s="23" t="str">
        <f t="shared" si="137"/>
        <v>Sep</v>
      </c>
      <c r="Q2943" s="23" t="str">
        <f>IF(F2943="CAPTURE",IF(COUNTIF(orders!$A:$A,O2943)&gt;0,"Yes","NO ORDER"),"")</f>
        <v>Yes</v>
      </c>
    </row>
    <row r="2944" spans="1:17" ht="15" customHeight="1" x14ac:dyDescent="0.3">
      <c r="A2944" s="23" t="s">
        <v>15826</v>
      </c>
      <c r="B2944" s="23"/>
      <c r="C2944" s="23" t="s">
        <v>4564</v>
      </c>
      <c r="D2944" s="23" t="str">
        <f t="shared" si="135"/>
        <v>ORD26002037</v>
      </c>
      <c r="E2944" s="38">
        <v>46281</v>
      </c>
      <c r="F2944" s="23" t="s">
        <v>12410</v>
      </c>
      <c r="G2944" s="23" t="s">
        <v>75</v>
      </c>
      <c r="H2944" s="24">
        <v>2499</v>
      </c>
      <c r="I2944" s="24">
        <v>7.5</v>
      </c>
      <c r="J2944" s="24">
        <v>1.35</v>
      </c>
      <c r="K2944" s="24">
        <v>2490.15</v>
      </c>
      <c r="L2944" s="38">
        <v>46283</v>
      </c>
      <c r="M2944" s="23" t="s">
        <v>208</v>
      </c>
      <c r="N2944" s="23" t="str">
        <f>IF(COUNTIF($A$2:A2944,A2944)&gt;1,"DUP","OK")</f>
        <v>OK</v>
      </c>
      <c r="O2944" s="23" t="str">
        <f t="shared" si="136"/>
        <v>ORD26002037</v>
      </c>
      <c r="P2944" s="23" t="str">
        <f t="shared" si="137"/>
        <v>Sep</v>
      </c>
      <c r="Q2944" s="23" t="str">
        <f>IF(F2944="CAPTURE",IF(COUNTIF(orders!$A:$A,O2944)&gt;0,"Yes","NO ORDER"),"")</f>
        <v>Yes</v>
      </c>
    </row>
    <row r="2945" spans="1:17" ht="15" customHeight="1" x14ac:dyDescent="0.3">
      <c r="A2945" s="23" t="s">
        <v>15827</v>
      </c>
      <c r="B2945" s="23"/>
      <c r="C2945" s="23" t="s">
        <v>4626</v>
      </c>
      <c r="D2945" s="23" t="str">
        <f t="shared" si="135"/>
        <v>ORD26002067</v>
      </c>
      <c r="E2945" s="38">
        <v>46281</v>
      </c>
      <c r="F2945" s="23" t="s">
        <v>12410</v>
      </c>
      <c r="G2945" s="23" t="s">
        <v>75</v>
      </c>
      <c r="H2945" s="24">
        <v>499</v>
      </c>
      <c r="I2945" s="24">
        <v>0</v>
      </c>
      <c r="J2945" s="24">
        <v>0</v>
      </c>
      <c r="K2945" s="24">
        <v>499</v>
      </c>
      <c r="L2945" s="38">
        <v>46283</v>
      </c>
      <c r="M2945" s="23" t="s">
        <v>208</v>
      </c>
      <c r="N2945" s="23" t="str">
        <f>IF(COUNTIF($A$2:A2945,A2945)&gt;1,"DUP","OK")</f>
        <v>OK</v>
      </c>
      <c r="O2945" s="23" t="str">
        <f t="shared" si="136"/>
        <v>ORD26002067</v>
      </c>
      <c r="P2945" s="23" t="str">
        <f t="shared" si="137"/>
        <v>Sep</v>
      </c>
      <c r="Q2945" s="23" t="str">
        <f>IF(F2945="CAPTURE",IF(COUNTIF(orders!$A:$A,O2945)&gt;0,"Yes","NO ORDER"),"")</f>
        <v>Yes</v>
      </c>
    </row>
    <row r="2946" spans="1:17" ht="15" customHeight="1" x14ac:dyDescent="0.3">
      <c r="A2946" s="23" t="s">
        <v>15828</v>
      </c>
      <c r="B2946" s="23"/>
      <c r="C2946" s="23" t="s">
        <v>15829</v>
      </c>
      <c r="D2946" s="23" t="str">
        <f t="shared" ref="D2946:D3009" si="138">UPPER(SUBSTITUTE(TRIM(C2946),"-",""))</f>
        <v>ORD26002068</v>
      </c>
      <c r="E2946" s="38">
        <v>46281</v>
      </c>
      <c r="F2946" s="23" t="s">
        <v>12410</v>
      </c>
      <c r="G2946" s="23" t="s">
        <v>75</v>
      </c>
      <c r="H2946" s="24">
        <v>11498</v>
      </c>
      <c r="I2946" s="24">
        <v>34.49</v>
      </c>
      <c r="J2946" s="24">
        <v>6.21</v>
      </c>
      <c r="K2946" s="24">
        <v>11457.3</v>
      </c>
      <c r="L2946" s="38">
        <v>46283</v>
      </c>
      <c r="M2946" s="23" t="s">
        <v>208</v>
      </c>
      <c r="N2946" s="23" t="str">
        <f>IF(COUNTIF($A$2:A2946,A2946)&gt;1,"DUP","OK")</f>
        <v>OK</v>
      </c>
      <c r="O2946" s="23" t="str">
        <f t="shared" ref="O2946:O3009" si="139">IF(F2946="REFUND",INDEX($D:$D,MATCH(B2946,$A:$A,0)),D2946)</f>
        <v>ORD26002068</v>
      </c>
      <c r="P2946" s="23" t="str">
        <f t="shared" ref="P2946:P3009" si="140">IF(L2946&gt;DATE(2026,9,30),"Oct-Due","Sep")</f>
        <v>Sep</v>
      </c>
      <c r="Q2946" s="23" t="str">
        <f>IF(F2946="CAPTURE",IF(COUNTIF(orders!$A:$A,O2946)&gt;0,"Yes","NO ORDER"),"")</f>
        <v>Yes</v>
      </c>
    </row>
    <row r="2947" spans="1:17" ht="15" customHeight="1" x14ac:dyDescent="0.3">
      <c r="A2947" s="23" t="s">
        <v>15830</v>
      </c>
      <c r="B2947" s="23"/>
      <c r="C2947" s="23" t="s">
        <v>4913</v>
      </c>
      <c r="D2947" s="23" t="str">
        <f t="shared" si="138"/>
        <v>ORD26002211</v>
      </c>
      <c r="E2947" s="38">
        <v>46281</v>
      </c>
      <c r="F2947" s="23" t="s">
        <v>12410</v>
      </c>
      <c r="G2947" s="23" t="s">
        <v>79</v>
      </c>
      <c r="H2947" s="24">
        <v>4999</v>
      </c>
      <c r="I2947" s="24">
        <v>79.98</v>
      </c>
      <c r="J2947" s="24">
        <v>14.4</v>
      </c>
      <c r="K2947" s="24">
        <v>4904.62</v>
      </c>
      <c r="L2947" s="38">
        <v>46283</v>
      </c>
      <c r="M2947" s="23" t="s">
        <v>208</v>
      </c>
      <c r="N2947" s="23" t="str">
        <f>IF(COUNTIF($A$2:A2947,A2947)&gt;1,"DUP","OK")</f>
        <v>OK</v>
      </c>
      <c r="O2947" s="23" t="str">
        <f t="shared" si="139"/>
        <v>ORD26002211</v>
      </c>
      <c r="P2947" s="23" t="str">
        <f t="shared" si="140"/>
        <v>Sep</v>
      </c>
      <c r="Q2947" s="23" t="str">
        <f>IF(F2947="CAPTURE",IF(COUNTIF(orders!$A:$A,O2947)&gt;0,"Yes","NO ORDER"),"")</f>
        <v>Yes</v>
      </c>
    </row>
    <row r="2948" spans="1:17" ht="15" customHeight="1" x14ac:dyDescent="0.3">
      <c r="A2948" s="23" t="s">
        <v>15831</v>
      </c>
      <c r="B2948" s="23"/>
      <c r="C2948" s="23" t="s">
        <v>4997</v>
      </c>
      <c r="D2948" s="23" t="str">
        <f t="shared" si="138"/>
        <v>ORD26002252</v>
      </c>
      <c r="E2948" s="38">
        <v>46281</v>
      </c>
      <c r="F2948" s="23" t="s">
        <v>12410</v>
      </c>
      <c r="G2948" s="23" t="s">
        <v>75</v>
      </c>
      <c r="H2948" s="24">
        <v>799</v>
      </c>
      <c r="I2948" s="24">
        <v>0</v>
      </c>
      <c r="J2948" s="24">
        <v>0</v>
      </c>
      <c r="K2948" s="24">
        <v>799</v>
      </c>
      <c r="L2948" s="38">
        <v>46283</v>
      </c>
      <c r="M2948" s="23" t="s">
        <v>208</v>
      </c>
      <c r="N2948" s="23" t="str">
        <f>IF(COUNTIF($A$2:A2948,A2948)&gt;1,"DUP","OK")</f>
        <v>OK</v>
      </c>
      <c r="O2948" s="23" t="str">
        <f t="shared" si="139"/>
        <v>ORD26002252</v>
      </c>
      <c r="P2948" s="23" t="str">
        <f t="shared" si="140"/>
        <v>Sep</v>
      </c>
      <c r="Q2948" s="23" t="str">
        <f>IF(F2948="CAPTURE",IF(COUNTIF(orders!$A:$A,O2948)&gt;0,"Yes","NO ORDER"),"")</f>
        <v>Yes</v>
      </c>
    </row>
    <row r="2949" spans="1:17" ht="15" customHeight="1" x14ac:dyDescent="0.3">
      <c r="A2949" s="23" t="s">
        <v>15832</v>
      </c>
      <c r="B2949" s="23"/>
      <c r="C2949" s="23" t="s">
        <v>5052</v>
      </c>
      <c r="D2949" s="23" t="str">
        <f t="shared" si="138"/>
        <v>ORD26002279</v>
      </c>
      <c r="E2949" s="38">
        <v>46281</v>
      </c>
      <c r="F2949" s="23" t="s">
        <v>12410</v>
      </c>
      <c r="G2949" s="23" t="s">
        <v>75</v>
      </c>
      <c r="H2949" s="24">
        <v>299</v>
      </c>
      <c r="I2949" s="24">
        <v>0</v>
      </c>
      <c r="J2949" s="24">
        <v>0</v>
      </c>
      <c r="K2949" s="24">
        <v>299</v>
      </c>
      <c r="L2949" s="38">
        <v>46283</v>
      </c>
      <c r="M2949" s="23" t="s">
        <v>208</v>
      </c>
      <c r="N2949" s="23" t="str">
        <f>IF(COUNTIF($A$2:A2949,A2949)&gt;1,"DUP","OK")</f>
        <v>OK</v>
      </c>
      <c r="O2949" s="23" t="str">
        <f t="shared" si="139"/>
        <v>ORD26002279</v>
      </c>
      <c r="P2949" s="23" t="str">
        <f t="shared" si="140"/>
        <v>Sep</v>
      </c>
      <c r="Q2949" s="23" t="str">
        <f>IF(F2949="CAPTURE",IF(COUNTIF(orders!$A:$A,O2949)&gt;0,"Yes","NO ORDER"),"")</f>
        <v>Yes</v>
      </c>
    </row>
    <row r="2950" spans="1:17" ht="15" customHeight="1" x14ac:dyDescent="0.3">
      <c r="A2950" s="23" t="s">
        <v>15833</v>
      </c>
      <c r="B2950" s="23"/>
      <c r="C2950" s="23" t="s">
        <v>5067</v>
      </c>
      <c r="D2950" s="23" t="str">
        <f t="shared" si="138"/>
        <v>ORD26002287</v>
      </c>
      <c r="E2950" s="38">
        <v>46281</v>
      </c>
      <c r="F2950" s="23" t="s">
        <v>12410</v>
      </c>
      <c r="G2950" s="23" t="s">
        <v>79</v>
      </c>
      <c r="H2950" s="24">
        <v>1499</v>
      </c>
      <c r="I2950" s="24">
        <v>26.98</v>
      </c>
      <c r="J2950" s="24">
        <v>4.8600000000000003</v>
      </c>
      <c r="K2950" s="24">
        <v>1467.16</v>
      </c>
      <c r="L2950" s="38">
        <v>46283</v>
      </c>
      <c r="M2950" s="23" t="s">
        <v>208</v>
      </c>
      <c r="N2950" s="23" t="str">
        <f>IF(COUNTIF($A$2:A2950,A2950)&gt;1,"DUP","OK")</f>
        <v>OK</v>
      </c>
      <c r="O2950" s="23" t="str">
        <f t="shared" si="139"/>
        <v>ORD26002287</v>
      </c>
      <c r="P2950" s="23" t="str">
        <f t="shared" si="140"/>
        <v>Sep</v>
      </c>
      <c r="Q2950" s="23" t="str">
        <f>IF(F2950="CAPTURE",IF(COUNTIF(orders!$A:$A,O2950)&gt;0,"Yes","NO ORDER"),"")</f>
        <v>Yes</v>
      </c>
    </row>
    <row r="2951" spans="1:17" ht="15" customHeight="1" x14ac:dyDescent="0.3">
      <c r="A2951" s="23" t="s">
        <v>15834</v>
      </c>
      <c r="B2951" s="23"/>
      <c r="C2951" s="23" t="s">
        <v>5174</v>
      </c>
      <c r="D2951" s="23" t="str">
        <f t="shared" si="138"/>
        <v>ORD26002340</v>
      </c>
      <c r="E2951" s="38">
        <v>46281</v>
      </c>
      <c r="F2951" s="23" t="s">
        <v>12410</v>
      </c>
      <c r="G2951" s="23" t="s">
        <v>75</v>
      </c>
      <c r="H2951" s="24">
        <v>5998</v>
      </c>
      <c r="I2951" s="24">
        <v>17.989999999999998</v>
      </c>
      <c r="J2951" s="24">
        <v>3.24</v>
      </c>
      <c r="K2951" s="24">
        <v>5976.77</v>
      </c>
      <c r="L2951" s="38">
        <v>46283</v>
      </c>
      <c r="M2951" s="23" t="s">
        <v>208</v>
      </c>
      <c r="N2951" s="23" t="str">
        <f>IF(COUNTIF($A$2:A2951,A2951)&gt;1,"DUP","OK")</f>
        <v>OK</v>
      </c>
      <c r="O2951" s="23" t="str">
        <f t="shared" si="139"/>
        <v>ORD26002340</v>
      </c>
      <c r="P2951" s="23" t="str">
        <f t="shared" si="140"/>
        <v>Sep</v>
      </c>
      <c r="Q2951" s="23" t="str">
        <f>IF(F2951="CAPTURE",IF(COUNTIF(orders!$A:$A,O2951)&gt;0,"Yes","NO ORDER"),"")</f>
        <v>Yes</v>
      </c>
    </row>
    <row r="2952" spans="1:17" ht="15" customHeight="1" x14ac:dyDescent="0.3">
      <c r="A2952" s="23" t="s">
        <v>15835</v>
      </c>
      <c r="B2952" s="23"/>
      <c r="C2952" s="23" t="s">
        <v>15836</v>
      </c>
      <c r="D2952" s="23" t="str">
        <f t="shared" si="138"/>
        <v>ORD26002345</v>
      </c>
      <c r="E2952" s="38">
        <v>46281</v>
      </c>
      <c r="F2952" s="23" t="s">
        <v>12410</v>
      </c>
      <c r="G2952" s="23" t="s">
        <v>79</v>
      </c>
      <c r="H2952" s="24">
        <v>4999</v>
      </c>
      <c r="I2952" s="24">
        <v>79.98</v>
      </c>
      <c r="J2952" s="24">
        <v>14.4</v>
      </c>
      <c r="K2952" s="24">
        <v>4904.62</v>
      </c>
      <c r="L2952" s="38">
        <v>46283</v>
      </c>
      <c r="M2952" s="23" t="s">
        <v>208</v>
      </c>
      <c r="N2952" s="23" t="str">
        <f>IF(COUNTIF($A$2:A2952,A2952)&gt;1,"DUP","OK")</f>
        <v>OK</v>
      </c>
      <c r="O2952" s="23" t="str">
        <f t="shared" si="139"/>
        <v>ORD26002345</v>
      </c>
      <c r="P2952" s="23" t="str">
        <f t="shared" si="140"/>
        <v>Sep</v>
      </c>
      <c r="Q2952" s="23" t="str">
        <f>IF(F2952="CAPTURE",IF(COUNTIF(orders!$A:$A,O2952)&gt;0,"Yes","NO ORDER"),"")</f>
        <v>Yes</v>
      </c>
    </row>
    <row r="2953" spans="1:17" ht="15" customHeight="1" x14ac:dyDescent="0.3">
      <c r="A2953" s="23" t="s">
        <v>15837</v>
      </c>
      <c r="B2953" s="23"/>
      <c r="C2953" s="23" t="s">
        <v>5213</v>
      </c>
      <c r="D2953" s="23" t="str">
        <f t="shared" si="138"/>
        <v>ORD26002360</v>
      </c>
      <c r="E2953" s="38">
        <v>46281</v>
      </c>
      <c r="F2953" s="23" t="s">
        <v>12410</v>
      </c>
      <c r="G2953" s="23" t="s">
        <v>79</v>
      </c>
      <c r="H2953" s="24">
        <v>12998</v>
      </c>
      <c r="I2953" s="24">
        <v>207.97</v>
      </c>
      <c r="J2953" s="24">
        <v>37.43</v>
      </c>
      <c r="K2953" s="24">
        <v>12752.6</v>
      </c>
      <c r="L2953" s="38">
        <v>46283</v>
      </c>
      <c r="M2953" s="23" t="s">
        <v>208</v>
      </c>
      <c r="N2953" s="23" t="str">
        <f>IF(COUNTIF($A$2:A2953,A2953)&gt;1,"DUP","OK")</f>
        <v>OK</v>
      </c>
      <c r="O2953" s="23" t="str">
        <f t="shared" si="139"/>
        <v>ORD26002360</v>
      </c>
      <c r="P2953" s="23" t="str">
        <f t="shared" si="140"/>
        <v>Sep</v>
      </c>
      <c r="Q2953" s="23" t="str">
        <f>IF(F2953="CAPTURE",IF(COUNTIF(orders!$A:$A,O2953)&gt;0,"Yes","NO ORDER"),"")</f>
        <v>Yes</v>
      </c>
    </row>
    <row r="2954" spans="1:17" ht="15" customHeight="1" x14ac:dyDescent="0.3">
      <c r="A2954" s="23" t="s">
        <v>15838</v>
      </c>
      <c r="B2954" s="23"/>
      <c r="C2954" s="23" t="s">
        <v>5320</v>
      </c>
      <c r="D2954" s="23" t="str">
        <f t="shared" si="138"/>
        <v>ORD26002414</v>
      </c>
      <c r="E2954" s="38">
        <v>46281</v>
      </c>
      <c r="F2954" s="23" t="s">
        <v>12410</v>
      </c>
      <c r="G2954" s="23" t="s">
        <v>77</v>
      </c>
      <c r="H2954" s="24">
        <v>4998</v>
      </c>
      <c r="I2954" s="24">
        <v>84.97</v>
      </c>
      <c r="J2954" s="24">
        <v>15.29</v>
      </c>
      <c r="K2954" s="24">
        <v>4897.74</v>
      </c>
      <c r="L2954" s="38">
        <v>46283</v>
      </c>
      <c r="M2954" s="23" t="s">
        <v>208</v>
      </c>
      <c r="N2954" s="23" t="str">
        <f>IF(COUNTIF($A$2:A2954,A2954)&gt;1,"DUP","OK")</f>
        <v>OK</v>
      </c>
      <c r="O2954" s="23" t="str">
        <f t="shared" si="139"/>
        <v>ORD26002414</v>
      </c>
      <c r="P2954" s="23" t="str">
        <f t="shared" si="140"/>
        <v>Sep</v>
      </c>
      <c r="Q2954" s="23" t="str">
        <f>IF(F2954="CAPTURE",IF(COUNTIF(orders!$A:$A,O2954)&gt;0,"Yes","NO ORDER"),"")</f>
        <v>Yes</v>
      </c>
    </row>
    <row r="2955" spans="1:17" ht="15" customHeight="1" x14ac:dyDescent="0.3">
      <c r="A2955" s="23" t="s">
        <v>15839</v>
      </c>
      <c r="B2955" s="23"/>
      <c r="C2955" s="23" t="s">
        <v>5411</v>
      </c>
      <c r="D2955" s="23" t="str">
        <f t="shared" si="138"/>
        <v>ORD26002460</v>
      </c>
      <c r="E2955" s="38">
        <v>46281</v>
      </c>
      <c r="F2955" s="23" t="s">
        <v>12410</v>
      </c>
      <c r="G2955" s="23" t="s">
        <v>75</v>
      </c>
      <c r="H2955" s="24">
        <v>499</v>
      </c>
      <c r="I2955" s="24">
        <v>0</v>
      </c>
      <c r="J2955" s="24">
        <v>0</v>
      </c>
      <c r="K2955" s="24">
        <v>499</v>
      </c>
      <c r="L2955" s="38">
        <v>46283</v>
      </c>
      <c r="M2955" s="23" t="s">
        <v>208</v>
      </c>
      <c r="N2955" s="23" t="str">
        <f>IF(COUNTIF($A$2:A2955,A2955)&gt;1,"DUP","OK")</f>
        <v>OK</v>
      </c>
      <c r="O2955" s="23" t="str">
        <f t="shared" si="139"/>
        <v>ORD26002460</v>
      </c>
      <c r="P2955" s="23" t="str">
        <f t="shared" si="140"/>
        <v>Sep</v>
      </c>
      <c r="Q2955" s="23" t="str">
        <f>IF(F2955="CAPTURE",IF(COUNTIF(orders!$A:$A,O2955)&gt;0,"Yes","NO ORDER"),"")</f>
        <v>Yes</v>
      </c>
    </row>
    <row r="2956" spans="1:17" ht="15" customHeight="1" x14ac:dyDescent="0.3">
      <c r="A2956" s="23" t="s">
        <v>15840</v>
      </c>
      <c r="B2956" s="23"/>
      <c r="C2956" s="23" t="s">
        <v>5439</v>
      </c>
      <c r="D2956" s="23" t="str">
        <f t="shared" si="138"/>
        <v>ORD26002475</v>
      </c>
      <c r="E2956" s="38">
        <v>46281</v>
      </c>
      <c r="F2956" s="23" t="s">
        <v>12410</v>
      </c>
      <c r="G2956" s="23" t="s">
        <v>79</v>
      </c>
      <c r="H2956" s="24">
        <v>349</v>
      </c>
      <c r="I2956" s="24">
        <v>6.28</v>
      </c>
      <c r="J2956" s="24">
        <v>1.1299999999999999</v>
      </c>
      <c r="K2956" s="24">
        <v>341.59</v>
      </c>
      <c r="L2956" s="38">
        <v>46283</v>
      </c>
      <c r="M2956" s="23" t="s">
        <v>208</v>
      </c>
      <c r="N2956" s="23" t="str">
        <f>IF(COUNTIF($A$2:A2956,A2956)&gt;1,"DUP","OK")</f>
        <v>OK</v>
      </c>
      <c r="O2956" s="23" t="str">
        <f t="shared" si="139"/>
        <v>ORD26002475</v>
      </c>
      <c r="P2956" s="23" t="str">
        <f t="shared" si="140"/>
        <v>Sep</v>
      </c>
      <c r="Q2956" s="23" t="str">
        <f>IF(F2956="CAPTURE",IF(COUNTIF(orders!$A:$A,O2956)&gt;0,"Yes","NO ORDER"),"")</f>
        <v>Yes</v>
      </c>
    </row>
    <row r="2957" spans="1:17" ht="15" customHeight="1" x14ac:dyDescent="0.3">
      <c r="A2957" s="23" t="s">
        <v>15841</v>
      </c>
      <c r="B2957" s="23"/>
      <c r="C2957" s="23" t="s">
        <v>5459</v>
      </c>
      <c r="D2957" s="23" t="str">
        <f t="shared" si="138"/>
        <v>ORD26002485</v>
      </c>
      <c r="E2957" s="38">
        <v>46281</v>
      </c>
      <c r="F2957" s="23" t="s">
        <v>12410</v>
      </c>
      <c r="G2957" s="23" t="s">
        <v>79</v>
      </c>
      <c r="H2957" s="24">
        <v>2297</v>
      </c>
      <c r="I2957" s="24">
        <v>36.75</v>
      </c>
      <c r="J2957" s="24">
        <v>6.62</v>
      </c>
      <c r="K2957" s="24">
        <v>2253.63</v>
      </c>
      <c r="L2957" s="38">
        <v>46283</v>
      </c>
      <c r="M2957" s="23" t="s">
        <v>208</v>
      </c>
      <c r="N2957" s="23" t="str">
        <f>IF(COUNTIF($A$2:A2957,A2957)&gt;1,"DUP","OK")</f>
        <v>OK</v>
      </c>
      <c r="O2957" s="23" t="str">
        <f t="shared" si="139"/>
        <v>ORD26002485</v>
      </c>
      <c r="P2957" s="23" t="str">
        <f t="shared" si="140"/>
        <v>Sep</v>
      </c>
      <c r="Q2957" s="23" t="str">
        <f>IF(F2957="CAPTURE",IF(COUNTIF(orders!$A:$A,O2957)&gt;0,"Yes","NO ORDER"),"")</f>
        <v>Yes</v>
      </c>
    </row>
    <row r="2958" spans="1:17" ht="15" customHeight="1" x14ac:dyDescent="0.3">
      <c r="A2958" s="23" t="s">
        <v>15842</v>
      </c>
      <c r="B2958" s="23"/>
      <c r="C2958" s="23" t="s">
        <v>5529</v>
      </c>
      <c r="D2958" s="23" t="str">
        <f t="shared" si="138"/>
        <v>ORD26002519</v>
      </c>
      <c r="E2958" s="38">
        <v>46281</v>
      </c>
      <c r="F2958" s="23" t="s">
        <v>12410</v>
      </c>
      <c r="G2958" s="23" t="s">
        <v>75</v>
      </c>
      <c r="H2958" s="24">
        <v>2098</v>
      </c>
      <c r="I2958" s="24">
        <v>6.29</v>
      </c>
      <c r="J2958" s="24">
        <v>1.1299999999999999</v>
      </c>
      <c r="K2958" s="24">
        <v>2090.58</v>
      </c>
      <c r="L2958" s="38">
        <v>46283</v>
      </c>
      <c r="M2958" s="23" t="s">
        <v>208</v>
      </c>
      <c r="N2958" s="23" t="str">
        <f>IF(COUNTIF($A$2:A2958,A2958)&gt;1,"DUP","OK")</f>
        <v>OK</v>
      </c>
      <c r="O2958" s="23" t="str">
        <f t="shared" si="139"/>
        <v>ORD26002519</v>
      </c>
      <c r="P2958" s="23" t="str">
        <f t="shared" si="140"/>
        <v>Sep</v>
      </c>
      <c r="Q2958" s="23" t="str">
        <f>IF(F2958="CAPTURE",IF(COUNTIF(orders!$A:$A,O2958)&gt;0,"Yes","NO ORDER"),"")</f>
        <v>Yes</v>
      </c>
    </row>
    <row r="2959" spans="1:17" ht="15" customHeight="1" x14ac:dyDescent="0.3">
      <c r="A2959" s="23" t="s">
        <v>15843</v>
      </c>
      <c r="B2959" s="23"/>
      <c r="C2959" s="23" t="s">
        <v>5561</v>
      </c>
      <c r="D2959" s="23" t="str">
        <f t="shared" si="138"/>
        <v>ORD26002534</v>
      </c>
      <c r="E2959" s="38">
        <v>46281</v>
      </c>
      <c r="F2959" s="23" t="s">
        <v>12410</v>
      </c>
      <c r="G2959" s="23" t="s">
        <v>75</v>
      </c>
      <c r="H2959" s="24">
        <v>1799</v>
      </c>
      <c r="I2959" s="24">
        <v>0</v>
      </c>
      <c r="J2959" s="24">
        <v>0</v>
      </c>
      <c r="K2959" s="24">
        <v>1799</v>
      </c>
      <c r="L2959" s="38">
        <v>46283</v>
      </c>
      <c r="M2959" s="23" t="s">
        <v>208</v>
      </c>
      <c r="N2959" s="23" t="str">
        <f>IF(COUNTIF($A$2:A2959,A2959)&gt;1,"DUP","OK")</f>
        <v>OK</v>
      </c>
      <c r="O2959" s="23" t="str">
        <f t="shared" si="139"/>
        <v>ORD26002534</v>
      </c>
      <c r="P2959" s="23" t="str">
        <f t="shared" si="140"/>
        <v>Sep</v>
      </c>
      <c r="Q2959" s="23" t="str">
        <f>IF(F2959="CAPTURE",IF(COUNTIF(orders!$A:$A,O2959)&gt;0,"Yes","NO ORDER"),"")</f>
        <v>Yes</v>
      </c>
    </row>
    <row r="2960" spans="1:17" ht="15" customHeight="1" x14ac:dyDescent="0.3">
      <c r="A2960" s="23" t="s">
        <v>15844</v>
      </c>
      <c r="B2960" s="23"/>
      <c r="C2960" s="23" t="s">
        <v>5634</v>
      </c>
      <c r="D2960" s="23" t="str">
        <f t="shared" si="138"/>
        <v>ORD26002570</v>
      </c>
      <c r="E2960" s="38">
        <v>46281</v>
      </c>
      <c r="F2960" s="23" t="s">
        <v>12410</v>
      </c>
      <c r="G2960" s="23" t="s">
        <v>79</v>
      </c>
      <c r="H2960" s="24">
        <v>1499</v>
      </c>
      <c r="I2960" s="24">
        <v>26.98</v>
      </c>
      <c r="J2960" s="24">
        <v>4.8600000000000003</v>
      </c>
      <c r="K2960" s="24">
        <v>1467.16</v>
      </c>
      <c r="L2960" s="38">
        <v>46283</v>
      </c>
      <c r="M2960" s="23" t="s">
        <v>208</v>
      </c>
      <c r="N2960" s="23" t="str">
        <f>IF(COUNTIF($A$2:A2960,A2960)&gt;1,"DUP","OK")</f>
        <v>OK</v>
      </c>
      <c r="O2960" s="23" t="str">
        <f t="shared" si="139"/>
        <v>ORD26002570</v>
      </c>
      <c r="P2960" s="23" t="str">
        <f t="shared" si="140"/>
        <v>Sep</v>
      </c>
      <c r="Q2960" s="23" t="str">
        <f>IF(F2960="CAPTURE",IF(COUNTIF(orders!$A:$A,O2960)&gt;0,"Yes","NO ORDER"),"")</f>
        <v>Yes</v>
      </c>
    </row>
    <row r="2961" spans="1:17" ht="15" customHeight="1" x14ac:dyDescent="0.3">
      <c r="A2961" s="23" t="s">
        <v>15845</v>
      </c>
      <c r="B2961" s="23"/>
      <c r="C2961" s="23" t="s">
        <v>5714</v>
      </c>
      <c r="D2961" s="23" t="str">
        <f t="shared" si="138"/>
        <v>ORD26002610</v>
      </c>
      <c r="E2961" s="38">
        <v>46281</v>
      </c>
      <c r="F2961" s="23" t="s">
        <v>12410</v>
      </c>
      <c r="G2961" s="23" t="s">
        <v>75</v>
      </c>
      <c r="H2961" s="24">
        <v>7999</v>
      </c>
      <c r="I2961" s="24">
        <v>24</v>
      </c>
      <c r="J2961" s="24">
        <v>4.32</v>
      </c>
      <c r="K2961" s="24">
        <v>7970.68</v>
      </c>
      <c r="L2961" s="38">
        <v>46283</v>
      </c>
      <c r="M2961" s="23" t="s">
        <v>208</v>
      </c>
      <c r="N2961" s="23" t="str">
        <f>IF(COUNTIF($A$2:A2961,A2961)&gt;1,"DUP","OK")</f>
        <v>OK</v>
      </c>
      <c r="O2961" s="23" t="str">
        <f t="shared" si="139"/>
        <v>ORD26002610</v>
      </c>
      <c r="P2961" s="23" t="str">
        <f t="shared" si="140"/>
        <v>Sep</v>
      </c>
      <c r="Q2961" s="23" t="str">
        <f>IF(F2961="CAPTURE",IF(COUNTIF(orders!$A:$A,O2961)&gt;0,"Yes","NO ORDER"),"")</f>
        <v>Yes</v>
      </c>
    </row>
    <row r="2962" spans="1:17" ht="15" customHeight="1" x14ac:dyDescent="0.3">
      <c r="A2962" s="23" t="s">
        <v>15846</v>
      </c>
      <c r="B2962" s="23"/>
      <c r="C2962" s="23" t="s">
        <v>5924</v>
      </c>
      <c r="D2962" s="23" t="str">
        <f t="shared" si="138"/>
        <v>ORD26002714</v>
      </c>
      <c r="E2962" s="38">
        <v>46281</v>
      </c>
      <c r="F2962" s="23" t="s">
        <v>12410</v>
      </c>
      <c r="G2962" s="23" t="s">
        <v>75</v>
      </c>
      <c r="H2962" s="24">
        <v>10147</v>
      </c>
      <c r="I2962" s="24">
        <v>30.44</v>
      </c>
      <c r="J2962" s="24">
        <v>5.48</v>
      </c>
      <c r="K2962" s="24">
        <v>10111.08</v>
      </c>
      <c r="L2962" s="38">
        <v>46283</v>
      </c>
      <c r="M2962" s="23" t="s">
        <v>208</v>
      </c>
      <c r="N2962" s="23" t="str">
        <f>IF(COUNTIF($A$2:A2962,A2962)&gt;1,"DUP","OK")</f>
        <v>OK</v>
      </c>
      <c r="O2962" s="23" t="str">
        <f t="shared" si="139"/>
        <v>ORD26002714</v>
      </c>
      <c r="P2962" s="23" t="str">
        <f t="shared" si="140"/>
        <v>Sep</v>
      </c>
      <c r="Q2962" s="23" t="str">
        <f>IF(F2962="CAPTURE",IF(COUNTIF(orders!$A:$A,O2962)&gt;0,"Yes","NO ORDER"),"")</f>
        <v>Yes</v>
      </c>
    </row>
    <row r="2963" spans="1:17" ht="15" customHeight="1" x14ac:dyDescent="0.3">
      <c r="A2963" s="23" t="s">
        <v>15847</v>
      </c>
      <c r="B2963" s="23"/>
      <c r="C2963" s="23" t="s">
        <v>5972</v>
      </c>
      <c r="D2963" s="23" t="str">
        <f t="shared" si="138"/>
        <v>ORD26002738</v>
      </c>
      <c r="E2963" s="38">
        <v>46281</v>
      </c>
      <c r="F2963" s="23" t="s">
        <v>12410</v>
      </c>
      <c r="G2963" s="23" t="s">
        <v>75</v>
      </c>
      <c r="H2963" s="24">
        <v>599</v>
      </c>
      <c r="I2963" s="24">
        <v>0</v>
      </c>
      <c r="J2963" s="24">
        <v>0</v>
      </c>
      <c r="K2963" s="24">
        <v>599</v>
      </c>
      <c r="L2963" s="38">
        <v>46283</v>
      </c>
      <c r="M2963" s="23" t="s">
        <v>208</v>
      </c>
      <c r="N2963" s="23" t="str">
        <f>IF(COUNTIF($A$2:A2963,A2963)&gt;1,"DUP","OK")</f>
        <v>OK</v>
      </c>
      <c r="O2963" s="23" t="str">
        <f t="shared" si="139"/>
        <v>ORD26002738</v>
      </c>
      <c r="P2963" s="23" t="str">
        <f t="shared" si="140"/>
        <v>Sep</v>
      </c>
      <c r="Q2963" s="23" t="str">
        <f>IF(F2963="CAPTURE",IF(COUNTIF(orders!$A:$A,O2963)&gt;0,"Yes","NO ORDER"),"")</f>
        <v>Yes</v>
      </c>
    </row>
    <row r="2964" spans="1:17" ht="15" customHeight="1" x14ac:dyDescent="0.3">
      <c r="A2964" s="23" t="s">
        <v>15848</v>
      </c>
      <c r="B2964" s="23"/>
      <c r="C2964" s="23" t="s">
        <v>6062</v>
      </c>
      <c r="D2964" s="23" t="str">
        <f t="shared" si="138"/>
        <v>ORD26002782</v>
      </c>
      <c r="E2964" s="38">
        <v>46281</v>
      </c>
      <c r="F2964" s="23" t="s">
        <v>12410</v>
      </c>
      <c r="G2964" s="23" t="s">
        <v>77</v>
      </c>
      <c r="H2964" s="24">
        <v>4999</v>
      </c>
      <c r="I2964" s="24">
        <v>84.98</v>
      </c>
      <c r="J2964" s="24">
        <v>15.3</v>
      </c>
      <c r="K2964" s="24">
        <v>4898.72</v>
      </c>
      <c r="L2964" s="38">
        <v>46283</v>
      </c>
      <c r="M2964" s="23" t="s">
        <v>208</v>
      </c>
      <c r="N2964" s="23" t="str">
        <f>IF(COUNTIF($A$2:A2964,A2964)&gt;1,"DUP","OK")</f>
        <v>OK</v>
      </c>
      <c r="O2964" s="23" t="str">
        <f t="shared" si="139"/>
        <v>ORD26002782</v>
      </c>
      <c r="P2964" s="23" t="str">
        <f t="shared" si="140"/>
        <v>Sep</v>
      </c>
      <c r="Q2964" s="23" t="str">
        <f>IF(F2964="CAPTURE",IF(COUNTIF(orders!$A:$A,O2964)&gt;0,"Yes","NO ORDER"),"")</f>
        <v>Yes</v>
      </c>
    </row>
    <row r="2965" spans="1:17" ht="15" customHeight="1" x14ac:dyDescent="0.3">
      <c r="A2965" s="23" t="s">
        <v>15849</v>
      </c>
      <c r="B2965" s="23"/>
      <c r="C2965" s="23" t="s">
        <v>6096</v>
      </c>
      <c r="D2965" s="23" t="str">
        <f t="shared" si="138"/>
        <v>ORD26002799</v>
      </c>
      <c r="E2965" s="38">
        <v>46281</v>
      </c>
      <c r="F2965" s="23" t="s">
        <v>12410</v>
      </c>
      <c r="G2965" s="23" t="s">
        <v>81</v>
      </c>
      <c r="H2965" s="24">
        <v>499</v>
      </c>
      <c r="I2965" s="24">
        <v>7.49</v>
      </c>
      <c r="J2965" s="24">
        <v>1.35</v>
      </c>
      <c r="K2965" s="24">
        <v>490.16</v>
      </c>
      <c r="L2965" s="38">
        <v>46283</v>
      </c>
      <c r="M2965" s="23" t="s">
        <v>208</v>
      </c>
      <c r="N2965" s="23" t="str">
        <f>IF(COUNTIF($A$2:A2965,A2965)&gt;1,"DUP","OK")</f>
        <v>OK</v>
      </c>
      <c r="O2965" s="23" t="str">
        <f t="shared" si="139"/>
        <v>ORD26002799</v>
      </c>
      <c r="P2965" s="23" t="str">
        <f t="shared" si="140"/>
        <v>Sep</v>
      </c>
      <c r="Q2965" s="23" t="str">
        <f>IF(F2965="CAPTURE",IF(COUNTIF(orders!$A:$A,O2965)&gt;0,"Yes","NO ORDER"),"")</f>
        <v>Yes</v>
      </c>
    </row>
    <row r="2966" spans="1:17" ht="15" customHeight="1" x14ac:dyDescent="0.3">
      <c r="A2966" s="23" t="s">
        <v>15850</v>
      </c>
      <c r="B2966" s="23"/>
      <c r="C2966" s="23" t="s">
        <v>6120</v>
      </c>
      <c r="D2966" s="23" t="str">
        <f t="shared" si="138"/>
        <v>ORD26002811</v>
      </c>
      <c r="E2966" s="38">
        <v>46281</v>
      </c>
      <c r="F2966" s="23" t="s">
        <v>12410</v>
      </c>
      <c r="G2966" s="23" t="s">
        <v>79</v>
      </c>
      <c r="H2966" s="24">
        <v>2647</v>
      </c>
      <c r="I2966" s="24">
        <v>42.35</v>
      </c>
      <c r="J2966" s="24">
        <v>7.62</v>
      </c>
      <c r="K2966" s="24">
        <v>2597.0300000000002</v>
      </c>
      <c r="L2966" s="38">
        <v>46283</v>
      </c>
      <c r="M2966" s="23" t="s">
        <v>208</v>
      </c>
      <c r="N2966" s="23" t="str">
        <f>IF(COUNTIF($A$2:A2966,A2966)&gt;1,"DUP","OK")</f>
        <v>OK</v>
      </c>
      <c r="O2966" s="23" t="str">
        <f t="shared" si="139"/>
        <v>ORD26002811</v>
      </c>
      <c r="P2966" s="23" t="str">
        <f t="shared" si="140"/>
        <v>Sep</v>
      </c>
      <c r="Q2966" s="23" t="str">
        <f>IF(F2966="CAPTURE",IF(COUNTIF(orders!$A:$A,O2966)&gt;0,"Yes","NO ORDER"),"")</f>
        <v>Yes</v>
      </c>
    </row>
    <row r="2967" spans="1:17" ht="15" customHeight="1" x14ac:dyDescent="0.3">
      <c r="A2967" s="23" t="s">
        <v>15851</v>
      </c>
      <c r="B2967" s="23"/>
      <c r="C2967" s="23" t="s">
        <v>6194</v>
      </c>
      <c r="D2967" s="23" t="str">
        <f t="shared" si="138"/>
        <v>ORD26002849</v>
      </c>
      <c r="E2967" s="38">
        <v>46281</v>
      </c>
      <c r="F2967" s="23" t="s">
        <v>12410</v>
      </c>
      <c r="G2967" s="23" t="s">
        <v>79</v>
      </c>
      <c r="H2967" s="24">
        <v>4999</v>
      </c>
      <c r="I2967" s="24">
        <v>79.98</v>
      </c>
      <c r="J2967" s="24">
        <v>14.4</v>
      </c>
      <c r="K2967" s="24">
        <v>4904.62</v>
      </c>
      <c r="L2967" s="38">
        <v>46283</v>
      </c>
      <c r="M2967" s="23" t="s">
        <v>208</v>
      </c>
      <c r="N2967" s="23" t="str">
        <f>IF(COUNTIF($A$2:A2967,A2967)&gt;1,"DUP","OK")</f>
        <v>OK</v>
      </c>
      <c r="O2967" s="23" t="str">
        <f t="shared" si="139"/>
        <v>ORD26002849</v>
      </c>
      <c r="P2967" s="23" t="str">
        <f t="shared" si="140"/>
        <v>Sep</v>
      </c>
      <c r="Q2967" s="23" t="str">
        <f>IF(F2967="CAPTURE",IF(COUNTIF(orders!$A:$A,O2967)&gt;0,"Yes","NO ORDER"),"")</f>
        <v>Yes</v>
      </c>
    </row>
    <row r="2968" spans="1:17" ht="15" customHeight="1" x14ac:dyDescent="0.3">
      <c r="A2968" s="23" t="s">
        <v>15852</v>
      </c>
      <c r="B2968" s="23"/>
      <c r="C2968" s="23" t="s">
        <v>6277</v>
      </c>
      <c r="D2968" s="23" t="str">
        <f t="shared" si="138"/>
        <v>ORD26002891</v>
      </c>
      <c r="E2968" s="38">
        <v>46281</v>
      </c>
      <c r="F2968" s="23" t="s">
        <v>12410</v>
      </c>
      <c r="G2968" s="23" t="s">
        <v>75</v>
      </c>
      <c r="H2968" s="24">
        <v>8998</v>
      </c>
      <c r="I2968" s="24">
        <v>26.99</v>
      </c>
      <c r="J2968" s="24">
        <v>4.8600000000000003</v>
      </c>
      <c r="K2968" s="24">
        <v>8966.15</v>
      </c>
      <c r="L2968" s="38">
        <v>46283</v>
      </c>
      <c r="M2968" s="23" t="s">
        <v>208</v>
      </c>
      <c r="N2968" s="23" t="str">
        <f>IF(COUNTIF($A$2:A2968,A2968)&gt;1,"DUP","OK")</f>
        <v>OK</v>
      </c>
      <c r="O2968" s="23" t="str">
        <f t="shared" si="139"/>
        <v>ORD26002891</v>
      </c>
      <c r="P2968" s="23" t="str">
        <f t="shared" si="140"/>
        <v>Sep</v>
      </c>
      <c r="Q2968" s="23" t="str">
        <f>IF(F2968="CAPTURE",IF(COUNTIF(orders!$A:$A,O2968)&gt;0,"Yes","NO ORDER"),"")</f>
        <v>Yes</v>
      </c>
    </row>
    <row r="2969" spans="1:17" ht="15" customHeight="1" x14ac:dyDescent="0.3">
      <c r="A2969" s="23" t="s">
        <v>15853</v>
      </c>
      <c r="B2969" s="23"/>
      <c r="C2969" s="23" t="s">
        <v>6290</v>
      </c>
      <c r="D2969" s="23" t="str">
        <f t="shared" si="138"/>
        <v>ORD26002898</v>
      </c>
      <c r="E2969" s="38">
        <v>46281</v>
      </c>
      <c r="F2969" s="23" t="s">
        <v>12410</v>
      </c>
      <c r="G2969" s="23" t="s">
        <v>75</v>
      </c>
      <c r="H2969" s="24">
        <v>5598</v>
      </c>
      <c r="I2969" s="24">
        <v>16.79</v>
      </c>
      <c r="J2969" s="24">
        <v>3.02</v>
      </c>
      <c r="K2969" s="24">
        <v>5578.19</v>
      </c>
      <c r="L2969" s="38">
        <v>46283</v>
      </c>
      <c r="M2969" s="23" t="s">
        <v>208</v>
      </c>
      <c r="N2969" s="23" t="str">
        <f>IF(COUNTIF($A$2:A2969,A2969)&gt;1,"DUP","OK")</f>
        <v>OK</v>
      </c>
      <c r="O2969" s="23" t="str">
        <f t="shared" si="139"/>
        <v>ORD26002898</v>
      </c>
      <c r="P2969" s="23" t="str">
        <f t="shared" si="140"/>
        <v>Sep</v>
      </c>
      <c r="Q2969" s="23" t="str">
        <f>IF(F2969="CAPTURE",IF(COUNTIF(orders!$A:$A,O2969)&gt;0,"Yes","NO ORDER"),"")</f>
        <v>Yes</v>
      </c>
    </row>
    <row r="2970" spans="1:17" ht="15" customHeight="1" x14ac:dyDescent="0.3">
      <c r="A2970" s="23" t="s">
        <v>15854</v>
      </c>
      <c r="B2970" s="23"/>
      <c r="C2970" s="23" t="s">
        <v>6292</v>
      </c>
      <c r="D2970" s="23" t="str">
        <f t="shared" si="138"/>
        <v>ORD26002899</v>
      </c>
      <c r="E2970" s="38">
        <v>46281</v>
      </c>
      <c r="F2970" s="23" t="s">
        <v>12410</v>
      </c>
      <c r="G2970" s="23" t="s">
        <v>81</v>
      </c>
      <c r="H2970" s="24">
        <v>299</v>
      </c>
      <c r="I2970" s="24">
        <v>4.49</v>
      </c>
      <c r="J2970" s="24">
        <v>0.81</v>
      </c>
      <c r="K2970" s="24">
        <v>293.7</v>
      </c>
      <c r="L2970" s="38">
        <v>46283</v>
      </c>
      <c r="M2970" s="23" t="s">
        <v>208</v>
      </c>
      <c r="N2970" s="23" t="str">
        <f>IF(COUNTIF($A$2:A2970,A2970)&gt;1,"DUP","OK")</f>
        <v>OK</v>
      </c>
      <c r="O2970" s="23" t="str">
        <f t="shared" si="139"/>
        <v>ORD26002899</v>
      </c>
      <c r="P2970" s="23" t="str">
        <f t="shared" si="140"/>
        <v>Sep</v>
      </c>
      <c r="Q2970" s="23" t="str">
        <f>IF(F2970="CAPTURE",IF(COUNTIF(orders!$A:$A,O2970)&gt;0,"Yes","NO ORDER"),"")</f>
        <v>Yes</v>
      </c>
    </row>
    <row r="2971" spans="1:17" ht="15" customHeight="1" x14ac:dyDescent="0.3">
      <c r="A2971" s="23" t="s">
        <v>15855</v>
      </c>
      <c r="B2971" s="23"/>
      <c r="C2971" s="23" t="s">
        <v>15856</v>
      </c>
      <c r="D2971" s="23" t="str">
        <f t="shared" si="138"/>
        <v>ORD26002938</v>
      </c>
      <c r="E2971" s="38">
        <v>46281</v>
      </c>
      <c r="F2971" s="23" t="s">
        <v>12410</v>
      </c>
      <c r="G2971" s="23" t="s">
        <v>79</v>
      </c>
      <c r="H2971" s="24">
        <v>5998</v>
      </c>
      <c r="I2971" s="24">
        <v>95.97</v>
      </c>
      <c r="J2971" s="24">
        <v>17.27</v>
      </c>
      <c r="K2971" s="24">
        <v>5884.76</v>
      </c>
      <c r="L2971" s="38">
        <v>46283</v>
      </c>
      <c r="M2971" s="23" t="s">
        <v>208</v>
      </c>
      <c r="N2971" s="23" t="str">
        <f>IF(COUNTIF($A$2:A2971,A2971)&gt;1,"DUP","OK")</f>
        <v>OK</v>
      </c>
      <c r="O2971" s="23" t="str">
        <f t="shared" si="139"/>
        <v>ORD26002938</v>
      </c>
      <c r="P2971" s="23" t="str">
        <f t="shared" si="140"/>
        <v>Sep</v>
      </c>
      <c r="Q2971" s="23" t="str">
        <f>IF(F2971="CAPTURE",IF(COUNTIF(orders!$A:$A,O2971)&gt;0,"Yes","NO ORDER"),"")</f>
        <v>Yes</v>
      </c>
    </row>
    <row r="2972" spans="1:17" ht="15" customHeight="1" x14ac:dyDescent="0.3">
      <c r="A2972" s="23" t="s">
        <v>15857</v>
      </c>
      <c r="B2972" s="23"/>
      <c r="C2972" s="23" t="s">
        <v>6386</v>
      </c>
      <c r="D2972" s="23" t="str">
        <f t="shared" si="138"/>
        <v>ORD26002945</v>
      </c>
      <c r="E2972" s="38">
        <v>46281</v>
      </c>
      <c r="F2972" s="23" t="s">
        <v>12410</v>
      </c>
      <c r="G2972" s="23" t="s">
        <v>79</v>
      </c>
      <c r="H2972" s="24">
        <v>4298</v>
      </c>
      <c r="I2972" s="24">
        <v>68.77</v>
      </c>
      <c r="J2972" s="24">
        <v>12.38</v>
      </c>
      <c r="K2972" s="24">
        <v>4216.8500000000004</v>
      </c>
      <c r="L2972" s="38">
        <v>46283</v>
      </c>
      <c r="M2972" s="23" t="s">
        <v>208</v>
      </c>
      <c r="N2972" s="23" t="str">
        <f>IF(COUNTIF($A$2:A2972,A2972)&gt;1,"DUP","OK")</f>
        <v>OK</v>
      </c>
      <c r="O2972" s="23" t="str">
        <f t="shared" si="139"/>
        <v>ORD26002945</v>
      </c>
      <c r="P2972" s="23" t="str">
        <f t="shared" si="140"/>
        <v>Sep</v>
      </c>
      <c r="Q2972" s="23" t="str">
        <f>IF(F2972="CAPTURE",IF(COUNTIF(orders!$A:$A,O2972)&gt;0,"Yes","NO ORDER"),"")</f>
        <v>Yes</v>
      </c>
    </row>
    <row r="2973" spans="1:17" ht="15" customHeight="1" x14ac:dyDescent="0.3">
      <c r="A2973" s="23" t="s">
        <v>15858</v>
      </c>
      <c r="B2973" s="23"/>
      <c r="C2973" s="23" t="s">
        <v>6397</v>
      </c>
      <c r="D2973" s="23" t="str">
        <f t="shared" si="138"/>
        <v>ORD26002951</v>
      </c>
      <c r="E2973" s="38">
        <v>46281</v>
      </c>
      <c r="F2973" s="23" t="s">
        <v>12410</v>
      </c>
      <c r="G2973" s="23" t="s">
        <v>75</v>
      </c>
      <c r="H2973" s="24">
        <v>999</v>
      </c>
      <c r="I2973" s="24">
        <v>0</v>
      </c>
      <c r="J2973" s="24">
        <v>0</v>
      </c>
      <c r="K2973" s="24">
        <v>999</v>
      </c>
      <c r="L2973" s="38">
        <v>46283</v>
      </c>
      <c r="M2973" s="23" t="s">
        <v>208</v>
      </c>
      <c r="N2973" s="23" t="str">
        <f>IF(COUNTIF($A$2:A2973,A2973)&gt;1,"DUP","OK")</f>
        <v>OK</v>
      </c>
      <c r="O2973" s="23" t="str">
        <f t="shared" si="139"/>
        <v>ORD26002951</v>
      </c>
      <c r="P2973" s="23" t="str">
        <f t="shared" si="140"/>
        <v>Sep</v>
      </c>
      <c r="Q2973" s="23" t="str">
        <f>IF(F2973="CAPTURE",IF(COUNTIF(orders!$A:$A,O2973)&gt;0,"Yes","NO ORDER"),"")</f>
        <v>Yes</v>
      </c>
    </row>
    <row r="2974" spans="1:17" ht="15" customHeight="1" x14ac:dyDescent="0.3">
      <c r="A2974" s="23" t="s">
        <v>15859</v>
      </c>
      <c r="B2974" s="23"/>
      <c r="C2974" s="23" t="s">
        <v>6504</v>
      </c>
      <c r="D2974" s="23" t="str">
        <f t="shared" si="138"/>
        <v>ORD26003005</v>
      </c>
      <c r="E2974" s="38">
        <v>46281</v>
      </c>
      <c r="F2974" s="23" t="s">
        <v>12410</v>
      </c>
      <c r="G2974" s="23" t="s">
        <v>75</v>
      </c>
      <c r="H2974" s="24">
        <v>1299</v>
      </c>
      <c r="I2974" s="24">
        <v>0</v>
      </c>
      <c r="J2974" s="24">
        <v>0</v>
      </c>
      <c r="K2974" s="24">
        <v>1299</v>
      </c>
      <c r="L2974" s="38">
        <v>46283</v>
      </c>
      <c r="M2974" s="23" t="s">
        <v>208</v>
      </c>
      <c r="N2974" s="23" t="str">
        <f>IF(COUNTIF($A$2:A2974,A2974)&gt;1,"DUP","OK")</f>
        <v>OK</v>
      </c>
      <c r="O2974" s="23" t="str">
        <f t="shared" si="139"/>
        <v>ORD26003005</v>
      </c>
      <c r="P2974" s="23" t="str">
        <f t="shared" si="140"/>
        <v>Sep</v>
      </c>
      <c r="Q2974" s="23" t="str">
        <f>IF(F2974="CAPTURE",IF(COUNTIF(orders!$A:$A,O2974)&gt;0,"Yes","NO ORDER"),"")</f>
        <v>Yes</v>
      </c>
    </row>
    <row r="2975" spans="1:17" ht="15" customHeight="1" x14ac:dyDescent="0.3">
      <c r="A2975" s="23" t="s">
        <v>15860</v>
      </c>
      <c r="B2975" s="23"/>
      <c r="C2975" s="23" t="s">
        <v>6519</v>
      </c>
      <c r="D2975" s="23" t="str">
        <f t="shared" si="138"/>
        <v>ORD26003013</v>
      </c>
      <c r="E2975" s="38">
        <v>46281</v>
      </c>
      <c r="F2975" s="23" t="s">
        <v>12410</v>
      </c>
      <c r="G2975" s="23" t="s">
        <v>75</v>
      </c>
      <c r="H2975" s="24">
        <v>7999</v>
      </c>
      <c r="I2975" s="24">
        <v>24</v>
      </c>
      <c r="J2975" s="24">
        <v>4.32</v>
      </c>
      <c r="K2975" s="24">
        <v>7970.68</v>
      </c>
      <c r="L2975" s="38">
        <v>46283</v>
      </c>
      <c r="M2975" s="23" t="s">
        <v>208</v>
      </c>
      <c r="N2975" s="23" t="str">
        <f>IF(COUNTIF($A$2:A2975,A2975)&gt;1,"DUP","OK")</f>
        <v>OK</v>
      </c>
      <c r="O2975" s="23" t="str">
        <f t="shared" si="139"/>
        <v>ORD26003013</v>
      </c>
      <c r="P2975" s="23" t="str">
        <f t="shared" si="140"/>
        <v>Sep</v>
      </c>
      <c r="Q2975" s="23" t="str">
        <f>IF(F2975="CAPTURE",IF(COUNTIF(orders!$A:$A,O2975)&gt;0,"Yes","NO ORDER"),"")</f>
        <v>Yes</v>
      </c>
    </row>
    <row r="2976" spans="1:17" ht="15" customHeight="1" x14ac:dyDescent="0.3">
      <c r="A2976" s="23" t="s">
        <v>15861</v>
      </c>
      <c r="B2976" s="23"/>
      <c r="C2976" s="23" t="s">
        <v>15862</v>
      </c>
      <c r="D2976" s="23" t="str">
        <f t="shared" si="138"/>
        <v>ORD26003068</v>
      </c>
      <c r="E2976" s="38">
        <v>46281</v>
      </c>
      <c r="F2976" s="23" t="s">
        <v>12410</v>
      </c>
      <c r="G2976" s="23" t="s">
        <v>79</v>
      </c>
      <c r="H2976" s="24">
        <v>499</v>
      </c>
      <c r="I2976" s="24">
        <v>8.98</v>
      </c>
      <c r="J2976" s="24">
        <v>1.62</v>
      </c>
      <c r="K2976" s="24">
        <v>488.4</v>
      </c>
      <c r="L2976" s="38">
        <v>46283</v>
      </c>
      <c r="M2976" s="23" t="s">
        <v>208</v>
      </c>
      <c r="N2976" s="23" t="str">
        <f>IF(COUNTIF($A$2:A2976,A2976)&gt;1,"DUP","OK")</f>
        <v>OK</v>
      </c>
      <c r="O2976" s="23" t="str">
        <f t="shared" si="139"/>
        <v>ORD26003068</v>
      </c>
      <c r="P2976" s="23" t="str">
        <f t="shared" si="140"/>
        <v>Sep</v>
      </c>
      <c r="Q2976" s="23" t="str">
        <f>IF(F2976="CAPTURE",IF(COUNTIF(orders!$A:$A,O2976)&gt;0,"Yes","NO ORDER"),"")</f>
        <v>Yes</v>
      </c>
    </row>
    <row r="2977" spans="1:17" ht="15" customHeight="1" x14ac:dyDescent="0.3">
      <c r="A2977" s="23" t="s">
        <v>15863</v>
      </c>
      <c r="B2977" s="23"/>
      <c r="C2977" s="23" t="s">
        <v>6729</v>
      </c>
      <c r="D2977" s="23" t="str">
        <f t="shared" si="138"/>
        <v>ORD26003116</v>
      </c>
      <c r="E2977" s="38">
        <v>46281</v>
      </c>
      <c r="F2977" s="23" t="s">
        <v>12410</v>
      </c>
      <c r="G2977" s="23" t="s">
        <v>75</v>
      </c>
      <c r="H2977" s="24">
        <v>4999</v>
      </c>
      <c r="I2977" s="24">
        <v>15</v>
      </c>
      <c r="J2977" s="24">
        <v>2.7</v>
      </c>
      <c r="K2977" s="24">
        <v>4981.3</v>
      </c>
      <c r="L2977" s="38">
        <v>46283</v>
      </c>
      <c r="M2977" s="23" t="s">
        <v>208</v>
      </c>
      <c r="N2977" s="23" t="str">
        <f>IF(COUNTIF($A$2:A2977,A2977)&gt;1,"DUP","OK")</f>
        <v>OK</v>
      </c>
      <c r="O2977" s="23" t="str">
        <f t="shared" si="139"/>
        <v>ORD26003116</v>
      </c>
      <c r="P2977" s="23" t="str">
        <f t="shared" si="140"/>
        <v>Sep</v>
      </c>
      <c r="Q2977" s="23" t="str">
        <f>IF(F2977="CAPTURE",IF(COUNTIF(orders!$A:$A,O2977)&gt;0,"Yes","NO ORDER"),"")</f>
        <v>Yes</v>
      </c>
    </row>
    <row r="2978" spans="1:17" ht="15" customHeight="1" x14ac:dyDescent="0.3">
      <c r="A2978" s="23" t="s">
        <v>15864</v>
      </c>
      <c r="B2978" s="23"/>
      <c r="C2978" s="23" t="s">
        <v>6793</v>
      </c>
      <c r="D2978" s="23" t="str">
        <f t="shared" si="138"/>
        <v>ORD26003148</v>
      </c>
      <c r="E2978" s="38">
        <v>46281</v>
      </c>
      <c r="F2978" s="23" t="s">
        <v>12410</v>
      </c>
      <c r="G2978" s="23" t="s">
        <v>75</v>
      </c>
      <c r="H2978" s="24">
        <v>299</v>
      </c>
      <c r="I2978" s="24">
        <v>0</v>
      </c>
      <c r="J2978" s="24">
        <v>0</v>
      </c>
      <c r="K2978" s="24">
        <v>299</v>
      </c>
      <c r="L2978" s="38">
        <v>46283</v>
      </c>
      <c r="M2978" s="23" t="s">
        <v>208</v>
      </c>
      <c r="N2978" s="23" t="str">
        <f>IF(COUNTIF($A$2:A2978,A2978)&gt;1,"DUP","OK")</f>
        <v>OK</v>
      </c>
      <c r="O2978" s="23" t="str">
        <f t="shared" si="139"/>
        <v>ORD26003148</v>
      </c>
      <c r="P2978" s="23" t="str">
        <f t="shared" si="140"/>
        <v>Sep</v>
      </c>
      <c r="Q2978" s="23" t="str">
        <f>IF(F2978="CAPTURE",IF(COUNTIF(orders!$A:$A,O2978)&gt;0,"Yes","NO ORDER"),"")</f>
        <v>Yes</v>
      </c>
    </row>
    <row r="2979" spans="1:17" ht="15" customHeight="1" x14ac:dyDescent="0.3">
      <c r="A2979" s="23" t="s">
        <v>15865</v>
      </c>
      <c r="B2979" s="23"/>
      <c r="C2979" s="23" t="s">
        <v>6841</v>
      </c>
      <c r="D2979" s="23" t="str">
        <f t="shared" si="138"/>
        <v>ORD26003172</v>
      </c>
      <c r="E2979" s="38">
        <v>46281</v>
      </c>
      <c r="F2979" s="23" t="s">
        <v>12410</v>
      </c>
      <c r="G2979" s="23" t="s">
        <v>79</v>
      </c>
      <c r="H2979" s="24">
        <v>3499</v>
      </c>
      <c r="I2979" s="24">
        <v>55.98</v>
      </c>
      <c r="J2979" s="24">
        <v>10.08</v>
      </c>
      <c r="K2979" s="24">
        <v>3432.94</v>
      </c>
      <c r="L2979" s="38">
        <v>46283</v>
      </c>
      <c r="M2979" s="23" t="s">
        <v>208</v>
      </c>
      <c r="N2979" s="23" t="str">
        <f>IF(COUNTIF($A$2:A2979,A2979)&gt;1,"DUP","OK")</f>
        <v>OK</v>
      </c>
      <c r="O2979" s="23" t="str">
        <f t="shared" si="139"/>
        <v>ORD26003172</v>
      </c>
      <c r="P2979" s="23" t="str">
        <f t="shared" si="140"/>
        <v>Sep</v>
      </c>
      <c r="Q2979" s="23" t="str">
        <f>IF(F2979="CAPTURE",IF(COUNTIF(orders!$A:$A,O2979)&gt;0,"Yes","NO ORDER"),"")</f>
        <v>Yes</v>
      </c>
    </row>
    <row r="2980" spans="1:17" ht="15" customHeight="1" x14ac:dyDescent="0.3">
      <c r="A2980" s="23" t="s">
        <v>15866</v>
      </c>
      <c r="B2980" s="23"/>
      <c r="C2980" s="23" t="s">
        <v>15867</v>
      </c>
      <c r="D2980" s="23" t="str">
        <f t="shared" si="138"/>
        <v>ORD26003203</v>
      </c>
      <c r="E2980" s="38">
        <v>46281</v>
      </c>
      <c r="F2980" s="23" t="s">
        <v>12410</v>
      </c>
      <c r="G2980" s="23" t="s">
        <v>75</v>
      </c>
      <c r="H2980" s="24">
        <v>2498</v>
      </c>
      <c r="I2980" s="24">
        <v>7.49</v>
      </c>
      <c r="J2980" s="24">
        <v>1.35</v>
      </c>
      <c r="K2980" s="24">
        <v>2489.16</v>
      </c>
      <c r="L2980" s="38">
        <v>46283</v>
      </c>
      <c r="M2980" s="23" t="s">
        <v>208</v>
      </c>
      <c r="N2980" s="23" t="str">
        <f>IF(COUNTIF($A$2:A2980,A2980)&gt;1,"DUP","OK")</f>
        <v>OK</v>
      </c>
      <c r="O2980" s="23" t="str">
        <f t="shared" si="139"/>
        <v>ORD26003203</v>
      </c>
      <c r="P2980" s="23" t="str">
        <f t="shared" si="140"/>
        <v>Sep</v>
      </c>
      <c r="Q2980" s="23" t="str">
        <f>IF(F2980="CAPTURE",IF(COUNTIF(orders!$A:$A,O2980)&gt;0,"Yes","NO ORDER"),"")</f>
        <v>Yes</v>
      </c>
    </row>
    <row r="2981" spans="1:17" ht="15" customHeight="1" x14ac:dyDescent="0.3">
      <c r="A2981" s="23" t="s">
        <v>15868</v>
      </c>
      <c r="B2981" s="23"/>
      <c r="C2981" s="23" t="s">
        <v>6947</v>
      </c>
      <c r="D2981" s="23" t="str">
        <f t="shared" si="138"/>
        <v>ORD26003225</v>
      </c>
      <c r="E2981" s="38">
        <v>46281</v>
      </c>
      <c r="F2981" s="23" t="s">
        <v>12410</v>
      </c>
      <c r="G2981" s="23" t="s">
        <v>75</v>
      </c>
      <c r="H2981" s="24">
        <v>1998</v>
      </c>
      <c r="I2981" s="24">
        <v>0</v>
      </c>
      <c r="J2981" s="24">
        <v>0</v>
      </c>
      <c r="K2981" s="24">
        <v>1998</v>
      </c>
      <c r="L2981" s="38">
        <v>46283</v>
      </c>
      <c r="M2981" s="23" t="s">
        <v>208</v>
      </c>
      <c r="N2981" s="23" t="str">
        <f>IF(COUNTIF($A$2:A2981,A2981)&gt;1,"DUP","OK")</f>
        <v>OK</v>
      </c>
      <c r="O2981" s="23" t="str">
        <f t="shared" si="139"/>
        <v>ORD26003225</v>
      </c>
      <c r="P2981" s="23" t="str">
        <f t="shared" si="140"/>
        <v>Sep</v>
      </c>
      <c r="Q2981" s="23" t="str">
        <f>IF(F2981="CAPTURE",IF(COUNTIF(orders!$A:$A,O2981)&gt;0,"Yes","NO ORDER"),"")</f>
        <v>Yes</v>
      </c>
    </row>
    <row r="2982" spans="1:17" ht="15" customHeight="1" x14ac:dyDescent="0.3">
      <c r="A2982" s="23" t="s">
        <v>15869</v>
      </c>
      <c r="B2982" s="23"/>
      <c r="C2982" s="23" t="s">
        <v>7190</v>
      </c>
      <c r="D2982" s="23" t="str">
        <f t="shared" si="138"/>
        <v>ORD26003346</v>
      </c>
      <c r="E2982" s="38">
        <v>46281</v>
      </c>
      <c r="F2982" s="23" t="s">
        <v>12410</v>
      </c>
      <c r="G2982" s="23" t="s">
        <v>75</v>
      </c>
      <c r="H2982" s="24">
        <v>299</v>
      </c>
      <c r="I2982" s="24">
        <v>0</v>
      </c>
      <c r="J2982" s="24">
        <v>0</v>
      </c>
      <c r="K2982" s="24">
        <v>299</v>
      </c>
      <c r="L2982" s="38">
        <v>46283</v>
      </c>
      <c r="M2982" s="23" t="s">
        <v>208</v>
      </c>
      <c r="N2982" s="23" t="str">
        <f>IF(COUNTIF($A$2:A2982,A2982)&gt;1,"DUP","OK")</f>
        <v>OK</v>
      </c>
      <c r="O2982" s="23" t="str">
        <f t="shared" si="139"/>
        <v>ORD26003346</v>
      </c>
      <c r="P2982" s="23" t="str">
        <f t="shared" si="140"/>
        <v>Sep</v>
      </c>
      <c r="Q2982" s="23" t="str">
        <f>IF(F2982="CAPTURE",IF(COUNTIF(orders!$A:$A,O2982)&gt;0,"Yes","NO ORDER"),"")</f>
        <v>Yes</v>
      </c>
    </row>
    <row r="2983" spans="1:17" ht="15" customHeight="1" x14ac:dyDescent="0.3">
      <c r="A2983" s="23" t="s">
        <v>15870</v>
      </c>
      <c r="B2983" s="23"/>
      <c r="C2983" s="23" t="s">
        <v>7211</v>
      </c>
      <c r="D2983" s="23" t="str">
        <f t="shared" si="138"/>
        <v>ORD26003356</v>
      </c>
      <c r="E2983" s="38">
        <v>46281</v>
      </c>
      <c r="F2983" s="23" t="s">
        <v>12410</v>
      </c>
      <c r="G2983" s="23" t="s">
        <v>79</v>
      </c>
      <c r="H2983" s="24">
        <v>1799</v>
      </c>
      <c r="I2983" s="24">
        <v>32.380000000000003</v>
      </c>
      <c r="J2983" s="24">
        <v>5.83</v>
      </c>
      <c r="K2983" s="24">
        <v>1760.79</v>
      </c>
      <c r="L2983" s="38">
        <v>46283</v>
      </c>
      <c r="M2983" s="23" t="s">
        <v>208</v>
      </c>
      <c r="N2983" s="23" t="str">
        <f>IF(COUNTIF($A$2:A2983,A2983)&gt;1,"DUP","OK")</f>
        <v>OK</v>
      </c>
      <c r="O2983" s="23" t="str">
        <f t="shared" si="139"/>
        <v>ORD26003356</v>
      </c>
      <c r="P2983" s="23" t="str">
        <f t="shared" si="140"/>
        <v>Sep</v>
      </c>
      <c r="Q2983" s="23" t="str">
        <f>IF(F2983="CAPTURE",IF(COUNTIF(orders!$A:$A,O2983)&gt;0,"Yes","NO ORDER"),"")</f>
        <v>Yes</v>
      </c>
    </row>
    <row r="2984" spans="1:17" ht="15" customHeight="1" x14ac:dyDescent="0.3">
      <c r="A2984" s="23" t="s">
        <v>15871</v>
      </c>
      <c r="B2984" s="23"/>
      <c r="C2984" s="23" t="s">
        <v>7323</v>
      </c>
      <c r="D2984" s="23" t="str">
        <f t="shared" si="138"/>
        <v>ORD26003412</v>
      </c>
      <c r="E2984" s="38">
        <v>46281</v>
      </c>
      <c r="F2984" s="23" t="s">
        <v>12410</v>
      </c>
      <c r="G2984" s="23" t="s">
        <v>75</v>
      </c>
      <c r="H2984" s="24">
        <v>1299</v>
      </c>
      <c r="I2984" s="24">
        <v>0</v>
      </c>
      <c r="J2984" s="24">
        <v>0</v>
      </c>
      <c r="K2984" s="24">
        <v>1299</v>
      </c>
      <c r="L2984" s="38">
        <v>46283</v>
      </c>
      <c r="M2984" s="23" t="s">
        <v>208</v>
      </c>
      <c r="N2984" s="23" t="str">
        <f>IF(COUNTIF($A$2:A2984,A2984)&gt;1,"DUP","OK")</f>
        <v>OK</v>
      </c>
      <c r="O2984" s="23" t="str">
        <f t="shared" si="139"/>
        <v>ORD26003412</v>
      </c>
      <c r="P2984" s="23" t="str">
        <f t="shared" si="140"/>
        <v>Sep</v>
      </c>
      <c r="Q2984" s="23" t="str">
        <f>IF(F2984="CAPTURE",IF(COUNTIF(orders!$A:$A,O2984)&gt;0,"Yes","NO ORDER"),"")</f>
        <v>Yes</v>
      </c>
    </row>
    <row r="2985" spans="1:17" ht="15" customHeight="1" x14ac:dyDescent="0.3">
      <c r="A2985" s="23" t="s">
        <v>15872</v>
      </c>
      <c r="B2985" s="23"/>
      <c r="C2985" s="23" t="s">
        <v>7436</v>
      </c>
      <c r="D2985" s="23" t="str">
        <f t="shared" si="138"/>
        <v>ORD26003468</v>
      </c>
      <c r="E2985" s="38">
        <v>46281</v>
      </c>
      <c r="F2985" s="23" t="s">
        <v>12410</v>
      </c>
      <c r="G2985" s="23" t="s">
        <v>81</v>
      </c>
      <c r="H2985" s="24">
        <v>1799</v>
      </c>
      <c r="I2985" s="24">
        <v>26.99</v>
      </c>
      <c r="J2985" s="24">
        <v>4.8600000000000003</v>
      </c>
      <c r="K2985" s="24">
        <v>1767.15</v>
      </c>
      <c r="L2985" s="38">
        <v>46283</v>
      </c>
      <c r="M2985" s="23" t="s">
        <v>208</v>
      </c>
      <c r="N2985" s="23" t="str">
        <f>IF(COUNTIF($A$2:A2985,A2985)&gt;1,"DUP","OK")</f>
        <v>OK</v>
      </c>
      <c r="O2985" s="23" t="str">
        <f t="shared" si="139"/>
        <v>ORD26003468</v>
      </c>
      <c r="P2985" s="23" t="str">
        <f t="shared" si="140"/>
        <v>Sep</v>
      </c>
      <c r="Q2985" s="23" t="str">
        <f>IF(F2985="CAPTURE",IF(COUNTIF(orders!$A:$A,O2985)&gt;0,"Yes","NO ORDER"),"")</f>
        <v>Yes</v>
      </c>
    </row>
    <row r="2986" spans="1:17" ht="15" customHeight="1" x14ac:dyDescent="0.3">
      <c r="A2986" s="23" t="s">
        <v>15873</v>
      </c>
      <c r="B2986" s="23"/>
      <c r="C2986" s="23" t="s">
        <v>7482</v>
      </c>
      <c r="D2986" s="23" t="str">
        <f t="shared" si="138"/>
        <v>ORD26003492</v>
      </c>
      <c r="E2986" s="38">
        <v>46281</v>
      </c>
      <c r="F2986" s="23" t="s">
        <v>12410</v>
      </c>
      <c r="G2986" s="23" t="s">
        <v>79</v>
      </c>
      <c r="H2986" s="24">
        <v>1749</v>
      </c>
      <c r="I2986" s="24">
        <v>31.48</v>
      </c>
      <c r="J2986" s="24">
        <v>5.67</v>
      </c>
      <c r="K2986" s="24">
        <v>1711.85</v>
      </c>
      <c r="L2986" s="38">
        <v>46283</v>
      </c>
      <c r="M2986" s="23" t="s">
        <v>208</v>
      </c>
      <c r="N2986" s="23" t="str">
        <f>IF(COUNTIF($A$2:A2986,A2986)&gt;1,"DUP","OK")</f>
        <v>OK</v>
      </c>
      <c r="O2986" s="23" t="str">
        <f t="shared" si="139"/>
        <v>ORD26003492</v>
      </c>
      <c r="P2986" s="23" t="str">
        <f t="shared" si="140"/>
        <v>Sep</v>
      </c>
      <c r="Q2986" s="23" t="str">
        <f>IF(F2986="CAPTURE",IF(COUNTIF(orders!$A:$A,O2986)&gt;0,"Yes","NO ORDER"),"")</f>
        <v>Yes</v>
      </c>
    </row>
    <row r="2987" spans="1:17" ht="15" customHeight="1" x14ac:dyDescent="0.3">
      <c r="A2987" s="23" t="s">
        <v>15874</v>
      </c>
      <c r="B2987" s="23"/>
      <c r="C2987" s="23" t="s">
        <v>7522</v>
      </c>
      <c r="D2987" s="23" t="str">
        <f t="shared" si="138"/>
        <v>ORD26003512</v>
      </c>
      <c r="E2987" s="38">
        <v>46281</v>
      </c>
      <c r="F2987" s="23" t="s">
        <v>12410</v>
      </c>
      <c r="G2987" s="23" t="s">
        <v>75</v>
      </c>
      <c r="H2987" s="24">
        <v>2499</v>
      </c>
      <c r="I2987" s="24">
        <v>7.5</v>
      </c>
      <c r="J2987" s="24">
        <v>1.35</v>
      </c>
      <c r="K2987" s="24">
        <v>2490.15</v>
      </c>
      <c r="L2987" s="38">
        <v>46283</v>
      </c>
      <c r="M2987" s="23" t="s">
        <v>208</v>
      </c>
      <c r="N2987" s="23" t="str">
        <f>IF(COUNTIF($A$2:A2987,A2987)&gt;1,"DUP","OK")</f>
        <v>OK</v>
      </c>
      <c r="O2987" s="23" t="str">
        <f t="shared" si="139"/>
        <v>ORD26003512</v>
      </c>
      <c r="P2987" s="23" t="str">
        <f t="shared" si="140"/>
        <v>Sep</v>
      </c>
      <c r="Q2987" s="23" t="str">
        <f>IF(F2987="CAPTURE",IF(COUNTIF(orders!$A:$A,O2987)&gt;0,"Yes","NO ORDER"),"")</f>
        <v>Yes</v>
      </c>
    </row>
    <row r="2988" spans="1:17" ht="15" customHeight="1" x14ac:dyDescent="0.3">
      <c r="A2988" s="23" t="s">
        <v>15875</v>
      </c>
      <c r="B2988" s="23"/>
      <c r="C2988" s="23" t="s">
        <v>7531</v>
      </c>
      <c r="D2988" s="23" t="str">
        <f t="shared" si="138"/>
        <v>ORD26003517</v>
      </c>
      <c r="E2988" s="38">
        <v>46281</v>
      </c>
      <c r="F2988" s="23" t="s">
        <v>12410</v>
      </c>
      <c r="G2988" s="23" t="s">
        <v>81</v>
      </c>
      <c r="H2988" s="24">
        <v>7999</v>
      </c>
      <c r="I2988" s="24">
        <v>95.99</v>
      </c>
      <c r="J2988" s="24">
        <v>17.28</v>
      </c>
      <c r="K2988" s="24">
        <v>7885.73</v>
      </c>
      <c r="L2988" s="38">
        <v>46283</v>
      </c>
      <c r="M2988" s="23" t="s">
        <v>208</v>
      </c>
      <c r="N2988" s="23" t="str">
        <f>IF(COUNTIF($A$2:A2988,A2988)&gt;1,"DUP","OK")</f>
        <v>OK</v>
      </c>
      <c r="O2988" s="23" t="str">
        <f t="shared" si="139"/>
        <v>ORD26003517</v>
      </c>
      <c r="P2988" s="23" t="str">
        <f t="shared" si="140"/>
        <v>Sep</v>
      </c>
      <c r="Q2988" s="23" t="str">
        <f>IF(F2988="CAPTURE",IF(COUNTIF(orders!$A:$A,O2988)&gt;0,"Yes","NO ORDER"),"")</f>
        <v>Yes</v>
      </c>
    </row>
    <row r="2989" spans="1:17" ht="15" customHeight="1" x14ac:dyDescent="0.3">
      <c r="A2989" s="23" t="s">
        <v>15876</v>
      </c>
      <c r="B2989" s="23"/>
      <c r="C2989" s="23" t="s">
        <v>7603</v>
      </c>
      <c r="D2989" s="23" t="str">
        <f t="shared" si="138"/>
        <v>ORD26003554</v>
      </c>
      <c r="E2989" s="38">
        <v>46281</v>
      </c>
      <c r="F2989" s="23" t="s">
        <v>12410</v>
      </c>
      <c r="G2989" s="23" t="s">
        <v>75</v>
      </c>
      <c r="H2989" s="24">
        <v>948</v>
      </c>
      <c r="I2989" s="24">
        <v>0</v>
      </c>
      <c r="J2989" s="24">
        <v>0</v>
      </c>
      <c r="K2989" s="24">
        <v>948</v>
      </c>
      <c r="L2989" s="38">
        <v>46283</v>
      </c>
      <c r="M2989" s="23" t="s">
        <v>208</v>
      </c>
      <c r="N2989" s="23" t="str">
        <f>IF(COUNTIF($A$2:A2989,A2989)&gt;1,"DUP","OK")</f>
        <v>OK</v>
      </c>
      <c r="O2989" s="23" t="str">
        <f t="shared" si="139"/>
        <v>ORD26003554</v>
      </c>
      <c r="P2989" s="23" t="str">
        <f t="shared" si="140"/>
        <v>Sep</v>
      </c>
      <c r="Q2989" s="23" t="str">
        <f>IF(F2989="CAPTURE",IF(COUNTIF(orders!$A:$A,O2989)&gt;0,"Yes","NO ORDER"),"")</f>
        <v>Yes</v>
      </c>
    </row>
    <row r="2990" spans="1:17" ht="15" customHeight="1" x14ac:dyDescent="0.3">
      <c r="A2990" s="23" t="s">
        <v>15877</v>
      </c>
      <c r="B2990" s="23"/>
      <c r="C2990" s="23" t="s">
        <v>7642</v>
      </c>
      <c r="D2990" s="23" t="str">
        <f t="shared" si="138"/>
        <v>ORD26003573</v>
      </c>
      <c r="E2990" s="38">
        <v>46281</v>
      </c>
      <c r="F2990" s="23" t="s">
        <v>12410</v>
      </c>
      <c r="G2990" s="23" t="s">
        <v>75</v>
      </c>
      <c r="H2990" s="24">
        <v>5597</v>
      </c>
      <c r="I2990" s="24">
        <v>16.79</v>
      </c>
      <c r="J2990" s="24">
        <v>3.02</v>
      </c>
      <c r="K2990" s="24">
        <v>5577.19</v>
      </c>
      <c r="L2990" s="38">
        <v>46283</v>
      </c>
      <c r="M2990" s="23" t="s">
        <v>208</v>
      </c>
      <c r="N2990" s="23" t="str">
        <f>IF(COUNTIF($A$2:A2990,A2990)&gt;1,"DUP","OK")</f>
        <v>OK</v>
      </c>
      <c r="O2990" s="23" t="str">
        <f t="shared" si="139"/>
        <v>ORD26003573</v>
      </c>
      <c r="P2990" s="23" t="str">
        <f t="shared" si="140"/>
        <v>Sep</v>
      </c>
      <c r="Q2990" s="23" t="str">
        <f>IF(F2990="CAPTURE",IF(COUNTIF(orders!$A:$A,O2990)&gt;0,"Yes","NO ORDER"),"")</f>
        <v>Yes</v>
      </c>
    </row>
    <row r="2991" spans="1:17" ht="15" customHeight="1" x14ac:dyDescent="0.3">
      <c r="A2991" s="23" t="s">
        <v>15878</v>
      </c>
      <c r="B2991" s="23"/>
      <c r="C2991" s="23" t="s">
        <v>7679</v>
      </c>
      <c r="D2991" s="23" t="str">
        <f t="shared" si="138"/>
        <v>ORD26003592</v>
      </c>
      <c r="E2991" s="38">
        <v>46281</v>
      </c>
      <c r="F2991" s="23" t="s">
        <v>12410</v>
      </c>
      <c r="G2991" s="23" t="s">
        <v>75</v>
      </c>
      <c r="H2991" s="24">
        <v>8498</v>
      </c>
      <c r="I2991" s="24">
        <v>25.49</v>
      </c>
      <c r="J2991" s="24">
        <v>4.59</v>
      </c>
      <c r="K2991" s="24">
        <v>8467.92</v>
      </c>
      <c r="L2991" s="38">
        <v>46283</v>
      </c>
      <c r="M2991" s="23" t="s">
        <v>208</v>
      </c>
      <c r="N2991" s="23" t="str">
        <f>IF(COUNTIF($A$2:A2991,A2991)&gt;1,"DUP","OK")</f>
        <v>OK</v>
      </c>
      <c r="O2991" s="23" t="str">
        <f t="shared" si="139"/>
        <v>ORD26003592</v>
      </c>
      <c r="P2991" s="23" t="str">
        <f t="shared" si="140"/>
        <v>Sep</v>
      </c>
      <c r="Q2991" s="23" t="str">
        <f>IF(F2991="CAPTURE",IF(COUNTIF(orders!$A:$A,O2991)&gt;0,"Yes","NO ORDER"),"")</f>
        <v>Yes</v>
      </c>
    </row>
    <row r="2992" spans="1:17" ht="15" customHeight="1" x14ac:dyDescent="0.3">
      <c r="A2992" s="23" t="s">
        <v>15879</v>
      </c>
      <c r="B2992" s="23"/>
      <c r="C2992" s="23" t="s">
        <v>7697</v>
      </c>
      <c r="D2992" s="23" t="str">
        <f t="shared" si="138"/>
        <v>ORD26003601</v>
      </c>
      <c r="E2992" s="38">
        <v>46281</v>
      </c>
      <c r="F2992" s="23" t="s">
        <v>12410</v>
      </c>
      <c r="G2992" s="23" t="s">
        <v>75</v>
      </c>
      <c r="H2992" s="24">
        <v>7999</v>
      </c>
      <c r="I2992" s="24">
        <v>24</v>
      </c>
      <c r="J2992" s="24">
        <v>4.32</v>
      </c>
      <c r="K2992" s="24">
        <v>7970.68</v>
      </c>
      <c r="L2992" s="38">
        <v>46283</v>
      </c>
      <c r="M2992" s="23" t="s">
        <v>208</v>
      </c>
      <c r="N2992" s="23" t="str">
        <f>IF(COUNTIF($A$2:A2992,A2992)&gt;1,"DUP","OK")</f>
        <v>OK</v>
      </c>
      <c r="O2992" s="23" t="str">
        <f t="shared" si="139"/>
        <v>ORD26003601</v>
      </c>
      <c r="P2992" s="23" t="str">
        <f t="shared" si="140"/>
        <v>Sep</v>
      </c>
      <c r="Q2992" s="23" t="str">
        <f>IF(F2992="CAPTURE",IF(COUNTIF(orders!$A:$A,O2992)&gt;0,"Yes","NO ORDER"),"")</f>
        <v>Yes</v>
      </c>
    </row>
    <row r="2993" spans="1:17" ht="15" customHeight="1" x14ac:dyDescent="0.3">
      <c r="A2993" s="23" t="s">
        <v>15880</v>
      </c>
      <c r="B2993" s="23"/>
      <c r="C2993" s="23" t="s">
        <v>7739</v>
      </c>
      <c r="D2993" s="23" t="str">
        <f t="shared" si="138"/>
        <v>ORD26003623</v>
      </c>
      <c r="E2993" s="38">
        <v>46281</v>
      </c>
      <c r="F2993" s="23" t="s">
        <v>12410</v>
      </c>
      <c r="G2993" s="23" t="s">
        <v>75</v>
      </c>
      <c r="H2993" s="24">
        <v>5097</v>
      </c>
      <c r="I2993" s="24">
        <v>15.29</v>
      </c>
      <c r="J2993" s="24">
        <v>2.75</v>
      </c>
      <c r="K2993" s="24">
        <v>5078.96</v>
      </c>
      <c r="L2993" s="38">
        <v>46283</v>
      </c>
      <c r="M2993" s="23" t="s">
        <v>208</v>
      </c>
      <c r="N2993" s="23" t="str">
        <f>IF(COUNTIF($A$2:A2993,A2993)&gt;1,"DUP","OK")</f>
        <v>OK</v>
      </c>
      <c r="O2993" s="23" t="str">
        <f t="shared" si="139"/>
        <v>ORD26003623</v>
      </c>
      <c r="P2993" s="23" t="str">
        <f t="shared" si="140"/>
        <v>Sep</v>
      </c>
      <c r="Q2993" s="23" t="str">
        <f>IF(F2993="CAPTURE",IF(COUNTIF(orders!$A:$A,O2993)&gt;0,"Yes","NO ORDER"),"")</f>
        <v>Yes</v>
      </c>
    </row>
    <row r="2994" spans="1:17" ht="15" customHeight="1" x14ac:dyDescent="0.3">
      <c r="A2994" s="23" t="s">
        <v>15881</v>
      </c>
      <c r="B2994" s="23"/>
      <c r="C2994" s="23" t="s">
        <v>7794</v>
      </c>
      <c r="D2994" s="23" t="str">
        <f t="shared" si="138"/>
        <v>ORD26003651</v>
      </c>
      <c r="E2994" s="38">
        <v>46281</v>
      </c>
      <c r="F2994" s="23" t="s">
        <v>12410</v>
      </c>
      <c r="G2994" s="23" t="s">
        <v>79</v>
      </c>
      <c r="H2994" s="24">
        <v>599</v>
      </c>
      <c r="I2994" s="24">
        <v>10.78</v>
      </c>
      <c r="J2994" s="24">
        <v>1.94</v>
      </c>
      <c r="K2994" s="24">
        <v>586.28</v>
      </c>
      <c r="L2994" s="38">
        <v>46283</v>
      </c>
      <c r="M2994" s="23" t="s">
        <v>208</v>
      </c>
      <c r="N2994" s="23" t="str">
        <f>IF(COUNTIF($A$2:A2994,A2994)&gt;1,"DUP","OK")</f>
        <v>OK</v>
      </c>
      <c r="O2994" s="23" t="str">
        <f t="shared" si="139"/>
        <v>ORD26003651</v>
      </c>
      <c r="P2994" s="23" t="str">
        <f t="shared" si="140"/>
        <v>Sep</v>
      </c>
      <c r="Q2994" s="23" t="str">
        <f>IF(F2994="CAPTURE",IF(COUNTIF(orders!$A:$A,O2994)&gt;0,"Yes","NO ORDER"),"")</f>
        <v>Yes</v>
      </c>
    </row>
    <row r="2995" spans="1:17" ht="15" customHeight="1" x14ac:dyDescent="0.3">
      <c r="A2995" s="23" t="s">
        <v>15882</v>
      </c>
      <c r="B2995" s="23"/>
      <c r="C2995" s="23" t="s">
        <v>7909</v>
      </c>
      <c r="D2995" s="23" t="str">
        <f t="shared" si="138"/>
        <v>ORD26003710</v>
      </c>
      <c r="E2995" s="38">
        <v>46281</v>
      </c>
      <c r="F2995" s="23" t="s">
        <v>12410</v>
      </c>
      <c r="G2995" s="23" t="s">
        <v>79</v>
      </c>
      <c r="H2995" s="24">
        <v>4097</v>
      </c>
      <c r="I2995" s="24">
        <v>65.55</v>
      </c>
      <c r="J2995" s="24">
        <v>11.8</v>
      </c>
      <c r="K2995" s="24">
        <v>4019.65</v>
      </c>
      <c r="L2995" s="38">
        <v>46283</v>
      </c>
      <c r="M2995" s="23" t="s">
        <v>208</v>
      </c>
      <c r="N2995" s="23" t="str">
        <f>IF(COUNTIF($A$2:A2995,A2995)&gt;1,"DUP","OK")</f>
        <v>OK</v>
      </c>
      <c r="O2995" s="23" t="str">
        <f t="shared" si="139"/>
        <v>ORD26003710</v>
      </c>
      <c r="P2995" s="23" t="str">
        <f t="shared" si="140"/>
        <v>Sep</v>
      </c>
      <c r="Q2995" s="23" t="str">
        <f>IF(F2995="CAPTURE",IF(COUNTIF(orders!$A:$A,O2995)&gt;0,"Yes","NO ORDER"),"")</f>
        <v>Yes</v>
      </c>
    </row>
    <row r="2996" spans="1:17" ht="15" customHeight="1" x14ac:dyDescent="0.3">
      <c r="A2996" s="23" t="s">
        <v>15883</v>
      </c>
      <c r="B2996" s="23"/>
      <c r="C2996" s="23" t="s">
        <v>8397</v>
      </c>
      <c r="D2996" s="23" t="str">
        <f t="shared" si="138"/>
        <v>ORD26003955</v>
      </c>
      <c r="E2996" s="38">
        <v>46281</v>
      </c>
      <c r="F2996" s="23" t="s">
        <v>12410</v>
      </c>
      <c r="G2996" s="23" t="s">
        <v>81</v>
      </c>
      <c r="H2996" s="24">
        <v>499</v>
      </c>
      <c r="I2996" s="24">
        <v>7.49</v>
      </c>
      <c r="J2996" s="24">
        <v>1.35</v>
      </c>
      <c r="K2996" s="24">
        <v>490.16</v>
      </c>
      <c r="L2996" s="38">
        <v>46283</v>
      </c>
      <c r="M2996" s="23" t="s">
        <v>208</v>
      </c>
      <c r="N2996" s="23" t="str">
        <f>IF(COUNTIF($A$2:A2996,A2996)&gt;1,"DUP","OK")</f>
        <v>OK</v>
      </c>
      <c r="O2996" s="23" t="str">
        <f t="shared" si="139"/>
        <v>ORD26003955</v>
      </c>
      <c r="P2996" s="23" t="str">
        <f t="shared" si="140"/>
        <v>Sep</v>
      </c>
      <c r="Q2996" s="23" t="str">
        <f>IF(F2996="CAPTURE",IF(COUNTIF(orders!$A:$A,O2996)&gt;0,"Yes","NO ORDER"),"")</f>
        <v>Yes</v>
      </c>
    </row>
    <row r="2997" spans="1:17" ht="15" customHeight="1" x14ac:dyDescent="0.3">
      <c r="A2997" s="23" t="s">
        <v>15884</v>
      </c>
      <c r="B2997" s="23"/>
      <c r="C2997" s="23" t="s">
        <v>8412</v>
      </c>
      <c r="D2997" s="23" t="str">
        <f t="shared" si="138"/>
        <v>ORD26003963</v>
      </c>
      <c r="E2997" s="38">
        <v>46281</v>
      </c>
      <c r="F2997" s="23" t="s">
        <v>12410</v>
      </c>
      <c r="G2997" s="23" t="s">
        <v>77</v>
      </c>
      <c r="H2997" s="24">
        <v>13497</v>
      </c>
      <c r="I2997" s="24">
        <v>229.45</v>
      </c>
      <c r="J2997" s="24">
        <v>41.3</v>
      </c>
      <c r="K2997" s="24">
        <v>13226.25</v>
      </c>
      <c r="L2997" s="38">
        <v>46283</v>
      </c>
      <c r="M2997" s="23" t="s">
        <v>208</v>
      </c>
      <c r="N2997" s="23" t="str">
        <f>IF(COUNTIF($A$2:A2997,A2997)&gt;1,"DUP","OK")</f>
        <v>OK</v>
      </c>
      <c r="O2997" s="23" t="str">
        <f t="shared" si="139"/>
        <v>ORD26003963</v>
      </c>
      <c r="P2997" s="23" t="str">
        <f t="shared" si="140"/>
        <v>Sep</v>
      </c>
      <c r="Q2997" s="23" t="str">
        <f>IF(F2997="CAPTURE",IF(COUNTIF(orders!$A:$A,O2997)&gt;0,"Yes","NO ORDER"),"")</f>
        <v>Yes</v>
      </c>
    </row>
    <row r="2998" spans="1:17" ht="15" customHeight="1" x14ac:dyDescent="0.3">
      <c r="A2998" s="23" t="s">
        <v>15885</v>
      </c>
      <c r="B2998" s="23"/>
      <c r="C2998" s="23" t="s">
        <v>8564</v>
      </c>
      <c r="D2998" s="23" t="str">
        <f t="shared" si="138"/>
        <v>ORD26004040</v>
      </c>
      <c r="E2998" s="38">
        <v>46281</v>
      </c>
      <c r="F2998" s="23" t="s">
        <v>12410</v>
      </c>
      <c r="G2998" s="23" t="s">
        <v>81</v>
      </c>
      <c r="H2998" s="24">
        <v>8498</v>
      </c>
      <c r="I2998" s="24">
        <v>101.98</v>
      </c>
      <c r="J2998" s="24">
        <v>18.36</v>
      </c>
      <c r="K2998" s="24">
        <v>8377.66</v>
      </c>
      <c r="L2998" s="38">
        <v>46283</v>
      </c>
      <c r="M2998" s="23" t="s">
        <v>208</v>
      </c>
      <c r="N2998" s="23" t="str">
        <f>IF(COUNTIF($A$2:A2998,A2998)&gt;1,"DUP","OK")</f>
        <v>OK</v>
      </c>
      <c r="O2998" s="23" t="str">
        <f t="shared" si="139"/>
        <v>ORD26004040</v>
      </c>
      <c r="P2998" s="23" t="str">
        <f t="shared" si="140"/>
        <v>Sep</v>
      </c>
      <c r="Q2998" s="23" t="str">
        <f>IF(F2998="CAPTURE",IF(COUNTIF(orders!$A:$A,O2998)&gt;0,"Yes","NO ORDER"),"")</f>
        <v>Yes</v>
      </c>
    </row>
    <row r="2999" spans="1:17" ht="15" customHeight="1" x14ac:dyDescent="0.3">
      <c r="A2999" s="23" t="s">
        <v>15886</v>
      </c>
      <c r="B2999" s="23"/>
      <c r="C2999" s="23" t="s">
        <v>8586</v>
      </c>
      <c r="D2999" s="23" t="str">
        <f t="shared" si="138"/>
        <v>ORD26004051</v>
      </c>
      <c r="E2999" s="38">
        <v>46281</v>
      </c>
      <c r="F2999" s="23" t="s">
        <v>12410</v>
      </c>
      <c r="G2999" s="23" t="s">
        <v>81</v>
      </c>
      <c r="H2999" s="24">
        <v>499</v>
      </c>
      <c r="I2999" s="24">
        <v>7.49</v>
      </c>
      <c r="J2999" s="24">
        <v>1.35</v>
      </c>
      <c r="K2999" s="24">
        <v>490.16</v>
      </c>
      <c r="L2999" s="38">
        <v>46283</v>
      </c>
      <c r="M2999" s="23" t="s">
        <v>208</v>
      </c>
      <c r="N2999" s="23" t="str">
        <f>IF(COUNTIF($A$2:A2999,A2999)&gt;1,"DUP","OK")</f>
        <v>OK</v>
      </c>
      <c r="O2999" s="23" t="str">
        <f t="shared" si="139"/>
        <v>ORD26004051</v>
      </c>
      <c r="P2999" s="23" t="str">
        <f t="shared" si="140"/>
        <v>Sep</v>
      </c>
      <c r="Q2999" s="23" t="str">
        <f>IF(F2999="CAPTURE",IF(COUNTIF(orders!$A:$A,O2999)&gt;0,"Yes","NO ORDER"),"")</f>
        <v>Yes</v>
      </c>
    </row>
    <row r="3000" spans="1:17" ht="15" customHeight="1" x14ac:dyDescent="0.3">
      <c r="A3000" s="23" t="s">
        <v>15887</v>
      </c>
      <c r="B3000" s="23"/>
      <c r="C3000" s="23" t="s">
        <v>8592</v>
      </c>
      <c r="D3000" s="23" t="str">
        <f t="shared" si="138"/>
        <v>ORD26004054</v>
      </c>
      <c r="E3000" s="38">
        <v>46281</v>
      </c>
      <c r="F3000" s="23" t="s">
        <v>12410</v>
      </c>
      <c r="G3000" s="23" t="s">
        <v>75</v>
      </c>
      <c r="H3000" s="24">
        <v>1299</v>
      </c>
      <c r="I3000" s="24">
        <v>0</v>
      </c>
      <c r="J3000" s="24">
        <v>0</v>
      </c>
      <c r="K3000" s="24">
        <v>1299</v>
      </c>
      <c r="L3000" s="38">
        <v>46283</v>
      </c>
      <c r="M3000" s="23" t="s">
        <v>208</v>
      </c>
      <c r="N3000" s="23" t="str">
        <f>IF(COUNTIF($A$2:A3000,A3000)&gt;1,"DUP","OK")</f>
        <v>OK</v>
      </c>
      <c r="O3000" s="23" t="str">
        <f t="shared" si="139"/>
        <v>ORD26004054</v>
      </c>
      <c r="P3000" s="23" t="str">
        <f t="shared" si="140"/>
        <v>Sep</v>
      </c>
      <c r="Q3000" s="23" t="str">
        <f>IF(F3000="CAPTURE",IF(COUNTIF(orders!$A:$A,O3000)&gt;0,"Yes","NO ORDER"),"")</f>
        <v>Yes</v>
      </c>
    </row>
    <row r="3001" spans="1:17" ht="15" customHeight="1" x14ac:dyDescent="0.3">
      <c r="A3001" s="23" t="s">
        <v>15888</v>
      </c>
      <c r="B3001" s="23"/>
      <c r="C3001" s="23" t="s">
        <v>8623</v>
      </c>
      <c r="D3001" s="23" t="str">
        <f t="shared" si="138"/>
        <v>ORD26004070</v>
      </c>
      <c r="E3001" s="38">
        <v>46281</v>
      </c>
      <c r="F3001" s="23" t="s">
        <v>12410</v>
      </c>
      <c r="G3001" s="23" t="s">
        <v>79</v>
      </c>
      <c r="H3001" s="24">
        <v>1598</v>
      </c>
      <c r="I3001" s="24">
        <v>28.76</v>
      </c>
      <c r="J3001" s="24">
        <v>5.18</v>
      </c>
      <c r="K3001" s="24">
        <v>1564.06</v>
      </c>
      <c r="L3001" s="38">
        <v>46283</v>
      </c>
      <c r="M3001" s="23" t="s">
        <v>208</v>
      </c>
      <c r="N3001" s="23" t="str">
        <f>IF(COUNTIF($A$2:A3001,A3001)&gt;1,"DUP","OK")</f>
        <v>OK</v>
      </c>
      <c r="O3001" s="23" t="str">
        <f t="shared" si="139"/>
        <v>ORD26004070</v>
      </c>
      <c r="P3001" s="23" t="str">
        <f t="shared" si="140"/>
        <v>Sep</v>
      </c>
      <c r="Q3001" s="23" t="str">
        <f>IF(F3001="CAPTURE",IF(COUNTIF(orders!$A:$A,O3001)&gt;0,"Yes","NO ORDER"),"")</f>
        <v>Yes</v>
      </c>
    </row>
    <row r="3002" spans="1:17" ht="15" customHeight="1" x14ac:dyDescent="0.3">
      <c r="A3002" s="23" t="s">
        <v>15889</v>
      </c>
      <c r="B3002" s="23"/>
      <c r="C3002" s="23" t="s">
        <v>8882</v>
      </c>
      <c r="D3002" s="23" t="str">
        <f t="shared" si="138"/>
        <v>ORD26004203</v>
      </c>
      <c r="E3002" s="38">
        <v>46281</v>
      </c>
      <c r="F3002" s="23" t="s">
        <v>12410</v>
      </c>
      <c r="G3002" s="23" t="s">
        <v>77</v>
      </c>
      <c r="H3002" s="24">
        <v>499</v>
      </c>
      <c r="I3002" s="24">
        <v>9.48</v>
      </c>
      <c r="J3002" s="24">
        <v>1.71</v>
      </c>
      <c r="K3002" s="24">
        <v>487.81</v>
      </c>
      <c r="L3002" s="38">
        <v>46283</v>
      </c>
      <c r="M3002" s="23" t="s">
        <v>208</v>
      </c>
      <c r="N3002" s="23" t="str">
        <f>IF(COUNTIF($A$2:A3002,A3002)&gt;1,"DUP","OK")</f>
        <v>OK</v>
      </c>
      <c r="O3002" s="23" t="str">
        <f t="shared" si="139"/>
        <v>ORD26004203</v>
      </c>
      <c r="P3002" s="23" t="str">
        <f t="shared" si="140"/>
        <v>Sep</v>
      </c>
      <c r="Q3002" s="23" t="str">
        <f>IF(F3002="CAPTURE",IF(COUNTIF(orders!$A:$A,O3002)&gt;0,"Yes","NO ORDER"),"")</f>
        <v>Yes</v>
      </c>
    </row>
    <row r="3003" spans="1:17" ht="15" customHeight="1" x14ac:dyDescent="0.3">
      <c r="A3003" s="23" t="s">
        <v>15890</v>
      </c>
      <c r="B3003" s="23"/>
      <c r="C3003" s="23" t="s">
        <v>8909</v>
      </c>
      <c r="D3003" s="23" t="str">
        <f t="shared" si="138"/>
        <v>ORD26004217</v>
      </c>
      <c r="E3003" s="38">
        <v>46281</v>
      </c>
      <c r="F3003" s="23" t="s">
        <v>12410</v>
      </c>
      <c r="G3003" s="23" t="s">
        <v>77</v>
      </c>
      <c r="H3003" s="24">
        <v>1799</v>
      </c>
      <c r="I3003" s="24">
        <v>34.18</v>
      </c>
      <c r="J3003" s="24">
        <v>6.15</v>
      </c>
      <c r="K3003" s="24">
        <v>1758.67</v>
      </c>
      <c r="L3003" s="38">
        <v>46283</v>
      </c>
      <c r="M3003" s="23" t="s">
        <v>208</v>
      </c>
      <c r="N3003" s="23" t="str">
        <f>IF(COUNTIF($A$2:A3003,A3003)&gt;1,"DUP","OK")</f>
        <v>OK</v>
      </c>
      <c r="O3003" s="23" t="str">
        <f t="shared" si="139"/>
        <v>ORD26004217</v>
      </c>
      <c r="P3003" s="23" t="str">
        <f t="shared" si="140"/>
        <v>Sep</v>
      </c>
      <c r="Q3003" s="23" t="str">
        <f>IF(F3003="CAPTURE",IF(COUNTIF(orders!$A:$A,O3003)&gt;0,"Yes","NO ORDER"),"")</f>
        <v>Yes</v>
      </c>
    </row>
    <row r="3004" spans="1:17" ht="15" customHeight="1" x14ac:dyDescent="0.3">
      <c r="A3004" s="23" t="s">
        <v>15891</v>
      </c>
      <c r="B3004" s="23"/>
      <c r="C3004" s="23" t="s">
        <v>8949</v>
      </c>
      <c r="D3004" s="23" t="str">
        <f t="shared" si="138"/>
        <v>ORD26004237</v>
      </c>
      <c r="E3004" s="38">
        <v>46281</v>
      </c>
      <c r="F3004" s="23" t="s">
        <v>12410</v>
      </c>
      <c r="G3004" s="23" t="s">
        <v>79</v>
      </c>
      <c r="H3004" s="24">
        <v>9797</v>
      </c>
      <c r="I3004" s="24">
        <v>156.75</v>
      </c>
      <c r="J3004" s="24">
        <v>28.22</v>
      </c>
      <c r="K3004" s="24">
        <v>9612.0300000000007</v>
      </c>
      <c r="L3004" s="38">
        <v>46283</v>
      </c>
      <c r="M3004" s="23" t="s">
        <v>208</v>
      </c>
      <c r="N3004" s="23" t="str">
        <f>IF(COUNTIF($A$2:A3004,A3004)&gt;1,"DUP","OK")</f>
        <v>OK</v>
      </c>
      <c r="O3004" s="23" t="str">
        <f t="shared" si="139"/>
        <v>ORD26004237</v>
      </c>
      <c r="P3004" s="23" t="str">
        <f t="shared" si="140"/>
        <v>Sep</v>
      </c>
      <c r="Q3004" s="23" t="str">
        <f>IF(F3004="CAPTURE",IF(COUNTIF(orders!$A:$A,O3004)&gt;0,"Yes","NO ORDER"),"")</f>
        <v>Yes</v>
      </c>
    </row>
    <row r="3005" spans="1:17" ht="15" customHeight="1" x14ac:dyDescent="0.3">
      <c r="A3005" s="23" t="s">
        <v>15892</v>
      </c>
      <c r="B3005" s="23"/>
      <c r="C3005" s="23" t="s">
        <v>15893</v>
      </c>
      <c r="D3005" s="23" t="str">
        <f t="shared" si="138"/>
        <v>ORD26004256</v>
      </c>
      <c r="E3005" s="38">
        <v>46281</v>
      </c>
      <c r="F3005" s="23" t="s">
        <v>12410</v>
      </c>
      <c r="G3005" s="23" t="s">
        <v>75</v>
      </c>
      <c r="H3005" s="24">
        <v>3348</v>
      </c>
      <c r="I3005" s="24">
        <v>10.039999999999999</v>
      </c>
      <c r="J3005" s="24">
        <v>1.81</v>
      </c>
      <c r="K3005" s="24">
        <v>3336.15</v>
      </c>
      <c r="L3005" s="38">
        <v>46283</v>
      </c>
      <c r="M3005" s="23" t="s">
        <v>208</v>
      </c>
      <c r="N3005" s="23" t="str">
        <f>IF(COUNTIF($A$2:A3005,A3005)&gt;1,"DUP","OK")</f>
        <v>OK</v>
      </c>
      <c r="O3005" s="23" t="str">
        <f t="shared" si="139"/>
        <v>ORD26004256</v>
      </c>
      <c r="P3005" s="23" t="str">
        <f t="shared" si="140"/>
        <v>Sep</v>
      </c>
      <c r="Q3005" s="23" t="str">
        <f>IF(F3005="CAPTURE",IF(COUNTIF(orders!$A:$A,O3005)&gt;0,"Yes","NO ORDER"),"")</f>
        <v>Yes</v>
      </c>
    </row>
    <row r="3006" spans="1:17" ht="15" customHeight="1" x14ac:dyDescent="0.3">
      <c r="A3006" s="23" t="s">
        <v>15894</v>
      </c>
      <c r="B3006" s="23"/>
      <c r="C3006" s="23" t="s">
        <v>9033</v>
      </c>
      <c r="D3006" s="23" t="str">
        <f t="shared" si="138"/>
        <v>ORD26004280</v>
      </c>
      <c r="E3006" s="38">
        <v>46281</v>
      </c>
      <c r="F3006" s="23" t="s">
        <v>12410</v>
      </c>
      <c r="G3006" s="23" t="s">
        <v>75</v>
      </c>
      <c r="H3006" s="24">
        <v>1499</v>
      </c>
      <c r="I3006" s="24">
        <v>0</v>
      </c>
      <c r="J3006" s="24">
        <v>0</v>
      </c>
      <c r="K3006" s="24">
        <v>1499</v>
      </c>
      <c r="L3006" s="38">
        <v>46283</v>
      </c>
      <c r="M3006" s="23" t="s">
        <v>208</v>
      </c>
      <c r="N3006" s="23" t="str">
        <f>IF(COUNTIF($A$2:A3006,A3006)&gt;1,"DUP","OK")</f>
        <v>OK</v>
      </c>
      <c r="O3006" s="23" t="str">
        <f t="shared" si="139"/>
        <v>ORD26004280</v>
      </c>
      <c r="P3006" s="23" t="str">
        <f t="shared" si="140"/>
        <v>Sep</v>
      </c>
      <c r="Q3006" s="23" t="str">
        <f>IF(F3006="CAPTURE",IF(COUNTIF(orders!$A:$A,O3006)&gt;0,"Yes","NO ORDER"),"")</f>
        <v>Yes</v>
      </c>
    </row>
    <row r="3007" spans="1:17" ht="15" customHeight="1" x14ac:dyDescent="0.3">
      <c r="A3007" s="23" t="s">
        <v>15895</v>
      </c>
      <c r="B3007" s="23"/>
      <c r="C3007" s="23" t="s">
        <v>9151</v>
      </c>
      <c r="D3007" s="23" t="str">
        <f t="shared" si="138"/>
        <v>ORD26004337</v>
      </c>
      <c r="E3007" s="38">
        <v>46281</v>
      </c>
      <c r="F3007" s="23" t="s">
        <v>12410</v>
      </c>
      <c r="G3007" s="23" t="s">
        <v>79</v>
      </c>
      <c r="H3007" s="24">
        <v>4897</v>
      </c>
      <c r="I3007" s="24">
        <v>78.349999999999994</v>
      </c>
      <c r="J3007" s="24">
        <v>14.1</v>
      </c>
      <c r="K3007" s="24">
        <v>4804.55</v>
      </c>
      <c r="L3007" s="38">
        <v>46283</v>
      </c>
      <c r="M3007" s="23" t="s">
        <v>208</v>
      </c>
      <c r="N3007" s="23" t="str">
        <f>IF(COUNTIF($A$2:A3007,A3007)&gt;1,"DUP","OK")</f>
        <v>OK</v>
      </c>
      <c r="O3007" s="23" t="str">
        <f t="shared" si="139"/>
        <v>ORD26004337</v>
      </c>
      <c r="P3007" s="23" t="str">
        <f t="shared" si="140"/>
        <v>Sep</v>
      </c>
      <c r="Q3007" s="23" t="str">
        <f>IF(F3007="CAPTURE",IF(COUNTIF(orders!$A:$A,O3007)&gt;0,"Yes","NO ORDER"),"")</f>
        <v>Yes</v>
      </c>
    </row>
    <row r="3008" spans="1:17" ht="15" customHeight="1" x14ac:dyDescent="0.3">
      <c r="A3008" s="23" t="s">
        <v>15896</v>
      </c>
      <c r="B3008" s="23"/>
      <c r="C3008" s="23" t="s">
        <v>9231</v>
      </c>
      <c r="D3008" s="23" t="str">
        <f t="shared" si="138"/>
        <v>ORD26004378</v>
      </c>
      <c r="E3008" s="38">
        <v>46281</v>
      </c>
      <c r="F3008" s="23" t="s">
        <v>12410</v>
      </c>
      <c r="G3008" s="23" t="s">
        <v>81</v>
      </c>
      <c r="H3008" s="24">
        <v>799</v>
      </c>
      <c r="I3008" s="24">
        <v>11.99</v>
      </c>
      <c r="J3008" s="24">
        <v>2.16</v>
      </c>
      <c r="K3008" s="24">
        <v>784.85</v>
      </c>
      <c r="L3008" s="38">
        <v>46283</v>
      </c>
      <c r="M3008" s="23" t="s">
        <v>208</v>
      </c>
      <c r="N3008" s="23" t="str">
        <f>IF(COUNTIF($A$2:A3008,A3008)&gt;1,"DUP","OK")</f>
        <v>OK</v>
      </c>
      <c r="O3008" s="23" t="str">
        <f t="shared" si="139"/>
        <v>ORD26004378</v>
      </c>
      <c r="P3008" s="23" t="str">
        <f t="shared" si="140"/>
        <v>Sep</v>
      </c>
      <c r="Q3008" s="23" t="str">
        <f>IF(F3008="CAPTURE",IF(COUNTIF(orders!$A:$A,O3008)&gt;0,"Yes","NO ORDER"),"")</f>
        <v>Yes</v>
      </c>
    </row>
    <row r="3009" spans="1:17" ht="15" customHeight="1" x14ac:dyDescent="0.3">
      <c r="A3009" s="23" t="s">
        <v>15897</v>
      </c>
      <c r="B3009" s="23"/>
      <c r="C3009" s="23" t="s">
        <v>9266</v>
      </c>
      <c r="D3009" s="23" t="str">
        <f t="shared" si="138"/>
        <v>ORD26004396</v>
      </c>
      <c r="E3009" s="38">
        <v>46281</v>
      </c>
      <c r="F3009" s="23" t="s">
        <v>12410</v>
      </c>
      <c r="G3009" s="23" t="s">
        <v>79</v>
      </c>
      <c r="H3009" s="24">
        <v>5798</v>
      </c>
      <c r="I3009" s="24">
        <v>92.77</v>
      </c>
      <c r="J3009" s="24">
        <v>16.7</v>
      </c>
      <c r="K3009" s="24">
        <v>5688.53</v>
      </c>
      <c r="L3009" s="38">
        <v>46283</v>
      </c>
      <c r="M3009" s="23" t="s">
        <v>208</v>
      </c>
      <c r="N3009" s="23" t="str">
        <f>IF(COUNTIF($A$2:A3009,A3009)&gt;1,"DUP","OK")</f>
        <v>OK</v>
      </c>
      <c r="O3009" s="23" t="str">
        <f t="shared" si="139"/>
        <v>ORD26004396</v>
      </c>
      <c r="P3009" s="23" t="str">
        <f t="shared" si="140"/>
        <v>Sep</v>
      </c>
      <c r="Q3009" s="23" t="str">
        <f>IF(F3009="CAPTURE",IF(COUNTIF(orders!$A:$A,O3009)&gt;0,"Yes","NO ORDER"),"")</f>
        <v>Yes</v>
      </c>
    </row>
    <row r="3010" spans="1:17" ht="15" customHeight="1" x14ac:dyDescent="0.3">
      <c r="A3010" s="23" t="s">
        <v>15898</v>
      </c>
      <c r="B3010" s="23"/>
      <c r="C3010" s="23" t="s">
        <v>9393</v>
      </c>
      <c r="D3010" s="23" t="str">
        <f t="shared" ref="D3010:D3073" si="141">UPPER(SUBSTITUTE(TRIM(C3010),"-",""))</f>
        <v>ORD26004460</v>
      </c>
      <c r="E3010" s="38">
        <v>46281</v>
      </c>
      <c r="F3010" s="23" t="s">
        <v>12410</v>
      </c>
      <c r="G3010" s="23" t="s">
        <v>75</v>
      </c>
      <c r="H3010" s="24">
        <v>499</v>
      </c>
      <c r="I3010" s="24">
        <v>0</v>
      </c>
      <c r="J3010" s="24">
        <v>0</v>
      </c>
      <c r="K3010" s="24">
        <v>499</v>
      </c>
      <c r="L3010" s="38">
        <v>46283</v>
      </c>
      <c r="M3010" s="23" t="s">
        <v>208</v>
      </c>
      <c r="N3010" s="23" t="str">
        <f>IF(COUNTIF($A$2:A3010,A3010)&gt;1,"DUP","OK")</f>
        <v>OK</v>
      </c>
      <c r="O3010" s="23" t="str">
        <f t="shared" ref="O3010:O3073" si="142">IF(F3010="REFUND",INDEX($D:$D,MATCH(B3010,$A:$A,0)),D3010)</f>
        <v>ORD26004460</v>
      </c>
      <c r="P3010" s="23" t="str">
        <f t="shared" ref="P3010:P3073" si="143">IF(L3010&gt;DATE(2026,9,30),"Oct-Due","Sep")</f>
        <v>Sep</v>
      </c>
      <c r="Q3010" s="23" t="str">
        <f>IF(F3010="CAPTURE",IF(COUNTIF(orders!$A:$A,O3010)&gt;0,"Yes","NO ORDER"),"")</f>
        <v>Yes</v>
      </c>
    </row>
    <row r="3011" spans="1:17" ht="15" customHeight="1" x14ac:dyDescent="0.3">
      <c r="A3011" s="23" t="s">
        <v>15899</v>
      </c>
      <c r="B3011" s="23"/>
      <c r="C3011" s="23" t="s">
        <v>9427</v>
      </c>
      <c r="D3011" s="23" t="str">
        <f t="shared" si="141"/>
        <v>ORD26004478</v>
      </c>
      <c r="E3011" s="38">
        <v>46281</v>
      </c>
      <c r="F3011" s="23" t="s">
        <v>12410</v>
      </c>
      <c r="G3011" s="23" t="s">
        <v>79</v>
      </c>
      <c r="H3011" s="24">
        <v>2999</v>
      </c>
      <c r="I3011" s="24">
        <v>47.98</v>
      </c>
      <c r="J3011" s="24">
        <v>8.64</v>
      </c>
      <c r="K3011" s="24">
        <v>2942.38</v>
      </c>
      <c r="L3011" s="38">
        <v>46283</v>
      </c>
      <c r="M3011" s="23" t="s">
        <v>208</v>
      </c>
      <c r="N3011" s="23" t="str">
        <f>IF(COUNTIF($A$2:A3011,A3011)&gt;1,"DUP","OK")</f>
        <v>OK</v>
      </c>
      <c r="O3011" s="23" t="str">
        <f t="shared" si="142"/>
        <v>ORD26004478</v>
      </c>
      <c r="P3011" s="23" t="str">
        <f t="shared" si="143"/>
        <v>Sep</v>
      </c>
      <c r="Q3011" s="23" t="str">
        <f>IF(F3011="CAPTURE",IF(COUNTIF(orders!$A:$A,O3011)&gt;0,"Yes","NO ORDER"),"")</f>
        <v>Yes</v>
      </c>
    </row>
    <row r="3012" spans="1:17" ht="15" customHeight="1" x14ac:dyDescent="0.3">
      <c r="A3012" s="23" t="s">
        <v>15900</v>
      </c>
      <c r="B3012" s="23"/>
      <c r="C3012" s="23" t="s">
        <v>9494</v>
      </c>
      <c r="D3012" s="23" t="str">
        <f t="shared" si="141"/>
        <v>ORD26004511</v>
      </c>
      <c r="E3012" s="38">
        <v>46281</v>
      </c>
      <c r="F3012" s="23" t="s">
        <v>12410</v>
      </c>
      <c r="G3012" s="23" t="s">
        <v>75</v>
      </c>
      <c r="H3012" s="24">
        <v>7999</v>
      </c>
      <c r="I3012" s="24">
        <v>24</v>
      </c>
      <c r="J3012" s="24">
        <v>4.32</v>
      </c>
      <c r="K3012" s="24">
        <v>7970.68</v>
      </c>
      <c r="L3012" s="38">
        <v>46283</v>
      </c>
      <c r="M3012" s="23" t="s">
        <v>208</v>
      </c>
      <c r="N3012" s="23" t="str">
        <f>IF(COUNTIF($A$2:A3012,A3012)&gt;1,"DUP","OK")</f>
        <v>OK</v>
      </c>
      <c r="O3012" s="23" t="str">
        <f t="shared" si="142"/>
        <v>ORD26004511</v>
      </c>
      <c r="P3012" s="23" t="str">
        <f t="shared" si="143"/>
        <v>Sep</v>
      </c>
      <c r="Q3012" s="23" t="str">
        <f>IF(F3012="CAPTURE",IF(COUNTIF(orders!$A:$A,O3012)&gt;0,"Yes","NO ORDER"),"")</f>
        <v>Yes</v>
      </c>
    </row>
    <row r="3013" spans="1:17" ht="15" customHeight="1" x14ac:dyDescent="0.3">
      <c r="A3013" s="23" t="s">
        <v>15901</v>
      </c>
      <c r="B3013" s="23"/>
      <c r="C3013" s="23" t="s">
        <v>9518</v>
      </c>
      <c r="D3013" s="23" t="str">
        <f t="shared" si="141"/>
        <v>ORD26004523</v>
      </c>
      <c r="E3013" s="38">
        <v>46281</v>
      </c>
      <c r="F3013" s="23" t="s">
        <v>12410</v>
      </c>
      <c r="G3013" s="23" t="s">
        <v>75</v>
      </c>
      <c r="H3013" s="24">
        <v>4098</v>
      </c>
      <c r="I3013" s="24">
        <v>12.29</v>
      </c>
      <c r="J3013" s="24">
        <v>2.21</v>
      </c>
      <c r="K3013" s="24">
        <v>4083.5</v>
      </c>
      <c r="L3013" s="38">
        <v>46283</v>
      </c>
      <c r="M3013" s="23" t="s">
        <v>208</v>
      </c>
      <c r="N3013" s="23" t="str">
        <f>IF(COUNTIF($A$2:A3013,A3013)&gt;1,"DUP","OK")</f>
        <v>OK</v>
      </c>
      <c r="O3013" s="23" t="str">
        <f t="shared" si="142"/>
        <v>ORD26004523</v>
      </c>
      <c r="P3013" s="23" t="str">
        <f t="shared" si="143"/>
        <v>Sep</v>
      </c>
      <c r="Q3013" s="23" t="str">
        <f>IF(F3013="CAPTURE",IF(COUNTIF(orders!$A:$A,O3013)&gt;0,"Yes","NO ORDER"),"")</f>
        <v>Yes</v>
      </c>
    </row>
    <row r="3014" spans="1:17" ht="15" customHeight="1" x14ac:dyDescent="0.3">
      <c r="A3014" s="23" t="s">
        <v>15902</v>
      </c>
      <c r="B3014" s="23"/>
      <c r="C3014" s="23" t="s">
        <v>9545</v>
      </c>
      <c r="D3014" s="23" t="str">
        <f t="shared" si="141"/>
        <v>ORD26004536</v>
      </c>
      <c r="E3014" s="38">
        <v>46281</v>
      </c>
      <c r="F3014" s="23" t="s">
        <v>12410</v>
      </c>
      <c r="G3014" s="23" t="s">
        <v>75</v>
      </c>
      <c r="H3014" s="24">
        <v>4647</v>
      </c>
      <c r="I3014" s="24">
        <v>13.94</v>
      </c>
      <c r="J3014" s="24">
        <v>2.5099999999999998</v>
      </c>
      <c r="K3014" s="24">
        <v>4630.55</v>
      </c>
      <c r="L3014" s="38">
        <v>46283</v>
      </c>
      <c r="M3014" s="23" t="s">
        <v>208</v>
      </c>
      <c r="N3014" s="23" t="str">
        <f>IF(COUNTIF($A$2:A3014,A3014)&gt;1,"DUP","OK")</f>
        <v>OK</v>
      </c>
      <c r="O3014" s="23" t="str">
        <f t="shared" si="142"/>
        <v>ORD26004536</v>
      </c>
      <c r="P3014" s="23" t="str">
        <f t="shared" si="143"/>
        <v>Sep</v>
      </c>
      <c r="Q3014" s="23" t="str">
        <f>IF(F3014="CAPTURE",IF(COUNTIF(orders!$A:$A,O3014)&gt;0,"Yes","NO ORDER"),"")</f>
        <v>Yes</v>
      </c>
    </row>
    <row r="3015" spans="1:17" ht="15" customHeight="1" x14ac:dyDescent="0.3">
      <c r="A3015" s="23" t="s">
        <v>15903</v>
      </c>
      <c r="B3015" s="23"/>
      <c r="C3015" s="23" t="s">
        <v>9557</v>
      </c>
      <c r="D3015" s="23" t="str">
        <f t="shared" si="141"/>
        <v>ORD26004542</v>
      </c>
      <c r="E3015" s="38">
        <v>46281</v>
      </c>
      <c r="F3015" s="23" t="s">
        <v>12410</v>
      </c>
      <c r="G3015" s="23" t="s">
        <v>77</v>
      </c>
      <c r="H3015" s="24">
        <v>4798</v>
      </c>
      <c r="I3015" s="24">
        <v>81.569999999999993</v>
      </c>
      <c r="J3015" s="24">
        <v>14.68</v>
      </c>
      <c r="K3015" s="24">
        <v>4701.75</v>
      </c>
      <c r="L3015" s="38">
        <v>46283</v>
      </c>
      <c r="M3015" s="23" t="s">
        <v>208</v>
      </c>
      <c r="N3015" s="23" t="str">
        <f>IF(COUNTIF($A$2:A3015,A3015)&gt;1,"DUP","OK")</f>
        <v>OK</v>
      </c>
      <c r="O3015" s="23" t="str">
        <f t="shared" si="142"/>
        <v>ORD26004542</v>
      </c>
      <c r="P3015" s="23" t="str">
        <f t="shared" si="143"/>
        <v>Sep</v>
      </c>
      <c r="Q3015" s="23" t="str">
        <f>IF(F3015="CAPTURE",IF(COUNTIF(orders!$A:$A,O3015)&gt;0,"Yes","NO ORDER"),"")</f>
        <v>Yes</v>
      </c>
    </row>
    <row r="3016" spans="1:17" ht="15" customHeight="1" x14ac:dyDescent="0.3">
      <c r="A3016" s="23" t="s">
        <v>15904</v>
      </c>
      <c r="B3016" s="23"/>
      <c r="C3016" s="23" t="s">
        <v>9760</v>
      </c>
      <c r="D3016" s="23" t="str">
        <f t="shared" si="141"/>
        <v>ORD26004645</v>
      </c>
      <c r="E3016" s="38">
        <v>46281</v>
      </c>
      <c r="F3016" s="23" t="s">
        <v>12410</v>
      </c>
      <c r="G3016" s="23" t="s">
        <v>75</v>
      </c>
      <c r="H3016" s="24">
        <v>3498</v>
      </c>
      <c r="I3016" s="24">
        <v>10.49</v>
      </c>
      <c r="J3016" s="24">
        <v>1.89</v>
      </c>
      <c r="K3016" s="24">
        <v>3485.62</v>
      </c>
      <c r="L3016" s="38">
        <v>46283</v>
      </c>
      <c r="M3016" s="23" t="s">
        <v>208</v>
      </c>
      <c r="N3016" s="23" t="str">
        <f>IF(COUNTIF($A$2:A3016,A3016)&gt;1,"DUP","OK")</f>
        <v>OK</v>
      </c>
      <c r="O3016" s="23" t="str">
        <f t="shared" si="142"/>
        <v>ORD26004645</v>
      </c>
      <c r="P3016" s="23" t="str">
        <f t="shared" si="143"/>
        <v>Sep</v>
      </c>
      <c r="Q3016" s="23" t="str">
        <f>IF(F3016="CAPTURE",IF(COUNTIF(orders!$A:$A,O3016)&gt;0,"Yes","NO ORDER"),"")</f>
        <v>Yes</v>
      </c>
    </row>
    <row r="3017" spans="1:17" ht="15" customHeight="1" x14ac:dyDescent="0.3">
      <c r="A3017" s="23" t="s">
        <v>15905</v>
      </c>
      <c r="B3017" s="23"/>
      <c r="C3017" s="23" t="s">
        <v>9826</v>
      </c>
      <c r="D3017" s="23" t="str">
        <f t="shared" si="141"/>
        <v>ORD26004679</v>
      </c>
      <c r="E3017" s="38">
        <v>46281</v>
      </c>
      <c r="F3017" s="23" t="s">
        <v>12410</v>
      </c>
      <c r="G3017" s="23" t="s">
        <v>79</v>
      </c>
      <c r="H3017" s="24">
        <v>1299</v>
      </c>
      <c r="I3017" s="24">
        <v>23.38</v>
      </c>
      <c r="J3017" s="24">
        <v>4.21</v>
      </c>
      <c r="K3017" s="24">
        <v>1271.4100000000001</v>
      </c>
      <c r="L3017" s="38">
        <v>46283</v>
      </c>
      <c r="M3017" s="23" t="s">
        <v>208</v>
      </c>
      <c r="N3017" s="23" t="str">
        <f>IF(COUNTIF($A$2:A3017,A3017)&gt;1,"DUP","OK")</f>
        <v>OK</v>
      </c>
      <c r="O3017" s="23" t="str">
        <f t="shared" si="142"/>
        <v>ORD26004679</v>
      </c>
      <c r="P3017" s="23" t="str">
        <f t="shared" si="143"/>
        <v>Sep</v>
      </c>
      <c r="Q3017" s="23" t="str">
        <f>IF(F3017="CAPTURE",IF(COUNTIF(orders!$A:$A,O3017)&gt;0,"Yes","NO ORDER"),"")</f>
        <v>Yes</v>
      </c>
    </row>
    <row r="3018" spans="1:17" ht="15" customHeight="1" x14ac:dyDescent="0.3">
      <c r="A3018" s="23" t="s">
        <v>15906</v>
      </c>
      <c r="B3018" s="23"/>
      <c r="C3018" s="23" t="s">
        <v>15907</v>
      </c>
      <c r="D3018" s="23" t="str">
        <f t="shared" si="141"/>
        <v>ORD26004805</v>
      </c>
      <c r="E3018" s="38">
        <v>46281</v>
      </c>
      <c r="F3018" s="23" t="s">
        <v>12410</v>
      </c>
      <c r="G3018" s="23" t="s">
        <v>79</v>
      </c>
      <c r="H3018" s="24">
        <v>7999</v>
      </c>
      <c r="I3018" s="24">
        <v>127.98</v>
      </c>
      <c r="J3018" s="24">
        <v>23.04</v>
      </c>
      <c r="K3018" s="24">
        <v>7847.98</v>
      </c>
      <c r="L3018" s="38">
        <v>46283</v>
      </c>
      <c r="M3018" s="23" t="s">
        <v>208</v>
      </c>
      <c r="N3018" s="23" t="str">
        <f>IF(COUNTIF($A$2:A3018,A3018)&gt;1,"DUP","OK")</f>
        <v>OK</v>
      </c>
      <c r="O3018" s="23" t="str">
        <f t="shared" si="142"/>
        <v>ORD26004805</v>
      </c>
      <c r="P3018" s="23" t="str">
        <f t="shared" si="143"/>
        <v>Sep</v>
      </c>
      <c r="Q3018" s="23" t="str">
        <f>IF(F3018="CAPTURE",IF(COUNTIF(orders!$A:$A,O3018)&gt;0,"Yes","NO ORDER"),"")</f>
        <v>Yes</v>
      </c>
    </row>
    <row r="3019" spans="1:17" ht="15" customHeight="1" x14ac:dyDescent="0.3">
      <c r="A3019" s="23" t="s">
        <v>15908</v>
      </c>
      <c r="B3019" s="23"/>
      <c r="C3019" s="23" t="s">
        <v>10099</v>
      </c>
      <c r="D3019" s="23" t="str">
        <f t="shared" si="141"/>
        <v>ORD26004819</v>
      </c>
      <c r="E3019" s="38">
        <v>46281</v>
      </c>
      <c r="F3019" s="23" t="s">
        <v>12410</v>
      </c>
      <c r="G3019" s="23" t="s">
        <v>75</v>
      </c>
      <c r="H3019" s="24">
        <v>599</v>
      </c>
      <c r="I3019" s="24">
        <v>0</v>
      </c>
      <c r="J3019" s="24">
        <v>0</v>
      </c>
      <c r="K3019" s="24">
        <v>599</v>
      </c>
      <c r="L3019" s="38">
        <v>46283</v>
      </c>
      <c r="M3019" s="23" t="s">
        <v>208</v>
      </c>
      <c r="N3019" s="23" t="str">
        <f>IF(COUNTIF($A$2:A3019,A3019)&gt;1,"DUP","OK")</f>
        <v>OK</v>
      </c>
      <c r="O3019" s="23" t="str">
        <f t="shared" si="142"/>
        <v>ORD26004819</v>
      </c>
      <c r="P3019" s="23" t="str">
        <f t="shared" si="143"/>
        <v>Sep</v>
      </c>
      <c r="Q3019" s="23" t="str">
        <f>IF(F3019="CAPTURE",IF(COUNTIF(orders!$A:$A,O3019)&gt;0,"Yes","NO ORDER"),"")</f>
        <v>Yes</v>
      </c>
    </row>
    <row r="3020" spans="1:17" ht="15" customHeight="1" x14ac:dyDescent="0.3">
      <c r="A3020" s="23" t="s">
        <v>15909</v>
      </c>
      <c r="B3020" s="23"/>
      <c r="C3020" s="23" t="s">
        <v>15910</v>
      </c>
      <c r="D3020" s="23" t="str">
        <f t="shared" si="141"/>
        <v>ORD26004876</v>
      </c>
      <c r="E3020" s="38">
        <v>46281</v>
      </c>
      <c r="F3020" s="23" t="s">
        <v>12410</v>
      </c>
      <c r="G3020" s="23" t="s">
        <v>79</v>
      </c>
      <c r="H3020" s="24">
        <v>1498</v>
      </c>
      <c r="I3020" s="24">
        <v>26.96</v>
      </c>
      <c r="J3020" s="24">
        <v>4.8499999999999996</v>
      </c>
      <c r="K3020" s="24">
        <v>1466.19</v>
      </c>
      <c r="L3020" s="38">
        <v>46283</v>
      </c>
      <c r="M3020" s="23" t="s">
        <v>208</v>
      </c>
      <c r="N3020" s="23" t="str">
        <f>IF(COUNTIF($A$2:A3020,A3020)&gt;1,"DUP","OK")</f>
        <v>OK</v>
      </c>
      <c r="O3020" s="23" t="str">
        <f t="shared" si="142"/>
        <v>ORD26004876</v>
      </c>
      <c r="P3020" s="23" t="str">
        <f t="shared" si="143"/>
        <v>Sep</v>
      </c>
      <c r="Q3020" s="23" t="str">
        <f>IF(F3020="CAPTURE",IF(COUNTIF(orders!$A:$A,O3020)&gt;0,"Yes","NO ORDER"),"")</f>
        <v>Yes</v>
      </c>
    </row>
    <row r="3021" spans="1:17" ht="15" customHeight="1" x14ac:dyDescent="0.3">
      <c r="A3021" s="23" t="s">
        <v>15911</v>
      </c>
      <c r="B3021" s="23"/>
      <c r="C3021" s="23" t="s">
        <v>10228</v>
      </c>
      <c r="D3021" s="23" t="str">
        <f t="shared" si="141"/>
        <v>ORD26004885</v>
      </c>
      <c r="E3021" s="38">
        <v>46281</v>
      </c>
      <c r="F3021" s="23" t="s">
        <v>12410</v>
      </c>
      <c r="G3021" s="23" t="s">
        <v>79</v>
      </c>
      <c r="H3021" s="24">
        <v>1499</v>
      </c>
      <c r="I3021" s="24">
        <v>26.98</v>
      </c>
      <c r="J3021" s="24">
        <v>4.8600000000000003</v>
      </c>
      <c r="K3021" s="24">
        <v>1467.16</v>
      </c>
      <c r="L3021" s="38">
        <v>46283</v>
      </c>
      <c r="M3021" s="23" t="s">
        <v>208</v>
      </c>
      <c r="N3021" s="23" t="str">
        <f>IF(COUNTIF($A$2:A3021,A3021)&gt;1,"DUP","OK")</f>
        <v>OK</v>
      </c>
      <c r="O3021" s="23" t="str">
        <f t="shared" si="142"/>
        <v>ORD26004885</v>
      </c>
      <c r="P3021" s="23" t="str">
        <f t="shared" si="143"/>
        <v>Sep</v>
      </c>
      <c r="Q3021" s="23" t="str">
        <f>IF(F3021="CAPTURE",IF(COUNTIF(orders!$A:$A,O3021)&gt;0,"Yes","NO ORDER"),"")</f>
        <v>Yes</v>
      </c>
    </row>
    <row r="3022" spans="1:17" ht="15" customHeight="1" x14ac:dyDescent="0.3">
      <c r="A3022" s="23" t="s">
        <v>15912</v>
      </c>
      <c r="B3022" s="23"/>
      <c r="C3022" s="23" t="s">
        <v>10279</v>
      </c>
      <c r="D3022" s="23" t="str">
        <f t="shared" si="141"/>
        <v>ORD26004911</v>
      </c>
      <c r="E3022" s="38">
        <v>46281</v>
      </c>
      <c r="F3022" s="23" t="s">
        <v>12410</v>
      </c>
      <c r="G3022" s="23" t="s">
        <v>75</v>
      </c>
      <c r="H3022" s="24">
        <v>2397</v>
      </c>
      <c r="I3022" s="24">
        <v>7.19</v>
      </c>
      <c r="J3022" s="24">
        <v>1.29</v>
      </c>
      <c r="K3022" s="24">
        <v>2388.52</v>
      </c>
      <c r="L3022" s="38">
        <v>46283</v>
      </c>
      <c r="M3022" s="23" t="s">
        <v>208</v>
      </c>
      <c r="N3022" s="23" t="str">
        <f>IF(COUNTIF($A$2:A3022,A3022)&gt;1,"DUP","OK")</f>
        <v>OK</v>
      </c>
      <c r="O3022" s="23" t="str">
        <f t="shared" si="142"/>
        <v>ORD26004911</v>
      </c>
      <c r="P3022" s="23" t="str">
        <f t="shared" si="143"/>
        <v>Sep</v>
      </c>
      <c r="Q3022" s="23" t="str">
        <f>IF(F3022="CAPTURE",IF(COUNTIF(orders!$A:$A,O3022)&gt;0,"Yes","NO ORDER"),"")</f>
        <v>Yes</v>
      </c>
    </row>
    <row r="3023" spans="1:17" ht="15" customHeight="1" x14ac:dyDescent="0.3">
      <c r="A3023" s="23" t="s">
        <v>15913</v>
      </c>
      <c r="B3023" s="23"/>
      <c r="C3023" s="23" t="s">
        <v>10357</v>
      </c>
      <c r="D3023" s="23" t="str">
        <f t="shared" si="141"/>
        <v>ORD26004951</v>
      </c>
      <c r="E3023" s="38">
        <v>46281</v>
      </c>
      <c r="F3023" s="23" t="s">
        <v>12410</v>
      </c>
      <c r="G3023" s="23" t="s">
        <v>77</v>
      </c>
      <c r="H3023" s="24">
        <v>3499</v>
      </c>
      <c r="I3023" s="24">
        <v>59.48</v>
      </c>
      <c r="J3023" s="24">
        <v>10.71</v>
      </c>
      <c r="K3023" s="24">
        <v>3428.81</v>
      </c>
      <c r="L3023" s="38">
        <v>46283</v>
      </c>
      <c r="M3023" s="23" t="s">
        <v>208</v>
      </c>
      <c r="N3023" s="23" t="str">
        <f>IF(COUNTIF($A$2:A3023,A3023)&gt;1,"DUP","OK")</f>
        <v>OK</v>
      </c>
      <c r="O3023" s="23" t="str">
        <f t="shared" si="142"/>
        <v>ORD26004951</v>
      </c>
      <c r="P3023" s="23" t="str">
        <f t="shared" si="143"/>
        <v>Sep</v>
      </c>
      <c r="Q3023" s="23" t="str">
        <f>IF(F3023="CAPTURE",IF(COUNTIF(orders!$A:$A,O3023)&gt;0,"Yes","NO ORDER"),"")</f>
        <v>Yes</v>
      </c>
    </row>
    <row r="3024" spans="1:17" ht="15" customHeight="1" x14ac:dyDescent="0.3">
      <c r="A3024" s="23" t="s">
        <v>15914</v>
      </c>
      <c r="B3024" s="23"/>
      <c r="C3024" s="23" t="s">
        <v>15915</v>
      </c>
      <c r="D3024" s="23" t="str">
        <f t="shared" si="141"/>
        <v>ORD26005031</v>
      </c>
      <c r="E3024" s="38">
        <v>46281</v>
      </c>
      <c r="F3024" s="23" t="s">
        <v>12410</v>
      </c>
      <c r="G3024" s="23" t="s">
        <v>75</v>
      </c>
      <c r="H3024" s="24">
        <v>1799</v>
      </c>
      <c r="I3024" s="24">
        <v>0</v>
      </c>
      <c r="J3024" s="24">
        <v>0</v>
      </c>
      <c r="K3024" s="24">
        <v>1799</v>
      </c>
      <c r="L3024" s="38">
        <v>46283</v>
      </c>
      <c r="M3024" s="23" t="s">
        <v>208</v>
      </c>
      <c r="N3024" s="23" t="str">
        <f>IF(COUNTIF($A$2:A3024,A3024)&gt;1,"DUP","OK")</f>
        <v>OK</v>
      </c>
      <c r="O3024" s="23" t="str">
        <f t="shared" si="142"/>
        <v>ORD26005031</v>
      </c>
      <c r="P3024" s="23" t="str">
        <f t="shared" si="143"/>
        <v>Sep</v>
      </c>
      <c r="Q3024" s="23" t="str">
        <f>IF(F3024="CAPTURE",IF(COUNTIF(orders!$A:$A,O3024)&gt;0,"Yes","NO ORDER"),"")</f>
        <v>Yes</v>
      </c>
    </row>
    <row r="3025" spans="1:17" ht="15" customHeight="1" x14ac:dyDescent="0.3">
      <c r="A3025" s="23" t="s">
        <v>15916</v>
      </c>
      <c r="B3025" s="23"/>
      <c r="C3025" s="23" t="s">
        <v>10550</v>
      </c>
      <c r="D3025" s="23" t="str">
        <f t="shared" si="141"/>
        <v>ORD26005052</v>
      </c>
      <c r="E3025" s="38">
        <v>46281</v>
      </c>
      <c r="F3025" s="23" t="s">
        <v>12410</v>
      </c>
      <c r="G3025" s="23" t="s">
        <v>75</v>
      </c>
      <c r="H3025" s="24">
        <v>7999</v>
      </c>
      <c r="I3025" s="24">
        <v>24</v>
      </c>
      <c r="J3025" s="24">
        <v>4.32</v>
      </c>
      <c r="K3025" s="24">
        <v>7970.68</v>
      </c>
      <c r="L3025" s="38">
        <v>46283</v>
      </c>
      <c r="M3025" s="23" t="s">
        <v>208</v>
      </c>
      <c r="N3025" s="23" t="str">
        <f>IF(COUNTIF($A$2:A3025,A3025)&gt;1,"DUP","OK")</f>
        <v>OK</v>
      </c>
      <c r="O3025" s="23" t="str">
        <f t="shared" si="142"/>
        <v>ORD26005052</v>
      </c>
      <c r="P3025" s="23" t="str">
        <f t="shared" si="143"/>
        <v>Sep</v>
      </c>
      <c r="Q3025" s="23" t="str">
        <f>IF(F3025="CAPTURE",IF(COUNTIF(orders!$A:$A,O3025)&gt;0,"Yes","NO ORDER"),"")</f>
        <v>Yes</v>
      </c>
    </row>
    <row r="3026" spans="1:17" ht="15" customHeight="1" x14ac:dyDescent="0.3">
      <c r="A3026" s="23" t="s">
        <v>15917</v>
      </c>
      <c r="B3026" s="23"/>
      <c r="C3026" s="23" t="s">
        <v>10879</v>
      </c>
      <c r="D3026" s="23" t="str">
        <f t="shared" si="141"/>
        <v>ORD26005220</v>
      </c>
      <c r="E3026" s="38">
        <v>46281</v>
      </c>
      <c r="F3026" s="23" t="s">
        <v>12410</v>
      </c>
      <c r="G3026" s="23" t="s">
        <v>79</v>
      </c>
      <c r="H3026" s="24">
        <v>5298</v>
      </c>
      <c r="I3026" s="24">
        <v>84.77</v>
      </c>
      <c r="J3026" s="24">
        <v>15.26</v>
      </c>
      <c r="K3026" s="24">
        <v>5197.97</v>
      </c>
      <c r="L3026" s="38">
        <v>46283</v>
      </c>
      <c r="M3026" s="23" t="s">
        <v>208</v>
      </c>
      <c r="N3026" s="23" t="str">
        <f>IF(COUNTIF($A$2:A3026,A3026)&gt;1,"DUP","OK")</f>
        <v>OK</v>
      </c>
      <c r="O3026" s="23" t="str">
        <f t="shared" si="142"/>
        <v>ORD26005220</v>
      </c>
      <c r="P3026" s="23" t="str">
        <f t="shared" si="143"/>
        <v>Sep</v>
      </c>
      <c r="Q3026" s="23" t="str">
        <f>IF(F3026="CAPTURE",IF(COUNTIF(orders!$A:$A,O3026)&gt;0,"Yes","NO ORDER"),"")</f>
        <v>Yes</v>
      </c>
    </row>
    <row r="3027" spans="1:17" ht="15" customHeight="1" x14ac:dyDescent="0.3">
      <c r="A3027" s="23" t="s">
        <v>15918</v>
      </c>
      <c r="B3027" s="23"/>
      <c r="C3027" s="23" t="s">
        <v>15919</v>
      </c>
      <c r="D3027" s="23" t="str">
        <f t="shared" si="141"/>
        <v>ORD26005255</v>
      </c>
      <c r="E3027" s="38">
        <v>46281</v>
      </c>
      <c r="F3027" s="23" t="s">
        <v>12410</v>
      </c>
      <c r="G3027" s="23" t="s">
        <v>75</v>
      </c>
      <c r="H3027" s="24">
        <v>1799</v>
      </c>
      <c r="I3027" s="24">
        <v>0</v>
      </c>
      <c r="J3027" s="24">
        <v>0</v>
      </c>
      <c r="K3027" s="24">
        <v>1799</v>
      </c>
      <c r="L3027" s="38">
        <v>46283</v>
      </c>
      <c r="M3027" s="23" t="s">
        <v>208</v>
      </c>
      <c r="N3027" s="23" t="str">
        <f>IF(COUNTIF($A$2:A3027,A3027)&gt;1,"DUP","OK")</f>
        <v>OK</v>
      </c>
      <c r="O3027" s="23" t="str">
        <f t="shared" si="142"/>
        <v>ORD26005255</v>
      </c>
      <c r="P3027" s="23" t="str">
        <f t="shared" si="143"/>
        <v>Sep</v>
      </c>
      <c r="Q3027" s="23" t="str">
        <f>IF(F3027="CAPTURE",IF(COUNTIF(orders!$A:$A,O3027)&gt;0,"Yes","NO ORDER"),"")</f>
        <v>Yes</v>
      </c>
    </row>
    <row r="3028" spans="1:17" ht="15" customHeight="1" x14ac:dyDescent="0.3">
      <c r="A3028" s="23" t="s">
        <v>15920</v>
      </c>
      <c r="B3028" s="23"/>
      <c r="C3028" s="23" t="s">
        <v>10992</v>
      </c>
      <c r="D3028" s="23" t="str">
        <f t="shared" si="141"/>
        <v>ORD26005279</v>
      </c>
      <c r="E3028" s="38">
        <v>46281</v>
      </c>
      <c r="F3028" s="23" t="s">
        <v>12410</v>
      </c>
      <c r="G3028" s="23" t="s">
        <v>81</v>
      </c>
      <c r="H3028" s="24">
        <v>6298</v>
      </c>
      <c r="I3028" s="24">
        <v>75.58</v>
      </c>
      <c r="J3028" s="24">
        <v>13.6</v>
      </c>
      <c r="K3028" s="24">
        <v>6208.82</v>
      </c>
      <c r="L3028" s="38">
        <v>46283</v>
      </c>
      <c r="M3028" s="23" t="s">
        <v>208</v>
      </c>
      <c r="N3028" s="23" t="str">
        <f>IF(COUNTIF($A$2:A3028,A3028)&gt;1,"DUP","OK")</f>
        <v>OK</v>
      </c>
      <c r="O3028" s="23" t="str">
        <f t="shared" si="142"/>
        <v>ORD26005279</v>
      </c>
      <c r="P3028" s="23" t="str">
        <f t="shared" si="143"/>
        <v>Sep</v>
      </c>
      <c r="Q3028" s="23" t="str">
        <f>IF(F3028="CAPTURE",IF(COUNTIF(orders!$A:$A,O3028)&gt;0,"Yes","NO ORDER"),"")</f>
        <v>Yes</v>
      </c>
    </row>
    <row r="3029" spans="1:17" ht="15" customHeight="1" x14ac:dyDescent="0.3">
      <c r="A3029" s="23" t="s">
        <v>15921</v>
      </c>
      <c r="B3029" s="23"/>
      <c r="C3029" s="23" t="s">
        <v>15922</v>
      </c>
      <c r="D3029" s="23" t="str">
        <f t="shared" si="141"/>
        <v>ORD26005286</v>
      </c>
      <c r="E3029" s="38">
        <v>46281</v>
      </c>
      <c r="F3029" s="23" t="s">
        <v>12410</v>
      </c>
      <c r="G3029" s="23" t="s">
        <v>75</v>
      </c>
      <c r="H3029" s="24">
        <v>1947</v>
      </c>
      <c r="I3029" s="24">
        <v>0</v>
      </c>
      <c r="J3029" s="24">
        <v>0</v>
      </c>
      <c r="K3029" s="24">
        <v>1947</v>
      </c>
      <c r="L3029" s="38">
        <v>46283</v>
      </c>
      <c r="M3029" s="23" t="s">
        <v>208</v>
      </c>
      <c r="N3029" s="23" t="str">
        <f>IF(COUNTIF($A$2:A3029,A3029)&gt;1,"DUP","OK")</f>
        <v>OK</v>
      </c>
      <c r="O3029" s="23" t="str">
        <f t="shared" si="142"/>
        <v>ORD26005286</v>
      </c>
      <c r="P3029" s="23" t="str">
        <f t="shared" si="143"/>
        <v>Sep</v>
      </c>
      <c r="Q3029" s="23" t="str">
        <f>IF(F3029="CAPTURE",IF(COUNTIF(orders!$A:$A,O3029)&gt;0,"Yes","NO ORDER"),"")</f>
        <v>Yes</v>
      </c>
    </row>
    <row r="3030" spans="1:17" ht="15" customHeight="1" x14ac:dyDescent="0.3">
      <c r="A3030" s="23" t="s">
        <v>15923</v>
      </c>
      <c r="B3030" s="23"/>
      <c r="C3030" s="23" t="s">
        <v>11095</v>
      </c>
      <c r="D3030" s="23" t="str">
        <f t="shared" si="141"/>
        <v>ORD26005331</v>
      </c>
      <c r="E3030" s="38">
        <v>46281</v>
      </c>
      <c r="F3030" s="23" t="s">
        <v>12410</v>
      </c>
      <c r="G3030" s="23" t="s">
        <v>75</v>
      </c>
      <c r="H3030" s="24">
        <v>2999</v>
      </c>
      <c r="I3030" s="24">
        <v>9</v>
      </c>
      <c r="J3030" s="24">
        <v>1.62</v>
      </c>
      <c r="K3030" s="24">
        <v>2988.38</v>
      </c>
      <c r="L3030" s="38">
        <v>46283</v>
      </c>
      <c r="M3030" s="23" t="s">
        <v>208</v>
      </c>
      <c r="N3030" s="23" t="str">
        <f>IF(COUNTIF($A$2:A3030,A3030)&gt;1,"DUP","OK")</f>
        <v>OK</v>
      </c>
      <c r="O3030" s="23" t="str">
        <f t="shared" si="142"/>
        <v>ORD26005331</v>
      </c>
      <c r="P3030" s="23" t="str">
        <f t="shared" si="143"/>
        <v>Sep</v>
      </c>
      <c r="Q3030" s="23" t="str">
        <f>IF(F3030="CAPTURE",IF(COUNTIF(orders!$A:$A,O3030)&gt;0,"Yes","NO ORDER"),"")</f>
        <v>Yes</v>
      </c>
    </row>
    <row r="3031" spans="1:17" ht="15" customHeight="1" x14ac:dyDescent="0.3">
      <c r="A3031" s="23" t="s">
        <v>15924</v>
      </c>
      <c r="B3031" s="23"/>
      <c r="C3031" s="23" t="s">
        <v>11158</v>
      </c>
      <c r="D3031" s="23" t="str">
        <f t="shared" si="141"/>
        <v>ORD26005363</v>
      </c>
      <c r="E3031" s="38">
        <v>46281</v>
      </c>
      <c r="F3031" s="23" t="s">
        <v>12410</v>
      </c>
      <c r="G3031" s="23" t="s">
        <v>75</v>
      </c>
      <c r="H3031" s="24">
        <v>3798</v>
      </c>
      <c r="I3031" s="24">
        <v>11.39</v>
      </c>
      <c r="J3031" s="24">
        <v>2.0499999999999998</v>
      </c>
      <c r="K3031" s="24">
        <v>3784.56</v>
      </c>
      <c r="L3031" s="38">
        <v>46283</v>
      </c>
      <c r="M3031" s="23" t="s">
        <v>208</v>
      </c>
      <c r="N3031" s="23" t="str">
        <f>IF(COUNTIF($A$2:A3031,A3031)&gt;1,"DUP","OK")</f>
        <v>OK</v>
      </c>
      <c r="O3031" s="23" t="str">
        <f t="shared" si="142"/>
        <v>ORD26005363</v>
      </c>
      <c r="P3031" s="23" t="str">
        <f t="shared" si="143"/>
        <v>Sep</v>
      </c>
      <c r="Q3031" s="23" t="str">
        <f>IF(F3031="CAPTURE",IF(COUNTIF(orders!$A:$A,O3031)&gt;0,"Yes","NO ORDER"),"")</f>
        <v>Yes</v>
      </c>
    </row>
    <row r="3032" spans="1:17" ht="15" customHeight="1" x14ac:dyDescent="0.3">
      <c r="A3032" s="23" t="s">
        <v>15925</v>
      </c>
      <c r="B3032" s="23"/>
      <c r="C3032" s="23" t="s">
        <v>11180</v>
      </c>
      <c r="D3032" s="23" t="str">
        <f t="shared" si="141"/>
        <v>ORD26005373</v>
      </c>
      <c r="E3032" s="38">
        <v>46281</v>
      </c>
      <c r="F3032" s="23" t="s">
        <v>12410</v>
      </c>
      <c r="G3032" s="23" t="s">
        <v>77</v>
      </c>
      <c r="H3032" s="24">
        <v>999</v>
      </c>
      <c r="I3032" s="24">
        <v>18.98</v>
      </c>
      <c r="J3032" s="24">
        <v>3.42</v>
      </c>
      <c r="K3032" s="24">
        <v>976.6</v>
      </c>
      <c r="L3032" s="38">
        <v>46283</v>
      </c>
      <c r="M3032" s="23" t="s">
        <v>208</v>
      </c>
      <c r="N3032" s="23" t="str">
        <f>IF(COUNTIF($A$2:A3032,A3032)&gt;1,"DUP","OK")</f>
        <v>OK</v>
      </c>
      <c r="O3032" s="23" t="str">
        <f t="shared" si="142"/>
        <v>ORD26005373</v>
      </c>
      <c r="P3032" s="23" t="str">
        <f t="shared" si="143"/>
        <v>Sep</v>
      </c>
      <c r="Q3032" s="23" t="str">
        <f>IF(F3032="CAPTURE",IF(COUNTIF(orders!$A:$A,O3032)&gt;0,"Yes","NO ORDER"),"")</f>
        <v>Yes</v>
      </c>
    </row>
    <row r="3033" spans="1:17" ht="15" customHeight="1" x14ac:dyDescent="0.3">
      <c r="A3033" s="23" t="s">
        <v>15926</v>
      </c>
      <c r="B3033" s="23"/>
      <c r="C3033" s="23" t="s">
        <v>11227</v>
      </c>
      <c r="D3033" s="23" t="str">
        <f t="shared" si="141"/>
        <v>ORD26005397</v>
      </c>
      <c r="E3033" s="38">
        <v>46281</v>
      </c>
      <c r="F3033" s="23" t="s">
        <v>12410</v>
      </c>
      <c r="G3033" s="23" t="s">
        <v>75</v>
      </c>
      <c r="H3033" s="24">
        <v>4498</v>
      </c>
      <c r="I3033" s="24">
        <v>13.49</v>
      </c>
      <c r="J3033" s="24">
        <v>2.4300000000000002</v>
      </c>
      <c r="K3033" s="24">
        <v>4482.08</v>
      </c>
      <c r="L3033" s="38">
        <v>46283</v>
      </c>
      <c r="M3033" s="23" t="s">
        <v>208</v>
      </c>
      <c r="N3033" s="23" t="str">
        <f>IF(COUNTIF($A$2:A3033,A3033)&gt;1,"DUP","OK")</f>
        <v>OK</v>
      </c>
      <c r="O3033" s="23" t="str">
        <f t="shared" si="142"/>
        <v>ORD26005397</v>
      </c>
      <c r="P3033" s="23" t="str">
        <f t="shared" si="143"/>
        <v>Sep</v>
      </c>
      <c r="Q3033" s="23" t="str">
        <f>IF(F3033="CAPTURE",IF(COUNTIF(orders!$A:$A,O3033)&gt;0,"Yes","NO ORDER"),"")</f>
        <v>Yes</v>
      </c>
    </row>
    <row r="3034" spans="1:17" ht="15" customHeight="1" x14ac:dyDescent="0.3">
      <c r="A3034" s="23" t="s">
        <v>15927</v>
      </c>
      <c r="B3034" s="23"/>
      <c r="C3034" s="23" t="s">
        <v>11235</v>
      </c>
      <c r="D3034" s="23" t="str">
        <f t="shared" si="141"/>
        <v>ORD26005401</v>
      </c>
      <c r="E3034" s="38">
        <v>46281</v>
      </c>
      <c r="F3034" s="23" t="s">
        <v>12410</v>
      </c>
      <c r="G3034" s="23" t="s">
        <v>75</v>
      </c>
      <c r="H3034" s="24">
        <v>1299</v>
      </c>
      <c r="I3034" s="24">
        <v>0</v>
      </c>
      <c r="J3034" s="24">
        <v>0</v>
      </c>
      <c r="K3034" s="24">
        <v>1299</v>
      </c>
      <c r="L3034" s="38">
        <v>46283</v>
      </c>
      <c r="M3034" s="23" t="s">
        <v>208</v>
      </c>
      <c r="N3034" s="23" t="str">
        <f>IF(COUNTIF($A$2:A3034,A3034)&gt;1,"DUP","OK")</f>
        <v>OK</v>
      </c>
      <c r="O3034" s="23" t="str">
        <f t="shared" si="142"/>
        <v>ORD26005401</v>
      </c>
      <c r="P3034" s="23" t="str">
        <f t="shared" si="143"/>
        <v>Sep</v>
      </c>
      <c r="Q3034" s="23" t="str">
        <f>IF(F3034="CAPTURE",IF(COUNTIF(orders!$A:$A,O3034)&gt;0,"Yes","NO ORDER"),"")</f>
        <v>Yes</v>
      </c>
    </row>
    <row r="3035" spans="1:17" ht="15" customHeight="1" x14ac:dyDescent="0.3">
      <c r="A3035" s="23" t="s">
        <v>15928</v>
      </c>
      <c r="B3035" s="23"/>
      <c r="C3035" s="23" t="s">
        <v>11266</v>
      </c>
      <c r="D3035" s="23" t="str">
        <f t="shared" si="141"/>
        <v>ORD26005417</v>
      </c>
      <c r="E3035" s="38">
        <v>46281</v>
      </c>
      <c r="F3035" s="23" t="s">
        <v>12410</v>
      </c>
      <c r="G3035" s="23" t="s">
        <v>81</v>
      </c>
      <c r="H3035" s="24">
        <v>2597</v>
      </c>
      <c r="I3035" s="24">
        <v>31.16</v>
      </c>
      <c r="J3035" s="24">
        <v>5.61</v>
      </c>
      <c r="K3035" s="24">
        <v>2560.23</v>
      </c>
      <c r="L3035" s="38">
        <v>46283</v>
      </c>
      <c r="M3035" s="23" t="s">
        <v>208</v>
      </c>
      <c r="N3035" s="23" t="str">
        <f>IF(COUNTIF($A$2:A3035,A3035)&gt;1,"DUP","OK")</f>
        <v>OK</v>
      </c>
      <c r="O3035" s="23" t="str">
        <f t="shared" si="142"/>
        <v>ORD26005417</v>
      </c>
      <c r="P3035" s="23" t="str">
        <f t="shared" si="143"/>
        <v>Sep</v>
      </c>
      <c r="Q3035" s="23" t="str">
        <f>IF(F3035="CAPTURE",IF(COUNTIF(orders!$A:$A,O3035)&gt;0,"Yes","NO ORDER"),"")</f>
        <v>Yes</v>
      </c>
    </row>
    <row r="3036" spans="1:17" ht="15" customHeight="1" x14ac:dyDescent="0.3">
      <c r="A3036" s="23" t="s">
        <v>15929</v>
      </c>
      <c r="B3036" s="23"/>
      <c r="C3036" s="23" t="s">
        <v>15930</v>
      </c>
      <c r="D3036" s="23" t="str">
        <f t="shared" si="141"/>
        <v>ORD26005477</v>
      </c>
      <c r="E3036" s="38">
        <v>46281</v>
      </c>
      <c r="F3036" s="23" t="s">
        <v>12410</v>
      </c>
      <c r="G3036" s="23" t="s">
        <v>75</v>
      </c>
      <c r="H3036" s="24">
        <v>7998</v>
      </c>
      <c r="I3036" s="24">
        <v>23.99</v>
      </c>
      <c r="J3036" s="24">
        <v>4.32</v>
      </c>
      <c r="K3036" s="24">
        <v>7969.69</v>
      </c>
      <c r="L3036" s="38">
        <v>46283</v>
      </c>
      <c r="M3036" s="23" t="s">
        <v>208</v>
      </c>
      <c r="N3036" s="23" t="str">
        <f>IF(COUNTIF($A$2:A3036,A3036)&gt;1,"DUP","OK")</f>
        <v>OK</v>
      </c>
      <c r="O3036" s="23" t="str">
        <f t="shared" si="142"/>
        <v>ORD26005477</v>
      </c>
      <c r="P3036" s="23" t="str">
        <f t="shared" si="143"/>
        <v>Sep</v>
      </c>
      <c r="Q3036" s="23" t="str">
        <f>IF(F3036="CAPTURE",IF(COUNTIF(orders!$A:$A,O3036)&gt;0,"Yes","NO ORDER"),"")</f>
        <v>Yes</v>
      </c>
    </row>
    <row r="3037" spans="1:17" ht="15" customHeight="1" x14ac:dyDescent="0.3">
      <c r="A3037" s="23" t="s">
        <v>15931</v>
      </c>
      <c r="B3037" s="23"/>
      <c r="C3037" s="23" t="s">
        <v>11443</v>
      </c>
      <c r="D3037" s="23" t="str">
        <f t="shared" si="141"/>
        <v>ORD26005508</v>
      </c>
      <c r="E3037" s="38">
        <v>46281</v>
      </c>
      <c r="F3037" s="23" t="s">
        <v>12410</v>
      </c>
      <c r="G3037" s="23" t="s">
        <v>75</v>
      </c>
      <c r="H3037" s="24">
        <v>7997</v>
      </c>
      <c r="I3037" s="24">
        <v>23.99</v>
      </c>
      <c r="J3037" s="24">
        <v>4.32</v>
      </c>
      <c r="K3037" s="24">
        <v>7968.69</v>
      </c>
      <c r="L3037" s="38">
        <v>46283</v>
      </c>
      <c r="M3037" s="23" t="s">
        <v>208</v>
      </c>
      <c r="N3037" s="23" t="str">
        <f>IF(COUNTIF($A$2:A3037,A3037)&gt;1,"DUP","OK")</f>
        <v>OK</v>
      </c>
      <c r="O3037" s="23" t="str">
        <f t="shared" si="142"/>
        <v>ORD26005508</v>
      </c>
      <c r="P3037" s="23" t="str">
        <f t="shared" si="143"/>
        <v>Sep</v>
      </c>
      <c r="Q3037" s="23" t="str">
        <f>IF(F3037="CAPTURE",IF(COUNTIF(orders!$A:$A,O3037)&gt;0,"Yes","NO ORDER"),"")</f>
        <v>Yes</v>
      </c>
    </row>
    <row r="3038" spans="1:17" ht="15" customHeight="1" x14ac:dyDescent="0.3">
      <c r="A3038" s="23" t="s">
        <v>15932</v>
      </c>
      <c r="B3038" s="23"/>
      <c r="C3038" s="23" t="s">
        <v>11463</v>
      </c>
      <c r="D3038" s="23" t="str">
        <f t="shared" si="141"/>
        <v>ORD26005518</v>
      </c>
      <c r="E3038" s="38">
        <v>46281</v>
      </c>
      <c r="F3038" s="23" t="s">
        <v>12410</v>
      </c>
      <c r="G3038" s="23" t="s">
        <v>75</v>
      </c>
      <c r="H3038" s="24">
        <v>1299</v>
      </c>
      <c r="I3038" s="24">
        <v>0</v>
      </c>
      <c r="J3038" s="24">
        <v>0</v>
      </c>
      <c r="K3038" s="24">
        <v>1299</v>
      </c>
      <c r="L3038" s="38">
        <v>46283</v>
      </c>
      <c r="M3038" s="23" t="s">
        <v>208</v>
      </c>
      <c r="N3038" s="23" t="str">
        <f>IF(COUNTIF($A$2:A3038,A3038)&gt;1,"DUP","OK")</f>
        <v>OK</v>
      </c>
      <c r="O3038" s="23" t="str">
        <f t="shared" si="142"/>
        <v>ORD26005518</v>
      </c>
      <c r="P3038" s="23" t="str">
        <f t="shared" si="143"/>
        <v>Sep</v>
      </c>
      <c r="Q3038" s="23" t="str">
        <f>IF(F3038="CAPTURE",IF(COUNTIF(orders!$A:$A,O3038)&gt;0,"Yes","NO ORDER"),"")</f>
        <v>Yes</v>
      </c>
    </row>
    <row r="3039" spans="1:17" ht="15" customHeight="1" x14ac:dyDescent="0.3">
      <c r="A3039" s="23" t="s">
        <v>15933</v>
      </c>
      <c r="B3039" s="23"/>
      <c r="C3039" s="23" t="s">
        <v>11505</v>
      </c>
      <c r="D3039" s="23" t="str">
        <f t="shared" si="141"/>
        <v>ORD26005540</v>
      </c>
      <c r="E3039" s="38">
        <v>46281</v>
      </c>
      <c r="F3039" s="23" t="s">
        <v>12410</v>
      </c>
      <c r="G3039" s="23" t="s">
        <v>75</v>
      </c>
      <c r="H3039" s="24">
        <v>1898</v>
      </c>
      <c r="I3039" s="24">
        <v>0</v>
      </c>
      <c r="J3039" s="24">
        <v>0</v>
      </c>
      <c r="K3039" s="24">
        <v>1898</v>
      </c>
      <c r="L3039" s="38">
        <v>46283</v>
      </c>
      <c r="M3039" s="23" t="s">
        <v>208</v>
      </c>
      <c r="N3039" s="23" t="str">
        <f>IF(COUNTIF($A$2:A3039,A3039)&gt;1,"DUP","OK")</f>
        <v>OK</v>
      </c>
      <c r="O3039" s="23" t="str">
        <f t="shared" si="142"/>
        <v>ORD26005540</v>
      </c>
      <c r="P3039" s="23" t="str">
        <f t="shared" si="143"/>
        <v>Sep</v>
      </c>
      <c r="Q3039" s="23" t="str">
        <f>IF(F3039="CAPTURE",IF(COUNTIF(orders!$A:$A,O3039)&gt;0,"Yes","NO ORDER"),"")</f>
        <v>Yes</v>
      </c>
    </row>
    <row r="3040" spans="1:17" ht="15" customHeight="1" x14ac:dyDescent="0.3">
      <c r="A3040" s="23" t="s">
        <v>15934</v>
      </c>
      <c r="B3040" s="23"/>
      <c r="C3040" s="23" t="s">
        <v>15935</v>
      </c>
      <c r="D3040" s="23" t="str">
        <f t="shared" si="141"/>
        <v>ORD26005603</v>
      </c>
      <c r="E3040" s="38">
        <v>46281</v>
      </c>
      <c r="F3040" s="23" t="s">
        <v>12410</v>
      </c>
      <c r="G3040" s="23" t="s">
        <v>75</v>
      </c>
      <c r="H3040" s="24">
        <v>1299</v>
      </c>
      <c r="I3040" s="24">
        <v>0</v>
      </c>
      <c r="J3040" s="24">
        <v>0</v>
      </c>
      <c r="K3040" s="24">
        <v>1299</v>
      </c>
      <c r="L3040" s="38">
        <v>46283</v>
      </c>
      <c r="M3040" s="23" t="s">
        <v>208</v>
      </c>
      <c r="N3040" s="23" t="str">
        <f>IF(COUNTIF($A$2:A3040,A3040)&gt;1,"DUP","OK")</f>
        <v>OK</v>
      </c>
      <c r="O3040" s="23" t="str">
        <f t="shared" si="142"/>
        <v>ORD26005603</v>
      </c>
      <c r="P3040" s="23" t="str">
        <f t="shared" si="143"/>
        <v>Sep</v>
      </c>
      <c r="Q3040" s="23" t="str">
        <f>IF(F3040="CAPTURE",IF(COUNTIF(orders!$A:$A,O3040)&gt;0,"Yes","NO ORDER"),"")</f>
        <v>Yes</v>
      </c>
    </row>
    <row r="3041" spans="1:17" ht="15" customHeight="1" x14ac:dyDescent="0.3">
      <c r="A3041" s="23" t="s">
        <v>15936</v>
      </c>
      <c r="B3041" s="23"/>
      <c r="C3041" s="23" t="s">
        <v>11706</v>
      </c>
      <c r="D3041" s="23" t="str">
        <f t="shared" si="141"/>
        <v>ORD26005642</v>
      </c>
      <c r="E3041" s="38">
        <v>46281</v>
      </c>
      <c r="F3041" s="23" t="s">
        <v>12410</v>
      </c>
      <c r="G3041" s="23" t="s">
        <v>79</v>
      </c>
      <c r="H3041" s="24">
        <v>1298</v>
      </c>
      <c r="I3041" s="24">
        <v>23.36</v>
      </c>
      <c r="J3041" s="24">
        <v>4.2</v>
      </c>
      <c r="K3041" s="24">
        <v>1270.44</v>
      </c>
      <c r="L3041" s="38">
        <v>46283</v>
      </c>
      <c r="M3041" s="23" t="s">
        <v>208</v>
      </c>
      <c r="N3041" s="23" t="str">
        <f>IF(COUNTIF($A$2:A3041,A3041)&gt;1,"DUP","OK")</f>
        <v>OK</v>
      </c>
      <c r="O3041" s="23" t="str">
        <f t="shared" si="142"/>
        <v>ORD26005642</v>
      </c>
      <c r="P3041" s="23" t="str">
        <f t="shared" si="143"/>
        <v>Sep</v>
      </c>
      <c r="Q3041" s="23" t="str">
        <f>IF(F3041="CAPTURE",IF(COUNTIF(orders!$A:$A,O3041)&gt;0,"Yes","NO ORDER"),"")</f>
        <v>Yes</v>
      </c>
    </row>
    <row r="3042" spans="1:17" ht="15" customHeight="1" x14ac:dyDescent="0.3">
      <c r="A3042" s="23" t="s">
        <v>15937</v>
      </c>
      <c r="B3042" s="23"/>
      <c r="C3042" s="23" t="s">
        <v>11774</v>
      </c>
      <c r="D3042" s="23" t="str">
        <f t="shared" si="141"/>
        <v>ORD26005678</v>
      </c>
      <c r="E3042" s="38">
        <v>46281</v>
      </c>
      <c r="F3042" s="23" t="s">
        <v>12410</v>
      </c>
      <c r="G3042" s="23" t="s">
        <v>75</v>
      </c>
      <c r="H3042" s="24">
        <v>3348</v>
      </c>
      <c r="I3042" s="24">
        <v>10.039999999999999</v>
      </c>
      <c r="J3042" s="24">
        <v>1.81</v>
      </c>
      <c r="K3042" s="24">
        <v>3336.15</v>
      </c>
      <c r="L3042" s="38">
        <v>46283</v>
      </c>
      <c r="M3042" s="23" t="s">
        <v>208</v>
      </c>
      <c r="N3042" s="23" t="str">
        <f>IF(COUNTIF($A$2:A3042,A3042)&gt;1,"DUP","OK")</f>
        <v>OK</v>
      </c>
      <c r="O3042" s="23" t="str">
        <f t="shared" si="142"/>
        <v>ORD26005678</v>
      </c>
      <c r="P3042" s="23" t="str">
        <f t="shared" si="143"/>
        <v>Sep</v>
      </c>
      <c r="Q3042" s="23" t="str">
        <f>IF(F3042="CAPTURE",IF(COUNTIF(orders!$A:$A,O3042)&gt;0,"Yes","NO ORDER"),"")</f>
        <v>Yes</v>
      </c>
    </row>
    <row r="3043" spans="1:17" ht="15" customHeight="1" x14ac:dyDescent="0.3">
      <c r="A3043" s="23" t="s">
        <v>15938</v>
      </c>
      <c r="B3043" s="23"/>
      <c r="C3043" s="23" t="s">
        <v>11829</v>
      </c>
      <c r="D3043" s="23" t="str">
        <f t="shared" si="141"/>
        <v>ORD26005706</v>
      </c>
      <c r="E3043" s="38">
        <v>46281</v>
      </c>
      <c r="F3043" s="23" t="s">
        <v>12410</v>
      </c>
      <c r="G3043" s="23" t="s">
        <v>79</v>
      </c>
      <c r="H3043" s="24">
        <v>5998</v>
      </c>
      <c r="I3043" s="24">
        <v>95.97</v>
      </c>
      <c r="J3043" s="24">
        <v>17.27</v>
      </c>
      <c r="K3043" s="24">
        <v>5884.76</v>
      </c>
      <c r="L3043" s="38">
        <v>46283</v>
      </c>
      <c r="M3043" s="23" t="s">
        <v>208</v>
      </c>
      <c r="N3043" s="23" t="str">
        <f>IF(COUNTIF($A$2:A3043,A3043)&gt;1,"DUP","OK")</f>
        <v>OK</v>
      </c>
      <c r="O3043" s="23" t="str">
        <f t="shared" si="142"/>
        <v>ORD26005706</v>
      </c>
      <c r="P3043" s="23" t="str">
        <f t="shared" si="143"/>
        <v>Sep</v>
      </c>
      <c r="Q3043" s="23" t="str">
        <f>IF(F3043="CAPTURE",IF(COUNTIF(orders!$A:$A,O3043)&gt;0,"Yes","NO ORDER"),"")</f>
        <v>Yes</v>
      </c>
    </row>
    <row r="3044" spans="1:17" ht="15" customHeight="1" x14ac:dyDescent="0.3">
      <c r="A3044" s="23" t="s">
        <v>15939</v>
      </c>
      <c r="B3044" s="23"/>
      <c r="C3044" s="23" t="s">
        <v>11885</v>
      </c>
      <c r="D3044" s="23" t="str">
        <f t="shared" si="141"/>
        <v>ORD26005735</v>
      </c>
      <c r="E3044" s="38">
        <v>46281</v>
      </c>
      <c r="F3044" s="23" t="s">
        <v>12410</v>
      </c>
      <c r="G3044" s="23" t="s">
        <v>81</v>
      </c>
      <c r="H3044" s="24">
        <v>3098</v>
      </c>
      <c r="I3044" s="24">
        <v>37.18</v>
      </c>
      <c r="J3044" s="24">
        <v>6.69</v>
      </c>
      <c r="K3044" s="24">
        <v>3054.13</v>
      </c>
      <c r="L3044" s="38">
        <v>46283</v>
      </c>
      <c r="M3044" s="23" t="s">
        <v>208</v>
      </c>
      <c r="N3044" s="23" t="str">
        <f>IF(COUNTIF($A$2:A3044,A3044)&gt;1,"DUP","OK")</f>
        <v>OK</v>
      </c>
      <c r="O3044" s="23" t="str">
        <f t="shared" si="142"/>
        <v>ORD26005735</v>
      </c>
      <c r="P3044" s="23" t="str">
        <f t="shared" si="143"/>
        <v>Sep</v>
      </c>
      <c r="Q3044" s="23" t="str">
        <f>IF(F3044="CAPTURE",IF(COUNTIF(orders!$A:$A,O3044)&gt;0,"Yes","NO ORDER"),"")</f>
        <v>Yes</v>
      </c>
    </row>
    <row r="3045" spans="1:17" ht="15" customHeight="1" x14ac:dyDescent="0.3">
      <c r="A3045" s="23" t="s">
        <v>15940</v>
      </c>
      <c r="B3045" s="23"/>
      <c r="C3045" s="23" t="s">
        <v>11911</v>
      </c>
      <c r="D3045" s="23" t="str">
        <f t="shared" si="141"/>
        <v>ORD26005748</v>
      </c>
      <c r="E3045" s="38">
        <v>46281</v>
      </c>
      <c r="F3045" s="23" t="s">
        <v>12410</v>
      </c>
      <c r="G3045" s="23" t="s">
        <v>79</v>
      </c>
      <c r="H3045" s="24">
        <v>11797</v>
      </c>
      <c r="I3045" s="24">
        <v>188.75</v>
      </c>
      <c r="J3045" s="24">
        <v>33.979999999999997</v>
      </c>
      <c r="K3045" s="24">
        <v>11574.27</v>
      </c>
      <c r="L3045" s="38">
        <v>46283</v>
      </c>
      <c r="M3045" s="23" t="s">
        <v>208</v>
      </c>
      <c r="N3045" s="23" t="str">
        <f>IF(COUNTIF($A$2:A3045,A3045)&gt;1,"DUP","OK")</f>
        <v>OK</v>
      </c>
      <c r="O3045" s="23" t="str">
        <f t="shared" si="142"/>
        <v>ORD26005748</v>
      </c>
      <c r="P3045" s="23" t="str">
        <f t="shared" si="143"/>
        <v>Sep</v>
      </c>
      <c r="Q3045" s="23" t="str">
        <f>IF(F3045="CAPTURE",IF(COUNTIF(orders!$A:$A,O3045)&gt;0,"Yes","NO ORDER"),"")</f>
        <v>Yes</v>
      </c>
    </row>
    <row r="3046" spans="1:17" ht="15" customHeight="1" x14ac:dyDescent="0.3">
      <c r="A3046" s="23" t="s">
        <v>15941</v>
      </c>
      <c r="B3046" s="23"/>
      <c r="C3046" s="23" t="s">
        <v>11917</v>
      </c>
      <c r="D3046" s="23" t="str">
        <f t="shared" si="141"/>
        <v>ORD26005751</v>
      </c>
      <c r="E3046" s="38">
        <v>46281</v>
      </c>
      <c r="F3046" s="23" t="s">
        <v>12410</v>
      </c>
      <c r="G3046" s="23" t="s">
        <v>81</v>
      </c>
      <c r="H3046" s="24">
        <v>1848</v>
      </c>
      <c r="I3046" s="24">
        <v>27.72</v>
      </c>
      <c r="J3046" s="24">
        <v>4.99</v>
      </c>
      <c r="K3046" s="24">
        <v>1815.29</v>
      </c>
      <c r="L3046" s="38">
        <v>46283</v>
      </c>
      <c r="M3046" s="23" t="s">
        <v>208</v>
      </c>
      <c r="N3046" s="23" t="str">
        <f>IF(COUNTIF($A$2:A3046,A3046)&gt;1,"DUP","OK")</f>
        <v>OK</v>
      </c>
      <c r="O3046" s="23" t="str">
        <f t="shared" si="142"/>
        <v>ORD26005751</v>
      </c>
      <c r="P3046" s="23" t="str">
        <f t="shared" si="143"/>
        <v>Sep</v>
      </c>
      <c r="Q3046" s="23" t="str">
        <f>IF(F3046="CAPTURE",IF(COUNTIF(orders!$A:$A,O3046)&gt;0,"Yes","NO ORDER"),"")</f>
        <v>Yes</v>
      </c>
    </row>
    <row r="3047" spans="1:17" ht="15" customHeight="1" x14ac:dyDescent="0.3">
      <c r="A3047" s="23" t="s">
        <v>15942</v>
      </c>
      <c r="B3047" s="23"/>
      <c r="C3047" s="23" t="s">
        <v>11997</v>
      </c>
      <c r="D3047" s="23" t="str">
        <f t="shared" si="141"/>
        <v>ORD26005793</v>
      </c>
      <c r="E3047" s="38">
        <v>46281</v>
      </c>
      <c r="F3047" s="23" t="s">
        <v>12410</v>
      </c>
      <c r="G3047" s="23" t="s">
        <v>75</v>
      </c>
      <c r="H3047" s="24">
        <v>648</v>
      </c>
      <c r="I3047" s="24">
        <v>0</v>
      </c>
      <c r="J3047" s="24">
        <v>0</v>
      </c>
      <c r="K3047" s="24">
        <v>648</v>
      </c>
      <c r="L3047" s="38">
        <v>46283</v>
      </c>
      <c r="M3047" s="23" t="s">
        <v>208</v>
      </c>
      <c r="N3047" s="23" t="str">
        <f>IF(COUNTIF($A$2:A3047,A3047)&gt;1,"DUP","OK")</f>
        <v>OK</v>
      </c>
      <c r="O3047" s="23" t="str">
        <f t="shared" si="142"/>
        <v>ORD26005793</v>
      </c>
      <c r="P3047" s="23" t="str">
        <f t="shared" si="143"/>
        <v>Sep</v>
      </c>
      <c r="Q3047" s="23" t="str">
        <f>IF(F3047="CAPTURE",IF(COUNTIF(orders!$A:$A,O3047)&gt;0,"Yes","NO ORDER"),"")</f>
        <v>Yes</v>
      </c>
    </row>
    <row r="3048" spans="1:17" ht="15" customHeight="1" x14ac:dyDescent="0.3">
      <c r="A3048" s="23" t="s">
        <v>15943</v>
      </c>
      <c r="B3048" s="23"/>
      <c r="C3048" s="23" t="s">
        <v>15944</v>
      </c>
      <c r="D3048" s="23" t="str">
        <f t="shared" si="141"/>
        <v>ORD26005863</v>
      </c>
      <c r="E3048" s="38">
        <v>46281</v>
      </c>
      <c r="F3048" s="23" t="s">
        <v>12410</v>
      </c>
      <c r="G3048" s="23" t="s">
        <v>77</v>
      </c>
      <c r="H3048" s="24">
        <v>999</v>
      </c>
      <c r="I3048" s="24">
        <v>18.98</v>
      </c>
      <c r="J3048" s="24">
        <v>3.42</v>
      </c>
      <c r="K3048" s="24">
        <v>976.6</v>
      </c>
      <c r="L3048" s="38">
        <v>46283</v>
      </c>
      <c r="M3048" s="23" t="s">
        <v>208</v>
      </c>
      <c r="N3048" s="23" t="str">
        <f>IF(COUNTIF($A$2:A3048,A3048)&gt;1,"DUP","OK")</f>
        <v>OK</v>
      </c>
      <c r="O3048" s="23" t="str">
        <f t="shared" si="142"/>
        <v>ORD26005863</v>
      </c>
      <c r="P3048" s="23" t="str">
        <f t="shared" si="143"/>
        <v>Sep</v>
      </c>
      <c r="Q3048" s="23" t="str">
        <f>IF(F3048="CAPTURE",IF(COUNTIF(orders!$A:$A,O3048)&gt;0,"Yes","NO ORDER"),"")</f>
        <v>Yes</v>
      </c>
    </row>
    <row r="3049" spans="1:17" ht="15" customHeight="1" x14ac:dyDescent="0.3">
      <c r="A3049" s="23" t="s">
        <v>15945</v>
      </c>
      <c r="B3049" s="23"/>
      <c r="C3049" s="23" t="s">
        <v>12140</v>
      </c>
      <c r="D3049" s="23" t="str">
        <f t="shared" si="141"/>
        <v>ORD26005868</v>
      </c>
      <c r="E3049" s="38">
        <v>46281</v>
      </c>
      <c r="F3049" s="23" t="s">
        <v>12410</v>
      </c>
      <c r="G3049" s="23" t="s">
        <v>75</v>
      </c>
      <c r="H3049" s="24">
        <v>5097</v>
      </c>
      <c r="I3049" s="24">
        <v>15.29</v>
      </c>
      <c r="J3049" s="24">
        <v>2.75</v>
      </c>
      <c r="K3049" s="24">
        <v>5078.96</v>
      </c>
      <c r="L3049" s="38">
        <v>46283</v>
      </c>
      <c r="M3049" s="23" t="s">
        <v>208</v>
      </c>
      <c r="N3049" s="23" t="str">
        <f>IF(COUNTIF($A$2:A3049,A3049)&gt;1,"DUP","OK")</f>
        <v>OK</v>
      </c>
      <c r="O3049" s="23" t="str">
        <f t="shared" si="142"/>
        <v>ORD26005868</v>
      </c>
      <c r="P3049" s="23" t="str">
        <f t="shared" si="143"/>
        <v>Sep</v>
      </c>
      <c r="Q3049" s="23" t="str">
        <f>IF(F3049="CAPTURE",IF(COUNTIF(orders!$A:$A,O3049)&gt;0,"Yes","NO ORDER"),"")</f>
        <v>Yes</v>
      </c>
    </row>
    <row r="3050" spans="1:17" ht="15" customHeight="1" x14ac:dyDescent="0.3">
      <c r="A3050" s="23" t="s">
        <v>15946</v>
      </c>
      <c r="B3050" s="23"/>
      <c r="C3050" s="23" t="s">
        <v>12196</v>
      </c>
      <c r="D3050" s="23" t="str">
        <f t="shared" si="141"/>
        <v>ORD26005898</v>
      </c>
      <c r="E3050" s="38">
        <v>46281</v>
      </c>
      <c r="F3050" s="23" t="s">
        <v>12410</v>
      </c>
      <c r="G3050" s="23" t="s">
        <v>75</v>
      </c>
      <c r="H3050" s="24">
        <v>1997</v>
      </c>
      <c r="I3050" s="24">
        <v>0</v>
      </c>
      <c r="J3050" s="24">
        <v>0</v>
      </c>
      <c r="K3050" s="24">
        <v>1997</v>
      </c>
      <c r="L3050" s="38">
        <v>46283</v>
      </c>
      <c r="M3050" s="23" t="s">
        <v>208</v>
      </c>
      <c r="N3050" s="23" t="str">
        <f>IF(COUNTIF($A$2:A3050,A3050)&gt;1,"DUP","OK")</f>
        <v>OK</v>
      </c>
      <c r="O3050" s="23" t="str">
        <f t="shared" si="142"/>
        <v>ORD26005898</v>
      </c>
      <c r="P3050" s="23" t="str">
        <f t="shared" si="143"/>
        <v>Sep</v>
      </c>
      <c r="Q3050" s="23" t="str">
        <f>IF(F3050="CAPTURE",IF(COUNTIF(orders!$A:$A,O3050)&gt;0,"Yes","NO ORDER"),"")</f>
        <v>Yes</v>
      </c>
    </row>
    <row r="3051" spans="1:17" ht="15" customHeight="1" x14ac:dyDescent="0.3">
      <c r="A3051" s="23" t="s">
        <v>15947</v>
      </c>
      <c r="B3051" s="23"/>
      <c r="C3051" s="23" t="s">
        <v>15948</v>
      </c>
      <c r="D3051" s="23" t="str">
        <f t="shared" si="141"/>
        <v>ORD26005901</v>
      </c>
      <c r="E3051" s="38">
        <v>46281</v>
      </c>
      <c r="F3051" s="23" t="s">
        <v>12410</v>
      </c>
      <c r="G3051" s="23" t="s">
        <v>75</v>
      </c>
      <c r="H3051" s="24">
        <v>2597</v>
      </c>
      <c r="I3051" s="24">
        <v>7.79</v>
      </c>
      <c r="J3051" s="24">
        <v>1.4</v>
      </c>
      <c r="K3051" s="24">
        <v>2587.81</v>
      </c>
      <c r="L3051" s="38">
        <v>46283</v>
      </c>
      <c r="M3051" s="23" t="s">
        <v>208</v>
      </c>
      <c r="N3051" s="23" t="str">
        <f>IF(COUNTIF($A$2:A3051,A3051)&gt;1,"DUP","OK")</f>
        <v>OK</v>
      </c>
      <c r="O3051" s="23" t="str">
        <f t="shared" si="142"/>
        <v>ORD26005901</v>
      </c>
      <c r="P3051" s="23" t="str">
        <f t="shared" si="143"/>
        <v>Sep</v>
      </c>
      <c r="Q3051" s="23" t="str">
        <f>IF(F3051="CAPTURE",IF(COUNTIF(orders!$A:$A,O3051)&gt;0,"Yes","NO ORDER"),"")</f>
        <v>Yes</v>
      </c>
    </row>
    <row r="3052" spans="1:17" ht="15" customHeight="1" x14ac:dyDescent="0.3">
      <c r="A3052" s="23" t="s">
        <v>15949</v>
      </c>
      <c r="B3052" s="23"/>
      <c r="C3052" s="23" t="s">
        <v>12334</v>
      </c>
      <c r="D3052" s="23" t="str">
        <f t="shared" si="141"/>
        <v>ORD26005971</v>
      </c>
      <c r="E3052" s="38">
        <v>46281</v>
      </c>
      <c r="F3052" s="23" t="s">
        <v>12410</v>
      </c>
      <c r="G3052" s="23" t="s">
        <v>75</v>
      </c>
      <c r="H3052" s="24">
        <v>5797</v>
      </c>
      <c r="I3052" s="24">
        <v>17.39</v>
      </c>
      <c r="J3052" s="24">
        <v>3.13</v>
      </c>
      <c r="K3052" s="24">
        <v>5776.48</v>
      </c>
      <c r="L3052" s="38">
        <v>46283</v>
      </c>
      <c r="M3052" s="23" t="s">
        <v>208</v>
      </c>
      <c r="N3052" s="23" t="str">
        <f>IF(COUNTIF($A$2:A3052,A3052)&gt;1,"DUP","OK")</f>
        <v>OK</v>
      </c>
      <c r="O3052" s="23" t="str">
        <f t="shared" si="142"/>
        <v>ORD26005971</v>
      </c>
      <c r="P3052" s="23" t="str">
        <f t="shared" si="143"/>
        <v>Sep</v>
      </c>
      <c r="Q3052" s="23" t="str">
        <f>IF(F3052="CAPTURE",IF(COUNTIF(orders!$A:$A,O3052)&gt;0,"Yes","NO ORDER"),"")</f>
        <v>Yes</v>
      </c>
    </row>
    <row r="3053" spans="1:17" ht="15" customHeight="1" x14ac:dyDescent="0.3">
      <c r="A3053" s="23" t="s">
        <v>15950</v>
      </c>
      <c r="B3053" s="23" t="s">
        <v>14669</v>
      </c>
      <c r="C3053" s="23"/>
      <c r="D3053" s="23" t="str">
        <f t="shared" si="141"/>
        <v/>
      </c>
      <c r="E3053" s="38">
        <v>46281</v>
      </c>
      <c r="F3053" s="23" t="s">
        <v>12791</v>
      </c>
      <c r="G3053" s="23" t="s">
        <v>75</v>
      </c>
      <c r="H3053" s="24">
        <v>2848</v>
      </c>
      <c r="I3053" s="24">
        <v>0</v>
      </c>
      <c r="J3053" s="24">
        <v>0</v>
      </c>
      <c r="K3053" s="24">
        <v>-2848</v>
      </c>
      <c r="L3053" s="38">
        <v>46283</v>
      </c>
      <c r="M3053" s="23" t="s">
        <v>208</v>
      </c>
      <c r="N3053" s="23" t="str">
        <f>IF(COUNTIF($A$2:A3053,A3053)&gt;1,"DUP","OK")</f>
        <v>OK</v>
      </c>
      <c r="O3053" s="23" t="str">
        <f t="shared" si="142"/>
        <v>ORD26002821</v>
      </c>
      <c r="P3053" s="23" t="str">
        <f t="shared" si="143"/>
        <v>Sep</v>
      </c>
      <c r="Q3053" s="23" t="str">
        <f>IF(F3053="CAPTURE",IF(COUNTIF(orders!$A:$A,O3053)&gt;0,"Yes","NO ORDER"),"")</f>
        <v/>
      </c>
    </row>
    <row r="3054" spans="1:17" ht="15" customHeight="1" x14ac:dyDescent="0.3">
      <c r="A3054" s="23" t="s">
        <v>15951</v>
      </c>
      <c r="B3054" s="23" t="s">
        <v>15550</v>
      </c>
      <c r="C3054" s="23"/>
      <c r="D3054" s="23" t="str">
        <f t="shared" si="141"/>
        <v/>
      </c>
      <c r="E3054" s="38">
        <v>46281</v>
      </c>
      <c r="F3054" s="23" t="s">
        <v>12791</v>
      </c>
      <c r="G3054" s="23" t="s">
        <v>75</v>
      </c>
      <c r="H3054" s="24">
        <v>299</v>
      </c>
      <c r="I3054" s="24">
        <v>0</v>
      </c>
      <c r="J3054" s="24">
        <v>0</v>
      </c>
      <c r="K3054" s="24">
        <v>-299</v>
      </c>
      <c r="L3054" s="38">
        <v>46283</v>
      </c>
      <c r="M3054" s="23" t="s">
        <v>208</v>
      </c>
      <c r="N3054" s="23" t="str">
        <f>IF(COUNTIF($A$2:A3054,A3054)&gt;1,"DUP","OK")</f>
        <v>OK</v>
      </c>
      <c r="O3054" s="23" t="str">
        <f t="shared" si="142"/>
        <v>ORD26000324</v>
      </c>
      <c r="P3054" s="23" t="str">
        <f t="shared" si="143"/>
        <v>Sep</v>
      </c>
      <c r="Q3054" s="23" t="str">
        <f>IF(F3054="CAPTURE",IF(COUNTIF(orders!$A:$A,O3054)&gt;0,"Yes","NO ORDER"),"")</f>
        <v/>
      </c>
    </row>
    <row r="3055" spans="1:17" ht="15" customHeight="1" x14ac:dyDescent="0.3">
      <c r="A3055" s="23" t="s">
        <v>15952</v>
      </c>
      <c r="B3055" s="23" t="s">
        <v>15013</v>
      </c>
      <c r="C3055" s="23"/>
      <c r="D3055" s="23" t="str">
        <f t="shared" si="141"/>
        <v/>
      </c>
      <c r="E3055" s="38">
        <v>46281</v>
      </c>
      <c r="F3055" s="23" t="s">
        <v>12791</v>
      </c>
      <c r="G3055" s="23" t="s">
        <v>77</v>
      </c>
      <c r="H3055" s="24">
        <v>2499</v>
      </c>
      <c r="I3055" s="24">
        <v>0</v>
      </c>
      <c r="J3055" s="24">
        <v>0</v>
      </c>
      <c r="K3055" s="24">
        <v>-2499</v>
      </c>
      <c r="L3055" s="38">
        <v>46283</v>
      </c>
      <c r="M3055" s="23" t="s">
        <v>208</v>
      </c>
      <c r="N3055" s="23" t="str">
        <f>IF(COUNTIF($A$2:A3055,A3055)&gt;1,"DUP","OK")</f>
        <v>OK</v>
      </c>
      <c r="O3055" s="23" t="str">
        <f t="shared" si="142"/>
        <v>ORD26005456</v>
      </c>
      <c r="P3055" s="23" t="str">
        <f t="shared" si="143"/>
        <v>Sep</v>
      </c>
      <c r="Q3055" s="23" t="str">
        <f>IF(F3055="CAPTURE",IF(COUNTIF(orders!$A:$A,O3055)&gt;0,"Yes","NO ORDER"),"")</f>
        <v/>
      </c>
    </row>
    <row r="3056" spans="1:17" ht="15" customHeight="1" x14ac:dyDescent="0.3">
      <c r="A3056" s="23" t="s">
        <v>15953</v>
      </c>
      <c r="B3056" s="23" t="s">
        <v>14446</v>
      </c>
      <c r="C3056" s="23"/>
      <c r="D3056" s="23" t="str">
        <f t="shared" si="141"/>
        <v/>
      </c>
      <c r="E3056" s="38">
        <v>46281</v>
      </c>
      <c r="F3056" s="23" t="s">
        <v>12791</v>
      </c>
      <c r="G3056" s="23" t="s">
        <v>75</v>
      </c>
      <c r="H3056" s="24">
        <v>2798</v>
      </c>
      <c r="I3056" s="24">
        <v>0</v>
      </c>
      <c r="J3056" s="24">
        <v>0</v>
      </c>
      <c r="K3056" s="24">
        <v>-2798</v>
      </c>
      <c r="L3056" s="38">
        <v>46283</v>
      </c>
      <c r="M3056" s="23" t="s">
        <v>208</v>
      </c>
      <c r="N3056" s="23" t="str">
        <f>IF(COUNTIF($A$2:A3056,A3056)&gt;1,"DUP","OK")</f>
        <v>OK</v>
      </c>
      <c r="O3056" s="23" t="str">
        <f t="shared" si="142"/>
        <v>ORD26002242</v>
      </c>
      <c r="P3056" s="23" t="str">
        <f t="shared" si="143"/>
        <v>Sep</v>
      </c>
      <c r="Q3056" s="23" t="str">
        <f>IF(F3056="CAPTURE",IF(COUNTIF(orders!$A:$A,O3056)&gt;0,"Yes","NO ORDER"),"")</f>
        <v/>
      </c>
    </row>
    <row r="3057" spans="1:17" ht="15" customHeight="1" x14ac:dyDescent="0.3">
      <c r="A3057" s="23" t="s">
        <v>15954</v>
      </c>
      <c r="B3057" s="23"/>
      <c r="C3057" s="23" t="s">
        <v>308</v>
      </c>
      <c r="D3057" s="23" t="str">
        <f t="shared" si="141"/>
        <v>ORD26000021</v>
      </c>
      <c r="E3057" s="38">
        <v>46282</v>
      </c>
      <c r="F3057" s="23" t="s">
        <v>12410</v>
      </c>
      <c r="G3057" s="23" t="s">
        <v>81</v>
      </c>
      <c r="H3057" s="24">
        <v>7999</v>
      </c>
      <c r="I3057" s="24">
        <v>95.99</v>
      </c>
      <c r="J3057" s="24">
        <v>17.28</v>
      </c>
      <c r="K3057" s="24">
        <v>7885.73</v>
      </c>
      <c r="L3057" s="38">
        <v>46284</v>
      </c>
      <c r="M3057" s="23" t="s">
        <v>210</v>
      </c>
      <c r="N3057" s="23" t="str">
        <f>IF(COUNTIF($A$2:A3057,A3057)&gt;1,"DUP","OK")</f>
        <v>OK</v>
      </c>
      <c r="O3057" s="23" t="str">
        <f t="shared" si="142"/>
        <v>ORD26000021</v>
      </c>
      <c r="P3057" s="23" t="str">
        <f t="shared" si="143"/>
        <v>Sep</v>
      </c>
      <c r="Q3057" s="23" t="str">
        <f>IF(F3057="CAPTURE",IF(COUNTIF(orders!$A:$A,O3057)&gt;0,"Yes","NO ORDER"),"")</f>
        <v>Yes</v>
      </c>
    </row>
    <row r="3058" spans="1:17" ht="15" customHeight="1" x14ac:dyDescent="0.3">
      <c r="A3058" s="23" t="s">
        <v>15955</v>
      </c>
      <c r="B3058" s="23"/>
      <c r="C3058" s="23" t="s">
        <v>15956</v>
      </c>
      <c r="D3058" s="23" t="str">
        <f t="shared" si="141"/>
        <v>ORD26000072</v>
      </c>
      <c r="E3058" s="38">
        <v>46282</v>
      </c>
      <c r="F3058" s="23" t="s">
        <v>12410</v>
      </c>
      <c r="G3058" s="23" t="s">
        <v>79</v>
      </c>
      <c r="H3058" s="24">
        <v>9998</v>
      </c>
      <c r="I3058" s="24">
        <v>159.97</v>
      </c>
      <c r="J3058" s="24">
        <v>28.79</v>
      </c>
      <c r="K3058" s="24">
        <v>9809.24</v>
      </c>
      <c r="L3058" s="38">
        <v>46284</v>
      </c>
      <c r="M3058" s="23" t="s">
        <v>210</v>
      </c>
      <c r="N3058" s="23" t="str">
        <f>IF(COUNTIF($A$2:A3058,A3058)&gt;1,"DUP","OK")</f>
        <v>OK</v>
      </c>
      <c r="O3058" s="23" t="str">
        <f t="shared" si="142"/>
        <v>ORD26000072</v>
      </c>
      <c r="P3058" s="23" t="str">
        <f t="shared" si="143"/>
        <v>Sep</v>
      </c>
      <c r="Q3058" s="23" t="str">
        <f>IF(F3058="CAPTURE",IF(COUNTIF(orders!$A:$A,O3058)&gt;0,"Yes","NO ORDER"),"")</f>
        <v>Yes</v>
      </c>
    </row>
    <row r="3059" spans="1:17" ht="15" customHeight="1" x14ac:dyDescent="0.3">
      <c r="A3059" s="23" t="s">
        <v>15957</v>
      </c>
      <c r="B3059" s="23"/>
      <c r="C3059" s="23" t="s">
        <v>479</v>
      </c>
      <c r="D3059" s="23" t="str">
        <f t="shared" si="141"/>
        <v>ORD26000088</v>
      </c>
      <c r="E3059" s="38">
        <v>46282</v>
      </c>
      <c r="F3059" s="23" t="s">
        <v>12410</v>
      </c>
      <c r="G3059" s="23" t="s">
        <v>79</v>
      </c>
      <c r="H3059" s="24">
        <v>1299</v>
      </c>
      <c r="I3059" s="24">
        <v>23.38</v>
      </c>
      <c r="J3059" s="24">
        <v>4.21</v>
      </c>
      <c r="K3059" s="24">
        <v>1271.4100000000001</v>
      </c>
      <c r="L3059" s="38">
        <v>46284</v>
      </c>
      <c r="M3059" s="23" t="s">
        <v>210</v>
      </c>
      <c r="N3059" s="23" t="str">
        <f>IF(COUNTIF($A$2:A3059,A3059)&gt;1,"DUP","OK")</f>
        <v>OK</v>
      </c>
      <c r="O3059" s="23" t="str">
        <f t="shared" si="142"/>
        <v>ORD26000088</v>
      </c>
      <c r="P3059" s="23" t="str">
        <f t="shared" si="143"/>
        <v>Sep</v>
      </c>
      <c r="Q3059" s="23" t="str">
        <f>IF(F3059="CAPTURE",IF(COUNTIF(orders!$A:$A,O3059)&gt;0,"Yes","NO ORDER"),"")</f>
        <v>Yes</v>
      </c>
    </row>
    <row r="3060" spans="1:17" ht="15" customHeight="1" x14ac:dyDescent="0.3">
      <c r="A3060" s="23" t="s">
        <v>15958</v>
      </c>
      <c r="B3060" s="23"/>
      <c r="C3060" s="23" t="s">
        <v>583</v>
      </c>
      <c r="D3060" s="23" t="str">
        <f t="shared" si="141"/>
        <v>ORD26000132</v>
      </c>
      <c r="E3060" s="38">
        <v>46282</v>
      </c>
      <c r="F3060" s="23" t="s">
        <v>12410</v>
      </c>
      <c r="G3060" s="23" t="s">
        <v>79</v>
      </c>
      <c r="H3060" s="24">
        <v>1299</v>
      </c>
      <c r="I3060" s="24">
        <v>23.38</v>
      </c>
      <c r="J3060" s="24">
        <v>4.21</v>
      </c>
      <c r="K3060" s="24">
        <v>1271.4100000000001</v>
      </c>
      <c r="L3060" s="38">
        <v>46284</v>
      </c>
      <c r="M3060" s="23" t="s">
        <v>210</v>
      </c>
      <c r="N3060" s="23" t="str">
        <f>IF(COUNTIF($A$2:A3060,A3060)&gt;1,"DUP","OK")</f>
        <v>OK</v>
      </c>
      <c r="O3060" s="23" t="str">
        <f t="shared" si="142"/>
        <v>ORD26000132</v>
      </c>
      <c r="P3060" s="23" t="str">
        <f t="shared" si="143"/>
        <v>Sep</v>
      </c>
      <c r="Q3060" s="23" t="str">
        <f>IF(F3060="CAPTURE",IF(COUNTIF(orders!$A:$A,O3060)&gt;0,"Yes","NO ORDER"),"")</f>
        <v>Yes</v>
      </c>
    </row>
    <row r="3061" spans="1:17" ht="15" customHeight="1" x14ac:dyDescent="0.3">
      <c r="A3061" s="23" t="s">
        <v>15959</v>
      </c>
      <c r="B3061" s="23"/>
      <c r="C3061" s="23" t="s">
        <v>605</v>
      </c>
      <c r="D3061" s="23" t="str">
        <f t="shared" si="141"/>
        <v>ORD26000142</v>
      </c>
      <c r="E3061" s="38">
        <v>46282</v>
      </c>
      <c r="F3061" s="23" t="s">
        <v>12410</v>
      </c>
      <c r="G3061" s="23" t="s">
        <v>79</v>
      </c>
      <c r="H3061" s="24">
        <v>8847</v>
      </c>
      <c r="I3061" s="24">
        <v>141.55000000000001</v>
      </c>
      <c r="J3061" s="24">
        <v>25.48</v>
      </c>
      <c r="K3061" s="24">
        <v>8679.9699999999993</v>
      </c>
      <c r="L3061" s="38">
        <v>46284</v>
      </c>
      <c r="M3061" s="23" t="s">
        <v>210</v>
      </c>
      <c r="N3061" s="23" t="str">
        <f>IF(COUNTIF($A$2:A3061,A3061)&gt;1,"DUP","OK")</f>
        <v>OK</v>
      </c>
      <c r="O3061" s="23" t="str">
        <f t="shared" si="142"/>
        <v>ORD26000142</v>
      </c>
      <c r="P3061" s="23" t="str">
        <f t="shared" si="143"/>
        <v>Sep</v>
      </c>
      <c r="Q3061" s="23" t="str">
        <f>IF(F3061="CAPTURE",IF(COUNTIF(orders!$A:$A,O3061)&gt;0,"Yes","NO ORDER"),"")</f>
        <v>Yes</v>
      </c>
    </row>
    <row r="3062" spans="1:17" ht="15" customHeight="1" x14ac:dyDescent="0.3">
      <c r="A3062" s="23" t="s">
        <v>15960</v>
      </c>
      <c r="B3062" s="23"/>
      <c r="C3062" s="23" t="s">
        <v>625</v>
      </c>
      <c r="D3062" s="23" t="str">
        <f t="shared" si="141"/>
        <v>ORD26000150</v>
      </c>
      <c r="E3062" s="38">
        <v>46282</v>
      </c>
      <c r="F3062" s="23" t="s">
        <v>12410</v>
      </c>
      <c r="G3062" s="23" t="s">
        <v>75</v>
      </c>
      <c r="H3062" s="24">
        <v>999</v>
      </c>
      <c r="I3062" s="24">
        <v>0</v>
      </c>
      <c r="J3062" s="24">
        <v>0</v>
      </c>
      <c r="K3062" s="24">
        <v>999</v>
      </c>
      <c r="L3062" s="38">
        <v>46284</v>
      </c>
      <c r="M3062" s="23" t="s">
        <v>210</v>
      </c>
      <c r="N3062" s="23" t="str">
        <f>IF(COUNTIF($A$2:A3062,A3062)&gt;1,"DUP","OK")</f>
        <v>OK</v>
      </c>
      <c r="O3062" s="23" t="str">
        <f t="shared" si="142"/>
        <v>ORD26000150</v>
      </c>
      <c r="P3062" s="23" t="str">
        <f t="shared" si="143"/>
        <v>Sep</v>
      </c>
      <c r="Q3062" s="23" t="str">
        <f>IF(F3062="CAPTURE",IF(COUNTIF(orders!$A:$A,O3062)&gt;0,"Yes","NO ORDER"),"")</f>
        <v>Yes</v>
      </c>
    </row>
    <row r="3063" spans="1:17" ht="15" customHeight="1" x14ac:dyDescent="0.3">
      <c r="A3063" s="23" t="s">
        <v>15961</v>
      </c>
      <c r="B3063" s="23"/>
      <c r="C3063" s="23" t="s">
        <v>15962</v>
      </c>
      <c r="D3063" s="23" t="str">
        <f t="shared" si="141"/>
        <v>ORD26000167</v>
      </c>
      <c r="E3063" s="38">
        <v>46282</v>
      </c>
      <c r="F3063" s="23" t="s">
        <v>12410</v>
      </c>
      <c r="G3063" s="23" t="s">
        <v>77</v>
      </c>
      <c r="H3063" s="24">
        <v>7999</v>
      </c>
      <c r="I3063" s="24">
        <v>135.97999999999999</v>
      </c>
      <c r="J3063" s="24">
        <v>24.48</v>
      </c>
      <c r="K3063" s="24">
        <v>7838.54</v>
      </c>
      <c r="L3063" s="38">
        <v>46284</v>
      </c>
      <c r="M3063" s="23" t="s">
        <v>210</v>
      </c>
      <c r="N3063" s="23" t="str">
        <f>IF(COUNTIF($A$2:A3063,A3063)&gt;1,"DUP","OK")</f>
        <v>OK</v>
      </c>
      <c r="O3063" s="23" t="str">
        <f t="shared" si="142"/>
        <v>ORD26000167</v>
      </c>
      <c r="P3063" s="23" t="str">
        <f t="shared" si="143"/>
        <v>Sep</v>
      </c>
      <c r="Q3063" s="23" t="str">
        <f>IF(F3063="CAPTURE",IF(COUNTIF(orders!$A:$A,O3063)&gt;0,"Yes","NO ORDER"),"")</f>
        <v>Yes</v>
      </c>
    </row>
    <row r="3064" spans="1:17" ht="15" customHeight="1" x14ac:dyDescent="0.3">
      <c r="A3064" s="23" t="s">
        <v>15963</v>
      </c>
      <c r="B3064" s="23"/>
      <c r="C3064" s="23" t="s">
        <v>755</v>
      </c>
      <c r="D3064" s="23" t="str">
        <f t="shared" si="141"/>
        <v>ORD26000207</v>
      </c>
      <c r="E3064" s="38">
        <v>46282</v>
      </c>
      <c r="F3064" s="23" t="s">
        <v>12410</v>
      </c>
      <c r="G3064" s="23" t="s">
        <v>75</v>
      </c>
      <c r="H3064" s="24">
        <v>3798</v>
      </c>
      <c r="I3064" s="24">
        <v>11.39</v>
      </c>
      <c r="J3064" s="24">
        <v>2.0499999999999998</v>
      </c>
      <c r="K3064" s="24">
        <v>3784.56</v>
      </c>
      <c r="L3064" s="38">
        <v>46284</v>
      </c>
      <c r="M3064" s="23" t="s">
        <v>210</v>
      </c>
      <c r="N3064" s="23" t="str">
        <f>IF(COUNTIF($A$2:A3064,A3064)&gt;1,"DUP","OK")</f>
        <v>OK</v>
      </c>
      <c r="O3064" s="23" t="str">
        <f t="shared" si="142"/>
        <v>ORD26000207</v>
      </c>
      <c r="P3064" s="23" t="str">
        <f t="shared" si="143"/>
        <v>Sep</v>
      </c>
      <c r="Q3064" s="23" t="str">
        <f>IF(F3064="CAPTURE",IF(COUNTIF(orders!$A:$A,O3064)&gt;0,"Yes","NO ORDER"),"")</f>
        <v>Yes</v>
      </c>
    </row>
    <row r="3065" spans="1:17" ht="15" customHeight="1" x14ac:dyDescent="0.3">
      <c r="A3065" s="23" t="s">
        <v>15964</v>
      </c>
      <c r="B3065" s="23"/>
      <c r="C3065" s="23" t="s">
        <v>791</v>
      </c>
      <c r="D3065" s="23" t="str">
        <f t="shared" si="141"/>
        <v>ORD26000220</v>
      </c>
      <c r="E3065" s="38">
        <v>46282</v>
      </c>
      <c r="F3065" s="23" t="s">
        <v>12410</v>
      </c>
      <c r="G3065" s="23" t="s">
        <v>79</v>
      </c>
      <c r="H3065" s="24">
        <v>3798</v>
      </c>
      <c r="I3065" s="24">
        <v>60.77</v>
      </c>
      <c r="J3065" s="24">
        <v>10.94</v>
      </c>
      <c r="K3065" s="24">
        <v>3726.29</v>
      </c>
      <c r="L3065" s="38">
        <v>46284</v>
      </c>
      <c r="M3065" s="23" t="s">
        <v>210</v>
      </c>
      <c r="N3065" s="23" t="str">
        <f>IF(COUNTIF($A$2:A3065,A3065)&gt;1,"DUP","OK")</f>
        <v>OK</v>
      </c>
      <c r="O3065" s="23" t="str">
        <f t="shared" si="142"/>
        <v>ORD26000220</v>
      </c>
      <c r="P3065" s="23" t="str">
        <f t="shared" si="143"/>
        <v>Sep</v>
      </c>
      <c r="Q3065" s="23" t="str">
        <f>IF(F3065="CAPTURE",IF(COUNTIF(orders!$A:$A,O3065)&gt;0,"Yes","NO ORDER"),"")</f>
        <v>Yes</v>
      </c>
    </row>
    <row r="3066" spans="1:17" ht="15" customHeight="1" x14ac:dyDescent="0.3">
      <c r="A3066" s="23" t="s">
        <v>15965</v>
      </c>
      <c r="B3066" s="23"/>
      <c r="C3066" s="23" t="s">
        <v>803</v>
      </c>
      <c r="D3066" s="23" t="str">
        <f t="shared" si="141"/>
        <v>ORD26000225</v>
      </c>
      <c r="E3066" s="38">
        <v>46282</v>
      </c>
      <c r="F3066" s="23" t="s">
        <v>12410</v>
      </c>
      <c r="G3066" s="23" t="s">
        <v>77</v>
      </c>
      <c r="H3066" s="24">
        <v>1397</v>
      </c>
      <c r="I3066" s="24">
        <v>26.54</v>
      </c>
      <c r="J3066" s="24">
        <v>4.78</v>
      </c>
      <c r="K3066" s="24">
        <v>1365.68</v>
      </c>
      <c r="L3066" s="38">
        <v>46284</v>
      </c>
      <c r="M3066" s="23" t="s">
        <v>210</v>
      </c>
      <c r="N3066" s="23" t="str">
        <f>IF(COUNTIF($A$2:A3066,A3066)&gt;1,"DUP","OK")</f>
        <v>OK</v>
      </c>
      <c r="O3066" s="23" t="str">
        <f t="shared" si="142"/>
        <v>ORD26000225</v>
      </c>
      <c r="P3066" s="23" t="str">
        <f t="shared" si="143"/>
        <v>Sep</v>
      </c>
      <c r="Q3066" s="23" t="str">
        <f>IF(F3066="CAPTURE",IF(COUNTIF(orders!$A:$A,O3066)&gt;0,"Yes","NO ORDER"),"")</f>
        <v>Yes</v>
      </c>
    </row>
    <row r="3067" spans="1:17" ht="15" customHeight="1" x14ac:dyDescent="0.3">
      <c r="A3067" s="23" t="s">
        <v>15966</v>
      </c>
      <c r="B3067" s="23"/>
      <c r="C3067" s="23" t="s">
        <v>820</v>
      </c>
      <c r="D3067" s="23" t="str">
        <f t="shared" si="141"/>
        <v>ORD26000232</v>
      </c>
      <c r="E3067" s="38">
        <v>46282</v>
      </c>
      <c r="F3067" s="23" t="s">
        <v>12410</v>
      </c>
      <c r="G3067" s="23" t="s">
        <v>75</v>
      </c>
      <c r="H3067" s="24">
        <v>299</v>
      </c>
      <c r="I3067" s="24">
        <v>0</v>
      </c>
      <c r="J3067" s="24">
        <v>0</v>
      </c>
      <c r="K3067" s="24">
        <v>299</v>
      </c>
      <c r="L3067" s="38">
        <v>46284</v>
      </c>
      <c r="M3067" s="23" t="s">
        <v>210</v>
      </c>
      <c r="N3067" s="23" t="str">
        <f>IF(COUNTIF($A$2:A3067,A3067)&gt;1,"DUP","OK")</f>
        <v>OK</v>
      </c>
      <c r="O3067" s="23" t="str">
        <f t="shared" si="142"/>
        <v>ORD26000232</v>
      </c>
      <c r="P3067" s="23" t="str">
        <f t="shared" si="143"/>
        <v>Sep</v>
      </c>
      <c r="Q3067" s="23" t="str">
        <f>IF(F3067="CAPTURE",IF(COUNTIF(orders!$A:$A,O3067)&gt;0,"Yes","NO ORDER"),"")</f>
        <v>Yes</v>
      </c>
    </row>
    <row r="3068" spans="1:17" ht="15" customHeight="1" x14ac:dyDescent="0.3">
      <c r="A3068" s="23" t="s">
        <v>15967</v>
      </c>
      <c r="B3068" s="23"/>
      <c r="C3068" s="23" t="s">
        <v>928</v>
      </c>
      <c r="D3068" s="23" t="str">
        <f t="shared" si="141"/>
        <v>ORD26000282</v>
      </c>
      <c r="E3068" s="38">
        <v>46282</v>
      </c>
      <c r="F3068" s="23" t="s">
        <v>12410</v>
      </c>
      <c r="G3068" s="23" t="s">
        <v>75</v>
      </c>
      <c r="H3068" s="24">
        <v>7999</v>
      </c>
      <c r="I3068" s="24">
        <v>24</v>
      </c>
      <c r="J3068" s="24">
        <v>4.32</v>
      </c>
      <c r="K3068" s="24">
        <v>7970.68</v>
      </c>
      <c r="L3068" s="38">
        <v>46284</v>
      </c>
      <c r="M3068" s="23" t="s">
        <v>210</v>
      </c>
      <c r="N3068" s="23" t="str">
        <f>IF(COUNTIF($A$2:A3068,A3068)&gt;1,"DUP","OK")</f>
        <v>OK</v>
      </c>
      <c r="O3068" s="23" t="str">
        <f t="shared" si="142"/>
        <v>ORD26000282</v>
      </c>
      <c r="P3068" s="23" t="str">
        <f t="shared" si="143"/>
        <v>Sep</v>
      </c>
      <c r="Q3068" s="23" t="str">
        <f>IF(F3068="CAPTURE",IF(COUNTIF(orders!$A:$A,O3068)&gt;0,"Yes","NO ORDER"),"")</f>
        <v>Yes</v>
      </c>
    </row>
    <row r="3069" spans="1:17" ht="15" customHeight="1" x14ac:dyDescent="0.3">
      <c r="A3069" s="23" t="s">
        <v>15968</v>
      </c>
      <c r="B3069" s="23"/>
      <c r="C3069" s="23" t="s">
        <v>1081</v>
      </c>
      <c r="D3069" s="23" t="str">
        <f t="shared" si="141"/>
        <v>ORD26000352</v>
      </c>
      <c r="E3069" s="38">
        <v>46282</v>
      </c>
      <c r="F3069" s="23" t="s">
        <v>12410</v>
      </c>
      <c r="G3069" s="23" t="s">
        <v>79</v>
      </c>
      <c r="H3069" s="24">
        <v>599</v>
      </c>
      <c r="I3069" s="24">
        <v>10.78</v>
      </c>
      <c r="J3069" s="24">
        <v>1.94</v>
      </c>
      <c r="K3069" s="24">
        <v>586.28</v>
      </c>
      <c r="L3069" s="38">
        <v>46284</v>
      </c>
      <c r="M3069" s="23" t="s">
        <v>210</v>
      </c>
      <c r="N3069" s="23" t="str">
        <f>IF(COUNTIF($A$2:A3069,A3069)&gt;1,"DUP","OK")</f>
        <v>OK</v>
      </c>
      <c r="O3069" s="23" t="str">
        <f t="shared" si="142"/>
        <v>ORD26000352</v>
      </c>
      <c r="P3069" s="23" t="str">
        <f t="shared" si="143"/>
        <v>Sep</v>
      </c>
      <c r="Q3069" s="23" t="str">
        <f>IF(F3069="CAPTURE",IF(COUNTIF(orders!$A:$A,O3069)&gt;0,"Yes","NO ORDER"),"")</f>
        <v>Yes</v>
      </c>
    </row>
    <row r="3070" spans="1:17" ht="15" customHeight="1" x14ac:dyDescent="0.3">
      <c r="A3070" s="23" t="s">
        <v>15969</v>
      </c>
      <c r="B3070" s="23"/>
      <c r="C3070" s="23" t="s">
        <v>1124</v>
      </c>
      <c r="D3070" s="23" t="str">
        <f t="shared" si="141"/>
        <v>ORD26000371</v>
      </c>
      <c r="E3070" s="38">
        <v>46282</v>
      </c>
      <c r="F3070" s="23" t="s">
        <v>12410</v>
      </c>
      <c r="G3070" s="23" t="s">
        <v>77</v>
      </c>
      <c r="H3070" s="24">
        <v>7999</v>
      </c>
      <c r="I3070" s="24">
        <v>135.97999999999999</v>
      </c>
      <c r="J3070" s="24">
        <v>24.48</v>
      </c>
      <c r="K3070" s="24">
        <v>7838.54</v>
      </c>
      <c r="L3070" s="38">
        <v>46284</v>
      </c>
      <c r="M3070" s="23" t="s">
        <v>210</v>
      </c>
      <c r="N3070" s="23" t="str">
        <f>IF(COUNTIF($A$2:A3070,A3070)&gt;1,"DUP","OK")</f>
        <v>OK</v>
      </c>
      <c r="O3070" s="23" t="str">
        <f t="shared" si="142"/>
        <v>ORD26000371</v>
      </c>
      <c r="P3070" s="23" t="str">
        <f t="shared" si="143"/>
        <v>Sep</v>
      </c>
      <c r="Q3070" s="23" t="str">
        <f>IF(F3070="CAPTURE",IF(COUNTIF(orders!$A:$A,O3070)&gt;0,"Yes","NO ORDER"),"")</f>
        <v>Yes</v>
      </c>
    </row>
    <row r="3071" spans="1:17" ht="15" customHeight="1" x14ac:dyDescent="0.3">
      <c r="A3071" s="23" t="s">
        <v>15970</v>
      </c>
      <c r="B3071" s="23"/>
      <c r="C3071" s="23" t="s">
        <v>15971</v>
      </c>
      <c r="D3071" s="23" t="str">
        <f t="shared" si="141"/>
        <v>ORD26000429</v>
      </c>
      <c r="E3071" s="38">
        <v>46282</v>
      </c>
      <c r="F3071" s="23" t="s">
        <v>12410</v>
      </c>
      <c r="G3071" s="23" t="s">
        <v>79</v>
      </c>
      <c r="H3071" s="24">
        <v>5797</v>
      </c>
      <c r="I3071" s="24">
        <v>92.75</v>
      </c>
      <c r="J3071" s="24">
        <v>16.7</v>
      </c>
      <c r="K3071" s="24">
        <v>5687.55</v>
      </c>
      <c r="L3071" s="38">
        <v>46284</v>
      </c>
      <c r="M3071" s="23" t="s">
        <v>210</v>
      </c>
      <c r="N3071" s="23" t="str">
        <f>IF(COUNTIF($A$2:A3071,A3071)&gt;1,"DUP","OK")</f>
        <v>OK</v>
      </c>
      <c r="O3071" s="23" t="str">
        <f t="shared" si="142"/>
        <v>ORD26000429</v>
      </c>
      <c r="P3071" s="23" t="str">
        <f t="shared" si="143"/>
        <v>Sep</v>
      </c>
      <c r="Q3071" s="23" t="str">
        <f>IF(F3071="CAPTURE",IF(COUNTIF(orders!$A:$A,O3071)&gt;0,"Yes","NO ORDER"),"")</f>
        <v>Yes</v>
      </c>
    </row>
    <row r="3072" spans="1:17" ht="15" customHeight="1" x14ac:dyDescent="0.3">
      <c r="A3072" s="23" t="s">
        <v>15972</v>
      </c>
      <c r="B3072" s="23"/>
      <c r="C3072" s="23" t="s">
        <v>1278</v>
      </c>
      <c r="D3072" s="23" t="str">
        <f t="shared" si="141"/>
        <v>ORD26000443</v>
      </c>
      <c r="E3072" s="38">
        <v>46282</v>
      </c>
      <c r="F3072" s="23" t="s">
        <v>12410</v>
      </c>
      <c r="G3072" s="23" t="s">
        <v>75</v>
      </c>
      <c r="H3072" s="24">
        <v>5297</v>
      </c>
      <c r="I3072" s="24">
        <v>15.89</v>
      </c>
      <c r="J3072" s="24">
        <v>2.86</v>
      </c>
      <c r="K3072" s="24">
        <v>5278.25</v>
      </c>
      <c r="L3072" s="38">
        <v>46284</v>
      </c>
      <c r="M3072" s="23" t="s">
        <v>210</v>
      </c>
      <c r="N3072" s="23" t="str">
        <f>IF(COUNTIF($A$2:A3072,A3072)&gt;1,"DUP","OK")</f>
        <v>OK</v>
      </c>
      <c r="O3072" s="23" t="str">
        <f t="shared" si="142"/>
        <v>ORD26000443</v>
      </c>
      <c r="P3072" s="23" t="str">
        <f t="shared" si="143"/>
        <v>Sep</v>
      </c>
      <c r="Q3072" s="23" t="str">
        <f>IF(F3072="CAPTURE",IF(COUNTIF(orders!$A:$A,O3072)&gt;0,"Yes","NO ORDER"),"")</f>
        <v>Yes</v>
      </c>
    </row>
    <row r="3073" spans="1:17" ht="15" customHeight="1" x14ac:dyDescent="0.3">
      <c r="A3073" s="23" t="s">
        <v>15973</v>
      </c>
      <c r="B3073" s="23"/>
      <c r="C3073" s="23" t="s">
        <v>1408</v>
      </c>
      <c r="D3073" s="23" t="str">
        <f t="shared" si="141"/>
        <v>ORD26000502</v>
      </c>
      <c r="E3073" s="38">
        <v>46282</v>
      </c>
      <c r="F3073" s="23" t="s">
        <v>12410</v>
      </c>
      <c r="G3073" s="23" t="s">
        <v>75</v>
      </c>
      <c r="H3073" s="24">
        <v>3298</v>
      </c>
      <c r="I3073" s="24">
        <v>9.89</v>
      </c>
      <c r="J3073" s="24">
        <v>1.78</v>
      </c>
      <c r="K3073" s="24">
        <v>3286.33</v>
      </c>
      <c r="L3073" s="38">
        <v>46284</v>
      </c>
      <c r="M3073" s="23" t="s">
        <v>210</v>
      </c>
      <c r="N3073" s="23" t="str">
        <f>IF(COUNTIF($A$2:A3073,A3073)&gt;1,"DUP","OK")</f>
        <v>OK</v>
      </c>
      <c r="O3073" s="23" t="str">
        <f t="shared" si="142"/>
        <v>ORD26000502</v>
      </c>
      <c r="P3073" s="23" t="str">
        <f t="shared" si="143"/>
        <v>Sep</v>
      </c>
      <c r="Q3073" s="23" t="str">
        <f>IF(F3073="CAPTURE",IF(COUNTIF(orders!$A:$A,O3073)&gt;0,"Yes","NO ORDER"),"")</f>
        <v>Yes</v>
      </c>
    </row>
    <row r="3074" spans="1:17" ht="15" customHeight="1" x14ac:dyDescent="0.3">
      <c r="A3074" s="23" t="s">
        <v>15974</v>
      </c>
      <c r="B3074" s="23"/>
      <c r="C3074" s="23" t="s">
        <v>1503</v>
      </c>
      <c r="D3074" s="23" t="str">
        <f t="shared" ref="D3074:D3137" si="144">UPPER(SUBSTITUTE(TRIM(C3074),"-",""))</f>
        <v>ORD26000544</v>
      </c>
      <c r="E3074" s="38">
        <v>46282</v>
      </c>
      <c r="F3074" s="23" t="s">
        <v>12410</v>
      </c>
      <c r="G3074" s="23" t="s">
        <v>79</v>
      </c>
      <c r="H3074" s="24">
        <v>8298</v>
      </c>
      <c r="I3074" s="24">
        <v>132.77000000000001</v>
      </c>
      <c r="J3074" s="24">
        <v>23.9</v>
      </c>
      <c r="K3074" s="24">
        <v>8141.33</v>
      </c>
      <c r="L3074" s="38">
        <v>46284</v>
      </c>
      <c r="M3074" s="23" t="s">
        <v>210</v>
      </c>
      <c r="N3074" s="23" t="str">
        <f>IF(COUNTIF($A$2:A3074,A3074)&gt;1,"DUP","OK")</f>
        <v>OK</v>
      </c>
      <c r="O3074" s="23" t="str">
        <f t="shared" ref="O3074:O3137" si="145">IF(F3074="REFUND",INDEX($D:$D,MATCH(B3074,$A:$A,0)),D3074)</f>
        <v>ORD26000544</v>
      </c>
      <c r="P3074" s="23" t="str">
        <f t="shared" ref="P3074:P3137" si="146">IF(L3074&gt;DATE(2026,9,30),"Oct-Due","Sep")</f>
        <v>Sep</v>
      </c>
      <c r="Q3074" s="23" t="str">
        <f>IF(F3074="CAPTURE",IF(COUNTIF(orders!$A:$A,O3074)&gt;0,"Yes","NO ORDER"),"")</f>
        <v>Yes</v>
      </c>
    </row>
    <row r="3075" spans="1:17" ht="15" customHeight="1" x14ac:dyDescent="0.3">
      <c r="A3075" s="23" t="s">
        <v>15975</v>
      </c>
      <c r="B3075" s="23"/>
      <c r="C3075" s="23" t="s">
        <v>1561</v>
      </c>
      <c r="D3075" s="23" t="str">
        <f t="shared" si="144"/>
        <v>ORD26000571</v>
      </c>
      <c r="E3075" s="38">
        <v>46282</v>
      </c>
      <c r="F3075" s="23" t="s">
        <v>12410</v>
      </c>
      <c r="G3075" s="23" t="s">
        <v>79</v>
      </c>
      <c r="H3075" s="24">
        <v>7999</v>
      </c>
      <c r="I3075" s="24">
        <v>127.98</v>
      </c>
      <c r="J3075" s="24">
        <v>23.04</v>
      </c>
      <c r="K3075" s="24">
        <v>7847.98</v>
      </c>
      <c r="L3075" s="38">
        <v>46284</v>
      </c>
      <c r="M3075" s="23" t="s">
        <v>210</v>
      </c>
      <c r="N3075" s="23" t="str">
        <f>IF(COUNTIF($A$2:A3075,A3075)&gt;1,"DUP","OK")</f>
        <v>OK</v>
      </c>
      <c r="O3075" s="23" t="str">
        <f t="shared" si="145"/>
        <v>ORD26000571</v>
      </c>
      <c r="P3075" s="23" t="str">
        <f t="shared" si="146"/>
        <v>Sep</v>
      </c>
      <c r="Q3075" s="23" t="str">
        <f>IF(F3075="CAPTURE",IF(COUNTIF(orders!$A:$A,O3075)&gt;0,"Yes","NO ORDER"),"")</f>
        <v>Yes</v>
      </c>
    </row>
    <row r="3076" spans="1:17" ht="15" customHeight="1" x14ac:dyDescent="0.3">
      <c r="A3076" s="23" t="s">
        <v>15976</v>
      </c>
      <c r="B3076" s="23"/>
      <c r="C3076" s="23" t="s">
        <v>1589</v>
      </c>
      <c r="D3076" s="23" t="str">
        <f t="shared" si="144"/>
        <v>ORD26000584</v>
      </c>
      <c r="E3076" s="38">
        <v>46282</v>
      </c>
      <c r="F3076" s="23" t="s">
        <v>12410</v>
      </c>
      <c r="G3076" s="23" t="s">
        <v>75</v>
      </c>
      <c r="H3076" s="24">
        <v>1298</v>
      </c>
      <c r="I3076" s="24">
        <v>0</v>
      </c>
      <c r="J3076" s="24">
        <v>0</v>
      </c>
      <c r="K3076" s="24">
        <v>1298</v>
      </c>
      <c r="L3076" s="38">
        <v>46284</v>
      </c>
      <c r="M3076" s="23" t="s">
        <v>210</v>
      </c>
      <c r="N3076" s="23" t="str">
        <f>IF(COUNTIF($A$2:A3076,A3076)&gt;1,"DUP","OK")</f>
        <v>OK</v>
      </c>
      <c r="O3076" s="23" t="str">
        <f t="shared" si="145"/>
        <v>ORD26000584</v>
      </c>
      <c r="P3076" s="23" t="str">
        <f t="shared" si="146"/>
        <v>Sep</v>
      </c>
      <c r="Q3076" s="23" t="str">
        <f>IF(F3076="CAPTURE",IF(COUNTIF(orders!$A:$A,O3076)&gt;0,"Yes","NO ORDER"),"")</f>
        <v>Yes</v>
      </c>
    </row>
    <row r="3077" spans="1:17" ht="15" customHeight="1" x14ac:dyDescent="0.3">
      <c r="A3077" s="23" t="s">
        <v>15977</v>
      </c>
      <c r="B3077" s="23"/>
      <c r="C3077" s="23" t="s">
        <v>1597</v>
      </c>
      <c r="D3077" s="23" t="str">
        <f t="shared" si="144"/>
        <v>ORD26000588</v>
      </c>
      <c r="E3077" s="38">
        <v>46282</v>
      </c>
      <c r="F3077" s="23" t="s">
        <v>12410</v>
      </c>
      <c r="G3077" s="23" t="s">
        <v>79</v>
      </c>
      <c r="H3077" s="24">
        <v>349</v>
      </c>
      <c r="I3077" s="24">
        <v>6.28</v>
      </c>
      <c r="J3077" s="24">
        <v>1.1299999999999999</v>
      </c>
      <c r="K3077" s="24">
        <v>341.59</v>
      </c>
      <c r="L3077" s="38">
        <v>46284</v>
      </c>
      <c r="M3077" s="23" t="s">
        <v>210</v>
      </c>
      <c r="N3077" s="23" t="str">
        <f>IF(COUNTIF($A$2:A3077,A3077)&gt;1,"DUP","OK")</f>
        <v>OK</v>
      </c>
      <c r="O3077" s="23" t="str">
        <f t="shared" si="145"/>
        <v>ORD26000588</v>
      </c>
      <c r="P3077" s="23" t="str">
        <f t="shared" si="146"/>
        <v>Sep</v>
      </c>
      <c r="Q3077" s="23" t="str">
        <f>IF(F3077="CAPTURE",IF(COUNTIF(orders!$A:$A,O3077)&gt;0,"Yes","NO ORDER"),"")</f>
        <v>Yes</v>
      </c>
    </row>
    <row r="3078" spans="1:17" ht="15" customHeight="1" x14ac:dyDescent="0.3">
      <c r="A3078" s="23" t="s">
        <v>15978</v>
      </c>
      <c r="B3078" s="23"/>
      <c r="C3078" s="23" t="s">
        <v>1645</v>
      </c>
      <c r="D3078" s="23" t="str">
        <f t="shared" si="144"/>
        <v>ORD26000609</v>
      </c>
      <c r="E3078" s="38">
        <v>46282</v>
      </c>
      <c r="F3078" s="23" t="s">
        <v>12410</v>
      </c>
      <c r="G3078" s="23" t="s">
        <v>79</v>
      </c>
      <c r="H3078" s="24">
        <v>6347</v>
      </c>
      <c r="I3078" s="24">
        <v>101.55</v>
      </c>
      <c r="J3078" s="24">
        <v>18.28</v>
      </c>
      <c r="K3078" s="24">
        <v>6227.17</v>
      </c>
      <c r="L3078" s="38">
        <v>46284</v>
      </c>
      <c r="M3078" s="23" t="s">
        <v>210</v>
      </c>
      <c r="N3078" s="23" t="str">
        <f>IF(COUNTIF($A$2:A3078,A3078)&gt;1,"DUP","OK")</f>
        <v>OK</v>
      </c>
      <c r="O3078" s="23" t="str">
        <f t="shared" si="145"/>
        <v>ORD26000609</v>
      </c>
      <c r="P3078" s="23" t="str">
        <f t="shared" si="146"/>
        <v>Sep</v>
      </c>
      <c r="Q3078" s="23" t="str">
        <f>IF(F3078="CAPTURE",IF(COUNTIF(orders!$A:$A,O3078)&gt;0,"Yes","NO ORDER"),"")</f>
        <v>Yes</v>
      </c>
    </row>
    <row r="3079" spans="1:17" ht="15" customHeight="1" x14ac:dyDescent="0.3">
      <c r="A3079" s="23" t="s">
        <v>15979</v>
      </c>
      <c r="B3079" s="23"/>
      <c r="C3079" s="23" t="s">
        <v>1669</v>
      </c>
      <c r="D3079" s="23" t="str">
        <f t="shared" si="144"/>
        <v>ORD26000620</v>
      </c>
      <c r="E3079" s="38">
        <v>46282</v>
      </c>
      <c r="F3079" s="23" t="s">
        <v>12410</v>
      </c>
      <c r="G3079" s="23" t="s">
        <v>77</v>
      </c>
      <c r="H3079" s="24">
        <v>3499</v>
      </c>
      <c r="I3079" s="24">
        <v>59.48</v>
      </c>
      <c r="J3079" s="24">
        <v>10.71</v>
      </c>
      <c r="K3079" s="24">
        <v>3428.81</v>
      </c>
      <c r="L3079" s="38">
        <v>46284</v>
      </c>
      <c r="M3079" s="23" t="s">
        <v>210</v>
      </c>
      <c r="N3079" s="23" t="str">
        <f>IF(COUNTIF($A$2:A3079,A3079)&gt;1,"DUP","OK")</f>
        <v>OK</v>
      </c>
      <c r="O3079" s="23" t="str">
        <f t="shared" si="145"/>
        <v>ORD26000620</v>
      </c>
      <c r="P3079" s="23" t="str">
        <f t="shared" si="146"/>
        <v>Sep</v>
      </c>
      <c r="Q3079" s="23" t="str">
        <f>IF(F3079="CAPTURE",IF(COUNTIF(orders!$A:$A,O3079)&gt;0,"Yes","NO ORDER"),"")</f>
        <v>Yes</v>
      </c>
    </row>
    <row r="3080" spans="1:17" ht="15" customHeight="1" x14ac:dyDescent="0.3">
      <c r="A3080" s="23" t="s">
        <v>15980</v>
      </c>
      <c r="B3080" s="23"/>
      <c r="C3080" s="23" t="s">
        <v>1721</v>
      </c>
      <c r="D3080" s="23" t="str">
        <f t="shared" si="144"/>
        <v>ORD26000645</v>
      </c>
      <c r="E3080" s="38">
        <v>46282</v>
      </c>
      <c r="F3080" s="23" t="s">
        <v>12410</v>
      </c>
      <c r="G3080" s="23" t="s">
        <v>79</v>
      </c>
      <c r="H3080" s="24">
        <v>2649</v>
      </c>
      <c r="I3080" s="24">
        <v>42.38</v>
      </c>
      <c r="J3080" s="24">
        <v>7.63</v>
      </c>
      <c r="K3080" s="24">
        <v>2598.9899999999998</v>
      </c>
      <c r="L3080" s="38">
        <v>46284</v>
      </c>
      <c r="M3080" s="23" t="s">
        <v>210</v>
      </c>
      <c r="N3080" s="23" t="str">
        <f>IF(COUNTIF($A$2:A3080,A3080)&gt;1,"DUP","OK")</f>
        <v>OK</v>
      </c>
      <c r="O3080" s="23" t="str">
        <f t="shared" si="145"/>
        <v>ORD26000645</v>
      </c>
      <c r="P3080" s="23" t="str">
        <f t="shared" si="146"/>
        <v>Sep</v>
      </c>
      <c r="Q3080" s="23" t="str">
        <f>IF(F3080="CAPTURE",IF(COUNTIF(orders!$A:$A,O3080)&gt;0,"Yes","NO ORDER"),"")</f>
        <v>Yes</v>
      </c>
    </row>
    <row r="3081" spans="1:17" ht="15" customHeight="1" x14ac:dyDescent="0.3">
      <c r="A3081" s="23" t="s">
        <v>15981</v>
      </c>
      <c r="B3081" s="23"/>
      <c r="C3081" s="23" t="s">
        <v>1861</v>
      </c>
      <c r="D3081" s="23" t="str">
        <f t="shared" si="144"/>
        <v>ORD26000711</v>
      </c>
      <c r="E3081" s="38">
        <v>46282</v>
      </c>
      <c r="F3081" s="23" t="s">
        <v>12410</v>
      </c>
      <c r="G3081" s="23" t="s">
        <v>79</v>
      </c>
      <c r="H3081" s="24">
        <v>5998</v>
      </c>
      <c r="I3081" s="24">
        <v>95.97</v>
      </c>
      <c r="J3081" s="24">
        <v>17.27</v>
      </c>
      <c r="K3081" s="24">
        <v>5884.76</v>
      </c>
      <c r="L3081" s="38">
        <v>46284</v>
      </c>
      <c r="M3081" s="23" t="s">
        <v>210</v>
      </c>
      <c r="N3081" s="23" t="str">
        <f>IF(COUNTIF($A$2:A3081,A3081)&gt;1,"DUP","OK")</f>
        <v>OK</v>
      </c>
      <c r="O3081" s="23" t="str">
        <f t="shared" si="145"/>
        <v>ORD26000711</v>
      </c>
      <c r="P3081" s="23" t="str">
        <f t="shared" si="146"/>
        <v>Sep</v>
      </c>
      <c r="Q3081" s="23" t="str">
        <f>IF(F3081="CAPTURE",IF(COUNTIF(orders!$A:$A,O3081)&gt;0,"Yes","NO ORDER"),"")</f>
        <v>Yes</v>
      </c>
    </row>
    <row r="3082" spans="1:17" ht="15" customHeight="1" x14ac:dyDescent="0.3">
      <c r="A3082" s="23" t="s">
        <v>15982</v>
      </c>
      <c r="B3082" s="23"/>
      <c r="C3082" s="23" t="s">
        <v>1910</v>
      </c>
      <c r="D3082" s="23" t="str">
        <f t="shared" si="144"/>
        <v>ORD26000735</v>
      </c>
      <c r="E3082" s="38">
        <v>46282</v>
      </c>
      <c r="F3082" s="23" t="s">
        <v>12410</v>
      </c>
      <c r="G3082" s="23" t="s">
        <v>79</v>
      </c>
      <c r="H3082" s="24">
        <v>1299</v>
      </c>
      <c r="I3082" s="24">
        <v>23.38</v>
      </c>
      <c r="J3082" s="24">
        <v>4.21</v>
      </c>
      <c r="K3082" s="24">
        <v>1271.4100000000001</v>
      </c>
      <c r="L3082" s="38">
        <v>46284</v>
      </c>
      <c r="M3082" s="23" t="s">
        <v>210</v>
      </c>
      <c r="N3082" s="23" t="str">
        <f>IF(COUNTIF($A$2:A3082,A3082)&gt;1,"DUP","OK")</f>
        <v>OK</v>
      </c>
      <c r="O3082" s="23" t="str">
        <f t="shared" si="145"/>
        <v>ORD26000735</v>
      </c>
      <c r="P3082" s="23" t="str">
        <f t="shared" si="146"/>
        <v>Sep</v>
      </c>
      <c r="Q3082" s="23" t="str">
        <f>IF(F3082="CAPTURE",IF(COUNTIF(orders!$A:$A,O3082)&gt;0,"Yes","NO ORDER"),"")</f>
        <v>Yes</v>
      </c>
    </row>
    <row r="3083" spans="1:17" ht="15" customHeight="1" x14ac:dyDescent="0.3">
      <c r="A3083" s="23" t="s">
        <v>15983</v>
      </c>
      <c r="B3083" s="23"/>
      <c r="C3083" s="23" t="s">
        <v>2350</v>
      </c>
      <c r="D3083" s="23" t="str">
        <f t="shared" si="144"/>
        <v>ORD26000946</v>
      </c>
      <c r="E3083" s="38">
        <v>46282</v>
      </c>
      <c r="F3083" s="23" t="s">
        <v>12410</v>
      </c>
      <c r="G3083" s="23" t="s">
        <v>79</v>
      </c>
      <c r="H3083" s="24">
        <v>1499</v>
      </c>
      <c r="I3083" s="24">
        <v>26.98</v>
      </c>
      <c r="J3083" s="24">
        <v>4.8600000000000003</v>
      </c>
      <c r="K3083" s="24">
        <v>1467.16</v>
      </c>
      <c r="L3083" s="38">
        <v>46284</v>
      </c>
      <c r="M3083" s="23" t="s">
        <v>210</v>
      </c>
      <c r="N3083" s="23" t="str">
        <f>IF(COUNTIF($A$2:A3083,A3083)&gt;1,"DUP","OK")</f>
        <v>OK</v>
      </c>
      <c r="O3083" s="23" t="str">
        <f t="shared" si="145"/>
        <v>ORD26000946</v>
      </c>
      <c r="P3083" s="23" t="str">
        <f t="shared" si="146"/>
        <v>Sep</v>
      </c>
      <c r="Q3083" s="23" t="str">
        <f>IF(F3083="CAPTURE",IF(COUNTIF(orders!$A:$A,O3083)&gt;0,"Yes","NO ORDER"),"")</f>
        <v>Yes</v>
      </c>
    </row>
    <row r="3084" spans="1:17" ht="15" customHeight="1" x14ac:dyDescent="0.3">
      <c r="A3084" s="23" t="s">
        <v>15984</v>
      </c>
      <c r="B3084" s="23"/>
      <c r="C3084" s="23" t="s">
        <v>2484</v>
      </c>
      <c r="D3084" s="23" t="str">
        <f t="shared" si="144"/>
        <v>ORD26001012</v>
      </c>
      <c r="E3084" s="38">
        <v>46282</v>
      </c>
      <c r="F3084" s="23" t="s">
        <v>12410</v>
      </c>
      <c r="G3084" s="23" t="s">
        <v>75</v>
      </c>
      <c r="H3084" s="24">
        <v>1647</v>
      </c>
      <c r="I3084" s="24">
        <v>0</v>
      </c>
      <c r="J3084" s="24">
        <v>0</v>
      </c>
      <c r="K3084" s="24">
        <v>1647</v>
      </c>
      <c r="L3084" s="38">
        <v>46284</v>
      </c>
      <c r="M3084" s="23" t="s">
        <v>210</v>
      </c>
      <c r="N3084" s="23" t="str">
        <f>IF(COUNTIF($A$2:A3084,A3084)&gt;1,"DUP","OK")</f>
        <v>OK</v>
      </c>
      <c r="O3084" s="23" t="str">
        <f t="shared" si="145"/>
        <v>ORD26001012</v>
      </c>
      <c r="P3084" s="23" t="str">
        <f t="shared" si="146"/>
        <v>Sep</v>
      </c>
      <c r="Q3084" s="23" t="str">
        <f>IF(F3084="CAPTURE",IF(COUNTIF(orders!$A:$A,O3084)&gt;0,"Yes","NO ORDER"),"")</f>
        <v>Yes</v>
      </c>
    </row>
    <row r="3085" spans="1:17" ht="15" customHeight="1" x14ac:dyDescent="0.3">
      <c r="A3085" s="23" t="s">
        <v>15985</v>
      </c>
      <c r="B3085" s="23"/>
      <c r="C3085" s="23" t="s">
        <v>2565</v>
      </c>
      <c r="D3085" s="23" t="str">
        <f t="shared" si="144"/>
        <v>ORD26001051</v>
      </c>
      <c r="E3085" s="38">
        <v>46282</v>
      </c>
      <c r="F3085" s="23" t="s">
        <v>12410</v>
      </c>
      <c r="G3085" s="23" t="s">
        <v>79</v>
      </c>
      <c r="H3085" s="24">
        <v>10797</v>
      </c>
      <c r="I3085" s="24">
        <v>172.75</v>
      </c>
      <c r="J3085" s="24">
        <v>31.1</v>
      </c>
      <c r="K3085" s="24">
        <v>10593.15</v>
      </c>
      <c r="L3085" s="38">
        <v>46284</v>
      </c>
      <c r="M3085" s="23" t="s">
        <v>210</v>
      </c>
      <c r="N3085" s="23" t="str">
        <f>IF(COUNTIF($A$2:A3085,A3085)&gt;1,"DUP","OK")</f>
        <v>OK</v>
      </c>
      <c r="O3085" s="23" t="str">
        <f t="shared" si="145"/>
        <v>ORD26001051</v>
      </c>
      <c r="P3085" s="23" t="str">
        <f t="shared" si="146"/>
        <v>Sep</v>
      </c>
      <c r="Q3085" s="23" t="str">
        <f>IF(F3085="CAPTURE",IF(COUNTIF(orders!$A:$A,O3085)&gt;0,"Yes","NO ORDER"),"")</f>
        <v>Yes</v>
      </c>
    </row>
    <row r="3086" spans="1:17" ht="15" customHeight="1" x14ac:dyDescent="0.3">
      <c r="A3086" s="23" t="s">
        <v>15986</v>
      </c>
      <c r="B3086" s="23"/>
      <c r="C3086" s="23" t="s">
        <v>2580</v>
      </c>
      <c r="D3086" s="23" t="str">
        <f t="shared" si="144"/>
        <v>ORD26001058</v>
      </c>
      <c r="E3086" s="38">
        <v>46282</v>
      </c>
      <c r="F3086" s="23" t="s">
        <v>12410</v>
      </c>
      <c r="G3086" s="23" t="s">
        <v>77</v>
      </c>
      <c r="H3086" s="24">
        <v>7999</v>
      </c>
      <c r="I3086" s="24">
        <v>135.97999999999999</v>
      </c>
      <c r="J3086" s="24">
        <v>24.48</v>
      </c>
      <c r="K3086" s="24">
        <v>7838.54</v>
      </c>
      <c r="L3086" s="38">
        <v>46284</v>
      </c>
      <c r="M3086" s="23" t="s">
        <v>210</v>
      </c>
      <c r="N3086" s="23" t="str">
        <f>IF(COUNTIF($A$2:A3086,A3086)&gt;1,"DUP","OK")</f>
        <v>OK</v>
      </c>
      <c r="O3086" s="23" t="str">
        <f t="shared" si="145"/>
        <v>ORD26001058</v>
      </c>
      <c r="P3086" s="23" t="str">
        <f t="shared" si="146"/>
        <v>Sep</v>
      </c>
      <c r="Q3086" s="23" t="str">
        <f>IF(F3086="CAPTURE",IF(COUNTIF(orders!$A:$A,O3086)&gt;0,"Yes","NO ORDER"),"")</f>
        <v>Yes</v>
      </c>
    </row>
    <row r="3087" spans="1:17" ht="15" customHeight="1" x14ac:dyDescent="0.3">
      <c r="A3087" s="23" t="s">
        <v>15987</v>
      </c>
      <c r="B3087" s="23"/>
      <c r="C3087" s="23" t="s">
        <v>2845</v>
      </c>
      <c r="D3087" s="23" t="str">
        <f t="shared" si="144"/>
        <v>ORD26001189</v>
      </c>
      <c r="E3087" s="38">
        <v>46282</v>
      </c>
      <c r="F3087" s="23" t="s">
        <v>12410</v>
      </c>
      <c r="G3087" s="23" t="s">
        <v>75</v>
      </c>
      <c r="H3087" s="24">
        <v>648</v>
      </c>
      <c r="I3087" s="24">
        <v>0</v>
      </c>
      <c r="J3087" s="24">
        <v>0</v>
      </c>
      <c r="K3087" s="24">
        <v>648</v>
      </c>
      <c r="L3087" s="38">
        <v>46284</v>
      </c>
      <c r="M3087" s="23" t="s">
        <v>210</v>
      </c>
      <c r="N3087" s="23" t="str">
        <f>IF(COUNTIF($A$2:A3087,A3087)&gt;1,"DUP","OK")</f>
        <v>OK</v>
      </c>
      <c r="O3087" s="23" t="str">
        <f t="shared" si="145"/>
        <v>ORD26001189</v>
      </c>
      <c r="P3087" s="23" t="str">
        <f t="shared" si="146"/>
        <v>Sep</v>
      </c>
      <c r="Q3087" s="23" t="str">
        <f>IF(F3087="CAPTURE",IF(COUNTIF(orders!$A:$A,O3087)&gt;0,"Yes","NO ORDER"),"")</f>
        <v>Yes</v>
      </c>
    </row>
    <row r="3088" spans="1:17" ht="15" customHeight="1" x14ac:dyDescent="0.3">
      <c r="A3088" s="23" t="s">
        <v>15988</v>
      </c>
      <c r="B3088" s="23"/>
      <c r="C3088" s="23" t="s">
        <v>3024</v>
      </c>
      <c r="D3088" s="23" t="str">
        <f t="shared" si="144"/>
        <v>ORD26001275</v>
      </c>
      <c r="E3088" s="38">
        <v>46282</v>
      </c>
      <c r="F3088" s="23" t="s">
        <v>12410</v>
      </c>
      <c r="G3088" s="23" t="s">
        <v>79</v>
      </c>
      <c r="H3088" s="24">
        <v>2298</v>
      </c>
      <c r="I3088" s="24">
        <v>36.770000000000003</v>
      </c>
      <c r="J3088" s="24">
        <v>6.62</v>
      </c>
      <c r="K3088" s="24">
        <v>2254.61</v>
      </c>
      <c r="L3088" s="38">
        <v>46284</v>
      </c>
      <c r="M3088" s="23" t="s">
        <v>210</v>
      </c>
      <c r="N3088" s="23" t="str">
        <f>IF(COUNTIF($A$2:A3088,A3088)&gt;1,"DUP","OK")</f>
        <v>OK</v>
      </c>
      <c r="O3088" s="23" t="str">
        <f t="shared" si="145"/>
        <v>ORD26001275</v>
      </c>
      <c r="P3088" s="23" t="str">
        <f t="shared" si="146"/>
        <v>Sep</v>
      </c>
      <c r="Q3088" s="23" t="str">
        <f>IF(F3088="CAPTURE",IF(COUNTIF(orders!$A:$A,O3088)&gt;0,"Yes","NO ORDER"),"")</f>
        <v>Yes</v>
      </c>
    </row>
    <row r="3089" spans="1:17" ht="15" customHeight="1" x14ac:dyDescent="0.3">
      <c r="A3089" s="23" t="s">
        <v>15989</v>
      </c>
      <c r="B3089" s="23"/>
      <c r="C3089" s="23" t="s">
        <v>3060</v>
      </c>
      <c r="D3089" s="23" t="str">
        <f t="shared" si="144"/>
        <v>ORD26001293</v>
      </c>
      <c r="E3089" s="38">
        <v>46282</v>
      </c>
      <c r="F3089" s="23" t="s">
        <v>12410</v>
      </c>
      <c r="G3089" s="23" t="s">
        <v>75</v>
      </c>
      <c r="H3089" s="24">
        <v>2499</v>
      </c>
      <c r="I3089" s="24">
        <v>7.5</v>
      </c>
      <c r="J3089" s="24">
        <v>1.35</v>
      </c>
      <c r="K3089" s="24">
        <v>2490.15</v>
      </c>
      <c r="L3089" s="38">
        <v>46284</v>
      </c>
      <c r="M3089" s="23" t="s">
        <v>210</v>
      </c>
      <c r="N3089" s="23" t="str">
        <f>IF(COUNTIF($A$2:A3089,A3089)&gt;1,"DUP","OK")</f>
        <v>OK</v>
      </c>
      <c r="O3089" s="23" t="str">
        <f t="shared" si="145"/>
        <v>ORD26001293</v>
      </c>
      <c r="P3089" s="23" t="str">
        <f t="shared" si="146"/>
        <v>Sep</v>
      </c>
      <c r="Q3089" s="23" t="str">
        <f>IF(F3089="CAPTURE",IF(COUNTIF(orders!$A:$A,O3089)&gt;0,"Yes","NO ORDER"),"")</f>
        <v>Yes</v>
      </c>
    </row>
    <row r="3090" spans="1:17" ht="15" customHeight="1" x14ac:dyDescent="0.3">
      <c r="A3090" s="23" t="s">
        <v>15990</v>
      </c>
      <c r="B3090" s="23"/>
      <c r="C3090" s="23" t="s">
        <v>3073</v>
      </c>
      <c r="D3090" s="23" t="str">
        <f t="shared" si="144"/>
        <v>ORD26001299</v>
      </c>
      <c r="E3090" s="38">
        <v>46282</v>
      </c>
      <c r="F3090" s="23" t="s">
        <v>12410</v>
      </c>
      <c r="G3090" s="23" t="s">
        <v>75</v>
      </c>
      <c r="H3090" s="24">
        <v>8298</v>
      </c>
      <c r="I3090" s="24">
        <v>24.89</v>
      </c>
      <c r="J3090" s="24">
        <v>4.4800000000000004</v>
      </c>
      <c r="K3090" s="24">
        <v>8268.6299999999992</v>
      </c>
      <c r="L3090" s="38">
        <v>46284</v>
      </c>
      <c r="M3090" s="23" t="s">
        <v>210</v>
      </c>
      <c r="N3090" s="23" t="str">
        <f>IF(COUNTIF($A$2:A3090,A3090)&gt;1,"DUP","OK")</f>
        <v>OK</v>
      </c>
      <c r="O3090" s="23" t="str">
        <f t="shared" si="145"/>
        <v>ORD26001299</v>
      </c>
      <c r="P3090" s="23" t="str">
        <f t="shared" si="146"/>
        <v>Sep</v>
      </c>
      <c r="Q3090" s="23" t="str">
        <f>IF(F3090="CAPTURE",IF(COUNTIF(orders!$A:$A,O3090)&gt;0,"Yes","NO ORDER"),"")</f>
        <v>Yes</v>
      </c>
    </row>
    <row r="3091" spans="1:17" ht="15" customHeight="1" x14ac:dyDescent="0.3">
      <c r="A3091" s="23" t="s">
        <v>15991</v>
      </c>
      <c r="B3091" s="23"/>
      <c r="C3091" s="23" t="s">
        <v>3112</v>
      </c>
      <c r="D3091" s="23" t="str">
        <f t="shared" si="144"/>
        <v>ORD26001317</v>
      </c>
      <c r="E3091" s="38">
        <v>46282</v>
      </c>
      <c r="F3091" s="23" t="s">
        <v>12410</v>
      </c>
      <c r="G3091" s="23" t="s">
        <v>75</v>
      </c>
      <c r="H3091" s="24">
        <v>1998</v>
      </c>
      <c r="I3091" s="24">
        <v>0</v>
      </c>
      <c r="J3091" s="24">
        <v>0</v>
      </c>
      <c r="K3091" s="24">
        <v>1998</v>
      </c>
      <c r="L3091" s="38">
        <v>46284</v>
      </c>
      <c r="M3091" s="23" t="s">
        <v>210</v>
      </c>
      <c r="N3091" s="23" t="str">
        <f>IF(COUNTIF($A$2:A3091,A3091)&gt;1,"DUP","OK")</f>
        <v>OK</v>
      </c>
      <c r="O3091" s="23" t="str">
        <f t="shared" si="145"/>
        <v>ORD26001317</v>
      </c>
      <c r="P3091" s="23" t="str">
        <f t="shared" si="146"/>
        <v>Sep</v>
      </c>
      <c r="Q3091" s="23" t="str">
        <f>IF(F3091="CAPTURE",IF(COUNTIF(orders!$A:$A,O3091)&gt;0,"Yes","NO ORDER"),"")</f>
        <v>Yes</v>
      </c>
    </row>
    <row r="3092" spans="1:17" ht="15" customHeight="1" x14ac:dyDescent="0.3">
      <c r="A3092" s="23" t="s">
        <v>15992</v>
      </c>
      <c r="B3092" s="23"/>
      <c r="C3092" s="23" t="s">
        <v>3157</v>
      </c>
      <c r="D3092" s="23" t="str">
        <f t="shared" si="144"/>
        <v>ORD26001339</v>
      </c>
      <c r="E3092" s="38">
        <v>46282</v>
      </c>
      <c r="F3092" s="23" t="s">
        <v>12410</v>
      </c>
      <c r="G3092" s="23" t="s">
        <v>77</v>
      </c>
      <c r="H3092" s="24">
        <v>499</v>
      </c>
      <c r="I3092" s="24">
        <v>9.48</v>
      </c>
      <c r="J3092" s="24">
        <v>1.71</v>
      </c>
      <c r="K3092" s="24">
        <v>487.81</v>
      </c>
      <c r="L3092" s="38">
        <v>46284</v>
      </c>
      <c r="M3092" s="23" t="s">
        <v>210</v>
      </c>
      <c r="N3092" s="23" t="str">
        <f>IF(COUNTIF($A$2:A3092,A3092)&gt;1,"DUP","OK")</f>
        <v>OK</v>
      </c>
      <c r="O3092" s="23" t="str">
        <f t="shared" si="145"/>
        <v>ORD26001339</v>
      </c>
      <c r="P3092" s="23" t="str">
        <f t="shared" si="146"/>
        <v>Sep</v>
      </c>
      <c r="Q3092" s="23" t="str">
        <f>IF(F3092="CAPTURE",IF(COUNTIF(orders!$A:$A,O3092)&gt;0,"Yes","NO ORDER"),"")</f>
        <v>Yes</v>
      </c>
    </row>
    <row r="3093" spans="1:17" ht="15" customHeight="1" x14ac:dyDescent="0.3">
      <c r="A3093" s="23" t="s">
        <v>15993</v>
      </c>
      <c r="B3093" s="23"/>
      <c r="C3093" s="23" t="s">
        <v>3161</v>
      </c>
      <c r="D3093" s="23" t="str">
        <f t="shared" si="144"/>
        <v>ORD26001341</v>
      </c>
      <c r="E3093" s="38">
        <v>46282</v>
      </c>
      <c r="F3093" s="23" t="s">
        <v>12410</v>
      </c>
      <c r="G3093" s="23" t="s">
        <v>77</v>
      </c>
      <c r="H3093" s="24">
        <v>499</v>
      </c>
      <c r="I3093" s="24">
        <v>9.48</v>
      </c>
      <c r="J3093" s="24">
        <v>1.71</v>
      </c>
      <c r="K3093" s="24">
        <v>487.81</v>
      </c>
      <c r="L3093" s="38">
        <v>46284</v>
      </c>
      <c r="M3093" s="23" t="s">
        <v>210</v>
      </c>
      <c r="N3093" s="23" t="str">
        <f>IF(COUNTIF($A$2:A3093,A3093)&gt;1,"DUP","OK")</f>
        <v>OK</v>
      </c>
      <c r="O3093" s="23" t="str">
        <f t="shared" si="145"/>
        <v>ORD26001341</v>
      </c>
      <c r="P3093" s="23" t="str">
        <f t="shared" si="146"/>
        <v>Sep</v>
      </c>
      <c r="Q3093" s="23" t="str">
        <f>IF(F3093="CAPTURE",IF(COUNTIF(orders!$A:$A,O3093)&gt;0,"Yes","NO ORDER"),"")</f>
        <v>Yes</v>
      </c>
    </row>
    <row r="3094" spans="1:17" ht="15" customHeight="1" x14ac:dyDescent="0.3">
      <c r="A3094" s="23" t="s">
        <v>15994</v>
      </c>
      <c r="B3094" s="23"/>
      <c r="C3094" s="23" t="s">
        <v>3192</v>
      </c>
      <c r="D3094" s="23" t="str">
        <f t="shared" si="144"/>
        <v>ORD26001356</v>
      </c>
      <c r="E3094" s="38">
        <v>46282</v>
      </c>
      <c r="F3094" s="23" t="s">
        <v>12410</v>
      </c>
      <c r="G3094" s="23" t="s">
        <v>75</v>
      </c>
      <c r="H3094" s="24">
        <v>698</v>
      </c>
      <c r="I3094" s="24">
        <v>0</v>
      </c>
      <c r="J3094" s="24">
        <v>0</v>
      </c>
      <c r="K3094" s="24">
        <v>698</v>
      </c>
      <c r="L3094" s="38">
        <v>46284</v>
      </c>
      <c r="M3094" s="23" t="s">
        <v>210</v>
      </c>
      <c r="N3094" s="23" t="str">
        <f>IF(COUNTIF($A$2:A3094,A3094)&gt;1,"DUP","OK")</f>
        <v>OK</v>
      </c>
      <c r="O3094" s="23" t="str">
        <f t="shared" si="145"/>
        <v>ORD26001356</v>
      </c>
      <c r="P3094" s="23" t="str">
        <f t="shared" si="146"/>
        <v>Sep</v>
      </c>
      <c r="Q3094" s="23" t="str">
        <f>IF(F3094="CAPTURE",IF(COUNTIF(orders!$A:$A,O3094)&gt;0,"Yes","NO ORDER"),"")</f>
        <v>Yes</v>
      </c>
    </row>
    <row r="3095" spans="1:17" ht="15" customHeight="1" x14ac:dyDescent="0.3">
      <c r="A3095" s="23" t="s">
        <v>15995</v>
      </c>
      <c r="B3095" s="23"/>
      <c r="C3095" s="23" t="s">
        <v>3194</v>
      </c>
      <c r="D3095" s="23" t="str">
        <f t="shared" si="144"/>
        <v>ORD26001357</v>
      </c>
      <c r="E3095" s="38">
        <v>46282</v>
      </c>
      <c r="F3095" s="23" t="s">
        <v>12410</v>
      </c>
      <c r="G3095" s="23" t="s">
        <v>81</v>
      </c>
      <c r="H3095" s="24">
        <v>7999</v>
      </c>
      <c r="I3095" s="24">
        <v>95.99</v>
      </c>
      <c r="J3095" s="24">
        <v>17.28</v>
      </c>
      <c r="K3095" s="24">
        <v>7885.73</v>
      </c>
      <c r="L3095" s="38">
        <v>46284</v>
      </c>
      <c r="M3095" s="23" t="s">
        <v>210</v>
      </c>
      <c r="N3095" s="23" t="str">
        <f>IF(COUNTIF($A$2:A3095,A3095)&gt;1,"DUP","OK")</f>
        <v>OK</v>
      </c>
      <c r="O3095" s="23" t="str">
        <f t="shared" si="145"/>
        <v>ORD26001357</v>
      </c>
      <c r="P3095" s="23" t="str">
        <f t="shared" si="146"/>
        <v>Sep</v>
      </c>
      <c r="Q3095" s="23" t="str">
        <f>IF(F3095="CAPTURE",IF(COUNTIF(orders!$A:$A,O3095)&gt;0,"Yes","NO ORDER"),"")</f>
        <v>Yes</v>
      </c>
    </row>
    <row r="3096" spans="1:17" ht="15" customHeight="1" x14ac:dyDescent="0.3">
      <c r="A3096" s="23" t="s">
        <v>15996</v>
      </c>
      <c r="B3096" s="23"/>
      <c r="C3096" s="23" t="s">
        <v>3253</v>
      </c>
      <c r="D3096" s="23" t="str">
        <f t="shared" si="144"/>
        <v>ORD26001386</v>
      </c>
      <c r="E3096" s="38">
        <v>46282</v>
      </c>
      <c r="F3096" s="23" t="s">
        <v>12410</v>
      </c>
      <c r="G3096" s="23" t="s">
        <v>81</v>
      </c>
      <c r="H3096" s="24">
        <v>4798</v>
      </c>
      <c r="I3096" s="24">
        <v>57.58</v>
      </c>
      <c r="J3096" s="24">
        <v>10.36</v>
      </c>
      <c r="K3096" s="24">
        <v>4730.0600000000004</v>
      </c>
      <c r="L3096" s="38">
        <v>46284</v>
      </c>
      <c r="M3096" s="23" t="s">
        <v>210</v>
      </c>
      <c r="N3096" s="23" t="str">
        <f>IF(COUNTIF($A$2:A3096,A3096)&gt;1,"DUP","OK")</f>
        <v>OK</v>
      </c>
      <c r="O3096" s="23" t="str">
        <f t="shared" si="145"/>
        <v>ORD26001386</v>
      </c>
      <c r="P3096" s="23" t="str">
        <f t="shared" si="146"/>
        <v>Sep</v>
      </c>
      <c r="Q3096" s="23" t="str">
        <f>IF(F3096="CAPTURE",IF(COUNTIF(orders!$A:$A,O3096)&gt;0,"Yes","NO ORDER"),"")</f>
        <v>Yes</v>
      </c>
    </row>
    <row r="3097" spans="1:17" ht="15" customHeight="1" x14ac:dyDescent="0.3">
      <c r="A3097" s="23" t="s">
        <v>15997</v>
      </c>
      <c r="B3097" s="23"/>
      <c r="C3097" s="23" t="s">
        <v>3346</v>
      </c>
      <c r="D3097" s="23" t="str">
        <f t="shared" si="144"/>
        <v>ORD26001433</v>
      </c>
      <c r="E3097" s="38">
        <v>46282</v>
      </c>
      <c r="F3097" s="23" t="s">
        <v>12410</v>
      </c>
      <c r="G3097" s="23" t="s">
        <v>79</v>
      </c>
      <c r="H3097" s="24">
        <v>4497</v>
      </c>
      <c r="I3097" s="24">
        <v>71.95</v>
      </c>
      <c r="J3097" s="24">
        <v>12.95</v>
      </c>
      <c r="K3097" s="24">
        <v>4412.1000000000004</v>
      </c>
      <c r="L3097" s="38">
        <v>46284</v>
      </c>
      <c r="M3097" s="23" t="s">
        <v>210</v>
      </c>
      <c r="N3097" s="23" t="str">
        <f>IF(COUNTIF($A$2:A3097,A3097)&gt;1,"DUP","OK")</f>
        <v>OK</v>
      </c>
      <c r="O3097" s="23" t="str">
        <f t="shared" si="145"/>
        <v>ORD26001433</v>
      </c>
      <c r="P3097" s="23" t="str">
        <f t="shared" si="146"/>
        <v>Sep</v>
      </c>
      <c r="Q3097" s="23" t="str">
        <f>IF(F3097="CAPTURE",IF(COUNTIF(orders!$A:$A,O3097)&gt;0,"Yes","NO ORDER"),"")</f>
        <v>Yes</v>
      </c>
    </row>
    <row r="3098" spans="1:17" ht="15" customHeight="1" x14ac:dyDescent="0.3">
      <c r="A3098" s="23" t="s">
        <v>15998</v>
      </c>
      <c r="B3098" s="23"/>
      <c r="C3098" s="23" t="s">
        <v>3456</v>
      </c>
      <c r="D3098" s="23" t="str">
        <f t="shared" si="144"/>
        <v>ORD26001486</v>
      </c>
      <c r="E3098" s="38">
        <v>46282</v>
      </c>
      <c r="F3098" s="23" t="s">
        <v>12410</v>
      </c>
      <c r="G3098" s="23" t="s">
        <v>75</v>
      </c>
      <c r="H3098" s="24">
        <v>1498</v>
      </c>
      <c r="I3098" s="24">
        <v>0</v>
      </c>
      <c r="J3098" s="24">
        <v>0</v>
      </c>
      <c r="K3098" s="24">
        <v>1498</v>
      </c>
      <c r="L3098" s="38">
        <v>46284</v>
      </c>
      <c r="M3098" s="23" t="s">
        <v>210</v>
      </c>
      <c r="N3098" s="23" t="str">
        <f>IF(COUNTIF($A$2:A3098,A3098)&gt;1,"DUP","OK")</f>
        <v>OK</v>
      </c>
      <c r="O3098" s="23" t="str">
        <f t="shared" si="145"/>
        <v>ORD26001486</v>
      </c>
      <c r="P3098" s="23" t="str">
        <f t="shared" si="146"/>
        <v>Sep</v>
      </c>
      <c r="Q3098" s="23" t="str">
        <f>IF(F3098="CAPTURE",IF(COUNTIF(orders!$A:$A,O3098)&gt;0,"Yes","NO ORDER"),"")</f>
        <v>Yes</v>
      </c>
    </row>
    <row r="3099" spans="1:17" ht="15" customHeight="1" x14ac:dyDescent="0.3">
      <c r="A3099" s="23" t="s">
        <v>15999</v>
      </c>
      <c r="B3099" s="23"/>
      <c r="C3099" s="23" t="s">
        <v>3469</v>
      </c>
      <c r="D3099" s="23" t="str">
        <f t="shared" si="144"/>
        <v>ORD26001492</v>
      </c>
      <c r="E3099" s="38">
        <v>46282</v>
      </c>
      <c r="F3099" s="23" t="s">
        <v>12410</v>
      </c>
      <c r="G3099" s="23" t="s">
        <v>75</v>
      </c>
      <c r="H3099" s="24">
        <v>1798</v>
      </c>
      <c r="I3099" s="24">
        <v>0</v>
      </c>
      <c r="J3099" s="24">
        <v>0</v>
      </c>
      <c r="K3099" s="24">
        <v>1798</v>
      </c>
      <c r="L3099" s="38">
        <v>46284</v>
      </c>
      <c r="M3099" s="23" t="s">
        <v>210</v>
      </c>
      <c r="N3099" s="23" t="str">
        <f>IF(COUNTIF($A$2:A3099,A3099)&gt;1,"DUP","OK")</f>
        <v>OK</v>
      </c>
      <c r="O3099" s="23" t="str">
        <f t="shared" si="145"/>
        <v>ORD26001492</v>
      </c>
      <c r="P3099" s="23" t="str">
        <f t="shared" si="146"/>
        <v>Sep</v>
      </c>
      <c r="Q3099" s="23" t="str">
        <f>IF(F3099="CAPTURE",IF(COUNTIF(orders!$A:$A,O3099)&gt;0,"Yes","NO ORDER"),"")</f>
        <v>Yes</v>
      </c>
    </row>
    <row r="3100" spans="1:17" ht="15" customHeight="1" x14ac:dyDescent="0.3">
      <c r="A3100" s="23" t="s">
        <v>16000</v>
      </c>
      <c r="B3100" s="23"/>
      <c r="C3100" s="23" t="s">
        <v>3481</v>
      </c>
      <c r="D3100" s="23" t="str">
        <f t="shared" si="144"/>
        <v>ORD26001498</v>
      </c>
      <c r="E3100" s="38">
        <v>46282</v>
      </c>
      <c r="F3100" s="23" t="s">
        <v>12410</v>
      </c>
      <c r="G3100" s="23" t="s">
        <v>79</v>
      </c>
      <c r="H3100" s="24">
        <v>4997</v>
      </c>
      <c r="I3100" s="24">
        <v>79.95</v>
      </c>
      <c r="J3100" s="24">
        <v>14.39</v>
      </c>
      <c r="K3100" s="24">
        <v>4902.66</v>
      </c>
      <c r="L3100" s="38">
        <v>46284</v>
      </c>
      <c r="M3100" s="23" t="s">
        <v>210</v>
      </c>
      <c r="N3100" s="23" t="str">
        <f>IF(COUNTIF($A$2:A3100,A3100)&gt;1,"DUP","OK")</f>
        <v>OK</v>
      </c>
      <c r="O3100" s="23" t="str">
        <f t="shared" si="145"/>
        <v>ORD26001498</v>
      </c>
      <c r="P3100" s="23" t="str">
        <f t="shared" si="146"/>
        <v>Sep</v>
      </c>
      <c r="Q3100" s="23" t="str">
        <f>IF(F3100="CAPTURE",IF(COUNTIF(orders!$A:$A,O3100)&gt;0,"Yes","NO ORDER"),"")</f>
        <v>Yes</v>
      </c>
    </row>
    <row r="3101" spans="1:17" ht="15" customHeight="1" x14ac:dyDescent="0.3">
      <c r="A3101" s="23" t="s">
        <v>16001</v>
      </c>
      <c r="B3101" s="23"/>
      <c r="C3101" s="23" t="s">
        <v>3558</v>
      </c>
      <c r="D3101" s="23" t="str">
        <f t="shared" si="144"/>
        <v>ORD26001535</v>
      </c>
      <c r="E3101" s="38">
        <v>46282</v>
      </c>
      <c r="F3101" s="23" t="s">
        <v>12410</v>
      </c>
      <c r="G3101" s="23" t="s">
        <v>81</v>
      </c>
      <c r="H3101" s="24">
        <v>1499</v>
      </c>
      <c r="I3101" s="24">
        <v>22.49</v>
      </c>
      <c r="J3101" s="24">
        <v>4.05</v>
      </c>
      <c r="K3101" s="24">
        <v>1472.46</v>
      </c>
      <c r="L3101" s="38">
        <v>46284</v>
      </c>
      <c r="M3101" s="23" t="s">
        <v>210</v>
      </c>
      <c r="N3101" s="23" t="str">
        <f>IF(COUNTIF($A$2:A3101,A3101)&gt;1,"DUP","OK")</f>
        <v>OK</v>
      </c>
      <c r="O3101" s="23" t="str">
        <f t="shared" si="145"/>
        <v>ORD26001535</v>
      </c>
      <c r="P3101" s="23" t="str">
        <f t="shared" si="146"/>
        <v>Sep</v>
      </c>
      <c r="Q3101" s="23" t="str">
        <f>IF(F3101="CAPTURE",IF(COUNTIF(orders!$A:$A,O3101)&gt;0,"Yes","NO ORDER"),"")</f>
        <v>Yes</v>
      </c>
    </row>
    <row r="3102" spans="1:17" ht="15" customHeight="1" x14ac:dyDescent="0.3">
      <c r="A3102" s="23" t="s">
        <v>16002</v>
      </c>
      <c r="B3102" s="23"/>
      <c r="C3102" s="23" t="s">
        <v>3560</v>
      </c>
      <c r="D3102" s="23" t="str">
        <f t="shared" si="144"/>
        <v>ORD26001536</v>
      </c>
      <c r="E3102" s="38">
        <v>46282</v>
      </c>
      <c r="F3102" s="23" t="s">
        <v>12410</v>
      </c>
      <c r="G3102" s="23" t="s">
        <v>75</v>
      </c>
      <c r="H3102" s="24">
        <v>4297</v>
      </c>
      <c r="I3102" s="24">
        <v>12.89</v>
      </c>
      <c r="J3102" s="24">
        <v>2.3199999999999998</v>
      </c>
      <c r="K3102" s="24">
        <v>4281.79</v>
      </c>
      <c r="L3102" s="38">
        <v>46284</v>
      </c>
      <c r="M3102" s="23" t="s">
        <v>210</v>
      </c>
      <c r="N3102" s="23" t="str">
        <f>IF(COUNTIF($A$2:A3102,A3102)&gt;1,"DUP","OK")</f>
        <v>OK</v>
      </c>
      <c r="O3102" s="23" t="str">
        <f t="shared" si="145"/>
        <v>ORD26001536</v>
      </c>
      <c r="P3102" s="23" t="str">
        <f t="shared" si="146"/>
        <v>Sep</v>
      </c>
      <c r="Q3102" s="23" t="str">
        <f>IF(F3102="CAPTURE",IF(COUNTIF(orders!$A:$A,O3102)&gt;0,"Yes","NO ORDER"),"")</f>
        <v>Yes</v>
      </c>
    </row>
    <row r="3103" spans="1:17" ht="15" customHeight="1" x14ac:dyDescent="0.3">
      <c r="A3103" s="23" t="s">
        <v>16003</v>
      </c>
      <c r="B3103" s="23"/>
      <c r="C3103" s="23" t="s">
        <v>3605</v>
      </c>
      <c r="D3103" s="23" t="str">
        <f t="shared" si="144"/>
        <v>ORD26001559</v>
      </c>
      <c r="E3103" s="38">
        <v>46282</v>
      </c>
      <c r="F3103" s="23" t="s">
        <v>12410</v>
      </c>
      <c r="G3103" s="23" t="s">
        <v>75</v>
      </c>
      <c r="H3103" s="24">
        <v>349</v>
      </c>
      <c r="I3103" s="24">
        <v>0</v>
      </c>
      <c r="J3103" s="24">
        <v>0</v>
      </c>
      <c r="K3103" s="24">
        <v>349</v>
      </c>
      <c r="L3103" s="38">
        <v>46284</v>
      </c>
      <c r="M3103" s="23" t="s">
        <v>210</v>
      </c>
      <c r="N3103" s="23" t="str">
        <f>IF(COUNTIF($A$2:A3103,A3103)&gt;1,"DUP","OK")</f>
        <v>OK</v>
      </c>
      <c r="O3103" s="23" t="str">
        <f t="shared" si="145"/>
        <v>ORD26001559</v>
      </c>
      <c r="P3103" s="23" t="str">
        <f t="shared" si="146"/>
        <v>Sep</v>
      </c>
      <c r="Q3103" s="23" t="str">
        <f>IF(F3103="CAPTURE",IF(COUNTIF(orders!$A:$A,O3103)&gt;0,"Yes","NO ORDER"),"")</f>
        <v>Yes</v>
      </c>
    </row>
    <row r="3104" spans="1:17" ht="15" customHeight="1" x14ac:dyDescent="0.3">
      <c r="A3104" s="23" t="s">
        <v>16004</v>
      </c>
      <c r="B3104" s="23"/>
      <c r="C3104" s="23" t="s">
        <v>3758</v>
      </c>
      <c r="D3104" s="23" t="str">
        <f t="shared" si="144"/>
        <v>ORD26001636</v>
      </c>
      <c r="E3104" s="38">
        <v>46282</v>
      </c>
      <c r="F3104" s="23" t="s">
        <v>12410</v>
      </c>
      <c r="G3104" s="23" t="s">
        <v>77</v>
      </c>
      <c r="H3104" s="24">
        <v>3947</v>
      </c>
      <c r="I3104" s="24">
        <v>67.099999999999994</v>
      </c>
      <c r="J3104" s="24">
        <v>12.08</v>
      </c>
      <c r="K3104" s="24">
        <v>3867.82</v>
      </c>
      <c r="L3104" s="38">
        <v>46284</v>
      </c>
      <c r="M3104" s="23" t="s">
        <v>210</v>
      </c>
      <c r="N3104" s="23" t="str">
        <f>IF(COUNTIF($A$2:A3104,A3104)&gt;1,"DUP","OK")</f>
        <v>OK</v>
      </c>
      <c r="O3104" s="23" t="str">
        <f t="shared" si="145"/>
        <v>ORD26001636</v>
      </c>
      <c r="P3104" s="23" t="str">
        <f t="shared" si="146"/>
        <v>Sep</v>
      </c>
      <c r="Q3104" s="23" t="str">
        <f>IF(F3104="CAPTURE",IF(COUNTIF(orders!$A:$A,O3104)&gt;0,"Yes","NO ORDER"),"")</f>
        <v>Yes</v>
      </c>
    </row>
    <row r="3105" spans="1:17" ht="15" customHeight="1" x14ac:dyDescent="0.3">
      <c r="A3105" s="23" t="s">
        <v>16005</v>
      </c>
      <c r="B3105" s="23"/>
      <c r="C3105" s="23" t="s">
        <v>3835</v>
      </c>
      <c r="D3105" s="23" t="str">
        <f t="shared" si="144"/>
        <v>ORD26001675</v>
      </c>
      <c r="E3105" s="38">
        <v>46282</v>
      </c>
      <c r="F3105" s="23" t="s">
        <v>12410</v>
      </c>
      <c r="G3105" s="23" t="s">
        <v>75</v>
      </c>
      <c r="H3105" s="24">
        <v>4999</v>
      </c>
      <c r="I3105" s="24">
        <v>15</v>
      </c>
      <c r="J3105" s="24">
        <v>2.7</v>
      </c>
      <c r="K3105" s="24">
        <v>4981.3</v>
      </c>
      <c r="L3105" s="38">
        <v>46284</v>
      </c>
      <c r="M3105" s="23" t="s">
        <v>210</v>
      </c>
      <c r="N3105" s="23" t="str">
        <f>IF(COUNTIF($A$2:A3105,A3105)&gt;1,"DUP","OK")</f>
        <v>OK</v>
      </c>
      <c r="O3105" s="23" t="str">
        <f t="shared" si="145"/>
        <v>ORD26001675</v>
      </c>
      <c r="P3105" s="23" t="str">
        <f t="shared" si="146"/>
        <v>Sep</v>
      </c>
      <c r="Q3105" s="23" t="str">
        <f>IF(F3105="CAPTURE",IF(COUNTIF(orders!$A:$A,O3105)&gt;0,"Yes","NO ORDER"),"")</f>
        <v>Yes</v>
      </c>
    </row>
    <row r="3106" spans="1:17" ht="15" customHeight="1" x14ac:dyDescent="0.3">
      <c r="A3106" s="23" t="s">
        <v>16006</v>
      </c>
      <c r="B3106" s="23"/>
      <c r="C3106" s="23" t="s">
        <v>3849</v>
      </c>
      <c r="D3106" s="23" t="str">
        <f t="shared" si="144"/>
        <v>ORD26001682</v>
      </c>
      <c r="E3106" s="38">
        <v>46282</v>
      </c>
      <c r="F3106" s="23" t="s">
        <v>12410</v>
      </c>
      <c r="G3106" s="23" t="s">
        <v>75</v>
      </c>
      <c r="H3106" s="24">
        <v>3348</v>
      </c>
      <c r="I3106" s="24">
        <v>10.039999999999999</v>
      </c>
      <c r="J3106" s="24">
        <v>1.81</v>
      </c>
      <c r="K3106" s="24">
        <v>3336.15</v>
      </c>
      <c r="L3106" s="38">
        <v>46284</v>
      </c>
      <c r="M3106" s="23" t="s">
        <v>210</v>
      </c>
      <c r="N3106" s="23" t="str">
        <f>IF(COUNTIF($A$2:A3106,A3106)&gt;1,"DUP","OK")</f>
        <v>OK</v>
      </c>
      <c r="O3106" s="23" t="str">
        <f t="shared" si="145"/>
        <v>ORD26001682</v>
      </c>
      <c r="P3106" s="23" t="str">
        <f t="shared" si="146"/>
        <v>Sep</v>
      </c>
      <c r="Q3106" s="23" t="str">
        <f>IF(F3106="CAPTURE",IF(COUNTIF(orders!$A:$A,O3106)&gt;0,"Yes","NO ORDER"),"")</f>
        <v>Yes</v>
      </c>
    </row>
    <row r="3107" spans="1:17" ht="15" customHeight="1" x14ac:dyDescent="0.3">
      <c r="A3107" s="23" t="s">
        <v>16007</v>
      </c>
      <c r="B3107" s="23"/>
      <c r="C3107" s="23" t="s">
        <v>3859</v>
      </c>
      <c r="D3107" s="23" t="str">
        <f t="shared" si="144"/>
        <v>ORD26001687</v>
      </c>
      <c r="E3107" s="38">
        <v>46282</v>
      </c>
      <c r="F3107" s="23" t="s">
        <v>12410</v>
      </c>
      <c r="G3107" s="23" t="s">
        <v>77</v>
      </c>
      <c r="H3107" s="24">
        <v>7497</v>
      </c>
      <c r="I3107" s="24">
        <v>179.93</v>
      </c>
      <c r="J3107" s="24">
        <v>32.39</v>
      </c>
      <c r="K3107" s="24">
        <v>7284.68</v>
      </c>
      <c r="L3107" s="38">
        <v>46284</v>
      </c>
      <c r="M3107" s="23" t="s">
        <v>210</v>
      </c>
      <c r="N3107" s="23" t="str">
        <f>IF(COUNTIF($A$2:A3107,A3107)&gt;1,"DUP","OK")</f>
        <v>OK</v>
      </c>
      <c r="O3107" s="23" t="str">
        <f t="shared" si="145"/>
        <v>ORD26001687</v>
      </c>
      <c r="P3107" s="23" t="str">
        <f t="shared" si="146"/>
        <v>Sep</v>
      </c>
      <c r="Q3107" s="23" t="str">
        <f>IF(F3107="CAPTURE",IF(COUNTIF(orders!$A:$A,O3107)&gt;0,"Yes","NO ORDER"),"")</f>
        <v>Yes</v>
      </c>
    </row>
    <row r="3108" spans="1:17" ht="15" customHeight="1" x14ac:dyDescent="0.3">
      <c r="A3108" s="23" t="s">
        <v>16008</v>
      </c>
      <c r="B3108" s="23"/>
      <c r="C3108" s="23" t="s">
        <v>3881</v>
      </c>
      <c r="D3108" s="23" t="str">
        <f t="shared" si="144"/>
        <v>ORD26001697</v>
      </c>
      <c r="E3108" s="38">
        <v>46282</v>
      </c>
      <c r="F3108" s="23" t="s">
        <v>12410</v>
      </c>
      <c r="G3108" s="23" t="s">
        <v>79</v>
      </c>
      <c r="H3108" s="24">
        <v>599</v>
      </c>
      <c r="I3108" s="24">
        <v>10.78</v>
      </c>
      <c r="J3108" s="24">
        <v>1.94</v>
      </c>
      <c r="K3108" s="24">
        <v>586.28</v>
      </c>
      <c r="L3108" s="38">
        <v>46284</v>
      </c>
      <c r="M3108" s="23" t="s">
        <v>210</v>
      </c>
      <c r="N3108" s="23" t="str">
        <f>IF(COUNTIF($A$2:A3108,A3108)&gt;1,"DUP","OK")</f>
        <v>OK</v>
      </c>
      <c r="O3108" s="23" t="str">
        <f t="shared" si="145"/>
        <v>ORD26001697</v>
      </c>
      <c r="P3108" s="23" t="str">
        <f t="shared" si="146"/>
        <v>Sep</v>
      </c>
      <c r="Q3108" s="23" t="str">
        <f>IF(F3108="CAPTURE",IF(COUNTIF(orders!$A:$A,O3108)&gt;0,"Yes","NO ORDER"),"")</f>
        <v>Yes</v>
      </c>
    </row>
    <row r="3109" spans="1:17" ht="15" customHeight="1" x14ac:dyDescent="0.3">
      <c r="A3109" s="23" t="s">
        <v>16009</v>
      </c>
      <c r="B3109" s="23"/>
      <c r="C3109" s="23" t="s">
        <v>16010</v>
      </c>
      <c r="D3109" s="23" t="str">
        <f t="shared" si="144"/>
        <v>ORD26001703</v>
      </c>
      <c r="E3109" s="38">
        <v>46282</v>
      </c>
      <c r="F3109" s="23" t="s">
        <v>12410</v>
      </c>
      <c r="G3109" s="23" t="s">
        <v>75</v>
      </c>
      <c r="H3109" s="24">
        <v>2499</v>
      </c>
      <c r="I3109" s="24">
        <v>7.5</v>
      </c>
      <c r="J3109" s="24">
        <v>1.35</v>
      </c>
      <c r="K3109" s="24">
        <v>2490.15</v>
      </c>
      <c r="L3109" s="38">
        <v>46284</v>
      </c>
      <c r="M3109" s="23" t="s">
        <v>210</v>
      </c>
      <c r="N3109" s="23" t="str">
        <f>IF(COUNTIF($A$2:A3109,A3109)&gt;1,"DUP","OK")</f>
        <v>OK</v>
      </c>
      <c r="O3109" s="23" t="str">
        <f t="shared" si="145"/>
        <v>ORD26001703</v>
      </c>
      <c r="P3109" s="23" t="str">
        <f t="shared" si="146"/>
        <v>Sep</v>
      </c>
      <c r="Q3109" s="23" t="str">
        <f>IF(F3109="CAPTURE",IF(COUNTIF(orders!$A:$A,O3109)&gt;0,"Yes","NO ORDER"),"")</f>
        <v>Yes</v>
      </c>
    </row>
    <row r="3110" spans="1:17" ht="15" customHeight="1" x14ac:dyDescent="0.3">
      <c r="A3110" s="23" t="s">
        <v>16011</v>
      </c>
      <c r="B3110" s="23"/>
      <c r="C3110" s="23" t="s">
        <v>16012</v>
      </c>
      <c r="D3110" s="23" t="str">
        <f t="shared" si="144"/>
        <v>ORD26001728</v>
      </c>
      <c r="E3110" s="38">
        <v>46282</v>
      </c>
      <c r="F3110" s="23" t="s">
        <v>12410</v>
      </c>
      <c r="G3110" s="23" t="s">
        <v>75</v>
      </c>
      <c r="H3110" s="24">
        <v>5897</v>
      </c>
      <c r="I3110" s="24">
        <v>17.690000000000001</v>
      </c>
      <c r="J3110" s="24">
        <v>3.18</v>
      </c>
      <c r="K3110" s="24">
        <v>5876.13</v>
      </c>
      <c r="L3110" s="38">
        <v>46284</v>
      </c>
      <c r="M3110" s="23" t="s">
        <v>210</v>
      </c>
      <c r="N3110" s="23" t="str">
        <f>IF(COUNTIF($A$2:A3110,A3110)&gt;1,"DUP","OK")</f>
        <v>OK</v>
      </c>
      <c r="O3110" s="23" t="str">
        <f t="shared" si="145"/>
        <v>ORD26001728</v>
      </c>
      <c r="P3110" s="23" t="str">
        <f t="shared" si="146"/>
        <v>Sep</v>
      </c>
      <c r="Q3110" s="23" t="str">
        <f>IF(F3110="CAPTURE",IF(COUNTIF(orders!$A:$A,O3110)&gt;0,"Yes","NO ORDER"),"")</f>
        <v>Yes</v>
      </c>
    </row>
    <row r="3111" spans="1:17" ht="15" customHeight="1" x14ac:dyDescent="0.3">
      <c r="A3111" s="23" t="s">
        <v>16013</v>
      </c>
      <c r="B3111" s="23"/>
      <c r="C3111" s="23" t="s">
        <v>4103</v>
      </c>
      <c r="D3111" s="23" t="str">
        <f t="shared" si="144"/>
        <v>ORD26001808</v>
      </c>
      <c r="E3111" s="38">
        <v>46282</v>
      </c>
      <c r="F3111" s="23" t="s">
        <v>12410</v>
      </c>
      <c r="G3111" s="23" t="s">
        <v>75</v>
      </c>
      <c r="H3111" s="24">
        <v>6097</v>
      </c>
      <c r="I3111" s="24">
        <v>18.29</v>
      </c>
      <c r="J3111" s="24">
        <v>3.29</v>
      </c>
      <c r="K3111" s="24">
        <v>6075.42</v>
      </c>
      <c r="L3111" s="38">
        <v>46284</v>
      </c>
      <c r="M3111" s="23" t="s">
        <v>210</v>
      </c>
      <c r="N3111" s="23" t="str">
        <f>IF(COUNTIF($A$2:A3111,A3111)&gt;1,"DUP","OK")</f>
        <v>OK</v>
      </c>
      <c r="O3111" s="23" t="str">
        <f t="shared" si="145"/>
        <v>ORD26001808</v>
      </c>
      <c r="P3111" s="23" t="str">
        <f t="shared" si="146"/>
        <v>Sep</v>
      </c>
      <c r="Q3111" s="23" t="str">
        <f>IF(F3111="CAPTURE",IF(COUNTIF(orders!$A:$A,O3111)&gt;0,"Yes","NO ORDER"),"")</f>
        <v>Yes</v>
      </c>
    </row>
    <row r="3112" spans="1:17" ht="15" customHeight="1" x14ac:dyDescent="0.3">
      <c r="A3112" s="23" t="s">
        <v>16014</v>
      </c>
      <c r="B3112" s="23"/>
      <c r="C3112" s="23" t="s">
        <v>4123</v>
      </c>
      <c r="D3112" s="23" t="str">
        <f t="shared" si="144"/>
        <v>ORD26001818</v>
      </c>
      <c r="E3112" s="38">
        <v>46282</v>
      </c>
      <c r="F3112" s="23" t="s">
        <v>12410</v>
      </c>
      <c r="G3112" s="23" t="s">
        <v>79</v>
      </c>
      <c r="H3112" s="24">
        <v>1798</v>
      </c>
      <c r="I3112" s="24">
        <v>32.36</v>
      </c>
      <c r="J3112" s="24">
        <v>5.82</v>
      </c>
      <c r="K3112" s="24">
        <v>1759.82</v>
      </c>
      <c r="L3112" s="38">
        <v>46284</v>
      </c>
      <c r="M3112" s="23" t="s">
        <v>210</v>
      </c>
      <c r="N3112" s="23" t="str">
        <f>IF(COUNTIF($A$2:A3112,A3112)&gt;1,"DUP","OK")</f>
        <v>OK</v>
      </c>
      <c r="O3112" s="23" t="str">
        <f t="shared" si="145"/>
        <v>ORD26001818</v>
      </c>
      <c r="P3112" s="23" t="str">
        <f t="shared" si="146"/>
        <v>Sep</v>
      </c>
      <c r="Q3112" s="23" t="str">
        <f>IF(F3112="CAPTURE",IF(COUNTIF(orders!$A:$A,O3112)&gt;0,"Yes","NO ORDER"),"")</f>
        <v>Yes</v>
      </c>
    </row>
    <row r="3113" spans="1:17" ht="15" customHeight="1" x14ac:dyDescent="0.3">
      <c r="A3113" s="23" t="s">
        <v>16015</v>
      </c>
      <c r="B3113" s="23"/>
      <c r="C3113" s="23" t="s">
        <v>4144</v>
      </c>
      <c r="D3113" s="23" t="str">
        <f t="shared" si="144"/>
        <v>ORD26001829</v>
      </c>
      <c r="E3113" s="38">
        <v>46282</v>
      </c>
      <c r="F3113" s="23" t="s">
        <v>12410</v>
      </c>
      <c r="G3113" s="23" t="s">
        <v>79</v>
      </c>
      <c r="H3113" s="24">
        <v>799</v>
      </c>
      <c r="I3113" s="24">
        <v>14.38</v>
      </c>
      <c r="J3113" s="24">
        <v>2.59</v>
      </c>
      <c r="K3113" s="24">
        <v>782.03</v>
      </c>
      <c r="L3113" s="38">
        <v>46284</v>
      </c>
      <c r="M3113" s="23" t="s">
        <v>210</v>
      </c>
      <c r="N3113" s="23" t="str">
        <f>IF(COUNTIF($A$2:A3113,A3113)&gt;1,"DUP","OK")</f>
        <v>OK</v>
      </c>
      <c r="O3113" s="23" t="str">
        <f t="shared" si="145"/>
        <v>ORD26001829</v>
      </c>
      <c r="P3113" s="23" t="str">
        <f t="shared" si="146"/>
        <v>Sep</v>
      </c>
      <c r="Q3113" s="23" t="str">
        <f>IF(F3113="CAPTURE",IF(COUNTIF(orders!$A:$A,O3113)&gt;0,"Yes","NO ORDER"),"")</f>
        <v>Yes</v>
      </c>
    </row>
    <row r="3114" spans="1:17" ht="15" customHeight="1" x14ac:dyDescent="0.3">
      <c r="A3114" s="23" t="s">
        <v>16016</v>
      </c>
      <c r="B3114" s="23"/>
      <c r="C3114" s="23" t="s">
        <v>16017</v>
      </c>
      <c r="D3114" s="23" t="str">
        <f t="shared" si="144"/>
        <v>ORD26001835</v>
      </c>
      <c r="E3114" s="38">
        <v>46282</v>
      </c>
      <c r="F3114" s="23" t="s">
        <v>12410</v>
      </c>
      <c r="G3114" s="23" t="s">
        <v>75</v>
      </c>
      <c r="H3114" s="24">
        <v>3098</v>
      </c>
      <c r="I3114" s="24">
        <v>9.2899999999999991</v>
      </c>
      <c r="J3114" s="24">
        <v>1.67</v>
      </c>
      <c r="K3114" s="24">
        <v>3087.04</v>
      </c>
      <c r="L3114" s="38">
        <v>46284</v>
      </c>
      <c r="M3114" s="23" t="s">
        <v>210</v>
      </c>
      <c r="N3114" s="23" t="str">
        <f>IF(COUNTIF($A$2:A3114,A3114)&gt;1,"DUP","OK")</f>
        <v>OK</v>
      </c>
      <c r="O3114" s="23" t="str">
        <f t="shared" si="145"/>
        <v>ORD26001835</v>
      </c>
      <c r="P3114" s="23" t="str">
        <f t="shared" si="146"/>
        <v>Sep</v>
      </c>
      <c r="Q3114" s="23" t="str">
        <f>IF(F3114="CAPTURE",IF(COUNTIF(orders!$A:$A,O3114)&gt;0,"Yes","NO ORDER"),"")</f>
        <v>Yes</v>
      </c>
    </row>
    <row r="3115" spans="1:17" ht="15" customHeight="1" x14ac:dyDescent="0.3">
      <c r="A3115" s="23" t="s">
        <v>16018</v>
      </c>
      <c r="B3115" s="23"/>
      <c r="C3115" s="23" t="s">
        <v>16019</v>
      </c>
      <c r="D3115" s="23" t="str">
        <f t="shared" si="144"/>
        <v>ORD26001850</v>
      </c>
      <c r="E3115" s="38">
        <v>46282</v>
      </c>
      <c r="F3115" s="23" t="s">
        <v>12410</v>
      </c>
      <c r="G3115" s="23" t="s">
        <v>75</v>
      </c>
      <c r="H3115" s="24">
        <v>6498</v>
      </c>
      <c r="I3115" s="24">
        <v>19.489999999999998</v>
      </c>
      <c r="J3115" s="24">
        <v>3.51</v>
      </c>
      <c r="K3115" s="24">
        <v>6475</v>
      </c>
      <c r="L3115" s="38">
        <v>46284</v>
      </c>
      <c r="M3115" s="23" t="s">
        <v>210</v>
      </c>
      <c r="N3115" s="23" t="str">
        <f>IF(COUNTIF($A$2:A3115,A3115)&gt;1,"DUP","OK")</f>
        <v>OK</v>
      </c>
      <c r="O3115" s="23" t="str">
        <f t="shared" si="145"/>
        <v>ORD26001850</v>
      </c>
      <c r="P3115" s="23" t="str">
        <f t="shared" si="146"/>
        <v>Sep</v>
      </c>
      <c r="Q3115" s="23" t="str">
        <f>IF(F3115="CAPTURE",IF(COUNTIF(orders!$A:$A,O3115)&gt;0,"Yes","NO ORDER"),"")</f>
        <v>Yes</v>
      </c>
    </row>
    <row r="3116" spans="1:17" ht="15" customHeight="1" x14ac:dyDescent="0.3">
      <c r="A3116" s="23" t="s">
        <v>16020</v>
      </c>
      <c r="B3116" s="23"/>
      <c r="C3116" s="23" t="s">
        <v>4232</v>
      </c>
      <c r="D3116" s="23" t="str">
        <f t="shared" si="144"/>
        <v>ORD26001873</v>
      </c>
      <c r="E3116" s="38">
        <v>46282</v>
      </c>
      <c r="F3116" s="23" t="s">
        <v>12410</v>
      </c>
      <c r="G3116" s="23" t="s">
        <v>75</v>
      </c>
      <c r="H3116" s="24">
        <v>9797</v>
      </c>
      <c r="I3116" s="24">
        <v>29.39</v>
      </c>
      <c r="J3116" s="24">
        <v>5.29</v>
      </c>
      <c r="K3116" s="24">
        <v>9762.32</v>
      </c>
      <c r="L3116" s="38">
        <v>46284</v>
      </c>
      <c r="M3116" s="23" t="s">
        <v>210</v>
      </c>
      <c r="N3116" s="23" t="str">
        <f>IF(COUNTIF($A$2:A3116,A3116)&gt;1,"DUP","OK")</f>
        <v>OK</v>
      </c>
      <c r="O3116" s="23" t="str">
        <f t="shared" si="145"/>
        <v>ORD26001873</v>
      </c>
      <c r="P3116" s="23" t="str">
        <f t="shared" si="146"/>
        <v>Sep</v>
      </c>
      <c r="Q3116" s="23" t="str">
        <f>IF(F3116="CAPTURE",IF(COUNTIF(orders!$A:$A,O3116)&gt;0,"Yes","NO ORDER"),"")</f>
        <v>Yes</v>
      </c>
    </row>
    <row r="3117" spans="1:17" ht="15" customHeight="1" x14ac:dyDescent="0.3">
      <c r="A3117" s="23" t="s">
        <v>16021</v>
      </c>
      <c r="B3117" s="23"/>
      <c r="C3117" s="23" t="s">
        <v>4271</v>
      </c>
      <c r="D3117" s="23" t="str">
        <f t="shared" si="144"/>
        <v>ORD26001892</v>
      </c>
      <c r="E3117" s="38">
        <v>46282</v>
      </c>
      <c r="F3117" s="23" t="s">
        <v>12410</v>
      </c>
      <c r="G3117" s="23" t="s">
        <v>79</v>
      </c>
      <c r="H3117" s="24">
        <v>2499</v>
      </c>
      <c r="I3117" s="24">
        <v>39.979999999999997</v>
      </c>
      <c r="J3117" s="24">
        <v>7.2</v>
      </c>
      <c r="K3117" s="24">
        <v>2451.8200000000002</v>
      </c>
      <c r="L3117" s="38">
        <v>46284</v>
      </c>
      <c r="M3117" s="23" t="s">
        <v>210</v>
      </c>
      <c r="N3117" s="23" t="str">
        <f>IF(COUNTIF($A$2:A3117,A3117)&gt;1,"DUP","OK")</f>
        <v>OK</v>
      </c>
      <c r="O3117" s="23" t="str">
        <f t="shared" si="145"/>
        <v>ORD26001892</v>
      </c>
      <c r="P3117" s="23" t="str">
        <f t="shared" si="146"/>
        <v>Sep</v>
      </c>
      <c r="Q3117" s="23" t="str">
        <f>IF(F3117="CAPTURE",IF(COUNTIF(orders!$A:$A,O3117)&gt;0,"Yes","NO ORDER"),"")</f>
        <v>Yes</v>
      </c>
    </row>
    <row r="3118" spans="1:17" ht="15" customHeight="1" x14ac:dyDescent="0.3">
      <c r="A3118" s="23" t="s">
        <v>16022</v>
      </c>
      <c r="B3118" s="23"/>
      <c r="C3118" s="23" t="s">
        <v>4318</v>
      </c>
      <c r="D3118" s="23" t="str">
        <f t="shared" si="144"/>
        <v>ORD26001914</v>
      </c>
      <c r="E3118" s="38">
        <v>46282</v>
      </c>
      <c r="F3118" s="23" t="s">
        <v>12410</v>
      </c>
      <c r="G3118" s="23" t="s">
        <v>79</v>
      </c>
      <c r="H3118" s="24">
        <v>4997</v>
      </c>
      <c r="I3118" s="24">
        <v>79.95</v>
      </c>
      <c r="J3118" s="24">
        <v>14.39</v>
      </c>
      <c r="K3118" s="24">
        <v>4902.66</v>
      </c>
      <c r="L3118" s="38">
        <v>46284</v>
      </c>
      <c r="M3118" s="23" t="s">
        <v>210</v>
      </c>
      <c r="N3118" s="23" t="str">
        <f>IF(COUNTIF($A$2:A3118,A3118)&gt;1,"DUP","OK")</f>
        <v>OK</v>
      </c>
      <c r="O3118" s="23" t="str">
        <f t="shared" si="145"/>
        <v>ORD26001914</v>
      </c>
      <c r="P3118" s="23" t="str">
        <f t="shared" si="146"/>
        <v>Sep</v>
      </c>
      <c r="Q3118" s="23" t="str">
        <f>IF(F3118="CAPTURE",IF(COUNTIF(orders!$A:$A,O3118)&gt;0,"Yes","NO ORDER"),"")</f>
        <v>Yes</v>
      </c>
    </row>
    <row r="3119" spans="1:17" ht="15" customHeight="1" x14ac:dyDescent="0.3">
      <c r="A3119" s="23" t="s">
        <v>16023</v>
      </c>
      <c r="B3119" s="23"/>
      <c r="C3119" s="23" t="s">
        <v>4373</v>
      </c>
      <c r="D3119" s="23" t="str">
        <f t="shared" si="144"/>
        <v>ORD26001943</v>
      </c>
      <c r="E3119" s="38">
        <v>46282</v>
      </c>
      <c r="F3119" s="23" t="s">
        <v>12410</v>
      </c>
      <c r="G3119" s="23" t="s">
        <v>75</v>
      </c>
      <c r="H3119" s="24">
        <v>11498</v>
      </c>
      <c r="I3119" s="24">
        <v>34.49</v>
      </c>
      <c r="J3119" s="24">
        <v>6.21</v>
      </c>
      <c r="K3119" s="24">
        <v>11457.3</v>
      </c>
      <c r="L3119" s="38">
        <v>46284</v>
      </c>
      <c r="M3119" s="23" t="s">
        <v>210</v>
      </c>
      <c r="N3119" s="23" t="str">
        <f>IF(COUNTIF($A$2:A3119,A3119)&gt;1,"DUP","OK")</f>
        <v>OK</v>
      </c>
      <c r="O3119" s="23" t="str">
        <f t="shared" si="145"/>
        <v>ORD26001943</v>
      </c>
      <c r="P3119" s="23" t="str">
        <f t="shared" si="146"/>
        <v>Sep</v>
      </c>
      <c r="Q3119" s="23" t="str">
        <f>IF(F3119="CAPTURE",IF(COUNTIF(orders!$A:$A,O3119)&gt;0,"Yes","NO ORDER"),"")</f>
        <v>Yes</v>
      </c>
    </row>
    <row r="3120" spans="1:17" ht="15" customHeight="1" x14ac:dyDescent="0.3">
      <c r="A3120" s="23" t="s">
        <v>16024</v>
      </c>
      <c r="B3120" s="23"/>
      <c r="C3120" s="23" t="s">
        <v>4395</v>
      </c>
      <c r="D3120" s="23" t="str">
        <f t="shared" si="144"/>
        <v>ORD26001954</v>
      </c>
      <c r="E3120" s="38">
        <v>46282</v>
      </c>
      <c r="F3120" s="23" t="s">
        <v>12410</v>
      </c>
      <c r="G3120" s="23" t="s">
        <v>79</v>
      </c>
      <c r="H3120" s="24">
        <v>12998</v>
      </c>
      <c r="I3120" s="24">
        <v>207.97</v>
      </c>
      <c r="J3120" s="24">
        <v>37.43</v>
      </c>
      <c r="K3120" s="24">
        <v>12752.6</v>
      </c>
      <c r="L3120" s="38">
        <v>46284</v>
      </c>
      <c r="M3120" s="23" t="s">
        <v>210</v>
      </c>
      <c r="N3120" s="23" t="str">
        <f>IF(COUNTIF($A$2:A3120,A3120)&gt;1,"DUP","OK")</f>
        <v>OK</v>
      </c>
      <c r="O3120" s="23" t="str">
        <f t="shared" si="145"/>
        <v>ORD26001954</v>
      </c>
      <c r="P3120" s="23" t="str">
        <f t="shared" si="146"/>
        <v>Sep</v>
      </c>
      <c r="Q3120" s="23" t="str">
        <f>IF(F3120="CAPTURE",IF(COUNTIF(orders!$A:$A,O3120)&gt;0,"Yes","NO ORDER"),"")</f>
        <v>Yes</v>
      </c>
    </row>
    <row r="3121" spans="1:17" ht="15" customHeight="1" x14ac:dyDescent="0.3">
      <c r="A3121" s="23" t="s">
        <v>16025</v>
      </c>
      <c r="B3121" s="23"/>
      <c r="C3121" s="23" t="s">
        <v>4480</v>
      </c>
      <c r="D3121" s="23" t="str">
        <f t="shared" si="144"/>
        <v>ORD26001996</v>
      </c>
      <c r="E3121" s="38">
        <v>46282</v>
      </c>
      <c r="F3121" s="23" t="s">
        <v>12410</v>
      </c>
      <c r="G3121" s="23" t="s">
        <v>75</v>
      </c>
      <c r="H3121" s="24">
        <v>1299</v>
      </c>
      <c r="I3121" s="24">
        <v>0</v>
      </c>
      <c r="J3121" s="24">
        <v>0</v>
      </c>
      <c r="K3121" s="24">
        <v>1299</v>
      </c>
      <c r="L3121" s="38">
        <v>46284</v>
      </c>
      <c r="M3121" s="23" t="s">
        <v>210</v>
      </c>
      <c r="N3121" s="23" t="str">
        <f>IF(COUNTIF($A$2:A3121,A3121)&gt;1,"DUP","OK")</f>
        <v>OK</v>
      </c>
      <c r="O3121" s="23" t="str">
        <f t="shared" si="145"/>
        <v>ORD26001996</v>
      </c>
      <c r="P3121" s="23" t="str">
        <f t="shared" si="146"/>
        <v>Sep</v>
      </c>
      <c r="Q3121" s="23" t="str">
        <f>IF(F3121="CAPTURE",IF(COUNTIF(orders!$A:$A,O3121)&gt;0,"Yes","NO ORDER"),"")</f>
        <v>Yes</v>
      </c>
    </row>
    <row r="3122" spans="1:17" ht="15" customHeight="1" x14ac:dyDescent="0.3">
      <c r="A3122" s="23" t="s">
        <v>16026</v>
      </c>
      <c r="B3122" s="23"/>
      <c r="C3122" s="23" t="s">
        <v>4490</v>
      </c>
      <c r="D3122" s="23" t="str">
        <f t="shared" si="144"/>
        <v>ORD26002001</v>
      </c>
      <c r="E3122" s="38">
        <v>46282</v>
      </c>
      <c r="F3122" s="23" t="s">
        <v>12410</v>
      </c>
      <c r="G3122" s="23" t="s">
        <v>75</v>
      </c>
      <c r="H3122" s="24">
        <v>799</v>
      </c>
      <c r="I3122" s="24">
        <v>0</v>
      </c>
      <c r="J3122" s="24">
        <v>0</v>
      </c>
      <c r="K3122" s="24">
        <v>799</v>
      </c>
      <c r="L3122" s="38">
        <v>46284</v>
      </c>
      <c r="M3122" s="23" t="s">
        <v>210</v>
      </c>
      <c r="N3122" s="23" t="str">
        <f>IF(COUNTIF($A$2:A3122,A3122)&gt;1,"DUP","OK")</f>
        <v>OK</v>
      </c>
      <c r="O3122" s="23" t="str">
        <f t="shared" si="145"/>
        <v>ORD26002001</v>
      </c>
      <c r="P3122" s="23" t="str">
        <f t="shared" si="146"/>
        <v>Sep</v>
      </c>
      <c r="Q3122" s="23" t="str">
        <f>IF(F3122="CAPTURE",IF(COUNTIF(orders!$A:$A,O3122)&gt;0,"Yes","NO ORDER"),"")</f>
        <v>Yes</v>
      </c>
    </row>
    <row r="3123" spans="1:17" ht="15" customHeight="1" x14ac:dyDescent="0.3">
      <c r="A3123" s="23" t="s">
        <v>16027</v>
      </c>
      <c r="B3123" s="23"/>
      <c r="C3123" s="23" t="s">
        <v>4499</v>
      </c>
      <c r="D3123" s="23" t="str">
        <f t="shared" si="144"/>
        <v>ORD26002005</v>
      </c>
      <c r="E3123" s="38">
        <v>46282</v>
      </c>
      <c r="F3123" s="23" t="s">
        <v>12410</v>
      </c>
      <c r="G3123" s="23" t="s">
        <v>75</v>
      </c>
      <c r="H3123" s="24">
        <v>299</v>
      </c>
      <c r="I3123" s="24">
        <v>0</v>
      </c>
      <c r="J3123" s="24">
        <v>0</v>
      </c>
      <c r="K3123" s="24">
        <v>299</v>
      </c>
      <c r="L3123" s="38">
        <v>46284</v>
      </c>
      <c r="M3123" s="23" t="s">
        <v>210</v>
      </c>
      <c r="N3123" s="23" t="str">
        <f>IF(COUNTIF($A$2:A3123,A3123)&gt;1,"DUP","OK")</f>
        <v>OK</v>
      </c>
      <c r="O3123" s="23" t="str">
        <f t="shared" si="145"/>
        <v>ORD26002005</v>
      </c>
      <c r="P3123" s="23" t="str">
        <f t="shared" si="146"/>
        <v>Sep</v>
      </c>
      <c r="Q3123" s="23" t="str">
        <f>IF(F3123="CAPTURE",IF(COUNTIF(orders!$A:$A,O3123)&gt;0,"Yes","NO ORDER"),"")</f>
        <v>Yes</v>
      </c>
    </row>
    <row r="3124" spans="1:17" ht="15" customHeight="1" x14ac:dyDescent="0.3">
      <c r="A3124" s="23" t="s">
        <v>16028</v>
      </c>
      <c r="B3124" s="23"/>
      <c r="C3124" s="23" t="s">
        <v>4512</v>
      </c>
      <c r="D3124" s="23" t="str">
        <f t="shared" si="144"/>
        <v>ORD26002011</v>
      </c>
      <c r="E3124" s="38">
        <v>46282</v>
      </c>
      <c r="F3124" s="23" t="s">
        <v>12410</v>
      </c>
      <c r="G3124" s="23" t="s">
        <v>81</v>
      </c>
      <c r="H3124" s="24">
        <v>2999</v>
      </c>
      <c r="I3124" s="24">
        <v>35.99</v>
      </c>
      <c r="J3124" s="24">
        <v>6.48</v>
      </c>
      <c r="K3124" s="24">
        <v>2956.53</v>
      </c>
      <c r="L3124" s="38">
        <v>46284</v>
      </c>
      <c r="M3124" s="23" t="s">
        <v>210</v>
      </c>
      <c r="N3124" s="23" t="str">
        <f>IF(COUNTIF($A$2:A3124,A3124)&gt;1,"DUP","OK")</f>
        <v>OK</v>
      </c>
      <c r="O3124" s="23" t="str">
        <f t="shared" si="145"/>
        <v>ORD26002011</v>
      </c>
      <c r="P3124" s="23" t="str">
        <f t="shared" si="146"/>
        <v>Sep</v>
      </c>
      <c r="Q3124" s="23" t="str">
        <f>IF(F3124="CAPTURE",IF(COUNTIF(orders!$A:$A,O3124)&gt;0,"Yes","NO ORDER"),"")</f>
        <v>Yes</v>
      </c>
    </row>
    <row r="3125" spans="1:17" ht="15" customHeight="1" x14ac:dyDescent="0.3">
      <c r="A3125" s="23" t="s">
        <v>16029</v>
      </c>
      <c r="B3125" s="23"/>
      <c r="C3125" s="23" t="s">
        <v>4521</v>
      </c>
      <c r="D3125" s="23" t="str">
        <f t="shared" si="144"/>
        <v>ORD26002016</v>
      </c>
      <c r="E3125" s="38">
        <v>46282</v>
      </c>
      <c r="F3125" s="23" t="s">
        <v>12410</v>
      </c>
      <c r="G3125" s="23" t="s">
        <v>75</v>
      </c>
      <c r="H3125" s="24">
        <v>999</v>
      </c>
      <c r="I3125" s="24">
        <v>0</v>
      </c>
      <c r="J3125" s="24">
        <v>0</v>
      </c>
      <c r="K3125" s="24">
        <v>999</v>
      </c>
      <c r="L3125" s="38">
        <v>46284</v>
      </c>
      <c r="M3125" s="23" t="s">
        <v>210</v>
      </c>
      <c r="N3125" s="23" t="str">
        <f>IF(COUNTIF($A$2:A3125,A3125)&gt;1,"DUP","OK")</f>
        <v>OK</v>
      </c>
      <c r="O3125" s="23" t="str">
        <f t="shared" si="145"/>
        <v>ORD26002016</v>
      </c>
      <c r="P3125" s="23" t="str">
        <f t="shared" si="146"/>
        <v>Sep</v>
      </c>
      <c r="Q3125" s="23" t="str">
        <f>IF(F3125="CAPTURE",IF(COUNTIF(orders!$A:$A,O3125)&gt;0,"Yes","NO ORDER"),"")</f>
        <v>Yes</v>
      </c>
    </row>
    <row r="3126" spans="1:17" ht="15" customHeight="1" x14ac:dyDescent="0.3">
      <c r="A3126" s="23" t="s">
        <v>16030</v>
      </c>
      <c r="B3126" s="23"/>
      <c r="C3126" s="23" t="s">
        <v>4527</v>
      </c>
      <c r="D3126" s="23" t="str">
        <f t="shared" si="144"/>
        <v>ORD26002019</v>
      </c>
      <c r="E3126" s="38">
        <v>46282</v>
      </c>
      <c r="F3126" s="23" t="s">
        <v>12410</v>
      </c>
      <c r="G3126" s="23" t="s">
        <v>75</v>
      </c>
      <c r="H3126" s="24">
        <v>8797</v>
      </c>
      <c r="I3126" s="24">
        <v>26.39</v>
      </c>
      <c r="J3126" s="24">
        <v>4.75</v>
      </c>
      <c r="K3126" s="24">
        <v>8765.86</v>
      </c>
      <c r="L3126" s="38">
        <v>46284</v>
      </c>
      <c r="M3126" s="23" t="s">
        <v>210</v>
      </c>
      <c r="N3126" s="23" t="str">
        <f>IF(COUNTIF($A$2:A3126,A3126)&gt;1,"DUP","OK")</f>
        <v>OK</v>
      </c>
      <c r="O3126" s="23" t="str">
        <f t="shared" si="145"/>
        <v>ORD26002019</v>
      </c>
      <c r="P3126" s="23" t="str">
        <f t="shared" si="146"/>
        <v>Sep</v>
      </c>
      <c r="Q3126" s="23" t="str">
        <f>IF(F3126="CAPTURE",IF(COUNTIF(orders!$A:$A,O3126)&gt;0,"Yes","NO ORDER"),"")</f>
        <v>Yes</v>
      </c>
    </row>
    <row r="3127" spans="1:17" ht="15" customHeight="1" x14ac:dyDescent="0.3">
      <c r="A3127" s="23" t="s">
        <v>16031</v>
      </c>
      <c r="B3127" s="23"/>
      <c r="C3127" s="23" t="s">
        <v>4678</v>
      </c>
      <c r="D3127" s="23" t="str">
        <f t="shared" si="144"/>
        <v>ORD26002094</v>
      </c>
      <c r="E3127" s="38">
        <v>46282</v>
      </c>
      <c r="F3127" s="23" t="s">
        <v>12410</v>
      </c>
      <c r="G3127" s="23" t="s">
        <v>79</v>
      </c>
      <c r="H3127" s="24">
        <v>1799</v>
      </c>
      <c r="I3127" s="24">
        <v>32.380000000000003</v>
      </c>
      <c r="J3127" s="24">
        <v>5.83</v>
      </c>
      <c r="K3127" s="24">
        <v>1760.79</v>
      </c>
      <c r="L3127" s="38">
        <v>46284</v>
      </c>
      <c r="M3127" s="23" t="s">
        <v>210</v>
      </c>
      <c r="N3127" s="23" t="str">
        <f>IF(COUNTIF($A$2:A3127,A3127)&gt;1,"DUP","OK")</f>
        <v>OK</v>
      </c>
      <c r="O3127" s="23" t="str">
        <f t="shared" si="145"/>
        <v>ORD26002094</v>
      </c>
      <c r="P3127" s="23" t="str">
        <f t="shared" si="146"/>
        <v>Sep</v>
      </c>
      <c r="Q3127" s="23" t="str">
        <f>IF(F3127="CAPTURE",IF(COUNTIF(orders!$A:$A,O3127)&gt;0,"Yes","NO ORDER"),"")</f>
        <v>Yes</v>
      </c>
    </row>
    <row r="3128" spans="1:17" ht="15" customHeight="1" x14ac:dyDescent="0.3">
      <c r="A3128" s="23" t="s">
        <v>16032</v>
      </c>
      <c r="B3128" s="23"/>
      <c r="C3128" s="23" t="s">
        <v>4686</v>
      </c>
      <c r="D3128" s="23" t="str">
        <f t="shared" si="144"/>
        <v>ORD26002098</v>
      </c>
      <c r="E3128" s="38">
        <v>46282</v>
      </c>
      <c r="F3128" s="23" t="s">
        <v>12410</v>
      </c>
      <c r="G3128" s="23" t="s">
        <v>79</v>
      </c>
      <c r="H3128" s="24">
        <v>349</v>
      </c>
      <c r="I3128" s="24">
        <v>6.28</v>
      </c>
      <c r="J3128" s="24">
        <v>1.1299999999999999</v>
      </c>
      <c r="K3128" s="24">
        <v>341.59</v>
      </c>
      <c r="L3128" s="38">
        <v>46284</v>
      </c>
      <c r="M3128" s="23" t="s">
        <v>210</v>
      </c>
      <c r="N3128" s="23" t="str">
        <f>IF(COUNTIF($A$2:A3128,A3128)&gt;1,"DUP","OK")</f>
        <v>OK</v>
      </c>
      <c r="O3128" s="23" t="str">
        <f t="shared" si="145"/>
        <v>ORD26002098</v>
      </c>
      <c r="P3128" s="23" t="str">
        <f t="shared" si="146"/>
        <v>Sep</v>
      </c>
      <c r="Q3128" s="23" t="str">
        <f>IF(F3128="CAPTURE",IF(COUNTIF(orders!$A:$A,O3128)&gt;0,"Yes","NO ORDER"),"")</f>
        <v>Yes</v>
      </c>
    </row>
    <row r="3129" spans="1:17" ht="15" customHeight="1" x14ac:dyDescent="0.3">
      <c r="A3129" s="23" t="s">
        <v>16033</v>
      </c>
      <c r="B3129" s="23"/>
      <c r="C3129" s="23" t="s">
        <v>4858</v>
      </c>
      <c r="D3129" s="23" t="str">
        <f t="shared" si="144"/>
        <v>ORD26002184</v>
      </c>
      <c r="E3129" s="38">
        <v>46282</v>
      </c>
      <c r="F3129" s="23" t="s">
        <v>12410</v>
      </c>
      <c r="G3129" s="23" t="s">
        <v>75</v>
      </c>
      <c r="H3129" s="24">
        <v>1799</v>
      </c>
      <c r="I3129" s="24">
        <v>0</v>
      </c>
      <c r="J3129" s="24">
        <v>0</v>
      </c>
      <c r="K3129" s="24">
        <v>1799</v>
      </c>
      <c r="L3129" s="38">
        <v>46284</v>
      </c>
      <c r="M3129" s="23" t="s">
        <v>210</v>
      </c>
      <c r="N3129" s="23" t="str">
        <f>IF(COUNTIF($A$2:A3129,A3129)&gt;1,"DUP","OK")</f>
        <v>OK</v>
      </c>
      <c r="O3129" s="23" t="str">
        <f t="shared" si="145"/>
        <v>ORD26002184</v>
      </c>
      <c r="P3129" s="23" t="str">
        <f t="shared" si="146"/>
        <v>Sep</v>
      </c>
      <c r="Q3129" s="23" t="str">
        <f>IF(F3129="CAPTURE",IF(COUNTIF(orders!$A:$A,O3129)&gt;0,"Yes","NO ORDER"),"")</f>
        <v>Yes</v>
      </c>
    </row>
    <row r="3130" spans="1:17" ht="15" customHeight="1" x14ac:dyDescent="0.3">
      <c r="A3130" s="23" t="s">
        <v>16034</v>
      </c>
      <c r="B3130" s="23"/>
      <c r="C3130" s="23" t="s">
        <v>4993</v>
      </c>
      <c r="D3130" s="23" t="str">
        <f t="shared" si="144"/>
        <v>ORD26002250</v>
      </c>
      <c r="E3130" s="38">
        <v>46282</v>
      </c>
      <c r="F3130" s="23" t="s">
        <v>12410</v>
      </c>
      <c r="G3130" s="23" t="s">
        <v>75</v>
      </c>
      <c r="H3130" s="24">
        <v>1647</v>
      </c>
      <c r="I3130" s="24">
        <v>0</v>
      </c>
      <c r="J3130" s="24">
        <v>0</v>
      </c>
      <c r="K3130" s="24">
        <v>1647</v>
      </c>
      <c r="L3130" s="38">
        <v>46284</v>
      </c>
      <c r="M3130" s="23" t="s">
        <v>210</v>
      </c>
      <c r="N3130" s="23" t="str">
        <f>IF(COUNTIF($A$2:A3130,A3130)&gt;1,"DUP","OK")</f>
        <v>OK</v>
      </c>
      <c r="O3130" s="23" t="str">
        <f t="shared" si="145"/>
        <v>ORD26002250</v>
      </c>
      <c r="P3130" s="23" t="str">
        <f t="shared" si="146"/>
        <v>Sep</v>
      </c>
      <c r="Q3130" s="23" t="str">
        <f>IF(F3130="CAPTURE",IF(COUNTIF(orders!$A:$A,O3130)&gt;0,"Yes","NO ORDER"),"")</f>
        <v>Yes</v>
      </c>
    </row>
    <row r="3131" spans="1:17" ht="15" customHeight="1" x14ac:dyDescent="0.3">
      <c r="A3131" s="23" t="s">
        <v>16035</v>
      </c>
      <c r="B3131" s="23"/>
      <c r="C3131" s="23" t="s">
        <v>5054</v>
      </c>
      <c r="D3131" s="23" t="str">
        <f t="shared" si="144"/>
        <v>ORD26002280</v>
      </c>
      <c r="E3131" s="38">
        <v>46282</v>
      </c>
      <c r="F3131" s="23" t="s">
        <v>12410</v>
      </c>
      <c r="G3131" s="23" t="s">
        <v>79</v>
      </c>
      <c r="H3131" s="24">
        <v>999</v>
      </c>
      <c r="I3131" s="24">
        <v>17.98</v>
      </c>
      <c r="J3131" s="24">
        <v>3.24</v>
      </c>
      <c r="K3131" s="24">
        <v>977.78</v>
      </c>
      <c r="L3131" s="38">
        <v>46284</v>
      </c>
      <c r="M3131" s="23" t="s">
        <v>210</v>
      </c>
      <c r="N3131" s="23" t="str">
        <f>IF(COUNTIF($A$2:A3131,A3131)&gt;1,"DUP","OK")</f>
        <v>OK</v>
      </c>
      <c r="O3131" s="23" t="str">
        <f t="shared" si="145"/>
        <v>ORD26002280</v>
      </c>
      <c r="P3131" s="23" t="str">
        <f t="shared" si="146"/>
        <v>Sep</v>
      </c>
      <c r="Q3131" s="23" t="str">
        <f>IF(F3131="CAPTURE",IF(COUNTIF(orders!$A:$A,O3131)&gt;0,"Yes","NO ORDER"),"")</f>
        <v>Yes</v>
      </c>
    </row>
    <row r="3132" spans="1:17" ht="15" customHeight="1" x14ac:dyDescent="0.3">
      <c r="A3132" s="23" t="s">
        <v>16036</v>
      </c>
      <c r="B3132" s="23"/>
      <c r="C3132" s="23" t="s">
        <v>16037</v>
      </c>
      <c r="D3132" s="23" t="str">
        <f t="shared" si="144"/>
        <v>ORD26002281</v>
      </c>
      <c r="E3132" s="38">
        <v>46282</v>
      </c>
      <c r="F3132" s="23" t="s">
        <v>12410</v>
      </c>
      <c r="G3132" s="23" t="s">
        <v>79</v>
      </c>
      <c r="H3132" s="24">
        <v>1499</v>
      </c>
      <c r="I3132" s="24">
        <v>26.98</v>
      </c>
      <c r="J3132" s="24">
        <v>4.8600000000000003</v>
      </c>
      <c r="K3132" s="24">
        <v>1467.16</v>
      </c>
      <c r="L3132" s="38">
        <v>46284</v>
      </c>
      <c r="M3132" s="23" t="s">
        <v>210</v>
      </c>
      <c r="N3132" s="23" t="str">
        <f>IF(COUNTIF($A$2:A3132,A3132)&gt;1,"DUP","OK")</f>
        <v>OK</v>
      </c>
      <c r="O3132" s="23" t="str">
        <f t="shared" si="145"/>
        <v>ORD26002281</v>
      </c>
      <c r="P3132" s="23" t="str">
        <f t="shared" si="146"/>
        <v>Sep</v>
      </c>
      <c r="Q3132" s="23" t="str">
        <f>IF(F3132="CAPTURE",IF(COUNTIF(orders!$A:$A,O3132)&gt;0,"Yes","NO ORDER"),"")</f>
        <v>Yes</v>
      </c>
    </row>
    <row r="3133" spans="1:17" ht="15" customHeight="1" x14ac:dyDescent="0.3">
      <c r="A3133" s="23" t="s">
        <v>16038</v>
      </c>
      <c r="B3133" s="23"/>
      <c r="C3133" s="23" t="s">
        <v>5124</v>
      </c>
      <c r="D3133" s="23" t="str">
        <f t="shared" si="144"/>
        <v>ORD26002315</v>
      </c>
      <c r="E3133" s="38">
        <v>46282</v>
      </c>
      <c r="F3133" s="23" t="s">
        <v>12410</v>
      </c>
      <c r="G3133" s="23" t="s">
        <v>75</v>
      </c>
      <c r="H3133" s="24">
        <v>2098</v>
      </c>
      <c r="I3133" s="24">
        <v>6.29</v>
      </c>
      <c r="J3133" s="24">
        <v>1.1299999999999999</v>
      </c>
      <c r="K3133" s="24">
        <v>2090.58</v>
      </c>
      <c r="L3133" s="38">
        <v>46284</v>
      </c>
      <c r="M3133" s="23" t="s">
        <v>210</v>
      </c>
      <c r="N3133" s="23" t="str">
        <f>IF(COUNTIF($A$2:A3133,A3133)&gt;1,"DUP","OK")</f>
        <v>OK</v>
      </c>
      <c r="O3133" s="23" t="str">
        <f t="shared" si="145"/>
        <v>ORD26002315</v>
      </c>
      <c r="P3133" s="23" t="str">
        <f t="shared" si="146"/>
        <v>Sep</v>
      </c>
      <c r="Q3133" s="23" t="str">
        <f>IF(F3133="CAPTURE",IF(COUNTIF(orders!$A:$A,O3133)&gt;0,"Yes","NO ORDER"),"")</f>
        <v>Yes</v>
      </c>
    </row>
    <row r="3134" spans="1:17" ht="15" customHeight="1" x14ac:dyDescent="0.3">
      <c r="A3134" s="23" t="s">
        <v>16039</v>
      </c>
      <c r="B3134" s="23"/>
      <c r="C3134" s="23" t="s">
        <v>16040</v>
      </c>
      <c r="D3134" s="23" t="str">
        <f t="shared" si="144"/>
        <v>ORD26002352</v>
      </c>
      <c r="E3134" s="38">
        <v>46282</v>
      </c>
      <c r="F3134" s="23" t="s">
        <v>12410</v>
      </c>
      <c r="G3134" s="23" t="s">
        <v>79</v>
      </c>
      <c r="H3134" s="24">
        <v>2499</v>
      </c>
      <c r="I3134" s="24">
        <v>39.979999999999997</v>
      </c>
      <c r="J3134" s="24">
        <v>7.2</v>
      </c>
      <c r="K3134" s="24">
        <v>2451.8200000000002</v>
      </c>
      <c r="L3134" s="38">
        <v>46284</v>
      </c>
      <c r="M3134" s="23" t="s">
        <v>210</v>
      </c>
      <c r="N3134" s="23" t="str">
        <f>IF(COUNTIF($A$2:A3134,A3134)&gt;1,"DUP","OK")</f>
        <v>OK</v>
      </c>
      <c r="O3134" s="23" t="str">
        <f t="shared" si="145"/>
        <v>ORD26002352</v>
      </c>
      <c r="P3134" s="23" t="str">
        <f t="shared" si="146"/>
        <v>Sep</v>
      </c>
      <c r="Q3134" s="23" t="str">
        <f>IF(F3134="CAPTURE",IF(COUNTIF(orders!$A:$A,O3134)&gt;0,"Yes","NO ORDER"),"")</f>
        <v>Yes</v>
      </c>
    </row>
    <row r="3135" spans="1:17" ht="15" customHeight="1" x14ac:dyDescent="0.3">
      <c r="A3135" s="23" t="s">
        <v>16041</v>
      </c>
      <c r="B3135" s="23"/>
      <c r="C3135" s="23" t="s">
        <v>5267</v>
      </c>
      <c r="D3135" s="23" t="str">
        <f t="shared" si="144"/>
        <v>ORD26002387</v>
      </c>
      <c r="E3135" s="38">
        <v>46282</v>
      </c>
      <c r="F3135" s="23" t="s">
        <v>12410</v>
      </c>
      <c r="G3135" s="23" t="s">
        <v>75</v>
      </c>
      <c r="H3135" s="24">
        <v>9298</v>
      </c>
      <c r="I3135" s="24">
        <v>27.89</v>
      </c>
      <c r="J3135" s="24">
        <v>5.0199999999999996</v>
      </c>
      <c r="K3135" s="24">
        <v>9265.09</v>
      </c>
      <c r="L3135" s="38">
        <v>46284</v>
      </c>
      <c r="M3135" s="23" t="s">
        <v>210</v>
      </c>
      <c r="N3135" s="23" t="str">
        <f>IF(COUNTIF($A$2:A3135,A3135)&gt;1,"DUP","OK")</f>
        <v>OK</v>
      </c>
      <c r="O3135" s="23" t="str">
        <f t="shared" si="145"/>
        <v>ORD26002387</v>
      </c>
      <c r="P3135" s="23" t="str">
        <f t="shared" si="146"/>
        <v>Sep</v>
      </c>
      <c r="Q3135" s="23" t="str">
        <f>IF(F3135="CAPTURE",IF(COUNTIF(orders!$A:$A,O3135)&gt;0,"Yes","NO ORDER"),"")</f>
        <v>Yes</v>
      </c>
    </row>
    <row r="3136" spans="1:17" ht="15" customHeight="1" x14ac:dyDescent="0.3">
      <c r="A3136" s="23" t="s">
        <v>16042</v>
      </c>
      <c r="B3136" s="23"/>
      <c r="C3136" s="23" t="s">
        <v>5299</v>
      </c>
      <c r="D3136" s="23" t="str">
        <f t="shared" si="144"/>
        <v>ORD26002403</v>
      </c>
      <c r="E3136" s="38">
        <v>46282</v>
      </c>
      <c r="F3136" s="23" t="s">
        <v>12410</v>
      </c>
      <c r="G3136" s="23" t="s">
        <v>75</v>
      </c>
      <c r="H3136" s="24">
        <v>1598</v>
      </c>
      <c r="I3136" s="24">
        <v>0</v>
      </c>
      <c r="J3136" s="24">
        <v>0</v>
      </c>
      <c r="K3136" s="24">
        <v>1598</v>
      </c>
      <c r="L3136" s="38">
        <v>46284</v>
      </c>
      <c r="M3136" s="23" t="s">
        <v>210</v>
      </c>
      <c r="N3136" s="23" t="str">
        <f>IF(COUNTIF($A$2:A3136,A3136)&gt;1,"DUP","OK")</f>
        <v>OK</v>
      </c>
      <c r="O3136" s="23" t="str">
        <f t="shared" si="145"/>
        <v>ORD26002403</v>
      </c>
      <c r="P3136" s="23" t="str">
        <f t="shared" si="146"/>
        <v>Sep</v>
      </c>
      <c r="Q3136" s="23" t="str">
        <f>IF(F3136="CAPTURE",IF(COUNTIF(orders!$A:$A,O3136)&gt;0,"Yes","NO ORDER"),"")</f>
        <v>Yes</v>
      </c>
    </row>
    <row r="3137" spans="1:17" ht="15" customHeight="1" x14ac:dyDescent="0.3">
      <c r="A3137" s="23" t="s">
        <v>16043</v>
      </c>
      <c r="B3137" s="23"/>
      <c r="C3137" s="23" t="s">
        <v>5391</v>
      </c>
      <c r="D3137" s="23" t="str">
        <f t="shared" si="144"/>
        <v>ORD26002450</v>
      </c>
      <c r="E3137" s="38">
        <v>46282</v>
      </c>
      <c r="F3137" s="23" t="s">
        <v>12410</v>
      </c>
      <c r="G3137" s="23" t="s">
        <v>81</v>
      </c>
      <c r="H3137" s="24">
        <v>799</v>
      </c>
      <c r="I3137" s="24">
        <v>11.99</v>
      </c>
      <c r="J3137" s="24">
        <v>2.16</v>
      </c>
      <c r="K3137" s="24">
        <v>784.85</v>
      </c>
      <c r="L3137" s="38">
        <v>46284</v>
      </c>
      <c r="M3137" s="23" t="s">
        <v>210</v>
      </c>
      <c r="N3137" s="23" t="str">
        <f>IF(COUNTIF($A$2:A3137,A3137)&gt;1,"DUP","OK")</f>
        <v>OK</v>
      </c>
      <c r="O3137" s="23" t="str">
        <f t="shared" si="145"/>
        <v>ORD26002450</v>
      </c>
      <c r="P3137" s="23" t="str">
        <f t="shared" si="146"/>
        <v>Sep</v>
      </c>
      <c r="Q3137" s="23" t="str">
        <f>IF(F3137="CAPTURE",IF(COUNTIF(orders!$A:$A,O3137)&gt;0,"Yes","NO ORDER"),"")</f>
        <v>Yes</v>
      </c>
    </row>
    <row r="3138" spans="1:17" ht="15" customHeight="1" x14ac:dyDescent="0.3">
      <c r="A3138" s="23" t="s">
        <v>16044</v>
      </c>
      <c r="B3138" s="23"/>
      <c r="C3138" s="23" t="s">
        <v>5413</v>
      </c>
      <c r="D3138" s="23" t="str">
        <f t="shared" ref="D3138:D3201" si="147">UPPER(SUBSTITUTE(TRIM(C3138),"-",""))</f>
        <v>ORD26002461</v>
      </c>
      <c r="E3138" s="38">
        <v>46282</v>
      </c>
      <c r="F3138" s="23" t="s">
        <v>12410</v>
      </c>
      <c r="G3138" s="23" t="s">
        <v>75</v>
      </c>
      <c r="H3138" s="24">
        <v>599</v>
      </c>
      <c r="I3138" s="24">
        <v>0</v>
      </c>
      <c r="J3138" s="24">
        <v>0</v>
      </c>
      <c r="K3138" s="24">
        <v>599</v>
      </c>
      <c r="L3138" s="38">
        <v>46284</v>
      </c>
      <c r="M3138" s="23" t="s">
        <v>210</v>
      </c>
      <c r="N3138" s="23" t="str">
        <f>IF(COUNTIF($A$2:A3138,A3138)&gt;1,"DUP","OK")</f>
        <v>OK</v>
      </c>
      <c r="O3138" s="23" t="str">
        <f t="shared" ref="O3138:O3201" si="148">IF(F3138="REFUND",INDEX($D:$D,MATCH(B3138,$A:$A,0)),D3138)</f>
        <v>ORD26002461</v>
      </c>
      <c r="P3138" s="23" t="str">
        <f t="shared" ref="P3138:P3201" si="149">IF(L3138&gt;DATE(2026,9,30),"Oct-Due","Sep")</f>
        <v>Sep</v>
      </c>
      <c r="Q3138" s="23" t="str">
        <f>IF(F3138="CAPTURE",IF(COUNTIF(orders!$A:$A,O3138)&gt;0,"Yes","NO ORDER"),"")</f>
        <v>Yes</v>
      </c>
    </row>
    <row r="3139" spans="1:17" ht="15" customHeight="1" x14ac:dyDescent="0.3">
      <c r="A3139" s="23" t="s">
        <v>16045</v>
      </c>
      <c r="B3139" s="23"/>
      <c r="C3139" s="23" t="s">
        <v>5419</v>
      </c>
      <c r="D3139" s="23" t="str">
        <f t="shared" si="147"/>
        <v>ORD26002464</v>
      </c>
      <c r="E3139" s="38">
        <v>46282</v>
      </c>
      <c r="F3139" s="23" t="s">
        <v>12410</v>
      </c>
      <c r="G3139" s="23" t="s">
        <v>79</v>
      </c>
      <c r="H3139" s="24">
        <v>4298</v>
      </c>
      <c r="I3139" s="24">
        <v>68.77</v>
      </c>
      <c r="J3139" s="24">
        <v>12.38</v>
      </c>
      <c r="K3139" s="24">
        <v>4216.8500000000004</v>
      </c>
      <c r="L3139" s="38">
        <v>46284</v>
      </c>
      <c r="M3139" s="23" t="s">
        <v>210</v>
      </c>
      <c r="N3139" s="23" t="str">
        <f>IF(COUNTIF($A$2:A3139,A3139)&gt;1,"DUP","OK")</f>
        <v>OK</v>
      </c>
      <c r="O3139" s="23" t="str">
        <f t="shared" si="148"/>
        <v>ORD26002464</v>
      </c>
      <c r="P3139" s="23" t="str">
        <f t="shared" si="149"/>
        <v>Sep</v>
      </c>
      <c r="Q3139" s="23" t="str">
        <f>IF(F3139="CAPTURE",IF(COUNTIF(orders!$A:$A,O3139)&gt;0,"Yes","NO ORDER"),"")</f>
        <v>Yes</v>
      </c>
    </row>
    <row r="3140" spans="1:17" ht="15" customHeight="1" x14ac:dyDescent="0.3">
      <c r="A3140" s="23" t="s">
        <v>16046</v>
      </c>
      <c r="B3140" s="23"/>
      <c r="C3140" s="23" t="s">
        <v>5451</v>
      </c>
      <c r="D3140" s="23" t="str">
        <f t="shared" si="147"/>
        <v>ORD26002481</v>
      </c>
      <c r="E3140" s="38">
        <v>46282</v>
      </c>
      <c r="F3140" s="23" t="s">
        <v>12410</v>
      </c>
      <c r="G3140" s="23" t="s">
        <v>75</v>
      </c>
      <c r="H3140" s="24">
        <v>1499</v>
      </c>
      <c r="I3140" s="24">
        <v>0</v>
      </c>
      <c r="J3140" s="24">
        <v>0</v>
      </c>
      <c r="K3140" s="24">
        <v>1499</v>
      </c>
      <c r="L3140" s="38">
        <v>46284</v>
      </c>
      <c r="M3140" s="23" t="s">
        <v>210</v>
      </c>
      <c r="N3140" s="23" t="str">
        <f>IF(COUNTIF($A$2:A3140,A3140)&gt;1,"DUP","OK")</f>
        <v>OK</v>
      </c>
      <c r="O3140" s="23" t="str">
        <f t="shared" si="148"/>
        <v>ORD26002481</v>
      </c>
      <c r="P3140" s="23" t="str">
        <f t="shared" si="149"/>
        <v>Sep</v>
      </c>
      <c r="Q3140" s="23" t="str">
        <f>IF(F3140="CAPTURE",IF(COUNTIF(orders!$A:$A,O3140)&gt;0,"Yes","NO ORDER"),"")</f>
        <v>Yes</v>
      </c>
    </row>
    <row r="3141" spans="1:17" ht="15" customHeight="1" x14ac:dyDescent="0.3">
      <c r="A3141" s="23" t="s">
        <v>16047</v>
      </c>
      <c r="B3141" s="23"/>
      <c r="C3141" s="23" t="s">
        <v>16048</v>
      </c>
      <c r="D3141" s="23" t="str">
        <f t="shared" si="147"/>
        <v>ORD26002557</v>
      </c>
      <c r="E3141" s="38">
        <v>46282</v>
      </c>
      <c r="F3141" s="23" t="s">
        <v>12410</v>
      </c>
      <c r="G3141" s="23" t="s">
        <v>81</v>
      </c>
      <c r="H3141" s="24">
        <v>5498</v>
      </c>
      <c r="I3141" s="24">
        <v>65.98</v>
      </c>
      <c r="J3141" s="24">
        <v>11.88</v>
      </c>
      <c r="K3141" s="24">
        <v>5420.14</v>
      </c>
      <c r="L3141" s="38">
        <v>46284</v>
      </c>
      <c r="M3141" s="23" t="s">
        <v>210</v>
      </c>
      <c r="N3141" s="23" t="str">
        <f>IF(COUNTIF($A$2:A3141,A3141)&gt;1,"DUP","OK")</f>
        <v>OK</v>
      </c>
      <c r="O3141" s="23" t="str">
        <f t="shared" si="148"/>
        <v>ORD26002557</v>
      </c>
      <c r="P3141" s="23" t="str">
        <f t="shared" si="149"/>
        <v>Sep</v>
      </c>
      <c r="Q3141" s="23" t="str">
        <f>IF(F3141="CAPTURE",IF(COUNTIF(orders!$A:$A,O3141)&gt;0,"Yes","NO ORDER"),"")</f>
        <v>Yes</v>
      </c>
    </row>
    <row r="3142" spans="1:17" ht="15" customHeight="1" x14ac:dyDescent="0.3">
      <c r="A3142" s="23" t="s">
        <v>16049</v>
      </c>
      <c r="B3142" s="23"/>
      <c r="C3142" s="23" t="s">
        <v>5689</v>
      </c>
      <c r="D3142" s="23" t="str">
        <f t="shared" si="147"/>
        <v>ORD26002598</v>
      </c>
      <c r="E3142" s="38">
        <v>46282</v>
      </c>
      <c r="F3142" s="23" t="s">
        <v>12410</v>
      </c>
      <c r="G3142" s="23" t="s">
        <v>75</v>
      </c>
      <c r="H3142" s="24">
        <v>8498</v>
      </c>
      <c r="I3142" s="24">
        <v>25.49</v>
      </c>
      <c r="J3142" s="24">
        <v>4.59</v>
      </c>
      <c r="K3142" s="24">
        <v>8467.92</v>
      </c>
      <c r="L3142" s="38">
        <v>46284</v>
      </c>
      <c r="M3142" s="23" t="s">
        <v>210</v>
      </c>
      <c r="N3142" s="23" t="str">
        <f>IF(COUNTIF($A$2:A3142,A3142)&gt;1,"DUP","OK")</f>
        <v>OK</v>
      </c>
      <c r="O3142" s="23" t="str">
        <f t="shared" si="148"/>
        <v>ORD26002598</v>
      </c>
      <c r="P3142" s="23" t="str">
        <f t="shared" si="149"/>
        <v>Sep</v>
      </c>
      <c r="Q3142" s="23" t="str">
        <f>IF(F3142="CAPTURE",IF(COUNTIF(orders!$A:$A,O3142)&gt;0,"Yes","NO ORDER"),"")</f>
        <v>Yes</v>
      </c>
    </row>
    <row r="3143" spans="1:17" ht="15" customHeight="1" x14ac:dyDescent="0.3">
      <c r="A3143" s="23" t="s">
        <v>16050</v>
      </c>
      <c r="B3143" s="23"/>
      <c r="C3143" s="23" t="s">
        <v>5724</v>
      </c>
      <c r="D3143" s="23" t="str">
        <f t="shared" si="147"/>
        <v>ORD26002615</v>
      </c>
      <c r="E3143" s="38">
        <v>46282</v>
      </c>
      <c r="F3143" s="23" t="s">
        <v>12410</v>
      </c>
      <c r="G3143" s="23" t="s">
        <v>79</v>
      </c>
      <c r="H3143" s="24">
        <v>4197</v>
      </c>
      <c r="I3143" s="24">
        <v>67.150000000000006</v>
      </c>
      <c r="J3143" s="24">
        <v>12.09</v>
      </c>
      <c r="K3143" s="24">
        <v>4117.76</v>
      </c>
      <c r="L3143" s="38">
        <v>46284</v>
      </c>
      <c r="M3143" s="23" t="s">
        <v>210</v>
      </c>
      <c r="N3143" s="23" t="str">
        <f>IF(COUNTIF($A$2:A3143,A3143)&gt;1,"DUP","OK")</f>
        <v>OK</v>
      </c>
      <c r="O3143" s="23" t="str">
        <f t="shared" si="148"/>
        <v>ORD26002615</v>
      </c>
      <c r="P3143" s="23" t="str">
        <f t="shared" si="149"/>
        <v>Sep</v>
      </c>
      <c r="Q3143" s="23" t="str">
        <f>IF(F3143="CAPTURE",IF(COUNTIF(orders!$A:$A,O3143)&gt;0,"Yes","NO ORDER"),"")</f>
        <v>Yes</v>
      </c>
    </row>
    <row r="3144" spans="1:17" ht="15" customHeight="1" x14ac:dyDescent="0.3">
      <c r="A3144" s="23" t="s">
        <v>16051</v>
      </c>
      <c r="B3144" s="23"/>
      <c r="C3144" s="23" t="s">
        <v>5916</v>
      </c>
      <c r="D3144" s="23" t="str">
        <f t="shared" si="147"/>
        <v>ORD26002710</v>
      </c>
      <c r="E3144" s="38">
        <v>46282</v>
      </c>
      <c r="F3144" s="23" t="s">
        <v>12410</v>
      </c>
      <c r="G3144" s="23" t="s">
        <v>81</v>
      </c>
      <c r="H3144" s="24">
        <v>299</v>
      </c>
      <c r="I3144" s="24">
        <v>4.49</v>
      </c>
      <c r="J3144" s="24">
        <v>0.81</v>
      </c>
      <c r="K3144" s="24">
        <v>293.7</v>
      </c>
      <c r="L3144" s="38">
        <v>46284</v>
      </c>
      <c r="M3144" s="23" t="s">
        <v>210</v>
      </c>
      <c r="N3144" s="23" t="str">
        <f>IF(COUNTIF($A$2:A3144,A3144)&gt;1,"DUP","OK")</f>
        <v>OK</v>
      </c>
      <c r="O3144" s="23" t="str">
        <f t="shared" si="148"/>
        <v>ORD26002710</v>
      </c>
      <c r="P3144" s="23" t="str">
        <f t="shared" si="149"/>
        <v>Sep</v>
      </c>
      <c r="Q3144" s="23" t="str">
        <f>IF(F3144="CAPTURE",IF(COUNTIF(orders!$A:$A,O3144)&gt;0,"Yes","NO ORDER"),"")</f>
        <v>Yes</v>
      </c>
    </row>
    <row r="3145" spans="1:17" ht="15" customHeight="1" x14ac:dyDescent="0.3">
      <c r="A3145" s="23" t="s">
        <v>16052</v>
      </c>
      <c r="B3145" s="23"/>
      <c r="C3145" s="23" t="s">
        <v>5930</v>
      </c>
      <c r="D3145" s="23" t="str">
        <f t="shared" si="147"/>
        <v>ORD26002717</v>
      </c>
      <c r="E3145" s="38">
        <v>46282</v>
      </c>
      <c r="F3145" s="23" t="s">
        <v>12410</v>
      </c>
      <c r="G3145" s="23" t="s">
        <v>75</v>
      </c>
      <c r="H3145" s="24">
        <v>3499</v>
      </c>
      <c r="I3145" s="24">
        <v>10.5</v>
      </c>
      <c r="J3145" s="24">
        <v>1.89</v>
      </c>
      <c r="K3145" s="24">
        <v>3486.61</v>
      </c>
      <c r="L3145" s="38">
        <v>46284</v>
      </c>
      <c r="M3145" s="23" t="s">
        <v>210</v>
      </c>
      <c r="N3145" s="23" t="str">
        <f>IF(COUNTIF($A$2:A3145,A3145)&gt;1,"DUP","OK")</f>
        <v>OK</v>
      </c>
      <c r="O3145" s="23" t="str">
        <f t="shared" si="148"/>
        <v>ORD26002717</v>
      </c>
      <c r="P3145" s="23" t="str">
        <f t="shared" si="149"/>
        <v>Sep</v>
      </c>
      <c r="Q3145" s="23" t="str">
        <f>IF(F3145="CAPTURE",IF(COUNTIF(orders!$A:$A,O3145)&gt;0,"Yes","NO ORDER"),"")</f>
        <v>Yes</v>
      </c>
    </row>
    <row r="3146" spans="1:17" ht="15" customHeight="1" x14ac:dyDescent="0.3">
      <c r="A3146" s="23" t="s">
        <v>16053</v>
      </c>
      <c r="B3146" s="23"/>
      <c r="C3146" s="23" t="s">
        <v>16054</v>
      </c>
      <c r="D3146" s="23" t="str">
        <f t="shared" si="147"/>
        <v>ORD26002756</v>
      </c>
      <c r="E3146" s="38">
        <v>46282</v>
      </c>
      <c r="F3146" s="23" t="s">
        <v>12410</v>
      </c>
      <c r="G3146" s="23" t="s">
        <v>79</v>
      </c>
      <c r="H3146" s="24">
        <v>9497</v>
      </c>
      <c r="I3146" s="24">
        <v>151.94999999999999</v>
      </c>
      <c r="J3146" s="24">
        <v>27.35</v>
      </c>
      <c r="K3146" s="24">
        <v>9317.7000000000007</v>
      </c>
      <c r="L3146" s="38">
        <v>46284</v>
      </c>
      <c r="M3146" s="23" t="s">
        <v>210</v>
      </c>
      <c r="N3146" s="23" t="str">
        <f>IF(COUNTIF($A$2:A3146,A3146)&gt;1,"DUP","OK")</f>
        <v>OK</v>
      </c>
      <c r="O3146" s="23" t="str">
        <f t="shared" si="148"/>
        <v>ORD26002756</v>
      </c>
      <c r="P3146" s="23" t="str">
        <f t="shared" si="149"/>
        <v>Sep</v>
      </c>
      <c r="Q3146" s="23" t="str">
        <f>IF(F3146="CAPTURE",IF(COUNTIF(orders!$A:$A,O3146)&gt;0,"Yes","NO ORDER"),"")</f>
        <v>Yes</v>
      </c>
    </row>
    <row r="3147" spans="1:17" ht="15" customHeight="1" x14ac:dyDescent="0.3">
      <c r="A3147" s="23" t="s">
        <v>16055</v>
      </c>
      <c r="B3147" s="23"/>
      <c r="C3147" s="23" t="s">
        <v>16056</v>
      </c>
      <c r="D3147" s="23" t="str">
        <f t="shared" si="147"/>
        <v>ORD26002816</v>
      </c>
      <c r="E3147" s="38">
        <v>46282</v>
      </c>
      <c r="F3147" s="23" t="s">
        <v>12410</v>
      </c>
      <c r="G3147" s="23" t="s">
        <v>79</v>
      </c>
      <c r="H3147" s="24">
        <v>3947</v>
      </c>
      <c r="I3147" s="24">
        <v>63.15</v>
      </c>
      <c r="J3147" s="24">
        <v>11.37</v>
      </c>
      <c r="K3147" s="24">
        <v>3872.48</v>
      </c>
      <c r="L3147" s="38">
        <v>46284</v>
      </c>
      <c r="M3147" s="23" t="s">
        <v>210</v>
      </c>
      <c r="N3147" s="23" t="str">
        <f>IF(COUNTIF($A$2:A3147,A3147)&gt;1,"DUP","OK")</f>
        <v>OK</v>
      </c>
      <c r="O3147" s="23" t="str">
        <f t="shared" si="148"/>
        <v>ORD26002816</v>
      </c>
      <c r="P3147" s="23" t="str">
        <f t="shared" si="149"/>
        <v>Sep</v>
      </c>
      <c r="Q3147" s="23" t="str">
        <f>IF(F3147="CAPTURE",IF(COUNTIF(orders!$A:$A,O3147)&gt;0,"Yes","NO ORDER"),"")</f>
        <v>Yes</v>
      </c>
    </row>
    <row r="3148" spans="1:17" ht="15" customHeight="1" x14ac:dyDescent="0.3">
      <c r="A3148" s="23" t="s">
        <v>16057</v>
      </c>
      <c r="B3148" s="23"/>
      <c r="C3148" s="23" t="s">
        <v>16058</v>
      </c>
      <c r="D3148" s="23" t="str">
        <f t="shared" si="147"/>
        <v>ORD26002872</v>
      </c>
      <c r="E3148" s="38">
        <v>46282</v>
      </c>
      <c r="F3148" s="23" t="s">
        <v>12410</v>
      </c>
      <c r="G3148" s="23" t="s">
        <v>77</v>
      </c>
      <c r="H3148" s="24">
        <v>1298</v>
      </c>
      <c r="I3148" s="24">
        <v>24.66</v>
      </c>
      <c r="J3148" s="24">
        <v>4.4400000000000004</v>
      </c>
      <c r="K3148" s="24">
        <v>1268.9000000000001</v>
      </c>
      <c r="L3148" s="38">
        <v>46284</v>
      </c>
      <c r="M3148" s="23" t="s">
        <v>210</v>
      </c>
      <c r="N3148" s="23" t="str">
        <f>IF(COUNTIF($A$2:A3148,A3148)&gt;1,"DUP","OK")</f>
        <v>OK</v>
      </c>
      <c r="O3148" s="23" t="str">
        <f t="shared" si="148"/>
        <v>ORD26002872</v>
      </c>
      <c r="P3148" s="23" t="str">
        <f t="shared" si="149"/>
        <v>Sep</v>
      </c>
      <c r="Q3148" s="23" t="str">
        <f>IF(F3148="CAPTURE",IF(COUNTIF(orders!$A:$A,O3148)&gt;0,"Yes","NO ORDER"),"")</f>
        <v>Yes</v>
      </c>
    </row>
    <row r="3149" spans="1:17" ht="15" customHeight="1" x14ac:dyDescent="0.3">
      <c r="A3149" s="23" t="s">
        <v>16059</v>
      </c>
      <c r="B3149" s="23"/>
      <c r="C3149" s="23" t="s">
        <v>16060</v>
      </c>
      <c r="D3149" s="23" t="str">
        <f t="shared" si="147"/>
        <v>ORD26002906</v>
      </c>
      <c r="E3149" s="38">
        <v>46282</v>
      </c>
      <c r="F3149" s="23" t="s">
        <v>12410</v>
      </c>
      <c r="G3149" s="23" t="s">
        <v>77</v>
      </c>
      <c r="H3149" s="24">
        <v>7999</v>
      </c>
      <c r="I3149" s="24">
        <v>135.97999999999999</v>
      </c>
      <c r="J3149" s="24">
        <v>24.48</v>
      </c>
      <c r="K3149" s="24">
        <v>7838.54</v>
      </c>
      <c r="L3149" s="38">
        <v>46284</v>
      </c>
      <c r="M3149" s="23" t="s">
        <v>210</v>
      </c>
      <c r="N3149" s="23" t="str">
        <f>IF(COUNTIF($A$2:A3149,A3149)&gt;1,"DUP","OK")</f>
        <v>OK</v>
      </c>
      <c r="O3149" s="23" t="str">
        <f t="shared" si="148"/>
        <v>ORD26002906</v>
      </c>
      <c r="P3149" s="23" t="str">
        <f t="shared" si="149"/>
        <v>Sep</v>
      </c>
      <c r="Q3149" s="23" t="str">
        <f>IF(F3149="CAPTURE",IF(COUNTIF(orders!$A:$A,O3149)&gt;0,"Yes","NO ORDER"),"")</f>
        <v>Yes</v>
      </c>
    </row>
    <row r="3150" spans="1:17" ht="15" customHeight="1" x14ac:dyDescent="0.3">
      <c r="A3150" s="23" t="s">
        <v>16061</v>
      </c>
      <c r="B3150" s="23"/>
      <c r="C3150" s="23" t="s">
        <v>16062</v>
      </c>
      <c r="D3150" s="23" t="str">
        <f t="shared" si="147"/>
        <v>ORD26003020</v>
      </c>
      <c r="E3150" s="38">
        <v>46282</v>
      </c>
      <c r="F3150" s="23" t="s">
        <v>12410</v>
      </c>
      <c r="G3150" s="23" t="s">
        <v>75</v>
      </c>
      <c r="H3150" s="24">
        <v>4998</v>
      </c>
      <c r="I3150" s="24">
        <v>14.99</v>
      </c>
      <c r="J3150" s="24">
        <v>2.7</v>
      </c>
      <c r="K3150" s="24">
        <v>4980.3100000000004</v>
      </c>
      <c r="L3150" s="38">
        <v>46284</v>
      </c>
      <c r="M3150" s="23" t="s">
        <v>210</v>
      </c>
      <c r="N3150" s="23" t="str">
        <f>IF(COUNTIF($A$2:A3150,A3150)&gt;1,"DUP","OK")</f>
        <v>OK</v>
      </c>
      <c r="O3150" s="23" t="str">
        <f t="shared" si="148"/>
        <v>ORD26003020</v>
      </c>
      <c r="P3150" s="23" t="str">
        <f t="shared" si="149"/>
        <v>Sep</v>
      </c>
      <c r="Q3150" s="23" t="str">
        <f>IF(F3150="CAPTURE",IF(COUNTIF(orders!$A:$A,O3150)&gt;0,"Yes","NO ORDER"),"")</f>
        <v>Yes</v>
      </c>
    </row>
    <row r="3151" spans="1:17" ht="15" customHeight="1" x14ac:dyDescent="0.3">
      <c r="A3151" s="23" t="s">
        <v>16063</v>
      </c>
      <c r="B3151" s="23"/>
      <c r="C3151" s="23" t="s">
        <v>6573</v>
      </c>
      <c r="D3151" s="23" t="str">
        <f t="shared" si="147"/>
        <v>ORD26003040</v>
      </c>
      <c r="E3151" s="38">
        <v>46282</v>
      </c>
      <c r="F3151" s="23" t="s">
        <v>12410</v>
      </c>
      <c r="G3151" s="23" t="s">
        <v>75</v>
      </c>
      <c r="H3151" s="24">
        <v>1299</v>
      </c>
      <c r="I3151" s="24">
        <v>0</v>
      </c>
      <c r="J3151" s="24">
        <v>0</v>
      </c>
      <c r="K3151" s="24">
        <v>1299</v>
      </c>
      <c r="L3151" s="38">
        <v>46284</v>
      </c>
      <c r="M3151" s="23" t="s">
        <v>210</v>
      </c>
      <c r="N3151" s="23" t="str">
        <f>IF(COUNTIF($A$2:A3151,A3151)&gt;1,"DUP","OK")</f>
        <v>OK</v>
      </c>
      <c r="O3151" s="23" t="str">
        <f t="shared" si="148"/>
        <v>ORD26003040</v>
      </c>
      <c r="P3151" s="23" t="str">
        <f t="shared" si="149"/>
        <v>Sep</v>
      </c>
      <c r="Q3151" s="23" t="str">
        <f>IF(F3151="CAPTURE",IF(COUNTIF(orders!$A:$A,O3151)&gt;0,"Yes","NO ORDER"),"")</f>
        <v>Yes</v>
      </c>
    </row>
    <row r="3152" spans="1:17" ht="15" customHeight="1" x14ac:dyDescent="0.3">
      <c r="A3152" s="23" t="s">
        <v>16064</v>
      </c>
      <c r="B3152" s="23"/>
      <c r="C3152" s="23" t="s">
        <v>6684</v>
      </c>
      <c r="D3152" s="23" t="str">
        <f t="shared" si="147"/>
        <v>ORD26003094</v>
      </c>
      <c r="E3152" s="38">
        <v>46282</v>
      </c>
      <c r="F3152" s="23" t="s">
        <v>12410</v>
      </c>
      <c r="G3152" s="23" t="s">
        <v>75</v>
      </c>
      <c r="H3152" s="24">
        <v>648</v>
      </c>
      <c r="I3152" s="24">
        <v>0</v>
      </c>
      <c r="J3152" s="24">
        <v>0</v>
      </c>
      <c r="K3152" s="24">
        <v>648</v>
      </c>
      <c r="L3152" s="38">
        <v>46284</v>
      </c>
      <c r="M3152" s="23" t="s">
        <v>210</v>
      </c>
      <c r="N3152" s="23" t="str">
        <f>IF(COUNTIF($A$2:A3152,A3152)&gt;1,"DUP","OK")</f>
        <v>OK</v>
      </c>
      <c r="O3152" s="23" t="str">
        <f t="shared" si="148"/>
        <v>ORD26003094</v>
      </c>
      <c r="P3152" s="23" t="str">
        <f t="shared" si="149"/>
        <v>Sep</v>
      </c>
      <c r="Q3152" s="23" t="str">
        <f>IF(F3152="CAPTURE",IF(COUNTIF(orders!$A:$A,O3152)&gt;0,"Yes","NO ORDER"),"")</f>
        <v>Yes</v>
      </c>
    </row>
    <row r="3153" spans="1:17" ht="15" customHeight="1" x14ac:dyDescent="0.3">
      <c r="A3153" s="23" t="s">
        <v>16065</v>
      </c>
      <c r="B3153" s="23"/>
      <c r="C3153" s="23" t="s">
        <v>6763</v>
      </c>
      <c r="D3153" s="23" t="str">
        <f t="shared" si="147"/>
        <v>ORD26003133</v>
      </c>
      <c r="E3153" s="38">
        <v>46282</v>
      </c>
      <c r="F3153" s="23" t="s">
        <v>12410</v>
      </c>
      <c r="G3153" s="23" t="s">
        <v>75</v>
      </c>
      <c r="H3153" s="24">
        <v>299</v>
      </c>
      <c r="I3153" s="24">
        <v>0</v>
      </c>
      <c r="J3153" s="24">
        <v>0</v>
      </c>
      <c r="K3153" s="24">
        <v>299</v>
      </c>
      <c r="L3153" s="38">
        <v>46284</v>
      </c>
      <c r="M3153" s="23" t="s">
        <v>210</v>
      </c>
      <c r="N3153" s="23" t="str">
        <f>IF(COUNTIF($A$2:A3153,A3153)&gt;1,"DUP","OK")</f>
        <v>OK</v>
      </c>
      <c r="O3153" s="23" t="str">
        <f t="shared" si="148"/>
        <v>ORD26003133</v>
      </c>
      <c r="P3153" s="23" t="str">
        <f t="shared" si="149"/>
        <v>Sep</v>
      </c>
      <c r="Q3153" s="23" t="str">
        <f>IF(F3153="CAPTURE",IF(COUNTIF(orders!$A:$A,O3153)&gt;0,"Yes","NO ORDER"),"")</f>
        <v>Yes</v>
      </c>
    </row>
    <row r="3154" spans="1:17" ht="15" customHeight="1" x14ac:dyDescent="0.3">
      <c r="A3154" s="23" t="s">
        <v>16066</v>
      </c>
      <c r="B3154" s="23"/>
      <c r="C3154" s="23" t="s">
        <v>16067</v>
      </c>
      <c r="D3154" s="23" t="str">
        <f t="shared" si="147"/>
        <v>ORD26003188</v>
      </c>
      <c r="E3154" s="38">
        <v>46282</v>
      </c>
      <c r="F3154" s="23" t="s">
        <v>12410</v>
      </c>
      <c r="G3154" s="23" t="s">
        <v>77</v>
      </c>
      <c r="H3154" s="24">
        <v>599</v>
      </c>
      <c r="I3154" s="24">
        <v>11.38</v>
      </c>
      <c r="J3154" s="24">
        <v>2.0499999999999998</v>
      </c>
      <c r="K3154" s="24">
        <v>585.57000000000005</v>
      </c>
      <c r="L3154" s="38">
        <v>46284</v>
      </c>
      <c r="M3154" s="23" t="s">
        <v>210</v>
      </c>
      <c r="N3154" s="23" t="str">
        <f>IF(COUNTIF($A$2:A3154,A3154)&gt;1,"DUP","OK")</f>
        <v>OK</v>
      </c>
      <c r="O3154" s="23" t="str">
        <f t="shared" si="148"/>
        <v>ORD26003188</v>
      </c>
      <c r="P3154" s="23" t="str">
        <f t="shared" si="149"/>
        <v>Sep</v>
      </c>
      <c r="Q3154" s="23" t="str">
        <f>IF(F3154="CAPTURE",IF(COUNTIF(orders!$A:$A,O3154)&gt;0,"Yes","NO ORDER"),"")</f>
        <v>Yes</v>
      </c>
    </row>
    <row r="3155" spans="1:17" ht="15" customHeight="1" x14ac:dyDescent="0.3">
      <c r="A3155" s="23" t="s">
        <v>16068</v>
      </c>
      <c r="B3155" s="23"/>
      <c r="C3155" s="23" t="s">
        <v>7044</v>
      </c>
      <c r="D3155" s="23" t="str">
        <f t="shared" si="147"/>
        <v>ORD26003273</v>
      </c>
      <c r="E3155" s="38">
        <v>46282</v>
      </c>
      <c r="F3155" s="23" t="s">
        <v>12410</v>
      </c>
      <c r="G3155" s="23" t="s">
        <v>81</v>
      </c>
      <c r="H3155" s="24">
        <v>1798</v>
      </c>
      <c r="I3155" s="24">
        <v>26.97</v>
      </c>
      <c r="J3155" s="24">
        <v>4.8499999999999996</v>
      </c>
      <c r="K3155" s="24">
        <v>1766.18</v>
      </c>
      <c r="L3155" s="38">
        <v>46284</v>
      </c>
      <c r="M3155" s="23" t="s">
        <v>210</v>
      </c>
      <c r="N3155" s="23" t="str">
        <f>IF(COUNTIF($A$2:A3155,A3155)&gt;1,"DUP","OK")</f>
        <v>OK</v>
      </c>
      <c r="O3155" s="23" t="str">
        <f t="shared" si="148"/>
        <v>ORD26003273</v>
      </c>
      <c r="P3155" s="23" t="str">
        <f t="shared" si="149"/>
        <v>Sep</v>
      </c>
      <c r="Q3155" s="23" t="str">
        <f>IF(F3155="CAPTURE",IF(COUNTIF(orders!$A:$A,O3155)&gt;0,"Yes","NO ORDER"),"")</f>
        <v>Yes</v>
      </c>
    </row>
    <row r="3156" spans="1:17" ht="15" customHeight="1" x14ac:dyDescent="0.3">
      <c r="A3156" s="23" t="s">
        <v>16069</v>
      </c>
      <c r="B3156" s="23"/>
      <c r="C3156" s="23" t="s">
        <v>7168</v>
      </c>
      <c r="D3156" s="23" t="str">
        <f t="shared" si="147"/>
        <v>ORD26003335</v>
      </c>
      <c r="E3156" s="38">
        <v>46282</v>
      </c>
      <c r="F3156" s="23" t="s">
        <v>12410</v>
      </c>
      <c r="G3156" s="23" t="s">
        <v>75</v>
      </c>
      <c r="H3156" s="24">
        <v>6297</v>
      </c>
      <c r="I3156" s="24">
        <v>18.89</v>
      </c>
      <c r="J3156" s="24">
        <v>3.4</v>
      </c>
      <c r="K3156" s="24">
        <v>6274.71</v>
      </c>
      <c r="L3156" s="38">
        <v>46284</v>
      </c>
      <c r="M3156" s="23" t="s">
        <v>210</v>
      </c>
      <c r="N3156" s="23" t="str">
        <f>IF(COUNTIF($A$2:A3156,A3156)&gt;1,"DUP","OK")</f>
        <v>OK</v>
      </c>
      <c r="O3156" s="23" t="str">
        <f t="shared" si="148"/>
        <v>ORD26003335</v>
      </c>
      <c r="P3156" s="23" t="str">
        <f t="shared" si="149"/>
        <v>Sep</v>
      </c>
      <c r="Q3156" s="23" t="str">
        <f>IF(F3156="CAPTURE",IF(COUNTIF(orders!$A:$A,O3156)&gt;0,"Yes","NO ORDER"),"")</f>
        <v>Yes</v>
      </c>
    </row>
    <row r="3157" spans="1:17" ht="15" customHeight="1" x14ac:dyDescent="0.3">
      <c r="A3157" s="23" t="s">
        <v>16070</v>
      </c>
      <c r="B3157" s="23"/>
      <c r="C3157" s="23" t="s">
        <v>7200</v>
      </c>
      <c r="D3157" s="23" t="str">
        <f t="shared" si="147"/>
        <v>ORD26003351</v>
      </c>
      <c r="E3157" s="38">
        <v>46282</v>
      </c>
      <c r="F3157" s="23" t="s">
        <v>12410</v>
      </c>
      <c r="G3157" s="23" t="s">
        <v>79</v>
      </c>
      <c r="H3157" s="24">
        <v>5798</v>
      </c>
      <c r="I3157" s="24">
        <v>92.77</v>
      </c>
      <c r="J3157" s="24">
        <v>16.7</v>
      </c>
      <c r="K3157" s="24">
        <v>5688.53</v>
      </c>
      <c r="L3157" s="38">
        <v>46284</v>
      </c>
      <c r="M3157" s="23" t="s">
        <v>210</v>
      </c>
      <c r="N3157" s="23" t="str">
        <f>IF(COUNTIF($A$2:A3157,A3157)&gt;1,"DUP","OK")</f>
        <v>OK</v>
      </c>
      <c r="O3157" s="23" t="str">
        <f t="shared" si="148"/>
        <v>ORD26003351</v>
      </c>
      <c r="P3157" s="23" t="str">
        <f t="shared" si="149"/>
        <v>Sep</v>
      </c>
      <c r="Q3157" s="23" t="str">
        <f>IF(F3157="CAPTURE",IF(COUNTIF(orders!$A:$A,O3157)&gt;0,"Yes","NO ORDER"),"")</f>
        <v>Yes</v>
      </c>
    </row>
    <row r="3158" spans="1:17" ht="15" customHeight="1" x14ac:dyDescent="0.3">
      <c r="A3158" s="23" t="s">
        <v>16071</v>
      </c>
      <c r="B3158" s="23"/>
      <c r="C3158" s="23" t="s">
        <v>7291</v>
      </c>
      <c r="D3158" s="23" t="str">
        <f t="shared" si="147"/>
        <v>ORD26003396</v>
      </c>
      <c r="E3158" s="38">
        <v>46282</v>
      </c>
      <c r="F3158" s="23" t="s">
        <v>12410</v>
      </c>
      <c r="G3158" s="23" t="s">
        <v>77</v>
      </c>
      <c r="H3158" s="24">
        <v>10097</v>
      </c>
      <c r="I3158" s="24">
        <v>171.65</v>
      </c>
      <c r="J3158" s="24">
        <v>30.9</v>
      </c>
      <c r="K3158" s="24">
        <v>9894.4500000000007</v>
      </c>
      <c r="L3158" s="38">
        <v>46284</v>
      </c>
      <c r="M3158" s="23" t="s">
        <v>210</v>
      </c>
      <c r="N3158" s="23" t="str">
        <f>IF(COUNTIF($A$2:A3158,A3158)&gt;1,"DUP","OK")</f>
        <v>OK</v>
      </c>
      <c r="O3158" s="23" t="str">
        <f t="shared" si="148"/>
        <v>ORD26003396</v>
      </c>
      <c r="P3158" s="23" t="str">
        <f t="shared" si="149"/>
        <v>Sep</v>
      </c>
      <c r="Q3158" s="23" t="str">
        <f>IF(F3158="CAPTURE",IF(COUNTIF(orders!$A:$A,O3158)&gt;0,"Yes","NO ORDER"),"")</f>
        <v>Yes</v>
      </c>
    </row>
    <row r="3159" spans="1:17" ht="15" customHeight="1" x14ac:dyDescent="0.3">
      <c r="A3159" s="23" t="s">
        <v>16072</v>
      </c>
      <c r="B3159" s="23"/>
      <c r="C3159" s="23" t="s">
        <v>7325</v>
      </c>
      <c r="D3159" s="23" t="str">
        <f t="shared" si="147"/>
        <v>ORD26003413</v>
      </c>
      <c r="E3159" s="38">
        <v>46282</v>
      </c>
      <c r="F3159" s="23" t="s">
        <v>12410</v>
      </c>
      <c r="G3159" s="23" t="s">
        <v>75</v>
      </c>
      <c r="H3159" s="24">
        <v>2999</v>
      </c>
      <c r="I3159" s="24">
        <v>9</v>
      </c>
      <c r="J3159" s="24">
        <v>1.62</v>
      </c>
      <c r="K3159" s="24">
        <v>2988.38</v>
      </c>
      <c r="L3159" s="38">
        <v>46284</v>
      </c>
      <c r="M3159" s="23" t="s">
        <v>210</v>
      </c>
      <c r="N3159" s="23" t="str">
        <f>IF(COUNTIF($A$2:A3159,A3159)&gt;1,"DUP","OK")</f>
        <v>OK</v>
      </c>
      <c r="O3159" s="23" t="str">
        <f t="shared" si="148"/>
        <v>ORD26003413</v>
      </c>
      <c r="P3159" s="23" t="str">
        <f t="shared" si="149"/>
        <v>Sep</v>
      </c>
      <c r="Q3159" s="23" t="str">
        <f>IF(F3159="CAPTURE",IF(COUNTIF(orders!$A:$A,O3159)&gt;0,"Yes","NO ORDER"),"")</f>
        <v>Yes</v>
      </c>
    </row>
    <row r="3160" spans="1:17" ht="15" customHeight="1" x14ac:dyDescent="0.3">
      <c r="A3160" s="23" t="s">
        <v>16073</v>
      </c>
      <c r="B3160" s="23"/>
      <c r="C3160" s="23" t="s">
        <v>7343</v>
      </c>
      <c r="D3160" s="23" t="str">
        <f t="shared" si="147"/>
        <v>ORD26003422</v>
      </c>
      <c r="E3160" s="38">
        <v>46282</v>
      </c>
      <c r="F3160" s="23" t="s">
        <v>12410</v>
      </c>
      <c r="G3160" s="23" t="s">
        <v>75</v>
      </c>
      <c r="H3160" s="24">
        <v>7498</v>
      </c>
      <c r="I3160" s="24">
        <v>22.49</v>
      </c>
      <c r="J3160" s="24">
        <v>4.05</v>
      </c>
      <c r="K3160" s="24">
        <v>7471.46</v>
      </c>
      <c r="L3160" s="38">
        <v>46284</v>
      </c>
      <c r="M3160" s="23" t="s">
        <v>210</v>
      </c>
      <c r="N3160" s="23" t="str">
        <f>IF(COUNTIF($A$2:A3160,A3160)&gt;1,"DUP","OK")</f>
        <v>OK</v>
      </c>
      <c r="O3160" s="23" t="str">
        <f t="shared" si="148"/>
        <v>ORD26003422</v>
      </c>
      <c r="P3160" s="23" t="str">
        <f t="shared" si="149"/>
        <v>Sep</v>
      </c>
      <c r="Q3160" s="23" t="str">
        <f>IF(F3160="CAPTURE",IF(COUNTIF(orders!$A:$A,O3160)&gt;0,"Yes","NO ORDER"),"")</f>
        <v>Yes</v>
      </c>
    </row>
    <row r="3161" spans="1:17" ht="15" customHeight="1" x14ac:dyDescent="0.3">
      <c r="A3161" s="23" t="s">
        <v>16074</v>
      </c>
      <c r="B3161" s="23"/>
      <c r="C3161" s="23" t="s">
        <v>7391</v>
      </c>
      <c r="D3161" s="23" t="str">
        <f t="shared" si="147"/>
        <v>ORD26003446</v>
      </c>
      <c r="E3161" s="38">
        <v>46282</v>
      </c>
      <c r="F3161" s="23" t="s">
        <v>12410</v>
      </c>
      <c r="G3161" s="23" t="s">
        <v>75</v>
      </c>
      <c r="H3161" s="24">
        <v>2298</v>
      </c>
      <c r="I3161" s="24">
        <v>6.89</v>
      </c>
      <c r="J3161" s="24">
        <v>1.24</v>
      </c>
      <c r="K3161" s="24">
        <v>2289.87</v>
      </c>
      <c r="L3161" s="38">
        <v>46284</v>
      </c>
      <c r="M3161" s="23" t="s">
        <v>210</v>
      </c>
      <c r="N3161" s="23" t="str">
        <f>IF(COUNTIF($A$2:A3161,A3161)&gt;1,"DUP","OK")</f>
        <v>OK</v>
      </c>
      <c r="O3161" s="23" t="str">
        <f t="shared" si="148"/>
        <v>ORD26003446</v>
      </c>
      <c r="P3161" s="23" t="str">
        <f t="shared" si="149"/>
        <v>Sep</v>
      </c>
      <c r="Q3161" s="23" t="str">
        <f>IF(F3161="CAPTURE",IF(COUNTIF(orders!$A:$A,O3161)&gt;0,"Yes","NO ORDER"),"")</f>
        <v>Yes</v>
      </c>
    </row>
    <row r="3162" spans="1:17" ht="15" customHeight="1" x14ac:dyDescent="0.3">
      <c r="A3162" s="23" t="s">
        <v>16075</v>
      </c>
      <c r="B3162" s="23"/>
      <c r="C3162" s="23" t="s">
        <v>7408</v>
      </c>
      <c r="D3162" s="23" t="str">
        <f t="shared" si="147"/>
        <v>ORD26003454</v>
      </c>
      <c r="E3162" s="38">
        <v>46282</v>
      </c>
      <c r="F3162" s="23" t="s">
        <v>12410</v>
      </c>
      <c r="G3162" s="23" t="s">
        <v>75</v>
      </c>
      <c r="H3162" s="24">
        <v>3298</v>
      </c>
      <c r="I3162" s="24">
        <v>9.89</v>
      </c>
      <c r="J3162" s="24">
        <v>1.78</v>
      </c>
      <c r="K3162" s="24">
        <v>3286.33</v>
      </c>
      <c r="L3162" s="38">
        <v>46284</v>
      </c>
      <c r="M3162" s="23" t="s">
        <v>210</v>
      </c>
      <c r="N3162" s="23" t="str">
        <f>IF(COUNTIF($A$2:A3162,A3162)&gt;1,"DUP","OK")</f>
        <v>OK</v>
      </c>
      <c r="O3162" s="23" t="str">
        <f t="shared" si="148"/>
        <v>ORD26003454</v>
      </c>
      <c r="P3162" s="23" t="str">
        <f t="shared" si="149"/>
        <v>Sep</v>
      </c>
      <c r="Q3162" s="23" t="str">
        <f>IF(F3162="CAPTURE",IF(COUNTIF(orders!$A:$A,O3162)&gt;0,"Yes","NO ORDER"),"")</f>
        <v>Yes</v>
      </c>
    </row>
    <row r="3163" spans="1:17" ht="15" customHeight="1" x14ac:dyDescent="0.3">
      <c r="A3163" s="23" t="s">
        <v>16076</v>
      </c>
      <c r="B3163" s="23"/>
      <c r="C3163" s="23" t="s">
        <v>7480</v>
      </c>
      <c r="D3163" s="23" t="str">
        <f t="shared" si="147"/>
        <v>ORD26003491</v>
      </c>
      <c r="E3163" s="38">
        <v>46282</v>
      </c>
      <c r="F3163" s="23" t="s">
        <v>12410</v>
      </c>
      <c r="G3163" s="23" t="s">
        <v>75</v>
      </c>
      <c r="H3163" s="24">
        <v>12998</v>
      </c>
      <c r="I3163" s="24">
        <v>38.99</v>
      </c>
      <c r="J3163" s="24">
        <v>7.02</v>
      </c>
      <c r="K3163" s="24">
        <v>12951.99</v>
      </c>
      <c r="L3163" s="38">
        <v>46284</v>
      </c>
      <c r="M3163" s="23" t="s">
        <v>210</v>
      </c>
      <c r="N3163" s="23" t="str">
        <f>IF(COUNTIF($A$2:A3163,A3163)&gt;1,"DUP","OK")</f>
        <v>OK</v>
      </c>
      <c r="O3163" s="23" t="str">
        <f t="shared" si="148"/>
        <v>ORD26003491</v>
      </c>
      <c r="P3163" s="23" t="str">
        <f t="shared" si="149"/>
        <v>Sep</v>
      </c>
      <c r="Q3163" s="23" t="str">
        <f>IF(F3163="CAPTURE",IF(COUNTIF(orders!$A:$A,O3163)&gt;0,"Yes","NO ORDER"),"")</f>
        <v>Yes</v>
      </c>
    </row>
    <row r="3164" spans="1:17" ht="15" customHeight="1" x14ac:dyDescent="0.3">
      <c r="A3164" s="23" t="s">
        <v>16077</v>
      </c>
      <c r="B3164" s="23"/>
      <c r="C3164" s="23" t="s">
        <v>7636</v>
      </c>
      <c r="D3164" s="23" t="str">
        <f t="shared" si="147"/>
        <v>ORD26003570</v>
      </c>
      <c r="E3164" s="38">
        <v>46282</v>
      </c>
      <c r="F3164" s="23" t="s">
        <v>12410</v>
      </c>
      <c r="G3164" s="23" t="s">
        <v>75</v>
      </c>
      <c r="H3164" s="24">
        <v>1299</v>
      </c>
      <c r="I3164" s="24">
        <v>0</v>
      </c>
      <c r="J3164" s="24">
        <v>0</v>
      </c>
      <c r="K3164" s="24">
        <v>1299</v>
      </c>
      <c r="L3164" s="38">
        <v>46284</v>
      </c>
      <c r="M3164" s="23" t="s">
        <v>210</v>
      </c>
      <c r="N3164" s="23" t="str">
        <f>IF(COUNTIF($A$2:A3164,A3164)&gt;1,"DUP","OK")</f>
        <v>OK</v>
      </c>
      <c r="O3164" s="23" t="str">
        <f t="shared" si="148"/>
        <v>ORD26003570</v>
      </c>
      <c r="P3164" s="23" t="str">
        <f t="shared" si="149"/>
        <v>Sep</v>
      </c>
      <c r="Q3164" s="23" t="str">
        <f>IF(F3164="CAPTURE",IF(COUNTIF(orders!$A:$A,O3164)&gt;0,"Yes","NO ORDER"),"")</f>
        <v>Yes</v>
      </c>
    </row>
    <row r="3165" spans="1:17" ht="15" customHeight="1" x14ac:dyDescent="0.3">
      <c r="A3165" s="23" t="s">
        <v>16078</v>
      </c>
      <c r="B3165" s="23"/>
      <c r="C3165" s="23" t="s">
        <v>7731</v>
      </c>
      <c r="D3165" s="23" t="str">
        <f t="shared" si="147"/>
        <v>ORD26003619</v>
      </c>
      <c r="E3165" s="38">
        <v>46282</v>
      </c>
      <c r="F3165" s="23" t="s">
        <v>12410</v>
      </c>
      <c r="G3165" s="23" t="s">
        <v>79</v>
      </c>
      <c r="H3165" s="24">
        <v>10997</v>
      </c>
      <c r="I3165" s="24">
        <v>175.95</v>
      </c>
      <c r="J3165" s="24">
        <v>31.67</v>
      </c>
      <c r="K3165" s="24">
        <v>10789.38</v>
      </c>
      <c r="L3165" s="38">
        <v>46284</v>
      </c>
      <c r="M3165" s="23" t="s">
        <v>210</v>
      </c>
      <c r="N3165" s="23" t="str">
        <f>IF(COUNTIF($A$2:A3165,A3165)&gt;1,"DUP","OK")</f>
        <v>OK</v>
      </c>
      <c r="O3165" s="23" t="str">
        <f t="shared" si="148"/>
        <v>ORD26003619</v>
      </c>
      <c r="P3165" s="23" t="str">
        <f t="shared" si="149"/>
        <v>Sep</v>
      </c>
      <c r="Q3165" s="23" t="str">
        <f>IF(F3165="CAPTURE",IF(COUNTIF(orders!$A:$A,O3165)&gt;0,"Yes","NO ORDER"),"")</f>
        <v>Yes</v>
      </c>
    </row>
    <row r="3166" spans="1:17" ht="15" customHeight="1" x14ac:dyDescent="0.3">
      <c r="A3166" s="23" t="s">
        <v>16079</v>
      </c>
      <c r="B3166" s="23"/>
      <c r="C3166" s="23" t="s">
        <v>7745</v>
      </c>
      <c r="D3166" s="23" t="str">
        <f t="shared" si="147"/>
        <v>ORD26003626</v>
      </c>
      <c r="E3166" s="38">
        <v>46282</v>
      </c>
      <c r="F3166" s="23" t="s">
        <v>12410</v>
      </c>
      <c r="G3166" s="23" t="s">
        <v>79</v>
      </c>
      <c r="H3166" s="24">
        <v>4097</v>
      </c>
      <c r="I3166" s="24">
        <v>65.55</v>
      </c>
      <c r="J3166" s="24">
        <v>11.8</v>
      </c>
      <c r="K3166" s="24">
        <v>4019.65</v>
      </c>
      <c r="L3166" s="38">
        <v>46284</v>
      </c>
      <c r="M3166" s="23" t="s">
        <v>210</v>
      </c>
      <c r="N3166" s="23" t="str">
        <f>IF(COUNTIF($A$2:A3166,A3166)&gt;1,"DUP","OK")</f>
        <v>OK</v>
      </c>
      <c r="O3166" s="23" t="str">
        <f t="shared" si="148"/>
        <v>ORD26003626</v>
      </c>
      <c r="P3166" s="23" t="str">
        <f t="shared" si="149"/>
        <v>Sep</v>
      </c>
      <c r="Q3166" s="23" t="str">
        <f>IF(F3166="CAPTURE",IF(COUNTIF(orders!$A:$A,O3166)&gt;0,"Yes","NO ORDER"),"")</f>
        <v>Yes</v>
      </c>
    </row>
    <row r="3167" spans="1:17" ht="15" customHeight="1" x14ac:dyDescent="0.3">
      <c r="A3167" s="23" t="s">
        <v>16080</v>
      </c>
      <c r="B3167" s="23"/>
      <c r="C3167" s="23" t="s">
        <v>7792</v>
      </c>
      <c r="D3167" s="23" t="str">
        <f t="shared" si="147"/>
        <v>ORD26003650</v>
      </c>
      <c r="E3167" s="38">
        <v>46282</v>
      </c>
      <c r="F3167" s="23" t="s">
        <v>12410</v>
      </c>
      <c r="G3167" s="23" t="s">
        <v>75</v>
      </c>
      <c r="H3167" s="24">
        <v>2499</v>
      </c>
      <c r="I3167" s="24">
        <v>7.5</v>
      </c>
      <c r="J3167" s="24">
        <v>1.35</v>
      </c>
      <c r="K3167" s="24">
        <v>2490.15</v>
      </c>
      <c r="L3167" s="38">
        <v>46284</v>
      </c>
      <c r="M3167" s="23" t="s">
        <v>210</v>
      </c>
      <c r="N3167" s="23" t="str">
        <f>IF(COUNTIF($A$2:A3167,A3167)&gt;1,"DUP","OK")</f>
        <v>OK</v>
      </c>
      <c r="O3167" s="23" t="str">
        <f t="shared" si="148"/>
        <v>ORD26003650</v>
      </c>
      <c r="P3167" s="23" t="str">
        <f t="shared" si="149"/>
        <v>Sep</v>
      </c>
      <c r="Q3167" s="23" t="str">
        <f>IF(F3167="CAPTURE",IF(COUNTIF(orders!$A:$A,O3167)&gt;0,"Yes","NO ORDER"),"")</f>
        <v>Yes</v>
      </c>
    </row>
    <row r="3168" spans="1:17" ht="15" customHeight="1" x14ac:dyDescent="0.3">
      <c r="A3168" s="23" t="s">
        <v>16081</v>
      </c>
      <c r="B3168" s="23"/>
      <c r="C3168" s="23" t="s">
        <v>16082</v>
      </c>
      <c r="D3168" s="23" t="str">
        <f t="shared" si="147"/>
        <v>ORD26003681</v>
      </c>
      <c r="E3168" s="38">
        <v>46282</v>
      </c>
      <c r="F3168" s="23" t="s">
        <v>12410</v>
      </c>
      <c r="G3168" s="23" t="s">
        <v>75</v>
      </c>
      <c r="H3168" s="24">
        <v>4998</v>
      </c>
      <c r="I3168" s="24">
        <v>14.99</v>
      </c>
      <c r="J3168" s="24">
        <v>2.7</v>
      </c>
      <c r="K3168" s="24">
        <v>4980.3100000000004</v>
      </c>
      <c r="L3168" s="38">
        <v>46284</v>
      </c>
      <c r="M3168" s="23" t="s">
        <v>210</v>
      </c>
      <c r="N3168" s="23" t="str">
        <f>IF(COUNTIF($A$2:A3168,A3168)&gt;1,"DUP","OK")</f>
        <v>OK</v>
      </c>
      <c r="O3168" s="23" t="str">
        <f t="shared" si="148"/>
        <v>ORD26003681</v>
      </c>
      <c r="P3168" s="23" t="str">
        <f t="shared" si="149"/>
        <v>Sep</v>
      </c>
      <c r="Q3168" s="23" t="str">
        <f>IF(F3168="CAPTURE",IF(COUNTIF(orders!$A:$A,O3168)&gt;0,"Yes","NO ORDER"),"")</f>
        <v>Yes</v>
      </c>
    </row>
    <row r="3169" spans="1:17" ht="15" customHeight="1" x14ac:dyDescent="0.3">
      <c r="A3169" s="23" t="s">
        <v>16083</v>
      </c>
      <c r="B3169" s="23"/>
      <c r="C3169" s="23" t="s">
        <v>7913</v>
      </c>
      <c r="D3169" s="23" t="str">
        <f t="shared" si="147"/>
        <v>ORD26003712</v>
      </c>
      <c r="E3169" s="38">
        <v>46282</v>
      </c>
      <c r="F3169" s="23" t="s">
        <v>12410</v>
      </c>
      <c r="G3169" s="23" t="s">
        <v>79</v>
      </c>
      <c r="H3169" s="24">
        <v>999</v>
      </c>
      <c r="I3169" s="24">
        <v>17.98</v>
      </c>
      <c r="J3169" s="24">
        <v>3.24</v>
      </c>
      <c r="K3169" s="24">
        <v>977.78</v>
      </c>
      <c r="L3169" s="38">
        <v>46284</v>
      </c>
      <c r="M3169" s="23" t="s">
        <v>210</v>
      </c>
      <c r="N3169" s="23" t="str">
        <f>IF(COUNTIF($A$2:A3169,A3169)&gt;1,"DUP","OK")</f>
        <v>OK</v>
      </c>
      <c r="O3169" s="23" t="str">
        <f t="shared" si="148"/>
        <v>ORD26003712</v>
      </c>
      <c r="P3169" s="23" t="str">
        <f t="shared" si="149"/>
        <v>Sep</v>
      </c>
      <c r="Q3169" s="23" t="str">
        <f>IF(F3169="CAPTURE",IF(COUNTIF(orders!$A:$A,O3169)&gt;0,"Yes","NO ORDER"),"")</f>
        <v>Yes</v>
      </c>
    </row>
    <row r="3170" spans="1:17" ht="15" customHeight="1" x14ac:dyDescent="0.3">
      <c r="A3170" s="23" t="s">
        <v>16084</v>
      </c>
      <c r="B3170" s="23"/>
      <c r="C3170" s="23" t="s">
        <v>7926</v>
      </c>
      <c r="D3170" s="23" t="str">
        <f t="shared" si="147"/>
        <v>ORD26003719</v>
      </c>
      <c r="E3170" s="38">
        <v>46282</v>
      </c>
      <c r="F3170" s="23" t="s">
        <v>12410</v>
      </c>
      <c r="G3170" s="23" t="s">
        <v>75</v>
      </c>
      <c r="H3170" s="24">
        <v>7999</v>
      </c>
      <c r="I3170" s="24">
        <v>24</v>
      </c>
      <c r="J3170" s="24">
        <v>4.32</v>
      </c>
      <c r="K3170" s="24">
        <v>7970.68</v>
      </c>
      <c r="L3170" s="38">
        <v>46284</v>
      </c>
      <c r="M3170" s="23" t="s">
        <v>210</v>
      </c>
      <c r="N3170" s="23" t="str">
        <f>IF(COUNTIF($A$2:A3170,A3170)&gt;1,"DUP","OK")</f>
        <v>OK</v>
      </c>
      <c r="O3170" s="23" t="str">
        <f t="shared" si="148"/>
        <v>ORD26003719</v>
      </c>
      <c r="P3170" s="23" t="str">
        <f t="shared" si="149"/>
        <v>Sep</v>
      </c>
      <c r="Q3170" s="23" t="str">
        <f>IF(F3170="CAPTURE",IF(COUNTIF(orders!$A:$A,O3170)&gt;0,"Yes","NO ORDER"),"")</f>
        <v>Yes</v>
      </c>
    </row>
    <row r="3171" spans="1:17" ht="15" customHeight="1" x14ac:dyDescent="0.3">
      <c r="A3171" s="23" t="s">
        <v>16085</v>
      </c>
      <c r="B3171" s="23"/>
      <c r="C3171" s="23" t="s">
        <v>7952</v>
      </c>
      <c r="D3171" s="23" t="str">
        <f t="shared" si="147"/>
        <v>ORD26003732</v>
      </c>
      <c r="E3171" s="38">
        <v>46282</v>
      </c>
      <c r="F3171" s="23" t="s">
        <v>12410</v>
      </c>
      <c r="G3171" s="23" t="s">
        <v>75</v>
      </c>
      <c r="H3171" s="24">
        <v>1798</v>
      </c>
      <c r="I3171" s="24">
        <v>0</v>
      </c>
      <c r="J3171" s="24">
        <v>0</v>
      </c>
      <c r="K3171" s="24">
        <v>1798</v>
      </c>
      <c r="L3171" s="38">
        <v>46284</v>
      </c>
      <c r="M3171" s="23" t="s">
        <v>210</v>
      </c>
      <c r="N3171" s="23" t="str">
        <f>IF(COUNTIF($A$2:A3171,A3171)&gt;1,"DUP","OK")</f>
        <v>OK</v>
      </c>
      <c r="O3171" s="23" t="str">
        <f t="shared" si="148"/>
        <v>ORD26003732</v>
      </c>
      <c r="P3171" s="23" t="str">
        <f t="shared" si="149"/>
        <v>Sep</v>
      </c>
      <c r="Q3171" s="23" t="str">
        <f>IF(F3171="CAPTURE",IF(COUNTIF(orders!$A:$A,O3171)&gt;0,"Yes","NO ORDER"),"")</f>
        <v>Yes</v>
      </c>
    </row>
    <row r="3172" spans="1:17" ht="15" customHeight="1" x14ac:dyDescent="0.3">
      <c r="A3172" s="23" t="s">
        <v>16086</v>
      </c>
      <c r="B3172" s="23"/>
      <c r="C3172" s="23" t="s">
        <v>16087</v>
      </c>
      <c r="D3172" s="23" t="str">
        <f t="shared" si="147"/>
        <v>ORD26003791</v>
      </c>
      <c r="E3172" s="38">
        <v>46282</v>
      </c>
      <c r="F3172" s="23" t="s">
        <v>12410</v>
      </c>
      <c r="G3172" s="23" t="s">
        <v>75</v>
      </c>
      <c r="H3172" s="24">
        <v>1299</v>
      </c>
      <c r="I3172" s="24">
        <v>0</v>
      </c>
      <c r="J3172" s="24">
        <v>0</v>
      </c>
      <c r="K3172" s="24">
        <v>1299</v>
      </c>
      <c r="L3172" s="38">
        <v>46284</v>
      </c>
      <c r="M3172" s="23" t="s">
        <v>210</v>
      </c>
      <c r="N3172" s="23" t="str">
        <f>IF(COUNTIF($A$2:A3172,A3172)&gt;1,"DUP","OK")</f>
        <v>OK</v>
      </c>
      <c r="O3172" s="23" t="str">
        <f t="shared" si="148"/>
        <v>ORD26003791</v>
      </c>
      <c r="P3172" s="23" t="str">
        <f t="shared" si="149"/>
        <v>Sep</v>
      </c>
      <c r="Q3172" s="23" t="str">
        <f>IF(F3172="CAPTURE",IF(COUNTIF(orders!$A:$A,O3172)&gt;0,"Yes","NO ORDER"),"")</f>
        <v>Yes</v>
      </c>
    </row>
    <row r="3173" spans="1:17" ht="15" customHeight="1" x14ac:dyDescent="0.3">
      <c r="A3173" s="23" t="s">
        <v>16088</v>
      </c>
      <c r="B3173" s="23"/>
      <c r="C3173" s="23" t="s">
        <v>8134</v>
      </c>
      <c r="D3173" s="23" t="str">
        <f t="shared" si="147"/>
        <v>ORD26003823</v>
      </c>
      <c r="E3173" s="38">
        <v>46282</v>
      </c>
      <c r="F3173" s="23" t="s">
        <v>12410</v>
      </c>
      <c r="G3173" s="23" t="s">
        <v>79</v>
      </c>
      <c r="H3173" s="24">
        <v>3098</v>
      </c>
      <c r="I3173" s="24">
        <v>49.57</v>
      </c>
      <c r="J3173" s="24">
        <v>8.92</v>
      </c>
      <c r="K3173" s="24">
        <v>3039.51</v>
      </c>
      <c r="L3173" s="38">
        <v>46284</v>
      </c>
      <c r="M3173" s="23" t="s">
        <v>210</v>
      </c>
      <c r="N3173" s="23" t="str">
        <f>IF(COUNTIF($A$2:A3173,A3173)&gt;1,"DUP","OK")</f>
        <v>OK</v>
      </c>
      <c r="O3173" s="23" t="str">
        <f t="shared" si="148"/>
        <v>ORD26003823</v>
      </c>
      <c r="P3173" s="23" t="str">
        <f t="shared" si="149"/>
        <v>Sep</v>
      </c>
      <c r="Q3173" s="23" t="str">
        <f>IF(F3173="CAPTURE",IF(COUNTIF(orders!$A:$A,O3173)&gt;0,"Yes","NO ORDER"),"")</f>
        <v>Yes</v>
      </c>
    </row>
    <row r="3174" spans="1:17" ht="15" customHeight="1" x14ac:dyDescent="0.3">
      <c r="A3174" s="23" t="s">
        <v>16089</v>
      </c>
      <c r="B3174" s="23"/>
      <c r="C3174" s="23" t="s">
        <v>8162</v>
      </c>
      <c r="D3174" s="23" t="str">
        <f t="shared" si="147"/>
        <v>ORD26003837</v>
      </c>
      <c r="E3174" s="38">
        <v>46282</v>
      </c>
      <c r="F3174" s="23" t="s">
        <v>12410</v>
      </c>
      <c r="G3174" s="23" t="s">
        <v>75</v>
      </c>
      <c r="H3174" s="24">
        <v>2499</v>
      </c>
      <c r="I3174" s="24">
        <v>7.5</v>
      </c>
      <c r="J3174" s="24">
        <v>1.35</v>
      </c>
      <c r="K3174" s="24">
        <v>2490.15</v>
      </c>
      <c r="L3174" s="38">
        <v>46284</v>
      </c>
      <c r="M3174" s="23" t="s">
        <v>210</v>
      </c>
      <c r="N3174" s="23" t="str">
        <f>IF(COUNTIF($A$2:A3174,A3174)&gt;1,"DUP","OK")</f>
        <v>OK</v>
      </c>
      <c r="O3174" s="23" t="str">
        <f t="shared" si="148"/>
        <v>ORD26003837</v>
      </c>
      <c r="P3174" s="23" t="str">
        <f t="shared" si="149"/>
        <v>Sep</v>
      </c>
      <c r="Q3174" s="23" t="str">
        <f>IF(F3174="CAPTURE",IF(COUNTIF(orders!$A:$A,O3174)&gt;0,"Yes","NO ORDER"),"")</f>
        <v>Yes</v>
      </c>
    </row>
    <row r="3175" spans="1:17" ht="15" customHeight="1" x14ac:dyDescent="0.3">
      <c r="A3175" s="23" t="s">
        <v>16090</v>
      </c>
      <c r="B3175" s="23"/>
      <c r="C3175" s="23" t="s">
        <v>8166</v>
      </c>
      <c r="D3175" s="23" t="str">
        <f t="shared" si="147"/>
        <v>ORD26003839</v>
      </c>
      <c r="E3175" s="38">
        <v>46282</v>
      </c>
      <c r="F3175" s="23" t="s">
        <v>12410</v>
      </c>
      <c r="G3175" s="23" t="s">
        <v>75</v>
      </c>
      <c r="H3175" s="24">
        <v>1799</v>
      </c>
      <c r="I3175" s="24">
        <v>0</v>
      </c>
      <c r="J3175" s="24">
        <v>0</v>
      </c>
      <c r="K3175" s="24">
        <v>1799</v>
      </c>
      <c r="L3175" s="38">
        <v>46284</v>
      </c>
      <c r="M3175" s="23" t="s">
        <v>210</v>
      </c>
      <c r="N3175" s="23" t="str">
        <f>IF(COUNTIF($A$2:A3175,A3175)&gt;1,"DUP","OK")</f>
        <v>OK</v>
      </c>
      <c r="O3175" s="23" t="str">
        <f t="shared" si="148"/>
        <v>ORD26003839</v>
      </c>
      <c r="P3175" s="23" t="str">
        <f t="shared" si="149"/>
        <v>Sep</v>
      </c>
      <c r="Q3175" s="23" t="str">
        <f>IF(F3175="CAPTURE",IF(COUNTIF(orders!$A:$A,O3175)&gt;0,"Yes","NO ORDER"),"")</f>
        <v>Yes</v>
      </c>
    </row>
    <row r="3176" spans="1:17" ht="15" customHeight="1" x14ac:dyDescent="0.3">
      <c r="A3176" s="23" t="s">
        <v>16091</v>
      </c>
      <c r="B3176" s="23"/>
      <c r="C3176" s="23" t="s">
        <v>8202</v>
      </c>
      <c r="D3176" s="23" t="str">
        <f t="shared" si="147"/>
        <v>ORD26003857</v>
      </c>
      <c r="E3176" s="38">
        <v>46282</v>
      </c>
      <c r="F3176" s="23" t="s">
        <v>12410</v>
      </c>
      <c r="G3176" s="23" t="s">
        <v>75</v>
      </c>
      <c r="H3176" s="24">
        <v>999</v>
      </c>
      <c r="I3176" s="24">
        <v>0</v>
      </c>
      <c r="J3176" s="24">
        <v>0</v>
      </c>
      <c r="K3176" s="24">
        <v>999</v>
      </c>
      <c r="L3176" s="38">
        <v>46284</v>
      </c>
      <c r="M3176" s="23" t="s">
        <v>210</v>
      </c>
      <c r="N3176" s="23" t="str">
        <f>IF(COUNTIF($A$2:A3176,A3176)&gt;1,"DUP","OK")</f>
        <v>OK</v>
      </c>
      <c r="O3176" s="23" t="str">
        <f t="shared" si="148"/>
        <v>ORD26003857</v>
      </c>
      <c r="P3176" s="23" t="str">
        <f t="shared" si="149"/>
        <v>Sep</v>
      </c>
      <c r="Q3176" s="23" t="str">
        <f>IF(F3176="CAPTURE",IF(COUNTIF(orders!$A:$A,O3176)&gt;0,"Yes","NO ORDER"),"")</f>
        <v>Yes</v>
      </c>
    </row>
    <row r="3177" spans="1:17" ht="15" customHeight="1" x14ac:dyDescent="0.3">
      <c r="A3177" s="23" t="s">
        <v>16092</v>
      </c>
      <c r="B3177" s="23"/>
      <c r="C3177" s="23" t="s">
        <v>8255</v>
      </c>
      <c r="D3177" s="23" t="str">
        <f t="shared" si="147"/>
        <v>ORD26003884</v>
      </c>
      <c r="E3177" s="38">
        <v>46282</v>
      </c>
      <c r="F3177" s="23" t="s">
        <v>12410</v>
      </c>
      <c r="G3177" s="23" t="s">
        <v>79</v>
      </c>
      <c r="H3177" s="24">
        <v>4999</v>
      </c>
      <c r="I3177" s="24">
        <v>79.98</v>
      </c>
      <c r="J3177" s="24">
        <v>14.4</v>
      </c>
      <c r="K3177" s="24">
        <v>4904.62</v>
      </c>
      <c r="L3177" s="38">
        <v>46284</v>
      </c>
      <c r="M3177" s="23" t="s">
        <v>210</v>
      </c>
      <c r="N3177" s="23" t="str">
        <f>IF(COUNTIF($A$2:A3177,A3177)&gt;1,"DUP","OK")</f>
        <v>OK</v>
      </c>
      <c r="O3177" s="23" t="str">
        <f t="shared" si="148"/>
        <v>ORD26003884</v>
      </c>
      <c r="P3177" s="23" t="str">
        <f t="shared" si="149"/>
        <v>Sep</v>
      </c>
      <c r="Q3177" s="23" t="str">
        <f>IF(F3177="CAPTURE",IF(COUNTIF(orders!$A:$A,O3177)&gt;0,"Yes","NO ORDER"),"")</f>
        <v>Yes</v>
      </c>
    </row>
    <row r="3178" spans="1:17" ht="15" customHeight="1" x14ac:dyDescent="0.3">
      <c r="A3178" s="23" t="s">
        <v>16093</v>
      </c>
      <c r="B3178" s="23"/>
      <c r="C3178" s="23" t="s">
        <v>8299</v>
      </c>
      <c r="D3178" s="23" t="str">
        <f t="shared" si="147"/>
        <v>ORD26003906</v>
      </c>
      <c r="E3178" s="38">
        <v>46282</v>
      </c>
      <c r="F3178" s="23" t="s">
        <v>12410</v>
      </c>
      <c r="G3178" s="23" t="s">
        <v>79</v>
      </c>
      <c r="H3178" s="24">
        <v>2848</v>
      </c>
      <c r="I3178" s="24">
        <v>45.57</v>
      </c>
      <c r="J3178" s="24">
        <v>8.1999999999999993</v>
      </c>
      <c r="K3178" s="24">
        <v>2794.23</v>
      </c>
      <c r="L3178" s="38">
        <v>46284</v>
      </c>
      <c r="M3178" s="23" t="s">
        <v>210</v>
      </c>
      <c r="N3178" s="23" t="str">
        <f>IF(COUNTIF($A$2:A3178,A3178)&gt;1,"DUP","OK")</f>
        <v>OK</v>
      </c>
      <c r="O3178" s="23" t="str">
        <f t="shared" si="148"/>
        <v>ORD26003906</v>
      </c>
      <c r="P3178" s="23" t="str">
        <f t="shared" si="149"/>
        <v>Sep</v>
      </c>
      <c r="Q3178" s="23" t="str">
        <f>IF(F3178="CAPTURE",IF(COUNTIF(orders!$A:$A,O3178)&gt;0,"Yes","NO ORDER"),"")</f>
        <v>Yes</v>
      </c>
    </row>
    <row r="3179" spans="1:17" ht="15" customHeight="1" x14ac:dyDescent="0.3">
      <c r="A3179" s="23" t="s">
        <v>16094</v>
      </c>
      <c r="B3179" s="23"/>
      <c r="C3179" s="23" t="s">
        <v>8568</v>
      </c>
      <c r="D3179" s="23" t="str">
        <f t="shared" si="147"/>
        <v>ORD26004042</v>
      </c>
      <c r="E3179" s="38">
        <v>46282</v>
      </c>
      <c r="F3179" s="23" t="s">
        <v>12410</v>
      </c>
      <c r="G3179" s="23" t="s">
        <v>75</v>
      </c>
      <c r="H3179" s="24">
        <v>4999</v>
      </c>
      <c r="I3179" s="24">
        <v>15</v>
      </c>
      <c r="J3179" s="24">
        <v>2.7</v>
      </c>
      <c r="K3179" s="24">
        <v>4981.3</v>
      </c>
      <c r="L3179" s="38">
        <v>46284</v>
      </c>
      <c r="M3179" s="23" t="s">
        <v>210</v>
      </c>
      <c r="N3179" s="23" t="str">
        <f>IF(COUNTIF($A$2:A3179,A3179)&gt;1,"DUP","OK")</f>
        <v>OK</v>
      </c>
      <c r="O3179" s="23" t="str">
        <f t="shared" si="148"/>
        <v>ORD26004042</v>
      </c>
      <c r="P3179" s="23" t="str">
        <f t="shared" si="149"/>
        <v>Sep</v>
      </c>
      <c r="Q3179" s="23" t="str">
        <f>IF(F3179="CAPTURE",IF(COUNTIF(orders!$A:$A,O3179)&gt;0,"Yes","NO ORDER"),"")</f>
        <v>Yes</v>
      </c>
    </row>
    <row r="3180" spans="1:17" ht="15" customHeight="1" x14ac:dyDescent="0.3">
      <c r="A3180" s="23" t="s">
        <v>16095</v>
      </c>
      <c r="B3180" s="23"/>
      <c r="C3180" s="23" t="s">
        <v>8827</v>
      </c>
      <c r="D3180" s="23" t="str">
        <f t="shared" si="147"/>
        <v>ORD26004176</v>
      </c>
      <c r="E3180" s="38">
        <v>46282</v>
      </c>
      <c r="F3180" s="23" t="s">
        <v>12410</v>
      </c>
      <c r="G3180" s="23" t="s">
        <v>79</v>
      </c>
      <c r="H3180" s="24">
        <v>499</v>
      </c>
      <c r="I3180" s="24">
        <v>8.98</v>
      </c>
      <c r="J3180" s="24">
        <v>1.62</v>
      </c>
      <c r="K3180" s="24">
        <v>488.4</v>
      </c>
      <c r="L3180" s="38">
        <v>46284</v>
      </c>
      <c r="M3180" s="23" t="s">
        <v>210</v>
      </c>
      <c r="N3180" s="23" t="str">
        <f>IF(COUNTIF($A$2:A3180,A3180)&gt;1,"DUP","OK")</f>
        <v>OK</v>
      </c>
      <c r="O3180" s="23" t="str">
        <f t="shared" si="148"/>
        <v>ORD26004176</v>
      </c>
      <c r="P3180" s="23" t="str">
        <f t="shared" si="149"/>
        <v>Sep</v>
      </c>
      <c r="Q3180" s="23" t="str">
        <f>IF(F3180="CAPTURE",IF(COUNTIF(orders!$A:$A,O3180)&gt;0,"Yes","NO ORDER"),"")</f>
        <v>Yes</v>
      </c>
    </row>
    <row r="3181" spans="1:17" ht="15" customHeight="1" x14ac:dyDescent="0.3">
      <c r="A3181" s="23" t="s">
        <v>16096</v>
      </c>
      <c r="B3181" s="23"/>
      <c r="C3181" s="23" t="s">
        <v>8852</v>
      </c>
      <c r="D3181" s="23" t="str">
        <f t="shared" si="147"/>
        <v>ORD26004188</v>
      </c>
      <c r="E3181" s="38">
        <v>46282</v>
      </c>
      <c r="F3181" s="23" t="s">
        <v>12410</v>
      </c>
      <c r="G3181" s="23" t="s">
        <v>75</v>
      </c>
      <c r="H3181" s="24">
        <v>4597</v>
      </c>
      <c r="I3181" s="24">
        <v>13.79</v>
      </c>
      <c r="J3181" s="24">
        <v>2.48</v>
      </c>
      <c r="K3181" s="24">
        <v>4580.7299999999996</v>
      </c>
      <c r="L3181" s="38">
        <v>46284</v>
      </c>
      <c r="M3181" s="23" t="s">
        <v>210</v>
      </c>
      <c r="N3181" s="23" t="str">
        <f>IF(COUNTIF($A$2:A3181,A3181)&gt;1,"DUP","OK")</f>
        <v>OK</v>
      </c>
      <c r="O3181" s="23" t="str">
        <f t="shared" si="148"/>
        <v>ORD26004188</v>
      </c>
      <c r="P3181" s="23" t="str">
        <f t="shared" si="149"/>
        <v>Sep</v>
      </c>
      <c r="Q3181" s="23" t="str">
        <f>IF(F3181="CAPTURE",IF(COUNTIF(orders!$A:$A,O3181)&gt;0,"Yes","NO ORDER"),"")</f>
        <v>Yes</v>
      </c>
    </row>
    <row r="3182" spans="1:17" ht="15" customHeight="1" x14ac:dyDescent="0.3">
      <c r="A3182" s="23" t="s">
        <v>16097</v>
      </c>
      <c r="B3182" s="23"/>
      <c r="C3182" s="23" t="s">
        <v>9047</v>
      </c>
      <c r="D3182" s="23" t="str">
        <f t="shared" si="147"/>
        <v>ORD26004287</v>
      </c>
      <c r="E3182" s="38">
        <v>46282</v>
      </c>
      <c r="F3182" s="23" t="s">
        <v>12410</v>
      </c>
      <c r="G3182" s="23" t="s">
        <v>75</v>
      </c>
      <c r="H3182" s="24">
        <v>5498</v>
      </c>
      <c r="I3182" s="24">
        <v>16.489999999999998</v>
      </c>
      <c r="J3182" s="24">
        <v>2.97</v>
      </c>
      <c r="K3182" s="24">
        <v>5478.54</v>
      </c>
      <c r="L3182" s="38">
        <v>46284</v>
      </c>
      <c r="M3182" s="23" t="s">
        <v>210</v>
      </c>
      <c r="N3182" s="23" t="str">
        <f>IF(COUNTIF($A$2:A3182,A3182)&gt;1,"DUP","OK")</f>
        <v>OK</v>
      </c>
      <c r="O3182" s="23" t="str">
        <f t="shared" si="148"/>
        <v>ORD26004287</v>
      </c>
      <c r="P3182" s="23" t="str">
        <f t="shared" si="149"/>
        <v>Sep</v>
      </c>
      <c r="Q3182" s="23" t="str">
        <f>IF(F3182="CAPTURE",IF(COUNTIF(orders!$A:$A,O3182)&gt;0,"Yes","NO ORDER"),"")</f>
        <v>Yes</v>
      </c>
    </row>
    <row r="3183" spans="1:17" ht="15" customHeight="1" x14ac:dyDescent="0.3">
      <c r="A3183" s="23" t="s">
        <v>16098</v>
      </c>
      <c r="B3183" s="23"/>
      <c r="C3183" s="23" t="s">
        <v>9155</v>
      </c>
      <c r="D3183" s="23" t="str">
        <f t="shared" si="147"/>
        <v>ORD26004339</v>
      </c>
      <c r="E3183" s="38">
        <v>46282</v>
      </c>
      <c r="F3183" s="23" t="s">
        <v>12410</v>
      </c>
      <c r="G3183" s="23" t="s">
        <v>79</v>
      </c>
      <c r="H3183" s="24">
        <v>10597</v>
      </c>
      <c r="I3183" s="24">
        <v>169.55</v>
      </c>
      <c r="J3183" s="24">
        <v>30.52</v>
      </c>
      <c r="K3183" s="24">
        <v>10396.93</v>
      </c>
      <c r="L3183" s="38">
        <v>46284</v>
      </c>
      <c r="M3183" s="23" t="s">
        <v>210</v>
      </c>
      <c r="N3183" s="23" t="str">
        <f>IF(COUNTIF($A$2:A3183,A3183)&gt;1,"DUP","OK")</f>
        <v>OK</v>
      </c>
      <c r="O3183" s="23" t="str">
        <f t="shared" si="148"/>
        <v>ORD26004339</v>
      </c>
      <c r="P3183" s="23" t="str">
        <f t="shared" si="149"/>
        <v>Sep</v>
      </c>
      <c r="Q3183" s="23" t="str">
        <f>IF(F3183="CAPTURE",IF(COUNTIF(orders!$A:$A,O3183)&gt;0,"Yes","NO ORDER"),"")</f>
        <v>Yes</v>
      </c>
    </row>
    <row r="3184" spans="1:17" ht="15" customHeight="1" x14ac:dyDescent="0.3">
      <c r="A3184" s="23" t="s">
        <v>16099</v>
      </c>
      <c r="B3184" s="23"/>
      <c r="C3184" s="23" t="s">
        <v>9330</v>
      </c>
      <c r="D3184" s="23" t="str">
        <f t="shared" si="147"/>
        <v>ORD26004429</v>
      </c>
      <c r="E3184" s="38">
        <v>46282</v>
      </c>
      <c r="F3184" s="23" t="s">
        <v>12410</v>
      </c>
      <c r="G3184" s="23" t="s">
        <v>75</v>
      </c>
      <c r="H3184" s="24">
        <v>1397</v>
      </c>
      <c r="I3184" s="24">
        <v>0</v>
      </c>
      <c r="J3184" s="24">
        <v>0</v>
      </c>
      <c r="K3184" s="24">
        <v>1397</v>
      </c>
      <c r="L3184" s="38">
        <v>46284</v>
      </c>
      <c r="M3184" s="23" t="s">
        <v>210</v>
      </c>
      <c r="N3184" s="23" t="str">
        <f>IF(COUNTIF($A$2:A3184,A3184)&gt;1,"DUP","OK")</f>
        <v>OK</v>
      </c>
      <c r="O3184" s="23" t="str">
        <f t="shared" si="148"/>
        <v>ORD26004429</v>
      </c>
      <c r="P3184" s="23" t="str">
        <f t="shared" si="149"/>
        <v>Sep</v>
      </c>
      <c r="Q3184" s="23" t="str">
        <f>IF(F3184="CAPTURE",IF(COUNTIF(orders!$A:$A,O3184)&gt;0,"Yes","NO ORDER"),"")</f>
        <v>Yes</v>
      </c>
    </row>
    <row r="3185" spans="1:17" ht="15" customHeight="1" x14ac:dyDescent="0.3">
      <c r="A3185" s="23" t="s">
        <v>16100</v>
      </c>
      <c r="B3185" s="23"/>
      <c r="C3185" s="23" t="s">
        <v>9388</v>
      </c>
      <c r="D3185" s="23" t="str">
        <f t="shared" si="147"/>
        <v>ORD26004457</v>
      </c>
      <c r="E3185" s="38">
        <v>46282</v>
      </c>
      <c r="F3185" s="23" t="s">
        <v>12410</v>
      </c>
      <c r="G3185" s="23" t="s">
        <v>79</v>
      </c>
      <c r="H3185" s="24">
        <v>4999</v>
      </c>
      <c r="I3185" s="24">
        <v>79.98</v>
      </c>
      <c r="J3185" s="24">
        <v>14.4</v>
      </c>
      <c r="K3185" s="24">
        <v>4904.62</v>
      </c>
      <c r="L3185" s="38">
        <v>46284</v>
      </c>
      <c r="M3185" s="23" t="s">
        <v>210</v>
      </c>
      <c r="N3185" s="23" t="str">
        <f>IF(COUNTIF($A$2:A3185,A3185)&gt;1,"DUP","OK")</f>
        <v>OK</v>
      </c>
      <c r="O3185" s="23" t="str">
        <f t="shared" si="148"/>
        <v>ORD26004457</v>
      </c>
      <c r="P3185" s="23" t="str">
        <f t="shared" si="149"/>
        <v>Sep</v>
      </c>
      <c r="Q3185" s="23" t="str">
        <f>IF(F3185="CAPTURE",IF(COUNTIF(orders!$A:$A,O3185)&gt;0,"Yes","NO ORDER"),"")</f>
        <v>Yes</v>
      </c>
    </row>
    <row r="3186" spans="1:17" ht="15" customHeight="1" x14ac:dyDescent="0.3">
      <c r="A3186" s="23" t="s">
        <v>16101</v>
      </c>
      <c r="B3186" s="23"/>
      <c r="C3186" s="23" t="s">
        <v>16102</v>
      </c>
      <c r="D3186" s="23" t="str">
        <f t="shared" si="147"/>
        <v>ORD26004483</v>
      </c>
      <c r="E3186" s="38">
        <v>46282</v>
      </c>
      <c r="F3186" s="23" t="s">
        <v>12410</v>
      </c>
      <c r="G3186" s="23" t="s">
        <v>75</v>
      </c>
      <c r="H3186" s="24">
        <v>499</v>
      </c>
      <c r="I3186" s="24">
        <v>0</v>
      </c>
      <c r="J3186" s="24">
        <v>0</v>
      </c>
      <c r="K3186" s="24">
        <v>499</v>
      </c>
      <c r="L3186" s="38">
        <v>46284</v>
      </c>
      <c r="M3186" s="23" t="s">
        <v>210</v>
      </c>
      <c r="N3186" s="23" t="str">
        <f>IF(COUNTIF($A$2:A3186,A3186)&gt;1,"DUP","OK")</f>
        <v>OK</v>
      </c>
      <c r="O3186" s="23" t="str">
        <f t="shared" si="148"/>
        <v>ORD26004483</v>
      </c>
      <c r="P3186" s="23" t="str">
        <f t="shared" si="149"/>
        <v>Sep</v>
      </c>
      <c r="Q3186" s="23" t="str">
        <f>IF(F3186="CAPTURE",IF(COUNTIF(orders!$A:$A,O3186)&gt;0,"Yes","NO ORDER"),"")</f>
        <v>Yes</v>
      </c>
    </row>
    <row r="3187" spans="1:17" ht="15" customHeight="1" x14ac:dyDescent="0.3">
      <c r="A3187" s="23" t="s">
        <v>16103</v>
      </c>
      <c r="B3187" s="23"/>
      <c r="C3187" s="23" t="s">
        <v>9439</v>
      </c>
      <c r="D3187" s="23" t="str">
        <f t="shared" si="147"/>
        <v>ORD26004484</v>
      </c>
      <c r="E3187" s="38">
        <v>46282</v>
      </c>
      <c r="F3187" s="23" t="s">
        <v>12410</v>
      </c>
      <c r="G3187" s="23" t="s">
        <v>75</v>
      </c>
      <c r="H3187" s="24">
        <v>1299</v>
      </c>
      <c r="I3187" s="24">
        <v>0</v>
      </c>
      <c r="J3187" s="24">
        <v>0</v>
      </c>
      <c r="K3187" s="24">
        <v>1299</v>
      </c>
      <c r="L3187" s="38">
        <v>46284</v>
      </c>
      <c r="M3187" s="23" t="s">
        <v>210</v>
      </c>
      <c r="N3187" s="23" t="str">
        <f>IF(COUNTIF($A$2:A3187,A3187)&gt;1,"DUP","OK")</f>
        <v>OK</v>
      </c>
      <c r="O3187" s="23" t="str">
        <f t="shared" si="148"/>
        <v>ORD26004484</v>
      </c>
      <c r="P3187" s="23" t="str">
        <f t="shared" si="149"/>
        <v>Sep</v>
      </c>
      <c r="Q3187" s="23" t="str">
        <f>IF(F3187="CAPTURE",IF(COUNTIF(orders!$A:$A,O3187)&gt;0,"Yes","NO ORDER"),"")</f>
        <v>Yes</v>
      </c>
    </row>
    <row r="3188" spans="1:17" ht="15" customHeight="1" x14ac:dyDescent="0.3">
      <c r="A3188" s="23" t="s">
        <v>16104</v>
      </c>
      <c r="B3188" s="23"/>
      <c r="C3188" s="23" t="s">
        <v>9469</v>
      </c>
      <c r="D3188" s="23" t="str">
        <f t="shared" si="147"/>
        <v>ORD26004498</v>
      </c>
      <c r="E3188" s="38">
        <v>46282</v>
      </c>
      <c r="F3188" s="23" t="s">
        <v>12410</v>
      </c>
      <c r="G3188" s="23" t="s">
        <v>79</v>
      </c>
      <c r="H3188" s="24">
        <v>4999</v>
      </c>
      <c r="I3188" s="24">
        <v>79.98</v>
      </c>
      <c r="J3188" s="24">
        <v>14.4</v>
      </c>
      <c r="K3188" s="24">
        <v>4904.62</v>
      </c>
      <c r="L3188" s="38">
        <v>46284</v>
      </c>
      <c r="M3188" s="23" t="s">
        <v>210</v>
      </c>
      <c r="N3188" s="23" t="str">
        <f>IF(COUNTIF($A$2:A3188,A3188)&gt;1,"DUP","OK")</f>
        <v>OK</v>
      </c>
      <c r="O3188" s="23" t="str">
        <f t="shared" si="148"/>
        <v>ORD26004498</v>
      </c>
      <c r="P3188" s="23" t="str">
        <f t="shared" si="149"/>
        <v>Sep</v>
      </c>
      <c r="Q3188" s="23" t="str">
        <f>IF(F3188="CAPTURE",IF(COUNTIF(orders!$A:$A,O3188)&gt;0,"Yes","NO ORDER"),"")</f>
        <v>Yes</v>
      </c>
    </row>
    <row r="3189" spans="1:17" ht="15" customHeight="1" x14ac:dyDescent="0.3">
      <c r="A3189" s="23" t="s">
        <v>16105</v>
      </c>
      <c r="B3189" s="23"/>
      <c r="C3189" s="23" t="s">
        <v>9508</v>
      </c>
      <c r="D3189" s="23" t="str">
        <f t="shared" si="147"/>
        <v>ORD26004518</v>
      </c>
      <c r="E3189" s="38">
        <v>46282</v>
      </c>
      <c r="F3189" s="23" t="s">
        <v>12410</v>
      </c>
      <c r="G3189" s="23" t="s">
        <v>75</v>
      </c>
      <c r="H3189" s="24">
        <v>6497</v>
      </c>
      <c r="I3189" s="24">
        <v>19.489999999999998</v>
      </c>
      <c r="J3189" s="24">
        <v>3.51</v>
      </c>
      <c r="K3189" s="24">
        <v>6474</v>
      </c>
      <c r="L3189" s="38">
        <v>46284</v>
      </c>
      <c r="M3189" s="23" t="s">
        <v>210</v>
      </c>
      <c r="N3189" s="23" t="str">
        <f>IF(COUNTIF($A$2:A3189,A3189)&gt;1,"DUP","OK")</f>
        <v>OK</v>
      </c>
      <c r="O3189" s="23" t="str">
        <f t="shared" si="148"/>
        <v>ORD26004518</v>
      </c>
      <c r="P3189" s="23" t="str">
        <f t="shared" si="149"/>
        <v>Sep</v>
      </c>
      <c r="Q3189" s="23" t="str">
        <f>IF(F3189="CAPTURE",IF(COUNTIF(orders!$A:$A,O3189)&gt;0,"Yes","NO ORDER"),"")</f>
        <v>Yes</v>
      </c>
    </row>
    <row r="3190" spans="1:17" ht="15" customHeight="1" x14ac:dyDescent="0.3">
      <c r="A3190" s="23" t="s">
        <v>16106</v>
      </c>
      <c r="B3190" s="23"/>
      <c r="C3190" s="23" t="s">
        <v>9577</v>
      </c>
      <c r="D3190" s="23" t="str">
        <f t="shared" si="147"/>
        <v>ORD26004552</v>
      </c>
      <c r="E3190" s="38">
        <v>46282</v>
      </c>
      <c r="F3190" s="23" t="s">
        <v>12410</v>
      </c>
      <c r="G3190" s="23" t="s">
        <v>81</v>
      </c>
      <c r="H3190" s="24">
        <v>599</v>
      </c>
      <c r="I3190" s="24">
        <v>8.99</v>
      </c>
      <c r="J3190" s="24">
        <v>1.62</v>
      </c>
      <c r="K3190" s="24">
        <v>588.39</v>
      </c>
      <c r="L3190" s="38">
        <v>46284</v>
      </c>
      <c r="M3190" s="23" t="s">
        <v>210</v>
      </c>
      <c r="N3190" s="23" t="str">
        <f>IF(COUNTIF($A$2:A3190,A3190)&gt;1,"DUP","OK")</f>
        <v>OK</v>
      </c>
      <c r="O3190" s="23" t="str">
        <f t="shared" si="148"/>
        <v>ORD26004552</v>
      </c>
      <c r="P3190" s="23" t="str">
        <f t="shared" si="149"/>
        <v>Sep</v>
      </c>
      <c r="Q3190" s="23" t="str">
        <f>IF(F3190="CAPTURE",IF(COUNTIF(orders!$A:$A,O3190)&gt;0,"Yes","NO ORDER"),"")</f>
        <v>Yes</v>
      </c>
    </row>
    <row r="3191" spans="1:17" ht="15" customHeight="1" x14ac:dyDescent="0.3">
      <c r="A3191" s="23" t="s">
        <v>16107</v>
      </c>
      <c r="B3191" s="23"/>
      <c r="C3191" s="23" t="s">
        <v>9701</v>
      </c>
      <c r="D3191" s="23" t="str">
        <f t="shared" si="147"/>
        <v>ORD26004614</v>
      </c>
      <c r="E3191" s="38">
        <v>46282</v>
      </c>
      <c r="F3191" s="23" t="s">
        <v>12410</v>
      </c>
      <c r="G3191" s="23" t="s">
        <v>81</v>
      </c>
      <c r="H3191" s="24">
        <v>3499</v>
      </c>
      <c r="I3191" s="24">
        <v>41.99</v>
      </c>
      <c r="J3191" s="24">
        <v>7.56</v>
      </c>
      <c r="K3191" s="24">
        <v>3449.45</v>
      </c>
      <c r="L3191" s="38">
        <v>46284</v>
      </c>
      <c r="M3191" s="23" t="s">
        <v>210</v>
      </c>
      <c r="N3191" s="23" t="str">
        <f>IF(COUNTIF($A$2:A3191,A3191)&gt;1,"DUP","OK")</f>
        <v>OK</v>
      </c>
      <c r="O3191" s="23" t="str">
        <f t="shared" si="148"/>
        <v>ORD26004614</v>
      </c>
      <c r="P3191" s="23" t="str">
        <f t="shared" si="149"/>
        <v>Sep</v>
      </c>
      <c r="Q3191" s="23" t="str">
        <f>IF(F3191="CAPTURE",IF(COUNTIF(orders!$A:$A,O3191)&gt;0,"Yes","NO ORDER"),"")</f>
        <v>Yes</v>
      </c>
    </row>
    <row r="3192" spans="1:17" ht="15" customHeight="1" x14ac:dyDescent="0.3">
      <c r="A3192" s="23" t="s">
        <v>16108</v>
      </c>
      <c r="B3192" s="23"/>
      <c r="C3192" s="23" t="s">
        <v>16109</v>
      </c>
      <c r="D3192" s="23" t="str">
        <f t="shared" si="147"/>
        <v>ORD26004631</v>
      </c>
      <c r="E3192" s="38">
        <v>46282</v>
      </c>
      <c r="F3192" s="23" t="s">
        <v>12410</v>
      </c>
      <c r="G3192" s="23" t="s">
        <v>75</v>
      </c>
      <c r="H3192" s="24">
        <v>999</v>
      </c>
      <c r="I3192" s="24">
        <v>0</v>
      </c>
      <c r="J3192" s="24">
        <v>0</v>
      </c>
      <c r="K3192" s="24">
        <v>999</v>
      </c>
      <c r="L3192" s="38">
        <v>46284</v>
      </c>
      <c r="M3192" s="23" t="s">
        <v>210</v>
      </c>
      <c r="N3192" s="23" t="str">
        <f>IF(COUNTIF($A$2:A3192,A3192)&gt;1,"DUP","OK")</f>
        <v>OK</v>
      </c>
      <c r="O3192" s="23" t="str">
        <f t="shared" si="148"/>
        <v>ORD26004631</v>
      </c>
      <c r="P3192" s="23" t="str">
        <f t="shared" si="149"/>
        <v>Sep</v>
      </c>
      <c r="Q3192" s="23" t="str">
        <f>IF(F3192="CAPTURE",IF(COUNTIF(orders!$A:$A,O3192)&gt;0,"Yes","NO ORDER"),"")</f>
        <v>Yes</v>
      </c>
    </row>
    <row r="3193" spans="1:17" ht="15" customHeight="1" x14ac:dyDescent="0.3">
      <c r="A3193" s="23" t="s">
        <v>16110</v>
      </c>
      <c r="B3193" s="23"/>
      <c r="C3193" s="23" t="s">
        <v>9804</v>
      </c>
      <c r="D3193" s="23" t="str">
        <f t="shared" si="147"/>
        <v>ORD26004668</v>
      </c>
      <c r="E3193" s="38">
        <v>46282</v>
      </c>
      <c r="F3193" s="23" t="s">
        <v>12410</v>
      </c>
      <c r="G3193" s="23" t="s">
        <v>75</v>
      </c>
      <c r="H3193" s="24">
        <v>2998</v>
      </c>
      <c r="I3193" s="24">
        <v>8.99</v>
      </c>
      <c r="J3193" s="24">
        <v>1.62</v>
      </c>
      <c r="K3193" s="24">
        <v>2987.39</v>
      </c>
      <c r="L3193" s="38">
        <v>46284</v>
      </c>
      <c r="M3193" s="23" t="s">
        <v>210</v>
      </c>
      <c r="N3193" s="23" t="str">
        <f>IF(COUNTIF($A$2:A3193,A3193)&gt;1,"DUP","OK")</f>
        <v>OK</v>
      </c>
      <c r="O3193" s="23" t="str">
        <f t="shared" si="148"/>
        <v>ORD26004668</v>
      </c>
      <c r="P3193" s="23" t="str">
        <f t="shared" si="149"/>
        <v>Sep</v>
      </c>
      <c r="Q3193" s="23" t="str">
        <f>IF(F3193="CAPTURE",IF(COUNTIF(orders!$A:$A,O3193)&gt;0,"Yes","NO ORDER"),"")</f>
        <v>Yes</v>
      </c>
    </row>
    <row r="3194" spans="1:17" ht="15" customHeight="1" x14ac:dyDescent="0.3">
      <c r="A3194" s="23" t="s">
        <v>16111</v>
      </c>
      <c r="B3194" s="23"/>
      <c r="C3194" s="23" t="s">
        <v>9886</v>
      </c>
      <c r="D3194" s="23" t="str">
        <f t="shared" si="147"/>
        <v>ORD26004709</v>
      </c>
      <c r="E3194" s="38">
        <v>46282</v>
      </c>
      <c r="F3194" s="23" t="s">
        <v>12410</v>
      </c>
      <c r="G3194" s="23" t="s">
        <v>75</v>
      </c>
      <c r="H3194" s="24">
        <v>1299</v>
      </c>
      <c r="I3194" s="24">
        <v>0</v>
      </c>
      <c r="J3194" s="24">
        <v>0</v>
      </c>
      <c r="K3194" s="24">
        <v>1299</v>
      </c>
      <c r="L3194" s="38">
        <v>46284</v>
      </c>
      <c r="M3194" s="23" t="s">
        <v>210</v>
      </c>
      <c r="N3194" s="23" t="str">
        <f>IF(COUNTIF($A$2:A3194,A3194)&gt;1,"DUP","OK")</f>
        <v>OK</v>
      </c>
      <c r="O3194" s="23" t="str">
        <f t="shared" si="148"/>
        <v>ORD26004709</v>
      </c>
      <c r="P3194" s="23" t="str">
        <f t="shared" si="149"/>
        <v>Sep</v>
      </c>
      <c r="Q3194" s="23" t="str">
        <f>IF(F3194="CAPTURE",IF(COUNTIF(orders!$A:$A,O3194)&gt;0,"Yes","NO ORDER"),"")</f>
        <v>Yes</v>
      </c>
    </row>
    <row r="3195" spans="1:17" ht="15" customHeight="1" x14ac:dyDescent="0.3">
      <c r="A3195" s="23" t="s">
        <v>16112</v>
      </c>
      <c r="B3195" s="23"/>
      <c r="C3195" s="23" t="s">
        <v>16113</v>
      </c>
      <c r="D3195" s="23" t="str">
        <f t="shared" si="147"/>
        <v>ORD26004744</v>
      </c>
      <c r="E3195" s="38">
        <v>46282</v>
      </c>
      <c r="F3195" s="23" t="s">
        <v>12410</v>
      </c>
      <c r="G3195" s="23" t="s">
        <v>75</v>
      </c>
      <c r="H3195" s="24">
        <v>4999</v>
      </c>
      <c r="I3195" s="24">
        <v>15</v>
      </c>
      <c r="J3195" s="24">
        <v>2.7</v>
      </c>
      <c r="K3195" s="24">
        <v>4981.3</v>
      </c>
      <c r="L3195" s="38">
        <v>46284</v>
      </c>
      <c r="M3195" s="23" t="s">
        <v>210</v>
      </c>
      <c r="N3195" s="23" t="str">
        <f>IF(COUNTIF($A$2:A3195,A3195)&gt;1,"DUP","OK")</f>
        <v>OK</v>
      </c>
      <c r="O3195" s="23" t="str">
        <f t="shared" si="148"/>
        <v>ORD26004744</v>
      </c>
      <c r="P3195" s="23" t="str">
        <f t="shared" si="149"/>
        <v>Sep</v>
      </c>
      <c r="Q3195" s="23" t="str">
        <f>IF(F3195="CAPTURE",IF(COUNTIF(orders!$A:$A,O3195)&gt;0,"Yes","NO ORDER"),"")</f>
        <v>Yes</v>
      </c>
    </row>
    <row r="3196" spans="1:17" ht="15" customHeight="1" x14ac:dyDescent="0.3">
      <c r="A3196" s="23" t="s">
        <v>16114</v>
      </c>
      <c r="B3196" s="23"/>
      <c r="C3196" s="23" t="s">
        <v>16115</v>
      </c>
      <c r="D3196" s="23" t="str">
        <f t="shared" si="147"/>
        <v>ORD26004746</v>
      </c>
      <c r="E3196" s="38">
        <v>46282</v>
      </c>
      <c r="F3196" s="23" t="s">
        <v>12410</v>
      </c>
      <c r="G3196" s="23" t="s">
        <v>79</v>
      </c>
      <c r="H3196" s="24">
        <v>4647</v>
      </c>
      <c r="I3196" s="24">
        <v>74.349999999999994</v>
      </c>
      <c r="J3196" s="24">
        <v>13.38</v>
      </c>
      <c r="K3196" s="24">
        <v>4559.2700000000004</v>
      </c>
      <c r="L3196" s="38">
        <v>46284</v>
      </c>
      <c r="M3196" s="23" t="s">
        <v>210</v>
      </c>
      <c r="N3196" s="23" t="str">
        <f>IF(COUNTIF($A$2:A3196,A3196)&gt;1,"DUP","OK")</f>
        <v>OK</v>
      </c>
      <c r="O3196" s="23" t="str">
        <f t="shared" si="148"/>
        <v>ORD26004746</v>
      </c>
      <c r="P3196" s="23" t="str">
        <f t="shared" si="149"/>
        <v>Sep</v>
      </c>
      <c r="Q3196" s="23" t="str">
        <f>IF(F3196="CAPTURE",IF(COUNTIF(orders!$A:$A,O3196)&gt;0,"Yes","NO ORDER"),"")</f>
        <v>Yes</v>
      </c>
    </row>
    <row r="3197" spans="1:17" ht="15" customHeight="1" x14ac:dyDescent="0.3">
      <c r="A3197" s="23" t="s">
        <v>16116</v>
      </c>
      <c r="B3197" s="23"/>
      <c r="C3197" s="23" t="s">
        <v>10198</v>
      </c>
      <c r="D3197" s="23" t="str">
        <f t="shared" si="147"/>
        <v>ORD26004870</v>
      </c>
      <c r="E3197" s="38">
        <v>46282</v>
      </c>
      <c r="F3197" s="23" t="s">
        <v>12410</v>
      </c>
      <c r="G3197" s="23" t="s">
        <v>75</v>
      </c>
      <c r="H3197" s="24">
        <v>2499</v>
      </c>
      <c r="I3197" s="24">
        <v>7.5</v>
      </c>
      <c r="J3197" s="24">
        <v>1.35</v>
      </c>
      <c r="K3197" s="24">
        <v>2490.15</v>
      </c>
      <c r="L3197" s="38">
        <v>46284</v>
      </c>
      <c r="M3197" s="23" t="s">
        <v>210</v>
      </c>
      <c r="N3197" s="23" t="str">
        <f>IF(COUNTIF($A$2:A3197,A3197)&gt;1,"DUP","OK")</f>
        <v>OK</v>
      </c>
      <c r="O3197" s="23" t="str">
        <f t="shared" si="148"/>
        <v>ORD26004870</v>
      </c>
      <c r="P3197" s="23" t="str">
        <f t="shared" si="149"/>
        <v>Sep</v>
      </c>
      <c r="Q3197" s="23" t="str">
        <f>IF(F3197="CAPTURE",IF(COUNTIF(orders!$A:$A,O3197)&gt;0,"Yes","NO ORDER"),"")</f>
        <v>Yes</v>
      </c>
    </row>
    <row r="3198" spans="1:17" ht="15" customHeight="1" x14ac:dyDescent="0.3">
      <c r="A3198" s="23" t="s">
        <v>16117</v>
      </c>
      <c r="B3198" s="23"/>
      <c r="C3198" s="23" t="s">
        <v>10271</v>
      </c>
      <c r="D3198" s="23" t="str">
        <f t="shared" si="147"/>
        <v>ORD26004907</v>
      </c>
      <c r="E3198" s="38">
        <v>46282</v>
      </c>
      <c r="F3198" s="23" t="s">
        <v>12410</v>
      </c>
      <c r="G3198" s="23" t="s">
        <v>81</v>
      </c>
      <c r="H3198" s="24">
        <v>2999</v>
      </c>
      <c r="I3198" s="24">
        <v>35.99</v>
      </c>
      <c r="J3198" s="24">
        <v>6.48</v>
      </c>
      <c r="K3198" s="24">
        <v>2956.53</v>
      </c>
      <c r="L3198" s="38">
        <v>46284</v>
      </c>
      <c r="M3198" s="23" t="s">
        <v>210</v>
      </c>
      <c r="N3198" s="23" t="str">
        <f>IF(COUNTIF($A$2:A3198,A3198)&gt;1,"DUP","OK")</f>
        <v>OK</v>
      </c>
      <c r="O3198" s="23" t="str">
        <f t="shared" si="148"/>
        <v>ORD26004907</v>
      </c>
      <c r="P3198" s="23" t="str">
        <f t="shared" si="149"/>
        <v>Sep</v>
      </c>
      <c r="Q3198" s="23" t="str">
        <f>IF(F3198="CAPTURE",IF(COUNTIF(orders!$A:$A,O3198)&gt;0,"Yes","NO ORDER"),"")</f>
        <v>Yes</v>
      </c>
    </row>
    <row r="3199" spans="1:17" ht="15" customHeight="1" x14ac:dyDescent="0.3">
      <c r="A3199" s="23" t="s">
        <v>16118</v>
      </c>
      <c r="B3199" s="23"/>
      <c r="C3199" s="23" t="s">
        <v>10423</v>
      </c>
      <c r="D3199" s="23" t="str">
        <f t="shared" si="147"/>
        <v>ORD26004985</v>
      </c>
      <c r="E3199" s="38">
        <v>46282</v>
      </c>
      <c r="F3199" s="23" t="s">
        <v>12410</v>
      </c>
      <c r="G3199" s="23" t="s">
        <v>79</v>
      </c>
      <c r="H3199" s="24">
        <v>799</v>
      </c>
      <c r="I3199" s="24">
        <v>14.38</v>
      </c>
      <c r="J3199" s="24">
        <v>2.59</v>
      </c>
      <c r="K3199" s="24">
        <v>782.03</v>
      </c>
      <c r="L3199" s="38">
        <v>46284</v>
      </c>
      <c r="M3199" s="23" t="s">
        <v>210</v>
      </c>
      <c r="N3199" s="23" t="str">
        <f>IF(COUNTIF($A$2:A3199,A3199)&gt;1,"DUP","OK")</f>
        <v>OK</v>
      </c>
      <c r="O3199" s="23" t="str">
        <f t="shared" si="148"/>
        <v>ORD26004985</v>
      </c>
      <c r="P3199" s="23" t="str">
        <f t="shared" si="149"/>
        <v>Sep</v>
      </c>
      <c r="Q3199" s="23" t="str">
        <f>IF(F3199="CAPTURE",IF(COUNTIF(orders!$A:$A,O3199)&gt;0,"Yes","NO ORDER"),"")</f>
        <v>Yes</v>
      </c>
    </row>
    <row r="3200" spans="1:17" ht="15" customHeight="1" x14ac:dyDescent="0.3">
      <c r="A3200" s="23" t="s">
        <v>16119</v>
      </c>
      <c r="B3200" s="23"/>
      <c r="C3200" s="23" t="s">
        <v>10500</v>
      </c>
      <c r="D3200" s="23" t="str">
        <f t="shared" si="147"/>
        <v>ORD26005025</v>
      </c>
      <c r="E3200" s="38">
        <v>46282</v>
      </c>
      <c r="F3200" s="23" t="s">
        <v>12410</v>
      </c>
      <c r="G3200" s="23" t="s">
        <v>77</v>
      </c>
      <c r="H3200" s="24">
        <v>3499</v>
      </c>
      <c r="I3200" s="24">
        <v>59.48</v>
      </c>
      <c r="J3200" s="24">
        <v>10.71</v>
      </c>
      <c r="K3200" s="24">
        <v>3428.81</v>
      </c>
      <c r="L3200" s="38">
        <v>46284</v>
      </c>
      <c r="M3200" s="23" t="s">
        <v>210</v>
      </c>
      <c r="N3200" s="23" t="str">
        <f>IF(COUNTIF($A$2:A3200,A3200)&gt;1,"DUP","OK")</f>
        <v>OK</v>
      </c>
      <c r="O3200" s="23" t="str">
        <f t="shared" si="148"/>
        <v>ORD26005025</v>
      </c>
      <c r="P3200" s="23" t="str">
        <f t="shared" si="149"/>
        <v>Sep</v>
      </c>
      <c r="Q3200" s="23" t="str">
        <f>IF(F3200="CAPTURE",IF(COUNTIF(orders!$A:$A,O3200)&gt;0,"Yes","NO ORDER"),"")</f>
        <v>Yes</v>
      </c>
    </row>
    <row r="3201" spans="1:17" ht="15" customHeight="1" x14ac:dyDescent="0.3">
      <c r="A3201" s="23" t="s">
        <v>16120</v>
      </c>
      <c r="B3201" s="23"/>
      <c r="C3201" s="23" t="s">
        <v>16121</v>
      </c>
      <c r="D3201" s="23" t="str">
        <f t="shared" si="147"/>
        <v>ORD26005061</v>
      </c>
      <c r="E3201" s="38">
        <v>46282</v>
      </c>
      <c r="F3201" s="23" t="s">
        <v>12410</v>
      </c>
      <c r="G3201" s="23" t="s">
        <v>75</v>
      </c>
      <c r="H3201" s="24">
        <v>7999</v>
      </c>
      <c r="I3201" s="24">
        <v>24</v>
      </c>
      <c r="J3201" s="24">
        <v>4.32</v>
      </c>
      <c r="K3201" s="24">
        <v>7970.68</v>
      </c>
      <c r="L3201" s="38">
        <v>46284</v>
      </c>
      <c r="M3201" s="23" t="s">
        <v>210</v>
      </c>
      <c r="N3201" s="23" t="str">
        <f>IF(COUNTIF($A$2:A3201,A3201)&gt;1,"DUP","OK")</f>
        <v>OK</v>
      </c>
      <c r="O3201" s="23" t="str">
        <f t="shared" si="148"/>
        <v>ORD26005061</v>
      </c>
      <c r="P3201" s="23" t="str">
        <f t="shared" si="149"/>
        <v>Sep</v>
      </c>
      <c r="Q3201" s="23" t="str">
        <f>IF(F3201="CAPTURE",IF(COUNTIF(orders!$A:$A,O3201)&gt;0,"Yes","NO ORDER"),"")</f>
        <v>Yes</v>
      </c>
    </row>
    <row r="3202" spans="1:17" ht="15" customHeight="1" x14ac:dyDescent="0.3">
      <c r="A3202" s="23" t="s">
        <v>16122</v>
      </c>
      <c r="B3202" s="23"/>
      <c r="C3202" s="23" t="s">
        <v>10755</v>
      </c>
      <c r="D3202" s="23" t="str">
        <f t="shared" ref="D3202:D3265" si="150">UPPER(SUBSTITUTE(TRIM(C3202),"-",""))</f>
        <v>ORD26005157</v>
      </c>
      <c r="E3202" s="38">
        <v>46282</v>
      </c>
      <c r="F3202" s="23" t="s">
        <v>12410</v>
      </c>
      <c r="G3202" s="23" t="s">
        <v>81</v>
      </c>
      <c r="H3202" s="24">
        <v>5297</v>
      </c>
      <c r="I3202" s="24">
        <v>63.56</v>
      </c>
      <c r="J3202" s="24">
        <v>11.44</v>
      </c>
      <c r="K3202" s="24">
        <v>5222</v>
      </c>
      <c r="L3202" s="38">
        <v>46284</v>
      </c>
      <c r="M3202" s="23" t="s">
        <v>210</v>
      </c>
      <c r="N3202" s="23" t="str">
        <f>IF(COUNTIF($A$2:A3202,A3202)&gt;1,"DUP","OK")</f>
        <v>OK</v>
      </c>
      <c r="O3202" s="23" t="str">
        <f t="shared" ref="O3202:O3265" si="151">IF(F3202="REFUND",INDEX($D:$D,MATCH(B3202,$A:$A,0)),D3202)</f>
        <v>ORD26005157</v>
      </c>
      <c r="P3202" s="23" t="str">
        <f t="shared" ref="P3202:P3265" si="152">IF(L3202&gt;DATE(2026,9,30),"Oct-Due","Sep")</f>
        <v>Sep</v>
      </c>
      <c r="Q3202" s="23" t="str">
        <f>IF(F3202="CAPTURE",IF(COUNTIF(orders!$A:$A,O3202)&gt;0,"Yes","NO ORDER"),"")</f>
        <v>Yes</v>
      </c>
    </row>
    <row r="3203" spans="1:17" ht="15" customHeight="1" x14ac:dyDescent="0.3">
      <c r="A3203" s="23" t="s">
        <v>16123</v>
      </c>
      <c r="B3203" s="23"/>
      <c r="C3203" s="23" t="s">
        <v>10777</v>
      </c>
      <c r="D3203" s="23" t="str">
        <f t="shared" si="150"/>
        <v>ORD26005169</v>
      </c>
      <c r="E3203" s="38">
        <v>46282</v>
      </c>
      <c r="F3203" s="23" t="s">
        <v>12410</v>
      </c>
      <c r="G3203" s="23" t="s">
        <v>77</v>
      </c>
      <c r="H3203" s="24">
        <v>4097</v>
      </c>
      <c r="I3203" s="24">
        <v>69.650000000000006</v>
      </c>
      <c r="J3203" s="24">
        <v>12.54</v>
      </c>
      <c r="K3203" s="24">
        <v>4014.81</v>
      </c>
      <c r="L3203" s="38">
        <v>46284</v>
      </c>
      <c r="M3203" s="23" t="s">
        <v>210</v>
      </c>
      <c r="N3203" s="23" t="str">
        <f>IF(COUNTIF($A$2:A3203,A3203)&gt;1,"DUP","OK")</f>
        <v>OK</v>
      </c>
      <c r="O3203" s="23" t="str">
        <f t="shared" si="151"/>
        <v>ORD26005169</v>
      </c>
      <c r="P3203" s="23" t="str">
        <f t="shared" si="152"/>
        <v>Sep</v>
      </c>
      <c r="Q3203" s="23" t="str">
        <f>IF(F3203="CAPTURE",IF(COUNTIF(orders!$A:$A,O3203)&gt;0,"Yes","NO ORDER"),"")</f>
        <v>Yes</v>
      </c>
    </row>
    <row r="3204" spans="1:17" ht="15" customHeight="1" x14ac:dyDescent="0.3">
      <c r="A3204" s="23" t="s">
        <v>16124</v>
      </c>
      <c r="B3204" s="23"/>
      <c r="C3204" s="23" t="s">
        <v>10834</v>
      </c>
      <c r="D3204" s="23" t="str">
        <f t="shared" si="150"/>
        <v>ORD26005197</v>
      </c>
      <c r="E3204" s="38">
        <v>46282</v>
      </c>
      <c r="F3204" s="23" t="s">
        <v>12410</v>
      </c>
      <c r="G3204" s="23" t="s">
        <v>75</v>
      </c>
      <c r="H3204" s="24">
        <v>3598</v>
      </c>
      <c r="I3204" s="24">
        <v>10.79</v>
      </c>
      <c r="J3204" s="24">
        <v>1.94</v>
      </c>
      <c r="K3204" s="24">
        <v>3585.27</v>
      </c>
      <c r="L3204" s="38">
        <v>46284</v>
      </c>
      <c r="M3204" s="23" t="s">
        <v>210</v>
      </c>
      <c r="N3204" s="23" t="str">
        <f>IF(COUNTIF($A$2:A3204,A3204)&gt;1,"DUP","OK")</f>
        <v>OK</v>
      </c>
      <c r="O3204" s="23" t="str">
        <f t="shared" si="151"/>
        <v>ORD26005197</v>
      </c>
      <c r="P3204" s="23" t="str">
        <f t="shared" si="152"/>
        <v>Sep</v>
      </c>
      <c r="Q3204" s="23" t="str">
        <f>IF(F3204="CAPTURE",IF(COUNTIF(orders!$A:$A,O3204)&gt;0,"Yes","NO ORDER"),"")</f>
        <v>Yes</v>
      </c>
    </row>
    <row r="3205" spans="1:17" ht="15" customHeight="1" x14ac:dyDescent="0.3">
      <c r="A3205" s="23" t="s">
        <v>16125</v>
      </c>
      <c r="B3205" s="23"/>
      <c r="C3205" s="23" t="s">
        <v>10889</v>
      </c>
      <c r="D3205" s="23" t="str">
        <f t="shared" si="150"/>
        <v>ORD26005225</v>
      </c>
      <c r="E3205" s="38">
        <v>46282</v>
      </c>
      <c r="F3205" s="23" t="s">
        <v>12410</v>
      </c>
      <c r="G3205" s="23" t="s">
        <v>75</v>
      </c>
      <c r="H3205" s="24">
        <v>3298</v>
      </c>
      <c r="I3205" s="24">
        <v>9.89</v>
      </c>
      <c r="J3205" s="24">
        <v>1.78</v>
      </c>
      <c r="K3205" s="24">
        <v>3286.33</v>
      </c>
      <c r="L3205" s="38">
        <v>46284</v>
      </c>
      <c r="M3205" s="23" t="s">
        <v>210</v>
      </c>
      <c r="N3205" s="23" t="str">
        <f>IF(COUNTIF($A$2:A3205,A3205)&gt;1,"DUP","OK")</f>
        <v>OK</v>
      </c>
      <c r="O3205" s="23" t="str">
        <f t="shared" si="151"/>
        <v>ORD26005225</v>
      </c>
      <c r="P3205" s="23" t="str">
        <f t="shared" si="152"/>
        <v>Sep</v>
      </c>
      <c r="Q3205" s="23" t="str">
        <f>IF(F3205="CAPTURE",IF(COUNTIF(orders!$A:$A,O3205)&gt;0,"Yes","NO ORDER"),"")</f>
        <v>Yes</v>
      </c>
    </row>
    <row r="3206" spans="1:17" ht="15" customHeight="1" x14ac:dyDescent="0.3">
      <c r="A3206" s="23" t="s">
        <v>16126</v>
      </c>
      <c r="B3206" s="23"/>
      <c r="C3206" s="23" t="s">
        <v>11041</v>
      </c>
      <c r="D3206" s="23" t="str">
        <f t="shared" si="150"/>
        <v>ORD26005304</v>
      </c>
      <c r="E3206" s="38">
        <v>46282</v>
      </c>
      <c r="F3206" s="23" t="s">
        <v>12410</v>
      </c>
      <c r="G3206" s="23" t="s">
        <v>75</v>
      </c>
      <c r="H3206" s="24">
        <v>9998</v>
      </c>
      <c r="I3206" s="24">
        <v>29.99</v>
      </c>
      <c r="J3206" s="24">
        <v>5.4</v>
      </c>
      <c r="K3206" s="24">
        <v>9962.61</v>
      </c>
      <c r="L3206" s="38">
        <v>46284</v>
      </c>
      <c r="M3206" s="23" t="s">
        <v>210</v>
      </c>
      <c r="N3206" s="23" t="str">
        <f>IF(COUNTIF($A$2:A3206,A3206)&gt;1,"DUP","OK")</f>
        <v>OK</v>
      </c>
      <c r="O3206" s="23" t="str">
        <f t="shared" si="151"/>
        <v>ORD26005304</v>
      </c>
      <c r="P3206" s="23" t="str">
        <f t="shared" si="152"/>
        <v>Sep</v>
      </c>
      <c r="Q3206" s="23" t="str">
        <f>IF(F3206="CAPTURE",IF(COUNTIF(orders!$A:$A,O3206)&gt;0,"Yes","NO ORDER"),"")</f>
        <v>Yes</v>
      </c>
    </row>
    <row r="3207" spans="1:17" ht="15" customHeight="1" x14ac:dyDescent="0.3">
      <c r="A3207" s="23" t="s">
        <v>16127</v>
      </c>
      <c r="B3207" s="23"/>
      <c r="C3207" s="23" t="s">
        <v>11043</v>
      </c>
      <c r="D3207" s="23" t="str">
        <f t="shared" si="150"/>
        <v>ORD26005305</v>
      </c>
      <c r="E3207" s="38">
        <v>46282</v>
      </c>
      <c r="F3207" s="23" t="s">
        <v>12410</v>
      </c>
      <c r="G3207" s="23" t="s">
        <v>81</v>
      </c>
      <c r="H3207" s="24">
        <v>2298</v>
      </c>
      <c r="I3207" s="24">
        <v>27.58</v>
      </c>
      <c r="J3207" s="24">
        <v>4.96</v>
      </c>
      <c r="K3207" s="24">
        <v>2265.46</v>
      </c>
      <c r="L3207" s="38">
        <v>46284</v>
      </c>
      <c r="M3207" s="23" t="s">
        <v>210</v>
      </c>
      <c r="N3207" s="23" t="str">
        <f>IF(COUNTIF($A$2:A3207,A3207)&gt;1,"DUP","OK")</f>
        <v>OK</v>
      </c>
      <c r="O3207" s="23" t="str">
        <f t="shared" si="151"/>
        <v>ORD26005305</v>
      </c>
      <c r="P3207" s="23" t="str">
        <f t="shared" si="152"/>
        <v>Sep</v>
      </c>
      <c r="Q3207" s="23" t="str">
        <f>IF(F3207="CAPTURE",IF(COUNTIF(orders!$A:$A,O3207)&gt;0,"Yes","NO ORDER"),"")</f>
        <v>Yes</v>
      </c>
    </row>
    <row r="3208" spans="1:17" ht="15" customHeight="1" x14ac:dyDescent="0.3">
      <c r="A3208" s="23" t="s">
        <v>16128</v>
      </c>
      <c r="B3208" s="23"/>
      <c r="C3208" s="23" t="s">
        <v>16129</v>
      </c>
      <c r="D3208" s="23" t="str">
        <f t="shared" si="150"/>
        <v>ORD26005351</v>
      </c>
      <c r="E3208" s="38">
        <v>46282</v>
      </c>
      <c r="F3208" s="23" t="s">
        <v>12410</v>
      </c>
      <c r="G3208" s="23" t="s">
        <v>79</v>
      </c>
      <c r="H3208" s="24">
        <v>2499</v>
      </c>
      <c r="I3208" s="24">
        <v>39.979999999999997</v>
      </c>
      <c r="J3208" s="24">
        <v>7.2</v>
      </c>
      <c r="K3208" s="24">
        <v>2451.8200000000002</v>
      </c>
      <c r="L3208" s="38">
        <v>46284</v>
      </c>
      <c r="M3208" s="23" t="s">
        <v>210</v>
      </c>
      <c r="N3208" s="23" t="str">
        <f>IF(COUNTIF($A$2:A3208,A3208)&gt;1,"DUP","OK")</f>
        <v>OK</v>
      </c>
      <c r="O3208" s="23" t="str">
        <f t="shared" si="151"/>
        <v>ORD26005351</v>
      </c>
      <c r="P3208" s="23" t="str">
        <f t="shared" si="152"/>
        <v>Sep</v>
      </c>
      <c r="Q3208" s="23" t="str">
        <f>IF(F3208="CAPTURE",IF(COUNTIF(orders!$A:$A,O3208)&gt;0,"Yes","NO ORDER"),"")</f>
        <v>Yes</v>
      </c>
    </row>
    <row r="3209" spans="1:17" ht="15" customHeight="1" x14ac:dyDescent="0.3">
      <c r="A3209" s="23" t="s">
        <v>16130</v>
      </c>
      <c r="B3209" s="23"/>
      <c r="C3209" s="23" t="s">
        <v>11176</v>
      </c>
      <c r="D3209" s="23" t="str">
        <f t="shared" si="150"/>
        <v>ORD26005371</v>
      </c>
      <c r="E3209" s="38">
        <v>46282</v>
      </c>
      <c r="F3209" s="23" t="s">
        <v>12410</v>
      </c>
      <c r="G3209" s="23" t="s">
        <v>79</v>
      </c>
      <c r="H3209" s="24">
        <v>1299</v>
      </c>
      <c r="I3209" s="24">
        <v>23.38</v>
      </c>
      <c r="J3209" s="24">
        <v>4.21</v>
      </c>
      <c r="K3209" s="24">
        <v>1271.4100000000001</v>
      </c>
      <c r="L3209" s="38">
        <v>46284</v>
      </c>
      <c r="M3209" s="23" t="s">
        <v>210</v>
      </c>
      <c r="N3209" s="23" t="str">
        <f>IF(COUNTIF($A$2:A3209,A3209)&gt;1,"DUP","OK")</f>
        <v>OK</v>
      </c>
      <c r="O3209" s="23" t="str">
        <f t="shared" si="151"/>
        <v>ORD26005371</v>
      </c>
      <c r="P3209" s="23" t="str">
        <f t="shared" si="152"/>
        <v>Sep</v>
      </c>
      <c r="Q3209" s="23" t="str">
        <f>IF(F3209="CAPTURE",IF(COUNTIF(orders!$A:$A,O3209)&gt;0,"Yes","NO ORDER"),"")</f>
        <v>Yes</v>
      </c>
    </row>
    <row r="3210" spans="1:17" ht="15" customHeight="1" x14ac:dyDescent="0.3">
      <c r="A3210" s="23" t="s">
        <v>16131</v>
      </c>
      <c r="B3210" s="23"/>
      <c r="C3210" s="23" t="s">
        <v>11188</v>
      </c>
      <c r="D3210" s="23" t="str">
        <f t="shared" si="150"/>
        <v>ORD26005377</v>
      </c>
      <c r="E3210" s="38">
        <v>46282</v>
      </c>
      <c r="F3210" s="23" t="s">
        <v>12410</v>
      </c>
      <c r="G3210" s="23" t="s">
        <v>79</v>
      </c>
      <c r="H3210" s="24">
        <v>6498</v>
      </c>
      <c r="I3210" s="24">
        <v>103.97</v>
      </c>
      <c r="J3210" s="24">
        <v>18.71</v>
      </c>
      <c r="K3210" s="24">
        <v>6375.32</v>
      </c>
      <c r="L3210" s="38">
        <v>46284</v>
      </c>
      <c r="M3210" s="23" t="s">
        <v>210</v>
      </c>
      <c r="N3210" s="23" t="str">
        <f>IF(COUNTIF($A$2:A3210,A3210)&gt;1,"DUP","OK")</f>
        <v>OK</v>
      </c>
      <c r="O3210" s="23" t="str">
        <f t="shared" si="151"/>
        <v>ORD26005377</v>
      </c>
      <c r="P3210" s="23" t="str">
        <f t="shared" si="152"/>
        <v>Sep</v>
      </c>
      <c r="Q3210" s="23" t="str">
        <f>IF(F3210="CAPTURE",IF(COUNTIF(orders!$A:$A,O3210)&gt;0,"Yes","NO ORDER"),"")</f>
        <v>Yes</v>
      </c>
    </row>
    <row r="3211" spans="1:17" ht="15" customHeight="1" x14ac:dyDescent="0.3">
      <c r="A3211" s="23" t="s">
        <v>16132</v>
      </c>
      <c r="B3211" s="23"/>
      <c r="C3211" s="23" t="s">
        <v>11207</v>
      </c>
      <c r="D3211" s="23" t="str">
        <f t="shared" si="150"/>
        <v>ORD26005387</v>
      </c>
      <c r="E3211" s="38">
        <v>46282</v>
      </c>
      <c r="F3211" s="23" t="s">
        <v>12410</v>
      </c>
      <c r="G3211" s="23" t="s">
        <v>77</v>
      </c>
      <c r="H3211" s="24">
        <v>1499</v>
      </c>
      <c r="I3211" s="24">
        <v>28.48</v>
      </c>
      <c r="J3211" s="24">
        <v>5.13</v>
      </c>
      <c r="K3211" s="24">
        <v>1465.39</v>
      </c>
      <c r="L3211" s="38">
        <v>46284</v>
      </c>
      <c r="M3211" s="23" t="s">
        <v>210</v>
      </c>
      <c r="N3211" s="23" t="str">
        <f>IF(COUNTIF($A$2:A3211,A3211)&gt;1,"DUP","OK")</f>
        <v>OK</v>
      </c>
      <c r="O3211" s="23" t="str">
        <f t="shared" si="151"/>
        <v>ORD26005387</v>
      </c>
      <c r="P3211" s="23" t="str">
        <f t="shared" si="152"/>
        <v>Sep</v>
      </c>
      <c r="Q3211" s="23" t="str">
        <f>IF(F3211="CAPTURE",IF(COUNTIF(orders!$A:$A,O3211)&gt;0,"Yes","NO ORDER"),"")</f>
        <v>Yes</v>
      </c>
    </row>
    <row r="3212" spans="1:17" ht="15" customHeight="1" x14ac:dyDescent="0.3">
      <c r="A3212" s="23" t="s">
        <v>16133</v>
      </c>
      <c r="B3212" s="23"/>
      <c r="C3212" s="23" t="s">
        <v>11213</v>
      </c>
      <c r="D3212" s="23" t="str">
        <f t="shared" si="150"/>
        <v>ORD26005390</v>
      </c>
      <c r="E3212" s="38">
        <v>46282</v>
      </c>
      <c r="F3212" s="23" t="s">
        <v>12410</v>
      </c>
      <c r="G3212" s="23" t="s">
        <v>79</v>
      </c>
      <c r="H3212" s="24">
        <v>7999</v>
      </c>
      <c r="I3212" s="24">
        <v>127.98</v>
      </c>
      <c r="J3212" s="24">
        <v>23.04</v>
      </c>
      <c r="K3212" s="24">
        <v>7847.98</v>
      </c>
      <c r="L3212" s="38">
        <v>46284</v>
      </c>
      <c r="M3212" s="23" t="s">
        <v>210</v>
      </c>
      <c r="N3212" s="23" t="str">
        <f>IF(COUNTIF($A$2:A3212,A3212)&gt;1,"DUP","OK")</f>
        <v>OK</v>
      </c>
      <c r="O3212" s="23" t="str">
        <f t="shared" si="151"/>
        <v>ORD26005390</v>
      </c>
      <c r="P3212" s="23" t="str">
        <f t="shared" si="152"/>
        <v>Sep</v>
      </c>
      <c r="Q3212" s="23" t="str">
        <f>IF(F3212="CAPTURE",IF(COUNTIF(orders!$A:$A,O3212)&gt;0,"Yes","NO ORDER"),"")</f>
        <v>Yes</v>
      </c>
    </row>
    <row r="3213" spans="1:17" ht="15" customHeight="1" x14ac:dyDescent="0.3">
      <c r="A3213" s="23" t="s">
        <v>16134</v>
      </c>
      <c r="B3213" s="23"/>
      <c r="C3213" s="23" t="s">
        <v>11253</v>
      </c>
      <c r="D3213" s="23" t="str">
        <f t="shared" si="150"/>
        <v>ORD26005410</v>
      </c>
      <c r="E3213" s="38">
        <v>46282</v>
      </c>
      <c r="F3213" s="23" t="s">
        <v>12410</v>
      </c>
      <c r="G3213" s="23" t="s">
        <v>77</v>
      </c>
      <c r="H3213" s="24">
        <v>1499</v>
      </c>
      <c r="I3213" s="24">
        <v>28.48</v>
      </c>
      <c r="J3213" s="24">
        <v>5.13</v>
      </c>
      <c r="K3213" s="24">
        <v>1465.39</v>
      </c>
      <c r="L3213" s="38">
        <v>46284</v>
      </c>
      <c r="M3213" s="23" t="s">
        <v>210</v>
      </c>
      <c r="N3213" s="23" t="str">
        <f>IF(COUNTIF($A$2:A3213,A3213)&gt;1,"DUP","OK")</f>
        <v>OK</v>
      </c>
      <c r="O3213" s="23" t="str">
        <f t="shared" si="151"/>
        <v>ORD26005410</v>
      </c>
      <c r="P3213" s="23" t="str">
        <f t="shared" si="152"/>
        <v>Sep</v>
      </c>
      <c r="Q3213" s="23" t="str">
        <f>IF(F3213="CAPTURE",IF(COUNTIF(orders!$A:$A,O3213)&gt;0,"Yes","NO ORDER"),"")</f>
        <v>Yes</v>
      </c>
    </row>
    <row r="3214" spans="1:17" ht="15" customHeight="1" x14ac:dyDescent="0.3">
      <c r="A3214" s="23" t="s">
        <v>16135</v>
      </c>
      <c r="B3214" s="23"/>
      <c r="C3214" s="23" t="s">
        <v>11307</v>
      </c>
      <c r="D3214" s="23" t="str">
        <f t="shared" si="150"/>
        <v>ORD26005438</v>
      </c>
      <c r="E3214" s="38">
        <v>46282</v>
      </c>
      <c r="F3214" s="23" t="s">
        <v>12410</v>
      </c>
      <c r="G3214" s="23" t="s">
        <v>77</v>
      </c>
      <c r="H3214" s="24">
        <v>3298</v>
      </c>
      <c r="I3214" s="24">
        <v>56.07</v>
      </c>
      <c r="J3214" s="24">
        <v>10.09</v>
      </c>
      <c r="K3214" s="24">
        <v>3231.84</v>
      </c>
      <c r="L3214" s="38">
        <v>46284</v>
      </c>
      <c r="M3214" s="23" t="s">
        <v>210</v>
      </c>
      <c r="N3214" s="23" t="str">
        <f>IF(COUNTIF($A$2:A3214,A3214)&gt;1,"DUP","OK")</f>
        <v>OK</v>
      </c>
      <c r="O3214" s="23" t="str">
        <f t="shared" si="151"/>
        <v>ORD26005438</v>
      </c>
      <c r="P3214" s="23" t="str">
        <f t="shared" si="152"/>
        <v>Sep</v>
      </c>
      <c r="Q3214" s="23" t="str">
        <f>IF(F3214="CAPTURE",IF(COUNTIF(orders!$A:$A,O3214)&gt;0,"Yes","NO ORDER"),"")</f>
        <v>Yes</v>
      </c>
    </row>
    <row r="3215" spans="1:17" ht="15" customHeight="1" x14ac:dyDescent="0.3">
      <c r="A3215" s="23" t="s">
        <v>16136</v>
      </c>
      <c r="B3215" s="23"/>
      <c r="C3215" s="23" t="s">
        <v>11348</v>
      </c>
      <c r="D3215" s="23" t="str">
        <f t="shared" si="150"/>
        <v>ORD26005459</v>
      </c>
      <c r="E3215" s="38">
        <v>46282</v>
      </c>
      <c r="F3215" s="23" t="s">
        <v>12410</v>
      </c>
      <c r="G3215" s="23" t="s">
        <v>79</v>
      </c>
      <c r="H3215" s="24">
        <v>1799</v>
      </c>
      <c r="I3215" s="24">
        <v>32.380000000000003</v>
      </c>
      <c r="J3215" s="24">
        <v>5.83</v>
      </c>
      <c r="K3215" s="24">
        <v>1760.79</v>
      </c>
      <c r="L3215" s="38">
        <v>46284</v>
      </c>
      <c r="M3215" s="23" t="s">
        <v>210</v>
      </c>
      <c r="N3215" s="23" t="str">
        <f>IF(COUNTIF($A$2:A3215,A3215)&gt;1,"DUP","OK")</f>
        <v>OK</v>
      </c>
      <c r="O3215" s="23" t="str">
        <f t="shared" si="151"/>
        <v>ORD26005459</v>
      </c>
      <c r="P3215" s="23" t="str">
        <f t="shared" si="152"/>
        <v>Sep</v>
      </c>
      <c r="Q3215" s="23" t="str">
        <f>IF(F3215="CAPTURE",IF(COUNTIF(orders!$A:$A,O3215)&gt;0,"Yes","NO ORDER"),"")</f>
        <v>Yes</v>
      </c>
    </row>
    <row r="3216" spans="1:17" ht="15" customHeight="1" x14ac:dyDescent="0.3">
      <c r="A3216" s="23" t="s">
        <v>16137</v>
      </c>
      <c r="B3216" s="23"/>
      <c r="C3216" s="23" t="s">
        <v>11498</v>
      </c>
      <c r="D3216" s="23" t="str">
        <f t="shared" si="150"/>
        <v>ORD26005536</v>
      </c>
      <c r="E3216" s="38">
        <v>46282</v>
      </c>
      <c r="F3216" s="23" t="s">
        <v>12410</v>
      </c>
      <c r="G3216" s="23" t="s">
        <v>75</v>
      </c>
      <c r="H3216" s="24">
        <v>1499</v>
      </c>
      <c r="I3216" s="24">
        <v>0</v>
      </c>
      <c r="J3216" s="24">
        <v>0</v>
      </c>
      <c r="K3216" s="24">
        <v>1499</v>
      </c>
      <c r="L3216" s="38">
        <v>46284</v>
      </c>
      <c r="M3216" s="23" t="s">
        <v>210</v>
      </c>
      <c r="N3216" s="23" t="str">
        <f>IF(COUNTIF($A$2:A3216,A3216)&gt;1,"DUP","OK")</f>
        <v>OK</v>
      </c>
      <c r="O3216" s="23" t="str">
        <f t="shared" si="151"/>
        <v>ORD26005536</v>
      </c>
      <c r="P3216" s="23" t="str">
        <f t="shared" si="152"/>
        <v>Sep</v>
      </c>
      <c r="Q3216" s="23" t="str">
        <f>IF(F3216="CAPTURE",IF(COUNTIF(orders!$A:$A,O3216)&gt;0,"Yes","NO ORDER"),"")</f>
        <v>Yes</v>
      </c>
    </row>
    <row r="3217" spans="1:17" ht="15" customHeight="1" x14ac:dyDescent="0.3">
      <c r="A3217" s="23" t="s">
        <v>16138</v>
      </c>
      <c r="B3217" s="23"/>
      <c r="C3217" s="23" t="s">
        <v>11571</v>
      </c>
      <c r="D3217" s="23" t="str">
        <f t="shared" si="150"/>
        <v>ORD26005573</v>
      </c>
      <c r="E3217" s="38">
        <v>46282</v>
      </c>
      <c r="F3217" s="23" t="s">
        <v>12410</v>
      </c>
      <c r="G3217" s="23" t="s">
        <v>75</v>
      </c>
      <c r="H3217" s="24">
        <v>349</v>
      </c>
      <c r="I3217" s="24">
        <v>0</v>
      </c>
      <c r="J3217" s="24">
        <v>0</v>
      </c>
      <c r="K3217" s="24">
        <v>349</v>
      </c>
      <c r="L3217" s="38">
        <v>46284</v>
      </c>
      <c r="M3217" s="23" t="s">
        <v>210</v>
      </c>
      <c r="N3217" s="23" t="str">
        <f>IF(COUNTIF($A$2:A3217,A3217)&gt;1,"DUP","OK")</f>
        <v>OK</v>
      </c>
      <c r="O3217" s="23" t="str">
        <f t="shared" si="151"/>
        <v>ORD26005573</v>
      </c>
      <c r="P3217" s="23" t="str">
        <f t="shared" si="152"/>
        <v>Sep</v>
      </c>
      <c r="Q3217" s="23" t="str">
        <f>IF(F3217="CAPTURE",IF(COUNTIF(orders!$A:$A,O3217)&gt;0,"Yes","NO ORDER"),"")</f>
        <v>Yes</v>
      </c>
    </row>
    <row r="3218" spans="1:17" ht="15" customHeight="1" x14ac:dyDescent="0.3">
      <c r="A3218" s="23" t="s">
        <v>16139</v>
      </c>
      <c r="B3218" s="23"/>
      <c r="C3218" s="23" t="s">
        <v>11576</v>
      </c>
      <c r="D3218" s="23" t="str">
        <f t="shared" si="150"/>
        <v>ORD26005576</v>
      </c>
      <c r="E3218" s="38">
        <v>46282</v>
      </c>
      <c r="F3218" s="23" t="s">
        <v>12410</v>
      </c>
      <c r="G3218" s="23" t="s">
        <v>79</v>
      </c>
      <c r="H3218" s="24">
        <v>1298</v>
      </c>
      <c r="I3218" s="24">
        <v>23.36</v>
      </c>
      <c r="J3218" s="24">
        <v>4.2</v>
      </c>
      <c r="K3218" s="24">
        <v>1270.44</v>
      </c>
      <c r="L3218" s="38">
        <v>46284</v>
      </c>
      <c r="M3218" s="23" t="s">
        <v>210</v>
      </c>
      <c r="N3218" s="23" t="str">
        <f>IF(COUNTIF($A$2:A3218,A3218)&gt;1,"DUP","OK")</f>
        <v>OK</v>
      </c>
      <c r="O3218" s="23" t="str">
        <f t="shared" si="151"/>
        <v>ORD26005576</v>
      </c>
      <c r="P3218" s="23" t="str">
        <f t="shared" si="152"/>
        <v>Sep</v>
      </c>
      <c r="Q3218" s="23" t="str">
        <f>IF(F3218="CAPTURE",IF(COUNTIF(orders!$A:$A,O3218)&gt;0,"Yes","NO ORDER"),"")</f>
        <v>Yes</v>
      </c>
    </row>
    <row r="3219" spans="1:17" ht="15" customHeight="1" x14ac:dyDescent="0.3">
      <c r="A3219" s="23" t="s">
        <v>16140</v>
      </c>
      <c r="B3219" s="23"/>
      <c r="C3219" s="23" t="s">
        <v>11768</v>
      </c>
      <c r="D3219" s="23" t="str">
        <f t="shared" si="150"/>
        <v>ORD26005675</v>
      </c>
      <c r="E3219" s="38">
        <v>46282</v>
      </c>
      <c r="F3219" s="23" t="s">
        <v>12410</v>
      </c>
      <c r="G3219" s="23" t="s">
        <v>75</v>
      </c>
      <c r="H3219" s="24">
        <v>9998</v>
      </c>
      <c r="I3219" s="24">
        <v>29.99</v>
      </c>
      <c r="J3219" s="24">
        <v>5.4</v>
      </c>
      <c r="K3219" s="24">
        <v>9962.61</v>
      </c>
      <c r="L3219" s="38">
        <v>46284</v>
      </c>
      <c r="M3219" s="23" t="s">
        <v>210</v>
      </c>
      <c r="N3219" s="23" t="str">
        <f>IF(COUNTIF($A$2:A3219,A3219)&gt;1,"DUP","OK")</f>
        <v>OK</v>
      </c>
      <c r="O3219" s="23" t="str">
        <f t="shared" si="151"/>
        <v>ORD26005675</v>
      </c>
      <c r="P3219" s="23" t="str">
        <f t="shared" si="152"/>
        <v>Sep</v>
      </c>
      <c r="Q3219" s="23" t="str">
        <f>IF(F3219="CAPTURE",IF(COUNTIF(orders!$A:$A,O3219)&gt;0,"Yes","NO ORDER"),"")</f>
        <v>Yes</v>
      </c>
    </row>
    <row r="3220" spans="1:17" ht="15" customHeight="1" x14ac:dyDescent="0.3">
      <c r="A3220" s="23" t="s">
        <v>16141</v>
      </c>
      <c r="B3220" s="23"/>
      <c r="C3220" s="23" t="s">
        <v>11794</v>
      </c>
      <c r="D3220" s="23" t="str">
        <f t="shared" si="150"/>
        <v>ORD26005688</v>
      </c>
      <c r="E3220" s="38">
        <v>46282</v>
      </c>
      <c r="F3220" s="23" t="s">
        <v>12410</v>
      </c>
      <c r="G3220" s="23" t="s">
        <v>75</v>
      </c>
      <c r="H3220" s="24">
        <v>7999</v>
      </c>
      <c r="I3220" s="24">
        <v>24</v>
      </c>
      <c r="J3220" s="24">
        <v>4.32</v>
      </c>
      <c r="K3220" s="24">
        <v>7970.68</v>
      </c>
      <c r="L3220" s="38">
        <v>46284</v>
      </c>
      <c r="M3220" s="23" t="s">
        <v>210</v>
      </c>
      <c r="N3220" s="23" t="str">
        <f>IF(COUNTIF($A$2:A3220,A3220)&gt;1,"DUP","OK")</f>
        <v>OK</v>
      </c>
      <c r="O3220" s="23" t="str">
        <f t="shared" si="151"/>
        <v>ORD26005688</v>
      </c>
      <c r="P3220" s="23" t="str">
        <f t="shared" si="152"/>
        <v>Sep</v>
      </c>
      <c r="Q3220" s="23" t="str">
        <f>IF(F3220="CAPTURE",IF(COUNTIF(orders!$A:$A,O3220)&gt;0,"Yes","NO ORDER"),"")</f>
        <v>Yes</v>
      </c>
    </row>
    <row r="3221" spans="1:17" ht="15" customHeight="1" x14ac:dyDescent="0.3">
      <c r="A3221" s="23" t="s">
        <v>16142</v>
      </c>
      <c r="B3221" s="23"/>
      <c r="C3221" s="23" t="s">
        <v>11958</v>
      </c>
      <c r="D3221" s="23" t="str">
        <f t="shared" si="150"/>
        <v>ORD26005772</v>
      </c>
      <c r="E3221" s="38">
        <v>46282</v>
      </c>
      <c r="F3221" s="23" t="s">
        <v>12410</v>
      </c>
      <c r="G3221" s="23" t="s">
        <v>75</v>
      </c>
      <c r="H3221" s="24">
        <v>12998</v>
      </c>
      <c r="I3221" s="24">
        <v>38.99</v>
      </c>
      <c r="J3221" s="24">
        <v>7.02</v>
      </c>
      <c r="K3221" s="24">
        <v>12951.99</v>
      </c>
      <c r="L3221" s="38">
        <v>46284</v>
      </c>
      <c r="M3221" s="23" t="s">
        <v>210</v>
      </c>
      <c r="N3221" s="23" t="str">
        <f>IF(COUNTIF($A$2:A3221,A3221)&gt;1,"DUP","OK")</f>
        <v>OK</v>
      </c>
      <c r="O3221" s="23" t="str">
        <f t="shared" si="151"/>
        <v>ORD26005772</v>
      </c>
      <c r="P3221" s="23" t="str">
        <f t="shared" si="152"/>
        <v>Sep</v>
      </c>
      <c r="Q3221" s="23" t="str">
        <f>IF(F3221="CAPTURE",IF(COUNTIF(orders!$A:$A,O3221)&gt;0,"Yes","NO ORDER"),"")</f>
        <v>Yes</v>
      </c>
    </row>
    <row r="3222" spans="1:17" ht="15" customHeight="1" x14ac:dyDescent="0.3">
      <c r="A3222" s="23" t="s">
        <v>16143</v>
      </c>
      <c r="B3222" s="23"/>
      <c r="C3222" s="23" t="s">
        <v>12086</v>
      </c>
      <c r="D3222" s="23" t="str">
        <f t="shared" si="150"/>
        <v>ORD26005839</v>
      </c>
      <c r="E3222" s="38">
        <v>46282</v>
      </c>
      <c r="F3222" s="23" t="s">
        <v>12410</v>
      </c>
      <c r="G3222" s="23" t="s">
        <v>75</v>
      </c>
      <c r="H3222" s="24">
        <v>1998</v>
      </c>
      <c r="I3222" s="24">
        <v>0</v>
      </c>
      <c r="J3222" s="24">
        <v>0</v>
      </c>
      <c r="K3222" s="24">
        <v>1998</v>
      </c>
      <c r="L3222" s="38">
        <v>46284</v>
      </c>
      <c r="M3222" s="23" t="s">
        <v>210</v>
      </c>
      <c r="N3222" s="23" t="str">
        <f>IF(COUNTIF($A$2:A3222,A3222)&gt;1,"DUP","OK")</f>
        <v>OK</v>
      </c>
      <c r="O3222" s="23" t="str">
        <f t="shared" si="151"/>
        <v>ORD26005839</v>
      </c>
      <c r="P3222" s="23" t="str">
        <f t="shared" si="152"/>
        <v>Sep</v>
      </c>
      <c r="Q3222" s="23" t="str">
        <f>IF(F3222="CAPTURE",IF(COUNTIF(orders!$A:$A,O3222)&gt;0,"Yes","NO ORDER"),"")</f>
        <v>Yes</v>
      </c>
    </row>
    <row r="3223" spans="1:17" ht="15" customHeight="1" x14ac:dyDescent="0.3">
      <c r="A3223" s="23" t="s">
        <v>16144</v>
      </c>
      <c r="B3223" s="23"/>
      <c r="C3223" s="23" t="s">
        <v>16145</v>
      </c>
      <c r="D3223" s="23" t="str">
        <f t="shared" si="150"/>
        <v>ORD26005922</v>
      </c>
      <c r="E3223" s="38">
        <v>46282</v>
      </c>
      <c r="F3223" s="23" t="s">
        <v>12410</v>
      </c>
      <c r="G3223" s="23" t="s">
        <v>79</v>
      </c>
      <c r="H3223" s="24">
        <v>1298</v>
      </c>
      <c r="I3223" s="24">
        <v>23.36</v>
      </c>
      <c r="J3223" s="24">
        <v>4.2</v>
      </c>
      <c r="K3223" s="24">
        <v>1270.44</v>
      </c>
      <c r="L3223" s="38">
        <v>46284</v>
      </c>
      <c r="M3223" s="23" t="s">
        <v>210</v>
      </c>
      <c r="N3223" s="23" t="str">
        <f>IF(COUNTIF($A$2:A3223,A3223)&gt;1,"DUP","OK")</f>
        <v>OK</v>
      </c>
      <c r="O3223" s="23" t="str">
        <f t="shared" si="151"/>
        <v>ORD26005922</v>
      </c>
      <c r="P3223" s="23" t="str">
        <f t="shared" si="152"/>
        <v>Sep</v>
      </c>
      <c r="Q3223" s="23" t="str">
        <f>IF(F3223="CAPTURE",IF(COUNTIF(orders!$A:$A,O3223)&gt;0,"Yes","NO ORDER"),"")</f>
        <v>Yes</v>
      </c>
    </row>
    <row r="3224" spans="1:17" ht="15" customHeight="1" x14ac:dyDescent="0.3">
      <c r="A3224" s="23" t="s">
        <v>16146</v>
      </c>
      <c r="B3224" s="23" t="s">
        <v>15288</v>
      </c>
      <c r="C3224" s="23"/>
      <c r="D3224" s="23" t="str">
        <f t="shared" si="150"/>
        <v/>
      </c>
      <c r="E3224" s="38">
        <v>46282</v>
      </c>
      <c r="F3224" s="23" t="s">
        <v>12791</v>
      </c>
      <c r="G3224" s="23" t="s">
        <v>75</v>
      </c>
      <c r="H3224" s="24">
        <v>4897</v>
      </c>
      <c r="I3224" s="24">
        <v>0</v>
      </c>
      <c r="J3224" s="24">
        <v>0</v>
      </c>
      <c r="K3224" s="24">
        <v>-4897</v>
      </c>
      <c r="L3224" s="38">
        <v>46284</v>
      </c>
      <c r="M3224" s="23" t="s">
        <v>210</v>
      </c>
      <c r="N3224" s="23" t="str">
        <f>IF(COUNTIF($A$2:A3224,A3224)&gt;1,"DUP","OK")</f>
        <v>OK</v>
      </c>
      <c r="O3224" s="23" t="str">
        <f t="shared" si="151"/>
        <v>ORD26005991</v>
      </c>
      <c r="P3224" s="23" t="str">
        <f t="shared" si="152"/>
        <v>Sep</v>
      </c>
      <c r="Q3224" s="23" t="str">
        <f>IF(F3224="CAPTURE",IF(COUNTIF(orders!$A:$A,O3224)&gt;0,"Yes","NO ORDER"),"")</f>
        <v/>
      </c>
    </row>
    <row r="3225" spans="1:17" ht="15" customHeight="1" x14ac:dyDescent="0.3">
      <c r="A3225" s="23" t="s">
        <v>16147</v>
      </c>
      <c r="B3225" s="23" t="s">
        <v>14708</v>
      </c>
      <c r="C3225" s="23"/>
      <c r="D3225" s="23" t="str">
        <f t="shared" si="150"/>
        <v/>
      </c>
      <c r="E3225" s="38">
        <v>46282</v>
      </c>
      <c r="F3225" s="23" t="s">
        <v>12791</v>
      </c>
      <c r="G3225" s="23" t="s">
        <v>75</v>
      </c>
      <c r="H3225" s="24">
        <v>3348</v>
      </c>
      <c r="I3225" s="24">
        <v>0</v>
      </c>
      <c r="J3225" s="24">
        <v>0</v>
      </c>
      <c r="K3225" s="24">
        <v>-3348</v>
      </c>
      <c r="L3225" s="38">
        <v>46284</v>
      </c>
      <c r="M3225" s="23" t="s">
        <v>210</v>
      </c>
      <c r="N3225" s="23" t="str">
        <f>IF(COUNTIF($A$2:A3225,A3225)&gt;1,"DUP","OK")</f>
        <v>OK</v>
      </c>
      <c r="O3225" s="23" t="str">
        <f t="shared" si="151"/>
        <v>ORD26003995</v>
      </c>
      <c r="P3225" s="23" t="str">
        <f t="shared" si="152"/>
        <v>Sep</v>
      </c>
      <c r="Q3225" s="23" t="str">
        <f>IF(F3225="CAPTURE",IF(COUNTIF(orders!$A:$A,O3225)&gt;0,"Yes","NO ORDER"),"")</f>
        <v/>
      </c>
    </row>
    <row r="3226" spans="1:17" ht="15" customHeight="1" x14ac:dyDescent="0.3">
      <c r="A3226" s="23" t="s">
        <v>16148</v>
      </c>
      <c r="B3226" s="23" t="s">
        <v>15812</v>
      </c>
      <c r="C3226" s="23"/>
      <c r="D3226" s="23" t="str">
        <f t="shared" si="150"/>
        <v/>
      </c>
      <c r="E3226" s="38">
        <v>46282</v>
      </c>
      <c r="F3226" s="23" t="s">
        <v>12791</v>
      </c>
      <c r="G3226" s="23" t="s">
        <v>75</v>
      </c>
      <c r="H3226" s="24">
        <v>11597</v>
      </c>
      <c r="I3226" s="24">
        <v>0</v>
      </c>
      <c r="J3226" s="24">
        <v>0</v>
      </c>
      <c r="K3226" s="24">
        <v>-11597</v>
      </c>
      <c r="L3226" s="38">
        <v>46284</v>
      </c>
      <c r="M3226" s="23" t="s">
        <v>210</v>
      </c>
      <c r="N3226" s="23" t="str">
        <f>IF(COUNTIF($A$2:A3226,A3226)&gt;1,"DUP","OK")</f>
        <v>OK</v>
      </c>
      <c r="O3226" s="23" t="str">
        <f t="shared" si="151"/>
        <v>ORD26001522</v>
      </c>
      <c r="P3226" s="23" t="str">
        <f t="shared" si="152"/>
        <v>Sep</v>
      </c>
      <c r="Q3226" s="23" t="str">
        <f>IF(F3226="CAPTURE",IF(COUNTIF(orders!$A:$A,O3226)&gt;0,"Yes","NO ORDER"),"")</f>
        <v/>
      </c>
    </row>
    <row r="3227" spans="1:17" ht="15" customHeight="1" x14ac:dyDescent="0.3">
      <c r="A3227" s="23" t="s">
        <v>16149</v>
      </c>
      <c r="B3227" s="23" t="s">
        <v>14673</v>
      </c>
      <c r="C3227" s="23"/>
      <c r="D3227" s="23" t="str">
        <f t="shared" si="150"/>
        <v/>
      </c>
      <c r="E3227" s="38">
        <v>46282</v>
      </c>
      <c r="F3227" s="23" t="s">
        <v>12791</v>
      </c>
      <c r="G3227" s="23" t="s">
        <v>79</v>
      </c>
      <c r="H3227" s="24">
        <v>1299</v>
      </c>
      <c r="I3227" s="24">
        <v>0</v>
      </c>
      <c r="J3227" s="24">
        <v>0</v>
      </c>
      <c r="K3227" s="24">
        <v>-1299</v>
      </c>
      <c r="L3227" s="38">
        <v>46284</v>
      </c>
      <c r="M3227" s="23" t="s">
        <v>210</v>
      </c>
      <c r="N3227" s="23" t="str">
        <f>IF(COUNTIF($A$2:A3227,A3227)&gt;1,"DUP","OK")</f>
        <v>OK</v>
      </c>
      <c r="O3227" s="23" t="str">
        <f t="shared" si="151"/>
        <v>ORD26002869</v>
      </c>
      <c r="P3227" s="23" t="str">
        <f t="shared" si="152"/>
        <v>Sep</v>
      </c>
      <c r="Q3227" s="23" t="str">
        <f>IF(F3227="CAPTURE",IF(COUNTIF(orders!$A:$A,O3227)&gt;0,"Yes","NO ORDER"),"")</f>
        <v/>
      </c>
    </row>
    <row r="3228" spans="1:17" ht="15" customHeight="1" x14ac:dyDescent="0.3">
      <c r="A3228" s="23" t="s">
        <v>16150</v>
      </c>
      <c r="B3228" s="23" t="s">
        <v>15610</v>
      </c>
      <c r="C3228" s="23"/>
      <c r="D3228" s="23" t="str">
        <f t="shared" si="150"/>
        <v/>
      </c>
      <c r="E3228" s="38">
        <v>46282</v>
      </c>
      <c r="F3228" s="23" t="s">
        <v>12791</v>
      </c>
      <c r="G3228" s="23" t="s">
        <v>79</v>
      </c>
      <c r="H3228" s="24">
        <v>599</v>
      </c>
      <c r="I3228" s="24">
        <v>0</v>
      </c>
      <c r="J3228" s="24">
        <v>0</v>
      </c>
      <c r="K3228" s="24">
        <v>-599</v>
      </c>
      <c r="L3228" s="38">
        <v>46284</v>
      </c>
      <c r="M3228" s="23" t="s">
        <v>210</v>
      </c>
      <c r="N3228" s="23" t="str">
        <f>IF(COUNTIF($A$2:A3228,A3228)&gt;1,"DUP","OK")</f>
        <v>OK</v>
      </c>
      <c r="O3228" s="23" t="str">
        <f t="shared" si="151"/>
        <v>ORD26002053</v>
      </c>
      <c r="P3228" s="23" t="str">
        <f t="shared" si="152"/>
        <v>Sep</v>
      </c>
      <c r="Q3228" s="23" t="str">
        <f>IF(F3228="CAPTURE",IF(COUNTIF(orders!$A:$A,O3228)&gt;0,"Yes","NO ORDER"),"")</f>
        <v/>
      </c>
    </row>
    <row r="3229" spans="1:17" ht="15" customHeight="1" x14ac:dyDescent="0.3">
      <c r="A3229" s="23" t="s">
        <v>16151</v>
      </c>
      <c r="B3229" s="23" t="s">
        <v>15069</v>
      </c>
      <c r="C3229" s="23"/>
      <c r="D3229" s="23" t="str">
        <f t="shared" si="150"/>
        <v/>
      </c>
      <c r="E3229" s="38">
        <v>46282</v>
      </c>
      <c r="F3229" s="23" t="s">
        <v>12791</v>
      </c>
      <c r="G3229" s="23" t="s">
        <v>75</v>
      </c>
      <c r="H3229" s="24">
        <v>7998</v>
      </c>
      <c r="I3229" s="24">
        <v>0</v>
      </c>
      <c r="J3229" s="24">
        <v>0</v>
      </c>
      <c r="K3229" s="24">
        <v>-7998</v>
      </c>
      <c r="L3229" s="38">
        <v>46284</v>
      </c>
      <c r="M3229" s="23" t="s">
        <v>210</v>
      </c>
      <c r="N3229" s="23" t="str">
        <f>IF(COUNTIF($A$2:A3229,A3229)&gt;1,"DUP","OK")</f>
        <v>OK</v>
      </c>
      <c r="O3229" s="23" t="str">
        <f t="shared" si="151"/>
        <v>ORD26000854</v>
      </c>
      <c r="P3229" s="23" t="str">
        <f t="shared" si="152"/>
        <v>Sep</v>
      </c>
      <c r="Q3229" s="23" t="str">
        <f>IF(F3229="CAPTURE",IF(COUNTIF(orders!$A:$A,O3229)&gt;0,"Yes","NO ORDER"),"")</f>
        <v/>
      </c>
    </row>
    <row r="3230" spans="1:17" ht="15" customHeight="1" x14ac:dyDescent="0.3">
      <c r="A3230" s="23" t="s">
        <v>16152</v>
      </c>
      <c r="B3230" s="23" t="s">
        <v>15393</v>
      </c>
      <c r="C3230" s="23"/>
      <c r="D3230" s="23" t="str">
        <f t="shared" si="150"/>
        <v/>
      </c>
      <c r="E3230" s="38">
        <v>46282</v>
      </c>
      <c r="F3230" s="23" t="s">
        <v>12791</v>
      </c>
      <c r="G3230" s="23" t="s">
        <v>75</v>
      </c>
      <c r="H3230" s="24">
        <v>4097</v>
      </c>
      <c r="I3230" s="24">
        <v>0</v>
      </c>
      <c r="J3230" s="24">
        <v>0</v>
      </c>
      <c r="K3230" s="24">
        <v>-4097</v>
      </c>
      <c r="L3230" s="38">
        <v>46284</v>
      </c>
      <c r="M3230" s="23" t="s">
        <v>210</v>
      </c>
      <c r="N3230" s="23" t="str">
        <f>IF(COUNTIF($A$2:A3230,A3230)&gt;1,"DUP","OK")</f>
        <v>OK</v>
      </c>
      <c r="O3230" s="23" t="str">
        <f t="shared" si="151"/>
        <v>ORD26002330</v>
      </c>
      <c r="P3230" s="23" t="str">
        <f t="shared" si="152"/>
        <v>Sep</v>
      </c>
      <c r="Q3230" s="23" t="str">
        <f>IF(F3230="CAPTURE",IF(COUNTIF(orders!$A:$A,O3230)&gt;0,"Yes","NO ORDER"),"")</f>
        <v/>
      </c>
    </row>
    <row r="3231" spans="1:17" ht="15" customHeight="1" x14ac:dyDescent="0.3">
      <c r="A3231" s="23" t="s">
        <v>16153</v>
      </c>
      <c r="B3231" s="23" t="s">
        <v>15008</v>
      </c>
      <c r="C3231" s="23"/>
      <c r="D3231" s="23" t="str">
        <f t="shared" si="150"/>
        <v/>
      </c>
      <c r="E3231" s="38">
        <v>46282</v>
      </c>
      <c r="F3231" s="23" t="s">
        <v>12791</v>
      </c>
      <c r="G3231" s="23" t="s">
        <v>77</v>
      </c>
      <c r="H3231" s="24">
        <v>1798</v>
      </c>
      <c r="I3231" s="24">
        <v>0</v>
      </c>
      <c r="J3231" s="24">
        <v>0</v>
      </c>
      <c r="K3231" s="24">
        <v>-1798</v>
      </c>
      <c r="L3231" s="38">
        <v>46284</v>
      </c>
      <c r="M3231" s="23" t="s">
        <v>210</v>
      </c>
      <c r="N3231" s="23" t="str">
        <f>IF(COUNTIF($A$2:A3231,A3231)&gt;1,"DUP","OK")</f>
        <v>OK</v>
      </c>
      <c r="O3231" s="23" t="str">
        <f t="shared" si="151"/>
        <v>ORD26005421</v>
      </c>
      <c r="P3231" s="23" t="str">
        <f t="shared" si="152"/>
        <v>Sep</v>
      </c>
      <c r="Q3231" s="23" t="str">
        <f>IF(F3231="CAPTURE",IF(COUNTIF(orders!$A:$A,O3231)&gt;0,"Yes","NO ORDER"),"")</f>
        <v/>
      </c>
    </row>
    <row r="3232" spans="1:17" ht="15" customHeight="1" x14ac:dyDescent="0.3">
      <c r="A3232" s="23" t="s">
        <v>16154</v>
      </c>
      <c r="B3232" s="23" t="s">
        <v>14967</v>
      </c>
      <c r="C3232" s="23"/>
      <c r="D3232" s="23" t="str">
        <f t="shared" si="150"/>
        <v/>
      </c>
      <c r="E3232" s="38">
        <v>46282</v>
      </c>
      <c r="F3232" s="23" t="s">
        <v>12791</v>
      </c>
      <c r="G3232" s="23" t="s">
        <v>75</v>
      </c>
      <c r="H3232" s="24">
        <v>1499</v>
      </c>
      <c r="I3232" s="24">
        <v>0</v>
      </c>
      <c r="J3232" s="24">
        <v>0</v>
      </c>
      <c r="K3232" s="24">
        <v>-1499</v>
      </c>
      <c r="L3232" s="38">
        <v>46284</v>
      </c>
      <c r="M3232" s="23" t="s">
        <v>210</v>
      </c>
      <c r="N3232" s="23" t="str">
        <f>IF(COUNTIF($A$2:A3232,A3232)&gt;1,"DUP","OK")</f>
        <v>OK</v>
      </c>
      <c r="O3232" s="23" t="str">
        <f t="shared" si="151"/>
        <v>ORD26004527</v>
      </c>
      <c r="P3232" s="23" t="str">
        <f t="shared" si="152"/>
        <v>Sep</v>
      </c>
      <c r="Q3232" s="23" t="str">
        <f>IF(F3232="CAPTURE",IF(COUNTIF(orders!$A:$A,O3232)&gt;0,"Yes","NO ORDER"),"")</f>
        <v/>
      </c>
    </row>
    <row r="3233" spans="1:17" ht="15" customHeight="1" x14ac:dyDescent="0.3">
      <c r="A3233" s="23" t="s">
        <v>16155</v>
      </c>
      <c r="B3233" s="23"/>
      <c r="C3233" s="23" t="s">
        <v>254</v>
      </c>
      <c r="D3233" s="23" t="str">
        <f t="shared" si="150"/>
        <v>ORD26000003</v>
      </c>
      <c r="E3233" s="38">
        <v>46283</v>
      </c>
      <c r="F3233" s="23" t="s">
        <v>12410</v>
      </c>
      <c r="G3233" s="23" t="s">
        <v>79</v>
      </c>
      <c r="H3233" s="24">
        <v>2098</v>
      </c>
      <c r="I3233" s="24">
        <v>33.57</v>
      </c>
      <c r="J3233" s="24">
        <v>6.04</v>
      </c>
      <c r="K3233" s="24">
        <v>2058.39</v>
      </c>
      <c r="L3233" s="38">
        <v>46285</v>
      </c>
      <c r="M3233" s="23" t="s">
        <v>212</v>
      </c>
      <c r="N3233" s="23" t="str">
        <f>IF(COUNTIF($A$2:A3233,A3233)&gt;1,"DUP","OK")</f>
        <v>OK</v>
      </c>
      <c r="O3233" s="23" t="str">
        <f t="shared" si="151"/>
        <v>ORD26000003</v>
      </c>
      <c r="P3233" s="23" t="str">
        <f t="shared" si="152"/>
        <v>Sep</v>
      </c>
      <c r="Q3233" s="23" t="str">
        <f>IF(F3233="CAPTURE",IF(COUNTIF(orders!$A:$A,O3233)&gt;0,"Yes","NO ORDER"),"")</f>
        <v>Yes</v>
      </c>
    </row>
    <row r="3234" spans="1:17" ht="15" customHeight="1" x14ac:dyDescent="0.3">
      <c r="A3234" s="23" t="s">
        <v>16156</v>
      </c>
      <c r="B3234" s="23"/>
      <c r="C3234" s="23" t="s">
        <v>266</v>
      </c>
      <c r="D3234" s="23" t="str">
        <f t="shared" si="150"/>
        <v>ORD26000007</v>
      </c>
      <c r="E3234" s="38">
        <v>46283</v>
      </c>
      <c r="F3234" s="23" t="s">
        <v>12410</v>
      </c>
      <c r="G3234" s="23" t="s">
        <v>75</v>
      </c>
      <c r="H3234" s="24">
        <v>1299</v>
      </c>
      <c r="I3234" s="24">
        <v>0</v>
      </c>
      <c r="J3234" s="24">
        <v>0</v>
      </c>
      <c r="K3234" s="24">
        <v>1299</v>
      </c>
      <c r="L3234" s="38">
        <v>46285</v>
      </c>
      <c r="M3234" s="23" t="s">
        <v>212</v>
      </c>
      <c r="N3234" s="23" t="str">
        <f>IF(COUNTIF($A$2:A3234,A3234)&gt;1,"DUP","OK")</f>
        <v>OK</v>
      </c>
      <c r="O3234" s="23" t="str">
        <f t="shared" si="151"/>
        <v>ORD26000007</v>
      </c>
      <c r="P3234" s="23" t="str">
        <f t="shared" si="152"/>
        <v>Sep</v>
      </c>
      <c r="Q3234" s="23" t="str">
        <f>IF(F3234="CAPTURE",IF(COUNTIF(orders!$A:$A,O3234)&gt;0,"Yes","NO ORDER"),"")</f>
        <v>Yes</v>
      </c>
    </row>
    <row r="3235" spans="1:17" ht="15" customHeight="1" x14ac:dyDescent="0.3">
      <c r="A3235" s="23" t="s">
        <v>16157</v>
      </c>
      <c r="B3235" s="23"/>
      <c r="C3235" s="23" t="s">
        <v>289</v>
      </c>
      <c r="D3235" s="23" t="str">
        <f t="shared" si="150"/>
        <v>ORD26000015</v>
      </c>
      <c r="E3235" s="38">
        <v>46283</v>
      </c>
      <c r="F3235" s="23" t="s">
        <v>12410</v>
      </c>
      <c r="G3235" s="23" t="s">
        <v>77</v>
      </c>
      <c r="H3235" s="24">
        <v>3499</v>
      </c>
      <c r="I3235" s="24">
        <v>59.48</v>
      </c>
      <c r="J3235" s="24">
        <v>10.71</v>
      </c>
      <c r="K3235" s="24">
        <v>3428.81</v>
      </c>
      <c r="L3235" s="38">
        <v>46285</v>
      </c>
      <c r="M3235" s="23" t="s">
        <v>212</v>
      </c>
      <c r="N3235" s="23" t="str">
        <f>IF(COUNTIF($A$2:A3235,A3235)&gt;1,"DUP","OK")</f>
        <v>OK</v>
      </c>
      <c r="O3235" s="23" t="str">
        <f t="shared" si="151"/>
        <v>ORD26000015</v>
      </c>
      <c r="P3235" s="23" t="str">
        <f t="shared" si="152"/>
        <v>Sep</v>
      </c>
      <c r="Q3235" s="23" t="str">
        <f>IF(F3235="CAPTURE",IF(COUNTIF(orders!$A:$A,O3235)&gt;0,"Yes","NO ORDER"),"")</f>
        <v>Yes</v>
      </c>
    </row>
    <row r="3236" spans="1:17" ht="15" customHeight="1" x14ac:dyDescent="0.3">
      <c r="A3236" s="23" t="s">
        <v>16158</v>
      </c>
      <c r="B3236" s="23"/>
      <c r="C3236" s="23" t="s">
        <v>525</v>
      </c>
      <c r="D3236" s="23" t="str">
        <f t="shared" si="150"/>
        <v>ORD26000108</v>
      </c>
      <c r="E3236" s="38">
        <v>46283</v>
      </c>
      <c r="F3236" s="23" t="s">
        <v>12410</v>
      </c>
      <c r="G3236" s="23" t="s">
        <v>79</v>
      </c>
      <c r="H3236" s="24">
        <v>3499</v>
      </c>
      <c r="I3236" s="24">
        <v>55.98</v>
      </c>
      <c r="J3236" s="24">
        <v>10.08</v>
      </c>
      <c r="K3236" s="24">
        <v>3432.94</v>
      </c>
      <c r="L3236" s="38">
        <v>46285</v>
      </c>
      <c r="M3236" s="23" t="s">
        <v>212</v>
      </c>
      <c r="N3236" s="23" t="str">
        <f>IF(COUNTIF($A$2:A3236,A3236)&gt;1,"DUP","OK")</f>
        <v>OK</v>
      </c>
      <c r="O3236" s="23" t="str">
        <f t="shared" si="151"/>
        <v>ORD26000108</v>
      </c>
      <c r="P3236" s="23" t="str">
        <f t="shared" si="152"/>
        <v>Sep</v>
      </c>
      <c r="Q3236" s="23" t="str">
        <f>IF(F3236="CAPTURE",IF(COUNTIF(orders!$A:$A,O3236)&gt;0,"Yes","NO ORDER"),"")</f>
        <v>Yes</v>
      </c>
    </row>
    <row r="3237" spans="1:17" ht="15" customHeight="1" x14ac:dyDescent="0.3">
      <c r="A3237" s="23" t="s">
        <v>16159</v>
      </c>
      <c r="B3237" s="23"/>
      <c r="C3237" s="23" t="s">
        <v>16160</v>
      </c>
      <c r="D3237" s="23" t="str">
        <f t="shared" si="150"/>
        <v>ORD26000128</v>
      </c>
      <c r="E3237" s="38">
        <v>46283</v>
      </c>
      <c r="F3237" s="23" t="s">
        <v>12410</v>
      </c>
      <c r="G3237" s="23" t="s">
        <v>77</v>
      </c>
      <c r="H3237" s="24">
        <v>1848</v>
      </c>
      <c r="I3237" s="24">
        <v>35.11</v>
      </c>
      <c r="J3237" s="24">
        <v>6.32</v>
      </c>
      <c r="K3237" s="24">
        <v>1806.57</v>
      </c>
      <c r="L3237" s="38">
        <v>46285</v>
      </c>
      <c r="M3237" s="23" t="s">
        <v>212</v>
      </c>
      <c r="N3237" s="23" t="str">
        <f>IF(COUNTIF($A$2:A3237,A3237)&gt;1,"DUP","OK")</f>
        <v>OK</v>
      </c>
      <c r="O3237" s="23" t="str">
        <f t="shared" si="151"/>
        <v>ORD26000128</v>
      </c>
      <c r="P3237" s="23" t="str">
        <f t="shared" si="152"/>
        <v>Sep</v>
      </c>
      <c r="Q3237" s="23" t="str">
        <f>IF(F3237="CAPTURE",IF(COUNTIF(orders!$A:$A,O3237)&gt;0,"Yes","NO ORDER"),"")</f>
        <v>Yes</v>
      </c>
    </row>
    <row r="3238" spans="1:17" ht="15" customHeight="1" x14ac:dyDescent="0.3">
      <c r="A3238" s="23" t="s">
        <v>16161</v>
      </c>
      <c r="B3238" s="23"/>
      <c r="C3238" s="23" t="s">
        <v>592</v>
      </c>
      <c r="D3238" s="23" t="str">
        <f t="shared" si="150"/>
        <v>ORD26000136</v>
      </c>
      <c r="E3238" s="38">
        <v>46283</v>
      </c>
      <c r="F3238" s="23" t="s">
        <v>12410</v>
      </c>
      <c r="G3238" s="23" t="s">
        <v>79</v>
      </c>
      <c r="H3238" s="24">
        <v>2499</v>
      </c>
      <c r="I3238" s="24">
        <v>39.979999999999997</v>
      </c>
      <c r="J3238" s="24">
        <v>7.2</v>
      </c>
      <c r="K3238" s="24">
        <v>2451.8200000000002</v>
      </c>
      <c r="L3238" s="38">
        <v>46285</v>
      </c>
      <c r="M3238" s="23" t="s">
        <v>212</v>
      </c>
      <c r="N3238" s="23" t="str">
        <f>IF(COUNTIF($A$2:A3238,A3238)&gt;1,"DUP","OK")</f>
        <v>OK</v>
      </c>
      <c r="O3238" s="23" t="str">
        <f t="shared" si="151"/>
        <v>ORD26000136</v>
      </c>
      <c r="P3238" s="23" t="str">
        <f t="shared" si="152"/>
        <v>Sep</v>
      </c>
      <c r="Q3238" s="23" t="str">
        <f>IF(F3238="CAPTURE",IF(COUNTIF(orders!$A:$A,O3238)&gt;0,"Yes","NO ORDER"),"")</f>
        <v>Yes</v>
      </c>
    </row>
    <row r="3239" spans="1:17" ht="15" customHeight="1" x14ac:dyDescent="0.3">
      <c r="A3239" s="23" t="s">
        <v>16162</v>
      </c>
      <c r="B3239" s="23"/>
      <c r="C3239" s="23" t="s">
        <v>16163</v>
      </c>
      <c r="D3239" s="23" t="str">
        <f t="shared" si="150"/>
        <v>ORD26000148</v>
      </c>
      <c r="E3239" s="38">
        <v>46283</v>
      </c>
      <c r="F3239" s="23" t="s">
        <v>12410</v>
      </c>
      <c r="G3239" s="23" t="s">
        <v>81</v>
      </c>
      <c r="H3239" s="24">
        <v>8998</v>
      </c>
      <c r="I3239" s="24">
        <v>107.98</v>
      </c>
      <c r="J3239" s="24">
        <v>19.440000000000001</v>
      </c>
      <c r="K3239" s="24">
        <v>8870.58</v>
      </c>
      <c r="L3239" s="38">
        <v>46285</v>
      </c>
      <c r="M3239" s="23" t="s">
        <v>212</v>
      </c>
      <c r="N3239" s="23" t="str">
        <f>IF(COUNTIF($A$2:A3239,A3239)&gt;1,"DUP","OK")</f>
        <v>OK</v>
      </c>
      <c r="O3239" s="23" t="str">
        <f t="shared" si="151"/>
        <v>ORD26000148</v>
      </c>
      <c r="P3239" s="23" t="str">
        <f t="shared" si="152"/>
        <v>Sep</v>
      </c>
      <c r="Q3239" s="23" t="str">
        <f>IF(F3239="CAPTURE",IF(COUNTIF(orders!$A:$A,O3239)&gt;0,"Yes","NO ORDER"),"")</f>
        <v>Yes</v>
      </c>
    </row>
    <row r="3240" spans="1:17" ht="15" customHeight="1" x14ac:dyDescent="0.3">
      <c r="A3240" s="23" t="s">
        <v>16164</v>
      </c>
      <c r="B3240" s="23"/>
      <c r="C3240" s="23" t="s">
        <v>700</v>
      </c>
      <c r="D3240" s="23" t="str">
        <f t="shared" si="150"/>
        <v>ORD26000183</v>
      </c>
      <c r="E3240" s="38">
        <v>46283</v>
      </c>
      <c r="F3240" s="23" t="s">
        <v>12410</v>
      </c>
      <c r="G3240" s="23" t="s">
        <v>79</v>
      </c>
      <c r="H3240" s="24">
        <v>4999</v>
      </c>
      <c r="I3240" s="24">
        <v>79.98</v>
      </c>
      <c r="J3240" s="24">
        <v>14.4</v>
      </c>
      <c r="K3240" s="24">
        <v>4904.62</v>
      </c>
      <c r="L3240" s="38">
        <v>46285</v>
      </c>
      <c r="M3240" s="23" t="s">
        <v>212</v>
      </c>
      <c r="N3240" s="23" t="str">
        <f>IF(COUNTIF($A$2:A3240,A3240)&gt;1,"DUP","OK")</f>
        <v>OK</v>
      </c>
      <c r="O3240" s="23" t="str">
        <f t="shared" si="151"/>
        <v>ORD26000183</v>
      </c>
      <c r="P3240" s="23" t="str">
        <f t="shared" si="152"/>
        <v>Sep</v>
      </c>
      <c r="Q3240" s="23" t="str">
        <f>IF(F3240="CAPTURE",IF(COUNTIF(orders!$A:$A,O3240)&gt;0,"Yes","NO ORDER"),"")</f>
        <v>Yes</v>
      </c>
    </row>
    <row r="3241" spans="1:17" ht="15" customHeight="1" x14ac:dyDescent="0.3">
      <c r="A3241" s="23" t="s">
        <v>16165</v>
      </c>
      <c r="B3241" s="23"/>
      <c r="C3241" s="23" t="s">
        <v>764</v>
      </c>
      <c r="D3241" s="23" t="str">
        <f t="shared" si="150"/>
        <v>ORD26000210</v>
      </c>
      <c r="E3241" s="38">
        <v>46283</v>
      </c>
      <c r="F3241" s="23" t="s">
        <v>12410</v>
      </c>
      <c r="G3241" s="23" t="s">
        <v>81</v>
      </c>
      <c r="H3241" s="24">
        <v>4197</v>
      </c>
      <c r="I3241" s="24">
        <v>50.36</v>
      </c>
      <c r="J3241" s="24">
        <v>9.06</v>
      </c>
      <c r="K3241" s="24">
        <v>4137.58</v>
      </c>
      <c r="L3241" s="38">
        <v>46285</v>
      </c>
      <c r="M3241" s="23" t="s">
        <v>212</v>
      </c>
      <c r="N3241" s="23" t="str">
        <f>IF(COUNTIF($A$2:A3241,A3241)&gt;1,"DUP","OK")</f>
        <v>OK</v>
      </c>
      <c r="O3241" s="23" t="str">
        <f t="shared" si="151"/>
        <v>ORD26000210</v>
      </c>
      <c r="P3241" s="23" t="str">
        <f t="shared" si="152"/>
        <v>Sep</v>
      </c>
      <c r="Q3241" s="23" t="str">
        <f>IF(F3241="CAPTURE",IF(COUNTIF(orders!$A:$A,O3241)&gt;0,"Yes","NO ORDER"),"")</f>
        <v>Yes</v>
      </c>
    </row>
    <row r="3242" spans="1:17" ht="15" customHeight="1" x14ac:dyDescent="0.3">
      <c r="A3242" s="23" t="s">
        <v>16166</v>
      </c>
      <c r="B3242" s="23"/>
      <c r="C3242" s="23" t="s">
        <v>780</v>
      </c>
      <c r="D3242" s="23" t="str">
        <f t="shared" si="150"/>
        <v>ORD26000216</v>
      </c>
      <c r="E3242" s="38">
        <v>46283</v>
      </c>
      <c r="F3242" s="23" t="s">
        <v>12410</v>
      </c>
      <c r="G3242" s="23" t="s">
        <v>79</v>
      </c>
      <c r="H3242" s="24">
        <v>3947</v>
      </c>
      <c r="I3242" s="24">
        <v>63.15</v>
      </c>
      <c r="J3242" s="24">
        <v>11.37</v>
      </c>
      <c r="K3242" s="24">
        <v>3872.48</v>
      </c>
      <c r="L3242" s="38">
        <v>46285</v>
      </c>
      <c r="M3242" s="23" t="s">
        <v>212</v>
      </c>
      <c r="N3242" s="23" t="str">
        <f>IF(COUNTIF($A$2:A3242,A3242)&gt;1,"DUP","OK")</f>
        <v>OK</v>
      </c>
      <c r="O3242" s="23" t="str">
        <f t="shared" si="151"/>
        <v>ORD26000216</v>
      </c>
      <c r="P3242" s="23" t="str">
        <f t="shared" si="152"/>
        <v>Sep</v>
      </c>
      <c r="Q3242" s="23" t="str">
        <f>IF(F3242="CAPTURE",IF(COUNTIF(orders!$A:$A,O3242)&gt;0,"Yes","NO ORDER"),"")</f>
        <v>Yes</v>
      </c>
    </row>
    <row r="3243" spans="1:17" ht="15" customHeight="1" x14ac:dyDescent="0.3">
      <c r="A3243" s="23" t="s">
        <v>16167</v>
      </c>
      <c r="B3243" s="23"/>
      <c r="C3243" s="23" t="s">
        <v>801</v>
      </c>
      <c r="D3243" s="23" t="str">
        <f t="shared" si="150"/>
        <v>ORD26000224</v>
      </c>
      <c r="E3243" s="38">
        <v>46283</v>
      </c>
      <c r="F3243" s="23" t="s">
        <v>12410</v>
      </c>
      <c r="G3243" s="23" t="s">
        <v>81</v>
      </c>
      <c r="H3243" s="24">
        <v>299</v>
      </c>
      <c r="I3243" s="24">
        <v>4.49</v>
      </c>
      <c r="J3243" s="24">
        <v>0.81</v>
      </c>
      <c r="K3243" s="24">
        <v>293.7</v>
      </c>
      <c r="L3243" s="38">
        <v>46285</v>
      </c>
      <c r="M3243" s="23" t="s">
        <v>212</v>
      </c>
      <c r="N3243" s="23" t="str">
        <f>IF(COUNTIF($A$2:A3243,A3243)&gt;1,"DUP","OK")</f>
        <v>OK</v>
      </c>
      <c r="O3243" s="23" t="str">
        <f t="shared" si="151"/>
        <v>ORD26000224</v>
      </c>
      <c r="P3243" s="23" t="str">
        <f t="shared" si="152"/>
        <v>Sep</v>
      </c>
      <c r="Q3243" s="23" t="str">
        <f>IF(F3243="CAPTURE",IF(COUNTIF(orders!$A:$A,O3243)&gt;0,"Yes","NO ORDER"),"")</f>
        <v>Yes</v>
      </c>
    </row>
    <row r="3244" spans="1:17" ht="15" customHeight="1" x14ac:dyDescent="0.3">
      <c r="A3244" s="23" t="s">
        <v>16168</v>
      </c>
      <c r="B3244" s="23"/>
      <c r="C3244" s="23" t="s">
        <v>810</v>
      </c>
      <c r="D3244" s="23" t="str">
        <f t="shared" si="150"/>
        <v>ORD26000228</v>
      </c>
      <c r="E3244" s="38">
        <v>46283</v>
      </c>
      <c r="F3244" s="23" t="s">
        <v>12410</v>
      </c>
      <c r="G3244" s="23" t="s">
        <v>79</v>
      </c>
      <c r="H3244" s="24">
        <v>2897</v>
      </c>
      <c r="I3244" s="24">
        <v>46.35</v>
      </c>
      <c r="J3244" s="24">
        <v>8.34</v>
      </c>
      <c r="K3244" s="24">
        <v>2842.31</v>
      </c>
      <c r="L3244" s="38">
        <v>46285</v>
      </c>
      <c r="M3244" s="23" t="s">
        <v>212</v>
      </c>
      <c r="N3244" s="23" t="str">
        <f>IF(COUNTIF($A$2:A3244,A3244)&gt;1,"DUP","OK")</f>
        <v>OK</v>
      </c>
      <c r="O3244" s="23" t="str">
        <f t="shared" si="151"/>
        <v>ORD26000228</v>
      </c>
      <c r="P3244" s="23" t="str">
        <f t="shared" si="152"/>
        <v>Sep</v>
      </c>
      <c r="Q3244" s="23" t="str">
        <f>IF(F3244="CAPTURE",IF(COUNTIF(orders!$A:$A,O3244)&gt;0,"Yes","NO ORDER"),"")</f>
        <v>Yes</v>
      </c>
    </row>
    <row r="3245" spans="1:17" ht="15" customHeight="1" x14ac:dyDescent="0.3">
      <c r="A3245" s="23" t="s">
        <v>16169</v>
      </c>
      <c r="B3245" s="23"/>
      <c r="C3245" s="23" t="s">
        <v>1170</v>
      </c>
      <c r="D3245" s="23" t="str">
        <f t="shared" si="150"/>
        <v>ORD26000393</v>
      </c>
      <c r="E3245" s="38">
        <v>46283</v>
      </c>
      <c r="F3245" s="23" t="s">
        <v>12410</v>
      </c>
      <c r="G3245" s="23" t="s">
        <v>75</v>
      </c>
      <c r="H3245" s="24">
        <v>1648</v>
      </c>
      <c r="I3245" s="24">
        <v>0</v>
      </c>
      <c r="J3245" s="24">
        <v>0</v>
      </c>
      <c r="K3245" s="24">
        <v>1648</v>
      </c>
      <c r="L3245" s="38">
        <v>46285</v>
      </c>
      <c r="M3245" s="23" t="s">
        <v>212</v>
      </c>
      <c r="N3245" s="23" t="str">
        <f>IF(COUNTIF($A$2:A3245,A3245)&gt;1,"DUP","OK")</f>
        <v>OK</v>
      </c>
      <c r="O3245" s="23" t="str">
        <f t="shared" si="151"/>
        <v>ORD26000393</v>
      </c>
      <c r="P3245" s="23" t="str">
        <f t="shared" si="152"/>
        <v>Sep</v>
      </c>
      <c r="Q3245" s="23" t="str">
        <f>IF(F3245="CAPTURE",IF(COUNTIF(orders!$A:$A,O3245)&gt;0,"Yes","NO ORDER"),"")</f>
        <v>Yes</v>
      </c>
    </row>
    <row r="3246" spans="1:17" ht="15" customHeight="1" x14ac:dyDescent="0.3">
      <c r="A3246" s="23" t="s">
        <v>16170</v>
      </c>
      <c r="B3246" s="23"/>
      <c r="C3246" s="23" t="s">
        <v>1245</v>
      </c>
      <c r="D3246" s="23" t="str">
        <f t="shared" si="150"/>
        <v>ORD26000427</v>
      </c>
      <c r="E3246" s="38">
        <v>46283</v>
      </c>
      <c r="F3246" s="23" t="s">
        <v>12410</v>
      </c>
      <c r="G3246" s="23" t="s">
        <v>75</v>
      </c>
      <c r="H3246" s="24">
        <v>1499</v>
      </c>
      <c r="I3246" s="24">
        <v>0</v>
      </c>
      <c r="J3246" s="24">
        <v>0</v>
      </c>
      <c r="K3246" s="24">
        <v>1499</v>
      </c>
      <c r="L3246" s="38">
        <v>46285</v>
      </c>
      <c r="M3246" s="23" t="s">
        <v>212</v>
      </c>
      <c r="N3246" s="23" t="str">
        <f>IF(COUNTIF($A$2:A3246,A3246)&gt;1,"DUP","OK")</f>
        <v>OK</v>
      </c>
      <c r="O3246" s="23" t="str">
        <f t="shared" si="151"/>
        <v>ORD26000427</v>
      </c>
      <c r="P3246" s="23" t="str">
        <f t="shared" si="152"/>
        <v>Sep</v>
      </c>
      <c r="Q3246" s="23" t="str">
        <f>IF(F3246="CAPTURE",IF(COUNTIF(orders!$A:$A,O3246)&gt;0,"Yes","NO ORDER"),"")</f>
        <v>Yes</v>
      </c>
    </row>
    <row r="3247" spans="1:17" ht="15" customHeight="1" x14ac:dyDescent="0.3">
      <c r="A3247" s="23" t="s">
        <v>16171</v>
      </c>
      <c r="B3247" s="23"/>
      <c r="C3247" s="23" t="s">
        <v>1255</v>
      </c>
      <c r="D3247" s="23" t="str">
        <f t="shared" si="150"/>
        <v>ORD26000432</v>
      </c>
      <c r="E3247" s="38">
        <v>46283</v>
      </c>
      <c r="F3247" s="23" t="s">
        <v>12410</v>
      </c>
      <c r="G3247" s="23" t="s">
        <v>79</v>
      </c>
      <c r="H3247" s="24">
        <v>2848</v>
      </c>
      <c r="I3247" s="24">
        <v>45.57</v>
      </c>
      <c r="J3247" s="24">
        <v>8.1999999999999993</v>
      </c>
      <c r="K3247" s="24">
        <v>2794.23</v>
      </c>
      <c r="L3247" s="38">
        <v>46285</v>
      </c>
      <c r="M3247" s="23" t="s">
        <v>212</v>
      </c>
      <c r="N3247" s="23" t="str">
        <f>IF(COUNTIF($A$2:A3247,A3247)&gt;1,"DUP","OK")</f>
        <v>OK</v>
      </c>
      <c r="O3247" s="23" t="str">
        <f t="shared" si="151"/>
        <v>ORD26000432</v>
      </c>
      <c r="P3247" s="23" t="str">
        <f t="shared" si="152"/>
        <v>Sep</v>
      </c>
      <c r="Q3247" s="23" t="str">
        <f>IF(F3247="CAPTURE",IF(COUNTIF(orders!$A:$A,O3247)&gt;0,"Yes","NO ORDER"),"")</f>
        <v>Yes</v>
      </c>
    </row>
    <row r="3248" spans="1:17" ht="15" customHeight="1" x14ac:dyDescent="0.3">
      <c r="A3248" s="23" t="s">
        <v>16172</v>
      </c>
      <c r="B3248" s="23"/>
      <c r="C3248" s="23" t="s">
        <v>1297</v>
      </c>
      <c r="D3248" s="23" t="str">
        <f t="shared" si="150"/>
        <v>ORD26000452</v>
      </c>
      <c r="E3248" s="38">
        <v>46283</v>
      </c>
      <c r="F3248" s="23" t="s">
        <v>12410</v>
      </c>
      <c r="G3248" s="23" t="s">
        <v>81</v>
      </c>
      <c r="H3248" s="24">
        <v>2097</v>
      </c>
      <c r="I3248" s="24">
        <v>25.16</v>
      </c>
      <c r="J3248" s="24">
        <v>4.53</v>
      </c>
      <c r="K3248" s="24">
        <v>2067.31</v>
      </c>
      <c r="L3248" s="38">
        <v>46285</v>
      </c>
      <c r="M3248" s="23" t="s">
        <v>212</v>
      </c>
      <c r="N3248" s="23" t="str">
        <f>IF(COUNTIF($A$2:A3248,A3248)&gt;1,"DUP","OK")</f>
        <v>OK</v>
      </c>
      <c r="O3248" s="23" t="str">
        <f t="shared" si="151"/>
        <v>ORD26000452</v>
      </c>
      <c r="P3248" s="23" t="str">
        <f t="shared" si="152"/>
        <v>Sep</v>
      </c>
      <c r="Q3248" s="23" t="str">
        <f>IF(F3248="CAPTURE",IF(COUNTIF(orders!$A:$A,O3248)&gt;0,"Yes","NO ORDER"),"")</f>
        <v>Yes</v>
      </c>
    </row>
    <row r="3249" spans="1:17" ht="15" customHeight="1" x14ac:dyDescent="0.3">
      <c r="A3249" s="23" t="s">
        <v>16173</v>
      </c>
      <c r="B3249" s="23"/>
      <c r="C3249" s="23" t="s">
        <v>1326</v>
      </c>
      <c r="D3249" s="23" t="str">
        <f t="shared" si="150"/>
        <v>ORD26000465</v>
      </c>
      <c r="E3249" s="38">
        <v>46283</v>
      </c>
      <c r="F3249" s="23" t="s">
        <v>12410</v>
      </c>
      <c r="G3249" s="23" t="s">
        <v>79</v>
      </c>
      <c r="H3249" s="24">
        <v>2999</v>
      </c>
      <c r="I3249" s="24">
        <v>47.98</v>
      </c>
      <c r="J3249" s="24">
        <v>8.64</v>
      </c>
      <c r="K3249" s="24">
        <v>2942.38</v>
      </c>
      <c r="L3249" s="38">
        <v>46285</v>
      </c>
      <c r="M3249" s="23" t="s">
        <v>212</v>
      </c>
      <c r="N3249" s="23" t="str">
        <f>IF(COUNTIF($A$2:A3249,A3249)&gt;1,"DUP","OK")</f>
        <v>OK</v>
      </c>
      <c r="O3249" s="23" t="str">
        <f t="shared" si="151"/>
        <v>ORD26000465</v>
      </c>
      <c r="P3249" s="23" t="str">
        <f t="shared" si="152"/>
        <v>Sep</v>
      </c>
      <c r="Q3249" s="23" t="str">
        <f>IF(F3249="CAPTURE",IF(COUNTIF(orders!$A:$A,O3249)&gt;0,"Yes","NO ORDER"),"")</f>
        <v>Yes</v>
      </c>
    </row>
    <row r="3250" spans="1:17" ht="15" customHeight="1" x14ac:dyDescent="0.3">
      <c r="A3250" s="23" t="s">
        <v>16174</v>
      </c>
      <c r="B3250" s="23"/>
      <c r="C3250" s="23" t="s">
        <v>1548</v>
      </c>
      <c r="D3250" s="23" t="str">
        <f t="shared" si="150"/>
        <v>ORD26000565</v>
      </c>
      <c r="E3250" s="38">
        <v>46283</v>
      </c>
      <c r="F3250" s="23" t="s">
        <v>12410</v>
      </c>
      <c r="G3250" s="23" t="s">
        <v>75</v>
      </c>
      <c r="H3250" s="24">
        <v>5797</v>
      </c>
      <c r="I3250" s="24">
        <v>17.39</v>
      </c>
      <c r="J3250" s="24">
        <v>3.13</v>
      </c>
      <c r="K3250" s="24">
        <v>5776.48</v>
      </c>
      <c r="L3250" s="38">
        <v>46285</v>
      </c>
      <c r="M3250" s="23" t="s">
        <v>212</v>
      </c>
      <c r="N3250" s="23" t="str">
        <f>IF(COUNTIF($A$2:A3250,A3250)&gt;1,"DUP","OK")</f>
        <v>OK</v>
      </c>
      <c r="O3250" s="23" t="str">
        <f t="shared" si="151"/>
        <v>ORD26000565</v>
      </c>
      <c r="P3250" s="23" t="str">
        <f t="shared" si="152"/>
        <v>Sep</v>
      </c>
      <c r="Q3250" s="23" t="str">
        <f>IF(F3250="CAPTURE",IF(COUNTIF(orders!$A:$A,O3250)&gt;0,"Yes","NO ORDER"),"")</f>
        <v>Yes</v>
      </c>
    </row>
    <row r="3251" spans="1:17" ht="15" customHeight="1" x14ac:dyDescent="0.3">
      <c r="A3251" s="23" t="s">
        <v>16175</v>
      </c>
      <c r="B3251" s="23"/>
      <c r="C3251" s="23" t="s">
        <v>1604</v>
      </c>
      <c r="D3251" s="23" t="str">
        <f t="shared" si="150"/>
        <v>ORD26000591</v>
      </c>
      <c r="E3251" s="38">
        <v>46283</v>
      </c>
      <c r="F3251" s="23" t="s">
        <v>12410</v>
      </c>
      <c r="G3251" s="23" t="s">
        <v>75</v>
      </c>
      <c r="H3251" s="24">
        <v>1499</v>
      </c>
      <c r="I3251" s="24">
        <v>0</v>
      </c>
      <c r="J3251" s="24">
        <v>0</v>
      </c>
      <c r="K3251" s="24">
        <v>1499</v>
      </c>
      <c r="L3251" s="38">
        <v>46285</v>
      </c>
      <c r="M3251" s="23" t="s">
        <v>212</v>
      </c>
      <c r="N3251" s="23" t="str">
        <f>IF(COUNTIF($A$2:A3251,A3251)&gt;1,"DUP","OK")</f>
        <v>OK</v>
      </c>
      <c r="O3251" s="23" t="str">
        <f t="shared" si="151"/>
        <v>ORD26000591</v>
      </c>
      <c r="P3251" s="23" t="str">
        <f t="shared" si="152"/>
        <v>Sep</v>
      </c>
      <c r="Q3251" s="23" t="str">
        <f>IF(F3251="CAPTURE",IF(COUNTIF(orders!$A:$A,O3251)&gt;0,"Yes","NO ORDER"),"")</f>
        <v>Yes</v>
      </c>
    </row>
    <row r="3252" spans="1:17" ht="15" customHeight="1" x14ac:dyDescent="0.3">
      <c r="A3252" s="23" t="s">
        <v>16176</v>
      </c>
      <c r="B3252" s="23"/>
      <c r="C3252" s="23" t="s">
        <v>1654</v>
      </c>
      <c r="D3252" s="23" t="str">
        <f t="shared" si="150"/>
        <v>ORD26000613</v>
      </c>
      <c r="E3252" s="38">
        <v>46283</v>
      </c>
      <c r="F3252" s="23" t="s">
        <v>12410</v>
      </c>
      <c r="G3252" s="23" t="s">
        <v>75</v>
      </c>
      <c r="H3252" s="24">
        <v>10597</v>
      </c>
      <c r="I3252" s="24">
        <v>31.79</v>
      </c>
      <c r="J3252" s="24">
        <v>5.72</v>
      </c>
      <c r="K3252" s="24">
        <v>10559.49</v>
      </c>
      <c r="L3252" s="38">
        <v>46285</v>
      </c>
      <c r="M3252" s="23" t="s">
        <v>212</v>
      </c>
      <c r="N3252" s="23" t="str">
        <f>IF(COUNTIF($A$2:A3252,A3252)&gt;1,"DUP","OK")</f>
        <v>OK</v>
      </c>
      <c r="O3252" s="23" t="str">
        <f t="shared" si="151"/>
        <v>ORD26000613</v>
      </c>
      <c r="P3252" s="23" t="str">
        <f t="shared" si="152"/>
        <v>Sep</v>
      </c>
      <c r="Q3252" s="23" t="str">
        <f>IF(F3252="CAPTURE",IF(COUNTIF(orders!$A:$A,O3252)&gt;0,"Yes","NO ORDER"),"")</f>
        <v>Yes</v>
      </c>
    </row>
    <row r="3253" spans="1:17" ht="15" customHeight="1" x14ac:dyDescent="0.3">
      <c r="A3253" s="23" t="s">
        <v>16177</v>
      </c>
      <c r="B3253" s="23"/>
      <c r="C3253" s="23" t="s">
        <v>1748</v>
      </c>
      <c r="D3253" s="23" t="str">
        <f t="shared" si="150"/>
        <v>ORD26000658</v>
      </c>
      <c r="E3253" s="38">
        <v>46283</v>
      </c>
      <c r="F3253" s="23" t="s">
        <v>12410</v>
      </c>
      <c r="G3253" s="23" t="s">
        <v>75</v>
      </c>
      <c r="H3253" s="24">
        <v>2999</v>
      </c>
      <c r="I3253" s="24">
        <v>9</v>
      </c>
      <c r="J3253" s="24">
        <v>1.62</v>
      </c>
      <c r="K3253" s="24">
        <v>2988.38</v>
      </c>
      <c r="L3253" s="38">
        <v>46285</v>
      </c>
      <c r="M3253" s="23" t="s">
        <v>212</v>
      </c>
      <c r="N3253" s="23" t="str">
        <f>IF(COUNTIF($A$2:A3253,A3253)&gt;1,"DUP","OK")</f>
        <v>OK</v>
      </c>
      <c r="O3253" s="23" t="str">
        <f t="shared" si="151"/>
        <v>ORD26000658</v>
      </c>
      <c r="P3253" s="23" t="str">
        <f t="shared" si="152"/>
        <v>Sep</v>
      </c>
      <c r="Q3253" s="23" t="str">
        <f>IF(F3253="CAPTURE",IF(COUNTIF(orders!$A:$A,O3253)&gt;0,"Yes","NO ORDER"),"")</f>
        <v>Yes</v>
      </c>
    </row>
    <row r="3254" spans="1:17" ht="15" customHeight="1" x14ac:dyDescent="0.3">
      <c r="A3254" s="23" t="s">
        <v>16178</v>
      </c>
      <c r="B3254" s="23"/>
      <c r="C3254" s="23" t="s">
        <v>1839</v>
      </c>
      <c r="D3254" s="23" t="str">
        <f t="shared" si="150"/>
        <v>ORD26000700</v>
      </c>
      <c r="E3254" s="38">
        <v>46283</v>
      </c>
      <c r="F3254" s="23" t="s">
        <v>12410</v>
      </c>
      <c r="G3254" s="23" t="s">
        <v>75</v>
      </c>
      <c r="H3254" s="24">
        <v>4999</v>
      </c>
      <c r="I3254" s="24">
        <v>15</v>
      </c>
      <c r="J3254" s="24">
        <v>2.7</v>
      </c>
      <c r="K3254" s="24">
        <v>4981.3</v>
      </c>
      <c r="L3254" s="38">
        <v>46285</v>
      </c>
      <c r="M3254" s="23" t="s">
        <v>212</v>
      </c>
      <c r="N3254" s="23" t="str">
        <f>IF(COUNTIF($A$2:A3254,A3254)&gt;1,"DUP","OK")</f>
        <v>OK</v>
      </c>
      <c r="O3254" s="23" t="str">
        <f t="shared" si="151"/>
        <v>ORD26000700</v>
      </c>
      <c r="P3254" s="23" t="str">
        <f t="shared" si="152"/>
        <v>Sep</v>
      </c>
      <c r="Q3254" s="23" t="str">
        <f>IF(F3254="CAPTURE",IF(COUNTIF(orders!$A:$A,O3254)&gt;0,"Yes","NO ORDER"),"")</f>
        <v>Yes</v>
      </c>
    </row>
    <row r="3255" spans="1:17" ht="15" customHeight="1" x14ac:dyDescent="0.3">
      <c r="A3255" s="23" t="s">
        <v>16179</v>
      </c>
      <c r="B3255" s="23"/>
      <c r="C3255" s="23" t="s">
        <v>16180</v>
      </c>
      <c r="D3255" s="23" t="str">
        <f t="shared" si="150"/>
        <v>ORD26000705</v>
      </c>
      <c r="E3255" s="38">
        <v>46283</v>
      </c>
      <c r="F3255" s="23" t="s">
        <v>12410</v>
      </c>
      <c r="G3255" s="23" t="s">
        <v>79</v>
      </c>
      <c r="H3255" s="24">
        <v>1799</v>
      </c>
      <c r="I3255" s="24">
        <v>32.380000000000003</v>
      </c>
      <c r="J3255" s="24">
        <v>5.83</v>
      </c>
      <c r="K3255" s="24">
        <v>1760.79</v>
      </c>
      <c r="L3255" s="38">
        <v>46285</v>
      </c>
      <c r="M3255" s="23" t="s">
        <v>212</v>
      </c>
      <c r="N3255" s="23" t="str">
        <f>IF(COUNTIF($A$2:A3255,A3255)&gt;1,"DUP","OK")</f>
        <v>OK</v>
      </c>
      <c r="O3255" s="23" t="str">
        <f t="shared" si="151"/>
        <v>ORD26000705</v>
      </c>
      <c r="P3255" s="23" t="str">
        <f t="shared" si="152"/>
        <v>Sep</v>
      </c>
      <c r="Q3255" s="23" t="str">
        <f>IF(F3255="CAPTURE",IF(COUNTIF(orders!$A:$A,O3255)&gt;0,"Yes","NO ORDER"),"")</f>
        <v>Yes</v>
      </c>
    </row>
    <row r="3256" spans="1:17" ht="15" customHeight="1" x14ac:dyDescent="0.3">
      <c r="A3256" s="23" t="s">
        <v>16181</v>
      </c>
      <c r="B3256" s="23"/>
      <c r="C3256" s="23" t="s">
        <v>1892</v>
      </c>
      <c r="D3256" s="23" t="str">
        <f t="shared" si="150"/>
        <v>ORD26000726</v>
      </c>
      <c r="E3256" s="38">
        <v>46283</v>
      </c>
      <c r="F3256" s="23" t="s">
        <v>12410</v>
      </c>
      <c r="G3256" s="23" t="s">
        <v>75</v>
      </c>
      <c r="H3256" s="24">
        <v>3798</v>
      </c>
      <c r="I3256" s="24">
        <v>11.39</v>
      </c>
      <c r="J3256" s="24">
        <v>2.0499999999999998</v>
      </c>
      <c r="K3256" s="24">
        <v>3784.56</v>
      </c>
      <c r="L3256" s="38">
        <v>46285</v>
      </c>
      <c r="M3256" s="23" t="s">
        <v>212</v>
      </c>
      <c r="N3256" s="23" t="str">
        <f>IF(COUNTIF($A$2:A3256,A3256)&gt;1,"DUP","OK")</f>
        <v>OK</v>
      </c>
      <c r="O3256" s="23" t="str">
        <f t="shared" si="151"/>
        <v>ORD26000726</v>
      </c>
      <c r="P3256" s="23" t="str">
        <f t="shared" si="152"/>
        <v>Sep</v>
      </c>
      <c r="Q3256" s="23" t="str">
        <f>IF(F3256="CAPTURE",IF(COUNTIF(orders!$A:$A,O3256)&gt;0,"Yes","NO ORDER"),"")</f>
        <v>Yes</v>
      </c>
    </row>
    <row r="3257" spans="1:17" ht="15" customHeight="1" x14ac:dyDescent="0.3">
      <c r="A3257" s="23" t="s">
        <v>16182</v>
      </c>
      <c r="B3257" s="23"/>
      <c r="C3257" s="23" t="s">
        <v>1950</v>
      </c>
      <c r="D3257" s="23" t="str">
        <f t="shared" si="150"/>
        <v>ORD26000755</v>
      </c>
      <c r="E3257" s="38">
        <v>46283</v>
      </c>
      <c r="F3257" s="23" t="s">
        <v>12410</v>
      </c>
      <c r="G3257" s="23" t="s">
        <v>75</v>
      </c>
      <c r="H3257" s="24">
        <v>299</v>
      </c>
      <c r="I3257" s="24">
        <v>0</v>
      </c>
      <c r="J3257" s="24">
        <v>0</v>
      </c>
      <c r="K3257" s="24">
        <v>299</v>
      </c>
      <c r="L3257" s="38">
        <v>46285</v>
      </c>
      <c r="M3257" s="23" t="s">
        <v>212</v>
      </c>
      <c r="N3257" s="23" t="str">
        <f>IF(COUNTIF($A$2:A3257,A3257)&gt;1,"DUP","OK")</f>
        <v>OK</v>
      </c>
      <c r="O3257" s="23" t="str">
        <f t="shared" si="151"/>
        <v>ORD26000755</v>
      </c>
      <c r="P3257" s="23" t="str">
        <f t="shared" si="152"/>
        <v>Sep</v>
      </c>
      <c r="Q3257" s="23" t="str">
        <f>IF(F3257="CAPTURE",IF(COUNTIF(orders!$A:$A,O3257)&gt;0,"Yes","NO ORDER"),"")</f>
        <v>Yes</v>
      </c>
    </row>
    <row r="3258" spans="1:17" ht="15" customHeight="1" x14ac:dyDescent="0.3">
      <c r="A3258" s="23" t="s">
        <v>16183</v>
      </c>
      <c r="B3258" s="23"/>
      <c r="C3258" s="23" t="s">
        <v>2103</v>
      </c>
      <c r="D3258" s="23" t="str">
        <f t="shared" si="150"/>
        <v>ORD26000827</v>
      </c>
      <c r="E3258" s="38">
        <v>46283</v>
      </c>
      <c r="F3258" s="23" t="s">
        <v>12410</v>
      </c>
      <c r="G3258" s="23" t="s">
        <v>79</v>
      </c>
      <c r="H3258" s="24">
        <v>5798</v>
      </c>
      <c r="I3258" s="24">
        <v>92.77</v>
      </c>
      <c r="J3258" s="24">
        <v>16.7</v>
      </c>
      <c r="K3258" s="24">
        <v>5688.53</v>
      </c>
      <c r="L3258" s="38">
        <v>46285</v>
      </c>
      <c r="M3258" s="23" t="s">
        <v>212</v>
      </c>
      <c r="N3258" s="23" t="str">
        <f>IF(COUNTIF($A$2:A3258,A3258)&gt;1,"DUP","OK")</f>
        <v>OK</v>
      </c>
      <c r="O3258" s="23" t="str">
        <f t="shared" si="151"/>
        <v>ORD26000827</v>
      </c>
      <c r="P3258" s="23" t="str">
        <f t="shared" si="152"/>
        <v>Sep</v>
      </c>
      <c r="Q3258" s="23" t="str">
        <f>IF(F3258="CAPTURE",IF(COUNTIF(orders!$A:$A,O3258)&gt;0,"Yes","NO ORDER"),"")</f>
        <v>Yes</v>
      </c>
    </row>
    <row r="3259" spans="1:17" ht="15" customHeight="1" x14ac:dyDescent="0.3">
      <c r="A3259" s="23" t="s">
        <v>16184</v>
      </c>
      <c r="B3259" s="23"/>
      <c r="C3259" s="23" t="s">
        <v>2122</v>
      </c>
      <c r="D3259" s="23" t="str">
        <f t="shared" si="150"/>
        <v>ORD26000836</v>
      </c>
      <c r="E3259" s="38">
        <v>46283</v>
      </c>
      <c r="F3259" s="23" t="s">
        <v>12410</v>
      </c>
      <c r="G3259" s="23" t="s">
        <v>77</v>
      </c>
      <c r="H3259" s="24">
        <v>599</v>
      </c>
      <c r="I3259" s="24">
        <v>11.38</v>
      </c>
      <c r="J3259" s="24">
        <v>2.0499999999999998</v>
      </c>
      <c r="K3259" s="24">
        <v>585.57000000000005</v>
      </c>
      <c r="L3259" s="38">
        <v>46285</v>
      </c>
      <c r="M3259" s="23" t="s">
        <v>212</v>
      </c>
      <c r="N3259" s="23" t="str">
        <f>IF(COUNTIF($A$2:A3259,A3259)&gt;1,"DUP","OK")</f>
        <v>OK</v>
      </c>
      <c r="O3259" s="23" t="str">
        <f t="shared" si="151"/>
        <v>ORD26000836</v>
      </c>
      <c r="P3259" s="23" t="str">
        <f t="shared" si="152"/>
        <v>Sep</v>
      </c>
      <c r="Q3259" s="23" t="str">
        <f>IF(F3259="CAPTURE",IF(COUNTIF(orders!$A:$A,O3259)&gt;0,"Yes","NO ORDER"),"")</f>
        <v>Yes</v>
      </c>
    </row>
    <row r="3260" spans="1:17" ht="15" customHeight="1" x14ac:dyDescent="0.3">
      <c r="A3260" s="23" t="s">
        <v>16185</v>
      </c>
      <c r="B3260" s="23"/>
      <c r="C3260" s="23" t="s">
        <v>2128</v>
      </c>
      <c r="D3260" s="23" t="str">
        <f t="shared" si="150"/>
        <v>ORD26000839</v>
      </c>
      <c r="E3260" s="38">
        <v>46283</v>
      </c>
      <c r="F3260" s="23" t="s">
        <v>12410</v>
      </c>
      <c r="G3260" s="23" t="s">
        <v>79</v>
      </c>
      <c r="H3260" s="24">
        <v>599</v>
      </c>
      <c r="I3260" s="24">
        <v>10.78</v>
      </c>
      <c r="J3260" s="24">
        <v>1.94</v>
      </c>
      <c r="K3260" s="24">
        <v>586.28</v>
      </c>
      <c r="L3260" s="38">
        <v>46285</v>
      </c>
      <c r="M3260" s="23" t="s">
        <v>212</v>
      </c>
      <c r="N3260" s="23" t="str">
        <f>IF(COUNTIF($A$2:A3260,A3260)&gt;1,"DUP","OK")</f>
        <v>OK</v>
      </c>
      <c r="O3260" s="23" t="str">
        <f t="shared" si="151"/>
        <v>ORD26000839</v>
      </c>
      <c r="P3260" s="23" t="str">
        <f t="shared" si="152"/>
        <v>Sep</v>
      </c>
      <c r="Q3260" s="23" t="str">
        <f>IF(F3260="CAPTURE",IF(COUNTIF(orders!$A:$A,O3260)&gt;0,"Yes","NO ORDER"),"")</f>
        <v>Yes</v>
      </c>
    </row>
    <row r="3261" spans="1:17" ht="15" customHeight="1" x14ac:dyDescent="0.3">
      <c r="A3261" s="23" t="s">
        <v>16186</v>
      </c>
      <c r="B3261" s="23"/>
      <c r="C3261" s="23" t="s">
        <v>2134</v>
      </c>
      <c r="D3261" s="23" t="str">
        <f t="shared" si="150"/>
        <v>ORD26000842</v>
      </c>
      <c r="E3261" s="38">
        <v>46283</v>
      </c>
      <c r="F3261" s="23" t="s">
        <v>12410</v>
      </c>
      <c r="G3261" s="23" t="s">
        <v>81</v>
      </c>
      <c r="H3261" s="24">
        <v>3848</v>
      </c>
      <c r="I3261" s="24">
        <v>46.18</v>
      </c>
      <c r="J3261" s="24">
        <v>8.31</v>
      </c>
      <c r="K3261" s="24">
        <v>3793.51</v>
      </c>
      <c r="L3261" s="38">
        <v>46285</v>
      </c>
      <c r="M3261" s="23" t="s">
        <v>212</v>
      </c>
      <c r="N3261" s="23" t="str">
        <f>IF(COUNTIF($A$2:A3261,A3261)&gt;1,"DUP","OK")</f>
        <v>OK</v>
      </c>
      <c r="O3261" s="23" t="str">
        <f t="shared" si="151"/>
        <v>ORD26000842</v>
      </c>
      <c r="P3261" s="23" t="str">
        <f t="shared" si="152"/>
        <v>Sep</v>
      </c>
      <c r="Q3261" s="23" t="str">
        <f>IF(F3261="CAPTURE",IF(COUNTIF(orders!$A:$A,O3261)&gt;0,"Yes","NO ORDER"),"")</f>
        <v>Yes</v>
      </c>
    </row>
    <row r="3262" spans="1:17" ht="15" customHeight="1" x14ac:dyDescent="0.3">
      <c r="A3262" s="23" t="s">
        <v>16187</v>
      </c>
      <c r="B3262" s="23"/>
      <c r="C3262" s="23" t="s">
        <v>2154</v>
      </c>
      <c r="D3262" s="23" t="str">
        <f t="shared" si="150"/>
        <v>ORD26000852</v>
      </c>
      <c r="E3262" s="38">
        <v>46283</v>
      </c>
      <c r="F3262" s="23" t="s">
        <v>12410</v>
      </c>
      <c r="G3262" s="23" t="s">
        <v>75</v>
      </c>
      <c r="H3262" s="24">
        <v>6498</v>
      </c>
      <c r="I3262" s="24">
        <v>19.489999999999998</v>
      </c>
      <c r="J3262" s="24">
        <v>3.51</v>
      </c>
      <c r="K3262" s="24">
        <v>6475</v>
      </c>
      <c r="L3262" s="38">
        <v>46285</v>
      </c>
      <c r="M3262" s="23" t="s">
        <v>212</v>
      </c>
      <c r="N3262" s="23" t="str">
        <f>IF(COUNTIF($A$2:A3262,A3262)&gt;1,"DUP","OK")</f>
        <v>OK</v>
      </c>
      <c r="O3262" s="23" t="str">
        <f t="shared" si="151"/>
        <v>ORD26000852</v>
      </c>
      <c r="P3262" s="23" t="str">
        <f t="shared" si="152"/>
        <v>Sep</v>
      </c>
      <c r="Q3262" s="23" t="str">
        <f>IF(F3262="CAPTURE",IF(COUNTIF(orders!$A:$A,O3262)&gt;0,"Yes","NO ORDER"),"")</f>
        <v>Yes</v>
      </c>
    </row>
    <row r="3263" spans="1:17" ht="15" customHeight="1" x14ac:dyDescent="0.3">
      <c r="A3263" s="23" t="s">
        <v>16188</v>
      </c>
      <c r="B3263" s="23"/>
      <c r="C3263" s="23" t="s">
        <v>2217</v>
      </c>
      <c r="D3263" s="23" t="str">
        <f t="shared" si="150"/>
        <v>ORD26000881</v>
      </c>
      <c r="E3263" s="38">
        <v>46283</v>
      </c>
      <c r="F3263" s="23" t="s">
        <v>12410</v>
      </c>
      <c r="G3263" s="23" t="s">
        <v>79</v>
      </c>
      <c r="H3263" s="24">
        <v>4999</v>
      </c>
      <c r="I3263" s="24">
        <v>79.98</v>
      </c>
      <c r="J3263" s="24">
        <v>14.4</v>
      </c>
      <c r="K3263" s="24">
        <v>4904.62</v>
      </c>
      <c r="L3263" s="38">
        <v>46285</v>
      </c>
      <c r="M3263" s="23" t="s">
        <v>212</v>
      </c>
      <c r="N3263" s="23" t="str">
        <f>IF(COUNTIF($A$2:A3263,A3263)&gt;1,"DUP","OK")</f>
        <v>OK</v>
      </c>
      <c r="O3263" s="23" t="str">
        <f t="shared" si="151"/>
        <v>ORD26000881</v>
      </c>
      <c r="P3263" s="23" t="str">
        <f t="shared" si="152"/>
        <v>Sep</v>
      </c>
      <c r="Q3263" s="23" t="str">
        <f>IF(F3263="CAPTURE",IF(COUNTIF(orders!$A:$A,O3263)&gt;0,"Yes","NO ORDER"),"")</f>
        <v>Yes</v>
      </c>
    </row>
    <row r="3264" spans="1:17" ht="15" customHeight="1" x14ac:dyDescent="0.3">
      <c r="A3264" s="23" t="s">
        <v>16189</v>
      </c>
      <c r="B3264" s="23"/>
      <c r="C3264" s="23" t="s">
        <v>2255</v>
      </c>
      <c r="D3264" s="23" t="str">
        <f t="shared" si="150"/>
        <v>ORD26000900</v>
      </c>
      <c r="E3264" s="38">
        <v>46283</v>
      </c>
      <c r="F3264" s="23" t="s">
        <v>12410</v>
      </c>
      <c r="G3264" s="23" t="s">
        <v>75</v>
      </c>
      <c r="H3264" s="24">
        <v>1799</v>
      </c>
      <c r="I3264" s="24">
        <v>0</v>
      </c>
      <c r="J3264" s="24">
        <v>0</v>
      </c>
      <c r="K3264" s="24">
        <v>1799</v>
      </c>
      <c r="L3264" s="38">
        <v>46285</v>
      </c>
      <c r="M3264" s="23" t="s">
        <v>212</v>
      </c>
      <c r="N3264" s="23" t="str">
        <f>IF(COUNTIF($A$2:A3264,A3264)&gt;1,"DUP","OK")</f>
        <v>OK</v>
      </c>
      <c r="O3264" s="23" t="str">
        <f t="shared" si="151"/>
        <v>ORD26000900</v>
      </c>
      <c r="P3264" s="23" t="str">
        <f t="shared" si="152"/>
        <v>Sep</v>
      </c>
      <c r="Q3264" s="23" t="str">
        <f>IF(F3264="CAPTURE",IF(COUNTIF(orders!$A:$A,O3264)&gt;0,"Yes","NO ORDER"),"")</f>
        <v>Yes</v>
      </c>
    </row>
    <row r="3265" spans="1:17" ht="15" customHeight="1" x14ac:dyDescent="0.3">
      <c r="A3265" s="23" t="s">
        <v>16190</v>
      </c>
      <c r="B3265" s="23"/>
      <c r="C3265" s="23" t="s">
        <v>2277</v>
      </c>
      <c r="D3265" s="23" t="str">
        <f t="shared" si="150"/>
        <v>ORD26000911</v>
      </c>
      <c r="E3265" s="38">
        <v>46283</v>
      </c>
      <c r="F3265" s="23" t="s">
        <v>12410</v>
      </c>
      <c r="G3265" s="23" t="s">
        <v>75</v>
      </c>
      <c r="H3265" s="24">
        <v>6147</v>
      </c>
      <c r="I3265" s="24">
        <v>18.440000000000001</v>
      </c>
      <c r="J3265" s="24">
        <v>3.32</v>
      </c>
      <c r="K3265" s="24">
        <v>6125.24</v>
      </c>
      <c r="L3265" s="38">
        <v>46285</v>
      </c>
      <c r="M3265" s="23" t="s">
        <v>212</v>
      </c>
      <c r="N3265" s="23" t="str">
        <f>IF(COUNTIF($A$2:A3265,A3265)&gt;1,"DUP","OK")</f>
        <v>OK</v>
      </c>
      <c r="O3265" s="23" t="str">
        <f t="shared" si="151"/>
        <v>ORD26000911</v>
      </c>
      <c r="P3265" s="23" t="str">
        <f t="shared" si="152"/>
        <v>Sep</v>
      </c>
      <c r="Q3265" s="23" t="str">
        <f>IF(F3265="CAPTURE",IF(COUNTIF(orders!$A:$A,O3265)&gt;0,"Yes","NO ORDER"),"")</f>
        <v>Yes</v>
      </c>
    </row>
    <row r="3266" spans="1:17" ht="15" customHeight="1" x14ac:dyDescent="0.3">
      <c r="A3266" s="23" t="s">
        <v>16191</v>
      </c>
      <c r="B3266" s="23"/>
      <c r="C3266" s="23" t="s">
        <v>2305</v>
      </c>
      <c r="D3266" s="23" t="str">
        <f t="shared" ref="D3266:D3329" si="153">UPPER(SUBSTITUTE(TRIM(C3266),"-",""))</f>
        <v>ORD26000924</v>
      </c>
      <c r="E3266" s="38">
        <v>46283</v>
      </c>
      <c r="F3266" s="23" t="s">
        <v>12410</v>
      </c>
      <c r="G3266" s="23" t="s">
        <v>75</v>
      </c>
      <c r="H3266" s="24">
        <v>2999</v>
      </c>
      <c r="I3266" s="24">
        <v>9</v>
      </c>
      <c r="J3266" s="24">
        <v>1.62</v>
      </c>
      <c r="K3266" s="24">
        <v>2988.38</v>
      </c>
      <c r="L3266" s="38">
        <v>46285</v>
      </c>
      <c r="M3266" s="23" t="s">
        <v>212</v>
      </c>
      <c r="N3266" s="23" t="str">
        <f>IF(COUNTIF($A$2:A3266,A3266)&gt;1,"DUP","OK")</f>
        <v>OK</v>
      </c>
      <c r="O3266" s="23" t="str">
        <f t="shared" ref="O3266:O3329" si="154">IF(F3266="REFUND",INDEX($D:$D,MATCH(B3266,$A:$A,0)),D3266)</f>
        <v>ORD26000924</v>
      </c>
      <c r="P3266" s="23" t="str">
        <f t="shared" ref="P3266:P3329" si="155">IF(L3266&gt;DATE(2026,9,30),"Oct-Due","Sep")</f>
        <v>Sep</v>
      </c>
      <c r="Q3266" s="23" t="str">
        <f>IF(F3266="CAPTURE",IF(COUNTIF(orders!$A:$A,O3266)&gt;0,"Yes","NO ORDER"),"")</f>
        <v>Yes</v>
      </c>
    </row>
    <row r="3267" spans="1:17" ht="15" customHeight="1" x14ac:dyDescent="0.3">
      <c r="A3267" s="23" t="s">
        <v>16192</v>
      </c>
      <c r="B3267" s="23"/>
      <c r="C3267" s="23" t="s">
        <v>2539</v>
      </c>
      <c r="D3267" s="23" t="str">
        <f t="shared" si="153"/>
        <v>ORD26001038</v>
      </c>
      <c r="E3267" s="38">
        <v>46283</v>
      </c>
      <c r="F3267" s="23" t="s">
        <v>12410</v>
      </c>
      <c r="G3267" s="23" t="s">
        <v>79</v>
      </c>
      <c r="H3267" s="24">
        <v>2098</v>
      </c>
      <c r="I3267" s="24">
        <v>33.57</v>
      </c>
      <c r="J3267" s="24">
        <v>6.04</v>
      </c>
      <c r="K3267" s="24">
        <v>2058.39</v>
      </c>
      <c r="L3267" s="38">
        <v>46285</v>
      </c>
      <c r="M3267" s="23" t="s">
        <v>212</v>
      </c>
      <c r="N3267" s="23" t="str">
        <f>IF(COUNTIF($A$2:A3267,A3267)&gt;1,"DUP","OK")</f>
        <v>OK</v>
      </c>
      <c r="O3267" s="23" t="str">
        <f t="shared" si="154"/>
        <v>ORD26001038</v>
      </c>
      <c r="P3267" s="23" t="str">
        <f t="shared" si="155"/>
        <v>Sep</v>
      </c>
      <c r="Q3267" s="23" t="str">
        <f>IF(F3267="CAPTURE",IF(COUNTIF(orders!$A:$A,O3267)&gt;0,"Yes","NO ORDER"),"")</f>
        <v>Yes</v>
      </c>
    </row>
    <row r="3268" spans="1:17" ht="15" customHeight="1" x14ac:dyDescent="0.3">
      <c r="A3268" s="23" t="s">
        <v>16193</v>
      </c>
      <c r="B3268" s="23"/>
      <c r="C3268" s="23" t="s">
        <v>16194</v>
      </c>
      <c r="D3268" s="23" t="str">
        <f t="shared" si="153"/>
        <v>ORD26001069</v>
      </c>
      <c r="E3268" s="38">
        <v>46283</v>
      </c>
      <c r="F3268" s="23" t="s">
        <v>12410</v>
      </c>
      <c r="G3268" s="23" t="s">
        <v>79</v>
      </c>
      <c r="H3268" s="24">
        <v>698</v>
      </c>
      <c r="I3268" s="24">
        <v>12.56</v>
      </c>
      <c r="J3268" s="24">
        <v>2.2599999999999998</v>
      </c>
      <c r="K3268" s="24">
        <v>683.18</v>
      </c>
      <c r="L3268" s="38">
        <v>46285</v>
      </c>
      <c r="M3268" s="23" t="s">
        <v>212</v>
      </c>
      <c r="N3268" s="23" t="str">
        <f>IF(COUNTIF($A$2:A3268,A3268)&gt;1,"DUP","OK")</f>
        <v>OK</v>
      </c>
      <c r="O3268" s="23" t="str">
        <f t="shared" si="154"/>
        <v>ORD26001069</v>
      </c>
      <c r="P3268" s="23" t="str">
        <f t="shared" si="155"/>
        <v>Sep</v>
      </c>
      <c r="Q3268" s="23" t="str">
        <f>IF(F3268="CAPTURE",IF(COUNTIF(orders!$A:$A,O3268)&gt;0,"Yes","NO ORDER"),"")</f>
        <v>Yes</v>
      </c>
    </row>
    <row r="3269" spans="1:17" ht="15" customHeight="1" x14ac:dyDescent="0.3">
      <c r="A3269" s="23" t="s">
        <v>16195</v>
      </c>
      <c r="B3269" s="23"/>
      <c r="C3269" s="23" t="s">
        <v>2685</v>
      </c>
      <c r="D3269" s="23" t="str">
        <f t="shared" si="153"/>
        <v>ORD26001110</v>
      </c>
      <c r="E3269" s="38">
        <v>46283</v>
      </c>
      <c r="F3269" s="23" t="s">
        <v>12410</v>
      </c>
      <c r="G3269" s="23" t="s">
        <v>75</v>
      </c>
      <c r="H3269" s="24">
        <v>999</v>
      </c>
      <c r="I3269" s="24">
        <v>0</v>
      </c>
      <c r="J3269" s="24">
        <v>0</v>
      </c>
      <c r="K3269" s="24">
        <v>999</v>
      </c>
      <c r="L3269" s="38">
        <v>46285</v>
      </c>
      <c r="M3269" s="23" t="s">
        <v>212</v>
      </c>
      <c r="N3269" s="23" t="str">
        <f>IF(COUNTIF($A$2:A3269,A3269)&gt;1,"DUP","OK")</f>
        <v>OK</v>
      </c>
      <c r="O3269" s="23" t="str">
        <f t="shared" si="154"/>
        <v>ORD26001110</v>
      </c>
      <c r="P3269" s="23" t="str">
        <f t="shared" si="155"/>
        <v>Sep</v>
      </c>
      <c r="Q3269" s="23" t="str">
        <f>IF(F3269="CAPTURE",IF(COUNTIF(orders!$A:$A,O3269)&gt;0,"Yes","NO ORDER"),"")</f>
        <v>Yes</v>
      </c>
    </row>
    <row r="3270" spans="1:17" ht="15" customHeight="1" x14ac:dyDescent="0.3">
      <c r="A3270" s="23" t="s">
        <v>16196</v>
      </c>
      <c r="B3270" s="23"/>
      <c r="C3270" s="23" t="s">
        <v>2720</v>
      </c>
      <c r="D3270" s="23" t="str">
        <f t="shared" si="153"/>
        <v>ORD26001127</v>
      </c>
      <c r="E3270" s="38">
        <v>46283</v>
      </c>
      <c r="F3270" s="23" t="s">
        <v>12410</v>
      </c>
      <c r="G3270" s="23" t="s">
        <v>75</v>
      </c>
      <c r="H3270" s="24">
        <v>7999</v>
      </c>
      <c r="I3270" s="24">
        <v>24</v>
      </c>
      <c r="J3270" s="24">
        <v>4.32</v>
      </c>
      <c r="K3270" s="24">
        <v>7970.68</v>
      </c>
      <c r="L3270" s="38">
        <v>46285</v>
      </c>
      <c r="M3270" s="23" t="s">
        <v>212</v>
      </c>
      <c r="N3270" s="23" t="str">
        <f>IF(COUNTIF($A$2:A3270,A3270)&gt;1,"DUP","OK")</f>
        <v>OK</v>
      </c>
      <c r="O3270" s="23" t="str">
        <f t="shared" si="154"/>
        <v>ORD26001127</v>
      </c>
      <c r="P3270" s="23" t="str">
        <f t="shared" si="155"/>
        <v>Sep</v>
      </c>
      <c r="Q3270" s="23" t="str">
        <f>IF(F3270="CAPTURE",IF(COUNTIF(orders!$A:$A,O3270)&gt;0,"Yes","NO ORDER"),"")</f>
        <v>Yes</v>
      </c>
    </row>
    <row r="3271" spans="1:17" ht="15" customHeight="1" x14ac:dyDescent="0.3">
      <c r="A3271" s="23" t="s">
        <v>16197</v>
      </c>
      <c r="B3271" s="23"/>
      <c r="C3271" s="23" t="s">
        <v>2803</v>
      </c>
      <c r="D3271" s="23" t="str">
        <f t="shared" si="153"/>
        <v>ORD26001168</v>
      </c>
      <c r="E3271" s="38">
        <v>46283</v>
      </c>
      <c r="F3271" s="23" t="s">
        <v>12410</v>
      </c>
      <c r="G3271" s="23" t="s">
        <v>75</v>
      </c>
      <c r="H3271" s="24">
        <v>1648</v>
      </c>
      <c r="I3271" s="24">
        <v>0</v>
      </c>
      <c r="J3271" s="24">
        <v>0</v>
      </c>
      <c r="K3271" s="24">
        <v>1648</v>
      </c>
      <c r="L3271" s="38">
        <v>46285</v>
      </c>
      <c r="M3271" s="23" t="s">
        <v>212</v>
      </c>
      <c r="N3271" s="23" t="str">
        <f>IF(COUNTIF($A$2:A3271,A3271)&gt;1,"DUP","OK")</f>
        <v>OK</v>
      </c>
      <c r="O3271" s="23" t="str">
        <f t="shared" si="154"/>
        <v>ORD26001168</v>
      </c>
      <c r="P3271" s="23" t="str">
        <f t="shared" si="155"/>
        <v>Sep</v>
      </c>
      <c r="Q3271" s="23" t="str">
        <f>IF(F3271="CAPTURE",IF(COUNTIF(orders!$A:$A,O3271)&gt;0,"Yes","NO ORDER"),"")</f>
        <v>Yes</v>
      </c>
    </row>
    <row r="3272" spans="1:17" ht="15" customHeight="1" x14ac:dyDescent="0.3">
      <c r="A3272" s="23" t="s">
        <v>16198</v>
      </c>
      <c r="B3272" s="23"/>
      <c r="C3272" s="23" t="s">
        <v>2990</v>
      </c>
      <c r="D3272" s="23" t="str">
        <f t="shared" si="153"/>
        <v>ORD26001259</v>
      </c>
      <c r="E3272" s="38">
        <v>46283</v>
      </c>
      <c r="F3272" s="23" t="s">
        <v>12410</v>
      </c>
      <c r="G3272" s="23" t="s">
        <v>77</v>
      </c>
      <c r="H3272" s="24">
        <v>4999</v>
      </c>
      <c r="I3272" s="24">
        <v>84.98</v>
      </c>
      <c r="J3272" s="24">
        <v>15.3</v>
      </c>
      <c r="K3272" s="24">
        <v>4898.72</v>
      </c>
      <c r="L3272" s="38">
        <v>46285</v>
      </c>
      <c r="M3272" s="23" t="s">
        <v>212</v>
      </c>
      <c r="N3272" s="23" t="str">
        <f>IF(COUNTIF($A$2:A3272,A3272)&gt;1,"DUP","OK")</f>
        <v>OK</v>
      </c>
      <c r="O3272" s="23" t="str">
        <f t="shared" si="154"/>
        <v>ORD26001259</v>
      </c>
      <c r="P3272" s="23" t="str">
        <f t="shared" si="155"/>
        <v>Sep</v>
      </c>
      <c r="Q3272" s="23" t="str">
        <f>IF(F3272="CAPTURE",IF(COUNTIF(orders!$A:$A,O3272)&gt;0,"Yes","NO ORDER"),"")</f>
        <v>Yes</v>
      </c>
    </row>
    <row r="3273" spans="1:17" ht="15" customHeight="1" x14ac:dyDescent="0.3">
      <c r="A3273" s="23" t="s">
        <v>16199</v>
      </c>
      <c r="B3273" s="23"/>
      <c r="C3273" s="23" t="s">
        <v>3009</v>
      </c>
      <c r="D3273" s="23" t="str">
        <f t="shared" si="153"/>
        <v>ORD26001268</v>
      </c>
      <c r="E3273" s="38">
        <v>46283</v>
      </c>
      <c r="F3273" s="23" t="s">
        <v>12410</v>
      </c>
      <c r="G3273" s="23" t="s">
        <v>79</v>
      </c>
      <c r="H3273" s="24">
        <v>4999</v>
      </c>
      <c r="I3273" s="24">
        <v>79.98</v>
      </c>
      <c r="J3273" s="24">
        <v>14.4</v>
      </c>
      <c r="K3273" s="24">
        <v>4904.62</v>
      </c>
      <c r="L3273" s="38">
        <v>46285</v>
      </c>
      <c r="M3273" s="23" t="s">
        <v>212</v>
      </c>
      <c r="N3273" s="23" t="str">
        <f>IF(COUNTIF($A$2:A3273,A3273)&gt;1,"DUP","OK")</f>
        <v>OK</v>
      </c>
      <c r="O3273" s="23" t="str">
        <f t="shared" si="154"/>
        <v>ORD26001268</v>
      </c>
      <c r="P3273" s="23" t="str">
        <f t="shared" si="155"/>
        <v>Sep</v>
      </c>
      <c r="Q3273" s="23" t="str">
        <f>IF(F3273="CAPTURE",IF(COUNTIF(orders!$A:$A,O3273)&gt;0,"Yes","NO ORDER"),"")</f>
        <v>Yes</v>
      </c>
    </row>
    <row r="3274" spans="1:17" ht="15" customHeight="1" x14ac:dyDescent="0.3">
      <c r="A3274" s="23" t="s">
        <v>16200</v>
      </c>
      <c r="B3274" s="23"/>
      <c r="C3274" s="23" t="s">
        <v>3054</v>
      </c>
      <c r="D3274" s="23" t="str">
        <f t="shared" si="153"/>
        <v>ORD26001290</v>
      </c>
      <c r="E3274" s="38">
        <v>46283</v>
      </c>
      <c r="F3274" s="23" t="s">
        <v>12410</v>
      </c>
      <c r="G3274" s="23" t="s">
        <v>75</v>
      </c>
      <c r="H3274" s="24">
        <v>799</v>
      </c>
      <c r="I3274" s="24">
        <v>0</v>
      </c>
      <c r="J3274" s="24">
        <v>0</v>
      </c>
      <c r="K3274" s="24">
        <v>799</v>
      </c>
      <c r="L3274" s="38">
        <v>46285</v>
      </c>
      <c r="M3274" s="23" t="s">
        <v>212</v>
      </c>
      <c r="N3274" s="23" t="str">
        <f>IF(COUNTIF($A$2:A3274,A3274)&gt;1,"DUP","OK")</f>
        <v>OK</v>
      </c>
      <c r="O3274" s="23" t="str">
        <f t="shared" si="154"/>
        <v>ORD26001290</v>
      </c>
      <c r="P3274" s="23" t="str">
        <f t="shared" si="155"/>
        <v>Sep</v>
      </c>
      <c r="Q3274" s="23" t="str">
        <f>IF(F3274="CAPTURE",IF(COUNTIF(orders!$A:$A,O3274)&gt;0,"Yes","NO ORDER"),"")</f>
        <v>Yes</v>
      </c>
    </row>
    <row r="3275" spans="1:17" ht="15" customHeight="1" x14ac:dyDescent="0.3">
      <c r="A3275" s="23" t="s">
        <v>16201</v>
      </c>
      <c r="B3275" s="23"/>
      <c r="C3275" s="23" t="s">
        <v>3171</v>
      </c>
      <c r="D3275" s="23" t="str">
        <f t="shared" si="153"/>
        <v>ORD26001346</v>
      </c>
      <c r="E3275" s="38">
        <v>46283</v>
      </c>
      <c r="F3275" s="23" t="s">
        <v>12410</v>
      </c>
      <c r="G3275" s="23" t="s">
        <v>75</v>
      </c>
      <c r="H3275" s="24">
        <v>2499</v>
      </c>
      <c r="I3275" s="24">
        <v>7.5</v>
      </c>
      <c r="J3275" s="24">
        <v>1.35</v>
      </c>
      <c r="K3275" s="24">
        <v>2490.15</v>
      </c>
      <c r="L3275" s="38">
        <v>46285</v>
      </c>
      <c r="M3275" s="23" t="s">
        <v>212</v>
      </c>
      <c r="N3275" s="23" t="str">
        <f>IF(COUNTIF($A$2:A3275,A3275)&gt;1,"DUP","OK")</f>
        <v>OK</v>
      </c>
      <c r="O3275" s="23" t="str">
        <f t="shared" si="154"/>
        <v>ORD26001346</v>
      </c>
      <c r="P3275" s="23" t="str">
        <f t="shared" si="155"/>
        <v>Sep</v>
      </c>
      <c r="Q3275" s="23" t="str">
        <f>IF(F3275="CAPTURE",IF(COUNTIF(orders!$A:$A,O3275)&gt;0,"Yes","NO ORDER"),"")</f>
        <v>Yes</v>
      </c>
    </row>
    <row r="3276" spans="1:17" ht="15" customHeight="1" x14ac:dyDescent="0.3">
      <c r="A3276" s="23" t="s">
        <v>16202</v>
      </c>
      <c r="B3276" s="23"/>
      <c r="C3276" s="23" t="s">
        <v>3239</v>
      </c>
      <c r="D3276" s="23" t="str">
        <f t="shared" si="153"/>
        <v>ORD26001379</v>
      </c>
      <c r="E3276" s="38">
        <v>46283</v>
      </c>
      <c r="F3276" s="23" t="s">
        <v>12410</v>
      </c>
      <c r="G3276" s="23" t="s">
        <v>81</v>
      </c>
      <c r="H3276" s="24">
        <v>2999</v>
      </c>
      <c r="I3276" s="24">
        <v>35.99</v>
      </c>
      <c r="J3276" s="24">
        <v>6.48</v>
      </c>
      <c r="K3276" s="24">
        <v>2956.53</v>
      </c>
      <c r="L3276" s="38">
        <v>46285</v>
      </c>
      <c r="M3276" s="23" t="s">
        <v>212</v>
      </c>
      <c r="N3276" s="23" t="str">
        <f>IF(COUNTIF($A$2:A3276,A3276)&gt;1,"DUP","OK")</f>
        <v>OK</v>
      </c>
      <c r="O3276" s="23" t="str">
        <f t="shared" si="154"/>
        <v>ORD26001379</v>
      </c>
      <c r="P3276" s="23" t="str">
        <f t="shared" si="155"/>
        <v>Sep</v>
      </c>
      <c r="Q3276" s="23" t="str">
        <f>IF(F3276="CAPTURE",IF(COUNTIF(orders!$A:$A,O3276)&gt;0,"Yes","NO ORDER"),"")</f>
        <v>Yes</v>
      </c>
    </row>
    <row r="3277" spans="1:17" ht="15" customHeight="1" x14ac:dyDescent="0.3">
      <c r="A3277" s="23" t="s">
        <v>16203</v>
      </c>
      <c r="B3277" s="23"/>
      <c r="C3277" s="23" t="s">
        <v>3247</v>
      </c>
      <c r="D3277" s="23" t="str">
        <f t="shared" si="153"/>
        <v>ORD26001383</v>
      </c>
      <c r="E3277" s="38">
        <v>46283</v>
      </c>
      <c r="F3277" s="23" t="s">
        <v>12410</v>
      </c>
      <c r="G3277" s="23" t="s">
        <v>75</v>
      </c>
      <c r="H3277" s="24">
        <v>1299</v>
      </c>
      <c r="I3277" s="24">
        <v>0</v>
      </c>
      <c r="J3277" s="24">
        <v>0</v>
      </c>
      <c r="K3277" s="24">
        <v>1299</v>
      </c>
      <c r="L3277" s="38">
        <v>46285</v>
      </c>
      <c r="M3277" s="23" t="s">
        <v>212</v>
      </c>
      <c r="N3277" s="23" t="str">
        <f>IF(COUNTIF($A$2:A3277,A3277)&gt;1,"DUP","OK")</f>
        <v>OK</v>
      </c>
      <c r="O3277" s="23" t="str">
        <f t="shared" si="154"/>
        <v>ORD26001383</v>
      </c>
      <c r="P3277" s="23" t="str">
        <f t="shared" si="155"/>
        <v>Sep</v>
      </c>
      <c r="Q3277" s="23" t="str">
        <f>IF(F3277="CAPTURE",IF(COUNTIF(orders!$A:$A,O3277)&gt;0,"Yes","NO ORDER"),"")</f>
        <v>Yes</v>
      </c>
    </row>
    <row r="3278" spans="1:17" ht="15" customHeight="1" x14ac:dyDescent="0.3">
      <c r="A3278" s="23" t="s">
        <v>16204</v>
      </c>
      <c r="B3278" s="23"/>
      <c r="C3278" s="23" t="s">
        <v>3257</v>
      </c>
      <c r="D3278" s="23" t="str">
        <f t="shared" si="153"/>
        <v>ORD26001388</v>
      </c>
      <c r="E3278" s="38">
        <v>46283</v>
      </c>
      <c r="F3278" s="23" t="s">
        <v>12410</v>
      </c>
      <c r="G3278" s="23" t="s">
        <v>75</v>
      </c>
      <c r="H3278" s="24">
        <v>1799</v>
      </c>
      <c r="I3278" s="24">
        <v>0</v>
      </c>
      <c r="J3278" s="24">
        <v>0</v>
      </c>
      <c r="K3278" s="24">
        <v>1799</v>
      </c>
      <c r="L3278" s="38">
        <v>46285</v>
      </c>
      <c r="M3278" s="23" t="s">
        <v>212</v>
      </c>
      <c r="N3278" s="23" t="str">
        <f>IF(COUNTIF($A$2:A3278,A3278)&gt;1,"DUP","OK")</f>
        <v>OK</v>
      </c>
      <c r="O3278" s="23" t="str">
        <f t="shared" si="154"/>
        <v>ORD26001388</v>
      </c>
      <c r="P3278" s="23" t="str">
        <f t="shared" si="155"/>
        <v>Sep</v>
      </c>
      <c r="Q3278" s="23" t="str">
        <f>IF(F3278="CAPTURE",IF(COUNTIF(orders!$A:$A,O3278)&gt;0,"Yes","NO ORDER"),"")</f>
        <v>Yes</v>
      </c>
    </row>
    <row r="3279" spans="1:17" ht="15" customHeight="1" x14ac:dyDescent="0.3">
      <c r="A3279" s="23" t="s">
        <v>16205</v>
      </c>
      <c r="B3279" s="23"/>
      <c r="C3279" s="23" t="s">
        <v>3302</v>
      </c>
      <c r="D3279" s="23" t="str">
        <f t="shared" si="153"/>
        <v>ORD26001410</v>
      </c>
      <c r="E3279" s="38">
        <v>46283</v>
      </c>
      <c r="F3279" s="23" t="s">
        <v>12410</v>
      </c>
      <c r="G3279" s="23" t="s">
        <v>75</v>
      </c>
      <c r="H3279" s="24">
        <v>1499</v>
      </c>
      <c r="I3279" s="24">
        <v>0</v>
      </c>
      <c r="J3279" s="24">
        <v>0</v>
      </c>
      <c r="K3279" s="24">
        <v>1499</v>
      </c>
      <c r="L3279" s="38">
        <v>46285</v>
      </c>
      <c r="M3279" s="23" t="s">
        <v>212</v>
      </c>
      <c r="N3279" s="23" t="str">
        <f>IF(COUNTIF($A$2:A3279,A3279)&gt;1,"DUP","OK")</f>
        <v>OK</v>
      </c>
      <c r="O3279" s="23" t="str">
        <f t="shared" si="154"/>
        <v>ORD26001410</v>
      </c>
      <c r="P3279" s="23" t="str">
        <f t="shared" si="155"/>
        <v>Sep</v>
      </c>
      <c r="Q3279" s="23" t="str">
        <f>IF(F3279="CAPTURE",IF(COUNTIF(orders!$A:$A,O3279)&gt;0,"Yes","NO ORDER"),"")</f>
        <v>Yes</v>
      </c>
    </row>
    <row r="3280" spans="1:17" ht="15" customHeight="1" x14ac:dyDescent="0.3">
      <c r="A3280" s="23" t="s">
        <v>16206</v>
      </c>
      <c r="B3280" s="23"/>
      <c r="C3280" s="23" t="s">
        <v>16207</v>
      </c>
      <c r="D3280" s="23" t="str">
        <f t="shared" si="153"/>
        <v>ORD26001438</v>
      </c>
      <c r="E3280" s="38">
        <v>46283</v>
      </c>
      <c r="F3280" s="23" t="s">
        <v>12410</v>
      </c>
      <c r="G3280" s="23" t="s">
        <v>77</v>
      </c>
      <c r="H3280" s="24">
        <v>2298</v>
      </c>
      <c r="I3280" s="24">
        <v>39.07</v>
      </c>
      <c r="J3280" s="24">
        <v>7.03</v>
      </c>
      <c r="K3280" s="24">
        <v>2251.9</v>
      </c>
      <c r="L3280" s="38">
        <v>46285</v>
      </c>
      <c r="M3280" s="23" t="s">
        <v>212</v>
      </c>
      <c r="N3280" s="23" t="str">
        <f>IF(COUNTIF($A$2:A3280,A3280)&gt;1,"DUP","OK")</f>
        <v>OK</v>
      </c>
      <c r="O3280" s="23" t="str">
        <f t="shared" si="154"/>
        <v>ORD26001438</v>
      </c>
      <c r="P3280" s="23" t="str">
        <f t="shared" si="155"/>
        <v>Sep</v>
      </c>
      <c r="Q3280" s="23" t="str">
        <f>IF(F3280="CAPTURE",IF(COUNTIF(orders!$A:$A,O3280)&gt;0,"Yes","NO ORDER"),"")</f>
        <v>Yes</v>
      </c>
    </row>
    <row r="3281" spans="1:17" ht="15" customHeight="1" x14ac:dyDescent="0.3">
      <c r="A3281" s="23" t="s">
        <v>16208</v>
      </c>
      <c r="B3281" s="23"/>
      <c r="C3281" s="23" t="s">
        <v>16209</v>
      </c>
      <c r="D3281" s="23" t="str">
        <f t="shared" si="153"/>
        <v>ORD26001460</v>
      </c>
      <c r="E3281" s="38">
        <v>46283</v>
      </c>
      <c r="F3281" s="23" t="s">
        <v>12410</v>
      </c>
      <c r="G3281" s="23" t="s">
        <v>81</v>
      </c>
      <c r="H3281" s="24">
        <v>4098</v>
      </c>
      <c r="I3281" s="24">
        <v>49.18</v>
      </c>
      <c r="J3281" s="24">
        <v>8.85</v>
      </c>
      <c r="K3281" s="24">
        <v>4039.97</v>
      </c>
      <c r="L3281" s="38">
        <v>46285</v>
      </c>
      <c r="M3281" s="23" t="s">
        <v>212</v>
      </c>
      <c r="N3281" s="23" t="str">
        <f>IF(COUNTIF($A$2:A3281,A3281)&gt;1,"DUP","OK")</f>
        <v>OK</v>
      </c>
      <c r="O3281" s="23" t="str">
        <f t="shared" si="154"/>
        <v>ORD26001460</v>
      </c>
      <c r="P3281" s="23" t="str">
        <f t="shared" si="155"/>
        <v>Sep</v>
      </c>
      <c r="Q3281" s="23" t="str">
        <f>IF(F3281="CAPTURE",IF(COUNTIF(orders!$A:$A,O3281)&gt;0,"Yes","NO ORDER"),"")</f>
        <v>Yes</v>
      </c>
    </row>
    <row r="3282" spans="1:17" ht="15" customHeight="1" x14ac:dyDescent="0.3">
      <c r="A3282" s="23" t="s">
        <v>16210</v>
      </c>
      <c r="B3282" s="23"/>
      <c r="C3282" s="23" t="s">
        <v>3407</v>
      </c>
      <c r="D3282" s="23" t="str">
        <f t="shared" si="153"/>
        <v>ORD26001462</v>
      </c>
      <c r="E3282" s="38">
        <v>46283</v>
      </c>
      <c r="F3282" s="23" t="s">
        <v>12410</v>
      </c>
      <c r="G3282" s="23" t="s">
        <v>75</v>
      </c>
      <c r="H3282" s="24">
        <v>2499</v>
      </c>
      <c r="I3282" s="24">
        <v>7.5</v>
      </c>
      <c r="J3282" s="24">
        <v>1.35</v>
      </c>
      <c r="K3282" s="24">
        <v>2490.15</v>
      </c>
      <c r="L3282" s="38">
        <v>46285</v>
      </c>
      <c r="M3282" s="23" t="s">
        <v>212</v>
      </c>
      <c r="N3282" s="23" t="str">
        <f>IF(COUNTIF($A$2:A3282,A3282)&gt;1,"DUP","OK")</f>
        <v>OK</v>
      </c>
      <c r="O3282" s="23" t="str">
        <f t="shared" si="154"/>
        <v>ORD26001462</v>
      </c>
      <c r="P3282" s="23" t="str">
        <f t="shared" si="155"/>
        <v>Sep</v>
      </c>
      <c r="Q3282" s="23" t="str">
        <f>IF(F3282="CAPTURE",IF(COUNTIF(orders!$A:$A,O3282)&gt;0,"Yes","NO ORDER"),"")</f>
        <v>Yes</v>
      </c>
    </row>
    <row r="3283" spans="1:17" ht="15" customHeight="1" x14ac:dyDescent="0.3">
      <c r="A3283" s="23" t="s">
        <v>16211</v>
      </c>
      <c r="B3283" s="23"/>
      <c r="C3283" s="23" t="s">
        <v>3534</v>
      </c>
      <c r="D3283" s="23" t="str">
        <f t="shared" si="153"/>
        <v>ORD26001523</v>
      </c>
      <c r="E3283" s="38">
        <v>46283</v>
      </c>
      <c r="F3283" s="23" t="s">
        <v>12410</v>
      </c>
      <c r="G3283" s="23" t="s">
        <v>75</v>
      </c>
      <c r="H3283" s="24">
        <v>3798</v>
      </c>
      <c r="I3283" s="24">
        <v>11.39</v>
      </c>
      <c r="J3283" s="24">
        <v>2.0499999999999998</v>
      </c>
      <c r="K3283" s="24">
        <v>3784.56</v>
      </c>
      <c r="L3283" s="38">
        <v>46285</v>
      </c>
      <c r="M3283" s="23" t="s">
        <v>212</v>
      </c>
      <c r="N3283" s="23" t="str">
        <f>IF(COUNTIF($A$2:A3283,A3283)&gt;1,"DUP","OK")</f>
        <v>OK</v>
      </c>
      <c r="O3283" s="23" t="str">
        <f t="shared" si="154"/>
        <v>ORD26001523</v>
      </c>
      <c r="P3283" s="23" t="str">
        <f t="shared" si="155"/>
        <v>Sep</v>
      </c>
      <c r="Q3283" s="23" t="str">
        <f>IF(F3283="CAPTURE",IF(COUNTIF(orders!$A:$A,O3283)&gt;0,"Yes","NO ORDER"),"")</f>
        <v>Yes</v>
      </c>
    </row>
    <row r="3284" spans="1:17" ht="15" customHeight="1" x14ac:dyDescent="0.3">
      <c r="A3284" s="23" t="s">
        <v>16212</v>
      </c>
      <c r="B3284" s="23"/>
      <c r="C3284" s="23" t="s">
        <v>3717</v>
      </c>
      <c r="D3284" s="23" t="str">
        <f t="shared" si="153"/>
        <v>ORD26001615</v>
      </c>
      <c r="E3284" s="38">
        <v>46283</v>
      </c>
      <c r="F3284" s="23" t="s">
        <v>12410</v>
      </c>
      <c r="G3284" s="23" t="s">
        <v>79</v>
      </c>
      <c r="H3284" s="24">
        <v>2098</v>
      </c>
      <c r="I3284" s="24">
        <v>33.57</v>
      </c>
      <c r="J3284" s="24">
        <v>6.04</v>
      </c>
      <c r="K3284" s="24">
        <v>2058.39</v>
      </c>
      <c r="L3284" s="38">
        <v>46285</v>
      </c>
      <c r="M3284" s="23" t="s">
        <v>212</v>
      </c>
      <c r="N3284" s="23" t="str">
        <f>IF(COUNTIF($A$2:A3284,A3284)&gt;1,"DUP","OK")</f>
        <v>OK</v>
      </c>
      <c r="O3284" s="23" t="str">
        <f t="shared" si="154"/>
        <v>ORD26001615</v>
      </c>
      <c r="P3284" s="23" t="str">
        <f t="shared" si="155"/>
        <v>Sep</v>
      </c>
      <c r="Q3284" s="23" t="str">
        <f>IF(F3284="CAPTURE",IF(COUNTIF(orders!$A:$A,O3284)&gt;0,"Yes","NO ORDER"),"")</f>
        <v>Yes</v>
      </c>
    </row>
    <row r="3285" spans="1:17" ht="15" customHeight="1" x14ac:dyDescent="0.3">
      <c r="A3285" s="23" t="s">
        <v>16213</v>
      </c>
      <c r="B3285" s="23"/>
      <c r="C3285" s="23" t="s">
        <v>3994</v>
      </c>
      <c r="D3285" s="23" t="str">
        <f t="shared" si="153"/>
        <v>ORD26001753</v>
      </c>
      <c r="E3285" s="38">
        <v>46283</v>
      </c>
      <c r="F3285" s="23" t="s">
        <v>12410</v>
      </c>
      <c r="G3285" s="23" t="s">
        <v>79</v>
      </c>
      <c r="H3285" s="24">
        <v>8598</v>
      </c>
      <c r="I3285" s="24">
        <v>137.57</v>
      </c>
      <c r="J3285" s="24">
        <v>24.76</v>
      </c>
      <c r="K3285" s="24">
        <v>8435.67</v>
      </c>
      <c r="L3285" s="38">
        <v>46285</v>
      </c>
      <c r="M3285" s="23" t="s">
        <v>212</v>
      </c>
      <c r="N3285" s="23" t="str">
        <f>IF(COUNTIF($A$2:A3285,A3285)&gt;1,"DUP","OK")</f>
        <v>OK</v>
      </c>
      <c r="O3285" s="23" t="str">
        <f t="shared" si="154"/>
        <v>ORD26001753</v>
      </c>
      <c r="P3285" s="23" t="str">
        <f t="shared" si="155"/>
        <v>Sep</v>
      </c>
      <c r="Q3285" s="23" t="str">
        <f>IF(F3285="CAPTURE",IF(COUNTIF(orders!$A:$A,O3285)&gt;0,"Yes","NO ORDER"),"")</f>
        <v>Yes</v>
      </c>
    </row>
    <row r="3286" spans="1:17" ht="15" customHeight="1" x14ac:dyDescent="0.3">
      <c r="A3286" s="23" t="s">
        <v>16214</v>
      </c>
      <c r="B3286" s="23"/>
      <c r="C3286" s="23" t="s">
        <v>4183</v>
      </c>
      <c r="D3286" s="23" t="str">
        <f t="shared" si="153"/>
        <v>ORD26001849</v>
      </c>
      <c r="E3286" s="38">
        <v>46283</v>
      </c>
      <c r="F3286" s="23" t="s">
        <v>12410</v>
      </c>
      <c r="G3286" s="23" t="s">
        <v>79</v>
      </c>
      <c r="H3286" s="24">
        <v>1197</v>
      </c>
      <c r="I3286" s="24">
        <v>21.55</v>
      </c>
      <c r="J3286" s="24">
        <v>3.88</v>
      </c>
      <c r="K3286" s="24">
        <v>1171.57</v>
      </c>
      <c r="L3286" s="38">
        <v>46285</v>
      </c>
      <c r="M3286" s="23" t="s">
        <v>212</v>
      </c>
      <c r="N3286" s="23" t="str">
        <f>IF(COUNTIF($A$2:A3286,A3286)&gt;1,"DUP","OK")</f>
        <v>OK</v>
      </c>
      <c r="O3286" s="23" t="str">
        <f t="shared" si="154"/>
        <v>ORD26001849</v>
      </c>
      <c r="P3286" s="23" t="str">
        <f t="shared" si="155"/>
        <v>Sep</v>
      </c>
      <c r="Q3286" s="23" t="str">
        <f>IF(F3286="CAPTURE",IF(COUNTIF(orders!$A:$A,O3286)&gt;0,"Yes","NO ORDER"),"")</f>
        <v>Yes</v>
      </c>
    </row>
    <row r="3287" spans="1:17" ht="15" customHeight="1" x14ac:dyDescent="0.3">
      <c r="A3287" s="23" t="s">
        <v>16215</v>
      </c>
      <c r="B3287" s="23"/>
      <c r="C3287" s="23" t="s">
        <v>16216</v>
      </c>
      <c r="D3287" s="23" t="str">
        <f t="shared" si="153"/>
        <v>ORD26001866</v>
      </c>
      <c r="E3287" s="38">
        <v>46283</v>
      </c>
      <c r="F3287" s="23" t="s">
        <v>12410</v>
      </c>
      <c r="G3287" s="23" t="s">
        <v>75</v>
      </c>
      <c r="H3287" s="24">
        <v>4197</v>
      </c>
      <c r="I3287" s="24">
        <v>12.59</v>
      </c>
      <c r="J3287" s="24">
        <v>2.27</v>
      </c>
      <c r="K3287" s="24">
        <v>4182.1400000000003</v>
      </c>
      <c r="L3287" s="38">
        <v>46285</v>
      </c>
      <c r="M3287" s="23" t="s">
        <v>212</v>
      </c>
      <c r="N3287" s="23" t="str">
        <f>IF(COUNTIF($A$2:A3287,A3287)&gt;1,"DUP","OK")</f>
        <v>OK</v>
      </c>
      <c r="O3287" s="23" t="str">
        <f t="shared" si="154"/>
        <v>ORD26001866</v>
      </c>
      <c r="P3287" s="23" t="str">
        <f t="shared" si="155"/>
        <v>Sep</v>
      </c>
      <c r="Q3287" s="23" t="str">
        <f>IF(F3287="CAPTURE",IF(COUNTIF(orders!$A:$A,O3287)&gt;0,"Yes","NO ORDER"),"")</f>
        <v>Yes</v>
      </c>
    </row>
    <row r="3288" spans="1:17" ht="15" customHeight="1" x14ac:dyDescent="0.3">
      <c r="A3288" s="23" t="s">
        <v>16217</v>
      </c>
      <c r="B3288" s="23"/>
      <c r="C3288" s="23" t="s">
        <v>16218</v>
      </c>
      <c r="D3288" s="23" t="str">
        <f t="shared" si="153"/>
        <v>ORD26001888</v>
      </c>
      <c r="E3288" s="38">
        <v>46283</v>
      </c>
      <c r="F3288" s="23" t="s">
        <v>12410</v>
      </c>
      <c r="G3288" s="23" t="s">
        <v>81</v>
      </c>
      <c r="H3288" s="24">
        <v>3998</v>
      </c>
      <c r="I3288" s="24">
        <v>47.98</v>
      </c>
      <c r="J3288" s="24">
        <v>8.64</v>
      </c>
      <c r="K3288" s="24">
        <v>3941.38</v>
      </c>
      <c r="L3288" s="38">
        <v>46285</v>
      </c>
      <c r="M3288" s="23" t="s">
        <v>212</v>
      </c>
      <c r="N3288" s="23" t="str">
        <f>IF(COUNTIF($A$2:A3288,A3288)&gt;1,"DUP","OK")</f>
        <v>OK</v>
      </c>
      <c r="O3288" s="23" t="str">
        <f t="shared" si="154"/>
        <v>ORD26001888</v>
      </c>
      <c r="P3288" s="23" t="str">
        <f t="shared" si="155"/>
        <v>Sep</v>
      </c>
      <c r="Q3288" s="23" t="str">
        <f>IF(F3288="CAPTURE",IF(COUNTIF(orders!$A:$A,O3288)&gt;0,"Yes","NO ORDER"),"")</f>
        <v>Yes</v>
      </c>
    </row>
    <row r="3289" spans="1:17" ht="15" customHeight="1" x14ac:dyDescent="0.3">
      <c r="A3289" s="23" t="s">
        <v>16219</v>
      </c>
      <c r="B3289" s="23"/>
      <c r="C3289" s="23" t="s">
        <v>4411</v>
      </c>
      <c r="D3289" s="23" t="str">
        <f t="shared" si="153"/>
        <v>ORD26001962</v>
      </c>
      <c r="E3289" s="38">
        <v>46283</v>
      </c>
      <c r="F3289" s="23" t="s">
        <v>12410</v>
      </c>
      <c r="G3289" s="23" t="s">
        <v>75</v>
      </c>
      <c r="H3289" s="24">
        <v>4797</v>
      </c>
      <c r="I3289" s="24">
        <v>14.39</v>
      </c>
      <c r="J3289" s="24">
        <v>2.59</v>
      </c>
      <c r="K3289" s="24">
        <v>4780.0200000000004</v>
      </c>
      <c r="L3289" s="38">
        <v>46285</v>
      </c>
      <c r="M3289" s="23" t="s">
        <v>212</v>
      </c>
      <c r="N3289" s="23" t="str">
        <f>IF(COUNTIF($A$2:A3289,A3289)&gt;1,"DUP","OK")</f>
        <v>OK</v>
      </c>
      <c r="O3289" s="23" t="str">
        <f t="shared" si="154"/>
        <v>ORD26001962</v>
      </c>
      <c r="P3289" s="23" t="str">
        <f t="shared" si="155"/>
        <v>Sep</v>
      </c>
      <c r="Q3289" s="23" t="str">
        <f>IF(F3289="CAPTURE",IF(COUNTIF(orders!$A:$A,O3289)&gt;0,"Yes","NO ORDER"),"")</f>
        <v>Yes</v>
      </c>
    </row>
    <row r="3290" spans="1:17" ht="15" customHeight="1" x14ac:dyDescent="0.3">
      <c r="A3290" s="23" t="s">
        <v>16220</v>
      </c>
      <c r="B3290" s="23"/>
      <c r="C3290" s="23" t="s">
        <v>4427</v>
      </c>
      <c r="D3290" s="23" t="str">
        <f t="shared" si="153"/>
        <v>ORD26001970</v>
      </c>
      <c r="E3290" s="38">
        <v>46283</v>
      </c>
      <c r="F3290" s="23" t="s">
        <v>12410</v>
      </c>
      <c r="G3290" s="23" t="s">
        <v>75</v>
      </c>
      <c r="H3290" s="24">
        <v>3098</v>
      </c>
      <c r="I3290" s="24">
        <v>9.2899999999999991</v>
      </c>
      <c r="J3290" s="24">
        <v>1.67</v>
      </c>
      <c r="K3290" s="24">
        <v>3087.04</v>
      </c>
      <c r="L3290" s="38">
        <v>46285</v>
      </c>
      <c r="M3290" s="23" t="s">
        <v>212</v>
      </c>
      <c r="N3290" s="23" t="str">
        <f>IF(COUNTIF($A$2:A3290,A3290)&gt;1,"DUP","OK")</f>
        <v>OK</v>
      </c>
      <c r="O3290" s="23" t="str">
        <f t="shared" si="154"/>
        <v>ORD26001970</v>
      </c>
      <c r="P3290" s="23" t="str">
        <f t="shared" si="155"/>
        <v>Sep</v>
      </c>
      <c r="Q3290" s="23" t="str">
        <f>IF(F3290="CAPTURE",IF(COUNTIF(orders!$A:$A,O3290)&gt;0,"Yes","NO ORDER"),"")</f>
        <v>Yes</v>
      </c>
    </row>
    <row r="3291" spans="1:17" ht="15" customHeight="1" x14ac:dyDescent="0.3">
      <c r="A3291" s="23" t="s">
        <v>16221</v>
      </c>
      <c r="B3291" s="23"/>
      <c r="C3291" s="23" t="s">
        <v>16222</v>
      </c>
      <c r="D3291" s="23" t="str">
        <f t="shared" si="153"/>
        <v>ORD26001974</v>
      </c>
      <c r="E3291" s="38">
        <v>46283</v>
      </c>
      <c r="F3291" s="23" t="s">
        <v>12410</v>
      </c>
      <c r="G3291" s="23" t="s">
        <v>75</v>
      </c>
      <c r="H3291" s="24">
        <v>2499</v>
      </c>
      <c r="I3291" s="24">
        <v>7.5</v>
      </c>
      <c r="J3291" s="24">
        <v>1.35</v>
      </c>
      <c r="K3291" s="24">
        <v>2490.15</v>
      </c>
      <c r="L3291" s="38">
        <v>46285</v>
      </c>
      <c r="M3291" s="23" t="s">
        <v>212</v>
      </c>
      <c r="N3291" s="23" t="str">
        <f>IF(COUNTIF($A$2:A3291,A3291)&gt;1,"DUP","OK")</f>
        <v>OK</v>
      </c>
      <c r="O3291" s="23" t="str">
        <f t="shared" si="154"/>
        <v>ORD26001974</v>
      </c>
      <c r="P3291" s="23" t="str">
        <f t="shared" si="155"/>
        <v>Sep</v>
      </c>
      <c r="Q3291" s="23" t="str">
        <f>IF(F3291="CAPTURE",IF(COUNTIF(orders!$A:$A,O3291)&gt;0,"Yes","NO ORDER"),"")</f>
        <v>Yes</v>
      </c>
    </row>
    <row r="3292" spans="1:17" ht="15" customHeight="1" x14ac:dyDescent="0.3">
      <c r="A3292" s="23" t="s">
        <v>16223</v>
      </c>
      <c r="B3292" s="23"/>
      <c r="C3292" s="23" t="s">
        <v>4468</v>
      </c>
      <c r="D3292" s="23" t="str">
        <f t="shared" si="153"/>
        <v>ORD26001990</v>
      </c>
      <c r="E3292" s="38">
        <v>46283</v>
      </c>
      <c r="F3292" s="23" t="s">
        <v>12410</v>
      </c>
      <c r="G3292" s="23" t="s">
        <v>75</v>
      </c>
      <c r="H3292" s="24">
        <v>299</v>
      </c>
      <c r="I3292" s="24">
        <v>0</v>
      </c>
      <c r="J3292" s="24">
        <v>0</v>
      </c>
      <c r="K3292" s="24">
        <v>299</v>
      </c>
      <c r="L3292" s="38">
        <v>46285</v>
      </c>
      <c r="M3292" s="23" t="s">
        <v>212</v>
      </c>
      <c r="N3292" s="23" t="str">
        <f>IF(COUNTIF($A$2:A3292,A3292)&gt;1,"DUP","OK")</f>
        <v>OK</v>
      </c>
      <c r="O3292" s="23" t="str">
        <f t="shared" si="154"/>
        <v>ORD26001990</v>
      </c>
      <c r="P3292" s="23" t="str">
        <f t="shared" si="155"/>
        <v>Sep</v>
      </c>
      <c r="Q3292" s="23" t="str">
        <f>IF(F3292="CAPTURE",IF(COUNTIF(orders!$A:$A,O3292)&gt;0,"Yes","NO ORDER"),"")</f>
        <v>Yes</v>
      </c>
    </row>
    <row r="3293" spans="1:17" ht="15" customHeight="1" x14ac:dyDescent="0.3">
      <c r="A3293" s="23" t="s">
        <v>16224</v>
      </c>
      <c r="B3293" s="23"/>
      <c r="C3293" s="23" t="s">
        <v>16225</v>
      </c>
      <c r="D3293" s="23" t="str">
        <f t="shared" si="153"/>
        <v>ORD26002129</v>
      </c>
      <c r="E3293" s="38">
        <v>46283</v>
      </c>
      <c r="F3293" s="23" t="s">
        <v>12410</v>
      </c>
      <c r="G3293" s="23" t="s">
        <v>79</v>
      </c>
      <c r="H3293" s="24">
        <v>349</v>
      </c>
      <c r="I3293" s="24">
        <v>6.28</v>
      </c>
      <c r="J3293" s="24">
        <v>1.1299999999999999</v>
      </c>
      <c r="K3293" s="24">
        <v>341.59</v>
      </c>
      <c r="L3293" s="38">
        <v>46285</v>
      </c>
      <c r="M3293" s="23" t="s">
        <v>212</v>
      </c>
      <c r="N3293" s="23" t="str">
        <f>IF(COUNTIF($A$2:A3293,A3293)&gt;1,"DUP","OK")</f>
        <v>OK</v>
      </c>
      <c r="O3293" s="23" t="str">
        <f t="shared" si="154"/>
        <v>ORD26002129</v>
      </c>
      <c r="P3293" s="23" t="str">
        <f t="shared" si="155"/>
        <v>Sep</v>
      </c>
      <c r="Q3293" s="23" t="str">
        <f>IF(F3293="CAPTURE",IF(COUNTIF(orders!$A:$A,O3293)&gt;0,"Yes","NO ORDER"),"")</f>
        <v>Yes</v>
      </c>
    </row>
    <row r="3294" spans="1:17" ht="15" customHeight="1" x14ac:dyDescent="0.3">
      <c r="A3294" s="23" t="s">
        <v>16226</v>
      </c>
      <c r="B3294" s="23"/>
      <c r="C3294" s="23" t="s">
        <v>4780</v>
      </c>
      <c r="D3294" s="23" t="str">
        <f t="shared" si="153"/>
        <v>ORD26002145</v>
      </c>
      <c r="E3294" s="38">
        <v>46283</v>
      </c>
      <c r="F3294" s="23" t="s">
        <v>12410</v>
      </c>
      <c r="G3294" s="23" t="s">
        <v>75</v>
      </c>
      <c r="H3294" s="24">
        <v>2999</v>
      </c>
      <c r="I3294" s="24">
        <v>9</v>
      </c>
      <c r="J3294" s="24">
        <v>1.62</v>
      </c>
      <c r="K3294" s="24">
        <v>2988.38</v>
      </c>
      <c r="L3294" s="38">
        <v>46285</v>
      </c>
      <c r="M3294" s="23" t="s">
        <v>212</v>
      </c>
      <c r="N3294" s="23" t="str">
        <f>IF(COUNTIF($A$2:A3294,A3294)&gt;1,"DUP","OK")</f>
        <v>OK</v>
      </c>
      <c r="O3294" s="23" t="str">
        <f t="shared" si="154"/>
        <v>ORD26002145</v>
      </c>
      <c r="P3294" s="23" t="str">
        <f t="shared" si="155"/>
        <v>Sep</v>
      </c>
      <c r="Q3294" s="23" t="str">
        <f>IF(F3294="CAPTURE",IF(COUNTIF(orders!$A:$A,O3294)&gt;0,"Yes","NO ORDER"),"")</f>
        <v>Yes</v>
      </c>
    </row>
    <row r="3295" spans="1:17" ht="15" customHeight="1" x14ac:dyDescent="0.3">
      <c r="A3295" s="23" t="s">
        <v>16227</v>
      </c>
      <c r="B3295" s="23"/>
      <c r="C3295" s="23" t="s">
        <v>4813</v>
      </c>
      <c r="D3295" s="23" t="str">
        <f t="shared" si="153"/>
        <v>ORD26002162</v>
      </c>
      <c r="E3295" s="38">
        <v>46283</v>
      </c>
      <c r="F3295" s="23" t="s">
        <v>12410</v>
      </c>
      <c r="G3295" s="23" t="s">
        <v>75</v>
      </c>
      <c r="H3295" s="24">
        <v>2999</v>
      </c>
      <c r="I3295" s="24">
        <v>9</v>
      </c>
      <c r="J3295" s="24">
        <v>1.62</v>
      </c>
      <c r="K3295" s="24">
        <v>2988.38</v>
      </c>
      <c r="L3295" s="38">
        <v>46285</v>
      </c>
      <c r="M3295" s="23" t="s">
        <v>212</v>
      </c>
      <c r="N3295" s="23" t="str">
        <f>IF(COUNTIF($A$2:A3295,A3295)&gt;1,"DUP","OK")</f>
        <v>OK</v>
      </c>
      <c r="O3295" s="23" t="str">
        <f t="shared" si="154"/>
        <v>ORD26002162</v>
      </c>
      <c r="P3295" s="23" t="str">
        <f t="shared" si="155"/>
        <v>Sep</v>
      </c>
      <c r="Q3295" s="23" t="str">
        <f>IF(F3295="CAPTURE",IF(COUNTIF(orders!$A:$A,O3295)&gt;0,"Yes","NO ORDER"),"")</f>
        <v>Yes</v>
      </c>
    </row>
    <row r="3296" spans="1:17" ht="15" customHeight="1" x14ac:dyDescent="0.3">
      <c r="A3296" s="23" t="s">
        <v>16228</v>
      </c>
      <c r="B3296" s="23"/>
      <c r="C3296" s="23" t="s">
        <v>4873</v>
      </c>
      <c r="D3296" s="23" t="str">
        <f t="shared" si="153"/>
        <v>ORD26002191</v>
      </c>
      <c r="E3296" s="38">
        <v>46283</v>
      </c>
      <c r="F3296" s="23" t="s">
        <v>12410</v>
      </c>
      <c r="G3296" s="23" t="s">
        <v>79</v>
      </c>
      <c r="H3296" s="24">
        <v>599</v>
      </c>
      <c r="I3296" s="24">
        <v>10.78</v>
      </c>
      <c r="J3296" s="24">
        <v>1.94</v>
      </c>
      <c r="K3296" s="24">
        <v>586.28</v>
      </c>
      <c r="L3296" s="38">
        <v>46285</v>
      </c>
      <c r="M3296" s="23" t="s">
        <v>212</v>
      </c>
      <c r="N3296" s="23" t="str">
        <f>IF(COUNTIF($A$2:A3296,A3296)&gt;1,"DUP","OK")</f>
        <v>OK</v>
      </c>
      <c r="O3296" s="23" t="str">
        <f t="shared" si="154"/>
        <v>ORD26002191</v>
      </c>
      <c r="P3296" s="23" t="str">
        <f t="shared" si="155"/>
        <v>Sep</v>
      </c>
      <c r="Q3296" s="23" t="str">
        <f>IF(F3296="CAPTURE",IF(COUNTIF(orders!$A:$A,O3296)&gt;0,"Yes","NO ORDER"),"")</f>
        <v>Yes</v>
      </c>
    </row>
    <row r="3297" spans="1:17" ht="15" customHeight="1" x14ac:dyDescent="0.3">
      <c r="A3297" s="23" t="s">
        <v>16229</v>
      </c>
      <c r="B3297" s="23"/>
      <c r="C3297" s="23" t="s">
        <v>5006</v>
      </c>
      <c r="D3297" s="23" t="str">
        <f t="shared" si="153"/>
        <v>ORD26002256</v>
      </c>
      <c r="E3297" s="38">
        <v>46283</v>
      </c>
      <c r="F3297" s="23" t="s">
        <v>12410</v>
      </c>
      <c r="G3297" s="23" t="s">
        <v>79</v>
      </c>
      <c r="H3297" s="24">
        <v>2499</v>
      </c>
      <c r="I3297" s="24">
        <v>39.979999999999997</v>
      </c>
      <c r="J3297" s="24">
        <v>7.2</v>
      </c>
      <c r="K3297" s="24">
        <v>2451.8200000000002</v>
      </c>
      <c r="L3297" s="38">
        <v>46285</v>
      </c>
      <c r="M3297" s="23" t="s">
        <v>212</v>
      </c>
      <c r="N3297" s="23" t="str">
        <f>IF(COUNTIF($A$2:A3297,A3297)&gt;1,"DUP","OK")</f>
        <v>OK</v>
      </c>
      <c r="O3297" s="23" t="str">
        <f t="shared" si="154"/>
        <v>ORD26002256</v>
      </c>
      <c r="P3297" s="23" t="str">
        <f t="shared" si="155"/>
        <v>Sep</v>
      </c>
      <c r="Q3297" s="23" t="str">
        <f>IF(F3297="CAPTURE",IF(COUNTIF(orders!$A:$A,O3297)&gt;0,"Yes","NO ORDER"),"")</f>
        <v>Yes</v>
      </c>
    </row>
    <row r="3298" spans="1:17" ht="15" customHeight="1" x14ac:dyDescent="0.3">
      <c r="A3298" s="23" t="s">
        <v>16230</v>
      </c>
      <c r="B3298" s="23"/>
      <c r="C3298" s="23" t="s">
        <v>5030</v>
      </c>
      <c r="D3298" s="23" t="str">
        <f t="shared" si="153"/>
        <v>ORD26002268</v>
      </c>
      <c r="E3298" s="38">
        <v>46283</v>
      </c>
      <c r="F3298" s="23" t="s">
        <v>12410</v>
      </c>
      <c r="G3298" s="23" t="s">
        <v>75</v>
      </c>
      <c r="H3298" s="24">
        <v>2499</v>
      </c>
      <c r="I3298" s="24">
        <v>7.5</v>
      </c>
      <c r="J3298" s="24">
        <v>1.35</v>
      </c>
      <c r="K3298" s="24">
        <v>2490.15</v>
      </c>
      <c r="L3298" s="38">
        <v>46285</v>
      </c>
      <c r="M3298" s="23" t="s">
        <v>212</v>
      </c>
      <c r="N3298" s="23" t="str">
        <f>IF(COUNTIF($A$2:A3298,A3298)&gt;1,"DUP","OK")</f>
        <v>OK</v>
      </c>
      <c r="O3298" s="23" t="str">
        <f t="shared" si="154"/>
        <v>ORD26002268</v>
      </c>
      <c r="P3298" s="23" t="str">
        <f t="shared" si="155"/>
        <v>Sep</v>
      </c>
      <c r="Q3298" s="23" t="str">
        <f>IF(F3298="CAPTURE",IF(COUNTIF(orders!$A:$A,O3298)&gt;0,"Yes","NO ORDER"),"")</f>
        <v>Yes</v>
      </c>
    </row>
    <row r="3299" spans="1:17" ht="15" customHeight="1" x14ac:dyDescent="0.3">
      <c r="A3299" s="23" t="s">
        <v>16231</v>
      </c>
      <c r="B3299" s="23"/>
      <c r="C3299" s="23" t="s">
        <v>5106</v>
      </c>
      <c r="D3299" s="23" t="str">
        <f t="shared" si="153"/>
        <v>ORD26002306</v>
      </c>
      <c r="E3299" s="38">
        <v>46283</v>
      </c>
      <c r="F3299" s="23" t="s">
        <v>12410</v>
      </c>
      <c r="G3299" s="23" t="s">
        <v>79</v>
      </c>
      <c r="H3299" s="24">
        <v>7097</v>
      </c>
      <c r="I3299" s="24">
        <v>113.55</v>
      </c>
      <c r="J3299" s="24">
        <v>20.440000000000001</v>
      </c>
      <c r="K3299" s="24">
        <v>6963.01</v>
      </c>
      <c r="L3299" s="38">
        <v>46285</v>
      </c>
      <c r="M3299" s="23" t="s">
        <v>212</v>
      </c>
      <c r="N3299" s="23" t="str">
        <f>IF(COUNTIF($A$2:A3299,A3299)&gt;1,"DUP","OK")</f>
        <v>OK</v>
      </c>
      <c r="O3299" s="23" t="str">
        <f t="shared" si="154"/>
        <v>ORD26002306</v>
      </c>
      <c r="P3299" s="23" t="str">
        <f t="shared" si="155"/>
        <v>Sep</v>
      </c>
      <c r="Q3299" s="23" t="str">
        <f>IF(F3299="CAPTURE",IF(COUNTIF(orders!$A:$A,O3299)&gt;0,"Yes","NO ORDER"),"")</f>
        <v>Yes</v>
      </c>
    </row>
    <row r="3300" spans="1:17" ht="15" customHeight="1" x14ac:dyDescent="0.3">
      <c r="A3300" s="23" t="s">
        <v>16232</v>
      </c>
      <c r="B3300" s="23"/>
      <c r="C3300" s="23" t="s">
        <v>5217</v>
      </c>
      <c r="D3300" s="23" t="str">
        <f t="shared" si="153"/>
        <v>ORD26002362</v>
      </c>
      <c r="E3300" s="38">
        <v>46283</v>
      </c>
      <c r="F3300" s="23" t="s">
        <v>12410</v>
      </c>
      <c r="G3300" s="23" t="s">
        <v>79</v>
      </c>
      <c r="H3300" s="24">
        <v>5498</v>
      </c>
      <c r="I3300" s="24">
        <v>87.97</v>
      </c>
      <c r="J3300" s="24">
        <v>15.83</v>
      </c>
      <c r="K3300" s="24">
        <v>5394.2</v>
      </c>
      <c r="L3300" s="38">
        <v>46285</v>
      </c>
      <c r="M3300" s="23" t="s">
        <v>212</v>
      </c>
      <c r="N3300" s="23" t="str">
        <f>IF(COUNTIF($A$2:A3300,A3300)&gt;1,"DUP","OK")</f>
        <v>OK</v>
      </c>
      <c r="O3300" s="23" t="str">
        <f t="shared" si="154"/>
        <v>ORD26002362</v>
      </c>
      <c r="P3300" s="23" t="str">
        <f t="shared" si="155"/>
        <v>Sep</v>
      </c>
      <c r="Q3300" s="23" t="str">
        <f>IF(F3300="CAPTURE",IF(COUNTIF(orders!$A:$A,O3300)&gt;0,"Yes","NO ORDER"),"")</f>
        <v>Yes</v>
      </c>
    </row>
    <row r="3301" spans="1:17" ht="15" customHeight="1" x14ac:dyDescent="0.3">
      <c r="A3301" s="23" t="s">
        <v>16233</v>
      </c>
      <c r="B3301" s="23"/>
      <c r="C3301" s="23" t="s">
        <v>5233</v>
      </c>
      <c r="D3301" s="23" t="str">
        <f t="shared" si="153"/>
        <v>ORD26002370</v>
      </c>
      <c r="E3301" s="38">
        <v>46283</v>
      </c>
      <c r="F3301" s="23" t="s">
        <v>12410</v>
      </c>
      <c r="G3301" s="23" t="s">
        <v>75</v>
      </c>
      <c r="H3301" s="24">
        <v>499</v>
      </c>
      <c r="I3301" s="24">
        <v>0</v>
      </c>
      <c r="J3301" s="24">
        <v>0</v>
      </c>
      <c r="K3301" s="24">
        <v>499</v>
      </c>
      <c r="L3301" s="38">
        <v>46285</v>
      </c>
      <c r="M3301" s="23" t="s">
        <v>212</v>
      </c>
      <c r="N3301" s="23" t="str">
        <f>IF(COUNTIF($A$2:A3301,A3301)&gt;1,"DUP","OK")</f>
        <v>OK</v>
      </c>
      <c r="O3301" s="23" t="str">
        <f t="shared" si="154"/>
        <v>ORD26002370</v>
      </c>
      <c r="P3301" s="23" t="str">
        <f t="shared" si="155"/>
        <v>Sep</v>
      </c>
      <c r="Q3301" s="23" t="str">
        <f>IF(F3301="CAPTURE",IF(COUNTIF(orders!$A:$A,O3301)&gt;0,"Yes","NO ORDER"),"")</f>
        <v>Yes</v>
      </c>
    </row>
    <row r="3302" spans="1:17" ht="15" customHeight="1" x14ac:dyDescent="0.3">
      <c r="A3302" s="23" t="s">
        <v>16234</v>
      </c>
      <c r="B3302" s="23"/>
      <c r="C3302" s="23" t="s">
        <v>5289</v>
      </c>
      <c r="D3302" s="23" t="str">
        <f t="shared" si="153"/>
        <v>ORD26002398</v>
      </c>
      <c r="E3302" s="38">
        <v>46283</v>
      </c>
      <c r="F3302" s="23" t="s">
        <v>12410</v>
      </c>
      <c r="G3302" s="23" t="s">
        <v>79</v>
      </c>
      <c r="H3302" s="24">
        <v>599</v>
      </c>
      <c r="I3302" s="24">
        <v>10.78</v>
      </c>
      <c r="J3302" s="24">
        <v>1.94</v>
      </c>
      <c r="K3302" s="24">
        <v>586.28</v>
      </c>
      <c r="L3302" s="38">
        <v>46285</v>
      </c>
      <c r="M3302" s="23" t="s">
        <v>212</v>
      </c>
      <c r="N3302" s="23" t="str">
        <f>IF(COUNTIF($A$2:A3302,A3302)&gt;1,"DUP","OK")</f>
        <v>OK</v>
      </c>
      <c r="O3302" s="23" t="str">
        <f t="shared" si="154"/>
        <v>ORD26002398</v>
      </c>
      <c r="P3302" s="23" t="str">
        <f t="shared" si="155"/>
        <v>Sep</v>
      </c>
      <c r="Q3302" s="23" t="str">
        <f>IF(F3302="CAPTURE",IF(COUNTIF(orders!$A:$A,O3302)&gt;0,"Yes","NO ORDER"),"")</f>
        <v>Yes</v>
      </c>
    </row>
    <row r="3303" spans="1:17" ht="15" customHeight="1" x14ac:dyDescent="0.3">
      <c r="A3303" s="23" t="s">
        <v>16235</v>
      </c>
      <c r="B3303" s="23"/>
      <c r="C3303" s="23" t="s">
        <v>5345</v>
      </c>
      <c r="D3303" s="23" t="str">
        <f t="shared" si="153"/>
        <v>ORD26002427</v>
      </c>
      <c r="E3303" s="38">
        <v>46283</v>
      </c>
      <c r="F3303" s="23" t="s">
        <v>12410</v>
      </c>
      <c r="G3303" s="23" t="s">
        <v>75</v>
      </c>
      <c r="H3303" s="24">
        <v>1398</v>
      </c>
      <c r="I3303" s="24">
        <v>0</v>
      </c>
      <c r="J3303" s="24">
        <v>0</v>
      </c>
      <c r="K3303" s="24">
        <v>1398</v>
      </c>
      <c r="L3303" s="38">
        <v>46285</v>
      </c>
      <c r="M3303" s="23" t="s">
        <v>212</v>
      </c>
      <c r="N3303" s="23" t="str">
        <f>IF(COUNTIF($A$2:A3303,A3303)&gt;1,"DUP","OK")</f>
        <v>OK</v>
      </c>
      <c r="O3303" s="23" t="str">
        <f t="shared" si="154"/>
        <v>ORD26002427</v>
      </c>
      <c r="P3303" s="23" t="str">
        <f t="shared" si="155"/>
        <v>Sep</v>
      </c>
      <c r="Q3303" s="23" t="str">
        <f>IF(F3303="CAPTURE",IF(COUNTIF(orders!$A:$A,O3303)&gt;0,"Yes","NO ORDER"),"")</f>
        <v>Yes</v>
      </c>
    </row>
    <row r="3304" spans="1:17" ht="15" customHeight="1" x14ac:dyDescent="0.3">
      <c r="A3304" s="23" t="s">
        <v>16236</v>
      </c>
      <c r="B3304" s="23"/>
      <c r="C3304" s="23" t="s">
        <v>5353</v>
      </c>
      <c r="D3304" s="23" t="str">
        <f t="shared" si="153"/>
        <v>ORD26002431</v>
      </c>
      <c r="E3304" s="38">
        <v>46283</v>
      </c>
      <c r="F3304" s="23" t="s">
        <v>12410</v>
      </c>
      <c r="G3304" s="23" t="s">
        <v>79</v>
      </c>
      <c r="H3304" s="24">
        <v>2999</v>
      </c>
      <c r="I3304" s="24">
        <v>47.98</v>
      </c>
      <c r="J3304" s="24">
        <v>8.64</v>
      </c>
      <c r="K3304" s="24">
        <v>2942.38</v>
      </c>
      <c r="L3304" s="38">
        <v>46285</v>
      </c>
      <c r="M3304" s="23" t="s">
        <v>212</v>
      </c>
      <c r="N3304" s="23" t="str">
        <f>IF(COUNTIF($A$2:A3304,A3304)&gt;1,"DUP","OK")</f>
        <v>OK</v>
      </c>
      <c r="O3304" s="23" t="str">
        <f t="shared" si="154"/>
        <v>ORD26002431</v>
      </c>
      <c r="P3304" s="23" t="str">
        <f t="shared" si="155"/>
        <v>Sep</v>
      </c>
      <c r="Q3304" s="23" t="str">
        <f>IF(F3304="CAPTURE",IF(COUNTIF(orders!$A:$A,O3304)&gt;0,"Yes","NO ORDER"),"")</f>
        <v>Yes</v>
      </c>
    </row>
    <row r="3305" spans="1:17" ht="15" customHeight="1" x14ac:dyDescent="0.3">
      <c r="A3305" s="23" t="s">
        <v>16237</v>
      </c>
      <c r="B3305" s="23"/>
      <c r="C3305" s="23" t="s">
        <v>16238</v>
      </c>
      <c r="D3305" s="23" t="str">
        <f t="shared" si="153"/>
        <v>ORD26002525</v>
      </c>
      <c r="E3305" s="38">
        <v>46283</v>
      </c>
      <c r="F3305" s="23" t="s">
        <v>12410</v>
      </c>
      <c r="G3305" s="23" t="s">
        <v>79</v>
      </c>
      <c r="H3305" s="24">
        <v>3498</v>
      </c>
      <c r="I3305" s="24">
        <v>55.97</v>
      </c>
      <c r="J3305" s="24">
        <v>10.07</v>
      </c>
      <c r="K3305" s="24">
        <v>3431.96</v>
      </c>
      <c r="L3305" s="38">
        <v>46285</v>
      </c>
      <c r="M3305" s="23" t="s">
        <v>212</v>
      </c>
      <c r="N3305" s="23" t="str">
        <f>IF(COUNTIF($A$2:A3305,A3305)&gt;1,"DUP","OK")</f>
        <v>OK</v>
      </c>
      <c r="O3305" s="23" t="str">
        <f t="shared" si="154"/>
        <v>ORD26002525</v>
      </c>
      <c r="P3305" s="23" t="str">
        <f t="shared" si="155"/>
        <v>Sep</v>
      </c>
      <c r="Q3305" s="23" t="str">
        <f>IF(F3305="CAPTURE",IF(COUNTIF(orders!$A:$A,O3305)&gt;0,"Yes","NO ORDER"),"")</f>
        <v>Yes</v>
      </c>
    </row>
    <row r="3306" spans="1:17" ht="15" customHeight="1" x14ac:dyDescent="0.3">
      <c r="A3306" s="23" t="s">
        <v>16239</v>
      </c>
      <c r="B3306" s="23"/>
      <c r="C3306" s="23" t="s">
        <v>5574</v>
      </c>
      <c r="D3306" s="23" t="str">
        <f t="shared" si="153"/>
        <v>ORD26002540</v>
      </c>
      <c r="E3306" s="38">
        <v>46283</v>
      </c>
      <c r="F3306" s="23" t="s">
        <v>12410</v>
      </c>
      <c r="G3306" s="23" t="s">
        <v>79</v>
      </c>
      <c r="H3306" s="24">
        <v>8597</v>
      </c>
      <c r="I3306" s="24">
        <v>137.55000000000001</v>
      </c>
      <c r="J3306" s="24">
        <v>24.76</v>
      </c>
      <c r="K3306" s="24">
        <v>8434.69</v>
      </c>
      <c r="L3306" s="38">
        <v>46285</v>
      </c>
      <c r="M3306" s="23" t="s">
        <v>212</v>
      </c>
      <c r="N3306" s="23" t="str">
        <f>IF(COUNTIF($A$2:A3306,A3306)&gt;1,"DUP","OK")</f>
        <v>OK</v>
      </c>
      <c r="O3306" s="23" t="str">
        <f t="shared" si="154"/>
        <v>ORD26002540</v>
      </c>
      <c r="P3306" s="23" t="str">
        <f t="shared" si="155"/>
        <v>Sep</v>
      </c>
      <c r="Q3306" s="23" t="str">
        <f>IF(F3306="CAPTURE",IF(COUNTIF(orders!$A:$A,O3306)&gt;0,"Yes","NO ORDER"),"")</f>
        <v>Yes</v>
      </c>
    </row>
    <row r="3307" spans="1:17" ht="15" customHeight="1" x14ac:dyDescent="0.3">
      <c r="A3307" s="23" t="s">
        <v>16240</v>
      </c>
      <c r="B3307" s="23"/>
      <c r="C3307" s="23" t="s">
        <v>5618</v>
      </c>
      <c r="D3307" s="23" t="str">
        <f t="shared" si="153"/>
        <v>ORD26002562</v>
      </c>
      <c r="E3307" s="38">
        <v>46283</v>
      </c>
      <c r="F3307" s="23" t="s">
        <v>12410</v>
      </c>
      <c r="G3307" s="23" t="s">
        <v>75</v>
      </c>
      <c r="H3307" s="24">
        <v>2499</v>
      </c>
      <c r="I3307" s="24">
        <v>7.5</v>
      </c>
      <c r="J3307" s="24">
        <v>1.35</v>
      </c>
      <c r="K3307" s="24">
        <v>2490.15</v>
      </c>
      <c r="L3307" s="38">
        <v>46285</v>
      </c>
      <c r="M3307" s="23" t="s">
        <v>212</v>
      </c>
      <c r="N3307" s="23" t="str">
        <f>IF(COUNTIF($A$2:A3307,A3307)&gt;1,"DUP","OK")</f>
        <v>OK</v>
      </c>
      <c r="O3307" s="23" t="str">
        <f t="shared" si="154"/>
        <v>ORD26002562</v>
      </c>
      <c r="P3307" s="23" t="str">
        <f t="shared" si="155"/>
        <v>Sep</v>
      </c>
      <c r="Q3307" s="23" t="str">
        <f>IF(F3307="CAPTURE",IF(COUNTIF(orders!$A:$A,O3307)&gt;0,"Yes","NO ORDER"),"")</f>
        <v>Yes</v>
      </c>
    </row>
    <row r="3308" spans="1:17" ht="15" customHeight="1" x14ac:dyDescent="0.3">
      <c r="A3308" s="23" t="s">
        <v>16241</v>
      </c>
      <c r="B3308" s="23"/>
      <c r="C3308" s="23" t="s">
        <v>16242</v>
      </c>
      <c r="D3308" s="23" t="str">
        <f t="shared" si="153"/>
        <v>ORD26002593</v>
      </c>
      <c r="E3308" s="38">
        <v>46283</v>
      </c>
      <c r="F3308" s="23" t="s">
        <v>12410</v>
      </c>
      <c r="G3308" s="23" t="s">
        <v>75</v>
      </c>
      <c r="H3308" s="24">
        <v>4097</v>
      </c>
      <c r="I3308" s="24">
        <v>12.29</v>
      </c>
      <c r="J3308" s="24">
        <v>2.21</v>
      </c>
      <c r="K3308" s="24">
        <v>4082.5</v>
      </c>
      <c r="L3308" s="38">
        <v>46285</v>
      </c>
      <c r="M3308" s="23" t="s">
        <v>212</v>
      </c>
      <c r="N3308" s="23" t="str">
        <f>IF(COUNTIF($A$2:A3308,A3308)&gt;1,"DUP","OK")</f>
        <v>OK</v>
      </c>
      <c r="O3308" s="23" t="str">
        <f t="shared" si="154"/>
        <v>ORD26002593</v>
      </c>
      <c r="P3308" s="23" t="str">
        <f t="shared" si="155"/>
        <v>Sep</v>
      </c>
      <c r="Q3308" s="23" t="str">
        <f>IF(F3308="CAPTURE",IF(COUNTIF(orders!$A:$A,O3308)&gt;0,"Yes","NO ORDER"),"")</f>
        <v>Yes</v>
      </c>
    </row>
    <row r="3309" spans="1:17" ht="15" customHeight="1" x14ac:dyDescent="0.3">
      <c r="A3309" s="23" t="s">
        <v>16243</v>
      </c>
      <c r="B3309" s="23"/>
      <c r="C3309" s="23" t="s">
        <v>5818</v>
      </c>
      <c r="D3309" s="23" t="str">
        <f t="shared" si="153"/>
        <v>ORD26002661</v>
      </c>
      <c r="E3309" s="38">
        <v>46283</v>
      </c>
      <c r="F3309" s="23" t="s">
        <v>12410</v>
      </c>
      <c r="G3309" s="23" t="s">
        <v>81</v>
      </c>
      <c r="H3309" s="24">
        <v>1499</v>
      </c>
      <c r="I3309" s="24">
        <v>22.49</v>
      </c>
      <c r="J3309" s="24">
        <v>4.05</v>
      </c>
      <c r="K3309" s="24">
        <v>1472.46</v>
      </c>
      <c r="L3309" s="38">
        <v>46285</v>
      </c>
      <c r="M3309" s="23" t="s">
        <v>212</v>
      </c>
      <c r="N3309" s="23" t="str">
        <f>IF(COUNTIF($A$2:A3309,A3309)&gt;1,"DUP","OK")</f>
        <v>OK</v>
      </c>
      <c r="O3309" s="23" t="str">
        <f t="shared" si="154"/>
        <v>ORD26002661</v>
      </c>
      <c r="P3309" s="23" t="str">
        <f t="shared" si="155"/>
        <v>Sep</v>
      </c>
      <c r="Q3309" s="23" t="str">
        <f>IF(F3309="CAPTURE",IF(COUNTIF(orders!$A:$A,O3309)&gt;0,"Yes","NO ORDER"),"")</f>
        <v>Yes</v>
      </c>
    </row>
    <row r="3310" spans="1:17" ht="15" customHeight="1" x14ac:dyDescent="0.3">
      <c r="A3310" s="23" t="s">
        <v>16244</v>
      </c>
      <c r="B3310" s="23"/>
      <c r="C3310" s="23" t="s">
        <v>5840</v>
      </c>
      <c r="D3310" s="23" t="str">
        <f t="shared" si="153"/>
        <v>ORD26002672</v>
      </c>
      <c r="E3310" s="38">
        <v>46283</v>
      </c>
      <c r="F3310" s="23" t="s">
        <v>12410</v>
      </c>
      <c r="G3310" s="23" t="s">
        <v>79</v>
      </c>
      <c r="H3310" s="24">
        <v>3499</v>
      </c>
      <c r="I3310" s="24">
        <v>55.98</v>
      </c>
      <c r="J3310" s="24">
        <v>10.08</v>
      </c>
      <c r="K3310" s="24">
        <v>3432.94</v>
      </c>
      <c r="L3310" s="38">
        <v>46285</v>
      </c>
      <c r="M3310" s="23" t="s">
        <v>212</v>
      </c>
      <c r="N3310" s="23" t="str">
        <f>IF(COUNTIF($A$2:A3310,A3310)&gt;1,"DUP","OK")</f>
        <v>OK</v>
      </c>
      <c r="O3310" s="23" t="str">
        <f t="shared" si="154"/>
        <v>ORD26002672</v>
      </c>
      <c r="P3310" s="23" t="str">
        <f t="shared" si="155"/>
        <v>Sep</v>
      </c>
      <c r="Q3310" s="23" t="str">
        <f>IF(F3310="CAPTURE",IF(COUNTIF(orders!$A:$A,O3310)&gt;0,"Yes","NO ORDER"),"")</f>
        <v>Yes</v>
      </c>
    </row>
    <row r="3311" spans="1:17" ht="15" customHeight="1" x14ac:dyDescent="0.3">
      <c r="A3311" s="23" t="s">
        <v>16245</v>
      </c>
      <c r="B3311" s="23"/>
      <c r="C3311" s="23" t="s">
        <v>5862</v>
      </c>
      <c r="D3311" s="23" t="str">
        <f t="shared" si="153"/>
        <v>ORD26002683</v>
      </c>
      <c r="E3311" s="38">
        <v>46283</v>
      </c>
      <c r="F3311" s="23" t="s">
        <v>12410</v>
      </c>
      <c r="G3311" s="23" t="s">
        <v>75</v>
      </c>
      <c r="H3311" s="24">
        <v>6798</v>
      </c>
      <c r="I3311" s="24">
        <v>20.39</v>
      </c>
      <c r="J3311" s="24">
        <v>3.67</v>
      </c>
      <c r="K3311" s="24">
        <v>6773.94</v>
      </c>
      <c r="L3311" s="38">
        <v>46285</v>
      </c>
      <c r="M3311" s="23" t="s">
        <v>212</v>
      </c>
      <c r="N3311" s="23" t="str">
        <f>IF(COUNTIF($A$2:A3311,A3311)&gt;1,"DUP","OK")</f>
        <v>OK</v>
      </c>
      <c r="O3311" s="23" t="str">
        <f t="shared" si="154"/>
        <v>ORD26002683</v>
      </c>
      <c r="P3311" s="23" t="str">
        <f t="shared" si="155"/>
        <v>Sep</v>
      </c>
      <c r="Q3311" s="23" t="str">
        <f>IF(F3311="CAPTURE",IF(COUNTIF(orders!$A:$A,O3311)&gt;0,"Yes","NO ORDER"),"")</f>
        <v>Yes</v>
      </c>
    </row>
    <row r="3312" spans="1:17" ht="15" customHeight="1" x14ac:dyDescent="0.3">
      <c r="A3312" s="23" t="s">
        <v>16246</v>
      </c>
      <c r="B3312" s="23"/>
      <c r="C3312" s="23" t="s">
        <v>5872</v>
      </c>
      <c r="D3312" s="23" t="str">
        <f t="shared" si="153"/>
        <v>ORD26002688</v>
      </c>
      <c r="E3312" s="38">
        <v>46283</v>
      </c>
      <c r="F3312" s="23" t="s">
        <v>12410</v>
      </c>
      <c r="G3312" s="23" t="s">
        <v>75</v>
      </c>
      <c r="H3312" s="24">
        <v>3697</v>
      </c>
      <c r="I3312" s="24">
        <v>11.09</v>
      </c>
      <c r="J3312" s="24">
        <v>2</v>
      </c>
      <c r="K3312" s="24">
        <v>3683.91</v>
      </c>
      <c r="L3312" s="38">
        <v>46285</v>
      </c>
      <c r="M3312" s="23" t="s">
        <v>212</v>
      </c>
      <c r="N3312" s="23" t="str">
        <f>IF(COUNTIF($A$2:A3312,A3312)&gt;1,"DUP","OK")</f>
        <v>OK</v>
      </c>
      <c r="O3312" s="23" t="str">
        <f t="shared" si="154"/>
        <v>ORD26002688</v>
      </c>
      <c r="P3312" s="23" t="str">
        <f t="shared" si="155"/>
        <v>Sep</v>
      </c>
      <c r="Q3312" s="23" t="str">
        <f>IF(F3312="CAPTURE",IF(COUNTIF(orders!$A:$A,O3312)&gt;0,"Yes","NO ORDER"),"")</f>
        <v>Yes</v>
      </c>
    </row>
    <row r="3313" spans="1:17" ht="15" customHeight="1" x14ac:dyDescent="0.3">
      <c r="A3313" s="23" t="s">
        <v>16247</v>
      </c>
      <c r="B3313" s="23"/>
      <c r="C3313" s="23" t="s">
        <v>16248</v>
      </c>
      <c r="D3313" s="23" t="str">
        <f t="shared" si="153"/>
        <v>ORD26002702</v>
      </c>
      <c r="E3313" s="38">
        <v>46283</v>
      </c>
      <c r="F3313" s="23" t="s">
        <v>12410</v>
      </c>
      <c r="G3313" s="23" t="s">
        <v>75</v>
      </c>
      <c r="H3313" s="24">
        <v>1348</v>
      </c>
      <c r="I3313" s="24">
        <v>0</v>
      </c>
      <c r="J3313" s="24">
        <v>0</v>
      </c>
      <c r="K3313" s="24">
        <v>1348</v>
      </c>
      <c r="L3313" s="38">
        <v>46285</v>
      </c>
      <c r="M3313" s="23" t="s">
        <v>212</v>
      </c>
      <c r="N3313" s="23" t="str">
        <f>IF(COUNTIF($A$2:A3313,A3313)&gt;1,"DUP","OK")</f>
        <v>OK</v>
      </c>
      <c r="O3313" s="23" t="str">
        <f t="shared" si="154"/>
        <v>ORD26002702</v>
      </c>
      <c r="P3313" s="23" t="str">
        <f t="shared" si="155"/>
        <v>Sep</v>
      </c>
      <c r="Q3313" s="23" t="str">
        <f>IF(F3313="CAPTURE",IF(COUNTIF(orders!$A:$A,O3313)&gt;0,"Yes","NO ORDER"),"")</f>
        <v>Yes</v>
      </c>
    </row>
    <row r="3314" spans="1:17" ht="15" customHeight="1" x14ac:dyDescent="0.3">
      <c r="A3314" s="23" t="s">
        <v>16249</v>
      </c>
      <c r="B3314" s="23"/>
      <c r="C3314" s="23" t="s">
        <v>5908</v>
      </c>
      <c r="D3314" s="23" t="str">
        <f t="shared" si="153"/>
        <v>ORD26002706</v>
      </c>
      <c r="E3314" s="38">
        <v>46283</v>
      </c>
      <c r="F3314" s="23" t="s">
        <v>12410</v>
      </c>
      <c r="G3314" s="23" t="s">
        <v>79</v>
      </c>
      <c r="H3314" s="24">
        <v>3297</v>
      </c>
      <c r="I3314" s="24">
        <v>52.75</v>
      </c>
      <c r="J3314" s="24">
        <v>9.5</v>
      </c>
      <c r="K3314" s="24">
        <v>3234.75</v>
      </c>
      <c r="L3314" s="38">
        <v>46285</v>
      </c>
      <c r="M3314" s="23" t="s">
        <v>212</v>
      </c>
      <c r="N3314" s="23" t="str">
        <f>IF(COUNTIF($A$2:A3314,A3314)&gt;1,"DUP","OK")</f>
        <v>OK</v>
      </c>
      <c r="O3314" s="23" t="str">
        <f t="shared" si="154"/>
        <v>ORD26002706</v>
      </c>
      <c r="P3314" s="23" t="str">
        <f t="shared" si="155"/>
        <v>Sep</v>
      </c>
      <c r="Q3314" s="23" t="str">
        <f>IF(F3314="CAPTURE",IF(COUNTIF(orders!$A:$A,O3314)&gt;0,"Yes","NO ORDER"),"")</f>
        <v>Yes</v>
      </c>
    </row>
    <row r="3315" spans="1:17" ht="15" customHeight="1" x14ac:dyDescent="0.3">
      <c r="A3315" s="23" t="s">
        <v>16250</v>
      </c>
      <c r="B3315" s="23"/>
      <c r="C3315" s="23" t="s">
        <v>6160</v>
      </c>
      <c r="D3315" s="23" t="str">
        <f t="shared" si="153"/>
        <v>ORD26002831</v>
      </c>
      <c r="E3315" s="38">
        <v>46283</v>
      </c>
      <c r="F3315" s="23" t="s">
        <v>12410</v>
      </c>
      <c r="G3315" s="23" t="s">
        <v>75</v>
      </c>
      <c r="H3315" s="24">
        <v>4597</v>
      </c>
      <c r="I3315" s="24">
        <v>13.79</v>
      </c>
      <c r="J3315" s="24">
        <v>2.48</v>
      </c>
      <c r="K3315" s="24">
        <v>4580.7299999999996</v>
      </c>
      <c r="L3315" s="38">
        <v>46285</v>
      </c>
      <c r="M3315" s="23" t="s">
        <v>212</v>
      </c>
      <c r="N3315" s="23" t="str">
        <f>IF(COUNTIF($A$2:A3315,A3315)&gt;1,"DUP","OK")</f>
        <v>OK</v>
      </c>
      <c r="O3315" s="23" t="str">
        <f t="shared" si="154"/>
        <v>ORD26002831</v>
      </c>
      <c r="P3315" s="23" t="str">
        <f t="shared" si="155"/>
        <v>Sep</v>
      </c>
      <c r="Q3315" s="23" t="str">
        <f>IF(F3315="CAPTURE",IF(COUNTIF(orders!$A:$A,O3315)&gt;0,"Yes","NO ORDER"),"")</f>
        <v>Yes</v>
      </c>
    </row>
    <row r="3316" spans="1:17" ht="15" customHeight="1" x14ac:dyDescent="0.3">
      <c r="A3316" s="23" t="s">
        <v>16251</v>
      </c>
      <c r="B3316" s="23"/>
      <c r="C3316" s="23" t="s">
        <v>16252</v>
      </c>
      <c r="D3316" s="23" t="str">
        <f t="shared" si="153"/>
        <v>ORD26002859</v>
      </c>
      <c r="E3316" s="38">
        <v>46283</v>
      </c>
      <c r="F3316" s="23" t="s">
        <v>12410</v>
      </c>
      <c r="G3316" s="23" t="s">
        <v>75</v>
      </c>
      <c r="H3316" s="24">
        <v>3798</v>
      </c>
      <c r="I3316" s="24">
        <v>11.39</v>
      </c>
      <c r="J3316" s="24">
        <v>2.0499999999999998</v>
      </c>
      <c r="K3316" s="24">
        <v>3784.56</v>
      </c>
      <c r="L3316" s="38">
        <v>46285</v>
      </c>
      <c r="M3316" s="23" t="s">
        <v>212</v>
      </c>
      <c r="N3316" s="23" t="str">
        <f>IF(COUNTIF($A$2:A3316,A3316)&gt;1,"DUP","OK")</f>
        <v>OK</v>
      </c>
      <c r="O3316" s="23" t="str">
        <f t="shared" si="154"/>
        <v>ORD26002859</v>
      </c>
      <c r="P3316" s="23" t="str">
        <f t="shared" si="155"/>
        <v>Sep</v>
      </c>
      <c r="Q3316" s="23" t="str">
        <f>IF(F3316="CAPTURE",IF(COUNTIF(orders!$A:$A,O3316)&gt;0,"Yes","NO ORDER"),"")</f>
        <v>Yes</v>
      </c>
    </row>
    <row r="3317" spans="1:17" ht="15" customHeight="1" x14ac:dyDescent="0.3">
      <c r="A3317" s="23" t="s">
        <v>16253</v>
      </c>
      <c r="B3317" s="23"/>
      <c r="C3317" s="23" t="s">
        <v>16254</v>
      </c>
      <c r="D3317" s="23" t="str">
        <f t="shared" si="153"/>
        <v>ORD26002862</v>
      </c>
      <c r="E3317" s="38">
        <v>46283</v>
      </c>
      <c r="F3317" s="23" t="s">
        <v>12410</v>
      </c>
      <c r="G3317" s="23" t="s">
        <v>81</v>
      </c>
      <c r="H3317" s="24">
        <v>5498</v>
      </c>
      <c r="I3317" s="24">
        <v>65.98</v>
      </c>
      <c r="J3317" s="24">
        <v>11.88</v>
      </c>
      <c r="K3317" s="24">
        <v>5420.14</v>
      </c>
      <c r="L3317" s="38">
        <v>46285</v>
      </c>
      <c r="M3317" s="23" t="s">
        <v>212</v>
      </c>
      <c r="N3317" s="23" t="str">
        <f>IF(COUNTIF($A$2:A3317,A3317)&gt;1,"DUP","OK")</f>
        <v>OK</v>
      </c>
      <c r="O3317" s="23" t="str">
        <f t="shared" si="154"/>
        <v>ORD26002862</v>
      </c>
      <c r="P3317" s="23" t="str">
        <f t="shared" si="155"/>
        <v>Sep</v>
      </c>
      <c r="Q3317" s="23" t="str">
        <f>IF(F3317="CAPTURE",IF(COUNTIF(orders!$A:$A,O3317)&gt;0,"Yes","NO ORDER"),"")</f>
        <v>Yes</v>
      </c>
    </row>
    <row r="3318" spans="1:17" ht="15" customHeight="1" x14ac:dyDescent="0.3">
      <c r="A3318" s="23" t="s">
        <v>16255</v>
      </c>
      <c r="B3318" s="23"/>
      <c r="C3318" s="23" t="s">
        <v>6304</v>
      </c>
      <c r="D3318" s="23" t="str">
        <f t="shared" si="153"/>
        <v>ORD26002905</v>
      </c>
      <c r="E3318" s="38">
        <v>46283</v>
      </c>
      <c r="F3318" s="23" t="s">
        <v>12410</v>
      </c>
      <c r="G3318" s="23" t="s">
        <v>75</v>
      </c>
      <c r="H3318" s="24">
        <v>3499</v>
      </c>
      <c r="I3318" s="24">
        <v>10.5</v>
      </c>
      <c r="J3318" s="24">
        <v>1.89</v>
      </c>
      <c r="K3318" s="24">
        <v>3486.61</v>
      </c>
      <c r="L3318" s="38">
        <v>46285</v>
      </c>
      <c r="M3318" s="23" t="s">
        <v>212</v>
      </c>
      <c r="N3318" s="23" t="str">
        <f>IF(COUNTIF($A$2:A3318,A3318)&gt;1,"DUP","OK")</f>
        <v>OK</v>
      </c>
      <c r="O3318" s="23" t="str">
        <f t="shared" si="154"/>
        <v>ORD26002905</v>
      </c>
      <c r="P3318" s="23" t="str">
        <f t="shared" si="155"/>
        <v>Sep</v>
      </c>
      <c r="Q3318" s="23" t="str">
        <f>IF(F3318="CAPTURE",IF(COUNTIF(orders!$A:$A,O3318)&gt;0,"Yes","NO ORDER"),"")</f>
        <v>Yes</v>
      </c>
    </row>
    <row r="3319" spans="1:17" ht="15" customHeight="1" x14ac:dyDescent="0.3">
      <c r="A3319" s="23" t="s">
        <v>16256</v>
      </c>
      <c r="B3319" s="23"/>
      <c r="C3319" s="23" t="s">
        <v>6325</v>
      </c>
      <c r="D3319" s="23" t="str">
        <f t="shared" si="153"/>
        <v>ORD26002915</v>
      </c>
      <c r="E3319" s="38">
        <v>46283</v>
      </c>
      <c r="F3319" s="23" t="s">
        <v>12410</v>
      </c>
      <c r="G3319" s="23" t="s">
        <v>75</v>
      </c>
      <c r="H3319" s="24">
        <v>5597</v>
      </c>
      <c r="I3319" s="24">
        <v>16.79</v>
      </c>
      <c r="J3319" s="24">
        <v>3.02</v>
      </c>
      <c r="K3319" s="24">
        <v>5577.19</v>
      </c>
      <c r="L3319" s="38">
        <v>46285</v>
      </c>
      <c r="M3319" s="23" t="s">
        <v>212</v>
      </c>
      <c r="N3319" s="23" t="str">
        <f>IF(COUNTIF($A$2:A3319,A3319)&gt;1,"DUP","OK")</f>
        <v>OK</v>
      </c>
      <c r="O3319" s="23" t="str">
        <f t="shared" si="154"/>
        <v>ORD26002915</v>
      </c>
      <c r="P3319" s="23" t="str">
        <f t="shared" si="155"/>
        <v>Sep</v>
      </c>
      <c r="Q3319" s="23" t="str">
        <f>IF(F3319="CAPTURE",IF(COUNTIF(orders!$A:$A,O3319)&gt;0,"Yes","NO ORDER"),"")</f>
        <v>Yes</v>
      </c>
    </row>
    <row r="3320" spans="1:17" ht="15" customHeight="1" x14ac:dyDescent="0.3">
      <c r="A3320" s="23" t="s">
        <v>16257</v>
      </c>
      <c r="B3320" s="23"/>
      <c r="C3320" s="23" t="s">
        <v>16258</v>
      </c>
      <c r="D3320" s="23" t="str">
        <f t="shared" si="153"/>
        <v>ORD26003010</v>
      </c>
      <c r="E3320" s="38">
        <v>46283</v>
      </c>
      <c r="F3320" s="23" t="s">
        <v>12410</v>
      </c>
      <c r="G3320" s="23" t="s">
        <v>75</v>
      </c>
      <c r="H3320" s="24">
        <v>2598</v>
      </c>
      <c r="I3320" s="24">
        <v>7.79</v>
      </c>
      <c r="J3320" s="24">
        <v>1.4</v>
      </c>
      <c r="K3320" s="24">
        <v>2588.81</v>
      </c>
      <c r="L3320" s="38">
        <v>46285</v>
      </c>
      <c r="M3320" s="23" t="s">
        <v>212</v>
      </c>
      <c r="N3320" s="23" t="str">
        <f>IF(COUNTIF($A$2:A3320,A3320)&gt;1,"DUP","OK")</f>
        <v>OK</v>
      </c>
      <c r="O3320" s="23" t="str">
        <f t="shared" si="154"/>
        <v>ORD26003010</v>
      </c>
      <c r="P3320" s="23" t="str">
        <f t="shared" si="155"/>
        <v>Sep</v>
      </c>
      <c r="Q3320" s="23" t="str">
        <f>IF(F3320="CAPTURE",IF(COUNTIF(orders!$A:$A,O3320)&gt;0,"Yes","NO ORDER"),"")</f>
        <v>Yes</v>
      </c>
    </row>
    <row r="3321" spans="1:17" ht="15" customHeight="1" x14ac:dyDescent="0.3">
      <c r="A3321" s="23" t="s">
        <v>16259</v>
      </c>
      <c r="B3321" s="23"/>
      <c r="C3321" s="23" t="s">
        <v>6538</v>
      </c>
      <c r="D3321" s="23" t="str">
        <f t="shared" si="153"/>
        <v>ORD26003022</v>
      </c>
      <c r="E3321" s="38">
        <v>46283</v>
      </c>
      <c r="F3321" s="23" t="s">
        <v>12410</v>
      </c>
      <c r="G3321" s="23" t="s">
        <v>75</v>
      </c>
      <c r="H3321" s="24">
        <v>3499</v>
      </c>
      <c r="I3321" s="24">
        <v>10.5</v>
      </c>
      <c r="J3321" s="24">
        <v>1.89</v>
      </c>
      <c r="K3321" s="24">
        <v>3486.61</v>
      </c>
      <c r="L3321" s="38">
        <v>46285</v>
      </c>
      <c r="M3321" s="23" t="s">
        <v>212</v>
      </c>
      <c r="N3321" s="23" t="str">
        <f>IF(COUNTIF($A$2:A3321,A3321)&gt;1,"DUP","OK")</f>
        <v>OK</v>
      </c>
      <c r="O3321" s="23" t="str">
        <f t="shared" si="154"/>
        <v>ORD26003022</v>
      </c>
      <c r="P3321" s="23" t="str">
        <f t="shared" si="155"/>
        <v>Sep</v>
      </c>
      <c r="Q3321" s="23" t="str">
        <f>IF(F3321="CAPTURE",IF(COUNTIF(orders!$A:$A,O3321)&gt;0,"Yes","NO ORDER"),"")</f>
        <v>Yes</v>
      </c>
    </row>
    <row r="3322" spans="1:17" ht="15" customHeight="1" x14ac:dyDescent="0.3">
      <c r="A3322" s="23" t="s">
        <v>16260</v>
      </c>
      <c r="B3322" s="23"/>
      <c r="C3322" s="23" t="s">
        <v>6811</v>
      </c>
      <c r="D3322" s="23" t="str">
        <f t="shared" si="153"/>
        <v>ORD26003157</v>
      </c>
      <c r="E3322" s="38">
        <v>46283</v>
      </c>
      <c r="F3322" s="23" t="s">
        <v>12410</v>
      </c>
      <c r="G3322" s="23" t="s">
        <v>75</v>
      </c>
      <c r="H3322" s="24">
        <v>599</v>
      </c>
      <c r="I3322" s="24">
        <v>0</v>
      </c>
      <c r="J3322" s="24">
        <v>0</v>
      </c>
      <c r="K3322" s="24">
        <v>599</v>
      </c>
      <c r="L3322" s="38">
        <v>46285</v>
      </c>
      <c r="M3322" s="23" t="s">
        <v>212</v>
      </c>
      <c r="N3322" s="23" t="str">
        <f>IF(COUNTIF($A$2:A3322,A3322)&gt;1,"DUP","OK")</f>
        <v>OK</v>
      </c>
      <c r="O3322" s="23" t="str">
        <f t="shared" si="154"/>
        <v>ORD26003157</v>
      </c>
      <c r="P3322" s="23" t="str">
        <f t="shared" si="155"/>
        <v>Sep</v>
      </c>
      <c r="Q3322" s="23" t="str">
        <f>IF(F3322="CAPTURE",IF(COUNTIF(orders!$A:$A,O3322)&gt;0,"Yes","NO ORDER"),"")</f>
        <v>Yes</v>
      </c>
    </row>
    <row r="3323" spans="1:17" ht="15" customHeight="1" x14ac:dyDescent="0.3">
      <c r="A3323" s="23" t="s">
        <v>16261</v>
      </c>
      <c r="B3323" s="23"/>
      <c r="C3323" s="23" t="s">
        <v>6821</v>
      </c>
      <c r="D3323" s="23" t="str">
        <f t="shared" si="153"/>
        <v>ORD26003162</v>
      </c>
      <c r="E3323" s="38">
        <v>46283</v>
      </c>
      <c r="F3323" s="23" t="s">
        <v>12410</v>
      </c>
      <c r="G3323" s="23" t="s">
        <v>79</v>
      </c>
      <c r="H3323" s="24">
        <v>11497</v>
      </c>
      <c r="I3323" s="24">
        <v>183.95</v>
      </c>
      <c r="J3323" s="24">
        <v>33.11</v>
      </c>
      <c r="K3323" s="24">
        <v>11279.94</v>
      </c>
      <c r="L3323" s="38">
        <v>46285</v>
      </c>
      <c r="M3323" s="23" t="s">
        <v>212</v>
      </c>
      <c r="N3323" s="23" t="str">
        <f>IF(COUNTIF($A$2:A3323,A3323)&gt;1,"DUP","OK")</f>
        <v>OK</v>
      </c>
      <c r="O3323" s="23" t="str">
        <f t="shared" si="154"/>
        <v>ORD26003162</v>
      </c>
      <c r="P3323" s="23" t="str">
        <f t="shared" si="155"/>
        <v>Sep</v>
      </c>
      <c r="Q3323" s="23" t="str">
        <f>IF(F3323="CAPTURE",IF(COUNTIF(orders!$A:$A,O3323)&gt;0,"Yes","NO ORDER"),"")</f>
        <v>Yes</v>
      </c>
    </row>
    <row r="3324" spans="1:17" ht="15" customHeight="1" x14ac:dyDescent="0.3">
      <c r="A3324" s="23" t="s">
        <v>16262</v>
      </c>
      <c r="B3324" s="23"/>
      <c r="C3324" s="23" t="s">
        <v>6849</v>
      </c>
      <c r="D3324" s="23" t="str">
        <f t="shared" si="153"/>
        <v>ORD26003176</v>
      </c>
      <c r="E3324" s="38">
        <v>46283</v>
      </c>
      <c r="F3324" s="23" t="s">
        <v>12410</v>
      </c>
      <c r="G3324" s="23" t="s">
        <v>75</v>
      </c>
      <c r="H3324" s="24">
        <v>7999</v>
      </c>
      <c r="I3324" s="24">
        <v>24</v>
      </c>
      <c r="J3324" s="24">
        <v>4.32</v>
      </c>
      <c r="K3324" s="24">
        <v>7970.68</v>
      </c>
      <c r="L3324" s="38">
        <v>46285</v>
      </c>
      <c r="M3324" s="23" t="s">
        <v>212</v>
      </c>
      <c r="N3324" s="23" t="str">
        <f>IF(COUNTIF($A$2:A3324,A3324)&gt;1,"DUP","OK")</f>
        <v>OK</v>
      </c>
      <c r="O3324" s="23" t="str">
        <f t="shared" si="154"/>
        <v>ORD26003176</v>
      </c>
      <c r="P3324" s="23" t="str">
        <f t="shared" si="155"/>
        <v>Sep</v>
      </c>
      <c r="Q3324" s="23" t="str">
        <f>IF(F3324="CAPTURE",IF(COUNTIF(orders!$A:$A,O3324)&gt;0,"Yes","NO ORDER"),"")</f>
        <v>Yes</v>
      </c>
    </row>
    <row r="3325" spans="1:17" ht="15" customHeight="1" x14ac:dyDescent="0.3">
      <c r="A3325" s="23" t="s">
        <v>16263</v>
      </c>
      <c r="B3325" s="23"/>
      <c r="C3325" s="23" t="s">
        <v>7062</v>
      </c>
      <c r="D3325" s="23" t="str">
        <f t="shared" si="153"/>
        <v>ORD26003282</v>
      </c>
      <c r="E3325" s="38">
        <v>46283</v>
      </c>
      <c r="F3325" s="23" t="s">
        <v>12410</v>
      </c>
      <c r="G3325" s="23" t="s">
        <v>75</v>
      </c>
      <c r="H3325" s="24">
        <v>2999</v>
      </c>
      <c r="I3325" s="24">
        <v>9</v>
      </c>
      <c r="J3325" s="24">
        <v>1.62</v>
      </c>
      <c r="K3325" s="24">
        <v>2988.38</v>
      </c>
      <c r="L3325" s="38">
        <v>46285</v>
      </c>
      <c r="M3325" s="23" t="s">
        <v>212</v>
      </c>
      <c r="N3325" s="23" t="str">
        <f>IF(COUNTIF($A$2:A3325,A3325)&gt;1,"DUP","OK")</f>
        <v>OK</v>
      </c>
      <c r="O3325" s="23" t="str">
        <f t="shared" si="154"/>
        <v>ORD26003282</v>
      </c>
      <c r="P3325" s="23" t="str">
        <f t="shared" si="155"/>
        <v>Sep</v>
      </c>
      <c r="Q3325" s="23" t="str">
        <f>IF(F3325="CAPTURE",IF(COUNTIF(orders!$A:$A,O3325)&gt;0,"Yes","NO ORDER"),"")</f>
        <v>Yes</v>
      </c>
    </row>
    <row r="3326" spans="1:17" ht="15" customHeight="1" x14ac:dyDescent="0.3">
      <c r="A3326" s="23" t="s">
        <v>16264</v>
      </c>
      <c r="B3326" s="23"/>
      <c r="C3326" s="23" t="s">
        <v>7076</v>
      </c>
      <c r="D3326" s="23" t="str">
        <f t="shared" si="153"/>
        <v>ORD26003289</v>
      </c>
      <c r="E3326" s="38">
        <v>46283</v>
      </c>
      <c r="F3326" s="23" t="s">
        <v>12410</v>
      </c>
      <c r="G3326" s="23" t="s">
        <v>79</v>
      </c>
      <c r="H3326" s="24">
        <v>499</v>
      </c>
      <c r="I3326" s="24">
        <v>8.98</v>
      </c>
      <c r="J3326" s="24">
        <v>1.62</v>
      </c>
      <c r="K3326" s="24">
        <v>488.4</v>
      </c>
      <c r="L3326" s="38">
        <v>46285</v>
      </c>
      <c r="M3326" s="23" t="s">
        <v>212</v>
      </c>
      <c r="N3326" s="23" t="str">
        <f>IF(COUNTIF($A$2:A3326,A3326)&gt;1,"DUP","OK")</f>
        <v>OK</v>
      </c>
      <c r="O3326" s="23" t="str">
        <f t="shared" si="154"/>
        <v>ORD26003289</v>
      </c>
      <c r="P3326" s="23" t="str">
        <f t="shared" si="155"/>
        <v>Sep</v>
      </c>
      <c r="Q3326" s="23" t="str">
        <f>IF(F3326="CAPTURE",IF(COUNTIF(orders!$A:$A,O3326)&gt;0,"Yes","NO ORDER"),"")</f>
        <v>Yes</v>
      </c>
    </row>
    <row r="3327" spans="1:17" ht="15" customHeight="1" x14ac:dyDescent="0.3">
      <c r="A3327" s="23" t="s">
        <v>16265</v>
      </c>
      <c r="B3327" s="23"/>
      <c r="C3327" s="23" t="s">
        <v>7098</v>
      </c>
      <c r="D3327" s="23" t="str">
        <f t="shared" si="153"/>
        <v>ORD26003300</v>
      </c>
      <c r="E3327" s="38">
        <v>46283</v>
      </c>
      <c r="F3327" s="23" t="s">
        <v>12410</v>
      </c>
      <c r="G3327" s="23" t="s">
        <v>79</v>
      </c>
      <c r="H3327" s="24">
        <v>898</v>
      </c>
      <c r="I3327" s="24">
        <v>16.16</v>
      </c>
      <c r="J3327" s="24">
        <v>2.91</v>
      </c>
      <c r="K3327" s="24">
        <v>878.93</v>
      </c>
      <c r="L3327" s="38">
        <v>46285</v>
      </c>
      <c r="M3327" s="23" t="s">
        <v>212</v>
      </c>
      <c r="N3327" s="23" t="str">
        <f>IF(COUNTIF($A$2:A3327,A3327)&gt;1,"DUP","OK")</f>
        <v>OK</v>
      </c>
      <c r="O3327" s="23" t="str">
        <f t="shared" si="154"/>
        <v>ORD26003300</v>
      </c>
      <c r="P3327" s="23" t="str">
        <f t="shared" si="155"/>
        <v>Sep</v>
      </c>
      <c r="Q3327" s="23" t="str">
        <f>IF(F3327="CAPTURE",IF(COUNTIF(orders!$A:$A,O3327)&gt;0,"Yes","NO ORDER"),"")</f>
        <v>Yes</v>
      </c>
    </row>
    <row r="3328" spans="1:17" ht="15" customHeight="1" x14ac:dyDescent="0.3">
      <c r="A3328" s="23" t="s">
        <v>16266</v>
      </c>
      <c r="B3328" s="23"/>
      <c r="C3328" s="23" t="s">
        <v>16267</v>
      </c>
      <c r="D3328" s="23" t="str">
        <f t="shared" si="153"/>
        <v>ORD26003309</v>
      </c>
      <c r="E3328" s="38">
        <v>46283</v>
      </c>
      <c r="F3328" s="23" t="s">
        <v>12410</v>
      </c>
      <c r="G3328" s="23" t="s">
        <v>79</v>
      </c>
      <c r="H3328" s="24">
        <v>2798</v>
      </c>
      <c r="I3328" s="24">
        <v>44.77</v>
      </c>
      <c r="J3328" s="24">
        <v>8.06</v>
      </c>
      <c r="K3328" s="24">
        <v>2745.17</v>
      </c>
      <c r="L3328" s="38">
        <v>46285</v>
      </c>
      <c r="M3328" s="23" t="s">
        <v>212</v>
      </c>
      <c r="N3328" s="23" t="str">
        <f>IF(COUNTIF($A$2:A3328,A3328)&gt;1,"DUP","OK")</f>
        <v>OK</v>
      </c>
      <c r="O3328" s="23" t="str">
        <f t="shared" si="154"/>
        <v>ORD26003309</v>
      </c>
      <c r="P3328" s="23" t="str">
        <f t="shared" si="155"/>
        <v>Sep</v>
      </c>
      <c r="Q3328" s="23" t="str">
        <f>IF(F3328="CAPTURE",IF(COUNTIF(orders!$A:$A,O3328)&gt;0,"Yes","NO ORDER"),"")</f>
        <v>Yes</v>
      </c>
    </row>
    <row r="3329" spans="1:17" ht="15" customHeight="1" x14ac:dyDescent="0.3">
      <c r="A3329" s="23" t="s">
        <v>16268</v>
      </c>
      <c r="B3329" s="23"/>
      <c r="C3329" s="23" t="s">
        <v>7287</v>
      </c>
      <c r="D3329" s="23" t="str">
        <f t="shared" si="153"/>
        <v>ORD26003394</v>
      </c>
      <c r="E3329" s="38">
        <v>46283</v>
      </c>
      <c r="F3329" s="23" t="s">
        <v>12410</v>
      </c>
      <c r="G3329" s="23" t="s">
        <v>75</v>
      </c>
      <c r="H3329" s="24">
        <v>6798</v>
      </c>
      <c r="I3329" s="24">
        <v>20.39</v>
      </c>
      <c r="J3329" s="24">
        <v>3.67</v>
      </c>
      <c r="K3329" s="24">
        <v>6773.94</v>
      </c>
      <c r="L3329" s="38">
        <v>46285</v>
      </c>
      <c r="M3329" s="23" t="s">
        <v>212</v>
      </c>
      <c r="N3329" s="23" t="str">
        <f>IF(COUNTIF($A$2:A3329,A3329)&gt;1,"DUP","OK")</f>
        <v>OK</v>
      </c>
      <c r="O3329" s="23" t="str">
        <f t="shared" si="154"/>
        <v>ORD26003394</v>
      </c>
      <c r="P3329" s="23" t="str">
        <f t="shared" si="155"/>
        <v>Sep</v>
      </c>
      <c r="Q3329" s="23" t="str">
        <f>IF(F3329="CAPTURE",IF(COUNTIF(orders!$A:$A,O3329)&gt;0,"Yes","NO ORDER"),"")</f>
        <v>Yes</v>
      </c>
    </row>
    <row r="3330" spans="1:17" ht="15" customHeight="1" x14ac:dyDescent="0.3">
      <c r="A3330" s="23" t="s">
        <v>16269</v>
      </c>
      <c r="B3330" s="23"/>
      <c r="C3330" s="23" t="s">
        <v>7329</v>
      </c>
      <c r="D3330" s="23" t="str">
        <f t="shared" ref="D3330:D3393" si="156">UPPER(SUBSTITUTE(TRIM(C3330),"-",""))</f>
        <v>ORD26003415</v>
      </c>
      <c r="E3330" s="38">
        <v>46283</v>
      </c>
      <c r="F3330" s="23" t="s">
        <v>12410</v>
      </c>
      <c r="G3330" s="23" t="s">
        <v>75</v>
      </c>
      <c r="H3330" s="24">
        <v>5297</v>
      </c>
      <c r="I3330" s="24">
        <v>15.89</v>
      </c>
      <c r="J3330" s="24">
        <v>2.86</v>
      </c>
      <c r="K3330" s="24">
        <v>5278.25</v>
      </c>
      <c r="L3330" s="38">
        <v>46285</v>
      </c>
      <c r="M3330" s="23" t="s">
        <v>212</v>
      </c>
      <c r="N3330" s="23" t="str">
        <f>IF(COUNTIF($A$2:A3330,A3330)&gt;1,"DUP","OK")</f>
        <v>OK</v>
      </c>
      <c r="O3330" s="23" t="str">
        <f t="shared" ref="O3330:O3393" si="157">IF(F3330="REFUND",INDEX($D:$D,MATCH(B3330,$A:$A,0)),D3330)</f>
        <v>ORD26003415</v>
      </c>
      <c r="P3330" s="23" t="str">
        <f t="shared" ref="P3330:P3393" si="158">IF(L3330&gt;DATE(2026,9,30),"Oct-Due","Sep")</f>
        <v>Sep</v>
      </c>
      <c r="Q3330" s="23" t="str">
        <f>IF(F3330="CAPTURE",IF(COUNTIF(orders!$A:$A,O3330)&gt;0,"Yes","NO ORDER"),"")</f>
        <v>Yes</v>
      </c>
    </row>
    <row r="3331" spans="1:17" ht="15" customHeight="1" x14ac:dyDescent="0.3">
      <c r="A3331" s="23" t="s">
        <v>16270</v>
      </c>
      <c r="B3331" s="23"/>
      <c r="C3331" s="23" t="s">
        <v>7498</v>
      </c>
      <c r="D3331" s="23" t="str">
        <f t="shared" si="156"/>
        <v>ORD26003500</v>
      </c>
      <c r="E3331" s="38">
        <v>46283</v>
      </c>
      <c r="F3331" s="23" t="s">
        <v>12410</v>
      </c>
      <c r="G3331" s="23" t="s">
        <v>75</v>
      </c>
      <c r="H3331" s="24">
        <v>7097</v>
      </c>
      <c r="I3331" s="24">
        <v>21.29</v>
      </c>
      <c r="J3331" s="24">
        <v>3.83</v>
      </c>
      <c r="K3331" s="24">
        <v>7071.88</v>
      </c>
      <c r="L3331" s="38">
        <v>46285</v>
      </c>
      <c r="M3331" s="23" t="s">
        <v>212</v>
      </c>
      <c r="N3331" s="23" t="str">
        <f>IF(COUNTIF($A$2:A3331,A3331)&gt;1,"DUP","OK")</f>
        <v>OK</v>
      </c>
      <c r="O3331" s="23" t="str">
        <f t="shared" si="157"/>
        <v>ORD26003500</v>
      </c>
      <c r="P3331" s="23" t="str">
        <f t="shared" si="158"/>
        <v>Sep</v>
      </c>
      <c r="Q3331" s="23" t="str">
        <f>IF(F3331="CAPTURE",IF(COUNTIF(orders!$A:$A,O3331)&gt;0,"Yes","NO ORDER"),"")</f>
        <v>Yes</v>
      </c>
    </row>
    <row r="3332" spans="1:17" ht="15" customHeight="1" x14ac:dyDescent="0.3">
      <c r="A3332" s="23" t="s">
        <v>16271</v>
      </c>
      <c r="B3332" s="23"/>
      <c r="C3332" s="23" t="s">
        <v>16272</v>
      </c>
      <c r="D3332" s="23" t="str">
        <f t="shared" si="156"/>
        <v>ORD26003605</v>
      </c>
      <c r="E3332" s="38">
        <v>46283</v>
      </c>
      <c r="F3332" s="23" t="s">
        <v>12410</v>
      </c>
      <c r="G3332" s="23" t="s">
        <v>79</v>
      </c>
      <c r="H3332" s="24">
        <v>3298</v>
      </c>
      <c r="I3332" s="24">
        <v>52.77</v>
      </c>
      <c r="J3332" s="24">
        <v>9.5</v>
      </c>
      <c r="K3332" s="24">
        <v>3235.73</v>
      </c>
      <c r="L3332" s="38">
        <v>46285</v>
      </c>
      <c r="M3332" s="23" t="s">
        <v>212</v>
      </c>
      <c r="N3332" s="23" t="str">
        <f>IF(COUNTIF($A$2:A3332,A3332)&gt;1,"DUP","OK")</f>
        <v>OK</v>
      </c>
      <c r="O3332" s="23" t="str">
        <f t="shared" si="157"/>
        <v>ORD26003605</v>
      </c>
      <c r="P3332" s="23" t="str">
        <f t="shared" si="158"/>
        <v>Sep</v>
      </c>
      <c r="Q3332" s="23" t="str">
        <f>IF(F3332="CAPTURE",IF(COUNTIF(orders!$A:$A,O3332)&gt;0,"Yes","NO ORDER"),"")</f>
        <v>Yes</v>
      </c>
    </row>
    <row r="3333" spans="1:17" ht="15" customHeight="1" x14ac:dyDescent="0.3">
      <c r="A3333" s="23" t="s">
        <v>16273</v>
      </c>
      <c r="B3333" s="23"/>
      <c r="C3333" s="23" t="s">
        <v>7727</v>
      </c>
      <c r="D3333" s="23" t="str">
        <f t="shared" si="156"/>
        <v>ORD26003617</v>
      </c>
      <c r="E3333" s="38">
        <v>46283</v>
      </c>
      <c r="F3333" s="23" t="s">
        <v>12410</v>
      </c>
      <c r="G3333" s="23" t="s">
        <v>77</v>
      </c>
      <c r="H3333" s="24">
        <v>999</v>
      </c>
      <c r="I3333" s="24">
        <v>18.98</v>
      </c>
      <c r="J3333" s="24">
        <v>3.42</v>
      </c>
      <c r="K3333" s="24">
        <v>976.6</v>
      </c>
      <c r="L3333" s="38">
        <v>46285</v>
      </c>
      <c r="M3333" s="23" t="s">
        <v>212</v>
      </c>
      <c r="N3333" s="23" t="str">
        <f>IF(COUNTIF($A$2:A3333,A3333)&gt;1,"DUP","OK")</f>
        <v>OK</v>
      </c>
      <c r="O3333" s="23" t="str">
        <f t="shared" si="157"/>
        <v>ORD26003617</v>
      </c>
      <c r="P3333" s="23" t="str">
        <f t="shared" si="158"/>
        <v>Sep</v>
      </c>
      <c r="Q3333" s="23" t="str">
        <f>IF(F3333="CAPTURE",IF(COUNTIF(orders!$A:$A,O3333)&gt;0,"Yes","NO ORDER"),"")</f>
        <v>Yes</v>
      </c>
    </row>
    <row r="3334" spans="1:17" ht="15" customHeight="1" x14ac:dyDescent="0.3">
      <c r="A3334" s="23" t="s">
        <v>16274</v>
      </c>
      <c r="B3334" s="23"/>
      <c r="C3334" s="23" t="s">
        <v>8102</v>
      </c>
      <c r="D3334" s="23" t="str">
        <f t="shared" si="156"/>
        <v>ORD26003807</v>
      </c>
      <c r="E3334" s="38">
        <v>46283</v>
      </c>
      <c r="F3334" s="23" t="s">
        <v>12410</v>
      </c>
      <c r="G3334" s="23" t="s">
        <v>75</v>
      </c>
      <c r="H3334" s="24">
        <v>499</v>
      </c>
      <c r="I3334" s="24">
        <v>0</v>
      </c>
      <c r="J3334" s="24">
        <v>0</v>
      </c>
      <c r="K3334" s="24">
        <v>499</v>
      </c>
      <c r="L3334" s="38">
        <v>46285</v>
      </c>
      <c r="M3334" s="23" t="s">
        <v>212</v>
      </c>
      <c r="N3334" s="23" t="str">
        <f>IF(COUNTIF($A$2:A3334,A3334)&gt;1,"DUP","OK")</f>
        <v>OK</v>
      </c>
      <c r="O3334" s="23" t="str">
        <f t="shared" si="157"/>
        <v>ORD26003807</v>
      </c>
      <c r="P3334" s="23" t="str">
        <f t="shared" si="158"/>
        <v>Sep</v>
      </c>
      <c r="Q3334" s="23" t="str">
        <f>IF(F3334="CAPTURE",IF(COUNTIF(orders!$A:$A,O3334)&gt;0,"Yes","NO ORDER"),"")</f>
        <v>Yes</v>
      </c>
    </row>
    <row r="3335" spans="1:17" ht="15" customHeight="1" x14ac:dyDescent="0.3">
      <c r="A3335" s="23" t="s">
        <v>16275</v>
      </c>
      <c r="B3335" s="23"/>
      <c r="C3335" s="23" t="s">
        <v>8106</v>
      </c>
      <c r="D3335" s="23" t="str">
        <f t="shared" si="156"/>
        <v>ORD26003809</v>
      </c>
      <c r="E3335" s="38">
        <v>46283</v>
      </c>
      <c r="F3335" s="23" t="s">
        <v>12410</v>
      </c>
      <c r="G3335" s="23" t="s">
        <v>77</v>
      </c>
      <c r="H3335" s="24">
        <v>1299</v>
      </c>
      <c r="I3335" s="24">
        <v>24.68</v>
      </c>
      <c r="J3335" s="24">
        <v>4.4400000000000004</v>
      </c>
      <c r="K3335" s="24">
        <v>1269.8800000000001</v>
      </c>
      <c r="L3335" s="38">
        <v>46285</v>
      </c>
      <c r="M3335" s="23" t="s">
        <v>212</v>
      </c>
      <c r="N3335" s="23" t="str">
        <f>IF(COUNTIF($A$2:A3335,A3335)&gt;1,"DUP","OK")</f>
        <v>OK</v>
      </c>
      <c r="O3335" s="23" t="str">
        <f t="shared" si="157"/>
        <v>ORD26003809</v>
      </c>
      <c r="P3335" s="23" t="str">
        <f t="shared" si="158"/>
        <v>Sep</v>
      </c>
      <c r="Q3335" s="23" t="str">
        <f>IF(F3335="CAPTURE",IF(COUNTIF(orders!$A:$A,O3335)&gt;0,"Yes","NO ORDER"),"")</f>
        <v>Yes</v>
      </c>
    </row>
    <row r="3336" spans="1:17" ht="15" customHeight="1" x14ac:dyDescent="0.3">
      <c r="A3336" s="23" t="s">
        <v>16276</v>
      </c>
      <c r="B3336" s="23"/>
      <c r="C3336" s="23" t="s">
        <v>8140</v>
      </c>
      <c r="D3336" s="23" t="str">
        <f t="shared" si="156"/>
        <v>ORD26003826</v>
      </c>
      <c r="E3336" s="38">
        <v>46283</v>
      </c>
      <c r="F3336" s="23" t="s">
        <v>12410</v>
      </c>
      <c r="G3336" s="23" t="s">
        <v>79</v>
      </c>
      <c r="H3336" s="24">
        <v>2097</v>
      </c>
      <c r="I3336" s="24">
        <v>33.549999999999997</v>
      </c>
      <c r="J3336" s="24">
        <v>6.04</v>
      </c>
      <c r="K3336" s="24">
        <v>2057.41</v>
      </c>
      <c r="L3336" s="38">
        <v>46285</v>
      </c>
      <c r="M3336" s="23" t="s">
        <v>212</v>
      </c>
      <c r="N3336" s="23" t="str">
        <f>IF(COUNTIF($A$2:A3336,A3336)&gt;1,"DUP","OK")</f>
        <v>OK</v>
      </c>
      <c r="O3336" s="23" t="str">
        <f t="shared" si="157"/>
        <v>ORD26003826</v>
      </c>
      <c r="P3336" s="23" t="str">
        <f t="shared" si="158"/>
        <v>Sep</v>
      </c>
      <c r="Q3336" s="23" t="str">
        <f>IF(F3336="CAPTURE",IF(COUNTIF(orders!$A:$A,O3336)&gt;0,"Yes","NO ORDER"),"")</f>
        <v>Yes</v>
      </c>
    </row>
    <row r="3337" spans="1:17" ht="15" customHeight="1" x14ac:dyDescent="0.3">
      <c r="A3337" s="23" t="s">
        <v>16277</v>
      </c>
      <c r="B3337" s="23"/>
      <c r="C3337" s="23" t="s">
        <v>8154</v>
      </c>
      <c r="D3337" s="23" t="str">
        <f t="shared" si="156"/>
        <v>ORD26003833</v>
      </c>
      <c r="E3337" s="38">
        <v>46283</v>
      </c>
      <c r="F3337" s="23" t="s">
        <v>12410</v>
      </c>
      <c r="G3337" s="23" t="s">
        <v>79</v>
      </c>
      <c r="H3337" s="24">
        <v>2499</v>
      </c>
      <c r="I3337" s="24">
        <v>39.979999999999997</v>
      </c>
      <c r="J3337" s="24">
        <v>7.2</v>
      </c>
      <c r="K3337" s="24">
        <v>2451.8200000000002</v>
      </c>
      <c r="L3337" s="38">
        <v>46285</v>
      </c>
      <c r="M3337" s="23" t="s">
        <v>212</v>
      </c>
      <c r="N3337" s="23" t="str">
        <f>IF(COUNTIF($A$2:A3337,A3337)&gt;1,"DUP","OK")</f>
        <v>OK</v>
      </c>
      <c r="O3337" s="23" t="str">
        <f t="shared" si="157"/>
        <v>ORD26003833</v>
      </c>
      <c r="P3337" s="23" t="str">
        <f t="shared" si="158"/>
        <v>Sep</v>
      </c>
      <c r="Q3337" s="23" t="str">
        <f>IF(F3337="CAPTURE",IF(COUNTIF(orders!$A:$A,O3337)&gt;0,"Yes","NO ORDER"),"")</f>
        <v>Yes</v>
      </c>
    </row>
    <row r="3338" spans="1:17" ht="15" customHeight="1" x14ac:dyDescent="0.3">
      <c r="A3338" s="23" t="s">
        <v>16278</v>
      </c>
      <c r="B3338" s="23"/>
      <c r="C3338" s="23" t="s">
        <v>8337</v>
      </c>
      <c r="D3338" s="23" t="str">
        <f t="shared" si="156"/>
        <v>ORD26003925</v>
      </c>
      <c r="E3338" s="38">
        <v>46283</v>
      </c>
      <c r="F3338" s="23" t="s">
        <v>12410</v>
      </c>
      <c r="G3338" s="23" t="s">
        <v>81</v>
      </c>
      <c r="H3338" s="24">
        <v>3498</v>
      </c>
      <c r="I3338" s="24">
        <v>41.98</v>
      </c>
      <c r="J3338" s="24">
        <v>7.56</v>
      </c>
      <c r="K3338" s="24">
        <v>3448.46</v>
      </c>
      <c r="L3338" s="38">
        <v>46285</v>
      </c>
      <c r="M3338" s="23" t="s">
        <v>212</v>
      </c>
      <c r="N3338" s="23" t="str">
        <f>IF(COUNTIF($A$2:A3338,A3338)&gt;1,"DUP","OK")</f>
        <v>OK</v>
      </c>
      <c r="O3338" s="23" t="str">
        <f t="shared" si="157"/>
        <v>ORD26003925</v>
      </c>
      <c r="P3338" s="23" t="str">
        <f t="shared" si="158"/>
        <v>Sep</v>
      </c>
      <c r="Q3338" s="23" t="str">
        <f>IF(F3338="CAPTURE",IF(COUNTIF(orders!$A:$A,O3338)&gt;0,"Yes","NO ORDER"),"")</f>
        <v>Yes</v>
      </c>
    </row>
    <row r="3339" spans="1:17" ht="15" customHeight="1" x14ac:dyDescent="0.3">
      <c r="A3339" s="23" t="s">
        <v>16279</v>
      </c>
      <c r="B3339" s="23"/>
      <c r="C3339" s="23" t="s">
        <v>8365</v>
      </c>
      <c r="D3339" s="23" t="str">
        <f t="shared" si="156"/>
        <v>ORD26003939</v>
      </c>
      <c r="E3339" s="38">
        <v>46283</v>
      </c>
      <c r="F3339" s="23" t="s">
        <v>12410</v>
      </c>
      <c r="G3339" s="23" t="s">
        <v>75</v>
      </c>
      <c r="H3339" s="24">
        <v>599</v>
      </c>
      <c r="I3339" s="24">
        <v>0</v>
      </c>
      <c r="J3339" s="24">
        <v>0</v>
      </c>
      <c r="K3339" s="24">
        <v>599</v>
      </c>
      <c r="L3339" s="38">
        <v>46285</v>
      </c>
      <c r="M3339" s="23" t="s">
        <v>212</v>
      </c>
      <c r="N3339" s="23" t="str">
        <f>IF(COUNTIF($A$2:A3339,A3339)&gt;1,"DUP","OK")</f>
        <v>OK</v>
      </c>
      <c r="O3339" s="23" t="str">
        <f t="shared" si="157"/>
        <v>ORD26003939</v>
      </c>
      <c r="P3339" s="23" t="str">
        <f t="shared" si="158"/>
        <v>Sep</v>
      </c>
      <c r="Q3339" s="23" t="str">
        <f>IF(F3339="CAPTURE",IF(COUNTIF(orders!$A:$A,O3339)&gt;0,"Yes","NO ORDER"),"")</f>
        <v>Yes</v>
      </c>
    </row>
    <row r="3340" spans="1:17" ht="15" customHeight="1" x14ac:dyDescent="0.3">
      <c r="A3340" s="23" t="s">
        <v>16280</v>
      </c>
      <c r="B3340" s="23"/>
      <c r="C3340" s="23" t="s">
        <v>8457</v>
      </c>
      <c r="D3340" s="23" t="str">
        <f t="shared" si="156"/>
        <v>ORD26003985</v>
      </c>
      <c r="E3340" s="38">
        <v>46283</v>
      </c>
      <c r="F3340" s="23" t="s">
        <v>12410</v>
      </c>
      <c r="G3340" s="23" t="s">
        <v>75</v>
      </c>
      <c r="H3340" s="24">
        <v>3597</v>
      </c>
      <c r="I3340" s="24">
        <v>10.79</v>
      </c>
      <c r="J3340" s="24">
        <v>1.94</v>
      </c>
      <c r="K3340" s="24">
        <v>3584.27</v>
      </c>
      <c r="L3340" s="38">
        <v>46285</v>
      </c>
      <c r="M3340" s="23" t="s">
        <v>212</v>
      </c>
      <c r="N3340" s="23" t="str">
        <f>IF(COUNTIF($A$2:A3340,A3340)&gt;1,"DUP","OK")</f>
        <v>OK</v>
      </c>
      <c r="O3340" s="23" t="str">
        <f t="shared" si="157"/>
        <v>ORD26003985</v>
      </c>
      <c r="P3340" s="23" t="str">
        <f t="shared" si="158"/>
        <v>Sep</v>
      </c>
      <c r="Q3340" s="23" t="str">
        <f>IF(F3340="CAPTURE",IF(COUNTIF(orders!$A:$A,O3340)&gt;0,"Yes","NO ORDER"),"")</f>
        <v>Yes</v>
      </c>
    </row>
    <row r="3341" spans="1:17" ht="15" customHeight="1" x14ac:dyDescent="0.3">
      <c r="A3341" s="23" t="s">
        <v>16281</v>
      </c>
      <c r="B3341" s="23"/>
      <c r="C3341" s="23" t="s">
        <v>8507</v>
      </c>
      <c r="D3341" s="23" t="str">
        <f t="shared" si="156"/>
        <v>ORD26004011</v>
      </c>
      <c r="E3341" s="38">
        <v>46283</v>
      </c>
      <c r="F3341" s="23" t="s">
        <v>12410</v>
      </c>
      <c r="G3341" s="23" t="s">
        <v>77</v>
      </c>
      <c r="H3341" s="24">
        <v>3298</v>
      </c>
      <c r="I3341" s="24">
        <v>56.07</v>
      </c>
      <c r="J3341" s="24">
        <v>10.09</v>
      </c>
      <c r="K3341" s="24">
        <v>3231.84</v>
      </c>
      <c r="L3341" s="38">
        <v>46285</v>
      </c>
      <c r="M3341" s="23" t="s">
        <v>212</v>
      </c>
      <c r="N3341" s="23" t="str">
        <f>IF(COUNTIF($A$2:A3341,A3341)&gt;1,"DUP","OK")</f>
        <v>OK</v>
      </c>
      <c r="O3341" s="23" t="str">
        <f t="shared" si="157"/>
        <v>ORD26004011</v>
      </c>
      <c r="P3341" s="23" t="str">
        <f t="shared" si="158"/>
        <v>Sep</v>
      </c>
      <c r="Q3341" s="23" t="str">
        <f>IF(F3341="CAPTURE",IF(COUNTIF(orders!$A:$A,O3341)&gt;0,"Yes","NO ORDER"),"")</f>
        <v>Yes</v>
      </c>
    </row>
    <row r="3342" spans="1:17" ht="15" customHeight="1" x14ac:dyDescent="0.3">
      <c r="A3342" s="23" t="s">
        <v>16282</v>
      </c>
      <c r="B3342" s="23"/>
      <c r="C3342" s="23" t="s">
        <v>8527</v>
      </c>
      <c r="D3342" s="23" t="str">
        <f t="shared" si="156"/>
        <v>ORD26004021</v>
      </c>
      <c r="E3342" s="38">
        <v>46283</v>
      </c>
      <c r="F3342" s="23" t="s">
        <v>12410</v>
      </c>
      <c r="G3342" s="23" t="s">
        <v>75</v>
      </c>
      <c r="H3342" s="24">
        <v>2499</v>
      </c>
      <c r="I3342" s="24">
        <v>7.5</v>
      </c>
      <c r="J3342" s="24">
        <v>1.35</v>
      </c>
      <c r="K3342" s="24">
        <v>2490.15</v>
      </c>
      <c r="L3342" s="38">
        <v>46285</v>
      </c>
      <c r="M3342" s="23" t="s">
        <v>212</v>
      </c>
      <c r="N3342" s="23" t="str">
        <f>IF(COUNTIF($A$2:A3342,A3342)&gt;1,"DUP","OK")</f>
        <v>OK</v>
      </c>
      <c r="O3342" s="23" t="str">
        <f t="shared" si="157"/>
        <v>ORD26004021</v>
      </c>
      <c r="P3342" s="23" t="str">
        <f t="shared" si="158"/>
        <v>Sep</v>
      </c>
      <c r="Q3342" s="23" t="str">
        <f>IF(F3342="CAPTURE",IF(COUNTIF(orders!$A:$A,O3342)&gt;0,"Yes","NO ORDER"),"")</f>
        <v>Yes</v>
      </c>
    </row>
    <row r="3343" spans="1:17" ht="15" customHeight="1" x14ac:dyDescent="0.3">
      <c r="A3343" s="23" t="s">
        <v>16283</v>
      </c>
      <c r="B3343" s="23"/>
      <c r="C3343" s="23" t="s">
        <v>8595</v>
      </c>
      <c r="D3343" s="23" t="str">
        <f t="shared" si="156"/>
        <v>ORD26004056</v>
      </c>
      <c r="E3343" s="38">
        <v>46283</v>
      </c>
      <c r="F3343" s="23" t="s">
        <v>12410</v>
      </c>
      <c r="G3343" s="23" t="s">
        <v>75</v>
      </c>
      <c r="H3343" s="24">
        <v>299</v>
      </c>
      <c r="I3343" s="24">
        <v>0</v>
      </c>
      <c r="J3343" s="24">
        <v>0</v>
      </c>
      <c r="K3343" s="24">
        <v>299</v>
      </c>
      <c r="L3343" s="38">
        <v>46285</v>
      </c>
      <c r="M3343" s="23" t="s">
        <v>212</v>
      </c>
      <c r="N3343" s="23" t="str">
        <f>IF(COUNTIF($A$2:A3343,A3343)&gt;1,"DUP","OK")</f>
        <v>OK</v>
      </c>
      <c r="O3343" s="23" t="str">
        <f t="shared" si="157"/>
        <v>ORD26004056</v>
      </c>
      <c r="P3343" s="23" t="str">
        <f t="shared" si="158"/>
        <v>Sep</v>
      </c>
      <c r="Q3343" s="23" t="str">
        <f>IF(F3343="CAPTURE",IF(COUNTIF(orders!$A:$A,O3343)&gt;0,"Yes","NO ORDER"),"")</f>
        <v>Yes</v>
      </c>
    </row>
    <row r="3344" spans="1:17" ht="15" customHeight="1" x14ac:dyDescent="0.3">
      <c r="A3344" s="23" t="s">
        <v>16284</v>
      </c>
      <c r="B3344" s="23"/>
      <c r="C3344" s="23" t="s">
        <v>8775</v>
      </c>
      <c r="D3344" s="23" t="str">
        <f t="shared" si="156"/>
        <v>ORD26004148</v>
      </c>
      <c r="E3344" s="38">
        <v>46283</v>
      </c>
      <c r="F3344" s="23" t="s">
        <v>12410</v>
      </c>
      <c r="G3344" s="23" t="s">
        <v>75</v>
      </c>
      <c r="H3344" s="24">
        <v>599</v>
      </c>
      <c r="I3344" s="24">
        <v>0</v>
      </c>
      <c r="J3344" s="24">
        <v>0</v>
      </c>
      <c r="K3344" s="24">
        <v>599</v>
      </c>
      <c r="L3344" s="38">
        <v>46285</v>
      </c>
      <c r="M3344" s="23" t="s">
        <v>212</v>
      </c>
      <c r="N3344" s="23" t="str">
        <f>IF(COUNTIF($A$2:A3344,A3344)&gt;1,"DUP","OK")</f>
        <v>OK</v>
      </c>
      <c r="O3344" s="23" t="str">
        <f t="shared" si="157"/>
        <v>ORD26004148</v>
      </c>
      <c r="P3344" s="23" t="str">
        <f t="shared" si="158"/>
        <v>Sep</v>
      </c>
      <c r="Q3344" s="23" t="str">
        <f>IF(F3344="CAPTURE",IF(COUNTIF(orders!$A:$A,O3344)&gt;0,"Yes","NO ORDER"),"")</f>
        <v>Yes</v>
      </c>
    </row>
    <row r="3345" spans="1:17" ht="15" customHeight="1" x14ac:dyDescent="0.3">
      <c r="A3345" s="23" t="s">
        <v>16285</v>
      </c>
      <c r="B3345" s="23"/>
      <c r="C3345" s="23" t="s">
        <v>8793</v>
      </c>
      <c r="D3345" s="23" t="str">
        <f t="shared" si="156"/>
        <v>ORD26004158</v>
      </c>
      <c r="E3345" s="38">
        <v>46283</v>
      </c>
      <c r="F3345" s="23" t="s">
        <v>12410</v>
      </c>
      <c r="G3345" s="23" t="s">
        <v>77</v>
      </c>
      <c r="H3345" s="24">
        <v>4098</v>
      </c>
      <c r="I3345" s="24">
        <v>69.67</v>
      </c>
      <c r="J3345" s="24">
        <v>12.54</v>
      </c>
      <c r="K3345" s="24">
        <v>4015.79</v>
      </c>
      <c r="L3345" s="38">
        <v>46285</v>
      </c>
      <c r="M3345" s="23" t="s">
        <v>212</v>
      </c>
      <c r="N3345" s="23" t="str">
        <f>IF(COUNTIF($A$2:A3345,A3345)&gt;1,"DUP","OK")</f>
        <v>OK</v>
      </c>
      <c r="O3345" s="23" t="str">
        <f t="shared" si="157"/>
        <v>ORD26004158</v>
      </c>
      <c r="P3345" s="23" t="str">
        <f t="shared" si="158"/>
        <v>Sep</v>
      </c>
      <c r="Q3345" s="23" t="str">
        <f>IF(F3345="CAPTURE",IF(COUNTIF(orders!$A:$A,O3345)&gt;0,"Yes","NO ORDER"),"")</f>
        <v>Yes</v>
      </c>
    </row>
    <row r="3346" spans="1:17" ht="15" customHeight="1" x14ac:dyDescent="0.3">
      <c r="A3346" s="23" t="s">
        <v>16286</v>
      </c>
      <c r="B3346" s="23"/>
      <c r="C3346" s="23" t="s">
        <v>8876</v>
      </c>
      <c r="D3346" s="23" t="str">
        <f t="shared" si="156"/>
        <v>ORD26004200</v>
      </c>
      <c r="E3346" s="38">
        <v>46283</v>
      </c>
      <c r="F3346" s="23" t="s">
        <v>12410</v>
      </c>
      <c r="G3346" s="23" t="s">
        <v>75</v>
      </c>
      <c r="H3346" s="24">
        <v>3998</v>
      </c>
      <c r="I3346" s="24">
        <v>11.99</v>
      </c>
      <c r="J3346" s="24">
        <v>2.16</v>
      </c>
      <c r="K3346" s="24">
        <v>3983.85</v>
      </c>
      <c r="L3346" s="38">
        <v>46285</v>
      </c>
      <c r="M3346" s="23" t="s">
        <v>212</v>
      </c>
      <c r="N3346" s="23" t="str">
        <f>IF(COUNTIF($A$2:A3346,A3346)&gt;1,"DUP","OK")</f>
        <v>OK</v>
      </c>
      <c r="O3346" s="23" t="str">
        <f t="shared" si="157"/>
        <v>ORD26004200</v>
      </c>
      <c r="P3346" s="23" t="str">
        <f t="shared" si="158"/>
        <v>Sep</v>
      </c>
      <c r="Q3346" s="23" t="str">
        <f>IF(F3346="CAPTURE",IF(COUNTIF(orders!$A:$A,O3346)&gt;0,"Yes","NO ORDER"),"")</f>
        <v>Yes</v>
      </c>
    </row>
    <row r="3347" spans="1:17" ht="15" customHeight="1" x14ac:dyDescent="0.3">
      <c r="A3347" s="23" t="s">
        <v>16287</v>
      </c>
      <c r="B3347" s="23"/>
      <c r="C3347" s="23" t="s">
        <v>8941</v>
      </c>
      <c r="D3347" s="23" t="str">
        <f t="shared" si="156"/>
        <v>ORD26004233</v>
      </c>
      <c r="E3347" s="38">
        <v>46283</v>
      </c>
      <c r="F3347" s="23" t="s">
        <v>12410</v>
      </c>
      <c r="G3347" s="23" t="s">
        <v>75</v>
      </c>
      <c r="H3347" s="24">
        <v>10998</v>
      </c>
      <c r="I3347" s="24">
        <v>32.99</v>
      </c>
      <c r="J3347" s="24">
        <v>5.94</v>
      </c>
      <c r="K3347" s="24">
        <v>10959.07</v>
      </c>
      <c r="L3347" s="38">
        <v>46285</v>
      </c>
      <c r="M3347" s="23" t="s">
        <v>212</v>
      </c>
      <c r="N3347" s="23" t="str">
        <f>IF(COUNTIF($A$2:A3347,A3347)&gt;1,"DUP","OK")</f>
        <v>OK</v>
      </c>
      <c r="O3347" s="23" t="str">
        <f t="shared" si="157"/>
        <v>ORD26004233</v>
      </c>
      <c r="P3347" s="23" t="str">
        <f t="shared" si="158"/>
        <v>Sep</v>
      </c>
      <c r="Q3347" s="23" t="str">
        <f>IF(F3347="CAPTURE",IF(COUNTIF(orders!$A:$A,O3347)&gt;0,"Yes","NO ORDER"),"")</f>
        <v>Yes</v>
      </c>
    </row>
    <row r="3348" spans="1:17" ht="15" customHeight="1" x14ac:dyDescent="0.3">
      <c r="A3348" s="23" t="s">
        <v>16288</v>
      </c>
      <c r="B3348" s="23"/>
      <c r="C3348" s="23" t="s">
        <v>8965</v>
      </c>
      <c r="D3348" s="23" t="str">
        <f t="shared" si="156"/>
        <v>ORD26004246</v>
      </c>
      <c r="E3348" s="38">
        <v>46283</v>
      </c>
      <c r="F3348" s="23" t="s">
        <v>12410</v>
      </c>
      <c r="G3348" s="23" t="s">
        <v>79</v>
      </c>
      <c r="H3348" s="24">
        <v>7999</v>
      </c>
      <c r="I3348" s="24">
        <v>127.98</v>
      </c>
      <c r="J3348" s="24">
        <v>23.04</v>
      </c>
      <c r="K3348" s="24">
        <v>7847.98</v>
      </c>
      <c r="L3348" s="38">
        <v>46285</v>
      </c>
      <c r="M3348" s="23" t="s">
        <v>212</v>
      </c>
      <c r="N3348" s="23" t="str">
        <f>IF(COUNTIF($A$2:A3348,A3348)&gt;1,"DUP","OK")</f>
        <v>OK</v>
      </c>
      <c r="O3348" s="23" t="str">
        <f t="shared" si="157"/>
        <v>ORD26004246</v>
      </c>
      <c r="P3348" s="23" t="str">
        <f t="shared" si="158"/>
        <v>Sep</v>
      </c>
      <c r="Q3348" s="23" t="str">
        <f>IF(F3348="CAPTURE",IF(COUNTIF(orders!$A:$A,O3348)&gt;0,"Yes","NO ORDER"),"")</f>
        <v>Yes</v>
      </c>
    </row>
    <row r="3349" spans="1:17" ht="15" customHeight="1" x14ac:dyDescent="0.3">
      <c r="A3349" s="23" t="s">
        <v>16289</v>
      </c>
      <c r="B3349" s="23"/>
      <c r="C3349" s="23" t="s">
        <v>9013</v>
      </c>
      <c r="D3349" s="23" t="str">
        <f t="shared" si="156"/>
        <v>ORD26004270</v>
      </c>
      <c r="E3349" s="38">
        <v>46283</v>
      </c>
      <c r="F3349" s="23" t="s">
        <v>12410</v>
      </c>
      <c r="G3349" s="23" t="s">
        <v>75</v>
      </c>
      <c r="H3349" s="24">
        <v>4597</v>
      </c>
      <c r="I3349" s="24">
        <v>13.79</v>
      </c>
      <c r="J3349" s="24">
        <v>2.48</v>
      </c>
      <c r="K3349" s="24">
        <v>4580.7299999999996</v>
      </c>
      <c r="L3349" s="38">
        <v>46285</v>
      </c>
      <c r="M3349" s="23" t="s">
        <v>212</v>
      </c>
      <c r="N3349" s="23" t="str">
        <f>IF(COUNTIF($A$2:A3349,A3349)&gt;1,"DUP","OK")</f>
        <v>OK</v>
      </c>
      <c r="O3349" s="23" t="str">
        <f t="shared" si="157"/>
        <v>ORD26004270</v>
      </c>
      <c r="P3349" s="23" t="str">
        <f t="shared" si="158"/>
        <v>Sep</v>
      </c>
      <c r="Q3349" s="23" t="str">
        <f>IF(F3349="CAPTURE",IF(COUNTIF(orders!$A:$A,O3349)&gt;0,"Yes","NO ORDER"),"")</f>
        <v>Yes</v>
      </c>
    </row>
    <row r="3350" spans="1:17" ht="15" customHeight="1" x14ac:dyDescent="0.3">
      <c r="A3350" s="23" t="s">
        <v>16290</v>
      </c>
      <c r="B3350" s="23"/>
      <c r="C3350" s="23" t="s">
        <v>9019</v>
      </c>
      <c r="D3350" s="23" t="str">
        <f t="shared" si="156"/>
        <v>ORD26004273</v>
      </c>
      <c r="E3350" s="38">
        <v>46283</v>
      </c>
      <c r="F3350" s="23" t="s">
        <v>12410</v>
      </c>
      <c r="G3350" s="23" t="s">
        <v>75</v>
      </c>
      <c r="H3350" s="24">
        <v>499</v>
      </c>
      <c r="I3350" s="24">
        <v>0</v>
      </c>
      <c r="J3350" s="24">
        <v>0</v>
      </c>
      <c r="K3350" s="24">
        <v>499</v>
      </c>
      <c r="L3350" s="38">
        <v>46285</v>
      </c>
      <c r="M3350" s="23" t="s">
        <v>212</v>
      </c>
      <c r="N3350" s="23" t="str">
        <f>IF(COUNTIF($A$2:A3350,A3350)&gt;1,"DUP","OK")</f>
        <v>OK</v>
      </c>
      <c r="O3350" s="23" t="str">
        <f t="shared" si="157"/>
        <v>ORD26004273</v>
      </c>
      <c r="P3350" s="23" t="str">
        <f t="shared" si="158"/>
        <v>Sep</v>
      </c>
      <c r="Q3350" s="23" t="str">
        <f>IF(F3350="CAPTURE",IF(COUNTIF(orders!$A:$A,O3350)&gt;0,"Yes","NO ORDER"),"")</f>
        <v>Yes</v>
      </c>
    </row>
    <row r="3351" spans="1:17" ht="15" customHeight="1" x14ac:dyDescent="0.3">
      <c r="A3351" s="23" t="s">
        <v>16291</v>
      </c>
      <c r="B3351" s="23"/>
      <c r="C3351" s="23" t="s">
        <v>9053</v>
      </c>
      <c r="D3351" s="23" t="str">
        <f t="shared" si="156"/>
        <v>ORD26004290</v>
      </c>
      <c r="E3351" s="38">
        <v>46283</v>
      </c>
      <c r="F3351" s="23" t="s">
        <v>12410</v>
      </c>
      <c r="G3351" s="23" t="s">
        <v>77</v>
      </c>
      <c r="H3351" s="24">
        <v>4998</v>
      </c>
      <c r="I3351" s="24">
        <v>84.97</v>
      </c>
      <c r="J3351" s="24">
        <v>15.29</v>
      </c>
      <c r="K3351" s="24">
        <v>4897.74</v>
      </c>
      <c r="L3351" s="38">
        <v>46285</v>
      </c>
      <c r="M3351" s="23" t="s">
        <v>212</v>
      </c>
      <c r="N3351" s="23" t="str">
        <f>IF(COUNTIF($A$2:A3351,A3351)&gt;1,"DUP","OK")</f>
        <v>OK</v>
      </c>
      <c r="O3351" s="23" t="str">
        <f t="shared" si="157"/>
        <v>ORD26004290</v>
      </c>
      <c r="P3351" s="23" t="str">
        <f t="shared" si="158"/>
        <v>Sep</v>
      </c>
      <c r="Q3351" s="23" t="str">
        <f>IF(F3351="CAPTURE",IF(COUNTIF(orders!$A:$A,O3351)&gt;0,"Yes","NO ORDER"),"")</f>
        <v>Yes</v>
      </c>
    </row>
    <row r="3352" spans="1:17" ht="15" customHeight="1" x14ac:dyDescent="0.3">
      <c r="A3352" s="23" t="s">
        <v>16292</v>
      </c>
      <c r="B3352" s="23"/>
      <c r="C3352" s="23" t="s">
        <v>9092</v>
      </c>
      <c r="D3352" s="23" t="str">
        <f t="shared" si="156"/>
        <v>ORD26004308</v>
      </c>
      <c r="E3352" s="38">
        <v>46283</v>
      </c>
      <c r="F3352" s="23" t="s">
        <v>12410</v>
      </c>
      <c r="G3352" s="23" t="s">
        <v>75</v>
      </c>
      <c r="H3352" s="24">
        <v>5998</v>
      </c>
      <c r="I3352" s="24">
        <v>17.989999999999998</v>
      </c>
      <c r="J3352" s="24">
        <v>3.24</v>
      </c>
      <c r="K3352" s="24">
        <v>5976.77</v>
      </c>
      <c r="L3352" s="38">
        <v>46285</v>
      </c>
      <c r="M3352" s="23" t="s">
        <v>212</v>
      </c>
      <c r="N3352" s="23" t="str">
        <f>IF(COUNTIF($A$2:A3352,A3352)&gt;1,"DUP","OK")</f>
        <v>OK</v>
      </c>
      <c r="O3352" s="23" t="str">
        <f t="shared" si="157"/>
        <v>ORD26004308</v>
      </c>
      <c r="P3352" s="23" t="str">
        <f t="shared" si="158"/>
        <v>Sep</v>
      </c>
      <c r="Q3352" s="23" t="str">
        <f>IF(F3352="CAPTURE",IF(COUNTIF(orders!$A:$A,O3352)&gt;0,"Yes","NO ORDER"),"")</f>
        <v>Yes</v>
      </c>
    </row>
    <row r="3353" spans="1:17" ht="15" customHeight="1" x14ac:dyDescent="0.3">
      <c r="A3353" s="23" t="s">
        <v>16293</v>
      </c>
      <c r="B3353" s="23"/>
      <c r="C3353" s="23" t="s">
        <v>9128</v>
      </c>
      <c r="D3353" s="23" t="str">
        <f t="shared" si="156"/>
        <v>ORD26004326</v>
      </c>
      <c r="E3353" s="38">
        <v>46283</v>
      </c>
      <c r="F3353" s="23" t="s">
        <v>12410</v>
      </c>
      <c r="G3353" s="23" t="s">
        <v>77</v>
      </c>
      <c r="H3353" s="24">
        <v>2999</v>
      </c>
      <c r="I3353" s="24">
        <v>71.98</v>
      </c>
      <c r="J3353" s="24">
        <v>12.96</v>
      </c>
      <c r="K3353" s="24">
        <v>2914.06</v>
      </c>
      <c r="L3353" s="38">
        <v>46285</v>
      </c>
      <c r="M3353" s="23" t="s">
        <v>212</v>
      </c>
      <c r="N3353" s="23" t="str">
        <f>IF(COUNTIF($A$2:A3353,A3353)&gt;1,"DUP","OK")</f>
        <v>OK</v>
      </c>
      <c r="O3353" s="23" t="str">
        <f t="shared" si="157"/>
        <v>ORD26004326</v>
      </c>
      <c r="P3353" s="23" t="str">
        <f t="shared" si="158"/>
        <v>Sep</v>
      </c>
      <c r="Q3353" s="23" t="str">
        <f>IF(F3353="CAPTURE",IF(COUNTIF(orders!$A:$A,O3353)&gt;0,"Yes","NO ORDER"),"")</f>
        <v>Yes</v>
      </c>
    </row>
    <row r="3354" spans="1:17" ht="15" customHeight="1" x14ac:dyDescent="0.3">
      <c r="A3354" s="23" t="s">
        <v>16294</v>
      </c>
      <c r="B3354" s="23"/>
      <c r="C3354" s="23" t="s">
        <v>9246</v>
      </c>
      <c r="D3354" s="23" t="str">
        <f t="shared" si="156"/>
        <v>ORD26004386</v>
      </c>
      <c r="E3354" s="38">
        <v>46283</v>
      </c>
      <c r="F3354" s="23" t="s">
        <v>12410</v>
      </c>
      <c r="G3354" s="23" t="s">
        <v>77</v>
      </c>
      <c r="H3354" s="24">
        <v>3798</v>
      </c>
      <c r="I3354" s="24">
        <v>91.15</v>
      </c>
      <c r="J3354" s="24">
        <v>16.41</v>
      </c>
      <c r="K3354" s="24">
        <v>3690.44</v>
      </c>
      <c r="L3354" s="38">
        <v>46285</v>
      </c>
      <c r="M3354" s="23" t="s">
        <v>212</v>
      </c>
      <c r="N3354" s="23" t="str">
        <f>IF(COUNTIF($A$2:A3354,A3354)&gt;1,"DUP","OK")</f>
        <v>OK</v>
      </c>
      <c r="O3354" s="23" t="str">
        <f t="shared" si="157"/>
        <v>ORD26004386</v>
      </c>
      <c r="P3354" s="23" t="str">
        <f t="shared" si="158"/>
        <v>Sep</v>
      </c>
      <c r="Q3354" s="23" t="str">
        <f>IF(F3354="CAPTURE",IF(COUNTIF(orders!$A:$A,O3354)&gt;0,"Yes","NO ORDER"),"")</f>
        <v>Yes</v>
      </c>
    </row>
    <row r="3355" spans="1:17" ht="15" customHeight="1" x14ac:dyDescent="0.3">
      <c r="A3355" s="23" t="s">
        <v>16295</v>
      </c>
      <c r="B3355" s="23"/>
      <c r="C3355" s="23" t="s">
        <v>9286</v>
      </c>
      <c r="D3355" s="23" t="str">
        <f t="shared" si="156"/>
        <v>ORD26004406</v>
      </c>
      <c r="E3355" s="38">
        <v>46283</v>
      </c>
      <c r="F3355" s="23" t="s">
        <v>12410</v>
      </c>
      <c r="G3355" s="23" t="s">
        <v>75</v>
      </c>
      <c r="H3355" s="24">
        <v>2999</v>
      </c>
      <c r="I3355" s="24">
        <v>9</v>
      </c>
      <c r="J3355" s="24">
        <v>1.62</v>
      </c>
      <c r="K3355" s="24">
        <v>2988.38</v>
      </c>
      <c r="L3355" s="38">
        <v>46285</v>
      </c>
      <c r="M3355" s="23" t="s">
        <v>212</v>
      </c>
      <c r="N3355" s="23" t="str">
        <f>IF(COUNTIF($A$2:A3355,A3355)&gt;1,"DUP","OK")</f>
        <v>OK</v>
      </c>
      <c r="O3355" s="23" t="str">
        <f t="shared" si="157"/>
        <v>ORD26004406</v>
      </c>
      <c r="P3355" s="23" t="str">
        <f t="shared" si="158"/>
        <v>Sep</v>
      </c>
      <c r="Q3355" s="23" t="str">
        <f>IF(F3355="CAPTURE",IF(COUNTIF(orders!$A:$A,O3355)&gt;0,"Yes","NO ORDER"),"")</f>
        <v>Yes</v>
      </c>
    </row>
    <row r="3356" spans="1:17" ht="15" customHeight="1" x14ac:dyDescent="0.3">
      <c r="A3356" s="23" t="s">
        <v>16296</v>
      </c>
      <c r="B3356" s="23"/>
      <c r="C3356" s="23" t="s">
        <v>9302</v>
      </c>
      <c r="D3356" s="23" t="str">
        <f t="shared" si="156"/>
        <v>ORD26004414</v>
      </c>
      <c r="E3356" s="38">
        <v>46283</v>
      </c>
      <c r="F3356" s="23" t="s">
        <v>12410</v>
      </c>
      <c r="G3356" s="23" t="s">
        <v>79</v>
      </c>
      <c r="H3356" s="24">
        <v>9297</v>
      </c>
      <c r="I3356" s="24">
        <v>148.75</v>
      </c>
      <c r="J3356" s="24">
        <v>26.78</v>
      </c>
      <c r="K3356" s="24">
        <v>9121.4699999999993</v>
      </c>
      <c r="L3356" s="38">
        <v>46285</v>
      </c>
      <c r="M3356" s="23" t="s">
        <v>212</v>
      </c>
      <c r="N3356" s="23" t="str">
        <f>IF(COUNTIF($A$2:A3356,A3356)&gt;1,"DUP","OK")</f>
        <v>OK</v>
      </c>
      <c r="O3356" s="23" t="str">
        <f t="shared" si="157"/>
        <v>ORD26004414</v>
      </c>
      <c r="P3356" s="23" t="str">
        <f t="shared" si="158"/>
        <v>Sep</v>
      </c>
      <c r="Q3356" s="23" t="str">
        <f>IF(F3356="CAPTURE",IF(COUNTIF(orders!$A:$A,O3356)&gt;0,"Yes","NO ORDER"),"")</f>
        <v>Yes</v>
      </c>
    </row>
    <row r="3357" spans="1:17" ht="15" customHeight="1" x14ac:dyDescent="0.3">
      <c r="A3357" s="23" t="s">
        <v>16297</v>
      </c>
      <c r="B3357" s="23"/>
      <c r="C3357" s="23" t="s">
        <v>9319</v>
      </c>
      <c r="D3357" s="23" t="str">
        <f t="shared" si="156"/>
        <v>ORD26004423</v>
      </c>
      <c r="E3357" s="38">
        <v>46283</v>
      </c>
      <c r="F3357" s="23" t="s">
        <v>12410</v>
      </c>
      <c r="G3357" s="23" t="s">
        <v>79</v>
      </c>
      <c r="H3357" s="24">
        <v>8348</v>
      </c>
      <c r="I3357" s="24">
        <v>133.57</v>
      </c>
      <c r="J3357" s="24">
        <v>24.04</v>
      </c>
      <c r="K3357" s="24">
        <v>8190.39</v>
      </c>
      <c r="L3357" s="38">
        <v>46285</v>
      </c>
      <c r="M3357" s="23" t="s">
        <v>212</v>
      </c>
      <c r="N3357" s="23" t="str">
        <f>IF(COUNTIF($A$2:A3357,A3357)&gt;1,"DUP","OK")</f>
        <v>OK</v>
      </c>
      <c r="O3357" s="23" t="str">
        <f t="shared" si="157"/>
        <v>ORD26004423</v>
      </c>
      <c r="P3357" s="23" t="str">
        <f t="shared" si="158"/>
        <v>Sep</v>
      </c>
      <c r="Q3357" s="23" t="str">
        <f>IF(F3357="CAPTURE",IF(COUNTIF(orders!$A:$A,O3357)&gt;0,"Yes","NO ORDER"),"")</f>
        <v>Yes</v>
      </c>
    </row>
    <row r="3358" spans="1:17" ht="15" customHeight="1" x14ac:dyDescent="0.3">
      <c r="A3358" s="23" t="s">
        <v>16298</v>
      </c>
      <c r="B3358" s="23"/>
      <c r="C3358" s="23" t="s">
        <v>9326</v>
      </c>
      <c r="D3358" s="23" t="str">
        <f t="shared" si="156"/>
        <v>ORD26004427</v>
      </c>
      <c r="E3358" s="38">
        <v>46283</v>
      </c>
      <c r="F3358" s="23" t="s">
        <v>12410</v>
      </c>
      <c r="G3358" s="23" t="s">
        <v>75</v>
      </c>
      <c r="H3358" s="24">
        <v>11497</v>
      </c>
      <c r="I3358" s="24">
        <v>34.49</v>
      </c>
      <c r="J3358" s="24">
        <v>6.21</v>
      </c>
      <c r="K3358" s="24">
        <v>11456.3</v>
      </c>
      <c r="L3358" s="38">
        <v>46285</v>
      </c>
      <c r="M3358" s="23" t="s">
        <v>212</v>
      </c>
      <c r="N3358" s="23" t="str">
        <f>IF(COUNTIF($A$2:A3358,A3358)&gt;1,"DUP","OK")</f>
        <v>OK</v>
      </c>
      <c r="O3358" s="23" t="str">
        <f t="shared" si="157"/>
        <v>ORD26004427</v>
      </c>
      <c r="P3358" s="23" t="str">
        <f t="shared" si="158"/>
        <v>Sep</v>
      </c>
      <c r="Q3358" s="23" t="str">
        <f>IF(F3358="CAPTURE",IF(COUNTIF(orders!$A:$A,O3358)&gt;0,"Yes","NO ORDER"),"")</f>
        <v>Yes</v>
      </c>
    </row>
    <row r="3359" spans="1:17" ht="15" customHeight="1" x14ac:dyDescent="0.3">
      <c r="A3359" s="23" t="s">
        <v>16299</v>
      </c>
      <c r="B3359" s="23"/>
      <c r="C3359" s="23" t="s">
        <v>9391</v>
      </c>
      <c r="D3359" s="23" t="str">
        <f t="shared" si="156"/>
        <v>ORD26004459</v>
      </c>
      <c r="E3359" s="38">
        <v>46283</v>
      </c>
      <c r="F3359" s="23" t="s">
        <v>12410</v>
      </c>
      <c r="G3359" s="23" t="s">
        <v>75</v>
      </c>
      <c r="H3359" s="24">
        <v>2499</v>
      </c>
      <c r="I3359" s="24">
        <v>7.5</v>
      </c>
      <c r="J3359" s="24">
        <v>1.35</v>
      </c>
      <c r="K3359" s="24">
        <v>2490.15</v>
      </c>
      <c r="L3359" s="38">
        <v>46285</v>
      </c>
      <c r="M3359" s="23" t="s">
        <v>212</v>
      </c>
      <c r="N3359" s="23" t="str">
        <f>IF(COUNTIF($A$2:A3359,A3359)&gt;1,"DUP","OK")</f>
        <v>OK</v>
      </c>
      <c r="O3359" s="23" t="str">
        <f t="shared" si="157"/>
        <v>ORD26004459</v>
      </c>
      <c r="P3359" s="23" t="str">
        <f t="shared" si="158"/>
        <v>Sep</v>
      </c>
      <c r="Q3359" s="23" t="str">
        <f>IF(F3359="CAPTURE",IF(COUNTIF(orders!$A:$A,O3359)&gt;0,"Yes","NO ORDER"),"")</f>
        <v>Yes</v>
      </c>
    </row>
    <row r="3360" spans="1:17" ht="15" customHeight="1" x14ac:dyDescent="0.3">
      <c r="A3360" s="23" t="s">
        <v>16300</v>
      </c>
      <c r="B3360" s="23"/>
      <c r="C3360" s="23" t="s">
        <v>9421</v>
      </c>
      <c r="D3360" s="23" t="str">
        <f t="shared" si="156"/>
        <v>ORD26004475</v>
      </c>
      <c r="E3360" s="38">
        <v>46283</v>
      </c>
      <c r="F3360" s="23" t="s">
        <v>12410</v>
      </c>
      <c r="G3360" s="23" t="s">
        <v>75</v>
      </c>
      <c r="H3360" s="24">
        <v>3499</v>
      </c>
      <c r="I3360" s="24">
        <v>10.5</v>
      </c>
      <c r="J3360" s="24">
        <v>1.89</v>
      </c>
      <c r="K3360" s="24">
        <v>3486.61</v>
      </c>
      <c r="L3360" s="38">
        <v>46285</v>
      </c>
      <c r="M3360" s="23" t="s">
        <v>212</v>
      </c>
      <c r="N3360" s="23" t="str">
        <f>IF(COUNTIF($A$2:A3360,A3360)&gt;1,"DUP","OK")</f>
        <v>OK</v>
      </c>
      <c r="O3360" s="23" t="str">
        <f t="shared" si="157"/>
        <v>ORD26004475</v>
      </c>
      <c r="P3360" s="23" t="str">
        <f t="shared" si="158"/>
        <v>Sep</v>
      </c>
      <c r="Q3360" s="23" t="str">
        <f>IF(F3360="CAPTURE",IF(COUNTIF(orders!$A:$A,O3360)&gt;0,"Yes","NO ORDER"),"")</f>
        <v>Yes</v>
      </c>
    </row>
    <row r="3361" spans="1:17" ht="15" customHeight="1" x14ac:dyDescent="0.3">
      <c r="A3361" s="23" t="s">
        <v>16301</v>
      </c>
      <c r="B3361" s="23"/>
      <c r="C3361" s="23" t="s">
        <v>16302</v>
      </c>
      <c r="D3361" s="23" t="str">
        <f t="shared" si="156"/>
        <v>ORD26004598</v>
      </c>
      <c r="E3361" s="38">
        <v>46283</v>
      </c>
      <c r="F3361" s="23" t="s">
        <v>12410</v>
      </c>
      <c r="G3361" s="23" t="s">
        <v>79</v>
      </c>
      <c r="H3361" s="24">
        <v>4999</v>
      </c>
      <c r="I3361" s="24">
        <v>79.98</v>
      </c>
      <c r="J3361" s="24">
        <v>14.4</v>
      </c>
      <c r="K3361" s="24">
        <v>4904.62</v>
      </c>
      <c r="L3361" s="38">
        <v>46285</v>
      </c>
      <c r="M3361" s="23" t="s">
        <v>212</v>
      </c>
      <c r="N3361" s="23" t="str">
        <f>IF(COUNTIF($A$2:A3361,A3361)&gt;1,"DUP","OK")</f>
        <v>OK</v>
      </c>
      <c r="O3361" s="23" t="str">
        <f t="shared" si="157"/>
        <v>ORD26004598</v>
      </c>
      <c r="P3361" s="23" t="str">
        <f t="shared" si="158"/>
        <v>Sep</v>
      </c>
      <c r="Q3361" s="23" t="str">
        <f>IF(F3361="CAPTURE",IF(COUNTIF(orders!$A:$A,O3361)&gt;0,"Yes","NO ORDER"),"")</f>
        <v>Yes</v>
      </c>
    </row>
    <row r="3362" spans="1:17" ht="15" customHeight="1" x14ac:dyDescent="0.3">
      <c r="A3362" s="23" t="s">
        <v>16303</v>
      </c>
      <c r="B3362" s="23"/>
      <c r="C3362" s="23" t="s">
        <v>9739</v>
      </c>
      <c r="D3362" s="23" t="str">
        <f t="shared" si="156"/>
        <v>ORD26004633</v>
      </c>
      <c r="E3362" s="38">
        <v>46283</v>
      </c>
      <c r="F3362" s="23" t="s">
        <v>12410</v>
      </c>
      <c r="G3362" s="23" t="s">
        <v>75</v>
      </c>
      <c r="H3362" s="24">
        <v>4597</v>
      </c>
      <c r="I3362" s="24">
        <v>13.79</v>
      </c>
      <c r="J3362" s="24">
        <v>2.48</v>
      </c>
      <c r="K3362" s="24">
        <v>4580.7299999999996</v>
      </c>
      <c r="L3362" s="38">
        <v>46285</v>
      </c>
      <c r="M3362" s="23" t="s">
        <v>212</v>
      </c>
      <c r="N3362" s="23" t="str">
        <f>IF(COUNTIF($A$2:A3362,A3362)&gt;1,"DUP","OK")</f>
        <v>OK</v>
      </c>
      <c r="O3362" s="23" t="str">
        <f t="shared" si="157"/>
        <v>ORD26004633</v>
      </c>
      <c r="P3362" s="23" t="str">
        <f t="shared" si="158"/>
        <v>Sep</v>
      </c>
      <c r="Q3362" s="23" t="str">
        <f>IF(F3362="CAPTURE",IF(COUNTIF(orders!$A:$A,O3362)&gt;0,"Yes","NO ORDER"),"")</f>
        <v>Yes</v>
      </c>
    </row>
    <row r="3363" spans="1:17" ht="15" customHeight="1" x14ac:dyDescent="0.3">
      <c r="A3363" s="23" t="s">
        <v>16304</v>
      </c>
      <c r="B3363" s="23"/>
      <c r="C3363" s="23" t="s">
        <v>9752</v>
      </c>
      <c r="D3363" s="23" t="str">
        <f t="shared" si="156"/>
        <v>ORD26004641</v>
      </c>
      <c r="E3363" s="38">
        <v>46283</v>
      </c>
      <c r="F3363" s="23" t="s">
        <v>12410</v>
      </c>
      <c r="G3363" s="23" t="s">
        <v>75</v>
      </c>
      <c r="H3363" s="24">
        <v>1798</v>
      </c>
      <c r="I3363" s="24">
        <v>0</v>
      </c>
      <c r="J3363" s="24">
        <v>0</v>
      </c>
      <c r="K3363" s="24">
        <v>1798</v>
      </c>
      <c r="L3363" s="38">
        <v>46285</v>
      </c>
      <c r="M3363" s="23" t="s">
        <v>212</v>
      </c>
      <c r="N3363" s="23" t="str">
        <f>IF(COUNTIF($A$2:A3363,A3363)&gt;1,"DUP","OK")</f>
        <v>OK</v>
      </c>
      <c r="O3363" s="23" t="str">
        <f t="shared" si="157"/>
        <v>ORD26004641</v>
      </c>
      <c r="P3363" s="23" t="str">
        <f t="shared" si="158"/>
        <v>Sep</v>
      </c>
      <c r="Q3363" s="23" t="str">
        <f>IF(F3363="CAPTURE",IF(COUNTIF(orders!$A:$A,O3363)&gt;0,"Yes","NO ORDER"),"")</f>
        <v>Yes</v>
      </c>
    </row>
    <row r="3364" spans="1:17" ht="15" customHeight="1" x14ac:dyDescent="0.3">
      <c r="A3364" s="23" t="s">
        <v>16305</v>
      </c>
      <c r="B3364" s="23"/>
      <c r="C3364" s="23" t="s">
        <v>9754</v>
      </c>
      <c r="D3364" s="23" t="str">
        <f t="shared" si="156"/>
        <v>ORD26004642</v>
      </c>
      <c r="E3364" s="38">
        <v>46283</v>
      </c>
      <c r="F3364" s="23" t="s">
        <v>12410</v>
      </c>
      <c r="G3364" s="23" t="s">
        <v>75</v>
      </c>
      <c r="H3364" s="24">
        <v>1798</v>
      </c>
      <c r="I3364" s="24">
        <v>0</v>
      </c>
      <c r="J3364" s="24">
        <v>0</v>
      </c>
      <c r="K3364" s="24">
        <v>1798</v>
      </c>
      <c r="L3364" s="38">
        <v>46285</v>
      </c>
      <c r="M3364" s="23" t="s">
        <v>212</v>
      </c>
      <c r="N3364" s="23" t="str">
        <f>IF(COUNTIF($A$2:A3364,A3364)&gt;1,"DUP","OK")</f>
        <v>OK</v>
      </c>
      <c r="O3364" s="23" t="str">
        <f t="shared" si="157"/>
        <v>ORD26004642</v>
      </c>
      <c r="P3364" s="23" t="str">
        <f t="shared" si="158"/>
        <v>Sep</v>
      </c>
      <c r="Q3364" s="23" t="str">
        <f>IF(F3364="CAPTURE",IF(COUNTIF(orders!$A:$A,O3364)&gt;0,"Yes","NO ORDER"),"")</f>
        <v>Yes</v>
      </c>
    </row>
    <row r="3365" spans="1:17" ht="15" customHeight="1" x14ac:dyDescent="0.3">
      <c r="A3365" s="23" t="s">
        <v>16306</v>
      </c>
      <c r="B3365" s="23"/>
      <c r="C3365" s="23" t="s">
        <v>9832</v>
      </c>
      <c r="D3365" s="23" t="str">
        <f t="shared" si="156"/>
        <v>ORD26004682</v>
      </c>
      <c r="E3365" s="38">
        <v>46283</v>
      </c>
      <c r="F3365" s="23" t="s">
        <v>12410</v>
      </c>
      <c r="G3365" s="23" t="s">
        <v>79</v>
      </c>
      <c r="H3365" s="24">
        <v>13597</v>
      </c>
      <c r="I3365" s="24">
        <v>217.55</v>
      </c>
      <c r="J3365" s="24">
        <v>39.159999999999997</v>
      </c>
      <c r="K3365" s="24">
        <v>13340.29</v>
      </c>
      <c r="L3365" s="38">
        <v>46285</v>
      </c>
      <c r="M3365" s="23" t="s">
        <v>212</v>
      </c>
      <c r="N3365" s="23" t="str">
        <f>IF(COUNTIF($A$2:A3365,A3365)&gt;1,"DUP","OK")</f>
        <v>OK</v>
      </c>
      <c r="O3365" s="23" t="str">
        <f t="shared" si="157"/>
        <v>ORD26004682</v>
      </c>
      <c r="P3365" s="23" t="str">
        <f t="shared" si="158"/>
        <v>Sep</v>
      </c>
      <c r="Q3365" s="23" t="str">
        <f>IF(F3365="CAPTURE",IF(COUNTIF(orders!$A:$A,O3365)&gt;0,"Yes","NO ORDER"),"")</f>
        <v>Yes</v>
      </c>
    </row>
    <row r="3366" spans="1:17" ht="15" customHeight="1" x14ac:dyDescent="0.3">
      <c r="A3366" s="23" t="s">
        <v>16307</v>
      </c>
      <c r="B3366" s="23"/>
      <c r="C3366" s="23" t="s">
        <v>9924</v>
      </c>
      <c r="D3366" s="23" t="str">
        <f t="shared" si="156"/>
        <v>ORD26004729</v>
      </c>
      <c r="E3366" s="38">
        <v>46283</v>
      </c>
      <c r="F3366" s="23" t="s">
        <v>12410</v>
      </c>
      <c r="G3366" s="23" t="s">
        <v>75</v>
      </c>
      <c r="H3366" s="24">
        <v>1299</v>
      </c>
      <c r="I3366" s="24">
        <v>0</v>
      </c>
      <c r="J3366" s="24">
        <v>0</v>
      </c>
      <c r="K3366" s="24">
        <v>1299</v>
      </c>
      <c r="L3366" s="38">
        <v>46285</v>
      </c>
      <c r="M3366" s="23" t="s">
        <v>212</v>
      </c>
      <c r="N3366" s="23" t="str">
        <f>IF(COUNTIF($A$2:A3366,A3366)&gt;1,"DUP","OK")</f>
        <v>OK</v>
      </c>
      <c r="O3366" s="23" t="str">
        <f t="shared" si="157"/>
        <v>ORD26004729</v>
      </c>
      <c r="P3366" s="23" t="str">
        <f t="shared" si="158"/>
        <v>Sep</v>
      </c>
      <c r="Q3366" s="23" t="str">
        <f>IF(F3366="CAPTURE",IF(COUNTIF(orders!$A:$A,O3366)&gt;0,"Yes","NO ORDER"),"")</f>
        <v>Yes</v>
      </c>
    </row>
    <row r="3367" spans="1:17" ht="15" customHeight="1" x14ac:dyDescent="0.3">
      <c r="A3367" s="23" t="s">
        <v>16308</v>
      </c>
      <c r="B3367" s="23"/>
      <c r="C3367" s="23" t="s">
        <v>9946</v>
      </c>
      <c r="D3367" s="23" t="str">
        <f t="shared" si="156"/>
        <v>ORD26004741</v>
      </c>
      <c r="E3367" s="38">
        <v>46283</v>
      </c>
      <c r="F3367" s="23" t="s">
        <v>12410</v>
      </c>
      <c r="G3367" s="23" t="s">
        <v>77</v>
      </c>
      <c r="H3367" s="24">
        <v>6797</v>
      </c>
      <c r="I3367" s="24">
        <v>115.55</v>
      </c>
      <c r="J3367" s="24">
        <v>20.8</v>
      </c>
      <c r="K3367" s="24">
        <v>6660.65</v>
      </c>
      <c r="L3367" s="38">
        <v>46285</v>
      </c>
      <c r="M3367" s="23" t="s">
        <v>212</v>
      </c>
      <c r="N3367" s="23" t="str">
        <f>IF(COUNTIF($A$2:A3367,A3367)&gt;1,"DUP","OK")</f>
        <v>OK</v>
      </c>
      <c r="O3367" s="23" t="str">
        <f t="shared" si="157"/>
        <v>ORD26004741</v>
      </c>
      <c r="P3367" s="23" t="str">
        <f t="shared" si="158"/>
        <v>Sep</v>
      </c>
      <c r="Q3367" s="23" t="str">
        <f>IF(F3367="CAPTURE",IF(COUNTIF(orders!$A:$A,O3367)&gt;0,"Yes","NO ORDER"),"")</f>
        <v>Yes</v>
      </c>
    </row>
    <row r="3368" spans="1:17" ht="15" customHeight="1" x14ac:dyDescent="0.3">
      <c r="A3368" s="23" t="s">
        <v>16309</v>
      </c>
      <c r="B3368" s="23"/>
      <c r="C3368" s="23" t="s">
        <v>16310</v>
      </c>
      <c r="D3368" s="23" t="str">
        <f t="shared" si="156"/>
        <v>ORD26004817</v>
      </c>
      <c r="E3368" s="38">
        <v>46283</v>
      </c>
      <c r="F3368" s="23" t="s">
        <v>12410</v>
      </c>
      <c r="G3368" s="23" t="s">
        <v>75</v>
      </c>
      <c r="H3368" s="24">
        <v>2999</v>
      </c>
      <c r="I3368" s="24">
        <v>9</v>
      </c>
      <c r="J3368" s="24">
        <v>1.62</v>
      </c>
      <c r="K3368" s="24">
        <v>2988.38</v>
      </c>
      <c r="L3368" s="38">
        <v>46285</v>
      </c>
      <c r="M3368" s="23" t="s">
        <v>212</v>
      </c>
      <c r="N3368" s="23" t="str">
        <f>IF(COUNTIF($A$2:A3368,A3368)&gt;1,"DUP","OK")</f>
        <v>OK</v>
      </c>
      <c r="O3368" s="23" t="str">
        <f t="shared" si="157"/>
        <v>ORD26004817</v>
      </c>
      <c r="P3368" s="23" t="str">
        <f t="shared" si="158"/>
        <v>Sep</v>
      </c>
      <c r="Q3368" s="23" t="str">
        <f>IF(F3368="CAPTURE",IF(COUNTIF(orders!$A:$A,O3368)&gt;0,"Yes","NO ORDER"),"")</f>
        <v>Yes</v>
      </c>
    </row>
    <row r="3369" spans="1:17" ht="15" customHeight="1" x14ac:dyDescent="0.3">
      <c r="A3369" s="23" t="s">
        <v>16311</v>
      </c>
      <c r="B3369" s="23"/>
      <c r="C3369" s="23" t="s">
        <v>16312</v>
      </c>
      <c r="D3369" s="23" t="str">
        <f t="shared" si="156"/>
        <v>ORD26004834</v>
      </c>
      <c r="E3369" s="38">
        <v>46283</v>
      </c>
      <c r="F3369" s="23" t="s">
        <v>12410</v>
      </c>
      <c r="G3369" s="23" t="s">
        <v>75</v>
      </c>
      <c r="H3369" s="24">
        <v>7999</v>
      </c>
      <c r="I3369" s="24">
        <v>24</v>
      </c>
      <c r="J3369" s="24">
        <v>4.32</v>
      </c>
      <c r="K3369" s="24">
        <v>7970.68</v>
      </c>
      <c r="L3369" s="38">
        <v>46285</v>
      </c>
      <c r="M3369" s="23" t="s">
        <v>212</v>
      </c>
      <c r="N3369" s="23" t="str">
        <f>IF(COUNTIF($A$2:A3369,A3369)&gt;1,"DUP","OK")</f>
        <v>OK</v>
      </c>
      <c r="O3369" s="23" t="str">
        <f t="shared" si="157"/>
        <v>ORD26004834</v>
      </c>
      <c r="P3369" s="23" t="str">
        <f t="shared" si="158"/>
        <v>Sep</v>
      </c>
      <c r="Q3369" s="23" t="str">
        <f>IF(F3369="CAPTURE",IF(COUNTIF(orders!$A:$A,O3369)&gt;0,"Yes","NO ORDER"),"")</f>
        <v>Yes</v>
      </c>
    </row>
    <row r="3370" spans="1:17" ht="15" customHeight="1" x14ac:dyDescent="0.3">
      <c r="A3370" s="23" t="s">
        <v>16313</v>
      </c>
      <c r="B3370" s="23"/>
      <c r="C3370" s="23" t="s">
        <v>10136</v>
      </c>
      <c r="D3370" s="23" t="str">
        <f t="shared" si="156"/>
        <v>ORD26004838</v>
      </c>
      <c r="E3370" s="38">
        <v>46283</v>
      </c>
      <c r="F3370" s="23" t="s">
        <v>12410</v>
      </c>
      <c r="G3370" s="23" t="s">
        <v>75</v>
      </c>
      <c r="H3370" s="24">
        <v>2798</v>
      </c>
      <c r="I3370" s="24">
        <v>8.39</v>
      </c>
      <c r="J3370" s="24">
        <v>1.51</v>
      </c>
      <c r="K3370" s="24">
        <v>2788.1</v>
      </c>
      <c r="L3370" s="38">
        <v>46285</v>
      </c>
      <c r="M3370" s="23" t="s">
        <v>212</v>
      </c>
      <c r="N3370" s="23" t="str">
        <f>IF(COUNTIF($A$2:A3370,A3370)&gt;1,"DUP","OK")</f>
        <v>OK</v>
      </c>
      <c r="O3370" s="23" t="str">
        <f t="shared" si="157"/>
        <v>ORD26004838</v>
      </c>
      <c r="P3370" s="23" t="str">
        <f t="shared" si="158"/>
        <v>Sep</v>
      </c>
      <c r="Q3370" s="23" t="str">
        <f>IF(F3370="CAPTURE",IF(COUNTIF(orders!$A:$A,O3370)&gt;0,"Yes","NO ORDER"),"")</f>
        <v>Yes</v>
      </c>
    </row>
    <row r="3371" spans="1:17" ht="15" customHeight="1" x14ac:dyDescent="0.3">
      <c r="A3371" s="23" t="s">
        <v>16314</v>
      </c>
      <c r="B3371" s="23"/>
      <c r="C3371" s="23" t="s">
        <v>10218</v>
      </c>
      <c r="D3371" s="23" t="str">
        <f t="shared" si="156"/>
        <v>ORD26004880</v>
      </c>
      <c r="E3371" s="38">
        <v>46283</v>
      </c>
      <c r="F3371" s="23" t="s">
        <v>12410</v>
      </c>
      <c r="G3371" s="23" t="s">
        <v>77</v>
      </c>
      <c r="H3371" s="24">
        <v>898</v>
      </c>
      <c r="I3371" s="24">
        <v>17.059999999999999</v>
      </c>
      <c r="J3371" s="24">
        <v>3.07</v>
      </c>
      <c r="K3371" s="24">
        <v>877.87</v>
      </c>
      <c r="L3371" s="38">
        <v>46285</v>
      </c>
      <c r="M3371" s="23" t="s">
        <v>212</v>
      </c>
      <c r="N3371" s="23" t="str">
        <f>IF(COUNTIF($A$2:A3371,A3371)&gt;1,"DUP","OK")</f>
        <v>OK</v>
      </c>
      <c r="O3371" s="23" t="str">
        <f t="shared" si="157"/>
        <v>ORD26004880</v>
      </c>
      <c r="P3371" s="23" t="str">
        <f t="shared" si="158"/>
        <v>Sep</v>
      </c>
      <c r="Q3371" s="23" t="str">
        <f>IF(F3371="CAPTURE",IF(COUNTIF(orders!$A:$A,O3371)&gt;0,"Yes","NO ORDER"),"")</f>
        <v>Yes</v>
      </c>
    </row>
    <row r="3372" spans="1:17" ht="15" customHeight="1" x14ac:dyDescent="0.3">
      <c r="A3372" s="23" t="s">
        <v>16315</v>
      </c>
      <c r="B3372" s="23"/>
      <c r="C3372" s="23" t="s">
        <v>10361</v>
      </c>
      <c r="D3372" s="23" t="str">
        <f t="shared" si="156"/>
        <v>ORD26004953</v>
      </c>
      <c r="E3372" s="38">
        <v>46283</v>
      </c>
      <c r="F3372" s="23" t="s">
        <v>12410</v>
      </c>
      <c r="G3372" s="23" t="s">
        <v>81</v>
      </c>
      <c r="H3372" s="24">
        <v>1098</v>
      </c>
      <c r="I3372" s="24">
        <v>16.47</v>
      </c>
      <c r="J3372" s="24">
        <v>2.96</v>
      </c>
      <c r="K3372" s="24">
        <v>1078.57</v>
      </c>
      <c r="L3372" s="38">
        <v>46285</v>
      </c>
      <c r="M3372" s="23" t="s">
        <v>212</v>
      </c>
      <c r="N3372" s="23" t="str">
        <f>IF(COUNTIF($A$2:A3372,A3372)&gt;1,"DUP","OK")</f>
        <v>OK</v>
      </c>
      <c r="O3372" s="23" t="str">
        <f t="shared" si="157"/>
        <v>ORD26004953</v>
      </c>
      <c r="P3372" s="23" t="str">
        <f t="shared" si="158"/>
        <v>Sep</v>
      </c>
      <c r="Q3372" s="23" t="str">
        <f>IF(F3372="CAPTURE",IF(COUNTIF(orders!$A:$A,O3372)&gt;0,"Yes","NO ORDER"),"")</f>
        <v>Yes</v>
      </c>
    </row>
    <row r="3373" spans="1:17" ht="15" customHeight="1" x14ac:dyDescent="0.3">
      <c r="A3373" s="23" t="s">
        <v>16316</v>
      </c>
      <c r="B3373" s="23"/>
      <c r="C3373" s="23" t="s">
        <v>16317</v>
      </c>
      <c r="D3373" s="23" t="str">
        <f t="shared" si="156"/>
        <v>ORD26004960</v>
      </c>
      <c r="E3373" s="38">
        <v>46283</v>
      </c>
      <c r="F3373" s="23" t="s">
        <v>12410</v>
      </c>
      <c r="G3373" s="23" t="s">
        <v>79</v>
      </c>
      <c r="H3373" s="24">
        <v>4999</v>
      </c>
      <c r="I3373" s="24">
        <v>79.98</v>
      </c>
      <c r="J3373" s="24">
        <v>14.4</v>
      </c>
      <c r="K3373" s="24">
        <v>4904.62</v>
      </c>
      <c r="L3373" s="38">
        <v>46285</v>
      </c>
      <c r="M3373" s="23" t="s">
        <v>212</v>
      </c>
      <c r="N3373" s="23" t="str">
        <f>IF(COUNTIF($A$2:A3373,A3373)&gt;1,"DUP","OK")</f>
        <v>OK</v>
      </c>
      <c r="O3373" s="23" t="str">
        <f t="shared" si="157"/>
        <v>ORD26004960</v>
      </c>
      <c r="P3373" s="23" t="str">
        <f t="shared" si="158"/>
        <v>Sep</v>
      </c>
      <c r="Q3373" s="23" t="str">
        <f>IF(F3373="CAPTURE",IF(COUNTIF(orders!$A:$A,O3373)&gt;0,"Yes","NO ORDER"),"")</f>
        <v>Yes</v>
      </c>
    </row>
    <row r="3374" spans="1:17" ht="15" customHeight="1" x14ac:dyDescent="0.3">
      <c r="A3374" s="23" t="s">
        <v>16318</v>
      </c>
      <c r="B3374" s="23"/>
      <c r="C3374" s="23" t="s">
        <v>16319</v>
      </c>
      <c r="D3374" s="23" t="str">
        <f t="shared" si="156"/>
        <v>ORD26005019</v>
      </c>
      <c r="E3374" s="38">
        <v>46283</v>
      </c>
      <c r="F3374" s="23" t="s">
        <v>12410</v>
      </c>
      <c r="G3374" s="23" t="s">
        <v>75</v>
      </c>
      <c r="H3374" s="24">
        <v>1299</v>
      </c>
      <c r="I3374" s="24">
        <v>0</v>
      </c>
      <c r="J3374" s="24">
        <v>0</v>
      </c>
      <c r="K3374" s="24">
        <v>1299</v>
      </c>
      <c r="L3374" s="38">
        <v>46285</v>
      </c>
      <c r="M3374" s="23" t="s">
        <v>212</v>
      </c>
      <c r="N3374" s="23" t="str">
        <f>IF(COUNTIF($A$2:A3374,A3374)&gt;1,"DUP","OK")</f>
        <v>OK</v>
      </c>
      <c r="O3374" s="23" t="str">
        <f t="shared" si="157"/>
        <v>ORD26005019</v>
      </c>
      <c r="P3374" s="23" t="str">
        <f t="shared" si="158"/>
        <v>Sep</v>
      </c>
      <c r="Q3374" s="23" t="str">
        <f>IF(F3374="CAPTURE",IF(COUNTIF(orders!$A:$A,O3374)&gt;0,"Yes","NO ORDER"),"")</f>
        <v>Yes</v>
      </c>
    </row>
    <row r="3375" spans="1:17" ht="15" customHeight="1" x14ac:dyDescent="0.3">
      <c r="A3375" s="23" t="s">
        <v>16320</v>
      </c>
      <c r="B3375" s="23"/>
      <c r="C3375" s="23" t="s">
        <v>10540</v>
      </c>
      <c r="D3375" s="23" t="str">
        <f t="shared" si="156"/>
        <v>ORD26005047</v>
      </c>
      <c r="E3375" s="38">
        <v>46283</v>
      </c>
      <c r="F3375" s="23" t="s">
        <v>12410</v>
      </c>
      <c r="G3375" s="23" t="s">
        <v>79</v>
      </c>
      <c r="H3375" s="24">
        <v>4998</v>
      </c>
      <c r="I3375" s="24">
        <v>79.97</v>
      </c>
      <c r="J3375" s="24">
        <v>14.39</v>
      </c>
      <c r="K3375" s="24">
        <v>4903.6400000000003</v>
      </c>
      <c r="L3375" s="38">
        <v>46285</v>
      </c>
      <c r="M3375" s="23" t="s">
        <v>212</v>
      </c>
      <c r="N3375" s="23" t="str">
        <f>IF(COUNTIF($A$2:A3375,A3375)&gt;1,"DUP","OK")</f>
        <v>OK</v>
      </c>
      <c r="O3375" s="23" t="str">
        <f t="shared" si="157"/>
        <v>ORD26005047</v>
      </c>
      <c r="P3375" s="23" t="str">
        <f t="shared" si="158"/>
        <v>Sep</v>
      </c>
      <c r="Q3375" s="23" t="str">
        <f>IF(F3375="CAPTURE",IF(COUNTIF(orders!$A:$A,O3375)&gt;0,"Yes","NO ORDER"),"")</f>
        <v>Yes</v>
      </c>
    </row>
    <row r="3376" spans="1:17" ht="15" customHeight="1" x14ac:dyDescent="0.3">
      <c r="A3376" s="23" t="s">
        <v>16321</v>
      </c>
      <c r="B3376" s="23"/>
      <c r="C3376" s="23" t="s">
        <v>10608</v>
      </c>
      <c r="D3376" s="23" t="str">
        <f t="shared" si="156"/>
        <v>ORD26005081</v>
      </c>
      <c r="E3376" s="38">
        <v>46283</v>
      </c>
      <c r="F3376" s="23" t="s">
        <v>12410</v>
      </c>
      <c r="G3376" s="23" t="s">
        <v>79</v>
      </c>
      <c r="H3376" s="24">
        <v>4798</v>
      </c>
      <c r="I3376" s="24">
        <v>76.77</v>
      </c>
      <c r="J3376" s="24">
        <v>13.82</v>
      </c>
      <c r="K3376" s="24">
        <v>4707.41</v>
      </c>
      <c r="L3376" s="38">
        <v>46285</v>
      </c>
      <c r="M3376" s="23" t="s">
        <v>212</v>
      </c>
      <c r="N3376" s="23" t="str">
        <f>IF(COUNTIF($A$2:A3376,A3376)&gt;1,"DUP","OK")</f>
        <v>OK</v>
      </c>
      <c r="O3376" s="23" t="str">
        <f t="shared" si="157"/>
        <v>ORD26005081</v>
      </c>
      <c r="P3376" s="23" t="str">
        <f t="shared" si="158"/>
        <v>Sep</v>
      </c>
      <c r="Q3376" s="23" t="str">
        <f>IF(F3376="CAPTURE",IF(COUNTIF(orders!$A:$A,O3376)&gt;0,"Yes","NO ORDER"),"")</f>
        <v>Yes</v>
      </c>
    </row>
    <row r="3377" spans="1:17" ht="15" customHeight="1" x14ac:dyDescent="0.3">
      <c r="A3377" s="23" t="s">
        <v>16322</v>
      </c>
      <c r="B3377" s="23"/>
      <c r="C3377" s="23" t="s">
        <v>10679</v>
      </c>
      <c r="D3377" s="23" t="str">
        <f t="shared" si="156"/>
        <v>ORD26005118</v>
      </c>
      <c r="E3377" s="38">
        <v>46283</v>
      </c>
      <c r="F3377" s="23" t="s">
        <v>12410</v>
      </c>
      <c r="G3377" s="23" t="s">
        <v>77</v>
      </c>
      <c r="H3377" s="24">
        <v>698</v>
      </c>
      <c r="I3377" s="24">
        <v>13.26</v>
      </c>
      <c r="J3377" s="24">
        <v>2.39</v>
      </c>
      <c r="K3377" s="24">
        <v>682.35</v>
      </c>
      <c r="L3377" s="38">
        <v>46285</v>
      </c>
      <c r="M3377" s="23" t="s">
        <v>212</v>
      </c>
      <c r="N3377" s="23" t="str">
        <f>IF(COUNTIF($A$2:A3377,A3377)&gt;1,"DUP","OK")</f>
        <v>OK</v>
      </c>
      <c r="O3377" s="23" t="str">
        <f t="shared" si="157"/>
        <v>ORD26005118</v>
      </c>
      <c r="P3377" s="23" t="str">
        <f t="shared" si="158"/>
        <v>Sep</v>
      </c>
      <c r="Q3377" s="23" t="str">
        <f>IF(F3377="CAPTURE",IF(COUNTIF(orders!$A:$A,O3377)&gt;0,"Yes","NO ORDER"),"")</f>
        <v>Yes</v>
      </c>
    </row>
    <row r="3378" spans="1:17" ht="15" customHeight="1" x14ac:dyDescent="0.3">
      <c r="A3378" s="23" t="s">
        <v>16323</v>
      </c>
      <c r="B3378" s="23"/>
      <c r="C3378" s="23" t="s">
        <v>10733</v>
      </c>
      <c r="D3378" s="23" t="str">
        <f t="shared" si="156"/>
        <v>ORD26005145</v>
      </c>
      <c r="E3378" s="38">
        <v>46283</v>
      </c>
      <c r="F3378" s="23" t="s">
        <v>12410</v>
      </c>
      <c r="G3378" s="23" t="s">
        <v>81</v>
      </c>
      <c r="H3378" s="24">
        <v>349</v>
      </c>
      <c r="I3378" s="24">
        <v>5.24</v>
      </c>
      <c r="J3378" s="24">
        <v>0.94</v>
      </c>
      <c r="K3378" s="24">
        <v>342.82</v>
      </c>
      <c r="L3378" s="38">
        <v>46285</v>
      </c>
      <c r="M3378" s="23" t="s">
        <v>212</v>
      </c>
      <c r="N3378" s="23" t="str">
        <f>IF(COUNTIF($A$2:A3378,A3378)&gt;1,"DUP","OK")</f>
        <v>OK</v>
      </c>
      <c r="O3378" s="23" t="str">
        <f t="shared" si="157"/>
        <v>ORD26005145</v>
      </c>
      <c r="P3378" s="23" t="str">
        <f t="shared" si="158"/>
        <v>Sep</v>
      </c>
      <c r="Q3378" s="23" t="str">
        <f>IF(F3378="CAPTURE",IF(COUNTIF(orders!$A:$A,O3378)&gt;0,"Yes","NO ORDER"),"")</f>
        <v>Yes</v>
      </c>
    </row>
    <row r="3379" spans="1:17" ht="15" customHeight="1" x14ac:dyDescent="0.3">
      <c r="A3379" s="23" t="s">
        <v>16324</v>
      </c>
      <c r="B3379" s="23"/>
      <c r="C3379" s="23" t="s">
        <v>10764</v>
      </c>
      <c r="D3379" s="23" t="str">
        <f t="shared" si="156"/>
        <v>ORD26005162</v>
      </c>
      <c r="E3379" s="38">
        <v>46283</v>
      </c>
      <c r="F3379" s="23" t="s">
        <v>12410</v>
      </c>
      <c r="G3379" s="23" t="s">
        <v>75</v>
      </c>
      <c r="H3379" s="24">
        <v>4498</v>
      </c>
      <c r="I3379" s="24">
        <v>13.49</v>
      </c>
      <c r="J3379" s="24">
        <v>2.4300000000000002</v>
      </c>
      <c r="K3379" s="24">
        <v>4482.08</v>
      </c>
      <c r="L3379" s="38">
        <v>46285</v>
      </c>
      <c r="M3379" s="23" t="s">
        <v>212</v>
      </c>
      <c r="N3379" s="23" t="str">
        <f>IF(COUNTIF($A$2:A3379,A3379)&gt;1,"DUP","OK")</f>
        <v>OK</v>
      </c>
      <c r="O3379" s="23" t="str">
        <f t="shared" si="157"/>
        <v>ORD26005162</v>
      </c>
      <c r="P3379" s="23" t="str">
        <f t="shared" si="158"/>
        <v>Sep</v>
      </c>
      <c r="Q3379" s="23" t="str">
        <f>IF(F3379="CAPTURE",IF(COUNTIF(orders!$A:$A,O3379)&gt;0,"Yes","NO ORDER"),"")</f>
        <v>Yes</v>
      </c>
    </row>
    <row r="3380" spans="1:17" ht="15" customHeight="1" x14ac:dyDescent="0.3">
      <c r="A3380" s="23" t="s">
        <v>16325</v>
      </c>
      <c r="B3380" s="23"/>
      <c r="C3380" s="23" t="s">
        <v>10814</v>
      </c>
      <c r="D3380" s="23" t="str">
        <f t="shared" si="156"/>
        <v>ORD26005187</v>
      </c>
      <c r="E3380" s="38">
        <v>46283</v>
      </c>
      <c r="F3380" s="23" t="s">
        <v>12410</v>
      </c>
      <c r="G3380" s="23" t="s">
        <v>75</v>
      </c>
      <c r="H3380" s="24">
        <v>3797</v>
      </c>
      <c r="I3380" s="24">
        <v>11.39</v>
      </c>
      <c r="J3380" s="24">
        <v>2.0499999999999998</v>
      </c>
      <c r="K3380" s="24">
        <v>3783.56</v>
      </c>
      <c r="L3380" s="38">
        <v>46285</v>
      </c>
      <c r="M3380" s="23" t="s">
        <v>212</v>
      </c>
      <c r="N3380" s="23" t="str">
        <f>IF(COUNTIF($A$2:A3380,A3380)&gt;1,"DUP","OK")</f>
        <v>OK</v>
      </c>
      <c r="O3380" s="23" t="str">
        <f t="shared" si="157"/>
        <v>ORD26005187</v>
      </c>
      <c r="P3380" s="23" t="str">
        <f t="shared" si="158"/>
        <v>Sep</v>
      </c>
      <c r="Q3380" s="23" t="str">
        <f>IF(F3380="CAPTURE",IF(COUNTIF(orders!$A:$A,O3380)&gt;0,"Yes","NO ORDER"),"")</f>
        <v>Yes</v>
      </c>
    </row>
    <row r="3381" spans="1:17" ht="15" customHeight="1" x14ac:dyDescent="0.3">
      <c r="A3381" s="23" t="s">
        <v>16326</v>
      </c>
      <c r="B3381" s="23"/>
      <c r="C3381" s="23" t="s">
        <v>10858</v>
      </c>
      <c r="D3381" s="23" t="str">
        <f t="shared" si="156"/>
        <v>ORD26005209</v>
      </c>
      <c r="E3381" s="38">
        <v>46283</v>
      </c>
      <c r="F3381" s="23" t="s">
        <v>12410</v>
      </c>
      <c r="G3381" s="23" t="s">
        <v>75</v>
      </c>
      <c r="H3381" s="24">
        <v>1998</v>
      </c>
      <c r="I3381" s="24">
        <v>0</v>
      </c>
      <c r="J3381" s="24">
        <v>0</v>
      </c>
      <c r="K3381" s="24">
        <v>1998</v>
      </c>
      <c r="L3381" s="38">
        <v>46285</v>
      </c>
      <c r="M3381" s="23" t="s">
        <v>212</v>
      </c>
      <c r="N3381" s="23" t="str">
        <f>IF(COUNTIF($A$2:A3381,A3381)&gt;1,"DUP","OK")</f>
        <v>OK</v>
      </c>
      <c r="O3381" s="23" t="str">
        <f t="shared" si="157"/>
        <v>ORD26005209</v>
      </c>
      <c r="P3381" s="23" t="str">
        <f t="shared" si="158"/>
        <v>Sep</v>
      </c>
      <c r="Q3381" s="23" t="str">
        <f>IF(F3381="CAPTURE",IF(COUNTIF(orders!$A:$A,O3381)&gt;0,"Yes","NO ORDER"),"")</f>
        <v>Yes</v>
      </c>
    </row>
    <row r="3382" spans="1:17" ht="15" customHeight="1" x14ac:dyDescent="0.3">
      <c r="A3382" s="23" t="s">
        <v>16327</v>
      </c>
      <c r="B3382" s="23"/>
      <c r="C3382" s="23" t="s">
        <v>10906</v>
      </c>
      <c r="D3382" s="23" t="str">
        <f t="shared" si="156"/>
        <v>ORD26005234</v>
      </c>
      <c r="E3382" s="38">
        <v>46283</v>
      </c>
      <c r="F3382" s="23" t="s">
        <v>12410</v>
      </c>
      <c r="G3382" s="23" t="s">
        <v>75</v>
      </c>
      <c r="H3382" s="24">
        <v>648</v>
      </c>
      <c r="I3382" s="24">
        <v>0</v>
      </c>
      <c r="J3382" s="24">
        <v>0</v>
      </c>
      <c r="K3382" s="24">
        <v>648</v>
      </c>
      <c r="L3382" s="38">
        <v>46285</v>
      </c>
      <c r="M3382" s="23" t="s">
        <v>212</v>
      </c>
      <c r="N3382" s="23" t="str">
        <f>IF(COUNTIF($A$2:A3382,A3382)&gt;1,"DUP","OK")</f>
        <v>OK</v>
      </c>
      <c r="O3382" s="23" t="str">
        <f t="shared" si="157"/>
        <v>ORD26005234</v>
      </c>
      <c r="P3382" s="23" t="str">
        <f t="shared" si="158"/>
        <v>Sep</v>
      </c>
      <c r="Q3382" s="23" t="str">
        <f>IF(F3382="CAPTURE",IF(COUNTIF(orders!$A:$A,O3382)&gt;0,"Yes","NO ORDER"),"")</f>
        <v>Yes</v>
      </c>
    </row>
    <row r="3383" spans="1:17" ht="15" customHeight="1" x14ac:dyDescent="0.3">
      <c r="A3383" s="23" t="s">
        <v>16328</v>
      </c>
      <c r="B3383" s="23"/>
      <c r="C3383" s="23" t="s">
        <v>10916</v>
      </c>
      <c r="D3383" s="23" t="str">
        <f t="shared" si="156"/>
        <v>ORD26005239</v>
      </c>
      <c r="E3383" s="38">
        <v>46283</v>
      </c>
      <c r="F3383" s="23" t="s">
        <v>12410</v>
      </c>
      <c r="G3383" s="23" t="s">
        <v>79</v>
      </c>
      <c r="H3383" s="24">
        <v>5298</v>
      </c>
      <c r="I3383" s="24">
        <v>84.77</v>
      </c>
      <c r="J3383" s="24">
        <v>15.26</v>
      </c>
      <c r="K3383" s="24">
        <v>5197.97</v>
      </c>
      <c r="L3383" s="38">
        <v>46285</v>
      </c>
      <c r="M3383" s="23" t="s">
        <v>212</v>
      </c>
      <c r="N3383" s="23" t="str">
        <f>IF(COUNTIF($A$2:A3383,A3383)&gt;1,"DUP","OK")</f>
        <v>OK</v>
      </c>
      <c r="O3383" s="23" t="str">
        <f t="shared" si="157"/>
        <v>ORD26005239</v>
      </c>
      <c r="P3383" s="23" t="str">
        <f t="shared" si="158"/>
        <v>Sep</v>
      </c>
      <c r="Q3383" s="23" t="str">
        <f>IF(F3383="CAPTURE",IF(COUNTIF(orders!$A:$A,O3383)&gt;0,"Yes","NO ORDER"),"")</f>
        <v>Yes</v>
      </c>
    </row>
    <row r="3384" spans="1:17" ht="15" customHeight="1" x14ac:dyDescent="0.3">
      <c r="A3384" s="23" t="s">
        <v>16329</v>
      </c>
      <c r="B3384" s="23"/>
      <c r="C3384" s="23" t="s">
        <v>10949</v>
      </c>
      <c r="D3384" s="23" t="str">
        <f t="shared" si="156"/>
        <v>ORD26005256</v>
      </c>
      <c r="E3384" s="38">
        <v>46283</v>
      </c>
      <c r="F3384" s="23" t="s">
        <v>12410</v>
      </c>
      <c r="G3384" s="23" t="s">
        <v>75</v>
      </c>
      <c r="H3384" s="24">
        <v>1299</v>
      </c>
      <c r="I3384" s="24">
        <v>0</v>
      </c>
      <c r="J3384" s="24">
        <v>0</v>
      </c>
      <c r="K3384" s="24">
        <v>1299</v>
      </c>
      <c r="L3384" s="38">
        <v>46285</v>
      </c>
      <c r="M3384" s="23" t="s">
        <v>212</v>
      </c>
      <c r="N3384" s="23" t="str">
        <f>IF(COUNTIF($A$2:A3384,A3384)&gt;1,"DUP","OK")</f>
        <v>OK</v>
      </c>
      <c r="O3384" s="23" t="str">
        <f t="shared" si="157"/>
        <v>ORD26005256</v>
      </c>
      <c r="P3384" s="23" t="str">
        <f t="shared" si="158"/>
        <v>Sep</v>
      </c>
      <c r="Q3384" s="23" t="str">
        <f>IF(F3384="CAPTURE",IF(COUNTIF(orders!$A:$A,O3384)&gt;0,"Yes","NO ORDER"),"")</f>
        <v>Yes</v>
      </c>
    </row>
    <row r="3385" spans="1:17" ht="15" customHeight="1" x14ac:dyDescent="0.3">
      <c r="A3385" s="23" t="s">
        <v>16330</v>
      </c>
      <c r="B3385" s="23"/>
      <c r="C3385" s="23" t="s">
        <v>10996</v>
      </c>
      <c r="D3385" s="23" t="str">
        <f t="shared" si="156"/>
        <v>ORD26005281</v>
      </c>
      <c r="E3385" s="38">
        <v>46283</v>
      </c>
      <c r="F3385" s="23" t="s">
        <v>12410</v>
      </c>
      <c r="G3385" s="23" t="s">
        <v>79</v>
      </c>
      <c r="H3385" s="24">
        <v>3147</v>
      </c>
      <c r="I3385" s="24">
        <v>50.35</v>
      </c>
      <c r="J3385" s="24">
        <v>9.06</v>
      </c>
      <c r="K3385" s="24">
        <v>3087.59</v>
      </c>
      <c r="L3385" s="38">
        <v>46285</v>
      </c>
      <c r="M3385" s="23" t="s">
        <v>212</v>
      </c>
      <c r="N3385" s="23" t="str">
        <f>IF(COUNTIF($A$2:A3385,A3385)&gt;1,"DUP","OK")</f>
        <v>OK</v>
      </c>
      <c r="O3385" s="23" t="str">
        <f t="shared" si="157"/>
        <v>ORD26005281</v>
      </c>
      <c r="P3385" s="23" t="str">
        <f t="shared" si="158"/>
        <v>Sep</v>
      </c>
      <c r="Q3385" s="23" t="str">
        <f>IF(F3385="CAPTURE",IF(COUNTIF(orders!$A:$A,O3385)&gt;0,"Yes","NO ORDER"),"")</f>
        <v>Yes</v>
      </c>
    </row>
    <row r="3386" spans="1:17" ht="15" customHeight="1" x14ac:dyDescent="0.3">
      <c r="A3386" s="23" t="s">
        <v>16331</v>
      </c>
      <c r="B3386" s="23"/>
      <c r="C3386" s="23" t="s">
        <v>11014</v>
      </c>
      <c r="D3386" s="23" t="str">
        <f t="shared" si="156"/>
        <v>ORD26005290</v>
      </c>
      <c r="E3386" s="38">
        <v>46283</v>
      </c>
      <c r="F3386" s="23" t="s">
        <v>12410</v>
      </c>
      <c r="G3386" s="23" t="s">
        <v>81</v>
      </c>
      <c r="H3386" s="24">
        <v>3499</v>
      </c>
      <c r="I3386" s="24">
        <v>41.99</v>
      </c>
      <c r="J3386" s="24">
        <v>7.56</v>
      </c>
      <c r="K3386" s="24">
        <v>3449.45</v>
      </c>
      <c r="L3386" s="38">
        <v>46285</v>
      </c>
      <c r="M3386" s="23" t="s">
        <v>212</v>
      </c>
      <c r="N3386" s="23" t="str">
        <f>IF(COUNTIF($A$2:A3386,A3386)&gt;1,"DUP","OK")</f>
        <v>OK</v>
      </c>
      <c r="O3386" s="23" t="str">
        <f t="shared" si="157"/>
        <v>ORD26005290</v>
      </c>
      <c r="P3386" s="23" t="str">
        <f t="shared" si="158"/>
        <v>Sep</v>
      </c>
      <c r="Q3386" s="23" t="str">
        <f>IF(F3386="CAPTURE",IF(COUNTIF(orders!$A:$A,O3386)&gt;0,"Yes","NO ORDER"),"")</f>
        <v>Yes</v>
      </c>
    </row>
    <row r="3387" spans="1:17" ht="15" customHeight="1" x14ac:dyDescent="0.3">
      <c r="A3387" s="23" t="s">
        <v>16332</v>
      </c>
      <c r="B3387" s="23"/>
      <c r="C3387" s="23" t="s">
        <v>11063</v>
      </c>
      <c r="D3387" s="23" t="str">
        <f t="shared" si="156"/>
        <v>ORD26005315</v>
      </c>
      <c r="E3387" s="38">
        <v>46283</v>
      </c>
      <c r="F3387" s="23" t="s">
        <v>12410</v>
      </c>
      <c r="G3387" s="23" t="s">
        <v>75</v>
      </c>
      <c r="H3387" s="24">
        <v>2499</v>
      </c>
      <c r="I3387" s="24">
        <v>7.5</v>
      </c>
      <c r="J3387" s="24">
        <v>1.35</v>
      </c>
      <c r="K3387" s="24">
        <v>2490.15</v>
      </c>
      <c r="L3387" s="38">
        <v>46285</v>
      </c>
      <c r="M3387" s="23" t="s">
        <v>212</v>
      </c>
      <c r="N3387" s="23" t="str">
        <f>IF(COUNTIF($A$2:A3387,A3387)&gt;1,"DUP","OK")</f>
        <v>OK</v>
      </c>
      <c r="O3387" s="23" t="str">
        <f t="shared" si="157"/>
        <v>ORD26005315</v>
      </c>
      <c r="P3387" s="23" t="str">
        <f t="shared" si="158"/>
        <v>Sep</v>
      </c>
      <c r="Q3387" s="23" t="str">
        <f>IF(F3387="CAPTURE",IF(COUNTIF(orders!$A:$A,O3387)&gt;0,"Yes","NO ORDER"),"")</f>
        <v>Yes</v>
      </c>
    </row>
    <row r="3388" spans="1:17" ht="15" customHeight="1" x14ac:dyDescent="0.3">
      <c r="A3388" s="23" t="s">
        <v>16333</v>
      </c>
      <c r="B3388" s="23"/>
      <c r="C3388" s="23" t="s">
        <v>11115</v>
      </c>
      <c r="D3388" s="23" t="str">
        <f t="shared" si="156"/>
        <v>ORD26005341</v>
      </c>
      <c r="E3388" s="38">
        <v>46283</v>
      </c>
      <c r="F3388" s="23" t="s">
        <v>12410</v>
      </c>
      <c r="G3388" s="23" t="s">
        <v>75</v>
      </c>
      <c r="H3388" s="24">
        <v>599</v>
      </c>
      <c r="I3388" s="24">
        <v>0</v>
      </c>
      <c r="J3388" s="24">
        <v>0</v>
      </c>
      <c r="K3388" s="24">
        <v>599</v>
      </c>
      <c r="L3388" s="38">
        <v>46285</v>
      </c>
      <c r="M3388" s="23" t="s">
        <v>212</v>
      </c>
      <c r="N3388" s="23" t="str">
        <f>IF(COUNTIF($A$2:A3388,A3388)&gt;1,"DUP","OK")</f>
        <v>OK</v>
      </c>
      <c r="O3388" s="23" t="str">
        <f t="shared" si="157"/>
        <v>ORD26005341</v>
      </c>
      <c r="P3388" s="23" t="str">
        <f t="shared" si="158"/>
        <v>Sep</v>
      </c>
      <c r="Q3388" s="23" t="str">
        <f>IF(F3388="CAPTURE",IF(COUNTIF(orders!$A:$A,O3388)&gt;0,"Yes","NO ORDER"),"")</f>
        <v>Yes</v>
      </c>
    </row>
    <row r="3389" spans="1:17" ht="15" customHeight="1" x14ac:dyDescent="0.3">
      <c r="A3389" s="23" t="s">
        <v>16334</v>
      </c>
      <c r="B3389" s="23"/>
      <c r="C3389" s="23" t="s">
        <v>11122</v>
      </c>
      <c r="D3389" s="23" t="str">
        <f t="shared" si="156"/>
        <v>ORD26005345</v>
      </c>
      <c r="E3389" s="38">
        <v>46283</v>
      </c>
      <c r="F3389" s="23" t="s">
        <v>12410</v>
      </c>
      <c r="G3389" s="23" t="s">
        <v>75</v>
      </c>
      <c r="H3389" s="24">
        <v>6847</v>
      </c>
      <c r="I3389" s="24">
        <v>20.54</v>
      </c>
      <c r="J3389" s="24">
        <v>3.7</v>
      </c>
      <c r="K3389" s="24">
        <v>6822.76</v>
      </c>
      <c r="L3389" s="38">
        <v>46285</v>
      </c>
      <c r="M3389" s="23" t="s">
        <v>212</v>
      </c>
      <c r="N3389" s="23" t="str">
        <f>IF(COUNTIF($A$2:A3389,A3389)&gt;1,"DUP","OK")</f>
        <v>OK</v>
      </c>
      <c r="O3389" s="23" t="str">
        <f t="shared" si="157"/>
        <v>ORD26005345</v>
      </c>
      <c r="P3389" s="23" t="str">
        <f t="shared" si="158"/>
        <v>Sep</v>
      </c>
      <c r="Q3389" s="23" t="str">
        <f>IF(F3389="CAPTURE",IF(COUNTIF(orders!$A:$A,O3389)&gt;0,"Yes","NO ORDER"),"")</f>
        <v>Yes</v>
      </c>
    </row>
    <row r="3390" spans="1:17" ht="15" customHeight="1" x14ac:dyDescent="0.3">
      <c r="A3390" s="23" t="s">
        <v>16335</v>
      </c>
      <c r="B3390" s="23"/>
      <c r="C3390" s="23" t="s">
        <v>11257</v>
      </c>
      <c r="D3390" s="23" t="str">
        <f t="shared" si="156"/>
        <v>ORD26005412</v>
      </c>
      <c r="E3390" s="38">
        <v>46283</v>
      </c>
      <c r="F3390" s="23" t="s">
        <v>12410</v>
      </c>
      <c r="G3390" s="23" t="s">
        <v>75</v>
      </c>
      <c r="H3390" s="24">
        <v>2499</v>
      </c>
      <c r="I3390" s="24">
        <v>7.5</v>
      </c>
      <c r="J3390" s="24">
        <v>1.35</v>
      </c>
      <c r="K3390" s="24">
        <v>2490.15</v>
      </c>
      <c r="L3390" s="38">
        <v>46285</v>
      </c>
      <c r="M3390" s="23" t="s">
        <v>212</v>
      </c>
      <c r="N3390" s="23" t="str">
        <f>IF(COUNTIF($A$2:A3390,A3390)&gt;1,"DUP","OK")</f>
        <v>OK</v>
      </c>
      <c r="O3390" s="23" t="str">
        <f t="shared" si="157"/>
        <v>ORD26005412</v>
      </c>
      <c r="P3390" s="23" t="str">
        <f t="shared" si="158"/>
        <v>Sep</v>
      </c>
      <c r="Q3390" s="23" t="str">
        <f>IF(F3390="CAPTURE",IF(COUNTIF(orders!$A:$A,O3390)&gt;0,"Yes","NO ORDER"),"")</f>
        <v>Yes</v>
      </c>
    </row>
    <row r="3391" spans="1:17" ht="15" customHeight="1" x14ac:dyDescent="0.3">
      <c r="A3391" s="23" t="s">
        <v>16336</v>
      </c>
      <c r="B3391" s="23"/>
      <c r="C3391" s="23" t="s">
        <v>11309</v>
      </c>
      <c r="D3391" s="23" t="str">
        <f t="shared" si="156"/>
        <v>ORD26005439</v>
      </c>
      <c r="E3391" s="38">
        <v>46283</v>
      </c>
      <c r="F3391" s="23" t="s">
        <v>12410</v>
      </c>
      <c r="G3391" s="23" t="s">
        <v>75</v>
      </c>
      <c r="H3391" s="24">
        <v>3498</v>
      </c>
      <c r="I3391" s="24">
        <v>10.49</v>
      </c>
      <c r="J3391" s="24">
        <v>1.89</v>
      </c>
      <c r="K3391" s="24">
        <v>3485.62</v>
      </c>
      <c r="L3391" s="38">
        <v>46285</v>
      </c>
      <c r="M3391" s="23" t="s">
        <v>212</v>
      </c>
      <c r="N3391" s="23" t="str">
        <f>IF(COUNTIF($A$2:A3391,A3391)&gt;1,"DUP","OK")</f>
        <v>OK</v>
      </c>
      <c r="O3391" s="23" t="str">
        <f t="shared" si="157"/>
        <v>ORD26005439</v>
      </c>
      <c r="P3391" s="23" t="str">
        <f t="shared" si="158"/>
        <v>Sep</v>
      </c>
      <c r="Q3391" s="23" t="str">
        <f>IF(F3391="CAPTURE",IF(COUNTIF(orders!$A:$A,O3391)&gt;0,"Yes","NO ORDER"),"")</f>
        <v>Yes</v>
      </c>
    </row>
    <row r="3392" spans="1:17" ht="15" customHeight="1" x14ac:dyDescent="0.3">
      <c r="A3392" s="23" t="s">
        <v>16337</v>
      </c>
      <c r="B3392" s="23"/>
      <c r="C3392" s="23" t="s">
        <v>11354</v>
      </c>
      <c r="D3392" s="23" t="str">
        <f t="shared" si="156"/>
        <v>ORD26005462</v>
      </c>
      <c r="E3392" s="38">
        <v>46283</v>
      </c>
      <c r="F3392" s="23" t="s">
        <v>12410</v>
      </c>
      <c r="G3392" s="23" t="s">
        <v>79</v>
      </c>
      <c r="H3392" s="24">
        <v>4999</v>
      </c>
      <c r="I3392" s="24">
        <v>79.98</v>
      </c>
      <c r="J3392" s="24">
        <v>14.4</v>
      </c>
      <c r="K3392" s="24">
        <v>4904.62</v>
      </c>
      <c r="L3392" s="38">
        <v>46285</v>
      </c>
      <c r="M3392" s="23" t="s">
        <v>212</v>
      </c>
      <c r="N3392" s="23" t="str">
        <f>IF(COUNTIF($A$2:A3392,A3392)&gt;1,"DUP","OK")</f>
        <v>OK</v>
      </c>
      <c r="O3392" s="23" t="str">
        <f t="shared" si="157"/>
        <v>ORD26005462</v>
      </c>
      <c r="P3392" s="23" t="str">
        <f t="shared" si="158"/>
        <v>Sep</v>
      </c>
      <c r="Q3392" s="23" t="str">
        <f>IF(F3392="CAPTURE",IF(COUNTIF(orders!$A:$A,O3392)&gt;0,"Yes","NO ORDER"),"")</f>
        <v>Yes</v>
      </c>
    </row>
    <row r="3393" spans="1:17" ht="15" customHeight="1" x14ac:dyDescent="0.3">
      <c r="A3393" s="23" t="s">
        <v>16338</v>
      </c>
      <c r="B3393" s="23"/>
      <c r="C3393" s="23" t="s">
        <v>11370</v>
      </c>
      <c r="D3393" s="23" t="str">
        <f t="shared" si="156"/>
        <v>ORD26005470</v>
      </c>
      <c r="E3393" s="38">
        <v>46283</v>
      </c>
      <c r="F3393" s="23" t="s">
        <v>12410</v>
      </c>
      <c r="G3393" s="23" t="s">
        <v>77</v>
      </c>
      <c r="H3393" s="24">
        <v>4498</v>
      </c>
      <c r="I3393" s="24">
        <v>76.47</v>
      </c>
      <c r="J3393" s="24">
        <v>13.76</v>
      </c>
      <c r="K3393" s="24">
        <v>4407.7700000000004</v>
      </c>
      <c r="L3393" s="38">
        <v>46285</v>
      </c>
      <c r="M3393" s="23" t="s">
        <v>212</v>
      </c>
      <c r="N3393" s="23" t="str">
        <f>IF(COUNTIF($A$2:A3393,A3393)&gt;1,"DUP","OK")</f>
        <v>OK</v>
      </c>
      <c r="O3393" s="23" t="str">
        <f t="shared" si="157"/>
        <v>ORD26005470</v>
      </c>
      <c r="P3393" s="23" t="str">
        <f t="shared" si="158"/>
        <v>Sep</v>
      </c>
      <c r="Q3393" s="23" t="str">
        <f>IF(F3393="CAPTURE",IF(COUNTIF(orders!$A:$A,O3393)&gt;0,"Yes","NO ORDER"),"")</f>
        <v>Yes</v>
      </c>
    </row>
    <row r="3394" spans="1:17" ht="15" customHeight="1" x14ac:dyDescent="0.3">
      <c r="A3394" s="23" t="s">
        <v>16339</v>
      </c>
      <c r="B3394" s="23"/>
      <c r="C3394" s="23" t="s">
        <v>11372</v>
      </c>
      <c r="D3394" s="23" t="str">
        <f t="shared" ref="D3394:D3457" si="159">UPPER(SUBSTITUTE(TRIM(C3394),"-",""))</f>
        <v>ORD26005471</v>
      </c>
      <c r="E3394" s="38">
        <v>46283</v>
      </c>
      <c r="F3394" s="23" t="s">
        <v>12410</v>
      </c>
      <c r="G3394" s="23" t="s">
        <v>77</v>
      </c>
      <c r="H3394" s="24">
        <v>2398</v>
      </c>
      <c r="I3394" s="24">
        <v>40.770000000000003</v>
      </c>
      <c r="J3394" s="24">
        <v>7.34</v>
      </c>
      <c r="K3394" s="24">
        <v>2349.89</v>
      </c>
      <c r="L3394" s="38">
        <v>46285</v>
      </c>
      <c r="M3394" s="23" t="s">
        <v>212</v>
      </c>
      <c r="N3394" s="23" t="str">
        <f>IF(COUNTIF($A$2:A3394,A3394)&gt;1,"DUP","OK")</f>
        <v>OK</v>
      </c>
      <c r="O3394" s="23" t="str">
        <f t="shared" ref="O3394:O3457" si="160">IF(F3394="REFUND",INDEX($D:$D,MATCH(B3394,$A:$A,0)),D3394)</f>
        <v>ORD26005471</v>
      </c>
      <c r="P3394" s="23" t="str">
        <f t="shared" ref="P3394:P3457" si="161">IF(L3394&gt;DATE(2026,9,30),"Oct-Due","Sep")</f>
        <v>Sep</v>
      </c>
      <c r="Q3394" s="23" t="str">
        <f>IF(F3394="CAPTURE",IF(COUNTIF(orders!$A:$A,O3394)&gt;0,"Yes","NO ORDER"),"")</f>
        <v>Yes</v>
      </c>
    </row>
    <row r="3395" spans="1:17" ht="15" customHeight="1" x14ac:dyDescent="0.3">
      <c r="A3395" s="23" t="s">
        <v>16340</v>
      </c>
      <c r="B3395" s="23"/>
      <c r="C3395" s="23" t="s">
        <v>11638</v>
      </c>
      <c r="D3395" s="23" t="str">
        <f t="shared" si="159"/>
        <v>ORD26005608</v>
      </c>
      <c r="E3395" s="38">
        <v>46283</v>
      </c>
      <c r="F3395" s="23" t="s">
        <v>12410</v>
      </c>
      <c r="G3395" s="23" t="s">
        <v>75</v>
      </c>
      <c r="H3395" s="24">
        <v>2499</v>
      </c>
      <c r="I3395" s="24">
        <v>7.5</v>
      </c>
      <c r="J3395" s="24">
        <v>1.35</v>
      </c>
      <c r="K3395" s="24">
        <v>2490.15</v>
      </c>
      <c r="L3395" s="38">
        <v>46285</v>
      </c>
      <c r="M3395" s="23" t="s">
        <v>212</v>
      </c>
      <c r="N3395" s="23" t="str">
        <f>IF(COUNTIF($A$2:A3395,A3395)&gt;1,"DUP","OK")</f>
        <v>OK</v>
      </c>
      <c r="O3395" s="23" t="str">
        <f t="shared" si="160"/>
        <v>ORD26005608</v>
      </c>
      <c r="P3395" s="23" t="str">
        <f t="shared" si="161"/>
        <v>Sep</v>
      </c>
      <c r="Q3395" s="23" t="str">
        <f>IF(F3395="CAPTURE",IF(COUNTIF(orders!$A:$A,O3395)&gt;0,"Yes","NO ORDER"),"")</f>
        <v>Yes</v>
      </c>
    </row>
    <row r="3396" spans="1:17" ht="15" customHeight="1" x14ac:dyDescent="0.3">
      <c r="A3396" s="23" t="s">
        <v>16341</v>
      </c>
      <c r="B3396" s="23"/>
      <c r="C3396" s="23" t="s">
        <v>11712</v>
      </c>
      <c r="D3396" s="23" t="str">
        <f t="shared" si="159"/>
        <v>ORD26005645</v>
      </c>
      <c r="E3396" s="38">
        <v>46283</v>
      </c>
      <c r="F3396" s="23" t="s">
        <v>12410</v>
      </c>
      <c r="G3396" s="23" t="s">
        <v>79</v>
      </c>
      <c r="H3396" s="24">
        <v>4999</v>
      </c>
      <c r="I3396" s="24">
        <v>79.98</v>
      </c>
      <c r="J3396" s="24">
        <v>14.4</v>
      </c>
      <c r="K3396" s="24">
        <v>4904.62</v>
      </c>
      <c r="L3396" s="38">
        <v>46285</v>
      </c>
      <c r="M3396" s="23" t="s">
        <v>212</v>
      </c>
      <c r="N3396" s="23" t="str">
        <f>IF(COUNTIF($A$2:A3396,A3396)&gt;1,"DUP","OK")</f>
        <v>OK</v>
      </c>
      <c r="O3396" s="23" t="str">
        <f t="shared" si="160"/>
        <v>ORD26005645</v>
      </c>
      <c r="P3396" s="23" t="str">
        <f t="shared" si="161"/>
        <v>Sep</v>
      </c>
      <c r="Q3396" s="23" t="str">
        <f>IF(F3396="CAPTURE",IF(COUNTIF(orders!$A:$A,O3396)&gt;0,"Yes","NO ORDER"),"")</f>
        <v>Yes</v>
      </c>
    </row>
    <row r="3397" spans="1:17" ht="15" customHeight="1" x14ac:dyDescent="0.3">
      <c r="A3397" s="23" t="s">
        <v>16342</v>
      </c>
      <c r="B3397" s="23"/>
      <c r="C3397" s="23" t="s">
        <v>11804</v>
      </c>
      <c r="D3397" s="23" t="str">
        <f t="shared" si="159"/>
        <v>ORD26005693</v>
      </c>
      <c r="E3397" s="38">
        <v>46283</v>
      </c>
      <c r="F3397" s="23" t="s">
        <v>12410</v>
      </c>
      <c r="G3397" s="23" t="s">
        <v>79</v>
      </c>
      <c r="H3397" s="24">
        <v>3498</v>
      </c>
      <c r="I3397" s="24">
        <v>55.97</v>
      </c>
      <c r="J3397" s="24">
        <v>10.07</v>
      </c>
      <c r="K3397" s="24">
        <v>3431.96</v>
      </c>
      <c r="L3397" s="38">
        <v>46285</v>
      </c>
      <c r="M3397" s="23" t="s">
        <v>212</v>
      </c>
      <c r="N3397" s="23" t="str">
        <f>IF(COUNTIF($A$2:A3397,A3397)&gt;1,"DUP","OK")</f>
        <v>OK</v>
      </c>
      <c r="O3397" s="23" t="str">
        <f t="shared" si="160"/>
        <v>ORD26005693</v>
      </c>
      <c r="P3397" s="23" t="str">
        <f t="shared" si="161"/>
        <v>Sep</v>
      </c>
      <c r="Q3397" s="23" t="str">
        <f>IF(F3397="CAPTURE",IF(COUNTIF(orders!$A:$A,O3397)&gt;0,"Yes","NO ORDER"),"")</f>
        <v>Yes</v>
      </c>
    </row>
    <row r="3398" spans="1:17" ht="15" customHeight="1" x14ac:dyDescent="0.3">
      <c r="A3398" s="23" t="s">
        <v>16343</v>
      </c>
      <c r="B3398" s="23"/>
      <c r="C3398" s="23" t="s">
        <v>16344</v>
      </c>
      <c r="D3398" s="23" t="str">
        <f t="shared" si="159"/>
        <v>ORD26005719</v>
      </c>
      <c r="E3398" s="38">
        <v>46283</v>
      </c>
      <c r="F3398" s="23" t="s">
        <v>12410</v>
      </c>
      <c r="G3398" s="23" t="s">
        <v>79</v>
      </c>
      <c r="H3398" s="24">
        <v>2999</v>
      </c>
      <c r="I3398" s="24">
        <v>47.98</v>
      </c>
      <c r="J3398" s="24">
        <v>8.64</v>
      </c>
      <c r="K3398" s="24">
        <v>2942.38</v>
      </c>
      <c r="L3398" s="38">
        <v>46285</v>
      </c>
      <c r="M3398" s="23" t="s">
        <v>212</v>
      </c>
      <c r="N3398" s="23" t="str">
        <f>IF(COUNTIF($A$2:A3398,A3398)&gt;1,"DUP","OK")</f>
        <v>OK</v>
      </c>
      <c r="O3398" s="23" t="str">
        <f t="shared" si="160"/>
        <v>ORD26005719</v>
      </c>
      <c r="P3398" s="23" t="str">
        <f t="shared" si="161"/>
        <v>Sep</v>
      </c>
      <c r="Q3398" s="23" t="str">
        <f>IF(F3398="CAPTURE",IF(COUNTIF(orders!$A:$A,O3398)&gt;0,"Yes","NO ORDER"),"")</f>
        <v>Yes</v>
      </c>
    </row>
    <row r="3399" spans="1:17" ht="15" customHeight="1" x14ac:dyDescent="0.3">
      <c r="A3399" s="23" t="s">
        <v>16345</v>
      </c>
      <c r="B3399" s="23"/>
      <c r="C3399" s="23" t="s">
        <v>11883</v>
      </c>
      <c r="D3399" s="23" t="str">
        <f t="shared" si="159"/>
        <v>ORD26005734</v>
      </c>
      <c r="E3399" s="38">
        <v>46283</v>
      </c>
      <c r="F3399" s="23" t="s">
        <v>12410</v>
      </c>
      <c r="G3399" s="23" t="s">
        <v>75</v>
      </c>
      <c r="H3399" s="24">
        <v>3998</v>
      </c>
      <c r="I3399" s="24">
        <v>11.99</v>
      </c>
      <c r="J3399" s="24">
        <v>2.16</v>
      </c>
      <c r="K3399" s="24">
        <v>3983.85</v>
      </c>
      <c r="L3399" s="38">
        <v>46285</v>
      </c>
      <c r="M3399" s="23" t="s">
        <v>212</v>
      </c>
      <c r="N3399" s="23" t="str">
        <f>IF(COUNTIF($A$2:A3399,A3399)&gt;1,"DUP","OK")</f>
        <v>OK</v>
      </c>
      <c r="O3399" s="23" t="str">
        <f t="shared" si="160"/>
        <v>ORD26005734</v>
      </c>
      <c r="P3399" s="23" t="str">
        <f t="shared" si="161"/>
        <v>Sep</v>
      </c>
      <c r="Q3399" s="23" t="str">
        <f>IF(F3399="CAPTURE",IF(COUNTIF(orders!$A:$A,O3399)&gt;0,"Yes","NO ORDER"),"")</f>
        <v>Yes</v>
      </c>
    </row>
    <row r="3400" spans="1:17" ht="15" customHeight="1" x14ac:dyDescent="0.3">
      <c r="A3400" s="23" t="s">
        <v>16346</v>
      </c>
      <c r="B3400" s="23"/>
      <c r="C3400" s="23" t="s">
        <v>12295</v>
      </c>
      <c r="D3400" s="23" t="str">
        <f t="shared" si="159"/>
        <v>ORD26005950</v>
      </c>
      <c r="E3400" s="38">
        <v>46283</v>
      </c>
      <c r="F3400" s="23" t="s">
        <v>12410</v>
      </c>
      <c r="G3400" s="23" t="s">
        <v>75</v>
      </c>
      <c r="H3400" s="24">
        <v>2397</v>
      </c>
      <c r="I3400" s="24">
        <v>7.19</v>
      </c>
      <c r="J3400" s="24">
        <v>1.29</v>
      </c>
      <c r="K3400" s="24">
        <v>2388.52</v>
      </c>
      <c r="L3400" s="38">
        <v>46285</v>
      </c>
      <c r="M3400" s="23" t="s">
        <v>212</v>
      </c>
      <c r="N3400" s="23" t="str">
        <f>IF(COUNTIF($A$2:A3400,A3400)&gt;1,"DUP","OK")</f>
        <v>OK</v>
      </c>
      <c r="O3400" s="23" t="str">
        <f t="shared" si="160"/>
        <v>ORD26005950</v>
      </c>
      <c r="P3400" s="23" t="str">
        <f t="shared" si="161"/>
        <v>Sep</v>
      </c>
      <c r="Q3400" s="23" t="str">
        <f>IF(F3400="CAPTURE",IF(COUNTIF(orders!$A:$A,O3400)&gt;0,"Yes","NO ORDER"),"")</f>
        <v>Yes</v>
      </c>
    </row>
    <row r="3401" spans="1:17" ht="15" customHeight="1" x14ac:dyDescent="0.3">
      <c r="A3401" s="23" t="s">
        <v>16347</v>
      </c>
      <c r="B3401" s="23"/>
      <c r="C3401" s="23" t="s">
        <v>16348</v>
      </c>
      <c r="D3401" s="23" t="str">
        <f t="shared" si="159"/>
        <v>ORD26005963</v>
      </c>
      <c r="E3401" s="38">
        <v>46283</v>
      </c>
      <c r="F3401" s="23" t="s">
        <v>12410</v>
      </c>
      <c r="G3401" s="23" t="s">
        <v>81</v>
      </c>
      <c r="H3401" s="24">
        <v>2499</v>
      </c>
      <c r="I3401" s="24">
        <v>29.99</v>
      </c>
      <c r="J3401" s="24">
        <v>5.4</v>
      </c>
      <c r="K3401" s="24">
        <v>2463.61</v>
      </c>
      <c r="L3401" s="38">
        <v>46285</v>
      </c>
      <c r="M3401" s="23" t="s">
        <v>212</v>
      </c>
      <c r="N3401" s="23" t="str">
        <f>IF(COUNTIF($A$2:A3401,A3401)&gt;1,"DUP","OK")</f>
        <v>OK</v>
      </c>
      <c r="O3401" s="23" t="str">
        <f t="shared" si="160"/>
        <v>ORD26005963</v>
      </c>
      <c r="P3401" s="23" t="str">
        <f t="shared" si="161"/>
        <v>Sep</v>
      </c>
      <c r="Q3401" s="23" t="str">
        <f>IF(F3401="CAPTURE",IF(COUNTIF(orders!$A:$A,O3401)&gt;0,"Yes","NO ORDER"),"")</f>
        <v>Yes</v>
      </c>
    </row>
    <row r="3402" spans="1:17" ht="15" customHeight="1" x14ac:dyDescent="0.3">
      <c r="A3402" s="23" t="s">
        <v>16349</v>
      </c>
      <c r="B3402" s="23"/>
      <c r="C3402" s="23" t="s">
        <v>12330</v>
      </c>
      <c r="D3402" s="23" t="str">
        <f t="shared" si="159"/>
        <v>ORD26005969</v>
      </c>
      <c r="E3402" s="38">
        <v>46283</v>
      </c>
      <c r="F3402" s="23" t="s">
        <v>12410</v>
      </c>
      <c r="G3402" s="23" t="s">
        <v>79</v>
      </c>
      <c r="H3402" s="24">
        <v>4999</v>
      </c>
      <c r="I3402" s="24">
        <v>79.98</v>
      </c>
      <c r="J3402" s="24">
        <v>14.4</v>
      </c>
      <c r="K3402" s="24">
        <v>4904.62</v>
      </c>
      <c r="L3402" s="38">
        <v>46285</v>
      </c>
      <c r="M3402" s="23" t="s">
        <v>212</v>
      </c>
      <c r="N3402" s="23" t="str">
        <f>IF(COUNTIF($A$2:A3402,A3402)&gt;1,"DUP","OK")</f>
        <v>OK</v>
      </c>
      <c r="O3402" s="23" t="str">
        <f t="shared" si="160"/>
        <v>ORD26005969</v>
      </c>
      <c r="P3402" s="23" t="str">
        <f t="shared" si="161"/>
        <v>Sep</v>
      </c>
      <c r="Q3402" s="23" t="str">
        <f>IF(F3402="CAPTURE",IF(COUNTIF(orders!$A:$A,O3402)&gt;0,"Yes","NO ORDER"),"")</f>
        <v>Yes</v>
      </c>
    </row>
    <row r="3403" spans="1:17" ht="15" customHeight="1" x14ac:dyDescent="0.3">
      <c r="A3403" s="23" t="s">
        <v>16350</v>
      </c>
      <c r="B3403" s="23"/>
      <c r="C3403" s="23" t="s">
        <v>12365</v>
      </c>
      <c r="D3403" s="23" t="str">
        <f t="shared" si="159"/>
        <v>ORD26005987</v>
      </c>
      <c r="E3403" s="38">
        <v>46283</v>
      </c>
      <c r="F3403" s="23" t="s">
        <v>12410</v>
      </c>
      <c r="G3403" s="23" t="s">
        <v>75</v>
      </c>
      <c r="H3403" s="24">
        <v>6097</v>
      </c>
      <c r="I3403" s="24">
        <v>18.29</v>
      </c>
      <c r="J3403" s="24">
        <v>3.29</v>
      </c>
      <c r="K3403" s="24">
        <v>6075.42</v>
      </c>
      <c r="L3403" s="38">
        <v>46285</v>
      </c>
      <c r="M3403" s="23" t="s">
        <v>212</v>
      </c>
      <c r="N3403" s="23" t="str">
        <f>IF(COUNTIF($A$2:A3403,A3403)&gt;1,"DUP","OK")</f>
        <v>OK</v>
      </c>
      <c r="O3403" s="23" t="str">
        <f t="shared" si="160"/>
        <v>ORD26005987</v>
      </c>
      <c r="P3403" s="23" t="str">
        <f t="shared" si="161"/>
        <v>Sep</v>
      </c>
      <c r="Q3403" s="23" t="str">
        <f>IF(F3403="CAPTURE",IF(COUNTIF(orders!$A:$A,O3403)&gt;0,"Yes","NO ORDER"),"")</f>
        <v>Yes</v>
      </c>
    </row>
    <row r="3404" spans="1:17" ht="15" customHeight="1" x14ac:dyDescent="0.3">
      <c r="A3404" s="23" t="s">
        <v>16351</v>
      </c>
      <c r="B3404" s="23" t="s">
        <v>15254</v>
      </c>
      <c r="C3404" s="23"/>
      <c r="D3404" s="23" t="str">
        <f t="shared" si="159"/>
        <v/>
      </c>
      <c r="E3404" s="38">
        <v>46283</v>
      </c>
      <c r="F3404" s="23" t="s">
        <v>12791</v>
      </c>
      <c r="G3404" s="23" t="s">
        <v>79</v>
      </c>
      <c r="H3404" s="24">
        <v>1499</v>
      </c>
      <c r="I3404" s="24">
        <v>0</v>
      </c>
      <c r="J3404" s="24">
        <v>0</v>
      </c>
      <c r="K3404" s="24">
        <v>-1499</v>
      </c>
      <c r="L3404" s="38">
        <v>46285</v>
      </c>
      <c r="M3404" s="23" t="s">
        <v>212</v>
      </c>
      <c r="N3404" s="23" t="str">
        <f>IF(COUNTIF($A$2:A3404,A3404)&gt;1,"DUP","OK")</f>
        <v>OK</v>
      </c>
      <c r="O3404" s="23" t="str">
        <f t="shared" si="160"/>
        <v>ORD26004961</v>
      </c>
      <c r="P3404" s="23" t="str">
        <f t="shared" si="161"/>
        <v>Sep</v>
      </c>
      <c r="Q3404" s="23" t="str">
        <f>IF(F3404="CAPTURE",IF(COUNTIF(orders!$A:$A,O3404)&gt;0,"Yes","NO ORDER"),"")</f>
        <v/>
      </c>
    </row>
    <row r="3405" spans="1:17" ht="15" customHeight="1" x14ac:dyDescent="0.3">
      <c r="A3405" s="23" t="s">
        <v>16352</v>
      </c>
      <c r="B3405" s="23" t="s">
        <v>15441</v>
      </c>
      <c r="C3405" s="23"/>
      <c r="D3405" s="23" t="str">
        <f t="shared" si="159"/>
        <v/>
      </c>
      <c r="E3405" s="38">
        <v>46283</v>
      </c>
      <c r="F3405" s="23" t="s">
        <v>12791</v>
      </c>
      <c r="G3405" s="23" t="s">
        <v>75</v>
      </c>
      <c r="H3405" s="24">
        <v>6298</v>
      </c>
      <c r="I3405" s="24">
        <v>0</v>
      </c>
      <c r="J3405" s="24">
        <v>0</v>
      </c>
      <c r="K3405" s="24">
        <v>-6298</v>
      </c>
      <c r="L3405" s="38">
        <v>46285</v>
      </c>
      <c r="M3405" s="23" t="s">
        <v>212</v>
      </c>
      <c r="N3405" s="23" t="str">
        <f>IF(COUNTIF($A$2:A3405,A3405)&gt;1,"DUP","OK")</f>
        <v>OK</v>
      </c>
      <c r="O3405" s="23" t="str">
        <f t="shared" si="160"/>
        <v>ORD26003735</v>
      </c>
      <c r="P3405" s="23" t="str">
        <f t="shared" si="161"/>
        <v>Sep</v>
      </c>
      <c r="Q3405" s="23" t="str">
        <f>IF(F3405="CAPTURE",IF(COUNTIF(orders!$A:$A,O3405)&gt;0,"Yes","NO ORDER"),"")</f>
        <v/>
      </c>
    </row>
    <row r="3406" spans="1:17" ht="15" customHeight="1" x14ac:dyDescent="0.3">
      <c r="A3406" s="23" t="s">
        <v>16353</v>
      </c>
      <c r="B3406" s="23" t="s">
        <v>15601</v>
      </c>
      <c r="C3406" s="23"/>
      <c r="D3406" s="23" t="str">
        <f t="shared" si="159"/>
        <v/>
      </c>
      <c r="E3406" s="38">
        <v>46283</v>
      </c>
      <c r="F3406" s="23" t="s">
        <v>12791</v>
      </c>
      <c r="G3406" s="23" t="s">
        <v>75</v>
      </c>
      <c r="H3406" s="24">
        <v>2499</v>
      </c>
      <c r="I3406" s="24">
        <v>0</v>
      </c>
      <c r="J3406" s="24">
        <v>0</v>
      </c>
      <c r="K3406" s="24">
        <v>-2499</v>
      </c>
      <c r="L3406" s="38">
        <v>46285</v>
      </c>
      <c r="M3406" s="23" t="s">
        <v>212</v>
      </c>
      <c r="N3406" s="23" t="str">
        <f>IF(COUNTIF($A$2:A3406,A3406)&gt;1,"DUP","OK")</f>
        <v>OK</v>
      </c>
      <c r="O3406" s="23" t="str">
        <f t="shared" si="160"/>
        <v>ORD26001764</v>
      </c>
      <c r="P3406" s="23" t="str">
        <f t="shared" si="161"/>
        <v>Sep</v>
      </c>
      <c r="Q3406" s="23" t="str">
        <f>IF(F3406="CAPTURE",IF(COUNTIF(orders!$A:$A,O3406)&gt;0,"Yes","NO ORDER"),"")</f>
        <v/>
      </c>
    </row>
    <row r="3407" spans="1:17" ht="15" customHeight="1" x14ac:dyDescent="0.3">
      <c r="A3407" s="23" t="s">
        <v>16354</v>
      </c>
      <c r="B3407" s="23" t="s">
        <v>14879</v>
      </c>
      <c r="C3407" s="23"/>
      <c r="D3407" s="23" t="str">
        <f t="shared" si="159"/>
        <v/>
      </c>
      <c r="E3407" s="38">
        <v>46283</v>
      </c>
      <c r="F3407" s="23" t="s">
        <v>12791</v>
      </c>
      <c r="G3407" s="23" t="s">
        <v>75</v>
      </c>
      <c r="H3407" s="24">
        <v>3499</v>
      </c>
      <c r="I3407" s="24">
        <v>0</v>
      </c>
      <c r="J3407" s="24">
        <v>0</v>
      </c>
      <c r="K3407" s="24">
        <v>-3499</v>
      </c>
      <c r="L3407" s="38">
        <v>46285</v>
      </c>
      <c r="M3407" s="23" t="s">
        <v>212</v>
      </c>
      <c r="N3407" s="23" t="str">
        <f>IF(COUNTIF($A$2:A3407,A3407)&gt;1,"DUP","OK")</f>
        <v>OK</v>
      </c>
      <c r="O3407" s="23" t="str">
        <f t="shared" si="160"/>
        <v>ORD26001890</v>
      </c>
      <c r="P3407" s="23" t="str">
        <f t="shared" si="161"/>
        <v>Sep</v>
      </c>
      <c r="Q3407" s="23" t="str">
        <f>IF(F3407="CAPTURE",IF(COUNTIF(orders!$A:$A,O3407)&gt;0,"Yes","NO ORDER"),"")</f>
        <v/>
      </c>
    </row>
    <row r="3408" spans="1:17" ht="15" customHeight="1" x14ac:dyDescent="0.3">
      <c r="A3408" s="23" t="s">
        <v>16355</v>
      </c>
      <c r="B3408" s="23" t="s">
        <v>14965</v>
      </c>
      <c r="C3408" s="23"/>
      <c r="D3408" s="23" t="str">
        <f t="shared" si="159"/>
        <v/>
      </c>
      <c r="E3408" s="38">
        <v>46283</v>
      </c>
      <c r="F3408" s="23" t="s">
        <v>12791</v>
      </c>
      <c r="G3408" s="23" t="s">
        <v>79</v>
      </c>
      <c r="H3408" s="24">
        <v>2098</v>
      </c>
      <c r="I3408" s="24">
        <v>0</v>
      </c>
      <c r="J3408" s="24">
        <v>0</v>
      </c>
      <c r="K3408" s="24">
        <v>-2098</v>
      </c>
      <c r="L3408" s="38">
        <v>46285</v>
      </c>
      <c r="M3408" s="23" t="s">
        <v>212</v>
      </c>
      <c r="N3408" s="23" t="str">
        <f>IF(COUNTIF($A$2:A3408,A3408)&gt;1,"DUP","OK")</f>
        <v>OK</v>
      </c>
      <c r="O3408" s="23" t="str">
        <f t="shared" si="160"/>
        <v>ORD26004486</v>
      </c>
      <c r="P3408" s="23" t="str">
        <f t="shared" si="161"/>
        <v>Sep</v>
      </c>
      <c r="Q3408" s="23" t="str">
        <f>IF(F3408="CAPTURE",IF(COUNTIF(orders!$A:$A,O3408)&gt;0,"Yes","NO ORDER"),"")</f>
        <v/>
      </c>
    </row>
    <row r="3409" spans="1:17" ht="15" customHeight="1" x14ac:dyDescent="0.3">
      <c r="A3409" s="23" t="s">
        <v>16356</v>
      </c>
      <c r="B3409" s="23" t="s">
        <v>15051</v>
      </c>
      <c r="C3409" s="23"/>
      <c r="D3409" s="23" t="str">
        <f t="shared" si="159"/>
        <v/>
      </c>
      <c r="E3409" s="38">
        <v>46283</v>
      </c>
      <c r="F3409" s="23" t="s">
        <v>12791</v>
      </c>
      <c r="G3409" s="23" t="s">
        <v>75</v>
      </c>
      <c r="H3409" s="24">
        <v>15997</v>
      </c>
      <c r="I3409" s="24">
        <v>0</v>
      </c>
      <c r="J3409" s="24">
        <v>0</v>
      </c>
      <c r="K3409" s="24">
        <v>-15997</v>
      </c>
      <c r="L3409" s="38">
        <v>46285</v>
      </c>
      <c r="M3409" s="23" t="s">
        <v>212</v>
      </c>
      <c r="N3409" s="23" t="str">
        <f>IF(COUNTIF($A$2:A3409,A3409)&gt;1,"DUP","OK")</f>
        <v>OK</v>
      </c>
      <c r="O3409" s="23" t="str">
        <f t="shared" si="160"/>
        <v>ORD26000147</v>
      </c>
      <c r="P3409" s="23" t="str">
        <f t="shared" si="161"/>
        <v>Sep</v>
      </c>
      <c r="Q3409" s="23" t="str">
        <f>IF(F3409="CAPTURE",IF(COUNTIF(orders!$A:$A,O3409)&gt;0,"Yes","NO ORDER"),"")</f>
        <v/>
      </c>
    </row>
    <row r="3410" spans="1:17" ht="15" customHeight="1" x14ac:dyDescent="0.3">
      <c r="A3410" s="23" t="s">
        <v>16357</v>
      </c>
      <c r="B3410" s="23" t="s">
        <v>15107</v>
      </c>
      <c r="C3410" s="23"/>
      <c r="D3410" s="23" t="str">
        <f t="shared" si="159"/>
        <v/>
      </c>
      <c r="E3410" s="38">
        <v>46283</v>
      </c>
      <c r="F3410" s="23" t="s">
        <v>12791</v>
      </c>
      <c r="G3410" s="23" t="s">
        <v>75</v>
      </c>
      <c r="H3410" s="24">
        <v>11797</v>
      </c>
      <c r="I3410" s="24">
        <v>0</v>
      </c>
      <c r="J3410" s="24">
        <v>0</v>
      </c>
      <c r="K3410" s="24">
        <v>-11797</v>
      </c>
      <c r="L3410" s="38">
        <v>46285</v>
      </c>
      <c r="M3410" s="23" t="s">
        <v>212</v>
      </c>
      <c r="N3410" s="23" t="str">
        <f>IF(COUNTIF($A$2:A3410,A3410)&gt;1,"DUP","OK")</f>
        <v>OK</v>
      </c>
      <c r="O3410" s="23" t="str">
        <f t="shared" si="160"/>
        <v>ORD26001781</v>
      </c>
      <c r="P3410" s="23" t="str">
        <f t="shared" si="161"/>
        <v>Sep</v>
      </c>
      <c r="Q3410" s="23" t="str">
        <f>IF(F3410="CAPTURE",IF(COUNTIF(orders!$A:$A,O3410)&gt;0,"Yes","NO ORDER"),"")</f>
        <v/>
      </c>
    </row>
    <row r="3411" spans="1:17" ht="15" customHeight="1" x14ac:dyDescent="0.3">
      <c r="A3411" s="23" t="s">
        <v>16358</v>
      </c>
      <c r="B3411" s="23" t="s">
        <v>15323</v>
      </c>
      <c r="C3411" s="23"/>
      <c r="D3411" s="23" t="str">
        <f t="shared" si="159"/>
        <v/>
      </c>
      <c r="E3411" s="38">
        <v>46283</v>
      </c>
      <c r="F3411" s="23" t="s">
        <v>12791</v>
      </c>
      <c r="G3411" s="23" t="s">
        <v>75</v>
      </c>
      <c r="H3411" s="24">
        <v>3897</v>
      </c>
      <c r="I3411" s="24">
        <v>0</v>
      </c>
      <c r="J3411" s="24">
        <v>0</v>
      </c>
      <c r="K3411" s="24">
        <v>-3897</v>
      </c>
      <c r="L3411" s="38">
        <v>46285</v>
      </c>
      <c r="M3411" s="23" t="s">
        <v>212</v>
      </c>
      <c r="N3411" s="23" t="str">
        <f>IF(COUNTIF($A$2:A3411,A3411)&gt;1,"DUP","OK")</f>
        <v>OK</v>
      </c>
      <c r="O3411" s="23" t="str">
        <f t="shared" si="160"/>
        <v>ORD26000581</v>
      </c>
      <c r="P3411" s="23" t="str">
        <f t="shared" si="161"/>
        <v>Sep</v>
      </c>
      <c r="Q3411" s="23" t="str">
        <f>IF(F3411="CAPTURE",IF(COUNTIF(orders!$A:$A,O3411)&gt;0,"Yes","NO ORDER"),"")</f>
        <v/>
      </c>
    </row>
    <row r="3412" spans="1:17" ht="15" customHeight="1" x14ac:dyDescent="0.3">
      <c r="A3412" s="23" t="s">
        <v>16359</v>
      </c>
      <c r="B3412" s="23" t="s">
        <v>16074</v>
      </c>
      <c r="C3412" s="23"/>
      <c r="D3412" s="23" t="str">
        <f t="shared" si="159"/>
        <v/>
      </c>
      <c r="E3412" s="38">
        <v>46283</v>
      </c>
      <c r="F3412" s="23" t="s">
        <v>12791</v>
      </c>
      <c r="G3412" s="23" t="s">
        <v>75</v>
      </c>
      <c r="H3412" s="24">
        <v>2298</v>
      </c>
      <c r="I3412" s="24">
        <v>0</v>
      </c>
      <c r="J3412" s="24">
        <v>0</v>
      </c>
      <c r="K3412" s="24">
        <v>-2298</v>
      </c>
      <c r="L3412" s="38">
        <v>46285</v>
      </c>
      <c r="M3412" s="23" t="s">
        <v>212</v>
      </c>
      <c r="N3412" s="23" t="str">
        <f>IF(COUNTIF($A$2:A3412,A3412)&gt;1,"DUP","OK")</f>
        <v>OK</v>
      </c>
      <c r="O3412" s="23" t="str">
        <f t="shared" si="160"/>
        <v>ORD26003446</v>
      </c>
      <c r="P3412" s="23" t="str">
        <f t="shared" si="161"/>
        <v>Sep</v>
      </c>
      <c r="Q3412" s="23" t="str">
        <f>IF(F3412="CAPTURE",IF(COUNTIF(orders!$A:$A,O3412)&gt;0,"Yes","NO ORDER"),"")</f>
        <v/>
      </c>
    </row>
    <row r="3413" spans="1:17" ht="15" customHeight="1" x14ac:dyDescent="0.3">
      <c r="A3413" s="23" t="s">
        <v>16360</v>
      </c>
      <c r="B3413" s="23"/>
      <c r="C3413" s="23" t="s">
        <v>347</v>
      </c>
      <c r="D3413" s="23" t="str">
        <f t="shared" si="159"/>
        <v>ORD26000035</v>
      </c>
      <c r="E3413" s="38">
        <v>46284</v>
      </c>
      <c r="F3413" s="23" t="s">
        <v>12410</v>
      </c>
      <c r="G3413" s="23" t="s">
        <v>75</v>
      </c>
      <c r="H3413" s="24">
        <v>1798</v>
      </c>
      <c r="I3413" s="24">
        <v>0</v>
      </c>
      <c r="J3413" s="24">
        <v>0</v>
      </c>
      <c r="K3413" s="24">
        <v>1798</v>
      </c>
      <c r="L3413" s="38">
        <v>46286</v>
      </c>
      <c r="M3413" s="23" t="s">
        <v>214</v>
      </c>
      <c r="N3413" s="23" t="str">
        <f>IF(COUNTIF($A$2:A3413,A3413)&gt;1,"DUP","OK")</f>
        <v>OK</v>
      </c>
      <c r="O3413" s="23" t="str">
        <f t="shared" si="160"/>
        <v>ORD26000035</v>
      </c>
      <c r="P3413" s="23" t="str">
        <f t="shared" si="161"/>
        <v>Sep</v>
      </c>
      <c r="Q3413" s="23" t="str">
        <f>IF(F3413="CAPTURE",IF(COUNTIF(orders!$A:$A,O3413)&gt;0,"Yes","NO ORDER"),"")</f>
        <v>Yes</v>
      </c>
    </row>
    <row r="3414" spans="1:17" ht="15" customHeight="1" x14ac:dyDescent="0.3">
      <c r="A3414" s="23" t="s">
        <v>16361</v>
      </c>
      <c r="B3414" s="23"/>
      <c r="C3414" s="23" t="s">
        <v>16362</v>
      </c>
      <c r="D3414" s="23" t="str">
        <f t="shared" si="159"/>
        <v>ORD26000044</v>
      </c>
      <c r="E3414" s="38">
        <v>46284</v>
      </c>
      <c r="F3414" s="23" t="s">
        <v>12410</v>
      </c>
      <c r="G3414" s="23" t="s">
        <v>79</v>
      </c>
      <c r="H3414" s="24">
        <v>1798</v>
      </c>
      <c r="I3414" s="24">
        <v>32.36</v>
      </c>
      <c r="J3414" s="24">
        <v>5.82</v>
      </c>
      <c r="K3414" s="24">
        <v>1759.82</v>
      </c>
      <c r="L3414" s="38">
        <v>46286</v>
      </c>
      <c r="M3414" s="23" t="s">
        <v>214</v>
      </c>
      <c r="N3414" s="23" t="str">
        <f>IF(COUNTIF($A$2:A3414,A3414)&gt;1,"DUP","OK")</f>
        <v>OK</v>
      </c>
      <c r="O3414" s="23" t="str">
        <f t="shared" si="160"/>
        <v>ORD26000044</v>
      </c>
      <c r="P3414" s="23" t="str">
        <f t="shared" si="161"/>
        <v>Sep</v>
      </c>
      <c r="Q3414" s="23" t="str">
        <f>IF(F3414="CAPTURE",IF(COUNTIF(orders!$A:$A,O3414)&gt;0,"Yes","NO ORDER"),"")</f>
        <v>Yes</v>
      </c>
    </row>
    <row r="3415" spans="1:17" ht="15" customHeight="1" x14ac:dyDescent="0.3">
      <c r="A3415" s="23" t="s">
        <v>16363</v>
      </c>
      <c r="B3415" s="23"/>
      <c r="C3415" s="23" t="s">
        <v>432</v>
      </c>
      <c r="D3415" s="23" t="str">
        <f t="shared" si="159"/>
        <v>ORD26000069</v>
      </c>
      <c r="E3415" s="38">
        <v>46284</v>
      </c>
      <c r="F3415" s="23" t="s">
        <v>12410</v>
      </c>
      <c r="G3415" s="23" t="s">
        <v>77</v>
      </c>
      <c r="H3415" s="24">
        <v>599</v>
      </c>
      <c r="I3415" s="24">
        <v>11.38</v>
      </c>
      <c r="J3415" s="24">
        <v>2.0499999999999998</v>
      </c>
      <c r="K3415" s="24">
        <v>585.57000000000005</v>
      </c>
      <c r="L3415" s="38">
        <v>46286</v>
      </c>
      <c r="M3415" s="23" t="s">
        <v>214</v>
      </c>
      <c r="N3415" s="23" t="str">
        <f>IF(COUNTIF($A$2:A3415,A3415)&gt;1,"DUP","OK")</f>
        <v>OK</v>
      </c>
      <c r="O3415" s="23" t="str">
        <f t="shared" si="160"/>
        <v>ORD26000069</v>
      </c>
      <c r="P3415" s="23" t="str">
        <f t="shared" si="161"/>
        <v>Sep</v>
      </c>
      <c r="Q3415" s="23" t="str">
        <f>IF(F3415="CAPTURE",IF(COUNTIF(orders!$A:$A,O3415)&gt;0,"Yes","NO ORDER"),"")</f>
        <v>Yes</v>
      </c>
    </row>
    <row r="3416" spans="1:17" ht="15" customHeight="1" x14ac:dyDescent="0.3">
      <c r="A3416" s="23" t="s">
        <v>16364</v>
      </c>
      <c r="B3416" s="23"/>
      <c r="C3416" s="23" t="s">
        <v>901</v>
      </c>
      <c r="D3416" s="23" t="str">
        <f t="shared" si="159"/>
        <v>ORD26000269</v>
      </c>
      <c r="E3416" s="38">
        <v>46284</v>
      </c>
      <c r="F3416" s="23" t="s">
        <v>12410</v>
      </c>
      <c r="G3416" s="23" t="s">
        <v>75</v>
      </c>
      <c r="H3416" s="24">
        <v>1799</v>
      </c>
      <c r="I3416" s="24">
        <v>0</v>
      </c>
      <c r="J3416" s="24">
        <v>0</v>
      </c>
      <c r="K3416" s="24">
        <v>1799</v>
      </c>
      <c r="L3416" s="38">
        <v>46286</v>
      </c>
      <c r="M3416" s="23" t="s">
        <v>214</v>
      </c>
      <c r="N3416" s="23" t="str">
        <f>IF(COUNTIF($A$2:A3416,A3416)&gt;1,"DUP","OK")</f>
        <v>OK</v>
      </c>
      <c r="O3416" s="23" t="str">
        <f t="shared" si="160"/>
        <v>ORD26000269</v>
      </c>
      <c r="P3416" s="23" t="str">
        <f t="shared" si="161"/>
        <v>Sep</v>
      </c>
      <c r="Q3416" s="23" t="str">
        <f>IF(F3416="CAPTURE",IF(COUNTIF(orders!$A:$A,O3416)&gt;0,"Yes","NO ORDER"),"")</f>
        <v>Yes</v>
      </c>
    </row>
    <row r="3417" spans="1:17" ht="15" customHeight="1" x14ac:dyDescent="0.3">
      <c r="A3417" s="23" t="s">
        <v>16365</v>
      </c>
      <c r="B3417" s="23"/>
      <c r="C3417" s="23" t="s">
        <v>981</v>
      </c>
      <c r="D3417" s="23" t="str">
        <f t="shared" si="159"/>
        <v>ORD26000307</v>
      </c>
      <c r="E3417" s="38">
        <v>46284</v>
      </c>
      <c r="F3417" s="23" t="s">
        <v>12410</v>
      </c>
      <c r="G3417" s="23" t="s">
        <v>75</v>
      </c>
      <c r="H3417" s="24">
        <v>3499</v>
      </c>
      <c r="I3417" s="24">
        <v>10.5</v>
      </c>
      <c r="J3417" s="24">
        <v>1.89</v>
      </c>
      <c r="K3417" s="24">
        <v>3486.61</v>
      </c>
      <c r="L3417" s="38">
        <v>46286</v>
      </c>
      <c r="M3417" s="23" t="s">
        <v>214</v>
      </c>
      <c r="N3417" s="23" t="str">
        <f>IF(COUNTIF($A$2:A3417,A3417)&gt;1,"DUP","OK")</f>
        <v>OK</v>
      </c>
      <c r="O3417" s="23" t="str">
        <f t="shared" si="160"/>
        <v>ORD26000307</v>
      </c>
      <c r="P3417" s="23" t="str">
        <f t="shared" si="161"/>
        <v>Sep</v>
      </c>
      <c r="Q3417" s="23" t="str">
        <f>IF(F3417="CAPTURE",IF(COUNTIF(orders!$A:$A,O3417)&gt;0,"Yes","NO ORDER"),"")</f>
        <v>Yes</v>
      </c>
    </row>
    <row r="3418" spans="1:17" ht="15" customHeight="1" x14ac:dyDescent="0.3">
      <c r="A3418" s="23" t="s">
        <v>16366</v>
      </c>
      <c r="B3418" s="23"/>
      <c r="C3418" s="23" t="s">
        <v>1011</v>
      </c>
      <c r="D3418" s="23" t="str">
        <f t="shared" si="159"/>
        <v>ORD26000321</v>
      </c>
      <c r="E3418" s="38">
        <v>46284</v>
      </c>
      <c r="F3418" s="23" t="s">
        <v>12410</v>
      </c>
      <c r="G3418" s="23" t="s">
        <v>77</v>
      </c>
      <c r="H3418" s="24">
        <v>1299</v>
      </c>
      <c r="I3418" s="24">
        <v>24.68</v>
      </c>
      <c r="J3418" s="24">
        <v>4.4400000000000004</v>
      </c>
      <c r="K3418" s="24">
        <v>1269.8800000000001</v>
      </c>
      <c r="L3418" s="38">
        <v>46286</v>
      </c>
      <c r="M3418" s="23" t="s">
        <v>214</v>
      </c>
      <c r="N3418" s="23" t="str">
        <f>IF(COUNTIF($A$2:A3418,A3418)&gt;1,"DUP","OK")</f>
        <v>OK</v>
      </c>
      <c r="O3418" s="23" t="str">
        <f t="shared" si="160"/>
        <v>ORD26000321</v>
      </c>
      <c r="P3418" s="23" t="str">
        <f t="shared" si="161"/>
        <v>Sep</v>
      </c>
      <c r="Q3418" s="23" t="str">
        <f>IF(F3418="CAPTURE",IF(COUNTIF(orders!$A:$A,O3418)&gt;0,"Yes","NO ORDER"),"")</f>
        <v>Yes</v>
      </c>
    </row>
    <row r="3419" spans="1:17" ht="15" customHeight="1" x14ac:dyDescent="0.3">
      <c r="A3419" s="23" t="s">
        <v>16367</v>
      </c>
      <c r="B3419" s="23"/>
      <c r="C3419" s="23" t="s">
        <v>1036</v>
      </c>
      <c r="D3419" s="23" t="str">
        <f t="shared" si="159"/>
        <v>ORD26000332</v>
      </c>
      <c r="E3419" s="38">
        <v>46284</v>
      </c>
      <c r="F3419" s="23" t="s">
        <v>12410</v>
      </c>
      <c r="G3419" s="23" t="s">
        <v>79</v>
      </c>
      <c r="H3419" s="24">
        <v>3597</v>
      </c>
      <c r="I3419" s="24">
        <v>57.55</v>
      </c>
      <c r="J3419" s="24">
        <v>10.36</v>
      </c>
      <c r="K3419" s="24">
        <v>3529.09</v>
      </c>
      <c r="L3419" s="38">
        <v>46286</v>
      </c>
      <c r="M3419" s="23" t="s">
        <v>214</v>
      </c>
      <c r="N3419" s="23" t="str">
        <f>IF(COUNTIF($A$2:A3419,A3419)&gt;1,"DUP","OK")</f>
        <v>OK</v>
      </c>
      <c r="O3419" s="23" t="str">
        <f t="shared" si="160"/>
        <v>ORD26000332</v>
      </c>
      <c r="P3419" s="23" t="str">
        <f t="shared" si="161"/>
        <v>Sep</v>
      </c>
      <c r="Q3419" s="23" t="str">
        <f>IF(F3419="CAPTURE",IF(COUNTIF(orders!$A:$A,O3419)&gt;0,"Yes","NO ORDER"),"")</f>
        <v>Yes</v>
      </c>
    </row>
    <row r="3420" spans="1:17" ht="15" customHeight="1" x14ac:dyDescent="0.3">
      <c r="A3420" s="23" t="s">
        <v>16368</v>
      </c>
      <c r="B3420" s="23"/>
      <c r="C3420" s="23" t="s">
        <v>1059</v>
      </c>
      <c r="D3420" s="23" t="str">
        <f t="shared" si="159"/>
        <v>ORD26000342</v>
      </c>
      <c r="E3420" s="38">
        <v>46284</v>
      </c>
      <c r="F3420" s="23" t="s">
        <v>12410</v>
      </c>
      <c r="G3420" s="23" t="s">
        <v>79</v>
      </c>
      <c r="H3420" s="24">
        <v>299</v>
      </c>
      <c r="I3420" s="24">
        <v>5.38</v>
      </c>
      <c r="J3420" s="24">
        <v>0.97</v>
      </c>
      <c r="K3420" s="24">
        <v>292.64999999999998</v>
      </c>
      <c r="L3420" s="38">
        <v>46286</v>
      </c>
      <c r="M3420" s="23" t="s">
        <v>214</v>
      </c>
      <c r="N3420" s="23" t="str">
        <f>IF(COUNTIF($A$2:A3420,A3420)&gt;1,"DUP","OK")</f>
        <v>OK</v>
      </c>
      <c r="O3420" s="23" t="str">
        <f t="shared" si="160"/>
        <v>ORD26000342</v>
      </c>
      <c r="P3420" s="23" t="str">
        <f t="shared" si="161"/>
        <v>Sep</v>
      </c>
      <c r="Q3420" s="23" t="str">
        <f>IF(F3420="CAPTURE",IF(COUNTIF(orders!$A:$A,O3420)&gt;0,"Yes","NO ORDER"),"")</f>
        <v>Yes</v>
      </c>
    </row>
    <row r="3421" spans="1:17" ht="15" customHeight="1" x14ac:dyDescent="0.3">
      <c r="A3421" s="23" t="s">
        <v>16369</v>
      </c>
      <c r="B3421" s="23"/>
      <c r="C3421" s="23" t="s">
        <v>16370</v>
      </c>
      <c r="D3421" s="23" t="str">
        <f t="shared" si="159"/>
        <v>ORD26000358</v>
      </c>
      <c r="E3421" s="38">
        <v>46284</v>
      </c>
      <c r="F3421" s="23" t="s">
        <v>12410</v>
      </c>
      <c r="G3421" s="23" t="s">
        <v>75</v>
      </c>
      <c r="H3421" s="24">
        <v>3098</v>
      </c>
      <c r="I3421" s="24">
        <v>9.2899999999999991</v>
      </c>
      <c r="J3421" s="24">
        <v>1.67</v>
      </c>
      <c r="K3421" s="24">
        <v>3087.04</v>
      </c>
      <c r="L3421" s="38">
        <v>46286</v>
      </c>
      <c r="M3421" s="23" t="s">
        <v>214</v>
      </c>
      <c r="N3421" s="23" t="str">
        <f>IF(COUNTIF($A$2:A3421,A3421)&gt;1,"DUP","OK")</f>
        <v>OK</v>
      </c>
      <c r="O3421" s="23" t="str">
        <f t="shared" si="160"/>
        <v>ORD26000358</v>
      </c>
      <c r="P3421" s="23" t="str">
        <f t="shared" si="161"/>
        <v>Sep</v>
      </c>
      <c r="Q3421" s="23" t="str">
        <f>IF(F3421="CAPTURE",IF(COUNTIF(orders!$A:$A,O3421)&gt;0,"Yes","NO ORDER"),"")</f>
        <v>Yes</v>
      </c>
    </row>
    <row r="3422" spans="1:17" ht="15" customHeight="1" x14ac:dyDescent="0.3">
      <c r="A3422" s="23" t="s">
        <v>16371</v>
      </c>
      <c r="B3422" s="23"/>
      <c r="C3422" s="23" t="s">
        <v>1239</v>
      </c>
      <c r="D3422" s="23" t="str">
        <f t="shared" si="159"/>
        <v>ORD26000424</v>
      </c>
      <c r="E3422" s="38">
        <v>46284</v>
      </c>
      <c r="F3422" s="23" t="s">
        <v>12410</v>
      </c>
      <c r="G3422" s="23" t="s">
        <v>75</v>
      </c>
      <c r="H3422" s="24">
        <v>2999</v>
      </c>
      <c r="I3422" s="24">
        <v>9</v>
      </c>
      <c r="J3422" s="24">
        <v>1.62</v>
      </c>
      <c r="K3422" s="24">
        <v>2988.38</v>
      </c>
      <c r="L3422" s="38">
        <v>46286</v>
      </c>
      <c r="M3422" s="23" t="s">
        <v>214</v>
      </c>
      <c r="N3422" s="23" t="str">
        <f>IF(COUNTIF($A$2:A3422,A3422)&gt;1,"DUP","OK")</f>
        <v>OK</v>
      </c>
      <c r="O3422" s="23" t="str">
        <f t="shared" si="160"/>
        <v>ORD26000424</v>
      </c>
      <c r="P3422" s="23" t="str">
        <f t="shared" si="161"/>
        <v>Sep</v>
      </c>
      <c r="Q3422" s="23" t="str">
        <f>IF(F3422="CAPTURE",IF(COUNTIF(orders!$A:$A,O3422)&gt;0,"Yes","NO ORDER"),"")</f>
        <v>Yes</v>
      </c>
    </row>
    <row r="3423" spans="1:17" ht="15" customHeight="1" x14ac:dyDescent="0.3">
      <c r="A3423" s="23" t="s">
        <v>16372</v>
      </c>
      <c r="B3423" s="23"/>
      <c r="C3423" s="23" t="s">
        <v>1243</v>
      </c>
      <c r="D3423" s="23" t="str">
        <f t="shared" si="159"/>
        <v>ORD26000426</v>
      </c>
      <c r="E3423" s="38">
        <v>46284</v>
      </c>
      <c r="F3423" s="23" t="s">
        <v>12410</v>
      </c>
      <c r="G3423" s="23" t="s">
        <v>75</v>
      </c>
      <c r="H3423" s="24">
        <v>1798</v>
      </c>
      <c r="I3423" s="24">
        <v>0</v>
      </c>
      <c r="J3423" s="24">
        <v>0</v>
      </c>
      <c r="K3423" s="24">
        <v>1798</v>
      </c>
      <c r="L3423" s="38">
        <v>46286</v>
      </c>
      <c r="M3423" s="23" t="s">
        <v>214</v>
      </c>
      <c r="N3423" s="23" t="str">
        <f>IF(COUNTIF($A$2:A3423,A3423)&gt;1,"DUP","OK")</f>
        <v>OK</v>
      </c>
      <c r="O3423" s="23" t="str">
        <f t="shared" si="160"/>
        <v>ORD26000426</v>
      </c>
      <c r="P3423" s="23" t="str">
        <f t="shared" si="161"/>
        <v>Sep</v>
      </c>
      <c r="Q3423" s="23" t="str">
        <f>IF(F3423="CAPTURE",IF(COUNTIF(orders!$A:$A,O3423)&gt;0,"Yes","NO ORDER"),"")</f>
        <v>Yes</v>
      </c>
    </row>
    <row r="3424" spans="1:17" ht="15" customHeight="1" x14ac:dyDescent="0.3">
      <c r="A3424" s="23" t="s">
        <v>16373</v>
      </c>
      <c r="B3424" s="23"/>
      <c r="C3424" s="23" t="s">
        <v>1270</v>
      </c>
      <c r="D3424" s="23" t="str">
        <f t="shared" si="159"/>
        <v>ORD26000439</v>
      </c>
      <c r="E3424" s="38">
        <v>46284</v>
      </c>
      <c r="F3424" s="23" t="s">
        <v>12410</v>
      </c>
      <c r="G3424" s="23" t="s">
        <v>77</v>
      </c>
      <c r="H3424" s="24">
        <v>7999</v>
      </c>
      <c r="I3424" s="24">
        <v>135.97999999999999</v>
      </c>
      <c r="J3424" s="24">
        <v>24.48</v>
      </c>
      <c r="K3424" s="24">
        <v>7838.54</v>
      </c>
      <c r="L3424" s="38">
        <v>46286</v>
      </c>
      <c r="M3424" s="23" t="s">
        <v>214</v>
      </c>
      <c r="N3424" s="23" t="str">
        <f>IF(COUNTIF($A$2:A3424,A3424)&gt;1,"DUP","OK")</f>
        <v>OK</v>
      </c>
      <c r="O3424" s="23" t="str">
        <f t="shared" si="160"/>
        <v>ORD26000439</v>
      </c>
      <c r="P3424" s="23" t="str">
        <f t="shared" si="161"/>
        <v>Sep</v>
      </c>
      <c r="Q3424" s="23" t="str">
        <f>IF(F3424="CAPTURE",IF(COUNTIF(orders!$A:$A,O3424)&gt;0,"Yes","NO ORDER"),"")</f>
        <v>Yes</v>
      </c>
    </row>
    <row r="3425" spans="1:17" ht="15" customHeight="1" x14ac:dyDescent="0.3">
      <c r="A3425" s="23" t="s">
        <v>16374</v>
      </c>
      <c r="B3425" s="23"/>
      <c r="C3425" s="23" t="s">
        <v>1276</v>
      </c>
      <c r="D3425" s="23" t="str">
        <f t="shared" si="159"/>
        <v>ORD26000442</v>
      </c>
      <c r="E3425" s="38">
        <v>46284</v>
      </c>
      <c r="F3425" s="23" t="s">
        <v>12410</v>
      </c>
      <c r="G3425" s="23" t="s">
        <v>75</v>
      </c>
      <c r="H3425" s="24">
        <v>5097</v>
      </c>
      <c r="I3425" s="24">
        <v>15.29</v>
      </c>
      <c r="J3425" s="24">
        <v>2.75</v>
      </c>
      <c r="K3425" s="24">
        <v>5078.96</v>
      </c>
      <c r="L3425" s="38">
        <v>46286</v>
      </c>
      <c r="M3425" s="23" t="s">
        <v>214</v>
      </c>
      <c r="N3425" s="23" t="str">
        <f>IF(COUNTIF($A$2:A3425,A3425)&gt;1,"DUP","OK")</f>
        <v>OK</v>
      </c>
      <c r="O3425" s="23" t="str">
        <f t="shared" si="160"/>
        <v>ORD26000442</v>
      </c>
      <c r="P3425" s="23" t="str">
        <f t="shared" si="161"/>
        <v>Sep</v>
      </c>
      <c r="Q3425" s="23" t="str">
        <f>IF(F3425="CAPTURE",IF(COUNTIF(orders!$A:$A,O3425)&gt;0,"Yes","NO ORDER"),"")</f>
        <v>Yes</v>
      </c>
    </row>
    <row r="3426" spans="1:17" ht="15" customHeight="1" x14ac:dyDescent="0.3">
      <c r="A3426" s="23" t="s">
        <v>16375</v>
      </c>
      <c r="B3426" s="23"/>
      <c r="C3426" s="23" t="s">
        <v>1324</v>
      </c>
      <c r="D3426" s="23" t="str">
        <f t="shared" si="159"/>
        <v>ORD26000464</v>
      </c>
      <c r="E3426" s="38">
        <v>46284</v>
      </c>
      <c r="F3426" s="23" t="s">
        <v>12410</v>
      </c>
      <c r="G3426" s="23" t="s">
        <v>75</v>
      </c>
      <c r="H3426" s="24">
        <v>299</v>
      </c>
      <c r="I3426" s="24">
        <v>0</v>
      </c>
      <c r="J3426" s="24">
        <v>0</v>
      </c>
      <c r="K3426" s="24">
        <v>299</v>
      </c>
      <c r="L3426" s="38">
        <v>46286</v>
      </c>
      <c r="M3426" s="23" t="s">
        <v>214</v>
      </c>
      <c r="N3426" s="23" t="str">
        <f>IF(COUNTIF($A$2:A3426,A3426)&gt;1,"DUP","OK")</f>
        <v>OK</v>
      </c>
      <c r="O3426" s="23" t="str">
        <f t="shared" si="160"/>
        <v>ORD26000464</v>
      </c>
      <c r="P3426" s="23" t="str">
        <f t="shared" si="161"/>
        <v>Sep</v>
      </c>
      <c r="Q3426" s="23" t="str">
        <f>IF(F3426="CAPTURE",IF(COUNTIF(orders!$A:$A,O3426)&gt;0,"Yes","NO ORDER"),"")</f>
        <v>Yes</v>
      </c>
    </row>
    <row r="3427" spans="1:17" ht="15" customHeight="1" x14ac:dyDescent="0.3">
      <c r="A3427" s="23" t="s">
        <v>16376</v>
      </c>
      <c r="B3427" s="23"/>
      <c r="C3427" s="23" t="s">
        <v>1355</v>
      </c>
      <c r="D3427" s="23" t="str">
        <f t="shared" si="159"/>
        <v>ORD26000478</v>
      </c>
      <c r="E3427" s="38">
        <v>46284</v>
      </c>
      <c r="F3427" s="23" t="s">
        <v>12410</v>
      </c>
      <c r="G3427" s="23" t="s">
        <v>77</v>
      </c>
      <c r="H3427" s="24">
        <v>349</v>
      </c>
      <c r="I3427" s="24">
        <v>6.63</v>
      </c>
      <c r="J3427" s="24">
        <v>1.19</v>
      </c>
      <c r="K3427" s="24">
        <v>341.18</v>
      </c>
      <c r="L3427" s="38">
        <v>46286</v>
      </c>
      <c r="M3427" s="23" t="s">
        <v>214</v>
      </c>
      <c r="N3427" s="23" t="str">
        <f>IF(COUNTIF($A$2:A3427,A3427)&gt;1,"DUP","OK")</f>
        <v>OK</v>
      </c>
      <c r="O3427" s="23" t="str">
        <f t="shared" si="160"/>
        <v>ORD26000478</v>
      </c>
      <c r="P3427" s="23" t="str">
        <f t="shared" si="161"/>
        <v>Sep</v>
      </c>
      <c r="Q3427" s="23" t="str">
        <f>IF(F3427="CAPTURE",IF(COUNTIF(orders!$A:$A,O3427)&gt;0,"Yes","NO ORDER"),"")</f>
        <v>Yes</v>
      </c>
    </row>
    <row r="3428" spans="1:17" ht="15" customHeight="1" x14ac:dyDescent="0.3">
      <c r="A3428" s="23" t="s">
        <v>16377</v>
      </c>
      <c r="B3428" s="23"/>
      <c r="C3428" s="23" t="s">
        <v>1422</v>
      </c>
      <c r="D3428" s="23" t="str">
        <f t="shared" si="159"/>
        <v>ORD26000508</v>
      </c>
      <c r="E3428" s="38">
        <v>46284</v>
      </c>
      <c r="F3428" s="23" t="s">
        <v>12410</v>
      </c>
      <c r="G3428" s="23" t="s">
        <v>75</v>
      </c>
      <c r="H3428" s="24">
        <v>8998</v>
      </c>
      <c r="I3428" s="24">
        <v>26.99</v>
      </c>
      <c r="J3428" s="24">
        <v>4.8600000000000003</v>
      </c>
      <c r="K3428" s="24">
        <v>8966.15</v>
      </c>
      <c r="L3428" s="38">
        <v>46286</v>
      </c>
      <c r="M3428" s="23" t="s">
        <v>214</v>
      </c>
      <c r="N3428" s="23" t="str">
        <f>IF(COUNTIF($A$2:A3428,A3428)&gt;1,"DUP","OK")</f>
        <v>OK</v>
      </c>
      <c r="O3428" s="23" t="str">
        <f t="shared" si="160"/>
        <v>ORD26000508</v>
      </c>
      <c r="P3428" s="23" t="str">
        <f t="shared" si="161"/>
        <v>Sep</v>
      </c>
      <c r="Q3428" s="23" t="str">
        <f>IF(F3428="CAPTURE",IF(COUNTIF(orders!$A:$A,O3428)&gt;0,"Yes","NO ORDER"),"")</f>
        <v>Yes</v>
      </c>
    </row>
    <row r="3429" spans="1:17" ht="15" customHeight="1" x14ac:dyDescent="0.3">
      <c r="A3429" s="23" t="s">
        <v>16378</v>
      </c>
      <c r="B3429" s="23"/>
      <c r="C3429" s="23" t="s">
        <v>1435</v>
      </c>
      <c r="D3429" s="23" t="str">
        <f t="shared" si="159"/>
        <v>ORD26000514</v>
      </c>
      <c r="E3429" s="38">
        <v>46284</v>
      </c>
      <c r="F3429" s="23" t="s">
        <v>12410</v>
      </c>
      <c r="G3429" s="23" t="s">
        <v>81</v>
      </c>
      <c r="H3429" s="24">
        <v>5698</v>
      </c>
      <c r="I3429" s="24">
        <v>68.38</v>
      </c>
      <c r="J3429" s="24">
        <v>12.31</v>
      </c>
      <c r="K3429" s="24">
        <v>5617.31</v>
      </c>
      <c r="L3429" s="38">
        <v>46286</v>
      </c>
      <c r="M3429" s="23" t="s">
        <v>214</v>
      </c>
      <c r="N3429" s="23" t="str">
        <f>IF(COUNTIF($A$2:A3429,A3429)&gt;1,"DUP","OK")</f>
        <v>OK</v>
      </c>
      <c r="O3429" s="23" t="str">
        <f t="shared" si="160"/>
        <v>ORD26000514</v>
      </c>
      <c r="P3429" s="23" t="str">
        <f t="shared" si="161"/>
        <v>Sep</v>
      </c>
      <c r="Q3429" s="23" t="str">
        <f>IF(F3429="CAPTURE",IF(COUNTIF(orders!$A:$A,O3429)&gt;0,"Yes","NO ORDER"),"")</f>
        <v>Yes</v>
      </c>
    </row>
    <row r="3430" spans="1:17" ht="15" customHeight="1" x14ac:dyDescent="0.3">
      <c r="A3430" s="23" t="s">
        <v>16379</v>
      </c>
      <c r="B3430" s="23"/>
      <c r="C3430" s="23" t="s">
        <v>1508</v>
      </c>
      <c r="D3430" s="23" t="str">
        <f t="shared" si="159"/>
        <v>ORD26000546</v>
      </c>
      <c r="E3430" s="38">
        <v>46284</v>
      </c>
      <c r="F3430" s="23" t="s">
        <v>12410</v>
      </c>
      <c r="G3430" s="23" t="s">
        <v>75</v>
      </c>
      <c r="H3430" s="24">
        <v>4999</v>
      </c>
      <c r="I3430" s="24">
        <v>15</v>
      </c>
      <c r="J3430" s="24">
        <v>2.7</v>
      </c>
      <c r="K3430" s="24">
        <v>4981.3</v>
      </c>
      <c r="L3430" s="38">
        <v>46286</v>
      </c>
      <c r="M3430" s="23" t="s">
        <v>214</v>
      </c>
      <c r="N3430" s="23" t="str">
        <f>IF(COUNTIF($A$2:A3430,A3430)&gt;1,"DUP","OK")</f>
        <v>OK</v>
      </c>
      <c r="O3430" s="23" t="str">
        <f t="shared" si="160"/>
        <v>ORD26000546</v>
      </c>
      <c r="P3430" s="23" t="str">
        <f t="shared" si="161"/>
        <v>Sep</v>
      </c>
      <c r="Q3430" s="23" t="str">
        <f>IF(F3430="CAPTURE",IF(COUNTIF(orders!$A:$A,O3430)&gt;0,"Yes","NO ORDER"),"")</f>
        <v>Yes</v>
      </c>
    </row>
    <row r="3431" spans="1:17" ht="15" customHeight="1" x14ac:dyDescent="0.3">
      <c r="A3431" s="23" t="s">
        <v>16380</v>
      </c>
      <c r="B3431" s="23"/>
      <c r="C3431" s="23" t="s">
        <v>1807</v>
      </c>
      <c r="D3431" s="23" t="str">
        <f t="shared" si="159"/>
        <v>ORD26000685</v>
      </c>
      <c r="E3431" s="38">
        <v>46284</v>
      </c>
      <c r="F3431" s="23" t="s">
        <v>12410</v>
      </c>
      <c r="G3431" s="23" t="s">
        <v>77</v>
      </c>
      <c r="H3431" s="24">
        <v>10147</v>
      </c>
      <c r="I3431" s="24">
        <v>243.53</v>
      </c>
      <c r="J3431" s="24">
        <v>43.84</v>
      </c>
      <c r="K3431" s="24">
        <v>9859.6299999999992</v>
      </c>
      <c r="L3431" s="38">
        <v>46286</v>
      </c>
      <c r="M3431" s="23" t="s">
        <v>214</v>
      </c>
      <c r="N3431" s="23" t="str">
        <f>IF(COUNTIF($A$2:A3431,A3431)&gt;1,"DUP","OK")</f>
        <v>OK</v>
      </c>
      <c r="O3431" s="23" t="str">
        <f t="shared" si="160"/>
        <v>ORD26000685</v>
      </c>
      <c r="P3431" s="23" t="str">
        <f t="shared" si="161"/>
        <v>Sep</v>
      </c>
      <c r="Q3431" s="23" t="str">
        <f>IF(F3431="CAPTURE",IF(COUNTIF(orders!$A:$A,O3431)&gt;0,"Yes","NO ORDER"),"")</f>
        <v>Yes</v>
      </c>
    </row>
    <row r="3432" spans="1:17" ht="15" customHeight="1" x14ac:dyDescent="0.3">
      <c r="A3432" s="23" t="s">
        <v>16381</v>
      </c>
      <c r="B3432" s="23"/>
      <c r="C3432" s="23" t="s">
        <v>1818</v>
      </c>
      <c r="D3432" s="23" t="str">
        <f t="shared" si="159"/>
        <v>ORD26000690</v>
      </c>
      <c r="E3432" s="38">
        <v>46284</v>
      </c>
      <c r="F3432" s="23" t="s">
        <v>12410</v>
      </c>
      <c r="G3432" s="23" t="s">
        <v>75</v>
      </c>
      <c r="H3432" s="24">
        <v>2999</v>
      </c>
      <c r="I3432" s="24">
        <v>9</v>
      </c>
      <c r="J3432" s="24">
        <v>1.62</v>
      </c>
      <c r="K3432" s="24">
        <v>2988.38</v>
      </c>
      <c r="L3432" s="38">
        <v>46286</v>
      </c>
      <c r="M3432" s="23" t="s">
        <v>214</v>
      </c>
      <c r="N3432" s="23" t="str">
        <f>IF(COUNTIF($A$2:A3432,A3432)&gt;1,"DUP","OK")</f>
        <v>OK</v>
      </c>
      <c r="O3432" s="23" t="str">
        <f t="shared" si="160"/>
        <v>ORD26000690</v>
      </c>
      <c r="P3432" s="23" t="str">
        <f t="shared" si="161"/>
        <v>Sep</v>
      </c>
      <c r="Q3432" s="23" t="str">
        <f>IF(F3432="CAPTURE",IF(COUNTIF(orders!$A:$A,O3432)&gt;0,"Yes","NO ORDER"),"")</f>
        <v>Yes</v>
      </c>
    </row>
    <row r="3433" spans="1:17" ht="15" customHeight="1" x14ac:dyDescent="0.3">
      <c r="A3433" s="23" t="s">
        <v>16382</v>
      </c>
      <c r="B3433" s="23"/>
      <c r="C3433" s="23" t="s">
        <v>1820</v>
      </c>
      <c r="D3433" s="23" t="str">
        <f t="shared" si="159"/>
        <v>ORD26000691</v>
      </c>
      <c r="E3433" s="38">
        <v>46284</v>
      </c>
      <c r="F3433" s="23" t="s">
        <v>12410</v>
      </c>
      <c r="G3433" s="23" t="s">
        <v>75</v>
      </c>
      <c r="H3433" s="24">
        <v>998</v>
      </c>
      <c r="I3433" s="24">
        <v>0</v>
      </c>
      <c r="J3433" s="24">
        <v>0</v>
      </c>
      <c r="K3433" s="24">
        <v>998</v>
      </c>
      <c r="L3433" s="38">
        <v>46286</v>
      </c>
      <c r="M3433" s="23" t="s">
        <v>214</v>
      </c>
      <c r="N3433" s="23" t="str">
        <f>IF(COUNTIF($A$2:A3433,A3433)&gt;1,"DUP","OK")</f>
        <v>OK</v>
      </c>
      <c r="O3433" s="23" t="str">
        <f t="shared" si="160"/>
        <v>ORD26000691</v>
      </c>
      <c r="P3433" s="23" t="str">
        <f t="shared" si="161"/>
        <v>Sep</v>
      </c>
      <c r="Q3433" s="23" t="str">
        <f>IF(F3433="CAPTURE",IF(COUNTIF(orders!$A:$A,O3433)&gt;0,"Yes","NO ORDER"),"")</f>
        <v>Yes</v>
      </c>
    </row>
    <row r="3434" spans="1:17" ht="15" customHeight="1" x14ac:dyDescent="0.3">
      <c r="A3434" s="23" t="s">
        <v>16383</v>
      </c>
      <c r="B3434" s="23"/>
      <c r="C3434" s="23" t="s">
        <v>1824</v>
      </c>
      <c r="D3434" s="23" t="str">
        <f t="shared" si="159"/>
        <v>ORD26000693</v>
      </c>
      <c r="E3434" s="38">
        <v>46284</v>
      </c>
      <c r="F3434" s="23" t="s">
        <v>12410</v>
      </c>
      <c r="G3434" s="23" t="s">
        <v>75</v>
      </c>
      <c r="H3434" s="24">
        <v>7297</v>
      </c>
      <c r="I3434" s="24">
        <v>21.89</v>
      </c>
      <c r="J3434" s="24">
        <v>3.94</v>
      </c>
      <c r="K3434" s="24">
        <v>7271.17</v>
      </c>
      <c r="L3434" s="38">
        <v>46286</v>
      </c>
      <c r="M3434" s="23" t="s">
        <v>214</v>
      </c>
      <c r="N3434" s="23" t="str">
        <f>IF(COUNTIF($A$2:A3434,A3434)&gt;1,"DUP","OK")</f>
        <v>OK</v>
      </c>
      <c r="O3434" s="23" t="str">
        <f t="shared" si="160"/>
        <v>ORD26000693</v>
      </c>
      <c r="P3434" s="23" t="str">
        <f t="shared" si="161"/>
        <v>Sep</v>
      </c>
      <c r="Q3434" s="23" t="str">
        <f>IF(F3434="CAPTURE",IF(COUNTIF(orders!$A:$A,O3434)&gt;0,"Yes","NO ORDER"),"")</f>
        <v>Yes</v>
      </c>
    </row>
    <row r="3435" spans="1:17" ht="15" customHeight="1" x14ac:dyDescent="0.3">
      <c r="A3435" s="23" t="s">
        <v>16384</v>
      </c>
      <c r="B3435" s="23"/>
      <c r="C3435" s="23" t="s">
        <v>16385</v>
      </c>
      <c r="D3435" s="23" t="str">
        <f t="shared" si="159"/>
        <v>ORD26000708</v>
      </c>
      <c r="E3435" s="38">
        <v>46284</v>
      </c>
      <c r="F3435" s="23" t="s">
        <v>12410</v>
      </c>
      <c r="G3435" s="23" t="s">
        <v>79</v>
      </c>
      <c r="H3435" s="24">
        <v>1998</v>
      </c>
      <c r="I3435" s="24">
        <v>35.96</v>
      </c>
      <c r="J3435" s="24">
        <v>6.47</v>
      </c>
      <c r="K3435" s="24">
        <v>1955.57</v>
      </c>
      <c r="L3435" s="38">
        <v>46286</v>
      </c>
      <c r="M3435" s="23" t="s">
        <v>214</v>
      </c>
      <c r="N3435" s="23" t="str">
        <f>IF(COUNTIF($A$2:A3435,A3435)&gt;1,"DUP","OK")</f>
        <v>OK</v>
      </c>
      <c r="O3435" s="23" t="str">
        <f t="shared" si="160"/>
        <v>ORD26000708</v>
      </c>
      <c r="P3435" s="23" t="str">
        <f t="shared" si="161"/>
        <v>Sep</v>
      </c>
      <c r="Q3435" s="23" t="str">
        <f>IF(F3435="CAPTURE",IF(COUNTIF(orders!$A:$A,O3435)&gt;0,"Yes","NO ORDER"),"")</f>
        <v>Yes</v>
      </c>
    </row>
    <row r="3436" spans="1:17" ht="15" customHeight="1" x14ac:dyDescent="0.3">
      <c r="A3436" s="23" t="s">
        <v>16386</v>
      </c>
      <c r="B3436" s="23"/>
      <c r="C3436" s="23" t="s">
        <v>1914</v>
      </c>
      <c r="D3436" s="23" t="str">
        <f t="shared" si="159"/>
        <v>ORD26000737</v>
      </c>
      <c r="E3436" s="38">
        <v>46284</v>
      </c>
      <c r="F3436" s="23" t="s">
        <v>12410</v>
      </c>
      <c r="G3436" s="23" t="s">
        <v>81</v>
      </c>
      <c r="H3436" s="24">
        <v>999</v>
      </c>
      <c r="I3436" s="24">
        <v>14.99</v>
      </c>
      <c r="J3436" s="24">
        <v>2.7</v>
      </c>
      <c r="K3436" s="24">
        <v>981.31</v>
      </c>
      <c r="L3436" s="38">
        <v>46286</v>
      </c>
      <c r="M3436" s="23" t="s">
        <v>214</v>
      </c>
      <c r="N3436" s="23" t="str">
        <f>IF(COUNTIF($A$2:A3436,A3436)&gt;1,"DUP","OK")</f>
        <v>OK</v>
      </c>
      <c r="O3436" s="23" t="str">
        <f t="shared" si="160"/>
        <v>ORD26000737</v>
      </c>
      <c r="P3436" s="23" t="str">
        <f t="shared" si="161"/>
        <v>Sep</v>
      </c>
      <c r="Q3436" s="23" t="str">
        <f>IF(F3436="CAPTURE",IF(COUNTIF(orders!$A:$A,O3436)&gt;0,"Yes","NO ORDER"),"")</f>
        <v>Yes</v>
      </c>
    </row>
    <row r="3437" spans="1:17" ht="15" customHeight="1" x14ac:dyDescent="0.3">
      <c r="A3437" s="23" t="s">
        <v>16387</v>
      </c>
      <c r="B3437" s="23"/>
      <c r="C3437" s="23" t="s">
        <v>1925</v>
      </c>
      <c r="D3437" s="23" t="str">
        <f t="shared" si="159"/>
        <v>ORD26000743</v>
      </c>
      <c r="E3437" s="38">
        <v>46284</v>
      </c>
      <c r="F3437" s="23" t="s">
        <v>12410</v>
      </c>
      <c r="G3437" s="23" t="s">
        <v>79</v>
      </c>
      <c r="H3437" s="24">
        <v>7497</v>
      </c>
      <c r="I3437" s="24">
        <v>119.95</v>
      </c>
      <c r="J3437" s="24">
        <v>21.59</v>
      </c>
      <c r="K3437" s="24">
        <v>7355.46</v>
      </c>
      <c r="L3437" s="38">
        <v>46286</v>
      </c>
      <c r="M3437" s="23" t="s">
        <v>214</v>
      </c>
      <c r="N3437" s="23" t="str">
        <f>IF(COUNTIF($A$2:A3437,A3437)&gt;1,"DUP","OK")</f>
        <v>OK</v>
      </c>
      <c r="O3437" s="23" t="str">
        <f t="shared" si="160"/>
        <v>ORD26000743</v>
      </c>
      <c r="P3437" s="23" t="str">
        <f t="shared" si="161"/>
        <v>Sep</v>
      </c>
      <c r="Q3437" s="23" t="str">
        <f>IF(F3437="CAPTURE",IF(COUNTIF(orders!$A:$A,O3437)&gt;0,"Yes","NO ORDER"),"")</f>
        <v>Yes</v>
      </c>
    </row>
    <row r="3438" spans="1:17" ht="15" customHeight="1" x14ac:dyDescent="0.3">
      <c r="A3438" s="23" t="s">
        <v>16388</v>
      </c>
      <c r="B3438" s="23"/>
      <c r="C3438" s="23" t="s">
        <v>1959</v>
      </c>
      <c r="D3438" s="23" t="str">
        <f t="shared" si="159"/>
        <v>ORD26000759</v>
      </c>
      <c r="E3438" s="38">
        <v>46284</v>
      </c>
      <c r="F3438" s="23" t="s">
        <v>12410</v>
      </c>
      <c r="G3438" s="23" t="s">
        <v>79</v>
      </c>
      <c r="H3438" s="24">
        <v>3998</v>
      </c>
      <c r="I3438" s="24">
        <v>63.97</v>
      </c>
      <c r="J3438" s="24">
        <v>11.51</v>
      </c>
      <c r="K3438" s="24">
        <v>3922.52</v>
      </c>
      <c r="L3438" s="38">
        <v>46286</v>
      </c>
      <c r="M3438" s="23" t="s">
        <v>214</v>
      </c>
      <c r="N3438" s="23" t="str">
        <f>IF(COUNTIF($A$2:A3438,A3438)&gt;1,"DUP","OK")</f>
        <v>OK</v>
      </c>
      <c r="O3438" s="23" t="str">
        <f t="shared" si="160"/>
        <v>ORD26000759</v>
      </c>
      <c r="P3438" s="23" t="str">
        <f t="shared" si="161"/>
        <v>Sep</v>
      </c>
      <c r="Q3438" s="23" t="str">
        <f>IF(F3438="CAPTURE",IF(COUNTIF(orders!$A:$A,O3438)&gt;0,"Yes","NO ORDER"),"")</f>
        <v>Yes</v>
      </c>
    </row>
    <row r="3439" spans="1:17" ht="15" customHeight="1" x14ac:dyDescent="0.3">
      <c r="A3439" s="23" t="s">
        <v>16389</v>
      </c>
      <c r="B3439" s="23"/>
      <c r="C3439" s="23" t="s">
        <v>2053</v>
      </c>
      <c r="D3439" s="23" t="str">
        <f t="shared" si="159"/>
        <v>ORD26000803</v>
      </c>
      <c r="E3439" s="38">
        <v>46284</v>
      </c>
      <c r="F3439" s="23" t="s">
        <v>12410</v>
      </c>
      <c r="G3439" s="23" t="s">
        <v>79</v>
      </c>
      <c r="H3439" s="24">
        <v>7999</v>
      </c>
      <c r="I3439" s="24">
        <v>127.98</v>
      </c>
      <c r="J3439" s="24">
        <v>23.04</v>
      </c>
      <c r="K3439" s="24">
        <v>7847.98</v>
      </c>
      <c r="L3439" s="38">
        <v>46286</v>
      </c>
      <c r="M3439" s="23" t="s">
        <v>214</v>
      </c>
      <c r="N3439" s="23" t="str">
        <f>IF(COUNTIF($A$2:A3439,A3439)&gt;1,"DUP","OK")</f>
        <v>OK</v>
      </c>
      <c r="O3439" s="23" t="str">
        <f t="shared" si="160"/>
        <v>ORD26000803</v>
      </c>
      <c r="P3439" s="23" t="str">
        <f t="shared" si="161"/>
        <v>Sep</v>
      </c>
      <c r="Q3439" s="23" t="str">
        <f>IF(F3439="CAPTURE",IF(COUNTIF(orders!$A:$A,O3439)&gt;0,"Yes","NO ORDER"),"")</f>
        <v>Yes</v>
      </c>
    </row>
    <row r="3440" spans="1:17" ht="15" customHeight="1" x14ac:dyDescent="0.3">
      <c r="A3440" s="23" t="s">
        <v>16390</v>
      </c>
      <c r="B3440" s="23"/>
      <c r="C3440" s="23" t="s">
        <v>2084</v>
      </c>
      <c r="D3440" s="23" t="str">
        <f t="shared" si="159"/>
        <v>ORD26000818</v>
      </c>
      <c r="E3440" s="38">
        <v>46284</v>
      </c>
      <c r="F3440" s="23" t="s">
        <v>12410</v>
      </c>
      <c r="G3440" s="23" t="s">
        <v>75</v>
      </c>
      <c r="H3440" s="24">
        <v>3397</v>
      </c>
      <c r="I3440" s="24">
        <v>10.19</v>
      </c>
      <c r="J3440" s="24">
        <v>1.83</v>
      </c>
      <c r="K3440" s="24">
        <v>3384.98</v>
      </c>
      <c r="L3440" s="38">
        <v>46286</v>
      </c>
      <c r="M3440" s="23" t="s">
        <v>214</v>
      </c>
      <c r="N3440" s="23" t="str">
        <f>IF(COUNTIF($A$2:A3440,A3440)&gt;1,"DUP","OK")</f>
        <v>OK</v>
      </c>
      <c r="O3440" s="23" t="str">
        <f t="shared" si="160"/>
        <v>ORD26000818</v>
      </c>
      <c r="P3440" s="23" t="str">
        <f t="shared" si="161"/>
        <v>Sep</v>
      </c>
      <c r="Q3440" s="23" t="str">
        <f>IF(F3440="CAPTURE",IF(COUNTIF(orders!$A:$A,O3440)&gt;0,"Yes","NO ORDER"),"")</f>
        <v>Yes</v>
      </c>
    </row>
    <row r="3441" spans="1:17" ht="15" customHeight="1" x14ac:dyDescent="0.3">
      <c r="A3441" s="23" t="s">
        <v>16391</v>
      </c>
      <c r="B3441" s="23"/>
      <c r="C3441" s="23" t="s">
        <v>2176</v>
      </c>
      <c r="D3441" s="23" t="str">
        <f t="shared" si="159"/>
        <v>ORD26000862</v>
      </c>
      <c r="E3441" s="38">
        <v>46284</v>
      </c>
      <c r="F3441" s="23" t="s">
        <v>12410</v>
      </c>
      <c r="G3441" s="23" t="s">
        <v>75</v>
      </c>
      <c r="H3441" s="24">
        <v>8997</v>
      </c>
      <c r="I3441" s="24">
        <v>26.99</v>
      </c>
      <c r="J3441" s="24">
        <v>4.8600000000000003</v>
      </c>
      <c r="K3441" s="24">
        <v>8965.15</v>
      </c>
      <c r="L3441" s="38">
        <v>46286</v>
      </c>
      <c r="M3441" s="23" t="s">
        <v>214</v>
      </c>
      <c r="N3441" s="23" t="str">
        <f>IF(COUNTIF($A$2:A3441,A3441)&gt;1,"DUP","OK")</f>
        <v>OK</v>
      </c>
      <c r="O3441" s="23" t="str">
        <f t="shared" si="160"/>
        <v>ORD26000862</v>
      </c>
      <c r="P3441" s="23" t="str">
        <f t="shared" si="161"/>
        <v>Sep</v>
      </c>
      <c r="Q3441" s="23" t="str">
        <f>IF(F3441="CAPTURE",IF(COUNTIF(orders!$A:$A,O3441)&gt;0,"Yes","NO ORDER"),"")</f>
        <v>Yes</v>
      </c>
    </row>
    <row r="3442" spans="1:17" ht="15" customHeight="1" x14ac:dyDescent="0.3">
      <c r="A3442" s="23" t="s">
        <v>16392</v>
      </c>
      <c r="B3442" s="23"/>
      <c r="C3442" s="23" t="s">
        <v>2294</v>
      </c>
      <c r="D3442" s="23" t="str">
        <f t="shared" si="159"/>
        <v>ORD26000919</v>
      </c>
      <c r="E3442" s="38">
        <v>46284</v>
      </c>
      <c r="F3442" s="23" t="s">
        <v>12410</v>
      </c>
      <c r="G3442" s="23" t="s">
        <v>75</v>
      </c>
      <c r="H3442" s="24">
        <v>1198</v>
      </c>
      <c r="I3442" s="24">
        <v>0</v>
      </c>
      <c r="J3442" s="24">
        <v>0</v>
      </c>
      <c r="K3442" s="24">
        <v>1198</v>
      </c>
      <c r="L3442" s="38">
        <v>46286</v>
      </c>
      <c r="M3442" s="23" t="s">
        <v>214</v>
      </c>
      <c r="N3442" s="23" t="str">
        <f>IF(COUNTIF($A$2:A3442,A3442)&gt;1,"DUP","OK")</f>
        <v>OK</v>
      </c>
      <c r="O3442" s="23" t="str">
        <f t="shared" si="160"/>
        <v>ORD26000919</v>
      </c>
      <c r="P3442" s="23" t="str">
        <f t="shared" si="161"/>
        <v>Sep</v>
      </c>
      <c r="Q3442" s="23" t="str">
        <f>IF(F3442="CAPTURE",IF(COUNTIF(orders!$A:$A,O3442)&gt;0,"Yes","NO ORDER"),"")</f>
        <v>Yes</v>
      </c>
    </row>
    <row r="3443" spans="1:17" ht="15" customHeight="1" x14ac:dyDescent="0.3">
      <c r="A3443" s="23" t="s">
        <v>16393</v>
      </c>
      <c r="B3443" s="23"/>
      <c r="C3443" s="23" t="s">
        <v>2319</v>
      </c>
      <c r="D3443" s="23" t="str">
        <f t="shared" si="159"/>
        <v>ORD26000931</v>
      </c>
      <c r="E3443" s="38">
        <v>46284</v>
      </c>
      <c r="F3443" s="23" t="s">
        <v>12410</v>
      </c>
      <c r="G3443" s="23" t="s">
        <v>75</v>
      </c>
      <c r="H3443" s="24">
        <v>4498</v>
      </c>
      <c r="I3443" s="24">
        <v>13.49</v>
      </c>
      <c r="J3443" s="24">
        <v>2.4300000000000002</v>
      </c>
      <c r="K3443" s="24">
        <v>4482.08</v>
      </c>
      <c r="L3443" s="38">
        <v>46286</v>
      </c>
      <c r="M3443" s="23" t="s">
        <v>214</v>
      </c>
      <c r="N3443" s="23" t="str">
        <f>IF(COUNTIF($A$2:A3443,A3443)&gt;1,"DUP","OK")</f>
        <v>OK</v>
      </c>
      <c r="O3443" s="23" t="str">
        <f t="shared" si="160"/>
        <v>ORD26000931</v>
      </c>
      <c r="P3443" s="23" t="str">
        <f t="shared" si="161"/>
        <v>Sep</v>
      </c>
      <c r="Q3443" s="23" t="str">
        <f>IF(F3443="CAPTURE",IF(COUNTIF(orders!$A:$A,O3443)&gt;0,"Yes","NO ORDER"),"")</f>
        <v>Yes</v>
      </c>
    </row>
    <row r="3444" spans="1:17" ht="15" customHeight="1" x14ac:dyDescent="0.3">
      <c r="A3444" s="23" t="s">
        <v>16394</v>
      </c>
      <c r="B3444" s="23"/>
      <c r="C3444" s="23" t="s">
        <v>16395</v>
      </c>
      <c r="D3444" s="23" t="str">
        <f t="shared" si="159"/>
        <v>ORD26000964</v>
      </c>
      <c r="E3444" s="38">
        <v>46284</v>
      </c>
      <c r="F3444" s="23" t="s">
        <v>12410</v>
      </c>
      <c r="G3444" s="23" t="s">
        <v>79</v>
      </c>
      <c r="H3444" s="24">
        <v>1799</v>
      </c>
      <c r="I3444" s="24">
        <v>32.380000000000003</v>
      </c>
      <c r="J3444" s="24">
        <v>5.83</v>
      </c>
      <c r="K3444" s="24">
        <v>1760.79</v>
      </c>
      <c r="L3444" s="38">
        <v>46286</v>
      </c>
      <c r="M3444" s="23" t="s">
        <v>214</v>
      </c>
      <c r="N3444" s="23" t="str">
        <f>IF(COUNTIF($A$2:A3444,A3444)&gt;1,"DUP","OK")</f>
        <v>OK</v>
      </c>
      <c r="O3444" s="23" t="str">
        <f t="shared" si="160"/>
        <v>ORD26000964</v>
      </c>
      <c r="P3444" s="23" t="str">
        <f t="shared" si="161"/>
        <v>Sep</v>
      </c>
      <c r="Q3444" s="23" t="str">
        <f>IF(F3444="CAPTURE",IF(COUNTIF(orders!$A:$A,O3444)&gt;0,"Yes","NO ORDER"),"")</f>
        <v>Yes</v>
      </c>
    </row>
    <row r="3445" spans="1:17" ht="15" customHeight="1" x14ac:dyDescent="0.3">
      <c r="A3445" s="23" t="s">
        <v>16396</v>
      </c>
      <c r="B3445" s="23"/>
      <c r="C3445" s="23" t="s">
        <v>2420</v>
      </c>
      <c r="D3445" s="23" t="str">
        <f t="shared" si="159"/>
        <v>ORD26000980</v>
      </c>
      <c r="E3445" s="38">
        <v>46284</v>
      </c>
      <c r="F3445" s="23" t="s">
        <v>12410</v>
      </c>
      <c r="G3445" s="23" t="s">
        <v>75</v>
      </c>
      <c r="H3445" s="24">
        <v>999</v>
      </c>
      <c r="I3445" s="24">
        <v>0</v>
      </c>
      <c r="J3445" s="24">
        <v>0</v>
      </c>
      <c r="K3445" s="24">
        <v>999</v>
      </c>
      <c r="L3445" s="38">
        <v>46286</v>
      </c>
      <c r="M3445" s="23" t="s">
        <v>214</v>
      </c>
      <c r="N3445" s="23" t="str">
        <f>IF(COUNTIF($A$2:A3445,A3445)&gt;1,"DUP","OK")</f>
        <v>OK</v>
      </c>
      <c r="O3445" s="23" t="str">
        <f t="shared" si="160"/>
        <v>ORD26000980</v>
      </c>
      <c r="P3445" s="23" t="str">
        <f t="shared" si="161"/>
        <v>Sep</v>
      </c>
      <c r="Q3445" s="23" t="str">
        <f>IF(F3445="CAPTURE",IF(COUNTIF(orders!$A:$A,O3445)&gt;0,"Yes","NO ORDER"),"")</f>
        <v>Yes</v>
      </c>
    </row>
    <row r="3446" spans="1:17" ht="15" customHeight="1" x14ac:dyDescent="0.3">
      <c r="A3446" s="23" t="s">
        <v>16397</v>
      </c>
      <c r="B3446" s="23"/>
      <c r="C3446" s="23" t="s">
        <v>2482</v>
      </c>
      <c r="D3446" s="23" t="str">
        <f t="shared" si="159"/>
        <v>ORD26001011</v>
      </c>
      <c r="E3446" s="38">
        <v>46284</v>
      </c>
      <c r="F3446" s="23" t="s">
        <v>12410</v>
      </c>
      <c r="G3446" s="23" t="s">
        <v>79</v>
      </c>
      <c r="H3446" s="24">
        <v>4999</v>
      </c>
      <c r="I3446" s="24">
        <v>79.98</v>
      </c>
      <c r="J3446" s="24">
        <v>14.4</v>
      </c>
      <c r="K3446" s="24">
        <v>4904.62</v>
      </c>
      <c r="L3446" s="38">
        <v>46286</v>
      </c>
      <c r="M3446" s="23" t="s">
        <v>214</v>
      </c>
      <c r="N3446" s="23" t="str">
        <f>IF(COUNTIF($A$2:A3446,A3446)&gt;1,"DUP","OK")</f>
        <v>OK</v>
      </c>
      <c r="O3446" s="23" t="str">
        <f t="shared" si="160"/>
        <v>ORD26001011</v>
      </c>
      <c r="P3446" s="23" t="str">
        <f t="shared" si="161"/>
        <v>Sep</v>
      </c>
      <c r="Q3446" s="23" t="str">
        <f>IF(F3446="CAPTURE",IF(COUNTIF(orders!$A:$A,O3446)&gt;0,"Yes","NO ORDER"),"")</f>
        <v>Yes</v>
      </c>
    </row>
    <row r="3447" spans="1:17" ht="15" customHeight="1" x14ac:dyDescent="0.3">
      <c r="A3447" s="23" t="s">
        <v>16398</v>
      </c>
      <c r="B3447" s="23"/>
      <c r="C3447" s="23" t="s">
        <v>2520</v>
      </c>
      <c r="D3447" s="23" t="str">
        <f t="shared" si="159"/>
        <v>ORD26001029</v>
      </c>
      <c r="E3447" s="38">
        <v>46284</v>
      </c>
      <c r="F3447" s="23" t="s">
        <v>12410</v>
      </c>
      <c r="G3447" s="23" t="s">
        <v>75</v>
      </c>
      <c r="H3447" s="24">
        <v>1499</v>
      </c>
      <c r="I3447" s="24">
        <v>0</v>
      </c>
      <c r="J3447" s="24">
        <v>0</v>
      </c>
      <c r="K3447" s="24">
        <v>1499</v>
      </c>
      <c r="L3447" s="38">
        <v>46286</v>
      </c>
      <c r="M3447" s="23" t="s">
        <v>214</v>
      </c>
      <c r="N3447" s="23" t="str">
        <f>IF(COUNTIF($A$2:A3447,A3447)&gt;1,"DUP","OK")</f>
        <v>OK</v>
      </c>
      <c r="O3447" s="23" t="str">
        <f t="shared" si="160"/>
        <v>ORD26001029</v>
      </c>
      <c r="P3447" s="23" t="str">
        <f t="shared" si="161"/>
        <v>Sep</v>
      </c>
      <c r="Q3447" s="23" t="str">
        <f>IF(F3447="CAPTURE",IF(COUNTIF(orders!$A:$A,O3447)&gt;0,"Yes","NO ORDER"),"")</f>
        <v>Yes</v>
      </c>
    </row>
    <row r="3448" spans="1:17" ht="15" customHeight="1" x14ac:dyDescent="0.3">
      <c r="A3448" s="23" t="s">
        <v>16399</v>
      </c>
      <c r="B3448" s="23"/>
      <c r="C3448" s="23" t="s">
        <v>2576</v>
      </c>
      <c r="D3448" s="23" t="str">
        <f t="shared" si="159"/>
        <v>ORD26001056</v>
      </c>
      <c r="E3448" s="38">
        <v>46284</v>
      </c>
      <c r="F3448" s="23" t="s">
        <v>12410</v>
      </c>
      <c r="G3448" s="23" t="s">
        <v>75</v>
      </c>
      <c r="H3448" s="24">
        <v>7999</v>
      </c>
      <c r="I3448" s="24">
        <v>24</v>
      </c>
      <c r="J3448" s="24">
        <v>4.32</v>
      </c>
      <c r="K3448" s="24">
        <v>7970.68</v>
      </c>
      <c r="L3448" s="38">
        <v>46286</v>
      </c>
      <c r="M3448" s="23" t="s">
        <v>214</v>
      </c>
      <c r="N3448" s="23" t="str">
        <f>IF(COUNTIF($A$2:A3448,A3448)&gt;1,"DUP","OK")</f>
        <v>OK</v>
      </c>
      <c r="O3448" s="23" t="str">
        <f t="shared" si="160"/>
        <v>ORD26001056</v>
      </c>
      <c r="P3448" s="23" t="str">
        <f t="shared" si="161"/>
        <v>Sep</v>
      </c>
      <c r="Q3448" s="23" t="str">
        <f>IF(F3448="CAPTURE",IF(COUNTIF(orders!$A:$A,O3448)&gt;0,"Yes","NO ORDER"),"")</f>
        <v>Yes</v>
      </c>
    </row>
    <row r="3449" spans="1:17" ht="15" customHeight="1" x14ac:dyDescent="0.3">
      <c r="A3449" s="23" t="s">
        <v>16400</v>
      </c>
      <c r="B3449" s="23"/>
      <c r="C3449" s="23" t="s">
        <v>2594</v>
      </c>
      <c r="D3449" s="23" t="str">
        <f t="shared" si="159"/>
        <v>ORD26001065</v>
      </c>
      <c r="E3449" s="38">
        <v>46284</v>
      </c>
      <c r="F3449" s="23" t="s">
        <v>12410</v>
      </c>
      <c r="G3449" s="23" t="s">
        <v>75</v>
      </c>
      <c r="H3449" s="24">
        <v>1499</v>
      </c>
      <c r="I3449" s="24">
        <v>0</v>
      </c>
      <c r="J3449" s="24">
        <v>0</v>
      </c>
      <c r="K3449" s="24">
        <v>1499</v>
      </c>
      <c r="L3449" s="38">
        <v>46286</v>
      </c>
      <c r="M3449" s="23" t="s">
        <v>214</v>
      </c>
      <c r="N3449" s="23" t="str">
        <f>IF(COUNTIF($A$2:A3449,A3449)&gt;1,"DUP","OK")</f>
        <v>OK</v>
      </c>
      <c r="O3449" s="23" t="str">
        <f t="shared" si="160"/>
        <v>ORD26001065</v>
      </c>
      <c r="P3449" s="23" t="str">
        <f t="shared" si="161"/>
        <v>Sep</v>
      </c>
      <c r="Q3449" s="23" t="str">
        <f>IF(F3449="CAPTURE",IF(COUNTIF(orders!$A:$A,O3449)&gt;0,"Yes","NO ORDER"),"")</f>
        <v>Yes</v>
      </c>
    </row>
    <row r="3450" spans="1:17" ht="15" customHeight="1" x14ac:dyDescent="0.3">
      <c r="A3450" s="23" t="s">
        <v>16401</v>
      </c>
      <c r="B3450" s="23"/>
      <c r="C3450" s="23" t="s">
        <v>2600</v>
      </c>
      <c r="D3450" s="23" t="str">
        <f t="shared" si="159"/>
        <v>ORD26001068</v>
      </c>
      <c r="E3450" s="38">
        <v>46284</v>
      </c>
      <c r="F3450" s="23" t="s">
        <v>12410</v>
      </c>
      <c r="G3450" s="23" t="s">
        <v>75</v>
      </c>
      <c r="H3450" s="24">
        <v>999</v>
      </c>
      <c r="I3450" s="24">
        <v>0</v>
      </c>
      <c r="J3450" s="24">
        <v>0</v>
      </c>
      <c r="K3450" s="24">
        <v>999</v>
      </c>
      <c r="L3450" s="38">
        <v>46286</v>
      </c>
      <c r="M3450" s="23" t="s">
        <v>214</v>
      </c>
      <c r="N3450" s="23" t="str">
        <f>IF(COUNTIF($A$2:A3450,A3450)&gt;1,"DUP","OK")</f>
        <v>OK</v>
      </c>
      <c r="O3450" s="23" t="str">
        <f t="shared" si="160"/>
        <v>ORD26001068</v>
      </c>
      <c r="P3450" s="23" t="str">
        <f t="shared" si="161"/>
        <v>Sep</v>
      </c>
      <c r="Q3450" s="23" t="str">
        <f>IF(F3450="CAPTURE",IF(COUNTIF(orders!$A:$A,O3450)&gt;0,"Yes","NO ORDER"),"")</f>
        <v>Yes</v>
      </c>
    </row>
    <row r="3451" spans="1:17" ht="15" customHeight="1" x14ac:dyDescent="0.3">
      <c r="A3451" s="23" t="s">
        <v>16402</v>
      </c>
      <c r="B3451" s="23"/>
      <c r="C3451" s="23" t="s">
        <v>2648</v>
      </c>
      <c r="D3451" s="23" t="str">
        <f t="shared" si="159"/>
        <v>ORD26001091</v>
      </c>
      <c r="E3451" s="38">
        <v>46284</v>
      </c>
      <c r="F3451" s="23" t="s">
        <v>12410</v>
      </c>
      <c r="G3451" s="23" t="s">
        <v>79</v>
      </c>
      <c r="H3451" s="24">
        <v>6297</v>
      </c>
      <c r="I3451" s="24">
        <v>100.75</v>
      </c>
      <c r="J3451" s="24">
        <v>18.14</v>
      </c>
      <c r="K3451" s="24">
        <v>6178.11</v>
      </c>
      <c r="L3451" s="38">
        <v>46286</v>
      </c>
      <c r="M3451" s="23" t="s">
        <v>214</v>
      </c>
      <c r="N3451" s="23" t="str">
        <f>IF(COUNTIF($A$2:A3451,A3451)&gt;1,"DUP","OK")</f>
        <v>OK</v>
      </c>
      <c r="O3451" s="23" t="str">
        <f t="shared" si="160"/>
        <v>ORD26001091</v>
      </c>
      <c r="P3451" s="23" t="str">
        <f t="shared" si="161"/>
        <v>Sep</v>
      </c>
      <c r="Q3451" s="23" t="str">
        <f>IF(F3451="CAPTURE",IF(COUNTIF(orders!$A:$A,O3451)&gt;0,"Yes","NO ORDER"),"")</f>
        <v>Yes</v>
      </c>
    </row>
    <row r="3452" spans="1:17" ht="15" customHeight="1" x14ac:dyDescent="0.3">
      <c r="A3452" s="23" t="s">
        <v>16403</v>
      </c>
      <c r="B3452" s="23"/>
      <c r="C3452" s="23" t="s">
        <v>2664</v>
      </c>
      <c r="D3452" s="23" t="str">
        <f t="shared" si="159"/>
        <v>ORD26001099</v>
      </c>
      <c r="E3452" s="38">
        <v>46284</v>
      </c>
      <c r="F3452" s="23" t="s">
        <v>12410</v>
      </c>
      <c r="G3452" s="23" t="s">
        <v>75</v>
      </c>
      <c r="H3452" s="24">
        <v>999</v>
      </c>
      <c r="I3452" s="24">
        <v>0</v>
      </c>
      <c r="J3452" s="24">
        <v>0</v>
      </c>
      <c r="K3452" s="24">
        <v>999</v>
      </c>
      <c r="L3452" s="38">
        <v>46286</v>
      </c>
      <c r="M3452" s="23" t="s">
        <v>214</v>
      </c>
      <c r="N3452" s="23" t="str">
        <f>IF(COUNTIF($A$2:A3452,A3452)&gt;1,"DUP","OK")</f>
        <v>OK</v>
      </c>
      <c r="O3452" s="23" t="str">
        <f t="shared" si="160"/>
        <v>ORD26001099</v>
      </c>
      <c r="P3452" s="23" t="str">
        <f t="shared" si="161"/>
        <v>Sep</v>
      </c>
      <c r="Q3452" s="23" t="str">
        <f>IF(F3452="CAPTURE",IF(COUNTIF(orders!$A:$A,O3452)&gt;0,"Yes","NO ORDER"),"")</f>
        <v>Yes</v>
      </c>
    </row>
    <row r="3453" spans="1:17" ht="15" customHeight="1" x14ac:dyDescent="0.3">
      <c r="A3453" s="23" t="s">
        <v>16404</v>
      </c>
      <c r="B3453" s="23"/>
      <c r="C3453" s="23" t="s">
        <v>2674</v>
      </c>
      <c r="D3453" s="23" t="str">
        <f t="shared" si="159"/>
        <v>ORD26001104</v>
      </c>
      <c r="E3453" s="38">
        <v>46284</v>
      </c>
      <c r="F3453" s="23" t="s">
        <v>12410</v>
      </c>
      <c r="G3453" s="23" t="s">
        <v>81</v>
      </c>
      <c r="H3453" s="24">
        <v>799</v>
      </c>
      <c r="I3453" s="24">
        <v>11.99</v>
      </c>
      <c r="J3453" s="24">
        <v>2.16</v>
      </c>
      <c r="K3453" s="24">
        <v>784.85</v>
      </c>
      <c r="L3453" s="38">
        <v>46286</v>
      </c>
      <c r="M3453" s="23" t="s">
        <v>214</v>
      </c>
      <c r="N3453" s="23" t="str">
        <f>IF(COUNTIF($A$2:A3453,A3453)&gt;1,"DUP","OK")</f>
        <v>OK</v>
      </c>
      <c r="O3453" s="23" t="str">
        <f t="shared" si="160"/>
        <v>ORD26001104</v>
      </c>
      <c r="P3453" s="23" t="str">
        <f t="shared" si="161"/>
        <v>Sep</v>
      </c>
      <c r="Q3453" s="23" t="str">
        <f>IF(F3453="CAPTURE",IF(COUNTIF(orders!$A:$A,O3453)&gt;0,"Yes","NO ORDER"),"")</f>
        <v>Yes</v>
      </c>
    </row>
    <row r="3454" spans="1:17" ht="15" customHeight="1" x14ac:dyDescent="0.3">
      <c r="A3454" s="23" t="s">
        <v>16405</v>
      </c>
      <c r="B3454" s="23"/>
      <c r="C3454" s="23" t="s">
        <v>2711</v>
      </c>
      <c r="D3454" s="23" t="str">
        <f t="shared" si="159"/>
        <v>ORD26001123</v>
      </c>
      <c r="E3454" s="38">
        <v>46284</v>
      </c>
      <c r="F3454" s="23" t="s">
        <v>12410</v>
      </c>
      <c r="G3454" s="23" t="s">
        <v>75</v>
      </c>
      <c r="H3454" s="24">
        <v>4498</v>
      </c>
      <c r="I3454" s="24">
        <v>13.49</v>
      </c>
      <c r="J3454" s="24">
        <v>2.4300000000000002</v>
      </c>
      <c r="K3454" s="24">
        <v>4482.08</v>
      </c>
      <c r="L3454" s="38">
        <v>46286</v>
      </c>
      <c r="M3454" s="23" t="s">
        <v>214</v>
      </c>
      <c r="N3454" s="23" t="str">
        <f>IF(COUNTIF($A$2:A3454,A3454)&gt;1,"DUP","OK")</f>
        <v>OK</v>
      </c>
      <c r="O3454" s="23" t="str">
        <f t="shared" si="160"/>
        <v>ORD26001123</v>
      </c>
      <c r="P3454" s="23" t="str">
        <f t="shared" si="161"/>
        <v>Sep</v>
      </c>
      <c r="Q3454" s="23" t="str">
        <f>IF(F3454="CAPTURE",IF(COUNTIF(orders!$A:$A,O3454)&gt;0,"Yes","NO ORDER"),"")</f>
        <v>Yes</v>
      </c>
    </row>
    <row r="3455" spans="1:17" ht="15" customHeight="1" x14ac:dyDescent="0.3">
      <c r="A3455" s="23" t="s">
        <v>16406</v>
      </c>
      <c r="B3455" s="23"/>
      <c r="C3455" s="23" t="s">
        <v>2829</v>
      </c>
      <c r="D3455" s="23" t="str">
        <f t="shared" si="159"/>
        <v>ORD26001181</v>
      </c>
      <c r="E3455" s="38">
        <v>46284</v>
      </c>
      <c r="F3455" s="23" t="s">
        <v>12410</v>
      </c>
      <c r="G3455" s="23" t="s">
        <v>81</v>
      </c>
      <c r="H3455" s="24">
        <v>9497</v>
      </c>
      <c r="I3455" s="24">
        <v>113.96</v>
      </c>
      <c r="J3455" s="24">
        <v>20.51</v>
      </c>
      <c r="K3455" s="24">
        <v>9362.5300000000007</v>
      </c>
      <c r="L3455" s="38">
        <v>46286</v>
      </c>
      <c r="M3455" s="23" t="s">
        <v>214</v>
      </c>
      <c r="N3455" s="23" t="str">
        <f>IF(COUNTIF($A$2:A3455,A3455)&gt;1,"DUP","OK")</f>
        <v>OK</v>
      </c>
      <c r="O3455" s="23" t="str">
        <f t="shared" si="160"/>
        <v>ORD26001181</v>
      </c>
      <c r="P3455" s="23" t="str">
        <f t="shared" si="161"/>
        <v>Sep</v>
      </c>
      <c r="Q3455" s="23" t="str">
        <f>IF(F3455="CAPTURE",IF(COUNTIF(orders!$A:$A,O3455)&gt;0,"Yes","NO ORDER"),"")</f>
        <v>Yes</v>
      </c>
    </row>
    <row r="3456" spans="1:17" ht="15" customHeight="1" x14ac:dyDescent="0.3">
      <c r="A3456" s="23" t="s">
        <v>16407</v>
      </c>
      <c r="B3456" s="23"/>
      <c r="C3456" s="23" t="s">
        <v>2961</v>
      </c>
      <c r="D3456" s="23" t="str">
        <f t="shared" si="159"/>
        <v>ORD26001245</v>
      </c>
      <c r="E3456" s="38">
        <v>46284</v>
      </c>
      <c r="F3456" s="23" t="s">
        <v>12410</v>
      </c>
      <c r="G3456" s="23" t="s">
        <v>77</v>
      </c>
      <c r="H3456" s="24">
        <v>5147</v>
      </c>
      <c r="I3456" s="24">
        <v>87.5</v>
      </c>
      <c r="J3456" s="24">
        <v>15.75</v>
      </c>
      <c r="K3456" s="24">
        <v>5043.75</v>
      </c>
      <c r="L3456" s="38">
        <v>46286</v>
      </c>
      <c r="M3456" s="23" t="s">
        <v>214</v>
      </c>
      <c r="N3456" s="23" t="str">
        <f>IF(COUNTIF($A$2:A3456,A3456)&gt;1,"DUP","OK")</f>
        <v>OK</v>
      </c>
      <c r="O3456" s="23" t="str">
        <f t="shared" si="160"/>
        <v>ORD26001245</v>
      </c>
      <c r="P3456" s="23" t="str">
        <f t="shared" si="161"/>
        <v>Sep</v>
      </c>
      <c r="Q3456" s="23" t="str">
        <f>IF(F3456="CAPTURE",IF(COUNTIF(orders!$A:$A,O3456)&gt;0,"Yes","NO ORDER"),"")</f>
        <v>Yes</v>
      </c>
    </row>
    <row r="3457" spans="1:17" ht="15" customHeight="1" x14ac:dyDescent="0.3">
      <c r="A3457" s="23" t="s">
        <v>16408</v>
      </c>
      <c r="B3457" s="23"/>
      <c r="C3457" s="23" t="s">
        <v>2986</v>
      </c>
      <c r="D3457" s="23" t="str">
        <f t="shared" si="159"/>
        <v>ORD26001257</v>
      </c>
      <c r="E3457" s="38">
        <v>46284</v>
      </c>
      <c r="F3457" s="23" t="s">
        <v>12410</v>
      </c>
      <c r="G3457" s="23" t="s">
        <v>79</v>
      </c>
      <c r="H3457" s="24">
        <v>3348</v>
      </c>
      <c r="I3457" s="24">
        <v>53.57</v>
      </c>
      <c r="J3457" s="24">
        <v>9.64</v>
      </c>
      <c r="K3457" s="24">
        <v>3284.79</v>
      </c>
      <c r="L3457" s="38">
        <v>46286</v>
      </c>
      <c r="M3457" s="23" t="s">
        <v>214</v>
      </c>
      <c r="N3457" s="23" t="str">
        <f>IF(COUNTIF($A$2:A3457,A3457)&gt;1,"DUP","OK")</f>
        <v>OK</v>
      </c>
      <c r="O3457" s="23" t="str">
        <f t="shared" si="160"/>
        <v>ORD26001257</v>
      </c>
      <c r="P3457" s="23" t="str">
        <f t="shared" si="161"/>
        <v>Sep</v>
      </c>
      <c r="Q3457" s="23" t="str">
        <f>IF(F3457="CAPTURE",IF(COUNTIF(orders!$A:$A,O3457)&gt;0,"Yes","NO ORDER"),"")</f>
        <v>Yes</v>
      </c>
    </row>
    <row r="3458" spans="1:17" ht="15" customHeight="1" x14ac:dyDescent="0.3">
      <c r="A3458" s="23" t="s">
        <v>16409</v>
      </c>
      <c r="B3458" s="23"/>
      <c r="C3458" s="23" t="s">
        <v>2988</v>
      </c>
      <c r="D3458" s="23" t="str">
        <f t="shared" ref="D3458:D3521" si="162">UPPER(SUBSTITUTE(TRIM(C3458),"-",""))</f>
        <v>ORD26001258</v>
      </c>
      <c r="E3458" s="38">
        <v>46284</v>
      </c>
      <c r="F3458" s="23" t="s">
        <v>12410</v>
      </c>
      <c r="G3458" s="23" t="s">
        <v>75</v>
      </c>
      <c r="H3458" s="24">
        <v>1848</v>
      </c>
      <c r="I3458" s="24">
        <v>0</v>
      </c>
      <c r="J3458" s="24">
        <v>0</v>
      </c>
      <c r="K3458" s="24">
        <v>1848</v>
      </c>
      <c r="L3458" s="38">
        <v>46286</v>
      </c>
      <c r="M3458" s="23" t="s">
        <v>214</v>
      </c>
      <c r="N3458" s="23" t="str">
        <f>IF(COUNTIF($A$2:A3458,A3458)&gt;1,"DUP","OK")</f>
        <v>OK</v>
      </c>
      <c r="O3458" s="23" t="str">
        <f t="shared" ref="O3458:O3521" si="163">IF(F3458="REFUND",INDEX($D:$D,MATCH(B3458,$A:$A,0)),D3458)</f>
        <v>ORD26001258</v>
      </c>
      <c r="P3458" s="23" t="str">
        <f t="shared" ref="P3458:P3521" si="164">IF(L3458&gt;DATE(2026,9,30),"Oct-Due","Sep")</f>
        <v>Sep</v>
      </c>
      <c r="Q3458" s="23" t="str">
        <f>IF(F3458="CAPTURE",IF(COUNTIF(orders!$A:$A,O3458)&gt;0,"Yes","NO ORDER"),"")</f>
        <v>Yes</v>
      </c>
    </row>
    <row r="3459" spans="1:17" ht="15" customHeight="1" x14ac:dyDescent="0.3">
      <c r="A3459" s="23" t="s">
        <v>16410</v>
      </c>
      <c r="B3459" s="23"/>
      <c r="C3459" s="23" t="s">
        <v>3026</v>
      </c>
      <c r="D3459" s="23" t="str">
        <f t="shared" si="162"/>
        <v>ORD26001276</v>
      </c>
      <c r="E3459" s="38">
        <v>46284</v>
      </c>
      <c r="F3459" s="23" t="s">
        <v>12410</v>
      </c>
      <c r="G3459" s="23" t="s">
        <v>79</v>
      </c>
      <c r="H3459" s="24">
        <v>349</v>
      </c>
      <c r="I3459" s="24">
        <v>6.28</v>
      </c>
      <c r="J3459" s="24">
        <v>1.1299999999999999</v>
      </c>
      <c r="K3459" s="24">
        <v>341.59</v>
      </c>
      <c r="L3459" s="38">
        <v>46286</v>
      </c>
      <c r="M3459" s="23" t="s">
        <v>214</v>
      </c>
      <c r="N3459" s="23" t="str">
        <f>IF(COUNTIF($A$2:A3459,A3459)&gt;1,"DUP","OK")</f>
        <v>OK</v>
      </c>
      <c r="O3459" s="23" t="str">
        <f t="shared" si="163"/>
        <v>ORD26001276</v>
      </c>
      <c r="P3459" s="23" t="str">
        <f t="shared" si="164"/>
        <v>Sep</v>
      </c>
      <c r="Q3459" s="23" t="str">
        <f>IF(F3459="CAPTURE",IF(COUNTIF(orders!$A:$A,O3459)&gt;0,"Yes","NO ORDER"),"")</f>
        <v>Yes</v>
      </c>
    </row>
    <row r="3460" spans="1:17" ht="15" customHeight="1" x14ac:dyDescent="0.3">
      <c r="A3460" s="23" t="s">
        <v>16411</v>
      </c>
      <c r="B3460" s="23"/>
      <c r="C3460" s="23" t="s">
        <v>3062</v>
      </c>
      <c r="D3460" s="23" t="str">
        <f t="shared" si="162"/>
        <v>ORD26001294</v>
      </c>
      <c r="E3460" s="38">
        <v>46284</v>
      </c>
      <c r="F3460" s="23" t="s">
        <v>12410</v>
      </c>
      <c r="G3460" s="23" t="s">
        <v>75</v>
      </c>
      <c r="H3460" s="24">
        <v>2499</v>
      </c>
      <c r="I3460" s="24">
        <v>7.5</v>
      </c>
      <c r="J3460" s="24">
        <v>1.35</v>
      </c>
      <c r="K3460" s="24">
        <v>2490.15</v>
      </c>
      <c r="L3460" s="38">
        <v>46286</v>
      </c>
      <c r="M3460" s="23" t="s">
        <v>214</v>
      </c>
      <c r="N3460" s="23" t="str">
        <f>IF(COUNTIF($A$2:A3460,A3460)&gt;1,"DUP","OK")</f>
        <v>OK</v>
      </c>
      <c r="O3460" s="23" t="str">
        <f t="shared" si="163"/>
        <v>ORD26001294</v>
      </c>
      <c r="P3460" s="23" t="str">
        <f t="shared" si="164"/>
        <v>Sep</v>
      </c>
      <c r="Q3460" s="23" t="str">
        <f>IF(F3460="CAPTURE",IF(COUNTIF(orders!$A:$A,O3460)&gt;0,"Yes","NO ORDER"),"")</f>
        <v>Yes</v>
      </c>
    </row>
    <row r="3461" spans="1:17" ht="15" customHeight="1" x14ac:dyDescent="0.3">
      <c r="A3461" s="23" t="s">
        <v>16412</v>
      </c>
      <c r="B3461" s="23"/>
      <c r="C3461" s="23" t="s">
        <v>3385</v>
      </c>
      <c r="D3461" s="23" t="str">
        <f t="shared" si="162"/>
        <v>ORD26001451</v>
      </c>
      <c r="E3461" s="38">
        <v>46284</v>
      </c>
      <c r="F3461" s="23" t="s">
        <v>12410</v>
      </c>
      <c r="G3461" s="23" t="s">
        <v>79</v>
      </c>
      <c r="H3461" s="24">
        <v>349</v>
      </c>
      <c r="I3461" s="24">
        <v>6.28</v>
      </c>
      <c r="J3461" s="24">
        <v>1.1299999999999999</v>
      </c>
      <c r="K3461" s="24">
        <v>341.59</v>
      </c>
      <c r="L3461" s="38">
        <v>46286</v>
      </c>
      <c r="M3461" s="23" t="s">
        <v>214</v>
      </c>
      <c r="N3461" s="23" t="str">
        <f>IF(COUNTIF($A$2:A3461,A3461)&gt;1,"DUP","OK")</f>
        <v>OK</v>
      </c>
      <c r="O3461" s="23" t="str">
        <f t="shared" si="163"/>
        <v>ORD26001451</v>
      </c>
      <c r="P3461" s="23" t="str">
        <f t="shared" si="164"/>
        <v>Sep</v>
      </c>
      <c r="Q3461" s="23" t="str">
        <f>IF(F3461="CAPTURE",IF(COUNTIF(orders!$A:$A,O3461)&gt;0,"Yes","NO ORDER"),"")</f>
        <v>Yes</v>
      </c>
    </row>
    <row r="3462" spans="1:17" ht="15" customHeight="1" x14ac:dyDescent="0.3">
      <c r="A3462" s="23" t="s">
        <v>16413</v>
      </c>
      <c r="B3462" s="23"/>
      <c r="C3462" s="23" t="s">
        <v>3431</v>
      </c>
      <c r="D3462" s="23" t="str">
        <f t="shared" si="162"/>
        <v>ORD26001474</v>
      </c>
      <c r="E3462" s="38">
        <v>46284</v>
      </c>
      <c r="F3462" s="23" t="s">
        <v>12410</v>
      </c>
      <c r="G3462" s="23" t="s">
        <v>75</v>
      </c>
      <c r="H3462" s="24">
        <v>799</v>
      </c>
      <c r="I3462" s="24">
        <v>0</v>
      </c>
      <c r="J3462" s="24">
        <v>0</v>
      </c>
      <c r="K3462" s="24">
        <v>799</v>
      </c>
      <c r="L3462" s="38">
        <v>46286</v>
      </c>
      <c r="M3462" s="23" t="s">
        <v>214</v>
      </c>
      <c r="N3462" s="23" t="str">
        <f>IF(COUNTIF($A$2:A3462,A3462)&gt;1,"DUP","OK")</f>
        <v>OK</v>
      </c>
      <c r="O3462" s="23" t="str">
        <f t="shared" si="163"/>
        <v>ORD26001474</v>
      </c>
      <c r="P3462" s="23" t="str">
        <f t="shared" si="164"/>
        <v>Sep</v>
      </c>
      <c r="Q3462" s="23" t="str">
        <f>IF(F3462="CAPTURE",IF(COUNTIF(orders!$A:$A,O3462)&gt;0,"Yes","NO ORDER"),"")</f>
        <v>Yes</v>
      </c>
    </row>
    <row r="3463" spans="1:17" ht="15" customHeight="1" x14ac:dyDescent="0.3">
      <c r="A3463" s="23" t="s">
        <v>16414</v>
      </c>
      <c r="B3463" s="23"/>
      <c r="C3463" s="23" t="s">
        <v>3647</v>
      </c>
      <c r="D3463" s="23" t="str">
        <f t="shared" si="162"/>
        <v>ORD26001580</v>
      </c>
      <c r="E3463" s="38">
        <v>46284</v>
      </c>
      <c r="F3463" s="23" t="s">
        <v>12410</v>
      </c>
      <c r="G3463" s="23" t="s">
        <v>75</v>
      </c>
      <c r="H3463" s="24">
        <v>3998</v>
      </c>
      <c r="I3463" s="24">
        <v>11.99</v>
      </c>
      <c r="J3463" s="24">
        <v>2.16</v>
      </c>
      <c r="K3463" s="24">
        <v>3983.85</v>
      </c>
      <c r="L3463" s="38">
        <v>46286</v>
      </c>
      <c r="M3463" s="23" t="s">
        <v>214</v>
      </c>
      <c r="N3463" s="23" t="str">
        <f>IF(COUNTIF($A$2:A3463,A3463)&gt;1,"DUP","OK")</f>
        <v>OK</v>
      </c>
      <c r="O3463" s="23" t="str">
        <f t="shared" si="163"/>
        <v>ORD26001580</v>
      </c>
      <c r="P3463" s="23" t="str">
        <f t="shared" si="164"/>
        <v>Sep</v>
      </c>
      <c r="Q3463" s="23" t="str">
        <f>IF(F3463="CAPTURE",IF(COUNTIF(orders!$A:$A,O3463)&gt;0,"Yes","NO ORDER"),"")</f>
        <v>Yes</v>
      </c>
    </row>
    <row r="3464" spans="1:17" ht="15" customHeight="1" x14ac:dyDescent="0.3">
      <c r="A3464" s="23" t="s">
        <v>16415</v>
      </c>
      <c r="B3464" s="23"/>
      <c r="C3464" s="23" t="s">
        <v>3793</v>
      </c>
      <c r="D3464" s="23" t="str">
        <f t="shared" si="162"/>
        <v>ORD26001654</v>
      </c>
      <c r="E3464" s="38">
        <v>46284</v>
      </c>
      <c r="F3464" s="23" t="s">
        <v>12410</v>
      </c>
      <c r="G3464" s="23" t="s">
        <v>81</v>
      </c>
      <c r="H3464" s="24">
        <v>9297</v>
      </c>
      <c r="I3464" s="24">
        <v>111.56</v>
      </c>
      <c r="J3464" s="24">
        <v>20.079999999999998</v>
      </c>
      <c r="K3464" s="24">
        <v>9165.36</v>
      </c>
      <c r="L3464" s="38">
        <v>46286</v>
      </c>
      <c r="M3464" s="23" t="s">
        <v>214</v>
      </c>
      <c r="N3464" s="23" t="str">
        <f>IF(COUNTIF($A$2:A3464,A3464)&gt;1,"DUP","OK")</f>
        <v>OK</v>
      </c>
      <c r="O3464" s="23" t="str">
        <f t="shared" si="163"/>
        <v>ORD26001654</v>
      </c>
      <c r="P3464" s="23" t="str">
        <f t="shared" si="164"/>
        <v>Sep</v>
      </c>
      <c r="Q3464" s="23" t="str">
        <f>IF(F3464="CAPTURE",IF(COUNTIF(orders!$A:$A,O3464)&gt;0,"Yes","NO ORDER"),"")</f>
        <v>Yes</v>
      </c>
    </row>
    <row r="3465" spans="1:17" ht="15" customHeight="1" x14ac:dyDescent="0.3">
      <c r="A3465" s="23" t="s">
        <v>16416</v>
      </c>
      <c r="B3465" s="23"/>
      <c r="C3465" s="23" t="s">
        <v>3805</v>
      </c>
      <c r="D3465" s="23" t="str">
        <f t="shared" si="162"/>
        <v>ORD26001660</v>
      </c>
      <c r="E3465" s="38">
        <v>46284</v>
      </c>
      <c r="F3465" s="23" t="s">
        <v>12410</v>
      </c>
      <c r="G3465" s="23" t="s">
        <v>75</v>
      </c>
      <c r="H3465" s="24">
        <v>1499</v>
      </c>
      <c r="I3465" s="24">
        <v>0</v>
      </c>
      <c r="J3465" s="24">
        <v>0</v>
      </c>
      <c r="K3465" s="24">
        <v>1499</v>
      </c>
      <c r="L3465" s="38">
        <v>46286</v>
      </c>
      <c r="M3465" s="23" t="s">
        <v>214</v>
      </c>
      <c r="N3465" s="23" t="str">
        <f>IF(COUNTIF($A$2:A3465,A3465)&gt;1,"DUP","OK")</f>
        <v>OK</v>
      </c>
      <c r="O3465" s="23" t="str">
        <f t="shared" si="163"/>
        <v>ORD26001660</v>
      </c>
      <c r="P3465" s="23" t="str">
        <f t="shared" si="164"/>
        <v>Sep</v>
      </c>
      <c r="Q3465" s="23" t="str">
        <f>IF(F3465="CAPTURE",IF(COUNTIF(orders!$A:$A,O3465)&gt;0,"Yes","NO ORDER"),"")</f>
        <v>Yes</v>
      </c>
    </row>
    <row r="3466" spans="1:17" ht="15" customHeight="1" x14ac:dyDescent="0.3">
      <c r="A3466" s="23" t="s">
        <v>16417</v>
      </c>
      <c r="B3466" s="23"/>
      <c r="C3466" s="23" t="s">
        <v>3888</v>
      </c>
      <c r="D3466" s="23" t="str">
        <f t="shared" si="162"/>
        <v>ORD26001700</v>
      </c>
      <c r="E3466" s="38">
        <v>46284</v>
      </c>
      <c r="F3466" s="23" t="s">
        <v>12410</v>
      </c>
      <c r="G3466" s="23" t="s">
        <v>79</v>
      </c>
      <c r="H3466" s="24">
        <v>1598</v>
      </c>
      <c r="I3466" s="24">
        <v>28.76</v>
      </c>
      <c r="J3466" s="24">
        <v>5.18</v>
      </c>
      <c r="K3466" s="24">
        <v>1564.06</v>
      </c>
      <c r="L3466" s="38">
        <v>46286</v>
      </c>
      <c r="M3466" s="23" t="s">
        <v>214</v>
      </c>
      <c r="N3466" s="23" t="str">
        <f>IF(COUNTIF($A$2:A3466,A3466)&gt;1,"DUP","OK")</f>
        <v>OK</v>
      </c>
      <c r="O3466" s="23" t="str">
        <f t="shared" si="163"/>
        <v>ORD26001700</v>
      </c>
      <c r="P3466" s="23" t="str">
        <f t="shared" si="164"/>
        <v>Sep</v>
      </c>
      <c r="Q3466" s="23" t="str">
        <f>IF(F3466="CAPTURE",IF(COUNTIF(orders!$A:$A,O3466)&gt;0,"Yes","NO ORDER"),"")</f>
        <v>Yes</v>
      </c>
    </row>
    <row r="3467" spans="1:17" ht="15" customHeight="1" x14ac:dyDescent="0.3">
      <c r="A3467" s="23" t="s">
        <v>16418</v>
      </c>
      <c r="B3467" s="23"/>
      <c r="C3467" s="23" t="s">
        <v>3903</v>
      </c>
      <c r="D3467" s="23" t="str">
        <f t="shared" si="162"/>
        <v>ORD26001708</v>
      </c>
      <c r="E3467" s="38">
        <v>46284</v>
      </c>
      <c r="F3467" s="23" t="s">
        <v>12410</v>
      </c>
      <c r="G3467" s="23" t="s">
        <v>75</v>
      </c>
      <c r="H3467" s="24">
        <v>799</v>
      </c>
      <c r="I3467" s="24">
        <v>0</v>
      </c>
      <c r="J3467" s="24">
        <v>0</v>
      </c>
      <c r="K3467" s="24">
        <v>799</v>
      </c>
      <c r="L3467" s="38">
        <v>46286</v>
      </c>
      <c r="M3467" s="23" t="s">
        <v>214</v>
      </c>
      <c r="N3467" s="23" t="str">
        <f>IF(COUNTIF($A$2:A3467,A3467)&gt;1,"DUP","OK")</f>
        <v>OK</v>
      </c>
      <c r="O3467" s="23" t="str">
        <f t="shared" si="163"/>
        <v>ORD26001708</v>
      </c>
      <c r="P3467" s="23" t="str">
        <f t="shared" si="164"/>
        <v>Sep</v>
      </c>
      <c r="Q3467" s="23" t="str">
        <f>IF(F3467="CAPTURE",IF(COUNTIF(orders!$A:$A,O3467)&gt;0,"Yes","NO ORDER"),"")</f>
        <v>Yes</v>
      </c>
    </row>
    <row r="3468" spans="1:17" ht="15" customHeight="1" x14ac:dyDescent="0.3">
      <c r="A3468" s="23" t="s">
        <v>16419</v>
      </c>
      <c r="B3468" s="23"/>
      <c r="C3468" s="23" t="s">
        <v>3946</v>
      </c>
      <c r="D3468" s="23" t="str">
        <f t="shared" si="162"/>
        <v>ORD26001729</v>
      </c>
      <c r="E3468" s="38">
        <v>46284</v>
      </c>
      <c r="F3468" s="23" t="s">
        <v>12410</v>
      </c>
      <c r="G3468" s="23" t="s">
        <v>75</v>
      </c>
      <c r="H3468" s="24">
        <v>3998</v>
      </c>
      <c r="I3468" s="24">
        <v>11.99</v>
      </c>
      <c r="J3468" s="24">
        <v>2.16</v>
      </c>
      <c r="K3468" s="24">
        <v>3983.85</v>
      </c>
      <c r="L3468" s="38">
        <v>46286</v>
      </c>
      <c r="M3468" s="23" t="s">
        <v>214</v>
      </c>
      <c r="N3468" s="23" t="str">
        <f>IF(COUNTIF($A$2:A3468,A3468)&gt;1,"DUP","OK")</f>
        <v>OK</v>
      </c>
      <c r="O3468" s="23" t="str">
        <f t="shared" si="163"/>
        <v>ORD26001729</v>
      </c>
      <c r="P3468" s="23" t="str">
        <f t="shared" si="164"/>
        <v>Sep</v>
      </c>
      <c r="Q3468" s="23" t="str">
        <f>IF(F3468="CAPTURE",IF(COUNTIF(orders!$A:$A,O3468)&gt;0,"Yes","NO ORDER"),"")</f>
        <v>Yes</v>
      </c>
    </row>
    <row r="3469" spans="1:17" ht="15" customHeight="1" x14ac:dyDescent="0.3">
      <c r="A3469" s="23" t="s">
        <v>16420</v>
      </c>
      <c r="B3469" s="23"/>
      <c r="C3469" s="23" t="s">
        <v>3978</v>
      </c>
      <c r="D3469" s="23" t="str">
        <f t="shared" si="162"/>
        <v>ORD26001745</v>
      </c>
      <c r="E3469" s="38">
        <v>46284</v>
      </c>
      <c r="F3469" s="23" t="s">
        <v>12410</v>
      </c>
      <c r="G3469" s="23" t="s">
        <v>75</v>
      </c>
      <c r="H3469" s="24">
        <v>2999</v>
      </c>
      <c r="I3469" s="24">
        <v>9</v>
      </c>
      <c r="J3469" s="24">
        <v>1.62</v>
      </c>
      <c r="K3469" s="24">
        <v>2988.38</v>
      </c>
      <c r="L3469" s="38">
        <v>46286</v>
      </c>
      <c r="M3469" s="23" t="s">
        <v>214</v>
      </c>
      <c r="N3469" s="23" t="str">
        <f>IF(COUNTIF($A$2:A3469,A3469)&gt;1,"DUP","OK")</f>
        <v>OK</v>
      </c>
      <c r="O3469" s="23" t="str">
        <f t="shared" si="163"/>
        <v>ORD26001745</v>
      </c>
      <c r="P3469" s="23" t="str">
        <f t="shared" si="164"/>
        <v>Sep</v>
      </c>
      <c r="Q3469" s="23" t="str">
        <f>IF(F3469="CAPTURE",IF(COUNTIF(orders!$A:$A,O3469)&gt;0,"Yes","NO ORDER"),"")</f>
        <v>Yes</v>
      </c>
    </row>
    <row r="3470" spans="1:17" ht="15" customHeight="1" x14ac:dyDescent="0.3">
      <c r="A3470" s="23" t="s">
        <v>16421</v>
      </c>
      <c r="B3470" s="23"/>
      <c r="C3470" s="23" t="s">
        <v>4059</v>
      </c>
      <c r="D3470" s="23" t="str">
        <f t="shared" si="162"/>
        <v>ORD26001786</v>
      </c>
      <c r="E3470" s="38">
        <v>46284</v>
      </c>
      <c r="F3470" s="23" t="s">
        <v>12410</v>
      </c>
      <c r="G3470" s="23" t="s">
        <v>75</v>
      </c>
      <c r="H3470" s="24">
        <v>9797</v>
      </c>
      <c r="I3470" s="24">
        <v>29.39</v>
      </c>
      <c r="J3470" s="24">
        <v>5.29</v>
      </c>
      <c r="K3470" s="24">
        <v>9762.32</v>
      </c>
      <c r="L3470" s="38">
        <v>46286</v>
      </c>
      <c r="M3470" s="23" t="s">
        <v>214</v>
      </c>
      <c r="N3470" s="23" t="str">
        <f>IF(COUNTIF($A$2:A3470,A3470)&gt;1,"DUP","OK")</f>
        <v>OK</v>
      </c>
      <c r="O3470" s="23" t="str">
        <f t="shared" si="163"/>
        <v>ORD26001786</v>
      </c>
      <c r="P3470" s="23" t="str">
        <f t="shared" si="164"/>
        <v>Sep</v>
      </c>
      <c r="Q3470" s="23" t="str">
        <f>IF(F3470="CAPTURE",IF(COUNTIF(orders!$A:$A,O3470)&gt;0,"Yes","NO ORDER"),"")</f>
        <v>Yes</v>
      </c>
    </row>
    <row r="3471" spans="1:17" ht="15" customHeight="1" x14ac:dyDescent="0.3">
      <c r="A3471" s="23" t="s">
        <v>16422</v>
      </c>
      <c r="B3471" s="23"/>
      <c r="C3471" s="23" t="s">
        <v>16423</v>
      </c>
      <c r="D3471" s="23" t="str">
        <f t="shared" si="162"/>
        <v>ORD26001800</v>
      </c>
      <c r="E3471" s="38">
        <v>46284</v>
      </c>
      <c r="F3471" s="23" t="s">
        <v>12410</v>
      </c>
      <c r="G3471" s="23" t="s">
        <v>75</v>
      </c>
      <c r="H3471" s="24">
        <v>5498</v>
      </c>
      <c r="I3471" s="24">
        <v>16.489999999999998</v>
      </c>
      <c r="J3471" s="24">
        <v>2.97</v>
      </c>
      <c r="K3471" s="24">
        <v>5478.54</v>
      </c>
      <c r="L3471" s="38">
        <v>46286</v>
      </c>
      <c r="M3471" s="23" t="s">
        <v>214</v>
      </c>
      <c r="N3471" s="23" t="str">
        <f>IF(COUNTIF($A$2:A3471,A3471)&gt;1,"DUP","OK")</f>
        <v>OK</v>
      </c>
      <c r="O3471" s="23" t="str">
        <f t="shared" si="163"/>
        <v>ORD26001800</v>
      </c>
      <c r="P3471" s="23" t="str">
        <f t="shared" si="164"/>
        <v>Sep</v>
      </c>
      <c r="Q3471" s="23" t="str">
        <f>IF(F3471="CAPTURE",IF(COUNTIF(orders!$A:$A,O3471)&gt;0,"Yes","NO ORDER"),"")</f>
        <v>Yes</v>
      </c>
    </row>
    <row r="3472" spans="1:17" ht="15" customHeight="1" x14ac:dyDescent="0.3">
      <c r="A3472" s="23" t="s">
        <v>16424</v>
      </c>
      <c r="B3472" s="23"/>
      <c r="C3472" s="23" t="s">
        <v>16425</v>
      </c>
      <c r="D3472" s="23" t="str">
        <f t="shared" si="162"/>
        <v>ORD26001878</v>
      </c>
      <c r="E3472" s="38">
        <v>46284</v>
      </c>
      <c r="F3472" s="23" t="s">
        <v>12410</v>
      </c>
      <c r="G3472" s="23" t="s">
        <v>79</v>
      </c>
      <c r="H3472" s="24">
        <v>5998</v>
      </c>
      <c r="I3472" s="24">
        <v>95.97</v>
      </c>
      <c r="J3472" s="24">
        <v>17.27</v>
      </c>
      <c r="K3472" s="24">
        <v>5884.76</v>
      </c>
      <c r="L3472" s="38">
        <v>46286</v>
      </c>
      <c r="M3472" s="23" t="s">
        <v>214</v>
      </c>
      <c r="N3472" s="23" t="str">
        <f>IF(COUNTIF($A$2:A3472,A3472)&gt;1,"DUP","OK")</f>
        <v>OK</v>
      </c>
      <c r="O3472" s="23" t="str">
        <f t="shared" si="163"/>
        <v>ORD26001878</v>
      </c>
      <c r="P3472" s="23" t="str">
        <f t="shared" si="164"/>
        <v>Sep</v>
      </c>
      <c r="Q3472" s="23" t="str">
        <f>IF(F3472="CAPTURE",IF(COUNTIF(orders!$A:$A,O3472)&gt;0,"Yes","NO ORDER"),"")</f>
        <v>Yes</v>
      </c>
    </row>
    <row r="3473" spans="1:17" ht="15" customHeight="1" x14ac:dyDescent="0.3">
      <c r="A3473" s="23" t="s">
        <v>16426</v>
      </c>
      <c r="B3473" s="23"/>
      <c r="C3473" s="23" t="s">
        <v>4305</v>
      </c>
      <c r="D3473" s="23" t="str">
        <f t="shared" si="162"/>
        <v>ORD26001908</v>
      </c>
      <c r="E3473" s="38">
        <v>46284</v>
      </c>
      <c r="F3473" s="23" t="s">
        <v>12410</v>
      </c>
      <c r="G3473" s="23" t="s">
        <v>75</v>
      </c>
      <c r="H3473" s="24">
        <v>1299</v>
      </c>
      <c r="I3473" s="24">
        <v>0</v>
      </c>
      <c r="J3473" s="24">
        <v>0</v>
      </c>
      <c r="K3473" s="24">
        <v>1299</v>
      </c>
      <c r="L3473" s="38">
        <v>46286</v>
      </c>
      <c r="M3473" s="23" t="s">
        <v>214</v>
      </c>
      <c r="N3473" s="23" t="str">
        <f>IF(COUNTIF($A$2:A3473,A3473)&gt;1,"DUP","OK")</f>
        <v>OK</v>
      </c>
      <c r="O3473" s="23" t="str">
        <f t="shared" si="163"/>
        <v>ORD26001908</v>
      </c>
      <c r="P3473" s="23" t="str">
        <f t="shared" si="164"/>
        <v>Sep</v>
      </c>
      <c r="Q3473" s="23" t="str">
        <f>IF(F3473="CAPTURE",IF(COUNTIF(orders!$A:$A,O3473)&gt;0,"Yes","NO ORDER"),"")</f>
        <v>Yes</v>
      </c>
    </row>
    <row r="3474" spans="1:17" ht="15" customHeight="1" x14ac:dyDescent="0.3">
      <c r="A3474" s="23" t="s">
        <v>16427</v>
      </c>
      <c r="B3474" s="23"/>
      <c r="C3474" s="23" t="s">
        <v>4326</v>
      </c>
      <c r="D3474" s="23" t="str">
        <f t="shared" si="162"/>
        <v>ORD26001918</v>
      </c>
      <c r="E3474" s="38">
        <v>46284</v>
      </c>
      <c r="F3474" s="23" t="s">
        <v>12410</v>
      </c>
      <c r="G3474" s="23" t="s">
        <v>75</v>
      </c>
      <c r="H3474" s="24">
        <v>4798</v>
      </c>
      <c r="I3474" s="24">
        <v>14.39</v>
      </c>
      <c r="J3474" s="24">
        <v>2.59</v>
      </c>
      <c r="K3474" s="24">
        <v>4781.0200000000004</v>
      </c>
      <c r="L3474" s="38">
        <v>46286</v>
      </c>
      <c r="M3474" s="23" t="s">
        <v>214</v>
      </c>
      <c r="N3474" s="23" t="str">
        <f>IF(COUNTIF($A$2:A3474,A3474)&gt;1,"DUP","OK")</f>
        <v>OK</v>
      </c>
      <c r="O3474" s="23" t="str">
        <f t="shared" si="163"/>
        <v>ORD26001918</v>
      </c>
      <c r="P3474" s="23" t="str">
        <f t="shared" si="164"/>
        <v>Sep</v>
      </c>
      <c r="Q3474" s="23" t="str">
        <f>IF(F3474="CAPTURE",IF(COUNTIF(orders!$A:$A,O3474)&gt;0,"Yes","NO ORDER"),"")</f>
        <v>Yes</v>
      </c>
    </row>
    <row r="3475" spans="1:17" ht="15" customHeight="1" x14ac:dyDescent="0.3">
      <c r="A3475" s="23" t="s">
        <v>16428</v>
      </c>
      <c r="B3475" s="23"/>
      <c r="C3475" s="23" t="s">
        <v>4387</v>
      </c>
      <c r="D3475" s="23" t="str">
        <f t="shared" si="162"/>
        <v>ORD26001950</v>
      </c>
      <c r="E3475" s="38">
        <v>46284</v>
      </c>
      <c r="F3475" s="23" t="s">
        <v>12410</v>
      </c>
      <c r="G3475" s="23" t="s">
        <v>75</v>
      </c>
      <c r="H3475" s="24">
        <v>648</v>
      </c>
      <c r="I3475" s="24">
        <v>0</v>
      </c>
      <c r="J3475" s="24">
        <v>0</v>
      </c>
      <c r="K3475" s="24">
        <v>648</v>
      </c>
      <c r="L3475" s="38">
        <v>46286</v>
      </c>
      <c r="M3475" s="23" t="s">
        <v>214</v>
      </c>
      <c r="N3475" s="23" t="str">
        <f>IF(COUNTIF($A$2:A3475,A3475)&gt;1,"DUP","OK")</f>
        <v>OK</v>
      </c>
      <c r="O3475" s="23" t="str">
        <f t="shared" si="163"/>
        <v>ORD26001950</v>
      </c>
      <c r="P3475" s="23" t="str">
        <f t="shared" si="164"/>
        <v>Sep</v>
      </c>
      <c r="Q3475" s="23" t="str">
        <f>IF(F3475="CAPTURE",IF(COUNTIF(orders!$A:$A,O3475)&gt;0,"Yes","NO ORDER"),"")</f>
        <v>Yes</v>
      </c>
    </row>
    <row r="3476" spans="1:17" ht="15" customHeight="1" x14ac:dyDescent="0.3">
      <c r="A3476" s="23" t="s">
        <v>16429</v>
      </c>
      <c r="B3476" s="23"/>
      <c r="C3476" s="23" t="s">
        <v>4705</v>
      </c>
      <c r="D3476" s="23" t="str">
        <f t="shared" si="162"/>
        <v>ORD26002107</v>
      </c>
      <c r="E3476" s="38">
        <v>46284</v>
      </c>
      <c r="F3476" s="23" t="s">
        <v>12410</v>
      </c>
      <c r="G3476" s="23" t="s">
        <v>79</v>
      </c>
      <c r="H3476" s="24">
        <v>1598</v>
      </c>
      <c r="I3476" s="24">
        <v>28.76</v>
      </c>
      <c r="J3476" s="24">
        <v>5.18</v>
      </c>
      <c r="K3476" s="24">
        <v>1564.06</v>
      </c>
      <c r="L3476" s="38">
        <v>46286</v>
      </c>
      <c r="M3476" s="23" t="s">
        <v>214</v>
      </c>
      <c r="N3476" s="23" t="str">
        <f>IF(COUNTIF($A$2:A3476,A3476)&gt;1,"DUP","OK")</f>
        <v>OK</v>
      </c>
      <c r="O3476" s="23" t="str">
        <f t="shared" si="163"/>
        <v>ORD26002107</v>
      </c>
      <c r="P3476" s="23" t="str">
        <f t="shared" si="164"/>
        <v>Sep</v>
      </c>
      <c r="Q3476" s="23" t="str">
        <f>IF(F3476="CAPTURE",IF(COUNTIF(orders!$A:$A,O3476)&gt;0,"Yes","NO ORDER"),"")</f>
        <v>Yes</v>
      </c>
    </row>
    <row r="3477" spans="1:17" ht="15" customHeight="1" x14ac:dyDescent="0.3">
      <c r="A3477" s="23" t="s">
        <v>16430</v>
      </c>
      <c r="B3477" s="23"/>
      <c r="C3477" s="23" t="s">
        <v>4732</v>
      </c>
      <c r="D3477" s="23" t="str">
        <f t="shared" si="162"/>
        <v>ORD26002121</v>
      </c>
      <c r="E3477" s="38">
        <v>46284</v>
      </c>
      <c r="F3477" s="23" t="s">
        <v>12410</v>
      </c>
      <c r="G3477" s="23" t="s">
        <v>75</v>
      </c>
      <c r="H3477" s="24">
        <v>999</v>
      </c>
      <c r="I3477" s="24">
        <v>0</v>
      </c>
      <c r="J3477" s="24">
        <v>0</v>
      </c>
      <c r="K3477" s="24">
        <v>999</v>
      </c>
      <c r="L3477" s="38">
        <v>46286</v>
      </c>
      <c r="M3477" s="23" t="s">
        <v>214</v>
      </c>
      <c r="N3477" s="23" t="str">
        <f>IF(COUNTIF($A$2:A3477,A3477)&gt;1,"DUP","OK")</f>
        <v>OK</v>
      </c>
      <c r="O3477" s="23" t="str">
        <f t="shared" si="163"/>
        <v>ORD26002121</v>
      </c>
      <c r="P3477" s="23" t="str">
        <f t="shared" si="164"/>
        <v>Sep</v>
      </c>
      <c r="Q3477" s="23" t="str">
        <f>IF(F3477="CAPTURE",IF(COUNTIF(orders!$A:$A,O3477)&gt;0,"Yes","NO ORDER"),"")</f>
        <v>Yes</v>
      </c>
    </row>
    <row r="3478" spans="1:17" ht="15" customHeight="1" x14ac:dyDescent="0.3">
      <c r="A3478" s="23" t="s">
        <v>16431</v>
      </c>
      <c r="B3478" s="23"/>
      <c r="C3478" s="23" t="s">
        <v>4734</v>
      </c>
      <c r="D3478" s="23" t="str">
        <f t="shared" si="162"/>
        <v>ORD26002122</v>
      </c>
      <c r="E3478" s="38">
        <v>46284</v>
      </c>
      <c r="F3478" s="23" t="s">
        <v>12410</v>
      </c>
      <c r="G3478" s="23" t="s">
        <v>75</v>
      </c>
      <c r="H3478" s="24">
        <v>2999</v>
      </c>
      <c r="I3478" s="24">
        <v>9</v>
      </c>
      <c r="J3478" s="24">
        <v>1.62</v>
      </c>
      <c r="K3478" s="24">
        <v>2988.38</v>
      </c>
      <c r="L3478" s="38">
        <v>46286</v>
      </c>
      <c r="M3478" s="23" t="s">
        <v>214</v>
      </c>
      <c r="N3478" s="23" t="str">
        <f>IF(COUNTIF($A$2:A3478,A3478)&gt;1,"DUP","OK")</f>
        <v>OK</v>
      </c>
      <c r="O3478" s="23" t="str">
        <f t="shared" si="163"/>
        <v>ORD26002122</v>
      </c>
      <c r="P3478" s="23" t="str">
        <f t="shared" si="164"/>
        <v>Sep</v>
      </c>
      <c r="Q3478" s="23" t="str">
        <f>IF(F3478="CAPTURE",IF(COUNTIF(orders!$A:$A,O3478)&gt;0,"Yes","NO ORDER"),"")</f>
        <v>Yes</v>
      </c>
    </row>
    <row r="3479" spans="1:17" ht="15" customHeight="1" x14ac:dyDescent="0.3">
      <c r="A3479" s="23" t="s">
        <v>16432</v>
      </c>
      <c r="B3479" s="23"/>
      <c r="C3479" s="23" t="s">
        <v>4740</v>
      </c>
      <c r="D3479" s="23" t="str">
        <f t="shared" si="162"/>
        <v>ORD26002125</v>
      </c>
      <c r="E3479" s="38">
        <v>46284</v>
      </c>
      <c r="F3479" s="23" t="s">
        <v>12410</v>
      </c>
      <c r="G3479" s="23" t="s">
        <v>75</v>
      </c>
      <c r="H3479" s="24">
        <v>1898</v>
      </c>
      <c r="I3479" s="24">
        <v>0</v>
      </c>
      <c r="J3479" s="24">
        <v>0</v>
      </c>
      <c r="K3479" s="24">
        <v>1898</v>
      </c>
      <c r="L3479" s="38">
        <v>46286</v>
      </c>
      <c r="M3479" s="23" t="s">
        <v>214</v>
      </c>
      <c r="N3479" s="23" t="str">
        <f>IF(COUNTIF($A$2:A3479,A3479)&gt;1,"DUP","OK")</f>
        <v>OK</v>
      </c>
      <c r="O3479" s="23" t="str">
        <f t="shared" si="163"/>
        <v>ORD26002125</v>
      </c>
      <c r="P3479" s="23" t="str">
        <f t="shared" si="164"/>
        <v>Sep</v>
      </c>
      <c r="Q3479" s="23" t="str">
        <f>IF(F3479="CAPTURE",IF(COUNTIF(orders!$A:$A,O3479)&gt;0,"Yes","NO ORDER"),"")</f>
        <v>Yes</v>
      </c>
    </row>
    <row r="3480" spans="1:17" ht="15" customHeight="1" x14ac:dyDescent="0.3">
      <c r="A3480" s="23" t="s">
        <v>16433</v>
      </c>
      <c r="B3480" s="23"/>
      <c r="C3480" s="23" t="s">
        <v>4788</v>
      </c>
      <c r="D3480" s="23" t="str">
        <f t="shared" si="162"/>
        <v>ORD26002149</v>
      </c>
      <c r="E3480" s="38">
        <v>46284</v>
      </c>
      <c r="F3480" s="23" t="s">
        <v>12410</v>
      </c>
      <c r="G3480" s="23" t="s">
        <v>81</v>
      </c>
      <c r="H3480" s="24">
        <v>1499</v>
      </c>
      <c r="I3480" s="24">
        <v>22.49</v>
      </c>
      <c r="J3480" s="24">
        <v>4.05</v>
      </c>
      <c r="K3480" s="24">
        <v>1472.46</v>
      </c>
      <c r="L3480" s="38">
        <v>46286</v>
      </c>
      <c r="M3480" s="23" t="s">
        <v>214</v>
      </c>
      <c r="N3480" s="23" t="str">
        <f>IF(COUNTIF($A$2:A3480,A3480)&gt;1,"DUP","OK")</f>
        <v>OK</v>
      </c>
      <c r="O3480" s="23" t="str">
        <f t="shared" si="163"/>
        <v>ORD26002149</v>
      </c>
      <c r="P3480" s="23" t="str">
        <f t="shared" si="164"/>
        <v>Sep</v>
      </c>
      <c r="Q3480" s="23" t="str">
        <f>IF(F3480="CAPTURE",IF(COUNTIF(orders!$A:$A,O3480)&gt;0,"Yes","NO ORDER"),"")</f>
        <v>Yes</v>
      </c>
    </row>
    <row r="3481" spans="1:17" ht="15" customHeight="1" x14ac:dyDescent="0.3">
      <c r="A3481" s="23" t="s">
        <v>16434</v>
      </c>
      <c r="B3481" s="23"/>
      <c r="C3481" s="23" t="s">
        <v>4867</v>
      </c>
      <c r="D3481" s="23" t="str">
        <f t="shared" si="162"/>
        <v>ORD26002188</v>
      </c>
      <c r="E3481" s="38">
        <v>46284</v>
      </c>
      <c r="F3481" s="23" t="s">
        <v>12410</v>
      </c>
      <c r="G3481" s="23" t="s">
        <v>77</v>
      </c>
      <c r="H3481" s="24">
        <v>648</v>
      </c>
      <c r="I3481" s="24">
        <v>12.31</v>
      </c>
      <c r="J3481" s="24">
        <v>2.2200000000000002</v>
      </c>
      <c r="K3481" s="24">
        <v>633.47</v>
      </c>
      <c r="L3481" s="38">
        <v>46286</v>
      </c>
      <c r="M3481" s="23" t="s">
        <v>214</v>
      </c>
      <c r="N3481" s="23" t="str">
        <f>IF(COUNTIF($A$2:A3481,A3481)&gt;1,"DUP","OK")</f>
        <v>OK</v>
      </c>
      <c r="O3481" s="23" t="str">
        <f t="shared" si="163"/>
        <v>ORD26002188</v>
      </c>
      <c r="P3481" s="23" t="str">
        <f t="shared" si="164"/>
        <v>Sep</v>
      </c>
      <c r="Q3481" s="23" t="str">
        <f>IF(F3481="CAPTURE",IF(COUNTIF(orders!$A:$A,O3481)&gt;0,"Yes","NO ORDER"),"")</f>
        <v>Yes</v>
      </c>
    </row>
    <row r="3482" spans="1:17" ht="15" customHeight="1" x14ac:dyDescent="0.3">
      <c r="A3482" s="23" t="s">
        <v>16435</v>
      </c>
      <c r="B3482" s="23"/>
      <c r="C3482" s="23" t="s">
        <v>4893</v>
      </c>
      <c r="D3482" s="23" t="str">
        <f t="shared" si="162"/>
        <v>ORD26002201</v>
      </c>
      <c r="E3482" s="38">
        <v>46284</v>
      </c>
      <c r="F3482" s="23" t="s">
        <v>12410</v>
      </c>
      <c r="G3482" s="23" t="s">
        <v>79</v>
      </c>
      <c r="H3482" s="24">
        <v>4797</v>
      </c>
      <c r="I3482" s="24">
        <v>76.75</v>
      </c>
      <c r="J3482" s="24">
        <v>13.82</v>
      </c>
      <c r="K3482" s="24">
        <v>4706.43</v>
      </c>
      <c r="L3482" s="38">
        <v>46286</v>
      </c>
      <c r="M3482" s="23" t="s">
        <v>214</v>
      </c>
      <c r="N3482" s="23" t="str">
        <f>IF(COUNTIF($A$2:A3482,A3482)&gt;1,"DUP","OK")</f>
        <v>OK</v>
      </c>
      <c r="O3482" s="23" t="str">
        <f t="shared" si="163"/>
        <v>ORD26002201</v>
      </c>
      <c r="P3482" s="23" t="str">
        <f t="shared" si="164"/>
        <v>Sep</v>
      </c>
      <c r="Q3482" s="23" t="str">
        <f>IF(F3482="CAPTURE",IF(COUNTIF(orders!$A:$A,O3482)&gt;0,"Yes","NO ORDER"),"")</f>
        <v>Yes</v>
      </c>
    </row>
    <row r="3483" spans="1:17" ht="15" customHeight="1" x14ac:dyDescent="0.3">
      <c r="A3483" s="23" t="s">
        <v>16436</v>
      </c>
      <c r="B3483" s="23"/>
      <c r="C3483" s="23" t="s">
        <v>4961</v>
      </c>
      <c r="D3483" s="23" t="str">
        <f t="shared" si="162"/>
        <v>ORD26002234</v>
      </c>
      <c r="E3483" s="38">
        <v>46284</v>
      </c>
      <c r="F3483" s="23" t="s">
        <v>12410</v>
      </c>
      <c r="G3483" s="23" t="s">
        <v>79</v>
      </c>
      <c r="H3483" s="24">
        <v>3499</v>
      </c>
      <c r="I3483" s="24">
        <v>55.98</v>
      </c>
      <c r="J3483" s="24">
        <v>10.08</v>
      </c>
      <c r="K3483" s="24">
        <v>3432.94</v>
      </c>
      <c r="L3483" s="38">
        <v>46286</v>
      </c>
      <c r="M3483" s="23" t="s">
        <v>214</v>
      </c>
      <c r="N3483" s="23" t="str">
        <f>IF(COUNTIF($A$2:A3483,A3483)&gt;1,"DUP","OK")</f>
        <v>OK</v>
      </c>
      <c r="O3483" s="23" t="str">
        <f t="shared" si="163"/>
        <v>ORD26002234</v>
      </c>
      <c r="P3483" s="23" t="str">
        <f t="shared" si="164"/>
        <v>Sep</v>
      </c>
      <c r="Q3483" s="23" t="str">
        <f>IF(F3483="CAPTURE",IF(COUNTIF(orders!$A:$A,O3483)&gt;0,"Yes","NO ORDER"),"")</f>
        <v>Yes</v>
      </c>
    </row>
    <row r="3484" spans="1:17" ht="15" customHeight="1" x14ac:dyDescent="0.3">
      <c r="A3484" s="23" t="s">
        <v>16437</v>
      </c>
      <c r="B3484" s="23"/>
      <c r="C3484" s="23" t="s">
        <v>4987</v>
      </c>
      <c r="D3484" s="23" t="str">
        <f t="shared" si="162"/>
        <v>ORD26002247</v>
      </c>
      <c r="E3484" s="38">
        <v>46284</v>
      </c>
      <c r="F3484" s="23" t="s">
        <v>12410</v>
      </c>
      <c r="G3484" s="23" t="s">
        <v>75</v>
      </c>
      <c r="H3484" s="24">
        <v>599</v>
      </c>
      <c r="I3484" s="24">
        <v>0</v>
      </c>
      <c r="J3484" s="24">
        <v>0</v>
      </c>
      <c r="K3484" s="24">
        <v>599</v>
      </c>
      <c r="L3484" s="38">
        <v>46286</v>
      </c>
      <c r="M3484" s="23" t="s">
        <v>214</v>
      </c>
      <c r="N3484" s="23" t="str">
        <f>IF(COUNTIF($A$2:A3484,A3484)&gt;1,"DUP","OK")</f>
        <v>OK</v>
      </c>
      <c r="O3484" s="23" t="str">
        <f t="shared" si="163"/>
        <v>ORD26002247</v>
      </c>
      <c r="P3484" s="23" t="str">
        <f t="shared" si="164"/>
        <v>Sep</v>
      </c>
      <c r="Q3484" s="23" t="str">
        <f>IF(F3484="CAPTURE",IF(COUNTIF(orders!$A:$A,O3484)&gt;0,"Yes","NO ORDER"),"")</f>
        <v>Yes</v>
      </c>
    </row>
    <row r="3485" spans="1:17" ht="15" customHeight="1" x14ac:dyDescent="0.3">
      <c r="A3485" s="23" t="s">
        <v>16438</v>
      </c>
      <c r="B3485" s="23"/>
      <c r="C3485" s="23" t="s">
        <v>5010</v>
      </c>
      <c r="D3485" s="23" t="str">
        <f t="shared" si="162"/>
        <v>ORD26002258</v>
      </c>
      <c r="E3485" s="38">
        <v>46284</v>
      </c>
      <c r="F3485" s="23" t="s">
        <v>12410</v>
      </c>
      <c r="G3485" s="23" t="s">
        <v>75</v>
      </c>
      <c r="H3485" s="24">
        <v>1298</v>
      </c>
      <c r="I3485" s="24">
        <v>0</v>
      </c>
      <c r="J3485" s="24">
        <v>0</v>
      </c>
      <c r="K3485" s="24">
        <v>1298</v>
      </c>
      <c r="L3485" s="38">
        <v>46286</v>
      </c>
      <c r="M3485" s="23" t="s">
        <v>214</v>
      </c>
      <c r="N3485" s="23" t="str">
        <f>IF(COUNTIF($A$2:A3485,A3485)&gt;1,"DUP","OK")</f>
        <v>OK</v>
      </c>
      <c r="O3485" s="23" t="str">
        <f t="shared" si="163"/>
        <v>ORD26002258</v>
      </c>
      <c r="P3485" s="23" t="str">
        <f t="shared" si="164"/>
        <v>Sep</v>
      </c>
      <c r="Q3485" s="23" t="str">
        <f>IF(F3485="CAPTURE",IF(COUNTIF(orders!$A:$A,O3485)&gt;0,"Yes","NO ORDER"),"")</f>
        <v>Yes</v>
      </c>
    </row>
    <row r="3486" spans="1:17" ht="15" customHeight="1" x14ac:dyDescent="0.3">
      <c r="A3486" s="23" t="s">
        <v>16439</v>
      </c>
      <c r="B3486" s="23"/>
      <c r="C3486" s="23" t="s">
        <v>5112</v>
      </c>
      <c r="D3486" s="23" t="str">
        <f t="shared" si="162"/>
        <v>ORD26002309</v>
      </c>
      <c r="E3486" s="38">
        <v>46284</v>
      </c>
      <c r="F3486" s="23" t="s">
        <v>12410</v>
      </c>
      <c r="G3486" s="23" t="s">
        <v>79</v>
      </c>
      <c r="H3486" s="24">
        <v>2498</v>
      </c>
      <c r="I3486" s="24">
        <v>39.97</v>
      </c>
      <c r="J3486" s="24">
        <v>7.19</v>
      </c>
      <c r="K3486" s="24">
        <v>2450.84</v>
      </c>
      <c r="L3486" s="38">
        <v>46286</v>
      </c>
      <c r="M3486" s="23" t="s">
        <v>214</v>
      </c>
      <c r="N3486" s="23" t="str">
        <f>IF(COUNTIF($A$2:A3486,A3486)&gt;1,"DUP","OK")</f>
        <v>OK</v>
      </c>
      <c r="O3486" s="23" t="str">
        <f t="shared" si="163"/>
        <v>ORD26002309</v>
      </c>
      <c r="P3486" s="23" t="str">
        <f t="shared" si="164"/>
        <v>Sep</v>
      </c>
      <c r="Q3486" s="23" t="str">
        <f>IF(F3486="CAPTURE",IF(COUNTIF(orders!$A:$A,O3486)&gt;0,"Yes","NO ORDER"),"")</f>
        <v>Yes</v>
      </c>
    </row>
    <row r="3487" spans="1:17" ht="15" customHeight="1" x14ac:dyDescent="0.3">
      <c r="A3487" s="23" t="s">
        <v>16440</v>
      </c>
      <c r="B3487" s="23"/>
      <c r="C3487" s="23" t="s">
        <v>5130</v>
      </c>
      <c r="D3487" s="23" t="str">
        <f t="shared" si="162"/>
        <v>ORD26002318</v>
      </c>
      <c r="E3487" s="38">
        <v>46284</v>
      </c>
      <c r="F3487" s="23" t="s">
        <v>12410</v>
      </c>
      <c r="G3487" s="23" t="s">
        <v>79</v>
      </c>
      <c r="H3487" s="24">
        <v>3499</v>
      </c>
      <c r="I3487" s="24">
        <v>55.98</v>
      </c>
      <c r="J3487" s="24">
        <v>10.08</v>
      </c>
      <c r="K3487" s="24">
        <v>3432.94</v>
      </c>
      <c r="L3487" s="38">
        <v>46286</v>
      </c>
      <c r="M3487" s="23" t="s">
        <v>214</v>
      </c>
      <c r="N3487" s="23" t="str">
        <f>IF(COUNTIF($A$2:A3487,A3487)&gt;1,"DUP","OK")</f>
        <v>OK</v>
      </c>
      <c r="O3487" s="23" t="str">
        <f t="shared" si="163"/>
        <v>ORD26002318</v>
      </c>
      <c r="P3487" s="23" t="str">
        <f t="shared" si="164"/>
        <v>Sep</v>
      </c>
      <c r="Q3487" s="23" t="str">
        <f>IF(F3487="CAPTURE",IF(COUNTIF(orders!$A:$A,O3487)&gt;0,"Yes","NO ORDER"),"")</f>
        <v>Yes</v>
      </c>
    </row>
    <row r="3488" spans="1:17" ht="15" customHeight="1" x14ac:dyDescent="0.3">
      <c r="A3488" s="23" t="s">
        <v>16441</v>
      </c>
      <c r="B3488" s="23"/>
      <c r="C3488" s="23" t="s">
        <v>5144</v>
      </c>
      <c r="D3488" s="23" t="str">
        <f t="shared" si="162"/>
        <v>ORD26002325</v>
      </c>
      <c r="E3488" s="38">
        <v>46284</v>
      </c>
      <c r="F3488" s="23" t="s">
        <v>12410</v>
      </c>
      <c r="G3488" s="23" t="s">
        <v>79</v>
      </c>
      <c r="H3488" s="24">
        <v>5498</v>
      </c>
      <c r="I3488" s="24">
        <v>87.97</v>
      </c>
      <c r="J3488" s="24">
        <v>15.83</v>
      </c>
      <c r="K3488" s="24">
        <v>5394.2</v>
      </c>
      <c r="L3488" s="38">
        <v>46286</v>
      </c>
      <c r="M3488" s="23" t="s">
        <v>214</v>
      </c>
      <c r="N3488" s="23" t="str">
        <f>IF(COUNTIF($A$2:A3488,A3488)&gt;1,"DUP","OK")</f>
        <v>OK</v>
      </c>
      <c r="O3488" s="23" t="str">
        <f t="shared" si="163"/>
        <v>ORD26002325</v>
      </c>
      <c r="P3488" s="23" t="str">
        <f t="shared" si="164"/>
        <v>Sep</v>
      </c>
      <c r="Q3488" s="23" t="str">
        <f>IF(F3488="CAPTURE",IF(COUNTIF(orders!$A:$A,O3488)&gt;0,"Yes","NO ORDER"),"")</f>
        <v>Yes</v>
      </c>
    </row>
    <row r="3489" spans="1:17" ht="15" customHeight="1" x14ac:dyDescent="0.3">
      <c r="A3489" s="23" t="s">
        <v>16442</v>
      </c>
      <c r="B3489" s="23"/>
      <c r="C3489" s="23" t="s">
        <v>5158</v>
      </c>
      <c r="D3489" s="23" t="str">
        <f t="shared" si="162"/>
        <v>ORD26002332</v>
      </c>
      <c r="E3489" s="38">
        <v>46284</v>
      </c>
      <c r="F3489" s="23" t="s">
        <v>12410</v>
      </c>
      <c r="G3489" s="23" t="s">
        <v>75</v>
      </c>
      <c r="H3489" s="24">
        <v>7097</v>
      </c>
      <c r="I3489" s="24">
        <v>21.29</v>
      </c>
      <c r="J3489" s="24">
        <v>3.83</v>
      </c>
      <c r="K3489" s="24">
        <v>7071.88</v>
      </c>
      <c r="L3489" s="38">
        <v>46286</v>
      </c>
      <c r="M3489" s="23" t="s">
        <v>214</v>
      </c>
      <c r="N3489" s="23" t="str">
        <f>IF(COUNTIF($A$2:A3489,A3489)&gt;1,"DUP","OK")</f>
        <v>OK</v>
      </c>
      <c r="O3489" s="23" t="str">
        <f t="shared" si="163"/>
        <v>ORD26002332</v>
      </c>
      <c r="P3489" s="23" t="str">
        <f t="shared" si="164"/>
        <v>Sep</v>
      </c>
      <c r="Q3489" s="23" t="str">
        <f>IF(F3489="CAPTURE",IF(COUNTIF(orders!$A:$A,O3489)&gt;0,"Yes","NO ORDER"),"")</f>
        <v>Yes</v>
      </c>
    </row>
    <row r="3490" spans="1:17" ht="15" customHeight="1" x14ac:dyDescent="0.3">
      <c r="A3490" s="23" t="s">
        <v>16443</v>
      </c>
      <c r="B3490" s="23"/>
      <c r="C3490" s="23" t="s">
        <v>16444</v>
      </c>
      <c r="D3490" s="23" t="str">
        <f t="shared" si="162"/>
        <v>ORD26002445</v>
      </c>
      <c r="E3490" s="38">
        <v>46284</v>
      </c>
      <c r="F3490" s="23" t="s">
        <v>12410</v>
      </c>
      <c r="G3490" s="23" t="s">
        <v>81</v>
      </c>
      <c r="H3490" s="24">
        <v>299</v>
      </c>
      <c r="I3490" s="24">
        <v>4.49</v>
      </c>
      <c r="J3490" s="24">
        <v>0.81</v>
      </c>
      <c r="K3490" s="24">
        <v>293.7</v>
      </c>
      <c r="L3490" s="38">
        <v>46286</v>
      </c>
      <c r="M3490" s="23" t="s">
        <v>214</v>
      </c>
      <c r="N3490" s="23" t="str">
        <f>IF(COUNTIF($A$2:A3490,A3490)&gt;1,"DUP","OK")</f>
        <v>OK</v>
      </c>
      <c r="O3490" s="23" t="str">
        <f t="shared" si="163"/>
        <v>ORD26002445</v>
      </c>
      <c r="P3490" s="23" t="str">
        <f t="shared" si="164"/>
        <v>Sep</v>
      </c>
      <c r="Q3490" s="23" t="str">
        <f>IF(F3490="CAPTURE",IF(COUNTIF(orders!$A:$A,O3490)&gt;0,"Yes","NO ORDER"),"")</f>
        <v>Yes</v>
      </c>
    </row>
    <row r="3491" spans="1:17" ht="15" customHeight="1" x14ac:dyDescent="0.3">
      <c r="A3491" s="23" t="s">
        <v>16445</v>
      </c>
      <c r="B3491" s="23"/>
      <c r="C3491" s="23" t="s">
        <v>16446</v>
      </c>
      <c r="D3491" s="23" t="str">
        <f t="shared" si="162"/>
        <v>ORD26002488</v>
      </c>
      <c r="E3491" s="38">
        <v>46284</v>
      </c>
      <c r="F3491" s="23" t="s">
        <v>12410</v>
      </c>
      <c r="G3491" s="23" t="s">
        <v>75</v>
      </c>
      <c r="H3491" s="24">
        <v>2298</v>
      </c>
      <c r="I3491" s="24">
        <v>6.89</v>
      </c>
      <c r="J3491" s="24">
        <v>1.24</v>
      </c>
      <c r="K3491" s="24">
        <v>2289.87</v>
      </c>
      <c r="L3491" s="38">
        <v>46286</v>
      </c>
      <c r="M3491" s="23" t="s">
        <v>214</v>
      </c>
      <c r="N3491" s="23" t="str">
        <f>IF(COUNTIF($A$2:A3491,A3491)&gt;1,"DUP","OK")</f>
        <v>OK</v>
      </c>
      <c r="O3491" s="23" t="str">
        <f t="shared" si="163"/>
        <v>ORD26002488</v>
      </c>
      <c r="P3491" s="23" t="str">
        <f t="shared" si="164"/>
        <v>Sep</v>
      </c>
      <c r="Q3491" s="23" t="str">
        <f>IF(F3491="CAPTURE",IF(COUNTIF(orders!$A:$A,O3491)&gt;0,"Yes","NO ORDER"),"")</f>
        <v>Yes</v>
      </c>
    </row>
    <row r="3492" spans="1:17" ht="15" customHeight="1" x14ac:dyDescent="0.3">
      <c r="A3492" s="23" t="s">
        <v>16447</v>
      </c>
      <c r="B3492" s="23"/>
      <c r="C3492" s="23" t="s">
        <v>5612</v>
      </c>
      <c r="D3492" s="23" t="str">
        <f t="shared" si="162"/>
        <v>ORD26002559</v>
      </c>
      <c r="E3492" s="38">
        <v>46284</v>
      </c>
      <c r="F3492" s="23" t="s">
        <v>12410</v>
      </c>
      <c r="G3492" s="23" t="s">
        <v>75</v>
      </c>
      <c r="H3492" s="24">
        <v>599</v>
      </c>
      <c r="I3492" s="24">
        <v>0</v>
      </c>
      <c r="J3492" s="24">
        <v>0</v>
      </c>
      <c r="K3492" s="24">
        <v>599</v>
      </c>
      <c r="L3492" s="38">
        <v>46286</v>
      </c>
      <c r="M3492" s="23" t="s">
        <v>214</v>
      </c>
      <c r="N3492" s="23" t="str">
        <f>IF(COUNTIF($A$2:A3492,A3492)&gt;1,"DUP","OK")</f>
        <v>OK</v>
      </c>
      <c r="O3492" s="23" t="str">
        <f t="shared" si="163"/>
        <v>ORD26002559</v>
      </c>
      <c r="P3492" s="23" t="str">
        <f t="shared" si="164"/>
        <v>Sep</v>
      </c>
      <c r="Q3492" s="23" t="str">
        <f>IF(F3492="CAPTURE",IF(COUNTIF(orders!$A:$A,O3492)&gt;0,"Yes","NO ORDER"),"")</f>
        <v>Yes</v>
      </c>
    </row>
    <row r="3493" spans="1:17" ht="15" customHeight="1" x14ac:dyDescent="0.3">
      <c r="A3493" s="23" t="s">
        <v>16448</v>
      </c>
      <c r="B3493" s="23"/>
      <c r="C3493" s="23" t="s">
        <v>5691</v>
      </c>
      <c r="D3493" s="23" t="str">
        <f t="shared" si="162"/>
        <v>ORD26002599</v>
      </c>
      <c r="E3493" s="38">
        <v>46284</v>
      </c>
      <c r="F3493" s="23" t="s">
        <v>12410</v>
      </c>
      <c r="G3493" s="23" t="s">
        <v>75</v>
      </c>
      <c r="H3493" s="24">
        <v>2999</v>
      </c>
      <c r="I3493" s="24">
        <v>9</v>
      </c>
      <c r="J3493" s="24">
        <v>1.62</v>
      </c>
      <c r="K3493" s="24">
        <v>2988.38</v>
      </c>
      <c r="L3493" s="38">
        <v>46286</v>
      </c>
      <c r="M3493" s="23" t="s">
        <v>214</v>
      </c>
      <c r="N3493" s="23" t="str">
        <f>IF(COUNTIF($A$2:A3493,A3493)&gt;1,"DUP","OK")</f>
        <v>OK</v>
      </c>
      <c r="O3493" s="23" t="str">
        <f t="shared" si="163"/>
        <v>ORD26002599</v>
      </c>
      <c r="P3493" s="23" t="str">
        <f t="shared" si="164"/>
        <v>Sep</v>
      </c>
      <c r="Q3493" s="23" t="str">
        <f>IF(F3493="CAPTURE",IF(COUNTIF(orders!$A:$A,O3493)&gt;0,"Yes","NO ORDER"),"")</f>
        <v>Yes</v>
      </c>
    </row>
    <row r="3494" spans="1:17" ht="15" customHeight="1" x14ac:dyDescent="0.3">
      <c r="A3494" s="23" t="s">
        <v>16449</v>
      </c>
      <c r="B3494" s="23"/>
      <c r="C3494" s="23" t="s">
        <v>5758</v>
      </c>
      <c r="D3494" s="23" t="str">
        <f t="shared" si="162"/>
        <v>ORD26002632</v>
      </c>
      <c r="E3494" s="38">
        <v>46284</v>
      </c>
      <c r="F3494" s="23" t="s">
        <v>12410</v>
      </c>
      <c r="G3494" s="23" t="s">
        <v>75</v>
      </c>
      <c r="H3494" s="24">
        <v>12998</v>
      </c>
      <c r="I3494" s="24">
        <v>38.99</v>
      </c>
      <c r="J3494" s="24">
        <v>7.02</v>
      </c>
      <c r="K3494" s="24">
        <v>12951.99</v>
      </c>
      <c r="L3494" s="38">
        <v>46286</v>
      </c>
      <c r="M3494" s="23" t="s">
        <v>214</v>
      </c>
      <c r="N3494" s="23" t="str">
        <f>IF(COUNTIF($A$2:A3494,A3494)&gt;1,"DUP","OK")</f>
        <v>OK</v>
      </c>
      <c r="O3494" s="23" t="str">
        <f t="shared" si="163"/>
        <v>ORD26002632</v>
      </c>
      <c r="P3494" s="23" t="str">
        <f t="shared" si="164"/>
        <v>Sep</v>
      </c>
      <c r="Q3494" s="23" t="str">
        <f>IF(F3494="CAPTURE",IF(COUNTIF(orders!$A:$A,O3494)&gt;0,"Yes","NO ORDER"),"")</f>
        <v>Yes</v>
      </c>
    </row>
    <row r="3495" spans="1:17" ht="15" customHeight="1" x14ac:dyDescent="0.3">
      <c r="A3495" s="23" t="s">
        <v>16450</v>
      </c>
      <c r="B3495" s="23"/>
      <c r="C3495" s="23" t="s">
        <v>5762</v>
      </c>
      <c r="D3495" s="23" t="str">
        <f t="shared" si="162"/>
        <v>ORD26002634</v>
      </c>
      <c r="E3495" s="38">
        <v>46284</v>
      </c>
      <c r="F3495" s="23" t="s">
        <v>12410</v>
      </c>
      <c r="G3495" s="23" t="s">
        <v>75</v>
      </c>
      <c r="H3495" s="24">
        <v>1598</v>
      </c>
      <c r="I3495" s="24">
        <v>0</v>
      </c>
      <c r="J3495" s="24">
        <v>0</v>
      </c>
      <c r="K3495" s="24">
        <v>1598</v>
      </c>
      <c r="L3495" s="38">
        <v>46286</v>
      </c>
      <c r="M3495" s="23" t="s">
        <v>214</v>
      </c>
      <c r="N3495" s="23" t="str">
        <f>IF(COUNTIF($A$2:A3495,A3495)&gt;1,"DUP","OK")</f>
        <v>OK</v>
      </c>
      <c r="O3495" s="23" t="str">
        <f t="shared" si="163"/>
        <v>ORD26002634</v>
      </c>
      <c r="P3495" s="23" t="str">
        <f t="shared" si="164"/>
        <v>Sep</v>
      </c>
      <c r="Q3495" s="23" t="str">
        <f>IF(F3495="CAPTURE",IF(COUNTIF(orders!$A:$A,O3495)&gt;0,"Yes","NO ORDER"),"")</f>
        <v>Yes</v>
      </c>
    </row>
    <row r="3496" spans="1:17" ht="15" customHeight="1" x14ac:dyDescent="0.3">
      <c r="A3496" s="23" t="s">
        <v>16451</v>
      </c>
      <c r="B3496" s="23"/>
      <c r="C3496" s="23" t="s">
        <v>5776</v>
      </c>
      <c r="D3496" s="23" t="str">
        <f t="shared" si="162"/>
        <v>ORD26002641</v>
      </c>
      <c r="E3496" s="38">
        <v>46284</v>
      </c>
      <c r="F3496" s="23" t="s">
        <v>12410</v>
      </c>
      <c r="G3496" s="23" t="s">
        <v>75</v>
      </c>
      <c r="H3496" s="24">
        <v>1799</v>
      </c>
      <c r="I3496" s="24">
        <v>0</v>
      </c>
      <c r="J3496" s="24">
        <v>0</v>
      </c>
      <c r="K3496" s="24">
        <v>1799</v>
      </c>
      <c r="L3496" s="38">
        <v>46286</v>
      </c>
      <c r="M3496" s="23" t="s">
        <v>214</v>
      </c>
      <c r="N3496" s="23" t="str">
        <f>IF(COUNTIF($A$2:A3496,A3496)&gt;1,"DUP","OK")</f>
        <v>OK</v>
      </c>
      <c r="O3496" s="23" t="str">
        <f t="shared" si="163"/>
        <v>ORD26002641</v>
      </c>
      <c r="P3496" s="23" t="str">
        <f t="shared" si="164"/>
        <v>Sep</v>
      </c>
      <c r="Q3496" s="23" t="str">
        <f>IF(F3496="CAPTURE",IF(COUNTIF(orders!$A:$A,O3496)&gt;0,"Yes","NO ORDER"),"")</f>
        <v>Yes</v>
      </c>
    </row>
    <row r="3497" spans="1:17" ht="15" customHeight="1" x14ac:dyDescent="0.3">
      <c r="A3497" s="23" t="s">
        <v>16452</v>
      </c>
      <c r="B3497" s="23"/>
      <c r="C3497" s="23" t="s">
        <v>5858</v>
      </c>
      <c r="D3497" s="23" t="str">
        <f t="shared" si="162"/>
        <v>ORD26002681</v>
      </c>
      <c r="E3497" s="38">
        <v>46284</v>
      </c>
      <c r="F3497" s="23" t="s">
        <v>12410</v>
      </c>
      <c r="G3497" s="23" t="s">
        <v>79</v>
      </c>
      <c r="H3497" s="24">
        <v>3499</v>
      </c>
      <c r="I3497" s="24">
        <v>55.98</v>
      </c>
      <c r="J3497" s="24">
        <v>10.08</v>
      </c>
      <c r="K3497" s="24">
        <v>3432.94</v>
      </c>
      <c r="L3497" s="38">
        <v>46286</v>
      </c>
      <c r="M3497" s="23" t="s">
        <v>214</v>
      </c>
      <c r="N3497" s="23" t="str">
        <f>IF(COUNTIF($A$2:A3497,A3497)&gt;1,"DUP","OK")</f>
        <v>OK</v>
      </c>
      <c r="O3497" s="23" t="str">
        <f t="shared" si="163"/>
        <v>ORD26002681</v>
      </c>
      <c r="P3497" s="23" t="str">
        <f t="shared" si="164"/>
        <v>Sep</v>
      </c>
      <c r="Q3497" s="23" t="str">
        <f>IF(F3497="CAPTURE",IF(COUNTIF(orders!$A:$A,O3497)&gt;0,"Yes","NO ORDER"),"")</f>
        <v>Yes</v>
      </c>
    </row>
    <row r="3498" spans="1:17" ht="15" customHeight="1" x14ac:dyDescent="0.3">
      <c r="A3498" s="23" t="s">
        <v>16453</v>
      </c>
      <c r="B3498" s="23"/>
      <c r="C3498" s="23" t="s">
        <v>5860</v>
      </c>
      <c r="D3498" s="23" t="str">
        <f t="shared" si="162"/>
        <v>ORD26002682</v>
      </c>
      <c r="E3498" s="38">
        <v>46284</v>
      </c>
      <c r="F3498" s="23" t="s">
        <v>12410</v>
      </c>
      <c r="G3498" s="23" t="s">
        <v>77</v>
      </c>
      <c r="H3498" s="24">
        <v>999</v>
      </c>
      <c r="I3498" s="24">
        <v>18.98</v>
      </c>
      <c r="J3498" s="24">
        <v>3.42</v>
      </c>
      <c r="K3498" s="24">
        <v>976.6</v>
      </c>
      <c r="L3498" s="38">
        <v>46286</v>
      </c>
      <c r="M3498" s="23" t="s">
        <v>214</v>
      </c>
      <c r="N3498" s="23" t="str">
        <f>IF(COUNTIF($A$2:A3498,A3498)&gt;1,"DUP","OK")</f>
        <v>OK</v>
      </c>
      <c r="O3498" s="23" t="str">
        <f t="shared" si="163"/>
        <v>ORD26002682</v>
      </c>
      <c r="P3498" s="23" t="str">
        <f t="shared" si="164"/>
        <v>Sep</v>
      </c>
      <c r="Q3498" s="23" t="str">
        <f>IF(F3498="CAPTURE",IF(COUNTIF(orders!$A:$A,O3498)&gt;0,"Yes","NO ORDER"),"")</f>
        <v>Yes</v>
      </c>
    </row>
    <row r="3499" spans="1:17" ht="15" customHeight="1" x14ac:dyDescent="0.3">
      <c r="A3499" s="23" t="s">
        <v>16454</v>
      </c>
      <c r="B3499" s="23"/>
      <c r="C3499" s="23" t="s">
        <v>5864</v>
      </c>
      <c r="D3499" s="23" t="str">
        <f t="shared" si="162"/>
        <v>ORD26002684</v>
      </c>
      <c r="E3499" s="38">
        <v>46284</v>
      </c>
      <c r="F3499" s="23" t="s">
        <v>12410</v>
      </c>
      <c r="G3499" s="23" t="s">
        <v>75</v>
      </c>
      <c r="H3499" s="24">
        <v>4999</v>
      </c>
      <c r="I3499" s="24">
        <v>15</v>
      </c>
      <c r="J3499" s="24">
        <v>2.7</v>
      </c>
      <c r="K3499" s="24">
        <v>4981.3</v>
      </c>
      <c r="L3499" s="38">
        <v>46286</v>
      </c>
      <c r="M3499" s="23" t="s">
        <v>214</v>
      </c>
      <c r="N3499" s="23" t="str">
        <f>IF(COUNTIF($A$2:A3499,A3499)&gt;1,"DUP","OK")</f>
        <v>OK</v>
      </c>
      <c r="O3499" s="23" t="str">
        <f t="shared" si="163"/>
        <v>ORD26002684</v>
      </c>
      <c r="P3499" s="23" t="str">
        <f t="shared" si="164"/>
        <v>Sep</v>
      </c>
      <c r="Q3499" s="23" t="str">
        <f>IF(F3499="CAPTURE",IF(COUNTIF(orders!$A:$A,O3499)&gt;0,"Yes","NO ORDER"),"")</f>
        <v>Yes</v>
      </c>
    </row>
    <row r="3500" spans="1:17" ht="15" customHeight="1" x14ac:dyDescent="0.3">
      <c r="A3500" s="23" t="s">
        <v>16455</v>
      </c>
      <c r="B3500" s="23"/>
      <c r="C3500" s="23" t="s">
        <v>16456</v>
      </c>
      <c r="D3500" s="23" t="str">
        <f t="shared" si="162"/>
        <v>ORD26002730</v>
      </c>
      <c r="E3500" s="38">
        <v>46284</v>
      </c>
      <c r="F3500" s="23" t="s">
        <v>12410</v>
      </c>
      <c r="G3500" s="23" t="s">
        <v>75</v>
      </c>
      <c r="H3500" s="24">
        <v>3847</v>
      </c>
      <c r="I3500" s="24">
        <v>11.54</v>
      </c>
      <c r="J3500" s="24">
        <v>2.08</v>
      </c>
      <c r="K3500" s="24">
        <v>3833.38</v>
      </c>
      <c r="L3500" s="38">
        <v>46286</v>
      </c>
      <c r="M3500" s="23" t="s">
        <v>214</v>
      </c>
      <c r="N3500" s="23" t="str">
        <f>IF(COUNTIF($A$2:A3500,A3500)&gt;1,"DUP","OK")</f>
        <v>OK</v>
      </c>
      <c r="O3500" s="23" t="str">
        <f t="shared" si="163"/>
        <v>ORD26002730</v>
      </c>
      <c r="P3500" s="23" t="str">
        <f t="shared" si="164"/>
        <v>Sep</v>
      </c>
      <c r="Q3500" s="23" t="str">
        <f>IF(F3500="CAPTURE",IF(COUNTIF(orders!$A:$A,O3500)&gt;0,"Yes","NO ORDER"),"")</f>
        <v>Yes</v>
      </c>
    </row>
    <row r="3501" spans="1:17" ht="15" customHeight="1" x14ac:dyDescent="0.3">
      <c r="A3501" s="23" t="s">
        <v>16457</v>
      </c>
      <c r="B3501" s="23"/>
      <c r="C3501" s="23" t="s">
        <v>6034</v>
      </c>
      <c r="D3501" s="23" t="str">
        <f t="shared" si="162"/>
        <v>ORD26002768</v>
      </c>
      <c r="E3501" s="38">
        <v>46284</v>
      </c>
      <c r="F3501" s="23" t="s">
        <v>12410</v>
      </c>
      <c r="G3501" s="23" t="s">
        <v>79</v>
      </c>
      <c r="H3501" s="24">
        <v>1848</v>
      </c>
      <c r="I3501" s="24">
        <v>33.26</v>
      </c>
      <c r="J3501" s="24">
        <v>5.99</v>
      </c>
      <c r="K3501" s="24">
        <v>1808.75</v>
      </c>
      <c r="L3501" s="38">
        <v>46286</v>
      </c>
      <c r="M3501" s="23" t="s">
        <v>214</v>
      </c>
      <c r="N3501" s="23" t="str">
        <f>IF(COUNTIF($A$2:A3501,A3501)&gt;1,"DUP","OK")</f>
        <v>OK</v>
      </c>
      <c r="O3501" s="23" t="str">
        <f t="shared" si="163"/>
        <v>ORD26002768</v>
      </c>
      <c r="P3501" s="23" t="str">
        <f t="shared" si="164"/>
        <v>Sep</v>
      </c>
      <c r="Q3501" s="23" t="str">
        <f>IF(F3501="CAPTURE",IF(COUNTIF(orders!$A:$A,O3501)&gt;0,"Yes","NO ORDER"),"")</f>
        <v>Yes</v>
      </c>
    </row>
    <row r="3502" spans="1:17" ht="15" customHeight="1" x14ac:dyDescent="0.3">
      <c r="A3502" s="23" t="s">
        <v>16458</v>
      </c>
      <c r="B3502" s="23"/>
      <c r="C3502" s="23" t="s">
        <v>6124</v>
      </c>
      <c r="D3502" s="23" t="str">
        <f t="shared" si="162"/>
        <v>ORD26002813</v>
      </c>
      <c r="E3502" s="38">
        <v>46284</v>
      </c>
      <c r="F3502" s="23" t="s">
        <v>12410</v>
      </c>
      <c r="G3502" s="23" t="s">
        <v>77</v>
      </c>
      <c r="H3502" s="24">
        <v>999</v>
      </c>
      <c r="I3502" s="24">
        <v>18.98</v>
      </c>
      <c r="J3502" s="24">
        <v>3.42</v>
      </c>
      <c r="K3502" s="24">
        <v>976.6</v>
      </c>
      <c r="L3502" s="38">
        <v>46286</v>
      </c>
      <c r="M3502" s="23" t="s">
        <v>214</v>
      </c>
      <c r="N3502" s="23" t="str">
        <f>IF(COUNTIF($A$2:A3502,A3502)&gt;1,"DUP","OK")</f>
        <v>OK</v>
      </c>
      <c r="O3502" s="23" t="str">
        <f t="shared" si="163"/>
        <v>ORD26002813</v>
      </c>
      <c r="P3502" s="23" t="str">
        <f t="shared" si="164"/>
        <v>Sep</v>
      </c>
      <c r="Q3502" s="23" t="str">
        <f>IF(F3502="CAPTURE",IF(COUNTIF(orders!$A:$A,O3502)&gt;0,"Yes","NO ORDER"),"")</f>
        <v>Yes</v>
      </c>
    </row>
    <row r="3503" spans="1:17" ht="15" customHeight="1" x14ac:dyDescent="0.3">
      <c r="A3503" s="23" t="s">
        <v>16459</v>
      </c>
      <c r="B3503" s="23"/>
      <c r="C3503" s="23" t="s">
        <v>6137</v>
      </c>
      <c r="D3503" s="23" t="str">
        <f t="shared" si="162"/>
        <v>ORD26002819</v>
      </c>
      <c r="E3503" s="38">
        <v>46284</v>
      </c>
      <c r="F3503" s="23" t="s">
        <v>12410</v>
      </c>
      <c r="G3503" s="23" t="s">
        <v>75</v>
      </c>
      <c r="H3503" s="24">
        <v>599</v>
      </c>
      <c r="I3503" s="24">
        <v>0</v>
      </c>
      <c r="J3503" s="24">
        <v>0</v>
      </c>
      <c r="K3503" s="24">
        <v>599</v>
      </c>
      <c r="L3503" s="38">
        <v>46286</v>
      </c>
      <c r="M3503" s="23" t="s">
        <v>214</v>
      </c>
      <c r="N3503" s="23" t="str">
        <f>IF(COUNTIF($A$2:A3503,A3503)&gt;1,"DUP","OK")</f>
        <v>OK</v>
      </c>
      <c r="O3503" s="23" t="str">
        <f t="shared" si="163"/>
        <v>ORD26002819</v>
      </c>
      <c r="P3503" s="23" t="str">
        <f t="shared" si="164"/>
        <v>Sep</v>
      </c>
      <c r="Q3503" s="23" t="str">
        <f>IF(F3503="CAPTURE",IF(COUNTIF(orders!$A:$A,O3503)&gt;0,"Yes","NO ORDER"),"")</f>
        <v>Yes</v>
      </c>
    </row>
    <row r="3504" spans="1:17" ht="15" customHeight="1" x14ac:dyDescent="0.3">
      <c r="A3504" s="23" t="s">
        <v>16460</v>
      </c>
      <c r="B3504" s="23"/>
      <c r="C3504" s="23" t="s">
        <v>6236</v>
      </c>
      <c r="D3504" s="23" t="str">
        <f t="shared" si="162"/>
        <v>ORD26002870</v>
      </c>
      <c r="E3504" s="38">
        <v>46284</v>
      </c>
      <c r="F3504" s="23" t="s">
        <v>12410</v>
      </c>
      <c r="G3504" s="23" t="s">
        <v>75</v>
      </c>
      <c r="H3504" s="24">
        <v>999</v>
      </c>
      <c r="I3504" s="24">
        <v>0</v>
      </c>
      <c r="J3504" s="24">
        <v>0</v>
      </c>
      <c r="K3504" s="24">
        <v>999</v>
      </c>
      <c r="L3504" s="38">
        <v>46286</v>
      </c>
      <c r="M3504" s="23" t="s">
        <v>214</v>
      </c>
      <c r="N3504" s="23" t="str">
        <f>IF(COUNTIF($A$2:A3504,A3504)&gt;1,"DUP","OK")</f>
        <v>OK</v>
      </c>
      <c r="O3504" s="23" t="str">
        <f t="shared" si="163"/>
        <v>ORD26002870</v>
      </c>
      <c r="P3504" s="23" t="str">
        <f t="shared" si="164"/>
        <v>Sep</v>
      </c>
      <c r="Q3504" s="23" t="str">
        <f>IF(F3504="CAPTURE",IF(COUNTIF(orders!$A:$A,O3504)&gt;0,"Yes","NO ORDER"),"")</f>
        <v>Yes</v>
      </c>
    </row>
    <row r="3505" spans="1:17" ht="15" customHeight="1" x14ac:dyDescent="0.3">
      <c r="A3505" s="23" t="s">
        <v>16461</v>
      </c>
      <c r="B3505" s="23"/>
      <c r="C3505" s="23" t="s">
        <v>6368</v>
      </c>
      <c r="D3505" s="23" t="str">
        <f t="shared" si="162"/>
        <v>ORD26002936</v>
      </c>
      <c r="E3505" s="38">
        <v>46284</v>
      </c>
      <c r="F3505" s="23" t="s">
        <v>12410</v>
      </c>
      <c r="G3505" s="23" t="s">
        <v>75</v>
      </c>
      <c r="H3505" s="24">
        <v>1798</v>
      </c>
      <c r="I3505" s="24">
        <v>0</v>
      </c>
      <c r="J3505" s="24">
        <v>0</v>
      </c>
      <c r="K3505" s="24">
        <v>1798</v>
      </c>
      <c r="L3505" s="38">
        <v>46286</v>
      </c>
      <c r="M3505" s="23" t="s">
        <v>214</v>
      </c>
      <c r="N3505" s="23" t="str">
        <f>IF(COUNTIF($A$2:A3505,A3505)&gt;1,"DUP","OK")</f>
        <v>OK</v>
      </c>
      <c r="O3505" s="23" t="str">
        <f t="shared" si="163"/>
        <v>ORD26002936</v>
      </c>
      <c r="P3505" s="23" t="str">
        <f t="shared" si="164"/>
        <v>Sep</v>
      </c>
      <c r="Q3505" s="23" t="str">
        <f>IF(F3505="CAPTURE",IF(COUNTIF(orders!$A:$A,O3505)&gt;0,"Yes","NO ORDER"),"")</f>
        <v>Yes</v>
      </c>
    </row>
    <row r="3506" spans="1:17" ht="15" customHeight="1" x14ac:dyDescent="0.3">
      <c r="A3506" s="23" t="s">
        <v>16462</v>
      </c>
      <c r="B3506" s="23"/>
      <c r="C3506" s="23" t="s">
        <v>6377</v>
      </c>
      <c r="D3506" s="23" t="str">
        <f t="shared" si="162"/>
        <v>ORD26002940</v>
      </c>
      <c r="E3506" s="38">
        <v>46284</v>
      </c>
      <c r="F3506" s="23" t="s">
        <v>12410</v>
      </c>
      <c r="G3506" s="23" t="s">
        <v>75</v>
      </c>
      <c r="H3506" s="24">
        <v>1598</v>
      </c>
      <c r="I3506" s="24">
        <v>0</v>
      </c>
      <c r="J3506" s="24">
        <v>0</v>
      </c>
      <c r="K3506" s="24">
        <v>1598</v>
      </c>
      <c r="L3506" s="38">
        <v>46286</v>
      </c>
      <c r="M3506" s="23" t="s">
        <v>214</v>
      </c>
      <c r="N3506" s="23" t="str">
        <f>IF(COUNTIF($A$2:A3506,A3506)&gt;1,"DUP","OK")</f>
        <v>OK</v>
      </c>
      <c r="O3506" s="23" t="str">
        <f t="shared" si="163"/>
        <v>ORD26002940</v>
      </c>
      <c r="P3506" s="23" t="str">
        <f t="shared" si="164"/>
        <v>Sep</v>
      </c>
      <c r="Q3506" s="23" t="str">
        <f>IF(F3506="CAPTURE",IF(COUNTIF(orders!$A:$A,O3506)&gt;0,"Yes","NO ORDER"),"")</f>
        <v>Yes</v>
      </c>
    </row>
    <row r="3507" spans="1:17" ht="15" customHeight="1" x14ac:dyDescent="0.3">
      <c r="A3507" s="23" t="s">
        <v>16463</v>
      </c>
      <c r="B3507" s="23"/>
      <c r="C3507" s="23" t="s">
        <v>6381</v>
      </c>
      <c r="D3507" s="23" t="str">
        <f t="shared" si="162"/>
        <v>ORD26002942</v>
      </c>
      <c r="E3507" s="38">
        <v>46284</v>
      </c>
      <c r="F3507" s="23" t="s">
        <v>12410</v>
      </c>
      <c r="G3507" s="23" t="s">
        <v>75</v>
      </c>
      <c r="H3507" s="24">
        <v>15998</v>
      </c>
      <c r="I3507" s="24">
        <v>47.99</v>
      </c>
      <c r="J3507" s="24">
        <v>8.64</v>
      </c>
      <c r="K3507" s="24">
        <v>15941.37</v>
      </c>
      <c r="L3507" s="38">
        <v>46286</v>
      </c>
      <c r="M3507" s="23" t="s">
        <v>214</v>
      </c>
      <c r="N3507" s="23" t="str">
        <f>IF(COUNTIF($A$2:A3507,A3507)&gt;1,"DUP","OK")</f>
        <v>OK</v>
      </c>
      <c r="O3507" s="23" t="str">
        <f t="shared" si="163"/>
        <v>ORD26002942</v>
      </c>
      <c r="P3507" s="23" t="str">
        <f t="shared" si="164"/>
        <v>Sep</v>
      </c>
      <c r="Q3507" s="23" t="str">
        <f>IF(F3507="CAPTURE",IF(COUNTIF(orders!$A:$A,O3507)&gt;0,"Yes","NO ORDER"),"")</f>
        <v>Yes</v>
      </c>
    </row>
    <row r="3508" spans="1:17" ht="15" customHeight="1" x14ac:dyDescent="0.3">
      <c r="A3508" s="23" t="s">
        <v>16464</v>
      </c>
      <c r="B3508" s="23"/>
      <c r="C3508" s="23" t="s">
        <v>6413</v>
      </c>
      <c r="D3508" s="23" t="str">
        <f t="shared" si="162"/>
        <v>ORD26002959</v>
      </c>
      <c r="E3508" s="38">
        <v>46284</v>
      </c>
      <c r="F3508" s="23" t="s">
        <v>12410</v>
      </c>
      <c r="G3508" s="23" t="s">
        <v>79</v>
      </c>
      <c r="H3508" s="24">
        <v>8797</v>
      </c>
      <c r="I3508" s="24">
        <v>140.75</v>
      </c>
      <c r="J3508" s="24">
        <v>25.34</v>
      </c>
      <c r="K3508" s="24">
        <v>8630.91</v>
      </c>
      <c r="L3508" s="38">
        <v>46286</v>
      </c>
      <c r="M3508" s="23" t="s">
        <v>214</v>
      </c>
      <c r="N3508" s="23" t="str">
        <f>IF(COUNTIF($A$2:A3508,A3508)&gt;1,"DUP","OK")</f>
        <v>OK</v>
      </c>
      <c r="O3508" s="23" t="str">
        <f t="shared" si="163"/>
        <v>ORD26002959</v>
      </c>
      <c r="P3508" s="23" t="str">
        <f t="shared" si="164"/>
        <v>Sep</v>
      </c>
      <c r="Q3508" s="23" t="str">
        <f>IF(F3508="CAPTURE",IF(COUNTIF(orders!$A:$A,O3508)&gt;0,"Yes","NO ORDER"),"")</f>
        <v>Yes</v>
      </c>
    </row>
    <row r="3509" spans="1:17" ht="15" customHeight="1" x14ac:dyDescent="0.3">
      <c r="A3509" s="23" t="s">
        <v>16465</v>
      </c>
      <c r="B3509" s="23"/>
      <c r="C3509" s="23" t="s">
        <v>6498</v>
      </c>
      <c r="D3509" s="23" t="str">
        <f t="shared" si="162"/>
        <v>ORD26003002</v>
      </c>
      <c r="E3509" s="38">
        <v>46284</v>
      </c>
      <c r="F3509" s="23" t="s">
        <v>12410</v>
      </c>
      <c r="G3509" s="23" t="s">
        <v>77</v>
      </c>
      <c r="H3509" s="24">
        <v>799</v>
      </c>
      <c r="I3509" s="24">
        <v>15.18</v>
      </c>
      <c r="J3509" s="24">
        <v>2.73</v>
      </c>
      <c r="K3509" s="24">
        <v>781.09</v>
      </c>
      <c r="L3509" s="38">
        <v>46286</v>
      </c>
      <c r="M3509" s="23" t="s">
        <v>214</v>
      </c>
      <c r="N3509" s="23" t="str">
        <f>IF(COUNTIF($A$2:A3509,A3509)&gt;1,"DUP","OK")</f>
        <v>OK</v>
      </c>
      <c r="O3509" s="23" t="str">
        <f t="shared" si="163"/>
        <v>ORD26003002</v>
      </c>
      <c r="P3509" s="23" t="str">
        <f t="shared" si="164"/>
        <v>Sep</v>
      </c>
      <c r="Q3509" s="23" t="str">
        <f>IF(F3509="CAPTURE",IF(COUNTIF(orders!$A:$A,O3509)&gt;0,"Yes","NO ORDER"),"")</f>
        <v>Yes</v>
      </c>
    </row>
    <row r="3510" spans="1:17" ht="15" customHeight="1" x14ac:dyDescent="0.3">
      <c r="A3510" s="23" t="s">
        <v>16466</v>
      </c>
      <c r="B3510" s="23"/>
      <c r="C3510" s="23" t="s">
        <v>6585</v>
      </c>
      <c r="D3510" s="23" t="str">
        <f t="shared" si="162"/>
        <v>ORD26003046</v>
      </c>
      <c r="E3510" s="38">
        <v>46284</v>
      </c>
      <c r="F3510" s="23" t="s">
        <v>12410</v>
      </c>
      <c r="G3510" s="23" t="s">
        <v>75</v>
      </c>
      <c r="H3510" s="24">
        <v>6298</v>
      </c>
      <c r="I3510" s="24">
        <v>18.89</v>
      </c>
      <c r="J3510" s="24">
        <v>3.4</v>
      </c>
      <c r="K3510" s="24">
        <v>6275.71</v>
      </c>
      <c r="L3510" s="38">
        <v>46286</v>
      </c>
      <c r="M3510" s="23" t="s">
        <v>214</v>
      </c>
      <c r="N3510" s="23" t="str">
        <f>IF(COUNTIF($A$2:A3510,A3510)&gt;1,"DUP","OK")</f>
        <v>OK</v>
      </c>
      <c r="O3510" s="23" t="str">
        <f t="shared" si="163"/>
        <v>ORD26003046</v>
      </c>
      <c r="P3510" s="23" t="str">
        <f t="shared" si="164"/>
        <v>Sep</v>
      </c>
      <c r="Q3510" s="23" t="str">
        <f>IF(F3510="CAPTURE",IF(COUNTIF(orders!$A:$A,O3510)&gt;0,"Yes","NO ORDER"),"")</f>
        <v>Yes</v>
      </c>
    </row>
    <row r="3511" spans="1:17" ht="15" customHeight="1" x14ac:dyDescent="0.3">
      <c r="A3511" s="23" t="s">
        <v>16467</v>
      </c>
      <c r="B3511" s="23"/>
      <c r="C3511" s="23" t="s">
        <v>6604</v>
      </c>
      <c r="D3511" s="23" t="str">
        <f t="shared" si="162"/>
        <v>ORD26003055</v>
      </c>
      <c r="E3511" s="38">
        <v>46284</v>
      </c>
      <c r="F3511" s="23" t="s">
        <v>12410</v>
      </c>
      <c r="G3511" s="23" t="s">
        <v>75</v>
      </c>
      <c r="H3511" s="24">
        <v>2697</v>
      </c>
      <c r="I3511" s="24">
        <v>8.09</v>
      </c>
      <c r="J3511" s="24">
        <v>1.46</v>
      </c>
      <c r="K3511" s="24">
        <v>2687.45</v>
      </c>
      <c r="L3511" s="38">
        <v>46286</v>
      </c>
      <c r="M3511" s="23" t="s">
        <v>214</v>
      </c>
      <c r="N3511" s="23" t="str">
        <f>IF(COUNTIF($A$2:A3511,A3511)&gt;1,"DUP","OK")</f>
        <v>OK</v>
      </c>
      <c r="O3511" s="23" t="str">
        <f t="shared" si="163"/>
        <v>ORD26003055</v>
      </c>
      <c r="P3511" s="23" t="str">
        <f t="shared" si="164"/>
        <v>Sep</v>
      </c>
      <c r="Q3511" s="23" t="str">
        <f>IF(F3511="CAPTURE",IF(COUNTIF(orders!$A:$A,O3511)&gt;0,"Yes","NO ORDER"),"")</f>
        <v>Yes</v>
      </c>
    </row>
    <row r="3512" spans="1:17" ht="15" customHeight="1" x14ac:dyDescent="0.3">
      <c r="A3512" s="23" t="s">
        <v>16468</v>
      </c>
      <c r="B3512" s="23"/>
      <c r="C3512" s="23" t="s">
        <v>6737</v>
      </c>
      <c r="D3512" s="23" t="str">
        <f t="shared" si="162"/>
        <v>ORD26003120</v>
      </c>
      <c r="E3512" s="38">
        <v>46284</v>
      </c>
      <c r="F3512" s="23" t="s">
        <v>12410</v>
      </c>
      <c r="G3512" s="23" t="s">
        <v>75</v>
      </c>
      <c r="H3512" s="24">
        <v>2098</v>
      </c>
      <c r="I3512" s="24">
        <v>6.29</v>
      </c>
      <c r="J3512" s="24">
        <v>1.1299999999999999</v>
      </c>
      <c r="K3512" s="24">
        <v>2090.58</v>
      </c>
      <c r="L3512" s="38">
        <v>46286</v>
      </c>
      <c r="M3512" s="23" t="s">
        <v>214</v>
      </c>
      <c r="N3512" s="23" t="str">
        <f>IF(COUNTIF($A$2:A3512,A3512)&gt;1,"DUP","OK")</f>
        <v>OK</v>
      </c>
      <c r="O3512" s="23" t="str">
        <f t="shared" si="163"/>
        <v>ORD26003120</v>
      </c>
      <c r="P3512" s="23" t="str">
        <f t="shared" si="164"/>
        <v>Sep</v>
      </c>
      <c r="Q3512" s="23" t="str">
        <f>IF(F3512="CAPTURE",IF(COUNTIF(orders!$A:$A,O3512)&gt;0,"Yes","NO ORDER"),"")</f>
        <v>Yes</v>
      </c>
    </row>
    <row r="3513" spans="1:17" ht="15" customHeight="1" x14ac:dyDescent="0.3">
      <c r="A3513" s="23" t="s">
        <v>16469</v>
      </c>
      <c r="B3513" s="23"/>
      <c r="C3513" s="23" t="s">
        <v>6753</v>
      </c>
      <c r="D3513" s="23" t="str">
        <f t="shared" si="162"/>
        <v>ORD26003128</v>
      </c>
      <c r="E3513" s="38">
        <v>46284</v>
      </c>
      <c r="F3513" s="23" t="s">
        <v>12410</v>
      </c>
      <c r="G3513" s="23" t="s">
        <v>79</v>
      </c>
      <c r="H3513" s="24">
        <v>7297</v>
      </c>
      <c r="I3513" s="24">
        <v>116.75</v>
      </c>
      <c r="J3513" s="24">
        <v>21.02</v>
      </c>
      <c r="K3513" s="24">
        <v>7159.23</v>
      </c>
      <c r="L3513" s="38">
        <v>46286</v>
      </c>
      <c r="M3513" s="23" t="s">
        <v>214</v>
      </c>
      <c r="N3513" s="23" t="str">
        <f>IF(COUNTIF($A$2:A3513,A3513)&gt;1,"DUP","OK")</f>
        <v>OK</v>
      </c>
      <c r="O3513" s="23" t="str">
        <f t="shared" si="163"/>
        <v>ORD26003128</v>
      </c>
      <c r="P3513" s="23" t="str">
        <f t="shared" si="164"/>
        <v>Sep</v>
      </c>
      <c r="Q3513" s="23" t="str">
        <f>IF(F3513="CAPTURE",IF(COUNTIF(orders!$A:$A,O3513)&gt;0,"Yes","NO ORDER"),"")</f>
        <v>Yes</v>
      </c>
    </row>
    <row r="3514" spans="1:17" ht="15" customHeight="1" x14ac:dyDescent="0.3">
      <c r="A3514" s="23" t="s">
        <v>16470</v>
      </c>
      <c r="B3514" s="23"/>
      <c r="C3514" s="23" t="s">
        <v>6781</v>
      </c>
      <c r="D3514" s="23" t="str">
        <f t="shared" si="162"/>
        <v>ORD26003142</v>
      </c>
      <c r="E3514" s="38">
        <v>46284</v>
      </c>
      <c r="F3514" s="23" t="s">
        <v>12410</v>
      </c>
      <c r="G3514" s="23" t="s">
        <v>75</v>
      </c>
      <c r="H3514" s="24">
        <v>3098</v>
      </c>
      <c r="I3514" s="24">
        <v>9.2899999999999991</v>
      </c>
      <c r="J3514" s="24">
        <v>1.67</v>
      </c>
      <c r="K3514" s="24">
        <v>3087.04</v>
      </c>
      <c r="L3514" s="38">
        <v>46286</v>
      </c>
      <c r="M3514" s="23" t="s">
        <v>214</v>
      </c>
      <c r="N3514" s="23" t="str">
        <f>IF(COUNTIF($A$2:A3514,A3514)&gt;1,"DUP","OK")</f>
        <v>OK</v>
      </c>
      <c r="O3514" s="23" t="str">
        <f t="shared" si="163"/>
        <v>ORD26003142</v>
      </c>
      <c r="P3514" s="23" t="str">
        <f t="shared" si="164"/>
        <v>Sep</v>
      </c>
      <c r="Q3514" s="23" t="str">
        <f>IF(F3514="CAPTURE",IF(COUNTIF(orders!$A:$A,O3514)&gt;0,"Yes","NO ORDER"),"")</f>
        <v>Yes</v>
      </c>
    </row>
    <row r="3515" spans="1:17" ht="15" customHeight="1" x14ac:dyDescent="0.3">
      <c r="A3515" s="23" t="s">
        <v>16471</v>
      </c>
      <c r="B3515" s="23"/>
      <c r="C3515" s="23" t="s">
        <v>6783</v>
      </c>
      <c r="D3515" s="23" t="str">
        <f t="shared" si="162"/>
        <v>ORD26003143</v>
      </c>
      <c r="E3515" s="38">
        <v>46284</v>
      </c>
      <c r="F3515" s="23" t="s">
        <v>12410</v>
      </c>
      <c r="G3515" s="23" t="s">
        <v>75</v>
      </c>
      <c r="H3515" s="24">
        <v>1298</v>
      </c>
      <c r="I3515" s="24">
        <v>0</v>
      </c>
      <c r="J3515" s="24">
        <v>0</v>
      </c>
      <c r="K3515" s="24">
        <v>1298</v>
      </c>
      <c r="L3515" s="38">
        <v>46286</v>
      </c>
      <c r="M3515" s="23" t="s">
        <v>214</v>
      </c>
      <c r="N3515" s="23" t="str">
        <f>IF(COUNTIF($A$2:A3515,A3515)&gt;1,"DUP","OK")</f>
        <v>OK</v>
      </c>
      <c r="O3515" s="23" t="str">
        <f t="shared" si="163"/>
        <v>ORD26003143</v>
      </c>
      <c r="P3515" s="23" t="str">
        <f t="shared" si="164"/>
        <v>Sep</v>
      </c>
      <c r="Q3515" s="23" t="str">
        <f>IF(F3515="CAPTURE",IF(COUNTIF(orders!$A:$A,O3515)&gt;0,"Yes","NO ORDER"),"")</f>
        <v>Yes</v>
      </c>
    </row>
    <row r="3516" spans="1:17" ht="15" customHeight="1" x14ac:dyDescent="0.3">
      <c r="A3516" s="23" t="s">
        <v>16472</v>
      </c>
      <c r="B3516" s="23"/>
      <c r="C3516" s="23" t="s">
        <v>6807</v>
      </c>
      <c r="D3516" s="23" t="str">
        <f t="shared" si="162"/>
        <v>ORD26003155</v>
      </c>
      <c r="E3516" s="38">
        <v>46284</v>
      </c>
      <c r="F3516" s="23" t="s">
        <v>12410</v>
      </c>
      <c r="G3516" s="23" t="s">
        <v>75</v>
      </c>
      <c r="H3516" s="24">
        <v>2999</v>
      </c>
      <c r="I3516" s="24">
        <v>9</v>
      </c>
      <c r="J3516" s="24">
        <v>1.62</v>
      </c>
      <c r="K3516" s="24">
        <v>2988.38</v>
      </c>
      <c r="L3516" s="38">
        <v>46286</v>
      </c>
      <c r="M3516" s="23" t="s">
        <v>214</v>
      </c>
      <c r="N3516" s="23" t="str">
        <f>IF(COUNTIF($A$2:A3516,A3516)&gt;1,"DUP","OK")</f>
        <v>OK</v>
      </c>
      <c r="O3516" s="23" t="str">
        <f t="shared" si="163"/>
        <v>ORD26003155</v>
      </c>
      <c r="P3516" s="23" t="str">
        <f t="shared" si="164"/>
        <v>Sep</v>
      </c>
      <c r="Q3516" s="23" t="str">
        <f>IF(F3516="CAPTURE",IF(COUNTIF(orders!$A:$A,O3516)&gt;0,"Yes","NO ORDER"),"")</f>
        <v>Yes</v>
      </c>
    </row>
    <row r="3517" spans="1:17" ht="15" customHeight="1" x14ac:dyDescent="0.3">
      <c r="A3517" s="23" t="s">
        <v>16473</v>
      </c>
      <c r="B3517" s="23"/>
      <c r="C3517" s="23" t="s">
        <v>7007</v>
      </c>
      <c r="D3517" s="23" t="str">
        <f t="shared" si="162"/>
        <v>ORD26003254</v>
      </c>
      <c r="E3517" s="38">
        <v>46284</v>
      </c>
      <c r="F3517" s="23" t="s">
        <v>12410</v>
      </c>
      <c r="G3517" s="23" t="s">
        <v>75</v>
      </c>
      <c r="H3517" s="24">
        <v>2798</v>
      </c>
      <c r="I3517" s="24">
        <v>8.39</v>
      </c>
      <c r="J3517" s="24">
        <v>1.51</v>
      </c>
      <c r="K3517" s="24">
        <v>2788.1</v>
      </c>
      <c r="L3517" s="38">
        <v>46286</v>
      </c>
      <c r="M3517" s="23" t="s">
        <v>214</v>
      </c>
      <c r="N3517" s="23" t="str">
        <f>IF(COUNTIF($A$2:A3517,A3517)&gt;1,"DUP","OK")</f>
        <v>OK</v>
      </c>
      <c r="O3517" s="23" t="str">
        <f t="shared" si="163"/>
        <v>ORD26003254</v>
      </c>
      <c r="P3517" s="23" t="str">
        <f t="shared" si="164"/>
        <v>Sep</v>
      </c>
      <c r="Q3517" s="23" t="str">
        <f>IF(F3517="CAPTURE",IF(COUNTIF(orders!$A:$A,O3517)&gt;0,"Yes","NO ORDER"),"")</f>
        <v>Yes</v>
      </c>
    </row>
    <row r="3518" spans="1:17" ht="15" customHeight="1" x14ac:dyDescent="0.3">
      <c r="A3518" s="23" t="s">
        <v>16474</v>
      </c>
      <c r="B3518" s="23"/>
      <c r="C3518" s="23" t="s">
        <v>7155</v>
      </c>
      <c r="D3518" s="23" t="str">
        <f t="shared" si="162"/>
        <v>ORD26003329</v>
      </c>
      <c r="E3518" s="38">
        <v>46284</v>
      </c>
      <c r="F3518" s="23" t="s">
        <v>12410</v>
      </c>
      <c r="G3518" s="23" t="s">
        <v>75</v>
      </c>
      <c r="H3518" s="24">
        <v>4999</v>
      </c>
      <c r="I3518" s="24">
        <v>15</v>
      </c>
      <c r="J3518" s="24">
        <v>2.7</v>
      </c>
      <c r="K3518" s="24">
        <v>4981.3</v>
      </c>
      <c r="L3518" s="38">
        <v>46286</v>
      </c>
      <c r="M3518" s="23" t="s">
        <v>214</v>
      </c>
      <c r="N3518" s="23" t="str">
        <f>IF(COUNTIF($A$2:A3518,A3518)&gt;1,"DUP","OK")</f>
        <v>OK</v>
      </c>
      <c r="O3518" s="23" t="str">
        <f t="shared" si="163"/>
        <v>ORD26003329</v>
      </c>
      <c r="P3518" s="23" t="str">
        <f t="shared" si="164"/>
        <v>Sep</v>
      </c>
      <c r="Q3518" s="23" t="str">
        <f>IF(F3518="CAPTURE",IF(COUNTIF(orders!$A:$A,O3518)&gt;0,"Yes","NO ORDER"),"")</f>
        <v>Yes</v>
      </c>
    </row>
    <row r="3519" spans="1:17" ht="15" customHeight="1" x14ac:dyDescent="0.3">
      <c r="A3519" s="23" t="s">
        <v>16475</v>
      </c>
      <c r="B3519" s="23"/>
      <c r="C3519" s="23" t="s">
        <v>7196</v>
      </c>
      <c r="D3519" s="23" t="str">
        <f t="shared" si="162"/>
        <v>ORD26003349</v>
      </c>
      <c r="E3519" s="38">
        <v>46284</v>
      </c>
      <c r="F3519" s="23" t="s">
        <v>12410</v>
      </c>
      <c r="G3519" s="23" t="s">
        <v>75</v>
      </c>
      <c r="H3519" s="24">
        <v>7498</v>
      </c>
      <c r="I3519" s="24">
        <v>22.49</v>
      </c>
      <c r="J3519" s="24">
        <v>4.05</v>
      </c>
      <c r="K3519" s="24">
        <v>7471.46</v>
      </c>
      <c r="L3519" s="38">
        <v>46286</v>
      </c>
      <c r="M3519" s="23" t="s">
        <v>214</v>
      </c>
      <c r="N3519" s="23" t="str">
        <f>IF(COUNTIF($A$2:A3519,A3519)&gt;1,"DUP","OK")</f>
        <v>OK</v>
      </c>
      <c r="O3519" s="23" t="str">
        <f t="shared" si="163"/>
        <v>ORD26003349</v>
      </c>
      <c r="P3519" s="23" t="str">
        <f t="shared" si="164"/>
        <v>Sep</v>
      </c>
      <c r="Q3519" s="23" t="str">
        <f>IF(F3519="CAPTURE",IF(COUNTIF(orders!$A:$A,O3519)&gt;0,"Yes","NO ORDER"),"")</f>
        <v>Yes</v>
      </c>
    </row>
    <row r="3520" spans="1:17" ht="15" customHeight="1" x14ac:dyDescent="0.3">
      <c r="A3520" s="23" t="s">
        <v>16476</v>
      </c>
      <c r="B3520" s="23"/>
      <c r="C3520" s="23" t="s">
        <v>7227</v>
      </c>
      <c r="D3520" s="23" t="str">
        <f t="shared" si="162"/>
        <v>ORD26003364</v>
      </c>
      <c r="E3520" s="38">
        <v>46284</v>
      </c>
      <c r="F3520" s="23" t="s">
        <v>12410</v>
      </c>
      <c r="G3520" s="23" t="s">
        <v>77</v>
      </c>
      <c r="H3520" s="24">
        <v>499</v>
      </c>
      <c r="I3520" s="24">
        <v>9.48</v>
      </c>
      <c r="J3520" s="24">
        <v>1.71</v>
      </c>
      <c r="K3520" s="24">
        <v>487.81</v>
      </c>
      <c r="L3520" s="38">
        <v>46286</v>
      </c>
      <c r="M3520" s="23" t="s">
        <v>214</v>
      </c>
      <c r="N3520" s="23" t="str">
        <f>IF(COUNTIF($A$2:A3520,A3520)&gt;1,"DUP","OK")</f>
        <v>OK</v>
      </c>
      <c r="O3520" s="23" t="str">
        <f t="shared" si="163"/>
        <v>ORD26003364</v>
      </c>
      <c r="P3520" s="23" t="str">
        <f t="shared" si="164"/>
        <v>Sep</v>
      </c>
      <c r="Q3520" s="23" t="str">
        <f>IF(F3520="CAPTURE",IF(COUNTIF(orders!$A:$A,O3520)&gt;0,"Yes","NO ORDER"),"")</f>
        <v>Yes</v>
      </c>
    </row>
    <row r="3521" spans="1:17" ht="15" customHeight="1" x14ac:dyDescent="0.3">
      <c r="A3521" s="23" t="s">
        <v>16477</v>
      </c>
      <c r="B3521" s="23"/>
      <c r="C3521" s="23" t="s">
        <v>7233</v>
      </c>
      <c r="D3521" s="23" t="str">
        <f t="shared" si="162"/>
        <v>ORD26003367</v>
      </c>
      <c r="E3521" s="38">
        <v>46284</v>
      </c>
      <c r="F3521" s="23" t="s">
        <v>12410</v>
      </c>
      <c r="G3521" s="23" t="s">
        <v>75</v>
      </c>
      <c r="H3521" s="24">
        <v>6797</v>
      </c>
      <c r="I3521" s="24">
        <v>20.39</v>
      </c>
      <c r="J3521" s="24">
        <v>3.67</v>
      </c>
      <c r="K3521" s="24">
        <v>6772.94</v>
      </c>
      <c r="L3521" s="38">
        <v>46286</v>
      </c>
      <c r="M3521" s="23" t="s">
        <v>214</v>
      </c>
      <c r="N3521" s="23" t="str">
        <f>IF(COUNTIF($A$2:A3521,A3521)&gt;1,"DUP","OK")</f>
        <v>OK</v>
      </c>
      <c r="O3521" s="23" t="str">
        <f t="shared" si="163"/>
        <v>ORD26003367</v>
      </c>
      <c r="P3521" s="23" t="str">
        <f t="shared" si="164"/>
        <v>Sep</v>
      </c>
      <c r="Q3521" s="23" t="str">
        <f>IF(F3521="CAPTURE",IF(COUNTIF(orders!$A:$A,O3521)&gt;0,"Yes","NO ORDER"),"")</f>
        <v>Yes</v>
      </c>
    </row>
    <row r="3522" spans="1:17" ht="15" customHeight="1" x14ac:dyDescent="0.3">
      <c r="A3522" s="23" t="s">
        <v>16478</v>
      </c>
      <c r="B3522" s="23"/>
      <c r="C3522" s="23" t="s">
        <v>7271</v>
      </c>
      <c r="D3522" s="23" t="str">
        <f t="shared" ref="D3522:D3585" si="165">UPPER(SUBSTITUTE(TRIM(C3522),"-",""))</f>
        <v>ORD26003386</v>
      </c>
      <c r="E3522" s="38">
        <v>46284</v>
      </c>
      <c r="F3522" s="23" t="s">
        <v>12410</v>
      </c>
      <c r="G3522" s="23" t="s">
        <v>75</v>
      </c>
      <c r="H3522" s="24">
        <v>799</v>
      </c>
      <c r="I3522" s="24">
        <v>0</v>
      </c>
      <c r="J3522" s="24">
        <v>0</v>
      </c>
      <c r="K3522" s="24">
        <v>799</v>
      </c>
      <c r="L3522" s="38">
        <v>46286</v>
      </c>
      <c r="M3522" s="23" t="s">
        <v>214</v>
      </c>
      <c r="N3522" s="23" t="str">
        <f>IF(COUNTIF($A$2:A3522,A3522)&gt;1,"DUP","OK")</f>
        <v>OK</v>
      </c>
      <c r="O3522" s="23" t="str">
        <f t="shared" ref="O3522:O3585" si="166">IF(F3522="REFUND",INDEX($D:$D,MATCH(B3522,$A:$A,0)),D3522)</f>
        <v>ORD26003386</v>
      </c>
      <c r="P3522" s="23" t="str">
        <f t="shared" ref="P3522:P3585" si="167">IF(L3522&gt;DATE(2026,9,30),"Oct-Due","Sep")</f>
        <v>Sep</v>
      </c>
      <c r="Q3522" s="23" t="str">
        <f>IF(F3522="CAPTURE",IF(COUNTIF(orders!$A:$A,O3522)&gt;0,"Yes","NO ORDER"),"")</f>
        <v>Yes</v>
      </c>
    </row>
    <row r="3523" spans="1:17" ht="15" customHeight="1" x14ac:dyDescent="0.3">
      <c r="A3523" s="23" t="s">
        <v>16479</v>
      </c>
      <c r="B3523" s="23"/>
      <c r="C3523" s="23" t="s">
        <v>7293</v>
      </c>
      <c r="D3523" s="23" t="str">
        <f t="shared" si="165"/>
        <v>ORD26003397</v>
      </c>
      <c r="E3523" s="38">
        <v>46284</v>
      </c>
      <c r="F3523" s="23" t="s">
        <v>12410</v>
      </c>
      <c r="G3523" s="23" t="s">
        <v>81</v>
      </c>
      <c r="H3523" s="24">
        <v>1499</v>
      </c>
      <c r="I3523" s="24">
        <v>22.49</v>
      </c>
      <c r="J3523" s="24">
        <v>4.05</v>
      </c>
      <c r="K3523" s="24">
        <v>1472.46</v>
      </c>
      <c r="L3523" s="38">
        <v>46286</v>
      </c>
      <c r="M3523" s="23" t="s">
        <v>214</v>
      </c>
      <c r="N3523" s="23" t="str">
        <f>IF(COUNTIF($A$2:A3523,A3523)&gt;1,"DUP","OK")</f>
        <v>OK</v>
      </c>
      <c r="O3523" s="23" t="str">
        <f t="shared" si="166"/>
        <v>ORD26003397</v>
      </c>
      <c r="P3523" s="23" t="str">
        <f t="shared" si="167"/>
        <v>Sep</v>
      </c>
      <c r="Q3523" s="23" t="str">
        <f>IF(F3523="CAPTURE",IF(COUNTIF(orders!$A:$A,O3523)&gt;0,"Yes","NO ORDER"),"")</f>
        <v>Yes</v>
      </c>
    </row>
    <row r="3524" spans="1:17" ht="15" customHeight="1" x14ac:dyDescent="0.3">
      <c r="A3524" s="23" t="s">
        <v>16480</v>
      </c>
      <c r="B3524" s="23"/>
      <c r="C3524" s="23" t="s">
        <v>7313</v>
      </c>
      <c r="D3524" s="23" t="str">
        <f t="shared" si="165"/>
        <v>ORD26003407</v>
      </c>
      <c r="E3524" s="38">
        <v>46284</v>
      </c>
      <c r="F3524" s="23" t="s">
        <v>12410</v>
      </c>
      <c r="G3524" s="23" t="s">
        <v>75</v>
      </c>
      <c r="H3524" s="24">
        <v>698</v>
      </c>
      <c r="I3524" s="24">
        <v>0</v>
      </c>
      <c r="J3524" s="24">
        <v>0</v>
      </c>
      <c r="K3524" s="24">
        <v>698</v>
      </c>
      <c r="L3524" s="38">
        <v>46286</v>
      </c>
      <c r="M3524" s="23" t="s">
        <v>214</v>
      </c>
      <c r="N3524" s="23" t="str">
        <f>IF(COUNTIF($A$2:A3524,A3524)&gt;1,"DUP","OK")</f>
        <v>OK</v>
      </c>
      <c r="O3524" s="23" t="str">
        <f t="shared" si="166"/>
        <v>ORD26003407</v>
      </c>
      <c r="P3524" s="23" t="str">
        <f t="shared" si="167"/>
        <v>Sep</v>
      </c>
      <c r="Q3524" s="23" t="str">
        <f>IF(F3524="CAPTURE",IF(COUNTIF(orders!$A:$A,O3524)&gt;0,"Yes","NO ORDER"),"")</f>
        <v>Yes</v>
      </c>
    </row>
    <row r="3525" spans="1:17" ht="15" customHeight="1" x14ac:dyDescent="0.3">
      <c r="A3525" s="23" t="s">
        <v>16481</v>
      </c>
      <c r="B3525" s="23"/>
      <c r="C3525" s="23" t="s">
        <v>7315</v>
      </c>
      <c r="D3525" s="23" t="str">
        <f t="shared" si="165"/>
        <v>ORD26003408</v>
      </c>
      <c r="E3525" s="38">
        <v>46284</v>
      </c>
      <c r="F3525" s="23" t="s">
        <v>12410</v>
      </c>
      <c r="G3525" s="23" t="s">
        <v>79</v>
      </c>
      <c r="H3525" s="24">
        <v>1299</v>
      </c>
      <c r="I3525" s="24">
        <v>23.38</v>
      </c>
      <c r="J3525" s="24">
        <v>4.21</v>
      </c>
      <c r="K3525" s="24">
        <v>1271.4100000000001</v>
      </c>
      <c r="L3525" s="38">
        <v>46286</v>
      </c>
      <c r="M3525" s="23" t="s">
        <v>214</v>
      </c>
      <c r="N3525" s="23" t="str">
        <f>IF(COUNTIF($A$2:A3525,A3525)&gt;1,"DUP","OK")</f>
        <v>OK</v>
      </c>
      <c r="O3525" s="23" t="str">
        <f t="shared" si="166"/>
        <v>ORD26003408</v>
      </c>
      <c r="P3525" s="23" t="str">
        <f t="shared" si="167"/>
        <v>Sep</v>
      </c>
      <c r="Q3525" s="23" t="str">
        <f>IF(F3525="CAPTURE",IF(COUNTIF(orders!$A:$A,O3525)&gt;0,"Yes","NO ORDER"),"")</f>
        <v>Yes</v>
      </c>
    </row>
    <row r="3526" spans="1:17" ht="15" customHeight="1" x14ac:dyDescent="0.3">
      <c r="A3526" s="23" t="s">
        <v>16482</v>
      </c>
      <c r="B3526" s="23"/>
      <c r="C3526" s="23" t="s">
        <v>16483</v>
      </c>
      <c r="D3526" s="23" t="str">
        <f t="shared" si="165"/>
        <v>ORD26003463</v>
      </c>
      <c r="E3526" s="38">
        <v>46284</v>
      </c>
      <c r="F3526" s="23" t="s">
        <v>12410</v>
      </c>
      <c r="G3526" s="23" t="s">
        <v>75</v>
      </c>
      <c r="H3526" s="24">
        <v>7998</v>
      </c>
      <c r="I3526" s="24">
        <v>23.99</v>
      </c>
      <c r="J3526" s="24">
        <v>4.32</v>
      </c>
      <c r="K3526" s="24">
        <v>7969.69</v>
      </c>
      <c r="L3526" s="38">
        <v>46286</v>
      </c>
      <c r="M3526" s="23" t="s">
        <v>214</v>
      </c>
      <c r="N3526" s="23" t="str">
        <f>IF(COUNTIF($A$2:A3526,A3526)&gt;1,"DUP","OK")</f>
        <v>OK</v>
      </c>
      <c r="O3526" s="23" t="str">
        <f t="shared" si="166"/>
        <v>ORD26003463</v>
      </c>
      <c r="P3526" s="23" t="str">
        <f t="shared" si="167"/>
        <v>Sep</v>
      </c>
      <c r="Q3526" s="23" t="str">
        <f>IF(F3526="CAPTURE",IF(COUNTIF(orders!$A:$A,O3526)&gt;0,"Yes","NO ORDER"),"")</f>
        <v>Yes</v>
      </c>
    </row>
    <row r="3527" spans="1:17" ht="15" customHeight="1" x14ac:dyDescent="0.3">
      <c r="A3527" s="23" t="s">
        <v>16484</v>
      </c>
      <c r="B3527" s="23"/>
      <c r="C3527" s="23" t="s">
        <v>16485</v>
      </c>
      <c r="D3527" s="23" t="str">
        <f t="shared" si="165"/>
        <v>ORD26003510</v>
      </c>
      <c r="E3527" s="38">
        <v>46284</v>
      </c>
      <c r="F3527" s="23" t="s">
        <v>12410</v>
      </c>
      <c r="G3527" s="23" t="s">
        <v>79</v>
      </c>
      <c r="H3527" s="24">
        <v>1397</v>
      </c>
      <c r="I3527" s="24">
        <v>25.15</v>
      </c>
      <c r="J3527" s="24">
        <v>4.53</v>
      </c>
      <c r="K3527" s="24">
        <v>1367.32</v>
      </c>
      <c r="L3527" s="38">
        <v>46286</v>
      </c>
      <c r="M3527" s="23" t="s">
        <v>214</v>
      </c>
      <c r="N3527" s="23" t="str">
        <f>IF(COUNTIF($A$2:A3527,A3527)&gt;1,"DUP","OK")</f>
        <v>OK</v>
      </c>
      <c r="O3527" s="23" t="str">
        <f t="shared" si="166"/>
        <v>ORD26003510</v>
      </c>
      <c r="P3527" s="23" t="str">
        <f t="shared" si="167"/>
        <v>Sep</v>
      </c>
      <c r="Q3527" s="23" t="str">
        <f>IF(F3527="CAPTURE",IF(COUNTIF(orders!$A:$A,O3527)&gt;0,"Yes","NO ORDER"),"")</f>
        <v>Yes</v>
      </c>
    </row>
    <row r="3528" spans="1:17" ht="15" customHeight="1" x14ac:dyDescent="0.3">
      <c r="A3528" s="23" t="s">
        <v>16486</v>
      </c>
      <c r="B3528" s="23"/>
      <c r="C3528" s="23" t="s">
        <v>7540</v>
      </c>
      <c r="D3528" s="23" t="str">
        <f t="shared" si="165"/>
        <v>ORD26003522</v>
      </c>
      <c r="E3528" s="38">
        <v>46284</v>
      </c>
      <c r="F3528" s="23" t="s">
        <v>12410</v>
      </c>
      <c r="G3528" s="23" t="s">
        <v>77</v>
      </c>
      <c r="H3528" s="24">
        <v>299</v>
      </c>
      <c r="I3528" s="24">
        <v>5.68</v>
      </c>
      <c r="J3528" s="24">
        <v>1.02</v>
      </c>
      <c r="K3528" s="24">
        <v>292.3</v>
      </c>
      <c r="L3528" s="38">
        <v>46286</v>
      </c>
      <c r="M3528" s="23" t="s">
        <v>214</v>
      </c>
      <c r="N3528" s="23" t="str">
        <f>IF(COUNTIF($A$2:A3528,A3528)&gt;1,"DUP","OK")</f>
        <v>OK</v>
      </c>
      <c r="O3528" s="23" t="str">
        <f t="shared" si="166"/>
        <v>ORD26003522</v>
      </c>
      <c r="P3528" s="23" t="str">
        <f t="shared" si="167"/>
        <v>Sep</v>
      </c>
      <c r="Q3528" s="23" t="str">
        <f>IF(F3528="CAPTURE",IF(COUNTIF(orders!$A:$A,O3528)&gt;0,"Yes","NO ORDER"),"")</f>
        <v>Yes</v>
      </c>
    </row>
    <row r="3529" spans="1:17" ht="15" customHeight="1" x14ac:dyDescent="0.3">
      <c r="A3529" s="23" t="s">
        <v>16487</v>
      </c>
      <c r="B3529" s="23"/>
      <c r="C3529" s="23" t="s">
        <v>7570</v>
      </c>
      <c r="D3529" s="23" t="str">
        <f t="shared" si="165"/>
        <v>ORD26003537</v>
      </c>
      <c r="E3529" s="38">
        <v>46284</v>
      </c>
      <c r="F3529" s="23" t="s">
        <v>12410</v>
      </c>
      <c r="G3529" s="23" t="s">
        <v>75</v>
      </c>
      <c r="H3529" s="24">
        <v>2397</v>
      </c>
      <c r="I3529" s="24">
        <v>7.19</v>
      </c>
      <c r="J3529" s="24">
        <v>1.29</v>
      </c>
      <c r="K3529" s="24">
        <v>2388.52</v>
      </c>
      <c r="L3529" s="38">
        <v>46286</v>
      </c>
      <c r="M3529" s="23" t="s">
        <v>214</v>
      </c>
      <c r="N3529" s="23" t="str">
        <f>IF(COUNTIF($A$2:A3529,A3529)&gt;1,"DUP","OK")</f>
        <v>OK</v>
      </c>
      <c r="O3529" s="23" t="str">
        <f t="shared" si="166"/>
        <v>ORD26003537</v>
      </c>
      <c r="P3529" s="23" t="str">
        <f t="shared" si="167"/>
        <v>Sep</v>
      </c>
      <c r="Q3529" s="23" t="str">
        <f>IF(F3529="CAPTURE",IF(COUNTIF(orders!$A:$A,O3529)&gt;0,"Yes","NO ORDER"),"")</f>
        <v>Yes</v>
      </c>
    </row>
    <row r="3530" spans="1:17" ht="15" customHeight="1" x14ac:dyDescent="0.3">
      <c r="A3530" s="23" t="s">
        <v>16488</v>
      </c>
      <c r="B3530" s="23"/>
      <c r="C3530" s="23" t="s">
        <v>7582</v>
      </c>
      <c r="D3530" s="23" t="str">
        <f t="shared" si="165"/>
        <v>ORD26003543</v>
      </c>
      <c r="E3530" s="38">
        <v>46284</v>
      </c>
      <c r="F3530" s="23" t="s">
        <v>12410</v>
      </c>
      <c r="G3530" s="23" t="s">
        <v>77</v>
      </c>
      <c r="H3530" s="24">
        <v>2499</v>
      </c>
      <c r="I3530" s="24">
        <v>42.48</v>
      </c>
      <c r="J3530" s="24">
        <v>7.65</v>
      </c>
      <c r="K3530" s="24">
        <v>2448.87</v>
      </c>
      <c r="L3530" s="38">
        <v>46286</v>
      </c>
      <c r="M3530" s="23" t="s">
        <v>214</v>
      </c>
      <c r="N3530" s="23" t="str">
        <f>IF(COUNTIF($A$2:A3530,A3530)&gt;1,"DUP","OK")</f>
        <v>OK</v>
      </c>
      <c r="O3530" s="23" t="str">
        <f t="shared" si="166"/>
        <v>ORD26003543</v>
      </c>
      <c r="P3530" s="23" t="str">
        <f t="shared" si="167"/>
        <v>Sep</v>
      </c>
      <c r="Q3530" s="23" t="str">
        <f>IF(F3530="CAPTURE",IF(COUNTIF(orders!$A:$A,O3530)&gt;0,"Yes","NO ORDER"),"")</f>
        <v>Yes</v>
      </c>
    </row>
    <row r="3531" spans="1:17" ht="15" customHeight="1" x14ac:dyDescent="0.3">
      <c r="A3531" s="23" t="s">
        <v>16489</v>
      </c>
      <c r="B3531" s="23"/>
      <c r="C3531" s="23" t="s">
        <v>7607</v>
      </c>
      <c r="D3531" s="23" t="str">
        <f t="shared" si="165"/>
        <v>ORD26003556</v>
      </c>
      <c r="E3531" s="38">
        <v>46284</v>
      </c>
      <c r="F3531" s="23" t="s">
        <v>12410</v>
      </c>
      <c r="G3531" s="23" t="s">
        <v>77</v>
      </c>
      <c r="H3531" s="24">
        <v>1499</v>
      </c>
      <c r="I3531" s="24">
        <v>28.48</v>
      </c>
      <c r="J3531" s="24">
        <v>5.13</v>
      </c>
      <c r="K3531" s="24">
        <v>1465.39</v>
      </c>
      <c r="L3531" s="38">
        <v>46286</v>
      </c>
      <c r="M3531" s="23" t="s">
        <v>214</v>
      </c>
      <c r="N3531" s="23" t="str">
        <f>IF(COUNTIF($A$2:A3531,A3531)&gt;1,"DUP","OK")</f>
        <v>OK</v>
      </c>
      <c r="O3531" s="23" t="str">
        <f t="shared" si="166"/>
        <v>ORD26003556</v>
      </c>
      <c r="P3531" s="23" t="str">
        <f t="shared" si="167"/>
        <v>Sep</v>
      </c>
      <c r="Q3531" s="23" t="str">
        <f>IF(F3531="CAPTURE",IF(COUNTIF(orders!$A:$A,O3531)&gt;0,"Yes","NO ORDER"),"")</f>
        <v>Yes</v>
      </c>
    </row>
    <row r="3532" spans="1:17" ht="15" customHeight="1" x14ac:dyDescent="0.3">
      <c r="A3532" s="23" t="s">
        <v>16490</v>
      </c>
      <c r="B3532" s="23"/>
      <c r="C3532" s="23" t="s">
        <v>7662</v>
      </c>
      <c r="D3532" s="23" t="str">
        <f t="shared" si="165"/>
        <v>ORD26003583</v>
      </c>
      <c r="E3532" s="38">
        <v>46284</v>
      </c>
      <c r="F3532" s="23" t="s">
        <v>12410</v>
      </c>
      <c r="G3532" s="23" t="s">
        <v>75</v>
      </c>
      <c r="H3532" s="24">
        <v>2998</v>
      </c>
      <c r="I3532" s="24">
        <v>8.99</v>
      </c>
      <c r="J3532" s="24">
        <v>1.62</v>
      </c>
      <c r="K3532" s="24">
        <v>2987.39</v>
      </c>
      <c r="L3532" s="38">
        <v>46286</v>
      </c>
      <c r="M3532" s="23" t="s">
        <v>214</v>
      </c>
      <c r="N3532" s="23" t="str">
        <f>IF(COUNTIF($A$2:A3532,A3532)&gt;1,"DUP","OK")</f>
        <v>OK</v>
      </c>
      <c r="O3532" s="23" t="str">
        <f t="shared" si="166"/>
        <v>ORD26003583</v>
      </c>
      <c r="P3532" s="23" t="str">
        <f t="shared" si="167"/>
        <v>Sep</v>
      </c>
      <c r="Q3532" s="23" t="str">
        <f>IF(F3532="CAPTURE",IF(COUNTIF(orders!$A:$A,O3532)&gt;0,"Yes","NO ORDER"),"")</f>
        <v>Yes</v>
      </c>
    </row>
    <row r="3533" spans="1:17" ht="15" customHeight="1" x14ac:dyDescent="0.3">
      <c r="A3533" s="23" t="s">
        <v>16491</v>
      </c>
      <c r="B3533" s="23"/>
      <c r="C3533" s="23" t="s">
        <v>7718</v>
      </c>
      <c r="D3533" s="23" t="str">
        <f t="shared" si="165"/>
        <v>ORD26003612</v>
      </c>
      <c r="E3533" s="38">
        <v>46284</v>
      </c>
      <c r="F3533" s="23" t="s">
        <v>12410</v>
      </c>
      <c r="G3533" s="23" t="s">
        <v>75</v>
      </c>
      <c r="H3533" s="24">
        <v>799</v>
      </c>
      <c r="I3533" s="24">
        <v>0</v>
      </c>
      <c r="J3533" s="24">
        <v>0</v>
      </c>
      <c r="K3533" s="24">
        <v>799</v>
      </c>
      <c r="L3533" s="38">
        <v>46286</v>
      </c>
      <c r="M3533" s="23" t="s">
        <v>214</v>
      </c>
      <c r="N3533" s="23" t="str">
        <f>IF(COUNTIF($A$2:A3533,A3533)&gt;1,"DUP","OK")</f>
        <v>OK</v>
      </c>
      <c r="O3533" s="23" t="str">
        <f t="shared" si="166"/>
        <v>ORD26003612</v>
      </c>
      <c r="P3533" s="23" t="str">
        <f t="shared" si="167"/>
        <v>Sep</v>
      </c>
      <c r="Q3533" s="23" t="str">
        <f>IF(F3533="CAPTURE",IF(COUNTIF(orders!$A:$A,O3533)&gt;0,"Yes","NO ORDER"),"")</f>
        <v>Yes</v>
      </c>
    </row>
    <row r="3534" spans="1:17" ht="15" customHeight="1" x14ac:dyDescent="0.3">
      <c r="A3534" s="23" t="s">
        <v>16492</v>
      </c>
      <c r="B3534" s="23"/>
      <c r="C3534" s="23" t="s">
        <v>16493</v>
      </c>
      <c r="D3534" s="23" t="str">
        <f t="shared" si="165"/>
        <v>ORD26003677</v>
      </c>
      <c r="E3534" s="38">
        <v>46284</v>
      </c>
      <c r="F3534" s="23" t="s">
        <v>12410</v>
      </c>
      <c r="G3534" s="23" t="s">
        <v>75</v>
      </c>
      <c r="H3534" s="24">
        <v>798</v>
      </c>
      <c r="I3534" s="24">
        <v>0</v>
      </c>
      <c r="J3534" s="24">
        <v>0</v>
      </c>
      <c r="K3534" s="24">
        <v>798</v>
      </c>
      <c r="L3534" s="38">
        <v>46286</v>
      </c>
      <c r="M3534" s="23" t="s">
        <v>214</v>
      </c>
      <c r="N3534" s="23" t="str">
        <f>IF(COUNTIF($A$2:A3534,A3534)&gt;1,"DUP","OK")</f>
        <v>OK</v>
      </c>
      <c r="O3534" s="23" t="str">
        <f t="shared" si="166"/>
        <v>ORD26003677</v>
      </c>
      <c r="P3534" s="23" t="str">
        <f t="shared" si="167"/>
        <v>Sep</v>
      </c>
      <c r="Q3534" s="23" t="str">
        <f>IF(F3534="CAPTURE",IF(COUNTIF(orders!$A:$A,O3534)&gt;0,"Yes","NO ORDER"),"")</f>
        <v>Yes</v>
      </c>
    </row>
    <row r="3535" spans="1:17" ht="15" customHeight="1" x14ac:dyDescent="0.3">
      <c r="A3535" s="23" t="s">
        <v>16494</v>
      </c>
      <c r="B3535" s="23"/>
      <c r="C3535" s="23" t="s">
        <v>8012</v>
      </c>
      <c r="D3535" s="23" t="str">
        <f t="shared" si="165"/>
        <v>ORD26003762</v>
      </c>
      <c r="E3535" s="38">
        <v>46284</v>
      </c>
      <c r="F3535" s="23" t="s">
        <v>12410</v>
      </c>
      <c r="G3535" s="23" t="s">
        <v>75</v>
      </c>
      <c r="H3535" s="24">
        <v>799</v>
      </c>
      <c r="I3535" s="24">
        <v>0</v>
      </c>
      <c r="J3535" s="24">
        <v>0</v>
      </c>
      <c r="K3535" s="24">
        <v>799</v>
      </c>
      <c r="L3535" s="38">
        <v>46286</v>
      </c>
      <c r="M3535" s="23" t="s">
        <v>214</v>
      </c>
      <c r="N3535" s="23" t="str">
        <f>IF(COUNTIF($A$2:A3535,A3535)&gt;1,"DUP","OK")</f>
        <v>OK</v>
      </c>
      <c r="O3535" s="23" t="str">
        <f t="shared" si="166"/>
        <v>ORD26003762</v>
      </c>
      <c r="P3535" s="23" t="str">
        <f t="shared" si="167"/>
        <v>Sep</v>
      </c>
      <c r="Q3535" s="23" t="str">
        <f>IF(F3535="CAPTURE",IF(COUNTIF(orders!$A:$A,O3535)&gt;0,"Yes","NO ORDER"),"")</f>
        <v>Yes</v>
      </c>
    </row>
    <row r="3536" spans="1:17" ht="15" customHeight="1" x14ac:dyDescent="0.3">
      <c r="A3536" s="23" t="s">
        <v>16495</v>
      </c>
      <c r="B3536" s="23"/>
      <c r="C3536" s="23" t="s">
        <v>8020</v>
      </c>
      <c r="D3536" s="23" t="str">
        <f t="shared" si="165"/>
        <v>ORD26003766</v>
      </c>
      <c r="E3536" s="38">
        <v>46284</v>
      </c>
      <c r="F3536" s="23" t="s">
        <v>12410</v>
      </c>
      <c r="G3536" s="23" t="s">
        <v>77</v>
      </c>
      <c r="H3536" s="24">
        <v>1299</v>
      </c>
      <c r="I3536" s="24">
        <v>24.68</v>
      </c>
      <c r="J3536" s="24">
        <v>4.4400000000000004</v>
      </c>
      <c r="K3536" s="24">
        <v>1269.8800000000001</v>
      </c>
      <c r="L3536" s="38">
        <v>46286</v>
      </c>
      <c r="M3536" s="23" t="s">
        <v>214</v>
      </c>
      <c r="N3536" s="23" t="str">
        <f>IF(COUNTIF($A$2:A3536,A3536)&gt;1,"DUP","OK")</f>
        <v>OK</v>
      </c>
      <c r="O3536" s="23" t="str">
        <f t="shared" si="166"/>
        <v>ORD26003766</v>
      </c>
      <c r="P3536" s="23" t="str">
        <f t="shared" si="167"/>
        <v>Sep</v>
      </c>
      <c r="Q3536" s="23" t="str">
        <f>IF(F3536="CAPTURE",IF(COUNTIF(orders!$A:$A,O3536)&gt;0,"Yes","NO ORDER"),"")</f>
        <v>Yes</v>
      </c>
    </row>
    <row r="3537" spans="1:17" ht="15" customHeight="1" x14ac:dyDescent="0.3">
      <c r="A3537" s="23" t="s">
        <v>16496</v>
      </c>
      <c r="B3537" s="23"/>
      <c r="C3537" s="23" t="s">
        <v>8048</v>
      </c>
      <c r="D3537" s="23" t="str">
        <f t="shared" si="165"/>
        <v>ORD26003780</v>
      </c>
      <c r="E3537" s="38">
        <v>46284</v>
      </c>
      <c r="F3537" s="23" t="s">
        <v>12410</v>
      </c>
      <c r="G3537" s="23" t="s">
        <v>79</v>
      </c>
      <c r="H3537" s="24">
        <v>2998</v>
      </c>
      <c r="I3537" s="24">
        <v>47.97</v>
      </c>
      <c r="J3537" s="24">
        <v>8.6300000000000008</v>
      </c>
      <c r="K3537" s="24">
        <v>2941.4</v>
      </c>
      <c r="L3537" s="38">
        <v>46286</v>
      </c>
      <c r="M3537" s="23" t="s">
        <v>214</v>
      </c>
      <c r="N3537" s="23" t="str">
        <f>IF(COUNTIF($A$2:A3537,A3537)&gt;1,"DUP","OK")</f>
        <v>OK</v>
      </c>
      <c r="O3537" s="23" t="str">
        <f t="shared" si="166"/>
        <v>ORD26003780</v>
      </c>
      <c r="P3537" s="23" t="str">
        <f t="shared" si="167"/>
        <v>Sep</v>
      </c>
      <c r="Q3537" s="23" t="str">
        <f>IF(F3537="CAPTURE",IF(COUNTIF(orders!$A:$A,O3537)&gt;0,"Yes","NO ORDER"),"")</f>
        <v>Yes</v>
      </c>
    </row>
    <row r="3538" spans="1:17" ht="15" customHeight="1" x14ac:dyDescent="0.3">
      <c r="A3538" s="23" t="s">
        <v>16497</v>
      </c>
      <c r="B3538" s="23"/>
      <c r="C3538" s="23" t="s">
        <v>16498</v>
      </c>
      <c r="D3538" s="23" t="str">
        <f t="shared" si="165"/>
        <v>ORD26003783</v>
      </c>
      <c r="E3538" s="38">
        <v>46284</v>
      </c>
      <c r="F3538" s="23" t="s">
        <v>12410</v>
      </c>
      <c r="G3538" s="23" t="s">
        <v>79</v>
      </c>
      <c r="H3538" s="24">
        <v>349</v>
      </c>
      <c r="I3538" s="24">
        <v>6.28</v>
      </c>
      <c r="J3538" s="24">
        <v>1.1299999999999999</v>
      </c>
      <c r="K3538" s="24">
        <v>341.59</v>
      </c>
      <c r="L3538" s="38">
        <v>46286</v>
      </c>
      <c r="M3538" s="23" t="s">
        <v>214</v>
      </c>
      <c r="N3538" s="23" t="str">
        <f>IF(COUNTIF($A$2:A3538,A3538)&gt;1,"DUP","OK")</f>
        <v>OK</v>
      </c>
      <c r="O3538" s="23" t="str">
        <f t="shared" si="166"/>
        <v>ORD26003783</v>
      </c>
      <c r="P3538" s="23" t="str">
        <f t="shared" si="167"/>
        <v>Sep</v>
      </c>
      <c r="Q3538" s="23" t="str">
        <f>IF(F3538="CAPTURE",IF(COUNTIF(orders!$A:$A,O3538)&gt;0,"Yes","NO ORDER"),"")</f>
        <v>Yes</v>
      </c>
    </row>
    <row r="3539" spans="1:17" ht="15" customHeight="1" x14ac:dyDescent="0.3">
      <c r="A3539" s="23" t="s">
        <v>16499</v>
      </c>
      <c r="B3539" s="23"/>
      <c r="C3539" s="23" t="s">
        <v>8088</v>
      </c>
      <c r="D3539" s="23" t="str">
        <f t="shared" si="165"/>
        <v>ORD26003800</v>
      </c>
      <c r="E3539" s="38">
        <v>46284</v>
      </c>
      <c r="F3539" s="23" t="s">
        <v>12410</v>
      </c>
      <c r="G3539" s="23" t="s">
        <v>75</v>
      </c>
      <c r="H3539" s="24">
        <v>1299</v>
      </c>
      <c r="I3539" s="24">
        <v>0</v>
      </c>
      <c r="J3539" s="24">
        <v>0</v>
      </c>
      <c r="K3539" s="24">
        <v>1299</v>
      </c>
      <c r="L3539" s="38">
        <v>46286</v>
      </c>
      <c r="M3539" s="23" t="s">
        <v>214</v>
      </c>
      <c r="N3539" s="23" t="str">
        <f>IF(COUNTIF($A$2:A3539,A3539)&gt;1,"DUP","OK")</f>
        <v>OK</v>
      </c>
      <c r="O3539" s="23" t="str">
        <f t="shared" si="166"/>
        <v>ORD26003800</v>
      </c>
      <c r="P3539" s="23" t="str">
        <f t="shared" si="167"/>
        <v>Sep</v>
      </c>
      <c r="Q3539" s="23" t="str">
        <f>IF(F3539="CAPTURE",IF(COUNTIF(orders!$A:$A,O3539)&gt;0,"Yes","NO ORDER"),"")</f>
        <v>Yes</v>
      </c>
    </row>
    <row r="3540" spans="1:17" ht="15" customHeight="1" x14ac:dyDescent="0.3">
      <c r="A3540" s="23" t="s">
        <v>16500</v>
      </c>
      <c r="B3540" s="23"/>
      <c r="C3540" s="23" t="s">
        <v>8108</v>
      </c>
      <c r="D3540" s="23" t="str">
        <f t="shared" si="165"/>
        <v>ORD26003810</v>
      </c>
      <c r="E3540" s="38">
        <v>46284</v>
      </c>
      <c r="F3540" s="23" t="s">
        <v>12410</v>
      </c>
      <c r="G3540" s="23" t="s">
        <v>77</v>
      </c>
      <c r="H3540" s="24">
        <v>3097</v>
      </c>
      <c r="I3540" s="24">
        <v>52.65</v>
      </c>
      <c r="J3540" s="24">
        <v>9.48</v>
      </c>
      <c r="K3540" s="24">
        <v>3034.87</v>
      </c>
      <c r="L3540" s="38">
        <v>46286</v>
      </c>
      <c r="M3540" s="23" t="s">
        <v>214</v>
      </c>
      <c r="N3540" s="23" t="str">
        <f>IF(COUNTIF($A$2:A3540,A3540)&gt;1,"DUP","OK")</f>
        <v>OK</v>
      </c>
      <c r="O3540" s="23" t="str">
        <f t="shared" si="166"/>
        <v>ORD26003810</v>
      </c>
      <c r="P3540" s="23" t="str">
        <f t="shared" si="167"/>
        <v>Sep</v>
      </c>
      <c r="Q3540" s="23" t="str">
        <f>IF(F3540="CAPTURE",IF(COUNTIF(orders!$A:$A,O3540)&gt;0,"Yes","NO ORDER"),"")</f>
        <v>Yes</v>
      </c>
    </row>
    <row r="3541" spans="1:17" ht="15" customHeight="1" x14ac:dyDescent="0.3">
      <c r="A3541" s="23" t="s">
        <v>16501</v>
      </c>
      <c r="B3541" s="23"/>
      <c r="C3541" s="23" t="s">
        <v>16502</v>
      </c>
      <c r="D3541" s="23" t="str">
        <f t="shared" si="165"/>
        <v>ORD26003843</v>
      </c>
      <c r="E3541" s="38">
        <v>46284</v>
      </c>
      <c r="F3541" s="23" t="s">
        <v>12410</v>
      </c>
      <c r="G3541" s="23" t="s">
        <v>75</v>
      </c>
      <c r="H3541" s="24">
        <v>1098</v>
      </c>
      <c r="I3541" s="24">
        <v>0</v>
      </c>
      <c r="J3541" s="24">
        <v>0</v>
      </c>
      <c r="K3541" s="24">
        <v>1098</v>
      </c>
      <c r="L3541" s="38">
        <v>46286</v>
      </c>
      <c r="M3541" s="23" t="s">
        <v>214</v>
      </c>
      <c r="N3541" s="23" t="str">
        <f>IF(COUNTIF($A$2:A3541,A3541)&gt;1,"DUP","OK")</f>
        <v>OK</v>
      </c>
      <c r="O3541" s="23" t="str">
        <f t="shared" si="166"/>
        <v>ORD26003843</v>
      </c>
      <c r="P3541" s="23" t="str">
        <f t="shared" si="167"/>
        <v>Sep</v>
      </c>
      <c r="Q3541" s="23" t="str">
        <f>IF(F3541="CAPTURE",IF(COUNTIF(orders!$A:$A,O3541)&gt;0,"Yes","NO ORDER"),"")</f>
        <v>Yes</v>
      </c>
    </row>
    <row r="3542" spans="1:17" ht="15" customHeight="1" x14ac:dyDescent="0.3">
      <c r="A3542" s="23" t="s">
        <v>16503</v>
      </c>
      <c r="B3542" s="23"/>
      <c r="C3542" s="23" t="s">
        <v>8184</v>
      </c>
      <c r="D3542" s="23" t="str">
        <f t="shared" si="165"/>
        <v>ORD26003848</v>
      </c>
      <c r="E3542" s="38">
        <v>46284</v>
      </c>
      <c r="F3542" s="23" t="s">
        <v>12410</v>
      </c>
      <c r="G3542" s="23" t="s">
        <v>77</v>
      </c>
      <c r="H3542" s="24">
        <v>1298</v>
      </c>
      <c r="I3542" s="24">
        <v>24.66</v>
      </c>
      <c r="J3542" s="24">
        <v>4.4400000000000004</v>
      </c>
      <c r="K3542" s="24">
        <v>1268.9000000000001</v>
      </c>
      <c r="L3542" s="38">
        <v>46286</v>
      </c>
      <c r="M3542" s="23" t="s">
        <v>214</v>
      </c>
      <c r="N3542" s="23" t="str">
        <f>IF(COUNTIF($A$2:A3542,A3542)&gt;1,"DUP","OK")</f>
        <v>OK</v>
      </c>
      <c r="O3542" s="23" t="str">
        <f t="shared" si="166"/>
        <v>ORD26003848</v>
      </c>
      <c r="P3542" s="23" t="str">
        <f t="shared" si="167"/>
        <v>Sep</v>
      </c>
      <c r="Q3542" s="23" t="str">
        <f>IF(F3542="CAPTURE",IF(COUNTIF(orders!$A:$A,O3542)&gt;0,"Yes","NO ORDER"),"")</f>
        <v>Yes</v>
      </c>
    </row>
    <row r="3543" spans="1:17" ht="15" customHeight="1" x14ac:dyDescent="0.3">
      <c r="A3543" s="23" t="s">
        <v>16504</v>
      </c>
      <c r="B3543" s="23"/>
      <c r="C3543" s="23" t="s">
        <v>8203</v>
      </c>
      <c r="D3543" s="23" t="str">
        <f t="shared" si="165"/>
        <v>ORD26003858</v>
      </c>
      <c r="E3543" s="38">
        <v>46284</v>
      </c>
      <c r="F3543" s="23" t="s">
        <v>12410</v>
      </c>
      <c r="G3543" s="23" t="s">
        <v>79</v>
      </c>
      <c r="H3543" s="24">
        <v>1798</v>
      </c>
      <c r="I3543" s="24">
        <v>32.36</v>
      </c>
      <c r="J3543" s="24">
        <v>5.82</v>
      </c>
      <c r="K3543" s="24">
        <v>1759.82</v>
      </c>
      <c r="L3543" s="38">
        <v>46286</v>
      </c>
      <c r="M3543" s="23" t="s">
        <v>214</v>
      </c>
      <c r="N3543" s="23" t="str">
        <f>IF(COUNTIF($A$2:A3543,A3543)&gt;1,"DUP","OK")</f>
        <v>OK</v>
      </c>
      <c r="O3543" s="23" t="str">
        <f t="shared" si="166"/>
        <v>ORD26003858</v>
      </c>
      <c r="P3543" s="23" t="str">
        <f t="shared" si="167"/>
        <v>Sep</v>
      </c>
      <c r="Q3543" s="23" t="str">
        <f>IF(F3543="CAPTURE",IF(COUNTIF(orders!$A:$A,O3543)&gt;0,"Yes","NO ORDER"),"")</f>
        <v>Yes</v>
      </c>
    </row>
    <row r="3544" spans="1:17" ht="15" customHeight="1" x14ac:dyDescent="0.3">
      <c r="A3544" s="23" t="s">
        <v>16505</v>
      </c>
      <c r="B3544" s="23"/>
      <c r="C3544" s="23" t="s">
        <v>8245</v>
      </c>
      <c r="D3544" s="23" t="str">
        <f t="shared" si="165"/>
        <v>ORD26003879</v>
      </c>
      <c r="E3544" s="38">
        <v>46284</v>
      </c>
      <c r="F3544" s="23" t="s">
        <v>12410</v>
      </c>
      <c r="G3544" s="23" t="s">
        <v>75</v>
      </c>
      <c r="H3544" s="24">
        <v>10997</v>
      </c>
      <c r="I3544" s="24">
        <v>32.99</v>
      </c>
      <c r="J3544" s="24">
        <v>5.94</v>
      </c>
      <c r="K3544" s="24">
        <v>10958.07</v>
      </c>
      <c r="L3544" s="38">
        <v>46286</v>
      </c>
      <c r="M3544" s="23" t="s">
        <v>214</v>
      </c>
      <c r="N3544" s="23" t="str">
        <f>IF(COUNTIF($A$2:A3544,A3544)&gt;1,"DUP","OK")</f>
        <v>OK</v>
      </c>
      <c r="O3544" s="23" t="str">
        <f t="shared" si="166"/>
        <v>ORD26003879</v>
      </c>
      <c r="P3544" s="23" t="str">
        <f t="shared" si="167"/>
        <v>Sep</v>
      </c>
      <c r="Q3544" s="23" t="str">
        <f>IF(F3544="CAPTURE",IF(COUNTIF(orders!$A:$A,O3544)&gt;0,"Yes","NO ORDER"),"")</f>
        <v>Yes</v>
      </c>
    </row>
    <row r="3545" spans="1:17" ht="15" customHeight="1" x14ac:dyDescent="0.3">
      <c r="A3545" s="23" t="s">
        <v>16506</v>
      </c>
      <c r="B3545" s="23"/>
      <c r="C3545" s="23" t="s">
        <v>16507</v>
      </c>
      <c r="D3545" s="23" t="str">
        <f t="shared" si="165"/>
        <v>ORD26003957</v>
      </c>
      <c r="E3545" s="38">
        <v>46284</v>
      </c>
      <c r="F3545" s="23" t="s">
        <v>12410</v>
      </c>
      <c r="G3545" s="23" t="s">
        <v>75</v>
      </c>
      <c r="H3545" s="24">
        <v>1799</v>
      </c>
      <c r="I3545" s="24">
        <v>0</v>
      </c>
      <c r="J3545" s="24">
        <v>0</v>
      </c>
      <c r="K3545" s="24">
        <v>1799</v>
      </c>
      <c r="L3545" s="38">
        <v>46286</v>
      </c>
      <c r="M3545" s="23" t="s">
        <v>214</v>
      </c>
      <c r="N3545" s="23" t="str">
        <f>IF(COUNTIF($A$2:A3545,A3545)&gt;1,"DUP","OK")</f>
        <v>OK</v>
      </c>
      <c r="O3545" s="23" t="str">
        <f t="shared" si="166"/>
        <v>ORD26003957</v>
      </c>
      <c r="P3545" s="23" t="str">
        <f t="shared" si="167"/>
        <v>Sep</v>
      </c>
      <c r="Q3545" s="23" t="str">
        <f>IF(F3545="CAPTURE",IF(COUNTIF(orders!$A:$A,O3545)&gt;0,"Yes","NO ORDER"),"")</f>
        <v>Yes</v>
      </c>
    </row>
    <row r="3546" spans="1:17" ht="15" customHeight="1" x14ac:dyDescent="0.3">
      <c r="A3546" s="23" t="s">
        <v>16508</v>
      </c>
      <c r="B3546" s="23"/>
      <c r="C3546" s="23" t="s">
        <v>8404</v>
      </c>
      <c r="D3546" s="23" t="str">
        <f t="shared" si="165"/>
        <v>ORD26003959</v>
      </c>
      <c r="E3546" s="38">
        <v>46284</v>
      </c>
      <c r="F3546" s="23" t="s">
        <v>12410</v>
      </c>
      <c r="G3546" s="23" t="s">
        <v>79</v>
      </c>
      <c r="H3546" s="24">
        <v>5597</v>
      </c>
      <c r="I3546" s="24">
        <v>89.55</v>
      </c>
      <c r="J3546" s="24">
        <v>16.12</v>
      </c>
      <c r="K3546" s="24">
        <v>5491.33</v>
      </c>
      <c r="L3546" s="38">
        <v>46286</v>
      </c>
      <c r="M3546" s="23" t="s">
        <v>214</v>
      </c>
      <c r="N3546" s="23" t="str">
        <f>IF(COUNTIF($A$2:A3546,A3546)&gt;1,"DUP","OK")</f>
        <v>OK</v>
      </c>
      <c r="O3546" s="23" t="str">
        <f t="shared" si="166"/>
        <v>ORD26003959</v>
      </c>
      <c r="P3546" s="23" t="str">
        <f t="shared" si="167"/>
        <v>Sep</v>
      </c>
      <c r="Q3546" s="23" t="str">
        <f>IF(F3546="CAPTURE",IF(COUNTIF(orders!$A:$A,O3546)&gt;0,"Yes","NO ORDER"),"")</f>
        <v>Yes</v>
      </c>
    </row>
    <row r="3547" spans="1:17" ht="15" customHeight="1" x14ac:dyDescent="0.3">
      <c r="A3547" s="23" t="s">
        <v>16509</v>
      </c>
      <c r="B3547" s="23"/>
      <c r="C3547" s="23" t="s">
        <v>8488</v>
      </c>
      <c r="D3547" s="23" t="str">
        <f t="shared" si="165"/>
        <v>ORD26004001</v>
      </c>
      <c r="E3547" s="38">
        <v>46284</v>
      </c>
      <c r="F3547" s="23" t="s">
        <v>12410</v>
      </c>
      <c r="G3547" s="23" t="s">
        <v>75</v>
      </c>
      <c r="H3547" s="24">
        <v>5998</v>
      </c>
      <c r="I3547" s="24">
        <v>17.989999999999998</v>
      </c>
      <c r="J3547" s="24">
        <v>3.24</v>
      </c>
      <c r="K3547" s="24">
        <v>5976.77</v>
      </c>
      <c r="L3547" s="38">
        <v>46286</v>
      </c>
      <c r="M3547" s="23" t="s">
        <v>214</v>
      </c>
      <c r="N3547" s="23" t="str">
        <f>IF(COUNTIF($A$2:A3547,A3547)&gt;1,"DUP","OK")</f>
        <v>OK</v>
      </c>
      <c r="O3547" s="23" t="str">
        <f t="shared" si="166"/>
        <v>ORD26004001</v>
      </c>
      <c r="P3547" s="23" t="str">
        <f t="shared" si="167"/>
        <v>Sep</v>
      </c>
      <c r="Q3547" s="23" t="str">
        <f>IF(F3547="CAPTURE",IF(COUNTIF(orders!$A:$A,O3547)&gt;0,"Yes","NO ORDER"),"")</f>
        <v>Yes</v>
      </c>
    </row>
    <row r="3548" spans="1:17" ht="15" customHeight="1" x14ac:dyDescent="0.3">
      <c r="A3548" s="23" t="s">
        <v>16510</v>
      </c>
      <c r="B3548" s="23"/>
      <c r="C3548" s="23" t="s">
        <v>8513</v>
      </c>
      <c r="D3548" s="23" t="str">
        <f t="shared" si="165"/>
        <v>ORD26004014</v>
      </c>
      <c r="E3548" s="38">
        <v>46284</v>
      </c>
      <c r="F3548" s="23" t="s">
        <v>12410</v>
      </c>
      <c r="G3548" s="23" t="s">
        <v>75</v>
      </c>
      <c r="H3548" s="24">
        <v>499</v>
      </c>
      <c r="I3548" s="24">
        <v>0</v>
      </c>
      <c r="J3548" s="24">
        <v>0</v>
      </c>
      <c r="K3548" s="24">
        <v>499</v>
      </c>
      <c r="L3548" s="38">
        <v>46286</v>
      </c>
      <c r="M3548" s="23" t="s">
        <v>214</v>
      </c>
      <c r="N3548" s="23" t="str">
        <f>IF(COUNTIF($A$2:A3548,A3548)&gt;1,"DUP","OK")</f>
        <v>OK</v>
      </c>
      <c r="O3548" s="23" t="str">
        <f t="shared" si="166"/>
        <v>ORD26004014</v>
      </c>
      <c r="P3548" s="23" t="str">
        <f t="shared" si="167"/>
        <v>Sep</v>
      </c>
      <c r="Q3548" s="23" t="str">
        <f>IF(F3548="CAPTURE",IF(COUNTIF(orders!$A:$A,O3548)&gt;0,"Yes","NO ORDER"),"")</f>
        <v>Yes</v>
      </c>
    </row>
    <row r="3549" spans="1:17" ht="15" customHeight="1" x14ac:dyDescent="0.3">
      <c r="A3549" s="23" t="s">
        <v>16511</v>
      </c>
      <c r="B3549" s="23"/>
      <c r="C3549" s="23" t="s">
        <v>8572</v>
      </c>
      <c r="D3549" s="23" t="str">
        <f t="shared" si="165"/>
        <v>ORD26004044</v>
      </c>
      <c r="E3549" s="38">
        <v>46284</v>
      </c>
      <c r="F3549" s="23" t="s">
        <v>12410</v>
      </c>
      <c r="G3549" s="23" t="s">
        <v>81</v>
      </c>
      <c r="H3549" s="24">
        <v>999</v>
      </c>
      <c r="I3549" s="24">
        <v>14.99</v>
      </c>
      <c r="J3549" s="24">
        <v>2.7</v>
      </c>
      <c r="K3549" s="24">
        <v>981.31</v>
      </c>
      <c r="L3549" s="38">
        <v>46286</v>
      </c>
      <c r="M3549" s="23" t="s">
        <v>214</v>
      </c>
      <c r="N3549" s="23" t="str">
        <f>IF(COUNTIF($A$2:A3549,A3549)&gt;1,"DUP","OK")</f>
        <v>OK</v>
      </c>
      <c r="O3549" s="23" t="str">
        <f t="shared" si="166"/>
        <v>ORD26004044</v>
      </c>
      <c r="P3549" s="23" t="str">
        <f t="shared" si="167"/>
        <v>Sep</v>
      </c>
      <c r="Q3549" s="23" t="str">
        <f>IF(F3549="CAPTURE",IF(COUNTIF(orders!$A:$A,O3549)&gt;0,"Yes","NO ORDER"),"")</f>
        <v>Yes</v>
      </c>
    </row>
    <row r="3550" spans="1:17" ht="15" customHeight="1" x14ac:dyDescent="0.3">
      <c r="A3550" s="23" t="s">
        <v>16512</v>
      </c>
      <c r="B3550" s="23"/>
      <c r="C3550" s="23" t="s">
        <v>8639</v>
      </c>
      <c r="D3550" s="23" t="str">
        <f t="shared" si="165"/>
        <v>ORD26004078</v>
      </c>
      <c r="E3550" s="38">
        <v>46284</v>
      </c>
      <c r="F3550" s="23" t="s">
        <v>12410</v>
      </c>
      <c r="G3550" s="23" t="s">
        <v>75</v>
      </c>
      <c r="H3550" s="24">
        <v>9097</v>
      </c>
      <c r="I3550" s="24">
        <v>27.29</v>
      </c>
      <c r="J3550" s="24">
        <v>4.91</v>
      </c>
      <c r="K3550" s="24">
        <v>9064.7999999999993</v>
      </c>
      <c r="L3550" s="38">
        <v>46286</v>
      </c>
      <c r="M3550" s="23" t="s">
        <v>214</v>
      </c>
      <c r="N3550" s="23" t="str">
        <f>IF(COUNTIF($A$2:A3550,A3550)&gt;1,"DUP","OK")</f>
        <v>OK</v>
      </c>
      <c r="O3550" s="23" t="str">
        <f t="shared" si="166"/>
        <v>ORD26004078</v>
      </c>
      <c r="P3550" s="23" t="str">
        <f t="shared" si="167"/>
        <v>Sep</v>
      </c>
      <c r="Q3550" s="23" t="str">
        <f>IF(F3550="CAPTURE",IF(COUNTIF(orders!$A:$A,O3550)&gt;0,"Yes","NO ORDER"),"")</f>
        <v>Yes</v>
      </c>
    </row>
    <row r="3551" spans="1:17" ht="15" customHeight="1" x14ac:dyDescent="0.3">
      <c r="A3551" s="23" t="s">
        <v>16513</v>
      </c>
      <c r="B3551" s="23"/>
      <c r="C3551" s="23" t="s">
        <v>8711</v>
      </c>
      <c r="D3551" s="23" t="str">
        <f t="shared" si="165"/>
        <v>ORD26004115</v>
      </c>
      <c r="E3551" s="38">
        <v>46284</v>
      </c>
      <c r="F3551" s="23" t="s">
        <v>12410</v>
      </c>
      <c r="G3551" s="23" t="s">
        <v>75</v>
      </c>
      <c r="H3551" s="24">
        <v>11997</v>
      </c>
      <c r="I3551" s="24">
        <v>35.99</v>
      </c>
      <c r="J3551" s="24">
        <v>6.48</v>
      </c>
      <c r="K3551" s="24">
        <v>11954.53</v>
      </c>
      <c r="L3551" s="38">
        <v>46286</v>
      </c>
      <c r="M3551" s="23" t="s">
        <v>214</v>
      </c>
      <c r="N3551" s="23" t="str">
        <f>IF(COUNTIF($A$2:A3551,A3551)&gt;1,"DUP","OK")</f>
        <v>OK</v>
      </c>
      <c r="O3551" s="23" t="str">
        <f t="shared" si="166"/>
        <v>ORD26004115</v>
      </c>
      <c r="P3551" s="23" t="str">
        <f t="shared" si="167"/>
        <v>Sep</v>
      </c>
      <c r="Q3551" s="23" t="str">
        <f>IF(F3551="CAPTURE",IF(COUNTIF(orders!$A:$A,O3551)&gt;0,"Yes","NO ORDER"),"")</f>
        <v>Yes</v>
      </c>
    </row>
    <row r="3552" spans="1:17" ht="15" customHeight="1" x14ac:dyDescent="0.3">
      <c r="A3552" s="23" t="s">
        <v>16514</v>
      </c>
      <c r="B3552" s="23"/>
      <c r="C3552" s="23" t="s">
        <v>8771</v>
      </c>
      <c r="D3552" s="23" t="str">
        <f t="shared" si="165"/>
        <v>ORD26004146</v>
      </c>
      <c r="E3552" s="38">
        <v>46284</v>
      </c>
      <c r="F3552" s="23" t="s">
        <v>12410</v>
      </c>
      <c r="G3552" s="23" t="s">
        <v>79</v>
      </c>
      <c r="H3552" s="24">
        <v>3147</v>
      </c>
      <c r="I3552" s="24">
        <v>50.35</v>
      </c>
      <c r="J3552" s="24">
        <v>9.06</v>
      </c>
      <c r="K3552" s="24">
        <v>3087.59</v>
      </c>
      <c r="L3552" s="38">
        <v>46286</v>
      </c>
      <c r="M3552" s="23" t="s">
        <v>214</v>
      </c>
      <c r="N3552" s="23" t="str">
        <f>IF(COUNTIF($A$2:A3552,A3552)&gt;1,"DUP","OK")</f>
        <v>OK</v>
      </c>
      <c r="O3552" s="23" t="str">
        <f t="shared" si="166"/>
        <v>ORD26004146</v>
      </c>
      <c r="P3552" s="23" t="str">
        <f t="shared" si="167"/>
        <v>Sep</v>
      </c>
      <c r="Q3552" s="23" t="str">
        <f>IF(F3552="CAPTURE",IF(COUNTIF(orders!$A:$A,O3552)&gt;0,"Yes","NO ORDER"),"")</f>
        <v>Yes</v>
      </c>
    </row>
    <row r="3553" spans="1:17" ht="15" customHeight="1" x14ac:dyDescent="0.3">
      <c r="A3553" s="23" t="s">
        <v>16515</v>
      </c>
      <c r="B3553" s="23"/>
      <c r="C3553" s="23" t="s">
        <v>8817</v>
      </c>
      <c r="D3553" s="23" t="str">
        <f t="shared" si="165"/>
        <v>ORD26004171</v>
      </c>
      <c r="E3553" s="38">
        <v>46284</v>
      </c>
      <c r="F3553" s="23" t="s">
        <v>12410</v>
      </c>
      <c r="G3553" s="23" t="s">
        <v>75</v>
      </c>
      <c r="H3553" s="24">
        <v>349</v>
      </c>
      <c r="I3553" s="24">
        <v>0</v>
      </c>
      <c r="J3553" s="24">
        <v>0</v>
      </c>
      <c r="K3553" s="24">
        <v>349</v>
      </c>
      <c r="L3553" s="38">
        <v>46286</v>
      </c>
      <c r="M3553" s="23" t="s">
        <v>214</v>
      </c>
      <c r="N3553" s="23" t="str">
        <f>IF(COUNTIF($A$2:A3553,A3553)&gt;1,"DUP","OK")</f>
        <v>OK</v>
      </c>
      <c r="O3553" s="23" t="str">
        <f t="shared" si="166"/>
        <v>ORD26004171</v>
      </c>
      <c r="P3553" s="23" t="str">
        <f t="shared" si="167"/>
        <v>Sep</v>
      </c>
      <c r="Q3553" s="23" t="str">
        <f>IF(F3553="CAPTURE",IF(COUNTIF(orders!$A:$A,O3553)&gt;0,"Yes","NO ORDER"),"")</f>
        <v>Yes</v>
      </c>
    </row>
    <row r="3554" spans="1:17" ht="15" customHeight="1" x14ac:dyDescent="0.3">
      <c r="A3554" s="23" t="s">
        <v>16516</v>
      </c>
      <c r="B3554" s="23"/>
      <c r="C3554" s="23" t="s">
        <v>8868</v>
      </c>
      <c r="D3554" s="23" t="str">
        <f t="shared" si="165"/>
        <v>ORD26004196</v>
      </c>
      <c r="E3554" s="38">
        <v>46284</v>
      </c>
      <c r="F3554" s="23" t="s">
        <v>12410</v>
      </c>
      <c r="G3554" s="23" t="s">
        <v>81</v>
      </c>
      <c r="H3554" s="24">
        <v>7999</v>
      </c>
      <c r="I3554" s="24">
        <v>95.99</v>
      </c>
      <c r="J3554" s="24">
        <v>17.28</v>
      </c>
      <c r="K3554" s="24">
        <v>7885.73</v>
      </c>
      <c r="L3554" s="38">
        <v>46286</v>
      </c>
      <c r="M3554" s="23" t="s">
        <v>214</v>
      </c>
      <c r="N3554" s="23" t="str">
        <f>IF(COUNTIF($A$2:A3554,A3554)&gt;1,"DUP","OK")</f>
        <v>OK</v>
      </c>
      <c r="O3554" s="23" t="str">
        <f t="shared" si="166"/>
        <v>ORD26004196</v>
      </c>
      <c r="P3554" s="23" t="str">
        <f t="shared" si="167"/>
        <v>Sep</v>
      </c>
      <c r="Q3554" s="23" t="str">
        <f>IF(F3554="CAPTURE",IF(COUNTIF(orders!$A:$A,O3554)&gt;0,"Yes","NO ORDER"),"")</f>
        <v>Yes</v>
      </c>
    </row>
    <row r="3555" spans="1:17" ht="15" customHeight="1" x14ac:dyDescent="0.3">
      <c r="A3555" s="23" t="s">
        <v>16517</v>
      </c>
      <c r="B3555" s="23"/>
      <c r="C3555" s="23" t="s">
        <v>9005</v>
      </c>
      <c r="D3555" s="23" t="str">
        <f t="shared" si="165"/>
        <v>ORD26004266</v>
      </c>
      <c r="E3555" s="38">
        <v>46284</v>
      </c>
      <c r="F3555" s="23" t="s">
        <v>12410</v>
      </c>
      <c r="G3555" s="23" t="s">
        <v>75</v>
      </c>
      <c r="H3555" s="24">
        <v>4298</v>
      </c>
      <c r="I3555" s="24">
        <v>12.89</v>
      </c>
      <c r="J3555" s="24">
        <v>2.3199999999999998</v>
      </c>
      <c r="K3555" s="24">
        <v>4282.79</v>
      </c>
      <c r="L3555" s="38">
        <v>46286</v>
      </c>
      <c r="M3555" s="23" t="s">
        <v>214</v>
      </c>
      <c r="N3555" s="23" t="str">
        <f>IF(COUNTIF($A$2:A3555,A3555)&gt;1,"DUP","OK")</f>
        <v>OK</v>
      </c>
      <c r="O3555" s="23" t="str">
        <f t="shared" si="166"/>
        <v>ORD26004266</v>
      </c>
      <c r="P3555" s="23" t="str">
        <f t="shared" si="167"/>
        <v>Sep</v>
      </c>
      <c r="Q3555" s="23" t="str">
        <f>IF(F3555="CAPTURE",IF(COUNTIF(orders!$A:$A,O3555)&gt;0,"Yes","NO ORDER"),"")</f>
        <v>Yes</v>
      </c>
    </row>
    <row r="3556" spans="1:17" ht="15" customHeight="1" x14ac:dyDescent="0.3">
      <c r="A3556" s="23" t="s">
        <v>16518</v>
      </c>
      <c r="B3556" s="23"/>
      <c r="C3556" s="23" t="s">
        <v>9069</v>
      </c>
      <c r="D3556" s="23" t="str">
        <f t="shared" si="165"/>
        <v>ORD26004297</v>
      </c>
      <c r="E3556" s="38">
        <v>46284</v>
      </c>
      <c r="F3556" s="23" t="s">
        <v>12410</v>
      </c>
      <c r="G3556" s="23" t="s">
        <v>79</v>
      </c>
      <c r="H3556" s="24">
        <v>1798</v>
      </c>
      <c r="I3556" s="24">
        <v>32.36</v>
      </c>
      <c r="J3556" s="24">
        <v>5.82</v>
      </c>
      <c r="K3556" s="24">
        <v>1759.82</v>
      </c>
      <c r="L3556" s="38">
        <v>46286</v>
      </c>
      <c r="M3556" s="23" t="s">
        <v>214</v>
      </c>
      <c r="N3556" s="23" t="str">
        <f>IF(COUNTIF($A$2:A3556,A3556)&gt;1,"DUP","OK")</f>
        <v>OK</v>
      </c>
      <c r="O3556" s="23" t="str">
        <f t="shared" si="166"/>
        <v>ORD26004297</v>
      </c>
      <c r="P3556" s="23" t="str">
        <f t="shared" si="167"/>
        <v>Sep</v>
      </c>
      <c r="Q3556" s="23" t="str">
        <f>IF(F3556="CAPTURE",IF(COUNTIF(orders!$A:$A,O3556)&gt;0,"Yes","NO ORDER"),"")</f>
        <v>Yes</v>
      </c>
    </row>
    <row r="3557" spans="1:17" ht="15" customHeight="1" x14ac:dyDescent="0.3">
      <c r="A3557" s="23" t="s">
        <v>16519</v>
      </c>
      <c r="B3557" s="23"/>
      <c r="C3557" s="23" t="s">
        <v>9196</v>
      </c>
      <c r="D3557" s="23" t="str">
        <f t="shared" si="165"/>
        <v>ORD26004360</v>
      </c>
      <c r="E3557" s="38">
        <v>46284</v>
      </c>
      <c r="F3557" s="23" t="s">
        <v>12410</v>
      </c>
      <c r="G3557" s="23" t="s">
        <v>75</v>
      </c>
      <c r="H3557" s="24">
        <v>999</v>
      </c>
      <c r="I3557" s="24">
        <v>0</v>
      </c>
      <c r="J3557" s="24">
        <v>0</v>
      </c>
      <c r="K3557" s="24">
        <v>999</v>
      </c>
      <c r="L3557" s="38">
        <v>46286</v>
      </c>
      <c r="M3557" s="23" t="s">
        <v>214</v>
      </c>
      <c r="N3557" s="23" t="str">
        <f>IF(COUNTIF($A$2:A3557,A3557)&gt;1,"DUP","OK")</f>
        <v>OK</v>
      </c>
      <c r="O3557" s="23" t="str">
        <f t="shared" si="166"/>
        <v>ORD26004360</v>
      </c>
      <c r="P3557" s="23" t="str">
        <f t="shared" si="167"/>
        <v>Sep</v>
      </c>
      <c r="Q3557" s="23" t="str">
        <f>IF(F3557="CAPTURE",IF(COUNTIF(orders!$A:$A,O3557)&gt;0,"Yes","NO ORDER"),"")</f>
        <v>Yes</v>
      </c>
    </row>
    <row r="3558" spans="1:17" ht="15" customHeight="1" x14ac:dyDescent="0.3">
      <c r="A3558" s="23" t="s">
        <v>16520</v>
      </c>
      <c r="B3558" s="23"/>
      <c r="C3558" s="23" t="s">
        <v>9198</v>
      </c>
      <c r="D3558" s="23" t="str">
        <f t="shared" si="165"/>
        <v>ORD26004361</v>
      </c>
      <c r="E3558" s="38">
        <v>46284</v>
      </c>
      <c r="F3558" s="23" t="s">
        <v>12410</v>
      </c>
      <c r="G3558" s="23" t="s">
        <v>81</v>
      </c>
      <c r="H3558" s="24">
        <v>499</v>
      </c>
      <c r="I3558" s="24">
        <v>7.49</v>
      </c>
      <c r="J3558" s="24">
        <v>1.35</v>
      </c>
      <c r="K3558" s="24">
        <v>490.16</v>
      </c>
      <c r="L3558" s="38">
        <v>46286</v>
      </c>
      <c r="M3558" s="23" t="s">
        <v>214</v>
      </c>
      <c r="N3558" s="23" t="str">
        <f>IF(COUNTIF($A$2:A3558,A3558)&gt;1,"DUP","OK")</f>
        <v>OK</v>
      </c>
      <c r="O3558" s="23" t="str">
        <f t="shared" si="166"/>
        <v>ORD26004361</v>
      </c>
      <c r="P3558" s="23" t="str">
        <f t="shared" si="167"/>
        <v>Sep</v>
      </c>
      <c r="Q3558" s="23" t="str">
        <f>IF(F3558="CAPTURE",IF(COUNTIF(orders!$A:$A,O3558)&gt;0,"Yes","NO ORDER"),"")</f>
        <v>Yes</v>
      </c>
    </row>
    <row r="3559" spans="1:17" ht="15" customHeight="1" x14ac:dyDescent="0.3">
      <c r="A3559" s="23" t="s">
        <v>16521</v>
      </c>
      <c r="B3559" s="23"/>
      <c r="C3559" s="23" t="s">
        <v>9296</v>
      </c>
      <c r="D3559" s="23" t="str">
        <f t="shared" si="165"/>
        <v>ORD26004411</v>
      </c>
      <c r="E3559" s="38">
        <v>46284</v>
      </c>
      <c r="F3559" s="23" t="s">
        <v>12410</v>
      </c>
      <c r="G3559" s="23" t="s">
        <v>77</v>
      </c>
      <c r="H3559" s="24">
        <v>4798</v>
      </c>
      <c r="I3559" s="24">
        <v>81.569999999999993</v>
      </c>
      <c r="J3559" s="24">
        <v>14.68</v>
      </c>
      <c r="K3559" s="24">
        <v>4701.75</v>
      </c>
      <c r="L3559" s="38">
        <v>46286</v>
      </c>
      <c r="M3559" s="23" t="s">
        <v>214</v>
      </c>
      <c r="N3559" s="23" t="str">
        <f>IF(COUNTIF($A$2:A3559,A3559)&gt;1,"DUP","OK")</f>
        <v>OK</v>
      </c>
      <c r="O3559" s="23" t="str">
        <f t="shared" si="166"/>
        <v>ORD26004411</v>
      </c>
      <c r="P3559" s="23" t="str">
        <f t="shared" si="167"/>
        <v>Sep</v>
      </c>
      <c r="Q3559" s="23" t="str">
        <f>IF(F3559="CAPTURE",IF(COUNTIF(orders!$A:$A,O3559)&gt;0,"Yes","NO ORDER"),"")</f>
        <v>Yes</v>
      </c>
    </row>
    <row r="3560" spans="1:17" ht="15" customHeight="1" x14ac:dyDescent="0.3">
      <c r="A3560" s="23" t="s">
        <v>16522</v>
      </c>
      <c r="B3560" s="23"/>
      <c r="C3560" s="23" t="s">
        <v>9318</v>
      </c>
      <c r="D3560" s="23" t="str">
        <f t="shared" si="165"/>
        <v>ORD26004422</v>
      </c>
      <c r="E3560" s="38">
        <v>46284</v>
      </c>
      <c r="F3560" s="23" t="s">
        <v>12410</v>
      </c>
      <c r="G3560" s="23" t="s">
        <v>75</v>
      </c>
      <c r="H3560" s="24">
        <v>1598</v>
      </c>
      <c r="I3560" s="24">
        <v>0</v>
      </c>
      <c r="J3560" s="24">
        <v>0</v>
      </c>
      <c r="K3560" s="24">
        <v>1598</v>
      </c>
      <c r="L3560" s="38">
        <v>46286</v>
      </c>
      <c r="M3560" s="23" t="s">
        <v>214</v>
      </c>
      <c r="N3560" s="23" t="str">
        <f>IF(COUNTIF($A$2:A3560,A3560)&gt;1,"DUP","OK")</f>
        <v>OK</v>
      </c>
      <c r="O3560" s="23" t="str">
        <f t="shared" si="166"/>
        <v>ORD26004422</v>
      </c>
      <c r="P3560" s="23" t="str">
        <f t="shared" si="167"/>
        <v>Sep</v>
      </c>
      <c r="Q3560" s="23" t="str">
        <f>IF(F3560="CAPTURE",IF(COUNTIF(orders!$A:$A,O3560)&gt;0,"Yes","NO ORDER"),"")</f>
        <v>Yes</v>
      </c>
    </row>
    <row r="3561" spans="1:17" ht="15" customHeight="1" x14ac:dyDescent="0.3">
      <c r="A3561" s="23" t="s">
        <v>16523</v>
      </c>
      <c r="B3561" s="23"/>
      <c r="C3561" s="23" t="s">
        <v>9344</v>
      </c>
      <c r="D3561" s="23" t="str">
        <f t="shared" si="165"/>
        <v>ORD26004436</v>
      </c>
      <c r="E3561" s="38">
        <v>46284</v>
      </c>
      <c r="F3561" s="23" t="s">
        <v>12410</v>
      </c>
      <c r="G3561" s="23" t="s">
        <v>77</v>
      </c>
      <c r="H3561" s="24">
        <v>799</v>
      </c>
      <c r="I3561" s="24">
        <v>15.18</v>
      </c>
      <c r="J3561" s="24">
        <v>2.73</v>
      </c>
      <c r="K3561" s="24">
        <v>781.09</v>
      </c>
      <c r="L3561" s="38">
        <v>46286</v>
      </c>
      <c r="M3561" s="23" t="s">
        <v>214</v>
      </c>
      <c r="N3561" s="23" t="str">
        <f>IF(COUNTIF($A$2:A3561,A3561)&gt;1,"DUP","OK")</f>
        <v>OK</v>
      </c>
      <c r="O3561" s="23" t="str">
        <f t="shared" si="166"/>
        <v>ORD26004436</v>
      </c>
      <c r="P3561" s="23" t="str">
        <f t="shared" si="167"/>
        <v>Sep</v>
      </c>
      <c r="Q3561" s="23" t="str">
        <f>IF(F3561="CAPTURE",IF(COUNTIF(orders!$A:$A,O3561)&gt;0,"Yes","NO ORDER"),"")</f>
        <v>Yes</v>
      </c>
    </row>
    <row r="3562" spans="1:17" ht="15" customHeight="1" x14ac:dyDescent="0.3">
      <c r="A3562" s="23" t="s">
        <v>16524</v>
      </c>
      <c r="B3562" s="23"/>
      <c r="C3562" s="23" t="s">
        <v>9433</v>
      </c>
      <c r="D3562" s="23" t="str">
        <f t="shared" si="165"/>
        <v>ORD26004481</v>
      </c>
      <c r="E3562" s="38">
        <v>46284</v>
      </c>
      <c r="F3562" s="23" t="s">
        <v>12410</v>
      </c>
      <c r="G3562" s="23" t="s">
        <v>77</v>
      </c>
      <c r="H3562" s="24">
        <v>999</v>
      </c>
      <c r="I3562" s="24">
        <v>18.98</v>
      </c>
      <c r="J3562" s="24">
        <v>3.42</v>
      </c>
      <c r="K3562" s="24">
        <v>976.6</v>
      </c>
      <c r="L3562" s="38">
        <v>46286</v>
      </c>
      <c r="M3562" s="23" t="s">
        <v>214</v>
      </c>
      <c r="N3562" s="23" t="str">
        <f>IF(COUNTIF($A$2:A3562,A3562)&gt;1,"DUP","OK")</f>
        <v>OK</v>
      </c>
      <c r="O3562" s="23" t="str">
        <f t="shared" si="166"/>
        <v>ORD26004481</v>
      </c>
      <c r="P3562" s="23" t="str">
        <f t="shared" si="167"/>
        <v>Sep</v>
      </c>
      <c r="Q3562" s="23" t="str">
        <f>IF(F3562="CAPTURE",IF(COUNTIF(orders!$A:$A,O3562)&gt;0,"Yes","NO ORDER"),"")</f>
        <v>Yes</v>
      </c>
    </row>
    <row r="3563" spans="1:17" ht="15" customHeight="1" x14ac:dyDescent="0.3">
      <c r="A3563" s="23" t="s">
        <v>16525</v>
      </c>
      <c r="B3563" s="23"/>
      <c r="C3563" s="23" t="s">
        <v>9467</v>
      </c>
      <c r="D3563" s="23" t="str">
        <f t="shared" si="165"/>
        <v>ORD26004497</v>
      </c>
      <c r="E3563" s="38">
        <v>46284</v>
      </c>
      <c r="F3563" s="23" t="s">
        <v>12410</v>
      </c>
      <c r="G3563" s="23" t="s">
        <v>77</v>
      </c>
      <c r="H3563" s="24">
        <v>5998</v>
      </c>
      <c r="I3563" s="24">
        <v>143.94999999999999</v>
      </c>
      <c r="J3563" s="24">
        <v>25.91</v>
      </c>
      <c r="K3563" s="24">
        <v>5828.14</v>
      </c>
      <c r="L3563" s="38">
        <v>46286</v>
      </c>
      <c r="M3563" s="23" t="s">
        <v>214</v>
      </c>
      <c r="N3563" s="23" t="str">
        <f>IF(COUNTIF($A$2:A3563,A3563)&gt;1,"DUP","OK")</f>
        <v>OK</v>
      </c>
      <c r="O3563" s="23" t="str">
        <f t="shared" si="166"/>
        <v>ORD26004497</v>
      </c>
      <c r="P3563" s="23" t="str">
        <f t="shared" si="167"/>
        <v>Sep</v>
      </c>
      <c r="Q3563" s="23" t="str">
        <f>IF(F3563="CAPTURE",IF(COUNTIF(orders!$A:$A,O3563)&gt;0,"Yes","NO ORDER"),"")</f>
        <v>Yes</v>
      </c>
    </row>
    <row r="3564" spans="1:17" ht="15" customHeight="1" x14ac:dyDescent="0.3">
      <c r="A3564" s="23" t="s">
        <v>16526</v>
      </c>
      <c r="B3564" s="23"/>
      <c r="C3564" s="23" t="s">
        <v>9486</v>
      </c>
      <c r="D3564" s="23" t="str">
        <f t="shared" si="165"/>
        <v>ORD26004507</v>
      </c>
      <c r="E3564" s="38">
        <v>46284</v>
      </c>
      <c r="F3564" s="23" t="s">
        <v>12410</v>
      </c>
      <c r="G3564" s="23" t="s">
        <v>75</v>
      </c>
      <c r="H3564" s="24">
        <v>349</v>
      </c>
      <c r="I3564" s="24">
        <v>0</v>
      </c>
      <c r="J3564" s="24">
        <v>0</v>
      </c>
      <c r="K3564" s="24">
        <v>349</v>
      </c>
      <c r="L3564" s="38">
        <v>46286</v>
      </c>
      <c r="M3564" s="23" t="s">
        <v>214</v>
      </c>
      <c r="N3564" s="23" t="str">
        <f>IF(COUNTIF($A$2:A3564,A3564)&gt;1,"DUP","OK")</f>
        <v>OK</v>
      </c>
      <c r="O3564" s="23" t="str">
        <f t="shared" si="166"/>
        <v>ORD26004507</v>
      </c>
      <c r="P3564" s="23" t="str">
        <f t="shared" si="167"/>
        <v>Sep</v>
      </c>
      <c r="Q3564" s="23" t="str">
        <f>IF(F3564="CAPTURE",IF(COUNTIF(orders!$A:$A,O3564)&gt;0,"Yes","NO ORDER"),"")</f>
        <v>Yes</v>
      </c>
    </row>
    <row r="3565" spans="1:17" ht="15" customHeight="1" x14ac:dyDescent="0.3">
      <c r="A3565" s="23" t="s">
        <v>16527</v>
      </c>
      <c r="B3565" s="23"/>
      <c r="C3565" s="23" t="s">
        <v>16528</v>
      </c>
      <c r="D3565" s="23" t="str">
        <f t="shared" si="165"/>
        <v>ORD26004583</v>
      </c>
      <c r="E3565" s="38">
        <v>46284</v>
      </c>
      <c r="F3565" s="23" t="s">
        <v>12410</v>
      </c>
      <c r="G3565" s="23" t="s">
        <v>75</v>
      </c>
      <c r="H3565" s="24">
        <v>599</v>
      </c>
      <c r="I3565" s="24">
        <v>0</v>
      </c>
      <c r="J3565" s="24">
        <v>0</v>
      </c>
      <c r="K3565" s="24">
        <v>599</v>
      </c>
      <c r="L3565" s="38">
        <v>46286</v>
      </c>
      <c r="M3565" s="23" t="s">
        <v>214</v>
      </c>
      <c r="N3565" s="23" t="str">
        <f>IF(COUNTIF($A$2:A3565,A3565)&gt;1,"DUP","OK")</f>
        <v>OK</v>
      </c>
      <c r="O3565" s="23" t="str">
        <f t="shared" si="166"/>
        <v>ORD26004583</v>
      </c>
      <c r="P3565" s="23" t="str">
        <f t="shared" si="167"/>
        <v>Sep</v>
      </c>
      <c r="Q3565" s="23" t="str">
        <f>IF(F3565="CAPTURE",IF(COUNTIF(orders!$A:$A,O3565)&gt;0,"Yes","NO ORDER"),"")</f>
        <v>Yes</v>
      </c>
    </row>
    <row r="3566" spans="1:17" ht="15" customHeight="1" x14ac:dyDescent="0.3">
      <c r="A3566" s="23" t="s">
        <v>16529</v>
      </c>
      <c r="B3566" s="23"/>
      <c r="C3566" s="23" t="s">
        <v>9655</v>
      </c>
      <c r="D3566" s="23" t="str">
        <f t="shared" si="165"/>
        <v>ORD26004591</v>
      </c>
      <c r="E3566" s="38">
        <v>46284</v>
      </c>
      <c r="F3566" s="23" t="s">
        <v>12410</v>
      </c>
      <c r="G3566" s="23" t="s">
        <v>75</v>
      </c>
      <c r="H3566" s="24">
        <v>4999</v>
      </c>
      <c r="I3566" s="24">
        <v>15</v>
      </c>
      <c r="J3566" s="24">
        <v>2.7</v>
      </c>
      <c r="K3566" s="24">
        <v>4981.3</v>
      </c>
      <c r="L3566" s="38">
        <v>46286</v>
      </c>
      <c r="M3566" s="23" t="s">
        <v>214</v>
      </c>
      <c r="N3566" s="23" t="str">
        <f>IF(COUNTIF($A$2:A3566,A3566)&gt;1,"DUP","OK")</f>
        <v>OK</v>
      </c>
      <c r="O3566" s="23" t="str">
        <f t="shared" si="166"/>
        <v>ORD26004591</v>
      </c>
      <c r="P3566" s="23" t="str">
        <f t="shared" si="167"/>
        <v>Sep</v>
      </c>
      <c r="Q3566" s="23" t="str">
        <f>IF(F3566="CAPTURE",IF(COUNTIF(orders!$A:$A,O3566)&gt;0,"Yes","NO ORDER"),"")</f>
        <v>Yes</v>
      </c>
    </row>
    <row r="3567" spans="1:17" ht="15" customHeight="1" x14ac:dyDescent="0.3">
      <c r="A3567" s="23" t="s">
        <v>16530</v>
      </c>
      <c r="B3567" s="23"/>
      <c r="C3567" s="23" t="s">
        <v>9709</v>
      </c>
      <c r="D3567" s="23" t="str">
        <f t="shared" si="165"/>
        <v>ORD26004618</v>
      </c>
      <c r="E3567" s="38">
        <v>46284</v>
      </c>
      <c r="F3567" s="23" t="s">
        <v>12410</v>
      </c>
      <c r="G3567" s="23" t="s">
        <v>75</v>
      </c>
      <c r="H3567" s="24">
        <v>9298</v>
      </c>
      <c r="I3567" s="24">
        <v>27.89</v>
      </c>
      <c r="J3567" s="24">
        <v>5.0199999999999996</v>
      </c>
      <c r="K3567" s="24">
        <v>9265.09</v>
      </c>
      <c r="L3567" s="38">
        <v>46286</v>
      </c>
      <c r="M3567" s="23" t="s">
        <v>214</v>
      </c>
      <c r="N3567" s="23" t="str">
        <f>IF(COUNTIF($A$2:A3567,A3567)&gt;1,"DUP","OK")</f>
        <v>OK</v>
      </c>
      <c r="O3567" s="23" t="str">
        <f t="shared" si="166"/>
        <v>ORD26004618</v>
      </c>
      <c r="P3567" s="23" t="str">
        <f t="shared" si="167"/>
        <v>Sep</v>
      </c>
      <c r="Q3567" s="23" t="str">
        <f>IF(F3567="CAPTURE",IF(COUNTIF(orders!$A:$A,O3567)&gt;0,"Yes","NO ORDER"),"")</f>
        <v>Yes</v>
      </c>
    </row>
    <row r="3568" spans="1:17" ht="15" customHeight="1" x14ac:dyDescent="0.3">
      <c r="A3568" s="23" t="s">
        <v>16531</v>
      </c>
      <c r="B3568" s="23"/>
      <c r="C3568" s="23" t="s">
        <v>9723</v>
      </c>
      <c r="D3568" s="23" t="str">
        <f t="shared" si="165"/>
        <v>ORD26004625</v>
      </c>
      <c r="E3568" s="38">
        <v>46284</v>
      </c>
      <c r="F3568" s="23" t="s">
        <v>12410</v>
      </c>
      <c r="G3568" s="23" t="s">
        <v>77</v>
      </c>
      <c r="H3568" s="24">
        <v>3499</v>
      </c>
      <c r="I3568" s="24">
        <v>59.48</v>
      </c>
      <c r="J3568" s="24">
        <v>10.71</v>
      </c>
      <c r="K3568" s="24">
        <v>3428.81</v>
      </c>
      <c r="L3568" s="38">
        <v>46286</v>
      </c>
      <c r="M3568" s="23" t="s">
        <v>214</v>
      </c>
      <c r="N3568" s="23" t="str">
        <f>IF(COUNTIF($A$2:A3568,A3568)&gt;1,"DUP","OK")</f>
        <v>OK</v>
      </c>
      <c r="O3568" s="23" t="str">
        <f t="shared" si="166"/>
        <v>ORD26004625</v>
      </c>
      <c r="P3568" s="23" t="str">
        <f t="shared" si="167"/>
        <v>Sep</v>
      </c>
      <c r="Q3568" s="23" t="str">
        <f>IF(F3568="CAPTURE",IF(COUNTIF(orders!$A:$A,O3568)&gt;0,"Yes","NO ORDER"),"")</f>
        <v>Yes</v>
      </c>
    </row>
    <row r="3569" spans="1:17" ht="15" customHeight="1" x14ac:dyDescent="0.3">
      <c r="A3569" s="23" t="s">
        <v>16532</v>
      </c>
      <c r="B3569" s="23"/>
      <c r="C3569" s="23" t="s">
        <v>16533</v>
      </c>
      <c r="D3569" s="23" t="str">
        <f t="shared" si="165"/>
        <v>ORD26004658</v>
      </c>
      <c r="E3569" s="38">
        <v>46284</v>
      </c>
      <c r="F3569" s="23" t="s">
        <v>12410</v>
      </c>
      <c r="G3569" s="23" t="s">
        <v>75</v>
      </c>
      <c r="H3569" s="24">
        <v>13597</v>
      </c>
      <c r="I3569" s="24">
        <v>40.79</v>
      </c>
      <c r="J3569" s="24">
        <v>7.34</v>
      </c>
      <c r="K3569" s="24">
        <v>13548.87</v>
      </c>
      <c r="L3569" s="38">
        <v>46286</v>
      </c>
      <c r="M3569" s="23" t="s">
        <v>214</v>
      </c>
      <c r="N3569" s="23" t="str">
        <f>IF(COUNTIF($A$2:A3569,A3569)&gt;1,"DUP","OK")</f>
        <v>OK</v>
      </c>
      <c r="O3569" s="23" t="str">
        <f t="shared" si="166"/>
        <v>ORD26004658</v>
      </c>
      <c r="P3569" s="23" t="str">
        <f t="shared" si="167"/>
        <v>Sep</v>
      </c>
      <c r="Q3569" s="23" t="str">
        <f>IF(F3569="CAPTURE",IF(COUNTIF(orders!$A:$A,O3569)&gt;0,"Yes","NO ORDER"),"")</f>
        <v>Yes</v>
      </c>
    </row>
    <row r="3570" spans="1:17" ht="15" customHeight="1" x14ac:dyDescent="0.3">
      <c r="A3570" s="23" t="s">
        <v>16534</v>
      </c>
      <c r="B3570" s="23"/>
      <c r="C3570" s="23" t="s">
        <v>16535</v>
      </c>
      <c r="D3570" s="23" t="str">
        <f t="shared" si="165"/>
        <v>ORD26004719</v>
      </c>
      <c r="E3570" s="38">
        <v>46284</v>
      </c>
      <c r="F3570" s="23" t="s">
        <v>12410</v>
      </c>
      <c r="G3570" s="23" t="s">
        <v>77</v>
      </c>
      <c r="H3570" s="24">
        <v>898</v>
      </c>
      <c r="I3570" s="24">
        <v>17.059999999999999</v>
      </c>
      <c r="J3570" s="24">
        <v>3.07</v>
      </c>
      <c r="K3570" s="24">
        <v>877.87</v>
      </c>
      <c r="L3570" s="38">
        <v>46286</v>
      </c>
      <c r="M3570" s="23" t="s">
        <v>214</v>
      </c>
      <c r="N3570" s="23" t="str">
        <f>IF(COUNTIF($A$2:A3570,A3570)&gt;1,"DUP","OK")</f>
        <v>OK</v>
      </c>
      <c r="O3570" s="23" t="str">
        <f t="shared" si="166"/>
        <v>ORD26004719</v>
      </c>
      <c r="P3570" s="23" t="str">
        <f t="shared" si="167"/>
        <v>Sep</v>
      </c>
      <c r="Q3570" s="23" t="str">
        <f>IF(F3570="CAPTURE",IF(COUNTIF(orders!$A:$A,O3570)&gt;0,"Yes","NO ORDER"),"")</f>
        <v>Yes</v>
      </c>
    </row>
    <row r="3571" spans="1:17" ht="15" customHeight="1" x14ac:dyDescent="0.3">
      <c r="A3571" s="23" t="s">
        <v>16536</v>
      </c>
      <c r="B3571" s="23"/>
      <c r="C3571" s="23" t="s">
        <v>10068</v>
      </c>
      <c r="D3571" s="23" t="str">
        <f t="shared" si="165"/>
        <v>ORD26004803</v>
      </c>
      <c r="E3571" s="38">
        <v>46284</v>
      </c>
      <c r="F3571" s="23" t="s">
        <v>12410</v>
      </c>
      <c r="G3571" s="23" t="s">
        <v>79</v>
      </c>
      <c r="H3571" s="24">
        <v>4999</v>
      </c>
      <c r="I3571" s="24">
        <v>79.98</v>
      </c>
      <c r="J3571" s="24">
        <v>14.4</v>
      </c>
      <c r="K3571" s="24">
        <v>4904.62</v>
      </c>
      <c r="L3571" s="38">
        <v>46286</v>
      </c>
      <c r="M3571" s="23" t="s">
        <v>214</v>
      </c>
      <c r="N3571" s="23" t="str">
        <f>IF(COUNTIF($A$2:A3571,A3571)&gt;1,"DUP","OK")</f>
        <v>OK</v>
      </c>
      <c r="O3571" s="23" t="str">
        <f t="shared" si="166"/>
        <v>ORD26004803</v>
      </c>
      <c r="P3571" s="23" t="str">
        <f t="shared" si="167"/>
        <v>Sep</v>
      </c>
      <c r="Q3571" s="23" t="str">
        <f>IF(F3571="CAPTURE",IF(COUNTIF(orders!$A:$A,O3571)&gt;0,"Yes","NO ORDER"),"")</f>
        <v>Yes</v>
      </c>
    </row>
    <row r="3572" spans="1:17" ht="15" customHeight="1" x14ac:dyDescent="0.3">
      <c r="A3572" s="23" t="s">
        <v>16537</v>
      </c>
      <c r="B3572" s="23"/>
      <c r="C3572" s="23" t="s">
        <v>10115</v>
      </c>
      <c r="D3572" s="23" t="str">
        <f t="shared" si="165"/>
        <v>ORD26004827</v>
      </c>
      <c r="E3572" s="38">
        <v>46284</v>
      </c>
      <c r="F3572" s="23" t="s">
        <v>12410</v>
      </c>
      <c r="G3572" s="23" t="s">
        <v>75</v>
      </c>
      <c r="H3572" s="24">
        <v>1299</v>
      </c>
      <c r="I3572" s="24">
        <v>0</v>
      </c>
      <c r="J3572" s="24">
        <v>0</v>
      </c>
      <c r="K3572" s="24">
        <v>1299</v>
      </c>
      <c r="L3572" s="38">
        <v>46286</v>
      </c>
      <c r="M3572" s="23" t="s">
        <v>214</v>
      </c>
      <c r="N3572" s="23" t="str">
        <f>IF(COUNTIF($A$2:A3572,A3572)&gt;1,"DUP","OK")</f>
        <v>OK</v>
      </c>
      <c r="O3572" s="23" t="str">
        <f t="shared" si="166"/>
        <v>ORD26004827</v>
      </c>
      <c r="P3572" s="23" t="str">
        <f t="shared" si="167"/>
        <v>Sep</v>
      </c>
      <c r="Q3572" s="23" t="str">
        <f>IF(F3572="CAPTURE",IF(COUNTIF(orders!$A:$A,O3572)&gt;0,"Yes","NO ORDER"),"")</f>
        <v>Yes</v>
      </c>
    </row>
    <row r="3573" spans="1:17" ht="15" customHeight="1" x14ac:dyDescent="0.3">
      <c r="A3573" s="23" t="s">
        <v>16538</v>
      </c>
      <c r="B3573" s="23"/>
      <c r="C3573" s="23" t="s">
        <v>10216</v>
      </c>
      <c r="D3573" s="23" t="str">
        <f t="shared" si="165"/>
        <v>ORD26004879</v>
      </c>
      <c r="E3573" s="38">
        <v>46284</v>
      </c>
      <c r="F3573" s="23" t="s">
        <v>12410</v>
      </c>
      <c r="G3573" s="23" t="s">
        <v>75</v>
      </c>
      <c r="H3573" s="24">
        <v>1299</v>
      </c>
      <c r="I3573" s="24">
        <v>3.9</v>
      </c>
      <c r="J3573" s="24">
        <v>0.7</v>
      </c>
      <c r="K3573" s="24">
        <v>1294.4000000000001</v>
      </c>
      <c r="L3573" s="38">
        <v>46286</v>
      </c>
      <c r="M3573" s="23" t="s">
        <v>214</v>
      </c>
      <c r="N3573" s="23" t="str">
        <f>IF(COUNTIF($A$2:A3573,A3573)&gt;1,"DUP","OK")</f>
        <v>OK</v>
      </c>
      <c r="O3573" s="23" t="str">
        <f t="shared" si="166"/>
        <v>ORD26004879</v>
      </c>
      <c r="P3573" s="23" t="str">
        <f t="shared" si="167"/>
        <v>Sep</v>
      </c>
      <c r="Q3573" s="23" t="str">
        <f>IF(F3573="CAPTURE",IF(COUNTIF(orders!$A:$A,O3573)&gt;0,"Yes","NO ORDER"),"")</f>
        <v>Yes</v>
      </c>
    </row>
    <row r="3574" spans="1:17" ht="15" customHeight="1" x14ac:dyDescent="0.3">
      <c r="A3574" s="23" t="s">
        <v>16539</v>
      </c>
      <c r="B3574" s="23"/>
      <c r="C3574" s="23" t="s">
        <v>10235</v>
      </c>
      <c r="D3574" s="23" t="str">
        <f t="shared" si="165"/>
        <v>ORD26004889</v>
      </c>
      <c r="E3574" s="38">
        <v>46284</v>
      </c>
      <c r="F3574" s="23" t="s">
        <v>12410</v>
      </c>
      <c r="G3574" s="23" t="s">
        <v>81</v>
      </c>
      <c r="H3574" s="24">
        <v>5298</v>
      </c>
      <c r="I3574" s="24">
        <v>63.58</v>
      </c>
      <c r="J3574" s="24">
        <v>11.44</v>
      </c>
      <c r="K3574" s="24">
        <v>5222.9799999999996</v>
      </c>
      <c r="L3574" s="38">
        <v>46286</v>
      </c>
      <c r="M3574" s="23" t="s">
        <v>214</v>
      </c>
      <c r="N3574" s="23" t="str">
        <f>IF(COUNTIF($A$2:A3574,A3574)&gt;1,"DUP","OK")</f>
        <v>OK</v>
      </c>
      <c r="O3574" s="23" t="str">
        <f t="shared" si="166"/>
        <v>ORD26004889</v>
      </c>
      <c r="P3574" s="23" t="str">
        <f t="shared" si="167"/>
        <v>Sep</v>
      </c>
      <c r="Q3574" s="23" t="str">
        <f>IF(F3574="CAPTURE",IF(COUNTIF(orders!$A:$A,O3574)&gt;0,"Yes","NO ORDER"),"")</f>
        <v>Yes</v>
      </c>
    </row>
    <row r="3575" spans="1:17" ht="15" customHeight="1" x14ac:dyDescent="0.3">
      <c r="A3575" s="23" t="s">
        <v>16540</v>
      </c>
      <c r="B3575" s="23"/>
      <c r="C3575" s="23" t="s">
        <v>10351</v>
      </c>
      <c r="D3575" s="23" t="str">
        <f t="shared" si="165"/>
        <v>ORD26004948</v>
      </c>
      <c r="E3575" s="38">
        <v>46284</v>
      </c>
      <c r="F3575" s="23" t="s">
        <v>12410</v>
      </c>
      <c r="G3575" s="23" t="s">
        <v>79</v>
      </c>
      <c r="H3575" s="24">
        <v>1098</v>
      </c>
      <c r="I3575" s="24">
        <v>19.760000000000002</v>
      </c>
      <c r="J3575" s="24">
        <v>3.56</v>
      </c>
      <c r="K3575" s="24">
        <v>1074.68</v>
      </c>
      <c r="L3575" s="38">
        <v>46286</v>
      </c>
      <c r="M3575" s="23" t="s">
        <v>214</v>
      </c>
      <c r="N3575" s="23" t="str">
        <f>IF(COUNTIF($A$2:A3575,A3575)&gt;1,"DUP","OK")</f>
        <v>OK</v>
      </c>
      <c r="O3575" s="23" t="str">
        <f t="shared" si="166"/>
        <v>ORD26004948</v>
      </c>
      <c r="P3575" s="23" t="str">
        <f t="shared" si="167"/>
        <v>Sep</v>
      </c>
      <c r="Q3575" s="23" t="str">
        <f>IF(F3575="CAPTURE",IF(COUNTIF(orders!$A:$A,O3575)&gt;0,"Yes","NO ORDER"),"")</f>
        <v>Yes</v>
      </c>
    </row>
    <row r="3576" spans="1:17" ht="15" customHeight="1" x14ac:dyDescent="0.3">
      <c r="A3576" s="23" t="s">
        <v>16541</v>
      </c>
      <c r="B3576" s="23"/>
      <c r="C3576" s="23" t="s">
        <v>10353</v>
      </c>
      <c r="D3576" s="23" t="str">
        <f t="shared" si="165"/>
        <v>ORD26004949</v>
      </c>
      <c r="E3576" s="38">
        <v>46284</v>
      </c>
      <c r="F3576" s="23" t="s">
        <v>12410</v>
      </c>
      <c r="G3576" s="23" t="s">
        <v>75</v>
      </c>
      <c r="H3576" s="24">
        <v>499</v>
      </c>
      <c r="I3576" s="24">
        <v>0</v>
      </c>
      <c r="J3576" s="24">
        <v>0</v>
      </c>
      <c r="K3576" s="24">
        <v>499</v>
      </c>
      <c r="L3576" s="38">
        <v>46286</v>
      </c>
      <c r="M3576" s="23" t="s">
        <v>214</v>
      </c>
      <c r="N3576" s="23" t="str">
        <f>IF(COUNTIF($A$2:A3576,A3576)&gt;1,"DUP","OK")</f>
        <v>OK</v>
      </c>
      <c r="O3576" s="23" t="str">
        <f t="shared" si="166"/>
        <v>ORD26004949</v>
      </c>
      <c r="P3576" s="23" t="str">
        <f t="shared" si="167"/>
        <v>Sep</v>
      </c>
      <c r="Q3576" s="23" t="str">
        <f>IF(F3576="CAPTURE",IF(COUNTIF(orders!$A:$A,O3576)&gt;0,"Yes","NO ORDER"),"")</f>
        <v>Yes</v>
      </c>
    </row>
    <row r="3577" spans="1:17" ht="15" customHeight="1" x14ac:dyDescent="0.3">
      <c r="A3577" s="23" t="s">
        <v>16542</v>
      </c>
      <c r="B3577" s="23"/>
      <c r="C3577" s="23" t="s">
        <v>10435</v>
      </c>
      <c r="D3577" s="23" t="str">
        <f t="shared" si="165"/>
        <v>ORD26004991</v>
      </c>
      <c r="E3577" s="38">
        <v>46284</v>
      </c>
      <c r="F3577" s="23" t="s">
        <v>12410</v>
      </c>
      <c r="G3577" s="23" t="s">
        <v>75</v>
      </c>
      <c r="H3577" s="24">
        <v>6997</v>
      </c>
      <c r="I3577" s="24">
        <v>20.99</v>
      </c>
      <c r="J3577" s="24">
        <v>3.78</v>
      </c>
      <c r="K3577" s="24">
        <v>6972.23</v>
      </c>
      <c r="L3577" s="38">
        <v>46286</v>
      </c>
      <c r="M3577" s="23" t="s">
        <v>214</v>
      </c>
      <c r="N3577" s="23" t="str">
        <f>IF(COUNTIF($A$2:A3577,A3577)&gt;1,"DUP","OK")</f>
        <v>OK</v>
      </c>
      <c r="O3577" s="23" t="str">
        <f t="shared" si="166"/>
        <v>ORD26004991</v>
      </c>
      <c r="P3577" s="23" t="str">
        <f t="shared" si="167"/>
        <v>Sep</v>
      </c>
      <c r="Q3577" s="23" t="str">
        <f>IF(F3577="CAPTURE",IF(COUNTIF(orders!$A:$A,O3577)&gt;0,"Yes","NO ORDER"),"")</f>
        <v>Yes</v>
      </c>
    </row>
    <row r="3578" spans="1:17" ht="15" customHeight="1" x14ac:dyDescent="0.3">
      <c r="A3578" s="23" t="s">
        <v>16543</v>
      </c>
      <c r="B3578" s="23"/>
      <c r="C3578" s="23" t="s">
        <v>16544</v>
      </c>
      <c r="D3578" s="23" t="str">
        <f t="shared" si="165"/>
        <v>ORD26005041</v>
      </c>
      <c r="E3578" s="38">
        <v>46284</v>
      </c>
      <c r="F3578" s="23" t="s">
        <v>12410</v>
      </c>
      <c r="G3578" s="23" t="s">
        <v>75</v>
      </c>
      <c r="H3578" s="24">
        <v>4498</v>
      </c>
      <c r="I3578" s="24">
        <v>13.49</v>
      </c>
      <c r="J3578" s="24">
        <v>2.4300000000000002</v>
      </c>
      <c r="K3578" s="24">
        <v>4482.08</v>
      </c>
      <c r="L3578" s="38">
        <v>46286</v>
      </c>
      <c r="M3578" s="23" t="s">
        <v>214</v>
      </c>
      <c r="N3578" s="23" t="str">
        <f>IF(COUNTIF($A$2:A3578,A3578)&gt;1,"DUP","OK")</f>
        <v>OK</v>
      </c>
      <c r="O3578" s="23" t="str">
        <f t="shared" si="166"/>
        <v>ORD26005041</v>
      </c>
      <c r="P3578" s="23" t="str">
        <f t="shared" si="167"/>
        <v>Sep</v>
      </c>
      <c r="Q3578" s="23" t="str">
        <f>IF(F3578="CAPTURE",IF(COUNTIF(orders!$A:$A,O3578)&gt;0,"Yes","NO ORDER"),"")</f>
        <v>Yes</v>
      </c>
    </row>
    <row r="3579" spans="1:17" ht="15" customHeight="1" x14ac:dyDescent="0.3">
      <c r="A3579" s="23" t="s">
        <v>16545</v>
      </c>
      <c r="B3579" s="23"/>
      <c r="C3579" s="23" t="s">
        <v>10532</v>
      </c>
      <c r="D3579" s="23" t="str">
        <f t="shared" si="165"/>
        <v>ORD26005042</v>
      </c>
      <c r="E3579" s="38">
        <v>46284</v>
      </c>
      <c r="F3579" s="23" t="s">
        <v>12410</v>
      </c>
      <c r="G3579" s="23" t="s">
        <v>79</v>
      </c>
      <c r="H3579" s="24">
        <v>8348</v>
      </c>
      <c r="I3579" s="24">
        <v>133.57</v>
      </c>
      <c r="J3579" s="24">
        <v>24.04</v>
      </c>
      <c r="K3579" s="24">
        <v>8190.39</v>
      </c>
      <c r="L3579" s="38">
        <v>46286</v>
      </c>
      <c r="M3579" s="23" t="s">
        <v>214</v>
      </c>
      <c r="N3579" s="23" t="str">
        <f>IF(COUNTIF($A$2:A3579,A3579)&gt;1,"DUP","OK")</f>
        <v>OK</v>
      </c>
      <c r="O3579" s="23" t="str">
        <f t="shared" si="166"/>
        <v>ORD26005042</v>
      </c>
      <c r="P3579" s="23" t="str">
        <f t="shared" si="167"/>
        <v>Sep</v>
      </c>
      <c r="Q3579" s="23" t="str">
        <f>IF(F3579="CAPTURE",IF(COUNTIF(orders!$A:$A,O3579)&gt;0,"Yes","NO ORDER"),"")</f>
        <v>Yes</v>
      </c>
    </row>
    <row r="3580" spans="1:17" ht="15" customHeight="1" x14ac:dyDescent="0.3">
      <c r="A3580" s="23" t="s">
        <v>16546</v>
      </c>
      <c r="B3580" s="23"/>
      <c r="C3580" s="23" t="s">
        <v>10763</v>
      </c>
      <c r="D3580" s="23" t="str">
        <f t="shared" si="165"/>
        <v>ORD26005161</v>
      </c>
      <c r="E3580" s="38">
        <v>46284</v>
      </c>
      <c r="F3580" s="23" t="s">
        <v>12410</v>
      </c>
      <c r="G3580" s="23" t="s">
        <v>75</v>
      </c>
      <c r="H3580" s="24">
        <v>2798</v>
      </c>
      <c r="I3580" s="24">
        <v>8.39</v>
      </c>
      <c r="J3580" s="24">
        <v>1.51</v>
      </c>
      <c r="K3580" s="24">
        <v>2788.1</v>
      </c>
      <c r="L3580" s="38">
        <v>46286</v>
      </c>
      <c r="M3580" s="23" t="s">
        <v>214</v>
      </c>
      <c r="N3580" s="23" t="str">
        <f>IF(COUNTIF($A$2:A3580,A3580)&gt;1,"DUP","OK")</f>
        <v>OK</v>
      </c>
      <c r="O3580" s="23" t="str">
        <f t="shared" si="166"/>
        <v>ORD26005161</v>
      </c>
      <c r="P3580" s="23" t="str">
        <f t="shared" si="167"/>
        <v>Sep</v>
      </c>
      <c r="Q3580" s="23" t="str">
        <f>IF(F3580="CAPTURE",IF(COUNTIF(orders!$A:$A,O3580)&gt;0,"Yes","NO ORDER"),"")</f>
        <v>Yes</v>
      </c>
    </row>
    <row r="3581" spans="1:17" ht="15" customHeight="1" x14ac:dyDescent="0.3">
      <c r="A3581" s="23" t="s">
        <v>16547</v>
      </c>
      <c r="B3581" s="23"/>
      <c r="C3581" s="23" t="s">
        <v>10786</v>
      </c>
      <c r="D3581" s="23" t="str">
        <f t="shared" si="165"/>
        <v>ORD26005173</v>
      </c>
      <c r="E3581" s="38">
        <v>46284</v>
      </c>
      <c r="F3581" s="23" t="s">
        <v>12410</v>
      </c>
      <c r="G3581" s="23" t="s">
        <v>75</v>
      </c>
      <c r="H3581" s="24">
        <v>1499</v>
      </c>
      <c r="I3581" s="24">
        <v>0</v>
      </c>
      <c r="J3581" s="24">
        <v>0</v>
      </c>
      <c r="K3581" s="24">
        <v>1499</v>
      </c>
      <c r="L3581" s="38">
        <v>46286</v>
      </c>
      <c r="M3581" s="23" t="s">
        <v>214</v>
      </c>
      <c r="N3581" s="23" t="str">
        <f>IF(COUNTIF($A$2:A3581,A3581)&gt;1,"DUP","OK")</f>
        <v>OK</v>
      </c>
      <c r="O3581" s="23" t="str">
        <f t="shared" si="166"/>
        <v>ORD26005173</v>
      </c>
      <c r="P3581" s="23" t="str">
        <f t="shared" si="167"/>
        <v>Sep</v>
      </c>
      <c r="Q3581" s="23" t="str">
        <f>IF(F3581="CAPTURE",IF(COUNTIF(orders!$A:$A,O3581)&gt;0,"Yes","NO ORDER"),"")</f>
        <v>Yes</v>
      </c>
    </row>
    <row r="3582" spans="1:17" ht="15" customHeight="1" x14ac:dyDescent="0.3">
      <c r="A3582" s="23" t="s">
        <v>16548</v>
      </c>
      <c r="B3582" s="23"/>
      <c r="C3582" s="23" t="s">
        <v>10893</v>
      </c>
      <c r="D3582" s="23" t="str">
        <f t="shared" si="165"/>
        <v>ORD26005227</v>
      </c>
      <c r="E3582" s="38">
        <v>46284</v>
      </c>
      <c r="F3582" s="23" t="s">
        <v>12410</v>
      </c>
      <c r="G3582" s="23" t="s">
        <v>77</v>
      </c>
      <c r="H3582" s="24">
        <v>6798</v>
      </c>
      <c r="I3582" s="24">
        <v>115.57</v>
      </c>
      <c r="J3582" s="24">
        <v>20.8</v>
      </c>
      <c r="K3582" s="24">
        <v>6661.63</v>
      </c>
      <c r="L3582" s="38">
        <v>46286</v>
      </c>
      <c r="M3582" s="23" t="s">
        <v>214</v>
      </c>
      <c r="N3582" s="23" t="str">
        <f>IF(COUNTIF($A$2:A3582,A3582)&gt;1,"DUP","OK")</f>
        <v>OK</v>
      </c>
      <c r="O3582" s="23" t="str">
        <f t="shared" si="166"/>
        <v>ORD26005227</v>
      </c>
      <c r="P3582" s="23" t="str">
        <f t="shared" si="167"/>
        <v>Sep</v>
      </c>
      <c r="Q3582" s="23" t="str">
        <f>IF(F3582="CAPTURE",IF(COUNTIF(orders!$A:$A,O3582)&gt;0,"Yes","NO ORDER"),"")</f>
        <v>Yes</v>
      </c>
    </row>
    <row r="3583" spans="1:17" ht="15" customHeight="1" x14ac:dyDescent="0.3">
      <c r="A3583" s="23" t="s">
        <v>16549</v>
      </c>
      <c r="B3583" s="23"/>
      <c r="C3583" s="23" t="s">
        <v>11128</v>
      </c>
      <c r="D3583" s="23" t="str">
        <f t="shared" si="165"/>
        <v>ORD26005348</v>
      </c>
      <c r="E3583" s="38">
        <v>46284</v>
      </c>
      <c r="F3583" s="23" t="s">
        <v>12410</v>
      </c>
      <c r="G3583" s="23" t="s">
        <v>75</v>
      </c>
      <c r="H3583" s="24">
        <v>499</v>
      </c>
      <c r="I3583" s="24">
        <v>0</v>
      </c>
      <c r="J3583" s="24">
        <v>0</v>
      </c>
      <c r="K3583" s="24">
        <v>499</v>
      </c>
      <c r="L3583" s="38">
        <v>46286</v>
      </c>
      <c r="M3583" s="23" t="s">
        <v>214</v>
      </c>
      <c r="N3583" s="23" t="str">
        <f>IF(COUNTIF($A$2:A3583,A3583)&gt;1,"DUP","OK")</f>
        <v>OK</v>
      </c>
      <c r="O3583" s="23" t="str">
        <f t="shared" si="166"/>
        <v>ORD26005348</v>
      </c>
      <c r="P3583" s="23" t="str">
        <f t="shared" si="167"/>
        <v>Sep</v>
      </c>
      <c r="Q3583" s="23" t="str">
        <f>IF(F3583="CAPTURE",IF(COUNTIF(orders!$A:$A,O3583)&gt;0,"Yes","NO ORDER"),"")</f>
        <v>Yes</v>
      </c>
    </row>
    <row r="3584" spans="1:17" ht="15" customHeight="1" x14ac:dyDescent="0.3">
      <c r="A3584" s="23" t="s">
        <v>16550</v>
      </c>
      <c r="B3584" s="23"/>
      <c r="C3584" s="23" t="s">
        <v>11303</v>
      </c>
      <c r="D3584" s="23" t="str">
        <f t="shared" si="165"/>
        <v>ORD26005436</v>
      </c>
      <c r="E3584" s="38">
        <v>46284</v>
      </c>
      <c r="F3584" s="23" t="s">
        <v>12410</v>
      </c>
      <c r="G3584" s="23" t="s">
        <v>79</v>
      </c>
      <c r="H3584" s="24">
        <v>6998</v>
      </c>
      <c r="I3584" s="24">
        <v>111.97</v>
      </c>
      <c r="J3584" s="24">
        <v>20.149999999999999</v>
      </c>
      <c r="K3584" s="24">
        <v>6865.88</v>
      </c>
      <c r="L3584" s="38">
        <v>46286</v>
      </c>
      <c r="M3584" s="23" t="s">
        <v>214</v>
      </c>
      <c r="N3584" s="23" t="str">
        <f>IF(COUNTIF($A$2:A3584,A3584)&gt;1,"DUP","OK")</f>
        <v>OK</v>
      </c>
      <c r="O3584" s="23" t="str">
        <f t="shared" si="166"/>
        <v>ORD26005436</v>
      </c>
      <c r="P3584" s="23" t="str">
        <f t="shared" si="167"/>
        <v>Sep</v>
      </c>
      <c r="Q3584" s="23" t="str">
        <f>IF(F3584="CAPTURE",IF(COUNTIF(orders!$A:$A,O3584)&gt;0,"Yes","NO ORDER"),"")</f>
        <v>Yes</v>
      </c>
    </row>
    <row r="3585" spans="1:17" ht="15" customHeight="1" x14ac:dyDescent="0.3">
      <c r="A3585" s="23" t="s">
        <v>16551</v>
      </c>
      <c r="B3585" s="23"/>
      <c r="C3585" s="23" t="s">
        <v>11356</v>
      </c>
      <c r="D3585" s="23" t="str">
        <f t="shared" si="165"/>
        <v>ORD26005463</v>
      </c>
      <c r="E3585" s="38">
        <v>46284</v>
      </c>
      <c r="F3585" s="23" t="s">
        <v>12410</v>
      </c>
      <c r="G3585" s="23" t="s">
        <v>75</v>
      </c>
      <c r="H3585" s="24">
        <v>599</v>
      </c>
      <c r="I3585" s="24">
        <v>0</v>
      </c>
      <c r="J3585" s="24">
        <v>0</v>
      </c>
      <c r="K3585" s="24">
        <v>599</v>
      </c>
      <c r="L3585" s="38">
        <v>46286</v>
      </c>
      <c r="M3585" s="23" t="s">
        <v>214</v>
      </c>
      <c r="N3585" s="23" t="str">
        <f>IF(COUNTIF($A$2:A3585,A3585)&gt;1,"DUP","OK")</f>
        <v>OK</v>
      </c>
      <c r="O3585" s="23" t="str">
        <f t="shared" si="166"/>
        <v>ORD26005463</v>
      </c>
      <c r="P3585" s="23" t="str">
        <f t="shared" si="167"/>
        <v>Sep</v>
      </c>
      <c r="Q3585" s="23" t="str">
        <f>IF(F3585="CAPTURE",IF(COUNTIF(orders!$A:$A,O3585)&gt;0,"Yes","NO ORDER"),"")</f>
        <v>Yes</v>
      </c>
    </row>
    <row r="3586" spans="1:17" ht="15" customHeight="1" x14ac:dyDescent="0.3">
      <c r="A3586" s="23" t="s">
        <v>16552</v>
      </c>
      <c r="B3586" s="23"/>
      <c r="C3586" s="23" t="s">
        <v>11360</v>
      </c>
      <c r="D3586" s="23" t="str">
        <f t="shared" ref="D3586:D3649" si="168">UPPER(SUBSTITUTE(TRIM(C3586),"-",""))</f>
        <v>ORD26005465</v>
      </c>
      <c r="E3586" s="38">
        <v>46284</v>
      </c>
      <c r="F3586" s="23" t="s">
        <v>12410</v>
      </c>
      <c r="G3586" s="23" t="s">
        <v>79</v>
      </c>
      <c r="H3586" s="24">
        <v>3598</v>
      </c>
      <c r="I3586" s="24">
        <v>57.57</v>
      </c>
      <c r="J3586" s="24">
        <v>10.36</v>
      </c>
      <c r="K3586" s="24">
        <v>3530.07</v>
      </c>
      <c r="L3586" s="38">
        <v>46286</v>
      </c>
      <c r="M3586" s="23" t="s">
        <v>214</v>
      </c>
      <c r="N3586" s="23" t="str">
        <f>IF(COUNTIF($A$2:A3586,A3586)&gt;1,"DUP","OK")</f>
        <v>OK</v>
      </c>
      <c r="O3586" s="23" t="str">
        <f t="shared" ref="O3586:O3649" si="169">IF(F3586="REFUND",INDEX($D:$D,MATCH(B3586,$A:$A,0)),D3586)</f>
        <v>ORD26005465</v>
      </c>
      <c r="P3586" s="23" t="str">
        <f t="shared" ref="P3586:P3649" si="170">IF(L3586&gt;DATE(2026,9,30),"Oct-Due","Sep")</f>
        <v>Sep</v>
      </c>
      <c r="Q3586" s="23" t="str">
        <f>IF(F3586="CAPTURE",IF(COUNTIF(orders!$A:$A,O3586)&gt;0,"Yes","NO ORDER"),"")</f>
        <v>Yes</v>
      </c>
    </row>
    <row r="3587" spans="1:17" ht="15" customHeight="1" x14ac:dyDescent="0.3">
      <c r="A3587" s="23" t="s">
        <v>16553</v>
      </c>
      <c r="B3587" s="23"/>
      <c r="C3587" s="23" t="s">
        <v>11368</v>
      </c>
      <c r="D3587" s="23" t="str">
        <f t="shared" si="168"/>
        <v>ORD26005469</v>
      </c>
      <c r="E3587" s="38">
        <v>46284</v>
      </c>
      <c r="F3587" s="23" t="s">
        <v>12410</v>
      </c>
      <c r="G3587" s="23" t="s">
        <v>75</v>
      </c>
      <c r="H3587" s="24">
        <v>2098</v>
      </c>
      <c r="I3587" s="24">
        <v>6.29</v>
      </c>
      <c r="J3587" s="24">
        <v>1.1299999999999999</v>
      </c>
      <c r="K3587" s="24">
        <v>2090.58</v>
      </c>
      <c r="L3587" s="38">
        <v>46286</v>
      </c>
      <c r="M3587" s="23" t="s">
        <v>214</v>
      </c>
      <c r="N3587" s="23" t="str">
        <f>IF(COUNTIF($A$2:A3587,A3587)&gt;1,"DUP","OK")</f>
        <v>OK</v>
      </c>
      <c r="O3587" s="23" t="str">
        <f t="shared" si="169"/>
        <v>ORD26005469</v>
      </c>
      <c r="P3587" s="23" t="str">
        <f t="shared" si="170"/>
        <v>Sep</v>
      </c>
      <c r="Q3587" s="23" t="str">
        <f>IF(F3587="CAPTURE",IF(COUNTIF(orders!$A:$A,O3587)&gt;0,"Yes","NO ORDER"),"")</f>
        <v>Yes</v>
      </c>
    </row>
    <row r="3588" spans="1:17" ht="15" customHeight="1" x14ac:dyDescent="0.3">
      <c r="A3588" s="23" t="s">
        <v>16554</v>
      </c>
      <c r="B3588" s="23"/>
      <c r="C3588" s="23" t="s">
        <v>11437</v>
      </c>
      <c r="D3588" s="23" t="str">
        <f t="shared" si="168"/>
        <v>ORD26005505</v>
      </c>
      <c r="E3588" s="38">
        <v>46284</v>
      </c>
      <c r="F3588" s="23" t="s">
        <v>12410</v>
      </c>
      <c r="G3588" s="23" t="s">
        <v>75</v>
      </c>
      <c r="H3588" s="24">
        <v>3498</v>
      </c>
      <c r="I3588" s="24">
        <v>10.49</v>
      </c>
      <c r="J3588" s="24">
        <v>1.89</v>
      </c>
      <c r="K3588" s="24">
        <v>3485.62</v>
      </c>
      <c r="L3588" s="38">
        <v>46286</v>
      </c>
      <c r="M3588" s="23" t="s">
        <v>214</v>
      </c>
      <c r="N3588" s="23" t="str">
        <f>IF(COUNTIF($A$2:A3588,A3588)&gt;1,"DUP","OK")</f>
        <v>OK</v>
      </c>
      <c r="O3588" s="23" t="str">
        <f t="shared" si="169"/>
        <v>ORD26005505</v>
      </c>
      <c r="P3588" s="23" t="str">
        <f t="shared" si="170"/>
        <v>Sep</v>
      </c>
      <c r="Q3588" s="23" t="str">
        <f>IF(F3588="CAPTURE",IF(COUNTIF(orders!$A:$A,O3588)&gt;0,"Yes","NO ORDER"),"")</f>
        <v>Yes</v>
      </c>
    </row>
    <row r="3589" spans="1:17" ht="15" customHeight="1" x14ac:dyDescent="0.3">
      <c r="A3589" s="23" t="s">
        <v>16555</v>
      </c>
      <c r="B3589" s="23"/>
      <c r="C3589" s="23" t="s">
        <v>11523</v>
      </c>
      <c r="D3589" s="23" t="str">
        <f t="shared" si="168"/>
        <v>ORD26005549</v>
      </c>
      <c r="E3589" s="38">
        <v>46284</v>
      </c>
      <c r="F3589" s="23" t="s">
        <v>12410</v>
      </c>
      <c r="G3589" s="23" t="s">
        <v>81</v>
      </c>
      <c r="H3589" s="24">
        <v>7999</v>
      </c>
      <c r="I3589" s="24">
        <v>95.99</v>
      </c>
      <c r="J3589" s="24">
        <v>17.28</v>
      </c>
      <c r="K3589" s="24">
        <v>7885.73</v>
      </c>
      <c r="L3589" s="38">
        <v>46286</v>
      </c>
      <c r="M3589" s="23" t="s">
        <v>214</v>
      </c>
      <c r="N3589" s="23" t="str">
        <f>IF(COUNTIF($A$2:A3589,A3589)&gt;1,"DUP","OK")</f>
        <v>OK</v>
      </c>
      <c r="O3589" s="23" t="str">
        <f t="shared" si="169"/>
        <v>ORD26005549</v>
      </c>
      <c r="P3589" s="23" t="str">
        <f t="shared" si="170"/>
        <v>Sep</v>
      </c>
      <c r="Q3589" s="23" t="str">
        <f>IF(F3589="CAPTURE",IF(COUNTIF(orders!$A:$A,O3589)&gt;0,"Yes","NO ORDER"),"")</f>
        <v>Yes</v>
      </c>
    </row>
    <row r="3590" spans="1:17" ht="15" customHeight="1" x14ac:dyDescent="0.3">
      <c r="A3590" s="23" t="s">
        <v>16556</v>
      </c>
      <c r="B3590" s="23"/>
      <c r="C3590" s="23" t="s">
        <v>11623</v>
      </c>
      <c r="D3590" s="23" t="str">
        <f t="shared" si="168"/>
        <v>ORD26005601</v>
      </c>
      <c r="E3590" s="38">
        <v>46284</v>
      </c>
      <c r="F3590" s="23" t="s">
        <v>12410</v>
      </c>
      <c r="G3590" s="23" t="s">
        <v>75</v>
      </c>
      <c r="H3590" s="24">
        <v>349</v>
      </c>
      <c r="I3590" s="24">
        <v>0</v>
      </c>
      <c r="J3590" s="24">
        <v>0</v>
      </c>
      <c r="K3590" s="24">
        <v>349</v>
      </c>
      <c r="L3590" s="38">
        <v>46286</v>
      </c>
      <c r="M3590" s="23" t="s">
        <v>214</v>
      </c>
      <c r="N3590" s="23" t="str">
        <f>IF(COUNTIF($A$2:A3590,A3590)&gt;1,"DUP","OK")</f>
        <v>OK</v>
      </c>
      <c r="O3590" s="23" t="str">
        <f t="shared" si="169"/>
        <v>ORD26005601</v>
      </c>
      <c r="P3590" s="23" t="str">
        <f t="shared" si="170"/>
        <v>Sep</v>
      </c>
      <c r="Q3590" s="23" t="str">
        <f>IF(F3590="CAPTURE",IF(COUNTIF(orders!$A:$A,O3590)&gt;0,"Yes","NO ORDER"),"")</f>
        <v>Yes</v>
      </c>
    </row>
    <row r="3591" spans="1:17" ht="15" customHeight="1" x14ac:dyDescent="0.3">
      <c r="A3591" s="23" t="s">
        <v>16557</v>
      </c>
      <c r="B3591" s="23"/>
      <c r="C3591" s="23" t="s">
        <v>11636</v>
      </c>
      <c r="D3591" s="23" t="str">
        <f t="shared" si="168"/>
        <v>ORD26005607</v>
      </c>
      <c r="E3591" s="38">
        <v>46284</v>
      </c>
      <c r="F3591" s="23" t="s">
        <v>12410</v>
      </c>
      <c r="G3591" s="23" t="s">
        <v>75</v>
      </c>
      <c r="H3591" s="24">
        <v>1499</v>
      </c>
      <c r="I3591" s="24">
        <v>0</v>
      </c>
      <c r="J3591" s="24">
        <v>0</v>
      </c>
      <c r="K3591" s="24">
        <v>1499</v>
      </c>
      <c r="L3591" s="38">
        <v>46286</v>
      </c>
      <c r="M3591" s="23" t="s">
        <v>214</v>
      </c>
      <c r="N3591" s="23" t="str">
        <f>IF(COUNTIF($A$2:A3591,A3591)&gt;1,"DUP","OK")</f>
        <v>OK</v>
      </c>
      <c r="O3591" s="23" t="str">
        <f t="shared" si="169"/>
        <v>ORD26005607</v>
      </c>
      <c r="P3591" s="23" t="str">
        <f t="shared" si="170"/>
        <v>Sep</v>
      </c>
      <c r="Q3591" s="23" t="str">
        <f>IF(F3591="CAPTURE",IF(COUNTIF(orders!$A:$A,O3591)&gt;0,"Yes","NO ORDER"),"")</f>
        <v>Yes</v>
      </c>
    </row>
    <row r="3592" spans="1:17" ht="15" customHeight="1" x14ac:dyDescent="0.3">
      <c r="A3592" s="23" t="s">
        <v>16558</v>
      </c>
      <c r="B3592" s="23"/>
      <c r="C3592" s="23" t="s">
        <v>16559</v>
      </c>
      <c r="D3592" s="23" t="str">
        <f t="shared" si="168"/>
        <v>ORD26005635</v>
      </c>
      <c r="E3592" s="38">
        <v>46284</v>
      </c>
      <c r="F3592" s="23" t="s">
        <v>12410</v>
      </c>
      <c r="G3592" s="23" t="s">
        <v>79</v>
      </c>
      <c r="H3592" s="24">
        <v>4498</v>
      </c>
      <c r="I3592" s="24">
        <v>71.97</v>
      </c>
      <c r="J3592" s="24">
        <v>12.95</v>
      </c>
      <c r="K3592" s="24">
        <v>4413.08</v>
      </c>
      <c r="L3592" s="38">
        <v>46286</v>
      </c>
      <c r="M3592" s="23" t="s">
        <v>214</v>
      </c>
      <c r="N3592" s="23" t="str">
        <f>IF(COUNTIF($A$2:A3592,A3592)&gt;1,"DUP","OK")</f>
        <v>OK</v>
      </c>
      <c r="O3592" s="23" t="str">
        <f t="shared" si="169"/>
        <v>ORD26005635</v>
      </c>
      <c r="P3592" s="23" t="str">
        <f t="shared" si="170"/>
        <v>Sep</v>
      </c>
      <c r="Q3592" s="23" t="str">
        <f>IF(F3592="CAPTURE",IF(COUNTIF(orders!$A:$A,O3592)&gt;0,"Yes","NO ORDER"),"")</f>
        <v>Yes</v>
      </c>
    </row>
    <row r="3593" spans="1:17" ht="15" customHeight="1" x14ac:dyDescent="0.3">
      <c r="A3593" s="23" t="s">
        <v>16560</v>
      </c>
      <c r="B3593" s="23"/>
      <c r="C3593" s="23" t="s">
        <v>11770</v>
      </c>
      <c r="D3593" s="23" t="str">
        <f t="shared" si="168"/>
        <v>ORD26005676</v>
      </c>
      <c r="E3593" s="38">
        <v>46284</v>
      </c>
      <c r="F3593" s="23" t="s">
        <v>12410</v>
      </c>
      <c r="G3593" s="23" t="s">
        <v>81</v>
      </c>
      <c r="H3593" s="24">
        <v>4998</v>
      </c>
      <c r="I3593" s="24">
        <v>59.98</v>
      </c>
      <c r="J3593" s="24">
        <v>10.8</v>
      </c>
      <c r="K3593" s="24">
        <v>4927.22</v>
      </c>
      <c r="L3593" s="38">
        <v>46286</v>
      </c>
      <c r="M3593" s="23" t="s">
        <v>214</v>
      </c>
      <c r="N3593" s="23" t="str">
        <f>IF(COUNTIF($A$2:A3593,A3593)&gt;1,"DUP","OK")</f>
        <v>OK</v>
      </c>
      <c r="O3593" s="23" t="str">
        <f t="shared" si="169"/>
        <v>ORD26005676</v>
      </c>
      <c r="P3593" s="23" t="str">
        <f t="shared" si="170"/>
        <v>Sep</v>
      </c>
      <c r="Q3593" s="23" t="str">
        <f>IF(F3593="CAPTURE",IF(COUNTIF(orders!$A:$A,O3593)&gt;0,"Yes","NO ORDER"),"")</f>
        <v>Yes</v>
      </c>
    </row>
    <row r="3594" spans="1:17" ht="15" customHeight="1" x14ac:dyDescent="0.3">
      <c r="A3594" s="23" t="s">
        <v>16561</v>
      </c>
      <c r="B3594" s="23"/>
      <c r="C3594" s="23" t="s">
        <v>11776</v>
      </c>
      <c r="D3594" s="23" t="str">
        <f t="shared" si="168"/>
        <v>ORD26005679</v>
      </c>
      <c r="E3594" s="38">
        <v>46284</v>
      </c>
      <c r="F3594" s="23" t="s">
        <v>12410</v>
      </c>
      <c r="G3594" s="23" t="s">
        <v>79</v>
      </c>
      <c r="H3594" s="24">
        <v>3098</v>
      </c>
      <c r="I3594" s="24">
        <v>49.57</v>
      </c>
      <c r="J3594" s="24">
        <v>8.92</v>
      </c>
      <c r="K3594" s="24">
        <v>3039.51</v>
      </c>
      <c r="L3594" s="38">
        <v>46286</v>
      </c>
      <c r="M3594" s="23" t="s">
        <v>214</v>
      </c>
      <c r="N3594" s="23" t="str">
        <f>IF(COUNTIF($A$2:A3594,A3594)&gt;1,"DUP","OK")</f>
        <v>OK</v>
      </c>
      <c r="O3594" s="23" t="str">
        <f t="shared" si="169"/>
        <v>ORD26005679</v>
      </c>
      <c r="P3594" s="23" t="str">
        <f t="shared" si="170"/>
        <v>Sep</v>
      </c>
      <c r="Q3594" s="23" t="str">
        <f>IF(F3594="CAPTURE",IF(COUNTIF(orders!$A:$A,O3594)&gt;0,"Yes","NO ORDER"),"")</f>
        <v>Yes</v>
      </c>
    </row>
    <row r="3595" spans="1:17" ht="15" customHeight="1" x14ac:dyDescent="0.3">
      <c r="A3595" s="23" t="s">
        <v>16562</v>
      </c>
      <c r="B3595" s="23"/>
      <c r="C3595" s="23" t="s">
        <v>11783</v>
      </c>
      <c r="D3595" s="23" t="str">
        <f t="shared" si="168"/>
        <v>ORD26005683</v>
      </c>
      <c r="E3595" s="38">
        <v>46284</v>
      </c>
      <c r="F3595" s="23" t="s">
        <v>12410</v>
      </c>
      <c r="G3595" s="23" t="s">
        <v>75</v>
      </c>
      <c r="H3595" s="24">
        <v>7097</v>
      </c>
      <c r="I3595" s="24">
        <v>21.29</v>
      </c>
      <c r="J3595" s="24">
        <v>3.83</v>
      </c>
      <c r="K3595" s="24">
        <v>7071.88</v>
      </c>
      <c r="L3595" s="38">
        <v>46286</v>
      </c>
      <c r="M3595" s="23" t="s">
        <v>214</v>
      </c>
      <c r="N3595" s="23" t="str">
        <f>IF(COUNTIF($A$2:A3595,A3595)&gt;1,"DUP","OK")</f>
        <v>OK</v>
      </c>
      <c r="O3595" s="23" t="str">
        <f t="shared" si="169"/>
        <v>ORD26005683</v>
      </c>
      <c r="P3595" s="23" t="str">
        <f t="shared" si="170"/>
        <v>Sep</v>
      </c>
      <c r="Q3595" s="23" t="str">
        <f>IF(F3595="CAPTURE",IF(COUNTIF(orders!$A:$A,O3595)&gt;0,"Yes","NO ORDER"),"")</f>
        <v>Yes</v>
      </c>
    </row>
    <row r="3596" spans="1:17" ht="15" customHeight="1" x14ac:dyDescent="0.3">
      <c r="A3596" s="23" t="s">
        <v>16563</v>
      </c>
      <c r="B3596" s="23"/>
      <c r="C3596" s="23" t="s">
        <v>11867</v>
      </c>
      <c r="D3596" s="23" t="str">
        <f t="shared" si="168"/>
        <v>ORD26005726</v>
      </c>
      <c r="E3596" s="38">
        <v>46284</v>
      </c>
      <c r="F3596" s="23" t="s">
        <v>12410</v>
      </c>
      <c r="G3596" s="23" t="s">
        <v>75</v>
      </c>
      <c r="H3596" s="24">
        <v>7999</v>
      </c>
      <c r="I3596" s="24">
        <v>24</v>
      </c>
      <c r="J3596" s="24">
        <v>4.32</v>
      </c>
      <c r="K3596" s="24">
        <v>7970.68</v>
      </c>
      <c r="L3596" s="38">
        <v>46286</v>
      </c>
      <c r="M3596" s="23" t="s">
        <v>214</v>
      </c>
      <c r="N3596" s="23" t="str">
        <f>IF(COUNTIF($A$2:A3596,A3596)&gt;1,"DUP","OK")</f>
        <v>OK</v>
      </c>
      <c r="O3596" s="23" t="str">
        <f t="shared" si="169"/>
        <v>ORD26005726</v>
      </c>
      <c r="P3596" s="23" t="str">
        <f t="shared" si="170"/>
        <v>Sep</v>
      </c>
      <c r="Q3596" s="23" t="str">
        <f>IF(F3596="CAPTURE",IF(COUNTIF(orders!$A:$A,O3596)&gt;0,"Yes","NO ORDER"),"")</f>
        <v>Yes</v>
      </c>
    </row>
    <row r="3597" spans="1:17" ht="15" customHeight="1" x14ac:dyDescent="0.3">
      <c r="A3597" s="23" t="s">
        <v>16564</v>
      </c>
      <c r="B3597" s="23"/>
      <c r="C3597" s="23" t="s">
        <v>12024</v>
      </c>
      <c r="D3597" s="23" t="str">
        <f t="shared" si="168"/>
        <v>ORD26005806</v>
      </c>
      <c r="E3597" s="38">
        <v>46284</v>
      </c>
      <c r="F3597" s="23" t="s">
        <v>12410</v>
      </c>
      <c r="G3597" s="23" t="s">
        <v>75</v>
      </c>
      <c r="H3597" s="24">
        <v>2298</v>
      </c>
      <c r="I3597" s="24">
        <v>6.89</v>
      </c>
      <c r="J3597" s="24">
        <v>1.24</v>
      </c>
      <c r="K3597" s="24">
        <v>2289.87</v>
      </c>
      <c r="L3597" s="38">
        <v>46286</v>
      </c>
      <c r="M3597" s="23" t="s">
        <v>214</v>
      </c>
      <c r="N3597" s="23" t="str">
        <f>IF(COUNTIF($A$2:A3597,A3597)&gt;1,"DUP","OK")</f>
        <v>OK</v>
      </c>
      <c r="O3597" s="23" t="str">
        <f t="shared" si="169"/>
        <v>ORD26005806</v>
      </c>
      <c r="P3597" s="23" t="str">
        <f t="shared" si="170"/>
        <v>Sep</v>
      </c>
      <c r="Q3597" s="23" t="str">
        <f>IF(F3597="CAPTURE",IF(COUNTIF(orders!$A:$A,O3597)&gt;0,"Yes","NO ORDER"),"")</f>
        <v>Yes</v>
      </c>
    </row>
    <row r="3598" spans="1:17" ht="15" customHeight="1" x14ac:dyDescent="0.3">
      <c r="A3598" s="23" t="s">
        <v>16565</v>
      </c>
      <c r="B3598" s="23"/>
      <c r="C3598" s="23" t="s">
        <v>12116</v>
      </c>
      <c r="D3598" s="23" t="str">
        <f t="shared" si="168"/>
        <v>ORD26005855</v>
      </c>
      <c r="E3598" s="38">
        <v>46284</v>
      </c>
      <c r="F3598" s="23" t="s">
        <v>12410</v>
      </c>
      <c r="G3598" s="23" t="s">
        <v>75</v>
      </c>
      <c r="H3598" s="24">
        <v>2999</v>
      </c>
      <c r="I3598" s="24">
        <v>9</v>
      </c>
      <c r="J3598" s="24">
        <v>1.62</v>
      </c>
      <c r="K3598" s="24">
        <v>2988.38</v>
      </c>
      <c r="L3598" s="38">
        <v>46286</v>
      </c>
      <c r="M3598" s="23" t="s">
        <v>214</v>
      </c>
      <c r="N3598" s="23" t="str">
        <f>IF(COUNTIF($A$2:A3598,A3598)&gt;1,"DUP","OK")</f>
        <v>OK</v>
      </c>
      <c r="O3598" s="23" t="str">
        <f t="shared" si="169"/>
        <v>ORD26005855</v>
      </c>
      <c r="P3598" s="23" t="str">
        <f t="shared" si="170"/>
        <v>Sep</v>
      </c>
      <c r="Q3598" s="23" t="str">
        <f>IF(F3598="CAPTURE",IF(COUNTIF(orders!$A:$A,O3598)&gt;0,"Yes","NO ORDER"),"")</f>
        <v>Yes</v>
      </c>
    </row>
    <row r="3599" spans="1:17" ht="15" customHeight="1" x14ac:dyDescent="0.3">
      <c r="A3599" s="23" t="s">
        <v>16566</v>
      </c>
      <c r="B3599" s="23"/>
      <c r="C3599" s="23" t="s">
        <v>12206</v>
      </c>
      <c r="D3599" s="23" t="str">
        <f t="shared" si="168"/>
        <v>ORD26005903</v>
      </c>
      <c r="E3599" s="38">
        <v>46284</v>
      </c>
      <c r="F3599" s="23" t="s">
        <v>12410</v>
      </c>
      <c r="G3599" s="23" t="s">
        <v>75</v>
      </c>
      <c r="H3599" s="24">
        <v>599</v>
      </c>
      <c r="I3599" s="24">
        <v>0</v>
      </c>
      <c r="J3599" s="24">
        <v>0</v>
      </c>
      <c r="K3599" s="24">
        <v>599</v>
      </c>
      <c r="L3599" s="38">
        <v>46286</v>
      </c>
      <c r="M3599" s="23" t="s">
        <v>214</v>
      </c>
      <c r="N3599" s="23" t="str">
        <f>IF(COUNTIF($A$2:A3599,A3599)&gt;1,"DUP","OK")</f>
        <v>OK</v>
      </c>
      <c r="O3599" s="23" t="str">
        <f t="shared" si="169"/>
        <v>ORD26005903</v>
      </c>
      <c r="P3599" s="23" t="str">
        <f t="shared" si="170"/>
        <v>Sep</v>
      </c>
      <c r="Q3599" s="23" t="str">
        <f>IF(F3599="CAPTURE",IF(COUNTIF(orders!$A:$A,O3599)&gt;0,"Yes","NO ORDER"),"")</f>
        <v>Yes</v>
      </c>
    </row>
    <row r="3600" spans="1:17" ht="15" customHeight="1" x14ac:dyDescent="0.3">
      <c r="A3600" s="23" t="s">
        <v>16567</v>
      </c>
      <c r="B3600" s="23"/>
      <c r="C3600" s="23" t="s">
        <v>12257</v>
      </c>
      <c r="D3600" s="23" t="str">
        <f t="shared" si="168"/>
        <v>ORD26005929</v>
      </c>
      <c r="E3600" s="38">
        <v>46284</v>
      </c>
      <c r="F3600" s="23" t="s">
        <v>12410</v>
      </c>
      <c r="G3600" s="23" t="s">
        <v>81</v>
      </c>
      <c r="H3600" s="24">
        <v>349</v>
      </c>
      <c r="I3600" s="24">
        <v>5.24</v>
      </c>
      <c r="J3600" s="24">
        <v>0.94</v>
      </c>
      <c r="K3600" s="24">
        <v>342.82</v>
      </c>
      <c r="L3600" s="38">
        <v>46286</v>
      </c>
      <c r="M3600" s="23" t="s">
        <v>214</v>
      </c>
      <c r="N3600" s="23" t="str">
        <f>IF(COUNTIF($A$2:A3600,A3600)&gt;1,"DUP","OK")</f>
        <v>OK</v>
      </c>
      <c r="O3600" s="23" t="str">
        <f t="shared" si="169"/>
        <v>ORD26005929</v>
      </c>
      <c r="P3600" s="23" t="str">
        <f t="shared" si="170"/>
        <v>Sep</v>
      </c>
      <c r="Q3600" s="23" t="str">
        <f>IF(F3600="CAPTURE",IF(COUNTIF(orders!$A:$A,O3600)&gt;0,"Yes","NO ORDER"),"")</f>
        <v>Yes</v>
      </c>
    </row>
    <row r="3601" spans="1:17" ht="15" customHeight="1" x14ac:dyDescent="0.3">
      <c r="A3601" s="23" t="s">
        <v>16568</v>
      </c>
      <c r="B3601" s="23"/>
      <c r="C3601" s="23" t="s">
        <v>12386</v>
      </c>
      <c r="D3601" s="23" t="str">
        <f t="shared" si="168"/>
        <v>ORD26005997</v>
      </c>
      <c r="E3601" s="38">
        <v>46284</v>
      </c>
      <c r="F3601" s="23" t="s">
        <v>12410</v>
      </c>
      <c r="G3601" s="23" t="s">
        <v>75</v>
      </c>
      <c r="H3601" s="24">
        <v>9297</v>
      </c>
      <c r="I3601" s="24">
        <v>27.89</v>
      </c>
      <c r="J3601" s="24">
        <v>5.0199999999999996</v>
      </c>
      <c r="K3601" s="24">
        <v>9264.09</v>
      </c>
      <c r="L3601" s="38">
        <v>46286</v>
      </c>
      <c r="M3601" s="23" t="s">
        <v>214</v>
      </c>
      <c r="N3601" s="23" t="str">
        <f>IF(COUNTIF($A$2:A3601,A3601)&gt;1,"DUP","OK")</f>
        <v>OK</v>
      </c>
      <c r="O3601" s="23" t="str">
        <f t="shared" si="169"/>
        <v>ORD26005997</v>
      </c>
      <c r="P3601" s="23" t="str">
        <f t="shared" si="170"/>
        <v>Sep</v>
      </c>
      <c r="Q3601" s="23" t="str">
        <f>IF(F3601="CAPTURE",IF(COUNTIF(orders!$A:$A,O3601)&gt;0,"Yes","NO ORDER"),"")</f>
        <v>Yes</v>
      </c>
    </row>
    <row r="3602" spans="1:17" ht="15" customHeight="1" x14ac:dyDescent="0.3">
      <c r="A3602" s="23" t="s">
        <v>16569</v>
      </c>
      <c r="B3602" s="23" t="s">
        <v>15998</v>
      </c>
      <c r="C3602" s="23"/>
      <c r="D3602" s="23" t="str">
        <f t="shared" si="168"/>
        <v/>
      </c>
      <c r="E3602" s="38">
        <v>46284</v>
      </c>
      <c r="F3602" s="23" t="s">
        <v>12791</v>
      </c>
      <c r="G3602" s="23" t="s">
        <v>75</v>
      </c>
      <c r="H3602" s="24">
        <v>1498</v>
      </c>
      <c r="I3602" s="24">
        <v>0</v>
      </c>
      <c r="J3602" s="24">
        <v>0</v>
      </c>
      <c r="K3602" s="24">
        <v>-1498</v>
      </c>
      <c r="L3602" s="38">
        <v>46286</v>
      </c>
      <c r="M3602" s="23" t="s">
        <v>214</v>
      </c>
      <c r="N3602" s="23" t="str">
        <f>IF(COUNTIF($A$2:A3602,A3602)&gt;1,"DUP","OK")</f>
        <v>OK</v>
      </c>
      <c r="O3602" s="23" t="str">
        <f t="shared" si="169"/>
        <v>ORD26001486</v>
      </c>
      <c r="P3602" s="23" t="str">
        <f t="shared" si="170"/>
        <v>Sep</v>
      </c>
      <c r="Q3602" s="23" t="str">
        <f>IF(F3602="CAPTURE",IF(COUNTIF(orders!$A:$A,O3602)&gt;0,"Yes","NO ORDER"),"")</f>
        <v/>
      </c>
    </row>
    <row r="3603" spans="1:17" ht="15" customHeight="1" x14ac:dyDescent="0.3">
      <c r="A3603" s="23" t="s">
        <v>16570</v>
      </c>
      <c r="B3603" s="23" t="s">
        <v>15631</v>
      </c>
      <c r="C3603" s="23"/>
      <c r="D3603" s="23" t="str">
        <f t="shared" si="168"/>
        <v/>
      </c>
      <c r="E3603" s="38">
        <v>46284</v>
      </c>
      <c r="F3603" s="23" t="s">
        <v>12791</v>
      </c>
      <c r="G3603" s="23" t="s">
        <v>75</v>
      </c>
      <c r="H3603" s="24">
        <v>799</v>
      </c>
      <c r="I3603" s="24">
        <v>0</v>
      </c>
      <c r="J3603" s="24">
        <v>0</v>
      </c>
      <c r="K3603" s="24">
        <v>-799</v>
      </c>
      <c r="L3603" s="38">
        <v>46286</v>
      </c>
      <c r="M3603" s="23" t="s">
        <v>214</v>
      </c>
      <c r="N3603" s="23" t="str">
        <f>IF(COUNTIF($A$2:A3603,A3603)&gt;1,"DUP","OK")</f>
        <v>OK</v>
      </c>
      <c r="O3603" s="23" t="str">
        <f t="shared" si="169"/>
        <v>ORD26002667</v>
      </c>
      <c r="P3603" s="23" t="str">
        <f t="shared" si="170"/>
        <v>Sep</v>
      </c>
      <c r="Q3603" s="23" t="str">
        <f>IF(F3603="CAPTURE",IF(COUNTIF(orders!$A:$A,O3603)&gt;0,"Yes","NO ORDER"),"")</f>
        <v/>
      </c>
    </row>
    <row r="3604" spans="1:17" ht="15" customHeight="1" x14ac:dyDescent="0.3">
      <c r="A3604" s="23" t="s">
        <v>16571</v>
      </c>
      <c r="B3604" s="23" t="s">
        <v>16306</v>
      </c>
      <c r="C3604" s="23"/>
      <c r="D3604" s="23" t="str">
        <f t="shared" si="168"/>
        <v/>
      </c>
      <c r="E3604" s="38">
        <v>46284</v>
      </c>
      <c r="F3604" s="23" t="s">
        <v>12791</v>
      </c>
      <c r="G3604" s="23" t="s">
        <v>79</v>
      </c>
      <c r="H3604" s="24">
        <v>13597</v>
      </c>
      <c r="I3604" s="24">
        <v>0</v>
      </c>
      <c r="J3604" s="24">
        <v>0</v>
      </c>
      <c r="K3604" s="24">
        <v>-13597</v>
      </c>
      <c r="L3604" s="38">
        <v>46286</v>
      </c>
      <c r="M3604" s="23" t="s">
        <v>214</v>
      </c>
      <c r="N3604" s="23" t="str">
        <f>IF(COUNTIF($A$2:A3604,A3604)&gt;1,"DUP","OK")</f>
        <v>OK</v>
      </c>
      <c r="O3604" s="23" t="str">
        <f t="shared" si="169"/>
        <v>ORD26004682</v>
      </c>
      <c r="P3604" s="23" t="str">
        <f t="shared" si="170"/>
        <v>Sep</v>
      </c>
      <c r="Q3604" s="23" t="str">
        <f>IF(F3604="CAPTURE",IF(COUNTIF(orders!$A:$A,O3604)&gt;0,"Yes","NO ORDER"),"")</f>
        <v/>
      </c>
    </row>
    <row r="3605" spans="1:17" ht="15" customHeight="1" x14ac:dyDescent="0.3">
      <c r="A3605" s="23" t="s">
        <v>16572</v>
      </c>
      <c r="B3605" s="23" t="s">
        <v>15557</v>
      </c>
      <c r="C3605" s="23"/>
      <c r="D3605" s="23" t="str">
        <f t="shared" si="168"/>
        <v/>
      </c>
      <c r="E3605" s="38">
        <v>46284</v>
      </c>
      <c r="F3605" s="23" t="s">
        <v>12791</v>
      </c>
      <c r="G3605" s="23" t="s">
        <v>75</v>
      </c>
      <c r="H3605" s="24">
        <v>4999</v>
      </c>
      <c r="I3605" s="24">
        <v>0</v>
      </c>
      <c r="J3605" s="24">
        <v>0</v>
      </c>
      <c r="K3605" s="24">
        <v>-4999</v>
      </c>
      <c r="L3605" s="38">
        <v>46286</v>
      </c>
      <c r="M3605" s="23" t="s">
        <v>214</v>
      </c>
      <c r="N3605" s="23" t="str">
        <f>IF(COUNTIF($A$2:A3605,A3605)&gt;1,"DUP","OK")</f>
        <v>OK</v>
      </c>
      <c r="O3605" s="23" t="str">
        <f t="shared" si="169"/>
        <v>ORD26000365</v>
      </c>
      <c r="P3605" s="23" t="str">
        <f t="shared" si="170"/>
        <v>Sep</v>
      </c>
      <c r="Q3605" s="23" t="str">
        <f>IF(F3605="CAPTURE",IF(COUNTIF(orders!$A:$A,O3605)&gt;0,"Yes","NO ORDER"),"")</f>
        <v/>
      </c>
    </row>
    <row r="3606" spans="1:17" ht="15" customHeight="1" x14ac:dyDescent="0.3">
      <c r="A3606" s="23" t="s">
        <v>16573</v>
      </c>
      <c r="B3606" s="23" t="s">
        <v>15219</v>
      </c>
      <c r="C3606" s="23"/>
      <c r="D3606" s="23" t="str">
        <f t="shared" si="168"/>
        <v/>
      </c>
      <c r="E3606" s="38">
        <v>46284</v>
      </c>
      <c r="F3606" s="23" t="s">
        <v>12791</v>
      </c>
      <c r="G3606" s="23" t="s">
        <v>75</v>
      </c>
      <c r="H3606" s="24">
        <v>4999</v>
      </c>
      <c r="I3606" s="24">
        <v>0</v>
      </c>
      <c r="J3606" s="24">
        <v>0</v>
      </c>
      <c r="K3606" s="24">
        <v>-4999</v>
      </c>
      <c r="L3606" s="38">
        <v>46286</v>
      </c>
      <c r="M3606" s="23" t="s">
        <v>214</v>
      </c>
      <c r="N3606" s="23" t="str">
        <f>IF(COUNTIF($A$2:A3606,A3606)&gt;1,"DUP","OK")</f>
        <v>OK</v>
      </c>
      <c r="O3606" s="23" t="str">
        <f t="shared" si="169"/>
        <v>ORD26004106</v>
      </c>
      <c r="P3606" s="23" t="str">
        <f t="shared" si="170"/>
        <v>Sep</v>
      </c>
      <c r="Q3606" s="23" t="str">
        <f>IF(F3606="CAPTURE",IF(COUNTIF(orders!$A:$A,O3606)&gt;0,"Yes","NO ORDER"),"")</f>
        <v/>
      </c>
    </row>
    <row r="3607" spans="1:17" ht="15" customHeight="1" x14ac:dyDescent="0.3">
      <c r="A3607" s="23" t="s">
        <v>16574</v>
      </c>
      <c r="B3607" s="23" t="s">
        <v>15413</v>
      </c>
      <c r="C3607" s="23"/>
      <c r="D3607" s="23" t="str">
        <f t="shared" si="168"/>
        <v/>
      </c>
      <c r="E3607" s="38">
        <v>46284</v>
      </c>
      <c r="F3607" s="23" t="s">
        <v>12791</v>
      </c>
      <c r="G3607" s="23" t="s">
        <v>75</v>
      </c>
      <c r="H3607" s="24">
        <v>999</v>
      </c>
      <c r="I3607" s="24">
        <v>0</v>
      </c>
      <c r="J3607" s="24">
        <v>0</v>
      </c>
      <c r="K3607" s="24">
        <v>-999</v>
      </c>
      <c r="L3607" s="38">
        <v>46286</v>
      </c>
      <c r="M3607" s="23" t="s">
        <v>214</v>
      </c>
      <c r="N3607" s="23" t="str">
        <f>IF(COUNTIF($A$2:A3607,A3607)&gt;1,"DUP","OK")</f>
        <v>OK</v>
      </c>
      <c r="O3607" s="23" t="str">
        <f t="shared" si="169"/>
        <v>ORD26003059</v>
      </c>
      <c r="P3607" s="23" t="str">
        <f t="shared" si="170"/>
        <v>Sep</v>
      </c>
      <c r="Q3607" s="23" t="str">
        <f>IF(F3607="CAPTURE",IF(COUNTIF(orders!$A:$A,O3607)&gt;0,"Yes","NO ORDER"),"")</f>
        <v/>
      </c>
    </row>
    <row r="3608" spans="1:17" ht="15" customHeight="1" x14ac:dyDescent="0.3">
      <c r="A3608" s="23" t="s">
        <v>16575</v>
      </c>
      <c r="B3608" s="23" t="s">
        <v>16032</v>
      </c>
      <c r="C3608" s="23"/>
      <c r="D3608" s="23" t="str">
        <f t="shared" si="168"/>
        <v/>
      </c>
      <c r="E3608" s="38">
        <v>46284</v>
      </c>
      <c r="F3608" s="23" t="s">
        <v>12791</v>
      </c>
      <c r="G3608" s="23" t="s">
        <v>79</v>
      </c>
      <c r="H3608" s="24">
        <v>349</v>
      </c>
      <c r="I3608" s="24">
        <v>0</v>
      </c>
      <c r="J3608" s="24">
        <v>0</v>
      </c>
      <c r="K3608" s="24">
        <v>-349</v>
      </c>
      <c r="L3608" s="38">
        <v>46286</v>
      </c>
      <c r="M3608" s="23" t="s">
        <v>214</v>
      </c>
      <c r="N3608" s="23" t="str">
        <f>IF(COUNTIF($A$2:A3608,A3608)&gt;1,"DUP","OK")</f>
        <v>OK</v>
      </c>
      <c r="O3608" s="23" t="str">
        <f t="shared" si="169"/>
        <v>ORD26002098</v>
      </c>
      <c r="P3608" s="23" t="str">
        <f t="shared" si="170"/>
        <v>Sep</v>
      </c>
      <c r="Q3608" s="23" t="str">
        <f>IF(F3608="CAPTURE",IF(COUNTIF(orders!$A:$A,O3608)&gt;0,"Yes","NO ORDER"),"")</f>
        <v/>
      </c>
    </row>
    <row r="3609" spans="1:17" ht="15" customHeight="1" x14ac:dyDescent="0.3">
      <c r="A3609" s="23" t="s">
        <v>16576</v>
      </c>
      <c r="B3609" s="23" t="s">
        <v>15798</v>
      </c>
      <c r="C3609" s="23"/>
      <c r="D3609" s="23" t="str">
        <f t="shared" si="168"/>
        <v/>
      </c>
      <c r="E3609" s="38">
        <v>46284</v>
      </c>
      <c r="F3609" s="23" t="s">
        <v>12791</v>
      </c>
      <c r="G3609" s="23" t="s">
        <v>77</v>
      </c>
      <c r="H3609" s="24">
        <v>3499</v>
      </c>
      <c r="I3609" s="24">
        <v>0</v>
      </c>
      <c r="J3609" s="24">
        <v>0</v>
      </c>
      <c r="K3609" s="24">
        <v>-3499</v>
      </c>
      <c r="L3609" s="38">
        <v>46286</v>
      </c>
      <c r="M3609" s="23" t="s">
        <v>214</v>
      </c>
      <c r="N3609" s="23" t="str">
        <f>IF(COUNTIF($A$2:A3609,A3609)&gt;1,"DUP","OK")</f>
        <v>OK</v>
      </c>
      <c r="O3609" s="23" t="str">
        <f t="shared" si="169"/>
        <v>ORD26001166</v>
      </c>
      <c r="P3609" s="23" t="str">
        <f t="shared" si="170"/>
        <v>Sep</v>
      </c>
      <c r="Q3609" s="23" t="str">
        <f>IF(F3609="CAPTURE",IF(COUNTIF(orders!$A:$A,O3609)&gt;0,"Yes","NO ORDER"),"")</f>
        <v/>
      </c>
    </row>
    <row r="3610" spans="1:17" ht="15" customHeight="1" x14ac:dyDescent="0.3">
      <c r="A3610" s="23" t="s">
        <v>16577</v>
      </c>
      <c r="B3610" s="23" t="s">
        <v>15942</v>
      </c>
      <c r="C3610" s="23"/>
      <c r="D3610" s="23" t="str">
        <f t="shared" si="168"/>
        <v/>
      </c>
      <c r="E3610" s="38">
        <v>46284</v>
      </c>
      <c r="F3610" s="23" t="s">
        <v>12791</v>
      </c>
      <c r="G3610" s="23" t="s">
        <v>75</v>
      </c>
      <c r="H3610" s="24">
        <v>648</v>
      </c>
      <c r="I3610" s="24">
        <v>0</v>
      </c>
      <c r="J3610" s="24">
        <v>0</v>
      </c>
      <c r="K3610" s="24">
        <v>-648</v>
      </c>
      <c r="L3610" s="38">
        <v>46286</v>
      </c>
      <c r="M3610" s="23" t="s">
        <v>214</v>
      </c>
      <c r="N3610" s="23" t="str">
        <f>IF(COUNTIF($A$2:A3610,A3610)&gt;1,"DUP","OK")</f>
        <v>OK</v>
      </c>
      <c r="O3610" s="23" t="str">
        <f t="shared" si="169"/>
        <v>ORD26005793</v>
      </c>
      <c r="P3610" s="23" t="str">
        <f t="shared" si="170"/>
        <v>Sep</v>
      </c>
      <c r="Q3610" s="23" t="str">
        <f>IF(F3610="CAPTURE",IF(COUNTIF(orders!$A:$A,O3610)&gt;0,"Yes","NO ORDER"),"")</f>
        <v/>
      </c>
    </row>
    <row r="3611" spans="1:17" ht="15" customHeight="1" x14ac:dyDescent="0.3">
      <c r="A3611" s="23" t="s">
        <v>16578</v>
      </c>
      <c r="B3611" s="23" t="s">
        <v>15581</v>
      </c>
      <c r="C3611" s="23"/>
      <c r="D3611" s="23" t="str">
        <f t="shared" si="168"/>
        <v/>
      </c>
      <c r="E3611" s="38">
        <v>46284</v>
      </c>
      <c r="F3611" s="23" t="s">
        <v>12791</v>
      </c>
      <c r="G3611" s="23" t="s">
        <v>79</v>
      </c>
      <c r="H3611" s="24">
        <v>12297</v>
      </c>
      <c r="I3611" s="24">
        <v>0</v>
      </c>
      <c r="J3611" s="24">
        <v>0</v>
      </c>
      <c r="K3611" s="24">
        <v>-12297</v>
      </c>
      <c r="L3611" s="38">
        <v>46286</v>
      </c>
      <c r="M3611" s="23" t="s">
        <v>214</v>
      </c>
      <c r="N3611" s="23" t="str">
        <f>IF(COUNTIF($A$2:A3611,A3611)&gt;1,"DUP","OK")</f>
        <v>OK</v>
      </c>
      <c r="O3611" s="23" t="str">
        <f t="shared" si="169"/>
        <v>ORD26001184</v>
      </c>
      <c r="P3611" s="23" t="str">
        <f t="shared" si="170"/>
        <v>Sep</v>
      </c>
      <c r="Q3611" s="23" t="str">
        <f>IF(F3611="CAPTURE",IF(COUNTIF(orders!$A:$A,O3611)&gt;0,"Yes","NO ORDER"),"")</f>
        <v/>
      </c>
    </row>
    <row r="3612" spans="1:17" ht="15" customHeight="1" x14ac:dyDescent="0.3">
      <c r="A3612" s="23" t="s">
        <v>16579</v>
      </c>
      <c r="B3612" s="23" t="s">
        <v>15549</v>
      </c>
      <c r="C3612" s="23"/>
      <c r="D3612" s="23" t="str">
        <f t="shared" si="168"/>
        <v/>
      </c>
      <c r="E3612" s="38">
        <v>46284</v>
      </c>
      <c r="F3612" s="23" t="s">
        <v>12791</v>
      </c>
      <c r="G3612" s="23" t="s">
        <v>79</v>
      </c>
      <c r="H3612" s="24">
        <v>8798</v>
      </c>
      <c r="I3612" s="24">
        <v>0</v>
      </c>
      <c r="J3612" s="24">
        <v>0</v>
      </c>
      <c r="K3612" s="24">
        <v>-8798</v>
      </c>
      <c r="L3612" s="38">
        <v>46286</v>
      </c>
      <c r="M3612" s="23" t="s">
        <v>214</v>
      </c>
      <c r="N3612" s="23" t="str">
        <f>IF(COUNTIF($A$2:A3612,A3612)&gt;1,"DUP","OK")</f>
        <v>OK</v>
      </c>
      <c r="O3612" s="23" t="str">
        <f t="shared" si="169"/>
        <v>ORD26000299</v>
      </c>
      <c r="P3612" s="23" t="str">
        <f t="shared" si="170"/>
        <v>Sep</v>
      </c>
      <c r="Q3612" s="23" t="str">
        <f>IF(F3612="CAPTURE",IF(COUNTIF(orders!$A:$A,O3612)&gt;0,"Yes","NO ORDER"),"")</f>
        <v/>
      </c>
    </row>
    <row r="3613" spans="1:17" ht="15" customHeight="1" x14ac:dyDescent="0.3">
      <c r="A3613" s="23" t="s">
        <v>16580</v>
      </c>
      <c r="B3613" s="23"/>
      <c r="C3613" s="23" t="s">
        <v>278</v>
      </c>
      <c r="D3613" s="23" t="str">
        <f t="shared" si="168"/>
        <v>ORD26000011</v>
      </c>
      <c r="E3613" s="38">
        <v>46285</v>
      </c>
      <c r="F3613" s="23" t="s">
        <v>12410</v>
      </c>
      <c r="G3613" s="23" t="s">
        <v>75</v>
      </c>
      <c r="H3613" s="24">
        <v>5797</v>
      </c>
      <c r="I3613" s="24">
        <v>17.39</v>
      </c>
      <c r="J3613" s="24">
        <v>3.13</v>
      </c>
      <c r="K3613" s="24">
        <v>5776.48</v>
      </c>
      <c r="L3613" s="38">
        <v>46287</v>
      </c>
      <c r="M3613" s="23" t="s">
        <v>216</v>
      </c>
      <c r="N3613" s="23" t="str">
        <f>IF(COUNTIF($A$2:A3613,A3613)&gt;1,"DUP","OK")</f>
        <v>OK</v>
      </c>
      <c r="O3613" s="23" t="str">
        <f t="shared" si="169"/>
        <v>ORD26000011</v>
      </c>
      <c r="P3613" s="23" t="str">
        <f t="shared" si="170"/>
        <v>Sep</v>
      </c>
      <c r="Q3613" s="23" t="str">
        <f>IF(F3613="CAPTURE",IF(COUNTIF(orders!$A:$A,O3613)&gt;0,"Yes","NO ORDER"),"")</f>
        <v>Yes</v>
      </c>
    </row>
    <row r="3614" spans="1:17" ht="15" customHeight="1" x14ac:dyDescent="0.3">
      <c r="A3614" s="23" t="s">
        <v>16581</v>
      </c>
      <c r="B3614" s="23"/>
      <c r="C3614" s="23" t="s">
        <v>434</v>
      </c>
      <c r="D3614" s="23" t="str">
        <f t="shared" si="168"/>
        <v>ORD26000070</v>
      </c>
      <c r="E3614" s="38">
        <v>46285</v>
      </c>
      <c r="F3614" s="23" t="s">
        <v>12410</v>
      </c>
      <c r="G3614" s="23" t="s">
        <v>75</v>
      </c>
      <c r="H3614" s="24">
        <v>2098</v>
      </c>
      <c r="I3614" s="24">
        <v>6.29</v>
      </c>
      <c r="J3614" s="24">
        <v>1.1299999999999999</v>
      </c>
      <c r="K3614" s="24">
        <v>2090.58</v>
      </c>
      <c r="L3614" s="38">
        <v>46287</v>
      </c>
      <c r="M3614" s="23" t="s">
        <v>216</v>
      </c>
      <c r="N3614" s="23" t="str">
        <f>IF(COUNTIF($A$2:A3614,A3614)&gt;1,"DUP","OK")</f>
        <v>OK</v>
      </c>
      <c r="O3614" s="23" t="str">
        <f t="shared" si="169"/>
        <v>ORD26000070</v>
      </c>
      <c r="P3614" s="23" t="str">
        <f t="shared" si="170"/>
        <v>Sep</v>
      </c>
      <c r="Q3614" s="23" t="str">
        <f>IF(F3614="CAPTURE",IF(COUNTIF(orders!$A:$A,O3614)&gt;0,"Yes","NO ORDER"),"")</f>
        <v>Yes</v>
      </c>
    </row>
    <row r="3615" spans="1:17" ht="15" customHeight="1" x14ac:dyDescent="0.3">
      <c r="A3615" s="23" t="s">
        <v>16582</v>
      </c>
      <c r="B3615" s="23"/>
      <c r="C3615" s="23" t="s">
        <v>512</v>
      </c>
      <c r="D3615" s="23" t="str">
        <f t="shared" si="168"/>
        <v>ORD26000103</v>
      </c>
      <c r="E3615" s="38">
        <v>46285</v>
      </c>
      <c r="F3615" s="23" t="s">
        <v>12410</v>
      </c>
      <c r="G3615" s="23" t="s">
        <v>81</v>
      </c>
      <c r="H3615" s="24">
        <v>6498</v>
      </c>
      <c r="I3615" s="24">
        <v>77.98</v>
      </c>
      <c r="J3615" s="24">
        <v>14.04</v>
      </c>
      <c r="K3615" s="24">
        <v>6405.98</v>
      </c>
      <c r="L3615" s="38">
        <v>46287</v>
      </c>
      <c r="M3615" s="23" t="s">
        <v>216</v>
      </c>
      <c r="N3615" s="23" t="str">
        <f>IF(COUNTIF($A$2:A3615,A3615)&gt;1,"DUP","OK")</f>
        <v>OK</v>
      </c>
      <c r="O3615" s="23" t="str">
        <f t="shared" si="169"/>
        <v>ORD26000103</v>
      </c>
      <c r="P3615" s="23" t="str">
        <f t="shared" si="170"/>
        <v>Sep</v>
      </c>
      <c r="Q3615" s="23" t="str">
        <f>IF(F3615="CAPTURE",IF(COUNTIF(orders!$A:$A,O3615)&gt;0,"Yes","NO ORDER"),"")</f>
        <v>Yes</v>
      </c>
    </row>
    <row r="3616" spans="1:17" ht="15" customHeight="1" x14ac:dyDescent="0.3">
      <c r="A3616" s="23" t="s">
        <v>16583</v>
      </c>
      <c r="B3616" s="23"/>
      <c r="C3616" s="23" t="s">
        <v>660</v>
      </c>
      <c r="D3616" s="23" t="str">
        <f t="shared" si="168"/>
        <v>ORD26000165</v>
      </c>
      <c r="E3616" s="38">
        <v>46285</v>
      </c>
      <c r="F3616" s="23" t="s">
        <v>12410</v>
      </c>
      <c r="G3616" s="23" t="s">
        <v>77</v>
      </c>
      <c r="H3616" s="24">
        <v>3499</v>
      </c>
      <c r="I3616" s="24">
        <v>59.48</v>
      </c>
      <c r="J3616" s="24">
        <v>10.71</v>
      </c>
      <c r="K3616" s="24">
        <v>3428.81</v>
      </c>
      <c r="L3616" s="38">
        <v>46287</v>
      </c>
      <c r="M3616" s="23" t="s">
        <v>216</v>
      </c>
      <c r="N3616" s="23" t="str">
        <f>IF(COUNTIF($A$2:A3616,A3616)&gt;1,"DUP","OK")</f>
        <v>OK</v>
      </c>
      <c r="O3616" s="23" t="str">
        <f t="shared" si="169"/>
        <v>ORD26000165</v>
      </c>
      <c r="P3616" s="23" t="str">
        <f t="shared" si="170"/>
        <v>Sep</v>
      </c>
      <c r="Q3616" s="23" t="str">
        <f>IF(F3616="CAPTURE",IF(COUNTIF(orders!$A:$A,O3616)&gt;0,"Yes","NO ORDER"),"")</f>
        <v>Yes</v>
      </c>
    </row>
    <row r="3617" spans="1:17" ht="15" customHeight="1" x14ac:dyDescent="0.3">
      <c r="A3617" s="23" t="s">
        <v>16584</v>
      </c>
      <c r="B3617" s="23"/>
      <c r="C3617" s="23" t="s">
        <v>748</v>
      </c>
      <c r="D3617" s="23" t="str">
        <f t="shared" si="168"/>
        <v>ORD26000204</v>
      </c>
      <c r="E3617" s="38">
        <v>46285</v>
      </c>
      <c r="F3617" s="23" t="s">
        <v>12410</v>
      </c>
      <c r="G3617" s="23" t="s">
        <v>79</v>
      </c>
      <c r="H3617" s="24">
        <v>299</v>
      </c>
      <c r="I3617" s="24">
        <v>5.38</v>
      </c>
      <c r="J3617" s="24">
        <v>0.97</v>
      </c>
      <c r="K3617" s="24">
        <v>292.64999999999998</v>
      </c>
      <c r="L3617" s="38">
        <v>46287</v>
      </c>
      <c r="M3617" s="23" t="s">
        <v>216</v>
      </c>
      <c r="N3617" s="23" t="str">
        <f>IF(COUNTIF($A$2:A3617,A3617)&gt;1,"DUP","OK")</f>
        <v>OK</v>
      </c>
      <c r="O3617" s="23" t="str">
        <f t="shared" si="169"/>
        <v>ORD26000204</v>
      </c>
      <c r="P3617" s="23" t="str">
        <f t="shared" si="170"/>
        <v>Sep</v>
      </c>
      <c r="Q3617" s="23" t="str">
        <f>IF(F3617="CAPTURE",IF(COUNTIF(orders!$A:$A,O3617)&gt;0,"Yes","NO ORDER"),"")</f>
        <v>Yes</v>
      </c>
    </row>
    <row r="3618" spans="1:17" ht="15" customHeight="1" x14ac:dyDescent="0.3">
      <c r="A3618" s="23" t="s">
        <v>16585</v>
      </c>
      <c r="B3618" s="23"/>
      <c r="C3618" s="23" t="s">
        <v>806</v>
      </c>
      <c r="D3618" s="23" t="str">
        <f t="shared" si="168"/>
        <v>ORD26000226</v>
      </c>
      <c r="E3618" s="38">
        <v>46285</v>
      </c>
      <c r="F3618" s="23" t="s">
        <v>12410</v>
      </c>
      <c r="G3618" s="23" t="s">
        <v>75</v>
      </c>
      <c r="H3618" s="24">
        <v>999</v>
      </c>
      <c r="I3618" s="24">
        <v>0</v>
      </c>
      <c r="J3618" s="24">
        <v>0</v>
      </c>
      <c r="K3618" s="24">
        <v>999</v>
      </c>
      <c r="L3618" s="38">
        <v>46287</v>
      </c>
      <c r="M3618" s="23" t="s">
        <v>216</v>
      </c>
      <c r="N3618" s="23" t="str">
        <f>IF(COUNTIF($A$2:A3618,A3618)&gt;1,"DUP","OK")</f>
        <v>OK</v>
      </c>
      <c r="O3618" s="23" t="str">
        <f t="shared" si="169"/>
        <v>ORD26000226</v>
      </c>
      <c r="P3618" s="23" t="str">
        <f t="shared" si="170"/>
        <v>Sep</v>
      </c>
      <c r="Q3618" s="23" t="str">
        <f>IF(F3618="CAPTURE",IF(COUNTIF(orders!$A:$A,O3618)&gt;0,"Yes","NO ORDER"),"")</f>
        <v>Yes</v>
      </c>
    </row>
    <row r="3619" spans="1:17" ht="15" customHeight="1" x14ac:dyDescent="0.3">
      <c r="A3619" s="23" t="s">
        <v>16586</v>
      </c>
      <c r="B3619" s="23"/>
      <c r="C3619" s="23" t="s">
        <v>853</v>
      </c>
      <c r="D3619" s="23" t="str">
        <f t="shared" si="168"/>
        <v>ORD26000246</v>
      </c>
      <c r="E3619" s="38">
        <v>46285</v>
      </c>
      <c r="F3619" s="23" t="s">
        <v>12410</v>
      </c>
      <c r="G3619" s="23" t="s">
        <v>75</v>
      </c>
      <c r="H3619" s="24">
        <v>349</v>
      </c>
      <c r="I3619" s="24">
        <v>0</v>
      </c>
      <c r="J3619" s="24">
        <v>0</v>
      </c>
      <c r="K3619" s="24">
        <v>349</v>
      </c>
      <c r="L3619" s="38">
        <v>46287</v>
      </c>
      <c r="M3619" s="23" t="s">
        <v>216</v>
      </c>
      <c r="N3619" s="23" t="str">
        <f>IF(COUNTIF($A$2:A3619,A3619)&gt;1,"DUP","OK")</f>
        <v>OK</v>
      </c>
      <c r="O3619" s="23" t="str">
        <f t="shared" si="169"/>
        <v>ORD26000246</v>
      </c>
      <c r="P3619" s="23" t="str">
        <f t="shared" si="170"/>
        <v>Sep</v>
      </c>
      <c r="Q3619" s="23" t="str">
        <f>IF(F3619="CAPTURE",IF(COUNTIF(orders!$A:$A,O3619)&gt;0,"Yes","NO ORDER"),"")</f>
        <v>Yes</v>
      </c>
    </row>
    <row r="3620" spans="1:17" ht="15" customHeight="1" x14ac:dyDescent="0.3">
      <c r="A3620" s="23" t="s">
        <v>16587</v>
      </c>
      <c r="B3620" s="23"/>
      <c r="C3620" s="23" t="s">
        <v>899</v>
      </c>
      <c r="D3620" s="23" t="str">
        <f t="shared" si="168"/>
        <v>ORD26000268</v>
      </c>
      <c r="E3620" s="38">
        <v>46285</v>
      </c>
      <c r="F3620" s="23" t="s">
        <v>12410</v>
      </c>
      <c r="G3620" s="23" t="s">
        <v>75</v>
      </c>
      <c r="H3620" s="24">
        <v>2999</v>
      </c>
      <c r="I3620" s="24">
        <v>9</v>
      </c>
      <c r="J3620" s="24">
        <v>1.62</v>
      </c>
      <c r="K3620" s="24">
        <v>2988.38</v>
      </c>
      <c r="L3620" s="38">
        <v>46287</v>
      </c>
      <c r="M3620" s="23" t="s">
        <v>216</v>
      </c>
      <c r="N3620" s="23" t="str">
        <f>IF(COUNTIF($A$2:A3620,A3620)&gt;1,"DUP","OK")</f>
        <v>OK</v>
      </c>
      <c r="O3620" s="23" t="str">
        <f t="shared" si="169"/>
        <v>ORD26000268</v>
      </c>
      <c r="P3620" s="23" t="str">
        <f t="shared" si="170"/>
        <v>Sep</v>
      </c>
      <c r="Q3620" s="23" t="str">
        <f>IF(F3620="CAPTURE",IF(COUNTIF(orders!$A:$A,O3620)&gt;0,"Yes","NO ORDER"),"")</f>
        <v>Yes</v>
      </c>
    </row>
    <row r="3621" spans="1:17" ht="15" customHeight="1" x14ac:dyDescent="0.3">
      <c r="A3621" s="23" t="s">
        <v>16588</v>
      </c>
      <c r="B3621" s="23"/>
      <c r="C3621" s="23" t="s">
        <v>993</v>
      </c>
      <c r="D3621" s="23" t="str">
        <f t="shared" si="168"/>
        <v>ORD26000313</v>
      </c>
      <c r="E3621" s="38">
        <v>46285</v>
      </c>
      <c r="F3621" s="23" t="s">
        <v>12410</v>
      </c>
      <c r="G3621" s="23" t="s">
        <v>75</v>
      </c>
      <c r="H3621" s="24">
        <v>1198</v>
      </c>
      <c r="I3621" s="24">
        <v>0</v>
      </c>
      <c r="J3621" s="24">
        <v>0</v>
      </c>
      <c r="K3621" s="24">
        <v>1198</v>
      </c>
      <c r="L3621" s="38">
        <v>46287</v>
      </c>
      <c r="M3621" s="23" t="s">
        <v>216</v>
      </c>
      <c r="N3621" s="23" t="str">
        <f>IF(COUNTIF($A$2:A3621,A3621)&gt;1,"DUP","OK")</f>
        <v>OK</v>
      </c>
      <c r="O3621" s="23" t="str">
        <f t="shared" si="169"/>
        <v>ORD26000313</v>
      </c>
      <c r="P3621" s="23" t="str">
        <f t="shared" si="170"/>
        <v>Sep</v>
      </c>
      <c r="Q3621" s="23" t="str">
        <f>IF(F3621="CAPTURE",IF(COUNTIF(orders!$A:$A,O3621)&gt;0,"Yes","NO ORDER"),"")</f>
        <v>Yes</v>
      </c>
    </row>
    <row r="3622" spans="1:17" ht="15" customHeight="1" x14ac:dyDescent="0.3">
      <c r="A3622" s="23" t="s">
        <v>16589</v>
      </c>
      <c r="B3622" s="23"/>
      <c r="C3622" s="23" t="s">
        <v>1158</v>
      </c>
      <c r="D3622" s="23" t="str">
        <f t="shared" si="168"/>
        <v>ORD26000387</v>
      </c>
      <c r="E3622" s="38">
        <v>46285</v>
      </c>
      <c r="F3622" s="23" t="s">
        <v>12410</v>
      </c>
      <c r="G3622" s="23" t="s">
        <v>75</v>
      </c>
      <c r="H3622" s="24">
        <v>3798</v>
      </c>
      <c r="I3622" s="24">
        <v>11.39</v>
      </c>
      <c r="J3622" s="24">
        <v>2.0499999999999998</v>
      </c>
      <c r="K3622" s="24">
        <v>3784.56</v>
      </c>
      <c r="L3622" s="38">
        <v>46287</v>
      </c>
      <c r="M3622" s="23" t="s">
        <v>216</v>
      </c>
      <c r="N3622" s="23" t="str">
        <f>IF(COUNTIF($A$2:A3622,A3622)&gt;1,"DUP","OK")</f>
        <v>OK</v>
      </c>
      <c r="O3622" s="23" t="str">
        <f t="shared" si="169"/>
        <v>ORD26000387</v>
      </c>
      <c r="P3622" s="23" t="str">
        <f t="shared" si="170"/>
        <v>Sep</v>
      </c>
      <c r="Q3622" s="23" t="str">
        <f>IF(F3622="CAPTURE",IF(COUNTIF(orders!$A:$A,O3622)&gt;0,"Yes","NO ORDER"),"")</f>
        <v>Yes</v>
      </c>
    </row>
    <row r="3623" spans="1:17" ht="15" customHeight="1" x14ac:dyDescent="0.3">
      <c r="A3623" s="23" t="s">
        <v>16590</v>
      </c>
      <c r="B3623" s="23"/>
      <c r="C3623" s="23" t="s">
        <v>1172</v>
      </c>
      <c r="D3623" s="23" t="str">
        <f t="shared" si="168"/>
        <v>ORD26000394</v>
      </c>
      <c r="E3623" s="38">
        <v>46285</v>
      </c>
      <c r="F3623" s="23" t="s">
        <v>12410</v>
      </c>
      <c r="G3623" s="23" t="s">
        <v>75</v>
      </c>
      <c r="H3623" s="24">
        <v>7999</v>
      </c>
      <c r="I3623" s="24">
        <v>24</v>
      </c>
      <c r="J3623" s="24">
        <v>4.32</v>
      </c>
      <c r="K3623" s="24">
        <v>7970.68</v>
      </c>
      <c r="L3623" s="38">
        <v>46287</v>
      </c>
      <c r="M3623" s="23" t="s">
        <v>216</v>
      </c>
      <c r="N3623" s="23" t="str">
        <f>IF(COUNTIF($A$2:A3623,A3623)&gt;1,"DUP","OK")</f>
        <v>OK</v>
      </c>
      <c r="O3623" s="23" t="str">
        <f t="shared" si="169"/>
        <v>ORD26000394</v>
      </c>
      <c r="P3623" s="23" t="str">
        <f t="shared" si="170"/>
        <v>Sep</v>
      </c>
      <c r="Q3623" s="23" t="str">
        <f>IF(F3623="CAPTURE",IF(COUNTIF(orders!$A:$A,O3623)&gt;0,"Yes","NO ORDER"),"")</f>
        <v>Yes</v>
      </c>
    </row>
    <row r="3624" spans="1:17" ht="15" customHeight="1" x14ac:dyDescent="0.3">
      <c r="A3624" s="23" t="s">
        <v>16591</v>
      </c>
      <c r="B3624" s="23"/>
      <c r="C3624" s="23" t="s">
        <v>1180</v>
      </c>
      <c r="D3624" s="23" t="str">
        <f t="shared" si="168"/>
        <v>ORD26000398</v>
      </c>
      <c r="E3624" s="38">
        <v>46285</v>
      </c>
      <c r="F3624" s="23" t="s">
        <v>12410</v>
      </c>
      <c r="G3624" s="23" t="s">
        <v>75</v>
      </c>
      <c r="H3624" s="24">
        <v>2098</v>
      </c>
      <c r="I3624" s="24">
        <v>6.29</v>
      </c>
      <c r="J3624" s="24">
        <v>1.1299999999999999</v>
      </c>
      <c r="K3624" s="24">
        <v>2090.58</v>
      </c>
      <c r="L3624" s="38">
        <v>46287</v>
      </c>
      <c r="M3624" s="23" t="s">
        <v>216</v>
      </c>
      <c r="N3624" s="23" t="str">
        <f>IF(COUNTIF($A$2:A3624,A3624)&gt;1,"DUP","OK")</f>
        <v>OK</v>
      </c>
      <c r="O3624" s="23" t="str">
        <f t="shared" si="169"/>
        <v>ORD26000398</v>
      </c>
      <c r="P3624" s="23" t="str">
        <f t="shared" si="170"/>
        <v>Sep</v>
      </c>
      <c r="Q3624" s="23" t="str">
        <f>IF(F3624="CAPTURE",IF(COUNTIF(orders!$A:$A,O3624)&gt;0,"Yes","NO ORDER"),"")</f>
        <v>Yes</v>
      </c>
    </row>
    <row r="3625" spans="1:17" ht="15" customHeight="1" x14ac:dyDescent="0.3">
      <c r="A3625" s="23" t="s">
        <v>16592</v>
      </c>
      <c r="B3625" s="23"/>
      <c r="C3625" s="23" t="s">
        <v>1191</v>
      </c>
      <c r="D3625" s="23" t="str">
        <f t="shared" si="168"/>
        <v>ORD26000403</v>
      </c>
      <c r="E3625" s="38">
        <v>46285</v>
      </c>
      <c r="F3625" s="23" t="s">
        <v>12410</v>
      </c>
      <c r="G3625" s="23" t="s">
        <v>75</v>
      </c>
      <c r="H3625" s="24">
        <v>3498</v>
      </c>
      <c r="I3625" s="24">
        <v>10.49</v>
      </c>
      <c r="J3625" s="24">
        <v>1.89</v>
      </c>
      <c r="K3625" s="24">
        <v>3485.62</v>
      </c>
      <c r="L3625" s="38">
        <v>46287</v>
      </c>
      <c r="M3625" s="23" t="s">
        <v>216</v>
      </c>
      <c r="N3625" s="23" t="str">
        <f>IF(COUNTIF($A$2:A3625,A3625)&gt;1,"DUP","OK")</f>
        <v>OK</v>
      </c>
      <c r="O3625" s="23" t="str">
        <f t="shared" si="169"/>
        <v>ORD26000403</v>
      </c>
      <c r="P3625" s="23" t="str">
        <f t="shared" si="170"/>
        <v>Sep</v>
      </c>
      <c r="Q3625" s="23" t="str">
        <f>IF(F3625="CAPTURE",IF(COUNTIF(orders!$A:$A,O3625)&gt;0,"Yes","NO ORDER"),"")</f>
        <v>Yes</v>
      </c>
    </row>
    <row r="3626" spans="1:17" ht="15" customHeight="1" x14ac:dyDescent="0.3">
      <c r="A3626" s="23" t="s">
        <v>16593</v>
      </c>
      <c r="B3626" s="23"/>
      <c r="C3626" s="23" t="s">
        <v>16594</v>
      </c>
      <c r="D3626" s="23" t="str">
        <f t="shared" si="168"/>
        <v>ORD26000409</v>
      </c>
      <c r="E3626" s="38">
        <v>46285</v>
      </c>
      <c r="F3626" s="23" t="s">
        <v>12410</v>
      </c>
      <c r="G3626" s="23" t="s">
        <v>75</v>
      </c>
      <c r="H3626" s="24">
        <v>7297</v>
      </c>
      <c r="I3626" s="24">
        <v>21.89</v>
      </c>
      <c r="J3626" s="24">
        <v>3.94</v>
      </c>
      <c r="K3626" s="24">
        <v>7271.17</v>
      </c>
      <c r="L3626" s="38">
        <v>46287</v>
      </c>
      <c r="M3626" s="23" t="s">
        <v>216</v>
      </c>
      <c r="N3626" s="23" t="str">
        <f>IF(COUNTIF($A$2:A3626,A3626)&gt;1,"DUP","OK")</f>
        <v>OK</v>
      </c>
      <c r="O3626" s="23" t="str">
        <f t="shared" si="169"/>
        <v>ORD26000409</v>
      </c>
      <c r="P3626" s="23" t="str">
        <f t="shared" si="170"/>
        <v>Sep</v>
      </c>
      <c r="Q3626" s="23" t="str">
        <f>IF(F3626="CAPTURE",IF(COUNTIF(orders!$A:$A,O3626)&gt;0,"Yes","NO ORDER"),"")</f>
        <v>Yes</v>
      </c>
    </row>
    <row r="3627" spans="1:17" ht="15" customHeight="1" x14ac:dyDescent="0.3">
      <c r="A3627" s="23" t="s">
        <v>16595</v>
      </c>
      <c r="B3627" s="23"/>
      <c r="C3627" s="23" t="s">
        <v>1266</v>
      </c>
      <c r="D3627" s="23" t="str">
        <f t="shared" si="168"/>
        <v>ORD26000437</v>
      </c>
      <c r="E3627" s="38">
        <v>46285</v>
      </c>
      <c r="F3627" s="23" t="s">
        <v>12410</v>
      </c>
      <c r="G3627" s="23" t="s">
        <v>75</v>
      </c>
      <c r="H3627" s="24">
        <v>4999</v>
      </c>
      <c r="I3627" s="24">
        <v>15</v>
      </c>
      <c r="J3627" s="24">
        <v>2.7</v>
      </c>
      <c r="K3627" s="24">
        <v>4981.3</v>
      </c>
      <c r="L3627" s="38">
        <v>46287</v>
      </c>
      <c r="M3627" s="23" t="s">
        <v>216</v>
      </c>
      <c r="N3627" s="23" t="str">
        <f>IF(COUNTIF($A$2:A3627,A3627)&gt;1,"DUP","OK")</f>
        <v>OK</v>
      </c>
      <c r="O3627" s="23" t="str">
        <f t="shared" si="169"/>
        <v>ORD26000437</v>
      </c>
      <c r="P3627" s="23" t="str">
        <f t="shared" si="170"/>
        <v>Sep</v>
      </c>
      <c r="Q3627" s="23" t="str">
        <f>IF(F3627="CAPTURE",IF(COUNTIF(orders!$A:$A,O3627)&gt;0,"Yes","NO ORDER"),"")</f>
        <v>Yes</v>
      </c>
    </row>
    <row r="3628" spans="1:17" ht="15" customHeight="1" x14ac:dyDescent="0.3">
      <c r="A3628" s="23" t="s">
        <v>16596</v>
      </c>
      <c r="B3628" s="23"/>
      <c r="C3628" s="23" t="s">
        <v>1660</v>
      </c>
      <c r="D3628" s="23" t="str">
        <f t="shared" si="168"/>
        <v>ORD26000616</v>
      </c>
      <c r="E3628" s="38">
        <v>46285</v>
      </c>
      <c r="F3628" s="23" t="s">
        <v>12410</v>
      </c>
      <c r="G3628" s="23" t="s">
        <v>79</v>
      </c>
      <c r="H3628" s="24">
        <v>4397</v>
      </c>
      <c r="I3628" s="24">
        <v>70.349999999999994</v>
      </c>
      <c r="J3628" s="24">
        <v>12.66</v>
      </c>
      <c r="K3628" s="24">
        <v>4313.99</v>
      </c>
      <c r="L3628" s="38">
        <v>46287</v>
      </c>
      <c r="M3628" s="23" t="s">
        <v>216</v>
      </c>
      <c r="N3628" s="23" t="str">
        <f>IF(COUNTIF($A$2:A3628,A3628)&gt;1,"DUP","OK")</f>
        <v>OK</v>
      </c>
      <c r="O3628" s="23" t="str">
        <f t="shared" si="169"/>
        <v>ORD26000616</v>
      </c>
      <c r="P3628" s="23" t="str">
        <f t="shared" si="170"/>
        <v>Sep</v>
      </c>
      <c r="Q3628" s="23" t="str">
        <f>IF(F3628="CAPTURE",IF(COUNTIF(orders!$A:$A,O3628)&gt;0,"Yes","NO ORDER"),"")</f>
        <v>Yes</v>
      </c>
    </row>
    <row r="3629" spans="1:17" ht="15" customHeight="1" x14ac:dyDescent="0.3">
      <c r="A3629" s="23" t="s">
        <v>16597</v>
      </c>
      <c r="B3629" s="23"/>
      <c r="C3629" s="23" t="s">
        <v>1665</v>
      </c>
      <c r="D3629" s="23" t="str">
        <f t="shared" si="168"/>
        <v>ORD26000618</v>
      </c>
      <c r="E3629" s="38">
        <v>46285</v>
      </c>
      <c r="F3629" s="23" t="s">
        <v>12410</v>
      </c>
      <c r="G3629" s="23" t="s">
        <v>75</v>
      </c>
      <c r="H3629" s="24">
        <v>6498</v>
      </c>
      <c r="I3629" s="24">
        <v>19.489999999999998</v>
      </c>
      <c r="J3629" s="24">
        <v>3.51</v>
      </c>
      <c r="K3629" s="24">
        <v>6475</v>
      </c>
      <c r="L3629" s="38">
        <v>46287</v>
      </c>
      <c r="M3629" s="23" t="s">
        <v>216</v>
      </c>
      <c r="N3629" s="23" t="str">
        <f>IF(COUNTIF($A$2:A3629,A3629)&gt;1,"DUP","OK")</f>
        <v>OK</v>
      </c>
      <c r="O3629" s="23" t="str">
        <f t="shared" si="169"/>
        <v>ORD26000618</v>
      </c>
      <c r="P3629" s="23" t="str">
        <f t="shared" si="170"/>
        <v>Sep</v>
      </c>
      <c r="Q3629" s="23" t="str">
        <f>IF(F3629="CAPTURE",IF(COUNTIF(orders!$A:$A,O3629)&gt;0,"Yes","NO ORDER"),"")</f>
        <v>Yes</v>
      </c>
    </row>
    <row r="3630" spans="1:17" ht="15" customHeight="1" x14ac:dyDescent="0.3">
      <c r="A3630" s="23" t="s">
        <v>16598</v>
      </c>
      <c r="B3630" s="23"/>
      <c r="C3630" s="23" t="s">
        <v>1752</v>
      </c>
      <c r="D3630" s="23" t="str">
        <f t="shared" si="168"/>
        <v>ORD26000660</v>
      </c>
      <c r="E3630" s="38">
        <v>46285</v>
      </c>
      <c r="F3630" s="23" t="s">
        <v>12410</v>
      </c>
      <c r="G3630" s="23" t="s">
        <v>75</v>
      </c>
      <c r="H3630" s="24">
        <v>799</v>
      </c>
      <c r="I3630" s="24">
        <v>0</v>
      </c>
      <c r="J3630" s="24">
        <v>0</v>
      </c>
      <c r="K3630" s="24">
        <v>799</v>
      </c>
      <c r="L3630" s="38">
        <v>46287</v>
      </c>
      <c r="M3630" s="23" t="s">
        <v>216</v>
      </c>
      <c r="N3630" s="23" t="str">
        <f>IF(COUNTIF($A$2:A3630,A3630)&gt;1,"DUP","OK")</f>
        <v>OK</v>
      </c>
      <c r="O3630" s="23" t="str">
        <f t="shared" si="169"/>
        <v>ORD26000660</v>
      </c>
      <c r="P3630" s="23" t="str">
        <f t="shared" si="170"/>
        <v>Sep</v>
      </c>
      <c r="Q3630" s="23" t="str">
        <f>IF(F3630="CAPTURE",IF(COUNTIF(orders!$A:$A,O3630)&gt;0,"Yes","NO ORDER"),"")</f>
        <v>Yes</v>
      </c>
    </row>
    <row r="3631" spans="1:17" ht="15" customHeight="1" x14ac:dyDescent="0.3">
      <c r="A3631" s="23" t="s">
        <v>16599</v>
      </c>
      <c r="B3631" s="23"/>
      <c r="C3631" s="23" t="s">
        <v>1772</v>
      </c>
      <c r="D3631" s="23" t="str">
        <f t="shared" si="168"/>
        <v>ORD26000669</v>
      </c>
      <c r="E3631" s="38">
        <v>46285</v>
      </c>
      <c r="F3631" s="23" t="s">
        <v>12410</v>
      </c>
      <c r="G3631" s="23" t="s">
        <v>75</v>
      </c>
      <c r="H3631" s="24">
        <v>599</v>
      </c>
      <c r="I3631" s="24">
        <v>0</v>
      </c>
      <c r="J3631" s="24">
        <v>0</v>
      </c>
      <c r="K3631" s="24">
        <v>599</v>
      </c>
      <c r="L3631" s="38">
        <v>46287</v>
      </c>
      <c r="M3631" s="23" t="s">
        <v>216</v>
      </c>
      <c r="N3631" s="23" t="str">
        <f>IF(COUNTIF($A$2:A3631,A3631)&gt;1,"DUP","OK")</f>
        <v>OK</v>
      </c>
      <c r="O3631" s="23" t="str">
        <f t="shared" si="169"/>
        <v>ORD26000669</v>
      </c>
      <c r="P3631" s="23" t="str">
        <f t="shared" si="170"/>
        <v>Sep</v>
      </c>
      <c r="Q3631" s="23" t="str">
        <f>IF(F3631="CAPTURE",IF(COUNTIF(orders!$A:$A,O3631)&gt;0,"Yes","NO ORDER"),"")</f>
        <v>Yes</v>
      </c>
    </row>
    <row r="3632" spans="1:17" ht="15" customHeight="1" x14ac:dyDescent="0.3">
      <c r="A3632" s="23" t="s">
        <v>16600</v>
      </c>
      <c r="B3632" s="23"/>
      <c r="C3632" s="23" t="s">
        <v>1847</v>
      </c>
      <c r="D3632" s="23" t="str">
        <f t="shared" si="168"/>
        <v>ORD26000704</v>
      </c>
      <c r="E3632" s="38">
        <v>46285</v>
      </c>
      <c r="F3632" s="23" t="s">
        <v>12410</v>
      </c>
      <c r="G3632" s="23" t="s">
        <v>79</v>
      </c>
      <c r="H3632" s="24">
        <v>2098</v>
      </c>
      <c r="I3632" s="24">
        <v>33.57</v>
      </c>
      <c r="J3632" s="24">
        <v>6.04</v>
      </c>
      <c r="K3632" s="24">
        <v>2058.39</v>
      </c>
      <c r="L3632" s="38">
        <v>46287</v>
      </c>
      <c r="M3632" s="23" t="s">
        <v>216</v>
      </c>
      <c r="N3632" s="23" t="str">
        <f>IF(COUNTIF($A$2:A3632,A3632)&gt;1,"DUP","OK")</f>
        <v>OK</v>
      </c>
      <c r="O3632" s="23" t="str">
        <f t="shared" si="169"/>
        <v>ORD26000704</v>
      </c>
      <c r="P3632" s="23" t="str">
        <f t="shared" si="170"/>
        <v>Sep</v>
      </c>
      <c r="Q3632" s="23" t="str">
        <f>IF(F3632="CAPTURE",IF(COUNTIF(orders!$A:$A,O3632)&gt;0,"Yes","NO ORDER"),"")</f>
        <v>Yes</v>
      </c>
    </row>
    <row r="3633" spans="1:17" ht="15" customHeight="1" x14ac:dyDescent="0.3">
      <c r="A3633" s="23" t="s">
        <v>16601</v>
      </c>
      <c r="B3633" s="23"/>
      <c r="C3633" s="23" t="s">
        <v>1857</v>
      </c>
      <c r="D3633" s="23" t="str">
        <f t="shared" si="168"/>
        <v>ORD26000709</v>
      </c>
      <c r="E3633" s="38">
        <v>46285</v>
      </c>
      <c r="F3633" s="23" t="s">
        <v>12410</v>
      </c>
      <c r="G3633" s="23" t="s">
        <v>79</v>
      </c>
      <c r="H3633" s="24">
        <v>4999</v>
      </c>
      <c r="I3633" s="24">
        <v>79.98</v>
      </c>
      <c r="J3633" s="24">
        <v>14.4</v>
      </c>
      <c r="K3633" s="24">
        <v>4904.62</v>
      </c>
      <c r="L3633" s="38">
        <v>46287</v>
      </c>
      <c r="M3633" s="23" t="s">
        <v>216</v>
      </c>
      <c r="N3633" s="23" t="str">
        <f>IF(COUNTIF($A$2:A3633,A3633)&gt;1,"DUP","OK")</f>
        <v>OK</v>
      </c>
      <c r="O3633" s="23" t="str">
        <f t="shared" si="169"/>
        <v>ORD26000709</v>
      </c>
      <c r="P3633" s="23" t="str">
        <f t="shared" si="170"/>
        <v>Sep</v>
      </c>
      <c r="Q3633" s="23" t="str">
        <f>IF(F3633="CAPTURE",IF(COUNTIF(orders!$A:$A,O3633)&gt;0,"Yes","NO ORDER"),"")</f>
        <v>Yes</v>
      </c>
    </row>
    <row r="3634" spans="1:17" ht="15" customHeight="1" x14ac:dyDescent="0.3">
      <c r="A3634" s="23" t="s">
        <v>16602</v>
      </c>
      <c r="B3634" s="23"/>
      <c r="C3634" s="23" t="s">
        <v>2025</v>
      </c>
      <c r="D3634" s="23" t="str">
        <f t="shared" si="168"/>
        <v>ORD26000789</v>
      </c>
      <c r="E3634" s="38">
        <v>46285</v>
      </c>
      <c r="F3634" s="23" t="s">
        <v>12410</v>
      </c>
      <c r="G3634" s="23" t="s">
        <v>75</v>
      </c>
      <c r="H3634" s="24">
        <v>4999</v>
      </c>
      <c r="I3634" s="24">
        <v>15</v>
      </c>
      <c r="J3634" s="24">
        <v>2.7</v>
      </c>
      <c r="K3634" s="24">
        <v>4981.3</v>
      </c>
      <c r="L3634" s="38">
        <v>46287</v>
      </c>
      <c r="M3634" s="23" t="s">
        <v>216</v>
      </c>
      <c r="N3634" s="23" t="str">
        <f>IF(COUNTIF($A$2:A3634,A3634)&gt;1,"DUP","OK")</f>
        <v>OK</v>
      </c>
      <c r="O3634" s="23" t="str">
        <f t="shared" si="169"/>
        <v>ORD26000789</v>
      </c>
      <c r="P3634" s="23" t="str">
        <f t="shared" si="170"/>
        <v>Sep</v>
      </c>
      <c r="Q3634" s="23" t="str">
        <f>IF(F3634="CAPTURE",IF(COUNTIF(orders!$A:$A,O3634)&gt;0,"Yes","NO ORDER"),"")</f>
        <v>Yes</v>
      </c>
    </row>
    <row r="3635" spans="1:17" ht="15" customHeight="1" x14ac:dyDescent="0.3">
      <c r="A3635" s="23" t="s">
        <v>16603</v>
      </c>
      <c r="B3635" s="23"/>
      <c r="C3635" s="23" t="s">
        <v>16604</v>
      </c>
      <c r="D3635" s="23" t="str">
        <f t="shared" si="168"/>
        <v>ORD26000794</v>
      </c>
      <c r="E3635" s="38">
        <v>46285</v>
      </c>
      <c r="F3635" s="23" t="s">
        <v>12410</v>
      </c>
      <c r="G3635" s="23" t="s">
        <v>79</v>
      </c>
      <c r="H3635" s="24">
        <v>3597</v>
      </c>
      <c r="I3635" s="24">
        <v>57.55</v>
      </c>
      <c r="J3635" s="24">
        <v>10.36</v>
      </c>
      <c r="K3635" s="24">
        <v>3529.09</v>
      </c>
      <c r="L3635" s="38">
        <v>46287</v>
      </c>
      <c r="M3635" s="23" t="s">
        <v>216</v>
      </c>
      <c r="N3635" s="23" t="str">
        <f>IF(COUNTIF($A$2:A3635,A3635)&gt;1,"DUP","OK")</f>
        <v>OK</v>
      </c>
      <c r="O3635" s="23" t="str">
        <f t="shared" si="169"/>
        <v>ORD26000794</v>
      </c>
      <c r="P3635" s="23" t="str">
        <f t="shared" si="170"/>
        <v>Sep</v>
      </c>
      <c r="Q3635" s="23" t="str">
        <f>IF(F3635="CAPTURE",IF(COUNTIF(orders!$A:$A,O3635)&gt;0,"Yes","NO ORDER"),"")</f>
        <v>Yes</v>
      </c>
    </row>
    <row r="3636" spans="1:17" ht="15" customHeight="1" x14ac:dyDescent="0.3">
      <c r="A3636" s="23" t="s">
        <v>16605</v>
      </c>
      <c r="B3636" s="23"/>
      <c r="C3636" s="23" t="s">
        <v>2095</v>
      </c>
      <c r="D3636" s="23" t="str">
        <f t="shared" si="168"/>
        <v>ORD26000823</v>
      </c>
      <c r="E3636" s="38">
        <v>46285</v>
      </c>
      <c r="F3636" s="23" t="s">
        <v>12410</v>
      </c>
      <c r="G3636" s="23" t="s">
        <v>77</v>
      </c>
      <c r="H3636" s="24">
        <v>2998</v>
      </c>
      <c r="I3636" s="24">
        <v>50.97</v>
      </c>
      <c r="J3636" s="24">
        <v>9.17</v>
      </c>
      <c r="K3636" s="24">
        <v>2937.86</v>
      </c>
      <c r="L3636" s="38">
        <v>46287</v>
      </c>
      <c r="M3636" s="23" t="s">
        <v>216</v>
      </c>
      <c r="N3636" s="23" t="str">
        <f>IF(COUNTIF($A$2:A3636,A3636)&gt;1,"DUP","OK")</f>
        <v>OK</v>
      </c>
      <c r="O3636" s="23" t="str">
        <f t="shared" si="169"/>
        <v>ORD26000823</v>
      </c>
      <c r="P3636" s="23" t="str">
        <f t="shared" si="170"/>
        <v>Sep</v>
      </c>
      <c r="Q3636" s="23" t="str">
        <f>IF(F3636="CAPTURE",IF(COUNTIF(orders!$A:$A,O3636)&gt;0,"Yes","NO ORDER"),"")</f>
        <v>Yes</v>
      </c>
    </row>
    <row r="3637" spans="1:17" ht="15" customHeight="1" x14ac:dyDescent="0.3">
      <c r="A3637" s="23" t="s">
        <v>16606</v>
      </c>
      <c r="B3637" s="23"/>
      <c r="C3637" s="23" t="s">
        <v>2163</v>
      </c>
      <c r="D3637" s="23" t="str">
        <f t="shared" si="168"/>
        <v>ORD26000856</v>
      </c>
      <c r="E3637" s="38">
        <v>46285</v>
      </c>
      <c r="F3637" s="23" t="s">
        <v>12410</v>
      </c>
      <c r="G3637" s="23" t="s">
        <v>75</v>
      </c>
      <c r="H3637" s="24">
        <v>3499</v>
      </c>
      <c r="I3637" s="24">
        <v>10.5</v>
      </c>
      <c r="J3637" s="24">
        <v>1.89</v>
      </c>
      <c r="K3637" s="24">
        <v>3486.61</v>
      </c>
      <c r="L3637" s="38">
        <v>46287</v>
      </c>
      <c r="M3637" s="23" t="s">
        <v>216</v>
      </c>
      <c r="N3637" s="23" t="str">
        <f>IF(COUNTIF($A$2:A3637,A3637)&gt;1,"DUP","OK")</f>
        <v>OK</v>
      </c>
      <c r="O3637" s="23" t="str">
        <f t="shared" si="169"/>
        <v>ORD26000856</v>
      </c>
      <c r="P3637" s="23" t="str">
        <f t="shared" si="170"/>
        <v>Sep</v>
      </c>
      <c r="Q3637" s="23" t="str">
        <f>IF(F3637="CAPTURE",IF(COUNTIF(orders!$A:$A,O3637)&gt;0,"Yes","NO ORDER"),"")</f>
        <v>Yes</v>
      </c>
    </row>
    <row r="3638" spans="1:17" ht="15" customHeight="1" x14ac:dyDescent="0.3">
      <c r="A3638" s="23" t="s">
        <v>16607</v>
      </c>
      <c r="B3638" s="23"/>
      <c r="C3638" s="23" t="s">
        <v>2185</v>
      </c>
      <c r="D3638" s="23" t="str">
        <f t="shared" si="168"/>
        <v>ORD26000866</v>
      </c>
      <c r="E3638" s="38">
        <v>46285</v>
      </c>
      <c r="F3638" s="23" t="s">
        <v>12410</v>
      </c>
      <c r="G3638" s="23" t="s">
        <v>79</v>
      </c>
      <c r="H3638" s="24">
        <v>4297</v>
      </c>
      <c r="I3638" s="24">
        <v>68.75</v>
      </c>
      <c r="J3638" s="24">
        <v>12.38</v>
      </c>
      <c r="K3638" s="24">
        <v>4215.87</v>
      </c>
      <c r="L3638" s="38">
        <v>46287</v>
      </c>
      <c r="M3638" s="23" t="s">
        <v>216</v>
      </c>
      <c r="N3638" s="23" t="str">
        <f>IF(COUNTIF($A$2:A3638,A3638)&gt;1,"DUP","OK")</f>
        <v>OK</v>
      </c>
      <c r="O3638" s="23" t="str">
        <f t="shared" si="169"/>
        <v>ORD26000866</v>
      </c>
      <c r="P3638" s="23" t="str">
        <f t="shared" si="170"/>
        <v>Sep</v>
      </c>
      <c r="Q3638" s="23" t="str">
        <f>IF(F3638="CAPTURE",IF(COUNTIF(orders!$A:$A,O3638)&gt;0,"Yes","NO ORDER"),"")</f>
        <v>Yes</v>
      </c>
    </row>
    <row r="3639" spans="1:17" ht="15" customHeight="1" x14ac:dyDescent="0.3">
      <c r="A3639" s="23" t="s">
        <v>16608</v>
      </c>
      <c r="B3639" s="23"/>
      <c r="C3639" s="23" t="s">
        <v>2206</v>
      </c>
      <c r="D3639" s="23" t="str">
        <f t="shared" si="168"/>
        <v>ORD26000876</v>
      </c>
      <c r="E3639" s="38">
        <v>46285</v>
      </c>
      <c r="F3639" s="23" t="s">
        <v>12410</v>
      </c>
      <c r="G3639" s="23" t="s">
        <v>77</v>
      </c>
      <c r="H3639" s="24">
        <v>799</v>
      </c>
      <c r="I3639" s="24">
        <v>15.18</v>
      </c>
      <c r="J3639" s="24">
        <v>2.73</v>
      </c>
      <c r="K3639" s="24">
        <v>781.09</v>
      </c>
      <c r="L3639" s="38">
        <v>46287</v>
      </c>
      <c r="M3639" s="23" t="s">
        <v>216</v>
      </c>
      <c r="N3639" s="23" t="str">
        <f>IF(COUNTIF($A$2:A3639,A3639)&gt;1,"DUP","OK")</f>
        <v>OK</v>
      </c>
      <c r="O3639" s="23" t="str">
        <f t="shared" si="169"/>
        <v>ORD26000876</v>
      </c>
      <c r="P3639" s="23" t="str">
        <f t="shared" si="170"/>
        <v>Sep</v>
      </c>
      <c r="Q3639" s="23" t="str">
        <f>IF(F3639="CAPTURE",IF(COUNTIF(orders!$A:$A,O3639)&gt;0,"Yes","NO ORDER"),"")</f>
        <v>Yes</v>
      </c>
    </row>
    <row r="3640" spans="1:17" ht="15" customHeight="1" x14ac:dyDescent="0.3">
      <c r="A3640" s="23" t="s">
        <v>16609</v>
      </c>
      <c r="B3640" s="23"/>
      <c r="C3640" s="23" t="s">
        <v>2275</v>
      </c>
      <c r="D3640" s="23" t="str">
        <f t="shared" si="168"/>
        <v>ORD26000910</v>
      </c>
      <c r="E3640" s="38">
        <v>46285</v>
      </c>
      <c r="F3640" s="23" t="s">
        <v>12410</v>
      </c>
      <c r="G3640" s="23" t="s">
        <v>81</v>
      </c>
      <c r="H3640" s="24">
        <v>2298</v>
      </c>
      <c r="I3640" s="24">
        <v>27.58</v>
      </c>
      <c r="J3640" s="24">
        <v>4.96</v>
      </c>
      <c r="K3640" s="24">
        <v>2265.46</v>
      </c>
      <c r="L3640" s="38">
        <v>46287</v>
      </c>
      <c r="M3640" s="23" t="s">
        <v>216</v>
      </c>
      <c r="N3640" s="23" t="str">
        <f>IF(COUNTIF($A$2:A3640,A3640)&gt;1,"DUP","OK")</f>
        <v>OK</v>
      </c>
      <c r="O3640" s="23" t="str">
        <f t="shared" si="169"/>
        <v>ORD26000910</v>
      </c>
      <c r="P3640" s="23" t="str">
        <f t="shared" si="170"/>
        <v>Sep</v>
      </c>
      <c r="Q3640" s="23" t="str">
        <f>IF(F3640="CAPTURE",IF(COUNTIF(orders!$A:$A,O3640)&gt;0,"Yes","NO ORDER"),"")</f>
        <v>Yes</v>
      </c>
    </row>
    <row r="3641" spans="1:17" ht="15" customHeight="1" x14ac:dyDescent="0.3">
      <c r="A3641" s="23" t="s">
        <v>16610</v>
      </c>
      <c r="B3641" s="23"/>
      <c r="C3641" s="23" t="s">
        <v>2381</v>
      </c>
      <c r="D3641" s="23" t="str">
        <f t="shared" si="168"/>
        <v>ORD26000961</v>
      </c>
      <c r="E3641" s="38">
        <v>46285</v>
      </c>
      <c r="F3641" s="23" t="s">
        <v>12410</v>
      </c>
      <c r="G3641" s="23" t="s">
        <v>75</v>
      </c>
      <c r="H3641" s="24">
        <v>5347</v>
      </c>
      <c r="I3641" s="24">
        <v>16.04</v>
      </c>
      <c r="J3641" s="24">
        <v>2.89</v>
      </c>
      <c r="K3641" s="24">
        <v>5328.07</v>
      </c>
      <c r="L3641" s="38">
        <v>46287</v>
      </c>
      <c r="M3641" s="23" t="s">
        <v>216</v>
      </c>
      <c r="N3641" s="23" t="str">
        <f>IF(COUNTIF($A$2:A3641,A3641)&gt;1,"DUP","OK")</f>
        <v>OK</v>
      </c>
      <c r="O3641" s="23" t="str">
        <f t="shared" si="169"/>
        <v>ORD26000961</v>
      </c>
      <c r="P3641" s="23" t="str">
        <f t="shared" si="170"/>
        <v>Sep</v>
      </c>
      <c r="Q3641" s="23" t="str">
        <f>IF(F3641="CAPTURE",IF(COUNTIF(orders!$A:$A,O3641)&gt;0,"Yes","NO ORDER"),"")</f>
        <v>Yes</v>
      </c>
    </row>
    <row r="3642" spans="1:17" ht="15" customHeight="1" x14ac:dyDescent="0.3">
      <c r="A3642" s="23" t="s">
        <v>16611</v>
      </c>
      <c r="B3642" s="23"/>
      <c r="C3642" s="23" t="s">
        <v>2432</v>
      </c>
      <c r="D3642" s="23" t="str">
        <f t="shared" si="168"/>
        <v>ORD26000986</v>
      </c>
      <c r="E3642" s="38">
        <v>46285</v>
      </c>
      <c r="F3642" s="23" t="s">
        <v>12410</v>
      </c>
      <c r="G3642" s="23" t="s">
        <v>79</v>
      </c>
      <c r="H3642" s="24">
        <v>3297</v>
      </c>
      <c r="I3642" s="24">
        <v>52.75</v>
      </c>
      <c r="J3642" s="24">
        <v>9.5</v>
      </c>
      <c r="K3642" s="24">
        <v>3234.75</v>
      </c>
      <c r="L3642" s="38">
        <v>46287</v>
      </c>
      <c r="M3642" s="23" t="s">
        <v>216</v>
      </c>
      <c r="N3642" s="23" t="str">
        <f>IF(COUNTIF($A$2:A3642,A3642)&gt;1,"DUP","OK")</f>
        <v>OK</v>
      </c>
      <c r="O3642" s="23" t="str">
        <f t="shared" si="169"/>
        <v>ORD26000986</v>
      </c>
      <c r="P3642" s="23" t="str">
        <f t="shared" si="170"/>
        <v>Sep</v>
      </c>
      <c r="Q3642" s="23" t="str">
        <f>IF(F3642="CAPTURE",IF(COUNTIF(orders!$A:$A,O3642)&gt;0,"Yes","NO ORDER"),"")</f>
        <v>Yes</v>
      </c>
    </row>
    <row r="3643" spans="1:17" ht="15" customHeight="1" x14ac:dyDescent="0.3">
      <c r="A3643" s="23" t="s">
        <v>16612</v>
      </c>
      <c r="B3643" s="23"/>
      <c r="C3643" s="23" t="s">
        <v>16613</v>
      </c>
      <c r="D3643" s="23" t="str">
        <f t="shared" si="168"/>
        <v>ORD26001067</v>
      </c>
      <c r="E3643" s="38">
        <v>46285</v>
      </c>
      <c r="F3643" s="23" t="s">
        <v>12410</v>
      </c>
      <c r="G3643" s="23" t="s">
        <v>75</v>
      </c>
      <c r="H3643" s="24">
        <v>499</v>
      </c>
      <c r="I3643" s="24">
        <v>1.5</v>
      </c>
      <c r="J3643" s="24">
        <v>0.27</v>
      </c>
      <c r="K3643" s="24">
        <v>497.23</v>
      </c>
      <c r="L3643" s="38">
        <v>46287</v>
      </c>
      <c r="M3643" s="23" t="s">
        <v>216</v>
      </c>
      <c r="N3643" s="23" t="str">
        <f>IF(COUNTIF($A$2:A3643,A3643)&gt;1,"DUP","OK")</f>
        <v>OK</v>
      </c>
      <c r="O3643" s="23" t="str">
        <f t="shared" si="169"/>
        <v>ORD26001067</v>
      </c>
      <c r="P3643" s="23" t="str">
        <f t="shared" si="170"/>
        <v>Sep</v>
      </c>
      <c r="Q3643" s="23" t="str">
        <f>IF(F3643="CAPTURE",IF(COUNTIF(orders!$A:$A,O3643)&gt;0,"Yes","NO ORDER"),"")</f>
        <v>Yes</v>
      </c>
    </row>
    <row r="3644" spans="1:17" ht="15" customHeight="1" x14ac:dyDescent="0.3">
      <c r="A3644" s="23" t="s">
        <v>16614</v>
      </c>
      <c r="B3644" s="23"/>
      <c r="C3644" s="23" t="s">
        <v>2652</v>
      </c>
      <c r="D3644" s="23" t="str">
        <f t="shared" si="168"/>
        <v>ORD26001093</v>
      </c>
      <c r="E3644" s="38">
        <v>46285</v>
      </c>
      <c r="F3644" s="23" t="s">
        <v>12410</v>
      </c>
      <c r="G3644" s="23" t="s">
        <v>75</v>
      </c>
      <c r="H3644" s="24">
        <v>6797</v>
      </c>
      <c r="I3644" s="24">
        <v>20.39</v>
      </c>
      <c r="J3644" s="24">
        <v>3.67</v>
      </c>
      <c r="K3644" s="24">
        <v>6772.94</v>
      </c>
      <c r="L3644" s="38">
        <v>46287</v>
      </c>
      <c r="M3644" s="23" t="s">
        <v>216</v>
      </c>
      <c r="N3644" s="23" t="str">
        <f>IF(COUNTIF($A$2:A3644,A3644)&gt;1,"DUP","OK")</f>
        <v>OK</v>
      </c>
      <c r="O3644" s="23" t="str">
        <f t="shared" si="169"/>
        <v>ORD26001093</v>
      </c>
      <c r="P3644" s="23" t="str">
        <f t="shared" si="170"/>
        <v>Sep</v>
      </c>
      <c r="Q3644" s="23" t="str">
        <f>IF(F3644="CAPTURE",IF(COUNTIF(orders!$A:$A,O3644)&gt;0,"Yes","NO ORDER"),"")</f>
        <v>Yes</v>
      </c>
    </row>
    <row r="3645" spans="1:17" ht="15" customHeight="1" x14ac:dyDescent="0.3">
      <c r="A3645" s="23" t="s">
        <v>16615</v>
      </c>
      <c r="B3645" s="23"/>
      <c r="C3645" s="23" t="s">
        <v>2699</v>
      </c>
      <c r="D3645" s="23" t="str">
        <f t="shared" si="168"/>
        <v>ORD26001117</v>
      </c>
      <c r="E3645" s="38">
        <v>46285</v>
      </c>
      <c r="F3645" s="23" t="s">
        <v>12410</v>
      </c>
      <c r="G3645" s="23" t="s">
        <v>77</v>
      </c>
      <c r="H3645" s="24">
        <v>7999</v>
      </c>
      <c r="I3645" s="24">
        <v>135.97999999999999</v>
      </c>
      <c r="J3645" s="24">
        <v>24.48</v>
      </c>
      <c r="K3645" s="24">
        <v>7838.54</v>
      </c>
      <c r="L3645" s="38">
        <v>46287</v>
      </c>
      <c r="M3645" s="23" t="s">
        <v>216</v>
      </c>
      <c r="N3645" s="23" t="str">
        <f>IF(COUNTIF($A$2:A3645,A3645)&gt;1,"DUP","OK")</f>
        <v>OK</v>
      </c>
      <c r="O3645" s="23" t="str">
        <f t="shared" si="169"/>
        <v>ORD26001117</v>
      </c>
      <c r="P3645" s="23" t="str">
        <f t="shared" si="170"/>
        <v>Sep</v>
      </c>
      <c r="Q3645" s="23" t="str">
        <f>IF(F3645="CAPTURE",IF(COUNTIF(orders!$A:$A,O3645)&gt;0,"Yes","NO ORDER"),"")</f>
        <v>Yes</v>
      </c>
    </row>
    <row r="3646" spans="1:17" ht="15" customHeight="1" x14ac:dyDescent="0.3">
      <c r="A3646" s="23" t="s">
        <v>16616</v>
      </c>
      <c r="B3646" s="23"/>
      <c r="C3646" s="23" t="s">
        <v>2813</v>
      </c>
      <c r="D3646" s="23" t="str">
        <f t="shared" si="168"/>
        <v>ORD26001173</v>
      </c>
      <c r="E3646" s="38">
        <v>46285</v>
      </c>
      <c r="F3646" s="23" t="s">
        <v>12410</v>
      </c>
      <c r="G3646" s="23" t="s">
        <v>75</v>
      </c>
      <c r="H3646" s="24">
        <v>1299</v>
      </c>
      <c r="I3646" s="24">
        <v>0</v>
      </c>
      <c r="J3646" s="24">
        <v>0</v>
      </c>
      <c r="K3646" s="24">
        <v>1299</v>
      </c>
      <c r="L3646" s="38">
        <v>46287</v>
      </c>
      <c r="M3646" s="23" t="s">
        <v>216</v>
      </c>
      <c r="N3646" s="23" t="str">
        <f>IF(COUNTIF($A$2:A3646,A3646)&gt;1,"DUP","OK")</f>
        <v>OK</v>
      </c>
      <c r="O3646" s="23" t="str">
        <f t="shared" si="169"/>
        <v>ORD26001173</v>
      </c>
      <c r="P3646" s="23" t="str">
        <f t="shared" si="170"/>
        <v>Sep</v>
      </c>
      <c r="Q3646" s="23" t="str">
        <f>IF(F3646="CAPTURE",IF(COUNTIF(orders!$A:$A,O3646)&gt;0,"Yes","NO ORDER"),"")</f>
        <v>Yes</v>
      </c>
    </row>
    <row r="3647" spans="1:17" ht="15" customHeight="1" x14ac:dyDescent="0.3">
      <c r="A3647" s="23" t="s">
        <v>16617</v>
      </c>
      <c r="B3647" s="23"/>
      <c r="C3647" s="23" t="s">
        <v>2950</v>
      </c>
      <c r="D3647" s="23" t="str">
        <f t="shared" si="168"/>
        <v>ORD26001240</v>
      </c>
      <c r="E3647" s="38">
        <v>46285</v>
      </c>
      <c r="F3647" s="23" t="s">
        <v>12410</v>
      </c>
      <c r="G3647" s="23" t="s">
        <v>81</v>
      </c>
      <c r="H3647" s="24">
        <v>5998</v>
      </c>
      <c r="I3647" s="24">
        <v>71.98</v>
      </c>
      <c r="J3647" s="24">
        <v>12.96</v>
      </c>
      <c r="K3647" s="24">
        <v>5913.06</v>
      </c>
      <c r="L3647" s="38">
        <v>46287</v>
      </c>
      <c r="M3647" s="23" t="s">
        <v>216</v>
      </c>
      <c r="N3647" s="23" t="str">
        <f>IF(COUNTIF($A$2:A3647,A3647)&gt;1,"DUP","OK")</f>
        <v>OK</v>
      </c>
      <c r="O3647" s="23" t="str">
        <f t="shared" si="169"/>
        <v>ORD26001240</v>
      </c>
      <c r="P3647" s="23" t="str">
        <f t="shared" si="170"/>
        <v>Sep</v>
      </c>
      <c r="Q3647" s="23" t="str">
        <f>IF(F3647="CAPTURE",IF(COUNTIF(orders!$A:$A,O3647)&gt;0,"Yes","NO ORDER"),"")</f>
        <v>Yes</v>
      </c>
    </row>
    <row r="3648" spans="1:17" ht="15" customHeight="1" x14ac:dyDescent="0.3">
      <c r="A3648" s="23" t="s">
        <v>16618</v>
      </c>
      <c r="B3648" s="23"/>
      <c r="C3648" s="23" t="s">
        <v>3007</v>
      </c>
      <c r="D3648" s="23" t="str">
        <f t="shared" si="168"/>
        <v>ORD26001267</v>
      </c>
      <c r="E3648" s="38">
        <v>46285</v>
      </c>
      <c r="F3648" s="23" t="s">
        <v>12410</v>
      </c>
      <c r="G3648" s="23" t="s">
        <v>75</v>
      </c>
      <c r="H3648" s="24">
        <v>598</v>
      </c>
      <c r="I3648" s="24">
        <v>0</v>
      </c>
      <c r="J3648" s="24">
        <v>0</v>
      </c>
      <c r="K3648" s="24">
        <v>598</v>
      </c>
      <c r="L3648" s="38">
        <v>46287</v>
      </c>
      <c r="M3648" s="23" t="s">
        <v>216</v>
      </c>
      <c r="N3648" s="23" t="str">
        <f>IF(COUNTIF($A$2:A3648,A3648)&gt;1,"DUP","OK")</f>
        <v>OK</v>
      </c>
      <c r="O3648" s="23" t="str">
        <f t="shared" si="169"/>
        <v>ORD26001267</v>
      </c>
      <c r="P3648" s="23" t="str">
        <f t="shared" si="170"/>
        <v>Sep</v>
      </c>
      <c r="Q3648" s="23" t="str">
        <f>IF(F3648="CAPTURE",IF(COUNTIF(orders!$A:$A,O3648)&gt;0,"Yes","NO ORDER"),"")</f>
        <v>Yes</v>
      </c>
    </row>
    <row r="3649" spans="1:17" ht="15" customHeight="1" x14ac:dyDescent="0.3">
      <c r="A3649" s="23" t="s">
        <v>16619</v>
      </c>
      <c r="B3649" s="23"/>
      <c r="C3649" s="23" t="s">
        <v>16620</v>
      </c>
      <c r="D3649" s="23" t="str">
        <f t="shared" si="168"/>
        <v>ORD26001344</v>
      </c>
      <c r="E3649" s="38">
        <v>46285</v>
      </c>
      <c r="F3649" s="23" t="s">
        <v>12410</v>
      </c>
      <c r="G3649" s="23" t="s">
        <v>79</v>
      </c>
      <c r="H3649" s="24">
        <v>3298</v>
      </c>
      <c r="I3649" s="24">
        <v>52.77</v>
      </c>
      <c r="J3649" s="24">
        <v>9.5</v>
      </c>
      <c r="K3649" s="24">
        <v>3235.73</v>
      </c>
      <c r="L3649" s="38">
        <v>46287</v>
      </c>
      <c r="M3649" s="23" t="s">
        <v>216</v>
      </c>
      <c r="N3649" s="23" t="str">
        <f>IF(COUNTIF($A$2:A3649,A3649)&gt;1,"DUP","OK")</f>
        <v>OK</v>
      </c>
      <c r="O3649" s="23" t="str">
        <f t="shared" si="169"/>
        <v>ORD26001344</v>
      </c>
      <c r="P3649" s="23" t="str">
        <f t="shared" si="170"/>
        <v>Sep</v>
      </c>
      <c r="Q3649" s="23" t="str">
        <f>IF(F3649="CAPTURE",IF(COUNTIF(orders!$A:$A,O3649)&gt;0,"Yes","NO ORDER"),"")</f>
        <v>Yes</v>
      </c>
    </row>
    <row r="3650" spans="1:17" ht="15" customHeight="1" x14ac:dyDescent="0.3">
      <c r="A3650" s="23" t="s">
        <v>16621</v>
      </c>
      <c r="B3650" s="23"/>
      <c r="C3650" s="23" t="s">
        <v>3306</v>
      </c>
      <c r="D3650" s="23" t="str">
        <f t="shared" ref="D3650:D3713" si="171">UPPER(SUBSTITUTE(TRIM(C3650),"-",""))</f>
        <v>ORD26001412</v>
      </c>
      <c r="E3650" s="38">
        <v>46285</v>
      </c>
      <c r="F3650" s="23" t="s">
        <v>12410</v>
      </c>
      <c r="G3650" s="23" t="s">
        <v>81</v>
      </c>
      <c r="H3650" s="24">
        <v>949</v>
      </c>
      <c r="I3650" s="24">
        <v>14.24</v>
      </c>
      <c r="J3650" s="24">
        <v>2.56</v>
      </c>
      <c r="K3650" s="24">
        <v>932.2</v>
      </c>
      <c r="L3650" s="38">
        <v>46287</v>
      </c>
      <c r="M3650" s="23" t="s">
        <v>216</v>
      </c>
      <c r="N3650" s="23" t="str">
        <f>IF(COUNTIF($A$2:A3650,A3650)&gt;1,"DUP","OK")</f>
        <v>OK</v>
      </c>
      <c r="O3650" s="23" t="str">
        <f t="shared" ref="O3650:O3713" si="172">IF(F3650="REFUND",INDEX($D:$D,MATCH(B3650,$A:$A,0)),D3650)</f>
        <v>ORD26001412</v>
      </c>
      <c r="P3650" s="23" t="str">
        <f t="shared" ref="P3650:P3713" si="173">IF(L3650&gt;DATE(2026,9,30),"Oct-Due","Sep")</f>
        <v>Sep</v>
      </c>
      <c r="Q3650" s="23" t="str">
        <f>IF(F3650="CAPTURE",IF(COUNTIF(orders!$A:$A,O3650)&gt;0,"Yes","NO ORDER"),"")</f>
        <v>Yes</v>
      </c>
    </row>
    <row r="3651" spans="1:17" ht="15" customHeight="1" x14ac:dyDescent="0.3">
      <c r="A3651" s="23" t="s">
        <v>16622</v>
      </c>
      <c r="B3651" s="23"/>
      <c r="C3651" s="23" t="s">
        <v>3318</v>
      </c>
      <c r="D3651" s="23" t="str">
        <f t="shared" si="171"/>
        <v>ORD26001419</v>
      </c>
      <c r="E3651" s="38">
        <v>46285</v>
      </c>
      <c r="F3651" s="23" t="s">
        <v>12410</v>
      </c>
      <c r="G3651" s="23" t="s">
        <v>75</v>
      </c>
      <c r="H3651" s="24">
        <v>3499</v>
      </c>
      <c r="I3651" s="24">
        <v>10.5</v>
      </c>
      <c r="J3651" s="24">
        <v>1.89</v>
      </c>
      <c r="K3651" s="24">
        <v>3486.61</v>
      </c>
      <c r="L3651" s="38">
        <v>46287</v>
      </c>
      <c r="M3651" s="23" t="s">
        <v>216</v>
      </c>
      <c r="N3651" s="23" t="str">
        <f>IF(COUNTIF($A$2:A3651,A3651)&gt;1,"DUP","OK")</f>
        <v>OK</v>
      </c>
      <c r="O3651" s="23" t="str">
        <f t="shared" si="172"/>
        <v>ORD26001419</v>
      </c>
      <c r="P3651" s="23" t="str">
        <f t="shared" si="173"/>
        <v>Sep</v>
      </c>
      <c r="Q3651" s="23" t="str">
        <f>IF(F3651="CAPTURE",IF(COUNTIF(orders!$A:$A,O3651)&gt;0,"Yes","NO ORDER"),"")</f>
        <v>Yes</v>
      </c>
    </row>
    <row r="3652" spans="1:17" ht="15" customHeight="1" x14ac:dyDescent="0.3">
      <c r="A3652" s="23" t="s">
        <v>16623</v>
      </c>
      <c r="B3652" s="23"/>
      <c r="C3652" s="23" t="s">
        <v>3372</v>
      </c>
      <c r="D3652" s="23" t="str">
        <f t="shared" si="171"/>
        <v>ORD26001445</v>
      </c>
      <c r="E3652" s="38">
        <v>46285</v>
      </c>
      <c r="F3652" s="23" t="s">
        <v>12410</v>
      </c>
      <c r="G3652" s="23" t="s">
        <v>75</v>
      </c>
      <c r="H3652" s="24">
        <v>3498</v>
      </c>
      <c r="I3652" s="24">
        <v>10.49</v>
      </c>
      <c r="J3652" s="24">
        <v>1.89</v>
      </c>
      <c r="K3652" s="24">
        <v>3485.62</v>
      </c>
      <c r="L3652" s="38">
        <v>46287</v>
      </c>
      <c r="M3652" s="23" t="s">
        <v>216</v>
      </c>
      <c r="N3652" s="23" t="str">
        <f>IF(COUNTIF($A$2:A3652,A3652)&gt;1,"DUP","OK")</f>
        <v>OK</v>
      </c>
      <c r="O3652" s="23" t="str">
        <f t="shared" si="172"/>
        <v>ORD26001445</v>
      </c>
      <c r="P3652" s="23" t="str">
        <f t="shared" si="173"/>
        <v>Sep</v>
      </c>
      <c r="Q3652" s="23" t="str">
        <f>IF(F3652="CAPTURE",IF(COUNTIF(orders!$A:$A,O3652)&gt;0,"Yes","NO ORDER"),"")</f>
        <v>Yes</v>
      </c>
    </row>
    <row r="3653" spans="1:17" ht="15" customHeight="1" x14ac:dyDescent="0.3">
      <c r="A3653" s="23" t="s">
        <v>16624</v>
      </c>
      <c r="B3653" s="23"/>
      <c r="C3653" s="23" t="s">
        <v>3500</v>
      </c>
      <c r="D3653" s="23" t="str">
        <f t="shared" si="171"/>
        <v>ORD26001507</v>
      </c>
      <c r="E3653" s="38">
        <v>46285</v>
      </c>
      <c r="F3653" s="23" t="s">
        <v>12410</v>
      </c>
      <c r="G3653" s="23" t="s">
        <v>75</v>
      </c>
      <c r="H3653" s="24">
        <v>349</v>
      </c>
      <c r="I3653" s="24">
        <v>0</v>
      </c>
      <c r="J3653" s="24">
        <v>0</v>
      </c>
      <c r="K3653" s="24">
        <v>349</v>
      </c>
      <c r="L3653" s="38">
        <v>46287</v>
      </c>
      <c r="M3653" s="23" t="s">
        <v>216</v>
      </c>
      <c r="N3653" s="23" t="str">
        <f>IF(COUNTIF($A$2:A3653,A3653)&gt;1,"DUP","OK")</f>
        <v>OK</v>
      </c>
      <c r="O3653" s="23" t="str">
        <f t="shared" si="172"/>
        <v>ORD26001507</v>
      </c>
      <c r="P3653" s="23" t="str">
        <f t="shared" si="173"/>
        <v>Sep</v>
      </c>
      <c r="Q3653" s="23" t="str">
        <f>IF(F3653="CAPTURE",IF(COUNTIF(orders!$A:$A,O3653)&gt;0,"Yes","NO ORDER"),"")</f>
        <v>Yes</v>
      </c>
    </row>
    <row r="3654" spans="1:17" ht="15" customHeight="1" x14ac:dyDescent="0.3">
      <c r="A3654" s="23" t="s">
        <v>16625</v>
      </c>
      <c r="B3654" s="23"/>
      <c r="C3654" s="23" t="s">
        <v>3587</v>
      </c>
      <c r="D3654" s="23" t="str">
        <f t="shared" si="171"/>
        <v>ORD26001549</v>
      </c>
      <c r="E3654" s="38">
        <v>46285</v>
      </c>
      <c r="F3654" s="23" t="s">
        <v>12410</v>
      </c>
      <c r="G3654" s="23" t="s">
        <v>75</v>
      </c>
      <c r="H3654" s="24">
        <v>499</v>
      </c>
      <c r="I3654" s="24">
        <v>0</v>
      </c>
      <c r="J3654" s="24">
        <v>0</v>
      </c>
      <c r="K3654" s="24">
        <v>499</v>
      </c>
      <c r="L3654" s="38">
        <v>46287</v>
      </c>
      <c r="M3654" s="23" t="s">
        <v>216</v>
      </c>
      <c r="N3654" s="23" t="str">
        <f>IF(COUNTIF($A$2:A3654,A3654)&gt;1,"DUP","OK")</f>
        <v>OK</v>
      </c>
      <c r="O3654" s="23" t="str">
        <f t="shared" si="172"/>
        <v>ORD26001549</v>
      </c>
      <c r="P3654" s="23" t="str">
        <f t="shared" si="173"/>
        <v>Sep</v>
      </c>
      <c r="Q3654" s="23" t="str">
        <f>IF(F3654="CAPTURE",IF(COUNTIF(orders!$A:$A,O3654)&gt;0,"Yes","NO ORDER"),"")</f>
        <v>Yes</v>
      </c>
    </row>
    <row r="3655" spans="1:17" ht="15" customHeight="1" x14ac:dyDescent="0.3">
      <c r="A3655" s="23" t="s">
        <v>16626</v>
      </c>
      <c r="B3655" s="23"/>
      <c r="C3655" s="23" t="s">
        <v>3665</v>
      </c>
      <c r="D3655" s="23" t="str">
        <f t="shared" si="171"/>
        <v>ORD26001589</v>
      </c>
      <c r="E3655" s="38">
        <v>46285</v>
      </c>
      <c r="F3655" s="23" t="s">
        <v>12410</v>
      </c>
      <c r="G3655" s="23" t="s">
        <v>75</v>
      </c>
      <c r="H3655" s="24">
        <v>1298</v>
      </c>
      <c r="I3655" s="24">
        <v>0</v>
      </c>
      <c r="J3655" s="24">
        <v>0</v>
      </c>
      <c r="K3655" s="24">
        <v>1298</v>
      </c>
      <c r="L3655" s="38">
        <v>46287</v>
      </c>
      <c r="M3655" s="23" t="s">
        <v>216</v>
      </c>
      <c r="N3655" s="23" t="str">
        <f>IF(COUNTIF($A$2:A3655,A3655)&gt;1,"DUP","OK")</f>
        <v>OK</v>
      </c>
      <c r="O3655" s="23" t="str">
        <f t="shared" si="172"/>
        <v>ORD26001589</v>
      </c>
      <c r="P3655" s="23" t="str">
        <f t="shared" si="173"/>
        <v>Sep</v>
      </c>
      <c r="Q3655" s="23" t="str">
        <f>IF(F3655="CAPTURE",IF(COUNTIF(orders!$A:$A,O3655)&gt;0,"Yes","NO ORDER"),"")</f>
        <v>Yes</v>
      </c>
    </row>
    <row r="3656" spans="1:17" ht="15" customHeight="1" x14ac:dyDescent="0.3">
      <c r="A3656" s="23" t="s">
        <v>16627</v>
      </c>
      <c r="B3656" s="23"/>
      <c r="C3656" s="23" t="s">
        <v>3671</v>
      </c>
      <c r="D3656" s="23" t="str">
        <f t="shared" si="171"/>
        <v>ORD26001592</v>
      </c>
      <c r="E3656" s="38">
        <v>46285</v>
      </c>
      <c r="F3656" s="23" t="s">
        <v>12410</v>
      </c>
      <c r="G3656" s="23" t="s">
        <v>81</v>
      </c>
      <c r="H3656" s="24">
        <v>8797</v>
      </c>
      <c r="I3656" s="24">
        <v>105.56</v>
      </c>
      <c r="J3656" s="24">
        <v>19</v>
      </c>
      <c r="K3656" s="24">
        <v>8672.44</v>
      </c>
      <c r="L3656" s="38">
        <v>46287</v>
      </c>
      <c r="M3656" s="23" t="s">
        <v>216</v>
      </c>
      <c r="N3656" s="23" t="str">
        <f>IF(COUNTIF($A$2:A3656,A3656)&gt;1,"DUP","OK")</f>
        <v>OK</v>
      </c>
      <c r="O3656" s="23" t="str">
        <f t="shared" si="172"/>
        <v>ORD26001592</v>
      </c>
      <c r="P3656" s="23" t="str">
        <f t="shared" si="173"/>
        <v>Sep</v>
      </c>
      <c r="Q3656" s="23" t="str">
        <f>IF(F3656="CAPTURE",IF(COUNTIF(orders!$A:$A,O3656)&gt;0,"Yes","NO ORDER"),"")</f>
        <v>Yes</v>
      </c>
    </row>
    <row r="3657" spans="1:17" ht="15" customHeight="1" x14ac:dyDescent="0.3">
      <c r="A3657" s="23" t="s">
        <v>16628</v>
      </c>
      <c r="B3657" s="23"/>
      <c r="C3657" s="23" t="s">
        <v>3699</v>
      </c>
      <c r="D3657" s="23" t="str">
        <f t="shared" si="171"/>
        <v>ORD26001606</v>
      </c>
      <c r="E3657" s="38">
        <v>46285</v>
      </c>
      <c r="F3657" s="23" t="s">
        <v>12410</v>
      </c>
      <c r="G3657" s="23" t="s">
        <v>81</v>
      </c>
      <c r="H3657" s="24">
        <v>999</v>
      </c>
      <c r="I3657" s="24">
        <v>14.99</v>
      </c>
      <c r="J3657" s="24">
        <v>2.7</v>
      </c>
      <c r="K3657" s="24">
        <v>981.31</v>
      </c>
      <c r="L3657" s="38">
        <v>46287</v>
      </c>
      <c r="M3657" s="23" t="s">
        <v>216</v>
      </c>
      <c r="N3657" s="23" t="str">
        <f>IF(COUNTIF($A$2:A3657,A3657)&gt;1,"DUP","OK")</f>
        <v>OK</v>
      </c>
      <c r="O3657" s="23" t="str">
        <f t="shared" si="172"/>
        <v>ORD26001606</v>
      </c>
      <c r="P3657" s="23" t="str">
        <f t="shared" si="173"/>
        <v>Sep</v>
      </c>
      <c r="Q3657" s="23" t="str">
        <f>IF(F3657="CAPTURE",IF(COUNTIF(orders!$A:$A,O3657)&gt;0,"Yes","NO ORDER"),"")</f>
        <v>Yes</v>
      </c>
    </row>
    <row r="3658" spans="1:17" ht="15" customHeight="1" x14ac:dyDescent="0.3">
      <c r="A3658" s="23" t="s">
        <v>16629</v>
      </c>
      <c r="B3658" s="23"/>
      <c r="C3658" s="23" t="s">
        <v>3763</v>
      </c>
      <c r="D3658" s="23" t="str">
        <f t="shared" si="171"/>
        <v>ORD26001639</v>
      </c>
      <c r="E3658" s="38">
        <v>46285</v>
      </c>
      <c r="F3658" s="23" t="s">
        <v>12410</v>
      </c>
      <c r="G3658" s="23" t="s">
        <v>79</v>
      </c>
      <c r="H3658" s="24">
        <v>2098</v>
      </c>
      <c r="I3658" s="24">
        <v>33.57</v>
      </c>
      <c r="J3658" s="24">
        <v>6.04</v>
      </c>
      <c r="K3658" s="24">
        <v>2058.39</v>
      </c>
      <c r="L3658" s="38">
        <v>46287</v>
      </c>
      <c r="M3658" s="23" t="s">
        <v>216</v>
      </c>
      <c r="N3658" s="23" t="str">
        <f>IF(COUNTIF($A$2:A3658,A3658)&gt;1,"DUP","OK")</f>
        <v>OK</v>
      </c>
      <c r="O3658" s="23" t="str">
        <f t="shared" si="172"/>
        <v>ORD26001639</v>
      </c>
      <c r="P3658" s="23" t="str">
        <f t="shared" si="173"/>
        <v>Sep</v>
      </c>
      <c r="Q3658" s="23" t="str">
        <f>IF(F3658="CAPTURE",IF(COUNTIF(orders!$A:$A,O3658)&gt;0,"Yes","NO ORDER"),"")</f>
        <v>Yes</v>
      </c>
    </row>
    <row r="3659" spans="1:17" ht="15" customHeight="1" x14ac:dyDescent="0.3">
      <c r="A3659" s="23" t="s">
        <v>16630</v>
      </c>
      <c r="B3659" s="23"/>
      <c r="C3659" s="23" t="s">
        <v>16631</v>
      </c>
      <c r="D3659" s="23" t="str">
        <f t="shared" si="171"/>
        <v>ORD26001640</v>
      </c>
      <c r="E3659" s="38">
        <v>46285</v>
      </c>
      <c r="F3659" s="23" t="s">
        <v>12410</v>
      </c>
      <c r="G3659" s="23" t="s">
        <v>75</v>
      </c>
      <c r="H3659" s="24">
        <v>1799</v>
      </c>
      <c r="I3659" s="24">
        <v>0</v>
      </c>
      <c r="J3659" s="24">
        <v>0</v>
      </c>
      <c r="K3659" s="24">
        <v>1799</v>
      </c>
      <c r="L3659" s="38">
        <v>46287</v>
      </c>
      <c r="M3659" s="23" t="s">
        <v>216</v>
      </c>
      <c r="N3659" s="23" t="str">
        <f>IF(COUNTIF($A$2:A3659,A3659)&gt;1,"DUP","OK")</f>
        <v>OK</v>
      </c>
      <c r="O3659" s="23" t="str">
        <f t="shared" si="172"/>
        <v>ORD26001640</v>
      </c>
      <c r="P3659" s="23" t="str">
        <f t="shared" si="173"/>
        <v>Sep</v>
      </c>
      <c r="Q3659" s="23" t="str">
        <f>IF(F3659="CAPTURE",IF(COUNTIF(orders!$A:$A,O3659)&gt;0,"Yes","NO ORDER"),"")</f>
        <v>Yes</v>
      </c>
    </row>
    <row r="3660" spans="1:17" ht="15" customHeight="1" x14ac:dyDescent="0.3">
      <c r="A3660" s="23" t="s">
        <v>16632</v>
      </c>
      <c r="B3660" s="23"/>
      <c r="C3660" s="23" t="s">
        <v>3779</v>
      </c>
      <c r="D3660" s="23" t="str">
        <f t="shared" si="171"/>
        <v>ORD26001647</v>
      </c>
      <c r="E3660" s="38">
        <v>46285</v>
      </c>
      <c r="F3660" s="23" t="s">
        <v>12410</v>
      </c>
      <c r="G3660" s="23" t="s">
        <v>75</v>
      </c>
      <c r="H3660" s="24">
        <v>1898</v>
      </c>
      <c r="I3660" s="24">
        <v>0</v>
      </c>
      <c r="J3660" s="24">
        <v>0</v>
      </c>
      <c r="K3660" s="24">
        <v>1898</v>
      </c>
      <c r="L3660" s="38">
        <v>46287</v>
      </c>
      <c r="M3660" s="23" t="s">
        <v>216</v>
      </c>
      <c r="N3660" s="23" t="str">
        <f>IF(COUNTIF($A$2:A3660,A3660)&gt;1,"DUP","OK")</f>
        <v>OK</v>
      </c>
      <c r="O3660" s="23" t="str">
        <f t="shared" si="172"/>
        <v>ORD26001647</v>
      </c>
      <c r="P3660" s="23" t="str">
        <f t="shared" si="173"/>
        <v>Sep</v>
      </c>
      <c r="Q3660" s="23" t="str">
        <f>IF(F3660="CAPTURE",IF(COUNTIF(orders!$A:$A,O3660)&gt;0,"Yes","NO ORDER"),"")</f>
        <v>Yes</v>
      </c>
    </row>
    <row r="3661" spans="1:17" ht="15" customHeight="1" x14ac:dyDescent="0.3">
      <c r="A3661" s="23" t="s">
        <v>16633</v>
      </c>
      <c r="B3661" s="23"/>
      <c r="C3661" s="23" t="s">
        <v>3791</v>
      </c>
      <c r="D3661" s="23" t="str">
        <f t="shared" si="171"/>
        <v>ORD26001653</v>
      </c>
      <c r="E3661" s="38">
        <v>46285</v>
      </c>
      <c r="F3661" s="23" t="s">
        <v>12410</v>
      </c>
      <c r="G3661" s="23" t="s">
        <v>79</v>
      </c>
      <c r="H3661" s="24">
        <v>1799</v>
      </c>
      <c r="I3661" s="24">
        <v>32.380000000000003</v>
      </c>
      <c r="J3661" s="24">
        <v>5.83</v>
      </c>
      <c r="K3661" s="24">
        <v>1760.79</v>
      </c>
      <c r="L3661" s="38">
        <v>46287</v>
      </c>
      <c r="M3661" s="23" t="s">
        <v>216</v>
      </c>
      <c r="N3661" s="23" t="str">
        <f>IF(COUNTIF($A$2:A3661,A3661)&gt;1,"DUP","OK")</f>
        <v>OK</v>
      </c>
      <c r="O3661" s="23" t="str">
        <f t="shared" si="172"/>
        <v>ORD26001653</v>
      </c>
      <c r="P3661" s="23" t="str">
        <f t="shared" si="173"/>
        <v>Sep</v>
      </c>
      <c r="Q3661" s="23" t="str">
        <f>IF(F3661="CAPTURE",IF(COUNTIF(orders!$A:$A,O3661)&gt;0,"Yes","NO ORDER"),"")</f>
        <v>Yes</v>
      </c>
    </row>
    <row r="3662" spans="1:17" ht="15" customHeight="1" x14ac:dyDescent="0.3">
      <c r="A3662" s="23" t="s">
        <v>16634</v>
      </c>
      <c r="B3662" s="23"/>
      <c r="C3662" s="23" t="s">
        <v>3907</v>
      </c>
      <c r="D3662" s="23" t="str">
        <f t="shared" si="171"/>
        <v>ORD26001710</v>
      </c>
      <c r="E3662" s="38">
        <v>46285</v>
      </c>
      <c r="F3662" s="23" t="s">
        <v>12410</v>
      </c>
      <c r="G3662" s="23" t="s">
        <v>79</v>
      </c>
      <c r="H3662" s="24">
        <v>499</v>
      </c>
      <c r="I3662" s="24">
        <v>8.98</v>
      </c>
      <c r="J3662" s="24">
        <v>1.62</v>
      </c>
      <c r="K3662" s="24">
        <v>488.4</v>
      </c>
      <c r="L3662" s="38">
        <v>46287</v>
      </c>
      <c r="M3662" s="23" t="s">
        <v>216</v>
      </c>
      <c r="N3662" s="23" t="str">
        <f>IF(COUNTIF($A$2:A3662,A3662)&gt;1,"DUP","OK")</f>
        <v>OK</v>
      </c>
      <c r="O3662" s="23" t="str">
        <f t="shared" si="172"/>
        <v>ORD26001710</v>
      </c>
      <c r="P3662" s="23" t="str">
        <f t="shared" si="173"/>
        <v>Sep</v>
      </c>
      <c r="Q3662" s="23" t="str">
        <f>IF(F3662="CAPTURE",IF(COUNTIF(orders!$A:$A,O3662)&gt;0,"Yes","NO ORDER"),"")</f>
        <v>Yes</v>
      </c>
    </row>
    <row r="3663" spans="1:17" ht="15" customHeight="1" x14ac:dyDescent="0.3">
      <c r="A3663" s="23" t="s">
        <v>16635</v>
      </c>
      <c r="B3663" s="23"/>
      <c r="C3663" s="23" t="s">
        <v>16636</v>
      </c>
      <c r="D3663" s="23" t="str">
        <f t="shared" si="171"/>
        <v>ORD26001731</v>
      </c>
      <c r="E3663" s="38">
        <v>46285</v>
      </c>
      <c r="F3663" s="23" t="s">
        <v>12410</v>
      </c>
      <c r="G3663" s="23" t="s">
        <v>77</v>
      </c>
      <c r="H3663" s="24">
        <v>299</v>
      </c>
      <c r="I3663" s="24">
        <v>5.68</v>
      </c>
      <c r="J3663" s="24">
        <v>1.02</v>
      </c>
      <c r="K3663" s="24">
        <v>292.3</v>
      </c>
      <c r="L3663" s="38">
        <v>46287</v>
      </c>
      <c r="M3663" s="23" t="s">
        <v>216</v>
      </c>
      <c r="N3663" s="23" t="str">
        <f>IF(COUNTIF($A$2:A3663,A3663)&gt;1,"DUP","OK")</f>
        <v>OK</v>
      </c>
      <c r="O3663" s="23" t="str">
        <f t="shared" si="172"/>
        <v>ORD26001731</v>
      </c>
      <c r="P3663" s="23" t="str">
        <f t="shared" si="173"/>
        <v>Sep</v>
      </c>
      <c r="Q3663" s="23" t="str">
        <f>IF(F3663="CAPTURE",IF(COUNTIF(orders!$A:$A,O3663)&gt;0,"Yes","NO ORDER"),"")</f>
        <v>Yes</v>
      </c>
    </row>
    <row r="3664" spans="1:17" ht="15" customHeight="1" x14ac:dyDescent="0.3">
      <c r="A3664" s="23" t="s">
        <v>16637</v>
      </c>
      <c r="B3664" s="23"/>
      <c r="C3664" s="23" t="s">
        <v>16638</v>
      </c>
      <c r="D3664" s="23" t="str">
        <f t="shared" si="171"/>
        <v>ORD26001738</v>
      </c>
      <c r="E3664" s="38">
        <v>46285</v>
      </c>
      <c r="F3664" s="23" t="s">
        <v>12410</v>
      </c>
      <c r="G3664" s="23" t="s">
        <v>79</v>
      </c>
      <c r="H3664" s="24">
        <v>448</v>
      </c>
      <c r="I3664" s="24">
        <v>8.06</v>
      </c>
      <c r="J3664" s="24">
        <v>1.45</v>
      </c>
      <c r="K3664" s="24">
        <v>438.49</v>
      </c>
      <c r="L3664" s="38">
        <v>46287</v>
      </c>
      <c r="M3664" s="23" t="s">
        <v>216</v>
      </c>
      <c r="N3664" s="23" t="str">
        <f>IF(COUNTIF($A$2:A3664,A3664)&gt;1,"DUP","OK")</f>
        <v>OK</v>
      </c>
      <c r="O3664" s="23" t="str">
        <f t="shared" si="172"/>
        <v>ORD26001738</v>
      </c>
      <c r="P3664" s="23" t="str">
        <f t="shared" si="173"/>
        <v>Sep</v>
      </c>
      <c r="Q3664" s="23" t="str">
        <f>IF(F3664="CAPTURE",IF(COUNTIF(orders!$A:$A,O3664)&gt;0,"Yes","NO ORDER"),"")</f>
        <v>Yes</v>
      </c>
    </row>
    <row r="3665" spans="1:17" ht="15" customHeight="1" x14ac:dyDescent="0.3">
      <c r="A3665" s="23" t="s">
        <v>16639</v>
      </c>
      <c r="B3665" s="23"/>
      <c r="C3665" s="23" t="s">
        <v>3972</v>
      </c>
      <c r="D3665" s="23" t="str">
        <f t="shared" si="171"/>
        <v>ORD26001742</v>
      </c>
      <c r="E3665" s="38">
        <v>46285</v>
      </c>
      <c r="F3665" s="23" t="s">
        <v>12410</v>
      </c>
      <c r="G3665" s="23" t="s">
        <v>79</v>
      </c>
      <c r="H3665" s="24">
        <v>8797</v>
      </c>
      <c r="I3665" s="24">
        <v>140.75</v>
      </c>
      <c r="J3665" s="24">
        <v>25.34</v>
      </c>
      <c r="K3665" s="24">
        <v>8630.91</v>
      </c>
      <c r="L3665" s="38">
        <v>46287</v>
      </c>
      <c r="M3665" s="23" t="s">
        <v>216</v>
      </c>
      <c r="N3665" s="23" t="str">
        <f>IF(COUNTIF($A$2:A3665,A3665)&gt;1,"DUP","OK")</f>
        <v>OK</v>
      </c>
      <c r="O3665" s="23" t="str">
        <f t="shared" si="172"/>
        <v>ORD26001742</v>
      </c>
      <c r="P3665" s="23" t="str">
        <f t="shared" si="173"/>
        <v>Sep</v>
      </c>
      <c r="Q3665" s="23" t="str">
        <f>IF(F3665="CAPTURE",IF(COUNTIF(orders!$A:$A,O3665)&gt;0,"Yes","NO ORDER"),"")</f>
        <v>Yes</v>
      </c>
    </row>
    <row r="3666" spans="1:17" ht="15" customHeight="1" x14ac:dyDescent="0.3">
      <c r="A3666" s="23" t="s">
        <v>16640</v>
      </c>
      <c r="B3666" s="23"/>
      <c r="C3666" s="23" t="s">
        <v>16641</v>
      </c>
      <c r="D3666" s="23" t="str">
        <f t="shared" si="171"/>
        <v>ORD26001754</v>
      </c>
      <c r="E3666" s="38">
        <v>46285</v>
      </c>
      <c r="F3666" s="23" t="s">
        <v>12410</v>
      </c>
      <c r="G3666" s="23" t="s">
        <v>75</v>
      </c>
      <c r="H3666" s="24">
        <v>1799</v>
      </c>
      <c r="I3666" s="24">
        <v>0</v>
      </c>
      <c r="J3666" s="24">
        <v>0</v>
      </c>
      <c r="K3666" s="24">
        <v>1799</v>
      </c>
      <c r="L3666" s="38">
        <v>46287</v>
      </c>
      <c r="M3666" s="23" t="s">
        <v>216</v>
      </c>
      <c r="N3666" s="23" t="str">
        <f>IF(COUNTIF($A$2:A3666,A3666)&gt;1,"DUP","OK")</f>
        <v>OK</v>
      </c>
      <c r="O3666" s="23" t="str">
        <f t="shared" si="172"/>
        <v>ORD26001754</v>
      </c>
      <c r="P3666" s="23" t="str">
        <f t="shared" si="173"/>
        <v>Sep</v>
      </c>
      <c r="Q3666" s="23" t="str">
        <f>IF(F3666="CAPTURE",IF(COUNTIF(orders!$A:$A,O3666)&gt;0,"Yes","NO ORDER"),"")</f>
        <v>Yes</v>
      </c>
    </row>
    <row r="3667" spans="1:17" ht="15" customHeight="1" x14ac:dyDescent="0.3">
      <c r="A3667" s="23" t="s">
        <v>16642</v>
      </c>
      <c r="B3667" s="23"/>
      <c r="C3667" s="23" t="s">
        <v>4097</v>
      </c>
      <c r="D3667" s="23" t="str">
        <f t="shared" si="171"/>
        <v>ORD26001805</v>
      </c>
      <c r="E3667" s="38">
        <v>46285</v>
      </c>
      <c r="F3667" s="23" t="s">
        <v>12410</v>
      </c>
      <c r="G3667" s="23" t="s">
        <v>75</v>
      </c>
      <c r="H3667" s="24">
        <v>1499</v>
      </c>
      <c r="I3667" s="24">
        <v>0</v>
      </c>
      <c r="J3667" s="24">
        <v>0</v>
      </c>
      <c r="K3667" s="24">
        <v>1499</v>
      </c>
      <c r="L3667" s="38">
        <v>46287</v>
      </c>
      <c r="M3667" s="23" t="s">
        <v>216</v>
      </c>
      <c r="N3667" s="23" t="str">
        <f>IF(COUNTIF($A$2:A3667,A3667)&gt;1,"DUP","OK")</f>
        <v>OK</v>
      </c>
      <c r="O3667" s="23" t="str">
        <f t="shared" si="172"/>
        <v>ORD26001805</v>
      </c>
      <c r="P3667" s="23" t="str">
        <f t="shared" si="173"/>
        <v>Sep</v>
      </c>
      <c r="Q3667" s="23" t="str">
        <f>IF(F3667="CAPTURE",IF(COUNTIF(orders!$A:$A,O3667)&gt;0,"Yes","NO ORDER"),"")</f>
        <v>Yes</v>
      </c>
    </row>
    <row r="3668" spans="1:17" ht="15" customHeight="1" x14ac:dyDescent="0.3">
      <c r="A3668" s="23" t="s">
        <v>16643</v>
      </c>
      <c r="B3668" s="23"/>
      <c r="C3668" s="23" t="s">
        <v>4162</v>
      </c>
      <c r="D3668" s="23" t="str">
        <f t="shared" si="171"/>
        <v>ORD26001838</v>
      </c>
      <c r="E3668" s="38">
        <v>46285</v>
      </c>
      <c r="F3668" s="23" t="s">
        <v>12410</v>
      </c>
      <c r="G3668" s="23" t="s">
        <v>75</v>
      </c>
      <c r="H3668" s="24">
        <v>1799</v>
      </c>
      <c r="I3668" s="24">
        <v>0</v>
      </c>
      <c r="J3668" s="24">
        <v>0</v>
      </c>
      <c r="K3668" s="24">
        <v>1799</v>
      </c>
      <c r="L3668" s="38">
        <v>46287</v>
      </c>
      <c r="M3668" s="23" t="s">
        <v>216</v>
      </c>
      <c r="N3668" s="23" t="str">
        <f>IF(COUNTIF($A$2:A3668,A3668)&gt;1,"DUP","OK")</f>
        <v>OK</v>
      </c>
      <c r="O3668" s="23" t="str">
        <f t="shared" si="172"/>
        <v>ORD26001838</v>
      </c>
      <c r="P3668" s="23" t="str">
        <f t="shared" si="173"/>
        <v>Sep</v>
      </c>
      <c r="Q3668" s="23" t="str">
        <f>IF(F3668="CAPTURE",IF(COUNTIF(orders!$A:$A,O3668)&gt;0,"Yes","NO ORDER"),"")</f>
        <v>Yes</v>
      </c>
    </row>
    <row r="3669" spans="1:17" ht="15" customHeight="1" x14ac:dyDescent="0.3">
      <c r="A3669" s="23" t="s">
        <v>16644</v>
      </c>
      <c r="B3669" s="23"/>
      <c r="C3669" s="23" t="s">
        <v>4175</v>
      </c>
      <c r="D3669" s="23" t="str">
        <f t="shared" si="171"/>
        <v>ORD26001845</v>
      </c>
      <c r="E3669" s="38">
        <v>46285</v>
      </c>
      <c r="F3669" s="23" t="s">
        <v>12410</v>
      </c>
      <c r="G3669" s="23" t="s">
        <v>75</v>
      </c>
      <c r="H3669" s="24">
        <v>1498</v>
      </c>
      <c r="I3669" s="24">
        <v>0</v>
      </c>
      <c r="J3669" s="24">
        <v>0</v>
      </c>
      <c r="K3669" s="24">
        <v>1498</v>
      </c>
      <c r="L3669" s="38">
        <v>46287</v>
      </c>
      <c r="M3669" s="23" t="s">
        <v>216</v>
      </c>
      <c r="N3669" s="23" t="str">
        <f>IF(COUNTIF($A$2:A3669,A3669)&gt;1,"DUP","OK")</f>
        <v>OK</v>
      </c>
      <c r="O3669" s="23" t="str">
        <f t="shared" si="172"/>
        <v>ORD26001845</v>
      </c>
      <c r="P3669" s="23" t="str">
        <f t="shared" si="173"/>
        <v>Sep</v>
      </c>
      <c r="Q3669" s="23" t="str">
        <f>IF(F3669="CAPTURE",IF(COUNTIF(orders!$A:$A,O3669)&gt;0,"Yes","NO ORDER"),"")</f>
        <v>Yes</v>
      </c>
    </row>
    <row r="3670" spans="1:17" ht="15" customHeight="1" x14ac:dyDescent="0.3">
      <c r="A3670" s="23" t="s">
        <v>16645</v>
      </c>
      <c r="B3670" s="23"/>
      <c r="C3670" s="23" t="s">
        <v>4230</v>
      </c>
      <c r="D3670" s="23" t="str">
        <f t="shared" si="171"/>
        <v>ORD26001872</v>
      </c>
      <c r="E3670" s="38">
        <v>46285</v>
      </c>
      <c r="F3670" s="23" t="s">
        <v>12410</v>
      </c>
      <c r="G3670" s="23" t="s">
        <v>77</v>
      </c>
      <c r="H3670" s="24">
        <v>1499</v>
      </c>
      <c r="I3670" s="24">
        <v>28.48</v>
      </c>
      <c r="J3670" s="24">
        <v>5.13</v>
      </c>
      <c r="K3670" s="24">
        <v>1465.39</v>
      </c>
      <c r="L3670" s="38">
        <v>46287</v>
      </c>
      <c r="M3670" s="23" t="s">
        <v>216</v>
      </c>
      <c r="N3670" s="23" t="str">
        <f>IF(COUNTIF($A$2:A3670,A3670)&gt;1,"DUP","OK")</f>
        <v>OK</v>
      </c>
      <c r="O3670" s="23" t="str">
        <f t="shared" si="172"/>
        <v>ORD26001872</v>
      </c>
      <c r="P3670" s="23" t="str">
        <f t="shared" si="173"/>
        <v>Sep</v>
      </c>
      <c r="Q3670" s="23" t="str">
        <f>IF(F3670="CAPTURE",IF(COUNTIF(orders!$A:$A,O3670)&gt;0,"Yes","NO ORDER"),"")</f>
        <v>Yes</v>
      </c>
    </row>
    <row r="3671" spans="1:17" ht="15" customHeight="1" x14ac:dyDescent="0.3">
      <c r="A3671" s="23" t="s">
        <v>16646</v>
      </c>
      <c r="B3671" s="23"/>
      <c r="C3671" s="23" t="s">
        <v>4355</v>
      </c>
      <c r="D3671" s="23" t="str">
        <f t="shared" si="171"/>
        <v>ORD26001933</v>
      </c>
      <c r="E3671" s="38">
        <v>46285</v>
      </c>
      <c r="F3671" s="23" t="s">
        <v>12410</v>
      </c>
      <c r="G3671" s="23" t="s">
        <v>79</v>
      </c>
      <c r="H3671" s="24">
        <v>6298</v>
      </c>
      <c r="I3671" s="24">
        <v>100.77</v>
      </c>
      <c r="J3671" s="24">
        <v>18.14</v>
      </c>
      <c r="K3671" s="24">
        <v>6179.09</v>
      </c>
      <c r="L3671" s="38">
        <v>46287</v>
      </c>
      <c r="M3671" s="23" t="s">
        <v>216</v>
      </c>
      <c r="N3671" s="23" t="str">
        <f>IF(COUNTIF($A$2:A3671,A3671)&gt;1,"DUP","OK")</f>
        <v>OK</v>
      </c>
      <c r="O3671" s="23" t="str">
        <f t="shared" si="172"/>
        <v>ORD26001933</v>
      </c>
      <c r="P3671" s="23" t="str">
        <f t="shared" si="173"/>
        <v>Sep</v>
      </c>
      <c r="Q3671" s="23" t="str">
        <f>IF(F3671="CAPTURE",IF(COUNTIF(orders!$A:$A,O3671)&gt;0,"Yes","NO ORDER"),"")</f>
        <v>Yes</v>
      </c>
    </row>
    <row r="3672" spans="1:17" ht="15" customHeight="1" x14ac:dyDescent="0.3">
      <c r="A3672" s="23" t="s">
        <v>16647</v>
      </c>
      <c r="B3672" s="23"/>
      <c r="C3672" s="23" t="s">
        <v>4367</v>
      </c>
      <c r="D3672" s="23" t="str">
        <f t="shared" si="171"/>
        <v>ORD26001940</v>
      </c>
      <c r="E3672" s="38">
        <v>46285</v>
      </c>
      <c r="F3672" s="23" t="s">
        <v>12410</v>
      </c>
      <c r="G3672" s="23" t="s">
        <v>79</v>
      </c>
      <c r="H3672" s="24">
        <v>2798</v>
      </c>
      <c r="I3672" s="24">
        <v>44.77</v>
      </c>
      <c r="J3672" s="24">
        <v>8.06</v>
      </c>
      <c r="K3672" s="24">
        <v>2745.17</v>
      </c>
      <c r="L3672" s="38">
        <v>46287</v>
      </c>
      <c r="M3672" s="23" t="s">
        <v>216</v>
      </c>
      <c r="N3672" s="23" t="str">
        <f>IF(COUNTIF($A$2:A3672,A3672)&gt;1,"DUP","OK")</f>
        <v>OK</v>
      </c>
      <c r="O3672" s="23" t="str">
        <f t="shared" si="172"/>
        <v>ORD26001940</v>
      </c>
      <c r="P3672" s="23" t="str">
        <f t="shared" si="173"/>
        <v>Sep</v>
      </c>
      <c r="Q3672" s="23" t="str">
        <f>IF(F3672="CAPTURE",IF(COUNTIF(orders!$A:$A,O3672)&gt;0,"Yes","NO ORDER"),"")</f>
        <v>Yes</v>
      </c>
    </row>
    <row r="3673" spans="1:17" ht="15" customHeight="1" x14ac:dyDescent="0.3">
      <c r="A3673" s="23" t="s">
        <v>16648</v>
      </c>
      <c r="B3673" s="23"/>
      <c r="C3673" s="23" t="s">
        <v>4417</v>
      </c>
      <c r="D3673" s="23" t="str">
        <f t="shared" si="171"/>
        <v>ORD26001965</v>
      </c>
      <c r="E3673" s="38">
        <v>46285</v>
      </c>
      <c r="F3673" s="23" t="s">
        <v>12410</v>
      </c>
      <c r="G3673" s="23" t="s">
        <v>75</v>
      </c>
      <c r="H3673" s="24">
        <v>2998</v>
      </c>
      <c r="I3673" s="24">
        <v>8.99</v>
      </c>
      <c r="J3673" s="24">
        <v>1.62</v>
      </c>
      <c r="K3673" s="24">
        <v>2987.39</v>
      </c>
      <c r="L3673" s="38">
        <v>46287</v>
      </c>
      <c r="M3673" s="23" t="s">
        <v>216</v>
      </c>
      <c r="N3673" s="23" t="str">
        <f>IF(COUNTIF($A$2:A3673,A3673)&gt;1,"DUP","OK")</f>
        <v>OK</v>
      </c>
      <c r="O3673" s="23" t="str">
        <f t="shared" si="172"/>
        <v>ORD26001965</v>
      </c>
      <c r="P3673" s="23" t="str">
        <f t="shared" si="173"/>
        <v>Sep</v>
      </c>
      <c r="Q3673" s="23" t="str">
        <f>IF(F3673="CAPTURE",IF(COUNTIF(orders!$A:$A,O3673)&gt;0,"Yes","NO ORDER"),"")</f>
        <v>Yes</v>
      </c>
    </row>
    <row r="3674" spans="1:17" ht="15" customHeight="1" x14ac:dyDescent="0.3">
      <c r="A3674" s="23" t="s">
        <v>16649</v>
      </c>
      <c r="B3674" s="23"/>
      <c r="C3674" s="23" t="s">
        <v>4437</v>
      </c>
      <c r="D3674" s="23" t="str">
        <f t="shared" si="171"/>
        <v>ORD26001975</v>
      </c>
      <c r="E3674" s="38">
        <v>46285</v>
      </c>
      <c r="F3674" s="23" t="s">
        <v>12410</v>
      </c>
      <c r="G3674" s="23" t="s">
        <v>75</v>
      </c>
      <c r="H3674" s="24">
        <v>499</v>
      </c>
      <c r="I3674" s="24">
        <v>0</v>
      </c>
      <c r="J3674" s="24">
        <v>0</v>
      </c>
      <c r="K3674" s="24">
        <v>499</v>
      </c>
      <c r="L3674" s="38">
        <v>46287</v>
      </c>
      <c r="M3674" s="23" t="s">
        <v>216</v>
      </c>
      <c r="N3674" s="23" t="str">
        <f>IF(COUNTIF($A$2:A3674,A3674)&gt;1,"DUP","OK")</f>
        <v>OK</v>
      </c>
      <c r="O3674" s="23" t="str">
        <f t="shared" si="172"/>
        <v>ORD26001975</v>
      </c>
      <c r="P3674" s="23" t="str">
        <f t="shared" si="173"/>
        <v>Sep</v>
      </c>
      <c r="Q3674" s="23" t="str">
        <f>IF(F3674="CAPTURE",IF(COUNTIF(orders!$A:$A,O3674)&gt;0,"Yes","NO ORDER"),"")</f>
        <v>Yes</v>
      </c>
    </row>
    <row r="3675" spans="1:17" ht="15" customHeight="1" x14ac:dyDescent="0.3">
      <c r="A3675" s="23" t="s">
        <v>16650</v>
      </c>
      <c r="B3675" s="23"/>
      <c r="C3675" s="23" t="s">
        <v>4539</v>
      </c>
      <c r="D3675" s="23" t="str">
        <f t="shared" si="171"/>
        <v>ORD26002025</v>
      </c>
      <c r="E3675" s="38">
        <v>46285</v>
      </c>
      <c r="F3675" s="23" t="s">
        <v>12410</v>
      </c>
      <c r="G3675" s="23" t="s">
        <v>75</v>
      </c>
      <c r="H3675" s="24">
        <v>9498</v>
      </c>
      <c r="I3675" s="24">
        <v>28.49</v>
      </c>
      <c r="J3675" s="24">
        <v>5.13</v>
      </c>
      <c r="K3675" s="24">
        <v>9464.3799999999992</v>
      </c>
      <c r="L3675" s="38">
        <v>46287</v>
      </c>
      <c r="M3675" s="23" t="s">
        <v>216</v>
      </c>
      <c r="N3675" s="23" t="str">
        <f>IF(COUNTIF($A$2:A3675,A3675)&gt;1,"DUP","OK")</f>
        <v>OK</v>
      </c>
      <c r="O3675" s="23" t="str">
        <f t="shared" si="172"/>
        <v>ORD26002025</v>
      </c>
      <c r="P3675" s="23" t="str">
        <f t="shared" si="173"/>
        <v>Sep</v>
      </c>
      <c r="Q3675" s="23" t="str">
        <f>IF(F3675="CAPTURE",IF(COUNTIF(orders!$A:$A,O3675)&gt;0,"Yes","NO ORDER"),"")</f>
        <v>Yes</v>
      </c>
    </row>
    <row r="3676" spans="1:17" ht="15" customHeight="1" x14ac:dyDescent="0.3">
      <c r="A3676" s="23" t="s">
        <v>16651</v>
      </c>
      <c r="B3676" s="23"/>
      <c r="C3676" s="23" t="s">
        <v>4827</v>
      </c>
      <c r="D3676" s="23" t="str">
        <f t="shared" si="171"/>
        <v>ORD26002169</v>
      </c>
      <c r="E3676" s="38">
        <v>46285</v>
      </c>
      <c r="F3676" s="23" t="s">
        <v>12410</v>
      </c>
      <c r="G3676" s="23" t="s">
        <v>77</v>
      </c>
      <c r="H3676" s="24">
        <v>2499</v>
      </c>
      <c r="I3676" s="24">
        <v>42.48</v>
      </c>
      <c r="J3676" s="24">
        <v>7.65</v>
      </c>
      <c r="K3676" s="24">
        <v>2448.87</v>
      </c>
      <c r="L3676" s="38">
        <v>46287</v>
      </c>
      <c r="M3676" s="23" t="s">
        <v>216</v>
      </c>
      <c r="N3676" s="23" t="str">
        <f>IF(COUNTIF($A$2:A3676,A3676)&gt;1,"DUP","OK")</f>
        <v>OK</v>
      </c>
      <c r="O3676" s="23" t="str">
        <f t="shared" si="172"/>
        <v>ORD26002169</v>
      </c>
      <c r="P3676" s="23" t="str">
        <f t="shared" si="173"/>
        <v>Sep</v>
      </c>
      <c r="Q3676" s="23" t="str">
        <f>IF(F3676="CAPTURE",IF(COUNTIF(orders!$A:$A,O3676)&gt;0,"Yes","NO ORDER"),"")</f>
        <v>Yes</v>
      </c>
    </row>
    <row r="3677" spans="1:17" ht="15" customHeight="1" x14ac:dyDescent="0.3">
      <c r="A3677" s="23" t="s">
        <v>16652</v>
      </c>
      <c r="B3677" s="23"/>
      <c r="C3677" s="23" t="s">
        <v>16653</v>
      </c>
      <c r="D3677" s="23" t="str">
        <f t="shared" si="171"/>
        <v>ORD26002202</v>
      </c>
      <c r="E3677" s="38">
        <v>46285</v>
      </c>
      <c r="F3677" s="23" t="s">
        <v>12410</v>
      </c>
      <c r="G3677" s="23" t="s">
        <v>75</v>
      </c>
      <c r="H3677" s="24">
        <v>499</v>
      </c>
      <c r="I3677" s="24">
        <v>0</v>
      </c>
      <c r="J3677" s="24">
        <v>0</v>
      </c>
      <c r="K3677" s="24">
        <v>499</v>
      </c>
      <c r="L3677" s="38">
        <v>46287</v>
      </c>
      <c r="M3677" s="23" t="s">
        <v>216</v>
      </c>
      <c r="N3677" s="23" t="str">
        <f>IF(COUNTIF($A$2:A3677,A3677)&gt;1,"DUP","OK")</f>
        <v>OK</v>
      </c>
      <c r="O3677" s="23" t="str">
        <f t="shared" si="172"/>
        <v>ORD26002202</v>
      </c>
      <c r="P3677" s="23" t="str">
        <f t="shared" si="173"/>
        <v>Sep</v>
      </c>
      <c r="Q3677" s="23" t="str">
        <f>IF(F3677="CAPTURE",IF(COUNTIF(orders!$A:$A,O3677)&gt;0,"Yes","NO ORDER"),"")</f>
        <v>Yes</v>
      </c>
    </row>
    <row r="3678" spans="1:17" ht="15" customHeight="1" x14ac:dyDescent="0.3">
      <c r="A3678" s="23" t="s">
        <v>16654</v>
      </c>
      <c r="B3678" s="23"/>
      <c r="C3678" s="23" t="s">
        <v>4957</v>
      </c>
      <c r="D3678" s="23" t="str">
        <f t="shared" si="171"/>
        <v>ORD26002232</v>
      </c>
      <c r="E3678" s="38">
        <v>46285</v>
      </c>
      <c r="F3678" s="23" t="s">
        <v>12410</v>
      </c>
      <c r="G3678" s="23" t="s">
        <v>79</v>
      </c>
      <c r="H3678" s="24">
        <v>2797</v>
      </c>
      <c r="I3678" s="24">
        <v>44.75</v>
      </c>
      <c r="J3678" s="24">
        <v>8.06</v>
      </c>
      <c r="K3678" s="24">
        <v>2744.19</v>
      </c>
      <c r="L3678" s="38">
        <v>46287</v>
      </c>
      <c r="M3678" s="23" t="s">
        <v>216</v>
      </c>
      <c r="N3678" s="23" t="str">
        <f>IF(COUNTIF($A$2:A3678,A3678)&gt;1,"DUP","OK")</f>
        <v>OK</v>
      </c>
      <c r="O3678" s="23" t="str">
        <f t="shared" si="172"/>
        <v>ORD26002232</v>
      </c>
      <c r="P3678" s="23" t="str">
        <f t="shared" si="173"/>
        <v>Sep</v>
      </c>
      <c r="Q3678" s="23" t="str">
        <f>IF(F3678="CAPTURE",IF(COUNTIF(orders!$A:$A,O3678)&gt;0,"Yes","NO ORDER"),"")</f>
        <v>Yes</v>
      </c>
    </row>
    <row r="3679" spans="1:17" ht="15" customHeight="1" x14ac:dyDescent="0.3">
      <c r="A3679" s="23" t="s">
        <v>16655</v>
      </c>
      <c r="B3679" s="23"/>
      <c r="C3679" s="23" t="s">
        <v>5120</v>
      </c>
      <c r="D3679" s="23" t="str">
        <f t="shared" si="171"/>
        <v>ORD26002313</v>
      </c>
      <c r="E3679" s="38">
        <v>46285</v>
      </c>
      <c r="F3679" s="23" t="s">
        <v>12410</v>
      </c>
      <c r="G3679" s="23" t="s">
        <v>79</v>
      </c>
      <c r="H3679" s="24">
        <v>1799</v>
      </c>
      <c r="I3679" s="24">
        <v>32.380000000000003</v>
      </c>
      <c r="J3679" s="24">
        <v>5.83</v>
      </c>
      <c r="K3679" s="24">
        <v>1760.79</v>
      </c>
      <c r="L3679" s="38">
        <v>46287</v>
      </c>
      <c r="M3679" s="23" t="s">
        <v>216</v>
      </c>
      <c r="N3679" s="23" t="str">
        <f>IF(COUNTIF($A$2:A3679,A3679)&gt;1,"DUP","OK")</f>
        <v>OK</v>
      </c>
      <c r="O3679" s="23" t="str">
        <f t="shared" si="172"/>
        <v>ORD26002313</v>
      </c>
      <c r="P3679" s="23" t="str">
        <f t="shared" si="173"/>
        <v>Sep</v>
      </c>
      <c r="Q3679" s="23" t="str">
        <f>IF(F3679="CAPTURE",IF(COUNTIF(orders!$A:$A,O3679)&gt;0,"Yes","NO ORDER"),"")</f>
        <v>Yes</v>
      </c>
    </row>
    <row r="3680" spans="1:17" ht="15" customHeight="1" x14ac:dyDescent="0.3">
      <c r="A3680" s="23" t="s">
        <v>16656</v>
      </c>
      <c r="B3680" s="23"/>
      <c r="C3680" s="23" t="s">
        <v>5162</v>
      </c>
      <c r="D3680" s="23" t="str">
        <f t="shared" si="171"/>
        <v>ORD26002334</v>
      </c>
      <c r="E3680" s="38">
        <v>46285</v>
      </c>
      <c r="F3680" s="23" t="s">
        <v>12410</v>
      </c>
      <c r="G3680" s="23" t="s">
        <v>75</v>
      </c>
      <c r="H3680" s="24">
        <v>3499</v>
      </c>
      <c r="I3680" s="24">
        <v>10.5</v>
      </c>
      <c r="J3680" s="24">
        <v>1.89</v>
      </c>
      <c r="K3680" s="24">
        <v>3486.61</v>
      </c>
      <c r="L3680" s="38">
        <v>46287</v>
      </c>
      <c r="M3680" s="23" t="s">
        <v>216</v>
      </c>
      <c r="N3680" s="23" t="str">
        <f>IF(COUNTIF($A$2:A3680,A3680)&gt;1,"DUP","OK")</f>
        <v>OK</v>
      </c>
      <c r="O3680" s="23" t="str">
        <f t="shared" si="172"/>
        <v>ORD26002334</v>
      </c>
      <c r="P3680" s="23" t="str">
        <f t="shared" si="173"/>
        <v>Sep</v>
      </c>
      <c r="Q3680" s="23" t="str">
        <f>IF(F3680="CAPTURE",IF(COUNTIF(orders!$A:$A,O3680)&gt;0,"Yes","NO ORDER"),"")</f>
        <v>Yes</v>
      </c>
    </row>
    <row r="3681" spans="1:17" ht="15" customHeight="1" x14ac:dyDescent="0.3">
      <c r="A3681" s="23" t="s">
        <v>16657</v>
      </c>
      <c r="B3681" s="23"/>
      <c r="C3681" s="23" t="s">
        <v>5207</v>
      </c>
      <c r="D3681" s="23" t="str">
        <f t="shared" si="171"/>
        <v>ORD26002357</v>
      </c>
      <c r="E3681" s="38">
        <v>46285</v>
      </c>
      <c r="F3681" s="23" t="s">
        <v>12410</v>
      </c>
      <c r="G3681" s="23" t="s">
        <v>75</v>
      </c>
      <c r="H3681" s="24">
        <v>1299</v>
      </c>
      <c r="I3681" s="24">
        <v>0</v>
      </c>
      <c r="J3681" s="24">
        <v>0</v>
      </c>
      <c r="K3681" s="24">
        <v>1299</v>
      </c>
      <c r="L3681" s="38">
        <v>46287</v>
      </c>
      <c r="M3681" s="23" t="s">
        <v>216</v>
      </c>
      <c r="N3681" s="23" t="str">
        <f>IF(COUNTIF($A$2:A3681,A3681)&gt;1,"DUP","OK")</f>
        <v>OK</v>
      </c>
      <c r="O3681" s="23" t="str">
        <f t="shared" si="172"/>
        <v>ORD26002357</v>
      </c>
      <c r="P3681" s="23" t="str">
        <f t="shared" si="173"/>
        <v>Sep</v>
      </c>
      <c r="Q3681" s="23" t="str">
        <f>IF(F3681="CAPTURE",IF(COUNTIF(orders!$A:$A,O3681)&gt;0,"Yes","NO ORDER"),"")</f>
        <v>Yes</v>
      </c>
    </row>
    <row r="3682" spans="1:17" ht="15" customHeight="1" x14ac:dyDescent="0.3">
      <c r="A3682" s="23" t="s">
        <v>16658</v>
      </c>
      <c r="B3682" s="23"/>
      <c r="C3682" s="23" t="s">
        <v>5215</v>
      </c>
      <c r="D3682" s="23" t="str">
        <f t="shared" si="171"/>
        <v>ORD26002361</v>
      </c>
      <c r="E3682" s="38">
        <v>46285</v>
      </c>
      <c r="F3682" s="23" t="s">
        <v>12410</v>
      </c>
      <c r="G3682" s="23" t="s">
        <v>75</v>
      </c>
      <c r="H3682" s="24">
        <v>7997</v>
      </c>
      <c r="I3682" s="24">
        <v>23.99</v>
      </c>
      <c r="J3682" s="24">
        <v>4.32</v>
      </c>
      <c r="K3682" s="24">
        <v>7968.69</v>
      </c>
      <c r="L3682" s="38">
        <v>46287</v>
      </c>
      <c r="M3682" s="23" t="s">
        <v>216</v>
      </c>
      <c r="N3682" s="23" t="str">
        <f>IF(COUNTIF($A$2:A3682,A3682)&gt;1,"DUP","OK")</f>
        <v>OK</v>
      </c>
      <c r="O3682" s="23" t="str">
        <f t="shared" si="172"/>
        <v>ORD26002361</v>
      </c>
      <c r="P3682" s="23" t="str">
        <f t="shared" si="173"/>
        <v>Sep</v>
      </c>
      <c r="Q3682" s="23" t="str">
        <f>IF(F3682="CAPTURE",IF(COUNTIF(orders!$A:$A,O3682)&gt;0,"Yes","NO ORDER"),"")</f>
        <v>Yes</v>
      </c>
    </row>
    <row r="3683" spans="1:17" ht="15" customHeight="1" x14ac:dyDescent="0.3">
      <c r="A3683" s="23" t="s">
        <v>16659</v>
      </c>
      <c r="B3683" s="23"/>
      <c r="C3683" s="23" t="s">
        <v>5269</v>
      </c>
      <c r="D3683" s="23" t="str">
        <f t="shared" si="171"/>
        <v>ORD26002388</v>
      </c>
      <c r="E3683" s="38">
        <v>46285</v>
      </c>
      <c r="F3683" s="23" t="s">
        <v>12410</v>
      </c>
      <c r="G3683" s="23" t="s">
        <v>75</v>
      </c>
      <c r="H3683" s="24">
        <v>4797</v>
      </c>
      <c r="I3683" s="24">
        <v>14.39</v>
      </c>
      <c r="J3683" s="24">
        <v>2.59</v>
      </c>
      <c r="K3683" s="24">
        <v>4780.0200000000004</v>
      </c>
      <c r="L3683" s="38">
        <v>46287</v>
      </c>
      <c r="M3683" s="23" t="s">
        <v>216</v>
      </c>
      <c r="N3683" s="23" t="str">
        <f>IF(COUNTIF($A$2:A3683,A3683)&gt;1,"DUP","OK")</f>
        <v>OK</v>
      </c>
      <c r="O3683" s="23" t="str">
        <f t="shared" si="172"/>
        <v>ORD26002388</v>
      </c>
      <c r="P3683" s="23" t="str">
        <f t="shared" si="173"/>
        <v>Sep</v>
      </c>
      <c r="Q3683" s="23" t="str">
        <f>IF(F3683="CAPTURE",IF(COUNTIF(orders!$A:$A,O3683)&gt;0,"Yes","NO ORDER"),"")</f>
        <v>Yes</v>
      </c>
    </row>
    <row r="3684" spans="1:17" ht="15" customHeight="1" x14ac:dyDescent="0.3">
      <c r="A3684" s="23" t="s">
        <v>16660</v>
      </c>
      <c r="B3684" s="23"/>
      <c r="C3684" s="23" t="s">
        <v>5269</v>
      </c>
      <c r="D3684" s="23" t="str">
        <f t="shared" si="171"/>
        <v>ORD26002388</v>
      </c>
      <c r="E3684" s="38">
        <v>46285</v>
      </c>
      <c r="F3684" s="23" t="s">
        <v>12410</v>
      </c>
      <c r="G3684" s="23" t="s">
        <v>75</v>
      </c>
      <c r="H3684" s="24">
        <v>4797</v>
      </c>
      <c r="I3684" s="24">
        <v>14.39</v>
      </c>
      <c r="J3684" s="24">
        <v>2.59</v>
      </c>
      <c r="K3684" s="24">
        <v>4780.0200000000004</v>
      </c>
      <c r="L3684" s="38">
        <v>46287</v>
      </c>
      <c r="M3684" s="23" t="s">
        <v>216</v>
      </c>
      <c r="N3684" s="23" t="str">
        <f>IF(COUNTIF($A$2:A3684,A3684)&gt;1,"DUP","OK")</f>
        <v>OK</v>
      </c>
      <c r="O3684" s="23" t="str">
        <f t="shared" si="172"/>
        <v>ORD26002388</v>
      </c>
      <c r="P3684" s="23" t="str">
        <f t="shared" si="173"/>
        <v>Sep</v>
      </c>
      <c r="Q3684" s="23" t="str">
        <f>IF(F3684="CAPTURE",IF(COUNTIF(orders!$A:$A,O3684)&gt;0,"Yes","NO ORDER"),"")</f>
        <v>Yes</v>
      </c>
    </row>
    <row r="3685" spans="1:17" ht="15" customHeight="1" x14ac:dyDescent="0.3">
      <c r="A3685" s="23" t="s">
        <v>16661</v>
      </c>
      <c r="B3685" s="23"/>
      <c r="C3685" s="23" t="s">
        <v>5341</v>
      </c>
      <c r="D3685" s="23" t="str">
        <f t="shared" si="171"/>
        <v>ORD26002425</v>
      </c>
      <c r="E3685" s="38">
        <v>46285</v>
      </c>
      <c r="F3685" s="23" t="s">
        <v>12410</v>
      </c>
      <c r="G3685" s="23" t="s">
        <v>75</v>
      </c>
      <c r="H3685" s="24">
        <v>2098</v>
      </c>
      <c r="I3685" s="24">
        <v>6.29</v>
      </c>
      <c r="J3685" s="24">
        <v>1.1299999999999999</v>
      </c>
      <c r="K3685" s="24">
        <v>2090.58</v>
      </c>
      <c r="L3685" s="38">
        <v>46287</v>
      </c>
      <c r="M3685" s="23" t="s">
        <v>216</v>
      </c>
      <c r="N3685" s="23" t="str">
        <f>IF(COUNTIF($A$2:A3685,A3685)&gt;1,"DUP","OK")</f>
        <v>OK</v>
      </c>
      <c r="O3685" s="23" t="str">
        <f t="shared" si="172"/>
        <v>ORD26002425</v>
      </c>
      <c r="P3685" s="23" t="str">
        <f t="shared" si="173"/>
        <v>Sep</v>
      </c>
      <c r="Q3685" s="23" t="str">
        <f>IF(F3685="CAPTURE",IF(COUNTIF(orders!$A:$A,O3685)&gt;0,"Yes","NO ORDER"),"")</f>
        <v>Yes</v>
      </c>
    </row>
    <row r="3686" spans="1:17" ht="15" customHeight="1" x14ac:dyDescent="0.3">
      <c r="A3686" s="23" t="s">
        <v>16662</v>
      </c>
      <c r="B3686" s="23"/>
      <c r="C3686" s="23" t="s">
        <v>5474</v>
      </c>
      <c r="D3686" s="23" t="str">
        <f t="shared" si="171"/>
        <v>ORD26002493</v>
      </c>
      <c r="E3686" s="38">
        <v>46285</v>
      </c>
      <c r="F3686" s="23" t="s">
        <v>12410</v>
      </c>
      <c r="G3686" s="23" t="s">
        <v>75</v>
      </c>
      <c r="H3686" s="24">
        <v>4999</v>
      </c>
      <c r="I3686" s="24">
        <v>15</v>
      </c>
      <c r="J3686" s="24">
        <v>2.7</v>
      </c>
      <c r="K3686" s="24">
        <v>4981.3</v>
      </c>
      <c r="L3686" s="38">
        <v>46287</v>
      </c>
      <c r="M3686" s="23" t="s">
        <v>216</v>
      </c>
      <c r="N3686" s="23" t="str">
        <f>IF(COUNTIF($A$2:A3686,A3686)&gt;1,"DUP","OK")</f>
        <v>OK</v>
      </c>
      <c r="O3686" s="23" t="str">
        <f t="shared" si="172"/>
        <v>ORD26002493</v>
      </c>
      <c r="P3686" s="23" t="str">
        <f t="shared" si="173"/>
        <v>Sep</v>
      </c>
      <c r="Q3686" s="23" t="str">
        <f>IF(F3686="CAPTURE",IF(COUNTIF(orders!$A:$A,O3686)&gt;0,"Yes","NO ORDER"),"")</f>
        <v>Yes</v>
      </c>
    </row>
    <row r="3687" spans="1:17" ht="15" customHeight="1" x14ac:dyDescent="0.3">
      <c r="A3687" s="23" t="s">
        <v>16663</v>
      </c>
      <c r="B3687" s="23"/>
      <c r="C3687" s="23" t="s">
        <v>5484</v>
      </c>
      <c r="D3687" s="23" t="str">
        <f t="shared" si="171"/>
        <v>ORD26002498</v>
      </c>
      <c r="E3687" s="38">
        <v>46285</v>
      </c>
      <c r="F3687" s="23" t="s">
        <v>12410</v>
      </c>
      <c r="G3687" s="23" t="s">
        <v>75</v>
      </c>
      <c r="H3687" s="24">
        <v>8348</v>
      </c>
      <c r="I3687" s="24">
        <v>25.04</v>
      </c>
      <c r="J3687" s="24">
        <v>4.51</v>
      </c>
      <c r="K3687" s="24">
        <v>8318.4500000000007</v>
      </c>
      <c r="L3687" s="38">
        <v>46287</v>
      </c>
      <c r="M3687" s="23" t="s">
        <v>216</v>
      </c>
      <c r="N3687" s="23" t="str">
        <f>IF(COUNTIF($A$2:A3687,A3687)&gt;1,"DUP","OK")</f>
        <v>OK</v>
      </c>
      <c r="O3687" s="23" t="str">
        <f t="shared" si="172"/>
        <v>ORD26002498</v>
      </c>
      <c r="P3687" s="23" t="str">
        <f t="shared" si="173"/>
        <v>Sep</v>
      </c>
      <c r="Q3687" s="23" t="str">
        <f>IF(F3687="CAPTURE",IF(COUNTIF(orders!$A:$A,O3687)&gt;0,"Yes","NO ORDER"),"")</f>
        <v>Yes</v>
      </c>
    </row>
    <row r="3688" spans="1:17" ht="15" customHeight="1" x14ac:dyDescent="0.3">
      <c r="A3688" s="23" t="s">
        <v>16664</v>
      </c>
      <c r="B3688" s="23"/>
      <c r="C3688" s="23" t="s">
        <v>5508</v>
      </c>
      <c r="D3688" s="23" t="str">
        <f t="shared" si="171"/>
        <v>ORD26002509</v>
      </c>
      <c r="E3688" s="38">
        <v>46285</v>
      </c>
      <c r="F3688" s="23" t="s">
        <v>12410</v>
      </c>
      <c r="G3688" s="23" t="s">
        <v>75</v>
      </c>
      <c r="H3688" s="24">
        <v>9897</v>
      </c>
      <c r="I3688" s="24">
        <v>29.69</v>
      </c>
      <c r="J3688" s="24">
        <v>5.34</v>
      </c>
      <c r="K3688" s="24">
        <v>9861.9699999999993</v>
      </c>
      <c r="L3688" s="38">
        <v>46287</v>
      </c>
      <c r="M3688" s="23" t="s">
        <v>216</v>
      </c>
      <c r="N3688" s="23" t="str">
        <f>IF(COUNTIF($A$2:A3688,A3688)&gt;1,"DUP","OK")</f>
        <v>OK</v>
      </c>
      <c r="O3688" s="23" t="str">
        <f t="shared" si="172"/>
        <v>ORD26002509</v>
      </c>
      <c r="P3688" s="23" t="str">
        <f t="shared" si="173"/>
        <v>Sep</v>
      </c>
      <c r="Q3688" s="23" t="str">
        <f>IF(F3688="CAPTURE",IF(COUNTIF(orders!$A:$A,O3688)&gt;0,"Yes","NO ORDER"),"")</f>
        <v>Yes</v>
      </c>
    </row>
    <row r="3689" spans="1:17" ht="15" customHeight="1" x14ac:dyDescent="0.3">
      <c r="A3689" s="23" t="s">
        <v>16665</v>
      </c>
      <c r="B3689" s="23"/>
      <c r="C3689" s="23" t="s">
        <v>5649</v>
      </c>
      <c r="D3689" s="23" t="str">
        <f t="shared" si="171"/>
        <v>ORD26002578</v>
      </c>
      <c r="E3689" s="38">
        <v>46285</v>
      </c>
      <c r="F3689" s="23" t="s">
        <v>12410</v>
      </c>
      <c r="G3689" s="23" t="s">
        <v>79</v>
      </c>
      <c r="H3689" s="24">
        <v>3298</v>
      </c>
      <c r="I3689" s="24">
        <v>52.77</v>
      </c>
      <c r="J3689" s="24">
        <v>9.5</v>
      </c>
      <c r="K3689" s="24">
        <v>3235.73</v>
      </c>
      <c r="L3689" s="38">
        <v>46287</v>
      </c>
      <c r="M3689" s="23" t="s">
        <v>216</v>
      </c>
      <c r="N3689" s="23" t="str">
        <f>IF(COUNTIF($A$2:A3689,A3689)&gt;1,"DUP","OK")</f>
        <v>OK</v>
      </c>
      <c r="O3689" s="23" t="str">
        <f t="shared" si="172"/>
        <v>ORD26002578</v>
      </c>
      <c r="P3689" s="23" t="str">
        <f t="shared" si="173"/>
        <v>Sep</v>
      </c>
      <c r="Q3689" s="23" t="str">
        <f>IF(F3689="CAPTURE",IF(COUNTIF(orders!$A:$A,O3689)&gt;0,"Yes","NO ORDER"),"")</f>
        <v>Yes</v>
      </c>
    </row>
    <row r="3690" spans="1:17" ht="15" customHeight="1" x14ac:dyDescent="0.3">
      <c r="A3690" s="23" t="s">
        <v>16666</v>
      </c>
      <c r="B3690" s="23"/>
      <c r="C3690" s="23" t="s">
        <v>5958</v>
      </c>
      <c r="D3690" s="23" t="str">
        <f t="shared" si="171"/>
        <v>ORD26002731</v>
      </c>
      <c r="E3690" s="38">
        <v>46285</v>
      </c>
      <c r="F3690" s="23" t="s">
        <v>12410</v>
      </c>
      <c r="G3690" s="23" t="s">
        <v>79</v>
      </c>
      <c r="H3690" s="24">
        <v>3798</v>
      </c>
      <c r="I3690" s="24">
        <v>60.77</v>
      </c>
      <c r="J3690" s="24">
        <v>10.94</v>
      </c>
      <c r="K3690" s="24">
        <v>3726.29</v>
      </c>
      <c r="L3690" s="38">
        <v>46287</v>
      </c>
      <c r="M3690" s="23" t="s">
        <v>216</v>
      </c>
      <c r="N3690" s="23" t="str">
        <f>IF(COUNTIF($A$2:A3690,A3690)&gt;1,"DUP","OK")</f>
        <v>OK</v>
      </c>
      <c r="O3690" s="23" t="str">
        <f t="shared" si="172"/>
        <v>ORD26002731</v>
      </c>
      <c r="P3690" s="23" t="str">
        <f t="shared" si="173"/>
        <v>Sep</v>
      </c>
      <c r="Q3690" s="23" t="str">
        <f>IF(F3690="CAPTURE",IF(COUNTIF(orders!$A:$A,O3690)&gt;0,"Yes","NO ORDER"),"")</f>
        <v>Yes</v>
      </c>
    </row>
    <row r="3691" spans="1:17" ht="15" customHeight="1" x14ac:dyDescent="0.3">
      <c r="A3691" s="23" t="s">
        <v>16667</v>
      </c>
      <c r="B3691" s="23"/>
      <c r="C3691" s="23" t="s">
        <v>5968</v>
      </c>
      <c r="D3691" s="23" t="str">
        <f t="shared" si="171"/>
        <v>ORD26002736</v>
      </c>
      <c r="E3691" s="38">
        <v>46285</v>
      </c>
      <c r="F3691" s="23" t="s">
        <v>12410</v>
      </c>
      <c r="G3691" s="23" t="s">
        <v>79</v>
      </c>
      <c r="H3691" s="24">
        <v>7999</v>
      </c>
      <c r="I3691" s="24">
        <v>127.98</v>
      </c>
      <c r="J3691" s="24">
        <v>23.04</v>
      </c>
      <c r="K3691" s="24">
        <v>7847.98</v>
      </c>
      <c r="L3691" s="38">
        <v>46287</v>
      </c>
      <c r="M3691" s="23" t="s">
        <v>216</v>
      </c>
      <c r="N3691" s="23" t="str">
        <f>IF(COUNTIF($A$2:A3691,A3691)&gt;1,"DUP","OK")</f>
        <v>OK</v>
      </c>
      <c r="O3691" s="23" t="str">
        <f t="shared" si="172"/>
        <v>ORD26002736</v>
      </c>
      <c r="P3691" s="23" t="str">
        <f t="shared" si="173"/>
        <v>Sep</v>
      </c>
      <c r="Q3691" s="23" t="str">
        <f>IF(F3691="CAPTURE",IF(COUNTIF(orders!$A:$A,O3691)&gt;0,"Yes","NO ORDER"),"")</f>
        <v>Yes</v>
      </c>
    </row>
    <row r="3692" spans="1:17" ht="15" customHeight="1" x14ac:dyDescent="0.3">
      <c r="A3692" s="23" t="s">
        <v>16668</v>
      </c>
      <c r="B3692" s="23"/>
      <c r="C3692" s="23" t="s">
        <v>6056</v>
      </c>
      <c r="D3692" s="23" t="str">
        <f t="shared" si="171"/>
        <v>ORD26002779</v>
      </c>
      <c r="E3692" s="38">
        <v>46285</v>
      </c>
      <c r="F3692" s="23" t="s">
        <v>12410</v>
      </c>
      <c r="G3692" s="23" t="s">
        <v>81</v>
      </c>
      <c r="H3692" s="24">
        <v>1299</v>
      </c>
      <c r="I3692" s="24">
        <v>19.489999999999998</v>
      </c>
      <c r="J3692" s="24">
        <v>3.51</v>
      </c>
      <c r="K3692" s="24">
        <v>1276</v>
      </c>
      <c r="L3692" s="38">
        <v>46287</v>
      </c>
      <c r="M3692" s="23" t="s">
        <v>216</v>
      </c>
      <c r="N3692" s="23" t="str">
        <f>IF(COUNTIF($A$2:A3692,A3692)&gt;1,"DUP","OK")</f>
        <v>OK</v>
      </c>
      <c r="O3692" s="23" t="str">
        <f t="shared" si="172"/>
        <v>ORD26002779</v>
      </c>
      <c r="P3692" s="23" t="str">
        <f t="shared" si="173"/>
        <v>Sep</v>
      </c>
      <c r="Q3692" s="23" t="str">
        <f>IF(F3692="CAPTURE",IF(COUNTIF(orders!$A:$A,O3692)&gt;0,"Yes","NO ORDER"),"")</f>
        <v>Yes</v>
      </c>
    </row>
    <row r="3693" spans="1:17" ht="15" customHeight="1" x14ac:dyDescent="0.3">
      <c r="A3693" s="23" t="s">
        <v>16669</v>
      </c>
      <c r="B3693" s="23"/>
      <c r="C3693" s="23" t="s">
        <v>6166</v>
      </c>
      <c r="D3693" s="23" t="str">
        <f t="shared" si="171"/>
        <v>ORD26002834</v>
      </c>
      <c r="E3693" s="38">
        <v>46285</v>
      </c>
      <c r="F3693" s="23" t="s">
        <v>12410</v>
      </c>
      <c r="G3693" s="23" t="s">
        <v>75</v>
      </c>
      <c r="H3693" s="24">
        <v>799</v>
      </c>
      <c r="I3693" s="24">
        <v>0</v>
      </c>
      <c r="J3693" s="24">
        <v>0</v>
      </c>
      <c r="K3693" s="24">
        <v>799</v>
      </c>
      <c r="L3693" s="38">
        <v>46287</v>
      </c>
      <c r="M3693" s="23" t="s">
        <v>216</v>
      </c>
      <c r="N3693" s="23" t="str">
        <f>IF(COUNTIF($A$2:A3693,A3693)&gt;1,"DUP","OK")</f>
        <v>OK</v>
      </c>
      <c r="O3693" s="23" t="str">
        <f t="shared" si="172"/>
        <v>ORD26002834</v>
      </c>
      <c r="P3693" s="23" t="str">
        <f t="shared" si="173"/>
        <v>Sep</v>
      </c>
      <c r="Q3693" s="23" t="str">
        <f>IF(F3693="CAPTURE",IF(COUNTIF(orders!$A:$A,O3693)&gt;0,"Yes","NO ORDER"),"")</f>
        <v>Yes</v>
      </c>
    </row>
    <row r="3694" spans="1:17" ht="15" customHeight="1" x14ac:dyDescent="0.3">
      <c r="A3694" s="23" t="s">
        <v>16670</v>
      </c>
      <c r="B3694" s="23"/>
      <c r="C3694" s="23" t="s">
        <v>6348</v>
      </c>
      <c r="D3694" s="23" t="str">
        <f t="shared" si="171"/>
        <v>ORD26002926</v>
      </c>
      <c r="E3694" s="38">
        <v>46285</v>
      </c>
      <c r="F3694" s="23" t="s">
        <v>12410</v>
      </c>
      <c r="G3694" s="23" t="s">
        <v>75</v>
      </c>
      <c r="H3694" s="24">
        <v>5298</v>
      </c>
      <c r="I3694" s="24">
        <v>15.89</v>
      </c>
      <c r="J3694" s="24">
        <v>2.86</v>
      </c>
      <c r="K3694" s="24">
        <v>5279.25</v>
      </c>
      <c r="L3694" s="38">
        <v>46287</v>
      </c>
      <c r="M3694" s="23" t="s">
        <v>216</v>
      </c>
      <c r="N3694" s="23" t="str">
        <f>IF(COUNTIF($A$2:A3694,A3694)&gt;1,"DUP","OK")</f>
        <v>OK</v>
      </c>
      <c r="O3694" s="23" t="str">
        <f t="shared" si="172"/>
        <v>ORD26002926</v>
      </c>
      <c r="P3694" s="23" t="str">
        <f t="shared" si="173"/>
        <v>Sep</v>
      </c>
      <c r="Q3694" s="23" t="str">
        <f>IF(F3694="CAPTURE",IF(COUNTIF(orders!$A:$A,O3694)&gt;0,"Yes","NO ORDER"),"")</f>
        <v>Yes</v>
      </c>
    </row>
    <row r="3695" spans="1:17" ht="15" customHeight="1" x14ac:dyDescent="0.3">
      <c r="A3695" s="23" t="s">
        <v>16671</v>
      </c>
      <c r="B3695" s="23"/>
      <c r="C3695" s="23" t="s">
        <v>16672</v>
      </c>
      <c r="D3695" s="23" t="str">
        <f t="shared" si="171"/>
        <v>ORD26002949</v>
      </c>
      <c r="E3695" s="38">
        <v>46285</v>
      </c>
      <c r="F3695" s="23" t="s">
        <v>12410</v>
      </c>
      <c r="G3695" s="23" t="s">
        <v>79</v>
      </c>
      <c r="H3695" s="24">
        <v>1499</v>
      </c>
      <c r="I3695" s="24">
        <v>26.98</v>
      </c>
      <c r="J3695" s="24">
        <v>4.8600000000000003</v>
      </c>
      <c r="K3695" s="24">
        <v>1467.16</v>
      </c>
      <c r="L3695" s="38">
        <v>46287</v>
      </c>
      <c r="M3695" s="23" t="s">
        <v>216</v>
      </c>
      <c r="N3695" s="23" t="str">
        <f>IF(COUNTIF($A$2:A3695,A3695)&gt;1,"DUP","OK")</f>
        <v>OK</v>
      </c>
      <c r="O3695" s="23" t="str">
        <f t="shared" si="172"/>
        <v>ORD26002949</v>
      </c>
      <c r="P3695" s="23" t="str">
        <f t="shared" si="173"/>
        <v>Sep</v>
      </c>
      <c r="Q3695" s="23" t="str">
        <f>IF(F3695="CAPTURE",IF(COUNTIF(orders!$A:$A,O3695)&gt;0,"Yes","NO ORDER"),"")</f>
        <v>Yes</v>
      </c>
    </row>
    <row r="3696" spans="1:17" ht="15" customHeight="1" x14ac:dyDescent="0.3">
      <c r="A3696" s="23" t="s">
        <v>16673</v>
      </c>
      <c r="B3696" s="23"/>
      <c r="C3696" s="23" t="s">
        <v>6558</v>
      </c>
      <c r="D3696" s="23" t="str">
        <f t="shared" si="171"/>
        <v>ORD26003032</v>
      </c>
      <c r="E3696" s="38">
        <v>46285</v>
      </c>
      <c r="F3696" s="23" t="s">
        <v>12410</v>
      </c>
      <c r="G3696" s="23" t="s">
        <v>79</v>
      </c>
      <c r="H3696" s="24">
        <v>4397</v>
      </c>
      <c r="I3696" s="24">
        <v>70.349999999999994</v>
      </c>
      <c r="J3696" s="24">
        <v>12.66</v>
      </c>
      <c r="K3696" s="24">
        <v>4313.99</v>
      </c>
      <c r="L3696" s="38">
        <v>46287</v>
      </c>
      <c r="M3696" s="23" t="s">
        <v>216</v>
      </c>
      <c r="N3696" s="23" t="str">
        <f>IF(COUNTIF($A$2:A3696,A3696)&gt;1,"DUP","OK")</f>
        <v>OK</v>
      </c>
      <c r="O3696" s="23" t="str">
        <f t="shared" si="172"/>
        <v>ORD26003032</v>
      </c>
      <c r="P3696" s="23" t="str">
        <f t="shared" si="173"/>
        <v>Sep</v>
      </c>
      <c r="Q3696" s="23" t="str">
        <f>IF(F3696="CAPTURE",IF(COUNTIF(orders!$A:$A,O3696)&gt;0,"Yes","NO ORDER"),"")</f>
        <v>Yes</v>
      </c>
    </row>
    <row r="3697" spans="1:17" ht="15" customHeight="1" x14ac:dyDescent="0.3">
      <c r="A3697" s="23" t="s">
        <v>16674</v>
      </c>
      <c r="B3697" s="23"/>
      <c r="C3697" s="23" t="s">
        <v>6630</v>
      </c>
      <c r="D3697" s="23" t="str">
        <f t="shared" si="171"/>
        <v>ORD26003067</v>
      </c>
      <c r="E3697" s="38">
        <v>46285</v>
      </c>
      <c r="F3697" s="23" t="s">
        <v>12410</v>
      </c>
      <c r="G3697" s="23" t="s">
        <v>75</v>
      </c>
      <c r="H3697" s="24">
        <v>2098</v>
      </c>
      <c r="I3697" s="24">
        <v>6.29</v>
      </c>
      <c r="J3697" s="24">
        <v>1.1299999999999999</v>
      </c>
      <c r="K3697" s="24">
        <v>2090.58</v>
      </c>
      <c r="L3697" s="38">
        <v>46287</v>
      </c>
      <c r="M3697" s="23" t="s">
        <v>216</v>
      </c>
      <c r="N3697" s="23" t="str">
        <f>IF(COUNTIF($A$2:A3697,A3697)&gt;1,"DUP","OK")</f>
        <v>OK</v>
      </c>
      <c r="O3697" s="23" t="str">
        <f t="shared" si="172"/>
        <v>ORD26003067</v>
      </c>
      <c r="P3697" s="23" t="str">
        <f t="shared" si="173"/>
        <v>Sep</v>
      </c>
      <c r="Q3697" s="23" t="str">
        <f>IF(F3697="CAPTURE",IF(COUNTIF(orders!$A:$A,O3697)&gt;0,"Yes","NO ORDER"),"")</f>
        <v>Yes</v>
      </c>
    </row>
    <row r="3698" spans="1:17" ht="15" customHeight="1" x14ac:dyDescent="0.3">
      <c r="A3698" s="23" t="s">
        <v>16675</v>
      </c>
      <c r="B3698" s="23"/>
      <c r="C3698" s="23" t="s">
        <v>6845</v>
      </c>
      <c r="D3698" s="23" t="str">
        <f t="shared" si="171"/>
        <v>ORD26003174</v>
      </c>
      <c r="E3698" s="38">
        <v>46285</v>
      </c>
      <c r="F3698" s="23" t="s">
        <v>12410</v>
      </c>
      <c r="G3698" s="23" t="s">
        <v>75</v>
      </c>
      <c r="H3698" s="24">
        <v>4999</v>
      </c>
      <c r="I3698" s="24">
        <v>15</v>
      </c>
      <c r="J3698" s="24">
        <v>2.7</v>
      </c>
      <c r="K3698" s="24">
        <v>4981.3</v>
      </c>
      <c r="L3698" s="38">
        <v>46287</v>
      </c>
      <c r="M3698" s="23" t="s">
        <v>216</v>
      </c>
      <c r="N3698" s="23" t="str">
        <f>IF(COUNTIF($A$2:A3698,A3698)&gt;1,"DUP","OK")</f>
        <v>OK</v>
      </c>
      <c r="O3698" s="23" t="str">
        <f t="shared" si="172"/>
        <v>ORD26003174</v>
      </c>
      <c r="P3698" s="23" t="str">
        <f t="shared" si="173"/>
        <v>Sep</v>
      </c>
      <c r="Q3698" s="23" t="str">
        <f>IF(F3698="CAPTURE",IF(COUNTIF(orders!$A:$A,O3698)&gt;0,"Yes","NO ORDER"),"")</f>
        <v>Yes</v>
      </c>
    </row>
    <row r="3699" spans="1:17" ht="15" customHeight="1" x14ac:dyDescent="0.3">
      <c r="A3699" s="23" t="s">
        <v>16676</v>
      </c>
      <c r="B3699" s="23"/>
      <c r="C3699" s="23" t="s">
        <v>6880</v>
      </c>
      <c r="D3699" s="23" t="str">
        <f t="shared" si="171"/>
        <v>ORD26003191</v>
      </c>
      <c r="E3699" s="38">
        <v>46285</v>
      </c>
      <c r="F3699" s="23" t="s">
        <v>12410</v>
      </c>
      <c r="G3699" s="23" t="s">
        <v>77</v>
      </c>
      <c r="H3699" s="24">
        <v>999</v>
      </c>
      <c r="I3699" s="24">
        <v>18.98</v>
      </c>
      <c r="J3699" s="24">
        <v>3.42</v>
      </c>
      <c r="K3699" s="24">
        <v>976.6</v>
      </c>
      <c r="L3699" s="38">
        <v>46287</v>
      </c>
      <c r="M3699" s="23" t="s">
        <v>216</v>
      </c>
      <c r="N3699" s="23" t="str">
        <f>IF(COUNTIF($A$2:A3699,A3699)&gt;1,"DUP","OK")</f>
        <v>OK</v>
      </c>
      <c r="O3699" s="23" t="str">
        <f t="shared" si="172"/>
        <v>ORD26003191</v>
      </c>
      <c r="P3699" s="23" t="str">
        <f t="shared" si="173"/>
        <v>Sep</v>
      </c>
      <c r="Q3699" s="23" t="str">
        <f>IF(F3699="CAPTURE",IF(COUNTIF(orders!$A:$A,O3699)&gt;0,"Yes","NO ORDER"),"")</f>
        <v>Yes</v>
      </c>
    </row>
    <row r="3700" spans="1:17" ht="15" customHeight="1" x14ac:dyDescent="0.3">
      <c r="A3700" s="23" t="s">
        <v>16677</v>
      </c>
      <c r="B3700" s="23"/>
      <c r="C3700" s="23" t="s">
        <v>6909</v>
      </c>
      <c r="D3700" s="23" t="str">
        <f t="shared" si="171"/>
        <v>ORD26003206</v>
      </c>
      <c r="E3700" s="38">
        <v>46285</v>
      </c>
      <c r="F3700" s="23" t="s">
        <v>12410</v>
      </c>
      <c r="G3700" s="23" t="s">
        <v>77</v>
      </c>
      <c r="H3700" s="24">
        <v>349</v>
      </c>
      <c r="I3700" s="24">
        <v>6.63</v>
      </c>
      <c r="J3700" s="24">
        <v>1.19</v>
      </c>
      <c r="K3700" s="24">
        <v>341.18</v>
      </c>
      <c r="L3700" s="38">
        <v>46287</v>
      </c>
      <c r="M3700" s="23" t="s">
        <v>216</v>
      </c>
      <c r="N3700" s="23" t="str">
        <f>IF(COUNTIF($A$2:A3700,A3700)&gt;1,"DUP","OK")</f>
        <v>OK</v>
      </c>
      <c r="O3700" s="23" t="str">
        <f t="shared" si="172"/>
        <v>ORD26003206</v>
      </c>
      <c r="P3700" s="23" t="str">
        <f t="shared" si="173"/>
        <v>Sep</v>
      </c>
      <c r="Q3700" s="23" t="str">
        <f>IF(F3700="CAPTURE",IF(COUNTIF(orders!$A:$A,O3700)&gt;0,"Yes","NO ORDER"),"")</f>
        <v>Yes</v>
      </c>
    </row>
    <row r="3701" spans="1:17" ht="15" customHeight="1" x14ac:dyDescent="0.3">
      <c r="A3701" s="23" t="s">
        <v>16678</v>
      </c>
      <c r="B3701" s="23"/>
      <c r="C3701" s="23" t="s">
        <v>16679</v>
      </c>
      <c r="D3701" s="23" t="str">
        <f t="shared" si="171"/>
        <v>ORD26003226</v>
      </c>
      <c r="E3701" s="38">
        <v>46285</v>
      </c>
      <c r="F3701" s="23" t="s">
        <v>12410</v>
      </c>
      <c r="G3701" s="23" t="s">
        <v>75</v>
      </c>
      <c r="H3701" s="24">
        <v>2499</v>
      </c>
      <c r="I3701" s="24">
        <v>7.5</v>
      </c>
      <c r="J3701" s="24">
        <v>1.35</v>
      </c>
      <c r="K3701" s="24">
        <v>2490.15</v>
      </c>
      <c r="L3701" s="38">
        <v>46287</v>
      </c>
      <c r="M3701" s="23" t="s">
        <v>216</v>
      </c>
      <c r="N3701" s="23" t="str">
        <f>IF(COUNTIF($A$2:A3701,A3701)&gt;1,"DUP","OK")</f>
        <v>OK</v>
      </c>
      <c r="O3701" s="23" t="str">
        <f t="shared" si="172"/>
        <v>ORD26003226</v>
      </c>
      <c r="P3701" s="23" t="str">
        <f t="shared" si="173"/>
        <v>Sep</v>
      </c>
      <c r="Q3701" s="23" t="str">
        <f>IF(F3701="CAPTURE",IF(COUNTIF(orders!$A:$A,O3701)&gt;0,"Yes","NO ORDER"),"")</f>
        <v>Yes</v>
      </c>
    </row>
    <row r="3702" spans="1:17" ht="15" customHeight="1" x14ac:dyDescent="0.3">
      <c r="A3702" s="23" t="s">
        <v>16680</v>
      </c>
      <c r="B3702" s="23"/>
      <c r="C3702" s="23" t="s">
        <v>7042</v>
      </c>
      <c r="D3702" s="23" t="str">
        <f t="shared" si="171"/>
        <v>ORD26003272</v>
      </c>
      <c r="E3702" s="38">
        <v>46285</v>
      </c>
      <c r="F3702" s="23" t="s">
        <v>12410</v>
      </c>
      <c r="G3702" s="23" t="s">
        <v>77</v>
      </c>
      <c r="H3702" s="24">
        <v>1799</v>
      </c>
      <c r="I3702" s="24">
        <v>34.18</v>
      </c>
      <c r="J3702" s="24">
        <v>6.15</v>
      </c>
      <c r="K3702" s="24">
        <v>1758.67</v>
      </c>
      <c r="L3702" s="38">
        <v>46287</v>
      </c>
      <c r="M3702" s="23" t="s">
        <v>216</v>
      </c>
      <c r="N3702" s="23" t="str">
        <f>IF(COUNTIF($A$2:A3702,A3702)&gt;1,"DUP","OK")</f>
        <v>OK</v>
      </c>
      <c r="O3702" s="23" t="str">
        <f t="shared" si="172"/>
        <v>ORD26003272</v>
      </c>
      <c r="P3702" s="23" t="str">
        <f t="shared" si="173"/>
        <v>Sep</v>
      </c>
      <c r="Q3702" s="23" t="str">
        <f>IF(F3702="CAPTURE",IF(COUNTIF(orders!$A:$A,O3702)&gt;0,"Yes","NO ORDER"),"")</f>
        <v>Yes</v>
      </c>
    </row>
    <row r="3703" spans="1:17" ht="15" customHeight="1" x14ac:dyDescent="0.3">
      <c r="A3703" s="23" t="s">
        <v>16681</v>
      </c>
      <c r="B3703" s="23"/>
      <c r="C3703" s="23" t="s">
        <v>7113</v>
      </c>
      <c r="D3703" s="23" t="str">
        <f t="shared" si="171"/>
        <v>ORD26003308</v>
      </c>
      <c r="E3703" s="38">
        <v>46285</v>
      </c>
      <c r="F3703" s="23" t="s">
        <v>12410</v>
      </c>
      <c r="G3703" s="23" t="s">
        <v>79</v>
      </c>
      <c r="H3703" s="24">
        <v>4998</v>
      </c>
      <c r="I3703" s="24">
        <v>79.97</v>
      </c>
      <c r="J3703" s="24">
        <v>14.39</v>
      </c>
      <c r="K3703" s="24">
        <v>4903.6400000000003</v>
      </c>
      <c r="L3703" s="38">
        <v>46287</v>
      </c>
      <c r="M3703" s="23" t="s">
        <v>216</v>
      </c>
      <c r="N3703" s="23" t="str">
        <f>IF(COUNTIF($A$2:A3703,A3703)&gt;1,"DUP","OK")</f>
        <v>OK</v>
      </c>
      <c r="O3703" s="23" t="str">
        <f t="shared" si="172"/>
        <v>ORD26003308</v>
      </c>
      <c r="P3703" s="23" t="str">
        <f t="shared" si="173"/>
        <v>Sep</v>
      </c>
      <c r="Q3703" s="23" t="str">
        <f>IF(F3703="CAPTURE",IF(COUNTIF(orders!$A:$A,O3703)&gt;0,"Yes","NO ORDER"),"")</f>
        <v>Yes</v>
      </c>
    </row>
    <row r="3704" spans="1:17" ht="15" customHeight="1" x14ac:dyDescent="0.3">
      <c r="A3704" s="23" t="s">
        <v>16682</v>
      </c>
      <c r="B3704" s="23"/>
      <c r="C3704" s="23" t="s">
        <v>7180</v>
      </c>
      <c r="D3704" s="23" t="str">
        <f t="shared" si="171"/>
        <v>ORD26003341</v>
      </c>
      <c r="E3704" s="38">
        <v>46285</v>
      </c>
      <c r="F3704" s="23" t="s">
        <v>12410</v>
      </c>
      <c r="G3704" s="23" t="s">
        <v>75</v>
      </c>
      <c r="H3704" s="24">
        <v>7998</v>
      </c>
      <c r="I3704" s="24">
        <v>23.99</v>
      </c>
      <c r="J3704" s="24">
        <v>4.32</v>
      </c>
      <c r="K3704" s="24">
        <v>7969.69</v>
      </c>
      <c r="L3704" s="38">
        <v>46287</v>
      </c>
      <c r="M3704" s="23" t="s">
        <v>216</v>
      </c>
      <c r="N3704" s="23" t="str">
        <f>IF(COUNTIF($A$2:A3704,A3704)&gt;1,"DUP","OK")</f>
        <v>OK</v>
      </c>
      <c r="O3704" s="23" t="str">
        <f t="shared" si="172"/>
        <v>ORD26003341</v>
      </c>
      <c r="P3704" s="23" t="str">
        <f t="shared" si="173"/>
        <v>Sep</v>
      </c>
      <c r="Q3704" s="23" t="str">
        <f>IF(F3704="CAPTURE",IF(COUNTIF(orders!$A:$A,O3704)&gt;0,"Yes","NO ORDER"),"")</f>
        <v>Yes</v>
      </c>
    </row>
    <row r="3705" spans="1:17" ht="15" customHeight="1" x14ac:dyDescent="0.3">
      <c r="A3705" s="23" t="s">
        <v>16683</v>
      </c>
      <c r="B3705" s="23"/>
      <c r="C3705" s="23" t="s">
        <v>7249</v>
      </c>
      <c r="D3705" s="23" t="str">
        <f t="shared" si="171"/>
        <v>ORD26003375</v>
      </c>
      <c r="E3705" s="38">
        <v>46285</v>
      </c>
      <c r="F3705" s="23" t="s">
        <v>12410</v>
      </c>
      <c r="G3705" s="23" t="s">
        <v>75</v>
      </c>
      <c r="H3705" s="24">
        <v>299</v>
      </c>
      <c r="I3705" s="24">
        <v>0</v>
      </c>
      <c r="J3705" s="24">
        <v>0</v>
      </c>
      <c r="K3705" s="24">
        <v>299</v>
      </c>
      <c r="L3705" s="38">
        <v>46287</v>
      </c>
      <c r="M3705" s="23" t="s">
        <v>216</v>
      </c>
      <c r="N3705" s="23" t="str">
        <f>IF(COUNTIF($A$2:A3705,A3705)&gt;1,"DUP","OK")</f>
        <v>OK</v>
      </c>
      <c r="O3705" s="23" t="str">
        <f t="shared" si="172"/>
        <v>ORD26003375</v>
      </c>
      <c r="P3705" s="23" t="str">
        <f t="shared" si="173"/>
        <v>Sep</v>
      </c>
      <c r="Q3705" s="23" t="str">
        <f>IF(F3705="CAPTURE",IF(COUNTIF(orders!$A:$A,O3705)&gt;0,"Yes","NO ORDER"),"")</f>
        <v>Yes</v>
      </c>
    </row>
    <row r="3706" spans="1:17" ht="15" customHeight="1" x14ac:dyDescent="0.3">
      <c r="A3706" s="23" t="s">
        <v>16684</v>
      </c>
      <c r="B3706" s="23"/>
      <c r="C3706" s="23" t="s">
        <v>16685</v>
      </c>
      <c r="D3706" s="23" t="str">
        <f t="shared" si="171"/>
        <v>ORD26003389</v>
      </c>
      <c r="E3706" s="38">
        <v>46285</v>
      </c>
      <c r="F3706" s="23" t="s">
        <v>12410</v>
      </c>
      <c r="G3706" s="23" t="s">
        <v>77</v>
      </c>
      <c r="H3706" s="24">
        <v>3499</v>
      </c>
      <c r="I3706" s="24">
        <v>59.48</v>
      </c>
      <c r="J3706" s="24">
        <v>10.71</v>
      </c>
      <c r="K3706" s="24">
        <v>3428.81</v>
      </c>
      <c r="L3706" s="38">
        <v>46287</v>
      </c>
      <c r="M3706" s="23" t="s">
        <v>216</v>
      </c>
      <c r="N3706" s="23" t="str">
        <f>IF(COUNTIF($A$2:A3706,A3706)&gt;1,"DUP","OK")</f>
        <v>OK</v>
      </c>
      <c r="O3706" s="23" t="str">
        <f t="shared" si="172"/>
        <v>ORD26003389</v>
      </c>
      <c r="P3706" s="23" t="str">
        <f t="shared" si="173"/>
        <v>Sep</v>
      </c>
      <c r="Q3706" s="23" t="str">
        <f>IF(F3706="CAPTURE",IF(COUNTIF(orders!$A:$A,O3706)&gt;0,"Yes","NO ORDER"),"")</f>
        <v>Yes</v>
      </c>
    </row>
    <row r="3707" spans="1:17" ht="15" customHeight="1" x14ac:dyDescent="0.3">
      <c r="A3707" s="23" t="s">
        <v>16686</v>
      </c>
      <c r="B3707" s="23"/>
      <c r="C3707" s="23" t="s">
        <v>16687</v>
      </c>
      <c r="D3707" s="23" t="str">
        <f t="shared" si="171"/>
        <v>ORD26003419</v>
      </c>
      <c r="E3707" s="38">
        <v>46285</v>
      </c>
      <c r="F3707" s="23" t="s">
        <v>12410</v>
      </c>
      <c r="G3707" s="23" t="s">
        <v>75</v>
      </c>
      <c r="H3707" s="24">
        <v>10097</v>
      </c>
      <c r="I3707" s="24">
        <v>30.29</v>
      </c>
      <c r="J3707" s="24">
        <v>5.45</v>
      </c>
      <c r="K3707" s="24">
        <v>10061.26</v>
      </c>
      <c r="L3707" s="38">
        <v>46287</v>
      </c>
      <c r="M3707" s="23" t="s">
        <v>216</v>
      </c>
      <c r="N3707" s="23" t="str">
        <f>IF(COUNTIF($A$2:A3707,A3707)&gt;1,"DUP","OK")</f>
        <v>OK</v>
      </c>
      <c r="O3707" s="23" t="str">
        <f t="shared" si="172"/>
        <v>ORD26003419</v>
      </c>
      <c r="P3707" s="23" t="str">
        <f t="shared" si="173"/>
        <v>Sep</v>
      </c>
      <c r="Q3707" s="23" t="str">
        <f>IF(F3707="CAPTURE",IF(COUNTIF(orders!$A:$A,O3707)&gt;0,"Yes","NO ORDER"),"")</f>
        <v>Yes</v>
      </c>
    </row>
    <row r="3708" spans="1:17" ht="15" customHeight="1" x14ac:dyDescent="0.3">
      <c r="A3708" s="23" t="s">
        <v>16688</v>
      </c>
      <c r="B3708" s="23"/>
      <c r="C3708" s="23" t="s">
        <v>7397</v>
      </c>
      <c r="D3708" s="23" t="str">
        <f t="shared" si="171"/>
        <v>ORD26003449</v>
      </c>
      <c r="E3708" s="38">
        <v>46285</v>
      </c>
      <c r="F3708" s="23" t="s">
        <v>12410</v>
      </c>
      <c r="G3708" s="23" t="s">
        <v>79</v>
      </c>
      <c r="H3708" s="24">
        <v>6497</v>
      </c>
      <c r="I3708" s="24">
        <v>103.95</v>
      </c>
      <c r="J3708" s="24">
        <v>18.71</v>
      </c>
      <c r="K3708" s="24">
        <v>6374.34</v>
      </c>
      <c r="L3708" s="38">
        <v>46287</v>
      </c>
      <c r="M3708" s="23" t="s">
        <v>216</v>
      </c>
      <c r="N3708" s="23" t="str">
        <f>IF(COUNTIF($A$2:A3708,A3708)&gt;1,"DUP","OK")</f>
        <v>OK</v>
      </c>
      <c r="O3708" s="23" t="str">
        <f t="shared" si="172"/>
        <v>ORD26003449</v>
      </c>
      <c r="P3708" s="23" t="str">
        <f t="shared" si="173"/>
        <v>Sep</v>
      </c>
      <c r="Q3708" s="23" t="str">
        <f>IF(F3708="CAPTURE",IF(COUNTIF(orders!$A:$A,O3708)&gt;0,"Yes","NO ORDER"),"")</f>
        <v>Yes</v>
      </c>
    </row>
    <row r="3709" spans="1:17" ht="15" customHeight="1" x14ac:dyDescent="0.3">
      <c r="A3709" s="23" t="s">
        <v>16689</v>
      </c>
      <c r="B3709" s="23"/>
      <c r="C3709" s="23" t="s">
        <v>7416</v>
      </c>
      <c r="D3709" s="23" t="str">
        <f t="shared" si="171"/>
        <v>ORD26003458</v>
      </c>
      <c r="E3709" s="38">
        <v>46285</v>
      </c>
      <c r="F3709" s="23" t="s">
        <v>12410</v>
      </c>
      <c r="G3709" s="23" t="s">
        <v>75</v>
      </c>
      <c r="H3709" s="24">
        <v>3397</v>
      </c>
      <c r="I3709" s="24">
        <v>10.19</v>
      </c>
      <c r="J3709" s="24">
        <v>1.83</v>
      </c>
      <c r="K3709" s="24">
        <v>3384.98</v>
      </c>
      <c r="L3709" s="38">
        <v>46287</v>
      </c>
      <c r="M3709" s="23" t="s">
        <v>216</v>
      </c>
      <c r="N3709" s="23" t="str">
        <f>IF(COUNTIF($A$2:A3709,A3709)&gt;1,"DUP","OK")</f>
        <v>OK</v>
      </c>
      <c r="O3709" s="23" t="str">
        <f t="shared" si="172"/>
        <v>ORD26003458</v>
      </c>
      <c r="P3709" s="23" t="str">
        <f t="shared" si="173"/>
        <v>Sep</v>
      </c>
      <c r="Q3709" s="23" t="str">
        <f>IF(F3709="CAPTURE",IF(COUNTIF(orders!$A:$A,O3709)&gt;0,"Yes","NO ORDER"),"")</f>
        <v>Yes</v>
      </c>
    </row>
    <row r="3710" spans="1:17" ht="15" customHeight="1" x14ac:dyDescent="0.3">
      <c r="A3710" s="23" t="s">
        <v>16690</v>
      </c>
      <c r="B3710" s="23"/>
      <c r="C3710" s="23" t="s">
        <v>7538</v>
      </c>
      <c r="D3710" s="23" t="str">
        <f t="shared" si="171"/>
        <v>ORD26003521</v>
      </c>
      <c r="E3710" s="38">
        <v>46285</v>
      </c>
      <c r="F3710" s="23" t="s">
        <v>12410</v>
      </c>
      <c r="G3710" s="23" t="s">
        <v>81</v>
      </c>
      <c r="H3710" s="24">
        <v>1348</v>
      </c>
      <c r="I3710" s="24">
        <v>20.22</v>
      </c>
      <c r="J3710" s="24">
        <v>3.64</v>
      </c>
      <c r="K3710" s="24">
        <v>1324.14</v>
      </c>
      <c r="L3710" s="38">
        <v>46287</v>
      </c>
      <c r="M3710" s="23" t="s">
        <v>216</v>
      </c>
      <c r="N3710" s="23" t="str">
        <f>IF(COUNTIF($A$2:A3710,A3710)&gt;1,"DUP","OK")</f>
        <v>OK</v>
      </c>
      <c r="O3710" s="23" t="str">
        <f t="shared" si="172"/>
        <v>ORD26003521</v>
      </c>
      <c r="P3710" s="23" t="str">
        <f t="shared" si="173"/>
        <v>Sep</v>
      </c>
      <c r="Q3710" s="23" t="str">
        <f>IF(F3710="CAPTURE",IF(COUNTIF(orders!$A:$A,O3710)&gt;0,"Yes","NO ORDER"),"")</f>
        <v>Yes</v>
      </c>
    </row>
    <row r="3711" spans="1:17" ht="15" customHeight="1" x14ac:dyDescent="0.3">
      <c r="A3711" s="23" t="s">
        <v>16691</v>
      </c>
      <c r="B3711" s="23"/>
      <c r="C3711" s="23" t="s">
        <v>16692</v>
      </c>
      <c r="D3711" s="23" t="str">
        <f t="shared" si="171"/>
        <v>ORD26003565</v>
      </c>
      <c r="E3711" s="38">
        <v>46285</v>
      </c>
      <c r="F3711" s="23" t="s">
        <v>12410</v>
      </c>
      <c r="G3711" s="23" t="s">
        <v>75</v>
      </c>
      <c r="H3711" s="24">
        <v>1747</v>
      </c>
      <c r="I3711" s="24">
        <v>0</v>
      </c>
      <c r="J3711" s="24">
        <v>0</v>
      </c>
      <c r="K3711" s="24">
        <v>1747</v>
      </c>
      <c r="L3711" s="38">
        <v>46287</v>
      </c>
      <c r="M3711" s="23" t="s">
        <v>216</v>
      </c>
      <c r="N3711" s="23" t="str">
        <f>IF(COUNTIF($A$2:A3711,A3711)&gt;1,"DUP","OK")</f>
        <v>OK</v>
      </c>
      <c r="O3711" s="23" t="str">
        <f t="shared" si="172"/>
        <v>ORD26003565</v>
      </c>
      <c r="P3711" s="23" t="str">
        <f t="shared" si="173"/>
        <v>Sep</v>
      </c>
      <c r="Q3711" s="23" t="str">
        <f>IF(F3711="CAPTURE",IF(COUNTIF(orders!$A:$A,O3711)&gt;0,"Yes","NO ORDER"),"")</f>
        <v>Yes</v>
      </c>
    </row>
    <row r="3712" spans="1:17" ht="15" customHeight="1" x14ac:dyDescent="0.3">
      <c r="A3712" s="23" t="s">
        <v>16693</v>
      </c>
      <c r="B3712" s="23"/>
      <c r="C3712" s="23" t="s">
        <v>7788</v>
      </c>
      <c r="D3712" s="23" t="str">
        <f t="shared" si="171"/>
        <v>ORD26003648</v>
      </c>
      <c r="E3712" s="38">
        <v>46285</v>
      </c>
      <c r="F3712" s="23" t="s">
        <v>12410</v>
      </c>
      <c r="G3712" s="23" t="s">
        <v>81</v>
      </c>
      <c r="H3712" s="24">
        <v>349</v>
      </c>
      <c r="I3712" s="24">
        <v>5.24</v>
      </c>
      <c r="J3712" s="24">
        <v>0.94</v>
      </c>
      <c r="K3712" s="24">
        <v>342.82</v>
      </c>
      <c r="L3712" s="38">
        <v>46287</v>
      </c>
      <c r="M3712" s="23" t="s">
        <v>216</v>
      </c>
      <c r="N3712" s="23" t="str">
        <f>IF(COUNTIF($A$2:A3712,A3712)&gt;1,"DUP","OK")</f>
        <v>OK</v>
      </c>
      <c r="O3712" s="23" t="str">
        <f t="shared" si="172"/>
        <v>ORD26003648</v>
      </c>
      <c r="P3712" s="23" t="str">
        <f t="shared" si="173"/>
        <v>Sep</v>
      </c>
      <c r="Q3712" s="23" t="str">
        <f>IF(F3712="CAPTURE",IF(COUNTIF(orders!$A:$A,O3712)&gt;0,"Yes","NO ORDER"),"")</f>
        <v>Yes</v>
      </c>
    </row>
    <row r="3713" spans="1:17" ht="15" customHeight="1" x14ac:dyDescent="0.3">
      <c r="A3713" s="23" t="s">
        <v>16694</v>
      </c>
      <c r="B3713" s="23"/>
      <c r="C3713" s="23" t="s">
        <v>7808</v>
      </c>
      <c r="D3713" s="23" t="str">
        <f t="shared" si="171"/>
        <v>ORD26003659</v>
      </c>
      <c r="E3713" s="38">
        <v>46285</v>
      </c>
      <c r="F3713" s="23" t="s">
        <v>12410</v>
      </c>
      <c r="G3713" s="23" t="s">
        <v>79</v>
      </c>
      <c r="H3713" s="24">
        <v>1499</v>
      </c>
      <c r="I3713" s="24">
        <v>26.98</v>
      </c>
      <c r="J3713" s="24">
        <v>4.8600000000000003</v>
      </c>
      <c r="K3713" s="24">
        <v>1467.16</v>
      </c>
      <c r="L3713" s="38">
        <v>46287</v>
      </c>
      <c r="M3713" s="23" t="s">
        <v>216</v>
      </c>
      <c r="N3713" s="23" t="str">
        <f>IF(COUNTIF($A$2:A3713,A3713)&gt;1,"DUP","OK")</f>
        <v>OK</v>
      </c>
      <c r="O3713" s="23" t="str">
        <f t="shared" si="172"/>
        <v>ORD26003659</v>
      </c>
      <c r="P3713" s="23" t="str">
        <f t="shared" si="173"/>
        <v>Sep</v>
      </c>
      <c r="Q3713" s="23" t="str">
        <f>IF(F3713="CAPTURE",IF(COUNTIF(orders!$A:$A,O3713)&gt;0,"Yes","NO ORDER"),"")</f>
        <v>Yes</v>
      </c>
    </row>
    <row r="3714" spans="1:17" ht="15" customHeight="1" x14ac:dyDescent="0.3">
      <c r="A3714" s="23" t="s">
        <v>16695</v>
      </c>
      <c r="B3714" s="23"/>
      <c r="C3714" s="23" t="s">
        <v>7822</v>
      </c>
      <c r="D3714" s="23" t="str">
        <f t="shared" ref="D3714:D3777" si="174">UPPER(SUBSTITUTE(TRIM(C3714),"-",""))</f>
        <v>ORD26003666</v>
      </c>
      <c r="E3714" s="38">
        <v>46285</v>
      </c>
      <c r="F3714" s="23" t="s">
        <v>12410</v>
      </c>
      <c r="G3714" s="23" t="s">
        <v>75</v>
      </c>
      <c r="H3714" s="24">
        <v>7998</v>
      </c>
      <c r="I3714" s="24">
        <v>23.99</v>
      </c>
      <c r="J3714" s="24">
        <v>4.32</v>
      </c>
      <c r="K3714" s="24">
        <v>7969.69</v>
      </c>
      <c r="L3714" s="38">
        <v>46287</v>
      </c>
      <c r="M3714" s="23" t="s">
        <v>216</v>
      </c>
      <c r="N3714" s="23" t="str">
        <f>IF(COUNTIF($A$2:A3714,A3714)&gt;1,"DUP","OK")</f>
        <v>OK</v>
      </c>
      <c r="O3714" s="23" t="str">
        <f t="shared" ref="O3714:O3777" si="175">IF(F3714="REFUND",INDEX($D:$D,MATCH(B3714,$A:$A,0)),D3714)</f>
        <v>ORD26003666</v>
      </c>
      <c r="P3714" s="23" t="str">
        <f t="shared" ref="P3714:P3777" si="176">IF(L3714&gt;DATE(2026,9,30),"Oct-Due","Sep")</f>
        <v>Sep</v>
      </c>
      <c r="Q3714" s="23" t="str">
        <f>IF(F3714="CAPTURE",IF(COUNTIF(orders!$A:$A,O3714)&gt;0,"Yes","NO ORDER"),"")</f>
        <v>Yes</v>
      </c>
    </row>
    <row r="3715" spans="1:17" ht="15" customHeight="1" x14ac:dyDescent="0.3">
      <c r="A3715" s="23" t="s">
        <v>16696</v>
      </c>
      <c r="B3715" s="23"/>
      <c r="C3715" s="23" t="s">
        <v>7868</v>
      </c>
      <c r="D3715" s="23" t="str">
        <f t="shared" si="174"/>
        <v>ORD26003690</v>
      </c>
      <c r="E3715" s="38">
        <v>46285</v>
      </c>
      <c r="F3715" s="23" t="s">
        <v>12410</v>
      </c>
      <c r="G3715" s="23" t="s">
        <v>79</v>
      </c>
      <c r="H3715" s="24">
        <v>4298</v>
      </c>
      <c r="I3715" s="24">
        <v>68.77</v>
      </c>
      <c r="J3715" s="24">
        <v>12.38</v>
      </c>
      <c r="K3715" s="24">
        <v>4216.8500000000004</v>
      </c>
      <c r="L3715" s="38">
        <v>46287</v>
      </c>
      <c r="M3715" s="23" t="s">
        <v>216</v>
      </c>
      <c r="N3715" s="23" t="str">
        <f>IF(COUNTIF($A$2:A3715,A3715)&gt;1,"DUP","OK")</f>
        <v>OK</v>
      </c>
      <c r="O3715" s="23" t="str">
        <f t="shared" si="175"/>
        <v>ORD26003690</v>
      </c>
      <c r="P3715" s="23" t="str">
        <f t="shared" si="176"/>
        <v>Sep</v>
      </c>
      <c r="Q3715" s="23" t="str">
        <f>IF(F3715="CAPTURE",IF(COUNTIF(orders!$A:$A,O3715)&gt;0,"Yes","NO ORDER"),"")</f>
        <v>Yes</v>
      </c>
    </row>
    <row r="3716" spans="1:17" ht="15" customHeight="1" x14ac:dyDescent="0.3">
      <c r="A3716" s="23" t="s">
        <v>16697</v>
      </c>
      <c r="B3716" s="23"/>
      <c r="C3716" s="23" t="s">
        <v>7924</v>
      </c>
      <c r="D3716" s="23" t="str">
        <f t="shared" si="174"/>
        <v>ORD26003718</v>
      </c>
      <c r="E3716" s="38">
        <v>46285</v>
      </c>
      <c r="F3716" s="23" t="s">
        <v>12410</v>
      </c>
      <c r="G3716" s="23" t="s">
        <v>77</v>
      </c>
      <c r="H3716" s="24">
        <v>6298</v>
      </c>
      <c r="I3716" s="24">
        <v>107.07</v>
      </c>
      <c r="J3716" s="24">
        <v>19.27</v>
      </c>
      <c r="K3716" s="24">
        <v>6171.66</v>
      </c>
      <c r="L3716" s="38">
        <v>46287</v>
      </c>
      <c r="M3716" s="23" t="s">
        <v>216</v>
      </c>
      <c r="N3716" s="23" t="str">
        <f>IF(COUNTIF($A$2:A3716,A3716)&gt;1,"DUP","OK")</f>
        <v>OK</v>
      </c>
      <c r="O3716" s="23" t="str">
        <f t="shared" si="175"/>
        <v>ORD26003718</v>
      </c>
      <c r="P3716" s="23" t="str">
        <f t="shared" si="176"/>
        <v>Sep</v>
      </c>
      <c r="Q3716" s="23" t="str">
        <f>IF(F3716="CAPTURE",IF(COUNTIF(orders!$A:$A,O3716)&gt;0,"Yes","NO ORDER"),"")</f>
        <v>Yes</v>
      </c>
    </row>
    <row r="3717" spans="1:17" ht="15" customHeight="1" x14ac:dyDescent="0.3">
      <c r="A3717" s="23" t="s">
        <v>16698</v>
      </c>
      <c r="B3717" s="23"/>
      <c r="C3717" s="23" t="s">
        <v>8030</v>
      </c>
      <c r="D3717" s="23" t="str">
        <f t="shared" si="174"/>
        <v>ORD26003771</v>
      </c>
      <c r="E3717" s="38">
        <v>46285</v>
      </c>
      <c r="F3717" s="23" t="s">
        <v>12410</v>
      </c>
      <c r="G3717" s="23" t="s">
        <v>75</v>
      </c>
      <c r="H3717" s="24">
        <v>1299</v>
      </c>
      <c r="I3717" s="24">
        <v>0</v>
      </c>
      <c r="J3717" s="24">
        <v>0</v>
      </c>
      <c r="K3717" s="24">
        <v>1299</v>
      </c>
      <c r="L3717" s="38">
        <v>46287</v>
      </c>
      <c r="M3717" s="23" t="s">
        <v>216</v>
      </c>
      <c r="N3717" s="23" t="str">
        <f>IF(COUNTIF($A$2:A3717,A3717)&gt;1,"DUP","OK")</f>
        <v>OK</v>
      </c>
      <c r="O3717" s="23" t="str">
        <f t="shared" si="175"/>
        <v>ORD26003771</v>
      </c>
      <c r="P3717" s="23" t="str">
        <f t="shared" si="176"/>
        <v>Sep</v>
      </c>
      <c r="Q3717" s="23" t="str">
        <f>IF(F3717="CAPTURE",IF(COUNTIF(orders!$A:$A,O3717)&gt;0,"Yes","NO ORDER"),"")</f>
        <v>Yes</v>
      </c>
    </row>
    <row r="3718" spans="1:17" ht="15" customHeight="1" x14ac:dyDescent="0.3">
      <c r="A3718" s="23" t="s">
        <v>16699</v>
      </c>
      <c r="B3718" s="23"/>
      <c r="C3718" s="23" t="s">
        <v>8038</v>
      </c>
      <c r="D3718" s="23" t="str">
        <f t="shared" si="174"/>
        <v>ORD26003775</v>
      </c>
      <c r="E3718" s="38">
        <v>46285</v>
      </c>
      <c r="F3718" s="23" t="s">
        <v>12410</v>
      </c>
      <c r="G3718" s="23" t="s">
        <v>75</v>
      </c>
      <c r="H3718" s="24">
        <v>3498</v>
      </c>
      <c r="I3718" s="24">
        <v>10.49</v>
      </c>
      <c r="J3718" s="24">
        <v>1.89</v>
      </c>
      <c r="K3718" s="24">
        <v>3485.62</v>
      </c>
      <c r="L3718" s="38">
        <v>46287</v>
      </c>
      <c r="M3718" s="23" t="s">
        <v>216</v>
      </c>
      <c r="N3718" s="23" t="str">
        <f>IF(COUNTIF($A$2:A3718,A3718)&gt;1,"DUP","OK")</f>
        <v>OK</v>
      </c>
      <c r="O3718" s="23" t="str">
        <f t="shared" si="175"/>
        <v>ORD26003775</v>
      </c>
      <c r="P3718" s="23" t="str">
        <f t="shared" si="176"/>
        <v>Sep</v>
      </c>
      <c r="Q3718" s="23" t="str">
        <f>IF(F3718="CAPTURE",IF(COUNTIF(orders!$A:$A,O3718)&gt;0,"Yes","NO ORDER"),"")</f>
        <v>Yes</v>
      </c>
    </row>
    <row r="3719" spans="1:17" ht="15" customHeight="1" x14ac:dyDescent="0.3">
      <c r="A3719" s="23" t="s">
        <v>16700</v>
      </c>
      <c r="B3719" s="23"/>
      <c r="C3719" s="23" t="s">
        <v>8132</v>
      </c>
      <c r="D3719" s="23" t="str">
        <f t="shared" si="174"/>
        <v>ORD26003822</v>
      </c>
      <c r="E3719" s="38">
        <v>46285</v>
      </c>
      <c r="F3719" s="23" t="s">
        <v>12410</v>
      </c>
      <c r="G3719" s="23" t="s">
        <v>81</v>
      </c>
      <c r="H3719" s="24">
        <v>1098</v>
      </c>
      <c r="I3719" s="24">
        <v>16.47</v>
      </c>
      <c r="J3719" s="24">
        <v>2.96</v>
      </c>
      <c r="K3719" s="24">
        <v>1078.57</v>
      </c>
      <c r="L3719" s="38">
        <v>46287</v>
      </c>
      <c r="M3719" s="23" t="s">
        <v>216</v>
      </c>
      <c r="N3719" s="23" t="str">
        <f>IF(COUNTIF($A$2:A3719,A3719)&gt;1,"DUP","OK")</f>
        <v>OK</v>
      </c>
      <c r="O3719" s="23" t="str">
        <f t="shared" si="175"/>
        <v>ORD26003822</v>
      </c>
      <c r="P3719" s="23" t="str">
        <f t="shared" si="176"/>
        <v>Sep</v>
      </c>
      <c r="Q3719" s="23" t="str">
        <f>IF(F3719="CAPTURE",IF(COUNTIF(orders!$A:$A,O3719)&gt;0,"Yes","NO ORDER"),"")</f>
        <v>Yes</v>
      </c>
    </row>
    <row r="3720" spans="1:17" ht="15" customHeight="1" x14ac:dyDescent="0.3">
      <c r="A3720" s="23" t="s">
        <v>16701</v>
      </c>
      <c r="B3720" s="23"/>
      <c r="C3720" s="23" t="s">
        <v>8142</v>
      </c>
      <c r="D3720" s="23" t="str">
        <f t="shared" si="174"/>
        <v>ORD26003827</v>
      </c>
      <c r="E3720" s="38">
        <v>46285</v>
      </c>
      <c r="F3720" s="23" t="s">
        <v>12410</v>
      </c>
      <c r="G3720" s="23" t="s">
        <v>79</v>
      </c>
      <c r="H3720" s="24">
        <v>2697</v>
      </c>
      <c r="I3720" s="24">
        <v>43.15</v>
      </c>
      <c r="J3720" s="24">
        <v>7.77</v>
      </c>
      <c r="K3720" s="24">
        <v>2646.08</v>
      </c>
      <c r="L3720" s="38">
        <v>46287</v>
      </c>
      <c r="M3720" s="23" t="s">
        <v>216</v>
      </c>
      <c r="N3720" s="23" t="str">
        <f>IF(COUNTIF($A$2:A3720,A3720)&gt;1,"DUP","OK")</f>
        <v>OK</v>
      </c>
      <c r="O3720" s="23" t="str">
        <f t="shared" si="175"/>
        <v>ORD26003827</v>
      </c>
      <c r="P3720" s="23" t="str">
        <f t="shared" si="176"/>
        <v>Sep</v>
      </c>
      <c r="Q3720" s="23" t="str">
        <f>IF(F3720="CAPTURE",IF(COUNTIF(orders!$A:$A,O3720)&gt;0,"Yes","NO ORDER"),"")</f>
        <v>Yes</v>
      </c>
    </row>
    <row r="3721" spans="1:17" ht="15" customHeight="1" x14ac:dyDescent="0.3">
      <c r="A3721" s="23" t="s">
        <v>16702</v>
      </c>
      <c r="B3721" s="23"/>
      <c r="C3721" s="23" t="s">
        <v>8186</v>
      </c>
      <c r="D3721" s="23" t="str">
        <f t="shared" si="174"/>
        <v>ORD26003849</v>
      </c>
      <c r="E3721" s="38">
        <v>46285</v>
      </c>
      <c r="F3721" s="23" t="s">
        <v>12410</v>
      </c>
      <c r="G3721" s="23" t="s">
        <v>79</v>
      </c>
      <c r="H3721" s="24">
        <v>1299</v>
      </c>
      <c r="I3721" s="24">
        <v>23.38</v>
      </c>
      <c r="J3721" s="24">
        <v>4.21</v>
      </c>
      <c r="K3721" s="24">
        <v>1271.4100000000001</v>
      </c>
      <c r="L3721" s="38">
        <v>46287</v>
      </c>
      <c r="M3721" s="23" t="s">
        <v>216</v>
      </c>
      <c r="N3721" s="23" t="str">
        <f>IF(COUNTIF($A$2:A3721,A3721)&gt;1,"DUP","OK")</f>
        <v>OK</v>
      </c>
      <c r="O3721" s="23" t="str">
        <f t="shared" si="175"/>
        <v>ORD26003849</v>
      </c>
      <c r="P3721" s="23" t="str">
        <f t="shared" si="176"/>
        <v>Sep</v>
      </c>
      <c r="Q3721" s="23" t="str">
        <f>IF(F3721="CAPTURE",IF(COUNTIF(orders!$A:$A,O3721)&gt;0,"Yes","NO ORDER"),"")</f>
        <v>Yes</v>
      </c>
    </row>
    <row r="3722" spans="1:17" ht="15" customHeight="1" x14ac:dyDescent="0.3">
      <c r="A3722" s="23" t="s">
        <v>16703</v>
      </c>
      <c r="B3722" s="23"/>
      <c r="C3722" s="23" t="s">
        <v>8221</v>
      </c>
      <c r="D3722" s="23" t="str">
        <f t="shared" si="174"/>
        <v>ORD26003867</v>
      </c>
      <c r="E3722" s="38">
        <v>46285</v>
      </c>
      <c r="F3722" s="23" t="s">
        <v>12410</v>
      </c>
      <c r="G3722" s="23" t="s">
        <v>77</v>
      </c>
      <c r="H3722" s="24">
        <v>1798</v>
      </c>
      <c r="I3722" s="24">
        <v>34.159999999999997</v>
      </c>
      <c r="J3722" s="24">
        <v>6.15</v>
      </c>
      <c r="K3722" s="24">
        <v>1757.69</v>
      </c>
      <c r="L3722" s="38">
        <v>46287</v>
      </c>
      <c r="M3722" s="23" t="s">
        <v>216</v>
      </c>
      <c r="N3722" s="23" t="str">
        <f>IF(COUNTIF($A$2:A3722,A3722)&gt;1,"DUP","OK")</f>
        <v>OK</v>
      </c>
      <c r="O3722" s="23" t="str">
        <f t="shared" si="175"/>
        <v>ORD26003867</v>
      </c>
      <c r="P3722" s="23" t="str">
        <f t="shared" si="176"/>
        <v>Sep</v>
      </c>
      <c r="Q3722" s="23" t="str">
        <f>IF(F3722="CAPTURE",IF(COUNTIF(orders!$A:$A,O3722)&gt;0,"Yes","NO ORDER"),"")</f>
        <v>Yes</v>
      </c>
    </row>
    <row r="3723" spans="1:17" ht="15" customHeight="1" x14ac:dyDescent="0.3">
      <c r="A3723" s="23" t="s">
        <v>16704</v>
      </c>
      <c r="B3723" s="23"/>
      <c r="C3723" s="23" t="s">
        <v>8257</v>
      </c>
      <c r="D3723" s="23" t="str">
        <f t="shared" si="174"/>
        <v>ORD26003885</v>
      </c>
      <c r="E3723" s="38">
        <v>46285</v>
      </c>
      <c r="F3723" s="23" t="s">
        <v>12410</v>
      </c>
      <c r="G3723" s="23" t="s">
        <v>75</v>
      </c>
      <c r="H3723" s="24">
        <v>2498</v>
      </c>
      <c r="I3723" s="24">
        <v>7.49</v>
      </c>
      <c r="J3723" s="24">
        <v>1.35</v>
      </c>
      <c r="K3723" s="24">
        <v>2489.16</v>
      </c>
      <c r="L3723" s="38">
        <v>46287</v>
      </c>
      <c r="M3723" s="23" t="s">
        <v>216</v>
      </c>
      <c r="N3723" s="23" t="str">
        <f>IF(COUNTIF($A$2:A3723,A3723)&gt;1,"DUP","OK")</f>
        <v>OK</v>
      </c>
      <c r="O3723" s="23" t="str">
        <f t="shared" si="175"/>
        <v>ORD26003885</v>
      </c>
      <c r="P3723" s="23" t="str">
        <f t="shared" si="176"/>
        <v>Sep</v>
      </c>
      <c r="Q3723" s="23" t="str">
        <f>IF(F3723="CAPTURE",IF(COUNTIF(orders!$A:$A,O3723)&gt;0,"Yes","NO ORDER"),"")</f>
        <v>Yes</v>
      </c>
    </row>
    <row r="3724" spans="1:17" ht="15" customHeight="1" x14ac:dyDescent="0.3">
      <c r="A3724" s="23" t="s">
        <v>16705</v>
      </c>
      <c r="B3724" s="23"/>
      <c r="C3724" s="23" t="s">
        <v>8267</v>
      </c>
      <c r="D3724" s="23" t="str">
        <f t="shared" si="174"/>
        <v>ORD26003890</v>
      </c>
      <c r="E3724" s="38">
        <v>46285</v>
      </c>
      <c r="F3724" s="23" t="s">
        <v>12410</v>
      </c>
      <c r="G3724" s="23" t="s">
        <v>75</v>
      </c>
      <c r="H3724" s="24">
        <v>6298</v>
      </c>
      <c r="I3724" s="24">
        <v>18.89</v>
      </c>
      <c r="J3724" s="24">
        <v>3.4</v>
      </c>
      <c r="K3724" s="24">
        <v>6275.71</v>
      </c>
      <c r="L3724" s="38">
        <v>46287</v>
      </c>
      <c r="M3724" s="23" t="s">
        <v>216</v>
      </c>
      <c r="N3724" s="23" t="str">
        <f>IF(COUNTIF($A$2:A3724,A3724)&gt;1,"DUP","OK")</f>
        <v>OK</v>
      </c>
      <c r="O3724" s="23" t="str">
        <f t="shared" si="175"/>
        <v>ORD26003890</v>
      </c>
      <c r="P3724" s="23" t="str">
        <f t="shared" si="176"/>
        <v>Sep</v>
      </c>
      <c r="Q3724" s="23" t="str">
        <f>IF(F3724="CAPTURE",IF(COUNTIF(orders!$A:$A,O3724)&gt;0,"Yes","NO ORDER"),"")</f>
        <v>Yes</v>
      </c>
    </row>
    <row r="3725" spans="1:17" ht="15" customHeight="1" x14ac:dyDescent="0.3">
      <c r="A3725" s="23" t="s">
        <v>16706</v>
      </c>
      <c r="B3725" s="23"/>
      <c r="C3725" s="23" t="s">
        <v>8431</v>
      </c>
      <c r="D3725" s="23" t="str">
        <f t="shared" si="174"/>
        <v>ORD26003972</v>
      </c>
      <c r="E3725" s="38">
        <v>46285</v>
      </c>
      <c r="F3725" s="23" t="s">
        <v>12410</v>
      </c>
      <c r="G3725" s="23" t="s">
        <v>77</v>
      </c>
      <c r="H3725" s="24">
        <v>2848</v>
      </c>
      <c r="I3725" s="24">
        <v>48.42</v>
      </c>
      <c r="J3725" s="24">
        <v>8.7200000000000006</v>
      </c>
      <c r="K3725" s="24">
        <v>2790.86</v>
      </c>
      <c r="L3725" s="38">
        <v>46287</v>
      </c>
      <c r="M3725" s="23" t="s">
        <v>216</v>
      </c>
      <c r="N3725" s="23" t="str">
        <f>IF(COUNTIF($A$2:A3725,A3725)&gt;1,"DUP","OK")</f>
        <v>OK</v>
      </c>
      <c r="O3725" s="23" t="str">
        <f t="shared" si="175"/>
        <v>ORD26003972</v>
      </c>
      <c r="P3725" s="23" t="str">
        <f t="shared" si="176"/>
        <v>Sep</v>
      </c>
      <c r="Q3725" s="23" t="str">
        <f>IF(F3725="CAPTURE",IF(COUNTIF(orders!$A:$A,O3725)&gt;0,"Yes","NO ORDER"),"")</f>
        <v>Yes</v>
      </c>
    </row>
    <row r="3726" spans="1:17" ht="15" customHeight="1" x14ac:dyDescent="0.3">
      <c r="A3726" s="23" t="s">
        <v>16707</v>
      </c>
      <c r="B3726" s="23"/>
      <c r="C3726" s="23" t="s">
        <v>16708</v>
      </c>
      <c r="D3726" s="23" t="str">
        <f t="shared" si="174"/>
        <v>ORD26003984</v>
      </c>
      <c r="E3726" s="38">
        <v>46285</v>
      </c>
      <c r="F3726" s="23" t="s">
        <v>12410</v>
      </c>
      <c r="G3726" s="23" t="s">
        <v>75</v>
      </c>
      <c r="H3726" s="24">
        <v>599</v>
      </c>
      <c r="I3726" s="24">
        <v>0</v>
      </c>
      <c r="J3726" s="24">
        <v>0</v>
      </c>
      <c r="K3726" s="24">
        <v>599</v>
      </c>
      <c r="L3726" s="38">
        <v>46287</v>
      </c>
      <c r="M3726" s="23" t="s">
        <v>216</v>
      </c>
      <c r="N3726" s="23" t="str">
        <f>IF(COUNTIF($A$2:A3726,A3726)&gt;1,"DUP","OK")</f>
        <v>OK</v>
      </c>
      <c r="O3726" s="23" t="str">
        <f t="shared" si="175"/>
        <v>ORD26003984</v>
      </c>
      <c r="P3726" s="23" t="str">
        <f t="shared" si="176"/>
        <v>Sep</v>
      </c>
      <c r="Q3726" s="23" t="str">
        <f>IF(F3726="CAPTURE",IF(COUNTIF(orders!$A:$A,O3726)&gt;0,"Yes","NO ORDER"),"")</f>
        <v>Yes</v>
      </c>
    </row>
    <row r="3727" spans="1:17" ht="15" customHeight="1" x14ac:dyDescent="0.3">
      <c r="A3727" s="23" t="s">
        <v>16709</v>
      </c>
      <c r="B3727" s="23"/>
      <c r="C3727" s="23" t="s">
        <v>8475</v>
      </c>
      <c r="D3727" s="23" t="str">
        <f t="shared" si="174"/>
        <v>ORD26003994</v>
      </c>
      <c r="E3727" s="38">
        <v>46285</v>
      </c>
      <c r="F3727" s="23" t="s">
        <v>12410</v>
      </c>
      <c r="G3727" s="23" t="s">
        <v>77</v>
      </c>
      <c r="H3727" s="24">
        <v>599</v>
      </c>
      <c r="I3727" s="24">
        <v>11.38</v>
      </c>
      <c r="J3727" s="24">
        <v>2.0499999999999998</v>
      </c>
      <c r="K3727" s="24">
        <v>585.57000000000005</v>
      </c>
      <c r="L3727" s="38">
        <v>46287</v>
      </c>
      <c r="M3727" s="23" t="s">
        <v>216</v>
      </c>
      <c r="N3727" s="23" t="str">
        <f>IF(COUNTIF($A$2:A3727,A3727)&gt;1,"DUP","OK")</f>
        <v>OK</v>
      </c>
      <c r="O3727" s="23" t="str">
        <f t="shared" si="175"/>
        <v>ORD26003994</v>
      </c>
      <c r="P3727" s="23" t="str">
        <f t="shared" si="176"/>
        <v>Sep</v>
      </c>
      <c r="Q3727" s="23" t="str">
        <f>IF(F3727="CAPTURE",IF(COUNTIF(orders!$A:$A,O3727)&gt;0,"Yes","NO ORDER"),"")</f>
        <v>Yes</v>
      </c>
    </row>
    <row r="3728" spans="1:17" ht="15" customHeight="1" x14ac:dyDescent="0.3">
      <c r="A3728" s="23" t="s">
        <v>16710</v>
      </c>
      <c r="B3728" s="23"/>
      <c r="C3728" s="23" t="s">
        <v>8483</v>
      </c>
      <c r="D3728" s="23" t="str">
        <f t="shared" si="174"/>
        <v>ORD26003998</v>
      </c>
      <c r="E3728" s="38">
        <v>46285</v>
      </c>
      <c r="F3728" s="23" t="s">
        <v>12410</v>
      </c>
      <c r="G3728" s="23" t="s">
        <v>75</v>
      </c>
      <c r="H3728" s="24">
        <v>4797</v>
      </c>
      <c r="I3728" s="24">
        <v>14.39</v>
      </c>
      <c r="J3728" s="24">
        <v>2.59</v>
      </c>
      <c r="K3728" s="24">
        <v>4780.0200000000004</v>
      </c>
      <c r="L3728" s="38">
        <v>46287</v>
      </c>
      <c r="M3728" s="23" t="s">
        <v>216</v>
      </c>
      <c r="N3728" s="23" t="str">
        <f>IF(COUNTIF($A$2:A3728,A3728)&gt;1,"DUP","OK")</f>
        <v>OK</v>
      </c>
      <c r="O3728" s="23" t="str">
        <f t="shared" si="175"/>
        <v>ORD26003998</v>
      </c>
      <c r="P3728" s="23" t="str">
        <f t="shared" si="176"/>
        <v>Sep</v>
      </c>
      <c r="Q3728" s="23" t="str">
        <f>IF(F3728="CAPTURE",IF(COUNTIF(orders!$A:$A,O3728)&gt;0,"Yes","NO ORDER"),"")</f>
        <v>Yes</v>
      </c>
    </row>
    <row r="3729" spans="1:17" ht="15" customHeight="1" x14ac:dyDescent="0.3">
      <c r="A3729" s="23" t="s">
        <v>16711</v>
      </c>
      <c r="B3729" s="23"/>
      <c r="C3729" s="23" t="s">
        <v>8547</v>
      </c>
      <c r="D3729" s="23" t="str">
        <f t="shared" si="174"/>
        <v>ORD26004031</v>
      </c>
      <c r="E3729" s="38">
        <v>46285</v>
      </c>
      <c r="F3729" s="23" t="s">
        <v>12410</v>
      </c>
      <c r="G3729" s="23" t="s">
        <v>75</v>
      </c>
      <c r="H3729" s="24">
        <v>4298</v>
      </c>
      <c r="I3729" s="24">
        <v>12.89</v>
      </c>
      <c r="J3729" s="24">
        <v>2.3199999999999998</v>
      </c>
      <c r="K3729" s="24">
        <v>4282.79</v>
      </c>
      <c r="L3729" s="38">
        <v>46287</v>
      </c>
      <c r="M3729" s="23" t="s">
        <v>216</v>
      </c>
      <c r="N3729" s="23" t="str">
        <f>IF(COUNTIF($A$2:A3729,A3729)&gt;1,"DUP","OK")</f>
        <v>OK</v>
      </c>
      <c r="O3729" s="23" t="str">
        <f t="shared" si="175"/>
        <v>ORD26004031</v>
      </c>
      <c r="P3729" s="23" t="str">
        <f t="shared" si="176"/>
        <v>Sep</v>
      </c>
      <c r="Q3729" s="23" t="str">
        <f>IF(F3729="CAPTURE",IF(COUNTIF(orders!$A:$A,O3729)&gt;0,"Yes","NO ORDER"),"")</f>
        <v>Yes</v>
      </c>
    </row>
    <row r="3730" spans="1:17" ht="15" customHeight="1" x14ac:dyDescent="0.3">
      <c r="A3730" s="23" t="s">
        <v>16712</v>
      </c>
      <c r="B3730" s="23"/>
      <c r="C3730" s="23" t="s">
        <v>8549</v>
      </c>
      <c r="D3730" s="23" t="str">
        <f t="shared" si="174"/>
        <v>ORD26004032</v>
      </c>
      <c r="E3730" s="38">
        <v>46285</v>
      </c>
      <c r="F3730" s="23" t="s">
        <v>12410</v>
      </c>
      <c r="G3730" s="23" t="s">
        <v>75</v>
      </c>
      <c r="H3730" s="24">
        <v>9597</v>
      </c>
      <c r="I3730" s="24">
        <v>28.79</v>
      </c>
      <c r="J3730" s="24">
        <v>5.18</v>
      </c>
      <c r="K3730" s="24">
        <v>9563.0300000000007</v>
      </c>
      <c r="L3730" s="38">
        <v>46287</v>
      </c>
      <c r="M3730" s="23" t="s">
        <v>216</v>
      </c>
      <c r="N3730" s="23" t="str">
        <f>IF(COUNTIF($A$2:A3730,A3730)&gt;1,"DUP","OK")</f>
        <v>OK</v>
      </c>
      <c r="O3730" s="23" t="str">
        <f t="shared" si="175"/>
        <v>ORD26004032</v>
      </c>
      <c r="P3730" s="23" t="str">
        <f t="shared" si="176"/>
        <v>Sep</v>
      </c>
      <c r="Q3730" s="23" t="str">
        <f>IF(F3730="CAPTURE",IF(COUNTIF(orders!$A:$A,O3730)&gt;0,"Yes","NO ORDER"),"")</f>
        <v>Yes</v>
      </c>
    </row>
    <row r="3731" spans="1:17" ht="15" customHeight="1" x14ac:dyDescent="0.3">
      <c r="A3731" s="23" t="s">
        <v>16713</v>
      </c>
      <c r="B3731" s="23"/>
      <c r="C3731" s="23" t="s">
        <v>8562</v>
      </c>
      <c r="D3731" s="23" t="str">
        <f t="shared" si="174"/>
        <v>ORD26004039</v>
      </c>
      <c r="E3731" s="38">
        <v>46285</v>
      </c>
      <c r="F3731" s="23" t="s">
        <v>12410</v>
      </c>
      <c r="G3731" s="23" t="s">
        <v>75</v>
      </c>
      <c r="H3731" s="24">
        <v>2999</v>
      </c>
      <c r="I3731" s="24">
        <v>9</v>
      </c>
      <c r="J3731" s="24">
        <v>1.62</v>
      </c>
      <c r="K3731" s="24">
        <v>2988.38</v>
      </c>
      <c r="L3731" s="38">
        <v>46287</v>
      </c>
      <c r="M3731" s="23" t="s">
        <v>216</v>
      </c>
      <c r="N3731" s="23" t="str">
        <f>IF(COUNTIF($A$2:A3731,A3731)&gt;1,"DUP","OK")</f>
        <v>OK</v>
      </c>
      <c r="O3731" s="23" t="str">
        <f t="shared" si="175"/>
        <v>ORD26004039</v>
      </c>
      <c r="P3731" s="23" t="str">
        <f t="shared" si="176"/>
        <v>Sep</v>
      </c>
      <c r="Q3731" s="23" t="str">
        <f>IF(F3731="CAPTURE",IF(COUNTIF(orders!$A:$A,O3731)&gt;0,"Yes","NO ORDER"),"")</f>
        <v>Yes</v>
      </c>
    </row>
    <row r="3732" spans="1:17" ht="15" customHeight="1" x14ac:dyDescent="0.3">
      <c r="A3732" s="23" t="s">
        <v>16714</v>
      </c>
      <c r="B3732" s="23"/>
      <c r="C3732" s="23" t="s">
        <v>8605</v>
      </c>
      <c r="D3732" s="23" t="str">
        <f t="shared" si="174"/>
        <v>ORD26004061</v>
      </c>
      <c r="E3732" s="38">
        <v>46285</v>
      </c>
      <c r="F3732" s="23" t="s">
        <v>12410</v>
      </c>
      <c r="G3732" s="23" t="s">
        <v>79</v>
      </c>
      <c r="H3732" s="24">
        <v>299</v>
      </c>
      <c r="I3732" s="24">
        <v>5.38</v>
      </c>
      <c r="J3732" s="24">
        <v>0.97</v>
      </c>
      <c r="K3732" s="24">
        <v>292.64999999999998</v>
      </c>
      <c r="L3732" s="38">
        <v>46287</v>
      </c>
      <c r="M3732" s="23" t="s">
        <v>216</v>
      </c>
      <c r="N3732" s="23" t="str">
        <f>IF(COUNTIF($A$2:A3732,A3732)&gt;1,"DUP","OK")</f>
        <v>OK</v>
      </c>
      <c r="O3732" s="23" t="str">
        <f t="shared" si="175"/>
        <v>ORD26004061</v>
      </c>
      <c r="P3732" s="23" t="str">
        <f t="shared" si="176"/>
        <v>Sep</v>
      </c>
      <c r="Q3732" s="23" t="str">
        <f>IF(F3732="CAPTURE",IF(COUNTIF(orders!$A:$A,O3732)&gt;0,"Yes","NO ORDER"),"")</f>
        <v>Yes</v>
      </c>
    </row>
    <row r="3733" spans="1:17" ht="15" customHeight="1" x14ac:dyDescent="0.3">
      <c r="A3733" s="23" t="s">
        <v>16715</v>
      </c>
      <c r="B3733" s="23"/>
      <c r="C3733" s="23" t="s">
        <v>8642</v>
      </c>
      <c r="D3733" s="23" t="str">
        <f t="shared" si="174"/>
        <v>ORD26004080</v>
      </c>
      <c r="E3733" s="38">
        <v>46285</v>
      </c>
      <c r="F3733" s="23" t="s">
        <v>12410</v>
      </c>
      <c r="G3733" s="23" t="s">
        <v>79</v>
      </c>
      <c r="H3733" s="24">
        <v>499</v>
      </c>
      <c r="I3733" s="24">
        <v>8.98</v>
      </c>
      <c r="J3733" s="24">
        <v>1.62</v>
      </c>
      <c r="K3733" s="24">
        <v>488.4</v>
      </c>
      <c r="L3733" s="38">
        <v>46287</v>
      </c>
      <c r="M3733" s="23" t="s">
        <v>216</v>
      </c>
      <c r="N3733" s="23" t="str">
        <f>IF(COUNTIF($A$2:A3733,A3733)&gt;1,"DUP","OK")</f>
        <v>OK</v>
      </c>
      <c r="O3733" s="23" t="str">
        <f t="shared" si="175"/>
        <v>ORD26004080</v>
      </c>
      <c r="P3733" s="23" t="str">
        <f t="shared" si="176"/>
        <v>Sep</v>
      </c>
      <c r="Q3733" s="23" t="str">
        <f>IF(F3733="CAPTURE",IF(COUNTIF(orders!$A:$A,O3733)&gt;0,"Yes","NO ORDER"),"")</f>
        <v>Yes</v>
      </c>
    </row>
    <row r="3734" spans="1:17" ht="15" customHeight="1" x14ac:dyDescent="0.3">
      <c r="A3734" s="23" t="s">
        <v>16716</v>
      </c>
      <c r="B3734" s="23"/>
      <c r="C3734" s="23" t="s">
        <v>8668</v>
      </c>
      <c r="D3734" s="23" t="str">
        <f t="shared" si="174"/>
        <v>ORD26004093</v>
      </c>
      <c r="E3734" s="38">
        <v>46285</v>
      </c>
      <c r="F3734" s="23" t="s">
        <v>12410</v>
      </c>
      <c r="G3734" s="23" t="s">
        <v>75</v>
      </c>
      <c r="H3734" s="24">
        <v>3499</v>
      </c>
      <c r="I3734" s="24">
        <v>10.5</v>
      </c>
      <c r="J3734" s="24">
        <v>1.89</v>
      </c>
      <c r="K3734" s="24">
        <v>3486.61</v>
      </c>
      <c r="L3734" s="38">
        <v>46287</v>
      </c>
      <c r="M3734" s="23" t="s">
        <v>216</v>
      </c>
      <c r="N3734" s="23" t="str">
        <f>IF(COUNTIF($A$2:A3734,A3734)&gt;1,"DUP","OK")</f>
        <v>OK</v>
      </c>
      <c r="O3734" s="23" t="str">
        <f t="shared" si="175"/>
        <v>ORD26004093</v>
      </c>
      <c r="P3734" s="23" t="str">
        <f t="shared" si="176"/>
        <v>Sep</v>
      </c>
      <c r="Q3734" s="23" t="str">
        <f>IF(F3734="CAPTURE",IF(COUNTIF(orders!$A:$A,O3734)&gt;0,"Yes","NO ORDER"),"")</f>
        <v>Yes</v>
      </c>
    </row>
    <row r="3735" spans="1:17" ht="15" customHeight="1" x14ac:dyDescent="0.3">
      <c r="A3735" s="23" t="s">
        <v>16717</v>
      </c>
      <c r="B3735" s="23"/>
      <c r="C3735" s="23" t="s">
        <v>8702</v>
      </c>
      <c r="D3735" s="23" t="str">
        <f t="shared" si="174"/>
        <v>ORD26004111</v>
      </c>
      <c r="E3735" s="38">
        <v>46285</v>
      </c>
      <c r="F3735" s="23" t="s">
        <v>12410</v>
      </c>
      <c r="G3735" s="23" t="s">
        <v>75</v>
      </c>
      <c r="H3735" s="24">
        <v>8647</v>
      </c>
      <c r="I3735" s="24">
        <v>25.94</v>
      </c>
      <c r="J3735" s="24">
        <v>4.67</v>
      </c>
      <c r="K3735" s="24">
        <v>8616.39</v>
      </c>
      <c r="L3735" s="38">
        <v>46287</v>
      </c>
      <c r="M3735" s="23" t="s">
        <v>216</v>
      </c>
      <c r="N3735" s="23" t="str">
        <f>IF(COUNTIF($A$2:A3735,A3735)&gt;1,"DUP","OK")</f>
        <v>OK</v>
      </c>
      <c r="O3735" s="23" t="str">
        <f t="shared" si="175"/>
        <v>ORD26004111</v>
      </c>
      <c r="P3735" s="23" t="str">
        <f t="shared" si="176"/>
        <v>Sep</v>
      </c>
      <c r="Q3735" s="23" t="str">
        <f>IF(F3735="CAPTURE",IF(COUNTIF(orders!$A:$A,O3735)&gt;0,"Yes","NO ORDER"),"")</f>
        <v>Yes</v>
      </c>
    </row>
    <row r="3736" spans="1:17" ht="15" customHeight="1" x14ac:dyDescent="0.3">
      <c r="A3736" s="23" t="s">
        <v>16718</v>
      </c>
      <c r="B3736" s="23"/>
      <c r="C3736" s="23" t="s">
        <v>8783</v>
      </c>
      <c r="D3736" s="23" t="str">
        <f t="shared" si="174"/>
        <v>ORD26004152</v>
      </c>
      <c r="E3736" s="38">
        <v>46285</v>
      </c>
      <c r="F3736" s="23" t="s">
        <v>12410</v>
      </c>
      <c r="G3736" s="23" t="s">
        <v>75</v>
      </c>
      <c r="H3736" s="24">
        <v>2097</v>
      </c>
      <c r="I3736" s="24">
        <v>6.29</v>
      </c>
      <c r="J3736" s="24">
        <v>1.1299999999999999</v>
      </c>
      <c r="K3736" s="24">
        <v>2089.58</v>
      </c>
      <c r="L3736" s="38">
        <v>46287</v>
      </c>
      <c r="M3736" s="23" t="s">
        <v>216</v>
      </c>
      <c r="N3736" s="23" t="str">
        <f>IF(COUNTIF($A$2:A3736,A3736)&gt;1,"DUP","OK")</f>
        <v>OK</v>
      </c>
      <c r="O3736" s="23" t="str">
        <f t="shared" si="175"/>
        <v>ORD26004152</v>
      </c>
      <c r="P3736" s="23" t="str">
        <f t="shared" si="176"/>
        <v>Sep</v>
      </c>
      <c r="Q3736" s="23" t="str">
        <f>IF(F3736="CAPTURE",IF(COUNTIF(orders!$A:$A,O3736)&gt;0,"Yes","NO ORDER"),"")</f>
        <v>Yes</v>
      </c>
    </row>
    <row r="3737" spans="1:17" ht="15" customHeight="1" x14ac:dyDescent="0.3">
      <c r="A3737" s="23" t="s">
        <v>16719</v>
      </c>
      <c r="B3737" s="23"/>
      <c r="C3737" s="23" t="s">
        <v>16720</v>
      </c>
      <c r="D3737" s="23" t="str">
        <f t="shared" si="174"/>
        <v>ORD26004174</v>
      </c>
      <c r="E3737" s="38">
        <v>46285</v>
      </c>
      <c r="F3737" s="23" t="s">
        <v>12410</v>
      </c>
      <c r="G3737" s="23" t="s">
        <v>77</v>
      </c>
      <c r="H3737" s="24">
        <v>6297</v>
      </c>
      <c r="I3737" s="24">
        <v>151.13</v>
      </c>
      <c r="J3737" s="24">
        <v>27.2</v>
      </c>
      <c r="K3737" s="24">
        <v>6118.67</v>
      </c>
      <c r="L3737" s="38">
        <v>46287</v>
      </c>
      <c r="M3737" s="23" t="s">
        <v>216</v>
      </c>
      <c r="N3737" s="23" t="str">
        <f>IF(COUNTIF($A$2:A3737,A3737)&gt;1,"DUP","OK")</f>
        <v>OK</v>
      </c>
      <c r="O3737" s="23" t="str">
        <f t="shared" si="175"/>
        <v>ORD26004174</v>
      </c>
      <c r="P3737" s="23" t="str">
        <f t="shared" si="176"/>
        <v>Sep</v>
      </c>
      <c r="Q3737" s="23" t="str">
        <f>IF(F3737="CAPTURE",IF(COUNTIF(orders!$A:$A,O3737)&gt;0,"Yes","NO ORDER"),"")</f>
        <v>Yes</v>
      </c>
    </row>
    <row r="3738" spans="1:17" ht="15" customHeight="1" x14ac:dyDescent="0.3">
      <c r="A3738" s="23" t="s">
        <v>16721</v>
      </c>
      <c r="B3738" s="23"/>
      <c r="C3738" s="23" t="s">
        <v>16722</v>
      </c>
      <c r="D3738" s="23" t="str">
        <f t="shared" si="174"/>
        <v>ORD26004191</v>
      </c>
      <c r="E3738" s="38">
        <v>46285</v>
      </c>
      <c r="F3738" s="23" t="s">
        <v>12410</v>
      </c>
      <c r="G3738" s="23" t="s">
        <v>79</v>
      </c>
      <c r="H3738" s="24">
        <v>848</v>
      </c>
      <c r="I3738" s="24">
        <v>15.26</v>
      </c>
      <c r="J3738" s="24">
        <v>2.75</v>
      </c>
      <c r="K3738" s="24">
        <v>829.99</v>
      </c>
      <c r="L3738" s="38">
        <v>46287</v>
      </c>
      <c r="M3738" s="23" t="s">
        <v>216</v>
      </c>
      <c r="N3738" s="23" t="str">
        <f>IF(COUNTIF($A$2:A3738,A3738)&gt;1,"DUP","OK")</f>
        <v>OK</v>
      </c>
      <c r="O3738" s="23" t="str">
        <f t="shared" si="175"/>
        <v>ORD26004191</v>
      </c>
      <c r="P3738" s="23" t="str">
        <f t="shared" si="176"/>
        <v>Sep</v>
      </c>
      <c r="Q3738" s="23" t="str">
        <f>IF(F3738="CAPTURE",IF(COUNTIF(orders!$A:$A,O3738)&gt;0,"Yes","NO ORDER"),"")</f>
        <v>Yes</v>
      </c>
    </row>
    <row r="3739" spans="1:17" ht="15" customHeight="1" x14ac:dyDescent="0.3">
      <c r="A3739" s="23" t="s">
        <v>16723</v>
      </c>
      <c r="B3739" s="23"/>
      <c r="C3739" s="23" t="s">
        <v>8979</v>
      </c>
      <c r="D3739" s="23" t="str">
        <f t="shared" si="174"/>
        <v>ORD26004253</v>
      </c>
      <c r="E3739" s="38">
        <v>46285</v>
      </c>
      <c r="F3739" s="23" t="s">
        <v>12410</v>
      </c>
      <c r="G3739" s="23" t="s">
        <v>75</v>
      </c>
      <c r="H3739" s="24">
        <v>3499</v>
      </c>
      <c r="I3739" s="24">
        <v>10.5</v>
      </c>
      <c r="J3739" s="24">
        <v>1.89</v>
      </c>
      <c r="K3739" s="24">
        <v>3486.61</v>
      </c>
      <c r="L3739" s="38">
        <v>46287</v>
      </c>
      <c r="M3739" s="23" t="s">
        <v>216</v>
      </c>
      <c r="N3739" s="23" t="str">
        <f>IF(COUNTIF($A$2:A3739,A3739)&gt;1,"DUP","OK")</f>
        <v>OK</v>
      </c>
      <c r="O3739" s="23" t="str">
        <f t="shared" si="175"/>
        <v>ORD26004253</v>
      </c>
      <c r="P3739" s="23" t="str">
        <f t="shared" si="176"/>
        <v>Sep</v>
      </c>
      <c r="Q3739" s="23" t="str">
        <f>IF(F3739="CAPTURE",IF(COUNTIF(orders!$A:$A,O3739)&gt;0,"Yes","NO ORDER"),"")</f>
        <v>Yes</v>
      </c>
    </row>
    <row r="3740" spans="1:17" ht="15" customHeight="1" x14ac:dyDescent="0.3">
      <c r="A3740" s="23" t="s">
        <v>16724</v>
      </c>
      <c r="B3740" s="23"/>
      <c r="C3740" s="23" t="s">
        <v>9094</v>
      </c>
      <c r="D3740" s="23" t="str">
        <f t="shared" si="174"/>
        <v>ORD26004309</v>
      </c>
      <c r="E3740" s="38">
        <v>46285</v>
      </c>
      <c r="F3740" s="23" t="s">
        <v>12410</v>
      </c>
      <c r="G3740" s="23" t="s">
        <v>77</v>
      </c>
      <c r="H3740" s="24">
        <v>3348</v>
      </c>
      <c r="I3740" s="24">
        <v>56.92</v>
      </c>
      <c r="J3740" s="24">
        <v>10.25</v>
      </c>
      <c r="K3740" s="24">
        <v>3280.83</v>
      </c>
      <c r="L3740" s="38">
        <v>46287</v>
      </c>
      <c r="M3740" s="23" t="s">
        <v>216</v>
      </c>
      <c r="N3740" s="23" t="str">
        <f>IF(COUNTIF($A$2:A3740,A3740)&gt;1,"DUP","OK")</f>
        <v>OK</v>
      </c>
      <c r="O3740" s="23" t="str">
        <f t="shared" si="175"/>
        <v>ORD26004309</v>
      </c>
      <c r="P3740" s="23" t="str">
        <f t="shared" si="176"/>
        <v>Sep</v>
      </c>
      <c r="Q3740" s="23" t="str">
        <f>IF(F3740="CAPTURE",IF(COUNTIF(orders!$A:$A,O3740)&gt;0,"Yes","NO ORDER"),"")</f>
        <v>Yes</v>
      </c>
    </row>
    <row r="3741" spans="1:17" ht="15" customHeight="1" x14ac:dyDescent="0.3">
      <c r="A3741" s="23" t="s">
        <v>16725</v>
      </c>
      <c r="B3741" s="23"/>
      <c r="C3741" s="23" t="s">
        <v>9149</v>
      </c>
      <c r="D3741" s="23" t="str">
        <f t="shared" si="174"/>
        <v>ORD26004336</v>
      </c>
      <c r="E3741" s="38">
        <v>46285</v>
      </c>
      <c r="F3741" s="23" t="s">
        <v>12410</v>
      </c>
      <c r="G3741" s="23" t="s">
        <v>75</v>
      </c>
      <c r="H3741" s="24">
        <v>1898</v>
      </c>
      <c r="I3741" s="24">
        <v>0</v>
      </c>
      <c r="J3741" s="24">
        <v>0</v>
      </c>
      <c r="K3741" s="24">
        <v>1898</v>
      </c>
      <c r="L3741" s="38">
        <v>46287</v>
      </c>
      <c r="M3741" s="23" t="s">
        <v>216</v>
      </c>
      <c r="N3741" s="23" t="str">
        <f>IF(COUNTIF($A$2:A3741,A3741)&gt;1,"DUP","OK")</f>
        <v>OK</v>
      </c>
      <c r="O3741" s="23" t="str">
        <f t="shared" si="175"/>
        <v>ORD26004336</v>
      </c>
      <c r="P3741" s="23" t="str">
        <f t="shared" si="176"/>
        <v>Sep</v>
      </c>
      <c r="Q3741" s="23" t="str">
        <f>IF(F3741="CAPTURE",IF(COUNTIF(orders!$A:$A,O3741)&gt;0,"Yes","NO ORDER"),"")</f>
        <v>Yes</v>
      </c>
    </row>
    <row r="3742" spans="1:17" ht="15" customHeight="1" x14ac:dyDescent="0.3">
      <c r="A3742" s="23" t="s">
        <v>16726</v>
      </c>
      <c r="B3742" s="23"/>
      <c r="C3742" s="23" t="s">
        <v>9167</v>
      </c>
      <c r="D3742" s="23" t="str">
        <f t="shared" si="174"/>
        <v>ORD26004345</v>
      </c>
      <c r="E3742" s="38">
        <v>46285</v>
      </c>
      <c r="F3742" s="23" t="s">
        <v>12410</v>
      </c>
      <c r="G3742" s="23" t="s">
        <v>75</v>
      </c>
      <c r="H3742" s="24">
        <v>1148</v>
      </c>
      <c r="I3742" s="24">
        <v>0</v>
      </c>
      <c r="J3742" s="24">
        <v>0</v>
      </c>
      <c r="K3742" s="24">
        <v>1148</v>
      </c>
      <c r="L3742" s="38">
        <v>46287</v>
      </c>
      <c r="M3742" s="23" t="s">
        <v>216</v>
      </c>
      <c r="N3742" s="23" t="str">
        <f>IF(COUNTIF($A$2:A3742,A3742)&gt;1,"DUP","OK")</f>
        <v>OK</v>
      </c>
      <c r="O3742" s="23" t="str">
        <f t="shared" si="175"/>
        <v>ORD26004345</v>
      </c>
      <c r="P3742" s="23" t="str">
        <f t="shared" si="176"/>
        <v>Sep</v>
      </c>
      <c r="Q3742" s="23" t="str">
        <f>IF(F3742="CAPTURE",IF(COUNTIF(orders!$A:$A,O3742)&gt;0,"Yes","NO ORDER"),"")</f>
        <v>Yes</v>
      </c>
    </row>
    <row r="3743" spans="1:17" ht="15" customHeight="1" x14ac:dyDescent="0.3">
      <c r="A3743" s="23" t="s">
        <v>16727</v>
      </c>
      <c r="B3743" s="23"/>
      <c r="C3743" s="23" t="s">
        <v>9169</v>
      </c>
      <c r="D3743" s="23" t="str">
        <f t="shared" si="174"/>
        <v>ORD26004346</v>
      </c>
      <c r="E3743" s="38">
        <v>46285</v>
      </c>
      <c r="F3743" s="23" t="s">
        <v>12410</v>
      </c>
      <c r="G3743" s="23" t="s">
        <v>75</v>
      </c>
      <c r="H3743" s="24">
        <v>2447</v>
      </c>
      <c r="I3743" s="24">
        <v>7.34</v>
      </c>
      <c r="J3743" s="24">
        <v>1.32</v>
      </c>
      <c r="K3743" s="24">
        <v>2438.34</v>
      </c>
      <c r="L3743" s="38">
        <v>46287</v>
      </c>
      <c r="M3743" s="23" t="s">
        <v>216</v>
      </c>
      <c r="N3743" s="23" t="str">
        <f>IF(COUNTIF($A$2:A3743,A3743)&gt;1,"DUP","OK")</f>
        <v>OK</v>
      </c>
      <c r="O3743" s="23" t="str">
        <f t="shared" si="175"/>
        <v>ORD26004346</v>
      </c>
      <c r="P3743" s="23" t="str">
        <f t="shared" si="176"/>
        <v>Sep</v>
      </c>
      <c r="Q3743" s="23" t="str">
        <f>IF(F3743="CAPTURE",IF(COUNTIF(orders!$A:$A,O3743)&gt;0,"Yes","NO ORDER"),"")</f>
        <v>Yes</v>
      </c>
    </row>
    <row r="3744" spans="1:17" ht="15" customHeight="1" x14ac:dyDescent="0.3">
      <c r="A3744" s="23" t="s">
        <v>16728</v>
      </c>
      <c r="B3744" s="23"/>
      <c r="C3744" s="23" t="s">
        <v>9270</v>
      </c>
      <c r="D3744" s="23" t="str">
        <f t="shared" si="174"/>
        <v>ORD26004398</v>
      </c>
      <c r="E3744" s="38">
        <v>46285</v>
      </c>
      <c r="F3744" s="23" t="s">
        <v>12410</v>
      </c>
      <c r="G3744" s="23" t="s">
        <v>79</v>
      </c>
      <c r="H3744" s="24">
        <v>7999</v>
      </c>
      <c r="I3744" s="24">
        <v>127.98</v>
      </c>
      <c r="J3744" s="24">
        <v>23.04</v>
      </c>
      <c r="K3744" s="24">
        <v>7847.98</v>
      </c>
      <c r="L3744" s="38">
        <v>46287</v>
      </c>
      <c r="M3744" s="23" t="s">
        <v>216</v>
      </c>
      <c r="N3744" s="23" t="str">
        <f>IF(COUNTIF($A$2:A3744,A3744)&gt;1,"DUP","OK")</f>
        <v>OK</v>
      </c>
      <c r="O3744" s="23" t="str">
        <f t="shared" si="175"/>
        <v>ORD26004398</v>
      </c>
      <c r="P3744" s="23" t="str">
        <f t="shared" si="176"/>
        <v>Sep</v>
      </c>
      <c r="Q3744" s="23" t="str">
        <f>IF(F3744="CAPTURE",IF(COUNTIF(orders!$A:$A,O3744)&gt;0,"Yes","NO ORDER"),"")</f>
        <v>Yes</v>
      </c>
    </row>
    <row r="3745" spans="1:17" ht="15" customHeight="1" x14ac:dyDescent="0.3">
      <c r="A3745" s="23" t="s">
        <v>16729</v>
      </c>
      <c r="B3745" s="23"/>
      <c r="C3745" s="23" t="s">
        <v>9365</v>
      </c>
      <c r="D3745" s="23" t="str">
        <f t="shared" si="174"/>
        <v>ORD26004446</v>
      </c>
      <c r="E3745" s="38">
        <v>46285</v>
      </c>
      <c r="F3745" s="23" t="s">
        <v>12410</v>
      </c>
      <c r="G3745" s="23" t="s">
        <v>75</v>
      </c>
      <c r="H3745" s="24">
        <v>3798</v>
      </c>
      <c r="I3745" s="24">
        <v>11.39</v>
      </c>
      <c r="J3745" s="24">
        <v>2.0499999999999998</v>
      </c>
      <c r="K3745" s="24">
        <v>3784.56</v>
      </c>
      <c r="L3745" s="38">
        <v>46287</v>
      </c>
      <c r="M3745" s="23" t="s">
        <v>216</v>
      </c>
      <c r="N3745" s="23" t="str">
        <f>IF(COUNTIF($A$2:A3745,A3745)&gt;1,"DUP","OK")</f>
        <v>OK</v>
      </c>
      <c r="O3745" s="23" t="str">
        <f t="shared" si="175"/>
        <v>ORD26004446</v>
      </c>
      <c r="P3745" s="23" t="str">
        <f t="shared" si="176"/>
        <v>Sep</v>
      </c>
      <c r="Q3745" s="23" t="str">
        <f>IF(F3745="CAPTURE",IF(COUNTIF(orders!$A:$A,O3745)&gt;0,"Yes","NO ORDER"),"")</f>
        <v>Yes</v>
      </c>
    </row>
    <row r="3746" spans="1:17" ht="15" customHeight="1" x14ac:dyDescent="0.3">
      <c r="A3746" s="23" t="s">
        <v>16730</v>
      </c>
      <c r="B3746" s="23"/>
      <c r="C3746" s="23" t="s">
        <v>9504</v>
      </c>
      <c r="D3746" s="23" t="str">
        <f t="shared" si="174"/>
        <v>ORD26004516</v>
      </c>
      <c r="E3746" s="38">
        <v>46285</v>
      </c>
      <c r="F3746" s="23" t="s">
        <v>12410</v>
      </c>
      <c r="G3746" s="23" t="s">
        <v>75</v>
      </c>
      <c r="H3746" s="24">
        <v>5097</v>
      </c>
      <c r="I3746" s="24">
        <v>15.29</v>
      </c>
      <c r="J3746" s="24">
        <v>2.75</v>
      </c>
      <c r="K3746" s="24">
        <v>5078.96</v>
      </c>
      <c r="L3746" s="38">
        <v>46287</v>
      </c>
      <c r="M3746" s="23" t="s">
        <v>216</v>
      </c>
      <c r="N3746" s="23" t="str">
        <f>IF(COUNTIF($A$2:A3746,A3746)&gt;1,"DUP","OK")</f>
        <v>OK</v>
      </c>
      <c r="O3746" s="23" t="str">
        <f t="shared" si="175"/>
        <v>ORD26004516</v>
      </c>
      <c r="P3746" s="23" t="str">
        <f t="shared" si="176"/>
        <v>Sep</v>
      </c>
      <c r="Q3746" s="23" t="str">
        <f>IF(F3746="CAPTURE",IF(COUNTIF(orders!$A:$A,O3746)&gt;0,"Yes","NO ORDER"),"")</f>
        <v>Yes</v>
      </c>
    </row>
    <row r="3747" spans="1:17" ht="15" customHeight="1" x14ac:dyDescent="0.3">
      <c r="A3747" s="23" t="s">
        <v>16731</v>
      </c>
      <c r="B3747" s="23"/>
      <c r="C3747" s="23" t="s">
        <v>9520</v>
      </c>
      <c r="D3747" s="23" t="str">
        <f t="shared" si="174"/>
        <v>ORD26004524</v>
      </c>
      <c r="E3747" s="38">
        <v>46285</v>
      </c>
      <c r="F3747" s="23" t="s">
        <v>12410</v>
      </c>
      <c r="G3747" s="23" t="s">
        <v>79</v>
      </c>
      <c r="H3747" s="24">
        <v>1848</v>
      </c>
      <c r="I3747" s="24">
        <v>33.26</v>
      </c>
      <c r="J3747" s="24">
        <v>5.99</v>
      </c>
      <c r="K3747" s="24">
        <v>1808.75</v>
      </c>
      <c r="L3747" s="38">
        <v>46287</v>
      </c>
      <c r="M3747" s="23" t="s">
        <v>216</v>
      </c>
      <c r="N3747" s="23" t="str">
        <f>IF(COUNTIF($A$2:A3747,A3747)&gt;1,"DUP","OK")</f>
        <v>OK</v>
      </c>
      <c r="O3747" s="23" t="str">
        <f t="shared" si="175"/>
        <v>ORD26004524</v>
      </c>
      <c r="P3747" s="23" t="str">
        <f t="shared" si="176"/>
        <v>Sep</v>
      </c>
      <c r="Q3747" s="23" t="str">
        <f>IF(F3747="CAPTURE",IF(COUNTIF(orders!$A:$A,O3747)&gt;0,"Yes","NO ORDER"),"")</f>
        <v>Yes</v>
      </c>
    </row>
    <row r="3748" spans="1:17" ht="15" customHeight="1" x14ac:dyDescent="0.3">
      <c r="A3748" s="23" t="s">
        <v>16732</v>
      </c>
      <c r="B3748" s="23"/>
      <c r="C3748" s="23" t="s">
        <v>9571</v>
      </c>
      <c r="D3748" s="23" t="str">
        <f t="shared" si="174"/>
        <v>ORD26004549</v>
      </c>
      <c r="E3748" s="38">
        <v>46285</v>
      </c>
      <c r="F3748" s="23" t="s">
        <v>12410</v>
      </c>
      <c r="G3748" s="23" t="s">
        <v>75</v>
      </c>
      <c r="H3748" s="24">
        <v>349</v>
      </c>
      <c r="I3748" s="24">
        <v>0</v>
      </c>
      <c r="J3748" s="24">
        <v>0</v>
      </c>
      <c r="K3748" s="24">
        <v>349</v>
      </c>
      <c r="L3748" s="38">
        <v>46287</v>
      </c>
      <c r="M3748" s="23" t="s">
        <v>216</v>
      </c>
      <c r="N3748" s="23" t="str">
        <f>IF(COUNTIF($A$2:A3748,A3748)&gt;1,"DUP","OK")</f>
        <v>OK</v>
      </c>
      <c r="O3748" s="23" t="str">
        <f t="shared" si="175"/>
        <v>ORD26004549</v>
      </c>
      <c r="P3748" s="23" t="str">
        <f t="shared" si="176"/>
        <v>Sep</v>
      </c>
      <c r="Q3748" s="23" t="str">
        <f>IF(F3748="CAPTURE",IF(COUNTIF(orders!$A:$A,O3748)&gt;0,"Yes","NO ORDER"),"")</f>
        <v>Yes</v>
      </c>
    </row>
    <row r="3749" spans="1:17" ht="15" customHeight="1" x14ac:dyDescent="0.3">
      <c r="A3749" s="23" t="s">
        <v>16733</v>
      </c>
      <c r="B3749" s="23"/>
      <c r="C3749" s="23" t="s">
        <v>9628</v>
      </c>
      <c r="D3749" s="23" t="str">
        <f t="shared" si="174"/>
        <v>ORD26004578</v>
      </c>
      <c r="E3749" s="38">
        <v>46285</v>
      </c>
      <c r="F3749" s="23" t="s">
        <v>12410</v>
      </c>
      <c r="G3749" s="23" t="s">
        <v>79</v>
      </c>
      <c r="H3749" s="24">
        <v>2298</v>
      </c>
      <c r="I3749" s="24">
        <v>36.770000000000003</v>
      </c>
      <c r="J3749" s="24">
        <v>6.62</v>
      </c>
      <c r="K3749" s="24">
        <v>2254.61</v>
      </c>
      <c r="L3749" s="38">
        <v>46287</v>
      </c>
      <c r="M3749" s="23" t="s">
        <v>216</v>
      </c>
      <c r="N3749" s="23" t="str">
        <f>IF(COUNTIF($A$2:A3749,A3749)&gt;1,"DUP","OK")</f>
        <v>OK</v>
      </c>
      <c r="O3749" s="23" t="str">
        <f t="shared" si="175"/>
        <v>ORD26004578</v>
      </c>
      <c r="P3749" s="23" t="str">
        <f t="shared" si="176"/>
        <v>Sep</v>
      </c>
      <c r="Q3749" s="23" t="str">
        <f>IF(F3749="CAPTURE",IF(COUNTIF(orders!$A:$A,O3749)&gt;0,"Yes","NO ORDER"),"")</f>
        <v>Yes</v>
      </c>
    </row>
    <row r="3750" spans="1:17" ht="15" customHeight="1" x14ac:dyDescent="0.3">
      <c r="A3750" s="23" t="s">
        <v>16734</v>
      </c>
      <c r="B3750" s="23"/>
      <c r="C3750" s="23" t="s">
        <v>9727</v>
      </c>
      <c r="D3750" s="23" t="str">
        <f t="shared" si="174"/>
        <v>ORD26004627</v>
      </c>
      <c r="E3750" s="38">
        <v>46285</v>
      </c>
      <c r="F3750" s="23" t="s">
        <v>12410</v>
      </c>
      <c r="G3750" s="23" t="s">
        <v>75</v>
      </c>
      <c r="H3750" s="24">
        <v>349</v>
      </c>
      <c r="I3750" s="24">
        <v>0</v>
      </c>
      <c r="J3750" s="24">
        <v>0</v>
      </c>
      <c r="K3750" s="24">
        <v>349</v>
      </c>
      <c r="L3750" s="38">
        <v>46287</v>
      </c>
      <c r="M3750" s="23" t="s">
        <v>216</v>
      </c>
      <c r="N3750" s="23" t="str">
        <f>IF(COUNTIF($A$2:A3750,A3750)&gt;1,"DUP","OK")</f>
        <v>OK</v>
      </c>
      <c r="O3750" s="23" t="str">
        <f t="shared" si="175"/>
        <v>ORD26004627</v>
      </c>
      <c r="P3750" s="23" t="str">
        <f t="shared" si="176"/>
        <v>Sep</v>
      </c>
      <c r="Q3750" s="23" t="str">
        <f>IF(F3750="CAPTURE",IF(COUNTIF(orders!$A:$A,O3750)&gt;0,"Yes","NO ORDER"),"")</f>
        <v>Yes</v>
      </c>
    </row>
    <row r="3751" spans="1:17" ht="15" customHeight="1" x14ac:dyDescent="0.3">
      <c r="A3751" s="23" t="s">
        <v>16735</v>
      </c>
      <c r="B3751" s="23"/>
      <c r="C3751" s="23" t="s">
        <v>9746</v>
      </c>
      <c r="D3751" s="23" t="str">
        <f t="shared" si="174"/>
        <v>ORD26004637</v>
      </c>
      <c r="E3751" s="38">
        <v>46285</v>
      </c>
      <c r="F3751" s="23" t="s">
        <v>12410</v>
      </c>
      <c r="G3751" s="23" t="s">
        <v>77</v>
      </c>
      <c r="H3751" s="24">
        <v>6498</v>
      </c>
      <c r="I3751" s="24">
        <v>110.47</v>
      </c>
      <c r="J3751" s="24">
        <v>19.88</v>
      </c>
      <c r="K3751" s="24">
        <v>6367.65</v>
      </c>
      <c r="L3751" s="38">
        <v>46287</v>
      </c>
      <c r="M3751" s="23" t="s">
        <v>216</v>
      </c>
      <c r="N3751" s="23" t="str">
        <f>IF(COUNTIF($A$2:A3751,A3751)&gt;1,"DUP","OK")</f>
        <v>OK</v>
      </c>
      <c r="O3751" s="23" t="str">
        <f t="shared" si="175"/>
        <v>ORD26004637</v>
      </c>
      <c r="P3751" s="23" t="str">
        <f t="shared" si="176"/>
        <v>Sep</v>
      </c>
      <c r="Q3751" s="23" t="str">
        <f>IF(F3751="CAPTURE",IF(COUNTIF(orders!$A:$A,O3751)&gt;0,"Yes","NO ORDER"),"")</f>
        <v>Yes</v>
      </c>
    </row>
    <row r="3752" spans="1:17" ht="15" customHeight="1" x14ac:dyDescent="0.3">
      <c r="A3752" s="23" t="s">
        <v>16736</v>
      </c>
      <c r="B3752" s="23"/>
      <c r="C3752" s="23" t="s">
        <v>9814</v>
      </c>
      <c r="D3752" s="23" t="str">
        <f t="shared" si="174"/>
        <v>ORD26004673</v>
      </c>
      <c r="E3752" s="38">
        <v>46285</v>
      </c>
      <c r="F3752" s="23" t="s">
        <v>12410</v>
      </c>
      <c r="G3752" s="23" t="s">
        <v>75</v>
      </c>
      <c r="H3752" s="24">
        <v>1299</v>
      </c>
      <c r="I3752" s="24">
        <v>0</v>
      </c>
      <c r="J3752" s="24">
        <v>0</v>
      </c>
      <c r="K3752" s="24">
        <v>1299</v>
      </c>
      <c r="L3752" s="38">
        <v>46287</v>
      </c>
      <c r="M3752" s="23" t="s">
        <v>216</v>
      </c>
      <c r="N3752" s="23" t="str">
        <f>IF(COUNTIF($A$2:A3752,A3752)&gt;1,"DUP","OK")</f>
        <v>OK</v>
      </c>
      <c r="O3752" s="23" t="str">
        <f t="shared" si="175"/>
        <v>ORD26004673</v>
      </c>
      <c r="P3752" s="23" t="str">
        <f t="shared" si="176"/>
        <v>Sep</v>
      </c>
      <c r="Q3752" s="23" t="str">
        <f>IF(F3752="CAPTURE",IF(COUNTIF(orders!$A:$A,O3752)&gt;0,"Yes","NO ORDER"),"")</f>
        <v>Yes</v>
      </c>
    </row>
    <row r="3753" spans="1:17" ht="15" customHeight="1" x14ac:dyDescent="0.3">
      <c r="A3753" s="23" t="s">
        <v>16737</v>
      </c>
      <c r="B3753" s="23"/>
      <c r="C3753" s="23" t="s">
        <v>9830</v>
      </c>
      <c r="D3753" s="23" t="str">
        <f t="shared" si="174"/>
        <v>ORD26004681</v>
      </c>
      <c r="E3753" s="38">
        <v>46285</v>
      </c>
      <c r="F3753" s="23" t="s">
        <v>12410</v>
      </c>
      <c r="G3753" s="23" t="s">
        <v>75</v>
      </c>
      <c r="H3753" s="24">
        <v>4298</v>
      </c>
      <c r="I3753" s="24">
        <v>12.89</v>
      </c>
      <c r="J3753" s="24">
        <v>2.3199999999999998</v>
      </c>
      <c r="K3753" s="24">
        <v>4282.79</v>
      </c>
      <c r="L3753" s="38">
        <v>46287</v>
      </c>
      <c r="M3753" s="23" t="s">
        <v>216</v>
      </c>
      <c r="N3753" s="23" t="str">
        <f>IF(COUNTIF($A$2:A3753,A3753)&gt;1,"DUP","OK")</f>
        <v>OK</v>
      </c>
      <c r="O3753" s="23" t="str">
        <f t="shared" si="175"/>
        <v>ORD26004681</v>
      </c>
      <c r="P3753" s="23" t="str">
        <f t="shared" si="176"/>
        <v>Sep</v>
      </c>
      <c r="Q3753" s="23" t="str">
        <f>IF(F3753="CAPTURE",IF(COUNTIF(orders!$A:$A,O3753)&gt;0,"Yes","NO ORDER"),"")</f>
        <v>Yes</v>
      </c>
    </row>
    <row r="3754" spans="1:17" ht="15" customHeight="1" x14ac:dyDescent="0.3">
      <c r="A3754" s="23" t="s">
        <v>16738</v>
      </c>
      <c r="B3754" s="23"/>
      <c r="C3754" s="23" t="s">
        <v>9840</v>
      </c>
      <c r="D3754" s="23" t="str">
        <f t="shared" si="174"/>
        <v>ORD26004686</v>
      </c>
      <c r="E3754" s="38">
        <v>46285</v>
      </c>
      <c r="F3754" s="23" t="s">
        <v>12410</v>
      </c>
      <c r="G3754" s="23" t="s">
        <v>77</v>
      </c>
      <c r="H3754" s="24">
        <v>2798</v>
      </c>
      <c r="I3754" s="24">
        <v>47.57</v>
      </c>
      <c r="J3754" s="24">
        <v>8.56</v>
      </c>
      <c r="K3754" s="24">
        <v>2741.87</v>
      </c>
      <c r="L3754" s="38">
        <v>46287</v>
      </c>
      <c r="M3754" s="23" t="s">
        <v>216</v>
      </c>
      <c r="N3754" s="23" t="str">
        <f>IF(COUNTIF($A$2:A3754,A3754)&gt;1,"DUP","OK")</f>
        <v>OK</v>
      </c>
      <c r="O3754" s="23" t="str">
        <f t="shared" si="175"/>
        <v>ORD26004686</v>
      </c>
      <c r="P3754" s="23" t="str">
        <f t="shared" si="176"/>
        <v>Sep</v>
      </c>
      <c r="Q3754" s="23" t="str">
        <f>IF(F3754="CAPTURE",IF(COUNTIF(orders!$A:$A,O3754)&gt;0,"Yes","NO ORDER"),"")</f>
        <v>Yes</v>
      </c>
    </row>
    <row r="3755" spans="1:17" ht="15" customHeight="1" x14ac:dyDescent="0.3">
      <c r="A3755" s="23" t="s">
        <v>16739</v>
      </c>
      <c r="B3755" s="23"/>
      <c r="C3755" s="23" t="s">
        <v>9884</v>
      </c>
      <c r="D3755" s="23" t="str">
        <f t="shared" si="174"/>
        <v>ORD26004708</v>
      </c>
      <c r="E3755" s="38">
        <v>46285</v>
      </c>
      <c r="F3755" s="23" t="s">
        <v>12410</v>
      </c>
      <c r="G3755" s="23" t="s">
        <v>75</v>
      </c>
      <c r="H3755" s="24">
        <v>9847</v>
      </c>
      <c r="I3755" s="24">
        <v>29.54</v>
      </c>
      <c r="J3755" s="24">
        <v>5.32</v>
      </c>
      <c r="K3755" s="24">
        <v>9812.14</v>
      </c>
      <c r="L3755" s="38">
        <v>46287</v>
      </c>
      <c r="M3755" s="23" t="s">
        <v>216</v>
      </c>
      <c r="N3755" s="23" t="str">
        <f>IF(COUNTIF($A$2:A3755,A3755)&gt;1,"DUP","OK")</f>
        <v>OK</v>
      </c>
      <c r="O3755" s="23" t="str">
        <f t="shared" si="175"/>
        <v>ORD26004708</v>
      </c>
      <c r="P3755" s="23" t="str">
        <f t="shared" si="176"/>
        <v>Sep</v>
      </c>
      <c r="Q3755" s="23" t="str">
        <f>IF(F3755="CAPTURE",IF(COUNTIF(orders!$A:$A,O3755)&gt;0,"Yes","NO ORDER"),"")</f>
        <v>Yes</v>
      </c>
    </row>
    <row r="3756" spans="1:17" ht="15" customHeight="1" x14ac:dyDescent="0.3">
      <c r="A3756" s="23" t="s">
        <v>16740</v>
      </c>
      <c r="B3756" s="23"/>
      <c r="C3756" s="23" t="s">
        <v>9902</v>
      </c>
      <c r="D3756" s="23" t="str">
        <f t="shared" si="174"/>
        <v>ORD26004718</v>
      </c>
      <c r="E3756" s="38">
        <v>46285</v>
      </c>
      <c r="F3756" s="23" t="s">
        <v>12410</v>
      </c>
      <c r="G3756" s="23" t="s">
        <v>75</v>
      </c>
      <c r="H3756" s="24">
        <v>1499</v>
      </c>
      <c r="I3756" s="24">
        <v>0</v>
      </c>
      <c r="J3756" s="24">
        <v>0</v>
      </c>
      <c r="K3756" s="24">
        <v>1499</v>
      </c>
      <c r="L3756" s="38">
        <v>46287</v>
      </c>
      <c r="M3756" s="23" t="s">
        <v>216</v>
      </c>
      <c r="N3756" s="23" t="str">
        <f>IF(COUNTIF($A$2:A3756,A3756)&gt;1,"DUP","OK")</f>
        <v>OK</v>
      </c>
      <c r="O3756" s="23" t="str">
        <f t="shared" si="175"/>
        <v>ORD26004718</v>
      </c>
      <c r="P3756" s="23" t="str">
        <f t="shared" si="176"/>
        <v>Sep</v>
      </c>
      <c r="Q3756" s="23" t="str">
        <f>IF(F3756="CAPTURE",IF(COUNTIF(orders!$A:$A,O3756)&gt;0,"Yes","NO ORDER"),"")</f>
        <v>Yes</v>
      </c>
    </row>
    <row r="3757" spans="1:17" ht="15" customHeight="1" x14ac:dyDescent="0.3">
      <c r="A3757" s="23" t="s">
        <v>16741</v>
      </c>
      <c r="B3757" s="23"/>
      <c r="C3757" s="23" t="s">
        <v>16742</v>
      </c>
      <c r="D3757" s="23" t="str">
        <f t="shared" si="174"/>
        <v>ORD26004728</v>
      </c>
      <c r="E3757" s="38">
        <v>46285</v>
      </c>
      <c r="F3757" s="23" t="s">
        <v>12410</v>
      </c>
      <c r="G3757" s="23" t="s">
        <v>75</v>
      </c>
      <c r="H3757" s="24">
        <v>3847</v>
      </c>
      <c r="I3757" s="24">
        <v>11.54</v>
      </c>
      <c r="J3757" s="24">
        <v>2.08</v>
      </c>
      <c r="K3757" s="24">
        <v>3833.38</v>
      </c>
      <c r="L3757" s="38">
        <v>46287</v>
      </c>
      <c r="M3757" s="23" t="s">
        <v>216</v>
      </c>
      <c r="N3757" s="23" t="str">
        <f>IF(COUNTIF($A$2:A3757,A3757)&gt;1,"DUP","OK")</f>
        <v>OK</v>
      </c>
      <c r="O3757" s="23" t="str">
        <f t="shared" si="175"/>
        <v>ORD26004728</v>
      </c>
      <c r="P3757" s="23" t="str">
        <f t="shared" si="176"/>
        <v>Sep</v>
      </c>
      <c r="Q3757" s="23" t="str">
        <f>IF(F3757="CAPTURE",IF(COUNTIF(orders!$A:$A,O3757)&gt;0,"Yes","NO ORDER"),"")</f>
        <v>Yes</v>
      </c>
    </row>
    <row r="3758" spans="1:17" ht="15" customHeight="1" x14ac:dyDescent="0.3">
      <c r="A3758" s="23" t="s">
        <v>16743</v>
      </c>
      <c r="B3758" s="23"/>
      <c r="C3758" s="23" t="s">
        <v>10032</v>
      </c>
      <c r="D3758" s="23" t="str">
        <f t="shared" si="174"/>
        <v>ORD26004785</v>
      </c>
      <c r="E3758" s="38">
        <v>46285</v>
      </c>
      <c r="F3758" s="23" t="s">
        <v>12410</v>
      </c>
      <c r="G3758" s="23" t="s">
        <v>75</v>
      </c>
      <c r="H3758" s="24">
        <v>1799</v>
      </c>
      <c r="I3758" s="24">
        <v>0</v>
      </c>
      <c r="J3758" s="24">
        <v>0</v>
      </c>
      <c r="K3758" s="24">
        <v>1799</v>
      </c>
      <c r="L3758" s="38">
        <v>46287</v>
      </c>
      <c r="M3758" s="23" t="s">
        <v>216</v>
      </c>
      <c r="N3758" s="23" t="str">
        <f>IF(COUNTIF($A$2:A3758,A3758)&gt;1,"DUP","OK")</f>
        <v>OK</v>
      </c>
      <c r="O3758" s="23" t="str">
        <f t="shared" si="175"/>
        <v>ORD26004785</v>
      </c>
      <c r="P3758" s="23" t="str">
        <f t="shared" si="176"/>
        <v>Sep</v>
      </c>
      <c r="Q3758" s="23" t="str">
        <f>IF(F3758="CAPTURE",IF(COUNTIF(orders!$A:$A,O3758)&gt;0,"Yes","NO ORDER"),"")</f>
        <v>Yes</v>
      </c>
    </row>
    <row r="3759" spans="1:17" ht="15" customHeight="1" x14ac:dyDescent="0.3">
      <c r="A3759" s="23" t="s">
        <v>16744</v>
      </c>
      <c r="B3759" s="23"/>
      <c r="C3759" s="23" t="s">
        <v>10075</v>
      </c>
      <c r="D3759" s="23" t="str">
        <f t="shared" si="174"/>
        <v>ORD26004807</v>
      </c>
      <c r="E3759" s="38">
        <v>46285</v>
      </c>
      <c r="F3759" s="23" t="s">
        <v>12410</v>
      </c>
      <c r="G3759" s="23" t="s">
        <v>75</v>
      </c>
      <c r="H3759" s="24">
        <v>999</v>
      </c>
      <c r="I3759" s="24">
        <v>0</v>
      </c>
      <c r="J3759" s="24">
        <v>0</v>
      </c>
      <c r="K3759" s="24">
        <v>999</v>
      </c>
      <c r="L3759" s="38">
        <v>46287</v>
      </c>
      <c r="M3759" s="23" t="s">
        <v>216</v>
      </c>
      <c r="N3759" s="23" t="str">
        <f>IF(COUNTIF($A$2:A3759,A3759)&gt;1,"DUP","OK")</f>
        <v>OK</v>
      </c>
      <c r="O3759" s="23" t="str">
        <f t="shared" si="175"/>
        <v>ORD26004807</v>
      </c>
      <c r="P3759" s="23" t="str">
        <f t="shared" si="176"/>
        <v>Sep</v>
      </c>
      <c r="Q3759" s="23" t="str">
        <f>IF(F3759="CAPTURE",IF(COUNTIF(orders!$A:$A,O3759)&gt;0,"Yes","NO ORDER"),"")</f>
        <v>Yes</v>
      </c>
    </row>
    <row r="3760" spans="1:17" ht="15" customHeight="1" x14ac:dyDescent="0.3">
      <c r="A3760" s="23" t="s">
        <v>16745</v>
      </c>
      <c r="B3760" s="23"/>
      <c r="C3760" s="23" t="s">
        <v>16746</v>
      </c>
      <c r="D3760" s="23" t="str">
        <f t="shared" si="174"/>
        <v>ORD26004826</v>
      </c>
      <c r="E3760" s="38">
        <v>46285</v>
      </c>
      <c r="F3760" s="23" t="s">
        <v>12410</v>
      </c>
      <c r="G3760" s="23" t="s">
        <v>75</v>
      </c>
      <c r="H3760" s="24">
        <v>1299</v>
      </c>
      <c r="I3760" s="24">
        <v>0</v>
      </c>
      <c r="J3760" s="24">
        <v>0</v>
      </c>
      <c r="K3760" s="24">
        <v>1299</v>
      </c>
      <c r="L3760" s="38">
        <v>46287</v>
      </c>
      <c r="M3760" s="23" t="s">
        <v>216</v>
      </c>
      <c r="N3760" s="23" t="str">
        <f>IF(COUNTIF($A$2:A3760,A3760)&gt;1,"DUP","OK")</f>
        <v>OK</v>
      </c>
      <c r="O3760" s="23" t="str">
        <f t="shared" si="175"/>
        <v>ORD26004826</v>
      </c>
      <c r="P3760" s="23" t="str">
        <f t="shared" si="176"/>
        <v>Sep</v>
      </c>
      <c r="Q3760" s="23" t="str">
        <f>IF(F3760="CAPTURE",IF(COUNTIF(orders!$A:$A,O3760)&gt;0,"Yes","NO ORDER"),"")</f>
        <v>Yes</v>
      </c>
    </row>
    <row r="3761" spans="1:17" ht="15" customHeight="1" x14ac:dyDescent="0.3">
      <c r="A3761" s="23" t="s">
        <v>16747</v>
      </c>
      <c r="B3761" s="23"/>
      <c r="C3761" s="23" t="s">
        <v>10243</v>
      </c>
      <c r="D3761" s="23" t="str">
        <f t="shared" si="174"/>
        <v>ORD26004893</v>
      </c>
      <c r="E3761" s="38">
        <v>46285</v>
      </c>
      <c r="F3761" s="23" t="s">
        <v>12410</v>
      </c>
      <c r="G3761" s="23" t="s">
        <v>75</v>
      </c>
      <c r="H3761" s="24">
        <v>3897</v>
      </c>
      <c r="I3761" s="24">
        <v>11.69</v>
      </c>
      <c r="J3761" s="24">
        <v>2.1</v>
      </c>
      <c r="K3761" s="24">
        <v>3883.21</v>
      </c>
      <c r="L3761" s="38">
        <v>46287</v>
      </c>
      <c r="M3761" s="23" t="s">
        <v>216</v>
      </c>
      <c r="N3761" s="23" t="str">
        <f>IF(COUNTIF($A$2:A3761,A3761)&gt;1,"DUP","OK")</f>
        <v>OK</v>
      </c>
      <c r="O3761" s="23" t="str">
        <f t="shared" si="175"/>
        <v>ORD26004893</v>
      </c>
      <c r="P3761" s="23" t="str">
        <f t="shared" si="176"/>
        <v>Sep</v>
      </c>
      <c r="Q3761" s="23" t="str">
        <f>IF(F3761="CAPTURE",IF(COUNTIF(orders!$A:$A,O3761)&gt;0,"Yes","NO ORDER"),"")</f>
        <v>Yes</v>
      </c>
    </row>
    <row r="3762" spans="1:17" ht="15" customHeight="1" x14ac:dyDescent="0.3">
      <c r="A3762" s="23" t="s">
        <v>16748</v>
      </c>
      <c r="B3762" s="23"/>
      <c r="C3762" s="23" t="s">
        <v>16749</v>
      </c>
      <c r="D3762" s="23" t="str">
        <f t="shared" si="174"/>
        <v>ORD26004895</v>
      </c>
      <c r="E3762" s="38">
        <v>46285</v>
      </c>
      <c r="F3762" s="23" t="s">
        <v>12410</v>
      </c>
      <c r="G3762" s="23" t="s">
        <v>77</v>
      </c>
      <c r="H3762" s="24">
        <v>1998</v>
      </c>
      <c r="I3762" s="24">
        <v>37.96</v>
      </c>
      <c r="J3762" s="24">
        <v>6.83</v>
      </c>
      <c r="K3762" s="24">
        <v>1953.21</v>
      </c>
      <c r="L3762" s="38">
        <v>46287</v>
      </c>
      <c r="M3762" s="23" t="s">
        <v>216</v>
      </c>
      <c r="N3762" s="23" t="str">
        <f>IF(COUNTIF($A$2:A3762,A3762)&gt;1,"DUP","OK")</f>
        <v>OK</v>
      </c>
      <c r="O3762" s="23" t="str">
        <f t="shared" si="175"/>
        <v>ORD26004895</v>
      </c>
      <c r="P3762" s="23" t="str">
        <f t="shared" si="176"/>
        <v>Sep</v>
      </c>
      <c r="Q3762" s="23" t="str">
        <f>IF(F3762="CAPTURE",IF(COUNTIF(orders!$A:$A,O3762)&gt;0,"Yes","NO ORDER"),"")</f>
        <v>Yes</v>
      </c>
    </row>
    <row r="3763" spans="1:17" ht="15" customHeight="1" x14ac:dyDescent="0.3">
      <c r="A3763" s="23" t="s">
        <v>16750</v>
      </c>
      <c r="B3763" s="23"/>
      <c r="C3763" s="23" t="s">
        <v>10259</v>
      </c>
      <c r="D3763" s="23" t="str">
        <f t="shared" si="174"/>
        <v>ORD26004901</v>
      </c>
      <c r="E3763" s="38">
        <v>46285</v>
      </c>
      <c r="F3763" s="23" t="s">
        <v>12410</v>
      </c>
      <c r="G3763" s="23" t="s">
        <v>79</v>
      </c>
      <c r="H3763" s="24">
        <v>10498</v>
      </c>
      <c r="I3763" s="24">
        <v>167.97</v>
      </c>
      <c r="J3763" s="24">
        <v>30.23</v>
      </c>
      <c r="K3763" s="24">
        <v>10299.799999999999</v>
      </c>
      <c r="L3763" s="38">
        <v>46287</v>
      </c>
      <c r="M3763" s="23" t="s">
        <v>216</v>
      </c>
      <c r="N3763" s="23" t="str">
        <f>IF(COUNTIF($A$2:A3763,A3763)&gt;1,"DUP","OK")</f>
        <v>OK</v>
      </c>
      <c r="O3763" s="23" t="str">
        <f t="shared" si="175"/>
        <v>ORD26004901</v>
      </c>
      <c r="P3763" s="23" t="str">
        <f t="shared" si="176"/>
        <v>Sep</v>
      </c>
      <c r="Q3763" s="23" t="str">
        <f>IF(F3763="CAPTURE",IF(COUNTIF(orders!$A:$A,O3763)&gt;0,"Yes","NO ORDER"),"")</f>
        <v>Yes</v>
      </c>
    </row>
    <row r="3764" spans="1:17" ht="15" customHeight="1" x14ac:dyDescent="0.3">
      <c r="A3764" s="23" t="s">
        <v>16751</v>
      </c>
      <c r="B3764" s="23"/>
      <c r="C3764" s="23" t="s">
        <v>10399</v>
      </c>
      <c r="D3764" s="23" t="str">
        <f t="shared" si="174"/>
        <v>ORD26004973</v>
      </c>
      <c r="E3764" s="38">
        <v>46285</v>
      </c>
      <c r="F3764" s="23" t="s">
        <v>12410</v>
      </c>
      <c r="G3764" s="23" t="s">
        <v>79</v>
      </c>
      <c r="H3764" s="24">
        <v>3498</v>
      </c>
      <c r="I3764" s="24">
        <v>55.97</v>
      </c>
      <c r="J3764" s="24">
        <v>10.07</v>
      </c>
      <c r="K3764" s="24">
        <v>3431.96</v>
      </c>
      <c r="L3764" s="38">
        <v>46287</v>
      </c>
      <c r="M3764" s="23" t="s">
        <v>216</v>
      </c>
      <c r="N3764" s="23" t="str">
        <f>IF(COUNTIF($A$2:A3764,A3764)&gt;1,"DUP","OK")</f>
        <v>OK</v>
      </c>
      <c r="O3764" s="23" t="str">
        <f t="shared" si="175"/>
        <v>ORD26004973</v>
      </c>
      <c r="P3764" s="23" t="str">
        <f t="shared" si="176"/>
        <v>Sep</v>
      </c>
      <c r="Q3764" s="23" t="str">
        <f>IF(F3764="CAPTURE",IF(COUNTIF(orders!$A:$A,O3764)&gt;0,"Yes","NO ORDER"),"")</f>
        <v>Yes</v>
      </c>
    </row>
    <row r="3765" spans="1:17" ht="15" customHeight="1" x14ac:dyDescent="0.3">
      <c r="A3765" s="23" t="s">
        <v>16752</v>
      </c>
      <c r="B3765" s="23"/>
      <c r="C3765" s="23" t="s">
        <v>10421</v>
      </c>
      <c r="D3765" s="23" t="str">
        <f t="shared" si="174"/>
        <v>ORD26004984</v>
      </c>
      <c r="E3765" s="38">
        <v>46285</v>
      </c>
      <c r="F3765" s="23" t="s">
        <v>12410</v>
      </c>
      <c r="G3765" s="23" t="s">
        <v>79</v>
      </c>
      <c r="H3765" s="24">
        <v>6297</v>
      </c>
      <c r="I3765" s="24">
        <v>100.75</v>
      </c>
      <c r="J3765" s="24">
        <v>18.14</v>
      </c>
      <c r="K3765" s="24">
        <v>6178.11</v>
      </c>
      <c r="L3765" s="38">
        <v>46287</v>
      </c>
      <c r="M3765" s="23" t="s">
        <v>216</v>
      </c>
      <c r="N3765" s="23" t="str">
        <f>IF(COUNTIF($A$2:A3765,A3765)&gt;1,"DUP","OK")</f>
        <v>OK</v>
      </c>
      <c r="O3765" s="23" t="str">
        <f t="shared" si="175"/>
        <v>ORD26004984</v>
      </c>
      <c r="P3765" s="23" t="str">
        <f t="shared" si="176"/>
        <v>Sep</v>
      </c>
      <c r="Q3765" s="23" t="str">
        <f>IF(F3765="CAPTURE",IF(COUNTIF(orders!$A:$A,O3765)&gt;0,"Yes","NO ORDER"),"")</f>
        <v>Yes</v>
      </c>
    </row>
    <row r="3766" spans="1:17" ht="15" customHeight="1" x14ac:dyDescent="0.3">
      <c r="A3766" s="23" t="s">
        <v>16753</v>
      </c>
      <c r="B3766" s="23"/>
      <c r="C3766" s="23" t="s">
        <v>10443</v>
      </c>
      <c r="D3766" s="23" t="str">
        <f t="shared" si="174"/>
        <v>ORD26004995</v>
      </c>
      <c r="E3766" s="38">
        <v>46285</v>
      </c>
      <c r="F3766" s="23" t="s">
        <v>12410</v>
      </c>
      <c r="G3766" s="23" t="s">
        <v>81</v>
      </c>
      <c r="H3766" s="24">
        <v>3498</v>
      </c>
      <c r="I3766" s="24">
        <v>41.98</v>
      </c>
      <c r="J3766" s="24">
        <v>7.56</v>
      </c>
      <c r="K3766" s="24">
        <v>3448.46</v>
      </c>
      <c r="L3766" s="38">
        <v>46287</v>
      </c>
      <c r="M3766" s="23" t="s">
        <v>216</v>
      </c>
      <c r="N3766" s="23" t="str">
        <f>IF(COUNTIF($A$2:A3766,A3766)&gt;1,"DUP","OK")</f>
        <v>OK</v>
      </c>
      <c r="O3766" s="23" t="str">
        <f t="shared" si="175"/>
        <v>ORD26004995</v>
      </c>
      <c r="P3766" s="23" t="str">
        <f t="shared" si="176"/>
        <v>Sep</v>
      </c>
      <c r="Q3766" s="23" t="str">
        <f>IF(F3766="CAPTURE",IF(COUNTIF(orders!$A:$A,O3766)&gt;0,"Yes","NO ORDER"),"")</f>
        <v>Yes</v>
      </c>
    </row>
    <row r="3767" spans="1:17" ht="15" customHeight="1" x14ac:dyDescent="0.3">
      <c r="A3767" s="23" t="s">
        <v>16754</v>
      </c>
      <c r="B3767" s="23"/>
      <c r="C3767" s="23" t="s">
        <v>10459</v>
      </c>
      <c r="D3767" s="23" t="str">
        <f t="shared" si="174"/>
        <v>ORD26005003</v>
      </c>
      <c r="E3767" s="38">
        <v>46285</v>
      </c>
      <c r="F3767" s="23" t="s">
        <v>12410</v>
      </c>
      <c r="G3767" s="23" t="s">
        <v>79</v>
      </c>
      <c r="H3767" s="24">
        <v>4798</v>
      </c>
      <c r="I3767" s="24">
        <v>76.77</v>
      </c>
      <c r="J3767" s="24">
        <v>13.82</v>
      </c>
      <c r="K3767" s="24">
        <v>4707.41</v>
      </c>
      <c r="L3767" s="38">
        <v>46287</v>
      </c>
      <c r="M3767" s="23" t="s">
        <v>216</v>
      </c>
      <c r="N3767" s="23" t="str">
        <f>IF(COUNTIF($A$2:A3767,A3767)&gt;1,"DUP","OK")</f>
        <v>OK</v>
      </c>
      <c r="O3767" s="23" t="str">
        <f t="shared" si="175"/>
        <v>ORD26005003</v>
      </c>
      <c r="P3767" s="23" t="str">
        <f t="shared" si="176"/>
        <v>Sep</v>
      </c>
      <c r="Q3767" s="23" t="str">
        <f>IF(F3767="CAPTURE",IF(COUNTIF(orders!$A:$A,O3767)&gt;0,"Yes","NO ORDER"),"")</f>
        <v>Yes</v>
      </c>
    </row>
    <row r="3768" spans="1:17" ht="15" customHeight="1" x14ac:dyDescent="0.3">
      <c r="A3768" s="23" t="s">
        <v>16755</v>
      </c>
      <c r="B3768" s="23"/>
      <c r="C3768" s="23" t="s">
        <v>16756</v>
      </c>
      <c r="D3768" s="23" t="str">
        <f t="shared" si="174"/>
        <v>ORD26005010</v>
      </c>
      <c r="E3768" s="38">
        <v>46285</v>
      </c>
      <c r="F3768" s="23" t="s">
        <v>12410</v>
      </c>
      <c r="G3768" s="23" t="s">
        <v>79</v>
      </c>
      <c r="H3768" s="24">
        <v>1299</v>
      </c>
      <c r="I3768" s="24">
        <v>23.38</v>
      </c>
      <c r="J3768" s="24">
        <v>4.21</v>
      </c>
      <c r="K3768" s="24">
        <v>1271.4100000000001</v>
      </c>
      <c r="L3768" s="38">
        <v>46287</v>
      </c>
      <c r="M3768" s="23" t="s">
        <v>216</v>
      </c>
      <c r="N3768" s="23" t="str">
        <f>IF(COUNTIF($A$2:A3768,A3768)&gt;1,"DUP","OK")</f>
        <v>OK</v>
      </c>
      <c r="O3768" s="23" t="str">
        <f t="shared" si="175"/>
        <v>ORD26005010</v>
      </c>
      <c r="P3768" s="23" t="str">
        <f t="shared" si="176"/>
        <v>Sep</v>
      </c>
      <c r="Q3768" s="23" t="str">
        <f>IF(F3768="CAPTURE",IF(COUNTIF(orders!$A:$A,O3768)&gt;0,"Yes","NO ORDER"),"")</f>
        <v>Yes</v>
      </c>
    </row>
    <row r="3769" spans="1:17" ht="15" customHeight="1" x14ac:dyDescent="0.3">
      <c r="A3769" s="23" t="s">
        <v>16757</v>
      </c>
      <c r="B3769" s="23"/>
      <c r="C3769" s="23" t="s">
        <v>10490</v>
      </c>
      <c r="D3769" s="23" t="str">
        <f t="shared" si="174"/>
        <v>ORD26005020</v>
      </c>
      <c r="E3769" s="38">
        <v>46285</v>
      </c>
      <c r="F3769" s="23" t="s">
        <v>12410</v>
      </c>
      <c r="G3769" s="23" t="s">
        <v>75</v>
      </c>
      <c r="H3769" s="24">
        <v>2798</v>
      </c>
      <c r="I3769" s="24">
        <v>8.39</v>
      </c>
      <c r="J3769" s="24">
        <v>1.51</v>
      </c>
      <c r="K3769" s="24">
        <v>2788.1</v>
      </c>
      <c r="L3769" s="38">
        <v>46287</v>
      </c>
      <c r="M3769" s="23" t="s">
        <v>216</v>
      </c>
      <c r="N3769" s="23" t="str">
        <f>IF(COUNTIF($A$2:A3769,A3769)&gt;1,"DUP","OK")</f>
        <v>OK</v>
      </c>
      <c r="O3769" s="23" t="str">
        <f t="shared" si="175"/>
        <v>ORD26005020</v>
      </c>
      <c r="P3769" s="23" t="str">
        <f t="shared" si="176"/>
        <v>Sep</v>
      </c>
      <c r="Q3769" s="23" t="str">
        <f>IF(F3769="CAPTURE",IF(COUNTIF(orders!$A:$A,O3769)&gt;0,"Yes","NO ORDER"),"")</f>
        <v>Yes</v>
      </c>
    </row>
    <row r="3770" spans="1:17" ht="15" customHeight="1" x14ac:dyDescent="0.3">
      <c r="A3770" s="23" t="s">
        <v>16758</v>
      </c>
      <c r="B3770" s="23"/>
      <c r="C3770" s="23" t="s">
        <v>10534</v>
      </c>
      <c r="D3770" s="23" t="str">
        <f t="shared" si="174"/>
        <v>ORD26005044</v>
      </c>
      <c r="E3770" s="38">
        <v>46285</v>
      </c>
      <c r="F3770" s="23" t="s">
        <v>12410</v>
      </c>
      <c r="G3770" s="23" t="s">
        <v>75</v>
      </c>
      <c r="H3770" s="24">
        <v>799</v>
      </c>
      <c r="I3770" s="24">
        <v>0</v>
      </c>
      <c r="J3770" s="24">
        <v>0</v>
      </c>
      <c r="K3770" s="24">
        <v>799</v>
      </c>
      <c r="L3770" s="38">
        <v>46287</v>
      </c>
      <c r="M3770" s="23" t="s">
        <v>216</v>
      </c>
      <c r="N3770" s="23" t="str">
        <f>IF(COUNTIF($A$2:A3770,A3770)&gt;1,"DUP","OK")</f>
        <v>OK</v>
      </c>
      <c r="O3770" s="23" t="str">
        <f t="shared" si="175"/>
        <v>ORD26005044</v>
      </c>
      <c r="P3770" s="23" t="str">
        <f t="shared" si="176"/>
        <v>Sep</v>
      </c>
      <c r="Q3770" s="23" t="str">
        <f>IF(F3770="CAPTURE",IF(COUNTIF(orders!$A:$A,O3770)&gt;0,"Yes","NO ORDER"),"")</f>
        <v>Yes</v>
      </c>
    </row>
    <row r="3771" spans="1:17" ht="15" customHeight="1" x14ac:dyDescent="0.3">
      <c r="A3771" s="23" t="s">
        <v>16759</v>
      </c>
      <c r="B3771" s="23"/>
      <c r="C3771" s="23" t="s">
        <v>10564</v>
      </c>
      <c r="D3771" s="23" t="str">
        <f t="shared" si="174"/>
        <v>ORD26005059</v>
      </c>
      <c r="E3771" s="38">
        <v>46285</v>
      </c>
      <c r="F3771" s="23" t="s">
        <v>12410</v>
      </c>
      <c r="G3771" s="23" t="s">
        <v>75</v>
      </c>
      <c r="H3771" s="24">
        <v>999</v>
      </c>
      <c r="I3771" s="24">
        <v>0</v>
      </c>
      <c r="J3771" s="24">
        <v>0</v>
      </c>
      <c r="K3771" s="24">
        <v>999</v>
      </c>
      <c r="L3771" s="38">
        <v>46287</v>
      </c>
      <c r="M3771" s="23" t="s">
        <v>216</v>
      </c>
      <c r="N3771" s="23" t="str">
        <f>IF(COUNTIF($A$2:A3771,A3771)&gt;1,"DUP","OK")</f>
        <v>OK</v>
      </c>
      <c r="O3771" s="23" t="str">
        <f t="shared" si="175"/>
        <v>ORD26005059</v>
      </c>
      <c r="P3771" s="23" t="str">
        <f t="shared" si="176"/>
        <v>Sep</v>
      </c>
      <c r="Q3771" s="23" t="str">
        <f>IF(F3771="CAPTURE",IF(COUNTIF(orders!$A:$A,O3771)&gt;0,"Yes","NO ORDER"),"")</f>
        <v>Yes</v>
      </c>
    </row>
    <row r="3772" spans="1:17" ht="15" customHeight="1" x14ac:dyDescent="0.3">
      <c r="A3772" s="23" t="s">
        <v>16760</v>
      </c>
      <c r="B3772" s="23"/>
      <c r="C3772" s="23" t="s">
        <v>10588</v>
      </c>
      <c r="D3772" s="23" t="str">
        <f t="shared" si="174"/>
        <v>ORD26005071</v>
      </c>
      <c r="E3772" s="38">
        <v>46285</v>
      </c>
      <c r="F3772" s="23" t="s">
        <v>12410</v>
      </c>
      <c r="G3772" s="23" t="s">
        <v>79</v>
      </c>
      <c r="H3772" s="24">
        <v>349</v>
      </c>
      <c r="I3772" s="24">
        <v>6.28</v>
      </c>
      <c r="J3772" s="24">
        <v>1.1299999999999999</v>
      </c>
      <c r="K3772" s="24">
        <v>341.59</v>
      </c>
      <c r="L3772" s="38">
        <v>46287</v>
      </c>
      <c r="M3772" s="23" t="s">
        <v>216</v>
      </c>
      <c r="N3772" s="23" t="str">
        <f>IF(COUNTIF($A$2:A3772,A3772)&gt;1,"DUP","OK")</f>
        <v>OK</v>
      </c>
      <c r="O3772" s="23" t="str">
        <f t="shared" si="175"/>
        <v>ORD26005071</v>
      </c>
      <c r="P3772" s="23" t="str">
        <f t="shared" si="176"/>
        <v>Sep</v>
      </c>
      <c r="Q3772" s="23" t="str">
        <f>IF(F3772="CAPTURE",IF(COUNTIF(orders!$A:$A,O3772)&gt;0,"Yes","NO ORDER"),"")</f>
        <v>Yes</v>
      </c>
    </row>
    <row r="3773" spans="1:17" ht="15" customHeight="1" x14ac:dyDescent="0.3">
      <c r="A3773" s="23" t="s">
        <v>16761</v>
      </c>
      <c r="B3773" s="23"/>
      <c r="C3773" s="23" t="s">
        <v>16762</v>
      </c>
      <c r="D3773" s="23" t="str">
        <f t="shared" si="174"/>
        <v>ORD26005080</v>
      </c>
      <c r="E3773" s="38">
        <v>46285</v>
      </c>
      <c r="F3773" s="23" t="s">
        <v>12410</v>
      </c>
      <c r="G3773" s="23" t="s">
        <v>79</v>
      </c>
      <c r="H3773" s="24">
        <v>1799</v>
      </c>
      <c r="I3773" s="24">
        <v>32.380000000000003</v>
      </c>
      <c r="J3773" s="24">
        <v>5.83</v>
      </c>
      <c r="K3773" s="24">
        <v>1760.79</v>
      </c>
      <c r="L3773" s="38">
        <v>46287</v>
      </c>
      <c r="M3773" s="23" t="s">
        <v>216</v>
      </c>
      <c r="N3773" s="23" t="str">
        <f>IF(COUNTIF($A$2:A3773,A3773)&gt;1,"DUP","OK")</f>
        <v>OK</v>
      </c>
      <c r="O3773" s="23" t="str">
        <f t="shared" si="175"/>
        <v>ORD26005080</v>
      </c>
      <c r="P3773" s="23" t="str">
        <f t="shared" si="176"/>
        <v>Sep</v>
      </c>
      <c r="Q3773" s="23" t="str">
        <f>IF(F3773="CAPTURE",IF(COUNTIF(orders!$A:$A,O3773)&gt;0,"Yes","NO ORDER"),"")</f>
        <v>Yes</v>
      </c>
    </row>
    <row r="3774" spans="1:17" ht="15" customHeight="1" x14ac:dyDescent="0.3">
      <c r="A3774" s="23" t="s">
        <v>16763</v>
      </c>
      <c r="B3774" s="23"/>
      <c r="C3774" s="23" t="s">
        <v>10699</v>
      </c>
      <c r="D3774" s="23" t="str">
        <f t="shared" si="174"/>
        <v>ORD26005128</v>
      </c>
      <c r="E3774" s="38">
        <v>46285</v>
      </c>
      <c r="F3774" s="23" t="s">
        <v>12410</v>
      </c>
      <c r="G3774" s="23" t="s">
        <v>75</v>
      </c>
      <c r="H3774" s="24">
        <v>7999</v>
      </c>
      <c r="I3774" s="24">
        <v>24</v>
      </c>
      <c r="J3774" s="24">
        <v>4.32</v>
      </c>
      <c r="K3774" s="24">
        <v>7970.68</v>
      </c>
      <c r="L3774" s="38">
        <v>46287</v>
      </c>
      <c r="M3774" s="23" t="s">
        <v>216</v>
      </c>
      <c r="N3774" s="23" t="str">
        <f>IF(COUNTIF($A$2:A3774,A3774)&gt;1,"DUP","OK")</f>
        <v>OK</v>
      </c>
      <c r="O3774" s="23" t="str">
        <f t="shared" si="175"/>
        <v>ORD26005128</v>
      </c>
      <c r="P3774" s="23" t="str">
        <f t="shared" si="176"/>
        <v>Sep</v>
      </c>
      <c r="Q3774" s="23" t="str">
        <f>IF(F3774="CAPTURE",IF(COUNTIF(orders!$A:$A,O3774)&gt;0,"Yes","NO ORDER"),"")</f>
        <v>Yes</v>
      </c>
    </row>
    <row r="3775" spans="1:17" ht="15" customHeight="1" x14ac:dyDescent="0.3">
      <c r="A3775" s="23" t="s">
        <v>16764</v>
      </c>
      <c r="B3775" s="23"/>
      <c r="C3775" s="23" t="s">
        <v>10831</v>
      </c>
      <c r="D3775" s="23" t="str">
        <f t="shared" si="174"/>
        <v>ORD26005195</v>
      </c>
      <c r="E3775" s="38">
        <v>46285</v>
      </c>
      <c r="F3775" s="23" t="s">
        <v>12410</v>
      </c>
      <c r="G3775" s="23" t="s">
        <v>75</v>
      </c>
      <c r="H3775" s="24">
        <v>2597</v>
      </c>
      <c r="I3775" s="24">
        <v>7.79</v>
      </c>
      <c r="J3775" s="24">
        <v>1.4</v>
      </c>
      <c r="K3775" s="24">
        <v>2587.81</v>
      </c>
      <c r="L3775" s="38">
        <v>46287</v>
      </c>
      <c r="M3775" s="23" t="s">
        <v>216</v>
      </c>
      <c r="N3775" s="23" t="str">
        <f>IF(COUNTIF($A$2:A3775,A3775)&gt;1,"DUP","OK")</f>
        <v>OK</v>
      </c>
      <c r="O3775" s="23" t="str">
        <f t="shared" si="175"/>
        <v>ORD26005195</v>
      </c>
      <c r="P3775" s="23" t="str">
        <f t="shared" si="176"/>
        <v>Sep</v>
      </c>
      <c r="Q3775" s="23" t="str">
        <f>IF(F3775="CAPTURE",IF(COUNTIF(orders!$A:$A,O3775)&gt;0,"Yes","NO ORDER"),"")</f>
        <v>Yes</v>
      </c>
    </row>
    <row r="3776" spans="1:17" ht="15" customHeight="1" x14ac:dyDescent="0.3">
      <c r="A3776" s="23" t="s">
        <v>16765</v>
      </c>
      <c r="B3776" s="23"/>
      <c r="C3776" s="23" t="s">
        <v>10836</v>
      </c>
      <c r="D3776" s="23" t="str">
        <f t="shared" si="174"/>
        <v>ORD26005198</v>
      </c>
      <c r="E3776" s="38">
        <v>46285</v>
      </c>
      <c r="F3776" s="23" t="s">
        <v>12410</v>
      </c>
      <c r="G3776" s="23" t="s">
        <v>81</v>
      </c>
      <c r="H3776" s="24">
        <v>4498</v>
      </c>
      <c r="I3776" s="24">
        <v>53.98</v>
      </c>
      <c r="J3776" s="24">
        <v>9.7200000000000006</v>
      </c>
      <c r="K3776" s="24">
        <v>4434.3</v>
      </c>
      <c r="L3776" s="38">
        <v>46287</v>
      </c>
      <c r="M3776" s="23" t="s">
        <v>216</v>
      </c>
      <c r="N3776" s="23" t="str">
        <f>IF(COUNTIF($A$2:A3776,A3776)&gt;1,"DUP","OK")</f>
        <v>OK</v>
      </c>
      <c r="O3776" s="23" t="str">
        <f t="shared" si="175"/>
        <v>ORD26005198</v>
      </c>
      <c r="P3776" s="23" t="str">
        <f t="shared" si="176"/>
        <v>Sep</v>
      </c>
      <c r="Q3776" s="23" t="str">
        <f>IF(F3776="CAPTURE",IF(COUNTIF(orders!$A:$A,O3776)&gt;0,"Yes","NO ORDER"),"")</f>
        <v>Yes</v>
      </c>
    </row>
    <row r="3777" spans="1:17" ht="15" customHeight="1" x14ac:dyDescent="0.3">
      <c r="A3777" s="23" t="s">
        <v>16766</v>
      </c>
      <c r="B3777" s="23"/>
      <c r="C3777" s="23" t="s">
        <v>10856</v>
      </c>
      <c r="D3777" s="23" t="str">
        <f t="shared" si="174"/>
        <v>ORD26005208</v>
      </c>
      <c r="E3777" s="38">
        <v>46285</v>
      </c>
      <c r="F3777" s="23" t="s">
        <v>12410</v>
      </c>
      <c r="G3777" s="23" t="s">
        <v>79</v>
      </c>
      <c r="H3777" s="24">
        <v>2499</v>
      </c>
      <c r="I3777" s="24">
        <v>39.979999999999997</v>
      </c>
      <c r="J3777" s="24">
        <v>7.2</v>
      </c>
      <c r="K3777" s="24">
        <v>2451.8200000000002</v>
      </c>
      <c r="L3777" s="38">
        <v>46287</v>
      </c>
      <c r="M3777" s="23" t="s">
        <v>216</v>
      </c>
      <c r="N3777" s="23" t="str">
        <f>IF(COUNTIF($A$2:A3777,A3777)&gt;1,"DUP","OK")</f>
        <v>OK</v>
      </c>
      <c r="O3777" s="23" t="str">
        <f t="shared" si="175"/>
        <v>ORD26005208</v>
      </c>
      <c r="P3777" s="23" t="str">
        <f t="shared" si="176"/>
        <v>Sep</v>
      </c>
      <c r="Q3777" s="23" t="str">
        <f>IF(F3777="CAPTURE",IF(COUNTIF(orders!$A:$A,O3777)&gt;0,"Yes","NO ORDER"),"")</f>
        <v>Yes</v>
      </c>
    </row>
    <row r="3778" spans="1:17" ht="15" customHeight="1" x14ac:dyDescent="0.3">
      <c r="A3778" s="23" t="s">
        <v>16767</v>
      </c>
      <c r="B3778" s="23"/>
      <c r="C3778" s="23" t="s">
        <v>10897</v>
      </c>
      <c r="D3778" s="23" t="str">
        <f t="shared" ref="D3778:D3841" si="177">UPPER(SUBSTITUTE(TRIM(C3778),"-",""))</f>
        <v>ORD26005229</v>
      </c>
      <c r="E3778" s="38">
        <v>46285</v>
      </c>
      <c r="F3778" s="23" t="s">
        <v>12410</v>
      </c>
      <c r="G3778" s="23" t="s">
        <v>75</v>
      </c>
      <c r="H3778" s="24">
        <v>1799</v>
      </c>
      <c r="I3778" s="24">
        <v>0</v>
      </c>
      <c r="J3778" s="24">
        <v>0</v>
      </c>
      <c r="K3778" s="24">
        <v>1799</v>
      </c>
      <c r="L3778" s="38">
        <v>46287</v>
      </c>
      <c r="M3778" s="23" t="s">
        <v>216</v>
      </c>
      <c r="N3778" s="23" t="str">
        <f>IF(COUNTIF($A$2:A3778,A3778)&gt;1,"DUP","OK")</f>
        <v>OK</v>
      </c>
      <c r="O3778" s="23" t="str">
        <f t="shared" ref="O3778:O3841" si="178">IF(F3778="REFUND",INDEX($D:$D,MATCH(B3778,$A:$A,0)),D3778)</f>
        <v>ORD26005229</v>
      </c>
      <c r="P3778" s="23" t="str">
        <f t="shared" ref="P3778:P3841" si="179">IF(L3778&gt;DATE(2026,9,30),"Oct-Due","Sep")</f>
        <v>Sep</v>
      </c>
      <c r="Q3778" s="23" t="str">
        <f>IF(F3778="CAPTURE",IF(COUNTIF(orders!$A:$A,O3778)&gt;0,"Yes","NO ORDER"),"")</f>
        <v>Yes</v>
      </c>
    </row>
    <row r="3779" spans="1:17" ht="15" customHeight="1" x14ac:dyDescent="0.3">
      <c r="A3779" s="23" t="s">
        <v>16768</v>
      </c>
      <c r="B3779" s="23"/>
      <c r="C3779" s="23" t="s">
        <v>10929</v>
      </c>
      <c r="D3779" s="23" t="str">
        <f t="shared" si="177"/>
        <v>ORD26005246</v>
      </c>
      <c r="E3779" s="38">
        <v>46285</v>
      </c>
      <c r="F3779" s="23" t="s">
        <v>12410</v>
      </c>
      <c r="G3779" s="23" t="s">
        <v>79</v>
      </c>
      <c r="H3779" s="24">
        <v>2499</v>
      </c>
      <c r="I3779" s="24">
        <v>39.979999999999997</v>
      </c>
      <c r="J3779" s="24">
        <v>7.2</v>
      </c>
      <c r="K3779" s="24">
        <v>2451.8200000000002</v>
      </c>
      <c r="L3779" s="38">
        <v>46287</v>
      </c>
      <c r="M3779" s="23" t="s">
        <v>216</v>
      </c>
      <c r="N3779" s="23" t="str">
        <f>IF(COUNTIF($A$2:A3779,A3779)&gt;1,"DUP","OK")</f>
        <v>OK</v>
      </c>
      <c r="O3779" s="23" t="str">
        <f t="shared" si="178"/>
        <v>ORD26005246</v>
      </c>
      <c r="P3779" s="23" t="str">
        <f t="shared" si="179"/>
        <v>Sep</v>
      </c>
      <c r="Q3779" s="23" t="str">
        <f>IF(F3779="CAPTURE",IF(COUNTIF(orders!$A:$A,O3779)&gt;0,"Yes","NO ORDER"),"")</f>
        <v>Yes</v>
      </c>
    </row>
    <row r="3780" spans="1:17" ht="15" customHeight="1" x14ac:dyDescent="0.3">
      <c r="A3780" s="23" t="s">
        <v>16769</v>
      </c>
      <c r="B3780" s="23"/>
      <c r="C3780" s="23" t="s">
        <v>10966</v>
      </c>
      <c r="D3780" s="23" t="str">
        <f t="shared" si="177"/>
        <v>ORD26005264</v>
      </c>
      <c r="E3780" s="38">
        <v>46285</v>
      </c>
      <c r="F3780" s="23" t="s">
        <v>12410</v>
      </c>
      <c r="G3780" s="23" t="s">
        <v>79</v>
      </c>
      <c r="H3780" s="24">
        <v>4798</v>
      </c>
      <c r="I3780" s="24">
        <v>76.77</v>
      </c>
      <c r="J3780" s="24">
        <v>13.82</v>
      </c>
      <c r="K3780" s="24">
        <v>4707.41</v>
      </c>
      <c r="L3780" s="38">
        <v>46287</v>
      </c>
      <c r="M3780" s="23" t="s">
        <v>216</v>
      </c>
      <c r="N3780" s="23" t="str">
        <f>IF(COUNTIF($A$2:A3780,A3780)&gt;1,"DUP","OK")</f>
        <v>OK</v>
      </c>
      <c r="O3780" s="23" t="str">
        <f t="shared" si="178"/>
        <v>ORD26005264</v>
      </c>
      <c r="P3780" s="23" t="str">
        <f t="shared" si="179"/>
        <v>Sep</v>
      </c>
      <c r="Q3780" s="23" t="str">
        <f>IF(F3780="CAPTURE",IF(COUNTIF(orders!$A:$A,O3780)&gt;0,"Yes","NO ORDER"),"")</f>
        <v>Yes</v>
      </c>
    </row>
    <row r="3781" spans="1:17" ht="15" customHeight="1" x14ac:dyDescent="0.3">
      <c r="A3781" s="23" t="s">
        <v>16770</v>
      </c>
      <c r="B3781" s="23"/>
      <c r="C3781" s="23" t="s">
        <v>10981</v>
      </c>
      <c r="D3781" s="23" t="str">
        <f t="shared" si="177"/>
        <v>ORD26005272</v>
      </c>
      <c r="E3781" s="38">
        <v>46285</v>
      </c>
      <c r="F3781" s="23" t="s">
        <v>12410</v>
      </c>
      <c r="G3781" s="23" t="s">
        <v>75</v>
      </c>
      <c r="H3781" s="24">
        <v>299</v>
      </c>
      <c r="I3781" s="24">
        <v>0</v>
      </c>
      <c r="J3781" s="24">
        <v>0</v>
      </c>
      <c r="K3781" s="24">
        <v>299</v>
      </c>
      <c r="L3781" s="38">
        <v>46287</v>
      </c>
      <c r="M3781" s="23" t="s">
        <v>216</v>
      </c>
      <c r="N3781" s="23" t="str">
        <f>IF(COUNTIF($A$2:A3781,A3781)&gt;1,"DUP","OK")</f>
        <v>OK</v>
      </c>
      <c r="O3781" s="23" t="str">
        <f t="shared" si="178"/>
        <v>ORD26005272</v>
      </c>
      <c r="P3781" s="23" t="str">
        <f t="shared" si="179"/>
        <v>Sep</v>
      </c>
      <c r="Q3781" s="23" t="str">
        <f>IF(F3781="CAPTURE",IF(COUNTIF(orders!$A:$A,O3781)&gt;0,"Yes","NO ORDER"),"")</f>
        <v>Yes</v>
      </c>
    </row>
    <row r="3782" spans="1:17" ht="15" customHeight="1" x14ac:dyDescent="0.3">
      <c r="A3782" s="23" t="s">
        <v>16771</v>
      </c>
      <c r="B3782" s="23"/>
      <c r="C3782" s="23" t="s">
        <v>16772</v>
      </c>
      <c r="D3782" s="23" t="str">
        <f t="shared" si="177"/>
        <v>ORD26005283</v>
      </c>
      <c r="E3782" s="38">
        <v>46285</v>
      </c>
      <c r="F3782" s="23" t="s">
        <v>12410</v>
      </c>
      <c r="G3782" s="23" t="s">
        <v>75</v>
      </c>
      <c r="H3782" s="24">
        <v>1648</v>
      </c>
      <c r="I3782" s="24">
        <v>4.9400000000000004</v>
      </c>
      <c r="J3782" s="24">
        <v>0.89</v>
      </c>
      <c r="K3782" s="24">
        <v>1642.17</v>
      </c>
      <c r="L3782" s="38">
        <v>46287</v>
      </c>
      <c r="M3782" s="23" t="s">
        <v>216</v>
      </c>
      <c r="N3782" s="23" t="str">
        <f>IF(COUNTIF($A$2:A3782,A3782)&gt;1,"DUP","OK")</f>
        <v>OK</v>
      </c>
      <c r="O3782" s="23" t="str">
        <f t="shared" si="178"/>
        <v>ORD26005283</v>
      </c>
      <c r="P3782" s="23" t="str">
        <f t="shared" si="179"/>
        <v>Sep</v>
      </c>
      <c r="Q3782" s="23" t="str">
        <f>IF(F3782="CAPTURE",IF(COUNTIF(orders!$A:$A,O3782)&gt;0,"Yes","NO ORDER"),"")</f>
        <v>Yes</v>
      </c>
    </row>
    <row r="3783" spans="1:17" ht="15" customHeight="1" x14ac:dyDescent="0.3">
      <c r="A3783" s="23" t="s">
        <v>16773</v>
      </c>
      <c r="B3783" s="23"/>
      <c r="C3783" s="23" t="s">
        <v>11081</v>
      </c>
      <c r="D3783" s="23" t="str">
        <f t="shared" si="177"/>
        <v>ORD26005324</v>
      </c>
      <c r="E3783" s="38">
        <v>46285</v>
      </c>
      <c r="F3783" s="23" t="s">
        <v>12410</v>
      </c>
      <c r="G3783" s="23" t="s">
        <v>79</v>
      </c>
      <c r="H3783" s="24">
        <v>4498</v>
      </c>
      <c r="I3783" s="24">
        <v>71.97</v>
      </c>
      <c r="J3783" s="24">
        <v>12.95</v>
      </c>
      <c r="K3783" s="24">
        <v>4413.08</v>
      </c>
      <c r="L3783" s="38">
        <v>46287</v>
      </c>
      <c r="M3783" s="23" t="s">
        <v>216</v>
      </c>
      <c r="N3783" s="23" t="str">
        <f>IF(COUNTIF($A$2:A3783,A3783)&gt;1,"DUP","OK")</f>
        <v>OK</v>
      </c>
      <c r="O3783" s="23" t="str">
        <f t="shared" si="178"/>
        <v>ORD26005324</v>
      </c>
      <c r="P3783" s="23" t="str">
        <f t="shared" si="179"/>
        <v>Sep</v>
      </c>
      <c r="Q3783" s="23" t="str">
        <f>IF(F3783="CAPTURE",IF(COUNTIF(orders!$A:$A,O3783)&gt;0,"Yes","NO ORDER"),"")</f>
        <v>Yes</v>
      </c>
    </row>
    <row r="3784" spans="1:17" ht="15" customHeight="1" x14ac:dyDescent="0.3">
      <c r="A3784" s="23" t="s">
        <v>16774</v>
      </c>
      <c r="B3784" s="23"/>
      <c r="C3784" s="23" t="s">
        <v>16775</v>
      </c>
      <c r="D3784" s="23" t="str">
        <f t="shared" si="177"/>
        <v>ORD26005350</v>
      </c>
      <c r="E3784" s="38">
        <v>46285</v>
      </c>
      <c r="F3784" s="23" t="s">
        <v>12410</v>
      </c>
      <c r="G3784" s="23" t="s">
        <v>75</v>
      </c>
      <c r="H3784" s="24">
        <v>1998</v>
      </c>
      <c r="I3784" s="24">
        <v>0</v>
      </c>
      <c r="J3784" s="24">
        <v>0</v>
      </c>
      <c r="K3784" s="24">
        <v>1998</v>
      </c>
      <c r="L3784" s="38">
        <v>46287</v>
      </c>
      <c r="M3784" s="23" t="s">
        <v>216</v>
      </c>
      <c r="N3784" s="23" t="str">
        <f>IF(COUNTIF($A$2:A3784,A3784)&gt;1,"DUP","OK")</f>
        <v>OK</v>
      </c>
      <c r="O3784" s="23" t="str">
        <f t="shared" si="178"/>
        <v>ORD26005350</v>
      </c>
      <c r="P3784" s="23" t="str">
        <f t="shared" si="179"/>
        <v>Sep</v>
      </c>
      <c r="Q3784" s="23" t="str">
        <f>IF(F3784="CAPTURE",IF(COUNTIF(orders!$A:$A,O3784)&gt;0,"Yes","NO ORDER"),"")</f>
        <v>Yes</v>
      </c>
    </row>
    <row r="3785" spans="1:17" ht="15" customHeight="1" x14ac:dyDescent="0.3">
      <c r="A3785" s="23" t="s">
        <v>16776</v>
      </c>
      <c r="B3785" s="23"/>
      <c r="C3785" s="23" t="s">
        <v>16777</v>
      </c>
      <c r="D3785" s="23" t="str">
        <f t="shared" si="177"/>
        <v>ORD26005359</v>
      </c>
      <c r="E3785" s="38">
        <v>46285</v>
      </c>
      <c r="F3785" s="23" t="s">
        <v>12410</v>
      </c>
      <c r="G3785" s="23" t="s">
        <v>79</v>
      </c>
      <c r="H3785" s="24">
        <v>349</v>
      </c>
      <c r="I3785" s="24">
        <v>6.28</v>
      </c>
      <c r="J3785" s="24">
        <v>1.1299999999999999</v>
      </c>
      <c r="K3785" s="24">
        <v>341.59</v>
      </c>
      <c r="L3785" s="38">
        <v>46287</v>
      </c>
      <c r="M3785" s="23" t="s">
        <v>216</v>
      </c>
      <c r="N3785" s="23" t="str">
        <f>IF(COUNTIF($A$2:A3785,A3785)&gt;1,"DUP","OK")</f>
        <v>OK</v>
      </c>
      <c r="O3785" s="23" t="str">
        <f t="shared" si="178"/>
        <v>ORD26005359</v>
      </c>
      <c r="P3785" s="23" t="str">
        <f t="shared" si="179"/>
        <v>Sep</v>
      </c>
      <c r="Q3785" s="23" t="str">
        <f>IF(F3785="CAPTURE",IF(COUNTIF(orders!$A:$A,O3785)&gt;0,"Yes","NO ORDER"),"")</f>
        <v>Yes</v>
      </c>
    </row>
    <row r="3786" spans="1:17" ht="15" customHeight="1" x14ac:dyDescent="0.3">
      <c r="A3786" s="23" t="s">
        <v>16778</v>
      </c>
      <c r="B3786" s="23"/>
      <c r="C3786" s="23" t="s">
        <v>11205</v>
      </c>
      <c r="D3786" s="23" t="str">
        <f t="shared" si="177"/>
        <v>ORD26005386</v>
      </c>
      <c r="E3786" s="38">
        <v>46285</v>
      </c>
      <c r="F3786" s="23" t="s">
        <v>12410</v>
      </c>
      <c r="G3786" s="23" t="s">
        <v>79</v>
      </c>
      <c r="H3786" s="24">
        <v>4298</v>
      </c>
      <c r="I3786" s="24">
        <v>68.77</v>
      </c>
      <c r="J3786" s="24">
        <v>12.38</v>
      </c>
      <c r="K3786" s="24">
        <v>4216.8500000000004</v>
      </c>
      <c r="L3786" s="38">
        <v>46287</v>
      </c>
      <c r="M3786" s="23" t="s">
        <v>216</v>
      </c>
      <c r="N3786" s="23" t="str">
        <f>IF(COUNTIF($A$2:A3786,A3786)&gt;1,"DUP","OK")</f>
        <v>OK</v>
      </c>
      <c r="O3786" s="23" t="str">
        <f t="shared" si="178"/>
        <v>ORD26005386</v>
      </c>
      <c r="P3786" s="23" t="str">
        <f t="shared" si="179"/>
        <v>Sep</v>
      </c>
      <c r="Q3786" s="23" t="str">
        <f>IF(F3786="CAPTURE",IF(COUNTIF(orders!$A:$A,O3786)&gt;0,"Yes","NO ORDER"),"")</f>
        <v>Yes</v>
      </c>
    </row>
    <row r="3787" spans="1:17" ht="15" customHeight="1" x14ac:dyDescent="0.3">
      <c r="A3787" s="23" t="s">
        <v>16779</v>
      </c>
      <c r="B3787" s="23"/>
      <c r="C3787" s="23" t="s">
        <v>16780</v>
      </c>
      <c r="D3787" s="23" t="str">
        <f t="shared" si="177"/>
        <v>ORD26005422</v>
      </c>
      <c r="E3787" s="38">
        <v>46285</v>
      </c>
      <c r="F3787" s="23" t="s">
        <v>12410</v>
      </c>
      <c r="G3787" s="23" t="s">
        <v>81</v>
      </c>
      <c r="H3787" s="24">
        <v>7847</v>
      </c>
      <c r="I3787" s="24">
        <v>94.16</v>
      </c>
      <c r="J3787" s="24">
        <v>16.95</v>
      </c>
      <c r="K3787" s="24">
        <v>7735.89</v>
      </c>
      <c r="L3787" s="38">
        <v>46287</v>
      </c>
      <c r="M3787" s="23" t="s">
        <v>216</v>
      </c>
      <c r="N3787" s="23" t="str">
        <f>IF(COUNTIF($A$2:A3787,A3787)&gt;1,"DUP","OK")</f>
        <v>OK</v>
      </c>
      <c r="O3787" s="23" t="str">
        <f t="shared" si="178"/>
        <v>ORD26005422</v>
      </c>
      <c r="P3787" s="23" t="str">
        <f t="shared" si="179"/>
        <v>Sep</v>
      </c>
      <c r="Q3787" s="23" t="str">
        <f>IF(F3787="CAPTURE",IF(COUNTIF(orders!$A:$A,O3787)&gt;0,"Yes","NO ORDER"),"")</f>
        <v>Yes</v>
      </c>
    </row>
    <row r="3788" spans="1:17" ht="15" customHeight="1" x14ac:dyDescent="0.3">
      <c r="A3788" s="23" t="s">
        <v>16781</v>
      </c>
      <c r="B3788" s="23"/>
      <c r="C3788" s="23" t="s">
        <v>11433</v>
      </c>
      <c r="D3788" s="23" t="str">
        <f t="shared" si="177"/>
        <v>ORD26005503</v>
      </c>
      <c r="E3788" s="38">
        <v>46285</v>
      </c>
      <c r="F3788" s="23" t="s">
        <v>12410</v>
      </c>
      <c r="G3788" s="23" t="s">
        <v>75</v>
      </c>
      <c r="H3788" s="24">
        <v>3499</v>
      </c>
      <c r="I3788" s="24">
        <v>10.5</v>
      </c>
      <c r="J3788" s="24">
        <v>1.89</v>
      </c>
      <c r="K3788" s="24">
        <v>3486.61</v>
      </c>
      <c r="L3788" s="38">
        <v>46287</v>
      </c>
      <c r="M3788" s="23" t="s">
        <v>216</v>
      </c>
      <c r="N3788" s="23" t="str">
        <f>IF(COUNTIF($A$2:A3788,A3788)&gt;1,"DUP","OK")</f>
        <v>OK</v>
      </c>
      <c r="O3788" s="23" t="str">
        <f t="shared" si="178"/>
        <v>ORD26005503</v>
      </c>
      <c r="P3788" s="23" t="str">
        <f t="shared" si="179"/>
        <v>Sep</v>
      </c>
      <c r="Q3788" s="23" t="str">
        <f>IF(F3788="CAPTURE",IF(COUNTIF(orders!$A:$A,O3788)&gt;0,"Yes","NO ORDER"),"")</f>
        <v>Yes</v>
      </c>
    </row>
    <row r="3789" spans="1:17" ht="15" customHeight="1" x14ac:dyDescent="0.3">
      <c r="A3789" s="23" t="s">
        <v>16782</v>
      </c>
      <c r="B3789" s="23"/>
      <c r="C3789" s="23" t="s">
        <v>11445</v>
      </c>
      <c r="D3789" s="23" t="str">
        <f t="shared" si="177"/>
        <v>ORD26005509</v>
      </c>
      <c r="E3789" s="38">
        <v>46285</v>
      </c>
      <c r="F3789" s="23" t="s">
        <v>12410</v>
      </c>
      <c r="G3789" s="23" t="s">
        <v>75</v>
      </c>
      <c r="H3789" s="24">
        <v>499</v>
      </c>
      <c r="I3789" s="24">
        <v>0</v>
      </c>
      <c r="J3789" s="24">
        <v>0</v>
      </c>
      <c r="K3789" s="24">
        <v>499</v>
      </c>
      <c r="L3789" s="38">
        <v>46287</v>
      </c>
      <c r="M3789" s="23" t="s">
        <v>216</v>
      </c>
      <c r="N3789" s="23" t="str">
        <f>IF(COUNTIF($A$2:A3789,A3789)&gt;1,"DUP","OK")</f>
        <v>OK</v>
      </c>
      <c r="O3789" s="23" t="str">
        <f t="shared" si="178"/>
        <v>ORD26005509</v>
      </c>
      <c r="P3789" s="23" t="str">
        <f t="shared" si="179"/>
        <v>Sep</v>
      </c>
      <c r="Q3789" s="23" t="str">
        <f>IF(F3789="CAPTURE",IF(COUNTIF(orders!$A:$A,O3789)&gt;0,"Yes","NO ORDER"),"")</f>
        <v>Yes</v>
      </c>
    </row>
    <row r="3790" spans="1:17" ht="15" customHeight="1" x14ac:dyDescent="0.3">
      <c r="A3790" s="23" t="s">
        <v>16783</v>
      </c>
      <c r="B3790" s="23"/>
      <c r="C3790" s="23" t="s">
        <v>16784</v>
      </c>
      <c r="D3790" s="23" t="str">
        <f t="shared" si="177"/>
        <v>ORD26005554</v>
      </c>
      <c r="E3790" s="38">
        <v>46285</v>
      </c>
      <c r="F3790" s="23" t="s">
        <v>12410</v>
      </c>
      <c r="G3790" s="23" t="s">
        <v>79</v>
      </c>
      <c r="H3790" s="24">
        <v>1299</v>
      </c>
      <c r="I3790" s="24">
        <v>23.38</v>
      </c>
      <c r="J3790" s="24">
        <v>4.21</v>
      </c>
      <c r="K3790" s="24">
        <v>1271.4100000000001</v>
      </c>
      <c r="L3790" s="38">
        <v>46287</v>
      </c>
      <c r="M3790" s="23" t="s">
        <v>216</v>
      </c>
      <c r="N3790" s="23" t="str">
        <f>IF(COUNTIF($A$2:A3790,A3790)&gt;1,"DUP","OK")</f>
        <v>OK</v>
      </c>
      <c r="O3790" s="23" t="str">
        <f t="shared" si="178"/>
        <v>ORD26005554</v>
      </c>
      <c r="P3790" s="23" t="str">
        <f t="shared" si="179"/>
        <v>Sep</v>
      </c>
      <c r="Q3790" s="23" t="str">
        <f>IF(F3790="CAPTURE",IF(COUNTIF(orders!$A:$A,O3790)&gt;0,"Yes","NO ORDER"),"")</f>
        <v>Yes</v>
      </c>
    </row>
    <row r="3791" spans="1:17" ht="15" customHeight="1" x14ac:dyDescent="0.3">
      <c r="A3791" s="23" t="s">
        <v>16785</v>
      </c>
      <c r="B3791" s="23"/>
      <c r="C3791" s="23" t="s">
        <v>11555</v>
      </c>
      <c r="D3791" s="23" t="str">
        <f t="shared" si="177"/>
        <v>ORD26005565</v>
      </c>
      <c r="E3791" s="38">
        <v>46285</v>
      </c>
      <c r="F3791" s="23" t="s">
        <v>12410</v>
      </c>
      <c r="G3791" s="23" t="s">
        <v>75</v>
      </c>
      <c r="H3791" s="24">
        <v>5348</v>
      </c>
      <c r="I3791" s="24">
        <v>16.04</v>
      </c>
      <c r="J3791" s="24">
        <v>2.89</v>
      </c>
      <c r="K3791" s="24">
        <v>5329.07</v>
      </c>
      <c r="L3791" s="38">
        <v>46287</v>
      </c>
      <c r="M3791" s="23" t="s">
        <v>216</v>
      </c>
      <c r="N3791" s="23" t="str">
        <f>IF(COUNTIF($A$2:A3791,A3791)&gt;1,"DUP","OK")</f>
        <v>OK</v>
      </c>
      <c r="O3791" s="23" t="str">
        <f t="shared" si="178"/>
        <v>ORD26005565</v>
      </c>
      <c r="P3791" s="23" t="str">
        <f t="shared" si="179"/>
        <v>Sep</v>
      </c>
      <c r="Q3791" s="23" t="str">
        <f>IF(F3791="CAPTURE",IF(COUNTIF(orders!$A:$A,O3791)&gt;0,"Yes","NO ORDER"),"")</f>
        <v>Yes</v>
      </c>
    </row>
    <row r="3792" spans="1:17" ht="15" customHeight="1" x14ac:dyDescent="0.3">
      <c r="A3792" s="23" t="s">
        <v>16786</v>
      </c>
      <c r="B3792" s="23"/>
      <c r="C3792" s="23" t="s">
        <v>16787</v>
      </c>
      <c r="D3792" s="23" t="str">
        <f t="shared" si="177"/>
        <v>ORD26005566</v>
      </c>
      <c r="E3792" s="38">
        <v>46285</v>
      </c>
      <c r="F3792" s="23" t="s">
        <v>12410</v>
      </c>
      <c r="G3792" s="23" t="s">
        <v>77</v>
      </c>
      <c r="H3792" s="24">
        <v>299</v>
      </c>
      <c r="I3792" s="24">
        <v>5.68</v>
      </c>
      <c r="J3792" s="24">
        <v>1.02</v>
      </c>
      <c r="K3792" s="24">
        <v>292.3</v>
      </c>
      <c r="L3792" s="38">
        <v>46287</v>
      </c>
      <c r="M3792" s="23" t="s">
        <v>216</v>
      </c>
      <c r="N3792" s="23" t="str">
        <f>IF(COUNTIF($A$2:A3792,A3792)&gt;1,"DUP","OK")</f>
        <v>OK</v>
      </c>
      <c r="O3792" s="23" t="str">
        <f t="shared" si="178"/>
        <v>ORD26005566</v>
      </c>
      <c r="P3792" s="23" t="str">
        <f t="shared" si="179"/>
        <v>Sep</v>
      </c>
      <c r="Q3792" s="23" t="str">
        <f>IF(F3792="CAPTURE",IF(COUNTIF(orders!$A:$A,O3792)&gt;0,"Yes","NO ORDER"),"")</f>
        <v>Yes</v>
      </c>
    </row>
    <row r="3793" spans="1:17" ht="15" customHeight="1" x14ac:dyDescent="0.3">
      <c r="A3793" s="23" t="s">
        <v>16788</v>
      </c>
      <c r="B3793" s="23"/>
      <c r="C3793" s="23" t="s">
        <v>11598</v>
      </c>
      <c r="D3793" s="23" t="str">
        <f t="shared" si="177"/>
        <v>ORD26005588</v>
      </c>
      <c r="E3793" s="38">
        <v>46285</v>
      </c>
      <c r="F3793" s="23" t="s">
        <v>12410</v>
      </c>
      <c r="G3793" s="23" t="s">
        <v>79</v>
      </c>
      <c r="H3793" s="24">
        <v>999</v>
      </c>
      <c r="I3793" s="24">
        <v>17.98</v>
      </c>
      <c r="J3793" s="24">
        <v>3.24</v>
      </c>
      <c r="K3793" s="24">
        <v>977.78</v>
      </c>
      <c r="L3793" s="38">
        <v>46287</v>
      </c>
      <c r="M3793" s="23" t="s">
        <v>216</v>
      </c>
      <c r="N3793" s="23" t="str">
        <f>IF(COUNTIF($A$2:A3793,A3793)&gt;1,"DUP","OK")</f>
        <v>OK</v>
      </c>
      <c r="O3793" s="23" t="str">
        <f t="shared" si="178"/>
        <v>ORD26005588</v>
      </c>
      <c r="P3793" s="23" t="str">
        <f t="shared" si="179"/>
        <v>Sep</v>
      </c>
      <c r="Q3793" s="23" t="str">
        <f>IF(F3793="CAPTURE",IF(COUNTIF(orders!$A:$A,O3793)&gt;0,"Yes","NO ORDER"),"")</f>
        <v>Yes</v>
      </c>
    </row>
    <row r="3794" spans="1:17" ht="15" customHeight="1" x14ac:dyDescent="0.3">
      <c r="A3794" s="23" t="s">
        <v>16789</v>
      </c>
      <c r="B3794" s="23"/>
      <c r="C3794" s="23" t="s">
        <v>11601</v>
      </c>
      <c r="D3794" s="23" t="str">
        <f t="shared" si="177"/>
        <v>ORD26005590</v>
      </c>
      <c r="E3794" s="38">
        <v>46285</v>
      </c>
      <c r="F3794" s="23" t="s">
        <v>12410</v>
      </c>
      <c r="G3794" s="23" t="s">
        <v>75</v>
      </c>
      <c r="H3794" s="24">
        <v>3348</v>
      </c>
      <c r="I3794" s="24">
        <v>10.039999999999999</v>
      </c>
      <c r="J3794" s="24">
        <v>1.81</v>
      </c>
      <c r="K3794" s="24">
        <v>3336.15</v>
      </c>
      <c r="L3794" s="38">
        <v>46287</v>
      </c>
      <c r="M3794" s="23" t="s">
        <v>216</v>
      </c>
      <c r="N3794" s="23" t="str">
        <f>IF(COUNTIF($A$2:A3794,A3794)&gt;1,"DUP","OK")</f>
        <v>OK</v>
      </c>
      <c r="O3794" s="23" t="str">
        <f t="shared" si="178"/>
        <v>ORD26005590</v>
      </c>
      <c r="P3794" s="23" t="str">
        <f t="shared" si="179"/>
        <v>Sep</v>
      </c>
      <c r="Q3794" s="23" t="str">
        <f>IF(F3794="CAPTURE",IF(COUNTIF(orders!$A:$A,O3794)&gt;0,"Yes","NO ORDER"),"")</f>
        <v>Yes</v>
      </c>
    </row>
    <row r="3795" spans="1:17" ht="15" customHeight="1" x14ac:dyDescent="0.3">
      <c r="A3795" s="23" t="s">
        <v>16790</v>
      </c>
      <c r="B3795" s="23"/>
      <c r="C3795" s="23" t="s">
        <v>16791</v>
      </c>
      <c r="D3795" s="23" t="str">
        <f t="shared" si="177"/>
        <v>ORD26005639</v>
      </c>
      <c r="E3795" s="38">
        <v>46285</v>
      </c>
      <c r="F3795" s="23" t="s">
        <v>12410</v>
      </c>
      <c r="G3795" s="23" t="s">
        <v>81</v>
      </c>
      <c r="H3795" s="24">
        <v>2499</v>
      </c>
      <c r="I3795" s="24">
        <v>29.99</v>
      </c>
      <c r="J3795" s="24">
        <v>5.4</v>
      </c>
      <c r="K3795" s="24">
        <v>2463.61</v>
      </c>
      <c r="L3795" s="38">
        <v>46287</v>
      </c>
      <c r="M3795" s="23" t="s">
        <v>216</v>
      </c>
      <c r="N3795" s="23" t="str">
        <f>IF(COUNTIF($A$2:A3795,A3795)&gt;1,"DUP","OK")</f>
        <v>OK</v>
      </c>
      <c r="O3795" s="23" t="str">
        <f t="shared" si="178"/>
        <v>ORD26005639</v>
      </c>
      <c r="P3795" s="23" t="str">
        <f t="shared" si="179"/>
        <v>Sep</v>
      </c>
      <c r="Q3795" s="23" t="str">
        <f>IF(F3795="CAPTURE",IF(COUNTIF(orders!$A:$A,O3795)&gt;0,"Yes","NO ORDER"),"")</f>
        <v>Yes</v>
      </c>
    </row>
    <row r="3796" spans="1:17" ht="15" customHeight="1" x14ac:dyDescent="0.3">
      <c r="A3796" s="23" t="s">
        <v>16792</v>
      </c>
      <c r="B3796" s="23"/>
      <c r="C3796" s="23" t="s">
        <v>11702</v>
      </c>
      <c r="D3796" s="23" t="str">
        <f t="shared" si="177"/>
        <v>ORD26005640</v>
      </c>
      <c r="E3796" s="38">
        <v>46285</v>
      </c>
      <c r="F3796" s="23" t="s">
        <v>12410</v>
      </c>
      <c r="G3796" s="23" t="s">
        <v>75</v>
      </c>
      <c r="H3796" s="24">
        <v>2999</v>
      </c>
      <c r="I3796" s="24">
        <v>9</v>
      </c>
      <c r="J3796" s="24">
        <v>1.62</v>
      </c>
      <c r="K3796" s="24">
        <v>2988.38</v>
      </c>
      <c r="L3796" s="38">
        <v>46287</v>
      </c>
      <c r="M3796" s="23" t="s">
        <v>216</v>
      </c>
      <c r="N3796" s="23" t="str">
        <f>IF(COUNTIF($A$2:A3796,A3796)&gt;1,"DUP","OK")</f>
        <v>OK</v>
      </c>
      <c r="O3796" s="23" t="str">
        <f t="shared" si="178"/>
        <v>ORD26005640</v>
      </c>
      <c r="P3796" s="23" t="str">
        <f t="shared" si="179"/>
        <v>Sep</v>
      </c>
      <c r="Q3796" s="23" t="str">
        <f>IF(F3796="CAPTURE",IF(COUNTIF(orders!$A:$A,O3796)&gt;0,"Yes","NO ORDER"),"")</f>
        <v>Yes</v>
      </c>
    </row>
    <row r="3797" spans="1:17" ht="15" customHeight="1" x14ac:dyDescent="0.3">
      <c r="A3797" s="23" t="s">
        <v>16793</v>
      </c>
      <c r="B3797" s="23"/>
      <c r="C3797" s="23" t="s">
        <v>11722</v>
      </c>
      <c r="D3797" s="23" t="str">
        <f t="shared" si="177"/>
        <v>ORD26005650</v>
      </c>
      <c r="E3797" s="38">
        <v>46285</v>
      </c>
      <c r="F3797" s="23" t="s">
        <v>12410</v>
      </c>
      <c r="G3797" s="23" t="s">
        <v>79</v>
      </c>
      <c r="H3797" s="24">
        <v>2298</v>
      </c>
      <c r="I3797" s="24">
        <v>36.770000000000003</v>
      </c>
      <c r="J3797" s="24">
        <v>6.62</v>
      </c>
      <c r="K3797" s="24">
        <v>2254.61</v>
      </c>
      <c r="L3797" s="38">
        <v>46287</v>
      </c>
      <c r="M3797" s="23" t="s">
        <v>216</v>
      </c>
      <c r="N3797" s="23" t="str">
        <f>IF(COUNTIF($A$2:A3797,A3797)&gt;1,"DUP","OK")</f>
        <v>OK</v>
      </c>
      <c r="O3797" s="23" t="str">
        <f t="shared" si="178"/>
        <v>ORD26005650</v>
      </c>
      <c r="P3797" s="23" t="str">
        <f t="shared" si="179"/>
        <v>Sep</v>
      </c>
      <c r="Q3797" s="23" t="str">
        <f>IF(F3797="CAPTURE",IF(COUNTIF(orders!$A:$A,O3797)&gt;0,"Yes","NO ORDER"),"")</f>
        <v>Yes</v>
      </c>
    </row>
    <row r="3798" spans="1:17" ht="15" customHeight="1" x14ac:dyDescent="0.3">
      <c r="A3798" s="23" t="s">
        <v>16794</v>
      </c>
      <c r="B3798" s="23"/>
      <c r="C3798" s="23" t="s">
        <v>11825</v>
      </c>
      <c r="D3798" s="23" t="str">
        <f t="shared" si="177"/>
        <v>ORD26005704</v>
      </c>
      <c r="E3798" s="38">
        <v>46285</v>
      </c>
      <c r="F3798" s="23" t="s">
        <v>12410</v>
      </c>
      <c r="G3798" s="23" t="s">
        <v>81</v>
      </c>
      <c r="H3798" s="24">
        <v>3798</v>
      </c>
      <c r="I3798" s="24">
        <v>45.58</v>
      </c>
      <c r="J3798" s="24">
        <v>8.1999999999999993</v>
      </c>
      <c r="K3798" s="24">
        <v>3744.22</v>
      </c>
      <c r="L3798" s="38">
        <v>46287</v>
      </c>
      <c r="M3798" s="23" t="s">
        <v>216</v>
      </c>
      <c r="N3798" s="23" t="str">
        <f>IF(COUNTIF($A$2:A3798,A3798)&gt;1,"DUP","OK")</f>
        <v>OK</v>
      </c>
      <c r="O3798" s="23" t="str">
        <f t="shared" si="178"/>
        <v>ORD26005704</v>
      </c>
      <c r="P3798" s="23" t="str">
        <f t="shared" si="179"/>
        <v>Sep</v>
      </c>
      <c r="Q3798" s="23" t="str">
        <f>IF(F3798="CAPTURE",IF(COUNTIF(orders!$A:$A,O3798)&gt;0,"Yes","NO ORDER"),"")</f>
        <v>Yes</v>
      </c>
    </row>
    <row r="3799" spans="1:17" ht="15" customHeight="1" x14ac:dyDescent="0.3">
      <c r="A3799" s="23" t="s">
        <v>16795</v>
      </c>
      <c r="B3799" s="23"/>
      <c r="C3799" s="23" t="s">
        <v>11927</v>
      </c>
      <c r="D3799" s="23" t="str">
        <f t="shared" si="177"/>
        <v>ORD26005756</v>
      </c>
      <c r="E3799" s="38">
        <v>46285</v>
      </c>
      <c r="F3799" s="23" t="s">
        <v>12410</v>
      </c>
      <c r="G3799" s="23" t="s">
        <v>77</v>
      </c>
      <c r="H3799" s="24">
        <v>499</v>
      </c>
      <c r="I3799" s="24">
        <v>9.48</v>
      </c>
      <c r="J3799" s="24">
        <v>1.71</v>
      </c>
      <c r="K3799" s="24">
        <v>487.81</v>
      </c>
      <c r="L3799" s="38">
        <v>46287</v>
      </c>
      <c r="M3799" s="23" t="s">
        <v>216</v>
      </c>
      <c r="N3799" s="23" t="str">
        <f>IF(COUNTIF($A$2:A3799,A3799)&gt;1,"DUP","OK")</f>
        <v>OK</v>
      </c>
      <c r="O3799" s="23" t="str">
        <f t="shared" si="178"/>
        <v>ORD26005756</v>
      </c>
      <c r="P3799" s="23" t="str">
        <f t="shared" si="179"/>
        <v>Sep</v>
      </c>
      <c r="Q3799" s="23" t="str">
        <f>IF(F3799="CAPTURE",IF(COUNTIF(orders!$A:$A,O3799)&gt;0,"Yes","NO ORDER"),"")</f>
        <v>Yes</v>
      </c>
    </row>
    <row r="3800" spans="1:17" ht="15" customHeight="1" x14ac:dyDescent="0.3">
      <c r="A3800" s="23" t="s">
        <v>16796</v>
      </c>
      <c r="B3800" s="23"/>
      <c r="C3800" s="23" t="s">
        <v>12111</v>
      </c>
      <c r="D3800" s="23" t="str">
        <f t="shared" si="177"/>
        <v>ORD26005852</v>
      </c>
      <c r="E3800" s="38">
        <v>46285</v>
      </c>
      <c r="F3800" s="23" t="s">
        <v>12410</v>
      </c>
      <c r="G3800" s="23" t="s">
        <v>79</v>
      </c>
      <c r="H3800" s="24">
        <v>2999</v>
      </c>
      <c r="I3800" s="24">
        <v>47.98</v>
      </c>
      <c r="J3800" s="24">
        <v>8.64</v>
      </c>
      <c r="K3800" s="24">
        <v>2942.38</v>
      </c>
      <c r="L3800" s="38">
        <v>46287</v>
      </c>
      <c r="M3800" s="23" t="s">
        <v>216</v>
      </c>
      <c r="N3800" s="23" t="str">
        <f>IF(COUNTIF($A$2:A3800,A3800)&gt;1,"DUP","OK")</f>
        <v>OK</v>
      </c>
      <c r="O3800" s="23" t="str">
        <f t="shared" si="178"/>
        <v>ORD26005852</v>
      </c>
      <c r="P3800" s="23" t="str">
        <f t="shared" si="179"/>
        <v>Sep</v>
      </c>
      <c r="Q3800" s="23" t="str">
        <f>IF(F3800="CAPTURE",IF(COUNTIF(orders!$A:$A,O3800)&gt;0,"Yes","NO ORDER"),"")</f>
        <v>Yes</v>
      </c>
    </row>
    <row r="3801" spans="1:17" ht="15" customHeight="1" x14ac:dyDescent="0.3">
      <c r="A3801" s="23" t="s">
        <v>16797</v>
      </c>
      <c r="B3801" s="23"/>
      <c r="C3801" s="23" t="s">
        <v>12122</v>
      </c>
      <c r="D3801" s="23" t="str">
        <f t="shared" si="177"/>
        <v>ORD26005858</v>
      </c>
      <c r="E3801" s="38">
        <v>46285</v>
      </c>
      <c r="F3801" s="23" t="s">
        <v>12410</v>
      </c>
      <c r="G3801" s="23" t="s">
        <v>75</v>
      </c>
      <c r="H3801" s="24">
        <v>2999</v>
      </c>
      <c r="I3801" s="24">
        <v>9</v>
      </c>
      <c r="J3801" s="24">
        <v>1.62</v>
      </c>
      <c r="K3801" s="24">
        <v>2988.38</v>
      </c>
      <c r="L3801" s="38">
        <v>46287</v>
      </c>
      <c r="M3801" s="23" t="s">
        <v>216</v>
      </c>
      <c r="N3801" s="23" t="str">
        <f>IF(COUNTIF($A$2:A3801,A3801)&gt;1,"DUP","OK")</f>
        <v>OK</v>
      </c>
      <c r="O3801" s="23" t="str">
        <f t="shared" si="178"/>
        <v>ORD26005858</v>
      </c>
      <c r="P3801" s="23" t="str">
        <f t="shared" si="179"/>
        <v>Sep</v>
      </c>
      <c r="Q3801" s="23" t="str">
        <f>IF(F3801="CAPTURE",IF(COUNTIF(orders!$A:$A,O3801)&gt;0,"Yes","NO ORDER"),"")</f>
        <v>Yes</v>
      </c>
    </row>
    <row r="3802" spans="1:17" ht="15" customHeight="1" x14ac:dyDescent="0.3">
      <c r="A3802" s="23" t="s">
        <v>16798</v>
      </c>
      <c r="B3802" s="23"/>
      <c r="C3802" s="23" t="s">
        <v>12135</v>
      </c>
      <c r="D3802" s="23" t="str">
        <f t="shared" si="177"/>
        <v>ORD26005865</v>
      </c>
      <c r="E3802" s="38">
        <v>46285</v>
      </c>
      <c r="F3802" s="23" t="s">
        <v>12410</v>
      </c>
      <c r="G3802" s="23" t="s">
        <v>75</v>
      </c>
      <c r="H3802" s="24">
        <v>798</v>
      </c>
      <c r="I3802" s="24">
        <v>0</v>
      </c>
      <c r="J3802" s="24">
        <v>0</v>
      </c>
      <c r="K3802" s="24">
        <v>798</v>
      </c>
      <c r="L3802" s="38">
        <v>46287</v>
      </c>
      <c r="M3802" s="23" t="s">
        <v>216</v>
      </c>
      <c r="N3802" s="23" t="str">
        <f>IF(COUNTIF($A$2:A3802,A3802)&gt;1,"DUP","OK")</f>
        <v>OK</v>
      </c>
      <c r="O3802" s="23" t="str">
        <f t="shared" si="178"/>
        <v>ORD26005865</v>
      </c>
      <c r="P3802" s="23" t="str">
        <f t="shared" si="179"/>
        <v>Sep</v>
      </c>
      <c r="Q3802" s="23" t="str">
        <f>IF(F3802="CAPTURE",IF(COUNTIF(orders!$A:$A,O3802)&gt;0,"Yes","NO ORDER"),"")</f>
        <v>Yes</v>
      </c>
    </row>
    <row r="3803" spans="1:17" ht="15" customHeight="1" x14ac:dyDescent="0.3">
      <c r="A3803" s="23" t="s">
        <v>16799</v>
      </c>
      <c r="B3803" s="23"/>
      <c r="C3803" s="23" t="s">
        <v>12159</v>
      </c>
      <c r="D3803" s="23" t="str">
        <f t="shared" si="177"/>
        <v>ORD26005878</v>
      </c>
      <c r="E3803" s="38">
        <v>46285</v>
      </c>
      <c r="F3803" s="23" t="s">
        <v>12410</v>
      </c>
      <c r="G3803" s="23" t="s">
        <v>75</v>
      </c>
      <c r="H3803" s="24">
        <v>2499</v>
      </c>
      <c r="I3803" s="24">
        <v>7.5</v>
      </c>
      <c r="J3803" s="24">
        <v>1.35</v>
      </c>
      <c r="K3803" s="24">
        <v>2490.15</v>
      </c>
      <c r="L3803" s="38">
        <v>46287</v>
      </c>
      <c r="M3803" s="23" t="s">
        <v>216</v>
      </c>
      <c r="N3803" s="23" t="str">
        <f>IF(COUNTIF($A$2:A3803,A3803)&gt;1,"DUP","OK")</f>
        <v>OK</v>
      </c>
      <c r="O3803" s="23" t="str">
        <f t="shared" si="178"/>
        <v>ORD26005878</v>
      </c>
      <c r="P3803" s="23" t="str">
        <f t="shared" si="179"/>
        <v>Sep</v>
      </c>
      <c r="Q3803" s="23" t="str">
        <f>IF(F3803="CAPTURE",IF(COUNTIF(orders!$A:$A,O3803)&gt;0,"Yes","NO ORDER"),"")</f>
        <v>Yes</v>
      </c>
    </row>
    <row r="3804" spans="1:17" ht="15" customHeight="1" x14ac:dyDescent="0.3">
      <c r="A3804" s="23" t="s">
        <v>16800</v>
      </c>
      <c r="B3804" s="23"/>
      <c r="C3804" s="23" t="s">
        <v>12280</v>
      </c>
      <c r="D3804" s="23" t="str">
        <f t="shared" si="177"/>
        <v>ORD26005941</v>
      </c>
      <c r="E3804" s="38">
        <v>46285</v>
      </c>
      <c r="F3804" s="23" t="s">
        <v>12410</v>
      </c>
      <c r="G3804" s="23" t="s">
        <v>79</v>
      </c>
      <c r="H3804" s="24">
        <v>349</v>
      </c>
      <c r="I3804" s="24">
        <v>6.28</v>
      </c>
      <c r="J3804" s="24">
        <v>1.1299999999999999</v>
      </c>
      <c r="K3804" s="24">
        <v>341.59</v>
      </c>
      <c r="L3804" s="38">
        <v>46287</v>
      </c>
      <c r="M3804" s="23" t="s">
        <v>216</v>
      </c>
      <c r="N3804" s="23" t="str">
        <f>IF(COUNTIF($A$2:A3804,A3804)&gt;1,"DUP","OK")</f>
        <v>OK</v>
      </c>
      <c r="O3804" s="23" t="str">
        <f t="shared" si="178"/>
        <v>ORD26005941</v>
      </c>
      <c r="P3804" s="23" t="str">
        <f t="shared" si="179"/>
        <v>Sep</v>
      </c>
      <c r="Q3804" s="23" t="str">
        <f>IF(F3804="CAPTURE",IF(COUNTIF(orders!$A:$A,O3804)&gt;0,"Yes","NO ORDER"),"")</f>
        <v>Yes</v>
      </c>
    </row>
    <row r="3805" spans="1:17" ht="15" customHeight="1" x14ac:dyDescent="0.3">
      <c r="A3805" s="23" t="s">
        <v>16801</v>
      </c>
      <c r="B3805" s="23"/>
      <c r="C3805" s="23" t="s">
        <v>12306</v>
      </c>
      <c r="D3805" s="23" t="str">
        <f t="shared" si="177"/>
        <v>ORD26005956</v>
      </c>
      <c r="E3805" s="38">
        <v>46285</v>
      </c>
      <c r="F3805" s="23" t="s">
        <v>12410</v>
      </c>
      <c r="G3805" s="23" t="s">
        <v>79</v>
      </c>
      <c r="H3805" s="24">
        <v>5798</v>
      </c>
      <c r="I3805" s="24">
        <v>92.77</v>
      </c>
      <c r="J3805" s="24">
        <v>16.7</v>
      </c>
      <c r="K3805" s="24">
        <v>5688.53</v>
      </c>
      <c r="L3805" s="38">
        <v>46287</v>
      </c>
      <c r="M3805" s="23" t="s">
        <v>216</v>
      </c>
      <c r="N3805" s="23" t="str">
        <f>IF(COUNTIF($A$2:A3805,A3805)&gt;1,"DUP","OK")</f>
        <v>OK</v>
      </c>
      <c r="O3805" s="23" t="str">
        <f t="shared" si="178"/>
        <v>ORD26005956</v>
      </c>
      <c r="P3805" s="23" t="str">
        <f t="shared" si="179"/>
        <v>Sep</v>
      </c>
      <c r="Q3805" s="23" t="str">
        <f>IF(F3805="CAPTURE",IF(COUNTIF(orders!$A:$A,O3805)&gt;0,"Yes","NO ORDER"),"")</f>
        <v>Yes</v>
      </c>
    </row>
    <row r="3806" spans="1:17" ht="15" customHeight="1" x14ac:dyDescent="0.3">
      <c r="A3806" s="23" t="s">
        <v>16802</v>
      </c>
      <c r="B3806" s="23" t="s">
        <v>15376</v>
      </c>
      <c r="C3806" s="23"/>
      <c r="D3806" s="23" t="str">
        <f t="shared" si="177"/>
        <v/>
      </c>
      <c r="E3806" s="38">
        <v>46285</v>
      </c>
      <c r="F3806" s="23" t="s">
        <v>12791</v>
      </c>
      <c r="G3806" s="23" t="s">
        <v>79</v>
      </c>
      <c r="H3806" s="24">
        <v>3797</v>
      </c>
      <c r="I3806" s="24">
        <v>0</v>
      </c>
      <c r="J3806" s="24">
        <v>0</v>
      </c>
      <c r="K3806" s="24">
        <v>-3797</v>
      </c>
      <c r="L3806" s="38">
        <v>46287</v>
      </c>
      <c r="M3806" s="23" t="s">
        <v>216</v>
      </c>
      <c r="N3806" s="23" t="str">
        <f>IF(COUNTIF($A$2:A3806,A3806)&gt;1,"DUP","OK")</f>
        <v>OK</v>
      </c>
      <c r="O3806" s="23" t="str">
        <f t="shared" si="178"/>
        <v>ORD26001915</v>
      </c>
      <c r="P3806" s="23" t="str">
        <f t="shared" si="179"/>
        <v>Sep</v>
      </c>
      <c r="Q3806" s="23" t="str">
        <f>IF(F3806="CAPTURE",IF(COUNTIF(orders!$A:$A,O3806)&gt;0,"Yes","NO ORDER"),"")</f>
        <v/>
      </c>
    </row>
    <row r="3807" spans="1:17" ht="15" customHeight="1" x14ac:dyDescent="0.3">
      <c r="A3807" s="23" t="s">
        <v>16803</v>
      </c>
      <c r="B3807" s="23" t="s">
        <v>16064</v>
      </c>
      <c r="C3807" s="23"/>
      <c r="D3807" s="23" t="str">
        <f t="shared" si="177"/>
        <v/>
      </c>
      <c r="E3807" s="38">
        <v>46285</v>
      </c>
      <c r="F3807" s="23" t="s">
        <v>12791</v>
      </c>
      <c r="G3807" s="23" t="s">
        <v>75</v>
      </c>
      <c r="H3807" s="24">
        <v>648</v>
      </c>
      <c r="I3807" s="24">
        <v>0</v>
      </c>
      <c r="J3807" s="24">
        <v>0</v>
      </c>
      <c r="K3807" s="24">
        <v>-648</v>
      </c>
      <c r="L3807" s="38">
        <v>46287</v>
      </c>
      <c r="M3807" s="23" t="s">
        <v>216</v>
      </c>
      <c r="N3807" s="23" t="str">
        <f>IF(COUNTIF($A$2:A3807,A3807)&gt;1,"DUP","OK")</f>
        <v>OK</v>
      </c>
      <c r="O3807" s="23" t="str">
        <f t="shared" si="178"/>
        <v>ORD26003094</v>
      </c>
      <c r="P3807" s="23" t="str">
        <f t="shared" si="179"/>
        <v>Sep</v>
      </c>
      <c r="Q3807" s="23" t="str">
        <f>IF(F3807="CAPTURE",IF(COUNTIF(orders!$A:$A,O3807)&gt;0,"Yes","NO ORDER"),"")</f>
        <v/>
      </c>
    </row>
    <row r="3808" spans="1:17" ht="15" customHeight="1" x14ac:dyDescent="0.3">
      <c r="A3808" s="23" t="s">
        <v>16804</v>
      </c>
      <c r="B3808" s="23" t="s">
        <v>16439</v>
      </c>
      <c r="C3808" s="23"/>
      <c r="D3808" s="23" t="str">
        <f t="shared" si="177"/>
        <v/>
      </c>
      <c r="E3808" s="38">
        <v>46285</v>
      </c>
      <c r="F3808" s="23" t="s">
        <v>12791</v>
      </c>
      <c r="G3808" s="23" t="s">
        <v>79</v>
      </c>
      <c r="H3808" s="24">
        <v>2498</v>
      </c>
      <c r="I3808" s="24">
        <v>0</v>
      </c>
      <c r="J3808" s="24">
        <v>0</v>
      </c>
      <c r="K3808" s="24">
        <v>-2498</v>
      </c>
      <c r="L3808" s="38">
        <v>46287</v>
      </c>
      <c r="M3808" s="23" t="s">
        <v>216</v>
      </c>
      <c r="N3808" s="23" t="str">
        <f>IF(COUNTIF($A$2:A3808,A3808)&gt;1,"DUP","OK")</f>
        <v>OK</v>
      </c>
      <c r="O3808" s="23" t="str">
        <f t="shared" si="178"/>
        <v>ORD26002309</v>
      </c>
      <c r="P3808" s="23" t="str">
        <f t="shared" si="179"/>
        <v>Sep</v>
      </c>
      <c r="Q3808" s="23" t="str">
        <f>IF(F3808="CAPTURE",IF(COUNTIF(orders!$A:$A,O3808)&gt;0,"Yes","NO ORDER"),"")</f>
        <v/>
      </c>
    </row>
    <row r="3809" spans="1:17" ht="15" customHeight="1" x14ac:dyDescent="0.3">
      <c r="A3809" s="23" t="s">
        <v>16805</v>
      </c>
      <c r="B3809" s="23" t="s">
        <v>15783</v>
      </c>
      <c r="C3809" s="23"/>
      <c r="D3809" s="23" t="str">
        <f t="shared" si="177"/>
        <v/>
      </c>
      <c r="E3809" s="38">
        <v>46285</v>
      </c>
      <c r="F3809" s="23" t="s">
        <v>12791</v>
      </c>
      <c r="G3809" s="23" t="s">
        <v>79</v>
      </c>
      <c r="H3809" s="24">
        <v>999</v>
      </c>
      <c r="I3809" s="24">
        <v>0</v>
      </c>
      <c r="J3809" s="24">
        <v>0</v>
      </c>
      <c r="K3809" s="24">
        <v>-999</v>
      </c>
      <c r="L3809" s="38">
        <v>46287</v>
      </c>
      <c r="M3809" s="23" t="s">
        <v>216</v>
      </c>
      <c r="N3809" s="23" t="str">
        <f>IF(COUNTIF($A$2:A3809,A3809)&gt;1,"DUP","OK")</f>
        <v>OK</v>
      </c>
      <c r="O3809" s="23" t="str">
        <f t="shared" si="178"/>
        <v>ORD26000783</v>
      </c>
      <c r="P3809" s="23" t="str">
        <f t="shared" si="179"/>
        <v>Sep</v>
      </c>
      <c r="Q3809" s="23" t="str">
        <f>IF(F3809="CAPTURE",IF(COUNTIF(orders!$A:$A,O3809)&gt;0,"Yes","NO ORDER"),"")</f>
        <v/>
      </c>
    </row>
    <row r="3810" spans="1:17" ht="15" customHeight="1" x14ac:dyDescent="0.3">
      <c r="A3810" s="23" t="s">
        <v>16806</v>
      </c>
      <c r="B3810" s="23" t="s">
        <v>16202</v>
      </c>
      <c r="C3810" s="23"/>
      <c r="D3810" s="23" t="str">
        <f t="shared" si="177"/>
        <v/>
      </c>
      <c r="E3810" s="38">
        <v>46285</v>
      </c>
      <c r="F3810" s="23" t="s">
        <v>12791</v>
      </c>
      <c r="G3810" s="23" t="s">
        <v>81</v>
      </c>
      <c r="H3810" s="24">
        <v>2999</v>
      </c>
      <c r="I3810" s="24">
        <v>0</v>
      </c>
      <c r="J3810" s="24">
        <v>0</v>
      </c>
      <c r="K3810" s="24">
        <v>-2999</v>
      </c>
      <c r="L3810" s="38">
        <v>46287</v>
      </c>
      <c r="M3810" s="23" t="s">
        <v>216</v>
      </c>
      <c r="N3810" s="23" t="str">
        <f>IF(COUNTIF($A$2:A3810,A3810)&gt;1,"DUP","OK")</f>
        <v>OK</v>
      </c>
      <c r="O3810" s="23" t="str">
        <f t="shared" si="178"/>
        <v>ORD26001379</v>
      </c>
      <c r="P3810" s="23" t="str">
        <f t="shared" si="179"/>
        <v>Sep</v>
      </c>
      <c r="Q3810" s="23" t="str">
        <f>IF(F3810="CAPTURE",IF(COUNTIF(orders!$A:$A,O3810)&gt;0,"Yes","NO ORDER"),"")</f>
        <v/>
      </c>
    </row>
    <row r="3811" spans="1:17" ht="15" customHeight="1" x14ac:dyDescent="0.3">
      <c r="A3811" s="23" t="s">
        <v>16807</v>
      </c>
      <c r="B3811" s="23" t="s">
        <v>15895</v>
      </c>
      <c r="C3811" s="23"/>
      <c r="D3811" s="23" t="str">
        <f t="shared" si="177"/>
        <v/>
      </c>
      <c r="E3811" s="38">
        <v>46285</v>
      </c>
      <c r="F3811" s="23" t="s">
        <v>12791</v>
      </c>
      <c r="G3811" s="23" t="s">
        <v>79</v>
      </c>
      <c r="H3811" s="24">
        <v>4897</v>
      </c>
      <c r="I3811" s="24">
        <v>0</v>
      </c>
      <c r="J3811" s="24">
        <v>0</v>
      </c>
      <c r="K3811" s="24">
        <v>-4897</v>
      </c>
      <c r="L3811" s="38">
        <v>46287</v>
      </c>
      <c r="M3811" s="23" t="s">
        <v>216</v>
      </c>
      <c r="N3811" s="23" t="str">
        <f>IF(COUNTIF($A$2:A3811,A3811)&gt;1,"DUP","OK")</f>
        <v>OK</v>
      </c>
      <c r="O3811" s="23" t="str">
        <f t="shared" si="178"/>
        <v>ORD26004337</v>
      </c>
      <c r="P3811" s="23" t="str">
        <f t="shared" si="179"/>
        <v>Sep</v>
      </c>
      <c r="Q3811" s="23" t="str">
        <f>IF(F3811="CAPTURE",IF(COUNTIF(orders!$A:$A,O3811)&gt;0,"Yes","NO ORDER"),"")</f>
        <v/>
      </c>
    </row>
    <row r="3812" spans="1:17" ht="15" customHeight="1" x14ac:dyDescent="0.3">
      <c r="A3812" s="23" t="s">
        <v>16808</v>
      </c>
      <c r="B3812" s="23" t="s">
        <v>15426</v>
      </c>
      <c r="C3812" s="23"/>
      <c r="D3812" s="23" t="str">
        <f t="shared" si="177"/>
        <v/>
      </c>
      <c r="E3812" s="38">
        <v>46285</v>
      </c>
      <c r="F3812" s="23" t="s">
        <v>12791</v>
      </c>
      <c r="G3812" s="23" t="s">
        <v>75</v>
      </c>
      <c r="H3812" s="24">
        <v>1499</v>
      </c>
      <c r="I3812" s="24">
        <v>0</v>
      </c>
      <c r="J3812" s="24">
        <v>0</v>
      </c>
      <c r="K3812" s="24">
        <v>-1499</v>
      </c>
      <c r="L3812" s="38">
        <v>46287</v>
      </c>
      <c r="M3812" s="23" t="s">
        <v>216</v>
      </c>
      <c r="N3812" s="23" t="str">
        <f>IF(COUNTIF($A$2:A3812,A3812)&gt;1,"DUP","OK")</f>
        <v>OK</v>
      </c>
      <c r="O3812" s="23" t="str">
        <f t="shared" si="178"/>
        <v>ORD26003439</v>
      </c>
      <c r="P3812" s="23" t="str">
        <f t="shared" si="179"/>
        <v>Sep</v>
      </c>
      <c r="Q3812" s="23" t="str">
        <f>IF(F3812="CAPTURE",IF(COUNTIF(orders!$A:$A,O3812)&gt;0,"Yes","NO ORDER"),"")</f>
        <v/>
      </c>
    </row>
    <row r="3813" spans="1:17" ht="15" customHeight="1" x14ac:dyDescent="0.3">
      <c r="A3813" s="23" t="s">
        <v>16809</v>
      </c>
      <c r="B3813" s="23" t="s">
        <v>16311</v>
      </c>
      <c r="C3813" s="23"/>
      <c r="D3813" s="23" t="str">
        <f t="shared" si="177"/>
        <v/>
      </c>
      <c r="E3813" s="38">
        <v>46285</v>
      </c>
      <c r="F3813" s="23" t="s">
        <v>12791</v>
      </c>
      <c r="G3813" s="23" t="s">
        <v>75</v>
      </c>
      <c r="H3813" s="24">
        <v>7999</v>
      </c>
      <c r="I3813" s="24">
        <v>0</v>
      </c>
      <c r="J3813" s="24">
        <v>0</v>
      </c>
      <c r="K3813" s="24">
        <v>-7999</v>
      </c>
      <c r="L3813" s="38">
        <v>46287</v>
      </c>
      <c r="M3813" s="23" t="s">
        <v>216</v>
      </c>
      <c r="N3813" s="23" t="str">
        <f>IF(COUNTIF($A$2:A3813,A3813)&gt;1,"DUP","OK")</f>
        <v>OK</v>
      </c>
      <c r="O3813" s="23" t="str">
        <f t="shared" si="178"/>
        <v>ORD26004834</v>
      </c>
      <c r="P3813" s="23" t="str">
        <f t="shared" si="179"/>
        <v>Sep</v>
      </c>
      <c r="Q3813" s="23" t="str">
        <f>IF(F3813="CAPTURE",IF(COUNTIF(orders!$A:$A,O3813)&gt;0,"Yes","NO ORDER"),"")</f>
        <v/>
      </c>
    </row>
    <row r="3814" spans="1:17" ht="15" customHeight="1" x14ac:dyDescent="0.3">
      <c r="A3814" s="23" t="s">
        <v>16810</v>
      </c>
      <c r="B3814" s="23" t="s">
        <v>15353</v>
      </c>
      <c r="C3814" s="23"/>
      <c r="D3814" s="23" t="str">
        <f t="shared" si="177"/>
        <v/>
      </c>
      <c r="E3814" s="38">
        <v>46285</v>
      </c>
      <c r="F3814" s="23" t="s">
        <v>12791</v>
      </c>
      <c r="G3814" s="23" t="s">
        <v>75</v>
      </c>
      <c r="H3814" s="24">
        <v>7999</v>
      </c>
      <c r="I3814" s="24">
        <v>0</v>
      </c>
      <c r="J3814" s="24">
        <v>0</v>
      </c>
      <c r="K3814" s="24">
        <v>-7999</v>
      </c>
      <c r="L3814" s="38">
        <v>46287</v>
      </c>
      <c r="M3814" s="23" t="s">
        <v>216</v>
      </c>
      <c r="N3814" s="23" t="str">
        <f>IF(COUNTIF($A$2:A3814,A3814)&gt;1,"DUP","OK")</f>
        <v>OK</v>
      </c>
      <c r="O3814" s="23" t="str">
        <f t="shared" si="178"/>
        <v>ORD26001305</v>
      </c>
      <c r="P3814" s="23" t="str">
        <f t="shared" si="179"/>
        <v>Sep</v>
      </c>
      <c r="Q3814" s="23" t="str">
        <f>IF(F3814="CAPTURE",IF(COUNTIF(orders!$A:$A,O3814)&gt;0,"Yes","NO ORDER"),"")</f>
        <v/>
      </c>
    </row>
    <row r="3815" spans="1:17" ht="15" customHeight="1" x14ac:dyDescent="0.3">
      <c r="A3815" s="23" t="s">
        <v>16811</v>
      </c>
      <c r="B3815" s="23"/>
      <c r="C3815" s="23" t="s">
        <v>247</v>
      </c>
      <c r="D3815" s="23" t="str">
        <f t="shared" si="177"/>
        <v>ORD26000001</v>
      </c>
      <c r="E3815" s="38">
        <v>46286</v>
      </c>
      <c r="F3815" s="23" t="s">
        <v>12410</v>
      </c>
      <c r="G3815" s="23" t="s">
        <v>75</v>
      </c>
      <c r="H3815" s="24">
        <v>299</v>
      </c>
      <c r="I3815" s="24">
        <v>0</v>
      </c>
      <c r="J3815" s="24">
        <v>0</v>
      </c>
      <c r="K3815" s="24">
        <v>299</v>
      </c>
      <c r="L3815" s="38">
        <v>46288</v>
      </c>
      <c r="M3815" s="23" t="s">
        <v>218</v>
      </c>
      <c r="N3815" s="23" t="str">
        <f>IF(COUNTIF($A$2:A3815,A3815)&gt;1,"DUP","OK")</f>
        <v>OK</v>
      </c>
      <c r="O3815" s="23" t="str">
        <f t="shared" si="178"/>
        <v>ORD26000001</v>
      </c>
      <c r="P3815" s="23" t="str">
        <f t="shared" si="179"/>
        <v>Sep</v>
      </c>
      <c r="Q3815" s="23" t="str">
        <f>IF(F3815="CAPTURE",IF(COUNTIF(orders!$A:$A,O3815)&gt;0,"Yes","NO ORDER"),"")</f>
        <v>Yes</v>
      </c>
    </row>
    <row r="3816" spans="1:17" ht="15" customHeight="1" x14ac:dyDescent="0.3">
      <c r="A3816" s="23" t="s">
        <v>16812</v>
      </c>
      <c r="B3816" s="23"/>
      <c r="C3816" s="23" t="s">
        <v>286</v>
      </c>
      <c r="D3816" s="23" t="str">
        <f t="shared" si="177"/>
        <v>ORD26000014</v>
      </c>
      <c r="E3816" s="38">
        <v>46286</v>
      </c>
      <c r="F3816" s="23" t="s">
        <v>12410</v>
      </c>
      <c r="G3816" s="23" t="s">
        <v>75</v>
      </c>
      <c r="H3816" s="24">
        <v>4298</v>
      </c>
      <c r="I3816" s="24">
        <v>12.89</v>
      </c>
      <c r="J3816" s="24">
        <v>2.3199999999999998</v>
      </c>
      <c r="K3816" s="24">
        <v>4282.79</v>
      </c>
      <c r="L3816" s="38">
        <v>46288</v>
      </c>
      <c r="M3816" s="23" t="s">
        <v>218</v>
      </c>
      <c r="N3816" s="23" t="str">
        <f>IF(COUNTIF($A$2:A3816,A3816)&gt;1,"DUP","OK")</f>
        <v>OK</v>
      </c>
      <c r="O3816" s="23" t="str">
        <f t="shared" si="178"/>
        <v>ORD26000014</v>
      </c>
      <c r="P3816" s="23" t="str">
        <f t="shared" si="179"/>
        <v>Sep</v>
      </c>
      <c r="Q3816" s="23" t="str">
        <f>IF(F3816="CAPTURE",IF(COUNTIF(orders!$A:$A,O3816)&gt;0,"Yes","NO ORDER"),"")</f>
        <v>Yes</v>
      </c>
    </row>
    <row r="3817" spans="1:17" ht="15" customHeight="1" x14ac:dyDescent="0.3">
      <c r="A3817" s="23" t="s">
        <v>16813</v>
      </c>
      <c r="B3817" s="23"/>
      <c r="C3817" s="23" t="s">
        <v>295</v>
      </c>
      <c r="D3817" s="23" t="str">
        <f t="shared" si="177"/>
        <v>ORD26000017</v>
      </c>
      <c r="E3817" s="38">
        <v>46286</v>
      </c>
      <c r="F3817" s="23" t="s">
        <v>12410</v>
      </c>
      <c r="G3817" s="23" t="s">
        <v>79</v>
      </c>
      <c r="H3817" s="24">
        <v>4999</v>
      </c>
      <c r="I3817" s="24">
        <v>79.98</v>
      </c>
      <c r="J3817" s="24">
        <v>14.4</v>
      </c>
      <c r="K3817" s="24">
        <v>4904.62</v>
      </c>
      <c r="L3817" s="38">
        <v>46288</v>
      </c>
      <c r="M3817" s="23" t="s">
        <v>218</v>
      </c>
      <c r="N3817" s="23" t="str">
        <f>IF(COUNTIF($A$2:A3817,A3817)&gt;1,"DUP","OK")</f>
        <v>OK</v>
      </c>
      <c r="O3817" s="23" t="str">
        <f t="shared" si="178"/>
        <v>ORD26000017</v>
      </c>
      <c r="P3817" s="23" t="str">
        <f t="shared" si="179"/>
        <v>Sep</v>
      </c>
      <c r="Q3817" s="23" t="str">
        <f>IF(F3817="CAPTURE",IF(COUNTIF(orders!$A:$A,O3817)&gt;0,"Yes","NO ORDER"),"")</f>
        <v>Yes</v>
      </c>
    </row>
    <row r="3818" spans="1:17" ht="15" customHeight="1" x14ac:dyDescent="0.3">
      <c r="A3818" s="23" t="s">
        <v>16814</v>
      </c>
      <c r="B3818" s="23"/>
      <c r="C3818" s="23" t="s">
        <v>298</v>
      </c>
      <c r="D3818" s="23" t="str">
        <f t="shared" si="177"/>
        <v>ORD26000018</v>
      </c>
      <c r="E3818" s="38">
        <v>46286</v>
      </c>
      <c r="F3818" s="23" t="s">
        <v>12410</v>
      </c>
      <c r="G3818" s="23" t="s">
        <v>81</v>
      </c>
      <c r="H3818" s="24">
        <v>2598</v>
      </c>
      <c r="I3818" s="24">
        <v>31.18</v>
      </c>
      <c r="J3818" s="24">
        <v>5.61</v>
      </c>
      <c r="K3818" s="24">
        <v>2561.21</v>
      </c>
      <c r="L3818" s="38">
        <v>46288</v>
      </c>
      <c r="M3818" s="23" t="s">
        <v>218</v>
      </c>
      <c r="N3818" s="23" t="str">
        <f>IF(COUNTIF($A$2:A3818,A3818)&gt;1,"DUP","OK")</f>
        <v>OK</v>
      </c>
      <c r="O3818" s="23" t="str">
        <f t="shared" si="178"/>
        <v>ORD26000018</v>
      </c>
      <c r="P3818" s="23" t="str">
        <f t="shared" si="179"/>
        <v>Sep</v>
      </c>
      <c r="Q3818" s="23" t="str">
        <f>IF(F3818="CAPTURE",IF(COUNTIF(orders!$A:$A,O3818)&gt;0,"Yes","NO ORDER"),"")</f>
        <v>Yes</v>
      </c>
    </row>
    <row r="3819" spans="1:17" ht="15" customHeight="1" x14ac:dyDescent="0.3">
      <c r="A3819" s="23" t="s">
        <v>16815</v>
      </c>
      <c r="B3819" s="23"/>
      <c r="C3819" s="23" t="s">
        <v>16816</v>
      </c>
      <c r="D3819" s="23" t="str">
        <f t="shared" si="177"/>
        <v>ORD26000023</v>
      </c>
      <c r="E3819" s="38">
        <v>46286</v>
      </c>
      <c r="F3819" s="23" t="s">
        <v>12410</v>
      </c>
      <c r="G3819" s="23" t="s">
        <v>77</v>
      </c>
      <c r="H3819" s="24">
        <v>1499</v>
      </c>
      <c r="I3819" s="24">
        <v>28.48</v>
      </c>
      <c r="J3819" s="24">
        <v>5.13</v>
      </c>
      <c r="K3819" s="24">
        <v>1465.39</v>
      </c>
      <c r="L3819" s="38">
        <v>46288</v>
      </c>
      <c r="M3819" s="23" t="s">
        <v>218</v>
      </c>
      <c r="N3819" s="23" t="str">
        <f>IF(COUNTIF($A$2:A3819,A3819)&gt;1,"DUP","OK")</f>
        <v>OK</v>
      </c>
      <c r="O3819" s="23" t="str">
        <f t="shared" si="178"/>
        <v>ORD26000023</v>
      </c>
      <c r="P3819" s="23" t="str">
        <f t="shared" si="179"/>
        <v>Sep</v>
      </c>
      <c r="Q3819" s="23" t="str">
        <f>IF(F3819="CAPTURE",IF(COUNTIF(orders!$A:$A,O3819)&gt;0,"Yes","NO ORDER"),"")</f>
        <v>Yes</v>
      </c>
    </row>
    <row r="3820" spans="1:17" ht="15" customHeight="1" x14ac:dyDescent="0.3">
      <c r="A3820" s="23" t="s">
        <v>16817</v>
      </c>
      <c r="B3820" s="23"/>
      <c r="C3820" s="23" t="s">
        <v>16818</v>
      </c>
      <c r="D3820" s="23" t="str">
        <f t="shared" si="177"/>
        <v>ORD26000131</v>
      </c>
      <c r="E3820" s="38">
        <v>46286</v>
      </c>
      <c r="F3820" s="23" t="s">
        <v>12410</v>
      </c>
      <c r="G3820" s="23" t="s">
        <v>75</v>
      </c>
      <c r="H3820" s="24">
        <v>1298</v>
      </c>
      <c r="I3820" s="24">
        <v>0</v>
      </c>
      <c r="J3820" s="24">
        <v>0</v>
      </c>
      <c r="K3820" s="24">
        <v>1298</v>
      </c>
      <c r="L3820" s="38">
        <v>46288</v>
      </c>
      <c r="M3820" s="23" t="s">
        <v>218</v>
      </c>
      <c r="N3820" s="23" t="str">
        <f>IF(COUNTIF($A$2:A3820,A3820)&gt;1,"DUP","OK")</f>
        <v>OK</v>
      </c>
      <c r="O3820" s="23" t="str">
        <f t="shared" si="178"/>
        <v>ORD26000131</v>
      </c>
      <c r="P3820" s="23" t="str">
        <f t="shared" si="179"/>
        <v>Sep</v>
      </c>
      <c r="Q3820" s="23" t="str">
        <f>IF(F3820="CAPTURE",IF(COUNTIF(orders!$A:$A,O3820)&gt;0,"Yes","NO ORDER"),"")</f>
        <v>Yes</v>
      </c>
    </row>
    <row r="3821" spans="1:17" ht="15" customHeight="1" x14ac:dyDescent="0.3">
      <c r="A3821" s="23" t="s">
        <v>16819</v>
      </c>
      <c r="B3821" s="23"/>
      <c r="C3821" s="23" t="s">
        <v>596</v>
      </c>
      <c r="D3821" s="23" t="str">
        <f t="shared" si="177"/>
        <v>ORD26000138</v>
      </c>
      <c r="E3821" s="38">
        <v>46286</v>
      </c>
      <c r="F3821" s="23" t="s">
        <v>12410</v>
      </c>
      <c r="G3821" s="23" t="s">
        <v>75</v>
      </c>
      <c r="H3821" s="24">
        <v>5598</v>
      </c>
      <c r="I3821" s="24">
        <v>16.79</v>
      </c>
      <c r="J3821" s="24">
        <v>3.02</v>
      </c>
      <c r="K3821" s="24">
        <v>5578.19</v>
      </c>
      <c r="L3821" s="38">
        <v>46288</v>
      </c>
      <c r="M3821" s="23" t="s">
        <v>218</v>
      </c>
      <c r="N3821" s="23" t="str">
        <f>IF(COUNTIF($A$2:A3821,A3821)&gt;1,"DUP","OK")</f>
        <v>OK</v>
      </c>
      <c r="O3821" s="23" t="str">
        <f t="shared" si="178"/>
        <v>ORD26000138</v>
      </c>
      <c r="P3821" s="23" t="str">
        <f t="shared" si="179"/>
        <v>Sep</v>
      </c>
      <c r="Q3821" s="23" t="str">
        <f>IF(F3821="CAPTURE",IF(COUNTIF(orders!$A:$A,O3821)&gt;0,"Yes","NO ORDER"),"")</f>
        <v>Yes</v>
      </c>
    </row>
    <row r="3822" spans="1:17" ht="15" customHeight="1" x14ac:dyDescent="0.3">
      <c r="A3822" s="23" t="s">
        <v>16820</v>
      </c>
      <c r="B3822" s="23"/>
      <c r="C3822" s="23" t="s">
        <v>658</v>
      </c>
      <c r="D3822" s="23" t="str">
        <f t="shared" si="177"/>
        <v>ORD26000164</v>
      </c>
      <c r="E3822" s="38">
        <v>46286</v>
      </c>
      <c r="F3822" s="23" t="s">
        <v>12410</v>
      </c>
      <c r="G3822" s="23" t="s">
        <v>75</v>
      </c>
      <c r="H3822" s="24">
        <v>2999</v>
      </c>
      <c r="I3822" s="24">
        <v>9</v>
      </c>
      <c r="J3822" s="24">
        <v>1.62</v>
      </c>
      <c r="K3822" s="24">
        <v>2988.38</v>
      </c>
      <c r="L3822" s="38">
        <v>46288</v>
      </c>
      <c r="M3822" s="23" t="s">
        <v>218</v>
      </c>
      <c r="N3822" s="23" t="str">
        <f>IF(COUNTIF($A$2:A3822,A3822)&gt;1,"DUP","OK")</f>
        <v>OK</v>
      </c>
      <c r="O3822" s="23" t="str">
        <f t="shared" si="178"/>
        <v>ORD26000164</v>
      </c>
      <c r="P3822" s="23" t="str">
        <f t="shared" si="179"/>
        <v>Sep</v>
      </c>
      <c r="Q3822" s="23" t="str">
        <f>IF(F3822="CAPTURE",IF(COUNTIF(orders!$A:$A,O3822)&gt;0,"Yes","NO ORDER"),"")</f>
        <v>Yes</v>
      </c>
    </row>
    <row r="3823" spans="1:17" ht="15" customHeight="1" x14ac:dyDescent="0.3">
      <c r="A3823" s="23" t="s">
        <v>16821</v>
      </c>
      <c r="B3823" s="23"/>
      <c r="C3823" s="23" t="s">
        <v>694</v>
      </c>
      <c r="D3823" s="23" t="str">
        <f t="shared" si="177"/>
        <v>ORD26000180</v>
      </c>
      <c r="E3823" s="38">
        <v>46286</v>
      </c>
      <c r="F3823" s="23" t="s">
        <v>12410</v>
      </c>
      <c r="G3823" s="23" t="s">
        <v>75</v>
      </c>
      <c r="H3823" s="24">
        <v>3097</v>
      </c>
      <c r="I3823" s="24">
        <v>9.2899999999999991</v>
      </c>
      <c r="J3823" s="24">
        <v>1.67</v>
      </c>
      <c r="K3823" s="24">
        <v>3086.04</v>
      </c>
      <c r="L3823" s="38">
        <v>46288</v>
      </c>
      <c r="M3823" s="23" t="s">
        <v>218</v>
      </c>
      <c r="N3823" s="23" t="str">
        <f>IF(COUNTIF($A$2:A3823,A3823)&gt;1,"DUP","OK")</f>
        <v>OK</v>
      </c>
      <c r="O3823" s="23" t="str">
        <f t="shared" si="178"/>
        <v>ORD26000180</v>
      </c>
      <c r="P3823" s="23" t="str">
        <f t="shared" si="179"/>
        <v>Sep</v>
      </c>
      <c r="Q3823" s="23" t="str">
        <f>IF(F3823="CAPTURE",IF(COUNTIF(orders!$A:$A,O3823)&gt;0,"Yes","NO ORDER"),"")</f>
        <v>Yes</v>
      </c>
    </row>
    <row r="3824" spans="1:17" ht="15" customHeight="1" x14ac:dyDescent="0.3">
      <c r="A3824" s="23" t="s">
        <v>16822</v>
      </c>
      <c r="B3824" s="23"/>
      <c r="C3824" s="23" t="s">
        <v>715</v>
      </c>
      <c r="D3824" s="23" t="str">
        <f t="shared" si="177"/>
        <v>ORD26000190</v>
      </c>
      <c r="E3824" s="38">
        <v>46286</v>
      </c>
      <c r="F3824" s="23" t="s">
        <v>12410</v>
      </c>
      <c r="G3824" s="23" t="s">
        <v>77</v>
      </c>
      <c r="H3824" s="24">
        <v>5298</v>
      </c>
      <c r="I3824" s="24">
        <v>127.15</v>
      </c>
      <c r="J3824" s="24">
        <v>22.89</v>
      </c>
      <c r="K3824" s="24">
        <v>5147.96</v>
      </c>
      <c r="L3824" s="38">
        <v>46288</v>
      </c>
      <c r="M3824" s="23" t="s">
        <v>218</v>
      </c>
      <c r="N3824" s="23" t="str">
        <f>IF(COUNTIF($A$2:A3824,A3824)&gt;1,"DUP","OK")</f>
        <v>OK</v>
      </c>
      <c r="O3824" s="23" t="str">
        <f t="shared" si="178"/>
        <v>ORD26000190</v>
      </c>
      <c r="P3824" s="23" t="str">
        <f t="shared" si="179"/>
        <v>Sep</v>
      </c>
      <c r="Q3824" s="23" t="str">
        <f>IF(F3824="CAPTURE",IF(COUNTIF(orders!$A:$A,O3824)&gt;0,"Yes","NO ORDER"),"")</f>
        <v>Yes</v>
      </c>
    </row>
    <row r="3825" spans="1:17" ht="15" customHeight="1" x14ac:dyDescent="0.3">
      <c r="A3825" s="23" t="s">
        <v>16823</v>
      </c>
      <c r="B3825" s="23"/>
      <c r="C3825" s="23" t="s">
        <v>788</v>
      </c>
      <c r="D3825" s="23" t="str">
        <f t="shared" si="177"/>
        <v>ORD26000219</v>
      </c>
      <c r="E3825" s="38">
        <v>46286</v>
      </c>
      <c r="F3825" s="23" t="s">
        <v>12410</v>
      </c>
      <c r="G3825" s="23" t="s">
        <v>75</v>
      </c>
      <c r="H3825" s="24">
        <v>11497</v>
      </c>
      <c r="I3825" s="24">
        <v>34.49</v>
      </c>
      <c r="J3825" s="24">
        <v>6.21</v>
      </c>
      <c r="K3825" s="24">
        <v>11456.3</v>
      </c>
      <c r="L3825" s="38">
        <v>46288</v>
      </c>
      <c r="M3825" s="23" t="s">
        <v>218</v>
      </c>
      <c r="N3825" s="23" t="str">
        <f>IF(COUNTIF($A$2:A3825,A3825)&gt;1,"DUP","OK")</f>
        <v>OK</v>
      </c>
      <c r="O3825" s="23" t="str">
        <f t="shared" si="178"/>
        <v>ORD26000219</v>
      </c>
      <c r="P3825" s="23" t="str">
        <f t="shared" si="179"/>
        <v>Sep</v>
      </c>
      <c r="Q3825" s="23" t="str">
        <f>IF(F3825="CAPTURE",IF(COUNTIF(orders!$A:$A,O3825)&gt;0,"Yes","NO ORDER"),"")</f>
        <v>Yes</v>
      </c>
    </row>
    <row r="3826" spans="1:17" ht="15" customHeight="1" x14ac:dyDescent="0.3">
      <c r="A3826" s="23" t="s">
        <v>16824</v>
      </c>
      <c r="B3826" s="23"/>
      <c r="C3826" s="23" t="s">
        <v>16825</v>
      </c>
      <c r="D3826" s="23" t="str">
        <f t="shared" si="177"/>
        <v>ORD26000222</v>
      </c>
      <c r="E3826" s="38">
        <v>46286</v>
      </c>
      <c r="F3826" s="23" t="s">
        <v>12410</v>
      </c>
      <c r="G3826" s="23" t="s">
        <v>75</v>
      </c>
      <c r="H3826" s="24">
        <v>2499</v>
      </c>
      <c r="I3826" s="24">
        <v>7.5</v>
      </c>
      <c r="J3826" s="24">
        <v>1.35</v>
      </c>
      <c r="K3826" s="24">
        <v>2490.15</v>
      </c>
      <c r="L3826" s="38">
        <v>46288</v>
      </c>
      <c r="M3826" s="23" t="s">
        <v>218</v>
      </c>
      <c r="N3826" s="23" t="str">
        <f>IF(COUNTIF($A$2:A3826,A3826)&gt;1,"DUP","OK")</f>
        <v>OK</v>
      </c>
      <c r="O3826" s="23" t="str">
        <f t="shared" si="178"/>
        <v>ORD26000222</v>
      </c>
      <c r="P3826" s="23" t="str">
        <f t="shared" si="179"/>
        <v>Sep</v>
      </c>
      <c r="Q3826" s="23" t="str">
        <f>IF(F3826="CAPTURE",IF(COUNTIF(orders!$A:$A,O3826)&gt;0,"Yes","NO ORDER"),"")</f>
        <v>Yes</v>
      </c>
    </row>
    <row r="3827" spans="1:17" ht="15" customHeight="1" x14ac:dyDescent="0.3">
      <c r="A3827" s="23" t="s">
        <v>16826</v>
      </c>
      <c r="B3827" s="23"/>
      <c r="C3827" s="23" t="s">
        <v>840</v>
      </c>
      <c r="D3827" s="23" t="str">
        <f t="shared" si="177"/>
        <v>ORD26000240</v>
      </c>
      <c r="E3827" s="38">
        <v>46286</v>
      </c>
      <c r="F3827" s="23" t="s">
        <v>12410</v>
      </c>
      <c r="G3827" s="23" t="s">
        <v>75</v>
      </c>
      <c r="H3827" s="24">
        <v>8998</v>
      </c>
      <c r="I3827" s="24">
        <v>26.99</v>
      </c>
      <c r="J3827" s="24">
        <v>4.8600000000000003</v>
      </c>
      <c r="K3827" s="24">
        <v>8966.15</v>
      </c>
      <c r="L3827" s="38">
        <v>46288</v>
      </c>
      <c r="M3827" s="23" t="s">
        <v>218</v>
      </c>
      <c r="N3827" s="23" t="str">
        <f>IF(COUNTIF($A$2:A3827,A3827)&gt;1,"DUP","OK")</f>
        <v>OK</v>
      </c>
      <c r="O3827" s="23" t="str">
        <f t="shared" si="178"/>
        <v>ORD26000240</v>
      </c>
      <c r="P3827" s="23" t="str">
        <f t="shared" si="179"/>
        <v>Sep</v>
      </c>
      <c r="Q3827" s="23" t="str">
        <f>IF(F3827="CAPTURE",IF(COUNTIF(orders!$A:$A,O3827)&gt;0,"Yes","NO ORDER"),"")</f>
        <v>Yes</v>
      </c>
    </row>
    <row r="3828" spans="1:17" ht="15" customHeight="1" x14ac:dyDescent="0.3">
      <c r="A3828" s="23" t="s">
        <v>16827</v>
      </c>
      <c r="B3828" s="23"/>
      <c r="C3828" s="23" t="s">
        <v>16828</v>
      </c>
      <c r="D3828" s="23" t="str">
        <f t="shared" si="177"/>
        <v>ORD26000265</v>
      </c>
      <c r="E3828" s="38">
        <v>46286</v>
      </c>
      <c r="F3828" s="23" t="s">
        <v>12410</v>
      </c>
      <c r="G3828" s="23" t="s">
        <v>75</v>
      </c>
      <c r="H3828" s="24">
        <v>349</v>
      </c>
      <c r="I3828" s="24">
        <v>0</v>
      </c>
      <c r="J3828" s="24">
        <v>0</v>
      </c>
      <c r="K3828" s="24">
        <v>349</v>
      </c>
      <c r="L3828" s="38">
        <v>46288</v>
      </c>
      <c r="M3828" s="23" t="s">
        <v>218</v>
      </c>
      <c r="N3828" s="23" t="str">
        <f>IF(COUNTIF($A$2:A3828,A3828)&gt;1,"DUP","OK")</f>
        <v>OK</v>
      </c>
      <c r="O3828" s="23" t="str">
        <f t="shared" si="178"/>
        <v>ORD26000265</v>
      </c>
      <c r="P3828" s="23" t="str">
        <f t="shared" si="179"/>
        <v>Sep</v>
      </c>
      <c r="Q3828" s="23" t="str">
        <f>IF(F3828="CAPTURE",IF(COUNTIF(orders!$A:$A,O3828)&gt;0,"Yes","NO ORDER"),"")</f>
        <v>Yes</v>
      </c>
    </row>
    <row r="3829" spans="1:17" ht="15" customHeight="1" x14ac:dyDescent="0.3">
      <c r="A3829" s="23" t="s">
        <v>16829</v>
      </c>
      <c r="B3829" s="23"/>
      <c r="C3829" s="23" t="s">
        <v>918</v>
      </c>
      <c r="D3829" s="23" t="str">
        <f t="shared" si="177"/>
        <v>ORD26000277</v>
      </c>
      <c r="E3829" s="38">
        <v>46286</v>
      </c>
      <c r="F3829" s="23" t="s">
        <v>12410</v>
      </c>
      <c r="G3829" s="23" t="s">
        <v>77</v>
      </c>
      <c r="H3829" s="24">
        <v>349</v>
      </c>
      <c r="I3829" s="24">
        <v>6.63</v>
      </c>
      <c r="J3829" s="24">
        <v>1.19</v>
      </c>
      <c r="K3829" s="24">
        <v>341.18</v>
      </c>
      <c r="L3829" s="38">
        <v>46288</v>
      </c>
      <c r="M3829" s="23" t="s">
        <v>218</v>
      </c>
      <c r="N3829" s="23" t="str">
        <f>IF(COUNTIF($A$2:A3829,A3829)&gt;1,"DUP","OK")</f>
        <v>OK</v>
      </c>
      <c r="O3829" s="23" t="str">
        <f t="shared" si="178"/>
        <v>ORD26000277</v>
      </c>
      <c r="P3829" s="23" t="str">
        <f t="shared" si="179"/>
        <v>Sep</v>
      </c>
      <c r="Q3829" s="23" t="str">
        <f>IF(F3829="CAPTURE",IF(COUNTIF(orders!$A:$A,O3829)&gt;0,"Yes","NO ORDER"),"")</f>
        <v>Yes</v>
      </c>
    </row>
    <row r="3830" spans="1:17" ht="15" customHeight="1" x14ac:dyDescent="0.3">
      <c r="A3830" s="23" t="s">
        <v>16830</v>
      </c>
      <c r="B3830" s="23"/>
      <c r="C3830" s="23" t="s">
        <v>936</v>
      </c>
      <c r="D3830" s="23" t="str">
        <f t="shared" si="177"/>
        <v>ORD26000286</v>
      </c>
      <c r="E3830" s="38">
        <v>46286</v>
      </c>
      <c r="F3830" s="23" t="s">
        <v>12410</v>
      </c>
      <c r="G3830" s="23" t="s">
        <v>79</v>
      </c>
      <c r="H3830" s="24">
        <v>4999</v>
      </c>
      <c r="I3830" s="24">
        <v>79.98</v>
      </c>
      <c r="J3830" s="24">
        <v>14.4</v>
      </c>
      <c r="K3830" s="24">
        <v>4904.62</v>
      </c>
      <c r="L3830" s="38">
        <v>46288</v>
      </c>
      <c r="M3830" s="23" t="s">
        <v>218</v>
      </c>
      <c r="N3830" s="23" t="str">
        <f>IF(COUNTIF($A$2:A3830,A3830)&gt;1,"DUP","OK")</f>
        <v>OK</v>
      </c>
      <c r="O3830" s="23" t="str">
        <f t="shared" si="178"/>
        <v>ORD26000286</v>
      </c>
      <c r="P3830" s="23" t="str">
        <f t="shared" si="179"/>
        <v>Sep</v>
      </c>
      <c r="Q3830" s="23" t="str">
        <f>IF(F3830="CAPTURE",IF(COUNTIF(orders!$A:$A,O3830)&gt;0,"Yes","NO ORDER"),"")</f>
        <v>Yes</v>
      </c>
    </row>
    <row r="3831" spans="1:17" ht="15" customHeight="1" x14ac:dyDescent="0.3">
      <c r="A3831" s="23" t="s">
        <v>16831</v>
      </c>
      <c r="B3831" s="23"/>
      <c r="C3831" s="23" t="s">
        <v>1013</v>
      </c>
      <c r="D3831" s="23" t="str">
        <f t="shared" si="177"/>
        <v>ORD26000322</v>
      </c>
      <c r="E3831" s="38">
        <v>46286</v>
      </c>
      <c r="F3831" s="23" t="s">
        <v>12410</v>
      </c>
      <c r="G3831" s="23" t="s">
        <v>75</v>
      </c>
      <c r="H3831" s="24">
        <v>4999</v>
      </c>
      <c r="I3831" s="24">
        <v>15</v>
      </c>
      <c r="J3831" s="24">
        <v>2.7</v>
      </c>
      <c r="K3831" s="24">
        <v>4981.3</v>
      </c>
      <c r="L3831" s="38">
        <v>46288</v>
      </c>
      <c r="M3831" s="23" t="s">
        <v>218</v>
      </c>
      <c r="N3831" s="23" t="str">
        <f>IF(COUNTIF($A$2:A3831,A3831)&gt;1,"DUP","OK")</f>
        <v>OK</v>
      </c>
      <c r="O3831" s="23" t="str">
        <f t="shared" si="178"/>
        <v>ORD26000322</v>
      </c>
      <c r="P3831" s="23" t="str">
        <f t="shared" si="179"/>
        <v>Sep</v>
      </c>
      <c r="Q3831" s="23" t="str">
        <f>IF(F3831="CAPTURE",IF(COUNTIF(orders!$A:$A,O3831)&gt;0,"Yes","NO ORDER"),"")</f>
        <v>Yes</v>
      </c>
    </row>
    <row r="3832" spans="1:17" ht="15" customHeight="1" x14ac:dyDescent="0.3">
      <c r="A3832" s="23" t="s">
        <v>16832</v>
      </c>
      <c r="B3832" s="23"/>
      <c r="C3832" s="23" t="s">
        <v>16833</v>
      </c>
      <c r="D3832" s="23" t="str">
        <f t="shared" si="177"/>
        <v>ORD26000353</v>
      </c>
      <c r="E3832" s="38">
        <v>46286</v>
      </c>
      <c r="F3832" s="23" t="s">
        <v>12410</v>
      </c>
      <c r="G3832" s="23" t="s">
        <v>75</v>
      </c>
      <c r="H3832" s="24">
        <v>9597</v>
      </c>
      <c r="I3832" s="24">
        <v>28.79</v>
      </c>
      <c r="J3832" s="24">
        <v>5.18</v>
      </c>
      <c r="K3832" s="24">
        <v>9563.0300000000007</v>
      </c>
      <c r="L3832" s="38">
        <v>46288</v>
      </c>
      <c r="M3832" s="23" t="s">
        <v>218</v>
      </c>
      <c r="N3832" s="23" t="str">
        <f>IF(COUNTIF($A$2:A3832,A3832)&gt;1,"DUP","OK")</f>
        <v>OK</v>
      </c>
      <c r="O3832" s="23" t="str">
        <f t="shared" si="178"/>
        <v>ORD26000353</v>
      </c>
      <c r="P3832" s="23" t="str">
        <f t="shared" si="179"/>
        <v>Sep</v>
      </c>
      <c r="Q3832" s="23" t="str">
        <f>IF(F3832="CAPTURE",IF(COUNTIF(orders!$A:$A,O3832)&gt;0,"Yes","NO ORDER"),"")</f>
        <v>Yes</v>
      </c>
    </row>
    <row r="3833" spans="1:17" ht="15" customHeight="1" x14ac:dyDescent="0.3">
      <c r="A3833" s="23" t="s">
        <v>16834</v>
      </c>
      <c r="B3833" s="23"/>
      <c r="C3833" s="23" t="s">
        <v>1136</v>
      </c>
      <c r="D3833" s="23" t="str">
        <f t="shared" si="177"/>
        <v>ORD26000377</v>
      </c>
      <c r="E3833" s="38">
        <v>46286</v>
      </c>
      <c r="F3833" s="23" t="s">
        <v>12410</v>
      </c>
      <c r="G3833" s="23" t="s">
        <v>79</v>
      </c>
      <c r="H3833" s="24">
        <v>8798</v>
      </c>
      <c r="I3833" s="24">
        <v>140.77000000000001</v>
      </c>
      <c r="J3833" s="24">
        <v>25.34</v>
      </c>
      <c r="K3833" s="24">
        <v>8631.89</v>
      </c>
      <c r="L3833" s="38">
        <v>46288</v>
      </c>
      <c r="M3833" s="23" t="s">
        <v>218</v>
      </c>
      <c r="N3833" s="23" t="str">
        <f>IF(COUNTIF($A$2:A3833,A3833)&gt;1,"DUP","OK")</f>
        <v>OK</v>
      </c>
      <c r="O3833" s="23" t="str">
        <f t="shared" si="178"/>
        <v>ORD26000377</v>
      </c>
      <c r="P3833" s="23" t="str">
        <f t="shared" si="179"/>
        <v>Sep</v>
      </c>
      <c r="Q3833" s="23" t="str">
        <f>IF(F3833="CAPTURE",IF(COUNTIF(orders!$A:$A,O3833)&gt;0,"Yes","NO ORDER"),"")</f>
        <v>Yes</v>
      </c>
    </row>
    <row r="3834" spans="1:17" ht="15" customHeight="1" x14ac:dyDescent="0.3">
      <c r="A3834" s="23" t="s">
        <v>16835</v>
      </c>
      <c r="B3834" s="23"/>
      <c r="C3834" s="23" t="s">
        <v>1143</v>
      </c>
      <c r="D3834" s="23" t="str">
        <f t="shared" si="177"/>
        <v>ORD26000380</v>
      </c>
      <c r="E3834" s="38">
        <v>46286</v>
      </c>
      <c r="F3834" s="23" t="s">
        <v>12410</v>
      </c>
      <c r="G3834" s="23" t="s">
        <v>75</v>
      </c>
      <c r="H3834" s="24">
        <v>3499</v>
      </c>
      <c r="I3834" s="24">
        <v>10.5</v>
      </c>
      <c r="J3834" s="24">
        <v>1.89</v>
      </c>
      <c r="K3834" s="24">
        <v>3486.61</v>
      </c>
      <c r="L3834" s="38">
        <v>46288</v>
      </c>
      <c r="M3834" s="23" t="s">
        <v>218</v>
      </c>
      <c r="N3834" s="23" t="str">
        <f>IF(COUNTIF($A$2:A3834,A3834)&gt;1,"DUP","OK")</f>
        <v>OK</v>
      </c>
      <c r="O3834" s="23" t="str">
        <f t="shared" si="178"/>
        <v>ORD26000380</v>
      </c>
      <c r="P3834" s="23" t="str">
        <f t="shared" si="179"/>
        <v>Sep</v>
      </c>
      <c r="Q3834" s="23" t="str">
        <f>IF(F3834="CAPTURE",IF(COUNTIF(orders!$A:$A,O3834)&gt;0,"Yes","NO ORDER"),"")</f>
        <v>Yes</v>
      </c>
    </row>
    <row r="3835" spans="1:17" ht="15" customHeight="1" x14ac:dyDescent="0.3">
      <c r="A3835" s="23" t="s">
        <v>16836</v>
      </c>
      <c r="B3835" s="23"/>
      <c r="C3835" s="23" t="s">
        <v>1225</v>
      </c>
      <c r="D3835" s="23" t="str">
        <f t="shared" si="177"/>
        <v>ORD26000418</v>
      </c>
      <c r="E3835" s="38">
        <v>46286</v>
      </c>
      <c r="F3835" s="23" t="s">
        <v>12410</v>
      </c>
      <c r="G3835" s="23" t="s">
        <v>75</v>
      </c>
      <c r="H3835" s="24">
        <v>499</v>
      </c>
      <c r="I3835" s="24">
        <v>0</v>
      </c>
      <c r="J3835" s="24">
        <v>0</v>
      </c>
      <c r="K3835" s="24">
        <v>499</v>
      </c>
      <c r="L3835" s="38">
        <v>46288</v>
      </c>
      <c r="M3835" s="23" t="s">
        <v>218</v>
      </c>
      <c r="N3835" s="23" t="str">
        <f>IF(COUNTIF($A$2:A3835,A3835)&gt;1,"DUP","OK")</f>
        <v>OK</v>
      </c>
      <c r="O3835" s="23" t="str">
        <f t="shared" si="178"/>
        <v>ORD26000418</v>
      </c>
      <c r="P3835" s="23" t="str">
        <f t="shared" si="179"/>
        <v>Sep</v>
      </c>
      <c r="Q3835" s="23" t="str">
        <f>IF(F3835="CAPTURE",IF(COUNTIF(orders!$A:$A,O3835)&gt;0,"Yes","NO ORDER"),"")</f>
        <v>Yes</v>
      </c>
    </row>
    <row r="3836" spans="1:17" ht="15" customHeight="1" x14ac:dyDescent="0.3">
      <c r="A3836" s="23" t="s">
        <v>16837</v>
      </c>
      <c r="B3836" s="23"/>
      <c r="C3836" s="23" t="s">
        <v>1234</v>
      </c>
      <c r="D3836" s="23" t="str">
        <f t="shared" si="177"/>
        <v>ORD26000422</v>
      </c>
      <c r="E3836" s="38">
        <v>46286</v>
      </c>
      <c r="F3836" s="23" t="s">
        <v>12410</v>
      </c>
      <c r="G3836" s="23" t="s">
        <v>75</v>
      </c>
      <c r="H3836" s="24">
        <v>2499</v>
      </c>
      <c r="I3836" s="24">
        <v>7.5</v>
      </c>
      <c r="J3836" s="24">
        <v>1.35</v>
      </c>
      <c r="K3836" s="24">
        <v>2490.15</v>
      </c>
      <c r="L3836" s="38">
        <v>46288</v>
      </c>
      <c r="M3836" s="23" t="s">
        <v>218</v>
      </c>
      <c r="N3836" s="23" t="str">
        <f>IF(COUNTIF($A$2:A3836,A3836)&gt;1,"DUP","OK")</f>
        <v>OK</v>
      </c>
      <c r="O3836" s="23" t="str">
        <f t="shared" si="178"/>
        <v>ORD26000422</v>
      </c>
      <c r="P3836" s="23" t="str">
        <f t="shared" si="179"/>
        <v>Sep</v>
      </c>
      <c r="Q3836" s="23" t="str">
        <f>IF(F3836="CAPTURE",IF(COUNTIF(orders!$A:$A,O3836)&gt;0,"Yes","NO ORDER"),"")</f>
        <v>Yes</v>
      </c>
    </row>
    <row r="3837" spans="1:17" ht="15" customHeight="1" x14ac:dyDescent="0.3">
      <c r="A3837" s="23" t="s">
        <v>16838</v>
      </c>
      <c r="B3837" s="23"/>
      <c r="C3837" s="23" t="s">
        <v>1306</v>
      </c>
      <c r="D3837" s="23" t="str">
        <f t="shared" si="177"/>
        <v>ORD26000456</v>
      </c>
      <c r="E3837" s="38">
        <v>46286</v>
      </c>
      <c r="F3837" s="23" t="s">
        <v>12410</v>
      </c>
      <c r="G3837" s="23" t="s">
        <v>81</v>
      </c>
      <c r="H3837" s="24">
        <v>4297</v>
      </c>
      <c r="I3837" s="24">
        <v>51.56</v>
      </c>
      <c r="J3837" s="24">
        <v>9.2799999999999994</v>
      </c>
      <c r="K3837" s="24">
        <v>4236.16</v>
      </c>
      <c r="L3837" s="38">
        <v>46288</v>
      </c>
      <c r="M3837" s="23" t="s">
        <v>218</v>
      </c>
      <c r="N3837" s="23" t="str">
        <f>IF(COUNTIF($A$2:A3837,A3837)&gt;1,"DUP","OK")</f>
        <v>OK</v>
      </c>
      <c r="O3837" s="23" t="str">
        <f t="shared" si="178"/>
        <v>ORD26000456</v>
      </c>
      <c r="P3837" s="23" t="str">
        <f t="shared" si="179"/>
        <v>Sep</v>
      </c>
      <c r="Q3837" s="23" t="str">
        <f>IF(F3837="CAPTURE",IF(COUNTIF(orders!$A:$A,O3837)&gt;0,"Yes","NO ORDER"),"")</f>
        <v>Yes</v>
      </c>
    </row>
    <row r="3838" spans="1:17" ht="15" customHeight="1" x14ac:dyDescent="0.3">
      <c r="A3838" s="23" t="s">
        <v>16839</v>
      </c>
      <c r="B3838" s="23"/>
      <c r="C3838" s="23" t="s">
        <v>1453</v>
      </c>
      <c r="D3838" s="23" t="str">
        <f t="shared" si="177"/>
        <v>ORD26000521</v>
      </c>
      <c r="E3838" s="38">
        <v>46286</v>
      </c>
      <c r="F3838" s="23" t="s">
        <v>12410</v>
      </c>
      <c r="G3838" s="23" t="s">
        <v>79</v>
      </c>
      <c r="H3838" s="24">
        <v>7999</v>
      </c>
      <c r="I3838" s="24">
        <v>127.98</v>
      </c>
      <c r="J3838" s="24">
        <v>23.04</v>
      </c>
      <c r="K3838" s="24">
        <v>7847.98</v>
      </c>
      <c r="L3838" s="38">
        <v>46288</v>
      </c>
      <c r="M3838" s="23" t="s">
        <v>218</v>
      </c>
      <c r="N3838" s="23" t="str">
        <f>IF(COUNTIF($A$2:A3838,A3838)&gt;1,"DUP","OK")</f>
        <v>OK</v>
      </c>
      <c r="O3838" s="23" t="str">
        <f t="shared" si="178"/>
        <v>ORD26000521</v>
      </c>
      <c r="P3838" s="23" t="str">
        <f t="shared" si="179"/>
        <v>Sep</v>
      </c>
      <c r="Q3838" s="23" t="str">
        <f>IF(F3838="CAPTURE",IF(COUNTIF(orders!$A:$A,O3838)&gt;0,"Yes","NO ORDER"),"")</f>
        <v>Yes</v>
      </c>
    </row>
    <row r="3839" spans="1:17" ht="15" customHeight="1" x14ac:dyDescent="0.3">
      <c r="A3839" s="23" t="s">
        <v>16840</v>
      </c>
      <c r="B3839" s="23"/>
      <c r="C3839" s="23" t="s">
        <v>1538</v>
      </c>
      <c r="D3839" s="23" t="str">
        <f t="shared" si="177"/>
        <v>ORD26000560</v>
      </c>
      <c r="E3839" s="38">
        <v>46286</v>
      </c>
      <c r="F3839" s="23" t="s">
        <v>12410</v>
      </c>
      <c r="G3839" s="23" t="s">
        <v>79</v>
      </c>
      <c r="H3839" s="24">
        <v>2999</v>
      </c>
      <c r="I3839" s="24">
        <v>47.98</v>
      </c>
      <c r="J3839" s="24">
        <v>8.64</v>
      </c>
      <c r="K3839" s="24">
        <v>2942.38</v>
      </c>
      <c r="L3839" s="38">
        <v>46288</v>
      </c>
      <c r="M3839" s="23" t="s">
        <v>218</v>
      </c>
      <c r="N3839" s="23" t="str">
        <f>IF(COUNTIF($A$2:A3839,A3839)&gt;1,"DUP","OK")</f>
        <v>OK</v>
      </c>
      <c r="O3839" s="23" t="str">
        <f t="shared" si="178"/>
        <v>ORD26000560</v>
      </c>
      <c r="P3839" s="23" t="str">
        <f t="shared" si="179"/>
        <v>Sep</v>
      </c>
      <c r="Q3839" s="23" t="str">
        <f>IF(F3839="CAPTURE",IF(COUNTIF(orders!$A:$A,O3839)&gt;0,"Yes","NO ORDER"),"")</f>
        <v>Yes</v>
      </c>
    </row>
    <row r="3840" spans="1:17" ht="15" customHeight="1" x14ac:dyDescent="0.3">
      <c r="A3840" s="23" t="s">
        <v>16841</v>
      </c>
      <c r="B3840" s="23"/>
      <c r="C3840" s="23" t="s">
        <v>1578</v>
      </c>
      <c r="D3840" s="23" t="str">
        <f t="shared" si="177"/>
        <v>ORD26000579</v>
      </c>
      <c r="E3840" s="38">
        <v>46286</v>
      </c>
      <c r="F3840" s="23" t="s">
        <v>12410</v>
      </c>
      <c r="G3840" s="23" t="s">
        <v>75</v>
      </c>
      <c r="H3840" s="24">
        <v>299</v>
      </c>
      <c r="I3840" s="24">
        <v>0</v>
      </c>
      <c r="J3840" s="24">
        <v>0</v>
      </c>
      <c r="K3840" s="24">
        <v>299</v>
      </c>
      <c r="L3840" s="38">
        <v>46288</v>
      </c>
      <c r="M3840" s="23" t="s">
        <v>218</v>
      </c>
      <c r="N3840" s="23" t="str">
        <f>IF(COUNTIF($A$2:A3840,A3840)&gt;1,"DUP","OK")</f>
        <v>OK</v>
      </c>
      <c r="O3840" s="23" t="str">
        <f t="shared" si="178"/>
        <v>ORD26000579</v>
      </c>
      <c r="P3840" s="23" t="str">
        <f t="shared" si="179"/>
        <v>Sep</v>
      </c>
      <c r="Q3840" s="23" t="str">
        <f>IF(F3840="CAPTURE",IF(COUNTIF(orders!$A:$A,O3840)&gt;0,"Yes","NO ORDER"),"")</f>
        <v>Yes</v>
      </c>
    </row>
    <row r="3841" spans="1:17" ht="15" customHeight="1" x14ac:dyDescent="0.3">
      <c r="A3841" s="23" t="s">
        <v>16842</v>
      </c>
      <c r="B3841" s="23"/>
      <c r="C3841" s="23" t="s">
        <v>1586</v>
      </c>
      <c r="D3841" s="23" t="str">
        <f t="shared" si="177"/>
        <v>ORD26000583</v>
      </c>
      <c r="E3841" s="38">
        <v>46286</v>
      </c>
      <c r="F3841" s="23" t="s">
        <v>12410</v>
      </c>
      <c r="G3841" s="23" t="s">
        <v>75</v>
      </c>
      <c r="H3841" s="24">
        <v>4697</v>
      </c>
      <c r="I3841" s="24">
        <v>14.09</v>
      </c>
      <c r="J3841" s="24">
        <v>2.54</v>
      </c>
      <c r="K3841" s="24">
        <v>4680.37</v>
      </c>
      <c r="L3841" s="38">
        <v>46288</v>
      </c>
      <c r="M3841" s="23" t="s">
        <v>218</v>
      </c>
      <c r="N3841" s="23" t="str">
        <f>IF(COUNTIF($A$2:A3841,A3841)&gt;1,"DUP","OK")</f>
        <v>OK</v>
      </c>
      <c r="O3841" s="23" t="str">
        <f t="shared" si="178"/>
        <v>ORD26000583</v>
      </c>
      <c r="P3841" s="23" t="str">
        <f t="shared" si="179"/>
        <v>Sep</v>
      </c>
      <c r="Q3841" s="23" t="str">
        <f>IF(F3841="CAPTURE",IF(COUNTIF(orders!$A:$A,O3841)&gt;0,"Yes","NO ORDER"),"")</f>
        <v>Yes</v>
      </c>
    </row>
    <row r="3842" spans="1:17" ht="15" customHeight="1" x14ac:dyDescent="0.3">
      <c r="A3842" s="23" t="s">
        <v>16843</v>
      </c>
      <c r="B3842" s="23"/>
      <c r="C3842" s="23" t="s">
        <v>1602</v>
      </c>
      <c r="D3842" s="23" t="str">
        <f t="shared" ref="D3842:D3905" si="180">UPPER(SUBSTITUTE(TRIM(C3842),"-",""))</f>
        <v>ORD26000590</v>
      </c>
      <c r="E3842" s="38">
        <v>46286</v>
      </c>
      <c r="F3842" s="23" t="s">
        <v>12410</v>
      </c>
      <c r="G3842" s="23" t="s">
        <v>75</v>
      </c>
      <c r="H3842" s="24">
        <v>299</v>
      </c>
      <c r="I3842" s="24">
        <v>0</v>
      </c>
      <c r="J3842" s="24">
        <v>0</v>
      </c>
      <c r="K3842" s="24">
        <v>299</v>
      </c>
      <c r="L3842" s="38">
        <v>46288</v>
      </c>
      <c r="M3842" s="23" t="s">
        <v>218</v>
      </c>
      <c r="N3842" s="23" t="str">
        <f>IF(COUNTIF($A$2:A3842,A3842)&gt;1,"DUP","OK")</f>
        <v>OK</v>
      </c>
      <c r="O3842" s="23" t="str">
        <f t="shared" ref="O3842:O3905" si="181">IF(F3842="REFUND",INDEX($D:$D,MATCH(B3842,$A:$A,0)),D3842)</f>
        <v>ORD26000590</v>
      </c>
      <c r="P3842" s="23" t="str">
        <f t="shared" ref="P3842:P3905" si="182">IF(L3842&gt;DATE(2026,9,30),"Oct-Due","Sep")</f>
        <v>Sep</v>
      </c>
      <c r="Q3842" s="23" t="str">
        <f>IF(F3842="CAPTURE",IF(COUNTIF(orders!$A:$A,O3842)&gt;0,"Yes","NO ORDER"),"")</f>
        <v>Yes</v>
      </c>
    </row>
    <row r="3843" spans="1:17" ht="15" customHeight="1" x14ac:dyDescent="0.3">
      <c r="A3843" s="23" t="s">
        <v>16844</v>
      </c>
      <c r="B3843" s="23"/>
      <c r="C3843" s="23" t="s">
        <v>1620</v>
      </c>
      <c r="D3843" s="23" t="str">
        <f t="shared" si="180"/>
        <v>ORD26000598</v>
      </c>
      <c r="E3843" s="38">
        <v>46286</v>
      </c>
      <c r="F3843" s="23" t="s">
        <v>12410</v>
      </c>
      <c r="G3843" s="23" t="s">
        <v>75</v>
      </c>
      <c r="H3843" s="24">
        <v>1499</v>
      </c>
      <c r="I3843" s="24">
        <v>0</v>
      </c>
      <c r="J3843" s="24">
        <v>0</v>
      </c>
      <c r="K3843" s="24">
        <v>1499</v>
      </c>
      <c r="L3843" s="38">
        <v>46288</v>
      </c>
      <c r="M3843" s="23" t="s">
        <v>218</v>
      </c>
      <c r="N3843" s="23" t="str">
        <f>IF(COUNTIF($A$2:A3843,A3843)&gt;1,"DUP","OK")</f>
        <v>OK</v>
      </c>
      <c r="O3843" s="23" t="str">
        <f t="shared" si="181"/>
        <v>ORD26000598</v>
      </c>
      <c r="P3843" s="23" t="str">
        <f t="shared" si="182"/>
        <v>Sep</v>
      </c>
      <c r="Q3843" s="23" t="str">
        <f>IF(F3843="CAPTURE",IF(COUNTIF(orders!$A:$A,O3843)&gt;0,"Yes","NO ORDER"),"")</f>
        <v>Yes</v>
      </c>
    </row>
    <row r="3844" spans="1:17" ht="15" customHeight="1" x14ac:dyDescent="0.3">
      <c r="A3844" s="23" t="s">
        <v>16845</v>
      </c>
      <c r="B3844" s="23"/>
      <c r="C3844" s="23" t="s">
        <v>1756</v>
      </c>
      <c r="D3844" s="23" t="str">
        <f t="shared" si="180"/>
        <v>ORD26000662</v>
      </c>
      <c r="E3844" s="38">
        <v>46286</v>
      </c>
      <c r="F3844" s="23" t="s">
        <v>12410</v>
      </c>
      <c r="G3844" s="23" t="s">
        <v>77</v>
      </c>
      <c r="H3844" s="24">
        <v>799</v>
      </c>
      <c r="I3844" s="24">
        <v>15.18</v>
      </c>
      <c r="J3844" s="24">
        <v>2.73</v>
      </c>
      <c r="K3844" s="24">
        <v>781.09</v>
      </c>
      <c r="L3844" s="38">
        <v>46288</v>
      </c>
      <c r="M3844" s="23" t="s">
        <v>218</v>
      </c>
      <c r="N3844" s="23" t="str">
        <f>IF(COUNTIF($A$2:A3844,A3844)&gt;1,"DUP","OK")</f>
        <v>OK</v>
      </c>
      <c r="O3844" s="23" t="str">
        <f t="shared" si="181"/>
        <v>ORD26000662</v>
      </c>
      <c r="P3844" s="23" t="str">
        <f t="shared" si="182"/>
        <v>Sep</v>
      </c>
      <c r="Q3844" s="23" t="str">
        <f>IF(F3844="CAPTURE",IF(COUNTIF(orders!$A:$A,O3844)&gt;0,"Yes","NO ORDER"),"")</f>
        <v>Yes</v>
      </c>
    </row>
    <row r="3845" spans="1:17" ht="15" customHeight="1" x14ac:dyDescent="0.3">
      <c r="A3845" s="23" t="s">
        <v>16846</v>
      </c>
      <c r="B3845" s="23"/>
      <c r="C3845" s="23" t="s">
        <v>1890</v>
      </c>
      <c r="D3845" s="23" t="str">
        <f t="shared" si="180"/>
        <v>ORD26000725</v>
      </c>
      <c r="E3845" s="38">
        <v>46286</v>
      </c>
      <c r="F3845" s="23" t="s">
        <v>12410</v>
      </c>
      <c r="G3845" s="23" t="s">
        <v>81</v>
      </c>
      <c r="H3845" s="24">
        <v>2999</v>
      </c>
      <c r="I3845" s="24">
        <v>35.99</v>
      </c>
      <c r="J3845" s="24">
        <v>6.48</v>
      </c>
      <c r="K3845" s="24">
        <v>2956.53</v>
      </c>
      <c r="L3845" s="38">
        <v>46288</v>
      </c>
      <c r="M3845" s="23" t="s">
        <v>218</v>
      </c>
      <c r="N3845" s="23" t="str">
        <f>IF(COUNTIF($A$2:A3845,A3845)&gt;1,"DUP","OK")</f>
        <v>OK</v>
      </c>
      <c r="O3845" s="23" t="str">
        <f t="shared" si="181"/>
        <v>ORD26000725</v>
      </c>
      <c r="P3845" s="23" t="str">
        <f t="shared" si="182"/>
        <v>Sep</v>
      </c>
      <c r="Q3845" s="23" t="str">
        <f>IF(F3845="CAPTURE",IF(COUNTIF(orders!$A:$A,O3845)&gt;0,"Yes","NO ORDER"),"")</f>
        <v>Yes</v>
      </c>
    </row>
    <row r="3846" spans="1:17" ht="15" customHeight="1" x14ac:dyDescent="0.3">
      <c r="A3846" s="23" t="s">
        <v>16847</v>
      </c>
      <c r="B3846" s="23"/>
      <c r="C3846" s="23" t="s">
        <v>1939</v>
      </c>
      <c r="D3846" s="23" t="str">
        <f t="shared" si="180"/>
        <v>ORD26000750</v>
      </c>
      <c r="E3846" s="38">
        <v>46286</v>
      </c>
      <c r="F3846" s="23" t="s">
        <v>12410</v>
      </c>
      <c r="G3846" s="23" t="s">
        <v>75</v>
      </c>
      <c r="H3846" s="24">
        <v>3798</v>
      </c>
      <c r="I3846" s="24">
        <v>11.39</v>
      </c>
      <c r="J3846" s="24">
        <v>2.0499999999999998</v>
      </c>
      <c r="K3846" s="24">
        <v>3784.56</v>
      </c>
      <c r="L3846" s="38">
        <v>46288</v>
      </c>
      <c r="M3846" s="23" t="s">
        <v>218</v>
      </c>
      <c r="N3846" s="23" t="str">
        <f>IF(COUNTIF($A$2:A3846,A3846)&gt;1,"DUP","OK")</f>
        <v>OK</v>
      </c>
      <c r="O3846" s="23" t="str">
        <f t="shared" si="181"/>
        <v>ORD26000750</v>
      </c>
      <c r="P3846" s="23" t="str">
        <f t="shared" si="182"/>
        <v>Sep</v>
      </c>
      <c r="Q3846" s="23" t="str">
        <f>IF(F3846="CAPTURE",IF(COUNTIF(orders!$A:$A,O3846)&gt;0,"Yes","NO ORDER"),"")</f>
        <v>Yes</v>
      </c>
    </row>
    <row r="3847" spans="1:17" ht="15" customHeight="1" x14ac:dyDescent="0.3">
      <c r="A3847" s="23" t="s">
        <v>16848</v>
      </c>
      <c r="B3847" s="23"/>
      <c r="C3847" s="23" t="s">
        <v>2055</v>
      </c>
      <c r="D3847" s="23" t="str">
        <f t="shared" si="180"/>
        <v>ORD26000804</v>
      </c>
      <c r="E3847" s="38">
        <v>46286</v>
      </c>
      <c r="F3847" s="23" t="s">
        <v>12410</v>
      </c>
      <c r="G3847" s="23" t="s">
        <v>75</v>
      </c>
      <c r="H3847" s="24">
        <v>2499</v>
      </c>
      <c r="I3847" s="24">
        <v>7.5</v>
      </c>
      <c r="J3847" s="24">
        <v>1.35</v>
      </c>
      <c r="K3847" s="24">
        <v>2490.15</v>
      </c>
      <c r="L3847" s="38">
        <v>46288</v>
      </c>
      <c r="M3847" s="23" t="s">
        <v>218</v>
      </c>
      <c r="N3847" s="23" t="str">
        <f>IF(COUNTIF($A$2:A3847,A3847)&gt;1,"DUP","OK")</f>
        <v>OK</v>
      </c>
      <c r="O3847" s="23" t="str">
        <f t="shared" si="181"/>
        <v>ORD26000804</v>
      </c>
      <c r="P3847" s="23" t="str">
        <f t="shared" si="182"/>
        <v>Sep</v>
      </c>
      <c r="Q3847" s="23" t="str">
        <f>IF(F3847="CAPTURE",IF(COUNTIF(orders!$A:$A,O3847)&gt;0,"Yes","NO ORDER"),"")</f>
        <v>Yes</v>
      </c>
    </row>
    <row r="3848" spans="1:17" ht="15" customHeight="1" x14ac:dyDescent="0.3">
      <c r="A3848" s="23" t="s">
        <v>16849</v>
      </c>
      <c r="B3848" s="23"/>
      <c r="C3848" s="23" t="s">
        <v>2208</v>
      </c>
      <c r="D3848" s="23" t="str">
        <f t="shared" si="180"/>
        <v>ORD26000877</v>
      </c>
      <c r="E3848" s="38">
        <v>46286</v>
      </c>
      <c r="F3848" s="23" t="s">
        <v>12410</v>
      </c>
      <c r="G3848" s="23" t="s">
        <v>75</v>
      </c>
      <c r="H3848" s="24">
        <v>3298</v>
      </c>
      <c r="I3848" s="24">
        <v>9.89</v>
      </c>
      <c r="J3848" s="24">
        <v>1.78</v>
      </c>
      <c r="K3848" s="24">
        <v>3286.33</v>
      </c>
      <c r="L3848" s="38">
        <v>46288</v>
      </c>
      <c r="M3848" s="23" t="s">
        <v>218</v>
      </c>
      <c r="N3848" s="23" t="str">
        <f>IF(COUNTIF($A$2:A3848,A3848)&gt;1,"DUP","OK")</f>
        <v>OK</v>
      </c>
      <c r="O3848" s="23" t="str">
        <f t="shared" si="181"/>
        <v>ORD26000877</v>
      </c>
      <c r="P3848" s="23" t="str">
        <f t="shared" si="182"/>
        <v>Sep</v>
      </c>
      <c r="Q3848" s="23" t="str">
        <f>IF(F3848="CAPTURE",IF(COUNTIF(orders!$A:$A,O3848)&gt;0,"Yes","NO ORDER"),"")</f>
        <v>Yes</v>
      </c>
    </row>
    <row r="3849" spans="1:17" ht="15" customHeight="1" x14ac:dyDescent="0.3">
      <c r="A3849" s="23" t="s">
        <v>16850</v>
      </c>
      <c r="B3849" s="23"/>
      <c r="C3849" s="23" t="s">
        <v>2231</v>
      </c>
      <c r="D3849" s="23" t="str">
        <f t="shared" si="180"/>
        <v>ORD26000888</v>
      </c>
      <c r="E3849" s="38">
        <v>46286</v>
      </c>
      <c r="F3849" s="23" t="s">
        <v>12410</v>
      </c>
      <c r="G3849" s="23" t="s">
        <v>79</v>
      </c>
      <c r="H3849" s="24">
        <v>2998</v>
      </c>
      <c r="I3849" s="24">
        <v>47.97</v>
      </c>
      <c r="J3849" s="24">
        <v>8.6300000000000008</v>
      </c>
      <c r="K3849" s="24">
        <v>2941.4</v>
      </c>
      <c r="L3849" s="38">
        <v>46288</v>
      </c>
      <c r="M3849" s="23" t="s">
        <v>218</v>
      </c>
      <c r="N3849" s="23" t="str">
        <f>IF(COUNTIF($A$2:A3849,A3849)&gt;1,"DUP","OK")</f>
        <v>OK</v>
      </c>
      <c r="O3849" s="23" t="str">
        <f t="shared" si="181"/>
        <v>ORD26000888</v>
      </c>
      <c r="P3849" s="23" t="str">
        <f t="shared" si="182"/>
        <v>Sep</v>
      </c>
      <c r="Q3849" s="23" t="str">
        <f>IF(F3849="CAPTURE",IF(COUNTIF(orders!$A:$A,O3849)&gt;0,"Yes","NO ORDER"),"")</f>
        <v>Yes</v>
      </c>
    </row>
    <row r="3850" spans="1:17" ht="15" customHeight="1" x14ac:dyDescent="0.3">
      <c r="A3850" s="23" t="s">
        <v>16851</v>
      </c>
      <c r="B3850" s="23"/>
      <c r="C3850" s="23" t="s">
        <v>2263</v>
      </c>
      <c r="D3850" s="23" t="str">
        <f t="shared" si="180"/>
        <v>ORD26000904</v>
      </c>
      <c r="E3850" s="38">
        <v>46286</v>
      </c>
      <c r="F3850" s="23" t="s">
        <v>12410</v>
      </c>
      <c r="G3850" s="23" t="s">
        <v>75</v>
      </c>
      <c r="H3850" s="24">
        <v>799</v>
      </c>
      <c r="I3850" s="24">
        <v>0</v>
      </c>
      <c r="J3850" s="24">
        <v>0</v>
      </c>
      <c r="K3850" s="24">
        <v>799</v>
      </c>
      <c r="L3850" s="38">
        <v>46288</v>
      </c>
      <c r="M3850" s="23" t="s">
        <v>218</v>
      </c>
      <c r="N3850" s="23" t="str">
        <f>IF(COUNTIF($A$2:A3850,A3850)&gt;1,"DUP","OK")</f>
        <v>OK</v>
      </c>
      <c r="O3850" s="23" t="str">
        <f t="shared" si="181"/>
        <v>ORD26000904</v>
      </c>
      <c r="P3850" s="23" t="str">
        <f t="shared" si="182"/>
        <v>Sep</v>
      </c>
      <c r="Q3850" s="23" t="str">
        <f>IF(F3850="CAPTURE",IF(COUNTIF(orders!$A:$A,O3850)&gt;0,"Yes","NO ORDER"),"")</f>
        <v>Yes</v>
      </c>
    </row>
    <row r="3851" spans="1:17" ht="15" customHeight="1" x14ac:dyDescent="0.3">
      <c r="A3851" s="23" t="s">
        <v>16852</v>
      </c>
      <c r="B3851" s="23"/>
      <c r="C3851" s="23" t="s">
        <v>2280</v>
      </c>
      <c r="D3851" s="23" t="str">
        <f t="shared" si="180"/>
        <v>ORD26000912</v>
      </c>
      <c r="E3851" s="38">
        <v>46286</v>
      </c>
      <c r="F3851" s="23" t="s">
        <v>12410</v>
      </c>
      <c r="G3851" s="23" t="s">
        <v>75</v>
      </c>
      <c r="H3851" s="24">
        <v>1799</v>
      </c>
      <c r="I3851" s="24">
        <v>0</v>
      </c>
      <c r="J3851" s="24">
        <v>0</v>
      </c>
      <c r="K3851" s="24">
        <v>1799</v>
      </c>
      <c r="L3851" s="38">
        <v>46288</v>
      </c>
      <c r="M3851" s="23" t="s">
        <v>218</v>
      </c>
      <c r="N3851" s="23" t="str">
        <f>IF(COUNTIF($A$2:A3851,A3851)&gt;1,"DUP","OK")</f>
        <v>OK</v>
      </c>
      <c r="O3851" s="23" t="str">
        <f t="shared" si="181"/>
        <v>ORD26000912</v>
      </c>
      <c r="P3851" s="23" t="str">
        <f t="shared" si="182"/>
        <v>Sep</v>
      </c>
      <c r="Q3851" s="23" t="str">
        <f>IF(F3851="CAPTURE",IF(COUNTIF(orders!$A:$A,O3851)&gt;0,"Yes","NO ORDER"),"")</f>
        <v>Yes</v>
      </c>
    </row>
    <row r="3852" spans="1:17" ht="15" customHeight="1" x14ac:dyDescent="0.3">
      <c r="A3852" s="23" t="s">
        <v>16853</v>
      </c>
      <c r="B3852" s="23"/>
      <c r="C3852" s="23" t="s">
        <v>2369</v>
      </c>
      <c r="D3852" s="23" t="str">
        <f t="shared" si="180"/>
        <v>ORD26000955</v>
      </c>
      <c r="E3852" s="38">
        <v>46286</v>
      </c>
      <c r="F3852" s="23" t="s">
        <v>12410</v>
      </c>
      <c r="G3852" s="23" t="s">
        <v>79</v>
      </c>
      <c r="H3852" s="24">
        <v>4197</v>
      </c>
      <c r="I3852" s="24">
        <v>67.150000000000006</v>
      </c>
      <c r="J3852" s="24">
        <v>12.09</v>
      </c>
      <c r="K3852" s="24">
        <v>4117.76</v>
      </c>
      <c r="L3852" s="38">
        <v>46288</v>
      </c>
      <c r="M3852" s="23" t="s">
        <v>218</v>
      </c>
      <c r="N3852" s="23" t="str">
        <f>IF(COUNTIF($A$2:A3852,A3852)&gt;1,"DUP","OK")</f>
        <v>OK</v>
      </c>
      <c r="O3852" s="23" t="str">
        <f t="shared" si="181"/>
        <v>ORD26000955</v>
      </c>
      <c r="P3852" s="23" t="str">
        <f t="shared" si="182"/>
        <v>Sep</v>
      </c>
      <c r="Q3852" s="23" t="str">
        <f>IF(F3852="CAPTURE",IF(COUNTIF(orders!$A:$A,O3852)&gt;0,"Yes","NO ORDER"),"")</f>
        <v>Yes</v>
      </c>
    </row>
    <row r="3853" spans="1:17" ht="15" customHeight="1" x14ac:dyDescent="0.3">
      <c r="A3853" s="23" t="s">
        <v>16854</v>
      </c>
      <c r="B3853" s="23"/>
      <c r="C3853" s="23" t="s">
        <v>2373</v>
      </c>
      <c r="D3853" s="23" t="str">
        <f t="shared" si="180"/>
        <v>ORD26000957</v>
      </c>
      <c r="E3853" s="38">
        <v>46286</v>
      </c>
      <c r="F3853" s="23" t="s">
        <v>12410</v>
      </c>
      <c r="G3853" s="23" t="s">
        <v>77</v>
      </c>
      <c r="H3853" s="24">
        <v>5798</v>
      </c>
      <c r="I3853" s="24">
        <v>98.57</v>
      </c>
      <c r="J3853" s="24">
        <v>17.739999999999998</v>
      </c>
      <c r="K3853" s="24">
        <v>5681.69</v>
      </c>
      <c r="L3853" s="38">
        <v>46288</v>
      </c>
      <c r="M3853" s="23" t="s">
        <v>218</v>
      </c>
      <c r="N3853" s="23" t="str">
        <f>IF(COUNTIF($A$2:A3853,A3853)&gt;1,"DUP","OK")</f>
        <v>OK</v>
      </c>
      <c r="O3853" s="23" t="str">
        <f t="shared" si="181"/>
        <v>ORD26000957</v>
      </c>
      <c r="P3853" s="23" t="str">
        <f t="shared" si="182"/>
        <v>Sep</v>
      </c>
      <c r="Q3853" s="23" t="str">
        <f>IF(F3853="CAPTURE",IF(COUNTIF(orders!$A:$A,O3853)&gt;0,"Yes","NO ORDER"),"")</f>
        <v>Yes</v>
      </c>
    </row>
    <row r="3854" spans="1:17" ht="15" customHeight="1" x14ac:dyDescent="0.3">
      <c r="A3854" s="23" t="s">
        <v>16855</v>
      </c>
      <c r="B3854" s="23"/>
      <c r="C3854" s="23" t="s">
        <v>2436</v>
      </c>
      <c r="D3854" s="23" t="str">
        <f t="shared" si="180"/>
        <v>ORD26000988</v>
      </c>
      <c r="E3854" s="38">
        <v>46286</v>
      </c>
      <c r="F3854" s="23" t="s">
        <v>12410</v>
      </c>
      <c r="G3854" s="23" t="s">
        <v>75</v>
      </c>
      <c r="H3854" s="24">
        <v>7999</v>
      </c>
      <c r="I3854" s="24">
        <v>24</v>
      </c>
      <c r="J3854" s="24">
        <v>4.32</v>
      </c>
      <c r="K3854" s="24">
        <v>7970.68</v>
      </c>
      <c r="L3854" s="38">
        <v>46288</v>
      </c>
      <c r="M3854" s="23" t="s">
        <v>218</v>
      </c>
      <c r="N3854" s="23" t="str">
        <f>IF(COUNTIF($A$2:A3854,A3854)&gt;1,"DUP","OK")</f>
        <v>OK</v>
      </c>
      <c r="O3854" s="23" t="str">
        <f t="shared" si="181"/>
        <v>ORD26000988</v>
      </c>
      <c r="P3854" s="23" t="str">
        <f t="shared" si="182"/>
        <v>Sep</v>
      </c>
      <c r="Q3854" s="23" t="str">
        <f>IF(F3854="CAPTURE",IF(COUNTIF(orders!$A:$A,O3854)&gt;0,"Yes","NO ORDER"),"")</f>
        <v>Yes</v>
      </c>
    </row>
    <row r="3855" spans="1:17" ht="15" customHeight="1" x14ac:dyDescent="0.3">
      <c r="A3855" s="23" t="s">
        <v>16856</v>
      </c>
      <c r="B3855" s="23"/>
      <c r="C3855" s="23" t="s">
        <v>16857</v>
      </c>
      <c r="D3855" s="23" t="str">
        <f t="shared" si="180"/>
        <v>ORD26001021</v>
      </c>
      <c r="E3855" s="38">
        <v>46286</v>
      </c>
      <c r="F3855" s="23" t="s">
        <v>12410</v>
      </c>
      <c r="G3855" s="23" t="s">
        <v>79</v>
      </c>
      <c r="H3855" s="24">
        <v>799</v>
      </c>
      <c r="I3855" s="24">
        <v>14.38</v>
      </c>
      <c r="J3855" s="24">
        <v>2.59</v>
      </c>
      <c r="K3855" s="24">
        <v>782.03</v>
      </c>
      <c r="L3855" s="38">
        <v>46288</v>
      </c>
      <c r="M3855" s="23" t="s">
        <v>218</v>
      </c>
      <c r="N3855" s="23" t="str">
        <f>IF(COUNTIF($A$2:A3855,A3855)&gt;1,"DUP","OK")</f>
        <v>OK</v>
      </c>
      <c r="O3855" s="23" t="str">
        <f t="shared" si="181"/>
        <v>ORD26001021</v>
      </c>
      <c r="P3855" s="23" t="str">
        <f t="shared" si="182"/>
        <v>Sep</v>
      </c>
      <c r="Q3855" s="23" t="str">
        <f>IF(F3855="CAPTURE",IF(COUNTIF(orders!$A:$A,O3855)&gt;0,"Yes","NO ORDER"),"")</f>
        <v>Yes</v>
      </c>
    </row>
    <row r="3856" spans="1:17" ht="15" customHeight="1" x14ac:dyDescent="0.3">
      <c r="A3856" s="23" t="s">
        <v>16858</v>
      </c>
      <c r="B3856" s="23"/>
      <c r="C3856" s="23" t="s">
        <v>2697</v>
      </c>
      <c r="D3856" s="23" t="str">
        <f t="shared" si="180"/>
        <v>ORD26001116</v>
      </c>
      <c r="E3856" s="38">
        <v>46286</v>
      </c>
      <c r="F3856" s="23" t="s">
        <v>12410</v>
      </c>
      <c r="G3856" s="23" t="s">
        <v>75</v>
      </c>
      <c r="H3856" s="24">
        <v>3499</v>
      </c>
      <c r="I3856" s="24">
        <v>10.5</v>
      </c>
      <c r="J3856" s="24">
        <v>1.89</v>
      </c>
      <c r="K3856" s="24">
        <v>3486.61</v>
      </c>
      <c r="L3856" s="38">
        <v>46288</v>
      </c>
      <c r="M3856" s="23" t="s">
        <v>218</v>
      </c>
      <c r="N3856" s="23" t="str">
        <f>IF(COUNTIF($A$2:A3856,A3856)&gt;1,"DUP","OK")</f>
        <v>OK</v>
      </c>
      <c r="O3856" s="23" t="str">
        <f t="shared" si="181"/>
        <v>ORD26001116</v>
      </c>
      <c r="P3856" s="23" t="str">
        <f t="shared" si="182"/>
        <v>Sep</v>
      </c>
      <c r="Q3856" s="23" t="str">
        <f>IF(F3856="CAPTURE",IF(COUNTIF(orders!$A:$A,O3856)&gt;0,"Yes","NO ORDER"),"")</f>
        <v>Yes</v>
      </c>
    </row>
    <row r="3857" spans="1:17" ht="15" customHeight="1" x14ac:dyDescent="0.3">
      <c r="A3857" s="23" t="s">
        <v>16859</v>
      </c>
      <c r="B3857" s="23"/>
      <c r="C3857" s="23" t="s">
        <v>2724</v>
      </c>
      <c r="D3857" s="23" t="str">
        <f t="shared" si="180"/>
        <v>ORD26001129</v>
      </c>
      <c r="E3857" s="38">
        <v>46286</v>
      </c>
      <c r="F3857" s="23" t="s">
        <v>12410</v>
      </c>
      <c r="G3857" s="23" t="s">
        <v>75</v>
      </c>
      <c r="H3857" s="24">
        <v>4999</v>
      </c>
      <c r="I3857" s="24">
        <v>15</v>
      </c>
      <c r="J3857" s="24">
        <v>2.7</v>
      </c>
      <c r="K3857" s="24">
        <v>4981.3</v>
      </c>
      <c r="L3857" s="38">
        <v>46288</v>
      </c>
      <c r="M3857" s="23" t="s">
        <v>218</v>
      </c>
      <c r="N3857" s="23" t="str">
        <f>IF(COUNTIF($A$2:A3857,A3857)&gt;1,"DUP","OK")</f>
        <v>OK</v>
      </c>
      <c r="O3857" s="23" t="str">
        <f t="shared" si="181"/>
        <v>ORD26001129</v>
      </c>
      <c r="P3857" s="23" t="str">
        <f t="shared" si="182"/>
        <v>Sep</v>
      </c>
      <c r="Q3857" s="23" t="str">
        <f>IF(F3857="CAPTURE",IF(COUNTIF(orders!$A:$A,O3857)&gt;0,"Yes","NO ORDER"),"")</f>
        <v>Yes</v>
      </c>
    </row>
    <row r="3858" spans="1:17" ht="15" customHeight="1" x14ac:dyDescent="0.3">
      <c r="A3858" s="23" t="s">
        <v>16860</v>
      </c>
      <c r="B3858" s="23"/>
      <c r="C3858" s="23" t="s">
        <v>2755</v>
      </c>
      <c r="D3858" s="23" t="str">
        <f t="shared" si="180"/>
        <v>ORD26001144</v>
      </c>
      <c r="E3858" s="38">
        <v>46286</v>
      </c>
      <c r="F3858" s="23" t="s">
        <v>12410</v>
      </c>
      <c r="G3858" s="23" t="s">
        <v>79</v>
      </c>
      <c r="H3858" s="24">
        <v>7999</v>
      </c>
      <c r="I3858" s="24">
        <v>127.98</v>
      </c>
      <c r="J3858" s="24">
        <v>23.04</v>
      </c>
      <c r="K3858" s="24">
        <v>7847.98</v>
      </c>
      <c r="L3858" s="38">
        <v>46288</v>
      </c>
      <c r="M3858" s="23" t="s">
        <v>218</v>
      </c>
      <c r="N3858" s="23" t="str">
        <f>IF(COUNTIF($A$2:A3858,A3858)&gt;1,"DUP","OK")</f>
        <v>OK</v>
      </c>
      <c r="O3858" s="23" t="str">
        <f t="shared" si="181"/>
        <v>ORD26001144</v>
      </c>
      <c r="P3858" s="23" t="str">
        <f t="shared" si="182"/>
        <v>Sep</v>
      </c>
      <c r="Q3858" s="23" t="str">
        <f>IF(F3858="CAPTURE",IF(COUNTIF(orders!$A:$A,O3858)&gt;0,"Yes","NO ORDER"),"")</f>
        <v>Yes</v>
      </c>
    </row>
    <row r="3859" spans="1:17" ht="15" customHeight="1" x14ac:dyDescent="0.3">
      <c r="A3859" s="23" t="s">
        <v>16861</v>
      </c>
      <c r="B3859" s="23"/>
      <c r="C3859" s="23" t="s">
        <v>2838</v>
      </c>
      <c r="D3859" s="23" t="str">
        <f t="shared" si="180"/>
        <v>ORD26001185</v>
      </c>
      <c r="E3859" s="38">
        <v>46286</v>
      </c>
      <c r="F3859" s="23" t="s">
        <v>12410</v>
      </c>
      <c r="G3859" s="23" t="s">
        <v>79</v>
      </c>
      <c r="H3859" s="24">
        <v>4498</v>
      </c>
      <c r="I3859" s="24">
        <v>71.97</v>
      </c>
      <c r="J3859" s="24">
        <v>12.95</v>
      </c>
      <c r="K3859" s="24">
        <v>4413.08</v>
      </c>
      <c r="L3859" s="38">
        <v>46288</v>
      </c>
      <c r="M3859" s="23" t="s">
        <v>218</v>
      </c>
      <c r="N3859" s="23" t="str">
        <f>IF(COUNTIF($A$2:A3859,A3859)&gt;1,"DUP","OK")</f>
        <v>OK</v>
      </c>
      <c r="O3859" s="23" t="str">
        <f t="shared" si="181"/>
        <v>ORD26001185</v>
      </c>
      <c r="P3859" s="23" t="str">
        <f t="shared" si="182"/>
        <v>Sep</v>
      </c>
      <c r="Q3859" s="23" t="str">
        <f>IF(F3859="CAPTURE",IF(COUNTIF(orders!$A:$A,O3859)&gt;0,"Yes","NO ORDER"),"")</f>
        <v>Yes</v>
      </c>
    </row>
    <row r="3860" spans="1:17" ht="15" customHeight="1" x14ac:dyDescent="0.3">
      <c r="A3860" s="23" t="s">
        <v>16862</v>
      </c>
      <c r="B3860" s="23"/>
      <c r="C3860" s="23" t="s">
        <v>2886</v>
      </c>
      <c r="D3860" s="23" t="str">
        <f t="shared" si="180"/>
        <v>ORD26001209</v>
      </c>
      <c r="E3860" s="38">
        <v>46286</v>
      </c>
      <c r="F3860" s="23" t="s">
        <v>12410</v>
      </c>
      <c r="G3860" s="23" t="s">
        <v>75</v>
      </c>
      <c r="H3860" s="24">
        <v>999</v>
      </c>
      <c r="I3860" s="24">
        <v>0</v>
      </c>
      <c r="J3860" s="24">
        <v>0</v>
      </c>
      <c r="K3860" s="24">
        <v>999</v>
      </c>
      <c r="L3860" s="38">
        <v>46288</v>
      </c>
      <c r="M3860" s="23" t="s">
        <v>218</v>
      </c>
      <c r="N3860" s="23" t="str">
        <f>IF(COUNTIF($A$2:A3860,A3860)&gt;1,"DUP","OK")</f>
        <v>OK</v>
      </c>
      <c r="O3860" s="23" t="str">
        <f t="shared" si="181"/>
        <v>ORD26001209</v>
      </c>
      <c r="P3860" s="23" t="str">
        <f t="shared" si="182"/>
        <v>Sep</v>
      </c>
      <c r="Q3860" s="23" t="str">
        <f>IF(F3860="CAPTURE",IF(COUNTIF(orders!$A:$A,O3860)&gt;0,"Yes","NO ORDER"),"")</f>
        <v>Yes</v>
      </c>
    </row>
    <row r="3861" spans="1:17" ht="15" customHeight="1" x14ac:dyDescent="0.3">
      <c r="A3861" s="23" t="s">
        <v>16863</v>
      </c>
      <c r="B3861" s="23"/>
      <c r="C3861" s="23" t="s">
        <v>16864</v>
      </c>
      <c r="D3861" s="23" t="str">
        <f t="shared" si="180"/>
        <v>ORD26001244</v>
      </c>
      <c r="E3861" s="38">
        <v>46286</v>
      </c>
      <c r="F3861" s="23" t="s">
        <v>12410</v>
      </c>
      <c r="G3861" s="23" t="s">
        <v>75</v>
      </c>
      <c r="H3861" s="24">
        <v>7999</v>
      </c>
      <c r="I3861" s="24">
        <v>24</v>
      </c>
      <c r="J3861" s="24">
        <v>4.32</v>
      </c>
      <c r="K3861" s="24">
        <v>7970.68</v>
      </c>
      <c r="L3861" s="38">
        <v>46288</v>
      </c>
      <c r="M3861" s="23" t="s">
        <v>218</v>
      </c>
      <c r="N3861" s="23" t="str">
        <f>IF(COUNTIF($A$2:A3861,A3861)&gt;1,"DUP","OK")</f>
        <v>OK</v>
      </c>
      <c r="O3861" s="23" t="str">
        <f t="shared" si="181"/>
        <v>ORD26001244</v>
      </c>
      <c r="P3861" s="23" t="str">
        <f t="shared" si="182"/>
        <v>Sep</v>
      </c>
      <c r="Q3861" s="23" t="str">
        <f>IF(F3861="CAPTURE",IF(COUNTIF(orders!$A:$A,O3861)&gt;0,"Yes","NO ORDER"),"")</f>
        <v>Yes</v>
      </c>
    </row>
    <row r="3862" spans="1:17" ht="15" customHeight="1" x14ac:dyDescent="0.3">
      <c r="A3862" s="23" t="s">
        <v>16865</v>
      </c>
      <c r="B3862" s="23"/>
      <c r="C3862" s="23" t="s">
        <v>2976</v>
      </c>
      <c r="D3862" s="23" t="str">
        <f t="shared" si="180"/>
        <v>ORD26001252</v>
      </c>
      <c r="E3862" s="38">
        <v>46286</v>
      </c>
      <c r="F3862" s="23" t="s">
        <v>12410</v>
      </c>
      <c r="G3862" s="23" t="s">
        <v>75</v>
      </c>
      <c r="H3862" s="24">
        <v>499</v>
      </c>
      <c r="I3862" s="24">
        <v>0</v>
      </c>
      <c r="J3862" s="24">
        <v>0</v>
      </c>
      <c r="K3862" s="24">
        <v>499</v>
      </c>
      <c r="L3862" s="38">
        <v>46288</v>
      </c>
      <c r="M3862" s="23" t="s">
        <v>218</v>
      </c>
      <c r="N3862" s="23" t="str">
        <f>IF(COUNTIF($A$2:A3862,A3862)&gt;1,"DUP","OK")</f>
        <v>OK</v>
      </c>
      <c r="O3862" s="23" t="str">
        <f t="shared" si="181"/>
        <v>ORD26001252</v>
      </c>
      <c r="P3862" s="23" t="str">
        <f t="shared" si="182"/>
        <v>Sep</v>
      </c>
      <c r="Q3862" s="23" t="str">
        <f>IF(F3862="CAPTURE",IF(COUNTIF(orders!$A:$A,O3862)&gt;0,"Yes","NO ORDER"),"")</f>
        <v>Yes</v>
      </c>
    </row>
    <row r="3863" spans="1:17" ht="15" customHeight="1" x14ac:dyDescent="0.3">
      <c r="A3863" s="23" t="s">
        <v>16866</v>
      </c>
      <c r="B3863" s="23"/>
      <c r="C3863" s="23" t="s">
        <v>3003</v>
      </c>
      <c r="D3863" s="23" t="str">
        <f t="shared" si="180"/>
        <v>ORD26001265</v>
      </c>
      <c r="E3863" s="38">
        <v>46286</v>
      </c>
      <c r="F3863" s="23" t="s">
        <v>12410</v>
      </c>
      <c r="G3863" s="23" t="s">
        <v>75</v>
      </c>
      <c r="H3863" s="24">
        <v>4999</v>
      </c>
      <c r="I3863" s="24">
        <v>15</v>
      </c>
      <c r="J3863" s="24">
        <v>2.7</v>
      </c>
      <c r="K3863" s="24">
        <v>4981.3</v>
      </c>
      <c r="L3863" s="38">
        <v>46288</v>
      </c>
      <c r="M3863" s="23" t="s">
        <v>218</v>
      </c>
      <c r="N3863" s="23" t="str">
        <f>IF(COUNTIF($A$2:A3863,A3863)&gt;1,"DUP","OK")</f>
        <v>OK</v>
      </c>
      <c r="O3863" s="23" t="str">
        <f t="shared" si="181"/>
        <v>ORD26001265</v>
      </c>
      <c r="P3863" s="23" t="str">
        <f t="shared" si="182"/>
        <v>Sep</v>
      </c>
      <c r="Q3863" s="23" t="str">
        <f>IF(F3863="CAPTURE",IF(COUNTIF(orders!$A:$A,O3863)&gt;0,"Yes","NO ORDER"),"")</f>
        <v>Yes</v>
      </c>
    </row>
    <row r="3864" spans="1:17" ht="15" customHeight="1" x14ac:dyDescent="0.3">
      <c r="A3864" s="23" t="s">
        <v>16867</v>
      </c>
      <c r="B3864" s="23"/>
      <c r="C3864" s="23" t="s">
        <v>3188</v>
      </c>
      <c r="D3864" s="23" t="str">
        <f t="shared" si="180"/>
        <v>ORD26001354</v>
      </c>
      <c r="E3864" s="38">
        <v>46286</v>
      </c>
      <c r="F3864" s="23" t="s">
        <v>12410</v>
      </c>
      <c r="G3864" s="23" t="s">
        <v>79</v>
      </c>
      <c r="H3864" s="24">
        <v>7997</v>
      </c>
      <c r="I3864" s="24">
        <v>127.95</v>
      </c>
      <c r="J3864" s="24">
        <v>23.03</v>
      </c>
      <c r="K3864" s="24">
        <v>7846.02</v>
      </c>
      <c r="L3864" s="38">
        <v>46288</v>
      </c>
      <c r="M3864" s="23" t="s">
        <v>218</v>
      </c>
      <c r="N3864" s="23" t="str">
        <f>IF(COUNTIF($A$2:A3864,A3864)&gt;1,"DUP","OK")</f>
        <v>OK</v>
      </c>
      <c r="O3864" s="23" t="str">
        <f t="shared" si="181"/>
        <v>ORD26001354</v>
      </c>
      <c r="P3864" s="23" t="str">
        <f t="shared" si="182"/>
        <v>Sep</v>
      </c>
      <c r="Q3864" s="23" t="str">
        <f>IF(F3864="CAPTURE",IF(COUNTIF(orders!$A:$A,O3864)&gt;0,"Yes","NO ORDER"),"")</f>
        <v>Yes</v>
      </c>
    </row>
    <row r="3865" spans="1:17" ht="15" customHeight="1" x14ac:dyDescent="0.3">
      <c r="A3865" s="23" t="s">
        <v>16868</v>
      </c>
      <c r="B3865" s="23"/>
      <c r="C3865" s="23" t="s">
        <v>3227</v>
      </c>
      <c r="D3865" s="23" t="str">
        <f t="shared" si="180"/>
        <v>ORD26001373</v>
      </c>
      <c r="E3865" s="38">
        <v>46286</v>
      </c>
      <c r="F3865" s="23" t="s">
        <v>12410</v>
      </c>
      <c r="G3865" s="23" t="s">
        <v>75</v>
      </c>
      <c r="H3865" s="24">
        <v>4897</v>
      </c>
      <c r="I3865" s="24">
        <v>14.69</v>
      </c>
      <c r="J3865" s="24">
        <v>2.64</v>
      </c>
      <c r="K3865" s="24">
        <v>4879.67</v>
      </c>
      <c r="L3865" s="38">
        <v>46288</v>
      </c>
      <c r="M3865" s="23" t="s">
        <v>218</v>
      </c>
      <c r="N3865" s="23" t="str">
        <f>IF(COUNTIF($A$2:A3865,A3865)&gt;1,"DUP","OK")</f>
        <v>OK</v>
      </c>
      <c r="O3865" s="23" t="str">
        <f t="shared" si="181"/>
        <v>ORD26001373</v>
      </c>
      <c r="P3865" s="23" t="str">
        <f t="shared" si="182"/>
        <v>Sep</v>
      </c>
      <c r="Q3865" s="23" t="str">
        <f>IF(F3865="CAPTURE",IF(COUNTIF(orders!$A:$A,O3865)&gt;0,"Yes","NO ORDER"),"")</f>
        <v>Yes</v>
      </c>
    </row>
    <row r="3866" spans="1:17" ht="15" customHeight="1" x14ac:dyDescent="0.3">
      <c r="A3866" s="23" t="s">
        <v>16869</v>
      </c>
      <c r="B3866" s="23"/>
      <c r="C3866" s="23" t="s">
        <v>3294</v>
      </c>
      <c r="D3866" s="23" t="str">
        <f t="shared" si="180"/>
        <v>ORD26001406</v>
      </c>
      <c r="E3866" s="38">
        <v>46286</v>
      </c>
      <c r="F3866" s="23" t="s">
        <v>12410</v>
      </c>
      <c r="G3866" s="23" t="s">
        <v>75</v>
      </c>
      <c r="H3866" s="24">
        <v>8348</v>
      </c>
      <c r="I3866" s="24">
        <v>25.04</v>
      </c>
      <c r="J3866" s="24">
        <v>4.51</v>
      </c>
      <c r="K3866" s="24">
        <v>8318.4500000000007</v>
      </c>
      <c r="L3866" s="38">
        <v>46288</v>
      </c>
      <c r="M3866" s="23" t="s">
        <v>218</v>
      </c>
      <c r="N3866" s="23" t="str">
        <f>IF(COUNTIF($A$2:A3866,A3866)&gt;1,"DUP","OK")</f>
        <v>OK</v>
      </c>
      <c r="O3866" s="23" t="str">
        <f t="shared" si="181"/>
        <v>ORD26001406</v>
      </c>
      <c r="P3866" s="23" t="str">
        <f t="shared" si="182"/>
        <v>Sep</v>
      </c>
      <c r="Q3866" s="23" t="str">
        <f>IF(F3866="CAPTURE",IF(COUNTIF(orders!$A:$A,O3866)&gt;0,"Yes","NO ORDER"),"")</f>
        <v>Yes</v>
      </c>
    </row>
    <row r="3867" spans="1:17" ht="15" customHeight="1" x14ac:dyDescent="0.3">
      <c r="A3867" s="23" t="s">
        <v>16870</v>
      </c>
      <c r="B3867" s="23"/>
      <c r="C3867" s="23" t="s">
        <v>3350</v>
      </c>
      <c r="D3867" s="23" t="str">
        <f t="shared" si="180"/>
        <v>ORD26001435</v>
      </c>
      <c r="E3867" s="38">
        <v>46286</v>
      </c>
      <c r="F3867" s="23" t="s">
        <v>12410</v>
      </c>
      <c r="G3867" s="23" t="s">
        <v>77</v>
      </c>
      <c r="H3867" s="24">
        <v>1499</v>
      </c>
      <c r="I3867" s="24">
        <v>28.48</v>
      </c>
      <c r="J3867" s="24">
        <v>5.13</v>
      </c>
      <c r="K3867" s="24">
        <v>1465.39</v>
      </c>
      <c r="L3867" s="38">
        <v>46288</v>
      </c>
      <c r="M3867" s="23" t="s">
        <v>218</v>
      </c>
      <c r="N3867" s="23" t="str">
        <f>IF(COUNTIF($A$2:A3867,A3867)&gt;1,"DUP","OK")</f>
        <v>OK</v>
      </c>
      <c r="O3867" s="23" t="str">
        <f t="shared" si="181"/>
        <v>ORD26001435</v>
      </c>
      <c r="P3867" s="23" t="str">
        <f t="shared" si="182"/>
        <v>Sep</v>
      </c>
      <c r="Q3867" s="23" t="str">
        <f>IF(F3867="CAPTURE",IF(COUNTIF(orders!$A:$A,O3867)&gt;0,"Yes","NO ORDER"),"")</f>
        <v>Yes</v>
      </c>
    </row>
    <row r="3868" spans="1:17" ht="15" customHeight="1" x14ac:dyDescent="0.3">
      <c r="A3868" s="23" t="s">
        <v>16871</v>
      </c>
      <c r="B3868" s="23"/>
      <c r="C3868" s="23" t="s">
        <v>16872</v>
      </c>
      <c r="D3868" s="23" t="str">
        <f t="shared" si="180"/>
        <v>ORD26001456</v>
      </c>
      <c r="E3868" s="38">
        <v>46286</v>
      </c>
      <c r="F3868" s="23" t="s">
        <v>12410</v>
      </c>
      <c r="G3868" s="23" t="s">
        <v>81</v>
      </c>
      <c r="H3868" s="24">
        <v>349</v>
      </c>
      <c r="I3868" s="24">
        <v>5.24</v>
      </c>
      <c r="J3868" s="24">
        <v>0.94</v>
      </c>
      <c r="K3868" s="24">
        <v>342.82</v>
      </c>
      <c r="L3868" s="38">
        <v>46288</v>
      </c>
      <c r="M3868" s="23" t="s">
        <v>218</v>
      </c>
      <c r="N3868" s="23" t="str">
        <f>IF(COUNTIF($A$2:A3868,A3868)&gt;1,"DUP","OK")</f>
        <v>OK</v>
      </c>
      <c r="O3868" s="23" t="str">
        <f t="shared" si="181"/>
        <v>ORD26001456</v>
      </c>
      <c r="P3868" s="23" t="str">
        <f t="shared" si="182"/>
        <v>Sep</v>
      </c>
      <c r="Q3868" s="23" t="str">
        <f>IF(F3868="CAPTURE",IF(COUNTIF(orders!$A:$A,O3868)&gt;0,"Yes","NO ORDER"),"")</f>
        <v>Yes</v>
      </c>
    </row>
    <row r="3869" spans="1:17" ht="15" customHeight="1" x14ac:dyDescent="0.3">
      <c r="A3869" s="23" t="s">
        <v>16873</v>
      </c>
      <c r="B3869" s="23"/>
      <c r="C3869" s="23" t="s">
        <v>3439</v>
      </c>
      <c r="D3869" s="23" t="str">
        <f t="shared" si="180"/>
        <v>ORD26001478</v>
      </c>
      <c r="E3869" s="38">
        <v>46286</v>
      </c>
      <c r="F3869" s="23" t="s">
        <v>12410</v>
      </c>
      <c r="G3869" s="23" t="s">
        <v>75</v>
      </c>
      <c r="H3869" s="24">
        <v>799</v>
      </c>
      <c r="I3869" s="24">
        <v>0</v>
      </c>
      <c r="J3869" s="24">
        <v>0</v>
      </c>
      <c r="K3869" s="24">
        <v>799</v>
      </c>
      <c r="L3869" s="38">
        <v>46288</v>
      </c>
      <c r="M3869" s="23" t="s">
        <v>218</v>
      </c>
      <c r="N3869" s="23" t="str">
        <f>IF(COUNTIF($A$2:A3869,A3869)&gt;1,"DUP","OK")</f>
        <v>OK</v>
      </c>
      <c r="O3869" s="23" t="str">
        <f t="shared" si="181"/>
        <v>ORD26001478</v>
      </c>
      <c r="P3869" s="23" t="str">
        <f t="shared" si="182"/>
        <v>Sep</v>
      </c>
      <c r="Q3869" s="23" t="str">
        <f>IF(F3869="CAPTURE",IF(COUNTIF(orders!$A:$A,O3869)&gt;0,"Yes","NO ORDER"),"")</f>
        <v>Yes</v>
      </c>
    </row>
    <row r="3870" spans="1:17" ht="15" customHeight="1" x14ac:dyDescent="0.3">
      <c r="A3870" s="23" t="s">
        <v>16874</v>
      </c>
      <c r="B3870" s="23"/>
      <c r="C3870" s="23" t="s">
        <v>16875</v>
      </c>
      <c r="D3870" s="23" t="str">
        <f t="shared" si="180"/>
        <v>ORD26001514</v>
      </c>
      <c r="E3870" s="38">
        <v>46286</v>
      </c>
      <c r="F3870" s="23" t="s">
        <v>12410</v>
      </c>
      <c r="G3870" s="23" t="s">
        <v>75</v>
      </c>
      <c r="H3870" s="24">
        <v>599</v>
      </c>
      <c r="I3870" s="24">
        <v>0</v>
      </c>
      <c r="J3870" s="24">
        <v>0</v>
      </c>
      <c r="K3870" s="24">
        <v>599</v>
      </c>
      <c r="L3870" s="38">
        <v>46288</v>
      </c>
      <c r="M3870" s="23" t="s">
        <v>218</v>
      </c>
      <c r="N3870" s="23" t="str">
        <f>IF(COUNTIF($A$2:A3870,A3870)&gt;1,"DUP","OK")</f>
        <v>OK</v>
      </c>
      <c r="O3870" s="23" t="str">
        <f t="shared" si="181"/>
        <v>ORD26001514</v>
      </c>
      <c r="P3870" s="23" t="str">
        <f t="shared" si="182"/>
        <v>Sep</v>
      </c>
      <c r="Q3870" s="23" t="str">
        <f>IF(F3870="CAPTURE",IF(COUNTIF(orders!$A:$A,O3870)&gt;0,"Yes","NO ORDER"),"")</f>
        <v>Yes</v>
      </c>
    </row>
    <row r="3871" spans="1:17" ht="15" customHeight="1" x14ac:dyDescent="0.3">
      <c r="A3871" s="23" t="s">
        <v>16876</v>
      </c>
      <c r="B3871" s="23"/>
      <c r="C3871" s="23" t="s">
        <v>3521</v>
      </c>
      <c r="D3871" s="23" t="str">
        <f t="shared" si="180"/>
        <v>ORD26001517</v>
      </c>
      <c r="E3871" s="38">
        <v>46286</v>
      </c>
      <c r="F3871" s="23" t="s">
        <v>12410</v>
      </c>
      <c r="G3871" s="23" t="s">
        <v>77</v>
      </c>
      <c r="H3871" s="24">
        <v>799</v>
      </c>
      <c r="I3871" s="24">
        <v>15.18</v>
      </c>
      <c r="J3871" s="24">
        <v>2.73</v>
      </c>
      <c r="K3871" s="24">
        <v>781.09</v>
      </c>
      <c r="L3871" s="38">
        <v>46288</v>
      </c>
      <c r="M3871" s="23" t="s">
        <v>218</v>
      </c>
      <c r="N3871" s="23" t="str">
        <f>IF(COUNTIF($A$2:A3871,A3871)&gt;1,"DUP","OK")</f>
        <v>OK</v>
      </c>
      <c r="O3871" s="23" t="str">
        <f t="shared" si="181"/>
        <v>ORD26001517</v>
      </c>
      <c r="P3871" s="23" t="str">
        <f t="shared" si="182"/>
        <v>Sep</v>
      </c>
      <c r="Q3871" s="23" t="str">
        <f>IF(F3871="CAPTURE",IF(COUNTIF(orders!$A:$A,O3871)&gt;0,"Yes","NO ORDER"),"")</f>
        <v>Yes</v>
      </c>
    </row>
    <row r="3872" spans="1:17" ht="15" customHeight="1" x14ac:dyDescent="0.3">
      <c r="A3872" s="23" t="s">
        <v>16877</v>
      </c>
      <c r="B3872" s="23"/>
      <c r="C3872" s="23" t="s">
        <v>3631</v>
      </c>
      <c r="D3872" s="23" t="str">
        <f t="shared" si="180"/>
        <v>ORD26001572</v>
      </c>
      <c r="E3872" s="38">
        <v>46286</v>
      </c>
      <c r="F3872" s="23" t="s">
        <v>12410</v>
      </c>
      <c r="G3872" s="23" t="s">
        <v>81</v>
      </c>
      <c r="H3872" s="24">
        <v>10597</v>
      </c>
      <c r="I3872" s="24">
        <v>95.37</v>
      </c>
      <c r="J3872" s="24">
        <v>17.170000000000002</v>
      </c>
      <c r="K3872" s="24">
        <v>10484.459999999999</v>
      </c>
      <c r="L3872" s="38">
        <v>46288</v>
      </c>
      <c r="M3872" s="23" t="s">
        <v>218</v>
      </c>
      <c r="N3872" s="23" t="str">
        <f>IF(COUNTIF($A$2:A3872,A3872)&gt;1,"DUP","OK")</f>
        <v>OK</v>
      </c>
      <c r="O3872" s="23" t="str">
        <f t="shared" si="181"/>
        <v>ORD26001572</v>
      </c>
      <c r="P3872" s="23" t="str">
        <f t="shared" si="182"/>
        <v>Sep</v>
      </c>
      <c r="Q3872" s="23" t="str">
        <f>IF(F3872="CAPTURE",IF(COUNTIF(orders!$A:$A,O3872)&gt;0,"Yes","NO ORDER"),"")</f>
        <v>Yes</v>
      </c>
    </row>
    <row r="3873" spans="1:17" ht="15" customHeight="1" x14ac:dyDescent="0.3">
      <c r="A3873" s="23" t="s">
        <v>16878</v>
      </c>
      <c r="B3873" s="23"/>
      <c r="C3873" s="23" t="s">
        <v>3683</v>
      </c>
      <c r="D3873" s="23" t="str">
        <f t="shared" si="180"/>
        <v>ORD26001598</v>
      </c>
      <c r="E3873" s="38">
        <v>46286</v>
      </c>
      <c r="F3873" s="23" t="s">
        <v>12410</v>
      </c>
      <c r="G3873" s="23" t="s">
        <v>77</v>
      </c>
      <c r="H3873" s="24">
        <v>999</v>
      </c>
      <c r="I3873" s="24">
        <v>18.98</v>
      </c>
      <c r="J3873" s="24">
        <v>3.42</v>
      </c>
      <c r="K3873" s="24">
        <v>976.6</v>
      </c>
      <c r="L3873" s="38">
        <v>46288</v>
      </c>
      <c r="M3873" s="23" t="s">
        <v>218</v>
      </c>
      <c r="N3873" s="23" t="str">
        <f>IF(COUNTIF($A$2:A3873,A3873)&gt;1,"DUP","OK")</f>
        <v>OK</v>
      </c>
      <c r="O3873" s="23" t="str">
        <f t="shared" si="181"/>
        <v>ORD26001598</v>
      </c>
      <c r="P3873" s="23" t="str">
        <f t="shared" si="182"/>
        <v>Sep</v>
      </c>
      <c r="Q3873" s="23" t="str">
        <f>IF(F3873="CAPTURE",IF(COUNTIF(orders!$A:$A,O3873)&gt;0,"Yes","NO ORDER"),"")</f>
        <v>Yes</v>
      </c>
    </row>
    <row r="3874" spans="1:17" ht="15" customHeight="1" x14ac:dyDescent="0.3">
      <c r="A3874" s="23" t="s">
        <v>16879</v>
      </c>
      <c r="B3874" s="23"/>
      <c r="C3874" s="23" t="s">
        <v>3736</v>
      </c>
      <c r="D3874" s="23" t="str">
        <f t="shared" si="180"/>
        <v>ORD26001625</v>
      </c>
      <c r="E3874" s="38">
        <v>46286</v>
      </c>
      <c r="F3874" s="23" t="s">
        <v>12410</v>
      </c>
      <c r="G3874" s="23" t="s">
        <v>79</v>
      </c>
      <c r="H3874" s="24">
        <v>9597</v>
      </c>
      <c r="I3874" s="24">
        <v>153.55000000000001</v>
      </c>
      <c r="J3874" s="24">
        <v>27.64</v>
      </c>
      <c r="K3874" s="24">
        <v>9415.81</v>
      </c>
      <c r="L3874" s="38">
        <v>46288</v>
      </c>
      <c r="M3874" s="23" t="s">
        <v>218</v>
      </c>
      <c r="N3874" s="23" t="str">
        <f>IF(COUNTIF($A$2:A3874,A3874)&gt;1,"DUP","OK")</f>
        <v>OK</v>
      </c>
      <c r="O3874" s="23" t="str">
        <f t="shared" si="181"/>
        <v>ORD26001625</v>
      </c>
      <c r="P3874" s="23" t="str">
        <f t="shared" si="182"/>
        <v>Sep</v>
      </c>
      <c r="Q3874" s="23" t="str">
        <f>IF(F3874="CAPTURE",IF(COUNTIF(orders!$A:$A,O3874)&gt;0,"Yes","NO ORDER"),"")</f>
        <v>Yes</v>
      </c>
    </row>
    <row r="3875" spans="1:17" ht="15" customHeight="1" x14ac:dyDescent="0.3">
      <c r="A3875" s="23" t="s">
        <v>16880</v>
      </c>
      <c r="B3875" s="23"/>
      <c r="C3875" s="23" t="s">
        <v>16881</v>
      </c>
      <c r="D3875" s="23" t="str">
        <f t="shared" si="180"/>
        <v>ORD26001629</v>
      </c>
      <c r="E3875" s="38">
        <v>46286</v>
      </c>
      <c r="F3875" s="23" t="s">
        <v>12410</v>
      </c>
      <c r="G3875" s="23" t="s">
        <v>75</v>
      </c>
      <c r="H3875" s="24">
        <v>798</v>
      </c>
      <c r="I3875" s="24">
        <v>0</v>
      </c>
      <c r="J3875" s="24">
        <v>0</v>
      </c>
      <c r="K3875" s="24">
        <v>798</v>
      </c>
      <c r="L3875" s="38">
        <v>46288</v>
      </c>
      <c r="M3875" s="23" t="s">
        <v>218</v>
      </c>
      <c r="N3875" s="23" t="str">
        <f>IF(COUNTIF($A$2:A3875,A3875)&gt;1,"DUP","OK")</f>
        <v>OK</v>
      </c>
      <c r="O3875" s="23" t="str">
        <f t="shared" si="181"/>
        <v>ORD26001629</v>
      </c>
      <c r="P3875" s="23" t="str">
        <f t="shared" si="182"/>
        <v>Sep</v>
      </c>
      <c r="Q3875" s="23" t="str">
        <f>IF(F3875="CAPTURE",IF(COUNTIF(orders!$A:$A,O3875)&gt;0,"Yes","NO ORDER"),"")</f>
        <v>Yes</v>
      </c>
    </row>
    <row r="3876" spans="1:17" ht="15" customHeight="1" x14ac:dyDescent="0.3">
      <c r="A3876" s="23" t="s">
        <v>16882</v>
      </c>
      <c r="B3876" s="23"/>
      <c r="C3876" s="23" t="s">
        <v>3752</v>
      </c>
      <c r="D3876" s="23" t="str">
        <f t="shared" si="180"/>
        <v>ORD26001633</v>
      </c>
      <c r="E3876" s="38">
        <v>46286</v>
      </c>
      <c r="F3876" s="23" t="s">
        <v>12410</v>
      </c>
      <c r="G3876" s="23" t="s">
        <v>77</v>
      </c>
      <c r="H3876" s="24">
        <v>8348</v>
      </c>
      <c r="I3876" s="24">
        <v>141.91999999999999</v>
      </c>
      <c r="J3876" s="24">
        <v>25.55</v>
      </c>
      <c r="K3876" s="24">
        <v>8180.53</v>
      </c>
      <c r="L3876" s="38">
        <v>46288</v>
      </c>
      <c r="M3876" s="23" t="s">
        <v>218</v>
      </c>
      <c r="N3876" s="23" t="str">
        <f>IF(COUNTIF($A$2:A3876,A3876)&gt;1,"DUP","OK")</f>
        <v>OK</v>
      </c>
      <c r="O3876" s="23" t="str">
        <f t="shared" si="181"/>
        <v>ORD26001633</v>
      </c>
      <c r="P3876" s="23" t="str">
        <f t="shared" si="182"/>
        <v>Sep</v>
      </c>
      <c r="Q3876" s="23" t="str">
        <f>IF(F3876="CAPTURE",IF(COUNTIF(orders!$A:$A,O3876)&gt;0,"Yes","NO ORDER"),"")</f>
        <v>Yes</v>
      </c>
    </row>
    <row r="3877" spans="1:17" ht="15" customHeight="1" x14ac:dyDescent="0.3">
      <c r="A3877" s="23" t="s">
        <v>16883</v>
      </c>
      <c r="B3877" s="23"/>
      <c r="C3877" s="23" t="s">
        <v>3783</v>
      </c>
      <c r="D3877" s="23" t="str">
        <f t="shared" si="180"/>
        <v>ORD26001649</v>
      </c>
      <c r="E3877" s="38">
        <v>46286</v>
      </c>
      <c r="F3877" s="23" t="s">
        <v>12410</v>
      </c>
      <c r="G3877" s="23" t="s">
        <v>75</v>
      </c>
      <c r="H3877" s="24">
        <v>4097</v>
      </c>
      <c r="I3877" s="24">
        <v>12.29</v>
      </c>
      <c r="J3877" s="24">
        <v>2.21</v>
      </c>
      <c r="K3877" s="24">
        <v>4082.5</v>
      </c>
      <c r="L3877" s="38">
        <v>46288</v>
      </c>
      <c r="M3877" s="23" t="s">
        <v>218</v>
      </c>
      <c r="N3877" s="23" t="str">
        <f>IF(COUNTIF($A$2:A3877,A3877)&gt;1,"DUP","OK")</f>
        <v>OK</v>
      </c>
      <c r="O3877" s="23" t="str">
        <f t="shared" si="181"/>
        <v>ORD26001649</v>
      </c>
      <c r="P3877" s="23" t="str">
        <f t="shared" si="182"/>
        <v>Sep</v>
      </c>
      <c r="Q3877" s="23" t="str">
        <f>IF(F3877="CAPTURE",IF(COUNTIF(orders!$A:$A,O3877)&gt;0,"Yes","NO ORDER"),"")</f>
        <v>Yes</v>
      </c>
    </row>
    <row r="3878" spans="1:17" ht="15" customHeight="1" x14ac:dyDescent="0.3">
      <c r="A3878" s="23" t="s">
        <v>16884</v>
      </c>
      <c r="B3878" s="23"/>
      <c r="C3878" s="23" t="s">
        <v>16885</v>
      </c>
      <c r="D3878" s="23" t="str">
        <f t="shared" si="180"/>
        <v>ORD26001657</v>
      </c>
      <c r="E3878" s="38">
        <v>46286</v>
      </c>
      <c r="F3878" s="23" t="s">
        <v>12410</v>
      </c>
      <c r="G3878" s="23" t="s">
        <v>81</v>
      </c>
      <c r="H3878" s="24">
        <v>1798</v>
      </c>
      <c r="I3878" s="24">
        <v>26.97</v>
      </c>
      <c r="J3878" s="24">
        <v>4.8499999999999996</v>
      </c>
      <c r="K3878" s="24">
        <v>1766.18</v>
      </c>
      <c r="L3878" s="38">
        <v>46288</v>
      </c>
      <c r="M3878" s="23" t="s">
        <v>218</v>
      </c>
      <c r="N3878" s="23" t="str">
        <f>IF(COUNTIF($A$2:A3878,A3878)&gt;1,"DUP","OK")</f>
        <v>OK</v>
      </c>
      <c r="O3878" s="23" t="str">
        <f t="shared" si="181"/>
        <v>ORD26001657</v>
      </c>
      <c r="P3878" s="23" t="str">
        <f t="shared" si="182"/>
        <v>Sep</v>
      </c>
      <c r="Q3878" s="23" t="str">
        <f>IF(F3878="CAPTURE",IF(COUNTIF(orders!$A:$A,O3878)&gt;0,"Yes","NO ORDER"),"")</f>
        <v>Yes</v>
      </c>
    </row>
    <row r="3879" spans="1:17" ht="15" customHeight="1" x14ac:dyDescent="0.3">
      <c r="A3879" s="23" t="s">
        <v>16886</v>
      </c>
      <c r="B3879" s="23"/>
      <c r="C3879" s="23" t="s">
        <v>3857</v>
      </c>
      <c r="D3879" s="23" t="str">
        <f t="shared" si="180"/>
        <v>ORD26001686</v>
      </c>
      <c r="E3879" s="38">
        <v>46286</v>
      </c>
      <c r="F3879" s="23" t="s">
        <v>12410</v>
      </c>
      <c r="G3879" s="23" t="s">
        <v>79</v>
      </c>
      <c r="H3879" s="24">
        <v>3499</v>
      </c>
      <c r="I3879" s="24">
        <v>55.98</v>
      </c>
      <c r="J3879" s="24">
        <v>10.08</v>
      </c>
      <c r="K3879" s="24">
        <v>3432.94</v>
      </c>
      <c r="L3879" s="38">
        <v>46288</v>
      </c>
      <c r="M3879" s="23" t="s">
        <v>218</v>
      </c>
      <c r="N3879" s="23" t="str">
        <f>IF(COUNTIF($A$2:A3879,A3879)&gt;1,"DUP","OK")</f>
        <v>OK</v>
      </c>
      <c r="O3879" s="23" t="str">
        <f t="shared" si="181"/>
        <v>ORD26001686</v>
      </c>
      <c r="P3879" s="23" t="str">
        <f t="shared" si="182"/>
        <v>Sep</v>
      </c>
      <c r="Q3879" s="23" t="str">
        <f>IF(F3879="CAPTURE",IF(COUNTIF(orders!$A:$A,O3879)&gt;0,"Yes","NO ORDER"),"")</f>
        <v>Yes</v>
      </c>
    </row>
    <row r="3880" spans="1:17" ht="15" customHeight="1" x14ac:dyDescent="0.3">
      <c r="A3880" s="23" t="s">
        <v>16887</v>
      </c>
      <c r="B3880" s="23"/>
      <c r="C3880" s="23" t="s">
        <v>3941</v>
      </c>
      <c r="D3880" s="23" t="str">
        <f t="shared" si="180"/>
        <v>ORD26001727</v>
      </c>
      <c r="E3880" s="38">
        <v>46286</v>
      </c>
      <c r="F3880" s="23" t="s">
        <v>12410</v>
      </c>
      <c r="G3880" s="23" t="s">
        <v>79</v>
      </c>
      <c r="H3880" s="24">
        <v>499</v>
      </c>
      <c r="I3880" s="24">
        <v>8.98</v>
      </c>
      <c r="J3880" s="24">
        <v>1.62</v>
      </c>
      <c r="K3880" s="24">
        <v>488.4</v>
      </c>
      <c r="L3880" s="38">
        <v>46288</v>
      </c>
      <c r="M3880" s="23" t="s">
        <v>218</v>
      </c>
      <c r="N3880" s="23" t="str">
        <f>IF(COUNTIF($A$2:A3880,A3880)&gt;1,"DUP","OK")</f>
        <v>OK</v>
      </c>
      <c r="O3880" s="23" t="str">
        <f t="shared" si="181"/>
        <v>ORD26001727</v>
      </c>
      <c r="P3880" s="23" t="str">
        <f t="shared" si="182"/>
        <v>Sep</v>
      </c>
      <c r="Q3880" s="23" t="str">
        <f>IF(F3880="CAPTURE",IF(COUNTIF(orders!$A:$A,O3880)&gt;0,"Yes","NO ORDER"),"")</f>
        <v>Yes</v>
      </c>
    </row>
    <row r="3881" spans="1:17" ht="15" customHeight="1" x14ac:dyDescent="0.3">
      <c r="A3881" s="23" t="s">
        <v>16888</v>
      </c>
      <c r="B3881" s="23"/>
      <c r="C3881" s="23" t="s">
        <v>3974</v>
      </c>
      <c r="D3881" s="23" t="str">
        <f t="shared" si="180"/>
        <v>ORD26001743</v>
      </c>
      <c r="E3881" s="38">
        <v>46286</v>
      </c>
      <c r="F3881" s="23" t="s">
        <v>12410</v>
      </c>
      <c r="G3881" s="23" t="s">
        <v>75</v>
      </c>
      <c r="H3881" s="24">
        <v>2398</v>
      </c>
      <c r="I3881" s="24">
        <v>7.19</v>
      </c>
      <c r="J3881" s="24">
        <v>1.29</v>
      </c>
      <c r="K3881" s="24">
        <v>2389.52</v>
      </c>
      <c r="L3881" s="38">
        <v>46288</v>
      </c>
      <c r="M3881" s="23" t="s">
        <v>218</v>
      </c>
      <c r="N3881" s="23" t="str">
        <f>IF(COUNTIF($A$2:A3881,A3881)&gt;1,"DUP","OK")</f>
        <v>OK</v>
      </c>
      <c r="O3881" s="23" t="str">
        <f t="shared" si="181"/>
        <v>ORD26001743</v>
      </c>
      <c r="P3881" s="23" t="str">
        <f t="shared" si="182"/>
        <v>Sep</v>
      </c>
      <c r="Q3881" s="23" t="str">
        <f>IF(F3881="CAPTURE",IF(COUNTIF(orders!$A:$A,O3881)&gt;0,"Yes","NO ORDER"),"")</f>
        <v>Yes</v>
      </c>
    </row>
    <row r="3882" spans="1:17" ht="15" customHeight="1" x14ac:dyDescent="0.3">
      <c r="A3882" s="23" t="s">
        <v>16889</v>
      </c>
      <c r="B3882" s="23"/>
      <c r="C3882" s="23" t="s">
        <v>3998</v>
      </c>
      <c r="D3882" s="23" t="str">
        <f t="shared" si="180"/>
        <v>ORD26001755</v>
      </c>
      <c r="E3882" s="38">
        <v>46286</v>
      </c>
      <c r="F3882" s="23" t="s">
        <v>12410</v>
      </c>
      <c r="G3882" s="23" t="s">
        <v>75</v>
      </c>
      <c r="H3882" s="24">
        <v>299</v>
      </c>
      <c r="I3882" s="24">
        <v>0</v>
      </c>
      <c r="J3882" s="24">
        <v>0</v>
      </c>
      <c r="K3882" s="24">
        <v>299</v>
      </c>
      <c r="L3882" s="38">
        <v>46288</v>
      </c>
      <c r="M3882" s="23" t="s">
        <v>218</v>
      </c>
      <c r="N3882" s="23" t="str">
        <f>IF(COUNTIF($A$2:A3882,A3882)&gt;1,"DUP","OK")</f>
        <v>OK</v>
      </c>
      <c r="O3882" s="23" t="str">
        <f t="shared" si="181"/>
        <v>ORD26001755</v>
      </c>
      <c r="P3882" s="23" t="str">
        <f t="shared" si="182"/>
        <v>Sep</v>
      </c>
      <c r="Q3882" s="23" t="str">
        <f>IF(F3882="CAPTURE",IF(COUNTIF(orders!$A:$A,O3882)&gt;0,"Yes","NO ORDER"),"")</f>
        <v>Yes</v>
      </c>
    </row>
    <row r="3883" spans="1:17" ht="15" customHeight="1" x14ac:dyDescent="0.3">
      <c r="A3883" s="23" t="s">
        <v>16890</v>
      </c>
      <c r="B3883" s="23"/>
      <c r="C3883" s="23" t="s">
        <v>4024</v>
      </c>
      <c r="D3883" s="23" t="str">
        <f t="shared" si="180"/>
        <v>ORD26001768</v>
      </c>
      <c r="E3883" s="38">
        <v>46286</v>
      </c>
      <c r="F3883" s="23" t="s">
        <v>12410</v>
      </c>
      <c r="G3883" s="23" t="s">
        <v>75</v>
      </c>
      <c r="H3883" s="24">
        <v>1897</v>
      </c>
      <c r="I3883" s="24">
        <v>0</v>
      </c>
      <c r="J3883" s="24">
        <v>0</v>
      </c>
      <c r="K3883" s="24">
        <v>1897</v>
      </c>
      <c r="L3883" s="38">
        <v>46288</v>
      </c>
      <c r="M3883" s="23" t="s">
        <v>218</v>
      </c>
      <c r="N3883" s="23" t="str">
        <f>IF(COUNTIF($A$2:A3883,A3883)&gt;1,"DUP","OK")</f>
        <v>OK</v>
      </c>
      <c r="O3883" s="23" t="str">
        <f t="shared" si="181"/>
        <v>ORD26001768</v>
      </c>
      <c r="P3883" s="23" t="str">
        <f t="shared" si="182"/>
        <v>Sep</v>
      </c>
      <c r="Q3883" s="23" t="str">
        <f>IF(F3883="CAPTURE",IF(COUNTIF(orders!$A:$A,O3883)&gt;0,"Yes","NO ORDER"),"")</f>
        <v>Yes</v>
      </c>
    </row>
    <row r="3884" spans="1:17" ht="15" customHeight="1" x14ac:dyDescent="0.3">
      <c r="A3884" s="23" t="s">
        <v>16891</v>
      </c>
      <c r="B3884" s="23"/>
      <c r="C3884" s="23" t="s">
        <v>4167</v>
      </c>
      <c r="D3884" s="23" t="str">
        <f t="shared" si="180"/>
        <v>ORD26001841</v>
      </c>
      <c r="E3884" s="38">
        <v>46286</v>
      </c>
      <c r="F3884" s="23" t="s">
        <v>12410</v>
      </c>
      <c r="G3884" s="23" t="s">
        <v>75</v>
      </c>
      <c r="H3884" s="24">
        <v>3598</v>
      </c>
      <c r="I3884" s="24">
        <v>10.79</v>
      </c>
      <c r="J3884" s="24">
        <v>1.94</v>
      </c>
      <c r="K3884" s="24">
        <v>3585.27</v>
      </c>
      <c r="L3884" s="38">
        <v>46288</v>
      </c>
      <c r="M3884" s="23" t="s">
        <v>218</v>
      </c>
      <c r="N3884" s="23" t="str">
        <f>IF(COUNTIF($A$2:A3884,A3884)&gt;1,"DUP","OK")</f>
        <v>OK</v>
      </c>
      <c r="O3884" s="23" t="str">
        <f t="shared" si="181"/>
        <v>ORD26001841</v>
      </c>
      <c r="P3884" s="23" t="str">
        <f t="shared" si="182"/>
        <v>Sep</v>
      </c>
      <c r="Q3884" s="23" t="str">
        <f>IF(F3884="CAPTURE",IF(COUNTIF(orders!$A:$A,O3884)&gt;0,"Yes","NO ORDER"),"")</f>
        <v>Yes</v>
      </c>
    </row>
    <row r="3885" spans="1:17" ht="15" customHeight="1" x14ac:dyDescent="0.3">
      <c r="A3885" s="23" t="s">
        <v>16892</v>
      </c>
      <c r="B3885" s="23"/>
      <c r="C3885" s="23" t="s">
        <v>4187</v>
      </c>
      <c r="D3885" s="23" t="str">
        <f t="shared" si="180"/>
        <v>ORD26001851</v>
      </c>
      <c r="E3885" s="38">
        <v>46286</v>
      </c>
      <c r="F3885" s="23" t="s">
        <v>12410</v>
      </c>
      <c r="G3885" s="23" t="s">
        <v>81</v>
      </c>
      <c r="H3885" s="24">
        <v>1697</v>
      </c>
      <c r="I3885" s="24">
        <v>25.46</v>
      </c>
      <c r="J3885" s="24">
        <v>4.58</v>
      </c>
      <c r="K3885" s="24">
        <v>1666.96</v>
      </c>
      <c r="L3885" s="38">
        <v>46288</v>
      </c>
      <c r="M3885" s="23" t="s">
        <v>218</v>
      </c>
      <c r="N3885" s="23" t="str">
        <f>IF(COUNTIF($A$2:A3885,A3885)&gt;1,"DUP","OK")</f>
        <v>OK</v>
      </c>
      <c r="O3885" s="23" t="str">
        <f t="shared" si="181"/>
        <v>ORD26001851</v>
      </c>
      <c r="P3885" s="23" t="str">
        <f t="shared" si="182"/>
        <v>Sep</v>
      </c>
      <c r="Q3885" s="23" t="str">
        <f>IF(F3885="CAPTURE",IF(COUNTIF(orders!$A:$A,O3885)&gt;0,"Yes","NO ORDER"),"")</f>
        <v>Yes</v>
      </c>
    </row>
    <row r="3886" spans="1:17" ht="15" customHeight="1" x14ac:dyDescent="0.3">
      <c r="A3886" s="23" t="s">
        <v>16893</v>
      </c>
      <c r="B3886" s="23"/>
      <c r="C3886" s="23" t="s">
        <v>4238</v>
      </c>
      <c r="D3886" s="23" t="str">
        <f t="shared" si="180"/>
        <v>ORD26001876</v>
      </c>
      <c r="E3886" s="38">
        <v>46286</v>
      </c>
      <c r="F3886" s="23" t="s">
        <v>12410</v>
      </c>
      <c r="G3886" s="23" t="s">
        <v>77</v>
      </c>
      <c r="H3886" s="24">
        <v>1598</v>
      </c>
      <c r="I3886" s="24">
        <v>30.36</v>
      </c>
      <c r="J3886" s="24">
        <v>5.46</v>
      </c>
      <c r="K3886" s="24">
        <v>1562.18</v>
      </c>
      <c r="L3886" s="38">
        <v>46288</v>
      </c>
      <c r="M3886" s="23" t="s">
        <v>218</v>
      </c>
      <c r="N3886" s="23" t="str">
        <f>IF(COUNTIF($A$2:A3886,A3886)&gt;1,"DUP","OK")</f>
        <v>OK</v>
      </c>
      <c r="O3886" s="23" t="str">
        <f t="shared" si="181"/>
        <v>ORD26001876</v>
      </c>
      <c r="P3886" s="23" t="str">
        <f t="shared" si="182"/>
        <v>Sep</v>
      </c>
      <c r="Q3886" s="23" t="str">
        <f>IF(F3886="CAPTURE",IF(COUNTIF(orders!$A:$A,O3886)&gt;0,"Yes","NO ORDER"),"")</f>
        <v>Yes</v>
      </c>
    </row>
    <row r="3887" spans="1:17" ht="15" customHeight="1" x14ac:dyDescent="0.3">
      <c r="A3887" s="23" t="s">
        <v>16894</v>
      </c>
      <c r="B3887" s="23"/>
      <c r="C3887" s="23" t="s">
        <v>16895</v>
      </c>
      <c r="D3887" s="23" t="str">
        <f t="shared" si="180"/>
        <v>ORD26001880</v>
      </c>
      <c r="E3887" s="38">
        <v>46286</v>
      </c>
      <c r="F3887" s="23" t="s">
        <v>12410</v>
      </c>
      <c r="G3887" s="23" t="s">
        <v>79</v>
      </c>
      <c r="H3887" s="24">
        <v>3498</v>
      </c>
      <c r="I3887" s="24">
        <v>55.97</v>
      </c>
      <c r="J3887" s="24">
        <v>10.07</v>
      </c>
      <c r="K3887" s="24">
        <v>3431.96</v>
      </c>
      <c r="L3887" s="38">
        <v>46288</v>
      </c>
      <c r="M3887" s="23" t="s">
        <v>218</v>
      </c>
      <c r="N3887" s="23" t="str">
        <f>IF(COUNTIF($A$2:A3887,A3887)&gt;1,"DUP","OK")</f>
        <v>OK</v>
      </c>
      <c r="O3887" s="23" t="str">
        <f t="shared" si="181"/>
        <v>ORD26001880</v>
      </c>
      <c r="P3887" s="23" t="str">
        <f t="shared" si="182"/>
        <v>Sep</v>
      </c>
      <c r="Q3887" s="23" t="str">
        <f>IF(F3887="CAPTURE",IF(COUNTIF(orders!$A:$A,O3887)&gt;0,"Yes","NO ORDER"),"")</f>
        <v>Yes</v>
      </c>
    </row>
    <row r="3888" spans="1:17" ht="15" customHeight="1" x14ac:dyDescent="0.3">
      <c r="A3888" s="23" t="s">
        <v>16896</v>
      </c>
      <c r="B3888" s="23"/>
      <c r="C3888" s="23" t="s">
        <v>4313</v>
      </c>
      <c r="D3888" s="23" t="str">
        <f t="shared" si="180"/>
        <v>ORD26001912</v>
      </c>
      <c r="E3888" s="38">
        <v>46286</v>
      </c>
      <c r="F3888" s="23" t="s">
        <v>12410</v>
      </c>
      <c r="G3888" s="23" t="s">
        <v>77</v>
      </c>
      <c r="H3888" s="24">
        <v>6397</v>
      </c>
      <c r="I3888" s="24">
        <v>108.75</v>
      </c>
      <c r="J3888" s="24">
        <v>19.579999999999998</v>
      </c>
      <c r="K3888" s="24">
        <v>6268.67</v>
      </c>
      <c r="L3888" s="38">
        <v>46288</v>
      </c>
      <c r="M3888" s="23" t="s">
        <v>218</v>
      </c>
      <c r="N3888" s="23" t="str">
        <f>IF(COUNTIF($A$2:A3888,A3888)&gt;1,"DUP","OK")</f>
        <v>OK</v>
      </c>
      <c r="O3888" s="23" t="str">
        <f t="shared" si="181"/>
        <v>ORD26001912</v>
      </c>
      <c r="P3888" s="23" t="str">
        <f t="shared" si="182"/>
        <v>Sep</v>
      </c>
      <c r="Q3888" s="23" t="str">
        <f>IF(F3888="CAPTURE",IF(COUNTIF(orders!$A:$A,O3888)&gt;0,"Yes","NO ORDER"),"")</f>
        <v>Yes</v>
      </c>
    </row>
    <row r="3889" spans="1:17" ht="15" customHeight="1" x14ac:dyDescent="0.3">
      <c r="A3889" s="23" t="s">
        <v>16897</v>
      </c>
      <c r="B3889" s="23"/>
      <c r="C3889" s="23" t="s">
        <v>4381</v>
      </c>
      <c r="D3889" s="23" t="str">
        <f t="shared" si="180"/>
        <v>ORD26001947</v>
      </c>
      <c r="E3889" s="38">
        <v>46286</v>
      </c>
      <c r="F3889" s="23" t="s">
        <v>12410</v>
      </c>
      <c r="G3889" s="23" t="s">
        <v>75</v>
      </c>
      <c r="H3889" s="24">
        <v>999</v>
      </c>
      <c r="I3889" s="24">
        <v>0</v>
      </c>
      <c r="J3889" s="24">
        <v>0</v>
      </c>
      <c r="K3889" s="24">
        <v>999</v>
      </c>
      <c r="L3889" s="38">
        <v>46288</v>
      </c>
      <c r="M3889" s="23" t="s">
        <v>218</v>
      </c>
      <c r="N3889" s="23" t="str">
        <f>IF(COUNTIF($A$2:A3889,A3889)&gt;1,"DUP","OK")</f>
        <v>OK</v>
      </c>
      <c r="O3889" s="23" t="str">
        <f t="shared" si="181"/>
        <v>ORD26001947</v>
      </c>
      <c r="P3889" s="23" t="str">
        <f t="shared" si="182"/>
        <v>Sep</v>
      </c>
      <c r="Q3889" s="23" t="str">
        <f>IF(F3889="CAPTURE",IF(COUNTIF(orders!$A:$A,O3889)&gt;0,"Yes","NO ORDER"),"")</f>
        <v>Yes</v>
      </c>
    </row>
    <row r="3890" spans="1:17" ht="15" customHeight="1" x14ac:dyDescent="0.3">
      <c r="A3890" s="23" t="s">
        <v>16898</v>
      </c>
      <c r="B3890" s="23"/>
      <c r="C3890" s="23" t="s">
        <v>16899</v>
      </c>
      <c r="D3890" s="23" t="str">
        <f t="shared" si="180"/>
        <v>ORD26001993</v>
      </c>
      <c r="E3890" s="38">
        <v>46286</v>
      </c>
      <c r="F3890" s="23" t="s">
        <v>12410</v>
      </c>
      <c r="G3890" s="23" t="s">
        <v>79</v>
      </c>
      <c r="H3890" s="24">
        <v>299</v>
      </c>
      <c r="I3890" s="24">
        <v>5.38</v>
      </c>
      <c r="J3890" s="24">
        <v>0.97</v>
      </c>
      <c r="K3890" s="24">
        <v>292.64999999999998</v>
      </c>
      <c r="L3890" s="38">
        <v>46288</v>
      </c>
      <c r="M3890" s="23" t="s">
        <v>218</v>
      </c>
      <c r="N3890" s="23" t="str">
        <f>IF(COUNTIF($A$2:A3890,A3890)&gt;1,"DUP","OK")</f>
        <v>OK</v>
      </c>
      <c r="O3890" s="23" t="str">
        <f t="shared" si="181"/>
        <v>ORD26001993</v>
      </c>
      <c r="P3890" s="23" t="str">
        <f t="shared" si="182"/>
        <v>Sep</v>
      </c>
      <c r="Q3890" s="23" t="str">
        <f>IF(F3890="CAPTURE",IF(COUNTIF(orders!$A:$A,O3890)&gt;0,"Yes","NO ORDER"),"")</f>
        <v>Yes</v>
      </c>
    </row>
    <row r="3891" spans="1:17" ht="15" customHeight="1" x14ac:dyDescent="0.3">
      <c r="A3891" s="23" t="s">
        <v>16900</v>
      </c>
      <c r="B3891" s="23"/>
      <c r="C3891" s="23" t="s">
        <v>4615</v>
      </c>
      <c r="D3891" s="23" t="str">
        <f t="shared" si="180"/>
        <v>ORD26002062</v>
      </c>
      <c r="E3891" s="38">
        <v>46286</v>
      </c>
      <c r="F3891" s="23" t="s">
        <v>12410</v>
      </c>
      <c r="G3891" s="23" t="s">
        <v>75</v>
      </c>
      <c r="H3891" s="24">
        <v>7999</v>
      </c>
      <c r="I3891" s="24">
        <v>24</v>
      </c>
      <c r="J3891" s="24">
        <v>4.32</v>
      </c>
      <c r="K3891" s="24">
        <v>7970.68</v>
      </c>
      <c r="L3891" s="38">
        <v>46288</v>
      </c>
      <c r="M3891" s="23" t="s">
        <v>218</v>
      </c>
      <c r="N3891" s="23" t="str">
        <f>IF(COUNTIF($A$2:A3891,A3891)&gt;1,"DUP","OK")</f>
        <v>OK</v>
      </c>
      <c r="O3891" s="23" t="str">
        <f t="shared" si="181"/>
        <v>ORD26002062</v>
      </c>
      <c r="P3891" s="23" t="str">
        <f t="shared" si="182"/>
        <v>Sep</v>
      </c>
      <c r="Q3891" s="23" t="str">
        <f>IF(F3891="CAPTURE",IF(COUNTIF(orders!$A:$A,O3891)&gt;0,"Yes","NO ORDER"),"")</f>
        <v>Yes</v>
      </c>
    </row>
    <row r="3892" spans="1:17" ht="15" customHeight="1" x14ac:dyDescent="0.3">
      <c r="A3892" s="23" t="s">
        <v>16901</v>
      </c>
      <c r="B3892" s="23"/>
      <c r="C3892" s="23" t="s">
        <v>4638</v>
      </c>
      <c r="D3892" s="23" t="str">
        <f t="shared" si="180"/>
        <v>ORD26002073</v>
      </c>
      <c r="E3892" s="38">
        <v>46286</v>
      </c>
      <c r="F3892" s="23" t="s">
        <v>12410</v>
      </c>
      <c r="G3892" s="23" t="s">
        <v>75</v>
      </c>
      <c r="H3892" s="24">
        <v>4999</v>
      </c>
      <c r="I3892" s="24">
        <v>15</v>
      </c>
      <c r="J3892" s="24">
        <v>2.7</v>
      </c>
      <c r="K3892" s="24">
        <v>4981.3</v>
      </c>
      <c r="L3892" s="38">
        <v>46288</v>
      </c>
      <c r="M3892" s="23" t="s">
        <v>218</v>
      </c>
      <c r="N3892" s="23" t="str">
        <f>IF(COUNTIF($A$2:A3892,A3892)&gt;1,"DUP","OK")</f>
        <v>OK</v>
      </c>
      <c r="O3892" s="23" t="str">
        <f t="shared" si="181"/>
        <v>ORD26002073</v>
      </c>
      <c r="P3892" s="23" t="str">
        <f t="shared" si="182"/>
        <v>Sep</v>
      </c>
      <c r="Q3892" s="23" t="str">
        <f>IF(F3892="CAPTURE",IF(COUNTIF(orders!$A:$A,O3892)&gt;0,"Yes","NO ORDER"),"")</f>
        <v>Yes</v>
      </c>
    </row>
    <row r="3893" spans="1:17" ht="15" customHeight="1" x14ac:dyDescent="0.3">
      <c r="A3893" s="23" t="s">
        <v>16902</v>
      </c>
      <c r="B3893" s="23"/>
      <c r="C3893" s="23" t="s">
        <v>4668</v>
      </c>
      <c r="D3893" s="23" t="str">
        <f t="shared" si="180"/>
        <v>ORD26002089</v>
      </c>
      <c r="E3893" s="38">
        <v>46286</v>
      </c>
      <c r="F3893" s="23" t="s">
        <v>12410</v>
      </c>
      <c r="G3893" s="23" t="s">
        <v>75</v>
      </c>
      <c r="H3893" s="24">
        <v>299</v>
      </c>
      <c r="I3893" s="24">
        <v>0</v>
      </c>
      <c r="J3893" s="24">
        <v>0</v>
      </c>
      <c r="K3893" s="24">
        <v>299</v>
      </c>
      <c r="L3893" s="38">
        <v>46288</v>
      </c>
      <c r="M3893" s="23" t="s">
        <v>218</v>
      </c>
      <c r="N3893" s="23" t="str">
        <f>IF(COUNTIF($A$2:A3893,A3893)&gt;1,"DUP","OK")</f>
        <v>OK</v>
      </c>
      <c r="O3893" s="23" t="str">
        <f t="shared" si="181"/>
        <v>ORD26002089</v>
      </c>
      <c r="P3893" s="23" t="str">
        <f t="shared" si="182"/>
        <v>Sep</v>
      </c>
      <c r="Q3893" s="23" t="str">
        <f>IF(F3893="CAPTURE",IF(COUNTIF(orders!$A:$A,O3893)&gt;0,"Yes","NO ORDER"),"")</f>
        <v>Yes</v>
      </c>
    </row>
    <row r="3894" spans="1:17" ht="15" customHeight="1" x14ac:dyDescent="0.3">
      <c r="A3894" s="23" t="s">
        <v>16903</v>
      </c>
      <c r="B3894" s="23"/>
      <c r="C3894" s="23" t="s">
        <v>4721</v>
      </c>
      <c r="D3894" s="23" t="str">
        <f t="shared" si="180"/>
        <v>ORD26002115</v>
      </c>
      <c r="E3894" s="38">
        <v>46286</v>
      </c>
      <c r="F3894" s="23" t="s">
        <v>12410</v>
      </c>
      <c r="G3894" s="23" t="s">
        <v>75</v>
      </c>
      <c r="H3894" s="24">
        <v>3498</v>
      </c>
      <c r="I3894" s="24">
        <v>10.49</v>
      </c>
      <c r="J3894" s="24">
        <v>1.89</v>
      </c>
      <c r="K3894" s="24">
        <v>3485.62</v>
      </c>
      <c r="L3894" s="38">
        <v>46288</v>
      </c>
      <c r="M3894" s="23" t="s">
        <v>218</v>
      </c>
      <c r="N3894" s="23" t="str">
        <f>IF(COUNTIF($A$2:A3894,A3894)&gt;1,"DUP","OK")</f>
        <v>OK</v>
      </c>
      <c r="O3894" s="23" t="str">
        <f t="shared" si="181"/>
        <v>ORD26002115</v>
      </c>
      <c r="P3894" s="23" t="str">
        <f t="shared" si="182"/>
        <v>Sep</v>
      </c>
      <c r="Q3894" s="23" t="str">
        <f>IF(F3894="CAPTURE",IF(COUNTIF(orders!$A:$A,O3894)&gt;0,"Yes","NO ORDER"),"")</f>
        <v>Yes</v>
      </c>
    </row>
    <row r="3895" spans="1:17" ht="15" customHeight="1" x14ac:dyDescent="0.3">
      <c r="A3895" s="23" t="s">
        <v>16904</v>
      </c>
      <c r="B3895" s="23"/>
      <c r="C3895" s="23" t="s">
        <v>4809</v>
      </c>
      <c r="D3895" s="23" t="str">
        <f t="shared" si="180"/>
        <v>ORD26002160</v>
      </c>
      <c r="E3895" s="38">
        <v>46286</v>
      </c>
      <c r="F3895" s="23" t="s">
        <v>12410</v>
      </c>
      <c r="G3895" s="23" t="s">
        <v>79</v>
      </c>
      <c r="H3895" s="24">
        <v>2298</v>
      </c>
      <c r="I3895" s="24">
        <v>36.770000000000003</v>
      </c>
      <c r="J3895" s="24">
        <v>6.62</v>
      </c>
      <c r="K3895" s="24">
        <v>2254.61</v>
      </c>
      <c r="L3895" s="38">
        <v>46288</v>
      </c>
      <c r="M3895" s="23" t="s">
        <v>218</v>
      </c>
      <c r="N3895" s="23" t="str">
        <f>IF(COUNTIF($A$2:A3895,A3895)&gt;1,"DUP","OK")</f>
        <v>OK</v>
      </c>
      <c r="O3895" s="23" t="str">
        <f t="shared" si="181"/>
        <v>ORD26002160</v>
      </c>
      <c r="P3895" s="23" t="str">
        <f t="shared" si="182"/>
        <v>Sep</v>
      </c>
      <c r="Q3895" s="23" t="str">
        <f>IF(F3895="CAPTURE",IF(COUNTIF(orders!$A:$A,O3895)&gt;0,"Yes","NO ORDER"),"")</f>
        <v>Yes</v>
      </c>
    </row>
    <row r="3896" spans="1:17" ht="15" customHeight="1" x14ac:dyDescent="0.3">
      <c r="A3896" s="23" t="s">
        <v>16905</v>
      </c>
      <c r="B3896" s="23"/>
      <c r="C3896" s="23" t="s">
        <v>4833</v>
      </c>
      <c r="D3896" s="23" t="str">
        <f t="shared" si="180"/>
        <v>ORD26002172</v>
      </c>
      <c r="E3896" s="38">
        <v>46286</v>
      </c>
      <c r="F3896" s="23" t="s">
        <v>12410</v>
      </c>
      <c r="G3896" s="23" t="s">
        <v>75</v>
      </c>
      <c r="H3896" s="24">
        <v>2999</v>
      </c>
      <c r="I3896" s="24">
        <v>9</v>
      </c>
      <c r="J3896" s="24">
        <v>1.62</v>
      </c>
      <c r="K3896" s="24">
        <v>2988.38</v>
      </c>
      <c r="L3896" s="38">
        <v>46288</v>
      </c>
      <c r="M3896" s="23" t="s">
        <v>218</v>
      </c>
      <c r="N3896" s="23" t="str">
        <f>IF(COUNTIF($A$2:A3896,A3896)&gt;1,"DUP","OK")</f>
        <v>OK</v>
      </c>
      <c r="O3896" s="23" t="str">
        <f t="shared" si="181"/>
        <v>ORD26002172</v>
      </c>
      <c r="P3896" s="23" t="str">
        <f t="shared" si="182"/>
        <v>Sep</v>
      </c>
      <c r="Q3896" s="23" t="str">
        <f>IF(F3896="CAPTURE",IF(COUNTIF(orders!$A:$A,O3896)&gt;0,"Yes","NO ORDER"),"")</f>
        <v>Yes</v>
      </c>
    </row>
    <row r="3897" spans="1:17" ht="15" customHeight="1" x14ac:dyDescent="0.3">
      <c r="A3897" s="23" t="s">
        <v>16906</v>
      </c>
      <c r="B3897" s="23"/>
      <c r="C3897" s="23" t="s">
        <v>16907</v>
      </c>
      <c r="D3897" s="23" t="str">
        <f t="shared" si="180"/>
        <v>ORD26002215</v>
      </c>
      <c r="E3897" s="38">
        <v>46286</v>
      </c>
      <c r="F3897" s="23" t="s">
        <v>12410</v>
      </c>
      <c r="G3897" s="23" t="s">
        <v>77</v>
      </c>
      <c r="H3897" s="24">
        <v>799</v>
      </c>
      <c r="I3897" s="24">
        <v>15.18</v>
      </c>
      <c r="J3897" s="24">
        <v>2.73</v>
      </c>
      <c r="K3897" s="24">
        <v>781.09</v>
      </c>
      <c r="L3897" s="38">
        <v>46288</v>
      </c>
      <c r="M3897" s="23" t="s">
        <v>218</v>
      </c>
      <c r="N3897" s="23" t="str">
        <f>IF(COUNTIF($A$2:A3897,A3897)&gt;1,"DUP","OK")</f>
        <v>OK</v>
      </c>
      <c r="O3897" s="23" t="str">
        <f t="shared" si="181"/>
        <v>ORD26002215</v>
      </c>
      <c r="P3897" s="23" t="str">
        <f t="shared" si="182"/>
        <v>Sep</v>
      </c>
      <c r="Q3897" s="23" t="str">
        <f>IF(F3897="CAPTURE",IF(COUNTIF(orders!$A:$A,O3897)&gt;0,"Yes","NO ORDER"),"")</f>
        <v>Yes</v>
      </c>
    </row>
    <row r="3898" spans="1:17" ht="15" customHeight="1" x14ac:dyDescent="0.3">
      <c r="A3898" s="23" t="s">
        <v>16908</v>
      </c>
      <c r="B3898" s="23"/>
      <c r="C3898" s="23" t="s">
        <v>5176</v>
      </c>
      <c r="D3898" s="23" t="str">
        <f t="shared" si="180"/>
        <v>ORD26002341</v>
      </c>
      <c r="E3898" s="38">
        <v>46286</v>
      </c>
      <c r="F3898" s="23" t="s">
        <v>12410</v>
      </c>
      <c r="G3898" s="23" t="s">
        <v>75</v>
      </c>
      <c r="H3898" s="24">
        <v>1648</v>
      </c>
      <c r="I3898" s="24">
        <v>0</v>
      </c>
      <c r="J3898" s="24">
        <v>0</v>
      </c>
      <c r="K3898" s="24">
        <v>1648</v>
      </c>
      <c r="L3898" s="38">
        <v>46288</v>
      </c>
      <c r="M3898" s="23" t="s">
        <v>218</v>
      </c>
      <c r="N3898" s="23" t="str">
        <f>IF(COUNTIF($A$2:A3898,A3898)&gt;1,"DUP","OK")</f>
        <v>OK</v>
      </c>
      <c r="O3898" s="23" t="str">
        <f t="shared" si="181"/>
        <v>ORD26002341</v>
      </c>
      <c r="P3898" s="23" t="str">
        <f t="shared" si="182"/>
        <v>Sep</v>
      </c>
      <c r="Q3898" s="23" t="str">
        <f>IF(F3898="CAPTURE",IF(COUNTIF(orders!$A:$A,O3898)&gt;0,"Yes","NO ORDER"),"")</f>
        <v>Yes</v>
      </c>
    </row>
    <row r="3899" spans="1:17" ht="15" customHeight="1" x14ac:dyDescent="0.3">
      <c r="A3899" s="23" t="s">
        <v>16909</v>
      </c>
      <c r="B3899" s="23"/>
      <c r="C3899" s="23" t="s">
        <v>16910</v>
      </c>
      <c r="D3899" s="23" t="str">
        <f t="shared" si="180"/>
        <v>ORD26002356</v>
      </c>
      <c r="E3899" s="38">
        <v>46286</v>
      </c>
      <c r="F3899" s="23" t="s">
        <v>12410</v>
      </c>
      <c r="G3899" s="23" t="s">
        <v>75</v>
      </c>
      <c r="H3899" s="24">
        <v>3597</v>
      </c>
      <c r="I3899" s="24">
        <v>10.79</v>
      </c>
      <c r="J3899" s="24">
        <v>1.94</v>
      </c>
      <c r="K3899" s="24">
        <v>3584.27</v>
      </c>
      <c r="L3899" s="38">
        <v>46288</v>
      </c>
      <c r="M3899" s="23" t="s">
        <v>218</v>
      </c>
      <c r="N3899" s="23" t="str">
        <f>IF(COUNTIF($A$2:A3899,A3899)&gt;1,"DUP","OK")</f>
        <v>OK</v>
      </c>
      <c r="O3899" s="23" t="str">
        <f t="shared" si="181"/>
        <v>ORD26002356</v>
      </c>
      <c r="P3899" s="23" t="str">
        <f t="shared" si="182"/>
        <v>Sep</v>
      </c>
      <c r="Q3899" s="23" t="str">
        <f>IF(F3899="CAPTURE",IF(COUNTIF(orders!$A:$A,O3899)&gt;0,"Yes","NO ORDER"),"")</f>
        <v>Yes</v>
      </c>
    </row>
    <row r="3900" spans="1:17" ht="15" customHeight="1" x14ac:dyDescent="0.3">
      <c r="A3900" s="23" t="s">
        <v>16911</v>
      </c>
      <c r="B3900" s="23"/>
      <c r="C3900" s="23" t="s">
        <v>5281</v>
      </c>
      <c r="D3900" s="23" t="str">
        <f t="shared" si="180"/>
        <v>ORD26002394</v>
      </c>
      <c r="E3900" s="38">
        <v>46286</v>
      </c>
      <c r="F3900" s="23" t="s">
        <v>12410</v>
      </c>
      <c r="G3900" s="23" t="s">
        <v>77</v>
      </c>
      <c r="H3900" s="24">
        <v>5598</v>
      </c>
      <c r="I3900" s="24">
        <v>95.17</v>
      </c>
      <c r="J3900" s="24">
        <v>17.13</v>
      </c>
      <c r="K3900" s="24">
        <v>5485.7</v>
      </c>
      <c r="L3900" s="38">
        <v>46288</v>
      </c>
      <c r="M3900" s="23" t="s">
        <v>218</v>
      </c>
      <c r="N3900" s="23" t="str">
        <f>IF(COUNTIF($A$2:A3900,A3900)&gt;1,"DUP","OK")</f>
        <v>OK</v>
      </c>
      <c r="O3900" s="23" t="str">
        <f t="shared" si="181"/>
        <v>ORD26002394</v>
      </c>
      <c r="P3900" s="23" t="str">
        <f t="shared" si="182"/>
        <v>Sep</v>
      </c>
      <c r="Q3900" s="23" t="str">
        <f>IF(F3900="CAPTURE",IF(COUNTIF(orders!$A:$A,O3900)&gt;0,"Yes","NO ORDER"),"")</f>
        <v>Yes</v>
      </c>
    </row>
    <row r="3901" spans="1:17" ht="15" customHeight="1" x14ac:dyDescent="0.3">
      <c r="A3901" s="23" t="s">
        <v>16912</v>
      </c>
      <c r="B3901" s="23"/>
      <c r="C3901" s="23" t="s">
        <v>5582</v>
      </c>
      <c r="D3901" s="23" t="str">
        <f t="shared" si="180"/>
        <v>ORD26002544</v>
      </c>
      <c r="E3901" s="38">
        <v>46286</v>
      </c>
      <c r="F3901" s="23" t="s">
        <v>12410</v>
      </c>
      <c r="G3901" s="23" t="s">
        <v>75</v>
      </c>
      <c r="H3901" s="24">
        <v>3298</v>
      </c>
      <c r="I3901" s="24">
        <v>9.89</v>
      </c>
      <c r="J3901" s="24">
        <v>1.78</v>
      </c>
      <c r="K3901" s="24">
        <v>3286.33</v>
      </c>
      <c r="L3901" s="38">
        <v>46288</v>
      </c>
      <c r="M3901" s="23" t="s">
        <v>218</v>
      </c>
      <c r="N3901" s="23" t="str">
        <f>IF(COUNTIF($A$2:A3901,A3901)&gt;1,"DUP","OK")</f>
        <v>OK</v>
      </c>
      <c r="O3901" s="23" t="str">
        <f t="shared" si="181"/>
        <v>ORD26002544</v>
      </c>
      <c r="P3901" s="23" t="str">
        <f t="shared" si="182"/>
        <v>Sep</v>
      </c>
      <c r="Q3901" s="23" t="str">
        <f>IF(F3901="CAPTURE",IF(COUNTIF(orders!$A:$A,O3901)&gt;0,"Yes","NO ORDER"),"")</f>
        <v>Yes</v>
      </c>
    </row>
    <row r="3902" spans="1:17" ht="15" customHeight="1" x14ac:dyDescent="0.3">
      <c r="A3902" s="23" t="s">
        <v>16913</v>
      </c>
      <c r="B3902" s="23"/>
      <c r="C3902" s="23" t="s">
        <v>5681</v>
      </c>
      <c r="D3902" s="23" t="str">
        <f t="shared" si="180"/>
        <v>ORD26002594</v>
      </c>
      <c r="E3902" s="38">
        <v>46286</v>
      </c>
      <c r="F3902" s="23" t="s">
        <v>12410</v>
      </c>
      <c r="G3902" s="23" t="s">
        <v>75</v>
      </c>
      <c r="H3902" s="24">
        <v>6797</v>
      </c>
      <c r="I3902" s="24">
        <v>20.39</v>
      </c>
      <c r="J3902" s="24">
        <v>3.67</v>
      </c>
      <c r="K3902" s="24">
        <v>6772.94</v>
      </c>
      <c r="L3902" s="38">
        <v>46288</v>
      </c>
      <c r="M3902" s="23" t="s">
        <v>218</v>
      </c>
      <c r="N3902" s="23" t="str">
        <f>IF(COUNTIF($A$2:A3902,A3902)&gt;1,"DUP","OK")</f>
        <v>OK</v>
      </c>
      <c r="O3902" s="23" t="str">
        <f t="shared" si="181"/>
        <v>ORD26002594</v>
      </c>
      <c r="P3902" s="23" t="str">
        <f t="shared" si="182"/>
        <v>Sep</v>
      </c>
      <c r="Q3902" s="23" t="str">
        <f>IF(F3902="CAPTURE",IF(COUNTIF(orders!$A:$A,O3902)&gt;0,"Yes","NO ORDER"),"")</f>
        <v>Yes</v>
      </c>
    </row>
    <row r="3903" spans="1:17" ht="15" customHeight="1" x14ac:dyDescent="0.3">
      <c r="A3903" s="23" t="s">
        <v>16914</v>
      </c>
      <c r="B3903" s="23"/>
      <c r="C3903" s="23" t="s">
        <v>5712</v>
      </c>
      <c r="D3903" s="23" t="str">
        <f t="shared" si="180"/>
        <v>ORD26002609</v>
      </c>
      <c r="E3903" s="38">
        <v>46286</v>
      </c>
      <c r="F3903" s="23" t="s">
        <v>12410</v>
      </c>
      <c r="G3903" s="23" t="s">
        <v>75</v>
      </c>
      <c r="H3903" s="24">
        <v>1148</v>
      </c>
      <c r="I3903" s="24">
        <v>0</v>
      </c>
      <c r="J3903" s="24">
        <v>0</v>
      </c>
      <c r="K3903" s="24">
        <v>1148</v>
      </c>
      <c r="L3903" s="38">
        <v>46288</v>
      </c>
      <c r="M3903" s="23" t="s">
        <v>218</v>
      </c>
      <c r="N3903" s="23" t="str">
        <f>IF(COUNTIF($A$2:A3903,A3903)&gt;1,"DUP","OK")</f>
        <v>OK</v>
      </c>
      <c r="O3903" s="23" t="str">
        <f t="shared" si="181"/>
        <v>ORD26002609</v>
      </c>
      <c r="P3903" s="23" t="str">
        <f t="shared" si="182"/>
        <v>Sep</v>
      </c>
      <c r="Q3903" s="23" t="str">
        <f>IF(F3903="CAPTURE",IF(COUNTIF(orders!$A:$A,O3903)&gt;0,"Yes","NO ORDER"),"")</f>
        <v>Yes</v>
      </c>
    </row>
    <row r="3904" spans="1:17" ht="15" customHeight="1" x14ac:dyDescent="0.3">
      <c r="A3904" s="23" t="s">
        <v>16915</v>
      </c>
      <c r="B3904" s="23"/>
      <c r="C3904" s="23" t="s">
        <v>5752</v>
      </c>
      <c r="D3904" s="23" t="str">
        <f t="shared" si="180"/>
        <v>ORD26002629</v>
      </c>
      <c r="E3904" s="38">
        <v>46286</v>
      </c>
      <c r="F3904" s="23" t="s">
        <v>12410</v>
      </c>
      <c r="G3904" s="23" t="s">
        <v>79</v>
      </c>
      <c r="H3904" s="24">
        <v>7498</v>
      </c>
      <c r="I3904" s="24">
        <v>119.97</v>
      </c>
      <c r="J3904" s="24">
        <v>21.59</v>
      </c>
      <c r="K3904" s="24">
        <v>7356.44</v>
      </c>
      <c r="L3904" s="38">
        <v>46288</v>
      </c>
      <c r="M3904" s="23" t="s">
        <v>218</v>
      </c>
      <c r="N3904" s="23" t="str">
        <f>IF(COUNTIF($A$2:A3904,A3904)&gt;1,"DUP","OK")</f>
        <v>OK</v>
      </c>
      <c r="O3904" s="23" t="str">
        <f t="shared" si="181"/>
        <v>ORD26002629</v>
      </c>
      <c r="P3904" s="23" t="str">
        <f t="shared" si="182"/>
        <v>Sep</v>
      </c>
      <c r="Q3904" s="23" t="str">
        <f>IF(F3904="CAPTURE",IF(COUNTIF(orders!$A:$A,O3904)&gt;0,"Yes","NO ORDER"),"")</f>
        <v>Yes</v>
      </c>
    </row>
    <row r="3905" spans="1:17" ht="15" customHeight="1" x14ac:dyDescent="0.3">
      <c r="A3905" s="23" t="s">
        <v>16916</v>
      </c>
      <c r="B3905" s="23"/>
      <c r="C3905" s="23" t="s">
        <v>5774</v>
      </c>
      <c r="D3905" s="23" t="str">
        <f t="shared" si="180"/>
        <v>ORD26002640</v>
      </c>
      <c r="E3905" s="38">
        <v>46286</v>
      </c>
      <c r="F3905" s="23" t="s">
        <v>12410</v>
      </c>
      <c r="G3905" s="23" t="s">
        <v>81</v>
      </c>
      <c r="H3905" s="24">
        <v>1298</v>
      </c>
      <c r="I3905" s="24">
        <v>19.47</v>
      </c>
      <c r="J3905" s="24">
        <v>3.5</v>
      </c>
      <c r="K3905" s="24">
        <v>1275.03</v>
      </c>
      <c r="L3905" s="38">
        <v>46288</v>
      </c>
      <c r="M3905" s="23" t="s">
        <v>218</v>
      </c>
      <c r="N3905" s="23" t="str">
        <f>IF(COUNTIF($A$2:A3905,A3905)&gt;1,"DUP","OK")</f>
        <v>OK</v>
      </c>
      <c r="O3905" s="23" t="str">
        <f t="shared" si="181"/>
        <v>ORD26002640</v>
      </c>
      <c r="P3905" s="23" t="str">
        <f t="shared" si="182"/>
        <v>Sep</v>
      </c>
      <c r="Q3905" s="23" t="str">
        <f>IF(F3905="CAPTURE",IF(COUNTIF(orders!$A:$A,O3905)&gt;0,"Yes","NO ORDER"),"")</f>
        <v>Yes</v>
      </c>
    </row>
    <row r="3906" spans="1:17" ht="15" customHeight="1" x14ac:dyDescent="0.3">
      <c r="A3906" s="23" t="s">
        <v>16917</v>
      </c>
      <c r="B3906" s="23"/>
      <c r="C3906" s="23" t="s">
        <v>5952</v>
      </c>
      <c r="D3906" s="23" t="str">
        <f t="shared" ref="D3906:D3969" si="183">UPPER(SUBSTITUTE(TRIM(C3906),"-",""))</f>
        <v>ORD26002728</v>
      </c>
      <c r="E3906" s="38">
        <v>46286</v>
      </c>
      <c r="F3906" s="23" t="s">
        <v>12410</v>
      </c>
      <c r="G3906" s="23" t="s">
        <v>75</v>
      </c>
      <c r="H3906" s="24">
        <v>4999</v>
      </c>
      <c r="I3906" s="24">
        <v>15</v>
      </c>
      <c r="J3906" s="24">
        <v>2.7</v>
      </c>
      <c r="K3906" s="24">
        <v>4981.3</v>
      </c>
      <c r="L3906" s="38">
        <v>46288</v>
      </c>
      <c r="M3906" s="23" t="s">
        <v>218</v>
      </c>
      <c r="N3906" s="23" t="str">
        <f>IF(COUNTIF($A$2:A3906,A3906)&gt;1,"DUP","OK")</f>
        <v>OK</v>
      </c>
      <c r="O3906" s="23" t="str">
        <f t="shared" ref="O3906:O3969" si="184">IF(F3906="REFUND",INDEX($D:$D,MATCH(B3906,$A:$A,0)),D3906)</f>
        <v>ORD26002728</v>
      </c>
      <c r="P3906" s="23" t="str">
        <f t="shared" ref="P3906:P3969" si="185">IF(L3906&gt;DATE(2026,9,30),"Oct-Due","Sep")</f>
        <v>Sep</v>
      </c>
      <c r="Q3906" s="23" t="str">
        <f>IF(F3906="CAPTURE",IF(COUNTIF(orders!$A:$A,O3906)&gt;0,"Yes","NO ORDER"),"")</f>
        <v>Yes</v>
      </c>
    </row>
    <row r="3907" spans="1:17" ht="15" customHeight="1" x14ac:dyDescent="0.3">
      <c r="A3907" s="23" t="s">
        <v>16918</v>
      </c>
      <c r="B3907" s="23"/>
      <c r="C3907" s="23" t="s">
        <v>5978</v>
      </c>
      <c r="D3907" s="23" t="str">
        <f t="shared" si="183"/>
        <v>ORD26002741</v>
      </c>
      <c r="E3907" s="38">
        <v>46286</v>
      </c>
      <c r="F3907" s="23" t="s">
        <v>12410</v>
      </c>
      <c r="G3907" s="23" t="s">
        <v>75</v>
      </c>
      <c r="H3907" s="24">
        <v>1499</v>
      </c>
      <c r="I3907" s="24">
        <v>0</v>
      </c>
      <c r="J3907" s="24">
        <v>0</v>
      </c>
      <c r="K3907" s="24">
        <v>1499</v>
      </c>
      <c r="L3907" s="38">
        <v>46288</v>
      </c>
      <c r="M3907" s="23" t="s">
        <v>218</v>
      </c>
      <c r="N3907" s="23" t="str">
        <f>IF(COUNTIF($A$2:A3907,A3907)&gt;1,"DUP","OK")</f>
        <v>OK</v>
      </c>
      <c r="O3907" s="23" t="str">
        <f t="shared" si="184"/>
        <v>ORD26002741</v>
      </c>
      <c r="P3907" s="23" t="str">
        <f t="shared" si="185"/>
        <v>Sep</v>
      </c>
      <c r="Q3907" s="23" t="str">
        <f>IF(F3907="CAPTURE",IF(COUNTIF(orders!$A:$A,O3907)&gt;0,"Yes","NO ORDER"),"")</f>
        <v>Yes</v>
      </c>
    </row>
    <row r="3908" spans="1:17" ht="15" customHeight="1" x14ac:dyDescent="0.3">
      <c r="A3908" s="23" t="s">
        <v>16919</v>
      </c>
      <c r="B3908" s="23"/>
      <c r="C3908" s="23" t="s">
        <v>16920</v>
      </c>
      <c r="D3908" s="23" t="str">
        <f t="shared" si="183"/>
        <v>ORD26002749</v>
      </c>
      <c r="E3908" s="38">
        <v>46286</v>
      </c>
      <c r="F3908" s="23" t="s">
        <v>12410</v>
      </c>
      <c r="G3908" s="23" t="s">
        <v>79</v>
      </c>
      <c r="H3908" s="24">
        <v>3499</v>
      </c>
      <c r="I3908" s="24">
        <v>55.98</v>
      </c>
      <c r="J3908" s="24">
        <v>10.08</v>
      </c>
      <c r="K3908" s="24">
        <v>3432.94</v>
      </c>
      <c r="L3908" s="38">
        <v>46288</v>
      </c>
      <c r="M3908" s="23" t="s">
        <v>218</v>
      </c>
      <c r="N3908" s="23" t="str">
        <f>IF(COUNTIF($A$2:A3908,A3908)&gt;1,"DUP","OK")</f>
        <v>OK</v>
      </c>
      <c r="O3908" s="23" t="str">
        <f t="shared" si="184"/>
        <v>ORD26002749</v>
      </c>
      <c r="P3908" s="23" t="str">
        <f t="shared" si="185"/>
        <v>Sep</v>
      </c>
      <c r="Q3908" s="23" t="str">
        <f>IF(F3908="CAPTURE",IF(COUNTIF(orders!$A:$A,O3908)&gt;0,"Yes","NO ORDER"),"")</f>
        <v>Yes</v>
      </c>
    </row>
    <row r="3909" spans="1:17" ht="15" customHeight="1" x14ac:dyDescent="0.3">
      <c r="A3909" s="23" t="s">
        <v>16921</v>
      </c>
      <c r="B3909" s="23"/>
      <c r="C3909" s="23" t="s">
        <v>6017</v>
      </c>
      <c r="D3909" s="23" t="str">
        <f t="shared" si="183"/>
        <v>ORD26002760</v>
      </c>
      <c r="E3909" s="38">
        <v>46286</v>
      </c>
      <c r="F3909" s="23" t="s">
        <v>12410</v>
      </c>
      <c r="G3909" s="23" t="s">
        <v>79</v>
      </c>
      <c r="H3909" s="24">
        <v>5097</v>
      </c>
      <c r="I3909" s="24">
        <v>81.55</v>
      </c>
      <c r="J3909" s="24">
        <v>14.68</v>
      </c>
      <c r="K3909" s="24">
        <v>5000.7700000000004</v>
      </c>
      <c r="L3909" s="38">
        <v>46288</v>
      </c>
      <c r="M3909" s="23" t="s">
        <v>218</v>
      </c>
      <c r="N3909" s="23" t="str">
        <f>IF(COUNTIF($A$2:A3909,A3909)&gt;1,"DUP","OK")</f>
        <v>OK</v>
      </c>
      <c r="O3909" s="23" t="str">
        <f t="shared" si="184"/>
        <v>ORD26002760</v>
      </c>
      <c r="P3909" s="23" t="str">
        <f t="shared" si="185"/>
        <v>Sep</v>
      </c>
      <c r="Q3909" s="23" t="str">
        <f>IF(F3909="CAPTURE",IF(COUNTIF(orders!$A:$A,O3909)&gt;0,"Yes","NO ORDER"),"")</f>
        <v>Yes</v>
      </c>
    </row>
    <row r="3910" spans="1:17" ht="15" customHeight="1" x14ac:dyDescent="0.3">
      <c r="A3910" s="23" t="s">
        <v>16922</v>
      </c>
      <c r="B3910" s="23"/>
      <c r="C3910" s="23" t="s">
        <v>6118</v>
      </c>
      <c r="D3910" s="23" t="str">
        <f t="shared" si="183"/>
        <v>ORD26002810</v>
      </c>
      <c r="E3910" s="38">
        <v>46286</v>
      </c>
      <c r="F3910" s="23" t="s">
        <v>12410</v>
      </c>
      <c r="G3910" s="23" t="s">
        <v>75</v>
      </c>
      <c r="H3910" s="24">
        <v>5298</v>
      </c>
      <c r="I3910" s="24">
        <v>15.89</v>
      </c>
      <c r="J3910" s="24">
        <v>2.86</v>
      </c>
      <c r="K3910" s="24">
        <v>5279.25</v>
      </c>
      <c r="L3910" s="38">
        <v>46288</v>
      </c>
      <c r="M3910" s="23" t="s">
        <v>218</v>
      </c>
      <c r="N3910" s="23" t="str">
        <f>IF(COUNTIF($A$2:A3910,A3910)&gt;1,"DUP","OK")</f>
        <v>OK</v>
      </c>
      <c r="O3910" s="23" t="str">
        <f t="shared" si="184"/>
        <v>ORD26002810</v>
      </c>
      <c r="P3910" s="23" t="str">
        <f t="shared" si="185"/>
        <v>Sep</v>
      </c>
      <c r="Q3910" s="23" t="str">
        <f>IF(F3910="CAPTURE",IF(COUNTIF(orders!$A:$A,O3910)&gt;0,"Yes","NO ORDER"),"")</f>
        <v>Yes</v>
      </c>
    </row>
    <row r="3911" spans="1:17" ht="15" customHeight="1" x14ac:dyDescent="0.3">
      <c r="A3911" s="23" t="s">
        <v>16923</v>
      </c>
      <c r="B3911" s="23"/>
      <c r="C3911" s="23" t="s">
        <v>6148</v>
      </c>
      <c r="D3911" s="23" t="str">
        <f t="shared" si="183"/>
        <v>ORD26002825</v>
      </c>
      <c r="E3911" s="38">
        <v>46286</v>
      </c>
      <c r="F3911" s="23" t="s">
        <v>12410</v>
      </c>
      <c r="G3911" s="23" t="s">
        <v>77</v>
      </c>
      <c r="H3911" s="24">
        <v>4147</v>
      </c>
      <c r="I3911" s="24">
        <v>70.5</v>
      </c>
      <c r="J3911" s="24">
        <v>12.69</v>
      </c>
      <c r="K3911" s="24">
        <v>4063.81</v>
      </c>
      <c r="L3911" s="38">
        <v>46288</v>
      </c>
      <c r="M3911" s="23" t="s">
        <v>218</v>
      </c>
      <c r="N3911" s="23" t="str">
        <f>IF(COUNTIF($A$2:A3911,A3911)&gt;1,"DUP","OK")</f>
        <v>OK</v>
      </c>
      <c r="O3911" s="23" t="str">
        <f t="shared" si="184"/>
        <v>ORD26002825</v>
      </c>
      <c r="P3911" s="23" t="str">
        <f t="shared" si="185"/>
        <v>Sep</v>
      </c>
      <c r="Q3911" s="23" t="str">
        <f>IF(F3911="CAPTURE",IF(COUNTIF(orders!$A:$A,O3911)&gt;0,"Yes","NO ORDER"),"")</f>
        <v>Yes</v>
      </c>
    </row>
    <row r="3912" spans="1:17" ht="15" customHeight="1" x14ac:dyDescent="0.3">
      <c r="A3912" s="23" t="s">
        <v>16924</v>
      </c>
      <c r="B3912" s="23"/>
      <c r="C3912" s="23" t="s">
        <v>6511</v>
      </c>
      <c r="D3912" s="23" t="str">
        <f t="shared" si="183"/>
        <v>ORD26003009</v>
      </c>
      <c r="E3912" s="38">
        <v>46286</v>
      </c>
      <c r="F3912" s="23" t="s">
        <v>12410</v>
      </c>
      <c r="G3912" s="23" t="s">
        <v>75</v>
      </c>
      <c r="H3912" s="24">
        <v>10998</v>
      </c>
      <c r="I3912" s="24">
        <v>32.99</v>
      </c>
      <c r="J3912" s="24">
        <v>5.94</v>
      </c>
      <c r="K3912" s="24">
        <v>10959.07</v>
      </c>
      <c r="L3912" s="38">
        <v>46288</v>
      </c>
      <c r="M3912" s="23" t="s">
        <v>218</v>
      </c>
      <c r="N3912" s="23" t="str">
        <f>IF(COUNTIF($A$2:A3912,A3912)&gt;1,"DUP","OK")</f>
        <v>OK</v>
      </c>
      <c r="O3912" s="23" t="str">
        <f t="shared" si="184"/>
        <v>ORD26003009</v>
      </c>
      <c r="P3912" s="23" t="str">
        <f t="shared" si="185"/>
        <v>Sep</v>
      </c>
      <c r="Q3912" s="23" t="str">
        <f>IF(F3912="CAPTURE",IF(COUNTIF(orders!$A:$A,O3912)&gt;0,"Yes","NO ORDER"),"")</f>
        <v>Yes</v>
      </c>
    </row>
    <row r="3913" spans="1:17" ht="15" customHeight="1" x14ac:dyDescent="0.3">
      <c r="A3913" s="23" t="s">
        <v>16925</v>
      </c>
      <c r="B3913" s="23"/>
      <c r="C3913" s="23" t="s">
        <v>6552</v>
      </c>
      <c r="D3913" s="23" t="str">
        <f t="shared" si="183"/>
        <v>ORD26003029</v>
      </c>
      <c r="E3913" s="38">
        <v>46286</v>
      </c>
      <c r="F3913" s="23" t="s">
        <v>12410</v>
      </c>
      <c r="G3913" s="23" t="s">
        <v>75</v>
      </c>
      <c r="H3913" s="24">
        <v>499</v>
      </c>
      <c r="I3913" s="24">
        <v>0</v>
      </c>
      <c r="J3913" s="24">
        <v>0</v>
      </c>
      <c r="K3913" s="24">
        <v>499</v>
      </c>
      <c r="L3913" s="38">
        <v>46288</v>
      </c>
      <c r="M3913" s="23" t="s">
        <v>218</v>
      </c>
      <c r="N3913" s="23" t="str">
        <f>IF(COUNTIF($A$2:A3913,A3913)&gt;1,"DUP","OK")</f>
        <v>OK</v>
      </c>
      <c r="O3913" s="23" t="str">
        <f t="shared" si="184"/>
        <v>ORD26003029</v>
      </c>
      <c r="P3913" s="23" t="str">
        <f t="shared" si="185"/>
        <v>Sep</v>
      </c>
      <c r="Q3913" s="23" t="str">
        <f>IF(F3913="CAPTURE",IF(COUNTIF(orders!$A:$A,O3913)&gt;0,"Yes","NO ORDER"),"")</f>
        <v>Yes</v>
      </c>
    </row>
    <row r="3914" spans="1:17" ht="15" customHeight="1" x14ac:dyDescent="0.3">
      <c r="A3914" s="23" t="s">
        <v>16926</v>
      </c>
      <c r="B3914" s="23"/>
      <c r="C3914" s="23" t="s">
        <v>16927</v>
      </c>
      <c r="D3914" s="23" t="str">
        <f t="shared" si="183"/>
        <v>ORD26003039</v>
      </c>
      <c r="E3914" s="38">
        <v>46286</v>
      </c>
      <c r="F3914" s="23" t="s">
        <v>12410</v>
      </c>
      <c r="G3914" s="23" t="s">
        <v>79</v>
      </c>
      <c r="H3914" s="24">
        <v>2499</v>
      </c>
      <c r="I3914" s="24">
        <v>39.979999999999997</v>
      </c>
      <c r="J3914" s="24">
        <v>7.2</v>
      </c>
      <c r="K3914" s="24">
        <v>2451.8200000000002</v>
      </c>
      <c r="L3914" s="38">
        <v>46288</v>
      </c>
      <c r="M3914" s="23" t="s">
        <v>218</v>
      </c>
      <c r="N3914" s="23" t="str">
        <f>IF(COUNTIF($A$2:A3914,A3914)&gt;1,"DUP","OK")</f>
        <v>OK</v>
      </c>
      <c r="O3914" s="23" t="str">
        <f t="shared" si="184"/>
        <v>ORD26003039</v>
      </c>
      <c r="P3914" s="23" t="str">
        <f t="shared" si="185"/>
        <v>Sep</v>
      </c>
      <c r="Q3914" s="23" t="str">
        <f>IF(F3914="CAPTURE",IF(COUNTIF(orders!$A:$A,O3914)&gt;0,"Yes","NO ORDER"),"")</f>
        <v>Yes</v>
      </c>
    </row>
    <row r="3915" spans="1:17" ht="15" customHeight="1" x14ac:dyDescent="0.3">
      <c r="A3915" s="23" t="s">
        <v>16928</v>
      </c>
      <c r="B3915" s="23"/>
      <c r="C3915" s="23" t="s">
        <v>6693</v>
      </c>
      <c r="D3915" s="23" t="str">
        <f t="shared" si="183"/>
        <v>ORD26003098</v>
      </c>
      <c r="E3915" s="38">
        <v>46286</v>
      </c>
      <c r="F3915" s="23" t="s">
        <v>12410</v>
      </c>
      <c r="G3915" s="23" t="s">
        <v>81</v>
      </c>
      <c r="H3915" s="24">
        <v>3499</v>
      </c>
      <c r="I3915" s="24">
        <v>41.99</v>
      </c>
      <c r="J3915" s="24">
        <v>7.56</v>
      </c>
      <c r="K3915" s="24">
        <v>3449.45</v>
      </c>
      <c r="L3915" s="38">
        <v>46288</v>
      </c>
      <c r="M3915" s="23" t="s">
        <v>218</v>
      </c>
      <c r="N3915" s="23" t="str">
        <f>IF(COUNTIF($A$2:A3915,A3915)&gt;1,"DUP","OK")</f>
        <v>OK</v>
      </c>
      <c r="O3915" s="23" t="str">
        <f t="shared" si="184"/>
        <v>ORD26003098</v>
      </c>
      <c r="P3915" s="23" t="str">
        <f t="shared" si="185"/>
        <v>Sep</v>
      </c>
      <c r="Q3915" s="23" t="str">
        <f>IF(F3915="CAPTURE",IF(COUNTIF(orders!$A:$A,O3915)&gt;0,"Yes","NO ORDER"),"")</f>
        <v>Yes</v>
      </c>
    </row>
    <row r="3916" spans="1:17" ht="15" customHeight="1" x14ac:dyDescent="0.3">
      <c r="A3916" s="23" t="s">
        <v>16929</v>
      </c>
      <c r="B3916" s="23"/>
      <c r="C3916" s="23" t="s">
        <v>6743</v>
      </c>
      <c r="D3916" s="23" t="str">
        <f t="shared" si="183"/>
        <v>ORD26003123</v>
      </c>
      <c r="E3916" s="38">
        <v>46286</v>
      </c>
      <c r="F3916" s="23" t="s">
        <v>12410</v>
      </c>
      <c r="G3916" s="23" t="s">
        <v>79</v>
      </c>
      <c r="H3916" s="24">
        <v>2298</v>
      </c>
      <c r="I3916" s="24">
        <v>36.770000000000003</v>
      </c>
      <c r="J3916" s="24">
        <v>6.62</v>
      </c>
      <c r="K3916" s="24">
        <v>2254.61</v>
      </c>
      <c r="L3916" s="38">
        <v>46288</v>
      </c>
      <c r="M3916" s="23" t="s">
        <v>218</v>
      </c>
      <c r="N3916" s="23" t="str">
        <f>IF(COUNTIF($A$2:A3916,A3916)&gt;1,"DUP","OK")</f>
        <v>OK</v>
      </c>
      <c r="O3916" s="23" t="str">
        <f t="shared" si="184"/>
        <v>ORD26003123</v>
      </c>
      <c r="P3916" s="23" t="str">
        <f t="shared" si="185"/>
        <v>Sep</v>
      </c>
      <c r="Q3916" s="23" t="str">
        <f>IF(F3916="CAPTURE",IF(COUNTIF(orders!$A:$A,O3916)&gt;0,"Yes","NO ORDER"),"")</f>
        <v>Yes</v>
      </c>
    </row>
    <row r="3917" spans="1:17" ht="15" customHeight="1" x14ac:dyDescent="0.3">
      <c r="A3917" s="23" t="s">
        <v>16930</v>
      </c>
      <c r="B3917" s="23"/>
      <c r="C3917" s="23" t="s">
        <v>6767</v>
      </c>
      <c r="D3917" s="23" t="str">
        <f t="shared" si="183"/>
        <v>ORD26003135</v>
      </c>
      <c r="E3917" s="38">
        <v>46286</v>
      </c>
      <c r="F3917" s="23" t="s">
        <v>12410</v>
      </c>
      <c r="G3917" s="23" t="s">
        <v>75</v>
      </c>
      <c r="H3917" s="24">
        <v>499</v>
      </c>
      <c r="I3917" s="24">
        <v>0</v>
      </c>
      <c r="J3917" s="24">
        <v>0</v>
      </c>
      <c r="K3917" s="24">
        <v>499</v>
      </c>
      <c r="L3917" s="38">
        <v>46288</v>
      </c>
      <c r="M3917" s="23" t="s">
        <v>218</v>
      </c>
      <c r="N3917" s="23" t="str">
        <f>IF(COUNTIF($A$2:A3917,A3917)&gt;1,"DUP","OK")</f>
        <v>OK</v>
      </c>
      <c r="O3917" s="23" t="str">
        <f t="shared" si="184"/>
        <v>ORD26003135</v>
      </c>
      <c r="P3917" s="23" t="str">
        <f t="shared" si="185"/>
        <v>Sep</v>
      </c>
      <c r="Q3917" s="23" t="str">
        <f>IF(F3917="CAPTURE",IF(COUNTIF(orders!$A:$A,O3917)&gt;0,"Yes","NO ORDER"),"")</f>
        <v>Yes</v>
      </c>
    </row>
    <row r="3918" spans="1:17" ht="15" customHeight="1" x14ac:dyDescent="0.3">
      <c r="A3918" s="23" t="s">
        <v>16931</v>
      </c>
      <c r="B3918" s="23"/>
      <c r="C3918" s="23" t="s">
        <v>6797</v>
      </c>
      <c r="D3918" s="23" t="str">
        <f t="shared" si="183"/>
        <v>ORD26003150</v>
      </c>
      <c r="E3918" s="38">
        <v>46286</v>
      </c>
      <c r="F3918" s="23" t="s">
        <v>12410</v>
      </c>
      <c r="G3918" s="23" t="s">
        <v>81</v>
      </c>
      <c r="H3918" s="24">
        <v>7297</v>
      </c>
      <c r="I3918" s="24">
        <v>87.56</v>
      </c>
      <c r="J3918" s="24">
        <v>15.76</v>
      </c>
      <c r="K3918" s="24">
        <v>7193.68</v>
      </c>
      <c r="L3918" s="38">
        <v>46288</v>
      </c>
      <c r="M3918" s="23" t="s">
        <v>218</v>
      </c>
      <c r="N3918" s="23" t="str">
        <f>IF(COUNTIF($A$2:A3918,A3918)&gt;1,"DUP","OK")</f>
        <v>OK</v>
      </c>
      <c r="O3918" s="23" t="str">
        <f t="shared" si="184"/>
        <v>ORD26003150</v>
      </c>
      <c r="P3918" s="23" t="str">
        <f t="shared" si="185"/>
        <v>Sep</v>
      </c>
      <c r="Q3918" s="23" t="str">
        <f>IF(F3918="CAPTURE",IF(COUNTIF(orders!$A:$A,O3918)&gt;0,"Yes","NO ORDER"),"")</f>
        <v>Yes</v>
      </c>
    </row>
    <row r="3919" spans="1:17" ht="15" customHeight="1" x14ac:dyDescent="0.3">
      <c r="A3919" s="23" t="s">
        <v>16932</v>
      </c>
      <c r="B3919" s="23"/>
      <c r="C3919" s="23" t="s">
        <v>6935</v>
      </c>
      <c r="D3919" s="23" t="str">
        <f t="shared" si="183"/>
        <v>ORD26003219</v>
      </c>
      <c r="E3919" s="38">
        <v>46286</v>
      </c>
      <c r="F3919" s="23" t="s">
        <v>12410</v>
      </c>
      <c r="G3919" s="23" t="s">
        <v>75</v>
      </c>
      <c r="H3919" s="24">
        <v>2098</v>
      </c>
      <c r="I3919" s="24">
        <v>6.29</v>
      </c>
      <c r="J3919" s="24">
        <v>1.1299999999999999</v>
      </c>
      <c r="K3919" s="24">
        <v>2090.58</v>
      </c>
      <c r="L3919" s="38">
        <v>46288</v>
      </c>
      <c r="M3919" s="23" t="s">
        <v>218</v>
      </c>
      <c r="N3919" s="23" t="str">
        <f>IF(COUNTIF($A$2:A3919,A3919)&gt;1,"DUP","OK")</f>
        <v>OK</v>
      </c>
      <c r="O3919" s="23" t="str">
        <f t="shared" si="184"/>
        <v>ORD26003219</v>
      </c>
      <c r="P3919" s="23" t="str">
        <f t="shared" si="185"/>
        <v>Sep</v>
      </c>
      <c r="Q3919" s="23" t="str">
        <f>IF(F3919="CAPTURE",IF(COUNTIF(orders!$A:$A,O3919)&gt;0,"Yes","NO ORDER"),"")</f>
        <v>Yes</v>
      </c>
    </row>
    <row r="3920" spans="1:17" ht="15" customHeight="1" x14ac:dyDescent="0.3">
      <c r="A3920" s="23" t="s">
        <v>16933</v>
      </c>
      <c r="B3920" s="23"/>
      <c r="C3920" s="23" t="s">
        <v>6997</v>
      </c>
      <c r="D3920" s="23" t="str">
        <f t="shared" si="183"/>
        <v>ORD26003249</v>
      </c>
      <c r="E3920" s="38">
        <v>46286</v>
      </c>
      <c r="F3920" s="23" t="s">
        <v>12410</v>
      </c>
      <c r="G3920" s="23" t="s">
        <v>75</v>
      </c>
      <c r="H3920" s="24">
        <v>2499</v>
      </c>
      <c r="I3920" s="24">
        <v>7.5</v>
      </c>
      <c r="J3920" s="24">
        <v>1.35</v>
      </c>
      <c r="K3920" s="24">
        <v>2490.15</v>
      </c>
      <c r="L3920" s="38">
        <v>46288</v>
      </c>
      <c r="M3920" s="23" t="s">
        <v>218</v>
      </c>
      <c r="N3920" s="23" t="str">
        <f>IF(COUNTIF($A$2:A3920,A3920)&gt;1,"DUP","OK")</f>
        <v>OK</v>
      </c>
      <c r="O3920" s="23" t="str">
        <f t="shared" si="184"/>
        <v>ORD26003249</v>
      </c>
      <c r="P3920" s="23" t="str">
        <f t="shared" si="185"/>
        <v>Sep</v>
      </c>
      <c r="Q3920" s="23" t="str">
        <f>IF(F3920="CAPTURE",IF(COUNTIF(orders!$A:$A,O3920)&gt;0,"Yes","NO ORDER"),"")</f>
        <v>Yes</v>
      </c>
    </row>
    <row r="3921" spans="1:17" ht="15" customHeight="1" x14ac:dyDescent="0.3">
      <c r="A3921" s="23" t="s">
        <v>16934</v>
      </c>
      <c r="B3921" s="23"/>
      <c r="C3921" s="23" t="s">
        <v>7015</v>
      </c>
      <c r="D3921" s="23" t="str">
        <f t="shared" si="183"/>
        <v>ORD26003258</v>
      </c>
      <c r="E3921" s="38">
        <v>46286</v>
      </c>
      <c r="F3921" s="23" t="s">
        <v>12410</v>
      </c>
      <c r="G3921" s="23" t="s">
        <v>79</v>
      </c>
      <c r="H3921" s="24">
        <v>599</v>
      </c>
      <c r="I3921" s="24">
        <v>10.78</v>
      </c>
      <c r="J3921" s="24">
        <v>1.94</v>
      </c>
      <c r="K3921" s="24">
        <v>586.28</v>
      </c>
      <c r="L3921" s="38">
        <v>46288</v>
      </c>
      <c r="M3921" s="23" t="s">
        <v>218</v>
      </c>
      <c r="N3921" s="23" t="str">
        <f>IF(COUNTIF($A$2:A3921,A3921)&gt;1,"DUP","OK")</f>
        <v>OK</v>
      </c>
      <c r="O3921" s="23" t="str">
        <f t="shared" si="184"/>
        <v>ORD26003258</v>
      </c>
      <c r="P3921" s="23" t="str">
        <f t="shared" si="185"/>
        <v>Sep</v>
      </c>
      <c r="Q3921" s="23" t="str">
        <f>IF(F3921="CAPTURE",IF(COUNTIF(orders!$A:$A,O3921)&gt;0,"Yes","NO ORDER"),"")</f>
        <v>Yes</v>
      </c>
    </row>
    <row r="3922" spans="1:17" ht="15" customHeight="1" x14ac:dyDescent="0.3">
      <c r="A3922" s="23" t="s">
        <v>16935</v>
      </c>
      <c r="B3922" s="23"/>
      <c r="C3922" s="23" t="s">
        <v>7074</v>
      </c>
      <c r="D3922" s="23" t="str">
        <f t="shared" si="183"/>
        <v>ORD26003288</v>
      </c>
      <c r="E3922" s="38">
        <v>46286</v>
      </c>
      <c r="F3922" s="23" t="s">
        <v>12410</v>
      </c>
      <c r="G3922" s="23" t="s">
        <v>79</v>
      </c>
      <c r="H3922" s="24">
        <v>4098</v>
      </c>
      <c r="I3922" s="24">
        <v>65.569999999999993</v>
      </c>
      <c r="J3922" s="24">
        <v>11.8</v>
      </c>
      <c r="K3922" s="24">
        <v>4020.63</v>
      </c>
      <c r="L3922" s="38">
        <v>46288</v>
      </c>
      <c r="M3922" s="23" t="s">
        <v>218</v>
      </c>
      <c r="N3922" s="23" t="str">
        <f>IF(COUNTIF($A$2:A3922,A3922)&gt;1,"DUP","OK")</f>
        <v>OK</v>
      </c>
      <c r="O3922" s="23" t="str">
        <f t="shared" si="184"/>
        <v>ORD26003288</v>
      </c>
      <c r="P3922" s="23" t="str">
        <f t="shared" si="185"/>
        <v>Sep</v>
      </c>
      <c r="Q3922" s="23" t="str">
        <f>IF(F3922="CAPTURE",IF(COUNTIF(orders!$A:$A,O3922)&gt;0,"Yes","NO ORDER"),"")</f>
        <v>Yes</v>
      </c>
    </row>
    <row r="3923" spans="1:17" ht="15" customHeight="1" x14ac:dyDescent="0.3">
      <c r="A3923" s="23" t="s">
        <v>16936</v>
      </c>
      <c r="B3923" s="23"/>
      <c r="C3923" s="23" t="s">
        <v>7198</v>
      </c>
      <c r="D3923" s="23" t="str">
        <f t="shared" si="183"/>
        <v>ORD26003350</v>
      </c>
      <c r="E3923" s="38">
        <v>46286</v>
      </c>
      <c r="F3923" s="23" t="s">
        <v>12410</v>
      </c>
      <c r="G3923" s="23" t="s">
        <v>75</v>
      </c>
      <c r="H3923" s="24">
        <v>3297</v>
      </c>
      <c r="I3923" s="24">
        <v>9.89</v>
      </c>
      <c r="J3923" s="24">
        <v>1.78</v>
      </c>
      <c r="K3923" s="24">
        <v>3285.33</v>
      </c>
      <c r="L3923" s="38">
        <v>46288</v>
      </c>
      <c r="M3923" s="23" t="s">
        <v>218</v>
      </c>
      <c r="N3923" s="23" t="str">
        <f>IF(COUNTIF($A$2:A3923,A3923)&gt;1,"DUP","OK")</f>
        <v>OK</v>
      </c>
      <c r="O3923" s="23" t="str">
        <f t="shared" si="184"/>
        <v>ORD26003350</v>
      </c>
      <c r="P3923" s="23" t="str">
        <f t="shared" si="185"/>
        <v>Sep</v>
      </c>
      <c r="Q3923" s="23" t="str">
        <f>IF(F3923="CAPTURE",IF(COUNTIF(orders!$A:$A,O3923)&gt;0,"Yes","NO ORDER"),"")</f>
        <v>Yes</v>
      </c>
    </row>
    <row r="3924" spans="1:17" ht="15" customHeight="1" x14ac:dyDescent="0.3">
      <c r="A3924" s="23" t="s">
        <v>16937</v>
      </c>
      <c r="B3924" s="23"/>
      <c r="C3924" s="23" t="s">
        <v>7229</v>
      </c>
      <c r="D3924" s="23" t="str">
        <f t="shared" si="183"/>
        <v>ORD26003365</v>
      </c>
      <c r="E3924" s="38">
        <v>46286</v>
      </c>
      <c r="F3924" s="23" t="s">
        <v>12410</v>
      </c>
      <c r="G3924" s="23" t="s">
        <v>79</v>
      </c>
      <c r="H3924" s="24">
        <v>299</v>
      </c>
      <c r="I3924" s="24">
        <v>5.38</v>
      </c>
      <c r="J3924" s="24">
        <v>0.97</v>
      </c>
      <c r="K3924" s="24">
        <v>292.64999999999998</v>
      </c>
      <c r="L3924" s="38">
        <v>46288</v>
      </c>
      <c r="M3924" s="23" t="s">
        <v>218</v>
      </c>
      <c r="N3924" s="23" t="str">
        <f>IF(COUNTIF($A$2:A3924,A3924)&gt;1,"DUP","OK")</f>
        <v>OK</v>
      </c>
      <c r="O3924" s="23" t="str">
        <f t="shared" si="184"/>
        <v>ORD26003365</v>
      </c>
      <c r="P3924" s="23" t="str">
        <f t="shared" si="185"/>
        <v>Sep</v>
      </c>
      <c r="Q3924" s="23" t="str">
        <f>IF(F3924="CAPTURE",IF(COUNTIF(orders!$A:$A,O3924)&gt;0,"Yes","NO ORDER"),"")</f>
        <v>Yes</v>
      </c>
    </row>
    <row r="3925" spans="1:17" ht="15" customHeight="1" x14ac:dyDescent="0.3">
      <c r="A3925" s="23" t="s">
        <v>16938</v>
      </c>
      <c r="B3925" s="23"/>
      <c r="C3925" s="23" t="s">
        <v>7231</v>
      </c>
      <c r="D3925" s="23" t="str">
        <f t="shared" si="183"/>
        <v>ORD26003366</v>
      </c>
      <c r="E3925" s="38">
        <v>46286</v>
      </c>
      <c r="F3925" s="23" t="s">
        <v>12410</v>
      </c>
      <c r="G3925" s="23" t="s">
        <v>75</v>
      </c>
      <c r="H3925" s="24">
        <v>499</v>
      </c>
      <c r="I3925" s="24">
        <v>0</v>
      </c>
      <c r="J3925" s="24">
        <v>0</v>
      </c>
      <c r="K3925" s="24">
        <v>499</v>
      </c>
      <c r="L3925" s="38">
        <v>46288</v>
      </c>
      <c r="M3925" s="23" t="s">
        <v>218</v>
      </c>
      <c r="N3925" s="23" t="str">
        <f>IF(COUNTIF($A$2:A3925,A3925)&gt;1,"DUP","OK")</f>
        <v>OK</v>
      </c>
      <c r="O3925" s="23" t="str">
        <f t="shared" si="184"/>
        <v>ORD26003366</v>
      </c>
      <c r="P3925" s="23" t="str">
        <f t="shared" si="185"/>
        <v>Sep</v>
      </c>
      <c r="Q3925" s="23" t="str">
        <f>IF(F3925="CAPTURE",IF(COUNTIF(orders!$A:$A,O3925)&gt;0,"Yes","NO ORDER"),"")</f>
        <v>Yes</v>
      </c>
    </row>
    <row r="3926" spans="1:17" ht="15" customHeight="1" x14ac:dyDescent="0.3">
      <c r="A3926" s="23" t="s">
        <v>16939</v>
      </c>
      <c r="B3926" s="23"/>
      <c r="C3926" s="23" t="s">
        <v>7451</v>
      </c>
      <c r="D3926" s="23" t="str">
        <f t="shared" si="183"/>
        <v>ORD26003476</v>
      </c>
      <c r="E3926" s="38">
        <v>46286</v>
      </c>
      <c r="F3926" s="23" t="s">
        <v>12410</v>
      </c>
      <c r="G3926" s="23" t="s">
        <v>75</v>
      </c>
      <c r="H3926" s="24">
        <v>2999</v>
      </c>
      <c r="I3926" s="24">
        <v>9</v>
      </c>
      <c r="J3926" s="24">
        <v>1.62</v>
      </c>
      <c r="K3926" s="24">
        <v>2988.38</v>
      </c>
      <c r="L3926" s="38">
        <v>46288</v>
      </c>
      <c r="M3926" s="23" t="s">
        <v>218</v>
      </c>
      <c r="N3926" s="23" t="str">
        <f>IF(COUNTIF($A$2:A3926,A3926)&gt;1,"DUP","OK")</f>
        <v>OK</v>
      </c>
      <c r="O3926" s="23" t="str">
        <f t="shared" si="184"/>
        <v>ORD26003476</v>
      </c>
      <c r="P3926" s="23" t="str">
        <f t="shared" si="185"/>
        <v>Sep</v>
      </c>
      <c r="Q3926" s="23" t="str">
        <f>IF(F3926="CAPTURE",IF(COUNTIF(orders!$A:$A,O3926)&gt;0,"Yes","NO ORDER"),"")</f>
        <v>Yes</v>
      </c>
    </row>
    <row r="3927" spans="1:17" ht="15" customHeight="1" x14ac:dyDescent="0.3">
      <c r="A3927" s="23" t="s">
        <v>16940</v>
      </c>
      <c r="B3927" s="23"/>
      <c r="C3927" s="23" t="s">
        <v>7467</v>
      </c>
      <c r="D3927" s="23" t="str">
        <f t="shared" si="183"/>
        <v>ORD26003484</v>
      </c>
      <c r="E3927" s="38">
        <v>46286</v>
      </c>
      <c r="F3927" s="23" t="s">
        <v>12410</v>
      </c>
      <c r="G3927" s="23" t="s">
        <v>75</v>
      </c>
      <c r="H3927" s="24">
        <v>8598</v>
      </c>
      <c r="I3927" s="24">
        <v>25.79</v>
      </c>
      <c r="J3927" s="24">
        <v>4.6399999999999997</v>
      </c>
      <c r="K3927" s="24">
        <v>8567.57</v>
      </c>
      <c r="L3927" s="38">
        <v>46288</v>
      </c>
      <c r="M3927" s="23" t="s">
        <v>218</v>
      </c>
      <c r="N3927" s="23" t="str">
        <f>IF(COUNTIF($A$2:A3927,A3927)&gt;1,"DUP","OK")</f>
        <v>OK</v>
      </c>
      <c r="O3927" s="23" t="str">
        <f t="shared" si="184"/>
        <v>ORD26003484</v>
      </c>
      <c r="P3927" s="23" t="str">
        <f t="shared" si="185"/>
        <v>Sep</v>
      </c>
      <c r="Q3927" s="23" t="str">
        <f>IF(F3927="CAPTURE",IF(COUNTIF(orders!$A:$A,O3927)&gt;0,"Yes","NO ORDER"),"")</f>
        <v>Yes</v>
      </c>
    </row>
    <row r="3928" spans="1:17" ht="15" customHeight="1" x14ac:dyDescent="0.3">
      <c r="A3928" s="23" t="s">
        <v>16941</v>
      </c>
      <c r="B3928" s="23"/>
      <c r="C3928" s="23" t="s">
        <v>7644</v>
      </c>
      <c r="D3928" s="23" t="str">
        <f t="shared" si="183"/>
        <v>ORD26003574</v>
      </c>
      <c r="E3928" s="38">
        <v>46286</v>
      </c>
      <c r="F3928" s="23" t="s">
        <v>12410</v>
      </c>
      <c r="G3928" s="23" t="s">
        <v>75</v>
      </c>
      <c r="H3928" s="24">
        <v>9998</v>
      </c>
      <c r="I3928" s="24">
        <v>29.99</v>
      </c>
      <c r="J3928" s="24">
        <v>5.4</v>
      </c>
      <c r="K3928" s="24">
        <v>9962.61</v>
      </c>
      <c r="L3928" s="38">
        <v>46288</v>
      </c>
      <c r="M3928" s="23" t="s">
        <v>218</v>
      </c>
      <c r="N3928" s="23" t="str">
        <f>IF(COUNTIF($A$2:A3928,A3928)&gt;1,"DUP","OK")</f>
        <v>OK</v>
      </c>
      <c r="O3928" s="23" t="str">
        <f t="shared" si="184"/>
        <v>ORD26003574</v>
      </c>
      <c r="P3928" s="23" t="str">
        <f t="shared" si="185"/>
        <v>Sep</v>
      </c>
      <c r="Q3928" s="23" t="str">
        <f>IF(F3928="CAPTURE",IF(COUNTIF(orders!$A:$A,O3928)&gt;0,"Yes","NO ORDER"),"")</f>
        <v>Yes</v>
      </c>
    </row>
    <row r="3929" spans="1:17" ht="15" customHeight="1" x14ac:dyDescent="0.3">
      <c r="A3929" s="23" t="s">
        <v>16942</v>
      </c>
      <c r="B3929" s="23"/>
      <c r="C3929" s="23" t="s">
        <v>7743</v>
      </c>
      <c r="D3929" s="23" t="str">
        <f t="shared" si="183"/>
        <v>ORD26003625</v>
      </c>
      <c r="E3929" s="38">
        <v>46286</v>
      </c>
      <c r="F3929" s="23" t="s">
        <v>12410</v>
      </c>
      <c r="G3929" s="23" t="s">
        <v>75</v>
      </c>
      <c r="H3929" s="24">
        <v>4999</v>
      </c>
      <c r="I3929" s="24">
        <v>15</v>
      </c>
      <c r="J3929" s="24">
        <v>2.7</v>
      </c>
      <c r="K3929" s="24">
        <v>4981.3</v>
      </c>
      <c r="L3929" s="38">
        <v>46288</v>
      </c>
      <c r="M3929" s="23" t="s">
        <v>218</v>
      </c>
      <c r="N3929" s="23" t="str">
        <f>IF(COUNTIF($A$2:A3929,A3929)&gt;1,"DUP","OK")</f>
        <v>OK</v>
      </c>
      <c r="O3929" s="23" t="str">
        <f t="shared" si="184"/>
        <v>ORD26003625</v>
      </c>
      <c r="P3929" s="23" t="str">
        <f t="shared" si="185"/>
        <v>Sep</v>
      </c>
      <c r="Q3929" s="23" t="str">
        <f>IF(F3929="CAPTURE",IF(COUNTIF(orders!$A:$A,O3929)&gt;0,"Yes","NO ORDER"),"")</f>
        <v>Yes</v>
      </c>
    </row>
    <row r="3930" spans="1:17" ht="15" customHeight="1" x14ac:dyDescent="0.3">
      <c r="A3930" s="23" t="s">
        <v>16943</v>
      </c>
      <c r="B3930" s="23"/>
      <c r="C3930" s="23" t="s">
        <v>16944</v>
      </c>
      <c r="D3930" s="23" t="str">
        <f t="shared" si="183"/>
        <v>ORD26003647</v>
      </c>
      <c r="E3930" s="38">
        <v>46286</v>
      </c>
      <c r="F3930" s="23" t="s">
        <v>12410</v>
      </c>
      <c r="G3930" s="23" t="s">
        <v>79</v>
      </c>
      <c r="H3930" s="24">
        <v>3798</v>
      </c>
      <c r="I3930" s="24">
        <v>60.77</v>
      </c>
      <c r="J3930" s="24">
        <v>10.94</v>
      </c>
      <c r="K3930" s="24">
        <v>3726.29</v>
      </c>
      <c r="L3930" s="38">
        <v>46288</v>
      </c>
      <c r="M3930" s="23" t="s">
        <v>218</v>
      </c>
      <c r="N3930" s="23" t="str">
        <f>IF(COUNTIF($A$2:A3930,A3930)&gt;1,"DUP","OK")</f>
        <v>OK</v>
      </c>
      <c r="O3930" s="23" t="str">
        <f t="shared" si="184"/>
        <v>ORD26003647</v>
      </c>
      <c r="P3930" s="23" t="str">
        <f t="shared" si="185"/>
        <v>Sep</v>
      </c>
      <c r="Q3930" s="23" t="str">
        <f>IF(F3930="CAPTURE",IF(COUNTIF(orders!$A:$A,O3930)&gt;0,"Yes","NO ORDER"),"")</f>
        <v>Yes</v>
      </c>
    </row>
    <row r="3931" spans="1:17" ht="15" customHeight="1" x14ac:dyDescent="0.3">
      <c r="A3931" s="23" t="s">
        <v>16945</v>
      </c>
      <c r="B3931" s="23"/>
      <c r="C3931" s="23" t="s">
        <v>16946</v>
      </c>
      <c r="D3931" s="23" t="str">
        <f t="shared" si="183"/>
        <v>ORD26003652</v>
      </c>
      <c r="E3931" s="38">
        <v>46286</v>
      </c>
      <c r="F3931" s="23" t="s">
        <v>12410</v>
      </c>
      <c r="G3931" s="23" t="s">
        <v>75</v>
      </c>
      <c r="H3931" s="24">
        <v>1499</v>
      </c>
      <c r="I3931" s="24">
        <v>0</v>
      </c>
      <c r="J3931" s="24">
        <v>0</v>
      </c>
      <c r="K3931" s="24">
        <v>1499</v>
      </c>
      <c r="L3931" s="38">
        <v>46288</v>
      </c>
      <c r="M3931" s="23" t="s">
        <v>218</v>
      </c>
      <c r="N3931" s="23" t="str">
        <f>IF(COUNTIF($A$2:A3931,A3931)&gt;1,"DUP","OK")</f>
        <v>OK</v>
      </c>
      <c r="O3931" s="23" t="str">
        <f t="shared" si="184"/>
        <v>ORD26003652</v>
      </c>
      <c r="P3931" s="23" t="str">
        <f t="shared" si="185"/>
        <v>Sep</v>
      </c>
      <c r="Q3931" s="23" t="str">
        <f>IF(F3931="CAPTURE",IF(COUNTIF(orders!$A:$A,O3931)&gt;0,"Yes","NO ORDER"),"")</f>
        <v>Yes</v>
      </c>
    </row>
    <row r="3932" spans="1:17" ht="15" customHeight="1" x14ac:dyDescent="0.3">
      <c r="A3932" s="23" t="s">
        <v>16947</v>
      </c>
      <c r="B3932" s="23"/>
      <c r="C3932" s="23" t="s">
        <v>7812</v>
      </c>
      <c r="D3932" s="23" t="str">
        <f t="shared" si="183"/>
        <v>ORD26003661</v>
      </c>
      <c r="E3932" s="38">
        <v>46286</v>
      </c>
      <c r="F3932" s="23" t="s">
        <v>12410</v>
      </c>
      <c r="G3932" s="23" t="s">
        <v>79</v>
      </c>
      <c r="H3932" s="24">
        <v>999</v>
      </c>
      <c r="I3932" s="24">
        <v>17.98</v>
      </c>
      <c r="J3932" s="24">
        <v>3.24</v>
      </c>
      <c r="K3932" s="24">
        <v>977.78</v>
      </c>
      <c r="L3932" s="38">
        <v>46288</v>
      </c>
      <c r="M3932" s="23" t="s">
        <v>218</v>
      </c>
      <c r="N3932" s="23" t="str">
        <f>IF(COUNTIF($A$2:A3932,A3932)&gt;1,"DUP","OK")</f>
        <v>OK</v>
      </c>
      <c r="O3932" s="23" t="str">
        <f t="shared" si="184"/>
        <v>ORD26003661</v>
      </c>
      <c r="P3932" s="23" t="str">
        <f t="shared" si="185"/>
        <v>Sep</v>
      </c>
      <c r="Q3932" s="23" t="str">
        <f>IF(F3932="CAPTURE",IF(COUNTIF(orders!$A:$A,O3932)&gt;0,"Yes","NO ORDER"),"")</f>
        <v>Yes</v>
      </c>
    </row>
    <row r="3933" spans="1:17" ht="15" customHeight="1" x14ac:dyDescent="0.3">
      <c r="A3933" s="23" t="s">
        <v>16948</v>
      </c>
      <c r="B3933" s="23"/>
      <c r="C3933" s="23" t="s">
        <v>16949</v>
      </c>
      <c r="D3933" s="23" t="str">
        <f t="shared" si="183"/>
        <v>ORD26003695</v>
      </c>
      <c r="E3933" s="38">
        <v>46286</v>
      </c>
      <c r="F3933" s="23" t="s">
        <v>12410</v>
      </c>
      <c r="G3933" s="23" t="s">
        <v>81</v>
      </c>
      <c r="H3933" s="24">
        <v>1299</v>
      </c>
      <c r="I3933" s="24">
        <v>19.489999999999998</v>
      </c>
      <c r="J3933" s="24">
        <v>3.51</v>
      </c>
      <c r="K3933" s="24">
        <v>1276</v>
      </c>
      <c r="L3933" s="38">
        <v>46288</v>
      </c>
      <c r="M3933" s="23" t="s">
        <v>218</v>
      </c>
      <c r="N3933" s="23" t="str">
        <f>IF(COUNTIF($A$2:A3933,A3933)&gt;1,"DUP","OK")</f>
        <v>OK</v>
      </c>
      <c r="O3933" s="23" t="str">
        <f t="shared" si="184"/>
        <v>ORD26003695</v>
      </c>
      <c r="P3933" s="23" t="str">
        <f t="shared" si="185"/>
        <v>Sep</v>
      </c>
      <c r="Q3933" s="23" t="str">
        <f>IF(F3933="CAPTURE",IF(COUNTIF(orders!$A:$A,O3933)&gt;0,"Yes","NO ORDER"),"")</f>
        <v>Yes</v>
      </c>
    </row>
    <row r="3934" spans="1:17" ht="15" customHeight="1" x14ac:dyDescent="0.3">
      <c r="A3934" s="23" t="s">
        <v>16950</v>
      </c>
      <c r="B3934" s="23"/>
      <c r="C3934" s="23" t="s">
        <v>8018</v>
      </c>
      <c r="D3934" s="23" t="str">
        <f t="shared" si="183"/>
        <v>ORD26003765</v>
      </c>
      <c r="E3934" s="38">
        <v>46286</v>
      </c>
      <c r="F3934" s="23" t="s">
        <v>12410</v>
      </c>
      <c r="G3934" s="23" t="s">
        <v>79</v>
      </c>
      <c r="H3934" s="24">
        <v>3098</v>
      </c>
      <c r="I3934" s="24">
        <v>49.57</v>
      </c>
      <c r="J3934" s="24">
        <v>8.92</v>
      </c>
      <c r="K3934" s="24">
        <v>3039.51</v>
      </c>
      <c r="L3934" s="38">
        <v>46288</v>
      </c>
      <c r="M3934" s="23" t="s">
        <v>218</v>
      </c>
      <c r="N3934" s="23" t="str">
        <f>IF(COUNTIF($A$2:A3934,A3934)&gt;1,"DUP","OK")</f>
        <v>OK</v>
      </c>
      <c r="O3934" s="23" t="str">
        <f t="shared" si="184"/>
        <v>ORD26003765</v>
      </c>
      <c r="P3934" s="23" t="str">
        <f t="shared" si="185"/>
        <v>Sep</v>
      </c>
      <c r="Q3934" s="23" t="str">
        <f>IF(F3934="CAPTURE",IF(COUNTIF(orders!$A:$A,O3934)&gt;0,"Yes","NO ORDER"),"")</f>
        <v>Yes</v>
      </c>
    </row>
    <row r="3935" spans="1:17" ht="15" customHeight="1" x14ac:dyDescent="0.3">
      <c r="A3935" s="23" t="s">
        <v>16951</v>
      </c>
      <c r="B3935" s="23"/>
      <c r="C3935" s="23" t="s">
        <v>16952</v>
      </c>
      <c r="D3935" s="23" t="str">
        <f t="shared" si="183"/>
        <v>ORD26003864</v>
      </c>
      <c r="E3935" s="38">
        <v>46286</v>
      </c>
      <c r="F3935" s="23" t="s">
        <v>12410</v>
      </c>
      <c r="G3935" s="23" t="s">
        <v>75</v>
      </c>
      <c r="H3935" s="24">
        <v>10998</v>
      </c>
      <c r="I3935" s="24">
        <v>32.99</v>
      </c>
      <c r="J3935" s="24">
        <v>5.94</v>
      </c>
      <c r="K3935" s="24">
        <v>10959.07</v>
      </c>
      <c r="L3935" s="38">
        <v>46288</v>
      </c>
      <c r="M3935" s="23" t="s">
        <v>218</v>
      </c>
      <c r="N3935" s="23" t="str">
        <f>IF(COUNTIF($A$2:A3935,A3935)&gt;1,"DUP","OK")</f>
        <v>OK</v>
      </c>
      <c r="O3935" s="23" t="str">
        <f t="shared" si="184"/>
        <v>ORD26003864</v>
      </c>
      <c r="P3935" s="23" t="str">
        <f t="shared" si="185"/>
        <v>Sep</v>
      </c>
      <c r="Q3935" s="23" t="str">
        <f>IF(F3935="CAPTURE",IF(COUNTIF(orders!$A:$A,O3935)&gt;0,"Yes","NO ORDER"),"")</f>
        <v>Yes</v>
      </c>
    </row>
    <row r="3936" spans="1:17" ht="15" customHeight="1" x14ac:dyDescent="0.3">
      <c r="A3936" s="23" t="s">
        <v>16953</v>
      </c>
      <c r="B3936" s="23"/>
      <c r="C3936" s="23" t="s">
        <v>16954</v>
      </c>
      <c r="D3936" s="23" t="str">
        <f t="shared" si="183"/>
        <v>ORD26003865</v>
      </c>
      <c r="E3936" s="38">
        <v>46286</v>
      </c>
      <c r="F3936" s="23" t="s">
        <v>12410</v>
      </c>
      <c r="G3936" s="23" t="s">
        <v>79</v>
      </c>
      <c r="H3936" s="24">
        <v>1598</v>
      </c>
      <c r="I3936" s="24">
        <v>28.76</v>
      </c>
      <c r="J3936" s="24">
        <v>5.18</v>
      </c>
      <c r="K3936" s="24">
        <v>1564.06</v>
      </c>
      <c r="L3936" s="38">
        <v>46288</v>
      </c>
      <c r="M3936" s="23" t="s">
        <v>218</v>
      </c>
      <c r="N3936" s="23" t="str">
        <f>IF(COUNTIF($A$2:A3936,A3936)&gt;1,"DUP","OK")</f>
        <v>OK</v>
      </c>
      <c r="O3936" s="23" t="str">
        <f t="shared" si="184"/>
        <v>ORD26003865</v>
      </c>
      <c r="P3936" s="23" t="str">
        <f t="shared" si="185"/>
        <v>Sep</v>
      </c>
      <c r="Q3936" s="23" t="str">
        <f>IF(F3936="CAPTURE",IF(COUNTIF(orders!$A:$A,O3936)&gt;0,"Yes","NO ORDER"),"")</f>
        <v>Yes</v>
      </c>
    </row>
    <row r="3937" spans="1:17" ht="15" customHeight="1" x14ac:dyDescent="0.3">
      <c r="A3937" s="23" t="s">
        <v>16955</v>
      </c>
      <c r="B3937" s="23"/>
      <c r="C3937" s="23" t="s">
        <v>8240</v>
      </c>
      <c r="D3937" s="23" t="str">
        <f t="shared" si="183"/>
        <v>ORD26003877</v>
      </c>
      <c r="E3937" s="38">
        <v>46286</v>
      </c>
      <c r="F3937" s="23" t="s">
        <v>12410</v>
      </c>
      <c r="G3937" s="23" t="s">
        <v>75</v>
      </c>
      <c r="H3937" s="24">
        <v>7999</v>
      </c>
      <c r="I3937" s="24">
        <v>24</v>
      </c>
      <c r="J3937" s="24">
        <v>4.32</v>
      </c>
      <c r="K3937" s="24">
        <v>7970.68</v>
      </c>
      <c r="L3937" s="38">
        <v>46288</v>
      </c>
      <c r="M3937" s="23" t="s">
        <v>218</v>
      </c>
      <c r="N3937" s="23" t="str">
        <f>IF(COUNTIF($A$2:A3937,A3937)&gt;1,"DUP","OK")</f>
        <v>OK</v>
      </c>
      <c r="O3937" s="23" t="str">
        <f t="shared" si="184"/>
        <v>ORD26003877</v>
      </c>
      <c r="P3937" s="23" t="str">
        <f t="shared" si="185"/>
        <v>Sep</v>
      </c>
      <c r="Q3937" s="23" t="str">
        <f>IF(F3937="CAPTURE",IF(COUNTIF(orders!$A:$A,O3937)&gt;0,"Yes","NO ORDER"),"")</f>
        <v>Yes</v>
      </c>
    </row>
    <row r="3938" spans="1:17" ht="15" customHeight="1" x14ac:dyDescent="0.3">
      <c r="A3938" s="23" t="s">
        <v>16956</v>
      </c>
      <c r="B3938" s="23"/>
      <c r="C3938" s="23" t="s">
        <v>8247</v>
      </c>
      <c r="D3938" s="23" t="str">
        <f t="shared" si="183"/>
        <v>ORD26003880</v>
      </c>
      <c r="E3938" s="38">
        <v>46286</v>
      </c>
      <c r="F3938" s="23" t="s">
        <v>12410</v>
      </c>
      <c r="G3938" s="23" t="s">
        <v>75</v>
      </c>
      <c r="H3938" s="24">
        <v>4999</v>
      </c>
      <c r="I3938" s="24">
        <v>15</v>
      </c>
      <c r="J3938" s="24">
        <v>2.7</v>
      </c>
      <c r="K3938" s="24">
        <v>4981.3</v>
      </c>
      <c r="L3938" s="38">
        <v>46288</v>
      </c>
      <c r="M3938" s="23" t="s">
        <v>218</v>
      </c>
      <c r="N3938" s="23" t="str">
        <f>IF(COUNTIF($A$2:A3938,A3938)&gt;1,"DUP","OK")</f>
        <v>OK</v>
      </c>
      <c r="O3938" s="23" t="str">
        <f t="shared" si="184"/>
        <v>ORD26003880</v>
      </c>
      <c r="P3938" s="23" t="str">
        <f t="shared" si="185"/>
        <v>Sep</v>
      </c>
      <c r="Q3938" s="23" t="str">
        <f>IF(F3938="CAPTURE",IF(COUNTIF(orders!$A:$A,O3938)&gt;0,"Yes","NO ORDER"),"")</f>
        <v>Yes</v>
      </c>
    </row>
    <row r="3939" spans="1:17" ht="15" customHeight="1" x14ac:dyDescent="0.3">
      <c r="A3939" s="23" t="s">
        <v>16957</v>
      </c>
      <c r="B3939" s="23"/>
      <c r="C3939" s="23" t="s">
        <v>8263</v>
      </c>
      <c r="D3939" s="23" t="str">
        <f t="shared" si="183"/>
        <v>ORD26003888</v>
      </c>
      <c r="E3939" s="38">
        <v>46286</v>
      </c>
      <c r="F3939" s="23" t="s">
        <v>12410</v>
      </c>
      <c r="G3939" s="23" t="s">
        <v>75</v>
      </c>
      <c r="H3939" s="24">
        <v>7999</v>
      </c>
      <c r="I3939" s="24">
        <v>24</v>
      </c>
      <c r="J3939" s="24">
        <v>4.32</v>
      </c>
      <c r="K3939" s="24">
        <v>7970.68</v>
      </c>
      <c r="L3939" s="38">
        <v>46288</v>
      </c>
      <c r="M3939" s="23" t="s">
        <v>218</v>
      </c>
      <c r="N3939" s="23" t="str">
        <f>IF(COUNTIF($A$2:A3939,A3939)&gt;1,"DUP","OK")</f>
        <v>OK</v>
      </c>
      <c r="O3939" s="23" t="str">
        <f t="shared" si="184"/>
        <v>ORD26003888</v>
      </c>
      <c r="P3939" s="23" t="str">
        <f t="shared" si="185"/>
        <v>Sep</v>
      </c>
      <c r="Q3939" s="23" t="str">
        <f>IF(F3939="CAPTURE",IF(COUNTIF(orders!$A:$A,O3939)&gt;0,"Yes","NO ORDER"),"")</f>
        <v>Yes</v>
      </c>
    </row>
    <row r="3940" spans="1:17" ht="15" customHeight="1" x14ac:dyDescent="0.3">
      <c r="A3940" s="23" t="s">
        <v>16958</v>
      </c>
      <c r="B3940" s="23"/>
      <c r="C3940" s="23" t="s">
        <v>8343</v>
      </c>
      <c r="D3940" s="23" t="str">
        <f t="shared" si="183"/>
        <v>ORD26003928</v>
      </c>
      <c r="E3940" s="38">
        <v>46286</v>
      </c>
      <c r="F3940" s="23" t="s">
        <v>12410</v>
      </c>
      <c r="G3940" s="23" t="s">
        <v>81</v>
      </c>
      <c r="H3940" s="24">
        <v>10998</v>
      </c>
      <c r="I3940" s="24">
        <v>98.98</v>
      </c>
      <c r="J3940" s="24">
        <v>17.82</v>
      </c>
      <c r="K3940" s="24">
        <v>10881.2</v>
      </c>
      <c r="L3940" s="38">
        <v>46288</v>
      </c>
      <c r="M3940" s="23" t="s">
        <v>218</v>
      </c>
      <c r="N3940" s="23" t="str">
        <f>IF(COUNTIF($A$2:A3940,A3940)&gt;1,"DUP","OK")</f>
        <v>OK</v>
      </c>
      <c r="O3940" s="23" t="str">
        <f t="shared" si="184"/>
        <v>ORD26003928</v>
      </c>
      <c r="P3940" s="23" t="str">
        <f t="shared" si="185"/>
        <v>Sep</v>
      </c>
      <c r="Q3940" s="23" t="str">
        <f>IF(F3940="CAPTURE",IF(COUNTIF(orders!$A:$A,O3940)&gt;0,"Yes","NO ORDER"),"")</f>
        <v>Yes</v>
      </c>
    </row>
    <row r="3941" spans="1:17" ht="15" customHeight="1" x14ac:dyDescent="0.3">
      <c r="A3941" s="23" t="s">
        <v>16959</v>
      </c>
      <c r="B3941" s="23"/>
      <c r="C3941" s="23" t="s">
        <v>8449</v>
      </c>
      <c r="D3941" s="23" t="str">
        <f t="shared" si="183"/>
        <v>ORD26003981</v>
      </c>
      <c r="E3941" s="38">
        <v>46286</v>
      </c>
      <c r="F3941" s="23" t="s">
        <v>12410</v>
      </c>
      <c r="G3941" s="23" t="s">
        <v>75</v>
      </c>
      <c r="H3941" s="24">
        <v>8497</v>
      </c>
      <c r="I3941" s="24">
        <v>25.49</v>
      </c>
      <c r="J3941" s="24">
        <v>4.59</v>
      </c>
      <c r="K3941" s="24">
        <v>8466.92</v>
      </c>
      <c r="L3941" s="38">
        <v>46288</v>
      </c>
      <c r="M3941" s="23" t="s">
        <v>218</v>
      </c>
      <c r="N3941" s="23" t="str">
        <f>IF(COUNTIF($A$2:A3941,A3941)&gt;1,"DUP","OK")</f>
        <v>OK</v>
      </c>
      <c r="O3941" s="23" t="str">
        <f t="shared" si="184"/>
        <v>ORD26003981</v>
      </c>
      <c r="P3941" s="23" t="str">
        <f t="shared" si="185"/>
        <v>Sep</v>
      </c>
      <c r="Q3941" s="23" t="str">
        <f>IF(F3941="CAPTURE",IF(COUNTIF(orders!$A:$A,O3941)&gt;0,"Yes","NO ORDER"),"")</f>
        <v>Yes</v>
      </c>
    </row>
    <row r="3942" spans="1:17" ht="15" customHeight="1" x14ac:dyDescent="0.3">
      <c r="A3942" s="23" t="s">
        <v>16960</v>
      </c>
      <c r="B3942" s="23"/>
      <c r="C3942" s="23" t="s">
        <v>8503</v>
      </c>
      <c r="D3942" s="23" t="str">
        <f t="shared" si="183"/>
        <v>ORD26004009</v>
      </c>
      <c r="E3942" s="38">
        <v>46286</v>
      </c>
      <c r="F3942" s="23" t="s">
        <v>12410</v>
      </c>
      <c r="G3942" s="23" t="s">
        <v>79</v>
      </c>
      <c r="H3942" s="24">
        <v>8498</v>
      </c>
      <c r="I3942" s="24">
        <v>135.97</v>
      </c>
      <c r="J3942" s="24">
        <v>24.47</v>
      </c>
      <c r="K3942" s="24">
        <v>8337.56</v>
      </c>
      <c r="L3942" s="38">
        <v>46288</v>
      </c>
      <c r="M3942" s="23" t="s">
        <v>218</v>
      </c>
      <c r="N3942" s="23" t="str">
        <f>IF(COUNTIF($A$2:A3942,A3942)&gt;1,"DUP","OK")</f>
        <v>OK</v>
      </c>
      <c r="O3942" s="23" t="str">
        <f t="shared" si="184"/>
        <v>ORD26004009</v>
      </c>
      <c r="P3942" s="23" t="str">
        <f t="shared" si="185"/>
        <v>Sep</v>
      </c>
      <c r="Q3942" s="23" t="str">
        <f>IF(F3942="CAPTURE",IF(COUNTIF(orders!$A:$A,O3942)&gt;0,"Yes","NO ORDER"),"")</f>
        <v>Yes</v>
      </c>
    </row>
    <row r="3943" spans="1:17" ht="15" customHeight="1" x14ac:dyDescent="0.3">
      <c r="A3943" s="23" t="s">
        <v>16961</v>
      </c>
      <c r="B3943" s="23"/>
      <c r="C3943" s="23" t="s">
        <v>16962</v>
      </c>
      <c r="D3943" s="23" t="str">
        <f t="shared" si="183"/>
        <v>ORD26004016</v>
      </c>
      <c r="E3943" s="38">
        <v>46286</v>
      </c>
      <c r="F3943" s="23" t="s">
        <v>12410</v>
      </c>
      <c r="G3943" s="23" t="s">
        <v>75</v>
      </c>
      <c r="H3943" s="24">
        <v>299</v>
      </c>
      <c r="I3943" s="24">
        <v>0</v>
      </c>
      <c r="J3943" s="24">
        <v>0</v>
      </c>
      <c r="K3943" s="24">
        <v>299</v>
      </c>
      <c r="L3943" s="38">
        <v>46288</v>
      </c>
      <c r="M3943" s="23" t="s">
        <v>218</v>
      </c>
      <c r="N3943" s="23" t="str">
        <f>IF(COUNTIF($A$2:A3943,A3943)&gt;1,"DUP","OK")</f>
        <v>OK</v>
      </c>
      <c r="O3943" s="23" t="str">
        <f t="shared" si="184"/>
        <v>ORD26004016</v>
      </c>
      <c r="P3943" s="23" t="str">
        <f t="shared" si="185"/>
        <v>Sep</v>
      </c>
      <c r="Q3943" s="23" t="str">
        <f>IF(F3943="CAPTURE",IF(COUNTIF(orders!$A:$A,O3943)&gt;0,"Yes","NO ORDER"),"")</f>
        <v>Yes</v>
      </c>
    </row>
    <row r="3944" spans="1:17" ht="15" customHeight="1" x14ac:dyDescent="0.3">
      <c r="A3944" s="23" t="s">
        <v>16963</v>
      </c>
      <c r="B3944" s="23"/>
      <c r="C3944" s="23" t="s">
        <v>8540</v>
      </c>
      <c r="D3944" s="23" t="str">
        <f t="shared" si="183"/>
        <v>ORD26004027</v>
      </c>
      <c r="E3944" s="38">
        <v>46286</v>
      </c>
      <c r="F3944" s="23" t="s">
        <v>12410</v>
      </c>
      <c r="G3944" s="23" t="s">
        <v>79</v>
      </c>
      <c r="H3944" s="24">
        <v>3897</v>
      </c>
      <c r="I3944" s="24">
        <v>62.35</v>
      </c>
      <c r="J3944" s="24">
        <v>11.22</v>
      </c>
      <c r="K3944" s="24">
        <v>3823.43</v>
      </c>
      <c r="L3944" s="38">
        <v>46288</v>
      </c>
      <c r="M3944" s="23" t="s">
        <v>218</v>
      </c>
      <c r="N3944" s="23" t="str">
        <f>IF(COUNTIF($A$2:A3944,A3944)&gt;1,"DUP","OK")</f>
        <v>OK</v>
      </c>
      <c r="O3944" s="23" t="str">
        <f t="shared" si="184"/>
        <v>ORD26004027</v>
      </c>
      <c r="P3944" s="23" t="str">
        <f t="shared" si="185"/>
        <v>Sep</v>
      </c>
      <c r="Q3944" s="23" t="str">
        <f>IF(F3944="CAPTURE",IF(COUNTIF(orders!$A:$A,O3944)&gt;0,"Yes","NO ORDER"),"")</f>
        <v>Yes</v>
      </c>
    </row>
    <row r="3945" spans="1:17" ht="15" customHeight="1" x14ac:dyDescent="0.3">
      <c r="A3945" s="23" t="s">
        <v>16964</v>
      </c>
      <c r="B3945" s="23"/>
      <c r="C3945" s="23" t="s">
        <v>8561</v>
      </c>
      <c r="D3945" s="23" t="str">
        <f t="shared" si="183"/>
        <v>ORD26004038</v>
      </c>
      <c r="E3945" s="38">
        <v>46286</v>
      </c>
      <c r="F3945" s="23" t="s">
        <v>12410</v>
      </c>
      <c r="G3945" s="23" t="s">
        <v>75</v>
      </c>
      <c r="H3945" s="24">
        <v>1799</v>
      </c>
      <c r="I3945" s="24">
        <v>0</v>
      </c>
      <c r="J3945" s="24">
        <v>0</v>
      </c>
      <c r="K3945" s="24">
        <v>1799</v>
      </c>
      <c r="L3945" s="38">
        <v>46288</v>
      </c>
      <c r="M3945" s="23" t="s">
        <v>218</v>
      </c>
      <c r="N3945" s="23" t="str">
        <f>IF(COUNTIF($A$2:A3945,A3945)&gt;1,"DUP","OK")</f>
        <v>OK</v>
      </c>
      <c r="O3945" s="23" t="str">
        <f t="shared" si="184"/>
        <v>ORD26004038</v>
      </c>
      <c r="P3945" s="23" t="str">
        <f t="shared" si="185"/>
        <v>Sep</v>
      </c>
      <c r="Q3945" s="23" t="str">
        <f>IF(F3945="CAPTURE",IF(COUNTIF(orders!$A:$A,O3945)&gt;0,"Yes","NO ORDER"),"")</f>
        <v>Yes</v>
      </c>
    </row>
    <row r="3946" spans="1:17" ht="15" customHeight="1" x14ac:dyDescent="0.3">
      <c r="A3946" s="23" t="s">
        <v>16965</v>
      </c>
      <c r="B3946" s="23"/>
      <c r="C3946" s="23" t="s">
        <v>8880</v>
      </c>
      <c r="D3946" s="23" t="str">
        <f t="shared" si="183"/>
        <v>ORD26004202</v>
      </c>
      <c r="E3946" s="38">
        <v>46286</v>
      </c>
      <c r="F3946" s="23" t="s">
        <v>12410</v>
      </c>
      <c r="G3946" s="23" t="s">
        <v>75</v>
      </c>
      <c r="H3946" s="24">
        <v>349</v>
      </c>
      <c r="I3946" s="24">
        <v>0</v>
      </c>
      <c r="J3946" s="24">
        <v>0</v>
      </c>
      <c r="K3946" s="24">
        <v>349</v>
      </c>
      <c r="L3946" s="38">
        <v>46288</v>
      </c>
      <c r="M3946" s="23" t="s">
        <v>218</v>
      </c>
      <c r="N3946" s="23" t="str">
        <f>IF(COUNTIF($A$2:A3946,A3946)&gt;1,"DUP","OK")</f>
        <v>OK</v>
      </c>
      <c r="O3946" s="23" t="str">
        <f t="shared" si="184"/>
        <v>ORD26004202</v>
      </c>
      <c r="P3946" s="23" t="str">
        <f t="shared" si="185"/>
        <v>Sep</v>
      </c>
      <c r="Q3946" s="23" t="str">
        <f>IF(F3946="CAPTURE",IF(COUNTIF(orders!$A:$A,O3946)&gt;0,"Yes","NO ORDER"),"")</f>
        <v>Yes</v>
      </c>
    </row>
    <row r="3947" spans="1:17" ht="15" customHeight="1" x14ac:dyDescent="0.3">
      <c r="A3947" s="23" t="s">
        <v>16966</v>
      </c>
      <c r="B3947" s="23"/>
      <c r="C3947" s="23" t="s">
        <v>16967</v>
      </c>
      <c r="D3947" s="23" t="str">
        <f t="shared" si="183"/>
        <v>ORD26004215</v>
      </c>
      <c r="E3947" s="38">
        <v>46286</v>
      </c>
      <c r="F3947" s="23" t="s">
        <v>12410</v>
      </c>
      <c r="G3947" s="23" t="s">
        <v>75</v>
      </c>
      <c r="H3947" s="24">
        <v>4298</v>
      </c>
      <c r="I3947" s="24">
        <v>12.89</v>
      </c>
      <c r="J3947" s="24">
        <v>2.3199999999999998</v>
      </c>
      <c r="K3947" s="24">
        <v>4282.79</v>
      </c>
      <c r="L3947" s="38">
        <v>46288</v>
      </c>
      <c r="M3947" s="23" t="s">
        <v>218</v>
      </c>
      <c r="N3947" s="23" t="str">
        <f>IF(COUNTIF($A$2:A3947,A3947)&gt;1,"DUP","OK")</f>
        <v>OK</v>
      </c>
      <c r="O3947" s="23" t="str">
        <f t="shared" si="184"/>
        <v>ORD26004215</v>
      </c>
      <c r="P3947" s="23" t="str">
        <f t="shared" si="185"/>
        <v>Sep</v>
      </c>
      <c r="Q3947" s="23" t="str">
        <f>IF(F3947="CAPTURE",IF(COUNTIF(orders!$A:$A,O3947)&gt;0,"Yes","NO ORDER"),"")</f>
        <v>Yes</v>
      </c>
    </row>
    <row r="3948" spans="1:17" ht="15" customHeight="1" x14ac:dyDescent="0.3">
      <c r="A3948" s="23" t="s">
        <v>16968</v>
      </c>
      <c r="B3948" s="23"/>
      <c r="C3948" s="23" t="s">
        <v>16969</v>
      </c>
      <c r="D3948" s="23" t="str">
        <f t="shared" si="183"/>
        <v>ORD26004249</v>
      </c>
      <c r="E3948" s="38">
        <v>46286</v>
      </c>
      <c r="F3948" s="23" t="s">
        <v>12410</v>
      </c>
      <c r="G3948" s="23" t="s">
        <v>79</v>
      </c>
      <c r="H3948" s="24">
        <v>299</v>
      </c>
      <c r="I3948" s="24">
        <v>5.38</v>
      </c>
      <c r="J3948" s="24">
        <v>0.97</v>
      </c>
      <c r="K3948" s="24">
        <v>292.64999999999998</v>
      </c>
      <c r="L3948" s="38">
        <v>46288</v>
      </c>
      <c r="M3948" s="23" t="s">
        <v>218</v>
      </c>
      <c r="N3948" s="23" t="str">
        <f>IF(COUNTIF($A$2:A3948,A3948)&gt;1,"DUP","OK")</f>
        <v>OK</v>
      </c>
      <c r="O3948" s="23" t="str">
        <f t="shared" si="184"/>
        <v>ORD26004249</v>
      </c>
      <c r="P3948" s="23" t="str">
        <f t="shared" si="185"/>
        <v>Sep</v>
      </c>
      <c r="Q3948" s="23" t="str">
        <f>IF(F3948="CAPTURE",IF(COUNTIF(orders!$A:$A,O3948)&gt;0,"Yes","NO ORDER"),"")</f>
        <v>Yes</v>
      </c>
    </row>
    <row r="3949" spans="1:17" ht="15" customHeight="1" x14ac:dyDescent="0.3">
      <c r="A3949" s="23" t="s">
        <v>16970</v>
      </c>
      <c r="B3949" s="23"/>
      <c r="C3949" s="23" t="s">
        <v>9100</v>
      </c>
      <c r="D3949" s="23" t="str">
        <f t="shared" si="183"/>
        <v>ORD26004312</v>
      </c>
      <c r="E3949" s="38">
        <v>46286</v>
      </c>
      <c r="F3949" s="23" t="s">
        <v>12410</v>
      </c>
      <c r="G3949" s="23" t="s">
        <v>81</v>
      </c>
      <c r="H3949" s="24">
        <v>8998</v>
      </c>
      <c r="I3949" s="24">
        <v>107.98</v>
      </c>
      <c r="J3949" s="24">
        <v>19.440000000000001</v>
      </c>
      <c r="K3949" s="24">
        <v>8870.58</v>
      </c>
      <c r="L3949" s="38">
        <v>46288</v>
      </c>
      <c r="M3949" s="23" t="s">
        <v>218</v>
      </c>
      <c r="N3949" s="23" t="str">
        <f>IF(COUNTIF($A$2:A3949,A3949)&gt;1,"DUP","OK")</f>
        <v>OK</v>
      </c>
      <c r="O3949" s="23" t="str">
        <f t="shared" si="184"/>
        <v>ORD26004312</v>
      </c>
      <c r="P3949" s="23" t="str">
        <f t="shared" si="185"/>
        <v>Sep</v>
      </c>
      <c r="Q3949" s="23" t="str">
        <f>IF(F3949="CAPTURE",IF(COUNTIF(orders!$A:$A,O3949)&gt;0,"Yes","NO ORDER"),"")</f>
        <v>Yes</v>
      </c>
    </row>
    <row r="3950" spans="1:17" ht="15" customHeight="1" x14ac:dyDescent="0.3">
      <c r="A3950" s="23" t="s">
        <v>16971</v>
      </c>
      <c r="B3950" s="23"/>
      <c r="C3950" s="23" t="s">
        <v>9179</v>
      </c>
      <c r="D3950" s="23" t="str">
        <f t="shared" si="183"/>
        <v>ORD26004351</v>
      </c>
      <c r="E3950" s="38">
        <v>46286</v>
      </c>
      <c r="F3950" s="23" t="s">
        <v>12410</v>
      </c>
      <c r="G3950" s="23" t="s">
        <v>75</v>
      </c>
      <c r="H3950" s="24">
        <v>4999</v>
      </c>
      <c r="I3950" s="24">
        <v>15</v>
      </c>
      <c r="J3950" s="24">
        <v>2.7</v>
      </c>
      <c r="K3950" s="24">
        <v>4981.3</v>
      </c>
      <c r="L3950" s="38">
        <v>46288</v>
      </c>
      <c r="M3950" s="23" t="s">
        <v>218</v>
      </c>
      <c r="N3950" s="23" t="str">
        <f>IF(COUNTIF($A$2:A3950,A3950)&gt;1,"DUP","OK")</f>
        <v>OK</v>
      </c>
      <c r="O3950" s="23" t="str">
        <f t="shared" si="184"/>
        <v>ORD26004351</v>
      </c>
      <c r="P3950" s="23" t="str">
        <f t="shared" si="185"/>
        <v>Sep</v>
      </c>
      <c r="Q3950" s="23" t="str">
        <f>IF(F3950="CAPTURE",IF(COUNTIF(orders!$A:$A,O3950)&gt;0,"Yes","NO ORDER"),"")</f>
        <v>Yes</v>
      </c>
    </row>
    <row r="3951" spans="1:17" ht="15" customHeight="1" x14ac:dyDescent="0.3">
      <c r="A3951" s="23" t="s">
        <v>16972</v>
      </c>
      <c r="B3951" s="23"/>
      <c r="C3951" s="23" t="s">
        <v>9369</v>
      </c>
      <c r="D3951" s="23" t="str">
        <f t="shared" si="183"/>
        <v>ORD26004448</v>
      </c>
      <c r="E3951" s="38">
        <v>46286</v>
      </c>
      <c r="F3951" s="23" t="s">
        <v>12410</v>
      </c>
      <c r="G3951" s="23" t="s">
        <v>79</v>
      </c>
      <c r="H3951" s="24">
        <v>848</v>
      </c>
      <c r="I3951" s="24">
        <v>15.26</v>
      </c>
      <c r="J3951" s="24">
        <v>2.75</v>
      </c>
      <c r="K3951" s="24">
        <v>829.99</v>
      </c>
      <c r="L3951" s="38">
        <v>46288</v>
      </c>
      <c r="M3951" s="23" t="s">
        <v>218</v>
      </c>
      <c r="N3951" s="23" t="str">
        <f>IF(COUNTIF($A$2:A3951,A3951)&gt;1,"DUP","OK")</f>
        <v>OK</v>
      </c>
      <c r="O3951" s="23" t="str">
        <f t="shared" si="184"/>
        <v>ORD26004448</v>
      </c>
      <c r="P3951" s="23" t="str">
        <f t="shared" si="185"/>
        <v>Sep</v>
      </c>
      <c r="Q3951" s="23" t="str">
        <f>IF(F3951="CAPTURE",IF(COUNTIF(orders!$A:$A,O3951)&gt;0,"Yes","NO ORDER"),"")</f>
        <v>Yes</v>
      </c>
    </row>
    <row r="3952" spans="1:17" ht="15" customHeight="1" x14ac:dyDescent="0.3">
      <c r="A3952" s="23" t="s">
        <v>16973</v>
      </c>
      <c r="B3952" s="23"/>
      <c r="C3952" s="23" t="s">
        <v>9456</v>
      </c>
      <c r="D3952" s="23" t="str">
        <f t="shared" si="183"/>
        <v>ORD26004492</v>
      </c>
      <c r="E3952" s="38">
        <v>46286</v>
      </c>
      <c r="F3952" s="23" t="s">
        <v>12410</v>
      </c>
      <c r="G3952" s="23" t="s">
        <v>75</v>
      </c>
      <c r="H3952" s="24">
        <v>2098</v>
      </c>
      <c r="I3952" s="24">
        <v>6.29</v>
      </c>
      <c r="J3952" s="24">
        <v>1.1299999999999999</v>
      </c>
      <c r="K3952" s="24">
        <v>2090.58</v>
      </c>
      <c r="L3952" s="38">
        <v>46288</v>
      </c>
      <c r="M3952" s="23" t="s">
        <v>218</v>
      </c>
      <c r="N3952" s="23" t="str">
        <f>IF(COUNTIF($A$2:A3952,A3952)&gt;1,"DUP","OK")</f>
        <v>OK</v>
      </c>
      <c r="O3952" s="23" t="str">
        <f t="shared" si="184"/>
        <v>ORD26004492</v>
      </c>
      <c r="P3952" s="23" t="str">
        <f t="shared" si="185"/>
        <v>Sep</v>
      </c>
      <c r="Q3952" s="23" t="str">
        <f>IF(F3952="CAPTURE",IF(COUNTIF(orders!$A:$A,O3952)&gt;0,"Yes","NO ORDER"),"")</f>
        <v>Yes</v>
      </c>
    </row>
    <row r="3953" spans="1:17" ht="15" customHeight="1" x14ac:dyDescent="0.3">
      <c r="A3953" s="23" t="s">
        <v>16974</v>
      </c>
      <c r="B3953" s="23"/>
      <c r="C3953" s="23" t="s">
        <v>9621</v>
      </c>
      <c r="D3953" s="23" t="str">
        <f t="shared" si="183"/>
        <v>ORD26004574</v>
      </c>
      <c r="E3953" s="38">
        <v>46286</v>
      </c>
      <c r="F3953" s="23" t="s">
        <v>12410</v>
      </c>
      <c r="G3953" s="23" t="s">
        <v>75</v>
      </c>
      <c r="H3953" s="24">
        <v>11498</v>
      </c>
      <c r="I3953" s="24">
        <v>34.49</v>
      </c>
      <c r="J3953" s="24">
        <v>6.21</v>
      </c>
      <c r="K3953" s="24">
        <v>11457.3</v>
      </c>
      <c r="L3953" s="38">
        <v>46288</v>
      </c>
      <c r="M3953" s="23" t="s">
        <v>218</v>
      </c>
      <c r="N3953" s="23" t="str">
        <f>IF(COUNTIF($A$2:A3953,A3953)&gt;1,"DUP","OK")</f>
        <v>OK</v>
      </c>
      <c r="O3953" s="23" t="str">
        <f t="shared" si="184"/>
        <v>ORD26004574</v>
      </c>
      <c r="P3953" s="23" t="str">
        <f t="shared" si="185"/>
        <v>Sep</v>
      </c>
      <c r="Q3953" s="23" t="str">
        <f>IF(F3953="CAPTURE",IF(COUNTIF(orders!$A:$A,O3953)&gt;0,"Yes","NO ORDER"),"")</f>
        <v>Yes</v>
      </c>
    </row>
    <row r="3954" spans="1:17" ht="15" customHeight="1" x14ac:dyDescent="0.3">
      <c r="A3954" s="23" t="s">
        <v>16975</v>
      </c>
      <c r="B3954" s="23"/>
      <c r="C3954" s="23" t="s">
        <v>9977</v>
      </c>
      <c r="D3954" s="23" t="str">
        <f t="shared" si="183"/>
        <v>ORD26004756</v>
      </c>
      <c r="E3954" s="38">
        <v>46286</v>
      </c>
      <c r="F3954" s="23" t="s">
        <v>12410</v>
      </c>
      <c r="G3954" s="23" t="s">
        <v>79</v>
      </c>
      <c r="H3954" s="24">
        <v>2798</v>
      </c>
      <c r="I3954" s="24">
        <v>44.77</v>
      </c>
      <c r="J3954" s="24">
        <v>8.06</v>
      </c>
      <c r="K3954" s="24">
        <v>2745.17</v>
      </c>
      <c r="L3954" s="38">
        <v>46288</v>
      </c>
      <c r="M3954" s="23" t="s">
        <v>218</v>
      </c>
      <c r="N3954" s="23" t="str">
        <f>IF(COUNTIF($A$2:A3954,A3954)&gt;1,"DUP","OK")</f>
        <v>OK</v>
      </c>
      <c r="O3954" s="23" t="str">
        <f t="shared" si="184"/>
        <v>ORD26004756</v>
      </c>
      <c r="P3954" s="23" t="str">
        <f t="shared" si="185"/>
        <v>Sep</v>
      </c>
      <c r="Q3954" s="23" t="str">
        <f>IF(F3954="CAPTURE",IF(COUNTIF(orders!$A:$A,O3954)&gt;0,"Yes","NO ORDER"),"")</f>
        <v>Yes</v>
      </c>
    </row>
    <row r="3955" spans="1:17" ht="15" customHeight="1" x14ac:dyDescent="0.3">
      <c r="A3955" s="23" t="s">
        <v>16976</v>
      </c>
      <c r="B3955" s="23"/>
      <c r="C3955" s="23" t="s">
        <v>10103</v>
      </c>
      <c r="D3955" s="23" t="str">
        <f t="shared" si="183"/>
        <v>ORD26004821</v>
      </c>
      <c r="E3955" s="38">
        <v>46286</v>
      </c>
      <c r="F3955" s="23" t="s">
        <v>12410</v>
      </c>
      <c r="G3955" s="23" t="s">
        <v>79</v>
      </c>
      <c r="H3955" s="24">
        <v>8998</v>
      </c>
      <c r="I3955" s="24">
        <v>143.97</v>
      </c>
      <c r="J3955" s="24">
        <v>25.91</v>
      </c>
      <c r="K3955" s="24">
        <v>8828.1200000000008</v>
      </c>
      <c r="L3955" s="38">
        <v>46288</v>
      </c>
      <c r="M3955" s="23" t="s">
        <v>218</v>
      </c>
      <c r="N3955" s="23" t="str">
        <f>IF(COUNTIF($A$2:A3955,A3955)&gt;1,"DUP","OK")</f>
        <v>OK</v>
      </c>
      <c r="O3955" s="23" t="str">
        <f t="shared" si="184"/>
        <v>ORD26004821</v>
      </c>
      <c r="P3955" s="23" t="str">
        <f t="shared" si="185"/>
        <v>Sep</v>
      </c>
      <c r="Q3955" s="23" t="str">
        <f>IF(F3955="CAPTURE",IF(COUNTIF(orders!$A:$A,O3955)&gt;0,"Yes","NO ORDER"),"")</f>
        <v>Yes</v>
      </c>
    </row>
    <row r="3956" spans="1:17" ht="15" customHeight="1" x14ac:dyDescent="0.3">
      <c r="A3956" s="23" t="s">
        <v>16977</v>
      </c>
      <c r="B3956" s="23"/>
      <c r="C3956" s="23" t="s">
        <v>10153</v>
      </c>
      <c r="D3956" s="23" t="str">
        <f t="shared" si="183"/>
        <v>ORD26004847</v>
      </c>
      <c r="E3956" s="38">
        <v>46286</v>
      </c>
      <c r="F3956" s="23" t="s">
        <v>12410</v>
      </c>
      <c r="G3956" s="23" t="s">
        <v>75</v>
      </c>
      <c r="H3956" s="24">
        <v>9298</v>
      </c>
      <c r="I3956" s="24">
        <v>27.89</v>
      </c>
      <c r="J3956" s="24">
        <v>5.0199999999999996</v>
      </c>
      <c r="K3956" s="24">
        <v>9265.09</v>
      </c>
      <c r="L3956" s="38">
        <v>46288</v>
      </c>
      <c r="M3956" s="23" t="s">
        <v>218</v>
      </c>
      <c r="N3956" s="23" t="str">
        <f>IF(COUNTIF($A$2:A3956,A3956)&gt;1,"DUP","OK")</f>
        <v>OK</v>
      </c>
      <c r="O3956" s="23" t="str">
        <f t="shared" si="184"/>
        <v>ORD26004847</v>
      </c>
      <c r="P3956" s="23" t="str">
        <f t="shared" si="185"/>
        <v>Sep</v>
      </c>
      <c r="Q3956" s="23" t="str">
        <f>IF(F3956="CAPTURE",IF(COUNTIF(orders!$A:$A,O3956)&gt;0,"Yes","NO ORDER"),"")</f>
        <v>Yes</v>
      </c>
    </row>
    <row r="3957" spans="1:17" ht="15" customHeight="1" x14ac:dyDescent="0.3">
      <c r="A3957" s="23" t="s">
        <v>16978</v>
      </c>
      <c r="B3957" s="23"/>
      <c r="C3957" s="23" t="s">
        <v>10332</v>
      </c>
      <c r="D3957" s="23" t="str">
        <f t="shared" si="183"/>
        <v>ORD26004938</v>
      </c>
      <c r="E3957" s="38">
        <v>46286</v>
      </c>
      <c r="F3957" s="23" t="s">
        <v>12410</v>
      </c>
      <c r="G3957" s="23" t="s">
        <v>75</v>
      </c>
      <c r="H3957" s="24">
        <v>1499</v>
      </c>
      <c r="I3957" s="24">
        <v>0</v>
      </c>
      <c r="J3957" s="24">
        <v>0</v>
      </c>
      <c r="K3957" s="24">
        <v>1499</v>
      </c>
      <c r="L3957" s="38">
        <v>46288</v>
      </c>
      <c r="M3957" s="23" t="s">
        <v>218</v>
      </c>
      <c r="N3957" s="23" t="str">
        <f>IF(COUNTIF($A$2:A3957,A3957)&gt;1,"DUP","OK")</f>
        <v>OK</v>
      </c>
      <c r="O3957" s="23" t="str">
        <f t="shared" si="184"/>
        <v>ORD26004938</v>
      </c>
      <c r="P3957" s="23" t="str">
        <f t="shared" si="185"/>
        <v>Sep</v>
      </c>
      <c r="Q3957" s="23" t="str">
        <f>IF(F3957="CAPTURE",IF(COUNTIF(orders!$A:$A,O3957)&gt;0,"Yes","NO ORDER"),"")</f>
        <v>Yes</v>
      </c>
    </row>
    <row r="3958" spans="1:17" ht="15" customHeight="1" x14ac:dyDescent="0.3">
      <c r="A3958" s="23" t="s">
        <v>16979</v>
      </c>
      <c r="B3958" s="23"/>
      <c r="C3958" s="23" t="s">
        <v>10372</v>
      </c>
      <c r="D3958" s="23" t="str">
        <f t="shared" si="183"/>
        <v>ORD26004959</v>
      </c>
      <c r="E3958" s="38">
        <v>46286</v>
      </c>
      <c r="F3958" s="23" t="s">
        <v>12410</v>
      </c>
      <c r="G3958" s="23" t="s">
        <v>79</v>
      </c>
      <c r="H3958" s="24">
        <v>1598</v>
      </c>
      <c r="I3958" s="24">
        <v>28.76</v>
      </c>
      <c r="J3958" s="24">
        <v>5.18</v>
      </c>
      <c r="K3958" s="24">
        <v>1564.06</v>
      </c>
      <c r="L3958" s="38">
        <v>46288</v>
      </c>
      <c r="M3958" s="23" t="s">
        <v>218</v>
      </c>
      <c r="N3958" s="23" t="str">
        <f>IF(COUNTIF($A$2:A3958,A3958)&gt;1,"DUP","OK")</f>
        <v>OK</v>
      </c>
      <c r="O3958" s="23" t="str">
        <f t="shared" si="184"/>
        <v>ORD26004959</v>
      </c>
      <c r="P3958" s="23" t="str">
        <f t="shared" si="185"/>
        <v>Sep</v>
      </c>
      <c r="Q3958" s="23" t="str">
        <f>IF(F3958="CAPTURE",IF(COUNTIF(orders!$A:$A,O3958)&gt;0,"Yes","NO ORDER"),"")</f>
        <v>Yes</v>
      </c>
    </row>
    <row r="3959" spans="1:17" ht="15" customHeight="1" x14ac:dyDescent="0.3">
      <c r="A3959" s="23" t="s">
        <v>16980</v>
      </c>
      <c r="B3959" s="23"/>
      <c r="C3959" s="23" t="s">
        <v>10405</v>
      </c>
      <c r="D3959" s="23" t="str">
        <f t="shared" si="183"/>
        <v>ORD26004976</v>
      </c>
      <c r="E3959" s="38">
        <v>46286</v>
      </c>
      <c r="F3959" s="23" t="s">
        <v>12410</v>
      </c>
      <c r="G3959" s="23" t="s">
        <v>75</v>
      </c>
      <c r="H3959" s="24">
        <v>7999</v>
      </c>
      <c r="I3959" s="24">
        <v>24</v>
      </c>
      <c r="J3959" s="24">
        <v>4.32</v>
      </c>
      <c r="K3959" s="24">
        <v>7970.68</v>
      </c>
      <c r="L3959" s="38">
        <v>46288</v>
      </c>
      <c r="M3959" s="23" t="s">
        <v>218</v>
      </c>
      <c r="N3959" s="23" t="str">
        <f>IF(COUNTIF($A$2:A3959,A3959)&gt;1,"DUP","OK")</f>
        <v>OK</v>
      </c>
      <c r="O3959" s="23" t="str">
        <f t="shared" si="184"/>
        <v>ORD26004976</v>
      </c>
      <c r="P3959" s="23" t="str">
        <f t="shared" si="185"/>
        <v>Sep</v>
      </c>
      <c r="Q3959" s="23" t="str">
        <f>IF(F3959="CAPTURE",IF(COUNTIF(orders!$A:$A,O3959)&gt;0,"Yes","NO ORDER"),"")</f>
        <v>Yes</v>
      </c>
    </row>
    <row r="3960" spans="1:17" ht="15" customHeight="1" x14ac:dyDescent="0.3">
      <c r="A3960" s="23" t="s">
        <v>16981</v>
      </c>
      <c r="B3960" s="23"/>
      <c r="C3960" s="23" t="s">
        <v>10576</v>
      </c>
      <c r="D3960" s="23" t="str">
        <f t="shared" si="183"/>
        <v>ORD26005065</v>
      </c>
      <c r="E3960" s="38">
        <v>46286</v>
      </c>
      <c r="F3960" s="23" t="s">
        <v>12410</v>
      </c>
      <c r="G3960" s="23" t="s">
        <v>75</v>
      </c>
      <c r="H3960" s="24">
        <v>1647</v>
      </c>
      <c r="I3960" s="24">
        <v>0</v>
      </c>
      <c r="J3960" s="24">
        <v>0</v>
      </c>
      <c r="K3960" s="24">
        <v>1647</v>
      </c>
      <c r="L3960" s="38">
        <v>46288</v>
      </c>
      <c r="M3960" s="23" t="s">
        <v>218</v>
      </c>
      <c r="N3960" s="23" t="str">
        <f>IF(COUNTIF($A$2:A3960,A3960)&gt;1,"DUP","OK")</f>
        <v>OK</v>
      </c>
      <c r="O3960" s="23" t="str">
        <f t="shared" si="184"/>
        <v>ORD26005065</v>
      </c>
      <c r="P3960" s="23" t="str">
        <f t="shared" si="185"/>
        <v>Sep</v>
      </c>
      <c r="Q3960" s="23" t="str">
        <f>IF(F3960="CAPTURE",IF(COUNTIF(orders!$A:$A,O3960)&gt;0,"Yes","NO ORDER"),"")</f>
        <v>Yes</v>
      </c>
    </row>
    <row r="3961" spans="1:17" ht="15" customHeight="1" x14ac:dyDescent="0.3">
      <c r="A3961" s="23" t="s">
        <v>16982</v>
      </c>
      <c r="B3961" s="23"/>
      <c r="C3961" s="23" t="s">
        <v>10688</v>
      </c>
      <c r="D3961" s="23" t="str">
        <f t="shared" si="183"/>
        <v>ORD26005123</v>
      </c>
      <c r="E3961" s="38">
        <v>46286</v>
      </c>
      <c r="F3961" s="23" t="s">
        <v>12410</v>
      </c>
      <c r="G3961" s="23" t="s">
        <v>75</v>
      </c>
      <c r="H3961" s="24">
        <v>2797</v>
      </c>
      <c r="I3961" s="24">
        <v>8.39</v>
      </c>
      <c r="J3961" s="24">
        <v>1.51</v>
      </c>
      <c r="K3961" s="24">
        <v>2787.1</v>
      </c>
      <c r="L3961" s="38">
        <v>46288</v>
      </c>
      <c r="M3961" s="23" t="s">
        <v>218</v>
      </c>
      <c r="N3961" s="23" t="str">
        <f>IF(COUNTIF($A$2:A3961,A3961)&gt;1,"DUP","OK")</f>
        <v>OK</v>
      </c>
      <c r="O3961" s="23" t="str">
        <f t="shared" si="184"/>
        <v>ORD26005123</v>
      </c>
      <c r="P3961" s="23" t="str">
        <f t="shared" si="185"/>
        <v>Sep</v>
      </c>
      <c r="Q3961" s="23" t="str">
        <f>IF(F3961="CAPTURE",IF(COUNTIF(orders!$A:$A,O3961)&gt;0,"Yes","NO ORDER"),"")</f>
        <v>Yes</v>
      </c>
    </row>
    <row r="3962" spans="1:17" ht="15" customHeight="1" x14ac:dyDescent="0.3">
      <c r="A3962" s="23" t="s">
        <v>16983</v>
      </c>
      <c r="B3962" s="23"/>
      <c r="C3962" s="23" t="s">
        <v>10737</v>
      </c>
      <c r="D3962" s="23" t="str">
        <f t="shared" si="183"/>
        <v>ORD26005147</v>
      </c>
      <c r="E3962" s="38">
        <v>46286</v>
      </c>
      <c r="F3962" s="23" t="s">
        <v>12410</v>
      </c>
      <c r="G3962" s="23" t="s">
        <v>75</v>
      </c>
      <c r="H3962" s="24">
        <v>1499</v>
      </c>
      <c r="I3962" s="24">
        <v>0</v>
      </c>
      <c r="J3962" s="24">
        <v>0</v>
      </c>
      <c r="K3962" s="24">
        <v>1499</v>
      </c>
      <c r="L3962" s="38">
        <v>46288</v>
      </c>
      <c r="M3962" s="23" t="s">
        <v>218</v>
      </c>
      <c r="N3962" s="23" t="str">
        <f>IF(COUNTIF($A$2:A3962,A3962)&gt;1,"DUP","OK")</f>
        <v>OK</v>
      </c>
      <c r="O3962" s="23" t="str">
        <f t="shared" si="184"/>
        <v>ORD26005147</v>
      </c>
      <c r="P3962" s="23" t="str">
        <f t="shared" si="185"/>
        <v>Sep</v>
      </c>
      <c r="Q3962" s="23" t="str">
        <f>IF(F3962="CAPTURE",IF(COUNTIF(orders!$A:$A,O3962)&gt;0,"Yes","NO ORDER"),"")</f>
        <v>Yes</v>
      </c>
    </row>
    <row r="3963" spans="1:17" ht="15" customHeight="1" x14ac:dyDescent="0.3">
      <c r="A3963" s="23" t="s">
        <v>16984</v>
      </c>
      <c r="B3963" s="23"/>
      <c r="C3963" s="23" t="s">
        <v>16985</v>
      </c>
      <c r="D3963" s="23" t="str">
        <f t="shared" si="183"/>
        <v>ORD26005163</v>
      </c>
      <c r="E3963" s="38">
        <v>46286</v>
      </c>
      <c r="F3963" s="23" t="s">
        <v>12410</v>
      </c>
      <c r="G3963" s="23" t="s">
        <v>75</v>
      </c>
      <c r="H3963" s="24">
        <v>1499</v>
      </c>
      <c r="I3963" s="24">
        <v>0</v>
      </c>
      <c r="J3963" s="24">
        <v>0</v>
      </c>
      <c r="K3963" s="24">
        <v>1499</v>
      </c>
      <c r="L3963" s="38">
        <v>46288</v>
      </c>
      <c r="M3963" s="23" t="s">
        <v>218</v>
      </c>
      <c r="N3963" s="23" t="str">
        <f>IF(COUNTIF($A$2:A3963,A3963)&gt;1,"DUP","OK")</f>
        <v>OK</v>
      </c>
      <c r="O3963" s="23" t="str">
        <f t="shared" si="184"/>
        <v>ORD26005163</v>
      </c>
      <c r="P3963" s="23" t="str">
        <f t="shared" si="185"/>
        <v>Sep</v>
      </c>
      <c r="Q3963" s="23" t="str">
        <f>IF(F3963="CAPTURE",IF(COUNTIF(orders!$A:$A,O3963)&gt;0,"Yes","NO ORDER"),"")</f>
        <v>Yes</v>
      </c>
    </row>
    <row r="3964" spans="1:17" ht="15" customHeight="1" x14ac:dyDescent="0.3">
      <c r="A3964" s="23" t="s">
        <v>16986</v>
      </c>
      <c r="B3964" s="23"/>
      <c r="C3964" s="23" t="s">
        <v>10818</v>
      </c>
      <c r="D3964" s="23" t="str">
        <f t="shared" si="183"/>
        <v>ORD26005189</v>
      </c>
      <c r="E3964" s="38">
        <v>46286</v>
      </c>
      <c r="F3964" s="23" t="s">
        <v>12410</v>
      </c>
      <c r="G3964" s="23" t="s">
        <v>75</v>
      </c>
      <c r="H3964" s="24">
        <v>8597</v>
      </c>
      <c r="I3964" s="24">
        <v>25.79</v>
      </c>
      <c r="J3964" s="24">
        <v>4.6399999999999997</v>
      </c>
      <c r="K3964" s="24">
        <v>8566.57</v>
      </c>
      <c r="L3964" s="38">
        <v>46288</v>
      </c>
      <c r="M3964" s="23" t="s">
        <v>218</v>
      </c>
      <c r="N3964" s="23" t="str">
        <f>IF(COUNTIF($A$2:A3964,A3964)&gt;1,"DUP","OK")</f>
        <v>OK</v>
      </c>
      <c r="O3964" s="23" t="str">
        <f t="shared" si="184"/>
        <v>ORD26005189</v>
      </c>
      <c r="P3964" s="23" t="str">
        <f t="shared" si="185"/>
        <v>Sep</v>
      </c>
      <c r="Q3964" s="23" t="str">
        <f>IF(F3964="CAPTURE",IF(COUNTIF(orders!$A:$A,O3964)&gt;0,"Yes","NO ORDER"),"")</f>
        <v>Yes</v>
      </c>
    </row>
    <row r="3965" spans="1:17" ht="15" customHeight="1" x14ac:dyDescent="0.3">
      <c r="A3965" s="23" t="s">
        <v>16987</v>
      </c>
      <c r="B3965" s="23"/>
      <c r="C3965" s="23" t="s">
        <v>10869</v>
      </c>
      <c r="D3965" s="23" t="str">
        <f t="shared" si="183"/>
        <v>ORD26005215</v>
      </c>
      <c r="E3965" s="38">
        <v>46286</v>
      </c>
      <c r="F3965" s="23" t="s">
        <v>12410</v>
      </c>
      <c r="G3965" s="23" t="s">
        <v>75</v>
      </c>
      <c r="H3965" s="24">
        <v>1299</v>
      </c>
      <c r="I3965" s="24">
        <v>0</v>
      </c>
      <c r="J3965" s="24">
        <v>0</v>
      </c>
      <c r="K3965" s="24">
        <v>1299</v>
      </c>
      <c r="L3965" s="38">
        <v>46288</v>
      </c>
      <c r="M3965" s="23" t="s">
        <v>218</v>
      </c>
      <c r="N3965" s="23" t="str">
        <f>IF(COUNTIF($A$2:A3965,A3965)&gt;1,"DUP","OK")</f>
        <v>OK</v>
      </c>
      <c r="O3965" s="23" t="str">
        <f t="shared" si="184"/>
        <v>ORD26005215</v>
      </c>
      <c r="P3965" s="23" t="str">
        <f t="shared" si="185"/>
        <v>Sep</v>
      </c>
      <c r="Q3965" s="23" t="str">
        <f>IF(F3965="CAPTURE",IF(COUNTIF(orders!$A:$A,O3965)&gt;0,"Yes","NO ORDER"),"")</f>
        <v>Yes</v>
      </c>
    </row>
    <row r="3966" spans="1:17" ht="15" customHeight="1" x14ac:dyDescent="0.3">
      <c r="A3966" s="23" t="s">
        <v>16988</v>
      </c>
      <c r="B3966" s="23"/>
      <c r="C3966" s="23" t="s">
        <v>16989</v>
      </c>
      <c r="D3966" s="23" t="str">
        <f t="shared" si="183"/>
        <v>ORD26005247</v>
      </c>
      <c r="E3966" s="38">
        <v>46286</v>
      </c>
      <c r="F3966" s="23" t="s">
        <v>12410</v>
      </c>
      <c r="G3966" s="23" t="s">
        <v>79</v>
      </c>
      <c r="H3966" s="24">
        <v>2297</v>
      </c>
      <c r="I3966" s="24">
        <v>36.75</v>
      </c>
      <c r="J3966" s="24">
        <v>6.62</v>
      </c>
      <c r="K3966" s="24">
        <v>2253.63</v>
      </c>
      <c r="L3966" s="38">
        <v>46288</v>
      </c>
      <c r="M3966" s="23" t="s">
        <v>218</v>
      </c>
      <c r="N3966" s="23" t="str">
        <f>IF(COUNTIF($A$2:A3966,A3966)&gt;1,"DUP","OK")</f>
        <v>OK</v>
      </c>
      <c r="O3966" s="23" t="str">
        <f t="shared" si="184"/>
        <v>ORD26005247</v>
      </c>
      <c r="P3966" s="23" t="str">
        <f t="shared" si="185"/>
        <v>Sep</v>
      </c>
      <c r="Q3966" s="23" t="str">
        <f>IF(F3966="CAPTURE",IF(COUNTIF(orders!$A:$A,O3966)&gt;0,"Yes","NO ORDER"),"")</f>
        <v>Yes</v>
      </c>
    </row>
    <row r="3967" spans="1:17" ht="15" customHeight="1" x14ac:dyDescent="0.3">
      <c r="A3967" s="23" t="s">
        <v>16990</v>
      </c>
      <c r="B3967" s="23"/>
      <c r="C3967" s="23" t="s">
        <v>16991</v>
      </c>
      <c r="D3967" s="23" t="str">
        <f t="shared" si="183"/>
        <v>ORD26005314</v>
      </c>
      <c r="E3967" s="38">
        <v>46286</v>
      </c>
      <c r="F3967" s="23" t="s">
        <v>12410</v>
      </c>
      <c r="G3967" s="23" t="s">
        <v>81</v>
      </c>
      <c r="H3967" s="24">
        <v>1598</v>
      </c>
      <c r="I3967" s="24">
        <v>23.97</v>
      </c>
      <c r="J3967" s="24">
        <v>4.3099999999999996</v>
      </c>
      <c r="K3967" s="24">
        <v>1569.72</v>
      </c>
      <c r="L3967" s="38">
        <v>46288</v>
      </c>
      <c r="M3967" s="23" t="s">
        <v>218</v>
      </c>
      <c r="N3967" s="23" t="str">
        <f>IF(COUNTIF($A$2:A3967,A3967)&gt;1,"DUP","OK")</f>
        <v>OK</v>
      </c>
      <c r="O3967" s="23" t="str">
        <f t="shared" si="184"/>
        <v>ORD26005314</v>
      </c>
      <c r="P3967" s="23" t="str">
        <f t="shared" si="185"/>
        <v>Sep</v>
      </c>
      <c r="Q3967" s="23" t="str">
        <f>IF(F3967="CAPTURE",IF(COUNTIF(orders!$A:$A,O3967)&gt;0,"Yes","NO ORDER"),"")</f>
        <v>Yes</v>
      </c>
    </row>
    <row r="3968" spans="1:17" ht="15" customHeight="1" x14ac:dyDescent="0.3">
      <c r="A3968" s="23" t="s">
        <v>16992</v>
      </c>
      <c r="B3968" s="23"/>
      <c r="C3968" s="23" t="s">
        <v>11195</v>
      </c>
      <c r="D3968" s="23" t="str">
        <f t="shared" si="183"/>
        <v>ORD26005381</v>
      </c>
      <c r="E3968" s="38">
        <v>46286</v>
      </c>
      <c r="F3968" s="23" t="s">
        <v>12410</v>
      </c>
      <c r="G3968" s="23" t="s">
        <v>79</v>
      </c>
      <c r="H3968" s="24">
        <v>1799</v>
      </c>
      <c r="I3968" s="24">
        <v>32.380000000000003</v>
      </c>
      <c r="J3968" s="24">
        <v>5.83</v>
      </c>
      <c r="K3968" s="24">
        <v>1760.79</v>
      </c>
      <c r="L3968" s="38">
        <v>46288</v>
      </c>
      <c r="M3968" s="23" t="s">
        <v>218</v>
      </c>
      <c r="N3968" s="23" t="str">
        <f>IF(COUNTIF($A$2:A3968,A3968)&gt;1,"DUP","OK")</f>
        <v>OK</v>
      </c>
      <c r="O3968" s="23" t="str">
        <f t="shared" si="184"/>
        <v>ORD26005381</v>
      </c>
      <c r="P3968" s="23" t="str">
        <f t="shared" si="185"/>
        <v>Sep</v>
      </c>
      <c r="Q3968" s="23" t="str">
        <f>IF(F3968="CAPTURE",IF(COUNTIF(orders!$A:$A,O3968)&gt;0,"Yes","NO ORDER"),"")</f>
        <v>Yes</v>
      </c>
    </row>
    <row r="3969" spans="1:17" ht="15" customHeight="1" x14ac:dyDescent="0.3">
      <c r="A3969" s="23" t="s">
        <v>16993</v>
      </c>
      <c r="B3969" s="23"/>
      <c r="C3969" s="23" t="s">
        <v>11268</v>
      </c>
      <c r="D3969" s="23" t="str">
        <f t="shared" si="183"/>
        <v>ORD26005418</v>
      </c>
      <c r="E3969" s="38">
        <v>46286</v>
      </c>
      <c r="F3969" s="23" t="s">
        <v>12410</v>
      </c>
      <c r="G3969" s="23" t="s">
        <v>75</v>
      </c>
      <c r="H3969" s="24">
        <v>5298</v>
      </c>
      <c r="I3969" s="24">
        <v>15.89</v>
      </c>
      <c r="J3969" s="24">
        <v>2.86</v>
      </c>
      <c r="K3969" s="24">
        <v>5279.25</v>
      </c>
      <c r="L3969" s="38">
        <v>46288</v>
      </c>
      <c r="M3969" s="23" t="s">
        <v>218</v>
      </c>
      <c r="N3969" s="23" t="str">
        <f>IF(COUNTIF($A$2:A3969,A3969)&gt;1,"DUP","OK")</f>
        <v>OK</v>
      </c>
      <c r="O3969" s="23" t="str">
        <f t="shared" si="184"/>
        <v>ORD26005418</v>
      </c>
      <c r="P3969" s="23" t="str">
        <f t="shared" si="185"/>
        <v>Sep</v>
      </c>
      <c r="Q3969" s="23" t="str">
        <f>IF(F3969="CAPTURE",IF(COUNTIF(orders!$A:$A,O3969)&gt;0,"Yes","NO ORDER"),"")</f>
        <v>Yes</v>
      </c>
    </row>
    <row r="3970" spans="1:17" ht="15" customHeight="1" x14ac:dyDescent="0.3">
      <c r="A3970" s="23" t="s">
        <v>16994</v>
      </c>
      <c r="B3970" s="23"/>
      <c r="C3970" s="23" t="s">
        <v>11319</v>
      </c>
      <c r="D3970" s="23" t="str">
        <f t="shared" ref="D3970:D4033" si="186">UPPER(SUBSTITUTE(TRIM(C3970),"-",""))</f>
        <v>ORD26005444</v>
      </c>
      <c r="E3970" s="38">
        <v>46286</v>
      </c>
      <c r="F3970" s="23" t="s">
        <v>12410</v>
      </c>
      <c r="G3970" s="23" t="s">
        <v>81</v>
      </c>
      <c r="H3970" s="24">
        <v>2298</v>
      </c>
      <c r="I3970" s="24">
        <v>27.58</v>
      </c>
      <c r="J3970" s="24">
        <v>4.96</v>
      </c>
      <c r="K3970" s="24">
        <v>2265.46</v>
      </c>
      <c r="L3970" s="38">
        <v>46288</v>
      </c>
      <c r="M3970" s="23" t="s">
        <v>218</v>
      </c>
      <c r="N3970" s="23" t="str">
        <f>IF(COUNTIF($A$2:A3970,A3970)&gt;1,"DUP","OK")</f>
        <v>OK</v>
      </c>
      <c r="O3970" s="23" t="str">
        <f t="shared" ref="O3970:O4033" si="187">IF(F3970="REFUND",INDEX($D:$D,MATCH(B3970,$A:$A,0)),D3970)</f>
        <v>ORD26005444</v>
      </c>
      <c r="P3970" s="23" t="str">
        <f t="shared" ref="P3970:P4033" si="188">IF(L3970&gt;DATE(2026,9,30),"Oct-Due","Sep")</f>
        <v>Sep</v>
      </c>
      <c r="Q3970" s="23" t="str">
        <f>IF(F3970="CAPTURE",IF(COUNTIF(orders!$A:$A,O3970)&gt;0,"Yes","NO ORDER"),"")</f>
        <v>Yes</v>
      </c>
    </row>
    <row r="3971" spans="1:17" ht="15" customHeight="1" x14ac:dyDescent="0.3">
      <c r="A3971" s="23" t="s">
        <v>16995</v>
      </c>
      <c r="B3971" s="23"/>
      <c r="C3971" s="23" t="s">
        <v>11415</v>
      </c>
      <c r="D3971" s="23" t="str">
        <f t="shared" si="186"/>
        <v>ORD26005493</v>
      </c>
      <c r="E3971" s="38">
        <v>46286</v>
      </c>
      <c r="F3971" s="23" t="s">
        <v>12410</v>
      </c>
      <c r="G3971" s="23" t="s">
        <v>77</v>
      </c>
      <c r="H3971" s="24">
        <v>599</v>
      </c>
      <c r="I3971" s="24">
        <v>11.38</v>
      </c>
      <c r="J3971" s="24">
        <v>2.0499999999999998</v>
      </c>
      <c r="K3971" s="24">
        <v>585.57000000000005</v>
      </c>
      <c r="L3971" s="38">
        <v>46288</v>
      </c>
      <c r="M3971" s="23" t="s">
        <v>218</v>
      </c>
      <c r="N3971" s="23" t="str">
        <f>IF(COUNTIF($A$2:A3971,A3971)&gt;1,"DUP","OK")</f>
        <v>OK</v>
      </c>
      <c r="O3971" s="23" t="str">
        <f t="shared" si="187"/>
        <v>ORD26005493</v>
      </c>
      <c r="P3971" s="23" t="str">
        <f t="shared" si="188"/>
        <v>Sep</v>
      </c>
      <c r="Q3971" s="23" t="str">
        <f>IF(F3971="CAPTURE",IF(COUNTIF(orders!$A:$A,O3971)&gt;0,"Yes","NO ORDER"),"")</f>
        <v>Yes</v>
      </c>
    </row>
    <row r="3972" spans="1:17" ht="15" customHeight="1" x14ac:dyDescent="0.3">
      <c r="A3972" s="23" t="s">
        <v>16996</v>
      </c>
      <c r="B3972" s="23"/>
      <c r="C3972" s="23" t="s">
        <v>11551</v>
      </c>
      <c r="D3972" s="23" t="str">
        <f t="shared" si="186"/>
        <v>ORD26005563</v>
      </c>
      <c r="E3972" s="38">
        <v>46286</v>
      </c>
      <c r="F3972" s="23" t="s">
        <v>12410</v>
      </c>
      <c r="G3972" s="23" t="s">
        <v>79</v>
      </c>
      <c r="H3972" s="24">
        <v>999</v>
      </c>
      <c r="I3972" s="24">
        <v>17.98</v>
      </c>
      <c r="J3972" s="24">
        <v>3.24</v>
      </c>
      <c r="K3972" s="24">
        <v>977.78</v>
      </c>
      <c r="L3972" s="38">
        <v>46288</v>
      </c>
      <c r="M3972" s="23" t="s">
        <v>218</v>
      </c>
      <c r="N3972" s="23" t="str">
        <f>IF(COUNTIF($A$2:A3972,A3972)&gt;1,"DUP","OK")</f>
        <v>OK</v>
      </c>
      <c r="O3972" s="23" t="str">
        <f t="shared" si="187"/>
        <v>ORD26005563</v>
      </c>
      <c r="P3972" s="23" t="str">
        <f t="shared" si="188"/>
        <v>Sep</v>
      </c>
      <c r="Q3972" s="23" t="str">
        <f>IF(F3972="CAPTURE",IF(COUNTIF(orders!$A:$A,O3972)&gt;0,"Yes","NO ORDER"),"")</f>
        <v>Yes</v>
      </c>
    </row>
    <row r="3973" spans="1:17" ht="15" customHeight="1" x14ac:dyDescent="0.3">
      <c r="A3973" s="23" t="s">
        <v>16997</v>
      </c>
      <c r="B3973" s="23"/>
      <c r="C3973" s="23" t="s">
        <v>11553</v>
      </c>
      <c r="D3973" s="23" t="str">
        <f t="shared" si="186"/>
        <v>ORD26005564</v>
      </c>
      <c r="E3973" s="38">
        <v>46286</v>
      </c>
      <c r="F3973" s="23" t="s">
        <v>12410</v>
      </c>
      <c r="G3973" s="23" t="s">
        <v>75</v>
      </c>
      <c r="H3973" s="24">
        <v>1398</v>
      </c>
      <c r="I3973" s="24">
        <v>0</v>
      </c>
      <c r="J3973" s="24">
        <v>0</v>
      </c>
      <c r="K3973" s="24">
        <v>1398</v>
      </c>
      <c r="L3973" s="38">
        <v>46288</v>
      </c>
      <c r="M3973" s="23" t="s">
        <v>218</v>
      </c>
      <c r="N3973" s="23" t="str">
        <f>IF(COUNTIF($A$2:A3973,A3973)&gt;1,"DUP","OK")</f>
        <v>OK</v>
      </c>
      <c r="O3973" s="23" t="str">
        <f t="shared" si="187"/>
        <v>ORD26005564</v>
      </c>
      <c r="P3973" s="23" t="str">
        <f t="shared" si="188"/>
        <v>Sep</v>
      </c>
      <c r="Q3973" s="23" t="str">
        <f>IF(F3973="CAPTURE",IF(COUNTIF(orders!$A:$A,O3973)&gt;0,"Yes","NO ORDER"),"")</f>
        <v>Yes</v>
      </c>
    </row>
    <row r="3974" spans="1:17" ht="15" customHeight="1" x14ac:dyDescent="0.3">
      <c r="A3974" s="23" t="s">
        <v>16998</v>
      </c>
      <c r="B3974" s="23"/>
      <c r="C3974" s="23" t="s">
        <v>11642</v>
      </c>
      <c r="D3974" s="23" t="str">
        <f t="shared" si="186"/>
        <v>ORD26005610</v>
      </c>
      <c r="E3974" s="38">
        <v>46286</v>
      </c>
      <c r="F3974" s="23" t="s">
        <v>12410</v>
      </c>
      <c r="G3974" s="23" t="s">
        <v>77</v>
      </c>
      <c r="H3974" s="24">
        <v>499</v>
      </c>
      <c r="I3974" s="24">
        <v>9.48</v>
      </c>
      <c r="J3974" s="24">
        <v>1.71</v>
      </c>
      <c r="K3974" s="24">
        <v>487.81</v>
      </c>
      <c r="L3974" s="38">
        <v>46288</v>
      </c>
      <c r="M3974" s="23" t="s">
        <v>218</v>
      </c>
      <c r="N3974" s="23" t="str">
        <f>IF(COUNTIF($A$2:A3974,A3974)&gt;1,"DUP","OK")</f>
        <v>OK</v>
      </c>
      <c r="O3974" s="23" t="str">
        <f t="shared" si="187"/>
        <v>ORD26005610</v>
      </c>
      <c r="P3974" s="23" t="str">
        <f t="shared" si="188"/>
        <v>Sep</v>
      </c>
      <c r="Q3974" s="23" t="str">
        <f>IF(F3974="CAPTURE",IF(COUNTIF(orders!$A:$A,O3974)&gt;0,"Yes","NO ORDER"),"")</f>
        <v>Yes</v>
      </c>
    </row>
    <row r="3975" spans="1:17" ht="15" customHeight="1" x14ac:dyDescent="0.3">
      <c r="A3975" s="23" t="s">
        <v>16999</v>
      </c>
      <c r="B3975" s="23"/>
      <c r="C3975" s="23" t="s">
        <v>11827</v>
      </c>
      <c r="D3975" s="23" t="str">
        <f t="shared" si="186"/>
        <v>ORD26005705</v>
      </c>
      <c r="E3975" s="38">
        <v>46286</v>
      </c>
      <c r="F3975" s="23" t="s">
        <v>12410</v>
      </c>
      <c r="G3975" s="23" t="s">
        <v>75</v>
      </c>
      <c r="H3975" s="24">
        <v>799</v>
      </c>
      <c r="I3975" s="24">
        <v>0</v>
      </c>
      <c r="J3975" s="24">
        <v>0</v>
      </c>
      <c r="K3975" s="24">
        <v>799</v>
      </c>
      <c r="L3975" s="38">
        <v>46288</v>
      </c>
      <c r="M3975" s="23" t="s">
        <v>218</v>
      </c>
      <c r="N3975" s="23" t="str">
        <f>IF(COUNTIF($A$2:A3975,A3975)&gt;1,"DUP","OK")</f>
        <v>OK</v>
      </c>
      <c r="O3975" s="23" t="str">
        <f t="shared" si="187"/>
        <v>ORD26005705</v>
      </c>
      <c r="P3975" s="23" t="str">
        <f t="shared" si="188"/>
        <v>Sep</v>
      </c>
      <c r="Q3975" s="23" t="str">
        <f>IF(F3975="CAPTURE",IF(COUNTIF(orders!$A:$A,O3975)&gt;0,"Yes","NO ORDER"),"")</f>
        <v>Yes</v>
      </c>
    </row>
    <row r="3976" spans="1:17" ht="15" customHeight="1" x14ac:dyDescent="0.3">
      <c r="A3976" s="23" t="s">
        <v>17000</v>
      </c>
      <c r="B3976" s="23"/>
      <c r="C3976" s="23" t="s">
        <v>11852</v>
      </c>
      <c r="D3976" s="23" t="str">
        <f t="shared" si="186"/>
        <v>ORD26005718</v>
      </c>
      <c r="E3976" s="38">
        <v>46286</v>
      </c>
      <c r="F3976" s="23" t="s">
        <v>12410</v>
      </c>
      <c r="G3976" s="23" t="s">
        <v>77</v>
      </c>
      <c r="H3976" s="24">
        <v>6498</v>
      </c>
      <c r="I3976" s="24">
        <v>110.47</v>
      </c>
      <c r="J3976" s="24">
        <v>19.88</v>
      </c>
      <c r="K3976" s="24">
        <v>6367.65</v>
      </c>
      <c r="L3976" s="38">
        <v>46288</v>
      </c>
      <c r="M3976" s="23" t="s">
        <v>218</v>
      </c>
      <c r="N3976" s="23" t="str">
        <f>IF(COUNTIF($A$2:A3976,A3976)&gt;1,"DUP","OK")</f>
        <v>OK</v>
      </c>
      <c r="O3976" s="23" t="str">
        <f t="shared" si="187"/>
        <v>ORD26005718</v>
      </c>
      <c r="P3976" s="23" t="str">
        <f t="shared" si="188"/>
        <v>Sep</v>
      </c>
      <c r="Q3976" s="23" t="str">
        <f>IF(F3976="CAPTURE",IF(COUNTIF(orders!$A:$A,O3976)&gt;0,"Yes","NO ORDER"),"")</f>
        <v>Yes</v>
      </c>
    </row>
    <row r="3977" spans="1:17" ht="15" customHeight="1" x14ac:dyDescent="0.3">
      <c r="A3977" s="23" t="s">
        <v>17001</v>
      </c>
      <c r="B3977" s="23"/>
      <c r="C3977" s="23" t="s">
        <v>11959</v>
      </c>
      <c r="D3977" s="23" t="str">
        <f t="shared" si="186"/>
        <v>ORD26005773</v>
      </c>
      <c r="E3977" s="38">
        <v>46286</v>
      </c>
      <c r="F3977" s="23" t="s">
        <v>12410</v>
      </c>
      <c r="G3977" s="23" t="s">
        <v>75</v>
      </c>
      <c r="H3977" s="24">
        <v>4797</v>
      </c>
      <c r="I3977" s="24">
        <v>14.39</v>
      </c>
      <c r="J3977" s="24">
        <v>2.59</v>
      </c>
      <c r="K3977" s="24">
        <v>4780.0200000000004</v>
      </c>
      <c r="L3977" s="38">
        <v>46288</v>
      </c>
      <c r="M3977" s="23" t="s">
        <v>218</v>
      </c>
      <c r="N3977" s="23" t="str">
        <f>IF(COUNTIF($A$2:A3977,A3977)&gt;1,"DUP","OK")</f>
        <v>OK</v>
      </c>
      <c r="O3977" s="23" t="str">
        <f t="shared" si="187"/>
        <v>ORD26005773</v>
      </c>
      <c r="P3977" s="23" t="str">
        <f t="shared" si="188"/>
        <v>Sep</v>
      </c>
      <c r="Q3977" s="23" t="str">
        <f>IF(F3977="CAPTURE",IF(COUNTIF(orders!$A:$A,O3977)&gt;0,"Yes","NO ORDER"),"")</f>
        <v>Yes</v>
      </c>
    </row>
    <row r="3978" spans="1:17" ht="15" customHeight="1" x14ac:dyDescent="0.3">
      <c r="A3978" s="23" t="s">
        <v>17002</v>
      </c>
      <c r="B3978" s="23"/>
      <c r="C3978" s="23" t="s">
        <v>11973</v>
      </c>
      <c r="D3978" s="23" t="str">
        <f t="shared" si="186"/>
        <v>ORD26005780</v>
      </c>
      <c r="E3978" s="38">
        <v>46286</v>
      </c>
      <c r="F3978" s="23" t="s">
        <v>12410</v>
      </c>
      <c r="G3978" s="23" t="s">
        <v>75</v>
      </c>
      <c r="H3978" s="24">
        <v>1799</v>
      </c>
      <c r="I3978" s="24">
        <v>0</v>
      </c>
      <c r="J3978" s="24">
        <v>0</v>
      </c>
      <c r="K3978" s="24">
        <v>1799</v>
      </c>
      <c r="L3978" s="38">
        <v>46288</v>
      </c>
      <c r="M3978" s="23" t="s">
        <v>218</v>
      </c>
      <c r="N3978" s="23" t="str">
        <f>IF(COUNTIF($A$2:A3978,A3978)&gt;1,"DUP","OK")</f>
        <v>OK</v>
      </c>
      <c r="O3978" s="23" t="str">
        <f t="shared" si="187"/>
        <v>ORD26005780</v>
      </c>
      <c r="P3978" s="23" t="str">
        <f t="shared" si="188"/>
        <v>Sep</v>
      </c>
      <c r="Q3978" s="23" t="str">
        <f>IF(F3978="CAPTURE",IF(COUNTIF(orders!$A:$A,O3978)&gt;0,"Yes","NO ORDER"),"")</f>
        <v>Yes</v>
      </c>
    </row>
    <row r="3979" spans="1:17" ht="15" customHeight="1" x14ac:dyDescent="0.3">
      <c r="A3979" s="23" t="s">
        <v>17003</v>
      </c>
      <c r="B3979" s="23"/>
      <c r="C3979" s="23" t="s">
        <v>11994</v>
      </c>
      <c r="D3979" s="23" t="str">
        <f t="shared" si="186"/>
        <v>ORD26005791</v>
      </c>
      <c r="E3979" s="38">
        <v>46286</v>
      </c>
      <c r="F3979" s="23" t="s">
        <v>12410</v>
      </c>
      <c r="G3979" s="23" t="s">
        <v>75</v>
      </c>
      <c r="H3979" s="24">
        <v>4498</v>
      </c>
      <c r="I3979" s="24">
        <v>13.49</v>
      </c>
      <c r="J3979" s="24">
        <v>2.4300000000000002</v>
      </c>
      <c r="K3979" s="24">
        <v>4482.08</v>
      </c>
      <c r="L3979" s="38">
        <v>46288</v>
      </c>
      <c r="M3979" s="23" t="s">
        <v>218</v>
      </c>
      <c r="N3979" s="23" t="str">
        <f>IF(COUNTIF($A$2:A3979,A3979)&gt;1,"DUP","OK")</f>
        <v>OK</v>
      </c>
      <c r="O3979" s="23" t="str">
        <f t="shared" si="187"/>
        <v>ORD26005791</v>
      </c>
      <c r="P3979" s="23" t="str">
        <f t="shared" si="188"/>
        <v>Sep</v>
      </c>
      <c r="Q3979" s="23" t="str">
        <f>IF(F3979="CAPTURE",IF(COUNTIF(orders!$A:$A,O3979)&gt;0,"Yes","NO ORDER"),"")</f>
        <v>Yes</v>
      </c>
    </row>
    <row r="3980" spans="1:17" ht="15" customHeight="1" x14ac:dyDescent="0.3">
      <c r="A3980" s="23" t="s">
        <v>17004</v>
      </c>
      <c r="B3980" s="23"/>
      <c r="C3980" s="23" t="s">
        <v>12002</v>
      </c>
      <c r="D3980" s="23" t="str">
        <f t="shared" si="186"/>
        <v>ORD26005796</v>
      </c>
      <c r="E3980" s="38">
        <v>46286</v>
      </c>
      <c r="F3980" s="23" t="s">
        <v>12410</v>
      </c>
      <c r="G3980" s="23" t="s">
        <v>81</v>
      </c>
      <c r="H3980" s="24">
        <v>1898</v>
      </c>
      <c r="I3980" s="24">
        <v>28.47</v>
      </c>
      <c r="J3980" s="24">
        <v>5.12</v>
      </c>
      <c r="K3980" s="24">
        <v>1864.41</v>
      </c>
      <c r="L3980" s="38">
        <v>46288</v>
      </c>
      <c r="M3980" s="23" t="s">
        <v>218</v>
      </c>
      <c r="N3980" s="23" t="str">
        <f>IF(COUNTIF($A$2:A3980,A3980)&gt;1,"DUP","OK")</f>
        <v>OK</v>
      </c>
      <c r="O3980" s="23" t="str">
        <f t="shared" si="187"/>
        <v>ORD26005796</v>
      </c>
      <c r="P3980" s="23" t="str">
        <f t="shared" si="188"/>
        <v>Sep</v>
      </c>
      <c r="Q3980" s="23" t="str">
        <f>IF(F3980="CAPTURE",IF(COUNTIF(orders!$A:$A,O3980)&gt;0,"Yes","NO ORDER"),"")</f>
        <v>Yes</v>
      </c>
    </row>
    <row r="3981" spans="1:17" ht="15" customHeight="1" x14ac:dyDescent="0.3">
      <c r="A3981" s="23" t="s">
        <v>17005</v>
      </c>
      <c r="B3981" s="23"/>
      <c r="C3981" s="23" t="s">
        <v>12062</v>
      </c>
      <c r="D3981" s="23" t="str">
        <f t="shared" si="186"/>
        <v>ORD26005825</v>
      </c>
      <c r="E3981" s="38">
        <v>46286</v>
      </c>
      <c r="F3981" s="23" t="s">
        <v>12410</v>
      </c>
      <c r="G3981" s="23" t="s">
        <v>77</v>
      </c>
      <c r="H3981" s="24">
        <v>6498</v>
      </c>
      <c r="I3981" s="24">
        <v>110.47</v>
      </c>
      <c r="J3981" s="24">
        <v>19.88</v>
      </c>
      <c r="K3981" s="24">
        <v>6367.65</v>
      </c>
      <c r="L3981" s="38">
        <v>46288</v>
      </c>
      <c r="M3981" s="23" t="s">
        <v>218</v>
      </c>
      <c r="N3981" s="23" t="str">
        <f>IF(COUNTIF($A$2:A3981,A3981)&gt;1,"DUP","OK")</f>
        <v>OK</v>
      </c>
      <c r="O3981" s="23" t="str">
        <f t="shared" si="187"/>
        <v>ORD26005825</v>
      </c>
      <c r="P3981" s="23" t="str">
        <f t="shared" si="188"/>
        <v>Sep</v>
      </c>
      <c r="Q3981" s="23" t="str">
        <f>IF(F3981="CAPTURE",IF(COUNTIF(orders!$A:$A,O3981)&gt;0,"Yes","NO ORDER"),"")</f>
        <v>Yes</v>
      </c>
    </row>
    <row r="3982" spans="1:17" ht="15" customHeight="1" x14ac:dyDescent="0.3">
      <c r="A3982" s="23" t="s">
        <v>17006</v>
      </c>
      <c r="B3982" s="23"/>
      <c r="C3982" s="23" t="s">
        <v>17007</v>
      </c>
      <c r="D3982" s="23" t="str">
        <f t="shared" si="186"/>
        <v>ORD26005874</v>
      </c>
      <c r="E3982" s="38">
        <v>46286</v>
      </c>
      <c r="F3982" s="23" t="s">
        <v>12410</v>
      </c>
      <c r="G3982" s="23" t="s">
        <v>75</v>
      </c>
      <c r="H3982" s="24">
        <v>2499</v>
      </c>
      <c r="I3982" s="24">
        <v>7.5</v>
      </c>
      <c r="J3982" s="24">
        <v>1.35</v>
      </c>
      <c r="K3982" s="24">
        <v>2490.15</v>
      </c>
      <c r="L3982" s="38">
        <v>46288</v>
      </c>
      <c r="M3982" s="23" t="s">
        <v>218</v>
      </c>
      <c r="N3982" s="23" t="str">
        <f>IF(COUNTIF($A$2:A3982,A3982)&gt;1,"DUP","OK")</f>
        <v>OK</v>
      </c>
      <c r="O3982" s="23" t="str">
        <f t="shared" si="187"/>
        <v>ORD26005874</v>
      </c>
      <c r="P3982" s="23" t="str">
        <f t="shared" si="188"/>
        <v>Sep</v>
      </c>
      <c r="Q3982" s="23" t="str">
        <f>IF(F3982="CAPTURE",IF(COUNTIF(orders!$A:$A,O3982)&gt;0,"Yes","NO ORDER"),"")</f>
        <v>Yes</v>
      </c>
    </row>
    <row r="3983" spans="1:17" ht="15" customHeight="1" x14ac:dyDescent="0.3">
      <c r="A3983" s="23" t="s">
        <v>17008</v>
      </c>
      <c r="B3983" s="23"/>
      <c r="C3983" s="23" t="s">
        <v>12165</v>
      </c>
      <c r="D3983" s="23" t="str">
        <f t="shared" si="186"/>
        <v>ORD26005881</v>
      </c>
      <c r="E3983" s="38">
        <v>46286</v>
      </c>
      <c r="F3983" s="23" t="s">
        <v>12410</v>
      </c>
      <c r="G3983" s="23" t="s">
        <v>75</v>
      </c>
      <c r="H3983" s="24">
        <v>299</v>
      </c>
      <c r="I3983" s="24">
        <v>0</v>
      </c>
      <c r="J3983" s="24">
        <v>0</v>
      </c>
      <c r="K3983" s="24">
        <v>299</v>
      </c>
      <c r="L3983" s="38">
        <v>46288</v>
      </c>
      <c r="M3983" s="23" t="s">
        <v>218</v>
      </c>
      <c r="N3983" s="23" t="str">
        <f>IF(COUNTIF($A$2:A3983,A3983)&gt;1,"DUP","OK")</f>
        <v>OK</v>
      </c>
      <c r="O3983" s="23" t="str">
        <f t="shared" si="187"/>
        <v>ORD26005881</v>
      </c>
      <c r="P3983" s="23" t="str">
        <f t="shared" si="188"/>
        <v>Sep</v>
      </c>
      <c r="Q3983" s="23" t="str">
        <f>IF(F3983="CAPTURE",IF(COUNTIF(orders!$A:$A,O3983)&gt;0,"Yes","NO ORDER"),"")</f>
        <v>Yes</v>
      </c>
    </row>
    <row r="3984" spans="1:17" ht="15" customHeight="1" x14ac:dyDescent="0.3">
      <c r="A3984" s="23" t="s">
        <v>17009</v>
      </c>
      <c r="B3984" s="23"/>
      <c r="C3984" s="23" t="s">
        <v>12224</v>
      </c>
      <c r="D3984" s="23" t="str">
        <f t="shared" si="186"/>
        <v>ORD26005912</v>
      </c>
      <c r="E3984" s="38">
        <v>46286</v>
      </c>
      <c r="F3984" s="23" t="s">
        <v>12410</v>
      </c>
      <c r="G3984" s="23" t="s">
        <v>75</v>
      </c>
      <c r="H3984" s="24">
        <v>599</v>
      </c>
      <c r="I3984" s="24">
        <v>0</v>
      </c>
      <c r="J3984" s="24">
        <v>0</v>
      </c>
      <c r="K3984" s="24">
        <v>599</v>
      </c>
      <c r="L3984" s="38">
        <v>46288</v>
      </c>
      <c r="M3984" s="23" t="s">
        <v>218</v>
      </c>
      <c r="N3984" s="23" t="str">
        <f>IF(COUNTIF($A$2:A3984,A3984)&gt;1,"DUP","OK")</f>
        <v>OK</v>
      </c>
      <c r="O3984" s="23" t="str">
        <f t="shared" si="187"/>
        <v>ORD26005912</v>
      </c>
      <c r="P3984" s="23" t="str">
        <f t="shared" si="188"/>
        <v>Sep</v>
      </c>
      <c r="Q3984" s="23" t="str">
        <f>IF(F3984="CAPTURE",IF(COUNTIF(orders!$A:$A,O3984)&gt;0,"Yes","NO ORDER"),"")</f>
        <v>Yes</v>
      </c>
    </row>
    <row r="3985" spans="1:17" ht="15" customHeight="1" x14ac:dyDescent="0.3">
      <c r="A3985" s="23" t="s">
        <v>17010</v>
      </c>
      <c r="B3985" s="23"/>
      <c r="C3985" s="23" t="s">
        <v>12232</v>
      </c>
      <c r="D3985" s="23" t="str">
        <f t="shared" si="186"/>
        <v>ORD26005916</v>
      </c>
      <c r="E3985" s="38">
        <v>46286</v>
      </c>
      <c r="F3985" s="23" t="s">
        <v>12410</v>
      </c>
      <c r="G3985" s="23" t="s">
        <v>75</v>
      </c>
      <c r="H3985" s="24">
        <v>3499</v>
      </c>
      <c r="I3985" s="24">
        <v>10.5</v>
      </c>
      <c r="J3985" s="24">
        <v>1.89</v>
      </c>
      <c r="K3985" s="24">
        <v>3486.61</v>
      </c>
      <c r="L3985" s="38">
        <v>46288</v>
      </c>
      <c r="M3985" s="23" t="s">
        <v>218</v>
      </c>
      <c r="N3985" s="23" t="str">
        <f>IF(COUNTIF($A$2:A3985,A3985)&gt;1,"DUP","OK")</f>
        <v>OK</v>
      </c>
      <c r="O3985" s="23" t="str">
        <f t="shared" si="187"/>
        <v>ORD26005916</v>
      </c>
      <c r="P3985" s="23" t="str">
        <f t="shared" si="188"/>
        <v>Sep</v>
      </c>
      <c r="Q3985" s="23" t="str">
        <f>IF(F3985="CAPTURE",IF(COUNTIF(orders!$A:$A,O3985)&gt;0,"Yes","NO ORDER"),"")</f>
        <v>Yes</v>
      </c>
    </row>
    <row r="3986" spans="1:17" ht="15" customHeight="1" x14ac:dyDescent="0.3">
      <c r="A3986" s="23" t="s">
        <v>17011</v>
      </c>
      <c r="B3986" s="23"/>
      <c r="C3986" s="23" t="s">
        <v>17012</v>
      </c>
      <c r="D3986" s="23" t="str">
        <f t="shared" si="186"/>
        <v>ORD26005928</v>
      </c>
      <c r="E3986" s="38">
        <v>46286</v>
      </c>
      <c r="F3986" s="23" t="s">
        <v>12410</v>
      </c>
      <c r="G3986" s="23" t="s">
        <v>79</v>
      </c>
      <c r="H3986" s="24">
        <v>1499</v>
      </c>
      <c r="I3986" s="24">
        <v>26.98</v>
      </c>
      <c r="J3986" s="24">
        <v>4.8600000000000003</v>
      </c>
      <c r="K3986" s="24">
        <v>1467.16</v>
      </c>
      <c r="L3986" s="38">
        <v>46288</v>
      </c>
      <c r="M3986" s="23" t="s">
        <v>218</v>
      </c>
      <c r="N3986" s="23" t="str">
        <f>IF(COUNTIF($A$2:A3986,A3986)&gt;1,"DUP","OK")</f>
        <v>OK</v>
      </c>
      <c r="O3986" s="23" t="str">
        <f t="shared" si="187"/>
        <v>ORD26005928</v>
      </c>
      <c r="P3986" s="23" t="str">
        <f t="shared" si="188"/>
        <v>Sep</v>
      </c>
      <c r="Q3986" s="23" t="str">
        <f>IF(F3986="CAPTURE",IF(COUNTIF(orders!$A:$A,O3986)&gt;0,"Yes","NO ORDER"),"")</f>
        <v>Yes</v>
      </c>
    </row>
    <row r="3987" spans="1:17" ht="15" customHeight="1" x14ac:dyDescent="0.3">
      <c r="A3987" s="23" t="s">
        <v>17013</v>
      </c>
      <c r="B3987" s="23"/>
      <c r="C3987" s="23" t="s">
        <v>12351</v>
      </c>
      <c r="D3987" s="23" t="str">
        <f t="shared" si="186"/>
        <v>ORD26005980</v>
      </c>
      <c r="E3987" s="38">
        <v>46286</v>
      </c>
      <c r="F3987" s="23" t="s">
        <v>12410</v>
      </c>
      <c r="G3987" s="23" t="s">
        <v>79</v>
      </c>
      <c r="H3987" s="24">
        <v>3097</v>
      </c>
      <c r="I3987" s="24">
        <v>49.55</v>
      </c>
      <c r="J3987" s="24">
        <v>8.92</v>
      </c>
      <c r="K3987" s="24">
        <v>3038.53</v>
      </c>
      <c r="L3987" s="38">
        <v>46288</v>
      </c>
      <c r="M3987" s="23" t="s">
        <v>218</v>
      </c>
      <c r="N3987" s="23" t="str">
        <f>IF(COUNTIF($A$2:A3987,A3987)&gt;1,"DUP","OK")</f>
        <v>OK</v>
      </c>
      <c r="O3987" s="23" t="str">
        <f t="shared" si="187"/>
        <v>ORD26005980</v>
      </c>
      <c r="P3987" s="23" t="str">
        <f t="shared" si="188"/>
        <v>Sep</v>
      </c>
      <c r="Q3987" s="23" t="str">
        <f>IF(F3987="CAPTURE",IF(COUNTIF(orders!$A:$A,O3987)&gt;0,"Yes","NO ORDER"),"")</f>
        <v>Yes</v>
      </c>
    </row>
    <row r="3988" spans="1:17" ht="15" customHeight="1" x14ac:dyDescent="0.3">
      <c r="A3988" s="23" t="s">
        <v>17014</v>
      </c>
      <c r="B3988" s="23" t="s">
        <v>16142</v>
      </c>
      <c r="C3988" s="23"/>
      <c r="D3988" s="23" t="str">
        <f t="shared" si="186"/>
        <v/>
      </c>
      <c r="E3988" s="38">
        <v>46286</v>
      </c>
      <c r="F3988" s="23" t="s">
        <v>12791</v>
      </c>
      <c r="G3988" s="23" t="s">
        <v>75</v>
      </c>
      <c r="H3988" s="24">
        <v>12998</v>
      </c>
      <c r="I3988" s="24">
        <v>0</v>
      </c>
      <c r="J3988" s="24">
        <v>0</v>
      </c>
      <c r="K3988" s="24">
        <v>-12998</v>
      </c>
      <c r="L3988" s="38">
        <v>46288</v>
      </c>
      <c r="M3988" s="23" t="s">
        <v>218</v>
      </c>
      <c r="N3988" s="23" t="str">
        <f>IF(COUNTIF($A$2:A3988,A3988)&gt;1,"DUP","OK")</f>
        <v>OK</v>
      </c>
      <c r="O3988" s="23" t="str">
        <f t="shared" si="187"/>
        <v>ORD26005772</v>
      </c>
      <c r="P3988" s="23" t="str">
        <f t="shared" si="188"/>
        <v>Sep</v>
      </c>
      <c r="Q3988" s="23" t="str">
        <f>IF(F3988="CAPTURE",IF(COUNTIF(orders!$A:$A,O3988)&gt;0,"Yes","NO ORDER"),"")</f>
        <v/>
      </c>
    </row>
    <row r="3989" spans="1:17" ht="15" customHeight="1" x14ac:dyDescent="0.3">
      <c r="A3989" s="23" t="s">
        <v>17015</v>
      </c>
      <c r="B3989" s="23" t="s">
        <v>16144</v>
      </c>
      <c r="C3989" s="23"/>
      <c r="D3989" s="23" t="str">
        <f t="shared" si="186"/>
        <v/>
      </c>
      <c r="E3989" s="38">
        <v>46286</v>
      </c>
      <c r="F3989" s="23" t="s">
        <v>12791</v>
      </c>
      <c r="G3989" s="23" t="s">
        <v>79</v>
      </c>
      <c r="H3989" s="24">
        <v>1298</v>
      </c>
      <c r="I3989" s="24">
        <v>0</v>
      </c>
      <c r="J3989" s="24">
        <v>0</v>
      </c>
      <c r="K3989" s="24">
        <v>-1298</v>
      </c>
      <c r="L3989" s="38">
        <v>46288</v>
      </c>
      <c r="M3989" s="23" t="s">
        <v>218</v>
      </c>
      <c r="N3989" s="23" t="str">
        <f>IF(COUNTIF($A$2:A3989,A3989)&gt;1,"DUP","OK")</f>
        <v>OK</v>
      </c>
      <c r="O3989" s="23" t="str">
        <f t="shared" si="187"/>
        <v>ORD26005922</v>
      </c>
      <c r="P3989" s="23" t="str">
        <f t="shared" si="188"/>
        <v>Sep</v>
      </c>
      <c r="Q3989" s="23" t="str">
        <f>IF(F3989="CAPTURE",IF(COUNTIF(orders!$A:$A,O3989)&gt;0,"Yes","NO ORDER"),"")</f>
        <v/>
      </c>
    </row>
    <row r="3990" spans="1:17" ht="15" customHeight="1" x14ac:dyDescent="0.3">
      <c r="A3990" s="23" t="s">
        <v>17016</v>
      </c>
      <c r="B3990" s="23" t="s">
        <v>15809</v>
      </c>
      <c r="C3990" s="23"/>
      <c r="D3990" s="23" t="str">
        <f t="shared" si="186"/>
        <v/>
      </c>
      <c r="E3990" s="38">
        <v>46286</v>
      </c>
      <c r="F3990" s="23" t="s">
        <v>12791</v>
      </c>
      <c r="G3990" s="23" t="s">
        <v>75</v>
      </c>
      <c r="H3990" s="24">
        <v>2598</v>
      </c>
      <c r="I3990" s="24">
        <v>0</v>
      </c>
      <c r="J3990" s="24">
        <v>0</v>
      </c>
      <c r="K3990" s="24">
        <v>-2598</v>
      </c>
      <c r="L3990" s="38">
        <v>46288</v>
      </c>
      <c r="M3990" s="23" t="s">
        <v>218</v>
      </c>
      <c r="N3990" s="23" t="str">
        <f>IF(COUNTIF($A$2:A3990,A3990)&gt;1,"DUP","OK")</f>
        <v>OK</v>
      </c>
      <c r="O3990" s="23" t="str">
        <f t="shared" si="187"/>
        <v>ORD26001391</v>
      </c>
      <c r="P3990" s="23" t="str">
        <f t="shared" si="188"/>
        <v>Sep</v>
      </c>
      <c r="Q3990" s="23" t="str">
        <f>IF(F3990="CAPTURE",IF(COUNTIF(orders!$A:$A,O3990)&gt;0,"Yes","NO ORDER"),"")</f>
        <v/>
      </c>
    </row>
    <row r="3991" spans="1:17" ht="15" customHeight="1" x14ac:dyDescent="0.3">
      <c r="A3991" s="23" t="s">
        <v>17017</v>
      </c>
      <c r="B3991" s="23" t="s">
        <v>15794</v>
      </c>
      <c r="C3991" s="23"/>
      <c r="D3991" s="23" t="str">
        <f t="shared" si="186"/>
        <v/>
      </c>
      <c r="E3991" s="38">
        <v>46286</v>
      </c>
      <c r="F3991" s="23" t="s">
        <v>12791</v>
      </c>
      <c r="G3991" s="23" t="s">
        <v>79</v>
      </c>
      <c r="H3991" s="24">
        <v>2999</v>
      </c>
      <c r="I3991" s="24">
        <v>0</v>
      </c>
      <c r="J3991" s="24">
        <v>0</v>
      </c>
      <c r="K3991" s="24">
        <v>-2999</v>
      </c>
      <c r="L3991" s="38">
        <v>46288</v>
      </c>
      <c r="M3991" s="23" t="s">
        <v>218</v>
      </c>
      <c r="N3991" s="23" t="str">
        <f>IF(COUNTIF($A$2:A3991,A3991)&gt;1,"DUP","OK")</f>
        <v>OK</v>
      </c>
      <c r="O3991" s="23" t="str">
        <f t="shared" si="187"/>
        <v>ORD26001108</v>
      </c>
      <c r="P3991" s="23" t="str">
        <f t="shared" si="188"/>
        <v>Sep</v>
      </c>
      <c r="Q3991" s="23" t="str">
        <f>IF(F3991="CAPTURE",IF(COUNTIF(orders!$A:$A,O3991)&gt;0,"Yes","NO ORDER"),"")</f>
        <v/>
      </c>
    </row>
    <row r="3992" spans="1:17" ht="15" customHeight="1" x14ac:dyDescent="0.3">
      <c r="A3992" s="23" t="s">
        <v>17018</v>
      </c>
      <c r="B3992" s="23" t="s">
        <v>15877</v>
      </c>
      <c r="C3992" s="23"/>
      <c r="D3992" s="23" t="str">
        <f t="shared" si="186"/>
        <v/>
      </c>
      <c r="E3992" s="38">
        <v>46286</v>
      </c>
      <c r="F3992" s="23" t="s">
        <v>12791</v>
      </c>
      <c r="G3992" s="23" t="s">
        <v>75</v>
      </c>
      <c r="H3992" s="24">
        <v>5597</v>
      </c>
      <c r="I3992" s="24">
        <v>0</v>
      </c>
      <c r="J3992" s="24">
        <v>0</v>
      </c>
      <c r="K3992" s="24">
        <v>-5597</v>
      </c>
      <c r="L3992" s="38">
        <v>46288</v>
      </c>
      <c r="M3992" s="23" t="s">
        <v>218</v>
      </c>
      <c r="N3992" s="23" t="str">
        <f>IF(COUNTIF($A$2:A3992,A3992)&gt;1,"DUP","OK")</f>
        <v>OK</v>
      </c>
      <c r="O3992" s="23" t="str">
        <f t="shared" si="187"/>
        <v>ORD26003573</v>
      </c>
      <c r="P3992" s="23" t="str">
        <f t="shared" si="188"/>
        <v>Sep</v>
      </c>
      <c r="Q3992" s="23" t="str">
        <f>IF(F3992="CAPTURE",IF(COUNTIF(orders!$A:$A,O3992)&gt;0,"Yes","NO ORDER"),"")</f>
        <v/>
      </c>
    </row>
    <row r="3993" spans="1:17" ht="15" customHeight="1" x14ac:dyDescent="0.3">
      <c r="A3993" s="23" t="s">
        <v>17019</v>
      </c>
      <c r="B3993" s="23" t="s">
        <v>16330</v>
      </c>
      <c r="C3993" s="23"/>
      <c r="D3993" s="23" t="str">
        <f t="shared" si="186"/>
        <v/>
      </c>
      <c r="E3993" s="38">
        <v>46286</v>
      </c>
      <c r="F3993" s="23" t="s">
        <v>12791</v>
      </c>
      <c r="G3993" s="23" t="s">
        <v>79</v>
      </c>
      <c r="H3993" s="24">
        <v>3147</v>
      </c>
      <c r="I3993" s="24">
        <v>0</v>
      </c>
      <c r="J3993" s="24">
        <v>0</v>
      </c>
      <c r="K3993" s="24">
        <v>-3147</v>
      </c>
      <c r="L3993" s="38">
        <v>46288</v>
      </c>
      <c r="M3993" s="23" t="s">
        <v>218</v>
      </c>
      <c r="N3993" s="23" t="str">
        <f>IF(COUNTIF($A$2:A3993,A3993)&gt;1,"DUP","OK")</f>
        <v>OK</v>
      </c>
      <c r="O3993" s="23" t="str">
        <f t="shared" si="187"/>
        <v>ORD26005281</v>
      </c>
      <c r="P3993" s="23" t="str">
        <f t="shared" si="188"/>
        <v>Sep</v>
      </c>
      <c r="Q3993" s="23" t="str">
        <f>IF(F3993="CAPTURE",IF(COUNTIF(orders!$A:$A,O3993)&gt;0,"Yes","NO ORDER"),"")</f>
        <v/>
      </c>
    </row>
    <row r="3994" spans="1:17" ht="15" customHeight="1" x14ac:dyDescent="0.3">
      <c r="A3994" s="23" t="s">
        <v>17020</v>
      </c>
      <c r="B3994" s="23" t="s">
        <v>16747</v>
      </c>
      <c r="C3994" s="23"/>
      <c r="D3994" s="23" t="str">
        <f t="shared" si="186"/>
        <v/>
      </c>
      <c r="E3994" s="38">
        <v>46286</v>
      </c>
      <c r="F3994" s="23" t="s">
        <v>12791</v>
      </c>
      <c r="G3994" s="23" t="s">
        <v>75</v>
      </c>
      <c r="H3994" s="24">
        <v>3897</v>
      </c>
      <c r="I3994" s="24">
        <v>0</v>
      </c>
      <c r="J3994" s="24">
        <v>0</v>
      </c>
      <c r="K3994" s="24">
        <v>-3897</v>
      </c>
      <c r="L3994" s="38">
        <v>46288</v>
      </c>
      <c r="M3994" s="23" t="s">
        <v>218</v>
      </c>
      <c r="N3994" s="23" t="str">
        <f>IF(COUNTIF($A$2:A3994,A3994)&gt;1,"DUP","OK")</f>
        <v>OK</v>
      </c>
      <c r="O3994" s="23" t="str">
        <f t="shared" si="187"/>
        <v>ORD26004893</v>
      </c>
      <c r="P3994" s="23" t="str">
        <f t="shared" si="188"/>
        <v>Sep</v>
      </c>
      <c r="Q3994" s="23" t="str">
        <f>IF(F3994="CAPTURE",IF(COUNTIF(orders!$A:$A,O3994)&gt;0,"Yes","NO ORDER"),"")</f>
        <v/>
      </c>
    </row>
    <row r="3995" spans="1:17" ht="15" customHeight="1" x14ac:dyDescent="0.3">
      <c r="A3995" s="23" t="s">
        <v>17021</v>
      </c>
      <c r="B3995" s="23" t="s">
        <v>16080</v>
      </c>
      <c r="C3995" s="23"/>
      <c r="D3995" s="23" t="str">
        <f t="shared" si="186"/>
        <v/>
      </c>
      <c r="E3995" s="38">
        <v>46286</v>
      </c>
      <c r="F3995" s="23" t="s">
        <v>12791</v>
      </c>
      <c r="G3995" s="23" t="s">
        <v>75</v>
      </c>
      <c r="H3995" s="24">
        <v>2499</v>
      </c>
      <c r="I3995" s="24">
        <v>0</v>
      </c>
      <c r="J3995" s="24">
        <v>0</v>
      </c>
      <c r="K3995" s="24">
        <v>-2499</v>
      </c>
      <c r="L3995" s="38">
        <v>46288</v>
      </c>
      <c r="M3995" s="23" t="s">
        <v>218</v>
      </c>
      <c r="N3995" s="23" t="str">
        <f>IF(COUNTIF($A$2:A3995,A3995)&gt;1,"DUP","OK")</f>
        <v>OK</v>
      </c>
      <c r="O3995" s="23" t="str">
        <f t="shared" si="187"/>
        <v>ORD26003650</v>
      </c>
      <c r="P3995" s="23" t="str">
        <f t="shared" si="188"/>
        <v>Sep</v>
      </c>
      <c r="Q3995" s="23" t="str">
        <f>IF(F3995="CAPTURE",IF(COUNTIF(orders!$A:$A,O3995)&gt;0,"Yes","NO ORDER"),"")</f>
        <v/>
      </c>
    </row>
    <row r="3996" spans="1:17" ht="15" customHeight="1" x14ac:dyDescent="0.3">
      <c r="A3996" s="23" t="s">
        <v>17022</v>
      </c>
      <c r="B3996" s="23" t="s">
        <v>16430</v>
      </c>
      <c r="C3996" s="23"/>
      <c r="D3996" s="23" t="str">
        <f t="shared" si="186"/>
        <v/>
      </c>
      <c r="E3996" s="38">
        <v>46286</v>
      </c>
      <c r="F3996" s="23" t="s">
        <v>12791</v>
      </c>
      <c r="G3996" s="23" t="s">
        <v>75</v>
      </c>
      <c r="H3996" s="24">
        <v>999</v>
      </c>
      <c r="I3996" s="24">
        <v>0</v>
      </c>
      <c r="J3996" s="24">
        <v>0</v>
      </c>
      <c r="K3996" s="24">
        <v>-999</v>
      </c>
      <c r="L3996" s="38">
        <v>46288</v>
      </c>
      <c r="M3996" s="23" t="s">
        <v>218</v>
      </c>
      <c r="N3996" s="23" t="str">
        <f>IF(COUNTIF($A$2:A3996,A3996)&gt;1,"DUP","OK")</f>
        <v>OK</v>
      </c>
      <c r="O3996" s="23" t="str">
        <f t="shared" si="187"/>
        <v>ORD26002121</v>
      </c>
      <c r="P3996" s="23" t="str">
        <f t="shared" si="188"/>
        <v>Sep</v>
      </c>
      <c r="Q3996" s="23" t="str">
        <f>IF(F3996="CAPTURE",IF(COUNTIF(orders!$A:$A,O3996)&gt;0,"Yes","NO ORDER"),"")</f>
        <v/>
      </c>
    </row>
    <row r="3997" spans="1:17" ht="15" customHeight="1" x14ac:dyDescent="0.3">
      <c r="A3997" s="23" t="s">
        <v>17023</v>
      </c>
      <c r="B3997" s="23" t="s">
        <v>16724</v>
      </c>
      <c r="C3997" s="23"/>
      <c r="D3997" s="23" t="str">
        <f t="shared" si="186"/>
        <v/>
      </c>
      <c r="E3997" s="38">
        <v>46286</v>
      </c>
      <c r="F3997" s="23" t="s">
        <v>12791</v>
      </c>
      <c r="G3997" s="23" t="s">
        <v>77</v>
      </c>
      <c r="H3997" s="24">
        <v>3348</v>
      </c>
      <c r="I3997" s="24">
        <v>0</v>
      </c>
      <c r="J3997" s="24">
        <v>0</v>
      </c>
      <c r="K3997" s="24">
        <v>-3348</v>
      </c>
      <c r="L3997" s="38">
        <v>46288</v>
      </c>
      <c r="M3997" s="23" t="s">
        <v>218</v>
      </c>
      <c r="N3997" s="23" t="str">
        <f>IF(COUNTIF($A$2:A3997,A3997)&gt;1,"DUP","OK")</f>
        <v>OK</v>
      </c>
      <c r="O3997" s="23" t="str">
        <f t="shared" si="187"/>
        <v>ORD26004309</v>
      </c>
      <c r="P3997" s="23" t="str">
        <f t="shared" si="188"/>
        <v>Sep</v>
      </c>
      <c r="Q3997" s="23" t="str">
        <f>IF(F3997="CAPTURE",IF(COUNTIF(orders!$A:$A,O3997)&gt;0,"Yes","NO ORDER"),"")</f>
        <v/>
      </c>
    </row>
    <row r="3998" spans="1:17" ht="15" customHeight="1" x14ac:dyDescent="0.3">
      <c r="A3998" s="23" t="s">
        <v>17024</v>
      </c>
      <c r="B3998" s="23" t="s">
        <v>16095</v>
      </c>
      <c r="C3998" s="23"/>
      <c r="D3998" s="23" t="str">
        <f t="shared" si="186"/>
        <v/>
      </c>
      <c r="E3998" s="38">
        <v>46286</v>
      </c>
      <c r="F3998" s="23" t="s">
        <v>12791</v>
      </c>
      <c r="G3998" s="23" t="s">
        <v>79</v>
      </c>
      <c r="H3998" s="24">
        <v>499</v>
      </c>
      <c r="I3998" s="24">
        <v>0</v>
      </c>
      <c r="J3998" s="24">
        <v>0</v>
      </c>
      <c r="K3998" s="24">
        <v>-499</v>
      </c>
      <c r="L3998" s="38">
        <v>46288</v>
      </c>
      <c r="M3998" s="23" t="s">
        <v>218</v>
      </c>
      <c r="N3998" s="23" t="str">
        <f>IF(COUNTIF($A$2:A3998,A3998)&gt;1,"DUP","OK")</f>
        <v>OK</v>
      </c>
      <c r="O3998" s="23" t="str">
        <f t="shared" si="187"/>
        <v>ORD26004176</v>
      </c>
      <c r="P3998" s="23" t="str">
        <f t="shared" si="188"/>
        <v>Sep</v>
      </c>
      <c r="Q3998" s="23" t="str">
        <f>IF(F3998="CAPTURE",IF(COUNTIF(orders!$A:$A,O3998)&gt;0,"Yes","NO ORDER"),"")</f>
        <v/>
      </c>
    </row>
    <row r="3999" spans="1:17" ht="15" customHeight="1" x14ac:dyDescent="0.3">
      <c r="A3999" s="23" t="s">
        <v>17025</v>
      </c>
      <c r="B3999" s="23"/>
      <c r="C3999" s="23" t="s">
        <v>442</v>
      </c>
      <c r="D3999" s="23" t="str">
        <f t="shared" si="186"/>
        <v>ORD26000073</v>
      </c>
      <c r="E3999" s="38">
        <v>46287</v>
      </c>
      <c r="F3999" s="23" t="s">
        <v>12410</v>
      </c>
      <c r="G3999" s="23" t="s">
        <v>79</v>
      </c>
      <c r="H3999" s="24">
        <v>3847</v>
      </c>
      <c r="I3999" s="24">
        <v>61.55</v>
      </c>
      <c r="J3999" s="24">
        <v>11.08</v>
      </c>
      <c r="K3999" s="24">
        <v>3774.37</v>
      </c>
      <c r="L3999" s="38">
        <v>46289</v>
      </c>
      <c r="M3999" s="23" t="s">
        <v>220</v>
      </c>
      <c r="N3999" s="23" t="str">
        <f>IF(COUNTIF($A$2:A3999,A3999)&gt;1,"DUP","OK")</f>
        <v>OK</v>
      </c>
      <c r="O3999" s="23" t="str">
        <f t="shared" si="187"/>
        <v>ORD26000073</v>
      </c>
      <c r="P3999" s="23" t="str">
        <f t="shared" si="188"/>
        <v>Sep</v>
      </c>
      <c r="Q3999" s="23" t="str">
        <f>IF(F3999="CAPTURE",IF(COUNTIF(orders!$A:$A,O3999)&gt;0,"Yes","NO ORDER"),"")</f>
        <v>Yes</v>
      </c>
    </row>
    <row r="4000" spans="1:17" ht="15" customHeight="1" x14ac:dyDescent="0.3">
      <c r="A4000" s="23" t="s">
        <v>17026</v>
      </c>
      <c r="B4000" s="23"/>
      <c r="C4000" s="23" t="s">
        <v>610</v>
      </c>
      <c r="D4000" s="23" t="str">
        <f t="shared" si="186"/>
        <v>ORD26000144</v>
      </c>
      <c r="E4000" s="38">
        <v>46287</v>
      </c>
      <c r="F4000" s="23" t="s">
        <v>12410</v>
      </c>
      <c r="G4000" s="23" t="s">
        <v>75</v>
      </c>
      <c r="H4000" s="24">
        <v>8498</v>
      </c>
      <c r="I4000" s="24">
        <v>25.49</v>
      </c>
      <c r="J4000" s="24">
        <v>4.59</v>
      </c>
      <c r="K4000" s="24">
        <v>8467.92</v>
      </c>
      <c r="L4000" s="38">
        <v>46289</v>
      </c>
      <c r="M4000" s="23" t="s">
        <v>220</v>
      </c>
      <c r="N4000" s="23" t="str">
        <f>IF(COUNTIF($A$2:A4000,A4000)&gt;1,"DUP","OK")</f>
        <v>OK</v>
      </c>
      <c r="O4000" s="23" t="str">
        <f t="shared" si="187"/>
        <v>ORD26000144</v>
      </c>
      <c r="P4000" s="23" t="str">
        <f t="shared" si="188"/>
        <v>Sep</v>
      </c>
      <c r="Q4000" s="23" t="str">
        <f>IF(F4000="CAPTURE",IF(COUNTIF(orders!$A:$A,O4000)&gt;0,"Yes","NO ORDER"),"")</f>
        <v>Yes</v>
      </c>
    </row>
    <row r="4001" spans="1:17" ht="15" customHeight="1" x14ac:dyDescent="0.3">
      <c r="A4001" s="23" t="s">
        <v>17027</v>
      </c>
      <c r="B4001" s="23"/>
      <c r="C4001" s="23" t="s">
        <v>656</v>
      </c>
      <c r="D4001" s="23" t="str">
        <f t="shared" si="186"/>
        <v>ORD26000163</v>
      </c>
      <c r="E4001" s="38">
        <v>46287</v>
      </c>
      <c r="F4001" s="23" t="s">
        <v>12410</v>
      </c>
      <c r="G4001" s="23" t="s">
        <v>79</v>
      </c>
      <c r="H4001" s="24">
        <v>2499</v>
      </c>
      <c r="I4001" s="24">
        <v>39.979999999999997</v>
      </c>
      <c r="J4001" s="24">
        <v>7.2</v>
      </c>
      <c r="K4001" s="24">
        <v>2451.8200000000002</v>
      </c>
      <c r="L4001" s="38">
        <v>46289</v>
      </c>
      <c r="M4001" s="23" t="s">
        <v>220</v>
      </c>
      <c r="N4001" s="23" t="str">
        <f>IF(COUNTIF($A$2:A4001,A4001)&gt;1,"DUP","OK")</f>
        <v>OK</v>
      </c>
      <c r="O4001" s="23" t="str">
        <f t="shared" si="187"/>
        <v>ORD26000163</v>
      </c>
      <c r="P4001" s="23" t="str">
        <f t="shared" si="188"/>
        <v>Sep</v>
      </c>
      <c r="Q4001" s="23" t="str">
        <f>IF(F4001="CAPTURE",IF(COUNTIF(orders!$A:$A,O4001)&gt;0,"Yes","NO ORDER"),"")</f>
        <v>Yes</v>
      </c>
    </row>
    <row r="4002" spans="1:17" ht="15" customHeight="1" x14ac:dyDescent="0.3">
      <c r="A4002" s="23" t="s">
        <v>17028</v>
      </c>
      <c r="B4002" s="23"/>
      <c r="C4002" s="23" t="s">
        <v>686</v>
      </c>
      <c r="D4002" s="23" t="str">
        <f t="shared" si="186"/>
        <v>ORD26000176</v>
      </c>
      <c r="E4002" s="38">
        <v>46287</v>
      </c>
      <c r="F4002" s="23" t="s">
        <v>12410</v>
      </c>
      <c r="G4002" s="23" t="s">
        <v>75</v>
      </c>
      <c r="H4002" s="24">
        <v>7999</v>
      </c>
      <c r="I4002" s="24">
        <v>24</v>
      </c>
      <c r="J4002" s="24">
        <v>4.32</v>
      </c>
      <c r="K4002" s="24">
        <v>7970.68</v>
      </c>
      <c r="L4002" s="38">
        <v>46289</v>
      </c>
      <c r="M4002" s="23" t="s">
        <v>220</v>
      </c>
      <c r="N4002" s="23" t="str">
        <f>IF(COUNTIF($A$2:A4002,A4002)&gt;1,"DUP","OK")</f>
        <v>OK</v>
      </c>
      <c r="O4002" s="23" t="str">
        <f t="shared" si="187"/>
        <v>ORD26000176</v>
      </c>
      <c r="P4002" s="23" t="str">
        <f t="shared" si="188"/>
        <v>Sep</v>
      </c>
      <c r="Q4002" s="23" t="str">
        <f>IF(F4002="CAPTURE",IF(COUNTIF(orders!$A:$A,O4002)&gt;0,"Yes","NO ORDER"),"")</f>
        <v>Yes</v>
      </c>
    </row>
    <row r="4003" spans="1:17" ht="15" customHeight="1" x14ac:dyDescent="0.3">
      <c r="A4003" s="23" t="s">
        <v>17029</v>
      </c>
      <c r="B4003" s="23"/>
      <c r="C4003" s="23" t="s">
        <v>729</v>
      </c>
      <c r="D4003" s="23" t="str">
        <f t="shared" si="186"/>
        <v>ORD26000196</v>
      </c>
      <c r="E4003" s="38">
        <v>46287</v>
      </c>
      <c r="F4003" s="23" t="s">
        <v>12410</v>
      </c>
      <c r="G4003" s="23" t="s">
        <v>79</v>
      </c>
      <c r="H4003" s="24">
        <v>1299</v>
      </c>
      <c r="I4003" s="24">
        <v>23.38</v>
      </c>
      <c r="J4003" s="24">
        <v>4.21</v>
      </c>
      <c r="K4003" s="24">
        <v>1271.4100000000001</v>
      </c>
      <c r="L4003" s="38">
        <v>46289</v>
      </c>
      <c r="M4003" s="23" t="s">
        <v>220</v>
      </c>
      <c r="N4003" s="23" t="str">
        <f>IF(COUNTIF($A$2:A4003,A4003)&gt;1,"DUP","OK")</f>
        <v>OK</v>
      </c>
      <c r="O4003" s="23" t="str">
        <f t="shared" si="187"/>
        <v>ORD26000196</v>
      </c>
      <c r="P4003" s="23" t="str">
        <f t="shared" si="188"/>
        <v>Sep</v>
      </c>
      <c r="Q4003" s="23" t="str">
        <f>IF(F4003="CAPTURE",IF(COUNTIF(orders!$A:$A,O4003)&gt;0,"Yes","NO ORDER"),"")</f>
        <v>Yes</v>
      </c>
    </row>
    <row r="4004" spans="1:17" ht="15" customHeight="1" x14ac:dyDescent="0.3">
      <c r="A4004" s="23" t="s">
        <v>17030</v>
      </c>
      <c r="B4004" s="23"/>
      <c r="C4004" s="23" t="s">
        <v>17031</v>
      </c>
      <c r="D4004" s="23" t="str">
        <f t="shared" si="186"/>
        <v>ORD26000227</v>
      </c>
      <c r="E4004" s="38">
        <v>46287</v>
      </c>
      <c r="F4004" s="23" t="s">
        <v>12410</v>
      </c>
      <c r="G4004" s="23" t="s">
        <v>75</v>
      </c>
      <c r="H4004" s="24">
        <v>5298</v>
      </c>
      <c r="I4004" s="24">
        <v>15.89</v>
      </c>
      <c r="J4004" s="24">
        <v>2.86</v>
      </c>
      <c r="K4004" s="24">
        <v>5279.25</v>
      </c>
      <c r="L4004" s="38">
        <v>46289</v>
      </c>
      <c r="M4004" s="23" t="s">
        <v>220</v>
      </c>
      <c r="N4004" s="23" t="str">
        <f>IF(COUNTIF($A$2:A4004,A4004)&gt;1,"DUP","OK")</f>
        <v>OK</v>
      </c>
      <c r="O4004" s="23" t="str">
        <f t="shared" si="187"/>
        <v>ORD26000227</v>
      </c>
      <c r="P4004" s="23" t="str">
        <f t="shared" si="188"/>
        <v>Sep</v>
      </c>
      <c r="Q4004" s="23" t="str">
        <f>IF(F4004="CAPTURE",IF(COUNTIF(orders!$A:$A,O4004)&gt;0,"Yes","NO ORDER"),"")</f>
        <v>Yes</v>
      </c>
    </row>
    <row r="4005" spans="1:17" ht="15" customHeight="1" x14ac:dyDescent="0.3">
      <c r="A4005" s="23" t="s">
        <v>17032</v>
      </c>
      <c r="B4005" s="23"/>
      <c r="C4005" s="23" t="s">
        <v>889</v>
      </c>
      <c r="D4005" s="23" t="str">
        <f t="shared" si="186"/>
        <v>ORD26000263</v>
      </c>
      <c r="E4005" s="38">
        <v>46287</v>
      </c>
      <c r="F4005" s="23" t="s">
        <v>12410</v>
      </c>
      <c r="G4005" s="23" t="s">
        <v>79</v>
      </c>
      <c r="H4005" s="24">
        <v>799</v>
      </c>
      <c r="I4005" s="24">
        <v>14.38</v>
      </c>
      <c r="J4005" s="24">
        <v>2.59</v>
      </c>
      <c r="K4005" s="24">
        <v>782.03</v>
      </c>
      <c r="L4005" s="38">
        <v>46289</v>
      </c>
      <c r="M4005" s="23" t="s">
        <v>220</v>
      </c>
      <c r="N4005" s="23" t="str">
        <f>IF(COUNTIF($A$2:A4005,A4005)&gt;1,"DUP","OK")</f>
        <v>OK</v>
      </c>
      <c r="O4005" s="23" t="str">
        <f t="shared" si="187"/>
        <v>ORD26000263</v>
      </c>
      <c r="P4005" s="23" t="str">
        <f t="shared" si="188"/>
        <v>Sep</v>
      </c>
      <c r="Q4005" s="23" t="str">
        <f>IF(F4005="CAPTURE",IF(COUNTIF(orders!$A:$A,O4005)&gt;0,"Yes","NO ORDER"),"")</f>
        <v>Yes</v>
      </c>
    </row>
    <row r="4006" spans="1:17" ht="15" customHeight="1" x14ac:dyDescent="0.3">
      <c r="A4006" s="23" t="s">
        <v>17033</v>
      </c>
      <c r="B4006" s="23"/>
      <c r="C4006" s="23" t="s">
        <v>17034</v>
      </c>
      <c r="D4006" s="23" t="str">
        <f t="shared" si="186"/>
        <v>ORD26000334</v>
      </c>
      <c r="E4006" s="38">
        <v>46287</v>
      </c>
      <c r="F4006" s="23" t="s">
        <v>12410</v>
      </c>
      <c r="G4006" s="23" t="s">
        <v>75</v>
      </c>
      <c r="H4006" s="24">
        <v>999</v>
      </c>
      <c r="I4006" s="24">
        <v>0</v>
      </c>
      <c r="J4006" s="24">
        <v>0</v>
      </c>
      <c r="K4006" s="24">
        <v>999</v>
      </c>
      <c r="L4006" s="38">
        <v>46289</v>
      </c>
      <c r="M4006" s="23" t="s">
        <v>220</v>
      </c>
      <c r="N4006" s="23" t="str">
        <f>IF(COUNTIF($A$2:A4006,A4006)&gt;1,"DUP","OK")</f>
        <v>OK</v>
      </c>
      <c r="O4006" s="23" t="str">
        <f t="shared" si="187"/>
        <v>ORD26000334</v>
      </c>
      <c r="P4006" s="23" t="str">
        <f t="shared" si="188"/>
        <v>Sep</v>
      </c>
      <c r="Q4006" s="23" t="str">
        <f>IF(F4006="CAPTURE",IF(COUNTIF(orders!$A:$A,O4006)&gt;0,"Yes","NO ORDER"),"")</f>
        <v>Yes</v>
      </c>
    </row>
    <row r="4007" spans="1:17" ht="15" customHeight="1" x14ac:dyDescent="0.3">
      <c r="A4007" s="23" t="s">
        <v>17035</v>
      </c>
      <c r="B4007" s="23"/>
      <c r="C4007" s="23" t="s">
        <v>1057</v>
      </c>
      <c r="D4007" s="23" t="str">
        <f t="shared" si="186"/>
        <v>ORD26000341</v>
      </c>
      <c r="E4007" s="38">
        <v>46287</v>
      </c>
      <c r="F4007" s="23" t="s">
        <v>12410</v>
      </c>
      <c r="G4007" s="23" t="s">
        <v>75</v>
      </c>
      <c r="H4007" s="24">
        <v>3499</v>
      </c>
      <c r="I4007" s="24">
        <v>10.5</v>
      </c>
      <c r="J4007" s="24">
        <v>1.89</v>
      </c>
      <c r="K4007" s="24">
        <v>3486.61</v>
      </c>
      <c r="L4007" s="38">
        <v>46289</v>
      </c>
      <c r="M4007" s="23" t="s">
        <v>220</v>
      </c>
      <c r="N4007" s="23" t="str">
        <f>IF(COUNTIF($A$2:A4007,A4007)&gt;1,"DUP","OK")</f>
        <v>OK</v>
      </c>
      <c r="O4007" s="23" t="str">
        <f t="shared" si="187"/>
        <v>ORD26000341</v>
      </c>
      <c r="P4007" s="23" t="str">
        <f t="shared" si="188"/>
        <v>Sep</v>
      </c>
      <c r="Q4007" s="23" t="str">
        <f>IF(F4007="CAPTURE",IF(COUNTIF(orders!$A:$A,O4007)&gt;0,"Yes","NO ORDER"),"")</f>
        <v>Yes</v>
      </c>
    </row>
    <row r="4008" spans="1:17" ht="15" customHeight="1" x14ac:dyDescent="0.3">
      <c r="A4008" s="23" t="s">
        <v>17036</v>
      </c>
      <c r="B4008" s="23"/>
      <c r="C4008" s="23" t="s">
        <v>1070</v>
      </c>
      <c r="D4008" s="23" t="str">
        <f t="shared" si="186"/>
        <v>ORD26000347</v>
      </c>
      <c r="E4008" s="38">
        <v>46287</v>
      </c>
      <c r="F4008" s="23" t="s">
        <v>12410</v>
      </c>
      <c r="G4008" s="23" t="s">
        <v>75</v>
      </c>
      <c r="H4008" s="24">
        <v>4897</v>
      </c>
      <c r="I4008" s="24">
        <v>14.69</v>
      </c>
      <c r="J4008" s="24">
        <v>2.64</v>
      </c>
      <c r="K4008" s="24">
        <v>4879.67</v>
      </c>
      <c r="L4008" s="38">
        <v>46289</v>
      </c>
      <c r="M4008" s="23" t="s">
        <v>220</v>
      </c>
      <c r="N4008" s="23" t="str">
        <f>IF(COUNTIF($A$2:A4008,A4008)&gt;1,"DUP","OK")</f>
        <v>OK</v>
      </c>
      <c r="O4008" s="23" t="str">
        <f t="shared" si="187"/>
        <v>ORD26000347</v>
      </c>
      <c r="P4008" s="23" t="str">
        <f t="shared" si="188"/>
        <v>Sep</v>
      </c>
      <c r="Q4008" s="23" t="str">
        <f>IF(F4008="CAPTURE",IF(COUNTIF(orders!$A:$A,O4008)&gt;0,"Yes","NO ORDER"),"")</f>
        <v>Yes</v>
      </c>
    </row>
    <row r="4009" spans="1:17" ht="15" customHeight="1" x14ac:dyDescent="0.3">
      <c r="A4009" s="23" t="s">
        <v>17037</v>
      </c>
      <c r="B4009" s="23"/>
      <c r="C4009" s="23" t="s">
        <v>17038</v>
      </c>
      <c r="D4009" s="23" t="str">
        <f t="shared" si="186"/>
        <v>ORD26000379</v>
      </c>
      <c r="E4009" s="38">
        <v>46287</v>
      </c>
      <c r="F4009" s="23" t="s">
        <v>12410</v>
      </c>
      <c r="G4009" s="23" t="s">
        <v>75</v>
      </c>
      <c r="H4009" s="24">
        <v>5647</v>
      </c>
      <c r="I4009" s="24">
        <v>16.940000000000001</v>
      </c>
      <c r="J4009" s="24">
        <v>3.05</v>
      </c>
      <c r="K4009" s="24">
        <v>5627.01</v>
      </c>
      <c r="L4009" s="38">
        <v>46289</v>
      </c>
      <c r="M4009" s="23" t="s">
        <v>220</v>
      </c>
      <c r="N4009" s="23" t="str">
        <f>IF(COUNTIF($A$2:A4009,A4009)&gt;1,"DUP","OK")</f>
        <v>OK</v>
      </c>
      <c r="O4009" s="23" t="str">
        <f t="shared" si="187"/>
        <v>ORD26000379</v>
      </c>
      <c r="P4009" s="23" t="str">
        <f t="shared" si="188"/>
        <v>Sep</v>
      </c>
      <c r="Q4009" s="23" t="str">
        <f>IF(F4009="CAPTURE",IF(COUNTIF(orders!$A:$A,O4009)&gt;0,"Yes","NO ORDER"),"")</f>
        <v>Yes</v>
      </c>
    </row>
    <row r="4010" spans="1:17" ht="15" customHeight="1" x14ac:dyDescent="0.3">
      <c r="A4010" s="23" t="s">
        <v>17039</v>
      </c>
      <c r="B4010" s="23"/>
      <c r="C4010" s="23" t="s">
        <v>1149</v>
      </c>
      <c r="D4010" s="23" t="str">
        <f t="shared" si="186"/>
        <v>ORD26000383</v>
      </c>
      <c r="E4010" s="38">
        <v>46287</v>
      </c>
      <c r="F4010" s="23" t="s">
        <v>12410</v>
      </c>
      <c r="G4010" s="23" t="s">
        <v>75</v>
      </c>
      <c r="H4010" s="24">
        <v>499</v>
      </c>
      <c r="I4010" s="24">
        <v>0</v>
      </c>
      <c r="J4010" s="24">
        <v>0</v>
      </c>
      <c r="K4010" s="24">
        <v>499</v>
      </c>
      <c r="L4010" s="38">
        <v>46289</v>
      </c>
      <c r="M4010" s="23" t="s">
        <v>220</v>
      </c>
      <c r="N4010" s="23" t="str">
        <f>IF(COUNTIF($A$2:A4010,A4010)&gt;1,"DUP","OK")</f>
        <v>OK</v>
      </c>
      <c r="O4010" s="23" t="str">
        <f t="shared" si="187"/>
        <v>ORD26000383</v>
      </c>
      <c r="P4010" s="23" t="str">
        <f t="shared" si="188"/>
        <v>Sep</v>
      </c>
      <c r="Q4010" s="23" t="str">
        <f>IF(F4010="CAPTURE",IF(COUNTIF(orders!$A:$A,O4010)&gt;0,"Yes","NO ORDER"),"")</f>
        <v>Yes</v>
      </c>
    </row>
    <row r="4011" spans="1:17" ht="15" customHeight="1" x14ac:dyDescent="0.3">
      <c r="A4011" s="23" t="s">
        <v>17040</v>
      </c>
      <c r="B4011" s="23"/>
      <c r="C4011" s="23" t="s">
        <v>1154</v>
      </c>
      <c r="D4011" s="23" t="str">
        <f t="shared" si="186"/>
        <v>ORD26000385</v>
      </c>
      <c r="E4011" s="38">
        <v>46287</v>
      </c>
      <c r="F4011" s="23" t="s">
        <v>12410</v>
      </c>
      <c r="G4011" s="23" t="s">
        <v>75</v>
      </c>
      <c r="H4011" s="24">
        <v>2298</v>
      </c>
      <c r="I4011" s="24">
        <v>6.89</v>
      </c>
      <c r="J4011" s="24">
        <v>1.24</v>
      </c>
      <c r="K4011" s="24">
        <v>2289.87</v>
      </c>
      <c r="L4011" s="38">
        <v>46289</v>
      </c>
      <c r="M4011" s="23" t="s">
        <v>220</v>
      </c>
      <c r="N4011" s="23" t="str">
        <f>IF(COUNTIF($A$2:A4011,A4011)&gt;1,"DUP","OK")</f>
        <v>OK</v>
      </c>
      <c r="O4011" s="23" t="str">
        <f t="shared" si="187"/>
        <v>ORD26000385</v>
      </c>
      <c r="P4011" s="23" t="str">
        <f t="shared" si="188"/>
        <v>Sep</v>
      </c>
      <c r="Q4011" s="23" t="str">
        <f>IF(F4011="CAPTURE",IF(COUNTIF(orders!$A:$A,O4011)&gt;0,"Yes","NO ORDER"),"")</f>
        <v>Yes</v>
      </c>
    </row>
    <row r="4012" spans="1:17" ht="15" customHeight="1" x14ac:dyDescent="0.3">
      <c r="A4012" s="23" t="s">
        <v>17041</v>
      </c>
      <c r="B4012" s="23"/>
      <c r="C4012" s="23" t="s">
        <v>1498</v>
      </c>
      <c r="D4012" s="23" t="str">
        <f t="shared" si="186"/>
        <v>ORD26000542</v>
      </c>
      <c r="E4012" s="38">
        <v>46287</v>
      </c>
      <c r="F4012" s="23" t="s">
        <v>12410</v>
      </c>
      <c r="G4012" s="23" t="s">
        <v>81</v>
      </c>
      <c r="H4012" s="24">
        <v>8598</v>
      </c>
      <c r="I4012" s="24">
        <v>103.18</v>
      </c>
      <c r="J4012" s="24">
        <v>18.57</v>
      </c>
      <c r="K4012" s="24">
        <v>8476.25</v>
      </c>
      <c r="L4012" s="38">
        <v>46289</v>
      </c>
      <c r="M4012" s="23" t="s">
        <v>220</v>
      </c>
      <c r="N4012" s="23" t="str">
        <f>IF(COUNTIF($A$2:A4012,A4012)&gt;1,"DUP","OK")</f>
        <v>OK</v>
      </c>
      <c r="O4012" s="23" t="str">
        <f t="shared" si="187"/>
        <v>ORD26000542</v>
      </c>
      <c r="P4012" s="23" t="str">
        <f t="shared" si="188"/>
        <v>Sep</v>
      </c>
      <c r="Q4012" s="23" t="str">
        <f>IF(F4012="CAPTURE",IF(COUNTIF(orders!$A:$A,O4012)&gt;0,"Yes","NO ORDER"),"")</f>
        <v>Yes</v>
      </c>
    </row>
    <row r="4013" spans="1:17" ht="15" customHeight="1" x14ac:dyDescent="0.3">
      <c r="A4013" s="23" t="s">
        <v>17042</v>
      </c>
      <c r="B4013" s="23"/>
      <c r="C4013" s="23" t="s">
        <v>17043</v>
      </c>
      <c r="D4013" s="23" t="str">
        <f t="shared" si="186"/>
        <v>ORD26000568</v>
      </c>
      <c r="E4013" s="38">
        <v>46287</v>
      </c>
      <c r="F4013" s="23" t="s">
        <v>12410</v>
      </c>
      <c r="G4013" s="23" t="s">
        <v>75</v>
      </c>
      <c r="H4013" s="24">
        <v>2999</v>
      </c>
      <c r="I4013" s="24">
        <v>9</v>
      </c>
      <c r="J4013" s="24">
        <v>1.62</v>
      </c>
      <c r="K4013" s="24">
        <v>2988.38</v>
      </c>
      <c r="L4013" s="38">
        <v>46289</v>
      </c>
      <c r="M4013" s="23" t="s">
        <v>220</v>
      </c>
      <c r="N4013" s="23" t="str">
        <f>IF(COUNTIF($A$2:A4013,A4013)&gt;1,"DUP","OK")</f>
        <v>OK</v>
      </c>
      <c r="O4013" s="23" t="str">
        <f t="shared" si="187"/>
        <v>ORD26000568</v>
      </c>
      <c r="P4013" s="23" t="str">
        <f t="shared" si="188"/>
        <v>Sep</v>
      </c>
      <c r="Q4013" s="23" t="str">
        <f>IF(F4013="CAPTURE",IF(COUNTIF(orders!$A:$A,O4013)&gt;0,"Yes","NO ORDER"),"")</f>
        <v>Yes</v>
      </c>
    </row>
    <row r="4014" spans="1:17" ht="15" customHeight="1" x14ac:dyDescent="0.3">
      <c r="A4014" s="23" t="s">
        <v>17044</v>
      </c>
      <c r="B4014" s="23"/>
      <c r="C4014" s="23" t="s">
        <v>1648</v>
      </c>
      <c r="D4014" s="23" t="str">
        <f t="shared" si="186"/>
        <v>ORD26000610</v>
      </c>
      <c r="E4014" s="38">
        <v>46287</v>
      </c>
      <c r="F4014" s="23" t="s">
        <v>12410</v>
      </c>
      <c r="G4014" s="23" t="s">
        <v>79</v>
      </c>
      <c r="H4014" s="24">
        <v>4797</v>
      </c>
      <c r="I4014" s="24">
        <v>76.75</v>
      </c>
      <c r="J4014" s="24">
        <v>13.82</v>
      </c>
      <c r="K4014" s="24">
        <v>4706.43</v>
      </c>
      <c r="L4014" s="38">
        <v>46289</v>
      </c>
      <c r="M4014" s="23" t="s">
        <v>220</v>
      </c>
      <c r="N4014" s="23" t="str">
        <f>IF(COUNTIF($A$2:A4014,A4014)&gt;1,"DUP","OK")</f>
        <v>OK</v>
      </c>
      <c r="O4014" s="23" t="str">
        <f t="shared" si="187"/>
        <v>ORD26000610</v>
      </c>
      <c r="P4014" s="23" t="str">
        <f t="shared" si="188"/>
        <v>Sep</v>
      </c>
      <c r="Q4014" s="23" t="str">
        <f>IF(F4014="CAPTURE",IF(COUNTIF(orders!$A:$A,O4014)&gt;0,"Yes","NO ORDER"),"")</f>
        <v>Yes</v>
      </c>
    </row>
    <row r="4015" spans="1:17" ht="15" customHeight="1" x14ac:dyDescent="0.3">
      <c r="A4015" s="23" t="s">
        <v>17045</v>
      </c>
      <c r="B4015" s="23"/>
      <c r="C4015" s="23" t="s">
        <v>1677</v>
      </c>
      <c r="D4015" s="23" t="str">
        <f t="shared" si="186"/>
        <v>ORD26000624</v>
      </c>
      <c r="E4015" s="38">
        <v>46287</v>
      </c>
      <c r="F4015" s="23" t="s">
        <v>12410</v>
      </c>
      <c r="G4015" s="23" t="s">
        <v>75</v>
      </c>
      <c r="H4015" s="24">
        <v>2298</v>
      </c>
      <c r="I4015" s="24">
        <v>6.89</v>
      </c>
      <c r="J4015" s="24">
        <v>1.24</v>
      </c>
      <c r="K4015" s="24">
        <v>2289.87</v>
      </c>
      <c r="L4015" s="38">
        <v>46289</v>
      </c>
      <c r="M4015" s="23" t="s">
        <v>220</v>
      </c>
      <c r="N4015" s="23" t="str">
        <f>IF(COUNTIF($A$2:A4015,A4015)&gt;1,"DUP","OK")</f>
        <v>OK</v>
      </c>
      <c r="O4015" s="23" t="str">
        <f t="shared" si="187"/>
        <v>ORD26000624</v>
      </c>
      <c r="P4015" s="23" t="str">
        <f t="shared" si="188"/>
        <v>Sep</v>
      </c>
      <c r="Q4015" s="23" t="str">
        <f>IF(F4015="CAPTURE",IF(COUNTIF(orders!$A:$A,O4015)&gt;0,"Yes","NO ORDER"),"")</f>
        <v>Yes</v>
      </c>
    </row>
    <row r="4016" spans="1:17" ht="15" customHeight="1" x14ac:dyDescent="0.3">
      <c r="A4016" s="23" t="s">
        <v>17046</v>
      </c>
      <c r="B4016" s="23"/>
      <c r="C4016" s="23" t="s">
        <v>1888</v>
      </c>
      <c r="D4016" s="23" t="str">
        <f t="shared" si="186"/>
        <v>ORD26000724</v>
      </c>
      <c r="E4016" s="38">
        <v>46287</v>
      </c>
      <c r="F4016" s="23" t="s">
        <v>12410</v>
      </c>
      <c r="G4016" s="23" t="s">
        <v>75</v>
      </c>
      <c r="H4016" s="24">
        <v>10498</v>
      </c>
      <c r="I4016" s="24">
        <v>31.49</v>
      </c>
      <c r="J4016" s="24">
        <v>5.67</v>
      </c>
      <c r="K4016" s="24">
        <v>10460.84</v>
      </c>
      <c r="L4016" s="38">
        <v>46289</v>
      </c>
      <c r="M4016" s="23" t="s">
        <v>220</v>
      </c>
      <c r="N4016" s="23" t="str">
        <f>IF(COUNTIF($A$2:A4016,A4016)&gt;1,"DUP","OK")</f>
        <v>OK</v>
      </c>
      <c r="O4016" s="23" t="str">
        <f t="shared" si="187"/>
        <v>ORD26000724</v>
      </c>
      <c r="P4016" s="23" t="str">
        <f t="shared" si="188"/>
        <v>Sep</v>
      </c>
      <c r="Q4016" s="23" t="str">
        <f>IF(F4016="CAPTURE",IF(COUNTIF(orders!$A:$A,O4016)&gt;0,"Yes","NO ORDER"),"")</f>
        <v>Yes</v>
      </c>
    </row>
    <row r="4017" spans="1:17" ht="15" customHeight="1" x14ac:dyDescent="0.3">
      <c r="A4017" s="23" t="s">
        <v>17047</v>
      </c>
      <c r="B4017" s="23"/>
      <c r="C4017" s="23" t="s">
        <v>1894</v>
      </c>
      <c r="D4017" s="23" t="str">
        <f t="shared" si="186"/>
        <v>ORD26000727</v>
      </c>
      <c r="E4017" s="38">
        <v>46287</v>
      </c>
      <c r="F4017" s="23" t="s">
        <v>12410</v>
      </c>
      <c r="G4017" s="23" t="s">
        <v>75</v>
      </c>
      <c r="H4017" s="24">
        <v>9347</v>
      </c>
      <c r="I4017" s="24">
        <v>28.04</v>
      </c>
      <c r="J4017" s="24">
        <v>5.05</v>
      </c>
      <c r="K4017" s="24">
        <v>9313.91</v>
      </c>
      <c r="L4017" s="38">
        <v>46289</v>
      </c>
      <c r="M4017" s="23" t="s">
        <v>220</v>
      </c>
      <c r="N4017" s="23" t="str">
        <f>IF(COUNTIF($A$2:A4017,A4017)&gt;1,"DUP","OK")</f>
        <v>OK</v>
      </c>
      <c r="O4017" s="23" t="str">
        <f t="shared" si="187"/>
        <v>ORD26000727</v>
      </c>
      <c r="P4017" s="23" t="str">
        <f t="shared" si="188"/>
        <v>Sep</v>
      </c>
      <c r="Q4017" s="23" t="str">
        <f>IF(F4017="CAPTURE",IF(COUNTIF(orders!$A:$A,O4017)&gt;0,"Yes","NO ORDER"),"")</f>
        <v>Yes</v>
      </c>
    </row>
    <row r="4018" spans="1:17" ht="15" customHeight="1" x14ac:dyDescent="0.3">
      <c r="A4018" s="23" t="s">
        <v>17048</v>
      </c>
      <c r="B4018" s="23"/>
      <c r="C4018" s="23" t="s">
        <v>2097</v>
      </c>
      <c r="D4018" s="23" t="str">
        <f t="shared" si="186"/>
        <v>ORD26000824</v>
      </c>
      <c r="E4018" s="38">
        <v>46287</v>
      </c>
      <c r="F4018" s="23" t="s">
        <v>12410</v>
      </c>
      <c r="G4018" s="23" t="s">
        <v>81</v>
      </c>
      <c r="H4018" s="24">
        <v>499</v>
      </c>
      <c r="I4018" s="24">
        <v>7.49</v>
      </c>
      <c r="J4018" s="24">
        <v>1.35</v>
      </c>
      <c r="K4018" s="24">
        <v>490.16</v>
      </c>
      <c r="L4018" s="38">
        <v>46289</v>
      </c>
      <c r="M4018" s="23" t="s">
        <v>220</v>
      </c>
      <c r="N4018" s="23" t="str">
        <f>IF(COUNTIF($A$2:A4018,A4018)&gt;1,"DUP","OK")</f>
        <v>OK</v>
      </c>
      <c r="O4018" s="23" t="str">
        <f t="shared" si="187"/>
        <v>ORD26000824</v>
      </c>
      <c r="P4018" s="23" t="str">
        <f t="shared" si="188"/>
        <v>Sep</v>
      </c>
      <c r="Q4018" s="23" t="str">
        <f>IF(F4018="CAPTURE",IF(COUNTIF(orders!$A:$A,O4018)&gt;0,"Yes","NO ORDER"),"")</f>
        <v>Yes</v>
      </c>
    </row>
    <row r="4019" spans="1:17" ht="15" customHeight="1" x14ac:dyDescent="0.3">
      <c r="A4019" s="23" t="s">
        <v>17049</v>
      </c>
      <c r="B4019" s="23"/>
      <c r="C4019" s="23" t="s">
        <v>2109</v>
      </c>
      <c r="D4019" s="23" t="str">
        <f t="shared" si="186"/>
        <v>ORD26000830</v>
      </c>
      <c r="E4019" s="38">
        <v>46287</v>
      </c>
      <c r="F4019" s="23" t="s">
        <v>12410</v>
      </c>
      <c r="G4019" s="23" t="s">
        <v>79</v>
      </c>
      <c r="H4019" s="24">
        <v>2999</v>
      </c>
      <c r="I4019" s="24">
        <v>47.98</v>
      </c>
      <c r="J4019" s="24">
        <v>8.64</v>
      </c>
      <c r="K4019" s="24">
        <v>2942.38</v>
      </c>
      <c r="L4019" s="38">
        <v>46289</v>
      </c>
      <c r="M4019" s="23" t="s">
        <v>220</v>
      </c>
      <c r="N4019" s="23" t="str">
        <f>IF(COUNTIF($A$2:A4019,A4019)&gt;1,"DUP","OK")</f>
        <v>OK</v>
      </c>
      <c r="O4019" s="23" t="str">
        <f t="shared" si="187"/>
        <v>ORD26000830</v>
      </c>
      <c r="P4019" s="23" t="str">
        <f t="shared" si="188"/>
        <v>Sep</v>
      </c>
      <c r="Q4019" s="23" t="str">
        <f>IF(F4019="CAPTURE",IF(COUNTIF(orders!$A:$A,O4019)&gt;0,"Yes","NO ORDER"),"")</f>
        <v>Yes</v>
      </c>
    </row>
    <row r="4020" spans="1:17" ht="15" customHeight="1" x14ac:dyDescent="0.3">
      <c r="A4020" s="23" t="s">
        <v>17050</v>
      </c>
      <c r="B4020" s="23"/>
      <c r="C4020" s="23" t="s">
        <v>2333</v>
      </c>
      <c r="D4020" s="23" t="str">
        <f t="shared" si="186"/>
        <v>ORD26000938</v>
      </c>
      <c r="E4020" s="38">
        <v>46287</v>
      </c>
      <c r="F4020" s="23" t="s">
        <v>12410</v>
      </c>
      <c r="G4020" s="23" t="s">
        <v>75</v>
      </c>
      <c r="H4020" s="24">
        <v>4999</v>
      </c>
      <c r="I4020" s="24">
        <v>15</v>
      </c>
      <c r="J4020" s="24">
        <v>2.7</v>
      </c>
      <c r="K4020" s="24">
        <v>4981.3</v>
      </c>
      <c r="L4020" s="38">
        <v>46289</v>
      </c>
      <c r="M4020" s="23" t="s">
        <v>220</v>
      </c>
      <c r="N4020" s="23" t="str">
        <f>IF(COUNTIF($A$2:A4020,A4020)&gt;1,"DUP","OK")</f>
        <v>OK</v>
      </c>
      <c r="O4020" s="23" t="str">
        <f t="shared" si="187"/>
        <v>ORD26000938</v>
      </c>
      <c r="P4020" s="23" t="str">
        <f t="shared" si="188"/>
        <v>Sep</v>
      </c>
      <c r="Q4020" s="23" t="str">
        <f>IF(F4020="CAPTURE",IF(COUNTIF(orders!$A:$A,O4020)&gt;0,"Yes","NO ORDER"),"")</f>
        <v>Yes</v>
      </c>
    </row>
    <row r="4021" spans="1:17" ht="15" customHeight="1" x14ac:dyDescent="0.3">
      <c r="A4021" s="23" t="s">
        <v>17051</v>
      </c>
      <c r="B4021" s="23"/>
      <c r="C4021" s="23" t="s">
        <v>17052</v>
      </c>
      <c r="D4021" s="23" t="str">
        <f t="shared" si="186"/>
        <v>ORD26000941</v>
      </c>
      <c r="E4021" s="38">
        <v>46287</v>
      </c>
      <c r="F4021" s="23" t="s">
        <v>12410</v>
      </c>
      <c r="G4021" s="23" t="s">
        <v>79</v>
      </c>
      <c r="H4021" s="24">
        <v>5998</v>
      </c>
      <c r="I4021" s="24">
        <v>95.97</v>
      </c>
      <c r="J4021" s="24">
        <v>17.27</v>
      </c>
      <c r="K4021" s="24">
        <v>5884.76</v>
      </c>
      <c r="L4021" s="38">
        <v>46289</v>
      </c>
      <c r="M4021" s="23" t="s">
        <v>220</v>
      </c>
      <c r="N4021" s="23" t="str">
        <f>IF(COUNTIF($A$2:A4021,A4021)&gt;1,"DUP","OK")</f>
        <v>OK</v>
      </c>
      <c r="O4021" s="23" t="str">
        <f t="shared" si="187"/>
        <v>ORD26000941</v>
      </c>
      <c r="P4021" s="23" t="str">
        <f t="shared" si="188"/>
        <v>Sep</v>
      </c>
      <c r="Q4021" s="23" t="str">
        <f>IF(F4021="CAPTURE",IF(COUNTIF(orders!$A:$A,O4021)&gt;0,"Yes","NO ORDER"),"")</f>
        <v>Yes</v>
      </c>
    </row>
    <row r="4022" spans="1:17" ht="15" customHeight="1" x14ac:dyDescent="0.3">
      <c r="A4022" s="23" t="s">
        <v>17053</v>
      </c>
      <c r="B4022" s="23"/>
      <c r="C4022" s="23" t="s">
        <v>2348</v>
      </c>
      <c r="D4022" s="23" t="str">
        <f t="shared" si="186"/>
        <v>ORD26000945</v>
      </c>
      <c r="E4022" s="38">
        <v>46287</v>
      </c>
      <c r="F4022" s="23" t="s">
        <v>12410</v>
      </c>
      <c r="G4022" s="23" t="s">
        <v>75</v>
      </c>
      <c r="H4022" s="24">
        <v>4999</v>
      </c>
      <c r="I4022" s="24">
        <v>15</v>
      </c>
      <c r="J4022" s="24">
        <v>2.7</v>
      </c>
      <c r="K4022" s="24">
        <v>4981.3</v>
      </c>
      <c r="L4022" s="38">
        <v>46289</v>
      </c>
      <c r="M4022" s="23" t="s">
        <v>220</v>
      </c>
      <c r="N4022" s="23" t="str">
        <f>IF(COUNTIF($A$2:A4022,A4022)&gt;1,"DUP","OK")</f>
        <v>OK</v>
      </c>
      <c r="O4022" s="23" t="str">
        <f t="shared" si="187"/>
        <v>ORD26000945</v>
      </c>
      <c r="P4022" s="23" t="str">
        <f t="shared" si="188"/>
        <v>Sep</v>
      </c>
      <c r="Q4022" s="23" t="str">
        <f>IF(F4022="CAPTURE",IF(COUNTIF(orders!$A:$A,O4022)&gt;0,"Yes","NO ORDER"),"")</f>
        <v>Yes</v>
      </c>
    </row>
    <row r="4023" spans="1:17" ht="15" customHeight="1" x14ac:dyDescent="0.3">
      <c r="A4023" s="23" t="s">
        <v>17054</v>
      </c>
      <c r="B4023" s="23"/>
      <c r="C4023" s="23" t="s">
        <v>2362</v>
      </c>
      <c r="D4023" s="23" t="str">
        <f t="shared" si="186"/>
        <v>ORD26000952</v>
      </c>
      <c r="E4023" s="38">
        <v>46287</v>
      </c>
      <c r="F4023" s="23" t="s">
        <v>12410</v>
      </c>
      <c r="G4023" s="23" t="s">
        <v>75</v>
      </c>
      <c r="H4023" s="24">
        <v>3297</v>
      </c>
      <c r="I4023" s="24">
        <v>9.89</v>
      </c>
      <c r="J4023" s="24">
        <v>1.78</v>
      </c>
      <c r="K4023" s="24">
        <v>3285.33</v>
      </c>
      <c r="L4023" s="38">
        <v>46289</v>
      </c>
      <c r="M4023" s="23" t="s">
        <v>220</v>
      </c>
      <c r="N4023" s="23" t="str">
        <f>IF(COUNTIF($A$2:A4023,A4023)&gt;1,"DUP","OK")</f>
        <v>OK</v>
      </c>
      <c r="O4023" s="23" t="str">
        <f t="shared" si="187"/>
        <v>ORD26000952</v>
      </c>
      <c r="P4023" s="23" t="str">
        <f t="shared" si="188"/>
        <v>Sep</v>
      </c>
      <c r="Q4023" s="23" t="str">
        <f>IF(F4023="CAPTURE",IF(COUNTIF(orders!$A:$A,O4023)&gt;0,"Yes","NO ORDER"),"")</f>
        <v>Yes</v>
      </c>
    </row>
    <row r="4024" spans="1:17" ht="15" customHeight="1" x14ac:dyDescent="0.3">
      <c r="A4024" s="23" t="s">
        <v>17055</v>
      </c>
      <c r="B4024" s="23"/>
      <c r="C4024" s="23" t="s">
        <v>2522</v>
      </c>
      <c r="D4024" s="23" t="str">
        <f t="shared" si="186"/>
        <v>ORD26001030</v>
      </c>
      <c r="E4024" s="38">
        <v>46287</v>
      </c>
      <c r="F4024" s="23" t="s">
        <v>12410</v>
      </c>
      <c r="G4024" s="23" t="s">
        <v>75</v>
      </c>
      <c r="H4024" s="24">
        <v>999</v>
      </c>
      <c r="I4024" s="24">
        <v>0</v>
      </c>
      <c r="J4024" s="24">
        <v>0</v>
      </c>
      <c r="K4024" s="24">
        <v>999</v>
      </c>
      <c r="L4024" s="38">
        <v>46289</v>
      </c>
      <c r="M4024" s="23" t="s">
        <v>220</v>
      </c>
      <c r="N4024" s="23" t="str">
        <f>IF(COUNTIF($A$2:A4024,A4024)&gt;1,"DUP","OK")</f>
        <v>OK</v>
      </c>
      <c r="O4024" s="23" t="str">
        <f t="shared" si="187"/>
        <v>ORD26001030</v>
      </c>
      <c r="P4024" s="23" t="str">
        <f t="shared" si="188"/>
        <v>Sep</v>
      </c>
      <c r="Q4024" s="23" t="str">
        <f>IF(F4024="CAPTURE",IF(COUNTIF(orders!$A:$A,O4024)&gt;0,"Yes","NO ORDER"),"")</f>
        <v>Yes</v>
      </c>
    </row>
    <row r="4025" spans="1:17" ht="15" customHeight="1" x14ac:dyDescent="0.3">
      <c r="A4025" s="23" t="s">
        <v>17056</v>
      </c>
      <c r="B4025" s="23"/>
      <c r="C4025" s="23" t="s">
        <v>2528</v>
      </c>
      <c r="D4025" s="23" t="str">
        <f t="shared" si="186"/>
        <v>ORD26001033</v>
      </c>
      <c r="E4025" s="38">
        <v>46287</v>
      </c>
      <c r="F4025" s="23" t="s">
        <v>12410</v>
      </c>
      <c r="G4025" s="23" t="s">
        <v>79</v>
      </c>
      <c r="H4025" s="24">
        <v>3097</v>
      </c>
      <c r="I4025" s="24">
        <v>49.55</v>
      </c>
      <c r="J4025" s="24">
        <v>8.92</v>
      </c>
      <c r="K4025" s="24">
        <v>3038.53</v>
      </c>
      <c r="L4025" s="38">
        <v>46289</v>
      </c>
      <c r="M4025" s="23" t="s">
        <v>220</v>
      </c>
      <c r="N4025" s="23" t="str">
        <f>IF(COUNTIF($A$2:A4025,A4025)&gt;1,"DUP","OK")</f>
        <v>OK</v>
      </c>
      <c r="O4025" s="23" t="str">
        <f t="shared" si="187"/>
        <v>ORD26001033</v>
      </c>
      <c r="P4025" s="23" t="str">
        <f t="shared" si="188"/>
        <v>Sep</v>
      </c>
      <c r="Q4025" s="23" t="str">
        <f>IF(F4025="CAPTURE",IF(COUNTIF(orders!$A:$A,O4025)&gt;0,"Yes","NO ORDER"),"")</f>
        <v>Yes</v>
      </c>
    </row>
    <row r="4026" spans="1:17" ht="15" customHeight="1" x14ac:dyDescent="0.3">
      <c r="A4026" s="23" t="s">
        <v>17057</v>
      </c>
      <c r="B4026" s="23"/>
      <c r="C4026" s="23" t="s">
        <v>2619</v>
      </c>
      <c r="D4026" s="23" t="str">
        <f t="shared" si="186"/>
        <v>ORD26001077</v>
      </c>
      <c r="E4026" s="38">
        <v>46287</v>
      </c>
      <c r="F4026" s="23" t="s">
        <v>12410</v>
      </c>
      <c r="G4026" s="23" t="s">
        <v>79</v>
      </c>
      <c r="H4026" s="24">
        <v>499</v>
      </c>
      <c r="I4026" s="24">
        <v>8.98</v>
      </c>
      <c r="J4026" s="24">
        <v>1.62</v>
      </c>
      <c r="K4026" s="24">
        <v>488.4</v>
      </c>
      <c r="L4026" s="38">
        <v>46289</v>
      </c>
      <c r="M4026" s="23" t="s">
        <v>220</v>
      </c>
      <c r="N4026" s="23" t="str">
        <f>IF(COUNTIF($A$2:A4026,A4026)&gt;1,"DUP","OK")</f>
        <v>OK</v>
      </c>
      <c r="O4026" s="23" t="str">
        <f t="shared" si="187"/>
        <v>ORD26001077</v>
      </c>
      <c r="P4026" s="23" t="str">
        <f t="shared" si="188"/>
        <v>Sep</v>
      </c>
      <c r="Q4026" s="23" t="str">
        <f>IF(F4026="CAPTURE",IF(COUNTIF(orders!$A:$A,O4026)&gt;0,"Yes","NO ORDER"),"")</f>
        <v>Yes</v>
      </c>
    </row>
    <row r="4027" spans="1:17" ht="15" customHeight="1" x14ac:dyDescent="0.3">
      <c r="A4027" s="23" t="s">
        <v>17058</v>
      </c>
      <c r="B4027" s="23"/>
      <c r="C4027" s="23" t="s">
        <v>2658</v>
      </c>
      <c r="D4027" s="23" t="str">
        <f t="shared" si="186"/>
        <v>ORD26001096</v>
      </c>
      <c r="E4027" s="38">
        <v>46287</v>
      </c>
      <c r="F4027" s="23" t="s">
        <v>12410</v>
      </c>
      <c r="G4027" s="23" t="s">
        <v>75</v>
      </c>
      <c r="H4027" s="24">
        <v>599</v>
      </c>
      <c r="I4027" s="24">
        <v>0</v>
      </c>
      <c r="J4027" s="24">
        <v>0</v>
      </c>
      <c r="K4027" s="24">
        <v>599</v>
      </c>
      <c r="L4027" s="38">
        <v>46289</v>
      </c>
      <c r="M4027" s="23" t="s">
        <v>220</v>
      </c>
      <c r="N4027" s="23" t="str">
        <f>IF(COUNTIF($A$2:A4027,A4027)&gt;1,"DUP","OK")</f>
        <v>OK</v>
      </c>
      <c r="O4027" s="23" t="str">
        <f t="shared" si="187"/>
        <v>ORD26001096</v>
      </c>
      <c r="P4027" s="23" t="str">
        <f t="shared" si="188"/>
        <v>Sep</v>
      </c>
      <c r="Q4027" s="23" t="str">
        <f>IF(F4027="CAPTURE",IF(COUNTIF(orders!$A:$A,O4027)&gt;0,"Yes","NO ORDER"),"")</f>
        <v>Yes</v>
      </c>
    </row>
    <row r="4028" spans="1:17" ht="15" customHeight="1" x14ac:dyDescent="0.3">
      <c r="A4028" s="23" t="s">
        <v>17059</v>
      </c>
      <c r="B4028" s="23"/>
      <c r="C4028" s="23" t="s">
        <v>2679</v>
      </c>
      <c r="D4028" s="23" t="str">
        <f t="shared" si="186"/>
        <v>ORD26001107</v>
      </c>
      <c r="E4028" s="38">
        <v>46287</v>
      </c>
      <c r="F4028" s="23" t="s">
        <v>12410</v>
      </c>
      <c r="G4028" s="23" t="s">
        <v>75</v>
      </c>
      <c r="H4028" s="24">
        <v>798</v>
      </c>
      <c r="I4028" s="24">
        <v>0</v>
      </c>
      <c r="J4028" s="24">
        <v>0</v>
      </c>
      <c r="K4028" s="24">
        <v>798</v>
      </c>
      <c r="L4028" s="38">
        <v>46289</v>
      </c>
      <c r="M4028" s="23" t="s">
        <v>220</v>
      </c>
      <c r="N4028" s="23" t="str">
        <f>IF(COUNTIF($A$2:A4028,A4028)&gt;1,"DUP","OK")</f>
        <v>OK</v>
      </c>
      <c r="O4028" s="23" t="str">
        <f t="shared" si="187"/>
        <v>ORD26001107</v>
      </c>
      <c r="P4028" s="23" t="str">
        <f t="shared" si="188"/>
        <v>Sep</v>
      </c>
      <c r="Q4028" s="23" t="str">
        <f>IF(F4028="CAPTURE",IF(COUNTIF(orders!$A:$A,O4028)&gt;0,"Yes","NO ORDER"),"")</f>
        <v>Yes</v>
      </c>
    </row>
    <row r="4029" spans="1:17" ht="15" customHeight="1" x14ac:dyDescent="0.3">
      <c r="A4029" s="23" t="s">
        <v>17060</v>
      </c>
      <c r="B4029" s="23"/>
      <c r="C4029" s="23" t="s">
        <v>2703</v>
      </c>
      <c r="D4029" s="23" t="str">
        <f t="shared" si="186"/>
        <v>ORD26001119</v>
      </c>
      <c r="E4029" s="38">
        <v>46287</v>
      </c>
      <c r="F4029" s="23" t="s">
        <v>12410</v>
      </c>
      <c r="G4029" s="23" t="s">
        <v>77</v>
      </c>
      <c r="H4029" s="24">
        <v>6798</v>
      </c>
      <c r="I4029" s="24">
        <v>115.57</v>
      </c>
      <c r="J4029" s="24">
        <v>20.8</v>
      </c>
      <c r="K4029" s="24">
        <v>6661.63</v>
      </c>
      <c r="L4029" s="38">
        <v>46289</v>
      </c>
      <c r="M4029" s="23" t="s">
        <v>220</v>
      </c>
      <c r="N4029" s="23" t="str">
        <f>IF(COUNTIF($A$2:A4029,A4029)&gt;1,"DUP","OK")</f>
        <v>OK</v>
      </c>
      <c r="O4029" s="23" t="str">
        <f t="shared" si="187"/>
        <v>ORD26001119</v>
      </c>
      <c r="P4029" s="23" t="str">
        <f t="shared" si="188"/>
        <v>Sep</v>
      </c>
      <c r="Q4029" s="23" t="str">
        <f>IF(F4029="CAPTURE",IF(COUNTIF(orders!$A:$A,O4029)&gt;0,"Yes","NO ORDER"),"")</f>
        <v>Yes</v>
      </c>
    </row>
    <row r="4030" spans="1:17" ht="15" customHeight="1" x14ac:dyDescent="0.3">
      <c r="A4030" s="23" t="s">
        <v>17061</v>
      </c>
      <c r="B4030" s="23"/>
      <c r="C4030" s="23" t="s">
        <v>2741</v>
      </c>
      <c r="D4030" s="23" t="str">
        <f t="shared" si="186"/>
        <v>ORD26001137</v>
      </c>
      <c r="E4030" s="38">
        <v>46287</v>
      </c>
      <c r="F4030" s="23" t="s">
        <v>12410</v>
      </c>
      <c r="G4030" s="23" t="s">
        <v>75</v>
      </c>
      <c r="H4030" s="24">
        <v>8998</v>
      </c>
      <c r="I4030" s="24">
        <v>26.99</v>
      </c>
      <c r="J4030" s="24">
        <v>4.8600000000000003</v>
      </c>
      <c r="K4030" s="24">
        <v>8966.15</v>
      </c>
      <c r="L4030" s="38">
        <v>46289</v>
      </c>
      <c r="M4030" s="23" t="s">
        <v>220</v>
      </c>
      <c r="N4030" s="23" t="str">
        <f>IF(COUNTIF($A$2:A4030,A4030)&gt;1,"DUP","OK")</f>
        <v>OK</v>
      </c>
      <c r="O4030" s="23" t="str">
        <f t="shared" si="187"/>
        <v>ORD26001137</v>
      </c>
      <c r="P4030" s="23" t="str">
        <f t="shared" si="188"/>
        <v>Sep</v>
      </c>
      <c r="Q4030" s="23" t="str">
        <f>IF(F4030="CAPTURE",IF(COUNTIF(orders!$A:$A,O4030)&gt;0,"Yes","NO ORDER"),"")</f>
        <v>Yes</v>
      </c>
    </row>
    <row r="4031" spans="1:17" ht="15" customHeight="1" x14ac:dyDescent="0.3">
      <c r="A4031" s="23" t="s">
        <v>17062</v>
      </c>
      <c r="B4031" s="23"/>
      <c r="C4031" s="23" t="s">
        <v>2769</v>
      </c>
      <c r="D4031" s="23" t="str">
        <f t="shared" si="186"/>
        <v>ORD26001151</v>
      </c>
      <c r="E4031" s="38">
        <v>46287</v>
      </c>
      <c r="F4031" s="23" t="s">
        <v>12410</v>
      </c>
      <c r="G4031" s="23" t="s">
        <v>79</v>
      </c>
      <c r="H4031" s="24">
        <v>499</v>
      </c>
      <c r="I4031" s="24">
        <v>8.98</v>
      </c>
      <c r="J4031" s="24">
        <v>1.62</v>
      </c>
      <c r="K4031" s="24">
        <v>488.4</v>
      </c>
      <c r="L4031" s="38">
        <v>46289</v>
      </c>
      <c r="M4031" s="23" t="s">
        <v>220</v>
      </c>
      <c r="N4031" s="23" t="str">
        <f>IF(COUNTIF($A$2:A4031,A4031)&gt;1,"DUP","OK")</f>
        <v>OK</v>
      </c>
      <c r="O4031" s="23" t="str">
        <f t="shared" si="187"/>
        <v>ORD26001151</v>
      </c>
      <c r="P4031" s="23" t="str">
        <f t="shared" si="188"/>
        <v>Sep</v>
      </c>
      <c r="Q4031" s="23" t="str">
        <f>IF(F4031="CAPTURE",IF(COUNTIF(orders!$A:$A,O4031)&gt;0,"Yes","NO ORDER"),"")</f>
        <v>Yes</v>
      </c>
    </row>
    <row r="4032" spans="1:17" ht="15" customHeight="1" x14ac:dyDescent="0.3">
      <c r="A4032" s="23" t="s">
        <v>17063</v>
      </c>
      <c r="B4032" s="23"/>
      <c r="C4032" s="23" t="s">
        <v>2907</v>
      </c>
      <c r="D4032" s="23" t="str">
        <f t="shared" si="186"/>
        <v>ORD26001219</v>
      </c>
      <c r="E4032" s="38">
        <v>46287</v>
      </c>
      <c r="F4032" s="23" t="s">
        <v>12410</v>
      </c>
      <c r="G4032" s="23" t="s">
        <v>79</v>
      </c>
      <c r="H4032" s="24">
        <v>1799</v>
      </c>
      <c r="I4032" s="24">
        <v>32.380000000000003</v>
      </c>
      <c r="J4032" s="24">
        <v>5.83</v>
      </c>
      <c r="K4032" s="24">
        <v>1760.79</v>
      </c>
      <c r="L4032" s="38">
        <v>46289</v>
      </c>
      <c r="M4032" s="23" t="s">
        <v>220</v>
      </c>
      <c r="N4032" s="23" t="str">
        <f>IF(COUNTIF($A$2:A4032,A4032)&gt;1,"DUP","OK")</f>
        <v>OK</v>
      </c>
      <c r="O4032" s="23" t="str">
        <f t="shared" si="187"/>
        <v>ORD26001219</v>
      </c>
      <c r="P4032" s="23" t="str">
        <f t="shared" si="188"/>
        <v>Sep</v>
      </c>
      <c r="Q4032" s="23" t="str">
        <f>IF(F4032="CAPTURE",IF(COUNTIF(orders!$A:$A,O4032)&gt;0,"Yes","NO ORDER"),"")</f>
        <v>Yes</v>
      </c>
    </row>
    <row r="4033" spans="1:17" ht="15" customHeight="1" x14ac:dyDescent="0.3">
      <c r="A4033" s="23" t="s">
        <v>17064</v>
      </c>
      <c r="B4033" s="23"/>
      <c r="C4033" s="23" t="s">
        <v>3018</v>
      </c>
      <c r="D4033" s="23" t="str">
        <f t="shared" si="186"/>
        <v>ORD26001272</v>
      </c>
      <c r="E4033" s="38">
        <v>46287</v>
      </c>
      <c r="F4033" s="23" t="s">
        <v>12410</v>
      </c>
      <c r="G4033" s="23" t="s">
        <v>79</v>
      </c>
      <c r="H4033" s="24">
        <v>1947</v>
      </c>
      <c r="I4033" s="24">
        <v>35.049999999999997</v>
      </c>
      <c r="J4033" s="24">
        <v>6.31</v>
      </c>
      <c r="K4033" s="24">
        <v>1905.64</v>
      </c>
      <c r="L4033" s="38">
        <v>46289</v>
      </c>
      <c r="M4033" s="23" t="s">
        <v>220</v>
      </c>
      <c r="N4033" s="23" t="str">
        <f>IF(COUNTIF($A$2:A4033,A4033)&gt;1,"DUP","OK")</f>
        <v>OK</v>
      </c>
      <c r="O4033" s="23" t="str">
        <f t="shared" si="187"/>
        <v>ORD26001272</v>
      </c>
      <c r="P4033" s="23" t="str">
        <f t="shared" si="188"/>
        <v>Sep</v>
      </c>
      <c r="Q4033" s="23" t="str">
        <f>IF(F4033="CAPTURE",IF(COUNTIF(orders!$A:$A,O4033)&gt;0,"Yes","NO ORDER"),"")</f>
        <v>Yes</v>
      </c>
    </row>
    <row r="4034" spans="1:17" ht="15" customHeight="1" x14ac:dyDescent="0.3">
      <c r="A4034" s="23" t="s">
        <v>17065</v>
      </c>
      <c r="B4034" s="23"/>
      <c r="C4034" s="23" t="s">
        <v>3198</v>
      </c>
      <c r="D4034" s="23" t="str">
        <f t="shared" ref="D4034:D4097" si="189">UPPER(SUBSTITUTE(TRIM(C4034),"-",""))</f>
        <v>ORD26001359</v>
      </c>
      <c r="E4034" s="38">
        <v>46287</v>
      </c>
      <c r="F4034" s="23" t="s">
        <v>12410</v>
      </c>
      <c r="G4034" s="23" t="s">
        <v>75</v>
      </c>
      <c r="H4034" s="24">
        <v>499</v>
      </c>
      <c r="I4034" s="24">
        <v>0</v>
      </c>
      <c r="J4034" s="24">
        <v>0</v>
      </c>
      <c r="K4034" s="24">
        <v>499</v>
      </c>
      <c r="L4034" s="38">
        <v>46289</v>
      </c>
      <c r="M4034" s="23" t="s">
        <v>220</v>
      </c>
      <c r="N4034" s="23" t="str">
        <f>IF(COUNTIF($A$2:A4034,A4034)&gt;1,"DUP","OK")</f>
        <v>OK</v>
      </c>
      <c r="O4034" s="23" t="str">
        <f t="shared" ref="O4034:O4097" si="190">IF(F4034="REFUND",INDEX($D:$D,MATCH(B4034,$A:$A,0)),D4034)</f>
        <v>ORD26001359</v>
      </c>
      <c r="P4034" s="23" t="str">
        <f t="shared" ref="P4034:P4097" si="191">IF(L4034&gt;DATE(2026,9,30),"Oct-Due","Sep")</f>
        <v>Sep</v>
      </c>
      <c r="Q4034" s="23" t="str">
        <f>IF(F4034="CAPTURE",IF(COUNTIF(orders!$A:$A,O4034)&gt;0,"Yes","NO ORDER"),"")</f>
        <v>Yes</v>
      </c>
    </row>
    <row r="4035" spans="1:17" ht="15" customHeight="1" x14ac:dyDescent="0.3">
      <c r="A4035" s="23" t="s">
        <v>17066</v>
      </c>
      <c r="B4035" s="23"/>
      <c r="C4035" s="23" t="s">
        <v>17067</v>
      </c>
      <c r="D4035" s="23" t="str">
        <f t="shared" si="189"/>
        <v>ORD26001371</v>
      </c>
      <c r="E4035" s="38">
        <v>46287</v>
      </c>
      <c r="F4035" s="23" t="s">
        <v>12410</v>
      </c>
      <c r="G4035" s="23" t="s">
        <v>77</v>
      </c>
      <c r="H4035" s="24">
        <v>1997</v>
      </c>
      <c r="I4035" s="24">
        <v>37.94</v>
      </c>
      <c r="J4035" s="24">
        <v>6.83</v>
      </c>
      <c r="K4035" s="24">
        <v>1952.23</v>
      </c>
      <c r="L4035" s="38">
        <v>46289</v>
      </c>
      <c r="M4035" s="23" t="s">
        <v>220</v>
      </c>
      <c r="N4035" s="23" t="str">
        <f>IF(COUNTIF($A$2:A4035,A4035)&gt;1,"DUP","OK")</f>
        <v>OK</v>
      </c>
      <c r="O4035" s="23" t="str">
        <f t="shared" si="190"/>
        <v>ORD26001371</v>
      </c>
      <c r="P4035" s="23" t="str">
        <f t="shared" si="191"/>
        <v>Sep</v>
      </c>
      <c r="Q4035" s="23" t="str">
        <f>IF(F4035="CAPTURE",IF(COUNTIF(orders!$A:$A,O4035)&gt;0,"Yes","NO ORDER"),"")</f>
        <v>Yes</v>
      </c>
    </row>
    <row r="4036" spans="1:17" ht="15" customHeight="1" x14ac:dyDescent="0.3">
      <c r="A4036" s="23" t="s">
        <v>17068</v>
      </c>
      <c r="B4036" s="23"/>
      <c r="C4036" s="23" t="s">
        <v>3312</v>
      </c>
      <c r="D4036" s="23" t="str">
        <f t="shared" si="189"/>
        <v>ORD26001415</v>
      </c>
      <c r="E4036" s="38">
        <v>46287</v>
      </c>
      <c r="F4036" s="23" t="s">
        <v>12410</v>
      </c>
      <c r="G4036" s="23" t="s">
        <v>75</v>
      </c>
      <c r="H4036" s="24">
        <v>11297</v>
      </c>
      <c r="I4036" s="24">
        <v>33.89</v>
      </c>
      <c r="J4036" s="24">
        <v>6.1</v>
      </c>
      <c r="K4036" s="24">
        <v>11257.01</v>
      </c>
      <c r="L4036" s="38">
        <v>46289</v>
      </c>
      <c r="M4036" s="23" t="s">
        <v>220</v>
      </c>
      <c r="N4036" s="23" t="str">
        <f>IF(COUNTIF($A$2:A4036,A4036)&gt;1,"DUP","OK")</f>
        <v>OK</v>
      </c>
      <c r="O4036" s="23" t="str">
        <f t="shared" si="190"/>
        <v>ORD26001415</v>
      </c>
      <c r="P4036" s="23" t="str">
        <f t="shared" si="191"/>
        <v>Sep</v>
      </c>
      <c r="Q4036" s="23" t="str">
        <f>IF(F4036="CAPTURE",IF(COUNTIF(orders!$A:$A,O4036)&gt;0,"Yes","NO ORDER"),"")</f>
        <v>Yes</v>
      </c>
    </row>
    <row r="4037" spans="1:17" ht="15" customHeight="1" x14ac:dyDescent="0.3">
      <c r="A4037" s="23" t="s">
        <v>17069</v>
      </c>
      <c r="B4037" s="23"/>
      <c r="C4037" s="23" t="s">
        <v>3329</v>
      </c>
      <c r="D4037" s="23" t="str">
        <f t="shared" si="189"/>
        <v>ORD26001424</v>
      </c>
      <c r="E4037" s="38">
        <v>46287</v>
      </c>
      <c r="F4037" s="23" t="s">
        <v>12410</v>
      </c>
      <c r="G4037" s="23" t="s">
        <v>77</v>
      </c>
      <c r="H4037" s="24">
        <v>3348</v>
      </c>
      <c r="I4037" s="24">
        <v>80.349999999999994</v>
      </c>
      <c r="J4037" s="24">
        <v>14.46</v>
      </c>
      <c r="K4037" s="24">
        <v>3253.19</v>
      </c>
      <c r="L4037" s="38">
        <v>46289</v>
      </c>
      <c r="M4037" s="23" t="s">
        <v>220</v>
      </c>
      <c r="N4037" s="23" t="str">
        <f>IF(COUNTIF($A$2:A4037,A4037)&gt;1,"DUP","OK")</f>
        <v>OK</v>
      </c>
      <c r="O4037" s="23" t="str">
        <f t="shared" si="190"/>
        <v>ORD26001424</v>
      </c>
      <c r="P4037" s="23" t="str">
        <f t="shared" si="191"/>
        <v>Sep</v>
      </c>
      <c r="Q4037" s="23" t="str">
        <f>IF(F4037="CAPTURE",IF(COUNTIF(orders!$A:$A,O4037)&gt;0,"Yes","NO ORDER"),"")</f>
        <v>Yes</v>
      </c>
    </row>
    <row r="4038" spans="1:17" ht="15" customHeight="1" x14ac:dyDescent="0.3">
      <c r="A4038" s="23" t="s">
        <v>17070</v>
      </c>
      <c r="B4038" s="23"/>
      <c r="C4038" s="23" t="s">
        <v>3419</v>
      </c>
      <c r="D4038" s="23" t="str">
        <f t="shared" si="189"/>
        <v>ORD26001468</v>
      </c>
      <c r="E4038" s="38">
        <v>46287</v>
      </c>
      <c r="F4038" s="23" t="s">
        <v>12410</v>
      </c>
      <c r="G4038" s="23" t="s">
        <v>75</v>
      </c>
      <c r="H4038" s="24">
        <v>1648</v>
      </c>
      <c r="I4038" s="24">
        <v>0</v>
      </c>
      <c r="J4038" s="24">
        <v>0</v>
      </c>
      <c r="K4038" s="24">
        <v>1648</v>
      </c>
      <c r="L4038" s="38">
        <v>46289</v>
      </c>
      <c r="M4038" s="23" t="s">
        <v>220</v>
      </c>
      <c r="N4038" s="23" t="str">
        <f>IF(COUNTIF($A$2:A4038,A4038)&gt;1,"DUP","OK")</f>
        <v>OK</v>
      </c>
      <c r="O4038" s="23" t="str">
        <f t="shared" si="190"/>
        <v>ORD26001468</v>
      </c>
      <c r="P4038" s="23" t="str">
        <f t="shared" si="191"/>
        <v>Sep</v>
      </c>
      <c r="Q4038" s="23" t="str">
        <f>IF(F4038="CAPTURE",IF(COUNTIF(orders!$A:$A,O4038)&gt;0,"Yes","NO ORDER"),"")</f>
        <v>Yes</v>
      </c>
    </row>
    <row r="4039" spans="1:17" ht="15" customHeight="1" x14ac:dyDescent="0.3">
      <c r="A4039" s="23" t="s">
        <v>17071</v>
      </c>
      <c r="B4039" s="23"/>
      <c r="C4039" s="23" t="s">
        <v>17072</v>
      </c>
      <c r="D4039" s="23" t="str">
        <f t="shared" si="189"/>
        <v>ORD26001537</v>
      </c>
      <c r="E4039" s="38">
        <v>46287</v>
      </c>
      <c r="F4039" s="23" t="s">
        <v>12410</v>
      </c>
      <c r="G4039" s="23" t="s">
        <v>75</v>
      </c>
      <c r="H4039" s="24">
        <v>948</v>
      </c>
      <c r="I4039" s="24">
        <v>0</v>
      </c>
      <c r="J4039" s="24">
        <v>0</v>
      </c>
      <c r="K4039" s="24">
        <v>948</v>
      </c>
      <c r="L4039" s="38">
        <v>46289</v>
      </c>
      <c r="M4039" s="23" t="s">
        <v>220</v>
      </c>
      <c r="N4039" s="23" t="str">
        <f>IF(COUNTIF($A$2:A4039,A4039)&gt;1,"DUP","OK")</f>
        <v>OK</v>
      </c>
      <c r="O4039" s="23" t="str">
        <f t="shared" si="190"/>
        <v>ORD26001537</v>
      </c>
      <c r="P4039" s="23" t="str">
        <f t="shared" si="191"/>
        <v>Sep</v>
      </c>
      <c r="Q4039" s="23" t="str">
        <f>IF(F4039="CAPTURE",IF(COUNTIF(orders!$A:$A,O4039)&gt;0,"Yes","NO ORDER"),"")</f>
        <v>Yes</v>
      </c>
    </row>
    <row r="4040" spans="1:17" ht="15" customHeight="1" x14ac:dyDescent="0.3">
      <c r="A4040" s="23" t="s">
        <v>17073</v>
      </c>
      <c r="B4040" s="23"/>
      <c r="C4040" s="23" t="s">
        <v>3583</v>
      </c>
      <c r="D4040" s="23" t="str">
        <f t="shared" si="189"/>
        <v>ORD26001547</v>
      </c>
      <c r="E4040" s="38">
        <v>46287</v>
      </c>
      <c r="F4040" s="23" t="s">
        <v>12410</v>
      </c>
      <c r="G4040" s="23" t="s">
        <v>75</v>
      </c>
      <c r="H4040" s="24">
        <v>9847</v>
      </c>
      <c r="I4040" s="24">
        <v>29.54</v>
      </c>
      <c r="J4040" s="24">
        <v>5.32</v>
      </c>
      <c r="K4040" s="24">
        <v>9812.14</v>
      </c>
      <c r="L4040" s="38">
        <v>46289</v>
      </c>
      <c r="M4040" s="23" t="s">
        <v>220</v>
      </c>
      <c r="N4040" s="23" t="str">
        <f>IF(COUNTIF($A$2:A4040,A4040)&gt;1,"DUP","OK")</f>
        <v>OK</v>
      </c>
      <c r="O4040" s="23" t="str">
        <f t="shared" si="190"/>
        <v>ORD26001547</v>
      </c>
      <c r="P4040" s="23" t="str">
        <f t="shared" si="191"/>
        <v>Sep</v>
      </c>
      <c r="Q4040" s="23" t="str">
        <f>IF(F4040="CAPTURE",IF(COUNTIF(orders!$A:$A,O4040)&gt;0,"Yes","NO ORDER"),"")</f>
        <v>Yes</v>
      </c>
    </row>
    <row r="4041" spans="1:17" ht="15" customHeight="1" x14ac:dyDescent="0.3">
      <c r="A4041" s="23" t="s">
        <v>17074</v>
      </c>
      <c r="B4041" s="23"/>
      <c r="C4041" s="23" t="s">
        <v>17075</v>
      </c>
      <c r="D4041" s="23" t="str">
        <f t="shared" si="189"/>
        <v>ORD26001581</v>
      </c>
      <c r="E4041" s="38">
        <v>46287</v>
      </c>
      <c r="F4041" s="23" t="s">
        <v>12410</v>
      </c>
      <c r="G4041" s="23" t="s">
        <v>79</v>
      </c>
      <c r="H4041" s="24">
        <v>3348</v>
      </c>
      <c r="I4041" s="24">
        <v>53.57</v>
      </c>
      <c r="J4041" s="24">
        <v>9.64</v>
      </c>
      <c r="K4041" s="24">
        <v>3284.79</v>
      </c>
      <c r="L4041" s="38">
        <v>46289</v>
      </c>
      <c r="M4041" s="23" t="s">
        <v>220</v>
      </c>
      <c r="N4041" s="23" t="str">
        <f>IF(COUNTIF($A$2:A4041,A4041)&gt;1,"DUP","OK")</f>
        <v>OK</v>
      </c>
      <c r="O4041" s="23" t="str">
        <f t="shared" si="190"/>
        <v>ORD26001581</v>
      </c>
      <c r="P4041" s="23" t="str">
        <f t="shared" si="191"/>
        <v>Sep</v>
      </c>
      <c r="Q4041" s="23" t="str">
        <f>IF(F4041="CAPTURE",IF(COUNTIF(orders!$A:$A,O4041)&gt;0,"Yes","NO ORDER"),"")</f>
        <v>Yes</v>
      </c>
    </row>
    <row r="4042" spans="1:17" ht="15" customHeight="1" x14ac:dyDescent="0.3">
      <c r="A4042" s="23" t="s">
        <v>17076</v>
      </c>
      <c r="B4042" s="23"/>
      <c r="C4042" s="23" t="s">
        <v>3762</v>
      </c>
      <c r="D4042" s="23" t="str">
        <f t="shared" si="189"/>
        <v>ORD26001638</v>
      </c>
      <c r="E4042" s="38">
        <v>46287</v>
      </c>
      <c r="F4042" s="23" t="s">
        <v>12410</v>
      </c>
      <c r="G4042" s="23" t="s">
        <v>75</v>
      </c>
      <c r="H4042" s="24">
        <v>8298</v>
      </c>
      <c r="I4042" s="24">
        <v>24.89</v>
      </c>
      <c r="J4042" s="24">
        <v>4.4800000000000004</v>
      </c>
      <c r="K4042" s="24">
        <v>8268.6299999999992</v>
      </c>
      <c r="L4042" s="38">
        <v>46289</v>
      </c>
      <c r="M4042" s="23" t="s">
        <v>220</v>
      </c>
      <c r="N4042" s="23" t="str">
        <f>IF(COUNTIF($A$2:A4042,A4042)&gt;1,"DUP","OK")</f>
        <v>OK</v>
      </c>
      <c r="O4042" s="23" t="str">
        <f t="shared" si="190"/>
        <v>ORD26001638</v>
      </c>
      <c r="P4042" s="23" t="str">
        <f t="shared" si="191"/>
        <v>Sep</v>
      </c>
      <c r="Q4042" s="23" t="str">
        <f>IF(F4042="CAPTURE",IF(COUNTIF(orders!$A:$A,O4042)&gt;0,"Yes","NO ORDER"),"")</f>
        <v>Yes</v>
      </c>
    </row>
    <row r="4043" spans="1:17" ht="15" customHeight="1" x14ac:dyDescent="0.3">
      <c r="A4043" s="23" t="s">
        <v>17077</v>
      </c>
      <c r="B4043" s="23"/>
      <c r="C4043" s="23" t="s">
        <v>3837</v>
      </c>
      <c r="D4043" s="23" t="str">
        <f t="shared" si="189"/>
        <v>ORD26001676</v>
      </c>
      <c r="E4043" s="38">
        <v>46287</v>
      </c>
      <c r="F4043" s="23" t="s">
        <v>12410</v>
      </c>
      <c r="G4043" s="23" t="s">
        <v>75</v>
      </c>
      <c r="H4043" s="24">
        <v>7999</v>
      </c>
      <c r="I4043" s="24">
        <v>24</v>
      </c>
      <c r="J4043" s="24">
        <v>4.32</v>
      </c>
      <c r="K4043" s="24">
        <v>7970.68</v>
      </c>
      <c r="L4043" s="38">
        <v>46289</v>
      </c>
      <c r="M4043" s="23" t="s">
        <v>220</v>
      </c>
      <c r="N4043" s="23" t="str">
        <f>IF(COUNTIF($A$2:A4043,A4043)&gt;1,"DUP","OK")</f>
        <v>OK</v>
      </c>
      <c r="O4043" s="23" t="str">
        <f t="shared" si="190"/>
        <v>ORD26001676</v>
      </c>
      <c r="P4043" s="23" t="str">
        <f t="shared" si="191"/>
        <v>Sep</v>
      </c>
      <c r="Q4043" s="23" t="str">
        <f>IF(F4043="CAPTURE",IF(COUNTIF(orders!$A:$A,O4043)&gt;0,"Yes","NO ORDER"),"")</f>
        <v>Yes</v>
      </c>
    </row>
    <row r="4044" spans="1:17" ht="15" customHeight="1" x14ac:dyDescent="0.3">
      <c r="A4044" s="23" t="s">
        <v>17078</v>
      </c>
      <c r="B4044" s="23"/>
      <c r="C4044" s="23" t="s">
        <v>4008</v>
      </c>
      <c r="D4044" s="23" t="str">
        <f t="shared" si="189"/>
        <v>ORD26001760</v>
      </c>
      <c r="E4044" s="38">
        <v>46287</v>
      </c>
      <c r="F4044" s="23" t="s">
        <v>12410</v>
      </c>
      <c r="G4044" s="23" t="s">
        <v>79</v>
      </c>
      <c r="H4044" s="24">
        <v>1299</v>
      </c>
      <c r="I4044" s="24">
        <v>23.38</v>
      </c>
      <c r="J4044" s="24">
        <v>4.21</v>
      </c>
      <c r="K4044" s="24">
        <v>1271.4100000000001</v>
      </c>
      <c r="L4044" s="38">
        <v>46289</v>
      </c>
      <c r="M4044" s="23" t="s">
        <v>220</v>
      </c>
      <c r="N4044" s="23" t="str">
        <f>IF(COUNTIF($A$2:A4044,A4044)&gt;1,"DUP","OK")</f>
        <v>OK</v>
      </c>
      <c r="O4044" s="23" t="str">
        <f t="shared" si="190"/>
        <v>ORD26001760</v>
      </c>
      <c r="P4044" s="23" t="str">
        <f t="shared" si="191"/>
        <v>Sep</v>
      </c>
      <c r="Q4044" s="23" t="str">
        <f>IF(F4044="CAPTURE",IF(COUNTIF(orders!$A:$A,O4044)&gt;0,"Yes","NO ORDER"),"")</f>
        <v>Yes</v>
      </c>
    </row>
    <row r="4045" spans="1:17" ht="15" customHeight="1" x14ac:dyDescent="0.3">
      <c r="A4045" s="23" t="s">
        <v>17079</v>
      </c>
      <c r="B4045" s="23"/>
      <c r="C4045" s="23" t="s">
        <v>4165</v>
      </c>
      <c r="D4045" s="23" t="str">
        <f t="shared" si="189"/>
        <v>ORD26001840</v>
      </c>
      <c r="E4045" s="38">
        <v>46287</v>
      </c>
      <c r="F4045" s="23" t="s">
        <v>12410</v>
      </c>
      <c r="G4045" s="23" t="s">
        <v>79</v>
      </c>
      <c r="H4045" s="24">
        <v>999</v>
      </c>
      <c r="I4045" s="24">
        <v>17.98</v>
      </c>
      <c r="J4045" s="24">
        <v>3.24</v>
      </c>
      <c r="K4045" s="24">
        <v>977.78</v>
      </c>
      <c r="L4045" s="38">
        <v>46289</v>
      </c>
      <c r="M4045" s="23" t="s">
        <v>220</v>
      </c>
      <c r="N4045" s="23" t="str">
        <f>IF(COUNTIF($A$2:A4045,A4045)&gt;1,"DUP","OK")</f>
        <v>OK</v>
      </c>
      <c r="O4045" s="23" t="str">
        <f t="shared" si="190"/>
        <v>ORD26001840</v>
      </c>
      <c r="P4045" s="23" t="str">
        <f t="shared" si="191"/>
        <v>Sep</v>
      </c>
      <c r="Q4045" s="23" t="str">
        <f>IF(F4045="CAPTURE",IF(COUNTIF(orders!$A:$A,O4045)&gt;0,"Yes","NO ORDER"),"")</f>
        <v>Yes</v>
      </c>
    </row>
    <row r="4046" spans="1:17" ht="15" customHeight="1" x14ac:dyDescent="0.3">
      <c r="A4046" s="23" t="s">
        <v>17080</v>
      </c>
      <c r="B4046" s="23"/>
      <c r="C4046" s="23" t="s">
        <v>4248</v>
      </c>
      <c r="D4046" s="23" t="str">
        <f t="shared" si="189"/>
        <v>ORD26001881</v>
      </c>
      <c r="E4046" s="38">
        <v>46287</v>
      </c>
      <c r="F4046" s="23" t="s">
        <v>12410</v>
      </c>
      <c r="G4046" s="23" t="s">
        <v>75</v>
      </c>
      <c r="H4046" s="24">
        <v>1098</v>
      </c>
      <c r="I4046" s="24">
        <v>0</v>
      </c>
      <c r="J4046" s="24">
        <v>0</v>
      </c>
      <c r="K4046" s="24">
        <v>1098</v>
      </c>
      <c r="L4046" s="38">
        <v>46289</v>
      </c>
      <c r="M4046" s="23" t="s">
        <v>220</v>
      </c>
      <c r="N4046" s="23" t="str">
        <f>IF(COUNTIF($A$2:A4046,A4046)&gt;1,"DUP","OK")</f>
        <v>OK</v>
      </c>
      <c r="O4046" s="23" t="str">
        <f t="shared" si="190"/>
        <v>ORD26001881</v>
      </c>
      <c r="P4046" s="23" t="str">
        <f t="shared" si="191"/>
        <v>Sep</v>
      </c>
      <c r="Q4046" s="23" t="str">
        <f>IF(F4046="CAPTURE",IF(COUNTIF(orders!$A:$A,O4046)&gt;0,"Yes","NO ORDER"),"")</f>
        <v>Yes</v>
      </c>
    </row>
    <row r="4047" spans="1:17" ht="15" customHeight="1" x14ac:dyDescent="0.3">
      <c r="A4047" s="23" t="s">
        <v>17081</v>
      </c>
      <c r="B4047" s="23"/>
      <c r="C4047" s="23" t="s">
        <v>17082</v>
      </c>
      <c r="D4047" s="23" t="str">
        <f t="shared" si="189"/>
        <v>ORD26001963</v>
      </c>
      <c r="E4047" s="38">
        <v>46287</v>
      </c>
      <c r="F4047" s="23" t="s">
        <v>12410</v>
      </c>
      <c r="G4047" s="23" t="s">
        <v>79</v>
      </c>
      <c r="H4047" s="24">
        <v>2798</v>
      </c>
      <c r="I4047" s="24">
        <v>44.77</v>
      </c>
      <c r="J4047" s="24">
        <v>8.06</v>
      </c>
      <c r="K4047" s="24">
        <v>2745.17</v>
      </c>
      <c r="L4047" s="38">
        <v>46289</v>
      </c>
      <c r="M4047" s="23" t="s">
        <v>220</v>
      </c>
      <c r="N4047" s="23" t="str">
        <f>IF(COUNTIF($A$2:A4047,A4047)&gt;1,"DUP","OK")</f>
        <v>OK</v>
      </c>
      <c r="O4047" s="23" t="str">
        <f t="shared" si="190"/>
        <v>ORD26001963</v>
      </c>
      <c r="P4047" s="23" t="str">
        <f t="shared" si="191"/>
        <v>Sep</v>
      </c>
      <c r="Q4047" s="23" t="str">
        <f>IF(F4047="CAPTURE",IF(COUNTIF(orders!$A:$A,O4047)&gt;0,"Yes","NO ORDER"),"")</f>
        <v>Yes</v>
      </c>
    </row>
    <row r="4048" spans="1:17" ht="15" customHeight="1" x14ac:dyDescent="0.3">
      <c r="A4048" s="23" t="s">
        <v>17083</v>
      </c>
      <c r="B4048" s="23"/>
      <c r="C4048" s="23" t="s">
        <v>4458</v>
      </c>
      <c r="D4048" s="23" t="str">
        <f t="shared" si="189"/>
        <v>ORD26001985</v>
      </c>
      <c r="E4048" s="38">
        <v>46287</v>
      </c>
      <c r="F4048" s="23" t="s">
        <v>12410</v>
      </c>
      <c r="G4048" s="23" t="s">
        <v>75</v>
      </c>
      <c r="H4048" s="24">
        <v>7797</v>
      </c>
      <c r="I4048" s="24">
        <v>23.39</v>
      </c>
      <c r="J4048" s="24">
        <v>4.21</v>
      </c>
      <c r="K4048" s="24">
        <v>7769.4</v>
      </c>
      <c r="L4048" s="38">
        <v>46289</v>
      </c>
      <c r="M4048" s="23" t="s">
        <v>220</v>
      </c>
      <c r="N4048" s="23" t="str">
        <f>IF(COUNTIF($A$2:A4048,A4048)&gt;1,"DUP","OK")</f>
        <v>OK</v>
      </c>
      <c r="O4048" s="23" t="str">
        <f t="shared" si="190"/>
        <v>ORD26001985</v>
      </c>
      <c r="P4048" s="23" t="str">
        <f t="shared" si="191"/>
        <v>Sep</v>
      </c>
      <c r="Q4048" s="23" t="str">
        <f>IF(F4048="CAPTURE",IF(COUNTIF(orders!$A:$A,O4048)&gt;0,"Yes","NO ORDER"),"")</f>
        <v>Yes</v>
      </c>
    </row>
    <row r="4049" spans="1:17" ht="15" customHeight="1" x14ac:dyDescent="0.3">
      <c r="A4049" s="23" t="s">
        <v>17084</v>
      </c>
      <c r="B4049" s="23"/>
      <c r="C4049" s="23" t="s">
        <v>4646</v>
      </c>
      <c r="D4049" s="23" t="str">
        <f t="shared" si="189"/>
        <v>ORD26002077</v>
      </c>
      <c r="E4049" s="38">
        <v>46287</v>
      </c>
      <c r="F4049" s="23" t="s">
        <v>12410</v>
      </c>
      <c r="G4049" s="23" t="s">
        <v>75</v>
      </c>
      <c r="H4049" s="24">
        <v>1998</v>
      </c>
      <c r="I4049" s="24">
        <v>0</v>
      </c>
      <c r="J4049" s="24">
        <v>0</v>
      </c>
      <c r="K4049" s="24">
        <v>1998</v>
      </c>
      <c r="L4049" s="38">
        <v>46289</v>
      </c>
      <c r="M4049" s="23" t="s">
        <v>220</v>
      </c>
      <c r="N4049" s="23" t="str">
        <f>IF(COUNTIF($A$2:A4049,A4049)&gt;1,"DUP","OK")</f>
        <v>OK</v>
      </c>
      <c r="O4049" s="23" t="str">
        <f t="shared" si="190"/>
        <v>ORD26002077</v>
      </c>
      <c r="P4049" s="23" t="str">
        <f t="shared" si="191"/>
        <v>Sep</v>
      </c>
      <c r="Q4049" s="23" t="str">
        <f>IF(F4049="CAPTURE",IF(COUNTIF(orders!$A:$A,O4049)&gt;0,"Yes","NO ORDER"),"")</f>
        <v>Yes</v>
      </c>
    </row>
    <row r="4050" spans="1:17" ht="15" customHeight="1" x14ac:dyDescent="0.3">
      <c r="A4050" s="23" t="s">
        <v>17085</v>
      </c>
      <c r="B4050" s="23"/>
      <c r="C4050" s="23" t="s">
        <v>17086</v>
      </c>
      <c r="D4050" s="23" t="str">
        <f t="shared" si="189"/>
        <v>ORD26002095</v>
      </c>
      <c r="E4050" s="38">
        <v>46287</v>
      </c>
      <c r="F4050" s="23" t="s">
        <v>12410</v>
      </c>
      <c r="G4050" s="23" t="s">
        <v>79</v>
      </c>
      <c r="H4050" s="24">
        <v>8798</v>
      </c>
      <c r="I4050" s="24">
        <v>140.77000000000001</v>
      </c>
      <c r="J4050" s="24">
        <v>25.34</v>
      </c>
      <c r="K4050" s="24">
        <v>8631.89</v>
      </c>
      <c r="L4050" s="38">
        <v>46289</v>
      </c>
      <c r="M4050" s="23" t="s">
        <v>220</v>
      </c>
      <c r="N4050" s="23" t="str">
        <f>IF(COUNTIF($A$2:A4050,A4050)&gt;1,"DUP","OK")</f>
        <v>OK</v>
      </c>
      <c r="O4050" s="23" t="str">
        <f t="shared" si="190"/>
        <v>ORD26002095</v>
      </c>
      <c r="P4050" s="23" t="str">
        <f t="shared" si="191"/>
        <v>Sep</v>
      </c>
      <c r="Q4050" s="23" t="str">
        <f>IF(F4050="CAPTURE",IF(COUNTIF(orders!$A:$A,O4050)&gt;0,"Yes","NO ORDER"),"")</f>
        <v>Yes</v>
      </c>
    </row>
    <row r="4051" spans="1:17" ht="15" customHeight="1" x14ac:dyDescent="0.3">
      <c r="A4051" s="23" t="s">
        <v>17087</v>
      </c>
      <c r="B4051" s="23"/>
      <c r="C4051" s="23" t="s">
        <v>4760</v>
      </c>
      <c r="D4051" s="23" t="str">
        <f t="shared" si="189"/>
        <v>ORD26002135</v>
      </c>
      <c r="E4051" s="38">
        <v>46287</v>
      </c>
      <c r="F4051" s="23" t="s">
        <v>12410</v>
      </c>
      <c r="G4051" s="23" t="s">
        <v>75</v>
      </c>
      <c r="H4051" s="24">
        <v>2598</v>
      </c>
      <c r="I4051" s="24">
        <v>7.79</v>
      </c>
      <c r="J4051" s="24">
        <v>1.4</v>
      </c>
      <c r="K4051" s="24">
        <v>2588.81</v>
      </c>
      <c r="L4051" s="38">
        <v>46289</v>
      </c>
      <c r="M4051" s="23" t="s">
        <v>220</v>
      </c>
      <c r="N4051" s="23" t="str">
        <f>IF(COUNTIF($A$2:A4051,A4051)&gt;1,"DUP","OK")</f>
        <v>OK</v>
      </c>
      <c r="O4051" s="23" t="str">
        <f t="shared" si="190"/>
        <v>ORD26002135</v>
      </c>
      <c r="P4051" s="23" t="str">
        <f t="shared" si="191"/>
        <v>Sep</v>
      </c>
      <c r="Q4051" s="23" t="str">
        <f>IF(F4051="CAPTURE",IF(COUNTIF(orders!$A:$A,O4051)&gt;0,"Yes","NO ORDER"),"")</f>
        <v>Yes</v>
      </c>
    </row>
    <row r="4052" spans="1:17" ht="15" customHeight="1" x14ac:dyDescent="0.3">
      <c r="A4052" s="23" t="s">
        <v>17088</v>
      </c>
      <c r="B4052" s="23"/>
      <c r="C4052" s="23" t="s">
        <v>4835</v>
      </c>
      <c r="D4052" s="23" t="str">
        <f t="shared" si="189"/>
        <v>ORD26002173</v>
      </c>
      <c r="E4052" s="38">
        <v>46287</v>
      </c>
      <c r="F4052" s="23" t="s">
        <v>12410</v>
      </c>
      <c r="G4052" s="23" t="s">
        <v>75</v>
      </c>
      <c r="H4052" s="24">
        <v>3947</v>
      </c>
      <c r="I4052" s="24">
        <v>11.84</v>
      </c>
      <c r="J4052" s="24">
        <v>2.13</v>
      </c>
      <c r="K4052" s="24">
        <v>3933.03</v>
      </c>
      <c r="L4052" s="38">
        <v>46289</v>
      </c>
      <c r="M4052" s="23" t="s">
        <v>220</v>
      </c>
      <c r="N4052" s="23" t="str">
        <f>IF(COUNTIF($A$2:A4052,A4052)&gt;1,"DUP","OK")</f>
        <v>OK</v>
      </c>
      <c r="O4052" s="23" t="str">
        <f t="shared" si="190"/>
        <v>ORD26002173</v>
      </c>
      <c r="P4052" s="23" t="str">
        <f t="shared" si="191"/>
        <v>Sep</v>
      </c>
      <c r="Q4052" s="23" t="str">
        <f>IF(F4052="CAPTURE",IF(COUNTIF(orders!$A:$A,O4052)&gt;0,"Yes","NO ORDER"),"")</f>
        <v>Yes</v>
      </c>
    </row>
    <row r="4053" spans="1:17" ht="15" customHeight="1" x14ac:dyDescent="0.3">
      <c r="A4053" s="23" t="s">
        <v>17089</v>
      </c>
      <c r="B4053" s="23"/>
      <c r="C4053" s="23" t="s">
        <v>4909</v>
      </c>
      <c r="D4053" s="23" t="str">
        <f t="shared" si="189"/>
        <v>ORD26002209</v>
      </c>
      <c r="E4053" s="38">
        <v>46287</v>
      </c>
      <c r="F4053" s="23" t="s">
        <v>12410</v>
      </c>
      <c r="G4053" s="23" t="s">
        <v>77</v>
      </c>
      <c r="H4053" s="24">
        <v>4298</v>
      </c>
      <c r="I4053" s="24">
        <v>73.069999999999993</v>
      </c>
      <c r="J4053" s="24">
        <v>13.15</v>
      </c>
      <c r="K4053" s="24">
        <v>4211.78</v>
      </c>
      <c r="L4053" s="38">
        <v>46289</v>
      </c>
      <c r="M4053" s="23" t="s">
        <v>220</v>
      </c>
      <c r="N4053" s="23" t="str">
        <f>IF(COUNTIF($A$2:A4053,A4053)&gt;1,"DUP","OK")</f>
        <v>OK</v>
      </c>
      <c r="O4053" s="23" t="str">
        <f t="shared" si="190"/>
        <v>ORD26002209</v>
      </c>
      <c r="P4053" s="23" t="str">
        <f t="shared" si="191"/>
        <v>Sep</v>
      </c>
      <c r="Q4053" s="23" t="str">
        <f>IF(F4053="CAPTURE",IF(COUNTIF(orders!$A:$A,O4053)&gt;0,"Yes","NO ORDER"),"")</f>
        <v>Yes</v>
      </c>
    </row>
    <row r="4054" spans="1:17" ht="15" customHeight="1" x14ac:dyDescent="0.3">
      <c r="A4054" s="23" t="s">
        <v>17090</v>
      </c>
      <c r="B4054" s="23"/>
      <c r="C4054" s="23" t="s">
        <v>4932</v>
      </c>
      <c r="D4054" s="23" t="str">
        <f t="shared" si="189"/>
        <v>ORD26002220</v>
      </c>
      <c r="E4054" s="38">
        <v>46287</v>
      </c>
      <c r="F4054" s="23" t="s">
        <v>12410</v>
      </c>
      <c r="G4054" s="23" t="s">
        <v>75</v>
      </c>
      <c r="H4054" s="24">
        <v>999</v>
      </c>
      <c r="I4054" s="24">
        <v>0</v>
      </c>
      <c r="J4054" s="24">
        <v>0</v>
      </c>
      <c r="K4054" s="24">
        <v>999</v>
      </c>
      <c r="L4054" s="38">
        <v>46289</v>
      </c>
      <c r="M4054" s="23" t="s">
        <v>220</v>
      </c>
      <c r="N4054" s="23" t="str">
        <f>IF(COUNTIF($A$2:A4054,A4054)&gt;1,"DUP","OK")</f>
        <v>OK</v>
      </c>
      <c r="O4054" s="23" t="str">
        <f t="shared" si="190"/>
        <v>ORD26002220</v>
      </c>
      <c r="P4054" s="23" t="str">
        <f t="shared" si="191"/>
        <v>Sep</v>
      </c>
      <c r="Q4054" s="23" t="str">
        <f>IF(F4054="CAPTURE",IF(COUNTIF(orders!$A:$A,O4054)&gt;0,"Yes","NO ORDER"),"")</f>
        <v>Yes</v>
      </c>
    </row>
    <row r="4055" spans="1:17" ht="15" customHeight="1" x14ac:dyDescent="0.3">
      <c r="A4055" s="23" t="s">
        <v>17091</v>
      </c>
      <c r="B4055" s="23"/>
      <c r="C4055" s="23" t="s">
        <v>5038</v>
      </c>
      <c r="D4055" s="23" t="str">
        <f t="shared" si="189"/>
        <v>ORD26002272</v>
      </c>
      <c r="E4055" s="38">
        <v>46287</v>
      </c>
      <c r="F4055" s="23" t="s">
        <v>12410</v>
      </c>
      <c r="G4055" s="23" t="s">
        <v>79</v>
      </c>
      <c r="H4055" s="24">
        <v>1299</v>
      </c>
      <c r="I4055" s="24">
        <v>23.38</v>
      </c>
      <c r="J4055" s="24">
        <v>4.21</v>
      </c>
      <c r="K4055" s="24">
        <v>1271.4100000000001</v>
      </c>
      <c r="L4055" s="38">
        <v>46289</v>
      </c>
      <c r="M4055" s="23" t="s">
        <v>220</v>
      </c>
      <c r="N4055" s="23" t="str">
        <f>IF(COUNTIF($A$2:A4055,A4055)&gt;1,"DUP","OK")</f>
        <v>OK</v>
      </c>
      <c r="O4055" s="23" t="str">
        <f t="shared" si="190"/>
        <v>ORD26002272</v>
      </c>
      <c r="P4055" s="23" t="str">
        <f t="shared" si="191"/>
        <v>Sep</v>
      </c>
      <c r="Q4055" s="23" t="str">
        <f>IF(F4055="CAPTURE",IF(COUNTIF(orders!$A:$A,O4055)&gt;0,"Yes","NO ORDER"),"")</f>
        <v>Yes</v>
      </c>
    </row>
    <row r="4056" spans="1:17" ht="15" customHeight="1" x14ac:dyDescent="0.3">
      <c r="A4056" s="23" t="s">
        <v>17092</v>
      </c>
      <c r="B4056" s="23"/>
      <c r="C4056" s="23" t="s">
        <v>5114</v>
      </c>
      <c r="D4056" s="23" t="str">
        <f t="shared" si="189"/>
        <v>ORD26002310</v>
      </c>
      <c r="E4056" s="38">
        <v>46287</v>
      </c>
      <c r="F4056" s="23" t="s">
        <v>12410</v>
      </c>
      <c r="G4056" s="23" t="s">
        <v>75</v>
      </c>
      <c r="H4056" s="24">
        <v>2298</v>
      </c>
      <c r="I4056" s="24">
        <v>6.89</v>
      </c>
      <c r="J4056" s="24">
        <v>1.24</v>
      </c>
      <c r="K4056" s="24">
        <v>2289.87</v>
      </c>
      <c r="L4056" s="38">
        <v>46289</v>
      </c>
      <c r="M4056" s="23" t="s">
        <v>220</v>
      </c>
      <c r="N4056" s="23" t="str">
        <f>IF(COUNTIF($A$2:A4056,A4056)&gt;1,"DUP","OK")</f>
        <v>OK</v>
      </c>
      <c r="O4056" s="23" t="str">
        <f t="shared" si="190"/>
        <v>ORD26002310</v>
      </c>
      <c r="P4056" s="23" t="str">
        <f t="shared" si="191"/>
        <v>Sep</v>
      </c>
      <c r="Q4056" s="23" t="str">
        <f>IF(F4056="CAPTURE",IF(COUNTIF(orders!$A:$A,O4056)&gt;0,"Yes","NO ORDER"),"")</f>
        <v>Yes</v>
      </c>
    </row>
    <row r="4057" spans="1:17" ht="15" customHeight="1" x14ac:dyDescent="0.3">
      <c r="A4057" s="23" t="s">
        <v>17093</v>
      </c>
      <c r="B4057" s="23"/>
      <c r="C4057" s="23" t="s">
        <v>17094</v>
      </c>
      <c r="D4057" s="23" t="str">
        <f t="shared" si="189"/>
        <v>ORD26002319</v>
      </c>
      <c r="E4057" s="38">
        <v>46287</v>
      </c>
      <c r="F4057" s="23" t="s">
        <v>12410</v>
      </c>
      <c r="G4057" s="23" t="s">
        <v>79</v>
      </c>
      <c r="H4057" s="24">
        <v>9997</v>
      </c>
      <c r="I4057" s="24">
        <v>159.94999999999999</v>
      </c>
      <c r="J4057" s="24">
        <v>28.79</v>
      </c>
      <c r="K4057" s="24">
        <v>9808.26</v>
      </c>
      <c r="L4057" s="38">
        <v>46289</v>
      </c>
      <c r="M4057" s="23" t="s">
        <v>220</v>
      </c>
      <c r="N4057" s="23" t="str">
        <f>IF(COUNTIF($A$2:A4057,A4057)&gt;1,"DUP","OK")</f>
        <v>OK</v>
      </c>
      <c r="O4057" s="23" t="str">
        <f t="shared" si="190"/>
        <v>ORD26002319</v>
      </c>
      <c r="P4057" s="23" t="str">
        <f t="shared" si="191"/>
        <v>Sep</v>
      </c>
      <c r="Q4057" s="23" t="str">
        <f>IF(F4057="CAPTURE",IF(COUNTIF(orders!$A:$A,O4057)&gt;0,"Yes","NO ORDER"),"")</f>
        <v>Yes</v>
      </c>
    </row>
    <row r="4058" spans="1:17" ht="15" customHeight="1" x14ac:dyDescent="0.3">
      <c r="A4058" s="23" t="s">
        <v>17095</v>
      </c>
      <c r="B4058" s="23"/>
      <c r="C4058" s="23" t="s">
        <v>5182</v>
      </c>
      <c r="D4058" s="23" t="str">
        <f t="shared" si="189"/>
        <v>ORD26002344</v>
      </c>
      <c r="E4058" s="38">
        <v>46287</v>
      </c>
      <c r="F4058" s="23" t="s">
        <v>12410</v>
      </c>
      <c r="G4058" s="23" t="s">
        <v>75</v>
      </c>
      <c r="H4058" s="24">
        <v>1499</v>
      </c>
      <c r="I4058" s="24">
        <v>0</v>
      </c>
      <c r="J4058" s="24">
        <v>0</v>
      </c>
      <c r="K4058" s="24">
        <v>1499</v>
      </c>
      <c r="L4058" s="38">
        <v>46289</v>
      </c>
      <c r="M4058" s="23" t="s">
        <v>220</v>
      </c>
      <c r="N4058" s="23" t="str">
        <f>IF(COUNTIF($A$2:A4058,A4058)&gt;1,"DUP","OK")</f>
        <v>OK</v>
      </c>
      <c r="O4058" s="23" t="str">
        <f t="shared" si="190"/>
        <v>ORD26002344</v>
      </c>
      <c r="P4058" s="23" t="str">
        <f t="shared" si="191"/>
        <v>Sep</v>
      </c>
      <c r="Q4058" s="23" t="str">
        <f>IF(F4058="CAPTURE",IF(COUNTIF(orders!$A:$A,O4058)&gt;0,"Yes","NO ORDER"),"")</f>
        <v>Yes</v>
      </c>
    </row>
    <row r="4059" spans="1:17" ht="15" customHeight="1" x14ac:dyDescent="0.3">
      <c r="A4059" s="23" t="s">
        <v>17096</v>
      </c>
      <c r="B4059" s="23"/>
      <c r="C4059" s="23" t="s">
        <v>5259</v>
      </c>
      <c r="D4059" s="23" t="str">
        <f t="shared" si="189"/>
        <v>ORD26002383</v>
      </c>
      <c r="E4059" s="38">
        <v>46287</v>
      </c>
      <c r="F4059" s="23" t="s">
        <v>12410</v>
      </c>
      <c r="G4059" s="23" t="s">
        <v>79</v>
      </c>
      <c r="H4059" s="24">
        <v>1299</v>
      </c>
      <c r="I4059" s="24">
        <v>23.38</v>
      </c>
      <c r="J4059" s="24">
        <v>4.21</v>
      </c>
      <c r="K4059" s="24">
        <v>1271.4100000000001</v>
      </c>
      <c r="L4059" s="38">
        <v>46289</v>
      </c>
      <c r="M4059" s="23" t="s">
        <v>220</v>
      </c>
      <c r="N4059" s="23" t="str">
        <f>IF(COUNTIF($A$2:A4059,A4059)&gt;1,"DUP","OK")</f>
        <v>OK</v>
      </c>
      <c r="O4059" s="23" t="str">
        <f t="shared" si="190"/>
        <v>ORD26002383</v>
      </c>
      <c r="P4059" s="23" t="str">
        <f t="shared" si="191"/>
        <v>Sep</v>
      </c>
      <c r="Q4059" s="23" t="str">
        <f>IF(F4059="CAPTURE",IF(COUNTIF(orders!$A:$A,O4059)&gt;0,"Yes","NO ORDER"),"")</f>
        <v>Yes</v>
      </c>
    </row>
    <row r="4060" spans="1:17" ht="15" customHeight="1" x14ac:dyDescent="0.3">
      <c r="A4060" s="23" t="s">
        <v>17097</v>
      </c>
      <c r="B4060" s="23"/>
      <c r="C4060" s="23" t="s">
        <v>5339</v>
      </c>
      <c r="D4060" s="23" t="str">
        <f t="shared" si="189"/>
        <v>ORD26002424</v>
      </c>
      <c r="E4060" s="38">
        <v>46287</v>
      </c>
      <c r="F4060" s="23" t="s">
        <v>12410</v>
      </c>
      <c r="G4060" s="23" t="s">
        <v>75</v>
      </c>
      <c r="H4060" s="24">
        <v>8497</v>
      </c>
      <c r="I4060" s="24">
        <v>25.49</v>
      </c>
      <c r="J4060" s="24">
        <v>4.59</v>
      </c>
      <c r="K4060" s="24">
        <v>8466.92</v>
      </c>
      <c r="L4060" s="38">
        <v>46289</v>
      </c>
      <c r="M4060" s="23" t="s">
        <v>220</v>
      </c>
      <c r="N4060" s="23" t="str">
        <f>IF(COUNTIF($A$2:A4060,A4060)&gt;1,"DUP","OK")</f>
        <v>OK</v>
      </c>
      <c r="O4060" s="23" t="str">
        <f t="shared" si="190"/>
        <v>ORD26002424</v>
      </c>
      <c r="P4060" s="23" t="str">
        <f t="shared" si="191"/>
        <v>Sep</v>
      </c>
      <c r="Q4060" s="23" t="str">
        <f>IF(F4060="CAPTURE",IF(COUNTIF(orders!$A:$A,O4060)&gt;0,"Yes","NO ORDER"),"")</f>
        <v>Yes</v>
      </c>
    </row>
    <row r="4061" spans="1:17" ht="15" customHeight="1" x14ac:dyDescent="0.3">
      <c r="A4061" s="23" t="s">
        <v>17098</v>
      </c>
      <c r="B4061" s="23"/>
      <c r="C4061" s="23" t="s">
        <v>5379</v>
      </c>
      <c r="D4061" s="23" t="str">
        <f t="shared" si="189"/>
        <v>ORD26002444</v>
      </c>
      <c r="E4061" s="38">
        <v>46287</v>
      </c>
      <c r="F4061" s="23" t="s">
        <v>12410</v>
      </c>
      <c r="G4061" s="23" t="s">
        <v>75</v>
      </c>
      <c r="H4061" s="24">
        <v>648</v>
      </c>
      <c r="I4061" s="24">
        <v>1.94</v>
      </c>
      <c r="J4061" s="24">
        <v>0.35</v>
      </c>
      <c r="K4061" s="24">
        <v>645.71</v>
      </c>
      <c r="L4061" s="38">
        <v>46289</v>
      </c>
      <c r="M4061" s="23" t="s">
        <v>220</v>
      </c>
      <c r="N4061" s="23" t="str">
        <f>IF(COUNTIF($A$2:A4061,A4061)&gt;1,"DUP","OK")</f>
        <v>OK</v>
      </c>
      <c r="O4061" s="23" t="str">
        <f t="shared" si="190"/>
        <v>ORD26002444</v>
      </c>
      <c r="P4061" s="23" t="str">
        <f t="shared" si="191"/>
        <v>Sep</v>
      </c>
      <c r="Q4061" s="23" t="str">
        <f>IF(F4061="CAPTURE",IF(COUNTIF(orders!$A:$A,O4061)&gt;0,"Yes","NO ORDER"),"")</f>
        <v>Yes</v>
      </c>
    </row>
    <row r="4062" spans="1:17" ht="15" customHeight="1" x14ac:dyDescent="0.3">
      <c r="A4062" s="23" t="s">
        <v>17099</v>
      </c>
      <c r="B4062" s="23"/>
      <c r="C4062" s="23" t="s">
        <v>5387</v>
      </c>
      <c r="D4062" s="23" t="str">
        <f t="shared" si="189"/>
        <v>ORD26002448</v>
      </c>
      <c r="E4062" s="38">
        <v>46287</v>
      </c>
      <c r="F4062" s="23" t="s">
        <v>12410</v>
      </c>
      <c r="G4062" s="23" t="s">
        <v>79</v>
      </c>
      <c r="H4062" s="24">
        <v>3647</v>
      </c>
      <c r="I4062" s="24">
        <v>58.35</v>
      </c>
      <c r="J4062" s="24">
        <v>10.5</v>
      </c>
      <c r="K4062" s="24">
        <v>3578.15</v>
      </c>
      <c r="L4062" s="38">
        <v>46289</v>
      </c>
      <c r="M4062" s="23" t="s">
        <v>220</v>
      </c>
      <c r="N4062" s="23" t="str">
        <f>IF(COUNTIF($A$2:A4062,A4062)&gt;1,"DUP","OK")</f>
        <v>OK</v>
      </c>
      <c r="O4062" s="23" t="str">
        <f t="shared" si="190"/>
        <v>ORD26002448</v>
      </c>
      <c r="P4062" s="23" t="str">
        <f t="shared" si="191"/>
        <v>Sep</v>
      </c>
      <c r="Q4062" s="23" t="str">
        <f>IF(F4062="CAPTURE",IF(COUNTIF(orders!$A:$A,O4062)&gt;0,"Yes","NO ORDER"),"")</f>
        <v>Yes</v>
      </c>
    </row>
    <row r="4063" spans="1:17" ht="15" customHeight="1" x14ac:dyDescent="0.3">
      <c r="A4063" s="23" t="s">
        <v>17100</v>
      </c>
      <c r="B4063" s="23"/>
      <c r="C4063" s="23" t="s">
        <v>5468</v>
      </c>
      <c r="D4063" s="23" t="str">
        <f t="shared" si="189"/>
        <v>ORD26002490</v>
      </c>
      <c r="E4063" s="38">
        <v>46287</v>
      </c>
      <c r="F4063" s="23" t="s">
        <v>12410</v>
      </c>
      <c r="G4063" s="23" t="s">
        <v>75</v>
      </c>
      <c r="H4063" s="24">
        <v>1299</v>
      </c>
      <c r="I4063" s="24">
        <v>0</v>
      </c>
      <c r="J4063" s="24">
        <v>0</v>
      </c>
      <c r="K4063" s="24">
        <v>1299</v>
      </c>
      <c r="L4063" s="38">
        <v>46289</v>
      </c>
      <c r="M4063" s="23" t="s">
        <v>220</v>
      </c>
      <c r="N4063" s="23" t="str">
        <f>IF(COUNTIF($A$2:A4063,A4063)&gt;1,"DUP","OK")</f>
        <v>OK</v>
      </c>
      <c r="O4063" s="23" t="str">
        <f t="shared" si="190"/>
        <v>ORD26002490</v>
      </c>
      <c r="P4063" s="23" t="str">
        <f t="shared" si="191"/>
        <v>Sep</v>
      </c>
      <c r="Q4063" s="23" t="str">
        <f>IF(F4063="CAPTURE",IF(COUNTIF(orders!$A:$A,O4063)&gt;0,"Yes","NO ORDER"),"")</f>
        <v>Yes</v>
      </c>
    </row>
    <row r="4064" spans="1:17" ht="15" customHeight="1" x14ac:dyDescent="0.3">
      <c r="A4064" s="23" t="s">
        <v>17101</v>
      </c>
      <c r="B4064" s="23"/>
      <c r="C4064" s="23" t="s">
        <v>5576</v>
      </c>
      <c r="D4064" s="23" t="str">
        <f t="shared" si="189"/>
        <v>ORD26002541</v>
      </c>
      <c r="E4064" s="38">
        <v>46287</v>
      </c>
      <c r="F4064" s="23" t="s">
        <v>12410</v>
      </c>
      <c r="G4064" s="23" t="s">
        <v>77</v>
      </c>
      <c r="H4064" s="24">
        <v>11797</v>
      </c>
      <c r="I4064" s="24">
        <v>200.55</v>
      </c>
      <c r="J4064" s="24">
        <v>36.1</v>
      </c>
      <c r="K4064" s="24">
        <v>11560.35</v>
      </c>
      <c r="L4064" s="38">
        <v>46289</v>
      </c>
      <c r="M4064" s="23" t="s">
        <v>220</v>
      </c>
      <c r="N4064" s="23" t="str">
        <f>IF(COUNTIF($A$2:A4064,A4064)&gt;1,"DUP","OK")</f>
        <v>OK</v>
      </c>
      <c r="O4064" s="23" t="str">
        <f t="shared" si="190"/>
        <v>ORD26002541</v>
      </c>
      <c r="P4064" s="23" t="str">
        <f t="shared" si="191"/>
        <v>Sep</v>
      </c>
      <c r="Q4064" s="23" t="str">
        <f>IF(F4064="CAPTURE",IF(COUNTIF(orders!$A:$A,O4064)&gt;0,"Yes","NO ORDER"),"")</f>
        <v>Yes</v>
      </c>
    </row>
    <row r="4065" spans="1:17" ht="15" customHeight="1" x14ac:dyDescent="0.3">
      <c r="A4065" s="23" t="s">
        <v>17102</v>
      </c>
      <c r="B4065" s="23"/>
      <c r="C4065" s="23" t="s">
        <v>5600</v>
      </c>
      <c r="D4065" s="23" t="str">
        <f t="shared" si="189"/>
        <v>ORD26002553</v>
      </c>
      <c r="E4065" s="38">
        <v>46287</v>
      </c>
      <c r="F4065" s="23" t="s">
        <v>12410</v>
      </c>
      <c r="G4065" s="23" t="s">
        <v>79</v>
      </c>
      <c r="H4065" s="24">
        <v>2098</v>
      </c>
      <c r="I4065" s="24">
        <v>33.57</v>
      </c>
      <c r="J4065" s="24">
        <v>6.04</v>
      </c>
      <c r="K4065" s="24">
        <v>2058.39</v>
      </c>
      <c r="L4065" s="38">
        <v>46289</v>
      </c>
      <c r="M4065" s="23" t="s">
        <v>220</v>
      </c>
      <c r="N4065" s="23" t="str">
        <f>IF(COUNTIF($A$2:A4065,A4065)&gt;1,"DUP","OK")</f>
        <v>OK</v>
      </c>
      <c r="O4065" s="23" t="str">
        <f t="shared" si="190"/>
        <v>ORD26002553</v>
      </c>
      <c r="P4065" s="23" t="str">
        <f t="shared" si="191"/>
        <v>Sep</v>
      </c>
      <c r="Q4065" s="23" t="str">
        <f>IF(F4065="CAPTURE",IF(COUNTIF(orders!$A:$A,O4065)&gt;0,"Yes","NO ORDER"),"")</f>
        <v>Yes</v>
      </c>
    </row>
    <row r="4066" spans="1:17" ht="15" customHeight="1" x14ac:dyDescent="0.3">
      <c r="A4066" s="23" t="s">
        <v>17103</v>
      </c>
      <c r="B4066" s="23"/>
      <c r="C4066" s="23" t="s">
        <v>5659</v>
      </c>
      <c r="D4066" s="23" t="str">
        <f t="shared" si="189"/>
        <v>ORD26002583</v>
      </c>
      <c r="E4066" s="38">
        <v>46287</v>
      </c>
      <c r="F4066" s="23" t="s">
        <v>12410</v>
      </c>
      <c r="G4066" s="23" t="s">
        <v>75</v>
      </c>
      <c r="H4066" s="24">
        <v>1299</v>
      </c>
      <c r="I4066" s="24">
        <v>0</v>
      </c>
      <c r="J4066" s="24">
        <v>0</v>
      </c>
      <c r="K4066" s="24">
        <v>1299</v>
      </c>
      <c r="L4066" s="38">
        <v>46289</v>
      </c>
      <c r="M4066" s="23" t="s">
        <v>220</v>
      </c>
      <c r="N4066" s="23" t="str">
        <f>IF(COUNTIF($A$2:A4066,A4066)&gt;1,"DUP","OK")</f>
        <v>OK</v>
      </c>
      <c r="O4066" s="23" t="str">
        <f t="shared" si="190"/>
        <v>ORD26002583</v>
      </c>
      <c r="P4066" s="23" t="str">
        <f t="shared" si="191"/>
        <v>Sep</v>
      </c>
      <c r="Q4066" s="23" t="str">
        <f>IF(F4066="CAPTURE",IF(COUNTIF(orders!$A:$A,O4066)&gt;0,"Yes","NO ORDER"),"")</f>
        <v>Yes</v>
      </c>
    </row>
    <row r="4067" spans="1:17" ht="15" customHeight="1" x14ac:dyDescent="0.3">
      <c r="A4067" s="23" t="s">
        <v>17104</v>
      </c>
      <c r="B4067" s="23"/>
      <c r="C4067" s="23" t="s">
        <v>5693</v>
      </c>
      <c r="D4067" s="23" t="str">
        <f t="shared" si="189"/>
        <v>ORD26002600</v>
      </c>
      <c r="E4067" s="38">
        <v>46287</v>
      </c>
      <c r="F4067" s="23" t="s">
        <v>12410</v>
      </c>
      <c r="G4067" s="23" t="s">
        <v>75</v>
      </c>
      <c r="H4067" s="24">
        <v>599</v>
      </c>
      <c r="I4067" s="24">
        <v>0</v>
      </c>
      <c r="J4067" s="24">
        <v>0</v>
      </c>
      <c r="K4067" s="24">
        <v>599</v>
      </c>
      <c r="L4067" s="38">
        <v>46289</v>
      </c>
      <c r="M4067" s="23" t="s">
        <v>220</v>
      </c>
      <c r="N4067" s="23" t="str">
        <f>IF(COUNTIF($A$2:A4067,A4067)&gt;1,"DUP","OK")</f>
        <v>OK</v>
      </c>
      <c r="O4067" s="23" t="str">
        <f t="shared" si="190"/>
        <v>ORD26002600</v>
      </c>
      <c r="P4067" s="23" t="str">
        <f t="shared" si="191"/>
        <v>Sep</v>
      </c>
      <c r="Q4067" s="23" t="str">
        <f>IF(F4067="CAPTURE",IF(COUNTIF(orders!$A:$A,O4067)&gt;0,"Yes","NO ORDER"),"")</f>
        <v>Yes</v>
      </c>
    </row>
    <row r="4068" spans="1:17" ht="15" customHeight="1" x14ac:dyDescent="0.3">
      <c r="A4068" s="23" t="s">
        <v>17105</v>
      </c>
      <c r="B4068" s="23"/>
      <c r="C4068" s="23" t="s">
        <v>17106</v>
      </c>
      <c r="D4068" s="23" t="str">
        <f t="shared" si="189"/>
        <v>ORD26002671</v>
      </c>
      <c r="E4068" s="38">
        <v>46287</v>
      </c>
      <c r="F4068" s="23" t="s">
        <v>12410</v>
      </c>
      <c r="G4068" s="23" t="s">
        <v>77</v>
      </c>
      <c r="H4068" s="24">
        <v>799</v>
      </c>
      <c r="I4068" s="24">
        <v>15.18</v>
      </c>
      <c r="J4068" s="24">
        <v>2.73</v>
      </c>
      <c r="K4068" s="24">
        <v>781.09</v>
      </c>
      <c r="L4068" s="38">
        <v>46289</v>
      </c>
      <c r="M4068" s="23" t="s">
        <v>220</v>
      </c>
      <c r="N4068" s="23" t="str">
        <f>IF(COUNTIF($A$2:A4068,A4068)&gt;1,"DUP","OK")</f>
        <v>OK</v>
      </c>
      <c r="O4068" s="23" t="str">
        <f t="shared" si="190"/>
        <v>ORD26002671</v>
      </c>
      <c r="P4068" s="23" t="str">
        <f t="shared" si="191"/>
        <v>Sep</v>
      </c>
      <c r="Q4068" s="23" t="str">
        <f>IF(F4068="CAPTURE",IF(COUNTIF(orders!$A:$A,O4068)&gt;0,"Yes","NO ORDER"),"")</f>
        <v>Yes</v>
      </c>
    </row>
    <row r="4069" spans="1:17" ht="15" customHeight="1" x14ac:dyDescent="0.3">
      <c r="A4069" s="23" t="s">
        <v>17107</v>
      </c>
      <c r="B4069" s="23"/>
      <c r="C4069" s="23" t="s">
        <v>6076</v>
      </c>
      <c r="D4069" s="23" t="str">
        <f t="shared" si="189"/>
        <v>ORD26002789</v>
      </c>
      <c r="E4069" s="38">
        <v>46287</v>
      </c>
      <c r="F4069" s="23" t="s">
        <v>12410</v>
      </c>
      <c r="G4069" s="23" t="s">
        <v>77</v>
      </c>
      <c r="H4069" s="24">
        <v>999</v>
      </c>
      <c r="I4069" s="24">
        <v>18.98</v>
      </c>
      <c r="J4069" s="24">
        <v>3.42</v>
      </c>
      <c r="K4069" s="24">
        <v>976.6</v>
      </c>
      <c r="L4069" s="38">
        <v>46289</v>
      </c>
      <c r="M4069" s="23" t="s">
        <v>220</v>
      </c>
      <c r="N4069" s="23" t="str">
        <f>IF(COUNTIF($A$2:A4069,A4069)&gt;1,"DUP","OK")</f>
        <v>OK</v>
      </c>
      <c r="O4069" s="23" t="str">
        <f t="shared" si="190"/>
        <v>ORD26002789</v>
      </c>
      <c r="P4069" s="23" t="str">
        <f t="shared" si="191"/>
        <v>Sep</v>
      </c>
      <c r="Q4069" s="23" t="str">
        <f>IF(F4069="CAPTURE",IF(COUNTIF(orders!$A:$A,O4069)&gt;0,"Yes","NO ORDER"),"")</f>
        <v>Yes</v>
      </c>
    </row>
    <row r="4070" spans="1:17" ht="15" customHeight="1" x14ac:dyDescent="0.3">
      <c r="A4070" s="23" t="s">
        <v>17108</v>
      </c>
      <c r="B4070" s="23"/>
      <c r="C4070" s="23" t="s">
        <v>17109</v>
      </c>
      <c r="D4070" s="23" t="str">
        <f t="shared" si="189"/>
        <v>ORD26002916</v>
      </c>
      <c r="E4070" s="38">
        <v>46287</v>
      </c>
      <c r="F4070" s="23" t="s">
        <v>12410</v>
      </c>
      <c r="G4070" s="23" t="s">
        <v>75</v>
      </c>
      <c r="H4070" s="24">
        <v>2499</v>
      </c>
      <c r="I4070" s="24">
        <v>7.5</v>
      </c>
      <c r="J4070" s="24">
        <v>1.35</v>
      </c>
      <c r="K4070" s="24">
        <v>2490.15</v>
      </c>
      <c r="L4070" s="38">
        <v>46289</v>
      </c>
      <c r="M4070" s="23" t="s">
        <v>220</v>
      </c>
      <c r="N4070" s="23" t="str">
        <f>IF(COUNTIF($A$2:A4070,A4070)&gt;1,"DUP","OK")</f>
        <v>OK</v>
      </c>
      <c r="O4070" s="23" t="str">
        <f t="shared" si="190"/>
        <v>ORD26002916</v>
      </c>
      <c r="P4070" s="23" t="str">
        <f t="shared" si="191"/>
        <v>Sep</v>
      </c>
      <c r="Q4070" s="23" t="str">
        <f>IF(F4070="CAPTURE",IF(COUNTIF(orders!$A:$A,O4070)&gt;0,"Yes","NO ORDER"),"")</f>
        <v>Yes</v>
      </c>
    </row>
    <row r="4071" spans="1:17" ht="15" customHeight="1" x14ac:dyDescent="0.3">
      <c r="A4071" s="23" t="s">
        <v>17110</v>
      </c>
      <c r="B4071" s="23"/>
      <c r="C4071" s="23" t="s">
        <v>6490</v>
      </c>
      <c r="D4071" s="23" t="str">
        <f t="shared" si="189"/>
        <v>ORD26002998</v>
      </c>
      <c r="E4071" s="38">
        <v>46287</v>
      </c>
      <c r="F4071" s="23" t="s">
        <v>12410</v>
      </c>
      <c r="G4071" s="23" t="s">
        <v>75</v>
      </c>
      <c r="H4071" s="24">
        <v>1498</v>
      </c>
      <c r="I4071" s="24">
        <v>0</v>
      </c>
      <c r="J4071" s="24">
        <v>0</v>
      </c>
      <c r="K4071" s="24">
        <v>1498</v>
      </c>
      <c r="L4071" s="38">
        <v>46289</v>
      </c>
      <c r="M4071" s="23" t="s">
        <v>220</v>
      </c>
      <c r="N4071" s="23" t="str">
        <f>IF(COUNTIF($A$2:A4071,A4071)&gt;1,"DUP","OK")</f>
        <v>OK</v>
      </c>
      <c r="O4071" s="23" t="str">
        <f t="shared" si="190"/>
        <v>ORD26002998</v>
      </c>
      <c r="P4071" s="23" t="str">
        <f t="shared" si="191"/>
        <v>Sep</v>
      </c>
      <c r="Q4071" s="23" t="str">
        <f>IF(F4071="CAPTURE",IF(COUNTIF(orders!$A:$A,O4071)&gt;0,"Yes","NO ORDER"),"")</f>
        <v>Yes</v>
      </c>
    </row>
    <row r="4072" spans="1:17" ht="15" customHeight="1" x14ac:dyDescent="0.3">
      <c r="A4072" s="23" t="s">
        <v>17111</v>
      </c>
      <c r="B4072" s="23"/>
      <c r="C4072" s="23" t="s">
        <v>6508</v>
      </c>
      <c r="D4072" s="23" t="str">
        <f t="shared" si="189"/>
        <v>ORD26003007</v>
      </c>
      <c r="E4072" s="38">
        <v>46287</v>
      </c>
      <c r="F4072" s="23" t="s">
        <v>12410</v>
      </c>
      <c r="G4072" s="23" t="s">
        <v>79</v>
      </c>
      <c r="H4072" s="24">
        <v>8498</v>
      </c>
      <c r="I4072" s="24">
        <v>135.97</v>
      </c>
      <c r="J4072" s="24">
        <v>24.47</v>
      </c>
      <c r="K4072" s="24">
        <v>8337.56</v>
      </c>
      <c r="L4072" s="38">
        <v>46289</v>
      </c>
      <c r="M4072" s="23" t="s">
        <v>220</v>
      </c>
      <c r="N4072" s="23" t="str">
        <f>IF(COUNTIF($A$2:A4072,A4072)&gt;1,"DUP","OK")</f>
        <v>OK</v>
      </c>
      <c r="O4072" s="23" t="str">
        <f t="shared" si="190"/>
        <v>ORD26003007</v>
      </c>
      <c r="P4072" s="23" t="str">
        <f t="shared" si="191"/>
        <v>Sep</v>
      </c>
      <c r="Q4072" s="23" t="str">
        <f>IF(F4072="CAPTURE",IF(COUNTIF(orders!$A:$A,O4072)&gt;0,"Yes","NO ORDER"),"")</f>
        <v>Yes</v>
      </c>
    </row>
    <row r="4073" spans="1:17" ht="15" customHeight="1" x14ac:dyDescent="0.3">
      <c r="A4073" s="23" t="s">
        <v>17112</v>
      </c>
      <c r="B4073" s="23"/>
      <c r="C4073" s="23" t="s">
        <v>17113</v>
      </c>
      <c r="D4073" s="23" t="str">
        <f t="shared" si="189"/>
        <v>ORD26003019</v>
      </c>
      <c r="E4073" s="38">
        <v>46287</v>
      </c>
      <c r="F4073" s="23" t="s">
        <v>12410</v>
      </c>
      <c r="G4073" s="23" t="s">
        <v>75</v>
      </c>
      <c r="H4073" s="24">
        <v>6498</v>
      </c>
      <c r="I4073" s="24">
        <v>19.489999999999998</v>
      </c>
      <c r="J4073" s="24">
        <v>3.51</v>
      </c>
      <c r="K4073" s="24">
        <v>6475</v>
      </c>
      <c r="L4073" s="38">
        <v>46289</v>
      </c>
      <c r="M4073" s="23" t="s">
        <v>220</v>
      </c>
      <c r="N4073" s="23" t="str">
        <f>IF(COUNTIF($A$2:A4073,A4073)&gt;1,"DUP","OK")</f>
        <v>OK</v>
      </c>
      <c r="O4073" s="23" t="str">
        <f t="shared" si="190"/>
        <v>ORD26003019</v>
      </c>
      <c r="P4073" s="23" t="str">
        <f t="shared" si="191"/>
        <v>Sep</v>
      </c>
      <c r="Q4073" s="23" t="str">
        <f>IF(F4073="CAPTURE",IF(COUNTIF(orders!$A:$A,O4073)&gt;0,"Yes","NO ORDER"),"")</f>
        <v>Yes</v>
      </c>
    </row>
    <row r="4074" spans="1:17" ht="15" customHeight="1" x14ac:dyDescent="0.3">
      <c r="A4074" s="23" t="s">
        <v>17114</v>
      </c>
      <c r="B4074" s="23"/>
      <c r="C4074" s="23" t="s">
        <v>6597</v>
      </c>
      <c r="D4074" s="23" t="str">
        <f t="shared" si="189"/>
        <v>ORD26003052</v>
      </c>
      <c r="E4074" s="38">
        <v>46287</v>
      </c>
      <c r="F4074" s="23" t="s">
        <v>12410</v>
      </c>
      <c r="G4074" s="23" t="s">
        <v>75</v>
      </c>
      <c r="H4074" s="24">
        <v>4498</v>
      </c>
      <c r="I4074" s="24">
        <v>13.49</v>
      </c>
      <c r="J4074" s="24">
        <v>2.4300000000000002</v>
      </c>
      <c r="K4074" s="24">
        <v>4482.08</v>
      </c>
      <c r="L4074" s="38">
        <v>46289</v>
      </c>
      <c r="M4074" s="23" t="s">
        <v>220</v>
      </c>
      <c r="N4074" s="23" t="str">
        <f>IF(COUNTIF($A$2:A4074,A4074)&gt;1,"DUP","OK")</f>
        <v>OK</v>
      </c>
      <c r="O4074" s="23" t="str">
        <f t="shared" si="190"/>
        <v>ORD26003052</v>
      </c>
      <c r="P4074" s="23" t="str">
        <f t="shared" si="191"/>
        <v>Sep</v>
      </c>
      <c r="Q4074" s="23" t="str">
        <f>IF(F4074="CAPTURE",IF(COUNTIF(orders!$A:$A,O4074)&gt;0,"Yes","NO ORDER"),"")</f>
        <v>Yes</v>
      </c>
    </row>
    <row r="4075" spans="1:17" ht="15" customHeight="1" x14ac:dyDescent="0.3">
      <c r="A4075" s="23" t="s">
        <v>17115</v>
      </c>
      <c r="B4075" s="23"/>
      <c r="C4075" s="23" t="s">
        <v>17116</v>
      </c>
      <c r="D4075" s="23" t="str">
        <f t="shared" si="189"/>
        <v>ORD26003070</v>
      </c>
      <c r="E4075" s="38">
        <v>46287</v>
      </c>
      <c r="F4075" s="23" t="s">
        <v>12410</v>
      </c>
      <c r="G4075" s="23" t="s">
        <v>77</v>
      </c>
      <c r="H4075" s="24">
        <v>3098</v>
      </c>
      <c r="I4075" s="24">
        <v>52.67</v>
      </c>
      <c r="J4075" s="24">
        <v>9.48</v>
      </c>
      <c r="K4075" s="24">
        <v>3035.85</v>
      </c>
      <c r="L4075" s="38">
        <v>46289</v>
      </c>
      <c r="M4075" s="23" t="s">
        <v>220</v>
      </c>
      <c r="N4075" s="23" t="str">
        <f>IF(COUNTIF($A$2:A4075,A4075)&gt;1,"DUP","OK")</f>
        <v>OK</v>
      </c>
      <c r="O4075" s="23" t="str">
        <f t="shared" si="190"/>
        <v>ORD26003070</v>
      </c>
      <c r="P4075" s="23" t="str">
        <f t="shared" si="191"/>
        <v>Sep</v>
      </c>
      <c r="Q4075" s="23" t="str">
        <f>IF(F4075="CAPTURE",IF(COUNTIF(orders!$A:$A,O4075)&gt;0,"Yes","NO ORDER"),"")</f>
        <v>Yes</v>
      </c>
    </row>
    <row r="4076" spans="1:17" ht="15" customHeight="1" x14ac:dyDescent="0.3">
      <c r="A4076" s="23" t="s">
        <v>17117</v>
      </c>
      <c r="B4076" s="23"/>
      <c r="C4076" s="23" t="s">
        <v>6731</v>
      </c>
      <c r="D4076" s="23" t="str">
        <f t="shared" si="189"/>
        <v>ORD26003117</v>
      </c>
      <c r="E4076" s="38">
        <v>46287</v>
      </c>
      <c r="F4076" s="23" t="s">
        <v>12410</v>
      </c>
      <c r="G4076" s="23" t="s">
        <v>79</v>
      </c>
      <c r="H4076" s="24">
        <v>349</v>
      </c>
      <c r="I4076" s="24">
        <v>6.28</v>
      </c>
      <c r="J4076" s="24">
        <v>1.1299999999999999</v>
      </c>
      <c r="K4076" s="24">
        <v>341.59</v>
      </c>
      <c r="L4076" s="38">
        <v>46289</v>
      </c>
      <c r="M4076" s="23" t="s">
        <v>220</v>
      </c>
      <c r="N4076" s="23" t="str">
        <f>IF(COUNTIF($A$2:A4076,A4076)&gt;1,"DUP","OK")</f>
        <v>OK</v>
      </c>
      <c r="O4076" s="23" t="str">
        <f t="shared" si="190"/>
        <v>ORD26003117</v>
      </c>
      <c r="P4076" s="23" t="str">
        <f t="shared" si="191"/>
        <v>Sep</v>
      </c>
      <c r="Q4076" s="23" t="str">
        <f>IF(F4076="CAPTURE",IF(COUNTIF(orders!$A:$A,O4076)&gt;0,"Yes","NO ORDER"),"")</f>
        <v>Yes</v>
      </c>
    </row>
    <row r="4077" spans="1:17" ht="15" customHeight="1" x14ac:dyDescent="0.3">
      <c r="A4077" s="23" t="s">
        <v>17118</v>
      </c>
      <c r="B4077" s="23"/>
      <c r="C4077" s="23" t="s">
        <v>6827</v>
      </c>
      <c r="D4077" s="23" t="str">
        <f t="shared" si="189"/>
        <v>ORD26003165</v>
      </c>
      <c r="E4077" s="38">
        <v>46287</v>
      </c>
      <c r="F4077" s="23" t="s">
        <v>12410</v>
      </c>
      <c r="G4077" s="23" t="s">
        <v>75</v>
      </c>
      <c r="H4077" s="24">
        <v>3797</v>
      </c>
      <c r="I4077" s="24">
        <v>11.39</v>
      </c>
      <c r="J4077" s="24">
        <v>2.0499999999999998</v>
      </c>
      <c r="K4077" s="24">
        <v>3783.56</v>
      </c>
      <c r="L4077" s="38">
        <v>46289</v>
      </c>
      <c r="M4077" s="23" t="s">
        <v>220</v>
      </c>
      <c r="N4077" s="23" t="str">
        <f>IF(COUNTIF($A$2:A4077,A4077)&gt;1,"DUP","OK")</f>
        <v>OK</v>
      </c>
      <c r="O4077" s="23" t="str">
        <f t="shared" si="190"/>
        <v>ORD26003165</v>
      </c>
      <c r="P4077" s="23" t="str">
        <f t="shared" si="191"/>
        <v>Sep</v>
      </c>
      <c r="Q4077" s="23" t="str">
        <f>IF(F4077="CAPTURE",IF(COUNTIF(orders!$A:$A,O4077)&gt;0,"Yes","NO ORDER"),"")</f>
        <v>Yes</v>
      </c>
    </row>
    <row r="4078" spans="1:17" ht="15" customHeight="1" x14ac:dyDescent="0.3">
      <c r="A4078" s="23" t="s">
        <v>17119</v>
      </c>
      <c r="B4078" s="23"/>
      <c r="C4078" s="23" t="s">
        <v>6857</v>
      </c>
      <c r="D4078" s="23" t="str">
        <f t="shared" si="189"/>
        <v>ORD26003180</v>
      </c>
      <c r="E4078" s="38">
        <v>46287</v>
      </c>
      <c r="F4078" s="23" t="s">
        <v>12410</v>
      </c>
      <c r="G4078" s="23" t="s">
        <v>75</v>
      </c>
      <c r="H4078" s="24">
        <v>4998</v>
      </c>
      <c r="I4078" s="24">
        <v>14.99</v>
      </c>
      <c r="J4078" s="24">
        <v>2.7</v>
      </c>
      <c r="K4078" s="24">
        <v>4980.3100000000004</v>
      </c>
      <c r="L4078" s="38">
        <v>46289</v>
      </c>
      <c r="M4078" s="23" t="s">
        <v>220</v>
      </c>
      <c r="N4078" s="23" t="str">
        <f>IF(COUNTIF($A$2:A4078,A4078)&gt;1,"DUP","OK")</f>
        <v>OK</v>
      </c>
      <c r="O4078" s="23" t="str">
        <f t="shared" si="190"/>
        <v>ORD26003180</v>
      </c>
      <c r="P4078" s="23" t="str">
        <f t="shared" si="191"/>
        <v>Sep</v>
      </c>
      <c r="Q4078" s="23" t="str">
        <f>IF(F4078="CAPTURE",IF(COUNTIF(orders!$A:$A,O4078)&gt;0,"Yes","NO ORDER"),"")</f>
        <v>Yes</v>
      </c>
    </row>
    <row r="4079" spans="1:17" ht="15" customHeight="1" x14ac:dyDescent="0.3">
      <c r="A4079" s="23" t="s">
        <v>17120</v>
      </c>
      <c r="B4079" s="23"/>
      <c r="C4079" s="23" t="s">
        <v>17121</v>
      </c>
      <c r="D4079" s="23" t="str">
        <f t="shared" si="189"/>
        <v>ORD26003202</v>
      </c>
      <c r="E4079" s="38">
        <v>46287</v>
      </c>
      <c r="F4079" s="23" t="s">
        <v>12410</v>
      </c>
      <c r="G4079" s="23" t="s">
        <v>75</v>
      </c>
      <c r="H4079" s="24">
        <v>3597</v>
      </c>
      <c r="I4079" s="24">
        <v>10.79</v>
      </c>
      <c r="J4079" s="24">
        <v>1.94</v>
      </c>
      <c r="K4079" s="24">
        <v>3584.27</v>
      </c>
      <c r="L4079" s="38">
        <v>46289</v>
      </c>
      <c r="M4079" s="23" t="s">
        <v>220</v>
      </c>
      <c r="N4079" s="23" t="str">
        <f>IF(COUNTIF($A$2:A4079,A4079)&gt;1,"DUP","OK")</f>
        <v>OK</v>
      </c>
      <c r="O4079" s="23" t="str">
        <f t="shared" si="190"/>
        <v>ORD26003202</v>
      </c>
      <c r="P4079" s="23" t="str">
        <f t="shared" si="191"/>
        <v>Sep</v>
      </c>
      <c r="Q4079" s="23" t="str">
        <f>IF(F4079="CAPTURE",IF(COUNTIF(orders!$A:$A,O4079)&gt;0,"Yes","NO ORDER"),"")</f>
        <v>Yes</v>
      </c>
    </row>
    <row r="4080" spans="1:17" ht="15" customHeight="1" x14ac:dyDescent="0.3">
      <c r="A4080" s="23" t="s">
        <v>17122</v>
      </c>
      <c r="B4080" s="23"/>
      <c r="C4080" s="23" t="s">
        <v>6977</v>
      </c>
      <c r="D4080" s="23" t="str">
        <f t="shared" si="189"/>
        <v>ORD26003240</v>
      </c>
      <c r="E4080" s="38">
        <v>46287</v>
      </c>
      <c r="F4080" s="23" t="s">
        <v>12410</v>
      </c>
      <c r="G4080" s="23" t="s">
        <v>75</v>
      </c>
      <c r="H4080" s="24">
        <v>9798</v>
      </c>
      <c r="I4080" s="24">
        <v>29.39</v>
      </c>
      <c r="J4080" s="24">
        <v>5.29</v>
      </c>
      <c r="K4080" s="24">
        <v>9763.32</v>
      </c>
      <c r="L4080" s="38">
        <v>46289</v>
      </c>
      <c r="M4080" s="23" t="s">
        <v>220</v>
      </c>
      <c r="N4080" s="23" t="str">
        <f>IF(COUNTIF($A$2:A4080,A4080)&gt;1,"DUP","OK")</f>
        <v>OK</v>
      </c>
      <c r="O4080" s="23" t="str">
        <f t="shared" si="190"/>
        <v>ORD26003240</v>
      </c>
      <c r="P4080" s="23" t="str">
        <f t="shared" si="191"/>
        <v>Sep</v>
      </c>
      <c r="Q4080" s="23" t="str">
        <f>IF(F4080="CAPTURE",IF(COUNTIF(orders!$A:$A,O4080)&gt;0,"Yes","NO ORDER"),"")</f>
        <v>Yes</v>
      </c>
    </row>
    <row r="4081" spans="1:17" ht="15" customHeight="1" x14ac:dyDescent="0.3">
      <c r="A4081" s="23" t="s">
        <v>17123</v>
      </c>
      <c r="B4081" s="23"/>
      <c r="C4081" s="23" t="s">
        <v>6993</v>
      </c>
      <c r="D4081" s="23" t="str">
        <f t="shared" si="189"/>
        <v>ORD26003247</v>
      </c>
      <c r="E4081" s="38">
        <v>46287</v>
      </c>
      <c r="F4081" s="23" t="s">
        <v>12410</v>
      </c>
      <c r="G4081" s="23" t="s">
        <v>77</v>
      </c>
      <c r="H4081" s="24">
        <v>3998</v>
      </c>
      <c r="I4081" s="24">
        <v>67.97</v>
      </c>
      <c r="J4081" s="24">
        <v>12.23</v>
      </c>
      <c r="K4081" s="24">
        <v>3917.8</v>
      </c>
      <c r="L4081" s="38">
        <v>46289</v>
      </c>
      <c r="M4081" s="23" t="s">
        <v>220</v>
      </c>
      <c r="N4081" s="23" t="str">
        <f>IF(COUNTIF($A$2:A4081,A4081)&gt;1,"DUP","OK")</f>
        <v>OK</v>
      </c>
      <c r="O4081" s="23" t="str">
        <f t="shared" si="190"/>
        <v>ORD26003247</v>
      </c>
      <c r="P4081" s="23" t="str">
        <f t="shared" si="191"/>
        <v>Sep</v>
      </c>
      <c r="Q4081" s="23" t="str">
        <f>IF(F4081="CAPTURE",IF(COUNTIF(orders!$A:$A,O4081)&gt;0,"Yes","NO ORDER"),"")</f>
        <v>Yes</v>
      </c>
    </row>
    <row r="4082" spans="1:17" ht="15" customHeight="1" x14ac:dyDescent="0.3">
      <c r="A4082" s="23" t="s">
        <v>17124</v>
      </c>
      <c r="B4082" s="23"/>
      <c r="C4082" s="23" t="s">
        <v>17125</v>
      </c>
      <c r="D4082" s="23" t="str">
        <f t="shared" si="189"/>
        <v>ORD26003274</v>
      </c>
      <c r="E4082" s="38">
        <v>46287</v>
      </c>
      <c r="F4082" s="23" t="s">
        <v>12410</v>
      </c>
      <c r="G4082" s="23" t="s">
        <v>79</v>
      </c>
      <c r="H4082" s="24">
        <v>1299</v>
      </c>
      <c r="I4082" s="24">
        <v>23.38</v>
      </c>
      <c r="J4082" s="24">
        <v>4.21</v>
      </c>
      <c r="K4082" s="24">
        <v>1271.4100000000001</v>
      </c>
      <c r="L4082" s="38">
        <v>46289</v>
      </c>
      <c r="M4082" s="23" t="s">
        <v>220</v>
      </c>
      <c r="N4082" s="23" t="str">
        <f>IF(COUNTIF($A$2:A4082,A4082)&gt;1,"DUP","OK")</f>
        <v>OK</v>
      </c>
      <c r="O4082" s="23" t="str">
        <f t="shared" si="190"/>
        <v>ORD26003274</v>
      </c>
      <c r="P4082" s="23" t="str">
        <f t="shared" si="191"/>
        <v>Sep</v>
      </c>
      <c r="Q4082" s="23" t="str">
        <f>IF(F4082="CAPTURE",IF(COUNTIF(orders!$A:$A,O4082)&gt;0,"Yes","NO ORDER"),"")</f>
        <v>Yes</v>
      </c>
    </row>
    <row r="4083" spans="1:17" ht="15" customHeight="1" x14ac:dyDescent="0.3">
      <c r="A4083" s="23" t="s">
        <v>17126</v>
      </c>
      <c r="B4083" s="23"/>
      <c r="C4083" s="23" t="s">
        <v>17127</v>
      </c>
      <c r="D4083" s="23" t="str">
        <f t="shared" si="189"/>
        <v>ORD26003324</v>
      </c>
      <c r="E4083" s="38">
        <v>46287</v>
      </c>
      <c r="F4083" s="23" t="s">
        <v>12410</v>
      </c>
      <c r="G4083" s="23" t="s">
        <v>75</v>
      </c>
      <c r="H4083" s="24">
        <v>13497</v>
      </c>
      <c r="I4083" s="24">
        <v>40.49</v>
      </c>
      <c r="J4083" s="24">
        <v>7.29</v>
      </c>
      <c r="K4083" s="24">
        <v>13449.22</v>
      </c>
      <c r="L4083" s="38">
        <v>46289</v>
      </c>
      <c r="M4083" s="23" t="s">
        <v>220</v>
      </c>
      <c r="N4083" s="23" t="str">
        <f>IF(COUNTIF($A$2:A4083,A4083)&gt;1,"DUP","OK")</f>
        <v>OK</v>
      </c>
      <c r="O4083" s="23" t="str">
        <f t="shared" si="190"/>
        <v>ORD26003324</v>
      </c>
      <c r="P4083" s="23" t="str">
        <f t="shared" si="191"/>
        <v>Sep</v>
      </c>
      <c r="Q4083" s="23" t="str">
        <f>IF(F4083="CAPTURE",IF(COUNTIF(orders!$A:$A,O4083)&gt;0,"Yes","NO ORDER"),"")</f>
        <v>Yes</v>
      </c>
    </row>
    <row r="4084" spans="1:17" ht="15" customHeight="1" x14ac:dyDescent="0.3">
      <c r="A4084" s="23" t="s">
        <v>17128</v>
      </c>
      <c r="B4084" s="23"/>
      <c r="C4084" s="23" t="s">
        <v>17129</v>
      </c>
      <c r="D4084" s="23" t="str">
        <f t="shared" si="189"/>
        <v>ORD26003451</v>
      </c>
      <c r="E4084" s="38">
        <v>46287</v>
      </c>
      <c r="F4084" s="23" t="s">
        <v>12410</v>
      </c>
      <c r="G4084" s="23" t="s">
        <v>79</v>
      </c>
      <c r="H4084" s="24">
        <v>8997</v>
      </c>
      <c r="I4084" s="24">
        <v>143.94999999999999</v>
      </c>
      <c r="J4084" s="24">
        <v>25.91</v>
      </c>
      <c r="K4084" s="24">
        <v>8827.14</v>
      </c>
      <c r="L4084" s="38">
        <v>46289</v>
      </c>
      <c r="M4084" s="23" t="s">
        <v>220</v>
      </c>
      <c r="N4084" s="23" t="str">
        <f>IF(COUNTIF($A$2:A4084,A4084)&gt;1,"DUP","OK")</f>
        <v>OK</v>
      </c>
      <c r="O4084" s="23" t="str">
        <f t="shared" si="190"/>
        <v>ORD26003451</v>
      </c>
      <c r="P4084" s="23" t="str">
        <f t="shared" si="191"/>
        <v>Sep</v>
      </c>
      <c r="Q4084" s="23" t="str">
        <f>IF(F4084="CAPTURE",IF(COUNTIF(orders!$A:$A,O4084)&gt;0,"Yes","NO ORDER"),"")</f>
        <v>Yes</v>
      </c>
    </row>
    <row r="4085" spans="1:17" ht="15" customHeight="1" x14ac:dyDescent="0.3">
      <c r="A4085" s="23" t="s">
        <v>17130</v>
      </c>
      <c r="B4085" s="23"/>
      <c r="C4085" s="23" t="s">
        <v>17131</v>
      </c>
      <c r="D4085" s="23" t="str">
        <f t="shared" si="189"/>
        <v>ORD26003525</v>
      </c>
      <c r="E4085" s="38">
        <v>46287</v>
      </c>
      <c r="F4085" s="23" t="s">
        <v>12410</v>
      </c>
      <c r="G4085" s="23" t="s">
        <v>75</v>
      </c>
      <c r="H4085" s="24">
        <v>2298</v>
      </c>
      <c r="I4085" s="24">
        <v>6.89</v>
      </c>
      <c r="J4085" s="24">
        <v>1.24</v>
      </c>
      <c r="K4085" s="24">
        <v>2289.87</v>
      </c>
      <c r="L4085" s="38">
        <v>46289</v>
      </c>
      <c r="M4085" s="23" t="s">
        <v>220</v>
      </c>
      <c r="N4085" s="23" t="str">
        <f>IF(COUNTIF($A$2:A4085,A4085)&gt;1,"DUP","OK")</f>
        <v>OK</v>
      </c>
      <c r="O4085" s="23" t="str">
        <f t="shared" si="190"/>
        <v>ORD26003525</v>
      </c>
      <c r="P4085" s="23" t="str">
        <f t="shared" si="191"/>
        <v>Sep</v>
      </c>
      <c r="Q4085" s="23" t="str">
        <f>IF(F4085="CAPTURE",IF(COUNTIF(orders!$A:$A,O4085)&gt;0,"Yes","NO ORDER"),"")</f>
        <v>Yes</v>
      </c>
    </row>
    <row r="4086" spans="1:17" ht="15" customHeight="1" x14ac:dyDescent="0.3">
      <c r="A4086" s="23" t="s">
        <v>17132</v>
      </c>
      <c r="B4086" s="23"/>
      <c r="C4086" s="23" t="s">
        <v>7552</v>
      </c>
      <c r="D4086" s="23" t="str">
        <f t="shared" si="189"/>
        <v>ORD26003528</v>
      </c>
      <c r="E4086" s="38">
        <v>46287</v>
      </c>
      <c r="F4086" s="23" t="s">
        <v>12410</v>
      </c>
      <c r="G4086" s="23" t="s">
        <v>75</v>
      </c>
      <c r="H4086" s="24">
        <v>299</v>
      </c>
      <c r="I4086" s="24">
        <v>0</v>
      </c>
      <c r="J4086" s="24">
        <v>0</v>
      </c>
      <c r="K4086" s="24">
        <v>299</v>
      </c>
      <c r="L4086" s="38">
        <v>46289</v>
      </c>
      <c r="M4086" s="23" t="s">
        <v>220</v>
      </c>
      <c r="N4086" s="23" t="str">
        <f>IF(COUNTIF($A$2:A4086,A4086)&gt;1,"DUP","OK")</f>
        <v>OK</v>
      </c>
      <c r="O4086" s="23" t="str">
        <f t="shared" si="190"/>
        <v>ORD26003528</v>
      </c>
      <c r="P4086" s="23" t="str">
        <f t="shared" si="191"/>
        <v>Sep</v>
      </c>
      <c r="Q4086" s="23" t="str">
        <f>IF(F4086="CAPTURE",IF(COUNTIF(orders!$A:$A,O4086)&gt;0,"Yes","NO ORDER"),"")</f>
        <v>Yes</v>
      </c>
    </row>
    <row r="4087" spans="1:17" ht="15" customHeight="1" x14ac:dyDescent="0.3">
      <c r="A4087" s="23" t="s">
        <v>17133</v>
      </c>
      <c r="B4087" s="23"/>
      <c r="C4087" s="23" t="s">
        <v>7800</v>
      </c>
      <c r="D4087" s="23" t="str">
        <f t="shared" si="189"/>
        <v>ORD26003655</v>
      </c>
      <c r="E4087" s="38">
        <v>46287</v>
      </c>
      <c r="F4087" s="23" t="s">
        <v>12410</v>
      </c>
      <c r="G4087" s="23" t="s">
        <v>79</v>
      </c>
      <c r="H4087" s="24">
        <v>3498</v>
      </c>
      <c r="I4087" s="24">
        <v>55.97</v>
      </c>
      <c r="J4087" s="24">
        <v>10.07</v>
      </c>
      <c r="K4087" s="24">
        <v>3431.96</v>
      </c>
      <c r="L4087" s="38">
        <v>46289</v>
      </c>
      <c r="M4087" s="23" t="s">
        <v>220</v>
      </c>
      <c r="N4087" s="23" t="str">
        <f>IF(COUNTIF($A$2:A4087,A4087)&gt;1,"DUP","OK")</f>
        <v>OK</v>
      </c>
      <c r="O4087" s="23" t="str">
        <f t="shared" si="190"/>
        <v>ORD26003655</v>
      </c>
      <c r="P4087" s="23" t="str">
        <f t="shared" si="191"/>
        <v>Sep</v>
      </c>
      <c r="Q4087" s="23" t="str">
        <f>IF(F4087="CAPTURE",IF(COUNTIF(orders!$A:$A,O4087)&gt;0,"Yes","NO ORDER"),"")</f>
        <v>Yes</v>
      </c>
    </row>
    <row r="4088" spans="1:17" ht="15" customHeight="1" x14ac:dyDescent="0.3">
      <c r="A4088" s="23" t="s">
        <v>17134</v>
      </c>
      <c r="B4088" s="23"/>
      <c r="C4088" s="23" t="s">
        <v>7880</v>
      </c>
      <c r="D4088" s="23" t="str">
        <f t="shared" si="189"/>
        <v>ORD26003696</v>
      </c>
      <c r="E4088" s="38">
        <v>46287</v>
      </c>
      <c r="F4088" s="23" t="s">
        <v>12410</v>
      </c>
      <c r="G4088" s="23" t="s">
        <v>75</v>
      </c>
      <c r="H4088" s="24">
        <v>599</v>
      </c>
      <c r="I4088" s="24">
        <v>0</v>
      </c>
      <c r="J4088" s="24">
        <v>0</v>
      </c>
      <c r="K4088" s="24">
        <v>599</v>
      </c>
      <c r="L4088" s="38">
        <v>46289</v>
      </c>
      <c r="M4088" s="23" t="s">
        <v>220</v>
      </c>
      <c r="N4088" s="23" t="str">
        <f>IF(COUNTIF($A$2:A4088,A4088)&gt;1,"DUP","OK")</f>
        <v>OK</v>
      </c>
      <c r="O4088" s="23" t="str">
        <f t="shared" si="190"/>
        <v>ORD26003696</v>
      </c>
      <c r="P4088" s="23" t="str">
        <f t="shared" si="191"/>
        <v>Sep</v>
      </c>
      <c r="Q4088" s="23" t="str">
        <f>IF(F4088="CAPTURE",IF(COUNTIF(orders!$A:$A,O4088)&gt;0,"Yes","NO ORDER"),"")</f>
        <v>Yes</v>
      </c>
    </row>
    <row r="4089" spans="1:17" ht="15" customHeight="1" x14ac:dyDescent="0.3">
      <c r="A4089" s="23" t="s">
        <v>17135</v>
      </c>
      <c r="B4089" s="23"/>
      <c r="C4089" s="23" t="s">
        <v>7928</v>
      </c>
      <c r="D4089" s="23" t="str">
        <f t="shared" si="189"/>
        <v>ORD26003720</v>
      </c>
      <c r="E4089" s="38">
        <v>46287</v>
      </c>
      <c r="F4089" s="23" t="s">
        <v>12410</v>
      </c>
      <c r="G4089" s="23" t="s">
        <v>75</v>
      </c>
      <c r="H4089" s="24">
        <v>3598</v>
      </c>
      <c r="I4089" s="24">
        <v>10.79</v>
      </c>
      <c r="J4089" s="24">
        <v>1.94</v>
      </c>
      <c r="K4089" s="24">
        <v>3585.27</v>
      </c>
      <c r="L4089" s="38">
        <v>46289</v>
      </c>
      <c r="M4089" s="23" t="s">
        <v>220</v>
      </c>
      <c r="N4089" s="23" t="str">
        <f>IF(COUNTIF($A$2:A4089,A4089)&gt;1,"DUP","OK")</f>
        <v>OK</v>
      </c>
      <c r="O4089" s="23" t="str">
        <f t="shared" si="190"/>
        <v>ORD26003720</v>
      </c>
      <c r="P4089" s="23" t="str">
        <f t="shared" si="191"/>
        <v>Sep</v>
      </c>
      <c r="Q4089" s="23" t="str">
        <f>IF(F4089="CAPTURE",IF(COUNTIF(orders!$A:$A,O4089)&gt;0,"Yes","NO ORDER"),"")</f>
        <v>Yes</v>
      </c>
    </row>
    <row r="4090" spans="1:17" ht="15" customHeight="1" x14ac:dyDescent="0.3">
      <c r="A4090" s="23" t="s">
        <v>17136</v>
      </c>
      <c r="B4090" s="23"/>
      <c r="C4090" s="23" t="s">
        <v>7940</v>
      </c>
      <c r="D4090" s="23" t="str">
        <f t="shared" si="189"/>
        <v>ORD26003726</v>
      </c>
      <c r="E4090" s="38">
        <v>46287</v>
      </c>
      <c r="F4090" s="23" t="s">
        <v>12410</v>
      </c>
      <c r="G4090" s="23" t="s">
        <v>75</v>
      </c>
      <c r="H4090" s="24">
        <v>6347</v>
      </c>
      <c r="I4090" s="24">
        <v>19.04</v>
      </c>
      <c r="J4090" s="24">
        <v>3.43</v>
      </c>
      <c r="K4090" s="24">
        <v>6324.53</v>
      </c>
      <c r="L4090" s="38">
        <v>46289</v>
      </c>
      <c r="M4090" s="23" t="s">
        <v>220</v>
      </c>
      <c r="N4090" s="23" t="str">
        <f>IF(COUNTIF($A$2:A4090,A4090)&gt;1,"DUP","OK")</f>
        <v>OK</v>
      </c>
      <c r="O4090" s="23" t="str">
        <f t="shared" si="190"/>
        <v>ORD26003726</v>
      </c>
      <c r="P4090" s="23" t="str">
        <f t="shared" si="191"/>
        <v>Sep</v>
      </c>
      <c r="Q4090" s="23" t="str">
        <f>IF(F4090="CAPTURE",IF(COUNTIF(orders!$A:$A,O4090)&gt;0,"Yes","NO ORDER"),"")</f>
        <v>Yes</v>
      </c>
    </row>
    <row r="4091" spans="1:17" ht="15" customHeight="1" x14ac:dyDescent="0.3">
      <c r="A4091" s="23" t="s">
        <v>17137</v>
      </c>
      <c r="B4091" s="23"/>
      <c r="C4091" s="23" t="s">
        <v>7990</v>
      </c>
      <c r="D4091" s="23" t="str">
        <f t="shared" si="189"/>
        <v>ORD26003751</v>
      </c>
      <c r="E4091" s="38">
        <v>46287</v>
      </c>
      <c r="F4091" s="23" t="s">
        <v>12410</v>
      </c>
      <c r="G4091" s="23" t="s">
        <v>75</v>
      </c>
      <c r="H4091" s="24">
        <v>3848</v>
      </c>
      <c r="I4091" s="24">
        <v>11.54</v>
      </c>
      <c r="J4091" s="24">
        <v>2.08</v>
      </c>
      <c r="K4091" s="24">
        <v>3834.38</v>
      </c>
      <c r="L4091" s="38">
        <v>46289</v>
      </c>
      <c r="M4091" s="23" t="s">
        <v>220</v>
      </c>
      <c r="N4091" s="23" t="str">
        <f>IF(COUNTIF($A$2:A4091,A4091)&gt;1,"DUP","OK")</f>
        <v>OK</v>
      </c>
      <c r="O4091" s="23" t="str">
        <f t="shared" si="190"/>
        <v>ORD26003751</v>
      </c>
      <c r="P4091" s="23" t="str">
        <f t="shared" si="191"/>
        <v>Sep</v>
      </c>
      <c r="Q4091" s="23" t="str">
        <f>IF(F4091="CAPTURE",IF(COUNTIF(orders!$A:$A,O4091)&gt;0,"Yes","NO ORDER"),"")</f>
        <v>Yes</v>
      </c>
    </row>
    <row r="4092" spans="1:17" ht="15" customHeight="1" x14ac:dyDescent="0.3">
      <c r="A4092" s="23" t="s">
        <v>17138</v>
      </c>
      <c r="B4092" s="23"/>
      <c r="C4092" s="23" t="s">
        <v>8112</v>
      </c>
      <c r="D4092" s="23" t="str">
        <f t="shared" si="189"/>
        <v>ORD26003812</v>
      </c>
      <c r="E4092" s="38">
        <v>46287</v>
      </c>
      <c r="F4092" s="23" t="s">
        <v>12410</v>
      </c>
      <c r="G4092" s="23" t="s">
        <v>79</v>
      </c>
      <c r="H4092" s="24">
        <v>3298</v>
      </c>
      <c r="I4092" s="24">
        <v>52.77</v>
      </c>
      <c r="J4092" s="24">
        <v>9.5</v>
      </c>
      <c r="K4092" s="24">
        <v>3235.73</v>
      </c>
      <c r="L4092" s="38">
        <v>46289</v>
      </c>
      <c r="M4092" s="23" t="s">
        <v>220</v>
      </c>
      <c r="N4092" s="23" t="str">
        <f>IF(COUNTIF($A$2:A4092,A4092)&gt;1,"DUP","OK")</f>
        <v>OK</v>
      </c>
      <c r="O4092" s="23" t="str">
        <f t="shared" si="190"/>
        <v>ORD26003812</v>
      </c>
      <c r="P4092" s="23" t="str">
        <f t="shared" si="191"/>
        <v>Sep</v>
      </c>
      <c r="Q4092" s="23" t="str">
        <f>IF(F4092="CAPTURE",IF(COUNTIF(orders!$A:$A,O4092)&gt;0,"Yes","NO ORDER"),"")</f>
        <v>Yes</v>
      </c>
    </row>
    <row r="4093" spans="1:17" ht="15" customHeight="1" x14ac:dyDescent="0.3">
      <c r="A4093" s="23" t="s">
        <v>17139</v>
      </c>
      <c r="B4093" s="23"/>
      <c r="C4093" s="23" t="s">
        <v>8259</v>
      </c>
      <c r="D4093" s="23" t="str">
        <f t="shared" si="189"/>
        <v>ORD26003886</v>
      </c>
      <c r="E4093" s="38">
        <v>46287</v>
      </c>
      <c r="F4093" s="23" t="s">
        <v>12410</v>
      </c>
      <c r="G4093" s="23" t="s">
        <v>77</v>
      </c>
      <c r="H4093" s="24">
        <v>948</v>
      </c>
      <c r="I4093" s="24">
        <v>18.010000000000002</v>
      </c>
      <c r="J4093" s="24">
        <v>3.24</v>
      </c>
      <c r="K4093" s="24">
        <v>926.75</v>
      </c>
      <c r="L4093" s="38">
        <v>46289</v>
      </c>
      <c r="M4093" s="23" t="s">
        <v>220</v>
      </c>
      <c r="N4093" s="23" t="str">
        <f>IF(COUNTIF($A$2:A4093,A4093)&gt;1,"DUP","OK")</f>
        <v>OK</v>
      </c>
      <c r="O4093" s="23" t="str">
        <f t="shared" si="190"/>
        <v>ORD26003886</v>
      </c>
      <c r="P4093" s="23" t="str">
        <f t="shared" si="191"/>
        <v>Sep</v>
      </c>
      <c r="Q4093" s="23" t="str">
        <f>IF(F4093="CAPTURE",IF(COUNTIF(orders!$A:$A,O4093)&gt;0,"Yes","NO ORDER"),"")</f>
        <v>Yes</v>
      </c>
    </row>
    <row r="4094" spans="1:17" ht="15" customHeight="1" x14ac:dyDescent="0.3">
      <c r="A4094" s="23" t="s">
        <v>17140</v>
      </c>
      <c r="B4094" s="23"/>
      <c r="C4094" s="23" t="s">
        <v>8295</v>
      </c>
      <c r="D4094" s="23" t="str">
        <f t="shared" si="189"/>
        <v>ORD26003904</v>
      </c>
      <c r="E4094" s="38">
        <v>46287</v>
      </c>
      <c r="F4094" s="23" t="s">
        <v>12410</v>
      </c>
      <c r="G4094" s="23" t="s">
        <v>75</v>
      </c>
      <c r="H4094" s="24">
        <v>3897</v>
      </c>
      <c r="I4094" s="24">
        <v>11.69</v>
      </c>
      <c r="J4094" s="24">
        <v>2.1</v>
      </c>
      <c r="K4094" s="24">
        <v>3883.21</v>
      </c>
      <c r="L4094" s="38">
        <v>46289</v>
      </c>
      <c r="M4094" s="23" t="s">
        <v>220</v>
      </c>
      <c r="N4094" s="23" t="str">
        <f>IF(COUNTIF($A$2:A4094,A4094)&gt;1,"DUP","OK")</f>
        <v>OK</v>
      </c>
      <c r="O4094" s="23" t="str">
        <f t="shared" si="190"/>
        <v>ORD26003904</v>
      </c>
      <c r="P4094" s="23" t="str">
        <f t="shared" si="191"/>
        <v>Sep</v>
      </c>
      <c r="Q4094" s="23" t="str">
        <f>IF(F4094="CAPTURE",IF(COUNTIF(orders!$A:$A,O4094)&gt;0,"Yes","NO ORDER"),"")</f>
        <v>Yes</v>
      </c>
    </row>
    <row r="4095" spans="1:17" ht="15" customHeight="1" x14ac:dyDescent="0.3">
      <c r="A4095" s="23" t="s">
        <v>17141</v>
      </c>
      <c r="B4095" s="23"/>
      <c r="C4095" s="23" t="s">
        <v>8379</v>
      </c>
      <c r="D4095" s="23" t="str">
        <f t="shared" si="189"/>
        <v>ORD26003946</v>
      </c>
      <c r="E4095" s="38">
        <v>46287</v>
      </c>
      <c r="F4095" s="23" t="s">
        <v>12410</v>
      </c>
      <c r="G4095" s="23" t="s">
        <v>75</v>
      </c>
      <c r="H4095" s="24">
        <v>4798</v>
      </c>
      <c r="I4095" s="24">
        <v>14.39</v>
      </c>
      <c r="J4095" s="24">
        <v>2.59</v>
      </c>
      <c r="K4095" s="24">
        <v>4781.0200000000004</v>
      </c>
      <c r="L4095" s="38">
        <v>46289</v>
      </c>
      <c r="M4095" s="23" t="s">
        <v>220</v>
      </c>
      <c r="N4095" s="23" t="str">
        <f>IF(COUNTIF($A$2:A4095,A4095)&gt;1,"DUP","OK")</f>
        <v>OK</v>
      </c>
      <c r="O4095" s="23" t="str">
        <f t="shared" si="190"/>
        <v>ORD26003946</v>
      </c>
      <c r="P4095" s="23" t="str">
        <f t="shared" si="191"/>
        <v>Sep</v>
      </c>
      <c r="Q4095" s="23" t="str">
        <f>IF(F4095="CAPTURE",IF(COUNTIF(orders!$A:$A,O4095)&gt;0,"Yes","NO ORDER"),"")</f>
        <v>Yes</v>
      </c>
    </row>
    <row r="4096" spans="1:17" ht="15" customHeight="1" x14ac:dyDescent="0.3">
      <c r="A4096" s="23" t="s">
        <v>17142</v>
      </c>
      <c r="B4096" s="23"/>
      <c r="C4096" s="23" t="s">
        <v>8429</v>
      </c>
      <c r="D4096" s="23" t="str">
        <f t="shared" si="189"/>
        <v>ORD26003971</v>
      </c>
      <c r="E4096" s="38">
        <v>46287</v>
      </c>
      <c r="F4096" s="23" t="s">
        <v>12410</v>
      </c>
      <c r="G4096" s="23" t="s">
        <v>79</v>
      </c>
      <c r="H4096" s="24">
        <v>499</v>
      </c>
      <c r="I4096" s="24">
        <v>8.98</v>
      </c>
      <c r="J4096" s="24">
        <v>1.62</v>
      </c>
      <c r="K4096" s="24">
        <v>488.4</v>
      </c>
      <c r="L4096" s="38">
        <v>46289</v>
      </c>
      <c r="M4096" s="23" t="s">
        <v>220</v>
      </c>
      <c r="N4096" s="23" t="str">
        <f>IF(COUNTIF($A$2:A4096,A4096)&gt;1,"DUP","OK")</f>
        <v>OK</v>
      </c>
      <c r="O4096" s="23" t="str">
        <f t="shared" si="190"/>
        <v>ORD26003971</v>
      </c>
      <c r="P4096" s="23" t="str">
        <f t="shared" si="191"/>
        <v>Sep</v>
      </c>
      <c r="Q4096" s="23" t="str">
        <f>IF(F4096="CAPTURE",IF(COUNTIF(orders!$A:$A,O4096)&gt;0,"Yes","NO ORDER"),"")</f>
        <v>Yes</v>
      </c>
    </row>
    <row r="4097" spans="1:17" ht="15" customHeight="1" x14ac:dyDescent="0.3">
      <c r="A4097" s="23" t="s">
        <v>17143</v>
      </c>
      <c r="B4097" s="23"/>
      <c r="C4097" s="23" t="s">
        <v>8433</v>
      </c>
      <c r="D4097" s="23" t="str">
        <f t="shared" si="189"/>
        <v>ORD26003973</v>
      </c>
      <c r="E4097" s="38">
        <v>46287</v>
      </c>
      <c r="F4097" s="23" t="s">
        <v>12410</v>
      </c>
      <c r="G4097" s="23" t="s">
        <v>79</v>
      </c>
      <c r="H4097" s="24">
        <v>1198</v>
      </c>
      <c r="I4097" s="24">
        <v>21.56</v>
      </c>
      <c r="J4097" s="24">
        <v>3.88</v>
      </c>
      <c r="K4097" s="24">
        <v>1172.56</v>
      </c>
      <c r="L4097" s="38">
        <v>46289</v>
      </c>
      <c r="M4097" s="23" t="s">
        <v>220</v>
      </c>
      <c r="N4097" s="23" t="str">
        <f>IF(COUNTIF($A$2:A4097,A4097)&gt;1,"DUP","OK")</f>
        <v>OK</v>
      </c>
      <c r="O4097" s="23" t="str">
        <f t="shared" si="190"/>
        <v>ORD26003973</v>
      </c>
      <c r="P4097" s="23" t="str">
        <f t="shared" si="191"/>
        <v>Sep</v>
      </c>
      <c r="Q4097" s="23" t="str">
        <f>IF(F4097="CAPTURE",IF(COUNTIF(orders!$A:$A,O4097)&gt;0,"Yes","NO ORDER"),"")</f>
        <v>Yes</v>
      </c>
    </row>
    <row r="4098" spans="1:17" ht="15" customHeight="1" x14ac:dyDescent="0.3">
      <c r="A4098" s="23" t="s">
        <v>17144</v>
      </c>
      <c r="B4098" s="23"/>
      <c r="C4098" s="23" t="s">
        <v>8578</v>
      </c>
      <c r="D4098" s="23" t="str">
        <f t="shared" ref="D4098:D4161" si="192">UPPER(SUBSTITUTE(TRIM(C4098),"-",""))</f>
        <v>ORD26004047</v>
      </c>
      <c r="E4098" s="38">
        <v>46287</v>
      </c>
      <c r="F4098" s="23" t="s">
        <v>12410</v>
      </c>
      <c r="G4098" s="23" t="s">
        <v>79</v>
      </c>
      <c r="H4098" s="24">
        <v>2499</v>
      </c>
      <c r="I4098" s="24">
        <v>39.979999999999997</v>
      </c>
      <c r="J4098" s="24">
        <v>7.2</v>
      </c>
      <c r="K4098" s="24">
        <v>2451.8200000000002</v>
      </c>
      <c r="L4098" s="38">
        <v>46289</v>
      </c>
      <c r="M4098" s="23" t="s">
        <v>220</v>
      </c>
      <c r="N4098" s="23" t="str">
        <f>IF(COUNTIF($A$2:A4098,A4098)&gt;1,"DUP","OK")</f>
        <v>OK</v>
      </c>
      <c r="O4098" s="23" t="str">
        <f t="shared" ref="O4098:O4161" si="193">IF(F4098="REFUND",INDEX($D:$D,MATCH(B4098,$A:$A,0)),D4098)</f>
        <v>ORD26004047</v>
      </c>
      <c r="P4098" s="23" t="str">
        <f t="shared" ref="P4098:P4161" si="194">IF(L4098&gt;DATE(2026,9,30),"Oct-Due","Sep")</f>
        <v>Sep</v>
      </c>
      <c r="Q4098" s="23" t="str">
        <f>IF(F4098="CAPTURE",IF(COUNTIF(orders!$A:$A,O4098)&gt;0,"Yes","NO ORDER"),"")</f>
        <v>Yes</v>
      </c>
    </row>
    <row r="4099" spans="1:17" ht="15" customHeight="1" x14ac:dyDescent="0.3">
      <c r="A4099" s="23" t="s">
        <v>17145</v>
      </c>
      <c r="B4099" s="23"/>
      <c r="C4099" s="23" t="s">
        <v>17146</v>
      </c>
      <c r="D4099" s="23" t="str">
        <f t="shared" si="192"/>
        <v>ORD26004067</v>
      </c>
      <c r="E4099" s="38">
        <v>46287</v>
      </c>
      <c r="F4099" s="23" t="s">
        <v>12410</v>
      </c>
      <c r="G4099" s="23" t="s">
        <v>79</v>
      </c>
      <c r="H4099" s="24">
        <v>2798</v>
      </c>
      <c r="I4099" s="24">
        <v>44.77</v>
      </c>
      <c r="J4099" s="24">
        <v>8.06</v>
      </c>
      <c r="K4099" s="24">
        <v>2745.17</v>
      </c>
      <c r="L4099" s="38">
        <v>46289</v>
      </c>
      <c r="M4099" s="23" t="s">
        <v>220</v>
      </c>
      <c r="N4099" s="23" t="str">
        <f>IF(COUNTIF($A$2:A4099,A4099)&gt;1,"DUP","OK")</f>
        <v>OK</v>
      </c>
      <c r="O4099" s="23" t="str">
        <f t="shared" si="193"/>
        <v>ORD26004067</v>
      </c>
      <c r="P4099" s="23" t="str">
        <f t="shared" si="194"/>
        <v>Sep</v>
      </c>
      <c r="Q4099" s="23" t="str">
        <f>IF(F4099="CAPTURE",IF(COUNTIF(orders!$A:$A,O4099)&gt;0,"Yes","NO ORDER"),"")</f>
        <v>Yes</v>
      </c>
    </row>
    <row r="4100" spans="1:17" ht="15" customHeight="1" x14ac:dyDescent="0.3">
      <c r="A4100" s="23" t="s">
        <v>17147</v>
      </c>
      <c r="B4100" s="23"/>
      <c r="C4100" s="23" t="s">
        <v>8779</v>
      </c>
      <c r="D4100" s="23" t="str">
        <f t="shared" si="192"/>
        <v>ORD26004150</v>
      </c>
      <c r="E4100" s="38">
        <v>46287</v>
      </c>
      <c r="F4100" s="23" t="s">
        <v>12410</v>
      </c>
      <c r="G4100" s="23" t="s">
        <v>79</v>
      </c>
      <c r="H4100" s="24">
        <v>6498</v>
      </c>
      <c r="I4100" s="24">
        <v>103.97</v>
      </c>
      <c r="J4100" s="24">
        <v>18.71</v>
      </c>
      <c r="K4100" s="24">
        <v>6375.32</v>
      </c>
      <c r="L4100" s="38">
        <v>46289</v>
      </c>
      <c r="M4100" s="23" t="s">
        <v>220</v>
      </c>
      <c r="N4100" s="23" t="str">
        <f>IF(COUNTIF($A$2:A4100,A4100)&gt;1,"DUP","OK")</f>
        <v>OK</v>
      </c>
      <c r="O4100" s="23" t="str">
        <f t="shared" si="193"/>
        <v>ORD26004150</v>
      </c>
      <c r="P4100" s="23" t="str">
        <f t="shared" si="194"/>
        <v>Sep</v>
      </c>
      <c r="Q4100" s="23" t="str">
        <f>IF(F4100="CAPTURE",IF(COUNTIF(orders!$A:$A,O4100)&gt;0,"Yes","NO ORDER"),"")</f>
        <v>Yes</v>
      </c>
    </row>
    <row r="4101" spans="1:17" ht="15" customHeight="1" x14ac:dyDescent="0.3">
      <c r="A4101" s="23" t="s">
        <v>17148</v>
      </c>
      <c r="B4101" s="23"/>
      <c r="C4101" s="23" t="s">
        <v>8839</v>
      </c>
      <c r="D4101" s="23" t="str">
        <f t="shared" si="192"/>
        <v>ORD26004182</v>
      </c>
      <c r="E4101" s="38">
        <v>46287</v>
      </c>
      <c r="F4101" s="23" t="s">
        <v>12410</v>
      </c>
      <c r="G4101" s="23" t="s">
        <v>75</v>
      </c>
      <c r="H4101" s="24">
        <v>3098</v>
      </c>
      <c r="I4101" s="24">
        <v>9.2899999999999991</v>
      </c>
      <c r="J4101" s="24">
        <v>1.67</v>
      </c>
      <c r="K4101" s="24">
        <v>3087.04</v>
      </c>
      <c r="L4101" s="38">
        <v>46289</v>
      </c>
      <c r="M4101" s="23" t="s">
        <v>220</v>
      </c>
      <c r="N4101" s="23" t="str">
        <f>IF(COUNTIF($A$2:A4101,A4101)&gt;1,"DUP","OK")</f>
        <v>OK</v>
      </c>
      <c r="O4101" s="23" t="str">
        <f t="shared" si="193"/>
        <v>ORD26004182</v>
      </c>
      <c r="P4101" s="23" t="str">
        <f t="shared" si="194"/>
        <v>Sep</v>
      </c>
      <c r="Q4101" s="23" t="str">
        <f>IF(F4101="CAPTURE",IF(COUNTIF(orders!$A:$A,O4101)&gt;0,"Yes","NO ORDER"),"")</f>
        <v>Yes</v>
      </c>
    </row>
    <row r="4102" spans="1:17" ht="15" customHeight="1" x14ac:dyDescent="0.3">
      <c r="A4102" s="23" t="s">
        <v>17149</v>
      </c>
      <c r="B4102" s="23"/>
      <c r="C4102" s="23" t="s">
        <v>8856</v>
      </c>
      <c r="D4102" s="23" t="str">
        <f t="shared" si="192"/>
        <v>ORD26004190</v>
      </c>
      <c r="E4102" s="38">
        <v>46287</v>
      </c>
      <c r="F4102" s="23" t="s">
        <v>12410</v>
      </c>
      <c r="G4102" s="23" t="s">
        <v>79</v>
      </c>
      <c r="H4102" s="24">
        <v>4597</v>
      </c>
      <c r="I4102" s="24">
        <v>73.55</v>
      </c>
      <c r="J4102" s="24">
        <v>13.24</v>
      </c>
      <c r="K4102" s="24">
        <v>4510.21</v>
      </c>
      <c r="L4102" s="38">
        <v>46289</v>
      </c>
      <c r="M4102" s="23" t="s">
        <v>220</v>
      </c>
      <c r="N4102" s="23" t="str">
        <f>IF(COUNTIF($A$2:A4102,A4102)&gt;1,"DUP","OK")</f>
        <v>OK</v>
      </c>
      <c r="O4102" s="23" t="str">
        <f t="shared" si="193"/>
        <v>ORD26004190</v>
      </c>
      <c r="P4102" s="23" t="str">
        <f t="shared" si="194"/>
        <v>Sep</v>
      </c>
      <c r="Q4102" s="23" t="str">
        <f>IF(F4102="CAPTURE",IF(COUNTIF(orders!$A:$A,O4102)&gt;0,"Yes","NO ORDER"),"")</f>
        <v>Yes</v>
      </c>
    </row>
    <row r="4103" spans="1:17" ht="15" customHeight="1" x14ac:dyDescent="0.3">
      <c r="A4103" s="23" t="s">
        <v>17150</v>
      </c>
      <c r="B4103" s="23"/>
      <c r="C4103" s="23" t="s">
        <v>8904</v>
      </c>
      <c r="D4103" s="23" t="str">
        <f t="shared" si="192"/>
        <v>ORD26004214</v>
      </c>
      <c r="E4103" s="38">
        <v>46287</v>
      </c>
      <c r="F4103" s="23" t="s">
        <v>12410</v>
      </c>
      <c r="G4103" s="23" t="s">
        <v>75</v>
      </c>
      <c r="H4103" s="24">
        <v>10597</v>
      </c>
      <c r="I4103" s="24">
        <v>31.79</v>
      </c>
      <c r="J4103" s="24">
        <v>5.72</v>
      </c>
      <c r="K4103" s="24">
        <v>10559.49</v>
      </c>
      <c r="L4103" s="38">
        <v>46289</v>
      </c>
      <c r="M4103" s="23" t="s">
        <v>220</v>
      </c>
      <c r="N4103" s="23" t="str">
        <f>IF(COUNTIF($A$2:A4103,A4103)&gt;1,"DUP","OK")</f>
        <v>OK</v>
      </c>
      <c r="O4103" s="23" t="str">
        <f t="shared" si="193"/>
        <v>ORD26004214</v>
      </c>
      <c r="P4103" s="23" t="str">
        <f t="shared" si="194"/>
        <v>Sep</v>
      </c>
      <c r="Q4103" s="23" t="str">
        <f>IF(F4103="CAPTURE",IF(COUNTIF(orders!$A:$A,O4103)&gt;0,"Yes","NO ORDER"),"")</f>
        <v>Yes</v>
      </c>
    </row>
    <row r="4104" spans="1:17" ht="15" customHeight="1" x14ac:dyDescent="0.3">
      <c r="A4104" s="23" t="s">
        <v>17151</v>
      </c>
      <c r="B4104" s="23"/>
      <c r="C4104" s="23" t="s">
        <v>9022</v>
      </c>
      <c r="D4104" s="23" t="str">
        <f t="shared" si="192"/>
        <v>ORD26004275</v>
      </c>
      <c r="E4104" s="38">
        <v>46287</v>
      </c>
      <c r="F4104" s="23" t="s">
        <v>12410</v>
      </c>
      <c r="G4104" s="23" t="s">
        <v>75</v>
      </c>
      <c r="H4104" s="24">
        <v>8347</v>
      </c>
      <c r="I4104" s="24">
        <v>25.04</v>
      </c>
      <c r="J4104" s="24">
        <v>4.51</v>
      </c>
      <c r="K4104" s="24">
        <v>8317.4500000000007</v>
      </c>
      <c r="L4104" s="38">
        <v>46289</v>
      </c>
      <c r="M4104" s="23" t="s">
        <v>220</v>
      </c>
      <c r="N4104" s="23" t="str">
        <f>IF(COUNTIF($A$2:A4104,A4104)&gt;1,"DUP","OK")</f>
        <v>OK</v>
      </c>
      <c r="O4104" s="23" t="str">
        <f t="shared" si="193"/>
        <v>ORD26004275</v>
      </c>
      <c r="P4104" s="23" t="str">
        <f t="shared" si="194"/>
        <v>Sep</v>
      </c>
      <c r="Q4104" s="23" t="str">
        <f>IF(F4104="CAPTURE",IF(COUNTIF(orders!$A:$A,O4104)&gt;0,"Yes","NO ORDER"),"")</f>
        <v>Yes</v>
      </c>
    </row>
    <row r="4105" spans="1:17" ht="15" customHeight="1" x14ac:dyDescent="0.3">
      <c r="A4105" s="23" t="s">
        <v>17152</v>
      </c>
      <c r="B4105" s="23"/>
      <c r="C4105" s="23" t="s">
        <v>9027</v>
      </c>
      <c r="D4105" s="23" t="str">
        <f t="shared" si="192"/>
        <v>ORD26004277</v>
      </c>
      <c r="E4105" s="38">
        <v>46287</v>
      </c>
      <c r="F4105" s="23" t="s">
        <v>12410</v>
      </c>
      <c r="G4105" s="23" t="s">
        <v>75</v>
      </c>
      <c r="H4105" s="24">
        <v>5597</v>
      </c>
      <c r="I4105" s="24">
        <v>16.79</v>
      </c>
      <c r="J4105" s="24">
        <v>3.02</v>
      </c>
      <c r="K4105" s="24">
        <v>5577.19</v>
      </c>
      <c r="L4105" s="38">
        <v>46289</v>
      </c>
      <c r="M4105" s="23" t="s">
        <v>220</v>
      </c>
      <c r="N4105" s="23" t="str">
        <f>IF(COUNTIF($A$2:A4105,A4105)&gt;1,"DUP","OK")</f>
        <v>OK</v>
      </c>
      <c r="O4105" s="23" t="str">
        <f t="shared" si="193"/>
        <v>ORD26004277</v>
      </c>
      <c r="P4105" s="23" t="str">
        <f t="shared" si="194"/>
        <v>Sep</v>
      </c>
      <c r="Q4105" s="23" t="str">
        <f>IF(F4105="CAPTURE",IF(COUNTIF(orders!$A:$A,O4105)&gt;0,"Yes","NO ORDER"),"")</f>
        <v>Yes</v>
      </c>
    </row>
    <row r="4106" spans="1:17" ht="15" customHeight="1" x14ac:dyDescent="0.3">
      <c r="A4106" s="23" t="s">
        <v>17153</v>
      </c>
      <c r="B4106" s="23"/>
      <c r="C4106" s="23" t="s">
        <v>9165</v>
      </c>
      <c r="D4106" s="23" t="str">
        <f t="shared" si="192"/>
        <v>ORD26004344</v>
      </c>
      <c r="E4106" s="38">
        <v>46287</v>
      </c>
      <c r="F4106" s="23" t="s">
        <v>12410</v>
      </c>
      <c r="G4106" s="23" t="s">
        <v>75</v>
      </c>
      <c r="H4106" s="24">
        <v>6097</v>
      </c>
      <c r="I4106" s="24">
        <v>18.29</v>
      </c>
      <c r="J4106" s="24">
        <v>3.29</v>
      </c>
      <c r="K4106" s="24">
        <v>6075.42</v>
      </c>
      <c r="L4106" s="38">
        <v>46289</v>
      </c>
      <c r="M4106" s="23" t="s">
        <v>220</v>
      </c>
      <c r="N4106" s="23" t="str">
        <f>IF(COUNTIF($A$2:A4106,A4106)&gt;1,"DUP","OK")</f>
        <v>OK</v>
      </c>
      <c r="O4106" s="23" t="str">
        <f t="shared" si="193"/>
        <v>ORD26004344</v>
      </c>
      <c r="P4106" s="23" t="str">
        <f t="shared" si="194"/>
        <v>Sep</v>
      </c>
      <c r="Q4106" s="23" t="str">
        <f>IF(F4106="CAPTURE",IF(COUNTIF(orders!$A:$A,O4106)&gt;0,"Yes","NO ORDER"),"")</f>
        <v>Yes</v>
      </c>
    </row>
    <row r="4107" spans="1:17" ht="15" customHeight="1" x14ac:dyDescent="0.3">
      <c r="A4107" s="23" t="s">
        <v>17154</v>
      </c>
      <c r="B4107" s="23"/>
      <c r="C4107" s="23" t="s">
        <v>9221</v>
      </c>
      <c r="D4107" s="23" t="str">
        <f t="shared" si="192"/>
        <v>ORD26004373</v>
      </c>
      <c r="E4107" s="38">
        <v>46287</v>
      </c>
      <c r="F4107" s="23" t="s">
        <v>12410</v>
      </c>
      <c r="G4107" s="23" t="s">
        <v>75</v>
      </c>
      <c r="H4107" s="24">
        <v>349</v>
      </c>
      <c r="I4107" s="24">
        <v>0</v>
      </c>
      <c r="J4107" s="24">
        <v>0</v>
      </c>
      <c r="K4107" s="24">
        <v>349</v>
      </c>
      <c r="L4107" s="38">
        <v>46289</v>
      </c>
      <c r="M4107" s="23" t="s">
        <v>220</v>
      </c>
      <c r="N4107" s="23" t="str">
        <f>IF(COUNTIF($A$2:A4107,A4107)&gt;1,"DUP","OK")</f>
        <v>OK</v>
      </c>
      <c r="O4107" s="23" t="str">
        <f t="shared" si="193"/>
        <v>ORD26004373</v>
      </c>
      <c r="P4107" s="23" t="str">
        <f t="shared" si="194"/>
        <v>Sep</v>
      </c>
      <c r="Q4107" s="23" t="str">
        <f>IF(F4107="CAPTURE",IF(COUNTIF(orders!$A:$A,O4107)&gt;0,"Yes","NO ORDER"),"")</f>
        <v>Yes</v>
      </c>
    </row>
    <row r="4108" spans="1:17" ht="15" customHeight="1" x14ac:dyDescent="0.3">
      <c r="A4108" s="23" t="s">
        <v>17155</v>
      </c>
      <c r="B4108" s="23"/>
      <c r="C4108" s="23" t="s">
        <v>9290</v>
      </c>
      <c r="D4108" s="23" t="str">
        <f t="shared" si="192"/>
        <v>ORD26004408</v>
      </c>
      <c r="E4108" s="38">
        <v>46287</v>
      </c>
      <c r="F4108" s="23" t="s">
        <v>12410</v>
      </c>
      <c r="G4108" s="23" t="s">
        <v>75</v>
      </c>
      <c r="H4108" s="24">
        <v>8297</v>
      </c>
      <c r="I4108" s="24">
        <v>24.89</v>
      </c>
      <c r="J4108" s="24">
        <v>4.4800000000000004</v>
      </c>
      <c r="K4108" s="24">
        <v>8267.6299999999992</v>
      </c>
      <c r="L4108" s="38">
        <v>46289</v>
      </c>
      <c r="M4108" s="23" t="s">
        <v>220</v>
      </c>
      <c r="N4108" s="23" t="str">
        <f>IF(COUNTIF($A$2:A4108,A4108)&gt;1,"DUP","OK")</f>
        <v>OK</v>
      </c>
      <c r="O4108" s="23" t="str">
        <f t="shared" si="193"/>
        <v>ORD26004408</v>
      </c>
      <c r="P4108" s="23" t="str">
        <f t="shared" si="194"/>
        <v>Sep</v>
      </c>
      <c r="Q4108" s="23" t="str">
        <f>IF(F4108="CAPTURE",IF(COUNTIF(orders!$A:$A,O4108)&gt;0,"Yes","NO ORDER"),"")</f>
        <v>Yes</v>
      </c>
    </row>
    <row r="4109" spans="1:17" ht="15" customHeight="1" x14ac:dyDescent="0.3">
      <c r="A4109" s="23" t="s">
        <v>17156</v>
      </c>
      <c r="B4109" s="23"/>
      <c r="C4109" s="23" t="s">
        <v>9412</v>
      </c>
      <c r="D4109" s="23" t="str">
        <f t="shared" si="192"/>
        <v>ORD26004470</v>
      </c>
      <c r="E4109" s="38">
        <v>46287</v>
      </c>
      <c r="F4109" s="23" t="s">
        <v>12410</v>
      </c>
      <c r="G4109" s="23" t="s">
        <v>77</v>
      </c>
      <c r="H4109" s="24">
        <v>1299</v>
      </c>
      <c r="I4109" s="24">
        <v>24.68</v>
      </c>
      <c r="J4109" s="24">
        <v>4.4400000000000004</v>
      </c>
      <c r="K4109" s="24">
        <v>1269.8800000000001</v>
      </c>
      <c r="L4109" s="38">
        <v>46289</v>
      </c>
      <c r="M4109" s="23" t="s">
        <v>220</v>
      </c>
      <c r="N4109" s="23" t="str">
        <f>IF(COUNTIF($A$2:A4109,A4109)&gt;1,"DUP","OK")</f>
        <v>OK</v>
      </c>
      <c r="O4109" s="23" t="str">
        <f t="shared" si="193"/>
        <v>ORD26004470</v>
      </c>
      <c r="P4109" s="23" t="str">
        <f t="shared" si="194"/>
        <v>Sep</v>
      </c>
      <c r="Q4109" s="23" t="str">
        <f>IF(F4109="CAPTURE",IF(COUNTIF(orders!$A:$A,O4109)&gt;0,"Yes","NO ORDER"),"")</f>
        <v>Yes</v>
      </c>
    </row>
    <row r="4110" spans="1:17" ht="15" customHeight="1" x14ac:dyDescent="0.3">
      <c r="A4110" s="23" t="s">
        <v>17157</v>
      </c>
      <c r="B4110" s="23"/>
      <c r="C4110" s="23" t="s">
        <v>9429</v>
      </c>
      <c r="D4110" s="23" t="str">
        <f t="shared" si="192"/>
        <v>ORD26004479</v>
      </c>
      <c r="E4110" s="38">
        <v>46287</v>
      </c>
      <c r="F4110" s="23" t="s">
        <v>12410</v>
      </c>
      <c r="G4110" s="23" t="s">
        <v>75</v>
      </c>
      <c r="H4110" s="24">
        <v>3097</v>
      </c>
      <c r="I4110" s="24">
        <v>9.2899999999999991</v>
      </c>
      <c r="J4110" s="24">
        <v>1.67</v>
      </c>
      <c r="K4110" s="24">
        <v>3086.04</v>
      </c>
      <c r="L4110" s="38">
        <v>46289</v>
      </c>
      <c r="M4110" s="23" t="s">
        <v>220</v>
      </c>
      <c r="N4110" s="23" t="str">
        <f>IF(COUNTIF($A$2:A4110,A4110)&gt;1,"DUP","OK")</f>
        <v>OK</v>
      </c>
      <c r="O4110" s="23" t="str">
        <f t="shared" si="193"/>
        <v>ORD26004479</v>
      </c>
      <c r="P4110" s="23" t="str">
        <f t="shared" si="194"/>
        <v>Sep</v>
      </c>
      <c r="Q4110" s="23" t="str">
        <f>IF(F4110="CAPTURE",IF(COUNTIF(orders!$A:$A,O4110)&gt;0,"Yes","NO ORDER"),"")</f>
        <v>Yes</v>
      </c>
    </row>
    <row r="4111" spans="1:17" ht="15" customHeight="1" x14ac:dyDescent="0.3">
      <c r="A4111" s="23" t="s">
        <v>17158</v>
      </c>
      <c r="B4111" s="23"/>
      <c r="C4111" s="23" t="s">
        <v>9533</v>
      </c>
      <c r="D4111" s="23" t="str">
        <f t="shared" si="192"/>
        <v>ORD26004530</v>
      </c>
      <c r="E4111" s="38">
        <v>46287</v>
      </c>
      <c r="F4111" s="23" t="s">
        <v>12410</v>
      </c>
      <c r="G4111" s="23" t="s">
        <v>75</v>
      </c>
      <c r="H4111" s="24">
        <v>499</v>
      </c>
      <c r="I4111" s="24">
        <v>0</v>
      </c>
      <c r="J4111" s="24">
        <v>0</v>
      </c>
      <c r="K4111" s="24">
        <v>499</v>
      </c>
      <c r="L4111" s="38">
        <v>46289</v>
      </c>
      <c r="M4111" s="23" t="s">
        <v>220</v>
      </c>
      <c r="N4111" s="23" t="str">
        <f>IF(COUNTIF($A$2:A4111,A4111)&gt;1,"DUP","OK")</f>
        <v>OK</v>
      </c>
      <c r="O4111" s="23" t="str">
        <f t="shared" si="193"/>
        <v>ORD26004530</v>
      </c>
      <c r="P4111" s="23" t="str">
        <f t="shared" si="194"/>
        <v>Sep</v>
      </c>
      <c r="Q4111" s="23" t="str">
        <f>IF(F4111="CAPTURE",IF(COUNTIF(orders!$A:$A,O4111)&gt;0,"Yes","NO ORDER"),"")</f>
        <v>Yes</v>
      </c>
    </row>
    <row r="4112" spans="1:17" ht="15" customHeight="1" x14ac:dyDescent="0.3">
      <c r="A4112" s="23" t="s">
        <v>17159</v>
      </c>
      <c r="B4112" s="23"/>
      <c r="C4112" s="23" t="s">
        <v>9579</v>
      </c>
      <c r="D4112" s="23" t="str">
        <f t="shared" si="192"/>
        <v>ORD26004553</v>
      </c>
      <c r="E4112" s="38">
        <v>46287</v>
      </c>
      <c r="F4112" s="23" t="s">
        <v>12410</v>
      </c>
      <c r="G4112" s="23" t="s">
        <v>75</v>
      </c>
      <c r="H4112" s="24">
        <v>1499</v>
      </c>
      <c r="I4112" s="24">
        <v>0</v>
      </c>
      <c r="J4112" s="24">
        <v>0</v>
      </c>
      <c r="K4112" s="24">
        <v>1499</v>
      </c>
      <c r="L4112" s="38">
        <v>46289</v>
      </c>
      <c r="M4112" s="23" t="s">
        <v>220</v>
      </c>
      <c r="N4112" s="23" t="str">
        <f>IF(COUNTIF($A$2:A4112,A4112)&gt;1,"DUP","OK")</f>
        <v>OK</v>
      </c>
      <c r="O4112" s="23" t="str">
        <f t="shared" si="193"/>
        <v>ORD26004553</v>
      </c>
      <c r="P4112" s="23" t="str">
        <f t="shared" si="194"/>
        <v>Sep</v>
      </c>
      <c r="Q4112" s="23" t="str">
        <f>IF(F4112="CAPTURE",IF(COUNTIF(orders!$A:$A,O4112)&gt;0,"Yes","NO ORDER"),"")</f>
        <v>Yes</v>
      </c>
    </row>
    <row r="4113" spans="1:17" ht="15" customHeight="1" x14ac:dyDescent="0.3">
      <c r="A4113" s="23" t="s">
        <v>17160</v>
      </c>
      <c r="B4113" s="23"/>
      <c r="C4113" s="23" t="s">
        <v>9636</v>
      </c>
      <c r="D4113" s="23" t="str">
        <f t="shared" si="192"/>
        <v>ORD26004582</v>
      </c>
      <c r="E4113" s="38">
        <v>46287</v>
      </c>
      <c r="F4113" s="23" t="s">
        <v>12410</v>
      </c>
      <c r="G4113" s="23" t="s">
        <v>79</v>
      </c>
      <c r="H4113" s="24">
        <v>349</v>
      </c>
      <c r="I4113" s="24">
        <v>6.28</v>
      </c>
      <c r="J4113" s="24">
        <v>1.1299999999999999</v>
      </c>
      <c r="K4113" s="24">
        <v>341.59</v>
      </c>
      <c r="L4113" s="38">
        <v>46289</v>
      </c>
      <c r="M4113" s="23" t="s">
        <v>220</v>
      </c>
      <c r="N4113" s="23" t="str">
        <f>IF(COUNTIF($A$2:A4113,A4113)&gt;1,"DUP","OK")</f>
        <v>OK</v>
      </c>
      <c r="O4113" s="23" t="str">
        <f t="shared" si="193"/>
        <v>ORD26004582</v>
      </c>
      <c r="P4113" s="23" t="str">
        <f t="shared" si="194"/>
        <v>Sep</v>
      </c>
      <c r="Q4113" s="23" t="str">
        <f>IF(F4113="CAPTURE",IF(COUNTIF(orders!$A:$A,O4113)&gt;0,"Yes","NO ORDER"),"")</f>
        <v>Yes</v>
      </c>
    </row>
    <row r="4114" spans="1:17" ht="15" customHeight="1" x14ac:dyDescent="0.3">
      <c r="A4114" s="23" t="s">
        <v>17161</v>
      </c>
      <c r="B4114" s="23"/>
      <c r="C4114" s="23" t="s">
        <v>9676</v>
      </c>
      <c r="D4114" s="23" t="str">
        <f t="shared" si="192"/>
        <v>ORD26004602</v>
      </c>
      <c r="E4114" s="38">
        <v>46287</v>
      </c>
      <c r="F4114" s="23" t="s">
        <v>12410</v>
      </c>
      <c r="G4114" s="23" t="s">
        <v>79</v>
      </c>
      <c r="H4114" s="24">
        <v>11597</v>
      </c>
      <c r="I4114" s="24">
        <v>185.55</v>
      </c>
      <c r="J4114" s="24">
        <v>33.4</v>
      </c>
      <c r="K4114" s="24">
        <v>11378.05</v>
      </c>
      <c r="L4114" s="38">
        <v>46289</v>
      </c>
      <c r="M4114" s="23" t="s">
        <v>220</v>
      </c>
      <c r="N4114" s="23" t="str">
        <f>IF(COUNTIF($A$2:A4114,A4114)&gt;1,"DUP","OK")</f>
        <v>OK</v>
      </c>
      <c r="O4114" s="23" t="str">
        <f t="shared" si="193"/>
        <v>ORD26004602</v>
      </c>
      <c r="P4114" s="23" t="str">
        <f t="shared" si="194"/>
        <v>Sep</v>
      </c>
      <c r="Q4114" s="23" t="str">
        <f>IF(F4114="CAPTURE",IF(COUNTIF(orders!$A:$A,O4114)&gt;0,"Yes","NO ORDER"),"")</f>
        <v>Yes</v>
      </c>
    </row>
    <row r="4115" spans="1:17" ht="15" customHeight="1" x14ac:dyDescent="0.3">
      <c r="A4115" s="23" t="s">
        <v>17162</v>
      </c>
      <c r="B4115" s="23"/>
      <c r="C4115" s="23" t="s">
        <v>9733</v>
      </c>
      <c r="D4115" s="23" t="str">
        <f t="shared" si="192"/>
        <v>ORD26004630</v>
      </c>
      <c r="E4115" s="38">
        <v>46287</v>
      </c>
      <c r="F4115" s="23" t="s">
        <v>12410</v>
      </c>
      <c r="G4115" s="23" t="s">
        <v>75</v>
      </c>
      <c r="H4115" s="24">
        <v>5298</v>
      </c>
      <c r="I4115" s="24">
        <v>15.89</v>
      </c>
      <c r="J4115" s="24">
        <v>2.86</v>
      </c>
      <c r="K4115" s="24">
        <v>5279.25</v>
      </c>
      <c r="L4115" s="38">
        <v>46289</v>
      </c>
      <c r="M4115" s="23" t="s">
        <v>220</v>
      </c>
      <c r="N4115" s="23" t="str">
        <f>IF(COUNTIF($A$2:A4115,A4115)&gt;1,"DUP","OK")</f>
        <v>OK</v>
      </c>
      <c r="O4115" s="23" t="str">
        <f t="shared" si="193"/>
        <v>ORD26004630</v>
      </c>
      <c r="P4115" s="23" t="str">
        <f t="shared" si="194"/>
        <v>Sep</v>
      </c>
      <c r="Q4115" s="23" t="str">
        <f>IF(F4115="CAPTURE",IF(COUNTIF(orders!$A:$A,O4115)&gt;0,"Yes","NO ORDER"),"")</f>
        <v>Yes</v>
      </c>
    </row>
    <row r="4116" spans="1:17" ht="15" customHeight="1" x14ac:dyDescent="0.3">
      <c r="A4116" s="23" t="s">
        <v>17163</v>
      </c>
      <c r="B4116" s="23"/>
      <c r="C4116" s="23" t="s">
        <v>9756</v>
      </c>
      <c r="D4116" s="23" t="str">
        <f t="shared" si="192"/>
        <v>ORD26004643</v>
      </c>
      <c r="E4116" s="38">
        <v>46287</v>
      </c>
      <c r="F4116" s="23" t="s">
        <v>12410</v>
      </c>
      <c r="G4116" s="23" t="s">
        <v>79</v>
      </c>
      <c r="H4116" s="24">
        <v>3499</v>
      </c>
      <c r="I4116" s="24">
        <v>55.98</v>
      </c>
      <c r="J4116" s="24">
        <v>10.08</v>
      </c>
      <c r="K4116" s="24">
        <v>3432.94</v>
      </c>
      <c r="L4116" s="38">
        <v>46289</v>
      </c>
      <c r="M4116" s="23" t="s">
        <v>220</v>
      </c>
      <c r="N4116" s="23" t="str">
        <f>IF(COUNTIF($A$2:A4116,A4116)&gt;1,"DUP","OK")</f>
        <v>OK</v>
      </c>
      <c r="O4116" s="23" t="str">
        <f t="shared" si="193"/>
        <v>ORD26004643</v>
      </c>
      <c r="P4116" s="23" t="str">
        <f t="shared" si="194"/>
        <v>Sep</v>
      </c>
      <c r="Q4116" s="23" t="str">
        <f>IF(F4116="CAPTURE",IF(COUNTIF(orders!$A:$A,O4116)&gt;0,"Yes","NO ORDER"),"")</f>
        <v>Yes</v>
      </c>
    </row>
    <row r="4117" spans="1:17" ht="15" customHeight="1" x14ac:dyDescent="0.3">
      <c r="A4117" s="23" t="s">
        <v>17164</v>
      </c>
      <c r="B4117" s="23"/>
      <c r="C4117" s="23" t="s">
        <v>9895</v>
      </c>
      <c r="D4117" s="23" t="str">
        <f t="shared" si="192"/>
        <v>ORD26004714</v>
      </c>
      <c r="E4117" s="38">
        <v>46287</v>
      </c>
      <c r="F4117" s="23" t="s">
        <v>12410</v>
      </c>
      <c r="G4117" s="23" t="s">
        <v>79</v>
      </c>
      <c r="H4117" s="24">
        <v>6798</v>
      </c>
      <c r="I4117" s="24">
        <v>108.77</v>
      </c>
      <c r="J4117" s="24">
        <v>19.579999999999998</v>
      </c>
      <c r="K4117" s="24">
        <v>6669.65</v>
      </c>
      <c r="L4117" s="38">
        <v>46289</v>
      </c>
      <c r="M4117" s="23" t="s">
        <v>220</v>
      </c>
      <c r="N4117" s="23" t="str">
        <f>IF(COUNTIF($A$2:A4117,A4117)&gt;1,"DUP","OK")</f>
        <v>OK</v>
      </c>
      <c r="O4117" s="23" t="str">
        <f t="shared" si="193"/>
        <v>ORD26004714</v>
      </c>
      <c r="P4117" s="23" t="str">
        <f t="shared" si="194"/>
        <v>Sep</v>
      </c>
      <c r="Q4117" s="23" t="str">
        <f>IF(F4117="CAPTURE",IF(COUNTIF(orders!$A:$A,O4117)&gt;0,"Yes","NO ORDER"),"")</f>
        <v>Yes</v>
      </c>
    </row>
    <row r="4118" spans="1:17" ht="15" customHeight="1" x14ac:dyDescent="0.3">
      <c r="A4118" s="23" t="s">
        <v>17165</v>
      </c>
      <c r="B4118" s="23"/>
      <c r="C4118" s="23" t="s">
        <v>9991</v>
      </c>
      <c r="D4118" s="23" t="str">
        <f t="shared" si="192"/>
        <v>ORD26004763</v>
      </c>
      <c r="E4118" s="38">
        <v>46287</v>
      </c>
      <c r="F4118" s="23" t="s">
        <v>12410</v>
      </c>
      <c r="G4118" s="23" t="s">
        <v>75</v>
      </c>
      <c r="H4118" s="24">
        <v>1598</v>
      </c>
      <c r="I4118" s="24">
        <v>0</v>
      </c>
      <c r="J4118" s="24">
        <v>0</v>
      </c>
      <c r="K4118" s="24">
        <v>1598</v>
      </c>
      <c r="L4118" s="38">
        <v>46289</v>
      </c>
      <c r="M4118" s="23" t="s">
        <v>220</v>
      </c>
      <c r="N4118" s="23" t="str">
        <f>IF(COUNTIF($A$2:A4118,A4118)&gt;1,"DUP","OK")</f>
        <v>OK</v>
      </c>
      <c r="O4118" s="23" t="str">
        <f t="shared" si="193"/>
        <v>ORD26004763</v>
      </c>
      <c r="P4118" s="23" t="str">
        <f t="shared" si="194"/>
        <v>Sep</v>
      </c>
      <c r="Q4118" s="23" t="str">
        <f>IF(F4118="CAPTURE",IF(COUNTIF(orders!$A:$A,O4118)&gt;0,"Yes","NO ORDER"),"")</f>
        <v>Yes</v>
      </c>
    </row>
    <row r="4119" spans="1:17" ht="15" customHeight="1" x14ac:dyDescent="0.3">
      <c r="A4119" s="23" t="s">
        <v>17166</v>
      </c>
      <c r="B4119" s="23"/>
      <c r="C4119" s="23" t="s">
        <v>10066</v>
      </c>
      <c r="D4119" s="23" t="str">
        <f t="shared" si="192"/>
        <v>ORD26004802</v>
      </c>
      <c r="E4119" s="38">
        <v>46287</v>
      </c>
      <c r="F4119" s="23" t="s">
        <v>12410</v>
      </c>
      <c r="G4119" s="23" t="s">
        <v>77</v>
      </c>
      <c r="H4119" s="24">
        <v>799</v>
      </c>
      <c r="I4119" s="24">
        <v>15.18</v>
      </c>
      <c r="J4119" s="24">
        <v>2.73</v>
      </c>
      <c r="K4119" s="24">
        <v>781.09</v>
      </c>
      <c r="L4119" s="38">
        <v>46289</v>
      </c>
      <c r="M4119" s="23" t="s">
        <v>220</v>
      </c>
      <c r="N4119" s="23" t="str">
        <f>IF(COUNTIF($A$2:A4119,A4119)&gt;1,"DUP","OK")</f>
        <v>OK</v>
      </c>
      <c r="O4119" s="23" t="str">
        <f t="shared" si="193"/>
        <v>ORD26004802</v>
      </c>
      <c r="P4119" s="23" t="str">
        <f t="shared" si="194"/>
        <v>Sep</v>
      </c>
      <c r="Q4119" s="23" t="str">
        <f>IF(F4119="CAPTURE",IF(COUNTIF(orders!$A:$A,O4119)&gt;0,"Yes","NO ORDER"),"")</f>
        <v>Yes</v>
      </c>
    </row>
    <row r="4120" spans="1:17" ht="15" customHeight="1" x14ac:dyDescent="0.3">
      <c r="A4120" s="23" t="s">
        <v>17167</v>
      </c>
      <c r="B4120" s="23"/>
      <c r="C4120" s="23" t="s">
        <v>10081</v>
      </c>
      <c r="D4120" s="23" t="str">
        <f t="shared" si="192"/>
        <v>ORD26004810</v>
      </c>
      <c r="E4120" s="38">
        <v>46287</v>
      </c>
      <c r="F4120" s="23" t="s">
        <v>12410</v>
      </c>
      <c r="G4120" s="23" t="s">
        <v>77</v>
      </c>
      <c r="H4120" s="24">
        <v>1499</v>
      </c>
      <c r="I4120" s="24">
        <v>28.48</v>
      </c>
      <c r="J4120" s="24">
        <v>5.13</v>
      </c>
      <c r="K4120" s="24">
        <v>1465.39</v>
      </c>
      <c r="L4120" s="38">
        <v>46289</v>
      </c>
      <c r="M4120" s="23" t="s">
        <v>220</v>
      </c>
      <c r="N4120" s="23" t="str">
        <f>IF(COUNTIF($A$2:A4120,A4120)&gt;1,"DUP","OK")</f>
        <v>OK</v>
      </c>
      <c r="O4120" s="23" t="str">
        <f t="shared" si="193"/>
        <v>ORD26004810</v>
      </c>
      <c r="P4120" s="23" t="str">
        <f t="shared" si="194"/>
        <v>Sep</v>
      </c>
      <c r="Q4120" s="23" t="str">
        <f>IF(F4120="CAPTURE",IF(COUNTIF(orders!$A:$A,O4120)&gt;0,"Yes","NO ORDER"),"")</f>
        <v>Yes</v>
      </c>
    </row>
    <row r="4121" spans="1:17" ht="15" customHeight="1" x14ac:dyDescent="0.3">
      <c r="A4121" s="23" t="s">
        <v>17168</v>
      </c>
      <c r="B4121" s="23"/>
      <c r="C4121" s="23" t="s">
        <v>10101</v>
      </c>
      <c r="D4121" s="23" t="str">
        <f t="shared" si="192"/>
        <v>ORD26004820</v>
      </c>
      <c r="E4121" s="38">
        <v>46287</v>
      </c>
      <c r="F4121" s="23" t="s">
        <v>12410</v>
      </c>
      <c r="G4121" s="23" t="s">
        <v>79</v>
      </c>
      <c r="H4121" s="24">
        <v>1799</v>
      </c>
      <c r="I4121" s="24">
        <v>32.380000000000003</v>
      </c>
      <c r="J4121" s="24">
        <v>5.83</v>
      </c>
      <c r="K4121" s="24">
        <v>1760.79</v>
      </c>
      <c r="L4121" s="38">
        <v>46289</v>
      </c>
      <c r="M4121" s="23" t="s">
        <v>220</v>
      </c>
      <c r="N4121" s="23" t="str">
        <f>IF(COUNTIF($A$2:A4121,A4121)&gt;1,"DUP","OK")</f>
        <v>OK</v>
      </c>
      <c r="O4121" s="23" t="str">
        <f t="shared" si="193"/>
        <v>ORD26004820</v>
      </c>
      <c r="P4121" s="23" t="str">
        <f t="shared" si="194"/>
        <v>Sep</v>
      </c>
      <c r="Q4121" s="23" t="str">
        <f>IF(F4121="CAPTURE",IF(COUNTIF(orders!$A:$A,O4121)&gt;0,"Yes","NO ORDER"),"")</f>
        <v>Yes</v>
      </c>
    </row>
    <row r="4122" spans="1:17" ht="15" customHeight="1" x14ac:dyDescent="0.3">
      <c r="A4122" s="23" t="s">
        <v>17169</v>
      </c>
      <c r="B4122" s="23"/>
      <c r="C4122" s="23" t="s">
        <v>10118</v>
      </c>
      <c r="D4122" s="23" t="str">
        <f t="shared" si="192"/>
        <v>ORD26004829</v>
      </c>
      <c r="E4122" s="38">
        <v>46287</v>
      </c>
      <c r="F4122" s="23" t="s">
        <v>12410</v>
      </c>
      <c r="G4122" s="23" t="s">
        <v>77</v>
      </c>
      <c r="H4122" s="24">
        <v>999</v>
      </c>
      <c r="I4122" s="24">
        <v>18.98</v>
      </c>
      <c r="J4122" s="24">
        <v>3.42</v>
      </c>
      <c r="K4122" s="24">
        <v>976.6</v>
      </c>
      <c r="L4122" s="38">
        <v>46289</v>
      </c>
      <c r="M4122" s="23" t="s">
        <v>220</v>
      </c>
      <c r="N4122" s="23" t="str">
        <f>IF(COUNTIF($A$2:A4122,A4122)&gt;1,"DUP","OK")</f>
        <v>OK</v>
      </c>
      <c r="O4122" s="23" t="str">
        <f t="shared" si="193"/>
        <v>ORD26004829</v>
      </c>
      <c r="P4122" s="23" t="str">
        <f t="shared" si="194"/>
        <v>Sep</v>
      </c>
      <c r="Q4122" s="23" t="str">
        <f>IF(F4122="CAPTURE",IF(COUNTIF(orders!$A:$A,O4122)&gt;0,"Yes","NO ORDER"),"")</f>
        <v>Yes</v>
      </c>
    </row>
    <row r="4123" spans="1:17" ht="15" customHeight="1" x14ac:dyDescent="0.3">
      <c r="A4123" s="23" t="s">
        <v>17170</v>
      </c>
      <c r="B4123" s="23"/>
      <c r="C4123" s="23" t="s">
        <v>10206</v>
      </c>
      <c r="D4123" s="23" t="str">
        <f t="shared" si="192"/>
        <v>ORD26004874</v>
      </c>
      <c r="E4123" s="38">
        <v>46287</v>
      </c>
      <c r="F4123" s="23" t="s">
        <v>12410</v>
      </c>
      <c r="G4123" s="23" t="s">
        <v>75</v>
      </c>
      <c r="H4123" s="24">
        <v>1298</v>
      </c>
      <c r="I4123" s="24">
        <v>0</v>
      </c>
      <c r="J4123" s="24">
        <v>0</v>
      </c>
      <c r="K4123" s="24">
        <v>1298</v>
      </c>
      <c r="L4123" s="38">
        <v>46289</v>
      </c>
      <c r="M4123" s="23" t="s">
        <v>220</v>
      </c>
      <c r="N4123" s="23" t="str">
        <f>IF(COUNTIF($A$2:A4123,A4123)&gt;1,"DUP","OK")</f>
        <v>OK</v>
      </c>
      <c r="O4123" s="23" t="str">
        <f t="shared" si="193"/>
        <v>ORD26004874</v>
      </c>
      <c r="P4123" s="23" t="str">
        <f t="shared" si="194"/>
        <v>Sep</v>
      </c>
      <c r="Q4123" s="23" t="str">
        <f>IF(F4123="CAPTURE",IF(COUNTIF(orders!$A:$A,O4123)&gt;0,"Yes","NO ORDER"),"")</f>
        <v>Yes</v>
      </c>
    </row>
    <row r="4124" spans="1:17" ht="15" customHeight="1" x14ac:dyDescent="0.3">
      <c r="A4124" s="23" t="s">
        <v>17171</v>
      </c>
      <c r="B4124" s="23"/>
      <c r="C4124" s="23" t="s">
        <v>10207</v>
      </c>
      <c r="D4124" s="23" t="str">
        <f t="shared" si="192"/>
        <v>ORD26004875</v>
      </c>
      <c r="E4124" s="38">
        <v>46287</v>
      </c>
      <c r="F4124" s="23" t="s">
        <v>12410</v>
      </c>
      <c r="G4124" s="23" t="s">
        <v>75</v>
      </c>
      <c r="H4124" s="24">
        <v>599</v>
      </c>
      <c r="I4124" s="24">
        <v>0</v>
      </c>
      <c r="J4124" s="24">
        <v>0</v>
      </c>
      <c r="K4124" s="24">
        <v>599</v>
      </c>
      <c r="L4124" s="38">
        <v>46289</v>
      </c>
      <c r="M4124" s="23" t="s">
        <v>220</v>
      </c>
      <c r="N4124" s="23" t="str">
        <f>IF(COUNTIF($A$2:A4124,A4124)&gt;1,"DUP","OK")</f>
        <v>OK</v>
      </c>
      <c r="O4124" s="23" t="str">
        <f t="shared" si="193"/>
        <v>ORD26004875</v>
      </c>
      <c r="P4124" s="23" t="str">
        <f t="shared" si="194"/>
        <v>Sep</v>
      </c>
      <c r="Q4124" s="23" t="str">
        <f>IF(F4124="CAPTURE",IF(COUNTIF(orders!$A:$A,O4124)&gt;0,"Yes","NO ORDER"),"")</f>
        <v>Yes</v>
      </c>
    </row>
    <row r="4125" spans="1:17" ht="15" customHeight="1" x14ac:dyDescent="0.3">
      <c r="A4125" s="23" t="s">
        <v>17172</v>
      </c>
      <c r="B4125" s="23"/>
      <c r="C4125" s="23" t="s">
        <v>17173</v>
      </c>
      <c r="D4125" s="23" t="str">
        <f t="shared" si="192"/>
        <v>ORD26004892</v>
      </c>
      <c r="E4125" s="38">
        <v>46287</v>
      </c>
      <c r="F4125" s="23" t="s">
        <v>12410</v>
      </c>
      <c r="G4125" s="23" t="s">
        <v>79</v>
      </c>
      <c r="H4125" s="24">
        <v>3847</v>
      </c>
      <c r="I4125" s="24">
        <v>61.55</v>
      </c>
      <c r="J4125" s="24">
        <v>11.08</v>
      </c>
      <c r="K4125" s="24">
        <v>3774.37</v>
      </c>
      <c r="L4125" s="38">
        <v>46289</v>
      </c>
      <c r="M4125" s="23" t="s">
        <v>220</v>
      </c>
      <c r="N4125" s="23" t="str">
        <f>IF(COUNTIF($A$2:A4125,A4125)&gt;1,"DUP","OK")</f>
        <v>OK</v>
      </c>
      <c r="O4125" s="23" t="str">
        <f t="shared" si="193"/>
        <v>ORD26004892</v>
      </c>
      <c r="P4125" s="23" t="str">
        <f t="shared" si="194"/>
        <v>Sep</v>
      </c>
      <c r="Q4125" s="23" t="str">
        <f>IF(F4125="CAPTURE",IF(COUNTIF(orders!$A:$A,O4125)&gt;0,"Yes","NO ORDER"),"")</f>
        <v>Yes</v>
      </c>
    </row>
    <row r="4126" spans="1:17" ht="15" customHeight="1" x14ac:dyDescent="0.3">
      <c r="A4126" s="23" t="s">
        <v>17174</v>
      </c>
      <c r="B4126" s="23"/>
      <c r="C4126" s="23" t="s">
        <v>10283</v>
      </c>
      <c r="D4126" s="23" t="str">
        <f t="shared" si="192"/>
        <v>ORD26004913</v>
      </c>
      <c r="E4126" s="38">
        <v>46287</v>
      </c>
      <c r="F4126" s="23" t="s">
        <v>12410</v>
      </c>
      <c r="G4126" s="23" t="s">
        <v>75</v>
      </c>
      <c r="H4126" s="24">
        <v>3597</v>
      </c>
      <c r="I4126" s="24">
        <v>10.79</v>
      </c>
      <c r="J4126" s="24">
        <v>1.94</v>
      </c>
      <c r="K4126" s="24">
        <v>3584.27</v>
      </c>
      <c r="L4126" s="38">
        <v>46289</v>
      </c>
      <c r="M4126" s="23" t="s">
        <v>220</v>
      </c>
      <c r="N4126" s="23" t="str">
        <f>IF(COUNTIF($A$2:A4126,A4126)&gt;1,"DUP","OK")</f>
        <v>OK</v>
      </c>
      <c r="O4126" s="23" t="str">
        <f t="shared" si="193"/>
        <v>ORD26004913</v>
      </c>
      <c r="P4126" s="23" t="str">
        <f t="shared" si="194"/>
        <v>Sep</v>
      </c>
      <c r="Q4126" s="23" t="str">
        <f>IF(F4126="CAPTURE",IF(COUNTIF(orders!$A:$A,O4126)&gt;0,"Yes","NO ORDER"),"")</f>
        <v>Yes</v>
      </c>
    </row>
    <row r="4127" spans="1:17" ht="15" customHeight="1" x14ac:dyDescent="0.3">
      <c r="A4127" s="23" t="s">
        <v>17175</v>
      </c>
      <c r="B4127" s="23"/>
      <c r="C4127" s="23" t="s">
        <v>10383</v>
      </c>
      <c r="D4127" s="23" t="str">
        <f t="shared" si="192"/>
        <v>ORD26004965</v>
      </c>
      <c r="E4127" s="38">
        <v>46287</v>
      </c>
      <c r="F4127" s="23" t="s">
        <v>12410</v>
      </c>
      <c r="G4127" s="23" t="s">
        <v>75</v>
      </c>
      <c r="H4127" s="24">
        <v>1799</v>
      </c>
      <c r="I4127" s="24">
        <v>0</v>
      </c>
      <c r="J4127" s="24">
        <v>0</v>
      </c>
      <c r="K4127" s="24">
        <v>1799</v>
      </c>
      <c r="L4127" s="38">
        <v>46289</v>
      </c>
      <c r="M4127" s="23" t="s">
        <v>220</v>
      </c>
      <c r="N4127" s="23" t="str">
        <f>IF(COUNTIF($A$2:A4127,A4127)&gt;1,"DUP","OK")</f>
        <v>OK</v>
      </c>
      <c r="O4127" s="23" t="str">
        <f t="shared" si="193"/>
        <v>ORD26004965</v>
      </c>
      <c r="P4127" s="23" t="str">
        <f t="shared" si="194"/>
        <v>Sep</v>
      </c>
      <c r="Q4127" s="23" t="str">
        <f>IF(F4127="CAPTURE",IF(COUNTIF(orders!$A:$A,O4127)&gt;0,"Yes","NO ORDER"),"")</f>
        <v>Yes</v>
      </c>
    </row>
    <row r="4128" spans="1:17" ht="15" customHeight="1" x14ac:dyDescent="0.3">
      <c r="A4128" s="23" t="s">
        <v>17176</v>
      </c>
      <c r="B4128" s="23"/>
      <c r="C4128" s="23" t="s">
        <v>10449</v>
      </c>
      <c r="D4128" s="23" t="str">
        <f t="shared" si="192"/>
        <v>ORD26004998</v>
      </c>
      <c r="E4128" s="38">
        <v>46287</v>
      </c>
      <c r="F4128" s="23" t="s">
        <v>12410</v>
      </c>
      <c r="G4128" s="23" t="s">
        <v>75</v>
      </c>
      <c r="H4128" s="24">
        <v>2499</v>
      </c>
      <c r="I4128" s="24">
        <v>7.5</v>
      </c>
      <c r="J4128" s="24">
        <v>1.35</v>
      </c>
      <c r="K4128" s="24">
        <v>2490.15</v>
      </c>
      <c r="L4128" s="38">
        <v>46289</v>
      </c>
      <c r="M4128" s="23" t="s">
        <v>220</v>
      </c>
      <c r="N4128" s="23" t="str">
        <f>IF(COUNTIF($A$2:A4128,A4128)&gt;1,"DUP","OK")</f>
        <v>OK</v>
      </c>
      <c r="O4128" s="23" t="str">
        <f t="shared" si="193"/>
        <v>ORD26004998</v>
      </c>
      <c r="P4128" s="23" t="str">
        <f t="shared" si="194"/>
        <v>Sep</v>
      </c>
      <c r="Q4128" s="23" t="str">
        <f>IF(F4128="CAPTURE",IF(COUNTIF(orders!$A:$A,O4128)&gt;0,"Yes","NO ORDER"),"")</f>
        <v>Yes</v>
      </c>
    </row>
    <row r="4129" spans="1:17" ht="15" customHeight="1" x14ac:dyDescent="0.3">
      <c r="A4129" s="23" t="s">
        <v>17177</v>
      </c>
      <c r="B4129" s="23"/>
      <c r="C4129" s="23" t="s">
        <v>17178</v>
      </c>
      <c r="D4129" s="23" t="str">
        <f t="shared" si="192"/>
        <v>ORD26005013</v>
      </c>
      <c r="E4129" s="38">
        <v>46287</v>
      </c>
      <c r="F4129" s="23" t="s">
        <v>12410</v>
      </c>
      <c r="G4129" s="23" t="s">
        <v>75</v>
      </c>
      <c r="H4129" s="24">
        <v>3498</v>
      </c>
      <c r="I4129" s="24">
        <v>10.49</v>
      </c>
      <c r="J4129" s="24">
        <v>1.89</v>
      </c>
      <c r="K4129" s="24">
        <v>3485.62</v>
      </c>
      <c r="L4129" s="38">
        <v>46289</v>
      </c>
      <c r="M4129" s="23" t="s">
        <v>220</v>
      </c>
      <c r="N4129" s="23" t="str">
        <f>IF(COUNTIF($A$2:A4129,A4129)&gt;1,"DUP","OK")</f>
        <v>OK</v>
      </c>
      <c r="O4129" s="23" t="str">
        <f t="shared" si="193"/>
        <v>ORD26005013</v>
      </c>
      <c r="P4129" s="23" t="str">
        <f t="shared" si="194"/>
        <v>Sep</v>
      </c>
      <c r="Q4129" s="23" t="str">
        <f>IF(F4129="CAPTURE",IF(COUNTIF(orders!$A:$A,O4129)&gt;0,"Yes","NO ORDER"),"")</f>
        <v>Yes</v>
      </c>
    </row>
    <row r="4130" spans="1:17" ht="15" customHeight="1" x14ac:dyDescent="0.3">
      <c r="A4130" s="23" t="s">
        <v>17179</v>
      </c>
      <c r="B4130" s="23"/>
      <c r="C4130" s="23" t="s">
        <v>17180</v>
      </c>
      <c r="D4130" s="23" t="str">
        <f t="shared" si="192"/>
        <v>ORD26005058</v>
      </c>
      <c r="E4130" s="38">
        <v>46287</v>
      </c>
      <c r="F4130" s="23" t="s">
        <v>12410</v>
      </c>
      <c r="G4130" s="23" t="s">
        <v>75</v>
      </c>
      <c r="H4130" s="24">
        <v>999</v>
      </c>
      <c r="I4130" s="24">
        <v>0</v>
      </c>
      <c r="J4130" s="24">
        <v>0</v>
      </c>
      <c r="K4130" s="24">
        <v>999</v>
      </c>
      <c r="L4130" s="38">
        <v>46289</v>
      </c>
      <c r="M4130" s="23" t="s">
        <v>220</v>
      </c>
      <c r="N4130" s="23" t="str">
        <f>IF(COUNTIF($A$2:A4130,A4130)&gt;1,"DUP","OK")</f>
        <v>OK</v>
      </c>
      <c r="O4130" s="23" t="str">
        <f t="shared" si="193"/>
        <v>ORD26005058</v>
      </c>
      <c r="P4130" s="23" t="str">
        <f t="shared" si="194"/>
        <v>Sep</v>
      </c>
      <c r="Q4130" s="23" t="str">
        <f>IF(F4130="CAPTURE",IF(COUNTIF(orders!$A:$A,O4130)&gt;0,"Yes","NO ORDER"),"")</f>
        <v>Yes</v>
      </c>
    </row>
    <row r="4131" spans="1:17" ht="15" customHeight="1" x14ac:dyDescent="0.3">
      <c r="A4131" s="23" t="s">
        <v>17181</v>
      </c>
      <c r="B4131" s="23"/>
      <c r="C4131" s="23" t="s">
        <v>17182</v>
      </c>
      <c r="D4131" s="23" t="str">
        <f t="shared" si="192"/>
        <v>ORD26005098</v>
      </c>
      <c r="E4131" s="38">
        <v>46287</v>
      </c>
      <c r="F4131" s="23" t="s">
        <v>12410</v>
      </c>
      <c r="G4131" s="23" t="s">
        <v>77</v>
      </c>
      <c r="H4131" s="24">
        <v>8598</v>
      </c>
      <c r="I4131" s="24">
        <v>146.16999999999999</v>
      </c>
      <c r="J4131" s="24">
        <v>26.31</v>
      </c>
      <c r="K4131" s="24">
        <v>8425.52</v>
      </c>
      <c r="L4131" s="38">
        <v>46289</v>
      </c>
      <c r="M4131" s="23" t="s">
        <v>220</v>
      </c>
      <c r="N4131" s="23" t="str">
        <f>IF(COUNTIF($A$2:A4131,A4131)&gt;1,"DUP","OK")</f>
        <v>OK</v>
      </c>
      <c r="O4131" s="23" t="str">
        <f t="shared" si="193"/>
        <v>ORD26005098</v>
      </c>
      <c r="P4131" s="23" t="str">
        <f t="shared" si="194"/>
        <v>Sep</v>
      </c>
      <c r="Q4131" s="23" t="str">
        <f>IF(F4131="CAPTURE",IF(COUNTIF(orders!$A:$A,O4131)&gt;0,"Yes","NO ORDER"),"")</f>
        <v>Yes</v>
      </c>
    </row>
    <row r="4132" spans="1:17" ht="15" customHeight="1" x14ac:dyDescent="0.3">
      <c r="A4132" s="23" t="s">
        <v>17183</v>
      </c>
      <c r="B4132" s="23"/>
      <c r="C4132" s="23" t="s">
        <v>10646</v>
      </c>
      <c r="D4132" s="23" t="str">
        <f t="shared" si="192"/>
        <v>ORD26005101</v>
      </c>
      <c r="E4132" s="38">
        <v>46287</v>
      </c>
      <c r="F4132" s="23" t="s">
        <v>12410</v>
      </c>
      <c r="G4132" s="23" t="s">
        <v>75</v>
      </c>
      <c r="H4132" s="24">
        <v>1799</v>
      </c>
      <c r="I4132" s="24">
        <v>0</v>
      </c>
      <c r="J4132" s="24">
        <v>0</v>
      </c>
      <c r="K4132" s="24">
        <v>1799</v>
      </c>
      <c r="L4132" s="38">
        <v>46289</v>
      </c>
      <c r="M4132" s="23" t="s">
        <v>220</v>
      </c>
      <c r="N4132" s="23" t="str">
        <f>IF(COUNTIF($A$2:A4132,A4132)&gt;1,"DUP","OK")</f>
        <v>OK</v>
      </c>
      <c r="O4132" s="23" t="str">
        <f t="shared" si="193"/>
        <v>ORD26005101</v>
      </c>
      <c r="P4132" s="23" t="str">
        <f t="shared" si="194"/>
        <v>Sep</v>
      </c>
      <c r="Q4132" s="23" t="str">
        <f>IF(F4132="CAPTURE",IF(COUNTIF(orders!$A:$A,O4132)&gt;0,"Yes","NO ORDER"),"")</f>
        <v>Yes</v>
      </c>
    </row>
    <row r="4133" spans="1:17" ht="15" customHeight="1" x14ac:dyDescent="0.3">
      <c r="A4133" s="23" t="s">
        <v>17184</v>
      </c>
      <c r="B4133" s="23"/>
      <c r="C4133" s="23" t="s">
        <v>10877</v>
      </c>
      <c r="D4133" s="23" t="str">
        <f t="shared" si="192"/>
        <v>ORD26005219</v>
      </c>
      <c r="E4133" s="38">
        <v>46287</v>
      </c>
      <c r="F4133" s="23" t="s">
        <v>12410</v>
      </c>
      <c r="G4133" s="23" t="s">
        <v>79</v>
      </c>
      <c r="H4133" s="24">
        <v>2798</v>
      </c>
      <c r="I4133" s="24">
        <v>44.77</v>
      </c>
      <c r="J4133" s="24">
        <v>8.06</v>
      </c>
      <c r="K4133" s="24">
        <v>2745.17</v>
      </c>
      <c r="L4133" s="38">
        <v>46289</v>
      </c>
      <c r="M4133" s="23" t="s">
        <v>220</v>
      </c>
      <c r="N4133" s="23" t="str">
        <f>IF(COUNTIF($A$2:A4133,A4133)&gt;1,"DUP","OK")</f>
        <v>OK</v>
      </c>
      <c r="O4133" s="23" t="str">
        <f t="shared" si="193"/>
        <v>ORD26005219</v>
      </c>
      <c r="P4133" s="23" t="str">
        <f t="shared" si="194"/>
        <v>Sep</v>
      </c>
      <c r="Q4133" s="23" t="str">
        <f>IF(F4133="CAPTURE",IF(COUNTIF(orders!$A:$A,O4133)&gt;0,"Yes","NO ORDER"),"")</f>
        <v>Yes</v>
      </c>
    </row>
    <row r="4134" spans="1:17" ht="15" customHeight="1" x14ac:dyDescent="0.3">
      <c r="A4134" s="23" t="s">
        <v>17185</v>
      </c>
      <c r="B4134" s="23"/>
      <c r="C4134" s="23" t="s">
        <v>10882</v>
      </c>
      <c r="D4134" s="23" t="str">
        <f t="shared" si="192"/>
        <v>ORD26005222</v>
      </c>
      <c r="E4134" s="38">
        <v>46287</v>
      </c>
      <c r="F4134" s="23" t="s">
        <v>12410</v>
      </c>
      <c r="G4134" s="23" t="s">
        <v>79</v>
      </c>
      <c r="H4134" s="24">
        <v>648</v>
      </c>
      <c r="I4134" s="24">
        <v>11.66</v>
      </c>
      <c r="J4134" s="24">
        <v>2.1</v>
      </c>
      <c r="K4134" s="24">
        <v>634.24</v>
      </c>
      <c r="L4134" s="38">
        <v>46289</v>
      </c>
      <c r="M4134" s="23" t="s">
        <v>220</v>
      </c>
      <c r="N4134" s="23" t="str">
        <f>IF(COUNTIF($A$2:A4134,A4134)&gt;1,"DUP","OK")</f>
        <v>OK</v>
      </c>
      <c r="O4134" s="23" t="str">
        <f t="shared" si="193"/>
        <v>ORD26005222</v>
      </c>
      <c r="P4134" s="23" t="str">
        <f t="shared" si="194"/>
        <v>Sep</v>
      </c>
      <c r="Q4134" s="23" t="str">
        <f>IF(F4134="CAPTURE",IF(COUNTIF(orders!$A:$A,O4134)&gt;0,"Yes","NO ORDER"),"")</f>
        <v>Yes</v>
      </c>
    </row>
    <row r="4135" spans="1:17" ht="15" customHeight="1" x14ac:dyDescent="0.3">
      <c r="A4135" s="23" t="s">
        <v>17186</v>
      </c>
      <c r="B4135" s="23"/>
      <c r="C4135" s="23" t="s">
        <v>10912</v>
      </c>
      <c r="D4135" s="23" t="str">
        <f t="shared" si="192"/>
        <v>ORD26005237</v>
      </c>
      <c r="E4135" s="38">
        <v>46287</v>
      </c>
      <c r="F4135" s="23" t="s">
        <v>12410</v>
      </c>
      <c r="G4135" s="23" t="s">
        <v>75</v>
      </c>
      <c r="H4135" s="24">
        <v>1997</v>
      </c>
      <c r="I4135" s="24">
        <v>0</v>
      </c>
      <c r="J4135" s="24">
        <v>0</v>
      </c>
      <c r="K4135" s="24">
        <v>1997</v>
      </c>
      <c r="L4135" s="38">
        <v>46289</v>
      </c>
      <c r="M4135" s="23" t="s">
        <v>220</v>
      </c>
      <c r="N4135" s="23" t="str">
        <f>IF(COUNTIF($A$2:A4135,A4135)&gt;1,"DUP","OK")</f>
        <v>OK</v>
      </c>
      <c r="O4135" s="23" t="str">
        <f t="shared" si="193"/>
        <v>ORD26005237</v>
      </c>
      <c r="P4135" s="23" t="str">
        <f t="shared" si="194"/>
        <v>Sep</v>
      </c>
      <c r="Q4135" s="23" t="str">
        <f>IF(F4135="CAPTURE",IF(COUNTIF(orders!$A:$A,O4135)&gt;0,"Yes","NO ORDER"),"")</f>
        <v>Yes</v>
      </c>
    </row>
    <row r="4136" spans="1:17" ht="15" customHeight="1" x14ac:dyDescent="0.3">
      <c r="A4136" s="23" t="s">
        <v>17187</v>
      </c>
      <c r="B4136" s="23"/>
      <c r="C4136" s="23" t="s">
        <v>10945</v>
      </c>
      <c r="D4136" s="23" t="str">
        <f t="shared" si="192"/>
        <v>ORD26005254</v>
      </c>
      <c r="E4136" s="38">
        <v>46287</v>
      </c>
      <c r="F4136" s="23" t="s">
        <v>12410</v>
      </c>
      <c r="G4136" s="23" t="s">
        <v>81</v>
      </c>
      <c r="H4136" s="24">
        <v>7999</v>
      </c>
      <c r="I4136" s="24">
        <v>95.99</v>
      </c>
      <c r="J4136" s="24">
        <v>17.28</v>
      </c>
      <c r="K4136" s="24">
        <v>7885.73</v>
      </c>
      <c r="L4136" s="38">
        <v>46289</v>
      </c>
      <c r="M4136" s="23" t="s">
        <v>220</v>
      </c>
      <c r="N4136" s="23" t="str">
        <f>IF(COUNTIF($A$2:A4136,A4136)&gt;1,"DUP","OK")</f>
        <v>OK</v>
      </c>
      <c r="O4136" s="23" t="str">
        <f t="shared" si="193"/>
        <v>ORD26005254</v>
      </c>
      <c r="P4136" s="23" t="str">
        <f t="shared" si="194"/>
        <v>Sep</v>
      </c>
      <c r="Q4136" s="23" t="str">
        <f>IF(F4136="CAPTURE",IF(COUNTIF(orders!$A:$A,O4136)&gt;0,"Yes","NO ORDER"),"")</f>
        <v>Yes</v>
      </c>
    </row>
    <row r="4137" spans="1:17" ht="15" customHeight="1" x14ac:dyDescent="0.3">
      <c r="A4137" s="23" t="s">
        <v>17188</v>
      </c>
      <c r="B4137" s="23"/>
      <c r="C4137" s="23" t="s">
        <v>11083</v>
      </c>
      <c r="D4137" s="23" t="str">
        <f t="shared" si="192"/>
        <v>ORD26005325</v>
      </c>
      <c r="E4137" s="38">
        <v>46287</v>
      </c>
      <c r="F4137" s="23" t="s">
        <v>12410</v>
      </c>
      <c r="G4137" s="23" t="s">
        <v>75</v>
      </c>
      <c r="H4137" s="24">
        <v>3499</v>
      </c>
      <c r="I4137" s="24">
        <v>10.5</v>
      </c>
      <c r="J4137" s="24">
        <v>1.89</v>
      </c>
      <c r="K4137" s="24">
        <v>3486.61</v>
      </c>
      <c r="L4137" s="38">
        <v>46289</v>
      </c>
      <c r="M4137" s="23" t="s">
        <v>220</v>
      </c>
      <c r="N4137" s="23" t="str">
        <f>IF(COUNTIF($A$2:A4137,A4137)&gt;1,"DUP","OK")</f>
        <v>OK</v>
      </c>
      <c r="O4137" s="23" t="str">
        <f t="shared" si="193"/>
        <v>ORD26005325</v>
      </c>
      <c r="P4137" s="23" t="str">
        <f t="shared" si="194"/>
        <v>Sep</v>
      </c>
      <c r="Q4137" s="23" t="str">
        <f>IF(F4137="CAPTURE",IF(COUNTIF(orders!$A:$A,O4137)&gt;0,"Yes","NO ORDER"),"")</f>
        <v>Yes</v>
      </c>
    </row>
    <row r="4138" spans="1:17" ht="15" customHeight="1" x14ac:dyDescent="0.3">
      <c r="A4138" s="23" t="s">
        <v>17189</v>
      </c>
      <c r="B4138" s="23"/>
      <c r="C4138" s="23" t="s">
        <v>11171</v>
      </c>
      <c r="D4138" s="23" t="str">
        <f t="shared" si="192"/>
        <v>ORD26005369</v>
      </c>
      <c r="E4138" s="38">
        <v>46287</v>
      </c>
      <c r="F4138" s="23" t="s">
        <v>12410</v>
      </c>
      <c r="G4138" s="23" t="s">
        <v>75</v>
      </c>
      <c r="H4138" s="24">
        <v>799</v>
      </c>
      <c r="I4138" s="24">
        <v>0</v>
      </c>
      <c r="J4138" s="24">
        <v>0</v>
      </c>
      <c r="K4138" s="24">
        <v>799</v>
      </c>
      <c r="L4138" s="38">
        <v>46289</v>
      </c>
      <c r="M4138" s="23" t="s">
        <v>220</v>
      </c>
      <c r="N4138" s="23" t="str">
        <f>IF(COUNTIF($A$2:A4138,A4138)&gt;1,"DUP","OK")</f>
        <v>OK</v>
      </c>
      <c r="O4138" s="23" t="str">
        <f t="shared" si="193"/>
        <v>ORD26005369</v>
      </c>
      <c r="P4138" s="23" t="str">
        <f t="shared" si="194"/>
        <v>Sep</v>
      </c>
      <c r="Q4138" s="23" t="str">
        <f>IF(F4138="CAPTURE",IF(COUNTIF(orders!$A:$A,O4138)&gt;0,"Yes","NO ORDER"),"")</f>
        <v>Yes</v>
      </c>
    </row>
    <row r="4139" spans="1:17" ht="15" customHeight="1" x14ac:dyDescent="0.3">
      <c r="A4139" s="23" t="s">
        <v>17190</v>
      </c>
      <c r="B4139" s="23"/>
      <c r="C4139" s="23" t="s">
        <v>17191</v>
      </c>
      <c r="D4139" s="23" t="str">
        <f t="shared" si="192"/>
        <v>ORD26005376</v>
      </c>
      <c r="E4139" s="38">
        <v>46287</v>
      </c>
      <c r="F4139" s="23" t="s">
        <v>12410</v>
      </c>
      <c r="G4139" s="23" t="s">
        <v>79</v>
      </c>
      <c r="H4139" s="24">
        <v>9998</v>
      </c>
      <c r="I4139" s="24">
        <v>159.97</v>
      </c>
      <c r="J4139" s="24">
        <v>28.79</v>
      </c>
      <c r="K4139" s="24">
        <v>9809.24</v>
      </c>
      <c r="L4139" s="38">
        <v>46289</v>
      </c>
      <c r="M4139" s="23" t="s">
        <v>220</v>
      </c>
      <c r="N4139" s="23" t="str">
        <f>IF(COUNTIF($A$2:A4139,A4139)&gt;1,"DUP","OK")</f>
        <v>OK</v>
      </c>
      <c r="O4139" s="23" t="str">
        <f t="shared" si="193"/>
        <v>ORD26005376</v>
      </c>
      <c r="P4139" s="23" t="str">
        <f t="shared" si="194"/>
        <v>Sep</v>
      </c>
      <c r="Q4139" s="23" t="str">
        <f>IF(F4139="CAPTURE",IF(COUNTIF(orders!$A:$A,O4139)&gt;0,"Yes","NO ORDER"),"")</f>
        <v>Yes</v>
      </c>
    </row>
    <row r="4140" spans="1:17" ht="15" customHeight="1" x14ac:dyDescent="0.3">
      <c r="A4140" s="23" t="s">
        <v>17192</v>
      </c>
      <c r="B4140" s="23"/>
      <c r="C4140" s="23" t="s">
        <v>11237</v>
      </c>
      <c r="D4140" s="23" t="str">
        <f t="shared" si="192"/>
        <v>ORD26005402</v>
      </c>
      <c r="E4140" s="38">
        <v>46287</v>
      </c>
      <c r="F4140" s="23" t="s">
        <v>12410</v>
      </c>
      <c r="G4140" s="23" t="s">
        <v>75</v>
      </c>
      <c r="H4140" s="24">
        <v>499</v>
      </c>
      <c r="I4140" s="24">
        <v>0</v>
      </c>
      <c r="J4140" s="24">
        <v>0</v>
      </c>
      <c r="K4140" s="24">
        <v>499</v>
      </c>
      <c r="L4140" s="38">
        <v>46289</v>
      </c>
      <c r="M4140" s="23" t="s">
        <v>220</v>
      </c>
      <c r="N4140" s="23" t="str">
        <f>IF(COUNTIF($A$2:A4140,A4140)&gt;1,"DUP","OK")</f>
        <v>OK</v>
      </c>
      <c r="O4140" s="23" t="str">
        <f t="shared" si="193"/>
        <v>ORD26005402</v>
      </c>
      <c r="P4140" s="23" t="str">
        <f t="shared" si="194"/>
        <v>Sep</v>
      </c>
      <c r="Q4140" s="23" t="str">
        <f>IF(F4140="CAPTURE",IF(COUNTIF(orders!$A:$A,O4140)&gt;0,"Yes","NO ORDER"),"")</f>
        <v>Yes</v>
      </c>
    </row>
    <row r="4141" spans="1:17" ht="15" customHeight="1" x14ac:dyDescent="0.3">
      <c r="A4141" s="23" t="s">
        <v>17193</v>
      </c>
      <c r="B4141" s="23"/>
      <c r="C4141" s="23" t="s">
        <v>11264</v>
      </c>
      <c r="D4141" s="23" t="str">
        <f t="shared" si="192"/>
        <v>ORD26005416</v>
      </c>
      <c r="E4141" s="38">
        <v>46287</v>
      </c>
      <c r="F4141" s="23" t="s">
        <v>12410</v>
      </c>
      <c r="G4141" s="23" t="s">
        <v>75</v>
      </c>
      <c r="H4141" s="24">
        <v>4498</v>
      </c>
      <c r="I4141" s="24">
        <v>13.49</v>
      </c>
      <c r="J4141" s="24">
        <v>2.4300000000000002</v>
      </c>
      <c r="K4141" s="24">
        <v>4482.08</v>
      </c>
      <c r="L4141" s="38">
        <v>46289</v>
      </c>
      <c r="M4141" s="23" t="s">
        <v>220</v>
      </c>
      <c r="N4141" s="23" t="str">
        <f>IF(COUNTIF($A$2:A4141,A4141)&gt;1,"DUP","OK")</f>
        <v>OK</v>
      </c>
      <c r="O4141" s="23" t="str">
        <f t="shared" si="193"/>
        <v>ORD26005416</v>
      </c>
      <c r="P4141" s="23" t="str">
        <f t="shared" si="194"/>
        <v>Sep</v>
      </c>
      <c r="Q4141" s="23" t="str">
        <f>IF(F4141="CAPTURE",IF(COUNTIF(orders!$A:$A,O4141)&gt;0,"Yes","NO ORDER"),"")</f>
        <v>Yes</v>
      </c>
    </row>
    <row r="4142" spans="1:17" ht="15" customHeight="1" x14ac:dyDescent="0.3">
      <c r="A4142" s="23" t="s">
        <v>17194</v>
      </c>
      <c r="B4142" s="23"/>
      <c r="C4142" s="23" t="s">
        <v>17195</v>
      </c>
      <c r="D4142" s="23" t="str">
        <f t="shared" si="192"/>
        <v>ORD26005423</v>
      </c>
      <c r="E4142" s="38">
        <v>46287</v>
      </c>
      <c r="F4142" s="23" t="s">
        <v>12410</v>
      </c>
      <c r="G4142" s="23" t="s">
        <v>75</v>
      </c>
      <c r="H4142" s="24">
        <v>1098</v>
      </c>
      <c r="I4142" s="24">
        <v>0</v>
      </c>
      <c r="J4142" s="24">
        <v>0</v>
      </c>
      <c r="K4142" s="24">
        <v>1098</v>
      </c>
      <c r="L4142" s="38">
        <v>46289</v>
      </c>
      <c r="M4142" s="23" t="s">
        <v>220</v>
      </c>
      <c r="N4142" s="23" t="str">
        <f>IF(COUNTIF($A$2:A4142,A4142)&gt;1,"DUP","OK")</f>
        <v>OK</v>
      </c>
      <c r="O4142" s="23" t="str">
        <f t="shared" si="193"/>
        <v>ORD26005423</v>
      </c>
      <c r="P4142" s="23" t="str">
        <f t="shared" si="194"/>
        <v>Sep</v>
      </c>
      <c r="Q4142" s="23" t="str">
        <f>IF(F4142="CAPTURE",IF(COUNTIF(orders!$A:$A,O4142)&gt;0,"Yes","NO ORDER"),"")</f>
        <v>Yes</v>
      </c>
    </row>
    <row r="4143" spans="1:17" ht="15" customHeight="1" x14ac:dyDescent="0.3">
      <c r="A4143" s="23" t="s">
        <v>17196</v>
      </c>
      <c r="B4143" s="23"/>
      <c r="C4143" s="23" t="s">
        <v>11317</v>
      </c>
      <c r="D4143" s="23" t="str">
        <f t="shared" si="192"/>
        <v>ORD26005443</v>
      </c>
      <c r="E4143" s="38">
        <v>46287</v>
      </c>
      <c r="F4143" s="23" t="s">
        <v>12410</v>
      </c>
      <c r="G4143" s="23" t="s">
        <v>75</v>
      </c>
      <c r="H4143" s="24">
        <v>1499</v>
      </c>
      <c r="I4143" s="24">
        <v>0</v>
      </c>
      <c r="J4143" s="24">
        <v>0</v>
      </c>
      <c r="K4143" s="24">
        <v>1499</v>
      </c>
      <c r="L4143" s="38">
        <v>46289</v>
      </c>
      <c r="M4143" s="23" t="s">
        <v>220</v>
      </c>
      <c r="N4143" s="23" t="str">
        <f>IF(COUNTIF($A$2:A4143,A4143)&gt;1,"DUP","OK")</f>
        <v>OK</v>
      </c>
      <c r="O4143" s="23" t="str">
        <f t="shared" si="193"/>
        <v>ORD26005443</v>
      </c>
      <c r="P4143" s="23" t="str">
        <f t="shared" si="194"/>
        <v>Sep</v>
      </c>
      <c r="Q4143" s="23" t="str">
        <f>IF(F4143="CAPTURE",IF(COUNTIF(orders!$A:$A,O4143)&gt;0,"Yes","NO ORDER"),"")</f>
        <v>Yes</v>
      </c>
    </row>
    <row r="4144" spans="1:17" ht="15" customHeight="1" x14ac:dyDescent="0.3">
      <c r="A4144" s="23" t="s">
        <v>17197</v>
      </c>
      <c r="B4144" s="23"/>
      <c r="C4144" s="23" t="s">
        <v>17198</v>
      </c>
      <c r="D4144" s="23" t="str">
        <f t="shared" si="192"/>
        <v>ORD26005488</v>
      </c>
      <c r="E4144" s="38">
        <v>46287</v>
      </c>
      <c r="F4144" s="23" t="s">
        <v>12410</v>
      </c>
      <c r="G4144" s="23" t="s">
        <v>77</v>
      </c>
      <c r="H4144" s="24">
        <v>2747</v>
      </c>
      <c r="I4144" s="24">
        <v>46.7</v>
      </c>
      <c r="J4144" s="24">
        <v>8.41</v>
      </c>
      <c r="K4144" s="24">
        <v>2691.89</v>
      </c>
      <c r="L4144" s="38">
        <v>46289</v>
      </c>
      <c r="M4144" s="23" t="s">
        <v>220</v>
      </c>
      <c r="N4144" s="23" t="str">
        <f>IF(COUNTIF($A$2:A4144,A4144)&gt;1,"DUP","OK")</f>
        <v>OK</v>
      </c>
      <c r="O4144" s="23" t="str">
        <f t="shared" si="193"/>
        <v>ORD26005488</v>
      </c>
      <c r="P4144" s="23" t="str">
        <f t="shared" si="194"/>
        <v>Sep</v>
      </c>
      <c r="Q4144" s="23" t="str">
        <f>IF(F4144="CAPTURE",IF(COUNTIF(orders!$A:$A,O4144)&gt;0,"Yes","NO ORDER"),"")</f>
        <v>Yes</v>
      </c>
    </row>
    <row r="4145" spans="1:17" ht="15" customHeight="1" x14ac:dyDescent="0.3">
      <c r="A4145" s="23" t="s">
        <v>17199</v>
      </c>
      <c r="B4145" s="23"/>
      <c r="C4145" s="23" t="s">
        <v>11517</v>
      </c>
      <c r="D4145" s="23" t="str">
        <f t="shared" si="192"/>
        <v>ORD26005546</v>
      </c>
      <c r="E4145" s="38">
        <v>46287</v>
      </c>
      <c r="F4145" s="23" t="s">
        <v>12410</v>
      </c>
      <c r="G4145" s="23" t="s">
        <v>75</v>
      </c>
      <c r="H4145" s="24">
        <v>1299</v>
      </c>
      <c r="I4145" s="24">
        <v>0</v>
      </c>
      <c r="J4145" s="24">
        <v>0</v>
      </c>
      <c r="K4145" s="24">
        <v>1299</v>
      </c>
      <c r="L4145" s="38">
        <v>46289</v>
      </c>
      <c r="M4145" s="23" t="s">
        <v>220</v>
      </c>
      <c r="N4145" s="23" t="str">
        <f>IF(COUNTIF($A$2:A4145,A4145)&gt;1,"DUP","OK")</f>
        <v>OK</v>
      </c>
      <c r="O4145" s="23" t="str">
        <f t="shared" si="193"/>
        <v>ORD26005546</v>
      </c>
      <c r="P4145" s="23" t="str">
        <f t="shared" si="194"/>
        <v>Sep</v>
      </c>
      <c r="Q4145" s="23" t="str">
        <f>IF(F4145="CAPTURE",IF(COUNTIF(orders!$A:$A,O4145)&gt;0,"Yes","NO ORDER"),"")</f>
        <v>Yes</v>
      </c>
    </row>
    <row r="4146" spans="1:17" ht="15" customHeight="1" x14ac:dyDescent="0.3">
      <c r="A4146" s="23" t="s">
        <v>17200</v>
      </c>
      <c r="B4146" s="23"/>
      <c r="C4146" s="23" t="s">
        <v>17201</v>
      </c>
      <c r="D4146" s="23" t="str">
        <f t="shared" si="192"/>
        <v>ORD26005553</v>
      </c>
      <c r="E4146" s="38">
        <v>46287</v>
      </c>
      <c r="F4146" s="23" t="s">
        <v>12410</v>
      </c>
      <c r="G4146" s="23" t="s">
        <v>75</v>
      </c>
      <c r="H4146" s="24">
        <v>1998</v>
      </c>
      <c r="I4146" s="24">
        <v>5.99</v>
      </c>
      <c r="J4146" s="24">
        <v>1.08</v>
      </c>
      <c r="K4146" s="24">
        <v>1990.93</v>
      </c>
      <c r="L4146" s="38">
        <v>46289</v>
      </c>
      <c r="M4146" s="23" t="s">
        <v>220</v>
      </c>
      <c r="N4146" s="23" t="str">
        <f>IF(COUNTIF($A$2:A4146,A4146)&gt;1,"DUP","OK")</f>
        <v>OK</v>
      </c>
      <c r="O4146" s="23" t="str">
        <f t="shared" si="193"/>
        <v>ORD26005553</v>
      </c>
      <c r="P4146" s="23" t="str">
        <f t="shared" si="194"/>
        <v>Sep</v>
      </c>
      <c r="Q4146" s="23" t="str">
        <f>IF(F4146="CAPTURE",IF(COUNTIF(orders!$A:$A,O4146)&gt;0,"Yes","NO ORDER"),"")</f>
        <v>Yes</v>
      </c>
    </row>
    <row r="4147" spans="1:17" ht="15" customHeight="1" x14ac:dyDescent="0.3">
      <c r="A4147" s="23" t="s">
        <v>17202</v>
      </c>
      <c r="B4147" s="23"/>
      <c r="C4147" s="23" t="s">
        <v>11563</v>
      </c>
      <c r="D4147" s="23" t="str">
        <f t="shared" si="192"/>
        <v>ORD26005569</v>
      </c>
      <c r="E4147" s="38">
        <v>46287</v>
      </c>
      <c r="F4147" s="23" t="s">
        <v>12410</v>
      </c>
      <c r="G4147" s="23" t="s">
        <v>75</v>
      </c>
      <c r="H4147" s="24">
        <v>599</v>
      </c>
      <c r="I4147" s="24">
        <v>0</v>
      </c>
      <c r="J4147" s="24">
        <v>0</v>
      </c>
      <c r="K4147" s="24">
        <v>599</v>
      </c>
      <c r="L4147" s="38">
        <v>46289</v>
      </c>
      <c r="M4147" s="23" t="s">
        <v>220</v>
      </c>
      <c r="N4147" s="23" t="str">
        <f>IF(COUNTIF($A$2:A4147,A4147)&gt;1,"DUP","OK")</f>
        <v>OK</v>
      </c>
      <c r="O4147" s="23" t="str">
        <f t="shared" si="193"/>
        <v>ORD26005569</v>
      </c>
      <c r="P4147" s="23" t="str">
        <f t="shared" si="194"/>
        <v>Sep</v>
      </c>
      <c r="Q4147" s="23" t="str">
        <f>IF(F4147="CAPTURE",IF(COUNTIF(orders!$A:$A,O4147)&gt;0,"Yes","NO ORDER"),"")</f>
        <v>Yes</v>
      </c>
    </row>
    <row r="4148" spans="1:17" ht="15" customHeight="1" x14ac:dyDescent="0.3">
      <c r="A4148" s="23" t="s">
        <v>17203</v>
      </c>
      <c r="B4148" s="23"/>
      <c r="C4148" s="23" t="s">
        <v>11625</v>
      </c>
      <c r="D4148" s="23" t="str">
        <f t="shared" si="192"/>
        <v>ORD26005602</v>
      </c>
      <c r="E4148" s="38">
        <v>46287</v>
      </c>
      <c r="F4148" s="23" t="s">
        <v>12410</v>
      </c>
      <c r="G4148" s="23" t="s">
        <v>75</v>
      </c>
      <c r="H4148" s="24">
        <v>4347</v>
      </c>
      <c r="I4148" s="24">
        <v>13.04</v>
      </c>
      <c r="J4148" s="24">
        <v>2.35</v>
      </c>
      <c r="K4148" s="24">
        <v>4331.6099999999997</v>
      </c>
      <c r="L4148" s="38">
        <v>46289</v>
      </c>
      <c r="M4148" s="23" t="s">
        <v>220</v>
      </c>
      <c r="N4148" s="23" t="str">
        <f>IF(COUNTIF($A$2:A4148,A4148)&gt;1,"DUP","OK")</f>
        <v>OK</v>
      </c>
      <c r="O4148" s="23" t="str">
        <f t="shared" si="193"/>
        <v>ORD26005602</v>
      </c>
      <c r="P4148" s="23" t="str">
        <f t="shared" si="194"/>
        <v>Sep</v>
      </c>
      <c r="Q4148" s="23" t="str">
        <f>IF(F4148="CAPTURE",IF(COUNTIF(orders!$A:$A,O4148)&gt;0,"Yes","NO ORDER"),"")</f>
        <v>Yes</v>
      </c>
    </row>
    <row r="4149" spans="1:17" ht="15" customHeight="1" x14ac:dyDescent="0.3">
      <c r="A4149" s="23" t="s">
        <v>17204</v>
      </c>
      <c r="B4149" s="23"/>
      <c r="C4149" s="23" t="s">
        <v>11690</v>
      </c>
      <c r="D4149" s="23" t="str">
        <f t="shared" si="192"/>
        <v>ORD26005634</v>
      </c>
      <c r="E4149" s="38">
        <v>46287</v>
      </c>
      <c r="F4149" s="23" t="s">
        <v>12410</v>
      </c>
      <c r="G4149" s="23" t="s">
        <v>77</v>
      </c>
      <c r="H4149" s="24">
        <v>2499</v>
      </c>
      <c r="I4149" s="24">
        <v>42.48</v>
      </c>
      <c r="J4149" s="24">
        <v>7.65</v>
      </c>
      <c r="K4149" s="24">
        <v>2448.87</v>
      </c>
      <c r="L4149" s="38">
        <v>46289</v>
      </c>
      <c r="M4149" s="23" t="s">
        <v>220</v>
      </c>
      <c r="N4149" s="23" t="str">
        <f>IF(COUNTIF($A$2:A4149,A4149)&gt;1,"DUP","OK")</f>
        <v>OK</v>
      </c>
      <c r="O4149" s="23" t="str">
        <f t="shared" si="193"/>
        <v>ORD26005634</v>
      </c>
      <c r="P4149" s="23" t="str">
        <f t="shared" si="194"/>
        <v>Sep</v>
      </c>
      <c r="Q4149" s="23" t="str">
        <f>IF(F4149="CAPTURE",IF(COUNTIF(orders!$A:$A,O4149)&gt;0,"Yes","NO ORDER"),"")</f>
        <v>Yes</v>
      </c>
    </row>
    <row r="4150" spans="1:17" ht="15" customHeight="1" x14ac:dyDescent="0.3">
      <c r="A4150" s="23" t="s">
        <v>17205</v>
      </c>
      <c r="B4150" s="23"/>
      <c r="C4150" s="23" t="s">
        <v>11756</v>
      </c>
      <c r="D4150" s="23" t="str">
        <f t="shared" si="192"/>
        <v>ORD26005668</v>
      </c>
      <c r="E4150" s="38">
        <v>46287</v>
      </c>
      <c r="F4150" s="23" t="s">
        <v>12410</v>
      </c>
      <c r="G4150" s="23" t="s">
        <v>79</v>
      </c>
      <c r="H4150" s="24">
        <v>299</v>
      </c>
      <c r="I4150" s="24">
        <v>5.38</v>
      </c>
      <c r="J4150" s="24">
        <v>0.97</v>
      </c>
      <c r="K4150" s="24">
        <v>292.64999999999998</v>
      </c>
      <c r="L4150" s="38">
        <v>46289</v>
      </c>
      <c r="M4150" s="23" t="s">
        <v>220</v>
      </c>
      <c r="N4150" s="23" t="str">
        <f>IF(COUNTIF($A$2:A4150,A4150)&gt;1,"DUP","OK")</f>
        <v>OK</v>
      </c>
      <c r="O4150" s="23" t="str">
        <f t="shared" si="193"/>
        <v>ORD26005668</v>
      </c>
      <c r="P4150" s="23" t="str">
        <f t="shared" si="194"/>
        <v>Sep</v>
      </c>
      <c r="Q4150" s="23" t="str">
        <f>IF(F4150="CAPTURE",IF(COUNTIF(orders!$A:$A,O4150)&gt;0,"Yes","NO ORDER"),"")</f>
        <v>Yes</v>
      </c>
    </row>
    <row r="4151" spans="1:17" ht="15" customHeight="1" x14ac:dyDescent="0.3">
      <c r="A4151" s="23" t="s">
        <v>17206</v>
      </c>
      <c r="B4151" s="23"/>
      <c r="C4151" s="23" t="s">
        <v>11952</v>
      </c>
      <c r="D4151" s="23" t="str">
        <f t="shared" si="192"/>
        <v>ORD26005769</v>
      </c>
      <c r="E4151" s="38">
        <v>46287</v>
      </c>
      <c r="F4151" s="23" t="s">
        <v>12410</v>
      </c>
      <c r="G4151" s="23" t="s">
        <v>77</v>
      </c>
      <c r="H4151" s="24">
        <v>2499</v>
      </c>
      <c r="I4151" s="24">
        <v>42.48</v>
      </c>
      <c r="J4151" s="24">
        <v>7.65</v>
      </c>
      <c r="K4151" s="24">
        <v>2448.87</v>
      </c>
      <c r="L4151" s="38">
        <v>46289</v>
      </c>
      <c r="M4151" s="23" t="s">
        <v>220</v>
      </c>
      <c r="N4151" s="23" t="str">
        <f>IF(COUNTIF($A$2:A4151,A4151)&gt;1,"DUP","OK")</f>
        <v>OK</v>
      </c>
      <c r="O4151" s="23" t="str">
        <f t="shared" si="193"/>
        <v>ORD26005769</v>
      </c>
      <c r="P4151" s="23" t="str">
        <f t="shared" si="194"/>
        <v>Sep</v>
      </c>
      <c r="Q4151" s="23" t="str">
        <f>IF(F4151="CAPTURE",IF(COUNTIF(orders!$A:$A,O4151)&gt;0,"Yes","NO ORDER"),"")</f>
        <v>Yes</v>
      </c>
    </row>
    <row r="4152" spans="1:17" ht="15" customHeight="1" x14ac:dyDescent="0.3">
      <c r="A4152" s="23" t="s">
        <v>17207</v>
      </c>
      <c r="B4152" s="23"/>
      <c r="C4152" s="23" t="s">
        <v>11985</v>
      </c>
      <c r="D4152" s="23" t="str">
        <f t="shared" si="192"/>
        <v>ORD26005786</v>
      </c>
      <c r="E4152" s="38">
        <v>46287</v>
      </c>
      <c r="F4152" s="23" t="s">
        <v>12410</v>
      </c>
      <c r="G4152" s="23" t="s">
        <v>81</v>
      </c>
      <c r="H4152" s="24">
        <v>2597</v>
      </c>
      <c r="I4152" s="24">
        <v>31.16</v>
      </c>
      <c r="J4152" s="24">
        <v>5.61</v>
      </c>
      <c r="K4152" s="24">
        <v>2560.23</v>
      </c>
      <c r="L4152" s="38">
        <v>46289</v>
      </c>
      <c r="M4152" s="23" t="s">
        <v>220</v>
      </c>
      <c r="N4152" s="23" t="str">
        <f>IF(COUNTIF($A$2:A4152,A4152)&gt;1,"DUP","OK")</f>
        <v>OK</v>
      </c>
      <c r="O4152" s="23" t="str">
        <f t="shared" si="193"/>
        <v>ORD26005786</v>
      </c>
      <c r="P4152" s="23" t="str">
        <f t="shared" si="194"/>
        <v>Sep</v>
      </c>
      <c r="Q4152" s="23" t="str">
        <f>IF(F4152="CAPTURE",IF(COUNTIF(orders!$A:$A,O4152)&gt;0,"Yes","NO ORDER"),"")</f>
        <v>Yes</v>
      </c>
    </row>
    <row r="4153" spans="1:17" ht="15" customHeight="1" x14ac:dyDescent="0.3">
      <c r="A4153" s="23" t="s">
        <v>17208</v>
      </c>
      <c r="B4153" s="23"/>
      <c r="C4153" s="23" t="s">
        <v>11991</v>
      </c>
      <c r="D4153" s="23" t="str">
        <f t="shared" si="192"/>
        <v>ORD26005789</v>
      </c>
      <c r="E4153" s="38">
        <v>46287</v>
      </c>
      <c r="F4153" s="23" t="s">
        <v>12410</v>
      </c>
      <c r="G4153" s="23" t="s">
        <v>81</v>
      </c>
      <c r="H4153" s="24">
        <v>5597</v>
      </c>
      <c r="I4153" s="24">
        <v>67.16</v>
      </c>
      <c r="J4153" s="24">
        <v>12.09</v>
      </c>
      <c r="K4153" s="24">
        <v>5517.75</v>
      </c>
      <c r="L4153" s="38">
        <v>46289</v>
      </c>
      <c r="M4153" s="23" t="s">
        <v>220</v>
      </c>
      <c r="N4153" s="23" t="str">
        <f>IF(COUNTIF($A$2:A4153,A4153)&gt;1,"DUP","OK")</f>
        <v>OK</v>
      </c>
      <c r="O4153" s="23" t="str">
        <f t="shared" si="193"/>
        <v>ORD26005789</v>
      </c>
      <c r="P4153" s="23" t="str">
        <f t="shared" si="194"/>
        <v>Sep</v>
      </c>
      <c r="Q4153" s="23" t="str">
        <f>IF(F4153="CAPTURE",IF(COUNTIF(orders!$A:$A,O4153)&gt;0,"Yes","NO ORDER"),"")</f>
        <v>Yes</v>
      </c>
    </row>
    <row r="4154" spans="1:17" ht="15" customHeight="1" x14ac:dyDescent="0.3">
      <c r="A4154" s="23" t="s">
        <v>17209</v>
      </c>
      <c r="B4154" s="23"/>
      <c r="C4154" s="23" t="s">
        <v>17210</v>
      </c>
      <c r="D4154" s="23" t="str">
        <f t="shared" si="192"/>
        <v>ORD26005867</v>
      </c>
      <c r="E4154" s="38">
        <v>46287</v>
      </c>
      <c r="F4154" s="23" t="s">
        <v>12410</v>
      </c>
      <c r="G4154" s="23" t="s">
        <v>77</v>
      </c>
      <c r="H4154" s="24">
        <v>3499</v>
      </c>
      <c r="I4154" s="24">
        <v>59.48</v>
      </c>
      <c r="J4154" s="24">
        <v>10.71</v>
      </c>
      <c r="K4154" s="24">
        <v>3428.81</v>
      </c>
      <c r="L4154" s="38">
        <v>46289</v>
      </c>
      <c r="M4154" s="23" t="s">
        <v>220</v>
      </c>
      <c r="N4154" s="23" t="str">
        <f>IF(COUNTIF($A$2:A4154,A4154)&gt;1,"DUP","OK")</f>
        <v>OK</v>
      </c>
      <c r="O4154" s="23" t="str">
        <f t="shared" si="193"/>
        <v>ORD26005867</v>
      </c>
      <c r="P4154" s="23" t="str">
        <f t="shared" si="194"/>
        <v>Sep</v>
      </c>
      <c r="Q4154" s="23" t="str">
        <f>IF(F4154="CAPTURE",IF(COUNTIF(orders!$A:$A,O4154)&gt;0,"Yes","NO ORDER"),"")</f>
        <v>Yes</v>
      </c>
    </row>
    <row r="4155" spans="1:17" ht="15" customHeight="1" x14ac:dyDescent="0.3">
      <c r="A4155" s="23" t="s">
        <v>17211</v>
      </c>
      <c r="B4155" s="23"/>
      <c r="C4155" s="23" t="s">
        <v>12261</v>
      </c>
      <c r="D4155" s="23" t="str">
        <f t="shared" si="192"/>
        <v>ORD26005931</v>
      </c>
      <c r="E4155" s="38">
        <v>46287</v>
      </c>
      <c r="F4155" s="23" t="s">
        <v>12410</v>
      </c>
      <c r="G4155" s="23" t="s">
        <v>75</v>
      </c>
      <c r="H4155" s="24">
        <v>599</v>
      </c>
      <c r="I4155" s="24">
        <v>0</v>
      </c>
      <c r="J4155" s="24">
        <v>0</v>
      </c>
      <c r="K4155" s="24">
        <v>599</v>
      </c>
      <c r="L4155" s="38">
        <v>46289</v>
      </c>
      <c r="M4155" s="23" t="s">
        <v>220</v>
      </c>
      <c r="N4155" s="23" t="str">
        <f>IF(COUNTIF($A$2:A4155,A4155)&gt;1,"DUP","OK")</f>
        <v>OK</v>
      </c>
      <c r="O4155" s="23" t="str">
        <f t="shared" si="193"/>
        <v>ORD26005931</v>
      </c>
      <c r="P4155" s="23" t="str">
        <f t="shared" si="194"/>
        <v>Sep</v>
      </c>
      <c r="Q4155" s="23" t="str">
        <f>IF(F4155="CAPTURE",IF(COUNTIF(orders!$A:$A,O4155)&gt;0,"Yes","NO ORDER"),"")</f>
        <v>Yes</v>
      </c>
    </row>
    <row r="4156" spans="1:17" ht="15" customHeight="1" x14ac:dyDescent="0.3">
      <c r="A4156" s="23" t="s">
        <v>17212</v>
      </c>
      <c r="B4156" s="23"/>
      <c r="C4156" s="23" t="s">
        <v>12265</v>
      </c>
      <c r="D4156" s="23" t="str">
        <f t="shared" si="192"/>
        <v>ORD26005933</v>
      </c>
      <c r="E4156" s="38">
        <v>46287</v>
      </c>
      <c r="F4156" s="23" t="s">
        <v>12410</v>
      </c>
      <c r="G4156" s="23" t="s">
        <v>79</v>
      </c>
      <c r="H4156" s="24">
        <v>799</v>
      </c>
      <c r="I4156" s="24">
        <v>14.38</v>
      </c>
      <c r="J4156" s="24">
        <v>2.59</v>
      </c>
      <c r="K4156" s="24">
        <v>782.03</v>
      </c>
      <c r="L4156" s="38">
        <v>46289</v>
      </c>
      <c r="M4156" s="23" t="s">
        <v>220</v>
      </c>
      <c r="N4156" s="23" t="str">
        <f>IF(COUNTIF($A$2:A4156,A4156)&gt;1,"DUP","OK")</f>
        <v>OK</v>
      </c>
      <c r="O4156" s="23" t="str">
        <f t="shared" si="193"/>
        <v>ORD26005933</v>
      </c>
      <c r="P4156" s="23" t="str">
        <f t="shared" si="194"/>
        <v>Sep</v>
      </c>
      <c r="Q4156" s="23" t="str">
        <f>IF(F4156="CAPTURE",IF(COUNTIF(orders!$A:$A,O4156)&gt;0,"Yes","NO ORDER"),"")</f>
        <v>Yes</v>
      </c>
    </row>
    <row r="4157" spans="1:17" ht="15" customHeight="1" x14ac:dyDescent="0.3">
      <c r="A4157" s="23" t="s">
        <v>17213</v>
      </c>
      <c r="B4157" s="23"/>
      <c r="C4157" s="23" t="s">
        <v>12274</v>
      </c>
      <c r="D4157" s="23" t="str">
        <f t="shared" si="192"/>
        <v>ORD26005938</v>
      </c>
      <c r="E4157" s="38">
        <v>46287</v>
      </c>
      <c r="F4157" s="23" t="s">
        <v>12410</v>
      </c>
      <c r="G4157" s="23" t="s">
        <v>81</v>
      </c>
      <c r="H4157" s="24">
        <v>3147</v>
      </c>
      <c r="I4157" s="24">
        <v>37.76</v>
      </c>
      <c r="J4157" s="24">
        <v>6.8</v>
      </c>
      <c r="K4157" s="24">
        <v>3102.44</v>
      </c>
      <c r="L4157" s="38">
        <v>46289</v>
      </c>
      <c r="M4157" s="23" t="s">
        <v>220</v>
      </c>
      <c r="N4157" s="23" t="str">
        <f>IF(COUNTIF($A$2:A4157,A4157)&gt;1,"DUP","OK")</f>
        <v>OK</v>
      </c>
      <c r="O4157" s="23" t="str">
        <f t="shared" si="193"/>
        <v>ORD26005938</v>
      </c>
      <c r="P4157" s="23" t="str">
        <f t="shared" si="194"/>
        <v>Sep</v>
      </c>
      <c r="Q4157" s="23" t="str">
        <f>IF(F4157="CAPTURE",IF(COUNTIF(orders!$A:$A,O4157)&gt;0,"Yes","NO ORDER"),"")</f>
        <v>Yes</v>
      </c>
    </row>
    <row r="4158" spans="1:17" ht="15" customHeight="1" x14ac:dyDescent="0.3">
      <c r="A4158" s="23" t="s">
        <v>17214</v>
      </c>
      <c r="B4158" s="23" t="s">
        <v>16758</v>
      </c>
      <c r="C4158" s="23"/>
      <c r="D4158" s="23" t="str">
        <f t="shared" si="192"/>
        <v/>
      </c>
      <c r="E4158" s="38">
        <v>46287</v>
      </c>
      <c r="F4158" s="23" t="s">
        <v>12791</v>
      </c>
      <c r="G4158" s="23" t="s">
        <v>75</v>
      </c>
      <c r="H4158" s="24">
        <v>799</v>
      </c>
      <c r="I4158" s="24">
        <v>0</v>
      </c>
      <c r="J4158" s="24">
        <v>0</v>
      </c>
      <c r="K4158" s="24">
        <v>-799</v>
      </c>
      <c r="L4158" s="38">
        <v>46289</v>
      </c>
      <c r="M4158" s="23" t="s">
        <v>220</v>
      </c>
      <c r="N4158" s="23" t="str">
        <f>IF(COUNTIF($A$2:A4158,A4158)&gt;1,"DUP","OK")</f>
        <v>OK</v>
      </c>
      <c r="O4158" s="23" t="str">
        <f t="shared" si="193"/>
        <v>ORD26005044</v>
      </c>
      <c r="P4158" s="23" t="str">
        <f t="shared" si="194"/>
        <v>Sep</v>
      </c>
      <c r="Q4158" s="23" t="str">
        <f>IF(F4158="CAPTURE",IF(COUNTIF(orders!$A:$A,O4158)&gt;0,"Yes","NO ORDER"),"")</f>
        <v/>
      </c>
    </row>
    <row r="4159" spans="1:17" ht="15" customHeight="1" x14ac:dyDescent="0.3">
      <c r="A4159" s="23" t="s">
        <v>17215</v>
      </c>
      <c r="B4159" s="23" t="s">
        <v>16520</v>
      </c>
      <c r="C4159" s="23"/>
      <c r="D4159" s="23" t="str">
        <f t="shared" si="192"/>
        <v/>
      </c>
      <c r="E4159" s="38">
        <v>46287</v>
      </c>
      <c r="F4159" s="23" t="s">
        <v>12791</v>
      </c>
      <c r="G4159" s="23" t="s">
        <v>81</v>
      </c>
      <c r="H4159" s="24">
        <v>499</v>
      </c>
      <c r="I4159" s="24">
        <v>0</v>
      </c>
      <c r="J4159" s="24">
        <v>0</v>
      </c>
      <c r="K4159" s="24">
        <v>-499</v>
      </c>
      <c r="L4159" s="38">
        <v>46289</v>
      </c>
      <c r="M4159" s="23" t="s">
        <v>220</v>
      </c>
      <c r="N4159" s="23" t="str">
        <f>IF(COUNTIF($A$2:A4159,A4159)&gt;1,"DUP","OK")</f>
        <v>OK</v>
      </c>
      <c r="O4159" s="23" t="str">
        <f t="shared" si="193"/>
        <v>ORD26004361</v>
      </c>
      <c r="P4159" s="23" t="str">
        <f t="shared" si="194"/>
        <v>Sep</v>
      </c>
      <c r="Q4159" s="23" t="str">
        <f>IF(F4159="CAPTURE",IF(COUNTIF(orders!$A:$A,O4159)&gt;0,"Yes","NO ORDER"),"")</f>
        <v/>
      </c>
    </row>
    <row r="4160" spans="1:17" ht="15" customHeight="1" x14ac:dyDescent="0.3">
      <c r="A4160" s="23" t="s">
        <v>17216</v>
      </c>
      <c r="B4160" s="23" t="s">
        <v>16904</v>
      </c>
      <c r="C4160" s="23"/>
      <c r="D4160" s="23" t="str">
        <f t="shared" si="192"/>
        <v/>
      </c>
      <c r="E4160" s="38">
        <v>46287</v>
      </c>
      <c r="F4160" s="23" t="s">
        <v>12791</v>
      </c>
      <c r="G4160" s="23" t="s">
        <v>79</v>
      </c>
      <c r="H4160" s="24">
        <v>2298</v>
      </c>
      <c r="I4160" s="24">
        <v>0</v>
      </c>
      <c r="J4160" s="24">
        <v>0</v>
      </c>
      <c r="K4160" s="24">
        <v>-2298</v>
      </c>
      <c r="L4160" s="38">
        <v>46289</v>
      </c>
      <c r="M4160" s="23" t="s">
        <v>220</v>
      </c>
      <c r="N4160" s="23" t="str">
        <f>IF(COUNTIF($A$2:A4160,A4160)&gt;1,"DUP","OK")</f>
        <v>OK</v>
      </c>
      <c r="O4160" s="23" t="str">
        <f t="shared" si="193"/>
        <v>ORD26002160</v>
      </c>
      <c r="P4160" s="23" t="str">
        <f t="shared" si="194"/>
        <v>Sep</v>
      </c>
      <c r="Q4160" s="23" t="str">
        <f>IF(F4160="CAPTURE",IF(COUNTIF(orders!$A:$A,O4160)&gt;0,"Yes","NO ORDER"),"")</f>
        <v/>
      </c>
    </row>
    <row r="4161" spans="1:17" ht="15" customHeight="1" x14ac:dyDescent="0.3">
      <c r="A4161" s="23" t="s">
        <v>17217</v>
      </c>
      <c r="B4161" s="23" t="s">
        <v>16823</v>
      </c>
      <c r="C4161" s="23"/>
      <c r="D4161" s="23" t="str">
        <f t="shared" si="192"/>
        <v/>
      </c>
      <c r="E4161" s="38">
        <v>46287</v>
      </c>
      <c r="F4161" s="23" t="s">
        <v>12791</v>
      </c>
      <c r="G4161" s="23" t="s">
        <v>75</v>
      </c>
      <c r="H4161" s="24">
        <v>11497</v>
      </c>
      <c r="I4161" s="24">
        <v>0</v>
      </c>
      <c r="J4161" s="24">
        <v>0</v>
      </c>
      <c r="K4161" s="24">
        <v>-11497</v>
      </c>
      <c r="L4161" s="38">
        <v>46289</v>
      </c>
      <c r="M4161" s="23" t="s">
        <v>220</v>
      </c>
      <c r="N4161" s="23" t="str">
        <f>IF(COUNTIF($A$2:A4161,A4161)&gt;1,"DUP","OK")</f>
        <v>OK</v>
      </c>
      <c r="O4161" s="23" t="str">
        <f t="shared" si="193"/>
        <v>ORD26000219</v>
      </c>
      <c r="P4161" s="23" t="str">
        <f t="shared" si="194"/>
        <v>Sep</v>
      </c>
      <c r="Q4161" s="23" t="str">
        <f>IF(F4161="CAPTURE",IF(COUNTIF(orders!$A:$A,O4161)&gt;0,"Yes","NO ORDER"),"")</f>
        <v/>
      </c>
    </row>
    <row r="4162" spans="1:17" ht="15" customHeight="1" x14ac:dyDescent="0.3">
      <c r="A4162" s="23" t="s">
        <v>17218</v>
      </c>
      <c r="B4162" s="23" t="s">
        <v>16292</v>
      </c>
      <c r="C4162" s="23"/>
      <c r="D4162" s="23" t="str">
        <f t="shared" ref="D4162:D4225" si="195">UPPER(SUBSTITUTE(TRIM(C4162),"-",""))</f>
        <v/>
      </c>
      <c r="E4162" s="38">
        <v>46287</v>
      </c>
      <c r="F4162" s="23" t="s">
        <v>12791</v>
      </c>
      <c r="G4162" s="23" t="s">
        <v>75</v>
      </c>
      <c r="H4162" s="24">
        <v>5998</v>
      </c>
      <c r="I4162" s="24">
        <v>0</v>
      </c>
      <c r="J4162" s="24">
        <v>0</v>
      </c>
      <c r="K4162" s="24">
        <v>-5998</v>
      </c>
      <c r="L4162" s="38">
        <v>46289</v>
      </c>
      <c r="M4162" s="23" t="s">
        <v>220</v>
      </c>
      <c r="N4162" s="23" t="str">
        <f>IF(COUNTIF($A$2:A4162,A4162)&gt;1,"DUP","OK")</f>
        <v>OK</v>
      </c>
      <c r="O4162" s="23" t="str">
        <f t="shared" ref="O4162:O4225" si="196">IF(F4162="REFUND",INDEX($D:$D,MATCH(B4162,$A:$A,0)),D4162)</f>
        <v>ORD26004308</v>
      </c>
      <c r="P4162" s="23" t="str">
        <f t="shared" ref="P4162:P4225" si="197">IF(L4162&gt;DATE(2026,9,30),"Oct-Due","Sep")</f>
        <v>Sep</v>
      </c>
      <c r="Q4162" s="23" t="str">
        <f>IF(F4162="CAPTURE",IF(COUNTIF(orders!$A:$A,O4162)&gt;0,"Yes","NO ORDER"),"")</f>
        <v/>
      </c>
    </row>
    <row r="4163" spans="1:17" ht="15" customHeight="1" x14ac:dyDescent="0.3">
      <c r="A4163" s="23" t="s">
        <v>17219</v>
      </c>
      <c r="B4163" s="23" t="s">
        <v>16431</v>
      </c>
      <c r="C4163" s="23"/>
      <c r="D4163" s="23" t="str">
        <f t="shared" si="195"/>
        <v/>
      </c>
      <c r="E4163" s="38">
        <v>46287</v>
      </c>
      <c r="F4163" s="23" t="s">
        <v>12791</v>
      </c>
      <c r="G4163" s="23" t="s">
        <v>75</v>
      </c>
      <c r="H4163" s="24">
        <v>2999</v>
      </c>
      <c r="I4163" s="24">
        <v>0</v>
      </c>
      <c r="J4163" s="24">
        <v>0</v>
      </c>
      <c r="K4163" s="24">
        <v>-2999</v>
      </c>
      <c r="L4163" s="38">
        <v>46289</v>
      </c>
      <c r="M4163" s="23" t="s">
        <v>220</v>
      </c>
      <c r="N4163" s="23" t="str">
        <f>IF(COUNTIF($A$2:A4163,A4163)&gt;1,"DUP","OK")</f>
        <v>OK</v>
      </c>
      <c r="O4163" s="23" t="str">
        <f t="shared" si="196"/>
        <v>ORD26002122</v>
      </c>
      <c r="P4163" s="23" t="str">
        <f t="shared" si="197"/>
        <v>Sep</v>
      </c>
      <c r="Q4163" s="23" t="str">
        <f>IF(F4163="CAPTURE",IF(COUNTIF(orders!$A:$A,O4163)&gt;0,"Yes","NO ORDER"),"")</f>
        <v/>
      </c>
    </row>
    <row r="4164" spans="1:17" ht="15" customHeight="1" x14ac:dyDescent="0.3">
      <c r="A4164" s="23" t="s">
        <v>17220</v>
      </c>
      <c r="B4164" s="23" t="s">
        <v>16844</v>
      </c>
      <c r="C4164" s="23"/>
      <c r="D4164" s="23" t="str">
        <f t="shared" si="195"/>
        <v/>
      </c>
      <c r="E4164" s="38">
        <v>46287</v>
      </c>
      <c r="F4164" s="23" t="s">
        <v>12791</v>
      </c>
      <c r="G4164" s="23" t="s">
        <v>75</v>
      </c>
      <c r="H4164" s="24">
        <v>1499</v>
      </c>
      <c r="I4164" s="24">
        <v>0</v>
      </c>
      <c r="J4164" s="24">
        <v>0</v>
      </c>
      <c r="K4164" s="24">
        <v>-1499</v>
      </c>
      <c r="L4164" s="38">
        <v>46289</v>
      </c>
      <c r="M4164" s="23" t="s">
        <v>220</v>
      </c>
      <c r="N4164" s="23" t="str">
        <f>IF(COUNTIF($A$2:A4164,A4164)&gt;1,"DUP","OK")</f>
        <v>OK</v>
      </c>
      <c r="O4164" s="23" t="str">
        <f t="shared" si="196"/>
        <v>ORD26000598</v>
      </c>
      <c r="P4164" s="23" t="str">
        <f t="shared" si="197"/>
        <v>Sep</v>
      </c>
      <c r="Q4164" s="23" t="str">
        <f>IF(F4164="CAPTURE",IF(COUNTIF(orders!$A:$A,O4164)&gt;0,"Yes","NO ORDER"),"")</f>
        <v/>
      </c>
    </row>
    <row r="4165" spans="1:17" ht="15" customHeight="1" x14ac:dyDescent="0.3">
      <c r="A4165" s="23" t="s">
        <v>17221</v>
      </c>
      <c r="B4165" s="23" t="s">
        <v>15778</v>
      </c>
      <c r="C4165" s="23"/>
      <c r="D4165" s="23" t="str">
        <f t="shared" si="195"/>
        <v/>
      </c>
      <c r="E4165" s="38">
        <v>46287</v>
      </c>
      <c r="F4165" s="23" t="s">
        <v>12791</v>
      </c>
      <c r="G4165" s="23" t="s">
        <v>79</v>
      </c>
      <c r="H4165" s="24">
        <v>1799</v>
      </c>
      <c r="I4165" s="24">
        <v>0</v>
      </c>
      <c r="J4165" s="24">
        <v>0</v>
      </c>
      <c r="K4165" s="24">
        <v>-1799</v>
      </c>
      <c r="L4165" s="38">
        <v>46289</v>
      </c>
      <c r="M4165" s="23" t="s">
        <v>220</v>
      </c>
      <c r="N4165" s="23" t="str">
        <f>IF(COUNTIF($A$2:A4165,A4165)&gt;1,"DUP","OK")</f>
        <v>OK</v>
      </c>
      <c r="O4165" s="23" t="str">
        <f t="shared" si="196"/>
        <v>ORD26000661</v>
      </c>
      <c r="P4165" s="23" t="str">
        <f t="shared" si="197"/>
        <v>Sep</v>
      </c>
      <c r="Q4165" s="23" t="str">
        <f>IF(F4165="CAPTURE",IF(COUNTIF(orders!$A:$A,O4165)&gt;0,"Yes","NO ORDER"),"")</f>
        <v/>
      </c>
    </row>
    <row r="4166" spans="1:17" ht="15" customHeight="1" x14ac:dyDescent="0.3">
      <c r="A4166" s="23" t="s">
        <v>17222</v>
      </c>
      <c r="B4166" s="23" t="s">
        <v>16919</v>
      </c>
      <c r="C4166" s="23"/>
      <c r="D4166" s="23" t="str">
        <f t="shared" si="195"/>
        <v/>
      </c>
      <c r="E4166" s="38">
        <v>46287</v>
      </c>
      <c r="F4166" s="23" t="s">
        <v>12791</v>
      </c>
      <c r="G4166" s="23" t="s">
        <v>79</v>
      </c>
      <c r="H4166" s="24">
        <v>3499</v>
      </c>
      <c r="I4166" s="24">
        <v>0</v>
      </c>
      <c r="J4166" s="24">
        <v>0</v>
      </c>
      <c r="K4166" s="24">
        <v>-3499</v>
      </c>
      <c r="L4166" s="38">
        <v>46289</v>
      </c>
      <c r="M4166" s="23" t="s">
        <v>220</v>
      </c>
      <c r="N4166" s="23" t="str">
        <f>IF(COUNTIF($A$2:A4166,A4166)&gt;1,"DUP","OK")</f>
        <v>OK</v>
      </c>
      <c r="O4166" s="23" t="str">
        <f t="shared" si="196"/>
        <v>ORD26002749</v>
      </c>
      <c r="P4166" s="23" t="str">
        <f t="shared" si="197"/>
        <v>Sep</v>
      </c>
      <c r="Q4166" s="23" t="str">
        <f>IF(F4166="CAPTURE",IF(COUNTIF(orders!$A:$A,O4166)&gt;0,"Yes","NO ORDER"),"")</f>
        <v/>
      </c>
    </row>
    <row r="4167" spans="1:17" ht="15" customHeight="1" x14ac:dyDescent="0.3">
      <c r="A4167" s="23" t="s">
        <v>17223</v>
      </c>
      <c r="B4167" s="23"/>
      <c r="C4167" s="23" t="s">
        <v>251</v>
      </c>
      <c r="D4167" s="23" t="str">
        <f t="shared" si="195"/>
        <v>ORD26000002</v>
      </c>
      <c r="E4167" s="38">
        <v>46288</v>
      </c>
      <c r="F4167" s="23" t="s">
        <v>12410</v>
      </c>
      <c r="G4167" s="23" t="s">
        <v>75</v>
      </c>
      <c r="H4167" s="24">
        <v>4647</v>
      </c>
      <c r="I4167" s="24">
        <v>13.94</v>
      </c>
      <c r="J4167" s="24">
        <v>2.5099999999999998</v>
      </c>
      <c r="K4167" s="24">
        <v>4630.55</v>
      </c>
      <c r="L4167" s="38">
        <v>46290</v>
      </c>
      <c r="M4167" s="23" t="s">
        <v>222</v>
      </c>
      <c r="N4167" s="23" t="str">
        <f>IF(COUNTIF($A$2:A4167,A4167)&gt;1,"DUP","OK")</f>
        <v>OK</v>
      </c>
      <c r="O4167" s="23" t="str">
        <f t="shared" si="196"/>
        <v>ORD26000002</v>
      </c>
      <c r="P4167" s="23" t="str">
        <f t="shared" si="197"/>
        <v>Sep</v>
      </c>
      <c r="Q4167" s="23" t="str">
        <f>IF(F4167="CAPTURE",IF(COUNTIF(orders!$A:$A,O4167)&gt;0,"Yes","NO ORDER"),"")</f>
        <v>Yes</v>
      </c>
    </row>
    <row r="4168" spans="1:17" ht="15" customHeight="1" x14ac:dyDescent="0.3">
      <c r="A4168" s="23" t="s">
        <v>17224</v>
      </c>
      <c r="B4168" s="23"/>
      <c r="C4168" s="23" t="s">
        <v>302</v>
      </c>
      <c r="D4168" s="23" t="str">
        <f t="shared" si="195"/>
        <v>ORD26000019</v>
      </c>
      <c r="E4168" s="38">
        <v>46288</v>
      </c>
      <c r="F4168" s="23" t="s">
        <v>12410</v>
      </c>
      <c r="G4168" s="23" t="s">
        <v>75</v>
      </c>
      <c r="H4168" s="24">
        <v>5798</v>
      </c>
      <c r="I4168" s="24">
        <v>17.39</v>
      </c>
      <c r="J4168" s="24">
        <v>3.13</v>
      </c>
      <c r="K4168" s="24">
        <v>5777.48</v>
      </c>
      <c r="L4168" s="38">
        <v>46290</v>
      </c>
      <c r="M4168" s="23" t="s">
        <v>222</v>
      </c>
      <c r="N4168" s="23" t="str">
        <f>IF(COUNTIF($A$2:A4168,A4168)&gt;1,"DUP","OK")</f>
        <v>OK</v>
      </c>
      <c r="O4168" s="23" t="str">
        <f t="shared" si="196"/>
        <v>ORD26000019</v>
      </c>
      <c r="P4168" s="23" t="str">
        <f t="shared" si="197"/>
        <v>Sep</v>
      </c>
      <c r="Q4168" s="23" t="str">
        <f>IF(F4168="CAPTURE",IF(COUNTIF(orders!$A:$A,O4168)&gt;0,"Yes","NO ORDER"),"")</f>
        <v>Yes</v>
      </c>
    </row>
    <row r="4169" spans="1:17" ht="15" customHeight="1" x14ac:dyDescent="0.3">
      <c r="A4169" s="23" t="s">
        <v>17225</v>
      </c>
      <c r="B4169" s="23"/>
      <c r="C4169" s="23" t="s">
        <v>325</v>
      </c>
      <c r="D4169" s="23" t="str">
        <f t="shared" si="195"/>
        <v>ORD26000027</v>
      </c>
      <c r="E4169" s="38">
        <v>46288</v>
      </c>
      <c r="F4169" s="23" t="s">
        <v>12410</v>
      </c>
      <c r="G4169" s="23" t="s">
        <v>79</v>
      </c>
      <c r="H4169" s="24">
        <v>1299</v>
      </c>
      <c r="I4169" s="24">
        <v>23.38</v>
      </c>
      <c r="J4169" s="24">
        <v>4.21</v>
      </c>
      <c r="K4169" s="24">
        <v>1271.4100000000001</v>
      </c>
      <c r="L4169" s="38">
        <v>46290</v>
      </c>
      <c r="M4169" s="23" t="s">
        <v>222</v>
      </c>
      <c r="N4169" s="23" t="str">
        <f>IF(COUNTIF($A$2:A4169,A4169)&gt;1,"DUP","OK")</f>
        <v>OK</v>
      </c>
      <c r="O4169" s="23" t="str">
        <f t="shared" si="196"/>
        <v>ORD26000027</v>
      </c>
      <c r="P4169" s="23" t="str">
        <f t="shared" si="197"/>
        <v>Sep</v>
      </c>
      <c r="Q4169" s="23" t="str">
        <f>IF(F4169="CAPTURE",IF(COUNTIF(orders!$A:$A,O4169)&gt;0,"Yes","NO ORDER"),"")</f>
        <v>Yes</v>
      </c>
    </row>
    <row r="4170" spans="1:17" ht="15" customHeight="1" x14ac:dyDescent="0.3">
      <c r="A4170" s="23" t="s">
        <v>17226</v>
      </c>
      <c r="B4170" s="23"/>
      <c r="C4170" s="23" t="s">
        <v>397</v>
      </c>
      <c r="D4170" s="23" t="str">
        <f t="shared" si="195"/>
        <v>ORD26000054</v>
      </c>
      <c r="E4170" s="38">
        <v>46288</v>
      </c>
      <c r="F4170" s="23" t="s">
        <v>12410</v>
      </c>
      <c r="G4170" s="23" t="s">
        <v>77</v>
      </c>
      <c r="H4170" s="24">
        <v>2098</v>
      </c>
      <c r="I4170" s="24">
        <v>35.67</v>
      </c>
      <c r="J4170" s="24">
        <v>6.42</v>
      </c>
      <c r="K4170" s="24">
        <v>2055.91</v>
      </c>
      <c r="L4170" s="38">
        <v>46290</v>
      </c>
      <c r="M4170" s="23" t="s">
        <v>222</v>
      </c>
      <c r="N4170" s="23" t="str">
        <f>IF(COUNTIF($A$2:A4170,A4170)&gt;1,"DUP","OK")</f>
        <v>OK</v>
      </c>
      <c r="O4170" s="23" t="str">
        <f t="shared" si="196"/>
        <v>ORD26000054</v>
      </c>
      <c r="P4170" s="23" t="str">
        <f t="shared" si="197"/>
        <v>Sep</v>
      </c>
      <c r="Q4170" s="23" t="str">
        <f>IF(F4170="CAPTURE",IF(COUNTIF(orders!$A:$A,O4170)&gt;0,"Yes","NO ORDER"),"")</f>
        <v>Yes</v>
      </c>
    </row>
    <row r="4171" spans="1:17" ht="15" customHeight="1" x14ac:dyDescent="0.3">
      <c r="A4171" s="23" t="s">
        <v>17227</v>
      </c>
      <c r="B4171" s="23"/>
      <c r="C4171" s="23" t="s">
        <v>484</v>
      </c>
      <c r="D4171" s="23" t="str">
        <f t="shared" si="195"/>
        <v>ORD26000090</v>
      </c>
      <c r="E4171" s="38">
        <v>46288</v>
      </c>
      <c r="F4171" s="23" t="s">
        <v>12410</v>
      </c>
      <c r="G4171" s="23" t="s">
        <v>75</v>
      </c>
      <c r="H4171" s="24">
        <v>349</v>
      </c>
      <c r="I4171" s="24">
        <v>0</v>
      </c>
      <c r="J4171" s="24">
        <v>0</v>
      </c>
      <c r="K4171" s="24">
        <v>349</v>
      </c>
      <c r="L4171" s="38">
        <v>46290</v>
      </c>
      <c r="M4171" s="23" t="s">
        <v>222</v>
      </c>
      <c r="N4171" s="23" t="str">
        <f>IF(COUNTIF($A$2:A4171,A4171)&gt;1,"DUP","OK")</f>
        <v>OK</v>
      </c>
      <c r="O4171" s="23" t="str">
        <f t="shared" si="196"/>
        <v>ORD26000090</v>
      </c>
      <c r="P4171" s="23" t="str">
        <f t="shared" si="197"/>
        <v>Sep</v>
      </c>
      <c r="Q4171" s="23" t="str">
        <f>IF(F4171="CAPTURE",IF(COUNTIF(orders!$A:$A,O4171)&gt;0,"Yes","NO ORDER"),"")</f>
        <v>Yes</v>
      </c>
    </row>
    <row r="4172" spans="1:17" ht="15" customHeight="1" x14ac:dyDescent="0.3">
      <c r="A4172" s="23" t="s">
        <v>17228</v>
      </c>
      <c r="B4172" s="23"/>
      <c r="C4172" s="23" t="s">
        <v>502</v>
      </c>
      <c r="D4172" s="23" t="str">
        <f t="shared" si="195"/>
        <v>ORD26000098</v>
      </c>
      <c r="E4172" s="38">
        <v>46288</v>
      </c>
      <c r="F4172" s="23" t="s">
        <v>12410</v>
      </c>
      <c r="G4172" s="23" t="s">
        <v>81</v>
      </c>
      <c r="H4172" s="24">
        <v>349</v>
      </c>
      <c r="I4172" s="24">
        <v>5.24</v>
      </c>
      <c r="J4172" s="24">
        <v>0.94</v>
      </c>
      <c r="K4172" s="24">
        <v>342.82</v>
      </c>
      <c r="L4172" s="38">
        <v>46290</v>
      </c>
      <c r="M4172" s="23" t="s">
        <v>222</v>
      </c>
      <c r="N4172" s="23" t="str">
        <f>IF(COUNTIF($A$2:A4172,A4172)&gt;1,"DUP","OK")</f>
        <v>OK</v>
      </c>
      <c r="O4172" s="23" t="str">
        <f t="shared" si="196"/>
        <v>ORD26000098</v>
      </c>
      <c r="P4172" s="23" t="str">
        <f t="shared" si="197"/>
        <v>Sep</v>
      </c>
      <c r="Q4172" s="23" t="str">
        <f>IF(F4172="CAPTURE",IF(COUNTIF(orders!$A:$A,O4172)&gt;0,"Yes","NO ORDER"),"")</f>
        <v>Yes</v>
      </c>
    </row>
    <row r="4173" spans="1:17" ht="15" customHeight="1" x14ac:dyDescent="0.3">
      <c r="A4173" s="23" t="s">
        <v>17229</v>
      </c>
      <c r="B4173" s="23"/>
      <c r="C4173" s="23" t="s">
        <v>504</v>
      </c>
      <c r="D4173" s="23" t="str">
        <f t="shared" si="195"/>
        <v>ORD26000099</v>
      </c>
      <c r="E4173" s="38">
        <v>46288</v>
      </c>
      <c r="F4173" s="23" t="s">
        <v>12410</v>
      </c>
      <c r="G4173" s="23" t="s">
        <v>81</v>
      </c>
      <c r="H4173" s="24">
        <v>7999</v>
      </c>
      <c r="I4173" s="24">
        <v>95.99</v>
      </c>
      <c r="J4173" s="24">
        <v>17.28</v>
      </c>
      <c r="K4173" s="24">
        <v>7885.73</v>
      </c>
      <c r="L4173" s="38">
        <v>46290</v>
      </c>
      <c r="M4173" s="23" t="s">
        <v>222</v>
      </c>
      <c r="N4173" s="23" t="str">
        <f>IF(COUNTIF($A$2:A4173,A4173)&gt;1,"DUP","OK")</f>
        <v>OK</v>
      </c>
      <c r="O4173" s="23" t="str">
        <f t="shared" si="196"/>
        <v>ORD26000099</v>
      </c>
      <c r="P4173" s="23" t="str">
        <f t="shared" si="197"/>
        <v>Sep</v>
      </c>
      <c r="Q4173" s="23" t="str">
        <f>IF(F4173="CAPTURE",IF(COUNTIF(orders!$A:$A,O4173)&gt;0,"Yes","NO ORDER"),"")</f>
        <v>Yes</v>
      </c>
    </row>
    <row r="4174" spans="1:17" ht="15" customHeight="1" x14ac:dyDescent="0.3">
      <c r="A4174" s="23" t="s">
        <v>17230</v>
      </c>
      <c r="B4174" s="23"/>
      <c r="C4174" s="23" t="s">
        <v>510</v>
      </c>
      <c r="D4174" s="23" t="str">
        <f t="shared" si="195"/>
        <v>ORD26000102</v>
      </c>
      <c r="E4174" s="38">
        <v>46288</v>
      </c>
      <c r="F4174" s="23" t="s">
        <v>12410</v>
      </c>
      <c r="G4174" s="23" t="s">
        <v>75</v>
      </c>
      <c r="H4174" s="24">
        <v>1299</v>
      </c>
      <c r="I4174" s="24">
        <v>0</v>
      </c>
      <c r="J4174" s="24">
        <v>0</v>
      </c>
      <c r="K4174" s="24">
        <v>1299</v>
      </c>
      <c r="L4174" s="38">
        <v>46290</v>
      </c>
      <c r="M4174" s="23" t="s">
        <v>222</v>
      </c>
      <c r="N4174" s="23" t="str">
        <f>IF(COUNTIF($A$2:A4174,A4174)&gt;1,"DUP","OK")</f>
        <v>OK</v>
      </c>
      <c r="O4174" s="23" t="str">
        <f t="shared" si="196"/>
        <v>ORD26000102</v>
      </c>
      <c r="P4174" s="23" t="str">
        <f t="shared" si="197"/>
        <v>Sep</v>
      </c>
      <c r="Q4174" s="23" t="str">
        <f>IF(F4174="CAPTURE",IF(COUNTIF(orders!$A:$A,O4174)&gt;0,"Yes","NO ORDER"),"")</f>
        <v>Yes</v>
      </c>
    </row>
    <row r="4175" spans="1:17" ht="15" customHeight="1" x14ac:dyDescent="0.3">
      <c r="A4175" s="23" t="s">
        <v>17231</v>
      </c>
      <c r="B4175" s="23"/>
      <c r="C4175" s="23" t="s">
        <v>635</v>
      </c>
      <c r="D4175" s="23" t="str">
        <f t="shared" si="195"/>
        <v>ORD26000154</v>
      </c>
      <c r="E4175" s="38">
        <v>46288</v>
      </c>
      <c r="F4175" s="23" t="s">
        <v>12410</v>
      </c>
      <c r="G4175" s="23" t="s">
        <v>79</v>
      </c>
      <c r="H4175" s="24">
        <v>299</v>
      </c>
      <c r="I4175" s="24">
        <v>5.38</v>
      </c>
      <c r="J4175" s="24">
        <v>0.97</v>
      </c>
      <c r="K4175" s="24">
        <v>292.64999999999998</v>
      </c>
      <c r="L4175" s="38">
        <v>46290</v>
      </c>
      <c r="M4175" s="23" t="s">
        <v>222</v>
      </c>
      <c r="N4175" s="23" t="str">
        <f>IF(COUNTIF($A$2:A4175,A4175)&gt;1,"DUP","OK")</f>
        <v>OK</v>
      </c>
      <c r="O4175" s="23" t="str">
        <f t="shared" si="196"/>
        <v>ORD26000154</v>
      </c>
      <c r="P4175" s="23" t="str">
        <f t="shared" si="197"/>
        <v>Sep</v>
      </c>
      <c r="Q4175" s="23" t="str">
        <f>IF(F4175="CAPTURE",IF(COUNTIF(orders!$A:$A,O4175)&gt;0,"Yes","NO ORDER"),"")</f>
        <v>Yes</v>
      </c>
    </row>
    <row r="4176" spans="1:17" ht="15" customHeight="1" x14ac:dyDescent="0.3">
      <c r="A4176" s="23" t="s">
        <v>17232</v>
      </c>
      <c r="B4176" s="23"/>
      <c r="C4176" s="23" t="s">
        <v>688</v>
      </c>
      <c r="D4176" s="23" t="str">
        <f t="shared" si="195"/>
        <v>ORD26000177</v>
      </c>
      <c r="E4176" s="38">
        <v>46288</v>
      </c>
      <c r="F4176" s="23" t="s">
        <v>12410</v>
      </c>
      <c r="G4176" s="23" t="s">
        <v>77</v>
      </c>
      <c r="H4176" s="24">
        <v>599</v>
      </c>
      <c r="I4176" s="24">
        <v>11.38</v>
      </c>
      <c r="J4176" s="24">
        <v>2.0499999999999998</v>
      </c>
      <c r="K4176" s="24">
        <v>585.57000000000005</v>
      </c>
      <c r="L4176" s="38">
        <v>46290</v>
      </c>
      <c r="M4176" s="23" t="s">
        <v>222</v>
      </c>
      <c r="N4176" s="23" t="str">
        <f>IF(COUNTIF($A$2:A4176,A4176)&gt;1,"DUP","OK")</f>
        <v>OK</v>
      </c>
      <c r="O4176" s="23" t="str">
        <f t="shared" si="196"/>
        <v>ORD26000177</v>
      </c>
      <c r="P4176" s="23" t="str">
        <f t="shared" si="197"/>
        <v>Sep</v>
      </c>
      <c r="Q4176" s="23" t="str">
        <f>IF(F4176="CAPTURE",IF(COUNTIF(orders!$A:$A,O4176)&gt;0,"Yes","NO ORDER"),"")</f>
        <v>Yes</v>
      </c>
    </row>
    <row r="4177" spans="1:17" ht="15" customHeight="1" x14ac:dyDescent="0.3">
      <c r="A4177" s="23" t="s">
        <v>17233</v>
      </c>
      <c r="B4177" s="23"/>
      <c r="C4177" s="23" t="s">
        <v>885</v>
      </c>
      <c r="D4177" s="23" t="str">
        <f t="shared" si="195"/>
        <v>ORD26000261</v>
      </c>
      <c r="E4177" s="38">
        <v>46288</v>
      </c>
      <c r="F4177" s="23" t="s">
        <v>12410</v>
      </c>
      <c r="G4177" s="23" t="s">
        <v>81</v>
      </c>
      <c r="H4177" s="24">
        <v>5998</v>
      </c>
      <c r="I4177" s="24">
        <v>71.98</v>
      </c>
      <c r="J4177" s="24">
        <v>12.96</v>
      </c>
      <c r="K4177" s="24">
        <v>5913.06</v>
      </c>
      <c r="L4177" s="38">
        <v>46290</v>
      </c>
      <c r="M4177" s="23" t="s">
        <v>222</v>
      </c>
      <c r="N4177" s="23" t="str">
        <f>IF(COUNTIF($A$2:A4177,A4177)&gt;1,"DUP","OK")</f>
        <v>OK</v>
      </c>
      <c r="O4177" s="23" t="str">
        <f t="shared" si="196"/>
        <v>ORD26000261</v>
      </c>
      <c r="P4177" s="23" t="str">
        <f t="shared" si="197"/>
        <v>Sep</v>
      </c>
      <c r="Q4177" s="23" t="str">
        <f>IF(F4177="CAPTURE",IF(COUNTIF(orders!$A:$A,O4177)&gt;0,"Yes","NO ORDER"),"")</f>
        <v>Yes</v>
      </c>
    </row>
    <row r="4178" spans="1:17" ht="15" customHeight="1" x14ac:dyDescent="0.3">
      <c r="A4178" s="23" t="s">
        <v>17234</v>
      </c>
      <c r="B4178" s="23"/>
      <c r="C4178" s="23" t="s">
        <v>995</v>
      </c>
      <c r="D4178" s="23" t="str">
        <f t="shared" si="195"/>
        <v>ORD26000314</v>
      </c>
      <c r="E4178" s="38">
        <v>46288</v>
      </c>
      <c r="F4178" s="23" t="s">
        <v>12410</v>
      </c>
      <c r="G4178" s="23" t="s">
        <v>75</v>
      </c>
      <c r="H4178" s="24">
        <v>3499</v>
      </c>
      <c r="I4178" s="24">
        <v>10.5</v>
      </c>
      <c r="J4178" s="24">
        <v>1.89</v>
      </c>
      <c r="K4178" s="24">
        <v>3486.61</v>
      </c>
      <c r="L4178" s="38">
        <v>46290</v>
      </c>
      <c r="M4178" s="23" t="s">
        <v>222</v>
      </c>
      <c r="N4178" s="23" t="str">
        <f>IF(COUNTIF($A$2:A4178,A4178)&gt;1,"DUP","OK")</f>
        <v>OK</v>
      </c>
      <c r="O4178" s="23" t="str">
        <f t="shared" si="196"/>
        <v>ORD26000314</v>
      </c>
      <c r="P4178" s="23" t="str">
        <f t="shared" si="197"/>
        <v>Sep</v>
      </c>
      <c r="Q4178" s="23" t="str">
        <f>IF(F4178="CAPTURE",IF(COUNTIF(orders!$A:$A,O4178)&gt;0,"Yes","NO ORDER"),"")</f>
        <v>Yes</v>
      </c>
    </row>
    <row r="4179" spans="1:17" ht="15" customHeight="1" x14ac:dyDescent="0.3">
      <c r="A4179" s="23" t="s">
        <v>17235</v>
      </c>
      <c r="B4179" s="23"/>
      <c r="C4179" s="23" t="s">
        <v>1026</v>
      </c>
      <c r="D4179" s="23" t="str">
        <f t="shared" si="195"/>
        <v>ORD26000328</v>
      </c>
      <c r="E4179" s="38">
        <v>46288</v>
      </c>
      <c r="F4179" s="23" t="s">
        <v>12410</v>
      </c>
      <c r="G4179" s="23" t="s">
        <v>79</v>
      </c>
      <c r="H4179" s="24">
        <v>299</v>
      </c>
      <c r="I4179" s="24">
        <v>5.38</v>
      </c>
      <c r="J4179" s="24">
        <v>0.97</v>
      </c>
      <c r="K4179" s="24">
        <v>292.64999999999998</v>
      </c>
      <c r="L4179" s="38">
        <v>46290</v>
      </c>
      <c r="M4179" s="23" t="s">
        <v>222</v>
      </c>
      <c r="N4179" s="23" t="str">
        <f>IF(COUNTIF($A$2:A4179,A4179)&gt;1,"DUP","OK")</f>
        <v>OK</v>
      </c>
      <c r="O4179" s="23" t="str">
        <f t="shared" si="196"/>
        <v>ORD26000328</v>
      </c>
      <c r="P4179" s="23" t="str">
        <f t="shared" si="197"/>
        <v>Sep</v>
      </c>
      <c r="Q4179" s="23" t="str">
        <f>IF(F4179="CAPTURE",IF(COUNTIF(orders!$A:$A,O4179)&gt;0,"Yes","NO ORDER"),"")</f>
        <v>Yes</v>
      </c>
    </row>
    <row r="4180" spans="1:17" ht="15" customHeight="1" x14ac:dyDescent="0.3">
      <c r="A4180" s="23" t="s">
        <v>17236</v>
      </c>
      <c r="B4180" s="23"/>
      <c r="C4180" s="23" t="s">
        <v>1090</v>
      </c>
      <c r="D4180" s="23" t="str">
        <f t="shared" si="195"/>
        <v>ORD26000356</v>
      </c>
      <c r="E4180" s="38">
        <v>46288</v>
      </c>
      <c r="F4180" s="23" t="s">
        <v>12410</v>
      </c>
      <c r="G4180" s="23" t="s">
        <v>75</v>
      </c>
      <c r="H4180" s="24">
        <v>1798</v>
      </c>
      <c r="I4180" s="24">
        <v>0</v>
      </c>
      <c r="J4180" s="24">
        <v>0</v>
      </c>
      <c r="K4180" s="24">
        <v>1798</v>
      </c>
      <c r="L4180" s="38">
        <v>46290</v>
      </c>
      <c r="M4180" s="23" t="s">
        <v>222</v>
      </c>
      <c r="N4180" s="23" t="str">
        <f>IF(COUNTIF($A$2:A4180,A4180)&gt;1,"DUP","OK")</f>
        <v>OK</v>
      </c>
      <c r="O4180" s="23" t="str">
        <f t="shared" si="196"/>
        <v>ORD26000356</v>
      </c>
      <c r="P4180" s="23" t="str">
        <f t="shared" si="197"/>
        <v>Sep</v>
      </c>
      <c r="Q4180" s="23" t="str">
        <f>IF(F4180="CAPTURE",IF(COUNTIF(orders!$A:$A,O4180)&gt;0,"Yes","NO ORDER"),"")</f>
        <v>Yes</v>
      </c>
    </row>
    <row r="4181" spans="1:17" ht="15" customHeight="1" x14ac:dyDescent="0.3">
      <c r="A4181" s="23" t="s">
        <v>17237</v>
      </c>
      <c r="B4181" s="23"/>
      <c r="C4181" s="23" t="s">
        <v>1106</v>
      </c>
      <c r="D4181" s="23" t="str">
        <f t="shared" si="195"/>
        <v>ORD26000363</v>
      </c>
      <c r="E4181" s="38">
        <v>46288</v>
      </c>
      <c r="F4181" s="23" t="s">
        <v>12410</v>
      </c>
      <c r="G4181" s="23" t="s">
        <v>75</v>
      </c>
      <c r="H4181" s="24">
        <v>4098</v>
      </c>
      <c r="I4181" s="24">
        <v>12.29</v>
      </c>
      <c r="J4181" s="24">
        <v>2.21</v>
      </c>
      <c r="K4181" s="24">
        <v>4083.5</v>
      </c>
      <c r="L4181" s="38">
        <v>46290</v>
      </c>
      <c r="M4181" s="23" t="s">
        <v>222</v>
      </c>
      <c r="N4181" s="23" t="str">
        <f>IF(COUNTIF($A$2:A4181,A4181)&gt;1,"DUP","OK")</f>
        <v>OK</v>
      </c>
      <c r="O4181" s="23" t="str">
        <f t="shared" si="196"/>
        <v>ORD26000363</v>
      </c>
      <c r="P4181" s="23" t="str">
        <f t="shared" si="197"/>
        <v>Sep</v>
      </c>
      <c r="Q4181" s="23" t="str">
        <f>IF(F4181="CAPTURE",IF(COUNTIF(orders!$A:$A,O4181)&gt;0,"Yes","NO ORDER"),"")</f>
        <v>Yes</v>
      </c>
    </row>
    <row r="4182" spans="1:17" ht="15" customHeight="1" x14ac:dyDescent="0.3">
      <c r="A4182" s="23" t="s">
        <v>17238</v>
      </c>
      <c r="B4182" s="23"/>
      <c r="C4182" s="23" t="s">
        <v>17239</v>
      </c>
      <c r="D4182" s="23" t="str">
        <f t="shared" si="195"/>
        <v>ORD26000389</v>
      </c>
      <c r="E4182" s="38">
        <v>46288</v>
      </c>
      <c r="F4182" s="23" t="s">
        <v>12410</v>
      </c>
      <c r="G4182" s="23" t="s">
        <v>79</v>
      </c>
      <c r="H4182" s="24">
        <v>4298</v>
      </c>
      <c r="I4182" s="24">
        <v>68.77</v>
      </c>
      <c r="J4182" s="24">
        <v>12.38</v>
      </c>
      <c r="K4182" s="24">
        <v>4216.8500000000004</v>
      </c>
      <c r="L4182" s="38">
        <v>46290</v>
      </c>
      <c r="M4182" s="23" t="s">
        <v>222</v>
      </c>
      <c r="N4182" s="23" t="str">
        <f>IF(COUNTIF($A$2:A4182,A4182)&gt;1,"DUP","OK")</f>
        <v>OK</v>
      </c>
      <c r="O4182" s="23" t="str">
        <f t="shared" si="196"/>
        <v>ORD26000389</v>
      </c>
      <c r="P4182" s="23" t="str">
        <f t="shared" si="197"/>
        <v>Sep</v>
      </c>
      <c r="Q4182" s="23" t="str">
        <f>IF(F4182="CAPTURE",IF(COUNTIF(orders!$A:$A,O4182)&gt;0,"Yes","NO ORDER"),"")</f>
        <v>Yes</v>
      </c>
    </row>
    <row r="4183" spans="1:17" ht="15" customHeight="1" x14ac:dyDescent="0.3">
      <c r="A4183" s="23" t="s">
        <v>17240</v>
      </c>
      <c r="B4183" s="23"/>
      <c r="C4183" s="23" t="s">
        <v>1209</v>
      </c>
      <c r="D4183" s="23" t="str">
        <f t="shared" si="195"/>
        <v>ORD26000411</v>
      </c>
      <c r="E4183" s="38">
        <v>46288</v>
      </c>
      <c r="F4183" s="23" t="s">
        <v>12410</v>
      </c>
      <c r="G4183" s="23" t="s">
        <v>75</v>
      </c>
      <c r="H4183" s="24">
        <v>2098</v>
      </c>
      <c r="I4183" s="24">
        <v>6.29</v>
      </c>
      <c r="J4183" s="24">
        <v>1.1299999999999999</v>
      </c>
      <c r="K4183" s="24">
        <v>2090.58</v>
      </c>
      <c r="L4183" s="38">
        <v>46290</v>
      </c>
      <c r="M4183" s="23" t="s">
        <v>222</v>
      </c>
      <c r="N4183" s="23" t="str">
        <f>IF(COUNTIF($A$2:A4183,A4183)&gt;1,"DUP","OK")</f>
        <v>OK</v>
      </c>
      <c r="O4183" s="23" t="str">
        <f t="shared" si="196"/>
        <v>ORD26000411</v>
      </c>
      <c r="P4183" s="23" t="str">
        <f t="shared" si="197"/>
        <v>Sep</v>
      </c>
      <c r="Q4183" s="23" t="str">
        <f>IF(F4183="CAPTURE",IF(COUNTIF(orders!$A:$A,O4183)&gt;0,"Yes","NO ORDER"),"")</f>
        <v>Yes</v>
      </c>
    </row>
    <row r="4184" spans="1:17" ht="15" customHeight="1" x14ac:dyDescent="0.3">
      <c r="A4184" s="23" t="s">
        <v>17241</v>
      </c>
      <c r="B4184" s="23"/>
      <c r="C4184" s="23" t="s">
        <v>1212</v>
      </c>
      <c r="D4184" s="23" t="str">
        <f t="shared" si="195"/>
        <v>ORD26000412</v>
      </c>
      <c r="E4184" s="38">
        <v>46288</v>
      </c>
      <c r="F4184" s="23" t="s">
        <v>12410</v>
      </c>
      <c r="G4184" s="23" t="s">
        <v>75</v>
      </c>
      <c r="H4184" s="24">
        <v>1498</v>
      </c>
      <c r="I4184" s="24">
        <v>0</v>
      </c>
      <c r="J4184" s="24">
        <v>0</v>
      </c>
      <c r="K4184" s="24">
        <v>1498</v>
      </c>
      <c r="L4184" s="38">
        <v>46290</v>
      </c>
      <c r="M4184" s="23" t="s">
        <v>222</v>
      </c>
      <c r="N4184" s="23" t="str">
        <f>IF(COUNTIF($A$2:A4184,A4184)&gt;1,"DUP","OK")</f>
        <v>OK</v>
      </c>
      <c r="O4184" s="23" t="str">
        <f t="shared" si="196"/>
        <v>ORD26000412</v>
      </c>
      <c r="P4184" s="23" t="str">
        <f t="shared" si="197"/>
        <v>Sep</v>
      </c>
      <c r="Q4184" s="23" t="str">
        <f>IF(F4184="CAPTURE",IF(COUNTIF(orders!$A:$A,O4184)&gt;0,"Yes","NO ORDER"),"")</f>
        <v>Yes</v>
      </c>
    </row>
    <row r="4185" spans="1:17" ht="15" customHeight="1" x14ac:dyDescent="0.3">
      <c r="A4185" s="23" t="s">
        <v>17242</v>
      </c>
      <c r="B4185" s="23"/>
      <c r="C4185" s="23" t="s">
        <v>1295</v>
      </c>
      <c r="D4185" s="23" t="str">
        <f t="shared" si="195"/>
        <v>ORD26000451</v>
      </c>
      <c r="E4185" s="38">
        <v>46288</v>
      </c>
      <c r="F4185" s="23" t="s">
        <v>12410</v>
      </c>
      <c r="G4185" s="23" t="s">
        <v>75</v>
      </c>
      <c r="H4185" s="24">
        <v>299</v>
      </c>
      <c r="I4185" s="24">
        <v>0</v>
      </c>
      <c r="J4185" s="24">
        <v>0</v>
      </c>
      <c r="K4185" s="24">
        <v>299</v>
      </c>
      <c r="L4185" s="38">
        <v>46290</v>
      </c>
      <c r="M4185" s="23" t="s">
        <v>222</v>
      </c>
      <c r="N4185" s="23" t="str">
        <f>IF(COUNTIF($A$2:A4185,A4185)&gt;1,"DUP","OK")</f>
        <v>OK</v>
      </c>
      <c r="O4185" s="23" t="str">
        <f t="shared" si="196"/>
        <v>ORD26000451</v>
      </c>
      <c r="P4185" s="23" t="str">
        <f t="shared" si="197"/>
        <v>Sep</v>
      </c>
      <c r="Q4185" s="23" t="str">
        <f>IF(F4185="CAPTURE",IF(COUNTIF(orders!$A:$A,O4185)&gt;0,"Yes","NO ORDER"),"")</f>
        <v>Yes</v>
      </c>
    </row>
    <row r="4186" spans="1:17" ht="15" customHeight="1" x14ac:dyDescent="0.3">
      <c r="A4186" s="23" t="s">
        <v>17243</v>
      </c>
      <c r="B4186" s="23"/>
      <c r="C4186" s="23" t="s">
        <v>1433</v>
      </c>
      <c r="D4186" s="23" t="str">
        <f t="shared" si="195"/>
        <v>ORD26000513</v>
      </c>
      <c r="E4186" s="38">
        <v>46288</v>
      </c>
      <c r="F4186" s="23" t="s">
        <v>12410</v>
      </c>
      <c r="G4186" s="23" t="s">
        <v>75</v>
      </c>
      <c r="H4186" s="24">
        <v>4999</v>
      </c>
      <c r="I4186" s="24">
        <v>15</v>
      </c>
      <c r="J4186" s="24">
        <v>2.7</v>
      </c>
      <c r="K4186" s="24">
        <v>4981.3</v>
      </c>
      <c r="L4186" s="38">
        <v>46290</v>
      </c>
      <c r="M4186" s="23" t="s">
        <v>222</v>
      </c>
      <c r="N4186" s="23" t="str">
        <f>IF(COUNTIF($A$2:A4186,A4186)&gt;1,"DUP","OK")</f>
        <v>OK</v>
      </c>
      <c r="O4186" s="23" t="str">
        <f t="shared" si="196"/>
        <v>ORD26000513</v>
      </c>
      <c r="P4186" s="23" t="str">
        <f t="shared" si="197"/>
        <v>Sep</v>
      </c>
      <c r="Q4186" s="23" t="str">
        <f>IF(F4186="CAPTURE",IF(COUNTIF(orders!$A:$A,O4186)&gt;0,"Yes","NO ORDER"),"")</f>
        <v>Yes</v>
      </c>
    </row>
    <row r="4187" spans="1:17" ht="15" customHeight="1" x14ac:dyDescent="0.3">
      <c r="A4187" s="23" t="s">
        <v>17244</v>
      </c>
      <c r="B4187" s="23"/>
      <c r="C4187" s="23" t="s">
        <v>1438</v>
      </c>
      <c r="D4187" s="23" t="str">
        <f t="shared" si="195"/>
        <v>ORD26000515</v>
      </c>
      <c r="E4187" s="38">
        <v>46288</v>
      </c>
      <c r="F4187" s="23" t="s">
        <v>12410</v>
      </c>
      <c r="G4187" s="23" t="s">
        <v>75</v>
      </c>
      <c r="H4187" s="24">
        <v>4147</v>
      </c>
      <c r="I4187" s="24">
        <v>12.44</v>
      </c>
      <c r="J4187" s="24">
        <v>2.2400000000000002</v>
      </c>
      <c r="K4187" s="24">
        <v>4132.32</v>
      </c>
      <c r="L4187" s="38">
        <v>46290</v>
      </c>
      <c r="M4187" s="23" t="s">
        <v>222</v>
      </c>
      <c r="N4187" s="23" t="str">
        <f>IF(COUNTIF($A$2:A4187,A4187)&gt;1,"DUP","OK")</f>
        <v>OK</v>
      </c>
      <c r="O4187" s="23" t="str">
        <f t="shared" si="196"/>
        <v>ORD26000515</v>
      </c>
      <c r="P4187" s="23" t="str">
        <f t="shared" si="197"/>
        <v>Sep</v>
      </c>
      <c r="Q4187" s="23" t="str">
        <f>IF(F4187="CAPTURE",IF(COUNTIF(orders!$A:$A,O4187)&gt;0,"Yes","NO ORDER"),"")</f>
        <v>Yes</v>
      </c>
    </row>
    <row r="4188" spans="1:17" ht="15" customHeight="1" x14ac:dyDescent="0.3">
      <c r="A4188" s="23" t="s">
        <v>17245</v>
      </c>
      <c r="B4188" s="23"/>
      <c r="C4188" s="23" t="s">
        <v>1565</v>
      </c>
      <c r="D4188" s="23" t="str">
        <f t="shared" si="195"/>
        <v>ORD26000573</v>
      </c>
      <c r="E4188" s="38">
        <v>46288</v>
      </c>
      <c r="F4188" s="23" t="s">
        <v>12410</v>
      </c>
      <c r="G4188" s="23" t="s">
        <v>75</v>
      </c>
      <c r="H4188" s="24">
        <v>2999</v>
      </c>
      <c r="I4188" s="24">
        <v>9</v>
      </c>
      <c r="J4188" s="24">
        <v>1.62</v>
      </c>
      <c r="K4188" s="24">
        <v>2988.38</v>
      </c>
      <c r="L4188" s="38">
        <v>46290</v>
      </c>
      <c r="M4188" s="23" t="s">
        <v>222</v>
      </c>
      <c r="N4188" s="23" t="str">
        <f>IF(COUNTIF($A$2:A4188,A4188)&gt;1,"DUP","OK")</f>
        <v>OK</v>
      </c>
      <c r="O4188" s="23" t="str">
        <f t="shared" si="196"/>
        <v>ORD26000573</v>
      </c>
      <c r="P4188" s="23" t="str">
        <f t="shared" si="197"/>
        <v>Sep</v>
      </c>
      <c r="Q4188" s="23" t="str">
        <f>IF(F4188="CAPTURE",IF(COUNTIF(orders!$A:$A,O4188)&gt;0,"Yes","NO ORDER"),"")</f>
        <v>Yes</v>
      </c>
    </row>
    <row r="4189" spans="1:17" ht="15" customHeight="1" x14ac:dyDescent="0.3">
      <c r="A4189" s="23" t="s">
        <v>17246</v>
      </c>
      <c r="B4189" s="23"/>
      <c r="C4189" s="23" t="s">
        <v>17247</v>
      </c>
      <c r="D4189" s="23" t="str">
        <f t="shared" si="195"/>
        <v>ORD26000597</v>
      </c>
      <c r="E4189" s="38">
        <v>46288</v>
      </c>
      <c r="F4189" s="23" t="s">
        <v>12410</v>
      </c>
      <c r="G4189" s="23" t="s">
        <v>75</v>
      </c>
      <c r="H4189" s="24">
        <v>848</v>
      </c>
      <c r="I4189" s="24">
        <v>0</v>
      </c>
      <c r="J4189" s="24">
        <v>0</v>
      </c>
      <c r="K4189" s="24">
        <v>848</v>
      </c>
      <c r="L4189" s="38">
        <v>46290</v>
      </c>
      <c r="M4189" s="23" t="s">
        <v>222</v>
      </c>
      <c r="N4189" s="23" t="str">
        <f>IF(COUNTIF($A$2:A4189,A4189)&gt;1,"DUP","OK")</f>
        <v>OK</v>
      </c>
      <c r="O4189" s="23" t="str">
        <f t="shared" si="196"/>
        <v>ORD26000597</v>
      </c>
      <c r="P4189" s="23" t="str">
        <f t="shared" si="197"/>
        <v>Sep</v>
      </c>
      <c r="Q4189" s="23" t="str">
        <f>IF(F4189="CAPTURE",IF(COUNTIF(orders!$A:$A,O4189)&gt;0,"Yes","NO ORDER"),"")</f>
        <v>Yes</v>
      </c>
    </row>
    <row r="4190" spans="1:17" ht="15" customHeight="1" x14ac:dyDescent="0.3">
      <c r="A4190" s="23" t="s">
        <v>17248</v>
      </c>
      <c r="B4190" s="23"/>
      <c r="C4190" s="23" t="s">
        <v>1691</v>
      </c>
      <c r="D4190" s="23" t="str">
        <f t="shared" si="195"/>
        <v>ORD26000631</v>
      </c>
      <c r="E4190" s="38">
        <v>46288</v>
      </c>
      <c r="F4190" s="23" t="s">
        <v>12410</v>
      </c>
      <c r="G4190" s="23" t="s">
        <v>75</v>
      </c>
      <c r="H4190" s="24">
        <v>4097</v>
      </c>
      <c r="I4190" s="24">
        <v>12.29</v>
      </c>
      <c r="J4190" s="24">
        <v>2.21</v>
      </c>
      <c r="K4190" s="24">
        <v>4082.5</v>
      </c>
      <c r="L4190" s="38">
        <v>46290</v>
      </c>
      <c r="M4190" s="23" t="s">
        <v>222</v>
      </c>
      <c r="N4190" s="23" t="str">
        <f>IF(COUNTIF($A$2:A4190,A4190)&gt;1,"DUP","OK")</f>
        <v>OK</v>
      </c>
      <c r="O4190" s="23" t="str">
        <f t="shared" si="196"/>
        <v>ORD26000631</v>
      </c>
      <c r="P4190" s="23" t="str">
        <f t="shared" si="197"/>
        <v>Sep</v>
      </c>
      <c r="Q4190" s="23" t="str">
        <f>IF(F4190="CAPTURE",IF(COUNTIF(orders!$A:$A,O4190)&gt;0,"Yes","NO ORDER"),"")</f>
        <v>Yes</v>
      </c>
    </row>
    <row r="4191" spans="1:17" ht="15" customHeight="1" x14ac:dyDescent="0.3">
      <c r="A4191" s="23" t="s">
        <v>17249</v>
      </c>
      <c r="B4191" s="23"/>
      <c r="C4191" s="23" t="s">
        <v>1698</v>
      </c>
      <c r="D4191" s="23" t="str">
        <f t="shared" si="195"/>
        <v>ORD26000634</v>
      </c>
      <c r="E4191" s="38">
        <v>46288</v>
      </c>
      <c r="F4191" s="23" t="s">
        <v>12410</v>
      </c>
      <c r="G4191" s="23" t="s">
        <v>79</v>
      </c>
      <c r="H4191" s="24">
        <v>599</v>
      </c>
      <c r="I4191" s="24">
        <v>10.78</v>
      </c>
      <c r="J4191" s="24">
        <v>1.94</v>
      </c>
      <c r="K4191" s="24">
        <v>586.28</v>
      </c>
      <c r="L4191" s="38">
        <v>46290</v>
      </c>
      <c r="M4191" s="23" t="s">
        <v>222</v>
      </c>
      <c r="N4191" s="23" t="str">
        <f>IF(COUNTIF($A$2:A4191,A4191)&gt;1,"DUP","OK")</f>
        <v>OK</v>
      </c>
      <c r="O4191" s="23" t="str">
        <f t="shared" si="196"/>
        <v>ORD26000634</v>
      </c>
      <c r="P4191" s="23" t="str">
        <f t="shared" si="197"/>
        <v>Sep</v>
      </c>
      <c r="Q4191" s="23" t="str">
        <f>IF(F4191="CAPTURE",IF(COUNTIF(orders!$A:$A,O4191)&gt;0,"Yes","NO ORDER"),"")</f>
        <v>Yes</v>
      </c>
    </row>
    <row r="4192" spans="1:17" ht="15" customHeight="1" x14ac:dyDescent="0.3">
      <c r="A4192" s="23" t="s">
        <v>17250</v>
      </c>
      <c r="B4192" s="23"/>
      <c r="C4192" s="23" t="s">
        <v>2052</v>
      </c>
      <c r="D4192" s="23" t="str">
        <f t="shared" si="195"/>
        <v>ORD26000802</v>
      </c>
      <c r="E4192" s="38">
        <v>46288</v>
      </c>
      <c r="F4192" s="23" t="s">
        <v>12410</v>
      </c>
      <c r="G4192" s="23" t="s">
        <v>75</v>
      </c>
      <c r="H4192" s="24">
        <v>1799</v>
      </c>
      <c r="I4192" s="24">
        <v>0</v>
      </c>
      <c r="J4192" s="24">
        <v>0</v>
      </c>
      <c r="K4192" s="24">
        <v>1799</v>
      </c>
      <c r="L4192" s="38">
        <v>46290</v>
      </c>
      <c r="M4192" s="23" t="s">
        <v>222</v>
      </c>
      <c r="N4192" s="23" t="str">
        <f>IF(COUNTIF($A$2:A4192,A4192)&gt;1,"DUP","OK")</f>
        <v>OK</v>
      </c>
      <c r="O4192" s="23" t="str">
        <f t="shared" si="196"/>
        <v>ORD26000802</v>
      </c>
      <c r="P4192" s="23" t="str">
        <f t="shared" si="197"/>
        <v>Sep</v>
      </c>
      <c r="Q4192" s="23" t="str">
        <f>IF(F4192="CAPTURE",IF(COUNTIF(orders!$A:$A,O4192)&gt;0,"Yes","NO ORDER"),"")</f>
        <v>Yes</v>
      </c>
    </row>
    <row r="4193" spans="1:17" ht="15" customHeight="1" x14ac:dyDescent="0.3">
      <c r="A4193" s="23" t="s">
        <v>17251</v>
      </c>
      <c r="B4193" s="23"/>
      <c r="C4193" s="23" t="s">
        <v>2233</v>
      </c>
      <c r="D4193" s="23" t="str">
        <f t="shared" si="195"/>
        <v>ORD26000889</v>
      </c>
      <c r="E4193" s="38">
        <v>46288</v>
      </c>
      <c r="F4193" s="23" t="s">
        <v>12410</v>
      </c>
      <c r="G4193" s="23" t="s">
        <v>75</v>
      </c>
      <c r="H4193" s="24">
        <v>799</v>
      </c>
      <c r="I4193" s="24">
        <v>0</v>
      </c>
      <c r="J4193" s="24">
        <v>0</v>
      </c>
      <c r="K4193" s="24">
        <v>799</v>
      </c>
      <c r="L4193" s="38">
        <v>46290</v>
      </c>
      <c r="M4193" s="23" t="s">
        <v>222</v>
      </c>
      <c r="N4193" s="23" t="str">
        <f>IF(COUNTIF($A$2:A4193,A4193)&gt;1,"DUP","OK")</f>
        <v>OK</v>
      </c>
      <c r="O4193" s="23" t="str">
        <f t="shared" si="196"/>
        <v>ORD26000889</v>
      </c>
      <c r="P4193" s="23" t="str">
        <f t="shared" si="197"/>
        <v>Sep</v>
      </c>
      <c r="Q4193" s="23" t="str">
        <f>IF(F4193="CAPTURE",IF(COUNTIF(orders!$A:$A,O4193)&gt;0,"Yes","NO ORDER"),"")</f>
        <v>Yes</v>
      </c>
    </row>
    <row r="4194" spans="1:17" ht="15" customHeight="1" x14ac:dyDescent="0.3">
      <c r="A4194" s="23" t="s">
        <v>17252</v>
      </c>
      <c r="B4194" s="23"/>
      <c r="C4194" s="23" t="s">
        <v>2284</v>
      </c>
      <c r="D4194" s="23" t="str">
        <f t="shared" si="195"/>
        <v>ORD26000914</v>
      </c>
      <c r="E4194" s="38">
        <v>46288</v>
      </c>
      <c r="F4194" s="23" t="s">
        <v>12410</v>
      </c>
      <c r="G4194" s="23" t="s">
        <v>75</v>
      </c>
      <c r="H4194" s="24">
        <v>499</v>
      </c>
      <c r="I4194" s="24">
        <v>0</v>
      </c>
      <c r="J4194" s="24">
        <v>0</v>
      </c>
      <c r="K4194" s="24">
        <v>499</v>
      </c>
      <c r="L4194" s="38">
        <v>46290</v>
      </c>
      <c r="M4194" s="23" t="s">
        <v>222</v>
      </c>
      <c r="N4194" s="23" t="str">
        <f>IF(COUNTIF($A$2:A4194,A4194)&gt;1,"DUP","OK")</f>
        <v>OK</v>
      </c>
      <c r="O4194" s="23" t="str">
        <f t="shared" si="196"/>
        <v>ORD26000914</v>
      </c>
      <c r="P4194" s="23" t="str">
        <f t="shared" si="197"/>
        <v>Sep</v>
      </c>
      <c r="Q4194" s="23" t="str">
        <f>IF(F4194="CAPTURE",IF(COUNTIF(orders!$A:$A,O4194)&gt;0,"Yes","NO ORDER"),"")</f>
        <v>Yes</v>
      </c>
    </row>
    <row r="4195" spans="1:17" ht="15" customHeight="1" x14ac:dyDescent="0.3">
      <c r="A4195" s="23" t="s">
        <v>17253</v>
      </c>
      <c r="B4195" s="23"/>
      <c r="C4195" s="23" t="s">
        <v>2325</v>
      </c>
      <c r="D4195" s="23" t="str">
        <f t="shared" si="195"/>
        <v>ORD26000934</v>
      </c>
      <c r="E4195" s="38">
        <v>46288</v>
      </c>
      <c r="F4195" s="23" t="s">
        <v>12410</v>
      </c>
      <c r="G4195" s="23" t="s">
        <v>75</v>
      </c>
      <c r="H4195" s="24">
        <v>9297</v>
      </c>
      <c r="I4195" s="24">
        <v>27.89</v>
      </c>
      <c r="J4195" s="24">
        <v>5.0199999999999996</v>
      </c>
      <c r="K4195" s="24">
        <v>9264.09</v>
      </c>
      <c r="L4195" s="38">
        <v>46290</v>
      </c>
      <c r="M4195" s="23" t="s">
        <v>222</v>
      </c>
      <c r="N4195" s="23" t="str">
        <f>IF(COUNTIF($A$2:A4195,A4195)&gt;1,"DUP","OK")</f>
        <v>OK</v>
      </c>
      <c r="O4195" s="23" t="str">
        <f t="shared" si="196"/>
        <v>ORD26000934</v>
      </c>
      <c r="P4195" s="23" t="str">
        <f t="shared" si="197"/>
        <v>Sep</v>
      </c>
      <c r="Q4195" s="23" t="str">
        <f>IF(F4195="CAPTURE",IF(COUNTIF(orders!$A:$A,O4195)&gt;0,"Yes","NO ORDER"),"")</f>
        <v>Yes</v>
      </c>
    </row>
    <row r="4196" spans="1:17" ht="15" customHeight="1" x14ac:dyDescent="0.3">
      <c r="A4196" s="23" t="s">
        <v>17254</v>
      </c>
      <c r="B4196" s="23"/>
      <c r="C4196" s="23" t="s">
        <v>2346</v>
      </c>
      <c r="D4196" s="23" t="str">
        <f t="shared" si="195"/>
        <v>ORD26000944</v>
      </c>
      <c r="E4196" s="38">
        <v>46288</v>
      </c>
      <c r="F4196" s="23" t="s">
        <v>12410</v>
      </c>
      <c r="G4196" s="23" t="s">
        <v>79</v>
      </c>
      <c r="H4196" s="24">
        <v>6498</v>
      </c>
      <c r="I4196" s="24">
        <v>103.97</v>
      </c>
      <c r="J4196" s="24">
        <v>18.71</v>
      </c>
      <c r="K4196" s="24">
        <v>6375.32</v>
      </c>
      <c r="L4196" s="38">
        <v>46290</v>
      </c>
      <c r="M4196" s="23" t="s">
        <v>222</v>
      </c>
      <c r="N4196" s="23" t="str">
        <f>IF(COUNTIF($A$2:A4196,A4196)&gt;1,"DUP","OK")</f>
        <v>OK</v>
      </c>
      <c r="O4196" s="23" t="str">
        <f t="shared" si="196"/>
        <v>ORD26000944</v>
      </c>
      <c r="P4196" s="23" t="str">
        <f t="shared" si="197"/>
        <v>Sep</v>
      </c>
      <c r="Q4196" s="23" t="str">
        <f>IF(F4196="CAPTURE",IF(COUNTIF(orders!$A:$A,O4196)&gt;0,"Yes","NO ORDER"),"")</f>
        <v>Yes</v>
      </c>
    </row>
    <row r="4197" spans="1:17" ht="15" customHeight="1" x14ac:dyDescent="0.3">
      <c r="A4197" s="23" t="s">
        <v>17255</v>
      </c>
      <c r="B4197" s="23"/>
      <c r="C4197" s="23" t="s">
        <v>2422</v>
      </c>
      <c r="D4197" s="23" t="str">
        <f t="shared" si="195"/>
        <v>ORD26000981</v>
      </c>
      <c r="E4197" s="38">
        <v>46288</v>
      </c>
      <c r="F4197" s="23" t="s">
        <v>12410</v>
      </c>
      <c r="G4197" s="23" t="s">
        <v>75</v>
      </c>
      <c r="H4197" s="24">
        <v>1799</v>
      </c>
      <c r="I4197" s="24">
        <v>0</v>
      </c>
      <c r="J4197" s="24">
        <v>0</v>
      </c>
      <c r="K4197" s="24">
        <v>1799</v>
      </c>
      <c r="L4197" s="38">
        <v>46290</v>
      </c>
      <c r="M4197" s="23" t="s">
        <v>222</v>
      </c>
      <c r="N4197" s="23" t="str">
        <f>IF(COUNTIF($A$2:A4197,A4197)&gt;1,"DUP","OK")</f>
        <v>OK</v>
      </c>
      <c r="O4197" s="23" t="str">
        <f t="shared" si="196"/>
        <v>ORD26000981</v>
      </c>
      <c r="P4197" s="23" t="str">
        <f t="shared" si="197"/>
        <v>Sep</v>
      </c>
      <c r="Q4197" s="23" t="str">
        <f>IF(F4197="CAPTURE",IF(COUNTIF(orders!$A:$A,O4197)&gt;0,"Yes","NO ORDER"),"")</f>
        <v>Yes</v>
      </c>
    </row>
    <row r="4198" spans="1:17" ht="15" customHeight="1" x14ac:dyDescent="0.3">
      <c r="A4198" s="23" t="s">
        <v>17256</v>
      </c>
      <c r="B4198" s="23"/>
      <c r="C4198" s="23" t="s">
        <v>2474</v>
      </c>
      <c r="D4198" s="23" t="str">
        <f t="shared" si="195"/>
        <v>ORD26001007</v>
      </c>
      <c r="E4198" s="38">
        <v>46288</v>
      </c>
      <c r="F4198" s="23" t="s">
        <v>12410</v>
      </c>
      <c r="G4198" s="23" t="s">
        <v>81</v>
      </c>
      <c r="H4198" s="24">
        <v>499</v>
      </c>
      <c r="I4198" s="24">
        <v>7.49</v>
      </c>
      <c r="J4198" s="24">
        <v>1.35</v>
      </c>
      <c r="K4198" s="24">
        <v>490.16</v>
      </c>
      <c r="L4198" s="38">
        <v>46290</v>
      </c>
      <c r="M4198" s="23" t="s">
        <v>222</v>
      </c>
      <c r="N4198" s="23" t="str">
        <f>IF(COUNTIF($A$2:A4198,A4198)&gt;1,"DUP","OK")</f>
        <v>OK</v>
      </c>
      <c r="O4198" s="23" t="str">
        <f t="shared" si="196"/>
        <v>ORD26001007</v>
      </c>
      <c r="P4198" s="23" t="str">
        <f t="shared" si="197"/>
        <v>Sep</v>
      </c>
      <c r="Q4198" s="23" t="str">
        <f>IF(F4198="CAPTURE",IF(COUNTIF(orders!$A:$A,O4198)&gt;0,"Yes","NO ORDER"),"")</f>
        <v>Yes</v>
      </c>
    </row>
    <row r="4199" spans="1:17" ht="15" customHeight="1" x14ac:dyDescent="0.3">
      <c r="A4199" s="23" t="s">
        <v>17257</v>
      </c>
      <c r="B4199" s="23"/>
      <c r="C4199" s="23" t="s">
        <v>2596</v>
      </c>
      <c r="D4199" s="23" t="str">
        <f t="shared" si="195"/>
        <v>ORD26001066</v>
      </c>
      <c r="E4199" s="38">
        <v>46288</v>
      </c>
      <c r="F4199" s="23" t="s">
        <v>12410</v>
      </c>
      <c r="G4199" s="23" t="s">
        <v>75</v>
      </c>
      <c r="H4199" s="24">
        <v>4999</v>
      </c>
      <c r="I4199" s="24">
        <v>15</v>
      </c>
      <c r="J4199" s="24">
        <v>2.7</v>
      </c>
      <c r="K4199" s="24">
        <v>4981.3</v>
      </c>
      <c r="L4199" s="38">
        <v>46290</v>
      </c>
      <c r="M4199" s="23" t="s">
        <v>222</v>
      </c>
      <c r="N4199" s="23" t="str">
        <f>IF(COUNTIF($A$2:A4199,A4199)&gt;1,"DUP","OK")</f>
        <v>OK</v>
      </c>
      <c r="O4199" s="23" t="str">
        <f t="shared" si="196"/>
        <v>ORD26001066</v>
      </c>
      <c r="P4199" s="23" t="str">
        <f t="shared" si="197"/>
        <v>Sep</v>
      </c>
      <c r="Q4199" s="23" t="str">
        <f>IF(F4199="CAPTURE",IF(COUNTIF(orders!$A:$A,O4199)&gt;0,"Yes","NO ORDER"),"")</f>
        <v>Yes</v>
      </c>
    </row>
    <row r="4200" spans="1:17" ht="15" customHeight="1" x14ac:dyDescent="0.3">
      <c r="A4200" s="23" t="s">
        <v>17258</v>
      </c>
      <c r="B4200" s="23"/>
      <c r="C4200" s="23" t="s">
        <v>2728</v>
      </c>
      <c r="D4200" s="23" t="str">
        <f t="shared" si="195"/>
        <v>ORD26001131</v>
      </c>
      <c r="E4200" s="38">
        <v>46288</v>
      </c>
      <c r="F4200" s="23" t="s">
        <v>12410</v>
      </c>
      <c r="G4200" s="23" t="s">
        <v>79</v>
      </c>
      <c r="H4200" s="24">
        <v>8248</v>
      </c>
      <c r="I4200" s="24">
        <v>131.97</v>
      </c>
      <c r="J4200" s="24">
        <v>23.75</v>
      </c>
      <c r="K4200" s="24">
        <v>8092.28</v>
      </c>
      <c r="L4200" s="38">
        <v>46290</v>
      </c>
      <c r="M4200" s="23" t="s">
        <v>222</v>
      </c>
      <c r="N4200" s="23" t="str">
        <f>IF(COUNTIF($A$2:A4200,A4200)&gt;1,"DUP","OK")</f>
        <v>OK</v>
      </c>
      <c r="O4200" s="23" t="str">
        <f t="shared" si="196"/>
        <v>ORD26001131</v>
      </c>
      <c r="P4200" s="23" t="str">
        <f t="shared" si="197"/>
        <v>Sep</v>
      </c>
      <c r="Q4200" s="23" t="str">
        <f>IF(F4200="CAPTURE",IF(COUNTIF(orders!$A:$A,O4200)&gt;0,"Yes","NO ORDER"),"")</f>
        <v>Yes</v>
      </c>
    </row>
    <row r="4201" spans="1:17" ht="15" customHeight="1" x14ac:dyDescent="0.3">
      <c r="A4201" s="23" t="s">
        <v>17259</v>
      </c>
      <c r="B4201" s="23"/>
      <c r="C4201" s="23" t="s">
        <v>2747</v>
      </c>
      <c r="D4201" s="23" t="str">
        <f t="shared" si="195"/>
        <v>ORD26001140</v>
      </c>
      <c r="E4201" s="38">
        <v>46288</v>
      </c>
      <c r="F4201" s="23" t="s">
        <v>12410</v>
      </c>
      <c r="G4201" s="23" t="s">
        <v>75</v>
      </c>
      <c r="H4201" s="24">
        <v>299</v>
      </c>
      <c r="I4201" s="24">
        <v>0</v>
      </c>
      <c r="J4201" s="24">
        <v>0</v>
      </c>
      <c r="K4201" s="24">
        <v>299</v>
      </c>
      <c r="L4201" s="38">
        <v>46290</v>
      </c>
      <c r="M4201" s="23" t="s">
        <v>222</v>
      </c>
      <c r="N4201" s="23" t="str">
        <f>IF(COUNTIF($A$2:A4201,A4201)&gt;1,"DUP","OK")</f>
        <v>OK</v>
      </c>
      <c r="O4201" s="23" t="str">
        <f t="shared" si="196"/>
        <v>ORD26001140</v>
      </c>
      <c r="P4201" s="23" t="str">
        <f t="shared" si="197"/>
        <v>Sep</v>
      </c>
      <c r="Q4201" s="23" t="str">
        <f>IF(F4201="CAPTURE",IF(COUNTIF(orders!$A:$A,O4201)&gt;0,"Yes","NO ORDER"),"")</f>
        <v>Yes</v>
      </c>
    </row>
    <row r="4202" spans="1:17" ht="15" customHeight="1" x14ac:dyDescent="0.3">
      <c r="A4202" s="23" t="s">
        <v>17260</v>
      </c>
      <c r="B4202" s="23"/>
      <c r="C4202" s="23" t="s">
        <v>2763</v>
      </c>
      <c r="D4202" s="23" t="str">
        <f t="shared" si="195"/>
        <v>ORD26001148</v>
      </c>
      <c r="E4202" s="38">
        <v>46288</v>
      </c>
      <c r="F4202" s="23" t="s">
        <v>12410</v>
      </c>
      <c r="G4202" s="23" t="s">
        <v>75</v>
      </c>
      <c r="H4202" s="24">
        <v>5998</v>
      </c>
      <c r="I4202" s="24">
        <v>17.989999999999998</v>
      </c>
      <c r="J4202" s="24">
        <v>3.24</v>
      </c>
      <c r="K4202" s="24">
        <v>5976.77</v>
      </c>
      <c r="L4202" s="38">
        <v>46290</v>
      </c>
      <c r="M4202" s="23" t="s">
        <v>222</v>
      </c>
      <c r="N4202" s="23" t="str">
        <f>IF(COUNTIF($A$2:A4202,A4202)&gt;1,"DUP","OK")</f>
        <v>OK</v>
      </c>
      <c r="O4202" s="23" t="str">
        <f t="shared" si="196"/>
        <v>ORD26001148</v>
      </c>
      <c r="P4202" s="23" t="str">
        <f t="shared" si="197"/>
        <v>Sep</v>
      </c>
      <c r="Q4202" s="23" t="str">
        <f>IF(F4202="CAPTURE",IF(COUNTIF(orders!$A:$A,O4202)&gt;0,"Yes","NO ORDER"),"")</f>
        <v>Yes</v>
      </c>
    </row>
    <row r="4203" spans="1:17" ht="15" customHeight="1" x14ac:dyDescent="0.3">
      <c r="A4203" s="23" t="s">
        <v>17261</v>
      </c>
      <c r="B4203" s="23"/>
      <c r="C4203" s="23" t="s">
        <v>2860</v>
      </c>
      <c r="D4203" s="23" t="str">
        <f t="shared" si="195"/>
        <v>ORD26001196</v>
      </c>
      <c r="E4203" s="38">
        <v>46288</v>
      </c>
      <c r="F4203" s="23" t="s">
        <v>12410</v>
      </c>
      <c r="G4203" s="23" t="s">
        <v>75</v>
      </c>
      <c r="H4203" s="24">
        <v>798</v>
      </c>
      <c r="I4203" s="24">
        <v>0</v>
      </c>
      <c r="J4203" s="24">
        <v>0</v>
      </c>
      <c r="K4203" s="24">
        <v>798</v>
      </c>
      <c r="L4203" s="38">
        <v>46290</v>
      </c>
      <c r="M4203" s="23" t="s">
        <v>222</v>
      </c>
      <c r="N4203" s="23" t="str">
        <f>IF(COUNTIF($A$2:A4203,A4203)&gt;1,"DUP","OK")</f>
        <v>OK</v>
      </c>
      <c r="O4203" s="23" t="str">
        <f t="shared" si="196"/>
        <v>ORD26001196</v>
      </c>
      <c r="P4203" s="23" t="str">
        <f t="shared" si="197"/>
        <v>Sep</v>
      </c>
      <c r="Q4203" s="23" t="str">
        <f>IF(F4203="CAPTURE",IF(COUNTIF(orders!$A:$A,O4203)&gt;0,"Yes","NO ORDER"),"")</f>
        <v>Yes</v>
      </c>
    </row>
    <row r="4204" spans="1:17" ht="15" customHeight="1" x14ac:dyDescent="0.3">
      <c r="A4204" s="23" t="s">
        <v>17262</v>
      </c>
      <c r="B4204" s="23"/>
      <c r="C4204" s="23" t="s">
        <v>2926</v>
      </c>
      <c r="D4204" s="23" t="str">
        <f t="shared" si="195"/>
        <v>ORD26001228</v>
      </c>
      <c r="E4204" s="38">
        <v>46288</v>
      </c>
      <c r="F4204" s="23" t="s">
        <v>12410</v>
      </c>
      <c r="G4204" s="23" t="s">
        <v>75</v>
      </c>
      <c r="H4204" s="24">
        <v>5298</v>
      </c>
      <c r="I4204" s="24">
        <v>15.89</v>
      </c>
      <c r="J4204" s="24">
        <v>2.86</v>
      </c>
      <c r="K4204" s="24">
        <v>5279.25</v>
      </c>
      <c r="L4204" s="38">
        <v>46290</v>
      </c>
      <c r="M4204" s="23" t="s">
        <v>222</v>
      </c>
      <c r="N4204" s="23" t="str">
        <f>IF(COUNTIF($A$2:A4204,A4204)&gt;1,"DUP","OK")</f>
        <v>OK</v>
      </c>
      <c r="O4204" s="23" t="str">
        <f t="shared" si="196"/>
        <v>ORD26001228</v>
      </c>
      <c r="P4204" s="23" t="str">
        <f t="shared" si="197"/>
        <v>Sep</v>
      </c>
      <c r="Q4204" s="23" t="str">
        <f>IF(F4204="CAPTURE",IF(COUNTIF(orders!$A:$A,O4204)&gt;0,"Yes","NO ORDER"),"")</f>
        <v>Yes</v>
      </c>
    </row>
    <row r="4205" spans="1:17" ht="15" customHeight="1" x14ac:dyDescent="0.3">
      <c r="A4205" s="23" t="s">
        <v>17263</v>
      </c>
      <c r="B4205" s="23"/>
      <c r="C4205" s="23" t="s">
        <v>3182</v>
      </c>
      <c r="D4205" s="23" t="str">
        <f t="shared" si="195"/>
        <v>ORD26001351</v>
      </c>
      <c r="E4205" s="38">
        <v>46288</v>
      </c>
      <c r="F4205" s="23" t="s">
        <v>12410</v>
      </c>
      <c r="G4205" s="23" t="s">
        <v>77</v>
      </c>
      <c r="H4205" s="24">
        <v>3499</v>
      </c>
      <c r="I4205" s="24">
        <v>59.48</v>
      </c>
      <c r="J4205" s="24">
        <v>10.71</v>
      </c>
      <c r="K4205" s="24">
        <v>3428.81</v>
      </c>
      <c r="L4205" s="38">
        <v>46290</v>
      </c>
      <c r="M4205" s="23" t="s">
        <v>222</v>
      </c>
      <c r="N4205" s="23" t="str">
        <f>IF(COUNTIF($A$2:A4205,A4205)&gt;1,"DUP","OK")</f>
        <v>OK</v>
      </c>
      <c r="O4205" s="23" t="str">
        <f t="shared" si="196"/>
        <v>ORD26001351</v>
      </c>
      <c r="P4205" s="23" t="str">
        <f t="shared" si="197"/>
        <v>Sep</v>
      </c>
      <c r="Q4205" s="23" t="str">
        <f>IF(F4205="CAPTURE",IF(COUNTIF(orders!$A:$A,O4205)&gt;0,"Yes","NO ORDER"),"")</f>
        <v>Yes</v>
      </c>
    </row>
    <row r="4206" spans="1:17" ht="15" customHeight="1" x14ac:dyDescent="0.3">
      <c r="A4206" s="23" t="s">
        <v>17264</v>
      </c>
      <c r="B4206" s="23"/>
      <c r="C4206" s="23" t="s">
        <v>3273</v>
      </c>
      <c r="D4206" s="23" t="str">
        <f t="shared" si="195"/>
        <v>ORD26001396</v>
      </c>
      <c r="E4206" s="38">
        <v>46288</v>
      </c>
      <c r="F4206" s="23" t="s">
        <v>12410</v>
      </c>
      <c r="G4206" s="23" t="s">
        <v>77</v>
      </c>
      <c r="H4206" s="24">
        <v>4297</v>
      </c>
      <c r="I4206" s="24">
        <v>73.05</v>
      </c>
      <c r="J4206" s="24">
        <v>13.15</v>
      </c>
      <c r="K4206" s="24">
        <v>4210.8</v>
      </c>
      <c r="L4206" s="38">
        <v>46290</v>
      </c>
      <c r="M4206" s="23" t="s">
        <v>222</v>
      </c>
      <c r="N4206" s="23" t="str">
        <f>IF(COUNTIF($A$2:A4206,A4206)&gt;1,"DUP","OK")</f>
        <v>OK</v>
      </c>
      <c r="O4206" s="23" t="str">
        <f t="shared" si="196"/>
        <v>ORD26001396</v>
      </c>
      <c r="P4206" s="23" t="str">
        <f t="shared" si="197"/>
        <v>Sep</v>
      </c>
      <c r="Q4206" s="23" t="str">
        <f>IF(F4206="CAPTURE",IF(COUNTIF(orders!$A:$A,O4206)&gt;0,"Yes","NO ORDER"),"")</f>
        <v>Yes</v>
      </c>
    </row>
    <row r="4207" spans="1:17" ht="15" customHeight="1" x14ac:dyDescent="0.3">
      <c r="A4207" s="23" t="s">
        <v>17265</v>
      </c>
      <c r="B4207" s="23"/>
      <c r="C4207" s="23" t="s">
        <v>3298</v>
      </c>
      <c r="D4207" s="23" t="str">
        <f t="shared" si="195"/>
        <v>ORD26001408</v>
      </c>
      <c r="E4207" s="38">
        <v>46288</v>
      </c>
      <c r="F4207" s="23" t="s">
        <v>12410</v>
      </c>
      <c r="G4207" s="23" t="s">
        <v>79</v>
      </c>
      <c r="H4207" s="24">
        <v>299</v>
      </c>
      <c r="I4207" s="24">
        <v>5.38</v>
      </c>
      <c r="J4207" s="24">
        <v>0.97</v>
      </c>
      <c r="K4207" s="24">
        <v>292.64999999999998</v>
      </c>
      <c r="L4207" s="38">
        <v>46290</v>
      </c>
      <c r="M4207" s="23" t="s">
        <v>222</v>
      </c>
      <c r="N4207" s="23" t="str">
        <f>IF(COUNTIF($A$2:A4207,A4207)&gt;1,"DUP","OK")</f>
        <v>OK</v>
      </c>
      <c r="O4207" s="23" t="str">
        <f t="shared" si="196"/>
        <v>ORD26001408</v>
      </c>
      <c r="P4207" s="23" t="str">
        <f t="shared" si="197"/>
        <v>Sep</v>
      </c>
      <c r="Q4207" s="23" t="str">
        <f>IF(F4207="CAPTURE",IF(COUNTIF(orders!$A:$A,O4207)&gt;0,"Yes","NO ORDER"),"")</f>
        <v>Yes</v>
      </c>
    </row>
    <row r="4208" spans="1:17" ht="15" customHeight="1" x14ac:dyDescent="0.3">
      <c r="A4208" s="23" t="s">
        <v>17266</v>
      </c>
      <c r="B4208" s="23"/>
      <c r="C4208" s="23" t="s">
        <v>17267</v>
      </c>
      <c r="D4208" s="23" t="str">
        <f t="shared" si="195"/>
        <v>ORD26001466</v>
      </c>
      <c r="E4208" s="38">
        <v>46288</v>
      </c>
      <c r="F4208" s="23" t="s">
        <v>12410</v>
      </c>
      <c r="G4208" s="23" t="s">
        <v>81</v>
      </c>
      <c r="H4208" s="24">
        <v>12297</v>
      </c>
      <c r="I4208" s="24">
        <v>110.67</v>
      </c>
      <c r="J4208" s="24">
        <v>19.920000000000002</v>
      </c>
      <c r="K4208" s="24">
        <v>12166.41</v>
      </c>
      <c r="L4208" s="38">
        <v>46290</v>
      </c>
      <c r="M4208" s="23" t="s">
        <v>222</v>
      </c>
      <c r="N4208" s="23" t="str">
        <f>IF(COUNTIF($A$2:A4208,A4208)&gt;1,"DUP","OK")</f>
        <v>OK</v>
      </c>
      <c r="O4208" s="23" t="str">
        <f t="shared" si="196"/>
        <v>ORD26001466</v>
      </c>
      <c r="P4208" s="23" t="str">
        <f t="shared" si="197"/>
        <v>Sep</v>
      </c>
      <c r="Q4208" s="23" t="str">
        <f>IF(F4208="CAPTURE",IF(COUNTIF(orders!$A:$A,O4208)&gt;0,"Yes","NO ORDER"),"")</f>
        <v>Yes</v>
      </c>
    </row>
    <row r="4209" spans="1:17" ht="15" customHeight="1" x14ac:dyDescent="0.3">
      <c r="A4209" s="23" t="s">
        <v>17268</v>
      </c>
      <c r="B4209" s="23"/>
      <c r="C4209" s="23" t="s">
        <v>17269</v>
      </c>
      <c r="D4209" s="23" t="str">
        <f t="shared" si="195"/>
        <v>ORD26001483</v>
      </c>
      <c r="E4209" s="38">
        <v>46288</v>
      </c>
      <c r="F4209" s="23" t="s">
        <v>12410</v>
      </c>
      <c r="G4209" s="23" t="s">
        <v>79</v>
      </c>
      <c r="H4209" s="24">
        <v>4498</v>
      </c>
      <c r="I4209" s="24">
        <v>71.97</v>
      </c>
      <c r="J4209" s="24">
        <v>12.95</v>
      </c>
      <c r="K4209" s="24">
        <v>4413.08</v>
      </c>
      <c r="L4209" s="38">
        <v>46290</v>
      </c>
      <c r="M4209" s="23" t="s">
        <v>222</v>
      </c>
      <c r="N4209" s="23" t="str">
        <f>IF(COUNTIF($A$2:A4209,A4209)&gt;1,"DUP","OK")</f>
        <v>OK</v>
      </c>
      <c r="O4209" s="23" t="str">
        <f t="shared" si="196"/>
        <v>ORD26001483</v>
      </c>
      <c r="P4209" s="23" t="str">
        <f t="shared" si="197"/>
        <v>Sep</v>
      </c>
      <c r="Q4209" s="23" t="str">
        <f>IF(F4209="CAPTURE",IF(COUNTIF(orders!$A:$A,O4209)&gt;0,"Yes","NO ORDER"),"")</f>
        <v>Yes</v>
      </c>
    </row>
    <row r="4210" spans="1:17" ht="15" customHeight="1" x14ac:dyDescent="0.3">
      <c r="A4210" s="23" t="s">
        <v>17270</v>
      </c>
      <c r="B4210" s="23"/>
      <c r="C4210" s="23" t="s">
        <v>17271</v>
      </c>
      <c r="D4210" s="23" t="str">
        <f t="shared" si="195"/>
        <v>ORD26001525</v>
      </c>
      <c r="E4210" s="38">
        <v>46288</v>
      </c>
      <c r="F4210" s="23" t="s">
        <v>12410</v>
      </c>
      <c r="G4210" s="23" t="s">
        <v>75</v>
      </c>
      <c r="H4210" s="24">
        <v>3397</v>
      </c>
      <c r="I4210" s="24">
        <v>10.19</v>
      </c>
      <c r="J4210" s="24">
        <v>1.83</v>
      </c>
      <c r="K4210" s="24">
        <v>3384.98</v>
      </c>
      <c r="L4210" s="38">
        <v>46290</v>
      </c>
      <c r="M4210" s="23" t="s">
        <v>222</v>
      </c>
      <c r="N4210" s="23" t="str">
        <f>IF(COUNTIF($A$2:A4210,A4210)&gt;1,"DUP","OK")</f>
        <v>OK</v>
      </c>
      <c r="O4210" s="23" t="str">
        <f t="shared" si="196"/>
        <v>ORD26001525</v>
      </c>
      <c r="P4210" s="23" t="str">
        <f t="shared" si="197"/>
        <v>Sep</v>
      </c>
      <c r="Q4210" s="23" t="str">
        <f>IF(F4210="CAPTURE",IF(COUNTIF(orders!$A:$A,O4210)&gt;0,"Yes","NO ORDER"),"")</f>
        <v>Yes</v>
      </c>
    </row>
    <row r="4211" spans="1:17" ht="15" customHeight="1" x14ac:dyDescent="0.3">
      <c r="A4211" s="23" t="s">
        <v>17272</v>
      </c>
      <c r="B4211" s="23"/>
      <c r="C4211" s="23" t="s">
        <v>17273</v>
      </c>
      <c r="D4211" s="23" t="str">
        <f t="shared" si="195"/>
        <v>ORD26001568</v>
      </c>
      <c r="E4211" s="38">
        <v>46288</v>
      </c>
      <c r="F4211" s="23" t="s">
        <v>12410</v>
      </c>
      <c r="G4211" s="23" t="s">
        <v>77</v>
      </c>
      <c r="H4211" s="24">
        <v>5298</v>
      </c>
      <c r="I4211" s="24">
        <v>90.07</v>
      </c>
      <c r="J4211" s="24">
        <v>16.21</v>
      </c>
      <c r="K4211" s="24">
        <v>5191.72</v>
      </c>
      <c r="L4211" s="38">
        <v>46290</v>
      </c>
      <c r="M4211" s="23" t="s">
        <v>222</v>
      </c>
      <c r="N4211" s="23" t="str">
        <f>IF(COUNTIF($A$2:A4211,A4211)&gt;1,"DUP","OK")</f>
        <v>OK</v>
      </c>
      <c r="O4211" s="23" t="str">
        <f t="shared" si="196"/>
        <v>ORD26001568</v>
      </c>
      <c r="P4211" s="23" t="str">
        <f t="shared" si="197"/>
        <v>Sep</v>
      </c>
      <c r="Q4211" s="23" t="str">
        <f>IF(F4211="CAPTURE",IF(COUNTIF(orders!$A:$A,O4211)&gt;0,"Yes","NO ORDER"),"")</f>
        <v>Yes</v>
      </c>
    </row>
    <row r="4212" spans="1:17" ht="15" customHeight="1" x14ac:dyDescent="0.3">
      <c r="A4212" s="23" t="s">
        <v>17274</v>
      </c>
      <c r="B4212" s="23"/>
      <c r="C4212" s="23" t="s">
        <v>3669</v>
      </c>
      <c r="D4212" s="23" t="str">
        <f t="shared" si="195"/>
        <v>ORD26001591</v>
      </c>
      <c r="E4212" s="38">
        <v>46288</v>
      </c>
      <c r="F4212" s="23" t="s">
        <v>12410</v>
      </c>
      <c r="G4212" s="23" t="s">
        <v>81</v>
      </c>
      <c r="H4212" s="24">
        <v>3298</v>
      </c>
      <c r="I4212" s="24">
        <v>39.58</v>
      </c>
      <c r="J4212" s="24">
        <v>7.12</v>
      </c>
      <c r="K4212" s="24">
        <v>3251.3</v>
      </c>
      <c r="L4212" s="38">
        <v>46290</v>
      </c>
      <c r="M4212" s="23" t="s">
        <v>222</v>
      </c>
      <c r="N4212" s="23" t="str">
        <f>IF(COUNTIF($A$2:A4212,A4212)&gt;1,"DUP","OK")</f>
        <v>OK</v>
      </c>
      <c r="O4212" s="23" t="str">
        <f t="shared" si="196"/>
        <v>ORD26001591</v>
      </c>
      <c r="P4212" s="23" t="str">
        <f t="shared" si="197"/>
        <v>Sep</v>
      </c>
      <c r="Q4212" s="23" t="str">
        <f>IF(F4212="CAPTURE",IF(COUNTIF(orders!$A:$A,O4212)&gt;0,"Yes","NO ORDER"),"")</f>
        <v>Yes</v>
      </c>
    </row>
    <row r="4213" spans="1:17" ht="15" customHeight="1" x14ac:dyDescent="0.3">
      <c r="A4213" s="23" t="s">
        <v>17275</v>
      </c>
      <c r="B4213" s="23"/>
      <c r="C4213" s="23" t="s">
        <v>3681</v>
      </c>
      <c r="D4213" s="23" t="str">
        <f t="shared" si="195"/>
        <v>ORD26001597</v>
      </c>
      <c r="E4213" s="38">
        <v>46288</v>
      </c>
      <c r="F4213" s="23" t="s">
        <v>12410</v>
      </c>
      <c r="G4213" s="23" t="s">
        <v>75</v>
      </c>
      <c r="H4213" s="24">
        <v>2647</v>
      </c>
      <c r="I4213" s="24">
        <v>7.94</v>
      </c>
      <c r="J4213" s="24">
        <v>1.43</v>
      </c>
      <c r="K4213" s="24">
        <v>2637.63</v>
      </c>
      <c r="L4213" s="38">
        <v>46290</v>
      </c>
      <c r="M4213" s="23" t="s">
        <v>222</v>
      </c>
      <c r="N4213" s="23" t="str">
        <f>IF(COUNTIF($A$2:A4213,A4213)&gt;1,"DUP","OK")</f>
        <v>OK</v>
      </c>
      <c r="O4213" s="23" t="str">
        <f t="shared" si="196"/>
        <v>ORD26001597</v>
      </c>
      <c r="P4213" s="23" t="str">
        <f t="shared" si="197"/>
        <v>Sep</v>
      </c>
      <c r="Q4213" s="23" t="str">
        <f>IF(F4213="CAPTURE",IF(COUNTIF(orders!$A:$A,O4213)&gt;0,"Yes","NO ORDER"),"")</f>
        <v>Yes</v>
      </c>
    </row>
    <row r="4214" spans="1:17" ht="15" customHeight="1" x14ac:dyDescent="0.3">
      <c r="A4214" s="23" t="s">
        <v>17276</v>
      </c>
      <c r="B4214" s="23"/>
      <c r="C4214" s="23" t="s">
        <v>3817</v>
      </c>
      <c r="D4214" s="23" t="str">
        <f t="shared" si="195"/>
        <v>ORD26001666</v>
      </c>
      <c r="E4214" s="38">
        <v>46288</v>
      </c>
      <c r="F4214" s="23" t="s">
        <v>12410</v>
      </c>
      <c r="G4214" s="23" t="s">
        <v>75</v>
      </c>
      <c r="H4214" s="24">
        <v>499</v>
      </c>
      <c r="I4214" s="24">
        <v>0</v>
      </c>
      <c r="J4214" s="24">
        <v>0</v>
      </c>
      <c r="K4214" s="24">
        <v>499</v>
      </c>
      <c r="L4214" s="38">
        <v>46290</v>
      </c>
      <c r="M4214" s="23" t="s">
        <v>222</v>
      </c>
      <c r="N4214" s="23" t="str">
        <f>IF(COUNTIF($A$2:A4214,A4214)&gt;1,"DUP","OK")</f>
        <v>OK</v>
      </c>
      <c r="O4214" s="23" t="str">
        <f t="shared" si="196"/>
        <v>ORD26001666</v>
      </c>
      <c r="P4214" s="23" t="str">
        <f t="shared" si="197"/>
        <v>Sep</v>
      </c>
      <c r="Q4214" s="23" t="str">
        <f>IF(F4214="CAPTURE",IF(COUNTIF(orders!$A:$A,O4214)&gt;0,"Yes","NO ORDER"),"")</f>
        <v>Yes</v>
      </c>
    </row>
    <row r="4215" spans="1:17" ht="15" customHeight="1" x14ac:dyDescent="0.3">
      <c r="A4215" s="23" t="s">
        <v>17277</v>
      </c>
      <c r="B4215" s="23"/>
      <c r="C4215" s="23" t="s">
        <v>3825</v>
      </c>
      <c r="D4215" s="23" t="str">
        <f t="shared" si="195"/>
        <v>ORD26001670</v>
      </c>
      <c r="E4215" s="38">
        <v>46288</v>
      </c>
      <c r="F4215" s="23" t="s">
        <v>12410</v>
      </c>
      <c r="G4215" s="23" t="s">
        <v>75</v>
      </c>
      <c r="H4215" s="24">
        <v>12097</v>
      </c>
      <c r="I4215" s="24">
        <v>36.29</v>
      </c>
      <c r="J4215" s="24">
        <v>6.53</v>
      </c>
      <c r="K4215" s="24">
        <v>12054.18</v>
      </c>
      <c r="L4215" s="38">
        <v>46290</v>
      </c>
      <c r="M4215" s="23" t="s">
        <v>222</v>
      </c>
      <c r="N4215" s="23" t="str">
        <f>IF(COUNTIF($A$2:A4215,A4215)&gt;1,"DUP","OK")</f>
        <v>OK</v>
      </c>
      <c r="O4215" s="23" t="str">
        <f t="shared" si="196"/>
        <v>ORD26001670</v>
      </c>
      <c r="P4215" s="23" t="str">
        <f t="shared" si="197"/>
        <v>Sep</v>
      </c>
      <c r="Q4215" s="23" t="str">
        <f>IF(F4215="CAPTURE",IF(COUNTIF(orders!$A:$A,O4215)&gt;0,"Yes","NO ORDER"),"")</f>
        <v>Yes</v>
      </c>
    </row>
    <row r="4216" spans="1:17" ht="15" customHeight="1" x14ac:dyDescent="0.3">
      <c r="A4216" s="23" t="s">
        <v>17278</v>
      </c>
      <c r="B4216" s="23"/>
      <c r="C4216" s="23" t="s">
        <v>3866</v>
      </c>
      <c r="D4216" s="23" t="str">
        <f t="shared" si="195"/>
        <v>ORD26001690</v>
      </c>
      <c r="E4216" s="38">
        <v>46288</v>
      </c>
      <c r="F4216" s="23" t="s">
        <v>12410</v>
      </c>
      <c r="G4216" s="23" t="s">
        <v>75</v>
      </c>
      <c r="H4216" s="24">
        <v>2499</v>
      </c>
      <c r="I4216" s="24">
        <v>7.5</v>
      </c>
      <c r="J4216" s="24">
        <v>1.35</v>
      </c>
      <c r="K4216" s="24">
        <v>2490.15</v>
      </c>
      <c r="L4216" s="38">
        <v>46290</v>
      </c>
      <c r="M4216" s="23" t="s">
        <v>222</v>
      </c>
      <c r="N4216" s="23" t="str">
        <f>IF(COUNTIF($A$2:A4216,A4216)&gt;1,"DUP","OK")</f>
        <v>OK</v>
      </c>
      <c r="O4216" s="23" t="str">
        <f t="shared" si="196"/>
        <v>ORD26001690</v>
      </c>
      <c r="P4216" s="23" t="str">
        <f t="shared" si="197"/>
        <v>Sep</v>
      </c>
      <c r="Q4216" s="23" t="str">
        <f>IF(F4216="CAPTURE",IF(COUNTIF(orders!$A:$A,O4216)&gt;0,"Yes","NO ORDER"),"")</f>
        <v>Yes</v>
      </c>
    </row>
    <row r="4217" spans="1:17" ht="15" customHeight="1" x14ac:dyDescent="0.3">
      <c r="A4217" s="23" t="s">
        <v>17279</v>
      </c>
      <c r="B4217" s="23"/>
      <c r="C4217" s="23" t="s">
        <v>4071</v>
      </c>
      <c r="D4217" s="23" t="str">
        <f t="shared" si="195"/>
        <v>ORD26001792</v>
      </c>
      <c r="E4217" s="38">
        <v>46288</v>
      </c>
      <c r="F4217" s="23" t="s">
        <v>12410</v>
      </c>
      <c r="G4217" s="23" t="s">
        <v>81</v>
      </c>
      <c r="H4217" s="24">
        <v>799</v>
      </c>
      <c r="I4217" s="24">
        <v>11.99</v>
      </c>
      <c r="J4217" s="24">
        <v>2.16</v>
      </c>
      <c r="K4217" s="24">
        <v>784.85</v>
      </c>
      <c r="L4217" s="38">
        <v>46290</v>
      </c>
      <c r="M4217" s="23" t="s">
        <v>222</v>
      </c>
      <c r="N4217" s="23" t="str">
        <f>IF(COUNTIF($A$2:A4217,A4217)&gt;1,"DUP","OK")</f>
        <v>OK</v>
      </c>
      <c r="O4217" s="23" t="str">
        <f t="shared" si="196"/>
        <v>ORD26001792</v>
      </c>
      <c r="P4217" s="23" t="str">
        <f t="shared" si="197"/>
        <v>Sep</v>
      </c>
      <c r="Q4217" s="23" t="str">
        <f>IF(F4217="CAPTURE",IF(COUNTIF(orders!$A:$A,O4217)&gt;0,"Yes","NO ORDER"),"")</f>
        <v>Yes</v>
      </c>
    </row>
    <row r="4218" spans="1:17" ht="15" customHeight="1" x14ac:dyDescent="0.3">
      <c r="A4218" s="23" t="s">
        <v>17280</v>
      </c>
      <c r="B4218" s="23"/>
      <c r="C4218" s="23" t="s">
        <v>4083</v>
      </c>
      <c r="D4218" s="23" t="str">
        <f t="shared" si="195"/>
        <v>ORD26001798</v>
      </c>
      <c r="E4218" s="38">
        <v>46288</v>
      </c>
      <c r="F4218" s="23" t="s">
        <v>12410</v>
      </c>
      <c r="G4218" s="23" t="s">
        <v>77</v>
      </c>
      <c r="H4218" s="24">
        <v>9297</v>
      </c>
      <c r="I4218" s="24">
        <v>158.05000000000001</v>
      </c>
      <c r="J4218" s="24">
        <v>28.45</v>
      </c>
      <c r="K4218" s="24">
        <v>9110.5</v>
      </c>
      <c r="L4218" s="38">
        <v>46290</v>
      </c>
      <c r="M4218" s="23" t="s">
        <v>222</v>
      </c>
      <c r="N4218" s="23" t="str">
        <f>IF(COUNTIF($A$2:A4218,A4218)&gt;1,"DUP","OK")</f>
        <v>OK</v>
      </c>
      <c r="O4218" s="23" t="str">
        <f t="shared" si="196"/>
        <v>ORD26001798</v>
      </c>
      <c r="P4218" s="23" t="str">
        <f t="shared" si="197"/>
        <v>Sep</v>
      </c>
      <c r="Q4218" s="23" t="str">
        <f>IF(F4218="CAPTURE",IF(COUNTIF(orders!$A:$A,O4218)&gt;0,"Yes","NO ORDER"),"")</f>
        <v>Yes</v>
      </c>
    </row>
    <row r="4219" spans="1:17" ht="15" customHeight="1" x14ac:dyDescent="0.3">
      <c r="A4219" s="23" t="s">
        <v>17281</v>
      </c>
      <c r="B4219" s="23"/>
      <c r="C4219" s="23" t="s">
        <v>4146</v>
      </c>
      <c r="D4219" s="23" t="str">
        <f t="shared" si="195"/>
        <v>ORD26001830</v>
      </c>
      <c r="E4219" s="38">
        <v>46288</v>
      </c>
      <c r="F4219" s="23" t="s">
        <v>12410</v>
      </c>
      <c r="G4219" s="23" t="s">
        <v>79</v>
      </c>
      <c r="H4219" s="24">
        <v>2597</v>
      </c>
      <c r="I4219" s="24">
        <v>41.55</v>
      </c>
      <c r="J4219" s="24">
        <v>7.48</v>
      </c>
      <c r="K4219" s="24">
        <v>2547.9699999999998</v>
      </c>
      <c r="L4219" s="38">
        <v>46290</v>
      </c>
      <c r="M4219" s="23" t="s">
        <v>222</v>
      </c>
      <c r="N4219" s="23" t="str">
        <f>IF(COUNTIF($A$2:A4219,A4219)&gt;1,"DUP","OK")</f>
        <v>OK</v>
      </c>
      <c r="O4219" s="23" t="str">
        <f t="shared" si="196"/>
        <v>ORD26001830</v>
      </c>
      <c r="P4219" s="23" t="str">
        <f t="shared" si="197"/>
        <v>Sep</v>
      </c>
      <c r="Q4219" s="23" t="str">
        <f>IF(F4219="CAPTURE",IF(COUNTIF(orders!$A:$A,O4219)&gt;0,"Yes","NO ORDER"),"")</f>
        <v>Yes</v>
      </c>
    </row>
    <row r="4220" spans="1:17" ht="15" customHeight="1" x14ac:dyDescent="0.3">
      <c r="A4220" s="23" t="s">
        <v>17282</v>
      </c>
      <c r="B4220" s="23"/>
      <c r="C4220" s="23" t="s">
        <v>4454</v>
      </c>
      <c r="D4220" s="23" t="str">
        <f t="shared" si="195"/>
        <v>ORD26001983</v>
      </c>
      <c r="E4220" s="38">
        <v>46288</v>
      </c>
      <c r="F4220" s="23" t="s">
        <v>12410</v>
      </c>
      <c r="G4220" s="23" t="s">
        <v>75</v>
      </c>
      <c r="H4220" s="24">
        <v>4798</v>
      </c>
      <c r="I4220" s="24">
        <v>14.39</v>
      </c>
      <c r="J4220" s="24">
        <v>2.59</v>
      </c>
      <c r="K4220" s="24">
        <v>4781.0200000000004</v>
      </c>
      <c r="L4220" s="38">
        <v>46290</v>
      </c>
      <c r="M4220" s="23" t="s">
        <v>222</v>
      </c>
      <c r="N4220" s="23" t="str">
        <f>IF(COUNTIF($A$2:A4220,A4220)&gt;1,"DUP","OK")</f>
        <v>OK</v>
      </c>
      <c r="O4220" s="23" t="str">
        <f t="shared" si="196"/>
        <v>ORD26001983</v>
      </c>
      <c r="P4220" s="23" t="str">
        <f t="shared" si="197"/>
        <v>Sep</v>
      </c>
      <c r="Q4220" s="23" t="str">
        <f>IF(F4220="CAPTURE",IF(COUNTIF(orders!$A:$A,O4220)&gt;0,"Yes","NO ORDER"),"")</f>
        <v>Yes</v>
      </c>
    </row>
    <row r="4221" spans="1:17" ht="15" customHeight="1" x14ac:dyDescent="0.3">
      <c r="A4221" s="23" t="s">
        <v>17283</v>
      </c>
      <c r="B4221" s="23"/>
      <c r="C4221" s="23" t="s">
        <v>4493</v>
      </c>
      <c r="D4221" s="23" t="str">
        <f t="shared" si="195"/>
        <v>ORD26002003</v>
      </c>
      <c r="E4221" s="38">
        <v>46288</v>
      </c>
      <c r="F4221" s="23" t="s">
        <v>12410</v>
      </c>
      <c r="G4221" s="23" t="s">
        <v>75</v>
      </c>
      <c r="H4221" s="24">
        <v>9197</v>
      </c>
      <c r="I4221" s="24">
        <v>27.59</v>
      </c>
      <c r="J4221" s="24">
        <v>4.97</v>
      </c>
      <c r="K4221" s="24">
        <v>9164.44</v>
      </c>
      <c r="L4221" s="38">
        <v>46290</v>
      </c>
      <c r="M4221" s="23" t="s">
        <v>222</v>
      </c>
      <c r="N4221" s="23" t="str">
        <f>IF(COUNTIF($A$2:A4221,A4221)&gt;1,"DUP","OK")</f>
        <v>OK</v>
      </c>
      <c r="O4221" s="23" t="str">
        <f t="shared" si="196"/>
        <v>ORD26002003</v>
      </c>
      <c r="P4221" s="23" t="str">
        <f t="shared" si="197"/>
        <v>Sep</v>
      </c>
      <c r="Q4221" s="23" t="str">
        <f>IF(F4221="CAPTURE",IF(COUNTIF(orders!$A:$A,O4221)&gt;0,"Yes","NO ORDER"),"")</f>
        <v>Yes</v>
      </c>
    </row>
    <row r="4222" spans="1:17" ht="15" customHeight="1" x14ac:dyDescent="0.3">
      <c r="A4222" s="23" t="s">
        <v>17284</v>
      </c>
      <c r="B4222" s="23"/>
      <c r="C4222" s="23" t="s">
        <v>4543</v>
      </c>
      <c r="D4222" s="23" t="str">
        <f t="shared" si="195"/>
        <v>ORD26002027</v>
      </c>
      <c r="E4222" s="38">
        <v>46288</v>
      </c>
      <c r="F4222" s="23" t="s">
        <v>12410</v>
      </c>
      <c r="G4222" s="23" t="s">
        <v>79</v>
      </c>
      <c r="H4222" s="24">
        <v>2897</v>
      </c>
      <c r="I4222" s="24">
        <v>46.35</v>
      </c>
      <c r="J4222" s="24">
        <v>8.34</v>
      </c>
      <c r="K4222" s="24">
        <v>2842.31</v>
      </c>
      <c r="L4222" s="38">
        <v>46290</v>
      </c>
      <c r="M4222" s="23" t="s">
        <v>222</v>
      </c>
      <c r="N4222" s="23" t="str">
        <f>IF(COUNTIF($A$2:A4222,A4222)&gt;1,"DUP","OK")</f>
        <v>OK</v>
      </c>
      <c r="O4222" s="23" t="str">
        <f t="shared" si="196"/>
        <v>ORD26002027</v>
      </c>
      <c r="P4222" s="23" t="str">
        <f t="shared" si="197"/>
        <v>Sep</v>
      </c>
      <c r="Q4222" s="23" t="str">
        <f>IF(F4222="CAPTURE",IF(COUNTIF(orders!$A:$A,O4222)&gt;0,"Yes","NO ORDER"),"")</f>
        <v>Yes</v>
      </c>
    </row>
    <row r="4223" spans="1:17" ht="15" customHeight="1" x14ac:dyDescent="0.3">
      <c r="A4223" s="23" t="s">
        <v>17285</v>
      </c>
      <c r="B4223" s="23"/>
      <c r="C4223" s="23" t="s">
        <v>17286</v>
      </c>
      <c r="D4223" s="23" t="str">
        <f t="shared" si="195"/>
        <v>ORD26002134</v>
      </c>
      <c r="E4223" s="38">
        <v>46288</v>
      </c>
      <c r="F4223" s="23" t="s">
        <v>12410</v>
      </c>
      <c r="G4223" s="23" t="s">
        <v>77</v>
      </c>
      <c r="H4223" s="24">
        <v>2798</v>
      </c>
      <c r="I4223" s="24">
        <v>47.57</v>
      </c>
      <c r="J4223" s="24">
        <v>8.56</v>
      </c>
      <c r="K4223" s="24">
        <v>2741.87</v>
      </c>
      <c r="L4223" s="38">
        <v>46290</v>
      </c>
      <c r="M4223" s="23" t="s">
        <v>222</v>
      </c>
      <c r="N4223" s="23" t="str">
        <f>IF(COUNTIF($A$2:A4223,A4223)&gt;1,"DUP","OK")</f>
        <v>OK</v>
      </c>
      <c r="O4223" s="23" t="str">
        <f t="shared" si="196"/>
        <v>ORD26002134</v>
      </c>
      <c r="P4223" s="23" t="str">
        <f t="shared" si="197"/>
        <v>Sep</v>
      </c>
      <c r="Q4223" s="23" t="str">
        <f>IF(F4223="CAPTURE",IF(COUNTIF(orders!$A:$A,O4223)&gt;0,"Yes","NO ORDER"),"")</f>
        <v>Yes</v>
      </c>
    </row>
    <row r="4224" spans="1:17" ht="15" customHeight="1" x14ac:dyDescent="0.3">
      <c r="A4224" s="23" t="s">
        <v>17287</v>
      </c>
      <c r="B4224" s="23"/>
      <c r="C4224" s="23" t="s">
        <v>4803</v>
      </c>
      <c r="D4224" s="23" t="str">
        <f t="shared" si="195"/>
        <v>ORD26002157</v>
      </c>
      <c r="E4224" s="38">
        <v>46288</v>
      </c>
      <c r="F4224" s="23" t="s">
        <v>12410</v>
      </c>
      <c r="G4224" s="23" t="s">
        <v>79</v>
      </c>
      <c r="H4224" s="24">
        <v>3098</v>
      </c>
      <c r="I4224" s="24">
        <v>49.57</v>
      </c>
      <c r="J4224" s="24">
        <v>8.92</v>
      </c>
      <c r="K4224" s="24">
        <v>3039.51</v>
      </c>
      <c r="L4224" s="38">
        <v>46290</v>
      </c>
      <c r="M4224" s="23" t="s">
        <v>222</v>
      </c>
      <c r="N4224" s="23" t="str">
        <f>IF(COUNTIF($A$2:A4224,A4224)&gt;1,"DUP","OK")</f>
        <v>OK</v>
      </c>
      <c r="O4224" s="23" t="str">
        <f t="shared" si="196"/>
        <v>ORD26002157</v>
      </c>
      <c r="P4224" s="23" t="str">
        <f t="shared" si="197"/>
        <v>Sep</v>
      </c>
      <c r="Q4224" s="23" t="str">
        <f>IF(F4224="CAPTURE",IF(COUNTIF(orders!$A:$A,O4224)&gt;0,"Yes","NO ORDER"),"")</f>
        <v>Yes</v>
      </c>
    </row>
    <row r="4225" spans="1:17" ht="15" customHeight="1" x14ac:dyDescent="0.3">
      <c r="A4225" s="23" t="s">
        <v>17288</v>
      </c>
      <c r="B4225" s="23"/>
      <c r="C4225" s="23" t="s">
        <v>4829</v>
      </c>
      <c r="D4225" s="23" t="str">
        <f t="shared" si="195"/>
        <v>ORD26002170</v>
      </c>
      <c r="E4225" s="38">
        <v>46288</v>
      </c>
      <c r="F4225" s="23" t="s">
        <v>12410</v>
      </c>
      <c r="G4225" s="23" t="s">
        <v>75</v>
      </c>
      <c r="H4225" s="24">
        <v>4397</v>
      </c>
      <c r="I4225" s="24">
        <v>13.19</v>
      </c>
      <c r="J4225" s="24">
        <v>2.37</v>
      </c>
      <c r="K4225" s="24">
        <v>4381.4399999999996</v>
      </c>
      <c r="L4225" s="38">
        <v>46290</v>
      </c>
      <c r="M4225" s="23" t="s">
        <v>222</v>
      </c>
      <c r="N4225" s="23" t="str">
        <f>IF(COUNTIF($A$2:A4225,A4225)&gt;1,"DUP","OK")</f>
        <v>OK</v>
      </c>
      <c r="O4225" s="23" t="str">
        <f t="shared" si="196"/>
        <v>ORD26002170</v>
      </c>
      <c r="P4225" s="23" t="str">
        <f t="shared" si="197"/>
        <v>Sep</v>
      </c>
      <c r="Q4225" s="23" t="str">
        <f>IF(F4225="CAPTURE",IF(COUNTIF(orders!$A:$A,O4225)&gt;0,"Yes","NO ORDER"),"")</f>
        <v>Yes</v>
      </c>
    </row>
    <row r="4226" spans="1:17" ht="15" customHeight="1" x14ac:dyDescent="0.3">
      <c r="A4226" s="23" t="s">
        <v>17289</v>
      </c>
      <c r="B4226" s="23"/>
      <c r="C4226" s="23" t="s">
        <v>5104</v>
      </c>
      <c r="D4226" s="23" t="str">
        <f t="shared" ref="D4226:D4289" si="198">UPPER(SUBSTITUTE(TRIM(C4226),"-",""))</f>
        <v>ORD26002305</v>
      </c>
      <c r="E4226" s="38">
        <v>46288</v>
      </c>
      <c r="F4226" s="23" t="s">
        <v>12410</v>
      </c>
      <c r="G4226" s="23" t="s">
        <v>75</v>
      </c>
      <c r="H4226" s="24">
        <v>5298</v>
      </c>
      <c r="I4226" s="24">
        <v>15.89</v>
      </c>
      <c r="J4226" s="24">
        <v>2.86</v>
      </c>
      <c r="K4226" s="24">
        <v>5279.25</v>
      </c>
      <c r="L4226" s="38">
        <v>46290</v>
      </c>
      <c r="M4226" s="23" t="s">
        <v>222</v>
      </c>
      <c r="N4226" s="23" t="str">
        <f>IF(COUNTIF($A$2:A4226,A4226)&gt;1,"DUP","OK")</f>
        <v>OK</v>
      </c>
      <c r="O4226" s="23" t="str">
        <f t="shared" ref="O4226:O4289" si="199">IF(F4226="REFUND",INDEX($D:$D,MATCH(B4226,$A:$A,0)),D4226)</f>
        <v>ORD26002305</v>
      </c>
      <c r="P4226" s="23" t="str">
        <f t="shared" ref="P4226:P4289" si="200">IF(L4226&gt;DATE(2026,9,30),"Oct-Due","Sep")</f>
        <v>Sep</v>
      </c>
      <c r="Q4226" s="23" t="str">
        <f>IF(F4226="CAPTURE",IF(COUNTIF(orders!$A:$A,O4226)&gt;0,"Yes","NO ORDER"),"")</f>
        <v>Yes</v>
      </c>
    </row>
    <row r="4227" spans="1:17" ht="15" customHeight="1" x14ac:dyDescent="0.3">
      <c r="A4227" s="23" t="s">
        <v>17290</v>
      </c>
      <c r="B4227" s="23"/>
      <c r="C4227" s="23" t="s">
        <v>5195</v>
      </c>
      <c r="D4227" s="23" t="str">
        <f t="shared" si="198"/>
        <v>ORD26002351</v>
      </c>
      <c r="E4227" s="38">
        <v>46288</v>
      </c>
      <c r="F4227" s="23" t="s">
        <v>12410</v>
      </c>
      <c r="G4227" s="23" t="s">
        <v>81</v>
      </c>
      <c r="H4227" s="24">
        <v>7999</v>
      </c>
      <c r="I4227" s="24">
        <v>95.99</v>
      </c>
      <c r="J4227" s="24">
        <v>17.28</v>
      </c>
      <c r="K4227" s="24">
        <v>7885.73</v>
      </c>
      <c r="L4227" s="38">
        <v>46290</v>
      </c>
      <c r="M4227" s="23" t="s">
        <v>222</v>
      </c>
      <c r="N4227" s="23" t="str">
        <f>IF(COUNTIF($A$2:A4227,A4227)&gt;1,"DUP","OK")</f>
        <v>OK</v>
      </c>
      <c r="O4227" s="23" t="str">
        <f t="shared" si="199"/>
        <v>ORD26002351</v>
      </c>
      <c r="P4227" s="23" t="str">
        <f t="shared" si="200"/>
        <v>Sep</v>
      </c>
      <c r="Q4227" s="23" t="str">
        <f>IF(F4227="CAPTURE",IF(COUNTIF(orders!$A:$A,O4227)&gt;0,"Yes","NO ORDER"),"")</f>
        <v>Yes</v>
      </c>
    </row>
    <row r="4228" spans="1:17" ht="15" customHeight="1" x14ac:dyDescent="0.3">
      <c r="A4228" s="23" t="s">
        <v>17291</v>
      </c>
      <c r="B4228" s="23"/>
      <c r="C4228" s="23" t="s">
        <v>5275</v>
      </c>
      <c r="D4228" s="23" t="str">
        <f t="shared" si="198"/>
        <v>ORD26002391</v>
      </c>
      <c r="E4228" s="38">
        <v>46288</v>
      </c>
      <c r="F4228" s="23" t="s">
        <v>12410</v>
      </c>
      <c r="G4228" s="23" t="s">
        <v>75</v>
      </c>
      <c r="H4228" s="24">
        <v>1299</v>
      </c>
      <c r="I4228" s="24">
        <v>0</v>
      </c>
      <c r="J4228" s="24">
        <v>0</v>
      </c>
      <c r="K4228" s="24">
        <v>1299</v>
      </c>
      <c r="L4228" s="38">
        <v>46290</v>
      </c>
      <c r="M4228" s="23" t="s">
        <v>222</v>
      </c>
      <c r="N4228" s="23" t="str">
        <f>IF(COUNTIF($A$2:A4228,A4228)&gt;1,"DUP","OK")</f>
        <v>OK</v>
      </c>
      <c r="O4228" s="23" t="str">
        <f t="shared" si="199"/>
        <v>ORD26002391</v>
      </c>
      <c r="P4228" s="23" t="str">
        <f t="shared" si="200"/>
        <v>Sep</v>
      </c>
      <c r="Q4228" s="23" t="str">
        <f>IF(F4228="CAPTURE",IF(COUNTIF(orders!$A:$A,O4228)&gt;0,"Yes","NO ORDER"),"")</f>
        <v>Yes</v>
      </c>
    </row>
    <row r="4229" spans="1:17" ht="15" customHeight="1" x14ac:dyDescent="0.3">
      <c r="A4229" s="23" t="s">
        <v>17292</v>
      </c>
      <c r="B4229" s="23"/>
      <c r="C4229" s="23" t="s">
        <v>5293</v>
      </c>
      <c r="D4229" s="23" t="str">
        <f t="shared" si="198"/>
        <v>ORD26002400</v>
      </c>
      <c r="E4229" s="38">
        <v>46288</v>
      </c>
      <c r="F4229" s="23" t="s">
        <v>12410</v>
      </c>
      <c r="G4229" s="23" t="s">
        <v>75</v>
      </c>
      <c r="H4229" s="24">
        <v>349</v>
      </c>
      <c r="I4229" s="24">
        <v>0</v>
      </c>
      <c r="J4229" s="24">
        <v>0</v>
      </c>
      <c r="K4229" s="24">
        <v>349</v>
      </c>
      <c r="L4229" s="38">
        <v>46290</v>
      </c>
      <c r="M4229" s="23" t="s">
        <v>222</v>
      </c>
      <c r="N4229" s="23" t="str">
        <f>IF(COUNTIF($A$2:A4229,A4229)&gt;1,"DUP","OK")</f>
        <v>OK</v>
      </c>
      <c r="O4229" s="23" t="str">
        <f t="shared" si="199"/>
        <v>ORD26002400</v>
      </c>
      <c r="P4229" s="23" t="str">
        <f t="shared" si="200"/>
        <v>Sep</v>
      </c>
      <c r="Q4229" s="23" t="str">
        <f>IF(F4229="CAPTURE",IF(COUNTIF(orders!$A:$A,O4229)&gt;0,"Yes","NO ORDER"),"")</f>
        <v>Yes</v>
      </c>
    </row>
    <row r="4230" spans="1:17" ht="15" customHeight="1" x14ac:dyDescent="0.3">
      <c r="A4230" s="23" t="s">
        <v>17293</v>
      </c>
      <c r="B4230" s="23"/>
      <c r="C4230" s="23" t="s">
        <v>5415</v>
      </c>
      <c r="D4230" s="23" t="str">
        <f t="shared" si="198"/>
        <v>ORD26002462</v>
      </c>
      <c r="E4230" s="38">
        <v>46288</v>
      </c>
      <c r="F4230" s="23" t="s">
        <v>12410</v>
      </c>
      <c r="G4230" s="23" t="s">
        <v>75</v>
      </c>
      <c r="H4230" s="24">
        <v>4999</v>
      </c>
      <c r="I4230" s="24">
        <v>15</v>
      </c>
      <c r="J4230" s="24">
        <v>2.7</v>
      </c>
      <c r="K4230" s="24">
        <v>4981.3</v>
      </c>
      <c r="L4230" s="38">
        <v>46290</v>
      </c>
      <c r="M4230" s="23" t="s">
        <v>222</v>
      </c>
      <c r="N4230" s="23" t="str">
        <f>IF(COUNTIF($A$2:A4230,A4230)&gt;1,"DUP","OK")</f>
        <v>OK</v>
      </c>
      <c r="O4230" s="23" t="str">
        <f t="shared" si="199"/>
        <v>ORD26002462</v>
      </c>
      <c r="P4230" s="23" t="str">
        <f t="shared" si="200"/>
        <v>Sep</v>
      </c>
      <c r="Q4230" s="23" t="str">
        <f>IF(F4230="CAPTURE",IF(COUNTIF(orders!$A:$A,O4230)&gt;0,"Yes","NO ORDER"),"")</f>
        <v>Yes</v>
      </c>
    </row>
    <row r="4231" spans="1:17" ht="15" customHeight="1" x14ac:dyDescent="0.3">
      <c r="A4231" s="23" t="s">
        <v>17294</v>
      </c>
      <c r="B4231" s="23"/>
      <c r="C4231" s="23" t="s">
        <v>5441</v>
      </c>
      <c r="D4231" s="23" t="str">
        <f t="shared" si="198"/>
        <v>ORD26002476</v>
      </c>
      <c r="E4231" s="38">
        <v>46288</v>
      </c>
      <c r="F4231" s="23" t="s">
        <v>12410</v>
      </c>
      <c r="G4231" s="23" t="s">
        <v>75</v>
      </c>
      <c r="H4231" s="24">
        <v>2999</v>
      </c>
      <c r="I4231" s="24">
        <v>9</v>
      </c>
      <c r="J4231" s="24">
        <v>1.62</v>
      </c>
      <c r="K4231" s="24">
        <v>2988.38</v>
      </c>
      <c r="L4231" s="38">
        <v>46290</v>
      </c>
      <c r="M4231" s="23" t="s">
        <v>222</v>
      </c>
      <c r="N4231" s="23" t="str">
        <f>IF(COUNTIF($A$2:A4231,A4231)&gt;1,"DUP","OK")</f>
        <v>OK</v>
      </c>
      <c r="O4231" s="23" t="str">
        <f t="shared" si="199"/>
        <v>ORD26002476</v>
      </c>
      <c r="P4231" s="23" t="str">
        <f t="shared" si="200"/>
        <v>Sep</v>
      </c>
      <c r="Q4231" s="23" t="str">
        <f>IF(F4231="CAPTURE",IF(COUNTIF(orders!$A:$A,O4231)&gt;0,"Yes","NO ORDER"),"")</f>
        <v>Yes</v>
      </c>
    </row>
    <row r="4232" spans="1:17" ht="15" customHeight="1" x14ac:dyDescent="0.3">
      <c r="A4232" s="23" t="s">
        <v>17295</v>
      </c>
      <c r="B4232" s="23"/>
      <c r="C4232" s="23" t="s">
        <v>5478</v>
      </c>
      <c r="D4232" s="23" t="str">
        <f t="shared" si="198"/>
        <v>ORD26002495</v>
      </c>
      <c r="E4232" s="38">
        <v>46288</v>
      </c>
      <c r="F4232" s="23" t="s">
        <v>12410</v>
      </c>
      <c r="G4232" s="23" t="s">
        <v>75</v>
      </c>
      <c r="H4232" s="24">
        <v>7999</v>
      </c>
      <c r="I4232" s="24">
        <v>24</v>
      </c>
      <c r="J4232" s="24">
        <v>4.32</v>
      </c>
      <c r="K4232" s="24">
        <v>7970.68</v>
      </c>
      <c r="L4232" s="38">
        <v>46290</v>
      </c>
      <c r="M4232" s="23" t="s">
        <v>222</v>
      </c>
      <c r="N4232" s="23" t="str">
        <f>IF(COUNTIF($A$2:A4232,A4232)&gt;1,"DUP","OK")</f>
        <v>OK</v>
      </c>
      <c r="O4232" s="23" t="str">
        <f t="shared" si="199"/>
        <v>ORD26002495</v>
      </c>
      <c r="P4232" s="23" t="str">
        <f t="shared" si="200"/>
        <v>Sep</v>
      </c>
      <c r="Q4232" s="23" t="str">
        <f>IF(F4232="CAPTURE",IF(COUNTIF(orders!$A:$A,O4232)&gt;0,"Yes","NO ORDER"),"")</f>
        <v>Yes</v>
      </c>
    </row>
    <row r="4233" spans="1:17" ht="15" customHeight="1" x14ac:dyDescent="0.3">
      <c r="A4233" s="23" t="s">
        <v>17296</v>
      </c>
      <c r="B4233" s="23"/>
      <c r="C4233" s="23" t="s">
        <v>5515</v>
      </c>
      <c r="D4233" s="23" t="str">
        <f t="shared" si="198"/>
        <v>ORD26002512</v>
      </c>
      <c r="E4233" s="38">
        <v>46288</v>
      </c>
      <c r="F4233" s="23" t="s">
        <v>12410</v>
      </c>
      <c r="G4233" s="23" t="s">
        <v>79</v>
      </c>
      <c r="H4233" s="24">
        <v>2499</v>
      </c>
      <c r="I4233" s="24">
        <v>39.979999999999997</v>
      </c>
      <c r="J4233" s="24">
        <v>7.2</v>
      </c>
      <c r="K4233" s="24">
        <v>2451.8200000000002</v>
      </c>
      <c r="L4233" s="38">
        <v>46290</v>
      </c>
      <c r="M4233" s="23" t="s">
        <v>222</v>
      </c>
      <c r="N4233" s="23" t="str">
        <f>IF(COUNTIF($A$2:A4233,A4233)&gt;1,"DUP","OK")</f>
        <v>OK</v>
      </c>
      <c r="O4233" s="23" t="str">
        <f t="shared" si="199"/>
        <v>ORD26002512</v>
      </c>
      <c r="P4233" s="23" t="str">
        <f t="shared" si="200"/>
        <v>Sep</v>
      </c>
      <c r="Q4233" s="23" t="str">
        <f>IF(F4233="CAPTURE",IF(COUNTIF(orders!$A:$A,O4233)&gt;0,"Yes","NO ORDER"),"")</f>
        <v>Yes</v>
      </c>
    </row>
    <row r="4234" spans="1:17" ht="15" customHeight="1" x14ac:dyDescent="0.3">
      <c r="A4234" s="23" t="s">
        <v>17297</v>
      </c>
      <c r="B4234" s="23"/>
      <c r="C4234" s="23" t="s">
        <v>5522</v>
      </c>
      <c r="D4234" s="23" t="str">
        <f t="shared" si="198"/>
        <v>ORD26002515</v>
      </c>
      <c r="E4234" s="38">
        <v>46288</v>
      </c>
      <c r="F4234" s="23" t="s">
        <v>12410</v>
      </c>
      <c r="G4234" s="23" t="s">
        <v>75</v>
      </c>
      <c r="H4234" s="24">
        <v>7999</v>
      </c>
      <c r="I4234" s="24">
        <v>24</v>
      </c>
      <c r="J4234" s="24">
        <v>4.32</v>
      </c>
      <c r="K4234" s="24">
        <v>7970.68</v>
      </c>
      <c r="L4234" s="38">
        <v>46290</v>
      </c>
      <c r="M4234" s="23" t="s">
        <v>222</v>
      </c>
      <c r="N4234" s="23" t="str">
        <f>IF(COUNTIF($A$2:A4234,A4234)&gt;1,"DUP","OK")</f>
        <v>OK</v>
      </c>
      <c r="O4234" s="23" t="str">
        <f t="shared" si="199"/>
        <v>ORD26002515</v>
      </c>
      <c r="P4234" s="23" t="str">
        <f t="shared" si="200"/>
        <v>Sep</v>
      </c>
      <c r="Q4234" s="23" t="str">
        <f>IF(F4234="CAPTURE",IF(COUNTIF(orders!$A:$A,O4234)&gt;0,"Yes","NO ORDER"),"")</f>
        <v>Yes</v>
      </c>
    </row>
    <row r="4235" spans="1:17" ht="15" customHeight="1" x14ac:dyDescent="0.3">
      <c r="A4235" s="23" t="s">
        <v>17298</v>
      </c>
      <c r="B4235" s="23"/>
      <c r="C4235" s="23" t="s">
        <v>5544</v>
      </c>
      <c r="D4235" s="23" t="str">
        <f t="shared" si="198"/>
        <v>ORD26002526</v>
      </c>
      <c r="E4235" s="38">
        <v>46288</v>
      </c>
      <c r="F4235" s="23" t="s">
        <v>12410</v>
      </c>
      <c r="G4235" s="23" t="s">
        <v>75</v>
      </c>
      <c r="H4235" s="24">
        <v>799</v>
      </c>
      <c r="I4235" s="24">
        <v>0</v>
      </c>
      <c r="J4235" s="24">
        <v>0</v>
      </c>
      <c r="K4235" s="24">
        <v>799</v>
      </c>
      <c r="L4235" s="38">
        <v>46290</v>
      </c>
      <c r="M4235" s="23" t="s">
        <v>222</v>
      </c>
      <c r="N4235" s="23" t="str">
        <f>IF(COUNTIF($A$2:A4235,A4235)&gt;1,"DUP","OK")</f>
        <v>OK</v>
      </c>
      <c r="O4235" s="23" t="str">
        <f t="shared" si="199"/>
        <v>ORD26002526</v>
      </c>
      <c r="P4235" s="23" t="str">
        <f t="shared" si="200"/>
        <v>Sep</v>
      </c>
      <c r="Q4235" s="23" t="str">
        <f>IF(F4235="CAPTURE",IF(COUNTIF(orders!$A:$A,O4235)&gt;0,"Yes","NO ORDER"),"")</f>
        <v>Yes</v>
      </c>
    </row>
    <row r="4236" spans="1:17" ht="15" customHeight="1" x14ac:dyDescent="0.3">
      <c r="A4236" s="23" t="s">
        <v>17299</v>
      </c>
      <c r="B4236" s="23"/>
      <c r="C4236" s="23" t="s">
        <v>17300</v>
      </c>
      <c r="D4236" s="23" t="str">
        <f t="shared" si="198"/>
        <v>ORD26002535</v>
      </c>
      <c r="E4236" s="38">
        <v>46288</v>
      </c>
      <c r="F4236" s="23" t="s">
        <v>12410</v>
      </c>
      <c r="G4236" s="23" t="s">
        <v>75</v>
      </c>
      <c r="H4236" s="24">
        <v>349</v>
      </c>
      <c r="I4236" s="24">
        <v>0</v>
      </c>
      <c r="J4236" s="24">
        <v>0</v>
      </c>
      <c r="K4236" s="24">
        <v>349</v>
      </c>
      <c r="L4236" s="38">
        <v>46290</v>
      </c>
      <c r="M4236" s="23" t="s">
        <v>222</v>
      </c>
      <c r="N4236" s="23" t="str">
        <f>IF(COUNTIF($A$2:A4236,A4236)&gt;1,"DUP","OK")</f>
        <v>OK</v>
      </c>
      <c r="O4236" s="23" t="str">
        <f t="shared" si="199"/>
        <v>ORD26002535</v>
      </c>
      <c r="P4236" s="23" t="str">
        <f t="shared" si="200"/>
        <v>Sep</v>
      </c>
      <c r="Q4236" s="23" t="str">
        <f>IF(F4236="CAPTURE",IF(COUNTIF(orders!$A:$A,O4236)&gt;0,"Yes","NO ORDER"),"")</f>
        <v>Yes</v>
      </c>
    </row>
    <row r="4237" spans="1:17" ht="15" customHeight="1" x14ac:dyDescent="0.3">
      <c r="A4237" s="23" t="s">
        <v>17301</v>
      </c>
      <c r="B4237" s="23"/>
      <c r="C4237" s="23" t="s">
        <v>5596</v>
      </c>
      <c r="D4237" s="23" t="str">
        <f t="shared" si="198"/>
        <v>ORD26002551</v>
      </c>
      <c r="E4237" s="38">
        <v>46288</v>
      </c>
      <c r="F4237" s="23" t="s">
        <v>12410</v>
      </c>
      <c r="G4237" s="23" t="s">
        <v>79</v>
      </c>
      <c r="H4237" s="24">
        <v>799</v>
      </c>
      <c r="I4237" s="24">
        <v>14.38</v>
      </c>
      <c r="J4237" s="24">
        <v>2.59</v>
      </c>
      <c r="K4237" s="24">
        <v>782.03</v>
      </c>
      <c r="L4237" s="38">
        <v>46290</v>
      </c>
      <c r="M4237" s="23" t="s">
        <v>222</v>
      </c>
      <c r="N4237" s="23" t="str">
        <f>IF(COUNTIF($A$2:A4237,A4237)&gt;1,"DUP","OK")</f>
        <v>OK</v>
      </c>
      <c r="O4237" s="23" t="str">
        <f t="shared" si="199"/>
        <v>ORD26002551</v>
      </c>
      <c r="P4237" s="23" t="str">
        <f t="shared" si="200"/>
        <v>Sep</v>
      </c>
      <c r="Q4237" s="23" t="str">
        <f>IF(F4237="CAPTURE",IF(COUNTIF(orders!$A:$A,O4237)&gt;0,"Yes","NO ORDER"),"")</f>
        <v>Yes</v>
      </c>
    </row>
    <row r="4238" spans="1:17" ht="15" customHeight="1" x14ac:dyDescent="0.3">
      <c r="A4238" s="23" t="s">
        <v>17302</v>
      </c>
      <c r="B4238" s="23"/>
      <c r="C4238" s="23" t="s">
        <v>5647</v>
      </c>
      <c r="D4238" s="23" t="str">
        <f t="shared" si="198"/>
        <v>ORD26002577</v>
      </c>
      <c r="E4238" s="38">
        <v>46288</v>
      </c>
      <c r="F4238" s="23" t="s">
        <v>12410</v>
      </c>
      <c r="G4238" s="23" t="s">
        <v>75</v>
      </c>
      <c r="H4238" s="24">
        <v>2999</v>
      </c>
      <c r="I4238" s="24">
        <v>9</v>
      </c>
      <c r="J4238" s="24">
        <v>1.62</v>
      </c>
      <c r="K4238" s="24">
        <v>2988.38</v>
      </c>
      <c r="L4238" s="38">
        <v>46290</v>
      </c>
      <c r="M4238" s="23" t="s">
        <v>222</v>
      </c>
      <c r="N4238" s="23" t="str">
        <f>IF(COUNTIF($A$2:A4238,A4238)&gt;1,"DUP","OK")</f>
        <v>OK</v>
      </c>
      <c r="O4238" s="23" t="str">
        <f t="shared" si="199"/>
        <v>ORD26002577</v>
      </c>
      <c r="P4238" s="23" t="str">
        <f t="shared" si="200"/>
        <v>Sep</v>
      </c>
      <c r="Q4238" s="23" t="str">
        <f>IF(F4238="CAPTURE",IF(COUNTIF(orders!$A:$A,O4238)&gt;0,"Yes","NO ORDER"),"")</f>
        <v>Yes</v>
      </c>
    </row>
    <row r="4239" spans="1:17" ht="15" customHeight="1" x14ac:dyDescent="0.3">
      <c r="A4239" s="23" t="s">
        <v>17303</v>
      </c>
      <c r="B4239" s="23"/>
      <c r="C4239" s="23" t="s">
        <v>5868</v>
      </c>
      <c r="D4239" s="23" t="str">
        <f t="shared" si="198"/>
        <v>ORD26002686</v>
      </c>
      <c r="E4239" s="38">
        <v>46288</v>
      </c>
      <c r="F4239" s="23" t="s">
        <v>12410</v>
      </c>
      <c r="G4239" s="23" t="s">
        <v>79</v>
      </c>
      <c r="H4239" s="24">
        <v>4798</v>
      </c>
      <c r="I4239" s="24">
        <v>76.77</v>
      </c>
      <c r="J4239" s="24">
        <v>13.82</v>
      </c>
      <c r="K4239" s="24">
        <v>4707.41</v>
      </c>
      <c r="L4239" s="38">
        <v>46290</v>
      </c>
      <c r="M4239" s="23" t="s">
        <v>222</v>
      </c>
      <c r="N4239" s="23" t="str">
        <f>IF(COUNTIF($A$2:A4239,A4239)&gt;1,"DUP","OK")</f>
        <v>OK</v>
      </c>
      <c r="O4239" s="23" t="str">
        <f t="shared" si="199"/>
        <v>ORD26002686</v>
      </c>
      <c r="P4239" s="23" t="str">
        <f t="shared" si="200"/>
        <v>Sep</v>
      </c>
      <c r="Q4239" s="23" t="str">
        <f>IF(F4239="CAPTURE",IF(COUNTIF(orders!$A:$A,O4239)&gt;0,"Yes","NO ORDER"),"")</f>
        <v>Yes</v>
      </c>
    </row>
    <row r="4240" spans="1:17" ht="15" customHeight="1" x14ac:dyDescent="0.3">
      <c r="A4240" s="23" t="s">
        <v>17304</v>
      </c>
      <c r="B4240" s="23"/>
      <c r="C4240" s="23" t="s">
        <v>6003</v>
      </c>
      <c r="D4240" s="23" t="str">
        <f t="shared" si="198"/>
        <v>ORD26002753</v>
      </c>
      <c r="E4240" s="38">
        <v>46288</v>
      </c>
      <c r="F4240" s="23" t="s">
        <v>12410</v>
      </c>
      <c r="G4240" s="23" t="s">
        <v>81</v>
      </c>
      <c r="H4240" s="24">
        <v>2347</v>
      </c>
      <c r="I4240" s="24">
        <v>28.16</v>
      </c>
      <c r="J4240" s="24">
        <v>5.07</v>
      </c>
      <c r="K4240" s="24">
        <v>2313.77</v>
      </c>
      <c r="L4240" s="38">
        <v>46290</v>
      </c>
      <c r="M4240" s="23" t="s">
        <v>222</v>
      </c>
      <c r="N4240" s="23" t="str">
        <f>IF(COUNTIF($A$2:A4240,A4240)&gt;1,"DUP","OK")</f>
        <v>OK</v>
      </c>
      <c r="O4240" s="23" t="str">
        <f t="shared" si="199"/>
        <v>ORD26002753</v>
      </c>
      <c r="P4240" s="23" t="str">
        <f t="shared" si="200"/>
        <v>Sep</v>
      </c>
      <c r="Q4240" s="23" t="str">
        <f>IF(F4240="CAPTURE",IF(COUNTIF(orders!$A:$A,O4240)&gt;0,"Yes","NO ORDER"),"")</f>
        <v>Yes</v>
      </c>
    </row>
    <row r="4241" spans="1:17" ht="15" customHeight="1" x14ac:dyDescent="0.3">
      <c r="A4241" s="23" t="s">
        <v>17305</v>
      </c>
      <c r="B4241" s="23"/>
      <c r="C4241" s="23" t="s">
        <v>6019</v>
      </c>
      <c r="D4241" s="23" t="str">
        <f t="shared" si="198"/>
        <v>ORD26002761</v>
      </c>
      <c r="E4241" s="38">
        <v>46288</v>
      </c>
      <c r="F4241" s="23" t="s">
        <v>12410</v>
      </c>
      <c r="G4241" s="23" t="s">
        <v>75</v>
      </c>
      <c r="H4241" s="24">
        <v>7997</v>
      </c>
      <c r="I4241" s="24">
        <v>23.99</v>
      </c>
      <c r="J4241" s="24">
        <v>4.32</v>
      </c>
      <c r="K4241" s="24">
        <v>7968.69</v>
      </c>
      <c r="L4241" s="38">
        <v>46290</v>
      </c>
      <c r="M4241" s="23" t="s">
        <v>222</v>
      </c>
      <c r="N4241" s="23" t="str">
        <f>IF(COUNTIF($A$2:A4241,A4241)&gt;1,"DUP","OK")</f>
        <v>OK</v>
      </c>
      <c r="O4241" s="23" t="str">
        <f t="shared" si="199"/>
        <v>ORD26002761</v>
      </c>
      <c r="P4241" s="23" t="str">
        <f t="shared" si="200"/>
        <v>Sep</v>
      </c>
      <c r="Q4241" s="23" t="str">
        <f>IF(F4241="CAPTURE",IF(COUNTIF(orders!$A:$A,O4241)&gt;0,"Yes","NO ORDER"),"")</f>
        <v>Yes</v>
      </c>
    </row>
    <row r="4242" spans="1:17" ht="15" customHeight="1" x14ac:dyDescent="0.3">
      <c r="A4242" s="23" t="s">
        <v>17306</v>
      </c>
      <c r="B4242" s="23"/>
      <c r="C4242" s="23" t="s">
        <v>6058</v>
      </c>
      <c r="D4242" s="23" t="str">
        <f t="shared" si="198"/>
        <v>ORD26002780</v>
      </c>
      <c r="E4242" s="38">
        <v>46288</v>
      </c>
      <c r="F4242" s="23" t="s">
        <v>12410</v>
      </c>
      <c r="G4242" s="23" t="s">
        <v>81</v>
      </c>
      <c r="H4242" s="24">
        <v>999</v>
      </c>
      <c r="I4242" s="24">
        <v>14.99</v>
      </c>
      <c r="J4242" s="24">
        <v>2.7</v>
      </c>
      <c r="K4242" s="24">
        <v>981.31</v>
      </c>
      <c r="L4242" s="38">
        <v>46290</v>
      </c>
      <c r="M4242" s="23" t="s">
        <v>222</v>
      </c>
      <c r="N4242" s="23" t="str">
        <f>IF(COUNTIF($A$2:A4242,A4242)&gt;1,"DUP","OK")</f>
        <v>OK</v>
      </c>
      <c r="O4242" s="23" t="str">
        <f t="shared" si="199"/>
        <v>ORD26002780</v>
      </c>
      <c r="P4242" s="23" t="str">
        <f t="shared" si="200"/>
        <v>Sep</v>
      </c>
      <c r="Q4242" s="23" t="str">
        <f>IF(F4242="CAPTURE",IF(COUNTIF(orders!$A:$A,O4242)&gt;0,"Yes","NO ORDER"),"")</f>
        <v>Yes</v>
      </c>
    </row>
    <row r="4243" spans="1:17" ht="15" customHeight="1" x14ac:dyDescent="0.3">
      <c r="A4243" s="23" t="s">
        <v>17307</v>
      </c>
      <c r="B4243" s="23"/>
      <c r="C4243" s="23" t="s">
        <v>6108</v>
      </c>
      <c r="D4243" s="23" t="str">
        <f t="shared" si="198"/>
        <v>ORD26002805</v>
      </c>
      <c r="E4243" s="38">
        <v>46288</v>
      </c>
      <c r="F4243" s="23" t="s">
        <v>12410</v>
      </c>
      <c r="G4243" s="23" t="s">
        <v>75</v>
      </c>
      <c r="H4243" s="24">
        <v>3298</v>
      </c>
      <c r="I4243" s="24">
        <v>9.89</v>
      </c>
      <c r="J4243" s="24">
        <v>1.78</v>
      </c>
      <c r="K4243" s="24">
        <v>3286.33</v>
      </c>
      <c r="L4243" s="38">
        <v>46290</v>
      </c>
      <c r="M4243" s="23" t="s">
        <v>222</v>
      </c>
      <c r="N4243" s="23" t="str">
        <f>IF(COUNTIF($A$2:A4243,A4243)&gt;1,"DUP","OK")</f>
        <v>OK</v>
      </c>
      <c r="O4243" s="23" t="str">
        <f t="shared" si="199"/>
        <v>ORD26002805</v>
      </c>
      <c r="P4243" s="23" t="str">
        <f t="shared" si="200"/>
        <v>Sep</v>
      </c>
      <c r="Q4243" s="23" t="str">
        <f>IF(F4243="CAPTURE",IF(COUNTIF(orders!$A:$A,O4243)&gt;0,"Yes","NO ORDER"),"")</f>
        <v>Yes</v>
      </c>
    </row>
    <row r="4244" spans="1:17" ht="15" customHeight="1" x14ac:dyDescent="0.3">
      <c r="A4244" s="23" t="s">
        <v>17308</v>
      </c>
      <c r="B4244" s="23"/>
      <c r="C4244" s="23" t="s">
        <v>17309</v>
      </c>
      <c r="D4244" s="23" t="str">
        <f t="shared" si="198"/>
        <v>ORD26002848</v>
      </c>
      <c r="E4244" s="38">
        <v>46288</v>
      </c>
      <c r="F4244" s="23" t="s">
        <v>12410</v>
      </c>
      <c r="G4244" s="23" t="s">
        <v>75</v>
      </c>
      <c r="H4244" s="24">
        <v>3098</v>
      </c>
      <c r="I4244" s="24">
        <v>9.2899999999999991</v>
      </c>
      <c r="J4244" s="24">
        <v>1.67</v>
      </c>
      <c r="K4244" s="24">
        <v>3087.04</v>
      </c>
      <c r="L4244" s="38">
        <v>46290</v>
      </c>
      <c r="M4244" s="23" t="s">
        <v>222</v>
      </c>
      <c r="N4244" s="23" t="str">
        <f>IF(COUNTIF($A$2:A4244,A4244)&gt;1,"DUP","OK")</f>
        <v>OK</v>
      </c>
      <c r="O4244" s="23" t="str">
        <f t="shared" si="199"/>
        <v>ORD26002848</v>
      </c>
      <c r="P4244" s="23" t="str">
        <f t="shared" si="200"/>
        <v>Sep</v>
      </c>
      <c r="Q4244" s="23" t="str">
        <f>IF(F4244="CAPTURE",IF(COUNTIF(orders!$A:$A,O4244)&gt;0,"Yes","NO ORDER"),"")</f>
        <v>Yes</v>
      </c>
    </row>
    <row r="4245" spans="1:17" ht="15" customHeight="1" x14ac:dyDescent="0.3">
      <c r="A4245" s="23" t="s">
        <v>17310</v>
      </c>
      <c r="B4245" s="23"/>
      <c r="C4245" s="23" t="s">
        <v>17311</v>
      </c>
      <c r="D4245" s="23" t="str">
        <f t="shared" si="198"/>
        <v>ORD26002852</v>
      </c>
      <c r="E4245" s="38">
        <v>46288</v>
      </c>
      <c r="F4245" s="23" t="s">
        <v>12410</v>
      </c>
      <c r="G4245" s="23" t="s">
        <v>79</v>
      </c>
      <c r="H4245" s="24">
        <v>948</v>
      </c>
      <c r="I4245" s="24">
        <v>17.059999999999999</v>
      </c>
      <c r="J4245" s="24">
        <v>3.07</v>
      </c>
      <c r="K4245" s="24">
        <v>927.87</v>
      </c>
      <c r="L4245" s="38">
        <v>46290</v>
      </c>
      <c r="M4245" s="23" t="s">
        <v>222</v>
      </c>
      <c r="N4245" s="23" t="str">
        <f>IF(COUNTIF($A$2:A4245,A4245)&gt;1,"DUP","OK")</f>
        <v>OK</v>
      </c>
      <c r="O4245" s="23" t="str">
        <f t="shared" si="199"/>
        <v>ORD26002852</v>
      </c>
      <c r="P4245" s="23" t="str">
        <f t="shared" si="200"/>
        <v>Sep</v>
      </c>
      <c r="Q4245" s="23" t="str">
        <f>IF(F4245="CAPTURE",IF(COUNTIF(orders!$A:$A,O4245)&gt;0,"Yes","NO ORDER"),"")</f>
        <v>Yes</v>
      </c>
    </row>
    <row r="4246" spans="1:17" ht="15" customHeight="1" x14ac:dyDescent="0.3">
      <c r="A4246" s="23" t="s">
        <v>17312</v>
      </c>
      <c r="B4246" s="23"/>
      <c r="C4246" s="23" t="s">
        <v>17313</v>
      </c>
      <c r="D4246" s="23" t="str">
        <f t="shared" si="198"/>
        <v>ORD26002864</v>
      </c>
      <c r="E4246" s="38">
        <v>46288</v>
      </c>
      <c r="F4246" s="23" t="s">
        <v>12410</v>
      </c>
      <c r="G4246" s="23" t="s">
        <v>75</v>
      </c>
      <c r="H4246" s="24">
        <v>999</v>
      </c>
      <c r="I4246" s="24">
        <v>0</v>
      </c>
      <c r="J4246" s="24">
        <v>0</v>
      </c>
      <c r="K4246" s="24">
        <v>999</v>
      </c>
      <c r="L4246" s="38">
        <v>46290</v>
      </c>
      <c r="M4246" s="23" t="s">
        <v>222</v>
      </c>
      <c r="N4246" s="23" t="str">
        <f>IF(COUNTIF($A$2:A4246,A4246)&gt;1,"DUP","OK")</f>
        <v>OK</v>
      </c>
      <c r="O4246" s="23" t="str">
        <f t="shared" si="199"/>
        <v>ORD26002864</v>
      </c>
      <c r="P4246" s="23" t="str">
        <f t="shared" si="200"/>
        <v>Sep</v>
      </c>
      <c r="Q4246" s="23" t="str">
        <f>IF(F4246="CAPTURE",IF(COUNTIF(orders!$A:$A,O4246)&gt;0,"Yes","NO ORDER"),"")</f>
        <v>Yes</v>
      </c>
    </row>
    <row r="4247" spans="1:17" ht="15" customHeight="1" x14ac:dyDescent="0.3">
      <c r="A4247" s="23" t="s">
        <v>17314</v>
      </c>
      <c r="B4247" s="23"/>
      <c r="C4247" s="23" t="s">
        <v>6294</v>
      </c>
      <c r="D4247" s="23" t="str">
        <f t="shared" si="198"/>
        <v>ORD26002900</v>
      </c>
      <c r="E4247" s="38">
        <v>46288</v>
      </c>
      <c r="F4247" s="23" t="s">
        <v>12410</v>
      </c>
      <c r="G4247" s="23" t="s">
        <v>75</v>
      </c>
      <c r="H4247" s="24">
        <v>7999</v>
      </c>
      <c r="I4247" s="24">
        <v>24</v>
      </c>
      <c r="J4247" s="24">
        <v>4.32</v>
      </c>
      <c r="K4247" s="24">
        <v>7970.68</v>
      </c>
      <c r="L4247" s="38">
        <v>46290</v>
      </c>
      <c r="M4247" s="23" t="s">
        <v>222</v>
      </c>
      <c r="N4247" s="23" t="str">
        <f>IF(COUNTIF($A$2:A4247,A4247)&gt;1,"DUP","OK")</f>
        <v>OK</v>
      </c>
      <c r="O4247" s="23" t="str">
        <f t="shared" si="199"/>
        <v>ORD26002900</v>
      </c>
      <c r="P4247" s="23" t="str">
        <f t="shared" si="200"/>
        <v>Sep</v>
      </c>
      <c r="Q4247" s="23" t="str">
        <f>IF(F4247="CAPTURE",IF(COUNTIF(orders!$A:$A,O4247)&gt;0,"Yes","NO ORDER"),"")</f>
        <v>Yes</v>
      </c>
    </row>
    <row r="4248" spans="1:17" ht="15" customHeight="1" x14ac:dyDescent="0.3">
      <c r="A4248" s="23" t="s">
        <v>17315</v>
      </c>
      <c r="B4248" s="23"/>
      <c r="C4248" s="23" t="s">
        <v>6341</v>
      </c>
      <c r="D4248" s="23" t="str">
        <f t="shared" si="198"/>
        <v>ORD26002923</v>
      </c>
      <c r="E4248" s="38">
        <v>46288</v>
      </c>
      <c r="F4248" s="23" t="s">
        <v>12410</v>
      </c>
      <c r="G4248" s="23" t="s">
        <v>75</v>
      </c>
      <c r="H4248" s="24">
        <v>7998</v>
      </c>
      <c r="I4248" s="24">
        <v>23.99</v>
      </c>
      <c r="J4248" s="24">
        <v>4.32</v>
      </c>
      <c r="K4248" s="24">
        <v>7969.69</v>
      </c>
      <c r="L4248" s="38">
        <v>46290</v>
      </c>
      <c r="M4248" s="23" t="s">
        <v>222</v>
      </c>
      <c r="N4248" s="23" t="str">
        <f>IF(COUNTIF($A$2:A4248,A4248)&gt;1,"DUP","OK")</f>
        <v>OK</v>
      </c>
      <c r="O4248" s="23" t="str">
        <f t="shared" si="199"/>
        <v>ORD26002923</v>
      </c>
      <c r="P4248" s="23" t="str">
        <f t="shared" si="200"/>
        <v>Sep</v>
      </c>
      <c r="Q4248" s="23" t="str">
        <f>IF(F4248="CAPTURE",IF(COUNTIF(orders!$A:$A,O4248)&gt;0,"Yes","NO ORDER"),"")</f>
        <v>Yes</v>
      </c>
    </row>
    <row r="4249" spans="1:17" ht="15" customHeight="1" x14ac:dyDescent="0.3">
      <c r="A4249" s="23" t="s">
        <v>17316</v>
      </c>
      <c r="B4249" s="23"/>
      <c r="C4249" s="23" t="s">
        <v>6529</v>
      </c>
      <c r="D4249" s="23" t="str">
        <f t="shared" si="198"/>
        <v>ORD26003018</v>
      </c>
      <c r="E4249" s="38">
        <v>46288</v>
      </c>
      <c r="F4249" s="23" t="s">
        <v>12410</v>
      </c>
      <c r="G4249" s="23" t="s">
        <v>79</v>
      </c>
      <c r="H4249" s="24">
        <v>798</v>
      </c>
      <c r="I4249" s="24">
        <v>14.36</v>
      </c>
      <c r="J4249" s="24">
        <v>2.58</v>
      </c>
      <c r="K4249" s="24">
        <v>781.06</v>
      </c>
      <c r="L4249" s="38">
        <v>46290</v>
      </c>
      <c r="M4249" s="23" t="s">
        <v>222</v>
      </c>
      <c r="N4249" s="23" t="str">
        <f>IF(COUNTIF($A$2:A4249,A4249)&gt;1,"DUP","OK")</f>
        <v>OK</v>
      </c>
      <c r="O4249" s="23" t="str">
        <f t="shared" si="199"/>
        <v>ORD26003018</v>
      </c>
      <c r="P4249" s="23" t="str">
        <f t="shared" si="200"/>
        <v>Sep</v>
      </c>
      <c r="Q4249" s="23" t="str">
        <f>IF(F4249="CAPTURE",IF(COUNTIF(orders!$A:$A,O4249)&gt;0,"Yes","NO ORDER"),"")</f>
        <v>Yes</v>
      </c>
    </row>
    <row r="4250" spans="1:17" ht="15" customHeight="1" x14ac:dyDescent="0.3">
      <c r="A4250" s="23" t="s">
        <v>17317</v>
      </c>
      <c r="B4250" s="23"/>
      <c r="C4250" s="23" t="s">
        <v>6548</v>
      </c>
      <c r="D4250" s="23" t="str">
        <f t="shared" si="198"/>
        <v>ORD26003027</v>
      </c>
      <c r="E4250" s="38">
        <v>46288</v>
      </c>
      <c r="F4250" s="23" t="s">
        <v>12410</v>
      </c>
      <c r="G4250" s="23" t="s">
        <v>79</v>
      </c>
      <c r="H4250" s="24">
        <v>1799</v>
      </c>
      <c r="I4250" s="24">
        <v>32.380000000000003</v>
      </c>
      <c r="J4250" s="24">
        <v>5.83</v>
      </c>
      <c r="K4250" s="24">
        <v>1760.79</v>
      </c>
      <c r="L4250" s="38">
        <v>46290</v>
      </c>
      <c r="M4250" s="23" t="s">
        <v>222</v>
      </c>
      <c r="N4250" s="23" t="str">
        <f>IF(COUNTIF($A$2:A4250,A4250)&gt;1,"DUP","OK")</f>
        <v>OK</v>
      </c>
      <c r="O4250" s="23" t="str">
        <f t="shared" si="199"/>
        <v>ORD26003027</v>
      </c>
      <c r="P4250" s="23" t="str">
        <f t="shared" si="200"/>
        <v>Sep</v>
      </c>
      <c r="Q4250" s="23" t="str">
        <f>IF(F4250="CAPTURE",IF(COUNTIF(orders!$A:$A,O4250)&gt;0,"Yes","NO ORDER"),"")</f>
        <v>Yes</v>
      </c>
    </row>
    <row r="4251" spans="1:17" ht="15" customHeight="1" x14ac:dyDescent="0.3">
      <c r="A4251" s="23" t="s">
        <v>17318</v>
      </c>
      <c r="B4251" s="23"/>
      <c r="C4251" s="23" t="s">
        <v>6618</v>
      </c>
      <c r="D4251" s="23" t="str">
        <f t="shared" si="198"/>
        <v>ORD26003061</v>
      </c>
      <c r="E4251" s="38">
        <v>46288</v>
      </c>
      <c r="F4251" s="23" t="s">
        <v>12410</v>
      </c>
      <c r="G4251" s="23" t="s">
        <v>77</v>
      </c>
      <c r="H4251" s="24">
        <v>9297</v>
      </c>
      <c r="I4251" s="24">
        <v>158.05000000000001</v>
      </c>
      <c r="J4251" s="24">
        <v>28.45</v>
      </c>
      <c r="K4251" s="24">
        <v>9110.5</v>
      </c>
      <c r="L4251" s="38">
        <v>46290</v>
      </c>
      <c r="M4251" s="23" t="s">
        <v>222</v>
      </c>
      <c r="N4251" s="23" t="str">
        <f>IF(COUNTIF($A$2:A4251,A4251)&gt;1,"DUP","OK")</f>
        <v>OK</v>
      </c>
      <c r="O4251" s="23" t="str">
        <f t="shared" si="199"/>
        <v>ORD26003061</v>
      </c>
      <c r="P4251" s="23" t="str">
        <f t="shared" si="200"/>
        <v>Sep</v>
      </c>
      <c r="Q4251" s="23" t="str">
        <f>IF(F4251="CAPTURE",IF(COUNTIF(orders!$A:$A,O4251)&gt;0,"Yes","NO ORDER"),"")</f>
        <v>Yes</v>
      </c>
    </row>
    <row r="4252" spans="1:17" ht="15" customHeight="1" x14ac:dyDescent="0.3">
      <c r="A4252" s="23" t="s">
        <v>17319</v>
      </c>
      <c r="B4252" s="23"/>
      <c r="C4252" s="23" t="s">
        <v>6703</v>
      </c>
      <c r="D4252" s="23" t="str">
        <f t="shared" si="198"/>
        <v>ORD26003103</v>
      </c>
      <c r="E4252" s="38">
        <v>46288</v>
      </c>
      <c r="F4252" s="23" t="s">
        <v>12410</v>
      </c>
      <c r="G4252" s="23" t="s">
        <v>79</v>
      </c>
      <c r="H4252" s="24">
        <v>13997</v>
      </c>
      <c r="I4252" s="24">
        <v>223.95</v>
      </c>
      <c r="J4252" s="24">
        <v>40.31</v>
      </c>
      <c r="K4252" s="24">
        <v>13732.74</v>
      </c>
      <c r="L4252" s="38">
        <v>46290</v>
      </c>
      <c r="M4252" s="23" t="s">
        <v>222</v>
      </c>
      <c r="N4252" s="23" t="str">
        <f>IF(COUNTIF($A$2:A4252,A4252)&gt;1,"DUP","OK")</f>
        <v>OK</v>
      </c>
      <c r="O4252" s="23" t="str">
        <f t="shared" si="199"/>
        <v>ORD26003103</v>
      </c>
      <c r="P4252" s="23" t="str">
        <f t="shared" si="200"/>
        <v>Sep</v>
      </c>
      <c r="Q4252" s="23" t="str">
        <f>IF(F4252="CAPTURE",IF(COUNTIF(orders!$A:$A,O4252)&gt;0,"Yes","NO ORDER"),"")</f>
        <v>Yes</v>
      </c>
    </row>
    <row r="4253" spans="1:17" ht="15" customHeight="1" x14ac:dyDescent="0.3">
      <c r="A4253" s="23" t="s">
        <v>17320</v>
      </c>
      <c r="B4253" s="23"/>
      <c r="C4253" s="23" t="s">
        <v>6882</v>
      </c>
      <c r="D4253" s="23" t="str">
        <f t="shared" si="198"/>
        <v>ORD26003192</v>
      </c>
      <c r="E4253" s="38">
        <v>46288</v>
      </c>
      <c r="F4253" s="23" t="s">
        <v>12410</v>
      </c>
      <c r="G4253" s="23" t="s">
        <v>79</v>
      </c>
      <c r="H4253" s="24">
        <v>499</v>
      </c>
      <c r="I4253" s="24">
        <v>8.98</v>
      </c>
      <c r="J4253" s="24">
        <v>1.62</v>
      </c>
      <c r="K4253" s="24">
        <v>488.4</v>
      </c>
      <c r="L4253" s="38">
        <v>46290</v>
      </c>
      <c r="M4253" s="23" t="s">
        <v>222</v>
      </c>
      <c r="N4253" s="23" t="str">
        <f>IF(COUNTIF($A$2:A4253,A4253)&gt;1,"DUP","OK")</f>
        <v>OK</v>
      </c>
      <c r="O4253" s="23" t="str">
        <f t="shared" si="199"/>
        <v>ORD26003192</v>
      </c>
      <c r="P4253" s="23" t="str">
        <f t="shared" si="200"/>
        <v>Sep</v>
      </c>
      <c r="Q4253" s="23" t="str">
        <f>IF(F4253="CAPTURE",IF(COUNTIF(orders!$A:$A,O4253)&gt;0,"Yes","NO ORDER"),"")</f>
        <v>Yes</v>
      </c>
    </row>
    <row r="4254" spans="1:17" ht="15" customHeight="1" x14ac:dyDescent="0.3">
      <c r="A4254" s="23" t="s">
        <v>17321</v>
      </c>
      <c r="B4254" s="23"/>
      <c r="C4254" s="23" t="s">
        <v>6961</v>
      </c>
      <c r="D4254" s="23" t="str">
        <f t="shared" si="198"/>
        <v>ORD26003232</v>
      </c>
      <c r="E4254" s="38">
        <v>46288</v>
      </c>
      <c r="F4254" s="23" t="s">
        <v>12410</v>
      </c>
      <c r="G4254" s="23" t="s">
        <v>75</v>
      </c>
      <c r="H4254" s="24">
        <v>999</v>
      </c>
      <c r="I4254" s="24">
        <v>0</v>
      </c>
      <c r="J4254" s="24">
        <v>0</v>
      </c>
      <c r="K4254" s="24">
        <v>999</v>
      </c>
      <c r="L4254" s="38">
        <v>46290</v>
      </c>
      <c r="M4254" s="23" t="s">
        <v>222</v>
      </c>
      <c r="N4254" s="23" t="str">
        <f>IF(COUNTIF($A$2:A4254,A4254)&gt;1,"DUP","OK")</f>
        <v>OK</v>
      </c>
      <c r="O4254" s="23" t="str">
        <f t="shared" si="199"/>
        <v>ORD26003232</v>
      </c>
      <c r="P4254" s="23" t="str">
        <f t="shared" si="200"/>
        <v>Sep</v>
      </c>
      <c r="Q4254" s="23" t="str">
        <f>IF(F4254="CAPTURE",IF(COUNTIF(orders!$A:$A,O4254)&gt;0,"Yes","NO ORDER"),"")</f>
        <v>Yes</v>
      </c>
    </row>
    <row r="4255" spans="1:17" ht="15" customHeight="1" x14ac:dyDescent="0.3">
      <c r="A4255" s="23" t="s">
        <v>17322</v>
      </c>
      <c r="B4255" s="23"/>
      <c r="C4255" s="23" t="s">
        <v>6964</v>
      </c>
      <c r="D4255" s="23" t="str">
        <f t="shared" si="198"/>
        <v>ORD26003234</v>
      </c>
      <c r="E4255" s="38">
        <v>46288</v>
      </c>
      <c r="F4255" s="23" t="s">
        <v>12410</v>
      </c>
      <c r="G4255" s="23" t="s">
        <v>75</v>
      </c>
      <c r="H4255" s="24">
        <v>8498</v>
      </c>
      <c r="I4255" s="24">
        <v>25.49</v>
      </c>
      <c r="J4255" s="24">
        <v>4.59</v>
      </c>
      <c r="K4255" s="24">
        <v>8467.92</v>
      </c>
      <c r="L4255" s="38">
        <v>46290</v>
      </c>
      <c r="M4255" s="23" t="s">
        <v>222</v>
      </c>
      <c r="N4255" s="23" t="str">
        <f>IF(COUNTIF($A$2:A4255,A4255)&gt;1,"DUP","OK")</f>
        <v>OK</v>
      </c>
      <c r="O4255" s="23" t="str">
        <f t="shared" si="199"/>
        <v>ORD26003234</v>
      </c>
      <c r="P4255" s="23" t="str">
        <f t="shared" si="200"/>
        <v>Sep</v>
      </c>
      <c r="Q4255" s="23" t="str">
        <f>IF(F4255="CAPTURE",IF(COUNTIF(orders!$A:$A,O4255)&gt;0,"Yes","NO ORDER"),"")</f>
        <v>Yes</v>
      </c>
    </row>
    <row r="4256" spans="1:17" ht="15" customHeight="1" x14ac:dyDescent="0.3">
      <c r="A4256" s="23" t="s">
        <v>17323</v>
      </c>
      <c r="B4256" s="23"/>
      <c r="C4256" s="23" t="s">
        <v>17324</v>
      </c>
      <c r="D4256" s="23" t="str">
        <f t="shared" si="198"/>
        <v>ORD26003301</v>
      </c>
      <c r="E4256" s="38">
        <v>46288</v>
      </c>
      <c r="F4256" s="23" t="s">
        <v>12410</v>
      </c>
      <c r="G4256" s="23" t="s">
        <v>75</v>
      </c>
      <c r="H4256" s="24">
        <v>999</v>
      </c>
      <c r="I4256" s="24">
        <v>0</v>
      </c>
      <c r="J4256" s="24">
        <v>0</v>
      </c>
      <c r="K4256" s="24">
        <v>999</v>
      </c>
      <c r="L4256" s="38">
        <v>46290</v>
      </c>
      <c r="M4256" s="23" t="s">
        <v>222</v>
      </c>
      <c r="N4256" s="23" t="str">
        <f>IF(COUNTIF($A$2:A4256,A4256)&gt;1,"DUP","OK")</f>
        <v>OK</v>
      </c>
      <c r="O4256" s="23" t="str">
        <f t="shared" si="199"/>
        <v>ORD26003301</v>
      </c>
      <c r="P4256" s="23" t="str">
        <f t="shared" si="200"/>
        <v>Sep</v>
      </c>
      <c r="Q4256" s="23" t="str">
        <f>IF(F4256="CAPTURE",IF(COUNTIF(orders!$A:$A,O4256)&gt;0,"Yes","NO ORDER"),"")</f>
        <v>Yes</v>
      </c>
    </row>
    <row r="4257" spans="1:17" ht="15" customHeight="1" x14ac:dyDescent="0.3">
      <c r="A4257" s="23" t="s">
        <v>17325</v>
      </c>
      <c r="B4257" s="23"/>
      <c r="C4257" s="23" t="s">
        <v>7119</v>
      </c>
      <c r="D4257" s="23" t="str">
        <f t="shared" si="198"/>
        <v>ORD26003311</v>
      </c>
      <c r="E4257" s="38">
        <v>46288</v>
      </c>
      <c r="F4257" s="23" t="s">
        <v>12410</v>
      </c>
      <c r="G4257" s="23" t="s">
        <v>75</v>
      </c>
      <c r="H4257" s="24">
        <v>1598</v>
      </c>
      <c r="I4257" s="24">
        <v>0</v>
      </c>
      <c r="J4257" s="24">
        <v>0</v>
      </c>
      <c r="K4257" s="24">
        <v>1598</v>
      </c>
      <c r="L4257" s="38">
        <v>46290</v>
      </c>
      <c r="M4257" s="23" t="s">
        <v>222</v>
      </c>
      <c r="N4257" s="23" t="str">
        <f>IF(COUNTIF($A$2:A4257,A4257)&gt;1,"DUP","OK")</f>
        <v>OK</v>
      </c>
      <c r="O4257" s="23" t="str">
        <f t="shared" si="199"/>
        <v>ORD26003311</v>
      </c>
      <c r="P4257" s="23" t="str">
        <f t="shared" si="200"/>
        <v>Sep</v>
      </c>
      <c r="Q4257" s="23" t="str">
        <f>IF(F4257="CAPTURE",IF(COUNTIF(orders!$A:$A,O4257)&gt;0,"Yes","NO ORDER"),"")</f>
        <v>Yes</v>
      </c>
    </row>
    <row r="4258" spans="1:17" ht="15" customHeight="1" x14ac:dyDescent="0.3">
      <c r="A4258" s="23" t="s">
        <v>17326</v>
      </c>
      <c r="B4258" s="23"/>
      <c r="C4258" s="23" t="s">
        <v>7170</v>
      </c>
      <c r="D4258" s="23" t="str">
        <f t="shared" si="198"/>
        <v>ORD26003336</v>
      </c>
      <c r="E4258" s="38">
        <v>46288</v>
      </c>
      <c r="F4258" s="23" t="s">
        <v>12410</v>
      </c>
      <c r="G4258" s="23" t="s">
        <v>75</v>
      </c>
      <c r="H4258" s="24">
        <v>2999</v>
      </c>
      <c r="I4258" s="24">
        <v>9</v>
      </c>
      <c r="J4258" s="24">
        <v>1.62</v>
      </c>
      <c r="K4258" s="24">
        <v>2988.38</v>
      </c>
      <c r="L4258" s="38">
        <v>46290</v>
      </c>
      <c r="M4258" s="23" t="s">
        <v>222</v>
      </c>
      <c r="N4258" s="23" t="str">
        <f>IF(COUNTIF($A$2:A4258,A4258)&gt;1,"DUP","OK")</f>
        <v>OK</v>
      </c>
      <c r="O4258" s="23" t="str">
        <f t="shared" si="199"/>
        <v>ORD26003336</v>
      </c>
      <c r="P4258" s="23" t="str">
        <f t="shared" si="200"/>
        <v>Sep</v>
      </c>
      <c r="Q4258" s="23" t="str">
        <f>IF(F4258="CAPTURE",IF(COUNTIF(orders!$A:$A,O4258)&gt;0,"Yes","NO ORDER"),"")</f>
        <v>Yes</v>
      </c>
    </row>
    <row r="4259" spans="1:17" ht="15" customHeight="1" x14ac:dyDescent="0.3">
      <c r="A4259" s="23" t="s">
        <v>17327</v>
      </c>
      <c r="B4259" s="23"/>
      <c r="C4259" s="23" t="s">
        <v>7353</v>
      </c>
      <c r="D4259" s="23" t="str">
        <f t="shared" si="198"/>
        <v>ORD26003427</v>
      </c>
      <c r="E4259" s="38">
        <v>46288</v>
      </c>
      <c r="F4259" s="23" t="s">
        <v>12410</v>
      </c>
      <c r="G4259" s="23" t="s">
        <v>79</v>
      </c>
      <c r="H4259" s="24">
        <v>349</v>
      </c>
      <c r="I4259" s="24">
        <v>6.28</v>
      </c>
      <c r="J4259" s="24">
        <v>1.1299999999999999</v>
      </c>
      <c r="K4259" s="24">
        <v>341.59</v>
      </c>
      <c r="L4259" s="38">
        <v>46290</v>
      </c>
      <c r="M4259" s="23" t="s">
        <v>222</v>
      </c>
      <c r="N4259" s="23" t="str">
        <f>IF(COUNTIF($A$2:A4259,A4259)&gt;1,"DUP","OK")</f>
        <v>OK</v>
      </c>
      <c r="O4259" s="23" t="str">
        <f t="shared" si="199"/>
        <v>ORD26003427</v>
      </c>
      <c r="P4259" s="23" t="str">
        <f t="shared" si="200"/>
        <v>Sep</v>
      </c>
      <c r="Q4259" s="23" t="str">
        <f>IF(F4259="CAPTURE",IF(COUNTIF(orders!$A:$A,O4259)&gt;0,"Yes","NO ORDER"),"")</f>
        <v>Yes</v>
      </c>
    </row>
    <row r="4260" spans="1:17" ht="15" customHeight="1" x14ac:dyDescent="0.3">
      <c r="A4260" s="23" t="s">
        <v>17328</v>
      </c>
      <c r="B4260" s="23"/>
      <c r="C4260" s="23" t="s">
        <v>7474</v>
      </c>
      <c r="D4260" s="23" t="str">
        <f t="shared" si="198"/>
        <v>ORD26003488</v>
      </c>
      <c r="E4260" s="38">
        <v>46288</v>
      </c>
      <c r="F4260" s="23" t="s">
        <v>12410</v>
      </c>
      <c r="G4260" s="23" t="s">
        <v>75</v>
      </c>
      <c r="H4260" s="24">
        <v>1299</v>
      </c>
      <c r="I4260" s="24">
        <v>0</v>
      </c>
      <c r="J4260" s="24">
        <v>0</v>
      </c>
      <c r="K4260" s="24">
        <v>1299</v>
      </c>
      <c r="L4260" s="38">
        <v>46290</v>
      </c>
      <c r="M4260" s="23" t="s">
        <v>222</v>
      </c>
      <c r="N4260" s="23" t="str">
        <f>IF(COUNTIF($A$2:A4260,A4260)&gt;1,"DUP","OK")</f>
        <v>OK</v>
      </c>
      <c r="O4260" s="23" t="str">
        <f t="shared" si="199"/>
        <v>ORD26003488</v>
      </c>
      <c r="P4260" s="23" t="str">
        <f t="shared" si="200"/>
        <v>Sep</v>
      </c>
      <c r="Q4260" s="23" t="str">
        <f>IF(F4260="CAPTURE",IF(COUNTIF(orders!$A:$A,O4260)&gt;0,"Yes","NO ORDER"),"")</f>
        <v>Yes</v>
      </c>
    </row>
    <row r="4261" spans="1:17" ht="15" customHeight="1" x14ac:dyDescent="0.3">
      <c r="A4261" s="23" t="s">
        <v>17329</v>
      </c>
      <c r="B4261" s="23"/>
      <c r="C4261" s="23" t="s">
        <v>7528</v>
      </c>
      <c r="D4261" s="23" t="str">
        <f t="shared" si="198"/>
        <v>ORD26003515</v>
      </c>
      <c r="E4261" s="38">
        <v>46288</v>
      </c>
      <c r="F4261" s="23" t="s">
        <v>12410</v>
      </c>
      <c r="G4261" s="23" t="s">
        <v>75</v>
      </c>
      <c r="H4261" s="24">
        <v>999</v>
      </c>
      <c r="I4261" s="24">
        <v>0</v>
      </c>
      <c r="J4261" s="24">
        <v>0</v>
      </c>
      <c r="K4261" s="24">
        <v>999</v>
      </c>
      <c r="L4261" s="38">
        <v>46290</v>
      </c>
      <c r="M4261" s="23" t="s">
        <v>222</v>
      </c>
      <c r="N4261" s="23" t="str">
        <f>IF(COUNTIF($A$2:A4261,A4261)&gt;1,"DUP","OK")</f>
        <v>OK</v>
      </c>
      <c r="O4261" s="23" t="str">
        <f t="shared" si="199"/>
        <v>ORD26003515</v>
      </c>
      <c r="P4261" s="23" t="str">
        <f t="shared" si="200"/>
        <v>Sep</v>
      </c>
      <c r="Q4261" s="23" t="str">
        <f>IF(F4261="CAPTURE",IF(COUNTIF(orders!$A:$A,O4261)&gt;0,"Yes","NO ORDER"),"")</f>
        <v>Yes</v>
      </c>
    </row>
    <row r="4262" spans="1:17" ht="15" customHeight="1" x14ac:dyDescent="0.3">
      <c r="A4262" s="23" t="s">
        <v>17330</v>
      </c>
      <c r="B4262" s="23"/>
      <c r="C4262" s="23" t="s">
        <v>7529</v>
      </c>
      <c r="D4262" s="23" t="str">
        <f t="shared" si="198"/>
        <v>ORD26003516</v>
      </c>
      <c r="E4262" s="38">
        <v>46288</v>
      </c>
      <c r="F4262" s="23" t="s">
        <v>12410</v>
      </c>
      <c r="G4262" s="23" t="s">
        <v>75</v>
      </c>
      <c r="H4262" s="24">
        <v>599</v>
      </c>
      <c r="I4262" s="24">
        <v>0</v>
      </c>
      <c r="J4262" s="24">
        <v>0</v>
      </c>
      <c r="K4262" s="24">
        <v>599</v>
      </c>
      <c r="L4262" s="38">
        <v>46290</v>
      </c>
      <c r="M4262" s="23" t="s">
        <v>222</v>
      </c>
      <c r="N4262" s="23" t="str">
        <f>IF(COUNTIF($A$2:A4262,A4262)&gt;1,"DUP","OK")</f>
        <v>OK</v>
      </c>
      <c r="O4262" s="23" t="str">
        <f t="shared" si="199"/>
        <v>ORD26003516</v>
      </c>
      <c r="P4262" s="23" t="str">
        <f t="shared" si="200"/>
        <v>Sep</v>
      </c>
      <c r="Q4262" s="23" t="str">
        <f>IF(F4262="CAPTURE",IF(COUNTIF(orders!$A:$A,O4262)&gt;0,"Yes","NO ORDER"),"")</f>
        <v>Yes</v>
      </c>
    </row>
    <row r="4263" spans="1:17" ht="15" customHeight="1" x14ac:dyDescent="0.3">
      <c r="A4263" s="23" t="s">
        <v>17331</v>
      </c>
      <c r="B4263" s="23"/>
      <c r="C4263" s="23" t="s">
        <v>7568</v>
      </c>
      <c r="D4263" s="23" t="str">
        <f t="shared" si="198"/>
        <v>ORD26003536</v>
      </c>
      <c r="E4263" s="38">
        <v>46288</v>
      </c>
      <c r="F4263" s="23" t="s">
        <v>12410</v>
      </c>
      <c r="G4263" s="23" t="s">
        <v>81</v>
      </c>
      <c r="H4263" s="24">
        <v>2798</v>
      </c>
      <c r="I4263" s="24">
        <v>33.58</v>
      </c>
      <c r="J4263" s="24">
        <v>6.04</v>
      </c>
      <c r="K4263" s="24">
        <v>2758.38</v>
      </c>
      <c r="L4263" s="38">
        <v>46290</v>
      </c>
      <c r="M4263" s="23" t="s">
        <v>222</v>
      </c>
      <c r="N4263" s="23" t="str">
        <f>IF(COUNTIF($A$2:A4263,A4263)&gt;1,"DUP","OK")</f>
        <v>OK</v>
      </c>
      <c r="O4263" s="23" t="str">
        <f t="shared" si="199"/>
        <v>ORD26003536</v>
      </c>
      <c r="P4263" s="23" t="str">
        <f t="shared" si="200"/>
        <v>Sep</v>
      </c>
      <c r="Q4263" s="23" t="str">
        <f>IF(F4263="CAPTURE",IF(COUNTIF(orders!$A:$A,O4263)&gt;0,"Yes","NO ORDER"),"")</f>
        <v>Yes</v>
      </c>
    </row>
    <row r="4264" spans="1:17" ht="15" customHeight="1" x14ac:dyDescent="0.3">
      <c r="A4264" s="23" t="s">
        <v>17332</v>
      </c>
      <c r="B4264" s="23"/>
      <c r="C4264" s="23" t="s">
        <v>7621</v>
      </c>
      <c r="D4264" s="23" t="str">
        <f t="shared" si="198"/>
        <v>ORD26003563</v>
      </c>
      <c r="E4264" s="38">
        <v>46288</v>
      </c>
      <c r="F4264" s="23" t="s">
        <v>12410</v>
      </c>
      <c r="G4264" s="23" t="s">
        <v>75</v>
      </c>
      <c r="H4264" s="24">
        <v>349</v>
      </c>
      <c r="I4264" s="24">
        <v>0</v>
      </c>
      <c r="J4264" s="24">
        <v>0</v>
      </c>
      <c r="K4264" s="24">
        <v>349</v>
      </c>
      <c r="L4264" s="38">
        <v>46290</v>
      </c>
      <c r="M4264" s="23" t="s">
        <v>222</v>
      </c>
      <c r="N4264" s="23" t="str">
        <f>IF(COUNTIF($A$2:A4264,A4264)&gt;1,"DUP","OK")</f>
        <v>OK</v>
      </c>
      <c r="O4264" s="23" t="str">
        <f t="shared" si="199"/>
        <v>ORD26003563</v>
      </c>
      <c r="P4264" s="23" t="str">
        <f t="shared" si="200"/>
        <v>Sep</v>
      </c>
      <c r="Q4264" s="23" t="str">
        <f>IF(F4264="CAPTURE",IF(COUNTIF(orders!$A:$A,O4264)&gt;0,"Yes","NO ORDER"),"")</f>
        <v>Yes</v>
      </c>
    </row>
    <row r="4265" spans="1:17" ht="15" customHeight="1" x14ac:dyDescent="0.3">
      <c r="A4265" s="23" t="s">
        <v>17333</v>
      </c>
      <c r="B4265" s="23"/>
      <c r="C4265" s="23" t="s">
        <v>7630</v>
      </c>
      <c r="D4265" s="23" t="str">
        <f t="shared" si="198"/>
        <v>ORD26003567</v>
      </c>
      <c r="E4265" s="38">
        <v>46288</v>
      </c>
      <c r="F4265" s="23" t="s">
        <v>12410</v>
      </c>
      <c r="G4265" s="23" t="s">
        <v>75</v>
      </c>
      <c r="H4265" s="24">
        <v>9297</v>
      </c>
      <c r="I4265" s="24">
        <v>27.89</v>
      </c>
      <c r="J4265" s="24">
        <v>5.0199999999999996</v>
      </c>
      <c r="K4265" s="24">
        <v>9264.09</v>
      </c>
      <c r="L4265" s="38">
        <v>46290</v>
      </c>
      <c r="M4265" s="23" t="s">
        <v>222</v>
      </c>
      <c r="N4265" s="23" t="str">
        <f>IF(COUNTIF($A$2:A4265,A4265)&gt;1,"DUP","OK")</f>
        <v>OK</v>
      </c>
      <c r="O4265" s="23" t="str">
        <f t="shared" si="199"/>
        <v>ORD26003567</v>
      </c>
      <c r="P4265" s="23" t="str">
        <f t="shared" si="200"/>
        <v>Sep</v>
      </c>
      <c r="Q4265" s="23" t="str">
        <f>IF(F4265="CAPTURE",IF(COUNTIF(orders!$A:$A,O4265)&gt;0,"Yes","NO ORDER"),"")</f>
        <v>Yes</v>
      </c>
    </row>
    <row r="4266" spans="1:17" ht="15" customHeight="1" x14ac:dyDescent="0.3">
      <c r="A4266" s="23" t="s">
        <v>17334</v>
      </c>
      <c r="B4266" s="23"/>
      <c r="C4266" s="23" t="s">
        <v>7632</v>
      </c>
      <c r="D4266" s="23" t="str">
        <f t="shared" si="198"/>
        <v>ORD26003568</v>
      </c>
      <c r="E4266" s="38">
        <v>46288</v>
      </c>
      <c r="F4266" s="23" t="s">
        <v>12410</v>
      </c>
      <c r="G4266" s="23" t="s">
        <v>75</v>
      </c>
      <c r="H4266" s="24">
        <v>2999</v>
      </c>
      <c r="I4266" s="24">
        <v>9</v>
      </c>
      <c r="J4266" s="24">
        <v>1.62</v>
      </c>
      <c r="K4266" s="24">
        <v>2988.38</v>
      </c>
      <c r="L4266" s="38">
        <v>46290</v>
      </c>
      <c r="M4266" s="23" t="s">
        <v>222</v>
      </c>
      <c r="N4266" s="23" t="str">
        <f>IF(COUNTIF($A$2:A4266,A4266)&gt;1,"DUP","OK")</f>
        <v>OK</v>
      </c>
      <c r="O4266" s="23" t="str">
        <f t="shared" si="199"/>
        <v>ORD26003568</v>
      </c>
      <c r="P4266" s="23" t="str">
        <f t="shared" si="200"/>
        <v>Sep</v>
      </c>
      <c r="Q4266" s="23" t="str">
        <f>IF(F4266="CAPTURE",IF(COUNTIF(orders!$A:$A,O4266)&gt;0,"Yes","NO ORDER"),"")</f>
        <v>Yes</v>
      </c>
    </row>
    <row r="4267" spans="1:17" ht="15" customHeight="1" x14ac:dyDescent="0.3">
      <c r="A4267" s="23" t="s">
        <v>17335</v>
      </c>
      <c r="B4267" s="23"/>
      <c r="C4267" s="23" t="s">
        <v>7650</v>
      </c>
      <c r="D4267" s="23" t="str">
        <f t="shared" si="198"/>
        <v>ORD26003577</v>
      </c>
      <c r="E4267" s="38">
        <v>46288</v>
      </c>
      <c r="F4267" s="23" t="s">
        <v>12410</v>
      </c>
      <c r="G4267" s="23" t="s">
        <v>77</v>
      </c>
      <c r="H4267" s="24">
        <v>5498</v>
      </c>
      <c r="I4267" s="24">
        <v>131.94999999999999</v>
      </c>
      <c r="J4267" s="24">
        <v>23.75</v>
      </c>
      <c r="K4267" s="24">
        <v>5342.3</v>
      </c>
      <c r="L4267" s="38">
        <v>46290</v>
      </c>
      <c r="M4267" s="23" t="s">
        <v>222</v>
      </c>
      <c r="N4267" s="23" t="str">
        <f>IF(COUNTIF($A$2:A4267,A4267)&gt;1,"DUP","OK")</f>
        <v>OK</v>
      </c>
      <c r="O4267" s="23" t="str">
        <f t="shared" si="199"/>
        <v>ORD26003577</v>
      </c>
      <c r="P4267" s="23" t="str">
        <f t="shared" si="200"/>
        <v>Sep</v>
      </c>
      <c r="Q4267" s="23" t="str">
        <f>IF(F4267="CAPTURE",IF(COUNTIF(orders!$A:$A,O4267)&gt;0,"Yes","NO ORDER"),"")</f>
        <v>Yes</v>
      </c>
    </row>
    <row r="4268" spans="1:17" ht="15" customHeight="1" x14ac:dyDescent="0.3">
      <c r="A4268" s="23" t="s">
        <v>17336</v>
      </c>
      <c r="B4268" s="23"/>
      <c r="C4268" s="23" t="s">
        <v>7828</v>
      </c>
      <c r="D4268" s="23" t="str">
        <f t="shared" si="198"/>
        <v>ORD26003669</v>
      </c>
      <c r="E4268" s="38">
        <v>46288</v>
      </c>
      <c r="F4268" s="23" t="s">
        <v>12410</v>
      </c>
      <c r="G4268" s="23" t="s">
        <v>79</v>
      </c>
      <c r="H4268" s="24">
        <v>9498</v>
      </c>
      <c r="I4268" s="24">
        <v>151.97</v>
      </c>
      <c r="J4268" s="24">
        <v>27.35</v>
      </c>
      <c r="K4268" s="24">
        <v>9318.68</v>
      </c>
      <c r="L4268" s="38">
        <v>46290</v>
      </c>
      <c r="M4268" s="23" t="s">
        <v>222</v>
      </c>
      <c r="N4268" s="23" t="str">
        <f>IF(COUNTIF($A$2:A4268,A4268)&gt;1,"DUP","OK")</f>
        <v>OK</v>
      </c>
      <c r="O4268" s="23" t="str">
        <f t="shared" si="199"/>
        <v>ORD26003669</v>
      </c>
      <c r="P4268" s="23" t="str">
        <f t="shared" si="200"/>
        <v>Sep</v>
      </c>
      <c r="Q4268" s="23" t="str">
        <f>IF(F4268="CAPTURE",IF(COUNTIF(orders!$A:$A,O4268)&gt;0,"Yes","NO ORDER"),"")</f>
        <v>Yes</v>
      </c>
    </row>
    <row r="4269" spans="1:17" ht="15" customHeight="1" x14ac:dyDescent="0.3">
      <c r="A4269" s="23" t="s">
        <v>17337</v>
      </c>
      <c r="B4269" s="23"/>
      <c r="C4269" s="23" t="s">
        <v>7930</v>
      </c>
      <c r="D4269" s="23" t="str">
        <f t="shared" si="198"/>
        <v>ORD26003721</v>
      </c>
      <c r="E4269" s="38">
        <v>46288</v>
      </c>
      <c r="F4269" s="23" t="s">
        <v>12410</v>
      </c>
      <c r="G4269" s="23" t="s">
        <v>75</v>
      </c>
      <c r="H4269" s="24">
        <v>349</v>
      </c>
      <c r="I4269" s="24">
        <v>0</v>
      </c>
      <c r="J4269" s="24">
        <v>0</v>
      </c>
      <c r="K4269" s="24">
        <v>349</v>
      </c>
      <c r="L4269" s="38">
        <v>46290</v>
      </c>
      <c r="M4269" s="23" t="s">
        <v>222</v>
      </c>
      <c r="N4269" s="23" t="str">
        <f>IF(COUNTIF($A$2:A4269,A4269)&gt;1,"DUP","OK")</f>
        <v>OK</v>
      </c>
      <c r="O4269" s="23" t="str">
        <f t="shared" si="199"/>
        <v>ORD26003721</v>
      </c>
      <c r="P4269" s="23" t="str">
        <f t="shared" si="200"/>
        <v>Sep</v>
      </c>
      <c r="Q4269" s="23" t="str">
        <f>IF(F4269="CAPTURE",IF(COUNTIF(orders!$A:$A,O4269)&gt;0,"Yes","NO ORDER"),"")</f>
        <v>Yes</v>
      </c>
    </row>
    <row r="4270" spans="1:17" ht="15" customHeight="1" x14ac:dyDescent="0.3">
      <c r="A4270" s="23" t="s">
        <v>17338</v>
      </c>
      <c r="B4270" s="23"/>
      <c r="C4270" s="23" t="s">
        <v>17339</v>
      </c>
      <c r="D4270" s="23" t="str">
        <f t="shared" si="198"/>
        <v>ORD26003750</v>
      </c>
      <c r="E4270" s="38">
        <v>46288</v>
      </c>
      <c r="F4270" s="23" t="s">
        <v>12410</v>
      </c>
      <c r="G4270" s="23" t="s">
        <v>75</v>
      </c>
      <c r="H4270" s="24">
        <v>999</v>
      </c>
      <c r="I4270" s="24">
        <v>0</v>
      </c>
      <c r="J4270" s="24">
        <v>0</v>
      </c>
      <c r="K4270" s="24">
        <v>999</v>
      </c>
      <c r="L4270" s="38">
        <v>46290</v>
      </c>
      <c r="M4270" s="23" t="s">
        <v>222</v>
      </c>
      <c r="N4270" s="23" t="str">
        <f>IF(COUNTIF($A$2:A4270,A4270)&gt;1,"DUP","OK")</f>
        <v>OK</v>
      </c>
      <c r="O4270" s="23" t="str">
        <f t="shared" si="199"/>
        <v>ORD26003750</v>
      </c>
      <c r="P4270" s="23" t="str">
        <f t="shared" si="200"/>
        <v>Sep</v>
      </c>
      <c r="Q4270" s="23" t="str">
        <f>IF(F4270="CAPTURE",IF(COUNTIF(orders!$A:$A,O4270)&gt;0,"Yes","NO ORDER"),"")</f>
        <v>Yes</v>
      </c>
    </row>
    <row r="4271" spans="1:17" ht="15" customHeight="1" x14ac:dyDescent="0.3">
      <c r="A4271" s="23" t="s">
        <v>17340</v>
      </c>
      <c r="B4271" s="23"/>
      <c r="C4271" s="23" t="s">
        <v>8032</v>
      </c>
      <c r="D4271" s="23" t="str">
        <f t="shared" si="198"/>
        <v>ORD26003772</v>
      </c>
      <c r="E4271" s="38">
        <v>46288</v>
      </c>
      <c r="F4271" s="23" t="s">
        <v>12410</v>
      </c>
      <c r="G4271" s="23" t="s">
        <v>75</v>
      </c>
      <c r="H4271" s="24">
        <v>5598</v>
      </c>
      <c r="I4271" s="24">
        <v>16.79</v>
      </c>
      <c r="J4271" s="24">
        <v>3.02</v>
      </c>
      <c r="K4271" s="24">
        <v>5578.19</v>
      </c>
      <c r="L4271" s="38">
        <v>46290</v>
      </c>
      <c r="M4271" s="23" t="s">
        <v>222</v>
      </c>
      <c r="N4271" s="23" t="str">
        <f>IF(COUNTIF($A$2:A4271,A4271)&gt;1,"DUP","OK")</f>
        <v>OK</v>
      </c>
      <c r="O4271" s="23" t="str">
        <f t="shared" si="199"/>
        <v>ORD26003772</v>
      </c>
      <c r="P4271" s="23" t="str">
        <f t="shared" si="200"/>
        <v>Sep</v>
      </c>
      <c r="Q4271" s="23" t="str">
        <f>IF(F4271="CAPTURE",IF(COUNTIF(orders!$A:$A,O4271)&gt;0,"Yes","NO ORDER"),"")</f>
        <v>Yes</v>
      </c>
    </row>
    <row r="4272" spans="1:17" ht="15" customHeight="1" x14ac:dyDescent="0.3">
      <c r="A4272" s="23" t="s">
        <v>17341</v>
      </c>
      <c r="B4272" s="23"/>
      <c r="C4272" s="23" t="s">
        <v>17342</v>
      </c>
      <c r="D4272" s="23" t="str">
        <f t="shared" si="198"/>
        <v>ORD26003801</v>
      </c>
      <c r="E4272" s="38">
        <v>46288</v>
      </c>
      <c r="F4272" s="23" t="s">
        <v>12410</v>
      </c>
      <c r="G4272" s="23" t="s">
        <v>81</v>
      </c>
      <c r="H4272" s="24">
        <v>7998</v>
      </c>
      <c r="I4272" s="24">
        <v>95.98</v>
      </c>
      <c r="J4272" s="24">
        <v>17.28</v>
      </c>
      <c r="K4272" s="24">
        <v>7884.74</v>
      </c>
      <c r="L4272" s="38">
        <v>46290</v>
      </c>
      <c r="M4272" s="23" t="s">
        <v>222</v>
      </c>
      <c r="N4272" s="23" t="str">
        <f>IF(COUNTIF($A$2:A4272,A4272)&gt;1,"DUP","OK")</f>
        <v>OK</v>
      </c>
      <c r="O4272" s="23" t="str">
        <f t="shared" si="199"/>
        <v>ORD26003801</v>
      </c>
      <c r="P4272" s="23" t="str">
        <f t="shared" si="200"/>
        <v>Sep</v>
      </c>
      <c r="Q4272" s="23" t="str">
        <f>IF(F4272="CAPTURE",IF(COUNTIF(orders!$A:$A,O4272)&gt;0,"Yes","NO ORDER"),"")</f>
        <v>Yes</v>
      </c>
    </row>
    <row r="4273" spans="1:17" ht="15" customHeight="1" x14ac:dyDescent="0.3">
      <c r="A4273" s="23" t="s">
        <v>17343</v>
      </c>
      <c r="B4273" s="23"/>
      <c r="C4273" s="23" t="s">
        <v>17344</v>
      </c>
      <c r="D4273" s="23" t="str">
        <f t="shared" si="198"/>
        <v>ORD26003803</v>
      </c>
      <c r="E4273" s="38">
        <v>46288</v>
      </c>
      <c r="F4273" s="23" t="s">
        <v>12410</v>
      </c>
      <c r="G4273" s="23" t="s">
        <v>75</v>
      </c>
      <c r="H4273" s="24">
        <v>499</v>
      </c>
      <c r="I4273" s="24">
        <v>0</v>
      </c>
      <c r="J4273" s="24">
        <v>0</v>
      </c>
      <c r="K4273" s="24">
        <v>499</v>
      </c>
      <c r="L4273" s="38">
        <v>46290</v>
      </c>
      <c r="M4273" s="23" t="s">
        <v>222</v>
      </c>
      <c r="N4273" s="23" t="str">
        <f>IF(COUNTIF($A$2:A4273,A4273)&gt;1,"DUP","OK")</f>
        <v>OK</v>
      </c>
      <c r="O4273" s="23" t="str">
        <f t="shared" si="199"/>
        <v>ORD26003803</v>
      </c>
      <c r="P4273" s="23" t="str">
        <f t="shared" si="200"/>
        <v>Sep</v>
      </c>
      <c r="Q4273" s="23" t="str">
        <f>IF(F4273="CAPTURE",IF(COUNTIF(orders!$A:$A,O4273)&gt;0,"Yes","NO ORDER"),"")</f>
        <v>Yes</v>
      </c>
    </row>
    <row r="4274" spans="1:17" ht="15" customHeight="1" x14ac:dyDescent="0.3">
      <c r="A4274" s="23" t="s">
        <v>17345</v>
      </c>
      <c r="B4274" s="23"/>
      <c r="C4274" s="23" t="s">
        <v>8100</v>
      </c>
      <c r="D4274" s="23" t="str">
        <f t="shared" si="198"/>
        <v>ORD26003806</v>
      </c>
      <c r="E4274" s="38">
        <v>46288</v>
      </c>
      <c r="F4274" s="23" t="s">
        <v>12410</v>
      </c>
      <c r="G4274" s="23" t="s">
        <v>75</v>
      </c>
      <c r="H4274" s="24">
        <v>5298</v>
      </c>
      <c r="I4274" s="24">
        <v>15.89</v>
      </c>
      <c r="J4274" s="24">
        <v>2.86</v>
      </c>
      <c r="K4274" s="24">
        <v>5279.25</v>
      </c>
      <c r="L4274" s="38">
        <v>46290</v>
      </c>
      <c r="M4274" s="23" t="s">
        <v>222</v>
      </c>
      <c r="N4274" s="23" t="str">
        <f>IF(COUNTIF($A$2:A4274,A4274)&gt;1,"DUP","OK")</f>
        <v>OK</v>
      </c>
      <c r="O4274" s="23" t="str">
        <f t="shared" si="199"/>
        <v>ORD26003806</v>
      </c>
      <c r="P4274" s="23" t="str">
        <f t="shared" si="200"/>
        <v>Sep</v>
      </c>
      <c r="Q4274" s="23" t="str">
        <f>IF(F4274="CAPTURE",IF(COUNTIF(orders!$A:$A,O4274)&gt;0,"Yes","NO ORDER"),"")</f>
        <v>Yes</v>
      </c>
    </row>
    <row r="4275" spans="1:17" ht="15" customHeight="1" x14ac:dyDescent="0.3">
      <c r="A4275" s="23" t="s">
        <v>17346</v>
      </c>
      <c r="B4275" s="23"/>
      <c r="C4275" s="23" t="s">
        <v>8158</v>
      </c>
      <c r="D4275" s="23" t="str">
        <f t="shared" si="198"/>
        <v>ORD26003835</v>
      </c>
      <c r="E4275" s="38">
        <v>46288</v>
      </c>
      <c r="F4275" s="23" t="s">
        <v>12410</v>
      </c>
      <c r="G4275" s="23" t="s">
        <v>75</v>
      </c>
      <c r="H4275" s="24">
        <v>798</v>
      </c>
      <c r="I4275" s="24">
        <v>0</v>
      </c>
      <c r="J4275" s="24">
        <v>0</v>
      </c>
      <c r="K4275" s="24">
        <v>798</v>
      </c>
      <c r="L4275" s="38">
        <v>46290</v>
      </c>
      <c r="M4275" s="23" t="s">
        <v>222</v>
      </c>
      <c r="N4275" s="23" t="str">
        <f>IF(COUNTIF($A$2:A4275,A4275)&gt;1,"DUP","OK")</f>
        <v>OK</v>
      </c>
      <c r="O4275" s="23" t="str">
        <f t="shared" si="199"/>
        <v>ORD26003835</v>
      </c>
      <c r="P4275" s="23" t="str">
        <f t="shared" si="200"/>
        <v>Sep</v>
      </c>
      <c r="Q4275" s="23" t="str">
        <f>IF(F4275="CAPTURE",IF(COUNTIF(orders!$A:$A,O4275)&gt;0,"Yes","NO ORDER"),"")</f>
        <v>Yes</v>
      </c>
    </row>
    <row r="4276" spans="1:17" ht="15" customHeight="1" x14ac:dyDescent="0.3">
      <c r="A4276" s="23" t="s">
        <v>17347</v>
      </c>
      <c r="B4276" s="23"/>
      <c r="C4276" s="23" t="s">
        <v>8168</v>
      </c>
      <c r="D4276" s="23" t="str">
        <f t="shared" si="198"/>
        <v>ORD26003840</v>
      </c>
      <c r="E4276" s="38">
        <v>46288</v>
      </c>
      <c r="F4276" s="23" t="s">
        <v>12410</v>
      </c>
      <c r="G4276" s="23" t="s">
        <v>75</v>
      </c>
      <c r="H4276" s="24">
        <v>349</v>
      </c>
      <c r="I4276" s="24">
        <v>0</v>
      </c>
      <c r="J4276" s="24">
        <v>0</v>
      </c>
      <c r="K4276" s="24">
        <v>349</v>
      </c>
      <c r="L4276" s="38">
        <v>46290</v>
      </c>
      <c r="M4276" s="23" t="s">
        <v>222</v>
      </c>
      <c r="N4276" s="23" t="str">
        <f>IF(COUNTIF($A$2:A4276,A4276)&gt;1,"DUP","OK")</f>
        <v>OK</v>
      </c>
      <c r="O4276" s="23" t="str">
        <f t="shared" si="199"/>
        <v>ORD26003840</v>
      </c>
      <c r="P4276" s="23" t="str">
        <f t="shared" si="200"/>
        <v>Sep</v>
      </c>
      <c r="Q4276" s="23" t="str">
        <f>IF(F4276="CAPTURE",IF(COUNTIF(orders!$A:$A,O4276)&gt;0,"Yes","NO ORDER"),"")</f>
        <v>Yes</v>
      </c>
    </row>
    <row r="4277" spans="1:17" ht="15" customHeight="1" x14ac:dyDescent="0.3">
      <c r="A4277" s="23" t="s">
        <v>17348</v>
      </c>
      <c r="B4277" s="23"/>
      <c r="C4277" s="23" t="s">
        <v>8234</v>
      </c>
      <c r="D4277" s="23" t="str">
        <f t="shared" si="198"/>
        <v>ORD26003874</v>
      </c>
      <c r="E4277" s="38">
        <v>46288</v>
      </c>
      <c r="F4277" s="23" t="s">
        <v>12410</v>
      </c>
      <c r="G4277" s="23" t="s">
        <v>75</v>
      </c>
      <c r="H4277" s="24">
        <v>3197</v>
      </c>
      <c r="I4277" s="24">
        <v>9.59</v>
      </c>
      <c r="J4277" s="24">
        <v>1.73</v>
      </c>
      <c r="K4277" s="24">
        <v>3185.68</v>
      </c>
      <c r="L4277" s="38">
        <v>46290</v>
      </c>
      <c r="M4277" s="23" t="s">
        <v>222</v>
      </c>
      <c r="N4277" s="23" t="str">
        <f>IF(COUNTIF($A$2:A4277,A4277)&gt;1,"DUP","OK")</f>
        <v>OK</v>
      </c>
      <c r="O4277" s="23" t="str">
        <f t="shared" si="199"/>
        <v>ORD26003874</v>
      </c>
      <c r="P4277" s="23" t="str">
        <f t="shared" si="200"/>
        <v>Sep</v>
      </c>
      <c r="Q4277" s="23" t="str">
        <f>IF(F4277="CAPTURE",IF(COUNTIF(orders!$A:$A,O4277)&gt;0,"Yes","NO ORDER"),"")</f>
        <v>Yes</v>
      </c>
    </row>
    <row r="4278" spans="1:17" ht="15" customHeight="1" x14ac:dyDescent="0.3">
      <c r="A4278" s="23" t="s">
        <v>17349</v>
      </c>
      <c r="B4278" s="23"/>
      <c r="C4278" s="23" t="s">
        <v>8323</v>
      </c>
      <c r="D4278" s="23" t="str">
        <f t="shared" si="198"/>
        <v>ORD26003918</v>
      </c>
      <c r="E4278" s="38">
        <v>46288</v>
      </c>
      <c r="F4278" s="23" t="s">
        <v>12410</v>
      </c>
      <c r="G4278" s="23" t="s">
        <v>75</v>
      </c>
      <c r="H4278" s="24">
        <v>3298</v>
      </c>
      <c r="I4278" s="24">
        <v>9.89</v>
      </c>
      <c r="J4278" s="24">
        <v>1.78</v>
      </c>
      <c r="K4278" s="24">
        <v>3286.33</v>
      </c>
      <c r="L4278" s="38">
        <v>46290</v>
      </c>
      <c r="M4278" s="23" t="s">
        <v>222</v>
      </c>
      <c r="N4278" s="23" t="str">
        <f>IF(COUNTIF($A$2:A4278,A4278)&gt;1,"DUP","OK")</f>
        <v>OK</v>
      </c>
      <c r="O4278" s="23" t="str">
        <f t="shared" si="199"/>
        <v>ORD26003918</v>
      </c>
      <c r="P4278" s="23" t="str">
        <f t="shared" si="200"/>
        <v>Sep</v>
      </c>
      <c r="Q4278" s="23" t="str">
        <f>IF(F4278="CAPTURE",IF(COUNTIF(orders!$A:$A,O4278)&gt;0,"Yes","NO ORDER"),"")</f>
        <v>Yes</v>
      </c>
    </row>
    <row r="4279" spans="1:17" ht="15" customHeight="1" x14ac:dyDescent="0.3">
      <c r="A4279" s="23" t="s">
        <v>17350</v>
      </c>
      <c r="B4279" s="23"/>
      <c r="C4279" s="23" t="s">
        <v>8590</v>
      </c>
      <c r="D4279" s="23" t="str">
        <f t="shared" si="198"/>
        <v>ORD26004053</v>
      </c>
      <c r="E4279" s="38">
        <v>46288</v>
      </c>
      <c r="F4279" s="23" t="s">
        <v>12410</v>
      </c>
      <c r="G4279" s="23" t="s">
        <v>75</v>
      </c>
      <c r="H4279" s="24">
        <v>2499</v>
      </c>
      <c r="I4279" s="24">
        <v>7.5</v>
      </c>
      <c r="J4279" s="24">
        <v>1.35</v>
      </c>
      <c r="K4279" s="24">
        <v>2490.15</v>
      </c>
      <c r="L4279" s="38">
        <v>46290</v>
      </c>
      <c r="M4279" s="23" t="s">
        <v>222</v>
      </c>
      <c r="N4279" s="23" t="str">
        <f>IF(COUNTIF($A$2:A4279,A4279)&gt;1,"DUP","OK")</f>
        <v>OK</v>
      </c>
      <c r="O4279" s="23" t="str">
        <f t="shared" si="199"/>
        <v>ORD26004053</v>
      </c>
      <c r="P4279" s="23" t="str">
        <f t="shared" si="200"/>
        <v>Sep</v>
      </c>
      <c r="Q4279" s="23" t="str">
        <f>IF(F4279="CAPTURE",IF(COUNTIF(orders!$A:$A,O4279)&gt;0,"Yes","NO ORDER"),"")</f>
        <v>Yes</v>
      </c>
    </row>
    <row r="4280" spans="1:17" ht="15" customHeight="1" x14ac:dyDescent="0.3">
      <c r="A4280" s="23" t="s">
        <v>17351</v>
      </c>
      <c r="B4280" s="23"/>
      <c r="C4280" s="23" t="s">
        <v>8627</v>
      </c>
      <c r="D4280" s="23" t="str">
        <f t="shared" si="198"/>
        <v>ORD26004072</v>
      </c>
      <c r="E4280" s="38">
        <v>46288</v>
      </c>
      <c r="F4280" s="23" t="s">
        <v>12410</v>
      </c>
      <c r="G4280" s="23" t="s">
        <v>75</v>
      </c>
      <c r="H4280" s="24">
        <v>1598</v>
      </c>
      <c r="I4280" s="24">
        <v>0</v>
      </c>
      <c r="J4280" s="24">
        <v>0</v>
      </c>
      <c r="K4280" s="24">
        <v>1598</v>
      </c>
      <c r="L4280" s="38">
        <v>46290</v>
      </c>
      <c r="M4280" s="23" t="s">
        <v>222</v>
      </c>
      <c r="N4280" s="23" t="str">
        <f>IF(COUNTIF($A$2:A4280,A4280)&gt;1,"DUP","OK")</f>
        <v>OK</v>
      </c>
      <c r="O4280" s="23" t="str">
        <f t="shared" si="199"/>
        <v>ORD26004072</v>
      </c>
      <c r="P4280" s="23" t="str">
        <f t="shared" si="200"/>
        <v>Sep</v>
      </c>
      <c r="Q4280" s="23" t="str">
        <f>IF(F4280="CAPTURE",IF(COUNTIF(orders!$A:$A,O4280)&gt;0,"Yes","NO ORDER"),"")</f>
        <v>Yes</v>
      </c>
    </row>
    <row r="4281" spans="1:17" ht="15" customHeight="1" x14ac:dyDescent="0.3">
      <c r="A4281" s="23" t="s">
        <v>17352</v>
      </c>
      <c r="B4281" s="23"/>
      <c r="C4281" s="23" t="s">
        <v>8678</v>
      </c>
      <c r="D4281" s="23" t="str">
        <f t="shared" si="198"/>
        <v>ORD26004099</v>
      </c>
      <c r="E4281" s="38">
        <v>46288</v>
      </c>
      <c r="F4281" s="23" t="s">
        <v>12410</v>
      </c>
      <c r="G4281" s="23" t="s">
        <v>79</v>
      </c>
      <c r="H4281" s="24">
        <v>2097</v>
      </c>
      <c r="I4281" s="24">
        <v>33.549999999999997</v>
      </c>
      <c r="J4281" s="24">
        <v>6.04</v>
      </c>
      <c r="K4281" s="24">
        <v>2057.41</v>
      </c>
      <c r="L4281" s="38">
        <v>46290</v>
      </c>
      <c r="M4281" s="23" t="s">
        <v>222</v>
      </c>
      <c r="N4281" s="23" t="str">
        <f>IF(COUNTIF($A$2:A4281,A4281)&gt;1,"DUP","OK")</f>
        <v>OK</v>
      </c>
      <c r="O4281" s="23" t="str">
        <f t="shared" si="199"/>
        <v>ORD26004099</v>
      </c>
      <c r="P4281" s="23" t="str">
        <f t="shared" si="200"/>
        <v>Sep</v>
      </c>
      <c r="Q4281" s="23" t="str">
        <f>IF(F4281="CAPTURE",IF(COUNTIF(orders!$A:$A,O4281)&gt;0,"Yes","NO ORDER"),"")</f>
        <v>Yes</v>
      </c>
    </row>
    <row r="4282" spans="1:17" ht="15" customHeight="1" x14ac:dyDescent="0.3">
      <c r="A4282" s="23" t="s">
        <v>17353</v>
      </c>
      <c r="B4282" s="23"/>
      <c r="C4282" s="23" t="s">
        <v>8696</v>
      </c>
      <c r="D4282" s="23" t="str">
        <f t="shared" si="198"/>
        <v>ORD26004108</v>
      </c>
      <c r="E4282" s="38">
        <v>46288</v>
      </c>
      <c r="F4282" s="23" t="s">
        <v>12410</v>
      </c>
      <c r="G4282" s="23" t="s">
        <v>79</v>
      </c>
      <c r="H4282" s="24">
        <v>3798</v>
      </c>
      <c r="I4282" s="24">
        <v>60.77</v>
      </c>
      <c r="J4282" s="24">
        <v>10.94</v>
      </c>
      <c r="K4282" s="24">
        <v>3726.29</v>
      </c>
      <c r="L4282" s="38">
        <v>46290</v>
      </c>
      <c r="M4282" s="23" t="s">
        <v>222</v>
      </c>
      <c r="N4282" s="23" t="str">
        <f>IF(COUNTIF($A$2:A4282,A4282)&gt;1,"DUP","OK")</f>
        <v>OK</v>
      </c>
      <c r="O4282" s="23" t="str">
        <f t="shared" si="199"/>
        <v>ORD26004108</v>
      </c>
      <c r="P4282" s="23" t="str">
        <f t="shared" si="200"/>
        <v>Sep</v>
      </c>
      <c r="Q4282" s="23" t="str">
        <f>IF(F4282="CAPTURE",IF(COUNTIF(orders!$A:$A,O4282)&gt;0,"Yes","NO ORDER"),"")</f>
        <v>Yes</v>
      </c>
    </row>
    <row r="4283" spans="1:17" ht="15" customHeight="1" x14ac:dyDescent="0.3">
      <c r="A4283" s="23" t="s">
        <v>17354</v>
      </c>
      <c r="B4283" s="23"/>
      <c r="C4283" s="23" t="s">
        <v>8709</v>
      </c>
      <c r="D4283" s="23" t="str">
        <f t="shared" si="198"/>
        <v>ORD26004114</v>
      </c>
      <c r="E4283" s="38">
        <v>46288</v>
      </c>
      <c r="F4283" s="23" t="s">
        <v>12410</v>
      </c>
      <c r="G4283" s="23" t="s">
        <v>75</v>
      </c>
      <c r="H4283" s="24">
        <v>6797</v>
      </c>
      <c r="I4283" s="24">
        <v>20.39</v>
      </c>
      <c r="J4283" s="24">
        <v>3.67</v>
      </c>
      <c r="K4283" s="24">
        <v>6772.94</v>
      </c>
      <c r="L4283" s="38">
        <v>46290</v>
      </c>
      <c r="M4283" s="23" t="s">
        <v>222</v>
      </c>
      <c r="N4283" s="23" t="str">
        <f>IF(COUNTIF($A$2:A4283,A4283)&gt;1,"DUP","OK")</f>
        <v>OK</v>
      </c>
      <c r="O4283" s="23" t="str">
        <f t="shared" si="199"/>
        <v>ORD26004114</v>
      </c>
      <c r="P4283" s="23" t="str">
        <f t="shared" si="200"/>
        <v>Sep</v>
      </c>
      <c r="Q4283" s="23" t="str">
        <f>IF(F4283="CAPTURE",IF(COUNTIF(orders!$A:$A,O4283)&gt;0,"Yes","NO ORDER"),"")</f>
        <v>Yes</v>
      </c>
    </row>
    <row r="4284" spans="1:17" ht="15" customHeight="1" x14ac:dyDescent="0.3">
      <c r="A4284" s="23" t="s">
        <v>17355</v>
      </c>
      <c r="B4284" s="23"/>
      <c r="C4284" s="23" t="s">
        <v>8777</v>
      </c>
      <c r="D4284" s="23" t="str">
        <f t="shared" si="198"/>
        <v>ORD26004149</v>
      </c>
      <c r="E4284" s="38">
        <v>46288</v>
      </c>
      <c r="F4284" s="23" t="s">
        <v>12410</v>
      </c>
      <c r="G4284" s="23" t="s">
        <v>81</v>
      </c>
      <c r="H4284" s="24">
        <v>499</v>
      </c>
      <c r="I4284" s="24">
        <v>7.49</v>
      </c>
      <c r="J4284" s="24">
        <v>1.35</v>
      </c>
      <c r="K4284" s="24">
        <v>490.16</v>
      </c>
      <c r="L4284" s="38">
        <v>46290</v>
      </c>
      <c r="M4284" s="23" t="s">
        <v>222</v>
      </c>
      <c r="N4284" s="23" t="str">
        <f>IF(COUNTIF($A$2:A4284,A4284)&gt;1,"DUP","OK")</f>
        <v>OK</v>
      </c>
      <c r="O4284" s="23" t="str">
        <f t="shared" si="199"/>
        <v>ORD26004149</v>
      </c>
      <c r="P4284" s="23" t="str">
        <f t="shared" si="200"/>
        <v>Sep</v>
      </c>
      <c r="Q4284" s="23" t="str">
        <f>IF(F4284="CAPTURE",IF(COUNTIF(orders!$A:$A,O4284)&gt;0,"Yes","NO ORDER"),"")</f>
        <v>Yes</v>
      </c>
    </row>
    <row r="4285" spans="1:17" ht="15" customHeight="1" x14ac:dyDescent="0.3">
      <c r="A4285" s="23" t="s">
        <v>17356</v>
      </c>
      <c r="B4285" s="23"/>
      <c r="C4285" s="23" t="s">
        <v>8915</v>
      </c>
      <c r="D4285" s="23" t="str">
        <f t="shared" si="198"/>
        <v>ORD26004220</v>
      </c>
      <c r="E4285" s="38">
        <v>46288</v>
      </c>
      <c r="F4285" s="23" t="s">
        <v>12410</v>
      </c>
      <c r="G4285" s="23" t="s">
        <v>75</v>
      </c>
      <c r="H4285" s="24">
        <v>7999</v>
      </c>
      <c r="I4285" s="24">
        <v>24</v>
      </c>
      <c r="J4285" s="24">
        <v>4.32</v>
      </c>
      <c r="K4285" s="24">
        <v>7970.68</v>
      </c>
      <c r="L4285" s="38">
        <v>46290</v>
      </c>
      <c r="M4285" s="23" t="s">
        <v>222</v>
      </c>
      <c r="N4285" s="23" t="str">
        <f>IF(COUNTIF($A$2:A4285,A4285)&gt;1,"DUP","OK")</f>
        <v>OK</v>
      </c>
      <c r="O4285" s="23" t="str">
        <f t="shared" si="199"/>
        <v>ORD26004220</v>
      </c>
      <c r="P4285" s="23" t="str">
        <f t="shared" si="200"/>
        <v>Sep</v>
      </c>
      <c r="Q4285" s="23" t="str">
        <f>IF(F4285="CAPTURE",IF(COUNTIF(orders!$A:$A,O4285)&gt;0,"Yes","NO ORDER"),"")</f>
        <v>Yes</v>
      </c>
    </row>
    <row r="4286" spans="1:17" ht="15" customHeight="1" x14ac:dyDescent="0.3">
      <c r="A4286" s="23" t="s">
        <v>17357</v>
      </c>
      <c r="B4286" s="23"/>
      <c r="C4286" s="23" t="s">
        <v>8955</v>
      </c>
      <c r="D4286" s="23" t="str">
        <f t="shared" si="198"/>
        <v>ORD26004240</v>
      </c>
      <c r="E4286" s="38">
        <v>46288</v>
      </c>
      <c r="F4286" s="23" t="s">
        <v>12410</v>
      </c>
      <c r="G4286" s="23" t="s">
        <v>77</v>
      </c>
      <c r="H4286" s="24">
        <v>7999</v>
      </c>
      <c r="I4286" s="24">
        <v>135.97999999999999</v>
      </c>
      <c r="J4286" s="24">
        <v>24.48</v>
      </c>
      <c r="K4286" s="24">
        <v>7838.54</v>
      </c>
      <c r="L4286" s="38">
        <v>46290</v>
      </c>
      <c r="M4286" s="23" t="s">
        <v>222</v>
      </c>
      <c r="N4286" s="23" t="str">
        <f>IF(COUNTIF($A$2:A4286,A4286)&gt;1,"DUP","OK")</f>
        <v>OK</v>
      </c>
      <c r="O4286" s="23" t="str">
        <f t="shared" si="199"/>
        <v>ORD26004240</v>
      </c>
      <c r="P4286" s="23" t="str">
        <f t="shared" si="200"/>
        <v>Sep</v>
      </c>
      <c r="Q4286" s="23" t="str">
        <f>IF(F4286="CAPTURE",IF(COUNTIF(orders!$A:$A,O4286)&gt;0,"Yes","NO ORDER"),"")</f>
        <v>Yes</v>
      </c>
    </row>
    <row r="4287" spans="1:17" ht="15" customHeight="1" x14ac:dyDescent="0.3">
      <c r="A4287" s="23" t="s">
        <v>17358</v>
      </c>
      <c r="B4287" s="23"/>
      <c r="C4287" s="23" t="s">
        <v>9116</v>
      </c>
      <c r="D4287" s="23" t="str">
        <f t="shared" si="198"/>
        <v>ORD26004320</v>
      </c>
      <c r="E4287" s="38">
        <v>46288</v>
      </c>
      <c r="F4287" s="23" t="s">
        <v>12410</v>
      </c>
      <c r="G4287" s="23" t="s">
        <v>79</v>
      </c>
      <c r="H4287" s="24">
        <v>8298</v>
      </c>
      <c r="I4287" s="24">
        <v>132.77000000000001</v>
      </c>
      <c r="J4287" s="24">
        <v>23.9</v>
      </c>
      <c r="K4287" s="24">
        <v>8141.33</v>
      </c>
      <c r="L4287" s="38">
        <v>46290</v>
      </c>
      <c r="M4287" s="23" t="s">
        <v>222</v>
      </c>
      <c r="N4287" s="23" t="str">
        <f>IF(COUNTIF($A$2:A4287,A4287)&gt;1,"DUP","OK")</f>
        <v>OK</v>
      </c>
      <c r="O4287" s="23" t="str">
        <f t="shared" si="199"/>
        <v>ORD26004320</v>
      </c>
      <c r="P4287" s="23" t="str">
        <f t="shared" si="200"/>
        <v>Sep</v>
      </c>
      <c r="Q4287" s="23" t="str">
        <f>IF(F4287="CAPTURE",IF(COUNTIF(orders!$A:$A,O4287)&gt;0,"Yes","NO ORDER"),"")</f>
        <v>Yes</v>
      </c>
    </row>
    <row r="4288" spans="1:17" ht="15" customHeight="1" x14ac:dyDescent="0.3">
      <c r="A4288" s="23" t="s">
        <v>17359</v>
      </c>
      <c r="B4288" s="23"/>
      <c r="C4288" s="23" t="s">
        <v>9120</v>
      </c>
      <c r="D4288" s="23" t="str">
        <f t="shared" si="198"/>
        <v>ORD26004322</v>
      </c>
      <c r="E4288" s="38">
        <v>46288</v>
      </c>
      <c r="F4288" s="23" t="s">
        <v>12410</v>
      </c>
      <c r="G4288" s="23" t="s">
        <v>79</v>
      </c>
      <c r="H4288" s="24">
        <v>15998</v>
      </c>
      <c r="I4288" s="24">
        <v>255.97</v>
      </c>
      <c r="J4288" s="24">
        <v>46.07</v>
      </c>
      <c r="K4288" s="24">
        <v>15695.96</v>
      </c>
      <c r="L4288" s="38">
        <v>46290</v>
      </c>
      <c r="M4288" s="23" t="s">
        <v>222</v>
      </c>
      <c r="N4288" s="23" t="str">
        <f>IF(COUNTIF($A$2:A4288,A4288)&gt;1,"DUP","OK")</f>
        <v>OK</v>
      </c>
      <c r="O4288" s="23" t="str">
        <f t="shared" si="199"/>
        <v>ORD26004322</v>
      </c>
      <c r="P4288" s="23" t="str">
        <f t="shared" si="200"/>
        <v>Sep</v>
      </c>
      <c r="Q4288" s="23" t="str">
        <f>IF(F4288="CAPTURE",IF(COUNTIF(orders!$A:$A,O4288)&gt;0,"Yes","NO ORDER"),"")</f>
        <v>Yes</v>
      </c>
    </row>
    <row r="4289" spans="1:17" ht="15" customHeight="1" x14ac:dyDescent="0.3">
      <c r="A4289" s="23" t="s">
        <v>17360</v>
      </c>
      <c r="B4289" s="23"/>
      <c r="C4289" s="23" t="s">
        <v>9189</v>
      </c>
      <c r="D4289" s="23" t="str">
        <f t="shared" si="198"/>
        <v>ORD26004356</v>
      </c>
      <c r="E4289" s="38">
        <v>46288</v>
      </c>
      <c r="F4289" s="23" t="s">
        <v>12410</v>
      </c>
      <c r="G4289" s="23" t="s">
        <v>75</v>
      </c>
      <c r="H4289" s="24">
        <v>4298</v>
      </c>
      <c r="I4289" s="24">
        <v>12.89</v>
      </c>
      <c r="J4289" s="24">
        <v>2.3199999999999998</v>
      </c>
      <c r="K4289" s="24">
        <v>4282.79</v>
      </c>
      <c r="L4289" s="38">
        <v>46290</v>
      </c>
      <c r="M4289" s="23" t="s">
        <v>222</v>
      </c>
      <c r="N4289" s="23" t="str">
        <f>IF(COUNTIF($A$2:A4289,A4289)&gt;1,"DUP","OK")</f>
        <v>OK</v>
      </c>
      <c r="O4289" s="23" t="str">
        <f t="shared" si="199"/>
        <v>ORD26004356</v>
      </c>
      <c r="P4289" s="23" t="str">
        <f t="shared" si="200"/>
        <v>Sep</v>
      </c>
      <c r="Q4289" s="23" t="str">
        <f>IF(F4289="CAPTURE",IF(COUNTIF(orders!$A:$A,O4289)&gt;0,"Yes","NO ORDER"),"")</f>
        <v>Yes</v>
      </c>
    </row>
    <row r="4290" spans="1:17" ht="15" customHeight="1" x14ac:dyDescent="0.3">
      <c r="A4290" s="23" t="s">
        <v>17361</v>
      </c>
      <c r="B4290" s="23"/>
      <c r="C4290" s="23" t="s">
        <v>9211</v>
      </c>
      <c r="D4290" s="23" t="str">
        <f t="shared" ref="D4290:D4353" si="201">UPPER(SUBSTITUTE(TRIM(C4290),"-",""))</f>
        <v>ORD26004368</v>
      </c>
      <c r="E4290" s="38">
        <v>46288</v>
      </c>
      <c r="F4290" s="23" t="s">
        <v>12410</v>
      </c>
      <c r="G4290" s="23" t="s">
        <v>79</v>
      </c>
      <c r="H4290" s="24">
        <v>3098</v>
      </c>
      <c r="I4290" s="24">
        <v>49.57</v>
      </c>
      <c r="J4290" s="24">
        <v>8.92</v>
      </c>
      <c r="K4290" s="24">
        <v>3039.51</v>
      </c>
      <c r="L4290" s="38">
        <v>46290</v>
      </c>
      <c r="M4290" s="23" t="s">
        <v>222</v>
      </c>
      <c r="N4290" s="23" t="str">
        <f>IF(COUNTIF($A$2:A4290,A4290)&gt;1,"DUP","OK")</f>
        <v>OK</v>
      </c>
      <c r="O4290" s="23" t="str">
        <f t="shared" ref="O4290:O4353" si="202">IF(F4290="REFUND",INDEX($D:$D,MATCH(B4290,$A:$A,0)),D4290)</f>
        <v>ORD26004368</v>
      </c>
      <c r="P4290" s="23" t="str">
        <f t="shared" ref="P4290:P4353" si="203">IF(L4290&gt;DATE(2026,9,30),"Oct-Due","Sep")</f>
        <v>Sep</v>
      </c>
      <c r="Q4290" s="23" t="str">
        <f>IF(F4290="CAPTURE",IF(COUNTIF(orders!$A:$A,O4290)&gt;0,"Yes","NO ORDER"),"")</f>
        <v>Yes</v>
      </c>
    </row>
    <row r="4291" spans="1:17" ht="15" customHeight="1" x14ac:dyDescent="0.3">
      <c r="A4291" s="23" t="s">
        <v>17362</v>
      </c>
      <c r="B4291" s="23"/>
      <c r="C4291" s="23" t="s">
        <v>9402</v>
      </c>
      <c r="D4291" s="23" t="str">
        <f t="shared" si="201"/>
        <v>ORD26004465</v>
      </c>
      <c r="E4291" s="38">
        <v>46288</v>
      </c>
      <c r="F4291" s="23" t="s">
        <v>12410</v>
      </c>
      <c r="G4291" s="23" t="s">
        <v>75</v>
      </c>
      <c r="H4291" s="24">
        <v>1298</v>
      </c>
      <c r="I4291" s="24">
        <v>0</v>
      </c>
      <c r="J4291" s="24">
        <v>0</v>
      </c>
      <c r="K4291" s="24">
        <v>1298</v>
      </c>
      <c r="L4291" s="38">
        <v>46290</v>
      </c>
      <c r="M4291" s="23" t="s">
        <v>222</v>
      </c>
      <c r="N4291" s="23" t="str">
        <f>IF(COUNTIF($A$2:A4291,A4291)&gt;1,"DUP","OK")</f>
        <v>OK</v>
      </c>
      <c r="O4291" s="23" t="str">
        <f t="shared" si="202"/>
        <v>ORD26004465</v>
      </c>
      <c r="P4291" s="23" t="str">
        <f t="shared" si="203"/>
        <v>Sep</v>
      </c>
      <c r="Q4291" s="23" t="str">
        <f>IF(F4291="CAPTURE",IF(COUNTIF(orders!$A:$A,O4291)&gt;0,"Yes","NO ORDER"),"")</f>
        <v>Yes</v>
      </c>
    </row>
    <row r="4292" spans="1:17" ht="15" customHeight="1" x14ac:dyDescent="0.3">
      <c r="A4292" s="23" t="s">
        <v>17363</v>
      </c>
      <c r="B4292" s="23"/>
      <c r="C4292" s="23" t="s">
        <v>9646</v>
      </c>
      <c r="D4292" s="23" t="str">
        <f t="shared" si="201"/>
        <v>ORD26004587</v>
      </c>
      <c r="E4292" s="38">
        <v>46288</v>
      </c>
      <c r="F4292" s="23" t="s">
        <v>12410</v>
      </c>
      <c r="G4292" s="23" t="s">
        <v>75</v>
      </c>
      <c r="H4292" s="24">
        <v>2498</v>
      </c>
      <c r="I4292" s="24">
        <v>7.49</v>
      </c>
      <c r="J4292" s="24">
        <v>1.35</v>
      </c>
      <c r="K4292" s="24">
        <v>2489.16</v>
      </c>
      <c r="L4292" s="38">
        <v>46290</v>
      </c>
      <c r="M4292" s="23" t="s">
        <v>222</v>
      </c>
      <c r="N4292" s="23" t="str">
        <f>IF(COUNTIF($A$2:A4292,A4292)&gt;1,"DUP","OK")</f>
        <v>OK</v>
      </c>
      <c r="O4292" s="23" t="str">
        <f t="shared" si="202"/>
        <v>ORD26004587</v>
      </c>
      <c r="P4292" s="23" t="str">
        <f t="shared" si="203"/>
        <v>Sep</v>
      </c>
      <c r="Q4292" s="23" t="str">
        <f>IF(F4292="CAPTURE",IF(COUNTIF(orders!$A:$A,O4292)&gt;0,"Yes","NO ORDER"),"")</f>
        <v>Yes</v>
      </c>
    </row>
    <row r="4293" spans="1:17" ht="15" customHeight="1" x14ac:dyDescent="0.3">
      <c r="A4293" s="23" t="s">
        <v>17364</v>
      </c>
      <c r="B4293" s="23"/>
      <c r="C4293" s="23" t="s">
        <v>17365</v>
      </c>
      <c r="D4293" s="23" t="str">
        <f t="shared" si="201"/>
        <v>ORD26004721</v>
      </c>
      <c r="E4293" s="38">
        <v>46288</v>
      </c>
      <c r="F4293" s="23" t="s">
        <v>12410</v>
      </c>
      <c r="G4293" s="23" t="s">
        <v>81</v>
      </c>
      <c r="H4293" s="24">
        <v>4498</v>
      </c>
      <c r="I4293" s="24">
        <v>53.98</v>
      </c>
      <c r="J4293" s="24">
        <v>9.7200000000000006</v>
      </c>
      <c r="K4293" s="24">
        <v>4434.3</v>
      </c>
      <c r="L4293" s="38">
        <v>46290</v>
      </c>
      <c r="M4293" s="23" t="s">
        <v>222</v>
      </c>
      <c r="N4293" s="23" t="str">
        <f>IF(COUNTIF($A$2:A4293,A4293)&gt;1,"DUP","OK")</f>
        <v>OK</v>
      </c>
      <c r="O4293" s="23" t="str">
        <f t="shared" si="202"/>
        <v>ORD26004721</v>
      </c>
      <c r="P4293" s="23" t="str">
        <f t="shared" si="203"/>
        <v>Sep</v>
      </c>
      <c r="Q4293" s="23" t="str">
        <f>IF(F4293="CAPTURE",IF(COUNTIF(orders!$A:$A,O4293)&gt;0,"Yes","NO ORDER"),"")</f>
        <v>Yes</v>
      </c>
    </row>
    <row r="4294" spans="1:17" ht="15" customHeight="1" x14ac:dyDescent="0.3">
      <c r="A4294" s="23" t="s">
        <v>17366</v>
      </c>
      <c r="B4294" s="23"/>
      <c r="C4294" s="23" t="s">
        <v>9960</v>
      </c>
      <c r="D4294" s="23" t="str">
        <f t="shared" si="201"/>
        <v>ORD26004748</v>
      </c>
      <c r="E4294" s="38">
        <v>46288</v>
      </c>
      <c r="F4294" s="23" t="s">
        <v>12410</v>
      </c>
      <c r="G4294" s="23" t="s">
        <v>79</v>
      </c>
      <c r="H4294" s="24">
        <v>999</v>
      </c>
      <c r="I4294" s="24">
        <v>17.98</v>
      </c>
      <c r="J4294" s="24">
        <v>3.24</v>
      </c>
      <c r="K4294" s="24">
        <v>977.78</v>
      </c>
      <c r="L4294" s="38">
        <v>46290</v>
      </c>
      <c r="M4294" s="23" t="s">
        <v>222</v>
      </c>
      <c r="N4294" s="23" t="str">
        <f>IF(COUNTIF($A$2:A4294,A4294)&gt;1,"DUP","OK")</f>
        <v>OK</v>
      </c>
      <c r="O4294" s="23" t="str">
        <f t="shared" si="202"/>
        <v>ORD26004748</v>
      </c>
      <c r="P4294" s="23" t="str">
        <f t="shared" si="203"/>
        <v>Sep</v>
      </c>
      <c r="Q4294" s="23" t="str">
        <f>IF(F4294="CAPTURE",IF(COUNTIF(orders!$A:$A,O4294)&gt;0,"Yes","NO ORDER"),"")</f>
        <v>Yes</v>
      </c>
    </row>
    <row r="4295" spans="1:17" ht="15" customHeight="1" x14ac:dyDescent="0.3">
      <c r="A4295" s="23" t="s">
        <v>17367</v>
      </c>
      <c r="B4295" s="23"/>
      <c r="C4295" s="23" t="s">
        <v>10042</v>
      </c>
      <c r="D4295" s="23" t="str">
        <f t="shared" si="201"/>
        <v>ORD26004790</v>
      </c>
      <c r="E4295" s="38">
        <v>46288</v>
      </c>
      <c r="F4295" s="23" t="s">
        <v>12410</v>
      </c>
      <c r="G4295" s="23" t="s">
        <v>75</v>
      </c>
      <c r="H4295" s="24">
        <v>8298</v>
      </c>
      <c r="I4295" s="24">
        <v>24.89</v>
      </c>
      <c r="J4295" s="24">
        <v>4.4800000000000004</v>
      </c>
      <c r="K4295" s="24">
        <v>8268.6299999999992</v>
      </c>
      <c r="L4295" s="38">
        <v>46290</v>
      </c>
      <c r="M4295" s="23" t="s">
        <v>222</v>
      </c>
      <c r="N4295" s="23" t="str">
        <f>IF(COUNTIF($A$2:A4295,A4295)&gt;1,"DUP","OK")</f>
        <v>OK</v>
      </c>
      <c r="O4295" s="23" t="str">
        <f t="shared" si="202"/>
        <v>ORD26004790</v>
      </c>
      <c r="P4295" s="23" t="str">
        <f t="shared" si="203"/>
        <v>Sep</v>
      </c>
      <c r="Q4295" s="23" t="str">
        <f>IF(F4295="CAPTURE",IF(COUNTIF(orders!$A:$A,O4295)&gt;0,"Yes","NO ORDER"),"")</f>
        <v>Yes</v>
      </c>
    </row>
    <row r="4296" spans="1:17" ht="15" customHeight="1" x14ac:dyDescent="0.3">
      <c r="A4296" s="23" t="s">
        <v>17368</v>
      </c>
      <c r="B4296" s="23"/>
      <c r="C4296" s="23" t="s">
        <v>17369</v>
      </c>
      <c r="D4296" s="23" t="str">
        <f t="shared" si="201"/>
        <v>ORD26004796</v>
      </c>
      <c r="E4296" s="38">
        <v>46288</v>
      </c>
      <c r="F4296" s="23" t="s">
        <v>12410</v>
      </c>
      <c r="G4296" s="23" t="s">
        <v>75</v>
      </c>
      <c r="H4296" s="24">
        <v>2998</v>
      </c>
      <c r="I4296" s="24">
        <v>8.99</v>
      </c>
      <c r="J4296" s="24">
        <v>1.62</v>
      </c>
      <c r="K4296" s="24">
        <v>2987.39</v>
      </c>
      <c r="L4296" s="38">
        <v>46290</v>
      </c>
      <c r="M4296" s="23" t="s">
        <v>222</v>
      </c>
      <c r="N4296" s="23" t="str">
        <f>IF(COUNTIF($A$2:A4296,A4296)&gt;1,"DUP","OK")</f>
        <v>OK</v>
      </c>
      <c r="O4296" s="23" t="str">
        <f t="shared" si="202"/>
        <v>ORD26004796</v>
      </c>
      <c r="P4296" s="23" t="str">
        <f t="shared" si="203"/>
        <v>Sep</v>
      </c>
      <c r="Q4296" s="23" t="str">
        <f>IF(F4296="CAPTURE",IF(COUNTIF(orders!$A:$A,O4296)&gt;0,"Yes","NO ORDER"),"")</f>
        <v>Yes</v>
      </c>
    </row>
    <row r="4297" spans="1:17" ht="15" customHeight="1" x14ac:dyDescent="0.3">
      <c r="A4297" s="23" t="s">
        <v>17370</v>
      </c>
      <c r="B4297" s="23"/>
      <c r="C4297" s="23" t="s">
        <v>10060</v>
      </c>
      <c r="D4297" s="23" t="str">
        <f t="shared" si="201"/>
        <v>ORD26004799</v>
      </c>
      <c r="E4297" s="38">
        <v>46288</v>
      </c>
      <c r="F4297" s="23" t="s">
        <v>12410</v>
      </c>
      <c r="G4297" s="23" t="s">
        <v>79</v>
      </c>
      <c r="H4297" s="24">
        <v>799</v>
      </c>
      <c r="I4297" s="24">
        <v>14.38</v>
      </c>
      <c r="J4297" s="24">
        <v>2.59</v>
      </c>
      <c r="K4297" s="24">
        <v>782.03</v>
      </c>
      <c r="L4297" s="38">
        <v>46290</v>
      </c>
      <c r="M4297" s="23" t="s">
        <v>222</v>
      </c>
      <c r="N4297" s="23" t="str">
        <f>IF(COUNTIF($A$2:A4297,A4297)&gt;1,"DUP","OK")</f>
        <v>OK</v>
      </c>
      <c r="O4297" s="23" t="str">
        <f t="shared" si="202"/>
        <v>ORD26004799</v>
      </c>
      <c r="P4297" s="23" t="str">
        <f t="shared" si="203"/>
        <v>Sep</v>
      </c>
      <c r="Q4297" s="23" t="str">
        <f>IF(F4297="CAPTURE",IF(COUNTIF(orders!$A:$A,O4297)&gt;0,"Yes","NO ORDER"),"")</f>
        <v>Yes</v>
      </c>
    </row>
    <row r="4298" spans="1:17" ht="15" customHeight="1" x14ac:dyDescent="0.3">
      <c r="A4298" s="23" t="s">
        <v>17371</v>
      </c>
      <c r="B4298" s="23"/>
      <c r="C4298" s="23" t="s">
        <v>10134</v>
      </c>
      <c r="D4298" s="23" t="str">
        <f t="shared" si="201"/>
        <v>ORD26004837</v>
      </c>
      <c r="E4298" s="38">
        <v>46288</v>
      </c>
      <c r="F4298" s="23" t="s">
        <v>12410</v>
      </c>
      <c r="G4298" s="23" t="s">
        <v>77</v>
      </c>
      <c r="H4298" s="24">
        <v>8797</v>
      </c>
      <c r="I4298" s="24">
        <v>149.55000000000001</v>
      </c>
      <c r="J4298" s="24">
        <v>26.92</v>
      </c>
      <c r="K4298" s="24">
        <v>8620.5300000000007</v>
      </c>
      <c r="L4298" s="38">
        <v>46290</v>
      </c>
      <c r="M4298" s="23" t="s">
        <v>222</v>
      </c>
      <c r="N4298" s="23" t="str">
        <f>IF(COUNTIF($A$2:A4298,A4298)&gt;1,"DUP","OK")</f>
        <v>OK</v>
      </c>
      <c r="O4298" s="23" t="str">
        <f t="shared" si="202"/>
        <v>ORD26004837</v>
      </c>
      <c r="P4298" s="23" t="str">
        <f t="shared" si="203"/>
        <v>Sep</v>
      </c>
      <c r="Q4298" s="23" t="str">
        <f>IF(F4298="CAPTURE",IF(COUNTIF(orders!$A:$A,O4298)&gt;0,"Yes","NO ORDER"),"")</f>
        <v>Yes</v>
      </c>
    </row>
    <row r="4299" spans="1:17" ht="15" customHeight="1" x14ac:dyDescent="0.3">
      <c r="A4299" s="23" t="s">
        <v>17372</v>
      </c>
      <c r="B4299" s="23"/>
      <c r="C4299" s="23" t="s">
        <v>10170</v>
      </c>
      <c r="D4299" s="23" t="str">
        <f t="shared" si="201"/>
        <v>ORD26004855</v>
      </c>
      <c r="E4299" s="38">
        <v>46288</v>
      </c>
      <c r="F4299" s="23" t="s">
        <v>12410</v>
      </c>
      <c r="G4299" s="23" t="s">
        <v>79</v>
      </c>
      <c r="H4299" s="24">
        <v>4497</v>
      </c>
      <c r="I4299" s="24">
        <v>71.95</v>
      </c>
      <c r="J4299" s="24">
        <v>12.95</v>
      </c>
      <c r="K4299" s="24">
        <v>4412.1000000000004</v>
      </c>
      <c r="L4299" s="38">
        <v>46290</v>
      </c>
      <c r="M4299" s="23" t="s">
        <v>222</v>
      </c>
      <c r="N4299" s="23" t="str">
        <f>IF(COUNTIF($A$2:A4299,A4299)&gt;1,"DUP","OK")</f>
        <v>OK</v>
      </c>
      <c r="O4299" s="23" t="str">
        <f t="shared" si="202"/>
        <v>ORD26004855</v>
      </c>
      <c r="P4299" s="23" t="str">
        <f t="shared" si="203"/>
        <v>Sep</v>
      </c>
      <c r="Q4299" s="23" t="str">
        <f>IF(F4299="CAPTURE",IF(COUNTIF(orders!$A:$A,O4299)&gt;0,"Yes","NO ORDER"),"")</f>
        <v>Yes</v>
      </c>
    </row>
    <row r="4300" spans="1:17" ht="15" customHeight="1" x14ac:dyDescent="0.3">
      <c r="A4300" s="23" t="s">
        <v>17373</v>
      </c>
      <c r="B4300" s="23"/>
      <c r="C4300" s="23" t="s">
        <v>10224</v>
      </c>
      <c r="D4300" s="23" t="str">
        <f t="shared" si="201"/>
        <v>ORD26004883</v>
      </c>
      <c r="E4300" s="38">
        <v>46288</v>
      </c>
      <c r="F4300" s="23" t="s">
        <v>12410</v>
      </c>
      <c r="G4300" s="23" t="s">
        <v>79</v>
      </c>
      <c r="H4300" s="24">
        <v>3499</v>
      </c>
      <c r="I4300" s="24">
        <v>55.98</v>
      </c>
      <c r="J4300" s="24">
        <v>10.08</v>
      </c>
      <c r="K4300" s="24">
        <v>3432.94</v>
      </c>
      <c r="L4300" s="38">
        <v>46290</v>
      </c>
      <c r="M4300" s="23" t="s">
        <v>222</v>
      </c>
      <c r="N4300" s="23" t="str">
        <f>IF(COUNTIF($A$2:A4300,A4300)&gt;1,"DUP","OK")</f>
        <v>OK</v>
      </c>
      <c r="O4300" s="23" t="str">
        <f t="shared" si="202"/>
        <v>ORD26004883</v>
      </c>
      <c r="P4300" s="23" t="str">
        <f t="shared" si="203"/>
        <v>Sep</v>
      </c>
      <c r="Q4300" s="23" t="str">
        <f>IF(F4300="CAPTURE",IF(COUNTIF(orders!$A:$A,O4300)&gt;0,"Yes","NO ORDER"),"")</f>
        <v>Yes</v>
      </c>
    </row>
    <row r="4301" spans="1:17" ht="15" customHeight="1" x14ac:dyDescent="0.3">
      <c r="A4301" s="23" t="s">
        <v>17374</v>
      </c>
      <c r="B4301" s="23"/>
      <c r="C4301" s="23" t="s">
        <v>10230</v>
      </c>
      <c r="D4301" s="23" t="str">
        <f t="shared" si="201"/>
        <v>ORD26004886</v>
      </c>
      <c r="E4301" s="38">
        <v>46288</v>
      </c>
      <c r="F4301" s="23" t="s">
        <v>12410</v>
      </c>
      <c r="G4301" s="23" t="s">
        <v>79</v>
      </c>
      <c r="H4301" s="24">
        <v>4999</v>
      </c>
      <c r="I4301" s="24">
        <v>79.98</v>
      </c>
      <c r="J4301" s="24">
        <v>14.4</v>
      </c>
      <c r="K4301" s="24">
        <v>4904.62</v>
      </c>
      <c r="L4301" s="38">
        <v>46290</v>
      </c>
      <c r="M4301" s="23" t="s">
        <v>222</v>
      </c>
      <c r="N4301" s="23" t="str">
        <f>IF(COUNTIF($A$2:A4301,A4301)&gt;1,"DUP","OK")</f>
        <v>OK</v>
      </c>
      <c r="O4301" s="23" t="str">
        <f t="shared" si="202"/>
        <v>ORD26004886</v>
      </c>
      <c r="P4301" s="23" t="str">
        <f t="shared" si="203"/>
        <v>Sep</v>
      </c>
      <c r="Q4301" s="23" t="str">
        <f>IF(F4301="CAPTURE",IF(COUNTIF(orders!$A:$A,O4301)&gt;0,"Yes","NO ORDER"),"")</f>
        <v>Yes</v>
      </c>
    </row>
    <row r="4302" spans="1:17" ht="15" customHeight="1" x14ac:dyDescent="0.3">
      <c r="A4302" s="23" t="s">
        <v>17375</v>
      </c>
      <c r="B4302" s="23"/>
      <c r="C4302" s="23" t="s">
        <v>10463</v>
      </c>
      <c r="D4302" s="23" t="str">
        <f t="shared" si="201"/>
        <v>ORD26005006</v>
      </c>
      <c r="E4302" s="38">
        <v>46288</v>
      </c>
      <c r="F4302" s="23" t="s">
        <v>12410</v>
      </c>
      <c r="G4302" s="23" t="s">
        <v>77</v>
      </c>
      <c r="H4302" s="24">
        <v>1299</v>
      </c>
      <c r="I4302" s="24">
        <v>24.68</v>
      </c>
      <c r="J4302" s="24">
        <v>4.4400000000000004</v>
      </c>
      <c r="K4302" s="24">
        <v>1269.8800000000001</v>
      </c>
      <c r="L4302" s="38">
        <v>46290</v>
      </c>
      <c r="M4302" s="23" t="s">
        <v>222</v>
      </c>
      <c r="N4302" s="23" t="str">
        <f>IF(COUNTIF($A$2:A4302,A4302)&gt;1,"DUP","OK")</f>
        <v>OK</v>
      </c>
      <c r="O4302" s="23" t="str">
        <f t="shared" si="202"/>
        <v>ORD26005006</v>
      </c>
      <c r="P4302" s="23" t="str">
        <f t="shared" si="203"/>
        <v>Sep</v>
      </c>
      <c r="Q4302" s="23" t="str">
        <f>IF(F4302="CAPTURE",IF(COUNTIF(orders!$A:$A,O4302)&gt;0,"Yes","NO ORDER"),"")</f>
        <v>Yes</v>
      </c>
    </row>
    <row r="4303" spans="1:17" ht="15" customHeight="1" x14ac:dyDescent="0.3">
      <c r="A4303" s="23" t="s">
        <v>17376</v>
      </c>
      <c r="B4303" s="23"/>
      <c r="C4303" s="23" t="s">
        <v>10492</v>
      </c>
      <c r="D4303" s="23" t="str">
        <f t="shared" si="201"/>
        <v>ORD26005021</v>
      </c>
      <c r="E4303" s="38">
        <v>46288</v>
      </c>
      <c r="F4303" s="23" t="s">
        <v>12410</v>
      </c>
      <c r="G4303" s="23" t="s">
        <v>75</v>
      </c>
      <c r="H4303" s="24">
        <v>349</v>
      </c>
      <c r="I4303" s="24">
        <v>0</v>
      </c>
      <c r="J4303" s="24">
        <v>0</v>
      </c>
      <c r="K4303" s="24">
        <v>349</v>
      </c>
      <c r="L4303" s="38">
        <v>46290</v>
      </c>
      <c r="M4303" s="23" t="s">
        <v>222</v>
      </c>
      <c r="N4303" s="23" t="str">
        <f>IF(COUNTIF($A$2:A4303,A4303)&gt;1,"DUP","OK")</f>
        <v>OK</v>
      </c>
      <c r="O4303" s="23" t="str">
        <f t="shared" si="202"/>
        <v>ORD26005021</v>
      </c>
      <c r="P4303" s="23" t="str">
        <f t="shared" si="203"/>
        <v>Sep</v>
      </c>
      <c r="Q4303" s="23" t="str">
        <f>IF(F4303="CAPTURE",IF(COUNTIF(orders!$A:$A,O4303)&gt;0,"Yes","NO ORDER"),"")</f>
        <v>Yes</v>
      </c>
    </row>
    <row r="4304" spans="1:17" ht="15" customHeight="1" x14ac:dyDescent="0.3">
      <c r="A4304" s="23" t="s">
        <v>17377</v>
      </c>
      <c r="B4304" s="23"/>
      <c r="C4304" s="23" t="s">
        <v>10494</v>
      </c>
      <c r="D4304" s="23" t="str">
        <f t="shared" si="201"/>
        <v>ORD26005022</v>
      </c>
      <c r="E4304" s="38">
        <v>46288</v>
      </c>
      <c r="F4304" s="23" t="s">
        <v>12410</v>
      </c>
      <c r="G4304" s="23" t="s">
        <v>77</v>
      </c>
      <c r="H4304" s="24">
        <v>1498</v>
      </c>
      <c r="I4304" s="24">
        <v>28.46</v>
      </c>
      <c r="J4304" s="24">
        <v>5.12</v>
      </c>
      <c r="K4304" s="24">
        <v>1464.42</v>
      </c>
      <c r="L4304" s="38">
        <v>46290</v>
      </c>
      <c r="M4304" s="23" t="s">
        <v>222</v>
      </c>
      <c r="N4304" s="23" t="str">
        <f>IF(COUNTIF($A$2:A4304,A4304)&gt;1,"DUP","OK")</f>
        <v>OK</v>
      </c>
      <c r="O4304" s="23" t="str">
        <f t="shared" si="202"/>
        <v>ORD26005022</v>
      </c>
      <c r="P4304" s="23" t="str">
        <f t="shared" si="203"/>
        <v>Sep</v>
      </c>
      <c r="Q4304" s="23" t="str">
        <f>IF(F4304="CAPTURE",IF(COUNTIF(orders!$A:$A,O4304)&gt;0,"Yes","NO ORDER"),"")</f>
        <v>Yes</v>
      </c>
    </row>
    <row r="4305" spans="1:17" ht="15" customHeight="1" x14ac:dyDescent="0.3">
      <c r="A4305" s="23" t="s">
        <v>17378</v>
      </c>
      <c r="B4305" s="23"/>
      <c r="C4305" s="23" t="s">
        <v>10496</v>
      </c>
      <c r="D4305" s="23" t="str">
        <f t="shared" si="201"/>
        <v>ORD26005023</v>
      </c>
      <c r="E4305" s="38">
        <v>46288</v>
      </c>
      <c r="F4305" s="23" t="s">
        <v>12410</v>
      </c>
      <c r="G4305" s="23" t="s">
        <v>77</v>
      </c>
      <c r="H4305" s="24">
        <v>2598</v>
      </c>
      <c r="I4305" s="24">
        <v>44.17</v>
      </c>
      <c r="J4305" s="24">
        <v>7.95</v>
      </c>
      <c r="K4305" s="24">
        <v>2545.88</v>
      </c>
      <c r="L4305" s="38">
        <v>46290</v>
      </c>
      <c r="M4305" s="23" t="s">
        <v>222</v>
      </c>
      <c r="N4305" s="23" t="str">
        <f>IF(COUNTIF($A$2:A4305,A4305)&gt;1,"DUP","OK")</f>
        <v>OK</v>
      </c>
      <c r="O4305" s="23" t="str">
        <f t="shared" si="202"/>
        <v>ORD26005023</v>
      </c>
      <c r="P4305" s="23" t="str">
        <f t="shared" si="203"/>
        <v>Sep</v>
      </c>
      <c r="Q4305" s="23" t="str">
        <f>IF(F4305="CAPTURE",IF(COUNTIF(orders!$A:$A,O4305)&gt;0,"Yes","NO ORDER"),"")</f>
        <v>Yes</v>
      </c>
    </row>
    <row r="4306" spans="1:17" ht="15" customHeight="1" x14ac:dyDescent="0.3">
      <c r="A4306" s="23" t="s">
        <v>17379</v>
      </c>
      <c r="B4306" s="23"/>
      <c r="C4306" s="23" t="s">
        <v>10566</v>
      </c>
      <c r="D4306" s="23" t="str">
        <f t="shared" si="201"/>
        <v>ORD26005060</v>
      </c>
      <c r="E4306" s="38">
        <v>46288</v>
      </c>
      <c r="F4306" s="23" t="s">
        <v>12410</v>
      </c>
      <c r="G4306" s="23" t="s">
        <v>75</v>
      </c>
      <c r="H4306" s="24">
        <v>4297</v>
      </c>
      <c r="I4306" s="24">
        <v>12.89</v>
      </c>
      <c r="J4306" s="24">
        <v>2.3199999999999998</v>
      </c>
      <c r="K4306" s="24">
        <v>4281.79</v>
      </c>
      <c r="L4306" s="38">
        <v>46290</v>
      </c>
      <c r="M4306" s="23" t="s">
        <v>222</v>
      </c>
      <c r="N4306" s="23" t="str">
        <f>IF(COUNTIF($A$2:A4306,A4306)&gt;1,"DUP","OK")</f>
        <v>OK</v>
      </c>
      <c r="O4306" s="23" t="str">
        <f t="shared" si="202"/>
        <v>ORD26005060</v>
      </c>
      <c r="P4306" s="23" t="str">
        <f t="shared" si="203"/>
        <v>Sep</v>
      </c>
      <c r="Q4306" s="23" t="str">
        <f>IF(F4306="CAPTURE",IF(COUNTIF(orders!$A:$A,O4306)&gt;0,"Yes","NO ORDER"),"")</f>
        <v>Yes</v>
      </c>
    </row>
    <row r="4307" spans="1:17" ht="15" customHeight="1" x14ac:dyDescent="0.3">
      <c r="A4307" s="23" t="s">
        <v>17380</v>
      </c>
      <c r="B4307" s="23"/>
      <c r="C4307" s="23" t="s">
        <v>10643</v>
      </c>
      <c r="D4307" s="23" t="str">
        <f t="shared" si="201"/>
        <v>ORD26005099</v>
      </c>
      <c r="E4307" s="38">
        <v>46288</v>
      </c>
      <c r="F4307" s="23" t="s">
        <v>12410</v>
      </c>
      <c r="G4307" s="23" t="s">
        <v>79</v>
      </c>
      <c r="H4307" s="24">
        <v>598</v>
      </c>
      <c r="I4307" s="24">
        <v>10.76</v>
      </c>
      <c r="J4307" s="24">
        <v>1.94</v>
      </c>
      <c r="K4307" s="24">
        <v>585.29999999999995</v>
      </c>
      <c r="L4307" s="38">
        <v>46290</v>
      </c>
      <c r="M4307" s="23" t="s">
        <v>222</v>
      </c>
      <c r="N4307" s="23" t="str">
        <f>IF(COUNTIF($A$2:A4307,A4307)&gt;1,"DUP","OK")</f>
        <v>OK</v>
      </c>
      <c r="O4307" s="23" t="str">
        <f t="shared" si="202"/>
        <v>ORD26005099</v>
      </c>
      <c r="P4307" s="23" t="str">
        <f t="shared" si="203"/>
        <v>Sep</v>
      </c>
      <c r="Q4307" s="23" t="str">
        <f>IF(F4307="CAPTURE",IF(COUNTIF(orders!$A:$A,O4307)&gt;0,"Yes","NO ORDER"),"")</f>
        <v>Yes</v>
      </c>
    </row>
    <row r="4308" spans="1:17" ht="15" customHeight="1" x14ac:dyDescent="0.3">
      <c r="A4308" s="23" t="s">
        <v>17381</v>
      </c>
      <c r="B4308" s="23"/>
      <c r="C4308" s="23" t="s">
        <v>10743</v>
      </c>
      <c r="D4308" s="23" t="str">
        <f t="shared" si="201"/>
        <v>ORD26005150</v>
      </c>
      <c r="E4308" s="38">
        <v>46288</v>
      </c>
      <c r="F4308" s="23" t="s">
        <v>12410</v>
      </c>
      <c r="G4308" s="23" t="s">
        <v>75</v>
      </c>
      <c r="H4308" s="24">
        <v>8348</v>
      </c>
      <c r="I4308" s="24">
        <v>25.04</v>
      </c>
      <c r="J4308" s="24">
        <v>4.51</v>
      </c>
      <c r="K4308" s="24">
        <v>8318.4500000000007</v>
      </c>
      <c r="L4308" s="38">
        <v>46290</v>
      </c>
      <c r="M4308" s="23" t="s">
        <v>222</v>
      </c>
      <c r="N4308" s="23" t="str">
        <f>IF(COUNTIF($A$2:A4308,A4308)&gt;1,"DUP","OK")</f>
        <v>OK</v>
      </c>
      <c r="O4308" s="23" t="str">
        <f t="shared" si="202"/>
        <v>ORD26005150</v>
      </c>
      <c r="P4308" s="23" t="str">
        <f t="shared" si="203"/>
        <v>Sep</v>
      </c>
      <c r="Q4308" s="23" t="str">
        <f>IF(F4308="CAPTURE",IF(COUNTIF(orders!$A:$A,O4308)&gt;0,"Yes","NO ORDER"),"")</f>
        <v>Yes</v>
      </c>
    </row>
    <row r="4309" spans="1:17" ht="15" customHeight="1" x14ac:dyDescent="0.3">
      <c r="A4309" s="23" t="s">
        <v>17382</v>
      </c>
      <c r="B4309" s="23"/>
      <c r="C4309" s="23" t="s">
        <v>10749</v>
      </c>
      <c r="D4309" s="23" t="str">
        <f t="shared" si="201"/>
        <v>ORD26005154</v>
      </c>
      <c r="E4309" s="38">
        <v>46288</v>
      </c>
      <c r="F4309" s="23" t="s">
        <v>12410</v>
      </c>
      <c r="G4309" s="23" t="s">
        <v>75</v>
      </c>
      <c r="H4309" s="24">
        <v>3197</v>
      </c>
      <c r="I4309" s="24">
        <v>9.59</v>
      </c>
      <c r="J4309" s="24">
        <v>1.73</v>
      </c>
      <c r="K4309" s="24">
        <v>3185.68</v>
      </c>
      <c r="L4309" s="38">
        <v>46290</v>
      </c>
      <c r="M4309" s="23" t="s">
        <v>222</v>
      </c>
      <c r="N4309" s="23" t="str">
        <f>IF(COUNTIF($A$2:A4309,A4309)&gt;1,"DUP","OK")</f>
        <v>OK</v>
      </c>
      <c r="O4309" s="23" t="str">
        <f t="shared" si="202"/>
        <v>ORD26005154</v>
      </c>
      <c r="P4309" s="23" t="str">
        <f t="shared" si="203"/>
        <v>Sep</v>
      </c>
      <c r="Q4309" s="23" t="str">
        <f>IF(F4309="CAPTURE",IF(COUNTIF(orders!$A:$A,O4309)&gt;0,"Yes","NO ORDER"),"")</f>
        <v>Yes</v>
      </c>
    </row>
    <row r="4310" spans="1:17" ht="15" customHeight="1" x14ac:dyDescent="0.3">
      <c r="A4310" s="23" t="s">
        <v>17383</v>
      </c>
      <c r="B4310" s="23"/>
      <c r="C4310" s="23" t="s">
        <v>10812</v>
      </c>
      <c r="D4310" s="23" t="str">
        <f t="shared" si="201"/>
        <v>ORD26005186</v>
      </c>
      <c r="E4310" s="38">
        <v>46288</v>
      </c>
      <c r="F4310" s="23" t="s">
        <v>12410</v>
      </c>
      <c r="G4310" s="23" t="s">
        <v>79</v>
      </c>
      <c r="H4310" s="24">
        <v>12998</v>
      </c>
      <c r="I4310" s="24">
        <v>207.97</v>
      </c>
      <c r="J4310" s="24">
        <v>37.43</v>
      </c>
      <c r="K4310" s="24">
        <v>12752.6</v>
      </c>
      <c r="L4310" s="38">
        <v>46290</v>
      </c>
      <c r="M4310" s="23" t="s">
        <v>222</v>
      </c>
      <c r="N4310" s="23" t="str">
        <f>IF(COUNTIF($A$2:A4310,A4310)&gt;1,"DUP","OK")</f>
        <v>OK</v>
      </c>
      <c r="O4310" s="23" t="str">
        <f t="shared" si="202"/>
        <v>ORD26005186</v>
      </c>
      <c r="P4310" s="23" t="str">
        <f t="shared" si="203"/>
        <v>Sep</v>
      </c>
      <c r="Q4310" s="23" t="str">
        <f>IF(F4310="CAPTURE",IF(COUNTIF(orders!$A:$A,O4310)&gt;0,"Yes","NO ORDER"),"")</f>
        <v>Yes</v>
      </c>
    </row>
    <row r="4311" spans="1:17" ht="15" customHeight="1" x14ac:dyDescent="0.3">
      <c r="A4311" s="23" t="s">
        <v>17384</v>
      </c>
      <c r="B4311" s="23"/>
      <c r="C4311" s="23" t="s">
        <v>10978</v>
      </c>
      <c r="D4311" s="23" t="str">
        <f t="shared" si="201"/>
        <v>ORD26005270</v>
      </c>
      <c r="E4311" s="38">
        <v>46288</v>
      </c>
      <c r="F4311" s="23" t="s">
        <v>12410</v>
      </c>
      <c r="G4311" s="23" t="s">
        <v>77</v>
      </c>
      <c r="H4311" s="24">
        <v>3499</v>
      </c>
      <c r="I4311" s="24">
        <v>59.48</v>
      </c>
      <c r="J4311" s="24">
        <v>10.71</v>
      </c>
      <c r="K4311" s="24">
        <v>3428.81</v>
      </c>
      <c r="L4311" s="38">
        <v>46290</v>
      </c>
      <c r="M4311" s="23" t="s">
        <v>222</v>
      </c>
      <c r="N4311" s="23" t="str">
        <f>IF(COUNTIF($A$2:A4311,A4311)&gt;1,"DUP","OK")</f>
        <v>OK</v>
      </c>
      <c r="O4311" s="23" t="str">
        <f t="shared" si="202"/>
        <v>ORD26005270</v>
      </c>
      <c r="P4311" s="23" t="str">
        <f t="shared" si="203"/>
        <v>Sep</v>
      </c>
      <c r="Q4311" s="23" t="str">
        <f>IF(F4311="CAPTURE",IF(COUNTIF(orders!$A:$A,O4311)&gt;0,"Yes","NO ORDER"),"")</f>
        <v>Yes</v>
      </c>
    </row>
    <row r="4312" spans="1:17" ht="15" customHeight="1" x14ac:dyDescent="0.3">
      <c r="A4312" s="23" t="s">
        <v>17385</v>
      </c>
      <c r="B4312" s="23"/>
      <c r="C4312" s="23" t="s">
        <v>11057</v>
      </c>
      <c r="D4312" s="23" t="str">
        <f t="shared" si="201"/>
        <v>ORD26005312</v>
      </c>
      <c r="E4312" s="38">
        <v>46288</v>
      </c>
      <c r="F4312" s="23" t="s">
        <v>12410</v>
      </c>
      <c r="G4312" s="23" t="s">
        <v>75</v>
      </c>
      <c r="H4312" s="24">
        <v>1799</v>
      </c>
      <c r="I4312" s="24">
        <v>0</v>
      </c>
      <c r="J4312" s="24">
        <v>0</v>
      </c>
      <c r="K4312" s="24">
        <v>1799</v>
      </c>
      <c r="L4312" s="38">
        <v>46290</v>
      </c>
      <c r="M4312" s="23" t="s">
        <v>222</v>
      </c>
      <c r="N4312" s="23" t="str">
        <f>IF(COUNTIF($A$2:A4312,A4312)&gt;1,"DUP","OK")</f>
        <v>OK</v>
      </c>
      <c r="O4312" s="23" t="str">
        <f t="shared" si="202"/>
        <v>ORD26005312</v>
      </c>
      <c r="P4312" s="23" t="str">
        <f t="shared" si="203"/>
        <v>Sep</v>
      </c>
      <c r="Q4312" s="23" t="str">
        <f>IF(F4312="CAPTURE",IF(COUNTIF(orders!$A:$A,O4312)&gt;0,"Yes","NO ORDER"),"")</f>
        <v>Yes</v>
      </c>
    </row>
    <row r="4313" spans="1:17" ht="15" customHeight="1" x14ac:dyDescent="0.3">
      <c r="A4313" s="23" t="s">
        <v>17386</v>
      </c>
      <c r="B4313" s="23"/>
      <c r="C4313" s="23" t="s">
        <v>11221</v>
      </c>
      <c r="D4313" s="23" t="str">
        <f t="shared" si="201"/>
        <v>ORD26005394</v>
      </c>
      <c r="E4313" s="38">
        <v>46288</v>
      </c>
      <c r="F4313" s="23" t="s">
        <v>12410</v>
      </c>
      <c r="G4313" s="23" t="s">
        <v>75</v>
      </c>
      <c r="H4313" s="24">
        <v>8798</v>
      </c>
      <c r="I4313" s="24">
        <v>26.39</v>
      </c>
      <c r="J4313" s="24">
        <v>4.75</v>
      </c>
      <c r="K4313" s="24">
        <v>8766.86</v>
      </c>
      <c r="L4313" s="38">
        <v>46290</v>
      </c>
      <c r="M4313" s="23" t="s">
        <v>222</v>
      </c>
      <c r="N4313" s="23" t="str">
        <f>IF(COUNTIF($A$2:A4313,A4313)&gt;1,"DUP","OK")</f>
        <v>OK</v>
      </c>
      <c r="O4313" s="23" t="str">
        <f t="shared" si="202"/>
        <v>ORD26005394</v>
      </c>
      <c r="P4313" s="23" t="str">
        <f t="shared" si="203"/>
        <v>Sep</v>
      </c>
      <c r="Q4313" s="23" t="str">
        <f>IF(F4313="CAPTURE",IF(COUNTIF(orders!$A:$A,O4313)&gt;0,"Yes","NO ORDER"),"")</f>
        <v>Yes</v>
      </c>
    </row>
    <row r="4314" spans="1:17" ht="15" customHeight="1" x14ac:dyDescent="0.3">
      <c r="A4314" s="23" t="s">
        <v>17387</v>
      </c>
      <c r="B4314" s="23"/>
      <c r="C4314" s="23" t="s">
        <v>11299</v>
      </c>
      <c r="D4314" s="23" t="str">
        <f t="shared" si="201"/>
        <v>ORD26005434</v>
      </c>
      <c r="E4314" s="38">
        <v>46288</v>
      </c>
      <c r="F4314" s="23" t="s">
        <v>12410</v>
      </c>
      <c r="G4314" s="23" t="s">
        <v>79</v>
      </c>
      <c r="H4314" s="24">
        <v>6798</v>
      </c>
      <c r="I4314" s="24">
        <v>108.77</v>
      </c>
      <c r="J4314" s="24">
        <v>19.579999999999998</v>
      </c>
      <c r="K4314" s="24">
        <v>6669.65</v>
      </c>
      <c r="L4314" s="38">
        <v>46290</v>
      </c>
      <c r="M4314" s="23" t="s">
        <v>222</v>
      </c>
      <c r="N4314" s="23" t="str">
        <f>IF(COUNTIF($A$2:A4314,A4314)&gt;1,"DUP","OK")</f>
        <v>OK</v>
      </c>
      <c r="O4314" s="23" t="str">
        <f t="shared" si="202"/>
        <v>ORD26005434</v>
      </c>
      <c r="P4314" s="23" t="str">
        <f t="shared" si="203"/>
        <v>Sep</v>
      </c>
      <c r="Q4314" s="23" t="str">
        <f>IF(F4314="CAPTURE",IF(COUNTIF(orders!$A:$A,O4314)&gt;0,"Yes","NO ORDER"),"")</f>
        <v>Yes</v>
      </c>
    </row>
    <row r="4315" spans="1:17" ht="15" customHeight="1" x14ac:dyDescent="0.3">
      <c r="A4315" s="23" t="s">
        <v>17388</v>
      </c>
      <c r="B4315" s="23"/>
      <c r="C4315" s="23" t="s">
        <v>11358</v>
      </c>
      <c r="D4315" s="23" t="str">
        <f t="shared" si="201"/>
        <v>ORD26005464</v>
      </c>
      <c r="E4315" s="38">
        <v>46288</v>
      </c>
      <c r="F4315" s="23" t="s">
        <v>12410</v>
      </c>
      <c r="G4315" s="23" t="s">
        <v>79</v>
      </c>
      <c r="H4315" s="24">
        <v>7999</v>
      </c>
      <c r="I4315" s="24">
        <v>127.98</v>
      </c>
      <c r="J4315" s="24">
        <v>23.04</v>
      </c>
      <c r="K4315" s="24">
        <v>7847.98</v>
      </c>
      <c r="L4315" s="38">
        <v>46290</v>
      </c>
      <c r="M4315" s="23" t="s">
        <v>222</v>
      </c>
      <c r="N4315" s="23" t="str">
        <f>IF(COUNTIF($A$2:A4315,A4315)&gt;1,"DUP","OK")</f>
        <v>OK</v>
      </c>
      <c r="O4315" s="23" t="str">
        <f t="shared" si="202"/>
        <v>ORD26005464</v>
      </c>
      <c r="P4315" s="23" t="str">
        <f t="shared" si="203"/>
        <v>Sep</v>
      </c>
      <c r="Q4315" s="23" t="str">
        <f>IF(F4315="CAPTURE",IF(COUNTIF(orders!$A:$A,O4315)&gt;0,"Yes","NO ORDER"),"")</f>
        <v>Yes</v>
      </c>
    </row>
    <row r="4316" spans="1:17" ht="15" customHeight="1" x14ac:dyDescent="0.3">
      <c r="A4316" s="23" t="s">
        <v>17389</v>
      </c>
      <c r="B4316" s="23"/>
      <c r="C4316" s="23" t="s">
        <v>11389</v>
      </c>
      <c r="D4316" s="23" t="str">
        <f t="shared" si="201"/>
        <v>ORD26005480</v>
      </c>
      <c r="E4316" s="38">
        <v>46288</v>
      </c>
      <c r="F4316" s="23" t="s">
        <v>12410</v>
      </c>
      <c r="G4316" s="23" t="s">
        <v>75</v>
      </c>
      <c r="H4316" s="24">
        <v>599</v>
      </c>
      <c r="I4316" s="24">
        <v>1.8</v>
      </c>
      <c r="J4316" s="24">
        <v>0.32</v>
      </c>
      <c r="K4316" s="24">
        <v>596.88</v>
      </c>
      <c r="L4316" s="38">
        <v>46290</v>
      </c>
      <c r="M4316" s="23" t="s">
        <v>222</v>
      </c>
      <c r="N4316" s="23" t="str">
        <f>IF(COUNTIF($A$2:A4316,A4316)&gt;1,"DUP","OK")</f>
        <v>OK</v>
      </c>
      <c r="O4316" s="23" t="str">
        <f t="shared" si="202"/>
        <v>ORD26005480</v>
      </c>
      <c r="P4316" s="23" t="str">
        <f t="shared" si="203"/>
        <v>Sep</v>
      </c>
      <c r="Q4316" s="23" t="str">
        <f>IF(F4316="CAPTURE",IF(COUNTIF(orders!$A:$A,O4316)&gt;0,"Yes","NO ORDER"),"")</f>
        <v>Yes</v>
      </c>
    </row>
    <row r="4317" spans="1:17" ht="15" customHeight="1" x14ac:dyDescent="0.3">
      <c r="A4317" s="23" t="s">
        <v>17390</v>
      </c>
      <c r="B4317" s="23"/>
      <c r="C4317" s="23" t="s">
        <v>11470</v>
      </c>
      <c r="D4317" s="23" t="str">
        <f t="shared" si="201"/>
        <v>ORD26005522</v>
      </c>
      <c r="E4317" s="38">
        <v>46288</v>
      </c>
      <c r="F4317" s="23" t="s">
        <v>12410</v>
      </c>
      <c r="G4317" s="23" t="s">
        <v>75</v>
      </c>
      <c r="H4317" s="24">
        <v>349</v>
      </c>
      <c r="I4317" s="24">
        <v>0</v>
      </c>
      <c r="J4317" s="24">
        <v>0</v>
      </c>
      <c r="K4317" s="24">
        <v>349</v>
      </c>
      <c r="L4317" s="38">
        <v>46290</v>
      </c>
      <c r="M4317" s="23" t="s">
        <v>222</v>
      </c>
      <c r="N4317" s="23" t="str">
        <f>IF(COUNTIF($A$2:A4317,A4317)&gt;1,"DUP","OK")</f>
        <v>OK</v>
      </c>
      <c r="O4317" s="23" t="str">
        <f t="shared" si="202"/>
        <v>ORD26005522</v>
      </c>
      <c r="P4317" s="23" t="str">
        <f t="shared" si="203"/>
        <v>Sep</v>
      </c>
      <c r="Q4317" s="23" t="str">
        <f>IF(F4317="CAPTURE",IF(COUNTIF(orders!$A:$A,O4317)&gt;0,"Yes","NO ORDER"),"")</f>
        <v>Yes</v>
      </c>
    </row>
    <row r="4318" spans="1:17" ht="15" customHeight="1" x14ac:dyDescent="0.3">
      <c r="A4318" s="23" t="s">
        <v>17391</v>
      </c>
      <c r="B4318" s="23"/>
      <c r="C4318" s="23" t="s">
        <v>11507</v>
      </c>
      <c r="D4318" s="23" t="str">
        <f t="shared" si="201"/>
        <v>ORD26005541</v>
      </c>
      <c r="E4318" s="38">
        <v>46288</v>
      </c>
      <c r="F4318" s="23" t="s">
        <v>12410</v>
      </c>
      <c r="G4318" s="23" t="s">
        <v>75</v>
      </c>
      <c r="H4318" s="24">
        <v>3499</v>
      </c>
      <c r="I4318" s="24">
        <v>10.5</v>
      </c>
      <c r="J4318" s="24">
        <v>1.89</v>
      </c>
      <c r="K4318" s="24">
        <v>3486.61</v>
      </c>
      <c r="L4318" s="38">
        <v>46290</v>
      </c>
      <c r="M4318" s="23" t="s">
        <v>222</v>
      </c>
      <c r="N4318" s="23" t="str">
        <f>IF(COUNTIF($A$2:A4318,A4318)&gt;1,"DUP","OK")</f>
        <v>OK</v>
      </c>
      <c r="O4318" s="23" t="str">
        <f t="shared" si="202"/>
        <v>ORD26005541</v>
      </c>
      <c r="P4318" s="23" t="str">
        <f t="shared" si="203"/>
        <v>Sep</v>
      </c>
      <c r="Q4318" s="23" t="str">
        <f>IF(F4318="CAPTURE",IF(COUNTIF(orders!$A:$A,O4318)&gt;0,"Yes","NO ORDER"),"")</f>
        <v>Yes</v>
      </c>
    </row>
    <row r="4319" spans="1:17" ht="15" customHeight="1" x14ac:dyDescent="0.3">
      <c r="A4319" s="23" t="s">
        <v>17392</v>
      </c>
      <c r="B4319" s="23"/>
      <c r="C4319" s="23" t="s">
        <v>11588</v>
      </c>
      <c r="D4319" s="23" t="str">
        <f t="shared" si="201"/>
        <v>ORD26005583</v>
      </c>
      <c r="E4319" s="38">
        <v>46288</v>
      </c>
      <c r="F4319" s="23" t="s">
        <v>12410</v>
      </c>
      <c r="G4319" s="23" t="s">
        <v>77</v>
      </c>
      <c r="H4319" s="24">
        <v>1499</v>
      </c>
      <c r="I4319" s="24">
        <v>28.48</v>
      </c>
      <c r="J4319" s="24">
        <v>5.13</v>
      </c>
      <c r="K4319" s="24">
        <v>1465.39</v>
      </c>
      <c r="L4319" s="38">
        <v>46290</v>
      </c>
      <c r="M4319" s="23" t="s">
        <v>222</v>
      </c>
      <c r="N4319" s="23" t="str">
        <f>IF(COUNTIF($A$2:A4319,A4319)&gt;1,"DUP","OK")</f>
        <v>OK</v>
      </c>
      <c r="O4319" s="23" t="str">
        <f t="shared" si="202"/>
        <v>ORD26005583</v>
      </c>
      <c r="P4319" s="23" t="str">
        <f t="shared" si="203"/>
        <v>Sep</v>
      </c>
      <c r="Q4319" s="23" t="str">
        <f>IF(F4319="CAPTURE",IF(COUNTIF(orders!$A:$A,O4319)&gt;0,"Yes","NO ORDER"),"")</f>
        <v>Yes</v>
      </c>
    </row>
    <row r="4320" spans="1:17" ht="15" customHeight="1" x14ac:dyDescent="0.3">
      <c r="A4320" s="23" t="s">
        <v>17393</v>
      </c>
      <c r="B4320" s="23"/>
      <c r="C4320" s="23" t="s">
        <v>11652</v>
      </c>
      <c r="D4320" s="23" t="str">
        <f t="shared" si="201"/>
        <v>ORD26005615</v>
      </c>
      <c r="E4320" s="38">
        <v>46288</v>
      </c>
      <c r="F4320" s="23" t="s">
        <v>12410</v>
      </c>
      <c r="G4320" s="23" t="s">
        <v>75</v>
      </c>
      <c r="H4320" s="24">
        <v>1299</v>
      </c>
      <c r="I4320" s="24">
        <v>0</v>
      </c>
      <c r="J4320" s="24">
        <v>0</v>
      </c>
      <c r="K4320" s="24">
        <v>1299</v>
      </c>
      <c r="L4320" s="38">
        <v>46290</v>
      </c>
      <c r="M4320" s="23" t="s">
        <v>222</v>
      </c>
      <c r="N4320" s="23" t="str">
        <f>IF(COUNTIF($A$2:A4320,A4320)&gt;1,"DUP","OK")</f>
        <v>OK</v>
      </c>
      <c r="O4320" s="23" t="str">
        <f t="shared" si="202"/>
        <v>ORD26005615</v>
      </c>
      <c r="P4320" s="23" t="str">
        <f t="shared" si="203"/>
        <v>Sep</v>
      </c>
      <c r="Q4320" s="23" t="str">
        <f>IF(F4320="CAPTURE",IF(COUNTIF(orders!$A:$A,O4320)&gt;0,"Yes","NO ORDER"),"")</f>
        <v>Yes</v>
      </c>
    </row>
    <row r="4321" spans="1:17" ht="15" customHeight="1" x14ac:dyDescent="0.3">
      <c r="A4321" s="23" t="s">
        <v>17394</v>
      </c>
      <c r="B4321" s="23"/>
      <c r="C4321" s="23" t="s">
        <v>11704</v>
      </c>
      <c r="D4321" s="23" t="str">
        <f t="shared" si="201"/>
        <v>ORD26005641</v>
      </c>
      <c r="E4321" s="38">
        <v>46288</v>
      </c>
      <c r="F4321" s="23" t="s">
        <v>12410</v>
      </c>
      <c r="G4321" s="23" t="s">
        <v>81</v>
      </c>
      <c r="H4321" s="24">
        <v>3798</v>
      </c>
      <c r="I4321" s="24">
        <v>45.58</v>
      </c>
      <c r="J4321" s="24">
        <v>8.1999999999999993</v>
      </c>
      <c r="K4321" s="24">
        <v>3744.22</v>
      </c>
      <c r="L4321" s="38">
        <v>46290</v>
      </c>
      <c r="M4321" s="23" t="s">
        <v>222</v>
      </c>
      <c r="N4321" s="23" t="str">
        <f>IF(COUNTIF($A$2:A4321,A4321)&gt;1,"DUP","OK")</f>
        <v>OK</v>
      </c>
      <c r="O4321" s="23" t="str">
        <f t="shared" si="202"/>
        <v>ORD26005641</v>
      </c>
      <c r="P4321" s="23" t="str">
        <f t="shared" si="203"/>
        <v>Sep</v>
      </c>
      <c r="Q4321" s="23" t="str">
        <f>IF(F4321="CAPTURE",IF(COUNTIF(orders!$A:$A,O4321)&gt;0,"Yes","NO ORDER"),"")</f>
        <v>Yes</v>
      </c>
    </row>
    <row r="4322" spans="1:17" ht="15" customHeight="1" x14ac:dyDescent="0.3">
      <c r="A4322" s="23" t="s">
        <v>17395</v>
      </c>
      <c r="B4322" s="23"/>
      <c r="C4322" s="23" t="s">
        <v>11817</v>
      </c>
      <c r="D4322" s="23" t="str">
        <f t="shared" si="201"/>
        <v>ORD26005700</v>
      </c>
      <c r="E4322" s="38">
        <v>46288</v>
      </c>
      <c r="F4322" s="23" t="s">
        <v>12410</v>
      </c>
      <c r="G4322" s="23" t="s">
        <v>75</v>
      </c>
      <c r="H4322" s="24">
        <v>2499</v>
      </c>
      <c r="I4322" s="24">
        <v>7.5</v>
      </c>
      <c r="J4322" s="24">
        <v>1.35</v>
      </c>
      <c r="K4322" s="24">
        <v>2490.15</v>
      </c>
      <c r="L4322" s="38">
        <v>46290</v>
      </c>
      <c r="M4322" s="23" t="s">
        <v>222</v>
      </c>
      <c r="N4322" s="23" t="str">
        <f>IF(COUNTIF($A$2:A4322,A4322)&gt;1,"DUP","OK")</f>
        <v>OK</v>
      </c>
      <c r="O4322" s="23" t="str">
        <f t="shared" si="202"/>
        <v>ORD26005700</v>
      </c>
      <c r="P4322" s="23" t="str">
        <f t="shared" si="203"/>
        <v>Sep</v>
      </c>
      <c r="Q4322" s="23" t="str">
        <f>IF(F4322="CAPTURE",IF(COUNTIF(orders!$A:$A,O4322)&gt;0,"Yes","NO ORDER"),"")</f>
        <v>Yes</v>
      </c>
    </row>
    <row r="4323" spans="1:17" ht="15" customHeight="1" x14ac:dyDescent="0.3">
      <c r="A4323" s="23" t="s">
        <v>17396</v>
      </c>
      <c r="B4323" s="23"/>
      <c r="C4323" s="23" t="s">
        <v>11897</v>
      </c>
      <c r="D4323" s="23" t="str">
        <f t="shared" si="201"/>
        <v>ORD26005741</v>
      </c>
      <c r="E4323" s="38">
        <v>46288</v>
      </c>
      <c r="F4323" s="23" t="s">
        <v>12410</v>
      </c>
      <c r="G4323" s="23" t="s">
        <v>75</v>
      </c>
      <c r="H4323" s="24">
        <v>3499</v>
      </c>
      <c r="I4323" s="24">
        <v>10.5</v>
      </c>
      <c r="J4323" s="24">
        <v>1.89</v>
      </c>
      <c r="K4323" s="24">
        <v>3486.61</v>
      </c>
      <c r="L4323" s="38">
        <v>46290</v>
      </c>
      <c r="M4323" s="23" t="s">
        <v>222</v>
      </c>
      <c r="N4323" s="23" t="str">
        <f>IF(COUNTIF($A$2:A4323,A4323)&gt;1,"DUP","OK")</f>
        <v>OK</v>
      </c>
      <c r="O4323" s="23" t="str">
        <f t="shared" si="202"/>
        <v>ORD26005741</v>
      </c>
      <c r="P4323" s="23" t="str">
        <f t="shared" si="203"/>
        <v>Sep</v>
      </c>
      <c r="Q4323" s="23" t="str">
        <f>IF(F4323="CAPTURE",IF(COUNTIF(orders!$A:$A,O4323)&gt;0,"Yes","NO ORDER"),"")</f>
        <v>Yes</v>
      </c>
    </row>
    <row r="4324" spans="1:17" ht="15" customHeight="1" x14ac:dyDescent="0.3">
      <c r="A4324" s="23" t="s">
        <v>17397</v>
      </c>
      <c r="B4324" s="23"/>
      <c r="C4324" s="23" t="s">
        <v>12037</v>
      </c>
      <c r="D4324" s="23" t="str">
        <f t="shared" si="201"/>
        <v>ORD26005813</v>
      </c>
      <c r="E4324" s="38">
        <v>46288</v>
      </c>
      <c r="F4324" s="23" t="s">
        <v>12410</v>
      </c>
      <c r="G4324" s="23" t="s">
        <v>79</v>
      </c>
      <c r="H4324" s="24">
        <v>5798</v>
      </c>
      <c r="I4324" s="24">
        <v>92.77</v>
      </c>
      <c r="J4324" s="24">
        <v>16.7</v>
      </c>
      <c r="K4324" s="24">
        <v>5688.53</v>
      </c>
      <c r="L4324" s="38">
        <v>46290</v>
      </c>
      <c r="M4324" s="23" t="s">
        <v>222</v>
      </c>
      <c r="N4324" s="23" t="str">
        <f>IF(COUNTIF($A$2:A4324,A4324)&gt;1,"DUP","OK")</f>
        <v>OK</v>
      </c>
      <c r="O4324" s="23" t="str">
        <f t="shared" si="202"/>
        <v>ORD26005813</v>
      </c>
      <c r="P4324" s="23" t="str">
        <f t="shared" si="203"/>
        <v>Sep</v>
      </c>
      <c r="Q4324" s="23" t="str">
        <f>IF(F4324="CAPTURE",IF(COUNTIF(orders!$A:$A,O4324)&gt;0,"Yes","NO ORDER"),"")</f>
        <v>Yes</v>
      </c>
    </row>
    <row r="4325" spans="1:17" ht="15" customHeight="1" x14ac:dyDescent="0.3">
      <c r="A4325" s="23" t="s">
        <v>17398</v>
      </c>
      <c r="B4325" s="23"/>
      <c r="C4325" s="23" t="s">
        <v>17399</v>
      </c>
      <c r="D4325" s="23" t="str">
        <f t="shared" si="201"/>
        <v>ORD26005838</v>
      </c>
      <c r="E4325" s="38">
        <v>46288</v>
      </c>
      <c r="F4325" s="23" t="s">
        <v>12410</v>
      </c>
      <c r="G4325" s="23" t="s">
        <v>75</v>
      </c>
      <c r="H4325" s="24">
        <v>1299</v>
      </c>
      <c r="I4325" s="24">
        <v>0</v>
      </c>
      <c r="J4325" s="24">
        <v>0</v>
      </c>
      <c r="K4325" s="24">
        <v>1299</v>
      </c>
      <c r="L4325" s="38">
        <v>46290</v>
      </c>
      <c r="M4325" s="23" t="s">
        <v>222</v>
      </c>
      <c r="N4325" s="23" t="str">
        <f>IF(COUNTIF($A$2:A4325,A4325)&gt;1,"DUP","OK")</f>
        <v>OK</v>
      </c>
      <c r="O4325" s="23" t="str">
        <f t="shared" si="202"/>
        <v>ORD26005838</v>
      </c>
      <c r="P4325" s="23" t="str">
        <f t="shared" si="203"/>
        <v>Sep</v>
      </c>
      <c r="Q4325" s="23" t="str">
        <f>IF(F4325="CAPTURE",IF(COUNTIF(orders!$A:$A,O4325)&gt;0,"Yes","NO ORDER"),"")</f>
        <v>Yes</v>
      </c>
    </row>
    <row r="4326" spans="1:17" ht="15" customHeight="1" x14ac:dyDescent="0.3">
      <c r="A4326" s="23" t="s">
        <v>17400</v>
      </c>
      <c r="B4326" s="23"/>
      <c r="C4326" s="23" t="s">
        <v>12096</v>
      </c>
      <c r="D4326" s="23" t="str">
        <f t="shared" si="201"/>
        <v>ORD26005844</v>
      </c>
      <c r="E4326" s="38">
        <v>46288</v>
      </c>
      <c r="F4326" s="23" t="s">
        <v>12410</v>
      </c>
      <c r="G4326" s="23" t="s">
        <v>79</v>
      </c>
      <c r="H4326" s="24">
        <v>4999</v>
      </c>
      <c r="I4326" s="24">
        <v>79.98</v>
      </c>
      <c r="J4326" s="24">
        <v>14.4</v>
      </c>
      <c r="K4326" s="24">
        <v>4904.62</v>
      </c>
      <c r="L4326" s="38">
        <v>46290</v>
      </c>
      <c r="M4326" s="23" t="s">
        <v>222</v>
      </c>
      <c r="N4326" s="23" t="str">
        <f>IF(COUNTIF($A$2:A4326,A4326)&gt;1,"DUP","OK")</f>
        <v>OK</v>
      </c>
      <c r="O4326" s="23" t="str">
        <f t="shared" si="202"/>
        <v>ORD26005844</v>
      </c>
      <c r="P4326" s="23" t="str">
        <f t="shared" si="203"/>
        <v>Sep</v>
      </c>
      <c r="Q4326" s="23" t="str">
        <f>IF(F4326="CAPTURE",IF(COUNTIF(orders!$A:$A,O4326)&gt;0,"Yes","NO ORDER"),"")</f>
        <v>Yes</v>
      </c>
    </row>
    <row r="4327" spans="1:17" ht="15" customHeight="1" x14ac:dyDescent="0.3">
      <c r="A4327" s="23" t="s">
        <v>17401</v>
      </c>
      <c r="B4327" s="23"/>
      <c r="C4327" s="23" t="s">
        <v>12169</v>
      </c>
      <c r="D4327" s="23" t="str">
        <f t="shared" si="201"/>
        <v>ORD26005884</v>
      </c>
      <c r="E4327" s="38">
        <v>46288</v>
      </c>
      <c r="F4327" s="23" t="s">
        <v>12410</v>
      </c>
      <c r="G4327" s="23" t="s">
        <v>75</v>
      </c>
      <c r="H4327" s="24">
        <v>3597</v>
      </c>
      <c r="I4327" s="24">
        <v>10.79</v>
      </c>
      <c r="J4327" s="24">
        <v>1.94</v>
      </c>
      <c r="K4327" s="24">
        <v>3584.27</v>
      </c>
      <c r="L4327" s="38">
        <v>46290</v>
      </c>
      <c r="M4327" s="23" t="s">
        <v>222</v>
      </c>
      <c r="N4327" s="23" t="str">
        <f>IF(COUNTIF($A$2:A4327,A4327)&gt;1,"DUP","OK")</f>
        <v>OK</v>
      </c>
      <c r="O4327" s="23" t="str">
        <f t="shared" si="202"/>
        <v>ORD26005884</v>
      </c>
      <c r="P4327" s="23" t="str">
        <f t="shared" si="203"/>
        <v>Sep</v>
      </c>
      <c r="Q4327" s="23" t="str">
        <f>IF(F4327="CAPTURE",IF(COUNTIF(orders!$A:$A,O4327)&gt;0,"Yes","NO ORDER"),"")</f>
        <v>Yes</v>
      </c>
    </row>
    <row r="4328" spans="1:17" ht="15" customHeight="1" x14ac:dyDescent="0.3">
      <c r="A4328" s="23" t="s">
        <v>17402</v>
      </c>
      <c r="B4328" s="23"/>
      <c r="C4328" s="23" t="s">
        <v>17403</v>
      </c>
      <c r="D4328" s="23" t="str">
        <f t="shared" si="201"/>
        <v>ORD26005896</v>
      </c>
      <c r="E4328" s="38">
        <v>46288</v>
      </c>
      <c r="F4328" s="23" t="s">
        <v>12410</v>
      </c>
      <c r="G4328" s="23" t="s">
        <v>75</v>
      </c>
      <c r="H4328" s="24">
        <v>4498</v>
      </c>
      <c r="I4328" s="24">
        <v>13.49</v>
      </c>
      <c r="J4328" s="24">
        <v>2.4300000000000002</v>
      </c>
      <c r="K4328" s="24">
        <v>4482.08</v>
      </c>
      <c r="L4328" s="38">
        <v>46290</v>
      </c>
      <c r="M4328" s="23" t="s">
        <v>222</v>
      </c>
      <c r="N4328" s="23" t="str">
        <f>IF(COUNTIF($A$2:A4328,A4328)&gt;1,"DUP","OK")</f>
        <v>OK</v>
      </c>
      <c r="O4328" s="23" t="str">
        <f t="shared" si="202"/>
        <v>ORD26005896</v>
      </c>
      <c r="P4328" s="23" t="str">
        <f t="shared" si="203"/>
        <v>Sep</v>
      </c>
      <c r="Q4328" s="23" t="str">
        <f>IF(F4328="CAPTURE",IF(COUNTIF(orders!$A:$A,O4328)&gt;0,"Yes","NO ORDER"),"")</f>
        <v>Yes</v>
      </c>
    </row>
    <row r="4329" spans="1:17" ht="15" customHeight="1" x14ac:dyDescent="0.3">
      <c r="A4329" s="23" t="s">
        <v>17404</v>
      </c>
      <c r="B4329" s="23"/>
      <c r="C4329" s="23" t="s">
        <v>17405</v>
      </c>
      <c r="D4329" s="23" t="str">
        <f t="shared" si="201"/>
        <v>ORD26005917</v>
      </c>
      <c r="E4329" s="38">
        <v>46288</v>
      </c>
      <c r="F4329" s="23" t="s">
        <v>12410</v>
      </c>
      <c r="G4329" s="23" t="s">
        <v>79</v>
      </c>
      <c r="H4329" s="24">
        <v>1499</v>
      </c>
      <c r="I4329" s="24">
        <v>26.98</v>
      </c>
      <c r="J4329" s="24">
        <v>4.8600000000000003</v>
      </c>
      <c r="K4329" s="24">
        <v>1467.16</v>
      </c>
      <c r="L4329" s="38">
        <v>46290</v>
      </c>
      <c r="M4329" s="23" t="s">
        <v>222</v>
      </c>
      <c r="N4329" s="23" t="str">
        <f>IF(COUNTIF($A$2:A4329,A4329)&gt;1,"DUP","OK")</f>
        <v>OK</v>
      </c>
      <c r="O4329" s="23" t="str">
        <f t="shared" si="202"/>
        <v>ORD26005917</v>
      </c>
      <c r="P4329" s="23" t="str">
        <f t="shared" si="203"/>
        <v>Sep</v>
      </c>
      <c r="Q4329" s="23" t="str">
        <f>IF(F4329="CAPTURE",IF(COUNTIF(orders!$A:$A,O4329)&gt;0,"Yes","NO ORDER"),"")</f>
        <v>Yes</v>
      </c>
    </row>
    <row r="4330" spans="1:17" ht="15" customHeight="1" x14ac:dyDescent="0.3">
      <c r="A4330" s="23" t="s">
        <v>17406</v>
      </c>
      <c r="B4330" s="23"/>
      <c r="C4330" s="23" t="s">
        <v>12353</v>
      </c>
      <c r="D4330" s="23" t="str">
        <f t="shared" si="201"/>
        <v>ORD26005981</v>
      </c>
      <c r="E4330" s="38">
        <v>46288</v>
      </c>
      <c r="F4330" s="23" t="s">
        <v>12410</v>
      </c>
      <c r="G4330" s="23" t="s">
        <v>77</v>
      </c>
      <c r="H4330" s="24">
        <v>1998</v>
      </c>
      <c r="I4330" s="24">
        <v>37.96</v>
      </c>
      <c r="J4330" s="24">
        <v>6.83</v>
      </c>
      <c r="K4330" s="24">
        <v>1953.21</v>
      </c>
      <c r="L4330" s="38">
        <v>46290</v>
      </c>
      <c r="M4330" s="23" t="s">
        <v>222</v>
      </c>
      <c r="N4330" s="23" t="str">
        <f>IF(COUNTIF($A$2:A4330,A4330)&gt;1,"DUP","OK")</f>
        <v>OK</v>
      </c>
      <c r="O4330" s="23" t="str">
        <f t="shared" si="202"/>
        <v>ORD26005981</v>
      </c>
      <c r="P4330" s="23" t="str">
        <f t="shared" si="203"/>
        <v>Sep</v>
      </c>
      <c r="Q4330" s="23" t="str">
        <f>IF(F4330="CAPTURE",IF(COUNTIF(orders!$A:$A,O4330)&gt;0,"Yes","NO ORDER"),"")</f>
        <v>Yes</v>
      </c>
    </row>
    <row r="4331" spans="1:17" ht="15" customHeight="1" x14ac:dyDescent="0.3">
      <c r="A4331" s="23" t="s">
        <v>17407</v>
      </c>
      <c r="B4331" s="23"/>
      <c r="C4331" s="23" t="s">
        <v>17408</v>
      </c>
      <c r="D4331" s="23" t="str">
        <f t="shared" si="201"/>
        <v>ORD26006507</v>
      </c>
      <c r="E4331" s="38">
        <v>46288</v>
      </c>
      <c r="F4331" s="23" t="s">
        <v>12410</v>
      </c>
      <c r="G4331" s="23" t="s">
        <v>79</v>
      </c>
      <c r="H4331" s="24">
        <v>3499</v>
      </c>
      <c r="I4331" s="24">
        <v>55.98</v>
      </c>
      <c r="J4331" s="24">
        <v>10.08</v>
      </c>
      <c r="K4331" s="24">
        <v>3432.94</v>
      </c>
      <c r="L4331" s="38">
        <v>46290</v>
      </c>
      <c r="M4331" s="23" t="s">
        <v>222</v>
      </c>
      <c r="N4331" s="23" t="str">
        <f>IF(COUNTIF($A$2:A4331,A4331)&gt;1,"DUP","OK")</f>
        <v>OK</v>
      </c>
      <c r="O4331" s="23" t="str">
        <f t="shared" si="202"/>
        <v>ORD26006507</v>
      </c>
      <c r="P4331" s="23" t="str">
        <f t="shared" si="203"/>
        <v>Sep</v>
      </c>
      <c r="Q4331" s="23" t="str">
        <f>IF(F4331="CAPTURE",IF(COUNTIF(orders!$A:$A,O4331)&gt;0,"Yes","NO ORDER"),"")</f>
        <v>NO ORDER</v>
      </c>
    </row>
    <row r="4332" spans="1:17" ht="15" customHeight="1" x14ac:dyDescent="0.3">
      <c r="A4332" s="23" t="s">
        <v>17409</v>
      </c>
      <c r="B4332" s="23" t="s">
        <v>16593</v>
      </c>
      <c r="C4332" s="23"/>
      <c r="D4332" s="23" t="str">
        <f t="shared" si="201"/>
        <v/>
      </c>
      <c r="E4332" s="38">
        <v>46288</v>
      </c>
      <c r="F4332" s="23" t="s">
        <v>12791</v>
      </c>
      <c r="G4332" s="23" t="s">
        <v>75</v>
      </c>
      <c r="H4332" s="24">
        <v>7297</v>
      </c>
      <c r="I4332" s="24">
        <v>0</v>
      </c>
      <c r="J4332" s="24">
        <v>0</v>
      </c>
      <c r="K4332" s="24">
        <v>-7297</v>
      </c>
      <c r="L4332" s="38">
        <v>46290</v>
      </c>
      <c r="M4332" s="23" t="s">
        <v>222</v>
      </c>
      <c r="N4332" s="23" t="str">
        <f>IF(COUNTIF($A$2:A4332,A4332)&gt;1,"DUP","OK")</f>
        <v>OK</v>
      </c>
      <c r="O4332" s="23" t="str">
        <f t="shared" si="202"/>
        <v>ORD26000409</v>
      </c>
      <c r="P4332" s="23" t="str">
        <f t="shared" si="203"/>
        <v>Sep</v>
      </c>
      <c r="Q4332" s="23" t="str">
        <f>IF(F4332="CAPTURE",IF(COUNTIF(orders!$A:$A,O4332)&gt;0,"Yes","NO ORDER"),"")</f>
        <v/>
      </c>
    </row>
    <row r="4333" spans="1:17" ht="15" customHeight="1" x14ac:dyDescent="0.3">
      <c r="A4333" s="23" t="s">
        <v>17410</v>
      </c>
      <c r="B4333" s="23" t="s">
        <v>16110</v>
      </c>
      <c r="C4333" s="23"/>
      <c r="D4333" s="23" t="str">
        <f t="shared" si="201"/>
        <v/>
      </c>
      <c r="E4333" s="38">
        <v>46288</v>
      </c>
      <c r="F4333" s="23" t="s">
        <v>12791</v>
      </c>
      <c r="G4333" s="23" t="s">
        <v>75</v>
      </c>
      <c r="H4333" s="24">
        <v>2998</v>
      </c>
      <c r="I4333" s="24">
        <v>0</v>
      </c>
      <c r="J4333" s="24">
        <v>0</v>
      </c>
      <c r="K4333" s="24">
        <v>-2998</v>
      </c>
      <c r="L4333" s="38">
        <v>46290</v>
      </c>
      <c r="M4333" s="23" t="s">
        <v>222</v>
      </c>
      <c r="N4333" s="23" t="str">
        <f>IF(COUNTIF($A$2:A4333,A4333)&gt;1,"DUP","OK")</f>
        <v>OK</v>
      </c>
      <c r="O4333" s="23" t="str">
        <f t="shared" si="202"/>
        <v>ORD26004668</v>
      </c>
      <c r="P4333" s="23" t="str">
        <f t="shared" si="203"/>
        <v>Sep</v>
      </c>
      <c r="Q4333" s="23" t="str">
        <f>IF(F4333="CAPTURE",IF(COUNTIF(orders!$A:$A,O4333)&gt;0,"Yes","NO ORDER"),"")</f>
        <v/>
      </c>
    </row>
    <row r="4334" spans="1:17" ht="15" customHeight="1" x14ac:dyDescent="0.3">
      <c r="A4334" s="23" t="s">
        <v>17411</v>
      </c>
      <c r="B4334" s="23" t="s">
        <v>17145</v>
      </c>
      <c r="C4334" s="23"/>
      <c r="D4334" s="23" t="str">
        <f t="shared" si="201"/>
        <v/>
      </c>
      <c r="E4334" s="38">
        <v>46288</v>
      </c>
      <c r="F4334" s="23" t="s">
        <v>12791</v>
      </c>
      <c r="G4334" s="23" t="s">
        <v>79</v>
      </c>
      <c r="H4334" s="24">
        <v>2798</v>
      </c>
      <c r="I4334" s="24">
        <v>0</v>
      </c>
      <c r="J4334" s="24">
        <v>0</v>
      </c>
      <c r="K4334" s="24">
        <v>-2798</v>
      </c>
      <c r="L4334" s="38">
        <v>46290</v>
      </c>
      <c r="M4334" s="23" t="s">
        <v>222</v>
      </c>
      <c r="N4334" s="23" t="str">
        <f>IF(COUNTIF($A$2:A4334,A4334)&gt;1,"DUP","OK")</f>
        <v>OK</v>
      </c>
      <c r="O4334" s="23" t="str">
        <f t="shared" si="202"/>
        <v>ORD26004067</v>
      </c>
      <c r="P4334" s="23" t="str">
        <f t="shared" si="203"/>
        <v>Sep</v>
      </c>
      <c r="Q4334" s="23" t="str">
        <f>IF(F4334="CAPTURE",IF(COUNTIF(orders!$A:$A,O4334)&gt;0,"Yes","NO ORDER"),"")</f>
        <v/>
      </c>
    </row>
    <row r="4335" spans="1:17" ht="15" customHeight="1" x14ac:dyDescent="0.3">
      <c r="A4335" s="23" t="s">
        <v>17412</v>
      </c>
      <c r="B4335" s="23"/>
      <c r="C4335" s="23" t="s">
        <v>388</v>
      </c>
      <c r="D4335" s="23" t="str">
        <f t="shared" si="201"/>
        <v>ORD26000051</v>
      </c>
      <c r="E4335" s="38">
        <v>46289</v>
      </c>
      <c r="F4335" s="23" t="s">
        <v>12410</v>
      </c>
      <c r="G4335" s="23" t="s">
        <v>81</v>
      </c>
      <c r="H4335" s="24">
        <v>599</v>
      </c>
      <c r="I4335" s="24">
        <v>8.99</v>
      </c>
      <c r="J4335" s="24">
        <v>1.62</v>
      </c>
      <c r="K4335" s="24">
        <v>588.39</v>
      </c>
      <c r="L4335" s="38">
        <v>46291</v>
      </c>
      <c r="M4335" s="23" t="s">
        <v>224</v>
      </c>
      <c r="N4335" s="23" t="str">
        <f>IF(COUNTIF($A$2:A4335,A4335)&gt;1,"DUP","OK")</f>
        <v>OK</v>
      </c>
      <c r="O4335" s="23" t="str">
        <f t="shared" si="202"/>
        <v>ORD26000051</v>
      </c>
      <c r="P4335" s="23" t="str">
        <f t="shared" si="203"/>
        <v>Sep</v>
      </c>
      <c r="Q4335" s="23" t="str">
        <f>IF(F4335="CAPTURE",IF(COUNTIF(orders!$A:$A,O4335)&gt;0,"Yes","NO ORDER"),"")</f>
        <v>Yes</v>
      </c>
    </row>
    <row r="4336" spans="1:17" ht="15" customHeight="1" x14ac:dyDescent="0.3">
      <c r="A4336" s="23" t="s">
        <v>17413</v>
      </c>
      <c r="B4336" s="23"/>
      <c r="C4336" s="23" t="s">
        <v>430</v>
      </c>
      <c r="D4336" s="23" t="str">
        <f t="shared" si="201"/>
        <v>ORD26000068</v>
      </c>
      <c r="E4336" s="38">
        <v>46289</v>
      </c>
      <c r="F4336" s="23" t="s">
        <v>12410</v>
      </c>
      <c r="G4336" s="23" t="s">
        <v>75</v>
      </c>
      <c r="H4336" s="24">
        <v>1799</v>
      </c>
      <c r="I4336" s="24">
        <v>0</v>
      </c>
      <c r="J4336" s="24">
        <v>0</v>
      </c>
      <c r="K4336" s="24">
        <v>1799</v>
      </c>
      <c r="L4336" s="38">
        <v>46291</v>
      </c>
      <c r="M4336" s="23" t="s">
        <v>224</v>
      </c>
      <c r="N4336" s="23" t="str">
        <f>IF(COUNTIF($A$2:A4336,A4336)&gt;1,"DUP","OK")</f>
        <v>OK</v>
      </c>
      <c r="O4336" s="23" t="str">
        <f t="shared" si="202"/>
        <v>ORD26000068</v>
      </c>
      <c r="P4336" s="23" t="str">
        <f t="shared" si="203"/>
        <v>Sep</v>
      </c>
      <c r="Q4336" s="23" t="str">
        <f>IF(F4336="CAPTURE",IF(COUNTIF(orders!$A:$A,O4336)&gt;0,"Yes","NO ORDER"),"")</f>
        <v>Yes</v>
      </c>
    </row>
    <row r="4337" spans="1:17" ht="15" customHeight="1" x14ac:dyDescent="0.3">
      <c r="A4337" s="23" t="s">
        <v>17414</v>
      </c>
      <c r="B4337" s="23"/>
      <c r="C4337" s="23" t="s">
        <v>537</v>
      </c>
      <c r="D4337" s="23" t="str">
        <f t="shared" si="201"/>
        <v>ORD26000113</v>
      </c>
      <c r="E4337" s="38">
        <v>46289</v>
      </c>
      <c r="F4337" s="23" t="s">
        <v>12410</v>
      </c>
      <c r="G4337" s="23" t="s">
        <v>77</v>
      </c>
      <c r="H4337" s="24">
        <v>6798</v>
      </c>
      <c r="I4337" s="24">
        <v>115.57</v>
      </c>
      <c r="J4337" s="24">
        <v>20.8</v>
      </c>
      <c r="K4337" s="24">
        <v>6661.63</v>
      </c>
      <c r="L4337" s="38">
        <v>46291</v>
      </c>
      <c r="M4337" s="23" t="s">
        <v>224</v>
      </c>
      <c r="N4337" s="23" t="str">
        <f>IF(COUNTIF($A$2:A4337,A4337)&gt;1,"DUP","OK")</f>
        <v>OK</v>
      </c>
      <c r="O4337" s="23" t="str">
        <f t="shared" si="202"/>
        <v>ORD26000113</v>
      </c>
      <c r="P4337" s="23" t="str">
        <f t="shared" si="203"/>
        <v>Sep</v>
      </c>
      <c r="Q4337" s="23" t="str">
        <f>IF(F4337="CAPTURE",IF(COUNTIF(orders!$A:$A,O4337)&gt;0,"Yes","NO ORDER"),"")</f>
        <v>Yes</v>
      </c>
    </row>
    <row r="4338" spans="1:17" ht="15" customHeight="1" x14ac:dyDescent="0.3">
      <c r="A4338" s="23" t="s">
        <v>17415</v>
      </c>
      <c r="B4338" s="23"/>
      <c r="C4338" s="23" t="s">
        <v>653</v>
      </c>
      <c r="D4338" s="23" t="str">
        <f t="shared" si="201"/>
        <v>ORD26000162</v>
      </c>
      <c r="E4338" s="38">
        <v>46289</v>
      </c>
      <c r="F4338" s="23" t="s">
        <v>12410</v>
      </c>
      <c r="G4338" s="23" t="s">
        <v>75</v>
      </c>
      <c r="H4338" s="24">
        <v>8798</v>
      </c>
      <c r="I4338" s="24">
        <v>26.39</v>
      </c>
      <c r="J4338" s="24">
        <v>4.75</v>
      </c>
      <c r="K4338" s="24">
        <v>8766.86</v>
      </c>
      <c r="L4338" s="38">
        <v>46291</v>
      </c>
      <c r="M4338" s="23" t="s">
        <v>224</v>
      </c>
      <c r="N4338" s="23" t="str">
        <f>IF(COUNTIF($A$2:A4338,A4338)&gt;1,"DUP","OK")</f>
        <v>OK</v>
      </c>
      <c r="O4338" s="23" t="str">
        <f t="shared" si="202"/>
        <v>ORD26000162</v>
      </c>
      <c r="P4338" s="23" t="str">
        <f t="shared" si="203"/>
        <v>Sep</v>
      </c>
      <c r="Q4338" s="23" t="str">
        <f>IF(F4338="CAPTURE",IF(COUNTIF(orders!$A:$A,O4338)&gt;0,"Yes","NO ORDER"),"")</f>
        <v>Yes</v>
      </c>
    </row>
    <row r="4339" spans="1:17" ht="15" customHeight="1" x14ac:dyDescent="0.3">
      <c r="A4339" s="23" t="s">
        <v>17416</v>
      </c>
      <c r="B4339" s="23"/>
      <c r="C4339" s="23" t="s">
        <v>666</v>
      </c>
      <c r="D4339" s="23" t="str">
        <f t="shared" si="201"/>
        <v>ORD26000168</v>
      </c>
      <c r="E4339" s="38">
        <v>46289</v>
      </c>
      <c r="F4339" s="23" t="s">
        <v>12410</v>
      </c>
      <c r="G4339" s="23" t="s">
        <v>77</v>
      </c>
      <c r="H4339" s="24">
        <v>4999</v>
      </c>
      <c r="I4339" s="24">
        <v>84.98</v>
      </c>
      <c r="J4339" s="24">
        <v>15.3</v>
      </c>
      <c r="K4339" s="24">
        <v>4898.72</v>
      </c>
      <c r="L4339" s="38">
        <v>46291</v>
      </c>
      <c r="M4339" s="23" t="s">
        <v>224</v>
      </c>
      <c r="N4339" s="23" t="str">
        <f>IF(COUNTIF($A$2:A4339,A4339)&gt;1,"DUP","OK")</f>
        <v>OK</v>
      </c>
      <c r="O4339" s="23" t="str">
        <f t="shared" si="202"/>
        <v>ORD26000168</v>
      </c>
      <c r="P4339" s="23" t="str">
        <f t="shared" si="203"/>
        <v>Sep</v>
      </c>
      <c r="Q4339" s="23" t="str">
        <f>IF(F4339="CAPTURE",IF(COUNTIF(orders!$A:$A,O4339)&gt;0,"Yes","NO ORDER"),"")</f>
        <v>Yes</v>
      </c>
    </row>
    <row r="4340" spans="1:17" ht="15" customHeight="1" x14ac:dyDescent="0.3">
      <c r="A4340" s="23" t="s">
        <v>17417</v>
      </c>
      <c r="B4340" s="23"/>
      <c r="C4340" s="23" t="s">
        <v>720</v>
      </c>
      <c r="D4340" s="23" t="str">
        <f t="shared" si="201"/>
        <v>ORD26000192</v>
      </c>
      <c r="E4340" s="38">
        <v>46289</v>
      </c>
      <c r="F4340" s="23" t="s">
        <v>12410</v>
      </c>
      <c r="G4340" s="23" t="s">
        <v>75</v>
      </c>
      <c r="H4340" s="24">
        <v>1299</v>
      </c>
      <c r="I4340" s="24">
        <v>0</v>
      </c>
      <c r="J4340" s="24">
        <v>0</v>
      </c>
      <c r="K4340" s="24">
        <v>1299</v>
      </c>
      <c r="L4340" s="38">
        <v>46291</v>
      </c>
      <c r="M4340" s="23" t="s">
        <v>224</v>
      </c>
      <c r="N4340" s="23" t="str">
        <f>IF(COUNTIF($A$2:A4340,A4340)&gt;1,"DUP","OK")</f>
        <v>OK</v>
      </c>
      <c r="O4340" s="23" t="str">
        <f t="shared" si="202"/>
        <v>ORD26000192</v>
      </c>
      <c r="P4340" s="23" t="str">
        <f t="shared" si="203"/>
        <v>Sep</v>
      </c>
      <c r="Q4340" s="23" t="str">
        <f>IF(F4340="CAPTURE",IF(COUNTIF(orders!$A:$A,O4340)&gt;0,"Yes","NO ORDER"),"")</f>
        <v>Yes</v>
      </c>
    </row>
    <row r="4341" spans="1:17" ht="15" customHeight="1" x14ac:dyDescent="0.3">
      <c r="A4341" s="23" t="s">
        <v>17418</v>
      </c>
      <c r="B4341" s="23"/>
      <c r="C4341" s="23" t="s">
        <v>830</v>
      </c>
      <c r="D4341" s="23" t="str">
        <f t="shared" si="201"/>
        <v>ORD26000236</v>
      </c>
      <c r="E4341" s="38">
        <v>46289</v>
      </c>
      <c r="F4341" s="23" t="s">
        <v>12410</v>
      </c>
      <c r="G4341" s="23" t="s">
        <v>79</v>
      </c>
      <c r="H4341" s="24">
        <v>1598</v>
      </c>
      <c r="I4341" s="24">
        <v>28.76</v>
      </c>
      <c r="J4341" s="24">
        <v>5.18</v>
      </c>
      <c r="K4341" s="24">
        <v>1564.06</v>
      </c>
      <c r="L4341" s="38">
        <v>46291</v>
      </c>
      <c r="M4341" s="23" t="s">
        <v>224</v>
      </c>
      <c r="N4341" s="23" t="str">
        <f>IF(COUNTIF($A$2:A4341,A4341)&gt;1,"DUP","OK")</f>
        <v>OK</v>
      </c>
      <c r="O4341" s="23" t="str">
        <f t="shared" si="202"/>
        <v>ORD26000236</v>
      </c>
      <c r="P4341" s="23" t="str">
        <f t="shared" si="203"/>
        <v>Sep</v>
      </c>
      <c r="Q4341" s="23" t="str">
        <f>IF(F4341="CAPTURE",IF(COUNTIF(orders!$A:$A,O4341)&gt;0,"Yes","NO ORDER"),"")</f>
        <v>Yes</v>
      </c>
    </row>
    <row r="4342" spans="1:17" ht="15" customHeight="1" x14ac:dyDescent="0.3">
      <c r="A4342" s="23" t="s">
        <v>17419</v>
      </c>
      <c r="B4342" s="23"/>
      <c r="C4342" s="23" t="s">
        <v>17420</v>
      </c>
      <c r="D4342" s="23" t="str">
        <f t="shared" si="201"/>
        <v>ORD26000247</v>
      </c>
      <c r="E4342" s="38">
        <v>46289</v>
      </c>
      <c r="F4342" s="23" t="s">
        <v>12410</v>
      </c>
      <c r="G4342" s="23" t="s">
        <v>75</v>
      </c>
      <c r="H4342" s="24">
        <v>3098</v>
      </c>
      <c r="I4342" s="24">
        <v>9.2899999999999991</v>
      </c>
      <c r="J4342" s="24">
        <v>1.67</v>
      </c>
      <c r="K4342" s="24">
        <v>3087.04</v>
      </c>
      <c r="L4342" s="38">
        <v>46291</v>
      </c>
      <c r="M4342" s="23" t="s">
        <v>224</v>
      </c>
      <c r="N4342" s="23" t="str">
        <f>IF(COUNTIF($A$2:A4342,A4342)&gt;1,"DUP","OK")</f>
        <v>OK</v>
      </c>
      <c r="O4342" s="23" t="str">
        <f t="shared" si="202"/>
        <v>ORD26000247</v>
      </c>
      <c r="P4342" s="23" t="str">
        <f t="shared" si="203"/>
        <v>Sep</v>
      </c>
      <c r="Q4342" s="23" t="str">
        <f>IF(F4342="CAPTURE",IF(COUNTIF(orders!$A:$A,O4342)&gt;0,"Yes","NO ORDER"),"")</f>
        <v>Yes</v>
      </c>
    </row>
    <row r="4343" spans="1:17" ht="15" customHeight="1" x14ac:dyDescent="0.3">
      <c r="A4343" s="23" t="s">
        <v>17421</v>
      </c>
      <c r="B4343" s="23"/>
      <c r="C4343" s="23" t="s">
        <v>867</v>
      </c>
      <c r="D4343" s="23" t="str">
        <f t="shared" si="201"/>
        <v>ORD26000253</v>
      </c>
      <c r="E4343" s="38">
        <v>46289</v>
      </c>
      <c r="F4343" s="23" t="s">
        <v>12410</v>
      </c>
      <c r="G4343" s="23" t="s">
        <v>75</v>
      </c>
      <c r="H4343" s="24">
        <v>999</v>
      </c>
      <c r="I4343" s="24">
        <v>0</v>
      </c>
      <c r="J4343" s="24">
        <v>0</v>
      </c>
      <c r="K4343" s="24">
        <v>999</v>
      </c>
      <c r="L4343" s="38">
        <v>46291</v>
      </c>
      <c r="M4343" s="23" t="s">
        <v>224</v>
      </c>
      <c r="N4343" s="23" t="str">
        <f>IF(COUNTIF($A$2:A4343,A4343)&gt;1,"DUP","OK")</f>
        <v>OK</v>
      </c>
      <c r="O4343" s="23" t="str">
        <f t="shared" si="202"/>
        <v>ORD26000253</v>
      </c>
      <c r="P4343" s="23" t="str">
        <f t="shared" si="203"/>
        <v>Sep</v>
      </c>
      <c r="Q4343" s="23" t="str">
        <f>IF(F4343="CAPTURE",IF(COUNTIF(orders!$A:$A,O4343)&gt;0,"Yes","NO ORDER"),"")</f>
        <v>Yes</v>
      </c>
    </row>
    <row r="4344" spans="1:17" ht="15" customHeight="1" x14ac:dyDescent="0.3">
      <c r="A4344" s="23" t="s">
        <v>17422</v>
      </c>
      <c r="B4344" s="23"/>
      <c r="C4344" s="23" t="s">
        <v>1068</v>
      </c>
      <c r="D4344" s="23" t="str">
        <f t="shared" si="201"/>
        <v>ORD26000346</v>
      </c>
      <c r="E4344" s="38">
        <v>46289</v>
      </c>
      <c r="F4344" s="23" t="s">
        <v>12410</v>
      </c>
      <c r="G4344" s="23" t="s">
        <v>75</v>
      </c>
      <c r="H4344" s="24">
        <v>7999</v>
      </c>
      <c r="I4344" s="24">
        <v>24</v>
      </c>
      <c r="J4344" s="24">
        <v>4.32</v>
      </c>
      <c r="K4344" s="24">
        <v>7970.68</v>
      </c>
      <c r="L4344" s="38">
        <v>46291</v>
      </c>
      <c r="M4344" s="23" t="s">
        <v>224</v>
      </c>
      <c r="N4344" s="23" t="str">
        <f>IF(COUNTIF($A$2:A4344,A4344)&gt;1,"DUP","OK")</f>
        <v>OK</v>
      </c>
      <c r="O4344" s="23" t="str">
        <f t="shared" si="202"/>
        <v>ORD26000346</v>
      </c>
      <c r="P4344" s="23" t="str">
        <f t="shared" si="203"/>
        <v>Sep</v>
      </c>
      <c r="Q4344" s="23" t="str">
        <f>IF(F4344="CAPTURE",IF(COUNTIF(orders!$A:$A,O4344)&gt;0,"Yes","NO ORDER"),"")</f>
        <v>Yes</v>
      </c>
    </row>
    <row r="4345" spans="1:17" ht="15" customHeight="1" x14ac:dyDescent="0.3">
      <c r="A4345" s="23" t="s">
        <v>17423</v>
      </c>
      <c r="B4345" s="23"/>
      <c r="C4345" s="23" t="s">
        <v>1079</v>
      </c>
      <c r="D4345" s="23" t="str">
        <f t="shared" si="201"/>
        <v>ORD26000351</v>
      </c>
      <c r="E4345" s="38">
        <v>46289</v>
      </c>
      <c r="F4345" s="23" t="s">
        <v>12410</v>
      </c>
      <c r="G4345" s="23" t="s">
        <v>75</v>
      </c>
      <c r="H4345" s="24">
        <v>1299</v>
      </c>
      <c r="I4345" s="24">
        <v>0</v>
      </c>
      <c r="J4345" s="24">
        <v>0</v>
      </c>
      <c r="K4345" s="24">
        <v>1299</v>
      </c>
      <c r="L4345" s="38">
        <v>46291</v>
      </c>
      <c r="M4345" s="23" t="s">
        <v>224</v>
      </c>
      <c r="N4345" s="23" t="str">
        <f>IF(COUNTIF($A$2:A4345,A4345)&gt;1,"DUP","OK")</f>
        <v>OK</v>
      </c>
      <c r="O4345" s="23" t="str">
        <f t="shared" si="202"/>
        <v>ORD26000351</v>
      </c>
      <c r="P4345" s="23" t="str">
        <f t="shared" si="203"/>
        <v>Sep</v>
      </c>
      <c r="Q4345" s="23" t="str">
        <f>IF(F4345="CAPTURE",IF(COUNTIF(orders!$A:$A,O4345)&gt;0,"Yes","NO ORDER"),"")</f>
        <v>Yes</v>
      </c>
    </row>
    <row r="4346" spans="1:17" ht="15" customHeight="1" x14ac:dyDescent="0.3">
      <c r="A4346" s="23" t="s">
        <v>17424</v>
      </c>
      <c r="B4346" s="23"/>
      <c r="C4346" s="23" t="s">
        <v>1156</v>
      </c>
      <c r="D4346" s="23" t="str">
        <f t="shared" si="201"/>
        <v>ORD26000386</v>
      </c>
      <c r="E4346" s="38">
        <v>46289</v>
      </c>
      <c r="F4346" s="23" t="s">
        <v>12410</v>
      </c>
      <c r="G4346" s="23" t="s">
        <v>75</v>
      </c>
      <c r="H4346" s="24">
        <v>299</v>
      </c>
      <c r="I4346" s="24">
        <v>0</v>
      </c>
      <c r="J4346" s="24">
        <v>0</v>
      </c>
      <c r="K4346" s="24">
        <v>299</v>
      </c>
      <c r="L4346" s="38">
        <v>46291</v>
      </c>
      <c r="M4346" s="23" t="s">
        <v>224</v>
      </c>
      <c r="N4346" s="23" t="str">
        <f>IF(COUNTIF($A$2:A4346,A4346)&gt;1,"DUP","OK")</f>
        <v>OK</v>
      </c>
      <c r="O4346" s="23" t="str">
        <f t="shared" si="202"/>
        <v>ORD26000386</v>
      </c>
      <c r="P4346" s="23" t="str">
        <f t="shared" si="203"/>
        <v>Sep</v>
      </c>
      <c r="Q4346" s="23" t="str">
        <f>IF(F4346="CAPTURE",IF(COUNTIF(orders!$A:$A,O4346)&gt;0,"Yes","NO ORDER"),"")</f>
        <v>Yes</v>
      </c>
    </row>
    <row r="4347" spans="1:17" ht="15" customHeight="1" x14ac:dyDescent="0.3">
      <c r="A4347" s="23" t="s">
        <v>17425</v>
      </c>
      <c r="B4347" s="23"/>
      <c r="C4347" s="23" t="s">
        <v>1218</v>
      </c>
      <c r="D4347" s="23" t="str">
        <f t="shared" si="201"/>
        <v>ORD26000415</v>
      </c>
      <c r="E4347" s="38">
        <v>46289</v>
      </c>
      <c r="F4347" s="23" t="s">
        <v>12410</v>
      </c>
      <c r="G4347" s="23" t="s">
        <v>81</v>
      </c>
      <c r="H4347" s="24">
        <v>2847</v>
      </c>
      <c r="I4347" s="24">
        <v>34.159999999999997</v>
      </c>
      <c r="J4347" s="24">
        <v>6.15</v>
      </c>
      <c r="K4347" s="24">
        <v>2806.69</v>
      </c>
      <c r="L4347" s="38">
        <v>46291</v>
      </c>
      <c r="M4347" s="23" t="s">
        <v>224</v>
      </c>
      <c r="N4347" s="23" t="str">
        <f>IF(COUNTIF($A$2:A4347,A4347)&gt;1,"DUP","OK")</f>
        <v>OK</v>
      </c>
      <c r="O4347" s="23" t="str">
        <f t="shared" si="202"/>
        <v>ORD26000415</v>
      </c>
      <c r="P4347" s="23" t="str">
        <f t="shared" si="203"/>
        <v>Sep</v>
      </c>
      <c r="Q4347" s="23" t="str">
        <f>IF(F4347="CAPTURE",IF(COUNTIF(orders!$A:$A,O4347)&gt;0,"Yes","NO ORDER"),"")</f>
        <v>Yes</v>
      </c>
    </row>
    <row r="4348" spans="1:17" ht="15" customHeight="1" x14ac:dyDescent="0.3">
      <c r="A4348" s="23" t="s">
        <v>17426</v>
      </c>
      <c r="B4348" s="23"/>
      <c r="C4348" s="23" t="s">
        <v>1259</v>
      </c>
      <c r="D4348" s="23" t="str">
        <f t="shared" si="201"/>
        <v>ORD26000434</v>
      </c>
      <c r="E4348" s="38">
        <v>46289</v>
      </c>
      <c r="F4348" s="23" t="s">
        <v>12410</v>
      </c>
      <c r="G4348" s="23" t="s">
        <v>75</v>
      </c>
      <c r="H4348" s="24">
        <v>6397</v>
      </c>
      <c r="I4348" s="24">
        <v>19.190000000000001</v>
      </c>
      <c r="J4348" s="24">
        <v>3.45</v>
      </c>
      <c r="K4348" s="24">
        <v>6374.36</v>
      </c>
      <c r="L4348" s="38">
        <v>46291</v>
      </c>
      <c r="M4348" s="23" t="s">
        <v>224</v>
      </c>
      <c r="N4348" s="23" t="str">
        <f>IF(COUNTIF($A$2:A4348,A4348)&gt;1,"DUP","OK")</f>
        <v>OK</v>
      </c>
      <c r="O4348" s="23" t="str">
        <f t="shared" si="202"/>
        <v>ORD26000434</v>
      </c>
      <c r="P4348" s="23" t="str">
        <f t="shared" si="203"/>
        <v>Sep</v>
      </c>
      <c r="Q4348" s="23" t="str">
        <f>IF(F4348="CAPTURE",IF(COUNTIF(orders!$A:$A,O4348)&gt;0,"Yes","NO ORDER"),"")</f>
        <v>Yes</v>
      </c>
    </row>
    <row r="4349" spans="1:17" ht="15" customHeight="1" x14ac:dyDescent="0.3">
      <c r="A4349" s="23" t="s">
        <v>17427</v>
      </c>
      <c r="B4349" s="23"/>
      <c r="C4349" s="23" t="s">
        <v>1344</v>
      </c>
      <c r="D4349" s="23" t="str">
        <f t="shared" si="201"/>
        <v>ORD26000473</v>
      </c>
      <c r="E4349" s="38">
        <v>46289</v>
      </c>
      <c r="F4349" s="23" t="s">
        <v>12410</v>
      </c>
      <c r="G4349" s="23" t="s">
        <v>75</v>
      </c>
      <c r="H4349" s="24">
        <v>3348</v>
      </c>
      <c r="I4349" s="24">
        <v>10.039999999999999</v>
      </c>
      <c r="J4349" s="24">
        <v>1.81</v>
      </c>
      <c r="K4349" s="24">
        <v>3336.15</v>
      </c>
      <c r="L4349" s="38">
        <v>46291</v>
      </c>
      <c r="M4349" s="23" t="s">
        <v>224</v>
      </c>
      <c r="N4349" s="23" t="str">
        <f>IF(COUNTIF($A$2:A4349,A4349)&gt;1,"DUP","OK")</f>
        <v>OK</v>
      </c>
      <c r="O4349" s="23" t="str">
        <f t="shared" si="202"/>
        <v>ORD26000473</v>
      </c>
      <c r="P4349" s="23" t="str">
        <f t="shared" si="203"/>
        <v>Sep</v>
      </c>
      <c r="Q4349" s="23" t="str">
        <f>IF(F4349="CAPTURE",IF(COUNTIF(orders!$A:$A,O4349)&gt;0,"Yes","NO ORDER"),"")</f>
        <v>Yes</v>
      </c>
    </row>
    <row r="4350" spans="1:17" ht="15" customHeight="1" x14ac:dyDescent="0.3">
      <c r="A4350" s="23" t="s">
        <v>17428</v>
      </c>
      <c r="B4350" s="23"/>
      <c r="C4350" s="23" t="s">
        <v>1457</v>
      </c>
      <c r="D4350" s="23" t="str">
        <f t="shared" si="201"/>
        <v>ORD26000523</v>
      </c>
      <c r="E4350" s="38">
        <v>46289</v>
      </c>
      <c r="F4350" s="23" t="s">
        <v>12410</v>
      </c>
      <c r="G4350" s="23" t="s">
        <v>79</v>
      </c>
      <c r="H4350" s="24">
        <v>299</v>
      </c>
      <c r="I4350" s="24">
        <v>5.38</v>
      </c>
      <c r="J4350" s="24">
        <v>0.97</v>
      </c>
      <c r="K4350" s="24">
        <v>292.64999999999998</v>
      </c>
      <c r="L4350" s="38">
        <v>46291</v>
      </c>
      <c r="M4350" s="23" t="s">
        <v>224</v>
      </c>
      <c r="N4350" s="23" t="str">
        <f>IF(COUNTIF($A$2:A4350,A4350)&gt;1,"DUP","OK")</f>
        <v>OK</v>
      </c>
      <c r="O4350" s="23" t="str">
        <f t="shared" si="202"/>
        <v>ORD26000523</v>
      </c>
      <c r="P4350" s="23" t="str">
        <f t="shared" si="203"/>
        <v>Sep</v>
      </c>
      <c r="Q4350" s="23" t="str">
        <f>IF(F4350="CAPTURE",IF(COUNTIF(orders!$A:$A,O4350)&gt;0,"Yes","NO ORDER"),"")</f>
        <v>Yes</v>
      </c>
    </row>
    <row r="4351" spans="1:17" ht="15" customHeight="1" x14ac:dyDescent="0.3">
      <c r="A4351" s="23" t="s">
        <v>17429</v>
      </c>
      <c r="B4351" s="23"/>
      <c r="C4351" s="23" t="s">
        <v>1521</v>
      </c>
      <c r="D4351" s="23" t="str">
        <f t="shared" si="201"/>
        <v>ORD26000552</v>
      </c>
      <c r="E4351" s="38">
        <v>46289</v>
      </c>
      <c r="F4351" s="23" t="s">
        <v>12410</v>
      </c>
      <c r="G4351" s="23" t="s">
        <v>75</v>
      </c>
      <c r="H4351" s="24">
        <v>5498</v>
      </c>
      <c r="I4351" s="24">
        <v>16.489999999999998</v>
      </c>
      <c r="J4351" s="24">
        <v>2.97</v>
      </c>
      <c r="K4351" s="24">
        <v>5478.54</v>
      </c>
      <c r="L4351" s="38">
        <v>46291</v>
      </c>
      <c r="M4351" s="23" t="s">
        <v>224</v>
      </c>
      <c r="N4351" s="23" t="str">
        <f>IF(COUNTIF($A$2:A4351,A4351)&gt;1,"DUP","OK")</f>
        <v>OK</v>
      </c>
      <c r="O4351" s="23" t="str">
        <f t="shared" si="202"/>
        <v>ORD26000552</v>
      </c>
      <c r="P4351" s="23" t="str">
        <f t="shared" si="203"/>
        <v>Sep</v>
      </c>
      <c r="Q4351" s="23" t="str">
        <f>IF(F4351="CAPTURE",IF(COUNTIF(orders!$A:$A,O4351)&gt;0,"Yes","NO ORDER"),"")</f>
        <v>Yes</v>
      </c>
    </row>
    <row r="4352" spans="1:17" ht="15" customHeight="1" x14ac:dyDescent="0.3">
      <c r="A4352" s="23" t="s">
        <v>17430</v>
      </c>
      <c r="B4352" s="23"/>
      <c r="C4352" s="23" t="s">
        <v>1591</v>
      </c>
      <c r="D4352" s="23" t="str">
        <f t="shared" si="201"/>
        <v>ORD26000585</v>
      </c>
      <c r="E4352" s="38">
        <v>46289</v>
      </c>
      <c r="F4352" s="23" t="s">
        <v>12410</v>
      </c>
      <c r="G4352" s="23" t="s">
        <v>77</v>
      </c>
      <c r="H4352" s="24">
        <v>4298</v>
      </c>
      <c r="I4352" s="24">
        <v>73.069999999999993</v>
      </c>
      <c r="J4352" s="24">
        <v>13.15</v>
      </c>
      <c r="K4352" s="24">
        <v>4211.78</v>
      </c>
      <c r="L4352" s="38">
        <v>46291</v>
      </c>
      <c r="M4352" s="23" t="s">
        <v>224</v>
      </c>
      <c r="N4352" s="23" t="str">
        <f>IF(COUNTIF($A$2:A4352,A4352)&gt;1,"DUP","OK")</f>
        <v>OK</v>
      </c>
      <c r="O4352" s="23" t="str">
        <f t="shared" si="202"/>
        <v>ORD26000585</v>
      </c>
      <c r="P4352" s="23" t="str">
        <f t="shared" si="203"/>
        <v>Sep</v>
      </c>
      <c r="Q4352" s="23" t="str">
        <f>IF(F4352="CAPTURE",IF(COUNTIF(orders!$A:$A,O4352)&gt;0,"Yes","NO ORDER"),"")</f>
        <v>Yes</v>
      </c>
    </row>
    <row r="4353" spans="1:17" ht="15" customHeight="1" x14ac:dyDescent="0.3">
      <c r="A4353" s="23" t="s">
        <v>17431</v>
      </c>
      <c r="B4353" s="23"/>
      <c r="C4353" s="23" t="s">
        <v>1715</v>
      </c>
      <c r="D4353" s="23" t="str">
        <f t="shared" si="201"/>
        <v>ORD26000642</v>
      </c>
      <c r="E4353" s="38">
        <v>46289</v>
      </c>
      <c r="F4353" s="23" t="s">
        <v>12410</v>
      </c>
      <c r="G4353" s="23" t="s">
        <v>75</v>
      </c>
      <c r="H4353" s="24">
        <v>1648</v>
      </c>
      <c r="I4353" s="24">
        <v>0</v>
      </c>
      <c r="J4353" s="24">
        <v>0</v>
      </c>
      <c r="K4353" s="24">
        <v>1648</v>
      </c>
      <c r="L4353" s="38">
        <v>46291</v>
      </c>
      <c r="M4353" s="23" t="s">
        <v>224</v>
      </c>
      <c r="N4353" s="23" t="str">
        <f>IF(COUNTIF($A$2:A4353,A4353)&gt;1,"DUP","OK")</f>
        <v>OK</v>
      </c>
      <c r="O4353" s="23" t="str">
        <f t="shared" si="202"/>
        <v>ORD26000642</v>
      </c>
      <c r="P4353" s="23" t="str">
        <f t="shared" si="203"/>
        <v>Sep</v>
      </c>
      <c r="Q4353" s="23" t="str">
        <f>IF(F4353="CAPTURE",IF(COUNTIF(orders!$A:$A,O4353)&gt;0,"Yes","NO ORDER"),"")</f>
        <v>Yes</v>
      </c>
    </row>
    <row r="4354" spans="1:17" ht="15" customHeight="1" x14ac:dyDescent="0.3">
      <c r="A4354" s="23" t="s">
        <v>17432</v>
      </c>
      <c r="B4354" s="23"/>
      <c r="C4354" s="23" t="s">
        <v>1774</v>
      </c>
      <c r="D4354" s="23" t="str">
        <f t="shared" ref="D4354:D4417" si="204">UPPER(SUBSTITUTE(TRIM(C4354),"-",""))</f>
        <v>ORD26000670</v>
      </c>
      <c r="E4354" s="38">
        <v>46289</v>
      </c>
      <c r="F4354" s="23" t="s">
        <v>12410</v>
      </c>
      <c r="G4354" s="23" t="s">
        <v>81</v>
      </c>
      <c r="H4354" s="24">
        <v>2998</v>
      </c>
      <c r="I4354" s="24">
        <v>35.979999999999997</v>
      </c>
      <c r="J4354" s="24">
        <v>6.48</v>
      </c>
      <c r="K4354" s="24">
        <v>2955.54</v>
      </c>
      <c r="L4354" s="38">
        <v>46291</v>
      </c>
      <c r="M4354" s="23" t="s">
        <v>224</v>
      </c>
      <c r="N4354" s="23" t="str">
        <f>IF(COUNTIF($A$2:A4354,A4354)&gt;1,"DUP","OK")</f>
        <v>OK</v>
      </c>
      <c r="O4354" s="23" t="str">
        <f t="shared" ref="O4354:O4417" si="205">IF(F4354="REFUND",INDEX($D:$D,MATCH(B4354,$A:$A,0)),D4354)</f>
        <v>ORD26000670</v>
      </c>
      <c r="P4354" s="23" t="str">
        <f t="shared" ref="P4354:P4417" si="206">IF(L4354&gt;DATE(2026,9,30),"Oct-Due","Sep")</f>
        <v>Sep</v>
      </c>
      <c r="Q4354" s="23" t="str">
        <f>IF(F4354="CAPTURE",IF(COUNTIF(orders!$A:$A,O4354)&gt;0,"Yes","NO ORDER"),"")</f>
        <v>Yes</v>
      </c>
    </row>
    <row r="4355" spans="1:17" ht="15" customHeight="1" x14ac:dyDescent="0.3">
      <c r="A4355" s="23" t="s">
        <v>17433</v>
      </c>
      <c r="B4355" s="23"/>
      <c r="C4355" s="23" t="s">
        <v>17434</v>
      </c>
      <c r="D4355" s="23" t="str">
        <f t="shared" si="204"/>
        <v>ORD26000681</v>
      </c>
      <c r="E4355" s="38">
        <v>46289</v>
      </c>
      <c r="F4355" s="23" t="s">
        <v>12410</v>
      </c>
      <c r="G4355" s="23" t="s">
        <v>75</v>
      </c>
      <c r="H4355" s="24">
        <v>2797</v>
      </c>
      <c r="I4355" s="24">
        <v>8.39</v>
      </c>
      <c r="J4355" s="24">
        <v>1.51</v>
      </c>
      <c r="K4355" s="24">
        <v>2787.1</v>
      </c>
      <c r="L4355" s="38">
        <v>46291</v>
      </c>
      <c r="M4355" s="23" t="s">
        <v>224</v>
      </c>
      <c r="N4355" s="23" t="str">
        <f>IF(COUNTIF($A$2:A4355,A4355)&gt;1,"DUP","OK")</f>
        <v>OK</v>
      </c>
      <c r="O4355" s="23" t="str">
        <f t="shared" si="205"/>
        <v>ORD26000681</v>
      </c>
      <c r="P4355" s="23" t="str">
        <f t="shared" si="206"/>
        <v>Sep</v>
      </c>
      <c r="Q4355" s="23" t="str">
        <f>IF(F4355="CAPTURE",IF(COUNTIF(orders!$A:$A,O4355)&gt;0,"Yes","NO ORDER"),"")</f>
        <v>Yes</v>
      </c>
    </row>
    <row r="4356" spans="1:17" ht="15" customHeight="1" x14ac:dyDescent="0.3">
      <c r="A4356" s="23" t="s">
        <v>17435</v>
      </c>
      <c r="B4356" s="23"/>
      <c r="C4356" s="23" t="s">
        <v>1830</v>
      </c>
      <c r="D4356" s="23" t="str">
        <f t="shared" si="204"/>
        <v>ORD26000696</v>
      </c>
      <c r="E4356" s="38">
        <v>46289</v>
      </c>
      <c r="F4356" s="23" t="s">
        <v>12410</v>
      </c>
      <c r="G4356" s="23" t="s">
        <v>75</v>
      </c>
      <c r="H4356" s="24">
        <v>4997</v>
      </c>
      <c r="I4356" s="24">
        <v>14.99</v>
      </c>
      <c r="J4356" s="24">
        <v>2.7</v>
      </c>
      <c r="K4356" s="24">
        <v>4979.3100000000004</v>
      </c>
      <c r="L4356" s="38">
        <v>46291</v>
      </c>
      <c r="M4356" s="23" t="s">
        <v>224</v>
      </c>
      <c r="N4356" s="23" t="str">
        <f>IF(COUNTIF($A$2:A4356,A4356)&gt;1,"DUP","OK")</f>
        <v>OK</v>
      </c>
      <c r="O4356" s="23" t="str">
        <f t="shared" si="205"/>
        <v>ORD26000696</v>
      </c>
      <c r="P4356" s="23" t="str">
        <f t="shared" si="206"/>
        <v>Sep</v>
      </c>
      <c r="Q4356" s="23" t="str">
        <f>IF(F4356="CAPTURE",IF(COUNTIF(orders!$A:$A,O4356)&gt;0,"Yes","NO ORDER"),"")</f>
        <v>Yes</v>
      </c>
    </row>
    <row r="4357" spans="1:17" ht="15" customHeight="1" x14ac:dyDescent="0.3">
      <c r="A4357" s="23" t="s">
        <v>17436</v>
      </c>
      <c r="B4357" s="23"/>
      <c r="C4357" s="23" t="s">
        <v>1859</v>
      </c>
      <c r="D4357" s="23" t="str">
        <f t="shared" si="204"/>
        <v>ORD26000710</v>
      </c>
      <c r="E4357" s="38">
        <v>46289</v>
      </c>
      <c r="F4357" s="23" t="s">
        <v>12410</v>
      </c>
      <c r="G4357" s="23" t="s">
        <v>77</v>
      </c>
      <c r="H4357" s="24">
        <v>1499</v>
      </c>
      <c r="I4357" s="24">
        <v>28.48</v>
      </c>
      <c r="J4357" s="24">
        <v>5.13</v>
      </c>
      <c r="K4357" s="24">
        <v>1465.39</v>
      </c>
      <c r="L4357" s="38">
        <v>46291</v>
      </c>
      <c r="M4357" s="23" t="s">
        <v>224</v>
      </c>
      <c r="N4357" s="23" t="str">
        <f>IF(COUNTIF($A$2:A4357,A4357)&gt;1,"DUP","OK")</f>
        <v>OK</v>
      </c>
      <c r="O4357" s="23" t="str">
        <f t="shared" si="205"/>
        <v>ORD26000710</v>
      </c>
      <c r="P4357" s="23" t="str">
        <f t="shared" si="206"/>
        <v>Sep</v>
      </c>
      <c r="Q4357" s="23" t="str">
        <f>IF(F4357="CAPTURE",IF(COUNTIF(orders!$A:$A,O4357)&gt;0,"Yes","NO ORDER"),"")</f>
        <v>Yes</v>
      </c>
    </row>
    <row r="4358" spans="1:17" ht="15" customHeight="1" x14ac:dyDescent="0.3">
      <c r="A4358" s="23" t="s">
        <v>17437</v>
      </c>
      <c r="B4358" s="23"/>
      <c r="C4358" s="23" t="s">
        <v>17438</v>
      </c>
      <c r="D4358" s="23" t="str">
        <f t="shared" si="204"/>
        <v>ORD26000714</v>
      </c>
      <c r="E4358" s="38">
        <v>46289</v>
      </c>
      <c r="F4358" s="23" t="s">
        <v>12410</v>
      </c>
      <c r="G4358" s="23" t="s">
        <v>75</v>
      </c>
      <c r="H4358" s="24">
        <v>3798</v>
      </c>
      <c r="I4358" s="24">
        <v>11.39</v>
      </c>
      <c r="J4358" s="24">
        <v>2.0499999999999998</v>
      </c>
      <c r="K4358" s="24">
        <v>3784.56</v>
      </c>
      <c r="L4358" s="38">
        <v>46291</v>
      </c>
      <c r="M4358" s="23" t="s">
        <v>224</v>
      </c>
      <c r="N4358" s="23" t="str">
        <f>IF(COUNTIF($A$2:A4358,A4358)&gt;1,"DUP","OK")</f>
        <v>OK</v>
      </c>
      <c r="O4358" s="23" t="str">
        <f t="shared" si="205"/>
        <v>ORD26000714</v>
      </c>
      <c r="P4358" s="23" t="str">
        <f t="shared" si="206"/>
        <v>Sep</v>
      </c>
      <c r="Q4358" s="23" t="str">
        <f>IF(F4358="CAPTURE",IF(COUNTIF(orders!$A:$A,O4358)&gt;0,"Yes","NO ORDER"),"")</f>
        <v>Yes</v>
      </c>
    </row>
    <row r="4359" spans="1:17" ht="15" customHeight="1" x14ac:dyDescent="0.3">
      <c r="A4359" s="23" t="s">
        <v>17439</v>
      </c>
      <c r="B4359" s="23"/>
      <c r="C4359" s="23" t="s">
        <v>1877</v>
      </c>
      <c r="D4359" s="23" t="str">
        <f t="shared" si="204"/>
        <v>ORD26000719</v>
      </c>
      <c r="E4359" s="38">
        <v>46289</v>
      </c>
      <c r="F4359" s="23" t="s">
        <v>12410</v>
      </c>
      <c r="G4359" s="23" t="s">
        <v>81</v>
      </c>
      <c r="H4359" s="24">
        <v>2497</v>
      </c>
      <c r="I4359" s="24">
        <v>29.96</v>
      </c>
      <c r="J4359" s="24">
        <v>5.39</v>
      </c>
      <c r="K4359" s="24">
        <v>2461.65</v>
      </c>
      <c r="L4359" s="38">
        <v>46291</v>
      </c>
      <c r="M4359" s="23" t="s">
        <v>224</v>
      </c>
      <c r="N4359" s="23" t="str">
        <f>IF(COUNTIF($A$2:A4359,A4359)&gt;1,"DUP","OK")</f>
        <v>OK</v>
      </c>
      <c r="O4359" s="23" t="str">
        <f t="shared" si="205"/>
        <v>ORD26000719</v>
      </c>
      <c r="P4359" s="23" t="str">
        <f t="shared" si="206"/>
        <v>Sep</v>
      </c>
      <c r="Q4359" s="23" t="str">
        <f>IF(F4359="CAPTURE",IF(COUNTIF(orders!$A:$A,O4359)&gt;0,"Yes","NO ORDER"),"")</f>
        <v>Yes</v>
      </c>
    </row>
    <row r="4360" spans="1:17" ht="15" customHeight="1" x14ac:dyDescent="0.3">
      <c r="A4360" s="23" t="s">
        <v>17440</v>
      </c>
      <c r="B4360" s="23"/>
      <c r="C4360" s="23" t="s">
        <v>1898</v>
      </c>
      <c r="D4360" s="23" t="str">
        <f t="shared" si="204"/>
        <v>ORD26000729</v>
      </c>
      <c r="E4360" s="38">
        <v>46289</v>
      </c>
      <c r="F4360" s="23" t="s">
        <v>12410</v>
      </c>
      <c r="G4360" s="23" t="s">
        <v>81</v>
      </c>
      <c r="H4360" s="24">
        <v>599</v>
      </c>
      <c r="I4360" s="24">
        <v>8.99</v>
      </c>
      <c r="J4360" s="24">
        <v>1.62</v>
      </c>
      <c r="K4360" s="24">
        <v>588.39</v>
      </c>
      <c r="L4360" s="38">
        <v>46291</v>
      </c>
      <c r="M4360" s="23" t="s">
        <v>224</v>
      </c>
      <c r="N4360" s="23" t="str">
        <f>IF(COUNTIF($A$2:A4360,A4360)&gt;1,"DUP","OK")</f>
        <v>OK</v>
      </c>
      <c r="O4360" s="23" t="str">
        <f t="shared" si="205"/>
        <v>ORD26000729</v>
      </c>
      <c r="P4360" s="23" t="str">
        <f t="shared" si="206"/>
        <v>Sep</v>
      </c>
      <c r="Q4360" s="23" t="str">
        <f>IF(F4360="CAPTURE",IF(COUNTIF(orders!$A:$A,O4360)&gt;0,"Yes","NO ORDER"),"")</f>
        <v>Yes</v>
      </c>
    </row>
    <row r="4361" spans="1:17" ht="15" customHeight="1" x14ac:dyDescent="0.3">
      <c r="A4361" s="23" t="s">
        <v>17441</v>
      </c>
      <c r="B4361" s="23"/>
      <c r="C4361" s="23" t="s">
        <v>1912</v>
      </c>
      <c r="D4361" s="23" t="str">
        <f t="shared" si="204"/>
        <v>ORD26000736</v>
      </c>
      <c r="E4361" s="38">
        <v>46289</v>
      </c>
      <c r="F4361" s="23" t="s">
        <v>12410</v>
      </c>
      <c r="G4361" s="23" t="s">
        <v>75</v>
      </c>
      <c r="H4361" s="24">
        <v>2498</v>
      </c>
      <c r="I4361" s="24">
        <v>7.49</v>
      </c>
      <c r="J4361" s="24">
        <v>1.35</v>
      </c>
      <c r="K4361" s="24">
        <v>2489.16</v>
      </c>
      <c r="L4361" s="38">
        <v>46291</v>
      </c>
      <c r="M4361" s="23" t="s">
        <v>224</v>
      </c>
      <c r="N4361" s="23" t="str">
        <f>IF(COUNTIF($A$2:A4361,A4361)&gt;1,"DUP","OK")</f>
        <v>OK</v>
      </c>
      <c r="O4361" s="23" t="str">
        <f t="shared" si="205"/>
        <v>ORD26000736</v>
      </c>
      <c r="P4361" s="23" t="str">
        <f t="shared" si="206"/>
        <v>Sep</v>
      </c>
      <c r="Q4361" s="23" t="str">
        <f>IF(F4361="CAPTURE",IF(COUNTIF(orders!$A:$A,O4361)&gt;0,"Yes","NO ORDER"),"")</f>
        <v>Yes</v>
      </c>
    </row>
    <row r="4362" spans="1:17" ht="15" customHeight="1" x14ac:dyDescent="0.3">
      <c r="A4362" s="23" t="s">
        <v>17442</v>
      </c>
      <c r="B4362" s="23"/>
      <c r="C4362" s="23" t="s">
        <v>1947</v>
      </c>
      <c r="D4362" s="23" t="str">
        <f t="shared" si="204"/>
        <v>ORD26000754</v>
      </c>
      <c r="E4362" s="38">
        <v>46289</v>
      </c>
      <c r="F4362" s="23" t="s">
        <v>12410</v>
      </c>
      <c r="G4362" s="23" t="s">
        <v>75</v>
      </c>
      <c r="H4362" s="24">
        <v>4447</v>
      </c>
      <c r="I4362" s="24">
        <v>13.34</v>
      </c>
      <c r="J4362" s="24">
        <v>2.4</v>
      </c>
      <c r="K4362" s="24">
        <v>4431.26</v>
      </c>
      <c r="L4362" s="38">
        <v>46291</v>
      </c>
      <c r="M4362" s="23" t="s">
        <v>224</v>
      </c>
      <c r="N4362" s="23" t="str">
        <f>IF(COUNTIF($A$2:A4362,A4362)&gt;1,"DUP","OK")</f>
        <v>OK</v>
      </c>
      <c r="O4362" s="23" t="str">
        <f t="shared" si="205"/>
        <v>ORD26000754</v>
      </c>
      <c r="P4362" s="23" t="str">
        <f t="shared" si="206"/>
        <v>Sep</v>
      </c>
      <c r="Q4362" s="23" t="str">
        <f>IF(F4362="CAPTURE",IF(COUNTIF(orders!$A:$A,O4362)&gt;0,"Yes","NO ORDER"),"")</f>
        <v>Yes</v>
      </c>
    </row>
    <row r="4363" spans="1:17" ht="15" customHeight="1" x14ac:dyDescent="0.3">
      <c r="A4363" s="23" t="s">
        <v>17443</v>
      </c>
      <c r="B4363" s="23"/>
      <c r="C4363" s="23" t="s">
        <v>1985</v>
      </c>
      <c r="D4363" s="23" t="str">
        <f t="shared" si="204"/>
        <v>ORD26000771</v>
      </c>
      <c r="E4363" s="38">
        <v>46289</v>
      </c>
      <c r="F4363" s="23" t="s">
        <v>12410</v>
      </c>
      <c r="G4363" s="23" t="s">
        <v>75</v>
      </c>
      <c r="H4363" s="24">
        <v>599</v>
      </c>
      <c r="I4363" s="24">
        <v>0</v>
      </c>
      <c r="J4363" s="24">
        <v>0</v>
      </c>
      <c r="K4363" s="24">
        <v>599</v>
      </c>
      <c r="L4363" s="38">
        <v>46291</v>
      </c>
      <c r="M4363" s="23" t="s">
        <v>224</v>
      </c>
      <c r="N4363" s="23" t="str">
        <f>IF(COUNTIF($A$2:A4363,A4363)&gt;1,"DUP","OK")</f>
        <v>OK</v>
      </c>
      <c r="O4363" s="23" t="str">
        <f t="shared" si="205"/>
        <v>ORD26000771</v>
      </c>
      <c r="P4363" s="23" t="str">
        <f t="shared" si="206"/>
        <v>Sep</v>
      </c>
      <c r="Q4363" s="23" t="str">
        <f>IF(F4363="CAPTURE",IF(COUNTIF(orders!$A:$A,O4363)&gt;0,"Yes","NO ORDER"),"")</f>
        <v>Yes</v>
      </c>
    </row>
    <row r="4364" spans="1:17" ht="15" customHeight="1" x14ac:dyDescent="0.3">
      <c r="A4364" s="23" t="s">
        <v>17444</v>
      </c>
      <c r="B4364" s="23"/>
      <c r="C4364" s="23" t="s">
        <v>17445</v>
      </c>
      <c r="D4364" s="23" t="str">
        <f t="shared" si="204"/>
        <v>ORD26000784</v>
      </c>
      <c r="E4364" s="38">
        <v>46289</v>
      </c>
      <c r="F4364" s="23" t="s">
        <v>12410</v>
      </c>
      <c r="G4364" s="23" t="s">
        <v>75</v>
      </c>
      <c r="H4364" s="24">
        <v>299</v>
      </c>
      <c r="I4364" s="24">
        <v>0</v>
      </c>
      <c r="J4364" s="24">
        <v>0</v>
      </c>
      <c r="K4364" s="24">
        <v>299</v>
      </c>
      <c r="L4364" s="38">
        <v>46291</v>
      </c>
      <c r="M4364" s="23" t="s">
        <v>224</v>
      </c>
      <c r="N4364" s="23" t="str">
        <f>IF(COUNTIF($A$2:A4364,A4364)&gt;1,"DUP","OK")</f>
        <v>OK</v>
      </c>
      <c r="O4364" s="23" t="str">
        <f t="shared" si="205"/>
        <v>ORD26000784</v>
      </c>
      <c r="P4364" s="23" t="str">
        <f t="shared" si="206"/>
        <v>Sep</v>
      </c>
      <c r="Q4364" s="23" t="str">
        <f>IF(F4364="CAPTURE",IF(COUNTIF(orders!$A:$A,O4364)&gt;0,"Yes","NO ORDER"),"")</f>
        <v>Yes</v>
      </c>
    </row>
    <row r="4365" spans="1:17" ht="15" customHeight="1" x14ac:dyDescent="0.3">
      <c r="A4365" s="23" t="s">
        <v>17446</v>
      </c>
      <c r="B4365" s="23"/>
      <c r="C4365" s="23" t="s">
        <v>17447</v>
      </c>
      <c r="D4365" s="23" t="str">
        <f t="shared" si="204"/>
        <v>ORD26000800</v>
      </c>
      <c r="E4365" s="38">
        <v>46289</v>
      </c>
      <c r="F4365" s="23" t="s">
        <v>12410</v>
      </c>
      <c r="G4365" s="23" t="s">
        <v>75</v>
      </c>
      <c r="H4365" s="24">
        <v>4999</v>
      </c>
      <c r="I4365" s="24">
        <v>15</v>
      </c>
      <c r="J4365" s="24">
        <v>2.7</v>
      </c>
      <c r="K4365" s="24">
        <v>4981.3</v>
      </c>
      <c r="L4365" s="38">
        <v>46291</v>
      </c>
      <c r="M4365" s="23" t="s">
        <v>224</v>
      </c>
      <c r="N4365" s="23" t="str">
        <f>IF(COUNTIF($A$2:A4365,A4365)&gt;1,"DUP","OK")</f>
        <v>OK</v>
      </c>
      <c r="O4365" s="23" t="str">
        <f t="shared" si="205"/>
        <v>ORD26000800</v>
      </c>
      <c r="P4365" s="23" t="str">
        <f t="shared" si="206"/>
        <v>Sep</v>
      </c>
      <c r="Q4365" s="23" t="str">
        <f>IF(F4365="CAPTURE",IF(COUNTIF(orders!$A:$A,O4365)&gt;0,"Yes","NO ORDER"),"")</f>
        <v>Yes</v>
      </c>
    </row>
    <row r="4366" spans="1:17" ht="15" customHeight="1" x14ac:dyDescent="0.3">
      <c r="A4366" s="23" t="s">
        <v>17448</v>
      </c>
      <c r="B4366" s="23"/>
      <c r="C4366" s="23" t="s">
        <v>17449</v>
      </c>
      <c r="D4366" s="23" t="str">
        <f t="shared" si="204"/>
        <v>ORD26000812</v>
      </c>
      <c r="E4366" s="38">
        <v>46289</v>
      </c>
      <c r="F4366" s="23" t="s">
        <v>12410</v>
      </c>
      <c r="G4366" s="23" t="s">
        <v>77</v>
      </c>
      <c r="H4366" s="24">
        <v>1648</v>
      </c>
      <c r="I4366" s="24">
        <v>31.31</v>
      </c>
      <c r="J4366" s="24">
        <v>5.64</v>
      </c>
      <c r="K4366" s="24">
        <v>1611.05</v>
      </c>
      <c r="L4366" s="38">
        <v>46291</v>
      </c>
      <c r="M4366" s="23" t="s">
        <v>224</v>
      </c>
      <c r="N4366" s="23" t="str">
        <f>IF(COUNTIF($A$2:A4366,A4366)&gt;1,"DUP","OK")</f>
        <v>OK</v>
      </c>
      <c r="O4366" s="23" t="str">
        <f t="shared" si="205"/>
        <v>ORD26000812</v>
      </c>
      <c r="P4366" s="23" t="str">
        <f t="shared" si="206"/>
        <v>Sep</v>
      </c>
      <c r="Q4366" s="23" t="str">
        <f>IF(F4366="CAPTURE",IF(COUNTIF(orders!$A:$A,O4366)&gt;0,"Yes","NO ORDER"),"")</f>
        <v>Yes</v>
      </c>
    </row>
    <row r="4367" spans="1:17" ht="15" customHeight="1" x14ac:dyDescent="0.3">
      <c r="A4367" s="23" t="s">
        <v>17450</v>
      </c>
      <c r="B4367" s="23"/>
      <c r="C4367" s="23" t="s">
        <v>2219</v>
      </c>
      <c r="D4367" s="23" t="str">
        <f t="shared" si="204"/>
        <v>ORD26000882</v>
      </c>
      <c r="E4367" s="38">
        <v>46289</v>
      </c>
      <c r="F4367" s="23" t="s">
        <v>12410</v>
      </c>
      <c r="G4367" s="23" t="s">
        <v>75</v>
      </c>
      <c r="H4367" s="24">
        <v>2798</v>
      </c>
      <c r="I4367" s="24">
        <v>8.39</v>
      </c>
      <c r="J4367" s="24">
        <v>1.51</v>
      </c>
      <c r="K4367" s="24">
        <v>2788.1</v>
      </c>
      <c r="L4367" s="38">
        <v>46291</v>
      </c>
      <c r="M4367" s="23" t="s">
        <v>224</v>
      </c>
      <c r="N4367" s="23" t="str">
        <f>IF(COUNTIF($A$2:A4367,A4367)&gt;1,"DUP","OK")</f>
        <v>OK</v>
      </c>
      <c r="O4367" s="23" t="str">
        <f t="shared" si="205"/>
        <v>ORD26000882</v>
      </c>
      <c r="P4367" s="23" t="str">
        <f t="shared" si="206"/>
        <v>Sep</v>
      </c>
      <c r="Q4367" s="23" t="str">
        <f>IF(F4367="CAPTURE",IF(COUNTIF(orders!$A:$A,O4367)&gt;0,"Yes","NO ORDER"),"")</f>
        <v>Yes</v>
      </c>
    </row>
    <row r="4368" spans="1:17" ht="15" customHeight="1" x14ac:dyDescent="0.3">
      <c r="A4368" s="23" t="s">
        <v>17451</v>
      </c>
      <c r="B4368" s="23"/>
      <c r="C4368" s="23" t="s">
        <v>2478</v>
      </c>
      <c r="D4368" s="23" t="str">
        <f t="shared" si="204"/>
        <v>ORD26001009</v>
      </c>
      <c r="E4368" s="38">
        <v>46289</v>
      </c>
      <c r="F4368" s="23" t="s">
        <v>12410</v>
      </c>
      <c r="G4368" s="23" t="s">
        <v>77</v>
      </c>
      <c r="H4368" s="24">
        <v>11297</v>
      </c>
      <c r="I4368" s="24">
        <v>192.05</v>
      </c>
      <c r="J4368" s="24">
        <v>34.57</v>
      </c>
      <c r="K4368" s="24">
        <v>11070.38</v>
      </c>
      <c r="L4368" s="38">
        <v>46291</v>
      </c>
      <c r="M4368" s="23" t="s">
        <v>224</v>
      </c>
      <c r="N4368" s="23" t="str">
        <f>IF(COUNTIF($A$2:A4368,A4368)&gt;1,"DUP","OK")</f>
        <v>OK</v>
      </c>
      <c r="O4368" s="23" t="str">
        <f t="shared" si="205"/>
        <v>ORD26001009</v>
      </c>
      <c r="P4368" s="23" t="str">
        <f t="shared" si="206"/>
        <v>Sep</v>
      </c>
      <c r="Q4368" s="23" t="str">
        <f>IF(F4368="CAPTURE",IF(COUNTIF(orders!$A:$A,O4368)&gt;0,"Yes","NO ORDER"),"")</f>
        <v>Yes</v>
      </c>
    </row>
    <row r="4369" spans="1:17" ht="15" customHeight="1" x14ac:dyDescent="0.3">
      <c r="A4369" s="23" t="s">
        <v>17452</v>
      </c>
      <c r="B4369" s="23"/>
      <c r="C4369" s="23" t="s">
        <v>2604</v>
      </c>
      <c r="D4369" s="23" t="str">
        <f t="shared" si="204"/>
        <v>ORD26001070</v>
      </c>
      <c r="E4369" s="38">
        <v>46289</v>
      </c>
      <c r="F4369" s="23" t="s">
        <v>12410</v>
      </c>
      <c r="G4369" s="23" t="s">
        <v>79</v>
      </c>
      <c r="H4369" s="24">
        <v>799</v>
      </c>
      <c r="I4369" s="24">
        <v>14.38</v>
      </c>
      <c r="J4369" s="24">
        <v>2.59</v>
      </c>
      <c r="K4369" s="24">
        <v>782.03</v>
      </c>
      <c r="L4369" s="38">
        <v>46291</v>
      </c>
      <c r="M4369" s="23" t="s">
        <v>224</v>
      </c>
      <c r="N4369" s="23" t="str">
        <f>IF(COUNTIF($A$2:A4369,A4369)&gt;1,"DUP","OK")</f>
        <v>OK</v>
      </c>
      <c r="O4369" s="23" t="str">
        <f t="shared" si="205"/>
        <v>ORD26001070</v>
      </c>
      <c r="P4369" s="23" t="str">
        <f t="shared" si="206"/>
        <v>Sep</v>
      </c>
      <c r="Q4369" s="23" t="str">
        <f>IF(F4369="CAPTURE",IF(COUNTIF(orders!$A:$A,O4369)&gt;0,"Yes","NO ORDER"),"")</f>
        <v>Yes</v>
      </c>
    </row>
    <row r="4370" spans="1:17" ht="15" customHeight="1" x14ac:dyDescent="0.3">
      <c r="A4370" s="23" t="s">
        <v>17453</v>
      </c>
      <c r="B4370" s="23"/>
      <c r="C4370" s="23" t="s">
        <v>2767</v>
      </c>
      <c r="D4370" s="23" t="str">
        <f t="shared" si="204"/>
        <v>ORD26001150</v>
      </c>
      <c r="E4370" s="38">
        <v>46289</v>
      </c>
      <c r="F4370" s="23" t="s">
        <v>12410</v>
      </c>
      <c r="G4370" s="23" t="s">
        <v>79</v>
      </c>
      <c r="H4370" s="24">
        <v>5597</v>
      </c>
      <c r="I4370" s="24">
        <v>89.55</v>
      </c>
      <c r="J4370" s="24">
        <v>16.12</v>
      </c>
      <c r="K4370" s="24">
        <v>5491.33</v>
      </c>
      <c r="L4370" s="38">
        <v>46291</v>
      </c>
      <c r="M4370" s="23" t="s">
        <v>224</v>
      </c>
      <c r="N4370" s="23" t="str">
        <f>IF(COUNTIF($A$2:A4370,A4370)&gt;1,"DUP","OK")</f>
        <v>OK</v>
      </c>
      <c r="O4370" s="23" t="str">
        <f t="shared" si="205"/>
        <v>ORD26001150</v>
      </c>
      <c r="P4370" s="23" t="str">
        <f t="shared" si="206"/>
        <v>Sep</v>
      </c>
      <c r="Q4370" s="23" t="str">
        <f>IF(F4370="CAPTURE",IF(COUNTIF(orders!$A:$A,O4370)&gt;0,"Yes","NO ORDER"),"")</f>
        <v>Yes</v>
      </c>
    </row>
    <row r="4371" spans="1:17" ht="15" customHeight="1" x14ac:dyDescent="0.3">
      <c r="A4371" s="23" t="s">
        <v>17454</v>
      </c>
      <c r="B4371" s="23"/>
      <c r="C4371" s="23" t="s">
        <v>2884</v>
      </c>
      <c r="D4371" s="23" t="str">
        <f t="shared" si="204"/>
        <v>ORD26001208</v>
      </c>
      <c r="E4371" s="38">
        <v>46289</v>
      </c>
      <c r="F4371" s="23" t="s">
        <v>12410</v>
      </c>
      <c r="G4371" s="23" t="s">
        <v>75</v>
      </c>
      <c r="H4371" s="24">
        <v>3499</v>
      </c>
      <c r="I4371" s="24">
        <v>10.5</v>
      </c>
      <c r="J4371" s="24">
        <v>1.89</v>
      </c>
      <c r="K4371" s="24">
        <v>3486.61</v>
      </c>
      <c r="L4371" s="38">
        <v>46291</v>
      </c>
      <c r="M4371" s="23" t="s">
        <v>224</v>
      </c>
      <c r="N4371" s="23" t="str">
        <f>IF(COUNTIF($A$2:A4371,A4371)&gt;1,"DUP","OK")</f>
        <v>OK</v>
      </c>
      <c r="O4371" s="23" t="str">
        <f t="shared" si="205"/>
        <v>ORD26001208</v>
      </c>
      <c r="P4371" s="23" t="str">
        <f t="shared" si="206"/>
        <v>Sep</v>
      </c>
      <c r="Q4371" s="23" t="str">
        <f>IF(F4371="CAPTURE",IF(COUNTIF(orders!$A:$A,O4371)&gt;0,"Yes","NO ORDER"),"")</f>
        <v>Yes</v>
      </c>
    </row>
    <row r="4372" spans="1:17" ht="15" customHeight="1" x14ac:dyDescent="0.3">
      <c r="A4372" s="23" t="s">
        <v>17455</v>
      </c>
      <c r="B4372" s="23"/>
      <c r="C4372" s="23" t="s">
        <v>3040</v>
      </c>
      <c r="D4372" s="23" t="str">
        <f t="shared" si="204"/>
        <v>ORD26001283</v>
      </c>
      <c r="E4372" s="38">
        <v>46289</v>
      </c>
      <c r="F4372" s="23" t="s">
        <v>12410</v>
      </c>
      <c r="G4372" s="23" t="s">
        <v>75</v>
      </c>
      <c r="H4372" s="24">
        <v>3499</v>
      </c>
      <c r="I4372" s="24">
        <v>10.5</v>
      </c>
      <c r="J4372" s="24">
        <v>1.89</v>
      </c>
      <c r="K4372" s="24">
        <v>3486.61</v>
      </c>
      <c r="L4372" s="38">
        <v>46291</v>
      </c>
      <c r="M4372" s="23" t="s">
        <v>224</v>
      </c>
      <c r="N4372" s="23" t="str">
        <f>IF(COUNTIF($A$2:A4372,A4372)&gt;1,"DUP","OK")</f>
        <v>OK</v>
      </c>
      <c r="O4372" s="23" t="str">
        <f t="shared" si="205"/>
        <v>ORD26001283</v>
      </c>
      <c r="P4372" s="23" t="str">
        <f t="shared" si="206"/>
        <v>Sep</v>
      </c>
      <c r="Q4372" s="23" t="str">
        <f>IF(F4372="CAPTURE",IF(COUNTIF(orders!$A:$A,O4372)&gt;0,"Yes","NO ORDER"),"")</f>
        <v>Yes</v>
      </c>
    </row>
    <row r="4373" spans="1:17" ht="15" customHeight="1" x14ac:dyDescent="0.3">
      <c r="A4373" s="23" t="s">
        <v>17456</v>
      </c>
      <c r="B4373" s="23"/>
      <c r="C4373" s="23" t="s">
        <v>3077</v>
      </c>
      <c r="D4373" s="23" t="str">
        <f t="shared" si="204"/>
        <v>ORD26001301</v>
      </c>
      <c r="E4373" s="38">
        <v>46289</v>
      </c>
      <c r="F4373" s="23" t="s">
        <v>12410</v>
      </c>
      <c r="G4373" s="23" t="s">
        <v>77</v>
      </c>
      <c r="H4373" s="24">
        <v>7999</v>
      </c>
      <c r="I4373" s="24">
        <v>135.97999999999999</v>
      </c>
      <c r="J4373" s="24">
        <v>24.48</v>
      </c>
      <c r="K4373" s="24">
        <v>7838.54</v>
      </c>
      <c r="L4373" s="38">
        <v>46291</v>
      </c>
      <c r="M4373" s="23" t="s">
        <v>224</v>
      </c>
      <c r="N4373" s="23" t="str">
        <f>IF(COUNTIF($A$2:A4373,A4373)&gt;1,"DUP","OK")</f>
        <v>OK</v>
      </c>
      <c r="O4373" s="23" t="str">
        <f t="shared" si="205"/>
        <v>ORD26001301</v>
      </c>
      <c r="P4373" s="23" t="str">
        <f t="shared" si="206"/>
        <v>Sep</v>
      </c>
      <c r="Q4373" s="23" t="str">
        <f>IF(F4373="CAPTURE",IF(COUNTIF(orders!$A:$A,O4373)&gt;0,"Yes","NO ORDER"),"")</f>
        <v>Yes</v>
      </c>
    </row>
    <row r="4374" spans="1:17" ht="15" customHeight="1" x14ac:dyDescent="0.3">
      <c r="A4374" s="23" t="s">
        <v>17457</v>
      </c>
      <c r="B4374" s="23"/>
      <c r="C4374" s="23" t="s">
        <v>3173</v>
      </c>
      <c r="D4374" s="23" t="str">
        <f t="shared" si="204"/>
        <v>ORD26001347</v>
      </c>
      <c r="E4374" s="38">
        <v>46289</v>
      </c>
      <c r="F4374" s="23" t="s">
        <v>12410</v>
      </c>
      <c r="G4374" s="23" t="s">
        <v>77</v>
      </c>
      <c r="H4374" s="24">
        <v>799</v>
      </c>
      <c r="I4374" s="24">
        <v>15.18</v>
      </c>
      <c r="J4374" s="24">
        <v>2.73</v>
      </c>
      <c r="K4374" s="24">
        <v>781.09</v>
      </c>
      <c r="L4374" s="38">
        <v>46291</v>
      </c>
      <c r="M4374" s="23" t="s">
        <v>224</v>
      </c>
      <c r="N4374" s="23" t="str">
        <f>IF(COUNTIF($A$2:A4374,A4374)&gt;1,"DUP","OK")</f>
        <v>OK</v>
      </c>
      <c r="O4374" s="23" t="str">
        <f t="shared" si="205"/>
        <v>ORD26001347</v>
      </c>
      <c r="P4374" s="23" t="str">
        <f t="shared" si="206"/>
        <v>Sep</v>
      </c>
      <c r="Q4374" s="23" t="str">
        <f>IF(F4374="CAPTURE",IF(COUNTIF(orders!$A:$A,O4374)&gt;0,"Yes","NO ORDER"),"")</f>
        <v>Yes</v>
      </c>
    </row>
    <row r="4375" spans="1:17" ht="15" customHeight="1" x14ac:dyDescent="0.3">
      <c r="A4375" s="23" t="s">
        <v>17458</v>
      </c>
      <c r="B4375" s="23"/>
      <c r="C4375" s="23" t="s">
        <v>3269</v>
      </c>
      <c r="D4375" s="23" t="str">
        <f t="shared" si="204"/>
        <v>ORD26001394</v>
      </c>
      <c r="E4375" s="38">
        <v>46289</v>
      </c>
      <c r="F4375" s="23" t="s">
        <v>12410</v>
      </c>
      <c r="G4375" s="23" t="s">
        <v>75</v>
      </c>
      <c r="H4375" s="24">
        <v>6498</v>
      </c>
      <c r="I4375" s="24">
        <v>19.489999999999998</v>
      </c>
      <c r="J4375" s="24">
        <v>3.51</v>
      </c>
      <c r="K4375" s="24">
        <v>6475</v>
      </c>
      <c r="L4375" s="38">
        <v>46291</v>
      </c>
      <c r="M4375" s="23" t="s">
        <v>224</v>
      </c>
      <c r="N4375" s="23" t="str">
        <f>IF(COUNTIF($A$2:A4375,A4375)&gt;1,"DUP","OK")</f>
        <v>OK</v>
      </c>
      <c r="O4375" s="23" t="str">
        <f t="shared" si="205"/>
        <v>ORD26001394</v>
      </c>
      <c r="P4375" s="23" t="str">
        <f t="shared" si="206"/>
        <v>Sep</v>
      </c>
      <c r="Q4375" s="23" t="str">
        <f>IF(F4375="CAPTURE",IF(COUNTIF(orders!$A:$A,O4375)&gt;0,"Yes","NO ORDER"),"")</f>
        <v>Yes</v>
      </c>
    </row>
    <row r="4376" spans="1:17" ht="15" customHeight="1" x14ac:dyDescent="0.3">
      <c r="A4376" s="23" t="s">
        <v>17459</v>
      </c>
      <c r="B4376" s="23"/>
      <c r="C4376" s="23" t="s">
        <v>17460</v>
      </c>
      <c r="D4376" s="23" t="str">
        <f t="shared" si="204"/>
        <v>ORD26001395</v>
      </c>
      <c r="E4376" s="38">
        <v>46289</v>
      </c>
      <c r="F4376" s="23" t="s">
        <v>12410</v>
      </c>
      <c r="G4376" s="23" t="s">
        <v>77</v>
      </c>
      <c r="H4376" s="24">
        <v>599</v>
      </c>
      <c r="I4376" s="24">
        <v>11.38</v>
      </c>
      <c r="J4376" s="24">
        <v>2.0499999999999998</v>
      </c>
      <c r="K4376" s="24">
        <v>585.57000000000005</v>
      </c>
      <c r="L4376" s="38">
        <v>46291</v>
      </c>
      <c r="M4376" s="23" t="s">
        <v>224</v>
      </c>
      <c r="N4376" s="23" t="str">
        <f>IF(COUNTIF($A$2:A4376,A4376)&gt;1,"DUP","OK")</f>
        <v>OK</v>
      </c>
      <c r="O4376" s="23" t="str">
        <f t="shared" si="205"/>
        <v>ORD26001395</v>
      </c>
      <c r="P4376" s="23" t="str">
        <f t="shared" si="206"/>
        <v>Sep</v>
      </c>
      <c r="Q4376" s="23" t="str">
        <f>IF(F4376="CAPTURE",IF(COUNTIF(orders!$A:$A,O4376)&gt;0,"Yes","NO ORDER"),"")</f>
        <v>Yes</v>
      </c>
    </row>
    <row r="4377" spans="1:17" ht="15" customHeight="1" x14ac:dyDescent="0.3">
      <c r="A4377" s="23" t="s">
        <v>17461</v>
      </c>
      <c r="B4377" s="23"/>
      <c r="C4377" s="23" t="s">
        <v>3288</v>
      </c>
      <c r="D4377" s="23" t="str">
        <f t="shared" si="204"/>
        <v>ORD26001403</v>
      </c>
      <c r="E4377" s="38">
        <v>46289</v>
      </c>
      <c r="F4377" s="23" t="s">
        <v>12410</v>
      </c>
      <c r="G4377" s="23" t="s">
        <v>79</v>
      </c>
      <c r="H4377" s="24">
        <v>998</v>
      </c>
      <c r="I4377" s="24">
        <v>17.96</v>
      </c>
      <c r="J4377" s="24">
        <v>3.23</v>
      </c>
      <c r="K4377" s="24">
        <v>976.81</v>
      </c>
      <c r="L4377" s="38">
        <v>46291</v>
      </c>
      <c r="M4377" s="23" t="s">
        <v>224</v>
      </c>
      <c r="N4377" s="23" t="str">
        <f>IF(COUNTIF($A$2:A4377,A4377)&gt;1,"DUP","OK")</f>
        <v>OK</v>
      </c>
      <c r="O4377" s="23" t="str">
        <f t="shared" si="205"/>
        <v>ORD26001403</v>
      </c>
      <c r="P4377" s="23" t="str">
        <f t="shared" si="206"/>
        <v>Sep</v>
      </c>
      <c r="Q4377" s="23" t="str">
        <f>IF(F4377="CAPTURE",IF(COUNTIF(orders!$A:$A,O4377)&gt;0,"Yes","NO ORDER"),"")</f>
        <v>Yes</v>
      </c>
    </row>
    <row r="4378" spans="1:17" ht="15" customHeight="1" x14ac:dyDescent="0.3">
      <c r="A4378" s="23" t="s">
        <v>17462</v>
      </c>
      <c r="B4378" s="23"/>
      <c r="C4378" s="23" t="s">
        <v>3292</v>
      </c>
      <c r="D4378" s="23" t="str">
        <f t="shared" si="204"/>
        <v>ORD26001405</v>
      </c>
      <c r="E4378" s="38">
        <v>46289</v>
      </c>
      <c r="F4378" s="23" t="s">
        <v>12410</v>
      </c>
      <c r="G4378" s="23" t="s">
        <v>75</v>
      </c>
      <c r="H4378" s="24">
        <v>4999</v>
      </c>
      <c r="I4378" s="24">
        <v>15</v>
      </c>
      <c r="J4378" s="24">
        <v>2.7</v>
      </c>
      <c r="K4378" s="24">
        <v>4981.3</v>
      </c>
      <c r="L4378" s="38">
        <v>46291</v>
      </c>
      <c r="M4378" s="23" t="s">
        <v>224</v>
      </c>
      <c r="N4378" s="23" t="str">
        <f>IF(COUNTIF($A$2:A4378,A4378)&gt;1,"DUP","OK")</f>
        <v>OK</v>
      </c>
      <c r="O4378" s="23" t="str">
        <f t="shared" si="205"/>
        <v>ORD26001405</v>
      </c>
      <c r="P4378" s="23" t="str">
        <f t="shared" si="206"/>
        <v>Sep</v>
      </c>
      <c r="Q4378" s="23" t="str">
        <f>IF(F4378="CAPTURE",IF(COUNTIF(orders!$A:$A,O4378)&gt;0,"Yes","NO ORDER"),"")</f>
        <v>Yes</v>
      </c>
    </row>
    <row r="4379" spans="1:17" ht="15" customHeight="1" x14ac:dyDescent="0.3">
      <c r="A4379" s="23" t="s">
        <v>17463</v>
      </c>
      <c r="B4379" s="23"/>
      <c r="C4379" s="23" t="s">
        <v>17464</v>
      </c>
      <c r="D4379" s="23" t="str">
        <f t="shared" si="204"/>
        <v>ORD26001476</v>
      </c>
      <c r="E4379" s="38">
        <v>46289</v>
      </c>
      <c r="F4379" s="23" t="s">
        <v>12410</v>
      </c>
      <c r="G4379" s="23" t="s">
        <v>79</v>
      </c>
      <c r="H4379" s="24">
        <v>2999</v>
      </c>
      <c r="I4379" s="24">
        <v>47.98</v>
      </c>
      <c r="J4379" s="24">
        <v>8.64</v>
      </c>
      <c r="K4379" s="24">
        <v>2942.38</v>
      </c>
      <c r="L4379" s="38">
        <v>46291</v>
      </c>
      <c r="M4379" s="23" t="s">
        <v>224</v>
      </c>
      <c r="N4379" s="23" t="str">
        <f>IF(COUNTIF($A$2:A4379,A4379)&gt;1,"DUP","OK")</f>
        <v>OK</v>
      </c>
      <c r="O4379" s="23" t="str">
        <f t="shared" si="205"/>
        <v>ORD26001476</v>
      </c>
      <c r="P4379" s="23" t="str">
        <f t="shared" si="206"/>
        <v>Sep</v>
      </c>
      <c r="Q4379" s="23" t="str">
        <f>IF(F4379="CAPTURE",IF(COUNTIF(orders!$A:$A,O4379)&gt;0,"Yes","NO ORDER"),"")</f>
        <v>Yes</v>
      </c>
    </row>
    <row r="4380" spans="1:17" ht="15" customHeight="1" x14ac:dyDescent="0.3">
      <c r="A4380" s="23" t="s">
        <v>17465</v>
      </c>
      <c r="B4380" s="23"/>
      <c r="C4380" s="23" t="s">
        <v>3483</v>
      </c>
      <c r="D4380" s="23" t="str">
        <f t="shared" si="204"/>
        <v>ORD26001499</v>
      </c>
      <c r="E4380" s="38">
        <v>46289</v>
      </c>
      <c r="F4380" s="23" t="s">
        <v>12410</v>
      </c>
      <c r="G4380" s="23" t="s">
        <v>77</v>
      </c>
      <c r="H4380" s="24">
        <v>17297</v>
      </c>
      <c r="I4380" s="24">
        <v>294.05</v>
      </c>
      <c r="J4380" s="24">
        <v>52.93</v>
      </c>
      <c r="K4380" s="24">
        <v>16950.02</v>
      </c>
      <c r="L4380" s="38">
        <v>46291</v>
      </c>
      <c r="M4380" s="23" t="s">
        <v>224</v>
      </c>
      <c r="N4380" s="23" t="str">
        <f>IF(COUNTIF($A$2:A4380,A4380)&gt;1,"DUP","OK")</f>
        <v>OK</v>
      </c>
      <c r="O4380" s="23" t="str">
        <f t="shared" si="205"/>
        <v>ORD26001499</v>
      </c>
      <c r="P4380" s="23" t="str">
        <f t="shared" si="206"/>
        <v>Sep</v>
      </c>
      <c r="Q4380" s="23" t="str">
        <f>IF(F4380="CAPTURE",IF(COUNTIF(orders!$A:$A,O4380)&gt;0,"Yes","NO ORDER"),"")</f>
        <v>Yes</v>
      </c>
    </row>
    <row r="4381" spans="1:17" ht="15" customHeight="1" x14ac:dyDescent="0.3">
      <c r="A4381" s="23" t="s">
        <v>17466</v>
      </c>
      <c r="B4381" s="23"/>
      <c r="C4381" s="23" t="s">
        <v>3502</v>
      </c>
      <c r="D4381" s="23" t="str">
        <f t="shared" si="204"/>
        <v>ORD26001508</v>
      </c>
      <c r="E4381" s="38">
        <v>46289</v>
      </c>
      <c r="F4381" s="23" t="s">
        <v>12410</v>
      </c>
      <c r="G4381" s="23" t="s">
        <v>75</v>
      </c>
      <c r="H4381" s="24">
        <v>2197</v>
      </c>
      <c r="I4381" s="24">
        <v>6.59</v>
      </c>
      <c r="J4381" s="24">
        <v>1.19</v>
      </c>
      <c r="K4381" s="24">
        <v>2189.2199999999998</v>
      </c>
      <c r="L4381" s="38">
        <v>46291</v>
      </c>
      <c r="M4381" s="23" t="s">
        <v>224</v>
      </c>
      <c r="N4381" s="23" t="str">
        <f>IF(COUNTIF($A$2:A4381,A4381)&gt;1,"DUP","OK")</f>
        <v>OK</v>
      </c>
      <c r="O4381" s="23" t="str">
        <f t="shared" si="205"/>
        <v>ORD26001508</v>
      </c>
      <c r="P4381" s="23" t="str">
        <f t="shared" si="206"/>
        <v>Sep</v>
      </c>
      <c r="Q4381" s="23" t="str">
        <f>IF(F4381="CAPTURE",IF(COUNTIF(orders!$A:$A,O4381)&gt;0,"Yes","NO ORDER"),"")</f>
        <v>Yes</v>
      </c>
    </row>
    <row r="4382" spans="1:17" ht="15" customHeight="1" x14ac:dyDescent="0.3">
      <c r="A4382" s="23" t="s">
        <v>17467</v>
      </c>
      <c r="B4382" s="23"/>
      <c r="C4382" s="23" t="s">
        <v>3523</v>
      </c>
      <c r="D4382" s="23" t="str">
        <f t="shared" si="204"/>
        <v>ORD26001518</v>
      </c>
      <c r="E4382" s="38">
        <v>46289</v>
      </c>
      <c r="F4382" s="23" t="s">
        <v>12410</v>
      </c>
      <c r="G4382" s="23" t="s">
        <v>75</v>
      </c>
      <c r="H4382" s="24">
        <v>299</v>
      </c>
      <c r="I4382" s="24">
        <v>0</v>
      </c>
      <c r="J4382" s="24">
        <v>0</v>
      </c>
      <c r="K4382" s="24">
        <v>299</v>
      </c>
      <c r="L4382" s="38">
        <v>46291</v>
      </c>
      <c r="M4382" s="23" t="s">
        <v>224</v>
      </c>
      <c r="N4382" s="23" t="str">
        <f>IF(COUNTIF($A$2:A4382,A4382)&gt;1,"DUP","OK")</f>
        <v>OK</v>
      </c>
      <c r="O4382" s="23" t="str">
        <f t="shared" si="205"/>
        <v>ORD26001518</v>
      </c>
      <c r="P4382" s="23" t="str">
        <f t="shared" si="206"/>
        <v>Sep</v>
      </c>
      <c r="Q4382" s="23" t="str">
        <f>IF(F4382="CAPTURE",IF(COUNTIF(orders!$A:$A,O4382)&gt;0,"Yes","NO ORDER"),"")</f>
        <v>Yes</v>
      </c>
    </row>
    <row r="4383" spans="1:17" ht="15" customHeight="1" x14ac:dyDescent="0.3">
      <c r="A4383" s="23" t="s">
        <v>17468</v>
      </c>
      <c r="B4383" s="23"/>
      <c r="C4383" s="23" t="s">
        <v>3552</v>
      </c>
      <c r="D4383" s="23" t="str">
        <f t="shared" si="204"/>
        <v>ORD26001532</v>
      </c>
      <c r="E4383" s="38">
        <v>46289</v>
      </c>
      <c r="F4383" s="23" t="s">
        <v>12410</v>
      </c>
      <c r="G4383" s="23" t="s">
        <v>79</v>
      </c>
      <c r="H4383" s="24">
        <v>7797</v>
      </c>
      <c r="I4383" s="24">
        <v>124.75</v>
      </c>
      <c r="J4383" s="24">
        <v>22.46</v>
      </c>
      <c r="K4383" s="24">
        <v>7649.79</v>
      </c>
      <c r="L4383" s="38">
        <v>46291</v>
      </c>
      <c r="M4383" s="23" t="s">
        <v>224</v>
      </c>
      <c r="N4383" s="23" t="str">
        <f>IF(COUNTIF($A$2:A4383,A4383)&gt;1,"DUP","OK")</f>
        <v>OK</v>
      </c>
      <c r="O4383" s="23" t="str">
        <f t="shared" si="205"/>
        <v>ORD26001532</v>
      </c>
      <c r="P4383" s="23" t="str">
        <f t="shared" si="206"/>
        <v>Sep</v>
      </c>
      <c r="Q4383" s="23" t="str">
        <f>IF(F4383="CAPTURE",IF(COUNTIF(orders!$A:$A,O4383)&gt;0,"Yes","NO ORDER"),"")</f>
        <v>Yes</v>
      </c>
    </row>
    <row r="4384" spans="1:17" ht="15" customHeight="1" x14ac:dyDescent="0.3">
      <c r="A4384" s="23" t="s">
        <v>17469</v>
      </c>
      <c r="B4384" s="23"/>
      <c r="C4384" s="23" t="s">
        <v>3595</v>
      </c>
      <c r="D4384" s="23" t="str">
        <f t="shared" si="204"/>
        <v>ORD26001553</v>
      </c>
      <c r="E4384" s="38">
        <v>46289</v>
      </c>
      <c r="F4384" s="23" t="s">
        <v>12410</v>
      </c>
      <c r="G4384" s="23" t="s">
        <v>75</v>
      </c>
      <c r="H4384" s="24">
        <v>8348</v>
      </c>
      <c r="I4384" s="24">
        <v>25.04</v>
      </c>
      <c r="J4384" s="24">
        <v>4.51</v>
      </c>
      <c r="K4384" s="24">
        <v>8318.4500000000007</v>
      </c>
      <c r="L4384" s="38">
        <v>46291</v>
      </c>
      <c r="M4384" s="23" t="s">
        <v>224</v>
      </c>
      <c r="N4384" s="23" t="str">
        <f>IF(COUNTIF($A$2:A4384,A4384)&gt;1,"DUP","OK")</f>
        <v>OK</v>
      </c>
      <c r="O4384" s="23" t="str">
        <f t="shared" si="205"/>
        <v>ORD26001553</v>
      </c>
      <c r="P4384" s="23" t="str">
        <f t="shared" si="206"/>
        <v>Sep</v>
      </c>
      <c r="Q4384" s="23" t="str">
        <f>IF(F4384="CAPTURE",IF(COUNTIF(orders!$A:$A,O4384)&gt;0,"Yes","NO ORDER"),"")</f>
        <v>Yes</v>
      </c>
    </row>
    <row r="4385" spans="1:17" ht="15" customHeight="1" x14ac:dyDescent="0.3">
      <c r="A4385" s="23" t="s">
        <v>17470</v>
      </c>
      <c r="B4385" s="23"/>
      <c r="C4385" s="23" t="s">
        <v>3611</v>
      </c>
      <c r="D4385" s="23" t="str">
        <f t="shared" si="204"/>
        <v>ORD26001562</v>
      </c>
      <c r="E4385" s="38">
        <v>46289</v>
      </c>
      <c r="F4385" s="23" t="s">
        <v>12410</v>
      </c>
      <c r="G4385" s="23" t="s">
        <v>75</v>
      </c>
      <c r="H4385" s="24">
        <v>3499</v>
      </c>
      <c r="I4385" s="24">
        <v>10.5</v>
      </c>
      <c r="J4385" s="24">
        <v>1.89</v>
      </c>
      <c r="K4385" s="24">
        <v>3486.61</v>
      </c>
      <c r="L4385" s="38">
        <v>46291</v>
      </c>
      <c r="M4385" s="23" t="s">
        <v>224</v>
      </c>
      <c r="N4385" s="23" t="str">
        <f>IF(COUNTIF($A$2:A4385,A4385)&gt;1,"DUP","OK")</f>
        <v>OK</v>
      </c>
      <c r="O4385" s="23" t="str">
        <f t="shared" si="205"/>
        <v>ORD26001562</v>
      </c>
      <c r="P4385" s="23" t="str">
        <f t="shared" si="206"/>
        <v>Sep</v>
      </c>
      <c r="Q4385" s="23" t="str">
        <f>IF(F4385="CAPTURE",IF(COUNTIF(orders!$A:$A,O4385)&gt;0,"Yes","NO ORDER"),"")</f>
        <v>Yes</v>
      </c>
    </row>
    <row r="4386" spans="1:17" ht="15" customHeight="1" x14ac:dyDescent="0.3">
      <c r="A4386" s="23" t="s">
        <v>17471</v>
      </c>
      <c r="B4386" s="23"/>
      <c r="C4386" s="23" t="s">
        <v>3719</v>
      </c>
      <c r="D4386" s="23" t="str">
        <f t="shared" si="204"/>
        <v>ORD26001616</v>
      </c>
      <c r="E4386" s="38">
        <v>46289</v>
      </c>
      <c r="F4386" s="23" t="s">
        <v>12410</v>
      </c>
      <c r="G4386" s="23" t="s">
        <v>81</v>
      </c>
      <c r="H4386" s="24">
        <v>8348</v>
      </c>
      <c r="I4386" s="24">
        <v>100.18</v>
      </c>
      <c r="J4386" s="24">
        <v>18.03</v>
      </c>
      <c r="K4386" s="24">
        <v>8229.7900000000009</v>
      </c>
      <c r="L4386" s="38">
        <v>46291</v>
      </c>
      <c r="M4386" s="23" t="s">
        <v>224</v>
      </c>
      <c r="N4386" s="23" t="str">
        <f>IF(COUNTIF($A$2:A4386,A4386)&gt;1,"DUP","OK")</f>
        <v>OK</v>
      </c>
      <c r="O4386" s="23" t="str">
        <f t="shared" si="205"/>
        <v>ORD26001616</v>
      </c>
      <c r="P4386" s="23" t="str">
        <f t="shared" si="206"/>
        <v>Sep</v>
      </c>
      <c r="Q4386" s="23" t="str">
        <f>IF(F4386="CAPTURE",IF(COUNTIF(orders!$A:$A,O4386)&gt;0,"Yes","NO ORDER"),"")</f>
        <v>Yes</v>
      </c>
    </row>
    <row r="4387" spans="1:17" ht="15" customHeight="1" x14ac:dyDescent="0.3">
      <c r="A4387" s="23" t="s">
        <v>17472</v>
      </c>
      <c r="B4387" s="23"/>
      <c r="C4387" s="23" t="s">
        <v>3750</v>
      </c>
      <c r="D4387" s="23" t="str">
        <f t="shared" si="204"/>
        <v>ORD26001632</v>
      </c>
      <c r="E4387" s="38">
        <v>46289</v>
      </c>
      <c r="F4387" s="23" t="s">
        <v>12410</v>
      </c>
      <c r="G4387" s="23" t="s">
        <v>75</v>
      </c>
      <c r="H4387" s="24">
        <v>5798</v>
      </c>
      <c r="I4387" s="24">
        <v>17.39</v>
      </c>
      <c r="J4387" s="24">
        <v>3.13</v>
      </c>
      <c r="K4387" s="24">
        <v>5777.48</v>
      </c>
      <c r="L4387" s="38">
        <v>46291</v>
      </c>
      <c r="M4387" s="23" t="s">
        <v>224</v>
      </c>
      <c r="N4387" s="23" t="str">
        <f>IF(COUNTIF($A$2:A4387,A4387)&gt;1,"DUP","OK")</f>
        <v>OK</v>
      </c>
      <c r="O4387" s="23" t="str">
        <f t="shared" si="205"/>
        <v>ORD26001632</v>
      </c>
      <c r="P4387" s="23" t="str">
        <f t="shared" si="206"/>
        <v>Sep</v>
      </c>
      <c r="Q4387" s="23" t="str">
        <f>IF(F4387="CAPTURE",IF(COUNTIF(orders!$A:$A,O4387)&gt;0,"Yes","NO ORDER"),"")</f>
        <v>Yes</v>
      </c>
    </row>
    <row r="4388" spans="1:17" ht="15" customHeight="1" x14ac:dyDescent="0.3">
      <c r="A4388" s="23" t="s">
        <v>17473</v>
      </c>
      <c r="B4388" s="23"/>
      <c r="C4388" s="23" t="s">
        <v>17474</v>
      </c>
      <c r="D4388" s="23" t="str">
        <f t="shared" si="204"/>
        <v>ORD26001643</v>
      </c>
      <c r="E4388" s="38">
        <v>46289</v>
      </c>
      <c r="F4388" s="23" t="s">
        <v>12410</v>
      </c>
      <c r="G4388" s="23" t="s">
        <v>81</v>
      </c>
      <c r="H4388" s="24">
        <v>3798</v>
      </c>
      <c r="I4388" s="24">
        <v>45.58</v>
      </c>
      <c r="J4388" s="24">
        <v>8.1999999999999993</v>
      </c>
      <c r="K4388" s="24">
        <v>3744.22</v>
      </c>
      <c r="L4388" s="38">
        <v>46291</v>
      </c>
      <c r="M4388" s="23" t="s">
        <v>224</v>
      </c>
      <c r="N4388" s="23" t="str">
        <f>IF(COUNTIF($A$2:A4388,A4388)&gt;1,"DUP","OK")</f>
        <v>OK</v>
      </c>
      <c r="O4388" s="23" t="str">
        <f t="shared" si="205"/>
        <v>ORD26001643</v>
      </c>
      <c r="P4388" s="23" t="str">
        <f t="shared" si="206"/>
        <v>Sep</v>
      </c>
      <c r="Q4388" s="23" t="str">
        <f>IF(F4388="CAPTURE",IF(COUNTIF(orders!$A:$A,O4388)&gt;0,"Yes","NO ORDER"),"")</f>
        <v>Yes</v>
      </c>
    </row>
    <row r="4389" spans="1:17" ht="15" customHeight="1" x14ac:dyDescent="0.3">
      <c r="A4389" s="23" t="s">
        <v>17475</v>
      </c>
      <c r="B4389" s="23"/>
      <c r="C4389" s="23" t="s">
        <v>17476</v>
      </c>
      <c r="D4389" s="23" t="str">
        <f t="shared" si="204"/>
        <v>ORD26001677</v>
      </c>
      <c r="E4389" s="38">
        <v>46289</v>
      </c>
      <c r="F4389" s="23" t="s">
        <v>12410</v>
      </c>
      <c r="G4389" s="23" t="s">
        <v>75</v>
      </c>
      <c r="H4389" s="24">
        <v>599</v>
      </c>
      <c r="I4389" s="24">
        <v>0</v>
      </c>
      <c r="J4389" s="24">
        <v>0</v>
      </c>
      <c r="K4389" s="24">
        <v>599</v>
      </c>
      <c r="L4389" s="38">
        <v>46291</v>
      </c>
      <c r="M4389" s="23" t="s">
        <v>224</v>
      </c>
      <c r="N4389" s="23" t="str">
        <f>IF(COUNTIF($A$2:A4389,A4389)&gt;1,"DUP","OK")</f>
        <v>OK</v>
      </c>
      <c r="O4389" s="23" t="str">
        <f t="shared" si="205"/>
        <v>ORD26001677</v>
      </c>
      <c r="P4389" s="23" t="str">
        <f t="shared" si="206"/>
        <v>Sep</v>
      </c>
      <c r="Q4389" s="23" t="str">
        <f>IF(F4389="CAPTURE",IF(COUNTIF(orders!$A:$A,O4389)&gt;0,"Yes","NO ORDER"),"")</f>
        <v>Yes</v>
      </c>
    </row>
    <row r="4390" spans="1:17" ht="15" customHeight="1" x14ac:dyDescent="0.3">
      <c r="A4390" s="23" t="s">
        <v>17477</v>
      </c>
      <c r="B4390" s="23"/>
      <c r="C4390" s="23" t="s">
        <v>3992</v>
      </c>
      <c r="D4390" s="23" t="str">
        <f t="shared" si="204"/>
        <v>ORD26001752</v>
      </c>
      <c r="E4390" s="38">
        <v>46289</v>
      </c>
      <c r="F4390" s="23" t="s">
        <v>12410</v>
      </c>
      <c r="G4390" s="23" t="s">
        <v>75</v>
      </c>
      <c r="H4390" s="24">
        <v>349</v>
      </c>
      <c r="I4390" s="24">
        <v>0</v>
      </c>
      <c r="J4390" s="24">
        <v>0</v>
      </c>
      <c r="K4390" s="24">
        <v>349</v>
      </c>
      <c r="L4390" s="38">
        <v>46291</v>
      </c>
      <c r="M4390" s="23" t="s">
        <v>224</v>
      </c>
      <c r="N4390" s="23" t="str">
        <f>IF(COUNTIF($A$2:A4390,A4390)&gt;1,"DUP","OK")</f>
        <v>OK</v>
      </c>
      <c r="O4390" s="23" t="str">
        <f t="shared" si="205"/>
        <v>ORD26001752</v>
      </c>
      <c r="P4390" s="23" t="str">
        <f t="shared" si="206"/>
        <v>Sep</v>
      </c>
      <c r="Q4390" s="23" t="str">
        <f>IF(F4390="CAPTURE",IF(COUNTIF(orders!$A:$A,O4390)&gt;0,"Yes","NO ORDER"),"")</f>
        <v>Yes</v>
      </c>
    </row>
    <row r="4391" spans="1:17" ht="15" customHeight="1" x14ac:dyDescent="0.3">
      <c r="A4391" s="23" t="s">
        <v>17478</v>
      </c>
      <c r="B4391" s="23"/>
      <c r="C4391" s="23" t="s">
        <v>4051</v>
      </c>
      <c r="D4391" s="23" t="str">
        <f t="shared" si="204"/>
        <v>ORD26001782</v>
      </c>
      <c r="E4391" s="38">
        <v>46289</v>
      </c>
      <c r="F4391" s="23" t="s">
        <v>12410</v>
      </c>
      <c r="G4391" s="23" t="s">
        <v>77</v>
      </c>
      <c r="H4391" s="24">
        <v>6798</v>
      </c>
      <c r="I4391" s="24">
        <v>115.57</v>
      </c>
      <c r="J4391" s="24">
        <v>20.8</v>
      </c>
      <c r="K4391" s="24">
        <v>6661.63</v>
      </c>
      <c r="L4391" s="38">
        <v>46291</v>
      </c>
      <c r="M4391" s="23" t="s">
        <v>224</v>
      </c>
      <c r="N4391" s="23" t="str">
        <f>IF(COUNTIF($A$2:A4391,A4391)&gt;1,"DUP","OK")</f>
        <v>OK</v>
      </c>
      <c r="O4391" s="23" t="str">
        <f t="shared" si="205"/>
        <v>ORD26001782</v>
      </c>
      <c r="P4391" s="23" t="str">
        <f t="shared" si="206"/>
        <v>Sep</v>
      </c>
      <c r="Q4391" s="23" t="str">
        <f>IF(F4391="CAPTURE",IF(COUNTIF(orders!$A:$A,O4391)&gt;0,"Yes","NO ORDER"),"")</f>
        <v>Yes</v>
      </c>
    </row>
    <row r="4392" spans="1:17" ht="15" customHeight="1" x14ac:dyDescent="0.3">
      <c r="A4392" s="23" t="s">
        <v>17479</v>
      </c>
      <c r="B4392" s="23"/>
      <c r="C4392" s="23" t="s">
        <v>4073</v>
      </c>
      <c r="D4392" s="23" t="str">
        <f t="shared" si="204"/>
        <v>ORD26001793</v>
      </c>
      <c r="E4392" s="38">
        <v>46289</v>
      </c>
      <c r="F4392" s="23" t="s">
        <v>12410</v>
      </c>
      <c r="G4392" s="23" t="s">
        <v>75</v>
      </c>
      <c r="H4392" s="24">
        <v>2499</v>
      </c>
      <c r="I4392" s="24">
        <v>7.5</v>
      </c>
      <c r="J4392" s="24">
        <v>1.35</v>
      </c>
      <c r="K4392" s="24">
        <v>2490.15</v>
      </c>
      <c r="L4392" s="38">
        <v>46291</v>
      </c>
      <c r="M4392" s="23" t="s">
        <v>224</v>
      </c>
      <c r="N4392" s="23" t="str">
        <f>IF(COUNTIF($A$2:A4392,A4392)&gt;1,"DUP","OK")</f>
        <v>OK</v>
      </c>
      <c r="O4392" s="23" t="str">
        <f t="shared" si="205"/>
        <v>ORD26001793</v>
      </c>
      <c r="P4392" s="23" t="str">
        <f t="shared" si="206"/>
        <v>Sep</v>
      </c>
      <c r="Q4392" s="23" t="str">
        <f>IF(F4392="CAPTURE",IF(COUNTIF(orders!$A:$A,O4392)&gt;0,"Yes","NO ORDER"),"")</f>
        <v>Yes</v>
      </c>
    </row>
    <row r="4393" spans="1:17" ht="15" customHeight="1" x14ac:dyDescent="0.3">
      <c r="A4393" s="23" t="s">
        <v>17480</v>
      </c>
      <c r="B4393" s="23"/>
      <c r="C4393" s="23" t="s">
        <v>4210</v>
      </c>
      <c r="D4393" s="23" t="str">
        <f t="shared" si="204"/>
        <v>ORD26001862</v>
      </c>
      <c r="E4393" s="38">
        <v>46289</v>
      </c>
      <c r="F4393" s="23" t="s">
        <v>12410</v>
      </c>
      <c r="G4393" s="23" t="s">
        <v>75</v>
      </c>
      <c r="H4393" s="24">
        <v>5598</v>
      </c>
      <c r="I4393" s="24">
        <v>16.79</v>
      </c>
      <c r="J4393" s="24">
        <v>3.02</v>
      </c>
      <c r="K4393" s="24">
        <v>5578.19</v>
      </c>
      <c r="L4393" s="38">
        <v>46291</v>
      </c>
      <c r="M4393" s="23" t="s">
        <v>224</v>
      </c>
      <c r="N4393" s="23" t="str">
        <f>IF(COUNTIF($A$2:A4393,A4393)&gt;1,"DUP","OK")</f>
        <v>OK</v>
      </c>
      <c r="O4393" s="23" t="str">
        <f t="shared" si="205"/>
        <v>ORD26001862</v>
      </c>
      <c r="P4393" s="23" t="str">
        <f t="shared" si="206"/>
        <v>Sep</v>
      </c>
      <c r="Q4393" s="23" t="str">
        <f>IF(F4393="CAPTURE",IF(COUNTIF(orders!$A:$A,O4393)&gt;0,"Yes","NO ORDER"),"")</f>
        <v>Yes</v>
      </c>
    </row>
    <row r="4394" spans="1:17" ht="15" customHeight="1" x14ac:dyDescent="0.3">
      <c r="A4394" s="23" t="s">
        <v>17481</v>
      </c>
      <c r="B4394" s="23"/>
      <c r="C4394" s="23" t="s">
        <v>17482</v>
      </c>
      <c r="D4394" s="23" t="str">
        <f t="shared" si="204"/>
        <v>ORD26001863</v>
      </c>
      <c r="E4394" s="38">
        <v>46289</v>
      </c>
      <c r="F4394" s="23" t="s">
        <v>12410</v>
      </c>
      <c r="G4394" s="23" t="s">
        <v>75</v>
      </c>
      <c r="H4394" s="24">
        <v>7999</v>
      </c>
      <c r="I4394" s="24">
        <v>24</v>
      </c>
      <c r="J4394" s="24">
        <v>4.32</v>
      </c>
      <c r="K4394" s="24">
        <v>7970.68</v>
      </c>
      <c r="L4394" s="38">
        <v>46291</v>
      </c>
      <c r="M4394" s="23" t="s">
        <v>224</v>
      </c>
      <c r="N4394" s="23" t="str">
        <f>IF(COUNTIF($A$2:A4394,A4394)&gt;1,"DUP","OK")</f>
        <v>OK</v>
      </c>
      <c r="O4394" s="23" t="str">
        <f t="shared" si="205"/>
        <v>ORD26001863</v>
      </c>
      <c r="P4394" s="23" t="str">
        <f t="shared" si="206"/>
        <v>Sep</v>
      </c>
      <c r="Q4394" s="23" t="str">
        <f>IF(F4394="CAPTURE",IF(COUNTIF(orders!$A:$A,O4394)&gt;0,"Yes","NO ORDER"),"")</f>
        <v>Yes</v>
      </c>
    </row>
    <row r="4395" spans="1:17" ht="15" customHeight="1" x14ac:dyDescent="0.3">
      <c r="A4395" s="23" t="s">
        <v>17483</v>
      </c>
      <c r="B4395" s="23"/>
      <c r="C4395" s="23" t="s">
        <v>4265</v>
      </c>
      <c r="D4395" s="23" t="str">
        <f t="shared" si="204"/>
        <v>ORD26001889</v>
      </c>
      <c r="E4395" s="38">
        <v>46289</v>
      </c>
      <c r="F4395" s="23" t="s">
        <v>12410</v>
      </c>
      <c r="G4395" s="23" t="s">
        <v>77</v>
      </c>
      <c r="H4395" s="24">
        <v>3098</v>
      </c>
      <c r="I4395" s="24">
        <v>52.67</v>
      </c>
      <c r="J4395" s="24">
        <v>9.48</v>
      </c>
      <c r="K4395" s="24">
        <v>3035.85</v>
      </c>
      <c r="L4395" s="38">
        <v>46291</v>
      </c>
      <c r="M4395" s="23" t="s">
        <v>224</v>
      </c>
      <c r="N4395" s="23" t="str">
        <f>IF(COUNTIF($A$2:A4395,A4395)&gt;1,"DUP","OK")</f>
        <v>OK</v>
      </c>
      <c r="O4395" s="23" t="str">
        <f t="shared" si="205"/>
        <v>ORD26001889</v>
      </c>
      <c r="P4395" s="23" t="str">
        <f t="shared" si="206"/>
        <v>Sep</v>
      </c>
      <c r="Q4395" s="23" t="str">
        <f>IF(F4395="CAPTURE",IF(COUNTIF(orders!$A:$A,O4395)&gt;0,"Yes","NO ORDER"),"")</f>
        <v>Yes</v>
      </c>
    </row>
    <row r="4396" spans="1:17" ht="15" customHeight="1" x14ac:dyDescent="0.3">
      <c r="A4396" s="23" t="s">
        <v>17484</v>
      </c>
      <c r="B4396" s="23"/>
      <c r="C4396" s="23" t="s">
        <v>4303</v>
      </c>
      <c r="D4396" s="23" t="str">
        <f t="shared" si="204"/>
        <v>ORD26001907</v>
      </c>
      <c r="E4396" s="38">
        <v>46289</v>
      </c>
      <c r="F4396" s="23" t="s">
        <v>12410</v>
      </c>
      <c r="G4396" s="23" t="s">
        <v>75</v>
      </c>
      <c r="H4396" s="24">
        <v>1597</v>
      </c>
      <c r="I4396" s="24">
        <v>0</v>
      </c>
      <c r="J4396" s="24">
        <v>0</v>
      </c>
      <c r="K4396" s="24">
        <v>1597</v>
      </c>
      <c r="L4396" s="38">
        <v>46291</v>
      </c>
      <c r="M4396" s="23" t="s">
        <v>224</v>
      </c>
      <c r="N4396" s="23" t="str">
        <f>IF(COUNTIF($A$2:A4396,A4396)&gt;1,"DUP","OK")</f>
        <v>OK</v>
      </c>
      <c r="O4396" s="23" t="str">
        <f t="shared" si="205"/>
        <v>ORD26001907</v>
      </c>
      <c r="P4396" s="23" t="str">
        <f t="shared" si="206"/>
        <v>Sep</v>
      </c>
      <c r="Q4396" s="23" t="str">
        <f>IF(F4396="CAPTURE",IF(COUNTIF(orders!$A:$A,O4396)&gt;0,"Yes","NO ORDER"),"")</f>
        <v>Yes</v>
      </c>
    </row>
    <row r="4397" spans="1:17" ht="15" customHeight="1" x14ac:dyDescent="0.3">
      <c r="A4397" s="23" t="s">
        <v>17485</v>
      </c>
      <c r="B4397" s="23"/>
      <c r="C4397" s="23" t="s">
        <v>4328</v>
      </c>
      <c r="D4397" s="23" t="str">
        <f t="shared" si="204"/>
        <v>ORD26001919</v>
      </c>
      <c r="E4397" s="38">
        <v>46289</v>
      </c>
      <c r="F4397" s="23" t="s">
        <v>12410</v>
      </c>
      <c r="G4397" s="23" t="s">
        <v>79</v>
      </c>
      <c r="H4397" s="24">
        <v>2499</v>
      </c>
      <c r="I4397" s="24">
        <v>39.979999999999997</v>
      </c>
      <c r="J4397" s="24">
        <v>7.2</v>
      </c>
      <c r="K4397" s="24">
        <v>2451.8200000000002</v>
      </c>
      <c r="L4397" s="38">
        <v>46291</v>
      </c>
      <c r="M4397" s="23" t="s">
        <v>224</v>
      </c>
      <c r="N4397" s="23" t="str">
        <f>IF(COUNTIF($A$2:A4397,A4397)&gt;1,"DUP","OK")</f>
        <v>OK</v>
      </c>
      <c r="O4397" s="23" t="str">
        <f t="shared" si="205"/>
        <v>ORD26001919</v>
      </c>
      <c r="P4397" s="23" t="str">
        <f t="shared" si="206"/>
        <v>Sep</v>
      </c>
      <c r="Q4397" s="23" t="str">
        <f>IF(F4397="CAPTURE",IF(COUNTIF(orders!$A:$A,O4397)&gt;0,"Yes","NO ORDER"),"")</f>
        <v>Yes</v>
      </c>
    </row>
    <row r="4398" spans="1:17" ht="15" customHeight="1" x14ac:dyDescent="0.3">
      <c r="A4398" s="23" t="s">
        <v>17486</v>
      </c>
      <c r="B4398" s="23"/>
      <c r="C4398" s="23" t="s">
        <v>4450</v>
      </c>
      <c r="D4398" s="23" t="str">
        <f t="shared" si="204"/>
        <v>ORD26001981</v>
      </c>
      <c r="E4398" s="38">
        <v>46289</v>
      </c>
      <c r="F4398" s="23" t="s">
        <v>12410</v>
      </c>
      <c r="G4398" s="23" t="s">
        <v>79</v>
      </c>
      <c r="H4398" s="24">
        <v>299</v>
      </c>
      <c r="I4398" s="24">
        <v>5.38</v>
      </c>
      <c r="J4398" s="24">
        <v>0.97</v>
      </c>
      <c r="K4398" s="24">
        <v>292.64999999999998</v>
      </c>
      <c r="L4398" s="38">
        <v>46291</v>
      </c>
      <c r="M4398" s="23" t="s">
        <v>224</v>
      </c>
      <c r="N4398" s="23" t="str">
        <f>IF(COUNTIF($A$2:A4398,A4398)&gt;1,"DUP","OK")</f>
        <v>OK</v>
      </c>
      <c r="O4398" s="23" t="str">
        <f t="shared" si="205"/>
        <v>ORD26001981</v>
      </c>
      <c r="P4398" s="23" t="str">
        <f t="shared" si="206"/>
        <v>Sep</v>
      </c>
      <c r="Q4398" s="23" t="str">
        <f>IF(F4398="CAPTURE",IF(COUNTIF(orders!$A:$A,O4398)&gt;0,"Yes","NO ORDER"),"")</f>
        <v>Yes</v>
      </c>
    </row>
    <row r="4399" spans="1:17" ht="15" customHeight="1" x14ac:dyDescent="0.3">
      <c r="A4399" s="23" t="s">
        <v>17487</v>
      </c>
      <c r="B4399" s="23"/>
      <c r="C4399" s="23" t="s">
        <v>4695</v>
      </c>
      <c r="D4399" s="23" t="str">
        <f t="shared" si="204"/>
        <v>ORD26002102</v>
      </c>
      <c r="E4399" s="38">
        <v>46289</v>
      </c>
      <c r="F4399" s="23" t="s">
        <v>12410</v>
      </c>
      <c r="G4399" s="23" t="s">
        <v>79</v>
      </c>
      <c r="H4399" s="24">
        <v>3098</v>
      </c>
      <c r="I4399" s="24">
        <v>49.57</v>
      </c>
      <c r="J4399" s="24">
        <v>8.92</v>
      </c>
      <c r="K4399" s="24">
        <v>3039.51</v>
      </c>
      <c r="L4399" s="38">
        <v>46291</v>
      </c>
      <c r="M4399" s="23" t="s">
        <v>224</v>
      </c>
      <c r="N4399" s="23" t="str">
        <f>IF(COUNTIF($A$2:A4399,A4399)&gt;1,"DUP","OK")</f>
        <v>OK</v>
      </c>
      <c r="O4399" s="23" t="str">
        <f t="shared" si="205"/>
        <v>ORD26002102</v>
      </c>
      <c r="P4399" s="23" t="str">
        <f t="shared" si="206"/>
        <v>Sep</v>
      </c>
      <c r="Q4399" s="23" t="str">
        <f>IF(F4399="CAPTURE",IF(COUNTIF(orders!$A:$A,O4399)&gt;0,"Yes","NO ORDER"),"")</f>
        <v>Yes</v>
      </c>
    </row>
    <row r="4400" spans="1:17" ht="15" customHeight="1" x14ac:dyDescent="0.3">
      <c r="A4400" s="23" t="s">
        <v>17488</v>
      </c>
      <c r="B4400" s="23"/>
      <c r="C4400" s="23" t="s">
        <v>4770</v>
      </c>
      <c r="D4400" s="23" t="str">
        <f t="shared" si="204"/>
        <v>ORD26002140</v>
      </c>
      <c r="E4400" s="38">
        <v>46289</v>
      </c>
      <c r="F4400" s="23" t="s">
        <v>12410</v>
      </c>
      <c r="G4400" s="23" t="s">
        <v>77</v>
      </c>
      <c r="H4400" s="24">
        <v>999</v>
      </c>
      <c r="I4400" s="24">
        <v>18.98</v>
      </c>
      <c r="J4400" s="24">
        <v>3.42</v>
      </c>
      <c r="K4400" s="24">
        <v>976.6</v>
      </c>
      <c r="L4400" s="38">
        <v>46291</v>
      </c>
      <c r="M4400" s="23" t="s">
        <v>224</v>
      </c>
      <c r="N4400" s="23" t="str">
        <f>IF(COUNTIF($A$2:A4400,A4400)&gt;1,"DUP","OK")</f>
        <v>OK</v>
      </c>
      <c r="O4400" s="23" t="str">
        <f t="shared" si="205"/>
        <v>ORD26002140</v>
      </c>
      <c r="P4400" s="23" t="str">
        <f t="shared" si="206"/>
        <v>Sep</v>
      </c>
      <c r="Q4400" s="23" t="str">
        <f>IF(F4400="CAPTURE",IF(COUNTIF(orders!$A:$A,O4400)&gt;0,"Yes","NO ORDER"),"")</f>
        <v>Yes</v>
      </c>
    </row>
    <row r="4401" spans="1:17" ht="15" customHeight="1" x14ac:dyDescent="0.3">
      <c r="A4401" s="23" t="s">
        <v>17489</v>
      </c>
      <c r="B4401" s="23"/>
      <c r="C4401" s="23" t="s">
        <v>4817</v>
      </c>
      <c r="D4401" s="23" t="str">
        <f t="shared" si="204"/>
        <v>ORD26002164</v>
      </c>
      <c r="E4401" s="38">
        <v>46289</v>
      </c>
      <c r="F4401" s="23" t="s">
        <v>12410</v>
      </c>
      <c r="G4401" s="23" t="s">
        <v>75</v>
      </c>
      <c r="H4401" s="24">
        <v>9798</v>
      </c>
      <c r="I4401" s="24">
        <v>29.39</v>
      </c>
      <c r="J4401" s="24">
        <v>5.29</v>
      </c>
      <c r="K4401" s="24">
        <v>9763.32</v>
      </c>
      <c r="L4401" s="38">
        <v>46291</v>
      </c>
      <c r="M4401" s="23" t="s">
        <v>224</v>
      </c>
      <c r="N4401" s="23" t="str">
        <f>IF(COUNTIF($A$2:A4401,A4401)&gt;1,"DUP","OK")</f>
        <v>OK</v>
      </c>
      <c r="O4401" s="23" t="str">
        <f t="shared" si="205"/>
        <v>ORD26002164</v>
      </c>
      <c r="P4401" s="23" t="str">
        <f t="shared" si="206"/>
        <v>Sep</v>
      </c>
      <c r="Q4401" s="23" t="str">
        <f>IF(F4401="CAPTURE",IF(COUNTIF(orders!$A:$A,O4401)&gt;0,"Yes","NO ORDER"),"")</f>
        <v>Yes</v>
      </c>
    </row>
    <row r="4402" spans="1:17" ht="15" customHeight="1" x14ac:dyDescent="0.3">
      <c r="A4402" s="23" t="s">
        <v>17490</v>
      </c>
      <c r="B4402" s="23"/>
      <c r="C4402" s="23" t="s">
        <v>4850</v>
      </c>
      <c r="D4402" s="23" t="str">
        <f t="shared" si="204"/>
        <v>ORD26002180</v>
      </c>
      <c r="E4402" s="38">
        <v>46289</v>
      </c>
      <c r="F4402" s="23" t="s">
        <v>12410</v>
      </c>
      <c r="G4402" s="23" t="s">
        <v>77</v>
      </c>
      <c r="H4402" s="24">
        <v>299</v>
      </c>
      <c r="I4402" s="24">
        <v>5.68</v>
      </c>
      <c r="J4402" s="24">
        <v>1.02</v>
      </c>
      <c r="K4402" s="24">
        <v>292.3</v>
      </c>
      <c r="L4402" s="38">
        <v>46291</v>
      </c>
      <c r="M4402" s="23" t="s">
        <v>224</v>
      </c>
      <c r="N4402" s="23" t="str">
        <f>IF(COUNTIF($A$2:A4402,A4402)&gt;1,"DUP","OK")</f>
        <v>OK</v>
      </c>
      <c r="O4402" s="23" t="str">
        <f t="shared" si="205"/>
        <v>ORD26002180</v>
      </c>
      <c r="P4402" s="23" t="str">
        <f t="shared" si="206"/>
        <v>Sep</v>
      </c>
      <c r="Q4402" s="23" t="str">
        <f>IF(F4402="CAPTURE",IF(COUNTIF(orders!$A:$A,O4402)&gt;0,"Yes","NO ORDER"),"")</f>
        <v>Yes</v>
      </c>
    </row>
    <row r="4403" spans="1:17" ht="15" customHeight="1" x14ac:dyDescent="0.3">
      <c r="A4403" s="23" t="s">
        <v>17491</v>
      </c>
      <c r="B4403" s="23"/>
      <c r="C4403" s="23" t="s">
        <v>17492</v>
      </c>
      <c r="D4403" s="23" t="str">
        <f t="shared" si="204"/>
        <v>ORD26002221</v>
      </c>
      <c r="E4403" s="38">
        <v>46289</v>
      </c>
      <c r="F4403" s="23" t="s">
        <v>12410</v>
      </c>
      <c r="G4403" s="23" t="s">
        <v>77</v>
      </c>
      <c r="H4403" s="24">
        <v>1098</v>
      </c>
      <c r="I4403" s="24">
        <v>20.86</v>
      </c>
      <c r="J4403" s="24">
        <v>3.75</v>
      </c>
      <c r="K4403" s="24">
        <v>1073.3900000000001</v>
      </c>
      <c r="L4403" s="38">
        <v>46291</v>
      </c>
      <c r="M4403" s="23" t="s">
        <v>224</v>
      </c>
      <c r="N4403" s="23" t="str">
        <f>IF(COUNTIF($A$2:A4403,A4403)&gt;1,"DUP","OK")</f>
        <v>OK</v>
      </c>
      <c r="O4403" s="23" t="str">
        <f t="shared" si="205"/>
        <v>ORD26002221</v>
      </c>
      <c r="P4403" s="23" t="str">
        <f t="shared" si="206"/>
        <v>Sep</v>
      </c>
      <c r="Q4403" s="23" t="str">
        <f>IF(F4403="CAPTURE",IF(COUNTIF(orders!$A:$A,O4403)&gt;0,"Yes","NO ORDER"),"")</f>
        <v>Yes</v>
      </c>
    </row>
    <row r="4404" spans="1:17" ht="15" customHeight="1" x14ac:dyDescent="0.3">
      <c r="A4404" s="23" t="s">
        <v>17493</v>
      </c>
      <c r="B4404" s="23"/>
      <c r="C4404" s="23" t="s">
        <v>17494</v>
      </c>
      <c r="D4404" s="23" t="str">
        <f t="shared" si="204"/>
        <v>ORD26002304</v>
      </c>
      <c r="E4404" s="38">
        <v>46289</v>
      </c>
      <c r="F4404" s="23" t="s">
        <v>12410</v>
      </c>
      <c r="G4404" s="23" t="s">
        <v>79</v>
      </c>
      <c r="H4404" s="24">
        <v>5598</v>
      </c>
      <c r="I4404" s="24">
        <v>89.57</v>
      </c>
      <c r="J4404" s="24">
        <v>16.12</v>
      </c>
      <c r="K4404" s="24">
        <v>5492.31</v>
      </c>
      <c r="L4404" s="38">
        <v>46291</v>
      </c>
      <c r="M4404" s="23" t="s">
        <v>224</v>
      </c>
      <c r="N4404" s="23" t="str">
        <f>IF(COUNTIF($A$2:A4404,A4404)&gt;1,"DUP","OK")</f>
        <v>OK</v>
      </c>
      <c r="O4404" s="23" t="str">
        <f t="shared" si="205"/>
        <v>ORD26002304</v>
      </c>
      <c r="P4404" s="23" t="str">
        <f t="shared" si="206"/>
        <v>Sep</v>
      </c>
      <c r="Q4404" s="23" t="str">
        <f>IF(F4404="CAPTURE",IF(COUNTIF(orders!$A:$A,O4404)&gt;0,"Yes","NO ORDER"),"")</f>
        <v>Yes</v>
      </c>
    </row>
    <row r="4405" spans="1:17" ht="15" customHeight="1" x14ac:dyDescent="0.3">
      <c r="A4405" s="23" t="s">
        <v>17495</v>
      </c>
      <c r="B4405" s="23"/>
      <c r="C4405" s="23" t="s">
        <v>5110</v>
      </c>
      <c r="D4405" s="23" t="str">
        <f t="shared" si="204"/>
        <v>ORD26002308</v>
      </c>
      <c r="E4405" s="38">
        <v>46289</v>
      </c>
      <c r="F4405" s="23" t="s">
        <v>12410</v>
      </c>
      <c r="G4405" s="23" t="s">
        <v>79</v>
      </c>
      <c r="H4405" s="24">
        <v>2298</v>
      </c>
      <c r="I4405" s="24">
        <v>36.770000000000003</v>
      </c>
      <c r="J4405" s="24">
        <v>6.62</v>
      </c>
      <c r="K4405" s="24">
        <v>2254.61</v>
      </c>
      <c r="L4405" s="38">
        <v>46291</v>
      </c>
      <c r="M4405" s="23" t="s">
        <v>224</v>
      </c>
      <c r="N4405" s="23" t="str">
        <f>IF(COUNTIF($A$2:A4405,A4405)&gt;1,"DUP","OK")</f>
        <v>OK</v>
      </c>
      <c r="O4405" s="23" t="str">
        <f t="shared" si="205"/>
        <v>ORD26002308</v>
      </c>
      <c r="P4405" s="23" t="str">
        <f t="shared" si="206"/>
        <v>Sep</v>
      </c>
      <c r="Q4405" s="23" t="str">
        <f>IF(F4405="CAPTURE",IF(COUNTIF(orders!$A:$A,O4405)&gt;0,"Yes","NO ORDER"),"")</f>
        <v>Yes</v>
      </c>
    </row>
    <row r="4406" spans="1:17" ht="15" customHeight="1" x14ac:dyDescent="0.3">
      <c r="A4406" s="23" t="s">
        <v>17496</v>
      </c>
      <c r="B4406" s="23"/>
      <c r="C4406" s="23" t="s">
        <v>5126</v>
      </c>
      <c r="D4406" s="23" t="str">
        <f t="shared" si="204"/>
        <v>ORD26002316</v>
      </c>
      <c r="E4406" s="38">
        <v>46289</v>
      </c>
      <c r="F4406" s="23" t="s">
        <v>12410</v>
      </c>
      <c r="G4406" s="23" t="s">
        <v>75</v>
      </c>
      <c r="H4406" s="24">
        <v>2999</v>
      </c>
      <c r="I4406" s="24">
        <v>9</v>
      </c>
      <c r="J4406" s="24">
        <v>1.62</v>
      </c>
      <c r="K4406" s="24">
        <v>2988.38</v>
      </c>
      <c r="L4406" s="38">
        <v>46291</v>
      </c>
      <c r="M4406" s="23" t="s">
        <v>224</v>
      </c>
      <c r="N4406" s="23" t="str">
        <f>IF(COUNTIF($A$2:A4406,A4406)&gt;1,"DUP","OK")</f>
        <v>OK</v>
      </c>
      <c r="O4406" s="23" t="str">
        <f t="shared" si="205"/>
        <v>ORD26002316</v>
      </c>
      <c r="P4406" s="23" t="str">
        <f t="shared" si="206"/>
        <v>Sep</v>
      </c>
      <c r="Q4406" s="23" t="str">
        <f>IF(F4406="CAPTURE",IF(COUNTIF(orders!$A:$A,O4406)&gt;0,"Yes","NO ORDER"),"")</f>
        <v>Yes</v>
      </c>
    </row>
    <row r="4407" spans="1:17" ht="15" customHeight="1" x14ac:dyDescent="0.3">
      <c r="A4407" s="23" t="s">
        <v>17497</v>
      </c>
      <c r="B4407" s="23"/>
      <c r="C4407" s="23" t="s">
        <v>5443</v>
      </c>
      <c r="D4407" s="23" t="str">
        <f t="shared" si="204"/>
        <v>ORD26002477</v>
      </c>
      <c r="E4407" s="38">
        <v>46289</v>
      </c>
      <c r="F4407" s="23" t="s">
        <v>12410</v>
      </c>
      <c r="G4407" s="23" t="s">
        <v>77</v>
      </c>
      <c r="H4407" s="24">
        <v>999</v>
      </c>
      <c r="I4407" s="24">
        <v>18.98</v>
      </c>
      <c r="J4407" s="24">
        <v>3.42</v>
      </c>
      <c r="K4407" s="24">
        <v>976.6</v>
      </c>
      <c r="L4407" s="38">
        <v>46291</v>
      </c>
      <c r="M4407" s="23" t="s">
        <v>224</v>
      </c>
      <c r="N4407" s="23" t="str">
        <f>IF(COUNTIF($A$2:A4407,A4407)&gt;1,"DUP","OK")</f>
        <v>OK</v>
      </c>
      <c r="O4407" s="23" t="str">
        <f t="shared" si="205"/>
        <v>ORD26002477</v>
      </c>
      <c r="P4407" s="23" t="str">
        <f t="shared" si="206"/>
        <v>Sep</v>
      </c>
      <c r="Q4407" s="23" t="str">
        <f>IF(F4407="CAPTURE",IF(COUNTIF(orders!$A:$A,O4407)&gt;0,"Yes","NO ORDER"),"")</f>
        <v>Yes</v>
      </c>
    </row>
    <row r="4408" spans="1:17" ht="15" customHeight="1" x14ac:dyDescent="0.3">
      <c r="A4408" s="23" t="s">
        <v>17498</v>
      </c>
      <c r="B4408" s="23"/>
      <c r="C4408" s="23" t="s">
        <v>5445</v>
      </c>
      <c r="D4408" s="23" t="str">
        <f t="shared" si="204"/>
        <v>ORD26002478</v>
      </c>
      <c r="E4408" s="38">
        <v>46289</v>
      </c>
      <c r="F4408" s="23" t="s">
        <v>12410</v>
      </c>
      <c r="G4408" s="23" t="s">
        <v>75</v>
      </c>
      <c r="H4408" s="24">
        <v>3348</v>
      </c>
      <c r="I4408" s="24">
        <v>10.039999999999999</v>
      </c>
      <c r="J4408" s="24">
        <v>1.81</v>
      </c>
      <c r="K4408" s="24">
        <v>3336.15</v>
      </c>
      <c r="L4408" s="38">
        <v>46291</v>
      </c>
      <c r="M4408" s="23" t="s">
        <v>224</v>
      </c>
      <c r="N4408" s="23" t="str">
        <f>IF(COUNTIF($A$2:A4408,A4408)&gt;1,"DUP","OK")</f>
        <v>OK</v>
      </c>
      <c r="O4408" s="23" t="str">
        <f t="shared" si="205"/>
        <v>ORD26002478</v>
      </c>
      <c r="P4408" s="23" t="str">
        <f t="shared" si="206"/>
        <v>Sep</v>
      </c>
      <c r="Q4408" s="23" t="str">
        <f>IF(F4408="CAPTURE",IF(COUNTIF(orders!$A:$A,O4408)&gt;0,"Yes","NO ORDER"),"")</f>
        <v>Yes</v>
      </c>
    </row>
    <row r="4409" spans="1:17" ht="15" customHeight="1" x14ac:dyDescent="0.3">
      <c r="A4409" s="23" t="s">
        <v>17499</v>
      </c>
      <c r="B4409" s="23"/>
      <c r="C4409" s="23" t="s">
        <v>5455</v>
      </c>
      <c r="D4409" s="23" t="str">
        <f t="shared" si="204"/>
        <v>ORD26002483</v>
      </c>
      <c r="E4409" s="38">
        <v>46289</v>
      </c>
      <c r="F4409" s="23" t="s">
        <v>12410</v>
      </c>
      <c r="G4409" s="23" t="s">
        <v>79</v>
      </c>
      <c r="H4409" s="24">
        <v>2499</v>
      </c>
      <c r="I4409" s="24">
        <v>39.979999999999997</v>
      </c>
      <c r="J4409" s="24">
        <v>7.2</v>
      </c>
      <c r="K4409" s="24">
        <v>2451.8200000000002</v>
      </c>
      <c r="L4409" s="38">
        <v>46291</v>
      </c>
      <c r="M4409" s="23" t="s">
        <v>224</v>
      </c>
      <c r="N4409" s="23" t="str">
        <f>IF(COUNTIF($A$2:A4409,A4409)&gt;1,"DUP","OK")</f>
        <v>OK</v>
      </c>
      <c r="O4409" s="23" t="str">
        <f t="shared" si="205"/>
        <v>ORD26002483</v>
      </c>
      <c r="P4409" s="23" t="str">
        <f t="shared" si="206"/>
        <v>Sep</v>
      </c>
      <c r="Q4409" s="23" t="str">
        <f>IF(F4409="CAPTURE",IF(COUNTIF(orders!$A:$A,O4409)&gt;0,"Yes","NO ORDER"),"")</f>
        <v>Yes</v>
      </c>
    </row>
    <row r="4410" spans="1:17" ht="15" customHeight="1" x14ac:dyDescent="0.3">
      <c r="A4410" s="23" t="s">
        <v>17500</v>
      </c>
      <c r="B4410" s="23"/>
      <c r="C4410" s="23" t="s">
        <v>5501</v>
      </c>
      <c r="D4410" s="23" t="str">
        <f t="shared" si="204"/>
        <v>ORD26002506</v>
      </c>
      <c r="E4410" s="38">
        <v>46289</v>
      </c>
      <c r="F4410" s="23" t="s">
        <v>12410</v>
      </c>
      <c r="G4410" s="23" t="s">
        <v>75</v>
      </c>
      <c r="H4410" s="24">
        <v>2999</v>
      </c>
      <c r="I4410" s="24">
        <v>9</v>
      </c>
      <c r="J4410" s="24">
        <v>1.62</v>
      </c>
      <c r="K4410" s="24">
        <v>2988.38</v>
      </c>
      <c r="L4410" s="38">
        <v>46291</v>
      </c>
      <c r="M4410" s="23" t="s">
        <v>224</v>
      </c>
      <c r="N4410" s="23" t="str">
        <f>IF(COUNTIF($A$2:A4410,A4410)&gt;1,"DUP","OK")</f>
        <v>OK</v>
      </c>
      <c r="O4410" s="23" t="str">
        <f t="shared" si="205"/>
        <v>ORD26002506</v>
      </c>
      <c r="P4410" s="23" t="str">
        <f t="shared" si="206"/>
        <v>Sep</v>
      </c>
      <c r="Q4410" s="23" t="str">
        <f>IF(F4410="CAPTURE",IF(COUNTIF(orders!$A:$A,O4410)&gt;0,"Yes","NO ORDER"),"")</f>
        <v>Yes</v>
      </c>
    </row>
    <row r="4411" spans="1:17" ht="15" customHeight="1" x14ac:dyDescent="0.3">
      <c r="A4411" s="23" t="s">
        <v>17501</v>
      </c>
      <c r="B4411" s="23"/>
      <c r="C4411" s="23" t="s">
        <v>5503</v>
      </c>
      <c r="D4411" s="23" t="str">
        <f t="shared" si="204"/>
        <v>ORD26002507</v>
      </c>
      <c r="E4411" s="38">
        <v>46289</v>
      </c>
      <c r="F4411" s="23" t="s">
        <v>12410</v>
      </c>
      <c r="G4411" s="23" t="s">
        <v>75</v>
      </c>
      <c r="H4411" s="24">
        <v>3697</v>
      </c>
      <c r="I4411" s="24">
        <v>11.09</v>
      </c>
      <c r="J4411" s="24">
        <v>2</v>
      </c>
      <c r="K4411" s="24">
        <v>3683.91</v>
      </c>
      <c r="L4411" s="38">
        <v>46291</v>
      </c>
      <c r="M4411" s="23" t="s">
        <v>224</v>
      </c>
      <c r="N4411" s="23" t="str">
        <f>IF(COUNTIF($A$2:A4411,A4411)&gt;1,"DUP","OK")</f>
        <v>OK</v>
      </c>
      <c r="O4411" s="23" t="str">
        <f t="shared" si="205"/>
        <v>ORD26002507</v>
      </c>
      <c r="P4411" s="23" t="str">
        <f t="shared" si="206"/>
        <v>Sep</v>
      </c>
      <c r="Q4411" s="23" t="str">
        <f>IF(F4411="CAPTURE",IF(COUNTIF(orders!$A:$A,O4411)&gt;0,"Yes","NO ORDER"),"")</f>
        <v>Yes</v>
      </c>
    </row>
    <row r="4412" spans="1:17" ht="15" customHeight="1" x14ac:dyDescent="0.3">
      <c r="A4412" s="23" t="s">
        <v>17502</v>
      </c>
      <c r="B4412" s="23"/>
      <c r="C4412" s="23" t="s">
        <v>5661</v>
      </c>
      <c r="D4412" s="23" t="str">
        <f t="shared" si="204"/>
        <v>ORD26002584</v>
      </c>
      <c r="E4412" s="38">
        <v>46289</v>
      </c>
      <c r="F4412" s="23" t="s">
        <v>12410</v>
      </c>
      <c r="G4412" s="23" t="s">
        <v>75</v>
      </c>
      <c r="H4412" s="24">
        <v>5498</v>
      </c>
      <c r="I4412" s="24">
        <v>16.489999999999998</v>
      </c>
      <c r="J4412" s="24">
        <v>2.97</v>
      </c>
      <c r="K4412" s="24">
        <v>5478.54</v>
      </c>
      <c r="L4412" s="38">
        <v>46291</v>
      </c>
      <c r="M4412" s="23" t="s">
        <v>224</v>
      </c>
      <c r="N4412" s="23" t="str">
        <f>IF(COUNTIF($A$2:A4412,A4412)&gt;1,"DUP","OK")</f>
        <v>OK</v>
      </c>
      <c r="O4412" s="23" t="str">
        <f t="shared" si="205"/>
        <v>ORD26002584</v>
      </c>
      <c r="P4412" s="23" t="str">
        <f t="shared" si="206"/>
        <v>Sep</v>
      </c>
      <c r="Q4412" s="23" t="str">
        <f>IF(F4412="CAPTURE",IF(COUNTIF(orders!$A:$A,O4412)&gt;0,"Yes","NO ORDER"),"")</f>
        <v>Yes</v>
      </c>
    </row>
    <row r="4413" spans="1:17" ht="15" customHeight="1" x14ac:dyDescent="0.3">
      <c r="A4413" s="23" t="s">
        <v>17503</v>
      </c>
      <c r="B4413" s="23"/>
      <c r="C4413" s="23" t="s">
        <v>17504</v>
      </c>
      <c r="D4413" s="23" t="str">
        <f t="shared" si="204"/>
        <v>ORD26002621</v>
      </c>
      <c r="E4413" s="38">
        <v>46289</v>
      </c>
      <c r="F4413" s="23" t="s">
        <v>12410</v>
      </c>
      <c r="G4413" s="23" t="s">
        <v>77</v>
      </c>
      <c r="H4413" s="24">
        <v>349</v>
      </c>
      <c r="I4413" s="24">
        <v>6.63</v>
      </c>
      <c r="J4413" s="24">
        <v>1.19</v>
      </c>
      <c r="K4413" s="24">
        <v>341.18</v>
      </c>
      <c r="L4413" s="38">
        <v>46291</v>
      </c>
      <c r="M4413" s="23" t="s">
        <v>224</v>
      </c>
      <c r="N4413" s="23" t="str">
        <f>IF(COUNTIF($A$2:A4413,A4413)&gt;1,"DUP","OK")</f>
        <v>OK</v>
      </c>
      <c r="O4413" s="23" t="str">
        <f t="shared" si="205"/>
        <v>ORD26002621</v>
      </c>
      <c r="P4413" s="23" t="str">
        <f t="shared" si="206"/>
        <v>Sep</v>
      </c>
      <c r="Q4413" s="23" t="str">
        <f>IF(F4413="CAPTURE",IF(COUNTIF(orders!$A:$A,O4413)&gt;0,"Yes","NO ORDER"),"")</f>
        <v>Yes</v>
      </c>
    </row>
    <row r="4414" spans="1:17" ht="15" customHeight="1" x14ac:dyDescent="0.3">
      <c r="A4414" s="23" t="s">
        <v>17505</v>
      </c>
      <c r="B4414" s="23"/>
      <c r="C4414" s="23" t="s">
        <v>5806</v>
      </c>
      <c r="D4414" s="23" t="str">
        <f t="shared" si="204"/>
        <v>ORD26002655</v>
      </c>
      <c r="E4414" s="38">
        <v>46289</v>
      </c>
      <c r="F4414" s="23" t="s">
        <v>12410</v>
      </c>
      <c r="G4414" s="23" t="s">
        <v>75</v>
      </c>
      <c r="H4414" s="24">
        <v>12998</v>
      </c>
      <c r="I4414" s="24">
        <v>38.99</v>
      </c>
      <c r="J4414" s="24">
        <v>7.02</v>
      </c>
      <c r="K4414" s="24">
        <v>12951.99</v>
      </c>
      <c r="L4414" s="38">
        <v>46291</v>
      </c>
      <c r="M4414" s="23" t="s">
        <v>224</v>
      </c>
      <c r="N4414" s="23" t="str">
        <f>IF(COUNTIF($A$2:A4414,A4414)&gt;1,"DUP","OK")</f>
        <v>OK</v>
      </c>
      <c r="O4414" s="23" t="str">
        <f t="shared" si="205"/>
        <v>ORD26002655</v>
      </c>
      <c r="P4414" s="23" t="str">
        <f t="shared" si="206"/>
        <v>Sep</v>
      </c>
      <c r="Q4414" s="23" t="str">
        <f>IF(F4414="CAPTURE",IF(COUNTIF(orders!$A:$A,O4414)&gt;0,"Yes","NO ORDER"),"")</f>
        <v>Yes</v>
      </c>
    </row>
    <row r="4415" spans="1:17" ht="15" customHeight="1" x14ac:dyDescent="0.3">
      <c r="A4415" s="23" t="s">
        <v>17506</v>
      </c>
      <c r="B4415" s="23"/>
      <c r="C4415" s="23" t="s">
        <v>5816</v>
      </c>
      <c r="D4415" s="23" t="str">
        <f t="shared" si="204"/>
        <v>ORD26002660</v>
      </c>
      <c r="E4415" s="38">
        <v>46289</v>
      </c>
      <c r="F4415" s="23" t="s">
        <v>12410</v>
      </c>
      <c r="G4415" s="23" t="s">
        <v>77</v>
      </c>
      <c r="H4415" s="24">
        <v>599</v>
      </c>
      <c r="I4415" s="24">
        <v>11.38</v>
      </c>
      <c r="J4415" s="24">
        <v>2.0499999999999998</v>
      </c>
      <c r="K4415" s="24">
        <v>585.57000000000005</v>
      </c>
      <c r="L4415" s="38">
        <v>46291</v>
      </c>
      <c r="M4415" s="23" t="s">
        <v>224</v>
      </c>
      <c r="N4415" s="23" t="str">
        <f>IF(COUNTIF($A$2:A4415,A4415)&gt;1,"DUP","OK")</f>
        <v>OK</v>
      </c>
      <c r="O4415" s="23" t="str">
        <f t="shared" si="205"/>
        <v>ORD26002660</v>
      </c>
      <c r="P4415" s="23" t="str">
        <f t="shared" si="206"/>
        <v>Sep</v>
      </c>
      <c r="Q4415" s="23" t="str">
        <f>IF(F4415="CAPTURE",IF(COUNTIF(orders!$A:$A,O4415)&gt;0,"Yes","NO ORDER"),"")</f>
        <v>Yes</v>
      </c>
    </row>
    <row r="4416" spans="1:17" ht="15" customHeight="1" x14ac:dyDescent="0.3">
      <c r="A4416" s="23" t="s">
        <v>17507</v>
      </c>
      <c r="B4416" s="23"/>
      <c r="C4416" s="23" t="s">
        <v>5834</v>
      </c>
      <c r="D4416" s="23" t="str">
        <f t="shared" si="204"/>
        <v>ORD26002669</v>
      </c>
      <c r="E4416" s="38">
        <v>46289</v>
      </c>
      <c r="F4416" s="23" t="s">
        <v>12410</v>
      </c>
      <c r="G4416" s="23" t="s">
        <v>75</v>
      </c>
      <c r="H4416" s="24">
        <v>4798</v>
      </c>
      <c r="I4416" s="24">
        <v>14.39</v>
      </c>
      <c r="J4416" s="24">
        <v>2.59</v>
      </c>
      <c r="K4416" s="24">
        <v>4781.0200000000004</v>
      </c>
      <c r="L4416" s="38">
        <v>46291</v>
      </c>
      <c r="M4416" s="23" t="s">
        <v>224</v>
      </c>
      <c r="N4416" s="23" t="str">
        <f>IF(COUNTIF($A$2:A4416,A4416)&gt;1,"DUP","OK")</f>
        <v>OK</v>
      </c>
      <c r="O4416" s="23" t="str">
        <f t="shared" si="205"/>
        <v>ORD26002669</v>
      </c>
      <c r="P4416" s="23" t="str">
        <f t="shared" si="206"/>
        <v>Sep</v>
      </c>
      <c r="Q4416" s="23" t="str">
        <f>IF(F4416="CAPTURE",IF(COUNTIF(orders!$A:$A,O4416)&gt;0,"Yes","NO ORDER"),"")</f>
        <v>Yes</v>
      </c>
    </row>
    <row r="4417" spans="1:17" ht="15" customHeight="1" x14ac:dyDescent="0.3">
      <c r="A4417" s="23" t="s">
        <v>17508</v>
      </c>
      <c r="B4417" s="23"/>
      <c r="C4417" s="23" t="s">
        <v>5880</v>
      </c>
      <c r="D4417" s="23" t="str">
        <f t="shared" si="204"/>
        <v>ORD26002692</v>
      </c>
      <c r="E4417" s="38">
        <v>46289</v>
      </c>
      <c r="F4417" s="23" t="s">
        <v>12410</v>
      </c>
      <c r="G4417" s="23" t="s">
        <v>75</v>
      </c>
      <c r="H4417" s="24">
        <v>5997</v>
      </c>
      <c r="I4417" s="24">
        <v>17.989999999999998</v>
      </c>
      <c r="J4417" s="24">
        <v>3.24</v>
      </c>
      <c r="K4417" s="24">
        <v>5975.77</v>
      </c>
      <c r="L4417" s="38">
        <v>46291</v>
      </c>
      <c r="M4417" s="23" t="s">
        <v>224</v>
      </c>
      <c r="N4417" s="23" t="str">
        <f>IF(COUNTIF($A$2:A4417,A4417)&gt;1,"DUP","OK")</f>
        <v>OK</v>
      </c>
      <c r="O4417" s="23" t="str">
        <f t="shared" si="205"/>
        <v>ORD26002692</v>
      </c>
      <c r="P4417" s="23" t="str">
        <f t="shared" si="206"/>
        <v>Sep</v>
      </c>
      <c r="Q4417" s="23" t="str">
        <f>IF(F4417="CAPTURE",IF(COUNTIF(orders!$A:$A,O4417)&gt;0,"Yes","NO ORDER"),"")</f>
        <v>Yes</v>
      </c>
    </row>
    <row r="4418" spans="1:17" ht="15" customHeight="1" x14ac:dyDescent="0.3">
      <c r="A4418" s="23" t="s">
        <v>17509</v>
      </c>
      <c r="B4418" s="23"/>
      <c r="C4418" s="23" t="s">
        <v>5890</v>
      </c>
      <c r="D4418" s="23" t="str">
        <f t="shared" ref="D4418:D4481" si="207">UPPER(SUBSTITUTE(TRIM(C4418),"-",""))</f>
        <v>ORD26002697</v>
      </c>
      <c r="E4418" s="38">
        <v>46289</v>
      </c>
      <c r="F4418" s="23" t="s">
        <v>12410</v>
      </c>
      <c r="G4418" s="23" t="s">
        <v>75</v>
      </c>
      <c r="H4418" s="24">
        <v>3998</v>
      </c>
      <c r="I4418" s="24">
        <v>11.99</v>
      </c>
      <c r="J4418" s="24">
        <v>2.16</v>
      </c>
      <c r="K4418" s="24">
        <v>3983.85</v>
      </c>
      <c r="L4418" s="38">
        <v>46291</v>
      </c>
      <c r="M4418" s="23" t="s">
        <v>224</v>
      </c>
      <c r="N4418" s="23" t="str">
        <f>IF(COUNTIF($A$2:A4418,A4418)&gt;1,"DUP","OK")</f>
        <v>OK</v>
      </c>
      <c r="O4418" s="23" t="str">
        <f t="shared" ref="O4418:O4481" si="208">IF(F4418="REFUND",INDEX($D:$D,MATCH(B4418,$A:$A,0)),D4418)</f>
        <v>ORD26002697</v>
      </c>
      <c r="P4418" s="23" t="str">
        <f t="shared" ref="P4418:P4481" si="209">IF(L4418&gt;DATE(2026,9,30),"Oct-Due","Sep")</f>
        <v>Sep</v>
      </c>
      <c r="Q4418" s="23" t="str">
        <f>IF(F4418="CAPTURE",IF(COUNTIF(orders!$A:$A,O4418)&gt;0,"Yes","NO ORDER"),"")</f>
        <v>Yes</v>
      </c>
    </row>
    <row r="4419" spans="1:17" ht="15" customHeight="1" x14ac:dyDescent="0.3">
      <c r="A4419" s="23" t="s">
        <v>17510</v>
      </c>
      <c r="B4419" s="23"/>
      <c r="C4419" s="23" t="s">
        <v>5898</v>
      </c>
      <c r="D4419" s="23" t="str">
        <f t="shared" si="207"/>
        <v>ORD26002701</v>
      </c>
      <c r="E4419" s="38">
        <v>46289</v>
      </c>
      <c r="F4419" s="23" t="s">
        <v>12410</v>
      </c>
      <c r="G4419" s="23" t="s">
        <v>81</v>
      </c>
      <c r="H4419" s="24">
        <v>8798</v>
      </c>
      <c r="I4419" s="24">
        <v>105.58</v>
      </c>
      <c r="J4419" s="24">
        <v>19</v>
      </c>
      <c r="K4419" s="24">
        <v>8673.42</v>
      </c>
      <c r="L4419" s="38">
        <v>46291</v>
      </c>
      <c r="M4419" s="23" t="s">
        <v>224</v>
      </c>
      <c r="N4419" s="23" t="str">
        <f>IF(COUNTIF($A$2:A4419,A4419)&gt;1,"DUP","OK")</f>
        <v>OK</v>
      </c>
      <c r="O4419" s="23" t="str">
        <f t="shared" si="208"/>
        <v>ORD26002701</v>
      </c>
      <c r="P4419" s="23" t="str">
        <f t="shared" si="209"/>
        <v>Sep</v>
      </c>
      <c r="Q4419" s="23" t="str">
        <f>IF(F4419="CAPTURE",IF(COUNTIF(orders!$A:$A,O4419)&gt;0,"Yes","NO ORDER"),"")</f>
        <v>Yes</v>
      </c>
    </row>
    <row r="4420" spans="1:17" ht="15" customHeight="1" x14ac:dyDescent="0.3">
      <c r="A4420" s="23" t="s">
        <v>17511</v>
      </c>
      <c r="B4420" s="23"/>
      <c r="C4420" s="23" t="s">
        <v>5932</v>
      </c>
      <c r="D4420" s="23" t="str">
        <f t="shared" si="207"/>
        <v>ORD26002718</v>
      </c>
      <c r="E4420" s="38">
        <v>46289</v>
      </c>
      <c r="F4420" s="23" t="s">
        <v>12410</v>
      </c>
      <c r="G4420" s="23" t="s">
        <v>75</v>
      </c>
      <c r="H4420" s="24">
        <v>4999</v>
      </c>
      <c r="I4420" s="24">
        <v>15</v>
      </c>
      <c r="J4420" s="24">
        <v>2.7</v>
      </c>
      <c r="K4420" s="24">
        <v>4981.3</v>
      </c>
      <c r="L4420" s="38">
        <v>46291</v>
      </c>
      <c r="M4420" s="23" t="s">
        <v>224</v>
      </c>
      <c r="N4420" s="23" t="str">
        <f>IF(COUNTIF($A$2:A4420,A4420)&gt;1,"DUP","OK")</f>
        <v>OK</v>
      </c>
      <c r="O4420" s="23" t="str">
        <f t="shared" si="208"/>
        <v>ORD26002718</v>
      </c>
      <c r="P4420" s="23" t="str">
        <f t="shared" si="209"/>
        <v>Sep</v>
      </c>
      <c r="Q4420" s="23" t="str">
        <f>IF(F4420="CAPTURE",IF(COUNTIF(orders!$A:$A,O4420)&gt;0,"Yes","NO ORDER"),"")</f>
        <v>Yes</v>
      </c>
    </row>
    <row r="4421" spans="1:17" ht="15" customHeight="1" x14ac:dyDescent="0.3">
      <c r="A4421" s="23" t="s">
        <v>17512</v>
      </c>
      <c r="B4421" s="23"/>
      <c r="C4421" s="23" t="s">
        <v>5991</v>
      </c>
      <c r="D4421" s="23" t="str">
        <f t="shared" si="207"/>
        <v>ORD26002747</v>
      </c>
      <c r="E4421" s="38">
        <v>46289</v>
      </c>
      <c r="F4421" s="23" t="s">
        <v>12410</v>
      </c>
      <c r="G4421" s="23" t="s">
        <v>79</v>
      </c>
      <c r="H4421" s="24">
        <v>848</v>
      </c>
      <c r="I4421" s="24">
        <v>15.26</v>
      </c>
      <c r="J4421" s="24">
        <v>2.75</v>
      </c>
      <c r="K4421" s="24">
        <v>829.99</v>
      </c>
      <c r="L4421" s="38">
        <v>46291</v>
      </c>
      <c r="M4421" s="23" t="s">
        <v>224</v>
      </c>
      <c r="N4421" s="23" t="str">
        <f>IF(COUNTIF($A$2:A4421,A4421)&gt;1,"DUP","OK")</f>
        <v>OK</v>
      </c>
      <c r="O4421" s="23" t="str">
        <f t="shared" si="208"/>
        <v>ORD26002747</v>
      </c>
      <c r="P4421" s="23" t="str">
        <f t="shared" si="209"/>
        <v>Sep</v>
      </c>
      <c r="Q4421" s="23" t="str">
        <f>IF(F4421="CAPTURE",IF(COUNTIF(orders!$A:$A,O4421)&gt;0,"Yes","NO ORDER"),"")</f>
        <v>Yes</v>
      </c>
    </row>
    <row r="4422" spans="1:17" ht="15" customHeight="1" x14ac:dyDescent="0.3">
      <c r="A4422" s="23" t="s">
        <v>17513</v>
      </c>
      <c r="B4422" s="23"/>
      <c r="C4422" s="23" t="s">
        <v>5999</v>
      </c>
      <c r="D4422" s="23" t="str">
        <f t="shared" si="207"/>
        <v>ORD26002751</v>
      </c>
      <c r="E4422" s="38">
        <v>46289</v>
      </c>
      <c r="F4422" s="23" t="s">
        <v>12410</v>
      </c>
      <c r="G4422" s="23" t="s">
        <v>75</v>
      </c>
      <c r="H4422" s="24">
        <v>2597</v>
      </c>
      <c r="I4422" s="24">
        <v>7.79</v>
      </c>
      <c r="J4422" s="24">
        <v>1.4</v>
      </c>
      <c r="K4422" s="24">
        <v>2587.81</v>
      </c>
      <c r="L4422" s="38">
        <v>46291</v>
      </c>
      <c r="M4422" s="23" t="s">
        <v>224</v>
      </c>
      <c r="N4422" s="23" t="str">
        <f>IF(COUNTIF($A$2:A4422,A4422)&gt;1,"DUP","OK")</f>
        <v>OK</v>
      </c>
      <c r="O4422" s="23" t="str">
        <f t="shared" si="208"/>
        <v>ORD26002751</v>
      </c>
      <c r="P4422" s="23" t="str">
        <f t="shared" si="209"/>
        <v>Sep</v>
      </c>
      <c r="Q4422" s="23" t="str">
        <f>IF(F4422="CAPTURE",IF(COUNTIF(orders!$A:$A,O4422)&gt;0,"Yes","NO ORDER"),"")</f>
        <v>Yes</v>
      </c>
    </row>
    <row r="4423" spans="1:17" ht="15" customHeight="1" x14ac:dyDescent="0.3">
      <c r="A4423" s="23" t="s">
        <v>17514</v>
      </c>
      <c r="B4423" s="23"/>
      <c r="C4423" s="23" t="s">
        <v>6044</v>
      </c>
      <c r="D4423" s="23" t="str">
        <f t="shared" si="207"/>
        <v>ORD26002773</v>
      </c>
      <c r="E4423" s="38">
        <v>46289</v>
      </c>
      <c r="F4423" s="23" t="s">
        <v>12410</v>
      </c>
      <c r="G4423" s="23" t="s">
        <v>75</v>
      </c>
      <c r="H4423" s="24">
        <v>1499</v>
      </c>
      <c r="I4423" s="24">
        <v>0</v>
      </c>
      <c r="J4423" s="24">
        <v>0</v>
      </c>
      <c r="K4423" s="24">
        <v>1499</v>
      </c>
      <c r="L4423" s="38">
        <v>46291</v>
      </c>
      <c r="M4423" s="23" t="s">
        <v>224</v>
      </c>
      <c r="N4423" s="23" t="str">
        <f>IF(COUNTIF($A$2:A4423,A4423)&gt;1,"DUP","OK")</f>
        <v>OK</v>
      </c>
      <c r="O4423" s="23" t="str">
        <f t="shared" si="208"/>
        <v>ORD26002773</v>
      </c>
      <c r="P4423" s="23" t="str">
        <f t="shared" si="209"/>
        <v>Sep</v>
      </c>
      <c r="Q4423" s="23" t="str">
        <f>IF(F4423="CAPTURE",IF(COUNTIF(orders!$A:$A,O4423)&gt;0,"Yes","NO ORDER"),"")</f>
        <v>Yes</v>
      </c>
    </row>
    <row r="4424" spans="1:17" ht="15" customHeight="1" x14ac:dyDescent="0.3">
      <c r="A4424" s="23" t="s">
        <v>17515</v>
      </c>
      <c r="B4424" s="23"/>
      <c r="C4424" s="23" t="s">
        <v>6098</v>
      </c>
      <c r="D4424" s="23" t="str">
        <f t="shared" si="207"/>
        <v>ORD26002800</v>
      </c>
      <c r="E4424" s="38">
        <v>46289</v>
      </c>
      <c r="F4424" s="23" t="s">
        <v>12410</v>
      </c>
      <c r="G4424" s="23" t="s">
        <v>75</v>
      </c>
      <c r="H4424" s="24">
        <v>1499</v>
      </c>
      <c r="I4424" s="24">
        <v>0</v>
      </c>
      <c r="J4424" s="24">
        <v>0</v>
      </c>
      <c r="K4424" s="24">
        <v>1499</v>
      </c>
      <c r="L4424" s="38">
        <v>46291</v>
      </c>
      <c r="M4424" s="23" t="s">
        <v>224</v>
      </c>
      <c r="N4424" s="23" t="str">
        <f>IF(COUNTIF($A$2:A4424,A4424)&gt;1,"DUP","OK")</f>
        <v>OK</v>
      </c>
      <c r="O4424" s="23" t="str">
        <f t="shared" si="208"/>
        <v>ORD26002800</v>
      </c>
      <c r="P4424" s="23" t="str">
        <f t="shared" si="209"/>
        <v>Sep</v>
      </c>
      <c r="Q4424" s="23" t="str">
        <f>IF(F4424="CAPTURE",IF(COUNTIF(orders!$A:$A,O4424)&gt;0,"Yes","NO ORDER"),"")</f>
        <v>Yes</v>
      </c>
    </row>
    <row r="4425" spans="1:17" ht="15" customHeight="1" x14ac:dyDescent="0.3">
      <c r="A4425" s="23" t="s">
        <v>17516</v>
      </c>
      <c r="B4425" s="23"/>
      <c r="C4425" s="23" t="s">
        <v>6154</v>
      </c>
      <c r="D4425" s="23" t="str">
        <f t="shared" si="207"/>
        <v>ORD26002828</v>
      </c>
      <c r="E4425" s="38">
        <v>46289</v>
      </c>
      <c r="F4425" s="23" t="s">
        <v>12410</v>
      </c>
      <c r="G4425" s="23" t="s">
        <v>75</v>
      </c>
      <c r="H4425" s="24">
        <v>4798</v>
      </c>
      <c r="I4425" s="24">
        <v>14.39</v>
      </c>
      <c r="J4425" s="24">
        <v>2.59</v>
      </c>
      <c r="K4425" s="24">
        <v>4781.0200000000004</v>
      </c>
      <c r="L4425" s="38">
        <v>46291</v>
      </c>
      <c r="M4425" s="23" t="s">
        <v>224</v>
      </c>
      <c r="N4425" s="23" t="str">
        <f>IF(COUNTIF($A$2:A4425,A4425)&gt;1,"DUP","OK")</f>
        <v>OK</v>
      </c>
      <c r="O4425" s="23" t="str">
        <f t="shared" si="208"/>
        <v>ORD26002828</v>
      </c>
      <c r="P4425" s="23" t="str">
        <f t="shared" si="209"/>
        <v>Sep</v>
      </c>
      <c r="Q4425" s="23" t="str">
        <f>IF(F4425="CAPTURE",IF(COUNTIF(orders!$A:$A,O4425)&gt;0,"Yes","NO ORDER"),"")</f>
        <v>Yes</v>
      </c>
    </row>
    <row r="4426" spans="1:17" ht="15" customHeight="1" x14ac:dyDescent="0.3">
      <c r="A4426" s="23" t="s">
        <v>17517</v>
      </c>
      <c r="B4426" s="23"/>
      <c r="C4426" s="23" t="s">
        <v>6267</v>
      </c>
      <c r="D4426" s="23" t="str">
        <f t="shared" si="207"/>
        <v>ORD26002886</v>
      </c>
      <c r="E4426" s="38">
        <v>46289</v>
      </c>
      <c r="F4426" s="23" t="s">
        <v>12410</v>
      </c>
      <c r="G4426" s="23" t="s">
        <v>75</v>
      </c>
      <c r="H4426" s="24">
        <v>2298</v>
      </c>
      <c r="I4426" s="24">
        <v>6.89</v>
      </c>
      <c r="J4426" s="24">
        <v>1.24</v>
      </c>
      <c r="K4426" s="24">
        <v>2289.87</v>
      </c>
      <c r="L4426" s="38">
        <v>46291</v>
      </c>
      <c r="M4426" s="23" t="s">
        <v>224</v>
      </c>
      <c r="N4426" s="23" t="str">
        <f>IF(COUNTIF($A$2:A4426,A4426)&gt;1,"DUP","OK")</f>
        <v>OK</v>
      </c>
      <c r="O4426" s="23" t="str">
        <f t="shared" si="208"/>
        <v>ORD26002886</v>
      </c>
      <c r="P4426" s="23" t="str">
        <f t="shared" si="209"/>
        <v>Sep</v>
      </c>
      <c r="Q4426" s="23" t="str">
        <f>IF(F4426="CAPTURE",IF(COUNTIF(orders!$A:$A,O4426)&gt;0,"Yes","NO ORDER"),"")</f>
        <v>Yes</v>
      </c>
    </row>
    <row r="4427" spans="1:17" ht="15" customHeight="1" x14ac:dyDescent="0.3">
      <c r="A4427" s="23" t="s">
        <v>17518</v>
      </c>
      <c r="B4427" s="23"/>
      <c r="C4427" s="23" t="s">
        <v>6284</v>
      </c>
      <c r="D4427" s="23" t="str">
        <f t="shared" si="207"/>
        <v>ORD26002895</v>
      </c>
      <c r="E4427" s="38">
        <v>46289</v>
      </c>
      <c r="F4427" s="23" t="s">
        <v>12410</v>
      </c>
      <c r="G4427" s="23" t="s">
        <v>77</v>
      </c>
      <c r="H4427" s="24">
        <v>7999</v>
      </c>
      <c r="I4427" s="24">
        <v>135.97999999999999</v>
      </c>
      <c r="J4427" s="24">
        <v>24.48</v>
      </c>
      <c r="K4427" s="24">
        <v>7838.54</v>
      </c>
      <c r="L4427" s="38">
        <v>46291</v>
      </c>
      <c r="M4427" s="23" t="s">
        <v>224</v>
      </c>
      <c r="N4427" s="23" t="str">
        <f>IF(COUNTIF($A$2:A4427,A4427)&gt;1,"DUP","OK")</f>
        <v>OK</v>
      </c>
      <c r="O4427" s="23" t="str">
        <f t="shared" si="208"/>
        <v>ORD26002895</v>
      </c>
      <c r="P4427" s="23" t="str">
        <f t="shared" si="209"/>
        <v>Sep</v>
      </c>
      <c r="Q4427" s="23" t="str">
        <f>IF(F4427="CAPTURE",IF(COUNTIF(orders!$A:$A,O4427)&gt;0,"Yes","NO ORDER"),"")</f>
        <v>Yes</v>
      </c>
    </row>
    <row r="4428" spans="1:17" ht="15" customHeight="1" x14ac:dyDescent="0.3">
      <c r="A4428" s="23" t="s">
        <v>17519</v>
      </c>
      <c r="B4428" s="23"/>
      <c r="C4428" s="23" t="s">
        <v>6300</v>
      </c>
      <c r="D4428" s="23" t="str">
        <f t="shared" si="207"/>
        <v>ORD26002903</v>
      </c>
      <c r="E4428" s="38">
        <v>46289</v>
      </c>
      <c r="F4428" s="23" t="s">
        <v>12410</v>
      </c>
      <c r="G4428" s="23" t="s">
        <v>79</v>
      </c>
      <c r="H4428" s="24">
        <v>9798</v>
      </c>
      <c r="I4428" s="24">
        <v>156.77000000000001</v>
      </c>
      <c r="J4428" s="24">
        <v>28.22</v>
      </c>
      <c r="K4428" s="24">
        <v>9613.01</v>
      </c>
      <c r="L4428" s="38">
        <v>46291</v>
      </c>
      <c r="M4428" s="23" t="s">
        <v>224</v>
      </c>
      <c r="N4428" s="23" t="str">
        <f>IF(COUNTIF($A$2:A4428,A4428)&gt;1,"DUP","OK")</f>
        <v>OK</v>
      </c>
      <c r="O4428" s="23" t="str">
        <f t="shared" si="208"/>
        <v>ORD26002903</v>
      </c>
      <c r="P4428" s="23" t="str">
        <f t="shared" si="209"/>
        <v>Sep</v>
      </c>
      <c r="Q4428" s="23" t="str">
        <f>IF(F4428="CAPTURE",IF(COUNTIF(orders!$A:$A,O4428)&gt;0,"Yes","NO ORDER"),"")</f>
        <v>Yes</v>
      </c>
    </row>
    <row r="4429" spans="1:17" ht="15" customHeight="1" x14ac:dyDescent="0.3">
      <c r="A4429" s="23" t="s">
        <v>17520</v>
      </c>
      <c r="B4429" s="23"/>
      <c r="C4429" s="23" t="s">
        <v>6312</v>
      </c>
      <c r="D4429" s="23" t="str">
        <f t="shared" si="207"/>
        <v>ORD26002909</v>
      </c>
      <c r="E4429" s="38">
        <v>46289</v>
      </c>
      <c r="F4429" s="23" t="s">
        <v>12410</v>
      </c>
      <c r="G4429" s="23" t="s">
        <v>79</v>
      </c>
      <c r="H4429" s="24">
        <v>648</v>
      </c>
      <c r="I4429" s="24">
        <v>11.66</v>
      </c>
      <c r="J4429" s="24">
        <v>2.1</v>
      </c>
      <c r="K4429" s="24">
        <v>634.24</v>
      </c>
      <c r="L4429" s="38">
        <v>46291</v>
      </c>
      <c r="M4429" s="23" t="s">
        <v>224</v>
      </c>
      <c r="N4429" s="23" t="str">
        <f>IF(COUNTIF($A$2:A4429,A4429)&gt;1,"DUP","OK")</f>
        <v>OK</v>
      </c>
      <c r="O4429" s="23" t="str">
        <f t="shared" si="208"/>
        <v>ORD26002909</v>
      </c>
      <c r="P4429" s="23" t="str">
        <f t="shared" si="209"/>
        <v>Sep</v>
      </c>
      <c r="Q4429" s="23" t="str">
        <f>IF(F4429="CAPTURE",IF(COUNTIF(orders!$A:$A,O4429)&gt;0,"Yes","NO ORDER"),"")</f>
        <v>Yes</v>
      </c>
    </row>
    <row r="4430" spans="1:17" ht="15" customHeight="1" x14ac:dyDescent="0.3">
      <c r="A4430" s="23" t="s">
        <v>17521</v>
      </c>
      <c r="B4430" s="23"/>
      <c r="C4430" s="23" t="s">
        <v>6453</v>
      </c>
      <c r="D4430" s="23" t="str">
        <f t="shared" si="207"/>
        <v>ORD26002979</v>
      </c>
      <c r="E4430" s="38">
        <v>46289</v>
      </c>
      <c r="F4430" s="23" t="s">
        <v>12410</v>
      </c>
      <c r="G4430" s="23" t="s">
        <v>77</v>
      </c>
      <c r="H4430" s="24">
        <v>2499</v>
      </c>
      <c r="I4430" s="24">
        <v>42.48</v>
      </c>
      <c r="J4430" s="24">
        <v>7.65</v>
      </c>
      <c r="K4430" s="24">
        <v>2448.87</v>
      </c>
      <c r="L4430" s="38">
        <v>46291</v>
      </c>
      <c r="M4430" s="23" t="s">
        <v>224</v>
      </c>
      <c r="N4430" s="23" t="str">
        <f>IF(COUNTIF($A$2:A4430,A4430)&gt;1,"DUP","OK")</f>
        <v>OK</v>
      </c>
      <c r="O4430" s="23" t="str">
        <f t="shared" si="208"/>
        <v>ORD26002979</v>
      </c>
      <c r="P4430" s="23" t="str">
        <f t="shared" si="209"/>
        <v>Sep</v>
      </c>
      <c r="Q4430" s="23" t="str">
        <f>IF(F4430="CAPTURE",IF(COUNTIF(orders!$A:$A,O4430)&gt;0,"Yes","NO ORDER"),"")</f>
        <v>Yes</v>
      </c>
    </row>
    <row r="4431" spans="1:17" ht="15" customHeight="1" x14ac:dyDescent="0.3">
      <c r="A4431" s="23" t="s">
        <v>17522</v>
      </c>
      <c r="B4431" s="23"/>
      <c r="C4431" s="23" t="s">
        <v>6461</v>
      </c>
      <c r="D4431" s="23" t="str">
        <f t="shared" si="207"/>
        <v>ORD26002983</v>
      </c>
      <c r="E4431" s="38">
        <v>46289</v>
      </c>
      <c r="F4431" s="23" t="s">
        <v>12410</v>
      </c>
      <c r="G4431" s="23" t="s">
        <v>79</v>
      </c>
      <c r="H4431" s="24">
        <v>4298</v>
      </c>
      <c r="I4431" s="24">
        <v>68.77</v>
      </c>
      <c r="J4431" s="24">
        <v>12.38</v>
      </c>
      <c r="K4431" s="24">
        <v>4216.8500000000004</v>
      </c>
      <c r="L4431" s="38">
        <v>46291</v>
      </c>
      <c r="M4431" s="23" t="s">
        <v>224</v>
      </c>
      <c r="N4431" s="23" t="str">
        <f>IF(COUNTIF($A$2:A4431,A4431)&gt;1,"DUP","OK")</f>
        <v>OK</v>
      </c>
      <c r="O4431" s="23" t="str">
        <f t="shared" si="208"/>
        <v>ORD26002983</v>
      </c>
      <c r="P4431" s="23" t="str">
        <f t="shared" si="209"/>
        <v>Sep</v>
      </c>
      <c r="Q4431" s="23" t="str">
        <f>IF(F4431="CAPTURE",IF(COUNTIF(orders!$A:$A,O4431)&gt;0,"Yes","NO ORDER"),"")</f>
        <v>Yes</v>
      </c>
    </row>
    <row r="4432" spans="1:17" ht="15" customHeight="1" x14ac:dyDescent="0.3">
      <c r="A4432" s="23" t="s">
        <v>17523</v>
      </c>
      <c r="B4432" s="23"/>
      <c r="C4432" s="23" t="s">
        <v>6521</v>
      </c>
      <c r="D4432" s="23" t="str">
        <f t="shared" si="207"/>
        <v>ORD26003014</v>
      </c>
      <c r="E4432" s="38">
        <v>46289</v>
      </c>
      <c r="F4432" s="23" t="s">
        <v>12410</v>
      </c>
      <c r="G4432" s="23" t="s">
        <v>75</v>
      </c>
      <c r="H4432" s="24">
        <v>6298</v>
      </c>
      <c r="I4432" s="24">
        <v>18.89</v>
      </c>
      <c r="J4432" s="24">
        <v>3.4</v>
      </c>
      <c r="K4432" s="24">
        <v>6275.71</v>
      </c>
      <c r="L4432" s="38">
        <v>46291</v>
      </c>
      <c r="M4432" s="23" t="s">
        <v>224</v>
      </c>
      <c r="N4432" s="23" t="str">
        <f>IF(COUNTIF($A$2:A4432,A4432)&gt;1,"DUP","OK")</f>
        <v>OK</v>
      </c>
      <c r="O4432" s="23" t="str">
        <f t="shared" si="208"/>
        <v>ORD26003014</v>
      </c>
      <c r="P4432" s="23" t="str">
        <f t="shared" si="209"/>
        <v>Sep</v>
      </c>
      <c r="Q4432" s="23" t="str">
        <f>IF(F4432="CAPTURE",IF(COUNTIF(orders!$A:$A,O4432)&gt;0,"Yes","NO ORDER"),"")</f>
        <v>Yes</v>
      </c>
    </row>
    <row r="4433" spans="1:17" ht="15" customHeight="1" x14ac:dyDescent="0.3">
      <c r="A4433" s="23" t="s">
        <v>17524</v>
      </c>
      <c r="B4433" s="23"/>
      <c r="C4433" s="23" t="s">
        <v>6556</v>
      </c>
      <c r="D4433" s="23" t="str">
        <f t="shared" si="207"/>
        <v>ORD26003031</v>
      </c>
      <c r="E4433" s="38">
        <v>46289</v>
      </c>
      <c r="F4433" s="23" t="s">
        <v>12410</v>
      </c>
      <c r="G4433" s="23" t="s">
        <v>77</v>
      </c>
      <c r="H4433" s="24">
        <v>349</v>
      </c>
      <c r="I4433" s="24">
        <v>6.63</v>
      </c>
      <c r="J4433" s="24">
        <v>1.19</v>
      </c>
      <c r="K4433" s="24">
        <v>341.18</v>
      </c>
      <c r="L4433" s="38">
        <v>46291</v>
      </c>
      <c r="M4433" s="23" t="s">
        <v>224</v>
      </c>
      <c r="N4433" s="23" t="str">
        <f>IF(COUNTIF($A$2:A4433,A4433)&gt;1,"DUP","OK")</f>
        <v>OK</v>
      </c>
      <c r="O4433" s="23" t="str">
        <f t="shared" si="208"/>
        <v>ORD26003031</v>
      </c>
      <c r="P4433" s="23" t="str">
        <f t="shared" si="209"/>
        <v>Sep</v>
      </c>
      <c r="Q4433" s="23" t="str">
        <f>IF(F4433="CAPTURE",IF(COUNTIF(orders!$A:$A,O4433)&gt;0,"Yes","NO ORDER"),"")</f>
        <v>Yes</v>
      </c>
    </row>
    <row r="4434" spans="1:17" ht="15" customHeight="1" x14ac:dyDescent="0.3">
      <c r="A4434" s="23" t="s">
        <v>17525</v>
      </c>
      <c r="B4434" s="23"/>
      <c r="C4434" s="23" t="s">
        <v>6607</v>
      </c>
      <c r="D4434" s="23" t="str">
        <f t="shared" si="207"/>
        <v>ORD26003056</v>
      </c>
      <c r="E4434" s="38">
        <v>46289</v>
      </c>
      <c r="F4434" s="23" t="s">
        <v>12410</v>
      </c>
      <c r="G4434" s="23" t="s">
        <v>75</v>
      </c>
      <c r="H4434" s="24">
        <v>1499</v>
      </c>
      <c r="I4434" s="24">
        <v>0</v>
      </c>
      <c r="J4434" s="24">
        <v>0</v>
      </c>
      <c r="K4434" s="24">
        <v>1499</v>
      </c>
      <c r="L4434" s="38">
        <v>46291</v>
      </c>
      <c r="M4434" s="23" t="s">
        <v>224</v>
      </c>
      <c r="N4434" s="23" t="str">
        <f>IF(COUNTIF($A$2:A4434,A4434)&gt;1,"DUP","OK")</f>
        <v>OK</v>
      </c>
      <c r="O4434" s="23" t="str">
        <f t="shared" si="208"/>
        <v>ORD26003056</v>
      </c>
      <c r="P4434" s="23" t="str">
        <f t="shared" si="209"/>
        <v>Sep</v>
      </c>
      <c r="Q4434" s="23" t="str">
        <f>IF(F4434="CAPTURE",IF(COUNTIF(orders!$A:$A,O4434)&gt;0,"Yes","NO ORDER"),"")</f>
        <v>Yes</v>
      </c>
    </row>
    <row r="4435" spans="1:17" ht="15" customHeight="1" x14ac:dyDescent="0.3">
      <c r="A4435" s="23" t="s">
        <v>17526</v>
      </c>
      <c r="B4435" s="23"/>
      <c r="C4435" s="23" t="s">
        <v>6678</v>
      </c>
      <c r="D4435" s="23" t="str">
        <f t="shared" si="207"/>
        <v>ORD26003091</v>
      </c>
      <c r="E4435" s="38">
        <v>46289</v>
      </c>
      <c r="F4435" s="23" t="s">
        <v>12410</v>
      </c>
      <c r="G4435" s="23" t="s">
        <v>75</v>
      </c>
      <c r="H4435" s="24">
        <v>2398</v>
      </c>
      <c r="I4435" s="24">
        <v>7.19</v>
      </c>
      <c r="J4435" s="24">
        <v>1.29</v>
      </c>
      <c r="K4435" s="24">
        <v>2389.52</v>
      </c>
      <c r="L4435" s="38">
        <v>46291</v>
      </c>
      <c r="M4435" s="23" t="s">
        <v>224</v>
      </c>
      <c r="N4435" s="23" t="str">
        <f>IF(COUNTIF($A$2:A4435,A4435)&gt;1,"DUP","OK")</f>
        <v>OK</v>
      </c>
      <c r="O4435" s="23" t="str">
        <f t="shared" si="208"/>
        <v>ORD26003091</v>
      </c>
      <c r="P4435" s="23" t="str">
        <f t="shared" si="209"/>
        <v>Sep</v>
      </c>
      <c r="Q4435" s="23" t="str">
        <f>IF(F4435="CAPTURE",IF(COUNTIF(orders!$A:$A,O4435)&gt;0,"Yes","NO ORDER"),"")</f>
        <v>Yes</v>
      </c>
    </row>
    <row r="4436" spans="1:17" ht="15" customHeight="1" x14ac:dyDescent="0.3">
      <c r="A4436" s="23" t="s">
        <v>17527</v>
      </c>
      <c r="B4436" s="23"/>
      <c r="C4436" s="23" t="s">
        <v>6733</v>
      </c>
      <c r="D4436" s="23" t="str">
        <f t="shared" si="207"/>
        <v>ORD26003118</v>
      </c>
      <c r="E4436" s="38">
        <v>46289</v>
      </c>
      <c r="F4436" s="23" t="s">
        <v>12410</v>
      </c>
      <c r="G4436" s="23" t="s">
        <v>75</v>
      </c>
      <c r="H4436" s="24">
        <v>1647</v>
      </c>
      <c r="I4436" s="24">
        <v>0</v>
      </c>
      <c r="J4436" s="24">
        <v>0</v>
      </c>
      <c r="K4436" s="24">
        <v>1647</v>
      </c>
      <c r="L4436" s="38">
        <v>46291</v>
      </c>
      <c r="M4436" s="23" t="s">
        <v>224</v>
      </c>
      <c r="N4436" s="23" t="str">
        <f>IF(COUNTIF($A$2:A4436,A4436)&gt;1,"DUP","OK")</f>
        <v>OK</v>
      </c>
      <c r="O4436" s="23" t="str">
        <f t="shared" si="208"/>
        <v>ORD26003118</v>
      </c>
      <c r="P4436" s="23" t="str">
        <f t="shared" si="209"/>
        <v>Sep</v>
      </c>
      <c r="Q4436" s="23" t="str">
        <f>IF(F4436="CAPTURE",IF(COUNTIF(orders!$A:$A,O4436)&gt;0,"Yes","NO ORDER"),"")</f>
        <v>Yes</v>
      </c>
    </row>
    <row r="4437" spans="1:17" ht="15" customHeight="1" x14ac:dyDescent="0.3">
      <c r="A4437" s="23" t="s">
        <v>17528</v>
      </c>
      <c r="B4437" s="23"/>
      <c r="C4437" s="23" t="s">
        <v>6851</v>
      </c>
      <c r="D4437" s="23" t="str">
        <f t="shared" si="207"/>
        <v>ORD26003177</v>
      </c>
      <c r="E4437" s="38">
        <v>46289</v>
      </c>
      <c r="F4437" s="23" t="s">
        <v>12410</v>
      </c>
      <c r="G4437" s="23" t="s">
        <v>75</v>
      </c>
      <c r="H4437" s="24">
        <v>299</v>
      </c>
      <c r="I4437" s="24">
        <v>0</v>
      </c>
      <c r="J4437" s="24">
        <v>0</v>
      </c>
      <c r="K4437" s="24">
        <v>299</v>
      </c>
      <c r="L4437" s="38">
        <v>46291</v>
      </c>
      <c r="M4437" s="23" t="s">
        <v>224</v>
      </c>
      <c r="N4437" s="23" t="str">
        <f>IF(COUNTIF($A$2:A4437,A4437)&gt;1,"DUP","OK")</f>
        <v>OK</v>
      </c>
      <c r="O4437" s="23" t="str">
        <f t="shared" si="208"/>
        <v>ORD26003177</v>
      </c>
      <c r="P4437" s="23" t="str">
        <f t="shared" si="209"/>
        <v>Sep</v>
      </c>
      <c r="Q4437" s="23" t="str">
        <f>IF(F4437="CAPTURE",IF(COUNTIF(orders!$A:$A,O4437)&gt;0,"Yes","NO ORDER"),"")</f>
        <v>Yes</v>
      </c>
    </row>
    <row r="4438" spans="1:17" ht="15" customHeight="1" x14ac:dyDescent="0.3">
      <c r="A4438" s="23" t="s">
        <v>17529</v>
      </c>
      <c r="B4438" s="23"/>
      <c r="C4438" s="23" t="s">
        <v>6951</v>
      </c>
      <c r="D4438" s="23" t="str">
        <f t="shared" si="207"/>
        <v>ORD26003227</v>
      </c>
      <c r="E4438" s="38">
        <v>46289</v>
      </c>
      <c r="F4438" s="23" t="s">
        <v>12410</v>
      </c>
      <c r="G4438" s="23" t="s">
        <v>75</v>
      </c>
      <c r="H4438" s="24">
        <v>349</v>
      </c>
      <c r="I4438" s="24">
        <v>0</v>
      </c>
      <c r="J4438" s="24">
        <v>0</v>
      </c>
      <c r="K4438" s="24">
        <v>349</v>
      </c>
      <c r="L4438" s="38">
        <v>46291</v>
      </c>
      <c r="M4438" s="23" t="s">
        <v>224</v>
      </c>
      <c r="N4438" s="23" t="str">
        <f>IF(COUNTIF($A$2:A4438,A4438)&gt;1,"DUP","OK")</f>
        <v>OK</v>
      </c>
      <c r="O4438" s="23" t="str">
        <f t="shared" si="208"/>
        <v>ORD26003227</v>
      </c>
      <c r="P4438" s="23" t="str">
        <f t="shared" si="209"/>
        <v>Sep</v>
      </c>
      <c r="Q4438" s="23" t="str">
        <f>IF(F4438="CAPTURE",IF(COUNTIF(orders!$A:$A,O4438)&gt;0,"Yes","NO ORDER"),"")</f>
        <v>Yes</v>
      </c>
    </row>
    <row r="4439" spans="1:17" ht="15" customHeight="1" x14ac:dyDescent="0.3">
      <c r="A4439" s="23" t="s">
        <v>17530</v>
      </c>
      <c r="B4439" s="23"/>
      <c r="C4439" s="23" t="s">
        <v>17531</v>
      </c>
      <c r="D4439" s="23" t="str">
        <f t="shared" si="207"/>
        <v>ORD26003241</v>
      </c>
      <c r="E4439" s="38">
        <v>46289</v>
      </c>
      <c r="F4439" s="23" t="s">
        <v>12410</v>
      </c>
      <c r="G4439" s="23" t="s">
        <v>75</v>
      </c>
      <c r="H4439" s="24">
        <v>11498</v>
      </c>
      <c r="I4439" s="24">
        <v>34.49</v>
      </c>
      <c r="J4439" s="24">
        <v>6.21</v>
      </c>
      <c r="K4439" s="24">
        <v>11457.3</v>
      </c>
      <c r="L4439" s="38">
        <v>46291</v>
      </c>
      <c r="M4439" s="23" t="s">
        <v>224</v>
      </c>
      <c r="N4439" s="23" t="str">
        <f>IF(COUNTIF($A$2:A4439,A4439)&gt;1,"DUP","OK")</f>
        <v>OK</v>
      </c>
      <c r="O4439" s="23" t="str">
        <f t="shared" si="208"/>
        <v>ORD26003241</v>
      </c>
      <c r="P4439" s="23" t="str">
        <f t="shared" si="209"/>
        <v>Sep</v>
      </c>
      <c r="Q4439" s="23" t="str">
        <f>IF(F4439="CAPTURE",IF(COUNTIF(orders!$A:$A,O4439)&gt;0,"Yes","NO ORDER"),"")</f>
        <v>Yes</v>
      </c>
    </row>
    <row r="4440" spans="1:17" ht="15" customHeight="1" x14ac:dyDescent="0.3">
      <c r="A4440" s="23" t="s">
        <v>17532</v>
      </c>
      <c r="B4440" s="23"/>
      <c r="C4440" s="23" t="s">
        <v>7108</v>
      </c>
      <c r="D4440" s="23" t="str">
        <f t="shared" si="207"/>
        <v>ORD26003305</v>
      </c>
      <c r="E4440" s="38">
        <v>46289</v>
      </c>
      <c r="F4440" s="23" t="s">
        <v>12410</v>
      </c>
      <c r="G4440" s="23" t="s">
        <v>79</v>
      </c>
      <c r="H4440" s="24">
        <v>2998</v>
      </c>
      <c r="I4440" s="24">
        <v>47.97</v>
      </c>
      <c r="J4440" s="24">
        <v>8.6300000000000008</v>
      </c>
      <c r="K4440" s="24">
        <v>2941.4</v>
      </c>
      <c r="L4440" s="38">
        <v>46291</v>
      </c>
      <c r="M4440" s="23" t="s">
        <v>224</v>
      </c>
      <c r="N4440" s="23" t="str">
        <f>IF(COUNTIF($A$2:A4440,A4440)&gt;1,"DUP","OK")</f>
        <v>OK</v>
      </c>
      <c r="O4440" s="23" t="str">
        <f t="shared" si="208"/>
        <v>ORD26003305</v>
      </c>
      <c r="P4440" s="23" t="str">
        <f t="shared" si="209"/>
        <v>Sep</v>
      </c>
      <c r="Q4440" s="23" t="str">
        <f>IF(F4440="CAPTURE",IF(COUNTIF(orders!$A:$A,O4440)&gt;0,"Yes","NO ORDER"),"")</f>
        <v>Yes</v>
      </c>
    </row>
    <row r="4441" spans="1:17" ht="15" customHeight="1" x14ac:dyDescent="0.3">
      <c r="A4441" s="23" t="s">
        <v>17533</v>
      </c>
      <c r="B4441" s="23"/>
      <c r="C4441" s="23" t="s">
        <v>7123</v>
      </c>
      <c r="D4441" s="23" t="str">
        <f t="shared" si="207"/>
        <v>ORD26003313</v>
      </c>
      <c r="E4441" s="38">
        <v>46289</v>
      </c>
      <c r="F4441" s="23" t="s">
        <v>12410</v>
      </c>
      <c r="G4441" s="23" t="s">
        <v>79</v>
      </c>
      <c r="H4441" s="24">
        <v>3498</v>
      </c>
      <c r="I4441" s="24">
        <v>55.97</v>
      </c>
      <c r="J4441" s="24">
        <v>10.07</v>
      </c>
      <c r="K4441" s="24">
        <v>3431.96</v>
      </c>
      <c r="L4441" s="38">
        <v>46291</v>
      </c>
      <c r="M4441" s="23" t="s">
        <v>224</v>
      </c>
      <c r="N4441" s="23" t="str">
        <f>IF(COUNTIF($A$2:A4441,A4441)&gt;1,"DUP","OK")</f>
        <v>OK</v>
      </c>
      <c r="O4441" s="23" t="str">
        <f t="shared" si="208"/>
        <v>ORD26003313</v>
      </c>
      <c r="P4441" s="23" t="str">
        <f t="shared" si="209"/>
        <v>Sep</v>
      </c>
      <c r="Q4441" s="23" t="str">
        <f>IF(F4441="CAPTURE",IF(COUNTIF(orders!$A:$A,O4441)&gt;0,"Yes","NO ORDER"),"")</f>
        <v>Yes</v>
      </c>
    </row>
    <row r="4442" spans="1:17" ht="15" customHeight="1" x14ac:dyDescent="0.3">
      <c r="A4442" s="23" t="s">
        <v>17534</v>
      </c>
      <c r="B4442" s="23"/>
      <c r="C4442" s="23" t="s">
        <v>7223</v>
      </c>
      <c r="D4442" s="23" t="str">
        <f t="shared" si="207"/>
        <v>ORD26003362</v>
      </c>
      <c r="E4442" s="38">
        <v>46289</v>
      </c>
      <c r="F4442" s="23" t="s">
        <v>12410</v>
      </c>
      <c r="G4442" s="23" t="s">
        <v>75</v>
      </c>
      <c r="H4442" s="24">
        <v>3997</v>
      </c>
      <c r="I4442" s="24">
        <v>11.99</v>
      </c>
      <c r="J4442" s="24">
        <v>2.16</v>
      </c>
      <c r="K4442" s="24">
        <v>3982.85</v>
      </c>
      <c r="L4442" s="38">
        <v>46291</v>
      </c>
      <c r="M4442" s="23" t="s">
        <v>224</v>
      </c>
      <c r="N4442" s="23" t="str">
        <f>IF(COUNTIF($A$2:A4442,A4442)&gt;1,"DUP","OK")</f>
        <v>OK</v>
      </c>
      <c r="O4442" s="23" t="str">
        <f t="shared" si="208"/>
        <v>ORD26003362</v>
      </c>
      <c r="P4442" s="23" t="str">
        <f t="shared" si="209"/>
        <v>Sep</v>
      </c>
      <c r="Q4442" s="23" t="str">
        <f>IF(F4442="CAPTURE",IF(COUNTIF(orders!$A:$A,O4442)&gt;0,"Yes","NO ORDER"),"")</f>
        <v>Yes</v>
      </c>
    </row>
    <row r="4443" spans="1:17" ht="15" customHeight="1" x14ac:dyDescent="0.3">
      <c r="A4443" s="23" t="s">
        <v>17535</v>
      </c>
      <c r="B4443" s="23"/>
      <c r="C4443" s="23" t="s">
        <v>7319</v>
      </c>
      <c r="D4443" s="23" t="str">
        <f t="shared" si="207"/>
        <v>ORD26003410</v>
      </c>
      <c r="E4443" s="38">
        <v>46289</v>
      </c>
      <c r="F4443" s="23" t="s">
        <v>12410</v>
      </c>
      <c r="G4443" s="23" t="s">
        <v>75</v>
      </c>
      <c r="H4443" s="24">
        <v>6998</v>
      </c>
      <c r="I4443" s="24">
        <v>20.99</v>
      </c>
      <c r="J4443" s="24">
        <v>3.78</v>
      </c>
      <c r="K4443" s="24">
        <v>6973.23</v>
      </c>
      <c r="L4443" s="38">
        <v>46291</v>
      </c>
      <c r="M4443" s="23" t="s">
        <v>224</v>
      </c>
      <c r="N4443" s="23" t="str">
        <f>IF(COUNTIF($A$2:A4443,A4443)&gt;1,"DUP","OK")</f>
        <v>OK</v>
      </c>
      <c r="O4443" s="23" t="str">
        <f t="shared" si="208"/>
        <v>ORD26003410</v>
      </c>
      <c r="P4443" s="23" t="str">
        <f t="shared" si="209"/>
        <v>Sep</v>
      </c>
      <c r="Q4443" s="23" t="str">
        <f>IF(F4443="CAPTURE",IF(COUNTIF(orders!$A:$A,O4443)&gt;0,"Yes","NO ORDER"),"")</f>
        <v>Yes</v>
      </c>
    </row>
    <row r="4444" spans="1:17" ht="15" customHeight="1" x14ac:dyDescent="0.3">
      <c r="A4444" s="23" t="s">
        <v>17536</v>
      </c>
      <c r="B4444" s="23"/>
      <c r="C4444" s="23" t="s">
        <v>7375</v>
      </c>
      <c r="D4444" s="23" t="str">
        <f t="shared" si="207"/>
        <v>ORD26003438</v>
      </c>
      <c r="E4444" s="38">
        <v>46289</v>
      </c>
      <c r="F4444" s="23" t="s">
        <v>12410</v>
      </c>
      <c r="G4444" s="23" t="s">
        <v>75</v>
      </c>
      <c r="H4444" s="24">
        <v>1499</v>
      </c>
      <c r="I4444" s="24">
        <v>0</v>
      </c>
      <c r="J4444" s="24">
        <v>0</v>
      </c>
      <c r="K4444" s="24">
        <v>1499</v>
      </c>
      <c r="L4444" s="38">
        <v>46291</v>
      </c>
      <c r="M4444" s="23" t="s">
        <v>224</v>
      </c>
      <c r="N4444" s="23" t="str">
        <f>IF(COUNTIF($A$2:A4444,A4444)&gt;1,"DUP","OK")</f>
        <v>OK</v>
      </c>
      <c r="O4444" s="23" t="str">
        <f t="shared" si="208"/>
        <v>ORD26003438</v>
      </c>
      <c r="P4444" s="23" t="str">
        <f t="shared" si="209"/>
        <v>Sep</v>
      </c>
      <c r="Q4444" s="23" t="str">
        <f>IF(F4444="CAPTURE",IF(COUNTIF(orders!$A:$A,O4444)&gt;0,"Yes","NO ORDER"),"")</f>
        <v>Yes</v>
      </c>
    </row>
    <row r="4445" spans="1:17" ht="15" customHeight="1" x14ac:dyDescent="0.3">
      <c r="A4445" s="23" t="s">
        <v>17537</v>
      </c>
      <c r="B4445" s="23"/>
      <c r="C4445" s="23" t="s">
        <v>7418</v>
      </c>
      <c r="D4445" s="23" t="str">
        <f t="shared" si="207"/>
        <v>ORD26003459</v>
      </c>
      <c r="E4445" s="38">
        <v>46289</v>
      </c>
      <c r="F4445" s="23" t="s">
        <v>12410</v>
      </c>
      <c r="G4445" s="23" t="s">
        <v>77</v>
      </c>
      <c r="H4445" s="24">
        <v>12797</v>
      </c>
      <c r="I4445" s="24">
        <v>217.55</v>
      </c>
      <c r="J4445" s="24">
        <v>39.159999999999997</v>
      </c>
      <c r="K4445" s="24">
        <v>12540.29</v>
      </c>
      <c r="L4445" s="38">
        <v>46291</v>
      </c>
      <c r="M4445" s="23" t="s">
        <v>224</v>
      </c>
      <c r="N4445" s="23" t="str">
        <f>IF(COUNTIF($A$2:A4445,A4445)&gt;1,"DUP","OK")</f>
        <v>OK</v>
      </c>
      <c r="O4445" s="23" t="str">
        <f t="shared" si="208"/>
        <v>ORD26003459</v>
      </c>
      <c r="P4445" s="23" t="str">
        <f t="shared" si="209"/>
        <v>Sep</v>
      </c>
      <c r="Q4445" s="23" t="str">
        <f>IF(F4445="CAPTURE",IF(COUNTIF(orders!$A:$A,O4445)&gt;0,"Yes","NO ORDER"),"")</f>
        <v>Yes</v>
      </c>
    </row>
    <row r="4446" spans="1:17" ht="15" customHeight="1" x14ac:dyDescent="0.3">
      <c r="A4446" s="23" t="s">
        <v>17538</v>
      </c>
      <c r="B4446" s="23"/>
      <c r="C4446" s="23" t="s">
        <v>17539</v>
      </c>
      <c r="D4446" s="23" t="str">
        <f t="shared" si="207"/>
        <v>ORD26003469</v>
      </c>
      <c r="E4446" s="38">
        <v>46289</v>
      </c>
      <c r="F4446" s="23" t="s">
        <v>12410</v>
      </c>
      <c r="G4446" s="23" t="s">
        <v>75</v>
      </c>
      <c r="H4446" s="24">
        <v>1499</v>
      </c>
      <c r="I4446" s="24">
        <v>0</v>
      </c>
      <c r="J4446" s="24">
        <v>0</v>
      </c>
      <c r="K4446" s="24">
        <v>1499</v>
      </c>
      <c r="L4446" s="38">
        <v>46291</v>
      </c>
      <c r="M4446" s="23" t="s">
        <v>224</v>
      </c>
      <c r="N4446" s="23" t="str">
        <f>IF(COUNTIF($A$2:A4446,A4446)&gt;1,"DUP","OK")</f>
        <v>OK</v>
      </c>
      <c r="O4446" s="23" t="str">
        <f t="shared" si="208"/>
        <v>ORD26003469</v>
      </c>
      <c r="P4446" s="23" t="str">
        <f t="shared" si="209"/>
        <v>Sep</v>
      </c>
      <c r="Q4446" s="23" t="str">
        <f>IF(F4446="CAPTURE",IF(COUNTIF(orders!$A:$A,O4446)&gt;0,"Yes","NO ORDER"),"")</f>
        <v>Yes</v>
      </c>
    </row>
    <row r="4447" spans="1:17" ht="15" customHeight="1" x14ac:dyDescent="0.3">
      <c r="A4447" s="23" t="s">
        <v>17540</v>
      </c>
      <c r="B4447" s="23"/>
      <c r="C4447" s="23" t="s">
        <v>7512</v>
      </c>
      <c r="D4447" s="23" t="str">
        <f t="shared" si="207"/>
        <v>ORD26003507</v>
      </c>
      <c r="E4447" s="38">
        <v>46289</v>
      </c>
      <c r="F4447" s="23" t="s">
        <v>12410</v>
      </c>
      <c r="G4447" s="23" t="s">
        <v>75</v>
      </c>
      <c r="H4447" s="24">
        <v>2798</v>
      </c>
      <c r="I4447" s="24">
        <v>8.39</v>
      </c>
      <c r="J4447" s="24">
        <v>1.51</v>
      </c>
      <c r="K4447" s="24">
        <v>2788.1</v>
      </c>
      <c r="L4447" s="38">
        <v>46291</v>
      </c>
      <c r="M4447" s="23" t="s">
        <v>224</v>
      </c>
      <c r="N4447" s="23" t="str">
        <f>IF(COUNTIF($A$2:A4447,A4447)&gt;1,"DUP","OK")</f>
        <v>OK</v>
      </c>
      <c r="O4447" s="23" t="str">
        <f t="shared" si="208"/>
        <v>ORD26003507</v>
      </c>
      <c r="P4447" s="23" t="str">
        <f t="shared" si="209"/>
        <v>Sep</v>
      </c>
      <c r="Q4447" s="23" t="str">
        <f>IF(F4447="CAPTURE",IF(COUNTIF(orders!$A:$A,O4447)&gt;0,"Yes","NO ORDER"),"")</f>
        <v>Yes</v>
      </c>
    </row>
    <row r="4448" spans="1:17" ht="15" customHeight="1" x14ac:dyDescent="0.3">
      <c r="A4448" s="23" t="s">
        <v>17541</v>
      </c>
      <c r="B4448" s="23"/>
      <c r="C4448" s="23" t="s">
        <v>17542</v>
      </c>
      <c r="D4448" s="23" t="str">
        <f t="shared" si="207"/>
        <v>ORD26003524</v>
      </c>
      <c r="E4448" s="38">
        <v>46289</v>
      </c>
      <c r="F4448" s="23" t="s">
        <v>12410</v>
      </c>
      <c r="G4448" s="23" t="s">
        <v>75</v>
      </c>
      <c r="H4448" s="24">
        <v>7498</v>
      </c>
      <c r="I4448" s="24">
        <v>22.49</v>
      </c>
      <c r="J4448" s="24">
        <v>4.05</v>
      </c>
      <c r="K4448" s="24">
        <v>7471.46</v>
      </c>
      <c r="L4448" s="38">
        <v>46291</v>
      </c>
      <c r="M4448" s="23" t="s">
        <v>224</v>
      </c>
      <c r="N4448" s="23" t="str">
        <f>IF(COUNTIF($A$2:A4448,A4448)&gt;1,"DUP","OK")</f>
        <v>OK</v>
      </c>
      <c r="O4448" s="23" t="str">
        <f t="shared" si="208"/>
        <v>ORD26003524</v>
      </c>
      <c r="P4448" s="23" t="str">
        <f t="shared" si="209"/>
        <v>Sep</v>
      </c>
      <c r="Q4448" s="23" t="str">
        <f>IF(F4448="CAPTURE",IF(COUNTIF(orders!$A:$A,O4448)&gt;0,"Yes","NO ORDER"),"")</f>
        <v>Yes</v>
      </c>
    </row>
    <row r="4449" spans="1:17" ht="15" customHeight="1" x14ac:dyDescent="0.3">
      <c r="A4449" s="23" t="s">
        <v>17543</v>
      </c>
      <c r="B4449" s="23"/>
      <c r="C4449" s="23" t="s">
        <v>7652</v>
      </c>
      <c r="D4449" s="23" t="str">
        <f t="shared" si="207"/>
        <v>ORD26003578</v>
      </c>
      <c r="E4449" s="38">
        <v>46289</v>
      </c>
      <c r="F4449" s="23" t="s">
        <v>12410</v>
      </c>
      <c r="G4449" s="23" t="s">
        <v>75</v>
      </c>
      <c r="H4449" s="24">
        <v>349</v>
      </c>
      <c r="I4449" s="24">
        <v>0</v>
      </c>
      <c r="J4449" s="24">
        <v>0</v>
      </c>
      <c r="K4449" s="24">
        <v>349</v>
      </c>
      <c r="L4449" s="38">
        <v>46291</v>
      </c>
      <c r="M4449" s="23" t="s">
        <v>224</v>
      </c>
      <c r="N4449" s="23" t="str">
        <f>IF(COUNTIF($A$2:A4449,A4449)&gt;1,"DUP","OK")</f>
        <v>OK</v>
      </c>
      <c r="O4449" s="23" t="str">
        <f t="shared" si="208"/>
        <v>ORD26003578</v>
      </c>
      <c r="P4449" s="23" t="str">
        <f t="shared" si="209"/>
        <v>Sep</v>
      </c>
      <c r="Q4449" s="23" t="str">
        <f>IF(F4449="CAPTURE",IF(COUNTIF(orders!$A:$A,O4449)&gt;0,"Yes","NO ORDER"),"")</f>
        <v>Yes</v>
      </c>
    </row>
    <row r="4450" spans="1:17" ht="15" customHeight="1" x14ac:dyDescent="0.3">
      <c r="A4450" s="23" t="s">
        <v>17544</v>
      </c>
      <c r="B4450" s="23"/>
      <c r="C4450" s="23" t="s">
        <v>7719</v>
      </c>
      <c r="D4450" s="23" t="str">
        <f t="shared" si="207"/>
        <v>ORD26003613</v>
      </c>
      <c r="E4450" s="38">
        <v>46289</v>
      </c>
      <c r="F4450" s="23" t="s">
        <v>12410</v>
      </c>
      <c r="G4450" s="23" t="s">
        <v>75</v>
      </c>
      <c r="H4450" s="24">
        <v>799</v>
      </c>
      <c r="I4450" s="24">
        <v>0</v>
      </c>
      <c r="J4450" s="24">
        <v>0</v>
      </c>
      <c r="K4450" s="24">
        <v>799</v>
      </c>
      <c r="L4450" s="38">
        <v>46291</v>
      </c>
      <c r="M4450" s="23" t="s">
        <v>224</v>
      </c>
      <c r="N4450" s="23" t="str">
        <f>IF(COUNTIF($A$2:A4450,A4450)&gt;1,"DUP","OK")</f>
        <v>OK</v>
      </c>
      <c r="O4450" s="23" t="str">
        <f t="shared" si="208"/>
        <v>ORD26003613</v>
      </c>
      <c r="P4450" s="23" t="str">
        <f t="shared" si="209"/>
        <v>Sep</v>
      </c>
      <c r="Q4450" s="23" t="str">
        <f>IF(F4450="CAPTURE",IF(COUNTIF(orders!$A:$A,O4450)&gt;0,"Yes","NO ORDER"),"")</f>
        <v>Yes</v>
      </c>
    </row>
    <row r="4451" spans="1:17" ht="15" customHeight="1" x14ac:dyDescent="0.3">
      <c r="A4451" s="23" t="s">
        <v>17545</v>
      </c>
      <c r="B4451" s="23"/>
      <c r="C4451" s="23" t="s">
        <v>17546</v>
      </c>
      <c r="D4451" s="23" t="str">
        <f t="shared" si="207"/>
        <v>ORD26003641</v>
      </c>
      <c r="E4451" s="38">
        <v>46289</v>
      </c>
      <c r="F4451" s="23" t="s">
        <v>12410</v>
      </c>
      <c r="G4451" s="23" t="s">
        <v>79</v>
      </c>
      <c r="H4451" s="24">
        <v>349</v>
      </c>
      <c r="I4451" s="24">
        <v>6.28</v>
      </c>
      <c r="J4451" s="24">
        <v>1.1299999999999999</v>
      </c>
      <c r="K4451" s="24">
        <v>341.59</v>
      </c>
      <c r="L4451" s="38">
        <v>46291</v>
      </c>
      <c r="M4451" s="23" t="s">
        <v>224</v>
      </c>
      <c r="N4451" s="23" t="str">
        <f>IF(COUNTIF($A$2:A4451,A4451)&gt;1,"DUP","OK")</f>
        <v>OK</v>
      </c>
      <c r="O4451" s="23" t="str">
        <f t="shared" si="208"/>
        <v>ORD26003641</v>
      </c>
      <c r="P4451" s="23" t="str">
        <f t="shared" si="209"/>
        <v>Sep</v>
      </c>
      <c r="Q4451" s="23" t="str">
        <f>IF(F4451="CAPTURE",IF(COUNTIF(orders!$A:$A,O4451)&gt;0,"Yes","NO ORDER"),"")</f>
        <v>Yes</v>
      </c>
    </row>
    <row r="4452" spans="1:17" ht="15" customHeight="1" x14ac:dyDescent="0.3">
      <c r="A4452" s="23" t="s">
        <v>17547</v>
      </c>
      <c r="B4452" s="23"/>
      <c r="C4452" s="23" t="s">
        <v>7804</v>
      </c>
      <c r="D4452" s="23" t="str">
        <f t="shared" si="207"/>
        <v>ORD26003657</v>
      </c>
      <c r="E4452" s="38">
        <v>46289</v>
      </c>
      <c r="F4452" s="23" t="s">
        <v>12410</v>
      </c>
      <c r="G4452" s="23" t="s">
        <v>79</v>
      </c>
      <c r="H4452" s="24">
        <v>9298</v>
      </c>
      <c r="I4452" s="24">
        <v>148.77000000000001</v>
      </c>
      <c r="J4452" s="24">
        <v>26.78</v>
      </c>
      <c r="K4452" s="24">
        <v>9122.4500000000007</v>
      </c>
      <c r="L4452" s="38">
        <v>46291</v>
      </c>
      <c r="M4452" s="23" t="s">
        <v>224</v>
      </c>
      <c r="N4452" s="23" t="str">
        <f>IF(COUNTIF($A$2:A4452,A4452)&gt;1,"DUP","OK")</f>
        <v>OK</v>
      </c>
      <c r="O4452" s="23" t="str">
        <f t="shared" si="208"/>
        <v>ORD26003657</v>
      </c>
      <c r="P4452" s="23" t="str">
        <f t="shared" si="209"/>
        <v>Sep</v>
      </c>
      <c r="Q4452" s="23" t="str">
        <f>IF(F4452="CAPTURE",IF(COUNTIF(orders!$A:$A,O4452)&gt;0,"Yes","NO ORDER"),"")</f>
        <v>Yes</v>
      </c>
    </row>
    <row r="4453" spans="1:17" ht="15" customHeight="1" x14ac:dyDescent="0.3">
      <c r="A4453" s="23" t="s">
        <v>17548</v>
      </c>
      <c r="B4453" s="23"/>
      <c r="C4453" s="23" t="s">
        <v>7938</v>
      </c>
      <c r="D4453" s="23" t="str">
        <f t="shared" si="207"/>
        <v>ORD26003725</v>
      </c>
      <c r="E4453" s="38">
        <v>46289</v>
      </c>
      <c r="F4453" s="23" t="s">
        <v>12410</v>
      </c>
      <c r="G4453" s="23" t="s">
        <v>75</v>
      </c>
      <c r="H4453" s="24">
        <v>3298</v>
      </c>
      <c r="I4453" s="24">
        <v>9.89</v>
      </c>
      <c r="J4453" s="24">
        <v>1.78</v>
      </c>
      <c r="K4453" s="24">
        <v>3286.33</v>
      </c>
      <c r="L4453" s="38">
        <v>46291</v>
      </c>
      <c r="M4453" s="23" t="s">
        <v>224</v>
      </c>
      <c r="N4453" s="23" t="str">
        <f>IF(COUNTIF($A$2:A4453,A4453)&gt;1,"DUP","OK")</f>
        <v>OK</v>
      </c>
      <c r="O4453" s="23" t="str">
        <f t="shared" si="208"/>
        <v>ORD26003725</v>
      </c>
      <c r="P4453" s="23" t="str">
        <f t="shared" si="209"/>
        <v>Sep</v>
      </c>
      <c r="Q4453" s="23" t="str">
        <f>IF(F4453="CAPTURE",IF(COUNTIF(orders!$A:$A,O4453)&gt;0,"Yes","NO ORDER"),"")</f>
        <v>Yes</v>
      </c>
    </row>
    <row r="4454" spans="1:17" ht="15" customHeight="1" x14ac:dyDescent="0.3">
      <c r="A4454" s="23" t="s">
        <v>17549</v>
      </c>
      <c r="B4454" s="23"/>
      <c r="C4454" s="23" t="s">
        <v>17550</v>
      </c>
      <c r="D4454" s="23" t="str">
        <f t="shared" si="207"/>
        <v>ORD26003763</v>
      </c>
      <c r="E4454" s="38">
        <v>46289</v>
      </c>
      <c r="F4454" s="23" t="s">
        <v>12410</v>
      </c>
      <c r="G4454" s="23" t="s">
        <v>75</v>
      </c>
      <c r="H4454" s="24">
        <v>1947</v>
      </c>
      <c r="I4454" s="24">
        <v>0</v>
      </c>
      <c r="J4454" s="24">
        <v>0</v>
      </c>
      <c r="K4454" s="24">
        <v>1947</v>
      </c>
      <c r="L4454" s="38">
        <v>46291</v>
      </c>
      <c r="M4454" s="23" t="s">
        <v>224</v>
      </c>
      <c r="N4454" s="23" t="str">
        <f>IF(COUNTIF($A$2:A4454,A4454)&gt;1,"DUP","OK")</f>
        <v>OK</v>
      </c>
      <c r="O4454" s="23" t="str">
        <f t="shared" si="208"/>
        <v>ORD26003763</v>
      </c>
      <c r="P4454" s="23" t="str">
        <f t="shared" si="209"/>
        <v>Sep</v>
      </c>
      <c r="Q4454" s="23" t="str">
        <f>IF(F4454="CAPTURE",IF(COUNTIF(orders!$A:$A,O4454)&gt;0,"Yes","NO ORDER"),"")</f>
        <v>Yes</v>
      </c>
    </row>
    <row r="4455" spans="1:17" ht="15" customHeight="1" x14ac:dyDescent="0.3">
      <c r="A4455" s="23" t="s">
        <v>17551</v>
      </c>
      <c r="B4455" s="23"/>
      <c r="C4455" s="23" t="s">
        <v>8026</v>
      </c>
      <c r="D4455" s="23" t="str">
        <f t="shared" si="207"/>
        <v>ORD26003769</v>
      </c>
      <c r="E4455" s="38">
        <v>46289</v>
      </c>
      <c r="F4455" s="23" t="s">
        <v>12410</v>
      </c>
      <c r="G4455" s="23" t="s">
        <v>75</v>
      </c>
      <c r="H4455" s="24">
        <v>10997</v>
      </c>
      <c r="I4455" s="24">
        <v>32.99</v>
      </c>
      <c r="J4455" s="24">
        <v>5.94</v>
      </c>
      <c r="K4455" s="24">
        <v>10958.07</v>
      </c>
      <c r="L4455" s="38">
        <v>46291</v>
      </c>
      <c r="M4455" s="23" t="s">
        <v>224</v>
      </c>
      <c r="N4455" s="23" t="str">
        <f>IF(COUNTIF($A$2:A4455,A4455)&gt;1,"DUP","OK")</f>
        <v>OK</v>
      </c>
      <c r="O4455" s="23" t="str">
        <f t="shared" si="208"/>
        <v>ORD26003769</v>
      </c>
      <c r="P4455" s="23" t="str">
        <f t="shared" si="209"/>
        <v>Sep</v>
      </c>
      <c r="Q4455" s="23" t="str">
        <f>IF(F4455="CAPTURE",IF(COUNTIF(orders!$A:$A,O4455)&gt;0,"Yes","NO ORDER"),"")</f>
        <v>Yes</v>
      </c>
    </row>
    <row r="4456" spans="1:17" ht="15" customHeight="1" x14ac:dyDescent="0.3">
      <c r="A4456" s="23" t="s">
        <v>17552</v>
      </c>
      <c r="B4456" s="23"/>
      <c r="C4456" s="23" t="s">
        <v>8080</v>
      </c>
      <c r="D4456" s="23" t="str">
        <f t="shared" si="207"/>
        <v>ORD26003796</v>
      </c>
      <c r="E4456" s="38">
        <v>46289</v>
      </c>
      <c r="F4456" s="23" t="s">
        <v>12410</v>
      </c>
      <c r="G4456" s="23" t="s">
        <v>81</v>
      </c>
      <c r="H4456" s="24">
        <v>9798</v>
      </c>
      <c r="I4456" s="24">
        <v>117.58</v>
      </c>
      <c r="J4456" s="24">
        <v>21.16</v>
      </c>
      <c r="K4456" s="24">
        <v>9659.26</v>
      </c>
      <c r="L4456" s="38">
        <v>46291</v>
      </c>
      <c r="M4456" s="23" t="s">
        <v>224</v>
      </c>
      <c r="N4456" s="23" t="str">
        <f>IF(COUNTIF($A$2:A4456,A4456)&gt;1,"DUP","OK")</f>
        <v>OK</v>
      </c>
      <c r="O4456" s="23" t="str">
        <f t="shared" si="208"/>
        <v>ORD26003796</v>
      </c>
      <c r="P4456" s="23" t="str">
        <f t="shared" si="209"/>
        <v>Sep</v>
      </c>
      <c r="Q4456" s="23" t="str">
        <f>IF(F4456="CAPTURE",IF(COUNTIF(orders!$A:$A,O4456)&gt;0,"Yes","NO ORDER"),"")</f>
        <v>Yes</v>
      </c>
    </row>
    <row r="4457" spans="1:17" ht="15" customHeight="1" x14ac:dyDescent="0.3">
      <c r="A4457" s="23" t="s">
        <v>17553</v>
      </c>
      <c r="B4457" s="23"/>
      <c r="C4457" s="23" t="s">
        <v>8176</v>
      </c>
      <c r="D4457" s="23" t="str">
        <f t="shared" si="207"/>
        <v>ORD26003844</v>
      </c>
      <c r="E4457" s="38">
        <v>46289</v>
      </c>
      <c r="F4457" s="23" t="s">
        <v>12410</v>
      </c>
      <c r="G4457" s="23" t="s">
        <v>79</v>
      </c>
      <c r="H4457" s="24">
        <v>6297</v>
      </c>
      <c r="I4457" s="24">
        <v>100.75</v>
      </c>
      <c r="J4457" s="24">
        <v>18.14</v>
      </c>
      <c r="K4457" s="24">
        <v>6178.11</v>
      </c>
      <c r="L4457" s="38">
        <v>46291</v>
      </c>
      <c r="M4457" s="23" t="s">
        <v>224</v>
      </c>
      <c r="N4457" s="23" t="str">
        <f>IF(COUNTIF($A$2:A4457,A4457)&gt;1,"DUP","OK")</f>
        <v>OK</v>
      </c>
      <c r="O4457" s="23" t="str">
        <f t="shared" si="208"/>
        <v>ORD26003844</v>
      </c>
      <c r="P4457" s="23" t="str">
        <f t="shared" si="209"/>
        <v>Sep</v>
      </c>
      <c r="Q4457" s="23" t="str">
        <f>IF(F4457="CAPTURE",IF(COUNTIF(orders!$A:$A,O4457)&gt;0,"Yes","NO ORDER"),"")</f>
        <v>Yes</v>
      </c>
    </row>
    <row r="4458" spans="1:17" ht="15" customHeight="1" x14ac:dyDescent="0.3">
      <c r="A4458" s="23" t="s">
        <v>17554</v>
      </c>
      <c r="B4458" s="23"/>
      <c r="C4458" s="23" t="s">
        <v>8271</v>
      </c>
      <c r="D4458" s="23" t="str">
        <f t="shared" si="207"/>
        <v>ORD26003892</v>
      </c>
      <c r="E4458" s="38">
        <v>46289</v>
      </c>
      <c r="F4458" s="23" t="s">
        <v>12410</v>
      </c>
      <c r="G4458" s="23" t="s">
        <v>75</v>
      </c>
      <c r="H4458" s="24">
        <v>5297</v>
      </c>
      <c r="I4458" s="24">
        <v>15.89</v>
      </c>
      <c r="J4458" s="24">
        <v>2.86</v>
      </c>
      <c r="K4458" s="24">
        <v>5278.25</v>
      </c>
      <c r="L4458" s="38">
        <v>46291</v>
      </c>
      <c r="M4458" s="23" t="s">
        <v>224</v>
      </c>
      <c r="N4458" s="23" t="str">
        <f>IF(COUNTIF($A$2:A4458,A4458)&gt;1,"DUP","OK")</f>
        <v>OK</v>
      </c>
      <c r="O4458" s="23" t="str">
        <f t="shared" si="208"/>
        <v>ORD26003892</v>
      </c>
      <c r="P4458" s="23" t="str">
        <f t="shared" si="209"/>
        <v>Sep</v>
      </c>
      <c r="Q4458" s="23" t="str">
        <f>IF(F4458="CAPTURE",IF(COUNTIF(orders!$A:$A,O4458)&gt;0,"Yes","NO ORDER"),"")</f>
        <v>Yes</v>
      </c>
    </row>
    <row r="4459" spans="1:17" ht="15" customHeight="1" x14ac:dyDescent="0.3">
      <c r="A4459" s="23" t="s">
        <v>17555</v>
      </c>
      <c r="B4459" s="23"/>
      <c r="C4459" s="23" t="s">
        <v>8287</v>
      </c>
      <c r="D4459" s="23" t="str">
        <f t="shared" si="207"/>
        <v>ORD26003900</v>
      </c>
      <c r="E4459" s="38">
        <v>46289</v>
      </c>
      <c r="F4459" s="23" t="s">
        <v>12410</v>
      </c>
      <c r="G4459" s="23" t="s">
        <v>75</v>
      </c>
      <c r="H4459" s="24">
        <v>7297</v>
      </c>
      <c r="I4459" s="24">
        <v>21.89</v>
      </c>
      <c r="J4459" s="24">
        <v>3.94</v>
      </c>
      <c r="K4459" s="24">
        <v>7271.17</v>
      </c>
      <c r="L4459" s="38">
        <v>46291</v>
      </c>
      <c r="M4459" s="23" t="s">
        <v>224</v>
      </c>
      <c r="N4459" s="23" t="str">
        <f>IF(COUNTIF($A$2:A4459,A4459)&gt;1,"DUP","OK")</f>
        <v>OK</v>
      </c>
      <c r="O4459" s="23" t="str">
        <f t="shared" si="208"/>
        <v>ORD26003900</v>
      </c>
      <c r="P4459" s="23" t="str">
        <f t="shared" si="209"/>
        <v>Sep</v>
      </c>
      <c r="Q4459" s="23" t="str">
        <f>IF(F4459="CAPTURE",IF(COUNTIF(orders!$A:$A,O4459)&gt;0,"Yes","NO ORDER"),"")</f>
        <v>Yes</v>
      </c>
    </row>
    <row r="4460" spans="1:17" ht="15" customHeight="1" x14ac:dyDescent="0.3">
      <c r="A4460" s="23" t="s">
        <v>17556</v>
      </c>
      <c r="B4460" s="23"/>
      <c r="C4460" s="23" t="s">
        <v>8355</v>
      </c>
      <c r="D4460" s="23" t="str">
        <f t="shared" si="207"/>
        <v>ORD26003934</v>
      </c>
      <c r="E4460" s="38">
        <v>46289</v>
      </c>
      <c r="F4460" s="23" t="s">
        <v>12410</v>
      </c>
      <c r="G4460" s="23" t="s">
        <v>77</v>
      </c>
      <c r="H4460" s="24">
        <v>2998</v>
      </c>
      <c r="I4460" s="24">
        <v>50.97</v>
      </c>
      <c r="J4460" s="24">
        <v>9.17</v>
      </c>
      <c r="K4460" s="24">
        <v>2937.86</v>
      </c>
      <c r="L4460" s="38">
        <v>46291</v>
      </c>
      <c r="M4460" s="23" t="s">
        <v>224</v>
      </c>
      <c r="N4460" s="23" t="str">
        <f>IF(COUNTIF($A$2:A4460,A4460)&gt;1,"DUP","OK")</f>
        <v>OK</v>
      </c>
      <c r="O4460" s="23" t="str">
        <f t="shared" si="208"/>
        <v>ORD26003934</v>
      </c>
      <c r="P4460" s="23" t="str">
        <f t="shared" si="209"/>
        <v>Sep</v>
      </c>
      <c r="Q4460" s="23" t="str">
        <f>IF(F4460="CAPTURE",IF(COUNTIF(orders!$A:$A,O4460)&gt;0,"Yes","NO ORDER"),"")</f>
        <v>Yes</v>
      </c>
    </row>
    <row r="4461" spans="1:17" ht="15" customHeight="1" x14ac:dyDescent="0.3">
      <c r="A4461" s="23" t="s">
        <v>17557</v>
      </c>
      <c r="B4461" s="23"/>
      <c r="C4461" s="23" t="s">
        <v>8660</v>
      </c>
      <c r="D4461" s="23" t="str">
        <f t="shared" si="207"/>
        <v>ORD26004089</v>
      </c>
      <c r="E4461" s="38">
        <v>46289</v>
      </c>
      <c r="F4461" s="23" t="s">
        <v>12410</v>
      </c>
      <c r="G4461" s="23" t="s">
        <v>75</v>
      </c>
      <c r="H4461" s="24">
        <v>7999</v>
      </c>
      <c r="I4461" s="24">
        <v>24</v>
      </c>
      <c r="J4461" s="24">
        <v>4.32</v>
      </c>
      <c r="K4461" s="24">
        <v>7970.68</v>
      </c>
      <c r="L4461" s="38">
        <v>46291</v>
      </c>
      <c r="M4461" s="23" t="s">
        <v>224</v>
      </c>
      <c r="N4461" s="23" t="str">
        <f>IF(COUNTIF($A$2:A4461,A4461)&gt;1,"DUP","OK")</f>
        <v>OK</v>
      </c>
      <c r="O4461" s="23" t="str">
        <f t="shared" si="208"/>
        <v>ORD26004089</v>
      </c>
      <c r="P4461" s="23" t="str">
        <f t="shared" si="209"/>
        <v>Sep</v>
      </c>
      <c r="Q4461" s="23" t="str">
        <f>IF(F4461="CAPTURE",IF(COUNTIF(orders!$A:$A,O4461)&gt;0,"Yes","NO ORDER"),"")</f>
        <v>Yes</v>
      </c>
    </row>
    <row r="4462" spans="1:17" ht="15" customHeight="1" x14ac:dyDescent="0.3">
      <c r="A4462" s="23" t="s">
        <v>17558</v>
      </c>
      <c r="B4462" s="23"/>
      <c r="C4462" s="23" t="s">
        <v>17559</v>
      </c>
      <c r="D4462" s="23" t="str">
        <f t="shared" si="207"/>
        <v>ORD26004098</v>
      </c>
      <c r="E4462" s="38">
        <v>46289</v>
      </c>
      <c r="F4462" s="23" t="s">
        <v>12410</v>
      </c>
      <c r="G4462" s="23" t="s">
        <v>75</v>
      </c>
      <c r="H4462" s="24">
        <v>9498</v>
      </c>
      <c r="I4462" s="24">
        <v>28.49</v>
      </c>
      <c r="J4462" s="24">
        <v>5.13</v>
      </c>
      <c r="K4462" s="24">
        <v>9464.3799999999992</v>
      </c>
      <c r="L4462" s="38">
        <v>46291</v>
      </c>
      <c r="M4462" s="23" t="s">
        <v>224</v>
      </c>
      <c r="N4462" s="23" t="str">
        <f>IF(COUNTIF($A$2:A4462,A4462)&gt;1,"DUP","OK")</f>
        <v>OK</v>
      </c>
      <c r="O4462" s="23" t="str">
        <f t="shared" si="208"/>
        <v>ORD26004098</v>
      </c>
      <c r="P4462" s="23" t="str">
        <f t="shared" si="209"/>
        <v>Sep</v>
      </c>
      <c r="Q4462" s="23" t="str">
        <f>IF(F4462="CAPTURE",IF(COUNTIF(orders!$A:$A,O4462)&gt;0,"Yes","NO ORDER"),"")</f>
        <v>Yes</v>
      </c>
    </row>
    <row r="4463" spans="1:17" ht="15" customHeight="1" x14ac:dyDescent="0.3">
      <c r="A4463" s="23" t="s">
        <v>17560</v>
      </c>
      <c r="B4463" s="23"/>
      <c r="C4463" s="23" t="s">
        <v>8726</v>
      </c>
      <c r="D4463" s="23" t="str">
        <f t="shared" si="207"/>
        <v>ORD26004123</v>
      </c>
      <c r="E4463" s="38">
        <v>46289</v>
      </c>
      <c r="F4463" s="23" t="s">
        <v>12410</v>
      </c>
      <c r="G4463" s="23" t="s">
        <v>75</v>
      </c>
      <c r="H4463" s="24">
        <v>1299</v>
      </c>
      <c r="I4463" s="24">
        <v>0</v>
      </c>
      <c r="J4463" s="24">
        <v>0</v>
      </c>
      <c r="K4463" s="24">
        <v>1299</v>
      </c>
      <c r="L4463" s="38">
        <v>46291</v>
      </c>
      <c r="M4463" s="23" t="s">
        <v>224</v>
      </c>
      <c r="N4463" s="23" t="str">
        <f>IF(COUNTIF($A$2:A4463,A4463)&gt;1,"DUP","OK")</f>
        <v>OK</v>
      </c>
      <c r="O4463" s="23" t="str">
        <f t="shared" si="208"/>
        <v>ORD26004123</v>
      </c>
      <c r="P4463" s="23" t="str">
        <f t="shared" si="209"/>
        <v>Sep</v>
      </c>
      <c r="Q4463" s="23" t="str">
        <f>IF(F4463="CAPTURE",IF(COUNTIF(orders!$A:$A,O4463)&gt;0,"Yes","NO ORDER"),"")</f>
        <v>Yes</v>
      </c>
    </row>
    <row r="4464" spans="1:17" ht="15" customHeight="1" x14ac:dyDescent="0.3">
      <c r="A4464" s="23" t="s">
        <v>17561</v>
      </c>
      <c r="B4464" s="23"/>
      <c r="C4464" s="23" t="s">
        <v>8781</v>
      </c>
      <c r="D4464" s="23" t="str">
        <f t="shared" si="207"/>
        <v>ORD26004151</v>
      </c>
      <c r="E4464" s="38">
        <v>46289</v>
      </c>
      <c r="F4464" s="23" t="s">
        <v>12410</v>
      </c>
      <c r="G4464" s="23" t="s">
        <v>79</v>
      </c>
      <c r="H4464" s="24">
        <v>499</v>
      </c>
      <c r="I4464" s="24">
        <v>8.98</v>
      </c>
      <c r="J4464" s="24">
        <v>1.62</v>
      </c>
      <c r="K4464" s="24">
        <v>488.4</v>
      </c>
      <c r="L4464" s="38">
        <v>46291</v>
      </c>
      <c r="M4464" s="23" t="s">
        <v>224</v>
      </c>
      <c r="N4464" s="23" t="str">
        <f>IF(COUNTIF($A$2:A4464,A4464)&gt;1,"DUP","OK")</f>
        <v>OK</v>
      </c>
      <c r="O4464" s="23" t="str">
        <f t="shared" si="208"/>
        <v>ORD26004151</v>
      </c>
      <c r="P4464" s="23" t="str">
        <f t="shared" si="209"/>
        <v>Sep</v>
      </c>
      <c r="Q4464" s="23" t="str">
        <f>IF(F4464="CAPTURE",IF(COUNTIF(orders!$A:$A,O4464)&gt;0,"Yes","NO ORDER"),"")</f>
        <v>Yes</v>
      </c>
    </row>
    <row r="4465" spans="1:17" ht="15" customHeight="1" x14ac:dyDescent="0.3">
      <c r="A4465" s="23" t="s">
        <v>17562</v>
      </c>
      <c r="B4465" s="23"/>
      <c r="C4465" s="23" t="s">
        <v>8811</v>
      </c>
      <c r="D4465" s="23" t="str">
        <f t="shared" si="207"/>
        <v>ORD26004168</v>
      </c>
      <c r="E4465" s="38">
        <v>46289</v>
      </c>
      <c r="F4465" s="23" t="s">
        <v>12410</v>
      </c>
      <c r="G4465" s="23" t="s">
        <v>75</v>
      </c>
      <c r="H4465" s="24">
        <v>2999</v>
      </c>
      <c r="I4465" s="24">
        <v>9</v>
      </c>
      <c r="J4465" s="24">
        <v>1.62</v>
      </c>
      <c r="K4465" s="24">
        <v>2988.38</v>
      </c>
      <c r="L4465" s="38">
        <v>46291</v>
      </c>
      <c r="M4465" s="23" t="s">
        <v>224</v>
      </c>
      <c r="N4465" s="23" t="str">
        <f>IF(COUNTIF($A$2:A4465,A4465)&gt;1,"DUP","OK")</f>
        <v>OK</v>
      </c>
      <c r="O4465" s="23" t="str">
        <f t="shared" si="208"/>
        <v>ORD26004168</v>
      </c>
      <c r="P4465" s="23" t="str">
        <f t="shared" si="209"/>
        <v>Sep</v>
      </c>
      <c r="Q4465" s="23" t="str">
        <f>IF(F4465="CAPTURE",IF(COUNTIF(orders!$A:$A,O4465)&gt;0,"Yes","NO ORDER"),"")</f>
        <v>Yes</v>
      </c>
    </row>
    <row r="4466" spans="1:17" ht="15" customHeight="1" x14ac:dyDescent="0.3">
      <c r="A4466" s="23" t="s">
        <v>17563</v>
      </c>
      <c r="B4466" s="23"/>
      <c r="C4466" s="23" t="s">
        <v>8821</v>
      </c>
      <c r="D4466" s="23" t="str">
        <f t="shared" si="207"/>
        <v>ORD26004173</v>
      </c>
      <c r="E4466" s="38">
        <v>46289</v>
      </c>
      <c r="F4466" s="23" t="s">
        <v>12410</v>
      </c>
      <c r="G4466" s="23" t="s">
        <v>77</v>
      </c>
      <c r="H4466" s="24">
        <v>349</v>
      </c>
      <c r="I4466" s="24">
        <v>6.63</v>
      </c>
      <c r="J4466" s="24">
        <v>1.19</v>
      </c>
      <c r="K4466" s="24">
        <v>341.18</v>
      </c>
      <c r="L4466" s="38">
        <v>46291</v>
      </c>
      <c r="M4466" s="23" t="s">
        <v>224</v>
      </c>
      <c r="N4466" s="23" t="str">
        <f>IF(COUNTIF($A$2:A4466,A4466)&gt;1,"DUP","OK")</f>
        <v>OK</v>
      </c>
      <c r="O4466" s="23" t="str">
        <f t="shared" si="208"/>
        <v>ORD26004173</v>
      </c>
      <c r="P4466" s="23" t="str">
        <f t="shared" si="209"/>
        <v>Sep</v>
      </c>
      <c r="Q4466" s="23" t="str">
        <f>IF(F4466="CAPTURE",IF(COUNTIF(orders!$A:$A,O4466)&gt;0,"Yes","NO ORDER"),"")</f>
        <v>Yes</v>
      </c>
    </row>
    <row r="4467" spans="1:17" ht="15" customHeight="1" x14ac:dyDescent="0.3">
      <c r="A4467" s="23" t="s">
        <v>17564</v>
      </c>
      <c r="B4467" s="23"/>
      <c r="C4467" s="23" t="s">
        <v>8951</v>
      </c>
      <c r="D4467" s="23" t="str">
        <f t="shared" si="207"/>
        <v>ORD26004238</v>
      </c>
      <c r="E4467" s="38">
        <v>46289</v>
      </c>
      <c r="F4467" s="23" t="s">
        <v>12410</v>
      </c>
      <c r="G4467" s="23" t="s">
        <v>75</v>
      </c>
      <c r="H4467" s="24">
        <v>4999</v>
      </c>
      <c r="I4467" s="24">
        <v>15</v>
      </c>
      <c r="J4467" s="24">
        <v>2.7</v>
      </c>
      <c r="K4467" s="24">
        <v>4981.3</v>
      </c>
      <c r="L4467" s="38">
        <v>46291</v>
      </c>
      <c r="M4467" s="23" t="s">
        <v>224</v>
      </c>
      <c r="N4467" s="23" t="str">
        <f>IF(COUNTIF($A$2:A4467,A4467)&gt;1,"DUP","OK")</f>
        <v>OK</v>
      </c>
      <c r="O4467" s="23" t="str">
        <f t="shared" si="208"/>
        <v>ORD26004238</v>
      </c>
      <c r="P4467" s="23" t="str">
        <f t="shared" si="209"/>
        <v>Sep</v>
      </c>
      <c r="Q4467" s="23" t="str">
        <f>IF(F4467="CAPTURE",IF(COUNTIF(orders!$A:$A,O4467)&gt;0,"Yes","NO ORDER"),"")</f>
        <v>Yes</v>
      </c>
    </row>
    <row r="4468" spans="1:17" ht="15" customHeight="1" x14ac:dyDescent="0.3">
      <c r="A4468" s="23" t="s">
        <v>17565</v>
      </c>
      <c r="B4468" s="23"/>
      <c r="C4468" s="23" t="s">
        <v>9029</v>
      </c>
      <c r="D4468" s="23" t="str">
        <f t="shared" si="207"/>
        <v>ORD26004278</v>
      </c>
      <c r="E4468" s="38">
        <v>46289</v>
      </c>
      <c r="F4468" s="23" t="s">
        <v>12410</v>
      </c>
      <c r="G4468" s="23" t="s">
        <v>75</v>
      </c>
      <c r="H4468" s="24">
        <v>2999</v>
      </c>
      <c r="I4468" s="24">
        <v>9</v>
      </c>
      <c r="J4468" s="24">
        <v>1.62</v>
      </c>
      <c r="K4468" s="24">
        <v>2988.38</v>
      </c>
      <c r="L4468" s="38">
        <v>46291</v>
      </c>
      <c r="M4468" s="23" t="s">
        <v>224</v>
      </c>
      <c r="N4468" s="23" t="str">
        <f>IF(COUNTIF($A$2:A4468,A4468)&gt;1,"DUP","OK")</f>
        <v>OK</v>
      </c>
      <c r="O4468" s="23" t="str">
        <f t="shared" si="208"/>
        <v>ORD26004278</v>
      </c>
      <c r="P4468" s="23" t="str">
        <f t="shared" si="209"/>
        <v>Sep</v>
      </c>
      <c r="Q4468" s="23" t="str">
        <f>IF(F4468="CAPTURE",IF(COUNTIF(orders!$A:$A,O4468)&gt;0,"Yes","NO ORDER"),"")</f>
        <v>Yes</v>
      </c>
    </row>
    <row r="4469" spans="1:17" ht="15" customHeight="1" x14ac:dyDescent="0.3">
      <c r="A4469" s="23" t="s">
        <v>17566</v>
      </c>
      <c r="B4469" s="23"/>
      <c r="C4469" s="23" t="s">
        <v>9080</v>
      </c>
      <c r="D4469" s="23" t="str">
        <f t="shared" si="207"/>
        <v>ORD26004302</v>
      </c>
      <c r="E4469" s="38">
        <v>46289</v>
      </c>
      <c r="F4469" s="23" t="s">
        <v>12410</v>
      </c>
      <c r="G4469" s="23" t="s">
        <v>75</v>
      </c>
      <c r="H4469" s="24">
        <v>3347</v>
      </c>
      <c r="I4469" s="24">
        <v>10.039999999999999</v>
      </c>
      <c r="J4469" s="24">
        <v>1.81</v>
      </c>
      <c r="K4469" s="24">
        <v>3335.15</v>
      </c>
      <c r="L4469" s="38">
        <v>46291</v>
      </c>
      <c r="M4469" s="23" t="s">
        <v>224</v>
      </c>
      <c r="N4469" s="23" t="str">
        <f>IF(COUNTIF($A$2:A4469,A4469)&gt;1,"DUP","OK")</f>
        <v>OK</v>
      </c>
      <c r="O4469" s="23" t="str">
        <f t="shared" si="208"/>
        <v>ORD26004302</v>
      </c>
      <c r="P4469" s="23" t="str">
        <f t="shared" si="209"/>
        <v>Sep</v>
      </c>
      <c r="Q4469" s="23" t="str">
        <f>IF(F4469="CAPTURE",IF(COUNTIF(orders!$A:$A,O4469)&gt;0,"Yes","NO ORDER"),"")</f>
        <v>Yes</v>
      </c>
    </row>
    <row r="4470" spans="1:17" ht="15" customHeight="1" x14ac:dyDescent="0.3">
      <c r="A4470" s="23" t="s">
        <v>17567</v>
      </c>
      <c r="B4470" s="23"/>
      <c r="C4470" s="23" t="s">
        <v>9118</v>
      </c>
      <c r="D4470" s="23" t="str">
        <f t="shared" si="207"/>
        <v>ORD26004321</v>
      </c>
      <c r="E4470" s="38">
        <v>46289</v>
      </c>
      <c r="F4470" s="23" t="s">
        <v>12410</v>
      </c>
      <c r="G4470" s="23" t="s">
        <v>75</v>
      </c>
      <c r="H4470" s="24">
        <v>999</v>
      </c>
      <c r="I4470" s="24">
        <v>0</v>
      </c>
      <c r="J4470" s="24">
        <v>0</v>
      </c>
      <c r="K4470" s="24">
        <v>999</v>
      </c>
      <c r="L4470" s="38">
        <v>46291</v>
      </c>
      <c r="M4470" s="23" t="s">
        <v>224</v>
      </c>
      <c r="N4470" s="23" t="str">
        <f>IF(COUNTIF($A$2:A4470,A4470)&gt;1,"DUP","OK")</f>
        <v>OK</v>
      </c>
      <c r="O4470" s="23" t="str">
        <f t="shared" si="208"/>
        <v>ORD26004321</v>
      </c>
      <c r="P4470" s="23" t="str">
        <f t="shared" si="209"/>
        <v>Sep</v>
      </c>
      <c r="Q4470" s="23" t="str">
        <f>IF(F4470="CAPTURE",IF(COUNTIF(orders!$A:$A,O4470)&gt;0,"Yes","NO ORDER"),"")</f>
        <v>Yes</v>
      </c>
    </row>
    <row r="4471" spans="1:17" ht="15" customHeight="1" x14ac:dyDescent="0.3">
      <c r="A4471" s="23" t="s">
        <v>17568</v>
      </c>
      <c r="B4471" s="23"/>
      <c r="C4471" s="23" t="s">
        <v>9144</v>
      </c>
      <c r="D4471" s="23" t="str">
        <f t="shared" si="207"/>
        <v>ORD26004334</v>
      </c>
      <c r="E4471" s="38">
        <v>46289</v>
      </c>
      <c r="F4471" s="23" t="s">
        <v>12410</v>
      </c>
      <c r="G4471" s="23" t="s">
        <v>75</v>
      </c>
      <c r="H4471" s="24">
        <v>10498</v>
      </c>
      <c r="I4471" s="24">
        <v>31.49</v>
      </c>
      <c r="J4471" s="24">
        <v>5.67</v>
      </c>
      <c r="K4471" s="24">
        <v>10460.84</v>
      </c>
      <c r="L4471" s="38">
        <v>46291</v>
      </c>
      <c r="M4471" s="23" t="s">
        <v>224</v>
      </c>
      <c r="N4471" s="23" t="str">
        <f>IF(COUNTIF($A$2:A4471,A4471)&gt;1,"DUP","OK")</f>
        <v>OK</v>
      </c>
      <c r="O4471" s="23" t="str">
        <f t="shared" si="208"/>
        <v>ORD26004334</v>
      </c>
      <c r="P4471" s="23" t="str">
        <f t="shared" si="209"/>
        <v>Sep</v>
      </c>
      <c r="Q4471" s="23" t="str">
        <f>IF(F4471="CAPTURE",IF(COUNTIF(orders!$A:$A,O4471)&gt;0,"Yes","NO ORDER"),"")</f>
        <v>Yes</v>
      </c>
    </row>
    <row r="4472" spans="1:17" ht="15" customHeight="1" x14ac:dyDescent="0.3">
      <c r="A4472" s="23" t="s">
        <v>17569</v>
      </c>
      <c r="B4472" s="23"/>
      <c r="C4472" s="23" t="s">
        <v>17570</v>
      </c>
      <c r="D4472" s="23" t="str">
        <f t="shared" si="207"/>
        <v>ORD26004340</v>
      </c>
      <c r="E4472" s="38">
        <v>46289</v>
      </c>
      <c r="F4472" s="23" t="s">
        <v>12410</v>
      </c>
      <c r="G4472" s="23" t="s">
        <v>77</v>
      </c>
      <c r="H4472" s="24">
        <v>1299</v>
      </c>
      <c r="I4472" s="24">
        <v>24.68</v>
      </c>
      <c r="J4472" s="24">
        <v>4.4400000000000004</v>
      </c>
      <c r="K4472" s="24">
        <v>1269.8800000000001</v>
      </c>
      <c r="L4472" s="38">
        <v>46291</v>
      </c>
      <c r="M4472" s="23" t="s">
        <v>224</v>
      </c>
      <c r="N4472" s="23" t="str">
        <f>IF(COUNTIF($A$2:A4472,A4472)&gt;1,"DUP","OK")</f>
        <v>OK</v>
      </c>
      <c r="O4472" s="23" t="str">
        <f t="shared" si="208"/>
        <v>ORD26004340</v>
      </c>
      <c r="P4472" s="23" t="str">
        <f t="shared" si="209"/>
        <v>Sep</v>
      </c>
      <c r="Q4472" s="23" t="str">
        <f>IF(F4472="CAPTURE",IF(COUNTIF(orders!$A:$A,O4472)&gt;0,"Yes","NO ORDER"),"")</f>
        <v>Yes</v>
      </c>
    </row>
    <row r="4473" spans="1:17" ht="15" customHeight="1" x14ac:dyDescent="0.3">
      <c r="A4473" s="23" t="s">
        <v>17571</v>
      </c>
      <c r="B4473" s="23"/>
      <c r="C4473" s="23" t="s">
        <v>9163</v>
      </c>
      <c r="D4473" s="23" t="str">
        <f t="shared" si="207"/>
        <v>ORD26004343</v>
      </c>
      <c r="E4473" s="38">
        <v>46289</v>
      </c>
      <c r="F4473" s="23" t="s">
        <v>12410</v>
      </c>
      <c r="G4473" s="23" t="s">
        <v>79</v>
      </c>
      <c r="H4473" s="24">
        <v>2298</v>
      </c>
      <c r="I4473" s="24">
        <v>36.770000000000003</v>
      </c>
      <c r="J4473" s="24">
        <v>6.62</v>
      </c>
      <c r="K4473" s="24">
        <v>2254.61</v>
      </c>
      <c r="L4473" s="38">
        <v>46291</v>
      </c>
      <c r="M4473" s="23" t="s">
        <v>224</v>
      </c>
      <c r="N4473" s="23" t="str">
        <f>IF(COUNTIF($A$2:A4473,A4473)&gt;1,"DUP","OK")</f>
        <v>OK</v>
      </c>
      <c r="O4473" s="23" t="str">
        <f t="shared" si="208"/>
        <v>ORD26004343</v>
      </c>
      <c r="P4473" s="23" t="str">
        <f t="shared" si="209"/>
        <v>Sep</v>
      </c>
      <c r="Q4473" s="23" t="str">
        <f>IF(F4473="CAPTURE",IF(COUNTIF(orders!$A:$A,O4473)&gt;0,"Yes","NO ORDER"),"")</f>
        <v>Yes</v>
      </c>
    </row>
    <row r="4474" spans="1:17" ht="15" customHeight="1" x14ac:dyDescent="0.3">
      <c r="A4474" s="23" t="s">
        <v>17572</v>
      </c>
      <c r="B4474" s="23"/>
      <c r="C4474" s="23" t="s">
        <v>9193</v>
      </c>
      <c r="D4474" s="23" t="str">
        <f t="shared" si="207"/>
        <v>ORD26004358</v>
      </c>
      <c r="E4474" s="38">
        <v>46289</v>
      </c>
      <c r="F4474" s="23" t="s">
        <v>12410</v>
      </c>
      <c r="G4474" s="23" t="s">
        <v>81</v>
      </c>
      <c r="H4474" s="24">
        <v>1799</v>
      </c>
      <c r="I4474" s="24">
        <v>26.99</v>
      </c>
      <c r="J4474" s="24">
        <v>4.8600000000000003</v>
      </c>
      <c r="K4474" s="24">
        <v>1767.15</v>
      </c>
      <c r="L4474" s="38">
        <v>46291</v>
      </c>
      <c r="M4474" s="23" t="s">
        <v>224</v>
      </c>
      <c r="N4474" s="23" t="str">
        <f>IF(COUNTIF($A$2:A4474,A4474)&gt;1,"DUP","OK")</f>
        <v>OK</v>
      </c>
      <c r="O4474" s="23" t="str">
        <f t="shared" si="208"/>
        <v>ORD26004358</v>
      </c>
      <c r="P4474" s="23" t="str">
        <f t="shared" si="209"/>
        <v>Sep</v>
      </c>
      <c r="Q4474" s="23" t="str">
        <f>IF(F4474="CAPTURE",IF(COUNTIF(orders!$A:$A,O4474)&gt;0,"Yes","NO ORDER"),"")</f>
        <v>Yes</v>
      </c>
    </row>
    <row r="4475" spans="1:17" ht="15" customHeight="1" x14ac:dyDescent="0.3">
      <c r="A4475" s="23" t="s">
        <v>17573</v>
      </c>
      <c r="B4475" s="23"/>
      <c r="C4475" s="23" t="s">
        <v>9256</v>
      </c>
      <c r="D4475" s="23" t="str">
        <f t="shared" si="207"/>
        <v>ORD26004391</v>
      </c>
      <c r="E4475" s="38">
        <v>46289</v>
      </c>
      <c r="F4475" s="23" t="s">
        <v>12410</v>
      </c>
      <c r="G4475" s="23" t="s">
        <v>75</v>
      </c>
      <c r="H4475" s="24">
        <v>4697</v>
      </c>
      <c r="I4475" s="24">
        <v>14.09</v>
      </c>
      <c r="J4475" s="24">
        <v>2.54</v>
      </c>
      <c r="K4475" s="24">
        <v>4680.37</v>
      </c>
      <c r="L4475" s="38">
        <v>46291</v>
      </c>
      <c r="M4475" s="23" t="s">
        <v>224</v>
      </c>
      <c r="N4475" s="23" t="str">
        <f>IF(COUNTIF($A$2:A4475,A4475)&gt;1,"DUP","OK")</f>
        <v>OK</v>
      </c>
      <c r="O4475" s="23" t="str">
        <f t="shared" si="208"/>
        <v>ORD26004391</v>
      </c>
      <c r="P4475" s="23" t="str">
        <f t="shared" si="209"/>
        <v>Sep</v>
      </c>
      <c r="Q4475" s="23" t="str">
        <f>IF(F4475="CAPTURE",IF(COUNTIF(orders!$A:$A,O4475)&gt;0,"Yes","NO ORDER"),"")</f>
        <v>Yes</v>
      </c>
    </row>
    <row r="4476" spans="1:17" ht="15" customHeight="1" x14ac:dyDescent="0.3">
      <c r="A4476" s="23" t="s">
        <v>17574</v>
      </c>
      <c r="B4476" s="23"/>
      <c r="C4476" s="23" t="s">
        <v>9304</v>
      </c>
      <c r="D4476" s="23" t="str">
        <f t="shared" si="207"/>
        <v>ORD26004415</v>
      </c>
      <c r="E4476" s="38">
        <v>46289</v>
      </c>
      <c r="F4476" s="23" t="s">
        <v>12410</v>
      </c>
      <c r="G4476" s="23" t="s">
        <v>81</v>
      </c>
      <c r="H4476" s="24">
        <v>2598</v>
      </c>
      <c r="I4476" s="24">
        <v>31.18</v>
      </c>
      <c r="J4476" s="24">
        <v>5.61</v>
      </c>
      <c r="K4476" s="24">
        <v>2561.21</v>
      </c>
      <c r="L4476" s="38">
        <v>46291</v>
      </c>
      <c r="M4476" s="23" t="s">
        <v>224</v>
      </c>
      <c r="N4476" s="23" t="str">
        <f>IF(COUNTIF($A$2:A4476,A4476)&gt;1,"DUP","OK")</f>
        <v>OK</v>
      </c>
      <c r="O4476" s="23" t="str">
        <f t="shared" si="208"/>
        <v>ORD26004415</v>
      </c>
      <c r="P4476" s="23" t="str">
        <f t="shared" si="209"/>
        <v>Sep</v>
      </c>
      <c r="Q4476" s="23" t="str">
        <f>IF(F4476="CAPTURE",IF(COUNTIF(orders!$A:$A,O4476)&gt;0,"Yes","NO ORDER"),"")</f>
        <v>Yes</v>
      </c>
    </row>
    <row r="4477" spans="1:17" ht="15" customHeight="1" x14ac:dyDescent="0.3">
      <c r="A4477" s="23" t="s">
        <v>17575</v>
      </c>
      <c r="B4477" s="23"/>
      <c r="C4477" s="23" t="s">
        <v>9352</v>
      </c>
      <c r="D4477" s="23" t="str">
        <f t="shared" si="207"/>
        <v>ORD26004440</v>
      </c>
      <c r="E4477" s="38">
        <v>46289</v>
      </c>
      <c r="F4477" s="23" t="s">
        <v>12410</v>
      </c>
      <c r="G4477" s="23" t="s">
        <v>81</v>
      </c>
      <c r="H4477" s="24">
        <v>4999</v>
      </c>
      <c r="I4477" s="24">
        <v>59.99</v>
      </c>
      <c r="J4477" s="24">
        <v>10.8</v>
      </c>
      <c r="K4477" s="24">
        <v>4928.21</v>
      </c>
      <c r="L4477" s="38">
        <v>46291</v>
      </c>
      <c r="M4477" s="23" t="s">
        <v>224</v>
      </c>
      <c r="N4477" s="23" t="str">
        <f>IF(COUNTIF($A$2:A4477,A4477)&gt;1,"DUP","OK")</f>
        <v>OK</v>
      </c>
      <c r="O4477" s="23" t="str">
        <f t="shared" si="208"/>
        <v>ORD26004440</v>
      </c>
      <c r="P4477" s="23" t="str">
        <f t="shared" si="209"/>
        <v>Sep</v>
      </c>
      <c r="Q4477" s="23" t="str">
        <f>IF(F4477="CAPTURE",IF(COUNTIF(orders!$A:$A,O4477)&gt;0,"Yes","NO ORDER"),"")</f>
        <v>Yes</v>
      </c>
    </row>
    <row r="4478" spans="1:17" ht="15" customHeight="1" x14ac:dyDescent="0.3">
      <c r="A4478" s="23" t="s">
        <v>17576</v>
      </c>
      <c r="B4478" s="23"/>
      <c r="C4478" s="23" t="s">
        <v>9386</v>
      </c>
      <c r="D4478" s="23" t="str">
        <f t="shared" si="207"/>
        <v>ORD26004456</v>
      </c>
      <c r="E4478" s="38">
        <v>46289</v>
      </c>
      <c r="F4478" s="23" t="s">
        <v>12410</v>
      </c>
      <c r="G4478" s="23" t="s">
        <v>75</v>
      </c>
      <c r="H4478" s="24">
        <v>299</v>
      </c>
      <c r="I4478" s="24">
        <v>0</v>
      </c>
      <c r="J4478" s="24">
        <v>0</v>
      </c>
      <c r="K4478" s="24">
        <v>299</v>
      </c>
      <c r="L4478" s="38">
        <v>46291</v>
      </c>
      <c r="M4478" s="23" t="s">
        <v>224</v>
      </c>
      <c r="N4478" s="23" t="str">
        <f>IF(COUNTIF($A$2:A4478,A4478)&gt;1,"DUP","OK")</f>
        <v>OK</v>
      </c>
      <c r="O4478" s="23" t="str">
        <f t="shared" si="208"/>
        <v>ORD26004456</v>
      </c>
      <c r="P4478" s="23" t="str">
        <f t="shared" si="209"/>
        <v>Sep</v>
      </c>
      <c r="Q4478" s="23" t="str">
        <f>IF(F4478="CAPTURE",IF(COUNTIF(orders!$A:$A,O4478)&gt;0,"Yes","NO ORDER"),"")</f>
        <v>Yes</v>
      </c>
    </row>
    <row r="4479" spans="1:17" ht="15" customHeight="1" x14ac:dyDescent="0.3">
      <c r="A4479" s="23" t="s">
        <v>17577</v>
      </c>
      <c r="B4479" s="23"/>
      <c r="C4479" s="23" t="s">
        <v>9404</v>
      </c>
      <c r="D4479" s="23" t="str">
        <f t="shared" si="207"/>
        <v>ORD26004466</v>
      </c>
      <c r="E4479" s="38">
        <v>46289</v>
      </c>
      <c r="F4479" s="23" t="s">
        <v>12410</v>
      </c>
      <c r="G4479" s="23" t="s">
        <v>77</v>
      </c>
      <c r="H4479" s="24">
        <v>2798</v>
      </c>
      <c r="I4479" s="24">
        <v>47.57</v>
      </c>
      <c r="J4479" s="24">
        <v>8.56</v>
      </c>
      <c r="K4479" s="24">
        <v>2741.87</v>
      </c>
      <c r="L4479" s="38">
        <v>46291</v>
      </c>
      <c r="M4479" s="23" t="s">
        <v>224</v>
      </c>
      <c r="N4479" s="23" t="str">
        <f>IF(COUNTIF($A$2:A4479,A4479)&gt;1,"DUP","OK")</f>
        <v>OK</v>
      </c>
      <c r="O4479" s="23" t="str">
        <f t="shared" si="208"/>
        <v>ORD26004466</v>
      </c>
      <c r="P4479" s="23" t="str">
        <f t="shared" si="209"/>
        <v>Sep</v>
      </c>
      <c r="Q4479" s="23" t="str">
        <f>IF(F4479="CAPTURE",IF(COUNTIF(orders!$A:$A,O4479)&gt;0,"Yes","NO ORDER"),"")</f>
        <v>Yes</v>
      </c>
    </row>
    <row r="4480" spans="1:17" ht="15" customHeight="1" x14ac:dyDescent="0.3">
      <c r="A4480" s="23" t="s">
        <v>17578</v>
      </c>
      <c r="B4480" s="23"/>
      <c r="C4480" s="23" t="s">
        <v>9492</v>
      </c>
      <c r="D4480" s="23" t="str">
        <f t="shared" si="207"/>
        <v>ORD26004510</v>
      </c>
      <c r="E4480" s="38">
        <v>46289</v>
      </c>
      <c r="F4480" s="23" t="s">
        <v>12410</v>
      </c>
      <c r="G4480" s="23" t="s">
        <v>81</v>
      </c>
      <c r="H4480" s="24">
        <v>11597</v>
      </c>
      <c r="I4480" s="24">
        <v>104.37</v>
      </c>
      <c r="J4480" s="24">
        <v>18.79</v>
      </c>
      <c r="K4480" s="24">
        <v>11473.84</v>
      </c>
      <c r="L4480" s="38">
        <v>46291</v>
      </c>
      <c r="M4480" s="23" t="s">
        <v>224</v>
      </c>
      <c r="N4480" s="23" t="str">
        <f>IF(COUNTIF($A$2:A4480,A4480)&gt;1,"DUP","OK")</f>
        <v>OK</v>
      </c>
      <c r="O4480" s="23" t="str">
        <f t="shared" si="208"/>
        <v>ORD26004510</v>
      </c>
      <c r="P4480" s="23" t="str">
        <f t="shared" si="209"/>
        <v>Sep</v>
      </c>
      <c r="Q4480" s="23" t="str">
        <f>IF(F4480="CAPTURE",IF(COUNTIF(orders!$A:$A,O4480)&gt;0,"Yes","NO ORDER"),"")</f>
        <v>Yes</v>
      </c>
    </row>
    <row r="4481" spans="1:17" ht="15" customHeight="1" x14ac:dyDescent="0.3">
      <c r="A4481" s="23" t="s">
        <v>17579</v>
      </c>
      <c r="B4481" s="23"/>
      <c r="C4481" s="23" t="s">
        <v>9547</v>
      </c>
      <c r="D4481" s="23" t="str">
        <f t="shared" si="207"/>
        <v>ORD26004537</v>
      </c>
      <c r="E4481" s="38">
        <v>46289</v>
      </c>
      <c r="F4481" s="23" t="s">
        <v>12410</v>
      </c>
      <c r="G4481" s="23" t="s">
        <v>79</v>
      </c>
      <c r="H4481" s="24">
        <v>1747</v>
      </c>
      <c r="I4481" s="24">
        <v>31.45</v>
      </c>
      <c r="J4481" s="24">
        <v>5.66</v>
      </c>
      <c r="K4481" s="24">
        <v>1709.89</v>
      </c>
      <c r="L4481" s="38">
        <v>46291</v>
      </c>
      <c r="M4481" s="23" t="s">
        <v>224</v>
      </c>
      <c r="N4481" s="23" t="str">
        <f>IF(COUNTIF($A$2:A4481,A4481)&gt;1,"DUP","OK")</f>
        <v>OK</v>
      </c>
      <c r="O4481" s="23" t="str">
        <f t="shared" si="208"/>
        <v>ORD26004537</v>
      </c>
      <c r="P4481" s="23" t="str">
        <f t="shared" si="209"/>
        <v>Sep</v>
      </c>
      <c r="Q4481" s="23" t="str">
        <f>IF(F4481="CAPTURE",IF(COUNTIF(orders!$A:$A,O4481)&gt;0,"Yes","NO ORDER"),"")</f>
        <v>Yes</v>
      </c>
    </row>
    <row r="4482" spans="1:17" ht="15" customHeight="1" x14ac:dyDescent="0.3">
      <c r="A4482" s="23" t="s">
        <v>17580</v>
      </c>
      <c r="B4482" s="23"/>
      <c r="C4482" s="23" t="s">
        <v>17581</v>
      </c>
      <c r="D4482" s="23" t="str">
        <f t="shared" ref="D4482:D4545" si="210">UPPER(SUBSTITUTE(TRIM(C4482),"-",""))</f>
        <v>ORD26004566</v>
      </c>
      <c r="E4482" s="38">
        <v>46289</v>
      </c>
      <c r="F4482" s="23" t="s">
        <v>12410</v>
      </c>
      <c r="G4482" s="23" t="s">
        <v>79</v>
      </c>
      <c r="H4482" s="24">
        <v>2098</v>
      </c>
      <c r="I4482" s="24">
        <v>33.57</v>
      </c>
      <c r="J4482" s="24">
        <v>6.04</v>
      </c>
      <c r="K4482" s="24">
        <v>2058.39</v>
      </c>
      <c r="L4482" s="38">
        <v>46291</v>
      </c>
      <c r="M4482" s="23" t="s">
        <v>224</v>
      </c>
      <c r="N4482" s="23" t="str">
        <f>IF(COUNTIF($A$2:A4482,A4482)&gt;1,"DUP","OK")</f>
        <v>OK</v>
      </c>
      <c r="O4482" s="23" t="str">
        <f t="shared" ref="O4482:O4545" si="211">IF(F4482="REFUND",INDEX($D:$D,MATCH(B4482,$A:$A,0)),D4482)</f>
        <v>ORD26004566</v>
      </c>
      <c r="P4482" s="23" t="str">
        <f t="shared" ref="P4482:P4545" si="212">IF(L4482&gt;DATE(2026,9,30),"Oct-Due","Sep")</f>
        <v>Sep</v>
      </c>
      <c r="Q4482" s="23" t="str">
        <f>IF(F4482="CAPTURE",IF(COUNTIF(orders!$A:$A,O4482)&gt;0,"Yes","NO ORDER"),"")</f>
        <v>Yes</v>
      </c>
    </row>
    <row r="4483" spans="1:17" ht="15" customHeight="1" x14ac:dyDescent="0.3">
      <c r="A4483" s="23" t="s">
        <v>17582</v>
      </c>
      <c r="B4483" s="23"/>
      <c r="C4483" s="23" t="s">
        <v>9617</v>
      </c>
      <c r="D4483" s="23" t="str">
        <f t="shared" si="210"/>
        <v>ORD26004572</v>
      </c>
      <c r="E4483" s="38">
        <v>46289</v>
      </c>
      <c r="F4483" s="23" t="s">
        <v>12410</v>
      </c>
      <c r="G4483" s="23" t="s">
        <v>75</v>
      </c>
      <c r="H4483" s="24">
        <v>1598</v>
      </c>
      <c r="I4483" s="24">
        <v>0</v>
      </c>
      <c r="J4483" s="24">
        <v>0</v>
      </c>
      <c r="K4483" s="24">
        <v>1598</v>
      </c>
      <c r="L4483" s="38">
        <v>46291</v>
      </c>
      <c r="M4483" s="23" t="s">
        <v>224</v>
      </c>
      <c r="N4483" s="23" t="str">
        <f>IF(COUNTIF($A$2:A4483,A4483)&gt;1,"DUP","OK")</f>
        <v>OK</v>
      </c>
      <c r="O4483" s="23" t="str">
        <f t="shared" si="211"/>
        <v>ORD26004572</v>
      </c>
      <c r="P4483" s="23" t="str">
        <f t="shared" si="212"/>
        <v>Sep</v>
      </c>
      <c r="Q4483" s="23" t="str">
        <f>IF(F4483="CAPTURE",IF(COUNTIF(orders!$A:$A,O4483)&gt;0,"Yes","NO ORDER"),"")</f>
        <v>Yes</v>
      </c>
    </row>
    <row r="4484" spans="1:17" ht="15" customHeight="1" x14ac:dyDescent="0.3">
      <c r="A4484" s="23" t="s">
        <v>17583</v>
      </c>
      <c r="B4484" s="23"/>
      <c r="C4484" s="23" t="s">
        <v>9661</v>
      </c>
      <c r="D4484" s="23" t="str">
        <f t="shared" si="210"/>
        <v>ORD26004594</v>
      </c>
      <c r="E4484" s="38">
        <v>46289</v>
      </c>
      <c r="F4484" s="23" t="s">
        <v>12410</v>
      </c>
      <c r="G4484" s="23" t="s">
        <v>75</v>
      </c>
      <c r="H4484" s="24">
        <v>4998</v>
      </c>
      <c r="I4484" s="24">
        <v>14.99</v>
      </c>
      <c r="J4484" s="24">
        <v>2.7</v>
      </c>
      <c r="K4484" s="24">
        <v>4980.3100000000004</v>
      </c>
      <c r="L4484" s="38">
        <v>46291</v>
      </c>
      <c r="M4484" s="23" t="s">
        <v>224</v>
      </c>
      <c r="N4484" s="23" t="str">
        <f>IF(COUNTIF($A$2:A4484,A4484)&gt;1,"DUP","OK")</f>
        <v>OK</v>
      </c>
      <c r="O4484" s="23" t="str">
        <f t="shared" si="211"/>
        <v>ORD26004594</v>
      </c>
      <c r="P4484" s="23" t="str">
        <f t="shared" si="212"/>
        <v>Sep</v>
      </c>
      <c r="Q4484" s="23" t="str">
        <f>IF(F4484="CAPTURE",IF(COUNTIF(orders!$A:$A,O4484)&gt;0,"Yes","NO ORDER"),"")</f>
        <v>Yes</v>
      </c>
    </row>
    <row r="4485" spans="1:17" ht="15" customHeight="1" x14ac:dyDescent="0.3">
      <c r="A4485" s="23" t="s">
        <v>17584</v>
      </c>
      <c r="B4485" s="23"/>
      <c r="C4485" s="23" t="s">
        <v>9776</v>
      </c>
      <c r="D4485" s="23" t="str">
        <f t="shared" si="210"/>
        <v>ORD26004653</v>
      </c>
      <c r="E4485" s="38">
        <v>46289</v>
      </c>
      <c r="F4485" s="23" t="s">
        <v>12410</v>
      </c>
      <c r="G4485" s="23" t="s">
        <v>79</v>
      </c>
      <c r="H4485" s="24">
        <v>4597</v>
      </c>
      <c r="I4485" s="24">
        <v>73.55</v>
      </c>
      <c r="J4485" s="24">
        <v>13.24</v>
      </c>
      <c r="K4485" s="24">
        <v>4510.21</v>
      </c>
      <c r="L4485" s="38">
        <v>46291</v>
      </c>
      <c r="M4485" s="23" t="s">
        <v>224</v>
      </c>
      <c r="N4485" s="23" t="str">
        <f>IF(COUNTIF($A$2:A4485,A4485)&gt;1,"DUP","OK")</f>
        <v>OK</v>
      </c>
      <c r="O4485" s="23" t="str">
        <f t="shared" si="211"/>
        <v>ORD26004653</v>
      </c>
      <c r="P4485" s="23" t="str">
        <f t="shared" si="212"/>
        <v>Sep</v>
      </c>
      <c r="Q4485" s="23" t="str">
        <f>IF(F4485="CAPTURE",IF(COUNTIF(orders!$A:$A,O4485)&gt;0,"Yes","NO ORDER"),"")</f>
        <v>Yes</v>
      </c>
    </row>
    <row r="4486" spans="1:17" ht="15" customHeight="1" x14ac:dyDescent="0.3">
      <c r="A4486" s="23" t="s">
        <v>17585</v>
      </c>
      <c r="B4486" s="23"/>
      <c r="C4486" s="23" t="s">
        <v>17586</v>
      </c>
      <c r="D4486" s="23" t="str">
        <f t="shared" si="210"/>
        <v>ORD26004766</v>
      </c>
      <c r="E4486" s="38">
        <v>46289</v>
      </c>
      <c r="F4486" s="23" t="s">
        <v>12410</v>
      </c>
      <c r="G4486" s="23" t="s">
        <v>79</v>
      </c>
      <c r="H4486" s="24">
        <v>3098</v>
      </c>
      <c r="I4486" s="24">
        <v>49.57</v>
      </c>
      <c r="J4486" s="24">
        <v>8.92</v>
      </c>
      <c r="K4486" s="24">
        <v>3039.51</v>
      </c>
      <c r="L4486" s="38">
        <v>46291</v>
      </c>
      <c r="M4486" s="23" t="s">
        <v>224</v>
      </c>
      <c r="N4486" s="23" t="str">
        <f>IF(COUNTIF($A$2:A4486,A4486)&gt;1,"DUP","OK")</f>
        <v>OK</v>
      </c>
      <c r="O4486" s="23" t="str">
        <f t="shared" si="211"/>
        <v>ORD26004766</v>
      </c>
      <c r="P4486" s="23" t="str">
        <f t="shared" si="212"/>
        <v>Sep</v>
      </c>
      <c r="Q4486" s="23" t="str">
        <f>IF(F4486="CAPTURE",IF(COUNTIF(orders!$A:$A,O4486)&gt;0,"Yes","NO ORDER"),"")</f>
        <v>Yes</v>
      </c>
    </row>
    <row r="4487" spans="1:17" ht="15" customHeight="1" x14ac:dyDescent="0.3">
      <c r="A4487" s="23" t="s">
        <v>17587</v>
      </c>
      <c r="B4487" s="23"/>
      <c r="C4487" s="23" t="s">
        <v>10197</v>
      </c>
      <c r="D4487" s="23" t="str">
        <f t="shared" si="210"/>
        <v>ORD26004869</v>
      </c>
      <c r="E4487" s="38">
        <v>46289</v>
      </c>
      <c r="F4487" s="23" t="s">
        <v>12410</v>
      </c>
      <c r="G4487" s="23" t="s">
        <v>79</v>
      </c>
      <c r="H4487" s="24">
        <v>3147</v>
      </c>
      <c r="I4487" s="24">
        <v>50.35</v>
      </c>
      <c r="J4487" s="24">
        <v>9.06</v>
      </c>
      <c r="K4487" s="24">
        <v>3087.59</v>
      </c>
      <c r="L4487" s="38">
        <v>46291</v>
      </c>
      <c r="M4487" s="23" t="s">
        <v>224</v>
      </c>
      <c r="N4487" s="23" t="str">
        <f>IF(COUNTIF($A$2:A4487,A4487)&gt;1,"DUP","OK")</f>
        <v>OK</v>
      </c>
      <c r="O4487" s="23" t="str">
        <f t="shared" si="211"/>
        <v>ORD26004869</v>
      </c>
      <c r="P4487" s="23" t="str">
        <f t="shared" si="212"/>
        <v>Sep</v>
      </c>
      <c r="Q4487" s="23" t="str">
        <f>IF(F4487="CAPTURE",IF(COUNTIF(orders!$A:$A,O4487)&gt;0,"Yes","NO ORDER"),"")</f>
        <v>Yes</v>
      </c>
    </row>
    <row r="4488" spans="1:17" ht="15" customHeight="1" x14ac:dyDescent="0.3">
      <c r="A4488" s="23" t="s">
        <v>17588</v>
      </c>
      <c r="B4488" s="23"/>
      <c r="C4488" s="23" t="s">
        <v>10202</v>
      </c>
      <c r="D4488" s="23" t="str">
        <f t="shared" si="210"/>
        <v>ORD26004872</v>
      </c>
      <c r="E4488" s="38">
        <v>46289</v>
      </c>
      <c r="F4488" s="23" t="s">
        <v>12410</v>
      </c>
      <c r="G4488" s="23" t="s">
        <v>75</v>
      </c>
      <c r="H4488" s="24">
        <v>3848</v>
      </c>
      <c r="I4488" s="24">
        <v>11.54</v>
      </c>
      <c r="J4488" s="24">
        <v>2.08</v>
      </c>
      <c r="K4488" s="24">
        <v>3834.38</v>
      </c>
      <c r="L4488" s="38">
        <v>46291</v>
      </c>
      <c r="M4488" s="23" t="s">
        <v>224</v>
      </c>
      <c r="N4488" s="23" t="str">
        <f>IF(COUNTIF($A$2:A4488,A4488)&gt;1,"DUP","OK")</f>
        <v>OK</v>
      </c>
      <c r="O4488" s="23" t="str">
        <f t="shared" si="211"/>
        <v>ORD26004872</v>
      </c>
      <c r="P4488" s="23" t="str">
        <f t="shared" si="212"/>
        <v>Sep</v>
      </c>
      <c r="Q4488" s="23" t="str">
        <f>IF(F4488="CAPTURE",IF(COUNTIF(orders!$A:$A,O4488)&gt;0,"Yes","NO ORDER"),"")</f>
        <v>Yes</v>
      </c>
    </row>
    <row r="4489" spans="1:17" ht="15" customHeight="1" x14ac:dyDescent="0.3">
      <c r="A4489" s="23" t="s">
        <v>17589</v>
      </c>
      <c r="B4489" s="23"/>
      <c r="C4489" s="23" t="s">
        <v>17590</v>
      </c>
      <c r="D4489" s="23" t="str">
        <f t="shared" si="210"/>
        <v>ORD26004873</v>
      </c>
      <c r="E4489" s="38">
        <v>46289</v>
      </c>
      <c r="F4489" s="23" t="s">
        <v>12410</v>
      </c>
      <c r="G4489" s="23" t="s">
        <v>75</v>
      </c>
      <c r="H4489" s="24">
        <v>999</v>
      </c>
      <c r="I4489" s="24">
        <v>0</v>
      </c>
      <c r="J4489" s="24">
        <v>0</v>
      </c>
      <c r="K4489" s="24">
        <v>999</v>
      </c>
      <c r="L4489" s="38">
        <v>46291</v>
      </c>
      <c r="M4489" s="23" t="s">
        <v>224</v>
      </c>
      <c r="N4489" s="23" t="str">
        <f>IF(COUNTIF($A$2:A4489,A4489)&gt;1,"DUP","OK")</f>
        <v>OK</v>
      </c>
      <c r="O4489" s="23" t="str">
        <f t="shared" si="211"/>
        <v>ORD26004873</v>
      </c>
      <c r="P4489" s="23" t="str">
        <f t="shared" si="212"/>
        <v>Sep</v>
      </c>
      <c r="Q4489" s="23" t="str">
        <f>IF(F4489="CAPTURE",IF(COUNTIF(orders!$A:$A,O4489)&gt;0,"Yes","NO ORDER"),"")</f>
        <v>Yes</v>
      </c>
    </row>
    <row r="4490" spans="1:17" ht="15" customHeight="1" x14ac:dyDescent="0.3">
      <c r="A4490" s="23" t="s">
        <v>17591</v>
      </c>
      <c r="B4490" s="23"/>
      <c r="C4490" s="23" t="s">
        <v>10245</v>
      </c>
      <c r="D4490" s="23" t="str">
        <f t="shared" si="210"/>
        <v>ORD26004894</v>
      </c>
      <c r="E4490" s="38">
        <v>46289</v>
      </c>
      <c r="F4490" s="23" t="s">
        <v>12410</v>
      </c>
      <c r="G4490" s="23" t="s">
        <v>81</v>
      </c>
      <c r="H4490" s="24">
        <v>3499</v>
      </c>
      <c r="I4490" s="24">
        <v>41.99</v>
      </c>
      <c r="J4490" s="24">
        <v>7.56</v>
      </c>
      <c r="K4490" s="24">
        <v>3449.45</v>
      </c>
      <c r="L4490" s="38">
        <v>46291</v>
      </c>
      <c r="M4490" s="23" t="s">
        <v>224</v>
      </c>
      <c r="N4490" s="23" t="str">
        <f>IF(COUNTIF($A$2:A4490,A4490)&gt;1,"DUP","OK")</f>
        <v>OK</v>
      </c>
      <c r="O4490" s="23" t="str">
        <f t="shared" si="211"/>
        <v>ORD26004894</v>
      </c>
      <c r="P4490" s="23" t="str">
        <f t="shared" si="212"/>
        <v>Sep</v>
      </c>
      <c r="Q4490" s="23" t="str">
        <f>IF(F4490="CAPTURE",IF(COUNTIF(orders!$A:$A,O4490)&gt;0,"Yes","NO ORDER"),"")</f>
        <v>Yes</v>
      </c>
    </row>
    <row r="4491" spans="1:17" ht="15" customHeight="1" x14ac:dyDescent="0.3">
      <c r="A4491" s="23" t="s">
        <v>17592</v>
      </c>
      <c r="B4491" s="23"/>
      <c r="C4491" s="23" t="s">
        <v>10251</v>
      </c>
      <c r="D4491" s="23" t="str">
        <f t="shared" si="210"/>
        <v>ORD26004897</v>
      </c>
      <c r="E4491" s="38">
        <v>46289</v>
      </c>
      <c r="F4491" s="23" t="s">
        <v>12410</v>
      </c>
      <c r="G4491" s="23" t="s">
        <v>81</v>
      </c>
      <c r="H4491" s="24">
        <v>4798</v>
      </c>
      <c r="I4491" s="24">
        <v>57.58</v>
      </c>
      <c r="J4491" s="24">
        <v>10.36</v>
      </c>
      <c r="K4491" s="24">
        <v>4730.0600000000004</v>
      </c>
      <c r="L4491" s="38">
        <v>46291</v>
      </c>
      <c r="M4491" s="23" t="s">
        <v>224</v>
      </c>
      <c r="N4491" s="23" t="str">
        <f>IF(COUNTIF($A$2:A4491,A4491)&gt;1,"DUP","OK")</f>
        <v>OK</v>
      </c>
      <c r="O4491" s="23" t="str">
        <f t="shared" si="211"/>
        <v>ORD26004897</v>
      </c>
      <c r="P4491" s="23" t="str">
        <f t="shared" si="212"/>
        <v>Sep</v>
      </c>
      <c r="Q4491" s="23" t="str">
        <f>IF(F4491="CAPTURE",IF(COUNTIF(orders!$A:$A,O4491)&gt;0,"Yes","NO ORDER"),"")</f>
        <v>Yes</v>
      </c>
    </row>
    <row r="4492" spans="1:17" ht="15" customHeight="1" x14ac:dyDescent="0.3">
      <c r="A4492" s="23" t="s">
        <v>17593</v>
      </c>
      <c r="B4492" s="23"/>
      <c r="C4492" s="23" t="s">
        <v>10253</v>
      </c>
      <c r="D4492" s="23" t="str">
        <f t="shared" si="210"/>
        <v>ORD26004898</v>
      </c>
      <c r="E4492" s="38">
        <v>46289</v>
      </c>
      <c r="F4492" s="23" t="s">
        <v>12410</v>
      </c>
      <c r="G4492" s="23" t="s">
        <v>75</v>
      </c>
      <c r="H4492" s="24">
        <v>12297</v>
      </c>
      <c r="I4492" s="24">
        <v>36.89</v>
      </c>
      <c r="J4492" s="24">
        <v>6.64</v>
      </c>
      <c r="K4492" s="24">
        <v>12253.47</v>
      </c>
      <c r="L4492" s="38">
        <v>46291</v>
      </c>
      <c r="M4492" s="23" t="s">
        <v>224</v>
      </c>
      <c r="N4492" s="23" t="str">
        <f>IF(COUNTIF($A$2:A4492,A4492)&gt;1,"DUP","OK")</f>
        <v>OK</v>
      </c>
      <c r="O4492" s="23" t="str">
        <f t="shared" si="211"/>
        <v>ORD26004898</v>
      </c>
      <c r="P4492" s="23" t="str">
        <f t="shared" si="212"/>
        <v>Sep</v>
      </c>
      <c r="Q4492" s="23" t="str">
        <f>IF(F4492="CAPTURE",IF(COUNTIF(orders!$A:$A,O4492)&gt;0,"Yes","NO ORDER"),"")</f>
        <v>Yes</v>
      </c>
    </row>
    <row r="4493" spans="1:17" ht="15" customHeight="1" x14ac:dyDescent="0.3">
      <c r="A4493" s="23" t="s">
        <v>17594</v>
      </c>
      <c r="B4493" s="23"/>
      <c r="C4493" s="23" t="s">
        <v>10320</v>
      </c>
      <c r="D4493" s="23" t="str">
        <f t="shared" si="210"/>
        <v>ORD26004932</v>
      </c>
      <c r="E4493" s="38">
        <v>46289</v>
      </c>
      <c r="F4493" s="23" t="s">
        <v>12410</v>
      </c>
      <c r="G4493" s="23" t="s">
        <v>75</v>
      </c>
      <c r="H4493" s="24">
        <v>1098</v>
      </c>
      <c r="I4493" s="24">
        <v>0</v>
      </c>
      <c r="J4493" s="24">
        <v>0</v>
      </c>
      <c r="K4493" s="24">
        <v>1098</v>
      </c>
      <c r="L4493" s="38">
        <v>46291</v>
      </c>
      <c r="M4493" s="23" t="s">
        <v>224</v>
      </c>
      <c r="N4493" s="23" t="str">
        <f>IF(COUNTIF($A$2:A4493,A4493)&gt;1,"DUP","OK")</f>
        <v>OK</v>
      </c>
      <c r="O4493" s="23" t="str">
        <f t="shared" si="211"/>
        <v>ORD26004932</v>
      </c>
      <c r="P4493" s="23" t="str">
        <f t="shared" si="212"/>
        <v>Sep</v>
      </c>
      <c r="Q4493" s="23" t="str">
        <f>IF(F4493="CAPTURE",IF(COUNTIF(orders!$A:$A,O4493)&gt;0,"Yes","NO ORDER"),"")</f>
        <v>Yes</v>
      </c>
    </row>
    <row r="4494" spans="1:17" ht="15" customHeight="1" x14ac:dyDescent="0.3">
      <c r="A4494" s="23" t="s">
        <v>17595</v>
      </c>
      <c r="B4494" s="23"/>
      <c r="C4494" s="23" t="s">
        <v>10397</v>
      </c>
      <c r="D4494" s="23" t="str">
        <f t="shared" si="210"/>
        <v>ORD26004972</v>
      </c>
      <c r="E4494" s="38">
        <v>46289</v>
      </c>
      <c r="F4494" s="23" t="s">
        <v>12410</v>
      </c>
      <c r="G4494" s="23" t="s">
        <v>75</v>
      </c>
      <c r="H4494" s="24">
        <v>299</v>
      </c>
      <c r="I4494" s="24">
        <v>0.9</v>
      </c>
      <c r="J4494" s="24">
        <v>0.16</v>
      </c>
      <c r="K4494" s="24">
        <v>297.94</v>
      </c>
      <c r="L4494" s="38">
        <v>46291</v>
      </c>
      <c r="M4494" s="23" t="s">
        <v>224</v>
      </c>
      <c r="N4494" s="23" t="str">
        <f>IF(COUNTIF($A$2:A4494,A4494)&gt;1,"DUP","OK")</f>
        <v>OK</v>
      </c>
      <c r="O4494" s="23" t="str">
        <f t="shared" si="211"/>
        <v>ORD26004972</v>
      </c>
      <c r="P4494" s="23" t="str">
        <f t="shared" si="212"/>
        <v>Sep</v>
      </c>
      <c r="Q4494" s="23" t="str">
        <f>IF(F4494="CAPTURE",IF(COUNTIF(orders!$A:$A,O4494)&gt;0,"Yes","NO ORDER"),"")</f>
        <v>Yes</v>
      </c>
    </row>
    <row r="4495" spans="1:17" ht="15" customHeight="1" x14ac:dyDescent="0.3">
      <c r="A4495" s="23" t="s">
        <v>17596</v>
      </c>
      <c r="B4495" s="23"/>
      <c r="C4495" s="23" t="s">
        <v>10439</v>
      </c>
      <c r="D4495" s="23" t="str">
        <f t="shared" si="210"/>
        <v>ORD26004993</v>
      </c>
      <c r="E4495" s="38">
        <v>46289</v>
      </c>
      <c r="F4495" s="23" t="s">
        <v>12410</v>
      </c>
      <c r="G4495" s="23" t="s">
        <v>81</v>
      </c>
      <c r="H4495" s="24">
        <v>4397</v>
      </c>
      <c r="I4495" s="24">
        <v>52.76</v>
      </c>
      <c r="J4495" s="24">
        <v>9.5</v>
      </c>
      <c r="K4495" s="24">
        <v>4334.74</v>
      </c>
      <c r="L4495" s="38">
        <v>46291</v>
      </c>
      <c r="M4495" s="23" t="s">
        <v>224</v>
      </c>
      <c r="N4495" s="23" t="str">
        <f>IF(COUNTIF($A$2:A4495,A4495)&gt;1,"DUP","OK")</f>
        <v>OK</v>
      </c>
      <c r="O4495" s="23" t="str">
        <f t="shared" si="211"/>
        <v>ORD26004993</v>
      </c>
      <c r="P4495" s="23" t="str">
        <f t="shared" si="212"/>
        <v>Sep</v>
      </c>
      <c r="Q4495" s="23" t="str">
        <f>IF(F4495="CAPTURE",IF(COUNTIF(orders!$A:$A,O4495)&gt;0,"Yes","NO ORDER"),"")</f>
        <v>Yes</v>
      </c>
    </row>
    <row r="4496" spans="1:17" ht="15" customHeight="1" x14ac:dyDescent="0.3">
      <c r="A4496" s="23" t="s">
        <v>17597</v>
      </c>
      <c r="B4496" s="23"/>
      <c r="C4496" s="23" t="s">
        <v>17598</v>
      </c>
      <c r="D4496" s="23" t="str">
        <f t="shared" si="210"/>
        <v>ORD26005000</v>
      </c>
      <c r="E4496" s="38">
        <v>46289</v>
      </c>
      <c r="F4496" s="23" t="s">
        <v>12410</v>
      </c>
      <c r="G4496" s="23" t="s">
        <v>79</v>
      </c>
      <c r="H4496" s="24">
        <v>3798</v>
      </c>
      <c r="I4496" s="24">
        <v>60.77</v>
      </c>
      <c r="J4496" s="24">
        <v>10.94</v>
      </c>
      <c r="K4496" s="24">
        <v>3726.29</v>
      </c>
      <c r="L4496" s="38">
        <v>46291</v>
      </c>
      <c r="M4496" s="23" t="s">
        <v>224</v>
      </c>
      <c r="N4496" s="23" t="str">
        <f>IF(COUNTIF($A$2:A4496,A4496)&gt;1,"DUP","OK")</f>
        <v>OK</v>
      </c>
      <c r="O4496" s="23" t="str">
        <f t="shared" si="211"/>
        <v>ORD26005000</v>
      </c>
      <c r="P4496" s="23" t="str">
        <f t="shared" si="212"/>
        <v>Sep</v>
      </c>
      <c r="Q4496" s="23" t="str">
        <f>IF(F4496="CAPTURE",IF(COUNTIF(orders!$A:$A,O4496)&gt;0,"Yes","NO ORDER"),"")</f>
        <v>Yes</v>
      </c>
    </row>
    <row r="4497" spans="1:17" ht="15" customHeight="1" x14ac:dyDescent="0.3">
      <c r="A4497" s="23" t="s">
        <v>17599</v>
      </c>
      <c r="B4497" s="23"/>
      <c r="C4497" s="23" t="s">
        <v>10536</v>
      </c>
      <c r="D4497" s="23" t="str">
        <f t="shared" si="210"/>
        <v>ORD26005045</v>
      </c>
      <c r="E4497" s="38">
        <v>46289</v>
      </c>
      <c r="F4497" s="23" t="s">
        <v>12410</v>
      </c>
      <c r="G4497" s="23" t="s">
        <v>75</v>
      </c>
      <c r="H4497" s="24">
        <v>6297</v>
      </c>
      <c r="I4497" s="24">
        <v>18.89</v>
      </c>
      <c r="J4497" s="24">
        <v>3.4</v>
      </c>
      <c r="K4497" s="24">
        <v>6274.71</v>
      </c>
      <c r="L4497" s="38">
        <v>46291</v>
      </c>
      <c r="M4497" s="23" t="s">
        <v>224</v>
      </c>
      <c r="N4497" s="23" t="str">
        <f>IF(COUNTIF($A$2:A4497,A4497)&gt;1,"DUP","OK")</f>
        <v>OK</v>
      </c>
      <c r="O4497" s="23" t="str">
        <f t="shared" si="211"/>
        <v>ORD26005045</v>
      </c>
      <c r="P4497" s="23" t="str">
        <f t="shared" si="212"/>
        <v>Sep</v>
      </c>
      <c r="Q4497" s="23" t="str">
        <f>IF(F4497="CAPTURE",IF(COUNTIF(orders!$A:$A,O4497)&gt;0,"Yes","NO ORDER"),"")</f>
        <v>Yes</v>
      </c>
    </row>
    <row r="4498" spans="1:17" ht="15" customHeight="1" x14ac:dyDescent="0.3">
      <c r="A4498" s="23" t="s">
        <v>17600</v>
      </c>
      <c r="B4498" s="23"/>
      <c r="C4498" s="23" t="s">
        <v>10586</v>
      </c>
      <c r="D4498" s="23" t="str">
        <f t="shared" si="210"/>
        <v>ORD26005070</v>
      </c>
      <c r="E4498" s="38">
        <v>46289</v>
      </c>
      <c r="F4498" s="23" t="s">
        <v>12410</v>
      </c>
      <c r="G4498" s="23" t="s">
        <v>75</v>
      </c>
      <c r="H4498" s="24">
        <v>3597</v>
      </c>
      <c r="I4498" s="24">
        <v>10.79</v>
      </c>
      <c r="J4498" s="24">
        <v>1.94</v>
      </c>
      <c r="K4498" s="24">
        <v>3584.27</v>
      </c>
      <c r="L4498" s="38">
        <v>46291</v>
      </c>
      <c r="M4498" s="23" t="s">
        <v>224</v>
      </c>
      <c r="N4498" s="23" t="str">
        <f>IF(COUNTIF($A$2:A4498,A4498)&gt;1,"DUP","OK")</f>
        <v>OK</v>
      </c>
      <c r="O4498" s="23" t="str">
        <f t="shared" si="211"/>
        <v>ORD26005070</v>
      </c>
      <c r="P4498" s="23" t="str">
        <f t="shared" si="212"/>
        <v>Sep</v>
      </c>
      <c r="Q4498" s="23" t="str">
        <f>IF(F4498="CAPTURE",IF(COUNTIF(orders!$A:$A,O4498)&gt;0,"Yes","NO ORDER"),"")</f>
        <v>Yes</v>
      </c>
    </row>
    <row r="4499" spans="1:17" ht="15" customHeight="1" x14ac:dyDescent="0.3">
      <c r="A4499" s="23" t="s">
        <v>17601</v>
      </c>
      <c r="B4499" s="23"/>
      <c r="C4499" s="23" t="s">
        <v>10633</v>
      </c>
      <c r="D4499" s="23" t="str">
        <f t="shared" si="210"/>
        <v>ORD26005094</v>
      </c>
      <c r="E4499" s="38">
        <v>46289</v>
      </c>
      <c r="F4499" s="23" t="s">
        <v>12410</v>
      </c>
      <c r="G4499" s="23" t="s">
        <v>81</v>
      </c>
      <c r="H4499" s="24">
        <v>349</v>
      </c>
      <c r="I4499" s="24">
        <v>5.24</v>
      </c>
      <c r="J4499" s="24">
        <v>0.94</v>
      </c>
      <c r="K4499" s="24">
        <v>342.82</v>
      </c>
      <c r="L4499" s="38">
        <v>46291</v>
      </c>
      <c r="M4499" s="23" t="s">
        <v>224</v>
      </c>
      <c r="N4499" s="23" t="str">
        <f>IF(COUNTIF($A$2:A4499,A4499)&gt;1,"DUP","OK")</f>
        <v>OK</v>
      </c>
      <c r="O4499" s="23" t="str">
        <f t="shared" si="211"/>
        <v>ORD26005094</v>
      </c>
      <c r="P4499" s="23" t="str">
        <f t="shared" si="212"/>
        <v>Sep</v>
      </c>
      <c r="Q4499" s="23" t="str">
        <f>IF(F4499="CAPTURE",IF(COUNTIF(orders!$A:$A,O4499)&gt;0,"Yes","NO ORDER"),"")</f>
        <v>Yes</v>
      </c>
    </row>
    <row r="4500" spans="1:17" ht="15" customHeight="1" x14ac:dyDescent="0.3">
      <c r="A4500" s="23" t="s">
        <v>17602</v>
      </c>
      <c r="B4500" s="23"/>
      <c r="C4500" s="23" t="s">
        <v>10697</v>
      </c>
      <c r="D4500" s="23" t="str">
        <f t="shared" si="210"/>
        <v>ORD26005127</v>
      </c>
      <c r="E4500" s="38">
        <v>46289</v>
      </c>
      <c r="F4500" s="23" t="s">
        <v>12410</v>
      </c>
      <c r="G4500" s="23" t="s">
        <v>75</v>
      </c>
      <c r="H4500" s="24">
        <v>1299</v>
      </c>
      <c r="I4500" s="24">
        <v>0</v>
      </c>
      <c r="J4500" s="24">
        <v>0</v>
      </c>
      <c r="K4500" s="24">
        <v>1299</v>
      </c>
      <c r="L4500" s="38">
        <v>46291</v>
      </c>
      <c r="M4500" s="23" t="s">
        <v>224</v>
      </c>
      <c r="N4500" s="23" t="str">
        <f>IF(COUNTIF($A$2:A4500,A4500)&gt;1,"DUP","OK")</f>
        <v>OK</v>
      </c>
      <c r="O4500" s="23" t="str">
        <f t="shared" si="211"/>
        <v>ORD26005127</v>
      </c>
      <c r="P4500" s="23" t="str">
        <f t="shared" si="212"/>
        <v>Sep</v>
      </c>
      <c r="Q4500" s="23" t="str">
        <f>IF(F4500="CAPTURE",IF(COUNTIF(orders!$A:$A,O4500)&gt;0,"Yes","NO ORDER"),"")</f>
        <v>Yes</v>
      </c>
    </row>
    <row r="4501" spans="1:17" ht="15" customHeight="1" x14ac:dyDescent="0.3">
      <c r="A4501" s="23" t="s">
        <v>17603</v>
      </c>
      <c r="B4501" s="23"/>
      <c r="C4501" s="23" t="s">
        <v>17604</v>
      </c>
      <c r="D4501" s="23" t="str">
        <f t="shared" si="210"/>
        <v>ORD26005188</v>
      </c>
      <c r="E4501" s="38">
        <v>46289</v>
      </c>
      <c r="F4501" s="23" t="s">
        <v>12410</v>
      </c>
      <c r="G4501" s="23" t="s">
        <v>75</v>
      </c>
      <c r="H4501" s="24">
        <v>1098</v>
      </c>
      <c r="I4501" s="24">
        <v>0</v>
      </c>
      <c r="J4501" s="24">
        <v>0</v>
      </c>
      <c r="K4501" s="24">
        <v>1098</v>
      </c>
      <c r="L4501" s="38">
        <v>46291</v>
      </c>
      <c r="M4501" s="23" t="s">
        <v>224</v>
      </c>
      <c r="N4501" s="23" t="str">
        <f>IF(COUNTIF($A$2:A4501,A4501)&gt;1,"DUP","OK")</f>
        <v>OK</v>
      </c>
      <c r="O4501" s="23" t="str">
        <f t="shared" si="211"/>
        <v>ORD26005188</v>
      </c>
      <c r="P4501" s="23" t="str">
        <f t="shared" si="212"/>
        <v>Sep</v>
      </c>
      <c r="Q4501" s="23" t="str">
        <f>IF(F4501="CAPTURE",IF(COUNTIF(orders!$A:$A,O4501)&gt;0,"Yes","NO ORDER"),"")</f>
        <v>Yes</v>
      </c>
    </row>
    <row r="4502" spans="1:17" ht="15" customHeight="1" x14ac:dyDescent="0.3">
      <c r="A4502" s="23" t="s">
        <v>17605</v>
      </c>
      <c r="B4502" s="23"/>
      <c r="C4502" s="23" t="s">
        <v>10828</v>
      </c>
      <c r="D4502" s="23" t="str">
        <f t="shared" si="210"/>
        <v>ORD26005194</v>
      </c>
      <c r="E4502" s="38">
        <v>46289</v>
      </c>
      <c r="F4502" s="23" t="s">
        <v>12410</v>
      </c>
      <c r="G4502" s="23" t="s">
        <v>79</v>
      </c>
      <c r="H4502" s="24">
        <v>1847</v>
      </c>
      <c r="I4502" s="24">
        <v>33.25</v>
      </c>
      <c r="J4502" s="24">
        <v>5.99</v>
      </c>
      <c r="K4502" s="24">
        <v>1807.76</v>
      </c>
      <c r="L4502" s="38">
        <v>46291</v>
      </c>
      <c r="M4502" s="23" t="s">
        <v>224</v>
      </c>
      <c r="N4502" s="23" t="str">
        <f>IF(COUNTIF($A$2:A4502,A4502)&gt;1,"DUP","OK")</f>
        <v>OK</v>
      </c>
      <c r="O4502" s="23" t="str">
        <f t="shared" si="211"/>
        <v>ORD26005194</v>
      </c>
      <c r="P4502" s="23" t="str">
        <f t="shared" si="212"/>
        <v>Sep</v>
      </c>
      <c r="Q4502" s="23" t="str">
        <f>IF(F4502="CAPTURE",IF(COUNTIF(orders!$A:$A,O4502)&gt;0,"Yes","NO ORDER"),"")</f>
        <v>Yes</v>
      </c>
    </row>
    <row r="4503" spans="1:17" ht="15" customHeight="1" x14ac:dyDescent="0.3">
      <c r="A4503" s="23" t="s">
        <v>17606</v>
      </c>
      <c r="B4503" s="23"/>
      <c r="C4503" s="23" t="s">
        <v>10863</v>
      </c>
      <c r="D4503" s="23" t="str">
        <f t="shared" si="210"/>
        <v>ORD26005212</v>
      </c>
      <c r="E4503" s="38">
        <v>46289</v>
      </c>
      <c r="F4503" s="23" t="s">
        <v>12410</v>
      </c>
      <c r="G4503" s="23" t="s">
        <v>75</v>
      </c>
      <c r="H4503" s="24">
        <v>1898</v>
      </c>
      <c r="I4503" s="24">
        <v>0</v>
      </c>
      <c r="J4503" s="24">
        <v>0</v>
      </c>
      <c r="K4503" s="24">
        <v>1898</v>
      </c>
      <c r="L4503" s="38">
        <v>46291</v>
      </c>
      <c r="M4503" s="23" t="s">
        <v>224</v>
      </c>
      <c r="N4503" s="23" t="str">
        <f>IF(COUNTIF($A$2:A4503,A4503)&gt;1,"DUP","OK")</f>
        <v>OK</v>
      </c>
      <c r="O4503" s="23" t="str">
        <f t="shared" si="211"/>
        <v>ORD26005212</v>
      </c>
      <c r="P4503" s="23" t="str">
        <f t="shared" si="212"/>
        <v>Sep</v>
      </c>
      <c r="Q4503" s="23" t="str">
        <f>IF(F4503="CAPTURE",IF(COUNTIF(orders!$A:$A,O4503)&gt;0,"Yes","NO ORDER"),"")</f>
        <v>Yes</v>
      </c>
    </row>
    <row r="4504" spans="1:17" ht="15" customHeight="1" x14ac:dyDescent="0.3">
      <c r="A4504" s="23" t="s">
        <v>17607</v>
      </c>
      <c r="B4504" s="23"/>
      <c r="C4504" s="23" t="s">
        <v>10865</v>
      </c>
      <c r="D4504" s="23" t="str">
        <f t="shared" si="210"/>
        <v>ORD26005213</v>
      </c>
      <c r="E4504" s="38">
        <v>46289</v>
      </c>
      <c r="F4504" s="23" t="s">
        <v>12410</v>
      </c>
      <c r="G4504" s="23" t="s">
        <v>79</v>
      </c>
      <c r="H4504" s="24">
        <v>7998</v>
      </c>
      <c r="I4504" s="24">
        <v>127.97</v>
      </c>
      <c r="J4504" s="24">
        <v>23.03</v>
      </c>
      <c r="K4504" s="24">
        <v>7847</v>
      </c>
      <c r="L4504" s="38">
        <v>46291</v>
      </c>
      <c r="M4504" s="23" t="s">
        <v>224</v>
      </c>
      <c r="N4504" s="23" t="str">
        <f>IF(COUNTIF($A$2:A4504,A4504)&gt;1,"DUP","OK")</f>
        <v>OK</v>
      </c>
      <c r="O4504" s="23" t="str">
        <f t="shared" si="211"/>
        <v>ORD26005213</v>
      </c>
      <c r="P4504" s="23" t="str">
        <f t="shared" si="212"/>
        <v>Sep</v>
      </c>
      <c r="Q4504" s="23" t="str">
        <f>IF(F4504="CAPTURE",IF(COUNTIF(orders!$A:$A,O4504)&gt;0,"Yes","NO ORDER"),"")</f>
        <v>Yes</v>
      </c>
    </row>
    <row r="4505" spans="1:17" ht="15" customHeight="1" x14ac:dyDescent="0.3">
      <c r="A4505" s="23" t="s">
        <v>17608</v>
      </c>
      <c r="B4505" s="23"/>
      <c r="C4505" s="23" t="s">
        <v>11079</v>
      </c>
      <c r="D4505" s="23" t="str">
        <f t="shared" si="210"/>
        <v>ORD26005323</v>
      </c>
      <c r="E4505" s="38">
        <v>46289</v>
      </c>
      <c r="F4505" s="23" t="s">
        <v>12410</v>
      </c>
      <c r="G4505" s="23" t="s">
        <v>75</v>
      </c>
      <c r="H4505" s="24">
        <v>4999</v>
      </c>
      <c r="I4505" s="24">
        <v>15</v>
      </c>
      <c r="J4505" s="24">
        <v>2.7</v>
      </c>
      <c r="K4505" s="24">
        <v>4981.3</v>
      </c>
      <c r="L4505" s="38">
        <v>46291</v>
      </c>
      <c r="M4505" s="23" t="s">
        <v>224</v>
      </c>
      <c r="N4505" s="23" t="str">
        <f>IF(COUNTIF($A$2:A4505,A4505)&gt;1,"DUP","OK")</f>
        <v>OK</v>
      </c>
      <c r="O4505" s="23" t="str">
        <f t="shared" si="211"/>
        <v>ORD26005323</v>
      </c>
      <c r="P4505" s="23" t="str">
        <f t="shared" si="212"/>
        <v>Sep</v>
      </c>
      <c r="Q4505" s="23" t="str">
        <f>IF(F4505="CAPTURE",IF(COUNTIF(orders!$A:$A,O4505)&gt;0,"Yes","NO ORDER"),"")</f>
        <v>Yes</v>
      </c>
    </row>
    <row r="4506" spans="1:17" ht="15" customHeight="1" x14ac:dyDescent="0.3">
      <c r="A4506" s="23" t="s">
        <v>17609</v>
      </c>
      <c r="B4506" s="23"/>
      <c r="C4506" s="23" t="s">
        <v>11243</v>
      </c>
      <c r="D4506" s="23" t="str">
        <f t="shared" si="210"/>
        <v>ORD26005405</v>
      </c>
      <c r="E4506" s="38">
        <v>46289</v>
      </c>
      <c r="F4506" s="23" t="s">
        <v>12410</v>
      </c>
      <c r="G4506" s="23" t="s">
        <v>75</v>
      </c>
      <c r="H4506" s="24">
        <v>2697</v>
      </c>
      <c r="I4506" s="24">
        <v>8.09</v>
      </c>
      <c r="J4506" s="24">
        <v>1.46</v>
      </c>
      <c r="K4506" s="24">
        <v>2687.45</v>
      </c>
      <c r="L4506" s="38">
        <v>46291</v>
      </c>
      <c r="M4506" s="23" t="s">
        <v>224</v>
      </c>
      <c r="N4506" s="23" t="str">
        <f>IF(COUNTIF($A$2:A4506,A4506)&gt;1,"DUP","OK")</f>
        <v>OK</v>
      </c>
      <c r="O4506" s="23" t="str">
        <f t="shared" si="211"/>
        <v>ORD26005405</v>
      </c>
      <c r="P4506" s="23" t="str">
        <f t="shared" si="212"/>
        <v>Sep</v>
      </c>
      <c r="Q4506" s="23" t="str">
        <f>IF(F4506="CAPTURE",IF(COUNTIF(orders!$A:$A,O4506)&gt;0,"Yes","NO ORDER"),"")</f>
        <v>Yes</v>
      </c>
    </row>
    <row r="4507" spans="1:17" ht="15" customHeight="1" x14ac:dyDescent="0.3">
      <c r="A4507" s="23" t="s">
        <v>17610</v>
      </c>
      <c r="B4507" s="23"/>
      <c r="C4507" s="23" t="s">
        <v>11251</v>
      </c>
      <c r="D4507" s="23" t="str">
        <f t="shared" si="210"/>
        <v>ORD26005409</v>
      </c>
      <c r="E4507" s="38">
        <v>46289</v>
      </c>
      <c r="F4507" s="23" t="s">
        <v>12410</v>
      </c>
      <c r="G4507" s="23" t="s">
        <v>81</v>
      </c>
      <c r="H4507" s="24">
        <v>1799</v>
      </c>
      <c r="I4507" s="24">
        <v>26.99</v>
      </c>
      <c r="J4507" s="24">
        <v>4.8600000000000003</v>
      </c>
      <c r="K4507" s="24">
        <v>1767.15</v>
      </c>
      <c r="L4507" s="38">
        <v>46291</v>
      </c>
      <c r="M4507" s="23" t="s">
        <v>224</v>
      </c>
      <c r="N4507" s="23" t="str">
        <f>IF(COUNTIF($A$2:A4507,A4507)&gt;1,"DUP","OK")</f>
        <v>OK</v>
      </c>
      <c r="O4507" s="23" t="str">
        <f t="shared" si="211"/>
        <v>ORD26005409</v>
      </c>
      <c r="P4507" s="23" t="str">
        <f t="shared" si="212"/>
        <v>Sep</v>
      </c>
      <c r="Q4507" s="23" t="str">
        <f>IF(F4507="CAPTURE",IF(COUNTIF(orders!$A:$A,O4507)&gt;0,"Yes","NO ORDER"),"")</f>
        <v>Yes</v>
      </c>
    </row>
    <row r="4508" spans="1:17" ht="15" customHeight="1" x14ac:dyDescent="0.3">
      <c r="A4508" s="23" t="s">
        <v>17611</v>
      </c>
      <c r="B4508" s="23"/>
      <c r="C4508" s="23" t="s">
        <v>11255</v>
      </c>
      <c r="D4508" s="23" t="str">
        <f t="shared" si="210"/>
        <v>ORD26005411</v>
      </c>
      <c r="E4508" s="38">
        <v>46289</v>
      </c>
      <c r="F4508" s="23" t="s">
        <v>12410</v>
      </c>
      <c r="G4508" s="23" t="s">
        <v>79</v>
      </c>
      <c r="H4508" s="24">
        <v>9097</v>
      </c>
      <c r="I4508" s="24">
        <v>145.55000000000001</v>
      </c>
      <c r="J4508" s="24">
        <v>26.2</v>
      </c>
      <c r="K4508" s="24">
        <v>8925.25</v>
      </c>
      <c r="L4508" s="38">
        <v>46291</v>
      </c>
      <c r="M4508" s="23" t="s">
        <v>224</v>
      </c>
      <c r="N4508" s="23" t="str">
        <f>IF(COUNTIF($A$2:A4508,A4508)&gt;1,"DUP","OK")</f>
        <v>OK</v>
      </c>
      <c r="O4508" s="23" t="str">
        <f t="shared" si="211"/>
        <v>ORD26005411</v>
      </c>
      <c r="P4508" s="23" t="str">
        <f t="shared" si="212"/>
        <v>Sep</v>
      </c>
      <c r="Q4508" s="23" t="str">
        <f>IF(F4508="CAPTURE",IF(COUNTIF(orders!$A:$A,O4508)&gt;0,"Yes","NO ORDER"),"")</f>
        <v>Yes</v>
      </c>
    </row>
    <row r="4509" spans="1:17" ht="15" customHeight="1" x14ac:dyDescent="0.3">
      <c r="A4509" s="23" t="s">
        <v>17612</v>
      </c>
      <c r="B4509" s="23"/>
      <c r="C4509" s="23" t="s">
        <v>11261</v>
      </c>
      <c r="D4509" s="23" t="str">
        <f t="shared" si="210"/>
        <v>ORD26005414</v>
      </c>
      <c r="E4509" s="38">
        <v>46289</v>
      </c>
      <c r="F4509" s="23" t="s">
        <v>12410</v>
      </c>
      <c r="G4509" s="23" t="s">
        <v>75</v>
      </c>
      <c r="H4509" s="24">
        <v>1299</v>
      </c>
      <c r="I4509" s="24">
        <v>0</v>
      </c>
      <c r="J4509" s="24">
        <v>0</v>
      </c>
      <c r="K4509" s="24">
        <v>1299</v>
      </c>
      <c r="L4509" s="38">
        <v>46291</v>
      </c>
      <c r="M4509" s="23" t="s">
        <v>224</v>
      </c>
      <c r="N4509" s="23" t="str">
        <f>IF(COUNTIF($A$2:A4509,A4509)&gt;1,"DUP","OK")</f>
        <v>OK</v>
      </c>
      <c r="O4509" s="23" t="str">
        <f t="shared" si="211"/>
        <v>ORD26005414</v>
      </c>
      <c r="P4509" s="23" t="str">
        <f t="shared" si="212"/>
        <v>Sep</v>
      </c>
      <c r="Q4509" s="23" t="str">
        <f>IF(F4509="CAPTURE",IF(COUNTIF(orders!$A:$A,O4509)&gt;0,"Yes","NO ORDER"),"")</f>
        <v>Yes</v>
      </c>
    </row>
    <row r="4510" spans="1:17" ht="15" customHeight="1" x14ac:dyDescent="0.3">
      <c r="A4510" s="23" t="s">
        <v>17613</v>
      </c>
      <c r="B4510" s="23"/>
      <c r="C4510" s="23" t="s">
        <v>11305</v>
      </c>
      <c r="D4510" s="23" t="str">
        <f t="shared" si="210"/>
        <v>ORD26005437</v>
      </c>
      <c r="E4510" s="38">
        <v>46289</v>
      </c>
      <c r="F4510" s="23" t="s">
        <v>12410</v>
      </c>
      <c r="G4510" s="23" t="s">
        <v>79</v>
      </c>
      <c r="H4510" s="24">
        <v>2798</v>
      </c>
      <c r="I4510" s="24">
        <v>44.77</v>
      </c>
      <c r="J4510" s="24">
        <v>8.06</v>
      </c>
      <c r="K4510" s="24">
        <v>2745.17</v>
      </c>
      <c r="L4510" s="38">
        <v>46291</v>
      </c>
      <c r="M4510" s="23" t="s">
        <v>224</v>
      </c>
      <c r="N4510" s="23" t="str">
        <f>IF(COUNTIF($A$2:A4510,A4510)&gt;1,"DUP","OK")</f>
        <v>OK</v>
      </c>
      <c r="O4510" s="23" t="str">
        <f t="shared" si="211"/>
        <v>ORD26005437</v>
      </c>
      <c r="P4510" s="23" t="str">
        <f t="shared" si="212"/>
        <v>Sep</v>
      </c>
      <c r="Q4510" s="23" t="str">
        <f>IF(F4510="CAPTURE",IF(COUNTIF(orders!$A:$A,O4510)&gt;0,"Yes","NO ORDER"),"")</f>
        <v>Yes</v>
      </c>
    </row>
    <row r="4511" spans="1:17" ht="15" customHeight="1" x14ac:dyDescent="0.3">
      <c r="A4511" s="23" t="s">
        <v>17614</v>
      </c>
      <c r="B4511" s="23"/>
      <c r="C4511" s="23" t="s">
        <v>11496</v>
      </c>
      <c r="D4511" s="23" t="str">
        <f t="shared" si="210"/>
        <v>ORD26005535</v>
      </c>
      <c r="E4511" s="38">
        <v>46289</v>
      </c>
      <c r="F4511" s="23" t="s">
        <v>12410</v>
      </c>
      <c r="G4511" s="23" t="s">
        <v>81</v>
      </c>
      <c r="H4511" s="24">
        <v>1848</v>
      </c>
      <c r="I4511" s="24">
        <v>27.72</v>
      </c>
      <c r="J4511" s="24">
        <v>4.99</v>
      </c>
      <c r="K4511" s="24">
        <v>1815.29</v>
      </c>
      <c r="L4511" s="38">
        <v>46291</v>
      </c>
      <c r="M4511" s="23" t="s">
        <v>224</v>
      </c>
      <c r="N4511" s="23" t="str">
        <f>IF(COUNTIF($A$2:A4511,A4511)&gt;1,"DUP","OK")</f>
        <v>OK</v>
      </c>
      <c r="O4511" s="23" t="str">
        <f t="shared" si="211"/>
        <v>ORD26005535</v>
      </c>
      <c r="P4511" s="23" t="str">
        <f t="shared" si="212"/>
        <v>Sep</v>
      </c>
      <c r="Q4511" s="23" t="str">
        <f>IF(F4511="CAPTURE",IF(COUNTIF(orders!$A:$A,O4511)&gt;0,"Yes","NO ORDER"),"")</f>
        <v>Yes</v>
      </c>
    </row>
    <row r="4512" spans="1:17" ht="15" customHeight="1" x14ac:dyDescent="0.3">
      <c r="A4512" s="23" t="s">
        <v>17615</v>
      </c>
      <c r="B4512" s="23"/>
      <c r="C4512" s="23" t="s">
        <v>11549</v>
      </c>
      <c r="D4512" s="23" t="str">
        <f t="shared" si="210"/>
        <v>ORD26005562</v>
      </c>
      <c r="E4512" s="38">
        <v>46289</v>
      </c>
      <c r="F4512" s="23" t="s">
        <v>12410</v>
      </c>
      <c r="G4512" s="23" t="s">
        <v>77</v>
      </c>
      <c r="H4512" s="24">
        <v>2598</v>
      </c>
      <c r="I4512" s="24">
        <v>44.17</v>
      </c>
      <c r="J4512" s="24">
        <v>7.95</v>
      </c>
      <c r="K4512" s="24">
        <v>2545.88</v>
      </c>
      <c r="L4512" s="38">
        <v>46291</v>
      </c>
      <c r="M4512" s="23" t="s">
        <v>224</v>
      </c>
      <c r="N4512" s="23" t="str">
        <f>IF(COUNTIF($A$2:A4512,A4512)&gt;1,"DUP","OK")</f>
        <v>OK</v>
      </c>
      <c r="O4512" s="23" t="str">
        <f t="shared" si="211"/>
        <v>ORD26005562</v>
      </c>
      <c r="P4512" s="23" t="str">
        <f t="shared" si="212"/>
        <v>Sep</v>
      </c>
      <c r="Q4512" s="23" t="str">
        <f>IF(F4512="CAPTURE",IF(COUNTIF(orders!$A:$A,O4512)&gt;0,"Yes","NO ORDER"),"")</f>
        <v>Yes</v>
      </c>
    </row>
    <row r="4513" spans="1:17" ht="15" customHeight="1" x14ac:dyDescent="0.3">
      <c r="A4513" s="23" t="s">
        <v>17616</v>
      </c>
      <c r="B4513" s="23"/>
      <c r="C4513" s="23" t="s">
        <v>11579</v>
      </c>
      <c r="D4513" s="23" t="str">
        <f t="shared" si="210"/>
        <v>ORD26005578</v>
      </c>
      <c r="E4513" s="38">
        <v>46289</v>
      </c>
      <c r="F4513" s="23" t="s">
        <v>12410</v>
      </c>
      <c r="G4513" s="23" t="s">
        <v>75</v>
      </c>
      <c r="H4513" s="24">
        <v>12998</v>
      </c>
      <c r="I4513" s="24">
        <v>38.99</v>
      </c>
      <c r="J4513" s="24">
        <v>7.02</v>
      </c>
      <c r="K4513" s="24">
        <v>12951.99</v>
      </c>
      <c r="L4513" s="38">
        <v>46291</v>
      </c>
      <c r="M4513" s="23" t="s">
        <v>224</v>
      </c>
      <c r="N4513" s="23" t="str">
        <f>IF(COUNTIF($A$2:A4513,A4513)&gt;1,"DUP","OK")</f>
        <v>OK</v>
      </c>
      <c r="O4513" s="23" t="str">
        <f t="shared" si="211"/>
        <v>ORD26005578</v>
      </c>
      <c r="P4513" s="23" t="str">
        <f t="shared" si="212"/>
        <v>Sep</v>
      </c>
      <c r="Q4513" s="23" t="str">
        <f>IF(F4513="CAPTURE",IF(COUNTIF(orders!$A:$A,O4513)&gt;0,"Yes","NO ORDER"),"")</f>
        <v>Yes</v>
      </c>
    </row>
    <row r="4514" spans="1:17" ht="15" customHeight="1" x14ac:dyDescent="0.3">
      <c r="A4514" s="23" t="s">
        <v>17617</v>
      </c>
      <c r="B4514" s="23"/>
      <c r="C4514" s="23" t="s">
        <v>11718</v>
      </c>
      <c r="D4514" s="23" t="str">
        <f t="shared" si="210"/>
        <v>ORD26005648</v>
      </c>
      <c r="E4514" s="38">
        <v>46289</v>
      </c>
      <c r="F4514" s="23" t="s">
        <v>12410</v>
      </c>
      <c r="G4514" s="23" t="s">
        <v>75</v>
      </c>
      <c r="H4514" s="24">
        <v>2499</v>
      </c>
      <c r="I4514" s="24">
        <v>7.5</v>
      </c>
      <c r="J4514" s="24">
        <v>1.35</v>
      </c>
      <c r="K4514" s="24">
        <v>2490.15</v>
      </c>
      <c r="L4514" s="38">
        <v>46291</v>
      </c>
      <c r="M4514" s="23" t="s">
        <v>224</v>
      </c>
      <c r="N4514" s="23" t="str">
        <f>IF(COUNTIF($A$2:A4514,A4514)&gt;1,"DUP","OK")</f>
        <v>OK</v>
      </c>
      <c r="O4514" s="23" t="str">
        <f t="shared" si="211"/>
        <v>ORD26005648</v>
      </c>
      <c r="P4514" s="23" t="str">
        <f t="shared" si="212"/>
        <v>Sep</v>
      </c>
      <c r="Q4514" s="23" t="str">
        <f>IF(F4514="CAPTURE",IF(COUNTIF(orders!$A:$A,O4514)&gt;0,"Yes","NO ORDER"),"")</f>
        <v>Yes</v>
      </c>
    </row>
    <row r="4515" spans="1:17" ht="15" customHeight="1" x14ac:dyDescent="0.3">
      <c r="A4515" s="23" t="s">
        <v>17618</v>
      </c>
      <c r="B4515" s="23"/>
      <c r="C4515" s="23" t="s">
        <v>11796</v>
      </c>
      <c r="D4515" s="23" t="str">
        <f t="shared" si="210"/>
        <v>ORD26005689</v>
      </c>
      <c r="E4515" s="38">
        <v>46289</v>
      </c>
      <c r="F4515" s="23" t="s">
        <v>12410</v>
      </c>
      <c r="G4515" s="23" t="s">
        <v>75</v>
      </c>
      <c r="H4515" s="24">
        <v>3348</v>
      </c>
      <c r="I4515" s="24">
        <v>10.039999999999999</v>
      </c>
      <c r="J4515" s="24">
        <v>1.81</v>
      </c>
      <c r="K4515" s="24">
        <v>3336.15</v>
      </c>
      <c r="L4515" s="38">
        <v>46291</v>
      </c>
      <c r="M4515" s="23" t="s">
        <v>224</v>
      </c>
      <c r="N4515" s="23" t="str">
        <f>IF(COUNTIF($A$2:A4515,A4515)&gt;1,"DUP","OK")</f>
        <v>OK</v>
      </c>
      <c r="O4515" s="23" t="str">
        <f t="shared" si="211"/>
        <v>ORD26005689</v>
      </c>
      <c r="P4515" s="23" t="str">
        <f t="shared" si="212"/>
        <v>Sep</v>
      </c>
      <c r="Q4515" s="23" t="str">
        <f>IF(F4515="CAPTURE",IF(COUNTIF(orders!$A:$A,O4515)&gt;0,"Yes","NO ORDER"),"")</f>
        <v>Yes</v>
      </c>
    </row>
    <row r="4516" spans="1:17" ht="15" customHeight="1" x14ac:dyDescent="0.3">
      <c r="A4516" s="23" t="s">
        <v>17619</v>
      </c>
      <c r="B4516" s="23"/>
      <c r="C4516" s="23" t="s">
        <v>11800</v>
      </c>
      <c r="D4516" s="23" t="str">
        <f t="shared" si="210"/>
        <v>ORD26005691</v>
      </c>
      <c r="E4516" s="38">
        <v>46289</v>
      </c>
      <c r="F4516" s="23" t="s">
        <v>12410</v>
      </c>
      <c r="G4516" s="23" t="s">
        <v>75</v>
      </c>
      <c r="H4516" s="24">
        <v>4999</v>
      </c>
      <c r="I4516" s="24">
        <v>15</v>
      </c>
      <c r="J4516" s="24">
        <v>2.7</v>
      </c>
      <c r="K4516" s="24">
        <v>4981.3</v>
      </c>
      <c r="L4516" s="38">
        <v>46291</v>
      </c>
      <c r="M4516" s="23" t="s">
        <v>224</v>
      </c>
      <c r="N4516" s="23" t="str">
        <f>IF(COUNTIF($A$2:A4516,A4516)&gt;1,"DUP","OK")</f>
        <v>OK</v>
      </c>
      <c r="O4516" s="23" t="str">
        <f t="shared" si="211"/>
        <v>ORD26005691</v>
      </c>
      <c r="P4516" s="23" t="str">
        <f t="shared" si="212"/>
        <v>Sep</v>
      </c>
      <c r="Q4516" s="23" t="str">
        <f>IF(F4516="CAPTURE",IF(COUNTIF(orders!$A:$A,O4516)&gt;0,"Yes","NO ORDER"),"")</f>
        <v>Yes</v>
      </c>
    </row>
    <row r="4517" spans="1:17" ht="15" customHeight="1" x14ac:dyDescent="0.3">
      <c r="A4517" s="23" t="s">
        <v>17620</v>
      </c>
      <c r="B4517" s="23"/>
      <c r="C4517" s="23" t="s">
        <v>12098</v>
      </c>
      <c r="D4517" s="23" t="str">
        <f t="shared" si="210"/>
        <v>ORD26005845</v>
      </c>
      <c r="E4517" s="38">
        <v>46289</v>
      </c>
      <c r="F4517" s="23" t="s">
        <v>12410</v>
      </c>
      <c r="G4517" s="23" t="s">
        <v>75</v>
      </c>
      <c r="H4517" s="24">
        <v>6097</v>
      </c>
      <c r="I4517" s="24">
        <v>18.29</v>
      </c>
      <c r="J4517" s="24">
        <v>3.29</v>
      </c>
      <c r="K4517" s="24">
        <v>6075.42</v>
      </c>
      <c r="L4517" s="38">
        <v>46291</v>
      </c>
      <c r="M4517" s="23" t="s">
        <v>224</v>
      </c>
      <c r="N4517" s="23" t="str">
        <f>IF(COUNTIF($A$2:A4517,A4517)&gt;1,"DUP","OK")</f>
        <v>OK</v>
      </c>
      <c r="O4517" s="23" t="str">
        <f t="shared" si="211"/>
        <v>ORD26005845</v>
      </c>
      <c r="P4517" s="23" t="str">
        <f t="shared" si="212"/>
        <v>Sep</v>
      </c>
      <c r="Q4517" s="23" t="str">
        <f>IF(F4517="CAPTURE",IF(COUNTIF(orders!$A:$A,O4517)&gt;0,"Yes","NO ORDER"),"")</f>
        <v>Yes</v>
      </c>
    </row>
    <row r="4518" spans="1:17" ht="15" customHeight="1" x14ac:dyDescent="0.3">
      <c r="A4518" s="23" t="s">
        <v>17621</v>
      </c>
      <c r="B4518" s="23"/>
      <c r="C4518" s="23" t="s">
        <v>12124</v>
      </c>
      <c r="D4518" s="23" t="str">
        <f t="shared" si="210"/>
        <v>ORD26005859</v>
      </c>
      <c r="E4518" s="38">
        <v>46289</v>
      </c>
      <c r="F4518" s="23" t="s">
        <v>12410</v>
      </c>
      <c r="G4518" s="23" t="s">
        <v>75</v>
      </c>
      <c r="H4518" s="24">
        <v>1299</v>
      </c>
      <c r="I4518" s="24">
        <v>0</v>
      </c>
      <c r="J4518" s="24">
        <v>0</v>
      </c>
      <c r="K4518" s="24">
        <v>1299</v>
      </c>
      <c r="L4518" s="38">
        <v>46291</v>
      </c>
      <c r="M4518" s="23" t="s">
        <v>224</v>
      </c>
      <c r="N4518" s="23" t="str">
        <f>IF(COUNTIF($A$2:A4518,A4518)&gt;1,"DUP","OK")</f>
        <v>OK</v>
      </c>
      <c r="O4518" s="23" t="str">
        <f t="shared" si="211"/>
        <v>ORD26005859</v>
      </c>
      <c r="P4518" s="23" t="str">
        <f t="shared" si="212"/>
        <v>Sep</v>
      </c>
      <c r="Q4518" s="23" t="str">
        <f>IF(F4518="CAPTURE",IF(COUNTIF(orders!$A:$A,O4518)&gt;0,"Yes","NO ORDER"),"")</f>
        <v>Yes</v>
      </c>
    </row>
    <row r="4519" spans="1:17" ht="15" customHeight="1" x14ac:dyDescent="0.3">
      <c r="A4519" s="23" t="s">
        <v>17622</v>
      </c>
      <c r="B4519" s="23"/>
      <c r="C4519" s="23" t="s">
        <v>12133</v>
      </c>
      <c r="D4519" s="23" t="str">
        <f t="shared" si="210"/>
        <v>ORD26005864</v>
      </c>
      <c r="E4519" s="38">
        <v>46289</v>
      </c>
      <c r="F4519" s="23" t="s">
        <v>12410</v>
      </c>
      <c r="G4519" s="23" t="s">
        <v>81</v>
      </c>
      <c r="H4519" s="24">
        <v>499</v>
      </c>
      <c r="I4519" s="24">
        <v>7.49</v>
      </c>
      <c r="J4519" s="24">
        <v>1.35</v>
      </c>
      <c r="K4519" s="24">
        <v>490.16</v>
      </c>
      <c r="L4519" s="38">
        <v>46291</v>
      </c>
      <c r="M4519" s="23" t="s">
        <v>224</v>
      </c>
      <c r="N4519" s="23" t="str">
        <f>IF(COUNTIF($A$2:A4519,A4519)&gt;1,"DUP","OK")</f>
        <v>OK</v>
      </c>
      <c r="O4519" s="23" t="str">
        <f t="shared" si="211"/>
        <v>ORD26005864</v>
      </c>
      <c r="P4519" s="23" t="str">
        <f t="shared" si="212"/>
        <v>Sep</v>
      </c>
      <c r="Q4519" s="23" t="str">
        <f>IF(F4519="CAPTURE",IF(COUNTIF(orders!$A:$A,O4519)&gt;0,"Yes","NO ORDER"),"")</f>
        <v>Yes</v>
      </c>
    </row>
    <row r="4520" spans="1:17" ht="15" customHeight="1" x14ac:dyDescent="0.3">
      <c r="A4520" s="23" t="s">
        <v>17623</v>
      </c>
      <c r="B4520" s="23"/>
      <c r="C4520" s="23" t="s">
        <v>17624</v>
      </c>
      <c r="D4520" s="23" t="str">
        <f t="shared" si="210"/>
        <v>ORD26005872</v>
      </c>
      <c r="E4520" s="38">
        <v>46289</v>
      </c>
      <c r="F4520" s="23" t="s">
        <v>12410</v>
      </c>
      <c r="G4520" s="23" t="s">
        <v>75</v>
      </c>
      <c r="H4520" s="24">
        <v>2499</v>
      </c>
      <c r="I4520" s="24">
        <v>7.5</v>
      </c>
      <c r="J4520" s="24">
        <v>1.35</v>
      </c>
      <c r="K4520" s="24">
        <v>2490.15</v>
      </c>
      <c r="L4520" s="38">
        <v>46291</v>
      </c>
      <c r="M4520" s="23" t="s">
        <v>224</v>
      </c>
      <c r="N4520" s="23" t="str">
        <f>IF(COUNTIF($A$2:A4520,A4520)&gt;1,"DUP","OK")</f>
        <v>OK</v>
      </c>
      <c r="O4520" s="23" t="str">
        <f t="shared" si="211"/>
        <v>ORD26005872</v>
      </c>
      <c r="P4520" s="23" t="str">
        <f t="shared" si="212"/>
        <v>Sep</v>
      </c>
      <c r="Q4520" s="23" t="str">
        <f>IF(F4520="CAPTURE",IF(COUNTIF(orders!$A:$A,O4520)&gt;0,"Yes","NO ORDER"),"")</f>
        <v>Yes</v>
      </c>
    </row>
    <row r="4521" spans="1:17" ht="15" customHeight="1" x14ac:dyDescent="0.3">
      <c r="A4521" s="23" t="s">
        <v>17625</v>
      </c>
      <c r="B4521" s="23"/>
      <c r="C4521" s="23" t="s">
        <v>12167</v>
      </c>
      <c r="D4521" s="23" t="str">
        <f t="shared" si="210"/>
        <v>ORD26005883</v>
      </c>
      <c r="E4521" s="38">
        <v>46289</v>
      </c>
      <c r="F4521" s="23" t="s">
        <v>12410</v>
      </c>
      <c r="G4521" s="23" t="s">
        <v>75</v>
      </c>
      <c r="H4521" s="24">
        <v>9998</v>
      </c>
      <c r="I4521" s="24">
        <v>29.99</v>
      </c>
      <c r="J4521" s="24">
        <v>5.4</v>
      </c>
      <c r="K4521" s="24">
        <v>9962.61</v>
      </c>
      <c r="L4521" s="38">
        <v>46291</v>
      </c>
      <c r="M4521" s="23" t="s">
        <v>224</v>
      </c>
      <c r="N4521" s="23" t="str">
        <f>IF(COUNTIF($A$2:A4521,A4521)&gt;1,"DUP","OK")</f>
        <v>OK</v>
      </c>
      <c r="O4521" s="23" t="str">
        <f t="shared" si="211"/>
        <v>ORD26005883</v>
      </c>
      <c r="P4521" s="23" t="str">
        <f t="shared" si="212"/>
        <v>Sep</v>
      </c>
      <c r="Q4521" s="23" t="str">
        <f>IF(F4521="CAPTURE",IF(COUNTIF(orders!$A:$A,O4521)&gt;0,"Yes","NO ORDER"),"")</f>
        <v>Yes</v>
      </c>
    </row>
    <row r="4522" spans="1:17" ht="15" customHeight="1" x14ac:dyDescent="0.3">
      <c r="A4522" s="23" t="s">
        <v>17626</v>
      </c>
      <c r="B4522" s="23"/>
      <c r="C4522" s="23" t="s">
        <v>12171</v>
      </c>
      <c r="D4522" s="23" t="str">
        <f t="shared" si="210"/>
        <v>ORD26005885</v>
      </c>
      <c r="E4522" s="38">
        <v>46289</v>
      </c>
      <c r="F4522" s="23" t="s">
        <v>12410</v>
      </c>
      <c r="G4522" s="23" t="s">
        <v>75</v>
      </c>
      <c r="H4522" s="24">
        <v>1598</v>
      </c>
      <c r="I4522" s="24">
        <v>0</v>
      </c>
      <c r="J4522" s="24">
        <v>0</v>
      </c>
      <c r="K4522" s="24">
        <v>1598</v>
      </c>
      <c r="L4522" s="38">
        <v>46291</v>
      </c>
      <c r="M4522" s="23" t="s">
        <v>224</v>
      </c>
      <c r="N4522" s="23" t="str">
        <f>IF(COUNTIF($A$2:A4522,A4522)&gt;1,"DUP","OK")</f>
        <v>OK</v>
      </c>
      <c r="O4522" s="23" t="str">
        <f t="shared" si="211"/>
        <v>ORD26005885</v>
      </c>
      <c r="P4522" s="23" t="str">
        <f t="shared" si="212"/>
        <v>Sep</v>
      </c>
      <c r="Q4522" s="23" t="str">
        <f>IF(F4522="CAPTURE",IF(COUNTIF(orders!$A:$A,O4522)&gt;0,"Yes","NO ORDER"),"")</f>
        <v>Yes</v>
      </c>
    </row>
    <row r="4523" spans="1:17" ht="15" customHeight="1" x14ac:dyDescent="0.3">
      <c r="A4523" s="23" t="s">
        <v>17627</v>
      </c>
      <c r="B4523" s="23"/>
      <c r="C4523" s="23" t="s">
        <v>12212</v>
      </c>
      <c r="D4523" s="23" t="str">
        <f t="shared" si="210"/>
        <v>ORD26005906</v>
      </c>
      <c r="E4523" s="38">
        <v>46289</v>
      </c>
      <c r="F4523" s="23" t="s">
        <v>12410</v>
      </c>
      <c r="G4523" s="23" t="s">
        <v>75</v>
      </c>
      <c r="H4523" s="24">
        <v>6297</v>
      </c>
      <c r="I4523" s="24">
        <v>18.89</v>
      </c>
      <c r="J4523" s="24">
        <v>3.4</v>
      </c>
      <c r="K4523" s="24">
        <v>6274.71</v>
      </c>
      <c r="L4523" s="38">
        <v>46291</v>
      </c>
      <c r="M4523" s="23" t="s">
        <v>224</v>
      </c>
      <c r="N4523" s="23" t="str">
        <f>IF(COUNTIF($A$2:A4523,A4523)&gt;1,"DUP","OK")</f>
        <v>OK</v>
      </c>
      <c r="O4523" s="23" t="str">
        <f t="shared" si="211"/>
        <v>ORD26005906</v>
      </c>
      <c r="P4523" s="23" t="str">
        <f t="shared" si="212"/>
        <v>Sep</v>
      </c>
      <c r="Q4523" s="23" t="str">
        <f>IF(F4523="CAPTURE",IF(COUNTIF(orders!$A:$A,O4523)&gt;0,"Yes","NO ORDER"),"")</f>
        <v>Yes</v>
      </c>
    </row>
    <row r="4524" spans="1:17" ht="15" customHeight="1" x14ac:dyDescent="0.3">
      <c r="A4524" s="23" t="s">
        <v>17628</v>
      </c>
      <c r="B4524" s="23"/>
      <c r="C4524" s="23" t="s">
        <v>12240</v>
      </c>
      <c r="D4524" s="23" t="str">
        <f t="shared" si="210"/>
        <v>ORD26005920</v>
      </c>
      <c r="E4524" s="38">
        <v>46289</v>
      </c>
      <c r="F4524" s="23" t="s">
        <v>12410</v>
      </c>
      <c r="G4524" s="23" t="s">
        <v>75</v>
      </c>
      <c r="H4524" s="24">
        <v>3447</v>
      </c>
      <c r="I4524" s="24">
        <v>10.34</v>
      </c>
      <c r="J4524" s="24">
        <v>1.86</v>
      </c>
      <c r="K4524" s="24">
        <v>3434.8</v>
      </c>
      <c r="L4524" s="38">
        <v>46291</v>
      </c>
      <c r="M4524" s="23" t="s">
        <v>224</v>
      </c>
      <c r="N4524" s="23" t="str">
        <f>IF(COUNTIF($A$2:A4524,A4524)&gt;1,"DUP","OK")</f>
        <v>OK</v>
      </c>
      <c r="O4524" s="23" t="str">
        <f t="shared" si="211"/>
        <v>ORD26005920</v>
      </c>
      <c r="P4524" s="23" t="str">
        <f t="shared" si="212"/>
        <v>Sep</v>
      </c>
      <c r="Q4524" s="23" t="str">
        <f>IF(F4524="CAPTURE",IF(COUNTIF(orders!$A:$A,O4524)&gt;0,"Yes","NO ORDER"),"")</f>
        <v>Yes</v>
      </c>
    </row>
    <row r="4525" spans="1:17" ht="15" customHeight="1" x14ac:dyDescent="0.3">
      <c r="A4525" s="23" t="s">
        <v>17629</v>
      </c>
      <c r="B4525" s="23"/>
      <c r="C4525" s="23" t="s">
        <v>12363</v>
      </c>
      <c r="D4525" s="23" t="str">
        <f t="shared" si="210"/>
        <v>ORD26005986</v>
      </c>
      <c r="E4525" s="38">
        <v>46289</v>
      </c>
      <c r="F4525" s="23" t="s">
        <v>12410</v>
      </c>
      <c r="G4525" s="23" t="s">
        <v>79</v>
      </c>
      <c r="H4525" s="24">
        <v>7998</v>
      </c>
      <c r="I4525" s="24">
        <v>127.97</v>
      </c>
      <c r="J4525" s="24">
        <v>23.03</v>
      </c>
      <c r="K4525" s="24">
        <v>7847</v>
      </c>
      <c r="L4525" s="38">
        <v>46291</v>
      </c>
      <c r="M4525" s="23" t="s">
        <v>224</v>
      </c>
      <c r="N4525" s="23" t="str">
        <f>IF(COUNTIF($A$2:A4525,A4525)&gt;1,"DUP","OK")</f>
        <v>OK</v>
      </c>
      <c r="O4525" s="23" t="str">
        <f t="shared" si="211"/>
        <v>ORD26005986</v>
      </c>
      <c r="P4525" s="23" t="str">
        <f t="shared" si="212"/>
        <v>Sep</v>
      </c>
      <c r="Q4525" s="23" t="str">
        <f>IF(F4525="CAPTURE",IF(COUNTIF(orders!$A:$A,O4525)&gt;0,"Yes","NO ORDER"),"")</f>
        <v>Yes</v>
      </c>
    </row>
    <row r="4526" spans="1:17" ht="15" customHeight="1" x14ac:dyDescent="0.3">
      <c r="A4526" s="23" t="s">
        <v>17630</v>
      </c>
      <c r="B4526" s="23" t="s">
        <v>16250</v>
      </c>
      <c r="C4526" s="23"/>
      <c r="D4526" s="23" t="str">
        <f t="shared" si="210"/>
        <v/>
      </c>
      <c r="E4526" s="38">
        <v>46289</v>
      </c>
      <c r="F4526" s="23" t="s">
        <v>12791</v>
      </c>
      <c r="G4526" s="23" t="s">
        <v>75</v>
      </c>
      <c r="H4526" s="24">
        <v>4597</v>
      </c>
      <c r="I4526" s="24">
        <v>0</v>
      </c>
      <c r="J4526" s="24">
        <v>0</v>
      </c>
      <c r="K4526" s="24">
        <v>-4597</v>
      </c>
      <c r="L4526" s="38">
        <v>46291</v>
      </c>
      <c r="M4526" s="23" t="s">
        <v>224</v>
      </c>
      <c r="N4526" s="23" t="str">
        <f>IF(COUNTIF($A$2:A4526,A4526)&gt;1,"DUP","OK")</f>
        <v>OK</v>
      </c>
      <c r="O4526" s="23" t="str">
        <f t="shared" si="211"/>
        <v>ORD26002831</v>
      </c>
      <c r="P4526" s="23" t="str">
        <f t="shared" si="212"/>
        <v>Sep</v>
      </c>
      <c r="Q4526" s="23" t="str">
        <f>IF(F4526="CAPTURE",IF(COUNTIF(orders!$A:$A,O4526)&gt;0,"Yes","NO ORDER"),"")</f>
        <v/>
      </c>
    </row>
    <row r="4527" spans="1:17" ht="15" customHeight="1" x14ac:dyDescent="0.3">
      <c r="A4527" s="23" t="s">
        <v>17631</v>
      </c>
      <c r="B4527" s="23" t="s">
        <v>16995</v>
      </c>
      <c r="C4527" s="23"/>
      <c r="D4527" s="23" t="str">
        <f t="shared" si="210"/>
        <v/>
      </c>
      <c r="E4527" s="38">
        <v>46289</v>
      </c>
      <c r="F4527" s="23" t="s">
        <v>12791</v>
      </c>
      <c r="G4527" s="23" t="s">
        <v>77</v>
      </c>
      <c r="H4527" s="24">
        <v>599</v>
      </c>
      <c r="I4527" s="24">
        <v>0</v>
      </c>
      <c r="J4527" s="24">
        <v>0</v>
      </c>
      <c r="K4527" s="24">
        <v>-599</v>
      </c>
      <c r="L4527" s="38">
        <v>46291</v>
      </c>
      <c r="M4527" s="23" t="s">
        <v>224</v>
      </c>
      <c r="N4527" s="23" t="str">
        <f>IF(COUNTIF($A$2:A4527,A4527)&gt;1,"DUP","OK")</f>
        <v>OK</v>
      </c>
      <c r="O4527" s="23" t="str">
        <f t="shared" si="211"/>
        <v>ORD26005493</v>
      </c>
      <c r="P4527" s="23" t="str">
        <f t="shared" si="212"/>
        <v>Sep</v>
      </c>
      <c r="Q4527" s="23" t="str">
        <f>IF(F4527="CAPTURE",IF(COUNTIF(orders!$A:$A,O4527)&gt;0,"Yes","NO ORDER"),"")</f>
        <v/>
      </c>
    </row>
    <row r="4528" spans="1:17" ht="15" customHeight="1" x14ac:dyDescent="0.3">
      <c r="A4528" s="23" t="s">
        <v>17632</v>
      </c>
      <c r="B4528" s="23" t="s">
        <v>16731</v>
      </c>
      <c r="C4528" s="23"/>
      <c r="D4528" s="23" t="str">
        <f t="shared" si="210"/>
        <v/>
      </c>
      <c r="E4528" s="38">
        <v>46289</v>
      </c>
      <c r="F4528" s="23" t="s">
        <v>12791</v>
      </c>
      <c r="G4528" s="23" t="s">
        <v>79</v>
      </c>
      <c r="H4528" s="24">
        <v>1848</v>
      </c>
      <c r="I4528" s="24">
        <v>0</v>
      </c>
      <c r="J4528" s="24">
        <v>0</v>
      </c>
      <c r="K4528" s="24">
        <v>-1848</v>
      </c>
      <c r="L4528" s="38">
        <v>46291</v>
      </c>
      <c r="M4528" s="23" t="s">
        <v>224</v>
      </c>
      <c r="N4528" s="23" t="str">
        <f>IF(COUNTIF($A$2:A4528,A4528)&gt;1,"DUP","OK")</f>
        <v>OK</v>
      </c>
      <c r="O4528" s="23" t="str">
        <f t="shared" si="211"/>
        <v>ORD26004524</v>
      </c>
      <c r="P4528" s="23" t="str">
        <f t="shared" si="212"/>
        <v>Sep</v>
      </c>
      <c r="Q4528" s="23" t="str">
        <f>IF(F4528="CAPTURE",IF(COUNTIF(orders!$A:$A,O4528)&gt;0,"Yes","NO ORDER"),"")</f>
        <v/>
      </c>
    </row>
    <row r="4529" spans="1:17" ht="15" customHeight="1" x14ac:dyDescent="0.3">
      <c r="A4529" s="23" t="s">
        <v>17633</v>
      </c>
      <c r="B4529" s="23" t="s">
        <v>17337</v>
      </c>
      <c r="C4529" s="23"/>
      <c r="D4529" s="23" t="str">
        <f t="shared" si="210"/>
        <v/>
      </c>
      <c r="E4529" s="38">
        <v>46289</v>
      </c>
      <c r="F4529" s="23" t="s">
        <v>12791</v>
      </c>
      <c r="G4529" s="23" t="s">
        <v>75</v>
      </c>
      <c r="H4529" s="24">
        <v>349</v>
      </c>
      <c r="I4529" s="24">
        <v>0</v>
      </c>
      <c r="J4529" s="24">
        <v>0</v>
      </c>
      <c r="K4529" s="24">
        <v>-349</v>
      </c>
      <c r="L4529" s="38">
        <v>46291</v>
      </c>
      <c r="M4529" s="23" t="s">
        <v>224</v>
      </c>
      <c r="N4529" s="23" t="str">
        <f>IF(COUNTIF($A$2:A4529,A4529)&gt;1,"DUP","OK")</f>
        <v>OK</v>
      </c>
      <c r="O4529" s="23" t="str">
        <f t="shared" si="211"/>
        <v>ORD26003721</v>
      </c>
      <c r="P4529" s="23" t="str">
        <f t="shared" si="212"/>
        <v>Sep</v>
      </c>
      <c r="Q4529" s="23" t="str">
        <f>IF(F4529="CAPTURE",IF(COUNTIF(orders!$A:$A,O4529)&gt;0,"Yes","NO ORDER"),"")</f>
        <v/>
      </c>
    </row>
    <row r="4530" spans="1:17" ht="15" customHeight="1" x14ac:dyDescent="0.3">
      <c r="A4530" s="23" t="s">
        <v>17634</v>
      </c>
      <c r="B4530" s="23" t="s">
        <v>17011</v>
      </c>
      <c r="C4530" s="23"/>
      <c r="D4530" s="23" t="str">
        <f t="shared" si="210"/>
        <v/>
      </c>
      <c r="E4530" s="38">
        <v>46289</v>
      </c>
      <c r="F4530" s="23" t="s">
        <v>12791</v>
      </c>
      <c r="G4530" s="23" t="s">
        <v>79</v>
      </c>
      <c r="H4530" s="24">
        <v>1499</v>
      </c>
      <c r="I4530" s="24">
        <v>0</v>
      </c>
      <c r="J4530" s="24">
        <v>0</v>
      </c>
      <c r="K4530" s="24">
        <v>-1499</v>
      </c>
      <c r="L4530" s="38">
        <v>46291</v>
      </c>
      <c r="M4530" s="23" t="s">
        <v>224</v>
      </c>
      <c r="N4530" s="23" t="str">
        <f>IF(COUNTIF($A$2:A4530,A4530)&gt;1,"DUP","OK")</f>
        <v>OK</v>
      </c>
      <c r="O4530" s="23" t="str">
        <f t="shared" si="211"/>
        <v>ORD26005928</v>
      </c>
      <c r="P4530" s="23" t="str">
        <f t="shared" si="212"/>
        <v>Sep</v>
      </c>
      <c r="Q4530" s="23" t="str">
        <f>IF(F4530="CAPTURE",IF(COUNTIF(orders!$A:$A,O4530)&gt;0,"Yes","NO ORDER"),"")</f>
        <v/>
      </c>
    </row>
    <row r="4531" spans="1:17" ht="15" customHeight="1" x14ac:dyDescent="0.3">
      <c r="A4531" s="23" t="s">
        <v>17635</v>
      </c>
      <c r="B4531" s="23" t="s">
        <v>16831</v>
      </c>
      <c r="C4531" s="23"/>
      <c r="D4531" s="23" t="str">
        <f t="shared" si="210"/>
        <v/>
      </c>
      <c r="E4531" s="38">
        <v>46289</v>
      </c>
      <c r="F4531" s="23" t="s">
        <v>12791</v>
      </c>
      <c r="G4531" s="23" t="s">
        <v>75</v>
      </c>
      <c r="H4531" s="24">
        <v>4999</v>
      </c>
      <c r="I4531" s="24">
        <v>0</v>
      </c>
      <c r="J4531" s="24">
        <v>0</v>
      </c>
      <c r="K4531" s="24">
        <v>-4999</v>
      </c>
      <c r="L4531" s="38">
        <v>46291</v>
      </c>
      <c r="M4531" s="23" t="s">
        <v>224</v>
      </c>
      <c r="N4531" s="23" t="str">
        <f>IF(COUNTIF($A$2:A4531,A4531)&gt;1,"DUP","OK")</f>
        <v>OK</v>
      </c>
      <c r="O4531" s="23" t="str">
        <f t="shared" si="211"/>
        <v>ORD26000322</v>
      </c>
      <c r="P4531" s="23" t="str">
        <f t="shared" si="212"/>
        <v>Sep</v>
      </c>
      <c r="Q4531" s="23" t="str">
        <f>IF(F4531="CAPTURE",IF(COUNTIF(orders!$A:$A,O4531)&gt;0,"Yes","NO ORDER"),"")</f>
        <v/>
      </c>
    </row>
    <row r="4532" spans="1:17" ht="15" customHeight="1" x14ac:dyDescent="0.3">
      <c r="A4532" s="23" t="s">
        <v>17636</v>
      </c>
      <c r="B4532" s="23" t="s">
        <v>16976</v>
      </c>
      <c r="C4532" s="23"/>
      <c r="D4532" s="23" t="str">
        <f t="shared" si="210"/>
        <v/>
      </c>
      <c r="E4532" s="38">
        <v>46289</v>
      </c>
      <c r="F4532" s="23" t="s">
        <v>12791</v>
      </c>
      <c r="G4532" s="23" t="s">
        <v>79</v>
      </c>
      <c r="H4532" s="24">
        <v>8998</v>
      </c>
      <c r="I4532" s="24">
        <v>0</v>
      </c>
      <c r="J4532" s="24">
        <v>0</v>
      </c>
      <c r="K4532" s="24">
        <v>-8998</v>
      </c>
      <c r="L4532" s="38">
        <v>46291</v>
      </c>
      <c r="M4532" s="23" t="s">
        <v>224</v>
      </c>
      <c r="N4532" s="23" t="str">
        <f>IF(COUNTIF($A$2:A4532,A4532)&gt;1,"DUP","OK")</f>
        <v>OK</v>
      </c>
      <c r="O4532" s="23" t="str">
        <f t="shared" si="211"/>
        <v>ORD26004821</v>
      </c>
      <c r="P4532" s="23" t="str">
        <f t="shared" si="212"/>
        <v>Sep</v>
      </c>
      <c r="Q4532" s="23" t="str">
        <f>IF(F4532="CAPTURE",IF(COUNTIF(orders!$A:$A,O4532)&gt;0,"Yes","NO ORDER"),"")</f>
        <v/>
      </c>
    </row>
    <row r="4533" spans="1:17" ht="15" customHeight="1" x14ac:dyDescent="0.3">
      <c r="A4533" s="23" t="s">
        <v>17637</v>
      </c>
      <c r="B4533" s="23"/>
      <c r="C4533" s="23" t="s">
        <v>272</v>
      </c>
      <c r="D4533" s="23" t="str">
        <f t="shared" si="210"/>
        <v>ORD26000009</v>
      </c>
      <c r="E4533" s="38">
        <v>46290</v>
      </c>
      <c r="F4533" s="23" t="s">
        <v>12410</v>
      </c>
      <c r="G4533" s="23" t="s">
        <v>81</v>
      </c>
      <c r="H4533" s="24">
        <v>349</v>
      </c>
      <c r="I4533" s="24">
        <v>5.24</v>
      </c>
      <c r="J4533" s="24">
        <v>0.94</v>
      </c>
      <c r="K4533" s="24">
        <v>342.82</v>
      </c>
      <c r="L4533" s="38">
        <v>46292</v>
      </c>
      <c r="M4533" s="23" t="s">
        <v>226</v>
      </c>
      <c r="N4533" s="23" t="str">
        <f>IF(COUNTIF($A$2:A4533,A4533)&gt;1,"DUP","OK")</f>
        <v>OK</v>
      </c>
      <c r="O4533" s="23" t="str">
        <f t="shared" si="211"/>
        <v>ORD26000009</v>
      </c>
      <c r="P4533" s="23" t="str">
        <f t="shared" si="212"/>
        <v>Sep</v>
      </c>
      <c r="Q4533" s="23" t="str">
        <f>IF(F4533="CAPTURE",IF(COUNTIF(orders!$A:$A,O4533)&gt;0,"Yes","NO ORDER"),"")</f>
        <v>Yes</v>
      </c>
    </row>
    <row r="4534" spans="1:17" ht="15" customHeight="1" x14ac:dyDescent="0.3">
      <c r="A4534" s="23" t="s">
        <v>17638</v>
      </c>
      <c r="B4534" s="23"/>
      <c r="C4534" s="23" t="s">
        <v>319</v>
      </c>
      <c r="D4534" s="23" t="str">
        <f t="shared" si="210"/>
        <v>ORD26000025</v>
      </c>
      <c r="E4534" s="38">
        <v>46290</v>
      </c>
      <c r="F4534" s="23" t="s">
        <v>12410</v>
      </c>
      <c r="G4534" s="23" t="s">
        <v>75</v>
      </c>
      <c r="H4534" s="24">
        <v>5498</v>
      </c>
      <c r="I4534" s="24">
        <v>16.489999999999998</v>
      </c>
      <c r="J4534" s="24">
        <v>2.97</v>
      </c>
      <c r="K4534" s="24">
        <v>5478.54</v>
      </c>
      <c r="L4534" s="38">
        <v>46292</v>
      </c>
      <c r="M4534" s="23" t="s">
        <v>226</v>
      </c>
      <c r="N4534" s="23" t="str">
        <f>IF(COUNTIF($A$2:A4534,A4534)&gt;1,"DUP","OK")</f>
        <v>OK</v>
      </c>
      <c r="O4534" s="23" t="str">
        <f t="shared" si="211"/>
        <v>ORD26000025</v>
      </c>
      <c r="P4534" s="23" t="str">
        <f t="shared" si="212"/>
        <v>Sep</v>
      </c>
      <c r="Q4534" s="23" t="str">
        <f>IF(F4534="CAPTURE",IF(COUNTIF(orders!$A:$A,O4534)&gt;0,"Yes","NO ORDER"),"")</f>
        <v>Yes</v>
      </c>
    </row>
    <row r="4535" spans="1:17" ht="15" customHeight="1" x14ac:dyDescent="0.3">
      <c r="A4535" s="23" t="s">
        <v>17639</v>
      </c>
      <c r="B4535" s="23"/>
      <c r="C4535" s="23" t="s">
        <v>518</v>
      </c>
      <c r="D4535" s="23" t="str">
        <f t="shared" si="210"/>
        <v>ORD26000105</v>
      </c>
      <c r="E4535" s="38">
        <v>46290</v>
      </c>
      <c r="F4535" s="23" t="s">
        <v>12410</v>
      </c>
      <c r="G4535" s="23" t="s">
        <v>75</v>
      </c>
      <c r="H4535" s="24">
        <v>4998</v>
      </c>
      <c r="I4535" s="24">
        <v>14.99</v>
      </c>
      <c r="J4535" s="24">
        <v>2.7</v>
      </c>
      <c r="K4535" s="24">
        <v>4980.3100000000004</v>
      </c>
      <c r="L4535" s="38">
        <v>46292</v>
      </c>
      <c r="M4535" s="23" t="s">
        <v>226</v>
      </c>
      <c r="N4535" s="23" t="str">
        <f>IF(COUNTIF($A$2:A4535,A4535)&gt;1,"DUP","OK")</f>
        <v>OK</v>
      </c>
      <c r="O4535" s="23" t="str">
        <f t="shared" si="211"/>
        <v>ORD26000105</v>
      </c>
      <c r="P4535" s="23" t="str">
        <f t="shared" si="212"/>
        <v>Sep</v>
      </c>
      <c r="Q4535" s="23" t="str">
        <f>IF(F4535="CAPTURE",IF(COUNTIF(orders!$A:$A,O4535)&gt;0,"Yes","NO ORDER"),"")</f>
        <v>Yes</v>
      </c>
    </row>
    <row r="4536" spans="1:17" ht="15" customHeight="1" x14ac:dyDescent="0.3">
      <c r="A4536" s="23" t="s">
        <v>17640</v>
      </c>
      <c r="B4536" s="23"/>
      <c r="C4536" s="23" t="s">
        <v>17641</v>
      </c>
      <c r="D4536" s="23" t="str">
        <f t="shared" si="210"/>
        <v>ORD26000206</v>
      </c>
      <c r="E4536" s="38">
        <v>46290</v>
      </c>
      <c r="F4536" s="23" t="s">
        <v>12410</v>
      </c>
      <c r="G4536" s="23" t="s">
        <v>75</v>
      </c>
      <c r="H4536" s="24">
        <v>1348</v>
      </c>
      <c r="I4536" s="24">
        <v>0</v>
      </c>
      <c r="J4536" s="24">
        <v>0</v>
      </c>
      <c r="K4536" s="24">
        <v>1348</v>
      </c>
      <c r="L4536" s="38">
        <v>46292</v>
      </c>
      <c r="M4536" s="23" t="s">
        <v>226</v>
      </c>
      <c r="N4536" s="23" t="str">
        <f>IF(COUNTIF($A$2:A4536,A4536)&gt;1,"DUP","OK")</f>
        <v>OK</v>
      </c>
      <c r="O4536" s="23" t="str">
        <f t="shared" si="211"/>
        <v>ORD26000206</v>
      </c>
      <c r="P4536" s="23" t="str">
        <f t="shared" si="212"/>
        <v>Sep</v>
      </c>
      <c r="Q4536" s="23" t="str">
        <f>IF(F4536="CAPTURE",IF(COUNTIF(orders!$A:$A,O4536)&gt;0,"Yes","NO ORDER"),"")</f>
        <v>Yes</v>
      </c>
    </row>
    <row r="4537" spans="1:17" ht="15" customHeight="1" x14ac:dyDescent="0.3">
      <c r="A4537" s="23" t="s">
        <v>17642</v>
      </c>
      <c r="B4537" s="23"/>
      <c r="C4537" s="23" t="s">
        <v>822</v>
      </c>
      <c r="D4537" s="23" t="str">
        <f t="shared" si="210"/>
        <v>ORD26000233</v>
      </c>
      <c r="E4537" s="38">
        <v>46290</v>
      </c>
      <c r="F4537" s="23" t="s">
        <v>12410</v>
      </c>
      <c r="G4537" s="23" t="s">
        <v>75</v>
      </c>
      <c r="H4537" s="24">
        <v>1198</v>
      </c>
      <c r="I4537" s="24">
        <v>0</v>
      </c>
      <c r="J4537" s="24">
        <v>0</v>
      </c>
      <c r="K4537" s="24">
        <v>1198</v>
      </c>
      <c r="L4537" s="38">
        <v>46292</v>
      </c>
      <c r="M4537" s="23" t="s">
        <v>226</v>
      </c>
      <c r="N4537" s="23" t="str">
        <f>IF(COUNTIF($A$2:A4537,A4537)&gt;1,"DUP","OK")</f>
        <v>OK</v>
      </c>
      <c r="O4537" s="23" t="str">
        <f t="shared" si="211"/>
        <v>ORD26000233</v>
      </c>
      <c r="P4537" s="23" t="str">
        <f t="shared" si="212"/>
        <v>Sep</v>
      </c>
      <c r="Q4537" s="23" t="str">
        <f>IF(F4537="CAPTURE",IF(COUNTIF(orders!$A:$A,O4537)&gt;0,"Yes","NO ORDER"),"")</f>
        <v>Yes</v>
      </c>
    </row>
    <row r="4538" spans="1:17" ht="15" customHeight="1" x14ac:dyDescent="0.3">
      <c r="A4538" s="23" t="s">
        <v>17643</v>
      </c>
      <c r="B4538" s="23"/>
      <c r="C4538" s="23" t="s">
        <v>951</v>
      </c>
      <c r="D4538" s="23" t="str">
        <f t="shared" si="210"/>
        <v>ORD26000293</v>
      </c>
      <c r="E4538" s="38">
        <v>46290</v>
      </c>
      <c r="F4538" s="23" t="s">
        <v>12410</v>
      </c>
      <c r="G4538" s="23" t="s">
        <v>75</v>
      </c>
      <c r="H4538" s="24">
        <v>599</v>
      </c>
      <c r="I4538" s="24">
        <v>0</v>
      </c>
      <c r="J4538" s="24">
        <v>0</v>
      </c>
      <c r="K4538" s="24">
        <v>599</v>
      </c>
      <c r="L4538" s="38">
        <v>46292</v>
      </c>
      <c r="M4538" s="23" t="s">
        <v>226</v>
      </c>
      <c r="N4538" s="23" t="str">
        <f>IF(COUNTIF($A$2:A4538,A4538)&gt;1,"DUP","OK")</f>
        <v>OK</v>
      </c>
      <c r="O4538" s="23" t="str">
        <f t="shared" si="211"/>
        <v>ORD26000293</v>
      </c>
      <c r="P4538" s="23" t="str">
        <f t="shared" si="212"/>
        <v>Sep</v>
      </c>
      <c r="Q4538" s="23" t="str">
        <f>IF(F4538="CAPTURE",IF(COUNTIF(orders!$A:$A,O4538)&gt;0,"Yes","NO ORDER"),"")</f>
        <v>Yes</v>
      </c>
    </row>
    <row r="4539" spans="1:17" ht="15" customHeight="1" x14ac:dyDescent="0.3">
      <c r="A4539" s="23" t="s">
        <v>17644</v>
      </c>
      <c r="B4539" s="23"/>
      <c r="C4539" s="23" t="s">
        <v>983</v>
      </c>
      <c r="D4539" s="23" t="str">
        <f t="shared" si="210"/>
        <v>ORD26000308</v>
      </c>
      <c r="E4539" s="38">
        <v>46290</v>
      </c>
      <c r="F4539" s="23" t="s">
        <v>12410</v>
      </c>
      <c r="G4539" s="23" t="s">
        <v>75</v>
      </c>
      <c r="H4539" s="24">
        <v>8498</v>
      </c>
      <c r="I4539" s="24">
        <v>25.49</v>
      </c>
      <c r="J4539" s="24">
        <v>4.59</v>
      </c>
      <c r="K4539" s="24">
        <v>8467.92</v>
      </c>
      <c r="L4539" s="38">
        <v>46292</v>
      </c>
      <c r="M4539" s="23" t="s">
        <v>226</v>
      </c>
      <c r="N4539" s="23" t="str">
        <f>IF(COUNTIF($A$2:A4539,A4539)&gt;1,"DUP","OK")</f>
        <v>OK</v>
      </c>
      <c r="O4539" s="23" t="str">
        <f t="shared" si="211"/>
        <v>ORD26000308</v>
      </c>
      <c r="P4539" s="23" t="str">
        <f t="shared" si="212"/>
        <v>Sep</v>
      </c>
      <c r="Q4539" s="23" t="str">
        <f>IF(F4539="CAPTURE",IF(COUNTIF(orders!$A:$A,O4539)&gt;0,"Yes","NO ORDER"),"")</f>
        <v>Yes</v>
      </c>
    </row>
    <row r="4540" spans="1:17" ht="15" customHeight="1" x14ac:dyDescent="0.3">
      <c r="A4540" s="23" t="s">
        <v>17645</v>
      </c>
      <c r="B4540" s="23"/>
      <c r="C4540" s="23" t="s">
        <v>987</v>
      </c>
      <c r="D4540" s="23" t="str">
        <f t="shared" si="210"/>
        <v>ORD26000310</v>
      </c>
      <c r="E4540" s="38">
        <v>46290</v>
      </c>
      <c r="F4540" s="23" t="s">
        <v>12410</v>
      </c>
      <c r="G4540" s="23" t="s">
        <v>79</v>
      </c>
      <c r="H4540" s="24">
        <v>9498</v>
      </c>
      <c r="I4540" s="24">
        <v>151.97</v>
      </c>
      <c r="J4540" s="24">
        <v>27.35</v>
      </c>
      <c r="K4540" s="24">
        <v>9318.68</v>
      </c>
      <c r="L4540" s="38">
        <v>46292</v>
      </c>
      <c r="M4540" s="23" t="s">
        <v>226</v>
      </c>
      <c r="N4540" s="23" t="str">
        <f>IF(COUNTIF($A$2:A4540,A4540)&gt;1,"DUP","OK")</f>
        <v>OK</v>
      </c>
      <c r="O4540" s="23" t="str">
        <f t="shared" si="211"/>
        <v>ORD26000310</v>
      </c>
      <c r="P4540" s="23" t="str">
        <f t="shared" si="212"/>
        <v>Sep</v>
      </c>
      <c r="Q4540" s="23" t="str">
        <f>IF(F4540="CAPTURE",IF(COUNTIF(orders!$A:$A,O4540)&gt;0,"Yes","NO ORDER"),"")</f>
        <v>Yes</v>
      </c>
    </row>
    <row r="4541" spans="1:17" ht="15" customHeight="1" x14ac:dyDescent="0.3">
      <c r="A4541" s="23" t="s">
        <v>17646</v>
      </c>
      <c r="B4541" s="23"/>
      <c r="C4541" s="23" t="s">
        <v>1000</v>
      </c>
      <c r="D4541" s="23" t="str">
        <f t="shared" si="210"/>
        <v>ORD26000316</v>
      </c>
      <c r="E4541" s="38">
        <v>46290</v>
      </c>
      <c r="F4541" s="23" t="s">
        <v>12410</v>
      </c>
      <c r="G4541" s="23" t="s">
        <v>77</v>
      </c>
      <c r="H4541" s="24">
        <v>799</v>
      </c>
      <c r="I4541" s="24">
        <v>15.18</v>
      </c>
      <c r="J4541" s="24">
        <v>2.73</v>
      </c>
      <c r="K4541" s="24">
        <v>781.09</v>
      </c>
      <c r="L4541" s="38">
        <v>46292</v>
      </c>
      <c r="M4541" s="23" t="s">
        <v>226</v>
      </c>
      <c r="N4541" s="23" t="str">
        <f>IF(COUNTIF($A$2:A4541,A4541)&gt;1,"DUP","OK")</f>
        <v>OK</v>
      </c>
      <c r="O4541" s="23" t="str">
        <f t="shared" si="211"/>
        <v>ORD26000316</v>
      </c>
      <c r="P4541" s="23" t="str">
        <f t="shared" si="212"/>
        <v>Sep</v>
      </c>
      <c r="Q4541" s="23" t="str">
        <f>IF(F4541="CAPTURE",IF(COUNTIF(orders!$A:$A,O4541)&gt;0,"Yes","NO ORDER"),"")</f>
        <v>Yes</v>
      </c>
    </row>
    <row r="4542" spans="1:17" ht="15" customHeight="1" x14ac:dyDescent="0.3">
      <c r="A4542" s="23" t="s">
        <v>17647</v>
      </c>
      <c r="B4542" s="23"/>
      <c r="C4542" s="23" t="s">
        <v>1101</v>
      </c>
      <c r="D4542" s="23" t="str">
        <f t="shared" si="210"/>
        <v>ORD26000361</v>
      </c>
      <c r="E4542" s="38">
        <v>46290</v>
      </c>
      <c r="F4542" s="23" t="s">
        <v>12410</v>
      </c>
      <c r="G4542" s="23" t="s">
        <v>77</v>
      </c>
      <c r="H4542" s="24">
        <v>3897</v>
      </c>
      <c r="I4542" s="24">
        <v>66.25</v>
      </c>
      <c r="J4542" s="24">
        <v>11.93</v>
      </c>
      <c r="K4542" s="24">
        <v>3818.82</v>
      </c>
      <c r="L4542" s="38">
        <v>46292</v>
      </c>
      <c r="M4542" s="23" t="s">
        <v>226</v>
      </c>
      <c r="N4542" s="23" t="str">
        <f>IF(COUNTIF($A$2:A4542,A4542)&gt;1,"DUP","OK")</f>
        <v>OK</v>
      </c>
      <c r="O4542" s="23" t="str">
        <f t="shared" si="211"/>
        <v>ORD26000361</v>
      </c>
      <c r="P4542" s="23" t="str">
        <f t="shared" si="212"/>
        <v>Sep</v>
      </c>
      <c r="Q4542" s="23" t="str">
        <f>IF(F4542="CAPTURE",IF(COUNTIF(orders!$A:$A,O4542)&gt;0,"Yes","NO ORDER"),"")</f>
        <v>Yes</v>
      </c>
    </row>
    <row r="4543" spans="1:17" ht="15" customHeight="1" x14ac:dyDescent="0.3">
      <c r="A4543" s="23" t="s">
        <v>17648</v>
      </c>
      <c r="B4543" s="23"/>
      <c r="C4543" s="23" t="s">
        <v>1126</v>
      </c>
      <c r="D4543" s="23" t="str">
        <f t="shared" si="210"/>
        <v>ORD26000372</v>
      </c>
      <c r="E4543" s="38">
        <v>46290</v>
      </c>
      <c r="F4543" s="23" t="s">
        <v>12410</v>
      </c>
      <c r="G4543" s="23" t="s">
        <v>79</v>
      </c>
      <c r="H4543" s="24">
        <v>1299</v>
      </c>
      <c r="I4543" s="24">
        <v>23.38</v>
      </c>
      <c r="J4543" s="24">
        <v>4.21</v>
      </c>
      <c r="K4543" s="24">
        <v>1271.4100000000001</v>
      </c>
      <c r="L4543" s="38">
        <v>46292</v>
      </c>
      <c r="M4543" s="23" t="s">
        <v>226</v>
      </c>
      <c r="N4543" s="23" t="str">
        <f>IF(COUNTIF($A$2:A4543,A4543)&gt;1,"DUP","OK")</f>
        <v>OK</v>
      </c>
      <c r="O4543" s="23" t="str">
        <f t="shared" si="211"/>
        <v>ORD26000372</v>
      </c>
      <c r="P4543" s="23" t="str">
        <f t="shared" si="212"/>
        <v>Sep</v>
      </c>
      <c r="Q4543" s="23" t="str">
        <f>IF(F4543="CAPTURE",IF(COUNTIF(orders!$A:$A,O4543)&gt;0,"Yes","NO ORDER"),"")</f>
        <v>Yes</v>
      </c>
    </row>
    <row r="4544" spans="1:17" ht="15" customHeight="1" x14ac:dyDescent="0.3">
      <c r="A4544" s="23" t="s">
        <v>17649</v>
      </c>
      <c r="B4544" s="23"/>
      <c r="C4544" s="23" t="s">
        <v>1168</v>
      </c>
      <c r="D4544" s="23" t="str">
        <f t="shared" si="210"/>
        <v>ORD26000392</v>
      </c>
      <c r="E4544" s="38">
        <v>46290</v>
      </c>
      <c r="F4544" s="23" t="s">
        <v>12410</v>
      </c>
      <c r="G4544" s="23" t="s">
        <v>75</v>
      </c>
      <c r="H4544" s="24">
        <v>349</v>
      </c>
      <c r="I4544" s="24">
        <v>0</v>
      </c>
      <c r="J4544" s="24">
        <v>0</v>
      </c>
      <c r="K4544" s="24">
        <v>349</v>
      </c>
      <c r="L4544" s="38">
        <v>46292</v>
      </c>
      <c r="M4544" s="23" t="s">
        <v>226</v>
      </c>
      <c r="N4544" s="23" t="str">
        <f>IF(COUNTIF($A$2:A4544,A4544)&gt;1,"DUP","OK")</f>
        <v>OK</v>
      </c>
      <c r="O4544" s="23" t="str">
        <f t="shared" si="211"/>
        <v>ORD26000392</v>
      </c>
      <c r="P4544" s="23" t="str">
        <f t="shared" si="212"/>
        <v>Sep</v>
      </c>
      <c r="Q4544" s="23" t="str">
        <f>IF(F4544="CAPTURE",IF(COUNTIF(orders!$A:$A,O4544)&gt;0,"Yes","NO ORDER"),"")</f>
        <v>Yes</v>
      </c>
    </row>
    <row r="4545" spans="1:17" ht="15" customHeight="1" x14ac:dyDescent="0.3">
      <c r="A4545" s="23" t="s">
        <v>17650</v>
      </c>
      <c r="B4545" s="23"/>
      <c r="C4545" s="23" t="s">
        <v>1174</v>
      </c>
      <c r="D4545" s="23" t="str">
        <f t="shared" si="210"/>
        <v>ORD26000395</v>
      </c>
      <c r="E4545" s="38">
        <v>46290</v>
      </c>
      <c r="F4545" s="23" t="s">
        <v>12410</v>
      </c>
      <c r="G4545" s="23" t="s">
        <v>79</v>
      </c>
      <c r="H4545" s="24">
        <v>3098</v>
      </c>
      <c r="I4545" s="24">
        <v>49.57</v>
      </c>
      <c r="J4545" s="24">
        <v>8.92</v>
      </c>
      <c r="K4545" s="24">
        <v>3039.51</v>
      </c>
      <c r="L4545" s="38">
        <v>46292</v>
      </c>
      <c r="M4545" s="23" t="s">
        <v>226</v>
      </c>
      <c r="N4545" s="23" t="str">
        <f>IF(COUNTIF($A$2:A4545,A4545)&gt;1,"DUP","OK")</f>
        <v>OK</v>
      </c>
      <c r="O4545" s="23" t="str">
        <f t="shared" si="211"/>
        <v>ORD26000395</v>
      </c>
      <c r="P4545" s="23" t="str">
        <f t="shared" si="212"/>
        <v>Sep</v>
      </c>
      <c r="Q4545" s="23" t="str">
        <f>IF(F4545="CAPTURE",IF(COUNTIF(orders!$A:$A,O4545)&gt;0,"Yes","NO ORDER"),"")</f>
        <v>Yes</v>
      </c>
    </row>
    <row r="4546" spans="1:17" ht="15" customHeight="1" x14ac:dyDescent="0.3">
      <c r="A4546" s="23" t="s">
        <v>17651</v>
      </c>
      <c r="B4546" s="23"/>
      <c r="C4546" s="23" t="s">
        <v>1272</v>
      </c>
      <c r="D4546" s="23" t="str">
        <f t="shared" ref="D4546:D4609" si="213">UPPER(SUBSTITUTE(TRIM(C4546),"-",""))</f>
        <v>ORD26000440</v>
      </c>
      <c r="E4546" s="38">
        <v>46290</v>
      </c>
      <c r="F4546" s="23" t="s">
        <v>12410</v>
      </c>
      <c r="G4546" s="23" t="s">
        <v>75</v>
      </c>
      <c r="H4546" s="24">
        <v>1098</v>
      </c>
      <c r="I4546" s="24">
        <v>0</v>
      </c>
      <c r="J4546" s="24">
        <v>0</v>
      </c>
      <c r="K4546" s="24">
        <v>1098</v>
      </c>
      <c r="L4546" s="38">
        <v>46292</v>
      </c>
      <c r="M4546" s="23" t="s">
        <v>226</v>
      </c>
      <c r="N4546" s="23" t="str">
        <f>IF(COUNTIF($A$2:A4546,A4546)&gt;1,"DUP","OK")</f>
        <v>OK</v>
      </c>
      <c r="O4546" s="23" t="str">
        <f t="shared" ref="O4546:O4609" si="214">IF(F4546="REFUND",INDEX($D:$D,MATCH(B4546,$A:$A,0)),D4546)</f>
        <v>ORD26000440</v>
      </c>
      <c r="P4546" s="23" t="str">
        <f t="shared" ref="P4546:P4609" si="215">IF(L4546&gt;DATE(2026,9,30),"Oct-Due","Sep")</f>
        <v>Sep</v>
      </c>
      <c r="Q4546" s="23" t="str">
        <f>IF(F4546="CAPTURE",IF(COUNTIF(orders!$A:$A,O4546)&gt;0,"Yes","NO ORDER"),"")</f>
        <v>Yes</v>
      </c>
    </row>
    <row r="4547" spans="1:17" ht="15" customHeight="1" x14ac:dyDescent="0.3">
      <c r="A4547" s="23" t="s">
        <v>17652</v>
      </c>
      <c r="B4547" s="23"/>
      <c r="C4547" s="23" t="s">
        <v>1342</v>
      </c>
      <c r="D4547" s="23" t="str">
        <f t="shared" si="213"/>
        <v>ORD26000472</v>
      </c>
      <c r="E4547" s="38">
        <v>46290</v>
      </c>
      <c r="F4547" s="23" t="s">
        <v>12410</v>
      </c>
      <c r="G4547" s="23" t="s">
        <v>75</v>
      </c>
      <c r="H4547" s="24">
        <v>999</v>
      </c>
      <c r="I4547" s="24">
        <v>0</v>
      </c>
      <c r="J4547" s="24">
        <v>0</v>
      </c>
      <c r="K4547" s="24">
        <v>999</v>
      </c>
      <c r="L4547" s="38">
        <v>46292</v>
      </c>
      <c r="M4547" s="23" t="s">
        <v>226</v>
      </c>
      <c r="N4547" s="23" t="str">
        <f>IF(COUNTIF($A$2:A4547,A4547)&gt;1,"DUP","OK")</f>
        <v>OK</v>
      </c>
      <c r="O4547" s="23" t="str">
        <f t="shared" si="214"/>
        <v>ORD26000472</v>
      </c>
      <c r="P4547" s="23" t="str">
        <f t="shared" si="215"/>
        <v>Sep</v>
      </c>
      <c r="Q4547" s="23" t="str">
        <f>IF(F4547="CAPTURE",IF(COUNTIF(orders!$A:$A,O4547)&gt;0,"Yes","NO ORDER"),"")</f>
        <v>Yes</v>
      </c>
    </row>
    <row r="4548" spans="1:17" ht="15" customHeight="1" x14ac:dyDescent="0.3">
      <c r="A4548" s="23" t="s">
        <v>17653</v>
      </c>
      <c r="B4548" s="23"/>
      <c r="C4548" s="23" t="s">
        <v>1523</v>
      </c>
      <c r="D4548" s="23" t="str">
        <f t="shared" si="213"/>
        <v>ORD26000553</v>
      </c>
      <c r="E4548" s="38">
        <v>46290</v>
      </c>
      <c r="F4548" s="23" t="s">
        <v>12410</v>
      </c>
      <c r="G4548" s="23" t="s">
        <v>75</v>
      </c>
      <c r="H4548" s="24">
        <v>8998</v>
      </c>
      <c r="I4548" s="24">
        <v>26.99</v>
      </c>
      <c r="J4548" s="24">
        <v>4.8600000000000003</v>
      </c>
      <c r="K4548" s="24">
        <v>8966.15</v>
      </c>
      <c r="L4548" s="38">
        <v>46292</v>
      </c>
      <c r="M4548" s="23" t="s">
        <v>226</v>
      </c>
      <c r="N4548" s="23" t="str">
        <f>IF(COUNTIF($A$2:A4548,A4548)&gt;1,"DUP","OK")</f>
        <v>OK</v>
      </c>
      <c r="O4548" s="23" t="str">
        <f t="shared" si="214"/>
        <v>ORD26000553</v>
      </c>
      <c r="P4548" s="23" t="str">
        <f t="shared" si="215"/>
        <v>Sep</v>
      </c>
      <c r="Q4548" s="23" t="str">
        <f>IF(F4548="CAPTURE",IF(COUNTIF(orders!$A:$A,O4548)&gt;0,"Yes","NO ORDER"),"")</f>
        <v>Yes</v>
      </c>
    </row>
    <row r="4549" spans="1:17" ht="15" customHeight="1" x14ac:dyDescent="0.3">
      <c r="A4549" s="23" t="s">
        <v>17654</v>
      </c>
      <c r="B4549" s="23"/>
      <c r="C4549" s="23" t="s">
        <v>1642</v>
      </c>
      <c r="D4549" s="23" t="str">
        <f t="shared" si="213"/>
        <v>ORD26000608</v>
      </c>
      <c r="E4549" s="38">
        <v>46290</v>
      </c>
      <c r="F4549" s="23" t="s">
        <v>12410</v>
      </c>
      <c r="G4549" s="23" t="s">
        <v>77</v>
      </c>
      <c r="H4549" s="24">
        <v>8497</v>
      </c>
      <c r="I4549" s="24">
        <v>203.93</v>
      </c>
      <c r="J4549" s="24">
        <v>36.71</v>
      </c>
      <c r="K4549" s="24">
        <v>8256.36</v>
      </c>
      <c r="L4549" s="38">
        <v>46292</v>
      </c>
      <c r="M4549" s="23" t="s">
        <v>226</v>
      </c>
      <c r="N4549" s="23" t="str">
        <f>IF(COUNTIF($A$2:A4549,A4549)&gt;1,"DUP","OK")</f>
        <v>OK</v>
      </c>
      <c r="O4549" s="23" t="str">
        <f t="shared" si="214"/>
        <v>ORD26000608</v>
      </c>
      <c r="P4549" s="23" t="str">
        <f t="shared" si="215"/>
        <v>Sep</v>
      </c>
      <c r="Q4549" s="23" t="str">
        <f>IF(F4549="CAPTURE",IF(COUNTIF(orders!$A:$A,O4549)&gt;0,"Yes","NO ORDER"),"")</f>
        <v>Yes</v>
      </c>
    </row>
    <row r="4550" spans="1:17" ht="15" customHeight="1" x14ac:dyDescent="0.3">
      <c r="A4550" s="23" t="s">
        <v>17655</v>
      </c>
      <c r="B4550" s="23"/>
      <c r="C4550" s="23" t="s">
        <v>1675</v>
      </c>
      <c r="D4550" s="23" t="str">
        <f t="shared" si="213"/>
        <v>ORD26000623</v>
      </c>
      <c r="E4550" s="38">
        <v>46290</v>
      </c>
      <c r="F4550" s="23" t="s">
        <v>12410</v>
      </c>
      <c r="G4550" s="23" t="s">
        <v>79</v>
      </c>
      <c r="H4550" s="24">
        <v>3298</v>
      </c>
      <c r="I4550" s="24">
        <v>52.77</v>
      </c>
      <c r="J4550" s="24">
        <v>9.5</v>
      </c>
      <c r="K4550" s="24">
        <v>3235.73</v>
      </c>
      <c r="L4550" s="38">
        <v>46292</v>
      </c>
      <c r="M4550" s="23" t="s">
        <v>226</v>
      </c>
      <c r="N4550" s="23" t="str">
        <f>IF(COUNTIF($A$2:A4550,A4550)&gt;1,"DUP","OK")</f>
        <v>OK</v>
      </c>
      <c r="O4550" s="23" t="str">
        <f t="shared" si="214"/>
        <v>ORD26000623</v>
      </c>
      <c r="P4550" s="23" t="str">
        <f t="shared" si="215"/>
        <v>Sep</v>
      </c>
      <c r="Q4550" s="23" t="str">
        <f>IF(F4550="CAPTURE",IF(COUNTIF(orders!$A:$A,O4550)&gt;0,"Yes","NO ORDER"),"")</f>
        <v>Yes</v>
      </c>
    </row>
    <row r="4551" spans="1:17" ht="15" customHeight="1" x14ac:dyDescent="0.3">
      <c r="A4551" s="23" t="s">
        <v>17656</v>
      </c>
      <c r="B4551" s="23"/>
      <c r="C4551" s="23" t="s">
        <v>1713</v>
      </c>
      <c r="D4551" s="23" t="str">
        <f t="shared" si="213"/>
        <v>ORD26000641</v>
      </c>
      <c r="E4551" s="38">
        <v>46290</v>
      </c>
      <c r="F4551" s="23" t="s">
        <v>12410</v>
      </c>
      <c r="G4551" s="23" t="s">
        <v>79</v>
      </c>
      <c r="H4551" s="24">
        <v>2897</v>
      </c>
      <c r="I4551" s="24">
        <v>46.35</v>
      </c>
      <c r="J4551" s="24">
        <v>8.34</v>
      </c>
      <c r="K4551" s="24">
        <v>2842.31</v>
      </c>
      <c r="L4551" s="38">
        <v>46292</v>
      </c>
      <c r="M4551" s="23" t="s">
        <v>226</v>
      </c>
      <c r="N4551" s="23" t="str">
        <f>IF(COUNTIF($A$2:A4551,A4551)&gt;1,"DUP","OK")</f>
        <v>OK</v>
      </c>
      <c r="O4551" s="23" t="str">
        <f t="shared" si="214"/>
        <v>ORD26000641</v>
      </c>
      <c r="P4551" s="23" t="str">
        <f t="shared" si="215"/>
        <v>Sep</v>
      </c>
      <c r="Q4551" s="23" t="str">
        <f>IF(F4551="CAPTURE",IF(COUNTIF(orders!$A:$A,O4551)&gt;0,"Yes","NO ORDER"),"")</f>
        <v>Yes</v>
      </c>
    </row>
    <row r="4552" spans="1:17" ht="15" customHeight="1" x14ac:dyDescent="0.3">
      <c r="A4552" s="23" t="s">
        <v>17657</v>
      </c>
      <c r="B4552" s="23"/>
      <c r="C4552" s="23" t="s">
        <v>1738</v>
      </c>
      <c r="D4552" s="23" t="str">
        <f t="shared" si="213"/>
        <v>ORD26000653</v>
      </c>
      <c r="E4552" s="38">
        <v>46290</v>
      </c>
      <c r="F4552" s="23" t="s">
        <v>12410</v>
      </c>
      <c r="G4552" s="23" t="s">
        <v>75</v>
      </c>
      <c r="H4552" s="24">
        <v>2098</v>
      </c>
      <c r="I4552" s="24">
        <v>6.29</v>
      </c>
      <c r="J4552" s="24">
        <v>1.1299999999999999</v>
      </c>
      <c r="K4552" s="24">
        <v>2090.58</v>
      </c>
      <c r="L4552" s="38">
        <v>46292</v>
      </c>
      <c r="M4552" s="23" t="s">
        <v>226</v>
      </c>
      <c r="N4552" s="23" t="str">
        <f>IF(COUNTIF($A$2:A4552,A4552)&gt;1,"DUP","OK")</f>
        <v>OK</v>
      </c>
      <c r="O4552" s="23" t="str">
        <f t="shared" si="214"/>
        <v>ORD26000653</v>
      </c>
      <c r="P4552" s="23" t="str">
        <f t="shared" si="215"/>
        <v>Sep</v>
      </c>
      <c r="Q4552" s="23" t="str">
        <f>IF(F4552="CAPTURE",IF(COUNTIF(orders!$A:$A,O4552)&gt;0,"Yes","NO ORDER"),"")</f>
        <v>Yes</v>
      </c>
    </row>
    <row r="4553" spans="1:17" ht="15" customHeight="1" x14ac:dyDescent="0.3">
      <c r="A4553" s="23" t="s">
        <v>17658</v>
      </c>
      <c r="B4553" s="23"/>
      <c r="C4553" s="23" t="s">
        <v>17659</v>
      </c>
      <c r="D4553" s="23" t="str">
        <f t="shared" si="213"/>
        <v>ORD26000655</v>
      </c>
      <c r="E4553" s="38">
        <v>46290</v>
      </c>
      <c r="F4553" s="23" t="s">
        <v>12410</v>
      </c>
      <c r="G4553" s="23" t="s">
        <v>75</v>
      </c>
      <c r="H4553" s="24">
        <v>2297</v>
      </c>
      <c r="I4553" s="24">
        <v>6.89</v>
      </c>
      <c r="J4553" s="24">
        <v>1.24</v>
      </c>
      <c r="K4553" s="24">
        <v>2288.87</v>
      </c>
      <c r="L4553" s="38">
        <v>46292</v>
      </c>
      <c r="M4553" s="23" t="s">
        <v>226</v>
      </c>
      <c r="N4553" s="23" t="str">
        <f>IF(COUNTIF($A$2:A4553,A4553)&gt;1,"DUP","OK")</f>
        <v>OK</v>
      </c>
      <c r="O4553" s="23" t="str">
        <f t="shared" si="214"/>
        <v>ORD26000655</v>
      </c>
      <c r="P4553" s="23" t="str">
        <f t="shared" si="215"/>
        <v>Sep</v>
      </c>
      <c r="Q4553" s="23" t="str">
        <f>IF(F4553="CAPTURE",IF(COUNTIF(orders!$A:$A,O4553)&gt;0,"Yes","NO ORDER"),"")</f>
        <v>Yes</v>
      </c>
    </row>
    <row r="4554" spans="1:17" ht="15" customHeight="1" x14ac:dyDescent="0.3">
      <c r="A4554" s="23" t="s">
        <v>17660</v>
      </c>
      <c r="B4554" s="23"/>
      <c r="C4554" s="23" t="s">
        <v>1795</v>
      </c>
      <c r="D4554" s="23" t="str">
        <f t="shared" si="213"/>
        <v>ORD26000680</v>
      </c>
      <c r="E4554" s="38">
        <v>46290</v>
      </c>
      <c r="F4554" s="23" t="s">
        <v>12410</v>
      </c>
      <c r="G4554" s="23" t="s">
        <v>79</v>
      </c>
      <c r="H4554" s="24">
        <v>1998</v>
      </c>
      <c r="I4554" s="24">
        <v>35.96</v>
      </c>
      <c r="J4554" s="24">
        <v>6.47</v>
      </c>
      <c r="K4554" s="24">
        <v>1955.57</v>
      </c>
      <c r="L4554" s="38">
        <v>46292</v>
      </c>
      <c r="M4554" s="23" t="s">
        <v>226</v>
      </c>
      <c r="N4554" s="23" t="str">
        <f>IF(COUNTIF($A$2:A4554,A4554)&gt;1,"DUP","OK")</f>
        <v>OK</v>
      </c>
      <c r="O4554" s="23" t="str">
        <f t="shared" si="214"/>
        <v>ORD26000680</v>
      </c>
      <c r="P4554" s="23" t="str">
        <f t="shared" si="215"/>
        <v>Sep</v>
      </c>
      <c r="Q4554" s="23" t="str">
        <f>IF(F4554="CAPTURE",IF(COUNTIF(orders!$A:$A,O4554)&gt;0,"Yes","NO ORDER"),"")</f>
        <v>Yes</v>
      </c>
    </row>
    <row r="4555" spans="1:17" ht="15" customHeight="1" x14ac:dyDescent="0.3">
      <c r="A4555" s="23" t="s">
        <v>17661</v>
      </c>
      <c r="B4555" s="23"/>
      <c r="C4555" s="23" t="s">
        <v>1869</v>
      </c>
      <c r="D4555" s="23" t="str">
        <f t="shared" si="213"/>
        <v>ORD26000715</v>
      </c>
      <c r="E4555" s="38">
        <v>46290</v>
      </c>
      <c r="F4555" s="23" t="s">
        <v>12410</v>
      </c>
      <c r="G4555" s="23" t="s">
        <v>75</v>
      </c>
      <c r="H4555" s="24">
        <v>2999</v>
      </c>
      <c r="I4555" s="24">
        <v>9</v>
      </c>
      <c r="J4555" s="24">
        <v>1.62</v>
      </c>
      <c r="K4555" s="24">
        <v>2988.38</v>
      </c>
      <c r="L4555" s="38">
        <v>46292</v>
      </c>
      <c r="M4555" s="23" t="s">
        <v>226</v>
      </c>
      <c r="N4555" s="23" t="str">
        <f>IF(COUNTIF($A$2:A4555,A4555)&gt;1,"DUP","OK")</f>
        <v>OK</v>
      </c>
      <c r="O4555" s="23" t="str">
        <f t="shared" si="214"/>
        <v>ORD26000715</v>
      </c>
      <c r="P4555" s="23" t="str">
        <f t="shared" si="215"/>
        <v>Sep</v>
      </c>
      <c r="Q4555" s="23" t="str">
        <f>IF(F4555="CAPTURE",IF(COUNTIF(orders!$A:$A,O4555)&gt;0,"Yes","NO ORDER"),"")</f>
        <v>Yes</v>
      </c>
    </row>
    <row r="4556" spans="1:17" ht="15" customHeight="1" x14ac:dyDescent="0.3">
      <c r="A4556" s="23" t="s">
        <v>17662</v>
      </c>
      <c r="B4556" s="23"/>
      <c r="C4556" s="23" t="s">
        <v>1875</v>
      </c>
      <c r="D4556" s="23" t="str">
        <f t="shared" si="213"/>
        <v>ORD26000718</v>
      </c>
      <c r="E4556" s="38">
        <v>46290</v>
      </c>
      <c r="F4556" s="23" t="s">
        <v>12410</v>
      </c>
      <c r="G4556" s="23" t="s">
        <v>79</v>
      </c>
      <c r="H4556" s="24">
        <v>3998</v>
      </c>
      <c r="I4556" s="24">
        <v>63.97</v>
      </c>
      <c r="J4556" s="24">
        <v>11.51</v>
      </c>
      <c r="K4556" s="24">
        <v>3922.52</v>
      </c>
      <c r="L4556" s="38">
        <v>46292</v>
      </c>
      <c r="M4556" s="23" t="s">
        <v>226</v>
      </c>
      <c r="N4556" s="23" t="str">
        <f>IF(COUNTIF($A$2:A4556,A4556)&gt;1,"DUP","OK")</f>
        <v>OK</v>
      </c>
      <c r="O4556" s="23" t="str">
        <f t="shared" si="214"/>
        <v>ORD26000718</v>
      </c>
      <c r="P4556" s="23" t="str">
        <f t="shared" si="215"/>
        <v>Sep</v>
      </c>
      <c r="Q4556" s="23" t="str">
        <f>IF(F4556="CAPTURE",IF(COUNTIF(orders!$A:$A,O4556)&gt;0,"Yes","NO ORDER"),"")</f>
        <v>Yes</v>
      </c>
    </row>
    <row r="4557" spans="1:17" ht="15" customHeight="1" x14ac:dyDescent="0.3">
      <c r="A4557" s="23" t="s">
        <v>17663</v>
      </c>
      <c r="B4557" s="23"/>
      <c r="C4557" s="23" t="s">
        <v>1921</v>
      </c>
      <c r="D4557" s="23" t="str">
        <f t="shared" si="213"/>
        <v>ORD26000741</v>
      </c>
      <c r="E4557" s="38">
        <v>46290</v>
      </c>
      <c r="F4557" s="23" t="s">
        <v>12410</v>
      </c>
      <c r="G4557" s="23" t="s">
        <v>75</v>
      </c>
      <c r="H4557" s="24">
        <v>4999</v>
      </c>
      <c r="I4557" s="24">
        <v>15</v>
      </c>
      <c r="J4557" s="24">
        <v>2.7</v>
      </c>
      <c r="K4557" s="24">
        <v>4981.3</v>
      </c>
      <c r="L4557" s="38">
        <v>46292</v>
      </c>
      <c r="M4557" s="23" t="s">
        <v>226</v>
      </c>
      <c r="N4557" s="23" t="str">
        <f>IF(COUNTIF($A$2:A4557,A4557)&gt;1,"DUP","OK")</f>
        <v>OK</v>
      </c>
      <c r="O4557" s="23" t="str">
        <f t="shared" si="214"/>
        <v>ORD26000741</v>
      </c>
      <c r="P4557" s="23" t="str">
        <f t="shared" si="215"/>
        <v>Sep</v>
      </c>
      <c r="Q4557" s="23" t="str">
        <f>IF(F4557="CAPTURE",IF(COUNTIF(orders!$A:$A,O4557)&gt;0,"Yes","NO ORDER"),"")</f>
        <v>Yes</v>
      </c>
    </row>
    <row r="4558" spans="1:17" ht="15" customHeight="1" x14ac:dyDescent="0.3">
      <c r="A4558" s="23" t="s">
        <v>17664</v>
      </c>
      <c r="B4558" s="23"/>
      <c r="C4558" s="23" t="s">
        <v>2118</v>
      </c>
      <c r="D4558" s="23" t="str">
        <f t="shared" si="213"/>
        <v>ORD26000834</v>
      </c>
      <c r="E4558" s="38">
        <v>46290</v>
      </c>
      <c r="F4558" s="23" t="s">
        <v>12410</v>
      </c>
      <c r="G4558" s="23" t="s">
        <v>75</v>
      </c>
      <c r="H4558" s="24">
        <v>299</v>
      </c>
      <c r="I4558" s="24">
        <v>0</v>
      </c>
      <c r="J4558" s="24">
        <v>0</v>
      </c>
      <c r="K4558" s="24">
        <v>299</v>
      </c>
      <c r="L4558" s="38">
        <v>46292</v>
      </c>
      <c r="M4558" s="23" t="s">
        <v>226</v>
      </c>
      <c r="N4558" s="23" t="str">
        <f>IF(COUNTIF($A$2:A4558,A4558)&gt;1,"DUP","OK")</f>
        <v>OK</v>
      </c>
      <c r="O4558" s="23" t="str">
        <f t="shared" si="214"/>
        <v>ORD26000834</v>
      </c>
      <c r="P4558" s="23" t="str">
        <f t="shared" si="215"/>
        <v>Sep</v>
      </c>
      <c r="Q4558" s="23" t="str">
        <f>IF(F4558="CAPTURE",IF(COUNTIF(orders!$A:$A,O4558)&gt;0,"Yes","NO ORDER"),"")</f>
        <v>Yes</v>
      </c>
    </row>
    <row r="4559" spans="1:17" ht="15" customHeight="1" x14ac:dyDescent="0.3">
      <c r="A4559" s="23" t="s">
        <v>17665</v>
      </c>
      <c r="B4559" s="23"/>
      <c r="C4559" s="23" t="s">
        <v>2136</v>
      </c>
      <c r="D4559" s="23" t="str">
        <f t="shared" si="213"/>
        <v>ORD26000843</v>
      </c>
      <c r="E4559" s="38">
        <v>46290</v>
      </c>
      <c r="F4559" s="23" t="s">
        <v>12410</v>
      </c>
      <c r="G4559" s="23" t="s">
        <v>75</v>
      </c>
      <c r="H4559" s="24">
        <v>1299</v>
      </c>
      <c r="I4559" s="24">
        <v>0</v>
      </c>
      <c r="J4559" s="24">
        <v>0</v>
      </c>
      <c r="K4559" s="24">
        <v>1299</v>
      </c>
      <c r="L4559" s="38">
        <v>46292</v>
      </c>
      <c r="M4559" s="23" t="s">
        <v>226</v>
      </c>
      <c r="N4559" s="23" t="str">
        <f>IF(COUNTIF($A$2:A4559,A4559)&gt;1,"DUP","OK")</f>
        <v>OK</v>
      </c>
      <c r="O4559" s="23" t="str">
        <f t="shared" si="214"/>
        <v>ORD26000843</v>
      </c>
      <c r="P4559" s="23" t="str">
        <f t="shared" si="215"/>
        <v>Sep</v>
      </c>
      <c r="Q4559" s="23" t="str">
        <f>IF(F4559="CAPTURE",IF(COUNTIF(orders!$A:$A,O4559)&gt;0,"Yes","NO ORDER"),"")</f>
        <v>Yes</v>
      </c>
    </row>
    <row r="4560" spans="1:17" ht="15" customHeight="1" x14ac:dyDescent="0.3">
      <c r="A4560" s="23" t="s">
        <v>17666</v>
      </c>
      <c r="B4560" s="23"/>
      <c r="C4560" s="23" t="s">
        <v>2148</v>
      </c>
      <c r="D4560" s="23" t="str">
        <f t="shared" si="213"/>
        <v>ORD26000849</v>
      </c>
      <c r="E4560" s="38">
        <v>46290</v>
      </c>
      <c r="F4560" s="23" t="s">
        <v>12410</v>
      </c>
      <c r="G4560" s="23" t="s">
        <v>77</v>
      </c>
      <c r="H4560" s="24">
        <v>349</v>
      </c>
      <c r="I4560" s="24">
        <v>6.63</v>
      </c>
      <c r="J4560" s="24">
        <v>1.19</v>
      </c>
      <c r="K4560" s="24">
        <v>341.18</v>
      </c>
      <c r="L4560" s="38">
        <v>46292</v>
      </c>
      <c r="M4560" s="23" t="s">
        <v>226</v>
      </c>
      <c r="N4560" s="23" t="str">
        <f>IF(COUNTIF($A$2:A4560,A4560)&gt;1,"DUP","OK")</f>
        <v>OK</v>
      </c>
      <c r="O4560" s="23" t="str">
        <f t="shared" si="214"/>
        <v>ORD26000849</v>
      </c>
      <c r="P4560" s="23" t="str">
        <f t="shared" si="215"/>
        <v>Sep</v>
      </c>
      <c r="Q4560" s="23" t="str">
        <f>IF(F4560="CAPTURE",IF(COUNTIF(orders!$A:$A,O4560)&gt;0,"Yes","NO ORDER"),"")</f>
        <v>Yes</v>
      </c>
    </row>
    <row r="4561" spans="1:17" ht="15" customHeight="1" x14ac:dyDescent="0.3">
      <c r="A4561" s="23" t="s">
        <v>17667</v>
      </c>
      <c r="B4561" s="23"/>
      <c r="C4561" s="23" t="s">
        <v>2152</v>
      </c>
      <c r="D4561" s="23" t="str">
        <f t="shared" si="213"/>
        <v>ORD26000851</v>
      </c>
      <c r="E4561" s="38">
        <v>46290</v>
      </c>
      <c r="F4561" s="23" t="s">
        <v>12410</v>
      </c>
      <c r="G4561" s="23" t="s">
        <v>77</v>
      </c>
      <c r="H4561" s="24">
        <v>4498</v>
      </c>
      <c r="I4561" s="24">
        <v>76.47</v>
      </c>
      <c r="J4561" s="24">
        <v>13.76</v>
      </c>
      <c r="K4561" s="24">
        <v>4407.7700000000004</v>
      </c>
      <c r="L4561" s="38">
        <v>46292</v>
      </c>
      <c r="M4561" s="23" t="s">
        <v>226</v>
      </c>
      <c r="N4561" s="23" t="str">
        <f>IF(COUNTIF($A$2:A4561,A4561)&gt;1,"DUP","OK")</f>
        <v>OK</v>
      </c>
      <c r="O4561" s="23" t="str">
        <f t="shared" si="214"/>
        <v>ORD26000851</v>
      </c>
      <c r="P4561" s="23" t="str">
        <f t="shared" si="215"/>
        <v>Sep</v>
      </c>
      <c r="Q4561" s="23" t="str">
        <f>IF(F4561="CAPTURE",IF(COUNTIF(orders!$A:$A,O4561)&gt;0,"Yes","NO ORDER"),"")</f>
        <v>Yes</v>
      </c>
    </row>
    <row r="4562" spans="1:17" ht="15" customHeight="1" x14ac:dyDescent="0.3">
      <c r="A4562" s="23" t="s">
        <v>17668</v>
      </c>
      <c r="B4562" s="23"/>
      <c r="C4562" s="23" t="s">
        <v>2174</v>
      </c>
      <c r="D4562" s="23" t="str">
        <f t="shared" si="213"/>
        <v>ORD26000861</v>
      </c>
      <c r="E4562" s="38">
        <v>46290</v>
      </c>
      <c r="F4562" s="23" t="s">
        <v>12410</v>
      </c>
      <c r="G4562" s="23" t="s">
        <v>75</v>
      </c>
      <c r="H4562" s="24">
        <v>2998</v>
      </c>
      <c r="I4562" s="24">
        <v>8.99</v>
      </c>
      <c r="J4562" s="24">
        <v>1.62</v>
      </c>
      <c r="K4562" s="24">
        <v>2987.39</v>
      </c>
      <c r="L4562" s="38">
        <v>46292</v>
      </c>
      <c r="M4562" s="23" t="s">
        <v>226</v>
      </c>
      <c r="N4562" s="23" t="str">
        <f>IF(COUNTIF($A$2:A4562,A4562)&gt;1,"DUP","OK")</f>
        <v>OK</v>
      </c>
      <c r="O4562" s="23" t="str">
        <f t="shared" si="214"/>
        <v>ORD26000861</v>
      </c>
      <c r="P4562" s="23" t="str">
        <f t="shared" si="215"/>
        <v>Sep</v>
      </c>
      <c r="Q4562" s="23" t="str">
        <f>IF(F4562="CAPTURE",IF(COUNTIF(orders!$A:$A,O4562)&gt;0,"Yes","NO ORDER"),"")</f>
        <v>Yes</v>
      </c>
    </row>
    <row r="4563" spans="1:17" ht="15" customHeight="1" x14ac:dyDescent="0.3">
      <c r="A4563" s="23" t="s">
        <v>17669</v>
      </c>
      <c r="B4563" s="23"/>
      <c r="C4563" s="23" t="s">
        <v>2241</v>
      </c>
      <c r="D4563" s="23" t="str">
        <f t="shared" si="213"/>
        <v>ORD26000893</v>
      </c>
      <c r="E4563" s="38">
        <v>46290</v>
      </c>
      <c r="F4563" s="23" t="s">
        <v>12410</v>
      </c>
      <c r="G4563" s="23" t="s">
        <v>75</v>
      </c>
      <c r="H4563" s="24">
        <v>499</v>
      </c>
      <c r="I4563" s="24">
        <v>0</v>
      </c>
      <c r="J4563" s="24">
        <v>0</v>
      </c>
      <c r="K4563" s="24">
        <v>499</v>
      </c>
      <c r="L4563" s="38">
        <v>46292</v>
      </c>
      <c r="M4563" s="23" t="s">
        <v>226</v>
      </c>
      <c r="N4563" s="23" t="str">
        <f>IF(COUNTIF($A$2:A4563,A4563)&gt;1,"DUP","OK")</f>
        <v>OK</v>
      </c>
      <c r="O4563" s="23" t="str">
        <f t="shared" si="214"/>
        <v>ORD26000893</v>
      </c>
      <c r="P4563" s="23" t="str">
        <f t="shared" si="215"/>
        <v>Sep</v>
      </c>
      <c r="Q4563" s="23" t="str">
        <f>IF(F4563="CAPTURE",IF(COUNTIF(orders!$A:$A,O4563)&gt;0,"Yes","NO ORDER"),"")</f>
        <v>Yes</v>
      </c>
    </row>
    <row r="4564" spans="1:17" ht="15" customHeight="1" x14ac:dyDescent="0.3">
      <c r="A4564" s="23" t="s">
        <v>17670</v>
      </c>
      <c r="B4564" s="23"/>
      <c r="C4564" s="23" t="s">
        <v>2292</v>
      </c>
      <c r="D4564" s="23" t="str">
        <f t="shared" si="213"/>
        <v>ORD26000918</v>
      </c>
      <c r="E4564" s="38">
        <v>46290</v>
      </c>
      <c r="F4564" s="23" t="s">
        <v>12410</v>
      </c>
      <c r="G4564" s="23" t="s">
        <v>75</v>
      </c>
      <c r="H4564" s="24">
        <v>2999</v>
      </c>
      <c r="I4564" s="24">
        <v>9</v>
      </c>
      <c r="J4564" s="24">
        <v>1.62</v>
      </c>
      <c r="K4564" s="24">
        <v>2988.38</v>
      </c>
      <c r="L4564" s="38">
        <v>46292</v>
      </c>
      <c r="M4564" s="23" t="s">
        <v>226</v>
      </c>
      <c r="N4564" s="23" t="str">
        <f>IF(COUNTIF($A$2:A4564,A4564)&gt;1,"DUP","OK")</f>
        <v>OK</v>
      </c>
      <c r="O4564" s="23" t="str">
        <f t="shared" si="214"/>
        <v>ORD26000918</v>
      </c>
      <c r="P4564" s="23" t="str">
        <f t="shared" si="215"/>
        <v>Sep</v>
      </c>
      <c r="Q4564" s="23" t="str">
        <f>IF(F4564="CAPTURE",IF(COUNTIF(orders!$A:$A,O4564)&gt;0,"Yes","NO ORDER"),"")</f>
        <v>Yes</v>
      </c>
    </row>
    <row r="4565" spans="1:17" ht="15" customHeight="1" x14ac:dyDescent="0.3">
      <c r="A4565" s="23" t="s">
        <v>17671</v>
      </c>
      <c r="B4565" s="23"/>
      <c r="C4565" s="23" t="s">
        <v>2320</v>
      </c>
      <c r="D4565" s="23" t="str">
        <f t="shared" si="213"/>
        <v>ORD26000932</v>
      </c>
      <c r="E4565" s="38">
        <v>46290</v>
      </c>
      <c r="F4565" s="23" t="s">
        <v>12410</v>
      </c>
      <c r="G4565" s="23" t="s">
        <v>75</v>
      </c>
      <c r="H4565" s="24">
        <v>14797</v>
      </c>
      <c r="I4565" s="24">
        <v>44.39</v>
      </c>
      <c r="J4565" s="24">
        <v>7.99</v>
      </c>
      <c r="K4565" s="24">
        <v>14744.62</v>
      </c>
      <c r="L4565" s="38">
        <v>46292</v>
      </c>
      <c r="M4565" s="23" t="s">
        <v>226</v>
      </c>
      <c r="N4565" s="23" t="str">
        <f>IF(COUNTIF($A$2:A4565,A4565)&gt;1,"DUP","OK")</f>
        <v>OK</v>
      </c>
      <c r="O4565" s="23" t="str">
        <f t="shared" si="214"/>
        <v>ORD26000932</v>
      </c>
      <c r="P4565" s="23" t="str">
        <f t="shared" si="215"/>
        <v>Sep</v>
      </c>
      <c r="Q4565" s="23" t="str">
        <f>IF(F4565="CAPTURE",IF(COUNTIF(orders!$A:$A,O4565)&gt;0,"Yes","NO ORDER"),"")</f>
        <v>Yes</v>
      </c>
    </row>
    <row r="4566" spans="1:17" ht="15" customHeight="1" x14ac:dyDescent="0.3">
      <c r="A4566" s="23" t="s">
        <v>17672</v>
      </c>
      <c r="B4566" s="23"/>
      <c r="C4566" s="23" t="s">
        <v>2331</v>
      </c>
      <c r="D4566" s="23" t="str">
        <f t="shared" si="213"/>
        <v>ORD26000937</v>
      </c>
      <c r="E4566" s="38">
        <v>46290</v>
      </c>
      <c r="F4566" s="23" t="s">
        <v>12410</v>
      </c>
      <c r="G4566" s="23" t="s">
        <v>79</v>
      </c>
      <c r="H4566" s="24">
        <v>1098</v>
      </c>
      <c r="I4566" s="24">
        <v>19.760000000000002</v>
      </c>
      <c r="J4566" s="24">
        <v>3.56</v>
      </c>
      <c r="K4566" s="24">
        <v>1074.68</v>
      </c>
      <c r="L4566" s="38">
        <v>46292</v>
      </c>
      <c r="M4566" s="23" t="s">
        <v>226</v>
      </c>
      <c r="N4566" s="23" t="str">
        <f>IF(COUNTIF($A$2:A4566,A4566)&gt;1,"DUP","OK")</f>
        <v>OK</v>
      </c>
      <c r="O4566" s="23" t="str">
        <f t="shared" si="214"/>
        <v>ORD26000937</v>
      </c>
      <c r="P4566" s="23" t="str">
        <f t="shared" si="215"/>
        <v>Sep</v>
      </c>
      <c r="Q4566" s="23" t="str">
        <f>IF(F4566="CAPTURE",IF(COUNTIF(orders!$A:$A,O4566)&gt;0,"Yes","NO ORDER"),"")</f>
        <v>Yes</v>
      </c>
    </row>
    <row r="4567" spans="1:17" ht="15" customHeight="1" x14ac:dyDescent="0.3">
      <c r="A4567" s="23" t="s">
        <v>17673</v>
      </c>
      <c r="B4567" s="23"/>
      <c r="C4567" s="23" t="s">
        <v>17674</v>
      </c>
      <c r="D4567" s="23" t="str">
        <f t="shared" si="213"/>
        <v>ORD26000962</v>
      </c>
      <c r="E4567" s="38">
        <v>46290</v>
      </c>
      <c r="F4567" s="23" t="s">
        <v>12410</v>
      </c>
      <c r="G4567" s="23" t="s">
        <v>77</v>
      </c>
      <c r="H4567" s="24">
        <v>4999</v>
      </c>
      <c r="I4567" s="24">
        <v>84.98</v>
      </c>
      <c r="J4567" s="24">
        <v>15.3</v>
      </c>
      <c r="K4567" s="24">
        <v>4898.72</v>
      </c>
      <c r="L4567" s="38">
        <v>46292</v>
      </c>
      <c r="M4567" s="23" t="s">
        <v>226</v>
      </c>
      <c r="N4567" s="23" t="str">
        <f>IF(COUNTIF($A$2:A4567,A4567)&gt;1,"DUP","OK")</f>
        <v>OK</v>
      </c>
      <c r="O4567" s="23" t="str">
        <f t="shared" si="214"/>
        <v>ORD26000962</v>
      </c>
      <c r="P4567" s="23" t="str">
        <f t="shared" si="215"/>
        <v>Sep</v>
      </c>
      <c r="Q4567" s="23" t="str">
        <f>IF(F4567="CAPTURE",IF(COUNTIF(orders!$A:$A,O4567)&gt;0,"Yes","NO ORDER"),"")</f>
        <v>Yes</v>
      </c>
    </row>
    <row r="4568" spans="1:17" ht="15" customHeight="1" x14ac:dyDescent="0.3">
      <c r="A4568" s="23" t="s">
        <v>17675</v>
      </c>
      <c r="B4568" s="23"/>
      <c r="C4568" s="23" t="s">
        <v>2408</v>
      </c>
      <c r="D4568" s="23" t="str">
        <f t="shared" si="213"/>
        <v>ORD26000974</v>
      </c>
      <c r="E4568" s="38">
        <v>46290</v>
      </c>
      <c r="F4568" s="23" t="s">
        <v>12410</v>
      </c>
      <c r="G4568" s="23" t="s">
        <v>75</v>
      </c>
      <c r="H4568" s="24">
        <v>948</v>
      </c>
      <c r="I4568" s="24">
        <v>0</v>
      </c>
      <c r="J4568" s="24">
        <v>0</v>
      </c>
      <c r="K4568" s="24">
        <v>948</v>
      </c>
      <c r="L4568" s="38">
        <v>46292</v>
      </c>
      <c r="M4568" s="23" t="s">
        <v>226</v>
      </c>
      <c r="N4568" s="23" t="str">
        <f>IF(COUNTIF($A$2:A4568,A4568)&gt;1,"DUP","OK")</f>
        <v>OK</v>
      </c>
      <c r="O4568" s="23" t="str">
        <f t="shared" si="214"/>
        <v>ORD26000974</v>
      </c>
      <c r="P4568" s="23" t="str">
        <f t="shared" si="215"/>
        <v>Sep</v>
      </c>
      <c r="Q4568" s="23" t="str">
        <f>IF(F4568="CAPTURE",IF(COUNTIF(orders!$A:$A,O4568)&gt;0,"Yes","NO ORDER"),"")</f>
        <v>Yes</v>
      </c>
    </row>
    <row r="4569" spans="1:17" ht="15" customHeight="1" x14ac:dyDescent="0.3">
      <c r="A4569" s="23" t="s">
        <v>17676</v>
      </c>
      <c r="B4569" s="23"/>
      <c r="C4569" s="23" t="s">
        <v>2438</v>
      </c>
      <c r="D4569" s="23" t="str">
        <f t="shared" si="213"/>
        <v>ORD26000989</v>
      </c>
      <c r="E4569" s="38">
        <v>46290</v>
      </c>
      <c r="F4569" s="23" t="s">
        <v>12410</v>
      </c>
      <c r="G4569" s="23" t="s">
        <v>75</v>
      </c>
      <c r="H4569" s="24">
        <v>4397</v>
      </c>
      <c r="I4569" s="24">
        <v>13.19</v>
      </c>
      <c r="J4569" s="24">
        <v>2.37</v>
      </c>
      <c r="K4569" s="24">
        <v>4381.4399999999996</v>
      </c>
      <c r="L4569" s="38">
        <v>46292</v>
      </c>
      <c r="M4569" s="23" t="s">
        <v>226</v>
      </c>
      <c r="N4569" s="23" t="str">
        <f>IF(COUNTIF($A$2:A4569,A4569)&gt;1,"DUP","OK")</f>
        <v>OK</v>
      </c>
      <c r="O4569" s="23" t="str">
        <f t="shared" si="214"/>
        <v>ORD26000989</v>
      </c>
      <c r="P4569" s="23" t="str">
        <f t="shared" si="215"/>
        <v>Sep</v>
      </c>
      <c r="Q4569" s="23" t="str">
        <f>IF(F4569="CAPTURE",IF(COUNTIF(orders!$A:$A,O4569)&gt;0,"Yes","NO ORDER"),"")</f>
        <v>Yes</v>
      </c>
    </row>
    <row r="4570" spans="1:17" ht="15" customHeight="1" x14ac:dyDescent="0.3">
      <c r="A4570" s="23" t="s">
        <v>17677</v>
      </c>
      <c r="B4570" s="23"/>
      <c r="C4570" s="23" t="s">
        <v>17678</v>
      </c>
      <c r="D4570" s="23" t="str">
        <f t="shared" si="213"/>
        <v>ORD26000994</v>
      </c>
      <c r="E4570" s="38">
        <v>46290</v>
      </c>
      <c r="F4570" s="23" t="s">
        <v>12410</v>
      </c>
      <c r="G4570" s="23" t="s">
        <v>75</v>
      </c>
      <c r="H4570" s="24">
        <v>6597</v>
      </c>
      <c r="I4570" s="24">
        <v>19.79</v>
      </c>
      <c r="J4570" s="24">
        <v>3.56</v>
      </c>
      <c r="K4570" s="24">
        <v>6573.65</v>
      </c>
      <c r="L4570" s="38">
        <v>46292</v>
      </c>
      <c r="M4570" s="23" t="s">
        <v>226</v>
      </c>
      <c r="N4570" s="23" t="str">
        <f>IF(COUNTIF($A$2:A4570,A4570)&gt;1,"DUP","OK")</f>
        <v>OK</v>
      </c>
      <c r="O4570" s="23" t="str">
        <f t="shared" si="214"/>
        <v>ORD26000994</v>
      </c>
      <c r="P4570" s="23" t="str">
        <f t="shared" si="215"/>
        <v>Sep</v>
      </c>
      <c r="Q4570" s="23" t="str">
        <f>IF(F4570="CAPTURE",IF(COUNTIF(orders!$A:$A,O4570)&gt;0,"Yes","NO ORDER"),"")</f>
        <v>Yes</v>
      </c>
    </row>
    <row r="4571" spans="1:17" ht="15" customHeight="1" x14ac:dyDescent="0.3">
      <c r="A4571" s="23" t="s">
        <v>17679</v>
      </c>
      <c r="B4571" s="23"/>
      <c r="C4571" s="23" t="s">
        <v>2491</v>
      </c>
      <c r="D4571" s="23" t="str">
        <f t="shared" si="213"/>
        <v>ORD26001015</v>
      </c>
      <c r="E4571" s="38">
        <v>46290</v>
      </c>
      <c r="F4571" s="23" t="s">
        <v>12410</v>
      </c>
      <c r="G4571" s="23" t="s">
        <v>75</v>
      </c>
      <c r="H4571" s="24">
        <v>6597</v>
      </c>
      <c r="I4571" s="24">
        <v>19.79</v>
      </c>
      <c r="J4571" s="24">
        <v>3.56</v>
      </c>
      <c r="K4571" s="24">
        <v>6573.65</v>
      </c>
      <c r="L4571" s="38">
        <v>46292</v>
      </c>
      <c r="M4571" s="23" t="s">
        <v>226</v>
      </c>
      <c r="N4571" s="23" t="str">
        <f>IF(COUNTIF($A$2:A4571,A4571)&gt;1,"DUP","OK")</f>
        <v>OK</v>
      </c>
      <c r="O4571" s="23" t="str">
        <f t="shared" si="214"/>
        <v>ORD26001015</v>
      </c>
      <c r="P4571" s="23" t="str">
        <f t="shared" si="215"/>
        <v>Sep</v>
      </c>
      <c r="Q4571" s="23" t="str">
        <f>IF(F4571="CAPTURE",IF(COUNTIF(orders!$A:$A,O4571)&gt;0,"Yes","NO ORDER"),"")</f>
        <v>Yes</v>
      </c>
    </row>
    <row r="4572" spans="1:17" ht="15" customHeight="1" x14ac:dyDescent="0.3">
      <c r="A4572" s="23" t="s">
        <v>17680</v>
      </c>
      <c r="B4572" s="23"/>
      <c r="C4572" s="23" t="s">
        <v>2561</v>
      </c>
      <c r="D4572" s="23" t="str">
        <f t="shared" si="213"/>
        <v>ORD26001049</v>
      </c>
      <c r="E4572" s="38">
        <v>46290</v>
      </c>
      <c r="F4572" s="23" t="s">
        <v>12410</v>
      </c>
      <c r="G4572" s="23" t="s">
        <v>75</v>
      </c>
      <c r="H4572" s="24">
        <v>1499</v>
      </c>
      <c r="I4572" s="24">
        <v>0</v>
      </c>
      <c r="J4572" s="24">
        <v>0</v>
      </c>
      <c r="K4572" s="24">
        <v>1499</v>
      </c>
      <c r="L4572" s="38">
        <v>46292</v>
      </c>
      <c r="M4572" s="23" t="s">
        <v>226</v>
      </c>
      <c r="N4572" s="23" t="str">
        <f>IF(COUNTIF($A$2:A4572,A4572)&gt;1,"DUP","OK")</f>
        <v>OK</v>
      </c>
      <c r="O4572" s="23" t="str">
        <f t="shared" si="214"/>
        <v>ORD26001049</v>
      </c>
      <c r="P4572" s="23" t="str">
        <f t="shared" si="215"/>
        <v>Sep</v>
      </c>
      <c r="Q4572" s="23" t="str">
        <f>IF(F4572="CAPTURE",IF(COUNTIF(orders!$A:$A,O4572)&gt;0,"Yes","NO ORDER"),"")</f>
        <v>Yes</v>
      </c>
    </row>
    <row r="4573" spans="1:17" ht="15" customHeight="1" x14ac:dyDescent="0.3">
      <c r="A4573" s="23" t="s">
        <v>17681</v>
      </c>
      <c r="B4573" s="23"/>
      <c r="C4573" s="23" t="s">
        <v>2572</v>
      </c>
      <c r="D4573" s="23" t="str">
        <f t="shared" si="213"/>
        <v>ORD26001054</v>
      </c>
      <c r="E4573" s="38">
        <v>46290</v>
      </c>
      <c r="F4573" s="23" t="s">
        <v>12410</v>
      </c>
      <c r="G4573" s="23" t="s">
        <v>75</v>
      </c>
      <c r="H4573" s="24">
        <v>5847</v>
      </c>
      <c r="I4573" s="24">
        <v>17.54</v>
      </c>
      <c r="J4573" s="24">
        <v>3.16</v>
      </c>
      <c r="K4573" s="24">
        <v>5826.3</v>
      </c>
      <c r="L4573" s="38">
        <v>46292</v>
      </c>
      <c r="M4573" s="23" t="s">
        <v>226</v>
      </c>
      <c r="N4573" s="23" t="str">
        <f>IF(COUNTIF($A$2:A4573,A4573)&gt;1,"DUP","OK")</f>
        <v>OK</v>
      </c>
      <c r="O4573" s="23" t="str">
        <f t="shared" si="214"/>
        <v>ORD26001054</v>
      </c>
      <c r="P4573" s="23" t="str">
        <f t="shared" si="215"/>
        <v>Sep</v>
      </c>
      <c r="Q4573" s="23" t="str">
        <f>IF(F4573="CAPTURE",IF(COUNTIF(orders!$A:$A,O4573)&gt;0,"Yes","NO ORDER"),"")</f>
        <v>Yes</v>
      </c>
    </row>
    <row r="4574" spans="1:17" ht="15" customHeight="1" x14ac:dyDescent="0.3">
      <c r="A4574" s="23" t="s">
        <v>17682</v>
      </c>
      <c r="B4574" s="23"/>
      <c r="C4574" s="23" t="s">
        <v>2638</v>
      </c>
      <c r="D4574" s="23" t="str">
        <f t="shared" si="213"/>
        <v>ORD26001086</v>
      </c>
      <c r="E4574" s="38">
        <v>46290</v>
      </c>
      <c r="F4574" s="23" t="s">
        <v>12410</v>
      </c>
      <c r="G4574" s="23" t="s">
        <v>79</v>
      </c>
      <c r="H4574" s="24">
        <v>2999</v>
      </c>
      <c r="I4574" s="24">
        <v>47.98</v>
      </c>
      <c r="J4574" s="24">
        <v>8.64</v>
      </c>
      <c r="K4574" s="24">
        <v>2942.38</v>
      </c>
      <c r="L4574" s="38">
        <v>46292</v>
      </c>
      <c r="M4574" s="23" t="s">
        <v>226</v>
      </c>
      <c r="N4574" s="23" t="str">
        <f>IF(COUNTIF($A$2:A4574,A4574)&gt;1,"DUP","OK")</f>
        <v>OK</v>
      </c>
      <c r="O4574" s="23" t="str">
        <f t="shared" si="214"/>
        <v>ORD26001086</v>
      </c>
      <c r="P4574" s="23" t="str">
        <f t="shared" si="215"/>
        <v>Sep</v>
      </c>
      <c r="Q4574" s="23" t="str">
        <f>IF(F4574="CAPTURE",IF(COUNTIF(orders!$A:$A,O4574)&gt;0,"Yes","NO ORDER"),"")</f>
        <v>Yes</v>
      </c>
    </row>
    <row r="4575" spans="1:17" ht="15" customHeight="1" x14ac:dyDescent="0.3">
      <c r="A4575" s="23" t="s">
        <v>17683</v>
      </c>
      <c r="B4575" s="23"/>
      <c r="C4575" s="23" t="s">
        <v>2751</v>
      </c>
      <c r="D4575" s="23" t="str">
        <f t="shared" si="213"/>
        <v>ORD26001142</v>
      </c>
      <c r="E4575" s="38">
        <v>46290</v>
      </c>
      <c r="F4575" s="23" t="s">
        <v>12410</v>
      </c>
      <c r="G4575" s="23" t="s">
        <v>75</v>
      </c>
      <c r="H4575" s="24">
        <v>10998</v>
      </c>
      <c r="I4575" s="24">
        <v>32.99</v>
      </c>
      <c r="J4575" s="24">
        <v>5.94</v>
      </c>
      <c r="K4575" s="24">
        <v>10959.07</v>
      </c>
      <c r="L4575" s="38">
        <v>46292</v>
      </c>
      <c r="M4575" s="23" t="s">
        <v>226</v>
      </c>
      <c r="N4575" s="23" t="str">
        <f>IF(COUNTIF($A$2:A4575,A4575)&gt;1,"DUP","OK")</f>
        <v>OK</v>
      </c>
      <c r="O4575" s="23" t="str">
        <f t="shared" si="214"/>
        <v>ORD26001142</v>
      </c>
      <c r="P4575" s="23" t="str">
        <f t="shared" si="215"/>
        <v>Sep</v>
      </c>
      <c r="Q4575" s="23" t="str">
        <f>IF(F4575="CAPTURE",IF(COUNTIF(orders!$A:$A,O4575)&gt;0,"Yes","NO ORDER"),"")</f>
        <v>Yes</v>
      </c>
    </row>
    <row r="4576" spans="1:17" ht="15" customHeight="1" x14ac:dyDescent="0.3">
      <c r="A4576" s="23" t="s">
        <v>17684</v>
      </c>
      <c r="B4576" s="23"/>
      <c r="C4576" s="23" t="s">
        <v>2919</v>
      </c>
      <c r="D4576" s="23" t="str">
        <f t="shared" si="213"/>
        <v>ORD26001225</v>
      </c>
      <c r="E4576" s="38">
        <v>46290</v>
      </c>
      <c r="F4576" s="23" t="s">
        <v>12410</v>
      </c>
      <c r="G4576" s="23" t="s">
        <v>75</v>
      </c>
      <c r="H4576" s="24">
        <v>2647</v>
      </c>
      <c r="I4576" s="24">
        <v>7.94</v>
      </c>
      <c r="J4576" s="24">
        <v>1.43</v>
      </c>
      <c r="K4576" s="24">
        <v>2637.63</v>
      </c>
      <c r="L4576" s="38">
        <v>46292</v>
      </c>
      <c r="M4576" s="23" t="s">
        <v>226</v>
      </c>
      <c r="N4576" s="23" t="str">
        <f>IF(COUNTIF($A$2:A4576,A4576)&gt;1,"DUP","OK")</f>
        <v>OK</v>
      </c>
      <c r="O4576" s="23" t="str">
        <f t="shared" si="214"/>
        <v>ORD26001225</v>
      </c>
      <c r="P4576" s="23" t="str">
        <f t="shared" si="215"/>
        <v>Sep</v>
      </c>
      <c r="Q4576" s="23" t="str">
        <f>IF(F4576="CAPTURE",IF(COUNTIF(orders!$A:$A,O4576)&gt;0,"Yes","NO ORDER"),"")</f>
        <v>Yes</v>
      </c>
    </row>
    <row r="4577" spans="1:17" ht="15" customHeight="1" x14ac:dyDescent="0.3">
      <c r="A4577" s="23" t="s">
        <v>17685</v>
      </c>
      <c r="B4577" s="23"/>
      <c r="C4577" s="23" t="s">
        <v>2952</v>
      </c>
      <c r="D4577" s="23" t="str">
        <f t="shared" si="213"/>
        <v>ORD26001241</v>
      </c>
      <c r="E4577" s="38">
        <v>46290</v>
      </c>
      <c r="F4577" s="23" t="s">
        <v>12410</v>
      </c>
      <c r="G4577" s="23" t="s">
        <v>79</v>
      </c>
      <c r="H4577" s="24">
        <v>1799</v>
      </c>
      <c r="I4577" s="24">
        <v>32.380000000000003</v>
      </c>
      <c r="J4577" s="24">
        <v>5.83</v>
      </c>
      <c r="K4577" s="24">
        <v>1760.79</v>
      </c>
      <c r="L4577" s="38">
        <v>46292</v>
      </c>
      <c r="M4577" s="23" t="s">
        <v>226</v>
      </c>
      <c r="N4577" s="23" t="str">
        <f>IF(COUNTIF($A$2:A4577,A4577)&gt;1,"DUP","OK")</f>
        <v>OK</v>
      </c>
      <c r="O4577" s="23" t="str">
        <f t="shared" si="214"/>
        <v>ORD26001241</v>
      </c>
      <c r="P4577" s="23" t="str">
        <f t="shared" si="215"/>
        <v>Sep</v>
      </c>
      <c r="Q4577" s="23" t="str">
        <f>IF(F4577="CAPTURE",IF(COUNTIF(orders!$A:$A,O4577)&gt;0,"Yes","NO ORDER"),"")</f>
        <v>Yes</v>
      </c>
    </row>
    <row r="4578" spans="1:17" ht="15" customHeight="1" x14ac:dyDescent="0.3">
      <c r="A4578" s="23" t="s">
        <v>17686</v>
      </c>
      <c r="B4578" s="23"/>
      <c r="C4578" s="23" t="s">
        <v>2964</v>
      </c>
      <c r="D4578" s="23" t="str">
        <f t="shared" si="213"/>
        <v>ORD26001246</v>
      </c>
      <c r="E4578" s="38">
        <v>46290</v>
      </c>
      <c r="F4578" s="23" t="s">
        <v>12410</v>
      </c>
      <c r="G4578" s="23" t="s">
        <v>79</v>
      </c>
      <c r="H4578" s="24">
        <v>2499</v>
      </c>
      <c r="I4578" s="24">
        <v>39.979999999999997</v>
      </c>
      <c r="J4578" s="24">
        <v>7.2</v>
      </c>
      <c r="K4578" s="24">
        <v>2451.8200000000002</v>
      </c>
      <c r="L4578" s="38">
        <v>46292</v>
      </c>
      <c r="M4578" s="23" t="s">
        <v>226</v>
      </c>
      <c r="N4578" s="23" t="str">
        <f>IF(COUNTIF($A$2:A4578,A4578)&gt;1,"DUP","OK")</f>
        <v>OK</v>
      </c>
      <c r="O4578" s="23" t="str">
        <f t="shared" si="214"/>
        <v>ORD26001246</v>
      </c>
      <c r="P4578" s="23" t="str">
        <f t="shared" si="215"/>
        <v>Sep</v>
      </c>
      <c r="Q4578" s="23" t="str">
        <f>IF(F4578="CAPTURE",IF(COUNTIF(orders!$A:$A,O4578)&gt;0,"Yes","NO ORDER"),"")</f>
        <v>Yes</v>
      </c>
    </row>
    <row r="4579" spans="1:17" ht="15" customHeight="1" x14ac:dyDescent="0.3">
      <c r="A4579" s="23" t="s">
        <v>17687</v>
      </c>
      <c r="B4579" s="23"/>
      <c r="C4579" s="23" t="s">
        <v>3036</v>
      </c>
      <c r="D4579" s="23" t="str">
        <f t="shared" si="213"/>
        <v>ORD26001281</v>
      </c>
      <c r="E4579" s="38">
        <v>46290</v>
      </c>
      <c r="F4579" s="23" t="s">
        <v>12410</v>
      </c>
      <c r="G4579" s="23" t="s">
        <v>75</v>
      </c>
      <c r="H4579" s="24">
        <v>3499</v>
      </c>
      <c r="I4579" s="24">
        <v>10.5</v>
      </c>
      <c r="J4579" s="24">
        <v>1.89</v>
      </c>
      <c r="K4579" s="24">
        <v>3486.61</v>
      </c>
      <c r="L4579" s="38">
        <v>46292</v>
      </c>
      <c r="M4579" s="23" t="s">
        <v>226</v>
      </c>
      <c r="N4579" s="23" t="str">
        <f>IF(COUNTIF($A$2:A4579,A4579)&gt;1,"DUP","OK")</f>
        <v>OK</v>
      </c>
      <c r="O4579" s="23" t="str">
        <f t="shared" si="214"/>
        <v>ORD26001281</v>
      </c>
      <c r="P4579" s="23" t="str">
        <f t="shared" si="215"/>
        <v>Sep</v>
      </c>
      <c r="Q4579" s="23" t="str">
        <f>IF(F4579="CAPTURE",IF(COUNTIF(orders!$A:$A,O4579)&gt;0,"Yes","NO ORDER"),"")</f>
        <v>Yes</v>
      </c>
    </row>
    <row r="4580" spans="1:17" ht="15" customHeight="1" x14ac:dyDescent="0.3">
      <c r="A4580" s="23" t="s">
        <v>17688</v>
      </c>
      <c r="B4580" s="23"/>
      <c r="C4580" s="23" t="s">
        <v>3134</v>
      </c>
      <c r="D4580" s="23" t="str">
        <f t="shared" si="213"/>
        <v>ORD26001328</v>
      </c>
      <c r="E4580" s="38">
        <v>46290</v>
      </c>
      <c r="F4580" s="23" t="s">
        <v>12410</v>
      </c>
      <c r="G4580" s="23" t="s">
        <v>79</v>
      </c>
      <c r="H4580" s="24">
        <v>799</v>
      </c>
      <c r="I4580" s="24">
        <v>14.38</v>
      </c>
      <c r="J4580" s="24">
        <v>2.59</v>
      </c>
      <c r="K4580" s="24">
        <v>782.03</v>
      </c>
      <c r="L4580" s="38">
        <v>46292</v>
      </c>
      <c r="M4580" s="23" t="s">
        <v>226</v>
      </c>
      <c r="N4580" s="23" t="str">
        <f>IF(COUNTIF($A$2:A4580,A4580)&gt;1,"DUP","OK")</f>
        <v>OK</v>
      </c>
      <c r="O4580" s="23" t="str">
        <f t="shared" si="214"/>
        <v>ORD26001328</v>
      </c>
      <c r="P4580" s="23" t="str">
        <f t="shared" si="215"/>
        <v>Sep</v>
      </c>
      <c r="Q4580" s="23" t="str">
        <f>IF(F4580="CAPTURE",IF(COUNTIF(orders!$A:$A,O4580)&gt;0,"Yes","NO ORDER"),"")</f>
        <v>Yes</v>
      </c>
    </row>
    <row r="4581" spans="1:17" ht="15" customHeight="1" x14ac:dyDescent="0.3">
      <c r="A4581" s="23" t="s">
        <v>17689</v>
      </c>
      <c r="B4581" s="23"/>
      <c r="C4581" s="23" t="s">
        <v>3184</v>
      </c>
      <c r="D4581" s="23" t="str">
        <f t="shared" si="213"/>
        <v>ORD26001352</v>
      </c>
      <c r="E4581" s="38">
        <v>46290</v>
      </c>
      <c r="F4581" s="23" t="s">
        <v>12410</v>
      </c>
      <c r="G4581" s="23" t="s">
        <v>75</v>
      </c>
      <c r="H4581" s="24">
        <v>1348</v>
      </c>
      <c r="I4581" s="24">
        <v>0</v>
      </c>
      <c r="J4581" s="24">
        <v>0</v>
      </c>
      <c r="K4581" s="24">
        <v>1348</v>
      </c>
      <c r="L4581" s="38">
        <v>46292</v>
      </c>
      <c r="M4581" s="23" t="s">
        <v>226</v>
      </c>
      <c r="N4581" s="23" t="str">
        <f>IF(COUNTIF($A$2:A4581,A4581)&gt;1,"DUP","OK")</f>
        <v>OK</v>
      </c>
      <c r="O4581" s="23" t="str">
        <f t="shared" si="214"/>
        <v>ORD26001352</v>
      </c>
      <c r="P4581" s="23" t="str">
        <f t="shared" si="215"/>
        <v>Sep</v>
      </c>
      <c r="Q4581" s="23" t="str">
        <f>IF(F4581="CAPTURE",IF(COUNTIF(orders!$A:$A,O4581)&gt;0,"Yes","NO ORDER"),"")</f>
        <v>Yes</v>
      </c>
    </row>
    <row r="4582" spans="1:17" ht="15" customHeight="1" x14ac:dyDescent="0.3">
      <c r="A4582" s="23" t="s">
        <v>17690</v>
      </c>
      <c r="B4582" s="23"/>
      <c r="C4582" s="23" t="s">
        <v>3255</v>
      </c>
      <c r="D4582" s="23" t="str">
        <f t="shared" si="213"/>
        <v>ORD26001387</v>
      </c>
      <c r="E4582" s="38">
        <v>46290</v>
      </c>
      <c r="F4582" s="23" t="s">
        <v>12410</v>
      </c>
      <c r="G4582" s="23" t="s">
        <v>77</v>
      </c>
      <c r="H4582" s="24">
        <v>9298</v>
      </c>
      <c r="I4582" s="24">
        <v>158.07</v>
      </c>
      <c r="J4582" s="24">
        <v>28.45</v>
      </c>
      <c r="K4582" s="24">
        <v>9111.48</v>
      </c>
      <c r="L4582" s="38">
        <v>46292</v>
      </c>
      <c r="M4582" s="23" t="s">
        <v>226</v>
      </c>
      <c r="N4582" s="23" t="str">
        <f>IF(COUNTIF($A$2:A4582,A4582)&gt;1,"DUP","OK")</f>
        <v>OK</v>
      </c>
      <c r="O4582" s="23" t="str">
        <f t="shared" si="214"/>
        <v>ORD26001387</v>
      </c>
      <c r="P4582" s="23" t="str">
        <f t="shared" si="215"/>
        <v>Sep</v>
      </c>
      <c r="Q4582" s="23" t="str">
        <f>IF(F4582="CAPTURE",IF(COUNTIF(orders!$A:$A,O4582)&gt;0,"Yes","NO ORDER"),"")</f>
        <v>Yes</v>
      </c>
    </row>
    <row r="4583" spans="1:17" ht="15" customHeight="1" x14ac:dyDescent="0.3">
      <c r="A4583" s="23" t="s">
        <v>17691</v>
      </c>
      <c r="B4583" s="23"/>
      <c r="C4583" s="23" t="s">
        <v>3281</v>
      </c>
      <c r="D4583" s="23" t="str">
        <f t="shared" si="213"/>
        <v>ORD26001400</v>
      </c>
      <c r="E4583" s="38">
        <v>46290</v>
      </c>
      <c r="F4583" s="23" t="s">
        <v>12410</v>
      </c>
      <c r="G4583" s="23" t="s">
        <v>79</v>
      </c>
      <c r="H4583" s="24">
        <v>8697</v>
      </c>
      <c r="I4583" s="24">
        <v>139.15</v>
      </c>
      <c r="J4583" s="24">
        <v>25.05</v>
      </c>
      <c r="K4583" s="24">
        <v>8532.7999999999993</v>
      </c>
      <c r="L4583" s="38">
        <v>46292</v>
      </c>
      <c r="M4583" s="23" t="s">
        <v>226</v>
      </c>
      <c r="N4583" s="23" t="str">
        <f>IF(COUNTIF($A$2:A4583,A4583)&gt;1,"DUP","OK")</f>
        <v>OK</v>
      </c>
      <c r="O4583" s="23" t="str">
        <f t="shared" si="214"/>
        <v>ORD26001400</v>
      </c>
      <c r="P4583" s="23" t="str">
        <f t="shared" si="215"/>
        <v>Sep</v>
      </c>
      <c r="Q4583" s="23" t="str">
        <f>IF(F4583="CAPTURE",IF(COUNTIF(orders!$A:$A,O4583)&gt;0,"Yes","NO ORDER"),"")</f>
        <v>Yes</v>
      </c>
    </row>
    <row r="4584" spans="1:17" ht="15" customHeight="1" x14ac:dyDescent="0.3">
      <c r="A4584" s="23" t="s">
        <v>17692</v>
      </c>
      <c r="B4584" s="23"/>
      <c r="C4584" s="23" t="s">
        <v>17693</v>
      </c>
      <c r="D4584" s="23" t="str">
        <f t="shared" si="213"/>
        <v>ORD26001447</v>
      </c>
      <c r="E4584" s="38">
        <v>46290</v>
      </c>
      <c r="F4584" s="23" t="s">
        <v>12410</v>
      </c>
      <c r="G4584" s="23" t="s">
        <v>75</v>
      </c>
      <c r="H4584" s="24">
        <v>15998</v>
      </c>
      <c r="I4584" s="24">
        <v>47.99</v>
      </c>
      <c r="J4584" s="24">
        <v>8.64</v>
      </c>
      <c r="K4584" s="24">
        <v>15941.37</v>
      </c>
      <c r="L4584" s="38">
        <v>46292</v>
      </c>
      <c r="M4584" s="23" t="s">
        <v>226</v>
      </c>
      <c r="N4584" s="23" t="str">
        <f>IF(COUNTIF($A$2:A4584,A4584)&gt;1,"DUP","OK")</f>
        <v>OK</v>
      </c>
      <c r="O4584" s="23" t="str">
        <f t="shared" si="214"/>
        <v>ORD26001447</v>
      </c>
      <c r="P4584" s="23" t="str">
        <f t="shared" si="215"/>
        <v>Sep</v>
      </c>
      <c r="Q4584" s="23" t="str">
        <f>IF(F4584="CAPTURE",IF(COUNTIF(orders!$A:$A,O4584)&gt;0,"Yes","NO ORDER"),"")</f>
        <v>Yes</v>
      </c>
    </row>
    <row r="4585" spans="1:17" ht="15" customHeight="1" x14ac:dyDescent="0.3">
      <c r="A4585" s="23" t="s">
        <v>17694</v>
      </c>
      <c r="B4585" s="23"/>
      <c r="C4585" s="23" t="s">
        <v>3490</v>
      </c>
      <c r="D4585" s="23" t="str">
        <f t="shared" si="213"/>
        <v>ORD26001502</v>
      </c>
      <c r="E4585" s="38">
        <v>46290</v>
      </c>
      <c r="F4585" s="23" t="s">
        <v>12410</v>
      </c>
      <c r="G4585" s="23" t="s">
        <v>75</v>
      </c>
      <c r="H4585" s="24">
        <v>3098</v>
      </c>
      <c r="I4585" s="24">
        <v>9.2899999999999991</v>
      </c>
      <c r="J4585" s="24">
        <v>1.67</v>
      </c>
      <c r="K4585" s="24">
        <v>3087.04</v>
      </c>
      <c r="L4585" s="38">
        <v>46292</v>
      </c>
      <c r="M4585" s="23" t="s">
        <v>226</v>
      </c>
      <c r="N4585" s="23" t="str">
        <f>IF(COUNTIF($A$2:A4585,A4585)&gt;1,"DUP","OK")</f>
        <v>OK</v>
      </c>
      <c r="O4585" s="23" t="str">
        <f t="shared" si="214"/>
        <v>ORD26001502</v>
      </c>
      <c r="P4585" s="23" t="str">
        <f t="shared" si="215"/>
        <v>Sep</v>
      </c>
      <c r="Q4585" s="23" t="str">
        <f>IF(F4585="CAPTURE",IF(COUNTIF(orders!$A:$A,O4585)&gt;0,"Yes","NO ORDER"),"")</f>
        <v>Yes</v>
      </c>
    </row>
    <row r="4586" spans="1:17" ht="15" customHeight="1" x14ac:dyDescent="0.3">
      <c r="A4586" s="23" t="s">
        <v>17695</v>
      </c>
      <c r="B4586" s="23"/>
      <c r="C4586" s="23" t="s">
        <v>17696</v>
      </c>
      <c r="D4586" s="23" t="str">
        <f t="shared" si="213"/>
        <v>ORD26001503</v>
      </c>
      <c r="E4586" s="38">
        <v>46290</v>
      </c>
      <c r="F4586" s="23" t="s">
        <v>12410</v>
      </c>
      <c r="G4586" s="23" t="s">
        <v>79</v>
      </c>
      <c r="H4586" s="24">
        <v>7999</v>
      </c>
      <c r="I4586" s="24">
        <v>127.98</v>
      </c>
      <c r="J4586" s="24">
        <v>23.04</v>
      </c>
      <c r="K4586" s="24">
        <v>7847.98</v>
      </c>
      <c r="L4586" s="38">
        <v>46292</v>
      </c>
      <c r="M4586" s="23" t="s">
        <v>226</v>
      </c>
      <c r="N4586" s="23" t="str">
        <f>IF(COUNTIF($A$2:A4586,A4586)&gt;1,"DUP","OK")</f>
        <v>OK</v>
      </c>
      <c r="O4586" s="23" t="str">
        <f t="shared" si="214"/>
        <v>ORD26001503</v>
      </c>
      <c r="P4586" s="23" t="str">
        <f t="shared" si="215"/>
        <v>Sep</v>
      </c>
      <c r="Q4586" s="23" t="str">
        <f>IF(F4586="CAPTURE",IF(COUNTIF(orders!$A:$A,O4586)&gt;0,"Yes","NO ORDER"),"")</f>
        <v>Yes</v>
      </c>
    </row>
    <row r="4587" spans="1:17" ht="15" customHeight="1" x14ac:dyDescent="0.3">
      <c r="A4587" s="23" t="s">
        <v>17697</v>
      </c>
      <c r="B4587" s="23"/>
      <c r="C4587" s="23" t="s">
        <v>3637</v>
      </c>
      <c r="D4587" s="23" t="str">
        <f t="shared" si="213"/>
        <v>ORD26001575</v>
      </c>
      <c r="E4587" s="38">
        <v>46290</v>
      </c>
      <c r="F4587" s="23" t="s">
        <v>12410</v>
      </c>
      <c r="G4587" s="23" t="s">
        <v>79</v>
      </c>
      <c r="H4587" s="24">
        <v>599</v>
      </c>
      <c r="I4587" s="24">
        <v>10.78</v>
      </c>
      <c r="J4587" s="24">
        <v>1.94</v>
      </c>
      <c r="K4587" s="24">
        <v>586.28</v>
      </c>
      <c r="L4587" s="38">
        <v>46292</v>
      </c>
      <c r="M4587" s="23" t="s">
        <v>226</v>
      </c>
      <c r="N4587" s="23" t="str">
        <f>IF(COUNTIF($A$2:A4587,A4587)&gt;1,"DUP","OK")</f>
        <v>OK</v>
      </c>
      <c r="O4587" s="23" t="str">
        <f t="shared" si="214"/>
        <v>ORD26001575</v>
      </c>
      <c r="P4587" s="23" t="str">
        <f t="shared" si="215"/>
        <v>Sep</v>
      </c>
      <c r="Q4587" s="23" t="str">
        <f>IF(F4587="CAPTURE",IF(COUNTIF(orders!$A:$A,O4587)&gt;0,"Yes","NO ORDER"),"")</f>
        <v>Yes</v>
      </c>
    </row>
    <row r="4588" spans="1:17" ht="15" customHeight="1" x14ac:dyDescent="0.3">
      <c r="A4588" s="23" t="s">
        <v>17698</v>
      </c>
      <c r="B4588" s="23"/>
      <c r="C4588" s="23" t="s">
        <v>3651</v>
      </c>
      <c r="D4588" s="23" t="str">
        <f t="shared" si="213"/>
        <v>ORD26001582</v>
      </c>
      <c r="E4588" s="38">
        <v>46290</v>
      </c>
      <c r="F4588" s="23" t="s">
        <v>12410</v>
      </c>
      <c r="G4588" s="23" t="s">
        <v>79</v>
      </c>
      <c r="H4588" s="24">
        <v>4097</v>
      </c>
      <c r="I4588" s="24">
        <v>65.55</v>
      </c>
      <c r="J4588" s="24">
        <v>11.8</v>
      </c>
      <c r="K4588" s="24">
        <v>4019.65</v>
      </c>
      <c r="L4588" s="38">
        <v>46292</v>
      </c>
      <c r="M4588" s="23" t="s">
        <v>226</v>
      </c>
      <c r="N4588" s="23" t="str">
        <f>IF(COUNTIF($A$2:A4588,A4588)&gt;1,"DUP","OK")</f>
        <v>OK</v>
      </c>
      <c r="O4588" s="23" t="str">
        <f t="shared" si="214"/>
        <v>ORD26001582</v>
      </c>
      <c r="P4588" s="23" t="str">
        <f t="shared" si="215"/>
        <v>Sep</v>
      </c>
      <c r="Q4588" s="23" t="str">
        <f>IF(F4588="CAPTURE",IF(COUNTIF(orders!$A:$A,O4588)&gt;0,"Yes","NO ORDER"),"")</f>
        <v>Yes</v>
      </c>
    </row>
    <row r="4589" spans="1:17" ht="15" customHeight="1" x14ac:dyDescent="0.3">
      <c r="A4589" s="23" t="s">
        <v>17699</v>
      </c>
      <c r="B4589" s="23"/>
      <c r="C4589" s="23" t="s">
        <v>17700</v>
      </c>
      <c r="D4589" s="23" t="str">
        <f t="shared" si="213"/>
        <v>ORD26001610</v>
      </c>
      <c r="E4589" s="38">
        <v>46290</v>
      </c>
      <c r="F4589" s="23" t="s">
        <v>12410</v>
      </c>
      <c r="G4589" s="23" t="s">
        <v>75</v>
      </c>
      <c r="H4589" s="24">
        <v>2499</v>
      </c>
      <c r="I4589" s="24">
        <v>7.5</v>
      </c>
      <c r="J4589" s="24">
        <v>1.35</v>
      </c>
      <c r="K4589" s="24">
        <v>2490.15</v>
      </c>
      <c r="L4589" s="38">
        <v>46292</v>
      </c>
      <c r="M4589" s="23" t="s">
        <v>226</v>
      </c>
      <c r="N4589" s="23" t="str">
        <f>IF(COUNTIF($A$2:A4589,A4589)&gt;1,"DUP","OK")</f>
        <v>OK</v>
      </c>
      <c r="O4589" s="23" t="str">
        <f t="shared" si="214"/>
        <v>ORD26001610</v>
      </c>
      <c r="P4589" s="23" t="str">
        <f t="shared" si="215"/>
        <v>Sep</v>
      </c>
      <c r="Q4589" s="23" t="str">
        <f>IF(F4589="CAPTURE",IF(COUNTIF(orders!$A:$A,O4589)&gt;0,"Yes","NO ORDER"),"")</f>
        <v>Yes</v>
      </c>
    </row>
    <row r="4590" spans="1:17" ht="15" customHeight="1" x14ac:dyDescent="0.3">
      <c r="A4590" s="23" t="s">
        <v>17701</v>
      </c>
      <c r="B4590" s="23"/>
      <c r="C4590" s="23" t="s">
        <v>3876</v>
      </c>
      <c r="D4590" s="23" t="str">
        <f t="shared" si="213"/>
        <v>ORD26001695</v>
      </c>
      <c r="E4590" s="38">
        <v>46290</v>
      </c>
      <c r="F4590" s="23" t="s">
        <v>12410</v>
      </c>
      <c r="G4590" s="23" t="s">
        <v>75</v>
      </c>
      <c r="H4590" s="24">
        <v>23997</v>
      </c>
      <c r="I4590" s="24">
        <v>71.989999999999995</v>
      </c>
      <c r="J4590" s="24">
        <v>12.96</v>
      </c>
      <c r="K4590" s="24">
        <v>23912.05</v>
      </c>
      <c r="L4590" s="38">
        <v>46292</v>
      </c>
      <c r="M4590" s="23" t="s">
        <v>226</v>
      </c>
      <c r="N4590" s="23" t="str">
        <f>IF(COUNTIF($A$2:A4590,A4590)&gt;1,"DUP","OK")</f>
        <v>OK</v>
      </c>
      <c r="O4590" s="23" t="str">
        <f t="shared" si="214"/>
        <v>ORD26001695</v>
      </c>
      <c r="P4590" s="23" t="str">
        <f t="shared" si="215"/>
        <v>Sep</v>
      </c>
      <c r="Q4590" s="23" t="str">
        <f>IF(F4590="CAPTURE",IF(COUNTIF(orders!$A:$A,O4590)&gt;0,"Yes","NO ORDER"),"")</f>
        <v>Yes</v>
      </c>
    </row>
    <row r="4591" spans="1:17" ht="15" customHeight="1" x14ac:dyDescent="0.3">
      <c r="A4591" s="23" t="s">
        <v>17702</v>
      </c>
      <c r="B4591" s="23"/>
      <c r="C4591" s="23" t="s">
        <v>17703</v>
      </c>
      <c r="D4591" s="23" t="str">
        <f t="shared" si="213"/>
        <v>ORD26001696</v>
      </c>
      <c r="E4591" s="38">
        <v>46290</v>
      </c>
      <c r="F4591" s="23" t="s">
        <v>12410</v>
      </c>
      <c r="G4591" s="23" t="s">
        <v>79</v>
      </c>
      <c r="H4591" s="24">
        <v>2097</v>
      </c>
      <c r="I4591" s="24">
        <v>33.549999999999997</v>
      </c>
      <c r="J4591" s="24">
        <v>6.04</v>
      </c>
      <c r="K4591" s="24">
        <v>2057.41</v>
      </c>
      <c r="L4591" s="38">
        <v>46292</v>
      </c>
      <c r="M4591" s="23" t="s">
        <v>226</v>
      </c>
      <c r="N4591" s="23" t="str">
        <f>IF(COUNTIF($A$2:A4591,A4591)&gt;1,"DUP","OK")</f>
        <v>OK</v>
      </c>
      <c r="O4591" s="23" t="str">
        <f t="shared" si="214"/>
        <v>ORD26001696</v>
      </c>
      <c r="P4591" s="23" t="str">
        <f t="shared" si="215"/>
        <v>Sep</v>
      </c>
      <c r="Q4591" s="23" t="str">
        <f>IF(F4591="CAPTURE",IF(COUNTIF(orders!$A:$A,O4591)&gt;0,"Yes","NO ORDER"),"")</f>
        <v>Yes</v>
      </c>
    </row>
    <row r="4592" spans="1:17" ht="15" customHeight="1" x14ac:dyDescent="0.3">
      <c r="A4592" s="23" t="s">
        <v>17704</v>
      </c>
      <c r="B4592" s="23"/>
      <c r="C4592" s="23" t="s">
        <v>4014</v>
      </c>
      <c r="D4592" s="23" t="str">
        <f t="shared" si="213"/>
        <v>ORD26001763</v>
      </c>
      <c r="E4592" s="38">
        <v>46290</v>
      </c>
      <c r="F4592" s="23" t="s">
        <v>12410</v>
      </c>
      <c r="G4592" s="23" t="s">
        <v>75</v>
      </c>
      <c r="H4592" s="24">
        <v>3998</v>
      </c>
      <c r="I4592" s="24">
        <v>11.99</v>
      </c>
      <c r="J4592" s="24">
        <v>2.16</v>
      </c>
      <c r="K4592" s="24">
        <v>3983.85</v>
      </c>
      <c r="L4592" s="38">
        <v>46292</v>
      </c>
      <c r="M4592" s="23" t="s">
        <v>226</v>
      </c>
      <c r="N4592" s="23" t="str">
        <f>IF(COUNTIF($A$2:A4592,A4592)&gt;1,"DUP","OK")</f>
        <v>OK</v>
      </c>
      <c r="O4592" s="23" t="str">
        <f t="shared" si="214"/>
        <v>ORD26001763</v>
      </c>
      <c r="P4592" s="23" t="str">
        <f t="shared" si="215"/>
        <v>Sep</v>
      </c>
      <c r="Q4592" s="23" t="str">
        <f>IF(F4592="CAPTURE",IF(COUNTIF(orders!$A:$A,O4592)&gt;0,"Yes","NO ORDER"),"")</f>
        <v>Yes</v>
      </c>
    </row>
    <row r="4593" spans="1:17" ht="15" customHeight="1" x14ac:dyDescent="0.3">
      <c r="A4593" s="23" t="s">
        <v>17705</v>
      </c>
      <c r="B4593" s="23"/>
      <c r="C4593" s="23" t="s">
        <v>4020</v>
      </c>
      <c r="D4593" s="23" t="str">
        <f t="shared" si="213"/>
        <v>ORD26001766</v>
      </c>
      <c r="E4593" s="38">
        <v>46290</v>
      </c>
      <c r="F4593" s="23" t="s">
        <v>12410</v>
      </c>
      <c r="G4593" s="23" t="s">
        <v>75</v>
      </c>
      <c r="H4593" s="24">
        <v>2798</v>
      </c>
      <c r="I4593" s="24">
        <v>8.39</v>
      </c>
      <c r="J4593" s="24">
        <v>1.51</v>
      </c>
      <c r="K4593" s="24">
        <v>2788.1</v>
      </c>
      <c r="L4593" s="38">
        <v>46292</v>
      </c>
      <c r="M4593" s="23" t="s">
        <v>226</v>
      </c>
      <c r="N4593" s="23" t="str">
        <f>IF(COUNTIF($A$2:A4593,A4593)&gt;1,"DUP","OK")</f>
        <v>OK</v>
      </c>
      <c r="O4593" s="23" t="str">
        <f t="shared" si="214"/>
        <v>ORD26001766</v>
      </c>
      <c r="P4593" s="23" t="str">
        <f t="shared" si="215"/>
        <v>Sep</v>
      </c>
      <c r="Q4593" s="23" t="str">
        <f>IF(F4593="CAPTURE",IF(COUNTIF(orders!$A:$A,O4593)&gt;0,"Yes","NO ORDER"),"")</f>
        <v>Yes</v>
      </c>
    </row>
    <row r="4594" spans="1:17" ht="15" customHeight="1" x14ac:dyDescent="0.3">
      <c r="A4594" s="23" t="s">
        <v>17706</v>
      </c>
      <c r="B4594" s="23"/>
      <c r="C4594" s="23" t="s">
        <v>4055</v>
      </c>
      <c r="D4594" s="23" t="str">
        <f t="shared" si="213"/>
        <v>ORD26001784</v>
      </c>
      <c r="E4594" s="38">
        <v>46290</v>
      </c>
      <c r="F4594" s="23" t="s">
        <v>12410</v>
      </c>
      <c r="G4594" s="23" t="s">
        <v>75</v>
      </c>
      <c r="H4594" s="24">
        <v>1798</v>
      </c>
      <c r="I4594" s="24">
        <v>0</v>
      </c>
      <c r="J4594" s="24">
        <v>0</v>
      </c>
      <c r="K4594" s="24">
        <v>1798</v>
      </c>
      <c r="L4594" s="38">
        <v>46292</v>
      </c>
      <c r="M4594" s="23" t="s">
        <v>226</v>
      </c>
      <c r="N4594" s="23" t="str">
        <f>IF(COUNTIF($A$2:A4594,A4594)&gt;1,"DUP","OK")</f>
        <v>OK</v>
      </c>
      <c r="O4594" s="23" t="str">
        <f t="shared" si="214"/>
        <v>ORD26001784</v>
      </c>
      <c r="P4594" s="23" t="str">
        <f t="shared" si="215"/>
        <v>Sep</v>
      </c>
      <c r="Q4594" s="23" t="str">
        <f>IF(F4594="CAPTURE",IF(COUNTIF(orders!$A:$A,O4594)&gt;0,"Yes","NO ORDER"),"")</f>
        <v>Yes</v>
      </c>
    </row>
    <row r="4595" spans="1:17" ht="15" customHeight="1" x14ac:dyDescent="0.3">
      <c r="A4595" s="23" t="s">
        <v>17707</v>
      </c>
      <c r="B4595" s="23"/>
      <c r="C4595" s="23" t="s">
        <v>4113</v>
      </c>
      <c r="D4595" s="23" t="str">
        <f t="shared" si="213"/>
        <v>ORD26001813</v>
      </c>
      <c r="E4595" s="38">
        <v>46290</v>
      </c>
      <c r="F4595" s="23" t="s">
        <v>12410</v>
      </c>
      <c r="G4595" s="23" t="s">
        <v>79</v>
      </c>
      <c r="H4595" s="24">
        <v>1499</v>
      </c>
      <c r="I4595" s="24">
        <v>26.98</v>
      </c>
      <c r="J4595" s="24">
        <v>4.8600000000000003</v>
      </c>
      <c r="K4595" s="24">
        <v>1467.16</v>
      </c>
      <c r="L4595" s="38">
        <v>46292</v>
      </c>
      <c r="M4595" s="23" t="s">
        <v>226</v>
      </c>
      <c r="N4595" s="23" t="str">
        <f>IF(COUNTIF($A$2:A4595,A4595)&gt;1,"DUP","OK")</f>
        <v>OK</v>
      </c>
      <c r="O4595" s="23" t="str">
        <f t="shared" si="214"/>
        <v>ORD26001813</v>
      </c>
      <c r="P4595" s="23" t="str">
        <f t="shared" si="215"/>
        <v>Sep</v>
      </c>
      <c r="Q4595" s="23" t="str">
        <f>IF(F4595="CAPTURE",IF(COUNTIF(orders!$A:$A,O4595)&gt;0,"Yes","NO ORDER"),"")</f>
        <v>Yes</v>
      </c>
    </row>
    <row r="4596" spans="1:17" ht="15" customHeight="1" x14ac:dyDescent="0.3">
      <c r="A4596" s="23" t="s">
        <v>17708</v>
      </c>
      <c r="B4596" s="23"/>
      <c r="C4596" s="23" t="s">
        <v>4133</v>
      </c>
      <c r="D4596" s="23" t="str">
        <f t="shared" si="213"/>
        <v>ORD26001823</v>
      </c>
      <c r="E4596" s="38">
        <v>46290</v>
      </c>
      <c r="F4596" s="23" t="s">
        <v>12410</v>
      </c>
      <c r="G4596" s="23" t="s">
        <v>75</v>
      </c>
      <c r="H4596" s="24">
        <v>299</v>
      </c>
      <c r="I4596" s="24">
        <v>0</v>
      </c>
      <c r="J4596" s="24">
        <v>0</v>
      </c>
      <c r="K4596" s="24">
        <v>299</v>
      </c>
      <c r="L4596" s="38">
        <v>46292</v>
      </c>
      <c r="M4596" s="23" t="s">
        <v>226</v>
      </c>
      <c r="N4596" s="23" t="str">
        <f>IF(COUNTIF($A$2:A4596,A4596)&gt;1,"DUP","OK")</f>
        <v>OK</v>
      </c>
      <c r="O4596" s="23" t="str">
        <f t="shared" si="214"/>
        <v>ORD26001823</v>
      </c>
      <c r="P4596" s="23" t="str">
        <f t="shared" si="215"/>
        <v>Sep</v>
      </c>
      <c r="Q4596" s="23" t="str">
        <f>IF(F4596="CAPTURE",IF(COUNTIF(orders!$A:$A,O4596)&gt;0,"Yes","NO ORDER"),"")</f>
        <v>Yes</v>
      </c>
    </row>
    <row r="4597" spans="1:17" ht="15" customHeight="1" x14ac:dyDescent="0.3">
      <c r="A4597" s="23" t="s">
        <v>17709</v>
      </c>
      <c r="B4597" s="23"/>
      <c r="C4597" s="23" t="s">
        <v>17710</v>
      </c>
      <c r="D4597" s="23" t="str">
        <f t="shared" si="213"/>
        <v>ORD26001885</v>
      </c>
      <c r="E4597" s="38">
        <v>46290</v>
      </c>
      <c r="F4597" s="23" t="s">
        <v>12410</v>
      </c>
      <c r="G4597" s="23" t="s">
        <v>81</v>
      </c>
      <c r="H4597" s="24">
        <v>4998</v>
      </c>
      <c r="I4597" s="24">
        <v>59.98</v>
      </c>
      <c r="J4597" s="24">
        <v>10.8</v>
      </c>
      <c r="K4597" s="24">
        <v>4927.22</v>
      </c>
      <c r="L4597" s="38">
        <v>46292</v>
      </c>
      <c r="M4597" s="23" t="s">
        <v>226</v>
      </c>
      <c r="N4597" s="23" t="str">
        <f>IF(COUNTIF($A$2:A4597,A4597)&gt;1,"DUP","OK")</f>
        <v>OK</v>
      </c>
      <c r="O4597" s="23" t="str">
        <f t="shared" si="214"/>
        <v>ORD26001885</v>
      </c>
      <c r="P4597" s="23" t="str">
        <f t="shared" si="215"/>
        <v>Sep</v>
      </c>
      <c r="Q4597" s="23" t="str">
        <f>IF(F4597="CAPTURE",IF(COUNTIF(orders!$A:$A,O4597)&gt;0,"Yes","NO ORDER"),"")</f>
        <v>Yes</v>
      </c>
    </row>
    <row r="4598" spans="1:17" ht="15" customHeight="1" x14ac:dyDescent="0.3">
      <c r="A4598" s="23" t="s">
        <v>17711</v>
      </c>
      <c r="B4598" s="23"/>
      <c r="C4598" s="23" t="s">
        <v>4336</v>
      </c>
      <c r="D4598" s="23" t="str">
        <f t="shared" si="213"/>
        <v>ORD26001923</v>
      </c>
      <c r="E4598" s="38">
        <v>46290</v>
      </c>
      <c r="F4598" s="23" t="s">
        <v>12410</v>
      </c>
      <c r="G4598" s="23" t="s">
        <v>79</v>
      </c>
      <c r="H4598" s="24">
        <v>499</v>
      </c>
      <c r="I4598" s="24">
        <v>8.98</v>
      </c>
      <c r="J4598" s="24">
        <v>1.62</v>
      </c>
      <c r="K4598" s="24">
        <v>488.4</v>
      </c>
      <c r="L4598" s="38">
        <v>46292</v>
      </c>
      <c r="M4598" s="23" t="s">
        <v>226</v>
      </c>
      <c r="N4598" s="23" t="str">
        <f>IF(COUNTIF($A$2:A4598,A4598)&gt;1,"DUP","OK")</f>
        <v>OK</v>
      </c>
      <c r="O4598" s="23" t="str">
        <f t="shared" si="214"/>
        <v>ORD26001923</v>
      </c>
      <c r="P4598" s="23" t="str">
        <f t="shared" si="215"/>
        <v>Sep</v>
      </c>
      <c r="Q4598" s="23" t="str">
        <f>IF(F4598="CAPTURE",IF(COUNTIF(orders!$A:$A,O4598)&gt;0,"Yes","NO ORDER"),"")</f>
        <v>Yes</v>
      </c>
    </row>
    <row r="4599" spans="1:17" ht="15" customHeight="1" x14ac:dyDescent="0.3">
      <c r="A4599" s="23" t="s">
        <v>17712</v>
      </c>
      <c r="B4599" s="23"/>
      <c r="C4599" s="23" t="s">
        <v>4350</v>
      </c>
      <c r="D4599" s="23" t="str">
        <f t="shared" si="213"/>
        <v>ORD26001930</v>
      </c>
      <c r="E4599" s="38">
        <v>46290</v>
      </c>
      <c r="F4599" s="23" t="s">
        <v>12410</v>
      </c>
      <c r="G4599" s="23" t="s">
        <v>79</v>
      </c>
      <c r="H4599" s="24">
        <v>799</v>
      </c>
      <c r="I4599" s="24">
        <v>14.38</v>
      </c>
      <c r="J4599" s="24">
        <v>2.59</v>
      </c>
      <c r="K4599" s="24">
        <v>782.03</v>
      </c>
      <c r="L4599" s="38">
        <v>46292</v>
      </c>
      <c r="M4599" s="23" t="s">
        <v>226</v>
      </c>
      <c r="N4599" s="23" t="str">
        <f>IF(COUNTIF($A$2:A4599,A4599)&gt;1,"DUP","OK")</f>
        <v>OK</v>
      </c>
      <c r="O4599" s="23" t="str">
        <f t="shared" si="214"/>
        <v>ORD26001930</v>
      </c>
      <c r="P4599" s="23" t="str">
        <f t="shared" si="215"/>
        <v>Sep</v>
      </c>
      <c r="Q4599" s="23" t="str">
        <f>IF(F4599="CAPTURE",IF(COUNTIF(orders!$A:$A,O4599)&gt;0,"Yes","NO ORDER"),"")</f>
        <v>Yes</v>
      </c>
    </row>
    <row r="4600" spans="1:17" ht="15" customHeight="1" x14ac:dyDescent="0.3">
      <c r="A4600" s="23" t="s">
        <v>17713</v>
      </c>
      <c r="B4600" s="23"/>
      <c r="C4600" s="23" t="s">
        <v>4431</v>
      </c>
      <c r="D4600" s="23" t="str">
        <f t="shared" si="213"/>
        <v>ORD26001972</v>
      </c>
      <c r="E4600" s="38">
        <v>46290</v>
      </c>
      <c r="F4600" s="23" t="s">
        <v>12410</v>
      </c>
      <c r="G4600" s="23" t="s">
        <v>75</v>
      </c>
      <c r="H4600" s="24">
        <v>3498</v>
      </c>
      <c r="I4600" s="24">
        <v>10.49</v>
      </c>
      <c r="J4600" s="24">
        <v>1.89</v>
      </c>
      <c r="K4600" s="24">
        <v>3485.62</v>
      </c>
      <c r="L4600" s="38">
        <v>46292</v>
      </c>
      <c r="M4600" s="23" t="s">
        <v>226</v>
      </c>
      <c r="N4600" s="23" t="str">
        <f>IF(COUNTIF($A$2:A4600,A4600)&gt;1,"DUP","OK")</f>
        <v>OK</v>
      </c>
      <c r="O4600" s="23" t="str">
        <f t="shared" si="214"/>
        <v>ORD26001972</v>
      </c>
      <c r="P4600" s="23" t="str">
        <f t="shared" si="215"/>
        <v>Sep</v>
      </c>
      <c r="Q4600" s="23" t="str">
        <f>IF(F4600="CAPTURE",IF(COUNTIF(orders!$A:$A,O4600)&gt;0,"Yes","NO ORDER"),"")</f>
        <v>Yes</v>
      </c>
    </row>
    <row r="4601" spans="1:17" ht="15" customHeight="1" x14ac:dyDescent="0.3">
      <c r="A4601" s="23" t="s">
        <v>17714</v>
      </c>
      <c r="B4601" s="23"/>
      <c r="C4601" s="23" t="s">
        <v>4460</v>
      </c>
      <c r="D4601" s="23" t="str">
        <f t="shared" si="213"/>
        <v>ORD26001986</v>
      </c>
      <c r="E4601" s="38">
        <v>46290</v>
      </c>
      <c r="F4601" s="23" t="s">
        <v>12410</v>
      </c>
      <c r="G4601" s="23" t="s">
        <v>75</v>
      </c>
      <c r="H4601" s="24">
        <v>3499</v>
      </c>
      <c r="I4601" s="24">
        <v>10.5</v>
      </c>
      <c r="J4601" s="24">
        <v>1.89</v>
      </c>
      <c r="K4601" s="24">
        <v>3486.61</v>
      </c>
      <c r="L4601" s="38">
        <v>46292</v>
      </c>
      <c r="M4601" s="23" t="s">
        <v>226</v>
      </c>
      <c r="N4601" s="23" t="str">
        <f>IF(COUNTIF($A$2:A4601,A4601)&gt;1,"DUP","OK")</f>
        <v>OK</v>
      </c>
      <c r="O4601" s="23" t="str">
        <f t="shared" si="214"/>
        <v>ORD26001986</v>
      </c>
      <c r="P4601" s="23" t="str">
        <f t="shared" si="215"/>
        <v>Sep</v>
      </c>
      <c r="Q4601" s="23" t="str">
        <f>IF(F4601="CAPTURE",IF(COUNTIF(orders!$A:$A,O4601)&gt;0,"Yes","NO ORDER"),"")</f>
        <v>Yes</v>
      </c>
    </row>
    <row r="4602" spans="1:17" ht="15" customHeight="1" x14ac:dyDescent="0.3">
      <c r="A4602" s="23" t="s">
        <v>17715</v>
      </c>
      <c r="B4602" s="23"/>
      <c r="C4602" s="23" t="s">
        <v>4488</v>
      </c>
      <c r="D4602" s="23" t="str">
        <f t="shared" si="213"/>
        <v>ORD26002000</v>
      </c>
      <c r="E4602" s="38">
        <v>46290</v>
      </c>
      <c r="F4602" s="23" t="s">
        <v>12410</v>
      </c>
      <c r="G4602" s="23" t="s">
        <v>75</v>
      </c>
      <c r="H4602" s="24">
        <v>999</v>
      </c>
      <c r="I4602" s="24">
        <v>0</v>
      </c>
      <c r="J4602" s="24">
        <v>0</v>
      </c>
      <c r="K4602" s="24">
        <v>999</v>
      </c>
      <c r="L4602" s="38">
        <v>46292</v>
      </c>
      <c r="M4602" s="23" t="s">
        <v>226</v>
      </c>
      <c r="N4602" s="23" t="str">
        <f>IF(COUNTIF($A$2:A4602,A4602)&gt;1,"DUP","OK")</f>
        <v>OK</v>
      </c>
      <c r="O4602" s="23" t="str">
        <f t="shared" si="214"/>
        <v>ORD26002000</v>
      </c>
      <c r="P4602" s="23" t="str">
        <f t="shared" si="215"/>
        <v>Sep</v>
      </c>
      <c r="Q4602" s="23" t="str">
        <f>IF(F4602="CAPTURE",IF(COUNTIF(orders!$A:$A,O4602)&gt;0,"Yes","NO ORDER"),"")</f>
        <v>Yes</v>
      </c>
    </row>
    <row r="4603" spans="1:17" ht="15" customHeight="1" x14ac:dyDescent="0.3">
      <c r="A4603" s="23" t="s">
        <v>17716</v>
      </c>
      <c r="B4603" s="23"/>
      <c r="C4603" s="23" t="s">
        <v>4507</v>
      </c>
      <c r="D4603" s="23" t="str">
        <f t="shared" si="213"/>
        <v>ORD26002009</v>
      </c>
      <c r="E4603" s="38">
        <v>46290</v>
      </c>
      <c r="F4603" s="23" t="s">
        <v>12410</v>
      </c>
      <c r="G4603" s="23" t="s">
        <v>79</v>
      </c>
      <c r="H4603" s="24">
        <v>8097</v>
      </c>
      <c r="I4603" s="24">
        <v>129.55000000000001</v>
      </c>
      <c r="J4603" s="24">
        <v>23.32</v>
      </c>
      <c r="K4603" s="24">
        <v>7944.13</v>
      </c>
      <c r="L4603" s="38">
        <v>46292</v>
      </c>
      <c r="M4603" s="23" t="s">
        <v>226</v>
      </c>
      <c r="N4603" s="23" t="str">
        <f>IF(COUNTIF($A$2:A4603,A4603)&gt;1,"DUP","OK")</f>
        <v>OK</v>
      </c>
      <c r="O4603" s="23" t="str">
        <f t="shared" si="214"/>
        <v>ORD26002009</v>
      </c>
      <c r="P4603" s="23" t="str">
        <f t="shared" si="215"/>
        <v>Sep</v>
      </c>
      <c r="Q4603" s="23" t="str">
        <f>IF(F4603="CAPTURE",IF(COUNTIF(orders!$A:$A,O4603)&gt;0,"Yes","NO ORDER"),"")</f>
        <v>Yes</v>
      </c>
    </row>
    <row r="4604" spans="1:17" ht="15" customHeight="1" x14ac:dyDescent="0.3">
      <c r="A4604" s="23" t="s">
        <v>17717</v>
      </c>
      <c r="B4604" s="23"/>
      <c r="C4604" s="23" t="s">
        <v>4510</v>
      </c>
      <c r="D4604" s="23" t="str">
        <f t="shared" si="213"/>
        <v>ORD26002010</v>
      </c>
      <c r="E4604" s="38">
        <v>46290</v>
      </c>
      <c r="F4604" s="23" t="s">
        <v>12410</v>
      </c>
      <c r="G4604" s="23" t="s">
        <v>75</v>
      </c>
      <c r="H4604" s="24">
        <v>3298</v>
      </c>
      <c r="I4604" s="24">
        <v>9.89</v>
      </c>
      <c r="J4604" s="24">
        <v>1.78</v>
      </c>
      <c r="K4604" s="24">
        <v>3286.33</v>
      </c>
      <c r="L4604" s="38">
        <v>46292</v>
      </c>
      <c r="M4604" s="23" t="s">
        <v>226</v>
      </c>
      <c r="N4604" s="23" t="str">
        <f>IF(COUNTIF($A$2:A4604,A4604)&gt;1,"DUP","OK")</f>
        <v>OK</v>
      </c>
      <c r="O4604" s="23" t="str">
        <f t="shared" si="214"/>
        <v>ORD26002010</v>
      </c>
      <c r="P4604" s="23" t="str">
        <f t="shared" si="215"/>
        <v>Sep</v>
      </c>
      <c r="Q4604" s="23" t="str">
        <f>IF(F4604="CAPTURE",IF(COUNTIF(orders!$A:$A,O4604)&gt;0,"Yes","NO ORDER"),"")</f>
        <v>Yes</v>
      </c>
    </row>
    <row r="4605" spans="1:17" ht="15" customHeight="1" x14ac:dyDescent="0.3">
      <c r="A4605" s="23" t="s">
        <v>17718</v>
      </c>
      <c r="B4605" s="23"/>
      <c r="C4605" s="23" t="s">
        <v>4552</v>
      </c>
      <c r="D4605" s="23" t="str">
        <f t="shared" si="213"/>
        <v>ORD26002031</v>
      </c>
      <c r="E4605" s="38">
        <v>46290</v>
      </c>
      <c r="F4605" s="23" t="s">
        <v>12410</v>
      </c>
      <c r="G4605" s="23" t="s">
        <v>79</v>
      </c>
      <c r="H4605" s="24">
        <v>4397</v>
      </c>
      <c r="I4605" s="24">
        <v>70.349999999999994</v>
      </c>
      <c r="J4605" s="24">
        <v>12.66</v>
      </c>
      <c r="K4605" s="24">
        <v>4313.99</v>
      </c>
      <c r="L4605" s="38">
        <v>46292</v>
      </c>
      <c r="M4605" s="23" t="s">
        <v>226</v>
      </c>
      <c r="N4605" s="23" t="str">
        <f>IF(COUNTIF($A$2:A4605,A4605)&gt;1,"DUP","OK")</f>
        <v>OK</v>
      </c>
      <c r="O4605" s="23" t="str">
        <f t="shared" si="214"/>
        <v>ORD26002031</v>
      </c>
      <c r="P4605" s="23" t="str">
        <f t="shared" si="215"/>
        <v>Sep</v>
      </c>
      <c r="Q4605" s="23" t="str">
        <f>IF(F4605="CAPTURE",IF(COUNTIF(orders!$A:$A,O4605)&gt;0,"Yes","NO ORDER"),"")</f>
        <v>Yes</v>
      </c>
    </row>
    <row r="4606" spans="1:17" ht="15" customHeight="1" x14ac:dyDescent="0.3">
      <c r="A4606" s="23" t="s">
        <v>17719</v>
      </c>
      <c r="B4606" s="23"/>
      <c r="C4606" s="23" t="s">
        <v>4648</v>
      </c>
      <c r="D4606" s="23" t="str">
        <f t="shared" si="213"/>
        <v>ORD26002078</v>
      </c>
      <c r="E4606" s="38">
        <v>46290</v>
      </c>
      <c r="F4606" s="23" t="s">
        <v>12410</v>
      </c>
      <c r="G4606" s="23" t="s">
        <v>81</v>
      </c>
      <c r="H4606" s="24">
        <v>4498</v>
      </c>
      <c r="I4606" s="24">
        <v>53.98</v>
      </c>
      <c r="J4606" s="24">
        <v>9.7200000000000006</v>
      </c>
      <c r="K4606" s="24">
        <v>4434.3</v>
      </c>
      <c r="L4606" s="38">
        <v>46292</v>
      </c>
      <c r="M4606" s="23" t="s">
        <v>226</v>
      </c>
      <c r="N4606" s="23" t="str">
        <f>IF(COUNTIF($A$2:A4606,A4606)&gt;1,"DUP","OK")</f>
        <v>OK</v>
      </c>
      <c r="O4606" s="23" t="str">
        <f t="shared" si="214"/>
        <v>ORD26002078</v>
      </c>
      <c r="P4606" s="23" t="str">
        <f t="shared" si="215"/>
        <v>Sep</v>
      </c>
      <c r="Q4606" s="23" t="str">
        <f>IF(F4606="CAPTURE",IF(COUNTIF(orders!$A:$A,O4606)&gt;0,"Yes","NO ORDER"),"")</f>
        <v>Yes</v>
      </c>
    </row>
    <row r="4607" spans="1:17" ht="15" customHeight="1" x14ac:dyDescent="0.3">
      <c r="A4607" s="23" t="s">
        <v>17720</v>
      </c>
      <c r="B4607" s="23"/>
      <c r="C4607" s="23" t="s">
        <v>4657</v>
      </c>
      <c r="D4607" s="23" t="str">
        <f t="shared" si="213"/>
        <v>ORD26002083</v>
      </c>
      <c r="E4607" s="38">
        <v>46290</v>
      </c>
      <c r="F4607" s="23" t="s">
        <v>12410</v>
      </c>
      <c r="G4607" s="23" t="s">
        <v>79</v>
      </c>
      <c r="H4607" s="24">
        <v>5297</v>
      </c>
      <c r="I4607" s="24">
        <v>84.75</v>
      </c>
      <c r="J4607" s="24">
        <v>15.26</v>
      </c>
      <c r="K4607" s="24">
        <v>5196.99</v>
      </c>
      <c r="L4607" s="38">
        <v>46292</v>
      </c>
      <c r="M4607" s="23" t="s">
        <v>226</v>
      </c>
      <c r="N4607" s="23" t="str">
        <f>IF(COUNTIF($A$2:A4607,A4607)&gt;1,"DUP","OK")</f>
        <v>OK</v>
      </c>
      <c r="O4607" s="23" t="str">
        <f t="shared" si="214"/>
        <v>ORD26002083</v>
      </c>
      <c r="P4607" s="23" t="str">
        <f t="shared" si="215"/>
        <v>Sep</v>
      </c>
      <c r="Q4607" s="23" t="str">
        <f>IF(F4607="CAPTURE",IF(COUNTIF(orders!$A:$A,O4607)&gt;0,"Yes","NO ORDER"),"")</f>
        <v>Yes</v>
      </c>
    </row>
    <row r="4608" spans="1:17" ht="15" customHeight="1" x14ac:dyDescent="0.3">
      <c r="A4608" s="23" t="s">
        <v>17721</v>
      </c>
      <c r="B4608" s="23"/>
      <c r="C4608" s="23" t="s">
        <v>4713</v>
      </c>
      <c r="D4608" s="23" t="str">
        <f t="shared" si="213"/>
        <v>ORD26002111</v>
      </c>
      <c r="E4608" s="38">
        <v>46290</v>
      </c>
      <c r="F4608" s="23" t="s">
        <v>12410</v>
      </c>
      <c r="G4608" s="23" t="s">
        <v>81</v>
      </c>
      <c r="H4608" s="24">
        <v>599</v>
      </c>
      <c r="I4608" s="24">
        <v>8.99</v>
      </c>
      <c r="J4608" s="24">
        <v>1.62</v>
      </c>
      <c r="K4608" s="24">
        <v>588.39</v>
      </c>
      <c r="L4608" s="38">
        <v>46292</v>
      </c>
      <c r="M4608" s="23" t="s">
        <v>226</v>
      </c>
      <c r="N4608" s="23" t="str">
        <f>IF(COUNTIF($A$2:A4608,A4608)&gt;1,"DUP","OK")</f>
        <v>OK</v>
      </c>
      <c r="O4608" s="23" t="str">
        <f t="shared" si="214"/>
        <v>ORD26002111</v>
      </c>
      <c r="P4608" s="23" t="str">
        <f t="shared" si="215"/>
        <v>Sep</v>
      </c>
      <c r="Q4608" s="23" t="str">
        <f>IF(F4608="CAPTURE",IF(COUNTIF(orders!$A:$A,O4608)&gt;0,"Yes","NO ORDER"),"")</f>
        <v>Yes</v>
      </c>
    </row>
    <row r="4609" spans="1:17" ht="15" customHeight="1" x14ac:dyDescent="0.3">
      <c r="A4609" s="23" t="s">
        <v>17722</v>
      </c>
      <c r="B4609" s="23"/>
      <c r="C4609" s="23" t="s">
        <v>4715</v>
      </c>
      <c r="D4609" s="23" t="str">
        <f t="shared" si="213"/>
        <v>ORD26002112</v>
      </c>
      <c r="E4609" s="38">
        <v>46290</v>
      </c>
      <c r="F4609" s="23" t="s">
        <v>12410</v>
      </c>
      <c r="G4609" s="23" t="s">
        <v>75</v>
      </c>
      <c r="H4609" s="24">
        <v>5998</v>
      </c>
      <c r="I4609" s="24">
        <v>17.989999999999998</v>
      </c>
      <c r="J4609" s="24">
        <v>3.24</v>
      </c>
      <c r="K4609" s="24">
        <v>5976.77</v>
      </c>
      <c r="L4609" s="38">
        <v>46292</v>
      </c>
      <c r="M4609" s="23" t="s">
        <v>226</v>
      </c>
      <c r="N4609" s="23" t="str">
        <f>IF(COUNTIF($A$2:A4609,A4609)&gt;1,"DUP","OK")</f>
        <v>OK</v>
      </c>
      <c r="O4609" s="23" t="str">
        <f t="shared" si="214"/>
        <v>ORD26002112</v>
      </c>
      <c r="P4609" s="23" t="str">
        <f t="shared" si="215"/>
        <v>Sep</v>
      </c>
      <c r="Q4609" s="23" t="str">
        <f>IF(F4609="CAPTURE",IF(COUNTIF(orders!$A:$A,O4609)&gt;0,"Yes","NO ORDER"),"")</f>
        <v>Yes</v>
      </c>
    </row>
    <row r="4610" spans="1:17" ht="15" customHeight="1" x14ac:dyDescent="0.3">
      <c r="A4610" s="23" t="s">
        <v>17723</v>
      </c>
      <c r="B4610" s="23"/>
      <c r="C4610" s="23" t="s">
        <v>4967</v>
      </c>
      <c r="D4610" s="23" t="str">
        <f t="shared" ref="D4610:D4673" si="216">UPPER(SUBSTITUTE(TRIM(C4610),"-",""))</f>
        <v>ORD26002237</v>
      </c>
      <c r="E4610" s="38">
        <v>46290</v>
      </c>
      <c r="F4610" s="23" t="s">
        <v>12410</v>
      </c>
      <c r="G4610" s="23" t="s">
        <v>77</v>
      </c>
      <c r="H4610" s="24">
        <v>1799</v>
      </c>
      <c r="I4610" s="24">
        <v>34.18</v>
      </c>
      <c r="J4610" s="24">
        <v>6.15</v>
      </c>
      <c r="K4610" s="24">
        <v>1758.67</v>
      </c>
      <c r="L4610" s="38">
        <v>46292</v>
      </c>
      <c r="M4610" s="23" t="s">
        <v>226</v>
      </c>
      <c r="N4610" s="23" t="str">
        <f>IF(COUNTIF($A$2:A4610,A4610)&gt;1,"DUP","OK")</f>
        <v>OK</v>
      </c>
      <c r="O4610" s="23" t="str">
        <f t="shared" ref="O4610:O4673" si="217">IF(F4610="REFUND",INDEX($D:$D,MATCH(B4610,$A:$A,0)),D4610)</f>
        <v>ORD26002237</v>
      </c>
      <c r="P4610" s="23" t="str">
        <f t="shared" ref="P4610:P4673" si="218">IF(L4610&gt;DATE(2026,9,30),"Oct-Due","Sep")</f>
        <v>Sep</v>
      </c>
      <c r="Q4610" s="23" t="str">
        <f>IF(F4610="CAPTURE",IF(COUNTIF(orders!$A:$A,O4610)&gt;0,"Yes","NO ORDER"),"")</f>
        <v>Yes</v>
      </c>
    </row>
    <row r="4611" spans="1:17" ht="15" customHeight="1" x14ac:dyDescent="0.3">
      <c r="A4611" s="23" t="s">
        <v>17724</v>
      </c>
      <c r="B4611" s="23"/>
      <c r="C4611" s="23" t="s">
        <v>5044</v>
      </c>
      <c r="D4611" s="23" t="str">
        <f t="shared" si="216"/>
        <v>ORD26002275</v>
      </c>
      <c r="E4611" s="38">
        <v>46290</v>
      </c>
      <c r="F4611" s="23" t="s">
        <v>12410</v>
      </c>
      <c r="G4611" s="23" t="s">
        <v>75</v>
      </c>
      <c r="H4611" s="24">
        <v>999</v>
      </c>
      <c r="I4611" s="24">
        <v>0</v>
      </c>
      <c r="J4611" s="24">
        <v>0</v>
      </c>
      <c r="K4611" s="24">
        <v>999</v>
      </c>
      <c r="L4611" s="38">
        <v>46292</v>
      </c>
      <c r="M4611" s="23" t="s">
        <v>226</v>
      </c>
      <c r="N4611" s="23" t="str">
        <f>IF(COUNTIF($A$2:A4611,A4611)&gt;1,"DUP","OK")</f>
        <v>OK</v>
      </c>
      <c r="O4611" s="23" t="str">
        <f t="shared" si="217"/>
        <v>ORD26002275</v>
      </c>
      <c r="P4611" s="23" t="str">
        <f t="shared" si="218"/>
        <v>Sep</v>
      </c>
      <c r="Q4611" s="23" t="str">
        <f>IF(F4611="CAPTURE",IF(COUNTIF(orders!$A:$A,O4611)&gt;0,"Yes","NO ORDER"),"")</f>
        <v>Yes</v>
      </c>
    </row>
    <row r="4612" spans="1:17" ht="15" customHeight="1" x14ac:dyDescent="0.3">
      <c r="A4612" s="23" t="s">
        <v>17725</v>
      </c>
      <c r="B4612" s="23"/>
      <c r="C4612" s="23" t="s">
        <v>5071</v>
      </c>
      <c r="D4612" s="23" t="str">
        <f t="shared" si="216"/>
        <v>ORD26002289</v>
      </c>
      <c r="E4612" s="38">
        <v>46290</v>
      </c>
      <c r="F4612" s="23" t="s">
        <v>12410</v>
      </c>
      <c r="G4612" s="23" t="s">
        <v>79</v>
      </c>
      <c r="H4612" s="24">
        <v>6998</v>
      </c>
      <c r="I4612" s="24">
        <v>111.97</v>
      </c>
      <c r="J4612" s="24">
        <v>20.149999999999999</v>
      </c>
      <c r="K4612" s="24">
        <v>6865.88</v>
      </c>
      <c r="L4612" s="38">
        <v>46292</v>
      </c>
      <c r="M4612" s="23" t="s">
        <v>226</v>
      </c>
      <c r="N4612" s="23" t="str">
        <f>IF(COUNTIF($A$2:A4612,A4612)&gt;1,"DUP","OK")</f>
        <v>OK</v>
      </c>
      <c r="O4612" s="23" t="str">
        <f t="shared" si="217"/>
        <v>ORD26002289</v>
      </c>
      <c r="P4612" s="23" t="str">
        <f t="shared" si="218"/>
        <v>Sep</v>
      </c>
      <c r="Q4612" s="23" t="str">
        <f>IF(F4612="CAPTURE",IF(COUNTIF(orders!$A:$A,O4612)&gt;0,"Yes","NO ORDER"),"")</f>
        <v>Yes</v>
      </c>
    </row>
    <row r="4613" spans="1:17" ht="15" customHeight="1" x14ac:dyDescent="0.3">
      <c r="A4613" s="23" t="s">
        <v>17726</v>
      </c>
      <c r="B4613" s="23"/>
      <c r="C4613" s="23" t="s">
        <v>5136</v>
      </c>
      <c r="D4613" s="23" t="str">
        <f t="shared" si="216"/>
        <v>ORD26002321</v>
      </c>
      <c r="E4613" s="38">
        <v>46290</v>
      </c>
      <c r="F4613" s="23" t="s">
        <v>12410</v>
      </c>
      <c r="G4613" s="23" t="s">
        <v>79</v>
      </c>
      <c r="H4613" s="24">
        <v>8798</v>
      </c>
      <c r="I4613" s="24">
        <v>140.77000000000001</v>
      </c>
      <c r="J4613" s="24">
        <v>25.34</v>
      </c>
      <c r="K4613" s="24">
        <v>8631.89</v>
      </c>
      <c r="L4613" s="38">
        <v>46292</v>
      </c>
      <c r="M4613" s="23" t="s">
        <v>226</v>
      </c>
      <c r="N4613" s="23" t="str">
        <f>IF(COUNTIF($A$2:A4613,A4613)&gt;1,"DUP","OK")</f>
        <v>OK</v>
      </c>
      <c r="O4613" s="23" t="str">
        <f t="shared" si="217"/>
        <v>ORD26002321</v>
      </c>
      <c r="P4613" s="23" t="str">
        <f t="shared" si="218"/>
        <v>Sep</v>
      </c>
      <c r="Q4613" s="23" t="str">
        <f>IF(F4613="CAPTURE",IF(COUNTIF(orders!$A:$A,O4613)&gt;0,"Yes","NO ORDER"),"")</f>
        <v>Yes</v>
      </c>
    </row>
    <row r="4614" spans="1:17" ht="15" customHeight="1" x14ac:dyDescent="0.3">
      <c r="A4614" s="23" t="s">
        <v>17727</v>
      </c>
      <c r="B4614" s="23"/>
      <c r="C4614" s="23" t="s">
        <v>5156</v>
      </c>
      <c r="D4614" s="23" t="str">
        <f t="shared" si="216"/>
        <v>ORD26002331</v>
      </c>
      <c r="E4614" s="38">
        <v>46290</v>
      </c>
      <c r="F4614" s="23" t="s">
        <v>12410</v>
      </c>
      <c r="G4614" s="23" t="s">
        <v>75</v>
      </c>
      <c r="H4614" s="24">
        <v>10097</v>
      </c>
      <c r="I4614" s="24">
        <v>30.29</v>
      </c>
      <c r="J4614" s="24">
        <v>5.45</v>
      </c>
      <c r="K4614" s="24">
        <v>10061.26</v>
      </c>
      <c r="L4614" s="38">
        <v>46292</v>
      </c>
      <c r="M4614" s="23" t="s">
        <v>226</v>
      </c>
      <c r="N4614" s="23" t="str">
        <f>IF(COUNTIF($A$2:A4614,A4614)&gt;1,"DUP","OK")</f>
        <v>OK</v>
      </c>
      <c r="O4614" s="23" t="str">
        <f t="shared" si="217"/>
        <v>ORD26002331</v>
      </c>
      <c r="P4614" s="23" t="str">
        <f t="shared" si="218"/>
        <v>Sep</v>
      </c>
      <c r="Q4614" s="23" t="str">
        <f>IF(F4614="CAPTURE",IF(COUNTIF(orders!$A:$A,O4614)&gt;0,"Yes","NO ORDER"),"")</f>
        <v>Yes</v>
      </c>
    </row>
    <row r="4615" spans="1:17" ht="15" customHeight="1" x14ac:dyDescent="0.3">
      <c r="A4615" s="23" t="s">
        <v>17728</v>
      </c>
      <c r="B4615" s="23"/>
      <c r="C4615" s="23" t="s">
        <v>5168</v>
      </c>
      <c r="D4615" s="23" t="str">
        <f t="shared" si="216"/>
        <v>ORD26002337</v>
      </c>
      <c r="E4615" s="38">
        <v>46290</v>
      </c>
      <c r="F4615" s="23" t="s">
        <v>12410</v>
      </c>
      <c r="G4615" s="23" t="s">
        <v>75</v>
      </c>
      <c r="H4615" s="24">
        <v>1098</v>
      </c>
      <c r="I4615" s="24">
        <v>0</v>
      </c>
      <c r="J4615" s="24">
        <v>0</v>
      </c>
      <c r="K4615" s="24">
        <v>1098</v>
      </c>
      <c r="L4615" s="38">
        <v>46292</v>
      </c>
      <c r="M4615" s="23" t="s">
        <v>226</v>
      </c>
      <c r="N4615" s="23" t="str">
        <f>IF(COUNTIF($A$2:A4615,A4615)&gt;1,"DUP","OK")</f>
        <v>OK</v>
      </c>
      <c r="O4615" s="23" t="str">
        <f t="shared" si="217"/>
        <v>ORD26002337</v>
      </c>
      <c r="P4615" s="23" t="str">
        <f t="shared" si="218"/>
        <v>Sep</v>
      </c>
      <c r="Q4615" s="23" t="str">
        <f>IF(F4615="CAPTURE",IF(COUNTIF(orders!$A:$A,O4615)&gt;0,"Yes","NO ORDER"),"")</f>
        <v>Yes</v>
      </c>
    </row>
    <row r="4616" spans="1:17" ht="15" customHeight="1" x14ac:dyDescent="0.3">
      <c r="A4616" s="23" t="s">
        <v>17729</v>
      </c>
      <c r="B4616" s="23"/>
      <c r="C4616" s="23" t="s">
        <v>17730</v>
      </c>
      <c r="D4616" s="23" t="str">
        <f t="shared" si="216"/>
        <v>ORD26002395</v>
      </c>
      <c r="E4616" s="38">
        <v>46290</v>
      </c>
      <c r="F4616" s="23" t="s">
        <v>12410</v>
      </c>
      <c r="G4616" s="23" t="s">
        <v>75</v>
      </c>
      <c r="H4616" s="24">
        <v>349</v>
      </c>
      <c r="I4616" s="24">
        <v>0</v>
      </c>
      <c r="J4616" s="24">
        <v>0</v>
      </c>
      <c r="K4616" s="24">
        <v>349</v>
      </c>
      <c r="L4616" s="38">
        <v>46292</v>
      </c>
      <c r="M4616" s="23" t="s">
        <v>226</v>
      </c>
      <c r="N4616" s="23" t="str">
        <f>IF(COUNTIF($A$2:A4616,A4616)&gt;1,"DUP","OK")</f>
        <v>OK</v>
      </c>
      <c r="O4616" s="23" t="str">
        <f t="shared" si="217"/>
        <v>ORD26002395</v>
      </c>
      <c r="P4616" s="23" t="str">
        <f t="shared" si="218"/>
        <v>Sep</v>
      </c>
      <c r="Q4616" s="23" t="str">
        <f>IF(F4616="CAPTURE",IF(COUNTIF(orders!$A:$A,O4616)&gt;0,"Yes","NO ORDER"),"")</f>
        <v>Yes</v>
      </c>
    </row>
    <row r="4617" spans="1:17" ht="15" customHeight="1" x14ac:dyDescent="0.3">
      <c r="A4617" s="23" t="s">
        <v>17731</v>
      </c>
      <c r="B4617" s="23"/>
      <c r="C4617" s="23" t="s">
        <v>5337</v>
      </c>
      <c r="D4617" s="23" t="str">
        <f t="shared" si="216"/>
        <v>ORD26002423</v>
      </c>
      <c r="E4617" s="38">
        <v>46290</v>
      </c>
      <c r="F4617" s="23" t="s">
        <v>12410</v>
      </c>
      <c r="G4617" s="23" t="s">
        <v>75</v>
      </c>
      <c r="H4617" s="24">
        <v>4647</v>
      </c>
      <c r="I4617" s="24">
        <v>13.94</v>
      </c>
      <c r="J4617" s="24">
        <v>2.5099999999999998</v>
      </c>
      <c r="K4617" s="24">
        <v>4630.55</v>
      </c>
      <c r="L4617" s="38">
        <v>46292</v>
      </c>
      <c r="M4617" s="23" t="s">
        <v>226</v>
      </c>
      <c r="N4617" s="23" t="str">
        <f>IF(COUNTIF($A$2:A4617,A4617)&gt;1,"DUP","OK")</f>
        <v>OK</v>
      </c>
      <c r="O4617" s="23" t="str">
        <f t="shared" si="217"/>
        <v>ORD26002423</v>
      </c>
      <c r="P4617" s="23" t="str">
        <f t="shared" si="218"/>
        <v>Sep</v>
      </c>
      <c r="Q4617" s="23" t="str">
        <f>IF(F4617="CAPTURE",IF(COUNTIF(orders!$A:$A,O4617)&gt;0,"Yes","NO ORDER"),"")</f>
        <v>Yes</v>
      </c>
    </row>
    <row r="4618" spans="1:17" ht="15" customHeight="1" x14ac:dyDescent="0.3">
      <c r="A4618" s="23" t="s">
        <v>17732</v>
      </c>
      <c r="B4618" s="23"/>
      <c r="C4618" s="23" t="s">
        <v>5347</v>
      </c>
      <c r="D4618" s="23" t="str">
        <f t="shared" si="216"/>
        <v>ORD26002428</v>
      </c>
      <c r="E4618" s="38">
        <v>46290</v>
      </c>
      <c r="F4618" s="23" t="s">
        <v>12410</v>
      </c>
      <c r="G4618" s="23" t="s">
        <v>77</v>
      </c>
      <c r="H4618" s="24">
        <v>5348</v>
      </c>
      <c r="I4618" s="24">
        <v>90.92</v>
      </c>
      <c r="J4618" s="24">
        <v>16.37</v>
      </c>
      <c r="K4618" s="24">
        <v>5240.71</v>
      </c>
      <c r="L4618" s="38">
        <v>46292</v>
      </c>
      <c r="M4618" s="23" t="s">
        <v>226</v>
      </c>
      <c r="N4618" s="23" t="str">
        <f>IF(COUNTIF($A$2:A4618,A4618)&gt;1,"DUP","OK")</f>
        <v>OK</v>
      </c>
      <c r="O4618" s="23" t="str">
        <f t="shared" si="217"/>
        <v>ORD26002428</v>
      </c>
      <c r="P4618" s="23" t="str">
        <f t="shared" si="218"/>
        <v>Sep</v>
      </c>
      <c r="Q4618" s="23" t="str">
        <f>IF(F4618="CAPTURE",IF(COUNTIF(orders!$A:$A,O4618)&gt;0,"Yes","NO ORDER"),"")</f>
        <v>Yes</v>
      </c>
    </row>
    <row r="4619" spans="1:17" ht="15" customHeight="1" x14ac:dyDescent="0.3">
      <c r="A4619" s="23" t="s">
        <v>17733</v>
      </c>
      <c r="B4619" s="23"/>
      <c r="C4619" s="23" t="s">
        <v>5365</v>
      </c>
      <c r="D4619" s="23" t="str">
        <f t="shared" si="216"/>
        <v>ORD26002437</v>
      </c>
      <c r="E4619" s="38">
        <v>46290</v>
      </c>
      <c r="F4619" s="23" t="s">
        <v>12410</v>
      </c>
      <c r="G4619" s="23" t="s">
        <v>81</v>
      </c>
      <c r="H4619" s="24">
        <v>299</v>
      </c>
      <c r="I4619" s="24">
        <v>4.49</v>
      </c>
      <c r="J4619" s="24">
        <v>0.81</v>
      </c>
      <c r="K4619" s="24">
        <v>293.7</v>
      </c>
      <c r="L4619" s="38">
        <v>46292</v>
      </c>
      <c r="M4619" s="23" t="s">
        <v>226</v>
      </c>
      <c r="N4619" s="23" t="str">
        <f>IF(COUNTIF($A$2:A4619,A4619)&gt;1,"DUP","OK")</f>
        <v>OK</v>
      </c>
      <c r="O4619" s="23" t="str">
        <f t="shared" si="217"/>
        <v>ORD26002437</v>
      </c>
      <c r="P4619" s="23" t="str">
        <f t="shared" si="218"/>
        <v>Sep</v>
      </c>
      <c r="Q4619" s="23" t="str">
        <f>IF(F4619="CAPTURE",IF(COUNTIF(orders!$A:$A,O4619)&gt;0,"Yes","NO ORDER"),"")</f>
        <v>Yes</v>
      </c>
    </row>
    <row r="4620" spans="1:17" ht="15" customHeight="1" x14ac:dyDescent="0.3">
      <c r="A4620" s="23" t="s">
        <v>17734</v>
      </c>
      <c r="B4620" s="23"/>
      <c r="C4620" s="23" t="s">
        <v>5401</v>
      </c>
      <c r="D4620" s="23" t="str">
        <f t="shared" si="216"/>
        <v>ORD26002455</v>
      </c>
      <c r="E4620" s="38">
        <v>46290</v>
      </c>
      <c r="F4620" s="23" t="s">
        <v>12410</v>
      </c>
      <c r="G4620" s="23" t="s">
        <v>75</v>
      </c>
      <c r="H4620" s="24">
        <v>4298</v>
      </c>
      <c r="I4620" s="24">
        <v>12.89</v>
      </c>
      <c r="J4620" s="24">
        <v>2.3199999999999998</v>
      </c>
      <c r="K4620" s="24">
        <v>4282.79</v>
      </c>
      <c r="L4620" s="38">
        <v>46292</v>
      </c>
      <c r="M4620" s="23" t="s">
        <v>226</v>
      </c>
      <c r="N4620" s="23" t="str">
        <f>IF(COUNTIF($A$2:A4620,A4620)&gt;1,"DUP","OK")</f>
        <v>OK</v>
      </c>
      <c r="O4620" s="23" t="str">
        <f t="shared" si="217"/>
        <v>ORD26002455</v>
      </c>
      <c r="P4620" s="23" t="str">
        <f t="shared" si="218"/>
        <v>Sep</v>
      </c>
      <c r="Q4620" s="23" t="str">
        <f>IF(F4620="CAPTURE",IF(COUNTIF(orders!$A:$A,O4620)&gt;0,"Yes","NO ORDER"),"")</f>
        <v>Yes</v>
      </c>
    </row>
    <row r="4621" spans="1:17" ht="15" customHeight="1" x14ac:dyDescent="0.3">
      <c r="A4621" s="23" t="s">
        <v>17735</v>
      </c>
      <c r="B4621" s="23"/>
      <c r="C4621" s="23" t="s">
        <v>5417</v>
      </c>
      <c r="D4621" s="23" t="str">
        <f t="shared" si="216"/>
        <v>ORD26002463</v>
      </c>
      <c r="E4621" s="38">
        <v>46290</v>
      </c>
      <c r="F4621" s="23" t="s">
        <v>12410</v>
      </c>
      <c r="G4621" s="23" t="s">
        <v>79</v>
      </c>
      <c r="H4621" s="24">
        <v>1198</v>
      </c>
      <c r="I4621" s="24">
        <v>21.56</v>
      </c>
      <c r="J4621" s="24">
        <v>3.88</v>
      </c>
      <c r="K4621" s="24">
        <v>1172.56</v>
      </c>
      <c r="L4621" s="38">
        <v>46292</v>
      </c>
      <c r="M4621" s="23" t="s">
        <v>226</v>
      </c>
      <c r="N4621" s="23" t="str">
        <f>IF(COUNTIF($A$2:A4621,A4621)&gt;1,"DUP","OK")</f>
        <v>OK</v>
      </c>
      <c r="O4621" s="23" t="str">
        <f t="shared" si="217"/>
        <v>ORD26002463</v>
      </c>
      <c r="P4621" s="23" t="str">
        <f t="shared" si="218"/>
        <v>Sep</v>
      </c>
      <c r="Q4621" s="23" t="str">
        <f>IF(F4621="CAPTURE",IF(COUNTIF(orders!$A:$A,O4621)&gt;0,"Yes","NO ORDER"),"")</f>
        <v>Yes</v>
      </c>
    </row>
    <row r="4622" spans="1:17" ht="15" customHeight="1" x14ac:dyDescent="0.3">
      <c r="A4622" s="23" t="s">
        <v>17736</v>
      </c>
      <c r="B4622" s="23"/>
      <c r="C4622" s="23" t="s">
        <v>5584</v>
      </c>
      <c r="D4622" s="23" t="str">
        <f t="shared" si="216"/>
        <v>ORD26002545</v>
      </c>
      <c r="E4622" s="38">
        <v>46290</v>
      </c>
      <c r="F4622" s="23" t="s">
        <v>12410</v>
      </c>
      <c r="G4622" s="23" t="s">
        <v>81</v>
      </c>
      <c r="H4622" s="24">
        <v>3499</v>
      </c>
      <c r="I4622" s="24">
        <v>41.99</v>
      </c>
      <c r="J4622" s="24">
        <v>7.56</v>
      </c>
      <c r="K4622" s="24">
        <v>3449.45</v>
      </c>
      <c r="L4622" s="38">
        <v>46292</v>
      </c>
      <c r="M4622" s="23" t="s">
        <v>226</v>
      </c>
      <c r="N4622" s="23" t="str">
        <f>IF(COUNTIF($A$2:A4622,A4622)&gt;1,"DUP","OK")</f>
        <v>OK</v>
      </c>
      <c r="O4622" s="23" t="str">
        <f t="shared" si="217"/>
        <v>ORD26002545</v>
      </c>
      <c r="P4622" s="23" t="str">
        <f t="shared" si="218"/>
        <v>Sep</v>
      </c>
      <c r="Q4622" s="23" t="str">
        <f>IF(F4622="CAPTURE",IF(COUNTIF(orders!$A:$A,O4622)&gt;0,"Yes","NO ORDER"),"")</f>
        <v>Yes</v>
      </c>
    </row>
    <row r="4623" spans="1:17" ht="15" customHeight="1" x14ac:dyDescent="0.3">
      <c r="A4623" s="23" t="s">
        <v>17737</v>
      </c>
      <c r="B4623" s="23"/>
      <c r="C4623" s="23" t="s">
        <v>5588</v>
      </c>
      <c r="D4623" s="23" t="str">
        <f t="shared" si="216"/>
        <v>ORD26002547</v>
      </c>
      <c r="E4623" s="38">
        <v>46290</v>
      </c>
      <c r="F4623" s="23" t="s">
        <v>12410</v>
      </c>
      <c r="G4623" s="23" t="s">
        <v>79</v>
      </c>
      <c r="H4623" s="24">
        <v>4597</v>
      </c>
      <c r="I4623" s="24">
        <v>73.55</v>
      </c>
      <c r="J4623" s="24">
        <v>13.24</v>
      </c>
      <c r="K4623" s="24">
        <v>4510.21</v>
      </c>
      <c r="L4623" s="38">
        <v>46292</v>
      </c>
      <c r="M4623" s="23" t="s">
        <v>226</v>
      </c>
      <c r="N4623" s="23" t="str">
        <f>IF(COUNTIF($A$2:A4623,A4623)&gt;1,"DUP","OK")</f>
        <v>OK</v>
      </c>
      <c r="O4623" s="23" t="str">
        <f t="shared" si="217"/>
        <v>ORD26002547</v>
      </c>
      <c r="P4623" s="23" t="str">
        <f t="shared" si="218"/>
        <v>Sep</v>
      </c>
      <c r="Q4623" s="23" t="str">
        <f>IF(F4623="CAPTURE",IF(COUNTIF(orders!$A:$A,O4623)&gt;0,"Yes","NO ORDER"),"")</f>
        <v>Yes</v>
      </c>
    </row>
    <row r="4624" spans="1:17" ht="15" customHeight="1" x14ac:dyDescent="0.3">
      <c r="A4624" s="23" t="s">
        <v>17738</v>
      </c>
      <c r="B4624" s="23"/>
      <c r="C4624" s="23" t="s">
        <v>5651</v>
      </c>
      <c r="D4624" s="23" t="str">
        <f t="shared" si="216"/>
        <v>ORD26002579</v>
      </c>
      <c r="E4624" s="38">
        <v>46290</v>
      </c>
      <c r="F4624" s="23" t="s">
        <v>12410</v>
      </c>
      <c r="G4624" s="23" t="s">
        <v>75</v>
      </c>
      <c r="H4624" s="24">
        <v>10297</v>
      </c>
      <c r="I4624" s="24">
        <v>30.89</v>
      </c>
      <c r="J4624" s="24">
        <v>5.56</v>
      </c>
      <c r="K4624" s="24">
        <v>10260.549999999999</v>
      </c>
      <c r="L4624" s="38">
        <v>46292</v>
      </c>
      <c r="M4624" s="23" t="s">
        <v>226</v>
      </c>
      <c r="N4624" s="23" t="str">
        <f>IF(COUNTIF($A$2:A4624,A4624)&gt;1,"DUP","OK")</f>
        <v>OK</v>
      </c>
      <c r="O4624" s="23" t="str">
        <f t="shared" si="217"/>
        <v>ORD26002579</v>
      </c>
      <c r="P4624" s="23" t="str">
        <f t="shared" si="218"/>
        <v>Sep</v>
      </c>
      <c r="Q4624" s="23" t="str">
        <f>IF(F4624="CAPTURE",IF(COUNTIF(orders!$A:$A,O4624)&gt;0,"Yes","NO ORDER"),"")</f>
        <v>Yes</v>
      </c>
    </row>
    <row r="4625" spans="1:17" ht="15" customHeight="1" x14ac:dyDescent="0.3">
      <c r="A4625" s="23" t="s">
        <v>17739</v>
      </c>
      <c r="B4625" s="23"/>
      <c r="C4625" s="23" t="s">
        <v>5665</v>
      </c>
      <c r="D4625" s="23" t="str">
        <f t="shared" si="216"/>
        <v>ORD26002586</v>
      </c>
      <c r="E4625" s="38">
        <v>46290</v>
      </c>
      <c r="F4625" s="23" t="s">
        <v>12410</v>
      </c>
      <c r="G4625" s="23" t="s">
        <v>75</v>
      </c>
      <c r="H4625" s="24">
        <v>11097</v>
      </c>
      <c r="I4625" s="24">
        <v>33.29</v>
      </c>
      <c r="J4625" s="24">
        <v>5.99</v>
      </c>
      <c r="K4625" s="24">
        <v>11057.72</v>
      </c>
      <c r="L4625" s="38">
        <v>46292</v>
      </c>
      <c r="M4625" s="23" t="s">
        <v>226</v>
      </c>
      <c r="N4625" s="23" t="str">
        <f>IF(COUNTIF($A$2:A4625,A4625)&gt;1,"DUP","OK")</f>
        <v>OK</v>
      </c>
      <c r="O4625" s="23" t="str">
        <f t="shared" si="217"/>
        <v>ORD26002586</v>
      </c>
      <c r="P4625" s="23" t="str">
        <f t="shared" si="218"/>
        <v>Sep</v>
      </c>
      <c r="Q4625" s="23" t="str">
        <f>IF(F4625="CAPTURE",IF(COUNTIF(orders!$A:$A,O4625)&gt;0,"Yes","NO ORDER"),"")</f>
        <v>Yes</v>
      </c>
    </row>
    <row r="4626" spans="1:17" ht="15" customHeight="1" x14ac:dyDescent="0.3">
      <c r="A4626" s="23" t="s">
        <v>17740</v>
      </c>
      <c r="B4626" s="23"/>
      <c r="C4626" s="23" t="s">
        <v>17741</v>
      </c>
      <c r="D4626" s="23" t="str">
        <f t="shared" si="216"/>
        <v>ORD26002614</v>
      </c>
      <c r="E4626" s="38">
        <v>46290</v>
      </c>
      <c r="F4626" s="23" t="s">
        <v>12410</v>
      </c>
      <c r="G4626" s="23" t="s">
        <v>75</v>
      </c>
      <c r="H4626" s="24">
        <v>599</v>
      </c>
      <c r="I4626" s="24">
        <v>0</v>
      </c>
      <c r="J4626" s="24">
        <v>0</v>
      </c>
      <c r="K4626" s="24">
        <v>599</v>
      </c>
      <c r="L4626" s="38">
        <v>46292</v>
      </c>
      <c r="M4626" s="23" t="s">
        <v>226</v>
      </c>
      <c r="N4626" s="23" t="str">
        <f>IF(COUNTIF($A$2:A4626,A4626)&gt;1,"DUP","OK")</f>
        <v>OK</v>
      </c>
      <c r="O4626" s="23" t="str">
        <f t="shared" si="217"/>
        <v>ORD26002614</v>
      </c>
      <c r="P4626" s="23" t="str">
        <f t="shared" si="218"/>
        <v>Sep</v>
      </c>
      <c r="Q4626" s="23" t="str">
        <f>IF(F4626="CAPTURE",IF(COUNTIF(orders!$A:$A,O4626)&gt;0,"Yes","NO ORDER"),"")</f>
        <v>Yes</v>
      </c>
    </row>
    <row r="4627" spans="1:17" ht="15" customHeight="1" x14ac:dyDescent="0.3">
      <c r="A4627" s="23" t="s">
        <v>17742</v>
      </c>
      <c r="B4627" s="23"/>
      <c r="C4627" s="23" t="s">
        <v>5740</v>
      </c>
      <c r="D4627" s="23" t="str">
        <f t="shared" si="216"/>
        <v>ORD26002623</v>
      </c>
      <c r="E4627" s="38">
        <v>46290</v>
      </c>
      <c r="F4627" s="23" t="s">
        <v>12410</v>
      </c>
      <c r="G4627" s="23" t="s">
        <v>75</v>
      </c>
      <c r="H4627" s="24">
        <v>1798</v>
      </c>
      <c r="I4627" s="24">
        <v>0</v>
      </c>
      <c r="J4627" s="24">
        <v>0</v>
      </c>
      <c r="K4627" s="24">
        <v>1798</v>
      </c>
      <c r="L4627" s="38">
        <v>46292</v>
      </c>
      <c r="M4627" s="23" t="s">
        <v>226</v>
      </c>
      <c r="N4627" s="23" t="str">
        <f>IF(COUNTIF($A$2:A4627,A4627)&gt;1,"DUP","OK")</f>
        <v>OK</v>
      </c>
      <c r="O4627" s="23" t="str">
        <f t="shared" si="217"/>
        <v>ORD26002623</v>
      </c>
      <c r="P4627" s="23" t="str">
        <f t="shared" si="218"/>
        <v>Sep</v>
      </c>
      <c r="Q4627" s="23" t="str">
        <f>IF(F4627="CAPTURE",IF(COUNTIF(orders!$A:$A,O4627)&gt;0,"Yes","NO ORDER"),"")</f>
        <v>Yes</v>
      </c>
    </row>
    <row r="4628" spans="1:17" ht="15" customHeight="1" x14ac:dyDescent="0.3">
      <c r="A4628" s="23" t="s">
        <v>17743</v>
      </c>
      <c r="B4628" s="23"/>
      <c r="C4628" s="23" t="s">
        <v>5742</v>
      </c>
      <c r="D4628" s="23" t="str">
        <f t="shared" si="216"/>
        <v>ORD26002624</v>
      </c>
      <c r="E4628" s="38">
        <v>46290</v>
      </c>
      <c r="F4628" s="23" t="s">
        <v>12410</v>
      </c>
      <c r="G4628" s="23" t="s">
        <v>75</v>
      </c>
      <c r="H4628" s="24">
        <v>299</v>
      </c>
      <c r="I4628" s="24">
        <v>0</v>
      </c>
      <c r="J4628" s="24">
        <v>0</v>
      </c>
      <c r="K4628" s="24">
        <v>299</v>
      </c>
      <c r="L4628" s="38">
        <v>46292</v>
      </c>
      <c r="M4628" s="23" t="s">
        <v>226</v>
      </c>
      <c r="N4628" s="23" t="str">
        <f>IF(COUNTIF($A$2:A4628,A4628)&gt;1,"DUP","OK")</f>
        <v>OK</v>
      </c>
      <c r="O4628" s="23" t="str">
        <f t="shared" si="217"/>
        <v>ORD26002624</v>
      </c>
      <c r="P4628" s="23" t="str">
        <f t="shared" si="218"/>
        <v>Sep</v>
      </c>
      <c r="Q4628" s="23" t="str">
        <f>IF(F4628="CAPTURE",IF(COUNTIF(orders!$A:$A,O4628)&gt;0,"Yes","NO ORDER"),"")</f>
        <v>Yes</v>
      </c>
    </row>
    <row r="4629" spans="1:17" ht="15" customHeight="1" x14ac:dyDescent="0.3">
      <c r="A4629" s="23" t="s">
        <v>17744</v>
      </c>
      <c r="B4629" s="23"/>
      <c r="C4629" s="23" t="s">
        <v>5750</v>
      </c>
      <c r="D4629" s="23" t="str">
        <f t="shared" si="216"/>
        <v>ORD26002628</v>
      </c>
      <c r="E4629" s="38">
        <v>46290</v>
      </c>
      <c r="F4629" s="23" t="s">
        <v>12410</v>
      </c>
      <c r="G4629" s="23" t="s">
        <v>79</v>
      </c>
      <c r="H4629" s="24">
        <v>7498</v>
      </c>
      <c r="I4629" s="24">
        <v>119.97</v>
      </c>
      <c r="J4629" s="24">
        <v>21.59</v>
      </c>
      <c r="K4629" s="24">
        <v>7356.44</v>
      </c>
      <c r="L4629" s="38">
        <v>46292</v>
      </c>
      <c r="M4629" s="23" t="s">
        <v>226</v>
      </c>
      <c r="N4629" s="23" t="str">
        <f>IF(COUNTIF($A$2:A4629,A4629)&gt;1,"DUP","OK")</f>
        <v>OK</v>
      </c>
      <c r="O4629" s="23" t="str">
        <f t="shared" si="217"/>
        <v>ORD26002628</v>
      </c>
      <c r="P4629" s="23" t="str">
        <f t="shared" si="218"/>
        <v>Sep</v>
      </c>
      <c r="Q4629" s="23" t="str">
        <f>IF(F4629="CAPTURE",IF(COUNTIF(orders!$A:$A,O4629)&gt;0,"Yes","NO ORDER"),"")</f>
        <v>Yes</v>
      </c>
    </row>
    <row r="4630" spans="1:17" ht="15" customHeight="1" x14ac:dyDescent="0.3">
      <c r="A4630" s="23" t="s">
        <v>17745</v>
      </c>
      <c r="B4630" s="23"/>
      <c r="C4630" s="23" t="s">
        <v>5782</v>
      </c>
      <c r="D4630" s="23" t="str">
        <f t="shared" si="216"/>
        <v>ORD26002644</v>
      </c>
      <c r="E4630" s="38">
        <v>46290</v>
      </c>
      <c r="F4630" s="23" t="s">
        <v>12410</v>
      </c>
      <c r="G4630" s="23" t="s">
        <v>79</v>
      </c>
      <c r="H4630" s="24">
        <v>4999</v>
      </c>
      <c r="I4630" s="24">
        <v>79.98</v>
      </c>
      <c r="J4630" s="24">
        <v>14.4</v>
      </c>
      <c r="K4630" s="24">
        <v>4904.62</v>
      </c>
      <c r="L4630" s="38">
        <v>46292</v>
      </c>
      <c r="M4630" s="23" t="s">
        <v>226</v>
      </c>
      <c r="N4630" s="23" t="str">
        <f>IF(COUNTIF($A$2:A4630,A4630)&gt;1,"DUP","OK")</f>
        <v>OK</v>
      </c>
      <c r="O4630" s="23" t="str">
        <f t="shared" si="217"/>
        <v>ORD26002644</v>
      </c>
      <c r="P4630" s="23" t="str">
        <f t="shared" si="218"/>
        <v>Sep</v>
      </c>
      <c r="Q4630" s="23" t="str">
        <f>IF(F4630="CAPTURE",IF(COUNTIF(orders!$A:$A,O4630)&gt;0,"Yes","NO ORDER"),"")</f>
        <v>Yes</v>
      </c>
    </row>
    <row r="4631" spans="1:17" ht="15" customHeight="1" x14ac:dyDescent="0.3">
      <c r="A4631" s="23" t="s">
        <v>17746</v>
      </c>
      <c r="B4631" s="23"/>
      <c r="C4631" s="23" t="s">
        <v>5852</v>
      </c>
      <c r="D4631" s="23" t="str">
        <f t="shared" si="216"/>
        <v>ORD26002678</v>
      </c>
      <c r="E4631" s="38">
        <v>46290</v>
      </c>
      <c r="F4631" s="23" t="s">
        <v>12410</v>
      </c>
      <c r="G4631" s="23" t="s">
        <v>75</v>
      </c>
      <c r="H4631" s="24">
        <v>1299</v>
      </c>
      <c r="I4631" s="24">
        <v>0</v>
      </c>
      <c r="J4631" s="24">
        <v>0</v>
      </c>
      <c r="K4631" s="24">
        <v>1299</v>
      </c>
      <c r="L4631" s="38">
        <v>46292</v>
      </c>
      <c r="M4631" s="23" t="s">
        <v>226</v>
      </c>
      <c r="N4631" s="23" t="str">
        <f>IF(COUNTIF($A$2:A4631,A4631)&gt;1,"DUP","OK")</f>
        <v>OK</v>
      </c>
      <c r="O4631" s="23" t="str">
        <f t="shared" si="217"/>
        <v>ORD26002678</v>
      </c>
      <c r="P4631" s="23" t="str">
        <f t="shared" si="218"/>
        <v>Sep</v>
      </c>
      <c r="Q4631" s="23" t="str">
        <f>IF(F4631="CAPTURE",IF(COUNTIF(orders!$A:$A,O4631)&gt;0,"Yes","NO ORDER"),"")</f>
        <v>Yes</v>
      </c>
    </row>
    <row r="4632" spans="1:17" ht="15" customHeight="1" x14ac:dyDescent="0.3">
      <c r="A4632" s="23" t="s">
        <v>17747</v>
      </c>
      <c r="B4632" s="23"/>
      <c r="C4632" s="23" t="s">
        <v>5928</v>
      </c>
      <c r="D4632" s="23" t="str">
        <f t="shared" si="216"/>
        <v>ORD26002716</v>
      </c>
      <c r="E4632" s="38">
        <v>46290</v>
      </c>
      <c r="F4632" s="23" t="s">
        <v>12410</v>
      </c>
      <c r="G4632" s="23" t="s">
        <v>75</v>
      </c>
      <c r="H4632" s="24">
        <v>299</v>
      </c>
      <c r="I4632" s="24">
        <v>0</v>
      </c>
      <c r="J4632" s="24">
        <v>0</v>
      </c>
      <c r="K4632" s="24">
        <v>299</v>
      </c>
      <c r="L4632" s="38">
        <v>46292</v>
      </c>
      <c r="M4632" s="23" t="s">
        <v>226</v>
      </c>
      <c r="N4632" s="23" t="str">
        <f>IF(COUNTIF($A$2:A4632,A4632)&gt;1,"DUP","OK")</f>
        <v>OK</v>
      </c>
      <c r="O4632" s="23" t="str">
        <f t="shared" si="217"/>
        <v>ORD26002716</v>
      </c>
      <c r="P4632" s="23" t="str">
        <f t="shared" si="218"/>
        <v>Sep</v>
      </c>
      <c r="Q4632" s="23" t="str">
        <f>IF(F4632="CAPTURE",IF(COUNTIF(orders!$A:$A,O4632)&gt;0,"Yes","NO ORDER"),"")</f>
        <v>Yes</v>
      </c>
    </row>
    <row r="4633" spans="1:17" ht="15" customHeight="1" x14ac:dyDescent="0.3">
      <c r="A4633" s="23" t="s">
        <v>17748</v>
      </c>
      <c r="B4633" s="23"/>
      <c r="C4633" s="23" t="s">
        <v>6030</v>
      </c>
      <c r="D4633" s="23" t="str">
        <f t="shared" si="216"/>
        <v>ORD26002766</v>
      </c>
      <c r="E4633" s="38">
        <v>46290</v>
      </c>
      <c r="F4633" s="23" t="s">
        <v>12410</v>
      </c>
      <c r="G4633" s="23" t="s">
        <v>75</v>
      </c>
      <c r="H4633" s="24">
        <v>6997</v>
      </c>
      <c r="I4633" s="24">
        <v>20.99</v>
      </c>
      <c r="J4633" s="24">
        <v>3.78</v>
      </c>
      <c r="K4633" s="24">
        <v>6972.23</v>
      </c>
      <c r="L4633" s="38">
        <v>46292</v>
      </c>
      <c r="M4633" s="23" t="s">
        <v>226</v>
      </c>
      <c r="N4633" s="23" t="str">
        <f>IF(COUNTIF($A$2:A4633,A4633)&gt;1,"DUP","OK")</f>
        <v>OK</v>
      </c>
      <c r="O4633" s="23" t="str">
        <f t="shared" si="217"/>
        <v>ORD26002766</v>
      </c>
      <c r="P4633" s="23" t="str">
        <f t="shared" si="218"/>
        <v>Sep</v>
      </c>
      <c r="Q4633" s="23" t="str">
        <f>IF(F4633="CAPTURE",IF(COUNTIF(orders!$A:$A,O4633)&gt;0,"Yes","NO ORDER"),"")</f>
        <v>Yes</v>
      </c>
    </row>
    <row r="4634" spans="1:17" ht="15" customHeight="1" x14ac:dyDescent="0.3">
      <c r="A4634" s="23" t="s">
        <v>17749</v>
      </c>
      <c r="B4634" s="23"/>
      <c r="C4634" s="23" t="s">
        <v>6188</v>
      </c>
      <c r="D4634" s="23" t="str">
        <f t="shared" si="216"/>
        <v>ORD26002846</v>
      </c>
      <c r="E4634" s="38">
        <v>46290</v>
      </c>
      <c r="F4634" s="23" t="s">
        <v>12410</v>
      </c>
      <c r="G4634" s="23" t="s">
        <v>75</v>
      </c>
      <c r="H4634" s="24">
        <v>7999</v>
      </c>
      <c r="I4634" s="24">
        <v>24</v>
      </c>
      <c r="J4634" s="24">
        <v>4.32</v>
      </c>
      <c r="K4634" s="24">
        <v>7970.68</v>
      </c>
      <c r="L4634" s="38">
        <v>46292</v>
      </c>
      <c r="M4634" s="23" t="s">
        <v>226</v>
      </c>
      <c r="N4634" s="23" t="str">
        <f>IF(COUNTIF($A$2:A4634,A4634)&gt;1,"DUP","OK")</f>
        <v>OK</v>
      </c>
      <c r="O4634" s="23" t="str">
        <f t="shared" si="217"/>
        <v>ORD26002846</v>
      </c>
      <c r="P4634" s="23" t="str">
        <f t="shared" si="218"/>
        <v>Sep</v>
      </c>
      <c r="Q4634" s="23" t="str">
        <f>IF(F4634="CAPTURE",IF(COUNTIF(orders!$A:$A,O4634)&gt;0,"Yes","NO ORDER"),"")</f>
        <v>Yes</v>
      </c>
    </row>
    <row r="4635" spans="1:17" ht="15" customHeight="1" x14ac:dyDescent="0.3">
      <c r="A4635" s="23" t="s">
        <v>17750</v>
      </c>
      <c r="B4635" s="23"/>
      <c r="C4635" s="23" t="s">
        <v>17751</v>
      </c>
      <c r="D4635" s="23" t="str">
        <f t="shared" si="216"/>
        <v>ORD26002858</v>
      </c>
      <c r="E4635" s="38">
        <v>46290</v>
      </c>
      <c r="F4635" s="23" t="s">
        <v>12410</v>
      </c>
      <c r="G4635" s="23" t="s">
        <v>75</v>
      </c>
      <c r="H4635" s="24">
        <v>3998</v>
      </c>
      <c r="I4635" s="24">
        <v>11.99</v>
      </c>
      <c r="J4635" s="24">
        <v>2.16</v>
      </c>
      <c r="K4635" s="24">
        <v>3983.85</v>
      </c>
      <c r="L4635" s="38">
        <v>46292</v>
      </c>
      <c r="M4635" s="23" t="s">
        <v>226</v>
      </c>
      <c r="N4635" s="23" t="str">
        <f>IF(COUNTIF($A$2:A4635,A4635)&gt;1,"DUP","OK")</f>
        <v>OK</v>
      </c>
      <c r="O4635" s="23" t="str">
        <f t="shared" si="217"/>
        <v>ORD26002858</v>
      </c>
      <c r="P4635" s="23" t="str">
        <f t="shared" si="218"/>
        <v>Sep</v>
      </c>
      <c r="Q4635" s="23" t="str">
        <f>IF(F4635="CAPTURE",IF(COUNTIF(orders!$A:$A,O4635)&gt;0,"Yes","NO ORDER"),"")</f>
        <v>Yes</v>
      </c>
    </row>
    <row r="4636" spans="1:17" ht="15" customHeight="1" x14ac:dyDescent="0.3">
      <c r="A4636" s="23" t="s">
        <v>17752</v>
      </c>
      <c r="B4636" s="23"/>
      <c r="C4636" s="23" t="s">
        <v>6668</v>
      </c>
      <c r="D4636" s="23" t="str">
        <f t="shared" si="216"/>
        <v>ORD26003086</v>
      </c>
      <c r="E4636" s="38">
        <v>46290</v>
      </c>
      <c r="F4636" s="23" t="s">
        <v>12410</v>
      </c>
      <c r="G4636" s="23" t="s">
        <v>75</v>
      </c>
      <c r="H4636" s="24">
        <v>6798</v>
      </c>
      <c r="I4636" s="24">
        <v>20.39</v>
      </c>
      <c r="J4636" s="24">
        <v>3.67</v>
      </c>
      <c r="K4636" s="24">
        <v>6773.94</v>
      </c>
      <c r="L4636" s="38">
        <v>46292</v>
      </c>
      <c r="M4636" s="23" t="s">
        <v>226</v>
      </c>
      <c r="N4636" s="23" t="str">
        <f>IF(COUNTIF($A$2:A4636,A4636)&gt;1,"DUP","OK")</f>
        <v>OK</v>
      </c>
      <c r="O4636" s="23" t="str">
        <f t="shared" si="217"/>
        <v>ORD26003086</v>
      </c>
      <c r="P4636" s="23" t="str">
        <f t="shared" si="218"/>
        <v>Sep</v>
      </c>
      <c r="Q4636" s="23" t="str">
        <f>IF(F4636="CAPTURE",IF(COUNTIF(orders!$A:$A,O4636)&gt;0,"Yes","NO ORDER"),"")</f>
        <v>Yes</v>
      </c>
    </row>
    <row r="4637" spans="1:17" ht="15" customHeight="1" x14ac:dyDescent="0.3">
      <c r="A4637" s="23" t="s">
        <v>17753</v>
      </c>
      <c r="B4637" s="23"/>
      <c r="C4637" s="23" t="s">
        <v>6672</v>
      </c>
      <c r="D4637" s="23" t="str">
        <f t="shared" si="216"/>
        <v>ORD26003088</v>
      </c>
      <c r="E4637" s="38">
        <v>46290</v>
      </c>
      <c r="F4637" s="23" t="s">
        <v>12410</v>
      </c>
      <c r="G4637" s="23" t="s">
        <v>79</v>
      </c>
      <c r="H4637" s="24">
        <v>3998</v>
      </c>
      <c r="I4637" s="24">
        <v>63.97</v>
      </c>
      <c r="J4637" s="24">
        <v>11.51</v>
      </c>
      <c r="K4637" s="24">
        <v>3922.52</v>
      </c>
      <c r="L4637" s="38">
        <v>46292</v>
      </c>
      <c r="M4637" s="23" t="s">
        <v>226</v>
      </c>
      <c r="N4637" s="23" t="str">
        <f>IF(COUNTIF($A$2:A4637,A4637)&gt;1,"DUP","OK")</f>
        <v>OK</v>
      </c>
      <c r="O4637" s="23" t="str">
        <f t="shared" si="217"/>
        <v>ORD26003088</v>
      </c>
      <c r="P4637" s="23" t="str">
        <f t="shared" si="218"/>
        <v>Sep</v>
      </c>
      <c r="Q4637" s="23" t="str">
        <f>IF(F4637="CAPTURE",IF(COUNTIF(orders!$A:$A,O4637)&gt;0,"Yes","NO ORDER"),"")</f>
        <v>Yes</v>
      </c>
    </row>
    <row r="4638" spans="1:17" ht="15" customHeight="1" x14ac:dyDescent="0.3">
      <c r="A4638" s="23" t="s">
        <v>17754</v>
      </c>
      <c r="B4638" s="23"/>
      <c r="C4638" s="23" t="s">
        <v>6714</v>
      </c>
      <c r="D4638" s="23" t="str">
        <f t="shared" si="216"/>
        <v>ORD26003108</v>
      </c>
      <c r="E4638" s="38">
        <v>46290</v>
      </c>
      <c r="F4638" s="23" t="s">
        <v>12410</v>
      </c>
      <c r="G4638" s="23" t="s">
        <v>75</v>
      </c>
      <c r="H4638" s="24">
        <v>2999</v>
      </c>
      <c r="I4638" s="24">
        <v>9</v>
      </c>
      <c r="J4638" s="24">
        <v>1.62</v>
      </c>
      <c r="K4638" s="24">
        <v>2988.38</v>
      </c>
      <c r="L4638" s="38">
        <v>46292</v>
      </c>
      <c r="M4638" s="23" t="s">
        <v>226</v>
      </c>
      <c r="N4638" s="23" t="str">
        <f>IF(COUNTIF($A$2:A4638,A4638)&gt;1,"DUP","OK")</f>
        <v>OK</v>
      </c>
      <c r="O4638" s="23" t="str">
        <f t="shared" si="217"/>
        <v>ORD26003108</v>
      </c>
      <c r="P4638" s="23" t="str">
        <f t="shared" si="218"/>
        <v>Sep</v>
      </c>
      <c r="Q4638" s="23" t="str">
        <f>IF(F4638="CAPTURE",IF(COUNTIF(orders!$A:$A,O4638)&gt;0,"Yes","NO ORDER"),"")</f>
        <v>Yes</v>
      </c>
    </row>
    <row r="4639" spans="1:17" ht="15" customHeight="1" x14ac:dyDescent="0.3">
      <c r="A4639" s="23" t="s">
        <v>17755</v>
      </c>
      <c r="B4639" s="23"/>
      <c r="C4639" s="23" t="s">
        <v>17756</v>
      </c>
      <c r="D4639" s="23" t="str">
        <f t="shared" si="216"/>
        <v>ORD26003111</v>
      </c>
      <c r="E4639" s="38">
        <v>46290</v>
      </c>
      <c r="F4639" s="23" t="s">
        <v>12410</v>
      </c>
      <c r="G4639" s="23" t="s">
        <v>75</v>
      </c>
      <c r="H4639" s="24">
        <v>4999</v>
      </c>
      <c r="I4639" s="24">
        <v>15</v>
      </c>
      <c r="J4639" s="24">
        <v>2.7</v>
      </c>
      <c r="K4639" s="24">
        <v>4981.3</v>
      </c>
      <c r="L4639" s="38">
        <v>46292</v>
      </c>
      <c r="M4639" s="23" t="s">
        <v>226</v>
      </c>
      <c r="N4639" s="23" t="str">
        <f>IF(COUNTIF($A$2:A4639,A4639)&gt;1,"DUP","OK")</f>
        <v>OK</v>
      </c>
      <c r="O4639" s="23" t="str">
        <f t="shared" si="217"/>
        <v>ORD26003111</v>
      </c>
      <c r="P4639" s="23" t="str">
        <f t="shared" si="218"/>
        <v>Sep</v>
      </c>
      <c r="Q4639" s="23" t="str">
        <f>IF(F4639="CAPTURE",IF(COUNTIF(orders!$A:$A,O4639)&gt;0,"Yes","NO ORDER"),"")</f>
        <v>Yes</v>
      </c>
    </row>
    <row r="4640" spans="1:17" ht="15" customHeight="1" x14ac:dyDescent="0.3">
      <c r="A4640" s="23" t="s">
        <v>17757</v>
      </c>
      <c r="B4640" s="23"/>
      <c r="C4640" s="23" t="s">
        <v>6789</v>
      </c>
      <c r="D4640" s="23" t="str">
        <f t="shared" si="216"/>
        <v>ORD26003146</v>
      </c>
      <c r="E4640" s="38">
        <v>46290</v>
      </c>
      <c r="F4640" s="23" t="s">
        <v>12410</v>
      </c>
      <c r="G4640" s="23" t="s">
        <v>75</v>
      </c>
      <c r="H4640" s="24">
        <v>2499</v>
      </c>
      <c r="I4640" s="24">
        <v>7.5</v>
      </c>
      <c r="J4640" s="24">
        <v>1.35</v>
      </c>
      <c r="K4640" s="24">
        <v>2490.15</v>
      </c>
      <c r="L4640" s="38">
        <v>46292</v>
      </c>
      <c r="M4640" s="23" t="s">
        <v>226</v>
      </c>
      <c r="N4640" s="23" t="str">
        <f>IF(COUNTIF($A$2:A4640,A4640)&gt;1,"DUP","OK")</f>
        <v>OK</v>
      </c>
      <c r="O4640" s="23" t="str">
        <f t="shared" si="217"/>
        <v>ORD26003146</v>
      </c>
      <c r="P4640" s="23" t="str">
        <f t="shared" si="218"/>
        <v>Sep</v>
      </c>
      <c r="Q4640" s="23" t="str">
        <f>IF(F4640="CAPTURE",IF(COUNTIF(orders!$A:$A,O4640)&gt;0,"Yes","NO ORDER"),"")</f>
        <v>Yes</v>
      </c>
    </row>
    <row r="4641" spans="1:17" ht="15" customHeight="1" x14ac:dyDescent="0.3">
      <c r="A4641" s="23" t="s">
        <v>17758</v>
      </c>
      <c r="B4641" s="23"/>
      <c r="C4641" s="23" t="s">
        <v>6898</v>
      </c>
      <c r="D4641" s="23" t="str">
        <f t="shared" si="216"/>
        <v>ORD26003200</v>
      </c>
      <c r="E4641" s="38">
        <v>46290</v>
      </c>
      <c r="F4641" s="23" t="s">
        <v>12410</v>
      </c>
      <c r="G4641" s="23" t="s">
        <v>79</v>
      </c>
      <c r="H4641" s="24">
        <v>3998</v>
      </c>
      <c r="I4641" s="24">
        <v>63.97</v>
      </c>
      <c r="J4641" s="24">
        <v>11.51</v>
      </c>
      <c r="K4641" s="24">
        <v>3922.52</v>
      </c>
      <c r="L4641" s="38">
        <v>46292</v>
      </c>
      <c r="M4641" s="23" t="s">
        <v>226</v>
      </c>
      <c r="N4641" s="23" t="str">
        <f>IF(COUNTIF($A$2:A4641,A4641)&gt;1,"DUP","OK")</f>
        <v>OK</v>
      </c>
      <c r="O4641" s="23" t="str">
        <f t="shared" si="217"/>
        <v>ORD26003200</v>
      </c>
      <c r="P4641" s="23" t="str">
        <f t="shared" si="218"/>
        <v>Sep</v>
      </c>
      <c r="Q4641" s="23" t="str">
        <f>IF(F4641="CAPTURE",IF(COUNTIF(orders!$A:$A,O4641)&gt;0,"Yes","NO ORDER"),"")</f>
        <v>Yes</v>
      </c>
    </row>
    <row r="4642" spans="1:17" ht="15" customHeight="1" x14ac:dyDescent="0.3">
      <c r="A4642" s="23" t="s">
        <v>17759</v>
      </c>
      <c r="B4642" s="23"/>
      <c r="C4642" s="23" t="s">
        <v>17760</v>
      </c>
      <c r="D4642" s="23" t="str">
        <f t="shared" si="216"/>
        <v>ORD26003212</v>
      </c>
      <c r="E4642" s="38">
        <v>46290</v>
      </c>
      <c r="F4642" s="23" t="s">
        <v>12410</v>
      </c>
      <c r="G4642" s="23" t="s">
        <v>75</v>
      </c>
      <c r="H4642" s="24">
        <v>299</v>
      </c>
      <c r="I4642" s="24">
        <v>0</v>
      </c>
      <c r="J4642" s="24">
        <v>0</v>
      </c>
      <c r="K4642" s="24">
        <v>299</v>
      </c>
      <c r="L4642" s="38">
        <v>46292</v>
      </c>
      <c r="M4642" s="23" t="s">
        <v>226</v>
      </c>
      <c r="N4642" s="23" t="str">
        <f>IF(COUNTIF($A$2:A4642,A4642)&gt;1,"DUP","OK")</f>
        <v>OK</v>
      </c>
      <c r="O4642" s="23" t="str">
        <f t="shared" si="217"/>
        <v>ORD26003212</v>
      </c>
      <c r="P4642" s="23" t="str">
        <f t="shared" si="218"/>
        <v>Sep</v>
      </c>
      <c r="Q4642" s="23" t="str">
        <f>IF(F4642="CAPTURE",IF(COUNTIF(orders!$A:$A,O4642)&gt;0,"Yes","NO ORDER"),"")</f>
        <v>Yes</v>
      </c>
    </row>
    <row r="4643" spans="1:17" ht="15" customHeight="1" x14ac:dyDescent="0.3">
      <c r="A4643" s="23" t="s">
        <v>17761</v>
      </c>
      <c r="B4643" s="23"/>
      <c r="C4643" s="23" t="s">
        <v>6945</v>
      </c>
      <c r="D4643" s="23" t="str">
        <f t="shared" si="216"/>
        <v>ORD26003224</v>
      </c>
      <c r="E4643" s="38">
        <v>46290</v>
      </c>
      <c r="F4643" s="23" t="s">
        <v>12410</v>
      </c>
      <c r="G4643" s="23" t="s">
        <v>79</v>
      </c>
      <c r="H4643" s="24">
        <v>4298</v>
      </c>
      <c r="I4643" s="24">
        <v>68.77</v>
      </c>
      <c r="J4643" s="24">
        <v>12.38</v>
      </c>
      <c r="K4643" s="24">
        <v>4216.8500000000004</v>
      </c>
      <c r="L4643" s="38">
        <v>46292</v>
      </c>
      <c r="M4643" s="23" t="s">
        <v>226</v>
      </c>
      <c r="N4643" s="23" t="str">
        <f>IF(COUNTIF($A$2:A4643,A4643)&gt;1,"DUP","OK")</f>
        <v>OK</v>
      </c>
      <c r="O4643" s="23" t="str">
        <f t="shared" si="217"/>
        <v>ORD26003224</v>
      </c>
      <c r="P4643" s="23" t="str">
        <f t="shared" si="218"/>
        <v>Sep</v>
      </c>
      <c r="Q4643" s="23" t="str">
        <f>IF(F4643="CAPTURE",IF(COUNTIF(orders!$A:$A,O4643)&gt;0,"Yes","NO ORDER"),"")</f>
        <v>Yes</v>
      </c>
    </row>
    <row r="4644" spans="1:17" ht="15" customHeight="1" x14ac:dyDescent="0.3">
      <c r="A4644" s="23" t="s">
        <v>17762</v>
      </c>
      <c r="B4644" s="23"/>
      <c r="C4644" s="23" t="s">
        <v>6973</v>
      </c>
      <c r="D4644" s="23" t="str">
        <f t="shared" si="216"/>
        <v>ORD26003238</v>
      </c>
      <c r="E4644" s="38">
        <v>46290</v>
      </c>
      <c r="F4644" s="23" t="s">
        <v>12410</v>
      </c>
      <c r="G4644" s="23" t="s">
        <v>75</v>
      </c>
      <c r="H4644" s="24">
        <v>299</v>
      </c>
      <c r="I4644" s="24">
        <v>0</v>
      </c>
      <c r="J4644" s="24">
        <v>0</v>
      </c>
      <c r="K4644" s="24">
        <v>299</v>
      </c>
      <c r="L4644" s="38">
        <v>46292</v>
      </c>
      <c r="M4644" s="23" t="s">
        <v>226</v>
      </c>
      <c r="N4644" s="23" t="str">
        <f>IF(COUNTIF($A$2:A4644,A4644)&gt;1,"DUP","OK")</f>
        <v>OK</v>
      </c>
      <c r="O4644" s="23" t="str">
        <f t="shared" si="217"/>
        <v>ORD26003238</v>
      </c>
      <c r="P4644" s="23" t="str">
        <f t="shared" si="218"/>
        <v>Sep</v>
      </c>
      <c r="Q4644" s="23" t="str">
        <f>IF(F4644="CAPTURE",IF(COUNTIF(orders!$A:$A,O4644)&gt;0,"Yes","NO ORDER"),"")</f>
        <v>Yes</v>
      </c>
    </row>
    <row r="4645" spans="1:17" ht="15" customHeight="1" x14ac:dyDescent="0.3">
      <c r="A4645" s="23" t="s">
        <v>17763</v>
      </c>
      <c r="B4645" s="23"/>
      <c r="C4645" s="23" t="s">
        <v>7026</v>
      </c>
      <c r="D4645" s="23" t="str">
        <f t="shared" si="216"/>
        <v>ORD26003264</v>
      </c>
      <c r="E4645" s="38">
        <v>46290</v>
      </c>
      <c r="F4645" s="23" t="s">
        <v>12410</v>
      </c>
      <c r="G4645" s="23" t="s">
        <v>75</v>
      </c>
      <c r="H4645" s="24">
        <v>299</v>
      </c>
      <c r="I4645" s="24">
        <v>0</v>
      </c>
      <c r="J4645" s="24">
        <v>0</v>
      </c>
      <c r="K4645" s="24">
        <v>299</v>
      </c>
      <c r="L4645" s="38">
        <v>46292</v>
      </c>
      <c r="M4645" s="23" t="s">
        <v>226</v>
      </c>
      <c r="N4645" s="23" t="str">
        <f>IF(COUNTIF($A$2:A4645,A4645)&gt;1,"DUP","OK")</f>
        <v>OK</v>
      </c>
      <c r="O4645" s="23" t="str">
        <f t="shared" si="217"/>
        <v>ORD26003264</v>
      </c>
      <c r="P4645" s="23" t="str">
        <f t="shared" si="218"/>
        <v>Sep</v>
      </c>
      <c r="Q4645" s="23" t="str">
        <f>IF(F4645="CAPTURE",IF(COUNTIF(orders!$A:$A,O4645)&gt;0,"Yes","NO ORDER"),"")</f>
        <v>Yes</v>
      </c>
    </row>
    <row r="4646" spans="1:17" ht="15" customHeight="1" x14ac:dyDescent="0.3">
      <c r="A4646" s="23" t="s">
        <v>17764</v>
      </c>
      <c r="B4646" s="23"/>
      <c r="C4646" s="23" t="s">
        <v>7121</v>
      </c>
      <c r="D4646" s="23" t="str">
        <f t="shared" si="216"/>
        <v>ORD26003312</v>
      </c>
      <c r="E4646" s="38">
        <v>46290</v>
      </c>
      <c r="F4646" s="23" t="s">
        <v>12410</v>
      </c>
      <c r="G4646" s="23" t="s">
        <v>77</v>
      </c>
      <c r="H4646" s="24">
        <v>3298</v>
      </c>
      <c r="I4646" s="24">
        <v>56.07</v>
      </c>
      <c r="J4646" s="24">
        <v>10.09</v>
      </c>
      <c r="K4646" s="24">
        <v>3231.84</v>
      </c>
      <c r="L4646" s="38">
        <v>46292</v>
      </c>
      <c r="M4646" s="23" t="s">
        <v>226</v>
      </c>
      <c r="N4646" s="23" t="str">
        <f>IF(COUNTIF($A$2:A4646,A4646)&gt;1,"DUP","OK")</f>
        <v>OK</v>
      </c>
      <c r="O4646" s="23" t="str">
        <f t="shared" si="217"/>
        <v>ORD26003312</v>
      </c>
      <c r="P4646" s="23" t="str">
        <f t="shared" si="218"/>
        <v>Sep</v>
      </c>
      <c r="Q4646" s="23" t="str">
        <f>IF(F4646="CAPTURE",IF(COUNTIF(orders!$A:$A,O4646)&gt;0,"Yes","NO ORDER"),"")</f>
        <v>Yes</v>
      </c>
    </row>
    <row r="4647" spans="1:17" ht="15" customHeight="1" x14ac:dyDescent="0.3">
      <c r="A4647" s="23" t="s">
        <v>17765</v>
      </c>
      <c r="B4647" s="23"/>
      <c r="C4647" s="23" t="s">
        <v>7151</v>
      </c>
      <c r="D4647" s="23" t="str">
        <f t="shared" si="216"/>
        <v>ORD26003327</v>
      </c>
      <c r="E4647" s="38">
        <v>46290</v>
      </c>
      <c r="F4647" s="23" t="s">
        <v>12410</v>
      </c>
      <c r="G4647" s="23" t="s">
        <v>79</v>
      </c>
      <c r="H4647" s="24">
        <v>6798</v>
      </c>
      <c r="I4647" s="24">
        <v>108.77</v>
      </c>
      <c r="J4647" s="24">
        <v>19.579999999999998</v>
      </c>
      <c r="K4647" s="24">
        <v>6669.65</v>
      </c>
      <c r="L4647" s="38">
        <v>46292</v>
      </c>
      <c r="M4647" s="23" t="s">
        <v>226</v>
      </c>
      <c r="N4647" s="23" t="str">
        <f>IF(COUNTIF($A$2:A4647,A4647)&gt;1,"DUP","OK")</f>
        <v>OK</v>
      </c>
      <c r="O4647" s="23" t="str">
        <f t="shared" si="217"/>
        <v>ORD26003327</v>
      </c>
      <c r="P4647" s="23" t="str">
        <f t="shared" si="218"/>
        <v>Sep</v>
      </c>
      <c r="Q4647" s="23" t="str">
        <f>IF(F4647="CAPTURE",IF(COUNTIF(orders!$A:$A,O4647)&gt;0,"Yes","NO ORDER"),"")</f>
        <v>Yes</v>
      </c>
    </row>
    <row r="4648" spans="1:17" ht="15" customHeight="1" x14ac:dyDescent="0.3">
      <c r="A4648" s="23" t="s">
        <v>17766</v>
      </c>
      <c r="B4648" s="23"/>
      <c r="C4648" s="23" t="s">
        <v>7285</v>
      </c>
      <c r="D4648" s="23" t="str">
        <f t="shared" si="216"/>
        <v>ORD26003393</v>
      </c>
      <c r="E4648" s="38">
        <v>46290</v>
      </c>
      <c r="F4648" s="23" t="s">
        <v>12410</v>
      </c>
      <c r="G4648" s="23" t="s">
        <v>77</v>
      </c>
      <c r="H4648" s="24">
        <v>6797</v>
      </c>
      <c r="I4648" s="24">
        <v>115.55</v>
      </c>
      <c r="J4648" s="24">
        <v>20.8</v>
      </c>
      <c r="K4648" s="24">
        <v>6660.65</v>
      </c>
      <c r="L4648" s="38">
        <v>46292</v>
      </c>
      <c r="M4648" s="23" t="s">
        <v>226</v>
      </c>
      <c r="N4648" s="23" t="str">
        <f>IF(COUNTIF($A$2:A4648,A4648)&gt;1,"DUP","OK")</f>
        <v>OK</v>
      </c>
      <c r="O4648" s="23" t="str">
        <f t="shared" si="217"/>
        <v>ORD26003393</v>
      </c>
      <c r="P4648" s="23" t="str">
        <f t="shared" si="218"/>
        <v>Sep</v>
      </c>
      <c r="Q4648" s="23" t="str">
        <f>IF(F4648="CAPTURE",IF(COUNTIF(orders!$A:$A,O4648)&gt;0,"Yes","NO ORDER"),"")</f>
        <v>Yes</v>
      </c>
    </row>
    <row r="4649" spans="1:17" ht="15" customHeight="1" x14ac:dyDescent="0.3">
      <c r="A4649" s="23" t="s">
        <v>17767</v>
      </c>
      <c r="B4649" s="23"/>
      <c r="C4649" s="23" t="s">
        <v>7430</v>
      </c>
      <c r="D4649" s="23" t="str">
        <f t="shared" si="216"/>
        <v>ORD26003465</v>
      </c>
      <c r="E4649" s="38">
        <v>46290</v>
      </c>
      <c r="F4649" s="23" t="s">
        <v>12410</v>
      </c>
      <c r="G4649" s="23" t="s">
        <v>75</v>
      </c>
      <c r="H4649" s="24">
        <v>1148</v>
      </c>
      <c r="I4649" s="24">
        <v>0</v>
      </c>
      <c r="J4649" s="24">
        <v>0</v>
      </c>
      <c r="K4649" s="24">
        <v>1148</v>
      </c>
      <c r="L4649" s="38">
        <v>46292</v>
      </c>
      <c r="M4649" s="23" t="s">
        <v>226</v>
      </c>
      <c r="N4649" s="23" t="str">
        <f>IF(COUNTIF($A$2:A4649,A4649)&gt;1,"DUP","OK")</f>
        <v>OK</v>
      </c>
      <c r="O4649" s="23" t="str">
        <f t="shared" si="217"/>
        <v>ORD26003465</v>
      </c>
      <c r="P4649" s="23" t="str">
        <f t="shared" si="218"/>
        <v>Sep</v>
      </c>
      <c r="Q4649" s="23" t="str">
        <f>IF(F4649="CAPTURE",IF(COUNTIF(orders!$A:$A,O4649)&gt;0,"Yes","NO ORDER"),"")</f>
        <v>Yes</v>
      </c>
    </row>
    <row r="4650" spans="1:17" ht="15" customHeight="1" x14ac:dyDescent="0.3">
      <c r="A4650" s="23" t="s">
        <v>17768</v>
      </c>
      <c r="B4650" s="23"/>
      <c r="C4650" s="23" t="s">
        <v>7580</v>
      </c>
      <c r="D4650" s="23" t="str">
        <f t="shared" si="216"/>
        <v>ORD26003542</v>
      </c>
      <c r="E4650" s="38">
        <v>46290</v>
      </c>
      <c r="F4650" s="23" t="s">
        <v>12410</v>
      </c>
      <c r="G4650" s="23" t="s">
        <v>75</v>
      </c>
      <c r="H4650" s="24">
        <v>7999</v>
      </c>
      <c r="I4650" s="24">
        <v>24</v>
      </c>
      <c r="J4650" s="24">
        <v>4.32</v>
      </c>
      <c r="K4650" s="24">
        <v>7970.68</v>
      </c>
      <c r="L4650" s="38">
        <v>46292</v>
      </c>
      <c r="M4650" s="23" t="s">
        <v>226</v>
      </c>
      <c r="N4650" s="23" t="str">
        <f>IF(COUNTIF($A$2:A4650,A4650)&gt;1,"DUP","OK")</f>
        <v>OK</v>
      </c>
      <c r="O4650" s="23" t="str">
        <f t="shared" si="217"/>
        <v>ORD26003542</v>
      </c>
      <c r="P4650" s="23" t="str">
        <f t="shared" si="218"/>
        <v>Sep</v>
      </c>
      <c r="Q4650" s="23" t="str">
        <f>IF(F4650="CAPTURE",IF(COUNTIF(orders!$A:$A,O4650)&gt;0,"Yes","NO ORDER"),"")</f>
        <v>Yes</v>
      </c>
    </row>
    <row r="4651" spans="1:17" ht="15" customHeight="1" x14ac:dyDescent="0.3">
      <c r="A4651" s="23" t="s">
        <v>17769</v>
      </c>
      <c r="B4651" s="23"/>
      <c r="C4651" s="23" t="s">
        <v>7714</v>
      </c>
      <c r="D4651" s="23" t="str">
        <f t="shared" si="216"/>
        <v>ORD26003610</v>
      </c>
      <c r="E4651" s="38">
        <v>46290</v>
      </c>
      <c r="F4651" s="23" t="s">
        <v>12410</v>
      </c>
      <c r="G4651" s="23" t="s">
        <v>79</v>
      </c>
      <c r="H4651" s="24">
        <v>499</v>
      </c>
      <c r="I4651" s="24">
        <v>8.98</v>
      </c>
      <c r="J4651" s="24">
        <v>1.62</v>
      </c>
      <c r="K4651" s="24">
        <v>488.4</v>
      </c>
      <c r="L4651" s="38">
        <v>46292</v>
      </c>
      <c r="M4651" s="23" t="s">
        <v>226</v>
      </c>
      <c r="N4651" s="23" t="str">
        <f>IF(COUNTIF($A$2:A4651,A4651)&gt;1,"DUP","OK")</f>
        <v>OK</v>
      </c>
      <c r="O4651" s="23" t="str">
        <f t="shared" si="217"/>
        <v>ORD26003610</v>
      </c>
      <c r="P4651" s="23" t="str">
        <f t="shared" si="218"/>
        <v>Sep</v>
      </c>
      <c r="Q4651" s="23" t="str">
        <f>IF(F4651="CAPTURE",IF(COUNTIF(orders!$A:$A,O4651)&gt;0,"Yes","NO ORDER"),"")</f>
        <v>Yes</v>
      </c>
    </row>
    <row r="4652" spans="1:17" ht="15" customHeight="1" x14ac:dyDescent="0.3">
      <c r="A4652" s="23" t="s">
        <v>17770</v>
      </c>
      <c r="B4652" s="23"/>
      <c r="C4652" s="23" t="s">
        <v>17771</v>
      </c>
      <c r="D4652" s="23" t="str">
        <f t="shared" si="216"/>
        <v>ORD26003611</v>
      </c>
      <c r="E4652" s="38">
        <v>46290</v>
      </c>
      <c r="F4652" s="23" t="s">
        <v>12410</v>
      </c>
      <c r="G4652" s="23" t="s">
        <v>75</v>
      </c>
      <c r="H4652" s="24">
        <v>2798</v>
      </c>
      <c r="I4652" s="24">
        <v>8.39</v>
      </c>
      <c r="J4652" s="24">
        <v>1.51</v>
      </c>
      <c r="K4652" s="24">
        <v>2788.1</v>
      </c>
      <c r="L4652" s="38">
        <v>46292</v>
      </c>
      <c r="M4652" s="23" t="s">
        <v>226</v>
      </c>
      <c r="N4652" s="23" t="str">
        <f>IF(COUNTIF($A$2:A4652,A4652)&gt;1,"DUP","OK")</f>
        <v>OK</v>
      </c>
      <c r="O4652" s="23" t="str">
        <f t="shared" si="217"/>
        <v>ORD26003611</v>
      </c>
      <c r="P4652" s="23" t="str">
        <f t="shared" si="218"/>
        <v>Sep</v>
      </c>
      <c r="Q4652" s="23" t="str">
        <f>IF(F4652="CAPTURE",IF(COUNTIF(orders!$A:$A,O4652)&gt;0,"Yes","NO ORDER"),"")</f>
        <v>Yes</v>
      </c>
    </row>
    <row r="4653" spans="1:17" ht="15" customHeight="1" x14ac:dyDescent="0.3">
      <c r="A4653" s="23" t="s">
        <v>17772</v>
      </c>
      <c r="B4653" s="23"/>
      <c r="C4653" s="23" t="s">
        <v>17773</v>
      </c>
      <c r="D4653" s="23" t="str">
        <f t="shared" si="216"/>
        <v>ORD26003615</v>
      </c>
      <c r="E4653" s="38">
        <v>46290</v>
      </c>
      <c r="F4653" s="23" t="s">
        <v>12410</v>
      </c>
      <c r="G4653" s="23" t="s">
        <v>75</v>
      </c>
      <c r="H4653" s="24">
        <v>10998</v>
      </c>
      <c r="I4653" s="24">
        <v>32.99</v>
      </c>
      <c r="J4653" s="24">
        <v>5.94</v>
      </c>
      <c r="K4653" s="24">
        <v>10959.07</v>
      </c>
      <c r="L4653" s="38">
        <v>46292</v>
      </c>
      <c r="M4653" s="23" t="s">
        <v>226</v>
      </c>
      <c r="N4653" s="23" t="str">
        <f>IF(COUNTIF($A$2:A4653,A4653)&gt;1,"DUP","OK")</f>
        <v>OK</v>
      </c>
      <c r="O4653" s="23" t="str">
        <f t="shared" si="217"/>
        <v>ORD26003615</v>
      </c>
      <c r="P4653" s="23" t="str">
        <f t="shared" si="218"/>
        <v>Sep</v>
      </c>
      <c r="Q4653" s="23" t="str">
        <f>IF(F4653="CAPTURE",IF(COUNTIF(orders!$A:$A,O4653)&gt;0,"Yes","NO ORDER"),"")</f>
        <v>Yes</v>
      </c>
    </row>
    <row r="4654" spans="1:17" ht="15" customHeight="1" x14ac:dyDescent="0.3">
      <c r="A4654" s="23" t="s">
        <v>17774</v>
      </c>
      <c r="B4654" s="23"/>
      <c r="C4654" s="23" t="s">
        <v>7837</v>
      </c>
      <c r="D4654" s="23" t="str">
        <f t="shared" si="216"/>
        <v>ORD26003674</v>
      </c>
      <c r="E4654" s="38">
        <v>46290</v>
      </c>
      <c r="F4654" s="23" t="s">
        <v>12410</v>
      </c>
      <c r="G4654" s="23" t="s">
        <v>75</v>
      </c>
      <c r="H4654" s="24">
        <v>3098</v>
      </c>
      <c r="I4654" s="24">
        <v>9.2899999999999991</v>
      </c>
      <c r="J4654" s="24">
        <v>1.67</v>
      </c>
      <c r="K4654" s="24">
        <v>3087.04</v>
      </c>
      <c r="L4654" s="38">
        <v>46292</v>
      </c>
      <c r="M4654" s="23" t="s">
        <v>226</v>
      </c>
      <c r="N4654" s="23" t="str">
        <f>IF(COUNTIF($A$2:A4654,A4654)&gt;1,"DUP","OK")</f>
        <v>OK</v>
      </c>
      <c r="O4654" s="23" t="str">
        <f t="shared" si="217"/>
        <v>ORD26003674</v>
      </c>
      <c r="P4654" s="23" t="str">
        <f t="shared" si="218"/>
        <v>Sep</v>
      </c>
      <c r="Q4654" s="23" t="str">
        <f>IF(F4654="CAPTURE",IF(COUNTIF(orders!$A:$A,O4654)&gt;0,"Yes","NO ORDER"),"")</f>
        <v>Yes</v>
      </c>
    </row>
    <row r="4655" spans="1:17" ht="15" customHeight="1" x14ac:dyDescent="0.3">
      <c r="A4655" s="23" t="s">
        <v>17775</v>
      </c>
      <c r="B4655" s="23"/>
      <c r="C4655" s="23" t="s">
        <v>7862</v>
      </c>
      <c r="D4655" s="23" t="str">
        <f t="shared" si="216"/>
        <v>ORD26003687</v>
      </c>
      <c r="E4655" s="38">
        <v>46290</v>
      </c>
      <c r="F4655" s="23" t="s">
        <v>12410</v>
      </c>
      <c r="G4655" s="23" t="s">
        <v>75</v>
      </c>
      <c r="H4655" s="24">
        <v>11597</v>
      </c>
      <c r="I4655" s="24">
        <v>34.79</v>
      </c>
      <c r="J4655" s="24">
        <v>6.26</v>
      </c>
      <c r="K4655" s="24">
        <v>11555.95</v>
      </c>
      <c r="L4655" s="38">
        <v>46292</v>
      </c>
      <c r="M4655" s="23" t="s">
        <v>226</v>
      </c>
      <c r="N4655" s="23" t="str">
        <f>IF(COUNTIF($A$2:A4655,A4655)&gt;1,"DUP","OK")</f>
        <v>OK</v>
      </c>
      <c r="O4655" s="23" t="str">
        <f t="shared" si="217"/>
        <v>ORD26003687</v>
      </c>
      <c r="P4655" s="23" t="str">
        <f t="shared" si="218"/>
        <v>Sep</v>
      </c>
      <c r="Q4655" s="23" t="str">
        <f>IF(F4655="CAPTURE",IF(COUNTIF(orders!$A:$A,O4655)&gt;0,"Yes","NO ORDER"),"")</f>
        <v>Yes</v>
      </c>
    </row>
    <row r="4656" spans="1:17" ht="15" customHeight="1" x14ac:dyDescent="0.3">
      <c r="A4656" s="23" t="s">
        <v>17776</v>
      </c>
      <c r="B4656" s="23"/>
      <c r="C4656" s="23" t="s">
        <v>7897</v>
      </c>
      <c r="D4656" s="23" t="str">
        <f t="shared" si="216"/>
        <v>ORD26003704</v>
      </c>
      <c r="E4656" s="38">
        <v>46290</v>
      </c>
      <c r="F4656" s="23" t="s">
        <v>12410</v>
      </c>
      <c r="G4656" s="23" t="s">
        <v>75</v>
      </c>
      <c r="H4656" s="24">
        <v>2499</v>
      </c>
      <c r="I4656" s="24">
        <v>7.5</v>
      </c>
      <c r="J4656" s="24">
        <v>1.35</v>
      </c>
      <c r="K4656" s="24">
        <v>2490.15</v>
      </c>
      <c r="L4656" s="38">
        <v>46292</v>
      </c>
      <c r="M4656" s="23" t="s">
        <v>226</v>
      </c>
      <c r="N4656" s="23" t="str">
        <f>IF(COUNTIF($A$2:A4656,A4656)&gt;1,"DUP","OK")</f>
        <v>OK</v>
      </c>
      <c r="O4656" s="23" t="str">
        <f t="shared" si="217"/>
        <v>ORD26003704</v>
      </c>
      <c r="P4656" s="23" t="str">
        <f t="shared" si="218"/>
        <v>Sep</v>
      </c>
      <c r="Q4656" s="23" t="str">
        <f>IF(F4656="CAPTURE",IF(COUNTIF(orders!$A:$A,O4656)&gt;0,"Yes","NO ORDER"),"")</f>
        <v>Yes</v>
      </c>
    </row>
    <row r="4657" spans="1:17" ht="15" customHeight="1" x14ac:dyDescent="0.3">
      <c r="A4657" s="23" t="s">
        <v>17777</v>
      </c>
      <c r="B4657" s="23"/>
      <c r="C4657" s="23" t="s">
        <v>7978</v>
      </c>
      <c r="D4657" s="23" t="str">
        <f t="shared" si="216"/>
        <v>ORD26003745</v>
      </c>
      <c r="E4657" s="38">
        <v>46290</v>
      </c>
      <c r="F4657" s="23" t="s">
        <v>12410</v>
      </c>
      <c r="G4657" s="23" t="s">
        <v>79</v>
      </c>
      <c r="H4657" s="24">
        <v>5998</v>
      </c>
      <c r="I4657" s="24">
        <v>95.97</v>
      </c>
      <c r="J4657" s="24">
        <v>17.27</v>
      </c>
      <c r="K4657" s="24">
        <v>5884.76</v>
      </c>
      <c r="L4657" s="38">
        <v>46292</v>
      </c>
      <c r="M4657" s="23" t="s">
        <v>226</v>
      </c>
      <c r="N4657" s="23" t="str">
        <f>IF(COUNTIF($A$2:A4657,A4657)&gt;1,"DUP","OK")</f>
        <v>OK</v>
      </c>
      <c r="O4657" s="23" t="str">
        <f t="shared" si="217"/>
        <v>ORD26003745</v>
      </c>
      <c r="P4657" s="23" t="str">
        <f t="shared" si="218"/>
        <v>Sep</v>
      </c>
      <c r="Q4657" s="23" t="str">
        <f>IF(F4657="CAPTURE",IF(COUNTIF(orders!$A:$A,O4657)&gt;0,"Yes","NO ORDER"),"")</f>
        <v>Yes</v>
      </c>
    </row>
    <row r="4658" spans="1:17" ht="15" customHeight="1" x14ac:dyDescent="0.3">
      <c r="A4658" s="23" t="s">
        <v>17778</v>
      </c>
      <c r="B4658" s="23"/>
      <c r="C4658" s="23" t="s">
        <v>8120</v>
      </c>
      <c r="D4658" s="23" t="str">
        <f t="shared" si="216"/>
        <v>ORD26003816</v>
      </c>
      <c r="E4658" s="38">
        <v>46290</v>
      </c>
      <c r="F4658" s="23" t="s">
        <v>12410</v>
      </c>
      <c r="G4658" s="23" t="s">
        <v>75</v>
      </c>
      <c r="H4658" s="24">
        <v>4798</v>
      </c>
      <c r="I4658" s="24">
        <v>14.39</v>
      </c>
      <c r="J4658" s="24">
        <v>2.59</v>
      </c>
      <c r="K4658" s="24">
        <v>4781.0200000000004</v>
      </c>
      <c r="L4658" s="38">
        <v>46292</v>
      </c>
      <c r="M4658" s="23" t="s">
        <v>226</v>
      </c>
      <c r="N4658" s="23" t="str">
        <f>IF(COUNTIF($A$2:A4658,A4658)&gt;1,"DUP","OK")</f>
        <v>OK</v>
      </c>
      <c r="O4658" s="23" t="str">
        <f t="shared" si="217"/>
        <v>ORD26003816</v>
      </c>
      <c r="P4658" s="23" t="str">
        <f t="shared" si="218"/>
        <v>Sep</v>
      </c>
      <c r="Q4658" s="23" t="str">
        <f>IF(F4658="CAPTURE",IF(COUNTIF(orders!$A:$A,O4658)&gt;0,"Yes","NO ORDER"),"")</f>
        <v>Yes</v>
      </c>
    </row>
    <row r="4659" spans="1:17" ht="15" customHeight="1" x14ac:dyDescent="0.3">
      <c r="A4659" s="23" t="s">
        <v>17779</v>
      </c>
      <c r="B4659" s="23"/>
      <c r="C4659" s="23" t="s">
        <v>8170</v>
      </c>
      <c r="D4659" s="23" t="str">
        <f t="shared" si="216"/>
        <v>ORD26003841</v>
      </c>
      <c r="E4659" s="38">
        <v>46290</v>
      </c>
      <c r="F4659" s="23" t="s">
        <v>12410</v>
      </c>
      <c r="G4659" s="23" t="s">
        <v>75</v>
      </c>
      <c r="H4659" s="24">
        <v>599</v>
      </c>
      <c r="I4659" s="24">
        <v>0</v>
      </c>
      <c r="J4659" s="24">
        <v>0</v>
      </c>
      <c r="K4659" s="24">
        <v>599</v>
      </c>
      <c r="L4659" s="38">
        <v>46292</v>
      </c>
      <c r="M4659" s="23" t="s">
        <v>226</v>
      </c>
      <c r="N4659" s="23" t="str">
        <f>IF(COUNTIF($A$2:A4659,A4659)&gt;1,"DUP","OK")</f>
        <v>OK</v>
      </c>
      <c r="O4659" s="23" t="str">
        <f t="shared" si="217"/>
        <v>ORD26003841</v>
      </c>
      <c r="P4659" s="23" t="str">
        <f t="shared" si="218"/>
        <v>Sep</v>
      </c>
      <c r="Q4659" s="23" t="str">
        <f>IF(F4659="CAPTURE",IF(COUNTIF(orders!$A:$A,O4659)&gt;0,"Yes","NO ORDER"),"")</f>
        <v>Yes</v>
      </c>
    </row>
    <row r="4660" spans="1:17" ht="15" customHeight="1" x14ac:dyDescent="0.3">
      <c r="A4660" s="23" t="s">
        <v>17780</v>
      </c>
      <c r="B4660" s="23"/>
      <c r="C4660" s="23" t="s">
        <v>8399</v>
      </c>
      <c r="D4660" s="23" t="str">
        <f t="shared" si="216"/>
        <v>ORD26003956</v>
      </c>
      <c r="E4660" s="38">
        <v>46290</v>
      </c>
      <c r="F4660" s="23" t="s">
        <v>12410</v>
      </c>
      <c r="G4660" s="23" t="s">
        <v>77</v>
      </c>
      <c r="H4660" s="24">
        <v>3397</v>
      </c>
      <c r="I4660" s="24">
        <v>57.75</v>
      </c>
      <c r="J4660" s="24">
        <v>10.4</v>
      </c>
      <c r="K4660" s="24">
        <v>3328.85</v>
      </c>
      <c r="L4660" s="38">
        <v>46292</v>
      </c>
      <c r="M4660" s="23" t="s">
        <v>226</v>
      </c>
      <c r="N4660" s="23" t="str">
        <f>IF(COUNTIF($A$2:A4660,A4660)&gt;1,"DUP","OK")</f>
        <v>OK</v>
      </c>
      <c r="O4660" s="23" t="str">
        <f t="shared" si="217"/>
        <v>ORD26003956</v>
      </c>
      <c r="P4660" s="23" t="str">
        <f t="shared" si="218"/>
        <v>Sep</v>
      </c>
      <c r="Q4660" s="23" t="str">
        <f>IF(F4660="CAPTURE",IF(COUNTIF(orders!$A:$A,O4660)&gt;0,"Yes","NO ORDER"),"")</f>
        <v>Yes</v>
      </c>
    </row>
    <row r="4661" spans="1:17" ht="15" customHeight="1" x14ac:dyDescent="0.3">
      <c r="A4661" s="23" t="s">
        <v>17781</v>
      </c>
      <c r="B4661" s="23"/>
      <c r="C4661" s="23" t="s">
        <v>8445</v>
      </c>
      <c r="D4661" s="23" t="str">
        <f t="shared" si="216"/>
        <v>ORD26003979</v>
      </c>
      <c r="E4661" s="38">
        <v>46290</v>
      </c>
      <c r="F4661" s="23" t="s">
        <v>12410</v>
      </c>
      <c r="G4661" s="23" t="s">
        <v>75</v>
      </c>
      <c r="H4661" s="24">
        <v>349</v>
      </c>
      <c r="I4661" s="24">
        <v>0</v>
      </c>
      <c r="J4661" s="24">
        <v>0</v>
      </c>
      <c r="K4661" s="24">
        <v>349</v>
      </c>
      <c r="L4661" s="38">
        <v>46292</v>
      </c>
      <c r="M4661" s="23" t="s">
        <v>226</v>
      </c>
      <c r="N4661" s="23" t="str">
        <f>IF(COUNTIF($A$2:A4661,A4661)&gt;1,"DUP","OK")</f>
        <v>OK</v>
      </c>
      <c r="O4661" s="23" t="str">
        <f t="shared" si="217"/>
        <v>ORD26003979</v>
      </c>
      <c r="P4661" s="23" t="str">
        <f t="shared" si="218"/>
        <v>Sep</v>
      </c>
      <c r="Q4661" s="23" t="str">
        <f>IF(F4661="CAPTURE",IF(COUNTIF(orders!$A:$A,O4661)&gt;0,"Yes","NO ORDER"),"")</f>
        <v>Yes</v>
      </c>
    </row>
    <row r="4662" spans="1:17" ht="15" customHeight="1" x14ac:dyDescent="0.3">
      <c r="A4662" s="23" t="s">
        <v>17782</v>
      </c>
      <c r="B4662" s="23"/>
      <c r="C4662" s="23" t="s">
        <v>8505</v>
      </c>
      <c r="D4662" s="23" t="str">
        <f t="shared" si="216"/>
        <v>ORD26004010</v>
      </c>
      <c r="E4662" s="38">
        <v>46290</v>
      </c>
      <c r="F4662" s="23" t="s">
        <v>12410</v>
      </c>
      <c r="G4662" s="23" t="s">
        <v>79</v>
      </c>
      <c r="H4662" s="24">
        <v>299</v>
      </c>
      <c r="I4662" s="24">
        <v>5.38</v>
      </c>
      <c r="J4662" s="24">
        <v>0.97</v>
      </c>
      <c r="K4662" s="24">
        <v>292.64999999999998</v>
      </c>
      <c r="L4662" s="38">
        <v>46292</v>
      </c>
      <c r="M4662" s="23" t="s">
        <v>226</v>
      </c>
      <c r="N4662" s="23" t="str">
        <f>IF(COUNTIF($A$2:A4662,A4662)&gt;1,"DUP","OK")</f>
        <v>OK</v>
      </c>
      <c r="O4662" s="23" t="str">
        <f t="shared" si="217"/>
        <v>ORD26004010</v>
      </c>
      <c r="P4662" s="23" t="str">
        <f t="shared" si="218"/>
        <v>Sep</v>
      </c>
      <c r="Q4662" s="23" t="str">
        <f>IF(F4662="CAPTURE",IF(COUNTIF(orders!$A:$A,O4662)&gt;0,"Yes","NO ORDER"),"")</f>
        <v>Yes</v>
      </c>
    </row>
    <row r="4663" spans="1:17" ht="15" customHeight="1" x14ac:dyDescent="0.3">
      <c r="A4663" s="23" t="s">
        <v>17783</v>
      </c>
      <c r="B4663" s="23"/>
      <c r="C4663" s="23" t="s">
        <v>8534</v>
      </c>
      <c r="D4663" s="23" t="str">
        <f t="shared" si="216"/>
        <v>ORD26004024</v>
      </c>
      <c r="E4663" s="38">
        <v>46290</v>
      </c>
      <c r="F4663" s="23" t="s">
        <v>12410</v>
      </c>
      <c r="G4663" s="23" t="s">
        <v>75</v>
      </c>
      <c r="H4663" s="24">
        <v>2999</v>
      </c>
      <c r="I4663" s="24">
        <v>9</v>
      </c>
      <c r="J4663" s="24">
        <v>1.62</v>
      </c>
      <c r="K4663" s="24">
        <v>2988.38</v>
      </c>
      <c r="L4663" s="38">
        <v>46292</v>
      </c>
      <c r="M4663" s="23" t="s">
        <v>226</v>
      </c>
      <c r="N4663" s="23" t="str">
        <f>IF(COUNTIF($A$2:A4663,A4663)&gt;1,"DUP","OK")</f>
        <v>OK</v>
      </c>
      <c r="O4663" s="23" t="str">
        <f t="shared" si="217"/>
        <v>ORD26004024</v>
      </c>
      <c r="P4663" s="23" t="str">
        <f t="shared" si="218"/>
        <v>Sep</v>
      </c>
      <c r="Q4663" s="23" t="str">
        <f>IF(F4663="CAPTURE",IF(COUNTIF(orders!$A:$A,O4663)&gt;0,"Yes","NO ORDER"),"")</f>
        <v>Yes</v>
      </c>
    </row>
    <row r="4664" spans="1:17" ht="15" customHeight="1" x14ac:dyDescent="0.3">
      <c r="A4664" s="23" t="s">
        <v>17784</v>
      </c>
      <c r="B4664" s="23"/>
      <c r="C4664" s="23" t="s">
        <v>8609</v>
      </c>
      <c r="D4664" s="23" t="str">
        <f t="shared" si="216"/>
        <v>ORD26004063</v>
      </c>
      <c r="E4664" s="38">
        <v>46290</v>
      </c>
      <c r="F4664" s="23" t="s">
        <v>12410</v>
      </c>
      <c r="G4664" s="23" t="s">
        <v>79</v>
      </c>
      <c r="H4664" s="24">
        <v>349</v>
      </c>
      <c r="I4664" s="24">
        <v>6.28</v>
      </c>
      <c r="J4664" s="24">
        <v>1.1299999999999999</v>
      </c>
      <c r="K4664" s="24">
        <v>341.59</v>
      </c>
      <c r="L4664" s="38">
        <v>46292</v>
      </c>
      <c r="M4664" s="23" t="s">
        <v>226</v>
      </c>
      <c r="N4664" s="23" t="str">
        <f>IF(COUNTIF($A$2:A4664,A4664)&gt;1,"DUP","OK")</f>
        <v>OK</v>
      </c>
      <c r="O4664" s="23" t="str">
        <f t="shared" si="217"/>
        <v>ORD26004063</v>
      </c>
      <c r="P4664" s="23" t="str">
        <f t="shared" si="218"/>
        <v>Sep</v>
      </c>
      <c r="Q4664" s="23" t="str">
        <f>IF(F4664="CAPTURE",IF(COUNTIF(orders!$A:$A,O4664)&gt;0,"Yes","NO ORDER"),"")</f>
        <v>Yes</v>
      </c>
    </row>
    <row r="4665" spans="1:17" ht="15" customHeight="1" x14ac:dyDescent="0.3">
      <c r="A4665" s="23" t="s">
        <v>17785</v>
      </c>
      <c r="B4665" s="23"/>
      <c r="C4665" s="23" t="s">
        <v>8633</v>
      </c>
      <c r="D4665" s="23" t="str">
        <f t="shared" si="216"/>
        <v>ORD26004075</v>
      </c>
      <c r="E4665" s="38">
        <v>46290</v>
      </c>
      <c r="F4665" s="23" t="s">
        <v>12410</v>
      </c>
      <c r="G4665" s="23" t="s">
        <v>75</v>
      </c>
      <c r="H4665" s="24">
        <v>2999</v>
      </c>
      <c r="I4665" s="24">
        <v>9</v>
      </c>
      <c r="J4665" s="24">
        <v>1.62</v>
      </c>
      <c r="K4665" s="24">
        <v>2988.38</v>
      </c>
      <c r="L4665" s="38">
        <v>46292</v>
      </c>
      <c r="M4665" s="23" t="s">
        <v>226</v>
      </c>
      <c r="N4665" s="23" t="str">
        <f>IF(COUNTIF($A$2:A4665,A4665)&gt;1,"DUP","OK")</f>
        <v>OK</v>
      </c>
      <c r="O4665" s="23" t="str">
        <f t="shared" si="217"/>
        <v>ORD26004075</v>
      </c>
      <c r="P4665" s="23" t="str">
        <f t="shared" si="218"/>
        <v>Sep</v>
      </c>
      <c r="Q4665" s="23" t="str">
        <f>IF(F4665="CAPTURE",IF(COUNTIF(orders!$A:$A,O4665)&gt;0,"Yes","NO ORDER"),"")</f>
        <v>Yes</v>
      </c>
    </row>
    <row r="4666" spans="1:17" ht="15" customHeight="1" x14ac:dyDescent="0.3">
      <c r="A4666" s="23" t="s">
        <v>17786</v>
      </c>
      <c r="B4666" s="23"/>
      <c r="C4666" s="23" t="s">
        <v>8666</v>
      </c>
      <c r="D4666" s="23" t="str">
        <f t="shared" si="216"/>
        <v>ORD26004092</v>
      </c>
      <c r="E4666" s="38">
        <v>46290</v>
      </c>
      <c r="F4666" s="23" t="s">
        <v>12410</v>
      </c>
      <c r="G4666" s="23" t="s">
        <v>75</v>
      </c>
      <c r="H4666" s="24">
        <v>4999</v>
      </c>
      <c r="I4666" s="24">
        <v>15</v>
      </c>
      <c r="J4666" s="24">
        <v>2.7</v>
      </c>
      <c r="K4666" s="24">
        <v>4981.3</v>
      </c>
      <c r="L4666" s="38">
        <v>46292</v>
      </c>
      <c r="M4666" s="23" t="s">
        <v>226</v>
      </c>
      <c r="N4666" s="23" t="str">
        <f>IF(COUNTIF($A$2:A4666,A4666)&gt;1,"DUP","OK")</f>
        <v>OK</v>
      </c>
      <c r="O4666" s="23" t="str">
        <f t="shared" si="217"/>
        <v>ORD26004092</v>
      </c>
      <c r="P4666" s="23" t="str">
        <f t="shared" si="218"/>
        <v>Sep</v>
      </c>
      <c r="Q4666" s="23" t="str">
        <f>IF(F4666="CAPTURE",IF(COUNTIF(orders!$A:$A,O4666)&gt;0,"Yes","NO ORDER"),"")</f>
        <v>Yes</v>
      </c>
    </row>
    <row r="4667" spans="1:17" ht="15" customHeight="1" x14ac:dyDescent="0.3">
      <c r="A4667" s="23" t="s">
        <v>17787</v>
      </c>
      <c r="B4667" s="23"/>
      <c r="C4667" s="23" t="s">
        <v>17788</v>
      </c>
      <c r="D4667" s="23" t="str">
        <f t="shared" si="216"/>
        <v>ORD26004094</v>
      </c>
      <c r="E4667" s="38">
        <v>46290</v>
      </c>
      <c r="F4667" s="23" t="s">
        <v>12410</v>
      </c>
      <c r="G4667" s="23" t="s">
        <v>75</v>
      </c>
      <c r="H4667" s="24">
        <v>799</v>
      </c>
      <c r="I4667" s="24">
        <v>0</v>
      </c>
      <c r="J4667" s="24">
        <v>0</v>
      </c>
      <c r="K4667" s="24">
        <v>799</v>
      </c>
      <c r="L4667" s="38">
        <v>46292</v>
      </c>
      <c r="M4667" s="23" t="s">
        <v>226</v>
      </c>
      <c r="N4667" s="23" t="str">
        <f>IF(COUNTIF($A$2:A4667,A4667)&gt;1,"DUP","OK")</f>
        <v>OK</v>
      </c>
      <c r="O4667" s="23" t="str">
        <f t="shared" si="217"/>
        <v>ORD26004094</v>
      </c>
      <c r="P4667" s="23" t="str">
        <f t="shared" si="218"/>
        <v>Sep</v>
      </c>
      <c r="Q4667" s="23" t="str">
        <f>IF(F4667="CAPTURE",IF(COUNTIF(orders!$A:$A,O4667)&gt;0,"Yes","NO ORDER"),"")</f>
        <v>Yes</v>
      </c>
    </row>
    <row r="4668" spans="1:17" ht="15" customHeight="1" x14ac:dyDescent="0.3">
      <c r="A4668" s="23" t="s">
        <v>17789</v>
      </c>
      <c r="B4668" s="23"/>
      <c r="C4668" s="23" t="s">
        <v>8747</v>
      </c>
      <c r="D4668" s="23" t="str">
        <f t="shared" si="216"/>
        <v>ORD26004134</v>
      </c>
      <c r="E4668" s="38">
        <v>46290</v>
      </c>
      <c r="F4668" s="23" t="s">
        <v>12410</v>
      </c>
      <c r="G4668" s="23" t="s">
        <v>79</v>
      </c>
      <c r="H4668" s="24">
        <v>3798</v>
      </c>
      <c r="I4668" s="24">
        <v>60.77</v>
      </c>
      <c r="J4668" s="24">
        <v>10.94</v>
      </c>
      <c r="K4668" s="24">
        <v>3726.29</v>
      </c>
      <c r="L4668" s="38">
        <v>46292</v>
      </c>
      <c r="M4668" s="23" t="s">
        <v>226</v>
      </c>
      <c r="N4668" s="23" t="str">
        <f>IF(COUNTIF($A$2:A4668,A4668)&gt;1,"DUP","OK")</f>
        <v>OK</v>
      </c>
      <c r="O4668" s="23" t="str">
        <f t="shared" si="217"/>
        <v>ORD26004134</v>
      </c>
      <c r="P4668" s="23" t="str">
        <f t="shared" si="218"/>
        <v>Sep</v>
      </c>
      <c r="Q4668" s="23" t="str">
        <f>IF(F4668="CAPTURE",IF(COUNTIF(orders!$A:$A,O4668)&gt;0,"Yes","NO ORDER"),"")</f>
        <v>Yes</v>
      </c>
    </row>
    <row r="4669" spans="1:17" ht="15" customHeight="1" x14ac:dyDescent="0.3">
      <c r="A4669" s="23" t="s">
        <v>17790</v>
      </c>
      <c r="B4669" s="23"/>
      <c r="C4669" s="23" t="s">
        <v>8769</v>
      </c>
      <c r="D4669" s="23" t="str">
        <f t="shared" si="216"/>
        <v>ORD26004145</v>
      </c>
      <c r="E4669" s="38">
        <v>46290</v>
      </c>
      <c r="F4669" s="23" t="s">
        <v>12410</v>
      </c>
      <c r="G4669" s="23" t="s">
        <v>75</v>
      </c>
      <c r="H4669" s="24">
        <v>12998</v>
      </c>
      <c r="I4669" s="24">
        <v>38.99</v>
      </c>
      <c r="J4669" s="24">
        <v>7.02</v>
      </c>
      <c r="K4669" s="24">
        <v>12951.99</v>
      </c>
      <c r="L4669" s="38">
        <v>46292</v>
      </c>
      <c r="M4669" s="23" t="s">
        <v>226</v>
      </c>
      <c r="N4669" s="23" t="str">
        <f>IF(COUNTIF($A$2:A4669,A4669)&gt;1,"DUP","OK")</f>
        <v>OK</v>
      </c>
      <c r="O4669" s="23" t="str">
        <f t="shared" si="217"/>
        <v>ORD26004145</v>
      </c>
      <c r="P4669" s="23" t="str">
        <f t="shared" si="218"/>
        <v>Sep</v>
      </c>
      <c r="Q4669" s="23" t="str">
        <f>IF(F4669="CAPTURE",IF(COUNTIF(orders!$A:$A,O4669)&gt;0,"Yes","NO ORDER"),"")</f>
        <v>Yes</v>
      </c>
    </row>
    <row r="4670" spans="1:17" ht="15" customHeight="1" x14ac:dyDescent="0.3">
      <c r="A4670" s="23" t="s">
        <v>17791</v>
      </c>
      <c r="B4670" s="23"/>
      <c r="C4670" s="23" t="s">
        <v>8841</v>
      </c>
      <c r="D4670" s="23" t="str">
        <f t="shared" si="216"/>
        <v>ORD26004183</v>
      </c>
      <c r="E4670" s="38">
        <v>46290</v>
      </c>
      <c r="F4670" s="23" t="s">
        <v>12410</v>
      </c>
      <c r="G4670" s="23" t="s">
        <v>75</v>
      </c>
      <c r="H4670" s="24">
        <v>6647</v>
      </c>
      <c r="I4670" s="24">
        <v>19.940000000000001</v>
      </c>
      <c r="J4670" s="24">
        <v>3.59</v>
      </c>
      <c r="K4670" s="24">
        <v>6623.47</v>
      </c>
      <c r="L4670" s="38">
        <v>46292</v>
      </c>
      <c r="M4670" s="23" t="s">
        <v>226</v>
      </c>
      <c r="N4670" s="23" t="str">
        <f>IF(COUNTIF($A$2:A4670,A4670)&gt;1,"DUP","OK")</f>
        <v>OK</v>
      </c>
      <c r="O4670" s="23" t="str">
        <f t="shared" si="217"/>
        <v>ORD26004183</v>
      </c>
      <c r="P4670" s="23" t="str">
        <f t="shared" si="218"/>
        <v>Sep</v>
      </c>
      <c r="Q4670" s="23" t="str">
        <f>IF(F4670="CAPTURE",IF(COUNTIF(orders!$A:$A,O4670)&gt;0,"Yes","NO ORDER"),"")</f>
        <v>Yes</v>
      </c>
    </row>
    <row r="4671" spans="1:17" ht="15" customHeight="1" x14ac:dyDescent="0.3">
      <c r="A4671" s="23" t="s">
        <v>17792</v>
      </c>
      <c r="B4671" s="23"/>
      <c r="C4671" s="23" t="s">
        <v>8997</v>
      </c>
      <c r="D4671" s="23" t="str">
        <f t="shared" si="216"/>
        <v>ORD26004262</v>
      </c>
      <c r="E4671" s="38">
        <v>46290</v>
      </c>
      <c r="F4671" s="23" t="s">
        <v>12410</v>
      </c>
      <c r="G4671" s="23" t="s">
        <v>75</v>
      </c>
      <c r="H4671" s="24">
        <v>999</v>
      </c>
      <c r="I4671" s="24">
        <v>0</v>
      </c>
      <c r="J4671" s="24">
        <v>0</v>
      </c>
      <c r="K4671" s="24">
        <v>999</v>
      </c>
      <c r="L4671" s="38">
        <v>46292</v>
      </c>
      <c r="M4671" s="23" t="s">
        <v>226</v>
      </c>
      <c r="N4671" s="23" t="str">
        <f>IF(COUNTIF($A$2:A4671,A4671)&gt;1,"DUP","OK")</f>
        <v>OK</v>
      </c>
      <c r="O4671" s="23" t="str">
        <f t="shared" si="217"/>
        <v>ORD26004262</v>
      </c>
      <c r="P4671" s="23" t="str">
        <f t="shared" si="218"/>
        <v>Sep</v>
      </c>
      <c r="Q4671" s="23" t="str">
        <f>IF(F4671="CAPTURE",IF(COUNTIF(orders!$A:$A,O4671)&gt;0,"Yes","NO ORDER"),"")</f>
        <v>Yes</v>
      </c>
    </row>
    <row r="4672" spans="1:17" ht="15" customHeight="1" x14ac:dyDescent="0.3">
      <c r="A4672" s="23" t="s">
        <v>17793</v>
      </c>
      <c r="B4672" s="23"/>
      <c r="C4672" s="23" t="s">
        <v>9075</v>
      </c>
      <c r="D4672" s="23" t="str">
        <f t="shared" si="216"/>
        <v>ORD26004300</v>
      </c>
      <c r="E4672" s="38">
        <v>46290</v>
      </c>
      <c r="F4672" s="23" t="s">
        <v>12410</v>
      </c>
      <c r="G4672" s="23" t="s">
        <v>75</v>
      </c>
      <c r="H4672" s="24">
        <v>5847</v>
      </c>
      <c r="I4672" s="24">
        <v>17.54</v>
      </c>
      <c r="J4672" s="24">
        <v>3.16</v>
      </c>
      <c r="K4672" s="24">
        <v>5826.3</v>
      </c>
      <c r="L4672" s="38">
        <v>46292</v>
      </c>
      <c r="M4672" s="23" t="s">
        <v>226</v>
      </c>
      <c r="N4672" s="23" t="str">
        <f>IF(COUNTIF($A$2:A4672,A4672)&gt;1,"DUP","OK")</f>
        <v>OK</v>
      </c>
      <c r="O4672" s="23" t="str">
        <f t="shared" si="217"/>
        <v>ORD26004300</v>
      </c>
      <c r="P4672" s="23" t="str">
        <f t="shared" si="218"/>
        <v>Sep</v>
      </c>
      <c r="Q4672" s="23" t="str">
        <f>IF(F4672="CAPTURE",IF(COUNTIF(orders!$A:$A,O4672)&gt;0,"Yes","NO ORDER"),"")</f>
        <v>Yes</v>
      </c>
    </row>
    <row r="4673" spans="1:17" ht="15" customHeight="1" x14ac:dyDescent="0.3">
      <c r="A4673" s="23" t="s">
        <v>17794</v>
      </c>
      <c r="B4673" s="23"/>
      <c r="C4673" s="23" t="s">
        <v>9108</v>
      </c>
      <c r="D4673" s="23" t="str">
        <f t="shared" si="216"/>
        <v>ORD26004316</v>
      </c>
      <c r="E4673" s="38">
        <v>46290</v>
      </c>
      <c r="F4673" s="23" t="s">
        <v>12410</v>
      </c>
      <c r="G4673" s="23" t="s">
        <v>75</v>
      </c>
      <c r="H4673" s="24">
        <v>2999</v>
      </c>
      <c r="I4673" s="24">
        <v>9</v>
      </c>
      <c r="J4673" s="24">
        <v>1.62</v>
      </c>
      <c r="K4673" s="24">
        <v>2988.38</v>
      </c>
      <c r="L4673" s="38">
        <v>46292</v>
      </c>
      <c r="M4673" s="23" t="s">
        <v>226</v>
      </c>
      <c r="N4673" s="23" t="str">
        <f>IF(COUNTIF($A$2:A4673,A4673)&gt;1,"DUP","OK")</f>
        <v>OK</v>
      </c>
      <c r="O4673" s="23" t="str">
        <f t="shared" si="217"/>
        <v>ORD26004316</v>
      </c>
      <c r="P4673" s="23" t="str">
        <f t="shared" si="218"/>
        <v>Sep</v>
      </c>
      <c r="Q4673" s="23" t="str">
        <f>IF(F4673="CAPTURE",IF(COUNTIF(orders!$A:$A,O4673)&gt;0,"Yes","NO ORDER"),"")</f>
        <v>Yes</v>
      </c>
    </row>
    <row r="4674" spans="1:17" ht="15" customHeight="1" x14ac:dyDescent="0.3">
      <c r="A4674" s="23" t="s">
        <v>17795</v>
      </c>
      <c r="B4674" s="23"/>
      <c r="C4674" s="23" t="s">
        <v>9122</v>
      </c>
      <c r="D4674" s="23" t="str">
        <f t="shared" ref="D4674:D4737" si="219">UPPER(SUBSTITUTE(TRIM(C4674),"-",""))</f>
        <v>ORD26004323</v>
      </c>
      <c r="E4674" s="38">
        <v>46290</v>
      </c>
      <c r="F4674" s="23" t="s">
        <v>12410</v>
      </c>
      <c r="G4674" s="23" t="s">
        <v>75</v>
      </c>
      <c r="H4674" s="24">
        <v>499</v>
      </c>
      <c r="I4674" s="24">
        <v>0</v>
      </c>
      <c r="J4674" s="24">
        <v>0</v>
      </c>
      <c r="K4674" s="24">
        <v>499</v>
      </c>
      <c r="L4674" s="38">
        <v>46292</v>
      </c>
      <c r="M4674" s="23" t="s">
        <v>226</v>
      </c>
      <c r="N4674" s="23" t="str">
        <f>IF(COUNTIF($A$2:A4674,A4674)&gt;1,"DUP","OK")</f>
        <v>OK</v>
      </c>
      <c r="O4674" s="23" t="str">
        <f t="shared" ref="O4674:O4737" si="220">IF(F4674="REFUND",INDEX($D:$D,MATCH(B4674,$A:$A,0)),D4674)</f>
        <v>ORD26004323</v>
      </c>
      <c r="P4674" s="23" t="str">
        <f t="shared" ref="P4674:P4737" si="221">IF(L4674&gt;DATE(2026,9,30),"Oct-Due","Sep")</f>
        <v>Sep</v>
      </c>
      <c r="Q4674" s="23" t="str">
        <f>IF(F4674="CAPTURE",IF(COUNTIF(orders!$A:$A,O4674)&gt;0,"Yes","NO ORDER"),"")</f>
        <v>Yes</v>
      </c>
    </row>
    <row r="4675" spans="1:17" ht="15" customHeight="1" x14ac:dyDescent="0.3">
      <c r="A4675" s="23" t="s">
        <v>17796</v>
      </c>
      <c r="B4675" s="23"/>
      <c r="C4675" s="23" t="s">
        <v>9140</v>
      </c>
      <c r="D4675" s="23" t="str">
        <f t="shared" si="219"/>
        <v>ORD26004332</v>
      </c>
      <c r="E4675" s="38">
        <v>46290</v>
      </c>
      <c r="F4675" s="23" t="s">
        <v>12410</v>
      </c>
      <c r="G4675" s="23" t="s">
        <v>79</v>
      </c>
      <c r="H4675" s="24">
        <v>3298</v>
      </c>
      <c r="I4675" s="24">
        <v>52.77</v>
      </c>
      <c r="J4675" s="24">
        <v>9.5</v>
      </c>
      <c r="K4675" s="24">
        <v>3235.73</v>
      </c>
      <c r="L4675" s="38">
        <v>46292</v>
      </c>
      <c r="M4675" s="23" t="s">
        <v>226</v>
      </c>
      <c r="N4675" s="23" t="str">
        <f>IF(COUNTIF($A$2:A4675,A4675)&gt;1,"DUP","OK")</f>
        <v>OK</v>
      </c>
      <c r="O4675" s="23" t="str">
        <f t="shared" si="220"/>
        <v>ORD26004332</v>
      </c>
      <c r="P4675" s="23" t="str">
        <f t="shared" si="221"/>
        <v>Sep</v>
      </c>
      <c r="Q4675" s="23" t="str">
        <f>IF(F4675="CAPTURE",IF(COUNTIF(orders!$A:$A,O4675)&gt;0,"Yes","NO ORDER"),"")</f>
        <v>Yes</v>
      </c>
    </row>
    <row r="4676" spans="1:17" ht="15" customHeight="1" x14ac:dyDescent="0.3">
      <c r="A4676" s="23" t="s">
        <v>17797</v>
      </c>
      <c r="B4676" s="23"/>
      <c r="C4676" s="23" t="s">
        <v>9229</v>
      </c>
      <c r="D4676" s="23" t="str">
        <f t="shared" si="219"/>
        <v>ORD26004377</v>
      </c>
      <c r="E4676" s="38">
        <v>46290</v>
      </c>
      <c r="F4676" s="23" t="s">
        <v>12410</v>
      </c>
      <c r="G4676" s="23" t="s">
        <v>75</v>
      </c>
      <c r="H4676" s="24">
        <v>2999</v>
      </c>
      <c r="I4676" s="24">
        <v>9</v>
      </c>
      <c r="J4676" s="24">
        <v>1.62</v>
      </c>
      <c r="K4676" s="24">
        <v>2988.38</v>
      </c>
      <c r="L4676" s="38">
        <v>46292</v>
      </c>
      <c r="M4676" s="23" t="s">
        <v>226</v>
      </c>
      <c r="N4676" s="23" t="str">
        <f>IF(COUNTIF($A$2:A4676,A4676)&gt;1,"DUP","OK")</f>
        <v>OK</v>
      </c>
      <c r="O4676" s="23" t="str">
        <f t="shared" si="220"/>
        <v>ORD26004377</v>
      </c>
      <c r="P4676" s="23" t="str">
        <f t="shared" si="221"/>
        <v>Sep</v>
      </c>
      <c r="Q4676" s="23" t="str">
        <f>IF(F4676="CAPTURE",IF(COUNTIF(orders!$A:$A,O4676)&gt;0,"Yes","NO ORDER"),"")</f>
        <v>Yes</v>
      </c>
    </row>
    <row r="4677" spans="1:17" ht="15" customHeight="1" x14ac:dyDescent="0.3">
      <c r="A4677" s="23" t="s">
        <v>17798</v>
      </c>
      <c r="B4677" s="23"/>
      <c r="C4677" s="23" t="s">
        <v>9272</v>
      </c>
      <c r="D4677" s="23" t="str">
        <f t="shared" si="219"/>
        <v>ORD26004399</v>
      </c>
      <c r="E4677" s="38">
        <v>46290</v>
      </c>
      <c r="F4677" s="23" t="s">
        <v>12410</v>
      </c>
      <c r="G4677" s="23" t="s">
        <v>75</v>
      </c>
      <c r="H4677" s="24">
        <v>1499</v>
      </c>
      <c r="I4677" s="24">
        <v>0</v>
      </c>
      <c r="J4677" s="24">
        <v>0</v>
      </c>
      <c r="K4677" s="24">
        <v>1499</v>
      </c>
      <c r="L4677" s="38">
        <v>46292</v>
      </c>
      <c r="M4677" s="23" t="s">
        <v>226</v>
      </c>
      <c r="N4677" s="23" t="str">
        <f>IF(COUNTIF($A$2:A4677,A4677)&gt;1,"DUP","OK")</f>
        <v>OK</v>
      </c>
      <c r="O4677" s="23" t="str">
        <f t="shared" si="220"/>
        <v>ORD26004399</v>
      </c>
      <c r="P4677" s="23" t="str">
        <f t="shared" si="221"/>
        <v>Sep</v>
      </c>
      <c r="Q4677" s="23" t="str">
        <f>IF(F4677="CAPTURE",IF(COUNTIF(orders!$A:$A,O4677)&gt;0,"Yes","NO ORDER"),"")</f>
        <v>Yes</v>
      </c>
    </row>
    <row r="4678" spans="1:17" ht="15" customHeight="1" x14ac:dyDescent="0.3">
      <c r="A4678" s="23" t="s">
        <v>17799</v>
      </c>
      <c r="B4678" s="23"/>
      <c r="C4678" s="23" t="s">
        <v>9284</v>
      </c>
      <c r="D4678" s="23" t="str">
        <f t="shared" si="219"/>
        <v>ORD26004405</v>
      </c>
      <c r="E4678" s="38">
        <v>46290</v>
      </c>
      <c r="F4678" s="23" t="s">
        <v>12410</v>
      </c>
      <c r="G4678" s="23" t="s">
        <v>79</v>
      </c>
      <c r="H4678" s="24">
        <v>1098</v>
      </c>
      <c r="I4678" s="24">
        <v>19.760000000000002</v>
      </c>
      <c r="J4678" s="24">
        <v>3.56</v>
      </c>
      <c r="K4678" s="24">
        <v>1074.68</v>
      </c>
      <c r="L4678" s="38">
        <v>46292</v>
      </c>
      <c r="M4678" s="23" t="s">
        <v>226</v>
      </c>
      <c r="N4678" s="23" t="str">
        <f>IF(COUNTIF($A$2:A4678,A4678)&gt;1,"DUP","OK")</f>
        <v>OK</v>
      </c>
      <c r="O4678" s="23" t="str">
        <f t="shared" si="220"/>
        <v>ORD26004405</v>
      </c>
      <c r="P4678" s="23" t="str">
        <f t="shared" si="221"/>
        <v>Sep</v>
      </c>
      <c r="Q4678" s="23" t="str">
        <f>IF(F4678="CAPTURE",IF(COUNTIF(orders!$A:$A,O4678)&gt;0,"Yes","NO ORDER"),"")</f>
        <v>Yes</v>
      </c>
    </row>
    <row r="4679" spans="1:17" ht="15" customHeight="1" x14ac:dyDescent="0.3">
      <c r="A4679" s="23" t="s">
        <v>17800</v>
      </c>
      <c r="B4679" s="23"/>
      <c r="C4679" s="23" t="s">
        <v>9294</v>
      </c>
      <c r="D4679" s="23" t="str">
        <f t="shared" si="219"/>
        <v>ORD26004410</v>
      </c>
      <c r="E4679" s="38">
        <v>46290</v>
      </c>
      <c r="F4679" s="23" t="s">
        <v>12410</v>
      </c>
      <c r="G4679" s="23" t="s">
        <v>79</v>
      </c>
      <c r="H4679" s="24">
        <v>10297</v>
      </c>
      <c r="I4679" s="24">
        <v>164.75</v>
      </c>
      <c r="J4679" s="24">
        <v>29.66</v>
      </c>
      <c r="K4679" s="24">
        <v>10102.59</v>
      </c>
      <c r="L4679" s="38">
        <v>46292</v>
      </c>
      <c r="M4679" s="23" t="s">
        <v>226</v>
      </c>
      <c r="N4679" s="23" t="str">
        <f>IF(COUNTIF($A$2:A4679,A4679)&gt;1,"DUP","OK")</f>
        <v>OK</v>
      </c>
      <c r="O4679" s="23" t="str">
        <f t="shared" si="220"/>
        <v>ORD26004410</v>
      </c>
      <c r="P4679" s="23" t="str">
        <f t="shared" si="221"/>
        <v>Sep</v>
      </c>
      <c r="Q4679" s="23" t="str">
        <f>IF(F4679="CAPTURE",IF(COUNTIF(orders!$A:$A,O4679)&gt;0,"Yes","NO ORDER"),"")</f>
        <v>Yes</v>
      </c>
    </row>
    <row r="4680" spans="1:17" ht="15" customHeight="1" x14ac:dyDescent="0.3">
      <c r="A4680" s="23" t="s">
        <v>17801</v>
      </c>
      <c r="B4680" s="23"/>
      <c r="C4680" s="23" t="s">
        <v>9312</v>
      </c>
      <c r="D4680" s="23" t="str">
        <f t="shared" si="219"/>
        <v>ORD26004419</v>
      </c>
      <c r="E4680" s="38">
        <v>46290</v>
      </c>
      <c r="F4680" s="23" t="s">
        <v>12410</v>
      </c>
      <c r="G4680" s="23" t="s">
        <v>75</v>
      </c>
      <c r="H4680" s="24">
        <v>2499</v>
      </c>
      <c r="I4680" s="24">
        <v>7.5</v>
      </c>
      <c r="J4680" s="24">
        <v>1.35</v>
      </c>
      <c r="K4680" s="24">
        <v>2490.15</v>
      </c>
      <c r="L4680" s="38">
        <v>46292</v>
      </c>
      <c r="M4680" s="23" t="s">
        <v>226</v>
      </c>
      <c r="N4680" s="23" t="str">
        <f>IF(COUNTIF($A$2:A4680,A4680)&gt;1,"DUP","OK")</f>
        <v>OK</v>
      </c>
      <c r="O4680" s="23" t="str">
        <f t="shared" si="220"/>
        <v>ORD26004419</v>
      </c>
      <c r="P4680" s="23" t="str">
        <f t="shared" si="221"/>
        <v>Sep</v>
      </c>
      <c r="Q4680" s="23" t="str">
        <f>IF(F4680="CAPTURE",IF(COUNTIF(orders!$A:$A,O4680)&gt;0,"Yes","NO ORDER"),"")</f>
        <v>Yes</v>
      </c>
    </row>
    <row r="4681" spans="1:17" ht="15" customHeight="1" x14ac:dyDescent="0.3">
      <c r="A4681" s="23" t="s">
        <v>17802</v>
      </c>
      <c r="B4681" s="23"/>
      <c r="C4681" s="23" t="s">
        <v>17803</v>
      </c>
      <c r="D4681" s="23" t="str">
        <f t="shared" si="219"/>
        <v>ORD26004430</v>
      </c>
      <c r="E4681" s="38">
        <v>46290</v>
      </c>
      <c r="F4681" s="23" t="s">
        <v>12410</v>
      </c>
      <c r="G4681" s="23" t="s">
        <v>75</v>
      </c>
      <c r="H4681" s="24">
        <v>1799</v>
      </c>
      <c r="I4681" s="24">
        <v>0</v>
      </c>
      <c r="J4681" s="24">
        <v>0</v>
      </c>
      <c r="K4681" s="24">
        <v>1799</v>
      </c>
      <c r="L4681" s="38">
        <v>46292</v>
      </c>
      <c r="M4681" s="23" t="s">
        <v>226</v>
      </c>
      <c r="N4681" s="23" t="str">
        <f>IF(COUNTIF($A$2:A4681,A4681)&gt;1,"DUP","OK")</f>
        <v>OK</v>
      </c>
      <c r="O4681" s="23" t="str">
        <f t="shared" si="220"/>
        <v>ORD26004430</v>
      </c>
      <c r="P4681" s="23" t="str">
        <f t="shared" si="221"/>
        <v>Sep</v>
      </c>
      <c r="Q4681" s="23" t="str">
        <f>IF(F4681="CAPTURE",IF(COUNTIF(orders!$A:$A,O4681)&gt;0,"Yes","NO ORDER"),"")</f>
        <v>Yes</v>
      </c>
    </row>
    <row r="4682" spans="1:17" ht="15" customHeight="1" x14ac:dyDescent="0.3">
      <c r="A4682" s="23" t="s">
        <v>17804</v>
      </c>
      <c r="B4682" s="23"/>
      <c r="C4682" s="23" t="s">
        <v>9334</v>
      </c>
      <c r="D4682" s="23" t="str">
        <f t="shared" si="219"/>
        <v>ORD26004431</v>
      </c>
      <c r="E4682" s="38">
        <v>46290</v>
      </c>
      <c r="F4682" s="23" t="s">
        <v>12410</v>
      </c>
      <c r="G4682" s="23" t="s">
        <v>75</v>
      </c>
      <c r="H4682" s="24">
        <v>3998</v>
      </c>
      <c r="I4682" s="24">
        <v>11.99</v>
      </c>
      <c r="J4682" s="24">
        <v>2.16</v>
      </c>
      <c r="K4682" s="24">
        <v>3983.85</v>
      </c>
      <c r="L4682" s="38">
        <v>46292</v>
      </c>
      <c r="M4682" s="23" t="s">
        <v>226</v>
      </c>
      <c r="N4682" s="23" t="str">
        <f>IF(COUNTIF($A$2:A4682,A4682)&gt;1,"DUP","OK")</f>
        <v>OK</v>
      </c>
      <c r="O4682" s="23" t="str">
        <f t="shared" si="220"/>
        <v>ORD26004431</v>
      </c>
      <c r="P4682" s="23" t="str">
        <f t="shared" si="221"/>
        <v>Sep</v>
      </c>
      <c r="Q4682" s="23" t="str">
        <f>IF(F4682="CAPTURE",IF(COUNTIF(orders!$A:$A,O4682)&gt;0,"Yes","NO ORDER"),"")</f>
        <v>Yes</v>
      </c>
    </row>
    <row r="4683" spans="1:17" ht="15" customHeight="1" x14ac:dyDescent="0.3">
      <c r="A4683" s="23" t="s">
        <v>17805</v>
      </c>
      <c r="B4683" s="23"/>
      <c r="C4683" s="23" t="s">
        <v>9417</v>
      </c>
      <c r="D4683" s="23" t="str">
        <f t="shared" si="219"/>
        <v>ORD26004473</v>
      </c>
      <c r="E4683" s="38">
        <v>46290</v>
      </c>
      <c r="F4683" s="23" t="s">
        <v>12410</v>
      </c>
      <c r="G4683" s="23" t="s">
        <v>75</v>
      </c>
      <c r="H4683" s="24">
        <v>2798</v>
      </c>
      <c r="I4683" s="24">
        <v>8.39</v>
      </c>
      <c r="J4683" s="24">
        <v>1.51</v>
      </c>
      <c r="K4683" s="24">
        <v>2788.1</v>
      </c>
      <c r="L4683" s="38">
        <v>46292</v>
      </c>
      <c r="M4683" s="23" t="s">
        <v>226</v>
      </c>
      <c r="N4683" s="23" t="str">
        <f>IF(COUNTIF($A$2:A4683,A4683)&gt;1,"DUP","OK")</f>
        <v>OK</v>
      </c>
      <c r="O4683" s="23" t="str">
        <f t="shared" si="220"/>
        <v>ORD26004473</v>
      </c>
      <c r="P4683" s="23" t="str">
        <f t="shared" si="221"/>
        <v>Sep</v>
      </c>
      <c r="Q4683" s="23" t="str">
        <f>IF(F4683="CAPTURE",IF(COUNTIF(orders!$A:$A,O4683)&gt;0,"Yes","NO ORDER"),"")</f>
        <v>Yes</v>
      </c>
    </row>
    <row r="4684" spans="1:17" ht="15" customHeight="1" x14ac:dyDescent="0.3">
      <c r="A4684" s="23" t="s">
        <v>17806</v>
      </c>
      <c r="B4684" s="23"/>
      <c r="C4684" s="23" t="s">
        <v>9419</v>
      </c>
      <c r="D4684" s="23" t="str">
        <f t="shared" si="219"/>
        <v>ORD26004474</v>
      </c>
      <c r="E4684" s="38">
        <v>46290</v>
      </c>
      <c r="F4684" s="23" t="s">
        <v>12410</v>
      </c>
      <c r="G4684" s="23" t="s">
        <v>79</v>
      </c>
      <c r="H4684" s="24">
        <v>12297</v>
      </c>
      <c r="I4684" s="24">
        <v>196.75</v>
      </c>
      <c r="J4684" s="24">
        <v>35.42</v>
      </c>
      <c r="K4684" s="24">
        <v>12064.83</v>
      </c>
      <c r="L4684" s="38">
        <v>46292</v>
      </c>
      <c r="M4684" s="23" t="s">
        <v>226</v>
      </c>
      <c r="N4684" s="23" t="str">
        <f>IF(COUNTIF($A$2:A4684,A4684)&gt;1,"DUP","OK")</f>
        <v>OK</v>
      </c>
      <c r="O4684" s="23" t="str">
        <f t="shared" si="220"/>
        <v>ORD26004474</v>
      </c>
      <c r="P4684" s="23" t="str">
        <f t="shared" si="221"/>
        <v>Sep</v>
      </c>
      <c r="Q4684" s="23" t="str">
        <f>IF(F4684="CAPTURE",IF(COUNTIF(orders!$A:$A,O4684)&gt;0,"Yes","NO ORDER"),"")</f>
        <v>Yes</v>
      </c>
    </row>
    <row r="4685" spans="1:17" ht="15" customHeight="1" x14ac:dyDescent="0.3">
      <c r="A4685" s="23" t="s">
        <v>17807</v>
      </c>
      <c r="B4685" s="23"/>
      <c r="C4685" s="23" t="s">
        <v>9490</v>
      </c>
      <c r="D4685" s="23" t="str">
        <f t="shared" si="219"/>
        <v>ORD26004509</v>
      </c>
      <c r="E4685" s="38">
        <v>46290</v>
      </c>
      <c r="F4685" s="23" t="s">
        <v>12410</v>
      </c>
      <c r="G4685" s="23" t="s">
        <v>81</v>
      </c>
      <c r="H4685" s="24">
        <v>499</v>
      </c>
      <c r="I4685" s="24">
        <v>7.49</v>
      </c>
      <c r="J4685" s="24">
        <v>1.35</v>
      </c>
      <c r="K4685" s="24">
        <v>490.16</v>
      </c>
      <c r="L4685" s="38">
        <v>46292</v>
      </c>
      <c r="M4685" s="23" t="s">
        <v>226</v>
      </c>
      <c r="N4685" s="23" t="str">
        <f>IF(COUNTIF($A$2:A4685,A4685)&gt;1,"DUP","OK")</f>
        <v>OK</v>
      </c>
      <c r="O4685" s="23" t="str">
        <f t="shared" si="220"/>
        <v>ORD26004509</v>
      </c>
      <c r="P4685" s="23" t="str">
        <f t="shared" si="221"/>
        <v>Sep</v>
      </c>
      <c r="Q4685" s="23" t="str">
        <f>IF(F4685="CAPTURE",IF(COUNTIF(orders!$A:$A,O4685)&gt;0,"Yes","NO ORDER"),"")</f>
        <v>Yes</v>
      </c>
    </row>
    <row r="4686" spans="1:17" ht="15" customHeight="1" x14ac:dyDescent="0.3">
      <c r="A4686" s="23" t="s">
        <v>17808</v>
      </c>
      <c r="B4686" s="23"/>
      <c r="C4686" s="23" t="s">
        <v>9514</v>
      </c>
      <c r="D4686" s="23" t="str">
        <f t="shared" si="219"/>
        <v>ORD26004521</v>
      </c>
      <c r="E4686" s="38">
        <v>46290</v>
      </c>
      <c r="F4686" s="23" t="s">
        <v>12410</v>
      </c>
      <c r="G4686" s="23" t="s">
        <v>75</v>
      </c>
      <c r="H4686" s="24">
        <v>3298</v>
      </c>
      <c r="I4686" s="24">
        <v>9.89</v>
      </c>
      <c r="J4686" s="24">
        <v>1.78</v>
      </c>
      <c r="K4686" s="24">
        <v>3286.33</v>
      </c>
      <c r="L4686" s="38">
        <v>46292</v>
      </c>
      <c r="M4686" s="23" t="s">
        <v>226</v>
      </c>
      <c r="N4686" s="23" t="str">
        <f>IF(COUNTIF($A$2:A4686,A4686)&gt;1,"DUP","OK")</f>
        <v>OK</v>
      </c>
      <c r="O4686" s="23" t="str">
        <f t="shared" si="220"/>
        <v>ORD26004521</v>
      </c>
      <c r="P4686" s="23" t="str">
        <f t="shared" si="221"/>
        <v>Sep</v>
      </c>
      <c r="Q4686" s="23" t="str">
        <f>IF(F4686="CAPTURE",IF(COUNTIF(orders!$A:$A,O4686)&gt;0,"Yes","NO ORDER"),"")</f>
        <v>Yes</v>
      </c>
    </row>
    <row r="4687" spans="1:17" ht="15" customHeight="1" x14ac:dyDescent="0.3">
      <c r="A4687" s="23" t="s">
        <v>17809</v>
      </c>
      <c r="B4687" s="23"/>
      <c r="C4687" s="23" t="s">
        <v>17810</v>
      </c>
      <c r="D4687" s="23" t="str">
        <f t="shared" si="219"/>
        <v>ORD26004532</v>
      </c>
      <c r="E4687" s="38">
        <v>46290</v>
      </c>
      <c r="F4687" s="23" t="s">
        <v>12410</v>
      </c>
      <c r="G4687" s="23" t="s">
        <v>77</v>
      </c>
      <c r="H4687" s="24">
        <v>8798</v>
      </c>
      <c r="I4687" s="24">
        <v>149.57</v>
      </c>
      <c r="J4687" s="24">
        <v>26.92</v>
      </c>
      <c r="K4687" s="24">
        <v>8621.51</v>
      </c>
      <c r="L4687" s="38">
        <v>46292</v>
      </c>
      <c r="M4687" s="23" t="s">
        <v>226</v>
      </c>
      <c r="N4687" s="23" t="str">
        <f>IF(COUNTIF($A$2:A4687,A4687)&gt;1,"DUP","OK")</f>
        <v>OK</v>
      </c>
      <c r="O4687" s="23" t="str">
        <f t="shared" si="220"/>
        <v>ORD26004532</v>
      </c>
      <c r="P4687" s="23" t="str">
        <f t="shared" si="221"/>
        <v>Sep</v>
      </c>
      <c r="Q4687" s="23" t="str">
        <f>IF(F4687="CAPTURE",IF(COUNTIF(orders!$A:$A,O4687)&gt;0,"Yes","NO ORDER"),"")</f>
        <v>Yes</v>
      </c>
    </row>
    <row r="4688" spans="1:17" ht="15" customHeight="1" x14ac:dyDescent="0.3">
      <c r="A4688" s="23" t="s">
        <v>17811</v>
      </c>
      <c r="B4688" s="23"/>
      <c r="C4688" s="23" t="s">
        <v>9541</v>
      </c>
      <c r="D4688" s="23" t="str">
        <f t="shared" si="219"/>
        <v>ORD26004534</v>
      </c>
      <c r="E4688" s="38">
        <v>46290</v>
      </c>
      <c r="F4688" s="23" t="s">
        <v>12410</v>
      </c>
      <c r="G4688" s="23" t="s">
        <v>75</v>
      </c>
      <c r="H4688" s="24">
        <v>1299</v>
      </c>
      <c r="I4688" s="24">
        <v>0</v>
      </c>
      <c r="J4688" s="24">
        <v>0</v>
      </c>
      <c r="K4688" s="24">
        <v>1299</v>
      </c>
      <c r="L4688" s="38">
        <v>46292</v>
      </c>
      <c r="M4688" s="23" t="s">
        <v>226</v>
      </c>
      <c r="N4688" s="23" t="str">
        <f>IF(COUNTIF($A$2:A4688,A4688)&gt;1,"DUP","OK")</f>
        <v>OK</v>
      </c>
      <c r="O4688" s="23" t="str">
        <f t="shared" si="220"/>
        <v>ORD26004534</v>
      </c>
      <c r="P4688" s="23" t="str">
        <f t="shared" si="221"/>
        <v>Sep</v>
      </c>
      <c r="Q4688" s="23" t="str">
        <f>IF(F4688="CAPTURE",IF(COUNTIF(orders!$A:$A,O4688)&gt;0,"Yes","NO ORDER"),"")</f>
        <v>Yes</v>
      </c>
    </row>
    <row r="4689" spans="1:17" ht="15" customHeight="1" x14ac:dyDescent="0.3">
      <c r="A4689" s="23" t="s">
        <v>17812</v>
      </c>
      <c r="B4689" s="23"/>
      <c r="C4689" s="23" t="s">
        <v>17813</v>
      </c>
      <c r="D4689" s="23" t="str">
        <f t="shared" si="219"/>
        <v>ORD26004567</v>
      </c>
      <c r="E4689" s="38">
        <v>46290</v>
      </c>
      <c r="F4689" s="23" t="s">
        <v>12410</v>
      </c>
      <c r="G4689" s="23" t="s">
        <v>75</v>
      </c>
      <c r="H4689" s="24">
        <v>1799</v>
      </c>
      <c r="I4689" s="24">
        <v>5.4</v>
      </c>
      <c r="J4689" s="24">
        <v>0.97</v>
      </c>
      <c r="K4689" s="24">
        <v>1792.63</v>
      </c>
      <c r="L4689" s="38">
        <v>46292</v>
      </c>
      <c r="M4689" s="23" t="s">
        <v>226</v>
      </c>
      <c r="N4689" s="23" t="str">
        <f>IF(COUNTIF($A$2:A4689,A4689)&gt;1,"DUP","OK")</f>
        <v>OK</v>
      </c>
      <c r="O4689" s="23" t="str">
        <f t="shared" si="220"/>
        <v>ORD26004567</v>
      </c>
      <c r="P4689" s="23" t="str">
        <f t="shared" si="221"/>
        <v>Sep</v>
      </c>
      <c r="Q4689" s="23" t="str">
        <f>IF(F4689="CAPTURE",IF(COUNTIF(orders!$A:$A,O4689)&gt;0,"Yes","NO ORDER"),"")</f>
        <v>Yes</v>
      </c>
    </row>
    <row r="4690" spans="1:17" ht="15" customHeight="1" x14ac:dyDescent="0.3">
      <c r="A4690" s="23" t="s">
        <v>17814</v>
      </c>
      <c r="B4690" s="23"/>
      <c r="C4690" s="23" t="s">
        <v>9657</v>
      </c>
      <c r="D4690" s="23" t="str">
        <f t="shared" si="219"/>
        <v>ORD26004592</v>
      </c>
      <c r="E4690" s="38">
        <v>46290</v>
      </c>
      <c r="F4690" s="23" t="s">
        <v>12410</v>
      </c>
      <c r="G4690" s="23" t="s">
        <v>81</v>
      </c>
      <c r="H4690" s="24">
        <v>799</v>
      </c>
      <c r="I4690" s="24">
        <v>11.99</v>
      </c>
      <c r="J4690" s="24">
        <v>2.16</v>
      </c>
      <c r="K4690" s="24">
        <v>784.85</v>
      </c>
      <c r="L4690" s="38">
        <v>46292</v>
      </c>
      <c r="M4690" s="23" t="s">
        <v>226</v>
      </c>
      <c r="N4690" s="23" t="str">
        <f>IF(COUNTIF($A$2:A4690,A4690)&gt;1,"DUP","OK")</f>
        <v>OK</v>
      </c>
      <c r="O4690" s="23" t="str">
        <f t="shared" si="220"/>
        <v>ORD26004592</v>
      </c>
      <c r="P4690" s="23" t="str">
        <f t="shared" si="221"/>
        <v>Sep</v>
      </c>
      <c r="Q4690" s="23" t="str">
        <f>IF(F4690="CAPTURE",IF(COUNTIF(orders!$A:$A,O4690)&gt;0,"Yes","NO ORDER"),"")</f>
        <v>Yes</v>
      </c>
    </row>
    <row r="4691" spans="1:17" ht="15" customHeight="1" x14ac:dyDescent="0.3">
      <c r="A4691" s="23" t="s">
        <v>17815</v>
      </c>
      <c r="B4691" s="23"/>
      <c r="C4691" s="23" t="s">
        <v>9699</v>
      </c>
      <c r="D4691" s="23" t="str">
        <f t="shared" si="219"/>
        <v>ORD26004613</v>
      </c>
      <c r="E4691" s="38">
        <v>46290</v>
      </c>
      <c r="F4691" s="23" t="s">
        <v>12410</v>
      </c>
      <c r="G4691" s="23" t="s">
        <v>75</v>
      </c>
      <c r="H4691" s="24">
        <v>2499</v>
      </c>
      <c r="I4691" s="24">
        <v>7.5</v>
      </c>
      <c r="J4691" s="24">
        <v>1.35</v>
      </c>
      <c r="K4691" s="24">
        <v>2490.15</v>
      </c>
      <c r="L4691" s="38">
        <v>46292</v>
      </c>
      <c r="M4691" s="23" t="s">
        <v>226</v>
      </c>
      <c r="N4691" s="23" t="str">
        <f>IF(COUNTIF($A$2:A4691,A4691)&gt;1,"DUP","OK")</f>
        <v>OK</v>
      </c>
      <c r="O4691" s="23" t="str">
        <f t="shared" si="220"/>
        <v>ORD26004613</v>
      </c>
      <c r="P4691" s="23" t="str">
        <f t="shared" si="221"/>
        <v>Sep</v>
      </c>
      <c r="Q4691" s="23" t="str">
        <f>IF(F4691="CAPTURE",IF(COUNTIF(orders!$A:$A,O4691)&gt;0,"Yes","NO ORDER"),"")</f>
        <v>Yes</v>
      </c>
    </row>
    <row r="4692" spans="1:17" ht="15" customHeight="1" x14ac:dyDescent="0.3">
      <c r="A4692" s="23" t="s">
        <v>17816</v>
      </c>
      <c r="B4692" s="23"/>
      <c r="C4692" s="23" t="s">
        <v>17817</v>
      </c>
      <c r="D4692" s="23" t="str">
        <f t="shared" si="219"/>
        <v>ORD26004620</v>
      </c>
      <c r="E4692" s="38">
        <v>46290</v>
      </c>
      <c r="F4692" s="23" t="s">
        <v>12410</v>
      </c>
      <c r="G4692" s="23" t="s">
        <v>79</v>
      </c>
      <c r="H4692" s="24">
        <v>999</v>
      </c>
      <c r="I4692" s="24">
        <v>17.98</v>
      </c>
      <c r="J4692" s="24">
        <v>3.24</v>
      </c>
      <c r="K4692" s="24">
        <v>977.78</v>
      </c>
      <c r="L4692" s="38">
        <v>46292</v>
      </c>
      <c r="M4692" s="23" t="s">
        <v>226</v>
      </c>
      <c r="N4692" s="23" t="str">
        <f>IF(COUNTIF($A$2:A4692,A4692)&gt;1,"DUP","OK")</f>
        <v>OK</v>
      </c>
      <c r="O4692" s="23" t="str">
        <f t="shared" si="220"/>
        <v>ORD26004620</v>
      </c>
      <c r="P4692" s="23" t="str">
        <f t="shared" si="221"/>
        <v>Sep</v>
      </c>
      <c r="Q4692" s="23" t="str">
        <f>IF(F4692="CAPTURE",IF(COUNTIF(orders!$A:$A,O4692)&gt;0,"Yes","NO ORDER"),"")</f>
        <v>Yes</v>
      </c>
    </row>
    <row r="4693" spans="1:17" ht="15" customHeight="1" x14ac:dyDescent="0.3">
      <c r="A4693" s="23" t="s">
        <v>17818</v>
      </c>
      <c r="B4693" s="23"/>
      <c r="C4693" s="23" t="s">
        <v>9824</v>
      </c>
      <c r="D4693" s="23" t="str">
        <f t="shared" si="219"/>
        <v>ORD26004678</v>
      </c>
      <c r="E4693" s="38">
        <v>46290</v>
      </c>
      <c r="F4693" s="23" t="s">
        <v>12410</v>
      </c>
      <c r="G4693" s="23" t="s">
        <v>75</v>
      </c>
      <c r="H4693" s="24">
        <v>8498</v>
      </c>
      <c r="I4693" s="24">
        <v>25.49</v>
      </c>
      <c r="J4693" s="24">
        <v>4.59</v>
      </c>
      <c r="K4693" s="24">
        <v>8467.92</v>
      </c>
      <c r="L4693" s="38">
        <v>46292</v>
      </c>
      <c r="M4693" s="23" t="s">
        <v>226</v>
      </c>
      <c r="N4693" s="23" t="str">
        <f>IF(COUNTIF($A$2:A4693,A4693)&gt;1,"DUP","OK")</f>
        <v>OK</v>
      </c>
      <c r="O4693" s="23" t="str">
        <f t="shared" si="220"/>
        <v>ORD26004678</v>
      </c>
      <c r="P4693" s="23" t="str">
        <f t="shared" si="221"/>
        <v>Sep</v>
      </c>
      <c r="Q4693" s="23" t="str">
        <f>IF(F4693="CAPTURE",IF(COUNTIF(orders!$A:$A,O4693)&gt;0,"Yes","NO ORDER"),"")</f>
        <v>Yes</v>
      </c>
    </row>
    <row r="4694" spans="1:17" ht="15" customHeight="1" x14ac:dyDescent="0.3">
      <c r="A4694" s="23" t="s">
        <v>17819</v>
      </c>
      <c r="B4694" s="23"/>
      <c r="C4694" s="23" t="s">
        <v>9938</v>
      </c>
      <c r="D4694" s="23" t="str">
        <f t="shared" si="219"/>
        <v>ORD26004736</v>
      </c>
      <c r="E4694" s="38">
        <v>46290</v>
      </c>
      <c r="F4694" s="23" t="s">
        <v>12410</v>
      </c>
      <c r="G4694" s="23" t="s">
        <v>75</v>
      </c>
      <c r="H4694" s="24">
        <v>4998</v>
      </c>
      <c r="I4694" s="24">
        <v>14.99</v>
      </c>
      <c r="J4694" s="24">
        <v>2.7</v>
      </c>
      <c r="K4694" s="24">
        <v>4980.3100000000004</v>
      </c>
      <c r="L4694" s="38">
        <v>46292</v>
      </c>
      <c r="M4694" s="23" t="s">
        <v>226</v>
      </c>
      <c r="N4694" s="23" t="str">
        <f>IF(COUNTIF($A$2:A4694,A4694)&gt;1,"DUP","OK")</f>
        <v>OK</v>
      </c>
      <c r="O4694" s="23" t="str">
        <f t="shared" si="220"/>
        <v>ORD26004736</v>
      </c>
      <c r="P4694" s="23" t="str">
        <f t="shared" si="221"/>
        <v>Sep</v>
      </c>
      <c r="Q4694" s="23" t="str">
        <f>IF(F4694="CAPTURE",IF(COUNTIF(orders!$A:$A,O4694)&gt;0,"Yes","NO ORDER"),"")</f>
        <v>Yes</v>
      </c>
    </row>
    <row r="4695" spans="1:17" ht="15" customHeight="1" x14ac:dyDescent="0.3">
      <c r="A4695" s="23" t="s">
        <v>17820</v>
      </c>
      <c r="B4695" s="23"/>
      <c r="C4695" s="23" t="s">
        <v>10149</v>
      </c>
      <c r="D4695" s="23" t="str">
        <f t="shared" si="219"/>
        <v>ORD26004845</v>
      </c>
      <c r="E4695" s="38">
        <v>46290</v>
      </c>
      <c r="F4695" s="23" t="s">
        <v>12410</v>
      </c>
      <c r="G4695" s="23" t="s">
        <v>75</v>
      </c>
      <c r="H4695" s="24">
        <v>3798</v>
      </c>
      <c r="I4695" s="24">
        <v>11.39</v>
      </c>
      <c r="J4695" s="24">
        <v>2.0499999999999998</v>
      </c>
      <c r="K4695" s="24">
        <v>3784.56</v>
      </c>
      <c r="L4695" s="38">
        <v>46292</v>
      </c>
      <c r="M4695" s="23" t="s">
        <v>226</v>
      </c>
      <c r="N4695" s="23" t="str">
        <f>IF(COUNTIF($A$2:A4695,A4695)&gt;1,"DUP","OK")</f>
        <v>OK</v>
      </c>
      <c r="O4695" s="23" t="str">
        <f t="shared" si="220"/>
        <v>ORD26004845</v>
      </c>
      <c r="P4695" s="23" t="str">
        <f t="shared" si="221"/>
        <v>Sep</v>
      </c>
      <c r="Q4695" s="23" t="str">
        <f>IF(F4695="CAPTURE",IF(COUNTIF(orders!$A:$A,O4695)&gt;0,"Yes","NO ORDER"),"")</f>
        <v>Yes</v>
      </c>
    </row>
    <row r="4696" spans="1:17" ht="15" customHeight="1" x14ac:dyDescent="0.3">
      <c r="A4696" s="23" t="s">
        <v>17821</v>
      </c>
      <c r="B4696" s="23"/>
      <c r="C4696" s="23" t="s">
        <v>10156</v>
      </c>
      <c r="D4696" s="23" t="str">
        <f t="shared" si="219"/>
        <v>ORD26004848</v>
      </c>
      <c r="E4696" s="38">
        <v>46290</v>
      </c>
      <c r="F4696" s="23" t="s">
        <v>12410</v>
      </c>
      <c r="G4696" s="23" t="s">
        <v>79</v>
      </c>
      <c r="H4696" s="24">
        <v>599</v>
      </c>
      <c r="I4696" s="24">
        <v>10.78</v>
      </c>
      <c r="J4696" s="24">
        <v>1.94</v>
      </c>
      <c r="K4696" s="24">
        <v>586.28</v>
      </c>
      <c r="L4696" s="38">
        <v>46292</v>
      </c>
      <c r="M4696" s="23" t="s">
        <v>226</v>
      </c>
      <c r="N4696" s="23" t="str">
        <f>IF(COUNTIF($A$2:A4696,A4696)&gt;1,"DUP","OK")</f>
        <v>OK</v>
      </c>
      <c r="O4696" s="23" t="str">
        <f t="shared" si="220"/>
        <v>ORD26004848</v>
      </c>
      <c r="P4696" s="23" t="str">
        <f t="shared" si="221"/>
        <v>Sep</v>
      </c>
      <c r="Q4696" s="23" t="str">
        <f>IF(F4696="CAPTURE",IF(COUNTIF(orders!$A:$A,O4696)&gt;0,"Yes","NO ORDER"),"")</f>
        <v>Yes</v>
      </c>
    </row>
    <row r="4697" spans="1:17" ht="15" customHeight="1" x14ac:dyDescent="0.3">
      <c r="A4697" s="23" t="s">
        <v>17822</v>
      </c>
      <c r="B4697" s="23"/>
      <c r="C4697" s="23" t="s">
        <v>10255</v>
      </c>
      <c r="D4697" s="23" t="str">
        <f t="shared" si="219"/>
        <v>ORD26004899</v>
      </c>
      <c r="E4697" s="38">
        <v>46290</v>
      </c>
      <c r="F4697" s="23" t="s">
        <v>12410</v>
      </c>
      <c r="G4697" s="23" t="s">
        <v>79</v>
      </c>
      <c r="H4697" s="24">
        <v>4999</v>
      </c>
      <c r="I4697" s="24">
        <v>79.98</v>
      </c>
      <c r="J4697" s="24">
        <v>14.4</v>
      </c>
      <c r="K4697" s="24">
        <v>4904.62</v>
      </c>
      <c r="L4697" s="38">
        <v>46292</v>
      </c>
      <c r="M4697" s="23" t="s">
        <v>226</v>
      </c>
      <c r="N4697" s="23" t="str">
        <f>IF(COUNTIF($A$2:A4697,A4697)&gt;1,"DUP","OK")</f>
        <v>OK</v>
      </c>
      <c r="O4697" s="23" t="str">
        <f t="shared" si="220"/>
        <v>ORD26004899</v>
      </c>
      <c r="P4697" s="23" t="str">
        <f t="shared" si="221"/>
        <v>Sep</v>
      </c>
      <c r="Q4697" s="23" t="str">
        <f>IF(F4697="CAPTURE",IF(COUNTIF(orders!$A:$A,O4697)&gt;0,"Yes","NO ORDER"),"")</f>
        <v>Yes</v>
      </c>
    </row>
    <row r="4698" spans="1:17" ht="15" customHeight="1" x14ac:dyDescent="0.3">
      <c r="A4698" s="23" t="s">
        <v>17823</v>
      </c>
      <c r="B4698" s="23"/>
      <c r="C4698" s="23" t="s">
        <v>10268</v>
      </c>
      <c r="D4698" s="23" t="str">
        <f t="shared" si="219"/>
        <v>ORD26004905</v>
      </c>
      <c r="E4698" s="38">
        <v>46290</v>
      </c>
      <c r="F4698" s="23" t="s">
        <v>12410</v>
      </c>
      <c r="G4698" s="23" t="s">
        <v>75</v>
      </c>
      <c r="H4698" s="24">
        <v>8998</v>
      </c>
      <c r="I4698" s="24">
        <v>26.99</v>
      </c>
      <c r="J4698" s="24">
        <v>4.8600000000000003</v>
      </c>
      <c r="K4698" s="24">
        <v>8966.15</v>
      </c>
      <c r="L4698" s="38">
        <v>46292</v>
      </c>
      <c r="M4698" s="23" t="s">
        <v>226</v>
      </c>
      <c r="N4698" s="23" t="str">
        <f>IF(COUNTIF($A$2:A4698,A4698)&gt;1,"DUP","OK")</f>
        <v>OK</v>
      </c>
      <c r="O4698" s="23" t="str">
        <f t="shared" si="220"/>
        <v>ORD26004905</v>
      </c>
      <c r="P4698" s="23" t="str">
        <f t="shared" si="221"/>
        <v>Sep</v>
      </c>
      <c r="Q4698" s="23" t="str">
        <f>IF(F4698="CAPTURE",IF(COUNTIF(orders!$A:$A,O4698)&gt;0,"Yes","NO ORDER"),"")</f>
        <v>Yes</v>
      </c>
    </row>
    <row r="4699" spans="1:17" ht="15" customHeight="1" x14ac:dyDescent="0.3">
      <c r="A4699" s="23" t="s">
        <v>17824</v>
      </c>
      <c r="B4699" s="23"/>
      <c r="C4699" s="23" t="s">
        <v>10336</v>
      </c>
      <c r="D4699" s="23" t="str">
        <f t="shared" si="219"/>
        <v>ORD26004940</v>
      </c>
      <c r="E4699" s="38">
        <v>46290</v>
      </c>
      <c r="F4699" s="23" t="s">
        <v>12410</v>
      </c>
      <c r="G4699" s="23" t="s">
        <v>81</v>
      </c>
      <c r="H4699" s="24">
        <v>11097</v>
      </c>
      <c r="I4699" s="24">
        <v>99.87</v>
      </c>
      <c r="J4699" s="24">
        <v>17.98</v>
      </c>
      <c r="K4699" s="24">
        <v>10979.15</v>
      </c>
      <c r="L4699" s="38">
        <v>46292</v>
      </c>
      <c r="M4699" s="23" t="s">
        <v>226</v>
      </c>
      <c r="N4699" s="23" t="str">
        <f>IF(COUNTIF($A$2:A4699,A4699)&gt;1,"DUP","OK")</f>
        <v>OK</v>
      </c>
      <c r="O4699" s="23" t="str">
        <f t="shared" si="220"/>
        <v>ORD26004940</v>
      </c>
      <c r="P4699" s="23" t="str">
        <f t="shared" si="221"/>
        <v>Sep</v>
      </c>
      <c r="Q4699" s="23" t="str">
        <f>IF(F4699="CAPTURE",IF(COUNTIF(orders!$A:$A,O4699)&gt;0,"Yes","NO ORDER"),"")</f>
        <v>Yes</v>
      </c>
    </row>
    <row r="4700" spans="1:17" ht="15" customHeight="1" x14ac:dyDescent="0.3">
      <c r="A4700" s="23" t="s">
        <v>17825</v>
      </c>
      <c r="B4700" s="23"/>
      <c r="C4700" s="23" t="s">
        <v>17826</v>
      </c>
      <c r="D4700" s="23" t="str">
        <f t="shared" si="219"/>
        <v>ORD26004978</v>
      </c>
      <c r="E4700" s="38">
        <v>46290</v>
      </c>
      <c r="F4700" s="23" t="s">
        <v>12410</v>
      </c>
      <c r="G4700" s="23" t="s">
        <v>75</v>
      </c>
      <c r="H4700" s="24">
        <v>6797</v>
      </c>
      <c r="I4700" s="24">
        <v>20.39</v>
      </c>
      <c r="J4700" s="24">
        <v>3.67</v>
      </c>
      <c r="K4700" s="24">
        <v>6772.94</v>
      </c>
      <c r="L4700" s="38">
        <v>46292</v>
      </c>
      <c r="M4700" s="23" t="s">
        <v>226</v>
      </c>
      <c r="N4700" s="23" t="str">
        <f>IF(COUNTIF($A$2:A4700,A4700)&gt;1,"DUP","OK")</f>
        <v>OK</v>
      </c>
      <c r="O4700" s="23" t="str">
        <f t="shared" si="220"/>
        <v>ORD26004978</v>
      </c>
      <c r="P4700" s="23" t="str">
        <f t="shared" si="221"/>
        <v>Sep</v>
      </c>
      <c r="Q4700" s="23" t="str">
        <f>IF(F4700="CAPTURE",IF(COUNTIF(orders!$A:$A,O4700)&gt;0,"Yes","NO ORDER"),"")</f>
        <v>Yes</v>
      </c>
    </row>
    <row r="4701" spans="1:17" ht="15" customHeight="1" x14ac:dyDescent="0.3">
      <c r="A4701" s="23" t="s">
        <v>17827</v>
      </c>
      <c r="B4701" s="23"/>
      <c r="C4701" s="23" t="s">
        <v>10506</v>
      </c>
      <c r="D4701" s="23" t="str">
        <f t="shared" si="219"/>
        <v>ORD26005028</v>
      </c>
      <c r="E4701" s="38">
        <v>46290</v>
      </c>
      <c r="F4701" s="23" t="s">
        <v>12410</v>
      </c>
      <c r="G4701" s="23" t="s">
        <v>75</v>
      </c>
      <c r="H4701" s="24">
        <v>299</v>
      </c>
      <c r="I4701" s="24">
        <v>0</v>
      </c>
      <c r="J4701" s="24">
        <v>0</v>
      </c>
      <c r="K4701" s="24">
        <v>299</v>
      </c>
      <c r="L4701" s="38">
        <v>46292</v>
      </c>
      <c r="M4701" s="23" t="s">
        <v>226</v>
      </c>
      <c r="N4701" s="23" t="str">
        <f>IF(COUNTIF($A$2:A4701,A4701)&gt;1,"DUP","OK")</f>
        <v>OK</v>
      </c>
      <c r="O4701" s="23" t="str">
        <f t="shared" si="220"/>
        <v>ORD26005028</v>
      </c>
      <c r="P4701" s="23" t="str">
        <f t="shared" si="221"/>
        <v>Sep</v>
      </c>
      <c r="Q4701" s="23" t="str">
        <f>IF(F4701="CAPTURE",IF(COUNTIF(orders!$A:$A,O4701)&gt;0,"Yes","NO ORDER"),"")</f>
        <v>Yes</v>
      </c>
    </row>
    <row r="4702" spans="1:17" ht="15" customHeight="1" x14ac:dyDescent="0.3">
      <c r="A4702" s="23" t="s">
        <v>17828</v>
      </c>
      <c r="B4702" s="23"/>
      <c r="C4702" s="23" t="s">
        <v>10616</v>
      </c>
      <c r="D4702" s="23" t="str">
        <f t="shared" si="219"/>
        <v>ORD26005085</v>
      </c>
      <c r="E4702" s="38">
        <v>46290</v>
      </c>
      <c r="F4702" s="23" t="s">
        <v>12410</v>
      </c>
      <c r="G4702" s="23" t="s">
        <v>75</v>
      </c>
      <c r="H4702" s="24">
        <v>10998</v>
      </c>
      <c r="I4702" s="24">
        <v>32.99</v>
      </c>
      <c r="J4702" s="24">
        <v>5.94</v>
      </c>
      <c r="K4702" s="24">
        <v>10959.07</v>
      </c>
      <c r="L4702" s="38">
        <v>46292</v>
      </c>
      <c r="M4702" s="23" t="s">
        <v>226</v>
      </c>
      <c r="N4702" s="23" t="str">
        <f>IF(COUNTIF($A$2:A4702,A4702)&gt;1,"DUP","OK")</f>
        <v>OK</v>
      </c>
      <c r="O4702" s="23" t="str">
        <f t="shared" si="220"/>
        <v>ORD26005085</v>
      </c>
      <c r="P4702" s="23" t="str">
        <f t="shared" si="221"/>
        <v>Sep</v>
      </c>
      <c r="Q4702" s="23" t="str">
        <f>IF(F4702="CAPTURE",IF(COUNTIF(orders!$A:$A,O4702)&gt;0,"Yes","NO ORDER"),"")</f>
        <v>Yes</v>
      </c>
    </row>
    <row r="4703" spans="1:17" ht="15" customHeight="1" x14ac:dyDescent="0.3">
      <c r="A4703" s="23" t="s">
        <v>17829</v>
      </c>
      <c r="B4703" s="23"/>
      <c r="C4703" s="23" t="s">
        <v>10635</v>
      </c>
      <c r="D4703" s="23" t="str">
        <f t="shared" si="219"/>
        <v>ORD26005095</v>
      </c>
      <c r="E4703" s="38">
        <v>46290</v>
      </c>
      <c r="F4703" s="23" t="s">
        <v>12410</v>
      </c>
      <c r="G4703" s="23" t="s">
        <v>77</v>
      </c>
      <c r="H4703" s="24">
        <v>14497</v>
      </c>
      <c r="I4703" s="24">
        <v>246.45</v>
      </c>
      <c r="J4703" s="24">
        <v>44.36</v>
      </c>
      <c r="K4703" s="24">
        <v>14206.19</v>
      </c>
      <c r="L4703" s="38">
        <v>46292</v>
      </c>
      <c r="M4703" s="23" t="s">
        <v>226</v>
      </c>
      <c r="N4703" s="23" t="str">
        <f>IF(COUNTIF($A$2:A4703,A4703)&gt;1,"DUP","OK")</f>
        <v>OK</v>
      </c>
      <c r="O4703" s="23" t="str">
        <f t="shared" si="220"/>
        <v>ORD26005095</v>
      </c>
      <c r="P4703" s="23" t="str">
        <f t="shared" si="221"/>
        <v>Sep</v>
      </c>
      <c r="Q4703" s="23" t="str">
        <f>IF(F4703="CAPTURE",IF(COUNTIF(orders!$A:$A,O4703)&gt;0,"Yes","NO ORDER"),"")</f>
        <v>Yes</v>
      </c>
    </row>
    <row r="4704" spans="1:17" ht="15" customHeight="1" x14ac:dyDescent="0.3">
      <c r="A4704" s="23" t="s">
        <v>17830</v>
      </c>
      <c r="B4704" s="23"/>
      <c r="C4704" s="23" t="s">
        <v>10753</v>
      </c>
      <c r="D4704" s="23" t="str">
        <f t="shared" si="219"/>
        <v>ORD26005156</v>
      </c>
      <c r="E4704" s="38">
        <v>46290</v>
      </c>
      <c r="F4704" s="23" t="s">
        <v>12410</v>
      </c>
      <c r="G4704" s="23" t="s">
        <v>75</v>
      </c>
      <c r="H4704" s="24">
        <v>11597</v>
      </c>
      <c r="I4704" s="24">
        <v>34.79</v>
      </c>
      <c r="J4704" s="24">
        <v>6.26</v>
      </c>
      <c r="K4704" s="24">
        <v>11555.95</v>
      </c>
      <c r="L4704" s="38">
        <v>46292</v>
      </c>
      <c r="M4704" s="23" t="s">
        <v>226</v>
      </c>
      <c r="N4704" s="23" t="str">
        <f>IF(COUNTIF($A$2:A4704,A4704)&gt;1,"DUP","OK")</f>
        <v>OK</v>
      </c>
      <c r="O4704" s="23" t="str">
        <f t="shared" si="220"/>
        <v>ORD26005156</v>
      </c>
      <c r="P4704" s="23" t="str">
        <f t="shared" si="221"/>
        <v>Sep</v>
      </c>
      <c r="Q4704" s="23" t="str">
        <f>IF(F4704="CAPTURE",IF(COUNTIF(orders!$A:$A,O4704)&gt;0,"Yes","NO ORDER"),"")</f>
        <v>Yes</v>
      </c>
    </row>
    <row r="4705" spans="1:17" ht="15" customHeight="1" x14ac:dyDescent="0.3">
      <c r="A4705" s="23" t="s">
        <v>17831</v>
      </c>
      <c r="B4705" s="23"/>
      <c r="C4705" s="23" t="s">
        <v>10771</v>
      </c>
      <c r="D4705" s="23" t="str">
        <f t="shared" si="219"/>
        <v>ORD26005166</v>
      </c>
      <c r="E4705" s="38">
        <v>46290</v>
      </c>
      <c r="F4705" s="23" t="s">
        <v>12410</v>
      </c>
      <c r="G4705" s="23" t="s">
        <v>79</v>
      </c>
      <c r="H4705" s="24">
        <v>1799</v>
      </c>
      <c r="I4705" s="24">
        <v>32.380000000000003</v>
      </c>
      <c r="J4705" s="24">
        <v>5.83</v>
      </c>
      <c r="K4705" s="24">
        <v>1760.79</v>
      </c>
      <c r="L4705" s="38">
        <v>46292</v>
      </c>
      <c r="M4705" s="23" t="s">
        <v>226</v>
      </c>
      <c r="N4705" s="23" t="str">
        <f>IF(COUNTIF($A$2:A4705,A4705)&gt;1,"DUP","OK")</f>
        <v>OK</v>
      </c>
      <c r="O4705" s="23" t="str">
        <f t="shared" si="220"/>
        <v>ORD26005166</v>
      </c>
      <c r="P4705" s="23" t="str">
        <f t="shared" si="221"/>
        <v>Sep</v>
      </c>
      <c r="Q4705" s="23" t="str">
        <f>IF(F4705="CAPTURE",IF(COUNTIF(orders!$A:$A,O4705)&gt;0,"Yes","NO ORDER"),"")</f>
        <v>Yes</v>
      </c>
    </row>
    <row r="4706" spans="1:17" ht="15" customHeight="1" x14ac:dyDescent="0.3">
      <c r="A4706" s="23" t="s">
        <v>17832</v>
      </c>
      <c r="B4706" s="23"/>
      <c r="C4706" s="23" t="s">
        <v>10773</v>
      </c>
      <c r="D4706" s="23" t="str">
        <f t="shared" si="219"/>
        <v>ORD26005167</v>
      </c>
      <c r="E4706" s="38">
        <v>46290</v>
      </c>
      <c r="F4706" s="23" t="s">
        <v>12410</v>
      </c>
      <c r="G4706" s="23" t="s">
        <v>81</v>
      </c>
      <c r="H4706" s="24">
        <v>1098</v>
      </c>
      <c r="I4706" s="24">
        <v>16.47</v>
      </c>
      <c r="J4706" s="24">
        <v>2.96</v>
      </c>
      <c r="K4706" s="24">
        <v>1078.57</v>
      </c>
      <c r="L4706" s="38">
        <v>46292</v>
      </c>
      <c r="M4706" s="23" t="s">
        <v>226</v>
      </c>
      <c r="N4706" s="23" t="str">
        <f>IF(COUNTIF($A$2:A4706,A4706)&gt;1,"DUP","OK")</f>
        <v>OK</v>
      </c>
      <c r="O4706" s="23" t="str">
        <f t="shared" si="220"/>
        <v>ORD26005167</v>
      </c>
      <c r="P4706" s="23" t="str">
        <f t="shared" si="221"/>
        <v>Sep</v>
      </c>
      <c r="Q4706" s="23" t="str">
        <f>IF(F4706="CAPTURE",IF(COUNTIF(orders!$A:$A,O4706)&gt;0,"Yes","NO ORDER"),"")</f>
        <v>Yes</v>
      </c>
    </row>
    <row r="4707" spans="1:17" ht="15" customHeight="1" x14ac:dyDescent="0.3">
      <c r="A4707" s="23" t="s">
        <v>17833</v>
      </c>
      <c r="B4707" s="23"/>
      <c r="C4707" s="23" t="s">
        <v>10859</v>
      </c>
      <c r="D4707" s="23" t="str">
        <f t="shared" si="219"/>
        <v>ORD26005210</v>
      </c>
      <c r="E4707" s="38">
        <v>46290</v>
      </c>
      <c r="F4707" s="23" t="s">
        <v>12410</v>
      </c>
      <c r="G4707" s="23" t="s">
        <v>75</v>
      </c>
      <c r="H4707" s="24">
        <v>4597</v>
      </c>
      <c r="I4707" s="24">
        <v>13.79</v>
      </c>
      <c r="J4707" s="24">
        <v>2.48</v>
      </c>
      <c r="K4707" s="24">
        <v>4580.7299999999996</v>
      </c>
      <c r="L4707" s="38">
        <v>46292</v>
      </c>
      <c r="M4707" s="23" t="s">
        <v>226</v>
      </c>
      <c r="N4707" s="23" t="str">
        <f>IF(COUNTIF($A$2:A4707,A4707)&gt;1,"DUP","OK")</f>
        <v>OK</v>
      </c>
      <c r="O4707" s="23" t="str">
        <f t="shared" si="220"/>
        <v>ORD26005210</v>
      </c>
      <c r="P4707" s="23" t="str">
        <f t="shared" si="221"/>
        <v>Sep</v>
      </c>
      <c r="Q4707" s="23" t="str">
        <f>IF(F4707="CAPTURE",IF(COUNTIF(orders!$A:$A,O4707)&gt;0,"Yes","NO ORDER"),"")</f>
        <v>Yes</v>
      </c>
    </row>
    <row r="4708" spans="1:17" ht="15" customHeight="1" x14ac:dyDescent="0.3">
      <c r="A4708" s="23" t="s">
        <v>17834</v>
      </c>
      <c r="B4708" s="23"/>
      <c r="C4708" s="23" t="s">
        <v>17835</v>
      </c>
      <c r="D4708" s="23" t="str">
        <f t="shared" si="219"/>
        <v>ORD26005217</v>
      </c>
      <c r="E4708" s="38">
        <v>46290</v>
      </c>
      <c r="F4708" s="23" t="s">
        <v>12410</v>
      </c>
      <c r="G4708" s="23" t="s">
        <v>81</v>
      </c>
      <c r="H4708" s="24">
        <v>5297</v>
      </c>
      <c r="I4708" s="24">
        <v>63.56</v>
      </c>
      <c r="J4708" s="24">
        <v>11.44</v>
      </c>
      <c r="K4708" s="24">
        <v>5222</v>
      </c>
      <c r="L4708" s="38">
        <v>46292</v>
      </c>
      <c r="M4708" s="23" t="s">
        <v>226</v>
      </c>
      <c r="N4708" s="23" t="str">
        <f>IF(COUNTIF($A$2:A4708,A4708)&gt;1,"DUP","OK")</f>
        <v>OK</v>
      </c>
      <c r="O4708" s="23" t="str">
        <f t="shared" si="220"/>
        <v>ORD26005217</v>
      </c>
      <c r="P4708" s="23" t="str">
        <f t="shared" si="221"/>
        <v>Sep</v>
      </c>
      <c r="Q4708" s="23" t="str">
        <f>IF(F4708="CAPTURE",IF(COUNTIF(orders!$A:$A,O4708)&gt;0,"Yes","NO ORDER"),"")</f>
        <v>Yes</v>
      </c>
    </row>
    <row r="4709" spans="1:17" ht="15" customHeight="1" x14ac:dyDescent="0.3">
      <c r="A4709" s="23" t="s">
        <v>17836</v>
      </c>
      <c r="B4709" s="23"/>
      <c r="C4709" s="23" t="s">
        <v>17837</v>
      </c>
      <c r="D4709" s="23" t="str">
        <f t="shared" si="219"/>
        <v>ORD26005232</v>
      </c>
      <c r="E4709" s="38">
        <v>46290</v>
      </c>
      <c r="F4709" s="23" t="s">
        <v>12410</v>
      </c>
      <c r="G4709" s="23" t="s">
        <v>75</v>
      </c>
      <c r="H4709" s="24">
        <v>999</v>
      </c>
      <c r="I4709" s="24">
        <v>0</v>
      </c>
      <c r="J4709" s="24">
        <v>0</v>
      </c>
      <c r="K4709" s="24">
        <v>999</v>
      </c>
      <c r="L4709" s="38">
        <v>46292</v>
      </c>
      <c r="M4709" s="23" t="s">
        <v>226</v>
      </c>
      <c r="N4709" s="23" t="str">
        <f>IF(COUNTIF($A$2:A4709,A4709)&gt;1,"DUP","OK")</f>
        <v>OK</v>
      </c>
      <c r="O4709" s="23" t="str">
        <f t="shared" si="220"/>
        <v>ORD26005232</v>
      </c>
      <c r="P4709" s="23" t="str">
        <f t="shared" si="221"/>
        <v>Sep</v>
      </c>
      <c r="Q4709" s="23" t="str">
        <f>IF(F4709="CAPTURE",IF(COUNTIF(orders!$A:$A,O4709)&gt;0,"Yes","NO ORDER"),"")</f>
        <v>Yes</v>
      </c>
    </row>
    <row r="4710" spans="1:17" ht="15" customHeight="1" x14ac:dyDescent="0.3">
      <c r="A4710" s="23" t="s">
        <v>17838</v>
      </c>
      <c r="B4710" s="23"/>
      <c r="C4710" s="23" t="s">
        <v>17839</v>
      </c>
      <c r="D4710" s="23" t="str">
        <f t="shared" si="219"/>
        <v>ORD26005238</v>
      </c>
      <c r="E4710" s="38">
        <v>46290</v>
      </c>
      <c r="F4710" s="23" t="s">
        <v>12410</v>
      </c>
      <c r="G4710" s="23" t="s">
        <v>79</v>
      </c>
      <c r="H4710" s="24">
        <v>3499</v>
      </c>
      <c r="I4710" s="24">
        <v>55.98</v>
      </c>
      <c r="J4710" s="24">
        <v>10.08</v>
      </c>
      <c r="K4710" s="24">
        <v>3432.94</v>
      </c>
      <c r="L4710" s="38">
        <v>46292</v>
      </c>
      <c r="M4710" s="23" t="s">
        <v>226</v>
      </c>
      <c r="N4710" s="23" t="str">
        <f>IF(COUNTIF($A$2:A4710,A4710)&gt;1,"DUP","OK")</f>
        <v>OK</v>
      </c>
      <c r="O4710" s="23" t="str">
        <f t="shared" si="220"/>
        <v>ORD26005238</v>
      </c>
      <c r="P4710" s="23" t="str">
        <f t="shared" si="221"/>
        <v>Sep</v>
      </c>
      <c r="Q4710" s="23" t="str">
        <f>IF(F4710="CAPTURE",IF(COUNTIF(orders!$A:$A,O4710)&gt;0,"Yes","NO ORDER"),"")</f>
        <v>Yes</v>
      </c>
    </row>
    <row r="4711" spans="1:17" ht="15" customHeight="1" x14ac:dyDescent="0.3">
      <c r="A4711" s="23" t="s">
        <v>17840</v>
      </c>
      <c r="B4711" s="23"/>
      <c r="C4711" s="23" t="s">
        <v>10972</v>
      </c>
      <c r="D4711" s="23" t="str">
        <f t="shared" si="219"/>
        <v>ORD26005267</v>
      </c>
      <c r="E4711" s="38">
        <v>46290</v>
      </c>
      <c r="F4711" s="23" t="s">
        <v>12410</v>
      </c>
      <c r="G4711" s="23" t="s">
        <v>75</v>
      </c>
      <c r="H4711" s="24">
        <v>7999</v>
      </c>
      <c r="I4711" s="24">
        <v>24</v>
      </c>
      <c r="J4711" s="24">
        <v>4.32</v>
      </c>
      <c r="K4711" s="24">
        <v>7970.68</v>
      </c>
      <c r="L4711" s="38">
        <v>46292</v>
      </c>
      <c r="M4711" s="23" t="s">
        <v>226</v>
      </c>
      <c r="N4711" s="23" t="str">
        <f>IF(COUNTIF($A$2:A4711,A4711)&gt;1,"DUP","OK")</f>
        <v>OK</v>
      </c>
      <c r="O4711" s="23" t="str">
        <f t="shared" si="220"/>
        <v>ORD26005267</v>
      </c>
      <c r="P4711" s="23" t="str">
        <f t="shared" si="221"/>
        <v>Sep</v>
      </c>
      <c r="Q4711" s="23" t="str">
        <f>IF(F4711="CAPTURE",IF(COUNTIF(orders!$A:$A,O4711)&gt;0,"Yes","NO ORDER"),"")</f>
        <v>Yes</v>
      </c>
    </row>
    <row r="4712" spans="1:17" ht="15" customHeight="1" x14ac:dyDescent="0.3">
      <c r="A4712" s="23" t="s">
        <v>17841</v>
      </c>
      <c r="B4712" s="23"/>
      <c r="C4712" s="23" t="s">
        <v>17842</v>
      </c>
      <c r="D4712" s="23" t="str">
        <f t="shared" si="219"/>
        <v>ORD26005292</v>
      </c>
      <c r="E4712" s="38">
        <v>46290</v>
      </c>
      <c r="F4712" s="23" t="s">
        <v>12410</v>
      </c>
      <c r="G4712" s="23" t="s">
        <v>77</v>
      </c>
      <c r="H4712" s="24">
        <v>299</v>
      </c>
      <c r="I4712" s="24">
        <v>5.68</v>
      </c>
      <c r="J4712" s="24">
        <v>1.02</v>
      </c>
      <c r="K4712" s="24">
        <v>292.3</v>
      </c>
      <c r="L4712" s="38">
        <v>46292</v>
      </c>
      <c r="M4712" s="23" t="s">
        <v>226</v>
      </c>
      <c r="N4712" s="23" t="str">
        <f>IF(COUNTIF($A$2:A4712,A4712)&gt;1,"DUP","OK")</f>
        <v>OK</v>
      </c>
      <c r="O4712" s="23" t="str">
        <f t="shared" si="220"/>
        <v>ORD26005292</v>
      </c>
      <c r="P4712" s="23" t="str">
        <f t="shared" si="221"/>
        <v>Sep</v>
      </c>
      <c r="Q4712" s="23" t="str">
        <f>IF(F4712="CAPTURE",IF(COUNTIF(orders!$A:$A,O4712)&gt;0,"Yes","NO ORDER"),"")</f>
        <v>Yes</v>
      </c>
    </row>
    <row r="4713" spans="1:17" ht="15" customHeight="1" x14ac:dyDescent="0.3">
      <c r="A4713" s="23" t="s">
        <v>17843</v>
      </c>
      <c r="B4713" s="23"/>
      <c r="C4713" s="23" t="s">
        <v>11051</v>
      </c>
      <c r="D4713" s="23" t="str">
        <f t="shared" si="219"/>
        <v>ORD26005309</v>
      </c>
      <c r="E4713" s="38">
        <v>46290</v>
      </c>
      <c r="F4713" s="23" t="s">
        <v>12410</v>
      </c>
      <c r="G4713" s="23" t="s">
        <v>75</v>
      </c>
      <c r="H4713" s="24">
        <v>1799</v>
      </c>
      <c r="I4713" s="24">
        <v>0</v>
      </c>
      <c r="J4713" s="24">
        <v>0</v>
      </c>
      <c r="K4713" s="24">
        <v>1799</v>
      </c>
      <c r="L4713" s="38">
        <v>46292</v>
      </c>
      <c r="M4713" s="23" t="s">
        <v>226</v>
      </c>
      <c r="N4713" s="23" t="str">
        <f>IF(COUNTIF($A$2:A4713,A4713)&gt;1,"DUP","OK")</f>
        <v>OK</v>
      </c>
      <c r="O4713" s="23" t="str">
        <f t="shared" si="220"/>
        <v>ORD26005309</v>
      </c>
      <c r="P4713" s="23" t="str">
        <f t="shared" si="221"/>
        <v>Sep</v>
      </c>
      <c r="Q4713" s="23" t="str">
        <f>IF(F4713="CAPTURE",IF(COUNTIF(orders!$A:$A,O4713)&gt;0,"Yes","NO ORDER"),"")</f>
        <v>Yes</v>
      </c>
    </row>
    <row r="4714" spans="1:17" ht="15" customHeight="1" x14ac:dyDescent="0.3">
      <c r="A4714" s="23" t="s">
        <v>17844</v>
      </c>
      <c r="B4714" s="23"/>
      <c r="C4714" s="23" t="s">
        <v>11295</v>
      </c>
      <c r="D4714" s="23" t="str">
        <f t="shared" si="219"/>
        <v>ORD26005432</v>
      </c>
      <c r="E4714" s="38">
        <v>46290</v>
      </c>
      <c r="F4714" s="23" t="s">
        <v>12410</v>
      </c>
      <c r="G4714" s="23" t="s">
        <v>75</v>
      </c>
      <c r="H4714" s="24">
        <v>8498</v>
      </c>
      <c r="I4714" s="24">
        <v>25.49</v>
      </c>
      <c r="J4714" s="24">
        <v>4.59</v>
      </c>
      <c r="K4714" s="24">
        <v>8467.92</v>
      </c>
      <c r="L4714" s="38">
        <v>46292</v>
      </c>
      <c r="M4714" s="23" t="s">
        <v>226</v>
      </c>
      <c r="N4714" s="23" t="str">
        <f>IF(COUNTIF($A$2:A4714,A4714)&gt;1,"DUP","OK")</f>
        <v>OK</v>
      </c>
      <c r="O4714" s="23" t="str">
        <f t="shared" si="220"/>
        <v>ORD26005432</v>
      </c>
      <c r="P4714" s="23" t="str">
        <f t="shared" si="221"/>
        <v>Sep</v>
      </c>
      <c r="Q4714" s="23" t="str">
        <f>IF(F4714="CAPTURE",IF(COUNTIF(orders!$A:$A,O4714)&gt;0,"Yes","NO ORDER"),"")</f>
        <v>Yes</v>
      </c>
    </row>
    <row r="4715" spans="1:17" ht="15" customHeight="1" x14ac:dyDescent="0.3">
      <c r="A4715" s="23" t="s">
        <v>17845</v>
      </c>
      <c r="B4715" s="23"/>
      <c r="C4715" s="23" t="s">
        <v>11332</v>
      </c>
      <c r="D4715" s="23" t="str">
        <f t="shared" si="219"/>
        <v>ORD26005451</v>
      </c>
      <c r="E4715" s="38">
        <v>46290</v>
      </c>
      <c r="F4715" s="23" t="s">
        <v>12410</v>
      </c>
      <c r="G4715" s="23" t="s">
        <v>79</v>
      </c>
      <c r="H4715" s="24">
        <v>2798</v>
      </c>
      <c r="I4715" s="24">
        <v>44.77</v>
      </c>
      <c r="J4715" s="24">
        <v>8.06</v>
      </c>
      <c r="K4715" s="24">
        <v>2745.17</v>
      </c>
      <c r="L4715" s="38">
        <v>46292</v>
      </c>
      <c r="M4715" s="23" t="s">
        <v>226</v>
      </c>
      <c r="N4715" s="23" t="str">
        <f>IF(COUNTIF($A$2:A4715,A4715)&gt;1,"DUP","OK")</f>
        <v>OK</v>
      </c>
      <c r="O4715" s="23" t="str">
        <f t="shared" si="220"/>
        <v>ORD26005451</v>
      </c>
      <c r="P4715" s="23" t="str">
        <f t="shared" si="221"/>
        <v>Sep</v>
      </c>
      <c r="Q4715" s="23" t="str">
        <f>IF(F4715="CAPTURE",IF(COUNTIF(orders!$A:$A,O4715)&gt;0,"Yes","NO ORDER"),"")</f>
        <v>Yes</v>
      </c>
    </row>
    <row r="4716" spans="1:17" ht="15" customHeight="1" x14ac:dyDescent="0.3">
      <c r="A4716" s="23" t="s">
        <v>17846</v>
      </c>
      <c r="B4716" s="23"/>
      <c r="C4716" s="23" t="s">
        <v>17847</v>
      </c>
      <c r="D4716" s="23" t="str">
        <f t="shared" si="219"/>
        <v>ORD26005473</v>
      </c>
      <c r="E4716" s="38">
        <v>46290</v>
      </c>
      <c r="F4716" s="23" t="s">
        <v>12410</v>
      </c>
      <c r="G4716" s="23" t="s">
        <v>75</v>
      </c>
      <c r="H4716" s="24">
        <v>1799</v>
      </c>
      <c r="I4716" s="24">
        <v>0</v>
      </c>
      <c r="J4716" s="24">
        <v>0</v>
      </c>
      <c r="K4716" s="24">
        <v>1799</v>
      </c>
      <c r="L4716" s="38">
        <v>46292</v>
      </c>
      <c r="M4716" s="23" t="s">
        <v>226</v>
      </c>
      <c r="N4716" s="23" t="str">
        <f>IF(COUNTIF($A$2:A4716,A4716)&gt;1,"DUP","OK")</f>
        <v>OK</v>
      </c>
      <c r="O4716" s="23" t="str">
        <f t="shared" si="220"/>
        <v>ORD26005473</v>
      </c>
      <c r="P4716" s="23" t="str">
        <f t="shared" si="221"/>
        <v>Sep</v>
      </c>
      <c r="Q4716" s="23" t="str">
        <f>IF(F4716="CAPTURE",IF(COUNTIF(orders!$A:$A,O4716)&gt;0,"Yes","NO ORDER"),"")</f>
        <v>Yes</v>
      </c>
    </row>
    <row r="4717" spans="1:17" ht="15" customHeight="1" x14ac:dyDescent="0.3">
      <c r="A4717" s="23" t="s">
        <v>17848</v>
      </c>
      <c r="B4717" s="23"/>
      <c r="C4717" s="23" t="s">
        <v>11395</v>
      </c>
      <c r="D4717" s="23" t="str">
        <f t="shared" si="219"/>
        <v>ORD26005483</v>
      </c>
      <c r="E4717" s="38">
        <v>46290</v>
      </c>
      <c r="F4717" s="23" t="s">
        <v>12410</v>
      </c>
      <c r="G4717" s="23" t="s">
        <v>77</v>
      </c>
      <c r="H4717" s="24">
        <v>2598</v>
      </c>
      <c r="I4717" s="24">
        <v>62.35</v>
      </c>
      <c r="J4717" s="24">
        <v>11.22</v>
      </c>
      <c r="K4717" s="24">
        <v>2524.4299999999998</v>
      </c>
      <c r="L4717" s="38">
        <v>46292</v>
      </c>
      <c r="M4717" s="23" t="s">
        <v>226</v>
      </c>
      <c r="N4717" s="23" t="str">
        <f>IF(COUNTIF($A$2:A4717,A4717)&gt;1,"DUP","OK")</f>
        <v>OK</v>
      </c>
      <c r="O4717" s="23" t="str">
        <f t="shared" si="220"/>
        <v>ORD26005483</v>
      </c>
      <c r="P4717" s="23" t="str">
        <f t="shared" si="221"/>
        <v>Sep</v>
      </c>
      <c r="Q4717" s="23" t="str">
        <f>IF(F4717="CAPTURE",IF(COUNTIF(orders!$A:$A,O4717)&gt;0,"Yes","NO ORDER"),"")</f>
        <v>Yes</v>
      </c>
    </row>
    <row r="4718" spans="1:17" ht="15" customHeight="1" x14ac:dyDescent="0.3">
      <c r="A4718" s="23" t="s">
        <v>17849</v>
      </c>
      <c r="B4718" s="23"/>
      <c r="C4718" s="23" t="s">
        <v>17850</v>
      </c>
      <c r="D4718" s="23" t="str">
        <f t="shared" si="219"/>
        <v>ORD26005521</v>
      </c>
      <c r="E4718" s="38">
        <v>46290</v>
      </c>
      <c r="F4718" s="23" t="s">
        <v>12410</v>
      </c>
      <c r="G4718" s="23" t="s">
        <v>75</v>
      </c>
      <c r="H4718" s="24">
        <v>3897</v>
      </c>
      <c r="I4718" s="24">
        <v>11.69</v>
      </c>
      <c r="J4718" s="24">
        <v>2.1</v>
      </c>
      <c r="K4718" s="24">
        <v>3883.21</v>
      </c>
      <c r="L4718" s="38">
        <v>46292</v>
      </c>
      <c r="M4718" s="23" t="s">
        <v>226</v>
      </c>
      <c r="N4718" s="23" t="str">
        <f>IF(COUNTIF($A$2:A4718,A4718)&gt;1,"DUP","OK")</f>
        <v>OK</v>
      </c>
      <c r="O4718" s="23" t="str">
        <f t="shared" si="220"/>
        <v>ORD26005521</v>
      </c>
      <c r="P4718" s="23" t="str">
        <f t="shared" si="221"/>
        <v>Sep</v>
      </c>
      <c r="Q4718" s="23" t="str">
        <f>IF(F4718="CAPTURE",IF(COUNTIF(orders!$A:$A,O4718)&gt;0,"Yes","NO ORDER"),"")</f>
        <v>Yes</v>
      </c>
    </row>
    <row r="4719" spans="1:17" ht="15" customHeight="1" x14ac:dyDescent="0.3">
      <c r="A4719" s="23" t="s">
        <v>17851</v>
      </c>
      <c r="B4719" s="23"/>
      <c r="C4719" s="23" t="s">
        <v>11594</v>
      </c>
      <c r="D4719" s="23" t="str">
        <f t="shared" si="219"/>
        <v>ORD26005586</v>
      </c>
      <c r="E4719" s="38">
        <v>46290</v>
      </c>
      <c r="F4719" s="23" t="s">
        <v>12410</v>
      </c>
      <c r="G4719" s="23" t="s">
        <v>75</v>
      </c>
      <c r="H4719" s="24">
        <v>3798</v>
      </c>
      <c r="I4719" s="24">
        <v>11.39</v>
      </c>
      <c r="J4719" s="24">
        <v>2.0499999999999998</v>
      </c>
      <c r="K4719" s="24">
        <v>3784.56</v>
      </c>
      <c r="L4719" s="38">
        <v>46292</v>
      </c>
      <c r="M4719" s="23" t="s">
        <v>226</v>
      </c>
      <c r="N4719" s="23" t="str">
        <f>IF(COUNTIF($A$2:A4719,A4719)&gt;1,"DUP","OK")</f>
        <v>OK</v>
      </c>
      <c r="O4719" s="23" t="str">
        <f t="shared" si="220"/>
        <v>ORD26005586</v>
      </c>
      <c r="P4719" s="23" t="str">
        <f t="shared" si="221"/>
        <v>Sep</v>
      </c>
      <c r="Q4719" s="23" t="str">
        <f>IF(F4719="CAPTURE",IF(COUNTIF(orders!$A:$A,O4719)&gt;0,"Yes","NO ORDER"),"")</f>
        <v>Yes</v>
      </c>
    </row>
    <row r="4720" spans="1:17" ht="15" customHeight="1" x14ac:dyDescent="0.3">
      <c r="A4720" s="23" t="s">
        <v>17852</v>
      </c>
      <c r="B4720" s="23"/>
      <c r="C4720" s="23" t="s">
        <v>11670</v>
      </c>
      <c r="D4720" s="23" t="str">
        <f t="shared" si="219"/>
        <v>ORD26005624</v>
      </c>
      <c r="E4720" s="38">
        <v>46290</v>
      </c>
      <c r="F4720" s="23" t="s">
        <v>12410</v>
      </c>
      <c r="G4720" s="23" t="s">
        <v>75</v>
      </c>
      <c r="H4720" s="24">
        <v>299</v>
      </c>
      <c r="I4720" s="24">
        <v>0</v>
      </c>
      <c r="J4720" s="24">
        <v>0</v>
      </c>
      <c r="K4720" s="24">
        <v>299</v>
      </c>
      <c r="L4720" s="38">
        <v>46292</v>
      </c>
      <c r="M4720" s="23" t="s">
        <v>226</v>
      </c>
      <c r="N4720" s="23" t="str">
        <f>IF(COUNTIF($A$2:A4720,A4720)&gt;1,"DUP","OK")</f>
        <v>OK</v>
      </c>
      <c r="O4720" s="23" t="str">
        <f t="shared" si="220"/>
        <v>ORD26005624</v>
      </c>
      <c r="P4720" s="23" t="str">
        <f t="shared" si="221"/>
        <v>Sep</v>
      </c>
      <c r="Q4720" s="23" t="str">
        <f>IF(F4720="CAPTURE",IF(COUNTIF(orders!$A:$A,O4720)&gt;0,"Yes","NO ORDER"),"")</f>
        <v>Yes</v>
      </c>
    </row>
    <row r="4721" spans="1:17" ht="15" customHeight="1" x14ac:dyDescent="0.3">
      <c r="A4721" s="23" t="s">
        <v>17853</v>
      </c>
      <c r="B4721" s="23"/>
      <c r="C4721" s="23" t="s">
        <v>17854</v>
      </c>
      <c r="D4721" s="23" t="str">
        <f t="shared" si="219"/>
        <v>ORD26005627</v>
      </c>
      <c r="E4721" s="38">
        <v>46290</v>
      </c>
      <c r="F4721" s="23" t="s">
        <v>12410</v>
      </c>
      <c r="G4721" s="23" t="s">
        <v>77</v>
      </c>
      <c r="H4721" s="24">
        <v>4498</v>
      </c>
      <c r="I4721" s="24">
        <v>76.47</v>
      </c>
      <c r="J4721" s="24">
        <v>13.76</v>
      </c>
      <c r="K4721" s="24">
        <v>4407.7700000000004</v>
      </c>
      <c r="L4721" s="38">
        <v>46292</v>
      </c>
      <c r="M4721" s="23" t="s">
        <v>226</v>
      </c>
      <c r="N4721" s="23" t="str">
        <f>IF(COUNTIF($A$2:A4721,A4721)&gt;1,"DUP","OK")</f>
        <v>OK</v>
      </c>
      <c r="O4721" s="23" t="str">
        <f t="shared" si="220"/>
        <v>ORD26005627</v>
      </c>
      <c r="P4721" s="23" t="str">
        <f t="shared" si="221"/>
        <v>Sep</v>
      </c>
      <c r="Q4721" s="23" t="str">
        <f>IF(F4721="CAPTURE",IF(COUNTIF(orders!$A:$A,O4721)&gt;0,"Yes","NO ORDER"),"")</f>
        <v>Yes</v>
      </c>
    </row>
    <row r="4722" spans="1:17" ht="15" customHeight="1" x14ac:dyDescent="0.3">
      <c r="A4722" s="23" t="s">
        <v>17855</v>
      </c>
      <c r="B4722" s="23"/>
      <c r="C4722" s="23" t="s">
        <v>11714</v>
      </c>
      <c r="D4722" s="23" t="str">
        <f t="shared" si="219"/>
        <v>ORD26005646</v>
      </c>
      <c r="E4722" s="38">
        <v>46290</v>
      </c>
      <c r="F4722" s="23" t="s">
        <v>12410</v>
      </c>
      <c r="G4722" s="23" t="s">
        <v>75</v>
      </c>
      <c r="H4722" s="24">
        <v>1799</v>
      </c>
      <c r="I4722" s="24">
        <v>0</v>
      </c>
      <c r="J4722" s="24">
        <v>0</v>
      </c>
      <c r="K4722" s="24">
        <v>1799</v>
      </c>
      <c r="L4722" s="38">
        <v>46292</v>
      </c>
      <c r="M4722" s="23" t="s">
        <v>226</v>
      </c>
      <c r="N4722" s="23" t="str">
        <f>IF(COUNTIF($A$2:A4722,A4722)&gt;1,"DUP","OK")</f>
        <v>OK</v>
      </c>
      <c r="O4722" s="23" t="str">
        <f t="shared" si="220"/>
        <v>ORD26005646</v>
      </c>
      <c r="P4722" s="23" t="str">
        <f t="shared" si="221"/>
        <v>Sep</v>
      </c>
      <c r="Q4722" s="23" t="str">
        <f>IF(F4722="CAPTURE",IF(COUNTIF(orders!$A:$A,O4722)&gt;0,"Yes","NO ORDER"),"")</f>
        <v>Yes</v>
      </c>
    </row>
    <row r="4723" spans="1:17" ht="15" customHeight="1" x14ac:dyDescent="0.3">
      <c r="A4723" s="23" t="s">
        <v>17856</v>
      </c>
      <c r="B4723" s="23"/>
      <c r="C4723" s="23" t="s">
        <v>11734</v>
      </c>
      <c r="D4723" s="23" t="str">
        <f t="shared" si="219"/>
        <v>ORD26005657</v>
      </c>
      <c r="E4723" s="38">
        <v>46290</v>
      </c>
      <c r="F4723" s="23" t="s">
        <v>12410</v>
      </c>
      <c r="G4723" s="23" t="s">
        <v>77</v>
      </c>
      <c r="H4723" s="24">
        <v>12497</v>
      </c>
      <c r="I4723" s="24">
        <v>212.45</v>
      </c>
      <c r="J4723" s="24">
        <v>38.24</v>
      </c>
      <c r="K4723" s="24">
        <v>12246.31</v>
      </c>
      <c r="L4723" s="38">
        <v>46292</v>
      </c>
      <c r="M4723" s="23" t="s">
        <v>226</v>
      </c>
      <c r="N4723" s="23" t="str">
        <f>IF(COUNTIF($A$2:A4723,A4723)&gt;1,"DUP","OK")</f>
        <v>OK</v>
      </c>
      <c r="O4723" s="23" t="str">
        <f t="shared" si="220"/>
        <v>ORD26005657</v>
      </c>
      <c r="P4723" s="23" t="str">
        <f t="shared" si="221"/>
        <v>Sep</v>
      </c>
      <c r="Q4723" s="23" t="str">
        <f>IF(F4723="CAPTURE",IF(COUNTIF(orders!$A:$A,O4723)&gt;0,"Yes","NO ORDER"),"")</f>
        <v>Yes</v>
      </c>
    </row>
    <row r="4724" spans="1:17" ht="15" customHeight="1" x14ac:dyDescent="0.3">
      <c r="A4724" s="23" t="s">
        <v>17857</v>
      </c>
      <c r="B4724" s="23"/>
      <c r="C4724" s="23" t="s">
        <v>17858</v>
      </c>
      <c r="D4724" s="23" t="str">
        <f t="shared" si="219"/>
        <v>ORD26005659</v>
      </c>
      <c r="E4724" s="38">
        <v>46290</v>
      </c>
      <c r="F4724" s="23" t="s">
        <v>12410</v>
      </c>
      <c r="G4724" s="23" t="s">
        <v>75</v>
      </c>
      <c r="H4724" s="24">
        <v>8598</v>
      </c>
      <c r="I4724" s="24">
        <v>25.79</v>
      </c>
      <c r="J4724" s="24">
        <v>4.6399999999999997</v>
      </c>
      <c r="K4724" s="24">
        <v>8567.57</v>
      </c>
      <c r="L4724" s="38">
        <v>46292</v>
      </c>
      <c r="M4724" s="23" t="s">
        <v>226</v>
      </c>
      <c r="N4724" s="23" t="str">
        <f>IF(COUNTIF($A$2:A4724,A4724)&gt;1,"DUP","OK")</f>
        <v>OK</v>
      </c>
      <c r="O4724" s="23" t="str">
        <f t="shared" si="220"/>
        <v>ORD26005659</v>
      </c>
      <c r="P4724" s="23" t="str">
        <f t="shared" si="221"/>
        <v>Sep</v>
      </c>
      <c r="Q4724" s="23" t="str">
        <f>IF(F4724="CAPTURE",IF(COUNTIF(orders!$A:$A,O4724)&gt;0,"Yes","NO ORDER"),"")</f>
        <v>Yes</v>
      </c>
    </row>
    <row r="4725" spans="1:17" ht="15" customHeight="1" x14ac:dyDescent="0.3">
      <c r="A4725" s="23" t="s">
        <v>17859</v>
      </c>
      <c r="B4725" s="23"/>
      <c r="C4725" s="23" t="s">
        <v>11754</v>
      </c>
      <c r="D4725" s="23" t="str">
        <f t="shared" si="219"/>
        <v>ORD26005667</v>
      </c>
      <c r="E4725" s="38">
        <v>46290</v>
      </c>
      <c r="F4725" s="23" t="s">
        <v>12410</v>
      </c>
      <c r="G4725" s="23" t="s">
        <v>79</v>
      </c>
      <c r="H4725" s="24">
        <v>799</v>
      </c>
      <c r="I4725" s="24">
        <v>14.38</v>
      </c>
      <c r="J4725" s="24">
        <v>2.59</v>
      </c>
      <c r="K4725" s="24">
        <v>782.03</v>
      </c>
      <c r="L4725" s="38">
        <v>46292</v>
      </c>
      <c r="M4725" s="23" t="s">
        <v>226</v>
      </c>
      <c r="N4725" s="23" t="str">
        <f>IF(COUNTIF($A$2:A4725,A4725)&gt;1,"DUP","OK")</f>
        <v>OK</v>
      </c>
      <c r="O4725" s="23" t="str">
        <f t="shared" si="220"/>
        <v>ORD26005667</v>
      </c>
      <c r="P4725" s="23" t="str">
        <f t="shared" si="221"/>
        <v>Sep</v>
      </c>
      <c r="Q4725" s="23" t="str">
        <f>IF(F4725="CAPTURE",IF(COUNTIF(orders!$A:$A,O4725)&gt;0,"Yes","NO ORDER"),"")</f>
        <v>Yes</v>
      </c>
    </row>
    <row r="4726" spans="1:17" ht="15" customHeight="1" x14ac:dyDescent="0.3">
      <c r="A4726" s="23" t="s">
        <v>17860</v>
      </c>
      <c r="B4726" s="23"/>
      <c r="C4726" s="23" t="s">
        <v>11788</v>
      </c>
      <c r="D4726" s="23" t="str">
        <f t="shared" si="219"/>
        <v>ORD26005685</v>
      </c>
      <c r="E4726" s="38">
        <v>46290</v>
      </c>
      <c r="F4726" s="23" t="s">
        <v>12410</v>
      </c>
      <c r="G4726" s="23" t="s">
        <v>75</v>
      </c>
      <c r="H4726" s="24">
        <v>3998</v>
      </c>
      <c r="I4726" s="24">
        <v>11.99</v>
      </c>
      <c r="J4726" s="24">
        <v>2.16</v>
      </c>
      <c r="K4726" s="24">
        <v>3983.85</v>
      </c>
      <c r="L4726" s="38">
        <v>46292</v>
      </c>
      <c r="M4726" s="23" t="s">
        <v>226</v>
      </c>
      <c r="N4726" s="23" t="str">
        <f>IF(COUNTIF($A$2:A4726,A4726)&gt;1,"DUP","OK")</f>
        <v>OK</v>
      </c>
      <c r="O4726" s="23" t="str">
        <f t="shared" si="220"/>
        <v>ORD26005685</v>
      </c>
      <c r="P4726" s="23" t="str">
        <f t="shared" si="221"/>
        <v>Sep</v>
      </c>
      <c r="Q4726" s="23" t="str">
        <f>IF(F4726="CAPTURE",IF(COUNTIF(orders!$A:$A,O4726)&gt;0,"Yes","NO ORDER"),"")</f>
        <v>Yes</v>
      </c>
    </row>
    <row r="4727" spans="1:17" ht="15" customHeight="1" x14ac:dyDescent="0.3">
      <c r="A4727" s="23" t="s">
        <v>17861</v>
      </c>
      <c r="B4727" s="23"/>
      <c r="C4727" s="23" t="s">
        <v>11806</v>
      </c>
      <c r="D4727" s="23" t="str">
        <f t="shared" si="219"/>
        <v>ORD26005694</v>
      </c>
      <c r="E4727" s="38">
        <v>46290</v>
      </c>
      <c r="F4727" s="23" t="s">
        <v>12410</v>
      </c>
      <c r="G4727" s="23" t="s">
        <v>79</v>
      </c>
      <c r="H4727" s="24">
        <v>1499</v>
      </c>
      <c r="I4727" s="24">
        <v>26.98</v>
      </c>
      <c r="J4727" s="24">
        <v>4.8600000000000003</v>
      </c>
      <c r="K4727" s="24">
        <v>1467.16</v>
      </c>
      <c r="L4727" s="38">
        <v>46292</v>
      </c>
      <c r="M4727" s="23" t="s">
        <v>226</v>
      </c>
      <c r="N4727" s="23" t="str">
        <f>IF(COUNTIF($A$2:A4727,A4727)&gt;1,"DUP","OK")</f>
        <v>OK</v>
      </c>
      <c r="O4727" s="23" t="str">
        <f t="shared" si="220"/>
        <v>ORD26005694</v>
      </c>
      <c r="P4727" s="23" t="str">
        <f t="shared" si="221"/>
        <v>Sep</v>
      </c>
      <c r="Q4727" s="23" t="str">
        <f>IF(F4727="CAPTURE",IF(COUNTIF(orders!$A:$A,O4727)&gt;0,"Yes","NO ORDER"),"")</f>
        <v>Yes</v>
      </c>
    </row>
    <row r="4728" spans="1:17" ht="15" customHeight="1" x14ac:dyDescent="0.3">
      <c r="A4728" s="23" t="s">
        <v>17862</v>
      </c>
      <c r="B4728" s="23"/>
      <c r="C4728" s="23" t="s">
        <v>11899</v>
      </c>
      <c r="D4728" s="23" t="str">
        <f t="shared" si="219"/>
        <v>ORD26005742</v>
      </c>
      <c r="E4728" s="38">
        <v>46290</v>
      </c>
      <c r="F4728" s="23" t="s">
        <v>12410</v>
      </c>
      <c r="G4728" s="23" t="s">
        <v>75</v>
      </c>
      <c r="H4728" s="24">
        <v>599</v>
      </c>
      <c r="I4728" s="24">
        <v>0</v>
      </c>
      <c r="J4728" s="24">
        <v>0</v>
      </c>
      <c r="K4728" s="24">
        <v>599</v>
      </c>
      <c r="L4728" s="38">
        <v>46292</v>
      </c>
      <c r="M4728" s="23" t="s">
        <v>226</v>
      </c>
      <c r="N4728" s="23" t="str">
        <f>IF(COUNTIF($A$2:A4728,A4728)&gt;1,"DUP","OK")</f>
        <v>OK</v>
      </c>
      <c r="O4728" s="23" t="str">
        <f t="shared" si="220"/>
        <v>ORD26005742</v>
      </c>
      <c r="P4728" s="23" t="str">
        <f t="shared" si="221"/>
        <v>Sep</v>
      </c>
      <c r="Q4728" s="23" t="str">
        <f>IF(F4728="CAPTURE",IF(COUNTIF(orders!$A:$A,O4728)&gt;0,"Yes","NO ORDER"),"")</f>
        <v>Yes</v>
      </c>
    </row>
    <row r="4729" spans="1:17" ht="15" customHeight="1" x14ac:dyDescent="0.3">
      <c r="A4729" s="23" t="s">
        <v>17863</v>
      </c>
      <c r="B4729" s="23"/>
      <c r="C4729" s="23" t="s">
        <v>17864</v>
      </c>
      <c r="D4729" s="23" t="str">
        <f t="shared" si="219"/>
        <v>ORD26005749</v>
      </c>
      <c r="E4729" s="38">
        <v>46290</v>
      </c>
      <c r="F4729" s="23" t="s">
        <v>12410</v>
      </c>
      <c r="G4729" s="23" t="s">
        <v>81</v>
      </c>
      <c r="H4729" s="24">
        <v>1799</v>
      </c>
      <c r="I4729" s="24">
        <v>26.99</v>
      </c>
      <c r="J4729" s="24">
        <v>4.8600000000000003</v>
      </c>
      <c r="K4729" s="24">
        <v>1767.15</v>
      </c>
      <c r="L4729" s="38">
        <v>46292</v>
      </c>
      <c r="M4729" s="23" t="s">
        <v>226</v>
      </c>
      <c r="N4729" s="23" t="str">
        <f>IF(COUNTIF($A$2:A4729,A4729)&gt;1,"DUP","OK")</f>
        <v>OK</v>
      </c>
      <c r="O4729" s="23" t="str">
        <f t="shared" si="220"/>
        <v>ORD26005749</v>
      </c>
      <c r="P4729" s="23" t="str">
        <f t="shared" si="221"/>
        <v>Sep</v>
      </c>
      <c r="Q4729" s="23" t="str">
        <f>IF(F4729="CAPTURE",IF(COUNTIF(orders!$A:$A,O4729)&gt;0,"Yes","NO ORDER"),"")</f>
        <v>Yes</v>
      </c>
    </row>
    <row r="4730" spans="1:17" ht="15" customHeight="1" x14ac:dyDescent="0.3">
      <c r="A4730" s="23" t="s">
        <v>17865</v>
      </c>
      <c r="B4730" s="23"/>
      <c r="C4730" s="23" t="s">
        <v>11929</v>
      </c>
      <c r="D4730" s="23" t="str">
        <f t="shared" si="219"/>
        <v>ORD26005757</v>
      </c>
      <c r="E4730" s="38">
        <v>46290</v>
      </c>
      <c r="F4730" s="23" t="s">
        <v>12410</v>
      </c>
      <c r="G4730" s="23" t="s">
        <v>75</v>
      </c>
      <c r="H4730" s="24">
        <v>2998</v>
      </c>
      <c r="I4730" s="24">
        <v>8.99</v>
      </c>
      <c r="J4730" s="24">
        <v>1.62</v>
      </c>
      <c r="K4730" s="24">
        <v>2987.39</v>
      </c>
      <c r="L4730" s="38">
        <v>46292</v>
      </c>
      <c r="M4730" s="23" t="s">
        <v>226</v>
      </c>
      <c r="N4730" s="23" t="str">
        <f>IF(COUNTIF($A$2:A4730,A4730)&gt;1,"DUP","OK")</f>
        <v>OK</v>
      </c>
      <c r="O4730" s="23" t="str">
        <f t="shared" si="220"/>
        <v>ORD26005757</v>
      </c>
      <c r="P4730" s="23" t="str">
        <f t="shared" si="221"/>
        <v>Sep</v>
      </c>
      <c r="Q4730" s="23" t="str">
        <f>IF(F4730="CAPTURE",IF(COUNTIF(orders!$A:$A,O4730)&gt;0,"Yes","NO ORDER"),"")</f>
        <v>Yes</v>
      </c>
    </row>
    <row r="4731" spans="1:17" ht="15" customHeight="1" x14ac:dyDescent="0.3">
      <c r="A4731" s="23" t="s">
        <v>17866</v>
      </c>
      <c r="B4731" s="23"/>
      <c r="C4731" s="23" t="s">
        <v>11932</v>
      </c>
      <c r="D4731" s="23" t="str">
        <f t="shared" si="219"/>
        <v>ORD26005759</v>
      </c>
      <c r="E4731" s="38">
        <v>46290</v>
      </c>
      <c r="F4731" s="23" t="s">
        <v>12410</v>
      </c>
      <c r="G4731" s="23" t="s">
        <v>77</v>
      </c>
      <c r="H4731" s="24">
        <v>3499</v>
      </c>
      <c r="I4731" s="24">
        <v>59.48</v>
      </c>
      <c r="J4731" s="24">
        <v>10.71</v>
      </c>
      <c r="K4731" s="24">
        <v>3428.81</v>
      </c>
      <c r="L4731" s="38">
        <v>46292</v>
      </c>
      <c r="M4731" s="23" t="s">
        <v>226</v>
      </c>
      <c r="N4731" s="23" t="str">
        <f>IF(COUNTIF($A$2:A4731,A4731)&gt;1,"DUP","OK")</f>
        <v>OK</v>
      </c>
      <c r="O4731" s="23" t="str">
        <f t="shared" si="220"/>
        <v>ORD26005759</v>
      </c>
      <c r="P4731" s="23" t="str">
        <f t="shared" si="221"/>
        <v>Sep</v>
      </c>
      <c r="Q4731" s="23" t="str">
        <f>IF(F4731="CAPTURE",IF(COUNTIF(orders!$A:$A,O4731)&gt;0,"Yes","NO ORDER"),"")</f>
        <v>Yes</v>
      </c>
    </row>
    <row r="4732" spans="1:17" ht="15" customHeight="1" x14ac:dyDescent="0.3">
      <c r="A4732" s="23" t="s">
        <v>17867</v>
      </c>
      <c r="B4732" s="23"/>
      <c r="C4732" s="23" t="s">
        <v>11934</v>
      </c>
      <c r="D4732" s="23" t="str">
        <f t="shared" si="219"/>
        <v>ORD26005760</v>
      </c>
      <c r="E4732" s="38">
        <v>46290</v>
      </c>
      <c r="F4732" s="23" t="s">
        <v>12410</v>
      </c>
      <c r="G4732" s="23" t="s">
        <v>75</v>
      </c>
      <c r="H4732" s="24">
        <v>3347</v>
      </c>
      <c r="I4732" s="24">
        <v>10.039999999999999</v>
      </c>
      <c r="J4732" s="24">
        <v>1.81</v>
      </c>
      <c r="K4732" s="24">
        <v>3335.15</v>
      </c>
      <c r="L4732" s="38">
        <v>46292</v>
      </c>
      <c r="M4732" s="23" t="s">
        <v>226</v>
      </c>
      <c r="N4732" s="23" t="str">
        <f>IF(COUNTIF($A$2:A4732,A4732)&gt;1,"DUP","OK")</f>
        <v>OK</v>
      </c>
      <c r="O4732" s="23" t="str">
        <f t="shared" si="220"/>
        <v>ORD26005760</v>
      </c>
      <c r="P4732" s="23" t="str">
        <f t="shared" si="221"/>
        <v>Sep</v>
      </c>
      <c r="Q4732" s="23" t="str">
        <f>IF(F4732="CAPTURE",IF(COUNTIF(orders!$A:$A,O4732)&gt;0,"Yes","NO ORDER"),"")</f>
        <v>Yes</v>
      </c>
    </row>
    <row r="4733" spans="1:17" ht="15" customHeight="1" x14ac:dyDescent="0.3">
      <c r="A4733" s="23" t="s">
        <v>17868</v>
      </c>
      <c r="B4733" s="23"/>
      <c r="C4733" s="23" t="s">
        <v>11963</v>
      </c>
      <c r="D4733" s="23" t="str">
        <f t="shared" si="219"/>
        <v>ORD26005775</v>
      </c>
      <c r="E4733" s="38">
        <v>46290</v>
      </c>
      <c r="F4733" s="23" t="s">
        <v>12410</v>
      </c>
      <c r="G4733" s="23" t="s">
        <v>75</v>
      </c>
      <c r="H4733" s="24">
        <v>1348</v>
      </c>
      <c r="I4733" s="24">
        <v>0</v>
      </c>
      <c r="J4733" s="24">
        <v>0</v>
      </c>
      <c r="K4733" s="24">
        <v>1348</v>
      </c>
      <c r="L4733" s="38">
        <v>46292</v>
      </c>
      <c r="M4733" s="23" t="s">
        <v>226</v>
      </c>
      <c r="N4733" s="23" t="str">
        <f>IF(COUNTIF($A$2:A4733,A4733)&gt;1,"DUP","OK")</f>
        <v>OK</v>
      </c>
      <c r="O4733" s="23" t="str">
        <f t="shared" si="220"/>
        <v>ORD26005775</v>
      </c>
      <c r="P4733" s="23" t="str">
        <f t="shared" si="221"/>
        <v>Sep</v>
      </c>
      <c r="Q4733" s="23" t="str">
        <f>IF(F4733="CAPTURE",IF(COUNTIF(orders!$A:$A,O4733)&gt;0,"Yes","NO ORDER"),"")</f>
        <v>Yes</v>
      </c>
    </row>
    <row r="4734" spans="1:17" ht="15" customHeight="1" x14ac:dyDescent="0.3">
      <c r="A4734" s="23" t="s">
        <v>17869</v>
      </c>
      <c r="B4734" s="23"/>
      <c r="C4734" s="23" t="s">
        <v>12071</v>
      </c>
      <c r="D4734" s="23" t="str">
        <f t="shared" si="219"/>
        <v>ORD26005831</v>
      </c>
      <c r="E4734" s="38">
        <v>46290</v>
      </c>
      <c r="F4734" s="23" t="s">
        <v>12410</v>
      </c>
      <c r="G4734" s="23" t="s">
        <v>75</v>
      </c>
      <c r="H4734" s="24">
        <v>499</v>
      </c>
      <c r="I4734" s="24">
        <v>0</v>
      </c>
      <c r="J4734" s="24">
        <v>0</v>
      </c>
      <c r="K4734" s="24">
        <v>499</v>
      </c>
      <c r="L4734" s="38">
        <v>46292</v>
      </c>
      <c r="M4734" s="23" t="s">
        <v>226</v>
      </c>
      <c r="N4734" s="23" t="str">
        <f>IF(COUNTIF($A$2:A4734,A4734)&gt;1,"DUP","OK")</f>
        <v>OK</v>
      </c>
      <c r="O4734" s="23" t="str">
        <f t="shared" si="220"/>
        <v>ORD26005831</v>
      </c>
      <c r="P4734" s="23" t="str">
        <f t="shared" si="221"/>
        <v>Sep</v>
      </c>
      <c r="Q4734" s="23" t="str">
        <f>IF(F4734="CAPTURE",IF(COUNTIF(orders!$A:$A,O4734)&gt;0,"Yes","NO ORDER"),"")</f>
        <v>Yes</v>
      </c>
    </row>
    <row r="4735" spans="1:17" ht="15" customHeight="1" x14ac:dyDescent="0.3">
      <c r="A4735" s="23" t="s">
        <v>17870</v>
      </c>
      <c r="B4735" s="23"/>
      <c r="C4735" s="23" t="s">
        <v>12372</v>
      </c>
      <c r="D4735" s="23" t="str">
        <f t="shared" si="219"/>
        <v>ORD26005990</v>
      </c>
      <c r="E4735" s="38">
        <v>46290</v>
      </c>
      <c r="F4735" s="23" t="s">
        <v>12410</v>
      </c>
      <c r="G4735" s="23" t="s">
        <v>81</v>
      </c>
      <c r="H4735" s="24">
        <v>349</v>
      </c>
      <c r="I4735" s="24">
        <v>5.24</v>
      </c>
      <c r="J4735" s="24">
        <v>0.94</v>
      </c>
      <c r="K4735" s="24">
        <v>342.82</v>
      </c>
      <c r="L4735" s="38">
        <v>46292</v>
      </c>
      <c r="M4735" s="23" t="s">
        <v>226</v>
      </c>
      <c r="N4735" s="23" t="str">
        <f>IF(COUNTIF($A$2:A4735,A4735)&gt;1,"DUP","OK")</f>
        <v>OK</v>
      </c>
      <c r="O4735" s="23" t="str">
        <f t="shared" si="220"/>
        <v>ORD26005990</v>
      </c>
      <c r="P4735" s="23" t="str">
        <f t="shared" si="221"/>
        <v>Sep</v>
      </c>
      <c r="Q4735" s="23" t="str">
        <f>IF(F4735="CAPTURE",IF(COUNTIF(orders!$A:$A,O4735)&gt;0,"Yes","NO ORDER"),"")</f>
        <v>Yes</v>
      </c>
    </row>
    <row r="4736" spans="1:17" ht="15" customHeight="1" x14ac:dyDescent="0.3">
      <c r="A4736" s="23" t="s">
        <v>17871</v>
      </c>
      <c r="B4736" s="23"/>
      <c r="C4736" s="23" t="s">
        <v>12390</v>
      </c>
      <c r="D4736" s="23" t="str">
        <f t="shared" si="219"/>
        <v>ORD26005999</v>
      </c>
      <c r="E4736" s="38">
        <v>46290</v>
      </c>
      <c r="F4736" s="23" t="s">
        <v>12410</v>
      </c>
      <c r="G4736" s="23" t="s">
        <v>75</v>
      </c>
      <c r="H4736" s="24">
        <v>5498</v>
      </c>
      <c r="I4736" s="24">
        <v>16.489999999999998</v>
      </c>
      <c r="J4736" s="24">
        <v>2.97</v>
      </c>
      <c r="K4736" s="24">
        <v>5478.54</v>
      </c>
      <c r="L4736" s="38">
        <v>46292</v>
      </c>
      <c r="M4736" s="23" t="s">
        <v>226</v>
      </c>
      <c r="N4736" s="23" t="str">
        <f>IF(COUNTIF($A$2:A4736,A4736)&gt;1,"DUP","OK")</f>
        <v>OK</v>
      </c>
      <c r="O4736" s="23" t="str">
        <f t="shared" si="220"/>
        <v>ORD26005999</v>
      </c>
      <c r="P4736" s="23" t="str">
        <f t="shared" si="221"/>
        <v>Sep</v>
      </c>
      <c r="Q4736" s="23" t="str">
        <f>IF(F4736="CAPTURE",IF(COUNTIF(orders!$A:$A,O4736)&gt;0,"Yes","NO ORDER"),"")</f>
        <v>Yes</v>
      </c>
    </row>
    <row r="4737" spans="1:17" ht="15" customHeight="1" x14ac:dyDescent="0.3">
      <c r="A4737" s="23" t="s">
        <v>17872</v>
      </c>
      <c r="B4737" s="23" t="s">
        <v>16947</v>
      </c>
      <c r="C4737" s="23"/>
      <c r="D4737" s="23" t="str">
        <f t="shared" si="219"/>
        <v/>
      </c>
      <c r="E4737" s="38">
        <v>46290</v>
      </c>
      <c r="F4737" s="23" t="s">
        <v>12791</v>
      </c>
      <c r="G4737" s="23" t="s">
        <v>79</v>
      </c>
      <c r="H4737" s="24">
        <v>999</v>
      </c>
      <c r="I4737" s="24">
        <v>0</v>
      </c>
      <c r="J4737" s="24">
        <v>0</v>
      </c>
      <c r="K4737" s="24">
        <v>-999</v>
      </c>
      <c r="L4737" s="38">
        <v>46292</v>
      </c>
      <c r="M4737" s="23" t="s">
        <v>226</v>
      </c>
      <c r="N4737" s="23" t="str">
        <f>IF(COUNTIF($A$2:A4737,A4737)&gt;1,"DUP","OK")</f>
        <v>OK</v>
      </c>
      <c r="O4737" s="23" t="str">
        <f t="shared" si="220"/>
        <v>ORD26003661</v>
      </c>
      <c r="P4737" s="23" t="str">
        <f t="shared" si="221"/>
        <v>Sep</v>
      </c>
      <c r="Q4737" s="23" t="str">
        <f>IF(F4737="CAPTURE",IF(COUNTIF(orders!$A:$A,O4737)&gt;0,"Yes","NO ORDER"),"")</f>
        <v/>
      </c>
    </row>
    <row r="4738" spans="1:17" ht="15" customHeight="1" x14ac:dyDescent="0.3">
      <c r="A4738" s="23" t="s">
        <v>17873</v>
      </c>
      <c r="B4738" s="23" t="s">
        <v>17471</v>
      </c>
      <c r="C4738" s="23"/>
      <c r="D4738" s="23" t="str">
        <f t="shared" ref="D4738:D4801" si="222">UPPER(SUBSTITUTE(TRIM(C4738),"-",""))</f>
        <v/>
      </c>
      <c r="E4738" s="38">
        <v>46290</v>
      </c>
      <c r="F4738" s="23" t="s">
        <v>12791</v>
      </c>
      <c r="G4738" s="23" t="s">
        <v>81</v>
      </c>
      <c r="H4738" s="24">
        <v>8348</v>
      </c>
      <c r="I4738" s="24">
        <v>0</v>
      </c>
      <c r="J4738" s="24">
        <v>0</v>
      </c>
      <c r="K4738" s="24">
        <v>-8348</v>
      </c>
      <c r="L4738" s="38">
        <v>46292</v>
      </c>
      <c r="M4738" s="23" t="s">
        <v>226</v>
      </c>
      <c r="N4738" s="23" t="str">
        <f>IF(COUNTIF($A$2:A4738,A4738)&gt;1,"DUP","OK")</f>
        <v>OK</v>
      </c>
      <c r="O4738" s="23" t="str">
        <f t="shared" ref="O4738:O4801" si="223">IF(F4738="REFUND",INDEX($D:$D,MATCH(B4738,$A:$A,0)),D4738)</f>
        <v>ORD26001616</v>
      </c>
      <c r="P4738" s="23" t="str">
        <f t="shared" ref="P4738:P4801" si="224">IF(L4738&gt;DATE(2026,9,30),"Oct-Due","Sep")</f>
        <v>Sep</v>
      </c>
      <c r="Q4738" s="23" t="str">
        <f>IF(F4738="CAPTURE",IF(COUNTIF(orders!$A:$A,O4738)&gt;0,"Yes","NO ORDER"),"")</f>
        <v/>
      </c>
    </row>
    <row r="4739" spans="1:17" ht="15" customHeight="1" x14ac:dyDescent="0.3">
      <c r="A4739" s="23" t="s">
        <v>17874</v>
      </c>
      <c r="B4739" s="23"/>
      <c r="C4739" s="23" t="s">
        <v>403</v>
      </c>
      <c r="D4739" s="23" t="str">
        <f t="shared" si="222"/>
        <v>ORD26000057</v>
      </c>
      <c r="E4739" s="38">
        <v>46291</v>
      </c>
      <c r="F4739" s="23" t="s">
        <v>12410</v>
      </c>
      <c r="G4739" s="23" t="s">
        <v>79</v>
      </c>
      <c r="H4739" s="24">
        <v>9298</v>
      </c>
      <c r="I4739" s="24">
        <v>148.77000000000001</v>
      </c>
      <c r="J4739" s="24">
        <v>26.78</v>
      </c>
      <c r="K4739" s="24">
        <v>9122.4500000000007</v>
      </c>
      <c r="L4739" s="38">
        <v>46293</v>
      </c>
      <c r="M4739" s="23" t="s">
        <v>228</v>
      </c>
      <c r="N4739" s="23" t="str">
        <f>IF(COUNTIF($A$2:A4739,A4739)&gt;1,"DUP","OK")</f>
        <v>OK</v>
      </c>
      <c r="O4739" s="23" t="str">
        <f t="shared" si="223"/>
        <v>ORD26000057</v>
      </c>
      <c r="P4739" s="23" t="str">
        <f t="shared" si="224"/>
        <v>Sep</v>
      </c>
      <c r="Q4739" s="23" t="str">
        <f>IF(F4739="CAPTURE",IF(COUNTIF(orders!$A:$A,O4739)&gt;0,"Yes","NO ORDER"),"")</f>
        <v>Yes</v>
      </c>
    </row>
    <row r="4740" spans="1:17" ht="15" customHeight="1" x14ac:dyDescent="0.3">
      <c r="A4740" s="23" t="s">
        <v>17875</v>
      </c>
      <c r="B4740" s="23"/>
      <c r="C4740" s="23" t="s">
        <v>17876</v>
      </c>
      <c r="D4740" s="23" t="str">
        <f t="shared" si="222"/>
        <v>ORD26000058</v>
      </c>
      <c r="E4740" s="38">
        <v>46291</v>
      </c>
      <c r="F4740" s="23" t="s">
        <v>12410</v>
      </c>
      <c r="G4740" s="23" t="s">
        <v>79</v>
      </c>
      <c r="H4740" s="24">
        <v>1299</v>
      </c>
      <c r="I4740" s="24">
        <v>23.38</v>
      </c>
      <c r="J4740" s="24">
        <v>4.21</v>
      </c>
      <c r="K4740" s="24">
        <v>1271.4100000000001</v>
      </c>
      <c r="L4740" s="38">
        <v>46293</v>
      </c>
      <c r="M4740" s="23" t="s">
        <v>228</v>
      </c>
      <c r="N4740" s="23" t="str">
        <f>IF(COUNTIF($A$2:A4740,A4740)&gt;1,"DUP","OK")</f>
        <v>OK</v>
      </c>
      <c r="O4740" s="23" t="str">
        <f t="shared" si="223"/>
        <v>ORD26000058</v>
      </c>
      <c r="P4740" s="23" t="str">
        <f t="shared" si="224"/>
        <v>Sep</v>
      </c>
      <c r="Q4740" s="23" t="str">
        <f>IF(F4740="CAPTURE",IF(COUNTIF(orders!$A:$A,O4740)&gt;0,"Yes","NO ORDER"),"")</f>
        <v>Yes</v>
      </c>
    </row>
    <row r="4741" spans="1:17" ht="15" customHeight="1" x14ac:dyDescent="0.3">
      <c r="A4741" s="23" t="s">
        <v>17877</v>
      </c>
      <c r="B4741" s="23"/>
      <c r="C4741" s="23" t="s">
        <v>408</v>
      </c>
      <c r="D4741" s="23" t="str">
        <f t="shared" si="222"/>
        <v>ORD26000059</v>
      </c>
      <c r="E4741" s="38">
        <v>46291</v>
      </c>
      <c r="F4741" s="23" t="s">
        <v>12410</v>
      </c>
      <c r="G4741" s="23" t="s">
        <v>75</v>
      </c>
      <c r="H4741" s="24">
        <v>16497</v>
      </c>
      <c r="I4741" s="24">
        <v>49.49</v>
      </c>
      <c r="J4741" s="24">
        <v>8.91</v>
      </c>
      <c r="K4741" s="24">
        <v>16438.599999999999</v>
      </c>
      <c r="L4741" s="38">
        <v>46293</v>
      </c>
      <c r="M4741" s="23" t="s">
        <v>228</v>
      </c>
      <c r="N4741" s="23" t="str">
        <f>IF(COUNTIF($A$2:A4741,A4741)&gt;1,"DUP","OK")</f>
        <v>OK</v>
      </c>
      <c r="O4741" s="23" t="str">
        <f t="shared" si="223"/>
        <v>ORD26000059</v>
      </c>
      <c r="P4741" s="23" t="str">
        <f t="shared" si="224"/>
        <v>Sep</v>
      </c>
      <c r="Q4741" s="23" t="str">
        <f>IF(F4741="CAPTURE",IF(COUNTIF(orders!$A:$A,O4741)&gt;0,"Yes","NO ORDER"),"")</f>
        <v>Yes</v>
      </c>
    </row>
    <row r="4742" spans="1:17" ht="15" customHeight="1" x14ac:dyDescent="0.3">
      <c r="A4742" s="23" t="s">
        <v>17878</v>
      </c>
      <c r="B4742" s="23"/>
      <c r="C4742" s="23" t="s">
        <v>671</v>
      </c>
      <c r="D4742" s="23" t="str">
        <f t="shared" si="222"/>
        <v>ORD26000170</v>
      </c>
      <c r="E4742" s="38">
        <v>46291</v>
      </c>
      <c r="F4742" s="23" t="s">
        <v>12410</v>
      </c>
      <c r="G4742" s="23" t="s">
        <v>75</v>
      </c>
      <c r="H4742" s="24">
        <v>1098</v>
      </c>
      <c r="I4742" s="24">
        <v>0</v>
      </c>
      <c r="J4742" s="24">
        <v>0</v>
      </c>
      <c r="K4742" s="24">
        <v>1098</v>
      </c>
      <c r="L4742" s="38">
        <v>46293</v>
      </c>
      <c r="M4742" s="23" t="s">
        <v>228</v>
      </c>
      <c r="N4742" s="23" t="str">
        <f>IF(COUNTIF($A$2:A4742,A4742)&gt;1,"DUP","OK")</f>
        <v>OK</v>
      </c>
      <c r="O4742" s="23" t="str">
        <f t="shared" si="223"/>
        <v>ORD26000170</v>
      </c>
      <c r="P4742" s="23" t="str">
        <f t="shared" si="224"/>
        <v>Sep</v>
      </c>
      <c r="Q4742" s="23" t="str">
        <f>IF(F4742="CAPTURE",IF(COUNTIF(orders!$A:$A,O4742)&gt;0,"Yes","NO ORDER"),"")</f>
        <v>Yes</v>
      </c>
    </row>
    <row r="4743" spans="1:17" ht="15" customHeight="1" x14ac:dyDescent="0.3">
      <c r="A4743" s="23" t="s">
        <v>17879</v>
      </c>
      <c r="B4743" s="23"/>
      <c r="C4743" s="23" t="s">
        <v>727</v>
      </c>
      <c r="D4743" s="23" t="str">
        <f t="shared" si="222"/>
        <v>ORD26000195</v>
      </c>
      <c r="E4743" s="38">
        <v>46291</v>
      </c>
      <c r="F4743" s="23" t="s">
        <v>12410</v>
      </c>
      <c r="G4743" s="23" t="s">
        <v>77</v>
      </c>
      <c r="H4743" s="24">
        <v>1799</v>
      </c>
      <c r="I4743" s="24">
        <v>34.18</v>
      </c>
      <c r="J4743" s="24">
        <v>6.15</v>
      </c>
      <c r="K4743" s="24">
        <v>1758.67</v>
      </c>
      <c r="L4743" s="38">
        <v>46293</v>
      </c>
      <c r="M4743" s="23" t="s">
        <v>228</v>
      </c>
      <c r="N4743" s="23" t="str">
        <f>IF(COUNTIF($A$2:A4743,A4743)&gt;1,"DUP","OK")</f>
        <v>OK</v>
      </c>
      <c r="O4743" s="23" t="str">
        <f t="shared" si="223"/>
        <v>ORD26000195</v>
      </c>
      <c r="P4743" s="23" t="str">
        <f t="shared" si="224"/>
        <v>Sep</v>
      </c>
      <c r="Q4743" s="23" t="str">
        <f>IF(F4743="CAPTURE",IF(COUNTIF(orders!$A:$A,O4743)&gt;0,"Yes","NO ORDER"),"")</f>
        <v>Yes</v>
      </c>
    </row>
    <row r="4744" spans="1:17" ht="15" customHeight="1" x14ac:dyDescent="0.3">
      <c r="A4744" s="23" t="s">
        <v>17880</v>
      </c>
      <c r="B4744" s="23"/>
      <c r="C4744" s="23" t="s">
        <v>869</v>
      </c>
      <c r="D4744" s="23" t="str">
        <f t="shared" si="222"/>
        <v>ORD26000254</v>
      </c>
      <c r="E4744" s="38">
        <v>46291</v>
      </c>
      <c r="F4744" s="23" t="s">
        <v>12410</v>
      </c>
      <c r="G4744" s="23" t="s">
        <v>75</v>
      </c>
      <c r="H4744" s="24">
        <v>8498</v>
      </c>
      <c r="I4744" s="24">
        <v>25.49</v>
      </c>
      <c r="J4744" s="24">
        <v>4.59</v>
      </c>
      <c r="K4744" s="24">
        <v>8467.92</v>
      </c>
      <c r="L4744" s="38">
        <v>46293</v>
      </c>
      <c r="M4744" s="23" t="s">
        <v>228</v>
      </c>
      <c r="N4744" s="23" t="str">
        <f>IF(COUNTIF($A$2:A4744,A4744)&gt;1,"DUP","OK")</f>
        <v>OK</v>
      </c>
      <c r="O4744" s="23" t="str">
        <f t="shared" si="223"/>
        <v>ORD26000254</v>
      </c>
      <c r="P4744" s="23" t="str">
        <f t="shared" si="224"/>
        <v>Sep</v>
      </c>
      <c r="Q4744" s="23" t="str">
        <f>IF(F4744="CAPTURE",IF(COUNTIF(orders!$A:$A,O4744)&gt;0,"Yes","NO ORDER"),"")</f>
        <v>Yes</v>
      </c>
    </row>
    <row r="4745" spans="1:17" ht="15" customHeight="1" x14ac:dyDescent="0.3">
      <c r="A4745" s="23" t="s">
        <v>17881</v>
      </c>
      <c r="B4745" s="23"/>
      <c r="C4745" s="23" t="s">
        <v>909</v>
      </c>
      <c r="D4745" s="23" t="str">
        <f t="shared" si="222"/>
        <v>ORD26000273</v>
      </c>
      <c r="E4745" s="38">
        <v>46291</v>
      </c>
      <c r="F4745" s="23" t="s">
        <v>12410</v>
      </c>
      <c r="G4745" s="23" t="s">
        <v>75</v>
      </c>
      <c r="H4745" s="24">
        <v>11997</v>
      </c>
      <c r="I4745" s="24">
        <v>35.99</v>
      </c>
      <c r="J4745" s="24">
        <v>6.48</v>
      </c>
      <c r="K4745" s="24">
        <v>11954.53</v>
      </c>
      <c r="L4745" s="38">
        <v>46293</v>
      </c>
      <c r="M4745" s="23" t="s">
        <v>228</v>
      </c>
      <c r="N4745" s="23" t="str">
        <f>IF(COUNTIF($A$2:A4745,A4745)&gt;1,"DUP","OK")</f>
        <v>OK</v>
      </c>
      <c r="O4745" s="23" t="str">
        <f t="shared" si="223"/>
        <v>ORD26000273</v>
      </c>
      <c r="P4745" s="23" t="str">
        <f t="shared" si="224"/>
        <v>Sep</v>
      </c>
      <c r="Q4745" s="23" t="str">
        <f>IF(F4745="CAPTURE",IF(COUNTIF(orders!$A:$A,O4745)&gt;0,"Yes","NO ORDER"),"")</f>
        <v>Yes</v>
      </c>
    </row>
    <row r="4746" spans="1:17" ht="15" customHeight="1" x14ac:dyDescent="0.3">
      <c r="A4746" s="23" t="s">
        <v>17882</v>
      </c>
      <c r="B4746" s="23"/>
      <c r="C4746" s="23" t="s">
        <v>17883</v>
      </c>
      <c r="D4746" s="23" t="str">
        <f t="shared" si="222"/>
        <v>ORD26000275</v>
      </c>
      <c r="E4746" s="38">
        <v>46291</v>
      </c>
      <c r="F4746" s="23" t="s">
        <v>12410</v>
      </c>
      <c r="G4746" s="23" t="s">
        <v>77</v>
      </c>
      <c r="H4746" s="24">
        <v>1799</v>
      </c>
      <c r="I4746" s="24">
        <v>34.18</v>
      </c>
      <c r="J4746" s="24">
        <v>6.15</v>
      </c>
      <c r="K4746" s="24">
        <v>1758.67</v>
      </c>
      <c r="L4746" s="38">
        <v>46293</v>
      </c>
      <c r="M4746" s="23" t="s">
        <v>228</v>
      </c>
      <c r="N4746" s="23" t="str">
        <f>IF(COUNTIF($A$2:A4746,A4746)&gt;1,"DUP","OK")</f>
        <v>OK</v>
      </c>
      <c r="O4746" s="23" t="str">
        <f t="shared" si="223"/>
        <v>ORD26000275</v>
      </c>
      <c r="P4746" s="23" t="str">
        <f t="shared" si="224"/>
        <v>Sep</v>
      </c>
      <c r="Q4746" s="23" t="str">
        <f>IF(F4746="CAPTURE",IF(COUNTIF(orders!$A:$A,O4746)&gt;0,"Yes","NO ORDER"),"")</f>
        <v>Yes</v>
      </c>
    </row>
    <row r="4747" spans="1:17" ht="15" customHeight="1" x14ac:dyDescent="0.3">
      <c r="A4747" s="23" t="s">
        <v>17884</v>
      </c>
      <c r="B4747" s="23"/>
      <c r="C4747" s="23" t="s">
        <v>1045</v>
      </c>
      <c r="D4747" s="23" t="str">
        <f t="shared" si="222"/>
        <v>ORD26000336</v>
      </c>
      <c r="E4747" s="38">
        <v>46291</v>
      </c>
      <c r="F4747" s="23" t="s">
        <v>12410</v>
      </c>
      <c r="G4747" s="23" t="s">
        <v>79</v>
      </c>
      <c r="H4747" s="24">
        <v>13597</v>
      </c>
      <c r="I4747" s="24">
        <v>217.55</v>
      </c>
      <c r="J4747" s="24">
        <v>39.159999999999997</v>
      </c>
      <c r="K4747" s="24">
        <v>13340.29</v>
      </c>
      <c r="L4747" s="38">
        <v>46293</v>
      </c>
      <c r="M4747" s="23" t="s">
        <v>228</v>
      </c>
      <c r="N4747" s="23" t="str">
        <f>IF(COUNTIF($A$2:A4747,A4747)&gt;1,"DUP","OK")</f>
        <v>OK</v>
      </c>
      <c r="O4747" s="23" t="str">
        <f t="shared" si="223"/>
        <v>ORD26000336</v>
      </c>
      <c r="P4747" s="23" t="str">
        <f t="shared" si="224"/>
        <v>Sep</v>
      </c>
      <c r="Q4747" s="23" t="str">
        <f>IF(F4747="CAPTURE",IF(COUNTIF(orders!$A:$A,O4747)&gt;0,"Yes","NO ORDER"),"")</f>
        <v>Yes</v>
      </c>
    </row>
    <row r="4748" spans="1:17" ht="15" customHeight="1" x14ac:dyDescent="0.3">
      <c r="A4748" s="23" t="s">
        <v>17885</v>
      </c>
      <c r="B4748" s="23"/>
      <c r="C4748" s="23" t="s">
        <v>1075</v>
      </c>
      <c r="D4748" s="23" t="str">
        <f t="shared" si="222"/>
        <v>ORD26000349</v>
      </c>
      <c r="E4748" s="38">
        <v>46291</v>
      </c>
      <c r="F4748" s="23" t="s">
        <v>12410</v>
      </c>
      <c r="G4748" s="23" t="s">
        <v>77</v>
      </c>
      <c r="H4748" s="24">
        <v>8797</v>
      </c>
      <c r="I4748" s="24">
        <v>149.55000000000001</v>
      </c>
      <c r="J4748" s="24">
        <v>26.92</v>
      </c>
      <c r="K4748" s="24">
        <v>8620.5300000000007</v>
      </c>
      <c r="L4748" s="38">
        <v>46293</v>
      </c>
      <c r="M4748" s="23" t="s">
        <v>228</v>
      </c>
      <c r="N4748" s="23" t="str">
        <f>IF(COUNTIF($A$2:A4748,A4748)&gt;1,"DUP","OK")</f>
        <v>OK</v>
      </c>
      <c r="O4748" s="23" t="str">
        <f t="shared" si="223"/>
        <v>ORD26000349</v>
      </c>
      <c r="P4748" s="23" t="str">
        <f t="shared" si="224"/>
        <v>Sep</v>
      </c>
      <c r="Q4748" s="23" t="str">
        <f>IF(F4748="CAPTURE",IF(COUNTIF(orders!$A:$A,O4748)&gt;0,"Yes","NO ORDER"),"")</f>
        <v>Yes</v>
      </c>
    </row>
    <row r="4749" spans="1:17" ht="15" customHeight="1" x14ac:dyDescent="0.3">
      <c r="A4749" s="23" t="s">
        <v>17886</v>
      </c>
      <c r="B4749" s="23"/>
      <c r="C4749" s="23" t="s">
        <v>1160</v>
      </c>
      <c r="D4749" s="23" t="str">
        <f t="shared" si="222"/>
        <v>ORD26000388</v>
      </c>
      <c r="E4749" s="38">
        <v>46291</v>
      </c>
      <c r="F4749" s="23" t="s">
        <v>12410</v>
      </c>
      <c r="G4749" s="23" t="s">
        <v>77</v>
      </c>
      <c r="H4749" s="24">
        <v>2098</v>
      </c>
      <c r="I4749" s="24">
        <v>50.35</v>
      </c>
      <c r="J4749" s="24">
        <v>9.06</v>
      </c>
      <c r="K4749" s="24">
        <v>2038.59</v>
      </c>
      <c r="L4749" s="38">
        <v>46293</v>
      </c>
      <c r="M4749" s="23" t="s">
        <v>228</v>
      </c>
      <c r="N4749" s="23" t="str">
        <f>IF(COUNTIF($A$2:A4749,A4749)&gt;1,"DUP","OK")</f>
        <v>OK</v>
      </c>
      <c r="O4749" s="23" t="str">
        <f t="shared" si="223"/>
        <v>ORD26000388</v>
      </c>
      <c r="P4749" s="23" t="str">
        <f t="shared" si="224"/>
        <v>Sep</v>
      </c>
      <c r="Q4749" s="23" t="str">
        <f>IF(F4749="CAPTURE",IF(COUNTIF(orders!$A:$A,O4749)&gt;0,"Yes","NO ORDER"),"")</f>
        <v>Yes</v>
      </c>
    </row>
    <row r="4750" spans="1:17" ht="15" customHeight="1" x14ac:dyDescent="0.3">
      <c r="A4750" s="23" t="s">
        <v>17887</v>
      </c>
      <c r="B4750" s="23"/>
      <c r="C4750" s="23" t="s">
        <v>17888</v>
      </c>
      <c r="D4750" s="23" t="str">
        <f t="shared" si="222"/>
        <v>ORD26000436</v>
      </c>
      <c r="E4750" s="38">
        <v>46291</v>
      </c>
      <c r="F4750" s="23" t="s">
        <v>12410</v>
      </c>
      <c r="G4750" s="23" t="s">
        <v>79</v>
      </c>
      <c r="H4750" s="24">
        <v>6997</v>
      </c>
      <c r="I4750" s="24">
        <v>111.95</v>
      </c>
      <c r="J4750" s="24">
        <v>20.149999999999999</v>
      </c>
      <c r="K4750" s="24">
        <v>6864.9</v>
      </c>
      <c r="L4750" s="38">
        <v>46293</v>
      </c>
      <c r="M4750" s="23" t="s">
        <v>228</v>
      </c>
      <c r="N4750" s="23" t="str">
        <f>IF(COUNTIF($A$2:A4750,A4750)&gt;1,"DUP","OK")</f>
        <v>OK</v>
      </c>
      <c r="O4750" s="23" t="str">
        <f t="shared" si="223"/>
        <v>ORD26000436</v>
      </c>
      <c r="P4750" s="23" t="str">
        <f t="shared" si="224"/>
        <v>Sep</v>
      </c>
      <c r="Q4750" s="23" t="str">
        <f>IF(F4750="CAPTURE",IF(COUNTIF(orders!$A:$A,O4750)&gt;0,"Yes","NO ORDER"),"")</f>
        <v>Yes</v>
      </c>
    </row>
    <row r="4751" spans="1:17" ht="15" customHeight="1" x14ac:dyDescent="0.3">
      <c r="A4751" s="23" t="s">
        <v>17889</v>
      </c>
      <c r="B4751" s="23"/>
      <c r="C4751" s="23" t="s">
        <v>17890</v>
      </c>
      <c r="D4751" s="23" t="str">
        <f t="shared" si="222"/>
        <v>ORD26000471</v>
      </c>
      <c r="E4751" s="38">
        <v>46291</v>
      </c>
      <c r="F4751" s="23" t="s">
        <v>12410</v>
      </c>
      <c r="G4751" s="23" t="s">
        <v>79</v>
      </c>
      <c r="H4751" s="24">
        <v>2297</v>
      </c>
      <c r="I4751" s="24">
        <v>36.75</v>
      </c>
      <c r="J4751" s="24">
        <v>6.62</v>
      </c>
      <c r="K4751" s="24">
        <v>2253.63</v>
      </c>
      <c r="L4751" s="38">
        <v>46293</v>
      </c>
      <c r="M4751" s="23" t="s">
        <v>228</v>
      </c>
      <c r="N4751" s="23" t="str">
        <f>IF(COUNTIF($A$2:A4751,A4751)&gt;1,"DUP","OK")</f>
        <v>OK</v>
      </c>
      <c r="O4751" s="23" t="str">
        <f t="shared" si="223"/>
        <v>ORD26000471</v>
      </c>
      <c r="P4751" s="23" t="str">
        <f t="shared" si="224"/>
        <v>Sep</v>
      </c>
      <c r="Q4751" s="23" t="str">
        <f>IF(F4751="CAPTURE",IF(COUNTIF(orders!$A:$A,O4751)&gt;0,"Yes","NO ORDER"),"")</f>
        <v>Yes</v>
      </c>
    </row>
    <row r="4752" spans="1:17" ht="15" customHeight="1" x14ac:dyDescent="0.3">
      <c r="A4752" s="23" t="s">
        <v>17891</v>
      </c>
      <c r="B4752" s="23"/>
      <c r="C4752" s="23" t="s">
        <v>1361</v>
      </c>
      <c r="D4752" s="23" t="str">
        <f t="shared" si="222"/>
        <v>ORD26000481</v>
      </c>
      <c r="E4752" s="38">
        <v>46291</v>
      </c>
      <c r="F4752" s="23" t="s">
        <v>12410</v>
      </c>
      <c r="G4752" s="23" t="s">
        <v>75</v>
      </c>
      <c r="H4752" s="24">
        <v>3499</v>
      </c>
      <c r="I4752" s="24">
        <v>10.5</v>
      </c>
      <c r="J4752" s="24">
        <v>1.89</v>
      </c>
      <c r="K4752" s="24">
        <v>3486.61</v>
      </c>
      <c r="L4752" s="38">
        <v>46293</v>
      </c>
      <c r="M4752" s="23" t="s">
        <v>228</v>
      </c>
      <c r="N4752" s="23" t="str">
        <f>IF(COUNTIF($A$2:A4752,A4752)&gt;1,"DUP","OK")</f>
        <v>OK</v>
      </c>
      <c r="O4752" s="23" t="str">
        <f t="shared" si="223"/>
        <v>ORD26000481</v>
      </c>
      <c r="P4752" s="23" t="str">
        <f t="shared" si="224"/>
        <v>Sep</v>
      </c>
      <c r="Q4752" s="23" t="str">
        <f>IF(F4752="CAPTURE",IF(COUNTIF(orders!$A:$A,O4752)&gt;0,"Yes","NO ORDER"),"")</f>
        <v>Yes</v>
      </c>
    </row>
    <row r="4753" spans="1:17" ht="15" customHeight="1" x14ac:dyDescent="0.3">
      <c r="A4753" s="23" t="s">
        <v>17892</v>
      </c>
      <c r="B4753" s="23"/>
      <c r="C4753" s="23" t="s">
        <v>1441</v>
      </c>
      <c r="D4753" s="23" t="str">
        <f t="shared" si="222"/>
        <v>ORD26000516</v>
      </c>
      <c r="E4753" s="38">
        <v>46291</v>
      </c>
      <c r="F4753" s="23" t="s">
        <v>12410</v>
      </c>
      <c r="G4753" s="23" t="s">
        <v>77</v>
      </c>
      <c r="H4753" s="24">
        <v>5497</v>
      </c>
      <c r="I4753" s="24">
        <v>93.45</v>
      </c>
      <c r="J4753" s="24">
        <v>16.82</v>
      </c>
      <c r="K4753" s="24">
        <v>5386.73</v>
      </c>
      <c r="L4753" s="38">
        <v>46293</v>
      </c>
      <c r="M4753" s="23" t="s">
        <v>228</v>
      </c>
      <c r="N4753" s="23" t="str">
        <f>IF(COUNTIF($A$2:A4753,A4753)&gt;1,"DUP","OK")</f>
        <v>OK</v>
      </c>
      <c r="O4753" s="23" t="str">
        <f t="shared" si="223"/>
        <v>ORD26000516</v>
      </c>
      <c r="P4753" s="23" t="str">
        <f t="shared" si="224"/>
        <v>Sep</v>
      </c>
      <c r="Q4753" s="23" t="str">
        <f>IF(F4753="CAPTURE",IF(COUNTIF(orders!$A:$A,O4753)&gt;0,"Yes","NO ORDER"),"")</f>
        <v>Yes</v>
      </c>
    </row>
    <row r="4754" spans="1:17" ht="15" customHeight="1" x14ac:dyDescent="0.3">
      <c r="A4754" s="23" t="s">
        <v>17893</v>
      </c>
      <c r="B4754" s="23"/>
      <c r="C4754" s="23" t="s">
        <v>1580</v>
      </c>
      <c r="D4754" s="23" t="str">
        <f t="shared" si="222"/>
        <v>ORD26000580</v>
      </c>
      <c r="E4754" s="38">
        <v>46291</v>
      </c>
      <c r="F4754" s="23" t="s">
        <v>12410</v>
      </c>
      <c r="G4754" s="23" t="s">
        <v>79</v>
      </c>
      <c r="H4754" s="24">
        <v>1499</v>
      </c>
      <c r="I4754" s="24">
        <v>26.98</v>
      </c>
      <c r="J4754" s="24">
        <v>4.8600000000000003</v>
      </c>
      <c r="K4754" s="24">
        <v>1467.16</v>
      </c>
      <c r="L4754" s="38">
        <v>46293</v>
      </c>
      <c r="M4754" s="23" t="s">
        <v>228</v>
      </c>
      <c r="N4754" s="23" t="str">
        <f>IF(COUNTIF($A$2:A4754,A4754)&gt;1,"DUP","OK")</f>
        <v>OK</v>
      </c>
      <c r="O4754" s="23" t="str">
        <f t="shared" si="223"/>
        <v>ORD26000580</v>
      </c>
      <c r="P4754" s="23" t="str">
        <f t="shared" si="224"/>
        <v>Sep</v>
      </c>
      <c r="Q4754" s="23" t="str">
        <f>IF(F4754="CAPTURE",IF(COUNTIF(orders!$A:$A,O4754)&gt;0,"Yes","NO ORDER"),"")</f>
        <v>Yes</v>
      </c>
    </row>
    <row r="4755" spans="1:17" ht="15" customHeight="1" x14ac:dyDescent="0.3">
      <c r="A4755" s="23" t="s">
        <v>17894</v>
      </c>
      <c r="B4755" s="23"/>
      <c r="C4755" s="23" t="s">
        <v>1636</v>
      </c>
      <c r="D4755" s="23" t="str">
        <f t="shared" si="222"/>
        <v>ORD26000605</v>
      </c>
      <c r="E4755" s="38">
        <v>46291</v>
      </c>
      <c r="F4755" s="23" t="s">
        <v>12410</v>
      </c>
      <c r="G4755" s="23" t="s">
        <v>75</v>
      </c>
      <c r="H4755" s="24">
        <v>4498</v>
      </c>
      <c r="I4755" s="24">
        <v>13.49</v>
      </c>
      <c r="J4755" s="24">
        <v>2.4300000000000002</v>
      </c>
      <c r="K4755" s="24">
        <v>4482.08</v>
      </c>
      <c r="L4755" s="38">
        <v>46293</v>
      </c>
      <c r="M4755" s="23" t="s">
        <v>228</v>
      </c>
      <c r="N4755" s="23" t="str">
        <f>IF(COUNTIF($A$2:A4755,A4755)&gt;1,"DUP","OK")</f>
        <v>OK</v>
      </c>
      <c r="O4755" s="23" t="str">
        <f t="shared" si="223"/>
        <v>ORD26000605</v>
      </c>
      <c r="P4755" s="23" t="str">
        <f t="shared" si="224"/>
        <v>Sep</v>
      </c>
      <c r="Q4755" s="23" t="str">
        <f>IF(F4755="CAPTURE",IF(COUNTIF(orders!$A:$A,O4755)&gt;0,"Yes","NO ORDER"),"")</f>
        <v>Yes</v>
      </c>
    </row>
    <row r="4756" spans="1:17" ht="15" customHeight="1" x14ac:dyDescent="0.3">
      <c r="A4756" s="23" t="s">
        <v>17895</v>
      </c>
      <c r="B4756" s="23"/>
      <c r="C4756" s="23" t="s">
        <v>1652</v>
      </c>
      <c r="D4756" s="23" t="str">
        <f t="shared" si="222"/>
        <v>ORD26000612</v>
      </c>
      <c r="E4756" s="38">
        <v>46291</v>
      </c>
      <c r="F4756" s="23" t="s">
        <v>12410</v>
      </c>
      <c r="G4756" s="23" t="s">
        <v>75</v>
      </c>
      <c r="H4756" s="24">
        <v>1598</v>
      </c>
      <c r="I4756" s="24">
        <v>0</v>
      </c>
      <c r="J4756" s="24">
        <v>0</v>
      </c>
      <c r="K4756" s="24">
        <v>1598</v>
      </c>
      <c r="L4756" s="38">
        <v>46293</v>
      </c>
      <c r="M4756" s="23" t="s">
        <v>228</v>
      </c>
      <c r="N4756" s="23" t="str">
        <f>IF(COUNTIF($A$2:A4756,A4756)&gt;1,"DUP","OK")</f>
        <v>OK</v>
      </c>
      <c r="O4756" s="23" t="str">
        <f t="shared" si="223"/>
        <v>ORD26000612</v>
      </c>
      <c r="P4756" s="23" t="str">
        <f t="shared" si="224"/>
        <v>Sep</v>
      </c>
      <c r="Q4756" s="23" t="str">
        <f>IF(F4756="CAPTURE",IF(COUNTIF(orders!$A:$A,O4756)&gt;0,"Yes","NO ORDER"),"")</f>
        <v>Yes</v>
      </c>
    </row>
    <row r="4757" spans="1:17" ht="15" customHeight="1" x14ac:dyDescent="0.3">
      <c r="A4757" s="23" t="s">
        <v>17896</v>
      </c>
      <c r="B4757" s="23"/>
      <c r="C4757" s="23" t="s">
        <v>1976</v>
      </c>
      <c r="D4757" s="23" t="str">
        <f t="shared" si="222"/>
        <v>ORD26000767</v>
      </c>
      <c r="E4757" s="38">
        <v>46291</v>
      </c>
      <c r="F4757" s="23" t="s">
        <v>12410</v>
      </c>
      <c r="G4757" s="23" t="s">
        <v>75</v>
      </c>
      <c r="H4757" s="24">
        <v>4597</v>
      </c>
      <c r="I4757" s="24">
        <v>13.79</v>
      </c>
      <c r="J4757" s="24">
        <v>2.48</v>
      </c>
      <c r="K4757" s="24">
        <v>4580.7299999999996</v>
      </c>
      <c r="L4757" s="38">
        <v>46293</v>
      </c>
      <c r="M4757" s="23" t="s">
        <v>228</v>
      </c>
      <c r="N4757" s="23" t="str">
        <f>IF(COUNTIF($A$2:A4757,A4757)&gt;1,"DUP","OK")</f>
        <v>OK</v>
      </c>
      <c r="O4757" s="23" t="str">
        <f t="shared" si="223"/>
        <v>ORD26000767</v>
      </c>
      <c r="P4757" s="23" t="str">
        <f t="shared" si="224"/>
        <v>Sep</v>
      </c>
      <c r="Q4757" s="23" t="str">
        <f>IF(F4757="CAPTURE",IF(COUNTIF(orders!$A:$A,O4757)&gt;0,"Yes","NO ORDER"),"")</f>
        <v>Yes</v>
      </c>
    </row>
    <row r="4758" spans="1:17" ht="15" customHeight="1" x14ac:dyDescent="0.3">
      <c r="A4758" s="23" t="s">
        <v>17897</v>
      </c>
      <c r="B4758" s="23"/>
      <c r="C4758" s="23" t="s">
        <v>2039</v>
      </c>
      <c r="D4758" s="23" t="str">
        <f t="shared" si="222"/>
        <v>ORD26000796</v>
      </c>
      <c r="E4758" s="38">
        <v>46291</v>
      </c>
      <c r="F4758" s="23" t="s">
        <v>12410</v>
      </c>
      <c r="G4758" s="23" t="s">
        <v>77</v>
      </c>
      <c r="H4758" s="24">
        <v>3097</v>
      </c>
      <c r="I4758" s="24">
        <v>52.65</v>
      </c>
      <c r="J4758" s="24">
        <v>9.48</v>
      </c>
      <c r="K4758" s="24">
        <v>3034.87</v>
      </c>
      <c r="L4758" s="38">
        <v>46293</v>
      </c>
      <c r="M4758" s="23" t="s">
        <v>228</v>
      </c>
      <c r="N4758" s="23" t="str">
        <f>IF(COUNTIF($A$2:A4758,A4758)&gt;1,"DUP","OK")</f>
        <v>OK</v>
      </c>
      <c r="O4758" s="23" t="str">
        <f t="shared" si="223"/>
        <v>ORD26000796</v>
      </c>
      <c r="P4758" s="23" t="str">
        <f t="shared" si="224"/>
        <v>Sep</v>
      </c>
      <c r="Q4758" s="23" t="str">
        <f>IF(F4758="CAPTURE",IF(COUNTIF(orders!$A:$A,O4758)&gt;0,"Yes","NO ORDER"),"")</f>
        <v>Yes</v>
      </c>
    </row>
    <row r="4759" spans="1:17" ht="15" customHeight="1" x14ac:dyDescent="0.3">
      <c r="A4759" s="23" t="s">
        <v>17898</v>
      </c>
      <c r="B4759" s="23"/>
      <c r="C4759" s="23" t="s">
        <v>17899</v>
      </c>
      <c r="D4759" s="23" t="str">
        <f t="shared" si="222"/>
        <v>ORD26000819</v>
      </c>
      <c r="E4759" s="38">
        <v>46291</v>
      </c>
      <c r="F4759" s="23" t="s">
        <v>12410</v>
      </c>
      <c r="G4759" s="23" t="s">
        <v>75</v>
      </c>
      <c r="H4759" s="24">
        <v>1499</v>
      </c>
      <c r="I4759" s="24">
        <v>0</v>
      </c>
      <c r="J4759" s="24">
        <v>0</v>
      </c>
      <c r="K4759" s="24">
        <v>1499</v>
      </c>
      <c r="L4759" s="38">
        <v>46293</v>
      </c>
      <c r="M4759" s="23" t="s">
        <v>228</v>
      </c>
      <c r="N4759" s="23" t="str">
        <f>IF(COUNTIF($A$2:A4759,A4759)&gt;1,"DUP","OK")</f>
        <v>OK</v>
      </c>
      <c r="O4759" s="23" t="str">
        <f t="shared" si="223"/>
        <v>ORD26000819</v>
      </c>
      <c r="P4759" s="23" t="str">
        <f t="shared" si="224"/>
        <v>Sep</v>
      </c>
      <c r="Q4759" s="23" t="str">
        <f>IF(F4759="CAPTURE",IF(COUNTIF(orders!$A:$A,O4759)&gt;0,"Yes","NO ORDER"),"")</f>
        <v>Yes</v>
      </c>
    </row>
    <row r="4760" spans="1:17" ht="15" customHeight="1" x14ac:dyDescent="0.3">
      <c r="A4760" s="23" t="s">
        <v>17900</v>
      </c>
      <c r="B4760" s="23"/>
      <c r="C4760" s="23" t="s">
        <v>2107</v>
      </c>
      <c r="D4760" s="23" t="str">
        <f t="shared" si="222"/>
        <v>ORD26000829</v>
      </c>
      <c r="E4760" s="38">
        <v>46291</v>
      </c>
      <c r="F4760" s="23" t="s">
        <v>12410</v>
      </c>
      <c r="G4760" s="23" t="s">
        <v>77</v>
      </c>
      <c r="H4760" s="24">
        <v>3597</v>
      </c>
      <c r="I4760" s="24">
        <v>61.15</v>
      </c>
      <c r="J4760" s="24">
        <v>11.01</v>
      </c>
      <c r="K4760" s="24">
        <v>3524.84</v>
      </c>
      <c r="L4760" s="38">
        <v>46293</v>
      </c>
      <c r="M4760" s="23" t="s">
        <v>228</v>
      </c>
      <c r="N4760" s="23" t="str">
        <f>IF(COUNTIF($A$2:A4760,A4760)&gt;1,"DUP","OK")</f>
        <v>OK</v>
      </c>
      <c r="O4760" s="23" t="str">
        <f t="shared" si="223"/>
        <v>ORD26000829</v>
      </c>
      <c r="P4760" s="23" t="str">
        <f t="shared" si="224"/>
        <v>Sep</v>
      </c>
      <c r="Q4760" s="23" t="str">
        <f>IF(F4760="CAPTURE",IF(COUNTIF(orders!$A:$A,O4760)&gt;0,"Yes","NO ORDER"),"")</f>
        <v>Yes</v>
      </c>
    </row>
    <row r="4761" spans="1:17" ht="15" customHeight="1" x14ac:dyDescent="0.3">
      <c r="A4761" s="23" t="s">
        <v>17901</v>
      </c>
      <c r="B4761" s="23"/>
      <c r="C4761" s="23" t="s">
        <v>2237</v>
      </c>
      <c r="D4761" s="23" t="str">
        <f t="shared" si="222"/>
        <v>ORD26000891</v>
      </c>
      <c r="E4761" s="38">
        <v>46291</v>
      </c>
      <c r="F4761" s="23" t="s">
        <v>12410</v>
      </c>
      <c r="G4761" s="23" t="s">
        <v>75</v>
      </c>
      <c r="H4761" s="24">
        <v>349</v>
      </c>
      <c r="I4761" s="24">
        <v>0</v>
      </c>
      <c r="J4761" s="24">
        <v>0</v>
      </c>
      <c r="K4761" s="24">
        <v>349</v>
      </c>
      <c r="L4761" s="38">
        <v>46293</v>
      </c>
      <c r="M4761" s="23" t="s">
        <v>228</v>
      </c>
      <c r="N4761" s="23" t="str">
        <f>IF(COUNTIF($A$2:A4761,A4761)&gt;1,"DUP","OK")</f>
        <v>OK</v>
      </c>
      <c r="O4761" s="23" t="str">
        <f t="shared" si="223"/>
        <v>ORD26000891</v>
      </c>
      <c r="P4761" s="23" t="str">
        <f t="shared" si="224"/>
        <v>Sep</v>
      </c>
      <c r="Q4761" s="23" t="str">
        <f>IF(F4761="CAPTURE",IF(COUNTIF(orders!$A:$A,O4761)&gt;0,"Yes","NO ORDER"),"")</f>
        <v>Yes</v>
      </c>
    </row>
    <row r="4762" spans="1:17" ht="15" customHeight="1" x14ac:dyDescent="0.3">
      <c r="A4762" s="23" t="s">
        <v>17902</v>
      </c>
      <c r="B4762" s="23"/>
      <c r="C4762" s="23" t="s">
        <v>2327</v>
      </c>
      <c r="D4762" s="23" t="str">
        <f t="shared" si="222"/>
        <v>ORD26000935</v>
      </c>
      <c r="E4762" s="38">
        <v>46291</v>
      </c>
      <c r="F4762" s="23" t="s">
        <v>12410</v>
      </c>
      <c r="G4762" s="23" t="s">
        <v>77</v>
      </c>
      <c r="H4762" s="24">
        <v>1499</v>
      </c>
      <c r="I4762" s="24">
        <v>28.48</v>
      </c>
      <c r="J4762" s="24">
        <v>5.13</v>
      </c>
      <c r="K4762" s="24">
        <v>1465.39</v>
      </c>
      <c r="L4762" s="38">
        <v>46293</v>
      </c>
      <c r="M4762" s="23" t="s">
        <v>228</v>
      </c>
      <c r="N4762" s="23" t="str">
        <f>IF(COUNTIF($A$2:A4762,A4762)&gt;1,"DUP","OK")</f>
        <v>OK</v>
      </c>
      <c r="O4762" s="23" t="str">
        <f t="shared" si="223"/>
        <v>ORD26000935</v>
      </c>
      <c r="P4762" s="23" t="str">
        <f t="shared" si="224"/>
        <v>Sep</v>
      </c>
      <c r="Q4762" s="23" t="str">
        <f>IF(F4762="CAPTURE",IF(COUNTIF(orders!$A:$A,O4762)&gt;0,"Yes","NO ORDER"),"")</f>
        <v>Yes</v>
      </c>
    </row>
    <row r="4763" spans="1:17" ht="15" customHeight="1" x14ac:dyDescent="0.3">
      <c r="A4763" s="23" t="s">
        <v>17903</v>
      </c>
      <c r="B4763" s="23"/>
      <c r="C4763" s="23" t="s">
        <v>2371</v>
      </c>
      <c r="D4763" s="23" t="str">
        <f t="shared" si="222"/>
        <v>ORD26000956</v>
      </c>
      <c r="E4763" s="38">
        <v>46291</v>
      </c>
      <c r="F4763" s="23" t="s">
        <v>12410</v>
      </c>
      <c r="G4763" s="23" t="s">
        <v>75</v>
      </c>
      <c r="H4763" s="24">
        <v>349</v>
      </c>
      <c r="I4763" s="24">
        <v>0</v>
      </c>
      <c r="J4763" s="24">
        <v>0</v>
      </c>
      <c r="K4763" s="24">
        <v>349</v>
      </c>
      <c r="L4763" s="38">
        <v>46293</v>
      </c>
      <c r="M4763" s="23" t="s">
        <v>228</v>
      </c>
      <c r="N4763" s="23" t="str">
        <f>IF(COUNTIF($A$2:A4763,A4763)&gt;1,"DUP","OK")</f>
        <v>OK</v>
      </c>
      <c r="O4763" s="23" t="str">
        <f t="shared" si="223"/>
        <v>ORD26000956</v>
      </c>
      <c r="P4763" s="23" t="str">
        <f t="shared" si="224"/>
        <v>Sep</v>
      </c>
      <c r="Q4763" s="23" t="str">
        <f>IF(F4763="CAPTURE",IF(COUNTIF(orders!$A:$A,O4763)&gt;0,"Yes","NO ORDER"),"")</f>
        <v>Yes</v>
      </c>
    </row>
    <row r="4764" spans="1:17" ht="15" customHeight="1" x14ac:dyDescent="0.3">
      <c r="A4764" s="23" t="s">
        <v>17904</v>
      </c>
      <c r="B4764" s="23"/>
      <c r="C4764" s="23" t="s">
        <v>2416</v>
      </c>
      <c r="D4764" s="23" t="str">
        <f t="shared" si="222"/>
        <v>ORD26000978</v>
      </c>
      <c r="E4764" s="38">
        <v>46291</v>
      </c>
      <c r="F4764" s="23" t="s">
        <v>12410</v>
      </c>
      <c r="G4764" s="23" t="s">
        <v>81</v>
      </c>
      <c r="H4764" s="24">
        <v>1299</v>
      </c>
      <c r="I4764" s="24">
        <v>19.489999999999998</v>
      </c>
      <c r="J4764" s="24">
        <v>3.51</v>
      </c>
      <c r="K4764" s="24">
        <v>1276</v>
      </c>
      <c r="L4764" s="38">
        <v>46293</v>
      </c>
      <c r="M4764" s="23" t="s">
        <v>228</v>
      </c>
      <c r="N4764" s="23" t="str">
        <f>IF(COUNTIF($A$2:A4764,A4764)&gt;1,"DUP","OK")</f>
        <v>OK</v>
      </c>
      <c r="O4764" s="23" t="str">
        <f t="shared" si="223"/>
        <v>ORD26000978</v>
      </c>
      <c r="P4764" s="23" t="str">
        <f t="shared" si="224"/>
        <v>Sep</v>
      </c>
      <c r="Q4764" s="23" t="str">
        <f>IF(F4764="CAPTURE",IF(COUNTIF(orders!$A:$A,O4764)&gt;0,"Yes","NO ORDER"),"")</f>
        <v>Yes</v>
      </c>
    </row>
    <row r="4765" spans="1:17" ht="15" customHeight="1" x14ac:dyDescent="0.3">
      <c r="A4765" s="23" t="s">
        <v>17905</v>
      </c>
      <c r="B4765" s="23"/>
      <c r="C4765" s="23" t="s">
        <v>2460</v>
      </c>
      <c r="D4765" s="23" t="str">
        <f t="shared" si="222"/>
        <v>ORD26001000</v>
      </c>
      <c r="E4765" s="38">
        <v>46291</v>
      </c>
      <c r="F4765" s="23" t="s">
        <v>12410</v>
      </c>
      <c r="G4765" s="23" t="s">
        <v>81</v>
      </c>
      <c r="H4765" s="24">
        <v>5497</v>
      </c>
      <c r="I4765" s="24">
        <v>65.959999999999994</v>
      </c>
      <c r="J4765" s="24">
        <v>11.87</v>
      </c>
      <c r="K4765" s="24">
        <v>5419.17</v>
      </c>
      <c r="L4765" s="38">
        <v>46293</v>
      </c>
      <c r="M4765" s="23" t="s">
        <v>228</v>
      </c>
      <c r="N4765" s="23" t="str">
        <f>IF(COUNTIF($A$2:A4765,A4765)&gt;1,"DUP","OK")</f>
        <v>OK</v>
      </c>
      <c r="O4765" s="23" t="str">
        <f t="shared" si="223"/>
        <v>ORD26001000</v>
      </c>
      <c r="P4765" s="23" t="str">
        <f t="shared" si="224"/>
        <v>Sep</v>
      </c>
      <c r="Q4765" s="23" t="str">
        <f>IF(F4765="CAPTURE",IF(COUNTIF(orders!$A:$A,O4765)&gt;0,"Yes","NO ORDER"),"")</f>
        <v>Yes</v>
      </c>
    </row>
    <row r="4766" spans="1:17" ht="15" customHeight="1" x14ac:dyDescent="0.3">
      <c r="A4766" s="23" t="s">
        <v>17906</v>
      </c>
      <c r="B4766" s="23"/>
      <c r="C4766" s="23" t="s">
        <v>2672</v>
      </c>
      <c r="D4766" s="23" t="str">
        <f t="shared" si="222"/>
        <v>ORD26001103</v>
      </c>
      <c r="E4766" s="38">
        <v>46291</v>
      </c>
      <c r="F4766" s="23" t="s">
        <v>12410</v>
      </c>
      <c r="G4766" s="23" t="s">
        <v>75</v>
      </c>
      <c r="H4766" s="24">
        <v>2499</v>
      </c>
      <c r="I4766" s="24">
        <v>7.5</v>
      </c>
      <c r="J4766" s="24">
        <v>1.35</v>
      </c>
      <c r="K4766" s="24">
        <v>2490.15</v>
      </c>
      <c r="L4766" s="38">
        <v>46293</v>
      </c>
      <c r="M4766" s="23" t="s">
        <v>228</v>
      </c>
      <c r="N4766" s="23" t="str">
        <f>IF(COUNTIF($A$2:A4766,A4766)&gt;1,"DUP","OK")</f>
        <v>OK</v>
      </c>
      <c r="O4766" s="23" t="str">
        <f t="shared" si="223"/>
        <v>ORD26001103</v>
      </c>
      <c r="P4766" s="23" t="str">
        <f t="shared" si="224"/>
        <v>Sep</v>
      </c>
      <c r="Q4766" s="23" t="str">
        <f>IF(F4766="CAPTURE",IF(COUNTIF(orders!$A:$A,O4766)&gt;0,"Yes","NO ORDER"),"")</f>
        <v>Yes</v>
      </c>
    </row>
    <row r="4767" spans="1:17" ht="15" customHeight="1" x14ac:dyDescent="0.3">
      <c r="A4767" s="23" t="s">
        <v>17907</v>
      </c>
      <c r="B4767" s="23"/>
      <c r="C4767" s="23" t="s">
        <v>17908</v>
      </c>
      <c r="D4767" s="23" t="str">
        <f t="shared" si="222"/>
        <v>ORD26001133</v>
      </c>
      <c r="E4767" s="38">
        <v>46291</v>
      </c>
      <c r="F4767" s="23" t="s">
        <v>12410</v>
      </c>
      <c r="G4767" s="23" t="s">
        <v>79</v>
      </c>
      <c r="H4767" s="24">
        <v>2999</v>
      </c>
      <c r="I4767" s="24">
        <v>47.98</v>
      </c>
      <c r="J4767" s="24">
        <v>8.64</v>
      </c>
      <c r="K4767" s="24">
        <v>2942.38</v>
      </c>
      <c r="L4767" s="38">
        <v>46293</v>
      </c>
      <c r="M4767" s="23" t="s">
        <v>228</v>
      </c>
      <c r="N4767" s="23" t="str">
        <f>IF(COUNTIF($A$2:A4767,A4767)&gt;1,"DUP","OK")</f>
        <v>OK</v>
      </c>
      <c r="O4767" s="23" t="str">
        <f t="shared" si="223"/>
        <v>ORD26001133</v>
      </c>
      <c r="P4767" s="23" t="str">
        <f t="shared" si="224"/>
        <v>Sep</v>
      </c>
      <c r="Q4767" s="23" t="str">
        <f>IF(F4767="CAPTURE",IF(COUNTIF(orders!$A:$A,O4767)&gt;0,"Yes","NO ORDER"),"")</f>
        <v>Yes</v>
      </c>
    </row>
    <row r="4768" spans="1:17" ht="15" customHeight="1" x14ac:dyDescent="0.3">
      <c r="A4768" s="23" t="s">
        <v>17909</v>
      </c>
      <c r="B4768" s="23"/>
      <c r="C4768" s="23" t="s">
        <v>2974</v>
      </c>
      <c r="D4768" s="23" t="str">
        <f t="shared" si="222"/>
        <v>ORD26001251</v>
      </c>
      <c r="E4768" s="38">
        <v>46291</v>
      </c>
      <c r="F4768" s="23" t="s">
        <v>12410</v>
      </c>
      <c r="G4768" s="23" t="s">
        <v>75</v>
      </c>
      <c r="H4768" s="24">
        <v>499</v>
      </c>
      <c r="I4768" s="24">
        <v>0</v>
      </c>
      <c r="J4768" s="24">
        <v>0</v>
      </c>
      <c r="K4768" s="24">
        <v>499</v>
      </c>
      <c r="L4768" s="38">
        <v>46293</v>
      </c>
      <c r="M4768" s="23" t="s">
        <v>228</v>
      </c>
      <c r="N4768" s="23" t="str">
        <f>IF(COUNTIF($A$2:A4768,A4768)&gt;1,"DUP","OK")</f>
        <v>OK</v>
      </c>
      <c r="O4768" s="23" t="str">
        <f t="shared" si="223"/>
        <v>ORD26001251</v>
      </c>
      <c r="P4768" s="23" t="str">
        <f t="shared" si="224"/>
        <v>Sep</v>
      </c>
      <c r="Q4768" s="23" t="str">
        <f>IF(F4768="CAPTURE",IF(COUNTIF(orders!$A:$A,O4768)&gt;0,"Yes","NO ORDER"),"")</f>
        <v>Yes</v>
      </c>
    </row>
    <row r="4769" spans="1:17" ht="15" customHeight="1" x14ac:dyDescent="0.3">
      <c r="A4769" s="23" t="s">
        <v>17910</v>
      </c>
      <c r="B4769" s="23"/>
      <c r="C4769" s="23" t="s">
        <v>3075</v>
      </c>
      <c r="D4769" s="23" t="str">
        <f t="shared" si="222"/>
        <v>ORD26001300</v>
      </c>
      <c r="E4769" s="38">
        <v>46291</v>
      </c>
      <c r="F4769" s="23" t="s">
        <v>12410</v>
      </c>
      <c r="G4769" s="23" t="s">
        <v>75</v>
      </c>
      <c r="H4769" s="24">
        <v>999</v>
      </c>
      <c r="I4769" s="24">
        <v>0</v>
      </c>
      <c r="J4769" s="24">
        <v>0</v>
      </c>
      <c r="K4769" s="24">
        <v>999</v>
      </c>
      <c r="L4769" s="38">
        <v>46293</v>
      </c>
      <c r="M4769" s="23" t="s">
        <v>228</v>
      </c>
      <c r="N4769" s="23" t="str">
        <f>IF(COUNTIF($A$2:A4769,A4769)&gt;1,"DUP","OK")</f>
        <v>OK</v>
      </c>
      <c r="O4769" s="23" t="str">
        <f t="shared" si="223"/>
        <v>ORD26001300</v>
      </c>
      <c r="P4769" s="23" t="str">
        <f t="shared" si="224"/>
        <v>Sep</v>
      </c>
      <c r="Q4769" s="23" t="str">
        <f>IF(F4769="CAPTURE",IF(COUNTIF(orders!$A:$A,O4769)&gt;0,"Yes","NO ORDER"),"")</f>
        <v>Yes</v>
      </c>
    </row>
    <row r="4770" spans="1:17" ht="15" customHeight="1" x14ac:dyDescent="0.3">
      <c r="A4770" s="23" t="s">
        <v>17911</v>
      </c>
      <c r="B4770" s="23"/>
      <c r="C4770" s="23" t="s">
        <v>3105</v>
      </c>
      <c r="D4770" s="23" t="str">
        <f t="shared" si="222"/>
        <v>ORD26001314</v>
      </c>
      <c r="E4770" s="38">
        <v>46291</v>
      </c>
      <c r="F4770" s="23" t="s">
        <v>12410</v>
      </c>
      <c r="G4770" s="23" t="s">
        <v>79</v>
      </c>
      <c r="H4770" s="24">
        <v>999</v>
      </c>
      <c r="I4770" s="24">
        <v>17.98</v>
      </c>
      <c r="J4770" s="24">
        <v>3.24</v>
      </c>
      <c r="K4770" s="24">
        <v>977.78</v>
      </c>
      <c r="L4770" s="38">
        <v>46293</v>
      </c>
      <c r="M4770" s="23" t="s">
        <v>228</v>
      </c>
      <c r="N4770" s="23" t="str">
        <f>IF(COUNTIF($A$2:A4770,A4770)&gt;1,"DUP","OK")</f>
        <v>OK</v>
      </c>
      <c r="O4770" s="23" t="str">
        <f t="shared" si="223"/>
        <v>ORD26001314</v>
      </c>
      <c r="P4770" s="23" t="str">
        <f t="shared" si="224"/>
        <v>Sep</v>
      </c>
      <c r="Q4770" s="23" t="str">
        <f>IF(F4770="CAPTURE",IF(COUNTIF(orders!$A:$A,O4770)&gt;0,"Yes","NO ORDER"),"")</f>
        <v>Yes</v>
      </c>
    </row>
    <row r="4771" spans="1:17" ht="15" customHeight="1" x14ac:dyDescent="0.3">
      <c r="A4771" s="23" t="s">
        <v>17912</v>
      </c>
      <c r="B4771" s="23"/>
      <c r="C4771" s="23" t="s">
        <v>3124</v>
      </c>
      <c r="D4771" s="23" t="str">
        <f t="shared" si="222"/>
        <v>ORD26001323</v>
      </c>
      <c r="E4771" s="38">
        <v>46291</v>
      </c>
      <c r="F4771" s="23" t="s">
        <v>12410</v>
      </c>
      <c r="G4771" s="23" t="s">
        <v>75</v>
      </c>
      <c r="H4771" s="24">
        <v>1798</v>
      </c>
      <c r="I4771" s="24">
        <v>0</v>
      </c>
      <c r="J4771" s="24">
        <v>0</v>
      </c>
      <c r="K4771" s="24">
        <v>1798</v>
      </c>
      <c r="L4771" s="38">
        <v>46293</v>
      </c>
      <c r="M4771" s="23" t="s">
        <v>228</v>
      </c>
      <c r="N4771" s="23" t="str">
        <f>IF(COUNTIF($A$2:A4771,A4771)&gt;1,"DUP","OK")</f>
        <v>OK</v>
      </c>
      <c r="O4771" s="23" t="str">
        <f t="shared" si="223"/>
        <v>ORD26001323</v>
      </c>
      <c r="P4771" s="23" t="str">
        <f t="shared" si="224"/>
        <v>Sep</v>
      </c>
      <c r="Q4771" s="23" t="str">
        <f>IF(F4771="CAPTURE",IF(COUNTIF(orders!$A:$A,O4771)&gt;0,"Yes","NO ORDER"),"")</f>
        <v>Yes</v>
      </c>
    </row>
    <row r="4772" spans="1:17" ht="15" customHeight="1" x14ac:dyDescent="0.3">
      <c r="A4772" s="23" t="s">
        <v>17913</v>
      </c>
      <c r="B4772" s="23"/>
      <c r="C4772" s="23" t="s">
        <v>3140</v>
      </c>
      <c r="D4772" s="23" t="str">
        <f t="shared" si="222"/>
        <v>ORD26001331</v>
      </c>
      <c r="E4772" s="38">
        <v>46291</v>
      </c>
      <c r="F4772" s="23" t="s">
        <v>12410</v>
      </c>
      <c r="G4772" s="23" t="s">
        <v>75</v>
      </c>
      <c r="H4772" s="24">
        <v>6498</v>
      </c>
      <c r="I4772" s="24">
        <v>19.489999999999998</v>
      </c>
      <c r="J4772" s="24">
        <v>3.51</v>
      </c>
      <c r="K4772" s="24">
        <v>6475</v>
      </c>
      <c r="L4772" s="38">
        <v>46293</v>
      </c>
      <c r="M4772" s="23" t="s">
        <v>228</v>
      </c>
      <c r="N4772" s="23" t="str">
        <f>IF(COUNTIF($A$2:A4772,A4772)&gt;1,"DUP","OK")</f>
        <v>OK</v>
      </c>
      <c r="O4772" s="23" t="str">
        <f t="shared" si="223"/>
        <v>ORD26001331</v>
      </c>
      <c r="P4772" s="23" t="str">
        <f t="shared" si="224"/>
        <v>Sep</v>
      </c>
      <c r="Q4772" s="23" t="str">
        <f>IF(F4772="CAPTURE",IF(COUNTIF(orders!$A:$A,O4772)&gt;0,"Yes","NO ORDER"),"")</f>
        <v>Yes</v>
      </c>
    </row>
    <row r="4773" spans="1:17" ht="15" customHeight="1" x14ac:dyDescent="0.3">
      <c r="A4773" s="23" t="s">
        <v>17914</v>
      </c>
      <c r="B4773" s="23"/>
      <c r="C4773" s="23" t="s">
        <v>3229</v>
      </c>
      <c r="D4773" s="23" t="str">
        <f t="shared" si="222"/>
        <v>ORD26001374</v>
      </c>
      <c r="E4773" s="38">
        <v>46291</v>
      </c>
      <c r="F4773" s="23" t="s">
        <v>12410</v>
      </c>
      <c r="G4773" s="23" t="s">
        <v>75</v>
      </c>
      <c r="H4773" s="24">
        <v>799</v>
      </c>
      <c r="I4773" s="24">
        <v>0</v>
      </c>
      <c r="J4773" s="24">
        <v>0</v>
      </c>
      <c r="K4773" s="24">
        <v>799</v>
      </c>
      <c r="L4773" s="38">
        <v>46293</v>
      </c>
      <c r="M4773" s="23" t="s">
        <v>228</v>
      </c>
      <c r="N4773" s="23" t="str">
        <f>IF(COUNTIF($A$2:A4773,A4773)&gt;1,"DUP","OK")</f>
        <v>OK</v>
      </c>
      <c r="O4773" s="23" t="str">
        <f t="shared" si="223"/>
        <v>ORD26001374</v>
      </c>
      <c r="P4773" s="23" t="str">
        <f t="shared" si="224"/>
        <v>Sep</v>
      </c>
      <c r="Q4773" s="23" t="str">
        <f>IF(F4773="CAPTURE",IF(COUNTIF(orders!$A:$A,O4773)&gt;0,"Yes","NO ORDER"),"")</f>
        <v>Yes</v>
      </c>
    </row>
    <row r="4774" spans="1:17" ht="15" customHeight="1" x14ac:dyDescent="0.3">
      <c r="A4774" s="23" t="s">
        <v>17915</v>
      </c>
      <c r="B4774" s="23"/>
      <c r="C4774" s="23" t="s">
        <v>3237</v>
      </c>
      <c r="D4774" s="23" t="str">
        <f t="shared" si="222"/>
        <v>ORD26001378</v>
      </c>
      <c r="E4774" s="38">
        <v>46291</v>
      </c>
      <c r="F4774" s="23" t="s">
        <v>12410</v>
      </c>
      <c r="G4774" s="23" t="s">
        <v>75</v>
      </c>
      <c r="H4774" s="24">
        <v>599</v>
      </c>
      <c r="I4774" s="24">
        <v>0</v>
      </c>
      <c r="J4774" s="24">
        <v>0</v>
      </c>
      <c r="K4774" s="24">
        <v>599</v>
      </c>
      <c r="L4774" s="38">
        <v>46293</v>
      </c>
      <c r="M4774" s="23" t="s">
        <v>228</v>
      </c>
      <c r="N4774" s="23" t="str">
        <f>IF(COUNTIF($A$2:A4774,A4774)&gt;1,"DUP","OK")</f>
        <v>OK</v>
      </c>
      <c r="O4774" s="23" t="str">
        <f t="shared" si="223"/>
        <v>ORD26001378</v>
      </c>
      <c r="P4774" s="23" t="str">
        <f t="shared" si="224"/>
        <v>Sep</v>
      </c>
      <c r="Q4774" s="23" t="str">
        <f>IF(F4774="CAPTURE",IF(COUNTIF(orders!$A:$A,O4774)&gt;0,"Yes","NO ORDER"),"")</f>
        <v>Yes</v>
      </c>
    </row>
    <row r="4775" spans="1:17" ht="15" customHeight="1" x14ac:dyDescent="0.3">
      <c r="A4775" s="23" t="s">
        <v>17916</v>
      </c>
      <c r="B4775" s="23"/>
      <c r="C4775" s="23" t="s">
        <v>3300</v>
      </c>
      <c r="D4775" s="23" t="str">
        <f t="shared" si="222"/>
        <v>ORD26001409</v>
      </c>
      <c r="E4775" s="38">
        <v>46291</v>
      </c>
      <c r="F4775" s="23" t="s">
        <v>12410</v>
      </c>
      <c r="G4775" s="23" t="s">
        <v>79</v>
      </c>
      <c r="H4775" s="24">
        <v>349</v>
      </c>
      <c r="I4775" s="24">
        <v>6.28</v>
      </c>
      <c r="J4775" s="24">
        <v>1.1299999999999999</v>
      </c>
      <c r="K4775" s="24">
        <v>341.59</v>
      </c>
      <c r="L4775" s="38">
        <v>46293</v>
      </c>
      <c r="M4775" s="23" t="s">
        <v>228</v>
      </c>
      <c r="N4775" s="23" t="str">
        <f>IF(COUNTIF($A$2:A4775,A4775)&gt;1,"DUP","OK")</f>
        <v>OK</v>
      </c>
      <c r="O4775" s="23" t="str">
        <f t="shared" si="223"/>
        <v>ORD26001409</v>
      </c>
      <c r="P4775" s="23" t="str">
        <f t="shared" si="224"/>
        <v>Sep</v>
      </c>
      <c r="Q4775" s="23" t="str">
        <f>IF(F4775="CAPTURE",IF(COUNTIF(orders!$A:$A,O4775)&gt;0,"Yes","NO ORDER"),"")</f>
        <v>Yes</v>
      </c>
    </row>
    <row r="4776" spans="1:17" ht="15" customHeight="1" x14ac:dyDescent="0.3">
      <c r="A4776" s="23" t="s">
        <v>17917</v>
      </c>
      <c r="B4776" s="23"/>
      <c r="C4776" s="23" t="s">
        <v>3383</v>
      </c>
      <c r="D4776" s="23" t="str">
        <f t="shared" si="222"/>
        <v>ORD26001450</v>
      </c>
      <c r="E4776" s="38">
        <v>46291</v>
      </c>
      <c r="F4776" s="23" t="s">
        <v>12410</v>
      </c>
      <c r="G4776" s="23" t="s">
        <v>79</v>
      </c>
      <c r="H4776" s="24">
        <v>1798</v>
      </c>
      <c r="I4776" s="24">
        <v>32.36</v>
      </c>
      <c r="J4776" s="24">
        <v>5.82</v>
      </c>
      <c r="K4776" s="24">
        <v>1759.82</v>
      </c>
      <c r="L4776" s="38">
        <v>46293</v>
      </c>
      <c r="M4776" s="23" t="s">
        <v>228</v>
      </c>
      <c r="N4776" s="23" t="str">
        <f>IF(COUNTIF($A$2:A4776,A4776)&gt;1,"DUP","OK")</f>
        <v>OK</v>
      </c>
      <c r="O4776" s="23" t="str">
        <f t="shared" si="223"/>
        <v>ORD26001450</v>
      </c>
      <c r="P4776" s="23" t="str">
        <f t="shared" si="224"/>
        <v>Sep</v>
      </c>
      <c r="Q4776" s="23" t="str">
        <f>IF(F4776="CAPTURE",IF(COUNTIF(orders!$A:$A,O4776)&gt;0,"Yes","NO ORDER"),"")</f>
        <v>Yes</v>
      </c>
    </row>
    <row r="4777" spans="1:17" ht="15" customHeight="1" x14ac:dyDescent="0.3">
      <c r="A4777" s="23" t="s">
        <v>17918</v>
      </c>
      <c r="B4777" s="23"/>
      <c r="C4777" s="23" t="s">
        <v>3473</v>
      </c>
      <c r="D4777" s="23" t="str">
        <f t="shared" si="222"/>
        <v>ORD26001494</v>
      </c>
      <c r="E4777" s="38">
        <v>46291</v>
      </c>
      <c r="F4777" s="23" t="s">
        <v>12410</v>
      </c>
      <c r="G4777" s="23" t="s">
        <v>79</v>
      </c>
      <c r="H4777" s="24">
        <v>349</v>
      </c>
      <c r="I4777" s="24">
        <v>6.28</v>
      </c>
      <c r="J4777" s="24">
        <v>1.1299999999999999</v>
      </c>
      <c r="K4777" s="24">
        <v>341.59</v>
      </c>
      <c r="L4777" s="38">
        <v>46293</v>
      </c>
      <c r="M4777" s="23" t="s">
        <v>228</v>
      </c>
      <c r="N4777" s="23" t="str">
        <f>IF(COUNTIF($A$2:A4777,A4777)&gt;1,"DUP","OK")</f>
        <v>OK</v>
      </c>
      <c r="O4777" s="23" t="str">
        <f t="shared" si="223"/>
        <v>ORD26001494</v>
      </c>
      <c r="P4777" s="23" t="str">
        <f t="shared" si="224"/>
        <v>Sep</v>
      </c>
      <c r="Q4777" s="23" t="str">
        <f>IF(F4777="CAPTURE",IF(COUNTIF(orders!$A:$A,O4777)&gt;0,"Yes","NO ORDER"),"")</f>
        <v>Yes</v>
      </c>
    </row>
    <row r="4778" spans="1:17" ht="15" customHeight="1" x14ac:dyDescent="0.3">
      <c r="A4778" s="23" t="s">
        <v>17919</v>
      </c>
      <c r="B4778" s="23"/>
      <c r="C4778" s="23" t="s">
        <v>3617</v>
      </c>
      <c r="D4778" s="23" t="str">
        <f t="shared" si="222"/>
        <v>ORD26001565</v>
      </c>
      <c r="E4778" s="38">
        <v>46291</v>
      </c>
      <c r="F4778" s="23" t="s">
        <v>12410</v>
      </c>
      <c r="G4778" s="23" t="s">
        <v>79</v>
      </c>
      <c r="H4778" s="24">
        <v>1499</v>
      </c>
      <c r="I4778" s="24">
        <v>26.98</v>
      </c>
      <c r="J4778" s="24">
        <v>4.8600000000000003</v>
      </c>
      <c r="K4778" s="24">
        <v>1467.16</v>
      </c>
      <c r="L4778" s="38">
        <v>46293</v>
      </c>
      <c r="M4778" s="23" t="s">
        <v>228</v>
      </c>
      <c r="N4778" s="23" t="str">
        <f>IF(COUNTIF($A$2:A4778,A4778)&gt;1,"DUP","OK")</f>
        <v>OK</v>
      </c>
      <c r="O4778" s="23" t="str">
        <f t="shared" si="223"/>
        <v>ORD26001565</v>
      </c>
      <c r="P4778" s="23" t="str">
        <f t="shared" si="224"/>
        <v>Sep</v>
      </c>
      <c r="Q4778" s="23" t="str">
        <f>IF(F4778="CAPTURE",IF(COUNTIF(orders!$A:$A,O4778)&gt;0,"Yes","NO ORDER"),"")</f>
        <v>Yes</v>
      </c>
    </row>
    <row r="4779" spans="1:17" ht="15" customHeight="1" x14ac:dyDescent="0.3">
      <c r="A4779" s="23" t="s">
        <v>17920</v>
      </c>
      <c r="B4779" s="23"/>
      <c r="C4779" s="23" t="s">
        <v>3785</v>
      </c>
      <c r="D4779" s="23" t="str">
        <f t="shared" si="222"/>
        <v>ORD26001650</v>
      </c>
      <c r="E4779" s="38">
        <v>46291</v>
      </c>
      <c r="F4779" s="23" t="s">
        <v>12410</v>
      </c>
      <c r="G4779" s="23" t="s">
        <v>75</v>
      </c>
      <c r="H4779" s="24">
        <v>999</v>
      </c>
      <c r="I4779" s="24">
        <v>0</v>
      </c>
      <c r="J4779" s="24">
        <v>0</v>
      </c>
      <c r="K4779" s="24">
        <v>999</v>
      </c>
      <c r="L4779" s="38">
        <v>46293</v>
      </c>
      <c r="M4779" s="23" t="s">
        <v>228</v>
      </c>
      <c r="N4779" s="23" t="str">
        <f>IF(COUNTIF($A$2:A4779,A4779)&gt;1,"DUP","OK")</f>
        <v>OK</v>
      </c>
      <c r="O4779" s="23" t="str">
        <f t="shared" si="223"/>
        <v>ORD26001650</v>
      </c>
      <c r="P4779" s="23" t="str">
        <f t="shared" si="224"/>
        <v>Sep</v>
      </c>
      <c r="Q4779" s="23" t="str">
        <f>IF(F4779="CAPTURE",IF(COUNTIF(orders!$A:$A,O4779)&gt;0,"Yes","NO ORDER"),"")</f>
        <v>Yes</v>
      </c>
    </row>
    <row r="4780" spans="1:17" ht="15" customHeight="1" x14ac:dyDescent="0.3">
      <c r="A4780" s="23" t="s">
        <v>17921</v>
      </c>
      <c r="B4780" s="23"/>
      <c r="C4780" s="23" t="s">
        <v>3819</v>
      </c>
      <c r="D4780" s="23" t="str">
        <f t="shared" si="222"/>
        <v>ORD26001667</v>
      </c>
      <c r="E4780" s="38">
        <v>46291</v>
      </c>
      <c r="F4780" s="23" t="s">
        <v>12410</v>
      </c>
      <c r="G4780" s="23" t="s">
        <v>79</v>
      </c>
      <c r="H4780" s="24">
        <v>9298</v>
      </c>
      <c r="I4780" s="24">
        <v>148.77000000000001</v>
      </c>
      <c r="J4780" s="24">
        <v>26.78</v>
      </c>
      <c r="K4780" s="24">
        <v>9122.4500000000007</v>
      </c>
      <c r="L4780" s="38">
        <v>46293</v>
      </c>
      <c r="M4780" s="23" t="s">
        <v>228</v>
      </c>
      <c r="N4780" s="23" t="str">
        <f>IF(COUNTIF($A$2:A4780,A4780)&gt;1,"DUP","OK")</f>
        <v>OK</v>
      </c>
      <c r="O4780" s="23" t="str">
        <f t="shared" si="223"/>
        <v>ORD26001667</v>
      </c>
      <c r="P4780" s="23" t="str">
        <f t="shared" si="224"/>
        <v>Sep</v>
      </c>
      <c r="Q4780" s="23" t="str">
        <f>IF(F4780="CAPTURE",IF(COUNTIF(orders!$A:$A,O4780)&gt;0,"Yes","NO ORDER"),"")</f>
        <v>Yes</v>
      </c>
    </row>
    <row r="4781" spans="1:17" ht="15" customHeight="1" x14ac:dyDescent="0.3">
      <c r="A4781" s="23" t="s">
        <v>17922</v>
      </c>
      <c r="B4781" s="23"/>
      <c r="C4781" s="23" t="s">
        <v>3831</v>
      </c>
      <c r="D4781" s="23" t="str">
        <f t="shared" si="222"/>
        <v>ORD26001673</v>
      </c>
      <c r="E4781" s="38">
        <v>46291</v>
      </c>
      <c r="F4781" s="23" t="s">
        <v>12410</v>
      </c>
      <c r="G4781" s="23" t="s">
        <v>75</v>
      </c>
      <c r="H4781" s="24">
        <v>3499</v>
      </c>
      <c r="I4781" s="24">
        <v>10.5</v>
      </c>
      <c r="J4781" s="24">
        <v>1.89</v>
      </c>
      <c r="K4781" s="24">
        <v>3486.61</v>
      </c>
      <c r="L4781" s="38">
        <v>46293</v>
      </c>
      <c r="M4781" s="23" t="s">
        <v>228</v>
      </c>
      <c r="N4781" s="23" t="str">
        <f>IF(COUNTIF($A$2:A4781,A4781)&gt;1,"DUP","OK")</f>
        <v>OK</v>
      </c>
      <c r="O4781" s="23" t="str">
        <f t="shared" si="223"/>
        <v>ORD26001673</v>
      </c>
      <c r="P4781" s="23" t="str">
        <f t="shared" si="224"/>
        <v>Sep</v>
      </c>
      <c r="Q4781" s="23" t="str">
        <f>IF(F4781="CAPTURE",IF(COUNTIF(orders!$A:$A,O4781)&gt;0,"Yes","NO ORDER"),"")</f>
        <v>Yes</v>
      </c>
    </row>
    <row r="4782" spans="1:17" ht="15" customHeight="1" x14ac:dyDescent="0.3">
      <c r="A4782" s="23" t="s">
        <v>17923</v>
      </c>
      <c r="B4782" s="23"/>
      <c r="C4782" s="23" t="s">
        <v>17924</v>
      </c>
      <c r="D4782" s="23" t="str">
        <f t="shared" si="222"/>
        <v>ORD26001713</v>
      </c>
      <c r="E4782" s="38">
        <v>46291</v>
      </c>
      <c r="F4782" s="23" t="s">
        <v>12410</v>
      </c>
      <c r="G4782" s="23" t="s">
        <v>79</v>
      </c>
      <c r="H4782" s="24">
        <v>848</v>
      </c>
      <c r="I4782" s="24">
        <v>15.26</v>
      </c>
      <c r="J4782" s="24">
        <v>2.75</v>
      </c>
      <c r="K4782" s="24">
        <v>829.99</v>
      </c>
      <c r="L4782" s="38">
        <v>46293</v>
      </c>
      <c r="M4782" s="23" t="s">
        <v>228</v>
      </c>
      <c r="N4782" s="23" t="str">
        <f>IF(COUNTIF($A$2:A4782,A4782)&gt;1,"DUP","OK")</f>
        <v>OK</v>
      </c>
      <c r="O4782" s="23" t="str">
        <f t="shared" si="223"/>
        <v>ORD26001713</v>
      </c>
      <c r="P4782" s="23" t="str">
        <f t="shared" si="224"/>
        <v>Sep</v>
      </c>
      <c r="Q4782" s="23" t="str">
        <f>IF(F4782="CAPTURE",IF(COUNTIF(orders!$A:$A,O4782)&gt;0,"Yes","NO ORDER"),"")</f>
        <v>Yes</v>
      </c>
    </row>
    <row r="4783" spans="1:17" ht="15" customHeight="1" x14ac:dyDescent="0.3">
      <c r="A4783" s="23" t="s">
        <v>17925</v>
      </c>
      <c r="B4783" s="23"/>
      <c r="C4783" s="23" t="s">
        <v>3919</v>
      </c>
      <c r="D4783" s="23" t="str">
        <f t="shared" si="222"/>
        <v>ORD26001716</v>
      </c>
      <c r="E4783" s="38">
        <v>46291</v>
      </c>
      <c r="F4783" s="23" t="s">
        <v>12410</v>
      </c>
      <c r="G4783" s="23" t="s">
        <v>75</v>
      </c>
      <c r="H4783" s="24">
        <v>2499</v>
      </c>
      <c r="I4783" s="24">
        <v>7.5</v>
      </c>
      <c r="J4783" s="24">
        <v>1.35</v>
      </c>
      <c r="K4783" s="24">
        <v>2490.15</v>
      </c>
      <c r="L4783" s="38">
        <v>46293</v>
      </c>
      <c r="M4783" s="23" t="s">
        <v>228</v>
      </c>
      <c r="N4783" s="23" t="str">
        <f>IF(COUNTIF($A$2:A4783,A4783)&gt;1,"DUP","OK")</f>
        <v>OK</v>
      </c>
      <c r="O4783" s="23" t="str">
        <f t="shared" si="223"/>
        <v>ORD26001716</v>
      </c>
      <c r="P4783" s="23" t="str">
        <f t="shared" si="224"/>
        <v>Sep</v>
      </c>
      <c r="Q4783" s="23" t="str">
        <f>IF(F4783="CAPTURE",IF(COUNTIF(orders!$A:$A,O4783)&gt;0,"Yes","NO ORDER"),"")</f>
        <v>Yes</v>
      </c>
    </row>
    <row r="4784" spans="1:17" ht="15" customHeight="1" x14ac:dyDescent="0.3">
      <c r="A4784" s="23" t="s">
        <v>17926</v>
      </c>
      <c r="B4784" s="23"/>
      <c r="C4784" s="23" t="s">
        <v>4089</v>
      </c>
      <c r="D4784" s="23" t="str">
        <f t="shared" si="222"/>
        <v>ORD26001801</v>
      </c>
      <c r="E4784" s="38">
        <v>46291</v>
      </c>
      <c r="F4784" s="23" t="s">
        <v>12410</v>
      </c>
      <c r="G4784" s="23" t="s">
        <v>75</v>
      </c>
      <c r="H4784" s="24">
        <v>2499</v>
      </c>
      <c r="I4784" s="24">
        <v>7.5</v>
      </c>
      <c r="J4784" s="24">
        <v>1.35</v>
      </c>
      <c r="K4784" s="24">
        <v>2490.15</v>
      </c>
      <c r="L4784" s="38">
        <v>46293</v>
      </c>
      <c r="M4784" s="23" t="s">
        <v>228</v>
      </c>
      <c r="N4784" s="23" t="str">
        <f>IF(COUNTIF($A$2:A4784,A4784)&gt;1,"DUP","OK")</f>
        <v>OK</v>
      </c>
      <c r="O4784" s="23" t="str">
        <f t="shared" si="223"/>
        <v>ORD26001801</v>
      </c>
      <c r="P4784" s="23" t="str">
        <f t="shared" si="224"/>
        <v>Sep</v>
      </c>
      <c r="Q4784" s="23" t="str">
        <f>IF(F4784="CAPTURE",IF(COUNTIF(orders!$A:$A,O4784)&gt;0,"Yes","NO ORDER"),"")</f>
        <v>Yes</v>
      </c>
    </row>
    <row r="4785" spans="1:17" ht="15" customHeight="1" x14ac:dyDescent="0.3">
      <c r="A4785" s="23" t="s">
        <v>17927</v>
      </c>
      <c r="B4785" s="23"/>
      <c r="C4785" s="23" t="s">
        <v>4093</v>
      </c>
      <c r="D4785" s="23" t="str">
        <f t="shared" si="222"/>
        <v>ORD26001803</v>
      </c>
      <c r="E4785" s="38">
        <v>46291</v>
      </c>
      <c r="F4785" s="23" t="s">
        <v>12410</v>
      </c>
      <c r="G4785" s="23" t="s">
        <v>79</v>
      </c>
      <c r="H4785" s="24">
        <v>599</v>
      </c>
      <c r="I4785" s="24">
        <v>10.78</v>
      </c>
      <c r="J4785" s="24">
        <v>1.94</v>
      </c>
      <c r="K4785" s="24">
        <v>586.28</v>
      </c>
      <c r="L4785" s="38">
        <v>46293</v>
      </c>
      <c r="M4785" s="23" t="s">
        <v>228</v>
      </c>
      <c r="N4785" s="23" t="str">
        <f>IF(COUNTIF($A$2:A4785,A4785)&gt;1,"DUP","OK")</f>
        <v>OK</v>
      </c>
      <c r="O4785" s="23" t="str">
        <f t="shared" si="223"/>
        <v>ORD26001803</v>
      </c>
      <c r="P4785" s="23" t="str">
        <f t="shared" si="224"/>
        <v>Sep</v>
      </c>
      <c r="Q4785" s="23" t="str">
        <f>IF(F4785="CAPTURE",IF(COUNTIF(orders!$A:$A,O4785)&gt;0,"Yes","NO ORDER"),"")</f>
        <v>Yes</v>
      </c>
    </row>
    <row r="4786" spans="1:17" ht="15" customHeight="1" x14ac:dyDescent="0.3">
      <c r="A4786" s="23" t="s">
        <v>17928</v>
      </c>
      <c r="B4786" s="23"/>
      <c r="C4786" s="23" t="s">
        <v>4115</v>
      </c>
      <c r="D4786" s="23" t="str">
        <f t="shared" si="222"/>
        <v>ORD26001814</v>
      </c>
      <c r="E4786" s="38">
        <v>46291</v>
      </c>
      <c r="F4786" s="23" t="s">
        <v>12410</v>
      </c>
      <c r="G4786" s="23" t="s">
        <v>79</v>
      </c>
      <c r="H4786" s="24">
        <v>3998</v>
      </c>
      <c r="I4786" s="24">
        <v>63.97</v>
      </c>
      <c r="J4786" s="24">
        <v>11.51</v>
      </c>
      <c r="K4786" s="24">
        <v>3922.52</v>
      </c>
      <c r="L4786" s="38">
        <v>46293</v>
      </c>
      <c r="M4786" s="23" t="s">
        <v>228</v>
      </c>
      <c r="N4786" s="23" t="str">
        <f>IF(COUNTIF($A$2:A4786,A4786)&gt;1,"DUP","OK")</f>
        <v>OK</v>
      </c>
      <c r="O4786" s="23" t="str">
        <f t="shared" si="223"/>
        <v>ORD26001814</v>
      </c>
      <c r="P4786" s="23" t="str">
        <f t="shared" si="224"/>
        <v>Sep</v>
      </c>
      <c r="Q4786" s="23" t="str">
        <f>IF(F4786="CAPTURE",IF(COUNTIF(orders!$A:$A,O4786)&gt;0,"Yes","NO ORDER"),"")</f>
        <v>Yes</v>
      </c>
    </row>
    <row r="4787" spans="1:17" ht="15" customHeight="1" x14ac:dyDescent="0.3">
      <c r="A4787" s="23" t="s">
        <v>17929</v>
      </c>
      <c r="B4787" s="23"/>
      <c r="C4787" s="23" t="s">
        <v>17930</v>
      </c>
      <c r="D4787" s="23" t="str">
        <f t="shared" si="222"/>
        <v>ORD26001824</v>
      </c>
      <c r="E4787" s="38">
        <v>46291</v>
      </c>
      <c r="F4787" s="23" t="s">
        <v>12410</v>
      </c>
      <c r="G4787" s="23" t="s">
        <v>81</v>
      </c>
      <c r="H4787" s="24">
        <v>299</v>
      </c>
      <c r="I4787" s="24">
        <v>4.49</v>
      </c>
      <c r="J4787" s="24">
        <v>0.81</v>
      </c>
      <c r="K4787" s="24">
        <v>293.7</v>
      </c>
      <c r="L4787" s="38">
        <v>46293</v>
      </c>
      <c r="M4787" s="23" t="s">
        <v>228</v>
      </c>
      <c r="N4787" s="23" t="str">
        <f>IF(COUNTIF($A$2:A4787,A4787)&gt;1,"DUP","OK")</f>
        <v>OK</v>
      </c>
      <c r="O4787" s="23" t="str">
        <f t="shared" si="223"/>
        <v>ORD26001824</v>
      </c>
      <c r="P4787" s="23" t="str">
        <f t="shared" si="224"/>
        <v>Sep</v>
      </c>
      <c r="Q4787" s="23" t="str">
        <f>IF(F4787="CAPTURE",IF(COUNTIF(orders!$A:$A,O4787)&gt;0,"Yes","NO ORDER"),"")</f>
        <v>Yes</v>
      </c>
    </row>
    <row r="4788" spans="1:17" ht="15" customHeight="1" x14ac:dyDescent="0.3">
      <c r="A4788" s="23" t="s">
        <v>17931</v>
      </c>
      <c r="B4788" s="23"/>
      <c r="C4788" s="23" t="s">
        <v>17932</v>
      </c>
      <c r="D4788" s="23" t="str">
        <f t="shared" si="222"/>
        <v>ORD26001858</v>
      </c>
      <c r="E4788" s="38">
        <v>46291</v>
      </c>
      <c r="F4788" s="23" t="s">
        <v>12410</v>
      </c>
      <c r="G4788" s="23" t="s">
        <v>79</v>
      </c>
      <c r="H4788" s="24">
        <v>3848</v>
      </c>
      <c r="I4788" s="24">
        <v>61.57</v>
      </c>
      <c r="J4788" s="24">
        <v>11.08</v>
      </c>
      <c r="K4788" s="24">
        <v>3775.35</v>
      </c>
      <c r="L4788" s="38">
        <v>46293</v>
      </c>
      <c r="M4788" s="23" t="s">
        <v>228</v>
      </c>
      <c r="N4788" s="23" t="str">
        <f>IF(COUNTIF($A$2:A4788,A4788)&gt;1,"DUP","OK")</f>
        <v>OK</v>
      </c>
      <c r="O4788" s="23" t="str">
        <f t="shared" si="223"/>
        <v>ORD26001858</v>
      </c>
      <c r="P4788" s="23" t="str">
        <f t="shared" si="224"/>
        <v>Sep</v>
      </c>
      <c r="Q4788" s="23" t="str">
        <f>IF(F4788="CAPTURE",IF(COUNTIF(orders!$A:$A,O4788)&gt;0,"Yes","NO ORDER"),"")</f>
        <v>Yes</v>
      </c>
    </row>
    <row r="4789" spans="1:17" ht="15" customHeight="1" x14ac:dyDescent="0.3">
      <c r="A4789" s="23" t="s">
        <v>17933</v>
      </c>
      <c r="B4789" s="23"/>
      <c r="C4789" s="23" t="s">
        <v>4204</v>
      </c>
      <c r="D4789" s="23" t="str">
        <f t="shared" si="222"/>
        <v>ORD26001859</v>
      </c>
      <c r="E4789" s="38">
        <v>46291</v>
      </c>
      <c r="F4789" s="23" t="s">
        <v>12410</v>
      </c>
      <c r="G4789" s="23" t="s">
        <v>79</v>
      </c>
      <c r="H4789" s="24">
        <v>1499</v>
      </c>
      <c r="I4789" s="24">
        <v>26.98</v>
      </c>
      <c r="J4789" s="24">
        <v>4.8600000000000003</v>
      </c>
      <c r="K4789" s="24">
        <v>1467.16</v>
      </c>
      <c r="L4789" s="38">
        <v>46293</v>
      </c>
      <c r="M4789" s="23" t="s">
        <v>228</v>
      </c>
      <c r="N4789" s="23" t="str">
        <f>IF(COUNTIF($A$2:A4789,A4789)&gt;1,"DUP","OK")</f>
        <v>OK</v>
      </c>
      <c r="O4789" s="23" t="str">
        <f t="shared" si="223"/>
        <v>ORD26001859</v>
      </c>
      <c r="P4789" s="23" t="str">
        <f t="shared" si="224"/>
        <v>Sep</v>
      </c>
      <c r="Q4789" s="23" t="str">
        <f>IF(F4789="CAPTURE",IF(COUNTIF(orders!$A:$A,O4789)&gt;0,"Yes","NO ORDER"),"")</f>
        <v>Yes</v>
      </c>
    </row>
    <row r="4790" spans="1:17" ht="15" customHeight="1" x14ac:dyDescent="0.3">
      <c r="A4790" s="23" t="s">
        <v>17934</v>
      </c>
      <c r="B4790" s="23"/>
      <c r="C4790" s="23" t="s">
        <v>4348</v>
      </c>
      <c r="D4790" s="23" t="str">
        <f t="shared" si="222"/>
        <v>ORD26001929</v>
      </c>
      <c r="E4790" s="38">
        <v>46291</v>
      </c>
      <c r="F4790" s="23" t="s">
        <v>12410</v>
      </c>
      <c r="G4790" s="23" t="s">
        <v>79</v>
      </c>
      <c r="H4790" s="24">
        <v>1299</v>
      </c>
      <c r="I4790" s="24">
        <v>23.38</v>
      </c>
      <c r="J4790" s="24">
        <v>4.21</v>
      </c>
      <c r="K4790" s="24">
        <v>1271.4100000000001</v>
      </c>
      <c r="L4790" s="38">
        <v>46293</v>
      </c>
      <c r="M4790" s="23" t="s">
        <v>228</v>
      </c>
      <c r="N4790" s="23" t="str">
        <f>IF(COUNTIF($A$2:A4790,A4790)&gt;1,"DUP","OK")</f>
        <v>OK</v>
      </c>
      <c r="O4790" s="23" t="str">
        <f t="shared" si="223"/>
        <v>ORD26001929</v>
      </c>
      <c r="P4790" s="23" t="str">
        <f t="shared" si="224"/>
        <v>Sep</v>
      </c>
      <c r="Q4790" s="23" t="str">
        <f>IF(F4790="CAPTURE",IF(COUNTIF(orders!$A:$A,O4790)&gt;0,"Yes","NO ORDER"),"")</f>
        <v>Yes</v>
      </c>
    </row>
    <row r="4791" spans="1:17" ht="15" customHeight="1" x14ac:dyDescent="0.3">
      <c r="A4791" s="23" t="s">
        <v>17935</v>
      </c>
      <c r="B4791" s="23"/>
      <c r="C4791" s="23" t="s">
        <v>4362</v>
      </c>
      <c r="D4791" s="23" t="str">
        <f t="shared" si="222"/>
        <v>ORD26001937</v>
      </c>
      <c r="E4791" s="38">
        <v>46291</v>
      </c>
      <c r="F4791" s="23" t="s">
        <v>12410</v>
      </c>
      <c r="G4791" s="23" t="s">
        <v>75</v>
      </c>
      <c r="H4791" s="24">
        <v>999</v>
      </c>
      <c r="I4791" s="24">
        <v>0</v>
      </c>
      <c r="J4791" s="24">
        <v>0</v>
      </c>
      <c r="K4791" s="24">
        <v>999</v>
      </c>
      <c r="L4791" s="38">
        <v>46293</v>
      </c>
      <c r="M4791" s="23" t="s">
        <v>228</v>
      </c>
      <c r="N4791" s="23" t="str">
        <f>IF(COUNTIF($A$2:A4791,A4791)&gt;1,"DUP","OK")</f>
        <v>OK</v>
      </c>
      <c r="O4791" s="23" t="str">
        <f t="shared" si="223"/>
        <v>ORD26001937</v>
      </c>
      <c r="P4791" s="23" t="str">
        <f t="shared" si="224"/>
        <v>Sep</v>
      </c>
      <c r="Q4791" s="23" t="str">
        <f>IF(F4791="CAPTURE",IF(COUNTIF(orders!$A:$A,O4791)&gt;0,"Yes","NO ORDER"),"")</f>
        <v>Yes</v>
      </c>
    </row>
    <row r="4792" spans="1:17" ht="15" customHeight="1" x14ac:dyDescent="0.3">
      <c r="A4792" s="23" t="s">
        <v>17936</v>
      </c>
      <c r="B4792" s="23"/>
      <c r="C4792" s="23" t="s">
        <v>4423</v>
      </c>
      <c r="D4792" s="23" t="str">
        <f t="shared" si="222"/>
        <v>ORD26001968</v>
      </c>
      <c r="E4792" s="38">
        <v>46291</v>
      </c>
      <c r="F4792" s="23" t="s">
        <v>12410</v>
      </c>
      <c r="G4792" s="23" t="s">
        <v>75</v>
      </c>
      <c r="H4792" s="24">
        <v>4397</v>
      </c>
      <c r="I4792" s="24">
        <v>13.19</v>
      </c>
      <c r="J4792" s="24">
        <v>2.37</v>
      </c>
      <c r="K4792" s="24">
        <v>4381.4399999999996</v>
      </c>
      <c r="L4792" s="38">
        <v>46293</v>
      </c>
      <c r="M4792" s="23" t="s">
        <v>228</v>
      </c>
      <c r="N4792" s="23" t="str">
        <f>IF(COUNTIF($A$2:A4792,A4792)&gt;1,"DUP","OK")</f>
        <v>OK</v>
      </c>
      <c r="O4792" s="23" t="str">
        <f t="shared" si="223"/>
        <v>ORD26001968</v>
      </c>
      <c r="P4792" s="23" t="str">
        <f t="shared" si="224"/>
        <v>Sep</v>
      </c>
      <c r="Q4792" s="23" t="str">
        <f>IF(F4792="CAPTURE",IF(COUNTIF(orders!$A:$A,O4792)&gt;0,"Yes","NO ORDER"),"")</f>
        <v>Yes</v>
      </c>
    </row>
    <row r="4793" spans="1:17" ht="15" customHeight="1" x14ac:dyDescent="0.3">
      <c r="A4793" s="23" t="s">
        <v>17937</v>
      </c>
      <c r="B4793" s="23"/>
      <c r="C4793" s="23" t="s">
        <v>4448</v>
      </c>
      <c r="D4793" s="23" t="str">
        <f t="shared" si="222"/>
        <v>ORD26001980</v>
      </c>
      <c r="E4793" s="38">
        <v>46291</v>
      </c>
      <c r="F4793" s="23" t="s">
        <v>12410</v>
      </c>
      <c r="G4793" s="23" t="s">
        <v>77</v>
      </c>
      <c r="H4793" s="24">
        <v>8998</v>
      </c>
      <c r="I4793" s="24">
        <v>152.97</v>
      </c>
      <c r="J4793" s="24">
        <v>27.53</v>
      </c>
      <c r="K4793" s="24">
        <v>8817.5</v>
      </c>
      <c r="L4793" s="38">
        <v>46293</v>
      </c>
      <c r="M4793" s="23" t="s">
        <v>228</v>
      </c>
      <c r="N4793" s="23" t="str">
        <f>IF(COUNTIF($A$2:A4793,A4793)&gt;1,"DUP","OK")</f>
        <v>OK</v>
      </c>
      <c r="O4793" s="23" t="str">
        <f t="shared" si="223"/>
        <v>ORD26001980</v>
      </c>
      <c r="P4793" s="23" t="str">
        <f t="shared" si="224"/>
        <v>Sep</v>
      </c>
      <c r="Q4793" s="23" t="str">
        <f>IF(F4793="CAPTURE",IF(COUNTIF(orders!$A:$A,O4793)&gt;0,"Yes","NO ORDER"),"")</f>
        <v>Yes</v>
      </c>
    </row>
    <row r="4794" spans="1:17" ht="15" customHeight="1" x14ac:dyDescent="0.3">
      <c r="A4794" s="23" t="s">
        <v>17938</v>
      </c>
      <c r="B4794" s="23"/>
      <c r="C4794" s="23" t="s">
        <v>4456</v>
      </c>
      <c r="D4794" s="23" t="str">
        <f t="shared" si="222"/>
        <v>ORD26001984</v>
      </c>
      <c r="E4794" s="38">
        <v>46291</v>
      </c>
      <c r="F4794" s="23" t="s">
        <v>12410</v>
      </c>
      <c r="G4794" s="23" t="s">
        <v>75</v>
      </c>
      <c r="H4794" s="24">
        <v>15998</v>
      </c>
      <c r="I4794" s="24">
        <v>47.99</v>
      </c>
      <c r="J4794" s="24">
        <v>8.64</v>
      </c>
      <c r="K4794" s="24">
        <v>15941.37</v>
      </c>
      <c r="L4794" s="38">
        <v>46293</v>
      </c>
      <c r="M4794" s="23" t="s">
        <v>228</v>
      </c>
      <c r="N4794" s="23" t="str">
        <f>IF(COUNTIF($A$2:A4794,A4794)&gt;1,"DUP","OK")</f>
        <v>OK</v>
      </c>
      <c r="O4794" s="23" t="str">
        <f t="shared" si="223"/>
        <v>ORD26001984</v>
      </c>
      <c r="P4794" s="23" t="str">
        <f t="shared" si="224"/>
        <v>Sep</v>
      </c>
      <c r="Q4794" s="23" t="str">
        <f>IF(F4794="CAPTURE",IF(COUNTIF(orders!$A:$A,O4794)&gt;0,"Yes","NO ORDER"),"")</f>
        <v>Yes</v>
      </c>
    </row>
    <row r="4795" spans="1:17" ht="15" customHeight="1" x14ac:dyDescent="0.3">
      <c r="A4795" s="23" t="s">
        <v>17939</v>
      </c>
      <c r="B4795" s="23"/>
      <c r="C4795" s="23" t="s">
        <v>4466</v>
      </c>
      <c r="D4795" s="23" t="str">
        <f t="shared" si="222"/>
        <v>ORD26001989</v>
      </c>
      <c r="E4795" s="38">
        <v>46291</v>
      </c>
      <c r="F4795" s="23" t="s">
        <v>12410</v>
      </c>
      <c r="G4795" s="23" t="s">
        <v>79</v>
      </c>
      <c r="H4795" s="24">
        <v>4298</v>
      </c>
      <c r="I4795" s="24">
        <v>68.77</v>
      </c>
      <c r="J4795" s="24">
        <v>12.38</v>
      </c>
      <c r="K4795" s="24">
        <v>4216.8500000000004</v>
      </c>
      <c r="L4795" s="38">
        <v>46293</v>
      </c>
      <c r="M4795" s="23" t="s">
        <v>228</v>
      </c>
      <c r="N4795" s="23" t="str">
        <f>IF(COUNTIF($A$2:A4795,A4795)&gt;1,"DUP","OK")</f>
        <v>OK</v>
      </c>
      <c r="O4795" s="23" t="str">
        <f t="shared" si="223"/>
        <v>ORD26001989</v>
      </c>
      <c r="P4795" s="23" t="str">
        <f t="shared" si="224"/>
        <v>Sep</v>
      </c>
      <c r="Q4795" s="23" t="str">
        <f>IF(F4795="CAPTURE",IF(COUNTIF(orders!$A:$A,O4795)&gt;0,"Yes","NO ORDER"),"")</f>
        <v>Yes</v>
      </c>
    </row>
    <row r="4796" spans="1:17" ht="15" customHeight="1" x14ac:dyDescent="0.3">
      <c r="A4796" s="23" t="s">
        <v>17940</v>
      </c>
      <c r="B4796" s="23"/>
      <c r="C4796" s="23" t="s">
        <v>4491</v>
      </c>
      <c r="D4796" s="23" t="str">
        <f t="shared" si="222"/>
        <v>ORD26002002</v>
      </c>
      <c r="E4796" s="38">
        <v>46291</v>
      </c>
      <c r="F4796" s="23" t="s">
        <v>12410</v>
      </c>
      <c r="G4796" s="23" t="s">
        <v>75</v>
      </c>
      <c r="H4796" s="24">
        <v>1499</v>
      </c>
      <c r="I4796" s="24">
        <v>0</v>
      </c>
      <c r="J4796" s="24">
        <v>0</v>
      </c>
      <c r="K4796" s="24">
        <v>1499</v>
      </c>
      <c r="L4796" s="38">
        <v>46293</v>
      </c>
      <c r="M4796" s="23" t="s">
        <v>228</v>
      </c>
      <c r="N4796" s="23" t="str">
        <f>IF(COUNTIF($A$2:A4796,A4796)&gt;1,"DUP","OK")</f>
        <v>OK</v>
      </c>
      <c r="O4796" s="23" t="str">
        <f t="shared" si="223"/>
        <v>ORD26002002</v>
      </c>
      <c r="P4796" s="23" t="str">
        <f t="shared" si="224"/>
        <v>Sep</v>
      </c>
      <c r="Q4796" s="23" t="str">
        <f>IF(F4796="CAPTURE",IF(COUNTIF(orders!$A:$A,O4796)&gt;0,"Yes","NO ORDER"),"")</f>
        <v>Yes</v>
      </c>
    </row>
    <row r="4797" spans="1:17" ht="15" customHeight="1" x14ac:dyDescent="0.3">
      <c r="A4797" s="23" t="s">
        <v>17941</v>
      </c>
      <c r="B4797" s="23"/>
      <c r="C4797" s="23" t="s">
        <v>4525</v>
      </c>
      <c r="D4797" s="23" t="str">
        <f t="shared" si="222"/>
        <v>ORD26002018</v>
      </c>
      <c r="E4797" s="38">
        <v>46291</v>
      </c>
      <c r="F4797" s="23" t="s">
        <v>12410</v>
      </c>
      <c r="G4797" s="23" t="s">
        <v>79</v>
      </c>
      <c r="H4797" s="24">
        <v>7999</v>
      </c>
      <c r="I4797" s="24">
        <v>127.98</v>
      </c>
      <c r="J4797" s="24">
        <v>23.04</v>
      </c>
      <c r="K4797" s="24">
        <v>7847.98</v>
      </c>
      <c r="L4797" s="38">
        <v>46293</v>
      </c>
      <c r="M4797" s="23" t="s">
        <v>228</v>
      </c>
      <c r="N4797" s="23" t="str">
        <f>IF(COUNTIF($A$2:A4797,A4797)&gt;1,"DUP","OK")</f>
        <v>OK</v>
      </c>
      <c r="O4797" s="23" t="str">
        <f t="shared" si="223"/>
        <v>ORD26002018</v>
      </c>
      <c r="P4797" s="23" t="str">
        <f t="shared" si="224"/>
        <v>Sep</v>
      </c>
      <c r="Q4797" s="23" t="str">
        <f>IF(F4797="CAPTURE",IF(COUNTIF(orders!$A:$A,O4797)&gt;0,"Yes","NO ORDER"),"")</f>
        <v>Yes</v>
      </c>
    </row>
    <row r="4798" spans="1:17" ht="15" customHeight="1" x14ac:dyDescent="0.3">
      <c r="A4798" s="23" t="s">
        <v>17942</v>
      </c>
      <c r="B4798" s="23"/>
      <c r="C4798" s="23" t="s">
        <v>4670</v>
      </c>
      <c r="D4798" s="23" t="str">
        <f t="shared" si="222"/>
        <v>ORD26002090</v>
      </c>
      <c r="E4798" s="38">
        <v>46291</v>
      </c>
      <c r="F4798" s="23" t="s">
        <v>12410</v>
      </c>
      <c r="G4798" s="23" t="s">
        <v>79</v>
      </c>
      <c r="H4798" s="24">
        <v>1299</v>
      </c>
      <c r="I4798" s="24">
        <v>23.38</v>
      </c>
      <c r="J4798" s="24">
        <v>4.21</v>
      </c>
      <c r="K4798" s="24">
        <v>1271.4100000000001</v>
      </c>
      <c r="L4798" s="38">
        <v>46293</v>
      </c>
      <c r="M4798" s="23" t="s">
        <v>228</v>
      </c>
      <c r="N4798" s="23" t="str">
        <f>IF(COUNTIF($A$2:A4798,A4798)&gt;1,"DUP","OK")</f>
        <v>OK</v>
      </c>
      <c r="O4798" s="23" t="str">
        <f t="shared" si="223"/>
        <v>ORD26002090</v>
      </c>
      <c r="P4798" s="23" t="str">
        <f t="shared" si="224"/>
        <v>Sep</v>
      </c>
      <c r="Q4798" s="23" t="str">
        <f>IF(F4798="CAPTURE",IF(COUNTIF(orders!$A:$A,O4798)&gt;0,"Yes","NO ORDER"),"")</f>
        <v>Yes</v>
      </c>
    </row>
    <row r="4799" spans="1:17" ht="15" customHeight="1" x14ac:dyDescent="0.3">
      <c r="A4799" s="23" t="s">
        <v>17943</v>
      </c>
      <c r="B4799" s="23"/>
      <c r="C4799" s="23" t="s">
        <v>4709</v>
      </c>
      <c r="D4799" s="23" t="str">
        <f t="shared" si="222"/>
        <v>ORD26002109</v>
      </c>
      <c r="E4799" s="38">
        <v>46291</v>
      </c>
      <c r="F4799" s="23" t="s">
        <v>12410</v>
      </c>
      <c r="G4799" s="23" t="s">
        <v>77</v>
      </c>
      <c r="H4799" s="24">
        <v>3499</v>
      </c>
      <c r="I4799" s="24">
        <v>59.48</v>
      </c>
      <c r="J4799" s="24">
        <v>10.71</v>
      </c>
      <c r="K4799" s="24">
        <v>3428.81</v>
      </c>
      <c r="L4799" s="38">
        <v>46293</v>
      </c>
      <c r="M4799" s="23" t="s">
        <v>228</v>
      </c>
      <c r="N4799" s="23" t="str">
        <f>IF(COUNTIF($A$2:A4799,A4799)&gt;1,"DUP","OK")</f>
        <v>OK</v>
      </c>
      <c r="O4799" s="23" t="str">
        <f t="shared" si="223"/>
        <v>ORD26002109</v>
      </c>
      <c r="P4799" s="23" t="str">
        <f t="shared" si="224"/>
        <v>Sep</v>
      </c>
      <c r="Q4799" s="23" t="str">
        <f>IF(F4799="CAPTURE",IF(COUNTIF(orders!$A:$A,O4799)&gt;0,"Yes","NO ORDER"),"")</f>
        <v>Yes</v>
      </c>
    </row>
    <row r="4800" spans="1:17" ht="15" customHeight="1" x14ac:dyDescent="0.3">
      <c r="A4800" s="23" t="s">
        <v>17944</v>
      </c>
      <c r="B4800" s="23"/>
      <c r="C4800" s="23" t="s">
        <v>17945</v>
      </c>
      <c r="D4800" s="23" t="str">
        <f t="shared" si="222"/>
        <v>ORD26002138</v>
      </c>
      <c r="E4800" s="38">
        <v>46291</v>
      </c>
      <c r="F4800" s="23" t="s">
        <v>12410</v>
      </c>
      <c r="G4800" s="23" t="s">
        <v>75</v>
      </c>
      <c r="H4800" s="24">
        <v>2499</v>
      </c>
      <c r="I4800" s="24">
        <v>7.5</v>
      </c>
      <c r="J4800" s="24">
        <v>1.35</v>
      </c>
      <c r="K4800" s="24">
        <v>2490.15</v>
      </c>
      <c r="L4800" s="38">
        <v>46293</v>
      </c>
      <c r="M4800" s="23" t="s">
        <v>228</v>
      </c>
      <c r="N4800" s="23" t="str">
        <f>IF(COUNTIF($A$2:A4800,A4800)&gt;1,"DUP","OK")</f>
        <v>OK</v>
      </c>
      <c r="O4800" s="23" t="str">
        <f t="shared" si="223"/>
        <v>ORD26002138</v>
      </c>
      <c r="P4800" s="23" t="str">
        <f t="shared" si="224"/>
        <v>Sep</v>
      </c>
      <c r="Q4800" s="23" t="str">
        <f>IF(F4800="CAPTURE",IF(COUNTIF(orders!$A:$A,O4800)&gt;0,"Yes","NO ORDER"),"")</f>
        <v>Yes</v>
      </c>
    </row>
    <row r="4801" spans="1:17" ht="15" customHeight="1" x14ac:dyDescent="0.3">
      <c r="A4801" s="23" t="s">
        <v>17946</v>
      </c>
      <c r="B4801" s="23"/>
      <c r="C4801" s="23" t="s">
        <v>4772</v>
      </c>
      <c r="D4801" s="23" t="str">
        <f t="shared" si="222"/>
        <v>ORD26002141</v>
      </c>
      <c r="E4801" s="38">
        <v>46291</v>
      </c>
      <c r="F4801" s="23" t="s">
        <v>12410</v>
      </c>
      <c r="G4801" s="23" t="s">
        <v>81</v>
      </c>
      <c r="H4801" s="24">
        <v>4798</v>
      </c>
      <c r="I4801" s="24">
        <v>57.58</v>
      </c>
      <c r="J4801" s="24">
        <v>10.36</v>
      </c>
      <c r="K4801" s="24">
        <v>4730.0600000000004</v>
      </c>
      <c r="L4801" s="38">
        <v>46293</v>
      </c>
      <c r="M4801" s="23" t="s">
        <v>228</v>
      </c>
      <c r="N4801" s="23" t="str">
        <f>IF(COUNTIF($A$2:A4801,A4801)&gt;1,"DUP","OK")</f>
        <v>OK</v>
      </c>
      <c r="O4801" s="23" t="str">
        <f t="shared" si="223"/>
        <v>ORD26002141</v>
      </c>
      <c r="P4801" s="23" t="str">
        <f t="shared" si="224"/>
        <v>Sep</v>
      </c>
      <c r="Q4801" s="23" t="str">
        <f>IF(F4801="CAPTURE",IF(COUNTIF(orders!$A:$A,O4801)&gt;0,"Yes","NO ORDER"),"")</f>
        <v>Yes</v>
      </c>
    </row>
    <row r="4802" spans="1:17" ht="15" customHeight="1" x14ac:dyDescent="0.3">
      <c r="A4802" s="23" t="s">
        <v>17947</v>
      </c>
      <c r="B4802" s="23"/>
      <c r="C4802" s="23" t="s">
        <v>4951</v>
      </c>
      <c r="D4802" s="23" t="str">
        <f t="shared" ref="D4802:D4865" si="225">UPPER(SUBSTITUTE(TRIM(C4802),"-",""))</f>
        <v>ORD26002229</v>
      </c>
      <c r="E4802" s="38">
        <v>46291</v>
      </c>
      <c r="F4802" s="23" t="s">
        <v>12410</v>
      </c>
      <c r="G4802" s="23" t="s">
        <v>75</v>
      </c>
      <c r="H4802" s="24">
        <v>3197</v>
      </c>
      <c r="I4802" s="24">
        <v>9.59</v>
      </c>
      <c r="J4802" s="24">
        <v>1.73</v>
      </c>
      <c r="K4802" s="24">
        <v>3185.68</v>
      </c>
      <c r="L4802" s="38">
        <v>46293</v>
      </c>
      <c r="M4802" s="23" t="s">
        <v>228</v>
      </c>
      <c r="N4802" s="23" t="str">
        <f>IF(COUNTIF($A$2:A4802,A4802)&gt;1,"DUP","OK")</f>
        <v>OK</v>
      </c>
      <c r="O4802" s="23" t="str">
        <f t="shared" ref="O4802:O4865" si="226">IF(F4802="REFUND",INDEX($D:$D,MATCH(B4802,$A:$A,0)),D4802)</f>
        <v>ORD26002229</v>
      </c>
      <c r="P4802" s="23" t="str">
        <f t="shared" ref="P4802:P4865" si="227">IF(L4802&gt;DATE(2026,9,30),"Oct-Due","Sep")</f>
        <v>Sep</v>
      </c>
      <c r="Q4802" s="23" t="str">
        <f>IF(F4802="CAPTURE",IF(COUNTIF(orders!$A:$A,O4802)&gt;0,"Yes","NO ORDER"),"")</f>
        <v>Yes</v>
      </c>
    </row>
    <row r="4803" spans="1:17" ht="15" customHeight="1" x14ac:dyDescent="0.3">
      <c r="A4803" s="23" t="s">
        <v>17948</v>
      </c>
      <c r="B4803" s="23"/>
      <c r="C4803" s="23" t="s">
        <v>4971</v>
      </c>
      <c r="D4803" s="23" t="str">
        <f t="shared" si="225"/>
        <v>ORD26002239</v>
      </c>
      <c r="E4803" s="38">
        <v>46291</v>
      </c>
      <c r="F4803" s="23" t="s">
        <v>12410</v>
      </c>
      <c r="G4803" s="23" t="s">
        <v>79</v>
      </c>
      <c r="H4803" s="24">
        <v>3348</v>
      </c>
      <c r="I4803" s="24">
        <v>53.57</v>
      </c>
      <c r="J4803" s="24">
        <v>9.64</v>
      </c>
      <c r="K4803" s="24">
        <v>3284.79</v>
      </c>
      <c r="L4803" s="38">
        <v>46293</v>
      </c>
      <c r="M4803" s="23" t="s">
        <v>228</v>
      </c>
      <c r="N4803" s="23" t="str">
        <f>IF(COUNTIF($A$2:A4803,A4803)&gt;1,"DUP","OK")</f>
        <v>OK</v>
      </c>
      <c r="O4803" s="23" t="str">
        <f t="shared" si="226"/>
        <v>ORD26002239</v>
      </c>
      <c r="P4803" s="23" t="str">
        <f t="shared" si="227"/>
        <v>Sep</v>
      </c>
      <c r="Q4803" s="23" t="str">
        <f>IF(F4803="CAPTURE",IF(COUNTIF(orders!$A:$A,O4803)&gt;0,"Yes","NO ORDER"),"")</f>
        <v>Yes</v>
      </c>
    </row>
    <row r="4804" spans="1:17" ht="15" customHeight="1" x14ac:dyDescent="0.3">
      <c r="A4804" s="23" t="s">
        <v>17949</v>
      </c>
      <c r="B4804" s="23"/>
      <c r="C4804" s="23" t="s">
        <v>5081</v>
      </c>
      <c r="D4804" s="23" t="str">
        <f t="shared" si="225"/>
        <v>ORD26002294</v>
      </c>
      <c r="E4804" s="38">
        <v>46291</v>
      </c>
      <c r="F4804" s="23" t="s">
        <v>12410</v>
      </c>
      <c r="G4804" s="23" t="s">
        <v>77</v>
      </c>
      <c r="H4804" s="24">
        <v>8947</v>
      </c>
      <c r="I4804" s="24">
        <v>152.1</v>
      </c>
      <c r="J4804" s="24">
        <v>27.38</v>
      </c>
      <c r="K4804" s="24">
        <v>8767.52</v>
      </c>
      <c r="L4804" s="38">
        <v>46293</v>
      </c>
      <c r="M4804" s="23" t="s">
        <v>228</v>
      </c>
      <c r="N4804" s="23" t="str">
        <f>IF(COUNTIF($A$2:A4804,A4804)&gt;1,"DUP","OK")</f>
        <v>OK</v>
      </c>
      <c r="O4804" s="23" t="str">
        <f t="shared" si="226"/>
        <v>ORD26002294</v>
      </c>
      <c r="P4804" s="23" t="str">
        <f t="shared" si="227"/>
        <v>Sep</v>
      </c>
      <c r="Q4804" s="23" t="str">
        <f>IF(F4804="CAPTURE",IF(COUNTIF(orders!$A:$A,O4804)&gt;0,"Yes","NO ORDER"),"")</f>
        <v>Yes</v>
      </c>
    </row>
    <row r="4805" spans="1:17" ht="15" customHeight="1" x14ac:dyDescent="0.3">
      <c r="A4805" s="23" t="s">
        <v>17950</v>
      </c>
      <c r="B4805" s="23"/>
      <c r="C4805" s="23" t="s">
        <v>5134</v>
      </c>
      <c r="D4805" s="23" t="str">
        <f t="shared" si="225"/>
        <v>ORD26002320</v>
      </c>
      <c r="E4805" s="38">
        <v>46291</v>
      </c>
      <c r="F4805" s="23" t="s">
        <v>12410</v>
      </c>
      <c r="G4805" s="23" t="s">
        <v>75</v>
      </c>
      <c r="H4805" s="24">
        <v>1499</v>
      </c>
      <c r="I4805" s="24">
        <v>0</v>
      </c>
      <c r="J4805" s="24">
        <v>0</v>
      </c>
      <c r="K4805" s="24">
        <v>1499</v>
      </c>
      <c r="L4805" s="38">
        <v>46293</v>
      </c>
      <c r="M4805" s="23" t="s">
        <v>228</v>
      </c>
      <c r="N4805" s="23" t="str">
        <f>IF(COUNTIF($A$2:A4805,A4805)&gt;1,"DUP","OK")</f>
        <v>OK</v>
      </c>
      <c r="O4805" s="23" t="str">
        <f t="shared" si="226"/>
        <v>ORD26002320</v>
      </c>
      <c r="P4805" s="23" t="str">
        <f t="shared" si="227"/>
        <v>Sep</v>
      </c>
      <c r="Q4805" s="23" t="str">
        <f>IF(F4805="CAPTURE",IF(COUNTIF(orders!$A:$A,O4805)&gt;0,"Yes","NO ORDER"),"")</f>
        <v>Yes</v>
      </c>
    </row>
    <row r="4806" spans="1:17" ht="15" customHeight="1" x14ac:dyDescent="0.3">
      <c r="A4806" s="23" t="s">
        <v>17951</v>
      </c>
      <c r="B4806" s="23"/>
      <c r="C4806" s="23" t="s">
        <v>5148</v>
      </c>
      <c r="D4806" s="23" t="str">
        <f t="shared" si="225"/>
        <v>ORD26002327</v>
      </c>
      <c r="E4806" s="38">
        <v>46291</v>
      </c>
      <c r="F4806" s="23" t="s">
        <v>12410</v>
      </c>
      <c r="G4806" s="23" t="s">
        <v>79</v>
      </c>
      <c r="H4806" s="24">
        <v>1299</v>
      </c>
      <c r="I4806" s="24">
        <v>23.38</v>
      </c>
      <c r="J4806" s="24">
        <v>4.21</v>
      </c>
      <c r="K4806" s="24">
        <v>1271.4100000000001</v>
      </c>
      <c r="L4806" s="38">
        <v>46293</v>
      </c>
      <c r="M4806" s="23" t="s">
        <v>228</v>
      </c>
      <c r="N4806" s="23" t="str">
        <f>IF(COUNTIF($A$2:A4806,A4806)&gt;1,"DUP","OK")</f>
        <v>OK</v>
      </c>
      <c r="O4806" s="23" t="str">
        <f t="shared" si="226"/>
        <v>ORD26002327</v>
      </c>
      <c r="P4806" s="23" t="str">
        <f t="shared" si="227"/>
        <v>Sep</v>
      </c>
      <c r="Q4806" s="23" t="str">
        <f>IF(F4806="CAPTURE",IF(COUNTIF(orders!$A:$A,O4806)&gt;0,"Yes","NO ORDER"),"")</f>
        <v>Yes</v>
      </c>
    </row>
    <row r="4807" spans="1:17" ht="15" customHeight="1" x14ac:dyDescent="0.3">
      <c r="A4807" s="23" t="s">
        <v>17952</v>
      </c>
      <c r="B4807" s="23"/>
      <c r="C4807" s="23" t="s">
        <v>5191</v>
      </c>
      <c r="D4807" s="23" t="str">
        <f t="shared" si="225"/>
        <v>ORD26002349</v>
      </c>
      <c r="E4807" s="38">
        <v>46291</v>
      </c>
      <c r="F4807" s="23" t="s">
        <v>12410</v>
      </c>
      <c r="G4807" s="23" t="s">
        <v>75</v>
      </c>
      <c r="H4807" s="24">
        <v>599</v>
      </c>
      <c r="I4807" s="24">
        <v>0</v>
      </c>
      <c r="J4807" s="24">
        <v>0</v>
      </c>
      <c r="K4807" s="24">
        <v>599</v>
      </c>
      <c r="L4807" s="38">
        <v>46293</v>
      </c>
      <c r="M4807" s="23" t="s">
        <v>228</v>
      </c>
      <c r="N4807" s="23" t="str">
        <f>IF(COUNTIF($A$2:A4807,A4807)&gt;1,"DUP","OK")</f>
        <v>OK</v>
      </c>
      <c r="O4807" s="23" t="str">
        <f t="shared" si="226"/>
        <v>ORD26002349</v>
      </c>
      <c r="P4807" s="23" t="str">
        <f t="shared" si="227"/>
        <v>Sep</v>
      </c>
      <c r="Q4807" s="23" t="str">
        <f>IF(F4807="CAPTURE",IF(COUNTIF(orders!$A:$A,O4807)&gt;0,"Yes","NO ORDER"),"")</f>
        <v>Yes</v>
      </c>
    </row>
    <row r="4808" spans="1:17" ht="15" customHeight="1" x14ac:dyDescent="0.3">
      <c r="A4808" s="23" t="s">
        <v>17953</v>
      </c>
      <c r="B4808" s="23"/>
      <c r="C4808" s="23" t="s">
        <v>5225</v>
      </c>
      <c r="D4808" s="23" t="str">
        <f t="shared" si="225"/>
        <v>ORD26002366</v>
      </c>
      <c r="E4808" s="38">
        <v>46291</v>
      </c>
      <c r="F4808" s="23" t="s">
        <v>12410</v>
      </c>
      <c r="G4808" s="23" t="s">
        <v>79</v>
      </c>
      <c r="H4808" s="24">
        <v>4397</v>
      </c>
      <c r="I4808" s="24">
        <v>70.349999999999994</v>
      </c>
      <c r="J4808" s="24">
        <v>12.66</v>
      </c>
      <c r="K4808" s="24">
        <v>4313.99</v>
      </c>
      <c r="L4808" s="38">
        <v>46293</v>
      </c>
      <c r="M4808" s="23" t="s">
        <v>228</v>
      </c>
      <c r="N4808" s="23" t="str">
        <f>IF(COUNTIF($A$2:A4808,A4808)&gt;1,"DUP","OK")</f>
        <v>OK</v>
      </c>
      <c r="O4808" s="23" t="str">
        <f t="shared" si="226"/>
        <v>ORD26002366</v>
      </c>
      <c r="P4808" s="23" t="str">
        <f t="shared" si="227"/>
        <v>Sep</v>
      </c>
      <c r="Q4808" s="23" t="str">
        <f>IF(F4808="CAPTURE",IF(COUNTIF(orders!$A:$A,O4808)&gt;0,"Yes","NO ORDER"),"")</f>
        <v>Yes</v>
      </c>
    </row>
    <row r="4809" spans="1:17" ht="15" customHeight="1" x14ac:dyDescent="0.3">
      <c r="A4809" s="23" t="s">
        <v>17954</v>
      </c>
      <c r="B4809" s="23"/>
      <c r="C4809" s="23" t="s">
        <v>5255</v>
      </c>
      <c r="D4809" s="23" t="str">
        <f t="shared" si="225"/>
        <v>ORD26002381</v>
      </c>
      <c r="E4809" s="38">
        <v>46291</v>
      </c>
      <c r="F4809" s="23" t="s">
        <v>12410</v>
      </c>
      <c r="G4809" s="23" t="s">
        <v>75</v>
      </c>
      <c r="H4809" s="24">
        <v>698</v>
      </c>
      <c r="I4809" s="24">
        <v>0</v>
      </c>
      <c r="J4809" s="24">
        <v>0</v>
      </c>
      <c r="K4809" s="24">
        <v>698</v>
      </c>
      <c r="L4809" s="38">
        <v>46293</v>
      </c>
      <c r="M4809" s="23" t="s">
        <v>228</v>
      </c>
      <c r="N4809" s="23" t="str">
        <f>IF(COUNTIF($A$2:A4809,A4809)&gt;1,"DUP","OK")</f>
        <v>OK</v>
      </c>
      <c r="O4809" s="23" t="str">
        <f t="shared" si="226"/>
        <v>ORD26002381</v>
      </c>
      <c r="P4809" s="23" t="str">
        <f t="shared" si="227"/>
        <v>Sep</v>
      </c>
      <c r="Q4809" s="23" t="str">
        <f>IF(F4809="CAPTURE",IF(COUNTIF(orders!$A:$A,O4809)&gt;0,"Yes","NO ORDER"),"")</f>
        <v>Yes</v>
      </c>
    </row>
    <row r="4810" spans="1:17" ht="15" customHeight="1" x14ac:dyDescent="0.3">
      <c r="A4810" s="23" t="s">
        <v>17955</v>
      </c>
      <c r="B4810" s="23"/>
      <c r="C4810" s="23" t="s">
        <v>17956</v>
      </c>
      <c r="D4810" s="23" t="str">
        <f t="shared" si="225"/>
        <v>ORD26002432</v>
      </c>
      <c r="E4810" s="38">
        <v>46291</v>
      </c>
      <c r="F4810" s="23" t="s">
        <v>12410</v>
      </c>
      <c r="G4810" s="23" t="s">
        <v>75</v>
      </c>
      <c r="H4810" s="24">
        <v>5598</v>
      </c>
      <c r="I4810" s="24">
        <v>16.79</v>
      </c>
      <c r="J4810" s="24">
        <v>3.02</v>
      </c>
      <c r="K4810" s="24">
        <v>5578.19</v>
      </c>
      <c r="L4810" s="38">
        <v>46293</v>
      </c>
      <c r="M4810" s="23" t="s">
        <v>228</v>
      </c>
      <c r="N4810" s="23" t="str">
        <f>IF(COUNTIF($A$2:A4810,A4810)&gt;1,"DUP","OK")</f>
        <v>OK</v>
      </c>
      <c r="O4810" s="23" t="str">
        <f t="shared" si="226"/>
        <v>ORD26002432</v>
      </c>
      <c r="P4810" s="23" t="str">
        <f t="shared" si="227"/>
        <v>Sep</v>
      </c>
      <c r="Q4810" s="23" t="str">
        <f>IF(F4810="CAPTURE",IF(COUNTIF(orders!$A:$A,O4810)&gt;0,"Yes","NO ORDER"),"")</f>
        <v>Yes</v>
      </c>
    </row>
    <row r="4811" spans="1:17" ht="15" customHeight="1" x14ac:dyDescent="0.3">
      <c r="A4811" s="23" t="s">
        <v>17957</v>
      </c>
      <c r="B4811" s="23"/>
      <c r="C4811" s="23" t="s">
        <v>17958</v>
      </c>
      <c r="D4811" s="23" t="str">
        <f t="shared" si="225"/>
        <v>ORD26002451</v>
      </c>
      <c r="E4811" s="38">
        <v>46291</v>
      </c>
      <c r="F4811" s="23" t="s">
        <v>12410</v>
      </c>
      <c r="G4811" s="23" t="s">
        <v>75</v>
      </c>
      <c r="H4811" s="24">
        <v>2999</v>
      </c>
      <c r="I4811" s="24">
        <v>9</v>
      </c>
      <c r="J4811" s="24">
        <v>1.62</v>
      </c>
      <c r="K4811" s="24">
        <v>2988.38</v>
      </c>
      <c r="L4811" s="38">
        <v>46293</v>
      </c>
      <c r="M4811" s="23" t="s">
        <v>228</v>
      </c>
      <c r="N4811" s="23" t="str">
        <f>IF(COUNTIF($A$2:A4811,A4811)&gt;1,"DUP","OK")</f>
        <v>OK</v>
      </c>
      <c r="O4811" s="23" t="str">
        <f t="shared" si="226"/>
        <v>ORD26002451</v>
      </c>
      <c r="P4811" s="23" t="str">
        <f t="shared" si="227"/>
        <v>Sep</v>
      </c>
      <c r="Q4811" s="23" t="str">
        <f>IF(F4811="CAPTURE",IF(COUNTIF(orders!$A:$A,O4811)&gt;0,"Yes","NO ORDER"),"")</f>
        <v>Yes</v>
      </c>
    </row>
    <row r="4812" spans="1:17" ht="15" customHeight="1" x14ac:dyDescent="0.3">
      <c r="A4812" s="23" t="s">
        <v>17959</v>
      </c>
      <c r="B4812" s="23"/>
      <c r="C4812" s="23" t="s">
        <v>5434</v>
      </c>
      <c r="D4812" s="23" t="str">
        <f t="shared" si="225"/>
        <v>ORD26002472</v>
      </c>
      <c r="E4812" s="38">
        <v>46291</v>
      </c>
      <c r="F4812" s="23" t="s">
        <v>12410</v>
      </c>
      <c r="G4812" s="23" t="s">
        <v>79</v>
      </c>
      <c r="H4812" s="24">
        <v>3298</v>
      </c>
      <c r="I4812" s="24">
        <v>52.77</v>
      </c>
      <c r="J4812" s="24">
        <v>9.5</v>
      </c>
      <c r="K4812" s="24">
        <v>3235.73</v>
      </c>
      <c r="L4812" s="38">
        <v>46293</v>
      </c>
      <c r="M4812" s="23" t="s">
        <v>228</v>
      </c>
      <c r="N4812" s="23" t="str">
        <f>IF(COUNTIF($A$2:A4812,A4812)&gt;1,"DUP","OK")</f>
        <v>OK</v>
      </c>
      <c r="O4812" s="23" t="str">
        <f t="shared" si="226"/>
        <v>ORD26002472</v>
      </c>
      <c r="P4812" s="23" t="str">
        <f t="shared" si="227"/>
        <v>Sep</v>
      </c>
      <c r="Q4812" s="23" t="str">
        <f>IF(F4812="CAPTURE",IF(COUNTIF(orders!$A:$A,O4812)&gt;0,"Yes","NO ORDER"),"")</f>
        <v>Yes</v>
      </c>
    </row>
    <row r="4813" spans="1:17" ht="15" customHeight="1" x14ac:dyDescent="0.3">
      <c r="A4813" s="23" t="s">
        <v>17960</v>
      </c>
      <c r="B4813" s="23"/>
      <c r="C4813" s="23" t="s">
        <v>5462</v>
      </c>
      <c r="D4813" s="23" t="str">
        <f t="shared" si="225"/>
        <v>ORD26002487</v>
      </c>
      <c r="E4813" s="38">
        <v>46291</v>
      </c>
      <c r="F4813" s="23" t="s">
        <v>12410</v>
      </c>
      <c r="G4813" s="23" t="s">
        <v>77</v>
      </c>
      <c r="H4813" s="24">
        <v>6998</v>
      </c>
      <c r="I4813" s="24">
        <v>118.97</v>
      </c>
      <c r="J4813" s="24">
        <v>21.41</v>
      </c>
      <c r="K4813" s="24">
        <v>6857.62</v>
      </c>
      <c r="L4813" s="38">
        <v>46293</v>
      </c>
      <c r="M4813" s="23" t="s">
        <v>228</v>
      </c>
      <c r="N4813" s="23" t="str">
        <f>IF(COUNTIF($A$2:A4813,A4813)&gt;1,"DUP","OK")</f>
        <v>OK</v>
      </c>
      <c r="O4813" s="23" t="str">
        <f t="shared" si="226"/>
        <v>ORD26002487</v>
      </c>
      <c r="P4813" s="23" t="str">
        <f t="shared" si="227"/>
        <v>Sep</v>
      </c>
      <c r="Q4813" s="23" t="str">
        <f>IF(F4813="CAPTURE",IF(COUNTIF(orders!$A:$A,O4813)&gt;0,"Yes","NO ORDER"),"")</f>
        <v>Yes</v>
      </c>
    </row>
    <row r="4814" spans="1:17" ht="15" customHeight="1" x14ac:dyDescent="0.3">
      <c r="A4814" s="23" t="s">
        <v>17961</v>
      </c>
      <c r="B4814" s="23"/>
      <c r="C4814" s="23" t="s">
        <v>5490</v>
      </c>
      <c r="D4814" s="23" t="str">
        <f t="shared" si="225"/>
        <v>ORD26002501</v>
      </c>
      <c r="E4814" s="38">
        <v>46291</v>
      </c>
      <c r="F4814" s="23" t="s">
        <v>12410</v>
      </c>
      <c r="G4814" s="23" t="s">
        <v>75</v>
      </c>
      <c r="H4814" s="24">
        <v>12297</v>
      </c>
      <c r="I4814" s="24">
        <v>36.89</v>
      </c>
      <c r="J4814" s="24">
        <v>6.64</v>
      </c>
      <c r="K4814" s="24">
        <v>12253.47</v>
      </c>
      <c r="L4814" s="38">
        <v>46293</v>
      </c>
      <c r="M4814" s="23" t="s">
        <v>228</v>
      </c>
      <c r="N4814" s="23" t="str">
        <f>IF(COUNTIF($A$2:A4814,A4814)&gt;1,"DUP","OK")</f>
        <v>OK</v>
      </c>
      <c r="O4814" s="23" t="str">
        <f t="shared" si="226"/>
        <v>ORD26002501</v>
      </c>
      <c r="P4814" s="23" t="str">
        <f t="shared" si="227"/>
        <v>Sep</v>
      </c>
      <c r="Q4814" s="23" t="str">
        <f>IF(F4814="CAPTURE",IF(COUNTIF(orders!$A:$A,O4814)&gt;0,"Yes","NO ORDER"),"")</f>
        <v>Yes</v>
      </c>
    </row>
    <row r="4815" spans="1:17" ht="15" customHeight="1" x14ac:dyDescent="0.3">
      <c r="A4815" s="23" t="s">
        <v>17962</v>
      </c>
      <c r="B4815" s="23"/>
      <c r="C4815" s="23" t="s">
        <v>5506</v>
      </c>
      <c r="D4815" s="23" t="str">
        <f t="shared" si="225"/>
        <v>ORD26002508</v>
      </c>
      <c r="E4815" s="38">
        <v>46291</v>
      </c>
      <c r="F4815" s="23" t="s">
        <v>12410</v>
      </c>
      <c r="G4815" s="23" t="s">
        <v>75</v>
      </c>
      <c r="H4815" s="24">
        <v>13597</v>
      </c>
      <c r="I4815" s="24">
        <v>40.79</v>
      </c>
      <c r="J4815" s="24">
        <v>7.34</v>
      </c>
      <c r="K4815" s="24">
        <v>13548.87</v>
      </c>
      <c r="L4815" s="38">
        <v>46293</v>
      </c>
      <c r="M4815" s="23" t="s">
        <v>228</v>
      </c>
      <c r="N4815" s="23" t="str">
        <f>IF(COUNTIF($A$2:A4815,A4815)&gt;1,"DUP","OK")</f>
        <v>OK</v>
      </c>
      <c r="O4815" s="23" t="str">
        <f t="shared" si="226"/>
        <v>ORD26002508</v>
      </c>
      <c r="P4815" s="23" t="str">
        <f t="shared" si="227"/>
        <v>Sep</v>
      </c>
      <c r="Q4815" s="23" t="str">
        <f>IF(F4815="CAPTURE",IF(COUNTIF(orders!$A:$A,O4815)&gt;0,"Yes","NO ORDER"),"")</f>
        <v>Yes</v>
      </c>
    </row>
    <row r="4816" spans="1:17" ht="15" customHeight="1" x14ac:dyDescent="0.3">
      <c r="A4816" s="23" t="s">
        <v>17963</v>
      </c>
      <c r="B4816" s="23"/>
      <c r="C4816" s="23" t="s">
        <v>5550</v>
      </c>
      <c r="D4816" s="23" t="str">
        <f t="shared" si="225"/>
        <v>ORD26002529</v>
      </c>
      <c r="E4816" s="38">
        <v>46291</v>
      </c>
      <c r="F4816" s="23" t="s">
        <v>12410</v>
      </c>
      <c r="G4816" s="23" t="s">
        <v>75</v>
      </c>
      <c r="H4816" s="24">
        <v>3498</v>
      </c>
      <c r="I4816" s="24">
        <v>10.49</v>
      </c>
      <c r="J4816" s="24">
        <v>1.89</v>
      </c>
      <c r="K4816" s="24">
        <v>3485.62</v>
      </c>
      <c r="L4816" s="38">
        <v>46293</v>
      </c>
      <c r="M4816" s="23" t="s">
        <v>228</v>
      </c>
      <c r="N4816" s="23" t="str">
        <f>IF(COUNTIF($A$2:A4816,A4816)&gt;1,"DUP","OK")</f>
        <v>OK</v>
      </c>
      <c r="O4816" s="23" t="str">
        <f t="shared" si="226"/>
        <v>ORD26002529</v>
      </c>
      <c r="P4816" s="23" t="str">
        <f t="shared" si="227"/>
        <v>Sep</v>
      </c>
      <c r="Q4816" s="23" t="str">
        <f>IF(F4816="CAPTURE",IF(COUNTIF(orders!$A:$A,O4816)&gt;0,"Yes","NO ORDER"),"")</f>
        <v>Yes</v>
      </c>
    </row>
    <row r="4817" spans="1:17" ht="15" customHeight="1" x14ac:dyDescent="0.3">
      <c r="A4817" s="23" t="s">
        <v>17964</v>
      </c>
      <c r="B4817" s="23"/>
      <c r="C4817" s="23" t="s">
        <v>5687</v>
      </c>
      <c r="D4817" s="23" t="str">
        <f t="shared" si="225"/>
        <v>ORD26002597</v>
      </c>
      <c r="E4817" s="38">
        <v>46291</v>
      </c>
      <c r="F4817" s="23" t="s">
        <v>12410</v>
      </c>
      <c r="G4817" s="23" t="s">
        <v>75</v>
      </c>
      <c r="H4817" s="24">
        <v>4999</v>
      </c>
      <c r="I4817" s="24">
        <v>15</v>
      </c>
      <c r="J4817" s="24">
        <v>2.7</v>
      </c>
      <c r="K4817" s="24">
        <v>4981.3</v>
      </c>
      <c r="L4817" s="38">
        <v>46293</v>
      </c>
      <c r="M4817" s="23" t="s">
        <v>228</v>
      </c>
      <c r="N4817" s="23" t="str">
        <f>IF(COUNTIF($A$2:A4817,A4817)&gt;1,"DUP","OK")</f>
        <v>OK</v>
      </c>
      <c r="O4817" s="23" t="str">
        <f t="shared" si="226"/>
        <v>ORD26002597</v>
      </c>
      <c r="P4817" s="23" t="str">
        <f t="shared" si="227"/>
        <v>Sep</v>
      </c>
      <c r="Q4817" s="23" t="str">
        <f>IF(F4817="CAPTURE",IF(COUNTIF(orders!$A:$A,O4817)&gt;0,"Yes","NO ORDER"),"")</f>
        <v>Yes</v>
      </c>
    </row>
    <row r="4818" spans="1:17" ht="15" customHeight="1" x14ac:dyDescent="0.3">
      <c r="A4818" s="23" t="s">
        <v>17965</v>
      </c>
      <c r="B4818" s="23"/>
      <c r="C4818" s="23" t="s">
        <v>5748</v>
      </c>
      <c r="D4818" s="23" t="str">
        <f t="shared" si="225"/>
        <v>ORD26002627</v>
      </c>
      <c r="E4818" s="38">
        <v>46291</v>
      </c>
      <c r="F4818" s="23" t="s">
        <v>12410</v>
      </c>
      <c r="G4818" s="23" t="s">
        <v>79</v>
      </c>
      <c r="H4818" s="24">
        <v>1299</v>
      </c>
      <c r="I4818" s="24">
        <v>23.38</v>
      </c>
      <c r="J4818" s="24">
        <v>4.21</v>
      </c>
      <c r="K4818" s="24">
        <v>1271.4100000000001</v>
      </c>
      <c r="L4818" s="38">
        <v>46293</v>
      </c>
      <c r="M4818" s="23" t="s">
        <v>228</v>
      </c>
      <c r="N4818" s="23" t="str">
        <f>IF(COUNTIF($A$2:A4818,A4818)&gt;1,"DUP","OK")</f>
        <v>OK</v>
      </c>
      <c r="O4818" s="23" t="str">
        <f t="shared" si="226"/>
        <v>ORD26002627</v>
      </c>
      <c r="P4818" s="23" t="str">
        <f t="shared" si="227"/>
        <v>Sep</v>
      </c>
      <c r="Q4818" s="23" t="str">
        <f>IF(F4818="CAPTURE",IF(COUNTIF(orders!$A:$A,O4818)&gt;0,"Yes","NO ORDER"),"")</f>
        <v>Yes</v>
      </c>
    </row>
    <row r="4819" spans="1:17" ht="15" customHeight="1" x14ac:dyDescent="0.3">
      <c r="A4819" s="23" t="s">
        <v>17966</v>
      </c>
      <c r="B4819" s="23"/>
      <c r="C4819" s="23" t="s">
        <v>5786</v>
      </c>
      <c r="D4819" s="23" t="str">
        <f t="shared" si="225"/>
        <v>ORD26002646</v>
      </c>
      <c r="E4819" s="38">
        <v>46291</v>
      </c>
      <c r="F4819" s="23" t="s">
        <v>12410</v>
      </c>
      <c r="G4819" s="23" t="s">
        <v>79</v>
      </c>
      <c r="H4819" s="24">
        <v>7999</v>
      </c>
      <c r="I4819" s="24">
        <v>127.98</v>
      </c>
      <c r="J4819" s="24">
        <v>23.04</v>
      </c>
      <c r="K4819" s="24">
        <v>7847.98</v>
      </c>
      <c r="L4819" s="38">
        <v>46293</v>
      </c>
      <c r="M4819" s="23" t="s">
        <v>228</v>
      </c>
      <c r="N4819" s="23" t="str">
        <f>IF(COUNTIF($A$2:A4819,A4819)&gt;1,"DUP","OK")</f>
        <v>OK</v>
      </c>
      <c r="O4819" s="23" t="str">
        <f t="shared" si="226"/>
        <v>ORD26002646</v>
      </c>
      <c r="P4819" s="23" t="str">
        <f t="shared" si="227"/>
        <v>Sep</v>
      </c>
      <c r="Q4819" s="23" t="str">
        <f>IF(F4819="CAPTURE",IF(COUNTIF(orders!$A:$A,O4819)&gt;0,"Yes","NO ORDER"),"")</f>
        <v>Yes</v>
      </c>
    </row>
    <row r="4820" spans="1:17" ht="15" customHeight="1" x14ac:dyDescent="0.3">
      <c r="A4820" s="23" t="s">
        <v>17967</v>
      </c>
      <c r="B4820" s="23"/>
      <c r="C4820" s="23" t="s">
        <v>6060</v>
      </c>
      <c r="D4820" s="23" t="str">
        <f t="shared" si="225"/>
        <v>ORD26002781</v>
      </c>
      <c r="E4820" s="38">
        <v>46291</v>
      </c>
      <c r="F4820" s="23" t="s">
        <v>12410</v>
      </c>
      <c r="G4820" s="23" t="s">
        <v>79</v>
      </c>
      <c r="H4820" s="24">
        <v>3499</v>
      </c>
      <c r="I4820" s="24">
        <v>55.98</v>
      </c>
      <c r="J4820" s="24">
        <v>10.08</v>
      </c>
      <c r="K4820" s="24">
        <v>3432.94</v>
      </c>
      <c r="L4820" s="38">
        <v>46293</v>
      </c>
      <c r="M4820" s="23" t="s">
        <v>228</v>
      </c>
      <c r="N4820" s="23" t="str">
        <f>IF(COUNTIF($A$2:A4820,A4820)&gt;1,"DUP","OK")</f>
        <v>OK</v>
      </c>
      <c r="O4820" s="23" t="str">
        <f t="shared" si="226"/>
        <v>ORD26002781</v>
      </c>
      <c r="P4820" s="23" t="str">
        <f t="shared" si="227"/>
        <v>Sep</v>
      </c>
      <c r="Q4820" s="23" t="str">
        <f>IF(F4820="CAPTURE",IF(COUNTIF(orders!$A:$A,O4820)&gt;0,"Yes","NO ORDER"),"")</f>
        <v>Yes</v>
      </c>
    </row>
    <row r="4821" spans="1:17" ht="15" customHeight="1" x14ac:dyDescent="0.3">
      <c r="A4821" s="23" t="s">
        <v>17968</v>
      </c>
      <c r="B4821" s="23"/>
      <c r="C4821" s="23" t="s">
        <v>6126</v>
      </c>
      <c r="D4821" s="23" t="str">
        <f t="shared" si="225"/>
        <v>ORD26002814</v>
      </c>
      <c r="E4821" s="38">
        <v>46291</v>
      </c>
      <c r="F4821" s="23" t="s">
        <v>12410</v>
      </c>
      <c r="G4821" s="23" t="s">
        <v>79</v>
      </c>
      <c r="H4821" s="24">
        <v>299</v>
      </c>
      <c r="I4821" s="24">
        <v>5.38</v>
      </c>
      <c r="J4821" s="24">
        <v>0.97</v>
      </c>
      <c r="K4821" s="24">
        <v>292.64999999999998</v>
      </c>
      <c r="L4821" s="38">
        <v>46293</v>
      </c>
      <c r="M4821" s="23" t="s">
        <v>228</v>
      </c>
      <c r="N4821" s="23" t="str">
        <f>IF(COUNTIF($A$2:A4821,A4821)&gt;1,"DUP","OK")</f>
        <v>OK</v>
      </c>
      <c r="O4821" s="23" t="str">
        <f t="shared" si="226"/>
        <v>ORD26002814</v>
      </c>
      <c r="P4821" s="23" t="str">
        <f t="shared" si="227"/>
        <v>Sep</v>
      </c>
      <c r="Q4821" s="23" t="str">
        <f>IF(F4821="CAPTURE",IF(COUNTIF(orders!$A:$A,O4821)&gt;0,"Yes","NO ORDER"),"")</f>
        <v>Yes</v>
      </c>
    </row>
    <row r="4822" spans="1:17" ht="15" customHeight="1" x14ac:dyDescent="0.3">
      <c r="A4822" s="23" t="s">
        <v>17969</v>
      </c>
      <c r="B4822" s="23"/>
      <c r="C4822" s="23" t="s">
        <v>6170</v>
      </c>
      <c r="D4822" s="23" t="str">
        <f t="shared" si="225"/>
        <v>ORD26002836</v>
      </c>
      <c r="E4822" s="38">
        <v>46291</v>
      </c>
      <c r="F4822" s="23" t="s">
        <v>12410</v>
      </c>
      <c r="G4822" s="23" t="s">
        <v>79</v>
      </c>
      <c r="H4822" s="24">
        <v>2499</v>
      </c>
      <c r="I4822" s="24">
        <v>39.979999999999997</v>
      </c>
      <c r="J4822" s="24">
        <v>7.2</v>
      </c>
      <c r="K4822" s="24">
        <v>2451.8200000000002</v>
      </c>
      <c r="L4822" s="38">
        <v>46293</v>
      </c>
      <c r="M4822" s="23" t="s">
        <v>228</v>
      </c>
      <c r="N4822" s="23" t="str">
        <f>IF(COUNTIF($A$2:A4822,A4822)&gt;1,"DUP","OK")</f>
        <v>OK</v>
      </c>
      <c r="O4822" s="23" t="str">
        <f t="shared" si="226"/>
        <v>ORD26002836</v>
      </c>
      <c r="P4822" s="23" t="str">
        <f t="shared" si="227"/>
        <v>Sep</v>
      </c>
      <c r="Q4822" s="23" t="str">
        <f>IF(F4822="CAPTURE",IF(COUNTIF(orders!$A:$A,O4822)&gt;0,"Yes","NO ORDER"),"")</f>
        <v>Yes</v>
      </c>
    </row>
    <row r="4823" spans="1:17" ht="15" customHeight="1" x14ac:dyDescent="0.3">
      <c r="A4823" s="23" t="s">
        <v>17970</v>
      </c>
      <c r="B4823" s="23"/>
      <c r="C4823" s="23" t="s">
        <v>6175</v>
      </c>
      <c r="D4823" s="23" t="str">
        <f t="shared" si="225"/>
        <v>ORD26002839</v>
      </c>
      <c r="E4823" s="38">
        <v>46291</v>
      </c>
      <c r="F4823" s="23" t="s">
        <v>12410</v>
      </c>
      <c r="G4823" s="23" t="s">
        <v>75</v>
      </c>
      <c r="H4823" s="24">
        <v>1648</v>
      </c>
      <c r="I4823" s="24">
        <v>0</v>
      </c>
      <c r="J4823" s="24">
        <v>0</v>
      </c>
      <c r="K4823" s="24">
        <v>1648</v>
      </c>
      <c r="L4823" s="38">
        <v>46293</v>
      </c>
      <c r="M4823" s="23" t="s">
        <v>228</v>
      </c>
      <c r="N4823" s="23" t="str">
        <f>IF(COUNTIF($A$2:A4823,A4823)&gt;1,"DUP","OK")</f>
        <v>OK</v>
      </c>
      <c r="O4823" s="23" t="str">
        <f t="shared" si="226"/>
        <v>ORD26002839</v>
      </c>
      <c r="P4823" s="23" t="str">
        <f t="shared" si="227"/>
        <v>Sep</v>
      </c>
      <c r="Q4823" s="23" t="str">
        <f>IF(F4823="CAPTURE",IF(COUNTIF(orders!$A:$A,O4823)&gt;0,"Yes","NO ORDER"),"")</f>
        <v>Yes</v>
      </c>
    </row>
    <row r="4824" spans="1:17" ht="15" customHeight="1" x14ac:dyDescent="0.3">
      <c r="A4824" s="23" t="s">
        <v>17971</v>
      </c>
      <c r="B4824" s="23"/>
      <c r="C4824" s="23" t="s">
        <v>17972</v>
      </c>
      <c r="D4824" s="23" t="str">
        <f t="shared" si="225"/>
        <v>ORD26002873</v>
      </c>
      <c r="E4824" s="38">
        <v>46291</v>
      </c>
      <c r="F4824" s="23" t="s">
        <v>12410</v>
      </c>
      <c r="G4824" s="23" t="s">
        <v>75</v>
      </c>
      <c r="H4824" s="24">
        <v>12297</v>
      </c>
      <c r="I4824" s="24">
        <v>36.89</v>
      </c>
      <c r="J4824" s="24">
        <v>6.64</v>
      </c>
      <c r="K4824" s="24">
        <v>12253.47</v>
      </c>
      <c r="L4824" s="38">
        <v>46293</v>
      </c>
      <c r="M4824" s="23" t="s">
        <v>228</v>
      </c>
      <c r="N4824" s="23" t="str">
        <f>IF(COUNTIF($A$2:A4824,A4824)&gt;1,"DUP","OK")</f>
        <v>OK</v>
      </c>
      <c r="O4824" s="23" t="str">
        <f t="shared" si="226"/>
        <v>ORD26002873</v>
      </c>
      <c r="P4824" s="23" t="str">
        <f t="shared" si="227"/>
        <v>Sep</v>
      </c>
      <c r="Q4824" s="23" t="str">
        <f>IF(F4824="CAPTURE",IF(COUNTIF(orders!$A:$A,O4824)&gt;0,"Yes","NO ORDER"),"")</f>
        <v>Yes</v>
      </c>
    </row>
    <row r="4825" spans="1:17" ht="15" customHeight="1" x14ac:dyDescent="0.3">
      <c r="A4825" s="23" t="s">
        <v>17973</v>
      </c>
      <c r="B4825" s="23"/>
      <c r="C4825" s="23" t="s">
        <v>6243</v>
      </c>
      <c r="D4825" s="23" t="str">
        <f t="shared" si="225"/>
        <v>ORD26002874</v>
      </c>
      <c r="E4825" s="38">
        <v>46291</v>
      </c>
      <c r="F4825" s="23" t="s">
        <v>12410</v>
      </c>
      <c r="G4825" s="23" t="s">
        <v>79</v>
      </c>
      <c r="H4825" s="24">
        <v>1298</v>
      </c>
      <c r="I4825" s="24">
        <v>23.36</v>
      </c>
      <c r="J4825" s="24">
        <v>4.2</v>
      </c>
      <c r="K4825" s="24">
        <v>1270.44</v>
      </c>
      <c r="L4825" s="38">
        <v>46293</v>
      </c>
      <c r="M4825" s="23" t="s">
        <v>228</v>
      </c>
      <c r="N4825" s="23" t="str">
        <f>IF(COUNTIF($A$2:A4825,A4825)&gt;1,"DUP","OK")</f>
        <v>OK</v>
      </c>
      <c r="O4825" s="23" t="str">
        <f t="shared" si="226"/>
        <v>ORD26002874</v>
      </c>
      <c r="P4825" s="23" t="str">
        <f t="shared" si="227"/>
        <v>Sep</v>
      </c>
      <c r="Q4825" s="23" t="str">
        <f>IF(F4825="CAPTURE",IF(COUNTIF(orders!$A:$A,O4825)&gt;0,"Yes","NO ORDER"),"")</f>
        <v>Yes</v>
      </c>
    </row>
    <row r="4826" spans="1:17" ht="15" customHeight="1" x14ac:dyDescent="0.3">
      <c r="A4826" s="23" t="s">
        <v>17974</v>
      </c>
      <c r="B4826" s="23"/>
      <c r="C4826" s="23" t="s">
        <v>6251</v>
      </c>
      <c r="D4826" s="23" t="str">
        <f t="shared" si="225"/>
        <v>ORD26002878</v>
      </c>
      <c r="E4826" s="38">
        <v>46291</v>
      </c>
      <c r="F4826" s="23" t="s">
        <v>12410</v>
      </c>
      <c r="G4826" s="23" t="s">
        <v>79</v>
      </c>
      <c r="H4826" s="24">
        <v>7999</v>
      </c>
      <c r="I4826" s="24">
        <v>127.98</v>
      </c>
      <c r="J4826" s="24">
        <v>23.04</v>
      </c>
      <c r="K4826" s="24">
        <v>7847.98</v>
      </c>
      <c r="L4826" s="38">
        <v>46293</v>
      </c>
      <c r="M4826" s="23" t="s">
        <v>228</v>
      </c>
      <c r="N4826" s="23" t="str">
        <f>IF(COUNTIF($A$2:A4826,A4826)&gt;1,"DUP","OK")</f>
        <v>OK</v>
      </c>
      <c r="O4826" s="23" t="str">
        <f t="shared" si="226"/>
        <v>ORD26002878</v>
      </c>
      <c r="P4826" s="23" t="str">
        <f t="shared" si="227"/>
        <v>Sep</v>
      </c>
      <c r="Q4826" s="23" t="str">
        <f>IF(F4826="CAPTURE",IF(COUNTIF(orders!$A:$A,O4826)&gt;0,"Yes","NO ORDER"),"")</f>
        <v>Yes</v>
      </c>
    </row>
    <row r="4827" spans="1:17" ht="15" customHeight="1" x14ac:dyDescent="0.3">
      <c r="A4827" s="23" t="s">
        <v>17975</v>
      </c>
      <c r="B4827" s="23"/>
      <c r="C4827" s="23" t="s">
        <v>6364</v>
      </c>
      <c r="D4827" s="23" t="str">
        <f t="shared" si="225"/>
        <v>ORD26002934</v>
      </c>
      <c r="E4827" s="38">
        <v>46291</v>
      </c>
      <c r="F4827" s="23" t="s">
        <v>12410</v>
      </c>
      <c r="G4827" s="23" t="s">
        <v>75</v>
      </c>
      <c r="H4827" s="24">
        <v>1798</v>
      </c>
      <c r="I4827" s="24">
        <v>0</v>
      </c>
      <c r="J4827" s="24">
        <v>0</v>
      </c>
      <c r="K4827" s="24">
        <v>1798</v>
      </c>
      <c r="L4827" s="38">
        <v>46293</v>
      </c>
      <c r="M4827" s="23" t="s">
        <v>228</v>
      </c>
      <c r="N4827" s="23" t="str">
        <f>IF(COUNTIF($A$2:A4827,A4827)&gt;1,"DUP","OK")</f>
        <v>OK</v>
      </c>
      <c r="O4827" s="23" t="str">
        <f t="shared" si="226"/>
        <v>ORD26002934</v>
      </c>
      <c r="P4827" s="23" t="str">
        <f t="shared" si="227"/>
        <v>Sep</v>
      </c>
      <c r="Q4827" s="23" t="str">
        <f>IF(F4827="CAPTURE",IF(COUNTIF(orders!$A:$A,O4827)&gt;0,"Yes","NO ORDER"),"")</f>
        <v>Yes</v>
      </c>
    </row>
    <row r="4828" spans="1:17" ht="15" customHeight="1" x14ac:dyDescent="0.3">
      <c r="A4828" s="23" t="s">
        <v>17976</v>
      </c>
      <c r="B4828" s="23"/>
      <c r="C4828" s="23" t="s">
        <v>6432</v>
      </c>
      <c r="D4828" s="23" t="str">
        <f t="shared" si="225"/>
        <v>ORD26002968</v>
      </c>
      <c r="E4828" s="38">
        <v>46291</v>
      </c>
      <c r="F4828" s="23" t="s">
        <v>12410</v>
      </c>
      <c r="G4828" s="23" t="s">
        <v>75</v>
      </c>
      <c r="H4828" s="24">
        <v>4999</v>
      </c>
      <c r="I4828" s="24">
        <v>15</v>
      </c>
      <c r="J4828" s="24">
        <v>2.7</v>
      </c>
      <c r="K4828" s="24">
        <v>4981.3</v>
      </c>
      <c r="L4828" s="38">
        <v>46293</v>
      </c>
      <c r="M4828" s="23" t="s">
        <v>228</v>
      </c>
      <c r="N4828" s="23" t="str">
        <f>IF(COUNTIF($A$2:A4828,A4828)&gt;1,"DUP","OK")</f>
        <v>OK</v>
      </c>
      <c r="O4828" s="23" t="str">
        <f t="shared" si="226"/>
        <v>ORD26002968</v>
      </c>
      <c r="P4828" s="23" t="str">
        <f t="shared" si="227"/>
        <v>Sep</v>
      </c>
      <c r="Q4828" s="23" t="str">
        <f>IF(F4828="CAPTURE",IF(COUNTIF(orders!$A:$A,O4828)&gt;0,"Yes","NO ORDER"),"")</f>
        <v>Yes</v>
      </c>
    </row>
    <row r="4829" spans="1:17" ht="15" customHeight="1" x14ac:dyDescent="0.3">
      <c r="A4829" s="23" t="s">
        <v>17977</v>
      </c>
      <c r="B4829" s="23"/>
      <c r="C4829" s="23" t="s">
        <v>6583</v>
      </c>
      <c r="D4829" s="23" t="str">
        <f t="shared" si="225"/>
        <v>ORD26003045</v>
      </c>
      <c r="E4829" s="38">
        <v>46291</v>
      </c>
      <c r="F4829" s="23" t="s">
        <v>12410</v>
      </c>
      <c r="G4829" s="23" t="s">
        <v>75</v>
      </c>
      <c r="H4829" s="24">
        <v>1299</v>
      </c>
      <c r="I4829" s="24">
        <v>0</v>
      </c>
      <c r="J4829" s="24">
        <v>0</v>
      </c>
      <c r="K4829" s="24">
        <v>1299</v>
      </c>
      <c r="L4829" s="38">
        <v>46293</v>
      </c>
      <c r="M4829" s="23" t="s">
        <v>228</v>
      </c>
      <c r="N4829" s="23" t="str">
        <f>IF(COUNTIF($A$2:A4829,A4829)&gt;1,"DUP","OK")</f>
        <v>OK</v>
      </c>
      <c r="O4829" s="23" t="str">
        <f t="shared" si="226"/>
        <v>ORD26003045</v>
      </c>
      <c r="P4829" s="23" t="str">
        <f t="shared" si="227"/>
        <v>Sep</v>
      </c>
      <c r="Q4829" s="23" t="str">
        <f>IF(F4829="CAPTURE",IF(COUNTIF(orders!$A:$A,O4829)&gt;0,"Yes","NO ORDER"),"")</f>
        <v>Yes</v>
      </c>
    </row>
    <row r="4830" spans="1:17" ht="15" customHeight="1" x14ac:dyDescent="0.3">
      <c r="A4830" s="23" t="s">
        <v>17978</v>
      </c>
      <c r="B4830" s="23"/>
      <c r="C4830" s="23" t="s">
        <v>6587</v>
      </c>
      <c r="D4830" s="23" t="str">
        <f t="shared" si="225"/>
        <v>ORD26003047</v>
      </c>
      <c r="E4830" s="38">
        <v>46291</v>
      </c>
      <c r="F4830" s="23" t="s">
        <v>12410</v>
      </c>
      <c r="G4830" s="23" t="s">
        <v>75</v>
      </c>
      <c r="H4830" s="24">
        <v>799</v>
      </c>
      <c r="I4830" s="24">
        <v>0</v>
      </c>
      <c r="J4830" s="24">
        <v>0</v>
      </c>
      <c r="K4830" s="24">
        <v>799</v>
      </c>
      <c r="L4830" s="38">
        <v>46293</v>
      </c>
      <c r="M4830" s="23" t="s">
        <v>228</v>
      </c>
      <c r="N4830" s="23" t="str">
        <f>IF(COUNTIF($A$2:A4830,A4830)&gt;1,"DUP","OK")</f>
        <v>OK</v>
      </c>
      <c r="O4830" s="23" t="str">
        <f t="shared" si="226"/>
        <v>ORD26003047</v>
      </c>
      <c r="P4830" s="23" t="str">
        <f t="shared" si="227"/>
        <v>Sep</v>
      </c>
      <c r="Q4830" s="23" t="str">
        <f>IF(F4830="CAPTURE",IF(COUNTIF(orders!$A:$A,O4830)&gt;0,"Yes","NO ORDER"),"")</f>
        <v>Yes</v>
      </c>
    </row>
    <row r="4831" spans="1:17" ht="15" customHeight="1" x14ac:dyDescent="0.3">
      <c r="A4831" s="23" t="s">
        <v>17979</v>
      </c>
      <c r="B4831" s="23"/>
      <c r="C4831" s="23" t="s">
        <v>17980</v>
      </c>
      <c r="D4831" s="23" t="str">
        <f t="shared" si="225"/>
        <v>ORD26003139</v>
      </c>
      <c r="E4831" s="38">
        <v>46291</v>
      </c>
      <c r="F4831" s="23" t="s">
        <v>12410</v>
      </c>
      <c r="G4831" s="23" t="s">
        <v>77</v>
      </c>
      <c r="H4831" s="24">
        <v>2499</v>
      </c>
      <c r="I4831" s="24">
        <v>42.48</v>
      </c>
      <c r="J4831" s="24">
        <v>7.65</v>
      </c>
      <c r="K4831" s="24">
        <v>2448.87</v>
      </c>
      <c r="L4831" s="38">
        <v>46293</v>
      </c>
      <c r="M4831" s="23" t="s">
        <v>228</v>
      </c>
      <c r="N4831" s="23" t="str">
        <f>IF(COUNTIF($A$2:A4831,A4831)&gt;1,"DUP","OK")</f>
        <v>OK</v>
      </c>
      <c r="O4831" s="23" t="str">
        <f t="shared" si="226"/>
        <v>ORD26003139</v>
      </c>
      <c r="P4831" s="23" t="str">
        <f t="shared" si="227"/>
        <v>Sep</v>
      </c>
      <c r="Q4831" s="23" t="str">
        <f>IF(F4831="CAPTURE",IF(COUNTIF(orders!$A:$A,O4831)&gt;0,"Yes","NO ORDER"),"")</f>
        <v>Yes</v>
      </c>
    </row>
    <row r="4832" spans="1:17" ht="15" customHeight="1" x14ac:dyDescent="0.3">
      <c r="A4832" s="23" t="s">
        <v>17981</v>
      </c>
      <c r="B4832" s="23"/>
      <c r="C4832" s="23" t="s">
        <v>6959</v>
      </c>
      <c r="D4832" s="23" t="str">
        <f t="shared" si="225"/>
        <v>ORD26003231</v>
      </c>
      <c r="E4832" s="38">
        <v>46291</v>
      </c>
      <c r="F4832" s="23" t="s">
        <v>12410</v>
      </c>
      <c r="G4832" s="23" t="s">
        <v>75</v>
      </c>
      <c r="H4832" s="24">
        <v>799</v>
      </c>
      <c r="I4832" s="24">
        <v>0</v>
      </c>
      <c r="J4832" s="24">
        <v>0</v>
      </c>
      <c r="K4832" s="24">
        <v>799</v>
      </c>
      <c r="L4832" s="38">
        <v>46293</v>
      </c>
      <c r="M4832" s="23" t="s">
        <v>228</v>
      </c>
      <c r="N4832" s="23" t="str">
        <f>IF(COUNTIF($A$2:A4832,A4832)&gt;1,"DUP","OK")</f>
        <v>OK</v>
      </c>
      <c r="O4832" s="23" t="str">
        <f t="shared" si="226"/>
        <v>ORD26003231</v>
      </c>
      <c r="P4832" s="23" t="str">
        <f t="shared" si="227"/>
        <v>Sep</v>
      </c>
      <c r="Q4832" s="23" t="str">
        <f>IF(F4832="CAPTURE",IF(COUNTIF(orders!$A:$A,O4832)&gt;0,"Yes","NO ORDER"),"")</f>
        <v>Yes</v>
      </c>
    </row>
    <row r="4833" spans="1:17" ht="15" customHeight="1" x14ac:dyDescent="0.3">
      <c r="A4833" s="23" t="s">
        <v>17982</v>
      </c>
      <c r="B4833" s="23"/>
      <c r="C4833" s="23" t="s">
        <v>7137</v>
      </c>
      <c r="D4833" s="23" t="str">
        <f t="shared" si="225"/>
        <v>ORD26003320</v>
      </c>
      <c r="E4833" s="38">
        <v>46291</v>
      </c>
      <c r="F4833" s="23" t="s">
        <v>12410</v>
      </c>
      <c r="G4833" s="23" t="s">
        <v>77</v>
      </c>
      <c r="H4833" s="24">
        <v>1799</v>
      </c>
      <c r="I4833" s="24">
        <v>34.18</v>
      </c>
      <c r="J4833" s="24">
        <v>6.15</v>
      </c>
      <c r="K4833" s="24">
        <v>1758.67</v>
      </c>
      <c r="L4833" s="38">
        <v>46293</v>
      </c>
      <c r="M4833" s="23" t="s">
        <v>228</v>
      </c>
      <c r="N4833" s="23" t="str">
        <f>IF(COUNTIF($A$2:A4833,A4833)&gt;1,"DUP","OK")</f>
        <v>OK</v>
      </c>
      <c r="O4833" s="23" t="str">
        <f t="shared" si="226"/>
        <v>ORD26003320</v>
      </c>
      <c r="P4833" s="23" t="str">
        <f t="shared" si="227"/>
        <v>Sep</v>
      </c>
      <c r="Q4833" s="23" t="str">
        <f>IF(F4833="CAPTURE",IF(COUNTIF(orders!$A:$A,O4833)&gt;0,"Yes","NO ORDER"),"")</f>
        <v>Yes</v>
      </c>
    </row>
    <row r="4834" spans="1:17" ht="15" customHeight="1" x14ac:dyDescent="0.3">
      <c r="A4834" s="23" t="s">
        <v>17983</v>
      </c>
      <c r="B4834" s="23"/>
      <c r="C4834" s="23" t="s">
        <v>7207</v>
      </c>
      <c r="D4834" s="23" t="str">
        <f t="shared" si="225"/>
        <v>ORD26003354</v>
      </c>
      <c r="E4834" s="38">
        <v>46291</v>
      </c>
      <c r="F4834" s="23" t="s">
        <v>12410</v>
      </c>
      <c r="G4834" s="23" t="s">
        <v>79</v>
      </c>
      <c r="H4834" s="24">
        <v>2148</v>
      </c>
      <c r="I4834" s="24">
        <v>34.369999999999997</v>
      </c>
      <c r="J4834" s="24">
        <v>6.19</v>
      </c>
      <c r="K4834" s="24">
        <v>2107.44</v>
      </c>
      <c r="L4834" s="38">
        <v>46293</v>
      </c>
      <c r="M4834" s="23" t="s">
        <v>228</v>
      </c>
      <c r="N4834" s="23" t="str">
        <f>IF(COUNTIF($A$2:A4834,A4834)&gt;1,"DUP","OK")</f>
        <v>OK</v>
      </c>
      <c r="O4834" s="23" t="str">
        <f t="shared" si="226"/>
        <v>ORD26003354</v>
      </c>
      <c r="P4834" s="23" t="str">
        <f t="shared" si="227"/>
        <v>Sep</v>
      </c>
      <c r="Q4834" s="23" t="str">
        <f>IF(F4834="CAPTURE",IF(COUNTIF(orders!$A:$A,O4834)&gt;0,"Yes","NO ORDER"),"")</f>
        <v>Yes</v>
      </c>
    </row>
    <row r="4835" spans="1:17" ht="15" customHeight="1" x14ac:dyDescent="0.3">
      <c r="A4835" s="23" t="s">
        <v>17984</v>
      </c>
      <c r="B4835" s="23"/>
      <c r="C4835" s="23" t="s">
        <v>7237</v>
      </c>
      <c r="D4835" s="23" t="str">
        <f t="shared" si="225"/>
        <v>ORD26003369</v>
      </c>
      <c r="E4835" s="38">
        <v>46291</v>
      </c>
      <c r="F4835" s="23" t="s">
        <v>12410</v>
      </c>
      <c r="G4835" s="23" t="s">
        <v>75</v>
      </c>
      <c r="H4835" s="24">
        <v>499</v>
      </c>
      <c r="I4835" s="24">
        <v>0</v>
      </c>
      <c r="J4835" s="24">
        <v>0</v>
      </c>
      <c r="K4835" s="24">
        <v>499</v>
      </c>
      <c r="L4835" s="38">
        <v>46293</v>
      </c>
      <c r="M4835" s="23" t="s">
        <v>228</v>
      </c>
      <c r="N4835" s="23" t="str">
        <f>IF(COUNTIF($A$2:A4835,A4835)&gt;1,"DUP","OK")</f>
        <v>OK</v>
      </c>
      <c r="O4835" s="23" t="str">
        <f t="shared" si="226"/>
        <v>ORD26003369</v>
      </c>
      <c r="P4835" s="23" t="str">
        <f t="shared" si="227"/>
        <v>Sep</v>
      </c>
      <c r="Q4835" s="23" t="str">
        <f>IF(F4835="CAPTURE",IF(COUNTIF(orders!$A:$A,O4835)&gt;0,"Yes","NO ORDER"),"")</f>
        <v>Yes</v>
      </c>
    </row>
    <row r="4836" spans="1:17" ht="15" customHeight="1" x14ac:dyDescent="0.3">
      <c r="A4836" s="23" t="s">
        <v>17985</v>
      </c>
      <c r="B4836" s="23"/>
      <c r="C4836" s="23" t="s">
        <v>7355</v>
      </c>
      <c r="D4836" s="23" t="str">
        <f t="shared" si="225"/>
        <v>ORD26003428</v>
      </c>
      <c r="E4836" s="38">
        <v>46291</v>
      </c>
      <c r="F4836" s="23" t="s">
        <v>12410</v>
      </c>
      <c r="G4836" s="23" t="s">
        <v>79</v>
      </c>
      <c r="H4836" s="24">
        <v>4497</v>
      </c>
      <c r="I4836" s="24">
        <v>71.95</v>
      </c>
      <c r="J4836" s="24">
        <v>12.95</v>
      </c>
      <c r="K4836" s="24">
        <v>4412.1000000000004</v>
      </c>
      <c r="L4836" s="38">
        <v>46293</v>
      </c>
      <c r="M4836" s="23" t="s">
        <v>228</v>
      </c>
      <c r="N4836" s="23" t="str">
        <f>IF(COUNTIF($A$2:A4836,A4836)&gt;1,"DUP","OK")</f>
        <v>OK</v>
      </c>
      <c r="O4836" s="23" t="str">
        <f t="shared" si="226"/>
        <v>ORD26003428</v>
      </c>
      <c r="P4836" s="23" t="str">
        <f t="shared" si="227"/>
        <v>Sep</v>
      </c>
      <c r="Q4836" s="23" t="str">
        <f>IF(F4836="CAPTURE",IF(COUNTIF(orders!$A:$A,O4836)&gt;0,"Yes","NO ORDER"),"")</f>
        <v>Yes</v>
      </c>
    </row>
    <row r="4837" spans="1:17" ht="15" customHeight="1" x14ac:dyDescent="0.3">
      <c r="A4837" s="23" t="s">
        <v>17986</v>
      </c>
      <c r="B4837" s="23"/>
      <c r="C4837" s="23" t="s">
        <v>7379</v>
      </c>
      <c r="D4837" s="23" t="str">
        <f t="shared" si="225"/>
        <v>ORD26003440</v>
      </c>
      <c r="E4837" s="38">
        <v>46291</v>
      </c>
      <c r="F4837" s="23" t="s">
        <v>12410</v>
      </c>
      <c r="G4837" s="23" t="s">
        <v>81</v>
      </c>
      <c r="H4837" s="24">
        <v>3499</v>
      </c>
      <c r="I4837" s="24">
        <v>41.99</v>
      </c>
      <c r="J4837" s="24">
        <v>7.56</v>
      </c>
      <c r="K4837" s="24">
        <v>3449.45</v>
      </c>
      <c r="L4837" s="38">
        <v>46293</v>
      </c>
      <c r="M4837" s="23" t="s">
        <v>228</v>
      </c>
      <c r="N4837" s="23" t="str">
        <f>IF(COUNTIF($A$2:A4837,A4837)&gt;1,"DUP","OK")</f>
        <v>OK</v>
      </c>
      <c r="O4837" s="23" t="str">
        <f t="shared" si="226"/>
        <v>ORD26003440</v>
      </c>
      <c r="P4837" s="23" t="str">
        <f t="shared" si="227"/>
        <v>Sep</v>
      </c>
      <c r="Q4837" s="23" t="str">
        <f>IF(F4837="CAPTURE",IF(COUNTIF(orders!$A:$A,O4837)&gt;0,"Yes","NO ORDER"),"")</f>
        <v>Yes</v>
      </c>
    </row>
    <row r="4838" spans="1:17" ht="15" customHeight="1" x14ac:dyDescent="0.3">
      <c r="A4838" s="23" t="s">
        <v>17987</v>
      </c>
      <c r="B4838" s="23"/>
      <c r="C4838" s="23" t="s">
        <v>7379</v>
      </c>
      <c r="D4838" s="23" t="str">
        <f t="shared" si="225"/>
        <v>ORD26003440</v>
      </c>
      <c r="E4838" s="38">
        <v>46291</v>
      </c>
      <c r="F4838" s="23" t="s">
        <v>12410</v>
      </c>
      <c r="G4838" s="23" t="s">
        <v>81</v>
      </c>
      <c r="H4838" s="24">
        <v>3499</v>
      </c>
      <c r="I4838" s="24">
        <v>41.99</v>
      </c>
      <c r="J4838" s="24">
        <v>7.56</v>
      </c>
      <c r="K4838" s="24">
        <v>3449.45</v>
      </c>
      <c r="L4838" s="38">
        <v>46293</v>
      </c>
      <c r="M4838" s="23" t="s">
        <v>228</v>
      </c>
      <c r="N4838" s="23" t="str">
        <f>IF(COUNTIF($A$2:A4838,A4838)&gt;1,"DUP","OK")</f>
        <v>OK</v>
      </c>
      <c r="O4838" s="23" t="str">
        <f t="shared" si="226"/>
        <v>ORD26003440</v>
      </c>
      <c r="P4838" s="23" t="str">
        <f t="shared" si="227"/>
        <v>Sep</v>
      </c>
      <c r="Q4838" s="23" t="str">
        <f>IF(F4838="CAPTURE",IF(COUNTIF(orders!$A:$A,O4838)&gt;0,"Yes","NO ORDER"),"")</f>
        <v>Yes</v>
      </c>
    </row>
    <row r="4839" spans="1:17" ht="15" customHeight="1" x14ac:dyDescent="0.3">
      <c r="A4839" s="23" t="s">
        <v>17988</v>
      </c>
      <c r="B4839" s="23"/>
      <c r="C4839" s="23" t="s">
        <v>7393</v>
      </c>
      <c r="D4839" s="23" t="str">
        <f t="shared" si="225"/>
        <v>ORD26003447</v>
      </c>
      <c r="E4839" s="38">
        <v>46291</v>
      </c>
      <c r="F4839" s="23" t="s">
        <v>12410</v>
      </c>
      <c r="G4839" s="23" t="s">
        <v>79</v>
      </c>
      <c r="H4839" s="24">
        <v>799</v>
      </c>
      <c r="I4839" s="24">
        <v>14.38</v>
      </c>
      <c r="J4839" s="24">
        <v>2.59</v>
      </c>
      <c r="K4839" s="24">
        <v>782.03</v>
      </c>
      <c r="L4839" s="38">
        <v>46293</v>
      </c>
      <c r="M4839" s="23" t="s">
        <v>228</v>
      </c>
      <c r="N4839" s="23" t="str">
        <f>IF(COUNTIF($A$2:A4839,A4839)&gt;1,"DUP","OK")</f>
        <v>OK</v>
      </c>
      <c r="O4839" s="23" t="str">
        <f t="shared" si="226"/>
        <v>ORD26003447</v>
      </c>
      <c r="P4839" s="23" t="str">
        <f t="shared" si="227"/>
        <v>Sep</v>
      </c>
      <c r="Q4839" s="23" t="str">
        <f>IF(F4839="CAPTURE",IF(COUNTIF(orders!$A:$A,O4839)&gt;0,"Yes","NO ORDER"),"")</f>
        <v>Yes</v>
      </c>
    </row>
    <row r="4840" spans="1:17" ht="15" customHeight="1" x14ac:dyDescent="0.3">
      <c r="A4840" s="23" t="s">
        <v>17989</v>
      </c>
      <c r="B4840" s="23"/>
      <c r="C4840" s="23" t="s">
        <v>7442</v>
      </c>
      <c r="D4840" s="23" t="str">
        <f t="shared" si="225"/>
        <v>ORD26003471</v>
      </c>
      <c r="E4840" s="38">
        <v>46291</v>
      </c>
      <c r="F4840" s="23" t="s">
        <v>12410</v>
      </c>
      <c r="G4840" s="23" t="s">
        <v>77</v>
      </c>
      <c r="H4840" s="24">
        <v>9498</v>
      </c>
      <c r="I4840" s="24">
        <v>161.47</v>
      </c>
      <c r="J4840" s="24">
        <v>29.06</v>
      </c>
      <c r="K4840" s="24">
        <v>9307.4699999999993</v>
      </c>
      <c r="L4840" s="38">
        <v>46293</v>
      </c>
      <c r="M4840" s="23" t="s">
        <v>228</v>
      </c>
      <c r="N4840" s="23" t="str">
        <f>IF(COUNTIF($A$2:A4840,A4840)&gt;1,"DUP","OK")</f>
        <v>OK</v>
      </c>
      <c r="O4840" s="23" t="str">
        <f t="shared" si="226"/>
        <v>ORD26003471</v>
      </c>
      <c r="P4840" s="23" t="str">
        <f t="shared" si="227"/>
        <v>Sep</v>
      </c>
      <c r="Q4840" s="23" t="str">
        <f>IF(F4840="CAPTURE",IF(COUNTIF(orders!$A:$A,O4840)&gt;0,"Yes","NO ORDER"),"")</f>
        <v>Yes</v>
      </c>
    </row>
    <row r="4841" spans="1:17" ht="15" customHeight="1" x14ac:dyDescent="0.3">
      <c r="A4841" s="23" t="s">
        <v>17990</v>
      </c>
      <c r="B4841" s="23"/>
      <c r="C4841" s="23" t="s">
        <v>17991</v>
      </c>
      <c r="D4841" s="23" t="str">
        <f t="shared" si="225"/>
        <v>ORD26003478</v>
      </c>
      <c r="E4841" s="38">
        <v>46291</v>
      </c>
      <c r="F4841" s="23" t="s">
        <v>12410</v>
      </c>
      <c r="G4841" s="23" t="s">
        <v>79</v>
      </c>
      <c r="H4841" s="24">
        <v>5498</v>
      </c>
      <c r="I4841" s="24">
        <v>87.97</v>
      </c>
      <c r="J4841" s="24">
        <v>15.83</v>
      </c>
      <c r="K4841" s="24">
        <v>5394.2</v>
      </c>
      <c r="L4841" s="38">
        <v>46293</v>
      </c>
      <c r="M4841" s="23" t="s">
        <v>228</v>
      </c>
      <c r="N4841" s="23" t="str">
        <f>IF(COUNTIF($A$2:A4841,A4841)&gt;1,"DUP","OK")</f>
        <v>OK</v>
      </c>
      <c r="O4841" s="23" t="str">
        <f t="shared" si="226"/>
        <v>ORD26003478</v>
      </c>
      <c r="P4841" s="23" t="str">
        <f t="shared" si="227"/>
        <v>Sep</v>
      </c>
      <c r="Q4841" s="23" t="str">
        <f>IF(F4841="CAPTURE",IF(COUNTIF(orders!$A:$A,O4841)&gt;0,"Yes","NO ORDER"),"")</f>
        <v>Yes</v>
      </c>
    </row>
    <row r="4842" spans="1:17" ht="15" customHeight="1" x14ac:dyDescent="0.3">
      <c r="A4842" s="23" t="s">
        <v>17992</v>
      </c>
      <c r="B4842" s="23"/>
      <c r="C4842" s="23" t="s">
        <v>7470</v>
      </c>
      <c r="D4842" s="23" t="str">
        <f t="shared" si="225"/>
        <v>ORD26003486</v>
      </c>
      <c r="E4842" s="38">
        <v>46291</v>
      </c>
      <c r="F4842" s="23" t="s">
        <v>12410</v>
      </c>
      <c r="G4842" s="23" t="s">
        <v>81</v>
      </c>
      <c r="H4842" s="24">
        <v>7999</v>
      </c>
      <c r="I4842" s="24">
        <v>95.99</v>
      </c>
      <c r="J4842" s="24">
        <v>17.28</v>
      </c>
      <c r="K4842" s="24">
        <v>7885.73</v>
      </c>
      <c r="L4842" s="38">
        <v>46293</v>
      </c>
      <c r="M4842" s="23" t="s">
        <v>228</v>
      </c>
      <c r="N4842" s="23" t="str">
        <f>IF(COUNTIF($A$2:A4842,A4842)&gt;1,"DUP","OK")</f>
        <v>OK</v>
      </c>
      <c r="O4842" s="23" t="str">
        <f t="shared" si="226"/>
        <v>ORD26003486</v>
      </c>
      <c r="P4842" s="23" t="str">
        <f t="shared" si="227"/>
        <v>Sep</v>
      </c>
      <c r="Q4842" s="23" t="str">
        <f>IF(F4842="CAPTURE",IF(COUNTIF(orders!$A:$A,O4842)&gt;0,"Yes","NO ORDER"),"")</f>
        <v>Yes</v>
      </c>
    </row>
    <row r="4843" spans="1:17" ht="15" customHeight="1" x14ac:dyDescent="0.3">
      <c r="A4843" s="23" t="s">
        <v>17993</v>
      </c>
      <c r="B4843" s="23"/>
      <c r="C4843" s="23" t="s">
        <v>7648</v>
      </c>
      <c r="D4843" s="23" t="str">
        <f t="shared" si="225"/>
        <v>ORD26003576</v>
      </c>
      <c r="E4843" s="38">
        <v>46291</v>
      </c>
      <c r="F4843" s="23" t="s">
        <v>12410</v>
      </c>
      <c r="G4843" s="23" t="s">
        <v>75</v>
      </c>
      <c r="H4843" s="24">
        <v>299</v>
      </c>
      <c r="I4843" s="24">
        <v>0</v>
      </c>
      <c r="J4843" s="24">
        <v>0</v>
      </c>
      <c r="K4843" s="24">
        <v>299</v>
      </c>
      <c r="L4843" s="38">
        <v>46293</v>
      </c>
      <c r="M4843" s="23" t="s">
        <v>228</v>
      </c>
      <c r="N4843" s="23" t="str">
        <f>IF(COUNTIF($A$2:A4843,A4843)&gt;1,"DUP","OK")</f>
        <v>OK</v>
      </c>
      <c r="O4843" s="23" t="str">
        <f t="shared" si="226"/>
        <v>ORD26003576</v>
      </c>
      <c r="P4843" s="23" t="str">
        <f t="shared" si="227"/>
        <v>Sep</v>
      </c>
      <c r="Q4843" s="23" t="str">
        <f>IF(F4843="CAPTURE",IF(COUNTIF(orders!$A:$A,O4843)&gt;0,"Yes","NO ORDER"),"")</f>
        <v>Yes</v>
      </c>
    </row>
    <row r="4844" spans="1:17" ht="15" customHeight="1" x14ac:dyDescent="0.3">
      <c r="A4844" s="23" t="s">
        <v>17994</v>
      </c>
      <c r="B4844" s="23"/>
      <c r="C4844" s="23" t="s">
        <v>7747</v>
      </c>
      <c r="D4844" s="23" t="str">
        <f t="shared" si="225"/>
        <v>ORD26003627</v>
      </c>
      <c r="E4844" s="38">
        <v>46291</v>
      </c>
      <c r="F4844" s="23" t="s">
        <v>12410</v>
      </c>
      <c r="G4844" s="23" t="s">
        <v>75</v>
      </c>
      <c r="H4844" s="24">
        <v>1299</v>
      </c>
      <c r="I4844" s="24">
        <v>0</v>
      </c>
      <c r="J4844" s="24">
        <v>0</v>
      </c>
      <c r="K4844" s="24">
        <v>1299</v>
      </c>
      <c r="L4844" s="38">
        <v>46293</v>
      </c>
      <c r="M4844" s="23" t="s">
        <v>228</v>
      </c>
      <c r="N4844" s="23" t="str">
        <f>IF(COUNTIF($A$2:A4844,A4844)&gt;1,"DUP","OK")</f>
        <v>OK</v>
      </c>
      <c r="O4844" s="23" t="str">
        <f t="shared" si="226"/>
        <v>ORD26003627</v>
      </c>
      <c r="P4844" s="23" t="str">
        <f t="shared" si="227"/>
        <v>Sep</v>
      </c>
      <c r="Q4844" s="23" t="str">
        <f>IF(F4844="CAPTURE",IF(COUNTIF(orders!$A:$A,O4844)&gt;0,"Yes","NO ORDER"),"")</f>
        <v>Yes</v>
      </c>
    </row>
    <row r="4845" spans="1:17" ht="15" customHeight="1" x14ac:dyDescent="0.3">
      <c r="A4845" s="23" t="s">
        <v>17995</v>
      </c>
      <c r="B4845" s="23"/>
      <c r="C4845" s="23" t="s">
        <v>7757</v>
      </c>
      <c r="D4845" s="23" t="str">
        <f t="shared" si="225"/>
        <v>ORD26003632</v>
      </c>
      <c r="E4845" s="38">
        <v>46291</v>
      </c>
      <c r="F4845" s="23" t="s">
        <v>12410</v>
      </c>
      <c r="G4845" s="23" t="s">
        <v>79</v>
      </c>
      <c r="H4845" s="24">
        <v>7147</v>
      </c>
      <c r="I4845" s="24">
        <v>114.35</v>
      </c>
      <c r="J4845" s="24">
        <v>20.58</v>
      </c>
      <c r="K4845" s="24">
        <v>7012.07</v>
      </c>
      <c r="L4845" s="38">
        <v>46293</v>
      </c>
      <c r="M4845" s="23" t="s">
        <v>228</v>
      </c>
      <c r="N4845" s="23" t="str">
        <f>IF(COUNTIF($A$2:A4845,A4845)&gt;1,"DUP","OK")</f>
        <v>OK</v>
      </c>
      <c r="O4845" s="23" t="str">
        <f t="shared" si="226"/>
        <v>ORD26003632</v>
      </c>
      <c r="P4845" s="23" t="str">
        <f t="shared" si="227"/>
        <v>Sep</v>
      </c>
      <c r="Q4845" s="23" t="str">
        <f>IF(F4845="CAPTURE",IF(COUNTIF(orders!$A:$A,O4845)&gt;0,"Yes","NO ORDER"),"")</f>
        <v>Yes</v>
      </c>
    </row>
    <row r="4846" spans="1:17" ht="15" customHeight="1" x14ac:dyDescent="0.3">
      <c r="A4846" s="23" t="s">
        <v>17996</v>
      </c>
      <c r="B4846" s="23"/>
      <c r="C4846" s="23" t="s">
        <v>7856</v>
      </c>
      <c r="D4846" s="23" t="str">
        <f t="shared" si="225"/>
        <v>ORD26003684</v>
      </c>
      <c r="E4846" s="38">
        <v>46291</v>
      </c>
      <c r="F4846" s="23" t="s">
        <v>12410</v>
      </c>
      <c r="G4846" s="23" t="s">
        <v>75</v>
      </c>
      <c r="H4846" s="24">
        <v>848</v>
      </c>
      <c r="I4846" s="24">
        <v>0</v>
      </c>
      <c r="J4846" s="24">
        <v>0</v>
      </c>
      <c r="K4846" s="24">
        <v>848</v>
      </c>
      <c r="L4846" s="38">
        <v>46293</v>
      </c>
      <c r="M4846" s="23" t="s">
        <v>228</v>
      </c>
      <c r="N4846" s="23" t="str">
        <f>IF(COUNTIF($A$2:A4846,A4846)&gt;1,"DUP","OK")</f>
        <v>OK</v>
      </c>
      <c r="O4846" s="23" t="str">
        <f t="shared" si="226"/>
        <v>ORD26003684</v>
      </c>
      <c r="P4846" s="23" t="str">
        <f t="shared" si="227"/>
        <v>Sep</v>
      </c>
      <c r="Q4846" s="23" t="str">
        <f>IF(F4846="CAPTURE",IF(COUNTIF(orders!$A:$A,O4846)&gt;0,"Yes","NO ORDER"),"")</f>
        <v>Yes</v>
      </c>
    </row>
    <row r="4847" spans="1:17" ht="15" customHeight="1" x14ac:dyDescent="0.3">
      <c r="A4847" s="23" t="s">
        <v>17997</v>
      </c>
      <c r="B4847" s="23"/>
      <c r="C4847" s="23" t="s">
        <v>7884</v>
      </c>
      <c r="D4847" s="23" t="str">
        <f t="shared" si="225"/>
        <v>ORD26003698</v>
      </c>
      <c r="E4847" s="38">
        <v>46291</v>
      </c>
      <c r="F4847" s="23" t="s">
        <v>12410</v>
      </c>
      <c r="G4847" s="23" t="s">
        <v>81</v>
      </c>
      <c r="H4847" s="24">
        <v>11497</v>
      </c>
      <c r="I4847" s="24">
        <v>103.47</v>
      </c>
      <c r="J4847" s="24">
        <v>18.62</v>
      </c>
      <c r="K4847" s="24">
        <v>11374.91</v>
      </c>
      <c r="L4847" s="38">
        <v>46293</v>
      </c>
      <c r="M4847" s="23" t="s">
        <v>228</v>
      </c>
      <c r="N4847" s="23" t="str">
        <f>IF(COUNTIF($A$2:A4847,A4847)&gt;1,"DUP","OK")</f>
        <v>OK</v>
      </c>
      <c r="O4847" s="23" t="str">
        <f t="shared" si="226"/>
        <v>ORD26003698</v>
      </c>
      <c r="P4847" s="23" t="str">
        <f t="shared" si="227"/>
        <v>Sep</v>
      </c>
      <c r="Q4847" s="23" t="str">
        <f>IF(F4847="CAPTURE",IF(COUNTIF(orders!$A:$A,O4847)&gt;0,"Yes","NO ORDER"),"")</f>
        <v>Yes</v>
      </c>
    </row>
    <row r="4848" spans="1:17" ht="15" customHeight="1" x14ac:dyDescent="0.3">
      <c r="A4848" s="23" t="s">
        <v>17998</v>
      </c>
      <c r="B4848" s="23"/>
      <c r="C4848" s="23" t="s">
        <v>8008</v>
      </c>
      <c r="D4848" s="23" t="str">
        <f t="shared" si="225"/>
        <v>ORD26003760</v>
      </c>
      <c r="E4848" s="38">
        <v>46291</v>
      </c>
      <c r="F4848" s="23" t="s">
        <v>12410</v>
      </c>
      <c r="G4848" s="23" t="s">
        <v>75</v>
      </c>
      <c r="H4848" s="24">
        <v>999</v>
      </c>
      <c r="I4848" s="24">
        <v>0</v>
      </c>
      <c r="J4848" s="24">
        <v>0</v>
      </c>
      <c r="K4848" s="24">
        <v>999</v>
      </c>
      <c r="L4848" s="38">
        <v>46293</v>
      </c>
      <c r="M4848" s="23" t="s">
        <v>228</v>
      </c>
      <c r="N4848" s="23" t="str">
        <f>IF(COUNTIF($A$2:A4848,A4848)&gt;1,"DUP","OK")</f>
        <v>OK</v>
      </c>
      <c r="O4848" s="23" t="str">
        <f t="shared" si="226"/>
        <v>ORD26003760</v>
      </c>
      <c r="P4848" s="23" t="str">
        <f t="shared" si="227"/>
        <v>Sep</v>
      </c>
      <c r="Q4848" s="23" t="str">
        <f>IF(F4848="CAPTURE",IF(COUNTIF(orders!$A:$A,O4848)&gt;0,"Yes","NO ORDER"),"")</f>
        <v>Yes</v>
      </c>
    </row>
    <row r="4849" spans="1:17" ht="15" customHeight="1" x14ac:dyDescent="0.3">
      <c r="A4849" s="23" t="s">
        <v>17999</v>
      </c>
      <c r="B4849" s="23"/>
      <c r="C4849" s="23" t="s">
        <v>8036</v>
      </c>
      <c r="D4849" s="23" t="str">
        <f t="shared" si="225"/>
        <v>ORD26003774</v>
      </c>
      <c r="E4849" s="38">
        <v>46291</v>
      </c>
      <c r="F4849" s="23" t="s">
        <v>12410</v>
      </c>
      <c r="G4849" s="23" t="s">
        <v>81</v>
      </c>
      <c r="H4849" s="24">
        <v>7999</v>
      </c>
      <c r="I4849" s="24">
        <v>95.99</v>
      </c>
      <c r="J4849" s="24">
        <v>17.28</v>
      </c>
      <c r="K4849" s="24">
        <v>7885.73</v>
      </c>
      <c r="L4849" s="38">
        <v>46293</v>
      </c>
      <c r="M4849" s="23" t="s">
        <v>228</v>
      </c>
      <c r="N4849" s="23" t="str">
        <f>IF(COUNTIF($A$2:A4849,A4849)&gt;1,"DUP","OK")</f>
        <v>OK</v>
      </c>
      <c r="O4849" s="23" t="str">
        <f t="shared" si="226"/>
        <v>ORD26003774</v>
      </c>
      <c r="P4849" s="23" t="str">
        <f t="shared" si="227"/>
        <v>Sep</v>
      </c>
      <c r="Q4849" s="23" t="str">
        <f>IF(F4849="CAPTURE",IF(COUNTIF(orders!$A:$A,O4849)&gt;0,"Yes","NO ORDER"),"")</f>
        <v>Yes</v>
      </c>
    </row>
    <row r="4850" spans="1:17" ht="15" customHeight="1" x14ac:dyDescent="0.3">
      <c r="A4850" s="23" t="s">
        <v>18000</v>
      </c>
      <c r="B4850" s="23"/>
      <c r="C4850" s="23" t="s">
        <v>8074</v>
      </c>
      <c r="D4850" s="23" t="str">
        <f t="shared" si="225"/>
        <v>ORD26003793</v>
      </c>
      <c r="E4850" s="38">
        <v>46291</v>
      </c>
      <c r="F4850" s="23" t="s">
        <v>12410</v>
      </c>
      <c r="G4850" s="23" t="s">
        <v>79</v>
      </c>
      <c r="H4850" s="24">
        <v>3998</v>
      </c>
      <c r="I4850" s="24">
        <v>63.97</v>
      </c>
      <c r="J4850" s="24">
        <v>11.51</v>
      </c>
      <c r="K4850" s="24">
        <v>3922.52</v>
      </c>
      <c r="L4850" s="38">
        <v>46293</v>
      </c>
      <c r="M4850" s="23" t="s">
        <v>228</v>
      </c>
      <c r="N4850" s="23" t="str">
        <f>IF(COUNTIF($A$2:A4850,A4850)&gt;1,"DUP","OK")</f>
        <v>OK</v>
      </c>
      <c r="O4850" s="23" t="str">
        <f t="shared" si="226"/>
        <v>ORD26003793</v>
      </c>
      <c r="P4850" s="23" t="str">
        <f t="shared" si="227"/>
        <v>Sep</v>
      </c>
      <c r="Q4850" s="23" t="str">
        <f>IF(F4850="CAPTURE",IF(COUNTIF(orders!$A:$A,O4850)&gt;0,"Yes","NO ORDER"),"")</f>
        <v>Yes</v>
      </c>
    </row>
    <row r="4851" spans="1:17" ht="15" customHeight="1" x14ac:dyDescent="0.3">
      <c r="A4851" s="23" t="s">
        <v>18001</v>
      </c>
      <c r="B4851" s="23"/>
      <c r="C4851" s="23" t="s">
        <v>8160</v>
      </c>
      <c r="D4851" s="23" t="str">
        <f t="shared" si="225"/>
        <v>ORD26003836</v>
      </c>
      <c r="E4851" s="38">
        <v>46291</v>
      </c>
      <c r="F4851" s="23" t="s">
        <v>12410</v>
      </c>
      <c r="G4851" s="23" t="s">
        <v>75</v>
      </c>
      <c r="H4851" s="24">
        <v>349</v>
      </c>
      <c r="I4851" s="24">
        <v>0</v>
      </c>
      <c r="J4851" s="24">
        <v>0</v>
      </c>
      <c r="K4851" s="24">
        <v>349</v>
      </c>
      <c r="L4851" s="38">
        <v>46293</v>
      </c>
      <c r="M4851" s="23" t="s">
        <v>228</v>
      </c>
      <c r="N4851" s="23" t="str">
        <f>IF(COUNTIF($A$2:A4851,A4851)&gt;1,"DUP","OK")</f>
        <v>OK</v>
      </c>
      <c r="O4851" s="23" t="str">
        <f t="shared" si="226"/>
        <v>ORD26003836</v>
      </c>
      <c r="P4851" s="23" t="str">
        <f t="shared" si="227"/>
        <v>Sep</v>
      </c>
      <c r="Q4851" s="23" t="str">
        <f>IF(F4851="CAPTURE",IF(COUNTIF(orders!$A:$A,O4851)&gt;0,"Yes","NO ORDER"),"")</f>
        <v>Yes</v>
      </c>
    </row>
    <row r="4852" spans="1:17" ht="15" customHeight="1" x14ac:dyDescent="0.3">
      <c r="A4852" s="23" t="s">
        <v>18002</v>
      </c>
      <c r="B4852" s="23"/>
      <c r="C4852" s="23" t="s">
        <v>18003</v>
      </c>
      <c r="D4852" s="23" t="str">
        <f t="shared" si="225"/>
        <v>ORD26003899</v>
      </c>
      <c r="E4852" s="38">
        <v>46291</v>
      </c>
      <c r="F4852" s="23" t="s">
        <v>12410</v>
      </c>
      <c r="G4852" s="23" t="s">
        <v>79</v>
      </c>
      <c r="H4852" s="24">
        <v>1299</v>
      </c>
      <c r="I4852" s="24">
        <v>23.38</v>
      </c>
      <c r="J4852" s="24">
        <v>4.21</v>
      </c>
      <c r="K4852" s="24">
        <v>1271.4100000000001</v>
      </c>
      <c r="L4852" s="38">
        <v>46293</v>
      </c>
      <c r="M4852" s="23" t="s">
        <v>228</v>
      </c>
      <c r="N4852" s="23" t="str">
        <f>IF(COUNTIF($A$2:A4852,A4852)&gt;1,"DUP","OK")</f>
        <v>OK</v>
      </c>
      <c r="O4852" s="23" t="str">
        <f t="shared" si="226"/>
        <v>ORD26003899</v>
      </c>
      <c r="P4852" s="23" t="str">
        <f t="shared" si="227"/>
        <v>Sep</v>
      </c>
      <c r="Q4852" s="23" t="str">
        <f>IF(F4852="CAPTURE",IF(COUNTIF(orders!$A:$A,O4852)&gt;0,"Yes","NO ORDER"),"")</f>
        <v>Yes</v>
      </c>
    </row>
    <row r="4853" spans="1:17" ht="15" customHeight="1" x14ac:dyDescent="0.3">
      <c r="A4853" s="23" t="s">
        <v>18004</v>
      </c>
      <c r="B4853" s="23"/>
      <c r="C4853" s="23" t="s">
        <v>8317</v>
      </c>
      <c r="D4853" s="23" t="str">
        <f t="shared" si="225"/>
        <v>ORD26003915</v>
      </c>
      <c r="E4853" s="38">
        <v>46291</v>
      </c>
      <c r="F4853" s="23" t="s">
        <v>12410</v>
      </c>
      <c r="G4853" s="23" t="s">
        <v>75</v>
      </c>
      <c r="H4853" s="24">
        <v>2999</v>
      </c>
      <c r="I4853" s="24">
        <v>9</v>
      </c>
      <c r="J4853" s="24">
        <v>1.62</v>
      </c>
      <c r="K4853" s="24">
        <v>2988.38</v>
      </c>
      <c r="L4853" s="38">
        <v>46293</v>
      </c>
      <c r="M4853" s="23" t="s">
        <v>228</v>
      </c>
      <c r="N4853" s="23" t="str">
        <f>IF(COUNTIF($A$2:A4853,A4853)&gt;1,"DUP","OK")</f>
        <v>OK</v>
      </c>
      <c r="O4853" s="23" t="str">
        <f t="shared" si="226"/>
        <v>ORD26003915</v>
      </c>
      <c r="P4853" s="23" t="str">
        <f t="shared" si="227"/>
        <v>Sep</v>
      </c>
      <c r="Q4853" s="23" t="str">
        <f>IF(F4853="CAPTURE",IF(COUNTIF(orders!$A:$A,O4853)&gt;0,"Yes","NO ORDER"),"")</f>
        <v>Yes</v>
      </c>
    </row>
    <row r="4854" spans="1:17" ht="15" customHeight="1" x14ac:dyDescent="0.3">
      <c r="A4854" s="23" t="s">
        <v>18005</v>
      </c>
      <c r="B4854" s="23"/>
      <c r="C4854" s="23" t="s">
        <v>8463</v>
      </c>
      <c r="D4854" s="23" t="str">
        <f t="shared" si="225"/>
        <v>ORD26003988</v>
      </c>
      <c r="E4854" s="38">
        <v>46291</v>
      </c>
      <c r="F4854" s="23" t="s">
        <v>12410</v>
      </c>
      <c r="G4854" s="23" t="s">
        <v>75</v>
      </c>
      <c r="H4854" s="24">
        <v>8348</v>
      </c>
      <c r="I4854" s="24">
        <v>25.04</v>
      </c>
      <c r="J4854" s="24">
        <v>4.51</v>
      </c>
      <c r="K4854" s="24">
        <v>8318.4500000000007</v>
      </c>
      <c r="L4854" s="38">
        <v>46293</v>
      </c>
      <c r="M4854" s="23" t="s">
        <v>228</v>
      </c>
      <c r="N4854" s="23" t="str">
        <f>IF(COUNTIF($A$2:A4854,A4854)&gt;1,"DUP","OK")</f>
        <v>OK</v>
      </c>
      <c r="O4854" s="23" t="str">
        <f t="shared" si="226"/>
        <v>ORD26003988</v>
      </c>
      <c r="P4854" s="23" t="str">
        <f t="shared" si="227"/>
        <v>Sep</v>
      </c>
      <c r="Q4854" s="23" t="str">
        <f>IF(F4854="CAPTURE",IF(COUNTIF(orders!$A:$A,O4854)&gt;0,"Yes","NO ORDER"),"")</f>
        <v>Yes</v>
      </c>
    </row>
    <row r="4855" spans="1:17" ht="15" customHeight="1" x14ac:dyDescent="0.3">
      <c r="A4855" s="23" t="s">
        <v>18006</v>
      </c>
      <c r="B4855" s="23"/>
      <c r="C4855" s="23" t="s">
        <v>8469</v>
      </c>
      <c r="D4855" s="23" t="str">
        <f t="shared" si="225"/>
        <v>ORD26003991</v>
      </c>
      <c r="E4855" s="38">
        <v>46291</v>
      </c>
      <c r="F4855" s="23" t="s">
        <v>12410</v>
      </c>
      <c r="G4855" s="23" t="s">
        <v>81</v>
      </c>
      <c r="H4855" s="24">
        <v>1497</v>
      </c>
      <c r="I4855" s="24">
        <v>22.46</v>
      </c>
      <c r="J4855" s="24">
        <v>4.04</v>
      </c>
      <c r="K4855" s="24">
        <v>1470.5</v>
      </c>
      <c r="L4855" s="38">
        <v>46293</v>
      </c>
      <c r="M4855" s="23" t="s">
        <v>228</v>
      </c>
      <c r="N4855" s="23" t="str">
        <f>IF(COUNTIF($A$2:A4855,A4855)&gt;1,"DUP","OK")</f>
        <v>OK</v>
      </c>
      <c r="O4855" s="23" t="str">
        <f t="shared" si="226"/>
        <v>ORD26003991</v>
      </c>
      <c r="P4855" s="23" t="str">
        <f t="shared" si="227"/>
        <v>Sep</v>
      </c>
      <c r="Q4855" s="23" t="str">
        <f>IF(F4855="CAPTURE",IF(COUNTIF(orders!$A:$A,O4855)&gt;0,"Yes","NO ORDER"),"")</f>
        <v>Yes</v>
      </c>
    </row>
    <row r="4856" spans="1:17" ht="15" customHeight="1" x14ac:dyDescent="0.3">
      <c r="A4856" s="23" t="s">
        <v>18007</v>
      </c>
      <c r="B4856" s="23"/>
      <c r="C4856" s="23" t="s">
        <v>8525</v>
      </c>
      <c r="D4856" s="23" t="str">
        <f t="shared" si="225"/>
        <v>ORD26004020</v>
      </c>
      <c r="E4856" s="38">
        <v>46291</v>
      </c>
      <c r="F4856" s="23" t="s">
        <v>12410</v>
      </c>
      <c r="G4856" s="23" t="s">
        <v>77</v>
      </c>
      <c r="H4856" s="24">
        <v>1148</v>
      </c>
      <c r="I4856" s="24">
        <v>21.81</v>
      </c>
      <c r="J4856" s="24">
        <v>3.93</v>
      </c>
      <c r="K4856" s="24">
        <v>1122.26</v>
      </c>
      <c r="L4856" s="38">
        <v>46293</v>
      </c>
      <c r="M4856" s="23" t="s">
        <v>228</v>
      </c>
      <c r="N4856" s="23" t="str">
        <f>IF(COUNTIF($A$2:A4856,A4856)&gt;1,"DUP","OK")</f>
        <v>OK</v>
      </c>
      <c r="O4856" s="23" t="str">
        <f t="shared" si="226"/>
        <v>ORD26004020</v>
      </c>
      <c r="P4856" s="23" t="str">
        <f t="shared" si="227"/>
        <v>Sep</v>
      </c>
      <c r="Q4856" s="23" t="str">
        <f>IF(F4856="CAPTURE",IF(COUNTIF(orders!$A:$A,O4856)&gt;0,"Yes","NO ORDER"),"")</f>
        <v>Yes</v>
      </c>
    </row>
    <row r="4857" spans="1:17" ht="15" customHeight="1" x14ac:dyDescent="0.3">
      <c r="A4857" s="23" t="s">
        <v>18008</v>
      </c>
      <c r="B4857" s="23"/>
      <c r="C4857" s="23" t="s">
        <v>8615</v>
      </c>
      <c r="D4857" s="23" t="str">
        <f t="shared" si="225"/>
        <v>ORD26004066</v>
      </c>
      <c r="E4857" s="38">
        <v>46291</v>
      </c>
      <c r="F4857" s="23" t="s">
        <v>12410</v>
      </c>
      <c r="G4857" s="23" t="s">
        <v>79</v>
      </c>
      <c r="H4857" s="24">
        <v>599</v>
      </c>
      <c r="I4857" s="24">
        <v>10.78</v>
      </c>
      <c r="J4857" s="24">
        <v>1.94</v>
      </c>
      <c r="K4857" s="24">
        <v>586.28</v>
      </c>
      <c r="L4857" s="38">
        <v>46293</v>
      </c>
      <c r="M4857" s="23" t="s">
        <v>228</v>
      </c>
      <c r="N4857" s="23" t="str">
        <f>IF(COUNTIF($A$2:A4857,A4857)&gt;1,"DUP","OK")</f>
        <v>OK</v>
      </c>
      <c r="O4857" s="23" t="str">
        <f t="shared" si="226"/>
        <v>ORD26004066</v>
      </c>
      <c r="P4857" s="23" t="str">
        <f t="shared" si="227"/>
        <v>Sep</v>
      </c>
      <c r="Q4857" s="23" t="str">
        <f>IF(F4857="CAPTURE",IF(COUNTIF(orders!$A:$A,O4857)&gt;0,"Yes","NO ORDER"),"")</f>
        <v>Yes</v>
      </c>
    </row>
    <row r="4858" spans="1:17" ht="15" customHeight="1" x14ac:dyDescent="0.3">
      <c r="A4858" s="23" t="s">
        <v>18009</v>
      </c>
      <c r="B4858" s="23"/>
      <c r="C4858" s="23" t="s">
        <v>8728</v>
      </c>
      <c r="D4858" s="23" t="str">
        <f t="shared" si="225"/>
        <v>ORD26004124</v>
      </c>
      <c r="E4858" s="38">
        <v>46291</v>
      </c>
      <c r="F4858" s="23" t="s">
        <v>12410</v>
      </c>
      <c r="G4858" s="23" t="s">
        <v>79</v>
      </c>
      <c r="H4858" s="24">
        <v>1648</v>
      </c>
      <c r="I4858" s="24">
        <v>29.66</v>
      </c>
      <c r="J4858" s="24">
        <v>5.34</v>
      </c>
      <c r="K4858" s="24">
        <v>1613</v>
      </c>
      <c r="L4858" s="38">
        <v>46293</v>
      </c>
      <c r="M4858" s="23" t="s">
        <v>228</v>
      </c>
      <c r="N4858" s="23" t="str">
        <f>IF(COUNTIF($A$2:A4858,A4858)&gt;1,"DUP","OK")</f>
        <v>OK</v>
      </c>
      <c r="O4858" s="23" t="str">
        <f t="shared" si="226"/>
        <v>ORD26004124</v>
      </c>
      <c r="P4858" s="23" t="str">
        <f t="shared" si="227"/>
        <v>Sep</v>
      </c>
      <c r="Q4858" s="23" t="str">
        <f>IF(F4858="CAPTURE",IF(COUNTIF(orders!$A:$A,O4858)&gt;0,"Yes","NO ORDER"),"")</f>
        <v>Yes</v>
      </c>
    </row>
    <row r="4859" spans="1:17" ht="15" customHeight="1" x14ac:dyDescent="0.3">
      <c r="A4859" s="23" t="s">
        <v>18010</v>
      </c>
      <c r="B4859" s="23"/>
      <c r="C4859" s="23" t="s">
        <v>8878</v>
      </c>
      <c r="D4859" s="23" t="str">
        <f t="shared" si="225"/>
        <v>ORD26004201</v>
      </c>
      <c r="E4859" s="38">
        <v>46291</v>
      </c>
      <c r="F4859" s="23" t="s">
        <v>12410</v>
      </c>
      <c r="G4859" s="23" t="s">
        <v>75</v>
      </c>
      <c r="H4859" s="24">
        <v>2499</v>
      </c>
      <c r="I4859" s="24">
        <v>7.5</v>
      </c>
      <c r="J4859" s="24">
        <v>1.35</v>
      </c>
      <c r="K4859" s="24">
        <v>2490.15</v>
      </c>
      <c r="L4859" s="38">
        <v>46293</v>
      </c>
      <c r="M4859" s="23" t="s">
        <v>228</v>
      </c>
      <c r="N4859" s="23" t="str">
        <f>IF(COUNTIF($A$2:A4859,A4859)&gt;1,"DUP","OK")</f>
        <v>OK</v>
      </c>
      <c r="O4859" s="23" t="str">
        <f t="shared" si="226"/>
        <v>ORD26004201</v>
      </c>
      <c r="P4859" s="23" t="str">
        <f t="shared" si="227"/>
        <v>Sep</v>
      </c>
      <c r="Q4859" s="23" t="str">
        <f>IF(F4859="CAPTURE",IF(COUNTIF(orders!$A:$A,O4859)&gt;0,"Yes","NO ORDER"),"")</f>
        <v>Yes</v>
      </c>
    </row>
    <row r="4860" spans="1:17" ht="15" customHeight="1" x14ac:dyDescent="0.3">
      <c r="A4860" s="23" t="s">
        <v>18011</v>
      </c>
      <c r="B4860" s="23"/>
      <c r="C4860" s="23" t="s">
        <v>8888</v>
      </c>
      <c r="D4860" s="23" t="str">
        <f t="shared" si="225"/>
        <v>ORD26004206</v>
      </c>
      <c r="E4860" s="38">
        <v>46291</v>
      </c>
      <c r="F4860" s="23" t="s">
        <v>12410</v>
      </c>
      <c r="G4860" s="23" t="s">
        <v>75</v>
      </c>
      <c r="H4860" s="24">
        <v>3598</v>
      </c>
      <c r="I4860" s="24">
        <v>10.79</v>
      </c>
      <c r="J4860" s="24">
        <v>1.94</v>
      </c>
      <c r="K4860" s="24">
        <v>3585.27</v>
      </c>
      <c r="L4860" s="38">
        <v>46293</v>
      </c>
      <c r="M4860" s="23" t="s">
        <v>228</v>
      </c>
      <c r="N4860" s="23" t="str">
        <f>IF(COUNTIF($A$2:A4860,A4860)&gt;1,"DUP","OK")</f>
        <v>OK</v>
      </c>
      <c r="O4860" s="23" t="str">
        <f t="shared" si="226"/>
        <v>ORD26004206</v>
      </c>
      <c r="P4860" s="23" t="str">
        <f t="shared" si="227"/>
        <v>Sep</v>
      </c>
      <c r="Q4860" s="23" t="str">
        <f>IF(F4860="CAPTURE",IF(COUNTIF(orders!$A:$A,O4860)&gt;0,"Yes","NO ORDER"),"")</f>
        <v>Yes</v>
      </c>
    </row>
    <row r="4861" spans="1:17" ht="15" customHeight="1" x14ac:dyDescent="0.3">
      <c r="A4861" s="23" t="s">
        <v>18012</v>
      </c>
      <c r="B4861" s="23"/>
      <c r="C4861" s="23" t="s">
        <v>8917</v>
      </c>
      <c r="D4861" s="23" t="str">
        <f t="shared" si="225"/>
        <v>ORD26004221</v>
      </c>
      <c r="E4861" s="38">
        <v>46291</v>
      </c>
      <c r="F4861" s="23" t="s">
        <v>12410</v>
      </c>
      <c r="G4861" s="23" t="s">
        <v>75</v>
      </c>
      <c r="H4861" s="24">
        <v>999</v>
      </c>
      <c r="I4861" s="24">
        <v>0</v>
      </c>
      <c r="J4861" s="24">
        <v>0</v>
      </c>
      <c r="K4861" s="24">
        <v>999</v>
      </c>
      <c r="L4861" s="38">
        <v>46293</v>
      </c>
      <c r="M4861" s="23" t="s">
        <v>228</v>
      </c>
      <c r="N4861" s="23" t="str">
        <f>IF(COUNTIF($A$2:A4861,A4861)&gt;1,"DUP","OK")</f>
        <v>OK</v>
      </c>
      <c r="O4861" s="23" t="str">
        <f t="shared" si="226"/>
        <v>ORD26004221</v>
      </c>
      <c r="P4861" s="23" t="str">
        <f t="shared" si="227"/>
        <v>Sep</v>
      </c>
      <c r="Q4861" s="23" t="str">
        <f>IF(F4861="CAPTURE",IF(COUNTIF(orders!$A:$A,O4861)&gt;0,"Yes","NO ORDER"),"")</f>
        <v>Yes</v>
      </c>
    </row>
    <row r="4862" spans="1:17" ht="15" customHeight="1" x14ac:dyDescent="0.3">
      <c r="A4862" s="23" t="s">
        <v>18013</v>
      </c>
      <c r="B4862" s="23"/>
      <c r="C4862" s="23" t="s">
        <v>8947</v>
      </c>
      <c r="D4862" s="23" t="str">
        <f t="shared" si="225"/>
        <v>ORD26004236</v>
      </c>
      <c r="E4862" s="38">
        <v>46291</v>
      </c>
      <c r="F4862" s="23" t="s">
        <v>12410</v>
      </c>
      <c r="G4862" s="23" t="s">
        <v>75</v>
      </c>
      <c r="H4862" s="24">
        <v>10998</v>
      </c>
      <c r="I4862" s="24">
        <v>32.99</v>
      </c>
      <c r="J4862" s="24">
        <v>5.94</v>
      </c>
      <c r="K4862" s="24">
        <v>10959.07</v>
      </c>
      <c r="L4862" s="38">
        <v>46293</v>
      </c>
      <c r="M4862" s="23" t="s">
        <v>228</v>
      </c>
      <c r="N4862" s="23" t="str">
        <f>IF(COUNTIF($A$2:A4862,A4862)&gt;1,"DUP","OK")</f>
        <v>OK</v>
      </c>
      <c r="O4862" s="23" t="str">
        <f t="shared" si="226"/>
        <v>ORD26004236</v>
      </c>
      <c r="P4862" s="23" t="str">
        <f t="shared" si="227"/>
        <v>Sep</v>
      </c>
      <c r="Q4862" s="23" t="str">
        <f>IF(F4862="CAPTURE",IF(COUNTIF(orders!$A:$A,O4862)&gt;0,"Yes","NO ORDER"),"")</f>
        <v>Yes</v>
      </c>
    </row>
    <row r="4863" spans="1:17" ht="15" customHeight="1" x14ac:dyDescent="0.3">
      <c r="A4863" s="23" t="s">
        <v>18014</v>
      </c>
      <c r="B4863" s="23"/>
      <c r="C4863" s="23" t="s">
        <v>9112</v>
      </c>
      <c r="D4863" s="23" t="str">
        <f t="shared" si="225"/>
        <v>ORD26004318</v>
      </c>
      <c r="E4863" s="38">
        <v>46291</v>
      </c>
      <c r="F4863" s="23" t="s">
        <v>12410</v>
      </c>
      <c r="G4863" s="23" t="s">
        <v>75</v>
      </c>
      <c r="H4863" s="24">
        <v>2247</v>
      </c>
      <c r="I4863" s="24">
        <v>6.74</v>
      </c>
      <c r="J4863" s="24">
        <v>1.21</v>
      </c>
      <c r="K4863" s="24">
        <v>2239.0500000000002</v>
      </c>
      <c r="L4863" s="38">
        <v>46293</v>
      </c>
      <c r="M4863" s="23" t="s">
        <v>228</v>
      </c>
      <c r="N4863" s="23" t="str">
        <f>IF(COUNTIF($A$2:A4863,A4863)&gt;1,"DUP","OK")</f>
        <v>OK</v>
      </c>
      <c r="O4863" s="23" t="str">
        <f t="shared" si="226"/>
        <v>ORD26004318</v>
      </c>
      <c r="P4863" s="23" t="str">
        <f t="shared" si="227"/>
        <v>Sep</v>
      </c>
      <c r="Q4863" s="23" t="str">
        <f>IF(F4863="CAPTURE",IF(COUNTIF(orders!$A:$A,O4863)&gt;0,"Yes","NO ORDER"),"")</f>
        <v>Yes</v>
      </c>
    </row>
    <row r="4864" spans="1:17" ht="15" customHeight="1" x14ac:dyDescent="0.3">
      <c r="A4864" s="23" t="s">
        <v>18015</v>
      </c>
      <c r="B4864" s="23"/>
      <c r="C4864" s="23" t="s">
        <v>9132</v>
      </c>
      <c r="D4864" s="23" t="str">
        <f t="shared" si="225"/>
        <v>ORD26004328</v>
      </c>
      <c r="E4864" s="38">
        <v>46291</v>
      </c>
      <c r="F4864" s="23" t="s">
        <v>12410</v>
      </c>
      <c r="G4864" s="23" t="s">
        <v>75</v>
      </c>
      <c r="H4864" s="24">
        <v>349</v>
      </c>
      <c r="I4864" s="24">
        <v>0</v>
      </c>
      <c r="J4864" s="24">
        <v>0</v>
      </c>
      <c r="K4864" s="24">
        <v>349</v>
      </c>
      <c r="L4864" s="38">
        <v>46293</v>
      </c>
      <c r="M4864" s="23" t="s">
        <v>228</v>
      </c>
      <c r="N4864" s="23" t="str">
        <f>IF(COUNTIF($A$2:A4864,A4864)&gt;1,"DUP","OK")</f>
        <v>OK</v>
      </c>
      <c r="O4864" s="23" t="str">
        <f t="shared" si="226"/>
        <v>ORD26004328</v>
      </c>
      <c r="P4864" s="23" t="str">
        <f t="shared" si="227"/>
        <v>Sep</v>
      </c>
      <c r="Q4864" s="23" t="str">
        <f>IF(F4864="CAPTURE",IF(COUNTIF(orders!$A:$A,O4864)&gt;0,"Yes","NO ORDER"),"")</f>
        <v>Yes</v>
      </c>
    </row>
    <row r="4865" spans="1:17" ht="15" customHeight="1" x14ac:dyDescent="0.3">
      <c r="A4865" s="23" t="s">
        <v>18016</v>
      </c>
      <c r="B4865" s="23"/>
      <c r="C4865" s="23" t="s">
        <v>9183</v>
      </c>
      <c r="D4865" s="23" t="str">
        <f t="shared" si="225"/>
        <v>ORD26004353</v>
      </c>
      <c r="E4865" s="38">
        <v>46291</v>
      </c>
      <c r="F4865" s="23" t="s">
        <v>12410</v>
      </c>
      <c r="G4865" s="23" t="s">
        <v>81</v>
      </c>
      <c r="H4865" s="24">
        <v>2499</v>
      </c>
      <c r="I4865" s="24">
        <v>29.99</v>
      </c>
      <c r="J4865" s="24">
        <v>5.4</v>
      </c>
      <c r="K4865" s="24">
        <v>2463.61</v>
      </c>
      <c r="L4865" s="38">
        <v>46293</v>
      </c>
      <c r="M4865" s="23" t="s">
        <v>228</v>
      </c>
      <c r="N4865" s="23" t="str">
        <f>IF(COUNTIF($A$2:A4865,A4865)&gt;1,"DUP","OK")</f>
        <v>OK</v>
      </c>
      <c r="O4865" s="23" t="str">
        <f t="shared" si="226"/>
        <v>ORD26004353</v>
      </c>
      <c r="P4865" s="23" t="str">
        <f t="shared" si="227"/>
        <v>Sep</v>
      </c>
      <c r="Q4865" s="23" t="str">
        <f>IF(F4865="CAPTURE",IF(COUNTIF(orders!$A:$A,O4865)&gt;0,"Yes","NO ORDER"),"")</f>
        <v>Yes</v>
      </c>
    </row>
    <row r="4866" spans="1:17" ht="15" customHeight="1" x14ac:dyDescent="0.3">
      <c r="A4866" s="23" t="s">
        <v>18017</v>
      </c>
      <c r="B4866" s="23"/>
      <c r="C4866" s="23" t="s">
        <v>9233</v>
      </c>
      <c r="D4866" s="23" t="str">
        <f t="shared" ref="D4866:D4929" si="228">UPPER(SUBSTITUTE(TRIM(C4866),"-",""))</f>
        <v>ORD26004379</v>
      </c>
      <c r="E4866" s="38">
        <v>46291</v>
      </c>
      <c r="F4866" s="23" t="s">
        <v>12410</v>
      </c>
      <c r="G4866" s="23" t="s">
        <v>79</v>
      </c>
      <c r="H4866" s="24">
        <v>1648</v>
      </c>
      <c r="I4866" s="24">
        <v>29.66</v>
      </c>
      <c r="J4866" s="24">
        <v>5.34</v>
      </c>
      <c r="K4866" s="24">
        <v>1613</v>
      </c>
      <c r="L4866" s="38">
        <v>46293</v>
      </c>
      <c r="M4866" s="23" t="s">
        <v>228</v>
      </c>
      <c r="N4866" s="23" t="str">
        <f>IF(COUNTIF($A$2:A4866,A4866)&gt;1,"DUP","OK")</f>
        <v>OK</v>
      </c>
      <c r="O4866" s="23" t="str">
        <f t="shared" ref="O4866:O4929" si="229">IF(F4866="REFUND",INDEX($D:$D,MATCH(B4866,$A:$A,0)),D4866)</f>
        <v>ORD26004379</v>
      </c>
      <c r="P4866" s="23" t="str">
        <f t="shared" ref="P4866:P4929" si="230">IF(L4866&gt;DATE(2026,9,30),"Oct-Due","Sep")</f>
        <v>Sep</v>
      </c>
      <c r="Q4866" s="23" t="str">
        <f>IF(F4866="CAPTURE",IF(COUNTIF(orders!$A:$A,O4866)&gt;0,"Yes","NO ORDER"),"")</f>
        <v>Yes</v>
      </c>
    </row>
    <row r="4867" spans="1:17" ht="15" customHeight="1" x14ac:dyDescent="0.3">
      <c r="A4867" s="23" t="s">
        <v>18018</v>
      </c>
      <c r="B4867" s="23"/>
      <c r="C4867" s="23" t="s">
        <v>9240</v>
      </c>
      <c r="D4867" s="23" t="str">
        <f t="shared" si="228"/>
        <v>ORD26004383</v>
      </c>
      <c r="E4867" s="38">
        <v>46291</v>
      </c>
      <c r="F4867" s="23" t="s">
        <v>12410</v>
      </c>
      <c r="G4867" s="23" t="s">
        <v>79</v>
      </c>
      <c r="H4867" s="24">
        <v>1799</v>
      </c>
      <c r="I4867" s="24">
        <v>32.380000000000003</v>
      </c>
      <c r="J4867" s="24">
        <v>5.83</v>
      </c>
      <c r="K4867" s="24">
        <v>1760.79</v>
      </c>
      <c r="L4867" s="38">
        <v>46293</v>
      </c>
      <c r="M4867" s="23" t="s">
        <v>228</v>
      </c>
      <c r="N4867" s="23" t="str">
        <f>IF(COUNTIF($A$2:A4867,A4867)&gt;1,"DUP","OK")</f>
        <v>OK</v>
      </c>
      <c r="O4867" s="23" t="str">
        <f t="shared" si="229"/>
        <v>ORD26004383</v>
      </c>
      <c r="P4867" s="23" t="str">
        <f t="shared" si="230"/>
        <v>Sep</v>
      </c>
      <c r="Q4867" s="23" t="str">
        <f>IF(F4867="CAPTURE",IF(COUNTIF(orders!$A:$A,O4867)&gt;0,"Yes","NO ORDER"),"")</f>
        <v>Yes</v>
      </c>
    </row>
    <row r="4868" spans="1:17" ht="15" customHeight="1" x14ac:dyDescent="0.3">
      <c r="A4868" s="23" t="s">
        <v>18019</v>
      </c>
      <c r="B4868" s="23"/>
      <c r="C4868" s="23" t="s">
        <v>9569</v>
      </c>
      <c r="D4868" s="23" t="str">
        <f t="shared" si="228"/>
        <v>ORD26004548</v>
      </c>
      <c r="E4868" s="38">
        <v>46291</v>
      </c>
      <c r="F4868" s="23" t="s">
        <v>12410</v>
      </c>
      <c r="G4868" s="23" t="s">
        <v>75</v>
      </c>
      <c r="H4868" s="24">
        <v>599</v>
      </c>
      <c r="I4868" s="24">
        <v>0</v>
      </c>
      <c r="J4868" s="24">
        <v>0</v>
      </c>
      <c r="K4868" s="24">
        <v>599</v>
      </c>
      <c r="L4868" s="38">
        <v>46293</v>
      </c>
      <c r="M4868" s="23" t="s">
        <v>228</v>
      </c>
      <c r="N4868" s="23" t="str">
        <f>IF(COUNTIF($A$2:A4868,A4868)&gt;1,"DUP","OK")</f>
        <v>OK</v>
      </c>
      <c r="O4868" s="23" t="str">
        <f t="shared" si="229"/>
        <v>ORD26004548</v>
      </c>
      <c r="P4868" s="23" t="str">
        <f t="shared" si="230"/>
        <v>Sep</v>
      </c>
      <c r="Q4868" s="23" t="str">
        <f>IF(F4868="CAPTURE",IF(COUNTIF(orders!$A:$A,O4868)&gt;0,"Yes","NO ORDER"),"")</f>
        <v>Yes</v>
      </c>
    </row>
    <row r="4869" spans="1:17" ht="15" customHeight="1" x14ac:dyDescent="0.3">
      <c r="A4869" s="23" t="s">
        <v>18020</v>
      </c>
      <c r="B4869" s="23"/>
      <c r="C4869" s="23" t="s">
        <v>9589</v>
      </c>
      <c r="D4869" s="23" t="str">
        <f t="shared" si="228"/>
        <v>ORD26004558</v>
      </c>
      <c r="E4869" s="38">
        <v>46291</v>
      </c>
      <c r="F4869" s="23" t="s">
        <v>12410</v>
      </c>
      <c r="G4869" s="23" t="s">
        <v>79</v>
      </c>
      <c r="H4869" s="24">
        <v>349</v>
      </c>
      <c r="I4869" s="24">
        <v>6.28</v>
      </c>
      <c r="J4869" s="24">
        <v>1.1299999999999999</v>
      </c>
      <c r="K4869" s="24">
        <v>341.59</v>
      </c>
      <c r="L4869" s="38">
        <v>46293</v>
      </c>
      <c r="M4869" s="23" t="s">
        <v>228</v>
      </c>
      <c r="N4869" s="23" t="str">
        <f>IF(COUNTIF($A$2:A4869,A4869)&gt;1,"DUP","OK")</f>
        <v>OK</v>
      </c>
      <c r="O4869" s="23" t="str">
        <f t="shared" si="229"/>
        <v>ORD26004558</v>
      </c>
      <c r="P4869" s="23" t="str">
        <f t="shared" si="230"/>
        <v>Sep</v>
      </c>
      <c r="Q4869" s="23" t="str">
        <f>IF(F4869="CAPTURE",IF(COUNTIF(orders!$A:$A,O4869)&gt;0,"Yes","NO ORDER"),"")</f>
        <v>Yes</v>
      </c>
    </row>
    <row r="4870" spans="1:17" ht="15" customHeight="1" x14ac:dyDescent="0.3">
      <c r="A4870" s="23" t="s">
        <v>18021</v>
      </c>
      <c r="B4870" s="23"/>
      <c r="C4870" s="23" t="s">
        <v>9591</v>
      </c>
      <c r="D4870" s="23" t="str">
        <f t="shared" si="228"/>
        <v>ORD26004559</v>
      </c>
      <c r="E4870" s="38">
        <v>46291</v>
      </c>
      <c r="F4870" s="23" t="s">
        <v>12410</v>
      </c>
      <c r="G4870" s="23" t="s">
        <v>79</v>
      </c>
      <c r="H4870" s="24">
        <v>698</v>
      </c>
      <c r="I4870" s="24">
        <v>12.56</v>
      </c>
      <c r="J4870" s="24">
        <v>2.2599999999999998</v>
      </c>
      <c r="K4870" s="24">
        <v>683.18</v>
      </c>
      <c r="L4870" s="38">
        <v>46293</v>
      </c>
      <c r="M4870" s="23" t="s">
        <v>228</v>
      </c>
      <c r="N4870" s="23" t="str">
        <f>IF(COUNTIF($A$2:A4870,A4870)&gt;1,"DUP","OK")</f>
        <v>OK</v>
      </c>
      <c r="O4870" s="23" t="str">
        <f t="shared" si="229"/>
        <v>ORD26004559</v>
      </c>
      <c r="P4870" s="23" t="str">
        <f t="shared" si="230"/>
        <v>Sep</v>
      </c>
      <c r="Q4870" s="23" t="str">
        <f>IF(F4870="CAPTURE",IF(COUNTIF(orders!$A:$A,O4870)&gt;0,"Yes","NO ORDER"),"")</f>
        <v>Yes</v>
      </c>
    </row>
    <row r="4871" spans="1:17" ht="15" customHeight="1" x14ac:dyDescent="0.3">
      <c r="A4871" s="23" t="s">
        <v>18022</v>
      </c>
      <c r="B4871" s="23"/>
      <c r="C4871" s="23" t="s">
        <v>9593</v>
      </c>
      <c r="D4871" s="23" t="str">
        <f t="shared" si="228"/>
        <v>ORD26004560</v>
      </c>
      <c r="E4871" s="38">
        <v>46291</v>
      </c>
      <c r="F4871" s="23" t="s">
        <v>12410</v>
      </c>
      <c r="G4871" s="23" t="s">
        <v>79</v>
      </c>
      <c r="H4871" s="24">
        <v>7999</v>
      </c>
      <c r="I4871" s="24">
        <v>127.98</v>
      </c>
      <c r="J4871" s="24">
        <v>23.04</v>
      </c>
      <c r="K4871" s="24">
        <v>7847.98</v>
      </c>
      <c r="L4871" s="38">
        <v>46293</v>
      </c>
      <c r="M4871" s="23" t="s">
        <v>228</v>
      </c>
      <c r="N4871" s="23" t="str">
        <f>IF(COUNTIF($A$2:A4871,A4871)&gt;1,"DUP","OK")</f>
        <v>OK</v>
      </c>
      <c r="O4871" s="23" t="str">
        <f t="shared" si="229"/>
        <v>ORD26004560</v>
      </c>
      <c r="P4871" s="23" t="str">
        <f t="shared" si="230"/>
        <v>Sep</v>
      </c>
      <c r="Q4871" s="23" t="str">
        <f>IF(F4871="CAPTURE",IF(COUNTIF(orders!$A:$A,O4871)&gt;0,"Yes","NO ORDER"),"")</f>
        <v>Yes</v>
      </c>
    </row>
    <row r="4872" spans="1:17" ht="15" customHeight="1" x14ac:dyDescent="0.3">
      <c r="A4872" s="23" t="s">
        <v>18023</v>
      </c>
      <c r="B4872" s="23"/>
      <c r="C4872" s="23" t="s">
        <v>9595</v>
      </c>
      <c r="D4872" s="23" t="str">
        <f t="shared" si="228"/>
        <v>ORD26004561</v>
      </c>
      <c r="E4872" s="38">
        <v>46291</v>
      </c>
      <c r="F4872" s="23" t="s">
        <v>12410</v>
      </c>
      <c r="G4872" s="23" t="s">
        <v>79</v>
      </c>
      <c r="H4872" s="24">
        <v>1499</v>
      </c>
      <c r="I4872" s="24">
        <v>26.98</v>
      </c>
      <c r="J4872" s="24">
        <v>4.8600000000000003</v>
      </c>
      <c r="K4872" s="24">
        <v>1467.16</v>
      </c>
      <c r="L4872" s="38">
        <v>46293</v>
      </c>
      <c r="M4872" s="23" t="s">
        <v>228</v>
      </c>
      <c r="N4872" s="23" t="str">
        <f>IF(COUNTIF($A$2:A4872,A4872)&gt;1,"DUP","OK")</f>
        <v>OK</v>
      </c>
      <c r="O4872" s="23" t="str">
        <f t="shared" si="229"/>
        <v>ORD26004561</v>
      </c>
      <c r="P4872" s="23" t="str">
        <f t="shared" si="230"/>
        <v>Sep</v>
      </c>
      <c r="Q4872" s="23" t="str">
        <f>IF(F4872="CAPTURE",IF(COUNTIF(orders!$A:$A,O4872)&gt;0,"Yes","NO ORDER"),"")</f>
        <v>Yes</v>
      </c>
    </row>
    <row r="4873" spans="1:17" ht="15" customHeight="1" x14ac:dyDescent="0.3">
      <c r="A4873" s="23" t="s">
        <v>18024</v>
      </c>
      <c r="B4873" s="23"/>
      <c r="C4873" s="23" t="s">
        <v>9719</v>
      </c>
      <c r="D4873" s="23" t="str">
        <f t="shared" si="228"/>
        <v>ORD26004623</v>
      </c>
      <c r="E4873" s="38">
        <v>46291</v>
      </c>
      <c r="F4873" s="23" t="s">
        <v>12410</v>
      </c>
      <c r="G4873" s="23" t="s">
        <v>77</v>
      </c>
      <c r="H4873" s="24">
        <v>599</v>
      </c>
      <c r="I4873" s="24">
        <v>11.38</v>
      </c>
      <c r="J4873" s="24">
        <v>2.0499999999999998</v>
      </c>
      <c r="K4873" s="24">
        <v>585.57000000000005</v>
      </c>
      <c r="L4873" s="38">
        <v>46293</v>
      </c>
      <c r="M4873" s="23" t="s">
        <v>228</v>
      </c>
      <c r="N4873" s="23" t="str">
        <f>IF(COUNTIF($A$2:A4873,A4873)&gt;1,"DUP","OK")</f>
        <v>OK</v>
      </c>
      <c r="O4873" s="23" t="str">
        <f t="shared" si="229"/>
        <v>ORD26004623</v>
      </c>
      <c r="P4873" s="23" t="str">
        <f t="shared" si="230"/>
        <v>Sep</v>
      </c>
      <c r="Q4873" s="23" t="str">
        <f>IF(F4873="CAPTURE",IF(COUNTIF(orders!$A:$A,O4873)&gt;0,"Yes","NO ORDER"),"")</f>
        <v>Yes</v>
      </c>
    </row>
    <row r="4874" spans="1:17" ht="15" customHeight="1" x14ac:dyDescent="0.3">
      <c r="A4874" s="23" t="s">
        <v>18025</v>
      </c>
      <c r="B4874" s="23"/>
      <c r="C4874" s="23" t="s">
        <v>9789</v>
      </c>
      <c r="D4874" s="23" t="str">
        <f t="shared" si="228"/>
        <v>ORD26004660</v>
      </c>
      <c r="E4874" s="38">
        <v>46291</v>
      </c>
      <c r="F4874" s="23" t="s">
        <v>12410</v>
      </c>
      <c r="G4874" s="23" t="s">
        <v>75</v>
      </c>
      <c r="H4874" s="24">
        <v>349</v>
      </c>
      <c r="I4874" s="24">
        <v>0</v>
      </c>
      <c r="J4874" s="24">
        <v>0</v>
      </c>
      <c r="K4874" s="24">
        <v>349</v>
      </c>
      <c r="L4874" s="38">
        <v>46293</v>
      </c>
      <c r="M4874" s="23" t="s">
        <v>228</v>
      </c>
      <c r="N4874" s="23" t="str">
        <f>IF(COUNTIF($A$2:A4874,A4874)&gt;1,"DUP","OK")</f>
        <v>OK</v>
      </c>
      <c r="O4874" s="23" t="str">
        <f t="shared" si="229"/>
        <v>ORD26004660</v>
      </c>
      <c r="P4874" s="23" t="str">
        <f t="shared" si="230"/>
        <v>Sep</v>
      </c>
      <c r="Q4874" s="23" t="str">
        <f>IF(F4874="CAPTURE",IF(COUNTIF(orders!$A:$A,O4874)&gt;0,"Yes","NO ORDER"),"")</f>
        <v>Yes</v>
      </c>
    </row>
    <row r="4875" spans="1:17" ht="15" customHeight="1" x14ac:dyDescent="0.3">
      <c r="A4875" s="23" t="s">
        <v>18026</v>
      </c>
      <c r="B4875" s="23"/>
      <c r="C4875" s="23" t="s">
        <v>18027</v>
      </c>
      <c r="D4875" s="23" t="str">
        <f t="shared" si="228"/>
        <v>ORD26004702</v>
      </c>
      <c r="E4875" s="38">
        <v>46291</v>
      </c>
      <c r="F4875" s="23" t="s">
        <v>12410</v>
      </c>
      <c r="G4875" s="23" t="s">
        <v>75</v>
      </c>
      <c r="H4875" s="24">
        <v>3798</v>
      </c>
      <c r="I4875" s="24">
        <v>11.39</v>
      </c>
      <c r="J4875" s="24">
        <v>2.0499999999999998</v>
      </c>
      <c r="K4875" s="24">
        <v>3784.56</v>
      </c>
      <c r="L4875" s="38">
        <v>46293</v>
      </c>
      <c r="M4875" s="23" t="s">
        <v>228</v>
      </c>
      <c r="N4875" s="23" t="str">
        <f>IF(COUNTIF($A$2:A4875,A4875)&gt;1,"DUP","OK")</f>
        <v>OK</v>
      </c>
      <c r="O4875" s="23" t="str">
        <f t="shared" si="229"/>
        <v>ORD26004702</v>
      </c>
      <c r="P4875" s="23" t="str">
        <f t="shared" si="230"/>
        <v>Sep</v>
      </c>
      <c r="Q4875" s="23" t="str">
        <f>IF(F4875="CAPTURE",IF(COUNTIF(orders!$A:$A,O4875)&gt;0,"Yes","NO ORDER"),"")</f>
        <v>Yes</v>
      </c>
    </row>
    <row r="4876" spans="1:17" ht="15" customHeight="1" x14ac:dyDescent="0.3">
      <c r="A4876" s="23" t="s">
        <v>18028</v>
      </c>
      <c r="B4876" s="23"/>
      <c r="C4876" s="23" t="s">
        <v>10062</v>
      </c>
      <c r="D4876" s="23" t="str">
        <f t="shared" si="228"/>
        <v>ORD26004800</v>
      </c>
      <c r="E4876" s="38">
        <v>46291</v>
      </c>
      <c r="F4876" s="23" t="s">
        <v>12410</v>
      </c>
      <c r="G4876" s="23" t="s">
        <v>75</v>
      </c>
      <c r="H4876" s="24">
        <v>14797</v>
      </c>
      <c r="I4876" s="24">
        <v>44.39</v>
      </c>
      <c r="J4876" s="24">
        <v>7.99</v>
      </c>
      <c r="K4876" s="24">
        <v>14744.62</v>
      </c>
      <c r="L4876" s="38">
        <v>46293</v>
      </c>
      <c r="M4876" s="23" t="s">
        <v>228</v>
      </c>
      <c r="N4876" s="23" t="str">
        <f>IF(COUNTIF($A$2:A4876,A4876)&gt;1,"DUP","OK")</f>
        <v>OK</v>
      </c>
      <c r="O4876" s="23" t="str">
        <f t="shared" si="229"/>
        <v>ORD26004800</v>
      </c>
      <c r="P4876" s="23" t="str">
        <f t="shared" si="230"/>
        <v>Sep</v>
      </c>
      <c r="Q4876" s="23" t="str">
        <f>IF(F4876="CAPTURE",IF(COUNTIF(orders!$A:$A,O4876)&gt;0,"Yes","NO ORDER"),"")</f>
        <v>Yes</v>
      </c>
    </row>
    <row r="4877" spans="1:17" ht="15" customHeight="1" x14ac:dyDescent="0.3">
      <c r="A4877" s="23" t="s">
        <v>18029</v>
      </c>
      <c r="B4877" s="23"/>
      <c r="C4877" s="23" t="s">
        <v>10148</v>
      </c>
      <c r="D4877" s="23" t="str">
        <f t="shared" si="228"/>
        <v>ORD26004844</v>
      </c>
      <c r="E4877" s="38">
        <v>46291</v>
      </c>
      <c r="F4877" s="23" t="s">
        <v>12410</v>
      </c>
      <c r="G4877" s="23" t="s">
        <v>79</v>
      </c>
      <c r="H4877" s="24">
        <v>349</v>
      </c>
      <c r="I4877" s="24">
        <v>6.28</v>
      </c>
      <c r="J4877" s="24">
        <v>1.1299999999999999</v>
      </c>
      <c r="K4877" s="24">
        <v>341.59</v>
      </c>
      <c r="L4877" s="38">
        <v>46293</v>
      </c>
      <c r="M4877" s="23" t="s">
        <v>228</v>
      </c>
      <c r="N4877" s="23" t="str">
        <f>IF(COUNTIF($A$2:A4877,A4877)&gt;1,"DUP","OK")</f>
        <v>OK</v>
      </c>
      <c r="O4877" s="23" t="str">
        <f t="shared" si="229"/>
        <v>ORD26004844</v>
      </c>
      <c r="P4877" s="23" t="str">
        <f t="shared" si="230"/>
        <v>Sep</v>
      </c>
      <c r="Q4877" s="23" t="str">
        <f>IF(F4877="CAPTURE",IF(COUNTIF(orders!$A:$A,O4877)&gt;0,"Yes","NO ORDER"),"")</f>
        <v>Yes</v>
      </c>
    </row>
    <row r="4878" spans="1:17" ht="15" customHeight="1" x14ac:dyDescent="0.3">
      <c r="A4878" s="23" t="s">
        <v>18030</v>
      </c>
      <c r="B4878" s="23"/>
      <c r="C4878" s="23" t="s">
        <v>10273</v>
      </c>
      <c r="D4878" s="23" t="str">
        <f t="shared" si="228"/>
        <v>ORD26004908</v>
      </c>
      <c r="E4878" s="38">
        <v>46291</v>
      </c>
      <c r="F4878" s="23" t="s">
        <v>12410</v>
      </c>
      <c r="G4878" s="23" t="s">
        <v>75</v>
      </c>
      <c r="H4878" s="24">
        <v>8498</v>
      </c>
      <c r="I4878" s="24">
        <v>25.49</v>
      </c>
      <c r="J4878" s="24">
        <v>4.59</v>
      </c>
      <c r="K4878" s="24">
        <v>8467.92</v>
      </c>
      <c r="L4878" s="38">
        <v>46293</v>
      </c>
      <c r="M4878" s="23" t="s">
        <v>228</v>
      </c>
      <c r="N4878" s="23" t="str">
        <f>IF(COUNTIF($A$2:A4878,A4878)&gt;1,"DUP","OK")</f>
        <v>OK</v>
      </c>
      <c r="O4878" s="23" t="str">
        <f t="shared" si="229"/>
        <v>ORD26004908</v>
      </c>
      <c r="P4878" s="23" t="str">
        <f t="shared" si="230"/>
        <v>Sep</v>
      </c>
      <c r="Q4878" s="23" t="str">
        <f>IF(F4878="CAPTURE",IF(COUNTIF(orders!$A:$A,O4878)&gt;0,"Yes","NO ORDER"),"")</f>
        <v>Yes</v>
      </c>
    </row>
    <row r="4879" spans="1:17" ht="15" customHeight="1" x14ac:dyDescent="0.3">
      <c r="A4879" s="23" t="s">
        <v>18031</v>
      </c>
      <c r="B4879" s="23"/>
      <c r="C4879" s="23" t="s">
        <v>10292</v>
      </c>
      <c r="D4879" s="23" t="str">
        <f t="shared" si="228"/>
        <v>ORD26004918</v>
      </c>
      <c r="E4879" s="38">
        <v>46291</v>
      </c>
      <c r="F4879" s="23" t="s">
        <v>12410</v>
      </c>
      <c r="G4879" s="23" t="s">
        <v>75</v>
      </c>
      <c r="H4879" s="24">
        <v>799</v>
      </c>
      <c r="I4879" s="24">
        <v>0</v>
      </c>
      <c r="J4879" s="24">
        <v>0</v>
      </c>
      <c r="K4879" s="24">
        <v>799</v>
      </c>
      <c r="L4879" s="38">
        <v>46293</v>
      </c>
      <c r="M4879" s="23" t="s">
        <v>228</v>
      </c>
      <c r="N4879" s="23" t="str">
        <f>IF(COUNTIF($A$2:A4879,A4879)&gt;1,"DUP","OK")</f>
        <v>OK</v>
      </c>
      <c r="O4879" s="23" t="str">
        <f t="shared" si="229"/>
        <v>ORD26004918</v>
      </c>
      <c r="P4879" s="23" t="str">
        <f t="shared" si="230"/>
        <v>Sep</v>
      </c>
      <c r="Q4879" s="23" t="str">
        <f>IF(F4879="CAPTURE",IF(COUNTIF(orders!$A:$A,O4879)&gt;0,"Yes","NO ORDER"),"")</f>
        <v>Yes</v>
      </c>
    </row>
    <row r="4880" spans="1:17" ht="15" customHeight="1" x14ac:dyDescent="0.3">
      <c r="A4880" s="23" t="s">
        <v>18032</v>
      </c>
      <c r="B4880" s="23"/>
      <c r="C4880" s="23" t="s">
        <v>10368</v>
      </c>
      <c r="D4880" s="23" t="str">
        <f t="shared" si="228"/>
        <v>ORD26004957</v>
      </c>
      <c r="E4880" s="38">
        <v>46291</v>
      </c>
      <c r="F4880" s="23" t="s">
        <v>12410</v>
      </c>
      <c r="G4880" s="23" t="s">
        <v>75</v>
      </c>
      <c r="H4880" s="24">
        <v>1299</v>
      </c>
      <c r="I4880" s="24">
        <v>0</v>
      </c>
      <c r="J4880" s="24">
        <v>0</v>
      </c>
      <c r="K4880" s="24">
        <v>1299</v>
      </c>
      <c r="L4880" s="38">
        <v>46293</v>
      </c>
      <c r="M4880" s="23" t="s">
        <v>228</v>
      </c>
      <c r="N4880" s="23" t="str">
        <f>IF(COUNTIF($A$2:A4880,A4880)&gt;1,"DUP","OK")</f>
        <v>OK</v>
      </c>
      <c r="O4880" s="23" t="str">
        <f t="shared" si="229"/>
        <v>ORD26004957</v>
      </c>
      <c r="P4880" s="23" t="str">
        <f t="shared" si="230"/>
        <v>Sep</v>
      </c>
      <c r="Q4880" s="23" t="str">
        <f>IF(F4880="CAPTURE",IF(COUNTIF(orders!$A:$A,O4880)&gt;0,"Yes","NO ORDER"),"")</f>
        <v>Yes</v>
      </c>
    </row>
    <row r="4881" spans="1:17" ht="15" customHeight="1" x14ac:dyDescent="0.3">
      <c r="A4881" s="23" t="s">
        <v>18033</v>
      </c>
      <c r="B4881" s="23"/>
      <c r="C4881" s="23" t="s">
        <v>10594</v>
      </c>
      <c r="D4881" s="23" t="str">
        <f t="shared" si="228"/>
        <v>ORD26005074</v>
      </c>
      <c r="E4881" s="38">
        <v>46291</v>
      </c>
      <c r="F4881" s="23" t="s">
        <v>12410</v>
      </c>
      <c r="G4881" s="23" t="s">
        <v>75</v>
      </c>
      <c r="H4881" s="24">
        <v>2097</v>
      </c>
      <c r="I4881" s="24">
        <v>6.29</v>
      </c>
      <c r="J4881" s="24">
        <v>1.1299999999999999</v>
      </c>
      <c r="K4881" s="24">
        <v>2089.58</v>
      </c>
      <c r="L4881" s="38">
        <v>46293</v>
      </c>
      <c r="M4881" s="23" t="s">
        <v>228</v>
      </c>
      <c r="N4881" s="23" t="str">
        <f>IF(COUNTIF($A$2:A4881,A4881)&gt;1,"DUP","OK")</f>
        <v>OK</v>
      </c>
      <c r="O4881" s="23" t="str">
        <f t="shared" si="229"/>
        <v>ORD26005074</v>
      </c>
      <c r="P4881" s="23" t="str">
        <f t="shared" si="230"/>
        <v>Sep</v>
      </c>
      <c r="Q4881" s="23" t="str">
        <f>IF(F4881="CAPTURE",IF(COUNTIF(orders!$A:$A,O4881)&gt;0,"Yes","NO ORDER"),"")</f>
        <v>Yes</v>
      </c>
    </row>
    <row r="4882" spans="1:17" ht="15" customHeight="1" x14ac:dyDescent="0.3">
      <c r="A4882" s="23" t="s">
        <v>18034</v>
      </c>
      <c r="B4882" s="23"/>
      <c r="C4882" s="23" t="s">
        <v>10695</v>
      </c>
      <c r="D4882" s="23" t="str">
        <f t="shared" si="228"/>
        <v>ORD26005126</v>
      </c>
      <c r="E4882" s="38">
        <v>46291</v>
      </c>
      <c r="F4882" s="23" t="s">
        <v>12410</v>
      </c>
      <c r="G4882" s="23" t="s">
        <v>79</v>
      </c>
      <c r="H4882" s="24">
        <v>2298</v>
      </c>
      <c r="I4882" s="24">
        <v>36.770000000000003</v>
      </c>
      <c r="J4882" s="24">
        <v>6.62</v>
      </c>
      <c r="K4882" s="24">
        <v>2254.61</v>
      </c>
      <c r="L4882" s="38">
        <v>46293</v>
      </c>
      <c r="M4882" s="23" t="s">
        <v>228</v>
      </c>
      <c r="N4882" s="23" t="str">
        <f>IF(COUNTIF($A$2:A4882,A4882)&gt;1,"DUP","OK")</f>
        <v>OK</v>
      </c>
      <c r="O4882" s="23" t="str">
        <f t="shared" si="229"/>
        <v>ORD26005126</v>
      </c>
      <c r="P4882" s="23" t="str">
        <f t="shared" si="230"/>
        <v>Sep</v>
      </c>
      <c r="Q4882" s="23" t="str">
        <f>IF(F4882="CAPTURE",IF(COUNTIF(orders!$A:$A,O4882)&gt;0,"Yes","NO ORDER"),"")</f>
        <v>Yes</v>
      </c>
    </row>
    <row r="4883" spans="1:17" ht="15" customHeight="1" x14ac:dyDescent="0.3">
      <c r="A4883" s="23" t="s">
        <v>18035</v>
      </c>
      <c r="B4883" s="23"/>
      <c r="C4883" s="23" t="s">
        <v>10781</v>
      </c>
      <c r="D4883" s="23" t="str">
        <f t="shared" si="228"/>
        <v>ORD26005171</v>
      </c>
      <c r="E4883" s="38">
        <v>46291</v>
      </c>
      <c r="F4883" s="23" t="s">
        <v>12410</v>
      </c>
      <c r="G4883" s="23" t="s">
        <v>75</v>
      </c>
      <c r="H4883" s="24">
        <v>1299</v>
      </c>
      <c r="I4883" s="24">
        <v>0</v>
      </c>
      <c r="J4883" s="24">
        <v>0</v>
      </c>
      <c r="K4883" s="24">
        <v>1299</v>
      </c>
      <c r="L4883" s="38">
        <v>46293</v>
      </c>
      <c r="M4883" s="23" t="s">
        <v>228</v>
      </c>
      <c r="N4883" s="23" t="str">
        <f>IF(COUNTIF($A$2:A4883,A4883)&gt;1,"DUP","OK")</f>
        <v>OK</v>
      </c>
      <c r="O4883" s="23" t="str">
        <f t="shared" si="229"/>
        <v>ORD26005171</v>
      </c>
      <c r="P4883" s="23" t="str">
        <f t="shared" si="230"/>
        <v>Sep</v>
      </c>
      <c r="Q4883" s="23" t="str">
        <f>IF(F4883="CAPTURE",IF(COUNTIF(orders!$A:$A,O4883)&gt;0,"Yes","NO ORDER"),"")</f>
        <v>Yes</v>
      </c>
    </row>
    <row r="4884" spans="1:17" ht="15" customHeight="1" x14ac:dyDescent="0.3">
      <c r="A4884" s="23" t="s">
        <v>18036</v>
      </c>
      <c r="B4884" s="23"/>
      <c r="C4884" s="23" t="s">
        <v>11097</v>
      </c>
      <c r="D4884" s="23" t="str">
        <f t="shared" si="228"/>
        <v>ORD26005332</v>
      </c>
      <c r="E4884" s="38">
        <v>46291</v>
      </c>
      <c r="F4884" s="23" t="s">
        <v>12410</v>
      </c>
      <c r="G4884" s="23" t="s">
        <v>75</v>
      </c>
      <c r="H4884" s="24">
        <v>3298</v>
      </c>
      <c r="I4884" s="24">
        <v>9.89</v>
      </c>
      <c r="J4884" s="24">
        <v>1.78</v>
      </c>
      <c r="K4884" s="24">
        <v>3286.33</v>
      </c>
      <c r="L4884" s="38">
        <v>46293</v>
      </c>
      <c r="M4884" s="23" t="s">
        <v>228</v>
      </c>
      <c r="N4884" s="23" t="str">
        <f>IF(COUNTIF($A$2:A4884,A4884)&gt;1,"DUP","OK")</f>
        <v>OK</v>
      </c>
      <c r="O4884" s="23" t="str">
        <f t="shared" si="229"/>
        <v>ORD26005332</v>
      </c>
      <c r="P4884" s="23" t="str">
        <f t="shared" si="230"/>
        <v>Sep</v>
      </c>
      <c r="Q4884" s="23" t="str">
        <f>IF(F4884="CAPTURE",IF(COUNTIF(orders!$A:$A,O4884)&gt;0,"Yes","NO ORDER"),"")</f>
        <v>Yes</v>
      </c>
    </row>
    <row r="4885" spans="1:17" ht="15" customHeight="1" x14ac:dyDescent="0.3">
      <c r="A4885" s="23" t="s">
        <v>18037</v>
      </c>
      <c r="B4885" s="23"/>
      <c r="C4885" s="23" t="s">
        <v>11140</v>
      </c>
      <c r="D4885" s="23" t="str">
        <f t="shared" si="228"/>
        <v>ORD26005354</v>
      </c>
      <c r="E4885" s="38">
        <v>46291</v>
      </c>
      <c r="F4885" s="23" t="s">
        <v>12410</v>
      </c>
      <c r="G4885" s="23" t="s">
        <v>75</v>
      </c>
      <c r="H4885" s="24">
        <v>499</v>
      </c>
      <c r="I4885" s="24">
        <v>0</v>
      </c>
      <c r="J4885" s="24">
        <v>0</v>
      </c>
      <c r="K4885" s="24">
        <v>499</v>
      </c>
      <c r="L4885" s="38">
        <v>46293</v>
      </c>
      <c r="M4885" s="23" t="s">
        <v>228</v>
      </c>
      <c r="N4885" s="23" t="str">
        <f>IF(COUNTIF($A$2:A4885,A4885)&gt;1,"DUP","OK")</f>
        <v>OK</v>
      </c>
      <c r="O4885" s="23" t="str">
        <f t="shared" si="229"/>
        <v>ORD26005354</v>
      </c>
      <c r="P4885" s="23" t="str">
        <f t="shared" si="230"/>
        <v>Sep</v>
      </c>
      <c r="Q4885" s="23" t="str">
        <f>IF(F4885="CAPTURE",IF(COUNTIF(orders!$A:$A,O4885)&gt;0,"Yes","NO ORDER"),"")</f>
        <v>Yes</v>
      </c>
    </row>
    <row r="4886" spans="1:17" ht="15" customHeight="1" x14ac:dyDescent="0.3">
      <c r="A4886" s="23" t="s">
        <v>18038</v>
      </c>
      <c r="B4886" s="23"/>
      <c r="C4886" s="23" t="s">
        <v>11284</v>
      </c>
      <c r="D4886" s="23" t="str">
        <f t="shared" si="228"/>
        <v>ORD26005426</v>
      </c>
      <c r="E4886" s="38">
        <v>46291</v>
      </c>
      <c r="F4886" s="23" t="s">
        <v>12410</v>
      </c>
      <c r="G4886" s="23" t="s">
        <v>77</v>
      </c>
      <c r="H4886" s="24">
        <v>11097</v>
      </c>
      <c r="I4886" s="24">
        <v>188.65</v>
      </c>
      <c r="J4886" s="24">
        <v>33.96</v>
      </c>
      <c r="K4886" s="24">
        <v>10874.39</v>
      </c>
      <c r="L4886" s="38">
        <v>46293</v>
      </c>
      <c r="M4886" s="23" t="s">
        <v>228</v>
      </c>
      <c r="N4886" s="23" t="str">
        <f>IF(COUNTIF($A$2:A4886,A4886)&gt;1,"DUP","OK")</f>
        <v>OK</v>
      </c>
      <c r="O4886" s="23" t="str">
        <f t="shared" si="229"/>
        <v>ORD26005426</v>
      </c>
      <c r="P4886" s="23" t="str">
        <f t="shared" si="230"/>
        <v>Sep</v>
      </c>
      <c r="Q4886" s="23" t="str">
        <f>IF(F4886="CAPTURE",IF(COUNTIF(orders!$A:$A,O4886)&gt;0,"Yes","NO ORDER"),"")</f>
        <v>Yes</v>
      </c>
    </row>
    <row r="4887" spans="1:17" ht="15" customHeight="1" x14ac:dyDescent="0.3">
      <c r="A4887" s="23" t="s">
        <v>18039</v>
      </c>
      <c r="B4887" s="23"/>
      <c r="C4887" s="23" t="s">
        <v>11350</v>
      </c>
      <c r="D4887" s="23" t="str">
        <f t="shared" si="228"/>
        <v>ORD26005460</v>
      </c>
      <c r="E4887" s="38">
        <v>46291</v>
      </c>
      <c r="F4887" s="23" t="s">
        <v>12410</v>
      </c>
      <c r="G4887" s="23" t="s">
        <v>79</v>
      </c>
      <c r="H4887" s="24">
        <v>3147</v>
      </c>
      <c r="I4887" s="24">
        <v>50.35</v>
      </c>
      <c r="J4887" s="24">
        <v>9.06</v>
      </c>
      <c r="K4887" s="24">
        <v>3087.59</v>
      </c>
      <c r="L4887" s="38">
        <v>46293</v>
      </c>
      <c r="M4887" s="23" t="s">
        <v>228</v>
      </c>
      <c r="N4887" s="23" t="str">
        <f>IF(COUNTIF($A$2:A4887,A4887)&gt;1,"DUP","OK")</f>
        <v>OK</v>
      </c>
      <c r="O4887" s="23" t="str">
        <f t="shared" si="229"/>
        <v>ORD26005460</v>
      </c>
      <c r="P4887" s="23" t="str">
        <f t="shared" si="230"/>
        <v>Sep</v>
      </c>
      <c r="Q4887" s="23" t="str">
        <f>IF(F4887="CAPTURE",IF(COUNTIF(orders!$A:$A,O4887)&gt;0,"Yes","NO ORDER"),"")</f>
        <v>Yes</v>
      </c>
    </row>
    <row r="4888" spans="1:17" ht="15" customHeight="1" x14ac:dyDescent="0.3">
      <c r="A4888" s="23" t="s">
        <v>18040</v>
      </c>
      <c r="B4888" s="23"/>
      <c r="C4888" s="23" t="s">
        <v>11393</v>
      </c>
      <c r="D4888" s="23" t="str">
        <f t="shared" si="228"/>
        <v>ORD26005482</v>
      </c>
      <c r="E4888" s="38">
        <v>46291</v>
      </c>
      <c r="F4888" s="23" t="s">
        <v>12410</v>
      </c>
      <c r="G4888" s="23" t="s">
        <v>77</v>
      </c>
      <c r="H4888" s="24">
        <v>5298</v>
      </c>
      <c r="I4888" s="24">
        <v>90.07</v>
      </c>
      <c r="J4888" s="24">
        <v>16.21</v>
      </c>
      <c r="K4888" s="24">
        <v>5191.72</v>
      </c>
      <c r="L4888" s="38">
        <v>46293</v>
      </c>
      <c r="M4888" s="23" t="s">
        <v>228</v>
      </c>
      <c r="N4888" s="23" t="str">
        <f>IF(COUNTIF($A$2:A4888,A4888)&gt;1,"DUP","OK")</f>
        <v>OK</v>
      </c>
      <c r="O4888" s="23" t="str">
        <f t="shared" si="229"/>
        <v>ORD26005482</v>
      </c>
      <c r="P4888" s="23" t="str">
        <f t="shared" si="230"/>
        <v>Sep</v>
      </c>
      <c r="Q4888" s="23" t="str">
        <f>IF(F4888="CAPTURE",IF(COUNTIF(orders!$A:$A,O4888)&gt;0,"Yes","NO ORDER"),"")</f>
        <v>Yes</v>
      </c>
    </row>
    <row r="4889" spans="1:17" ht="15" customHeight="1" x14ac:dyDescent="0.3">
      <c r="A4889" s="23" t="s">
        <v>18041</v>
      </c>
      <c r="B4889" s="23"/>
      <c r="C4889" s="23" t="s">
        <v>11399</v>
      </c>
      <c r="D4889" s="23" t="str">
        <f t="shared" si="228"/>
        <v>ORD26005485</v>
      </c>
      <c r="E4889" s="38">
        <v>46291</v>
      </c>
      <c r="F4889" s="23" t="s">
        <v>12410</v>
      </c>
      <c r="G4889" s="23" t="s">
        <v>79</v>
      </c>
      <c r="H4889" s="24">
        <v>599</v>
      </c>
      <c r="I4889" s="24">
        <v>10.78</v>
      </c>
      <c r="J4889" s="24">
        <v>1.94</v>
      </c>
      <c r="K4889" s="24">
        <v>586.28</v>
      </c>
      <c r="L4889" s="38">
        <v>46293</v>
      </c>
      <c r="M4889" s="23" t="s">
        <v>228</v>
      </c>
      <c r="N4889" s="23" t="str">
        <f>IF(COUNTIF($A$2:A4889,A4889)&gt;1,"DUP","OK")</f>
        <v>OK</v>
      </c>
      <c r="O4889" s="23" t="str">
        <f t="shared" si="229"/>
        <v>ORD26005485</v>
      </c>
      <c r="P4889" s="23" t="str">
        <f t="shared" si="230"/>
        <v>Sep</v>
      </c>
      <c r="Q4889" s="23" t="str">
        <f>IF(F4889="CAPTURE",IF(COUNTIF(orders!$A:$A,O4889)&gt;0,"Yes","NO ORDER"),"")</f>
        <v>Yes</v>
      </c>
    </row>
    <row r="4890" spans="1:17" ht="15" customHeight="1" x14ac:dyDescent="0.3">
      <c r="A4890" s="23" t="s">
        <v>18042</v>
      </c>
      <c r="B4890" s="23"/>
      <c r="C4890" s="23" t="s">
        <v>11504</v>
      </c>
      <c r="D4890" s="23" t="str">
        <f t="shared" si="228"/>
        <v>ORD26005539</v>
      </c>
      <c r="E4890" s="38">
        <v>46291</v>
      </c>
      <c r="F4890" s="23" t="s">
        <v>12410</v>
      </c>
      <c r="G4890" s="23" t="s">
        <v>75</v>
      </c>
      <c r="H4890" s="24">
        <v>7498</v>
      </c>
      <c r="I4890" s="24">
        <v>22.49</v>
      </c>
      <c r="J4890" s="24">
        <v>4.05</v>
      </c>
      <c r="K4890" s="24">
        <v>7471.46</v>
      </c>
      <c r="L4890" s="38">
        <v>46293</v>
      </c>
      <c r="M4890" s="23" t="s">
        <v>228</v>
      </c>
      <c r="N4890" s="23" t="str">
        <f>IF(COUNTIF($A$2:A4890,A4890)&gt;1,"DUP","OK")</f>
        <v>OK</v>
      </c>
      <c r="O4890" s="23" t="str">
        <f t="shared" si="229"/>
        <v>ORD26005539</v>
      </c>
      <c r="P4890" s="23" t="str">
        <f t="shared" si="230"/>
        <v>Sep</v>
      </c>
      <c r="Q4890" s="23" t="str">
        <f>IF(F4890="CAPTURE",IF(COUNTIF(orders!$A:$A,O4890)&gt;0,"Yes","NO ORDER"),"")</f>
        <v>Yes</v>
      </c>
    </row>
    <row r="4891" spans="1:17" ht="15" customHeight="1" x14ac:dyDescent="0.3">
      <c r="A4891" s="23" t="s">
        <v>18043</v>
      </c>
      <c r="B4891" s="23"/>
      <c r="C4891" s="23" t="s">
        <v>18044</v>
      </c>
      <c r="D4891" s="23" t="str">
        <f t="shared" si="228"/>
        <v>ORD26005547</v>
      </c>
      <c r="E4891" s="38">
        <v>46291</v>
      </c>
      <c r="F4891" s="23" t="s">
        <v>12410</v>
      </c>
      <c r="G4891" s="23" t="s">
        <v>75</v>
      </c>
      <c r="H4891" s="24">
        <v>8697</v>
      </c>
      <c r="I4891" s="24">
        <v>26.09</v>
      </c>
      <c r="J4891" s="24">
        <v>4.7</v>
      </c>
      <c r="K4891" s="24">
        <v>8666.2099999999991</v>
      </c>
      <c r="L4891" s="38">
        <v>46293</v>
      </c>
      <c r="M4891" s="23" t="s">
        <v>228</v>
      </c>
      <c r="N4891" s="23" t="str">
        <f>IF(COUNTIF($A$2:A4891,A4891)&gt;1,"DUP","OK")</f>
        <v>OK</v>
      </c>
      <c r="O4891" s="23" t="str">
        <f t="shared" si="229"/>
        <v>ORD26005547</v>
      </c>
      <c r="P4891" s="23" t="str">
        <f t="shared" si="230"/>
        <v>Sep</v>
      </c>
      <c r="Q4891" s="23" t="str">
        <f>IF(F4891="CAPTURE",IF(COUNTIF(orders!$A:$A,O4891)&gt;0,"Yes","NO ORDER"),"")</f>
        <v>Yes</v>
      </c>
    </row>
    <row r="4892" spans="1:17" ht="15" customHeight="1" x14ac:dyDescent="0.3">
      <c r="A4892" s="23" t="s">
        <v>18045</v>
      </c>
      <c r="B4892" s="23"/>
      <c r="C4892" s="23" t="s">
        <v>11543</v>
      </c>
      <c r="D4892" s="23" t="str">
        <f t="shared" si="228"/>
        <v>ORD26005559</v>
      </c>
      <c r="E4892" s="38">
        <v>46291</v>
      </c>
      <c r="F4892" s="23" t="s">
        <v>12410</v>
      </c>
      <c r="G4892" s="23" t="s">
        <v>79</v>
      </c>
      <c r="H4892" s="24">
        <v>3499</v>
      </c>
      <c r="I4892" s="24">
        <v>55.98</v>
      </c>
      <c r="J4892" s="24">
        <v>10.08</v>
      </c>
      <c r="K4892" s="24">
        <v>3432.94</v>
      </c>
      <c r="L4892" s="38">
        <v>46293</v>
      </c>
      <c r="M4892" s="23" t="s">
        <v>228</v>
      </c>
      <c r="N4892" s="23" t="str">
        <f>IF(COUNTIF($A$2:A4892,A4892)&gt;1,"DUP","OK")</f>
        <v>OK</v>
      </c>
      <c r="O4892" s="23" t="str">
        <f t="shared" si="229"/>
        <v>ORD26005559</v>
      </c>
      <c r="P4892" s="23" t="str">
        <f t="shared" si="230"/>
        <v>Sep</v>
      </c>
      <c r="Q4892" s="23" t="str">
        <f>IF(F4892="CAPTURE",IF(COUNTIF(orders!$A:$A,O4892)&gt;0,"Yes","NO ORDER"),"")</f>
        <v>Yes</v>
      </c>
    </row>
    <row r="4893" spans="1:17" ht="15" customHeight="1" x14ac:dyDescent="0.3">
      <c r="A4893" s="23" t="s">
        <v>18046</v>
      </c>
      <c r="B4893" s="23"/>
      <c r="C4893" s="23" t="s">
        <v>11605</v>
      </c>
      <c r="D4893" s="23" t="str">
        <f t="shared" si="228"/>
        <v>ORD26005592</v>
      </c>
      <c r="E4893" s="38">
        <v>46291</v>
      </c>
      <c r="F4893" s="23" t="s">
        <v>12410</v>
      </c>
      <c r="G4893" s="23" t="s">
        <v>75</v>
      </c>
      <c r="H4893" s="24">
        <v>3348</v>
      </c>
      <c r="I4893" s="24">
        <v>10.039999999999999</v>
      </c>
      <c r="J4893" s="24">
        <v>1.81</v>
      </c>
      <c r="K4893" s="24">
        <v>3336.15</v>
      </c>
      <c r="L4893" s="38">
        <v>46293</v>
      </c>
      <c r="M4893" s="23" t="s">
        <v>228</v>
      </c>
      <c r="N4893" s="23" t="str">
        <f>IF(COUNTIF($A$2:A4893,A4893)&gt;1,"DUP","OK")</f>
        <v>OK</v>
      </c>
      <c r="O4893" s="23" t="str">
        <f t="shared" si="229"/>
        <v>ORD26005592</v>
      </c>
      <c r="P4893" s="23" t="str">
        <f t="shared" si="230"/>
        <v>Sep</v>
      </c>
      <c r="Q4893" s="23" t="str">
        <f>IF(F4893="CAPTURE",IF(COUNTIF(orders!$A:$A,O4893)&gt;0,"Yes","NO ORDER"),"")</f>
        <v>Yes</v>
      </c>
    </row>
    <row r="4894" spans="1:17" ht="15" customHeight="1" x14ac:dyDescent="0.3">
      <c r="A4894" s="23" t="s">
        <v>18047</v>
      </c>
      <c r="B4894" s="23"/>
      <c r="C4894" s="23" t="s">
        <v>11696</v>
      </c>
      <c r="D4894" s="23" t="str">
        <f t="shared" si="228"/>
        <v>ORD26005637</v>
      </c>
      <c r="E4894" s="38">
        <v>46291</v>
      </c>
      <c r="F4894" s="23" t="s">
        <v>12410</v>
      </c>
      <c r="G4894" s="23" t="s">
        <v>75</v>
      </c>
      <c r="H4894" s="24">
        <v>4798</v>
      </c>
      <c r="I4894" s="24">
        <v>14.39</v>
      </c>
      <c r="J4894" s="24">
        <v>2.59</v>
      </c>
      <c r="K4894" s="24">
        <v>4781.0200000000004</v>
      </c>
      <c r="L4894" s="38">
        <v>46293</v>
      </c>
      <c r="M4894" s="23" t="s">
        <v>228</v>
      </c>
      <c r="N4894" s="23" t="str">
        <f>IF(COUNTIF($A$2:A4894,A4894)&gt;1,"DUP","OK")</f>
        <v>OK</v>
      </c>
      <c r="O4894" s="23" t="str">
        <f t="shared" si="229"/>
        <v>ORD26005637</v>
      </c>
      <c r="P4894" s="23" t="str">
        <f t="shared" si="230"/>
        <v>Sep</v>
      </c>
      <c r="Q4894" s="23" t="str">
        <f>IF(F4894="CAPTURE",IF(COUNTIF(orders!$A:$A,O4894)&gt;0,"Yes","NO ORDER"),"")</f>
        <v>Yes</v>
      </c>
    </row>
    <row r="4895" spans="1:17" ht="15" customHeight="1" x14ac:dyDescent="0.3">
      <c r="A4895" s="23" t="s">
        <v>18048</v>
      </c>
      <c r="B4895" s="23"/>
      <c r="C4895" s="23" t="s">
        <v>11891</v>
      </c>
      <c r="D4895" s="23" t="str">
        <f t="shared" si="228"/>
        <v>ORD26005738</v>
      </c>
      <c r="E4895" s="38">
        <v>46291</v>
      </c>
      <c r="F4895" s="23" t="s">
        <v>12410</v>
      </c>
      <c r="G4895" s="23" t="s">
        <v>75</v>
      </c>
      <c r="H4895" s="24">
        <v>3499</v>
      </c>
      <c r="I4895" s="24">
        <v>10.5</v>
      </c>
      <c r="J4895" s="24">
        <v>1.89</v>
      </c>
      <c r="K4895" s="24">
        <v>3486.61</v>
      </c>
      <c r="L4895" s="38">
        <v>46293</v>
      </c>
      <c r="M4895" s="23" t="s">
        <v>228</v>
      </c>
      <c r="N4895" s="23" t="str">
        <f>IF(COUNTIF($A$2:A4895,A4895)&gt;1,"DUP","OK")</f>
        <v>OK</v>
      </c>
      <c r="O4895" s="23" t="str">
        <f t="shared" si="229"/>
        <v>ORD26005738</v>
      </c>
      <c r="P4895" s="23" t="str">
        <f t="shared" si="230"/>
        <v>Sep</v>
      </c>
      <c r="Q4895" s="23" t="str">
        <f>IF(F4895="CAPTURE",IF(COUNTIF(orders!$A:$A,O4895)&gt;0,"Yes","NO ORDER"),"")</f>
        <v>Yes</v>
      </c>
    </row>
    <row r="4896" spans="1:17" ht="15" customHeight="1" x14ac:dyDescent="0.3">
      <c r="A4896" s="23" t="s">
        <v>18049</v>
      </c>
      <c r="B4896" s="23"/>
      <c r="C4896" s="23" t="s">
        <v>11940</v>
      </c>
      <c r="D4896" s="23" t="str">
        <f t="shared" si="228"/>
        <v>ORD26005763</v>
      </c>
      <c r="E4896" s="38">
        <v>46291</v>
      </c>
      <c r="F4896" s="23" t="s">
        <v>12410</v>
      </c>
      <c r="G4896" s="23" t="s">
        <v>75</v>
      </c>
      <c r="H4896" s="24">
        <v>599</v>
      </c>
      <c r="I4896" s="24">
        <v>0</v>
      </c>
      <c r="J4896" s="24">
        <v>0</v>
      </c>
      <c r="K4896" s="24">
        <v>599</v>
      </c>
      <c r="L4896" s="38">
        <v>46293</v>
      </c>
      <c r="M4896" s="23" t="s">
        <v>228</v>
      </c>
      <c r="N4896" s="23" t="str">
        <f>IF(COUNTIF($A$2:A4896,A4896)&gt;1,"DUP","OK")</f>
        <v>OK</v>
      </c>
      <c r="O4896" s="23" t="str">
        <f t="shared" si="229"/>
        <v>ORD26005763</v>
      </c>
      <c r="P4896" s="23" t="str">
        <f t="shared" si="230"/>
        <v>Sep</v>
      </c>
      <c r="Q4896" s="23" t="str">
        <f>IF(F4896="CAPTURE",IF(COUNTIF(orders!$A:$A,O4896)&gt;0,"Yes","NO ORDER"),"")</f>
        <v>Yes</v>
      </c>
    </row>
    <row r="4897" spans="1:17" ht="15" customHeight="1" x14ac:dyDescent="0.3">
      <c r="A4897" s="23" t="s">
        <v>18050</v>
      </c>
      <c r="B4897" s="23"/>
      <c r="C4897" s="23" t="s">
        <v>12028</v>
      </c>
      <c r="D4897" s="23" t="str">
        <f t="shared" si="228"/>
        <v>ORD26005808</v>
      </c>
      <c r="E4897" s="38">
        <v>46291</v>
      </c>
      <c r="F4897" s="23" t="s">
        <v>12410</v>
      </c>
      <c r="G4897" s="23" t="s">
        <v>75</v>
      </c>
      <c r="H4897" s="24">
        <v>1299</v>
      </c>
      <c r="I4897" s="24">
        <v>0</v>
      </c>
      <c r="J4897" s="24">
        <v>0</v>
      </c>
      <c r="K4897" s="24">
        <v>1299</v>
      </c>
      <c r="L4897" s="38">
        <v>46293</v>
      </c>
      <c r="M4897" s="23" t="s">
        <v>228</v>
      </c>
      <c r="N4897" s="23" t="str">
        <f>IF(COUNTIF($A$2:A4897,A4897)&gt;1,"DUP","OK")</f>
        <v>OK</v>
      </c>
      <c r="O4897" s="23" t="str">
        <f t="shared" si="229"/>
        <v>ORD26005808</v>
      </c>
      <c r="P4897" s="23" t="str">
        <f t="shared" si="230"/>
        <v>Sep</v>
      </c>
      <c r="Q4897" s="23" t="str">
        <f>IF(F4897="CAPTURE",IF(COUNTIF(orders!$A:$A,O4897)&gt;0,"Yes","NO ORDER"),"")</f>
        <v>Yes</v>
      </c>
    </row>
    <row r="4898" spans="1:17" ht="15" customHeight="1" x14ac:dyDescent="0.3">
      <c r="A4898" s="23" t="s">
        <v>18051</v>
      </c>
      <c r="B4898" s="23"/>
      <c r="C4898" s="23" t="s">
        <v>12032</v>
      </c>
      <c r="D4898" s="23" t="str">
        <f t="shared" si="228"/>
        <v>ORD26005810</v>
      </c>
      <c r="E4898" s="38">
        <v>46291</v>
      </c>
      <c r="F4898" s="23" t="s">
        <v>12410</v>
      </c>
      <c r="G4898" s="23" t="s">
        <v>79</v>
      </c>
      <c r="H4898" s="24">
        <v>3499</v>
      </c>
      <c r="I4898" s="24">
        <v>55.98</v>
      </c>
      <c r="J4898" s="24">
        <v>10.08</v>
      </c>
      <c r="K4898" s="24">
        <v>3432.94</v>
      </c>
      <c r="L4898" s="38">
        <v>46293</v>
      </c>
      <c r="M4898" s="23" t="s">
        <v>228</v>
      </c>
      <c r="N4898" s="23" t="str">
        <f>IF(COUNTIF($A$2:A4898,A4898)&gt;1,"DUP","OK")</f>
        <v>OK</v>
      </c>
      <c r="O4898" s="23" t="str">
        <f t="shared" si="229"/>
        <v>ORD26005810</v>
      </c>
      <c r="P4898" s="23" t="str">
        <f t="shared" si="230"/>
        <v>Sep</v>
      </c>
      <c r="Q4898" s="23" t="str">
        <f>IF(F4898="CAPTURE",IF(COUNTIF(orders!$A:$A,O4898)&gt;0,"Yes","NO ORDER"),"")</f>
        <v>Yes</v>
      </c>
    </row>
    <row r="4899" spans="1:17" ht="15" customHeight="1" x14ac:dyDescent="0.3">
      <c r="A4899" s="23" t="s">
        <v>18052</v>
      </c>
      <c r="B4899" s="23"/>
      <c r="C4899" s="23" t="s">
        <v>12074</v>
      </c>
      <c r="D4899" s="23" t="str">
        <f t="shared" si="228"/>
        <v>ORD26005833</v>
      </c>
      <c r="E4899" s="38">
        <v>46291</v>
      </c>
      <c r="F4899" s="23" t="s">
        <v>12410</v>
      </c>
      <c r="G4899" s="23" t="s">
        <v>79</v>
      </c>
      <c r="H4899" s="24">
        <v>5397</v>
      </c>
      <c r="I4899" s="24">
        <v>86.35</v>
      </c>
      <c r="J4899" s="24">
        <v>15.54</v>
      </c>
      <c r="K4899" s="24">
        <v>5295.11</v>
      </c>
      <c r="L4899" s="38">
        <v>46293</v>
      </c>
      <c r="M4899" s="23" t="s">
        <v>228</v>
      </c>
      <c r="N4899" s="23" t="str">
        <f>IF(COUNTIF($A$2:A4899,A4899)&gt;1,"DUP","OK")</f>
        <v>OK</v>
      </c>
      <c r="O4899" s="23" t="str">
        <f t="shared" si="229"/>
        <v>ORD26005833</v>
      </c>
      <c r="P4899" s="23" t="str">
        <f t="shared" si="230"/>
        <v>Sep</v>
      </c>
      <c r="Q4899" s="23" t="str">
        <f>IF(F4899="CAPTURE",IF(COUNTIF(orders!$A:$A,O4899)&gt;0,"Yes","NO ORDER"),"")</f>
        <v>Yes</v>
      </c>
    </row>
    <row r="4900" spans="1:17" ht="15" customHeight="1" x14ac:dyDescent="0.3">
      <c r="A4900" s="23" t="s">
        <v>18053</v>
      </c>
      <c r="B4900" s="23"/>
      <c r="C4900" s="23" t="s">
        <v>12102</v>
      </c>
      <c r="D4900" s="23" t="str">
        <f t="shared" si="228"/>
        <v>ORD26005847</v>
      </c>
      <c r="E4900" s="38">
        <v>46291</v>
      </c>
      <c r="F4900" s="23" t="s">
        <v>12410</v>
      </c>
      <c r="G4900" s="23" t="s">
        <v>77</v>
      </c>
      <c r="H4900" s="24">
        <v>2597</v>
      </c>
      <c r="I4900" s="24">
        <v>44.15</v>
      </c>
      <c r="J4900" s="24">
        <v>7.95</v>
      </c>
      <c r="K4900" s="24">
        <v>2544.9</v>
      </c>
      <c r="L4900" s="38">
        <v>46293</v>
      </c>
      <c r="M4900" s="23" t="s">
        <v>228</v>
      </c>
      <c r="N4900" s="23" t="str">
        <f>IF(COUNTIF($A$2:A4900,A4900)&gt;1,"DUP","OK")</f>
        <v>OK</v>
      </c>
      <c r="O4900" s="23" t="str">
        <f t="shared" si="229"/>
        <v>ORD26005847</v>
      </c>
      <c r="P4900" s="23" t="str">
        <f t="shared" si="230"/>
        <v>Sep</v>
      </c>
      <c r="Q4900" s="23" t="str">
        <f>IF(F4900="CAPTURE",IF(COUNTIF(orders!$A:$A,O4900)&gt;0,"Yes","NO ORDER"),"")</f>
        <v>Yes</v>
      </c>
    </row>
    <row r="4901" spans="1:17" ht="15" customHeight="1" x14ac:dyDescent="0.3">
      <c r="A4901" s="23" t="s">
        <v>18054</v>
      </c>
      <c r="B4901" s="23"/>
      <c r="C4901" s="23" t="s">
        <v>12128</v>
      </c>
      <c r="D4901" s="23" t="str">
        <f t="shared" si="228"/>
        <v>ORD26005861</v>
      </c>
      <c r="E4901" s="38">
        <v>46291</v>
      </c>
      <c r="F4901" s="23" t="s">
        <v>12410</v>
      </c>
      <c r="G4901" s="23" t="s">
        <v>75</v>
      </c>
      <c r="H4901" s="24">
        <v>8798</v>
      </c>
      <c r="I4901" s="24">
        <v>26.39</v>
      </c>
      <c r="J4901" s="24">
        <v>4.75</v>
      </c>
      <c r="K4901" s="24">
        <v>8766.86</v>
      </c>
      <c r="L4901" s="38">
        <v>46293</v>
      </c>
      <c r="M4901" s="23" t="s">
        <v>228</v>
      </c>
      <c r="N4901" s="23" t="str">
        <f>IF(COUNTIF($A$2:A4901,A4901)&gt;1,"DUP","OK")</f>
        <v>OK</v>
      </c>
      <c r="O4901" s="23" t="str">
        <f t="shared" si="229"/>
        <v>ORD26005861</v>
      </c>
      <c r="P4901" s="23" t="str">
        <f t="shared" si="230"/>
        <v>Sep</v>
      </c>
      <c r="Q4901" s="23" t="str">
        <f>IF(F4901="CAPTURE",IF(COUNTIF(orders!$A:$A,O4901)&gt;0,"Yes","NO ORDER"),"")</f>
        <v>Yes</v>
      </c>
    </row>
    <row r="4902" spans="1:17" ht="15" customHeight="1" x14ac:dyDescent="0.3">
      <c r="A4902" s="23" t="s">
        <v>18055</v>
      </c>
      <c r="B4902" s="23"/>
      <c r="C4902" s="23" t="s">
        <v>12218</v>
      </c>
      <c r="D4902" s="23" t="str">
        <f t="shared" si="228"/>
        <v>ORD26005909</v>
      </c>
      <c r="E4902" s="38">
        <v>46291</v>
      </c>
      <c r="F4902" s="23" t="s">
        <v>12410</v>
      </c>
      <c r="G4902" s="23" t="s">
        <v>75</v>
      </c>
      <c r="H4902" s="24">
        <v>2798</v>
      </c>
      <c r="I4902" s="24">
        <v>8.39</v>
      </c>
      <c r="J4902" s="24">
        <v>1.51</v>
      </c>
      <c r="K4902" s="24">
        <v>2788.1</v>
      </c>
      <c r="L4902" s="38">
        <v>46293</v>
      </c>
      <c r="M4902" s="23" t="s">
        <v>228</v>
      </c>
      <c r="N4902" s="23" t="str">
        <f>IF(COUNTIF($A$2:A4902,A4902)&gt;1,"DUP","OK")</f>
        <v>OK</v>
      </c>
      <c r="O4902" s="23" t="str">
        <f t="shared" si="229"/>
        <v>ORD26005909</v>
      </c>
      <c r="P4902" s="23" t="str">
        <f t="shared" si="230"/>
        <v>Sep</v>
      </c>
      <c r="Q4902" s="23" t="str">
        <f>IF(F4902="CAPTURE",IF(COUNTIF(orders!$A:$A,O4902)&gt;0,"Yes","NO ORDER"),"")</f>
        <v>Yes</v>
      </c>
    </row>
    <row r="4903" spans="1:17" ht="15" customHeight="1" x14ac:dyDescent="0.3">
      <c r="A4903" s="23" t="s">
        <v>18056</v>
      </c>
      <c r="B4903" s="23"/>
      <c r="C4903" s="23" t="s">
        <v>12230</v>
      </c>
      <c r="D4903" s="23" t="str">
        <f t="shared" si="228"/>
        <v>ORD26005915</v>
      </c>
      <c r="E4903" s="38">
        <v>46291</v>
      </c>
      <c r="F4903" s="23" t="s">
        <v>12410</v>
      </c>
      <c r="G4903" s="23" t="s">
        <v>81</v>
      </c>
      <c r="H4903" s="24">
        <v>999</v>
      </c>
      <c r="I4903" s="24">
        <v>14.99</v>
      </c>
      <c r="J4903" s="24">
        <v>2.7</v>
      </c>
      <c r="K4903" s="24">
        <v>981.31</v>
      </c>
      <c r="L4903" s="38">
        <v>46293</v>
      </c>
      <c r="M4903" s="23" t="s">
        <v>228</v>
      </c>
      <c r="N4903" s="23" t="str">
        <f>IF(COUNTIF($A$2:A4903,A4903)&gt;1,"DUP","OK")</f>
        <v>OK</v>
      </c>
      <c r="O4903" s="23" t="str">
        <f t="shared" si="229"/>
        <v>ORD26005915</v>
      </c>
      <c r="P4903" s="23" t="str">
        <f t="shared" si="230"/>
        <v>Sep</v>
      </c>
      <c r="Q4903" s="23" t="str">
        <f>IF(F4903="CAPTURE",IF(COUNTIF(orders!$A:$A,O4903)&gt;0,"Yes","NO ORDER"),"")</f>
        <v>Yes</v>
      </c>
    </row>
    <row r="4904" spans="1:17" ht="15" customHeight="1" x14ac:dyDescent="0.3">
      <c r="A4904" s="23" t="s">
        <v>18057</v>
      </c>
      <c r="B4904" s="23"/>
      <c r="C4904" s="23" t="s">
        <v>12328</v>
      </c>
      <c r="D4904" s="23" t="str">
        <f t="shared" si="228"/>
        <v>ORD26005968</v>
      </c>
      <c r="E4904" s="38">
        <v>46291</v>
      </c>
      <c r="F4904" s="23" t="s">
        <v>12410</v>
      </c>
      <c r="G4904" s="23" t="s">
        <v>75</v>
      </c>
      <c r="H4904" s="24">
        <v>3499</v>
      </c>
      <c r="I4904" s="24">
        <v>10.5</v>
      </c>
      <c r="J4904" s="24">
        <v>1.89</v>
      </c>
      <c r="K4904" s="24">
        <v>3486.61</v>
      </c>
      <c r="L4904" s="38">
        <v>46293</v>
      </c>
      <c r="M4904" s="23" t="s">
        <v>228</v>
      </c>
      <c r="N4904" s="23" t="str">
        <f>IF(COUNTIF($A$2:A4904,A4904)&gt;1,"DUP","OK")</f>
        <v>OK</v>
      </c>
      <c r="O4904" s="23" t="str">
        <f t="shared" si="229"/>
        <v>ORD26005968</v>
      </c>
      <c r="P4904" s="23" t="str">
        <f t="shared" si="230"/>
        <v>Sep</v>
      </c>
      <c r="Q4904" s="23" t="str">
        <f>IF(F4904="CAPTURE",IF(COUNTIF(orders!$A:$A,O4904)&gt;0,"Yes","NO ORDER"),"")</f>
        <v>Yes</v>
      </c>
    </row>
    <row r="4905" spans="1:17" ht="15" customHeight="1" x14ac:dyDescent="0.3">
      <c r="A4905" s="23" t="s">
        <v>18058</v>
      </c>
      <c r="B4905" s="23"/>
      <c r="C4905" s="23" t="s">
        <v>18059</v>
      </c>
      <c r="D4905" s="23" t="str">
        <f t="shared" si="228"/>
        <v>ORD26006500</v>
      </c>
      <c r="E4905" s="38">
        <v>46291</v>
      </c>
      <c r="F4905" s="23" t="s">
        <v>12410</v>
      </c>
      <c r="G4905" s="23" t="s">
        <v>77</v>
      </c>
      <c r="H4905" s="24">
        <v>7999</v>
      </c>
      <c r="I4905" s="24">
        <v>135.97999999999999</v>
      </c>
      <c r="J4905" s="24">
        <v>24.48</v>
      </c>
      <c r="K4905" s="24">
        <v>7838.54</v>
      </c>
      <c r="L4905" s="38">
        <v>46293</v>
      </c>
      <c r="M4905" s="23" t="s">
        <v>228</v>
      </c>
      <c r="N4905" s="23" t="str">
        <f>IF(COUNTIF($A$2:A4905,A4905)&gt;1,"DUP","OK")</f>
        <v>OK</v>
      </c>
      <c r="O4905" s="23" t="str">
        <f t="shared" si="229"/>
        <v>ORD26006500</v>
      </c>
      <c r="P4905" s="23" t="str">
        <f t="shared" si="230"/>
        <v>Sep</v>
      </c>
      <c r="Q4905" s="23" t="str">
        <f>IF(F4905="CAPTURE",IF(COUNTIF(orders!$A:$A,O4905)&gt;0,"Yes","NO ORDER"),"")</f>
        <v>NO ORDER</v>
      </c>
    </row>
    <row r="4906" spans="1:17" ht="15" customHeight="1" x14ac:dyDescent="0.3">
      <c r="A4906" s="23" t="s">
        <v>18060</v>
      </c>
      <c r="B4906" s="23" t="s">
        <v>17056</v>
      </c>
      <c r="C4906" s="23"/>
      <c r="D4906" s="23" t="str">
        <f t="shared" si="228"/>
        <v/>
      </c>
      <c r="E4906" s="38">
        <v>46291</v>
      </c>
      <c r="F4906" s="23" t="s">
        <v>12791</v>
      </c>
      <c r="G4906" s="23" t="s">
        <v>79</v>
      </c>
      <c r="H4906" s="24">
        <v>3097</v>
      </c>
      <c r="I4906" s="24">
        <v>0</v>
      </c>
      <c r="J4906" s="24">
        <v>0</v>
      </c>
      <c r="K4906" s="24">
        <v>-3097</v>
      </c>
      <c r="L4906" s="38">
        <v>46293</v>
      </c>
      <c r="M4906" s="23" t="s">
        <v>228</v>
      </c>
      <c r="N4906" s="23" t="str">
        <f>IF(COUNTIF($A$2:A4906,A4906)&gt;1,"DUP","OK")</f>
        <v>OK</v>
      </c>
      <c r="O4906" s="23" t="str">
        <f t="shared" si="229"/>
        <v>ORD26001033</v>
      </c>
      <c r="P4906" s="23" t="str">
        <f t="shared" si="230"/>
        <v>Sep</v>
      </c>
      <c r="Q4906" s="23" t="str">
        <f>IF(F4906="CAPTURE",IF(COUNTIF(orders!$A:$A,O4906)&gt;0,"Yes","NO ORDER"),"")</f>
        <v/>
      </c>
    </row>
    <row r="4907" spans="1:17" ht="15" customHeight="1" x14ac:dyDescent="0.3">
      <c r="A4907" s="23" t="s">
        <v>18061</v>
      </c>
      <c r="B4907" s="23" t="s">
        <v>17406</v>
      </c>
      <c r="C4907" s="23"/>
      <c r="D4907" s="23" t="str">
        <f t="shared" si="228"/>
        <v/>
      </c>
      <c r="E4907" s="38">
        <v>46291</v>
      </c>
      <c r="F4907" s="23" t="s">
        <v>12791</v>
      </c>
      <c r="G4907" s="23" t="s">
        <v>77</v>
      </c>
      <c r="H4907" s="24">
        <v>1998</v>
      </c>
      <c r="I4907" s="24">
        <v>0</v>
      </c>
      <c r="J4907" s="24">
        <v>0</v>
      </c>
      <c r="K4907" s="24">
        <v>-1998</v>
      </c>
      <c r="L4907" s="38">
        <v>46293</v>
      </c>
      <c r="M4907" s="23" t="s">
        <v>228</v>
      </c>
      <c r="N4907" s="23" t="str">
        <f>IF(COUNTIF($A$2:A4907,A4907)&gt;1,"DUP","OK")</f>
        <v>OK</v>
      </c>
      <c r="O4907" s="23" t="str">
        <f t="shared" si="229"/>
        <v>ORD26005981</v>
      </c>
      <c r="P4907" s="23" t="str">
        <f t="shared" si="230"/>
        <v>Sep</v>
      </c>
      <c r="Q4907" s="23" t="str">
        <f>IF(F4907="CAPTURE",IF(COUNTIF(orders!$A:$A,O4907)&gt;0,"Yes","NO ORDER"),"")</f>
        <v/>
      </c>
    </row>
    <row r="4908" spans="1:17" ht="15" customHeight="1" x14ac:dyDescent="0.3">
      <c r="A4908" s="23" t="s">
        <v>18062</v>
      </c>
      <c r="B4908" s="23" t="s">
        <v>16701</v>
      </c>
      <c r="C4908" s="23"/>
      <c r="D4908" s="23" t="str">
        <f t="shared" si="228"/>
        <v/>
      </c>
      <c r="E4908" s="38">
        <v>46291</v>
      </c>
      <c r="F4908" s="23" t="s">
        <v>12791</v>
      </c>
      <c r="G4908" s="23" t="s">
        <v>79</v>
      </c>
      <c r="H4908" s="24">
        <v>2697</v>
      </c>
      <c r="I4908" s="24">
        <v>0</v>
      </c>
      <c r="J4908" s="24">
        <v>0</v>
      </c>
      <c r="K4908" s="24">
        <v>-2697</v>
      </c>
      <c r="L4908" s="38">
        <v>46293</v>
      </c>
      <c r="M4908" s="23" t="s">
        <v>228</v>
      </c>
      <c r="N4908" s="23" t="str">
        <f>IF(COUNTIF($A$2:A4908,A4908)&gt;1,"DUP","OK")</f>
        <v>OK</v>
      </c>
      <c r="O4908" s="23" t="str">
        <f t="shared" si="229"/>
        <v>ORD26003827</v>
      </c>
      <c r="P4908" s="23" t="str">
        <f t="shared" si="230"/>
        <v>Sep</v>
      </c>
      <c r="Q4908" s="23" t="str">
        <f>IF(F4908="CAPTURE",IF(COUNTIF(orders!$A:$A,O4908)&gt;0,"Yes","NO ORDER"),"")</f>
        <v/>
      </c>
    </row>
    <row r="4909" spans="1:17" ht="15" customHeight="1" x14ac:dyDescent="0.3">
      <c r="A4909" s="23" t="s">
        <v>18063</v>
      </c>
      <c r="B4909" s="23" t="s">
        <v>16589</v>
      </c>
      <c r="C4909" s="23"/>
      <c r="D4909" s="23" t="str">
        <f t="shared" si="228"/>
        <v/>
      </c>
      <c r="E4909" s="38">
        <v>46291</v>
      </c>
      <c r="F4909" s="23" t="s">
        <v>12791</v>
      </c>
      <c r="G4909" s="23" t="s">
        <v>75</v>
      </c>
      <c r="H4909" s="24">
        <v>3798</v>
      </c>
      <c r="I4909" s="24">
        <v>0</v>
      </c>
      <c r="J4909" s="24">
        <v>0</v>
      </c>
      <c r="K4909" s="24">
        <v>-3798</v>
      </c>
      <c r="L4909" s="38">
        <v>46293</v>
      </c>
      <c r="M4909" s="23" t="s">
        <v>228</v>
      </c>
      <c r="N4909" s="23" t="str">
        <f>IF(COUNTIF($A$2:A4909,A4909)&gt;1,"DUP","OK")</f>
        <v>OK</v>
      </c>
      <c r="O4909" s="23" t="str">
        <f t="shared" si="229"/>
        <v>ORD26000387</v>
      </c>
      <c r="P4909" s="23" t="str">
        <f t="shared" si="230"/>
        <v>Sep</v>
      </c>
      <c r="Q4909" s="23" t="str">
        <f>IF(F4909="CAPTURE",IF(COUNTIF(orders!$A:$A,O4909)&gt;0,"Yes","NO ORDER"),"")</f>
        <v/>
      </c>
    </row>
    <row r="4910" spans="1:17" ht="15" customHeight="1" x14ac:dyDescent="0.3">
      <c r="A4910" s="23" t="s">
        <v>18064</v>
      </c>
      <c r="B4910" s="23" t="s">
        <v>16817</v>
      </c>
      <c r="C4910" s="23"/>
      <c r="D4910" s="23" t="str">
        <f t="shared" si="228"/>
        <v/>
      </c>
      <c r="E4910" s="38">
        <v>46291</v>
      </c>
      <c r="F4910" s="23" t="s">
        <v>12791</v>
      </c>
      <c r="G4910" s="23" t="s">
        <v>75</v>
      </c>
      <c r="H4910" s="24">
        <v>1298</v>
      </c>
      <c r="I4910" s="24">
        <v>0</v>
      </c>
      <c r="J4910" s="24">
        <v>0</v>
      </c>
      <c r="K4910" s="24">
        <v>-1298</v>
      </c>
      <c r="L4910" s="38">
        <v>46293</v>
      </c>
      <c r="M4910" s="23" t="s">
        <v>228</v>
      </c>
      <c r="N4910" s="23" t="str">
        <f>IF(COUNTIF($A$2:A4910,A4910)&gt;1,"DUP","OK")</f>
        <v>OK</v>
      </c>
      <c r="O4910" s="23" t="str">
        <f t="shared" si="229"/>
        <v>ORD26000131</v>
      </c>
      <c r="P4910" s="23" t="str">
        <f t="shared" si="230"/>
        <v>Sep</v>
      </c>
      <c r="Q4910" s="23" t="str">
        <f>IF(F4910="CAPTURE",IF(COUNTIF(orders!$A:$A,O4910)&gt;0,"Yes","NO ORDER"),"")</f>
        <v/>
      </c>
    </row>
    <row r="4911" spans="1:17" ht="15" customHeight="1" x14ac:dyDescent="0.3">
      <c r="A4911" s="23" t="s">
        <v>18065</v>
      </c>
      <c r="B4911" s="23" t="s">
        <v>16715</v>
      </c>
      <c r="C4911" s="23"/>
      <c r="D4911" s="23" t="str">
        <f t="shared" si="228"/>
        <v/>
      </c>
      <c r="E4911" s="38">
        <v>46291</v>
      </c>
      <c r="F4911" s="23" t="s">
        <v>12791</v>
      </c>
      <c r="G4911" s="23" t="s">
        <v>79</v>
      </c>
      <c r="H4911" s="24">
        <v>499</v>
      </c>
      <c r="I4911" s="24">
        <v>0</v>
      </c>
      <c r="J4911" s="24">
        <v>0</v>
      </c>
      <c r="K4911" s="24">
        <v>-499</v>
      </c>
      <c r="L4911" s="38">
        <v>46293</v>
      </c>
      <c r="M4911" s="23" t="s">
        <v>228</v>
      </c>
      <c r="N4911" s="23" t="str">
        <f>IF(COUNTIF($A$2:A4911,A4911)&gt;1,"DUP","OK")</f>
        <v>OK</v>
      </c>
      <c r="O4911" s="23" t="str">
        <f t="shared" si="229"/>
        <v>ORD26004080</v>
      </c>
      <c r="P4911" s="23" t="str">
        <f t="shared" si="230"/>
        <v>Sep</v>
      </c>
      <c r="Q4911" s="23" t="str">
        <f>IF(F4911="CAPTURE",IF(COUNTIF(orders!$A:$A,O4911)&gt;0,"Yes","NO ORDER"),"")</f>
        <v/>
      </c>
    </row>
    <row r="4912" spans="1:17" ht="15" customHeight="1" x14ac:dyDescent="0.3">
      <c r="A4912" s="23" t="s">
        <v>18066</v>
      </c>
      <c r="B4912" s="23" t="s">
        <v>17731</v>
      </c>
      <c r="C4912" s="23"/>
      <c r="D4912" s="23" t="str">
        <f t="shared" si="228"/>
        <v/>
      </c>
      <c r="E4912" s="38">
        <v>46291</v>
      </c>
      <c r="F4912" s="23" t="s">
        <v>12791</v>
      </c>
      <c r="G4912" s="23" t="s">
        <v>75</v>
      </c>
      <c r="H4912" s="24">
        <v>4647</v>
      </c>
      <c r="I4912" s="24">
        <v>0</v>
      </c>
      <c r="J4912" s="24">
        <v>0</v>
      </c>
      <c r="K4912" s="24">
        <v>-4647</v>
      </c>
      <c r="L4912" s="38">
        <v>46293</v>
      </c>
      <c r="M4912" s="23" t="s">
        <v>228</v>
      </c>
      <c r="N4912" s="23" t="str">
        <f>IF(COUNTIF($A$2:A4912,A4912)&gt;1,"DUP","OK")</f>
        <v>OK</v>
      </c>
      <c r="O4912" s="23" t="str">
        <f t="shared" si="229"/>
        <v>ORD26002423</v>
      </c>
      <c r="P4912" s="23" t="str">
        <f t="shared" si="230"/>
        <v>Sep</v>
      </c>
      <c r="Q4912" s="23" t="str">
        <f>IF(F4912="CAPTURE",IF(COUNTIF(orders!$A:$A,O4912)&gt;0,"Yes","NO ORDER"),"")</f>
        <v/>
      </c>
    </row>
    <row r="4913" spans="1:17" ht="15" customHeight="1" x14ac:dyDescent="0.3">
      <c r="A4913" s="23" t="s">
        <v>18067</v>
      </c>
      <c r="B4913" s="23" t="s">
        <v>17829</v>
      </c>
      <c r="C4913" s="23"/>
      <c r="D4913" s="23" t="str">
        <f t="shared" si="228"/>
        <v/>
      </c>
      <c r="E4913" s="38">
        <v>46291</v>
      </c>
      <c r="F4913" s="23" t="s">
        <v>12791</v>
      </c>
      <c r="G4913" s="23" t="s">
        <v>77</v>
      </c>
      <c r="H4913" s="24">
        <v>14497</v>
      </c>
      <c r="I4913" s="24">
        <v>0</v>
      </c>
      <c r="J4913" s="24">
        <v>0</v>
      </c>
      <c r="K4913" s="24">
        <v>-14497</v>
      </c>
      <c r="L4913" s="38">
        <v>46293</v>
      </c>
      <c r="M4913" s="23" t="s">
        <v>228</v>
      </c>
      <c r="N4913" s="23" t="str">
        <f>IF(COUNTIF($A$2:A4913,A4913)&gt;1,"DUP","OK")</f>
        <v>OK</v>
      </c>
      <c r="O4913" s="23" t="str">
        <f t="shared" si="229"/>
        <v>ORD26005095</v>
      </c>
      <c r="P4913" s="23" t="str">
        <f t="shared" si="230"/>
        <v>Sep</v>
      </c>
      <c r="Q4913" s="23" t="str">
        <f>IF(F4913="CAPTURE",IF(COUNTIF(orders!$A:$A,O4913)&gt;0,"Yes","NO ORDER"),"")</f>
        <v/>
      </c>
    </row>
    <row r="4914" spans="1:17" ht="15" customHeight="1" x14ac:dyDescent="0.3">
      <c r="A4914" s="23" t="s">
        <v>18068</v>
      </c>
      <c r="B4914" s="23" t="s">
        <v>17289</v>
      </c>
      <c r="C4914" s="23"/>
      <c r="D4914" s="23" t="str">
        <f t="shared" si="228"/>
        <v/>
      </c>
      <c r="E4914" s="38">
        <v>46291</v>
      </c>
      <c r="F4914" s="23" t="s">
        <v>12791</v>
      </c>
      <c r="G4914" s="23" t="s">
        <v>75</v>
      </c>
      <c r="H4914" s="24">
        <v>5298</v>
      </c>
      <c r="I4914" s="24">
        <v>0</v>
      </c>
      <c r="J4914" s="24">
        <v>0</v>
      </c>
      <c r="K4914" s="24">
        <v>-5298</v>
      </c>
      <c r="L4914" s="38">
        <v>46293</v>
      </c>
      <c r="M4914" s="23" t="s">
        <v>228</v>
      </c>
      <c r="N4914" s="23" t="str">
        <f>IF(COUNTIF($A$2:A4914,A4914)&gt;1,"DUP","OK")</f>
        <v>OK</v>
      </c>
      <c r="O4914" s="23" t="str">
        <f t="shared" si="229"/>
        <v>ORD26002305</v>
      </c>
      <c r="P4914" s="23" t="str">
        <f t="shared" si="230"/>
        <v>Sep</v>
      </c>
      <c r="Q4914" s="23" t="str">
        <f>IF(F4914="CAPTURE",IF(COUNTIF(orders!$A:$A,O4914)&gt;0,"Yes","NO ORDER"),"")</f>
        <v/>
      </c>
    </row>
    <row r="4915" spans="1:17" ht="15" customHeight="1" x14ac:dyDescent="0.3">
      <c r="A4915" s="23" t="s">
        <v>18069</v>
      </c>
      <c r="B4915" s="23" t="s">
        <v>16714</v>
      </c>
      <c r="C4915" s="23"/>
      <c r="D4915" s="23" t="str">
        <f t="shared" si="228"/>
        <v/>
      </c>
      <c r="E4915" s="38">
        <v>46291</v>
      </c>
      <c r="F4915" s="23" t="s">
        <v>12791</v>
      </c>
      <c r="G4915" s="23" t="s">
        <v>79</v>
      </c>
      <c r="H4915" s="24">
        <v>299</v>
      </c>
      <c r="I4915" s="24">
        <v>0</v>
      </c>
      <c r="J4915" s="24">
        <v>0</v>
      </c>
      <c r="K4915" s="24">
        <v>-299</v>
      </c>
      <c r="L4915" s="38">
        <v>46293</v>
      </c>
      <c r="M4915" s="23" t="s">
        <v>228</v>
      </c>
      <c r="N4915" s="23" t="str">
        <f>IF(COUNTIF($A$2:A4915,A4915)&gt;1,"DUP","OK")</f>
        <v>OK</v>
      </c>
      <c r="O4915" s="23" t="str">
        <f t="shared" si="229"/>
        <v>ORD26004061</v>
      </c>
      <c r="P4915" s="23" t="str">
        <f t="shared" si="230"/>
        <v>Sep</v>
      </c>
      <c r="Q4915" s="23" t="str">
        <f>IF(F4915="CAPTURE",IF(COUNTIF(orders!$A:$A,O4915)&gt;0,"Yes","NO ORDER"),"")</f>
        <v/>
      </c>
    </row>
    <row r="4916" spans="1:17" ht="15" customHeight="1" x14ac:dyDescent="0.3">
      <c r="A4916" s="23" t="s">
        <v>18070</v>
      </c>
      <c r="B4916" s="23" t="s">
        <v>17852</v>
      </c>
      <c r="C4916" s="23"/>
      <c r="D4916" s="23" t="str">
        <f t="shared" si="228"/>
        <v/>
      </c>
      <c r="E4916" s="38">
        <v>46291</v>
      </c>
      <c r="F4916" s="23" t="s">
        <v>12791</v>
      </c>
      <c r="G4916" s="23" t="s">
        <v>75</v>
      </c>
      <c r="H4916" s="24">
        <v>299</v>
      </c>
      <c r="I4916" s="24">
        <v>0</v>
      </c>
      <c r="J4916" s="24">
        <v>0</v>
      </c>
      <c r="K4916" s="24">
        <v>-299</v>
      </c>
      <c r="L4916" s="38">
        <v>46293</v>
      </c>
      <c r="M4916" s="23" t="s">
        <v>228</v>
      </c>
      <c r="N4916" s="23" t="str">
        <f>IF(COUNTIF($A$2:A4916,A4916)&gt;1,"DUP","OK")</f>
        <v>OK</v>
      </c>
      <c r="O4916" s="23" t="str">
        <f t="shared" si="229"/>
        <v>ORD26005624</v>
      </c>
      <c r="P4916" s="23" t="str">
        <f t="shared" si="230"/>
        <v>Sep</v>
      </c>
      <c r="Q4916" s="23" t="str">
        <f>IF(F4916="CAPTURE",IF(COUNTIF(orders!$A:$A,O4916)&gt;0,"Yes","NO ORDER"),"")</f>
        <v/>
      </c>
    </row>
    <row r="4917" spans="1:17" ht="15" customHeight="1" x14ac:dyDescent="0.3">
      <c r="A4917" s="23" t="s">
        <v>18071</v>
      </c>
      <c r="B4917" s="23" t="s">
        <v>17762</v>
      </c>
      <c r="C4917" s="23"/>
      <c r="D4917" s="23" t="str">
        <f t="shared" si="228"/>
        <v/>
      </c>
      <c r="E4917" s="38">
        <v>46291</v>
      </c>
      <c r="F4917" s="23" t="s">
        <v>12791</v>
      </c>
      <c r="G4917" s="23" t="s">
        <v>75</v>
      </c>
      <c r="H4917" s="24">
        <v>299</v>
      </c>
      <c r="I4917" s="24">
        <v>0</v>
      </c>
      <c r="J4917" s="24">
        <v>0</v>
      </c>
      <c r="K4917" s="24">
        <v>-299</v>
      </c>
      <c r="L4917" s="38">
        <v>46293</v>
      </c>
      <c r="M4917" s="23" t="s">
        <v>228</v>
      </c>
      <c r="N4917" s="23" t="str">
        <f>IF(COUNTIF($A$2:A4917,A4917)&gt;1,"DUP","OK")</f>
        <v>OK</v>
      </c>
      <c r="O4917" s="23" t="str">
        <f t="shared" si="229"/>
        <v>ORD26003238</v>
      </c>
      <c r="P4917" s="23" t="str">
        <f t="shared" si="230"/>
        <v>Sep</v>
      </c>
      <c r="Q4917" s="23" t="str">
        <f>IF(F4917="CAPTURE",IF(COUNTIF(orders!$A:$A,O4917)&gt;0,"Yes","NO ORDER"),"")</f>
        <v/>
      </c>
    </row>
    <row r="4918" spans="1:17" ht="15" customHeight="1" x14ac:dyDescent="0.3">
      <c r="A4918" s="23" t="s">
        <v>18072</v>
      </c>
      <c r="B4918" s="23" t="s">
        <v>17375</v>
      </c>
      <c r="C4918" s="23"/>
      <c r="D4918" s="23" t="str">
        <f t="shared" si="228"/>
        <v/>
      </c>
      <c r="E4918" s="38">
        <v>46291</v>
      </c>
      <c r="F4918" s="23" t="s">
        <v>12791</v>
      </c>
      <c r="G4918" s="23" t="s">
        <v>77</v>
      </c>
      <c r="H4918" s="24">
        <v>1299</v>
      </c>
      <c r="I4918" s="24">
        <v>0</v>
      </c>
      <c r="J4918" s="24">
        <v>0</v>
      </c>
      <c r="K4918" s="24">
        <v>-1299</v>
      </c>
      <c r="L4918" s="38">
        <v>46293</v>
      </c>
      <c r="M4918" s="23" t="s">
        <v>228</v>
      </c>
      <c r="N4918" s="23" t="str">
        <f>IF(COUNTIF($A$2:A4918,A4918)&gt;1,"DUP","OK")</f>
        <v>OK</v>
      </c>
      <c r="O4918" s="23" t="str">
        <f t="shared" si="229"/>
        <v>ORD26005006</v>
      </c>
      <c r="P4918" s="23" t="str">
        <f t="shared" si="230"/>
        <v>Sep</v>
      </c>
      <c r="Q4918" s="23" t="str">
        <f>IF(F4918="CAPTURE",IF(COUNTIF(orders!$A:$A,O4918)&gt;0,"Yes","NO ORDER"),"")</f>
        <v/>
      </c>
    </row>
    <row r="4919" spans="1:17" ht="15" customHeight="1" x14ac:dyDescent="0.3">
      <c r="A4919" s="23" t="s">
        <v>18073</v>
      </c>
      <c r="B4919" s="23" t="s">
        <v>17600</v>
      </c>
      <c r="C4919" s="23"/>
      <c r="D4919" s="23" t="str">
        <f t="shared" si="228"/>
        <v/>
      </c>
      <c r="E4919" s="38">
        <v>46291</v>
      </c>
      <c r="F4919" s="23" t="s">
        <v>12791</v>
      </c>
      <c r="G4919" s="23" t="s">
        <v>75</v>
      </c>
      <c r="H4919" s="24">
        <v>3597</v>
      </c>
      <c r="I4919" s="24">
        <v>0</v>
      </c>
      <c r="J4919" s="24">
        <v>0</v>
      </c>
      <c r="K4919" s="24">
        <v>-3597</v>
      </c>
      <c r="L4919" s="38">
        <v>46293</v>
      </c>
      <c r="M4919" s="23" t="s">
        <v>228</v>
      </c>
      <c r="N4919" s="23" t="str">
        <f>IF(COUNTIF($A$2:A4919,A4919)&gt;1,"DUP","OK")</f>
        <v>OK</v>
      </c>
      <c r="O4919" s="23" t="str">
        <f t="shared" si="229"/>
        <v>ORD26005070</v>
      </c>
      <c r="P4919" s="23" t="str">
        <f t="shared" si="230"/>
        <v>Sep</v>
      </c>
      <c r="Q4919" s="23" t="str">
        <f>IF(F4919="CAPTURE",IF(COUNTIF(orders!$A:$A,O4919)&gt;0,"Yes","NO ORDER"),"")</f>
        <v/>
      </c>
    </row>
    <row r="4920" spans="1:17" ht="15" customHeight="1" x14ac:dyDescent="0.3">
      <c r="A4920" s="23" t="s">
        <v>18074</v>
      </c>
      <c r="B4920" s="23"/>
      <c r="C4920" s="23" t="s">
        <v>338</v>
      </c>
      <c r="D4920" s="23" t="str">
        <f t="shared" si="228"/>
        <v>ORD26000032</v>
      </c>
      <c r="E4920" s="38">
        <v>46292</v>
      </c>
      <c r="F4920" s="23" t="s">
        <v>12410</v>
      </c>
      <c r="G4920" s="23" t="s">
        <v>75</v>
      </c>
      <c r="H4920" s="24">
        <v>6298</v>
      </c>
      <c r="I4920" s="24">
        <v>18.89</v>
      </c>
      <c r="J4920" s="24">
        <v>3.4</v>
      </c>
      <c r="K4920" s="24">
        <v>6275.71</v>
      </c>
      <c r="L4920" s="38">
        <v>46294</v>
      </c>
      <c r="M4920" s="23" t="s">
        <v>229</v>
      </c>
      <c r="N4920" s="23" t="str">
        <f>IF(COUNTIF($A$2:A4920,A4920)&gt;1,"DUP","OK")</f>
        <v>OK</v>
      </c>
      <c r="O4920" s="23" t="str">
        <f t="shared" si="229"/>
        <v>ORD26000032</v>
      </c>
      <c r="P4920" s="23" t="str">
        <f t="shared" si="230"/>
        <v>Sep</v>
      </c>
      <c r="Q4920" s="23" t="str">
        <f>IF(F4920="CAPTURE",IF(COUNTIF(orders!$A:$A,O4920)&gt;0,"Yes","NO ORDER"),"")</f>
        <v>Yes</v>
      </c>
    </row>
    <row r="4921" spans="1:17" ht="15" customHeight="1" x14ac:dyDescent="0.3">
      <c r="A4921" s="23" t="s">
        <v>18075</v>
      </c>
      <c r="B4921" s="23"/>
      <c r="C4921" s="23" t="s">
        <v>350</v>
      </c>
      <c r="D4921" s="23" t="str">
        <f t="shared" si="228"/>
        <v>ORD26000036</v>
      </c>
      <c r="E4921" s="38">
        <v>46292</v>
      </c>
      <c r="F4921" s="23" t="s">
        <v>12410</v>
      </c>
      <c r="G4921" s="23" t="s">
        <v>75</v>
      </c>
      <c r="H4921" s="24">
        <v>648</v>
      </c>
      <c r="I4921" s="24">
        <v>0</v>
      </c>
      <c r="J4921" s="24">
        <v>0</v>
      </c>
      <c r="K4921" s="24">
        <v>648</v>
      </c>
      <c r="L4921" s="38">
        <v>46294</v>
      </c>
      <c r="M4921" s="23" t="s">
        <v>229</v>
      </c>
      <c r="N4921" s="23" t="str">
        <f>IF(COUNTIF($A$2:A4921,A4921)&gt;1,"DUP","OK")</f>
        <v>OK</v>
      </c>
      <c r="O4921" s="23" t="str">
        <f t="shared" si="229"/>
        <v>ORD26000036</v>
      </c>
      <c r="P4921" s="23" t="str">
        <f t="shared" si="230"/>
        <v>Sep</v>
      </c>
      <c r="Q4921" s="23" t="str">
        <f>IF(F4921="CAPTURE",IF(COUNTIF(orders!$A:$A,O4921)&gt;0,"Yes","NO ORDER"),"")</f>
        <v>Yes</v>
      </c>
    </row>
    <row r="4922" spans="1:17" ht="15" customHeight="1" x14ac:dyDescent="0.3">
      <c r="A4922" s="23" t="s">
        <v>18076</v>
      </c>
      <c r="B4922" s="23"/>
      <c r="C4922" s="23" t="s">
        <v>381</v>
      </c>
      <c r="D4922" s="23" t="str">
        <f t="shared" si="228"/>
        <v>ORD26000048</v>
      </c>
      <c r="E4922" s="38">
        <v>46292</v>
      </c>
      <c r="F4922" s="23" t="s">
        <v>12410</v>
      </c>
      <c r="G4922" s="23" t="s">
        <v>77</v>
      </c>
      <c r="H4922" s="24">
        <v>4298</v>
      </c>
      <c r="I4922" s="24">
        <v>73.069999999999993</v>
      </c>
      <c r="J4922" s="24">
        <v>13.15</v>
      </c>
      <c r="K4922" s="24">
        <v>4211.78</v>
      </c>
      <c r="L4922" s="38">
        <v>46294</v>
      </c>
      <c r="M4922" s="23" t="s">
        <v>229</v>
      </c>
      <c r="N4922" s="23" t="str">
        <f>IF(COUNTIF($A$2:A4922,A4922)&gt;1,"DUP","OK")</f>
        <v>OK</v>
      </c>
      <c r="O4922" s="23" t="str">
        <f t="shared" si="229"/>
        <v>ORD26000048</v>
      </c>
      <c r="P4922" s="23" t="str">
        <f t="shared" si="230"/>
        <v>Sep</v>
      </c>
      <c r="Q4922" s="23" t="str">
        <f>IF(F4922="CAPTURE",IF(COUNTIF(orders!$A:$A,O4922)&gt;0,"Yes","NO ORDER"),"")</f>
        <v>Yes</v>
      </c>
    </row>
    <row r="4923" spans="1:17" ht="15" customHeight="1" x14ac:dyDescent="0.3">
      <c r="A4923" s="23" t="s">
        <v>18077</v>
      </c>
      <c r="B4923" s="23"/>
      <c r="C4923" s="23" t="s">
        <v>458</v>
      </c>
      <c r="D4923" s="23" t="str">
        <f t="shared" si="228"/>
        <v>ORD26000080</v>
      </c>
      <c r="E4923" s="38">
        <v>46292</v>
      </c>
      <c r="F4923" s="23" t="s">
        <v>12410</v>
      </c>
      <c r="G4923" s="23" t="s">
        <v>75</v>
      </c>
      <c r="H4923" s="24">
        <v>1998</v>
      </c>
      <c r="I4923" s="24">
        <v>0</v>
      </c>
      <c r="J4923" s="24">
        <v>0</v>
      </c>
      <c r="K4923" s="24">
        <v>1998</v>
      </c>
      <c r="L4923" s="38">
        <v>46294</v>
      </c>
      <c r="M4923" s="23" t="s">
        <v>229</v>
      </c>
      <c r="N4923" s="23" t="str">
        <f>IF(COUNTIF($A$2:A4923,A4923)&gt;1,"DUP","OK")</f>
        <v>OK</v>
      </c>
      <c r="O4923" s="23" t="str">
        <f t="shared" si="229"/>
        <v>ORD26000080</v>
      </c>
      <c r="P4923" s="23" t="str">
        <f t="shared" si="230"/>
        <v>Sep</v>
      </c>
      <c r="Q4923" s="23" t="str">
        <f>IF(F4923="CAPTURE",IF(COUNTIF(orders!$A:$A,O4923)&gt;0,"Yes","NO ORDER"),"")</f>
        <v>Yes</v>
      </c>
    </row>
    <row r="4924" spans="1:17" ht="15" customHeight="1" x14ac:dyDescent="0.3">
      <c r="A4924" s="23" t="s">
        <v>18078</v>
      </c>
      <c r="B4924" s="23"/>
      <c r="C4924" s="23" t="s">
        <v>461</v>
      </c>
      <c r="D4924" s="23" t="str">
        <f t="shared" si="228"/>
        <v>ORD26000081</v>
      </c>
      <c r="E4924" s="38">
        <v>46292</v>
      </c>
      <c r="F4924" s="23" t="s">
        <v>12410</v>
      </c>
      <c r="G4924" s="23" t="s">
        <v>79</v>
      </c>
      <c r="H4924" s="24">
        <v>10797</v>
      </c>
      <c r="I4924" s="24">
        <v>172.75</v>
      </c>
      <c r="J4924" s="24">
        <v>31.1</v>
      </c>
      <c r="K4924" s="24">
        <v>10593.15</v>
      </c>
      <c r="L4924" s="38">
        <v>46294</v>
      </c>
      <c r="M4924" s="23" t="s">
        <v>229</v>
      </c>
      <c r="N4924" s="23" t="str">
        <f>IF(COUNTIF($A$2:A4924,A4924)&gt;1,"DUP","OK")</f>
        <v>OK</v>
      </c>
      <c r="O4924" s="23" t="str">
        <f t="shared" si="229"/>
        <v>ORD26000081</v>
      </c>
      <c r="P4924" s="23" t="str">
        <f t="shared" si="230"/>
        <v>Sep</v>
      </c>
      <c r="Q4924" s="23" t="str">
        <f>IF(F4924="CAPTURE",IF(COUNTIF(orders!$A:$A,O4924)&gt;0,"Yes","NO ORDER"),"")</f>
        <v>Yes</v>
      </c>
    </row>
    <row r="4925" spans="1:17" ht="15" customHeight="1" x14ac:dyDescent="0.3">
      <c r="A4925" s="23" t="s">
        <v>18079</v>
      </c>
      <c r="B4925" s="23"/>
      <c r="C4925" s="23" t="s">
        <v>481</v>
      </c>
      <c r="D4925" s="23" t="str">
        <f t="shared" si="228"/>
        <v>ORD26000089</v>
      </c>
      <c r="E4925" s="38">
        <v>46292</v>
      </c>
      <c r="F4925" s="23" t="s">
        <v>12410</v>
      </c>
      <c r="G4925" s="23" t="s">
        <v>77</v>
      </c>
      <c r="H4925" s="24">
        <v>2998</v>
      </c>
      <c r="I4925" s="24">
        <v>50.97</v>
      </c>
      <c r="J4925" s="24">
        <v>9.17</v>
      </c>
      <c r="K4925" s="24">
        <v>2937.86</v>
      </c>
      <c r="L4925" s="38">
        <v>46294</v>
      </c>
      <c r="M4925" s="23" t="s">
        <v>229</v>
      </c>
      <c r="N4925" s="23" t="str">
        <f>IF(COUNTIF($A$2:A4925,A4925)&gt;1,"DUP","OK")</f>
        <v>OK</v>
      </c>
      <c r="O4925" s="23" t="str">
        <f t="shared" si="229"/>
        <v>ORD26000089</v>
      </c>
      <c r="P4925" s="23" t="str">
        <f t="shared" si="230"/>
        <v>Sep</v>
      </c>
      <c r="Q4925" s="23" t="str">
        <f>IF(F4925="CAPTURE",IF(COUNTIF(orders!$A:$A,O4925)&gt;0,"Yes","NO ORDER"),"")</f>
        <v>Yes</v>
      </c>
    </row>
    <row r="4926" spans="1:17" ht="15" customHeight="1" x14ac:dyDescent="0.3">
      <c r="A4926" s="23" t="s">
        <v>18080</v>
      </c>
      <c r="B4926" s="23"/>
      <c r="C4926" s="23" t="s">
        <v>590</v>
      </c>
      <c r="D4926" s="23" t="str">
        <f t="shared" si="228"/>
        <v>ORD26000135</v>
      </c>
      <c r="E4926" s="38">
        <v>46292</v>
      </c>
      <c r="F4926" s="23" t="s">
        <v>12410</v>
      </c>
      <c r="G4926" s="23" t="s">
        <v>75</v>
      </c>
      <c r="H4926" s="24">
        <v>2999</v>
      </c>
      <c r="I4926" s="24">
        <v>9</v>
      </c>
      <c r="J4926" s="24">
        <v>1.62</v>
      </c>
      <c r="K4926" s="24">
        <v>2988.38</v>
      </c>
      <c r="L4926" s="38">
        <v>46294</v>
      </c>
      <c r="M4926" s="23" t="s">
        <v>229</v>
      </c>
      <c r="N4926" s="23" t="str">
        <f>IF(COUNTIF($A$2:A4926,A4926)&gt;1,"DUP","OK")</f>
        <v>OK</v>
      </c>
      <c r="O4926" s="23" t="str">
        <f t="shared" si="229"/>
        <v>ORD26000135</v>
      </c>
      <c r="P4926" s="23" t="str">
        <f t="shared" si="230"/>
        <v>Sep</v>
      </c>
      <c r="Q4926" s="23" t="str">
        <f>IF(F4926="CAPTURE",IF(COUNTIF(orders!$A:$A,O4926)&gt;0,"Yes","NO ORDER"),"")</f>
        <v>Yes</v>
      </c>
    </row>
    <row r="4927" spans="1:17" ht="15" customHeight="1" x14ac:dyDescent="0.3">
      <c r="A4927" s="23" t="s">
        <v>18081</v>
      </c>
      <c r="B4927" s="23"/>
      <c r="C4927" s="23" t="s">
        <v>603</v>
      </c>
      <c r="D4927" s="23" t="str">
        <f t="shared" si="228"/>
        <v>ORD26000141</v>
      </c>
      <c r="E4927" s="38">
        <v>46292</v>
      </c>
      <c r="F4927" s="23" t="s">
        <v>12410</v>
      </c>
      <c r="G4927" s="23" t="s">
        <v>75</v>
      </c>
      <c r="H4927" s="24">
        <v>2098</v>
      </c>
      <c r="I4927" s="24">
        <v>6.29</v>
      </c>
      <c r="J4927" s="24">
        <v>1.1299999999999999</v>
      </c>
      <c r="K4927" s="24">
        <v>2090.58</v>
      </c>
      <c r="L4927" s="38">
        <v>46294</v>
      </c>
      <c r="M4927" s="23" t="s">
        <v>229</v>
      </c>
      <c r="N4927" s="23" t="str">
        <f>IF(COUNTIF($A$2:A4927,A4927)&gt;1,"DUP","OK")</f>
        <v>OK</v>
      </c>
      <c r="O4927" s="23" t="str">
        <f t="shared" si="229"/>
        <v>ORD26000141</v>
      </c>
      <c r="P4927" s="23" t="str">
        <f t="shared" si="230"/>
        <v>Sep</v>
      </c>
      <c r="Q4927" s="23" t="str">
        <f>IF(F4927="CAPTURE",IF(COUNTIF(orders!$A:$A,O4927)&gt;0,"Yes","NO ORDER"),"")</f>
        <v>Yes</v>
      </c>
    </row>
    <row r="4928" spans="1:17" ht="15" customHeight="1" x14ac:dyDescent="0.3">
      <c r="A4928" s="23" t="s">
        <v>18082</v>
      </c>
      <c r="B4928" s="23"/>
      <c r="C4928" s="23" t="s">
        <v>18083</v>
      </c>
      <c r="D4928" s="23" t="str">
        <f t="shared" si="228"/>
        <v>ORD26000161</v>
      </c>
      <c r="E4928" s="38">
        <v>46292</v>
      </c>
      <c r="F4928" s="23" t="s">
        <v>12410</v>
      </c>
      <c r="G4928" s="23" t="s">
        <v>79</v>
      </c>
      <c r="H4928" s="24">
        <v>2397</v>
      </c>
      <c r="I4928" s="24">
        <v>38.35</v>
      </c>
      <c r="J4928" s="24">
        <v>6.9</v>
      </c>
      <c r="K4928" s="24">
        <v>2351.75</v>
      </c>
      <c r="L4928" s="38">
        <v>46294</v>
      </c>
      <c r="M4928" s="23" t="s">
        <v>229</v>
      </c>
      <c r="N4928" s="23" t="str">
        <f>IF(COUNTIF($A$2:A4928,A4928)&gt;1,"DUP","OK")</f>
        <v>OK</v>
      </c>
      <c r="O4928" s="23" t="str">
        <f t="shared" si="229"/>
        <v>ORD26000161</v>
      </c>
      <c r="P4928" s="23" t="str">
        <f t="shared" si="230"/>
        <v>Sep</v>
      </c>
      <c r="Q4928" s="23" t="str">
        <f>IF(F4928="CAPTURE",IF(COUNTIF(orders!$A:$A,O4928)&gt;0,"Yes","NO ORDER"),"")</f>
        <v>Yes</v>
      </c>
    </row>
    <row r="4929" spans="1:17" ht="15" customHeight="1" x14ac:dyDescent="0.3">
      <c r="A4929" s="23" t="s">
        <v>18084</v>
      </c>
      <c r="B4929" s="23"/>
      <c r="C4929" s="23" t="s">
        <v>18085</v>
      </c>
      <c r="D4929" s="23" t="str">
        <f t="shared" si="228"/>
        <v>ORD26000223</v>
      </c>
      <c r="E4929" s="38">
        <v>46292</v>
      </c>
      <c r="F4929" s="23" t="s">
        <v>12410</v>
      </c>
      <c r="G4929" s="23" t="s">
        <v>75</v>
      </c>
      <c r="H4929" s="24">
        <v>6797</v>
      </c>
      <c r="I4929" s="24">
        <v>20.39</v>
      </c>
      <c r="J4929" s="24">
        <v>3.67</v>
      </c>
      <c r="K4929" s="24">
        <v>6772.94</v>
      </c>
      <c r="L4929" s="38">
        <v>46294</v>
      </c>
      <c r="M4929" s="23" t="s">
        <v>229</v>
      </c>
      <c r="N4929" s="23" t="str">
        <f>IF(COUNTIF($A$2:A4929,A4929)&gt;1,"DUP","OK")</f>
        <v>OK</v>
      </c>
      <c r="O4929" s="23" t="str">
        <f t="shared" si="229"/>
        <v>ORD26000223</v>
      </c>
      <c r="P4929" s="23" t="str">
        <f t="shared" si="230"/>
        <v>Sep</v>
      </c>
      <c r="Q4929" s="23" t="str">
        <f>IF(F4929="CAPTURE",IF(COUNTIF(orders!$A:$A,O4929)&gt;0,"Yes","NO ORDER"),"")</f>
        <v>Yes</v>
      </c>
    </row>
    <row r="4930" spans="1:17" ht="15" customHeight="1" x14ac:dyDescent="0.3">
      <c r="A4930" s="23" t="s">
        <v>18086</v>
      </c>
      <c r="B4930" s="23"/>
      <c r="C4930" s="23" t="s">
        <v>845</v>
      </c>
      <c r="D4930" s="23" t="str">
        <f t="shared" ref="D4930:D4993" si="231">UPPER(SUBSTITUTE(TRIM(C4930),"-",""))</f>
        <v>ORD26000242</v>
      </c>
      <c r="E4930" s="38">
        <v>46292</v>
      </c>
      <c r="F4930" s="23" t="s">
        <v>12410</v>
      </c>
      <c r="G4930" s="23" t="s">
        <v>77</v>
      </c>
      <c r="H4930" s="24">
        <v>948</v>
      </c>
      <c r="I4930" s="24">
        <v>18.010000000000002</v>
      </c>
      <c r="J4930" s="24">
        <v>3.24</v>
      </c>
      <c r="K4930" s="24">
        <v>926.75</v>
      </c>
      <c r="L4930" s="38">
        <v>46294</v>
      </c>
      <c r="M4930" s="23" t="s">
        <v>229</v>
      </c>
      <c r="N4930" s="23" t="str">
        <f>IF(COUNTIF($A$2:A4930,A4930)&gt;1,"DUP","OK")</f>
        <v>OK</v>
      </c>
      <c r="O4930" s="23" t="str">
        <f t="shared" ref="O4930:O4993" si="232">IF(F4930="REFUND",INDEX($D:$D,MATCH(B4930,$A:$A,0)),D4930)</f>
        <v>ORD26000242</v>
      </c>
      <c r="P4930" s="23" t="str">
        <f t="shared" ref="P4930:P4993" si="233">IF(L4930&gt;DATE(2026,9,30),"Oct-Due","Sep")</f>
        <v>Sep</v>
      </c>
      <c r="Q4930" s="23" t="str">
        <f>IF(F4930="CAPTURE",IF(COUNTIF(orders!$A:$A,O4930)&gt;0,"Yes","NO ORDER"),"")</f>
        <v>Yes</v>
      </c>
    </row>
    <row r="4931" spans="1:17" ht="15" customHeight="1" x14ac:dyDescent="0.3">
      <c r="A4931" s="23" t="s">
        <v>18087</v>
      </c>
      <c r="B4931" s="23"/>
      <c r="C4931" s="23" t="s">
        <v>859</v>
      </c>
      <c r="D4931" s="23" t="str">
        <f t="shared" si="231"/>
        <v>ORD26000249</v>
      </c>
      <c r="E4931" s="38">
        <v>46292</v>
      </c>
      <c r="F4931" s="23" t="s">
        <v>12410</v>
      </c>
      <c r="G4931" s="23" t="s">
        <v>75</v>
      </c>
      <c r="H4931" s="24">
        <v>4298</v>
      </c>
      <c r="I4931" s="24">
        <v>12.89</v>
      </c>
      <c r="J4931" s="24">
        <v>2.3199999999999998</v>
      </c>
      <c r="K4931" s="24">
        <v>4282.79</v>
      </c>
      <c r="L4931" s="38">
        <v>46294</v>
      </c>
      <c r="M4931" s="23" t="s">
        <v>229</v>
      </c>
      <c r="N4931" s="23" t="str">
        <f>IF(COUNTIF($A$2:A4931,A4931)&gt;1,"DUP","OK")</f>
        <v>OK</v>
      </c>
      <c r="O4931" s="23" t="str">
        <f t="shared" si="232"/>
        <v>ORD26000249</v>
      </c>
      <c r="P4931" s="23" t="str">
        <f t="shared" si="233"/>
        <v>Sep</v>
      </c>
      <c r="Q4931" s="23" t="str">
        <f>IF(F4931="CAPTURE",IF(COUNTIF(orders!$A:$A,O4931)&gt;0,"Yes","NO ORDER"),"")</f>
        <v>Yes</v>
      </c>
    </row>
    <row r="4932" spans="1:17" ht="15" customHeight="1" x14ac:dyDescent="0.3">
      <c r="A4932" s="23" t="s">
        <v>18088</v>
      </c>
      <c r="B4932" s="23"/>
      <c r="C4932" s="23" t="s">
        <v>871</v>
      </c>
      <c r="D4932" s="23" t="str">
        <f t="shared" si="231"/>
        <v>ORD26000255</v>
      </c>
      <c r="E4932" s="38">
        <v>46292</v>
      </c>
      <c r="F4932" s="23" t="s">
        <v>12410</v>
      </c>
      <c r="G4932" s="23" t="s">
        <v>77</v>
      </c>
      <c r="H4932" s="24">
        <v>13497</v>
      </c>
      <c r="I4932" s="24">
        <v>229.45</v>
      </c>
      <c r="J4932" s="24">
        <v>41.3</v>
      </c>
      <c r="K4932" s="24">
        <v>13226.25</v>
      </c>
      <c r="L4932" s="38">
        <v>46294</v>
      </c>
      <c r="M4932" s="23" t="s">
        <v>229</v>
      </c>
      <c r="N4932" s="23" t="str">
        <f>IF(COUNTIF($A$2:A4932,A4932)&gt;1,"DUP","OK")</f>
        <v>OK</v>
      </c>
      <c r="O4932" s="23" t="str">
        <f t="shared" si="232"/>
        <v>ORD26000255</v>
      </c>
      <c r="P4932" s="23" t="str">
        <f t="shared" si="233"/>
        <v>Sep</v>
      </c>
      <c r="Q4932" s="23" t="str">
        <f>IF(F4932="CAPTURE",IF(COUNTIF(orders!$A:$A,O4932)&gt;0,"Yes","NO ORDER"),"")</f>
        <v>Yes</v>
      </c>
    </row>
    <row r="4933" spans="1:17" ht="15" customHeight="1" x14ac:dyDescent="0.3">
      <c r="A4933" s="23" t="s">
        <v>18089</v>
      </c>
      <c r="B4933" s="23"/>
      <c r="C4933" s="23" t="s">
        <v>874</v>
      </c>
      <c r="D4933" s="23" t="str">
        <f t="shared" si="231"/>
        <v>ORD26000256</v>
      </c>
      <c r="E4933" s="38">
        <v>46292</v>
      </c>
      <c r="F4933" s="23" t="s">
        <v>12410</v>
      </c>
      <c r="G4933" s="23" t="s">
        <v>77</v>
      </c>
      <c r="H4933" s="24">
        <v>349</v>
      </c>
      <c r="I4933" s="24">
        <v>6.63</v>
      </c>
      <c r="J4933" s="24">
        <v>1.19</v>
      </c>
      <c r="K4933" s="24">
        <v>341.18</v>
      </c>
      <c r="L4933" s="38">
        <v>46294</v>
      </c>
      <c r="M4933" s="23" t="s">
        <v>229</v>
      </c>
      <c r="N4933" s="23" t="str">
        <f>IF(COUNTIF($A$2:A4933,A4933)&gt;1,"DUP","OK")</f>
        <v>OK</v>
      </c>
      <c r="O4933" s="23" t="str">
        <f t="shared" si="232"/>
        <v>ORD26000256</v>
      </c>
      <c r="P4933" s="23" t="str">
        <f t="shared" si="233"/>
        <v>Sep</v>
      </c>
      <c r="Q4933" s="23" t="str">
        <f>IF(F4933="CAPTURE",IF(COUNTIF(orders!$A:$A,O4933)&gt;0,"Yes","NO ORDER"),"")</f>
        <v>Yes</v>
      </c>
    </row>
    <row r="4934" spans="1:17" ht="15" customHeight="1" x14ac:dyDescent="0.3">
      <c r="A4934" s="23" t="s">
        <v>18090</v>
      </c>
      <c r="B4934" s="23"/>
      <c r="C4934" s="23" t="s">
        <v>916</v>
      </c>
      <c r="D4934" s="23" t="str">
        <f t="shared" si="231"/>
        <v>ORD26000276</v>
      </c>
      <c r="E4934" s="38">
        <v>46292</v>
      </c>
      <c r="F4934" s="23" t="s">
        <v>12410</v>
      </c>
      <c r="G4934" s="23" t="s">
        <v>75</v>
      </c>
      <c r="H4934" s="24">
        <v>1298</v>
      </c>
      <c r="I4934" s="24">
        <v>0</v>
      </c>
      <c r="J4934" s="24">
        <v>0</v>
      </c>
      <c r="K4934" s="24">
        <v>1298</v>
      </c>
      <c r="L4934" s="38">
        <v>46294</v>
      </c>
      <c r="M4934" s="23" t="s">
        <v>229</v>
      </c>
      <c r="N4934" s="23" t="str">
        <f>IF(COUNTIF($A$2:A4934,A4934)&gt;1,"DUP","OK")</f>
        <v>OK</v>
      </c>
      <c r="O4934" s="23" t="str">
        <f t="shared" si="232"/>
        <v>ORD26000276</v>
      </c>
      <c r="P4934" s="23" t="str">
        <f t="shared" si="233"/>
        <v>Sep</v>
      </c>
      <c r="Q4934" s="23" t="str">
        <f>IF(F4934="CAPTURE",IF(COUNTIF(orders!$A:$A,O4934)&gt;0,"Yes","NO ORDER"),"")</f>
        <v>Yes</v>
      </c>
    </row>
    <row r="4935" spans="1:17" ht="15" customHeight="1" x14ac:dyDescent="0.3">
      <c r="A4935" s="23" t="s">
        <v>18091</v>
      </c>
      <c r="B4935" s="23"/>
      <c r="C4935" s="23" t="s">
        <v>977</v>
      </c>
      <c r="D4935" s="23" t="str">
        <f t="shared" si="231"/>
        <v>ORD26000305</v>
      </c>
      <c r="E4935" s="38">
        <v>46292</v>
      </c>
      <c r="F4935" s="23" t="s">
        <v>12410</v>
      </c>
      <c r="G4935" s="23" t="s">
        <v>75</v>
      </c>
      <c r="H4935" s="24">
        <v>999</v>
      </c>
      <c r="I4935" s="24">
        <v>0</v>
      </c>
      <c r="J4935" s="24">
        <v>0</v>
      </c>
      <c r="K4935" s="24">
        <v>999</v>
      </c>
      <c r="L4935" s="38">
        <v>46294</v>
      </c>
      <c r="M4935" s="23" t="s">
        <v>229</v>
      </c>
      <c r="N4935" s="23" t="str">
        <f>IF(COUNTIF($A$2:A4935,A4935)&gt;1,"DUP","OK")</f>
        <v>OK</v>
      </c>
      <c r="O4935" s="23" t="str">
        <f t="shared" si="232"/>
        <v>ORD26000305</v>
      </c>
      <c r="P4935" s="23" t="str">
        <f t="shared" si="233"/>
        <v>Sep</v>
      </c>
      <c r="Q4935" s="23" t="str">
        <f>IF(F4935="CAPTURE",IF(COUNTIF(orders!$A:$A,O4935)&gt;0,"Yes","NO ORDER"),"")</f>
        <v>Yes</v>
      </c>
    </row>
    <row r="4936" spans="1:17" ht="15" customHeight="1" x14ac:dyDescent="0.3">
      <c r="A4936" s="23" t="s">
        <v>18092</v>
      </c>
      <c r="B4936" s="23"/>
      <c r="C4936" s="23" t="s">
        <v>1182</v>
      </c>
      <c r="D4936" s="23" t="str">
        <f t="shared" si="231"/>
        <v>ORD26000399</v>
      </c>
      <c r="E4936" s="38">
        <v>46292</v>
      </c>
      <c r="F4936" s="23" t="s">
        <v>12410</v>
      </c>
      <c r="G4936" s="23" t="s">
        <v>75</v>
      </c>
      <c r="H4936" s="24">
        <v>6298</v>
      </c>
      <c r="I4936" s="24">
        <v>18.89</v>
      </c>
      <c r="J4936" s="24">
        <v>3.4</v>
      </c>
      <c r="K4936" s="24">
        <v>6275.71</v>
      </c>
      <c r="L4936" s="38">
        <v>46294</v>
      </c>
      <c r="M4936" s="23" t="s">
        <v>229</v>
      </c>
      <c r="N4936" s="23" t="str">
        <f>IF(COUNTIF($A$2:A4936,A4936)&gt;1,"DUP","OK")</f>
        <v>OK</v>
      </c>
      <c r="O4936" s="23" t="str">
        <f t="shared" si="232"/>
        <v>ORD26000399</v>
      </c>
      <c r="P4936" s="23" t="str">
        <f t="shared" si="233"/>
        <v>Sep</v>
      </c>
      <c r="Q4936" s="23" t="str">
        <f>IF(F4936="CAPTURE",IF(COUNTIF(orders!$A:$A,O4936)&gt;0,"Yes","NO ORDER"),"")</f>
        <v>Yes</v>
      </c>
    </row>
    <row r="4937" spans="1:17" ht="15" customHeight="1" x14ac:dyDescent="0.3">
      <c r="A4937" s="23" t="s">
        <v>18093</v>
      </c>
      <c r="B4937" s="23"/>
      <c r="C4937" s="23" t="s">
        <v>1318</v>
      </c>
      <c r="D4937" s="23" t="str">
        <f t="shared" si="231"/>
        <v>ORD26000461</v>
      </c>
      <c r="E4937" s="38">
        <v>46292</v>
      </c>
      <c r="F4937" s="23" t="s">
        <v>12410</v>
      </c>
      <c r="G4937" s="23" t="s">
        <v>75</v>
      </c>
      <c r="H4937" s="24">
        <v>1499</v>
      </c>
      <c r="I4937" s="24">
        <v>0</v>
      </c>
      <c r="J4937" s="24">
        <v>0</v>
      </c>
      <c r="K4937" s="24">
        <v>1499</v>
      </c>
      <c r="L4937" s="38">
        <v>46294</v>
      </c>
      <c r="M4937" s="23" t="s">
        <v>229</v>
      </c>
      <c r="N4937" s="23" t="str">
        <f>IF(COUNTIF($A$2:A4937,A4937)&gt;1,"DUP","OK")</f>
        <v>OK</v>
      </c>
      <c r="O4937" s="23" t="str">
        <f t="shared" si="232"/>
        <v>ORD26000461</v>
      </c>
      <c r="P4937" s="23" t="str">
        <f t="shared" si="233"/>
        <v>Sep</v>
      </c>
      <c r="Q4937" s="23" t="str">
        <f>IF(F4937="CAPTURE",IF(COUNTIF(orders!$A:$A,O4937)&gt;0,"Yes","NO ORDER"),"")</f>
        <v>Yes</v>
      </c>
    </row>
    <row r="4938" spans="1:17" ht="15" customHeight="1" x14ac:dyDescent="0.3">
      <c r="A4938" s="23" t="s">
        <v>18094</v>
      </c>
      <c r="B4938" s="23"/>
      <c r="C4938" s="23" t="s">
        <v>1357</v>
      </c>
      <c r="D4938" s="23" t="str">
        <f t="shared" si="231"/>
        <v>ORD26000479</v>
      </c>
      <c r="E4938" s="38">
        <v>46292</v>
      </c>
      <c r="F4938" s="23" t="s">
        <v>12410</v>
      </c>
      <c r="G4938" s="23" t="s">
        <v>75</v>
      </c>
      <c r="H4938" s="24">
        <v>1598</v>
      </c>
      <c r="I4938" s="24">
        <v>0</v>
      </c>
      <c r="J4938" s="24">
        <v>0</v>
      </c>
      <c r="K4938" s="24">
        <v>1598</v>
      </c>
      <c r="L4938" s="38">
        <v>46294</v>
      </c>
      <c r="M4938" s="23" t="s">
        <v>229</v>
      </c>
      <c r="N4938" s="23" t="str">
        <f>IF(COUNTIF($A$2:A4938,A4938)&gt;1,"DUP","OK")</f>
        <v>OK</v>
      </c>
      <c r="O4938" s="23" t="str">
        <f t="shared" si="232"/>
        <v>ORD26000479</v>
      </c>
      <c r="P4938" s="23" t="str">
        <f t="shared" si="233"/>
        <v>Sep</v>
      </c>
      <c r="Q4938" s="23" t="str">
        <f>IF(F4938="CAPTURE",IF(COUNTIF(orders!$A:$A,O4938)&gt;0,"Yes","NO ORDER"),"")</f>
        <v>Yes</v>
      </c>
    </row>
    <row r="4939" spans="1:17" ht="15" customHeight="1" x14ac:dyDescent="0.3">
      <c r="A4939" s="23" t="s">
        <v>18095</v>
      </c>
      <c r="B4939" s="23"/>
      <c r="C4939" s="23" t="s">
        <v>18096</v>
      </c>
      <c r="D4939" s="23" t="str">
        <f t="shared" si="231"/>
        <v>ORD26000504</v>
      </c>
      <c r="E4939" s="38">
        <v>46292</v>
      </c>
      <c r="F4939" s="23" t="s">
        <v>12410</v>
      </c>
      <c r="G4939" s="23" t="s">
        <v>75</v>
      </c>
      <c r="H4939" s="24">
        <v>4297</v>
      </c>
      <c r="I4939" s="24">
        <v>12.89</v>
      </c>
      <c r="J4939" s="24">
        <v>2.3199999999999998</v>
      </c>
      <c r="K4939" s="24">
        <v>4281.79</v>
      </c>
      <c r="L4939" s="38">
        <v>46294</v>
      </c>
      <c r="M4939" s="23" t="s">
        <v>229</v>
      </c>
      <c r="N4939" s="23" t="str">
        <f>IF(COUNTIF($A$2:A4939,A4939)&gt;1,"DUP","OK")</f>
        <v>OK</v>
      </c>
      <c r="O4939" s="23" t="str">
        <f t="shared" si="232"/>
        <v>ORD26000504</v>
      </c>
      <c r="P4939" s="23" t="str">
        <f t="shared" si="233"/>
        <v>Sep</v>
      </c>
      <c r="Q4939" s="23" t="str">
        <f>IF(F4939="CAPTURE",IF(COUNTIF(orders!$A:$A,O4939)&gt;0,"Yes","NO ORDER"),"")</f>
        <v>Yes</v>
      </c>
    </row>
    <row r="4940" spans="1:17" ht="15" customHeight="1" x14ac:dyDescent="0.3">
      <c r="A4940" s="23" t="s">
        <v>18097</v>
      </c>
      <c r="B4940" s="23"/>
      <c r="C4940" s="23" t="s">
        <v>1486</v>
      </c>
      <c r="D4940" s="23" t="str">
        <f t="shared" si="231"/>
        <v>ORD26000537</v>
      </c>
      <c r="E4940" s="38">
        <v>46292</v>
      </c>
      <c r="F4940" s="23" t="s">
        <v>12410</v>
      </c>
      <c r="G4940" s="23" t="s">
        <v>79</v>
      </c>
      <c r="H4940" s="24">
        <v>6298</v>
      </c>
      <c r="I4940" s="24">
        <v>100.77</v>
      </c>
      <c r="J4940" s="24">
        <v>18.14</v>
      </c>
      <c r="K4940" s="24">
        <v>6179.09</v>
      </c>
      <c r="L4940" s="38">
        <v>46294</v>
      </c>
      <c r="M4940" s="23" t="s">
        <v>229</v>
      </c>
      <c r="N4940" s="23" t="str">
        <f>IF(COUNTIF($A$2:A4940,A4940)&gt;1,"DUP","OK")</f>
        <v>OK</v>
      </c>
      <c r="O4940" s="23" t="str">
        <f t="shared" si="232"/>
        <v>ORD26000537</v>
      </c>
      <c r="P4940" s="23" t="str">
        <f t="shared" si="233"/>
        <v>Sep</v>
      </c>
      <c r="Q4940" s="23" t="str">
        <f>IF(F4940="CAPTURE",IF(COUNTIF(orders!$A:$A,O4940)&gt;0,"Yes","NO ORDER"),"")</f>
        <v>Yes</v>
      </c>
    </row>
    <row r="4941" spans="1:17" ht="15" customHeight="1" x14ac:dyDescent="0.3">
      <c r="A4941" s="23" t="s">
        <v>18098</v>
      </c>
      <c r="B4941" s="23"/>
      <c r="C4941" s="23" t="s">
        <v>1546</v>
      </c>
      <c r="D4941" s="23" t="str">
        <f t="shared" si="231"/>
        <v>ORD26000564</v>
      </c>
      <c r="E4941" s="38">
        <v>46292</v>
      </c>
      <c r="F4941" s="23" t="s">
        <v>12410</v>
      </c>
      <c r="G4941" s="23" t="s">
        <v>75</v>
      </c>
      <c r="H4941" s="24">
        <v>3798</v>
      </c>
      <c r="I4941" s="24">
        <v>11.39</v>
      </c>
      <c r="J4941" s="24">
        <v>2.0499999999999998</v>
      </c>
      <c r="K4941" s="24">
        <v>3784.56</v>
      </c>
      <c r="L4941" s="38">
        <v>46294</v>
      </c>
      <c r="M4941" s="23" t="s">
        <v>229</v>
      </c>
      <c r="N4941" s="23" t="str">
        <f>IF(COUNTIF($A$2:A4941,A4941)&gt;1,"DUP","OK")</f>
        <v>OK</v>
      </c>
      <c r="O4941" s="23" t="str">
        <f t="shared" si="232"/>
        <v>ORD26000564</v>
      </c>
      <c r="P4941" s="23" t="str">
        <f t="shared" si="233"/>
        <v>Sep</v>
      </c>
      <c r="Q4941" s="23" t="str">
        <f>IF(F4941="CAPTURE",IF(COUNTIF(orders!$A:$A,O4941)&gt;0,"Yes","NO ORDER"),"")</f>
        <v>Yes</v>
      </c>
    </row>
    <row r="4942" spans="1:17" ht="15" customHeight="1" x14ac:dyDescent="0.3">
      <c r="A4942" s="23" t="s">
        <v>18099</v>
      </c>
      <c r="B4942" s="23"/>
      <c r="C4942" s="23" t="s">
        <v>1567</v>
      </c>
      <c r="D4942" s="23" t="str">
        <f t="shared" si="231"/>
        <v>ORD26000574</v>
      </c>
      <c r="E4942" s="38">
        <v>46292</v>
      </c>
      <c r="F4942" s="23" t="s">
        <v>12410</v>
      </c>
      <c r="G4942" s="23" t="s">
        <v>75</v>
      </c>
      <c r="H4942" s="24">
        <v>999</v>
      </c>
      <c r="I4942" s="24">
        <v>0</v>
      </c>
      <c r="J4942" s="24">
        <v>0</v>
      </c>
      <c r="K4942" s="24">
        <v>999</v>
      </c>
      <c r="L4942" s="38">
        <v>46294</v>
      </c>
      <c r="M4942" s="23" t="s">
        <v>229</v>
      </c>
      <c r="N4942" s="23" t="str">
        <f>IF(COUNTIF($A$2:A4942,A4942)&gt;1,"DUP","OK")</f>
        <v>OK</v>
      </c>
      <c r="O4942" s="23" t="str">
        <f t="shared" si="232"/>
        <v>ORD26000574</v>
      </c>
      <c r="P4942" s="23" t="str">
        <f t="shared" si="233"/>
        <v>Sep</v>
      </c>
      <c r="Q4942" s="23" t="str">
        <f>IF(F4942="CAPTURE",IF(COUNTIF(orders!$A:$A,O4942)&gt;0,"Yes","NO ORDER"),"")</f>
        <v>Yes</v>
      </c>
    </row>
    <row r="4943" spans="1:17" ht="15" customHeight="1" x14ac:dyDescent="0.3">
      <c r="A4943" s="23" t="s">
        <v>18100</v>
      </c>
      <c r="B4943" s="23"/>
      <c r="C4943" s="23" t="s">
        <v>1629</v>
      </c>
      <c r="D4943" s="23" t="str">
        <f t="shared" si="231"/>
        <v>ORD26000602</v>
      </c>
      <c r="E4943" s="38">
        <v>46292</v>
      </c>
      <c r="F4943" s="23" t="s">
        <v>12410</v>
      </c>
      <c r="G4943" s="23" t="s">
        <v>75</v>
      </c>
      <c r="H4943" s="24">
        <v>499</v>
      </c>
      <c r="I4943" s="24">
        <v>0</v>
      </c>
      <c r="J4943" s="24">
        <v>0</v>
      </c>
      <c r="K4943" s="24">
        <v>499</v>
      </c>
      <c r="L4943" s="38">
        <v>46294</v>
      </c>
      <c r="M4943" s="23" t="s">
        <v>229</v>
      </c>
      <c r="N4943" s="23" t="str">
        <f>IF(COUNTIF($A$2:A4943,A4943)&gt;1,"DUP","OK")</f>
        <v>OK</v>
      </c>
      <c r="O4943" s="23" t="str">
        <f t="shared" si="232"/>
        <v>ORD26000602</v>
      </c>
      <c r="P4943" s="23" t="str">
        <f t="shared" si="233"/>
        <v>Sep</v>
      </c>
      <c r="Q4943" s="23" t="str">
        <f>IF(F4943="CAPTURE",IF(COUNTIF(orders!$A:$A,O4943)&gt;0,"Yes","NO ORDER"),"")</f>
        <v>Yes</v>
      </c>
    </row>
    <row r="4944" spans="1:17" ht="15" customHeight="1" x14ac:dyDescent="0.3">
      <c r="A4944" s="23" t="s">
        <v>18101</v>
      </c>
      <c r="B4944" s="23"/>
      <c r="C4944" s="23" t="s">
        <v>1663</v>
      </c>
      <c r="D4944" s="23" t="str">
        <f t="shared" si="231"/>
        <v>ORD26000617</v>
      </c>
      <c r="E4944" s="38">
        <v>46292</v>
      </c>
      <c r="F4944" s="23" t="s">
        <v>12410</v>
      </c>
      <c r="G4944" s="23" t="s">
        <v>75</v>
      </c>
      <c r="H4944" s="24">
        <v>7999</v>
      </c>
      <c r="I4944" s="24">
        <v>24</v>
      </c>
      <c r="J4944" s="24">
        <v>4.32</v>
      </c>
      <c r="K4944" s="24">
        <v>7970.68</v>
      </c>
      <c r="L4944" s="38">
        <v>46294</v>
      </c>
      <c r="M4944" s="23" t="s">
        <v>229</v>
      </c>
      <c r="N4944" s="23" t="str">
        <f>IF(COUNTIF($A$2:A4944,A4944)&gt;1,"DUP","OK")</f>
        <v>OK</v>
      </c>
      <c r="O4944" s="23" t="str">
        <f t="shared" si="232"/>
        <v>ORD26000617</v>
      </c>
      <c r="P4944" s="23" t="str">
        <f t="shared" si="233"/>
        <v>Sep</v>
      </c>
      <c r="Q4944" s="23" t="str">
        <f>IF(F4944="CAPTURE",IF(COUNTIF(orders!$A:$A,O4944)&gt;0,"Yes","NO ORDER"),"")</f>
        <v>Yes</v>
      </c>
    </row>
    <row r="4945" spans="1:17" ht="15" customHeight="1" x14ac:dyDescent="0.3">
      <c r="A4945" s="23" t="s">
        <v>18102</v>
      </c>
      <c r="B4945" s="23"/>
      <c r="C4945" s="23" t="s">
        <v>18103</v>
      </c>
      <c r="D4945" s="23" t="str">
        <f t="shared" si="231"/>
        <v>ORD26000698</v>
      </c>
      <c r="E4945" s="38">
        <v>46292</v>
      </c>
      <c r="F4945" s="23" t="s">
        <v>12410</v>
      </c>
      <c r="G4945" s="23" t="s">
        <v>75</v>
      </c>
      <c r="H4945" s="24">
        <v>2499</v>
      </c>
      <c r="I4945" s="24">
        <v>7.5</v>
      </c>
      <c r="J4945" s="24">
        <v>1.35</v>
      </c>
      <c r="K4945" s="24">
        <v>2490.15</v>
      </c>
      <c r="L4945" s="38">
        <v>46294</v>
      </c>
      <c r="M4945" s="23" t="s">
        <v>229</v>
      </c>
      <c r="N4945" s="23" t="str">
        <f>IF(COUNTIF($A$2:A4945,A4945)&gt;1,"DUP","OK")</f>
        <v>OK</v>
      </c>
      <c r="O4945" s="23" t="str">
        <f t="shared" si="232"/>
        <v>ORD26000698</v>
      </c>
      <c r="P4945" s="23" t="str">
        <f t="shared" si="233"/>
        <v>Sep</v>
      </c>
      <c r="Q4945" s="23" t="str">
        <f>IF(F4945="CAPTURE",IF(COUNTIF(orders!$A:$A,O4945)&gt;0,"Yes","NO ORDER"),"")</f>
        <v>Yes</v>
      </c>
    </row>
    <row r="4946" spans="1:17" ht="15" customHeight="1" x14ac:dyDescent="0.3">
      <c r="A4946" s="23" t="s">
        <v>18104</v>
      </c>
      <c r="B4946" s="23"/>
      <c r="C4946" s="23" t="s">
        <v>1973</v>
      </c>
      <c r="D4946" s="23" t="str">
        <f t="shared" si="231"/>
        <v>ORD26000766</v>
      </c>
      <c r="E4946" s="38">
        <v>46292</v>
      </c>
      <c r="F4946" s="23" t="s">
        <v>12410</v>
      </c>
      <c r="G4946" s="23" t="s">
        <v>79</v>
      </c>
      <c r="H4946" s="24">
        <v>1398</v>
      </c>
      <c r="I4946" s="24">
        <v>25.16</v>
      </c>
      <c r="J4946" s="24">
        <v>4.53</v>
      </c>
      <c r="K4946" s="24">
        <v>1368.31</v>
      </c>
      <c r="L4946" s="38">
        <v>46294</v>
      </c>
      <c r="M4946" s="23" t="s">
        <v>229</v>
      </c>
      <c r="N4946" s="23" t="str">
        <f>IF(COUNTIF($A$2:A4946,A4946)&gt;1,"DUP","OK")</f>
        <v>OK</v>
      </c>
      <c r="O4946" s="23" t="str">
        <f t="shared" si="232"/>
        <v>ORD26000766</v>
      </c>
      <c r="P4946" s="23" t="str">
        <f t="shared" si="233"/>
        <v>Sep</v>
      </c>
      <c r="Q4946" s="23" t="str">
        <f>IF(F4946="CAPTURE",IF(COUNTIF(orders!$A:$A,O4946)&gt;0,"Yes","NO ORDER"),"")</f>
        <v>Yes</v>
      </c>
    </row>
    <row r="4947" spans="1:17" ht="15" customHeight="1" x14ac:dyDescent="0.3">
      <c r="A4947" s="23" t="s">
        <v>18105</v>
      </c>
      <c r="B4947" s="23"/>
      <c r="C4947" s="23" t="s">
        <v>18106</v>
      </c>
      <c r="D4947" s="23" t="str">
        <f t="shared" si="231"/>
        <v>ORD26000790</v>
      </c>
      <c r="E4947" s="38">
        <v>46292</v>
      </c>
      <c r="F4947" s="23" t="s">
        <v>12410</v>
      </c>
      <c r="G4947" s="23" t="s">
        <v>79</v>
      </c>
      <c r="H4947" s="24">
        <v>2398</v>
      </c>
      <c r="I4947" s="24">
        <v>38.369999999999997</v>
      </c>
      <c r="J4947" s="24">
        <v>6.91</v>
      </c>
      <c r="K4947" s="24">
        <v>2352.7199999999998</v>
      </c>
      <c r="L4947" s="38">
        <v>46294</v>
      </c>
      <c r="M4947" s="23" t="s">
        <v>229</v>
      </c>
      <c r="N4947" s="23" t="str">
        <f>IF(COUNTIF($A$2:A4947,A4947)&gt;1,"DUP","OK")</f>
        <v>OK</v>
      </c>
      <c r="O4947" s="23" t="str">
        <f t="shared" si="232"/>
        <v>ORD26000790</v>
      </c>
      <c r="P4947" s="23" t="str">
        <f t="shared" si="233"/>
        <v>Sep</v>
      </c>
      <c r="Q4947" s="23" t="str">
        <f>IF(F4947="CAPTURE",IF(COUNTIF(orders!$A:$A,O4947)&gt;0,"Yes","NO ORDER"),"")</f>
        <v>Yes</v>
      </c>
    </row>
    <row r="4948" spans="1:17" ht="15" customHeight="1" x14ac:dyDescent="0.3">
      <c r="A4948" s="23" t="s">
        <v>18107</v>
      </c>
      <c r="B4948" s="23"/>
      <c r="C4948" s="23" t="s">
        <v>2041</v>
      </c>
      <c r="D4948" s="23" t="str">
        <f t="shared" si="231"/>
        <v>ORD26000797</v>
      </c>
      <c r="E4948" s="38">
        <v>46292</v>
      </c>
      <c r="F4948" s="23" t="s">
        <v>12410</v>
      </c>
      <c r="G4948" s="23" t="s">
        <v>75</v>
      </c>
      <c r="H4948" s="24">
        <v>2598</v>
      </c>
      <c r="I4948" s="24">
        <v>7.79</v>
      </c>
      <c r="J4948" s="24">
        <v>1.4</v>
      </c>
      <c r="K4948" s="24">
        <v>2588.81</v>
      </c>
      <c r="L4948" s="38">
        <v>46294</v>
      </c>
      <c r="M4948" s="23" t="s">
        <v>229</v>
      </c>
      <c r="N4948" s="23" t="str">
        <f>IF(COUNTIF($A$2:A4948,A4948)&gt;1,"DUP","OK")</f>
        <v>OK</v>
      </c>
      <c r="O4948" s="23" t="str">
        <f t="shared" si="232"/>
        <v>ORD26000797</v>
      </c>
      <c r="P4948" s="23" t="str">
        <f t="shared" si="233"/>
        <v>Sep</v>
      </c>
      <c r="Q4948" s="23" t="str">
        <f>IF(F4948="CAPTURE",IF(COUNTIF(orders!$A:$A,O4948)&gt;0,"Yes","NO ORDER"),"")</f>
        <v>Yes</v>
      </c>
    </row>
    <row r="4949" spans="1:17" ht="15" customHeight="1" x14ac:dyDescent="0.3">
      <c r="A4949" s="23" t="s">
        <v>18108</v>
      </c>
      <c r="B4949" s="23"/>
      <c r="C4949" s="23" t="s">
        <v>2156</v>
      </c>
      <c r="D4949" s="23" t="str">
        <f t="shared" si="231"/>
        <v>ORD26000853</v>
      </c>
      <c r="E4949" s="38">
        <v>46292</v>
      </c>
      <c r="F4949" s="23" t="s">
        <v>12410</v>
      </c>
      <c r="G4949" s="23" t="s">
        <v>75</v>
      </c>
      <c r="H4949" s="24">
        <v>599</v>
      </c>
      <c r="I4949" s="24">
        <v>0</v>
      </c>
      <c r="J4949" s="24">
        <v>0</v>
      </c>
      <c r="K4949" s="24">
        <v>599</v>
      </c>
      <c r="L4949" s="38">
        <v>46294</v>
      </c>
      <c r="M4949" s="23" t="s">
        <v>229</v>
      </c>
      <c r="N4949" s="23" t="str">
        <f>IF(COUNTIF($A$2:A4949,A4949)&gt;1,"DUP","OK")</f>
        <v>OK</v>
      </c>
      <c r="O4949" s="23" t="str">
        <f t="shared" si="232"/>
        <v>ORD26000853</v>
      </c>
      <c r="P4949" s="23" t="str">
        <f t="shared" si="233"/>
        <v>Sep</v>
      </c>
      <c r="Q4949" s="23" t="str">
        <f>IF(F4949="CAPTURE",IF(COUNTIF(orders!$A:$A,O4949)&gt;0,"Yes","NO ORDER"),"")</f>
        <v>Yes</v>
      </c>
    </row>
    <row r="4950" spans="1:17" ht="15" customHeight="1" x14ac:dyDescent="0.3">
      <c r="A4950" s="23" t="s">
        <v>18109</v>
      </c>
      <c r="B4950" s="23"/>
      <c r="C4950" s="23" t="s">
        <v>18110</v>
      </c>
      <c r="D4950" s="23" t="str">
        <f t="shared" si="231"/>
        <v>ORD26000872</v>
      </c>
      <c r="E4950" s="38">
        <v>46292</v>
      </c>
      <c r="F4950" s="23" t="s">
        <v>12410</v>
      </c>
      <c r="G4950" s="23" t="s">
        <v>79</v>
      </c>
      <c r="H4950" s="24">
        <v>4999</v>
      </c>
      <c r="I4950" s="24">
        <v>79.98</v>
      </c>
      <c r="J4950" s="24">
        <v>14.4</v>
      </c>
      <c r="K4950" s="24">
        <v>4904.62</v>
      </c>
      <c r="L4950" s="38">
        <v>46294</v>
      </c>
      <c r="M4950" s="23" t="s">
        <v>229</v>
      </c>
      <c r="N4950" s="23" t="str">
        <f>IF(COUNTIF($A$2:A4950,A4950)&gt;1,"DUP","OK")</f>
        <v>OK</v>
      </c>
      <c r="O4950" s="23" t="str">
        <f t="shared" si="232"/>
        <v>ORD26000872</v>
      </c>
      <c r="P4950" s="23" t="str">
        <f t="shared" si="233"/>
        <v>Sep</v>
      </c>
      <c r="Q4950" s="23" t="str">
        <f>IF(F4950="CAPTURE",IF(COUNTIF(orders!$A:$A,O4950)&gt;0,"Yes","NO ORDER"),"")</f>
        <v>Yes</v>
      </c>
    </row>
    <row r="4951" spans="1:17" ht="15" customHeight="1" x14ac:dyDescent="0.3">
      <c r="A4951" s="23" t="s">
        <v>18111</v>
      </c>
      <c r="B4951" s="23"/>
      <c r="C4951" s="23" t="s">
        <v>2213</v>
      </c>
      <c r="D4951" s="23" t="str">
        <f t="shared" si="231"/>
        <v>ORD26000879</v>
      </c>
      <c r="E4951" s="38">
        <v>46292</v>
      </c>
      <c r="F4951" s="23" t="s">
        <v>12410</v>
      </c>
      <c r="G4951" s="23" t="s">
        <v>75</v>
      </c>
      <c r="H4951" s="24">
        <v>2598</v>
      </c>
      <c r="I4951" s="24">
        <v>7.79</v>
      </c>
      <c r="J4951" s="24">
        <v>1.4</v>
      </c>
      <c r="K4951" s="24">
        <v>2588.81</v>
      </c>
      <c r="L4951" s="38">
        <v>46294</v>
      </c>
      <c r="M4951" s="23" t="s">
        <v>229</v>
      </c>
      <c r="N4951" s="23" t="str">
        <f>IF(COUNTIF($A$2:A4951,A4951)&gt;1,"DUP","OK")</f>
        <v>OK</v>
      </c>
      <c r="O4951" s="23" t="str">
        <f t="shared" si="232"/>
        <v>ORD26000879</v>
      </c>
      <c r="P4951" s="23" t="str">
        <f t="shared" si="233"/>
        <v>Sep</v>
      </c>
      <c r="Q4951" s="23" t="str">
        <f>IF(F4951="CAPTURE",IF(COUNTIF(orders!$A:$A,O4951)&gt;0,"Yes","NO ORDER"),"")</f>
        <v>Yes</v>
      </c>
    </row>
    <row r="4952" spans="1:17" ht="15" customHeight="1" x14ac:dyDescent="0.3">
      <c r="A4952" s="23" t="s">
        <v>18112</v>
      </c>
      <c r="B4952" s="23"/>
      <c r="C4952" s="23" t="s">
        <v>18113</v>
      </c>
      <c r="D4952" s="23" t="str">
        <f t="shared" si="231"/>
        <v>ORD26001034</v>
      </c>
      <c r="E4952" s="38">
        <v>46292</v>
      </c>
      <c r="F4952" s="23" t="s">
        <v>12410</v>
      </c>
      <c r="G4952" s="23" t="s">
        <v>75</v>
      </c>
      <c r="H4952" s="24">
        <v>4998</v>
      </c>
      <c r="I4952" s="24">
        <v>14.99</v>
      </c>
      <c r="J4952" s="24">
        <v>2.7</v>
      </c>
      <c r="K4952" s="24">
        <v>4980.3100000000004</v>
      </c>
      <c r="L4952" s="38">
        <v>46294</v>
      </c>
      <c r="M4952" s="23" t="s">
        <v>229</v>
      </c>
      <c r="N4952" s="23" t="str">
        <f>IF(COUNTIF($A$2:A4952,A4952)&gt;1,"DUP","OK")</f>
        <v>OK</v>
      </c>
      <c r="O4952" s="23" t="str">
        <f t="shared" si="232"/>
        <v>ORD26001034</v>
      </c>
      <c r="P4952" s="23" t="str">
        <f t="shared" si="233"/>
        <v>Sep</v>
      </c>
      <c r="Q4952" s="23" t="str">
        <f>IF(F4952="CAPTURE",IF(COUNTIF(orders!$A:$A,O4952)&gt;0,"Yes","NO ORDER"),"")</f>
        <v>Yes</v>
      </c>
    </row>
    <row r="4953" spans="1:17" ht="15" customHeight="1" x14ac:dyDescent="0.3">
      <c r="A4953" s="23" t="s">
        <v>18114</v>
      </c>
      <c r="B4953" s="23"/>
      <c r="C4953" s="23" t="s">
        <v>2654</v>
      </c>
      <c r="D4953" s="23" t="str">
        <f t="shared" si="231"/>
        <v>ORD26001094</v>
      </c>
      <c r="E4953" s="38">
        <v>46292</v>
      </c>
      <c r="F4953" s="23" t="s">
        <v>12410</v>
      </c>
      <c r="G4953" s="23" t="s">
        <v>79</v>
      </c>
      <c r="H4953" s="24">
        <v>999</v>
      </c>
      <c r="I4953" s="24">
        <v>17.98</v>
      </c>
      <c r="J4953" s="24">
        <v>3.24</v>
      </c>
      <c r="K4953" s="24">
        <v>977.78</v>
      </c>
      <c r="L4953" s="38">
        <v>46294</v>
      </c>
      <c r="M4953" s="23" t="s">
        <v>229</v>
      </c>
      <c r="N4953" s="23" t="str">
        <f>IF(COUNTIF($A$2:A4953,A4953)&gt;1,"DUP","OK")</f>
        <v>OK</v>
      </c>
      <c r="O4953" s="23" t="str">
        <f t="shared" si="232"/>
        <v>ORD26001094</v>
      </c>
      <c r="P4953" s="23" t="str">
        <f t="shared" si="233"/>
        <v>Sep</v>
      </c>
      <c r="Q4953" s="23" t="str">
        <f>IF(F4953="CAPTURE",IF(COUNTIF(orders!$A:$A,O4953)&gt;0,"Yes","NO ORDER"),"")</f>
        <v>Yes</v>
      </c>
    </row>
    <row r="4954" spans="1:17" ht="15" customHeight="1" x14ac:dyDescent="0.3">
      <c r="A4954" s="23" t="s">
        <v>18115</v>
      </c>
      <c r="B4954" s="23"/>
      <c r="C4954" s="23" t="s">
        <v>2666</v>
      </c>
      <c r="D4954" s="23" t="str">
        <f t="shared" si="231"/>
        <v>ORD26001100</v>
      </c>
      <c r="E4954" s="38">
        <v>46292</v>
      </c>
      <c r="F4954" s="23" t="s">
        <v>12410</v>
      </c>
      <c r="G4954" s="23" t="s">
        <v>75</v>
      </c>
      <c r="H4954" s="24">
        <v>3848</v>
      </c>
      <c r="I4954" s="24">
        <v>11.54</v>
      </c>
      <c r="J4954" s="24">
        <v>2.08</v>
      </c>
      <c r="K4954" s="24">
        <v>3834.38</v>
      </c>
      <c r="L4954" s="38">
        <v>46294</v>
      </c>
      <c r="M4954" s="23" t="s">
        <v>229</v>
      </c>
      <c r="N4954" s="23" t="str">
        <f>IF(COUNTIF($A$2:A4954,A4954)&gt;1,"DUP","OK")</f>
        <v>OK</v>
      </c>
      <c r="O4954" s="23" t="str">
        <f t="shared" si="232"/>
        <v>ORD26001100</v>
      </c>
      <c r="P4954" s="23" t="str">
        <f t="shared" si="233"/>
        <v>Sep</v>
      </c>
      <c r="Q4954" s="23" t="str">
        <f>IF(F4954="CAPTURE",IF(COUNTIF(orders!$A:$A,O4954)&gt;0,"Yes","NO ORDER"),"")</f>
        <v>Yes</v>
      </c>
    </row>
    <row r="4955" spans="1:17" ht="15" customHeight="1" x14ac:dyDescent="0.3">
      <c r="A4955" s="23" t="s">
        <v>18116</v>
      </c>
      <c r="B4955" s="23"/>
      <c r="C4955" s="23" t="s">
        <v>2739</v>
      </c>
      <c r="D4955" s="23" t="str">
        <f t="shared" si="231"/>
        <v>ORD26001136</v>
      </c>
      <c r="E4955" s="38">
        <v>46292</v>
      </c>
      <c r="F4955" s="23" t="s">
        <v>12410</v>
      </c>
      <c r="G4955" s="23" t="s">
        <v>79</v>
      </c>
      <c r="H4955" s="24">
        <v>1499</v>
      </c>
      <c r="I4955" s="24">
        <v>26.98</v>
      </c>
      <c r="J4955" s="24">
        <v>4.8600000000000003</v>
      </c>
      <c r="K4955" s="24">
        <v>1467.16</v>
      </c>
      <c r="L4955" s="38">
        <v>46294</v>
      </c>
      <c r="M4955" s="23" t="s">
        <v>229</v>
      </c>
      <c r="N4955" s="23" t="str">
        <f>IF(COUNTIF($A$2:A4955,A4955)&gt;1,"DUP","OK")</f>
        <v>OK</v>
      </c>
      <c r="O4955" s="23" t="str">
        <f t="shared" si="232"/>
        <v>ORD26001136</v>
      </c>
      <c r="P4955" s="23" t="str">
        <f t="shared" si="233"/>
        <v>Sep</v>
      </c>
      <c r="Q4955" s="23" t="str">
        <f>IF(F4955="CAPTURE",IF(COUNTIF(orders!$A:$A,O4955)&gt;0,"Yes","NO ORDER"),"")</f>
        <v>Yes</v>
      </c>
    </row>
    <row r="4956" spans="1:17" ht="15" customHeight="1" x14ac:dyDescent="0.3">
      <c r="A4956" s="23" t="s">
        <v>18117</v>
      </c>
      <c r="B4956" s="23"/>
      <c r="C4956" s="23" t="s">
        <v>2843</v>
      </c>
      <c r="D4956" s="23" t="str">
        <f t="shared" si="231"/>
        <v>ORD26001188</v>
      </c>
      <c r="E4956" s="38">
        <v>46292</v>
      </c>
      <c r="F4956" s="23" t="s">
        <v>12410</v>
      </c>
      <c r="G4956" s="23" t="s">
        <v>75</v>
      </c>
      <c r="H4956" s="24">
        <v>14797</v>
      </c>
      <c r="I4956" s="24">
        <v>44.39</v>
      </c>
      <c r="J4956" s="24">
        <v>7.99</v>
      </c>
      <c r="K4956" s="24">
        <v>14744.62</v>
      </c>
      <c r="L4956" s="38">
        <v>46294</v>
      </c>
      <c r="M4956" s="23" t="s">
        <v>229</v>
      </c>
      <c r="N4956" s="23" t="str">
        <f>IF(COUNTIF($A$2:A4956,A4956)&gt;1,"DUP","OK")</f>
        <v>OK</v>
      </c>
      <c r="O4956" s="23" t="str">
        <f t="shared" si="232"/>
        <v>ORD26001188</v>
      </c>
      <c r="P4956" s="23" t="str">
        <f t="shared" si="233"/>
        <v>Sep</v>
      </c>
      <c r="Q4956" s="23" t="str">
        <f>IF(F4956="CAPTURE",IF(COUNTIF(orders!$A:$A,O4956)&gt;0,"Yes","NO ORDER"),"")</f>
        <v>Yes</v>
      </c>
    </row>
    <row r="4957" spans="1:17" ht="15" customHeight="1" x14ac:dyDescent="0.3">
      <c r="A4957" s="23" t="s">
        <v>18118</v>
      </c>
      <c r="B4957" s="23"/>
      <c r="C4957" s="23" t="s">
        <v>2849</v>
      </c>
      <c r="D4957" s="23" t="str">
        <f t="shared" si="231"/>
        <v>ORD26001191</v>
      </c>
      <c r="E4957" s="38">
        <v>46292</v>
      </c>
      <c r="F4957" s="23" t="s">
        <v>12410</v>
      </c>
      <c r="G4957" s="23" t="s">
        <v>79</v>
      </c>
      <c r="H4957" s="24">
        <v>1298</v>
      </c>
      <c r="I4957" s="24">
        <v>23.36</v>
      </c>
      <c r="J4957" s="24">
        <v>4.2</v>
      </c>
      <c r="K4957" s="24">
        <v>1270.44</v>
      </c>
      <c r="L4957" s="38">
        <v>46294</v>
      </c>
      <c r="M4957" s="23" t="s">
        <v>229</v>
      </c>
      <c r="N4957" s="23" t="str">
        <f>IF(COUNTIF($A$2:A4957,A4957)&gt;1,"DUP","OK")</f>
        <v>OK</v>
      </c>
      <c r="O4957" s="23" t="str">
        <f t="shared" si="232"/>
        <v>ORD26001191</v>
      </c>
      <c r="P4957" s="23" t="str">
        <f t="shared" si="233"/>
        <v>Sep</v>
      </c>
      <c r="Q4957" s="23" t="str">
        <f>IF(F4957="CAPTURE",IF(COUNTIF(orders!$A:$A,O4957)&gt;0,"Yes","NO ORDER"),"")</f>
        <v>Yes</v>
      </c>
    </row>
    <row r="4958" spans="1:17" ht="15" customHeight="1" x14ac:dyDescent="0.3">
      <c r="A4958" s="23" t="s">
        <v>18119</v>
      </c>
      <c r="B4958" s="23"/>
      <c r="C4958" s="23" t="s">
        <v>2866</v>
      </c>
      <c r="D4958" s="23" t="str">
        <f t="shared" si="231"/>
        <v>ORD26001199</v>
      </c>
      <c r="E4958" s="38">
        <v>46292</v>
      </c>
      <c r="F4958" s="23" t="s">
        <v>12410</v>
      </c>
      <c r="G4958" s="23" t="s">
        <v>75</v>
      </c>
      <c r="H4958" s="24">
        <v>12998</v>
      </c>
      <c r="I4958" s="24">
        <v>38.99</v>
      </c>
      <c r="J4958" s="24">
        <v>7.02</v>
      </c>
      <c r="K4958" s="24">
        <v>12951.99</v>
      </c>
      <c r="L4958" s="38">
        <v>46294</v>
      </c>
      <c r="M4958" s="23" t="s">
        <v>229</v>
      </c>
      <c r="N4958" s="23" t="str">
        <f>IF(COUNTIF($A$2:A4958,A4958)&gt;1,"DUP","OK")</f>
        <v>OK</v>
      </c>
      <c r="O4958" s="23" t="str">
        <f t="shared" si="232"/>
        <v>ORD26001199</v>
      </c>
      <c r="P4958" s="23" t="str">
        <f t="shared" si="233"/>
        <v>Sep</v>
      </c>
      <c r="Q4958" s="23" t="str">
        <f>IF(F4958="CAPTURE",IF(COUNTIF(orders!$A:$A,O4958)&gt;0,"Yes","NO ORDER"),"")</f>
        <v>Yes</v>
      </c>
    </row>
    <row r="4959" spans="1:17" ht="15" customHeight="1" x14ac:dyDescent="0.3">
      <c r="A4959" s="23" t="s">
        <v>18120</v>
      </c>
      <c r="B4959" s="23"/>
      <c r="C4959" s="23" t="s">
        <v>2880</v>
      </c>
      <c r="D4959" s="23" t="str">
        <f t="shared" si="231"/>
        <v>ORD26001206</v>
      </c>
      <c r="E4959" s="38">
        <v>46292</v>
      </c>
      <c r="F4959" s="23" t="s">
        <v>12410</v>
      </c>
      <c r="G4959" s="23" t="s">
        <v>79</v>
      </c>
      <c r="H4959" s="24">
        <v>349</v>
      </c>
      <c r="I4959" s="24">
        <v>6.28</v>
      </c>
      <c r="J4959" s="24">
        <v>1.1299999999999999</v>
      </c>
      <c r="K4959" s="24">
        <v>341.59</v>
      </c>
      <c r="L4959" s="38">
        <v>46294</v>
      </c>
      <c r="M4959" s="23" t="s">
        <v>229</v>
      </c>
      <c r="N4959" s="23" t="str">
        <f>IF(COUNTIF($A$2:A4959,A4959)&gt;1,"DUP","OK")</f>
        <v>OK</v>
      </c>
      <c r="O4959" s="23" t="str">
        <f t="shared" si="232"/>
        <v>ORD26001206</v>
      </c>
      <c r="P4959" s="23" t="str">
        <f t="shared" si="233"/>
        <v>Sep</v>
      </c>
      <c r="Q4959" s="23" t="str">
        <f>IF(F4959="CAPTURE",IF(COUNTIF(orders!$A:$A,O4959)&gt;0,"Yes","NO ORDER"),"")</f>
        <v>Yes</v>
      </c>
    </row>
    <row r="4960" spans="1:17" ht="15" customHeight="1" x14ac:dyDescent="0.3">
      <c r="A4960" s="23" t="s">
        <v>18121</v>
      </c>
      <c r="B4960" s="23"/>
      <c r="C4960" s="23" t="s">
        <v>2928</v>
      </c>
      <c r="D4960" s="23" t="str">
        <f t="shared" si="231"/>
        <v>ORD26001229</v>
      </c>
      <c r="E4960" s="38">
        <v>46292</v>
      </c>
      <c r="F4960" s="23" t="s">
        <v>12410</v>
      </c>
      <c r="G4960" s="23" t="s">
        <v>79</v>
      </c>
      <c r="H4960" s="24">
        <v>1499</v>
      </c>
      <c r="I4960" s="24">
        <v>26.98</v>
      </c>
      <c r="J4960" s="24">
        <v>4.8600000000000003</v>
      </c>
      <c r="K4960" s="24">
        <v>1467.16</v>
      </c>
      <c r="L4960" s="38">
        <v>46294</v>
      </c>
      <c r="M4960" s="23" t="s">
        <v>229</v>
      </c>
      <c r="N4960" s="23" t="str">
        <f>IF(COUNTIF($A$2:A4960,A4960)&gt;1,"DUP","OK")</f>
        <v>OK</v>
      </c>
      <c r="O4960" s="23" t="str">
        <f t="shared" si="232"/>
        <v>ORD26001229</v>
      </c>
      <c r="P4960" s="23" t="str">
        <f t="shared" si="233"/>
        <v>Sep</v>
      </c>
      <c r="Q4960" s="23" t="str">
        <f>IF(F4960="CAPTURE",IF(COUNTIF(orders!$A:$A,O4960)&gt;0,"Yes","NO ORDER"),"")</f>
        <v>Yes</v>
      </c>
    </row>
    <row r="4961" spans="1:17" ht="15" customHeight="1" x14ac:dyDescent="0.3">
      <c r="A4961" s="23" t="s">
        <v>18122</v>
      </c>
      <c r="B4961" s="23"/>
      <c r="C4961" s="23" t="s">
        <v>3343</v>
      </c>
      <c r="D4961" s="23" t="str">
        <f t="shared" si="231"/>
        <v>ORD26001431</v>
      </c>
      <c r="E4961" s="38">
        <v>46292</v>
      </c>
      <c r="F4961" s="23" t="s">
        <v>12410</v>
      </c>
      <c r="G4961" s="23" t="s">
        <v>79</v>
      </c>
      <c r="H4961" s="24">
        <v>7297</v>
      </c>
      <c r="I4961" s="24">
        <v>116.75</v>
      </c>
      <c r="J4961" s="24">
        <v>21.02</v>
      </c>
      <c r="K4961" s="24">
        <v>7159.23</v>
      </c>
      <c r="L4961" s="38">
        <v>46294</v>
      </c>
      <c r="M4961" s="23" t="s">
        <v>229</v>
      </c>
      <c r="N4961" s="23" t="str">
        <f>IF(COUNTIF($A$2:A4961,A4961)&gt;1,"DUP","OK")</f>
        <v>OK</v>
      </c>
      <c r="O4961" s="23" t="str">
        <f t="shared" si="232"/>
        <v>ORD26001431</v>
      </c>
      <c r="P4961" s="23" t="str">
        <f t="shared" si="233"/>
        <v>Sep</v>
      </c>
      <c r="Q4961" s="23" t="str">
        <f>IF(F4961="CAPTURE",IF(COUNTIF(orders!$A:$A,O4961)&gt;0,"Yes","NO ORDER"),"")</f>
        <v>Yes</v>
      </c>
    </row>
    <row r="4962" spans="1:17" ht="15" customHeight="1" x14ac:dyDescent="0.3">
      <c r="A4962" s="23" t="s">
        <v>18123</v>
      </c>
      <c r="B4962" s="23"/>
      <c r="C4962" s="23" t="s">
        <v>3429</v>
      </c>
      <c r="D4962" s="23" t="str">
        <f t="shared" si="231"/>
        <v>ORD26001473</v>
      </c>
      <c r="E4962" s="38">
        <v>46292</v>
      </c>
      <c r="F4962" s="23" t="s">
        <v>12410</v>
      </c>
      <c r="G4962" s="23" t="s">
        <v>77</v>
      </c>
      <c r="H4962" s="24">
        <v>9797</v>
      </c>
      <c r="I4962" s="24">
        <v>166.55</v>
      </c>
      <c r="J4962" s="24">
        <v>29.98</v>
      </c>
      <c r="K4962" s="24">
        <v>9600.4699999999993</v>
      </c>
      <c r="L4962" s="38">
        <v>46294</v>
      </c>
      <c r="M4962" s="23" t="s">
        <v>229</v>
      </c>
      <c r="N4962" s="23" t="str">
        <f>IF(COUNTIF($A$2:A4962,A4962)&gt;1,"DUP","OK")</f>
        <v>OK</v>
      </c>
      <c r="O4962" s="23" t="str">
        <f t="shared" si="232"/>
        <v>ORD26001473</v>
      </c>
      <c r="P4962" s="23" t="str">
        <f t="shared" si="233"/>
        <v>Sep</v>
      </c>
      <c r="Q4962" s="23" t="str">
        <f>IF(F4962="CAPTURE",IF(COUNTIF(orders!$A:$A,O4962)&gt;0,"Yes","NO ORDER"),"")</f>
        <v>Yes</v>
      </c>
    </row>
    <row r="4963" spans="1:17" ht="15" customHeight="1" x14ac:dyDescent="0.3">
      <c r="A4963" s="23" t="s">
        <v>18124</v>
      </c>
      <c r="B4963" s="23"/>
      <c r="C4963" s="23" t="s">
        <v>18125</v>
      </c>
      <c r="D4963" s="23" t="str">
        <f t="shared" si="231"/>
        <v>ORD26001487</v>
      </c>
      <c r="E4963" s="38">
        <v>46292</v>
      </c>
      <c r="F4963" s="23" t="s">
        <v>12410</v>
      </c>
      <c r="G4963" s="23" t="s">
        <v>75</v>
      </c>
      <c r="H4963" s="24">
        <v>12998</v>
      </c>
      <c r="I4963" s="24">
        <v>38.99</v>
      </c>
      <c r="J4963" s="24">
        <v>7.02</v>
      </c>
      <c r="K4963" s="24">
        <v>12951.99</v>
      </c>
      <c r="L4963" s="38">
        <v>46294</v>
      </c>
      <c r="M4963" s="23" t="s">
        <v>229</v>
      </c>
      <c r="N4963" s="23" t="str">
        <f>IF(COUNTIF($A$2:A4963,A4963)&gt;1,"DUP","OK")</f>
        <v>OK</v>
      </c>
      <c r="O4963" s="23" t="str">
        <f t="shared" si="232"/>
        <v>ORD26001487</v>
      </c>
      <c r="P4963" s="23" t="str">
        <f t="shared" si="233"/>
        <v>Sep</v>
      </c>
      <c r="Q4963" s="23" t="str">
        <f>IF(F4963="CAPTURE",IF(COUNTIF(orders!$A:$A,O4963)&gt;0,"Yes","NO ORDER"),"")</f>
        <v>Yes</v>
      </c>
    </row>
    <row r="4964" spans="1:17" ht="15" customHeight="1" x14ac:dyDescent="0.3">
      <c r="A4964" s="23" t="s">
        <v>18126</v>
      </c>
      <c r="B4964" s="23"/>
      <c r="C4964" s="23" t="s">
        <v>3727</v>
      </c>
      <c r="D4964" s="23" t="str">
        <f t="shared" si="231"/>
        <v>ORD26001620</v>
      </c>
      <c r="E4964" s="38">
        <v>46292</v>
      </c>
      <c r="F4964" s="23" t="s">
        <v>12410</v>
      </c>
      <c r="G4964" s="23" t="s">
        <v>79</v>
      </c>
      <c r="H4964" s="24">
        <v>9298</v>
      </c>
      <c r="I4964" s="24">
        <v>148.77000000000001</v>
      </c>
      <c r="J4964" s="24">
        <v>26.78</v>
      </c>
      <c r="K4964" s="24">
        <v>9122.4500000000007</v>
      </c>
      <c r="L4964" s="38">
        <v>46294</v>
      </c>
      <c r="M4964" s="23" t="s">
        <v>229</v>
      </c>
      <c r="N4964" s="23" t="str">
        <f>IF(COUNTIF($A$2:A4964,A4964)&gt;1,"DUP","OK")</f>
        <v>OK</v>
      </c>
      <c r="O4964" s="23" t="str">
        <f t="shared" si="232"/>
        <v>ORD26001620</v>
      </c>
      <c r="P4964" s="23" t="str">
        <f t="shared" si="233"/>
        <v>Sep</v>
      </c>
      <c r="Q4964" s="23" t="str">
        <f>IF(F4964="CAPTURE",IF(COUNTIF(orders!$A:$A,O4964)&gt;0,"Yes","NO ORDER"),"")</f>
        <v>Yes</v>
      </c>
    </row>
    <row r="4965" spans="1:17" ht="15" customHeight="1" x14ac:dyDescent="0.3">
      <c r="A4965" s="23" t="s">
        <v>18127</v>
      </c>
      <c r="B4965" s="23"/>
      <c r="C4965" s="23" t="s">
        <v>3742</v>
      </c>
      <c r="D4965" s="23" t="str">
        <f t="shared" si="231"/>
        <v>ORD26001628</v>
      </c>
      <c r="E4965" s="38">
        <v>46292</v>
      </c>
      <c r="F4965" s="23" t="s">
        <v>12410</v>
      </c>
      <c r="G4965" s="23" t="s">
        <v>75</v>
      </c>
      <c r="H4965" s="24">
        <v>1498</v>
      </c>
      <c r="I4965" s="24">
        <v>0</v>
      </c>
      <c r="J4965" s="24">
        <v>0</v>
      </c>
      <c r="K4965" s="24">
        <v>1498</v>
      </c>
      <c r="L4965" s="38">
        <v>46294</v>
      </c>
      <c r="M4965" s="23" t="s">
        <v>229</v>
      </c>
      <c r="N4965" s="23" t="str">
        <f>IF(COUNTIF($A$2:A4965,A4965)&gt;1,"DUP","OK")</f>
        <v>OK</v>
      </c>
      <c r="O4965" s="23" t="str">
        <f t="shared" si="232"/>
        <v>ORD26001628</v>
      </c>
      <c r="P4965" s="23" t="str">
        <f t="shared" si="233"/>
        <v>Sep</v>
      </c>
      <c r="Q4965" s="23" t="str">
        <f>IF(F4965="CAPTURE",IF(COUNTIF(orders!$A:$A,O4965)&gt;0,"Yes","NO ORDER"),"")</f>
        <v>Yes</v>
      </c>
    </row>
    <row r="4966" spans="1:17" ht="15" customHeight="1" x14ac:dyDescent="0.3">
      <c r="A4966" s="23" t="s">
        <v>18128</v>
      </c>
      <c r="B4966" s="23"/>
      <c r="C4966" s="23" t="s">
        <v>3760</v>
      </c>
      <c r="D4966" s="23" t="str">
        <f t="shared" si="231"/>
        <v>ORD26001637</v>
      </c>
      <c r="E4966" s="38">
        <v>46292</v>
      </c>
      <c r="F4966" s="23" t="s">
        <v>12410</v>
      </c>
      <c r="G4966" s="23" t="s">
        <v>77</v>
      </c>
      <c r="H4966" s="24">
        <v>499</v>
      </c>
      <c r="I4966" s="24">
        <v>9.48</v>
      </c>
      <c r="J4966" s="24">
        <v>1.71</v>
      </c>
      <c r="K4966" s="24">
        <v>487.81</v>
      </c>
      <c r="L4966" s="38">
        <v>46294</v>
      </c>
      <c r="M4966" s="23" t="s">
        <v>229</v>
      </c>
      <c r="N4966" s="23" t="str">
        <f>IF(COUNTIF($A$2:A4966,A4966)&gt;1,"DUP","OK")</f>
        <v>OK</v>
      </c>
      <c r="O4966" s="23" t="str">
        <f t="shared" si="232"/>
        <v>ORD26001637</v>
      </c>
      <c r="P4966" s="23" t="str">
        <f t="shared" si="233"/>
        <v>Sep</v>
      </c>
      <c r="Q4966" s="23" t="str">
        <f>IF(F4966="CAPTURE",IF(COUNTIF(orders!$A:$A,O4966)&gt;0,"Yes","NO ORDER"),"")</f>
        <v>Yes</v>
      </c>
    </row>
    <row r="4967" spans="1:17" ht="15" customHeight="1" x14ac:dyDescent="0.3">
      <c r="A4967" s="23" t="s">
        <v>18129</v>
      </c>
      <c r="B4967" s="23"/>
      <c r="C4967" s="23" t="s">
        <v>3803</v>
      </c>
      <c r="D4967" s="23" t="str">
        <f t="shared" si="231"/>
        <v>ORD26001659</v>
      </c>
      <c r="E4967" s="38">
        <v>46292</v>
      </c>
      <c r="F4967" s="23" t="s">
        <v>12410</v>
      </c>
      <c r="G4967" s="23" t="s">
        <v>79</v>
      </c>
      <c r="H4967" s="24">
        <v>4298</v>
      </c>
      <c r="I4967" s="24">
        <v>68.77</v>
      </c>
      <c r="J4967" s="24">
        <v>12.38</v>
      </c>
      <c r="K4967" s="24">
        <v>4216.8500000000004</v>
      </c>
      <c r="L4967" s="38">
        <v>46294</v>
      </c>
      <c r="M4967" s="23" t="s">
        <v>229</v>
      </c>
      <c r="N4967" s="23" t="str">
        <f>IF(COUNTIF($A$2:A4967,A4967)&gt;1,"DUP","OK")</f>
        <v>OK</v>
      </c>
      <c r="O4967" s="23" t="str">
        <f t="shared" si="232"/>
        <v>ORD26001659</v>
      </c>
      <c r="P4967" s="23" t="str">
        <f t="shared" si="233"/>
        <v>Sep</v>
      </c>
      <c r="Q4967" s="23" t="str">
        <f>IF(F4967="CAPTURE",IF(COUNTIF(orders!$A:$A,O4967)&gt;0,"Yes","NO ORDER"),"")</f>
        <v>Yes</v>
      </c>
    </row>
    <row r="4968" spans="1:17" ht="15" customHeight="1" x14ac:dyDescent="0.3">
      <c r="A4968" s="23" t="s">
        <v>18130</v>
      </c>
      <c r="B4968" s="23"/>
      <c r="C4968" s="23" t="s">
        <v>18131</v>
      </c>
      <c r="D4968" s="23" t="str">
        <f t="shared" si="231"/>
        <v>ORD26001692</v>
      </c>
      <c r="E4968" s="38">
        <v>46292</v>
      </c>
      <c r="F4968" s="23" t="s">
        <v>12410</v>
      </c>
      <c r="G4968" s="23" t="s">
        <v>79</v>
      </c>
      <c r="H4968" s="24">
        <v>1799</v>
      </c>
      <c r="I4968" s="24">
        <v>32.380000000000003</v>
      </c>
      <c r="J4968" s="24">
        <v>5.83</v>
      </c>
      <c r="K4968" s="24">
        <v>1760.79</v>
      </c>
      <c r="L4968" s="38">
        <v>46294</v>
      </c>
      <c r="M4968" s="23" t="s">
        <v>229</v>
      </c>
      <c r="N4968" s="23" t="str">
        <f>IF(COUNTIF($A$2:A4968,A4968)&gt;1,"DUP","OK")</f>
        <v>OK</v>
      </c>
      <c r="O4968" s="23" t="str">
        <f t="shared" si="232"/>
        <v>ORD26001692</v>
      </c>
      <c r="P4968" s="23" t="str">
        <f t="shared" si="233"/>
        <v>Sep</v>
      </c>
      <c r="Q4968" s="23" t="str">
        <f>IF(F4968="CAPTURE",IF(COUNTIF(orders!$A:$A,O4968)&gt;0,"Yes","NO ORDER"),"")</f>
        <v>Yes</v>
      </c>
    </row>
    <row r="4969" spans="1:17" ht="15" customHeight="1" x14ac:dyDescent="0.3">
      <c r="A4969" s="23" t="s">
        <v>18132</v>
      </c>
      <c r="B4969" s="23"/>
      <c r="C4969" s="23" t="s">
        <v>3905</v>
      </c>
      <c r="D4969" s="23" t="str">
        <f t="shared" si="231"/>
        <v>ORD26001709</v>
      </c>
      <c r="E4969" s="38">
        <v>46292</v>
      </c>
      <c r="F4969" s="23" t="s">
        <v>12410</v>
      </c>
      <c r="G4969" s="23" t="s">
        <v>77</v>
      </c>
      <c r="H4969" s="24">
        <v>5597</v>
      </c>
      <c r="I4969" s="24">
        <v>95.15</v>
      </c>
      <c r="J4969" s="24">
        <v>17.13</v>
      </c>
      <c r="K4969" s="24">
        <v>5484.72</v>
      </c>
      <c r="L4969" s="38">
        <v>46294</v>
      </c>
      <c r="M4969" s="23" t="s">
        <v>229</v>
      </c>
      <c r="N4969" s="23" t="str">
        <f>IF(COUNTIF($A$2:A4969,A4969)&gt;1,"DUP","OK")</f>
        <v>OK</v>
      </c>
      <c r="O4969" s="23" t="str">
        <f t="shared" si="232"/>
        <v>ORD26001709</v>
      </c>
      <c r="P4969" s="23" t="str">
        <f t="shared" si="233"/>
        <v>Sep</v>
      </c>
      <c r="Q4969" s="23" t="str">
        <f>IF(F4969="CAPTURE",IF(COUNTIF(orders!$A:$A,O4969)&gt;0,"Yes","NO ORDER"),"")</f>
        <v>Yes</v>
      </c>
    </row>
    <row r="4970" spans="1:17" ht="15" customHeight="1" x14ac:dyDescent="0.3">
      <c r="A4970" s="23" t="s">
        <v>18133</v>
      </c>
      <c r="B4970" s="23"/>
      <c r="C4970" s="23" t="s">
        <v>3984</v>
      </c>
      <c r="D4970" s="23" t="str">
        <f t="shared" si="231"/>
        <v>ORD26001748</v>
      </c>
      <c r="E4970" s="38">
        <v>46292</v>
      </c>
      <c r="F4970" s="23" t="s">
        <v>12410</v>
      </c>
      <c r="G4970" s="23" t="s">
        <v>77</v>
      </c>
      <c r="H4970" s="24">
        <v>2798</v>
      </c>
      <c r="I4970" s="24">
        <v>47.57</v>
      </c>
      <c r="J4970" s="24">
        <v>8.56</v>
      </c>
      <c r="K4970" s="24">
        <v>2741.87</v>
      </c>
      <c r="L4970" s="38">
        <v>46294</v>
      </c>
      <c r="M4970" s="23" t="s">
        <v>229</v>
      </c>
      <c r="N4970" s="23" t="str">
        <f>IF(COUNTIF($A$2:A4970,A4970)&gt;1,"DUP","OK")</f>
        <v>OK</v>
      </c>
      <c r="O4970" s="23" t="str">
        <f t="shared" si="232"/>
        <v>ORD26001748</v>
      </c>
      <c r="P4970" s="23" t="str">
        <f t="shared" si="233"/>
        <v>Sep</v>
      </c>
      <c r="Q4970" s="23" t="str">
        <f>IF(F4970="CAPTURE",IF(COUNTIF(orders!$A:$A,O4970)&gt;0,"Yes","NO ORDER"),"")</f>
        <v>Yes</v>
      </c>
    </row>
    <row r="4971" spans="1:17" ht="15" customHeight="1" x14ac:dyDescent="0.3">
      <c r="A4971" s="23" t="s">
        <v>18134</v>
      </c>
      <c r="B4971" s="23"/>
      <c r="C4971" s="23" t="s">
        <v>4046</v>
      </c>
      <c r="D4971" s="23" t="str">
        <f t="shared" si="231"/>
        <v>ORD26001779</v>
      </c>
      <c r="E4971" s="38">
        <v>46292</v>
      </c>
      <c r="F4971" s="23" t="s">
        <v>12410</v>
      </c>
      <c r="G4971" s="23" t="s">
        <v>79</v>
      </c>
      <c r="H4971" s="24">
        <v>5598</v>
      </c>
      <c r="I4971" s="24">
        <v>89.57</v>
      </c>
      <c r="J4971" s="24">
        <v>16.12</v>
      </c>
      <c r="K4971" s="24">
        <v>5492.31</v>
      </c>
      <c r="L4971" s="38">
        <v>46294</v>
      </c>
      <c r="M4971" s="23" t="s">
        <v>229</v>
      </c>
      <c r="N4971" s="23" t="str">
        <f>IF(COUNTIF($A$2:A4971,A4971)&gt;1,"DUP","OK")</f>
        <v>OK</v>
      </c>
      <c r="O4971" s="23" t="str">
        <f t="shared" si="232"/>
        <v>ORD26001779</v>
      </c>
      <c r="P4971" s="23" t="str">
        <f t="shared" si="233"/>
        <v>Sep</v>
      </c>
      <c r="Q4971" s="23" t="str">
        <f>IF(F4971="CAPTURE",IF(COUNTIF(orders!$A:$A,O4971)&gt;0,"Yes","NO ORDER"),"")</f>
        <v>Yes</v>
      </c>
    </row>
    <row r="4972" spans="1:17" ht="15" customHeight="1" x14ac:dyDescent="0.3">
      <c r="A4972" s="23" t="s">
        <v>18135</v>
      </c>
      <c r="B4972" s="23"/>
      <c r="C4972" s="23" t="s">
        <v>18136</v>
      </c>
      <c r="D4972" s="23" t="str">
        <f t="shared" si="231"/>
        <v>ORD26001819</v>
      </c>
      <c r="E4972" s="38">
        <v>46292</v>
      </c>
      <c r="F4972" s="23" t="s">
        <v>12410</v>
      </c>
      <c r="G4972" s="23" t="s">
        <v>79</v>
      </c>
      <c r="H4972" s="24">
        <v>5397</v>
      </c>
      <c r="I4972" s="24">
        <v>86.35</v>
      </c>
      <c r="J4972" s="24">
        <v>15.54</v>
      </c>
      <c r="K4972" s="24">
        <v>5295.11</v>
      </c>
      <c r="L4972" s="38">
        <v>46294</v>
      </c>
      <c r="M4972" s="23" t="s">
        <v>229</v>
      </c>
      <c r="N4972" s="23" t="str">
        <f>IF(COUNTIF($A$2:A4972,A4972)&gt;1,"DUP","OK")</f>
        <v>OK</v>
      </c>
      <c r="O4972" s="23" t="str">
        <f t="shared" si="232"/>
        <v>ORD26001819</v>
      </c>
      <c r="P4972" s="23" t="str">
        <f t="shared" si="233"/>
        <v>Sep</v>
      </c>
      <c r="Q4972" s="23" t="str">
        <f>IF(F4972="CAPTURE",IF(COUNTIF(orders!$A:$A,O4972)&gt;0,"Yes","NO ORDER"),"")</f>
        <v>Yes</v>
      </c>
    </row>
    <row r="4973" spans="1:17" ht="15" customHeight="1" x14ac:dyDescent="0.3">
      <c r="A4973" s="23" t="s">
        <v>18137</v>
      </c>
      <c r="B4973" s="23"/>
      <c r="C4973" s="23" t="s">
        <v>4160</v>
      </c>
      <c r="D4973" s="23" t="str">
        <f t="shared" si="231"/>
        <v>ORD26001837</v>
      </c>
      <c r="E4973" s="38">
        <v>46292</v>
      </c>
      <c r="F4973" s="23" t="s">
        <v>12410</v>
      </c>
      <c r="G4973" s="23" t="s">
        <v>75</v>
      </c>
      <c r="H4973" s="24">
        <v>799</v>
      </c>
      <c r="I4973" s="24">
        <v>0</v>
      </c>
      <c r="J4973" s="24">
        <v>0</v>
      </c>
      <c r="K4973" s="24">
        <v>799</v>
      </c>
      <c r="L4973" s="38">
        <v>46294</v>
      </c>
      <c r="M4973" s="23" t="s">
        <v>229</v>
      </c>
      <c r="N4973" s="23" t="str">
        <f>IF(COUNTIF($A$2:A4973,A4973)&gt;1,"DUP","OK")</f>
        <v>OK</v>
      </c>
      <c r="O4973" s="23" t="str">
        <f t="shared" si="232"/>
        <v>ORD26001837</v>
      </c>
      <c r="P4973" s="23" t="str">
        <f t="shared" si="233"/>
        <v>Sep</v>
      </c>
      <c r="Q4973" s="23" t="str">
        <f>IF(F4973="CAPTURE",IF(COUNTIF(orders!$A:$A,O4973)&gt;0,"Yes","NO ORDER"),"")</f>
        <v>Yes</v>
      </c>
    </row>
    <row r="4974" spans="1:17" ht="15" customHeight="1" x14ac:dyDescent="0.3">
      <c r="A4974" s="23" t="s">
        <v>18138</v>
      </c>
      <c r="B4974" s="23"/>
      <c r="C4974" s="23" t="s">
        <v>4240</v>
      </c>
      <c r="D4974" s="23" t="str">
        <f t="shared" si="231"/>
        <v>ORD26001877</v>
      </c>
      <c r="E4974" s="38">
        <v>46292</v>
      </c>
      <c r="F4974" s="23" t="s">
        <v>12410</v>
      </c>
      <c r="G4974" s="23" t="s">
        <v>79</v>
      </c>
      <c r="H4974" s="24">
        <v>5998</v>
      </c>
      <c r="I4974" s="24">
        <v>95.97</v>
      </c>
      <c r="J4974" s="24">
        <v>17.27</v>
      </c>
      <c r="K4974" s="24">
        <v>5884.76</v>
      </c>
      <c r="L4974" s="38">
        <v>46294</v>
      </c>
      <c r="M4974" s="23" t="s">
        <v>229</v>
      </c>
      <c r="N4974" s="23" t="str">
        <f>IF(COUNTIF($A$2:A4974,A4974)&gt;1,"DUP","OK")</f>
        <v>OK</v>
      </c>
      <c r="O4974" s="23" t="str">
        <f t="shared" si="232"/>
        <v>ORD26001877</v>
      </c>
      <c r="P4974" s="23" t="str">
        <f t="shared" si="233"/>
        <v>Sep</v>
      </c>
      <c r="Q4974" s="23" t="str">
        <f>IF(F4974="CAPTURE",IF(COUNTIF(orders!$A:$A,O4974)&gt;0,"Yes","NO ORDER"),"")</f>
        <v>Yes</v>
      </c>
    </row>
    <row r="4975" spans="1:17" ht="15" customHeight="1" x14ac:dyDescent="0.3">
      <c r="A4975" s="23" t="s">
        <v>18139</v>
      </c>
      <c r="B4975" s="23"/>
      <c r="C4975" s="23" t="s">
        <v>4261</v>
      </c>
      <c r="D4975" s="23" t="str">
        <f t="shared" si="231"/>
        <v>ORD26001887</v>
      </c>
      <c r="E4975" s="38">
        <v>46292</v>
      </c>
      <c r="F4975" s="23" t="s">
        <v>12410</v>
      </c>
      <c r="G4975" s="23" t="s">
        <v>79</v>
      </c>
      <c r="H4975" s="24">
        <v>3298</v>
      </c>
      <c r="I4975" s="24">
        <v>52.77</v>
      </c>
      <c r="J4975" s="24">
        <v>9.5</v>
      </c>
      <c r="K4975" s="24">
        <v>3235.73</v>
      </c>
      <c r="L4975" s="38">
        <v>46294</v>
      </c>
      <c r="M4975" s="23" t="s">
        <v>229</v>
      </c>
      <c r="N4975" s="23" t="str">
        <f>IF(COUNTIF($A$2:A4975,A4975)&gt;1,"DUP","OK")</f>
        <v>OK</v>
      </c>
      <c r="O4975" s="23" t="str">
        <f t="shared" si="232"/>
        <v>ORD26001887</v>
      </c>
      <c r="P4975" s="23" t="str">
        <f t="shared" si="233"/>
        <v>Sep</v>
      </c>
      <c r="Q4975" s="23" t="str">
        <f>IF(F4975="CAPTURE",IF(COUNTIF(orders!$A:$A,O4975)&gt;0,"Yes","NO ORDER"),"")</f>
        <v>Yes</v>
      </c>
    </row>
    <row r="4976" spans="1:17" ht="15" customHeight="1" x14ac:dyDescent="0.3">
      <c r="A4976" s="23" t="s">
        <v>18140</v>
      </c>
      <c r="B4976" s="23"/>
      <c r="C4976" s="23" t="s">
        <v>4393</v>
      </c>
      <c r="D4976" s="23" t="str">
        <f t="shared" si="231"/>
        <v>ORD26001953</v>
      </c>
      <c r="E4976" s="38">
        <v>46292</v>
      </c>
      <c r="F4976" s="23" t="s">
        <v>12410</v>
      </c>
      <c r="G4976" s="23" t="s">
        <v>75</v>
      </c>
      <c r="H4976" s="24">
        <v>5348</v>
      </c>
      <c r="I4976" s="24">
        <v>16.04</v>
      </c>
      <c r="J4976" s="24">
        <v>2.89</v>
      </c>
      <c r="K4976" s="24">
        <v>5329.07</v>
      </c>
      <c r="L4976" s="38">
        <v>46294</v>
      </c>
      <c r="M4976" s="23" t="s">
        <v>229</v>
      </c>
      <c r="N4976" s="23" t="str">
        <f>IF(COUNTIF($A$2:A4976,A4976)&gt;1,"DUP","OK")</f>
        <v>OK</v>
      </c>
      <c r="O4976" s="23" t="str">
        <f t="shared" si="232"/>
        <v>ORD26001953</v>
      </c>
      <c r="P4976" s="23" t="str">
        <f t="shared" si="233"/>
        <v>Sep</v>
      </c>
      <c r="Q4976" s="23" t="str">
        <f>IF(F4976="CAPTURE",IF(COUNTIF(orders!$A:$A,O4976)&gt;0,"Yes","NO ORDER"),"")</f>
        <v>Yes</v>
      </c>
    </row>
    <row r="4977" spans="1:17" ht="15" customHeight="1" x14ac:dyDescent="0.3">
      <c r="A4977" s="23" t="s">
        <v>18141</v>
      </c>
      <c r="B4977" s="23"/>
      <c r="C4977" s="23" t="s">
        <v>4429</v>
      </c>
      <c r="D4977" s="23" t="str">
        <f t="shared" si="231"/>
        <v>ORD26001971</v>
      </c>
      <c r="E4977" s="38">
        <v>46292</v>
      </c>
      <c r="F4977" s="23" t="s">
        <v>12410</v>
      </c>
      <c r="G4977" s="23" t="s">
        <v>75</v>
      </c>
      <c r="H4977" s="24">
        <v>8498</v>
      </c>
      <c r="I4977" s="24">
        <v>25.49</v>
      </c>
      <c r="J4977" s="24">
        <v>4.59</v>
      </c>
      <c r="K4977" s="24">
        <v>8467.92</v>
      </c>
      <c r="L4977" s="38">
        <v>46294</v>
      </c>
      <c r="M4977" s="23" t="s">
        <v>229</v>
      </c>
      <c r="N4977" s="23" t="str">
        <f>IF(COUNTIF($A$2:A4977,A4977)&gt;1,"DUP","OK")</f>
        <v>OK</v>
      </c>
      <c r="O4977" s="23" t="str">
        <f t="shared" si="232"/>
        <v>ORD26001971</v>
      </c>
      <c r="P4977" s="23" t="str">
        <f t="shared" si="233"/>
        <v>Sep</v>
      </c>
      <c r="Q4977" s="23" t="str">
        <f>IF(F4977="CAPTURE",IF(COUNTIF(orders!$A:$A,O4977)&gt;0,"Yes","NO ORDER"),"")</f>
        <v>Yes</v>
      </c>
    </row>
    <row r="4978" spans="1:17" ht="15" customHeight="1" x14ac:dyDescent="0.3">
      <c r="A4978" s="23" t="s">
        <v>18142</v>
      </c>
      <c r="B4978" s="23"/>
      <c r="C4978" s="23" t="s">
        <v>18143</v>
      </c>
      <c r="D4978" s="23" t="str">
        <f t="shared" si="231"/>
        <v>ORD26002015</v>
      </c>
      <c r="E4978" s="38">
        <v>46292</v>
      </c>
      <c r="F4978" s="23" t="s">
        <v>12410</v>
      </c>
      <c r="G4978" s="23" t="s">
        <v>79</v>
      </c>
      <c r="H4978" s="24">
        <v>599</v>
      </c>
      <c r="I4978" s="24">
        <v>10.78</v>
      </c>
      <c r="J4978" s="24">
        <v>1.94</v>
      </c>
      <c r="K4978" s="24">
        <v>586.28</v>
      </c>
      <c r="L4978" s="38">
        <v>46294</v>
      </c>
      <c r="M4978" s="23" t="s">
        <v>229</v>
      </c>
      <c r="N4978" s="23" t="str">
        <f>IF(COUNTIF($A$2:A4978,A4978)&gt;1,"DUP","OK")</f>
        <v>OK</v>
      </c>
      <c r="O4978" s="23" t="str">
        <f t="shared" si="232"/>
        <v>ORD26002015</v>
      </c>
      <c r="P4978" s="23" t="str">
        <f t="shared" si="233"/>
        <v>Sep</v>
      </c>
      <c r="Q4978" s="23" t="str">
        <f>IF(F4978="CAPTURE",IF(COUNTIF(orders!$A:$A,O4978)&gt;0,"Yes","NO ORDER"),"")</f>
        <v>Yes</v>
      </c>
    </row>
    <row r="4979" spans="1:17" ht="15" customHeight="1" x14ac:dyDescent="0.3">
      <c r="A4979" s="23" t="s">
        <v>18144</v>
      </c>
      <c r="B4979" s="23"/>
      <c r="C4979" s="23" t="s">
        <v>4535</v>
      </c>
      <c r="D4979" s="23" t="str">
        <f t="shared" si="231"/>
        <v>ORD26002023</v>
      </c>
      <c r="E4979" s="38">
        <v>46292</v>
      </c>
      <c r="F4979" s="23" t="s">
        <v>12410</v>
      </c>
      <c r="G4979" s="23" t="s">
        <v>75</v>
      </c>
      <c r="H4979" s="24">
        <v>4197</v>
      </c>
      <c r="I4979" s="24">
        <v>12.59</v>
      </c>
      <c r="J4979" s="24">
        <v>2.27</v>
      </c>
      <c r="K4979" s="24">
        <v>4182.1400000000003</v>
      </c>
      <c r="L4979" s="38">
        <v>46294</v>
      </c>
      <c r="M4979" s="23" t="s">
        <v>229</v>
      </c>
      <c r="N4979" s="23" t="str">
        <f>IF(COUNTIF($A$2:A4979,A4979)&gt;1,"DUP","OK")</f>
        <v>OK</v>
      </c>
      <c r="O4979" s="23" t="str">
        <f t="shared" si="232"/>
        <v>ORD26002023</v>
      </c>
      <c r="P4979" s="23" t="str">
        <f t="shared" si="233"/>
        <v>Sep</v>
      </c>
      <c r="Q4979" s="23" t="str">
        <f>IF(F4979="CAPTURE",IF(COUNTIF(orders!$A:$A,O4979)&gt;0,"Yes","NO ORDER"),"")</f>
        <v>Yes</v>
      </c>
    </row>
    <row r="4980" spans="1:17" ht="15" customHeight="1" x14ac:dyDescent="0.3">
      <c r="A4980" s="23" t="s">
        <v>18145</v>
      </c>
      <c r="B4980" s="23"/>
      <c r="C4980" s="23" t="s">
        <v>4560</v>
      </c>
      <c r="D4980" s="23" t="str">
        <f t="shared" si="231"/>
        <v>ORD26002035</v>
      </c>
      <c r="E4980" s="38">
        <v>46292</v>
      </c>
      <c r="F4980" s="23" t="s">
        <v>12410</v>
      </c>
      <c r="G4980" s="23" t="s">
        <v>75</v>
      </c>
      <c r="H4980" s="24">
        <v>5298</v>
      </c>
      <c r="I4980" s="24">
        <v>15.89</v>
      </c>
      <c r="J4980" s="24">
        <v>2.86</v>
      </c>
      <c r="K4980" s="24">
        <v>5279.25</v>
      </c>
      <c r="L4980" s="38">
        <v>46294</v>
      </c>
      <c r="M4980" s="23" t="s">
        <v>229</v>
      </c>
      <c r="N4980" s="23" t="str">
        <f>IF(COUNTIF($A$2:A4980,A4980)&gt;1,"DUP","OK")</f>
        <v>OK</v>
      </c>
      <c r="O4980" s="23" t="str">
        <f t="shared" si="232"/>
        <v>ORD26002035</v>
      </c>
      <c r="P4980" s="23" t="str">
        <f t="shared" si="233"/>
        <v>Sep</v>
      </c>
      <c r="Q4980" s="23" t="str">
        <f>IF(F4980="CAPTURE",IF(COUNTIF(orders!$A:$A,O4980)&gt;0,"Yes","NO ORDER"),"")</f>
        <v>Yes</v>
      </c>
    </row>
    <row r="4981" spans="1:17" ht="15" customHeight="1" x14ac:dyDescent="0.3">
      <c r="A4981" s="23" t="s">
        <v>18146</v>
      </c>
      <c r="B4981" s="23"/>
      <c r="C4981" s="23" t="s">
        <v>18147</v>
      </c>
      <c r="D4981" s="23" t="str">
        <f t="shared" si="231"/>
        <v>ORD26002040</v>
      </c>
      <c r="E4981" s="38">
        <v>46292</v>
      </c>
      <c r="F4981" s="23" t="s">
        <v>12410</v>
      </c>
      <c r="G4981" s="23" t="s">
        <v>77</v>
      </c>
      <c r="H4981" s="24">
        <v>1499</v>
      </c>
      <c r="I4981" s="24">
        <v>28.48</v>
      </c>
      <c r="J4981" s="24">
        <v>5.13</v>
      </c>
      <c r="K4981" s="24">
        <v>1465.39</v>
      </c>
      <c r="L4981" s="38">
        <v>46294</v>
      </c>
      <c r="M4981" s="23" t="s">
        <v>229</v>
      </c>
      <c r="N4981" s="23" t="str">
        <f>IF(COUNTIF($A$2:A4981,A4981)&gt;1,"DUP","OK")</f>
        <v>OK</v>
      </c>
      <c r="O4981" s="23" t="str">
        <f t="shared" si="232"/>
        <v>ORD26002040</v>
      </c>
      <c r="P4981" s="23" t="str">
        <f t="shared" si="233"/>
        <v>Sep</v>
      </c>
      <c r="Q4981" s="23" t="str">
        <f>IF(F4981="CAPTURE",IF(COUNTIF(orders!$A:$A,O4981)&gt;0,"Yes","NO ORDER"),"")</f>
        <v>Yes</v>
      </c>
    </row>
    <row r="4982" spans="1:17" ht="15" customHeight="1" x14ac:dyDescent="0.3">
      <c r="A4982" s="23" t="s">
        <v>18148</v>
      </c>
      <c r="B4982" s="23"/>
      <c r="C4982" s="23" t="s">
        <v>4662</v>
      </c>
      <c r="D4982" s="23" t="str">
        <f t="shared" si="231"/>
        <v>ORD26002086</v>
      </c>
      <c r="E4982" s="38">
        <v>46292</v>
      </c>
      <c r="F4982" s="23" t="s">
        <v>12410</v>
      </c>
      <c r="G4982" s="23" t="s">
        <v>75</v>
      </c>
      <c r="H4982" s="24">
        <v>4797</v>
      </c>
      <c r="I4982" s="24">
        <v>14.39</v>
      </c>
      <c r="J4982" s="24">
        <v>2.59</v>
      </c>
      <c r="K4982" s="24">
        <v>4780.0200000000004</v>
      </c>
      <c r="L4982" s="38">
        <v>46294</v>
      </c>
      <c r="M4982" s="23" t="s">
        <v>229</v>
      </c>
      <c r="N4982" s="23" t="str">
        <f>IF(COUNTIF($A$2:A4982,A4982)&gt;1,"DUP","OK")</f>
        <v>OK</v>
      </c>
      <c r="O4982" s="23" t="str">
        <f t="shared" si="232"/>
        <v>ORD26002086</v>
      </c>
      <c r="P4982" s="23" t="str">
        <f t="shared" si="233"/>
        <v>Sep</v>
      </c>
      <c r="Q4982" s="23" t="str">
        <f>IF(F4982="CAPTURE",IF(COUNTIF(orders!$A:$A,O4982)&gt;0,"Yes","NO ORDER"),"")</f>
        <v>Yes</v>
      </c>
    </row>
    <row r="4983" spans="1:17" ht="15" customHeight="1" x14ac:dyDescent="0.3">
      <c r="A4983" s="23" t="s">
        <v>18149</v>
      </c>
      <c r="B4983" s="23"/>
      <c r="C4983" s="23" t="s">
        <v>4703</v>
      </c>
      <c r="D4983" s="23" t="str">
        <f t="shared" si="231"/>
        <v>ORD26002106</v>
      </c>
      <c r="E4983" s="38">
        <v>46292</v>
      </c>
      <c r="F4983" s="23" t="s">
        <v>12410</v>
      </c>
      <c r="G4983" s="23" t="s">
        <v>79</v>
      </c>
      <c r="H4983" s="24">
        <v>6998</v>
      </c>
      <c r="I4983" s="24">
        <v>111.97</v>
      </c>
      <c r="J4983" s="24">
        <v>20.149999999999999</v>
      </c>
      <c r="K4983" s="24">
        <v>6865.88</v>
      </c>
      <c r="L4983" s="38">
        <v>46294</v>
      </c>
      <c r="M4983" s="23" t="s">
        <v>229</v>
      </c>
      <c r="N4983" s="23" t="str">
        <f>IF(COUNTIF($A$2:A4983,A4983)&gt;1,"DUP","OK")</f>
        <v>OK</v>
      </c>
      <c r="O4983" s="23" t="str">
        <f t="shared" si="232"/>
        <v>ORD26002106</v>
      </c>
      <c r="P4983" s="23" t="str">
        <f t="shared" si="233"/>
        <v>Sep</v>
      </c>
      <c r="Q4983" s="23" t="str">
        <f>IF(F4983="CAPTURE",IF(COUNTIF(orders!$A:$A,O4983)&gt;0,"Yes","NO ORDER"),"")</f>
        <v>Yes</v>
      </c>
    </row>
    <row r="4984" spans="1:17" ht="15" customHeight="1" x14ac:dyDescent="0.3">
      <c r="A4984" s="23" t="s">
        <v>18150</v>
      </c>
      <c r="B4984" s="23"/>
      <c r="C4984" s="23" t="s">
        <v>4750</v>
      </c>
      <c r="D4984" s="23" t="str">
        <f t="shared" si="231"/>
        <v>ORD26002130</v>
      </c>
      <c r="E4984" s="38">
        <v>46292</v>
      </c>
      <c r="F4984" s="23" t="s">
        <v>12410</v>
      </c>
      <c r="G4984" s="23" t="s">
        <v>81</v>
      </c>
      <c r="H4984" s="24">
        <v>1499</v>
      </c>
      <c r="I4984" s="24">
        <v>22.49</v>
      </c>
      <c r="J4984" s="24">
        <v>4.05</v>
      </c>
      <c r="K4984" s="24">
        <v>1472.46</v>
      </c>
      <c r="L4984" s="38">
        <v>46294</v>
      </c>
      <c r="M4984" s="23" t="s">
        <v>229</v>
      </c>
      <c r="N4984" s="23" t="str">
        <f>IF(COUNTIF($A$2:A4984,A4984)&gt;1,"DUP","OK")</f>
        <v>OK</v>
      </c>
      <c r="O4984" s="23" t="str">
        <f t="shared" si="232"/>
        <v>ORD26002130</v>
      </c>
      <c r="P4984" s="23" t="str">
        <f t="shared" si="233"/>
        <v>Sep</v>
      </c>
      <c r="Q4984" s="23" t="str">
        <f>IF(F4984="CAPTURE",IF(COUNTIF(orders!$A:$A,O4984)&gt;0,"Yes","NO ORDER"),"")</f>
        <v>Yes</v>
      </c>
    </row>
    <row r="4985" spans="1:17" ht="15" customHeight="1" x14ac:dyDescent="0.3">
      <c r="A4985" s="23" t="s">
        <v>18151</v>
      </c>
      <c r="B4985" s="23"/>
      <c r="C4985" s="23" t="s">
        <v>4762</v>
      </c>
      <c r="D4985" s="23" t="str">
        <f t="shared" si="231"/>
        <v>ORD26002136</v>
      </c>
      <c r="E4985" s="38">
        <v>46292</v>
      </c>
      <c r="F4985" s="23" t="s">
        <v>12410</v>
      </c>
      <c r="G4985" s="23" t="s">
        <v>77</v>
      </c>
      <c r="H4985" s="24">
        <v>1798</v>
      </c>
      <c r="I4985" s="24">
        <v>34.159999999999997</v>
      </c>
      <c r="J4985" s="24">
        <v>6.15</v>
      </c>
      <c r="K4985" s="24">
        <v>1757.69</v>
      </c>
      <c r="L4985" s="38">
        <v>46294</v>
      </c>
      <c r="M4985" s="23" t="s">
        <v>229</v>
      </c>
      <c r="N4985" s="23" t="str">
        <f>IF(COUNTIF($A$2:A4985,A4985)&gt;1,"DUP","OK")</f>
        <v>OK</v>
      </c>
      <c r="O4985" s="23" t="str">
        <f t="shared" si="232"/>
        <v>ORD26002136</v>
      </c>
      <c r="P4985" s="23" t="str">
        <f t="shared" si="233"/>
        <v>Sep</v>
      </c>
      <c r="Q4985" s="23" t="str">
        <f>IF(F4985="CAPTURE",IF(COUNTIF(orders!$A:$A,O4985)&gt;0,"Yes","NO ORDER"),"")</f>
        <v>Yes</v>
      </c>
    </row>
    <row r="4986" spans="1:17" ht="15" customHeight="1" x14ac:dyDescent="0.3">
      <c r="A4986" s="23" t="s">
        <v>18152</v>
      </c>
      <c r="B4986" s="23"/>
      <c r="C4986" s="23" t="s">
        <v>4799</v>
      </c>
      <c r="D4986" s="23" t="str">
        <f t="shared" si="231"/>
        <v>ORD26002155</v>
      </c>
      <c r="E4986" s="38">
        <v>46292</v>
      </c>
      <c r="F4986" s="23" t="s">
        <v>12410</v>
      </c>
      <c r="G4986" s="23" t="s">
        <v>77</v>
      </c>
      <c r="H4986" s="24">
        <v>1298</v>
      </c>
      <c r="I4986" s="24">
        <v>24.66</v>
      </c>
      <c r="J4986" s="24">
        <v>4.4400000000000004</v>
      </c>
      <c r="K4986" s="24">
        <v>1268.9000000000001</v>
      </c>
      <c r="L4986" s="38">
        <v>46294</v>
      </c>
      <c r="M4986" s="23" t="s">
        <v>229</v>
      </c>
      <c r="N4986" s="23" t="str">
        <f>IF(COUNTIF($A$2:A4986,A4986)&gt;1,"DUP","OK")</f>
        <v>OK</v>
      </c>
      <c r="O4986" s="23" t="str">
        <f t="shared" si="232"/>
        <v>ORD26002155</v>
      </c>
      <c r="P4986" s="23" t="str">
        <f t="shared" si="233"/>
        <v>Sep</v>
      </c>
      <c r="Q4986" s="23" t="str">
        <f>IF(F4986="CAPTURE",IF(COUNTIF(orders!$A:$A,O4986)&gt;0,"Yes","NO ORDER"),"")</f>
        <v>Yes</v>
      </c>
    </row>
    <row r="4987" spans="1:17" ht="15" customHeight="1" x14ac:dyDescent="0.3">
      <c r="A4987" s="23" t="s">
        <v>18153</v>
      </c>
      <c r="B4987" s="23"/>
      <c r="C4987" s="23" t="s">
        <v>4831</v>
      </c>
      <c r="D4987" s="23" t="str">
        <f t="shared" si="231"/>
        <v>ORD26002171</v>
      </c>
      <c r="E4987" s="38">
        <v>46292</v>
      </c>
      <c r="F4987" s="23" t="s">
        <v>12410</v>
      </c>
      <c r="G4987" s="23" t="s">
        <v>75</v>
      </c>
      <c r="H4987" s="24">
        <v>2098</v>
      </c>
      <c r="I4987" s="24">
        <v>6.29</v>
      </c>
      <c r="J4987" s="24">
        <v>1.1299999999999999</v>
      </c>
      <c r="K4987" s="24">
        <v>2090.58</v>
      </c>
      <c r="L4987" s="38">
        <v>46294</v>
      </c>
      <c r="M4987" s="23" t="s">
        <v>229</v>
      </c>
      <c r="N4987" s="23" t="str">
        <f>IF(COUNTIF($A$2:A4987,A4987)&gt;1,"DUP","OK")</f>
        <v>OK</v>
      </c>
      <c r="O4987" s="23" t="str">
        <f t="shared" si="232"/>
        <v>ORD26002171</v>
      </c>
      <c r="P4987" s="23" t="str">
        <f t="shared" si="233"/>
        <v>Sep</v>
      </c>
      <c r="Q4987" s="23" t="str">
        <f>IF(F4987="CAPTURE",IF(COUNTIF(orders!$A:$A,O4987)&gt;0,"Yes","NO ORDER"),"")</f>
        <v>Yes</v>
      </c>
    </row>
    <row r="4988" spans="1:17" ht="15" customHeight="1" x14ac:dyDescent="0.3">
      <c r="A4988" s="23" t="s">
        <v>18154</v>
      </c>
      <c r="B4988" s="23"/>
      <c r="C4988" s="23" t="s">
        <v>4841</v>
      </c>
      <c r="D4988" s="23" t="str">
        <f t="shared" si="231"/>
        <v>ORD26002176</v>
      </c>
      <c r="E4988" s="38">
        <v>46292</v>
      </c>
      <c r="F4988" s="23" t="s">
        <v>12410</v>
      </c>
      <c r="G4988" s="23" t="s">
        <v>75</v>
      </c>
      <c r="H4988" s="24">
        <v>349</v>
      </c>
      <c r="I4988" s="24">
        <v>0</v>
      </c>
      <c r="J4988" s="24">
        <v>0</v>
      </c>
      <c r="K4988" s="24">
        <v>349</v>
      </c>
      <c r="L4988" s="38">
        <v>46294</v>
      </c>
      <c r="M4988" s="23" t="s">
        <v>229</v>
      </c>
      <c r="N4988" s="23" t="str">
        <f>IF(COUNTIF($A$2:A4988,A4988)&gt;1,"DUP","OK")</f>
        <v>OK</v>
      </c>
      <c r="O4988" s="23" t="str">
        <f t="shared" si="232"/>
        <v>ORD26002176</v>
      </c>
      <c r="P4988" s="23" t="str">
        <f t="shared" si="233"/>
        <v>Sep</v>
      </c>
      <c r="Q4988" s="23" t="str">
        <f>IF(F4988="CAPTURE",IF(COUNTIF(orders!$A:$A,O4988)&gt;0,"Yes","NO ORDER"),"")</f>
        <v>Yes</v>
      </c>
    </row>
    <row r="4989" spans="1:17" ht="15" customHeight="1" x14ac:dyDescent="0.3">
      <c r="A4989" s="23" t="s">
        <v>18155</v>
      </c>
      <c r="B4989" s="23"/>
      <c r="C4989" s="23" t="s">
        <v>4879</v>
      </c>
      <c r="D4989" s="23" t="str">
        <f t="shared" si="231"/>
        <v>ORD26002194</v>
      </c>
      <c r="E4989" s="38">
        <v>46292</v>
      </c>
      <c r="F4989" s="23" t="s">
        <v>12410</v>
      </c>
      <c r="G4989" s="23" t="s">
        <v>75</v>
      </c>
      <c r="H4989" s="24">
        <v>2897</v>
      </c>
      <c r="I4989" s="24">
        <v>8.69</v>
      </c>
      <c r="J4989" s="24">
        <v>1.56</v>
      </c>
      <c r="K4989" s="24">
        <v>2886.75</v>
      </c>
      <c r="L4989" s="38">
        <v>46294</v>
      </c>
      <c r="M4989" s="23" t="s">
        <v>229</v>
      </c>
      <c r="N4989" s="23" t="str">
        <f>IF(COUNTIF($A$2:A4989,A4989)&gt;1,"DUP","OK")</f>
        <v>OK</v>
      </c>
      <c r="O4989" s="23" t="str">
        <f t="shared" si="232"/>
        <v>ORD26002194</v>
      </c>
      <c r="P4989" s="23" t="str">
        <f t="shared" si="233"/>
        <v>Sep</v>
      </c>
      <c r="Q4989" s="23" t="str">
        <f>IF(F4989="CAPTURE",IF(COUNTIF(orders!$A:$A,O4989)&gt;0,"Yes","NO ORDER"),"")</f>
        <v>Yes</v>
      </c>
    </row>
    <row r="4990" spans="1:17" ht="15" customHeight="1" x14ac:dyDescent="0.3">
      <c r="A4990" s="23" t="s">
        <v>18156</v>
      </c>
      <c r="B4990" s="23"/>
      <c r="C4990" s="23" t="s">
        <v>4899</v>
      </c>
      <c r="D4990" s="23" t="str">
        <f t="shared" si="231"/>
        <v>ORD26002204</v>
      </c>
      <c r="E4990" s="38">
        <v>46292</v>
      </c>
      <c r="F4990" s="23" t="s">
        <v>12410</v>
      </c>
      <c r="G4990" s="23" t="s">
        <v>77</v>
      </c>
      <c r="H4990" s="24">
        <v>349</v>
      </c>
      <c r="I4990" s="24">
        <v>6.63</v>
      </c>
      <c r="J4990" s="24">
        <v>1.19</v>
      </c>
      <c r="K4990" s="24">
        <v>341.18</v>
      </c>
      <c r="L4990" s="38">
        <v>46294</v>
      </c>
      <c r="M4990" s="23" t="s">
        <v>229</v>
      </c>
      <c r="N4990" s="23" t="str">
        <f>IF(COUNTIF($A$2:A4990,A4990)&gt;1,"DUP","OK")</f>
        <v>OK</v>
      </c>
      <c r="O4990" s="23" t="str">
        <f t="shared" si="232"/>
        <v>ORD26002204</v>
      </c>
      <c r="P4990" s="23" t="str">
        <f t="shared" si="233"/>
        <v>Sep</v>
      </c>
      <c r="Q4990" s="23" t="str">
        <f>IF(F4990="CAPTURE",IF(COUNTIF(orders!$A:$A,O4990)&gt;0,"Yes","NO ORDER"),"")</f>
        <v>Yes</v>
      </c>
    </row>
    <row r="4991" spans="1:17" ht="15" customHeight="1" x14ac:dyDescent="0.3">
      <c r="A4991" s="23" t="s">
        <v>18157</v>
      </c>
      <c r="B4991" s="23"/>
      <c r="C4991" s="23" t="s">
        <v>5008</v>
      </c>
      <c r="D4991" s="23" t="str">
        <f t="shared" si="231"/>
        <v>ORD26002257</v>
      </c>
      <c r="E4991" s="38">
        <v>46292</v>
      </c>
      <c r="F4991" s="23" t="s">
        <v>12410</v>
      </c>
      <c r="G4991" s="23" t="s">
        <v>75</v>
      </c>
      <c r="H4991" s="24">
        <v>6597</v>
      </c>
      <c r="I4991" s="24">
        <v>19.79</v>
      </c>
      <c r="J4991" s="24">
        <v>3.56</v>
      </c>
      <c r="K4991" s="24">
        <v>6573.65</v>
      </c>
      <c r="L4991" s="38">
        <v>46294</v>
      </c>
      <c r="M4991" s="23" t="s">
        <v>229</v>
      </c>
      <c r="N4991" s="23" t="str">
        <f>IF(COUNTIF($A$2:A4991,A4991)&gt;1,"DUP","OK")</f>
        <v>OK</v>
      </c>
      <c r="O4991" s="23" t="str">
        <f t="shared" si="232"/>
        <v>ORD26002257</v>
      </c>
      <c r="P4991" s="23" t="str">
        <f t="shared" si="233"/>
        <v>Sep</v>
      </c>
      <c r="Q4991" s="23" t="str">
        <f>IF(F4991="CAPTURE",IF(COUNTIF(orders!$A:$A,O4991)&gt;0,"Yes","NO ORDER"),"")</f>
        <v>Yes</v>
      </c>
    </row>
    <row r="4992" spans="1:17" ht="15" customHeight="1" x14ac:dyDescent="0.3">
      <c r="A4992" s="23" t="s">
        <v>18158</v>
      </c>
      <c r="B4992" s="23"/>
      <c r="C4992" s="23" t="s">
        <v>5048</v>
      </c>
      <c r="D4992" s="23" t="str">
        <f t="shared" si="231"/>
        <v>ORD26002277</v>
      </c>
      <c r="E4992" s="38">
        <v>46292</v>
      </c>
      <c r="F4992" s="23" t="s">
        <v>12410</v>
      </c>
      <c r="G4992" s="23" t="s">
        <v>75</v>
      </c>
      <c r="H4992" s="24">
        <v>7999</v>
      </c>
      <c r="I4992" s="24">
        <v>24</v>
      </c>
      <c r="J4992" s="24">
        <v>4.32</v>
      </c>
      <c r="K4992" s="24">
        <v>7970.68</v>
      </c>
      <c r="L4992" s="38">
        <v>46294</v>
      </c>
      <c r="M4992" s="23" t="s">
        <v>229</v>
      </c>
      <c r="N4992" s="23" t="str">
        <f>IF(COUNTIF($A$2:A4992,A4992)&gt;1,"DUP","OK")</f>
        <v>OK</v>
      </c>
      <c r="O4992" s="23" t="str">
        <f t="shared" si="232"/>
        <v>ORD26002277</v>
      </c>
      <c r="P4992" s="23" t="str">
        <f t="shared" si="233"/>
        <v>Sep</v>
      </c>
      <c r="Q4992" s="23" t="str">
        <f>IF(F4992="CAPTURE",IF(COUNTIF(orders!$A:$A,O4992)&gt;0,"Yes","NO ORDER"),"")</f>
        <v>Yes</v>
      </c>
    </row>
    <row r="4993" spans="1:17" ht="15" customHeight="1" x14ac:dyDescent="0.3">
      <c r="A4993" s="23" t="s">
        <v>18159</v>
      </c>
      <c r="B4993" s="23"/>
      <c r="C4993" s="23" t="s">
        <v>5073</v>
      </c>
      <c r="D4993" s="23" t="str">
        <f t="shared" si="231"/>
        <v>ORD26002290</v>
      </c>
      <c r="E4993" s="38">
        <v>46292</v>
      </c>
      <c r="F4993" s="23" t="s">
        <v>12410</v>
      </c>
      <c r="G4993" s="23" t="s">
        <v>79</v>
      </c>
      <c r="H4993" s="24">
        <v>999</v>
      </c>
      <c r="I4993" s="24">
        <v>17.98</v>
      </c>
      <c r="J4993" s="24">
        <v>3.24</v>
      </c>
      <c r="K4993" s="24">
        <v>977.78</v>
      </c>
      <c r="L4993" s="38">
        <v>46294</v>
      </c>
      <c r="M4993" s="23" t="s">
        <v>229</v>
      </c>
      <c r="N4993" s="23" t="str">
        <f>IF(COUNTIF($A$2:A4993,A4993)&gt;1,"DUP","OK")</f>
        <v>OK</v>
      </c>
      <c r="O4993" s="23" t="str">
        <f t="shared" si="232"/>
        <v>ORD26002290</v>
      </c>
      <c r="P4993" s="23" t="str">
        <f t="shared" si="233"/>
        <v>Sep</v>
      </c>
      <c r="Q4993" s="23" t="str">
        <f>IF(F4993="CAPTURE",IF(COUNTIF(orders!$A:$A,O4993)&gt;0,"Yes","NO ORDER"),"")</f>
        <v>Yes</v>
      </c>
    </row>
    <row r="4994" spans="1:17" ht="15" customHeight="1" x14ac:dyDescent="0.3">
      <c r="A4994" s="23" t="s">
        <v>18160</v>
      </c>
      <c r="B4994" s="23"/>
      <c r="C4994" s="23" t="s">
        <v>5122</v>
      </c>
      <c r="D4994" s="23" t="str">
        <f t="shared" ref="D4994:D5057" si="234">UPPER(SUBSTITUTE(TRIM(C4994),"-",""))</f>
        <v>ORD26002314</v>
      </c>
      <c r="E4994" s="38">
        <v>46292</v>
      </c>
      <c r="F4994" s="23" t="s">
        <v>12410</v>
      </c>
      <c r="G4994" s="23" t="s">
        <v>75</v>
      </c>
      <c r="H4994" s="24">
        <v>7999</v>
      </c>
      <c r="I4994" s="24">
        <v>24</v>
      </c>
      <c r="J4994" s="24">
        <v>4.32</v>
      </c>
      <c r="K4994" s="24">
        <v>7970.68</v>
      </c>
      <c r="L4994" s="38">
        <v>46294</v>
      </c>
      <c r="M4994" s="23" t="s">
        <v>229</v>
      </c>
      <c r="N4994" s="23" t="str">
        <f>IF(COUNTIF($A$2:A4994,A4994)&gt;1,"DUP","OK")</f>
        <v>OK</v>
      </c>
      <c r="O4994" s="23" t="str">
        <f t="shared" ref="O4994:O5057" si="235">IF(F4994="REFUND",INDEX($D:$D,MATCH(B4994,$A:$A,0)),D4994)</f>
        <v>ORD26002314</v>
      </c>
      <c r="P4994" s="23" t="str">
        <f t="shared" ref="P4994:P5057" si="236">IF(L4994&gt;DATE(2026,9,30),"Oct-Due","Sep")</f>
        <v>Sep</v>
      </c>
      <c r="Q4994" s="23" t="str">
        <f>IF(F4994="CAPTURE",IF(COUNTIF(orders!$A:$A,O4994)&gt;0,"Yes","NO ORDER"),"")</f>
        <v>Yes</v>
      </c>
    </row>
    <row r="4995" spans="1:17" ht="15" customHeight="1" x14ac:dyDescent="0.3">
      <c r="A4995" s="23" t="s">
        <v>18161</v>
      </c>
      <c r="B4995" s="23"/>
      <c r="C4995" s="23" t="s">
        <v>5235</v>
      </c>
      <c r="D4995" s="23" t="str">
        <f t="shared" si="234"/>
        <v>ORD26002371</v>
      </c>
      <c r="E4995" s="38">
        <v>46292</v>
      </c>
      <c r="F4995" s="23" t="s">
        <v>12410</v>
      </c>
      <c r="G4995" s="23" t="s">
        <v>81</v>
      </c>
      <c r="H4995" s="24">
        <v>1598</v>
      </c>
      <c r="I4995" s="24">
        <v>23.97</v>
      </c>
      <c r="J4995" s="24">
        <v>4.3099999999999996</v>
      </c>
      <c r="K4995" s="24">
        <v>1569.72</v>
      </c>
      <c r="L4995" s="38">
        <v>46294</v>
      </c>
      <c r="M4995" s="23" t="s">
        <v>229</v>
      </c>
      <c r="N4995" s="23" t="str">
        <f>IF(COUNTIF($A$2:A4995,A4995)&gt;1,"DUP","OK")</f>
        <v>OK</v>
      </c>
      <c r="O4995" s="23" t="str">
        <f t="shared" si="235"/>
        <v>ORD26002371</v>
      </c>
      <c r="P4995" s="23" t="str">
        <f t="shared" si="236"/>
        <v>Sep</v>
      </c>
      <c r="Q4995" s="23" t="str">
        <f>IF(F4995="CAPTURE",IF(COUNTIF(orders!$A:$A,O4995)&gt;0,"Yes","NO ORDER"),"")</f>
        <v>Yes</v>
      </c>
    </row>
    <row r="4996" spans="1:17" ht="15" customHeight="1" x14ac:dyDescent="0.3">
      <c r="A4996" s="23" t="s">
        <v>18162</v>
      </c>
      <c r="B4996" s="23"/>
      <c r="C4996" s="23" t="s">
        <v>18163</v>
      </c>
      <c r="D4996" s="23" t="str">
        <f t="shared" si="234"/>
        <v>ORD26002471</v>
      </c>
      <c r="E4996" s="38">
        <v>46292</v>
      </c>
      <c r="F4996" s="23" t="s">
        <v>12410</v>
      </c>
      <c r="G4996" s="23" t="s">
        <v>77</v>
      </c>
      <c r="H4996" s="24">
        <v>1598</v>
      </c>
      <c r="I4996" s="24">
        <v>30.36</v>
      </c>
      <c r="J4996" s="24">
        <v>5.46</v>
      </c>
      <c r="K4996" s="24">
        <v>1562.18</v>
      </c>
      <c r="L4996" s="38">
        <v>46294</v>
      </c>
      <c r="M4996" s="23" t="s">
        <v>229</v>
      </c>
      <c r="N4996" s="23" t="str">
        <f>IF(COUNTIF($A$2:A4996,A4996)&gt;1,"DUP","OK")</f>
        <v>OK</v>
      </c>
      <c r="O4996" s="23" t="str">
        <f t="shared" si="235"/>
        <v>ORD26002471</v>
      </c>
      <c r="P4996" s="23" t="str">
        <f t="shared" si="236"/>
        <v>Sep</v>
      </c>
      <c r="Q4996" s="23" t="str">
        <f>IF(F4996="CAPTURE",IF(COUNTIF(orders!$A:$A,O4996)&gt;0,"Yes","NO ORDER"),"")</f>
        <v>Yes</v>
      </c>
    </row>
    <row r="4997" spans="1:17" ht="15" customHeight="1" x14ac:dyDescent="0.3">
      <c r="A4997" s="23" t="s">
        <v>18164</v>
      </c>
      <c r="B4997" s="23"/>
      <c r="C4997" s="23" t="s">
        <v>5453</v>
      </c>
      <c r="D4997" s="23" t="str">
        <f t="shared" si="234"/>
        <v>ORD26002482</v>
      </c>
      <c r="E4997" s="38">
        <v>46292</v>
      </c>
      <c r="F4997" s="23" t="s">
        <v>12410</v>
      </c>
      <c r="G4997" s="23" t="s">
        <v>81</v>
      </c>
      <c r="H4997" s="24">
        <v>999</v>
      </c>
      <c r="I4997" s="24">
        <v>14.99</v>
      </c>
      <c r="J4997" s="24">
        <v>2.7</v>
      </c>
      <c r="K4997" s="24">
        <v>981.31</v>
      </c>
      <c r="L4997" s="38">
        <v>46294</v>
      </c>
      <c r="M4997" s="23" t="s">
        <v>229</v>
      </c>
      <c r="N4997" s="23" t="str">
        <f>IF(COUNTIF($A$2:A4997,A4997)&gt;1,"DUP","OK")</f>
        <v>OK</v>
      </c>
      <c r="O4997" s="23" t="str">
        <f t="shared" si="235"/>
        <v>ORD26002482</v>
      </c>
      <c r="P4997" s="23" t="str">
        <f t="shared" si="236"/>
        <v>Sep</v>
      </c>
      <c r="Q4997" s="23" t="str">
        <f>IF(F4997="CAPTURE",IF(COUNTIF(orders!$A:$A,O4997)&gt;0,"Yes","NO ORDER"),"")</f>
        <v>Yes</v>
      </c>
    </row>
    <row r="4998" spans="1:17" ht="15" customHeight="1" x14ac:dyDescent="0.3">
      <c r="A4998" s="23" t="s">
        <v>18165</v>
      </c>
      <c r="B4998" s="23"/>
      <c r="C4998" s="23" t="s">
        <v>5460</v>
      </c>
      <c r="D4998" s="23" t="str">
        <f t="shared" si="234"/>
        <v>ORD26002486</v>
      </c>
      <c r="E4998" s="38">
        <v>46292</v>
      </c>
      <c r="F4998" s="23" t="s">
        <v>12410</v>
      </c>
      <c r="G4998" s="23" t="s">
        <v>75</v>
      </c>
      <c r="H4998" s="24">
        <v>9998</v>
      </c>
      <c r="I4998" s="24">
        <v>29.99</v>
      </c>
      <c r="J4998" s="24">
        <v>5.4</v>
      </c>
      <c r="K4998" s="24">
        <v>9962.61</v>
      </c>
      <c r="L4998" s="38">
        <v>46294</v>
      </c>
      <c r="M4998" s="23" t="s">
        <v>229</v>
      </c>
      <c r="N4998" s="23" t="str">
        <f>IF(COUNTIF($A$2:A4998,A4998)&gt;1,"DUP","OK")</f>
        <v>OK</v>
      </c>
      <c r="O4998" s="23" t="str">
        <f t="shared" si="235"/>
        <v>ORD26002486</v>
      </c>
      <c r="P4998" s="23" t="str">
        <f t="shared" si="236"/>
        <v>Sep</v>
      </c>
      <c r="Q4998" s="23" t="str">
        <f>IF(F4998="CAPTURE",IF(COUNTIF(orders!$A:$A,O4998)&gt;0,"Yes","NO ORDER"),"")</f>
        <v>Yes</v>
      </c>
    </row>
    <row r="4999" spans="1:17" ht="15" customHeight="1" x14ac:dyDescent="0.3">
      <c r="A4999" s="23" t="s">
        <v>18166</v>
      </c>
      <c r="B4999" s="23"/>
      <c r="C4999" s="23" t="s">
        <v>5476</v>
      </c>
      <c r="D4999" s="23" t="str">
        <f t="shared" si="234"/>
        <v>ORD26002494</v>
      </c>
      <c r="E4999" s="38">
        <v>46292</v>
      </c>
      <c r="F4999" s="23" t="s">
        <v>12410</v>
      </c>
      <c r="G4999" s="23" t="s">
        <v>75</v>
      </c>
      <c r="H4999" s="24">
        <v>1098</v>
      </c>
      <c r="I4999" s="24">
        <v>0</v>
      </c>
      <c r="J4999" s="24">
        <v>0</v>
      </c>
      <c r="K4999" s="24">
        <v>1098</v>
      </c>
      <c r="L4999" s="38">
        <v>46294</v>
      </c>
      <c r="M4999" s="23" t="s">
        <v>229</v>
      </c>
      <c r="N4999" s="23" t="str">
        <f>IF(COUNTIF($A$2:A4999,A4999)&gt;1,"DUP","OK")</f>
        <v>OK</v>
      </c>
      <c r="O4999" s="23" t="str">
        <f t="shared" si="235"/>
        <v>ORD26002494</v>
      </c>
      <c r="P4999" s="23" t="str">
        <f t="shared" si="236"/>
        <v>Sep</v>
      </c>
      <c r="Q4999" s="23" t="str">
        <f>IF(F4999="CAPTURE",IF(COUNTIF(orders!$A:$A,O4999)&gt;0,"Yes","NO ORDER"),"")</f>
        <v>Yes</v>
      </c>
    </row>
    <row r="5000" spans="1:17" ht="15" customHeight="1" x14ac:dyDescent="0.3">
      <c r="A5000" s="23" t="s">
        <v>18167</v>
      </c>
      <c r="B5000" s="23"/>
      <c r="C5000" s="23" t="s">
        <v>5535</v>
      </c>
      <c r="D5000" s="23" t="str">
        <f t="shared" si="234"/>
        <v>ORD26002522</v>
      </c>
      <c r="E5000" s="38">
        <v>46292</v>
      </c>
      <c r="F5000" s="23" t="s">
        <v>12410</v>
      </c>
      <c r="G5000" s="23" t="s">
        <v>75</v>
      </c>
      <c r="H5000" s="24">
        <v>2848</v>
      </c>
      <c r="I5000" s="24">
        <v>8.5399999999999991</v>
      </c>
      <c r="J5000" s="24">
        <v>1.54</v>
      </c>
      <c r="K5000" s="24">
        <v>2837.92</v>
      </c>
      <c r="L5000" s="38">
        <v>46294</v>
      </c>
      <c r="M5000" s="23" t="s">
        <v>229</v>
      </c>
      <c r="N5000" s="23" t="str">
        <f>IF(COUNTIF($A$2:A5000,A5000)&gt;1,"DUP","OK")</f>
        <v>OK</v>
      </c>
      <c r="O5000" s="23" t="str">
        <f t="shared" si="235"/>
        <v>ORD26002522</v>
      </c>
      <c r="P5000" s="23" t="str">
        <f t="shared" si="236"/>
        <v>Sep</v>
      </c>
      <c r="Q5000" s="23" t="str">
        <f>IF(F5000="CAPTURE",IF(COUNTIF(orders!$A:$A,O5000)&gt;0,"Yes","NO ORDER"),"")</f>
        <v>Yes</v>
      </c>
    </row>
    <row r="5001" spans="1:17" ht="15" customHeight="1" x14ac:dyDescent="0.3">
      <c r="A5001" s="23" t="s">
        <v>18168</v>
      </c>
      <c r="B5001" s="23"/>
      <c r="C5001" s="23" t="s">
        <v>5636</v>
      </c>
      <c r="D5001" s="23" t="str">
        <f t="shared" si="234"/>
        <v>ORD26002571</v>
      </c>
      <c r="E5001" s="38">
        <v>46292</v>
      </c>
      <c r="F5001" s="23" t="s">
        <v>12410</v>
      </c>
      <c r="G5001" s="23" t="s">
        <v>75</v>
      </c>
      <c r="H5001" s="24">
        <v>1799</v>
      </c>
      <c r="I5001" s="24">
        <v>0</v>
      </c>
      <c r="J5001" s="24">
        <v>0</v>
      </c>
      <c r="K5001" s="24">
        <v>1799</v>
      </c>
      <c r="L5001" s="38">
        <v>46294</v>
      </c>
      <c r="M5001" s="23" t="s">
        <v>229</v>
      </c>
      <c r="N5001" s="23" t="str">
        <f>IF(COUNTIF($A$2:A5001,A5001)&gt;1,"DUP","OK")</f>
        <v>OK</v>
      </c>
      <c r="O5001" s="23" t="str">
        <f t="shared" si="235"/>
        <v>ORD26002571</v>
      </c>
      <c r="P5001" s="23" t="str">
        <f t="shared" si="236"/>
        <v>Sep</v>
      </c>
      <c r="Q5001" s="23" t="str">
        <f>IF(F5001="CAPTURE",IF(COUNTIF(orders!$A:$A,O5001)&gt;0,"Yes","NO ORDER"),"")</f>
        <v>Yes</v>
      </c>
    </row>
    <row r="5002" spans="1:17" ht="15" customHeight="1" x14ac:dyDescent="0.3">
      <c r="A5002" s="23" t="s">
        <v>18169</v>
      </c>
      <c r="B5002" s="23"/>
      <c r="C5002" s="23" t="s">
        <v>5643</v>
      </c>
      <c r="D5002" s="23" t="str">
        <f t="shared" si="234"/>
        <v>ORD26002575</v>
      </c>
      <c r="E5002" s="38">
        <v>46292</v>
      </c>
      <c r="F5002" s="23" t="s">
        <v>12410</v>
      </c>
      <c r="G5002" s="23" t="s">
        <v>75</v>
      </c>
      <c r="H5002" s="24">
        <v>1799</v>
      </c>
      <c r="I5002" s="24">
        <v>0</v>
      </c>
      <c r="J5002" s="24">
        <v>0</v>
      </c>
      <c r="K5002" s="24">
        <v>1799</v>
      </c>
      <c r="L5002" s="38">
        <v>46294</v>
      </c>
      <c r="M5002" s="23" t="s">
        <v>229</v>
      </c>
      <c r="N5002" s="23" t="str">
        <f>IF(COUNTIF($A$2:A5002,A5002)&gt;1,"DUP","OK")</f>
        <v>OK</v>
      </c>
      <c r="O5002" s="23" t="str">
        <f t="shared" si="235"/>
        <v>ORD26002575</v>
      </c>
      <c r="P5002" s="23" t="str">
        <f t="shared" si="236"/>
        <v>Sep</v>
      </c>
      <c r="Q5002" s="23" t="str">
        <f>IF(F5002="CAPTURE",IF(COUNTIF(orders!$A:$A,O5002)&gt;0,"Yes","NO ORDER"),"")</f>
        <v>Yes</v>
      </c>
    </row>
    <row r="5003" spans="1:17" ht="15" customHeight="1" x14ac:dyDescent="0.3">
      <c r="A5003" s="23" t="s">
        <v>18170</v>
      </c>
      <c r="B5003" s="23"/>
      <c r="C5003" s="23" t="s">
        <v>18171</v>
      </c>
      <c r="D5003" s="23" t="str">
        <f t="shared" si="234"/>
        <v>ORD26002592</v>
      </c>
      <c r="E5003" s="38">
        <v>46292</v>
      </c>
      <c r="F5003" s="23" t="s">
        <v>12410</v>
      </c>
      <c r="G5003" s="23" t="s">
        <v>79</v>
      </c>
      <c r="H5003" s="24">
        <v>2098</v>
      </c>
      <c r="I5003" s="24">
        <v>33.57</v>
      </c>
      <c r="J5003" s="24">
        <v>6.04</v>
      </c>
      <c r="K5003" s="24">
        <v>2058.39</v>
      </c>
      <c r="L5003" s="38">
        <v>46294</v>
      </c>
      <c r="M5003" s="23" t="s">
        <v>229</v>
      </c>
      <c r="N5003" s="23" t="str">
        <f>IF(COUNTIF($A$2:A5003,A5003)&gt;1,"DUP","OK")</f>
        <v>OK</v>
      </c>
      <c r="O5003" s="23" t="str">
        <f t="shared" si="235"/>
        <v>ORD26002592</v>
      </c>
      <c r="P5003" s="23" t="str">
        <f t="shared" si="236"/>
        <v>Sep</v>
      </c>
      <c r="Q5003" s="23" t="str">
        <f>IF(F5003="CAPTURE",IF(COUNTIF(orders!$A:$A,O5003)&gt;0,"Yes","NO ORDER"),"")</f>
        <v>Yes</v>
      </c>
    </row>
    <row r="5004" spans="1:17" ht="15" customHeight="1" x14ac:dyDescent="0.3">
      <c r="A5004" s="23" t="s">
        <v>18172</v>
      </c>
      <c r="B5004" s="23"/>
      <c r="C5004" s="23" t="s">
        <v>5685</v>
      </c>
      <c r="D5004" s="23" t="str">
        <f t="shared" si="234"/>
        <v>ORD26002596</v>
      </c>
      <c r="E5004" s="38">
        <v>46292</v>
      </c>
      <c r="F5004" s="23" t="s">
        <v>12410</v>
      </c>
      <c r="G5004" s="23" t="s">
        <v>79</v>
      </c>
      <c r="H5004" s="24">
        <v>3298</v>
      </c>
      <c r="I5004" s="24">
        <v>52.77</v>
      </c>
      <c r="J5004" s="24">
        <v>9.5</v>
      </c>
      <c r="K5004" s="24">
        <v>3235.73</v>
      </c>
      <c r="L5004" s="38">
        <v>46294</v>
      </c>
      <c r="M5004" s="23" t="s">
        <v>229</v>
      </c>
      <c r="N5004" s="23" t="str">
        <f>IF(COUNTIF($A$2:A5004,A5004)&gt;1,"DUP","OK")</f>
        <v>OK</v>
      </c>
      <c r="O5004" s="23" t="str">
        <f t="shared" si="235"/>
        <v>ORD26002596</v>
      </c>
      <c r="P5004" s="23" t="str">
        <f t="shared" si="236"/>
        <v>Sep</v>
      </c>
      <c r="Q5004" s="23" t="str">
        <f>IF(F5004="CAPTURE",IF(COUNTIF(orders!$A:$A,O5004)&gt;0,"Yes","NO ORDER"),"")</f>
        <v>Yes</v>
      </c>
    </row>
    <row r="5005" spans="1:17" ht="15" customHeight="1" x14ac:dyDescent="0.3">
      <c r="A5005" s="23" t="s">
        <v>18173</v>
      </c>
      <c r="B5005" s="23"/>
      <c r="C5005" s="23" t="s">
        <v>5744</v>
      </c>
      <c r="D5005" s="23" t="str">
        <f t="shared" si="234"/>
        <v>ORD26002625</v>
      </c>
      <c r="E5005" s="38">
        <v>46292</v>
      </c>
      <c r="F5005" s="23" t="s">
        <v>12410</v>
      </c>
      <c r="G5005" s="23" t="s">
        <v>79</v>
      </c>
      <c r="H5005" s="24">
        <v>1799</v>
      </c>
      <c r="I5005" s="24">
        <v>32.380000000000003</v>
      </c>
      <c r="J5005" s="24">
        <v>5.83</v>
      </c>
      <c r="K5005" s="24">
        <v>1760.79</v>
      </c>
      <c r="L5005" s="38">
        <v>46294</v>
      </c>
      <c r="M5005" s="23" t="s">
        <v>229</v>
      </c>
      <c r="N5005" s="23" t="str">
        <f>IF(COUNTIF($A$2:A5005,A5005)&gt;1,"DUP","OK")</f>
        <v>OK</v>
      </c>
      <c r="O5005" s="23" t="str">
        <f t="shared" si="235"/>
        <v>ORD26002625</v>
      </c>
      <c r="P5005" s="23" t="str">
        <f t="shared" si="236"/>
        <v>Sep</v>
      </c>
      <c r="Q5005" s="23" t="str">
        <f>IF(F5005="CAPTURE",IF(COUNTIF(orders!$A:$A,O5005)&gt;0,"Yes","NO ORDER"),"")</f>
        <v>Yes</v>
      </c>
    </row>
    <row r="5006" spans="1:17" ht="15" customHeight="1" x14ac:dyDescent="0.3">
      <c r="A5006" s="23" t="s">
        <v>18174</v>
      </c>
      <c r="B5006" s="23"/>
      <c r="C5006" s="23" t="s">
        <v>5778</v>
      </c>
      <c r="D5006" s="23" t="str">
        <f t="shared" si="234"/>
        <v>ORD26002642</v>
      </c>
      <c r="E5006" s="38">
        <v>46292</v>
      </c>
      <c r="F5006" s="23" t="s">
        <v>12410</v>
      </c>
      <c r="G5006" s="23" t="s">
        <v>75</v>
      </c>
      <c r="H5006" s="24">
        <v>3798</v>
      </c>
      <c r="I5006" s="24">
        <v>11.39</v>
      </c>
      <c r="J5006" s="24">
        <v>2.0499999999999998</v>
      </c>
      <c r="K5006" s="24">
        <v>3784.56</v>
      </c>
      <c r="L5006" s="38">
        <v>46294</v>
      </c>
      <c r="M5006" s="23" t="s">
        <v>229</v>
      </c>
      <c r="N5006" s="23" t="str">
        <f>IF(COUNTIF($A$2:A5006,A5006)&gt;1,"DUP","OK")</f>
        <v>OK</v>
      </c>
      <c r="O5006" s="23" t="str">
        <f t="shared" si="235"/>
        <v>ORD26002642</v>
      </c>
      <c r="P5006" s="23" t="str">
        <f t="shared" si="236"/>
        <v>Sep</v>
      </c>
      <c r="Q5006" s="23" t="str">
        <f>IF(F5006="CAPTURE",IF(COUNTIF(orders!$A:$A,O5006)&gt;0,"Yes","NO ORDER"),"")</f>
        <v>Yes</v>
      </c>
    </row>
    <row r="5007" spans="1:17" ht="15" customHeight="1" x14ac:dyDescent="0.3">
      <c r="A5007" s="23" t="s">
        <v>18175</v>
      </c>
      <c r="B5007" s="23"/>
      <c r="C5007" s="23" t="s">
        <v>5788</v>
      </c>
      <c r="D5007" s="23" t="str">
        <f t="shared" si="234"/>
        <v>ORD26002647</v>
      </c>
      <c r="E5007" s="38">
        <v>46292</v>
      </c>
      <c r="F5007" s="23" t="s">
        <v>12410</v>
      </c>
      <c r="G5007" s="23" t="s">
        <v>75</v>
      </c>
      <c r="H5007" s="24">
        <v>1499</v>
      </c>
      <c r="I5007" s="24">
        <v>0</v>
      </c>
      <c r="J5007" s="24">
        <v>0</v>
      </c>
      <c r="K5007" s="24">
        <v>1499</v>
      </c>
      <c r="L5007" s="38">
        <v>46294</v>
      </c>
      <c r="M5007" s="23" t="s">
        <v>229</v>
      </c>
      <c r="N5007" s="23" t="str">
        <f>IF(COUNTIF($A$2:A5007,A5007)&gt;1,"DUP","OK")</f>
        <v>OK</v>
      </c>
      <c r="O5007" s="23" t="str">
        <f t="shared" si="235"/>
        <v>ORD26002647</v>
      </c>
      <c r="P5007" s="23" t="str">
        <f t="shared" si="236"/>
        <v>Sep</v>
      </c>
      <c r="Q5007" s="23" t="str">
        <f>IF(F5007="CAPTURE",IF(COUNTIF(orders!$A:$A,O5007)&gt;0,"Yes","NO ORDER"),"")</f>
        <v>Yes</v>
      </c>
    </row>
    <row r="5008" spans="1:17" ht="15" customHeight="1" x14ac:dyDescent="0.3">
      <c r="A5008" s="23" t="s">
        <v>18176</v>
      </c>
      <c r="B5008" s="23"/>
      <c r="C5008" s="23" t="s">
        <v>5822</v>
      </c>
      <c r="D5008" s="23" t="str">
        <f t="shared" si="234"/>
        <v>ORD26002663</v>
      </c>
      <c r="E5008" s="38">
        <v>46292</v>
      </c>
      <c r="F5008" s="23" t="s">
        <v>12410</v>
      </c>
      <c r="G5008" s="23" t="s">
        <v>75</v>
      </c>
      <c r="H5008" s="24">
        <v>3998</v>
      </c>
      <c r="I5008" s="24">
        <v>11.99</v>
      </c>
      <c r="J5008" s="24">
        <v>2.16</v>
      </c>
      <c r="K5008" s="24">
        <v>3983.85</v>
      </c>
      <c r="L5008" s="38">
        <v>46294</v>
      </c>
      <c r="M5008" s="23" t="s">
        <v>229</v>
      </c>
      <c r="N5008" s="23" t="str">
        <f>IF(COUNTIF($A$2:A5008,A5008)&gt;1,"DUP","OK")</f>
        <v>OK</v>
      </c>
      <c r="O5008" s="23" t="str">
        <f t="shared" si="235"/>
        <v>ORD26002663</v>
      </c>
      <c r="P5008" s="23" t="str">
        <f t="shared" si="236"/>
        <v>Sep</v>
      </c>
      <c r="Q5008" s="23" t="str">
        <f>IF(F5008="CAPTURE",IF(COUNTIF(orders!$A:$A,O5008)&gt;0,"Yes","NO ORDER"),"")</f>
        <v>Yes</v>
      </c>
    </row>
    <row r="5009" spans="1:17" ht="15" customHeight="1" x14ac:dyDescent="0.3">
      <c r="A5009" s="23" t="s">
        <v>18177</v>
      </c>
      <c r="B5009" s="23"/>
      <c r="C5009" s="23" t="s">
        <v>18178</v>
      </c>
      <c r="D5009" s="23" t="str">
        <f t="shared" si="234"/>
        <v>ORD26002668</v>
      </c>
      <c r="E5009" s="38">
        <v>46292</v>
      </c>
      <c r="F5009" s="23" t="s">
        <v>12410</v>
      </c>
      <c r="G5009" s="23" t="s">
        <v>75</v>
      </c>
      <c r="H5009" s="24">
        <v>1299</v>
      </c>
      <c r="I5009" s="24">
        <v>0</v>
      </c>
      <c r="J5009" s="24">
        <v>0</v>
      </c>
      <c r="K5009" s="24">
        <v>1299</v>
      </c>
      <c r="L5009" s="38">
        <v>46294</v>
      </c>
      <c r="M5009" s="23" t="s">
        <v>229</v>
      </c>
      <c r="N5009" s="23" t="str">
        <f>IF(COUNTIF($A$2:A5009,A5009)&gt;1,"DUP","OK")</f>
        <v>OK</v>
      </c>
      <c r="O5009" s="23" t="str">
        <f t="shared" si="235"/>
        <v>ORD26002668</v>
      </c>
      <c r="P5009" s="23" t="str">
        <f t="shared" si="236"/>
        <v>Sep</v>
      </c>
      <c r="Q5009" s="23" t="str">
        <f>IF(F5009="CAPTURE",IF(COUNTIF(orders!$A:$A,O5009)&gt;0,"Yes","NO ORDER"),"")</f>
        <v>Yes</v>
      </c>
    </row>
    <row r="5010" spans="1:17" ht="15" customHeight="1" x14ac:dyDescent="0.3">
      <c r="A5010" s="23" t="s">
        <v>18179</v>
      </c>
      <c r="B5010" s="23"/>
      <c r="C5010" s="23" t="s">
        <v>5944</v>
      </c>
      <c r="D5010" s="23" t="str">
        <f t="shared" si="234"/>
        <v>ORD26002724</v>
      </c>
      <c r="E5010" s="38">
        <v>46292</v>
      </c>
      <c r="F5010" s="23" t="s">
        <v>12410</v>
      </c>
      <c r="G5010" s="23" t="s">
        <v>79</v>
      </c>
      <c r="H5010" s="24">
        <v>4999</v>
      </c>
      <c r="I5010" s="24">
        <v>79.98</v>
      </c>
      <c r="J5010" s="24">
        <v>14.4</v>
      </c>
      <c r="K5010" s="24">
        <v>4904.62</v>
      </c>
      <c r="L5010" s="38">
        <v>46294</v>
      </c>
      <c r="M5010" s="23" t="s">
        <v>229</v>
      </c>
      <c r="N5010" s="23" t="str">
        <f>IF(COUNTIF($A$2:A5010,A5010)&gt;1,"DUP","OK")</f>
        <v>OK</v>
      </c>
      <c r="O5010" s="23" t="str">
        <f t="shared" si="235"/>
        <v>ORD26002724</v>
      </c>
      <c r="P5010" s="23" t="str">
        <f t="shared" si="236"/>
        <v>Sep</v>
      </c>
      <c r="Q5010" s="23" t="str">
        <f>IF(F5010="CAPTURE",IF(COUNTIF(orders!$A:$A,O5010)&gt;0,"Yes","NO ORDER"),"")</f>
        <v>Yes</v>
      </c>
    </row>
    <row r="5011" spans="1:17" ht="15" customHeight="1" x14ac:dyDescent="0.3">
      <c r="A5011" s="23" t="s">
        <v>18180</v>
      </c>
      <c r="B5011" s="23"/>
      <c r="C5011" s="23" t="s">
        <v>5966</v>
      </c>
      <c r="D5011" s="23" t="str">
        <f t="shared" si="234"/>
        <v>ORD26002735</v>
      </c>
      <c r="E5011" s="38">
        <v>46292</v>
      </c>
      <c r="F5011" s="23" t="s">
        <v>12410</v>
      </c>
      <c r="G5011" s="23" t="s">
        <v>81</v>
      </c>
      <c r="H5011" s="24">
        <v>3499</v>
      </c>
      <c r="I5011" s="24">
        <v>41.99</v>
      </c>
      <c r="J5011" s="24">
        <v>7.56</v>
      </c>
      <c r="K5011" s="24">
        <v>3449.45</v>
      </c>
      <c r="L5011" s="38">
        <v>46294</v>
      </c>
      <c r="M5011" s="23" t="s">
        <v>229</v>
      </c>
      <c r="N5011" s="23" t="str">
        <f>IF(COUNTIF($A$2:A5011,A5011)&gt;1,"DUP","OK")</f>
        <v>OK</v>
      </c>
      <c r="O5011" s="23" t="str">
        <f t="shared" si="235"/>
        <v>ORD26002735</v>
      </c>
      <c r="P5011" s="23" t="str">
        <f t="shared" si="236"/>
        <v>Sep</v>
      </c>
      <c r="Q5011" s="23" t="str">
        <f>IF(F5011="CAPTURE",IF(COUNTIF(orders!$A:$A,O5011)&gt;0,"Yes","NO ORDER"),"")</f>
        <v>Yes</v>
      </c>
    </row>
    <row r="5012" spans="1:17" ht="15" customHeight="1" x14ac:dyDescent="0.3">
      <c r="A5012" s="23" t="s">
        <v>18181</v>
      </c>
      <c r="B5012" s="23"/>
      <c r="C5012" s="23" t="s">
        <v>6013</v>
      </c>
      <c r="D5012" s="23" t="str">
        <f t="shared" si="234"/>
        <v>ORD26002758</v>
      </c>
      <c r="E5012" s="38">
        <v>46292</v>
      </c>
      <c r="F5012" s="23" t="s">
        <v>12410</v>
      </c>
      <c r="G5012" s="23" t="s">
        <v>79</v>
      </c>
      <c r="H5012" s="24">
        <v>1299</v>
      </c>
      <c r="I5012" s="24">
        <v>23.38</v>
      </c>
      <c r="J5012" s="24">
        <v>4.21</v>
      </c>
      <c r="K5012" s="24">
        <v>1271.4100000000001</v>
      </c>
      <c r="L5012" s="38">
        <v>46294</v>
      </c>
      <c r="M5012" s="23" t="s">
        <v>229</v>
      </c>
      <c r="N5012" s="23" t="str">
        <f>IF(COUNTIF($A$2:A5012,A5012)&gt;1,"DUP","OK")</f>
        <v>OK</v>
      </c>
      <c r="O5012" s="23" t="str">
        <f t="shared" si="235"/>
        <v>ORD26002758</v>
      </c>
      <c r="P5012" s="23" t="str">
        <f t="shared" si="236"/>
        <v>Sep</v>
      </c>
      <c r="Q5012" s="23" t="str">
        <f>IF(F5012="CAPTURE",IF(COUNTIF(orders!$A:$A,O5012)&gt;0,"Yes","NO ORDER"),"")</f>
        <v>Yes</v>
      </c>
    </row>
    <row r="5013" spans="1:17" ht="15" customHeight="1" x14ac:dyDescent="0.3">
      <c r="A5013" s="23" t="s">
        <v>18182</v>
      </c>
      <c r="B5013" s="23"/>
      <c r="C5013" s="23" t="s">
        <v>6086</v>
      </c>
      <c r="D5013" s="23" t="str">
        <f t="shared" si="234"/>
        <v>ORD26002794</v>
      </c>
      <c r="E5013" s="38">
        <v>46292</v>
      </c>
      <c r="F5013" s="23" t="s">
        <v>12410</v>
      </c>
      <c r="G5013" s="23" t="s">
        <v>75</v>
      </c>
      <c r="H5013" s="24">
        <v>499</v>
      </c>
      <c r="I5013" s="24">
        <v>0</v>
      </c>
      <c r="J5013" s="24">
        <v>0</v>
      </c>
      <c r="K5013" s="24">
        <v>499</v>
      </c>
      <c r="L5013" s="38">
        <v>46294</v>
      </c>
      <c r="M5013" s="23" t="s">
        <v>229</v>
      </c>
      <c r="N5013" s="23" t="str">
        <f>IF(COUNTIF($A$2:A5013,A5013)&gt;1,"DUP","OK")</f>
        <v>OK</v>
      </c>
      <c r="O5013" s="23" t="str">
        <f t="shared" si="235"/>
        <v>ORD26002794</v>
      </c>
      <c r="P5013" s="23" t="str">
        <f t="shared" si="236"/>
        <v>Sep</v>
      </c>
      <c r="Q5013" s="23" t="str">
        <f>IF(F5013="CAPTURE",IF(COUNTIF(orders!$A:$A,O5013)&gt;0,"Yes","NO ORDER"),"")</f>
        <v>Yes</v>
      </c>
    </row>
    <row r="5014" spans="1:17" ht="15" customHeight="1" x14ac:dyDescent="0.3">
      <c r="A5014" s="23" t="s">
        <v>18183</v>
      </c>
      <c r="B5014" s="23"/>
      <c r="C5014" s="23" t="s">
        <v>6102</v>
      </c>
      <c r="D5014" s="23" t="str">
        <f t="shared" si="234"/>
        <v>ORD26002802</v>
      </c>
      <c r="E5014" s="38">
        <v>46292</v>
      </c>
      <c r="F5014" s="23" t="s">
        <v>12410</v>
      </c>
      <c r="G5014" s="23" t="s">
        <v>77</v>
      </c>
      <c r="H5014" s="24">
        <v>999</v>
      </c>
      <c r="I5014" s="24">
        <v>18.98</v>
      </c>
      <c r="J5014" s="24">
        <v>3.42</v>
      </c>
      <c r="K5014" s="24">
        <v>976.6</v>
      </c>
      <c r="L5014" s="38">
        <v>46294</v>
      </c>
      <c r="M5014" s="23" t="s">
        <v>229</v>
      </c>
      <c r="N5014" s="23" t="str">
        <f>IF(COUNTIF($A$2:A5014,A5014)&gt;1,"DUP","OK")</f>
        <v>OK</v>
      </c>
      <c r="O5014" s="23" t="str">
        <f t="shared" si="235"/>
        <v>ORD26002802</v>
      </c>
      <c r="P5014" s="23" t="str">
        <f t="shared" si="236"/>
        <v>Sep</v>
      </c>
      <c r="Q5014" s="23" t="str">
        <f>IF(F5014="CAPTURE",IF(COUNTIF(orders!$A:$A,O5014)&gt;0,"Yes","NO ORDER"),"")</f>
        <v>Yes</v>
      </c>
    </row>
    <row r="5015" spans="1:17" ht="15" customHeight="1" x14ac:dyDescent="0.3">
      <c r="A5015" s="23" t="s">
        <v>18184</v>
      </c>
      <c r="B5015" s="23"/>
      <c r="C5015" s="23" t="s">
        <v>18185</v>
      </c>
      <c r="D5015" s="23" t="str">
        <f t="shared" si="234"/>
        <v>ORD26002843</v>
      </c>
      <c r="E5015" s="38">
        <v>46292</v>
      </c>
      <c r="F5015" s="23" t="s">
        <v>12410</v>
      </c>
      <c r="G5015" s="23" t="s">
        <v>79</v>
      </c>
      <c r="H5015" s="24">
        <v>2598</v>
      </c>
      <c r="I5015" s="24">
        <v>41.57</v>
      </c>
      <c r="J5015" s="24">
        <v>7.48</v>
      </c>
      <c r="K5015" s="24">
        <v>2548.9499999999998</v>
      </c>
      <c r="L5015" s="38">
        <v>46294</v>
      </c>
      <c r="M5015" s="23" t="s">
        <v>229</v>
      </c>
      <c r="N5015" s="23" t="str">
        <f>IF(COUNTIF($A$2:A5015,A5015)&gt;1,"DUP","OK")</f>
        <v>OK</v>
      </c>
      <c r="O5015" s="23" t="str">
        <f t="shared" si="235"/>
        <v>ORD26002843</v>
      </c>
      <c r="P5015" s="23" t="str">
        <f t="shared" si="236"/>
        <v>Sep</v>
      </c>
      <c r="Q5015" s="23" t="str">
        <f>IF(F5015="CAPTURE",IF(COUNTIF(orders!$A:$A,O5015)&gt;0,"Yes","NO ORDER"),"")</f>
        <v>Yes</v>
      </c>
    </row>
    <row r="5016" spans="1:17" ht="15" customHeight="1" x14ac:dyDescent="0.3">
      <c r="A5016" s="23" t="s">
        <v>18186</v>
      </c>
      <c r="B5016" s="23"/>
      <c r="C5016" s="23" t="s">
        <v>6232</v>
      </c>
      <c r="D5016" s="23" t="str">
        <f t="shared" si="234"/>
        <v>ORD26002868</v>
      </c>
      <c r="E5016" s="38">
        <v>46292</v>
      </c>
      <c r="F5016" s="23" t="s">
        <v>12410</v>
      </c>
      <c r="G5016" s="23" t="s">
        <v>81</v>
      </c>
      <c r="H5016" s="24">
        <v>6798</v>
      </c>
      <c r="I5016" s="24">
        <v>81.58</v>
      </c>
      <c r="J5016" s="24">
        <v>14.68</v>
      </c>
      <c r="K5016" s="24">
        <v>6701.74</v>
      </c>
      <c r="L5016" s="38">
        <v>46294</v>
      </c>
      <c r="M5016" s="23" t="s">
        <v>229</v>
      </c>
      <c r="N5016" s="23" t="str">
        <f>IF(COUNTIF($A$2:A5016,A5016)&gt;1,"DUP","OK")</f>
        <v>OK</v>
      </c>
      <c r="O5016" s="23" t="str">
        <f t="shared" si="235"/>
        <v>ORD26002868</v>
      </c>
      <c r="P5016" s="23" t="str">
        <f t="shared" si="236"/>
        <v>Sep</v>
      </c>
      <c r="Q5016" s="23" t="str">
        <f>IF(F5016="CAPTURE",IF(COUNTIF(orders!$A:$A,O5016)&gt;0,"Yes","NO ORDER"),"")</f>
        <v>Yes</v>
      </c>
    </row>
    <row r="5017" spans="1:17" ht="15" customHeight="1" x14ac:dyDescent="0.3">
      <c r="A5017" s="23" t="s">
        <v>18187</v>
      </c>
      <c r="B5017" s="23"/>
      <c r="C5017" s="23" t="s">
        <v>6329</v>
      </c>
      <c r="D5017" s="23" t="str">
        <f t="shared" si="234"/>
        <v>ORD26002917</v>
      </c>
      <c r="E5017" s="38">
        <v>46292</v>
      </c>
      <c r="F5017" s="23" t="s">
        <v>12410</v>
      </c>
      <c r="G5017" s="23" t="s">
        <v>77</v>
      </c>
      <c r="H5017" s="24">
        <v>499</v>
      </c>
      <c r="I5017" s="24">
        <v>9.48</v>
      </c>
      <c r="J5017" s="24">
        <v>1.71</v>
      </c>
      <c r="K5017" s="24">
        <v>487.81</v>
      </c>
      <c r="L5017" s="38">
        <v>46294</v>
      </c>
      <c r="M5017" s="23" t="s">
        <v>229</v>
      </c>
      <c r="N5017" s="23" t="str">
        <f>IF(COUNTIF($A$2:A5017,A5017)&gt;1,"DUP","OK")</f>
        <v>OK</v>
      </c>
      <c r="O5017" s="23" t="str">
        <f t="shared" si="235"/>
        <v>ORD26002917</v>
      </c>
      <c r="P5017" s="23" t="str">
        <f t="shared" si="236"/>
        <v>Sep</v>
      </c>
      <c r="Q5017" s="23" t="str">
        <f>IF(F5017="CAPTURE",IF(COUNTIF(orders!$A:$A,O5017)&gt;0,"Yes","NO ORDER"),"")</f>
        <v>Yes</v>
      </c>
    </row>
    <row r="5018" spans="1:17" ht="15" customHeight="1" x14ac:dyDescent="0.3">
      <c r="A5018" s="23" t="s">
        <v>18188</v>
      </c>
      <c r="B5018" s="23"/>
      <c r="C5018" s="23" t="s">
        <v>6425</v>
      </c>
      <c r="D5018" s="23" t="str">
        <f t="shared" si="234"/>
        <v>ORD26002965</v>
      </c>
      <c r="E5018" s="38">
        <v>46292</v>
      </c>
      <c r="F5018" s="23" t="s">
        <v>12410</v>
      </c>
      <c r="G5018" s="23" t="s">
        <v>75</v>
      </c>
      <c r="H5018" s="24">
        <v>7997</v>
      </c>
      <c r="I5018" s="24">
        <v>23.99</v>
      </c>
      <c r="J5018" s="24">
        <v>4.32</v>
      </c>
      <c r="K5018" s="24">
        <v>7968.69</v>
      </c>
      <c r="L5018" s="38">
        <v>46294</v>
      </c>
      <c r="M5018" s="23" t="s">
        <v>229</v>
      </c>
      <c r="N5018" s="23" t="str">
        <f>IF(COUNTIF($A$2:A5018,A5018)&gt;1,"DUP","OK")</f>
        <v>OK</v>
      </c>
      <c r="O5018" s="23" t="str">
        <f t="shared" si="235"/>
        <v>ORD26002965</v>
      </c>
      <c r="P5018" s="23" t="str">
        <f t="shared" si="236"/>
        <v>Sep</v>
      </c>
      <c r="Q5018" s="23" t="str">
        <f>IF(F5018="CAPTURE",IF(COUNTIF(orders!$A:$A,O5018)&gt;0,"Yes","NO ORDER"),"")</f>
        <v>Yes</v>
      </c>
    </row>
    <row r="5019" spans="1:17" ht="15" customHeight="1" x14ac:dyDescent="0.3">
      <c r="A5019" s="23" t="s">
        <v>18189</v>
      </c>
      <c r="B5019" s="23"/>
      <c r="C5019" s="23" t="s">
        <v>6577</v>
      </c>
      <c r="D5019" s="23" t="str">
        <f t="shared" si="234"/>
        <v>ORD26003042</v>
      </c>
      <c r="E5019" s="38">
        <v>46292</v>
      </c>
      <c r="F5019" s="23" t="s">
        <v>12410</v>
      </c>
      <c r="G5019" s="23" t="s">
        <v>75</v>
      </c>
      <c r="H5019" s="24">
        <v>349</v>
      </c>
      <c r="I5019" s="24">
        <v>0</v>
      </c>
      <c r="J5019" s="24">
        <v>0</v>
      </c>
      <c r="K5019" s="24">
        <v>349</v>
      </c>
      <c r="L5019" s="38">
        <v>46294</v>
      </c>
      <c r="M5019" s="23" t="s">
        <v>229</v>
      </c>
      <c r="N5019" s="23" t="str">
        <f>IF(COUNTIF($A$2:A5019,A5019)&gt;1,"DUP","OK")</f>
        <v>OK</v>
      </c>
      <c r="O5019" s="23" t="str">
        <f t="shared" si="235"/>
        <v>ORD26003042</v>
      </c>
      <c r="P5019" s="23" t="str">
        <f t="shared" si="236"/>
        <v>Sep</v>
      </c>
      <c r="Q5019" s="23" t="str">
        <f>IF(F5019="CAPTURE",IF(COUNTIF(orders!$A:$A,O5019)&gt;0,"Yes","NO ORDER"),"")</f>
        <v>Yes</v>
      </c>
    </row>
    <row r="5020" spans="1:17" ht="15" customHeight="1" x14ac:dyDescent="0.3">
      <c r="A5020" s="23" t="s">
        <v>18190</v>
      </c>
      <c r="B5020" s="23"/>
      <c r="C5020" s="23" t="s">
        <v>6674</v>
      </c>
      <c r="D5020" s="23" t="str">
        <f t="shared" si="234"/>
        <v>ORD26003089</v>
      </c>
      <c r="E5020" s="38">
        <v>46292</v>
      </c>
      <c r="F5020" s="23" t="s">
        <v>12410</v>
      </c>
      <c r="G5020" s="23" t="s">
        <v>75</v>
      </c>
      <c r="H5020" s="24">
        <v>999</v>
      </c>
      <c r="I5020" s="24">
        <v>0</v>
      </c>
      <c r="J5020" s="24">
        <v>0</v>
      </c>
      <c r="K5020" s="24">
        <v>999</v>
      </c>
      <c r="L5020" s="38">
        <v>46294</v>
      </c>
      <c r="M5020" s="23" t="s">
        <v>229</v>
      </c>
      <c r="N5020" s="23" t="str">
        <f>IF(COUNTIF($A$2:A5020,A5020)&gt;1,"DUP","OK")</f>
        <v>OK</v>
      </c>
      <c r="O5020" s="23" t="str">
        <f t="shared" si="235"/>
        <v>ORD26003089</v>
      </c>
      <c r="P5020" s="23" t="str">
        <f t="shared" si="236"/>
        <v>Sep</v>
      </c>
      <c r="Q5020" s="23" t="str">
        <f>IF(F5020="CAPTURE",IF(COUNTIF(orders!$A:$A,O5020)&gt;0,"Yes","NO ORDER"),"")</f>
        <v>Yes</v>
      </c>
    </row>
    <row r="5021" spans="1:17" ht="15" customHeight="1" x14ac:dyDescent="0.3">
      <c r="A5021" s="23" t="s">
        <v>18191</v>
      </c>
      <c r="B5021" s="23"/>
      <c r="C5021" s="23" t="s">
        <v>6853</v>
      </c>
      <c r="D5021" s="23" t="str">
        <f t="shared" si="234"/>
        <v>ORD26003178</v>
      </c>
      <c r="E5021" s="38">
        <v>46292</v>
      </c>
      <c r="F5021" s="23" t="s">
        <v>12410</v>
      </c>
      <c r="G5021" s="23" t="s">
        <v>79</v>
      </c>
      <c r="H5021" s="24">
        <v>10297</v>
      </c>
      <c r="I5021" s="24">
        <v>164.75</v>
      </c>
      <c r="J5021" s="24">
        <v>29.66</v>
      </c>
      <c r="K5021" s="24">
        <v>10102.59</v>
      </c>
      <c r="L5021" s="38">
        <v>46294</v>
      </c>
      <c r="M5021" s="23" t="s">
        <v>229</v>
      </c>
      <c r="N5021" s="23" t="str">
        <f>IF(COUNTIF($A$2:A5021,A5021)&gt;1,"DUP","OK")</f>
        <v>OK</v>
      </c>
      <c r="O5021" s="23" t="str">
        <f t="shared" si="235"/>
        <v>ORD26003178</v>
      </c>
      <c r="P5021" s="23" t="str">
        <f t="shared" si="236"/>
        <v>Sep</v>
      </c>
      <c r="Q5021" s="23" t="str">
        <f>IF(F5021="CAPTURE",IF(COUNTIF(orders!$A:$A,O5021)&gt;0,"Yes","NO ORDER"),"")</f>
        <v>Yes</v>
      </c>
    </row>
    <row r="5022" spans="1:17" ht="15" customHeight="1" x14ac:dyDescent="0.3">
      <c r="A5022" s="23" t="s">
        <v>18192</v>
      </c>
      <c r="B5022" s="23"/>
      <c r="C5022" s="23" t="s">
        <v>18193</v>
      </c>
      <c r="D5022" s="23" t="str">
        <f t="shared" si="234"/>
        <v>ORD26003201</v>
      </c>
      <c r="E5022" s="38">
        <v>46292</v>
      </c>
      <c r="F5022" s="23" t="s">
        <v>12410</v>
      </c>
      <c r="G5022" s="23" t="s">
        <v>77</v>
      </c>
      <c r="H5022" s="24">
        <v>3797</v>
      </c>
      <c r="I5022" s="24">
        <v>64.55</v>
      </c>
      <c r="J5022" s="24">
        <v>11.62</v>
      </c>
      <c r="K5022" s="24">
        <v>3720.83</v>
      </c>
      <c r="L5022" s="38">
        <v>46294</v>
      </c>
      <c r="M5022" s="23" t="s">
        <v>229</v>
      </c>
      <c r="N5022" s="23" t="str">
        <f>IF(COUNTIF($A$2:A5022,A5022)&gt;1,"DUP","OK")</f>
        <v>OK</v>
      </c>
      <c r="O5022" s="23" t="str">
        <f t="shared" si="235"/>
        <v>ORD26003201</v>
      </c>
      <c r="P5022" s="23" t="str">
        <f t="shared" si="236"/>
        <v>Sep</v>
      </c>
      <c r="Q5022" s="23" t="str">
        <f>IF(F5022="CAPTURE",IF(COUNTIF(orders!$A:$A,O5022)&gt;0,"Yes","NO ORDER"),"")</f>
        <v>Yes</v>
      </c>
    </row>
    <row r="5023" spans="1:17" ht="15" customHeight="1" x14ac:dyDescent="0.3">
      <c r="A5023" s="23" t="s">
        <v>18194</v>
      </c>
      <c r="B5023" s="23"/>
      <c r="C5023" s="23" t="s">
        <v>6983</v>
      </c>
      <c r="D5023" s="23" t="str">
        <f t="shared" si="234"/>
        <v>ORD26003243</v>
      </c>
      <c r="E5023" s="38">
        <v>46292</v>
      </c>
      <c r="F5023" s="23" t="s">
        <v>12410</v>
      </c>
      <c r="G5023" s="23" t="s">
        <v>77</v>
      </c>
      <c r="H5023" s="24">
        <v>798</v>
      </c>
      <c r="I5023" s="24">
        <v>15.16</v>
      </c>
      <c r="J5023" s="24">
        <v>2.73</v>
      </c>
      <c r="K5023" s="24">
        <v>780.11</v>
      </c>
      <c r="L5023" s="38">
        <v>46294</v>
      </c>
      <c r="M5023" s="23" t="s">
        <v>229</v>
      </c>
      <c r="N5023" s="23" t="str">
        <f>IF(COUNTIF($A$2:A5023,A5023)&gt;1,"DUP","OK")</f>
        <v>OK</v>
      </c>
      <c r="O5023" s="23" t="str">
        <f t="shared" si="235"/>
        <v>ORD26003243</v>
      </c>
      <c r="P5023" s="23" t="str">
        <f t="shared" si="236"/>
        <v>Sep</v>
      </c>
      <c r="Q5023" s="23" t="str">
        <f>IF(F5023="CAPTURE",IF(COUNTIF(orders!$A:$A,O5023)&gt;0,"Yes","NO ORDER"),"")</f>
        <v>Yes</v>
      </c>
    </row>
    <row r="5024" spans="1:17" ht="15" customHeight="1" x14ac:dyDescent="0.3">
      <c r="A5024" s="23" t="s">
        <v>18195</v>
      </c>
      <c r="B5024" s="23"/>
      <c r="C5024" s="23" t="s">
        <v>7024</v>
      </c>
      <c r="D5024" s="23" t="str">
        <f t="shared" si="234"/>
        <v>ORD26003263</v>
      </c>
      <c r="E5024" s="38">
        <v>46292</v>
      </c>
      <c r="F5024" s="23" t="s">
        <v>12410</v>
      </c>
      <c r="G5024" s="23" t="s">
        <v>75</v>
      </c>
      <c r="H5024" s="24">
        <v>1298</v>
      </c>
      <c r="I5024" s="24">
        <v>0</v>
      </c>
      <c r="J5024" s="24">
        <v>0</v>
      </c>
      <c r="K5024" s="24">
        <v>1298</v>
      </c>
      <c r="L5024" s="38">
        <v>46294</v>
      </c>
      <c r="M5024" s="23" t="s">
        <v>229</v>
      </c>
      <c r="N5024" s="23" t="str">
        <f>IF(COUNTIF($A$2:A5024,A5024)&gt;1,"DUP","OK")</f>
        <v>OK</v>
      </c>
      <c r="O5024" s="23" t="str">
        <f t="shared" si="235"/>
        <v>ORD26003263</v>
      </c>
      <c r="P5024" s="23" t="str">
        <f t="shared" si="236"/>
        <v>Sep</v>
      </c>
      <c r="Q5024" s="23" t="str">
        <f>IF(F5024="CAPTURE",IF(COUNTIF(orders!$A:$A,O5024)&gt;0,"Yes","NO ORDER"),"")</f>
        <v>Yes</v>
      </c>
    </row>
    <row r="5025" spans="1:17" ht="15" customHeight="1" x14ac:dyDescent="0.3">
      <c r="A5025" s="23" t="s">
        <v>18196</v>
      </c>
      <c r="B5025" s="23"/>
      <c r="C5025" s="23" t="s">
        <v>7052</v>
      </c>
      <c r="D5025" s="23" t="str">
        <f t="shared" si="234"/>
        <v>ORD26003277</v>
      </c>
      <c r="E5025" s="38">
        <v>46292</v>
      </c>
      <c r="F5025" s="23" t="s">
        <v>12410</v>
      </c>
      <c r="G5025" s="23" t="s">
        <v>75</v>
      </c>
      <c r="H5025" s="24">
        <v>499</v>
      </c>
      <c r="I5025" s="24">
        <v>0</v>
      </c>
      <c r="J5025" s="24">
        <v>0</v>
      </c>
      <c r="K5025" s="24">
        <v>499</v>
      </c>
      <c r="L5025" s="38">
        <v>46294</v>
      </c>
      <c r="M5025" s="23" t="s">
        <v>229</v>
      </c>
      <c r="N5025" s="23" t="str">
        <f>IF(COUNTIF($A$2:A5025,A5025)&gt;1,"DUP","OK")</f>
        <v>OK</v>
      </c>
      <c r="O5025" s="23" t="str">
        <f t="shared" si="235"/>
        <v>ORD26003277</v>
      </c>
      <c r="P5025" s="23" t="str">
        <f t="shared" si="236"/>
        <v>Sep</v>
      </c>
      <c r="Q5025" s="23" t="str">
        <f>IF(F5025="CAPTURE",IF(COUNTIF(orders!$A:$A,O5025)&gt;0,"Yes","NO ORDER"),"")</f>
        <v>Yes</v>
      </c>
    </row>
    <row r="5026" spans="1:17" ht="15" customHeight="1" x14ac:dyDescent="0.3">
      <c r="A5026" s="23" t="s">
        <v>18197</v>
      </c>
      <c r="B5026" s="23"/>
      <c r="C5026" s="23" t="s">
        <v>7117</v>
      </c>
      <c r="D5026" s="23" t="str">
        <f t="shared" si="234"/>
        <v>ORD26003310</v>
      </c>
      <c r="E5026" s="38">
        <v>46292</v>
      </c>
      <c r="F5026" s="23" t="s">
        <v>12410</v>
      </c>
      <c r="G5026" s="23" t="s">
        <v>75</v>
      </c>
      <c r="H5026" s="24">
        <v>4997</v>
      </c>
      <c r="I5026" s="24">
        <v>14.99</v>
      </c>
      <c r="J5026" s="24">
        <v>2.7</v>
      </c>
      <c r="K5026" s="24">
        <v>4979.3100000000004</v>
      </c>
      <c r="L5026" s="38">
        <v>46294</v>
      </c>
      <c r="M5026" s="23" t="s">
        <v>229</v>
      </c>
      <c r="N5026" s="23" t="str">
        <f>IF(COUNTIF($A$2:A5026,A5026)&gt;1,"DUP","OK")</f>
        <v>OK</v>
      </c>
      <c r="O5026" s="23" t="str">
        <f t="shared" si="235"/>
        <v>ORD26003310</v>
      </c>
      <c r="P5026" s="23" t="str">
        <f t="shared" si="236"/>
        <v>Sep</v>
      </c>
      <c r="Q5026" s="23" t="str">
        <f>IF(F5026="CAPTURE",IF(COUNTIF(orders!$A:$A,O5026)&gt;0,"Yes","NO ORDER"),"")</f>
        <v>Yes</v>
      </c>
    </row>
    <row r="5027" spans="1:17" ht="15" customHeight="1" x14ac:dyDescent="0.3">
      <c r="A5027" s="23" t="s">
        <v>18198</v>
      </c>
      <c r="B5027" s="23"/>
      <c r="C5027" s="23" t="s">
        <v>7128</v>
      </c>
      <c r="D5027" s="23" t="str">
        <f t="shared" si="234"/>
        <v>ORD26003315</v>
      </c>
      <c r="E5027" s="38">
        <v>46292</v>
      </c>
      <c r="F5027" s="23" t="s">
        <v>12410</v>
      </c>
      <c r="G5027" s="23" t="s">
        <v>75</v>
      </c>
      <c r="H5027" s="24">
        <v>798</v>
      </c>
      <c r="I5027" s="24">
        <v>0</v>
      </c>
      <c r="J5027" s="24">
        <v>0</v>
      </c>
      <c r="K5027" s="24">
        <v>798</v>
      </c>
      <c r="L5027" s="38">
        <v>46294</v>
      </c>
      <c r="M5027" s="23" t="s">
        <v>229</v>
      </c>
      <c r="N5027" s="23" t="str">
        <f>IF(COUNTIF($A$2:A5027,A5027)&gt;1,"DUP","OK")</f>
        <v>OK</v>
      </c>
      <c r="O5027" s="23" t="str">
        <f t="shared" si="235"/>
        <v>ORD26003315</v>
      </c>
      <c r="P5027" s="23" t="str">
        <f t="shared" si="236"/>
        <v>Sep</v>
      </c>
      <c r="Q5027" s="23" t="str">
        <f>IF(F5027="CAPTURE",IF(COUNTIF(orders!$A:$A,O5027)&gt;0,"Yes","NO ORDER"),"")</f>
        <v>Yes</v>
      </c>
    </row>
    <row r="5028" spans="1:17" ht="15" customHeight="1" x14ac:dyDescent="0.3">
      <c r="A5028" s="23" t="s">
        <v>18199</v>
      </c>
      <c r="B5028" s="23"/>
      <c r="C5028" s="23" t="s">
        <v>7135</v>
      </c>
      <c r="D5028" s="23" t="str">
        <f t="shared" si="234"/>
        <v>ORD26003319</v>
      </c>
      <c r="E5028" s="38">
        <v>46292</v>
      </c>
      <c r="F5028" s="23" t="s">
        <v>12410</v>
      </c>
      <c r="G5028" s="23" t="s">
        <v>77</v>
      </c>
      <c r="H5028" s="24">
        <v>4999</v>
      </c>
      <c r="I5028" s="24">
        <v>84.98</v>
      </c>
      <c r="J5028" s="24">
        <v>15.3</v>
      </c>
      <c r="K5028" s="24">
        <v>4898.72</v>
      </c>
      <c r="L5028" s="38">
        <v>46294</v>
      </c>
      <c r="M5028" s="23" t="s">
        <v>229</v>
      </c>
      <c r="N5028" s="23" t="str">
        <f>IF(COUNTIF($A$2:A5028,A5028)&gt;1,"DUP","OK")</f>
        <v>OK</v>
      </c>
      <c r="O5028" s="23" t="str">
        <f t="shared" si="235"/>
        <v>ORD26003319</v>
      </c>
      <c r="P5028" s="23" t="str">
        <f t="shared" si="236"/>
        <v>Sep</v>
      </c>
      <c r="Q5028" s="23" t="str">
        <f>IF(F5028="CAPTURE",IF(COUNTIF(orders!$A:$A,O5028)&gt;0,"Yes","NO ORDER"),"")</f>
        <v>Yes</v>
      </c>
    </row>
    <row r="5029" spans="1:17" ht="15" customHeight="1" x14ac:dyDescent="0.3">
      <c r="A5029" s="23" t="s">
        <v>18200</v>
      </c>
      <c r="B5029" s="23"/>
      <c r="C5029" s="23" t="s">
        <v>7178</v>
      </c>
      <c r="D5029" s="23" t="str">
        <f t="shared" si="234"/>
        <v>ORD26003340</v>
      </c>
      <c r="E5029" s="38">
        <v>46292</v>
      </c>
      <c r="F5029" s="23" t="s">
        <v>12410</v>
      </c>
      <c r="G5029" s="23" t="s">
        <v>75</v>
      </c>
      <c r="H5029" s="24">
        <v>2098</v>
      </c>
      <c r="I5029" s="24">
        <v>6.29</v>
      </c>
      <c r="J5029" s="24">
        <v>1.1299999999999999</v>
      </c>
      <c r="K5029" s="24">
        <v>2090.58</v>
      </c>
      <c r="L5029" s="38">
        <v>46294</v>
      </c>
      <c r="M5029" s="23" t="s">
        <v>229</v>
      </c>
      <c r="N5029" s="23" t="str">
        <f>IF(COUNTIF($A$2:A5029,A5029)&gt;1,"DUP","OK")</f>
        <v>OK</v>
      </c>
      <c r="O5029" s="23" t="str">
        <f t="shared" si="235"/>
        <v>ORD26003340</v>
      </c>
      <c r="P5029" s="23" t="str">
        <f t="shared" si="236"/>
        <v>Sep</v>
      </c>
      <c r="Q5029" s="23" t="str">
        <f>IF(F5029="CAPTURE",IF(COUNTIF(orders!$A:$A,O5029)&gt;0,"Yes","NO ORDER"),"")</f>
        <v>Yes</v>
      </c>
    </row>
    <row r="5030" spans="1:17" ht="15" customHeight="1" x14ac:dyDescent="0.3">
      <c r="A5030" s="23" t="s">
        <v>18201</v>
      </c>
      <c r="B5030" s="23"/>
      <c r="C5030" s="23" t="s">
        <v>7261</v>
      </c>
      <c r="D5030" s="23" t="str">
        <f t="shared" si="234"/>
        <v>ORD26003381</v>
      </c>
      <c r="E5030" s="38">
        <v>46292</v>
      </c>
      <c r="F5030" s="23" t="s">
        <v>12410</v>
      </c>
      <c r="G5030" s="23" t="s">
        <v>75</v>
      </c>
      <c r="H5030" s="24">
        <v>1499</v>
      </c>
      <c r="I5030" s="24">
        <v>0</v>
      </c>
      <c r="J5030" s="24">
        <v>0</v>
      </c>
      <c r="K5030" s="24">
        <v>1499</v>
      </c>
      <c r="L5030" s="38">
        <v>46294</v>
      </c>
      <c r="M5030" s="23" t="s">
        <v>229</v>
      </c>
      <c r="N5030" s="23" t="str">
        <f>IF(COUNTIF($A$2:A5030,A5030)&gt;1,"DUP","OK")</f>
        <v>OK</v>
      </c>
      <c r="O5030" s="23" t="str">
        <f t="shared" si="235"/>
        <v>ORD26003381</v>
      </c>
      <c r="P5030" s="23" t="str">
        <f t="shared" si="236"/>
        <v>Sep</v>
      </c>
      <c r="Q5030" s="23" t="str">
        <f>IF(F5030="CAPTURE",IF(COUNTIF(orders!$A:$A,O5030)&gt;0,"Yes","NO ORDER"),"")</f>
        <v>Yes</v>
      </c>
    </row>
    <row r="5031" spans="1:17" ht="15" customHeight="1" x14ac:dyDescent="0.3">
      <c r="A5031" s="23" t="s">
        <v>18202</v>
      </c>
      <c r="B5031" s="23"/>
      <c r="C5031" s="23" t="s">
        <v>7263</v>
      </c>
      <c r="D5031" s="23" t="str">
        <f t="shared" si="234"/>
        <v>ORD26003382</v>
      </c>
      <c r="E5031" s="38">
        <v>46292</v>
      </c>
      <c r="F5031" s="23" t="s">
        <v>12410</v>
      </c>
      <c r="G5031" s="23" t="s">
        <v>75</v>
      </c>
      <c r="H5031" s="24">
        <v>1499</v>
      </c>
      <c r="I5031" s="24">
        <v>0</v>
      </c>
      <c r="J5031" s="24">
        <v>0</v>
      </c>
      <c r="K5031" s="24">
        <v>1499</v>
      </c>
      <c r="L5031" s="38">
        <v>46294</v>
      </c>
      <c r="M5031" s="23" t="s">
        <v>229</v>
      </c>
      <c r="N5031" s="23" t="str">
        <f>IF(COUNTIF($A$2:A5031,A5031)&gt;1,"DUP","OK")</f>
        <v>OK</v>
      </c>
      <c r="O5031" s="23" t="str">
        <f t="shared" si="235"/>
        <v>ORD26003382</v>
      </c>
      <c r="P5031" s="23" t="str">
        <f t="shared" si="236"/>
        <v>Sep</v>
      </c>
      <c r="Q5031" s="23" t="str">
        <f>IF(F5031="CAPTURE",IF(COUNTIF(orders!$A:$A,O5031)&gt;0,"Yes","NO ORDER"),"")</f>
        <v>Yes</v>
      </c>
    </row>
    <row r="5032" spans="1:17" ht="15" customHeight="1" x14ac:dyDescent="0.3">
      <c r="A5032" s="23" t="s">
        <v>18203</v>
      </c>
      <c r="B5032" s="23"/>
      <c r="C5032" s="23" t="s">
        <v>7265</v>
      </c>
      <c r="D5032" s="23" t="str">
        <f t="shared" si="234"/>
        <v>ORD26003383</v>
      </c>
      <c r="E5032" s="38">
        <v>46292</v>
      </c>
      <c r="F5032" s="23" t="s">
        <v>12410</v>
      </c>
      <c r="G5032" s="23" t="s">
        <v>81</v>
      </c>
      <c r="H5032" s="24">
        <v>4999</v>
      </c>
      <c r="I5032" s="24">
        <v>59.99</v>
      </c>
      <c r="J5032" s="24">
        <v>10.8</v>
      </c>
      <c r="K5032" s="24">
        <v>4928.21</v>
      </c>
      <c r="L5032" s="38">
        <v>46294</v>
      </c>
      <c r="M5032" s="23" t="s">
        <v>229</v>
      </c>
      <c r="N5032" s="23" t="str">
        <f>IF(COUNTIF($A$2:A5032,A5032)&gt;1,"DUP","OK")</f>
        <v>OK</v>
      </c>
      <c r="O5032" s="23" t="str">
        <f t="shared" si="235"/>
        <v>ORD26003383</v>
      </c>
      <c r="P5032" s="23" t="str">
        <f t="shared" si="236"/>
        <v>Sep</v>
      </c>
      <c r="Q5032" s="23" t="str">
        <f>IF(F5032="CAPTURE",IF(COUNTIF(orders!$A:$A,O5032)&gt;0,"Yes","NO ORDER"),"")</f>
        <v>Yes</v>
      </c>
    </row>
    <row r="5033" spans="1:17" ht="15" customHeight="1" x14ac:dyDescent="0.3">
      <c r="A5033" s="23" t="s">
        <v>18204</v>
      </c>
      <c r="B5033" s="23"/>
      <c r="C5033" s="23" t="s">
        <v>7432</v>
      </c>
      <c r="D5033" s="23" t="str">
        <f t="shared" si="234"/>
        <v>ORD26003466</v>
      </c>
      <c r="E5033" s="38">
        <v>46292</v>
      </c>
      <c r="F5033" s="23" t="s">
        <v>12410</v>
      </c>
      <c r="G5033" s="23" t="s">
        <v>75</v>
      </c>
      <c r="H5033" s="24">
        <v>8998</v>
      </c>
      <c r="I5033" s="24">
        <v>26.99</v>
      </c>
      <c r="J5033" s="24">
        <v>4.8600000000000003</v>
      </c>
      <c r="K5033" s="24">
        <v>8966.15</v>
      </c>
      <c r="L5033" s="38">
        <v>46294</v>
      </c>
      <c r="M5033" s="23" t="s">
        <v>229</v>
      </c>
      <c r="N5033" s="23" t="str">
        <f>IF(COUNTIF($A$2:A5033,A5033)&gt;1,"DUP","OK")</f>
        <v>OK</v>
      </c>
      <c r="O5033" s="23" t="str">
        <f t="shared" si="235"/>
        <v>ORD26003466</v>
      </c>
      <c r="P5033" s="23" t="str">
        <f t="shared" si="236"/>
        <v>Sep</v>
      </c>
      <c r="Q5033" s="23" t="str">
        <f>IF(F5033="CAPTURE",IF(COUNTIF(orders!$A:$A,O5033)&gt;0,"Yes","NO ORDER"),"")</f>
        <v>Yes</v>
      </c>
    </row>
    <row r="5034" spans="1:17" ht="15" customHeight="1" x14ac:dyDescent="0.3">
      <c r="A5034" s="23" t="s">
        <v>18205</v>
      </c>
      <c r="B5034" s="23"/>
      <c r="C5034" s="23" t="s">
        <v>7496</v>
      </c>
      <c r="D5034" s="23" t="str">
        <f t="shared" si="234"/>
        <v>ORD26003499</v>
      </c>
      <c r="E5034" s="38">
        <v>46292</v>
      </c>
      <c r="F5034" s="23" t="s">
        <v>12410</v>
      </c>
      <c r="G5034" s="23" t="s">
        <v>81</v>
      </c>
      <c r="H5034" s="24">
        <v>1848</v>
      </c>
      <c r="I5034" s="24">
        <v>27.72</v>
      </c>
      <c r="J5034" s="24">
        <v>4.99</v>
      </c>
      <c r="K5034" s="24">
        <v>1815.29</v>
      </c>
      <c r="L5034" s="38">
        <v>46294</v>
      </c>
      <c r="M5034" s="23" t="s">
        <v>229</v>
      </c>
      <c r="N5034" s="23" t="str">
        <f>IF(COUNTIF($A$2:A5034,A5034)&gt;1,"DUP","OK")</f>
        <v>OK</v>
      </c>
      <c r="O5034" s="23" t="str">
        <f t="shared" si="235"/>
        <v>ORD26003499</v>
      </c>
      <c r="P5034" s="23" t="str">
        <f t="shared" si="236"/>
        <v>Sep</v>
      </c>
      <c r="Q5034" s="23" t="str">
        <f>IF(F5034="CAPTURE",IF(COUNTIF(orders!$A:$A,O5034)&gt;0,"Yes","NO ORDER"),"")</f>
        <v>Yes</v>
      </c>
    </row>
    <row r="5035" spans="1:17" ht="15" customHeight="1" x14ac:dyDescent="0.3">
      <c r="A5035" s="23" t="s">
        <v>18206</v>
      </c>
      <c r="B5035" s="23"/>
      <c r="C5035" s="23" t="s">
        <v>7502</v>
      </c>
      <c r="D5035" s="23" t="str">
        <f t="shared" si="234"/>
        <v>ORD26003502</v>
      </c>
      <c r="E5035" s="38">
        <v>46292</v>
      </c>
      <c r="F5035" s="23" t="s">
        <v>12410</v>
      </c>
      <c r="G5035" s="23" t="s">
        <v>81</v>
      </c>
      <c r="H5035" s="24">
        <v>7999</v>
      </c>
      <c r="I5035" s="24">
        <v>95.99</v>
      </c>
      <c r="J5035" s="24">
        <v>17.28</v>
      </c>
      <c r="K5035" s="24">
        <v>7885.73</v>
      </c>
      <c r="L5035" s="38">
        <v>46294</v>
      </c>
      <c r="M5035" s="23" t="s">
        <v>229</v>
      </c>
      <c r="N5035" s="23" t="str">
        <f>IF(COUNTIF($A$2:A5035,A5035)&gt;1,"DUP","OK")</f>
        <v>OK</v>
      </c>
      <c r="O5035" s="23" t="str">
        <f t="shared" si="235"/>
        <v>ORD26003502</v>
      </c>
      <c r="P5035" s="23" t="str">
        <f t="shared" si="236"/>
        <v>Sep</v>
      </c>
      <c r="Q5035" s="23" t="str">
        <f>IF(F5035="CAPTURE",IF(COUNTIF(orders!$A:$A,O5035)&gt;0,"Yes","NO ORDER"),"")</f>
        <v>Yes</v>
      </c>
    </row>
    <row r="5036" spans="1:17" ht="15" customHeight="1" x14ac:dyDescent="0.3">
      <c r="A5036" s="23" t="s">
        <v>18207</v>
      </c>
      <c r="B5036" s="23"/>
      <c r="C5036" s="23" t="s">
        <v>7578</v>
      </c>
      <c r="D5036" s="23" t="str">
        <f t="shared" si="234"/>
        <v>ORD26003541</v>
      </c>
      <c r="E5036" s="38">
        <v>46292</v>
      </c>
      <c r="F5036" s="23" t="s">
        <v>12410</v>
      </c>
      <c r="G5036" s="23" t="s">
        <v>75</v>
      </c>
      <c r="H5036" s="24">
        <v>2499</v>
      </c>
      <c r="I5036" s="24">
        <v>7.5</v>
      </c>
      <c r="J5036" s="24">
        <v>1.35</v>
      </c>
      <c r="K5036" s="24">
        <v>2490.15</v>
      </c>
      <c r="L5036" s="38">
        <v>46294</v>
      </c>
      <c r="M5036" s="23" t="s">
        <v>229</v>
      </c>
      <c r="N5036" s="23" t="str">
        <f>IF(COUNTIF($A$2:A5036,A5036)&gt;1,"DUP","OK")</f>
        <v>OK</v>
      </c>
      <c r="O5036" s="23" t="str">
        <f t="shared" si="235"/>
        <v>ORD26003541</v>
      </c>
      <c r="P5036" s="23" t="str">
        <f t="shared" si="236"/>
        <v>Sep</v>
      </c>
      <c r="Q5036" s="23" t="str">
        <f>IF(F5036="CAPTURE",IF(COUNTIF(orders!$A:$A,O5036)&gt;0,"Yes","NO ORDER"),"")</f>
        <v>Yes</v>
      </c>
    </row>
    <row r="5037" spans="1:17" ht="15" customHeight="1" x14ac:dyDescent="0.3">
      <c r="A5037" s="23" t="s">
        <v>18208</v>
      </c>
      <c r="B5037" s="23"/>
      <c r="C5037" s="23" t="s">
        <v>7595</v>
      </c>
      <c r="D5037" s="23" t="str">
        <f t="shared" si="234"/>
        <v>ORD26003550</v>
      </c>
      <c r="E5037" s="38">
        <v>46292</v>
      </c>
      <c r="F5037" s="23" t="s">
        <v>12410</v>
      </c>
      <c r="G5037" s="23" t="s">
        <v>79</v>
      </c>
      <c r="H5037" s="24">
        <v>1298</v>
      </c>
      <c r="I5037" s="24">
        <v>23.36</v>
      </c>
      <c r="J5037" s="24">
        <v>4.2</v>
      </c>
      <c r="K5037" s="24">
        <v>1270.44</v>
      </c>
      <c r="L5037" s="38">
        <v>46294</v>
      </c>
      <c r="M5037" s="23" t="s">
        <v>229</v>
      </c>
      <c r="N5037" s="23" t="str">
        <f>IF(COUNTIF($A$2:A5037,A5037)&gt;1,"DUP","OK")</f>
        <v>OK</v>
      </c>
      <c r="O5037" s="23" t="str">
        <f t="shared" si="235"/>
        <v>ORD26003550</v>
      </c>
      <c r="P5037" s="23" t="str">
        <f t="shared" si="236"/>
        <v>Sep</v>
      </c>
      <c r="Q5037" s="23" t="str">
        <f>IF(F5037="CAPTURE",IF(COUNTIF(orders!$A:$A,O5037)&gt;0,"Yes","NO ORDER"),"")</f>
        <v>Yes</v>
      </c>
    </row>
    <row r="5038" spans="1:17" ht="15" customHeight="1" x14ac:dyDescent="0.3">
      <c r="A5038" s="23" t="s">
        <v>18209</v>
      </c>
      <c r="B5038" s="23"/>
      <c r="C5038" s="23" t="s">
        <v>18210</v>
      </c>
      <c r="D5038" s="23" t="str">
        <f t="shared" si="234"/>
        <v>ORD26003631</v>
      </c>
      <c r="E5038" s="38">
        <v>46292</v>
      </c>
      <c r="F5038" s="23" t="s">
        <v>12410</v>
      </c>
      <c r="G5038" s="23" t="s">
        <v>75</v>
      </c>
      <c r="H5038" s="24">
        <v>3499</v>
      </c>
      <c r="I5038" s="24">
        <v>10.5</v>
      </c>
      <c r="J5038" s="24">
        <v>1.89</v>
      </c>
      <c r="K5038" s="24">
        <v>3486.61</v>
      </c>
      <c r="L5038" s="38">
        <v>46294</v>
      </c>
      <c r="M5038" s="23" t="s">
        <v>229</v>
      </c>
      <c r="N5038" s="23" t="str">
        <f>IF(COUNTIF($A$2:A5038,A5038)&gt;1,"DUP","OK")</f>
        <v>OK</v>
      </c>
      <c r="O5038" s="23" t="str">
        <f t="shared" si="235"/>
        <v>ORD26003631</v>
      </c>
      <c r="P5038" s="23" t="str">
        <f t="shared" si="236"/>
        <v>Sep</v>
      </c>
      <c r="Q5038" s="23" t="str">
        <f>IF(F5038="CAPTURE",IF(COUNTIF(orders!$A:$A,O5038)&gt;0,"Yes","NO ORDER"),"")</f>
        <v>Yes</v>
      </c>
    </row>
    <row r="5039" spans="1:17" ht="15" customHeight="1" x14ac:dyDescent="0.3">
      <c r="A5039" s="23" t="s">
        <v>18211</v>
      </c>
      <c r="B5039" s="23"/>
      <c r="C5039" s="23" t="s">
        <v>7763</v>
      </c>
      <c r="D5039" s="23" t="str">
        <f t="shared" si="234"/>
        <v>ORD26003635</v>
      </c>
      <c r="E5039" s="38">
        <v>46292</v>
      </c>
      <c r="F5039" s="23" t="s">
        <v>12410</v>
      </c>
      <c r="G5039" s="23" t="s">
        <v>81</v>
      </c>
      <c r="H5039" s="24">
        <v>3348</v>
      </c>
      <c r="I5039" s="24">
        <v>40.18</v>
      </c>
      <c r="J5039" s="24">
        <v>7.23</v>
      </c>
      <c r="K5039" s="24">
        <v>3300.59</v>
      </c>
      <c r="L5039" s="38">
        <v>46294</v>
      </c>
      <c r="M5039" s="23" t="s">
        <v>229</v>
      </c>
      <c r="N5039" s="23" t="str">
        <f>IF(COUNTIF($A$2:A5039,A5039)&gt;1,"DUP","OK")</f>
        <v>OK</v>
      </c>
      <c r="O5039" s="23" t="str">
        <f t="shared" si="235"/>
        <v>ORD26003635</v>
      </c>
      <c r="P5039" s="23" t="str">
        <f t="shared" si="236"/>
        <v>Sep</v>
      </c>
      <c r="Q5039" s="23" t="str">
        <f>IF(F5039="CAPTURE",IF(COUNTIF(orders!$A:$A,O5039)&gt;0,"Yes","NO ORDER"),"")</f>
        <v>Yes</v>
      </c>
    </row>
    <row r="5040" spans="1:17" ht="15" customHeight="1" x14ac:dyDescent="0.3">
      <c r="A5040" s="23" t="s">
        <v>18212</v>
      </c>
      <c r="B5040" s="23"/>
      <c r="C5040" s="23" t="s">
        <v>7769</v>
      </c>
      <c r="D5040" s="23" t="str">
        <f t="shared" si="234"/>
        <v>ORD26003638</v>
      </c>
      <c r="E5040" s="38">
        <v>46292</v>
      </c>
      <c r="F5040" s="23" t="s">
        <v>12410</v>
      </c>
      <c r="G5040" s="23" t="s">
        <v>75</v>
      </c>
      <c r="H5040" s="24">
        <v>2499</v>
      </c>
      <c r="I5040" s="24">
        <v>7.5</v>
      </c>
      <c r="J5040" s="24">
        <v>1.35</v>
      </c>
      <c r="K5040" s="24">
        <v>2490.15</v>
      </c>
      <c r="L5040" s="38">
        <v>46294</v>
      </c>
      <c r="M5040" s="23" t="s">
        <v>229</v>
      </c>
      <c r="N5040" s="23" t="str">
        <f>IF(COUNTIF($A$2:A5040,A5040)&gt;1,"DUP","OK")</f>
        <v>OK</v>
      </c>
      <c r="O5040" s="23" t="str">
        <f t="shared" si="235"/>
        <v>ORD26003638</v>
      </c>
      <c r="P5040" s="23" t="str">
        <f t="shared" si="236"/>
        <v>Sep</v>
      </c>
      <c r="Q5040" s="23" t="str">
        <f>IF(F5040="CAPTURE",IF(COUNTIF(orders!$A:$A,O5040)&gt;0,"Yes","NO ORDER"),"")</f>
        <v>Yes</v>
      </c>
    </row>
    <row r="5041" spans="1:17" ht="15" customHeight="1" x14ac:dyDescent="0.3">
      <c r="A5041" s="23" t="s">
        <v>18213</v>
      </c>
      <c r="B5041" s="23"/>
      <c r="C5041" s="23" t="s">
        <v>7783</v>
      </c>
      <c r="D5041" s="23" t="str">
        <f t="shared" si="234"/>
        <v>ORD26003645</v>
      </c>
      <c r="E5041" s="38">
        <v>46292</v>
      </c>
      <c r="F5041" s="23" t="s">
        <v>12410</v>
      </c>
      <c r="G5041" s="23" t="s">
        <v>81</v>
      </c>
      <c r="H5041" s="24">
        <v>3499</v>
      </c>
      <c r="I5041" s="24">
        <v>41.99</v>
      </c>
      <c r="J5041" s="24">
        <v>7.56</v>
      </c>
      <c r="K5041" s="24">
        <v>3449.45</v>
      </c>
      <c r="L5041" s="38">
        <v>46294</v>
      </c>
      <c r="M5041" s="23" t="s">
        <v>229</v>
      </c>
      <c r="N5041" s="23" t="str">
        <f>IF(COUNTIF($A$2:A5041,A5041)&gt;1,"DUP","OK")</f>
        <v>OK</v>
      </c>
      <c r="O5041" s="23" t="str">
        <f t="shared" si="235"/>
        <v>ORD26003645</v>
      </c>
      <c r="P5041" s="23" t="str">
        <f t="shared" si="236"/>
        <v>Sep</v>
      </c>
      <c r="Q5041" s="23" t="str">
        <f>IF(F5041="CAPTURE",IF(COUNTIF(orders!$A:$A,O5041)&gt;0,"Yes","NO ORDER"),"")</f>
        <v>Yes</v>
      </c>
    </row>
    <row r="5042" spans="1:17" ht="15" customHeight="1" x14ac:dyDescent="0.3">
      <c r="A5042" s="23" t="s">
        <v>18214</v>
      </c>
      <c r="B5042" s="23"/>
      <c r="C5042" s="23" t="s">
        <v>7887</v>
      </c>
      <c r="D5042" s="23" t="str">
        <f t="shared" si="234"/>
        <v>ORD26003699</v>
      </c>
      <c r="E5042" s="38">
        <v>46292</v>
      </c>
      <c r="F5042" s="23" t="s">
        <v>12410</v>
      </c>
      <c r="G5042" s="23" t="s">
        <v>79</v>
      </c>
      <c r="H5042" s="24">
        <v>1499</v>
      </c>
      <c r="I5042" s="24">
        <v>26.98</v>
      </c>
      <c r="J5042" s="24">
        <v>4.8600000000000003</v>
      </c>
      <c r="K5042" s="24">
        <v>1467.16</v>
      </c>
      <c r="L5042" s="38">
        <v>46294</v>
      </c>
      <c r="M5042" s="23" t="s">
        <v>229</v>
      </c>
      <c r="N5042" s="23" t="str">
        <f>IF(COUNTIF($A$2:A5042,A5042)&gt;1,"DUP","OK")</f>
        <v>OK</v>
      </c>
      <c r="O5042" s="23" t="str">
        <f t="shared" si="235"/>
        <v>ORD26003699</v>
      </c>
      <c r="P5042" s="23" t="str">
        <f t="shared" si="236"/>
        <v>Sep</v>
      </c>
      <c r="Q5042" s="23" t="str">
        <f>IF(F5042="CAPTURE",IF(COUNTIF(orders!$A:$A,O5042)&gt;0,"Yes","NO ORDER"),"")</f>
        <v>Yes</v>
      </c>
    </row>
    <row r="5043" spans="1:17" ht="15" customHeight="1" x14ac:dyDescent="0.3">
      <c r="A5043" s="23" t="s">
        <v>18215</v>
      </c>
      <c r="B5043" s="23"/>
      <c r="C5043" s="23" t="s">
        <v>8072</v>
      </c>
      <c r="D5043" s="23" t="str">
        <f t="shared" si="234"/>
        <v>ORD26003792</v>
      </c>
      <c r="E5043" s="38">
        <v>46292</v>
      </c>
      <c r="F5043" s="23" t="s">
        <v>12410</v>
      </c>
      <c r="G5043" s="23" t="s">
        <v>75</v>
      </c>
      <c r="H5043" s="24">
        <v>8498</v>
      </c>
      <c r="I5043" s="24">
        <v>25.49</v>
      </c>
      <c r="J5043" s="24">
        <v>4.59</v>
      </c>
      <c r="K5043" s="24">
        <v>8467.92</v>
      </c>
      <c r="L5043" s="38">
        <v>46294</v>
      </c>
      <c r="M5043" s="23" t="s">
        <v>229</v>
      </c>
      <c r="N5043" s="23" t="str">
        <f>IF(COUNTIF($A$2:A5043,A5043)&gt;1,"DUP","OK")</f>
        <v>OK</v>
      </c>
      <c r="O5043" s="23" t="str">
        <f t="shared" si="235"/>
        <v>ORD26003792</v>
      </c>
      <c r="P5043" s="23" t="str">
        <f t="shared" si="236"/>
        <v>Sep</v>
      </c>
      <c r="Q5043" s="23" t="str">
        <f>IF(F5043="CAPTURE",IF(COUNTIF(orders!$A:$A,O5043)&gt;0,"Yes","NO ORDER"),"")</f>
        <v>Yes</v>
      </c>
    </row>
    <row r="5044" spans="1:17" ht="15" customHeight="1" x14ac:dyDescent="0.3">
      <c r="A5044" s="23" t="s">
        <v>18216</v>
      </c>
      <c r="B5044" s="23"/>
      <c r="C5044" s="23" t="s">
        <v>8084</v>
      </c>
      <c r="D5044" s="23" t="str">
        <f t="shared" si="234"/>
        <v>ORD26003798</v>
      </c>
      <c r="E5044" s="38">
        <v>46292</v>
      </c>
      <c r="F5044" s="23" t="s">
        <v>12410</v>
      </c>
      <c r="G5044" s="23" t="s">
        <v>79</v>
      </c>
      <c r="H5044" s="24">
        <v>299</v>
      </c>
      <c r="I5044" s="24">
        <v>5.38</v>
      </c>
      <c r="J5044" s="24">
        <v>0.97</v>
      </c>
      <c r="K5044" s="24">
        <v>292.64999999999998</v>
      </c>
      <c r="L5044" s="38">
        <v>46294</v>
      </c>
      <c r="M5044" s="23" t="s">
        <v>229</v>
      </c>
      <c r="N5044" s="23" t="str">
        <f>IF(COUNTIF($A$2:A5044,A5044)&gt;1,"DUP","OK")</f>
        <v>OK</v>
      </c>
      <c r="O5044" s="23" t="str">
        <f t="shared" si="235"/>
        <v>ORD26003798</v>
      </c>
      <c r="P5044" s="23" t="str">
        <f t="shared" si="236"/>
        <v>Sep</v>
      </c>
      <c r="Q5044" s="23" t="str">
        <f>IF(F5044="CAPTURE",IF(COUNTIF(orders!$A:$A,O5044)&gt;0,"Yes","NO ORDER"),"")</f>
        <v>Yes</v>
      </c>
    </row>
    <row r="5045" spans="1:17" ht="15" customHeight="1" x14ac:dyDescent="0.3">
      <c r="A5045" s="23" t="s">
        <v>18217</v>
      </c>
      <c r="B5045" s="23"/>
      <c r="C5045" s="23" t="s">
        <v>8194</v>
      </c>
      <c r="D5045" s="23" t="str">
        <f t="shared" si="234"/>
        <v>ORD26003853</v>
      </c>
      <c r="E5045" s="38">
        <v>46292</v>
      </c>
      <c r="F5045" s="23" t="s">
        <v>12410</v>
      </c>
      <c r="G5045" s="23" t="s">
        <v>75</v>
      </c>
      <c r="H5045" s="24">
        <v>7999</v>
      </c>
      <c r="I5045" s="24">
        <v>24</v>
      </c>
      <c r="J5045" s="24">
        <v>4.32</v>
      </c>
      <c r="K5045" s="24">
        <v>7970.68</v>
      </c>
      <c r="L5045" s="38">
        <v>46294</v>
      </c>
      <c r="M5045" s="23" t="s">
        <v>229</v>
      </c>
      <c r="N5045" s="23" t="str">
        <f>IF(COUNTIF($A$2:A5045,A5045)&gt;1,"DUP","OK")</f>
        <v>OK</v>
      </c>
      <c r="O5045" s="23" t="str">
        <f t="shared" si="235"/>
        <v>ORD26003853</v>
      </c>
      <c r="P5045" s="23" t="str">
        <f t="shared" si="236"/>
        <v>Sep</v>
      </c>
      <c r="Q5045" s="23" t="str">
        <f>IF(F5045="CAPTURE",IF(COUNTIF(orders!$A:$A,O5045)&gt;0,"Yes","NO ORDER"),"")</f>
        <v>Yes</v>
      </c>
    </row>
    <row r="5046" spans="1:17" ht="15" customHeight="1" x14ac:dyDescent="0.3">
      <c r="A5046" s="23" t="s">
        <v>18218</v>
      </c>
      <c r="B5046" s="23"/>
      <c r="C5046" s="23" t="s">
        <v>8230</v>
      </c>
      <c r="D5046" s="23" t="str">
        <f t="shared" si="234"/>
        <v>ORD26003872</v>
      </c>
      <c r="E5046" s="38">
        <v>46292</v>
      </c>
      <c r="F5046" s="23" t="s">
        <v>12410</v>
      </c>
      <c r="G5046" s="23" t="s">
        <v>79</v>
      </c>
      <c r="H5046" s="24">
        <v>1947</v>
      </c>
      <c r="I5046" s="24">
        <v>35.049999999999997</v>
      </c>
      <c r="J5046" s="24">
        <v>6.31</v>
      </c>
      <c r="K5046" s="24">
        <v>1905.64</v>
      </c>
      <c r="L5046" s="38">
        <v>46294</v>
      </c>
      <c r="M5046" s="23" t="s">
        <v>229</v>
      </c>
      <c r="N5046" s="23" t="str">
        <f>IF(COUNTIF($A$2:A5046,A5046)&gt;1,"DUP","OK")</f>
        <v>OK</v>
      </c>
      <c r="O5046" s="23" t="str">
        <f t="shared" si="235"/>
        <v>ORD26003872</v>
      </c>
      <c r="P5046" s="23" t="str">
        <f t="shared" si="236"/>
        <v>Sep</v>
      </c>
      <c r="Q5046" s="23" t="str">
        <f>IF(F5046="CAPTURE",IF(COUNTIF(orders!$A:$A,O5046)&gt;0,"Yes","NO ORDER"),"")</f>
        <v>Yes</v>
      </c>
    </row>
    <row r="5047" spans="1:17" ht="15" customHeight="1" x14ac:dyDescent="0.3">
      <c r="A5047" s="23" t="s">
        <v>18219</v>
      </c>
      <c r="B5047" s="23"/>
      <c r="C5047" s="23" t="s">
        <v>18220</v>
      </c>
      <c r="D5047" s="23" t="str">
        <f t="shared" si="234"/>
        <v>ORD26004030</v>
      </c>
      <c r="E5047" s="38">
        <v>46292</v>
      </c>
      <c r="F5047" s="23" t="s">
        <v>12410</v>
      </c>
      <c r="G5047" s="23" t="s">
        <v>75</v>
      </c>
      <c r="H5047" s="24">
        <v>1799</v>
      </c>
      <c r="I5047" s="24">
        <v>0</v>
      </c>
      <c r="J5047" s="24">
        <v>0</v>
      </c>
      <c r="K5047" s="24">
        <v>1799</v>
      </c>
      <c r="L5047" s="38">
        <v>46294</v>
      </c>
      <c r="M5047" s="23" t="s">
        <v>229</v>
      </c>
      <c r="N5047" s="23" t="str">
        <f>IF(COUNTIF($A$2:A5047,A5047)&gt;1,"DUP","OK")</f>
        <v>OK</v>
      </c>
      <c r="O5047" s="23" t="str">
        <f t="shared" si="235"/>
        <v>ORD26004030</v>
      </c>
      <c r="P5047" s="23" t="str">
        <f t="shared" si="236"/>
        <v>Sep</v>
      </c>
      <c r="Q5047" s="23" t="str">
        <f>IF(F5047="CAPTURE",IF(COUNTIF(orders!$A:$A,O5047)&gt;0,"Yes","NO ORDER"),"")</f>
        <v>Yes</v>
      </c>
    </row>
    <row r="5048" spans="1:17" ht="15" customHeight="1" x14ac:dyDescent="0.3">
      <c r="A5048" s="23" t="s">
        <v>18221</v>
      </c>
      <c r="B5048" s="23"/>
      <c r="C5048" s="23" t="s">
        <v>8613</v>
      </c>
      <c r="D5048" s="23" t="str">
        <f t="shared" si="234"/>
        <v>ORD26004065</v>
      </c>
      <c r="E5048" s="38">
        <v>46292</v>
      </c>
      <c r="F5048" s="23" t="s">
        <v>12410</v>
      </c>
      <c r="G5048" s="23" t="s">
        <v>79</v>
      </c>
      <c r="H5048" s="24">
        <v>1499</v>
      </c>
      <c r="I5048" s="24">
        <v>26.98</v>
      </c>
      <c r="J5048" s="24">
        <v>4.8600000000000003</v>
      </c>
      <c r="K5048" s="24">
        <v>1467.16</v>
      </c>
      <c r="L5048" s="38">
        <v>46294</v>
      </c>
      <c r="M5048" s="23" t="s">
        <v>229</v>
      </c>
      <c r="N5048" s="23" t="str">
        <f>IF(COUNTIF($A$2:A5048,A5048)&gt;1,"DUP","OK")</f>
        <v>OK</v>
      </c>
      <c r="O5048" s="23" t="str">
        <f t="shared" si="235"/>
        <v>ORD26004065</v>
      </c>
      <c r="P5048" s="23" t="str">
        <f t="shared" si="236"/>
        <v>Sep</v>
      </c>
      <c r="Q5048" s="23" t="str">
        <f>IF(F5048="CAPTURE",IF(COUNTIF(orders!$A:$A,O5048)&gt;0,"Yes","NO ORDER"),"")</f>
        <v>Yes</v>
      </c>
    </row>
    <row r="5049" spans="1:17" ht="15" customHeight="1" x14ac:dyDescent="0.3">
      <c r="A5049" s="23" t="s">
        <v>18222</v>
      </c>
      <c r="B5049" s="23"/>
      <c r="C5049" s="23" t="s">
        <v>8690</v>
      </c>
      <c r="D5049" s="23" t="str">
        <f t="shared" si="234"/>
        <v>ORD26004105</v>
      </c>
      <c r="E5049" s="38">
        <v>46292</v>
      </c>
      <c r="F5049" s="23" t="s">
        <v>12410</v>
      </c>
      <c r="G5049" s="23" t="s">
        <v>75</v>
      </c>
      <c r="H5049" s="24">
        <v>3499</v>
      </c>
      <c r="I5049" s="24">
        <v>10.5</v>
      </c>
      <c r="J5049" s="24">
        <v>1.89</v>
      </c>
      <c r="K5049" s="24">
        <v>3486.61</v>
      </c>
      <c r="L5049" s="38">
        <v>46294</v>
      </c>
      <c r="M5049" s="23" t="s">
        <v>229</v>
      </c>
      <c r="N5049" s="23" t="str">
        <f>IF(COUNTIF($A$2:A5049,A5049)&gt;1,"DUP","OK")</f>
        <v>OK</v>
      </c>
      <c r="O5049" s="23" t="str">
        <f t="shared" si="235"/>
        <v>ORD26004105</v>
      </c>
      <c r="P5049" s="23" t="str">
        <f t="shared" si="236"/>
        <v>Sep</v>
      </c>
      <c r="Q5049" s="23" t="str">
        <f>IF(F5049="CAPTURE",IF(COUNTIF(orders!$A:$A,O5049)&gt;0,"Yes","NO ORDER"),"")</f>
        <v>Yes</v>
      </c>
    </row>
    <row r="5050" spans="1:17" ht="15" customHeight="1" x14ac:dyDescent="0.3">
      <c r="A5050" s="23" t="s">
        <v>18223</v>
      </c>
      <c r="B5050" s="23"/>
      <c r="C5050" s="23" t="s">
        <v>8724</v>
      </c>
      <c r="D5050" s="23" t="str">
        <f t="shared" si="234"/>
        <v>ORD26004122</v>
      </c>
      <c r="E5050" s="38">
        <v>46292</v>
      </c>
      <c r="F5050" s="23" t="s">
        <v>12410</v>
      </c>
      <c r="G5050" s="23" t="s">
        <v>79</v>
      </c>
      <c r="H5050" s="24">
        <v>4147</v>
      </c>
      <c r="I5050" s="24">
        <v>66.349999999999994</v>
      </c>
      <c r="J5050" s="24">
        <v>11.94</v>
      </c>
      <c r="K5050" s="24">
        <v>4068.71</v>
      </c>
      <c r="L5050" s="38">
        <v>46294</v>
      </c>
      <c r="M5050" s="23" t="s">
        <v>229</v>
      </c>
      <c r="N5050" s="23" t="str">
        <f>IF(COUNTIF($A$2:A5050,A5050)&gt;1,"DUP","OK")</f>
        <v>OK</v>
      </c>
      <c r="O5050" s="23" t="str">
        <f t="shared" si="235"/>
        <v>ORD26004122</v>
      </c>
      <c r="P5050" s="23" t="str">
        <f t="shared" si="236"/>
        <v>Sep</v>
      </c>
      <c r="Q5050" s="23" t="str">
        <f>IF(F5050="CAPTURE",IF(COUNTIF(orders!$A:$A,O5050)&gt;0,"Yes","NO ORDER"),"")</f>
        <v>Yes</v>
      </c>
    </row>
    <row r="5051" spans="1:17" ht="15" customHeight="1" x14ac:dyDescent="0.3">
      <c r="A5051" s="23" t="s">
        <v>18224</v>
      </c>
      <c r="B5051" s="23"/>
      <c r="C5051" s="23" t="s">
        <v>8753</v>
      </c>
      <c r="D5051" s="23" t="str">
        <f t="shared" si="234"/>
        <v>ORD26004137</v>
      </c>
      <c r="E5051" s="38">
        <v>46292</v>
      </c>
      <c r="F5051" s="23" t="s">
        <v>12410</v>
      </c>
      <c r="G5051" s="23" t="s">
        <v>79</v>
      </c>
      <c r="H5051" s="24">
        <v>299</v>
      </c>
      <c r="I5051" s="24">
        <v>5.38</v>
      </c>
      <c r="J5051" s="24">
        <v>0.97</v>
      </c>
      <c r="K5051" s="24">
        <v>292.64999999999998</v>
      </c>
      <c r="L5051" s="38">
        <v>46294</v>
      </c>
      <c r="M5051" s="23" t="s">
        <v>229</v>
      </c>
      <c r="N5051" s="23" t="str">
        <f>IF(COUNTIF($A$2:A5051,A5051)&gt;1,"DUP","OK")</f>
        <v>OK</v>
      </c>
      <c r="O5051" s="23" t="str">
        <f t="shared" si="235"/>
        <v>ORD26004137</v>
      </c>
      <c r="P5051" s="23" t="str">
        <f t="shared" si="236"/>
        <v>Sep</v>
      </c>
      <c r="Q5051" s="23" t="str">
        <f>IF(F5051="CAPTURE",IF(COUNTIF(orders!$A:$A,O5051)&gt;0,"Yes","NO ORDER"),"")</f>
        <v>Yes</v>
      </c>
    </row>
    <row r="5052" spans="1:17" ht="15" customHeight="1" x14ac:dyDescent="0.3">
      <c r="A5052" s="23" t="s">
        <v>18225</v>
      </c>
      <c r="B5052" s="23"/>
      <c r="C5052" s="23" t="s">
        <v>8833</v>
      </c>
      <c r="D5052" s="23" t="str">
        <f t="shared" si="234"/>
        <v>ORD26004179</v>
      </c>
      <c r="E5052" s="38">
        <v>46292</v>
      </c>
      <c r="F5052" s="23" t="s">
        <v>12410</v>
      </c>
      <c r="G5052" s="23" t="s">
        <v>79</v>
      </c>
      <c r="H5052" s="24">
        <v>299</v>
      </c>
      <c r="I5052" s="24">
        <v>5.38</v>
      </c>
      <c r="J5052" s="24">
        <v>0.97</v>
      </c>
      <c r="K5052" s="24">
        <v>292.64999999999998</v>
      </c>
      <c r="L5052" s="38">
        <v>46294</v>
      </c>
      <c r="M5052" s="23" t="s">
        <v>229</v>
      </c>
      <c r="N5052" s="23" t="str">
        <f>IF(COUNTIF($A$2:A5052,A5052)&gt;1,"DUP","OK")</f>
        <v>OK</v>
      </c>
      <c r="O5052" s="23" t="str">
        <f t="shared" si="235"/>
        <v>ORD26004179</v>
      </c>
      <c r="P5052" s="23" t="str">
        <f t="shared" si="236"/>
        <v>Sep</v>
      </c>
      <c r="Q5052" s="23" t="str">
        <f>IF(F5052="CAPTURE",IF(COUNTIF(orders!$A:$A,O5052)&gt;0,"Yes","NO ORDER"),"")</f>
        <v>Yes</v>
      </c>
    </row>
    <row r="5053" spans="1:17" ht="15" customHeight="1" x14ac:dyDescent="0.3">
      <c r="A5053" s="23" t="s">
        <v>18226</v>
      </c>
      <c r="B5053" s="23"/>
      <c r="C5053" s="23" t="s">
        <v>8935</v>
      </c>
      <c r="D5053" s="23" t="str">
        <f t="shared" si="234"/>
        <v>ORD26004230</v>
      </c>
      <c r="E5053" s="38">
        <v>46292</v>
      </c>
      <c r="F5053" s="23" t="s">
        <v>12410</v>
      </c>
      <c r="G5053" s="23" t="s">
        <v>81</v>
      </c>
      <c r="H5053" s="24">
        <v>4999</v>
      </c>
      <c r="I5053" s="24">
        <v>59.99</v>
      </c>
      <c r="J5053" s="24">
        <v>10.8</v>
      </c>
      <c r="K5053" s="24">
        <v>4928.21</v>
      </c>
      <c r="L5053" s="38">
        <v>46294</v>
      </c>
      <c r="M5053" s="23" t="s">
        <v>229</v>
      </c>
      <c r="N5053" s="23" t="str">
        <f>IF(COUNTIF($A$2:A5053,A5053)&gt;1,"DUP","OK")</f>
        <v>OK</v>
      </c>
      <c r="O5053" s="23" t="str">
        <f t="shared" si="235"/>
        <v>ORD26004230</v>
      </c>
      <c r="P5053" s="23" t="str">
        <f t="shared" si="236"/>
        <v>Sep</v>
      </c>
      <c r="Q5053" s="23" t="str">
        <f>IF(F5053="CAPTURE",IF(COUNTIF(orders!$A:$A,O5053)&gt;0,"Yes","NO ORDER"),"")</f>
        <v>Yes</v>
      </c>
    </row>
    <row r="5054" spans="1:17" ht="15" customHeight="1" x14ac:dyDescent="0.3">
      <c r="A5054" s="23" t="s">
        <v>18227</v>
      </c>
      <c r="B5054" s="23"/>
      <c r="C5054" s="23" t="s">
        <v>8989</v>
      </c>
      <c r="D5054" s="23" t="str">
        <f t="shared" si="234"/>
        <v>ORD26004258</v>
      </c>
      <c r="E5054" s="38">
        <v>46292</v>
      </c>
      <c r="F5054" s="23" t="s">
        <v>12410</v>
      </c>
      <c r="G5054" s="23" t="s">
        <v>75</v>
      </c>
      <c r="H5054" s="24">
        <v>1499</v>
      </c>
      <c r="I5054" s="24">
        <v>0</v>
      </c>
      <c r="J5054" s="24">
        <v>0</v>
      </c>
      <c r="K5054" s="24">
        <v>1499</v>
      </c>
      <c r="L5054" s="38">
        <v>46294</v>
      </c>
      <c r="M5054" s="23" t="s">
        <v>229</v>
      </c>
      <c r="N5054" s="23" t="str">
        <f>IF(COUNTIF($A$2:A5054,A5054)&gt;1,"DUP","OK")</f>
        <v>OK</v>
      </c>
      <c r="O5054" s="23" t="str">
        <f t="shared" si="235"/>
        <v>ORD26004258</v>
      </c>
      <c r="P5054" s="23" t="str">
        <f t="shared" si="236"/>
        <v>Sep</v>
      </c>
      <c r="Q5054" s="23" t="str">
        <f>IF(F5054="CAPTURE",IF(COUNTIF(orders!$A:$A,O5054)&gt;0,"Yes","NO ORDER"),"")</f>
        <v>Yes</v>
      </c>
    </row>
    <row r="5055" spans="1:17" ht="15" customHeight="1" x14ac:dyDescent="0.3">
      <c r="A5055" s="23" t="s">
        <v>18228</v>
      </c>
      <c r="B5055" s="23"/>
      <c r="C5055" s="23" t="s">
        <v>8995</v>
      </c>
      <c r="D5055" s="23" t="str">
        <f t="shared" si="234"/>
        <v>ORD26004261</v>
      </c>
      <c r="E5055" s="38">
        <v>46292</v>
      </c>
      <c r="F5055" s="23" t="s">
        <v>12410</v>
      </c>
      <c r="G5055" s="23" t="s">
        <v>75</v>
      </c>
      <c r="H5055" s="24">
        <v>1499</v>
      </c>
      <c r="I5055" s="24">
        <v>0</v>
      </c>
      <c r="J5055" s="24">
        <v>0</v>
      </c>
      <c r="K5055" s="24">
        <v>1499</v>
      </c>
      <c r="L5055" s="38">
        <v>46294</v>
      </c>
      <c r="M5055" s="23" t="s">
        <v>229</v>
      </c>
      <c r="N5055" s="23" t="str">
        <f>IF(COUNTIF($A$2:A5055,A5055)&gt;1,"DUP","OK")</f>
        <v>OK</v>
      </c>
      <c r="O5055" s="23" t="str">
        <f t="shared" si="235"/>
        <v>ORD26004261</v>
      </c>
      <c r="P5055" s="23" t="str">
        <f t="shared" si="236"/>
        <v>Sep</v>
      </c>
      <c r="Q5055" s="23" t="str">
        <f>IF(F5055="CAPTURE",IF(COUNTIF(orders!$A:$A,O5055)&gt;0,"Yes","NO ORDER"),"")</f>
        <v>Yes</v>
      </c>
    </row>
    <row r="5056" spans="1:17" ht="15" customHeight="1" x14ac:dyDescent="0.3">
      <c r="A5056" s="23" t="s">
        <v>18229</v>
      </c>
      <c r="B5056" s="23"/>
      <c r="C5056" s="23" t="s">
        <v>9200</v>
      </c>
      <c r="D5056" s="23" t="str">
        <f t="shared" si="234"/>
        <v>ORD26004362</v>
      </c>
      <c r="E5056" s="38">
        <v>46292</v>
      </c>
      <c r="F5056" s="23" t="s">
        <v>12410</v>
      </c>
      <c r="G5056" s="23" t="s">
        <v>77</v>
      </c>
      <c r="H5056" s="24">
        <v>3498</v>
      </c>
      <c r="I5056" s="24">
        <v>59.47</v>
      </c>
      <c r="J5056" s="24">
        <v>10.7</v>
      </c>
      <c r="K5056" s="24">
        <v>3427.83</v>
      </c>
      <c r="L5056" s="38">
        <v>46294</v>
      </c>
      <c r="M5056" s="23" t="s">
        <v>229</v>
      </c>
      <c r="N5056" s="23" t="str">
        <f>IF(COUNTIF($A$2:A5056,A5056)&gt;1,"DUP","OK")</f>
        <v>OK</v>
      </c>
      <c r="O5056" s="23" t="str">
        <f t="shared" si="235"/>
        <v>ORD26004362</v>
      </c>
      <c r="P5056" s="23" t="str">
        <f t="shared" si="236"/>
        <v>Sep</v>
      </c>
      <c r="Q5056" s="23" t="str">
        <f>IF(F5056="CAPTURE",IF(COUNTIF(orders!$A:$A,O5056)&gt;0,"Yes","NO ORDER"),"")</f>
        <v>Yes</v>
      </c>
    </row>
    <row r="5057" spans="1:17" ht="15" customHeight="1" x14ac:dyDescent="0.3">
      <c r="A5057" s="23" t="s">
        <v>18230</v>
      </c>
      <c r="B5057" s="23"/>
      <c r="C5057" s="23" t="s">
        <v>9348</v>
      </c>
      <c r="D5057" s="23" t="str">
        <f t="shared" si="234"/>
        <v>ORD26004438</v>
      </c>
      <c r="E5057" s="38">
        <v>46292</v>
      </c>
      <c r="F5057" s="23" t="s">
        <v>12410</v>
      </c>
      <c r="G5057" s="23" t="s">
        <v>75</v>
      </c>
      <c r="H5057" s="24">
        <v>7999</v>
      </c>
      <c r="I5057" s="24">
        <v>24</v>
      </c>
      <c r="J5057" s="24">
        <v>4.32</v>
      </c>
      <c r="K5057" s="24">
        <v>7970.68</v>
      </c>
      <c r="L5057" s="38">
        <v>46294</v>
      </c>
      <c r="M5057" s="23" t="s">
        <v>229</v>
      </c>
      <c r="N5057" s="23" t="str">
        <f>IF(COUNTIF($A$2:A5057,A5057)&gt;1,"DUP","OK")</f>
        <v>OK</v>
      </c>
      <c r="O5057" s="23" t="str">
        <f t="shared" si="235"/>
        <v>ORD26004438</v>
      </c>
      <c r="P5057" s="23" t="str">
        <f t="shared" si="236"/>
        <v>Sep</v>
      </c>
      <c r="Q5057" s="23" t="str">
        <f>IF(F5057="CAPTURE",IF(COUNTIF(orders!$A:$A,O5057)&gt;0,"Yes","NO ORDER"),"")</f>
        <v>Yes</v>
      </c>
    </row>
    <row r="5058" spans="1:17" ht="15" customHeight="1" x14ac:dyDescent="0.3">
      <c r="A5058" s="23" t="s">
        <v>18231</v>
      </c>
      <c r="B5058" s="23"/>
      <c r="C5058" s="23" t="s">
        <v>9380</v>
      </c>
      <c r="D5058" s="23" t="str">
        <f t="shared" ref="D5058:D5121" si="237">UPPER(SUBSTITUTE(TRIM(C5058),"-",""))</f>
        <v>ORD26004453</v>
      </c>
      <c r="E5058" s="38">
        <v>46292</v>
      </c>
      <c r="F5058" s="23" t="s">
        <v>12410</v>
      </c>
      <c r="G5058" s="23" t="s">
        <v>79</v>
      </c>
      <c r="H5058" s="24">
        <v>998</v>
      </c>
      <c r="I5058" s="24">
        <v>17.96</v>
      </c>
      <c r="J5058" s="24">
        <v>3.23</v>
      </c>
      <c r="K5058" s="24">
        <v>976.81</v>
      </c>
      <c r="L5058" s="38">
        <v>46294</v>
      </c>
      <c r="M5058" s="23" t="s">
        <v>229</v>
      </c>
      <c r="N5058" s="23" t="str">
        <f>IF(COUNTIF($A$2:A5058,A5058)&gt;1,"DUP","OK")</f>
        <v>OK</v>
      </c>
      <c r="O5058" s="23" t="str">
        <f t="shared" ref="O5058:O5121" si="238">IF(F5058="REFUND",INDEX($D:$D,MATCH(B5058,$A:$A,0)),D5058)</f>
        <v>ORD26004453</v>
      </c>
      <c r="P5058" s="23" t="str">
        <f t="shared" ref="P5058:P5121" si="239">IF(L5058&gt;DATE(2026,9,30),"Oct-Due","Sep")</f>
        <v>Sep</v>
      </c>
      <c r="Q5058" s="23" t="str">
        <f>IF(F5058="CAPTURE",IF(COUNTIF(orders!$A:$A,O5058)&gt;0,"Yes","NO ORDER"),"")</f>
        <v>Yes</v>
      </c>
    </row>
    <row r="5059" spans="1:17" ht="15" customHeight="1" x14ac:dyDescent="0.3">
      <c r="A5059" s="23" t="s">
        <v>18232</v>
      </c>
      <c r="B5059" s="23"/>
      <c r="C5059" s="23" t="s">
        <v>9445</v>
      </c>
      <c r="D5059" s="23" t="str">
        <f t="shared" si="237"/>
        <v>ORD26004487</v>
      </c>
      <c r="E5059" s="38">
        <v>46292</v>
      </c>
      <c r="F5059" s="23" t="s">
        <v>12410</v>
      </c>
      <c r="G5059" s="23" t="s">
        <v>75</v>
      </c>
      <c r="H5059" s="24">
        <v>2498</v>
      </c>
      <c r="I5059" s="24">
        <v>7.49</v>
      </c>
      <c r="J5059" s="24">
        <v>1.35</v>
      </c>
      <c r="K5059" s="24">
        <v>2489.16</v>
      </c>
      <c r="L5059" s="38">
        <v>46294</v>
      </c>
      <c r="M5059" s="23" t="s">
        <v>229</v>
      </c>
      <c r="N5059" s="23" t="str">
        <f>IF(COUNTIF($A$2:A5059,A5059)&gt;1,"DUP","OK")</f>
        <v>OK</v>
      </c>
      <c r="O5059" s="23" t="str">
        <f t="shared" si="238"/>
        <v>ORD26004487</v>
      </c>
      <c r="P5059" s="23" t="str">
        <f t="shared" si="239"/>
        <v>Sep</v>
      </c>
      <c r="Q5059" s="23" t="str">
        <f>IF(F5059="CAPTURE",IF(COUNTIF(orders!$A:$A,O5059)&gt;0,"Yes","NO ORDER"),"")</f>
        <v>Yes</v>
      </c>
    </row>
    <row r="5060" spans="1:17" ht="15" customHeight="1" x14ac:dyDescent="0.3">
      <c r="A5060" s="23" t="s">
        <v>18233</v>
      </c>
      <c r="B5060" s="23"/>
      <c r="C5060" s="23" t="s">
        <v>9458</v>
      </c>
      <c r="D5060" s="23" t="str">
        <f t="shared" si="237"/>
        <v>ORD26004493</v>
      </c>
      <c r="E5060" s="38">
        <v>46292</v>
      </c>
      <c r="F5060" s="23" t="s">
        <v>12410</v>
      </c>
      <c r="G5060" s="23" t="s">
        <v>79</v>
      </c>
      <c r="H5060" s="24">
        <v>349</v>
      </c>
      <c r="I5060" s="24">
        <v>6.28</v>
      </c>
      <c r="J5060" s="24">
        <v>1.1299999999999999</v>
      </c>
      <c r="K5060" s="24">
        <v>341.59</v>
      </c>
      <c r="L5060" s="38">
        <v>46294</v>
      </c>
      <c r="M5060" s="23" t="s">
        <v>229</v>
      </c>
      <c r="N5060" s="23" t="str">
        <f>IF(COUNTIF($A$2:A5060,A5060)&gt;1,"DUP","OK")</f>
        <v>OK</v>
      </c>
      <c r="O5060" s="23" t="str">
        <f t="shared" si="238"/>
        <v>ORD26004493</v>
      </c>
      <c r="P5060" s="23" t="str">
        <f t="shared" si="239"/>
        <v>Sep</v>
      </c>
      <c r="Q5060" s="23" t="str">
        <f>IF(F5060="CAPTURE",IF(COUNTIF(orders!$A:$A,O5060)&gt;0,"Yes","NO ORDER"),"")</f>
        <v>Yes</v>
      </c>
    </row>
    <row r="5061" spans="1:17" ht="15" customHeight="1" x14ac:dyDescent="0.3">
      <c r="A5061" s="23" t="s">
        <v>18234</v>
      </c>
      <c r="B5061" s="23"/>
      <c r="C5061" s="23" t="s">
        <v>9500</v>
      </c>
      <c r="D5061" s="23" t="str">
        <f t="shared" si="237"/>
        <v>ORD26004514</v>
      </c>
      <c r="E5061" s="38">
        <v>46292</v>
      </c>
      <c r="F5061" s="23" t="s">
        <v>12410</v>
      </c>
      <c r="G5061" s="23" t="s">
        <v>79</v>
      </c>
      <c r="H5061" s="24">
        <v>8998</v>
      </c>
      <c r="I5061" s="24">
        <v>143.97</v>
      </c>
      <c r="J5061" s="24">
        <v>25.91</v>
      </c>
      <c r="K5061" s="24">
        <v>8828.1200000000008</v>
      </c>
      <c r="L5061" s="38">
        <v>46294</v>
      </c>
      <c r="M5061" s="23" t="s">
        <v>229</v>
      </c>
      <c r="N5061" s="23" t="str">
        <f>IF(COUNTIF($A$2:A5061,A5061)&gt;1,"DUP","OK")</f>
        <v>OK</v>
      </c>
      <c r="O5061" s="23" t="str">
        <f t="shared" si="238"/>
        <v>ORD26004514</v>
      </c>
      <c r="P5061" s="23" t="str">
        <f t="shared" si="239"/>
        <v>Sep</v>
      </c>
      <c r="Q5061" s="23" t="str">
        <f>IF(F5061="CAPTURE",IF(COUNTIF(orders!$A:$A,O5061)&gt;0,"Yes","NO ORDER"),"")</f>
        <v>Yes</v>
      </c>
    </row>
    <row r="5062" spans="1:17" ht="15" customHeight="1" x14ac:dyDescent="0.3">
      <c r="A5062" s="23" t="s">
        <v>18235</v>
      </c>
      <c r="B5062" s="23"/>
      <c r="C5062" s="23" t="s">
        <v>9561</v>
      </c>
      <c r="D5062" s="23" t="str">
        <f t="shared" si="237"/>
        <v>ORD26004544</v>
      </c>
      <c r="E5062" s="38">
        <v>46292</v>
      </c>
      <c r="F5062" s="23" t="s">
        <v>12410</v>
      </c>
      <c r="G5062" s="23" t="s">
        <v>79</v>
      </c>
      <c r="H5062" s="24">
        <v>2999</v>
      </c>
      <c r="I5062" s="24">
        <v>47.98</v>
      </c>
      <c r="J5062" s="24">
        <v>8.64</v>
      </c>
      <c r="K5062" s="24">
        <v>2942.38</v>
      </c>
      <c r="L5062" s="38">
        <v>46294</v>
      </c>
      <c r="M5062" s="23" t="s">
        <v>229</v>
      </c>
      <c r="N5062" s="23" t="str">
        <f>IF(COUNTIF($A$2:A5062,A5062)&gt;1,"DUP","OK")</f>
        <v>OK</v>
      </c>
      <c r="O5062" s="23" t="str">
        <f t="shared" si="238"/>
        <v>ORD26004544</v>
      </c>
      <c r="P5062" s="23" t="str">
        <f t="shared" si="239"/>
        <v>Sep</v>
      </c>
      <c r="Q5062" s="23" t="str">
        <f>IF(F5062="CAPTURE",IF(COUNTIF(orders!$A:$A,O5062)&gt;0,"Yes","NO ORDER"),"")</f>
        <v>Yes</v>
      </c>
    </row>
    <row r="5063" spans="1:17" ht="15" customHeight="1" x14ac:dyDescent="0.3">
      <c r="A5063" s="23" t="s">
        <v>18236</v>
      </c>
      <c r="B5063" s="23"/>
      <c r="C5063" s="23" t="s">
        <v>9585</v>
      </c>
      <c r="D5063" s="23" t="str">
        <f t="shared" si="237"/>
        <v>ORD26004556</v>
      </c>
      <c r="E5063" s="38">
        <v>46292</v>
      </c>
      <c r="F5063" s="23" t="s">
        <v>12410</v>
      </c>
      <c r="G5063" s="23" t="s">
        <v>75</v>
      </c>
      <c r="H5063" s="24">
        <v>4298</v>
      </c>
      <c r="I5063" s="24">
        <v>12.89</v>
      </c>
      <c r="J5063" s="24">
        <v>2.3199999999999998</v>
      </c>
      <c r="K5063" s="24">
        <v>4282.79</v>
      </c>
      <c r="L5063" s="38">
        <v>46294</v>
      </c>
      <c r="M5063" s="23" t="s">
        <v>229</v>
      </c>
      <c r="N5063" s="23" t="str">
        <f>IF(COUNTIF($A$2:A5063,A5063)&gt;1,"DUP","OK")</f>
        <v>OK</v>
      </c>
      <c r="O5063" s="23" t="str">
        <f t="shared" si="238"/>
        <v>ORD26004556</v>
      </c>
      <c r="P5063" s="23" t="str">
        <f t="shared" si="239"/>
        <v>Sep</v>
      </c>
      <c r="Q5063" s="23" t="str">
        <f>IF(F5063="CAPTURE",IF(COUNTIF(orders!$A:$A,O5063)&gt;0,"Yes","NO ORDER"),"")</f>
        <v>Yes</v>
      </c>
    </row>
    <row r="5064" spans="1:17" ht="15" customHeight="1" x14ac:dyDescent="0.3">
      <c r="A5064" s="23" t="s">
        <v>18237</v>
      </c>
      <c r="B5064" s="23"/>
      <c r="C5064" s="23" t="s">
        <v>9688</v>
      </c>
      <c r="D5064" s="23" t="str">
        <f t="shared" si="237"/>
        <v>ORD26004608</v>
      </c>
      <c r="E5064" s="38">
        <v>46292</v>
      </c>
      <c r="F5064" s="23" t="s">
        <v>12410</v>
      </c>
      <c r="G5064" s="23" t="s">
        <v>75</v>
      </c>
      <c r="H5064" s="24">
        <v>4298</v>
      </c>
      <c r="I5064" s="24">
        <v>12.89</v>
      </c>
      <c r="J5064" s="24">
        <v>2.3199999999999998</v>
      </c>
      <c r="K5064" s="24">
        <v>4282.79</v>
      </c>
      <c r="L5064" s="38">
        <v>46294</v>
      </c>
      <c r="M5064" s="23" t="s">
        <v>229</v>
      </c>
      <c r="N5064" s="23" t="str">
        <f>IF(COUNTIF($A$2:A5064,A5064)&gt;1,"DUP","OK")</f>
        <v>OK</v>
      </c>
      <c r="O5064" s="23" t="str">
        <f t="shared" si="238"/>
        <v>ORD26004608</v>
      </c>
      <c r="P5064" s="23" t="str">
        <f t="shared" si="239"/>
        <v>Sep</v>
      </c>
      <c r="Q5064" s="23" t="str">
        <f>IF(F5064="CAPTURE",IF(COUNTIF(orders!$A:$A,O5064)&gt;0,"Yes","NO ORDER"),"")</f>
        <v>Yes</v>
      </c>
    </row>
    <row r="5065" spans="1:17" ht="15" customHeight="1" x14ac:dyDescent="0.3">
      <c r="A5065" s="23" t="s">
        <v>18238</v>
      </c>
      <c r="B5065" s="23"/>
      <c r="C5065" s="23" t="s">
        <v>9748</v>
      </c>
      <c r="D5065" s="23" t="str">
        <f t="shared" si="237"/>
        <v>ORD26004638</v>
      </c>
      <c r="E5065" s="38">
        <v>46292</v>
      </c>
      <c r="F5065" s="23" t="s">
        <v>12410</v>
      </c>
      <c r="G5065" s="23" t="s">
        <v>75</v>
      </c>
      <c r="H5065" s="24">
        <v>6147</v>
      </c>
      <c r="I5065" s="24">
        <v>18.440000000000001</v>
      </c>
      <c r="J5065" s="24">
        <v>3.32</v>
      </c>
      <c r="K5065" s="24">
        <v>6125.24</v>
      </c>
      <c r="L5065" s="38">
        <v>46294</v>
      </c>
      <c r="M5065" s="23" t="s">
        <v>229</v>
      </c>
      <c r="N5065" s="23" t="str">
        <f>IF(COUNTIF($A$2:A5065,A5065)&gt;1,"DUP","OK")</f>
        <v>OK</v>
      </c>
      <c r="O5065" s="23" t="str">
        <f t="shared" si="238"/>
        <v>ORD26004638</v>
      </c>
      <c r="P5065" s="23" t="str">
        <f t="shared" si="239"/>
        <v>Sep</v>
      </c>
      <c r="Q5065" s="23" t="str">
        <f>IF(F5065="CAPTURE",IF(COUNTIF(orders!$A:$A,O5065)&gt;0,"Yes","NO ORDER"),"")</f>
        <v>Yes</v>
      </c>
    </row>
    <row r="5066" spans="1:17" ht="15" customHeight="1" x14ac:dyDescent="0.3">
      <c r="A5066" s="23" t="s">
        <v>18239</v>
      </c>
      <c r="B5066" s="23"/>
      <c r="C5066" s="23" t="s">
        <v>9793</v>
      </c>
      <c r="D5066" s="23" t="str">
        <f t="shared" si="237"/>
        <v>ORD26004662</v>
      </c>
      <c r="E5066" s="38">
        <v>46292</v>
      </c>
      <c r="F5066" s="23" t="s">
        <v>12410</v>
      </c>
      <c r="G5066" s="23" t="s">
        <v>77</v>
      </c>
      <c r="H5066" s="24">
        <v>4298</v>
      </c>
      <c r="I5066" s="24">
        <v>73.069999999999993</v>
      </c>
      <c r="J5066" s="24">
        <v>13.15</v>
      </c>
      <c r="K5066" s="24">
        <v>4211.78</v>
      </c>
      <c r="L5066" s="38">
        <v>46294</v>
      </c>
      <c r="M5066" s="23" t="s">
        <v>229</v>
      </c>
      <c r="N5066" s="23" t="str">
        <f>IF(COUNTIF($A$2:A5066,A5066)&gt;1,"DUP","OK")</f>
        <v>OK</v>
      </c>
      <c r="O5066" s="23" t="str">
        <f t="shared" si="238"/>
        <v>ORD26004662</v>
      </c>
      <c r="P5066" s="23" t="str">
        <f t="shared" si="239"/>
        <v>Sep</v>
      </c>
      <c r="Q5066" s="23" t="str">
        <f>IF(F5066="CAPTURE",IF(COUNTIF(orders!$A:$A,O5066)&gt;0,"Yes","NO ORDER"),"")</f>
        <v>Yes</v>
      </c>
    </row>
    <row r="5067" spans="1:17" ht="15" customHeight="1" x14ac:dyDescent="0.3">
      <c r="A5067" s="23" t="s">
        <v>18240</v>
      </c>
      <c r="B5067" s="23"/>
      <c r="C5067" s="23" t="s">
        <v>18241</v>
      </c>
      <c r="D5067" s="23" t="str">
        <f t="shared" si="237"/>
        <v>ORD26004695</v>
      </c>
      <c r="E5067" s="38">
        <v>46292</v>
      </c>
      <c r="F5067" s="23" t="s">
        <v>12410</v>
      </c>
      <c r="G5067" s="23" t="s">
        <v>77</v>
      </c>
      <c r="H5067" s="24">
        <v>948</v>
      </c>
      <c r="I5067" s="24">
        <v>18.010000000000002</v>
      </c>
      <c r="J5067" s="24">
        <v>3.24</v>
      </c>
      <c r="K5067" s="24">
        <v>926.75</v>
      </c>
      <c r="L5067" s="38">
        <v>46294</v>
      </c>
      <c r="M5067" s="23" t="s">
        <v>229</v>
      </c>
      <c r="N5067" s="23" t="str">
        <f>IF(COUNTIF($A$2:A5067,A5067)&gt;1,"DUP","OK")</f>
        <v>OK</v>
      </c>
      <c r="O5067" s="23" t="str">
        <f t="shared" si="238"/>
        <v>ORD26004695</v>
      </c>
      <c r="P5067" s="23" t="str">
        <f t="shared" si="239"/>
        <v>Sep</v>
      </c>
      <c r="Q5067" s="23" t="str">
        <f>IF(F5067="CAPTURE",IF(COUNTIF(orders!$A:$A,O5067)&gt;0,"Yes","NO ORDER"),"")</f>
        <v>Yes</v>
      </c>
    </row>
    <row r="5068" spans="1:17" ht="15" customHeight="1" x14ac:dyDescent="0.3">
      <c r="A5068" s="23" t="s">
        <v>18242</v>
      </c>
      <c r="B5068" s="23"/>
      <c r="C5068" s="23" t="s">
        <v>9931</v>
      </c>
      <c r="D5068" s="23" t="str">
        <f t="shared" si="237"/>
        <v>ORD26004733</v>
      </c>
      <c r="E5068" s="38">
        <v>46292</v>
      </c>
      <c r="F5068" s="23" t="s">
        <v>12410</v>
      </c>
      <c r="G5068" s="23" t="s">
        <v>79</v>
      </c>
      <c r="H5068" s="24">
        <v>1398</v>
      </c>
      <c r="I5068" s="24">
        <v>25.16</v>
      </c>
      <c r="J5068" s="24">
        <v>4.53</v>
      </c>
      <c r="K5068" s="24">
        <v>1368.31</v>
      </c>
      <c r="L5068" s="38">
        <v>46294</v>
      </c>
      <c r="M5068" s="23" t="s">
        <v>229</v>
      </c>
      <c r="N5068" s="23" t="str">
        <f>IF(COUNTIF($A$2:A5068,A5068)&gt;1,"DUP","OK")</f>
        <v>OK</v>
      </c>
      <c r="O5068" s="23" t="str">
        <f t="shared" si="238"/>
        <v>ORD26004733</v>
      </c>
      <c r="P5068" s="23" t="str">
        <f t="shared" si="239"/>
        <v>Sep</v>
      </c>
      <c r="Q5068" s="23" t="str">
        <f>IF(F5068="CAPTURE",IF(COUNTIF(orders!$A:$A,O5068)&gt;0,"Yes","NO ORDER"),"")</f>
        <v>Yes</v>
      </c>
    </row>
    <row r="5069" spans="1:17" ht="15" customHeight="1" x14ac:dyDescent="0.3">
      <c r="A5069" s="23" t="s">
        <v>18243</v>
      </c>
      <c r="B5069" s="23"/>
      <c r="C5069" s="23" t="s">
        <v>9987</v>
      </c>
      <c r="D5069" s="23" t="str">
        <f t="shared" si="237"/>
        <v>ORD26004761</v>
      </c>
      <c r="E5069" s="38">
        <v>46292</v>
      </c>
      <c r="F5069" s="23" t="s">
        <v>12410</v>
      </c>
      <c r="G5069" s="23" t="s">
        <v>75</v>
      </c>
      <c r="H5069" s="24">
        <v>1799</v>
      </c>
      <c r="I5069" s="24">
        <v>0</v>
      </c>
      <c r="J5069" s="24">
        <v>0</v>
      </c>
      <c r="K5069" s="24">
        <v>1799</v>
      </c>
      <c r="L5069" s="38">
        <v>46294</v>
      </c>
      <c r="M5069" s="23" t="s">
        <v>229</v>
      </c>
      <c r="N5069" s="23" t="str">
        <f>IF(COUNTIF($A$2:A5069,A5069)&gt;1,"DUP","OK")</f>
        <v>OK</v>
      </c>
      <c r="O5069" s="23" t="str">
        <f t="shared" si="238"/>
        <v>ORD26004761</v>
      </c>
      <c r="P5069" s="23" t="str">
        <f t="shared" si="239"/>
        <v>Sep</v>
      </c>
      <c r="Q5069" s="23" t="str">
        <f>IF(F5069="CAPTURE",IF(COUNTIF(orders!$A:$A,O5069)&gt;0,"Yes","NO ORDER"),"")</f>
        <v>Yes</v>
      </c>
    </row>
    <row r="5070" spans="1:17" ht="15" customHeight="1" x14ac:dyDescent="0.3">
      <c r="A5070" s="23" t="s">
        <v>18244</v>
      </c>
      <c r="B5070" s="23"/>
      <c r="C5070" s="23" t="s">
        <v>10064</v>
      </c>
      <c r="D5070" s="23" t="str">
        <f t="shared" si="237"/>
        <v>ORD26004801</v>
      </c>
      <c r="E5070" s="38">
        <v>46292</v>
      </c>
      <c r="F5070" s="23" t="s">
        <v>12410</v>
      </c>
      <c r="G5070" s="23" t="s">
        <v>81</v>
      </c>
      <c r="H5070" s="24">
        <v>8498</v>
      </c>
      <c r="I5070" s="24">
        <v>101.98</v>
      </c>
      <c r="J5070" s="24">
        <v>18.36</v>
      </c>
      <c r="K5070" s="24">
        <v>8377.66</v>
      </c>
      <c r="L5070" s="38">
        <v>46294</v>
      </c>
      <c r="M5070" s="23" t="s">
        <v>229</v>
      </c>
      <c r="N5070" s="23" t="str">
        <f>IF(COUNTIF($A$2:A5070,A5070)&gt;1,"DUP","OK")</f>
        <v>OK</v>
      </c>
      <c r="O5070" s="23" t="str">
        <f t="shared" si="238"/>
        <v>ORD26004801</v>
      </c>
      <c r="P5070" s="23" t="str">
        <f t="shared" si="239"/>
        <v>Sep</v>
      </c>
      <c r="Q5070" s="23" t="str">
        <f>IF(F5070="CAPTURE",IF(COUNTIF(orders!$A:$A,O5070)&gt;0,"Yes","NO ORDER"),"")</f>
        <v>Yes</v>
      </c>
    </row>
    <row r="5071" spans="1:17" ht="15" customHeight="1" x14ac:dyDescent="0.3">
      <c r="A5071" s="23" t="s">
        <v>18245</v>
      </c>
      <c r="B5071" s="23"/>
      <c r="C5071" s="23" t="s">
        <v>10077</v>
      </c>
      <c r="D5071" s="23" t="str">
        <f t="shared" si="237"/>
        <v>ORD26004808</v>
      </c>
      <c r="E5071" s="38">
        <v>46292</v>
      </c>
      <c r="F5071" s="23" t="s">
        <v>12410</v>
      </c>
      <c r="G5071" s="23" t="s">
        <v>75</v>
      </c>
      <c r="H5071" s="24">
        <v>5298</v>
      </c>
      <c r="I5071" s="24">
        <v>15.89</v>
      </c>
      <c r="J5071" s="24">
        <v>2.86</v>
      </c>
      <c r="K5071" s="24">
        <v>5279.25</v>
      </c>
      <c r="L5071" s="38">
        <v>46294</v>
      </c>
      <c r="M5071" s="23" t="s">
        <v>229</v>
      </c>
      <c r="N5071" s="23" t="str">
        <f>IF(COUNTIF($A$2:A5071,A5071)&gt;1,"DUP","OK")</f>
        <v>OK</v>
      </c>
      <c r="O5071" s="23" t="str">
        <f t="shared" si="238"/>
        <v>ORD26004808</v>
      </c>
      <c r="P5071" s="23" t="str">
        <f t="shared" si="239"/>
        <v>Sep</v>
      </c>
      <c r="Q5071" s="23" t="str">
        <f>IF(F5071="CAPTURE",IF(COUNTIF(orders!$A:$A,O5071)&gt;0,"Yes","NO ORDER"),"")</f>
        <v>Yes</v>
      </c>
    </row>
    <row r="5072" spans="1:17" ht="15" customHeight="1" x14ac:dyDescent="0.3">
      <c r="A5072" s="23" t="s">
        <v>18246</v>
      </c>
      <c r="B5072" s="23"/>
      <c r="C5072" s="23" t="s">
        <v>10089</v>
      </c>
      <c r="D5072" s="23" t="str">
        <f t="shared" si="237"/>
        <v>ORD26004814</v>
      </c>
      <c r="E5072" s="38">
        <v>46292</v>
      </c>
      <c r="F5072" s="23" t="s">
        <v>12410</v>
      </c>
      <c r="G5072" s="23" t="s">
        <v>75</v>
      </c>
      <c r="H5072" s="24">
        <v>1299</v>
      </c>
      <c r="I5072" s="24">
        <v>0</v>
      </c>
      <c r="J5072" s="24">
        <v>0</v>
      </c>
      <c r="K5072" s="24">
        <v>1299</v>
      </c>
      <c r="L5072" s="38">
        <v>46294</v>
      </c>
      <c r="M5072" s="23" t="s">
        <v>229</v>
      </c>
      <c r="N5072" s="23" t="str">
        <f>IF(COUNTIF($A$2:A5072,A5072)&gt;1,"DUP","OK")</f>
        <v>OK</v>
      </c>
      <c r="O5072" s="23" t="str">
        <f t="shared" si="238"/>
        <v>ORD26004814</v>
      </c>
      <c r="P5072" s="23" t="str">
        <f t="shared" si="239"/>
        <v>Sep</v>
      </c>
      <c r="Q5072" s="23" t="str">
        <f>IF(F5072="CAPTURE",IF(COUNTIF(orders!$A:$A,O5072)&gt;0,"Yes","NO ORDER"),"")</f>
        <v>Yes</v>
      </c>
    </row>
    <row r="5073" spans="1:17" ht="15" customHeight="1" x14ac:dyDescent="0.3">
      <c r="A5073" s="23" t="s">
        <v>18247</v>
      </c>
      <c r="B5073" s="23"/>
      <c r="C5073" s="23" t="s">
        <v>10097</v>
      </c>
      <c r="D5073" s="23" t="str">
        <f t="shared" si="237"/>
        <v>ORD26004818</v>
      </c>
      <c r="E5073" s="38">
        <v>46292</v>
      </c>
      <c r="F5073" s="23" t="s">
        <v>12410</v>
      </c>
      <c r="G5073" s="23" t="s">
        <v>79</v>
      </c>
      <c r="H5073" s="24">
        <v>2798</v>
      </c>
      <c r="I5073" s="24">
        <v>44.77</v>
      </c>
      <c r="J5073" s="24">
        <v>8.06</v>
      </c>
      <c r="K5073" s="24">
        <v>2745.17</v>
      </c>
      <c r="L5073" s="38">
        <v>46294</v>
      </c>
      <c r="M5073" s="23" t="s">
        <v>229</v>
      </c>
      <c r="N5073" s="23" t="str">
        <f>IF(COUNTIF($A$2:A5073,A5073)&gt;1,"DUP","OK")</f>
        <v>OK</v>
      </c>
      <c r="O5073" s="23" t="str">
        <f t="shared" si="238"/>
        <v>ORD26004818</v>
      </c>
      <c r="P5073" s="23" t="str">
        <f t="shared" si="239"/>
        <v>Sep</v>
      </c>
      <c r="Q5073" s="23" t="str">
        <f>IF(F5073="CAPTURE",IF(COUNTIF(orders!$A:$A,O5073)&gt;0,"Yes","NO ORDER"),"")</f>
        <v>Yes</v>
      </c>
    </row>
    <row r="5074" spans="1:17" ht="15" customHeight="1" x14ac:dyDescent="0.3">
      <c r="A5074" s="23" t="s">
        <v>18248</v>
      </c>
      <c r="B5074" s="23"/>
      <c r="C5074" s="23" t="s">
        <v>10120</v>
      </c>
      <c r="D5074" s="23" t="str">
        <f t="shared" si="237"/>
        <v>ORD26004830</v>
      </c>
      <c r="E5074" s="38">
        <v>46292</v>
      </c>
      <c r="F5074" s="23" t="s">
        <v>12410</v>
      </c>
      <c r="G5074" s="23" t="s">
        <v>79</v>
      </c>
      <c r="H5074" s="24">
        <v>848</v>
      </c>
      <c r="I5074" s="24">
        <v>15.26</v>
      </c>
      <c r="J5074" s="24">
        <v>2.75</v>
      </c>
      <c r="K5074" s="24">
        <v>829.99</v>
      </c>
      <c r="L5074" s="38">
        <v>46294</v>
      </c>
      <c r="M5074" s="23" t="s">
        <v>229</v>
      </c>
      <c r="N5074" s="23" t="str">
        <f>IF(COUNTIF($A$2:A5074,A5074)&gt;1,"DUP","OK")</f>
        <v>OK</v>
      </c>
      <c r="O5074" s="23" t="str">
        <f t="shared" si="238"/>
        <v>ORD26004830</v>
      </c>
      <c r="P5074" s="23" t="str">
        <f t="shared" si="239"/>
        <v>Sep</v>
      </c>
      <c r="Q5074" s="23" t="str">
        <f>IF(F5074="CAPTURE",IF(COUNTIF(orders!$A:$A,O5074)&gt;0,"Yes","NO ORDER"),"")</f>
        <v>Yes</v>
      </c>
    </row>
    <row r="5075" spans="1:17" ht="15" customHeight="1" x14ac:dyDescent="0.3">
      <c r="A5075" s="23" t="s">
        <v>18249</v>
      </c>
      <c r="B5075" s="23"/>
      <c r="C5075" s="23" t="s">
        <v>10389</v>
      </c>
      <c r="D5075" s="23" t="str">
        <f t="shared" si="237"/>
        <v>ORD26004968</v>
      </c>
      <c r="E5075" s="38">
        <v>46292</v>
      </c>
      <c r="F5075" s="23" t="s">
        <v>12410</v>
      </c>
      <c r="G5075" s="23" t="s">
        <v>75</v>
      </c>
      <c r="H5075" s="24">
        <v>299</v>
      </c>
      <c r="I5075" s="24">
        <v>0</v>
      </c>
      <c r="J5075" s="24">
        <v>0</v>
      </c>
      <c r="K5075" s="24">
        <v>299</v>
      </c>
      <c r="L5075" s="38">
        <v>46294</v>
      </c>
      <c r="M5075" s="23" t="s">
        <v>229</v>
      </c>
      <c r="N5075" s="23" t="str">
        <f>IF(COUNTIF($A$2:A5075,A5075)&gt;1,"DUP","OK")</f>
        <v>OK</v>
      </c>
      <c r="O5075" s="23" t="str">
        <f t="shared" si="238"/>
        <v>ORD26004968</v>
      </c>
      <c r="P5075" s="23" t="str">
        <f t="shared" si="239"/>
        <v>Sep</v>
      </c>
      <c r="Q5075" s="23" t="str">
        <f>IF(F5075="CAPTURE",IF(COUNTIF(orders!$A:$A,O5075)&gt;0,"Yes","NO ORDER"),"")</f>
        <v>Yes</v>
      </c>
    </row>
    <row r="5076" spans="1:17" ht="15" customHeight="1" x14ac:dyDescent="0.3">
      <c r="A5076" s="23" t="s">
        <v>18250</v>
      </c>
      <c r="B5076" s="23"/>
      <c r="C5076" s="23" t="s">
        <v>10437</v>
      </c>
      <c r="D5076" s="23" t="str">
        <f t="shared" si="237"/>
        <v>ORD26004992</v>
      </c>
      <c r="E5076" s="38">
        <v>46292</v>
      </c>
      <c r="F5076" s="23" t="s">
        <v>12410</v>
      </c>
      <c r="G5076" s="23" t="s">
        <v>75</v>
      </c>
      <c r="H5076" s="24">
        <v>1648</v>
      </c>
      <c r="I5076" s="24">
        <v>0</v>
      </c>
      <c r="J5076" s="24">
        <v>0</v>
      </c>
      <c r="K5076" s="24">
        <v>1648</v>
      </c>
      <c r="L5076" s="38">
        <v>46294</v>
      </c>
      <c r="M5076" s="23" t="s">
        <v>229</v>
      </c>
      <c r="N5076" s="23" t="str">
        <f>IF(COUNTIF($A$2:A5076,A5076)&gt;1,"DUP","OK")</f>
        <v>OK</v>
      </c>
      <c r="O5076" s="23" t="str">
        <f t="shared" si="238"/>
        <v>ORD26004992</v>
      </c>
      <c r="P5076" s="23" t="str">
        <f t="shared" si="239"/>
        <v>Sep</v>
      </c>
      <c r="Q5076" s="23" t="str">
        <f>IF(F5076="CAPTURE",IF(COUNTIF(orders!$A:$A,O5076)&gt;0,"Yes","NO ORDER"),"")</f>
        <v>Yes</v>
      </c>
    </row>
    <row r="5077" spans="1:17" ht="15" customHeight="1" x14ac:dyDescent="0.3">
      <c r="A5077" s="23" t="s">
        <v>18251</v>
      </c>
      <c r="B5077" s="23"/>
      <c r="C5077" s="23" t="s">
        <v>10445</v>
      </c>
      <c r="D5077" s="23" t="str">
        <f t="shared" si="237"/>
        <v>ORD26004996</v>
      </c>
      <c r="E5077" s="38">
        <v>46292</v>
      </c>
      <c r="F5077" s="23" t="s">
        <v>12410</v>
      </c>
      <c r="G5077" s="23" t="s">
        <v>81</v>
      </c>
      <c r="H5077" s="24">
        <v>7999</v>
      </c>
      <c r="I5077" s="24">
        <v>95.99</v>
      </c>
      <c r="J5077" s="24">
        <v>17.28</v>
      </c>
      <c r="K5077" s="24">
        <v>7885.73</v>
      </c>
      <c r="L5077" s="38">
        <v>46294</v>
      </c>
      <c r="M5077" s="23" t="s">
        <v>229</v>
      </c>
      <c r="N5077" s="23" t="str">
        <f>IF(COUNTIF($A$2:A5077,A5077)&gt;1,"DUP","OK")</f>
        <v>OK</v>
      </c>
      <c r="O5077" s="23" t="str">
        <f t="shared" si="238"/>
        <v>ORD26004996</v>
      </c>
      <c r="P5077" s="23" t="str">
        <f t="shared" si="239"/>
        <v>Sep</v>
      </c>
      <c r="Q5077" s="23" t="str">
        <f>IF(F5077="CAPTURE",IF(COUNTIF(orders!$A:$A,O5077)&gt;0,"Yes","NO ORDER"),"")</f>
        <v>Yes</v>
      </c>
    </row>
    <row r="5078" spans="1:17" ht="15" customHeight="1" x14ac:dyDescent="0.3">
      <c r="A5078" s="23" t="s">
        <v>18252</v>
      </c>
      <c r="B5078" s="23"/>
      <c r="C5078" s="23" t="s">
        <v>10504</v>
      </c>
      <c r="D5078" s="23" t="str">
        <f t="shared" si="237"/>
        <v>ORD26005027</v>
      </c>
      <c r="E5078" s="38">
        <v>46292</v>
      </c>
      <c r="F5078" s="23" t="s">
        <v>12410</v>
      </c>
      <c r="G5078" s="23" t="s">
        <v>75</v>
      </c>
      <c r="H5078" s="24">
        <v>3598</v>
      </c>
      <c r="I5078" s="24">
        <v>10.79</v>
      </c>
      <c r="J5078" s="24">
        <v>1.94</v>
      </c>
      <c r="K5078" s="24">
        <v>3585.27</v>
      </c>
      <c r="L5078" s="38">
        <v>46294</v>
      </c>
      <c r="M5078" s="23" t="s">
        <v>229</v>
      </c>
      <c r="N5078" s="23" t="str">
        <f>IF(COUNTIF($A$2:A5078,A5078)&gt;1,"DUP","OK")</f>
        <v>OK</v>
      </c>
      <c r="O5078" s="23" t="str">
        <f t="shared" si="238"/>
        <v>ORD26005027</v>
      </c>
      <c r="P5078" s="23" t="str">
        <f t="shared" si="239"/>
        <v>Sep</v>
      </c>
      <c r="Q5078" s="23" t="str">
        <f>IF(F5078="CAPTURE",IF(COUNTIF(orders!$A:$A,O5078)&gt;0,"Yes","NO ORDER"),"")</f>
        <v>Yes</v>
      </c>
    </row>
    <row r="5079" spans="1:17" ht="15" customHeight="1" x14ac:dyDescent="0.3">
      <c r="A5079" s="23" t="s">
        <v>18253</v>
      </c>
      <c r="B5079" s="23"/>
      <c r="C5079" s="23" t="s">
        <v>10515</v>
      </c>
      <c r="D5079" s="23" t="str">
        <f t="shared" si="237"/>
        <v>ORD26005033</v>
      </c>
      <c r="E5079" s="38">
        <v>46292</v>
      </c>
      <c r="F5079" s="23" t="s">
        <v>12410</v>
      </c>
      <c r="G5079" s="23" t="s">
        <v>77</v>
      </c>
      <c r="H5079" s="24">
        <v>1499</v>
      </c>
      <c r="I5079" s="24">
        <v>28.48</v>
      </c>
      <c r="J5079" s="24">
        <v>5.13</v>
      </c>
      <c r="K5079" s="24">
        <v>1465.39</v>
      </c>
      <c r="L5079" s="38">
        <v>46294</v>
      </c>
      <c r="M5079" s="23" t="s">
        <v>229</v>
      </c>
      <c r="N5079" s="23" t="str">
        <f>IF(COUNTIF($A$2:A5079,A5079)&gt;1,"DUP","OK")</f>
        <v>OK</v>
      </c>
      <c r="O5079" s="23" t="str">
        <f t="shared" si="238"/>
        <v>ORD26005033</v>
      </c>
      <c r="P5079" s="23" t="str">
        <f t="shared" si="239"/>
        <v>Sep</v>
      </c>
      <c r="Q5079" s="23" t="str">
        <f>IF(F5079="CAPTURE",IF(COUNTIF(orders!$A:$A,O5079)&gt;0,"Yes","NO ORDER"),"")</f>
        <v>Yes</v>
      </c>
    </row>
    <row r="5080" spans="1:17" ht="15" customHeight="1" x14ac:dyDescent="0.3">
      <c r="A5080" s="23" t="s">
        <v>18254</v>
      </c>
      <c r="B5080" s="23"/>
      <c r="C5080" s="23" t="s">
        <v>18255</v>
      </c>
      <c r="D5080" s="23" t="str">
        <f t="shared" si="237"/>
        <v>ORD26005076</v>
      </c>
      <c r="E5080" s="38">
        <v>46292</v>
      </c>
      <c r="F5080" s="23" t="s">
        <v>12410</v>
      </c>
      <c r="G5080" s="23" t="s">
        <v>75</v>
      </c>
      <c r="H5080" s="24">
        <v>4498</v>
      </c>
      <c r="I5080" s="24">
        <v>13.49</v>
      </c>
      <c r="J5080" s="24">
        <v>2.4300000000000002</v>
      </c>
      <c r="K5080" s="24">
        <v>4482.08</v>
      </c>
      <c r="L5080" s="38">
        <v>46294</v>
      </c>
      <c r="M5080" s="23" t="s">
        <v>229</v>
      </c>
      <c r="N5080" s="23" t="str">
        <f>IF(COUNTIF($A$2:A5080,A5080)&gt;1,"DUP","OK")</f>
        <v>OK</v>
      </c>
      <c r="O5080" s="23" t="str">
        <f t="shared" si="238"/>
        <v>ORD26005076</v>
      </c>
      <c r="P5080" s="23" t="str">
        <f t="shared" si="239"/>
        <v>Sep</v>
      </c>
      <c r="Q5080" s="23" t="str">
        <f>IF(F5080="CAPTURE",IF(COUNTIF(orders!$A:$A,O5080)&gt;0,"Yes","NO ORDER"),"")</f>
        <v>Yes</v>
      </c>
    </row>
    <row r="5081" spans="1:17" ht="15" customHeight="1" x14ac:dyDescent="0.3">
      <c r="A5081" s="23" t="s">
        <v>18256</v>
      </c>
      <c r="B5081" s="23"/>
      <c r="C5081" s="23" t="s">
        <v>10621</v>
      </c>
      <c r="D5081" s="23" t="str">
        <f t="shared" si="237"/>
        <v>ORD26005088</v>
      </c>
      <c r="E5081" s="38">
        <v>46292</v>
      </c>
      <c r="F5081" s="23" t="s">
        <v>12410</v>
      </c>
      <c r="G5081" s="23" t="s">
        <v>75</v>
      </c>
      <c r="H5081" s="24">
        <v>349</v>
      </c>
      <c r="I5081" s="24">
        <v>0</v>
      </c>
      <c r="J5081" s="24">
        <v>0</v>
      </c>
      <c r="K5081" s="24">
        <v>349</v>
      </c>
      <c r="L5081" s="38">
        <v>46294</v>
      </c>
      <c r="M5081" s="23" t="s">
        <v>229</v>
      </c>
      <c r="N5081" s="23" t="str">
        <f>IF(COUNTIF($A$2:A5081,A5081)&gt;1,"DUP","OK")</f>
        <v>OK</v>
      </c>
      <c r="O5081" s="23" t="str">
        <f t="shared" si="238"/>
        <v>ORD26005088</v>
      </c>
      <c r="P5081" s="23" t="str">
        <f t="shared" si="239"/>
        <v>Sep</v>
      </c>
      <c r="Q5081" s="23" t="str">
        <f>IF(F5081="CAPTURE",IF(COUNTIF(orders!$A:$A,O5081)&gt;0,"Yes","NO ORDER"),"")</f>
        <v>Yes</v>
      </c>
    </row>
    <row r="5082" spans="1:17" ht="15" customHeight="1" x14ac:dyDescent="0.3">
      <c r="A5082" s="23" t="s">
        <v>18257</v>
      </c>
      <c r="B5082" s="23"/>
      <c r="C5082" s="23" t="s">
        <v>10644</v>
      </c>
      <c r="D5082" s="23" t="str">
        <f t="shared" si="237"/>
        <v>ORD26005100</v>
      </c>
      <c r="E5082" s="38">
        <v>46292</v>
      </c>
      <c r="F5082" s="23" t="s">
        <v>12410</v>
      </c>
      <c r="G5082" s="23" t="s">
        <v>75</v>
      </c>
      <c r="H5082" s="24">
        <v>4999</v>
      </c>
      <c r="I5082" s="24">
        <v>15</v>
      </c>
      <c r="J5082" s="24">
        <v>2.7</v>
      </c>
      <c r="K5082" s="24">
        <v>4981.3</v>
      </c>
      <c r="L5082" s="38">
        <v>46294</v>
      </c>
      <c r="M5082" s="23" t="s">
        <v>229</v>
      </c>
      <c r="N5082" s="23" t="str">
        <f>IF(COUNTIF($A$2:A5082,A5082)&gt;1,"DUP","OK")</f>
        <v>OK</v>
      </c>
      <c r="O5082" s="23" t="str">
        <f t="shared" si="238"/>
        <v>ORD26005100</v>
      </c>
      <c r="P5082" s="23" t="str">
        <f t="shared" si="239"/>
        <v>Sep</v>
      </c>
      <c r="Q5082" s="23" t="str">
        <f>IF(F5082="CAPTURE",IF(COUNTIF(orders!$A:$A,O5082)&gt;0,"Yes","NO ORDER"),"")</f>
        <v>Yes</v>
      </c>
    </row>
    <row r="5083" spans="1:17" ht="15" customHeight="1" x14ac:dyDescent="0.3">
      <c r="A5083" s="23" t="s">
        <v>18258</v>
      </c>
      <c r="B5083" s="23"/>
      <c r="C5083" s="23" t="s">
        <v>10802</v>
      </c>
      <c r="D5083" s="23" t="str">
        <f t="shared" si="237"/>
        <v>ORD26005181</v>
      </c>
      <c r="E5083" s="38">
        <v>46292</v>
      </c>
      <c r="F5083" s="23" t="s">
        <v>12410</v>
      </c>
      <c r="G5083" s="23" t="s">
        <v>79</v>
      </c>
      <c r="H5083" s="24">
        <v>1299</v>
      </c>
      <c r="I5083" s="24">
        <v>23.38</v>
      </c>
      <c r="J5083" s="24">
        <v>4.21</v>
      </c>
      <c r="K5083" s="24">
        <v>1271.4100000000001</v>
      </c>
      <c r="L5083" s="38">
        <v>46294</v>
      </c>
      <c r="M5083" s="23" t="s">
        <v>229</v>
      </c>
      <c r="N5083" s="23" t="str">
        <f>IF(COUNTIF($A$2:A5083,A5083)&gt;1,"DUP","OK")</f>
        <v>OK</v>
      </c>
      <c r="O5083" s="23" t="str">
        <f t="shared" si="238"/>
        <v>ORD26005181</v>
      </c>
      <c r="P5083" s="23" t="str">
        <f t="shared" si="239"/>
        <v>Sep</v>
      </c>
      <c r="Q5083" s="23" t="str">
        <f>IF(F5083="CAPTURE",IF(COUNTIF(orders!$A:$A,O5083)&gt;0,"Yes","NO ORDER"),"")</f>
        <v>Yes</v>
      </c>
    </row>
    <row r="5084" spans="1:17" ht="15" customHeight="1" x14ac:dyDescent="0.3">
      <c r="A5084" s="23" t="s">
        <v>18259</v>
      </c>
      <c r="B5084" s="23"/>
      <c r="C5084" s="23" t="s">
        <v>10840</v>
      </c>
      <c r="D5084" s="23" t="str">
        <f t="shared" si="237"/>
        <v>ORD26005200</v>
      </c>
      <c r="E5084" s="38">
        <v>46292</v>
      </c>
      <c r="F5084" s="23" t="s">
        <v>12410</v>
      </c>
      <c r="G5084" s="23" t="s">
        <v>75</v>
      </c>
      <c r="H5084" s="24">
        <v>7297</v>
      </c>
      <c r="I5084" s="24">
        <v>21.89</v>
      </c>
      <c r="J5084" s="24">
        <v>3.94</v>
      </c>
      <c r="K5084" s="24">
        <v>7271.17</v>
      </c>
      <c r="L5084" s="38">
        <v>46294</v>
      </c>
      <c r="M5084" s="23" t="s">
        <v>229</v>
      </c>
      <c r="N5084" s="23" t="str">
        <f>IF(COUNTIF($A$2:A5084,A5084)&gt;1,"DUP","OK")</f>
        <v>OK</v>
      </c>
      <c r="O5084" s="23" t="str">
        <f t="shared" si="238"/>
        <v>ORD26005200</v>
      </c>
      <c r="P5084" s="23" t="str">
        <f t="shared" si="239"/>
        <v>Sep</v>
      </c>
      <c r="Q5084" s="23" t="str">
        <f>IF(F5084="CAPTURE",IF(COUNTIF(orders!$A:$A,O5084)&gt;0,"Yes","NO ORDER"),"")</f>
        <v>Yes</v>
      </c>
    </row>
    <row r="5085" spans="1:17" ht="15" customHeight="1" x14ac:dyDescent="0.3">
      <c r="A5085" s="23" t="s">
        <v>18260</v>
      </c>
      <c r="B5085" s="23"/>
      <c r="C5085" s="23" t="s">
        <v>10895</v>
      </c>
      <c r="D5085" s="23" t="str">
        <f t="shared" si="237"/>
        <v>ORD26005228</v>
      </c>
      <c r="E5085" s="38">
        <v>46292</v>
      </c>
      <c r="F5085" s="23" t="s">
        <v>12410</v>
      </c>
      <c r="G5085" s="23" t="s">
        <v>81</v>
      </c>
      <c r="H5085" s="24">
        <v>999</v>
      </c>
      <c r="I5085" s="24">
        <v>14.99</v>
      </c>
      <c r="J5085" s="24">
        <v>2.7</v>
      </c>
      <c r="K5085" s="24">
        <v>981.31</v>
      </c>
      <c r="L5085" s="38">
        <v>46294</v>
      </c>
      <c r="M5085" s="23" t="s">
        <v>229</v>
      </c>
      <c r="N5085" s="23" t="str">
        <f>IF(COUNTIF($A$2:A5085,A5085)&gt;1,"DUP","OK")</f>
        <v>OK</v>
      </c>
      <c r="O5085" s="23" t="str">
        <f t="shared" si="238"/>
        <v>ORD26005228</v>
      </c>
      <c r="P5085" s="23" t="str">
        <f t="shared" si="239"/>
        <v>Sep</v>
      </c>
      <c r="Q5085" s="23" t="str">
        <f>IF(F5085="CAPTURE",IF(COUNTIF(orders!$A:$A,O5085)&gt;0,"Yes","NO ORDER"),"")</f>
        <v>Yes</v>
      </c>
    </row>
    <row r="5086" spans="1:17" ht="15" customHeight="1" x14ac:dyDescent="0.3">
      <c r="A5086" s="23" t="s">
        <v>18261</v>
      </c>
      <c r="B5086" s="23"/>
      <c r="C5086" s="23" t="s">
        <v>18262</v>
      </c>
      <c r="D5086" s="23" t="str">
        <f t="shared" si="237"/>
        <v>ORD26005257</v>
      </c>
      <c r="E5086" s="38">
        <v>46292</v>
      </c>
      <c r="F5086" s="23" t="s">
        <v>12410</v>
      </c>
      <c r="G5086" s="23" t="s">
        <v>77</v>
      </c>
      <c r="H5086" s="24">
        <v>4297</v>
      </c>
      <c r="I5086" s="24">
        <v>73.05</v>
      </c>
      <c r="J5086" s="24">
        <v>13.15</v>
      </c>
      <c r="K5086" s="24">
        <v>4210.8</v>
      </c>
      <c r="L5086" s="38">
        <v>46294</v>
      </c>
      <c r="M5086" s="23" t="s">
        <v>229</v>
      </c>
      <c r="N5086" s="23" t="str">
        <f>IF(COUNTIF($A$2:A5086,A5086)&gt;1,"DUP","OK")</f>
        <v>OK</v>
      </c>
      <c r="O5086" s="23" t="str">
        <f t="shared" si="238"/>
        <v>ORD26005257</v>
      </c>
      <c r="P5086" s="23" t="str">
        <f t="shared" si="239"/>
        <v>Sep</v>
      </c>
      <c r="Q5086" s="23" t="str">
        <f>IF(F5086="CAPTURE",IF(COUNTIF(orders!$A:$A,O5086)&gt;0,"Yes","NO ORDER"),"")</f>
        <v>Yes</v>
      </c>
    </row>
    <row r="5087" spans="1:17" ht="15" customHeight="1" x14ac:dyDescent="0.3">
      <c r="A5087" s="23" t="s">
        <v>18263</v>
      </c>
      <c r="B5087" s="23"/>
      <c r="C5087" s="23" t="s">
        <v>10954</v>
      </c>
      <c r="D5087" s="23" t="str">
        <f t="shared" si="237"/>
        <v>ORD26005258</v>
      </c>
      <c r="E5087" s="38">
        <v>46292</v>
      </c>
      <c r="F5087" s="23" t="s">
        <v>12410</v>
      </c>
      <c r="G5087" s="23" t="s">
        <v>75</v>
      </c>
      <c r="H5087" s="24">
        <v>349</v>
      </c>
      <c r="I5087" s="24">
        <v>0</v>
      </c>
      <c r="J5087" s="24">
        <v>0</v>
      </c>
      <c r="K5087" s="24">
        <v>349</v>
      </c>
      <c r="L5087" s="38">
        <v>46294</v>
      </c>
      <c r="M5087" s="23" t="s">
        <v>229</v>
      </c>
      <c r="N5087" s="23" t="str">
        <f>IF(COUNTIF($A$2:A5087,A5087)&gt;1,"DUP","OK")</f>
        <v>OK</v>
      </c>
      <c r="O5087" s="23" t="str">
        <f t="shared" si="238"/>
        <v>ORD26005258</v>
      </c>
      <c r="P5087" s="23" t="str">
        <f t="shared" si="239"/>
        <v>Sep</v>
      </c>
      <c r="Q5087" s="23" t="str">
        <f>IF(F5087="CAPTURE",IF(COUNTIF(orders!$A:$A,O5087)&gt;0,"Yes","NO ORDER"),"")</f>
        <v>Yes</v>
      </c>
    </row>
    <row r="5088" spans="1:17" ht="15" customHeight="1" x14ac:dyDescent="0.3">
      <c r="A5088" s="23" t="s">
        <v>18264</v>
      </c>
      <c r="B5088" s="23"/>
      <c r="C5088" s="23" t="s">
        <v>10979</v>
      </c>
      <c r="D5088" s="23" t="str">
        <f t="shared" si="237"/>
        <v>ORD26005271</v>
      </c>
      <c r="E5088" s="38">
        <v>46292</v>
      </c>
      <c r="F5088" s="23" t="s">
        <v>12410</v>
      </c>
      <c r="G5088" s="23" t="s">
        <v>79</v>
      </c>
      <c r="H5088" s="24">
        <v>8598</v>
      </c>
      <c r="I5088" s="24">
        <v>137.57</v>
      </c>
      <c r="J5088" s="24">
        <v>24.76</v>
      </c>
      <c r="K5088" s="24">
        <v>8435.67</v>
      </c>
      <c r="L5088" s="38">
        <v>46294</v>
      </c>
      <c r="M5088" s="23" t="s">
        <v>229</v>
      </c>
      <c r="N5088" s="23" t="str">
        <f>IF(COUNTIF($A$2:A5088,A5088)&gt;1,"DUP","OK")</f>
        <v>OK</v>
      </c>
      <c r="O5088" s="23" t="str">
        <f t="shared" si="238"/>
        <v>ORD26005271</v>
      </c>
      <c r="P5088" s="23" t="str">
        <f t="shared" si="239"/>
        <v>Sep</v>
      </c>
      <c r="Q5088" s="23" t="str">
        <f>IF(F5088="CAPTURE",IF(COUNTIF(orders!$A:$A,O5088)&gt;0,"Yes","NO ORDER"),"")</f>
        <v>Yes</v>
      </c>
    </row>
    <row r="5089" spans="1:17" ht="15" customHeight="1" x14ac:dyDescent="0.3">
      <c r="A5089" s="23" t="s">
        <v>18265</v>
      </c>
      <c r="B5089" s="23"/>
      <c r="C5089" s="23" t="s">
        <v>18266</v>
      </c>
      <c r="D5089" s="23" t="str">
        <f t="shared" si="237"/>
        <v>ORD26005273</v>
      </c>
      <c r="E5089" s="38">
        <v>46292</v>
      </c>
      <c r="F5089" s="23" t="s">
        <v>12410</v>
      </c>
      <c r="G5089" s="23" t="s">
        <v>79</v>
      </c>
      <c r="H5089" s="24">
        <v>1598</v>
      </c>
      <c r="I5089" s="24">
        <v>28.76</v>
      </c>
      <c r="J5089" s="24">
        <v>5.18</v>
      </c>
      <c r="K5089" s="24">
        <v>1564.06</v>
      </c>
      <c r="L5089" s="38">
        <v>46294</v>
      </c>
      <c r="M5089" s="23" t="s">
        <v>229</v>
      </c>
      <c r="N5089" s="23" t="str">
        <f>IF(COUNTIF($A$2:A5089,A5089)&gt;1,"DUP","OK")</f>
        <v>OK</v>
      </c>
      <c r="O5089" s="23" t="str">
        <f t="shared" si="238"/>
        <v>ORD26005273</v>
      </c>
      <c r="P5089" s="23" t="str">
        <f t="shared" si="239"/>
        <v>Sep</v>
      </c>
      <c r="Q5089" s="23" t="str">
        <f>IF(F5089="CAPTURE",IF(COUNTIF(orders!$A:$A,O5089)&gt;0,"Yes","NO ORDER"),"")</f>
        <v>Yes</v>
      </c>
    </row>
    <row r="5090" spans="1:17" ht="15" customHeight="1" x14ac:dyDescent="0.3">
      <c r="A5090" s="23" t="s">
        <v>18267</v>
      </c>
      <c r="B5090" s="23"/>
      <c r="C5090" s="23" t="s">
        <v>18268</v>
      </c>
      <c r="D5090" s="23" t="str">
        <f t="shared" si="237"/>
        <v>ORD26005287</v>
      </c>
      <c r="E5090" s="38">
        <v>46292</v>
      </c>
      <c r="F5090" s="23" t="s">
        <v>12410</v>
      </c>
      <c r="G5090" s="23" t="s">
        <v>75</v>
      </c>
      <c r="H5090" s="24">
        <v>1597</v>
      </c>
      <c r="I5090" s="24">
        <v>0</v>
      </c>
      <c r="J5090" s="24">
        <v>0</v>
      </c>
      <c r="K5090" s="24">
        <v>1597</v>
      </c>
      <c r="L5090" s="38">
        <v>46294</v>
      </c>
      <c r="M5090" s="23" t="s">
        <v>229</v>
      </c>
      <c r="N5090" s="23" t="str">
        <f>IF(COUNTIF($A$2:A5090,A5090)&gt;1,"DUP","OK")</f>
        <v>OK</v>
      </c>
      <c r="O5090" s="23" t="str">
        <f t="shared" si="238"/>
        <v>ORD26005287</v>
      </c>
      <c r="P5090" s="23" t="str">
        <f t="shared" si="239"/>
        <v>Sep</v>
      </c>
      <c r="Q5090" s="23" t="str">
        <f>IF(F5090="CAPTURE",IF(COUNTIF(orders!$A:$A,O5090)&gt;0,"Yes","NO ORDER"),"")</f>
        <v>Yes</v>
      </c>
    </row>
    <row r="5091" spans="1:17" ht="15" customHeight="1" x14ac:dyDescent="0.3">
      <c r="A5091" s="23" t="s">
        <v>18269</v>
      </c>
      <c r="B5091" s="23"/>
      <c r="C5091" s="23" t="s">
        <v>11027</v>
      </c>
      <c r="D5091" s="23" t="str">
        <f t="shared" si="237"/>
        <v>ORD26005297</v>
      </c>
      <c r="E5091" s="38">
        <v>46292</v>
      </c>
      <c r="F5091" s="23" t="s">
        <v>12410</v>
      </c>
      <c r="G5091" s="23" t="s">
        <v>75</v>
      </c>
      <c r="H5091" s="24">
        <v>3499</v>
      </c>
      <c r="I5091" s="24">
        <v>10.5</v>
      </c>
      <c r="J5091" s="24">
        <v>1.89</v>
      </c>
      <c r="K5091" s="24">
        <v>3486.61</v>
      </c>
      <c r="L5091" s="38">
        <v>46294</v>
      </c>
      <c r="M5091" s="23" t="s">
        <v>229</v>
      </c>
      <c r="N5091" s="23" t="str">
        <f>IF(COUNTIF($A$2:A5091,A5091)&gt;1,"DUP","OK")</f>
        <v>OK</v>
      </c>
      <c r="O5091" s="23" t="str">
        <f t="shared" si="238"/>
        <v>ORD26005297</v>
      </c>
      <c r="P5091" s="23" t="str">
        <f t="shared" si="239"/>
        <v>Sep</v>
      </c>
      <c r="Q5091" s="23" t="str">
        <f>IF(F5091="CAPTURE",IF(COUNTIF(orders!$A:$A,O5091)&gt;0,"Yes","NO ORDER"),"")</f>
        <v>Yes</v>
      </c>
    </row>
    <row r="5092" spans="1:17" ht="15" customHeight="1" x14ac:dyDescent="0.3">
      <c r="A5092" s="23" t="s">
        <v>18270</v>
      </c>
      <c r="B5092" s="23"/>
      <c r="C5092" s="23" t="s">
        <v>18271</v>
      </c>
      <c r="D5092" s="23" t="str">
        <f t="shared" si="237"/>
        <v>ORD26005415</v>
      </c>
      <c r="E5092" s="38">
        <v>46292</v>
      </c>
      <c r="F5092" s="23" t="s">
        <v>12410</v>
      </c>
      <c r="G5092" s="23" t="s">
        <v>77</v>
      </c>
      <c r="H5092" s="24">
        <v>799</v>
      </c>
      <c r="I5092" s="24">
        <v>15.18</v>
      </c>
      <c r="J5092" s="24">
        <v>2.73</v>
      </c>
      <c r="K5092" s="24">
        <v>781.09</v>
      </c>
      <c r="L5092" s="38">
        <v>46294</v>
      </c>
      <c r="M5092" s="23" t="s">
        <v>229</v>
      </c>
      <c r="N5092" s="23" t="str">
        <f>IF(COUNTIF($A$2:A5092,A5092)&gt;1,"DUP","OK")</f>
        <v>OK</v>
      </c>
      <c r="O5092" s="23" t="str">
        <f t="shared" si="238"/>
        <v>ORD26005415</v>
      </c>
      <c r="P5092" s="23" t="str">
        <f t="shared" si="239"/>
        <v>Sep</v>
      </c>
      <c r="Q5092" s="23" t="str">
        <f>IF(F5092="CAPTURE",IF(COUNTIF(orders!$A:$A,O5092)&gt;0,"Yes","NO ORDER"),"")</f>
        <v>Yes</v>
      </c>
    </row>
    <row r="5093" spans="1:17" ht="15" customHeight="1" x14ac:dyDescent="0.3">
      <c r="A5093" s="23" t="s">
        <v>18272</v>
      </c>
      <c r="B5093" s="23"/>
      <c r="C5093" s="23" t="s">
        <v>11322</v>
      </c>
      <c r="D5093" s="23" t="str">
        <f t="shared" si="237"/>
        <v>ORD26005446</v>
      </c>
      <c r="E5093" s="38">
        <v>46292</v>
      </c>
      <c r="F5093" s="23" t="s">
        <v>12410</v>
      </c>
      <c r="G5093" s="23" t="s">
        <v>79</v>
      </c>
      <c r="H5093" s="24">
        <v>1499</v>
      </c>
      <c r="I5093" s="24">
        <v>26.98</v>
      </c>
      <c r="J5093" s="24">
        <v>4.8600000000000003</v>
      </c>
      <c r="K5093" s="24">
        <v>1467.16</v>
      </c>
      <c r="L5093" s="38">
        <v>46294</v>
      </c>
      <c r="M5093" s="23" t="s">
        <v>229</v>
      </c>
      <c r="N5093" s="23" t="str">
        <f>IF(COUNTIF($A$2:A5093,A5093)&gt;1,"DUP","OK")</f>
        <v>OK</v>
      </c>
      <c r="O5093" s="23" t="str">
        <f t="shared" si="238"/>
        <v>ORD26005446</v>
      </c>
      <c r="P5093" s="23" t="str">
        <f t="shared" si="239"/>
        <v>Sep</v>
      </c>
      <c r="Q5093" s="23" t="str">
        <f>IF(F5093="CAPTURE",IF(COUNTIF(orders!$A:$A,O5093)&gt;0,"Yes","NO ORDER"),"")</f>
        <v>Yes</v>
      </c>
    </row>
    <row r="5094" spans="1:17" ht="15" customHeight="1" x14ac:dyDescent="0.3">
      <c r="A5094" s="23" t="s">
        <v>18273</v>
      </c>
      <c r="B5094" s="23"/>
      <c r="C5094" s="23" t="s">
        <v>11326</v>
      </c>
      <c r="D5094" s="23" t="str">
        <f t="shared" si="237"/>
        <v>ORD26005448</v>
      </c>
      <c r="E5094" s="38">
        <v>46292</v>
      </c>
      <c r="F5094" s="23" t="s">
        <v>12410</v>
      </c>
      <c r="G5094" s="23" t="s">
        <v>75</v>
      </c>
      <c r="H5094" s="24">
        <v>2499</v>
      </c>
      <c r="I5094" s="24">
        <v>7.5</v>
      </c>
      <c r="J5094" s="24">
        <v>1.35</v>
      </c>
      <c r="K5094" s="24">
        <v>2490.15</v>
      </c>
      <c r="L5094" s="38">
        <v>46294</v>
      </c>
      <c r="M5094" s="23" t="s">
        <v>229</v>
      </c>
      <c r="N5094" s="23" t="str">
        <f>IF(COUNTIF($A$2:A5094,A5094)&gt;1,"DUP","OK")</f>
        <v>OK</v>
      </c>
      <c r="O5094" s="23" t="str">
        <f t="shared" si="238"/>
        <v>ORD26005448</v>
      </c>
      <c r="P5094" s="23" t="str">
        <f t="shared" si="239"/>
        <v>Sep</v>
      </c>
      <c r="Q5094" s="23" t="str">
        <f>IF(F5094="CAPTURE",IF(COUNTIF(orders!$A:$A,O5094)&gt;0,"Yes","NO ORDER"),"")</f>
        <v>Yes</v>
      </c>
    </row>
    <row r="5095" spans="1:17" ht="15" customHeight="1" x14ac:dyDescent="0.3">
      <c r="A5095" s="23" t="s">
        <v>18274</v>
      </c>
      <c r="B5095" s="23"/>
      <c r="C5095" s="23" t="s">
        <v>11344</v>
      </c>
      <c r="D5095" s="23" t="str">
        <f t="shared" si="237"/>
        <v>ORD26005457</v>
      </c>
      <c r="E5095" s="38">
        <v>46292</v>
      </c>
      <c r="F5095" s="23" t="s">
        <v>12410</v>
      </c>
      <c r="G5095" s="23" t="s">
        <v>79</v>
      </c>
      <c r="H5095" s="24">
        <v>349</v>
      </c>
      <c r="I5095" s="24">
        <v>6.28</v>
      </c>
      <c r="J5095" s="24">
        <v>1.1299999999999999</v>
      </c>
      <c r="K5095" s="24">
        <v>341.59</v>
      </c>
      <c r="L5095" s="38">
        <v>46294</v>
      </c>
      <c r="M5095" s="23" t="s">
        <v>229</v>
      </c>
      <c r="N5095" s="23" t="str">
        <f>IF(COUNTIF($A$2:A5095,A5095)&gt;1,"DUP","OK")</f>
        <v>OK</v>
      </c>
      <c r="O5095" s="23" t="str">
        <f t="shared" si="238"/>
        <v>ORD26005457</v>
      </c>
      <c r="P5095" s="23" t="str">
        <f t="shared" si="239"/>
        <v>Sep</v>
      </c>
      <c r="Q5095" s="23" t="str">
        <f>IF(F5095="CAPTURE",IF(COUNTIF(orders!$A:$A,O5095)&gt;0,"Yes","NO ORDER"),"")</f>
        <v>Yes</v>
      </c>
    </row>
    <row r="5096" spans="1:17" ht="15" customHeight="1" x14ac:dyDescent="0.3">
      <c r="A5096" s="23" t="s">
        <v>18275</v>
      </c>
      <c r="B5096" s="23"/>
      <c r="C5096" s="23" t="s">
        <v>11412</v>
      </c>
      <c r="D5096" s="23" t="str">
        <f t="shared" si="237"/>
        <v>ORD26005491</v>
      </c>
      <c r="E5096" s="38">
        <v>46292</v>
      </c>
      <c r="F5096" s="23" t="s">
        <v>12410</v>
      </c>
      <c r="G5096" s="23" t="s">
        <v>75</v>
      </c>
      <c r="H5096" s="24">
        <v>3098</v>
      </c>
      <c r="I5096" s="24">
        <v>9.2899999999999991</v>
      </c>
      <c r="J5096" s="24">
        <v>1.67</v>
      </c>
      <c r="K5096" s="24">
        <v>3087.04</v>
      </c>
      <c r="L5096" s="38">
        <v>46294</v>
      </c>
      <c r="M5096" s="23" t="s">
        <v>229</v>
      </c>
      <c r="N5096" s="23" t="str">
        <f>IF(COUNTIF($A$2:A5096,A5096)&gt;1,"DUP","OK")</f>
        <v>OK</v>
      </c>
      <c r="O5096" s="23" t="str">
        <f t="shared" si="238"/>
        <v>ORD26005491</v>
      </c>
      <c r="P5096" s="23" t="str">
        <f t="shared" si="239"/>
        <v>Sep</v>
      </c>
      <c r="Q5096" s="23" t="str">
        <f>IF(F5096="CAPTURE",IF(COUNTIF(orders!$A:$A,O5096)&gt;0,"Yes","NO ORDER"),"")</f>
        <v>Yes</v>
      </c>
    </row>
    <row r="5097" spans="1:17" ht="15" customHeight="1" x14ac:dyDescent="0.3">
      <c r="A5097" s="23" t="s">
        <v>18276</v>
      </c>
      <c r="B5097" s="23"/>
      <c r="C5097" s="23" t="s">
        <v>11449</v>
      </c>
      <c r="D5097" s="23" t="str">
        <f t="shared" si="237"/>
        <v>ORD26005511</v>
      </c>
      <c r="E5097" s="38">
        <v>46292</v>
      </c>
      <c r="F5097" s="23" t="s">
        <v>12410</v>
      </c>
      <c r="G5097" s="23" t="s">
        <v>75</v>
      </c>
      <c r="H5097" s="24">
        <v>299</v>
      </c>
      <c r="I5097" s="24">
        <v>0</v>
      </c>
      <c r="J5097" s="24">
        <v>0</v>
      </c>
      <c r="K5097" s="24">
        <v>299</v>
      </c>
      <c r="L5097" s="38">
        <v>46294</v>
      </c>
      <c r="M5097" s="23" t="s">
        <v>229</v>
      </c>
      <c r="N5097" s="23" t="str">
        <f>IF(COUNTIF($A$2:A5097,A5097)&gt;1,"DUP","OK")</f>
        <v>OK</v>
      </c>
      <c r="O5097" s="23" t="str">
        <f t="shared" si="238"/>
        <v>ORD26005511</v>
      </c>
      <c r="P5097" s="23" t="str">
        <f t="shared" si="239"/>
        <v>Sep</v>
      </c>
      <c r="Q5097" s="23" t="str">
        <f>IF(F5097="CAPTURE",IF(COUNTIF(orders!$A:$A,O5097)&gt;0,"Yes","NO ORDER"),"")</f>
        <v>Yes</v>
      </c>
    </row>
    <row r="5098" spans="1:17" ht="15" customHeight="1" x14ac:dyDescent="0.3">
      <c r="A5098" s="23" t="s">
        <v>18277</v>
      </c>
      <c r="B5098" s="23"/>
      <c r="C5098" s="23" t="s">
        <v>11492</v>
      </c>
      <c r="D5098" s="23" t="str">
        <f t="shared" si="237"/>
        <v>ORD26005533</v>
      </c>
      <c r="E5098" s="38">
        <v>46292</v>
      </c>
      <c r="F5098" s="23" t="s">
        <v>12410</v>
      </c>
      <c r="G5098" s="23" t="s">
        <v>81</v>
      </c>
      <c r="H5098" s="24">
        <v>999</v>
      </c>
      <c r="I5098" s="24">
        <v>14.99</v>
      </c>
      <c r="J5098" s="24">
        <v>2.7</v>
      </c>
      <c r="K5098" s="24">
        <v>981.31</v>
      </c>
      <c r="L5098" s="38">
        <v>46294</v>
      </c>
      <c r="M5098" s="23" t="s">
        <v>229</v>
      </c>
      <c r="N5098" s="23" t="str">
        <f>IF(COUNTIF($A$2:A5098,A5098)&gt;1,"DUP","OK")</f>
        <v>OK</v>
      </c>
      <c r="O5098" s="23" t="str">
        <f t="shared" si="238"/>
        <v>ORD26005533</v>
      </c>
      <c r="P5098" s="23" t="str">
        <f t="shared" si="239"/>
        <v>Sep</v>
      </c>
      <c r="Q5098" s="23" t="str">
        <f>IF(F5098="CAPTURE",IF(COUNTIF(orders!$A:$A,O5098)&gt;0,"Yes","NO ORDER"),"")</f>
        <v>Yes</v>
      </c>
    </row>
    <row r="5099" spans="1:17" ht="15" customHeight="1" x14ac:dyDescent="0.3">
      <c r="A5099" s="23" t="s">
        <v>18278</v>
      </c>
      <c r="B5099" s="23"/>
      <c r="C5099" s="23" t="s">
        <v>11574</v>
      </c>
      <c r="D5099" s="23" t="str">
        <f t="shared" si="237"/>
        <v>ORD26005575</v>
      </c>
      <c r="E5099" s="38">
        <v>46292</v>
      </c>
      <c r="F5099" s="23" t="s">
        <v>12410</v>
      </c>
      <c r="G5099" s="23" t="s">
        <v>75</v>
      </c>
      <c r="H5099" s="24">
        <v>499</v>
      </c>
      <c r="I5099" s="24">
        <v>0</v>
      </c>
      <c r="J5099" s="24">
        <v>0</v>
      </c>
      <c r="K5099" s="24">
        <v>499</v>
      </c>
      <c r="L5099" s="38">
        <v>46294</v>
      </c>
      <c r="M5099" s="23" t="s">
        <v>229</v>
      </c>
      <c r="N5099" s="23" t="str">
        <f>IF(COUNTIF($A$2:A5099,A5099)&gt;1,"DUP","OK")</f>
        <v>OK</v>
      </c>
      <c r="O5099" s="23" t="str">
        <f t="shared" si="238"/>
        <v>ORD26005575</v>
      </c>
      <c r="P5099" s="23" t="str">
        <f t="shared" si="239"/>
        <v>Sep</v>
      </c>
      <c r="Q5099" s="23" t="str">
        <f>IF(F5099="CAPTURE",IF(COUNTIF(orders!$A:$A,O5099)&gt;0,"Yes","NO ORDER"),"")</f>
        <v>Yes</v>
      </c>
    </row>
    <row r="5100" spans="1:17" ht="15" customHeight="1" x14ac:dyDescent="0.3">
      <c r="A5100" s="23" t="s">
        <v>18279</v>
      </c>
      <c r="B5100" s="23"/>
      <c r="C5100" s="23" t="s">
        <v>11742</v>
      </c>
      <c r="D5100" s="23" t="str">
        <f t="shared" si="237"/>
        <v>ORD26005661</v>
      </c>
      <c r="E5100" s="38">
        <v>46292</v>
      </c>
      <c r="F5100" s="23" t="s">
        <v>12410</v>
      </c>
      <c r="G5100" s="23" t="s">
        <v>77</v>
      </c>
      <c r="H5100" s="24">
        <v>8498</v>
      </c>
      <c r="I5100" s="24">
        <v>144.47</v>
      </c>
      <c r="J5100" s="24">
        <v>26</v>
      </c>
      <c r="K5100" s="24">
        <v>8327.5300000000007</v>
      </c>
      <c r="L5100" s="38">
        <v>46294</v>
      </c>
      <c r="M5100" s="23" t="s">
        <v>229</v>
      </c>
      <c r="N5100" s="23" t="str">
        <f>IF(COUNTIF($A$2:A5100,A5100)&gt;1,"DUP","OK")</f>
        <v>OK</v>
      </c>
      <c r="O5100" s="23" t="str">
        <f t="shared" si="238"/>
        <v>ORD26005661</v>
      </c>
      <c r="P5100" s="23" t="str">
        <f t="shared" si="239"/>
        <v>Sep</v>
      </c>
      <c r="Q5100" s="23" t="str">
        <f>IF(F5100="CAPTURE",IF(COUNTIF(orders!$A:$A,O5100)&gt;0,"Yes","NO ORDER"),"")</f>
        <v>Yes</v>
      </c>
    </row>
    <row r="5101" spans="1:17" ht="15" customHeight="1" x14ac:dyDescent="0.3">
      <c r="A5101" s="23" t="s">
        <v>18280</v>
      </c>
      <c r="B5101" s="23"/>
      <c r="C5101" s="23" t="s">
        <v>11781</v>
      </c>
      <c r="D5101" s="23" t="str">
        <f t="shared" si="237"/>
        <v>ORD26005682</v>
      </c>
      <c r="E5101" s="38">
        <v>46292</v>
      </c>
      <c r="F5101" s="23" t="s">
        <v>12410</v>
      </c>
      <c r="G5101" s="23" t="s">
        <v>77</v>
      </c>
      <c r="H5101" s="24">
        <v>1747</v>
      </c>
      <c r="I5101" s="24">
        <v>33.19</v>
      </c>
      <c r="J5101" s="24">
        <v>5.97</v>
      </c>
      <c r="K5101" s="24">
        <v>1707.84</v>
      </c>
      <c r="L5101" s="38">
        <v>46294</v>
      </c>
      <c r="M5101" s="23" t="s">
        <v>229</v>
      </c>
      <c r="N5101" s="23" t="str">
        <f>IF(COUNTIF($A$2:A5101,A5101)&gt;1,"DUP","OK")</f>
        <v>OK</v>
      </c>
      <c r="O5101" s="23" t="str">
        <f t="shared" si="238"/>
        <v>ORD26005682</v>
      </c>
      <c r="P5101" s="23" t="str">
        <f t="shared" si="239"/>
        <v>Sep</v>
      </c>
      <c r="Q5101" s="23" t="str">
        <f>IF(F5101="CAPTURE",IF(COUNTIF(orders!$A:$A,O5101)&gt;0,"Yes","NO ORDER"),"")</f>
        <v>Yes</v>
      </c>
    </row>
    <row r="5102" spans="1:17" ht="15" customHeight="1" x14ac:dyDescent="0.3">
      <c r="A5102" s="23" t="s">
        <v>18281</v>
      </c>
      <c r="B5102" s="23"/>
      <c r="C5102" s="23" t="s">
        <v>11873</v>
      </c>
      <c r="D5102" s="23" t="str">
        <f t="shared" si="237"/>
        <v>ORD26005729</v>
      </c>
      <c r="E5102" s="38">
        <v>46292</v>
      </c>
      <c r="F5102" s="23" t="s">
        <v>12410</v>
      </c>
      <c r="G5102" s="23" t="s">
        <v>79</v>
      </c>
      <c r="H5102" s="24">
        <v>999</v>
      </c>
      <c r="I5102" s="24">
        <v>17.98</v>
      </c>
      <c r="J5102" s="24">
        <v>3.24</v>
      </c>
      <c r="K5102" s="24">
        <v>977.78</v>
      </c>
      <c r="L5102" s="38">
        <v>46294</v>
      </c>
      <c r="M5102" s="23" t="s">
        <v>229</v>
      </c>
      <c r="N5102" s="23" t="str">
        <f>IF(COUNTIF($A$2:A5102,A5102)&gt;1,"DUP","OK")</f>
        <v>OK</v>
      </c>
      <c r="O5102" s="23" t="str">
        <f t="shared" si="238"/>
        <v>ORD26005729</v>
      </c>
      <c r="P5102" s="23" t="str">
        <f t="shared" si="239"/>
        <v>Sep</v>
      </c>
      <c r="Q5102" s="23" t="str">
        <f>IF(F5102="CAPTURE",IF(COUNTIF(orders!$A:$A,O5102)&gt;0,"Yes","NO ORDER"),"")</f>
        <v>Yes</v>
      </c>
    </row>
    <row r="5103" spans="1:17" ht="15" customHeight="1" x14ac:dyDescent="0.3">
      <c r="A5103" s="23" t="s">
        <v>18282</v>
      </c>
      <c r="B5103" s="23"/>
      <c r="C5103" s="23" t="s">
        <v>12017</v>
      </c>
      <c r="D5103" s="23" t="str">
        <f t="shared" si="237"/>
        <v>ORD26005803</v>
      </c>
      <c r="E5103" s="38">
        <v>46292</v>
      </c>
      <c r="F5103" s="23" t="s">
        <v>12410</v>
      </c>
      <c r="G5103" s="23" t="s">
        <v>75</v>
      </c>
      <c r="H5103" s="24">
        <v>16297</v>
      </c>
      <c r="I5103" s="24">
        <v>48.89</v>
      </c>
      <c r="J5103" s="24">
        <v>8.8000000000000007</v>
      </c>
      <c r="K5103" s="24">
        <v>16239.31</v>
      </c>
      <c r="L5103" s="38">
        <v>46294</v>
      </c>
      <c r="M5103" s="23" t="s">
        <v>229</v>
      </c>
      <c r="N5103" s="23" t="str">
        <f>IF(COUNTIF($A$2:A5103,A5103)&gt;1,"DUP","OK")</f>
        <v>OK</v>
      </c>
      <c r="O5103" s="23" t="str">
        <f t="shared" si="238"/>
        <v>ORD26005803</v>
      </c>
      <c r="P5103" s="23" t="str">
        <f t="shared" si="239"/>
        <v>Sep</v>
      </c>
      <c r="Q5103" s="23" t="str">
        <f>IF(F5103="CAPTURE",IF(COUNTIF(orders!$A:$A,O5103)&gt;0,"Yes","NO ORDER"),"")</f>
        <v>Yes</v>
      </c>
    </row>
    <row r="5104" spans="1:17" ht="15" customHeight="1" x14ac:dyDescent="0.3">
      <c r="A5104" s="23" t="s">
        <v>18283</v>
      </c>
      <c r="B5104" s="23"/>
      <c r="C5104" s="23" t="s">
        <v>12040</v>
      </c>
      <c r="D5104" s="23" t="str">
        <f t="shared" si="237"/>
        <v>ORD26005814</v>
      </c>
      <c r="E5104" s="38">
        <v>46292</v>
      </c>
      <c r="F5104" s="23" t="s">
        <v>12410</v>
      </c>
      <c r="G5104" s="23" t="s">
        <v>75</v>
      </c>
      <c r="H5104" s="24">
        <v>2598</v>
      </c>
      <c r="I5104" s="24">
        <v>7.79</v>
      </c>
      <c r="J5104" s="24">
        <v>1.4</v>
      </c>
      <c r="K5104" s="24">
        <v>2588.81</v>
      </c>
      <c r="L5104" s="38">
        <v>46294</v>
      </c>
      <c r="M5104" s="23" t="s">
        <v>229</v>
      </c>
      <c r="N5104" s="23" t="str">
        <f>IF(COUNTIF($A$2:A5104,A5104)&gt;1,"DUP","OK")</f>
        <v>OK</v>
      </c>
      <c r="O5104" s="23" t="str">
        <f t="shared" si="238"/>
        <v>ORD26005814</v>
      </c>
      <c r="P5104" s="23" t="str">
        <f t="shared" si="239"/>
        <v>Sep</v>
      </c>
      <c r="Q5104" s="23" t="str">
        <f>IF(F5104="CAPTURE",IF(COUNTIF(orders!$A:$A,O5104)&gt;0,"Yes","NO ORDER"),"")</f>
        <v>Yes</v>
      </c>
    </row>
    <row r="5105" spans="1:17" ht="15" customHeight="1" x14ac:dyDescent="0.3">
      <c r="A5105" s="23" t="s">
        <v>18284</v>
      </c>
      <c r="B5105" s="23"/>
      <c r="C5105" s="23" t="s">
        <v>12064</v>
      </c>
      <c r="D5105" s="23" t="str">
        <f t="shared" si="237"/>
        <v>ORD26005826</v>
      </c>
      <c r="E5105" s="38">
        <v>46292</v>
      </c>
      <c r="F5105" s="23" t="s">
        <v>12410</v>
      </c>
      <c r="G5105" s="23" t="s">
        <v>81</v>
      </c>
      <c r="H5105" s="24">
        <v>4798</v>
      </c>
      <c r="I5105" s="24">
        <v>57.58</v>
      </c>
      <c r="J5105" s="24">
        <v>10.36</v>
      </c>
      <c r="K5105" s="24">
        <v>4730.0600000000004</v>
      </c>
      <c r="L5105" s="38">
        <v>46294</v>
      </c>
      <c r="M5105" s="23" t="s">
        <v>229</v>
      </c>
      <c r="N5105" s="23" t="str">
        <f>IF(COUNTIF($A$2:A5105,A5105)&gt;1,"DUP","OK")</f>
        <v>OK</v>
      </c>
      <c r="O5105" s="23" t="str">
        <f t="shared" si="238"/>
        <v>ORD26005826</v>
      </c>
      <c r="P5105" s="23" t="str">
        <f t="shared" si="239"/>
        <v>Sep</v>
      </c>
      <c r="Q5105" s="23" t="str">
        <f>IF(F5105="CAPTURE",IF(COUNTIF(orders!$A:$A,O5105)&gt;0,"Yes","NO ORDER"),"")</f>
        <v>Yes</v>
      </c>
    </row>
    <row r="5106" spans="1:17" ht="15" customHeight="1" x14ac:dyDescent="0.3">
      <c r="A5106" s="23" t="s">
        <v>18285</v>
      </c>
      <c r="B5106" s="23"/>
      <c r="C5106" s="23" t="s">
        <v>18286</v>
      </c>
      <c r="D5106" s="23" t="str">
        <f t="shared" si="237"/>
        <v>ORD26005851</v>
      </c>
      <c r="E5106" s="38">
        <v>46292</v>
      </c>
      <c r="F5106" s="23" t="s">
        <v>12410</v>
      </c>
      <c r="G5106" s="23" t="s">
        <v>77</v>
      </c>
      <c r="H5106" s="24">
        <v>499</v>
      </c>
      <c r="I5106" s="24">
        <v>9.48</v>
      </c>
      <c r="J5106" s="24">
        <v>1.71</v>
      </c>
      <c r="K5106" s="24">
        <v>487.81</v>
      </c>
      <c r="L5106" s="38">
        <v>46294</v>
      </c>
      <c r="M5106" s="23" t="s">
        <v>229</v>
      </c>
      <c r="N5106" s="23" t="str">
        <f>IF(COUNTIF($A$2:A5106,A5106)&gt;1,"DUP","OK")</f>
        <v>OK</v>
      </c>
      <c r="O5106" s="23" t="str">
        <f t="shared" si="238"/>
        <v>ORD26005851</v>
      </c>
      <c r="P5106" s="23" t="str">
        <f t="shared" si="239"/>
        <v>Sep</v>
      </c>
      <c r="Q5106" s="23" t="str">
        <f>IF(F5106="CAPTURE",IF(COUNTIF(orders!$A:$A,O5106)&gt;0,"Yes","NO ORDER"),"")</f>
        <v>Yes</v>
      </c>
    </row>
    <row r="5107" spans="1:17" ht="15" customHeight="1" x14ac:dyDescent="0.3">
      <c r="A5107" s="23" t="s">
        <v>18287</v>
      </c>
      <c r="B5107" s="23"/>
      <c r="C5107" s="23" t="s">
        <v>12118</v>
      </c>
      <c r="D5107" s="23" t="str">
        <f t="shared" si="237"/>
        <v>ORD26005856</v>
      </c>
      <c r="E5107" s="38">
        <v>46292</v>
      </c>
      <c r="F5107" s="23" t="s">
        <v>12410</v>
      </c>
      <c r="G5107" s="23" t="s">
        <v>75</v>
      </c>
      <c r="H5107" s="24">
        <v>7999</v>
      </c>
      <c r="I5107" s="24">
        <v>24</v>
      </c>
      <c r="J5107" s="24">
        <v>4.32</v>
      </c>
      <c r="K5107" s="24">
        <v>7970.68</v>
      </c>
      <c r="L5107" s="38">
        <v>46294</v>
      </c>
      <c r="M5107" s="23" t="s">
        <v>229</v>
      </c>
      <c r="N5107" s="23" t="str">
        <f>IF(COUNTIF($A$2:A5107,A5107)&gt;1,"DUP","OK")</f>
        <v>OK</v>
      </c>
      <c r="O5107" s="23" t="str">
        <f t="shared" si="238"/>
        <v>ORD26005856</v>
      </c>
      <c r="P5107" s="23" t="str">
        <f t="shared" si="239"/>
        <v>Sep</v>
      </c>
      <c r="Q5107" s="23" t="str">
        <f>IF(F5107="CAPTURE",IF(COUNTIF(orders!$A:$A,O5107)&gt;0,"Yes","NO ORDER"),"")</f>
        <v>Yes</v>
      </c>
    </row>
    <row r="5108" spans="1:17" ht="15" customHeight="1" x14ac:dyDescent="0.3">
      <c r="A5108" s="23" t="s">
        <v>18288</v>
      </c>
      <c r="B5108" s="23"/>
      <c r="C5108" s="23" t="s">
        <v>12249</v>
      </c>
      <c r="D5108" s="23" t="str">
        <f t="shared" si="237"/>
        <v>ORD26005925</v>
      </c>
      <c r="E5108" s="38">
        <v>46292</v>
      </c>
      <c r="F5108" s="23" t="s">
        <v>12410</v>
      </c>
      <c r="G5108" s="23" t="s">
        <v>75</v>
      </c>
      <c r="H5108" s="24">
        <v>599</v>
      </c>
      <c r="I5108" s="24">
        <v>0</v>
      </c>
      <c r="J5108" s="24">
        <v>0</v>
      </c>
      <c r="K5108" s="24">
        <v>599</v>
      </c>
      <c r="L5108" s="38">
        <v>46294</v>
      </c>
      <c r="M5108" s="23" t="s">
        <v>229</v>
      </c>
      <c r="N5108" s="23" t="str">
        <f>IF(COUNTIF($A$2:A5108,A5108)&gt;1,"DUP","OK")</f>
        <v>OK</v>
      </c>
      <c r="O5108" s="23" t="str">
        <f t="shared" si="238"/>
        <v>ORD26005925</v>
      </c>
      <c r="P5108" s="23" t="str">
        <f t="shared" si="239"/>
        <v>Sep</v>
      </c>
      <c r="Q5108" s="23" t="str">
        <f>IF(F5108="CAPTURE",IF(COUNTIF(orders!$A:$A,O5108)&gt;0,"Yes","NO ORDER"),"")</f>
        <v>Yes</v>
      </c>
    </row>
    <row r="5109" spans="1:17" ht="15" customHeight="1" x14ac:dyDescent="0.3">
      <c r="A5109" s="23" t="s">
        <v>18289</v>
      </c>
      <c r="B5109" s="23" t="s">
        <v>17698</v>
      </c>
      <c r="C5109" s="23"/>
      <c r="D5109" s="23" t="str">
        <f t="shared" si="237"/>
        <v/>
      </c>
      <c r="E5109" s="38">
        <v>46292</v>
      </c>
      <c r="F5109" s="23" t="s">
        <v>12791</v>
      </c>
      <c r="G5109" s="23" t="s">
        <v>79</v>
      </c>
      <c r="H5109" s="24">
        <v>4097</v>
      </c>
      <c r="I5109" s="24">
        <v>0</v>
      </c>
      <c r="J5109" s="24">
        <v>0</v>
      </c>
      <c r="K5109" s="24">
        <v>-4097</v>
      </c>
      <c r="L5109" s="38">
        <v>46294</v>
      </c>
      <c r="M5109" s="23" t="s">
        <v>229</v>
      </c>
      <c r="N5109" s="23" t="str">
        <f>IF(COUNTIF($A$2:A5109,A5109)&gt;1,"DUP","OK")</f>
        <v>OK</v>
      </c>
      <c r="O5109" s="23" t="str">
        <f t="shared" si="238"/>
        <v>ORD26001582</v>
      </c>
      <c r="P5109" s="23" t="str">
        <f t="shared" si="239"/>
        <v>Sep</v>
      </c>
      <c r="Q5109" s="23" t="str">
        <f>IF(F5109="CAPTURE",IF(COUNTIF(orders!$A:$A,O5109)&gt;0,"Yes","NO ORDER"),"")</f>
        <v/>
      </c>
    </row>
    <row r="5110" spans="1:17" ht="15" customHeight="1" x14ac:dyDescent="0.3">
      <c r="A5110" s="23" t="s">
        <v>18290</v>
      </c>
      <c r="B5110" s="23" t="s">
        <v>16814</v>
      </c>
      <c r="C5110" s="23"/>
      <c r="D5110" s="23" t="str">
        <f t="shared" si="237"/>
        <v/>
      </c>
      <c r="E5110" s="38">
        <v>46292</v>
      </c>
      <c r="F5110" s="23" t="s">
        <v>12791</v>
      </c>
      <c r="G5110" s="23" t="s">
        <v>81</v>
      </c>
      <c r="H5110" s="24">
        <v>2598</v>
      </c>
      <c r="I5110" s="24">
        <v>0</v>
      </c>
      <c r="J5110" s="24">
        <v>0</v>
      </c>
      <c r="K5110" s="24">
        <v>-2598</v>
      </c>
      <c r="L5110" s="38">
        <v>46294</v>
      </c>
      <c r="M5110" s="23" t="s">
        <v>229</v>
      </c>
      <c r="N5110" s="23" t="str">
        <f>IF(COUNTIF($A$2:A5110,A5110)&gt;1,"DUP","OK")</f>
        <v>OK</v>
      </c>
      <c r="O5110" s="23" t="str">
        <f t="shared" si="238"/>
        <v>ORD26000018</v>
      </c>
      <c r="P5110" s="23" t="str">
        <f t="shared" si="239"/>
        <v>Sep</v>
      </c>
      <c r="Q5110" s="23" t="str">
        <f>IF(F5110="CAPTURE",IF(COUNTIF(orders!$A:$A,O5110)&gt;0,"Yes","NO ORDER"),"")</f>
        <v/>
      </c>
    </row>
    <row r="5111" spans="1:17" ht="15" customHeight="1" x14ac:dyDescent="0.3">
      <c r="A5111" s="23" t="s">
        <v>18291</v>
      </c>
      <c r="B5111" s="23" t="s">
        <v>17525</v>
      </c>
      <c r="C5111" s="23"/>
      <c r="D5111" s="23" t="str">
        <f t="shared" si="237"/>
        <v/>
      </c>
      <c r="E5111" s="38">
        <v>46292</v>
      </c>
      <c r="F5111" s="23" t="s">
        <v>12791</v>
      </c>
      <c r="G5111" s="23" t="s">
        <v>75</v>
      </c>
      <c r="H5111" s="24">
        <v>1499</v>
      </c>
      <c r="I5111" s="24">
        <v>0</v>
      </c>
      <c r="J5111" s="24">
        <v>0</v>
      </c>
      <c r="K5111" s="24">
        <v>-1499</v>
      </c>
      <c r="L5111" s="38">
        <v>46294</v>
      </c>
      <c r="M5111" s="23" t="s">
        <v>229</v>
      </c>
      <c r="N5111" s="23" t="str">
        <f>IF(COUNTIF($A$2:A5111,A5111)&gt;1,"DUP","OK")</f>
        <v>OK</v>
      </c>
      <c r="O5111" s="23" t="str">
        <f t="shared" si="238"/>
        <v>ORD26003056</v>
      </c>
      <c r="P5111" s="23" t="str">
        <f t="shared" si="239"/>
        <v>Sep</v>
      </c>
      <c r="Q5111" s="23" t="str">
        <f>IF(F5111="CAPTURE",IF(COUNTIF(orders!$A:$A,O5111)&gt;0,"Yes","NO ORDER"),"")</f>
        <v/>
      </c>
    </row>
    <row r="5112" spans="1:17" ht="15" customHeight="1" x14ac:dyDescent="0.3">
      <c r="A5112" s="23" t="s">
        <v>18292</v>
      </c>
      <c r="B5112" s="23" t="s">
        <v>17284</v>
      </c>
      <c r="C5112" s="23"/>
      <c r="D5112" s="23" t="str">
        <f t="shared" si="237"/>
        <v/>
      </c>
      <c r="E5112" s="38">
        <v>46292</v>
      </c>
      <c r="F5112" s="23" t="s">
        <v>12791</v>
      </c>
      <c r="G5112" s="23" t="s">
        <v>79</v>
      </c>
      <c r="H5112" s="24">
        <v>2897</v>
      </c>
      <c r="I5112" s="24">
        <v>0</v>
      </c>
      <c r="J5112" s="24">
        <v>0</v>
      </c>
      <c r="K5112" s="24">
        <v>-2897</v>
      </c>
      <c r="L5112" s="38">
        <v>46294</v>
      </c>
      <c r="M5112" s="23" t="s">
        <v>229</v>
      </c>
      <c r="N5112" s="23" t="str">
        <f>IF(COUNTIF($A$2:A5112,A5112)&gt;1,"DUP","OK")</f>
        <v>OK</v>
      </c>
      <c r="O5112" s="23" t="str">
        <f t="shared" si="238"/>
        <v>ORD26002027</v>
      </c>
      <c r="P5112" s="23" t="str">
        <f t="shared" si="239"/>
        <v>Sep</v>
      </c>
      <c r="Q5112" s="23" t="str">
        <f>IF(F5112="CAPTURE",IF(COUNTIF(orders!$A:$A,O5112)&gt;0,"Yes","NO ORDER"),"")</f>
        <v/>
      </c>
    </row>
    <row r="5113" spans="1:17" ht="15" customHeight="1" x14ac:dyDescent="0.3">
      <c r="A5113" s="23" t="s">
        <v>18293</v>
      </c>
      <c r="B5113" s="23" t="s">
        <v>17084</v>
      </c>
      <c r="C5113" s="23"/>
      <c r="D5113" s="23" t="str">
        <f t="shared" si="237"/>
        <v/>
      </c>
      <c r="E5113" s="38">
        <v>46292</v>
      </c>
      <c r="F5113" s="23" t="s">
        <v>12791</v>
      </c>
      <c r="G5113" s="23" t="s">
        <v>75</v>
      </c>
      <c r="H5113" s="24">
        <v>1998</v>
      </c>
      <c r="I5113" s="24">
        <v>0</v>
      </c>
      <c r="J5113" s="24">
        <v>0</v>
      </c>
      <c r="K5113" s="24">
        <v>-1998</v>
      </c>
      <c r="L5113" s="38">
        <v>46294</v>
      </c>
      <c r="M5113" s="23" t="s">
        <v>229</v>
      </c>
      <c r="N5113" s="23" t="str">
        <f>IF(COUNTIF($A$2:A5113,A5113)&gt;1,"DUP","OK")</f>
        <v>OK</v>
      </c>
      <c r="O5113" s="23" t="str">
        <f t="shared" si="238"/>
        <v>ORD26002077</v>
      </c>
      <c r="P5113" s="23" t="str">
        <f t="shared" si="239"/>
        <v>Sep</v>
      </c>
      <c r="Q5113" s="23" t="str">
        <f>IF(F5113="CAPTURE",IF(COUNTIF(orders!$A:$A,O5113)&gt;0,"Yes","NO ORDER"),"")</f>
        <v/>
      </c>
    </row>
    <row r="5114" spans="1:17" ht="15" customHeight="1" x14ac:dyDescent="0.3">
      <c r="A5114" s="23" t="s">
        <v>18294</v>
      </c>
      <c r="B5114" s="23" t="s">
        <v>17092</v>
      </c>
      <c r="C5114" s="23"/>
      <c r="D5114" s="23" t="str">
        <f t="shared" si="237"/>
        <v/>
      </c>
      <c r="E5114" s="38">
        <v>46292</v>
      </c>
      <c r="F5114" s="23" t="s">
        <v>12791</v>
      </c>
      <c r="G5114" s="23" t="s">
        <v>75</v>
      </c>
      <c r="H5114" s="24">
        <v>2298</v>
      </c>
      <c r="I5114" s="24">
        <v>0</v>
      </c>
      <c r="J5114" s="24">
        <v>0</v>
      </c>
      <c r="K5114" s="24">
        <v>-2298</v>
      </c>
      <c r="L5114" s="38">
        <v>46294</v>
      </c>
      <c r="M5114" s="23" t="s">
        <v>229</v>
      </c>
      <c r="N5114" s="23" t="str">
        <f>IF(COUNTIF($A$2:A5114,A5114)&gt;1,"DUP","OK")</f>
        <v>OK</v>
      </c>
      <c r="O5114" s="23" t="str">
        <f t="shared" si="238"/>
        <v>ORD26002310</v>
      </c>
      <c r="P5114" s="23" t="str">
        <f t="shared" si="239"/>
        <v>Sep</v>
      </c>
      <c r="Q5114" s="23" t="str">
        <f>IF(F5114="CAPTURE",IF(COUNTIF(orders!$A:$A,O5114)&gt;0,"Yes","NO ORDER"),"")</f>
        <v/>
      </c>
    </row>
    <row r="5115" spans="1:17" ht="15" customHeight="1" x14ac:dyDescent="0.3">
      <c r="A5115" s="23" t="s">
        <v>18295</v>
      </c>
      <c r="B5115" s="23"/>
      <c r="C5115" s="23" t="s">
        <v>411</v>
      </c>
      <c r="D5115" s="23" t="str">
        <f t="shared" si="237"/>
        <v>ORD26000060</v>
      </c>
      <c r="E5115" s="38">
        <v>46293</v>
      </c>
      <c r="F5115" s="23" t="s">
        <v>12410</v>
      </c>
      <c r="G5115" s="23" t="s">
        <v>75</v>
      </c>
      <c r="H5115" s="24">
        <v>7999</v>
      </c>
      <c r="I5115" s="24">
        <v>24</v>
      </c>
      <c r="J5115" s="24">
        <v>4.32</v>
      </c>
      <c r="K5115" s="24">
        <v>7970.68</v>
      </c>
      <c r="L5115" s="38">
        <v>46295</v>
      </c>
      <c r="M5115" s="23" t="s">
        <v>231</v>
      </c>
      <c r="N5115" s="23" t="str">
        <f>IF(COUNTIF($A$2:A5115,A5115)&gt;1,"DUP","OK")</f>
        <v>OK</v>
      </c>
      <c r="O5115" s="23" t="str">
        <f t="shared" si="238"/>
        <v>ORD26000060</v>
      </c>
      <c r="P5115" s="23" t="str">
        <f t="shared" si="239"/>
        <v>Sep</v>
      </c>
      <c r="Q5115" s="23" t="str">
        <f>IF(F5115="CAPTURE",IF(COUNTIF(orders!$A:$A,O5115)&gt;0,"Yes","NO ORDER"),"")</f>
        <v>Yes</v>
      </c>
    </row>
    <row r="5116" spans="1:17" ht="15" customHeight="1" x14ac:dyDescent="0.3">
      <c r="A5116" s="23" t="s">
        <v>18296</v>
      </c>
      <c r="B5116" s="23"/>
      <c r="C5116" s="23" t="s">
        <v>18297</v>
      </c>
      <c r="D5116" s="23" t="str">
        <f t="shared" si="237"/>
        <v>ORD26000062</v>
      </c>
      <c r="E5116" s="38">
        <v>46293</v>
      </c>
      <c r="F5116" s="23" t="s">
        <v>12410</v>
      </c>
      <c r="G5116" s="23" t="s">
        <v>79</v>
      </c>
      <c r="H5116" s="24">
        <v>4999</v>
      </c>
      <c r="I5116" s="24">
        <v>79.98</v>
      </c>
      <c r="J5116" s="24">
        <v>14.4</v>
      </c>
      <c r="K5116" s="24">
        <v>4904.62</v>
      </c>
      <c r="L5116" s="38">
        <v>46295</v>
      </c>
      <c r="M5116" s="23" t="s">
        <v>231</v>
      </c>
      <c r="N5116" s="23" t="str">
        <f>IF(COUNTIF($A$2:A5116,A5116)&gt;1,"DUP","OK")</f>
        <v>OK</v>
      </c>
      <c r="O5116" s="23" t="str">
        <f t="shared" si="238"/>
        <v>ORD26000062</v>
      </c>
      <c r="P5116" s="23" t="str">
        <f t="shared" si="239"/>
        <v>Sep</v>
      </c>
      <c r="Q5116" s="23" t="str">
        <f>IF(F5116="CAPTURE",IF(COUNTIF(orders!$A:$A,O5116)&gt;0,"Yes","NO ORDER"),"")</f>
        <v>Yes</v>
      </c>
    </row>
    <row r="5117" spans="1:17" ht="15" customHeight="1" x14ac:dyDescent="0.3">
      <c r="A5117" s="23" t="s">
        <v>18298</v>
      </c>
      <c r="B5117" s="23"/>
      <c r="C5117" s="23" t="s">
        <v>18299</v>
      </c>
      <c r="D5117" s="23" t="str">
        <f t="shared" si="237"/>
        <v>ORD26000075</v>
      </c>
      <c r="E5117" s="38">
        <v>46293</v>
      </c>
      <c r="F5117" s="23" t="s">
        <v>12410</v>
      </c>
      <c r="G5117" s="23" t="s">
        <v>79</v>
      </c>
      <c r="H5117" s="24">
        <v>1499</v>
      </c>
      <c r="I5117" s="24">
        <v>26.98</v>
      </c>
      <c r="J5117" s="24">
        <v>4.8600000000000003</v>
      </c>
      <c r="K5117" s="24">
        <v>1467.16</v>
      </c>
      <c r="L5117" s="38">
        <v>46295</v>
      </c>
      <c r="M5117" s="23" t="s">
        <v>231</v>
      </c>
      <c r="N5117" s="23" t="str">
        <f>IF(COUNTIF($A$2:A5117,A5117)&gt;1,"DUP","OK")</f>
        <v>OK</v>
      </c>
      <c r="O5117" s="23" t="str">
        <f t="shared" si="238"/>
        <v>ORD26000075</v>
      </c>
      <c r="P5117" s="23" t="str">
        <f t="shared" si="239"/>
        <v>Sep</v>
      </c>
      <c r="Q5117" s="23" t="str">
        <f>IF(F5117="CAPTURE",IF(COUNTIF(orders!$A:$A,O5117)&gt;0,"Yes","NO ORDER"),"")</f>
        <v>Yes</v>
      </c>
    </row>
    <row r="5118" spans="1:17" ht="15" customHeight="1" x14ac:dyDescent="0.3">
      <c r="A5118" s="23" t="s">
        <v>18300</v>
      </c>
      <c r="B5118" s="23"/>
      <c r="C5118" s="23" t="s">
        <v>508</v>
      </c>
      <c r="D5118" s="23" t="str">
        <f t="shared" si="237"/>
        <v>ORD26000101</v>
      </c>
      <c r="E5118" s="38">
        <v>46293</v>
      </c>
      <c r="F5118" s="23" t="s">
        <v>12410</v>
      </c>
      <c r="G5118" s="23" t="s">
        <v>77</v>
      </c>
      <c r="H5118" s="24">
        <v>9498</v>
      </c>
      <c r="I5118" s="24">
        <v>161.47</v>
      </c>
      <c r="J5118" s="24">
        <v>29.06</v>
      </c>
      <c r="K5118" s="24">
        <v>9307.4699999999993</v>
      </c>
      <c r="L5118" s="38">
        <v>46295</v>
      </c>
      <c r="M5118" s="23" t="s">
        <v>231</v>
      </c>
      <c r="N5118" s="23" t="str">
        <f>IF(COUNTIF($A$2:A5118,A5118)&gt;1,"DUP","OK")</f>
        <v>OK</v>
      </c>
      <c r="O5118" s="23" t="str">
        <f t="shared" si="238"/>
        <v>ORD26000101</v>
      </c>
      <c r="P5118" s="23" t="str">
        <f t="shared" si="239"/>
        <v>Sep</v>
      </c>
      <c r="Q5118" s="23" t="str">
        <f>IF(F5118="CAPTURE",IF(COUNTIF(orders!$A:$A,O5118)&gt;0,"Yes","NO ORDER"),"")</f>
        <v>Yes</v>
      </c>
    </row>
    <row r="5119" spans="1:17" ht="15" customHeight="1" x14ac:dyDescent="0.3">
      <c r="A5119" s="23" t="s">
        <v>18301</v>
      </c>
      <c r="B5119" s="23"/>
      <c r="C5119" s="23" t="s">
        <v>668</v>
      </c>
      <c r="D5119" s="23" t="str">
        <f t="shared" si="237"/>
        <v>ORD26000169</v>
      </c>
      <c r="E5119" s="38">
        <v>46293</v>
      </c>
      <c r="F5119" s="23" t="s">
        <v>12410</v>
      </c>
      <c r="G5119" s="23" t="s">
        <v>81</v>
      </c>
      <c r="H5119" s="24">
        <v>7797</v>
      </c>
      <c r="I5119" s="24">
        <v>93.56</v>
      </c>
      <c r="J5119" s="24">
        <v>16.84</v>
      </c>
      <c r="K5119" s="24">
        <v>7686.6</v>
      </c>
      <c r="L5119" s="38">
        <v>46295</v>
      </c>
      <c r="M5119" s="23" t="s">
        <v>231</v>
      </c>
      <c r="N5119" s="23" t="str">
        <f>IF(COUNTIF($A$2:A5119,A5119)&gt;1,"DUP","OK")</f>
        <v>OK</v>
      </c>
      <c r="O5119" s="23" t="str">
        <f t="shared" si="238"/>
        <v>ORD26000169</v>
      </c>
      <c r="P5119" s="23" t="str">
        <f t="shared" si="239"/>
        <v>Sep</v>
      </c>
      <c r="Q5119" s="23" t="str">
        <f>IF(F5119="CAPTURE",IF(COUNTIF(orders!$A:$A,O5119)&gt;0,"Yes","NO ORDER"),"")</f>
        <v>Yes</v>
      </c>
    </row>
    <row r="5120" spans="1:17" ht="15" customHeight="1" x14ac:dyDescent="0.3">
      <c r="A5120" s="23" t="s">
        <v>18302</v>
      </c>
      <c r="B5120" s="23"/>
      <c r="C5120" s="23" t="s">
        <v>18303</v>
      </c>
      <c r="D5120" s="23" t="str">
        <f t="shared" si="237"/>
        <v>ORD26000416</v>
      </c>
      <c r="E5120" s="38">
        <v>46293</v>
      </c>
      <c r="F5120" s="23" t="s">
        <v>12410</v>
      </c>
      <c r="G5120" s="23" t="s">
        <v>81</v>
      </c>
      <c r="H5120" s="24">
        <v>2999</v>
      </c>
      <c r="I5120" s="24">
        <v>35.99</v>
      </c>
      <c r="J5120" s="24">
        <v>6.48</v>
      </c>
      <c r="K5120" s="24">
        <v>2956.53</v>
      </c>
      <c r="L5120" s="38">
        <v>46295</v>
      </c>
      <c r="M5120" s="23" t="s">
        <v>231</v>
      </c>
      <c r="N5120" s="23" t="str">
        <f>IF(COUNTIF($A$2:A5120,A5120)&gt;1,"DUP","OK")</f>
        <v>OK</v>
      </c>
      <c r="O5120" s="23" t="str">
        <f t="shared" si="238"/>
        <v>ORD26000416</v>
      </c>
      <c r="P5120" s="23" t="str">
        <f t="shared" si="239"/>
        <v>Sep</v>
      </c>
      <c r="Q5120" s="23" t="str">
        <f>IF(F5120="CAPTURE",IF(COUNTIF(orders!$A:$A,O5120)&gt;0,"Yes","NO ORDER"),"")</f>
        <v>Yes</v>
      </c>
    </row>
    <row r="5121" spans="1:17" ht="15" customHeight="1" x14ac:dyDescent="0.3">
      <c r="A5121" s="23" t="s">
        <v>18304</v>
      </c>
      <c r="B5121" s="23"/>
      <c r="C5121" s="23" t="s">
        <v>1257</v>
      </c>
      <c r="D5121" s="23" t="str">
        <f t="shared" si="237"/>
        <v>ORD26000433</v>
      </c>
      <c r="E5121" s="38">
        <v>46293</v>
      </c>
      <c r="F5121" s="23" t="s">
        <v>12410</v>
      </c>
      <c r="G5121" s="23" t="s">
        <v>75</v>
      </c>
      <c r="H5121" s="24">
        <v>4999</v>
      </c>
      <c r="I5121" s="24">
        <v>15</v>
      </c>
      <c r="J5121" s="24">
        <v>2.7</v>
      </c>
      <c r="K5121" s="24">
        <v>4981.3</v>
      </c>
      <c r="L5121" s="38">
        <v>46295</v>
      </c>
      <c r="M5121" s="23" t="s">
        <v>231</v>
      </c>
      <c r="N5121" s="23" t="str">
        <f>IF(COUNTIF($A$2:A5121,A5121)&gt;1,"DUP","OK")</f>
        <v>OK</v>
      </c>
      <c r="O5121" s="23" t="str">
        <f t="shared" si="238"/>
        <v>ORD26000433</v>
      </c>
      <c r="P5121" s="23" t="str">
        <f t="shared" si="239"/>
        <v>Sep</v>
      </c>
      <c r="Q5121" s="23" t="str">
        <f>IF(F5121="CAPTURE",IF(COUNTIF(orders!$A:$A,O5121)&gt;0,"Yes","NO ORDER"),"")</f>
        <v>Yes</v>
      </c>
    </row>
    <row r="5122" spans="1:17" ht="15" customHeight="1" x14ac:dyDescent="0.3">
      <c r="A5122" s="23" t="s">
        <v>18305</v>
      </c>
      <c r="B5122" s="23"/>
      <c r="C5122" s="23" t="s">
        <v>1280</v>
      </c>
      <c r="D5122" s="23" t="str">
        <f t="shared" ref="D5122:D5185" si="240">UPPER(SUBSTITUTE(TRIM(C5122),"-",""))</f>
        <v>ORD26000444</v>
      </c>
      <c r="E5122" s="38">
        <v>46293</v>
      </c>
      <c r="F5122" s="23" t="s">
        <v>12410</v>
      </c>
      <c r="G5122" s="23" t="s">
        <v>79</v>
      </c>
      <c r="H5122" s="24">
        <v>5347</v>
      </c>
      <c r="I5122" s="24">
        <v>85.55</v>
      </c>
      <c r="J5122" s="24">
        <v>15.4</v>
      </c>
      <c r="K5122" s="24">
        <v>5246.05</v>
      </c>
      <c r="L5122" s="38">
        <v>46295</v>
      </c>
      <c r="M5122" s="23" t="s">
        <v>231</v>
      </c>
      <c r="N5122" s="23" t="str">
        <f>IF(COUNTIF($A$2:A5122,A5122)&gt;1,"DUP","OK")</f>
        <v>OK</v>
      </c>
      <c r="O5122" s="23" t="str">
        <f t="shared" ref="O5122:O5185" si="241">IF(F5122="REFUND",INDEX($D:$D,MATCH(B5122,$A:$A,0)),D5122)</f>
        <v>ORD26000444</v>
      </c>
      <c r="P5122" s="23" t="str">
        <f t="shared" ref="P5122:P5185" si="242">IF(L5122&gt;DATE(2026,9,30),"Oct-Due","Sep")</f>
        <v>Sep</v>
      </c>
      <c r="Q5122" s="23" t="str">
        <f>IF(F5122="CAPTURE",IF(COUNTIF(orders!$A:$A,O5122)&gt;0,"Yes","NO ORDER"),"")</f>
        <v>Yes</v>
      </c>
    </row>
    <row r="5123" spans="1:17" ht="15" customHeight="1" x14ac:dyDescent="0.3">
      <c r="A5123" s="23" t="s">
        <v>18306</v>
      </c>
      <c r="B5123" s="23"/>
      <c r="C5123" s="23" t="s">
        <v>1346</v>
      </c>
      <c r="D5123" s="23" t="str">
        <f t="shared" si="240"/>
        <v>ORD26000474</v>
      </c>
      <c r="E5123" s="38">
        <v>46293</v>
      </c>
      <c r="F5123" s="23" t="s">
        <v>12410</v>
      </c>
      <c r="G5123" s="23" t="s">
        <v>79</v>
      </c>
      <c r="H5123" s="24">
        <v>1498</v>
      </c>
      <c r="I5123" s="24">
        <v>26.96</v>
      </c>
      <c r="J5123" s="24">
        <v>4.8499999999999996</v>
      </c>
      <c r="K5123" s="24">
        <v>1466.19</v>
      </c>
      <c r="L5123" s="38">
        <v>46295</v>
      </c>
      <c r="M5123" s="23" t="s">
        <v>231</v>
      </c>
      <c r="N5123" s="23" t="str">
        <f>IF(COUNTIF($A$2:A5123,A5123)&gt;1,"DUP","OK")</f>
        <v>OK</v>
      </c>
      <c r="O5123" s="23" t="str">
        <f t="shared" si="241"/>
        <v>ORD26000474</v>
      </c>
      <c r="P5123" s="23" t="str">
        <f t="shared" si="242"/>
        <v>Sep</v>
      </c>
      <c r="Q5123" s="23" t="str">
        <f>IF(F5123="CAPTURE",IF(COUNTIF(orders!$A:$A,O5123)&gt;0,"Yes","NO ORDER"),"")</f>
        <v>Yes</v>
      </c>
    </row>
    <row r="5124" spans="1:17" ht="15" customHeight="1" x14ac:dyDescent="0.3">
      <c r="A5124" s="23" t="s">
        <v>18307</v>
      </c>
      <c r="B5124" s="23"/>
      <c r="C5124" s="23" t="s">
        <v>18308</v>
      </c>
      <c r="D5124" s="23" t="str">
        <f t="shared" si="240"/>
        <v>ORD26000551</v>
      </c>
      <c r="E5124" s="38">
        <v>46293</v>
      </c>
      <c r="F5124" s="23" t="s">
        <v>12410</v>
      </c>
      <c r="G5124" s="23" t="s">
        <v>79</v>
      </c>
      <c r="H5124" s="24">
        <v>499</v>
      </c>
      <c r="I5124" s="24">
        <v>8.98</v>
      </c>
      <c r="J5124" s="24">
        <v>1.62</v>
      </c>
      <c r="K5124" s="24">
        <v>488.4</v>
      </c>
      <c r="L5124" s="38">
        <v>46295</v>
      </c>
      <c r="M5124" s="23" t="s">
        <v>231</v>
      </c>
      <c r="N5124" s="23" t="str">
        <f>IF(COUNTIF($A$2:A5124,A5124)&gt;1,"DUP","OK")</f>
        <v>OK</v>
      </c>
      <c r="O5124" s="23" t="str">
        <f t="shared" si="241"/>
        <v>ORD26000551</v>
      </c>
      <c r="P5124" s="23" t="str">
        <f t="shared" si="242"/>
        <v>Sep</v>
      </c>
      <c r="Q5124" s="23" t="str">
        <f>IF(F5124="CAPTURE",IF(COUNTIF(orders!$A:$A,O5124)&gt;0,"Yes","NO ORDER"),"")</f>
        <v>Yes</v>
      </c>
    </row>
    <row r="5125" spans="1:17" ht="15" customHeight="1" x14ac:dyDescent="0.3">
      <c r="A5125" s="23" t="s">
        <v>18309</v>
      </c>
      <c r="B5125" s="23"/>
      <c r="C5125" s="23" t="s">
        <v>1631</v>
      </c>
      <c r="D5125" s="23" t="str">
        <f t="shared" si="240"/>
        <v>ORD26000603</v>
      </c>
      <c r="E5125" s="38">
        <v>46293</v>
      </c>
      <c r="F5125" s="23" t="s">
        <v>12410</v>
      </c>
      <c r="G5125" s="23" t="s">
        <v>75</v>
      </c>
      <c r="H5125" s="24">
        <v>11498</v>
      </c>
      <c r="I5125" s="24">
        <v>34.49</v>
      </c>
      <c r="J5125" s="24">
        <v>6.21</v>
      </c>
      <c r="K5125" s="24">
        <v>11457.3</v>
      </c>
      <c r="L5125" s="38">
        <v>46295</v>
      </c>
      <c r="M5125" s="23" t="s">
        <v>231</v>
      </c>
      <c r="N5125" s="23" t="str">
        <f>IF(COUNTIF($A$2:A5125,A5125)&gt;1,"DUP","OK")</f>
        <v>OK</v>
      </c>
      <c r="O5125" s="23" t="str">
        <f t="shared" si="241"/>
        <v>ORD26000603</v>
      </c>
      <c r="P5125" s="23" t="str">
        <f t="shared" si="242"/>
        <v>Sep</v>
      </c>
      <c r="Q5125" s="23" t="str">
        <f>IF(F5125="CAPTURE",IF(COUNTIF(orders!$A:$A,O5125)&gt;0,"Yes","NO ORDER"),"")</f>
        <v>Yes</v>
      </c>
    </row>
    <row r="5126" spans="1:17" ht="15" customHeight="1" x14ac:dyDescent="0.3">
      <c r="A5126" s="23" t="s">
        <v>18310</v>
      </c>
      <c r="B5126" s="23"/>
      <c r="C5126" s="23" t="s">
        <v>1671</v>
      </c>
      <c r="D5126" s="23" t="str">
        <f t="shared" si="240"/>
        <v>ORD26000621</v>
      </c>
      <c r="E5126" s="38">
        <v>46293</v>
      </c>
      <c r="F5126" s="23" t="s">
        <v>12410</v>
      </c>
      <c r="G5126" s="23" t="s">
        <v>79</v>
      </c>
      <c r="H5126" s="24">
        <v>8297</v>
      </c>
      <c r="I5126" s="24">
        <v>132.75</v>
      </c>
      <c r="J5126" s="24">
        <v>23.9</v>
      </c>
      <c r="K5126" s="24">
        <v>8140.35</v>
      </c>
      <c r="L5126" s="38">
        <v>46295</v>
      </c>
      <c r="M5126" s="23" t="s">
        <v>231</v>
      </c>
      <c r="N5126" s="23" t="str">
        <f>IF(COUNTIF($A$2:A5126,A5126)&gt;1,"DUP","OK")</f>
        <v>OK</v>
      </c>
      <c r="O5126" s="23" t="str">
        <f t="shared" si="241"/>
        <v>ORD26000621</v>
      </c>
      <c r="P5126" s="23" t="str">
        <f t="shared" si="242"/>
        <v>Sep</v>
      </c>
      <c r="Q5126" s="23" t="str">
        <f>IF(F5126="CAPTURE",IF(COUNTIF(orders!$A:$A,O5126)&gt;0,"Yes","NO ORDER"),"")</f>
        <v>Yes</v>
      </c>
    </row>
    <row r="5127" spans="1:17" ht="15" customHeight="1" x14ac:dyDescent="0.3">
      <c r="A5127" s="23" t="s">
        <v>18311</v>
      </c>
      <c r="B5127" s="23"/>
      <c r="C5127" s="23" t="s">
        <v>1786</v>
      </c>
      <c r="D5127" s="23" t="str">
        <f t="shared" si="240"/>
        <v>ORD26000676</v>
      </c>
      <c r="E5127" s="38">
        <v>46293</v>
      </c>
      <c r="F5127" s="23" t="s">
        <v>12410</v>
      </c>
      <c r="G5127" s="23" t="s">
        <v>75</v>
      </c>
      <c r="H5127" s="24">
        <v>3798</v>
      </c>
      <c r="I5127" s="24">
        <v>11.39</v>
      </c>
      <c r="J5127" s="24">
        <v>2.0499999999999998</v>
      </c>
      <c r="K5127" s="24">
        <v>3784.56</v>
      </c>
      <c r="L5127" s="38">
        <v>46295</v>
      </c>
      <c r="M5127" s="23" t="s">
        <v>231</v>
      </c>
      <c r="N5127" s="23" t="str">
        <f>IF(COUNTIF($A$2:A5127,A5127)&gt;1,"DUP","OK")</f>
        <v>OK</v>
      </c>
      <c r="O5127" s="23" t="str">
        <f t="shared" si="241"/>
        <v>ORD26000676</v>
      </c>
      <c r="P5127" s="23" t="str">
        <f t="shared" si="242"/>
        <v>Sep</v>
      </c>
      <c r="Q5127" s="23" t="str">
        <f>IF(F5127="CAPTURE",IF(COUNTIF(orders!$A:$A,O5127)&gt;0,"Yes","NO ORDER"),"")</f>
        <v>Yes</v>
      </c>
    </row>
    <row r="5128" spans="1:17" ht="15" customHeight="1" x14ac:dyDescent="0.3">
      <c r="A5128" s="23" t="s">
        <v>18312</v>
      </c>
      <c r="B5128" s="23"/>
      <c r="C5128" s="23" t="s">
        <v>1805</v>
      </c>
      <c r="D5128" s="23" t="str">
        <f t="shared" si="240"/>
        <v>ORD26000684</v>
      </c>
      <c r="E5128" s="38">
        <v>46293</v>
      </c>
      <c r="F5128" s="23" t="s">
        <v>12410</v>
      </c>
      <c r="G5128" s="23" t="s">
        <v>75</v>
      </c>
      <c r="H5128" s="24">
        <v>5097</v>
      </c>
      <c r="I5128" s="24">
        <v>15.29</v>
      </c>
      <c r="J5128" s="24">
        <v>2.75</v>
      </c>
      <c r="K5128" s="24">
        <v>5078.96</v>
      </c>
      <c r="L5128" s="38">
        <v>46295</v>
      </c>
      <c r="M5128" s="23" t="s">
        <v>231</v>
      </c>
      <c r="N5128" s="23" t="str">
        <f>IF(COUNTIF($A$2:A5128,A5128)&gt;1,"DUP","OK")</f>
        <v>OK</v>
      </c>
      <c r="O5128" s="23" t="str">
        <f t="shared" si="241"/>
        <v>ORD26000684</v>
      </c>
      <c r="P5128" s="23" t="str">
        <f t="shared" si="242"/>
        <v>Sep</v>
      </c>
      <c r="Q5128" s="23" t="str">
        <f>IF(F5128="CAPTURE",IF(COUNTIF(orders!$A:$A,O5128)&gt;0,"Yes","NO ORDER"),"")</f>
        <v>Yes</v>
      </c>
    </row>
    <row r="5129" spans="1:17" ht="15" customHeight="1" x14ac:dyDescent="0.3">
      <c r="A5129" s="23" t="s">
        <v>18313</v>
      </c>
      <c r="B5129" s="23"/>
      <c r="C5129" s="23" t="s">
        <v>18314</v>
      </c>
      <c r="D5129" s="23" t="str">
        <f t="shared" si="240"/>
        <v>ORD26000701</v>
      </c>
      <c r="E5129" s="38">
        <v>46293</v>
      </c>
      <c r="F5129" s="23" t="s">
        <v>12410</v>
      </c>
      <c r="G5129" s="23" t="s">
        <v>75</v>
      </c>
      <c r="H5129" s="24">
        <v>3499</v>
      </c>
      <c r="I5129" s="24">
        <v>10.5</v>
      </c>
      <c r="J5129" s="24">
        <v>1.89</v>
      </c>
      <c r="K5129" s="24">
        <v>3486.61</v>
      </c>
      <c r="L5129" s="38">
        <v>46295</v>
      </c>
      <c r="M5129" s="23" t="s">
        <v>231</v>
      </c>
      <c r="N5129" s="23" t="str">
        <f>IF(COUNTIF($A$2:A5129,A5129)&gt;1,"DUP","OK")</f>
        <v>OK</v>
      </c>
      <c r="O5129" s="23" t="str">
        <f t="shared" si="241"/>
        <v>ORD26000701</v>
      </c>
      <c r="P5129" s="23" t="str">
        <f t="shared" si="242"/>
        <v>Sep</v>
      </c>
      <c r="Q5129" s="23" t="str">
        <f>IF(F5129="CAPTURE",IF(COUNTIF(orders!$A:$A,O5129)&gt;0,"Yes","NO ORDER"),"")</f>
        <v>Yes</v>
      </c>
    </row>
    <row r="5130" spans="1:17" ht="15" customHeight="1" x14ac:dyDescent="0.3">
      <c r="A5130" s="23" t="s">
        <v>18315</v>
      </c>
      <c r="B5130" s="23"/>
      <c r="C5130" s="23" t="s">
        <v>18316</v>
      </c>
      <c r="D5130" s="23" t="str">
        <f t="shared" si="240"/>
        <v>ORD26000745</v>
      </c>
      <c r="E5130" s="38">
        <v>46293</v>
      </c>
      <c r="F5130" s="23" t="s">
        <v>12410</v>
      </c>
      <c r="G5130" s="23" t="s">
        <v>75</v>
      </c>
      <c r="H5130" s="24">
        <v>5347</v>
      </c>
      <c r="I5130" s="24">
        <v>16.04</v>
      </c>
      <c r="J5130" s="24">
        <v>2.89</v>
      </c>
      <c r="K5130" s="24">
        <v>5328.07</v>
      </c>
      <c r="L5130" s="38">
        <v>46295</v>
      </c>
      <c r="M5130" s="23" t="s">
        <v>231</v>
      </c>
      <c r="N5130" s="23" t="str">
        <f>IF(COUNTIF($A$2:A5130,A5130)&gt;1,"DUP","OK")</f>
        <v>OK</v>
      </c>
      <c r="O5130" s="23" t="str">
        <f t="shared" si="241"/>
        <v>ORD26000745</v>
      </c>
      <c r="P5130" s="23" t="str">
        <f t="shared" si="242"/>
        <v>Sep</v>
      </c>
      <c r="Q5130" s="23" t="str">
        <f>IF(F5130="CAPTURE",IF(COUNTIF(orders!$A:$A,O5130)&gt;0,"Yes","NO ORDER"),"")</f>
        <v>Yes</v>
      </c>
    </row>
    <row r="5131" spans="1:17" ht="15" customHeight="1" x14ac:dyDescent="0.3">
      <c r="A5131" s="23" t="s">
        <v>18317</v>
      </c>
      <c r="B5131" s="23"/>
      <c r="C5131" s="23" t="s">
        <v>2307</v>
      </c>
      <c r="D5131" s="23" t="str">
        <f t="shared" si="240"/>
        <v>ORD26000925</v>
      </c>
      <c r="E5131" s="38">
        <v>46293</v>
      </c>
      <c r="F5131" s="23" t="s">
        <v>12410</v>
      </c>
      <c r="G5131" s="23" t="s">
        <v>75</v>
      </c>
      <c r="H5131" s="24">
        <v>7999</v>
      </c>
      <c r="I5131" s="24">
        <v>24</v>
      </c>
      <c r="J5131" s="24">
        <v>4.32</v>
      </c>
      <c r="K5131" s="24">
        <v>7970.68</v>
      </c>
      <c r="L5131" s="38">
        <v>46295</v>
      </c>
      <c r="M5131" s="23" t="s">
        <v>231</v>
      </c>
      <c r="N5131" s="23" t="str">
        <f>IF(COUNTIF($A$2:A5131,A5131)&gt;1,"DUP","OK")</f>
        <v>OK</v>
      </c>
      <c r="O5131" s="23" t="str">
        <f t="shared" si="241"/>
        <v>ORD26000925</v>
      </c>
      <c r="P5131" s="23" t="str">
        <f t="shared" si="242"/>
        <v>Sep</v>
      </c>
      <c r="Q5131" s="23" t="str">
        <f>IF(F5131="CAPTURE",IF(COUNTIF(orders!$A:$A,O5131)&gt;0,"Yes","NO ORDER"),"")</f>
        <v>Yes</v>
      </c>
    </row>
    <row r="5132" spans="1:17" ht="15" customHeight="1" x14ac:dyDescent="0.3">
      <c r="A5132" s="23" t="s">
        <v>18318</v>
      </c>
      <c r="B5132" s="23"/>
      <c r="C5132" s="23" t="s">
        <v>2495</v>
      </c>
      <c r="D5132" s="23" t="str">
        <f t="shared" si="240"/>
        <v>ORD26001017</v>
      </c>
      <c r="E5132" s="38">
        <v>46293</v>
      </c>
      <c r="F5132" s="23" t="s">
        <v>12410</v>
      </c>
      <c r="G5132" s="23" t="s">
        <v>79</v>
      </c>
      <c r="H5132" s="24">
        <v>1499</v>
      </c>
      <c r="I5132" s="24">
        <v>26.98</v>
      </c>
      <c r="J5132" s="24">
        <v>4.8600000000000003</v>
      </c>
      <c r="K5132" s="24">
        <v>1467.16</v>
      </c>
      <c r="L5132" s="38">
        <v>46295</v>
      </c>
      <c r="M5132" s="23" t="s">
        <v>231</v>
      </c>
      <c r="N5132" s="23" t="str">
        <f>IF(COUNTIF($A$2:A5132,A5132)&gt;1,"DUP","OK")</f>
        <v>OK</v>
      </c>
      <c r="O5132" s="23" t="str">
        <f t="shared" si="241"/>
        <v>ORD26001017</v>
      </c>
      <c r="P5132" s="23" t="str">
        <f t="shared" si="242"/>
        <v>Sep</v>
      </c>
      <c r="Q5132" s="23" t="str">
        <f>IF(F5132="CAPTURE",IF(COUNTIF(orders!$A:$A,O5132)&gt;0,"Yes","NO ORDER"),"")</f>
        <v>Yes</v>
      </c>
    </row>
    <row r="5133" spans="1:17" ht="15" customHeight="1" x14ac:dyDescent="0.3">
      <c r="A5133" s="23" t="s">
        <v>18319</v>
      </c>
      <c r="B5133" s="23"/>
      <c r="C5133" s="23" t="s">
        <v>2553</v>
      </c>
      <c r="D5133" s="23" t="str">
        <f t="shared" si="240"/>
        <v>ORD26001045</v>
      </c>
      <c r="E5133" s="38">
        <v>46293</v>
      </c>
      <c r="F5133" s="23" t="s">
        <v>12410</v>
      </c>
      <c r="G5133" s="23" t="s">
        <v>81</v>
      </c>
      <c r="H5133" s="24">
        <v>2598</v>
      </c>
      <c r="I5133" s="24">
        <v>31.18</v>
      </c>
      <c r="J5133" s="24">
        <v>5.61</v>
      </c>
      <c r="K5133" s="24">
        <v>2561.21</v>
      </c>
      <c r="L5133" s="38">
        <v>46295</v>
      </c>
      <c r="M5133" s="23" t="s">
        <v>231</v>
      </c>
      <c r="N5133" s="23" t="str">
        <f>IF(COUNTIF($A$2:A5133,A5133)&gt;1,"DUP","OK")</f>
        <v>OK</v>
      </c>
      <c r="O5133" s="23" t="str">
        <f t="shared" si="241"/>
        <v>ORD26001045</v>
      </c>
      <c r="P5133" s="23" t="str">
        <f t="shared" si="242"/>
        <v>Sep</v>
      </c>
      <c r="Q5133" s="23" t="str">
        <f>IF(F5133="CAPTURE",IF(COUNTIF(orders!$A:$A,O5133)&gt;0,"Yes","NO ORDER"),"")</f>
        <v>Yes</v>
      </c>
    </row>
    <row r="5134" spans="1:17" ht="15" customHeight="1" x14ac:dyDescent="0.3">
      <c r="A5134" s="23" t="s">
        <v>18320</v>
      </c>
      <c r="B5134" s="23"/>
      <c r="C5134" s="23" t="s">
        <v>18321</v>
      </c>
      <c r="D5134" s="23" t="str">
        <f t="shared" si="240"/>
        <v>ORD26001055</v>
      </c>
      <c r="E5134" s="38">
        <v>46293</v>
      </c>
      <c r="F5134" s="23" t="s">
        <v>12410</v>
      </c>
      <c r="G5134" s="23" t="s">
        <v>79</v>
      </c>
      <c r="H5134" s="24">
        <v>6597</v>
      </c>
      <c r="I5134" s="24">
        <v>105.55</v>
      </c>
      <c r="J5134" s="24">
        <v>19</v>
      </c>
      <c r="K5134" s="24">
        <v>6472.45</v>
      </c>
      <c r="L5134" s="38">
        <v>46295</v>
      </c>
      <c r="M5134" s="23" t="s">
        <v>231</v>
      </c>
      <c r="N5134" s="23" t="str">
        <f>IF(COUNTIF($A$2:A5134,A5134)&gt;1,"DUP","OK")</f>
        <v>OK</v>
      </c>
      <c r="O5134" s="23" t="str">
        <f t="shared" si="241"/>
        <v>ORD26001055</v>
      </c>
      <c r="P5134" s="23" t="str">
        <f t="shared" si="242"/>
        <v>Sep</v>
      </c>
      <c r="Q5134" s="23" t="str">
        <f>IF(F5134="CAPTURE",IF(COUNTIF(orders!$A:$A,O5134)&gt;0,"Yes","NO ORDER"),"")</f>
        <v>Yes</v>
      </c>
    </row>
    <row r="5135" spans="1:17" ht="15" customHeight="1" x14ac:dyDescent="0.3">
      <c r="A5135" s="23" t="s">
        <v>18322</v>
      </c>
      <c r="B5135" s="23"/>
      <c r="C5135" s="23" t="s">
        <v>18323</v>
      </c>
      <c r="D5135" s="23" t="str">
        <f t="shared" si="240"/>
        <v>ORD26001059</v>
      </c>
      <c r="E5135" s="38">
        <v>46293</v>
      </c>
      <c r="F5135" s="23" t="s">
        <v>12410</v>
      </c>
      <c r="G5135" s="23" t="s">
        <v>81</v>
      </c>
      <c r="H5135" s="24">
        <v>5298</v>
      </c>
      <c r="I5135" s="24">
        <v>63.58</v>
      </c>
      <c r="J5135" s="24">
        <v>11.44</v>
      </c>
      <c r="K5135" s="24">
        <v>5222.9799999999996</v>
      </c>
      <c r="L5135" s="38">
        <v>46295</v>
      </c>
      <c r="M5135" s="23" t="s">
        <v>231</v>
      </c>
      <c r="N5135" s="23" t="str">
        <f>IF(COUNTIF($A$2:A5135,A5135)&gt;1,"DUP","OK")</f>
        <v>OK</v>
      </c>
      <c r="O5135" s="23" t="str">
        <f t="shared" si="241"/>
        <v>ORD26001059</v>
      </c>
      <c r="P5135" s="23" t="str">
        <f t="shared" si="242"/>
        <v>Sep</v>
      </c>
      <c r="Q5135" s="23" t="str">
        <f>IF(F5135="CAPTURE",IF(COUNTIF(orders!$A:$A,O5135)&gt;0,"Yes","NO ORDER"),"")</f>
        <v>Yes</v>
      </c>
    </row>
    <row r="5136" spans="1:17" ht="15" customHeight="1" x14ac:dyDescent="0.3">
      <c r="A5136" s="23" t="s">
        <v>18324</v>
      </c>
      <c r="B5136" s="23"/>
      <c r="C5136" s="23" t="s">
        <v>2627</v>
      </c>
      <c r="D5136" s="23" t="str">
        <f t="shared" si="240"/>
        <v>ORD26001081</v>
      </c>
      <c r="E5136" s="38">
        <v>46293</v>
      </c>
      <c r="F5136" s="23" t="s">
        <v>12410</v>
      </c>
      <c r="G5136" s="23" t="s">
        <v>79</v>
      </c>
      <c r="H5136" s="24">
        <v>4998</v>
      </c>
      <c r="I5136" s="24">
        <v>79.97</v>
      </c>
      <c r="J5136" s="24">
        <v>14.39</v>
      </c>
      <c r="K5136" s="24">
        <v>4903.6400000000003</v>
      </c>
      <c r="L5136" s="38">
        <v>46295</v>
      </c>
      <c r="M5136" s="23" t="s">
        <v>231</v>
      </c>
      <c r="N5136" s="23" t="str">
        <f>IF(COUNTIF($A$2:A5136,A5136)&gt;1,"DUP","OK")</f>
        <v>OK</v>
      </c>
      <c r="O5136" s="23" t="str">
        <f t="shared" si="241"/>
        <v>ORD26001081</v>
      </c>
      <c r="P5136" s="23" t="str">
        <f t="shared" si="242"/>
        <v>Sep</v>
      </c>
      <c r="Q5136" s="23" t="str">
        <f>IF(F5136="CAPTURE",IF(COUNTIF(orders!$A:$A,O5136)&gt;0,"Yes","NO ORDER"),"")</f>
        <v>Yes</v>
      </c>
    </row>
    <row r="5137" spans="1:17" ht="15" customHeight="1" x14ac:dyDescent="0.3">
      <c r="A5137" s="23" t="s">
        <v>18325</v>
      </c>
      <c r="B5137" s="23"/>
      <c r="C5137" s="23" t="s">
        <v>18326</v>
      </c>
      <c r="D5137" s="23" t="str">
        <f t="shared" si="240"/>
        <v>ORD26001089</v>
      </c>
      <c r="E5137" s="38">
        <v>46293</v>
      </c>
      <c r="F5137" s="23" t="s">
        <v>12410</v>
      </c>
      <c r="G5137" s="23" t="s">
        <v>75</v>
      </c>
      <c r="H5137" s="24">
        <v>2998</v>
      </c>
      <c r="I5137" s="24">
        <v>8.99</v>
      </c>
      <c r="J5137" s="24">
        <v>1.62</v>
      </c>
      <c r="K5137" s="24">
        <v>2987.39</v>
      </c>
      <c r="L5137" s="38">
        <v>46295</v>
      </c>
      <c r="M5137" s="23" t="s">
        <v>231</v>
      </c>
      <c r="N5137" s="23" t="str">
        <f>IF(COUNTIF($A$2:A5137,A5137)&gt;1,"DUP","OK")</f>
        <v>OK</v>
      </c>
      <c r="O5137" s="23" t="str">
        <f t="shared" si="241"/>
        <v>ORD26001089</v>
      </c>
      <c r="P5137" s="23" t="str">
        <f t="shared" si="242"/>
        <v>Sep</v>
      </c>
      <c r="Q5137" s="23" t="str">
        <f>IF(F5137="CAPTURE",IF(COUNTIF(orders!$A:$A,O5137)&gt;0,"Yes","NO ORDER"),"")</f>
        <v>Yes</v>
      </c>
    </row>
    <row r="5138" spans="1:17" ht="15" customHeight="1" x14ac:dyDescent="0.3">
      <c r="A5138" s="23" t="s">
        <v>18327</v>
      </c>
      <c r="B5138" s="23"/>
      <c r="C5138" s="23" t="s">
        <v>18328</v>
      </c>
      <c r="D5138" s="23" t="str">
        <f t="shared" si="240"/>
        <v>ORD26001102</v>
      </c>
      <c r="E5138" s="38">
        <v>46293</v>
      </c>
      <c r="F5138" s="23" t="s">
        <v>12410</v>
      </c>
      <c r="G5138" s="23" t="s">
        <v>75</v>
      </c>
      <c r="H5138" s="24">
        <v>1398</v>
      </c>
      <c r="I5138" s="24">
        <v>0</v>
      </c>
      <c r="J5138" s="24">
        <v>0</v>
      </c>
      <c r="K5138" s="24">
        <v>1398</v>
      </c>
      <c r="L5138" s="38">
        <v>46295</v>
      </c>
      <c r="M5138" s="23" t="s">
        <v>231</v>
      </c>
      <c r="N5138" s="23" t="str">
        <f>IF(COUNTIF($A$2:A5138,A5138)&gt;1,"DUP","OK")</f>
        <v>OK</v>
      </c>
      <c r="O5138" s="23" t="str">
        <f t="shared" si="241"/>
        <v>ORD26001102</v>
      </c>
      <c r="P5138" s="23" t="str">
        <f t="shared" si="242"/>
        <v>Sep</v>
      </c>
      <c r="Q5138" s="23" t="str">
        <f>IF(F5138="CAPTURE",IF(COUNTIF(orders!$A:$A,O5138)&gt;0,"Yes","NO ORDER"),"")</f>
        <v>Yes</v>
      </c>
    </row>
    <row r="5139" spans="1:17" ht="15" customHeight="1" x14ac:dyDescent="0.3">
      <c r="A5139" s="23" t="s">
        <v>18329</v>
      </c>
      <c r="B5139" s="23"/>
      <c r="C5139" s="23" t="s">
        <v>2689</v>
      </c>
      <c r="D5139" s="23" t="str">
        <f t="shared" si="240"/>
        <v>ORD26001112</v>
      </c>
      <c r="E5139" s="38">
        <v>46293</v>
      </c>
      <c r="F5139" s="23" t="s">
        <v>12410</v>
      </c>
      <c r="G5139" s="23" t="s">
        <v>75</v>
      </c>
      <c r="H5139" s="24">
        <v>8798</v>
      </c>
      <c r="I5139" s="24">
        <v>26.39</v>
      </c>
      <c r="J5139" s="24">
        <v>4.75</v>
      </c>
      <c r="K5139" s="24">
        <v>8766.86</v>
      </c>
      <c r="L5139" s="38">
        <v>46295</v>
      </c>
      <c r="M5139" s="23" t="s">
        <v>231</v>
      </c>
      <c r="N5139" s="23" t="str">
        <f>IF(COUNTIF($A$2:A5139,A5139)&gt;1,"DUP","OK")</f>
        <v>OK</v>
      </c>
      <c r="O5139" s="23" t="str">
        <f t="shared" si="241"/>
        <v>ORD26001112</v>
      </c>
      <c r="P5139" s="23" t="str">
        <f t="shared" si="242"/>
        <v>Sep</v>
      </c>
      <c r="Q5139" s="23" t="str">
        <f>IF(F5139="CAPTURE",IF(COUNTIF(orders!$A:$A,O5139)&gt;0,"Yes","NO ORDER"),"")</f>
        <v>Yes</v>
      </c>
    </row>
    <row r="5140" spans="1:17" ht="15" customHeight="1" x14ac:dyDescent="0.3">
      <c r="A5140" s="23" t="s">
        <v>18330</v>
      </c>
      <c r="B5140" s="23"/>
      <c r="C5140" s="23" t="s">
        <v>18331</v>
      </c>
      <c r="D5140" s="23" t="str">
        <f t="shared" si="240"/>
        <v>ORD26001125</v>
      </c>
      <c r="E5140" s="38">
        <v>46293</v>
      </c>
      <c r="F5140" s="23" t="s">
        <v>12410</v>
      </c>
      <c r="G5140" s="23" t="s">
        <v>79</v>
      </c>
      <c r="H5140" s="24">
        <v>8297</v>
      </c>
      <c r="I5140" s="24">
        <v>132.75</v>
      </c>
      <c r="J5140" s="24">
        <v>23.9</v>
      </c>
      <c r="K5140" s="24">
        <v>8140.35</v>
      </c>
      <c r="L5140" s="38">
        <v>46295</v>
      </c>
      <c r="M5140" s="23" t="s">
        <v>231</v>
      </c>
      <c r="N5140" s="23" t="str">
        <f>IF(COUNTIF($A$2:A5140,A5140)&gt;1,"DUP","OK")</f>
        <v>OK</v>
      </c>
      <c r="O5140" s="23" t="str">
        <f t="shared" si="241"/>
        <v>ORD26001125</v>
      </c>
      <c r="P5140" s="23" t="str">
        <f t="shared" si="242"/>
        <v>Sep</v>
      </c>
      <c r="Q5140" s="23" t="str">
        <f>IF(F5140="CAPTURE",IF(COUNTIF(orders!$A:$A,O5140)&gt;0,"Yes","NO ORDER"),"")</f>
        <v>Yes</v>
      </c>
    </row>
    <row r="5141" spans="1:17" ht="15" customHeight="1" x14ac:dyDescent="0.3">
      <c r="A5141" s="23" t="s">
        <v>18332</v>
      </c>
      <c r="B5141" s="23"/>
      <c r="C5141" s="23" t="s">
        <v>2726</v>
      </c>
      <c r="D5141" s="23" t="str">
        <f t="shared" si="240"/>
        <v>ORD26001130</v>
      </c>
      <c r="E5141" s="38">
        <v>46293</v>
      </c>
      <c r="F5141" s="23" t="s">
        <v>12410</v>
      </c>
      <c r="G5141" s="23" t="s">
        <v>75</v>
      </c>
      <c r="H5141" s="24">
        <v>7999</v>
      </c>
      <c r="I5141" s="24">
        <v>24</v>
      </c>
      <c r="J5141" s="24">
        <v>4.32</v>
      </c>
      <c r="K5141" s="24">
        <v>7970.68</v>
      </c>
      <c r="L5141" s="38">
        <v>46295</v>
      </c>
      <c r="M5141" s="23" t="s">
        <v>231</v>
      </c>
      <c r="N5141" s="23" t="str">
        <f>IF(COUNTIF($A$2:A5141,A5141)&gt;1,"DUP","OK")</f>
        <v>OK</v>
      </c>
      <c r="O5141" s="23" t="str">
        <f t="shared" si="241"/>
        <v>ORD26001130</v>
      </c>
      <c r="P5141" s="23" t="str">
        <f t="shared" si="242"/>
        <v>Sep</v>
      </c>
      <c r="Q5141" s="23" t="str">
        <f>IF(F5141="CAPTURE",IF(COUNTIF(orders!$A:$A,O5141)&gt;0,"Yes","NO ORDER"),"")</f>
        <v>Yes</v>
      </c>
    </row>
    <row r="5142" spans="1:17" ht="15" customHeight="1" x14ac:dyDescent="0.3">
      <c r="A5142" s="23" t="s">
        <v>18333</v>
      </c>
      <c r="B5142" s="23"/>
      <c r="C5142" s="23" t="s">
        <v>2781</v>
      </c>
      <c r="D5142" s="23" t="str">
        <f t="shared" si="240"/>
        <v>ORD26001157</v>
      </c>
      <c r="E5142" s="38">
        <v>46293</v>
      </c>
      <c r="F5142" s="23" t="s">
        <v>12410</v>
      </c>
      <c r="G5142" s="23" t="s">
        <v>75</v>
      </c>
      <c r="H5142" s="24">
        <v>9497</v>
      </c>
      <c r="I5142" s="24">
        <v>28.49</v>
      </c>
      <c r="J5142" s="24">
        <v>5.13</v>
      </c>
      <c r="K5142" s="24">
        <v>9463.3799999999992</v>
      </c>
      <c r="L5142" s="38">
        <v>46295</v>
      </c>
      <c r="M5142" s="23" t="s">
        <v>231</v>
      </c>
      <c r="N5142" s="23" t="str">
        <f>IF(COUNTIF($A$2:A5142,A5142)&gt;1,"DUP","OK")</f>
        <v>OK</v>
      </c>
      <c r="O5142" s="23" t="str">
        <f t="shared" si="241"/>
        <v>ORD26001157</v>
      </c>
      <c r="P5142" s="23" t="str">
        <f t="shared" si="242"/>
        <v>Sep</v>
      </c>
      <c r="Q5142" s="23" t="str">
        <f>IF(F5142="CAPTURE",IF(COUNTIF(orders!$A:$A,O5142)&gt;0,"Yes","NO ORDER"),"")</f>
        <v>Yes</v>
      </c>
    </row>
    <row r="5143" spans="1:17" ht="15" customHeight="1" x14ac:dyDescent="0.3">
      <c r="A5143" s="23" t="s">
        <v>18334</v>
      </c>
      <c r="B5143" s="23"/>
      <c r="C5143" s="23" t="s">
        <v>2841</v>
      </c>
      <c r="D5143" s="23" t="str">
        <f t="shared" si="240"/>
        <v>ORD26001187</v>
      </c>
      <c r="E5143" s="38">
        <v>46293</v>
      </c>
      <c r="F5143" s="23" t="s">
        <v>12410</v>
      </c>
      <c r="G5143" s="23" t="s">
        <v>75</v>
      </c>
      <c r="H5143" s="24">
        <v>599</v>
      </c>
      <c r="I5143" s="24">
        <v>0</v>
      </c>
      <c r="J5143" s="24">
        <v>0</v>
      </c>
      <c r="K5143" s="24">
        <v>599</v>
      </c>
      <c r="L5143" s="38">
        <v>46295</v>
      </c>
      <c r="M5143" s="23" t="s">
        <v>231</v>
      </c>
      <c r="N5143" s="23" t="str">
        <f>IF(COUNTIF($A$2:A5143,A5143)&gt;1,"DUP","OK")</f>
        <v>OK</v>
      </c>
      <c r="O5143" s="23" t="str">
        <f t="shared" si="241"/>
        <v>ORD26001187</v>
      </c>
      <c r="P5143" s="23" t="str">
        <f t="shared" si="242"/>
        <v>Sep</v>
      </c>
      <c r="Q5143" s="23" t="str">
        <f>IF(F5143="CAPTURE",IF(COUNTIF(orders!$A:$A,O5143)&gt;0,"Yes","NO ORDER"),"")</f>
        <v>Yes</v>
      </c>
    </row>
    <row r="5144" spans="1:17" ht="15" customHeight="1" x14ac:dyDescent="0.3">
      <c r="A5144" s="23" t="s">
        <v>18335</v>
      </c>
      <c r="B5144" s="23"/>
      <c r="C5144" s="23" t="s">
        <v>2851</v>
      </c>
      <c r="D5144" s="23" t="str">
        <f t="shared" si="240"/>
        <v>ORD26001192</v>
      </c>
      <c r="E5144" s="38">
        <v>46293</v>
      </c>
      <c r="F5144" s="23" t="s">
        <v>12410</v>
      </c>
      <c r="G5144" s="23" t="s">
        <v>79</v>
      </c>
      <c r="H5144" s="24">
        <v>5998</v>
      </c>
      <c r="I5144" s="24">
        <v>95.97</v>
      </c>
      <c r="J5144" s="24">
        <v>17.27</v>
      </c>
      <c r="K5144" s="24">
        <v>5884.76</v>
      </c>
      <c r="L5144" s="38">
        <v>46295</v>
      </c>
      <c r="M5144" s="23" t="s">
        <v>231</v>
      </c>
      <c r="N5144" s="23" t="str">
        <f>IF(COUNTIF($A$2:A5144,A5144)&gt;1,"DUP","OK")</f>
        <v>OK</v>
      </c>
      <c r="O5144" s="23" t="str">
        <f t="shared" si="241"/>
        <v>ORD26001192</v>
      </c>
      <c r="P5144" s="23" t="str">
        <f t="shared" si="242"/>
        <v>Sep</v>
      </c>
      <c r="Q5144" s="23" t="str">
        <f>IF(F5144="CAPTURE",IF(COUNTIF(orders!$A:$A,O5144)&gt;0,"Yes","NO ORDER"),"")</f>
        <v>Yes</v>
      </c>
    </row>
    <row r="5145" spans="1:17" ht="15" customHeight="1" x14ac:dyDescent="0.3">
      <c r="A5145" s="23" t="s">
        <v>18336</v>
      </c>
      <c r="B5145" s="23"/>
      <c r="C5145" s="23" t="s">
        <v>18337</v>
      </c>
      <c r="D5145" s="23" t="str">
        <f t="shared" si="240"/>
        <v>ORD26001205</v>
      </c>
      <c r="E5145" s="38">
        <v>46293</v>
      </c>
      <c r="F5145" s="23" t="s">
        <v>12410</v>
      </c>
      <c r="G5145" s="23" t="s">
        <v>79</v>
      </c>
      <c r="H5145" s="24">
        <v>12297</v>
      </c>
      <c r="I5145" s="24">
        <v>196.75</v>
      </c>
      <c r="J5145" s="24">
        <v>35.42</v>
      </c>
      <c r="K5145" s="24">
        <v>12064.83</v>
      </c>
      <c r="L5145" s="38">
        <v>46295</v>
      </c>
      <c r="M5145" s="23" t="s">
        <v>231</v>
      </c>
      <c r="N5145" s="23" t="str">
        <f>IF(COUNTIF($A$2:A5145,A5145)&gt;1,"DUP","OK")</f>
        <v>OK</v>
      </c>
      <c r="O5145" s="23" t="str">
        <f t="shared" si="241"/>
        <v>ORD26001205</v>
      </c>
      <c r="P5145" s="23" t="str">
        <f t="shared" si="242"/>
        <v>Sep</v>
      </c>
      <c r="Q5145" s="23" t="str">
        <f>IF(F5145="CAPTURE",IF(COUNTIF(orders!$A:$A,O5145)&gt;0,"Yes","NO ORDER"),"")</f>
        <v>Yes</v>
      </c>
    </row>
    <row r="5146" spans="1:17" ht="15" customHeight="1" x14ac:dyDescent="0.3">
      <c r="A5146" s="23" t="s">
        <v>18338</v>
      </c>
      <c r="B5146" s="23"/>
      <c r="C5146" s="23" t="s">
        <v>3030</v>
      </c>
      <c r="D5146" s="23" t="str">
        <f t="shared" si="240"/>
        <v>ORD26001278</v>
      </c>
      <c r="E5146" s="38">
        <v>46293</v>
      </c>
      <c r="F5146" s="23" t="s">
        <v>12410</v>
      </c>
      <c r="G5146" s="23" t="s">
        <v>75</v>
      </c>
      <c r="H5146" s="24">
        <v>6797</v>
      </c>
      <c r="I5146" s="24">
        <v>20.39</v>
      </c>
      <c r="J5146" s="24">
        <v>3.67</v>
      </c>
      <c r="K5146" s="24">
        <v>6772.94</v>
      </c>
      <c r="L5146" s="38">
        <v>46295</v>
      </c>
      <c r="M5146" s="23" t="s">
        <v>231</v>
      </c>
      <c r="N5146" s="23" t="str">
        <f>IF(COUNTIF($A$2:A5146,A5146)&gt;1,"DUP","OK")</f>
        <v>OK</v>
      </c>
      <c r="O5146" s="23" t="str">
        <f t="shared" si="241"/>
        <v>ORD26001278</v>
      </c>
      <c r="P5146" s="23" t="str">
        <f t="shared" si="242"/>
        <v>Sep</v>
      </c>
      <c r="Q5146" s="23" t="str">
        <f>IF(F5146="CAPTURE",IF(COUNTIF(orders!$A:$A,O5146)&gt;0,"Yes","NO ORDER"),"")</f>
        <v>Yes</v>
      </c>
    </row>
    <row r="5147" spans="1:17" ht="15" customHeight="1" x14ac:dyDescent="0.3">
      <c r="A5147" s="23" t="s">
        <v>18339</v>
      </c>
      <c r="B5147" s="23"/>
      <c r="C5147" s="23" t="s">
        <v>3034</v>
      </c>
      <c r="D5147" s="23" t="str">
        <f t="shared" si="240"/>
        <v>ORD26001280</v>
      </c>
      <c r="E5147" s="38">
        <v>46293</v>
      </c>
      <c r="F5147" s="23" t="s">
        <v>12410</v>
      </c>
      <c r="G5147" s="23" t="s">
        <v>75</v>
      </c>
      <c r="H5147" s="24">
        <v>1148</v>
      </c>
      <c r="I5147" s="24">
        <v>0</v>
      </c>
      <c r="J5147" s="24">
        <v>0</v>
      </c>
      <c r="K5147" s="24">
        <v>1148</v>
      </c>
      <c r="L5147" s="38">
        <v>46295</v>
      </c>
      <c r="M5147" s="23" t="s">
        <v>231</v>
      </c>
      <c r="N5147" s="23" t="str">
        <f>IF(COUNTIF($A$2:A5147,A5147)&gt;1,"DUP","OK")</f>
        <v>OK</v>
      </c>
      <c r="O5147" s="23" t="str">
        <f t="shared" si="241"/>
        <v>ORD26001280</v>
      </c>
      <c r="P5147" s="23" t="str">
        <f t="shared" si="242"/>
        <v>Sep</v>
      </c>
      <c r="Q5147" s="23" t="str">
        <f>IF(F5147="CAPTURE",IF(COUNTIF(orders!$A:$A,O5147)&gt;0,"Yes","NO ORDER"),"")</f>
        <v>Yes</v>
      </c>
    </row>
    <row r="5148" spans="1:17" ht="15" customHeight="1" x14ac:dyDescent="0.3">
      <c r="A5148" s="23" t="s">
        <v>18340</v>
      </c>
      <c r="B5148" s="23"/>
      <c r="C5148" s="23" t="s">
        <v>18341</v>
      </c>
      <c r="D5148" s="23" t="str">
        <f t="shared" si="240"/>
        <v>ORD26001315</v>
      </c>
      <c r="E5148" s="38">
        <v>46293</v>
      </c>
      <c r="F5148" s="23" t="s">
        <v>12410</v>
      </c>
      <c r="G5148" s="23" t="s">
        <v>75</v>
      </c>
      <c r="H5148" s="24">
        <v>3998</v>
      </c>
      <c r="I5148" s="24">
        <v>11.99</v>
      </c>
      <c r="J5148" s="24">
        <v>2.16</v>
      </c>
      <c r="K5148" s="24">
        <v>3983.85</v>
      </c>
      <c r="L5148" s="38">
        <v>46295</v>
      </c>
      <c r="M5148" s="23" t="s">
        <v>231</v>
      </c>
      <c r="N5148" s="23" t="str">
        <f>IF(COUNTIF($A$2:A5148,A5148)&gt;1,"DUP","OK")</f>
        <v>OK</v>
      </c>
      <c r="O5148" s="23" t="str">
        <f t="shared" si="241"/>
        <v>ORD26001315</v>
      </c>
      <c r="P5148" s="23" t="str">
        <f t="shared" si="242"/>
        <v>Sep</v>
      </c>
      <c r="Q5148" s="23" t="str">
        <f>IF(F5148="CAPTURE",IF(COUNTIF(orders!$A:$A,O5148)&gt;0,"Yes","NO ORDER"),"")</f>
        <v>Yes</v>
      </c>
    </row>
    <row r="5149" spans="1:17" ht="15" customHeight="1" x14ac:dyDescent="0.3">
      <c r="A5149" s="23" t="s">
        <v>18342</v>
      </c>
      <c r="B5149" s="23"/>
      <c r="C5149" s="23" t="s">
        <v>3136</v>
      </c>
      <c r="D5149" s="23" t="str">
        <f t="shared" si="240"/>
        <v>ORD26001329</v>
      </c>
      <c r="E5149" s="38">
        <v>46293</v>
      </c>
      <c r="F5149" s="23" t="s">
        <v>12410</v>
      </c>
      <c r="G5149" s="23" t="s">
        <v>79</v>
      </c>
      <c r="H5149" s="24">
        <v>7998</v>
      </c>
      <c r="I5149" s="24">
        <v>127.97</v>
      </c>
      <c r="J5149" s="24">
        <v>23.03</v>
      </c>
      <c r="K5149" s="24">
        <v>7847</v>
      </c>
      <c r="L5149" s="38">
        <v>46295</v>
      </c>
      <c r="M5149" s="23" t="s">
        <v>231</v>
      </c>
      <c r="N5149" s="23" t="str">
        <f>IF(COUNTIF($A$2:A5149,A5149)&gt;1,"DUP","OK")</f>
        <v>OK</v>
      </c>
      <c r="O5149" s="23" t="str">
        <f t="shared" si="241"/>
        <v>ORD26001329</v>
      </c>
      <c r="P5149" s="23" t="str">
        <f t="shared" si="242"/>
        <v>Sep</v>
      </c>
      <c r="Q5149" s="23" t="str">
        <f>IF(F5149="CAPTURE",IF(COUNTIF(orders!$A:$A,O5149)&gt;0,"Yes","NO ORDER"),"")</f>
        <v>Yes</v>
      </c>
    </row>
    <row r="5150" spans="1:17" ht="15" customHeight="1" x14ac:dyDescent="0.3">
      <c r="A5150" s="23" t="s">
        <v>18343</v>
      </c>
      <c r="B5150" s="23"/>
      <c r="C5150" s="23" t="s">
        <v>3142</v>
      </c>
      <c r="D5150" s="23" t="str">
        <f t="shared" si="240"/>
        <v>ORD26001332</v>
      </c>
      <c r="E5150" s="38">
        <v>46293</v>
      </c>
      <c r="F5150" s="23" t="s">
        <v>12410</v>
      </c>
      <c r="G5150" s="23" t="s">
        <v>79</v>
      </c>
      <c r="H5150" s="24">
        <v>1299</v>
      </c>
      <c r="I5150" s="24">
        <v>23.38</v>
      </c>
      <c r="J5150" s="24">
        <v>4.21</v>
      </c>
      <c r="K5150" s="24">
        <v>1271.4100000000001</v>
      </c>
      <c r="L5150" s="38">
        <v>46295</v>
      </c>
      <c r="M5150" s="23" t="s">
        <v>231</v>
      </c>
      <c r="N5150" s="23" t="str">
        <f>IF(COUNTIF($A$2:A5150,A5150)&gt;1,"DUP","OK")</f>
        <v>OK</v>
      </c>
      <c r="O5150" s="23" t="str">
        <f t="shared" si="241"/>
        <v>ORD26001332</v>
      </c>
      <c r="P5150" s="23" t="str">
        <f t="shared" si="242"/>
        <v>Sep</v>
      </c>
      <c r="Q5150" s="23" t="str">
        <f>IF(F5150="CAPTURE",IF(COUNTIF(orders!$A:$A,O5150)&gt;0,"Yes","NO ORDER"),"")</f>
        <v>Yes</v>
      </c>
    </row>
    <row r="5151" spans="1:17" ht="15" customHeight="1" x14ac:dyDescent="0.3">
      <c r="A5151" s="23" t="s">
        <v>18344</v>
      </c>
      <c r="B5151" s="23"/>
      <c r="C5151" s="23" t="s">
        <v>3241</v>
      </c>
      <c r="D5151" s="23" t="str">
        <f t="shared" si="240"/>
        <v>ORD26001380</v>
      </c>
      <c r="E5151" s="38">
        <v>46293</v>
      </c>
      <c r="F5151" s="23" t="s">
        <v>12410</v>
      </c>
      <c r="G5151" s="23" t="s">
        <v>79</v>
      </c>
      <c r="H5151" s="24">
        <v>2798</v>
      </c>
      <c r="I5151" s="24">
        <v>44.77</v>
      </c>
      <c r="J5151" s="24">
        <v>8.06</v>
      </c>
      <c r="K5151" s="24">
        <v>2745.17</v>
      </c>
      <c r="L5151" s="38">
        <v>46295</v>
      </c>
      <c r="M5151" s="23" t="s">
        <v>231</v>
      </c>
      <c r="N5151" s="23" t="str">
        <f>IF(COUNTIF($A$2:A5151,A5151)&gt;1,"DUP","OK")</f>
        <v>OK</v>
      </c>
      <c r="O5151" s="23" t="str">
        <f t="shared" si="241"/>
        <v>ORD26001380</v>
      </c>
      <c r="P5151" s="23" t="str">
        <f t="shared" si="242"/>
        <v>Sep</v>
      </c>
      <c r="Q5151" s="23" t="str">
        <f>IF(F5151="CAPTURE",IF(COUNTIF(orders!$A:$A,O5151)&gt;0,"Yes","NO ORDER"),"")</f>
        <v>Yes</v>
      </c>
    </row>
    <row r="5152" spans="1:17" ht="15" customHeight="1" x14ac:dyDescent="0.3">
      <c r="A5152" s="23" t="s">
        <v>18345</v>
      </c>
      <c r="B5152" s="23"/>
      <c r="C5152" s="23" t="s">
        <v>3310</v>
      </c>
      <c r="D5152" s="23" t="str">
        <f t="shared" si="240"/>
        <v>ORD26001414</v>
      </c>
      <c r="E5152" s="38">
        <v>46293</v>
      </c>
      <c r="F5152" s="23" t="s">
        <v>12410</v>
      </c>
      <c r="G5152" s="23" t="s">
        <v>75</v>
      </c>
      <c r="H5152" s="24">
        <v>4298</v>
      </c>
      <c r="I5152" s="24">
        <v>12.89</v>
      </c>
      <c r="J5152" s="24">
        <v>2.3199999999999998</v>
      </c>
      <c r="K5152" s="24">
        <v>4282.79</v>
      </c>
      <c r="L5152" s="38">
        <v>46295</v>
      </c>
      <c r="M5152" s="23" t="s">
        <v>231</v>
      </c>
      <c r="N5152" s="23" t="str">
        <f>IF(COUNTIF($A$2:A5152,A5152)&gt;1,"DUP","OK")</f>
        <v>OK</v>
      </c>
      <c r="O5152" s="23" t="str">
        <f t="shared" si="241"/>
        <v>ORD26001414</v>
      </c>
      <c r="P5152" s="23" t="str">
        <f t="shared" si="242"/>
        <v>Sep</v>
      </c>
      <c r="Q5152" s="23" t="str">
        <f>IF(F5152="CAPTURE",IF(COUNTIF(orders!$A:$A,O5152)&gt;0,"Yes","NO ORDER"),"")</f>
        <v>Yes</v>
      </c>
    </row>
    <row r="5153" spans="1:17" ht="15" customHeight="1" x14ac:dyDescent="0.3">
      <c r="A5153" s="23" t="s">
        <v>18346</v>
      </c>
      <c r="B5153" s="23"/>
      <c r="C5153" s="23" t="s">
        <v>3355</v>
      </c>
      <c r="D5153" s="23" t="str">
        <f t="shared" si="240"/>
        <v>ORD26001437</v>
      </c>
      <c r="E5153" s="38">
        <v>46293</v>
      </c>
      <c r="F5153" s="23" t="s">
        <v>12410</v>
      </c>
      <c r="G5153" s="23" t="s">
        <v>81</v>
      </c>
      <c r="H5153" s="24">
        <v>4798</v>
      </c>
      <c r="I5153" s="24">
        <v>57.58</v>
      </c>
      <c r="J5153" s="24">
        <v>10.36</v>
      </c>
      <c r="K5153" s="24">
        <v>4730.0600000000004</v>
      </c>
      <c r="L5153" s="38">
        <v>46295</v>
      </c>
      <c r="M5153" s="23" t="s">
        <v>231</v>
      </c>
      <c r="N5153" s="23" t="str">
        <f>IF(COUNTIF($A$2:A5153,A5153)&gt;1,"DUP","OK")</f>
        <v>OK</v>
      </c>
      <c r="O5153" s="23" t="str">
        <f t="shared" si="241"/>
        <v>ORD26001437</v>
      </c>
      <c r="P5153" s="23" t="str">
        <f t="shared" si="242"/>
        <v>Sep</v>
      </c>
      <c r="Q5153" s="23" t="str">
        <f>IF(F5153="CAPTURE",IF(COUNTIF(orders!$A:$A,O5153)&gt;0,"Yes","NO ORDER"),"")</f>
        <v>Yes</v>
      </c>
    </row>
    <row r="5154" spans="1:17" ht="15" customHeight="1" x14ac:dyDescent="0.3">
      <c r="A5154" s="23" t="s">
        <v>18347</v>
      </c>
      <c r="B5154" s="23"/>
      <c r="C5154" s="23" t="s">
        <v>3544</v>
      </c>
      <c r="D5154" s="23" t="str">
        <f t="shared" si="240"/>
        <v>ORD26001528</v>
      </c>
      <c r="E5154" s="38">
        <v>46293</v>
      </c>
      <c r="F5154" s="23" t="s">
        <v>12410</v>
      </c>
      <c r="G5154" s="23" t="s">
        <v>79</v>
      </c>
      <c r="H5154" s="24">
        <v>1799</v>
      </c>
      <c r="I5154" s="24">
        <v>32.380000000000003</v>
      </c>
      <c r="J5154" s="24">
        <v>5.83</v>
      </c>
      <c r="K5154" s="24">
        <v>1760.79</v>
      </c>
      <c r="L5154" s="38">
        <v>46295</v>
      </c>
      <c r="M5154" s="23" t="s">
        <v>231</v>
      </c>
      <c r="N5154" s="23" t="str">
        <f>IF(COUNTIF($A$2:A5154,A5154)&gt;1,"DUP","OK")</f>
        <v>OK</v>
      </c>
      <c r="O5154" s="23" t="str">
        <f t="shared" si="241"/>
        <v>ORD26001528</v>
      </c>
      <c r="P5154" s="23" t="str">
        <f t="shared" si="242"/>
        <v>Sep</v>
      </c>
      <c r="Q5154" s="23" t="str">
        <f>IF(F5154="CAPTURE",IF(COUNTIF(orders!$A:$A,O5154)&gt;0,"Yes","NO ORDER"),"")</f>
        <v>Yes</v>
      </c>
    </row>
    <row r="5155" spans="1:17" ht="15" customHeight="1" x14ac:dyDescent="0.3">
      <c r="A5155" s="23" t="s">
        <v>18348</v>
      </c>
      <c r="B5155" s="23"/>
      <c r="C5155" s="23" t="s">
        <v>18349</v>
      </c>
      <c r="D5155" s="23" t="str">
        <f t="shared" si="240"/>
        <v>ORD26001552</v>
      </c>
      <c r="E5155" s="38">
        <v>46293</v>
      </c>
      <c r="F5155" s="23" t="s">
        <v>12410</v>
      </c>
      <c r="G5155" s="23" t="s">
        <v>75</v>
      </c>
      <c r="H5155" s="24">
        <v>4999</v>
      </c>
      <c r="I5155" s="24">
        <v>15</v>
      </c>
      <c r="J5155" s="24">
        <v>2.7</v>
      </c>
      <c r="K5155" s="24">
        <v>4981.3</v>
      </c>
      <c r="L5155" s="38">
        <v>46295</v>
      </c>
      <c r="M5155" s="23" t="s">
        <v>231</v>
      </c>
      <c r="N5155" s="23" t="str">
        <f>IF(COUNTIF($A$2:A5155,A5155)&gt;1,"DUP","OK")</f>
        <v>OK</v>
      </c>
      <c r="O5155" s="23" t="str">
        <f t="shared" si="241"/>
        <v>ORD26001552</v>
      </c>
      <c r="P5155" s="23" t="str">
        <f t="shared" si="242"/>
        <v>Sep</v>
      </c>
      <c r="Q5155" s="23" t="str">
        <f>IF(F5155="CAPTURE",IF(COUNTIF(orders!$A:$A,O5155)&gt;0,"Yes","NO ORDER"),"")</f>
        <v>Yes</v>
      </c>
    </row>
    <row r="5156" spans="1:17" ht="15" customHeight="1" x14ac:dyDescent="0.3">
      <c r="A5156" s="23" t="s">
        <v>18350</v>
      </c>
      <c r="B5156" s="23"/>
      <c r="C5156" s="23" t="s">
        <v>18351</v>
      </c>
      <c r="D5156" s="23" t="str">
        <f t="shared" si="240"/>
        <v>ORD26001586</v>
      </c>
      <c r="E5156" s="38">
        <v>46293</v>
      </c>
      <c r="F5156" s="23" t="s">
        <v>12410</v>
      </c>
      <c r="G5156" s="23" t="s">
        <v>75</v>
      </c>
      <c r="H5156" s="24">
        <v>1499</v>
      </c>
      <c r="I5156" s="24">
        <v>0</v>
      </c>
      <c r="J5156" s="24">
        <v>0</v>
      </c>
      <c r="K5156" s="24">
        <v>1499</v>
      </c>
      <c r="L5156" s="38">
        <v>46295</v>
      </c>
      <c r="M5156" s="23" t="s">
        <v>231</v>
      </c>
      <c r="N5156" s="23" t="str">
        <f>IF(COUNTIF($A$2:A5156,A5156)&gt;1,"DUP","OK")</f>
        <v>OK</v>
      </c>
      <c r="O5156" s="23" t="str">
        <f t="shared" si="241"/>
        <v>ORD26001586</v>
      </c>
      <c r="P5156" s="23" t="str">
        <f t="shared" si="242"/>
        <v>Sep</v>
      </c>
      <c r="Q5156" s="23" t="str">
        <f>IF(F5156="CAPTURE",IF(COUNTIF(orders!$A:$A,O5156)&gt;0,"Yes","NO ORDER"),"")</f>
        <v>Yes</v>
      </c>
    </row>
    <row r="5157" spans="1:17" ht="15" customHeight="1" x14ac:dyDescent="0.3">
      <c r="A5157" s="23" t="s">
        <v>18352</v>
      </c>
      <c r="B5157" s="23"/>
      <c r="C5157" s="23" t="s">
        <v>3687</v>
      </c>
      <c r="D5157" s="23" t="str">
        <f t="shared" si="240"/>
        <v>ORD26001600</v>
      </c>
      <c r="E5157" s="38">
        <v>46293</v>
      </c>
      <c r="F5157" s="23" t="s">
        <v>12410</v>
      </c>
      <c r="G5157" s="23" t="s">
        <v>75</v>
      </c>
      <c r="H5157" s="24">
        <v>4999</v>
      </c>
      <c r="I5157" s="24">
        <v>15</v>
      </c>
      <c r="J5157" s="24">
        <v>2.7</v>
      </c>
      <c r="K5157" s="24">
        <v>4981.3</v>
      </c>
      <c r="L5157" s="38">
        <v>46295</v>
      </c>
      <c r="M5157" s="23" t="s">
        <v>231</v>
      </c>
      <c r="N5157" s="23" t="str">
        <f>IF(COUNTIF($A$2:A5157,A5157)&gt;1,"DUP","OK")</f>
        <v>OK</v>
      </c>
      <c r="O5157" s="23" t="str">
        <f t="shared" si="241"/>
        <v>ORD26001600</v>
      </c>
      <c r="P5157" s="23" t="str">
        <f t="shared" si="242"/>
        <v>Sep</v>
      </c>
      <c r="Q5157" s="23" t="str">
        <f>IF(F5157="CAPTURE",IF(COUNTIF(orders!$A:$A,O5157)&gt;0,"Yes","NO ORDER"),"")</f>
        <v>Yes</v>
      </c>
    </row>
    <row r="5158" spans="1:17" ht="15" customHeight="1" x14ac:dyDescent="0.3">
      <c r="A5158" s="23" t="s">
        <v>18353</v>
      </c>
      <c r="B5158" s="23"/>
      <c r="C5158" s="23" t="s">
        <v>3711</v>
      </c>
      <c r="D5158" s="23" t="str">
        <f t="shared" si="240"/>
        <v>ORD26001612</v>
      </c>
      <c r="E5158" s="38">
        <v>46293</v>
      </c>
      <c r="F5158" s="23" t="s">
        <v>12410</v>
      </c>
      <c r="G5158" s="23" t="s">
        <v>77</v>
      </c>
      <c r="H5158" s="24">
        <v>3499</v>
      </c>
      <c r="I5158" s="24">
        <v>59.48</v>
      </c>
      <c r="J5158" s="24">
        <v>10.71</v>
      </c>
      <c r="K5158" s="24">
        <v>3428.81</v>
      </c>
      <c r="L5158" s="38">
        <v>46295</v>
      </c>
      <c r="M5158" s="23" t="s">
        <v>231</v>
      </c>
      <c r="N5158" s="23" t="str">
        <f>IF(COUNTIF($A$2:A5158,A5158)&gt;1,"DUP","OK")</f>
        <v>OK</v>
      </c>
      <c r="O5158" s="23" t="str">
        <f t="shared" si="241"/>
        <v>ORD26001612</v>
      </c>
      <c r="P5158" s="23" t="str">
        <f t="shared" si="242"/>
        <v>Sep</v>
      </c>
      <c r="Q5158" s="23" t="str">
        <f>IF(F5158="CAPTURE",IF(COUNTIF(orders!$A:$A,O5158)&gt;0,"Yes","NO ORDER"),"")</f>
        <v>Yes</v>
      </c>
    </row>
    <row r="5159" spans="1:17" ht="15" customHeight="1" x14ac:dyDescent="0.3">
      <c r="A5159" s="23" t="s">
        <v>18354</v>
      </c>
      <c r="B5159" s="23"/>
      <c r="C5159" s="23" t="s">
        <v>3731</v>
      </c>
      <c r="D5159" s="23" t="str">
        <f t="shared" si="240"/>
        <v>ORD26001622</v>
      </c>
      <c r="E5159" s="38">
        <v>46293</v>
      </c>
      <c r="F5159" s="23" t="s">
        <v>12410</v>
      </c>
      <c r="G5159" s="23" t="s">
        <v>77</v>
      </c>
      <c r="H5159" s="24">
        <v>3598</v>
      </c>
      <c r="I5159" s="24">
        <v>61.17</v>
      </c>
      <c r="J5159" s="24">
        <v>11.01</v>
      </c>
      <c r="K5159" s="24">
        <v>3525.82</v>
      </c>
      <c r="L5159" s="38">
        <v>46295</v>
      </c>
      <c r="M5159" s="23" t="s">
        <v>231</v>
      </c>
      <c r="N5159" s="23" t="str">
        <f>IF(COUNTIF($A$2:A5159,A5159)&gt;1,"DUP","OK")</f>
        <v>OK</v>
      </c>
      <c r="O5159" s="23" t="str">
        <f t="shared" si="241"/>
        <v>ORD26001622</v>
      </c>
      <c r="P5159" s="23" t="str">
        <f t="shared" si="242"/>
        <v>Sep</v>
      </c>
      <c r="Q5159" s="23" t="str">
        <f>IF(F5159="CAPTURE",IF(COUNTIF(orders!$A:$A,O5159)&gt;0,"Yes","NO ORDER"),"")</f>
        <v>Yes</v>
      </c>
    </row>
    <row r="5160" spans="1:17" ht="15" customHeight="1" x14ac:dyDescent="0.3">
      <c r="A5160" s="23" t="s">
        <v>18355</v>
      </c>
      <c r="B5160" s="23"/>
      <c r="C5160" s="23" t="s">
        <v>18356</v>
      </c>
      <c r="D5160" s="23" t="str">
        <f t="shared" si="240"/>
        <v>ORD26001662</v>
      </c>
      <c r="E5160" s="38">
        <v>46293</v>
      </c>
      <c r="F5160" s="23" t="s">
        <v>12410</v>
      </c>
      <c r="G5160" s="23" t="s">
        <v>75</v>
      </c>
      <c r="H5160" s="24">
        <v>499</v>
      </c>
      <c r="I5160" s="24">
        <v>0</v>
      </c>
      <c r="J5160" s="24">
        <v>0</v>
      </c>
      <c r="K5160" s="24">
        <v>499</v>
      </c>
      <c r="L5160" s="38">
        <v>46295</v>
      </c>
      <c r="M5160" s="23" t="s">
        <v>231</v>
      </c>
      <c r="N5160" s="23" t="str">
        <f>IF(COUNTIF($A$2:A5160,A5160)&gt;1,"DUP","OK")</f>
        <v>OK</v>
      </c>
      <c r="O5160" s="23" t="str">
        <f t="shared" si="241"/>
        <v>ORD26001662</v>
      </c>
      <c r="P5160" s="23" t="str">
        <f t="shared" si="242"/>
        <v>Sep</v>
      </c>
      <c r="Q5160" s="23" t="str">
        <f>IF(F5160="CAPTURE",IF(COUNTIF(orders!$A:$A,O5160)&gt;0,"Yes","NO ORDER"),"")</f>
        <v>Yes</v>
      </c>
    </row>
    <row r="5161" spans="1:17" ht="15" customHeight="1" x14ac:dyDescent="0.3">
      <c r="A5161" s="23" t="s">
        <v>18357</v>
      </c>
      <c r="B5161" s="23"/>
      <c r="C5161" s="23" t="s">
        <v>4181</v>
      </c>
      <c r="D5161" s="23" t="str">
        <f t="shared" si="240"/>
        <v>ORD26001848</v>
      </c>
      <c r="E5161" s="38">
        <v>46293</v>
      </c>
      <c r="F5161" s="23" t="s">
        <v>12410</v>
      </c>
      <c r="G5161" s="23" t="s">
        <v>75</v>
      </c>
      <c r="H5161" s="24">
        <v>6397</v>
      </c>
      <c r="I5161" s="24">
        <v>19.190000000000001</v>
      </c>
      <c r="J5161" s="24">
        <v>3.45</v>
      </c>
      <c r="K5161" s="24">
        <v>6374.36</v>
      </c>
      <c r="L5161" s="38">
        <v>46295</v>
      </c>
      <c r="M5161" s="23" t="s">
        <v>231</v>
      </c>
      <c r="N5161" s="23" t="str">
        <f>IF(COUNTIF($A$2:A5161,A5161)&gt;1,"DUP","OK")</f>
        <v>OK</v>
      </c>
      <c r="O5161" s="23" t="str">
        <f t="shared" si="241"/>
        <v>ORD26001848</v>
      </c>
      <c r="P5161" s="23" t="str">
        <f t="shared" si="242"/>
        <v>Sep</v>
      </c>
      <c r="Q5161" s="23" t="str">
        <f>IF(F5161="CAPTURE",IF(COUNTIF(orders!$A:$A,O5161)&gt;0,"Yes","NO ORDER"),"")</f>
        <v>Yes</v>
      </c>
    </row>
    <row r="5162" spans="1:17" ht="15" customHeight="1" x14ac:dyDescent="0.3">
      <c r="A5162" s="23" t="s">
        <v>18358</v>
      </c>
      <c r="B5162" s="23"/>
      <c r="C5162" s="23" t="s">
        <v>4275</v>
      </c>
      <c r="D5162" s="23" t="str">
        <f t="shared" si="240"/>
        <v>ORD26001894</v>
      </c>
      <c r="E5162" s="38">
        <v>46293</v>
      </c>
      <c r="F5162" s="23" t="s">
        <v>12410</v>
      </c>
      <c r="G5162" s="23" t="s">
        <v>75</v>
      </c>
      <c r="H5162" s="24">
        <v>7999</v>
      </c>
      <c r="I5162" s="24">
        <v>24</v>
      </c>
      <c r="J5162" s="24">
        <v>4.32</v>
      </c>
      <c r="K5162" s="24">
        <v>7970.68</v>
      </c>
      <c r="L5162" s="38">
        <v>46295</v>
      </c>
      <c r="M5162" s="23" t="s">
        <v>231</v>
      </c>
      <c r="N5162" s="23" t="str">
        <f>IF(COUNTIF($A$2:A5162,A5162)&gt;1,"DUP","OK")</f>
        <v>OK</v>
      </c>
      <c r="O5162" s="23" t="str">
        <f t="shared" si="241"/>
        <v>ORD26001894</v>
      </c>
      <c r="P5162" s="23" t="str">
        <f t="shared" si="242"/>
        <v>Sep</v>
      </c>
      <c r="Q5162" s="23" t="str">
        <f>IF(F5162="CAPTURE",IF(COUNTIF(orders!$A:$A,O5162)&gt;0,"Yes","NO ORDER"),"")</f>
        <v>Yes</v>
      </c>
    </row>
    <row r="5163" spans="1:17" ht="15" customHeight="1" x14ac:dyDescent="0.3">
      <c r="A5163" s="23" t="s">
        <v>18359</v>
      </c>
      <c r="B5163" s="23"/>
      <c r="C5163" s="23" t="s">
        <v>4285</v>
      </c>
      <c r="D5163" s="23" t="str">
        <f t="shared" si="240"/>
        <v>ORD26001899</v>
      </c>
      <c r="E5163" s="38">
        <v>46293</v>
      </c>
      <c r="F5163" s="23" t="s">
        <v>12410</v>
      </c>
      <c r="G5163" s="23" t="s">
        <v>77</v>
      </c>
      <c r="H5163" s="24">
        <v>12497</v>
      </c>
      <c r="I5163" s="24">
        <v>212.45</v>
      </c>
      <c r="J5163" s="24">
        <v>38.24</v>
      </c>
      <c r="K5163" s="24">
        <v>12246.31</v>
      </c>
      <c r="L5163" s="38">
        <v>46295</v>
      </c>
      <c r="M5163" s="23" t="s">
        <v>231</v>
      </c>
      <c r="N5163" s="23" t="str">
        <f>IF(COUNTIF($A$2:A5163,A5163)&gt;1,"DUP","OK")</f>
        <v>OK</v>
      </c>
      <c r="O5163" s="23" t="str">
        <f t="shared" si="241"/>
        <v>ORD26001899</v>
      </c>
      <c r="P5163" s="23" t="str">
        <f t="shared" si="242"/>
        <v>Sep</v>
      </c>
      <c r="Q5163" s="23" t="str">
        <f>IF(F5163="CAPTURE",IF(COUNTIF(orders!$A:$A,O5163)&gt;0,"Yes","NO ORDER"),"")</f>
        <v>Yes</v>
      </c>
    </row>
    <row r="5164" spans="1:17" ht="15" customHeight="1" x14ac:dyDescent="0.3">
      <c r="A5164" s="23" t="s">
        <v>18360</v>
      </c>
      <c r="B5164" s="23"/>
      <c r="C5164" s="23" t="s">
        <v>4344</v>
      </c>
      <c r="D5164" s="23" t="str">
        <f t="shared" si="240"/>
        <v>ORD26001927</v>
      </c>
      <c r="E5164" s="38">
        <v>46293</v>
      </c>
      <c r="F5164" s="23" t="s">
        <v>12410</v>
      </c>
      <c r="G5164" s="23" t="s">
        <v>75</v>
      </c>
      <c r="H5164" s="24">
        <v>299</v>
      </c>
      <c r="I5164" s="24">
        <v>0</v>
      </c>
      <c r="J5164" s="24">
        <v>0</v>
      </c>
      <c r="K5164" s="24">
        <v>299</v>
      </c>
      <c r="L5164" s="38">
        <v>46295</v>
      </c>
      <c r="M5164" s="23" t="s">
        <v>231</v>
      </c>
      <c r="N5164" s="23" t="str">
        <f>IF(COUNTIF($A$2:A5164,A5164)&gt;1,"DUP","OK")</f>
        <v>OK</v>
      </c>
      <c r="O5164" s="23" t="str">
        <f t="shared" si="241"/>
        <v>ORD26001927</v>
      </c>
      <c r="P5164" s="23" t="str">
        <f t="shared" si="242"/>
        <v>Sep</v>
      </c>
      <c r="Q5164" s="23" t="str">
        <f>IF(F5164="CAPTURE",IF(COUNTIF(orders!$A:$A,O5164)&gt;0,"Yes","NO ORDER"),"")</f>
        <v>Yes</v>
      </c>
    </row>
    <row r="5165" spans="1:17" ht="15" customHeight="1" x14ac:dyDescent="0.3">
      <c r="A5165" s="23" t="s">
        <v>18361</v>
      </c>
      <c r="B5165" s="23"/>
      <c r="C5165" s="23" t="s">
        <v>4583</v>
      </c>
      <c r="D5165" s="23" t="str">
        <f t="shared" si="240"/>
        <v>ORD26002046</v>
      </c>
      <c r="E5165" s="38">
        <v>46293</v>
      </c>
      <c r="F5165" s="23" t="s">
        <v>12410</v>
      </c>
      <c r="G5165" s="23" t="s">
        <v>75</v>
      </c>
      <c r="H5165" s="24">
        <v>4999</v>
      </c>
      <c r="I5165" s="24">
        <v>15</v>
      </c>
      <c r="J5165" s="24">
        <v>2.7</v>
      </c>
      <c r="K5165" s="24">
        <v>4981.3</v>
      </c>
      <c r="L5165" s="38">
        <v>46295</v>
      </c>
      <c r="M5165" s="23" t="s">
        <v>231</v>
      </c>
      <c r="N5165" s="23" t="str">
        <f>IF(COUNTIF($A$2:A5165,A5165)&gt;1,"DUP","OK")</f>
        <v>OK</v>
      </c>
      <c r="O5165" s="23" t="str">
        <f t="shared" si="241"/>
        <v>ORD26002046</v>
      </c>
      <c r="P5165" s="23" t="str">
        <f t="shared" si="242"/>
        <v>Sep</v>
      </c>
      <c r="Q5165" s="23" t="str">
        <f>IF(F5165="CAPTURE",IF(COUNTIF(orders!$A:$A,O5165)&gt;0,"Yes","NO ORDER"),"")</f>
        <v>Yes</v>
      </c>
    </row>
    <row r="5166" spans="1:17" ht="15" customHeight="1" x14ac:dyDescent="0.3">
      <c r="A5166" s="23" t="s">
        <v>18362</v>
      </c>
      <c r="B5166" s="23"/>
      <c r="C5166" s="23" t="s">
        <v>4585</v>
      </c>
      <c r="D5166" s="23" t="str">
        <f t="shared" si="240"/>
        <v>ORD26002047</v>
      </c>
      <c r="E5166" s="38">
        <v>46293</v>
      </c>
      <c r="F5166" s="23" t="s">
        <v>12410</v>
      </c>
      <c r="G5166" s="23" t="s">
        <v>75</v>
      </c>
      <c r="H5166" s="24">
        <v>599</v>
      </c>
      <c r="I5166" s="24">
        <v>0</v>
      </c>
      <c r="J5166" s="24">
        <v>0</v>
      </c>
      <c r="K5166" s="24">
        <v>599</v>
      </c>
      <c r="L5166" s="38">
        <v>46295</v>
      </c>
      <c r="M5166" s="23" t="s">
        <v>231</v>
      </c>
      <c r="N5166" s="23" t="str">
        <f>IF(COUNTIF($A$2:A5166,A5166)&gt;1,"DUP","OK")</f>
        <v>OK</v>
      </c>
      <c r="O5166" s="23" t="str">
        <f t="shared" si="241"/>
        <v>ORD26002047</v>
      </c>
      <c r="P5166" s="23" t="str">
        <f t="shared" si="242"/>
        <v>Sep</v>
      </c>
      <c r="Q5166" s="23" t="str">
        <f>IF(F5166="CAPTURE",IF(COUNTIF(orders!$A:$A,O5166)&gt;0,"Yes","NO ORDER"),"")</f>
        <v>Yes</v>
      </c>
    </row>
    <row r="5167" spans="1:17" ht="15" customHeight="1" x14ac:dyDescent="0.3">
      <c r="A5167" s="23" t="s">
        <v>18363</v>
      </c>
      <c r="B5167" s="23"/>
      <c r="C5167" s="23" t="s">
        <v>4589</v>
      </c>
      <c r="D5167" s="23" t="str">
        <f t="shared" si="240"/>
        <v>ORD26002049</v>
      </c>
      <c r="E5167" s="38">
        <v>46293</v>
      </c>
      <c r="F5167" s="23" t="s">
        <v>12410</v>
      </c>
      <c r="G5167" s="23" t="s">
        <v>81</v>
      </c>
      <c r="H5167" s="24">
        <v>1798</v>
      </c>
      <c r="I5167" s="24">
        <v>26.97</v>
      </c>
      <c r="J5167" s="24">
        <v>4.8499999999999996</v>
      </c>
      <c r="K5167" s="24">
        <v>1766.18</v>
      </c>
      <c r="L5167" s="38">
        <v>46295</v>
      </c>
      <c r="M5167" s="23" t="s">
        <v>231</v>
      </c>
      <c r="N5167" s="23" t="str">
        <f>IF(COUNTIF($A$2:A5167,A5167)&gt;1,"DUP","OK")</f>
        <v>OK</v>
      </c>
      <c r="O5167" s="23" t="str">
        <f t="shared" si="241"/>
        <v>ORD26002049</v>
      </c>
      <c r="P5167" s="23" t="str">
        <f t="shared" si="242"/>
        <v>Sep</v>
      </c>
      <c r="Q5167" s="23" t="str">
        <f>IF(F5167="CAPTURE",IF(COUNTIF(orders!$A:$A,O5167)&gt;0,"Yes","NO ORDER"),"")</f>
        <v>Yes</v>
      </c>
    </row>
    <row r="5168" spans="1:17" ht="15" customHeight="1" x14ac:dyDescent="0.3">
      <c r="A5168" s="23" t="s">
        <v>18364</v>
      </c>
      <c r="B5168" s="23"/>
      <c r="C5168" s="23" t="s">
        <v>4601</v>
      </c>
      <c r="D5168" s="23" t="str">
        <f t="shared" si="240"/>
        <v>ORD26002055</v>
      </c>
      <c r="E5168" s="38">
        <v>46293</v>
      </c>
      <c r="F5168" s="23" t="s">
        <v>12410</v>
      </c>
      <c r="G5168" s="23" t="s">
        <v>75</v>
      </c>
      <c r="H5168" s="24">
        <v>999</v>
      </c>
      <c r="I5168" s="24">
        <v>0</v>
      </c>
      <c r="J5168" s="24">
        <v>0</v>
      </c>
      <c r="K5168" s="24">
        <v>999</v>
      </c>
      <c r="L5168" s="38">
        <v>46295</v>
      </c>
      <c r="M5168" s="23" t="s">
        <v>231</v>
      </c>
      <c r="N5168" s="23" t="str">
        <f>IF(COUNTIF($A$2:A5168,A5168)&gt;1,"DUP","OK")</f>
        <v>OK</v>
      </c>
      <c r="O5168" s="23" t="str">
        <f t="shared" si="241"/>
        <v>ORD26002055</v>
      </c>
      <c r="P5168" s="23" t="str">
        <f t="shared" si="242"/>
        <v>Sep</v>
      </c>
      <c r="Q5168" s="23" t="str">
        <f>IF(F5168="CAPTURE",IF(COUNTIF(orders!$A:$A,O5168)&gt;0,"Yes","NO ORDER"),"")</f>
        <v>Yes</v>
      </c>
    </row>
    <row r="5169" spans="1:17" ht="15" customHeight="1" x14ac:dyDescent="0.3">
      <c r="A5169" s="23" t="s">
        <v>18365</v>
      </c>
      <c r="B5169" s="23"/>
      <c r="C5169" s="23" t="s">
        <v>4640</v>
      </c>
      <c r="D5169" s="23" t="str">
        <f t="shared" si="240"/>
        <v>ORD26002074</v>
      </c>
      <c r="E5169" s="38">
        <v>46293</v>
      </c>
      <c r="F5169" s="23" t="s">
        <v>12410</v>
      </c>
      <c r="G5169" s="23" t="s">
        <v>75</v>
      </c>
      <c r="H5169" s="24">
        <v>499</v>
      </c>
      <c r="I5169" s="24">
        <v>0</v>
      </c>
      <c r="J5169" s="24">
        <v>0</v>
      </c>
      <c r="K5169" s="24">
        <v>499</v>
      </c>
      <c r="L5169" s="38">
        <v>46295</v>
      </c>
      <c r="M5169" s="23" t="s">
        <v>231</v>
      </c>
      <c r="N5169" s="23" t="str">
        <f>IF(COUNTIF($A$2:A5169,A5169)&gt;1,"DUP","OK")</f>
        <v>OK</v>
      </c>
      <c r="O5169" s="23" t="str">
        <f t="shared" si="241"/>
        <v>ORD26002074</v>
      </c>
      <c r="P5169" s="23" t="str">
        <f t="shared" si="242"/>
        <v>Sep</v>
      </c>
      <c r="Q5169" s="23" t="str">
        <f>IF(F5169="CAPTURE",IF(COUNTIF(orders!$A:$A,O5169)&gt;0,"Yes","NO ORDER"),"")</f>
        <v>Yes</v>
      </c>
    </row>
    <row r="5170" spans="1:17" ht="15" customHeight="1" x14ac:dyDescent="0.3">
      <c r="A5170" s="23" t="s">
        <v>18366</v>
      </c>
      <c r="B5170" s="23"/>
      <c r="C5170" s="23" t="s">
        <v>4642</v>
      </c>
      <c r="D5170" s="23" t="str">
        <f t="shared" si="240"/>
        <v>ORD26002075</v>
      </c>
      <c r="E5170" s="38">
        <v>46293</v>
      </c>
      <c r="F5170" s="23" t="s">
        <v>12410</v>
      </c>
      <c r="G5170" s="23" t="s">
        <v>81</v>
      </c>
      <c r="H5170" s="24">
        <v>599</v>
      </c>
      <c r="I5170" s="24">
        <v>8.99</v>
      </c>
      <c r="J5170" s="24">
        <v>1.62</v>
      </c>
      <c r="K5170" s="24">
        <v>588.39</v>
      </c>
      <c r="L5170" s="38">
        <v>46295</v>
      </c>
      <c r="M5170" s="23" t="s">
        <v>231</v>
      </c>
      <c r="N5170" s="23" t="str">
        <f>IF(COUNTIF($A$2:A5170,A5170)&gt;1,"DUP","OK")</f>
        <v>OK</v>
      </c>
      <c r="O5170" s="23" t="str">
        <f t="shared" si="241"/>
        <v>ORD26002075</v>
      </c>
      <c r="P5170" s="23" t="str">
        <f t="shared" si="242"/>
        <v>Sep</v>
      </c>
      <c r="Q5170" s="23" t="str">
        <f>IF(F5170="CAPTURE",IF(COUNTIF(orders!$A:$A,O5170)&gt;0,"Yes","NO ORDER"),"")</f>
        <v>Yes</v>
      </c>
    </row>
    <row r="5171" spans="1:17" ht="15" customHeight="1" x14ac:dyDescent="0.3">
      <c r="A5171" s="23" t="s">
        <v>18367</v>
      </c>
      <c r="B5171" s="23"/>
      <c r="C5171" s="23" t="s">
        <v>4691</v>
      </c>
      <c r="D5171" s="23" t="str">
        <f t="shared" si="240"/>
        <v>ORD26002100</v>
      </c>
      <c r="E5171" s="38">
        <v>46293</v>
      </c>
      <c r="F5171" s="23" t="s">
        <v>12410</v>
      </c>
      <c r="G5171" s="23" t="s">
        <v>75</v>
      </c>
      <c r="H5171" s="24">
        <v>7999</v>
      </c>
      <c r="I5171" s="24">
        <v>24</v>
      </c>
      <c r="J5171" s="24">
        <v>4.32</v>
      </c>
      <c r="K5171" s="24">
        <v>7970.68</v>
      </c>
      <c r="L5171" s="38">
        <v>46295</v>
      </c>
      <c r="M5171" s="23" t="s">
        <v>231</v>
      </c>
      <c r="N5171" s="23" t="str">
        <f>IF(COUNTIF($A$2:A5171,A5171)&gt;1,"DUP","OK")</f>
        <v>OK</v>
      </c>
      <c r="O5171" s="23" t="str">
        <f t="shared" si="241"/>
        <v>ORD26002100</v>
      </c>
      <c r="P5171" s="23" t="str">
        <f t="shared" si="242"/>
        <v>Sep</v>
      </c>
      <c r="Q5171" s="23" t="str">
        <f>IF(F5171="CAPTURE",IF(COUNTIF(orders!$A:$A,O5171)&gt;0,"Yes","NO ORDER"),"")</f>
        <v>Yes</v>
      </c>
    </row>
    <row r="5172" spans="1:17" ht="15" customHeight="1" x14ac:dyDescent="0.3">
      <c r="A5172" s="23" t="s">
        <v>18368</v>
      </c>
      <c r="B5172" s="23"/>
      <c r="C5172" s="23" t="s">
        <v>4728</v>
      </c>
      <c r="D5172" s="23" t="str">
        <f t="shared" si="240"/>
        <v>ORD26002119</v>
      </c>
      <c r="E5172" s="38">
        <v>46293</v>
      </c>
      <c r="F5172" s="23" t="s">
        <v>12410</v>
      </c>
      <c r="G5172" s="23" t="s">
        <v>75</v>
      </c>
      <c r="H5172" s="24">
        <v>499</v>
      </c>
      <c r="I5172" s="24">
        <v>0</v>
      </c>
      <c r="J5172" s="24">
        <v>0</v>
      </c>
      <c r="K5172" s="24">
        <v>499</v>
      </c>
      <c r="L5172" s="38">
        <v>46295</v>
      </c>
      <c r="M5172" s="23" t="s">
        <v>231</v>
      </c>
      <c r="N5172" s="23" t="str">
        <f>IF(COUNTIF($A$2:A5172,A5172)&gt;1,"DUP","OK")</f>
        <v>OK</v>
      </c>
      <c r="O5172" s="23" t="str">
        <f t="shared" si="241"/>
        <v>ORD26002119</v>
      </c>
      <c r="P5172" s="23" t="str">
        <f t="shared" si="242"/>
        <v>Sep</v>
      </c>
      <c r="Q5172" s="23" t="str">
        <f>IF(F5172="CAPTURE",IF(COUNTIF(orders!$A:$A,O5172)&gt;0,"Yes","NO ORDER"),"")</f>
        <v>Yes</v>
      </c>
    </row>
    <row r="5173" spans="1:17" ht="15" customHeight="1" x14ac:dyDescent="0.3">
      <c r="A5173" s="23" t="s">
        <v>18369</v>
      </c>
      <c r="B5173" s="23"/>
      <c r="C5173" s="23" t="s">
        <v>4746</v>
      </c>
      <c r="D5173" s="23" t="str">
        <f t="shared" si="240"/>
        <v>ORD26002128</v>
      </c>
      <c r="E5173" s="38">
        <v>46293</v>
      </c>
      <c r="F5173" s="23" t="s">
        <v>12410</v>
      </c>
      <c r="G5173" s="23" t="s">
        <v>75</v>
      </c>
      <c r="H5173" s="24">
        <v>7397</v>
      </c>
      <c r="I5173" s="24">
        <v>22.19</v>
      </c>
      <c r="J5173" s="24">
        <v>3.99</v>
      </c>
      <c r="K5173" s="24">
        <v>7370.82</v>
      </c>
      <c r="L5173" s="38">
        <v>46295</v>
      </c>
      <c r="M5173" s="23" t="s">
        <v>231</v>
      </c>
      <c r="N5173" s="23" t="str">
        <f>IF(COUNTIF($A$2:A5173,A5173)&gt;1,"DUP","OK")</f>
        <v>OK</v>
      </c>
      <c r="O5173" s="23" t="str">
        <f t="shared" si="241"/>
        <v>ORD26002128</v>
      </c>
      <c r="P5173" s="23" t="str">
        <f t="shared" si="242"/>
        <v>Sep</v>
      </c>
      <c r="Q5173" s="23" t="str">
        <f>IF(F5173="CAPTURE",IF(COUNTIF(orders!$A:$A,O5173)&gt;0,"Yes","NO ORDER"),"")</f>
        <v>Yes</v>
      </c>
    </row>
    <row r="5174" spans="1:17" ht="15" customHeight="1" x14ac:dyDescent="0.3">
      <c r="A5174" s="23" t="s">
        <v>18370</v>
      </c>
      <c r="B5174" s="23"/>
      <c r="C5174" s="23" t="s">
        <v>4764</v>
      </c>
      <c r="D5174" s="23" t="str">
        <f t="shared" si="240"/>
        <v>ORD26002137</v>
      </c>
      <c r="E5174" s="38">
        <v>46293</v>
      </c>
      <c r="F5174" s="23" t="s">
        <v>12410</v>
      </c>
      <c r="G5174" s="23" t="s">
        <v>79</v>
      </c>
      <c r="H5174" s="24">
        <v>2499</v>
      </c>
      <c r="I5174" s="24">
        <v>39.979999999999997</v>
      </c>
      <c r="J5174" s="24">
        <v>7.2</v>
      </c>
      <c r="K5174" s="24">
        <v>2451.8200000000002</v>
      </c>
      <c r="L5174" s="38">
        <v>46295</v>
      </c>
      <c r="M5174" s="23" t="s">
        <v>231</v>
      </c>
      <c r="N5174" s="23" t="str">
        <f>IF(COUNTIF($A$2:A5174,A5174)&gt;1,"DUP","OK")</f>
        <v>OK</v>
      </c>
      <c r="O5174" s="23" t="str">
        <f t="shared" si="241"/>
        <v>ORD26002137</v>
      </c>
      <c r="P5174" s="23" t="str">
        <f t="shared" si="242"/>
        <v>Sep</v>
      </c>
      <c r="Q5174" s="23" t="str">
        <f>IF(F5174="CAPTURE",IF(COUNTIF(orders!$A:$A,O5174)&gt;0,"Yes","NO ORDER"),"")</f>
        <v>Yes</v>
      </c>
    </row>
    <row r="5175" spans="1:17" ht="15" customHeight="1" x14ac:dyDescent="0.3">
      <c r="A5175" s="23" t="s">
        <v>18371</v>
      </c>
      <c r="B5175" s="23"/>
      <c r="C5175" s="23" t="s">
        <v>4926</v>
      </c>
      <c r="D5175" s="23" t="str">
        <f t="shared" si="240"/>
        <v>ORD26002217</v>
      </c>
      <c r="E5175" s="38">
        <v>46293</v>
      </c>
      <c r="F5175" s="23" t="s">
        <v>12410</v>
      </c>
      <c r="G5175" s="23" t="s">
        <v>77</v>
      </c>
      <c r="H5175" s="24">
        <v>599</v>
      </c>
      <c r="I5175" s="24">
        <v>11.38</v>
      </c>
      <c r="J5175" s="24">
        <v>2.0499999999999998</v>
      </c>
      <c r="K5175" s="24">
        <v>585.57000000000005</v>
      </c>
      <c r="L5175" s="38">
        <v>46295</v>
      </c>
      <c r="M5175" s="23" t="s">
        <v>231</v>
      </c>
      <c r="N5175" s="23" t="str">
        <f>IF(COUNTIF($A$2:A5175,A5175)&gt;1,"DUP","OK")</f>
        <v>OK</v>
      </c>
      <c r="O5175" s="23" t="str">
        <f t="shared" si="241"/>
        <v>ORD26002217</v>
      </c>
      <c r="P5175" s="23" t="str">
        <f t="shared" si="242"/>
        <v>Sep</v>
      </c>
      <c r="Q5175" s="23" t="str">
        <f>IF(F5175="CAPTURE",IF(COUNTIF(orders!$A:$A,O5175)&gt;0,"Yes","NO ORDER"),"")</f>
        <v>Yes</v>
      </c>
    </row>
    <row r="5176" spans="1:17" ht="15" customHeight="1" x14ac:dyDescent="0.3">
      <c r="A5176" s="23" t="s">
        <v>18372</v>
      </c>
      <c r="B5176" s="23"/>
      <c r="C5176" s="23" t="s">
        <v>4942</v>
      </c>
      <c r="D5176" s="23" t="str">
        <f t="shared" si="240"/>
        <v>ORD26002225</v>
      </c>
      <c r="E5176" s="38">
        <v>46293</v>
      </c>
      <c r="F5176" s="23" t="s">
        <v>12410</v>
      </c>
      <c r="G5176" s="23" t="s">
        <v>81</v>
      </c>
      <c r="H5176" s="24">
        <v>648</v>
      </c>
      <c r="I5176" s="24">
        <v>9.7200000000000006</v>
      </c>
      <c r="J5176" s="24">
        <v>1.75</v>
      </c>
      <c r="K5176" s="24">
        <v>636.53</v>
      </c>
      <c r="L5176" s="38">
        <v>46295</v>
      </c>
      <c r="M5176" s="23" t="s">
        <v>231</v>
      </c>
      <c r="N5176" s="23" t="str">
        <f>IF(COUNTIF($A$2:A5176,A5176)&gt;1,"DUP","OK")</f>
        <v>OK</v>
      </c>
      <c r="O5176" s="23" t="str">
        <f t="shared" si="241"/>
        <v>ORD26002225</v>
      </c>
      <c r="P5176" s="23" t="str">
        <f t="shared" si="242"/>
        <v>Sep</v>
      </c>
      <c r="Q5176" s="23" t="str">
        <f>IF(F5176="CAPTURE",IF(COUNTIF(orders!$A:$A,O5176)&gt;0,"Yes","NO ORDER"),"")</f>
        <v>Yes</v>
      </c>
    </row>
    <row r="5177" spans="1:17" ht="15" customHeight="1" x14ac:dyDescent="0.3">
      <c r="A5177" s="23" t="s">
        <v>18373</v>
      </c>
      <c r="B5177" s="23"/>
      <c r="C5177" s="23" t="s">
        <v>4946</v>
      </c>
      <c r="D5177" s="23" t="str">
        <f t="shared" si="240"/>
        <v>ORD26002227</v>
      </c>
      <c r="E5177" s="38">
        <v>46293</v>
      </c>
      <c r="F5177" s="23" t="s">
        <v>12410</v>
      </c>
      <c r="G5177" s="23" t="s">
        <v>79</v>
      </c>
      <c r="H5177" s="24">
        <v>299</v>
      </c>
      <c r="I5177" s="24">
        <v>5.38</v>
      </c>
      <c r="J5177" s="24">
        <v>0.97</v>
      </c>
      <c r="K5177" s="24">
        <v>292.64999999999998</v>
      </c>
      <c r="L5177" s="38">
        <v>46295</v>
      </c>
      <c r="M5177" s="23" t="s">
        <v>231</v>
      </c>
      <c r="N5177" s="23" t="str">
        <f>IF(COUNTIF($A$2:A5177,A5177)&gt;1,"DUP","OK")</f>
        <v>OK</v>
      </c>
      <c r="O5177" s="23" t="str">
        <f t="shared" si="241"/>
        <v>ORD26002227</v>
      </c>
      <c r="P5177" s="23" t="str">
        <f t="shared" si="242"/>
        <v>Sep</v>
      </c>
      <c r="Q5177" s="23" t="str">
        <f>IF(F5177="CAPTURE",IF(COUNTIF(orders!$A:$A,O5177)&gt;0,"Yes","NO ORDER"),"")</f>
        <v>Yes</v>
      </c>
    </row>
    <row r="5178" spans="1:17" ht="15" customHeight="1" x14ac:dyDescent="0.3">
      <c r="A5178" s="23" t="s">
        <v>18374</v>
      </c>
      <c r="B5178" s="23"/>
      <c r="C5178" s="23" t="s">
        <v>4963</v>
      </c>
      <c r="D5178" s="23" t="str">
        <f t="shared" si="240"/>
        <v>ORD26002235</v>
      </c>
      <c r="E5178" s="38">
        <v>46293</v>
      </c>
      <c r="F5178" s="23" t="s">
        <v>12410</v>
      </c>
      <c r="G5178" s="23" t="s">
        <v>75</v>
      </c>
      <c r="H5178" s="24">
        <v>4999</v>
      </c>
      <c r="I5178" s="24">
        <v>15</v>
      </c>
      <c r="J5178" s="24">
        <v>2.7</v>
      </c>
      <c r="K5178" s="24">
        <v>4981.3</v>
      </c>
      <c r="L5178" s="38">
        <v>46295</v>
      </c>
      <c r="M5178" s="23" t="s">
        <v>231</v>
      </c>
      <c r="N5178" s="23" t="str">
        <f>IF(COUNTIF($A$2:A5178,A5178)&gt;1,"DUP","OK")</f>
        <v>OK</v>
      </c>
      <c r="O5178" s="23" t="str">
        <f t="shared" si="241"/>
        <v>ORD26002235</v>
      </c>
      <c r="P5178" s="23" t="str">
        <f t="shared" si="242"/>
        <v>Sep</v>
      </c>
      <c r="Q5178" s="23" t="str">
        <f>IF(F5178="CAPTURE",IF(COUNTIF(orders!$A:$A,O5178)&gt;0,"Yes","NO ORDER"),"")</f>
        <v>Yes</v>
      </c>
    </row>
    <row r="5179" spans="1:17" ht="15" customHeight="1" x14ac:dyDescent="0.3">
      <c r="A5179" s="23" t="s">
        <v>18375</v>
      </c>
      <c r="B5179" s="23"/>
      <c r="C5179" s="23" t="s">
        <v>4981</v>
      </c>
      <c r="D5179" s="23" t="str">
        <f t="shared" si="240"/>
        <v>ORD26002244</v>
      </c>
      <c r="E5179" s="38">
        <v>46293</v>
      </c>
      <c r="F5179" s="23" t="s">
        <v>12410</v>
      </c>
      <c r="G5179" s="23" t="s">
        <v>79</v>
      </c>
      <c r="H5179" s="24">
        <v>1998</v>
      </c>
      <c r="I5179" s="24">
        <v>35.96</v>
      </c>
      <c r="J5179" s="24">
        <v>6.47</v>
      </c>
      <c r="K5179" s="24">
        <v>1955.57</v>
      </c>
      <c r="L5179" s="38">
        <v>46295</v>
      </c>
      <c r="M5179" s="23" t="s">
        <v>231</v>
      </c>
      <c r="N5179" s="23" t="str">
        <f>IF(COUNTIF($A$2:A5179,A5179)&gt;1,"DUP","OK")</f>
        <v>OK</v>
      </c>
      <c r="O5179" s="23" t="str">
        <f t="shared" si="241"/>
        <v>ORD26002244</v>
      </c>
      <c r="P5179" s="23" t="str">
        <f t="shared" si="242"/>
        <v>Sep</v>
      </c>
      <c r="Q5179" s="23" t="str">
        <f>IF(F5179="CAPTURE",IF(COUNTIF(orders!$A:$A,O5179)&gt;0,"Yes","NO ORDER"),"")</f>
        <v>Yes</v>
      </c>
    </row>
    <row r="5180" spans="1:17" ht="15" customHeight="1" x14ac:dyDescent="0.3">
      <c r="A5180" s="23" t="s">
        <v>18376</v>
      </c>
      <c r="B5180" s="23"/>
      <c r="C5180" s="23" t="s">
        <v>4983</v>
      </c>
      <c r="D5180" s="23" t="str">
        <f t="shared" si="240"/>
        <v>ORD26002245</v>
      </c>
      <c r="E5180" s="38">
        <v>46293</v>
      </c>
      <c r="F5180" s="23" t="s">
        <v>12410</v>
      </c>
      <c r="G5180" s="23" t="s">
        <v>77</v>
      </c>
      <c r="H5180" s="24">
        <v>4999</v>
      </c>
      <c r="I5180" s="24">
        <v>84.98</v>
      </c>
      <c r="J5180" s="24">
        <v>15.3</v>
      </c>
      <c r="K5180" s="24">
        <v>4898.72</v>
      </c>
      <c r="L5180" s="38">
        <v>46295</v>
      </c>
      <c r="M5180" s="23" t="s">
        <v>231</v>
      </c>
      <c r="N5180" s="23" t="str">
        <f>IF(COUNTIF($A$2:A5180,A5180)&gt;1,"DUP","OK")</f>
        <v>OK</v>
      </c>
      <c r="O5180" s="23" t="str">
        <f t="shared" si="241"/>
        <v>ORD26002245</v>
      </c>
      <c r="P5180" s="23" t="str">
        <f t="shared" si="242"/>
        <v>Sep</v>
      </c>
      <c r="Q5180" s="23" t="str">
        <f>IF(F5180="CAPTURE",IF(COUNTIF(orders!$A:$A,O5180)&gt;0,"Yes","NO ORDER"),"")</f>
        <v>Yes</v>
      </c>
    </row>
    <row r="5181" spans="1:17" ht="15" customHeight="1" x14ac:dyDescent="0.3">
      <c r="A5181" s="23" t="s">
        <v>18377</v>
      </c>
      <c r="B5181" s="23"/>
      <c r="C5181" s="23" t="s">
        <v>5016</v>
      </c>
      <c r="D5181" s="23" t="str">
        <f t="shared" si="240"/>
        <v>ORD26002261</v>
      </c>
      <c r="E5181" s="38">
        <v>46293</v>
      </c>
      <c r="F5181" s="23" t="s">
        <v>12410</v>
      </c>
      <c r="G5181" s="23" t="s">
        <v>79</v>
      </c>
      <c r="H5181" s="24">
        <v>1499</v>
      </c>
      <c r="I5181" s="24">
        <v>26.98</v>
      </c>
      <c r="J5181" s="24">
        <v>4.8600000000000003</v>
      </c>
      <c r="K5181" s="24">
        <v>1467.16</v>
      </c>
      <c r="L5181" s="38">
        <v>46295</v>
      </c>
      <c r="M5181" s="23" t="s">
        <v>231</v>
      </c>
      <c r="N5181" s="23" t="str">
        <f>IF(COUNTIF($A$2:A5181,A5181)&gt;1,"DUP","OK")</f>
        <v>OK</v>
      </c>
      <c r="O5181" s="23" t="str">
        <f t="shared" si="241"/>
        <v>ORD26002261</v>
      </c>
      <c r="P5181" s="23" t="str">
        <f t="shared" si="242"/>
        <v>Sep</v>
      </c>
      <c r="Q5181" s="23" t="str">
        <f>IF(F5181="CAPTURE",IF(COUNTIF(orders!$A:$A,O5181)&gt;0,"Yes","NO ORDER"),"")</f>
        <v>Yes</v>
      </c>
    </row>
    <row r="5182" spans="1:17" ht="15" customHeight="1" x14ac:dyDescent="0.3">
      <c r="A5182" s="23" t="s">
        <v>18378</v>
      </c>
      <c r="B5182" s="23"/>
      <c r="C5182" s="23" t="s">
        <v>5018</v>
      </c>
      <c r="D5182" s="23" t="str">
        <f t="shared" si="240"/>
        <v>ORD26002262</v>
      </c>
      <c r="E5182" s="38">
        <v>46293</v>
      </c>
      <c r="F5182" s="23" t="s">
        <v>12410</v>
      </c>
      <c r="G5182" s="23" t="s">
        <v>75</v>
      </c>
      <c r="H5182" s="24">
        <v>3298</v>
      </c>
      <c r="I5182" s="24">
        <v>9.89</v>
      </c>
      <c r="J5182" s="24">
        <v>1.78</v>
      </c>
      <c r="K5182" s="24">
        <v>3286.33</v>
      </c>
      <c r="L5182" s="38">
        <v>46295</v>
      </c>
      <c r="M5182" s="23" t="s">
        <v>231</v>
      </c>
      <c r="N5182" s="23" t="str">
        <f>IF(COUNTIF($A$2:A5182,A5182)&gt;1,"DUP","OK")</f>
        <v>OK</v>
      </c>
      <c r="O5182" s="23" t="str">
        <f t="shared" si="241"/>
        <v>ORD26002262</v>
      </c>
      <c r="P5182" s="23" t="str">
        <f t="shared" si="242"/>
        <v>Sep</v>
      </c>
      <c r="Q5182" s="23" t="str">
        <f>IF(F5182="CAPTURE",IF(COUNTIF(orders!$A:$A,O5182)&gt;0,"Yes","NO ORDER"),"")</f>
        <v>Yes</v>
      </c>
    </row>
    <row r="5183" spans="1:17" ht="15" customHeight="1" x14ac:dyDescent="0.3">
      <c r="A5183" s="23" t="s">
        <v>18379</v>
      </c>
      <c r="B5183" s="23"/>
      <c r="C5183" s="23" t="s">
        <v>5166</v>
      </c>
      <c r="D5183" s="23" t="str">
        <f t="shared" si="240"/>
        <v>ORD26002336</v>
      </c>
      <c r="E5183" s="38">
        <v>46293</v>
      </c>
      <c r="F5183" s="23" t="s">
        <v>12410</v>
      </c>
      <c r="G5183" s="23" t="s">
        <v>75</v>
      </c>
      <c r="H5183" s="24">
        <v>599</v>
      </c>
      <c r="I5183" s="24">
        <v>0</v>
      </c>
      <c r="J5183" s="24">
        <v>0</v>
      </c>
      <c r="K5183" s="24">
        <v>599</v>
      </c>
      <c r="L5183" s="38">
        <v>46295</v>
      </c>
      <c r="M5183" s="23" t="s">
        <v>231</v>
      </c>
      <c r="N5183" s="23" t="str">
        <f>IF(COUNTIF($A$2:A5183,A5183)&gt;1,"DUP","OK")</f>
        <v>OK</v>
      </c>
      <c r="O5183" s="23" t="str">
        <f t="shared" si="241"/>
        <v>ORD26002336</v>
      </c>
      <c r="P5183" s="23" t="str">
        <f t="shared" si="242"/>
        <v>Sep</v>
      </c>
      <c r="Q5183" s="23" t="str">
        <f>IF(F5183="CAPTURE",IF(COUNTIF(orders!$A:$A,O5183)&gt;0,"Yes","NO ORDER"),"")</f>
        <v>Yes</v>
      </c>
    </row>
    <row r="5184" spans="1:17" ht="15" customHeight="1" x14ac:dyDescent="0.3">
      <c r="A5184" s="23" t="s">
        <v>18380</v>
      </c>
      <c r="B5184" s="23"/>
      <c r="C5184" s="23" t="s">
        <v>5170</v>
      </c>
      <c r="D5184" s="23" t="str">
        <f t="shared" si="240"/>
        <v>ORD26002338</v>
      </c>
      <c r="E5184" s="38">
        <v>46293</v>
      </c>
      <c r="F5184" s="23" t="s">
        <v>12410</v>
      </c>
      <c r="G5184" s="23" t="s">
        <v>79</v>
      </c>
      <c r="H5184" s="24">
        <v>4098</v>
      </c>
      <c r="I5184" s="24">
        <v>65.569999999999993</v>
      </c>
      <c r="J5184" s="24">
        <v>11.8</v>
      </c>
      <c r="K5184" s="24">
        <v>4020.63</v>
      </c>
      <c r="L5184" s="38">
        <v>46295</v>
      </c>
      <c r="M5184" s="23" t="s">
        <v>231</v>
      </c>
      <c r="N5184" s="23" t="str">
        <f>IF(COUNTIF($A$2:A5184,A5184)&gt;1,"DUP","OK")</f>
        <v>OK</v>
      </c>
      <c r="O5184" s="23" t="str">
        <f t="shared" si="241"/>
        <v>ORD26002338</v>
      </c>
      <c r="P5184" s="23" t="str">
        <f t="shared" si="242"/>
        <v>Sep</v>
      </c>
      <c r="Q5184" s="23" t="str">
        <f>IF(F5184="CAPTURE",IF(COUNTIF(orders!$A:$A,O5184)&gt;0,"Yes","NO ORDER"),"")</f>
        <v>Yes</v>
      </c>
    </row>
    <row r="5185" spans="1:17" ht="15" customHeight="1" x14ac:dyDescent="0.3">
      <c r="A5185" s="23" t="s">
        <v>18381</v>
      </c>
      <c r="B5185" s="23"/>
      <c r="C5185" s="23" t="s">
        <v>5351</v>
      </c>
      <c r="D5185" s="23" t="str">
        <f t="shared" si="240"/>
        <v>ORD26002430</v>
      </c>
      <c r="E5185" s="38">
        <v>46293</v>
      </c>
      <c r="F5185" s="23" t="s">
        <v>12410</v>
      </c>
      <c r="G5185" s="23" t="s">
        <v>77</v>
      </c>
      <c r="H5185" s="24">
        <v>3298</v>
      </c>
      <c r="I5185" s="24">
        <v>56.07</v>
      </c>
      <c r="J5185" s="24">
        <v>10.09</v>
      </c>
      <c r="K5185" s="24">
        <v>3231.84</v>
      </c>
      <c r="L5185" s="38">
        <v>46295</v>
      </c>
      <c r="M5185" s="23" t="s">
        <v>231</v>
      </c>
      <c r="N5185" s="23" t="str">
        <f>IF(COUNTIF($A$2:A5185,A5185)&gt;1,"DUP","OK")</f>
        <v>OK</v>
      </c>
      <c r="O5185" s="23" t="str">
        <f t="shared" si="241"/>
        <v>ORD26002430</v>
      </c>
      <c r="P5185" s="23" t="str">
        <f t="shared" si="242"/>
        <v>Sep</v>
      </c>
      <c r="Q5185" s="23" t="str">
        <f>IF(F5185="CAPTURE",IF(COUNTIF(orders!$A:$A,O5185)&gt;0,"Yes","NO ORDER"),"")</f>
        <v>Yes</v>
      </c>
    </row>
    <row r="5186" spans="1:17" ht="15" customHeight="1" x14ac:dyDescent="0.3">
      <c r="A5186" s="23" t="s">
        <v>18382</v>
      </c>
      <c r="B5186" s="23"/>
      <c r="C5186" s="23" t="s">
        <v>5373</v>
      </c>
      <c r="D5186" s="23" t="str">
        <f t="shared" ref="D5186:D5249" si="243">UPPER(SUBSTITUTE(TRIM(C5186),"-",""))</f>
        <v>ORD26002441</v>
      </c>
      <c r="E5186" s="38">
        <v>46293</v>
      </c>
      <c r="F5186" s="23" t="s">
        <v>12410</v>
      </c>
      <c r="G5186" s="23" t="s">
        <v>79</v>
      </c>
      <c r="H5186" s="24">
        <v>349</v>
      </c>
      <c r="I5186" s="24">
        <v>6.28</v>
      </c>
      <c r="J5186" s="24">
        <v>1.1299999999999999</v>
      </c>
      <c r="K5186" s="24">
        <v>341.59</v>
      </c>
      <c r="L5186" s="38">
        <v>46295</v>
      </c>
      <c r="M5186" s="23" t="s">
        <v>231</v>
      </c>
      <c r="N5186" s="23" t="str">
        <f>IF(COUNTIF($A$2:A5186,A5186)&gt;1,"DUP","OK")</f>
        <v>OK</v>
      </c>
      <c r="O5186" s="23" t="str">
        <f t="shared" ref="O5186:O5249" si="244">IF(F5186="REFUND",INDEX($D:$D,MATCH(B5186,$A:$A,0)),D5186)</f>
        <v>ORD26002441</v>
      </c>
      <c r="P5186" s="23" t="str">
        <f t="shared" ref="P5186:P5249" si="245">IF(L5186&gt;DATE(2026,9,30),"Oct-Due","Sep")</f>
        <v>Sep</v>
      </c>
      <c r="Q5186" s="23" t="str">
        <f>IF(F5186="CAPTURE",IF(COUNTIF(orders!$A:$A,O5186)&gt;0,"Yes","NO ORDER"),"")</f>
        <v>Yes</v>
      </c>
    </row>
    <row r="5187" spans="1:17" ht="15" customHeight="1" x14ac:dyDescent="0.3">
      <c r="A5187" s="23" t="s">
        <v>18383</v>
      </c>
      <c r="B5187" s="23"/>
      <c r="C5187" s="23" t="s">
        <v>5389</v>
      </c>
      <c r="D5187" s="23" t="str">
        <f t="shared" si="243"/>
        <v>ORD26002449</v>
      </c>
      <c r="E5187" s="38">
        <v>46293</v>
      </c>
      <c r="F5187" s="23" t="s">
        <v>12410</v>
      </c>
      <c r="G5187" s="23" t="s">
        <v>75</v>
      </c>
      <c r="H5187" s="24">
        <v>2999</v>
      </c>
      <c r="I5187" s="24">
        <v>9</v>
      </c>
      <c r="J5187" s="24">
        <v>1.62</v>
      </c>
      <c r="K5187" s="24">
        <v>2988.38</v>
      </c>
      <c r="L5187" s="38">
        <v>46295</v>
      </c>
      <c r="M5187" s="23" t="s">
        <v>231</v>
      </c>
      <c r="N5187" s="23" t="str">
        <f>IF(COUNTIF($A$2:A5187,A5187)&gt;1,"DUP","OK")</f>
        <v>OK</v>
      </c>
      <c r="O5187" s="23" t="str">
        <f t="shared" si="244"/>
        <v>ORD26002449</v>
      </c>
      <c r="P5187" s="23" t="str">
        <f t="shared" si="245"/>
        <v>Sep</v>
      </c>
      <c r="Q5187" s="23" t="str">
        <f>IF(F5187="CAPTURE",IF(COUNTIF(orders!$A:$A,O5187)&gt;0,"Yes","NO ORDER"),"")</f>
        <v>Yes</v>
      </c>
    </row>
    <row r="5188" spans="1:17" ht="15" customHeight="1" x14ac:dyDescent="0.3">
      <c r="A5188" s="23" t="s">
        <v>18384</v>
      </c>
      <c r="B5188" s="23"/>
      <c r="C5188" s="23" t="s">
        <v>18385</v>
      </c>
      <c r="D5188" s="23" t="str">
        <f t="shared" si="243"/>
        <v>ORD26002467</v>
      </c>
      <c r="E5188" s="38">
        <v>46293</v>
      </c>
      <c r="F5188" s="23" t="s">
        <v>12410</v>
      </c>
      <c r="G5188" s="23" t="s">
        <v>77</v>
      </c>
      <c r="H5188" s="24">
        <v>3998</v>
      </c>
      <c r="I5188" s="24">
        <v>67.97</v>
      </c>
      <c r="J5188" s="24">
        <v>12.23</v>
      </c>
      <c r="K5188" s="24">
        <v>3917.8</v>
      </c>
      <c r="L5188" s="38">
        <v>46295</v>
      </c>
      <c r="M5188" s="23" t="s">
        <v>231</v>
      </c>
      <c r="N5188" s="23" t="str">
        <f>IF(COUNTIF($A$2:A5188,A5188)&gt;1,"DUP","OK")</f>
        <v>OK</v>
      </c>
      <c r="O5188" s="23" t="str">
        <f t="shared" si="244"/>
        <v>ORD26002467</v>
      </c>
      <c r="P5188" s="23" t="str">
        <f t="shared" si="245"/>
        <v>Sep</v>
      </c>
      <c r="Q5188" s="23" t="str">
        <f>IF(F5188="CAPTURE",IF(COUNTIF(orders!$A:$A,O5188)&gt;0,"Yes","NO ORDER"),"")</f>
        <v>Yes</v>
      </c>
    </row>
    <row r="5189" spans="1:17" ht="15" customHeight="1" x14ac:dyDescent="0.3">
      <c r="A5189" s="23" t="s">
        <v>18386</v>
      </c>
      <c r="B5189" s="23"/>
      <c r="C5189" s="23" t="s">
        <v>5653</v>
      </c>
      <c r="D5189" s="23" t="str">
        <f t="shared" si="243"/>
        <v>ORD26002580</v>
      </c>
      <c r="E5189" s="38">
        <v>46293</v>
      </c>
      <c r="F5189" s="23" t="s">
        <v>12410</v>
      </c>
      <c r="G5189" s="23" t="s">
        <v>77</v>
      </c>
      <c r="H5189" s="24">
        <v>8798</v>
      </c>
      <c r="I5189" s="24">
        <v>149.57</v>
      </c>
      <c r="J5189" s="24">
        <v>26.92</v>
      </c>
      <c r="K5189" s="24">
        <v>8621.51</v>
      </c>
      <c r="L5189" s="38">
        <v>46295</v>
      </c>
      <c r="M5189" s="23" t="s">
        <v>231</v>
      </c>
      <c r="N5189" s="23" t="str">
        <f>IF(COUNTIF($A$2:A5189,A5189)&gt;1,"DUP","OK")</f>
        <v>OK</v>
      </c>
      <c r="O5189" s="23" t="str">
        <f t="shared" si="244"/>
        <v>ORD26002580</v>
      </c>
      <c r="P5189" s="23" t="str">
        <f t="shared" si="245"/>
        <v>Sep</v>
      </c>
      <c r="Q5189" s="23" t="str">
        <f>IF(F5189="CAPTURE",IF(COUNTIF(orders!$A:$A,O5189)&gt;0,"Yes","NO ORDER"),"")</f>
        <v>Yes</v>
      </c>
    </row>
    <row r="5190" spans="1:17" ht="15" customHeight="1" x14ac:dyDescent="0.3">
      <c r="A5190" s="23" t="s">
        <v>18387</v>
      </c>
      <c r="B5190" s="23"/>
      <c r="C5190" s="23" t="s">
        <v>5732</v>
      </c>
      <c r="D5190" s="23" t="str">
        <f t="shared" si="243"/>
        <v>ORD26002619</v>
      </c>
      <c r="E5190" s="38">
        <v>46293</v>
      </c>
      <c r="F5190" s="23" t="s">
        <v>12410</v>
      </c>
      <c r="G5190" s="23" t="s">
        <v>79</v>
      </c>
      <c r="H5190" s="24">
        <v>3598</v>
      </c>
      <c r="I5190" s="24">
        <v>57.57</v>
      </c>
      <c r="J5190" s="24">
        <v>10.36</v>
      </c>
      <c r="K5190" s="24">
        <v>3530.07</v>
      </c>
      <c r="L5190" s="38">
        <v>46295</v>
      </c>
      <c r="M5190" s="23" t="s">
        <v>231</v>
      </c>
      <c r="N5190" s="23" t="str">
        <f>IF(COUNTIF($A$2:A5190,A5190)&gt;1,"DUP","OK")</f>
        <v>OK</v>
      </c>
      <c r="O5190" s="23" t="str">
        <f t="shared" si="244"/>
        <v>ORD26002619</v>
      </c>
      <c r="P5190" s="23" t="str">
        <f t="shared" si="245"/>
        <v>Sep</v>
      </c>
      <c r="Q5190" s="23" t="str">
        <f>IF(F5190="CAPTURE",IF(COUNTIF(orders!$A:$A,O5190)&gt;0,"Yes","NO ORDER"),"")</f>
        <v>Yes</v>
      </c>
    </row>
    <row r="5191" spans="1:17" ht="15" customHeight="1" x14ac:dyDescent="0.3">
      <c r="A5191" s="23" t="s">
        <v>18388</v>
      </c>
      <c r="B5191" s="23"/>
      <c r="C5191" s="23" t="s">
        <v>5784</v>
      </c>
      <c r="D5191" s="23" t="str">
        <f t="shared" si="243"/>
        <v>ORD26002645</v>
      </c>
      <c r="E5191" s="38">
        <v>46293</v>
      </c>
      <c r="F5191" s="23" t="s">
        <v>12410</v>
      </c>
      <c r="G5191" s="23" t="s">
        <v>75</v>
      </c>
      <c r="H5191" s="24">
        <v>4999</v>
      </c>
      <c r="I5191" s="24">
        <v>15</v>
      </c>
      <c r="J5191" s="24">
        <v>2.7</v>
      </c>
      <c r="K5191" s="24">
        <v>4981.3</v>
      </c>
      <c r="L5191" s="38">
        <v>46295</v>
      </c>
      <c r="M5191" s="23" t="s">
        <v>231</v>
      </c>
      <c r="N5191" s="23" t="str">
        <f>IF(COUNTIF($A$2:A5191,A5191)&gt;1,"DUP","OK")</f>
        <v>OK</v>
      </c>
      <c r="O5191" s="23" t="str">
        <f t="shared" si="244"/>
        <v>ORD26002645</v>
      </c>
      <c r="P5191" s="23" t="str">
        <f t="shared" si="245"/>
        <v>Sep</v>
      </c>
      <c r="Q5191" s="23" t="str">
        <f>IF(F5191="CAPTURE",IF(COUNTIF(orders!$A:$A,O5191)&gt;0,"Yes","NO ORDER"),"")</f>
        <v>Yes</v>
      </c>
    </row>
    <row r="5192" spans="1:17" ht="15" customHeight="1" x14ac:dyDescent="0.3">
      <c r="A5192" s="23" t="s">
        <v>18389</v>
      </c>
      <c r="B5192" s="23"/>
      <c r="C5192" s="23" t="s">
        <v>5799</v>
      </c>
      <c r="D5192" s="23" t="str">
        <f t="shared" si="243"/>
        <v>ORD26002652</v>
      </c>
      <c r="E5192" s="38">
        <v>46293</v>
      </c>
      <c r="F5192" s="23" t="s">
        <v>12410</v>
      </c>
      <c r="G5192" s="23" t="s">
        <v>75</v>
      </c>
      <c r="H5192" s="24">
        <v>10397</v>
      </c>
      <c r="I5192" s="24">
        <v>31.19</v>
      </c>
      <c r="J5192" s="24">
        <v>5.61</v>
      </c>
      <c r="K5192" s="24">
        <v>10360.200000000001</v>
      </c>
      <c r="L5192" s="38">
        <v>46295</v>
      </c>
      <c r="M5192" s="23" t="s">
        <v>231</v>
      </c>
      <c r="N5192" s="23" t="str">
        <f>IF(COUNTIF($A$2:A5192,A5192)&gt;1,"DUP","OK")</f>
        <v>OK</v>
      </c>
      <c r="O5192" s="23" t="str">
        <f t="shared" si="244"/>
        <v>ORD26002652</v>
      </c>
      <c r="P5192" s="23" t="str">
        <f t="shared" si="245"/>
        <v>Sep</v>
      </c>
      <c r="Q5192" s="23" t="str">
        <f>IF(F5192="CAPTURE",IF(COUNTIF(orders!$A:$A,O5192)&gt;0,"Yes","NO ORDER"),"")</f>
        <v>Yes</v>
      </c>
    </row>
    <row r="5193" spans="1:17" ht="15" customHeight="1" x14ac:dyDescent="0.3">
      <c r="A5193" s="23" t="s">
        <v>18390</v>
      </c>
      <c r="B5193" s="23"/>
      <c r="C5193" s="23" t="s">
        <v>5882</v>
      </c>
      <c r="D5193" s="23" t="str">
        <f t="shared" si="243"/>
        <v>ORD26002693</v>
      </c>
      <c r="E5193" s="38">
        <v>46293</v>
      </c>
      <c r="F5193" s="23" t="s">
        <v>12410</v>
      </c>
      <c r="G5193" s="23" t="s">
        <v>79</v>
      </c>
      <c r="H5193" s="24">
        <v>3798</v>
      </c>
      <c r="I5193" s="24">
        <v>60.77</v>
      </c>
      <c r="J5193" s="24">
        <v>10.94</v>
      </c>
      <c r="K5193" s="24">
        <v>3726.29</v>
      </c>
      <c r="L5193" s="38">
        <v>46295</v>
      </c>
      <c r="M5193" s="23" t="s">
        <v>231</v>
      </c>
      <c r="N5193" s="23" t="str">
        <f>IF(COUNTIF($A$2:A5193,A5193)&gt;1,"DUP","OK")</f>
        <v>OK</v>
      </c>
      <c r="O5193" s="23" t="str">
        <f t="shared" si="244"/>
        <v>ORD26002693</v>
      </c>
      <c r="P5193" s="23" t="str">
        <f t="shared" si="245"/>
        <v>Sep</v>
      </c>
      <c r="Q5193" s="23" t="str">
        <f>IF(F5193="CAPTURE",IF(COUNTIF(orders!$A:$A,O5193)&gt;0,"Yes","NO ORDER"),"")</f>
        <v>Yes</v>
      </c>
    </row>
    <row r="5194" spans="1:17" ht="15" customHeight="1" x14ac:dyDescent="0.3">
      <c r="A5194" s="23" t="s">
        <v>18391</v>
      </c>
      <c r="B5194" s="23"/>
      <c r="C5194" s="23" t="s">
        <v>5912</v>
      </c>
      <c r="D5194" s="23" t="str">
        <f t="shared" si="243"/>
        <v>ORD26002708</v>
      </c>
      <c r="E5194" s="38">
        <v>46293</v>
      </c>
      <c r="F5194" s="23" t="s">
        <v>12410</v>
      </c>
      <c r="G5194" s="23" t="s">
        <v>75</v>
      </c>
      <c r="H5194" s="24">
        <v>599</v>
      </c>
      <c r="I5194" s="24">
        <v>0</v>
      </c>
      <c r="J5194" s="24">
        <v>0</v>
      </c>
      <c r="K5194" s="24">
        <v>599</v>
      </c>
      <c r="L5194" s="38">
        <v>46295</v>
      </c>
      <c r="M5194" s="23" t="s">
        <v>231</v>
      </c>
      <c r="N5194" s="23" t="str">
        <f>IF(COUNTIF($A$2:A5194,A5194)&gt;1,"DUP","OK")</f>
        <v>OK</v>
      </c>
      <c r="O5194" s="23" t="str">
        <f t="shared" si="244"/>
        <v>ORD26002708</v>
      </c>
      <c r="P5194" s="23" t="str">
        <f t="shared" si="245"/>
        <v>Sep</v>
      </c>
      <c r="Q5194" s="23" t="str">
        <f>IF(F5194="CAPTURE",IF(COUNTIF(orders!$A:$A,O5194)&gt;0,"Yes","NO ORDER"),"")</f>
        <v>Yes</v>
      </c>
    </row>
    <row r="5195" spans="1:17" ht="15" customHeight="1" x14ac:dyDescent="0.3">
      <c r="A5195" s="23" t="s">
        <v>18392</v>
      </c>
      <c r="B5195" s="23"/>
      <c r="C5195" s="23" t="s">
        <v>5934</v>
      </c>
      <c r="D5195" s="23" t="str">
        <f t="shared" si="243"/>
        <v>ORD26002719</v>
      </c>
      <c r="E5195" s="38">
        <v>46293</v>
      </c>
      <c r="F5195" s="23" t="s">
        <v>12410</v>
      </c>
      <c r="G5195" s="23" t="s">
        <v>75</v>
      </c>
      <c r="H5195" s="24">
        <v>3598</v>
      </c>
      <c r="I5195" s="24">
        <v>10.79</v>
      </c>
      <c r="J5195" s="24">
        <v>1.94</v>
      </c>
      <c r="K5195" s="24">
        <v>3585.27</v>
      </c>
      <c r="L5195" s="38">
        <v>46295</v>
      </c>
      <c r="M5195" s="23" t="s">
        <v>231</v>
      </c>
      <c r="N5195" s="23" t="str">
        <f>IF(COUNTIF($A$2:A5195,A5195)&gt;1,"DUP","OK")</f>
        <v>OK</v>
      </c>
      <c r="O5195" s="23" t="str">
        <f t="shared" si="244"/>
        <v>ORD26002719</v>
      </c>
      <c r="P5195" s="23" t="str">
        <f t="shared" si="245"/>
        <v>Sep</v>
      </c>
      <c r="Q5195" s="23" t="str">
        <f>IF(F5195="CAPTURE",IF(COUNTIF(orders!$A:$A,O5195)&gt;0,"Yes","NO ORDER"),"")</f>
        <v>Yes</v>
      </c>
    </row>
    <row r="5196" spans="1:17" ht="15" customHeight="1" x14ac:dyDescent="0.3">
      <c r="A5196" s="23" t="s">
        <v>18393</v>
      </c>
      <c r="B5196" s="23"/>
      <c r="C5196" s="23" t="s">
        <v>6025</v>
      </c>
      <c r="D5196" s="23" t="str">
        <f t="shared" si="243"/>
        <v>ORD26002764</v>
      </c>
      <c r="E5196" s="38">
        <v>46293</v>
      </c>
      <c r="F5196" s="23" t="s">
        <v>12410</v>
      </c>
      <c r="G5196" s="23" t="s">
        <v>75</v>
      </c>
      <c r="H5196" s="24">
        <v>1348</v>
      </c>
      <c r="I5196" s="24">
        <v>0</v>
      </c>
      <c r="J5196" s="24">
        <v>0</v>
      </c>
      <c r="K5196" s="24">
        <v>1348</v>
      </c>
      <c r="L5196" s="38">
        <v>46295</v>
      </c>
      <c r="M5196" s="23" t="s">
        <v>231</v>
      </c>
      <c r="N5196" s="23" t="str">
        <f>IF(COUNTIF($A$2:A5196,A5196)&gt;1,"DUP","OK")</f>
        <v>OK</v>
      </c>
      <c r="O5196" s="23" t="str">
        <f t="shared" si="244"/>
        <v>ORD26002764</v>
      </c>
      <c r="P5196" s="23" t="str">
        <f t="shared" si="245"/>
        <v>Sep</v>
      </c>
      <c r="Q5196" s="23" t="str">
        <f>IF(F5196="CAPTURE",IF(COUNTIF(orders!$A:$A,O5196)&gt;0,"Yes","NO ORDER"),"")</f>
        <v>Yes</v>
      </c>
    </row>
    <row r="5197" spans="1:17" ht="15" customHeight="1" x14ac:dyDescent="0.3">
      <c r="A5197" s="23" t="s">
        <v>18394</v>
      </c>
      <c r="B5197" s="23"/>
      <c r="C5197" s="23" t="s">
        <v>6133</v>
      </c>
      <c r="D5197" s="23" t="str">
        <f t="shared" si="243"/>
        <v>ORD26002817</v>
      </c>
      <c r="E5197" s="38">
        <v>46293</v>
      </c>
      <c r="F5197" s="23" t="s">
        <v>12410</v>
      </c>
      <c r="G5197" s="23" t="s">
        <v>75</v>
      </c>
      <c r="H5197" s="24">
        <v>3798</v>
      </c>
      <c r="I5197" s="24">
        <v>11.39</v>
      </c>
      <c r="J5197" s="24">
        <v>2.0499999999999998</v>
      </c>
      <c r="K5197" s="24">
        <v>3784.56</v>
      </c>
      <c r="L5197" s="38">
        <v>46295</v>
      </c>
      <c r="M5197" s="23" t="s">
        <v>231</v>
      </c>
      <c r="N5197" s="23" t="str">
        <f>IF(COUNTIF($A$2:A5197,A5197)&gt;1,"DUP","OK")</f>
        <v>OK</v>
      </c>
      <c r="O5197" s="23" t="str">
        <f t="shared" si="244"/>
        <v>ORD26002817</v>
      </c>
      <c r="P5197" s="23" t="str">
        <f t="shared" si="245"/>
        <v>Sep</v>
      </c>
      <c r="Q5197" s="23" t="str">
        <f>IF(F5197="CAPTURE",IF(COUNTIF(orders!$A:$A,O5197)&gt;0,"Yes","NO ORDER"),"")</f>
        <v>Yes</v>
      </c>
    </row>
    <row r="5198" spans="1:17" ht="15" customHeight="1" x14ac:dyDescent="0.3">
      <c r="A5198" s="23" t="s">
        <v>18395</v>
      </c>
      <c r="B5198" s="23"/>
      <c r="C5198" s="23" t="s">
        <v>6218</v>
      </c>
      <c r="D5198" s="23" t="str">
        <f t="shared" si="243"/>
        <v>ORD26002861</v>
      </c>
      <c r="E5198" s="38">
        <v>46293</v>
      </c>
      <c r="F5198" s="23" t="s">
        <v>12410</v>
      </c>
      <c r="G5198" s="23" t="s">
        <v>75</v>
      </c>
      <c r="H5198" s="24">
        <v>2499</v>
      </c>
      <c r="I5198" s="24">
        <v>7.5</v>
      </c>
      <c r="J5198" s="24">
        <v>1.35</v>
      </c>
      <c r="K5198" s="24">
        <v>2490.15</v>
      </c>
      <c r="L5198" s="38">
        <v>46295</v>
      </c>
      <c r="M5198" s="23" t="s">
        <v>231</v>
      </c>
      <c r="N5198" s="23" t="str">
        <f>IF(COUNTIF($A$2:A5198,A5198)&gt;1,"DUP","OK")</f>
        <v>OK</v>
      </c>
      <c r="O5198" s="23" t="str">
        <f t="shared" si="244"/>
        <v>ORD26002861</v>
      </c>
      <c r="P5198" s="23" t="str">
        <f t="shared" si="245"/>
        <v>Sep</v>
      </c>
      <c r="Q5198" s="23" t="str">
        <f>IF(F5198="CAPTURE",IF(COUNTIF(orders!$A:$A,O5198)&gt;0,"Yes","NO ORDER"),"")</f>
        <v>Yes</v>
      </c>
    </row>
    <row r="5199" spans="1:17" ht="15" customHeight="1" x14ac:dyDescent="0.3">
      <c r="A5199" s="23" t="s">
        <v>18396</v>
      </c>
      <c r="B5199" s="23"/>
      <c r="C5199" s="23" t="s">
        <v>6302</v>
      </c>
      <c r="D5199" s="23" t="str">
        <f t="shared" si="243"/>
        <v>ORD26002904</v>
      </c>
      <c r="E5199" s="38">
        <v>46293</v>
      </c>
      <c r="F5199" s="23" t="s">
        <v>12410</v>
      </c>
      <c r="G5199" s="23" t="s">
        <v>81</v>
      </c>
      <c r="H5199" s="24">
        <v>799</v>
      </c>
      <c r="I5199" s="24">
        <v>11.99</v>
      </c>
      <c r="J5199" s="24">
        <v>2.16</v>
      </c>
      <c r="K5199" s="24">
        <v>784.85</v>
      </c>
      <c r="L5199" s="38">
        <v>46295</v>
      </c>
      <c r="M5199" s="23" t="s">
        <v>231</v>
      </c>
      <c r="N5199" s="23" t="str">
        <f>IF(COUNTIF($A$2:A5199,A5199)&gt;1,"DUP","OK")</f>
        <v>OK</v>
      </c>
      <c r="O5199" s="23" t="str">
        <f t="shared" si="244"/>
        <v>ORD26002904</v>
      </c>
      <c r="P5199" s="23" t="str">
        <f t="shared" si="245"/>
        <v>Sep</v>
      </c>
      <c r="Q5199" s="23" t="str">
        <f>IF(F5199="CAPTURE",IF(COUNTIF(orders!$A:$A,O5199)&gt;0,"Yes","NO ORDER"),"")</f>
        <v>Yes</v>
      </c>
    </row>
    <row r="5200" spans="1:17" ht="15" customHeight="1" x14ac:dyDescent="0.3">
      <c r="A5200" s="23" t="s">
        <v>18397</v>
      </c>
      <c r="B5200" s="23"/>
      <c r="C5200" s="23" t="s">
        <v>6317</v>
      </c>
      <c r="D5200" s="23" t="str">
        <f t="shared" si="243"/>
        <v>ORD26002911</v>
      </c>
      <c r="E5200" s="38">
        <v>46293</v>
      </c>
      <c r="F5200" s="23" t="s">
        <v>12410</v>
      </c>
      <c r="G5200" s="23" t="s">
        <v>79</v>
      </c>
      <c r="H5200" s="24">
        <v>4798</v>
      </c>
      <c r="I5200" s="24">
        <v>76.77</v>
      </c>
      <c r="J5200" s="24">
        <v>13.82</v>
      </c>
      <c r="K5200" s="24">
        <v>4707.41</v>
      </c>
      <c r="L5200" s="38">
        <v>46295</v>
      </c>
      <c r="M5200" s="23" t="s">
        <v>231</v>
      </c>
      <c r="N5200" s="23" t="str">
        <f>IF(COUNTIF($A$2:A5200,A5200)&gt;1,"DUP","OK")</f>
        <v>OK</v>
      </c>
      <c r="O5200" s="23" t="str">
        <f t="shared" si="244"/>
        <v>ORD26002911</v>
      </c>
      <c r="P5200" s="23" t="str">
        <f t="shared" si="245"/>
        <v>Sep</v>
      </c>
      <c r="Q5200" s="23" t="str">
        <f>IF(F5200="CAPTURE",IF(COUNTIF(orders!$A:$A,O5200)&gt;0,"Yes","NO ORDER"),"")</f>
        <v>Yes</v>
      </c>
    </row>
    <row r="5201" spans="1:17" ht="15" customHeight="1" x14ac:dyDescent="0.3">
      <c r="A5201" s="23" t="s">
        <v>18398</v>
      </c>
      <c r="B5201" s="23"/>
      <c r="C5201" s="23" t="s">
        <v>6440</v>
      </c>
      <c r="D5201" s="23" t="str">
        <f t="shared" si="243"/>
        <v>ORD26002972</v>
      </c>
      <c r="E5201" s="38">
        <v>46293</v>
      </c>
      <c r="F5201" s="23" t="s">
        <v>12410</v>
      </c>
      <c r="G5201" s="23" t="s">
        <v>75</v>
      </c>
      <c r="H5201" s="24">
        <v>1299</v>
      </c>
      <c r="I5201" s="24">
        <v>0</v>
      </c>
      <c r="J5201" s="24">
        <v>0</v>
      </c>
      <c r="K5201" s="24">
        <v>1299</v>
      </c>
      <c r="L5201" s="38">
        <v>46295</v>
      </c>
      <c r="M5201" s="23" t="s">
        <v>231</v>
      </c>
      <c r="N5201" s="23" t="str">
        <f>IF(COUNTIF($A$2:A5201,A5201)&gt;1,"DUP","OK")</f>
        <v>OK</v>
      </c>
      <c r="O5201" s="23" t="str">
        <f t="shared" si="244"/>
        <v>ORD26002972</v>
      </c>
      <c r="P5201" s="23" t="str">
        <f t="shared" si="245"/>
        <v>Sep</v>
      </c>
      <c r="Q5201" s="23" t="str">
        <f>IF(F5201="CAPTURE",IF(COUNTIF(orders!$A:$A,O5201)&gt;0,"Yes","NO ORDER"),"")</f>
        <v>Yes</v>
      </c>
    </row>
    <row r="5202" spans="1:17" ht="15" customHeight="1" x14ac:dyDescent="0.3">
      <c r="A5202" s="23" t="s">
        <v>18399</v>
      </c>
      <c r="B5202" s="23"/>
      <c r="C5202" s="23" t="s">
        <v>6510</v>
      </c>
      <c r="D5202" s="23" t="str">
        <f t="shared" si="243"/>
        <v>ORD26003008</v>
      </c>
      <c r="E5202" s="38">
        <v>46293</v>
      </c>
      <c r="F5202" s="23" t="s">
        <v>12410</v>
      </c>
      <c r="G5202" s="23" t="s">
        <v>79</v>
      </c>
      <c r="H5202" s="24">
        <v>349</v>
      </c>
      <c r="I5202" s="24">
        <v>6.28</v>
      </c>
      <c r="J5202" s="24">
        <v>1.1299999999999999</v>
      </c>
      <c r="K5202" s="24">
        <v>341.59</v>
      </c>
      <c r="L5202" s="38">
        <v>46295</v>
      </c>
      <c r="M5202" s="23" t="s">
        <v>231</v>
      </c>
      <c r="N5202" s="23" t="str">
        <f>IF(COUNTIF($A$2:A5202,A5202)&gt;1,"DUP","OK")</f>
        <v>OK</v>
      </c>
      <c r="O5202" s="23" t="str">
        <f t="shared" si="244"/>
        <v>ORD26003008</v>
      </c>
      <c r="P5202" s="23" t="str">
        <f t="shared" si="245"/>
        <v>Sep</v>
      </c>
      <c r="Q5202" s="23" t="str">
        <f>IF(F5202="CAPTURE",IF(COUNTIF(orders!$A:$A,O5202)&gt;0,"Yes","NO ORDER"),"")</f>
        <v>Yes</v>
      </c>
    </row>
    <row r="5203" spans="1:17" ht="15" customHeight="1" x14ac:dyDescent="0.3">
      <c r="A5203" s="23" t="s">
        <v>18400</v>
      </c>
      <c r="B5203" s="23"/>
      <c r="C5203" s="23" t="s">
        <v>6593</v>
      </c>
      <c r="D5203" s="23" t="str">
        <f t="shared" si="243"/>
        <v>ORD26003050</v>
      </c>
      <c r="E5203" s="38">
        <v>46293</v>
      </c>
      <c r="F5203" s="23" t="s">
        <v>12410</v>
      </c>
      <c r="G5203" s="23" t="s">
        <v>77</v>
      </c>
      <c r="H5203" s="24">
        <v>1299</v>
      </c>
      <c r="I5203" s="24">
        <v>24.68</v>
      </c>
      <c r="J5203" s="24">
        <v>4.4400000000000004</v>
      </c>
      <c r="K5203" s="24">
        <v>1269.8800000000001</v>
      </c>
      <c r="L5203" s="38">
        <v>46295</v>
      </c>
      <c r="M5203" s="23" t="s">
        <v>231</v>
      </c>
      <c r="N5203" s="23" t="str">
        <f>IF(COUNTIF($A$2:A5203,A5203)&gt;1,"DUP","OK")</f>
        <v>OK</v>
      </c>
      <c r="O5203" s="23" t="str">
        <f t="shared" si="244"/>
        <v>ORD26003050</v>
      </c>
      <c r="P5203" s="23" t="str">
        <f t="shared" si="245"/>
        <v>Sep</v>
      </c>
      <c r="Q5203" s="23" t="str">
        <f>IF(F5203="CAPTURE",IF(COUNTIF(orders!$A:$A,O5203)&gt;0,"Yes","NO ORDER"),"")</f>
        <v>Yes</v>
      </c>
    </row>
    <row r="5204" spans="1:17" ht="15" customHeight="1" x14ac:dyDescent="0.3">
      <c r="A5204" s="23" t="s">
        <v>18401</v>
      </c>
      <c r="B5204" s="23"/>
      <c r="C5204" s="23" t="s">
        <v>6676</v>
      </c>
      <c r="D5204" s="23" t="str">
        <f t="shared" si="243"/>
        <v>ORD26003090</v>
      </c>
      <c r="E5204" s="38">
        <v>46293</v>
      </c>
      <c r="F5204" s="23" t="s">
        <v>12410</v>
      </c>
      <c r="G5204" s="23" t="s">
        <v>75</v>
      </c>
      <c r="H5204" s="24">
        <v>4197</v>
      </c>
      <c r="I5204" s="24">
        <v>12.59</v>
      </c>
      <c r="J5204" s="24">
        <v>2.27</v>
      </c>
      <c r="K5204" s="24">
        <v>4182.1400000000003</v>
      </c>
      <c r="L5204" s="38">
        <v>46295</v>
      </c>
      <c r="M5204" s="23" t="s">
        <v>231</v>
      </c>
      <c r="N5204" s="23" t="str">
        <f>IF(COUNTIF($A$2:A5204,A5204)&gt;1,"DUP","OK")</f>
        <v>OK</v>
      </c>
      <c r="O5204" s="23" t="str">
        <f t="shared" si="244"/>
        <v>ORD26003090</v>
      </c>
      <c r="P5204" s="23" t="str">
        <f t="shared" si="245"/>
        <v>Sep</v>
      </c>
      <c r="Q5204" s="23" t="str">
        <f>IF(F5204="CAPTURE",IF(COUNTIF(orders!$A:$A,O5204)&gt;0,"Yes","NO ORDER"),"")</f>
        <v>Yes</v>
      </c>
    </row>
    <row r="5205" spans="1:17" ht="15" customHeight="1" x14ac:dyDescent="0.3">
      <c r="A5205" s="23" t="s">
        <v>18402</v>
      </c>
      <c r="B5205" s="23"/>
      <c r="C5205" s="23" t="s">
        <v>6680</v>
      </c>
      <c r="D5205" s="23" t="str">
        <f t="shared" si="243"/>
        <v>ORD26003092</v>
      </c>
      <c r="E5205" s="38">
        <v>46293</v>
      </c>
      <c r="F5205" s="23" t="s">
        <v>12410</v>
      </c>
      <c r="G5205" s="23" t="s">
        <v>79</v>
      </c>
      <c r="H5205" s="24">
        <v>6998</v>
      </c>
      <c r="I5205" s="24">
        <v>111.97</v>
      </c>
      <c r="J5205" s="24">
        <v>20.149999999999999</v>
      </c>
      <c r="K5205" s="24">
        <v>6865.88</v>
      </c>
      <c r="L5205" s="38">
        <v>46295</v>
      </c>
      <c r="M5205" s="23" t="s">
        <v>231</v>
      </c>
      <c r="N5205" s="23" t="str">
        <f>IF(COUNTIF($A$2:A5205,A5205)&gt;1,"DUP","OK")</f>
        <v>OK</v>
      </c>
      <c r="O5205" s="23" t="str">
        <f t="shared" si="244"/>
        <v>ORD26003092</v>
      </c>
      <c r="P5205" s="23" t="str">
        <f t="shared" si="245"/>
        <v>Sep</v>
      </c>
      <c r="Q5205" s="23" t="str">
        <f>IF(F5205="CAPTURE",IF(COUNTIF(orders!$A:$A,O5205)&gt;0,"Yes","NO ORDER"),"")</f>
        <v>Yes</v>
      </c>
    </row>
    <row r="5206" spans="1:17" ht="15" customHeight="1" x14ac:dyDescent="0.3">
      <c r="A5206" s="23" t="s">
        <v>18403</v>
      </c>
      <c r="B5206" s="23"/>
      <c r="C5206" s="23" t="s">
        <v>6761</v>
      </c>
      <c r="D5206" s="23" t="str">
        <f t="shared" si="243"/>
        <v>ORD26003132</v>
      </c>
      <c r="E5206" s="38">
        <v>46293</v>
      </c>
      <c r="F5206" s="23" t="s">
        <v>12410</v>
      </c>
      <c r="G5206" s="23" t="s">
        <v>75</v>
      </c>
      <c r="H5206" s="24">
        <v>299</v>
      </c>
      <c r="I5206" s="24">
        <v>0</v>
      </c>
      <c r="J5206" s="24">
        <v>0</v>
      </c>
      <c r="K5206" s="24">
        <v>299</v>
      </c>
      <c r="L5206" s="38">
        <v>46295</v>
      </c>
      <c r="M5206" s="23" t="s">
        <v>231</v>
      </c>
      <c r="N5206" s="23" t="str">
        <f>IF(COUNTIF($A$2:A5206,A5206)&gt;1,"DUP","OK")</f>
        <v>OK</v>
      </c>
      <c r="O5206" s="23" t="str">
        <f t="shared" si="244"/>
        <v>ORD26003132</v>
      </c>
      <c r="P5206" s="23" t="str">
        <f t="shared" si="245"/>
        <v>Sep</v>
      </c>
      <c r="Q5206" s="23" t="str">
        <f>IF(F5206="CAPTURE",IF(COUNTIF(orders!$A:$A,O5206)&gt;0,"Yes","NO ORDER"),"")</f>
        <v>Yes</v>
      </c>
    </row>
    <row r="5207" spans="1:17" ht="15" customHeight="1" x14ac:dyDescent="0.3">
      <c r="A5207" s="23" t="s">
        <v>18404</v>
      </c>
      <c r="B5207" s="23"/>
      <c r="C5207" s="23" t="s">
        <v>6791</v>
      </c>
      <c r="D5207" s="23" t="str">
        <f t="shared" si="243"/>
        <v>ORD26003147</v>
      </c>
      <c r="E5207" s="38">
        <v>46293</v>
      </c>
      <c r="F5207" s="23" t="s">
        <v>12410</v>
      </c>
      <c r="G5207" s="23" t="s">
        <v>75</v>
      </c>
      <c r="H5207" s="24">
        <v>349</v>
      </c>
      <c r="I5207" s="24">
        <v>0</v>
      </c>
      <c r="J5207" s="24">
        <v>0</v>
      </c>
      <c r="K5207" s="24">
        <v>349</v>
      </c>
      <c r="L5207" s="38">
        <v>46295</v>
      </c>
      <c r="M5207" s="23" t="s">
        <v>231</v>
      </c>
      <c r="N5207" s="23" t="str">
        <f>IF(COUNTIF($A$2:A5207,A5207)&gt;1,"DUP","OK")</f>
        <v>OK</v>
      </c>
      <c r="O5207" s="23" t="str">
        <f t="shared" si="244"/>
        <v>ORD26003147</v>
      </c>
      <c r="P5207" s="23" t="str">
        <f t="shared" si="245"/>
        <v>Sep</v>
      </c>
      <c r="Q5207" s="23" t="str">
        <f>IF(F5207="CAPTURE",IF(COUNTIF(orders!$A:$A,O5207)&gt;0,"Yes","NO ORDER"),"")</f>
        <v>Yes</v>
      </c>
    </row>
    <row r="5208" spans="1:17" ht="15" customHeight="1" x14ac:dyDescent="0.3">
      <c r="A5208" s="23" t="s">
        <v>18405</v>
      </c>
      <c r="B5208" s="23"/>
      <c r="C5208" s="23" t="s">
        <v>6805</v>
      </c>
      <c r="D5208" s="23" t="str">
        <f t="shared" si="243"/>
        <v>ORD26003154</v>
      </c>
      <c r="E5208" s="38">
        <v>46293</v>
      </c>
      <c r="F5208" s="23" t="s">
        <v>12410</v>
      </c>
      <c r="G5208" s="23" t="s">
        <v>79</v>
      </c>
      <c r="H5208" s="24">
        <v>8998</v>
      </c>
      <c r="I5208" s="24">
        <v>143.97</v>
      </c>
      <c r="J5208" s="24">
        <v>25.91</v>
      </c>
      <c r="K5208" s="24">
        <v>8828.1200000000008</v>
      </c>
      <c r="L5208" s="38">
        <v>46295</v>
      </c>
      <c r="M5208" s="23" t="s">
        <v>231</v>
      </c>
      <c r="N5208" s="23" t="str">
        <f>IF(COUNTIF($A$2:A5208,A5208)&gt;1,"DUP","OK")</f>
        <v>OK</v>
      </c>
      <c r="O5208" s="23" t="str">
        <f t="shared" si="244"/>
        <v>ORD26003154</v>
      </c>
      <c r="P5208" s="23" t="str">
        <f t="shared" si="245"/>
        <v>Sep</v>
      </c>
      <c r="Q5208" s="23" t="str">
        <f>IF(F5208="CAPTURE",IF(COUNTIF(orders!$A:$A,O5208)&gt;0,"Yes","NO ORDER"),"")</f>
        <v>Yes</v>
      </c>
    </row>
    <row r="5209" spans="1:17" ht="15" customHeight="1" x14ac:dyDescent="0.3">
      <c r="A5209" s="23" t="s">
        <v>18406</v>
      </c>
      <c r="B5209" s="23"/>
      <c r="C5209" s="23" t="s">
        <v>6863</v>
      </c>
      <c r="D5209" s="23" t="str">
        <f t="shared" si="243"/>
        <v>ORD26003183</v>
      </c>
      <c r="E5209" s="38">
        <v>46293</v>
      </c>
      <c r="F5209" s="23" t="s">
        <v>12410</v>
      </c>
      <c r="G5209" s="23" t="s">
        <v>79</v>
      </c>
      <c r="H5209" s="24">
        <v>5498</v>
      </c>
      <c r="I5209" s="24">
        <v>87.97</v>
      </c>
      <c r="J5209" s="24">
        <v>15.83</v>
      </c>
      <c r="K5209" s="24">
        <v>5394.2</v>
      </c>
      <c r="L5209" s="38">
        <v>46295</v>
      </c>
      <c r="M5209" s="23" t="s">
        <v>231</v>
      </c>
      <c r="N5209" s="23" t="str">
        <f>IF(COUNTIF($A$2:A5209,A5209)&gt;1,"DUP","OK")</f>
        <v>OK</v>
      </c>
      <c r="O5209" s="23" t="str">
        <f t="shared" si="244"/>
        <v>ORD26003183</v>
      </c>
      <c r="P5209" s="23" t="str">
        <f t="shared" si="245"/>
        <v>Sep</v>
      </c>
      <c r="Q5209" s="23" t="str">
        <f>IF(F5209="CAPTURE",IF(COUNTIF(orders!$A:$A,O5209)&gt;0,"Yes","NO ORDER"),"")</f>
        <v>Yes</v>
      </c>
    </row>
    <row r="5210" spans="1:17" ht="15" customHeight="1" x14ac:dyDescent="0.3">
      <c r="A5210" s="23" t="s">
        <v>18407</v>
      </c>
      <c r="B5210" s="23"/>
      <c r="C5210" s="23" t="s">
        <v>6865</v>
      </c>
      <c r="D5210" s="23" t="str">
        <f t="shared" si="243"/>
        <v>ORD26003184</v>
      </c>
      <c r="E5210" s="38">
        <v>46293</v>
      </c>
      <c r="F5210" s="23" t="s">
        <v>12410</v>
      </c>
      <c r="G5210" s="23" t="s">
        <v>79</v>
      </c>
      <c r="H5210" s="24">
        <v>499</v>
      </c>
      <c r="I5210" s="24">
        <v>8.98</v>
      </c>
      <c r="J5210" s="24">
        <v>1.62</v>
      </c>
      <c r="K5210" s="24">
        <v>488.4</v>
      </c>
      <c r="L5210" s="38">
        <v>46295</v>
      </c>
      <c r="M5210" s="23" t="s">
        <v>231</v>
      </c>
      <c r="N5210" s="23" t="str">
        <f>IF(COUNTIF($A$2:A5210,A5210)&gt;1,"DUP","OK")</f>
        <v>OK</v>
      </c>
      <c r="O5210" s="23" t="str">
        <f t="shared" si="244"/>
        <v>ORD26003184</v>
      </c>
      <c r="P5210" s="23" t="str">
        <f t="shared" si="245"/>
        <v>Sep</v>
      </c>
      <c r="Q5210" s="23" t="str">
        <f>IF(F5210="CAPTURE",IF(COUNTIF(orders!$A:$A,O5210)&gt;0,"Yes","NO ORDER"),"")</f>
        <v>Yes</v>
      </c>
    </row>
    <row r="5211" spans="1:17" ht="15" customHeight="1" x14ac:dyDescent="0.3">
      <c r="A5211" s="23" t="s">
        <v>18408</v>
      </c>
      <c r="B5211" s="23"/>
      <c r="C5211" s="23" t="s">
        <v>6878</v>
      </c>
      <c r="D5211" s="23" t="str">
        <f t="shared" si="243"/>
        <v>ORD26003190</v>
      </c>
      <c r="E5211" s="38">
        <v>46293</v>
      </c>
      <c r="F5211" s="23" t="s">
        <v>12410</v>
      </c>
      <c r="G5211" s="23" t="s">
        <v>75</v>
      </c>
      <c r="H5211" s="24">
        <v>7999</v>
      </c>
      <c r="I5211" s="24">
        <v>24</v>
      </c>
      <c r="J5211" s="24">
        <v>4.32</v>
      </c>
      <c r="K5211" s="24">
        <v>7970.68</v>
      </c>
      <c r="L5211" s="38">
        <v>46295</v>
      </c>
      <c r="M5211" s="23" t="s">
        <v>231</v>
      </c>
      <c r="N5211" s="23" t="str">
        <f>IF(COUNTIF($A$2:A5211,A5211)&gt;1,"DUP","OK")</f>
        <v>OK</v>
      </c>
      <c r="O5211" s="23" t="str">
        <f t="shared" si="244"/>
        <v>ORD26003190</v>
      </c>
      <c r="P5211" s="23" t="str">
        <f t="shared" si="245"/>
        <v>Sep</v>
      </c>
      <c r="Q5211" s="23" t="str">
        <f>IF(F5211="CAPTURE",IF(COUNTIF(orders!$A:$A,O5211)&gt;0,"Yes","NO ORDER"),"")</f>
        <v>Yes</v>
      </c>
    </row>
    <row r="5212" spans="1:17" ht="15" customHeight="1" x14ac:dyDescent="0.3">
      <c r="A5212" s="23" t="s">
        <v>18409</v>
      </c>
      <c r="B5212" s="23"/>
      <c r="C5212" s="23" t="s">
        <v>18410</v>
      </c>
      <c r="D5212" s="23" t="str">
        <f t="shared" si="243"/>
        <v>ORD26003197</v>
      </c>
      <c r="E5212" s="38">
        <v>46293</v>
      </c>
      <c r="F5212" s="23" t="s">
        <v>12410</v>
      </c>
      <c r="G5212" s="23" t="s">
        <v>75</v>
      </c>
      <c r="H5212" s="24">
        <v>599</v>
      </c>
      <c r="I5212" s="24">
        <v>0</v>
      </c>
      <c r="J5212" s="24">
        <v>0</v>
      </c>
      <c r="K5212" s="24">
        <v>599</v>
      </c>
      <c r="L5212" s="38">
        <v>46295</v>
      </c>
      <c r="M5212" s="23" t="s">
        <v>231</v>
      </c>
      <c r="N5212" s="23" t="str">
        <f>IF(COUNTIF($A$2:A5212,A5212)&gt;1,"DUP","OK")</f>
        <v>OK</v>
      </c>
      <c r="O5212" s="23" t="str">
        <f t="shared" si="244"/>
        <v>ORD26003197</v>
      </c>
      <c r="P5212" s="23" t="str">
        <f t="shared" si="245"/>
        <v>Sep</v>
      </c>
      <c r="Q5212" s="23" t="str">
        <f>IF(F5212="CAPTURE",IF(COUNTIF(orders!$A:$A,O5212)&gt;0,"Yes","NO ORDER"),"")</f>
        <v>Yes</v>
      </c>
    </row>
    <row r="5213" spans="1:17" ht="15" customHeight="1" x14ac:dyDescent="0.3">
      <c r="A5213" s="23" t="s">
        <v>18411</v>
      </c>
      <c r="B5213" s="23"/>
      <c r="C5213" s="23" t="s">
        <v>7013</v>
      </c>
      <c r="D5213" s="23" t="str">
        <f t="shared" si="243"/>
        <v>ORD26003257</v>
      </c>
      <c r="E5213" s="38">
        <v>46293</v>
      </c>
      <c r="F5213" s="23" t="s">
        <v>12410</v>
      </c>
      <c r="G5213" s="23" t="s">
        <v>75</v>
      </c>
      <c r="H5213" s="24">
        <v>349</v>
      </c>
      <c r="I5213" s="24">
        <v>0</v>
      </c>
      <c r="J5213" s="24">
        <v>0</v>
      </c>
      <c r="K5213" s="24">
        <v>349</v>
      </c>
      <c r="L5213" s="38">
        <v>46295</v>
      </c>
      <c r="M5213" s="23" t="s">
        <v>231</v>
      </c>
      <c r="N5213" s="23" t="str">
        <f>IF(COUNTIF($A$2:A5213,A5213)&gt;1,"DUP","OK")</f>
        <v>OK</v>
      </c>
      <c r="O5213" s="23" t="str">
        <f t="shared" si="244"/>
        <v>ORD26003257</v>
      </c>
      <c r="P5213" s="23" t="str">
        <f t="shared" si="245"/>
        <v>Sep</v>
      </c>
      <c r="Q5213" s="23" t="str">
        <f>IF(F5213="CAPTURE",IF(COUNTIF(orders!$A:$A,O5213)&gt;0,"Yes","NO ORDER"),"")</f>
        <v>Yes</v>
      </c>
    </row>
    <row r="5214" spans="1:17" ht="15" customHeight="1" x14ac:dyDescent="0.3">
      <c r="A5214" s="23" t="s">
        <v>18412</v>
      </c>
      <c r="B5214" s="23"/>
      <c r="C5214" s="23" t="s">
        <v>18413</v>
      </c>
      <c r="D5214" s="23" t="str">
        <f t="shared" si="243"/>
        <v>ORD26003271</v>
      </c>
      <c r="E5214" s="38">
        <v>46293</v>
      </c>
      <c r="F5214" s="23" t="s">
        <v>12410</v>
      </c>
      <c r="G5214" s="23" t="s">
        <v>77</v>
      </c>
      <c r="H5214" s="24">
        <v>4798</v>
      </c>
      <c r="I5214" s="24">
        <v>81.569999999999993</v>
      </c>
      <c r="J5214" s="24">
        <v>14.68</v>
      </c>
      <c r="K5214" s="24">
        <v>4701.75</v>
      </c>
      <c r="L5214" s="38">
        <v>46295</v>
      </c>
      <c r="M5214" s="23" t="s">
        <v>231</v>
      </c>
      <c r="N5214" s="23" t="str">
        <f>IF(COUNTIF($A$2:A5214,A5214)&gt;1,"DUP","OK")</f>
        <v>OK</v>
      </c>
      <c r="O5214" s="23" t="str">
        <f t="shared" si="244"/>
        <v>ORD26003271</v>
      </c>
      <c r="P5214" s="23" t="str">
        <f t="shared" si="245"/>
        <v>Sep</v>
      </c>
      <c r="Q5214" s="23" t="str">
        <f>IF(F5214="CAPTURE",IF(COUNTIF(orders!$A:$A,O5214)&gt;0,"Yes","NO ORDER"),"")</f>
        <v>Yes</v>
      </c>
    </row>
    <row r="5215" spans="1:17" ht="15" customHeight="1" x14ac:dyDescent="0.3">
      <c r="A5215" s="23" t="s">
        <v>18414</v>
      </c>
      <c r="B5215" s="23"/>
      <c r="C5215" s="23" t="s">
        <v>18415</v>
      </c>
      <c r="D5215" s="23" t="str">
        <f t="shared" si="243"/>
        <v>ORD26003292</v>
      </c>
      <c r="E5215" s="38">
        <v>46293</v>
      </c>
      <c r="F5215" s="23" t="s">
        <v>12410</v>
      </c>
      <c r="G5215" s="23" t="s">
        <v>75</v>
      </c>
      <c r="H5215" s="24">
        <v>2097</v>
      </c>
      <c r="I5215" s="24">
        <v>6.29</v>
      </c>
      <c r="J5215" s="24">
        <v>1.1299999999999999</v>
      </c>
      <c r="K5215" s="24">
        <v>2089.58</v>
      </c>
      <c r="L5215" s="38">
        <v>46295</v>
      </c>
      <c r="M5215" s="23" t="s">
        <v>231</v>
      </c>
      <c r="N5215" s="23" t="str">
        <f>IF(COUNTIF($A$2:A5215,A5215)&gt;1,"DUP","OK")</f>
        <v>OK</v>
      </c>
      <c r="O5215" s="23" t="str">
        <f t="shared" si="244"/>
        <v>ORD26003292</v>
      </c>
      <c r="P5215" s="23" t="str">
        <f t="shared" si="245"/>
        <v>Sep</v>
      </c>
      <c r="Q5215" s="23" t="str">
        <f>IF(F5215="CAPTURE",IF(COUNTIF(orders!$A:$A,O5215)&gt;0,"Yes","NO ORDER"),"")</f>
        <v>Yes</v>
      </c>
    </row>
    <row r="5216" spans="1:17" ht="15" customHeight="1" x14ac:dyDescent="0.3">
      <c r="A5216" s="23" t="s">
        <v>18416</v>
      </c>
      <c r="B5216" s="23"/>
      <c r="C5216" s="23" t="s">
        <v>7157</v>
      </c>
      <c r="D5216" s="23" t="str">
        <f t="shared" si="243"/>
        <v>ORD26003330</v>
      </c>
      <c r="E5216" s="38">
        <v>46293</v>
      </c>
      <c r="F5216" s="23" t="s">
        <v>12410</v>
      </c>
      <c r="G5216" s="23" t="s">
        <v>81</v>
      </c>
      <c r="H5216" s="24">
        <v>2298</v>
      </c>
      <c r="I5216" s="24">
        <v>27.58</v>
      </c>
      <c r="J5216" s="24">
        <v>4.96</v>
      </c>
      <c r="K5216" s="24">
        <v>2265.46</v>
      </c>
      <c r="L5216" s="38">
        <v>46295</v>
      </c>
      <c r="M5216" s="23" t="s">
        <v>231</v>
      </c>
      <c r="N5216" s="23" t="str">
        <f>IF(COUNTIF($A$2:A5216,A5216)&gt;1,"DUP","OK")</f>
        <v>OK</v>
      </c>
      <c r="O5216" s="23" t="str">
        <f t="shared" si="244"/>
        <v>ORD26003330</v>
      </c>
      <c r="P5216" s="23" t="str">
        <f t="shared" si="245"/>
        <v>Sep</v>
      </c>
      <c r="Q5216" s="23" t="str">
        <f>IF(F5216="CAPTURE",IF(COUNTIF(orders!$A:$A,O5216)&gt;0,"Yes","NO ORDER"),"")</f>
        <v>Yes</v>
      </c>
    </row>
    <row r="5217" spans="1:17" ht="15" customHeight="1" x14ac:dyDescent="0.3">
      <c r="A5217" s="23" t="s">
        <v>18417</v>
      </c>
      <c r="B5217" s="23"/>
      <c r="C5217" s="23" t="s">
        <v>7162</v>
      </c>
      <c r="D5217" s="23" t="str">
        <f t="shared" si="243"/>
        <v>ORD26003332</v>
      </c>
      <c r="E5217" s="38">
        <v>46293</v>
      </c>
      <c r="F5217" s="23" t="s">
        <v>12410</v>
      </c>
      <c r="G5217" s="23" t="s">
        <v>75</v>
      </c>
      <c r="H5217" s="24">
        <v>3848</v>
      </c>
      <c r="I5217" s="24">
        <v>11.54</v>
      </c>
      <c r="J5217" s="24">
        <v>2.08</v>
      </c>
      <c r="K5217" s="24">
        <v>3834.38</v>
      </c>
      <c r="L5217" s="38">
        <v>46295</v>
      </c>
      <c r="M5217" s="23" t="s">
        <v>231</v>
      </c>
      <c r="N5217" s="23" t="str">
        <f>IF(COUNTIF($A$2:A5217,A5217)&gt;1,"DUP","OK")</f>
        <v>OK</v>
      </c>
      <c r="O5217" s="23" t="str">
        <f t="shared" si="244"/>
        <v>ORD26003332</v>
      </c>
      <c r="P5217" s="23" t="str">
        <f t="shared" si="245"/>
        <v>Sep</v>
      </c>
      <c r="Q5217" s="23" t="str">
        <f>IF(F5217="CAPTURE",IF(COUNTIF(orders!$A:$A,O5217)&gt;0,"Yes","NO ORDER"),"")</f>
        <v>Yes</v>
      </c>
    </row>
    <row r="5218" spans="1:17" ht="15" customHeight="1" x14ac:dyDescent="0.3">
      <c r="A5218" s="23" t="s">
        <v>18418</v>
      </c>
      <c r="B5218" s="23"/>
      <c r="C5218" s="23" t="s">
        <v>7202</v>
      </c>
      <c r="D5218" s="23" t="str">
        <f t="shared" si="243"/>
        <v>ORD26003352</v>
      </c>
      <c r="E5218" s="38">
        <v>46293</v>
      </c>
      <c r="F5218" s="23" t="s">
        <v>12410</v>
      </c>
      <c r="G5218" s="23" t="s">
        <v>75</v>
      </c>
      <c r="H5218" s="24">
        <v>16597</v>
      </c>
      <c r="I5218" s="24">
        <v>49.79</v>
      </c>
      <c r="J5218" s="24">
        <v>8.9600000000000009</v>
      </c>
      <c r="K5218" s="24">
        <v>16538.25</v>
      </c>
      <c r="L5218" s="38">
        <v>46295</v>
      </c>
      <c r="M5218" s="23" t="s">
        <v>231</v>
      </c>
      <c r="N5218" s="23" t="str">
        <f>IF(COUNTIF($A$2:A5218,A5218)&gt;1,"DUP","OK")</f>
        <v>OK</v>
      </c>
      <c r="O5218" s="23" t="str">
        <f t="shared" si="244"/>
        <v>ORD26003352</v>
      </c>
      <c r="P5218" s="23" t="str">
        <f t="shared" si="245"/>
        <v>Sep</v>
      </c>
      <c r="Q5218" s="23" t="str">
        <f>IF(F5218="CAPTURE",IF(COUNTIF(orders!$A:$A,O5218)&gt;0,"Yes","NO ORDER"),"")</f>
        <v>Yes</v>
      </c>
    </row>
    <row r="5219" spans="1:17" ht="15" customHeight="1" x14ac:dyDescent="0.3">
      <c r="A5219" s="23" t="s">
        <v>18419</v>
      </c>
      <c r="B5219" s="23"/>
      <c r="C5219" s="23" t="s">
        <v>7447</v>
      </c>
      <c r="D5219" s="23" t="str">
        <f t="shared" si="243"/>
        <v>ORD26003474</v>
      </c>
      <c r="E5219" s="38">
        <v>46293</v>
      </c>
      <c r="F5219" s="23" t="s">
        <v>12410</v>
      </c>
      <c r="G5219" s="23" t="s">
        <v>75</v>
      </c>
      <c r="H5219" s="24">
        <v>299</v>
      </c>
      <c r="I5219" s="24">
        <v>0</v>
      </c>
      <c r="J5219" s="24">
        <v>0</v>
      </c>
      <c r="K5219" s="24">
        <v>299</v>
      </c>
      <c r="L5219" s="38">
        <v>46295</v>
      </c>
      <c r="M5219" s="23" t="s">
        <v>231</v>
      </c>
      <c r="N5219" s="23" t="str">
        <f>IF(COUNTIF($A$2:A5219,A5219)&gt;1,"DUP","OK")</f>
        <v>OK</v>
      </c>
      <c r="O5219" s="23" t="str">
        <f t="shared" si="244"/>
        <v>ORD26003474</v>
      </c>
      <c r="P5219" s="23" t="str">
        <f t="shared" si="245"/>
        <v>Sep</v>
      </c>
      <c r="Q5219" s="23" t="str">
        <f>IF(F5219="CAPTURE",IF(COUNTIF(orders!$A:$A,O5219)&gt;0,"Yes","NO ORDER"),"")</f>
        <v>Yes</v>
      </c>
    </row>
    <row r="5220" spans="1:17" ht="15" customHeight="1" x14ac:dyDescent="0.3">
      <c r="A5220" s="23" t="s">
        <v>18420</v>
      </c>
      <c r="B5220" s="23"/>
      <c r="C5220" s="23" t="s">
        <v>7524</v>
      </c>
      <c r="D5220" s="23" t="str">
        <f t="shared" si="243"/>
        <v>ORD26003513</v>
      </c>
      <c r="E5220" s="38">
        <v>46293</v>
      </c>
      <c r="F5220" s="23" t="s">
        <v>12410</v>
      </c>
      <c r="G5220" s="23" t="s">
        <v>75</v>
      </c>
      <c r="H5220" s="24">
        <v>2098</v>
      </c>
      <c r="I5220" s="24">
        <v>6.29</v>
      </c>
      <c r="J5220" s="24">
        <v>1.1299999999999999</v>
      </c>
      <c r="K5220" s="24">
        <v>2090.58</v>
      </c>
      <c r="L5220" s="38">
        <v>46295</v>
      </c>
      <c r="M5220" s="23" t="s">
        <v>231</v>
      </c>
      <c r="N5220" s="23" t="str">
        <f>IF(COUNTIF($A$2:A5220,A5220)&gt;1,"DUP","OK")</f>
        <v>OK</v>
      </c>
      <c r="O5220" s="23" t="str">
        <f t="shared" si="244"/>
        <v>ORD26003513</v>
      </c>
      <c r="P5220" s="23" t="str">
        <f t="shared" si="245"/>
        <v>Sep</v>
      </c>
      <c r="Q5220" s="23" t="str">
        <f>IF(F5220="CAPTURE",IF(COUNTIF(orders!$A:$A,O5220)&gt;0,"Yes","NO ORDER"),"")</f>
        <v>Yes</v>
      </c>
    </row>
    <row r="5221" spans="1:17" ht="15" customHeight="1" x14ac:dyDescent="0.3">
      <c r="A5221" s="23" t="s">
        <v>18421</v>
      </c>
      <c r="B5221" s="23"/>
      <c r="C5221" s="23" t="s">
        <v>7548</v>
      </c>
      <c r="D5221" s="23" t="str">
        <f t="shared" si="243"/>
        <v>ORD26003526</v>
      </c>
      <c r="E5221" s="38">
        <v>46293</v>
      </c>
      <c r="F5221" s="23" t="s">
        <v>12410</v>
      </c>
      <c r="G5221" s="23" t="s">
        <v>77</v>
      </c>
      <c r="H5221" s="24">
        <v>1499</v>
      </c>
      <c r="I5221" s="24">
        <v>28.48</v>
      </c>
      <c r="J5221" s="24">
        <v>5.13</v>
      </c>
      <c r="K5221" s="24">
        <v>1465.39</v>
      </c>
      <c r="L5221" s="38">
        <v>46295</v>
      </c>
      <c r="M5221" s="23" t="s">
        <v>231</v>
      </c>
      <c r="N5221" s="23" t="str">
        <f>IF(COUNTIF($A$2:A5221,A5221)&gt;1,"DUP","OK")</f>
        <v>OK</v>
      </c>
      <c r="O5221" s="23" t="str">
        <f t="shared" si="244"/>
        <v>ORD26003526</v>
      </c>
      <c r="P5221" s="23" t="str">
        <f t="shared" si="245"/>
        <v>Sep</v>
      </c>
      <c r="Q5221" s="23" t="str">
        <f>IF(F5221="CAPTURE",IF(COUNTIF(orders!$A:$A,O5221)&gt;0,"Yes","NO ORDER"),"")</f>
        <v>Yes</v>
      </c>
    </row>
    <row r="5222" spans="1:17" ht="15" customHeight="1" x14ac:dyDescent="0.3">
      <c r="A5222" s="23" t="s">
        <v>18422</v>
      </c>
      <c r="B5222" s="23"/>
      <c r="C5222" s="23" t="s">
        <v>7556</v>
      </c>
      <c r="D5222" s="23" t="str">
        <f t="shared" si="243"/>
        <v>ORD26003530</v>
      </c>
      <c r="E5222" s="38">
        <v>46293</v>
      </c>
      <c r="F5222" s="23" t="s">
        <v>12410</v>
      </c>
      <c r="G5222" s="23" t="s">
        <v>75</v>
      </c>
      <c r="H5222" s="24">
        <v>2998</v>
      </c>
      <c r="I5222" s="24">
        <v>8.99</v>
      </c>
      <c r="J5222" s="24">
        <v>1.62</v>
      </c>
      <c r="K5222" s="24">
        <v>2987.39</v>
      </c>
      <c r="L5222" s="38">
        <v>46295</v>
      </c>
      <c r="M5222" s="23" t="s">
        <v>231</v>
      </c>
      <c r="N5222" s="23" t="str">
        <f>IF(COUNTIF($A$2:A5222,A5222)&gt;1,"DUP","OK")</f>
        <v>OK</v>
      </c>
      <c r="O5222" s="23" t="str">
        <f t="shared" si="244"/>
        <v>ORD26003530</v>
      </c>
      <c r="P5222" s="23" t="str">
        <f t="shared" si="245"/>
        <v>Sep</v>
      </c>
      <c r="Q5222" s="23" t="str">
        <f>IF(F5222="CAPTURE",IF(COUNTIF(orders!$A:$A,O5222)&gt;0,"Yes","NO ORDER"),"")</f>
        <v>Yes</v>
      </c>
    </row>
    <row r="5223" spans="1:17" ht="15" customHeight="1" x14ac:dyDescent="0.3">
      <c r="A5223" s="23" t="s">
        <v>18423</v>
      </c>
      <c r="B5223" s="23"/>
      <c r="C5223" s="23" t="s">
        <v>7587</v>
      </c>
      <c r="D5223" s="23" t="str">
        <f t="shared" si="243"/>
        <v>ORD26003546</v>
      </c>
      <c r="E5223" s="38">
        <v>46293</v>
      </c>
      <c r="F5223" s="23" t="s">
        <v>12410</v>
      </c>
      <c r="G5223" s="23" t="s">
        <v>79</v>
      </c>
      <c r="H5223" s="24">
        <v>349</v>
      </c>
      <c r="I5223" s="24">
        <v>6.28</v>
      </c>
      <c r="J5223" s="24">
        <v>1.1299999999999999</v>
      </c>
      <c r="K5223" s="24">
        <v>341.59</v>
      </c>
      <c r="L5223" s="38">
        <v>46295</v>
      </c>
      <c r="M5223" s="23" t="s">
        <v>231</v>
      </c>
      <c r="N5223" s="23" t="str">
        <f>IF(COUNTIF($A$2:A5223,A5223)&gt;1,"DUP","OK")</f>
        <v>OK</v>
      </c>
      <c r="O5223" s="23" t="str">
        <f t="shared" si="244"/>
        <v>ORD26003546</v>
      </c>
      <c r="P5223" s="23" t="str">
        <f t="shared" si="245"/>
        <v>Sep</v>
      </c>
      <c r="Q5223" s="23" t="str">
        <f>IF(F5223="CAPTURE",IF(COUNTIF(orders!$A:$A,O5223)&gt;0,"Yes","NO ORDER"),"")</f>
        <v>Yes</v>
      </c>
    </row>
    <row r="5224" spans="1:17" ht="15" customHeight="1" x14ac:dyDescent="0.3">
      <c r="A5224" s="23" t="s">
        <v>18424</v>
      </c>
      <c r="B5224" s="23"/>
      <c r="C5224" s="23" t="s">
        <v>7754</v>
      </c>
      <c r="D5224" s="23" t="str">
        <f t="shared" si="243"/>
        <v>ORD26003630</v>
      </c>
      <c r="E5224" s="38">
        <v>46293</v>
      </c>
      <c r="F5224" s="23" t="s">
        <v>12410</v>
      </c>
      <c r="G5224" s="23" t="s">
        <v>75</v>
      </c>
      <c r="H5224" s="24">
        <v>7999</v>
      </c>
      <c r="I5224" s="24">
        <v>24</v>
      </c>
      <c r="J5224" s="24">
        <v>4.32</v>
      </c>
      <c r="K5224" s="24">
        <v>7970.68</v>
      </c>
      <c r="L5224" s="38">
        <v>46295</v>
      </c>
      <c r="M5224" s="23" t="s">
        <v>231</v>
      </c>
      <c r="N5224" s="23" t="str">
        <f>IF(COUNTIF($A$2:A5224,A5224)&gt;1,"DUP","OK")</f>
        <v>OK</v>
      </c>
      <c r="O5224" s="23" t="str">
        <f t="shared" si="244"/>
        <v>ORD26003630</v>
      </c>
      <c r="P5224" s="23" t="str">
        <f t="shared" si="245"/>
        <v>Sep</v>
      </c>
      <c r="Q5224" s="23" t="str">
        <f>IF(F5224="CAPTURE",IF(COUNTIF(orders!$A:$A,O5224)&gt;0,"Yes","NO ORDER"),"")</f>
        <v>Yes</v>
      </c>
    </row>
    <row r="5225" spans="1:17" ht="15" customHeight="1" x14ac:dyDescent="0.3">
      <c r="A5225" s="23" t="s">
        <v>18425</v>
      </c>
      <c r="B5225" s="23"/>
      <c r="C5225" s="23" t="s">
        <v>7901</v>
      </c>
      <c r="D5225" s="23" t="str">
        <f t="shared" si="243"/>
        <v>ORD26003706</v>
      </c>
      <c r="E5225" s="38">
        <v>46293</v>
      </c>
      <c r="F5225" s="23" t="s">
        <v>12410</v>
      </c>
      <c r="G5225" s="23" t="s">
        <v>79</v>
      </c>
      <c r="H5225" s="24">
        <v>2598</v>
      </c>
      <c r="I5225" s="24">
        <v>41.57</v>
      </c>
      <c r="J5225" s="24">
        <v>7.48</v>
      </c>
      <c r="K5225" s="24">
        <v>2548.9499999999998</v>
      </c>
      <c r="L5225" s="38">
        <v>46295</v>
      </c>
      <c r="M5225" s="23" t="s">
        <v>231</v>
      </c>
      <c r="N5225" s="23" t="str">
        <f>IF(COUNTIF($A$2:A5225,A5225)&gt;1,"DUP","OK")</f>
        <v>OK</v>
      </c>
      <c r="O5225" s="23" t="str">
        <f t="shared" si="244"/>
        <v>ORD26003706</v>
      </c>
      <c r="P5225" s="23" t="str">
        <f t="shared" si="245"/>
        <v>Sep</v>
      </c>
      <c r="Q5225" s="23" t="str">
        <f>IF(F5225="CAPTURE",IF(COUNTIF(orders!$A:$A,O5225)&gt;0,"Yes","NO ORDER"),"")</f>
        <v>Yes</v>
      </c>
    </row>
    <row r="5226" spans="1:17" ht="15" customHeight="1" x14ac:dyDescent="0.3">
      <c r="A5226" s="23" t="s">
        <v>18426</v>
      </c>
      <c r="B5226" s="23"/>
      <c r="C5226" s="23" t="s">
        <v>7942</v>
      </c>
      <c r="D5226" s="23" t="str">
        <f t="shared" si="243"/>
        <v>ORD26003727</v>
      </c>
      <c r="E5226" s="38">
        <v>46293</v>
      </c>
      <c r="F5226" s="23" t="s">
        <v>12410</v>
      </c>
      <c r="G5226" s="23" t="s">
        <v>79</v>
      </c>
      <c r="H5226" s="24">
        <v>349</v>
      </c>
      <c r="I5226" s="24">
        <v>6.28</v>
      </c>
      <c r="J5226" s="24">
        <v>1.1299999999999999</v>
      </c>
      <c r="K5226" s="24">
        <v>341.59</v>
      </c>
      <c r="L5226" s="38">
        <v>46295</v>
      </c>
      <c r="M5226" s="23" t="s">
        <v>231</v>
      </c>
      <c r="N5226" s="23" t="str">
        <f>IF(COUNTIF($A$2:A5226,A5226)&gt;1,"DUP","OK")</f>
        <v>OK</v>
      </c>
      <c r="O5226" s="23" t="str">
        <f t="shared" si="244"/>
        <v>ORD26003727</v>
      </c>
      <c r="P5226" s="23" t="str">
        <f t="shared" si="245"/>
        <v>Sep</v>
      </c>
      <c r="Q5226" s="23" t="str">
        <f>IF(F5226="CAPTURE",IF(COUNTIF(orders!$A:$A,O5226)&gt;0,"Yes","NO ORDER"),"")</f>
        <v>Yes</v>
      </c>
    </row>
    <row r="5227" spans="1:17" ht="15" customHeight="1" x14ac:dyDescent="0.3">
      <c r="A5227" s="23" t="s">
        <v>18427</v>
      </c>
      <c r="B5227" s="23"/>
      <c r="C5227" s="23" t="s">
        <v>7980</v>
      </c>
      <c r="D5227" s="23" t="str">
        <f t="shared" si="243"/>
        <v>ORD26003746</v>
      </c>
      <c r="E5227" s="38">
        <v>46293</v>
      </c>
      <c r="F5227" s="23" t="s">
        <v>12410</v>
      </c>
      <c r="G5227" s="23" t="s">
        <v>75</v>
      </c>
      <c r="H5227" s="24">
        <v>2499</v>
      </c>
      <c r="I5227" s="24">
        <v>7.5</v>
      </c>
      <c r="J5227" s="24">
        <v>1.35</v>
      </c>
      <c r="K5227" s="24">
        <v>2490.15</v>
      </c>
      <c r="L5227" s="38">
        <v>46295</v>
      </c>
      <c r="M5227" s="23" t="s">
        <v>231</v>
      </c>
      <c r="N5227" s="23" t="str">
        <f>IF(COUNTIF($A$2:A5227,A5227)&gt;1,"DUP","OK")</f>
        <v>OK</v>
      </c>
      <c r="O5227" s="23" t="str">
        <f t="shared" si="244"/>
        <v>ORD26003746</v>
      </c>
      <c r="P5227" s="23" t="str">
        <f t="shared" si="245"/>
        <v>Sep</v>
      </c>
      <c r="Q5227" s="23" t="str">
        <f>IF(F5227="CAPTURE",IF(COUNTIF(orders!$A:$A,O5227)&gt;0,"Yes","NO ORDER"),"")</f>
        <v>Yes</v>
      </c>
    </row>
    <row r="5228" spans="1:17" ht="15" customHeight="1" x14ac:dyDescent="0.3">
      <c r="A5228" s="23" t="s">
        <v>18428</v>
      </c>
      <c r="B5228" s="23"/>
      <c r="C5228" s="23" t="s">
        <v>18429</v>
      </c>
      <c r="D5228" s="23" t="str">
        <f t="shared" si="243"/>
        <v>ORD26003770</v>
      </c>
      <c r="E5228" s="38">
        <v>46293</v>
      </c>
      <c r="F5228" s="23" t="s">
        <v>12410</v>
      </c>
      <c r="G5228" s="23" t="s">
        <v>79</v>
      </c>
      <c r="H5228" s="24">
        <v>4999</v>
      </c>
      <c r="I5228" s="24">
        <v>79.98</v>
      </c>
      <c r="J5228" s="24">
        <v>14.4</v>
      </c>
      <c r="K5228" s="24">
        <v>4904.62</v>
      </c>
      <c r="L5228" s="38">
        <v>46295</v>
      </c>
      <c r="M5228" s="23" t="s">
        <v>231</v>
      </c>
      <c r="N5228" s="23" t="str">
        <f>IF(COUNTIF($A$2:A5228,A5228)&gt;1,"DUP","OK")</f>
        <v>OK</v>
      </c>
      <c r="O5228" s="23" t="str">
        <f t="shared" si="244"/>
        <v>ORD26003770</v>
      </c>
      <c r="P5228" s="23" t="str">
        <f t="shared" si="245"/>
        <v>Sep</v>
      </c>
      <c r="Q5228" s="23" t="str">
        <f>IF(F5228="CAPTURE",IF(COUNTIF(orders!$A:$A,O5228)&gt;0,"Yes","NO ORDER"),"")</f>
        <v>Yes</v>
      </c>
    </row>
    <row r="5229" spans="1:17" ht="15" customHeight="1" x14ac:dyDescent="0.3">
      <c r="A5229" s="23" t="s">
        <v>18430</v>
      </c>
      <c r="B5229" s="23"/>
      <c r="C5229" s="23" t="s">
        <v>8050</v>
      </c>
      <c r="D5229" s="23" t="str">
        <f t="shared" si="243"/>
        <v>ORD26003781</v>
      </c>
      <c r="E5229" s="38">
        <v>46293</v>
      </c>
      <c r="F5229" s="23" t="s">
        <v>12410</v>
      </c>
      <c r="G5229" s="23" t="s">
        <v>79</v>
      </c>
      <c r="H5229" s="24">
        <v>999</v>
      </c>
      <c r="I5229" s="24">
        <v>17.98</v>
      </c>
      <c r="J5229" s="24">
        <v>3.24</v>
      </c>
      <c r="K5229" s="24">
        <v>977.78</v>
      </c>
      <c r="L5229" s="38">
        <v>46295</v>
      </c>
      <c r="M5229" s="23" t="s">
        <v>231</v>
      </c>
      <c r="N5229" s="23" t="str">
        <f>IF(COUNTIF($A$2:A5229,A5229)&gt;1,"DUP","OK")</f>
        <v>OK</v>
      </c>
      <c r="O5229" s="23" t="str">
        <f t="shared" si="244"/>
        <v>ORD26003781</v>
      </c>
      <c r="P5229" s="23" t="str">
        <f t="shared" si="245"/>
        <v>Sep</v>
      </c>
      <c r="Q5229" s="23" t="str">
        <f>IF(F5229="CAPTURE",IF(COUNTIF(orders!$A:$A,O5229)&gt;0,"Yes","NO ORDER"),"")</f>
        <v>Yes</v>
      </c>
    </row>
    <row r="5230" spans="1:17" ht="15" customHeight="1" x14ac:dyDescent="0.3">
      <c r="A5230" s="23" t="s">
        <v>18431</v>
      </c>
      <c r="B5230" s="23"/>
      <c r="C5230" s="23" t="s">
        <v>8110</v>
      </c>
      <c r="D5230" s="23" t="str">
        <f t="shared" si="243"/>
        <v>ORD26003811</v>
      </c>
      <c r="E5230" s="38">
        <v>46293</v>
      </c>
      <c r="F5230" s="23" t="s">
        <v>12410</v>
      </c>
      <c r="G5230" s="23" t="s">
        <v>79</v>
      </c>
      <c r="H5230" s="24">
        <v>1299</v>
      </c>
      <c r="I5230" s="24">
        <v>23.38</v>
      </c>
      <c r="J5230" s="24">
        <v>4.21</v>
      </c>
      <c r="K5230" s="24">
        <v>1271.4100000000001</v>
      </c>
      <c r="L5230" s="38">
        <v>46295</v>
      </c>
      <c r="M5230" s="23" t="s">
        <v>231</v>
      </c>
      <c r="N5230" s="23" t="str">
        <f>IF(COUNTIF($A$2:A5230,A5230)&gt;1,"DUP","OK")</f>
        <v>OK</v>
      </c>
      <c r="O5230" s="23" t="str">
        <f t="shared" si="244"/>
        <v>ORD26003811</v>
      </c>
      <c r="P5230" s="23" t="str">
        <f t="shared" si="245"/>
        <v>Sep</v>
      </c>
      <c r="Q5230" s="23" t="str">
        <f>IF(F5230="CAPTURE",IF(COUNTIF(orders!$A:$A,O5230)&gt;0,"Yes","NO ORDER"),"")</f>
        <v>Yes</v>
      </c>
    </row>
    <row r="5231" spans="1:17" ht="15" customHeight="1" x14ac:dyDescent="0.3">
      <c r="A5231" s="23" t="s">
        <v>18432</v>
      </c>
      <c r="B5231" s="23"/>
      <c r="C5231" s="23" t="s">
        <v>18433</v>
      </c>
      <c r="D5231" s="23" t="str">
        <f t="shared" si="243"/>
        <v>ORD26003824</v>
      </c>
      <c r="E5231" s="38">
        <v>46293</v>
      </c>
      <c r="F5231" s="23" t="s">
        <v>12410</v>
      </c>
      <c r="G5231" s="23" t="s">
        <v>75</v>
      </c>
      <c r="H5231" s="24">
        <v>3499</v>
      </c>
      <c r="I5231" s="24">
        <v>10.5</v>
      </c>
      <c r="J5231" s="24">
        <v>1.89</v>
      </c>
      <c r="K5231" s="24">
        <v>3486.61</v>
      </c>
      <c r="L5231" s="38">
        <v>46295</v>
      </c>
      <c r="M5231" s="23" t="s">
        <v>231</v>
      </c>
      <c r="N5231" s="23" t="str">
        <f>IF(COUNTIF($A$2:A5231,A5231)&gt;1,"DUP","OK")</f>
        <v>OK</v>
      </c>
      <c r="O5231" s="23" t="str">
        <f t="shared" si="244"/>
        <v>ORD26003824</v>
      </c>
      <c r="P5231" s="23" t="str">
        <f t="shared" si="245"/>
        <v>Sep</v>
      </c>
      <c r="Q5231" s="23" t="str">
        <f>IF(F5231="CAPTURE",IF(COUNTIF(orders!$A:$A,O5231)&gt;0,"Yes","NO ORDER"),"")</f>
        <v>Yes</v>
      </c>
    </row>
    <row r="5232" spans="1:17" ht="15" customHeight="1" x14ac:dyDescent="0.3">
      <c r="A5232" s="23" t="s">
        <v>18434</v>
      </c>
      <c r="B5232" s="23"/>
      <c r="C5232" s="23" t="s">
        <v>8146</v>
      </c>
      <c r="D5232" s="23" t="str">
        <f t="shared" si="243"/>
        <v>ORD26003829</v>
      </c>
      <c r="E5232" s="38">
        <v>46293</v>
      </c>
      <c r="F5232" s="23" t="s">
        <v>12410</v>
      </c>
      <c r="G5232" s="23" t="s">
        <v>81</v>
      </c>
      <c r="H5232" s="24">
        <v>3998</v>
      </c>
      <c r="I5232" s="24">
        <v>47.98</v>
      </c>
      <c r="J5232" s="24">
        <v>8.64</v>
      </c>
      <c r="K5232" s="24">
        <v>3941.38</v>
      </c>
      <c r="L5232" s="38">
        <v>46295</v>
      </c>
      <c r="M5232" s="23" t="s">
        <v>231</v>
      </c>
      <c r="N5232" s="23" t="str">
        <f>IF(COUNTIF($A$2:A5232,A5232)&gt;1,"DUP","OK")</f>
        <v>OK</v>
      </c>
      <c r="O5232" s="23" t="str">
        <f t="shared" si="244"/>
        <v>ORD26003829</v>
      </c>
      <c r="P5232" s="23" t="str">
        <f t="shared" si="245"/>
        <v>Sep</v>
      </c>
      <c r="Q5232" s="23" t="str">
        <f>IF(F5232="CAPTURE",IF(COUNTIF(orders!$A:$A,O5232)&gt;0,"Yes","NO ORDER"),"")</f>
        <v>Yes</v>
      </c>
    </row>
    <row r="5233" spans="1:17" ht="15" customHeight="1" x14ac:dyDescent="0.3">
      <c r="A5233" s="23" t="s">
        <v>18435</v>
      </c>
      <c r="B5233" s="23"/>
      <c r="C5233" s="23" t="s">
        <v>8219</v>
      </c>
      <c r="D5233" s="23" t="str">
        <f t="shared" si="243"/>
        <v>ORD26003866</v>
      </c>
      <c r="E5233" s="38">
        <v>46293</v>
      </c>
      <c r="F5233" s="23" t="s">
        <v>12410</v>
      </c>
      <c r="G5233" s="23" t="s">
        <v>75</v>
      </c>
      <c r="H5233" s="24">
        <v>299</v>
      </c>
      <c r="I5233" s="24">
        <v>0</v>
      </c>
      <c r="J5233" s="24">
        <v>0</v>
      </c>
      <c r="K5233" s="24">
        <v>299</v>
      </c>
      <c r="L5233" s="38">
        <v>46295</v>
      </c>
      <c r="M5233" s="23" t="s">
        <v>231</v>
      </c>
      <c r="N5233" s="23" t="str">
        <f>IF(COUNTIF($A$2:A5233,A5233)&gt;1,"DUP","OK")</f>
        <v>OK</v>
      </c>
      <c r="O5233" s="23" t="str">
        <f t="shared" si="244"/>
        <v>ORD26003866</v>
      </c>
      <c r="P5233" s="23" t="str">
        <f t="shared" si="245"/>
        <v>Sep</v>
      </c>
      <c r="Q5233" s="23" t="str">
        <f>IF(F5233="CAPTURE",IF(COUNTIF(orders!$A:$A,O5233)&gt;0,"Yes","NO ORDER"),"")</f>
        <v>Yes</v>
      </c>
    </row>
    <row r="5234" spans="1:17" ht="15" customHeight="1" x14ac:dyDescent="0.3">
      <c r="A5234" s="23" t="s">
        <v>18436</v>
      </c>
      <c r="B5234" s="23"/>
      <c r="C5234" s="23" t="s">
        <v>8227</v>
      </c>
      <c r="D5234" s="23" t="str">
        <f t="shared" si="243"/>
        <v>ORD26003870</v>
      </c>
      <c r="E5234" s="38">
        <v>46293</v>
      </c>
      <c r="F5234" s="23" t="s">
        <v>12410</v>
      </c>
      <c r="G5234" s="23" t="s">
        <v>77</v>
      </c>
      <c r="H5234" s="24">
        <v>8498</v>
      </c>
      <c r="I5234" s="24">
        <v>144.47</v>
      </c>
      <c r="J5234" s="24">
        <v>26</v>
      </c>
      <c r="K5234" s="24">
        <v>8327.5300000000007</v>
      </c>
      <c r="L5234" s="38">
        <v>46295</v>
      </c>
      <c r="M5234" s="23" t="s">
        <v>231</v>
      </c>
      <c r="N5234" s="23" t="str">
        <f>IF(COUNTIF($A$2:A5234,A5234)&gt;1,"DUP","OK")</f>
        <v>OK</v>
      </c>
      <c r="O5234" s="23" t="str">
        <f t="shared" si="244"/>
        <v>ORD26003870</v>
      </c>
      <c r="P5234" s="23" t="str">
        <f t="shared" si="245"/>
        <v>Sep</v>
      </c>
      <c r="Q5234" s="23" t="str">
        <f>IF(F5234="CAPTURE",IF(COUNTIF(orders!$A:$A,O5234)&gt;0,"Yes","NO ORDER"),"")</f>
        <v>Yes</v>
      </c>
    </row>
    <row r="5235" spans="1:17" ht="15" customHeight="1" x14ac:dyDescent="0.3">
      <c r="A5235" s="23" t="s">
        <v>18437</v>
      </c>
      <c r="B5235" s="23"/>
      <c r="C5235" s="23" t="s">
        <v>8253</v>
      </c>
      <c r="D5235" s="23" t="str">
        <f t="shared" si="243"/>
        <v>ORD26003883</v>
      </c>
      <c r="E5235" s="38">
        <v>46293</v>
      </c>
      <c r="F5235" s="23" t="s">
        <v>12410</v>
      </c>
      <c r="G5235" s="23" t="s">
        <v>77</v>
      </c>
      <c r="H5235" s="24">
        <v>349</v>
      </c>
      <c r="I5235" s="24">
        <v>6.63</v>
      </c>
      <c r="J5235" s="24">
        <v>1.19</v>
      </c>
      <c r="K5235" s="24">
        <v>341.18</v>
      </c>
      <c r="L5235" s="38">
        <v>46295</v>
      </c>
      <c r="M5235" s="23" t="s">
        <v>231</v>
      </c>
      <c r="N5235" s="23" t="str">
        <f>IF(COUNTIF($A$2:A5235,A5235)&gt;1,"DUP","OK")</f>
        <v>OK</v>
      </c>
      <c r="O5235" s="23" t="str">
        <f t="shared" si="244"/>
        <v>ORD26003883</v>
      </c>
      <c r="P5235" s="23" t="str">
        <f t="shared" si="245"/>
        <v>Sep</v>
      </c>
      <c r="Q5235" s="23" t="str">
        <f>IF(F5235="CAPTURE",IF(COUNTIF(orders!$A:$A,O5235)&gt;0,"Yes","NO ORDER"),"")</f>
        <v>Yes</v>
      </c>
    </row>
    <row r="5236" spans="1:17" ht="15" customHeight="1" x14ac:dyDescent="0.3">
      <c r="A5236" s="23" t="s">
        <v>18438</v>
      </c>
      <c r="B5236" s="23"/>
      <c r="C5236" s="23" t="s">
        <v>8305</v>
      </c>
      <c r="D5236" s="23" t="str">
        <f t="shared" si="243"/>
        <v>ORD26003909</v>
      </c>
      <c r="E5236" s="38">
        <v>46293</v>
      </c>
      <c r="F5236" s="23" t="s">
        <v>12410</v>
      </c>
      <c r="G5236" s="23" t="s">
        <v>75</v>
      </c>
      <c r="H5236" s="24">
        <v>8298</v>
      </c>
      <c r="I5236" s="24">
        <v>24.89</v>
      </c>
      <c r="J5236" s="24">
        <v>4.4800000000000004</v>
      </c>
      <c r="K5236" s="24">
        <v>8268.6299999999992</v>
      </c>
      <c r="L5236" s="38">
        <v>46295</v>
      </c>
      <c r="M5236" s="23" t="s">
        <v>231</v>
      </c>
      <c r="N5236" s="23" t="str">
        <f>IF(COUNTIF($A$2:A5236,A5236)&gt;1,"DUP","OK")</f>
        <v>OK</v>
      </c>
      <c r="O5236" s="23" t="str">
        <f t="shared" si="244"/>
        <v>ORD26003909</v>
      </c>
      <c r="P5236" s="23" t="str">
        <f t="shared" si="245"/>
        <v>Sep</v>
      </c>
      <c r="Q5236" s="23" t="str">
        <f>IF(F5236="CAPTURE",IF(COUNTIF(orders!$A:$A,O5236)&gt;0,"Yes","NO ORDER"),"")</f>
        <v>Yes</v>
      </c>
    </row>
    <row r="5237" spans="1:17" ht="15" customHeight="1" x14ac:dyDescent="0.3">
      <c r="A5237" s="23" t="s">
        <v>18439</v>
      </c>
      <c r="B5237" s="23"/>
      <c r="C5237" s="23" t="s">
        <v>18440</v>
      </c>
      <c r="D5237" s="23" t="str">
        <f t="shared" si="243"/>
        <v>ORD26003931</v>
      </c>
      <c r="E5237" s="38">
        <v>46293</v>
      </c>
      <c r="F5237" s="23" t="s">
        <v>12410</v>
      </c>
      <c r="G5237" s="23" t="s">
        <v>75</v>
      </c>
      <c r="H5237" s="24">
        <v>2999</v>
      </c>
      <c r="I5237" s="24">
        <v>9</v>
      </c>
      <c r="J5237" s="24">
        <v>1.62</v>
      </c>
      <c r="K5237" s="24">
        <v>2988.38</v>
      </c>
      <c r="L5237" s="38">
        <v>46295</v>
      </c>
      <c r="M5237" s="23" t="s">
        <v>231</v>
      </c>
      <c r="N5237" s="23" t="str">
        <f>IF(COUNTIF($A$2:A5237,A5237)&gt;1,"DUP","OK")</f>
        <v>OK</v>
      </c>
      <c r="O5237" s="23" t="str">
        <f t="shared" si="244"/>
        <v>ORD26003931</v>
      </c>
      <c r="P5237" s="23" t="str">
        <f t="shared" si="245"/>
        <v>Sep</v>
      </c>
      <c r="Q5237" s="23" t="str">
        <f>IF(F5237="CAPTURE",IF(COUNTIF(orders!$A:$A,O5237)&gt;0,"Yes","NO ORDER"),"")</f>
        <v>Yes</v>
      </c>
    </row>
    <row r="5238" spans="1:17" ht="15" customHeight="1" x14ac:dyDescent="0.3">
      <c r="A5238" s="23" t="s">
        <v>18441</v>
      </c>
      <c r="B5238" s="23"/>
      <c r="C5238" s="23" t="s">
        <v>18442</v>
      </c>
      <c r="D5238" s="23" t="str">
        <f t="shared" si="243"/>
        <v>ORD26003977</v>
      </c>
      <c r="E5238" s="38">
        <v>46293</v>
      </c>
      <c r="F5238" s="23" t="s">
        <v>12410</v>
      </c>
      <c r="G5238" s="23" t="s">
        <v>79</v>
      </c>
      <c r="H5238" s="24">
        <v>7998</v>
      </c>
      <c r="I5238" s="24">
        <v>127.97</v>
      </c>
      <c r="J5238" s="24">
        <v>23.03</v>
      </c>
      <c r="K5238" s="24">
        <v>7847</v>
      </c>
      <c r="L5238" s="38">
        <v>46295</v>
      </c>
      <c r="M5238" s="23" t="s">
        <v>231</v>
      </c>
      <c r="N5238" s="23" t="str">
        <f>IF(COUNTIF($A$2:A5238,A5238)&gt;1,"DUP","OK")</f>
        <v>OK</v>
      </c>
      <c r="O5238" s="23" t="str">
        <f t="shared" si="244"/>
        <v>ORD26003977</v>
      </c>
      <c r="P5238" s="23" t="str">
        <f t="shared" si="245"/>
        <v>Sep</v>
      </c>
      <c r="Q5238" s="23" t="str">
        <f>IF(F5238="CAPTURE",IF(COUNTIF(orders!$A:$A,O5238)&gt;0,"Yes","NO ORDER"),"")</f>
        <v>Yes</v>
      </c>
    </row>
    <row r="5239" spans="1:17" ht="15" customHeight="1" x14ac:dyDescent="0.3">
      <c r="A5239" s="23" t="s">
        <v>18443</v>
      </c>
      <c r="B5239" s="23"/>
      <c r="C5239" s="23" t="s">
        <v>8501</v>
      </c>
      <c r="D5239" s="23" t="str">
        <f t="shared" si="243"/>
        <v>ORD26004008</v>
      </c>
      <c r="E5239" s="38">
        <v>46293</v>
      </c>
      <c r="F5239" s="23" t="s">
        <v>12410</v>
      </c>
      <c r="G5239" s="23" t="s">
        <v>77</v>
      </c>
      <c r="H5239" s="24">
        <v>9147</v>
      </c>
      <c r="I5239" s="24">
        <v>155.5</v>
      </c>
      <c r="J5239" s="24">
        <v>27.99</v>
      </c>
      <c r="K5239" s="24">
        <v>8963.51</v>
      </c>
      <c r="L5239" s="38">
        <v>46295</v>
      </c>
      <c r="M5239" s="23" t="s">
        <v>231</v>
      </c>
      <c r="N5239" s="23" t="str">
        <f>IF(COUNTIF($A$2:A5239,A5239)&gt;1,"DUP","OK")</f>
        <v>OK</v>
      </c>
      <c r="O5239" s="23" t="str">
        <f t="shared" si="244"/>
        <v>ORD26004008</v>
      </c>
      <c r="P5239" s="23" t="str">
        <f t="shared" si="245"/>
        <v>Sep</v>
      </c>
      <c r="Q5239" s="23" t="str">
        <f>IF(F5239="CAPTURE",IF(COUNTIF(orders!$A:$A,O5239)&gt;0,"Yes","NO ORDER"),"")</f>
        <v>Yes</v>
      </c>
    </row>
    <row r="5240" spans="1:17" ht="15" customHeight="1" x14ac:dyDescent="0.3">
      <c r="A5240" s="23" t="s">
        <v>18444</v>
      </c>
      <c r="B5240" s="23"/>
      <c r="C5240" s="23" t="s">
        <v>8810</v>
      </c>
      <c r="D5240" s="23" t="str">
        <f t="shared" si="243"/>
        <v>ORD26004167</v>
      </c>
      <c r="E5240" s="38">
        <v>46293</v>
      </c>
      <c r="F5240" s="23" t="s">
        <v>12410</v>
      </c>
      <c r="G5240" s="23" t="s">
        <v>75</v>
      </c>
      <c r="H5240" s="24">
        <v>1499</v>
      </c>
      <c r="I5240" s="24">
        <v>0</v>
      </c>
      <c r="J5240" s="24">
        <v>0</v>
      </c>
      <c r="K5240" s="24">
        <v>1499</v>
      </c>
      <c r="L5240" s="38">
        <v>46295</v>
      </c>
      <c r="M5240" s="23" t="s">
        <v>231</v>
      </c>
      <c r="N5240" s="23" t="str">
        <f>IF(COUNTIF($A$2:A5240,A5240)&gt;1,"DUP","OK")</f>
        <v>OK</v>
      </c>
      <c r="O5240" s="23" t="str">
        <f t="shared" si="244"/>
        <v>ORD26004167</v>
      </c>
      <c r="P5240" s="23" t="str">
        <f t="shared" si="245"/>
        <v>Sep</v>
      </c>
      <c r="Q5240" s="23" t="str">
        <f>IF(F5240="CAPTURE",IF(COUNTIF(orders!$A:$A,O5240)&gt;0,"Yes","NO ORDER"),"")</f>
        <v>Yes</v>
      </c>
    </row>
    <row r="5241" spans="1:17" ht="15" customHeight="1" x14ac:dyDescent="0.3">
      <c r="A5241" s="23" t="s">
        <v>18445</v>
      </c>
      <c r="B5241" s="23"/>
      <c r="C5241" s="23" t="s">
        <v>8819</v>
      </c>
      <c r="D5241" s="23" t="str">
        <f t="shared" si="243"/>
        <v>ORD26004172</v>
      </c>
      <c r="E5241" s="38">
        <v>46293</v>
      </c>
      <c r="F5241" s="23" t="s">
        <v>12410</v>
      </c>
      <c r="G5241" s="23" t="s">
        <v>77</v>
      </c>
      <c r="H5241" s="24">
        <v>798</v>
      </c>
      <c r="I5241" s="24">
        <v>15.16</v>
      </c>
      <c r="J5241" s="24">
        <v>2.73</v>
      </c>
      <c r="K5241" s="24">
        <v>780.11</v>
      </c>
      <c r="L5241" s="38">
        <v>46295</v>
      </c>
      <c r="M5241" s="23" t="s">
        <v>231</v>
      </c>
      <c r="N5241" s="23" t="str">
        <f>IF(COUNTIF($A$2:A5241,A5241)&gt;1,"DUP","OK")</f>
        <v>OK</v>
      </c>
      <c r="O5241" s="23" t="str">
        <f t="shared" si="244"/>
        <v>ORD26004172</v>
      </c>
      <c r="P5241" s="23" t="str">
        <f t="shared" si="245"/>
        <v>Sep</v>
      </c>
      <c r="Q5241" s="23" t="str">
        <f>IF(F5241="CAPTURE",IF(COUNTIF(orders!$A:$A,O5241)&gt;0,"Yes","NO ORDER"),"")</f>
        <v>Yes</v>
      </c>
    </row>
    <row r="5242" spans="1:17" ht="15" customHeight="1" x14ac:dyDescent="0.3">
      <c r="A5242" s="23" t="s">
        <v>18446</v>
      </c>
      <c r="B5242" s="23"/>
      <c r="C5242" s="23" t="s">
        <v>18447</v>
      </c>
      <c r="D5242" s="23" t="str">
        <f t="shared" si="243"/>
        <v>ORD26004193</v>
      </c>
      <c r="E5242" s="38">
        <v>46293</v>
      </c>
      <c r="F5242" s="23" t="s">
        <v>12410</v>
      </c>
      <c r="G5242" s="23" t="s">
        <v>79</v>
      </c>
      <c r="H5242" s="24">
        <v>1799</v>
      </c>
      <c r="I5242" s="24">
        <v>32.380000000000003</v>
      </c>
      <c r="J5242" s="24">
        <v>5.83</v>
      </c>
      <c r="K5242" s="24">
        <v>1760.79</v>
      </c>
      <c r="L5242" s="38">
        <v>46295</v>
      </c>
      <c r="M5242" s="23" t="s">
        <v>231</v>
      </c>
      <c r="N5242" s="23" t="str">
        <f>IF(COUNTIF($A$2:A5242,A5242)&gt;1,"DUP","OK")</f>
        <v>OK</v>
      </c>
      <c r="O5242" s="23" t="str">
        <f t="shared" si="244"/>
        <v>ORD26004193</v>
      </c>
      <c r="P5242" s="23" t="str">
        <f t="shared" si="245"/>
        <v>Sep</v>
      </c>
      <c r="Q5242" s="23" t="str">
        <f>IF(F5242="CAPTURE",IF(COUNTIF(orders!$A:$A,O5242)&gt;0,"Yes","NO ORDER"),"")</f>
        <v>Yes</v>
      </c>
    </row>
    <row r="5243" spans="1:17" ht="15" customHeight="1" x14ac:dyDescent="0.3">
      <c r="A5243" s="23" t="s">
        <v>18448</v>
      </c>
      <c r="B5243" s="23"/>
      <c r="C5243" s="23" t="s">
        <v>8981</v>
      </c>
      <c r="D5243" s="23" t="str">
        <f t="shared" si="243"/>
        <v>ORD26004254</v>
      </c>
      <c r="E5243" s="38">
        <v>46293</v>
      </c>
      <c r="F5243" s="23" t="s">
        <v>12410</v>
      </c>
      <c r="G5243" s="23" t="s">
        <v>77</v>
      </c>
      <c r="H5243" s="24">
        <v>4397</v>
      </c>
      <c r="I5243" s="24">
        <v>74.75</v>
      </c>
      <c r="J5243" s="24">
        <v>13.46</v>
      </c>
      <c r="K5243" s="24">
        <v>4308.79</v>
      </c>
      <c r="L5243" s="38">
        <v>46295</v>
      </c>
      <c r="M5243" s="23" t="s">
        <v>231</v>
      </c>
      <c r="N5243" s="23" t="str">
        <f>IF(COUNTIF($A$2:A5243,A5243)&gt;1,"DUP","OK")</f>
        <v>OK</v>
      </c>
      <c r="O5243" s="23" t="str">
        <f t="shared" si="244"/>
        <v>ORD26004254</v>
      </c>
      <c r="P5243" s="23" t="str">
        <f t="shared" si="245"/>
        <v>Sep</v>
      </c>
      <c r="Q5243" s="23" t="str">
        <f>IF(F5243="CAPTURE",IF(COUNTIF(orders!$A:$A,O5243)&gt;0,"Yes","NO ORDER"),"")</f>
        <v>Yes</v>
      </c>
    </row>
    <row r="5244" spans="1:17" ht="15" customHeight="1" x14ac:dyDescent="0.3">
      <c r="A5244" s="23" t="s">
        <v>18449</v>
      </c>
      <c r="B5244" s="23"/>
      <c r="C5244" s="23" t="s">
        <v>9035</v>
      </c>
      <c r="D5244" s="23" t="str">
        <f t="shared" si="243"/>
        <v>ORD26004281</v>
      </c>
      <c r="E5244" s="38">
        <v>46293</v>
      </c>
      <c r="F5244" s="23" t="s">
        <v>12410</v>
      </c>
      <c r="G5244" s="23" t="s">
        <v>75</v>
      </c>
      <c r="H5244" s="24">
        <v>4999</v>
      </c>
      <c r="I5244" s="24">
        <v>15</v>
      </c>
      <c r="J5244" s="24">
        <v>2.7</v>
      </c>
      <c r="K5244" s="24">
        <v>4981.3</v>
      </c>
      <c r="L5244" s="38">
        <v>46295</v>
      </c>
      <c r="M5244" s="23" t="s">
        <v>231</v>
      </c>
      <c r="N5244" s="23" t="str">
        <f>IF(COUNTIF($A$2:A5244,A5244)&gt;1,"DUP","OK")</f>
        <v>OK</v>
      </c>
      <c r="O5244" s="23" t="str">
        <f t="shared" si="244"/>
        <v>ORD26004281</v>
      </c>
      <c r="P5244" s="23" t="str">
        <f t="shared" si="245"/>
        <v>Sep</v>
      </c>
      <c r="Q5244" s="23" t="str">
        <f>IF(F5244="CAPTURE",IF(COUNTIF(orders!$A:$A,O5244)&gt;0,"Yes","NO ORDER"),"")</f>
        <v>Yes</v>
      </c>
    </row>
    <row r="5245" spans="1:17" ht="15" customHeight="1" x14ac:dyDescent="0.3">
      <c r="A5245" s="23" t="s">
        <v>18450</v>
      </c>
      <c r="B5245" s="23"/>
      <c r="C5245" s="23" t="s">
        <v>9086</v>
      </c>
      <c r="D5245" s="23" t="str">
        <f t="shared" si="243"/>
        <v>ORD26004305</v>
      </c>
      <c r="E5245" s="38">
        <v>46293</v>
      </c>
      <c r="F5245" s="23" t="s">
        <v>12410</v>
      </c>
      <c r="G5245" s="23" t="s">
        <v>79</v>
      </c>
      <c r="H5245" s="24">
        <v>3998</v>
      </c>
      <c r="I5245" s="24">
        <v>63.97</v>
      </c>
      <c r="J5245" s="24">
        <v>11.51</v>
      </c>
      <c r="K5245" s="24">
        <v>3922.52</v>
      </c>
      <c r="L5245" s="38">
        <v>46295</v>
      </c>
      <c r="M5245" s="23" t="s">
        <v>231</v>
      </c>
      <c r="N5245" s="23" t="str">
        <f>IF(COUNTIF($A$2:A5245,A5245)&gt;1,"DUP","OK")</f>
        <v>OK</v>
      </c>
      <c r="O5245" s="23" t="str">
        <f t="shared" si="244"/>
        <v>ORD26004305</v>
      </c>
      <c r="P5245" s="23" t="str">
        <f t="shared" si="245"/>
        <v>Sep</v>
      </c>
      <c r="Q5245" s="23" t="str">
        <f>IF(F5245="CAPTURE",IF(COUNTIF(orders!$A:$A,O5245)&gt;0,"Yes","NO ORDER"),"")</f>
        <v>Yes</v>
      </c>
    </row>
    <row r="5246" spans="1:17" ht="15" customHeight="1" x14ac:dyDescent="0.3">
      <c r="A5246" s="23" t="s">
        <v>18451</v>
      </c>
      <c r="B5246" s="23"/>
      <c r="C5246" s="23" t="s">
        <v>18452</v>
      </c>
      <c r="D5246" s="23" t="str">
        <f t="shared" si="243"/>
        <v>ORD26004306</v>
      </c>
      <c r="E5246" s="38">
        <v>46293</v>
      </c>
      <c r="F5246" s="23" t="s">
        <v>12410</v>
      </c>
      <c r="G5246" s="23" t="s">
        <v>75</v>
      </c>
      <c r="H5246" s="24">
        <v>2298</v>
      </c>
      <c r="I5246" s="24">
        <v>6.89</v>
      </c>
      <c r="J5246" s="24">
        <v>1.24</v>
      </c>
      <c r="K5246" s="24">
        <v>2289.87</v>
      </c>
      <c r="L5246" s="38">
        <v>46295</v>
      </c>
      <c r="M5246" s="23" t="s">
        <v>231</v>
      </c>
      <c r="N5246" s="23" t="str">
        <f>IF(COUNTIF($A$2:A5246,A5246)&gt;1,"DUP","OK")</f>
        <v>OK</v>
      </c>
      <c r="O5246" s="23" t="str">
        <f t="shared" si="244"/>
        <v>ORD26004306</v>
      </c>
      <c r="P5246" s="23" t="str">
        <f t="shared" si="245"/>
        <v>Sep</v>
      </c>
      <c r="Q5246" s="23" t="str">
        <f>IF(F5246="CAPTURE",IF(COUNTIF(orders!$A:$A,O5246)&gt;0,"Yes","NO ORDER"),"")</f>
        <v>Yes</v>
      </c>
    </row>
    <row r="5247" spans="1:17" ht="15" customHeight="1" x14ac:dyDescent="0.3">
      <c r="A5247" s="23" t="s">
        <v>18453</v>
      </c>
      <c r="B5247" s="23"/>
      <c r="C5247" s="23" t="s">
        <v>9098</v>
      </c>
      <c r="D5247" s="23" t="str">
        <f t="shared" si="243"/>
        <v>ORD26004311</v>
      </c>
      <c r="E5247" s="38">
        <v>46293</v>
      </c>
      <c r="F5247" s="23" t="s">
        <v>12410</v>
      </c>
      <c r="G5247" s="23" t="s">
        <v>75</v>
      </c>
      <c r="H5247" s="24">
        <v>349</v>
      </c>
      <c r="I5247" s="24">
        <v>0</v>
      </c>
      <c r="J5247" s="24">
        <v>0</v>
      </c>
      <c r="K5247" s="24">
        <v>349</v>
      </c>
      <c r="L5247" s="38">
        <v>46295</v>
      </c>
      <c r="M5247" s="23" t="s">
        <v>231</v>
      </c>
      <c r="N5247" s="23" t="str">
        <f>IF(COUNTIF($A$2:A5247,A5247)&gt;1,"DUP","OK")</f>
        <v>OK</v>
      </c>
      <c r="O5247" s="23" t="str">
        <f t="shared" si="244"/>
        <v>ORD26004311</v>
      </c>
      <c r="P5247" s="23" t="str">
        <f t="shared" si="245"/>
        <v>Sep</v>
      </c>
      <c r="Q5247" s="23" t="str">
        <f>IF(F5247="CAPTURE",IF(COUNTIF(orders!$A:$A,O5247)&gt;0,"Yes","NO ORDER"),"")</f>
        <v>Yes</v>
      </c>
    </row>
    <row r="5248" spans="1:17" ht="15" customHeight="1" x14ac:dyDescent="0.3">
      <c r="A5248" s="23" t="s">
        <v>18454</v>
      </c>
      <c r="B5248" s="23"/>
      <c r="C5248" s="23" t="s">
        <v>9215</v>
      </c>
      <c r="D5248" s="23" t="str">
        <f t="shared" si="243"/>
        <v>ORD26004370</v>
      </c>
      <c r="E5248" s="38">
        <v>46293</v>
      </c>
      <c r="F5248" s="23" t="s">
        <v>12410</v>
      </c>
      <c r="G5248" s="23" t="s">
        <v>75</v>
      </c>
      <c r="H5248" s="24">
        <v>2798</v>
      </c>
      <c r="I5248" s="24">
        <v>8.39</v>
      </c>
      <c r="J5248" s="24">
        <v>1.51</v>
      </c>
      <c r="K5248" s="24">
        <v>2788.1</v>
      </c>
      <c r="L5248" s="38">
        <v>46295</v>
      </c>
      <c r="M5248" s="23" t="s">
        <v>231</v>
      </c>
      <c r="N5248" s="23" t="str">
        <f>IF(COUNTIF($A$2:A5248,A5248)&gt;1,"DUP","OK")</f>
        <v>OK</v>
      </c>
      <c r="O5248" s="23" t="str">
        <f t="shared" si="244"/>
        <v>ORD26004370</v>
      </c>
      <c r="P5248" s="23" t="str">
        <f t="shared" si="245"/>
        <v>Sep</v>
      </c>
      <c r="Q5248" s="23" t="str">
        <f>IF(F5248="CAPTURE",IF(COUNTIF(orders!$A:$A,O5248)&gt;0,"Yes","NO ORDER"),"")</f>
        <v>Yes</v>
      </c>
    </row>
    <row r="5249" spans="1:17" ht="15" customHeight="1" x14ac:dyDescent="0.3">
      <c r="A5249" s="23" t="s">
        <v>18455</v>
      </c>
      <c r="B5249" s="23"/>
      <c r="C5249" s="23" t="s">
        <v>9242</v>
      </c>
      <c r="D5249" s="23" t="str">
        <f t="shared" si="243"/>
        <v>ORD26004384</v>
      </c>
      <c r="E5249" s="38">
        <v>46293</v>
      </c>
      <c r="F5249" s="23" t="s">
        <v>12410</v>
      </c>
      <c r="G5249" s="23" t="s">
        <v>75</v>
      </c>
      <c r="H5249" s="24">
        <v>2999</v>
      </c>
      <c r="I5249" s="24">
        <v>9</v>
      </c>
      <c r="J5249" s="24">
        <v>1.62</v>
      </c>
      <c r="K5249" s="24">
        <v>2988.38</v>
      </c>
      <c r="L5249" s="38">
        <v>46295</v>
      </c>
      <c r="M5249" s="23" t="s">
        <v>231</v>
      </c>
      <c r="N5249" s="23" t="str">
        <f>IF(COUNTIF($A$2:A5249,A5249)&gt;1,"DUP","OK")</f>
        <v>OK</v>
      </c>
      <c r="O5249" s="23" t="str">
        <f t="shared" si="244"/>
        <v>ORD26004384</v>
      </c>
      <c r="P5249" s="23" t="str">
        <f t="shared" si="245"/>
        <v>Sep</v>
      </c>
      <c r="Q5249" s="23" t="str">
        <f>IF(F5249="CAPTURE",IF(COUNTIF(orders!$A:$A,O5249)&gt;0,"Yes","NO ORDER"),"")</f>
        <v>Yes</v>
      </c>
    </row>
    <row r="5250" spans="1:17" ht="15" customHeight="1" x14ac:dyDescent="0.3">
      <c r="A5250" s="23" t="s">
        <v>18456</v>
      </c>
      <c r="B5250" s="23"/>
      <c r="C5250" s="23" t="s">
        <v>9282</v>
      </c>
      <c r="D5250" s="23" t="str">
        <f t="shared" ref="D5250:D5313" si="246">UPPER(SUBSTITUTE(TRIM(C5250),"-",""))</f>
        <v>ORD26004404</v>
      </c>
      <c r="E5250" s="38">
        <v>46293</v>
      </c>
      <c r="F5250" s="23" t="s">
        <v>12410</v>
      </c>
      <c r="G5250" s="23" t="s">
        <v>75</v>
      </c>
      <c r="H5250" s="24">
        <v>3499</v>
      </c>
      <c r="I5250" s="24">
        <v>10.5</v>
      </c>
      <c r="J5250" s="24">
        <v>1.89</v>
      </c>
      <c r="K5250" s="24">
        <v>3486.61</v>
      </c>
      <c r="L5250" s="38">
        <v>46295</v>
      </c>
      <c r="M5250" s="23" t="s">
        <v>231</v>
      </c>
      <c r="N5250" s="23" t="str">
        <f>IF(COUNTIF($A$2:A5250,A5250)&gt;1,"DUP","OK")</f>
        <v>OK</v>
      </c>
      <c r="O5250" s="23" t="str">
        <f t="shared" ref="O5250:O5313" si="247">IF(F5250="REFUND",INDEX($D:$D,MATCH(B5250,$A:$A,0)),D5250)</f>
        <v>ORD26004404</v>
      </c>
      <c r="P5250" s="23" t="str">
        <f t="shared" ref="P5250:P5313" si="248">IF(L5250&gt;DATE(2026,9,30),"Oct-Due","Sep")</f>
        <v>Sep</v>
      </c>
      <c r="Q5250" s="23" t="str">
        <f>IF(F5250="CAPTURE",IF(COUNTIF(orders!$A:$A,O5250)&gt;0,"Yes","NO ORDER"),"")</f>
        <v>Yes</v>
      </c>
    </row>
    <row r="5251" spans="1:17" ht="15" customHeight="1" x14ac:dyDescent="0.3">
      <c r="A5251" s="23" t="s">
        <v>18457</v>
      </c>
      <c r="B5251" s="23"/>
      <c r="C5251" s="23" t="s">
        <v>9292</v>
      </c>
      <c r="D5251" s="23" t="str">
        <f t="shared" si="246"/>
        <v>ORD26004409</v>
      </c>
      <c r="E5251" s="38">
        <v>46293</v>
      </c>
      <c r="F5251" s="23" t="s">
        <v>12410</v>
      </c>
      <c r="G5251" s="23" t="s">
        <v>79</v>
      </c>
      <c r="H5251" s="24">
        <v>3848</v>
      </c>
      <c r="I5251" s="24">
        <v>61.57</v>
      </c>
      <c r="J5251" s="24">
        <v>11.08</v>
      </c>
      <c r="K5251" s="24">
        <v>3775.35</v>
      </c>
      <c r="L5251" s="38">
        <v>46295</v>
      </c>
      <c r="M5251" s="23" t="s">
        <v>231</v>
      </c>
      <c r="N5251" s="23" t="str">
        <f>IF(COUNTIF($A$2:A5251,A5251)&gt;1,"DUP","OK")</f>
        <v>OK</v>
      </c>
      <c r="O5251" s="23" t="str">
        <f t="shared" si="247"/>
        <v>ORD26004409</v>
      </c>
      <c r="P5251" s="23" t="str">
        <f t="shared" si="248"/>
        <v>Sep</v>
      </c>
      <c r="Q5251" s="23" t="str">
        <f>IF(F5251="CAPTURE",IF(COUNTIF(orders!$A:$A,O5251)&gt;0,"Yes","NO ORDER"),"")</f>
        <v>Yes</v>
      </c>
    </row>
    <row r="5252" spans="1:17" ht="15" customHeight="1" x14ac:dyDescent="0.3">
      <c r="A5252" s="23" t="s">
        <v>18458</v>
      </c>
      <c r="B5252" s="23"/>
      <c r="C5252" s="23" t="s">
        <v>9477</v>
      </c>
      <c r="D5252" s="23" t="str">
        <f t="shared" si="246"/>
        <v>ORD26004502</v>
      </c>
      <c r="E5252" s="38">
        <v>46293</v>
      </c>
      <c r="F5252" s="23" t="s">
        <v>12410</v>
      </c>
      <c r="G5252" s="23" t="s">
        <v>75</v>
      </c>
      <c r="H5252" s="24">
        <v>1499</v>
      </c>
      <c r="I5252" s="24">
        <v>0</v>
      </c>
      <c r="J5252" s="24">
        <v>0</v>
      </c>
      <c r="K5252" s="24">
        <v>1499</v>
      </c>
      <c r="L5252" s="38">
        <v>46295</v>
      </c>
      <c r="M5252" s="23" t="s">
        <v>231</v>
      </c>
      <c r="N5252" s="23" t="str">
        <f>IF(COUNTIF($A$2:A5252,A5252)&gt;1,"DUP","OK")</f>
        <v>OK</v>
      </c>
      <c r="O5252" s="23" t="str">
        <f t="shared" si="247"/>
        <v>ORD26004502</v>
      </c>
      <c r="P5252" s="23" t="str">
        <f t="shared" si="248"/>
        <v>Sep</v>
      </c>
      <c r="Q5252" s="23" t="str">
        <f>IF(F5252="CAPTURE",IF(COUNTIF(orders!$A:$A,O5252)&gt;0,"Yes","NO ORDER"),"")</f>
        <v>Yes</v>
      </c>
    </row>
    <row r="5253" spans="1:17" ht="15" customHeight="1" x14ac:dyDescent="0.3">
      <c r="A5253" s="23" t="s">
        <v>18459</v>
      </c>
      <c r="B5253" s="23"/>
      <c r="C5253" s="23" t="s">
        <v>9581</v>
      </c>
      <c r="D5253" s="23" t="str">
        <f t="shared" si="246"/>
        <v>ORD26004554</v>
      </c>
      <c r="E5253" s="38">
        <v>46293</v>
      </c>
      <c r="F5253" s="23" t="s">
        <v>12410</v>
      </c>
      <c r="G5253" s="23" t="s">
        <v>75</v>
      </c>
      <c r="H5253" s="24">
        <v>1799</v>
      </c>
      <c r="I5253" s="24">
        <v>0</v>
      </c>
      <c r="J5253" s="24">
        <v>0</v>
      </c>
      <c r="K5253" s="24">
        <v>1799</v>
      </c>
      <c r="L5253" s="38">
        <v>46295</v>
      </c>
      <c r="M5253" s="23" t="s">
        <v>231</v>
      </c>
      <c r="N5253" s="23" t="str">
        <f>IF(COUNTIF($A$2:A5253,A5253)&gt;1,"DUP","OK")</f>
        <v>OK</v>
      </c>
      <c r="O5253" s="23" t="str">
        <f t="shared" si="247"/>
        <v>ORD26004554</v>
      </c>
      <c r="P5253" s="23" t="str">
        <f t="shared" si="248"/>
        <v>Sep</v>
      </c>
      <c r="Q5253" s="23" t="str">
        <f>IF(F5253="CAPTURE",IF(COUNTIF(orders!$A:$A,O5253)&gt;0,"Yes","NO ORDER"),"")</f>
        <v>Yes</v>
      </c>
    </row>
    <row r="5254" spans="1:17" ht="15" customHeight="1" x14ac:dyDescent="0.3">
      <c r="A5254" s="23" t="s">
        <v>18460</v>
      </c>
      <c r="B5254" s="23"/>
      <c r="C5254" s="23" t="s">
        <v>9684</v>
      </c>
      <c r="D5254" s="23" t="str">
        <f t="shared" si="246"/>
        <v>ORD26004606</v>
      </c>
      <c r="E5254" s="38">
        <v>46293</v>
      </c>
      <c r="F5254" s="23" t="s">
        <v>12410</v>
      </c>
      <c r="G5254" s="23" t="s">
        <v>75</v>
      </c>
      <c r="H5254" s="24">
        <v>1799</v>
      </c>
      <c r="I5254" s="24">
        <v>0</v>
      </c>
      <c r="J5254" s="24">
        <v>0</v>
      </c>
      <c r="K5254" s="24">
        <v>1799</v>
      </c>
      <c r="L5254" s="38">
        <v>46295</v>
      </c>
      <c r="M5254" s="23" t="s">
        <v>231</v>
      </c>
      <c r="N5254" s="23" t="str">
        <f>IF(COUNTIF($A$2:A5254,A5254)&gt;1,"DUP","OK")</f>
        <v>OK</v>
      </c>
      <c r="O5254" s="23" t="str">
        <f t="shared" si="247"/>
        <v>ORD26004606</v>
      </c>
      <c r="P5254" s="23" t="str">
        <f t="shared" si="248"/>
        <v>Sep</v>
      </c>
      <c r="Q5254" s="23" t="str">
        <f>IF(F5254="CAPTURE",IF(COUNTIF(orders!$A:$A,O5254)&gt;0,"Yes","NO ORDER"),"")</f>
        <v>Yes</v>
      </c>
    </row>
    <row r="5255" spans="1:17" ht="15" customHeight="1" x14ac:dyDescent="0.3">
      <c r="A5255" s="23" t="s">
        <v>18461</v>
      </c>
      <c r="B5255" s="23"/>
      <c r="C5255" s="23" t="s">
        <v>9686</v>
      </c>
      <c r="D5255" s="23" t="str">
        <f t="shared" si="246"/>
        <v>ORD26004607</v>
      </c>
      <c r="E5255" s="38">
        <v>46293</v>
      </c>
      <c r="F5255" s="23" t="s">
        <v>12410</v>
      </c>
      <c r="G5255" s="23" t="s">
        <v>75</v>
      </c>
      <c r="H5255" s="24">
        <v>499</v>
      </c>
      <c r="I5255" s="24">
        <v>0</v>
      </c>
      <c r="J5255" s="24">
        <v>0</v>
      </c>
      <c r="K5255" s="24">
        <v>499</v>
      </c>
      <c r="L5255" s="38">
        <v>46295</v>
      </c>
      <c r="M5255" s="23" t="s">
        <v>231</v>
      </c>
      <c r="N5255" s="23" t="str">
        <f>IF(COUNTIF($A$2:A5255,A5255)&gt;1,"DUP","OK")</f>
        <v>OK</v>
      </c>
      <c r="O5255" s="23" t="str">
        <f t="shared" si="247"/>
        <v>ORD26004607</v>
      </c>
      <c r="P5255" s="23" t="str">
        <f t="shared" si="248"/>
        <v>Sep</v>
      </c>
      <c r="Q5255" s="23" t="str">
        <f>IF(F5255="CAPTURE",IF(COUNTIF(orders!$A:$A,O5255)&gt;0,"Yes","NO ORDER"),"")</f>
        <v>Yes</v>
      </c>
    </row>
    <row r="5256" spans="1:17" ht="15" customHeight="1" x14ac:dyDescent="0.3">
      <c r="A5256" s="23" t="s">
        <v>18462</v>
      </c>
      <c r="B5256" s="23"/>
      <c r="C5256" s="23" t="s">
        <v>9779</v>
      </c>
      <c r="D5256" s="23" t="str">
        <f t="shared" si="246"/>
        <v>ORD26004655</v>
      </c>
      <c r="E5256" s="38">
        <v>46293</v>
      </c>
      <c r="F5256" s="23" t="s">
        <v>12410</v>
      </c>
      <c r="G5256" s="23" t="s">
        <v>75</v>
      </c>
      <c r="H5256" s="24">
        <v>3498</v>
      </c>
      <c r="I5256" s="24">
        <v>10.49</v>
      </c>
      <c r="J5256" s="24">
        <v>1.89</v>
      </c>
      <c r="K5256" s="24">
        <v>3485.62</v>
      </c>
      <c r="L5256" s="38">
        <v>46295</v>
      </c>
      <c r="M5256" s="23" t="s">
        <v>231</v>
      </c>
      <c r="N5256" s="23" t="str">
        <f>IF(COUNTIF($A$2:A5256,A5256)&gt;1,"DUP","OK")</f>
        <v>OK</v>
      </c>
      <c r="O5256" s="23" t="str">
        <f t="shared" si="247"/>
        <v>ORD26004655</v>
      </c>
      <c r="P5256" s="23" t="str">
        <f t="shared" si="248"/>
        <v>Sep</v>
      </c>
      <c r="Q5256" s="23" t="str">
        <f>IF(F5256="CAPTURE",IF(COUNTIF(orders!$A:$A,O5256)&gt;0,"Yes","NO ORDER"),"")</f>
        <v>Yes</v>
      </c>
    </row>
    <row r="5257" spans="1:17" ht="15" customHeight="1" x14ac:dyDescent="0.3">
      <c r="A5257" s="23" t="s">
        <v>18463</v>
      </c>
      <c r="B5257" s="23"/>
      <c r="C5257" s="23" t="s">
        <v>9812</v>
      </c>
      <c r="D5257" s="23" t="str">
        <f t="shared" si="246"/>
        <v>ORD26004672</v>
      </c>
      <c r="E5257" s="38">
        <v>46293</v>
      </c>
      <c r="F5257" s="23" t="s">
        <v>12410</v>
      </c>
      <c r="G5257" s="23" t="s">
        <v>75</v>
      </c>
      <c r="H5257" s="24">
        <v>3298</v>
      </c>
      <c r="I5257" s="24">
        <v>9.89</v>
      </c>
      <c r="J5257" s="24">
        <v>1.78</v>
      </c>
      <c r="K5257" s="24">
        <v>3286.33</v>
      </c>
      <c r="L5257" s="38">
        <v>46295</v>
      </c>
      <c r="M5257" s="23" t="s">
        <v>231</v>
      </c>
      <c r="N5257" s="23" t="str">
        <f>IF(COUNTIF($A$2:A5257,A5257)&gt;1,"DUP","OK")</f>
        <v>OK</v>
      </c>
      <c r="O5257" s="23" t="str">
        <f t="shared" si="247"/>
        <v>ORD26004672</v>
      </c>
      <c r="P5257" s="23" t="str">
        <f t="shared" si="248"/>
        <v>Sep</v>
      </c>
      <c r="Q5257" s="23" t="str">
        <f>IF(F5257="CAPTURE",IF(COUNTIF(orders!$A:$A,O5257)&gt;0,"Yes","NO ORDER"),"")</f>
        <v>Yes</v>
      </c>
    </row>
    <row r="5258" spans="1:17" ht="15" customHeight="1" x14ac:dyDescent="0.3">
      <c r="A5258" s="23" t="s">
        <v>18464</v>
      </c>
      <c r="B5258" s="23"/>
      <c r="C5258" s="23" t="s">
        <v>9948</v>
      </c>
      <c r="D5258" s="23" t="str">
        <f t="shared" si="246"/>
        <v>ORD26004742</v>
      </c>
      <c r="E5258" s="38">
        <v>46293</v>
      </c>
      <c r="F5258" s="23" t="s">
        <v>12410</v>
      </c>
      <c r="G5258" s="23" t="s">
        <v>75</v>
      </c>
      <c r="H5258" s="24">
        <v>4298</v>
      </c>
      <c r="I5258" s="24">
        <v>12.89</v>
      </c>
      <c r="J5258" s="24">
        <v>2.3199999999999998</v>
      </c>
      <c r="K5258" s="24">
        <v>4282.79</v>
      </c>
      <c r="L5258" s="38">
        <v>46295</v>
      </c>
      <c r="M5258" s="23" t="s">
        <v>231</v>
      </c>
      <c r="N5258" s="23" t="str">
        <f>IF(COUNTIF($A$2:A5258,A5258)&gt;1,"DUP","OK")</f>
        <v>OK</v>
      </c>
      <c r="O5258" s="23" t="str">
        <f t="shared" si="247"/>
        <v>ORD26004742</v>
      </c>
      <c r="P5258" s="23" t="str">
        <f t="shared" si="248"/>
        <v>Sep</v>
      </c>
      <c r="Q5258" s="23" t="str">
        <f>IF(F5258="CAPTURE",IF(COUNTIF(orders!$A:$A,O5258)&gt;0,"Yes","NO ORDER"),"")</f>
        <v>Yes</v>
      </c>
    </row>
    <row r="5259" spans="1:17" ht="15" customHeight="1" x14ac:dyDescent="0.3">
      <c r="A5259" s="23" t="s">
        <v>18465</v>
      </c>
      <c r="B5259" s="23"/>
      <c r="C5259" s="23" t="s">
        <v>9985</v>
      </c>
      <c r="D5259" s="23" t="str">
        <f t="shared" si="246"/>
        <v>ORD26004760</v>
      </c>
      <c r="E5259" s="38">
        <v>46293</v>
      </c>
      <c r="F5259" s="23" t="s">
        <v>12410</v>
      </c>
      <c r="G5259" s="23" t="s">
        <v>75</v>
      </c>
      <c r="H5259" s="24">
        <v>2098</v>
      </c>
      <c r="I5259" s="24">
        <v>6.29</v>
      </c>
      <c r="J5259" s="24">
        <v>1.1299999999999999</v>
      </c>
      <c r="K5259" s="24">
        <v>2090.58</v>
      </c>
      <c r="L5259" s="38">
        <v>46295</v>
      </c>
      <c r="M5259" s="23" t="s">
        <v>231</v>
      </c>
      <c r="N5259" s="23" t="str">
        <f>IF(COUNTIF($A$2:A5259,A5259)&gt;1,"DUP","OK")</f>
        <v>OK</v>
      </c>
      <c r="O5259" s="23" t="str">
        <f t="shared" si="247"/>
        <v>ORD26004760</v>
      </c>
      <c r="P5259" s="23" t="str">
        <f t="shared" si="248"/>
        <v>Sep</v>
      </c>
      <c r="Q5259" s="23" t="str">
        <f>IF(F5259="CAPTURE",IF(COUNTIF(orders!$A:$A,O5259)&gt;0,"Yes","NO ORDER"),"")</f>
        <v>Yes</v>
      </c>
    </row>
    <row r="5260" spans="1:17" ht="15" customHeight="1" x14ac:dyDescent="0.3">
      <c r="A5260" s="23" t="s">
        <v>18466</v>
      </c>
      <c r="B5260" s="23"/>
      <c r="C5260" s="23" t="s">
        <v>9993</v>
      </c>
      <c r="D5260" s="23" t="str">
        <f t="shared" si="246"/>
        <v>ORD26004764</v>
      </c>
      <c r="E5260" s="38">
        <v>46293</v>
      </c>
      <c r="F5260" s="23" t="s">
        <v>12410</v>
      </c>
      <c r="G5260" s="23" t="s">
        <v>81</v>
      </c>
      <c r="H5260" s="24">
        <v>10498</v>
      </c>
      <c r="I5260" s="24">
        <v>94.48</v>
      </c>
      <c r="J5260" s="24">
        <v>17.010000000000002</v>
      </c>
      <c r="K5260" s="24">
        <v>10386.51</v>
      </c>
      <c r="L5260" s="38">
        <v>46295</v>
      </c>
      <c r="M5260" s="23" t="s">
        <v>231</v>
      </c>
      <c r="N5260" s="23" t="str">
        <f>IF(COUNTIF($A$2:A5260,A5260)&gt;1,"DUP","OK")</f>
        <v>OK</v>
      </c>
      <c r="O5260" s="23" t="str">
        <f t="shared" si="247"/>
        <v>ORD26004764</v>
      </c>
      <c r="P5260" s="23" t="str">
        <f t="shared" si="248"/>
        <v>Sep</v>
      </c>
      <c r="Q5260" s="23" t="str">
        <f>IF(F5260="CAPTURE",IF(COUNTIF(orders!$A:$A,O5260)&gt;0,"Yes","NO ORDER"),"")</f>
        <v>Yes</v>
      </c>
    </row>
    <row r="5261" spans="1:17" ht="15" customHeight="1" x14ac:dyDescent="0.3">
      <c r="A5261" s="23" t="s">
        <v>18467</v>
      </c>
      <c r="B5261" s="23"/>
      <c r="C5261" s="23" t="s">
        <v>10046</v>
      </c>
      <c r="D5261" s="23" t="str">
        <f t="shared" si="246"/>
        <v>ORD26004792</v>
      </c>
      <c r="E5261" s="38">
        <v>46293</v>
      </c>
      <c r="F5261" s="23" t="s">
        <v>12410</v>
      </c>
      <c r="G5261" s="23" t="s">
        <v>75</v>
      </c>
      <c r="H5261" s="24">
        <v>2798</v>
      </c>
      <c r="I5261" s="24">
        <v>8.39</v>
      </c>
      <c r="J5261" s="24">
        <v>1.51</v>
      </c>
      <c r="K5261" s="24">
        <v>2788.1</v>
      </c>
      <c r="L5261" s="38">
        <v>46295</v>
      </c>
      <c r="M5261" s="23" t="s">
        <v>231</v>
      </c>
      <c r="N5261" s="23" t="str">
        <f>IF(COUNTIF($A$2:A5261,A5261)&gt;1,"DUP","OK")</f>
        <v>OK</v>
      </c>
      <c r="O5261" s="23" t="str">
        <f t="shared" si="247"/>
        <v>ORD26004792</v>
      </c>
      <c r="P5261" s="23" t="str">
        <f t="shared" si="248"/>
        <v>Sep</v>
      </c>
      <c r="Q5261" s="23" t="str">
        <f>IF(F5261="CAPTURE",IF(COUNTIF(orders!$A:$A,O5261)&gt;0,"Yes","NO ORDER"),"")</f>
        <v>Yes</v>
      </c>
    </row>
    <row r="5262" spans="1:17" ht="15" customHeight="1" x14ac:dyDescent="0.3">
      <c r="A5262" s="23" t="s">
        <v>18468</v>
      </c>
      <c r="B5262" s="23"/>
      <c r="C5262" s="23" t="s">
        <v>10308</v>
      </c>
      <c r="D5262" s="23" t="str">
        <f t="shared" si="246"/>
        <v>ORD26004926</v>
      </c>
      <c r="E5262" s="38">
        <v>46293</v>
      </c>
      <c r="F5262" s="23" t="s">
        <v>12410</v>
      </c>
      <c r="G5262" s="23" t="s">
        <v>79</v>
      </c>
      <c r="H5262" s="24">
        <v>1799</v>
      </c>
      <c r="I5262" s="24">
        <v>32.380000000000003</v>
      </c>
      <c r="J5262" s="24">
        <v>5.83</v>
      </c>
      <c r="K5262" s="24">
        <v>1760.79</v>
      </c>
      <c r="L5262" s="38">
        <v>46295</v>
      </c>
      <c r="M5262" s="23" t="s">
        <v>231</v>
      </c>
      <c r="N5262" s="23" t="str">
        <f>IF(COUNTIF($A$2:A5262,A5262)&gt;1,"DUP","OK")</f>
        <v>OK</v>
      </c>
      <c r="O5262" s="23" t="str">
        <f t="shared" si="247"/>
        <v>ORD26004926</v>
      </c>
      <c r="P5262" s="23" t="str">
        <f t="shared" si="248"/>
        <v>Sep</v>
      </c>
      <c r="Q5262" s="23" t="str">
        <f>IF(F5262="CAPTURE",IF(COUNTIF(orders!$A:$A,O5262)&gt;0,"Yes","NO ORDER"),"")</f>
        <v>Yes</v>
      </c>
    </row>
    <row r="5263" spans="1:17" ht="15" customHeight="1" x14ac:dyDescent="0.3">
      <c r="A5263" s="23" t="s">
        <v>18469</v>
      </c>
      <c r="B5263" s="23"/>
      <c r="C5263" s="23" t="s">
        <v>10341</v>
      </c>
      <c r="D5263" s="23" t="str">
        <f t="shared" si="246"/>
        <v>ORD26004943</v>
      </c>
      <c r="E5263" s="38">
        <v>46293</v>
      </c>
      <c r="F5263" s="23" t="s">
        <v>12410</v>
      </c>
      <c r="G5263" s="23" t="s">
        <v>75</v>
      </c>
      <c r="H5263" s="24">
        <v>1799</v>
      </c>
      <c r="I5263" s="24">
        <v>0</v>
      </c>
      <c r="J5263" s="24">
        <v>0</v>
      </c>
      <c r="K5263" s="24">
        <v>1799</v>
      </c>
      <c r="L5263" s="38">
        <v>46295</v>
      </c>
      <c r="M5263" s="23" t="s">
        <v>231</v>
      </c>
      <c r="N5263" s="23" t="str">
        <f>IF(COUNTIF($A$2:A5263,A5263)&gt;1,"DUP","OK")</f>
        <v>OK</v>
      </c>
      <c r="O5263" s="23" t="str">
        <f t="shared" si="247"/>
        <v>ORD26004943</v>
      </c>
      <c r="P5263" s="23" t="str">
        <f t="shared" si="248"/>
        <v>Sep</v>
      </c>
      <c r="Q5263" s="23" t="str">
        <f>IF(F5263="CAPTURE",IF(COUNTIF(orders!$A:$A,O5263)&gt;0,"Yes","NO ORDER"),"")</f>
        <v>Yes</v>
      </c>
    </row>
    <row r="5264" spans="1:17" ht="15" customHeight="1" x14ac:dyDescent="0.3">
      <c r="A5264" s="23" t="s">
        <v>18470</v>
      </c>
      <c r="B5264" s="23"/>
      <c r="C5264" s="23" t="s">
        <v>18471</v>
      </c>
      <c r="D5264" s="23" t="str">
        <f t="shared" si="246"/>
        <v>ORD26004950</v>
      </c>
      <c r="E5264" s="38">
        <v>46293</v>
      </c>
      <c r="F5264" s="23" t="s">
        <v>12410</v>
      </c>
      <c r="G5264" s="23" t="s">
        <v>75</v>
      </c>
      <c r="H5264" s="24">
        <v>9298</v>
      </c>
      <c r="I5264" s="24">
        <v>27.89</v>
      </c>
      <c r="J5264" s="24">
        <v>5.0199999999999996</v>
      </c>
      <c r="K5264" s="24">
        <v>9265.09</v>
      </c>
      <c r="L5264" s="38">
        <v>46295</v>
      </c>
      <c r="M5264" s="23" t="s">
        <v>231</v>
      </c>
      <c r="N5264" s="23" t="str">
        <f>IF(COUNTIF($A$2:A5264,A5264)&gt;1,"DUP","OK")</f>
        <v>OK</v>
      </c>
      <c r="O5264" s="23" t="str">
        <f t="shared" si="247"/>
        <v>ORD26004950</v>
      </c>
      <c r="P5264" s="23" t="str">
        <f t="shared" si="248"/>
        <v>Sep</v>
      </c>
      <c r="Q5264" s="23" t="str">
        <f>IF(F5264="CAPTURE",IF(COUNTIF(orders!$A:$A,O5264)&gt;0,"Yes","NO ORDER"),"")</f>
        <v>Yes</v>
      </c>
    </row>
    <row r="5265" spans="1:17" ht="15" customHeight="1" x14ac:dyDescent="0.3">
      <c r="A5265" s="23" t="s">
        <v>18472</v>
      </c>
      <c r="B5265" s="23"/>
      <c r="C5265" s="23" t="s">
        <v>10521</v>
      </c>
      <c r="D5265" s="23" t="str">
        <f t="shared" si="246"/>
        <v>ORD26005036</v>
      </c>
      <c r="E5265" s="38">
        <v>46293</v>
      </c>
      <c r="F5265" s="23" t="s">
        <v>12410</v>
      </c>
      <c r="G5265" s="23" t="s">
        <v>75</v>
      </c>
      <c r="H5265" s="24">
        <v>4498</v>
      </c>
      <c r="I5265" s="24">
        <v>13.49</v>
      </c>
      <c r="J5265" s="24">
        <v>2.4300000000000002</v>
      </c>
      <c r="K5265" s="24">
        <v>4482.08</v>
      </c>
      <c r="L5265" s="38">
        <v>46295</v>
      </c>
      <c r="M5265" s="23" t="s">
        <v>231</v>
      </c>
      <c r="N5265" s="23" t="str">
        <f>IF(COUNTIF($A$2:A5265,A5265)&gt;1,"DUP","OK")</f>
        <v>OK</v>
      </c>
      <c r="O5265" s="23" t="str">
        <f t="shared" si="247"/>
        <v>ORD26005036</v>
      </c>
      <c r="P5265" s="23" t="str">
        <f t="shared" si="248"/>
        <v>Sep</v>
      </c>
      <c r="Q5265" s="23" t="str">
        <f>IF(F5265="CAPTURE",IF(COUNTIF(orders!$A:$A,O5265)&gt;0,"Yes","NO ORDER"),"")</f>
        <v>Yes</v>
      </c>
    </row>
    <row r="5266" spans="1:17" ht="15" customHeight="1" x14ac:dyDescent="0.3">
      <c r="A5266" s="23" t="s">
        <v>18473</v>
      </c>
      <c r="B5266" s="23"/>
      <c r="C5266" s="23" t="s">
        <v>10538</v>
      </c>
      <c r="D5266" s="23" t="str">
        <f t="shared" si="246"/>
        <v>ORD26005046</v>
      </c>
      <c r="E5266" s="38">
        <v>46293</v>
      </c>
      <c r="F5266" s="23" t="s">
        <v>12410</v>
      </c>
      <c r="G5266" s="23" t="s">
        <v>75</v>
      </c>
      <c r="H5266" s="24">
        <v>3499</v>
      </c>
      <c r="I5266" s="24">
        <v>10.5</v>
      </c>
      <c r="J5266" s="24">
        <v>1.89</v>
      </c>
      <c r="K5266" s="24">
        <v>3486.61</v>
      </c>
      <c r="L5266" s="38">
        <v>46295</v>
      </c>
      <c r="M5266" s="23" t="s">
        <v>231</v>
      </c>
      <c r="N5266" s="23" t="str">
        <f>IF(COUNTIF($A$2:A5266,A5266)&gt;1,"DUP","OK")</f>
        <v>OK</v>
      </c>
      <c r="O5266" s="23" t="str">
        <f t="shared" si="247"/>
        <v>ORD26005046</v>
      </c>
      <c r="P5266" s="23" t="str">
        <f t="shared" si="248"/>
        <v>Sep</v>
      </c>
      <c r="Q5266" s="23" t="str">
        <f>IF(F5266="CAPTURE",IF(COUNTIF(orders!$A:$A,O5266)&gt;0,"Yes","NO ORDER"),"")</f>
        <v>Yes</v>
      </c>
    </row>
    <row r="5267" spans="1:17" ht="15" customHeight="1" x14ac:dyDescent="0.3">
      <c r="A5267" s="23" t="s">
        <v>18474</v>
      </c>
      <c r="B5267" s="23"/>
      <c r="C5267" s="23" t="s">
        <v>10548</v>
      </c>
      <c r="D5267" s="23" t="str">
        <f t="shared" si="246"/>
        <v>ORD26005051</v>
      </c>
      <c r="E5267" s="38">
        <v>46293</v>
      </c>
      <c r="F5267" s="23" t="s">
        <v>12410</v>
      </c>
      <c r="G5267" s="23" t="s">
        <v>79</v>
      </c>
      <c r="H5267" s="24">
        <v>2499</v>
      </c>
      <c r="I5267" s="24">
        <v>39.979999999999997</v>
      </c>
      <c r="J5267" s="24">
        <v>7.2</v>
      </c>
      <c r="K5267" s="24">
        <v>2451.8200000000002</v>
      </c>
      <c r="L5267" s="38">
        <v>46295</v>
      </c>
      <c r="M5267" s="23" t="s">
        <v>231</v>
      </c>
      <c r="N5267" s="23" t="str">
        <f>IF(COUNTIF($A$2:A5267,A5267)&gt;1,"DUP","OK")</f>
        <v>OK</v>
      </c>
      <c r="O5267" s="23" t="str">
        <f t="shared" si="247"/>
        <v>ORD26005051</v>
      </c>
      <c r="P5267" s="23" t="str">
        <f t="shared" si="248"/>
        <v>Sep</v>
      </c>
      <c r="Q5267" s="23" t="str">
        <f>IF(F5267="CAPTURE",IF(COUNTIF(orders!$A:$A,O5267)&gt;0,"Yes","NO ORDER"),"")</f>
        <v>Yes</v>
      </c>
    </row>
    <row r="5268" spans="1:17" ht="15" customHeight="1" x14ac:dyDescent="0.3">
      <c r="A5268" s="23" t="s">
        <v>18475</v>
      </c>
      <c r="B5268" s="23"/>
      <c r="C5268" s="23" t="s">
        <v>10612</v>
      </c>
      <c r="D5268" s="23" t="str">
        <f t="shared" si="246"/>
        <v>ORD26005083</v>
      </c>
      <c r="E5268" s="38">
        <v>46293</v>
      </c>
      <c r="F5268" s="23" t="s">
        <v>12410</v>
      </c>
      <c r="G5268" s="23" t="s">
        <v>79</v>
      </c>
      <c r="H5268" s="24">
        <v>2098</v>
      </c>
      <c r="I5268" s="24">
        <v>33.57</v>
      </c>
      <c r="J5268" s="24">
        <v>6.04</v>
      </c>
      <c r="K5268" s="24">
        <v>2058.39</v>
      </c>
      <c r="L5268" s="38">
        <v>46295</v>
      </c>
      <c r="M5268" s="23" t="s">
        <v>231</v>
      </c>
      <c r="N5268" s="23" t="str">
        <f>IF(COUNTIF($A$2:A5268,A5268)&gt;1,"DUP","OK")</f>
        <v>OK</v>
      </c>
      <c r="O5268" s="23" t="str">
        <f t="shared" si="247"/>
        <v>ORD26005083</v>
      </c>
      <c r="P5268" s="23" t="str">
        <f t="shared" si="248"/>
        <v>Sep</v>
      </c>
      <c r="Q5268" s="23" t="str">
        <f>IF(F5268="CAPTURE",IF(COUNTIF(orders!$A:$A,O5268)&gt;0,"Yes","NO ORDER"),"")</f>
        <v>Yes</v>
      </c>
    </row>
    <row r="5269" spans="1:17" ht="15" customHeight="1" x14ac:dyDescent="0.3">
      <c r="A5269" s="23" t="s">
        <v>18476</v>
      </c>
      <c r="B5269" s="23"/>
      <c r="C5269" s="23" t="s">
        <v>10707</v>
      </c>
      <c r="D5269" s="23" t="str">
        <f t="shared" si="246"/>
        <v>ORD26005132</v>
      </c>
      <c r="E5269" s="38">
        <v>46293</v>
      </c>
      <c r="F5269" s="23" t="s">
        <v>12410</v>
      </c>
      <c r="G5269" s="23" t="s">
        <v>79</v>
      </c>
      <c r="H5269" s="24">
        <v>10997</v>
      </c>
      <c r="I5269" s="24">
        <v>175.95</v>
      </c>
      <c r="J5269" s="24">
        <v>31.67</v>
      </c>
      <c r="K5269" s="24">
        <v>10789.38</v>
      </c>
      <c r="L5269" s="38">
        <v>46295</v>
      </c>
      <c r="M5269" s="23" t="s">
        <v>231</v>
      </c>
      <c r="N5269" s="23" t="str">
        <f>IF(COUNTIF($A$2:A5269,A5269)&gt;1,"DUP","OK")</f>
        <v>OK</v>
      </c>
      <c r="O5269" s="23" t="str">
        <f t="shared" si="247"/>
        <v>ORD26005132</v>
      </c>
      <c r="P5269" s="23" t="str">
        <f t="shared" si="248"/>
        <v>Sep</v>
      </c>
      <c r="Q5269" s="23" t="str">
        <f>IF(F5269="CAPTURE",IF(COUNTIF(orders!$A:$A,O5269)&gt;0,"Yes","NO ORDER"),"")</f>
        <v>Yes</v>
      </c>
    </row>
    <row r="5270" spans="1:17" ht="15" customHeight="1" x14ac:dyDescent="0.3">
      <c r="A5270" s="23" t="s">
        <v>18477</v>
      </c>
      <c r="B5270" s="23"/>
      <c r="C5270" s="23" t="s">
        <v>10714</v>
      </c>
      <c r="D5270" s="23" t="str">
        <f t="shared" si="246"/>
        <v>ORD26005136</v>
      </c>
      <c r="E5270" s="38">
        <v>46293</v>
      </c>
      <c r="F5270" s="23" t="s">
        <v>12410</v>
      </c>
      <c r="G5270" s="23" t="s">
        <v>75</v>
      </c>
      <c r="H5270" s="24">
        <v>1998</v>
      </c>
      <c r="I5270" s="24">
        <v>0</v>
      </c>
      <c r="J5270" s="24">
        <v>0</v>
      </c>
      <c r="K5270" s="24">
        <v>1998</v>
      </c>
      <c r="L5270" s="38">
        <v>46295</v>
      </c>
      <c r="M5270" s="23" t="s">
        <v>231</v>
      </c>
      <c r="N5270" s="23" t="str">
        <f>IF(COUNTIF($A$2:A5270,A5270)&gt;1,"DUP","OK")</f>
        <v>OK</v>
      </c>
      <c r="O5270" s="23" t="str">
        <f t="shared" si="247"/>
        <v>ORD26005136</v>
      </c>
      <c r="P5270" s="23" t="str">
        <f t="shared" si="248"/>
        <v>Sep</v>
      </c>
      <c r="Q5270" s="23" t="str">
        <f>IF(F5270="CAPTURE",IF(COUNTIF(orders!$A:$A,O5270)&gt;0,"Yes","NO ORDER"),"")</f>
        <v>Yes</v>
      </c>
    </row>
    <row r="5271" spans="1:17" ht="15" customHeight="1" x14ac:dyDescent="0.3">
      <c r="A5271" s="23" t="s">
        <v>18478</v>
      </c>
      <c r="B5271" s="23"/>
      <c r="C5271" s="23" t="s">
        <v>18479</v>
      </c>
      <c r="D5271" s="23" t="str">
        <f t="shared" si="246"/>
        <v>ORD26005144</v>
      </c>
      <c r="E5271" s="38">
        <v>46293</v>
      </c>
      <c r="F5271" s="23" t="s">
        <v>12410</v>
      </c>
      <c r="G5271" s="23" t="s">
        <v>77</v>
      </c>
      <c r="H5271" s="24">
        <v>7999</v>
      </c>
      <c r="I5271" s="24">
        <v>135.97999999999999</v>
      </c>
      <c r="J5271" s="24">
        <v>24.48</v>
      </c>
      <c r="K5271" s="24">
        <v>7838.54</v>
      </c>
      <c r="L5271" s="38">
        <v>46295</v>
      </c>
      <c r="M5271" s="23" t="s">
        <v>231</v>
      </c>
      <c r="N5271" s="23" t="str">
        <f>IF(COUNTIF($A$2:A5271,A5271)&gt;1,"DUP","OK")</f>
        <v>OK</v>
      </c>
      <c r="O5271" s="23" t="str">
        <f t="shared" si="247"/>
        <v>ORD26005144</v>
      </c>
      <c r="P5271" s="23" t="str">
        <f t="shared" si="248"/>
        <v>Sep</v>
      </c>
      <c r="Q5271" s="23" t="str">
        <f>IF(F5271="CAPTURE",IF(COUNTIF(orders!$A:$A,O5271)&gt;0,"Yes","NO ORDER"),"")</f>
        <v>Yes</v>
      </c>
    </row>
    <row r="5272" spans="1:17" ht="15" customHeight="1" x14ac:dyDescent="0.3">
      <c r="A5272" s="23" t="s">
        <v>18480</v>
      </c>
      <c r="B5272" s="23"/>
      <c r="C5272" s="23" t="s">
        <v>10739</v>
      </c>
      <c r="D5272" s="23" t="str">
        <f t="shared" si="246"/>
        <v>ORD26005148</v>
      </c>
      <c r="E5272" s="38">
        <v>46293</v>
      </c>
      <c r="F5272" s="23" t="s">
        <v>12410</v>
      </c>
      <c r="G5272" s="23" t="s">
        <v>79</v>
      </c>
      <c r="H5272" s="24">
        <v>4498</v>
      </c>
      <c r="I5272" s="24">
        <v>71.97</v>
      </c>
      <c r="J5272" s="24">
        <v>12.95</v>
      </c>
      <c r="K5272" s="24">
        <v>4413.08</v>
      </c>
      <c r="L5272" s="38">
        <v>46295</v>
      </c>
      <c r="M5272" s="23" t="s">
        <v>231</v>
      </c>
      <c r="N5272" s="23" t="str">
        <f>IF(COUNTIF($A$2:A5272,A5272)&gt;1,"DUP","OK")</f>
        <v>OK</v>
      </c>
      <c r="O5272" s="23" t="str">
        <f t="shared" si="247"/>
        <v>ORD26005148</v>
      </c>
      <c r="P5272" s="23" t="str">
        <f t="shared" si="248"/>
        <v>Sep</v>
      </c>
      <c r="Q5272" s="23" t="str">
        <f>IF(F5272="CAPTURE",IF(COUNTIF(orders!$A:$A,O5272)&gt;0,"Yes","NO ORDER"),"")</f>
        <v>Yes</v>
      </c>
    </row>
    <row r="5273" spans="1:17" ht="15" customHeight="1" x14ac:dyDescent="0.3">
      <c r="A5273" s="23" t="s">
        <v>18481</v>
      </c>
      <c r="B5273" s="23"/>
      <c r="C5273" s="23" t="s">
        <v>10761</v>
      </c>
      <c r="D5273" s="23" t="str">
        <f t="shared" si="246"/>
        <v>ORD26005160</v>
      </c>
      <c r="E5273" s="38">
        <v>46293</v>
      </c>
      <c r="F5273" s="23" t="s">
        <v>12410</v>
      </c>
      <c r="G5273" s="23" t="s">
        <v>79</v>
      </c>
      <c r="H5273" s="24">
        <v>1799</v>
      </c>
      <c r="I5273" s="24">
        <v>32.380000000000003</v>
      </c>
      <c r="J5273" s="24">
        <v>5.83</v>
      </c>
      <c r="K5273" s="24">
        <v>1760.79</v>
      </c>
      <c r="L5273" s="38">
        <v>46295</v>
      </c>
      <c r="M5273" s="23" t="s">
        <v>231</v>
      </c>
      <c r="N5273" s="23" t="str">
        <f>IF(COUNTIF($A$2:A5273,A5273)&gt;1,"DUP","OK")</f>
        <v>OK</v>
      </c>
      <c r="O5273" s="23" t="str">
        <f t="shared" si="247"/>
        <v>ORD26005160</v>
      </c>
      <c r="P5273" s="23" t="str">
        <f t="shared" si="248"/>
        <v>Sep</v>
      </c>
      <c r="Q5273" s="23" t="str">
        <f>IF(F5273="CAPTURE",IF(COUNTIF(orders!$A:$A,O5273)&gt;0,"Yes","NO ORDER"),"")</f>
        <v>Yes</v>
      </c>
    </row>
    <row r="5274" spans="1:17" ht="15" customHeight="1" x14ac:dyDescent="0.3">
      <c r="A5274" s="23" t="s">
        <v>18482</v>
      </c>
      <c r="B5274" s="23"/>
      <c r="C5274" s="23" t="s">
        <v>18483</v>
      </c>
      <c r="D5274" s="23" t="str">
        <f t="shared" si="246"/>
        <v>ORD26005250</v>
      </c>
      <c r="E5274" s="38">
        <v>46293</v>
      </c>
      <c r="F5274" s="23" t="s">
        <v>12410</v>
      </c>
      <c r="G5274" s="23" t="s">
        <v>81</v>
      </c>
      <c r="H5274" s="24">
        <v>3499</v>
      </c>
      <c r="I5274" s="24">
        <v>41.99</v>
      </c>
      <c r="J5274" s="24">
        <v>7.56</v>
      </c>
      <c r="K5274" s="24">
        <v>3449.45</v>
      </c>
      <c r="L5274" s="38">
        <v>46295</v>
      </c>
      <c r="M5274" s="23" t="s">
        <v>231</v>
      </c>
      <c r="N5274" s="23" t="str">
        <f>IF(COUNTIF($A$2:A5274,A5274)&gt;1,"DUP","OK")</f>
        <v>OK</v>
      </c>
      <c r="O5274" s="23" t="str">
        <f t="shared" si="247"/>
        <v>ORD26005250</v>
      </c>
      <c r="P5274" s="23" t="str">
        <f t="shared" si="248"/>
        <v>Sep</v>
      </c>
      <c r="Q5274" s="23" t="str">
        <f>IF(F5274="CAPTURE",IF(COUNTIF(orders!$A:$A,O5274)&gt;0,"Yes","NO ORDER"),"")</f>
        <v>Yes</v>
      </c>
    </row>
    <row r="5275" spans="1:17" ht="15" customHeight="1" x14ac:dyDescent="0.3">
      <c r="A5275" s="23" t="s">
        <v>18484</v>
      </c>
      <c r="B5275" s="23"/>
      <c r="C5275" s="23" t="s">
        <v>11103</v>
      </c>
      <c r="D5275" s="23" t="str">
        <f t="shared" si="246"/>
        <v>ORD26005335</v>
      </c>
      <c r="E5275" s="38">
        <v>46293</v>
      </c>
      <c r="F5275" s="23" t="s">
        <v>12410</v>
      </c>
      <c r="G5275" s="23" t="s">
        <v>77</v>
      </c>
      <c r="H5275" s="24">
        <v>8498</v>
      </c>
      <c r="I5275" s="24">
        <v>144.47</v>
      </c>
      <c r="J5275" s="24">
        <v>26</v>
      </c>
      <c r="K5275" s="24">
        <v>8327.5300000000007</v>
      </c>
      <c r="L5275" s="38">
        <v>46295</v>
      </c>
      <c r="M5275" s="23" t="s">
        <v>231</v>
      </c>
      <c r="N5275" s="23" t="str">
        <f>IF(COUNTIF($A$2:A5275,A5275)&gt;1,"DUP","OK")</f>
        <v>OK</v>
      </c>
      <c r="O5275" s="23" t="str">
        <f t="shared" si="247"/>
        <v>ORD26005335</v>
      </c>
      <c r="P5275" s="23" t="str">
        <f t="shared" si="248"/>
        <v>Sep</v>
      </c>
      <c r="Q5275" s="23" t="str">
        <f>IF(F5275="CAPTURE",IF(COUNTIF(orders!$A:$A,O5275)&gt;0,"Yes","NO ORDER"),"")</f>
        <v>Yes</v>
      </c>
    </row>
    <row r="5276" spans="1:17" ht="15" customHeight="1" x14ac:dyDescent="0.3">
      <c r="A5276" s="23" t="s">
        <v>18485</v>
      </c>
      <c r="B5276" s="23"/>
      <c r="C5276" s="23" t="s">
        <v>11191</v>
      </c>
      <c r="D5276" s="23" t="str">
        <f t="shared" si="246"/>
        <v>ORD26005379</v>
      </c>
      <c r="E5276" s="38">
        <v>46293</v>
      </c>
      <c r="F5276" s="23" t="s">
        <v>12410</v>
      </c>
      <c r="G5276" s="23" t="s">
        <v>75</v>
      </c>
      <c r="H5276" s="24">
        <v>8798</v>
      </c>
      <c r="I5276" s="24">
        <v>26.39</v>
      </c>
      <c r="J5276" s="24">
        <v>4.75</v>
      </c>
      <c r="K5276" s="24">
        <v>8766.86</v>
      </c>
      <c r="L5276" s="38">
        <v>46295</v>
      </c>
      <c r="M5276" s="23" t="s">
        <v>231</v>
      </c>
      <c r="N5276" s="23" t="str">
        <f>IF(COUNTIF($A$2:A5276,A5276)&gt;1,"DUP","OK")</f>
        <v>OK</v>
      </c>
      <c r="O5276" s="23" t="str">
        <f t="shared" si="247"/>
        <v>ORD26005379</v>
      </c>
      <c r="P5276" s="23" t="str">
        <f t="shared" si="248"/>
        <v>Sep</v>
      </c>
      <c r="Q5276" s="23" t="str">
        <f>IF(F5276="CAPTURE",IF(COUNTIF(orders!$A:$A,O5276)&gt;0,"Yes","NO ORDER"),"")</f>
        <v>Yes</v>
      </c>
    </row>
    <row r="5277" spans="1:17" ht="15" customHeight="1" x14ac:dyDescent="0.3">
      <c r="A5277" s="23" t="s">
        <v>18486</v>
      </c>
      <c r="B5277" s="23"/>
      <c r="C5277" s="23" t="s">
        <v>11217</v>
      </c>
      <c r="D5277" s="23" t="str">
        <f t="shared" si="246"/>
        <v>ORD26005392</v>
      </c>
      <c r="E5277" s="38">
        <v>46293</v>
      </c>
      <c r="F5277" s="23" t="s">
        <v>12410</v>
      </c>
      <c r="G5277" s="23" t="s">
        <v>81</v>
      </c>
      <c r="H5277" s="24">
        <v>3798</v>
      </c>
      <c r="I5277" s="24">
        <v>45.58</v>
      </c>
      <c r="J5277" s="24">
        <v>8.1999999999999993</v>
      </c>
      <c r="K5277" s="24">
        <v>3744.22</v>
      </c>
      <c r="L5277" s="38">
        <v>46295</v>
      </c>
      <c r="M5277" s="23" t="s">
        <v>231</v>
      </c>
      <c r="N5277" s="23" t="str">
        <f>IF(COUNTIF($A$2:A5277,A5277)&gt;1,"DUP","OK")</f>
        <v>OK</v>
      </c>
      <c r="O5277" s="23" t="str">
        <f t="shared" si="247"/>
        <v>ORD26005392</v>
      </c>
      <c r="P5277" s="23" t="str">
        <f t="shared" si="248"/>
        <v>Sep</v>
      </c>
      <c r="Q5277" s="23" t="str">
        <f>IF(F5277="CAPTURE",IF(COUNTIF(orders!$A:$A,O5277)&gt;0,"Yes","NO ORDER"),"")</f>
        <v>Yes</v>
      </c>
    </row>
    <row r="5278" spans="1:17" ht="15" customHeight="1" x14ac:dyDescent="0.3">
      <c r="A5278" s="23" t="s">
        <v>18487</v>
      </c>
      <c r="B5278" s="23"/>
      <c r="C5278" s="23" t="s">
        <v>11239</v>
      </c>
      <c r="D5278" s="23" t="str">
        <f t="shared" si="246"/>
        <v>ORD26005403</v>
      </c>
      <c r="E5278" s="38">
        <v>46293</v>
      </c>
      <c r="F5278" s="23" t="s">
        <v>12410</v>
      </c>
      <c r="G5278" s="23" t="s">
        <v>75</v>
      </c>
      <c r="H5278" s="24">
        <v>2499</v>
      </c>
      <c r="I5278" s="24">
        <v>7.5</v>
      </c>
      <c r="J5278" s="24">
        <v>1.35</v>
      </c>
      <c r="K5278" s="24">
        <v>2490.15</v>
      </c>
      <c r="L5278" s="38">
        <v>46295</v>
      </c>
      <c r="M5278" s="23" t="s">
        <v>231</v>
      </c>
      <c r="N5278" s="23" t="str">
        <f>IF(COUNTIF($A$2:A5278,A5278)&gt;1,"DUP","OK")</f>
        <v>OK</v>
      </c>
      <c r="O5278" s="23" t="str">
        <f t="shared" si="247"/>
        <v>ORD26005403</v>
      </c>
      <c r="P5278" s="23" t="str">
        <f t="shared" si="248"/>
        <v>Sep</v>
      </c>
      <c r="Q5278" s="23" t="str">
        <f>IF(F5278="CAPTURE",IF(COUNTIF(orders!$A:$A,O5278)&gt;0,"Yes","NO ORDER"),"")</f>
        <v>Yes</v>
      </c>
    </row>
    <row r="5279" spans="1:17" ht="15" customHeight="1" x14ac:dyDescent="0.3">
      <c r="A5279" s="23" t="s">
        <v>18488</v>
      </c>
      <c r="B5279" s="23"/>
      <c r="C5279" s="23" t="s">
        <v>18489</v>
      </c>
      <c r="D5279" s="23" t="str">
        <f t="shared" si="246"/>
        <v>ORD26005407</v>
      </c>
      <c r="E5279" s="38">
        <v>46293</v>
      </c>
      <c r="F5279" s="23" t="s">
        <v>12410</v>
      </c>
      <c r="G5279" s="23" t="s">
        <v>75</v>
      </c>
      <c r="H5279" s="24">
        <v>1647</v>
      </c>
      <c r="I5279" s="24">
        <v>0</v>
      </c>
      <c r="J5279" s="24">
        <v>0</v>
      </c>
      <c r="K5279" s="24">
        <v>1647</v>
      </c>
      <c r="L5279" s="38">
        <v>46295</v>
      </c>
      <c r="M5279" s="23" t="s">
        <v>231</v>
      </c>
      <c r="N5279" s="23" t="str">
        <f>IF(COUNTIF($A$2:A5279,A5279)&gt;1,"DUP","OK")</f>
        <v>OK</v>
      </c>
      <c r="O5279" s="23" t="str">
        <f t="shared" si="247"/>
        <v>ORD26005407</v>
      </c>
      <c r="P5279" s="23" t="str">
        <f t="shared" si="248"/>
        <v>Sep</v>
      </c>
      <c r="Q5279" s="23" t="str">
        <f>IF(F5279="CAPTURE",IF(COUNTIF(orders!$A:$A,O5279)&gt;0,"Yes","NO ORDER"),"")</f>
        <v>Yes</v>
      </c>
    </row>
    <row r="5280" spans="1:17" ht="15" customHeight="1" x14ac:dyDescent="0.3">
      <c r="A5280" s="23" t="s">
        <v>18490</v>
      </c>
      <c r="B5280" s="23"/>
      <c r="C5280" s="23" t="s">
        <v>11259</v>
      </c>
      <c r="D5280" s="23" t="str">
        <f t="shared" si="246"/>
        <v>ORD26005413</v>
      </c>
      <c r="E5280" s="38">
        <v>46293</v>
      </c>
      <c r="F5280" s="23" t="s">
        <v>12410</v>
      </c>
      <c r="G5280" s="23" t="s">
        <v>75</v>
      </c>
      <c r="H5280" s="24">
        <v>5598</v>
      </c>
      <c r="I5280" s="24">
        <v>16.79</v>
      </c>
      <c r="J5280" s="24">
        <v>3.02</v>
      </c>
      <c r="K5280" s="24">
        <v>5578.19</v>
      </c>
      <c r="L5280" s="38">
        <v>46295</v>
      </c>
      <c r="M5280" s="23" t="s">
        <v>231</v>
      </c>
      <c r="N5280" s="23" t="str">
        <f>IF(COUNTIF($A$2:A5280,A5280)&gt;1,"DUP","OK")</f>
        <v>OK</v>
      </c>
      <c r="O5280" s="23" t="str">
        <f t="shared" si="247"/>
        <v>ORD26005413</v>
      </c>
      <c r="P5280" s="23" t="str">
        <f t="shared" si="248"/>
        <v>Sep</v>
      </c>
      <c r="Q5280" s="23" t="str">
        <f>IF(F5280="CAPTURE",IF(COUNTIF(orders!$A:$A,O5280)&gt;0,"Yes","NO ORDER"),"")</f>
        <v>Yes</v>
      </c>
    </row>
    <row r="5281" spans="1:17" ht="15" customHeight="1" x14ac:dyDescent="0.3">
      <c r="A5281" s="23" t="s">
        <v>18491</v>
      </c>
      <c r="B5281" s="23"/>
      <c r="C5281" s="23" t="s">
        <v>11286</v>
      </c>
      <c r="D5281" s="23" t="str">
        <f t="shared" si="246"/>
        <v>ORD26005427</v>
      </c>
      <c r="E5281" s="38">
        <v>46293</v>
      </c>
      <c r="F5281" s="23" t="s">
        <v>12410</v>
      </c>
      <c r="G5281" s="23" t="s">
        <v>79</v>
      </c>
      <c r="H5281" s="24">
        <v>4999</v>
      </c>
      <c r="I5281" s="24">
        <v>79.98</v>
      </c>
      <c r="J5281" s="24">
        <v>14.4</v>
      </c>
      <c r="K5281" s="24">
        <v>4904.62</v>
      </c>
      <c r="L5281" s="38">
        <v>46295</v>
      </c>
      <c r="M5281" s="23" t="s">
        <v>231</v>
      </c>
      <c r="N5281" s="23" t="str">
        <f>IF(COUNTIF($A$2:A5281,A5281)&gt;1,"DUP","OK")</f>
        <v>OK</v>
      </c>
      <c r="O5281" s="23" t="str">
        <f t="shared" si="247"/>
        <v>ORD26005427</v>
      </c>
      <c r="P5281" s="23" t="str">
        <f t="shared" si="248"/>
        <v>Sep</v>
      </c>
      <c r="Q5281" s="23" t="str">
        <f>IF(F5281="CAPTURE",IF(COUNTIF(orders!$A:$A,O5281)&gt;0,"Yes","NO ORDER"),"")</f>
        <v>Yes</v>
      </c>
    </row>
    <row r="5282" spans="1:17" ht="15" customHeight="1" x14ac:dyDescent="0.3">
      <c r="A5282" s="23" t="s">
        <v>18492</v>
      </c>
      <c r="B5282" s="23"/>
      <c r="C5282" s="23" t="s">
        <v>11293</v>
      </c>
      <c r="D5282" s="23" t="str">
        <f t="shared" si="246"/>
        <v>ORD26005431</v>
      </c>
      <c r="E5282" s="38">
        <v>46293</v>
      </c>
      <c r="F5282" s="23" t="s">
        <v>12410</v>
      </c>
      <c r="G5282" s="23" t="s">
        <v>75</v>
      </c>
      <c r="H5282" s="24">
        <v>1799</v>
      </c>
      <c r="I5282" s="24">
        <v>0</v>
      </c>
      <c r="J5282" s="24">
        <v>0</v>
      </c>
      <c r="K5282" s="24">
        <v>1799</v>
      </c>
      <c r="L5282" s="38">
        <v>46295</v>
      </c>
      <c r="M5282" s="23" t="s">
        <v>231</v>
      </c>
      <c r="N5282" s="23" t="str">
        <f>IF(COUNTIF($A$2:A5282,A5282)&gt;1,"DUP","OK")</f>
        <v>OK</v>
      </c>
      <c r="O5282" s="23" t="str">
        <f t="shared" si="247"/>
        <v>ORD26005431</v>
      </c>
      <c r="P5282" s="23" t="str">
        <f t="shared" si="248"/>
        <v>Sep</v>
      </c>
      <c r="Q5282" s="23" t="str">
        <f>IF(F5282="CAPTURE",IF(COUNTIF(orders!$A:$A,O5282)&gt;0,"Yes","NO ORDER"),"")</f>
        <v>Yes</v>
      </c>
    </row>
    <row r="5283" spans="1:17" ht="15" customHeight="1" x14ac:dyDescent="0.3">
      <c r="A5283" s="23" t="s">
        <v>18493</v>
      </c>
      <c r="B5283" s="23"/>
      <c r="C5283" s="23" t="s">
        <v>18494</v>
      </c>
      <c r="D5283" s="23" t="str">
        <f t="shared" si="246"/>
        <v>ORD26005442</v>
      </c>
      <c r="E5283" s="38">
        <v>46293</v>
      </c>
      <c r="F5283" s="23" t="s">
        <v>12410</v>
      </c>
      <c r="G5283" s="23" t="s">
        <v>81</v>
      </c>
      <c r="H5283" s="24">
        <v>1799</v>
      </c>
      <c r="I5283" s="24">
        <v>26.99</v>
      </c>
      <c r="J5283" s="24">
        <v>4.8600000000000003</v>
      </c>
      <c r="K5283" s="24">
        <v>1767.15</v>
      </c>
      <c r="L5283" s="38">
        <v>46295</v>
      </c>
      <c r="M5283" s="23" t="s">
        <v>231</v>
      </c>
      <c r="N5283" s="23" t="str">
        <f>IF(COUNTIF($A$2:A5283,A5283)&gt;1,"DUP","OK")</f>
        <v>OK</v>
      </c>
      <c r="O5283" s="23" t="str">
        <f t="shared" si="247"/>
        <v>ORD26005442</v>
      </c>
      <c r="P5283" s="23" t="str">
        <f t="shared" si="248"/>
        <v>Sep</v>
      </c>
      <c r="Q5283" s="23" t="str">
        <f>IF(F5283="CAPTURE",IF(COUNTIF(orders!$A:$A,O5283)&gt;0,"Yes","NO ORDER"),"")</f>
        <v>Yes</v>
      </c>
    </row>
    <row r="5284" spans="1:17" ht="15" customHeight="1" x14ac:dyDescent="0.3">
      <c r="A5284" s="23" t="s">
        <v>18495</v>
      </c>
      <c r="B5284" s="23"/>
      <c r="C5284" s="23" t="s">
        <v>11607</v>
      </c>
      <c r="D5284" s="23" t="str">
        <f t="shared" si="246"/>
        <v>ORD26005593</v>
      </c>
      <c r="E5284" s="38">
        <v>46293</v>
      </c>
      <c r="F5284" s="23" t="s">
        <v>12410</v>
      </c>
      <c r="G5284" s="23" t="s">
        <v>75</v>
      </c>
      <c r="H5284" s="24">
        <v>799</v>
      </c>
      <c r="I5284" s="24">
        <v>0</v>
      </c>
      <c r="J5284" s="24">
        <v>0</v>
      </c>
      <c r="K5284" s="24">
        <v>799</v>
      </c>
      <c r="L5284" s="38">
        <v>46295</v>
      </c>
      <c r="M5284" s="23" t="s">
        <v>231</v>
      </c>
      <c r="N5284" s="23" t="str">
        <f>IF(COUNTIF($A$2:A5284,A5284)&gt;1,"DUP","OK")</f>
        <v>OK</v>
      </c>
      <c r="O5284" s="23" t="str">
        <f t="shared" si="247"/>
        <v>ORD26005593</v>
      </c>
      <c r="P5284" s="23" t="str">
        <f t="shared" si="248"/>
        <v>Sep</v>
      </c>
      <c r="Q5284" s="23" t="str">
        <f>IF(F5284="CAPTURE",IF(COUNTIF(orders!$A:$A,O5284)&gt;0,"Yes","NO ORDER"),"")</f>
        <v>Yes</v>
      </c>
    </row>
    <row r="5285" spans="1:17" ht="15" customHeight="1" x14ac:dyDescent="0.3">
      <c r="A5285" s="23" t="s">
        <v>18496</v>
      </c>
      <c r="B5285" s="23"/>
      <c r="C5285" s="23" t="s">
        <v>11619</v>
      </c>
      <c r="D5285" s="23" t="str">
        <f t="shared" si="246"/>
        <v>ORD26005599</v>
      </c>
      <c r="E5285" s="38">
        <v>46293</v>
      </c>
      <c r="F5285" s="23" t="s">
        <v>12410</v>
      </c>
      <c r="G5285" s="23" t="s">
        <v>79</v>
      </c>
      <c r="H5285" s="24">
        <v>1499</v>
      </c>
      <c r="I5285" s="24">
        <v>26.98</v>
      </c>
      <c r="J5285" s="24">
        <v>4.8600000000000003</v>
      </c>
      <c r="K5285" s="24">
        <v>1467.16</v>
      </c>
      <c r="L5285" s="38">
        <v>46295</v>
      </c>
      <c r="M5285" s="23" t="s">
        <v>231</v>
      </c>
      <c r="N5285" s="23" t="str">
        <f>IF(COUNTIF($A$2:A5285,A5285)&gt;1,"DUP","OK")</f>
        <v>OK</v>
      </c>
      <c r="O5285" s="23" t="str">
        <f t="shared" si="247"/>
        <v>ORD26005599</v>
      </c>
      <c r="P5285" s="23" t="str">
        <f t="shared" si="248"/>
        <v>Sep</v>
      </c>
      <c r="Q5285" s="23" t="str">
        <f>IF(F5285="CAPTURE",IF(COUNTIF(orders!$A:$A,O5285)&gt;0,"Yes","NO ORDER"),"")</f>
        <v>Yes</v>
      </c>
    </row>
    <row r="5286" spans="1:17" ht="15" customHeight="1" x14ac:dyDescent="0.3">
      <c r="A5286" s="23" t="s">
        <v>18497</v>
      </c>
      <c r="B5286" s="23"/>
      <c r="C5286" s="23" t="s">
        <v>18498</v>
      </c>
      <c r="D5286" s="23" t="str">
        <f t="shared" si="246"/>
        <v>ORD26005629</v>
      </c>
      <c r="E5286" s="38">
        <v>46293</v>
      </c>
      <c r="F5286" s="23" t="s">
        <v>12410</v>
      </c>
      <c r="G5286" s="23" t="s">
        <v>79</v>
      </c>
      <c r="H5286" s="24">
        <v>349</v>
      </c>
      <c r="I5286" s="24">
        <v>6.28</v>
      </c>
      <c r="J5286" s="24">
        <v>1.1299999999999999</v>
      </c>
      <c r="K5286" s="24">
        <v>341.59</v>
      </c>
      <c r="L5286" s="38">
        <v>46295</v>
      </c>
      <c r="M5286" s="23" t="s">
        <v>231</v>
      </c>
      <c r="N5286" s="23" t="str">
        <f>IF(COUNTIF($A$2:A5286,A5286)&gt;1,"DUP","OK")</f>
        <v>OK</v>
      </c>
      <c r="O5286" s="23" t="str">
        <f t="shared" si="247"/>
        <v>ORD26005629</v>
      </c>
      <c r="P5286" s="23" t="str">
        <f t="shared" si="248"/>
        <v>Sep</v>
      </c>
      <c r="Q5286" s="23" t="str">
        <f>IF(F5286="CAPTURE",IF(COUNTIF(orders!$A:$A,O5286)&gt;0,"Yes","NO ORDER"),"")</f>
        <v>Yes</v>
      </c>
    </row>
    <row r="5287" spans="1:17" ht="15" customHeight="1" x14ac:dyDescent="0.3">
      <c r="A5287" s="23" t="s">
        <v>18499</v>
      </c>
      <c r="B5287" s="23"/>
      <c r="C5287" s="23" t="s">
        <v>11682</v>
      </c>
      <c r="D5287" s="23" t="str">
        <f t="shared" si="246"/>
        <v>ORD26005630</v>
      </c>
      <c r="E5287" s="38">
        <v>46293</v>
      </c>
      <c r="F5287" s="23" t="s">
        <v>12410</v>
      </c>
      <c r="G5287" s="23" t="s">
        <v>79</v>
      </c>
      <c r="H5287" s="24">
        <v>1197</v>
      </c>
      <c r="I5287" s="24">
        <v>21.55</v>
      </c>
      <c r="J5287" s="24">
        <v>3.88</v>
      </c>
      <c r="K5287" s="24">
        <v>1171.57</v>
      </c>
      <c r="L5287" s="38">
        <v>46295</v>
      </c>
      <c r="M5287" s="23" t="s">
        <v>231</v>
      </c>
      <c r="N5287" s="23" t="str">
        <f>IF(COUNTIF($A$2:A5287,A5287)&gt;1,"DUP","OK")</f>
        <v>OK</v>
      </c>
      <c r="O5287" s="23" t="str">
        <f t="shared" si="247"/>
        <v>ORD26005630</v>
      </c>
      <c r="P5287" s="23" t="str">
        <f t="shared" si="248"/>
        <v>Sep</v>
      </c>
      <c r="Q5287" s="23" t="str">
        <f>IF(F5287="CAPTURE",IF(COUNTIF(orders!$A:$A,O5287)&gt;0,"Yes","NO ORDER"),"")</f>
        <v>Yes</v>
      </c>
    </row>
    <row r="5288" spans="1:17" ht="15" customHeight="1" x14ac:dyDescent="0.3">
      <c r="A5288" s="23" t="s">
        <v>18500</v>
      </c>
      <c r="B5288" s="23"/>
      <c r="C5288" s="23" t="s">
        <v>11728</v>
      </c>
      <c r="D5288" s="23" t="str">
        <f t="shared" si="246"/>
        <v>ORD26005654</v>
      </c>
      <c r="E5288" s="38">
        <v>46293</v>
      </c>
      <c r="F5288" s="23" t="s">
        <v>12410</v>
      </c>
      <c r="G5288" s="23" t="s">
        <v>77</v>
      </c>
      <c r="H5288" s="24">
        <v>3499</v>
      </c>
      <c r="I5288" s="24">
        <v>59.48</v>
      </c>
      <c r="J5288" s="24">
        <v>10.71</v>
      </c>
      <c r="K5288" s="24">
        <v>3428.81</v>
      </c>
      <c r="L5288" s="38">
        <v>46295</v>
      </c>
      <c r="M5288" s="23" t="s">
        <v>231</v>
      </c>
      <c r="N5288" s="23" t="str">
        <f>IF(COUNTIF($A$2:A5288,A5288)&gt;1,"DUP","OK")</f>
        <v>OK</v>
      </c>
      <c r="O5288" s="23" t="str">
        <f t="shared" si="247"/>
        <v>ORD26005654</v>
      </c>
      <c r="P5288" s="23" t="str">
        <f t="shared" si="248"/>
        <v>Sep</v>
      </c>
      <c r="Q5288" s="23" t="str">
        <f>IF(F5288="CAPTURE",IF(COUNTIF(orders!$A:$A,O5288)&gt;0,"Yes","NO ORDER"),"")</f>
        <v>Yes</v>
      </c>
    </row>
    <row r="5289" spans="1:17" ht="15" customHeight="1" x14ac:dyDescent="0.3">
      <c r="A5289" s="23" t="s">
        <v>18501</v>
      </c>
      <c r="B5289" s="23"/>
      <c r="C5289" s="23" t="s">
        <v>11732</v>
      </c>
      <c r="D5289" s="23" t="str">
        <f t="shared" si="246"/>
        <v>ORD26005656</v>
      </c>
      <c r="E5289" s="38">
        <v>46293</v>
      </c>
      <c r="F5289" s="23" t="s">
        <v>12410</v>
      </c>
      <c r="G5289" s="23" t="s">
        <v>75</v>
      </c>
      <c r="H5289" s="24">
        <v>6498</v>
      </c>
      <c r="I5289" s="24">
        <v>19.489999999999998</v>
      </c>
      <c r="J5289" s="24">
        <v>3.51</v>
      </c>
      <c r="K5289" s="24">
        <v>6475</v>
      </c>
      <c r="L5289" s="38">
        <v>46295</v>
      </c>
      <c r="M5289" s="23" t="s">
        <v>231</v>
      </c>
      <c r="N5289" s="23" t="str">
        <f>IF(COUNTIF($A$2:A5289,A5289)&gt;1,"DUP","OK")</f>
        <v>OK</v>
      </c>
      <c r="O5289" s="23" t="str">
        <f t="shared" si="247"/>
        <v>ORD26005656</v>
      </c>
      <c r="P5289" s="23" t="str">
        <f t="shared" si="248"/>
        <v>Sep</v>
      </c>
      <c r="Q5289" s="23" t="str">
        <f>IF(F5289="CAPTURE",IF(COUNTIF(orders!$A:$A,O5289)&gt;0,"Yes","NO ORDER"),"")</f>
        <v>Yes</v>
      </c>
    </row>
    <row r="5290" spans="1:17" ht="15" customHeight="1" x14ac:dyDescent="0.3">
      <c r="A5290" s="23" t="s">
        <v>18502</v>
      </c>
      <c r="B5290" s="23"/>
      <c r="C5290" s="23" t="s">
        <v>11856</v>
      </c>
      <c r="D5290" s="23" t="str">
        <f t="shared" si="246"/>
        <v>ORD26005720</v>
      </c>
      <c r="E5290" s="38">
        <v>46293</v>
      </c>
      <c r="F5290" s="23" t="s">
        <v>12410</v>
      </c>
      <c r="G5290" s="23" t="s">
        <v>79</v>
      </c>
      <c r="H5290" s="24">
        <v>3348</v>
      </c>
      <c r="I5290" s="24">
        <v>53.57</v>
      </c>
      <c r="J5290" s="24">
        <v>9.64</v>
      </c>
      <c r="K5290" s="24">
        <v>3284.79</v>
      </c>
      <c r="L5290" s="38">
        <v>46295</v>
      </c>
      <c r="M5290" s="23" t="s">
        <v>231</v>
      </c>
      <c r="N5290" s="23" t="str">
        <f>IF(COUNTIF($A$2:A5290,A5290)&gt;1,"DUP","OK")</f>
        <v>OK</v>
      </c>
      <c r="O5290" s="23" t="str">
        <f t="shared" si="247"/>
        <v>ORD26005720</v>
      </c>
      <c r="P5290" s="23" t="str">
        <f t="shared" si="248"/>
        <v>Sep</v>
      </c>
      <c r="Q5290" s="23" t="str">
        <f>IF(F5290="CAPTURE",IF(COUNTIF(orders!$A:$A,O5290)&gt;0,"Yes","NO ORDER"),"")</f>
        <v>Yes</v>
      </c>
    </row>
    <row r="5291" spans="1:17" ht="15" customHeight="1" x14ac:dyDescent="0.3">
      <c r="A5291" s="23" t="s">
        <v>18503</v>
      </c>
      <c r="B5291" s="23"/>
      <c r="C5291" s="23" t="s">
        <v>11961</v>
      </c>
      <c r="D5291" s="23" t="str">
        <f t="shared" si="246"/>
        <v>ORD26005774</v>
      </c>
      <c r="E5291" s="38">
        <v>46293</v>
      </c>
      <c r="F5291" s="23" t="s">
        <v>12410</v>
      </c>
      <c r="G5291" s="23" t="s">
        <v>79</v>
      </c>
      <c r="H5291" s="24">
        <v>4999</v>
      </c>
      <c r="I5291" s="24">
        <v>79.98</v>
      </c>
      <c r="J5291" s="24">
        <v>14.4</v>
      </c>
      <c r="K5291" s="24">
        <v>4904.62</v>
      </c>
      <c r="L5291" s="38">
        <v>46295</v>
      </c>
      <c r="M5291" s="23" t="s">
        <v>231</v>
      </c>
      <c r="N5291" s="23" t="str">
        <f>IF(COUNTIF($A$2:A5291,A5291)&gt;1,"DUP","OK")</f>
        <v>OK</v>
      </c>
      <c r="O5291" s="23" t="str">
        <f t="shared" si="247"/>
        <v>ORD26005774</v>
      </c>
      <c r="P5291" s="23" t="str">
        <f t="shared" si="248"/>
        <v>Sep</v>
      </c>
      <c r="Q5291" s="23" t="str">
        <f>IF(F5291="CAPTURE",IF(COUNTIF(orders!$A:$A,O5291)&gt;0,"Yes","NO ORDER"),"")</f>
        <v>Yes</v>
      </c>
    </row>
    <row r="5292" spans="1:17" ht="15" customHeight="1" x14ac:dyDescent="0.3">
      <c r="A5292" s="23" t="s">
        <v>18504</v>
      </c>
      <c r="B5292" s="23"/>
      <c r="C5292" s="23" t="s">
        <v>12007</v>
      </c>
      <c r="D5292" s="23" t="str">
        <f t="shared" si="246"/>
        <v>ORD26005798</v>
      </c>
      <c r="E5292" s="38">
        <v>46293</v>
      </c>
      <c r="F5292" s="23" t="s">
        <v>12410</v>
      </c>
      <c r="G5292" s="23" t="s">
        <v>79</v>
      </c>
      <c r="H5292" s="24">
        <v>2999</v>
      </c>
      <c r="I5292" s="24">
        <v>47.98</v>
      </c>
      <c r="J5292" s="24">
        <v>8.64</v>
      </c>
      <c r="K5292" s="24">
        <v>2942.38</v>
      </c>
      <c r="L5292" s="38">
        <v>46295</v>
      </c>
      <c r="M5292" s="23" t="s">
        <v>231</v>
      </c>
      <c r="N5292" s="23" t="str">
        <f>IF(COUNTIF($A$2:A5292,A5292)&gt;1,"DUP","OK")</f>
        <v>OK</v>
      </c>
      <c r="O5292" s="23" t="str">
        <f t="shared" si="247"/>
        <v>ORD26005798</v>
      </c>
      <c r="P5292" s="23" t="str">
        <f t="shared" si="248"/>
        <v>Sep</v>
      </c>
      <c r="Q5292" s="23" t="str">
        <f>IF(F5292="CAPTURE",IF(COUNTIF(orders!$A:$A,O5292)&gt;0,"Yes","NO ORDER"),"")</f>
        <v>Yes</v>
      </c>
    </row>
    <row r="5293" spans="1:17" ht="15" customHeight="1" x14ac:dyDescent="0.3">
      <c r="A5293" s="23" t="s">
        <v>18505</v>
      </c>
      <c r="B5293" s="23"/>
      <c r="C5293" s="23" t="s">
        <v>12013</v>
      </c>
      <c r="D5293" s="23" t="str">
        <f t="shared" si="246"/>
        <v>ORD26005801</v>
      </c>
      <c r="E5293" s="38">
        <v>46293</v>
      </c>
      <c r="F5293" s="23" t="s">
        <v>12410</v>
      </c>
      <c r="G5293" s="23" t="s">
        <v>75</v>
      </c>
      <c r="H5293" s="24">
        <v>5998</v>
      </c>
      <c r="I5293" s="24">
        <v>17.989999999999998</v>
      </c>
      <c r="J5293" s="24">
        <v>3.24</v>
      </c>
      <c r="K5293" s="24">
        <v>5976.77</v>
      </c>
      <c r="L5293" s="38">
        <v>46295</v>
      </c>
      <c r="M5293" s="23" t="s">
        <v>231</v>
      </c>
      <c r="N5293" s="23" t="str">
        <f>IF(COUNTIF($A$2:A5293,A5293)&gt;1,"DUP","OK")</f>
        <v>OK</v>
      </c>
      <c r="O5293" s="23" t="str">
        <f t="shared" si="247"/>
        <v>ORD26005801</v>
      </c>
      <c r="P5293" s="23" t="str">
        <f t="shared" si="248"/>
        <v>Sep</v>
      </c>
      <c r="Q5293" s="23" t="str">
        <f>IF(F5293="CAPTURE",IF(COUNTIF(orders!$A:$A,O5293)&gt;0,"Yes","NO ORDER"),"")</f>
        <v>Yes</v>
      </c>
    </row>
    <row r="5294" spans="1:17" ht="15" customHeight="1" x14ac:dyDescent="0.3">
      <c r="A5294" s="23" t="s">
        <v>18506</v>
      </c>
      <c r="B5294" s="23"/>
      <c r="C5294" s="23" t="s">
        <v>12022</v>
      </c>
      <c r="D5294" s="23" t="str">
        <f t="shared" si="246"/>
        <v>ORD26005805</v>
      </c>
      <c r="E5294" s="38">
        <v>46293</v>
      </c>
      <c r="F5294" s="23" t="s">
        <v>12410</v>
      </c>
      <c r="G5294" s="23" t="s">
        <v>75</v>
      </c>
      <c r="H5294" s="24">
        <v>7999</v>
      </c>
      <c r="I5294" s="24">
        <v>24</v>
      </c>
      <c r="J5294" s="24">
        <v>4.32</v>
      </c>
      <c r="K5294" s="24">
        <v>7970.68</v>
      </c>
      <c r="L5294" s="38">
        <v>46295</v>
      </c>
      <c r="M5294" s="23" t="s">
        <v>231</v>
      </c>
      <c r="N5294" s="23" t="str">
        <f>IF(COUNTIF($A$2:A5294,A5294)&gt;1,"DUP","OK")</f>
        <v>OK</v>
      </c>
      <c r="O5294" s="23" t="str">
        <f t="shared" si="247"/>
        <v>ORD26005805</v>
      </c>
      <c r="P5294" s="23" t="str">
        <f t="shared" si="248"/>
        <v>Sep</v>
      </c>
      <c r="Q5294" s="23" t="str">
        <f>IF(F5294="CAPTURE",IF(COUNTIF(orders!$A:$A,O5294)&gt;0,"Yes","NO ORDER"),"")</f>
        <v>Yes</v>
      </c>
    </row>
    <row r="5295" spans="1:17" ht="15" customHeight="1" x14ac:dyDescent="0.3">
      <c r="A5295" s="23" t="s">
        <v>18507</v>
      </c>
      <c r="B5295" s="23"/>
      <c r="C5295" s="23" t="s">
        <v>12030</v>
      </c>
      <c r="D5295" s="23" t="str">
        <f t="shared" si="246"/>
        <v>ORD26005809</v>
      </c>
      <c r="E5295" s="38">
        <v>46293</v>
      </c>
      <c r="F5295" s="23" t="s">
        <v>12410</v>
      </c>
      <c r="G5295" s="23" t="s">
        <v>81</v>
      </c>
      <c r="H5295" s="24">
        <v>4999</v>
      </c>
      <c r="I5295" s="24">
        <v>59.99</v>
      </c>
      <c r="J5295" s="24">
        <v>10.8</v>
      </c>
      <c r="K5295" s="24">
        <v>4928.21</v>
      </c>
      <c r="L5295" s="38">
        <v>46295</v>
      </c>
      <c r="M5295" s="23" t="s">
        <v>231</v>
      </c>
      <c r="N5295" s="23" t="str">
        <f>IF(COUNTIF($A$2:A5295,A5295)&gt;1,"DUP","OK")</f>
        <v>OK</v>
      </c>
      <c r="O5295" s="23" t="str">
        <f t="shared" si="247"/>
        <v>ORD26005809</v>
      </c>
      <c r="P5295" s="23" t="str">
        <f t="shared" si="248"/>
        <v>Sep</v>
      </c>
      <c r="Q5295" s="23" t="str">
        <f>IF(F5295="CAPTURE",IF(COUNTIF(orders!$A:$A,O5295)&gt;0,"Yes","NO ORDER"),"")</f>
        <v>Yes</v>
      </c>
    </row>
    <row r="5296" spans="1:17" ht="15" customHeight="1" x14ac:dyDescent="0.3">
      <c r="A5296" s="23" t="s">
        <v>18508</v>
      </c>
      <c r="B5296" s="23"/>
      <c r="C5296" s="23" t="s">
        <v>18509</v>
      </c>
      <c r="D5296" s="23" t="str">
        <f t="shared" si="246"/>
        <v>ORD26005820</v>
      </c>
      <c r="E5296" s="38">
        <v>46293</v>
      </c>
      <c r="F5296" s="23" t="s">
        <v>12410</v>
      </c>
      <c r="G5296" s="23" t="s">
        <v>75</v>
      </c>
      <c r="H5296" s="24">
        <v>2999</v>
      </c>
      <c r="I5296" s="24">
        <v>9</v>
      </c>
      <c r="J5296" s="24">
        <v>1.62</v>
      </c>
      <c r="K5296" s="24">
        <v>2988.38</v>
      </c>
      <c r="L5296" s="38">
        <v>46295</v>
      </c>
      <c r="M5296" s="23" t="s">
        <v>231</v>
      </c>
      <c r="N5296" s="23" t="str">
        <f>IF(COUNTIF($A$2:A5296,A5296)&gt;1,"DUP","OK")</f>
        <v>OK</v>
      </c>
      <c r="O5296" s="23" t="str">
        <f t="shared" si="247"/>
        <v>ORD26005820</v>
      </c>
      <c r="P5296" s="23" t="str">
        <f t="shared" si="248"/>
        <v>Sep</v>
      </c>
      <c r="Q5296" s="23" t="str">
        <f>IF(F5296="CAPTURE",IF(COUNTIF(orders!$A:$A,O5296)&gt;0,"Yes","NO ORDER"),"")</f>
        <v>Yes</v>
      </c>
    </row>
    <row r="5297" spans="1:17" ht="15" customHeight="1" x14ac:dyDescent="0.3">
      <c r="A5297" s="23" t="s">
        <v>18510</v>
      </c>
      <c r="B5297" s="23"/>
      <c r="C5297" s="23" t="s">
        <v>12082</v>
      </c>
      <c r="D5297" s="23" t="str">
        <f t="shared" si="246"/>
        <v>ORD26005837</v>
      </c>
      <c r="E5297" s="38">
        <v>46293</v>
      </c>
      <c r="F5297" s="23" t="s">
        <v>12410</v>
      </c>
      <c r="G5297" s="23" t="s">
        <v>75</v>
      </c>
      <c r="H5297" s="24">
        <v>349</v>
      </c>
      <c r="I5297" s="24">
        <v>0</v>
      </c>
      <c r="J5297" s="24">
        <v>0</v>
      </c>
      <c r="K5297" s="24">
        <v>349</v>
      </c>
      <c r="L5297" s="38">
        <v>46295</v>
      </c>
      <c r="M5297" s="23" t="s">
        <v>231</v>
      </c>
      <c r="N5297" s="23" t="str">
        <f>IF(COUNTIF($A$2:A5297,A5297)&gt;1,"DUP","OK")</f>
        <v>OK</v>
      </c>
      <c r="O5297" s="23" t="str">
        <f t="shared" si="247"/>
        <v>ORD26005837</v>
      </c>
      <c r="P5297" s="23" t="str">
        <f t="shared" si="248"/>
        <v>Sep</v>
      </c>
      <c r="Q5297" s="23" t="str">
        <f>IF(F5297="CAPTURE",IF(COUNTIF(orders!$A:$A,O5297)&gt;0,"Yes","NO ORDER"),"")</f>
        <v>Yes</v>
      </c>
    </row>
    <row r="5298" spans="1:17" ht="15" customHeight="1" x14ac:dyDescent="0.3">
      <c r="A5298" s="23" t="s">
        <v>18511</v>
      </c>
      <c r="B5298" s="23"/>
      <c r="C5298" s="23" t="s">
        <v>18512</v>
      </c>
      <c r="D5298" s="23" t="str">
        <f t="shared" si="246"/>
        <v>ORD26005853</v>
      </c>
      <c r="E5298" s="38">
        <v>46293</v>
      </c>
      <c r="F5298" s="23" t="s">
        <v>12410</v>
      </c>
      <c r="G5298" s="23" t="s">
        <v>79</v>
      </c>
      <c r="H5298" s="24">
        <v>599</v>
      </c>
      <c r="I5298" s="24">
        <v>10.78</v>
      </c>
      <c r="J5298" s="24">
        <v>1.94</v>
      </c>
      <c r="K5298" s="24">
        <v>586.28</v>
      </c>
      <c r="L5298" s="38">
        <v>46295</v>
      </c>
      <c r="M5298" s="23" t="s">
        <v>231</v>
      </c>
      <c r="N5298" s="23" t="str">
        <f>IF(COUNTIF($A$2:A5298,A5298)&gt;1,"DUP","OK")</f>
        <v>OK</v>
      </c>
      <c r="O5298" s="23" t="str">
        <f t="shared" si="247"/>
        <v>ORD26005853</v>
      </c>
      <c r="P5298" s="23" t="str">
        <f t="shared" si="248"/>
        <v>Sep</v>
      </c>
      <c r="Q5298" s="23" t="str">
        <f>IF(F5298="CAPTURE",IF(COUNTIF(orders!$A:$A,O5298)&gt;0,"Yes","NO ORDER"),"")</f>
        <v>Yes</v>
      </c>
    </row>
    <row r="5299" spans="1:17" ht="15" customHeight="1" x14ac:dyDescent="0.3">
      <c r="A5299" s="23" t="s">
        <v>18513</v>
      </c>
      <c r="B5299" s="23"/>
      <c r="C5299" s="23" t="s">
        <v>12186</v>
      </c>
      <c r="D5299" s="23" t="str">
        <f t="shared" si="246"/>
        <v>ORD26005893</v>
      </c>
      <c r="E5299" s="38">
        <v>46293</v>
      </c>
      <c r="F5299" s="23" t="s">
        <v>12410</v>
      </c>
      <c r="G5299" s="23" t="s">
        <v>75</v>
      </c>
      <c r="H5299" s="24">
        <v>8798</v>
      </c>
      <c r="I5299" s="24">
        <v>26.39</v>
      </c>
      <c r="J5299" s="24">
        <v>4.75</v>
      </c>
      <c r="K5299" s="24">
        <v>8766.86</v>
      </c>
      <c r="L5299" s="38">
        <v>46295</v>
      </c>
      <c r="M5299" s="23" t="s">
        <v>231</v>
      </c>
      <c r="N5299" s="23" t="str">
        <f>IF(COUNTIF($A$2:A5299,A5299)&gt;1,"DUP","OK")</f>
        <v>OK</v>
      </c>
      <c r="O5299" s="23" t="str">
        <f t="shared" si="247"/>
        <v>ORD26005893</v>
      </c>
      <c r="P5299" s="23" t="str">
        <f t="shared" si="248"/>
        <v>Sep</v>
      </c>
      <c r="Q5299" s="23" t="str">
        <f>IF(F5299="CAPTURE",IF(COUNTIF(orders!$A:$A,O5299)&gt;0,"Yes","NO ORDER"),"")</f>
        <v>Yes</v>
      </c>
    </row>
    <row r="5300" spans="1:17" ht="15" customHeight="1" x14ac:dyDescent="0.3">
      <c r="A5300" s="23" t="s">
        <v>18514</v>
      </c>
      <c r="B5300" s="23"/>
      <c r="C5300" s="23" t="s">
        <v>18515</v>
      </c>
      <c r="D5300" s="23" t="str">
        <f t="shared" si="246"/>
        <v>ORD26006501</v>
      </c>
      <c r="E5300" s="38">
        <v>46293</v>
      </c>
      <c r="F5300" s="23" t="s">
        <v>12410</v>
      </c>
      <c r="G5300" s="23" t="s">
        <v>81</v>
      </c>
      <c r="H5300" s="24">
        <v>799</v>
      </c>
      <c r="I5300" s="24">
        <v>11.99</v>
      </c>
      <c r="J5300" s="24">
        <v>2.16</v>
      </c>
      <c r="K5300" s="24">
        <v>784.85</v>
      </c>
      <c r="L5300" s="38">
        <v>46295</v>
      </c>
      <c r="M5300" s="23" t="s">
        <v>231</v>
      </c>
      <c r="N5300" s="23" t="str">
        <f>IF(COUNTIF($A$2:A5300,A5300)&gt;1,"DUP","OK")</f>
        <v>OK</v>
      </c>
      <c r="O5300" s="23" t="str">
        <f t="shared" si="247"/>
        <v>ORD26006501</v>
      </c>
      <c r="P5300" s="23" t="str">
        <f t="shared" si="248"/>
        <v>Sep</v>
      </c>
      <c r="Q5300" s="23" t="str">
        <f>IF(F5300="CAPTURE",IF(COUNTIF(orders!$A:$A,O5300)&gt;0,"Yes","NO ORDER"),"")</f>
        <v>NO ORDER</v>
      </c>
    </row>
    <row r="5301" spans="1:17" ht="15" customHeight="1" x14ac:dyDescent="0.3">
      <c r="A5301" s="23" t="s">
        <v>18516</v>
      </c>
      <c r="B5301" s="23" t="s">
        <v>17250</v>
      </c>
      <c r="C5301" s="23"/>
      <c r="D5301" s="23" t="str">
        <f t="shared" si="246"/>
        <v/>
      </c>
      <c r="E5301" s="38">
        <v>46293</v>
      </c>
      <c r="F5301" s="23" t="s">
        <v>12791</v>
      </c>
      <c r="G5301" s="23" t="s">
        <v>75</v>
      </c>
      <c r="H5301" s="24">
        <v>1799</v>
      </c>
      <c r="I5301" s="24">
        <v>0</v>
      </c>
      <c r="J5301" s="24">
        <v>0</v>
      </c>
      <c r="K5301" s="24">
        <v>-1799</v>
      </c>
      <c r="L5301" s="38">
        <v>46295</v>
      </c>
      <c r="M5301" s="23" t="s">
        <v>231</v>
      </c>
      <c r="N5301" s="23" t="str">
        <f>IF(COUNTIF($A$2:A5301,A5301)&gt;1,"DUP","OK")</f>
        <v>OK</v>
      </c>
      <c r="O5301" s="23" t="str">
        <f t="shared" si="247"/>
        <v>ORD26000802</v>
      </c>
      <c r="P5301" s="23" t="str">
        <f t="shared" si="248"/>
        <v>Sep</v>
      </c>
      <c r="Q5301" s="23" t="str">
        <f>IF(F5301="CAPTURE",IF(COUNTIF(orders!$A:$A,O5301)&gt;0,"Yes","NO ORDER"),"")</f>
        <v/>
      </c>
    </row>
    <row r="5302" spans="1:17" ht="15" customHeight="1" x14ac:dyDescent="0.3">
      <c r="A5302" s="23" t="s">
        <v>18517</v>
      </c>
      <c r="B5302" s="23" t="s">
        <v>17045</v>
      </c>
      <c r="C5302" s="23"/>
      <c r="D5302" s="23" t="str">
        <f t="shared" si="246"/>
        <v/>
      </c>
      <c r="E5302" s="38">
        <v>46293</v>
      </c>
      <c r="F5302" s="23" t="s">
        <v>12791</v>
      </c>
      <c r="G5302" s="23" t="s">
        <v>75</v>
      </c>
      <c r="H5302" s="24">
        <v>2298</v>
      </c>
      <c r="I5302" s="24">
        <v>0</v>
      </c>
      <c r="J5302" s="24">
        <v>0</v>
      </c>
      <c r="K5302" s="24">
        <v>-2298</v>
      </c>
      <c r="L5302" s="38">
        <v>46295</v>
      </c>
      <c r="M5302" s="23" t="s">
        <v>231</v>
      </c>
      <c r="N5302" s="23" t="str">
        <f>IF(COUNTIF($A$2:A5302,A5302)&gt;1,"DUP","OK")</f>
        <v>OK</v>
      </c>
      <c r="O5302" s="23" t="str">
        <f t="shared" si="247"/>
        <v>ORD26000624</v>
      </c>
      <c r="P5302" s="23" t="str">
        <f t="shared" si="248"/>
        <v>Sep</v>
      </c>
      <c r="Q5302" s="23" t="str">
        <f>IF(F5302="CAPTURE",IF(COUNTIF(orders!$A:$A,O5302)&gt;0,"Yes","NO ORDER"),"")</f>
        <v/>
      </c>
    </row>
    <row r="5303" spans="1:17" ht="15" customHeight="1" x14ac:dyDescent="0.3">
      <c r="A5303" s="23" t="s">
        <v>18518</v>
      </c>
      <c r="B5303" s="23" t="s">
        <v>17470</v>
      </c>
      <c r="C5303" s="23"/>
      <c r="D5303" s="23" t="str">
        <f t="shared" si="246"/>
        <v/>
      </c>
      <c r="E5303" s="38">
        <v>46293</v>
      </c>
      <c r="F5303" s="23" t="s">
        <v>12791</v>
      </c>
      <c r="G5303" s="23" t="s">
        <v>75</v>
      </c>
      <c r="H5303" s="24">
        <v>3499</v>
      </c>
      <c r="I5303" s="24">
        <v>0</v>
      </c>
      <c r="J5303" s="24">
        <v>0</v>
      </c>
      <c r="K5303" s="24">
        <v>-3499</v>
      </c>
      <c r="L5303" s="38">
        <v>46295</v>
      </c>
      <c r="M5303" s="23" t="s">
        <v>231</v>
      </c>
      <c r="N5303" s="23" t="str">
        <f>IF(COUNTIF($A$2:A5303,A5303)&gt;1,"DUP","OK")</f>
        <v>OK</v>
      </c>
      <c r="O5303" s="23" t="str">
        <f t="shared" si="247"/>
        <v>ORD26001562</v>
      </c>
      <c r="P5303" s="23" t="str">
        <f t="shared" si="248"/>
        <v>Sep</v>
      </c>
      <c r="Q5303" s="23" t="str">
        <f>IF(F5303="CAPTURE",IF(COUNTIF(orders!$A:$A,O5303)&gt;0,"Yes","NO ORDER"),"")</f>
        <v/>
      </c>
    </row>
    <row r="5304" spans="1:17" ht="15" customHeight="1" x14ac:dyDescent="0.3">
      <c r="A5304" s="23" t="s">
        <v>18519</v>
      </c>
      <c r="B5304" s="23" t="s">
        <v>17367</v>
      </c>
      <c r="C5304" s="23"/>
      <c r="D5304" s="23" t="str">
        <f t="shared" si="246"/>
        <v/>
      </c>
      <c r="E5304" s="38">
        <v>46293</v>
      </c>
      <c r="F5304" s="23" t="s">
        <v>12791</v>
      </c>
      <c r="G5304" s="23" t="s">
        <v>75</v>
      </c>
      <c r="H5304" s="24">
        <v>8298</v>
      </c>
      <c r="I5304" s="24">
        <v>0</v>
      </c>
      <c r="J5304" s="24">
        <v>0</v>
      </c>
      <c r="K5304" s="24">
        <v>-8298</v>
      </c>
      <c r="L5304" s="38">
        <v>46295</v>
      </c>
      <c r="M5304" s="23" t="s">
        <v>231</v>
      </c>
      <c r="N5304" s="23" t="str">
        <f>IF(COUNTIF($A$2:A5304,A5304)&gt;1,"DUP","OK")</f>
        <v>OK</v>
      </c>
      <c r="O5304" s="23" t="str">
        <f t="shared" si="247"/>
        <v>ORD26004790</v>
      </c>
      <c r="P5304" s="23" t="str">
        <f t="shared" si="248"/>
        <v>Sep</v>
      </c>
      <c r="Q5304" s="23" t="str">
        <f>IF(F5304="CAPTURE",IF(COUNTIF(orders!$A:$A,O5304)&gt;0,"Yes","NO ORDER"),"")</f>
        <v/>
      </c>
    </row>
    <row r="5305" spans="1:17" ht="15" customHeight="1" x14ac:dyDescent="0.3">
      <c r="A5305" s="23" t="s">
        <v>18520</v>
      </c>
      <c r="B5305" s="23" t="s">
        <v>18211</v>
      </c>
      <c r="C5305" s="23"/>
      <c r="D5305" s="23" t="str">
        <f t="shared" si="246"/>
        <v/>
      </c>
      <c r="E5305" s="38">
        <v>46293</v>
      </c>
      <c r="F5305" s="23" t="s">
        <v>12791</v>
      </c>
      <c r="G5305" s="23" t="s">
        <v>81</v>
      </c>
      <c r="H5305" s="24">
        <v>3348</v>
      </c>
      <c r="I5305" s="24">
        <v>0</v>
      </c>
      <c r="J5305" s="24">
        <v>0</v>
      </c>
      <c r="K5305" s="24">
        <v>-3348</v>
      </c>
      <c r="L5305" s="38">
        <v>46295</v>
      </c>
      <c r="M5305" s="23" t="s">
        <v>231</v>
      </c>
      <c r="N5305" s="23" t="str">
        <f>IF(COUNTIF($A$2:A5305,A5305)&gt;1,"DUP","OK")</f>
        <v>OK</v>
      </c>
      <c r="O5305" s="23" t="str">
        <f t="shared" si="247"/>
        <v>ORD26003635</v>
      </c>
      <c r="P5305" s="23" t="str">
        <f t="shared" si="248"/>
        <v>Sep</v>
      </c>
      <c r="Q5305" s="23" t="str">
        <f>IF(F5305="CAPTURE",IF(COUNTIF(orders!$A:$A,O5305)&gt;0,"Yes","NO ORDER"),"")</f>
        <v/>
      </c>
    </row>
    <row r="5306" spans="1:17" ht="15" customHeight="1" x14ac:dyDescent="0.3">
      <c r="A5306" s="23" t="s">
        <v>18521</v>
      </c>
      <c r="B5306" s="23" t="s">
        <v>17179</v>
      </c>
      <c r="C5306" s="23"/>
      <c r="D5306" s="23" t="str">
        <f t="shared" si="246"/>
        <v/>
      </c>
      <c r="E5306" s="38">
        <v>46293</v>
      </c>
      <c r="F5306" s="23" t="s">
        <v>12791</v>
      </c>
      <c r="G5306" s="23" t="s">
        <v>75</v>
      </c>
      <c r="H5306" s="24">
        <v>999</v>
      </c>
      <c r="I5306" s="24">
        <v>0</v>
      </c>
      <c r="J5306" s="24">
        <v>0</v>
      </c>
      <c r="K5306" s="24">
        <v>-999</v>
      </c>
      <c r="L5306" s="38">
        <v>46295</v>
      </c>
      <c r="M5306" s="23" t="s">
        <v>231</v>
      </c>
      <c r="N5306" s="23" t="str">
        <f>IF(COUNTIF($A$2:A5306,A5306)&gt;1,"DUP","OK")</f>
        <v>OK</v>
      </c>
      <c r="O5306" s="23" t="str">
        <f t="shared" si="247"/>
        <v>ORD26005058</v>
      </c>
      <c r="P5306" s="23" t="str">
        <f t="shared" si="248"/>
        <v>Sep</v>
      </c>
      <c r="Q5306" s="23" t="str">
        <f>IF(F5306="CAPTURE",IF(COUNTIF(orders!$A:$A,O5306)&gt;0,"Yes","NO ORDER"),"")</f>
        <v/>
      </c>
    </row>
    <row r="5307" spans="1:17" ht="15" customHeight="1" x14ac:dyDescent="0.3">
      <c r="A5307" s="23" t="s">
        <v>18522</v>
      </c>
      <c r="B5307" s="23" t="s">
        <v>17680</v>
      </c>
      <c r="C5307" s="23"/>
      <c r="D5307" s="23" t="str">
        <f t="shared" si="246"/>
        <v/>
      </c>
      <c r="E5307" s="38">
        <v>46293</v>
      </c>
      <c r="F5307" s="23" t="s">
        <v>12791</v>
      </c>
      <c r="G5307" s="23" t="s">
        <v>75</v>
      </c>
      <c r="H5307" s="24">
        <v>1499</v>
      </c>
      <c r="I5307" s="24">
        <v>0</v>
      </c>
      <c r="J5307" s="24">
        <v>0</v>
      </c>
      <c r="K5307" s="24">
        <v>-1499</v>
      </c>
      <c r="L5307" s="38">
        <v>46295</v>
      </c>
      <c r="M5307" s="23" t="s">
        <v>231</v>
      </c>
      <c r="N5307" s="23" t="str">
        <f>IF(COUNTIF($A$2:A5307,A5307)&gt;1,"DUP","OK")</f>
        <v>OK</v>
      </c>
      <c r="O5307" s="23" t="str">
        <f t="shared" si="247"/>
        <v>ORD26001049</v>
      </c>
      <c r="P5307" s="23" t="str">
        <f t="shared" si="248"/>
        <v>Sep</v>
      </c>
      <c r="Q5307" s="23" t="str">
        <f>IF(F5307="CAPTURE",IF(COUNTIF(orders!$A:$A,O5307)&gt;0,"Yes","NO ORDER"),"")</f>
        <v/>
      </c>
    </row>
    <row r="5308" spans="1:17" ht="15" customHeight="1" x14ac:dyDescent="0.3">
      <c r="A5308" s="23" t="s">
        <v>18523</v>
      </c>
      <c r="B5308" s="23"/>
      <c r="C5308" s="23" t="s">
        <v>18524</v>
      </c>
      <c r="D5308" s="23" t="str">
        <f t="shared" si="246"/>
        <v>ORD26000008</v>
      </c>
      <c r="E5308" s="38">
        <v>46294</v>
      </c>
      <c r="F5308" s="23" t="s">
        <v>12410</v>
      </c>
      <c r="G5308" s="23" t="s">
        <v>75</v>
      </c>
      <c r="H5308" s="24">
        <v>2499</v>
      </c>
      <c r="I5308" s="24">
        <v>7.5</v>
      </c>
      <c r="J5308" s="24">
        <v>1.35</v>
      </c>
      <c r="K5308" s="24">
        <v>2490.15</v>
      </c>
      <c r="L5308" s="38">
        <v>46296</v>
      </c>
      <c r="M5308" s="23" t="s">
        <v>108</v>
      </c>
      <c r="N5308" s="23" t="str">
        <f>IF(COUNTIF($A$2:A5308,A5308)&gt;1,"DUP","OK")</f>
        <v>OK</v>
      </c>
      <c r="O5308" s="23" t="str">
        <f t="shared" si="247"/>
        <v>ORD26000008</v>
      </c>
      <c r="P5308" s="23" t="str">
        <f t="shared" si="248"/>
        <v>Oct-Due</v>
      </c>
      <c r="Q5308" s="23" t="str">
        <f>IF(F5308="CAPTURE",IF(COUNTIF(orders!$A:$A,O5308)&gt;0,"Yes","NO ORDER"),"")</f>
        <v>Yes</v>
      </c>
    </row>
    <row r="5309" spans="1:17" ht="15" customHeight="1" x14ac:dyDescent="0.3">
      <c r="A5309" s="23" t="s">
        <v>18525</v>
      </c>
      <c r="B5309" s="23"/>
      <c r="C5309" s="23" t="s">
        <v>471</v>
      </c>
      <c r="D5309" s="23" t="str">
        <f t="shared" si="246"/>
        <v>ORD26000085</v>
      </c>
      <c r="E5309" s="38">
        <v>46294</v>
      </c>
      <c r="F5309" s="23" t="s">
        <v>12410</v>
      </c>
      <c r="G5309" s="23" t="s">
        <v>79</v>
      </c>
      <c r="H5309" s="24">
        <v>3798</v>
      </c>
      <c r="I5309" s="24">
        <v>60.77</v>
      </c>
      <c r="J5309" s="24">
        <v>10.94</v>
      </c>
      <c r="K5309" s="24">
        <v>3726.29</v>
      </c>
      <c r="L5309" s="38">
        <v>46296</v>
      </c>
      <c r="M5309" s="23" t="s">
        <v>108</v>
      </c>
      <c r="N5309" s="23" t="str">
        <f>IF(COUNTIF($A$2:A5309,A5309)&gt;1,"DUP","OK")</f>
        <v>OK</v>
      </c>
      <c r="O5309" s="23" t="str">
        <f t="shared" si="247"/>
        <v>ORD26000085</v>
      </c>
      <c r="P5309" s="23" t="str">
        <f t="shared" si="248"/>
        <v>Oct-Due</v>
      </c>
      <c r="Q5309" s="23" t="str">
        <f>IF(F5309="CAPTURE",IF(COUNTIF(orders!$A:$A,O5309)&gt;0,"Yes","NO ORDER"),"")</f>
        <v>Yes</v>
      </c>
    </row>
    <row r="5310" spans="1:17" ht="15" customHeight="1" x14ac:dyDescent="0.3">
      <c r="A5310" s="23" t="s">
        <v>18526</v>
      </c>
      <c r="B5310" s="23"/>
      <c r="C5310" s="23" t="s">
        <v>713</v>
      </c>
      <c r="D5310" s="23" t="str">
        <f t="shared" si="246"/>
        <v>ORD26000189</v>
      </c>
      <c r="E5310" s="38">
        <v>46294</v>
      </c>
      <c r="F5310" s="23" t="s">
        <v>12410</v>
      </c>
      <c r="G5310" s="23" t="s">
        <v>75</v>
      </c>
      <c r="H5310" s="24">
        <v>999</v>
      </c>
      <c r="I5310" s="24">
        <v>0</v>
      </c>
      <c r="J5310" s="24">
        <v>0</v>
      </c>
      <c r="K5310" s="24">
        <v>999</v>
      </c>
      <c r="L5310" s="38">
        <v>46296</v>
      </c>
      <c r="M5310" s="23" t="s">
        <v>108</v>
      </c>
      <c r="N5310" s="23" t="str">
        <f>IF(COUNTIF($A$2:A5310,A5310)&gt;1,"DUP","OK")</f>
        <v>OK</v>
      </c>
      <c r="O5310" s="23" t="str">
        <f t="shared" si="247"/>
        <v>ORD26000189</v>
      </c>
      <c r="P5310" s="23" t="str">
        <f t="shared" si="248"/>
        <v>Oct-Due</v>
      </c>
      <c r="Q5310" s="23" t="str">
        <f>IF(F5310="CAPTURE",IF(COUNTIF(orders!$A:$A,O5310)&gt;0,"Yes","NO ORDER"),"")</f>
        <v>Yes</v>
      </c>
    </row>
    <row r="5311" spans="1:17" ht="15" customHeight="1" x14ac:dyDescent="0.3">
      <c r="A5311" s="23" t="s">
        <v>18527</v>
      </c>
      <c r="B5311" s="23"/>
      <c r="C5311" s="23" t="s">
        <v>767</v>
      </c>
      <c r="D5311" s="23" t="str">
        <f t="shared" si="246"/>
        <v>ORD26000211</v>
      </c>
      <c r="E5311" s="38">
        <v>46294</v>
      </c>
      <c r="F5311" s="23" t="s">
        <v>12410</v>
      </c>
      <c r="G5311" s="23" t="s">
        <v>75</v>
      </c>
      <c r="H5311" s="24">
        <v>1897</v>
      </c>
      <c r="I5311" s="24">
        <v>0</v>
      </c>
      <c r="J5311" s="24">
        <v>0</v>
      </c>
      <c r="K5311" s="24">
        <v>1897</v>
      </c>
      <c r="L5311" s="38">
        <v>46296</v>
      </c>
      <c r="M5311" s="23" t="s">
        <v>108</v>
      </c>
      <c r="N5311" s="23" t="str">
        <f>IF(COUNTIF($A$2:A5311,A5311)&gt;1,"DUP","OK")</f>
        <v>OK</v>
      </c>
      <c r="O5311" s="23" t="str">
        <f t="shared" si="247"/>
        <v>ORD26000211</v>
      </c>
      <c r="P5311" s="23" t="str">
        <f t="shared" si="248"/>
        <v>Oct-Due</v>
      </c>
      <c r="Q5311" s="23" t="str">
        <f>IF(F5311="CAPTURE",IF(COUNTIF(orders!$A:$A,O5311)&gt;0,"Yes","NO ORDER"),"")</f>
        <v>Yes</v>
      </c>
    </row>
    <row r="5312" spans="1:17" ht="15" customHeight="1" x14ac:dyDescent="0.3">
      <c r="A5312" s="23" t="s">
        <v>18528</v>
      </c>
      <c r="B5312" s="23"/>
      <c r="C5312" s="23" t="s">
        <v>778</v>
      </c>
      <c r="D5312" s="23" t="str">
        <f t="shared" si="246"/>
        <v>ORD26000215</v>
      </c>
      <c r="E5312" s="38">
        <v>46294</v>
      </c>
      <c r="F5312" s="23" t="s">
        <v>12410</v>
      </c>
      <c r="G5312" s="23" t="s">
        <v>75</v>
      </c>
      <c r="H5312" s="24">
        <v>3499</v>
      </c>
      <c r="I5312" s="24">
        <v>10.5</v>
      </c>
      <c r="J5312" s="24">
        <v>1.89</v>
      </c>
      <c r="K5312" s="24">
        <v>3486.61</v>
      </c>
      <c r="L5312" s="38">
        <v>46296</v>
      </c>
      <c r="M5312" s="23" t="s">
        <v>108</v>
      </c>
      <c r="N5312" s="23" t="str">
        <f>IF(COUNTIF($A$2:A5312,A5312)&gt;1,"DUP","OK")</f>
        <v>OK</v>
      </c>
      <c r="O5312" s="23" t="str">
        <f t="shared" si="247"/>
        <v>ORD26000215</v>
      </c>
      <c r="P5312" s="23" t="str">
        <f t="shared" si="248"/>
        <v>Oct-Due</v>
      </c>
      <c r="Q5312" s="23" t="str">
        <f>IF(F5312="CAPTURE",IF(COUNTIF(orders!$A:$A,O5312)&gt;0,"Yes","NO ORDER"),"")</f>
        <v>Yes</v>
      </c>
    </row>
    <row r="5313" spans="1:17" ht="15" customHeight="1" x14ac:dyDescent="0.3">
      <c r="A5313" s="23" t="s">
        <v>18529</v>
      </c>
      <c r="B5313" s="23"/>
      <c r="C5313" s="23" t="s">
        <v>881</v>
      </c>
      <c r="D5313" s="23" t="str">
        <f t="shared" si="246"/>
        <v>ORD26000259</v>
      </c>
      <c r="E5313" s="38">
        <v>46294</v>
      </c>
      <c r="F5313" s="23" t="s">
        <v>12410</v>
      </c>
      <c r="G5313" s="23" t="s">
        <v>75</v>
      </c>
      <c r="H5313" s="24">
        <v>7999</v>
      </c>
      <c r="I5313" s="24">
        <v>24</v>
      </c>
      <c r="J5313" s="24">
        <v>4.32</v>
      </c>
      <c r="K5313" s="24">
        <v>7970.68</v>
      </c>
      <c r="L5313" s="38">
        <v>46296</v>
      </c>
      <c r="M5313" s="23" t="s">
        <v>108</v>
      </c>
      <c r="N5313" s="23" t="str">
        <f>IF(COUNTIF($A$2:A5313,A5313)&gt;1,"DUP","OK")</f>
        <v>OK</v>
      </c>
      <c r="O5313" s="23" t="str">
        <f t="shared" si="247"/>
        <v>ORD26000259</v>
      </c>
      <c r="P5313" s="23" t="str">
        <f t="shared" si="248"/>
        <v>Oct-Due</v>
      </c>
      <c r="Q5313" s="23" t="str">
        <f>IF(F5313="CAPTURE",IF(COUNTIF(orders!$A:$A,O5313)&gt;0,"Yes","NO ORDER"),"")</f>
        <v>Yes</v>
      </c>
    </row>
    <row r="5314" spans="1:17" ht="15" customHeight="1" x14ac:dyDescent="0.3">
      <c r="A5314" s="23" t="s">
        <v>18530</v>
      </c>
      <c r="B5314" s="23"/>
      <c r="C5314" s="23" t="s">
        <v>912</v>
      </c>
      <c r="D5314" s="23" t="str">
        <f t="shared" ref="D5314:D5377" si="249">UPPER(SUBSTITUTE(TRIM(C5314),"-",""))</f>
        <v>ORD26000274</v>
      </c>
      <c r="E5314" s="38">
        <v>46294</v>
      </c>
      <c r="F5314" s="23" t="s">
        <v>12410</v>
      </c>
      <c r="G5314" s="23" t="s">
        <v>79</v>
      </c>
      <c r="H5314" s="24">
        <v>7999</v>
      </c>
      <c r="I5314" s="24">
        <v>127.98</v>
      </c>
      <c r="J5314" s="24">
        <v>23.04</v>
      </c>
      <c r="K5314" s="24">
        <v>7847.98</v>
      </c>
      <c r="L5314" s="38">
        <v>46296</v>
      </c>
      <c r="M5314" s="23" t="s">
        <v>108</v>
      </c>
      <c r="N5314" s="23" t="str">
        <f>IF(COUNTIF($A$2:A5314,A5314)&gt;1,"DUP","OK")</f>
        <v>OK</v>
      </c>
      <c r="O5314" s="23" t="str">
        <f t="shared" ref="O5314:O5377" si="250">IF(F5314="REFUND",INDEX($D:$D,MATCH(B5314,$A:$A,0)),D5314)</f>
        <v>ORD26000274</v>
      </c>
      <c r="P5314" s="23" t="str">
        <f t="shared" ref="P5314:P5377" si="251">IF(L5314&gt;DATE(2026,9,30),"Oct-Due","Sep")</f>
        <v>Oct-Due</v>
      </c>
      <c r="Q5314" s="23" t="str">
        <f>IF(F5314="CAPTURE",IF(COUNTIF(orders!$A:$A,O5314)&gt;0,"Yes","NO ORDER"),"")</f>
        <v>Yes</v>
      </c>
    </row>
    <row r="5315" spans="1:17" ht="15" customHeight="1" x14ac:dyDescent="0.3">
      <c r="A5315" s="23" t="s">
        <v>18531</v>
      </c>
      <c r="B5315" s="23"/>
      <c r="C5315" s="23" t="s">
        <v>957</v>
      </c>
      <c r="D5315" s="23" t="str">
        <f t="shared" si="249"/>
        <v>ORD26000296</v>
      </c>
      <c r="E5315" s="38">
        <v>46294</v>
      </c>
      <c r="F5315" s="23" t="s">
        <v>12410</v>
      </c>
      <c r="G5315" s="23" t="s">
        <v>81</v>
      </c>
      <c r="H5315" s="24">
        <v>5297</v>
      </c>
      <c r="I5315" s="24">
        <v>63.56</v>
      </c>
      <c r="J5315" s="24">
        <v>11.44</v>
      </c>
      <c r="K5315" s="24">
        <v>5222</v>
      </c>
      <c r="L5315" s="38">
        <v>46296</v>
      </c>
      <c r="M5315" s="23" t="s">
        <v>108</v>
      </c>
      <c r="N5315" s="23" t="str">
        <f>IF(COUNTIF($A$2:A5315,A5315)&gt;1,"DUP","OK")</f>
        <v>OK</v>
      </c>
      <c r="O5315" s="23" t="str">
        <f t="shared" si="250"/>
        <v>ORD26000296</v>
      </c>
      <c r="P5315" s="23" t="str">
        <f t="shared" si="251"/>
        <v>Oct-Due</v>
      </c>
      <c r="Q5315" s="23" t="str">
        <f>IF(F5315="CAPTURE",IF(COUNTIF(orders!$A:$A,O5315)&gt;0,"Yes","NO ORDER"),"")</f>
        <v>Yes</v>
      </c>
    </row>
    <row r="5316" spans="1:17" ht="15" customHeight="1" x14ac:dyDescent="0.3">
      <c r="A5316" s="23" t="s">
        <v>18532</v>
      </c>
      <c r="B5316" s="23"/>
      <c r="C5316" s="23" t="s">
        <v>959</v>
      </c>
      <c r="D5316" s="23" t="str">
        <f t="shared" si="249"/>
        <v>ORD26000297</v>
      </c>
      <c r="E5316" s="38">
        <v>46294</v>
      </c>
      <c r="F5316" s="23" t="s">
        <v>12410</v>
      </c>
      <c r="G5316" s="23" t="s">
        <v>75</v>
      </c>
      <c r="H5316" s="24">
        <v>3499</v>
      </c>
      <c r="I5316" s="24">
        <v>10.5</v>
      </c>
      <c r="J5316" s="24">
        <v>1.89</v>
      </c>
      <c r="K5316" s="24">
        <v>3486.61</v>
      </c>
      <c r="L5316" s="38">
        <v>46296</v>
      </c>
      <c r="M5316" s="23" t="s">
        <v>108</v>
      </c>
      <c r="N5316" s="23" t="str">
        <f>IF(COUNTIF($A$2:A5316,A5316)&gt;1,"DUP","OK")</f>
        <v>OK</v>
      </c>
      <c r="O5316" s="23" t="str">
        <f t="shared" si="250"/>
        <v>ORD26000297</v>
      </c>
      <c r="P5316" s="23" t="str">
        <f t="shared" si="251"/>
        <v>Oct-Due</v>
      </c>
      <c r="Q5316" s="23" t="str">
        <f>IF(F5316="CAPTURE",IF(COUNTIF(orders!$A:$A,O5316)&gt;0,"Yes","NO ORDER"),"")</f>
        <v>Yes</v>
      </c>
    </row>
    <row r="5317" spans="1:17" ht="15" customHeight="1" x14ac:dyDescent="0.3">
      <c r="A5317" s="23" t="s">
        <v>18533</v>
      </c>
      <c r="B5317" s="23"/>
      <c r="C5317" s="23" t="s">
        <v>1050</v>
      </c>
      <c r="D5317" s="23" t="str">
        <f t="shared" si="249"/>
        <v>ORD26000338</v>
      </c>
      <c r="E5317" s="38">
        <v>46294</v>
      </c>
      <c r="F5317" s="23" t="s">
        <v>12410</v>
      </c>
      <c r="G5317" s="23" t="s">
        <v>75</v>
      </c>
      <c r="H5317" s="24">
        <v>3098</v>
      </c>
      <c r="I5317" s="24">
        <v>9.2899999999999991</v>
      </c>
      <c r="J5317" s="24">
        <v>1.67</v>
      </c>
      <c r="K5317" s="24">
        <v>3087.04</v>
      </c>
      <c r="L5317" s="38">
        <v>46296</v>
      </c>
      <c r="M5317" s="23" t="s">
        <v>108</v>
      </c>
      <c r="N5317" s="23" t="str">
        <f>IF(COUNTIF($A$2:A5317,A5317)&gt;1,"DUP","OK")</f>
        <v>OK</v>
      </c>
      <c r="O5317" s="23" t="str">
        <f t="shared" si="250"/>
        <v>ORD26000338</v>
      </c>
      <c r="P5317" s="23" t="str">
        <f t="shared" si="251"/>
        <v>Oct-Due</v>
      </c>
      <c r="Q5317" s="23" t="str">
        <f>IF(F5317="CAPTURE",IF(COUNTIF(orders!$A:$A,O5317)&gt;0,"Yes","NO ORDER"),"")</f>
        <v>Yes</v>
      </c>
    </row>
    <row r="5318" spans="1:17" ht="15" customHeight="1" x14ac:dyDescent="0.3">
      <c r="A5318" s="23" t="s">
        <v>18534</v>
      </c>
      <c r="B5318" s="23"/>
      <c r="C5318" s="23" t="s">
        <v>1227</v>
      </c>
      <c r="D5318" s="23" t="str">
        <f t="shared" si="249"/>
        <v>ORD26000419</v>
      </c>
      <c r="E5318" s="38">
        <v>46294</v>
      </c>
      <c r="F5318" s="23" t="s">
        <v>12410</v>
      </c>
      <c r="G5318" s="23" t="s">
        <v>75</v>
      </c>
      <c r="H5318" s="24">
        <v>1499</v>
      </c>
      <c r="I5318" s="24">
        <v>0</v>
      </c>
      <c r="J5318" s="24">
        <v>0</v>
      </c>
      <c r="K5318" s="24">
        <v>1499</v>
      </c>
      <c r="L5318" s="38">
        <v>46296</v>
      </c>
      <c r="M5318" s="23" t="s">
        <v>108</v>
      </c>
      <c r="N5318" s="23" t="str">
        <f>IF(COUNTIF($A$2:A5318,A5318)&gt;1,"DUP","OK")</f>
        <v>OK</v>
      </c>
      <c r="O5318" s="23" t="str">
        <f t="shared" si="250"/>
        <v>ORD26000419</v>
      </c>
      <c r="P5318" s="23" t="str">
        <f t="shared" si="251"/>
        <v>Oct-Due</v>
      </c>
      <c r="Q5318" s="23" t="str">
        <f>IF(F5318="CAPTURE",IF(COUNTIF(orders!$A:$A,O5318)&gt;0,"Yes","NO ORDER"),"")</f>
        <v>Yes</v>
      </c>
    </row>
    <row r="5319" spans="1:17" ht="15" customHeight="1" x14ac:dyDescent="0.3">
      <c r="A5319" s="23" t="s">
        <v>18535</v>
      </c>
      <c r="B5319" s="23"/>
      <c r="C5319" s="23" t="s">
        <v>1261</v>
      </c>
      <c r="D5319" s="23" t="str">
        <f t="shared" si="249"/>
        <v>ORD26000435</v>
      </c>
      <c r="E5319" s="38">
        <v>46294</v>
      </c>
      <c r="F5319" s="23" t="s">
        <v>12410</v>
      </c>
      <c r="G5319" s="23" t="s">
        <v>75</v>
      </c>
      <c r="H5319" s="24">
        <v>1499</v>
      </c>
      <c r="I5319" s="24">
        <v>0</v>
      </c>
      <c r="J5319" s="24">
        <v>0</v>
      </c>
      <c r="K5319" s="24">
        <v>1499</v>
      </c>
      <c r="L5319" s="38">
        <v>46296</v>
      </c>
      <c r="M5319" s="23" t="s">
        <v>108</v>
      </c>
      <c r="N5319" s="23" t="str">
        <f>IF(COUNTIF($A$2:A5319,A5319)&gt;1,"DUP","OK")</f>
        <v>OK</v>
      </c>
      <c r="O5319" s="23" t="str">
        <f t="shared" si="250"/>
        <v>ORD26000435</v>
      </c>
      <c r="P5319" s="23" t="str">
        <f t="shared" si="251"/>
        <v>Oct-Due</v>
      </c>
      <c r="Q5319" s="23" t="str">
        <f>IF(F5319="CAPTURE",IF(COUNTIF(orders!$A:$A,O5319)&gt;0,"Yes","NO ORDER"),"")</f>
        <v>Yes</v>
      </c>
    </row>
    <row r="5320" spans="1:17" ht="15" customHeight="1" x14ac:dyDescent="0.3">
      <c r="A5320" s="23" t="s">
        <v>18536</v>
      </c>
      <c r="B5320" s="23"/>
      <c r="C5320" s="23" t="s">
        <v>1466</v>
      </c>
      <c r="D5320" s="23" t="str">
        <f t="shared" si="249"/>
        <v>ORD26000527</v>
      </c>
      <c r="E5320" s="38">
        <v>46294</v>
      </c>
      <c r="F5320" s="23" t="s">
        <v>12410</v>
      </c>
      <c r="G5320" s="23" t="s">
        <v>79</v>
      </c>
      <c r="H5320" s="24">
        <v>999</v>
      </c>
      <c r="I5320" s="24">
        <v>17.98</v>
      </c>
      <c r="J5320" s="24">
        <v>3.24</v>
      </c>
      <c r="K5320" s="24">
        <v>977.78</v>
      </c>
      <c r="L5320" s="38">
        <v>46296</v>
      </c>
      <c r="M5320" s="23" t="s">
        <v>108</v>
      </c>
      <c r="N5320" s="23" t="str">
        <f>IF(COUNTIF($A$2:A5320,A5320)&gt;1,"DUP","OK")</f>
        <v>OK</v>
      </c>
      <c r="O5320" s="23" t="str">
        <f t="shared" si="250"/>
        <v>ORD26000527</v>
      </c>
      <c r="P5320" s="23" t="str">
        <f t="shared" si="251"/>
        <v>Oct-Due</v>
      </c>
      <c r="Q5320" s="23" t="str">
        <f>IF(F5320="CAPTURE",IF(COUNTIF(orders!$A:$A,O5320)&gt;0,"Yes","NO ORDER"),"")</f>
        <v>Yes</v>
      </c>
    </row>
    <row r="5321" spans="1:17" ht="15" customHeight="1" x14ac:dyDescent="0.3">
      <c r="A5321" s="23" t="s">
        <v>18537</v>
      </c>
      <c r="B5321" s="23"/>
      <c r="C5321" s="23" t="s">
        <v>1493</v>
      </c>
      <c r="D5321" s="23" t="str">
        <f t="shared" si="249"/>
        <v>ORD26000540</v>
      </c>
      <c r="E5321" s="38">
        <v>46294</v>
      </c>
      <c r="F5321" s="23" t="s">
        <v>12410</v>
      </c>
      <c r="G5321" s="23" t="s">
        <v>79</v>
      </c>
      <c r="H5321" s="24">
        <v>7498</v>
      </c>
      <c r="I5321" s="24">
        <v>119.97</v>
      </c>
      <c r="J5321" s="24">
        <v>21.59</v>
      </c>
      <c r="K5321" s="24">
        <v>7356.44</v>
      </c>
      <c r="L5321" s="38">
        <v>46296</v>
      </c>
      <c r="M5321" s="23" t="s">
        <v>108</v>
      </c>
      <c r="N5321" s="23" t="str">
        <f>IF(COUNTIF($A$2:A5321,A5321)&gt;1,"DUP","OK")</f>
        <v>OK</v>
      </c>
      <c r="O5321" s="23" t="str">
        <f t="shared" si="250"/>
        <v>ORD26000540</v>
      </c>
      <c r="P5321" s="23" t="str">
        <f t="shared" si="251"/>
        <v>Oct-Due</v>
      </c>
      <c r="Q5321" s="23" t="str">
        <f>IF(F5321="CAPTURE",IF(COUNTIF(orders!$A:$A,O5321)&gt;0,"Yes","NO ORDER"),"")</f>
        <v>Yes</v>
      </c>
    </row>
    <row r="5322" spans="1:17" ht="15" customHeight="1" x14ac:dyDescent="0.3">
      <c r="A5322" s="23" t="s">
        <v>18538</v>
      </c>
      <c r="B5322" s="23"/>
      <c r="C5322" s="23" t="s">
        <v>18539</v>
      </c>
      <c r="D5322" s="23" t="str">
        <f t="shared" si="249"/>
        <v>ORD26000558</v>
      </c>
      <c r="E5322" s="38">
        <v>46294</v>
      </c>
      <c r="F5322" s="23" t="s">
        <v>12410</v>
      </c>
      <c r="G5322" s="23" t="s">
        <v>75</v>
      </c>
      <c r="H5322" s="24">
        <v>4298</v>
      </c>
      <c r="I5322" s="24">
        <v>12.89</v>
      </c>
      <c r="J5322" s="24">
        <v>2.3199999999999998</v>
      </c>
      <c r="K5322" s="24">
        <v>4282.79</v>
      </c>
      <c r="L5322" s="38">
        <v>46296</v>
      </c>
      <c r="M5322" s="23" t="s">
        <v>108</v>
      </c>
      <c r="N5322" s="23" t="str">
        <f>IF(COUNTIF($A$2:A5322,A5322)&gt;1,"DUP","OK")</f>
        <v>OK</v>
      </c>
      <c r="O5322" s="23" t="str">
        <f t="shared" si="250"/>
        <v>ORD26000558</v>
      </c>
      <c r="P5322" s="23" t="str">
        <f t="shared" si="251"/>
        <v>Oct-Due</v>
      </c>
      <c r="Q5322" s="23" t="str">
        <f>IF(F5322="CAPTURE",IF(COUNTIF(orders!$A:$A,O5322)&gt;0,"Yes","NO ORDER"),"")</f>
        <v>Yes</v>
      </c>
    </row>
    <row r="5323" spans="1:17" ht="15" customHeight="1" x14ac:dyDescent="0.3">
      <c r="A5323" s="23" t="s">
        <v>18540</v>
      </c>
      <c r="B5323" s="23"/>
      <c r="C5323" s="23" t="s">
        <v>1540</v>
      </c>
      <c r="D5323" s="23" t="str">
        <f t="shared" si="249"/>
        <v>ORD26000561</v>
      </c>
      <c r="E5323" s="38">
        <v>46294</v>
      </c>
      <c r="F5323" s="23" t="s">
        <v>12410</v>
      </c>
      <c r="G5323" s="23" t="s">
        <v>79</v>
      </c>
      <c r="H5323" s="24">
        <v>2297</v>
      </c>
      <c r="I5323" s="24">
        <v>36.75</v>
      </c>
      <c r="J5323" s="24">
        <v>6.62</v>
      </c>
      <c r="K5323" s="24">
        <v>2253.63</v>
      </c>
      <c r="L5323" s="38">
        <v>46296</v>
      </c>
      <c r="M5323" s="23" t="s">
        <v>108</v>
      </c>
      <c r="N5323" s="23" t="str">
        <f>IF(COUNTIF($A$2:A5323,A5323)&gt;1,"DUP","OK")</f>
        <v>OK</v>
      </c>
      <c r="O5323" s="23" t="str">
        <f t="shared" si="250"/>
        <v>ORD26000561</v>
      </c>
      <c r="P5323" s="23" t="str">
        <f t="shared" si="251"/>
        <v>Oct-Due</v>
      </c>
      <c r="Q5323" s="23" t="str">
        <f>IF(F5323="CAPTURE",IF(COUNTIF(orders!$A:$A,O5323)&gt;0,"Yes","NO ORDER"),"")</f>
        <v>Yes</v>
      </c>
    </row>
    <row r="5324" spans="1:17" ht="15" customHeight="1" x14ac:dyDescent="0.3">
      <c r="A5324" s="23" t="s">
        <v>18541</v>
      </c>
      <c r="B5324" s="23"/>
      <c r="C5324" s="23" t="s">
        <v>1572</v>
      </c>
      <c r="D5324" s="23" t="str">
        <f t="shared" si="249"/>
        <v>ORD26000576</v>
      </c>
      <c r="E5324" s="38">
        <v>46294</v>
      </c>
      <c r="F5324" s="23" t="s">
        <v>12410</v>
      </c>
      <c r="G5324" s="23" t="s">
        <v>81</v>
      </c>
      <c r="H5324" s="24">
        <v>3897</v>
      </c>
      <c r="I5324" s="24">
        <v>46.76</v>
      </c>
      <c r="J5324" s="24">
        <v>8.42</v>
      </c>
      <c r="K5324" s="24">
        <v>3841.82</v>
      </c>
      <c r="L5324" s="38">
        <v>46296</v>
      </c>
      <c r="M5324" s="23" t="s">
        <v>108</v>
      </c>
      <c r="N5324" s="23" t="str">
        <f>IF(COUNTIF($A$2:A5324,A5324)&gt;1,"DUP","OK")</f>
        <v>OK</v>
      </c>
      <c r="O5324" s="23" t="str">
        <f t="shared" si="250"/>
        <v>ORD26000576</v>
      </c>
      <c r="P5324" s="23" t="str">
        <f t="shared" si="251"/>
        <v>Oct-Due</v>
      </c>
      <c r="Q5324" s="23" t="str">
        <f>IF(F5324="CAPTURE",IF(COUNTIF(orders!$A:$A,O5324)&gt;0,"Yes","NO ORDER"),"")</f>
        <v>Yes</v>
      </c>
    </row>
    <row r="5325" spans="1:17" ht="15" customHeight="1" x14ac:dyDescent="0.3">
      <c r="A5325" s="23" t="s">
        <v>18542</v>
      </c>
      <c r="B5325" s="23"/>
      <c r="C5325" s="23" t="s">
        <v>1599</v>
      </c>
      <c r="D5325" s="23" t="str">
        <f t="shared" si="249"/>
        <v>ORD26000589</v>
      </c>
      <c r="E5325" s="38">
        <v>46294</v>
      </c>
      <c r="F5325" s="23" t="s">
        <v>12410</v>
      </c>
      <c r="G5325" s="23" t="s">
        <v>79</v>
      </c>
      <c r="H5325" s="24">
        <v>7597</v>
      </c>
      <c r="I5325" s="24">
        <v>121.55</v>
      </c>
      <c r="J5325" s="24">
        <v>21.88</v>
      </c>
      <c r="K5325" s="24">
        <v>7453.57</v>
      </c>
      <c r="L5325" s="38">
        <v>46296</v>
      </c>
      <c r="M5325" s="23" t="s">
        <v>108</v>
      </c>
      <c r="N5325" s="23" t="str">
        <f>IF(COUNTIF($A$2:A5325,A5325)&gt;1,"DUP","OK")</f>
        <v>OK</v>
      </c>
      <c r="O5325" s="23" t="str">
        <f t="shared" si="250"/>
        <v>ORD26000589</v>
      </c>
      <c r="P5325" s="23" t="str">
        <f t="shared" si="251"/>
        <v>Oct-Due</v>
      </c>
      <c r="Q5325" s="23" t="str">
        <f>IF(F5325="CAPTURE",IF(COUNTIF(orders!$A:$A,O5325)&gt;0,"Yes","NO ORDER"),"")</f>
        <v>Yes</v>
      </c>
    </row>
    <row r="5326" spans="1:17" ht="15" customHeight="1" x14ac:dyDescent="0.3">
      <c r="A5326" s="23" t="s">
        <v>18543</v>
      </c>
      <c r="B5326" s="23"/>
      <c r="C5326" s="23" t="s">
        <v>1740</v>
      </c>
      <c r="D5326" s="23" t="str">
        <f t="shared" si="249"/>
        <v>ORD26000654</v>
      </c>
      <c r="E5326" s="38">
        <v>46294</v>
      </c>
      <c r="F5326" s="23" t="s">
        <v>12410</v>
      </c>
      <c r="G5326" s="23" t="s">
        <v>81</v>
      </c>
      <c r="H5326" s="24">
        <v>9647</v>
      </c>
      <c r="I5326" s="24">
        <v>115.76</v>
      </c>
      <c r="J5326" s="24">
        <v>20.84</v>
      </c>
      <c r="K5326" s="24">
        <v>9510.4</v>
      </c>
      <c r="L5326" s="38">
        <v>46296</v>
      </c>
      <c r="M5326" s="23" t="s">
        <v>108</v>
      </c>
      <c r="N5326" s="23" t="str">
        <f>IF(COUNTIF($A$2:A5326,A5326)&gt;1,"DUP","OK")</f>
        <v>OK</v>
      </c>
      <c r="O5326" s="23" t="str">
        <f t="shared" si="250"/>
        <v>ORD26000654</v>
      </c>
      <c r="P5326" s="23" t="str">
        <f t="shared" si="251"/>
        <v>Oct-Due</v>
      </c>
      <c r="Q5326" s="23" t="str">
        <f>IF(F5326="CAPTURE",IF(COUNTIF(orders!$A:$A,O5326)&gt;0,"Yes","NO ORDER"),"")</f>
        <v>Yes</v>
      </c>
    </row>
    <row r="5327" spans="1:17" ht="15" customHeight="1" x14ac:dyDescent="0.3">
      <c r="A5327" s="23" t="s">
        <v>18544</v>
      </c>
      <c r="B5327" s="23"/>
      <c r="C5327" s="23" t="s">
        <v>18545</v>
      </c>
      <c r="D5327" s="23" t="str">
        <f t="shared" si="249"/>
        <v>ORD26000678</v>
      </c>
      <c r="E5327" s="38">
        <v>46294</v>
      </c>
      <c r="F5327" s="23" t="s">
        <v>12410</v>
      </c>
      <c r="G5327" s="23" t="s">
        <v>75</v>
      </c>
      <c r="H5327" s="24">
        <v>11498</v>
      </c>
      <c r="I5327" s="24">
        <v>34.49</v>
      </c>
      <c r="J5327" s="24">
        <v>6.21</v>
      </c>
      <c r="K5327" s="24">
        <v>11457.3</v>
      </c>
      <c r="L5327" s="38">
        <v>46296</v>
      </c>
      <c r="M5327" s="23" t="s">
        <v>108</v>
      </c>
      <c r="N5327" s="23" t="str">
        <f>IF(COUNTIF($A$2:A5327,A5327)&gt;1,"DUP","OK")</f>
        <v>OK</v>
      </c>
      <c r="O5327" s="23" t="str">
        <f t="shared" si="250"/>
        <v>ORD26000678</v>
      </c>
      <c r="P5327" s="23" t="str">
        <f t="shared" si="251"/>
        <v>Oct-Due</v>
      </c>
      <c r="Q5327" s="23" t="str">
        <f>IF(F5327="CAPTURE",IF(COUNTIF(orders!$A:$A,O5327)&gt;0,"Yes","NO ORDER"),"")</f>
        <v>Yes</v>
      </c>
    </row>
    <row r="5328" spans="1:17" ht="15" customHeight="1" x14ac:dyDescent="0.3">
      <c r="A5328" s="23" t="s">
        <v>18546</v>
      </c>
      <c r="B5328" s="23"/>
      <c r="C5328" s="23" t="s">
        <v>18547</v>
      </c>
      <c r="D5328" s="23" t="str">
        <f t="shared" si="249"/>
        <v>ORD26000785</v>
      </c>
      <c r="E5328" s="38">
        <v>46294</v>
      </c>
      <c r="F5328" s="23" t="s">
        <v>12410</v>
      </c>
      <c r="G5328" s="23" t="s">
        <v>79</v>
      </c>
      <c r="H5328" s="24">
        <v>1499</v>
      </c>
      <c r="I5328" s="24">
        <v>26.98</v>
      </c>
      <c r="J5328" s="24">
        <v>4.8600000000000003</v>
      </c>
      <c r="K5328" s="24">
        <v>1467.16</v>
      </c>
      <c r="L5328" s="38">
        <v>46296</v>
      </c>
      <c r="M5328" s="23" t="s">
        <v>108</v>
      </c>
      <c r="N5328" s="23" t="str">
        <f>IF(COUNTIF($A$2:A5328,A5328)&gt;1,"DUP","OK")</f>
        <v>OK</v>
      </c>
      <c r="O5328" s="23" t="str">
        <f t="shared" si="250"/>
        <v>ORD26000785</v>
      </c>
      <c r="P5328" s="23" t="str">
        <f t="shared" si="251"/>
        <v>Oct-Due</v>
      </c>
      <c r="Q5328" s="23" t="str">
        <f>IF(F5328="CAPTURE",IF(COUNTIF(orders!$A:$A,O5328)&gt;0,"Yes","NO ORDER"),"")</f>
        <v>Yes</v>
      </c>
    </row>
    <row r="5329" spans="1:17" ht="15" customHeight="1" x14ac:dyDescent="0.3">
      <c r="A5329" s="23" t="s">
        <v>18548</v>
      </c>
      <c r="B5329" s="23"/>
      <c r="C5329" s="23" t="s">
        <v>2050</v>
      </c>
      <c r="D5329" s="23" t="str">
        <f t="shared" si="249"/>
        <v>ORD26000801</v>
      </c>
      <c r="E5329" s="38">
        <v>46294</v>
      </c>
      <c r="F5329" s="23" t="s">
        <v>12410</v>
      </c>
      <c r="G5329" s="23" t="s">
        <v>75</v>
      </c>
      <c r="H5329" s="24">
        <v>499</v>
      </c>
      <c r="I5329" s="24">
        <v>0</v>
      </c>
      <c r="J5329" s="24">
        <v>0</v>
      </c>
      <c r="K5329" s="24">
        <v>499</v>
      </c>
      <c r="L5329" s="38">
        <v>46296</v>
      </c>
      <c r="M5329" s="23" t="s">
        <v>108</v>
      </c>
      <c r="N5329" s="23" t="str">
        <f>IF(COUNTIF($A$2:A5329,A5329)&gt;1,"DUP","OK")</f>
        <v>OK</v>
      </c>
      <c r="O5329" s="23" t="str">
        <f t="shared" si="250"/>
        <v>ORD26000801</v>
      </c>
      <c r="P5329" s="23" t="str">
        <f t="shared" si="251"/>
        <v>Oct-Due</v>
      </c>
      <c r="Q5329" s="23" t="str">
        <f>IF(F5329="CAPTURE",IF(COUNTIF(orders!$A:$A,O5329)&gt;0,"Yes","NO ORDER"),"")</f>
        <v>Yes</v>
      </c>
    </row>
    <row r="5330" spans="1:17" ht="15" customHeight="1" x14ac:dyDescent="0.3">
      <c r="A5330" s="23" t="s">
        <v>18549</v>
      </c>
      <c r="B5330" s="23"/>
      <c r="C5330" s="23" t="s">
        <v>18550</v>
      </c>
      <c r="D5330" s="23" t="str">
        <f t="shared" si="249"/>
        <v>ORD26000813</v>
      </c>
      <c r="E5330" s="38">
        <v>46294</v>
      </c>
      <c r="F5330" s="23" t="s">
        <v>12410</v>
      </c>
      <c r="G5330" s="23" t="s">
        <v>79</v>
      </c>
      <c r="H5330" s="24">
        <v>9298</v>
      </c>
      <c r="I5330" s="24">
        <v>148.77000000000001</v>
      </c>
      <c r="J5330" s="24">
        <v>26.78</v>
      </c>
      <c r="K5330" s="24">
        <v>9122.4500000000007</v>
      </c>
      <c r="L5330" s="38">
        <v>46296</v>
      </c>
      <c r="M5330" s="23" t="s">
        <v>108</v>
      </c>
      <c r="N5330" s="23" t="str">
        <f>IF(COUNTIF($A$2:A5330,A5330)&gt;1,"DUP","OK")</f>
        <v>OK</v>
      </c>
      <c r="O5330" s="23" t="str">
        <f t="shared" si="250"/>
        <v>ORD26000813</v>
      </c>
      <c r="P5330" s="23" t="str">
        <f t="shared" si="251"/>
        <v>Oct-Due</v>
      </c>
      <c r="Q5330" s="23" t="str">
        <f>IF(F5330="CAPTURE",IF(COUNTIF(orders!$A:$A,O5330)&gt;0,"Yes","NO ORDER"),"")</f>
        <v>Yes</v>
      </c>
    </row>
    <row r="5331" spans="1:17" ht="15" customHeight="1" x14ac:dyDescent="0.3">
      <c r="A5331" s="23" t="s">
        <v>18551</v>
      </c>
      <c r="B5331" s="23"/>
      <c r="C5331" s="23" t="s">
        <v>2113</v>
      </c>
      <c r="D5331" s="23" t="str">
        <f t="shared" si="249"/>
        <v>ORD26000832</v>
      </c>
      <c r="E5331" s="38">
        <v>46294</v>
      </c>
      <c r="F5331" s="23" t="s">
        <v>12410</v>
      </c>
      <c r="G5331" s="23" t="s">
        <v>75</v>
      </c>
      <c r="H5331" s="24">
        <v>2148</v>
      </c>
      <c r="I5331" s="24">
        <v>6.44</v>
      </c>
      <c r="J5331" s="24">
        <v>1.1599999999999999</v>
      </c>
      <c r="K5331" s="24">
        <v>2140.4</v>
      </c>
      <c r="L5331" s="38">
        <v>46296</v>
      </c>
      <c r="M5331" s="23" t="s">
        <v>108</v>
      </c>
      <c r="N5331" s="23" t="str">
        <f>IF(COUNTIF($A$2:A5331,A5331)&gt;1,"DUP","OK")</f>
        <v>OK</v>
      </c>
      <c r="O5331" s="23" t="str">
        <f t="shared" si="250"/>
        <v>ORD26000832</v>
      </c>
      <c r="P5331" s="23" t="str">
        <f t="shared" si="251"/>
        <v>Oct-Due</v>
      </c>
      <c r="Q5331" s="23" t="str">
        <f>IF(F5331="CAPTURE",IF(COUNTIF(orders!$A:$A,O5331)&gt;0,"Yes","NO ORDER"),"")</f>
        <v>Yes</v>
      </c>
    </row>
    <row r="5332" spans="1:17" ht="15" customHeight="1" x14ac:dyDescent="0.3">
      <c r="A5332" s="23" t="s">
        <v>18552</v>
      </c>
      <c r="B5332" s="23"/>
      <c r="C5332" s="23" t="s">
        <v>2130</v>
      </c>
      <c r="D5332" s="23" t="str">
        <f t="shared" si="249"/>
        <v>ORD26000840</v>
      </c>
      <c r="E5332" s="38">
        <v>46294</v>
      </c>
      <c r="F5332" s="23" t="s">
        <v>12410</v>
      </c>
      <c r="G5332" s="23" t="s">
        <v>77</v>
      </c>
      <c r="H5332" s="24">
        <v>799</v>
      </c>
      <c r="I5332" s="24">
        <v>15.18</v>
      </c>
      <c r="J5332" s="24">
        <v>2.73</v>
      </c>
      <c r="K5332" s="24">
        <v>781.09</v>
      </c>
      <c r="L5332" s="38">
        <v>46296</v>
      </c>
      <c r="M5332" s="23" t="s">
        <v>108</v>
      </c>
      <c r="N5332" s="23" t="str">
        <f>IF(COUNTIF($A$2:A5332,A5332)&gt;1,"DUP","OK")</f>
        <v>OK</v>
      </c>
      <c r="O5332" s="23" t="str">
        <f t="shared" si="250"/>
        <v>ORD26000840</v>
      </c>
      <c r="P5332" s="23" t="str">
        <f t="shared" si="251"/>
        <v>Oct-Due</v>
      </c>
      <c r="Q5332" s="23" t="str">
        <f>IF(F5332="CAPTURE",IF(COUNTIF(orders!$A:$A,O5332)&gt;0,"Yes","NO ORDER"),"")</f>
        <v>Yes</v>
      </c>
    </row>
    <row r="5333" spans="1:17" ht="15" customHeight="1" x14ac:dyDescent="0.3">
      <c r="A5333" s="23" t="s">
        <v>18553</v>
      </c>
      <c r="B5333" s="23"/>
      <c r="C5333" s="23" t="s">
        <v>2161</v>
      </c>
      <c r="D5333" s="23" t="str">
        <f t="shared" si="249"/>
        <v>ORD26000855</v>
      </c>
      <c r="E5333" s="38">
        <v>46294</v>
      </c>
      <c r="F5333" s="23" t="s">
        <v>12410</v>
      </c>
      <c r="G5333" s="23" t="s">
        <v>75</v>
      </c>
      <c r="H5333" s="24">
        <v>4999</v>
      </c>
      <c r="I5333" s="24">
        <v>15</v>
      </c>
      <c r="J5333" s="24">
        <v>2.7</v>
      </c>
      <c r="K5333" s="24">
        <v>4981.3</v>
      </c>
      <c r="L5333" s="38">
        <v>46296</v>
      </c>
      <c r="M5333" s="23" t="s">
        <v>108</v>
      </c>
      <c r="N5333" s="23" t="str">
        <f>IF(COUNTIF($A$2:A5333,A5333)&gt;1,"DUP","OK")</f>
        <v>OK</v>
      </c>
      <c r="O5333" s="23" t="str">
        <f t="shared" si="250"/>
        <v>ORD26000855</v>
      </c>
      <c r="P5333" s="23" t="str">
        <f t="shared" si="251"/>
        <v>Oct-Due</v>
      </c>
      <c r="Q5333" s="23" t="str">
        <f>IF(F5333="CAPTURE",IF(COUNTIF(orders!$A:$A,O5333)&gt;0,"Yes","NO ORDER"),"")</f>
        <v>Yes</v>
      </c>
    </row>
    <row r="5334" spans="1:17" ht="15" customHeight="1" x14ac:dyDescent="0.3">
      <c r="A5334" s="23" t="s">
        <v>18554</v>
      </c>
      <c r="B5334" s="23"/>
      <c r="C5334" s="23" t="s">
        <v>2247</v>
      </c>
      <c r="D5334" s="23" t="str">
        <f t="shared" si="249"/>
        <v>ORD26000896</v>
      </c>
      <c r="E5334" s="38">
        <v>46294</v>
      </c>
      <c r="F5334" s="23" t="s">
        <v>12410</v>
      </c>
      <c r="G5334" s="23" t="s">
        <v>79</v>
      </c>
      <c r="H5334" s="24">
        <v>349</v>
      </c>
      <c r="I5334" s="24">
        <v>6.28</v>
      </c>
      <c r="J5334" s="24">
        <v>1.1299999999999999</v>
      </c>
      <c r="K5334" s="24">
        <v>341.59</v>
      </c>
      <c r="L5334" s="38">
        <v>46296</v>
      </c>
      <c r="M5334" s="23" t="s">
        <v>108</v>
      </c>
      <c r="N5334" s="23" t="str">
        <f>IF(COUNTIF($A$2:A5334,A5334)&gt;1,"DUP","OK")</f>
        <v>OK</v>
      </c>
      <c r="O5334" s="23" t="str">
        <f t="shared" si="250"/>
        <v>ORD26000896</v>
      </c>
      <c r="P5334" s="23" t="str">
        <f t="shared" si="251"/>
        <v>Oct-Due</v>
      </c>
      <c r="Q5334" s="23" t="str">
        <f>IF(F5334="CAPTURE",IF(COUNTIF(orders!$A:$A,O5334)&gt;0,"Yes","NO ORDER"),"")</f>
        <v>Yes</v>
      </c>
    </row>
    <row r="5335" spans="1:17" ht="15" customHeight="1" x14ac:dyDescent="0.3">
      <c r="A5335" s="23" t="s">
        <v>18555</v>
      </c>
      <c r="B5335" s="23"/>
      <c r="C5335" s="23" t="s">
        <v>2323</v>
      </c>
      <c r="D5335" s="23" t="str">
        <f t="shared" si="249"/>
        <v>ORD26000933</v>
      </c>
      <c r="E5335" s="38">
        <v>46294</v>
      </c>
      <c r="F5335" s="23" t="s">
        <v>12410</v>
      </c>
      <c r="G5335" s="23" t="s">
        <v>79</v>
      </c>
      <c r="H5335" s="24">
        <v>948</v>
      </c>
      <c r="I5335" s="24">
        <v>17.059999999999999</v>
      </c>
      <c r="J5335" s="24">
        <v>3.07</v>
      </c>
      <c r="K5335" s="24">
        <v>927.87</v>
      </c>
      <c r="L5335" s="38">
        <v>46296</v>
      </c>
      <c r="M5335" s="23" t="s">
        <v>108</v>
      </c>
      <c r="N5335" s="23" t="str">
        <f>IF(COUNTIF($A$2:A5335,A5335)&gt;1,"DUP","OK")</f>
        <v>OK</v>
      </c>
      <c r="O5335" s="23" t="str">
        <f t="shared" si="250"/>
        <v>ORD26000933</v>
      </c>
      <c r="P5335" s="23" t="str">
        <f t="shared" si="251"/>
        <v>Oct-Due</v>
      </c>
      <c r="Q5335" s="23" t="str">
        <f>IF(F5335="CAPTURE",IF(COUNTIF(orders!$A:$A,O5335)&gt;0,"Yes","NO ORDER"),"")</f>
        <v>Yes</v>
      </c>
    </row>
    <row r="5336" spans="1:17" ht="15" customHeight="1" x14ac:dyDescent="0.3">
      <c r="A5336" s="23" t="s">
        <v>18556</v>
      </c>
      <c r="B5336" s="23"/>
      <c r="C5336" s="23" t="s">
        <v>2412</v>
      </c>
      <c r="D5336" s="23" t="str">
        <f t="shared" si="249"/>
        <v>ORD26000976</v>
      </c>
      <c r="E5336" s="38">
        <v>46294</v>
      </c>
      <c r="F5336" s="23" t="s">
        <v>12410</v>
      </c>
      <c r="G5336" s="23" t="s">
        <v>75</v>
      </c>
      <c r="H5336" s="24">
        <v>7999</v>
      </c>
      <c r="I5336" s="24">
        <v>24</v>
      </c>
      <c r="J5336" s="24">
        <v>4.32</v>
      </c>
      <c r="K5336" s="24">
        <v>7970.68</v>
      </c>
      <c r="L5336" s="38">
        <v>46296</v>
      </c>
      <c r="M5336" s="23" t="s">
        <v>108</v>
      </c>
      <c r="N5336" s="23" t="str">
        <f>IF(COUNTIF($A$2:A5336,A5336)&gt;1,"DUP","OK")</f>
        <v>OK</v>
      </c>
      <c r="O5336" s="23" t="str">
        <f t="shared" si="250"/>
        <v>ORD26000976</v>
      </c>
      <c r="P5336" s="23" t="str">
        <f t="shared" si="251"/>
        <v>Oct-Due</v>
      </c>
      <c r="Q5336" s="23" t="str">
        <f>IF(F5336="CAPTURE",IF(COUNTIF(orders!$A:$A,O5336)&gt;0,"Yes","NO ORDER"),"")</f>
        <v>Yes</v>
      </c>
    </row>
    <row r="5337" spans="1:17" ht="15" customHeight="1" x14ac:dyDescent="0.3">
      <c r="A5337" s="23" t="s">
        <v>18557</v>
      </c>
      <c r="B5337" s="23"/>
      <c r="C5337" s="23" t="s">
        <v>18558</v>
      </c>
      <c r="D5337" s="23" t="str">
        <f t="shared" si="249"/>
        <v>ORD26000984</v>
      </c>
      <c r="E5337" s="38">
        <v>46294</v>
      </c>
      <c r="F5337" s="23" t="s">
        <v>12410</v>
      </c>
      <c r="G5337" s="23" t="s">
        <v>79</v>
      </c>
      <c r="H5337" s="24">
        <v>1299</v>
      </c>
      <c r="I5337" s="24">
        <v>23.38</v>
      </c>
      <c r="J5337" s="24">
        <v>4.21</v>
      </c>
      <c r="K5337" s="24">
        <v>1271.4100000000001</v>
      </c>
      <c r="L5337" s="38">
        <v>46296</v>
      </c>
      <c r="M5337" s="23" t="s">
        <v>108</v>
      </c>
      <c r="N5337" s="23" t="str">
        <f>IF(COUNTIF($A$2:A5337,A5337)&gt;1,"DUP","OK")</f>
        <v>OK</v>
      </c>
      <c r="O5337" s="23" t="str">
        <f t="shared" si="250"/>
        <v>ORD26000984</v>
      </c>
      <c r="P5337" s="23" t="str">
        <f t="shared" si="251"/>
        <v>Oct-Due</v>
      </c>
      <c r="Q5337" s="23" t="str">
        <f>IF(F5337="CAPTURE",IF(COUNTIF(orders!$A:$A,O5337)&gt;0,"Yes","NO ORDER"),"")</f>
        <v>Yes</v>
      </c>
    </row>
    <row r="5338" spans="1:17" ht="15" customHeight="1" x14ac:dyDescent="0.3">
      <c r="A5338" s="23" t="s">
        <v>18559</v>
      </c>
      <c r="B5338" s="23"/>
      <c r="C5338" s="23" t="s">
        <v>2462</v>
      </c>
      <c r="D5338" s="23" t="str">
        <f t="shared" si="249"/>
        <v>ORD26001001</v>
      </c>
      <c r="E5338" s="38">
        <v>46294</v>
      </c>
      <c r="F5338" s="23" t="s">
        <v>12410</v>
      </c>
      <c r="G5338" s="23" t="s">
        <v>79</v>
      </c>
      <c r="H5338" s="24">
        <v>9498</v>
      </c>
      <c r="I5338" s="24">
        <v>151.97</v>
      </c>
      <c r="J5338" s="24">
        <v>27.35</v>
      </c>
      <c r="K5338" s="24">
        <v>9318.68</v>
      </c>
      <c r="L5338" s="38">
        <v>46296</v>
      </c>
      <c r="M5338" s="23" t="s">
        <v>108</v>
      </c>
      <c r="N5338" s="23" t="str">
        <f>IF(COUNTIF($A$2:A5338,A5338)&gt;1,"DUP","OK")</f>
        <v>OK</v>
      </c>
      <c r="O5338" s="23" t="str">
        <f t="shared" si="250"/>
        <v>ORD26001001</v>
      </c>
      <c r="P5338" s="23" t="str">
        <f t="shared" si="251"/>
        <v>Oct-Due</v>
      </c>
      <c r="Q5338" s="23" t="str">
        <f>IF(F5338="CAPTURE",IF(COUNTIF(orders!$A:$A,O5338)&gt;0,"Yes","NO ORDER"),"")</f>
        <v>Yes</v>
      </c>
    </row>
    <row r="5339" spans="1:17" ht="15" customHeight="1" x14ac:dyDescent="0.3">
      <c r="A5339" s="23" t="s">
        <v>18560</v>
      </c>
      <c r="B5339" s="23"/>
      <c r="C5339" s="23" t="s">
        <v>2466</v>
      </c>
      <c r="D5339" s="23" t="str">
        <f t="shared" si="249"/>
        <v>ORD26001003</v>
      </c>
      <c r="E5339" s="38">
        <v>46294</v>
      </c>
      <c r="F5339" s="23" t="s">
        <v>12410</v>
      </c>
      <c r="G5339" s="23" t="s">
        <v>75</v>
      </c>
      <c r="H5339" s="24">
        <v>2998</v>
      </c>
      <c r="I5339" s="24">
        <v>8.99</v>
      </c>
      <c r="J5339" s="24">
        <v>1.62</v>
      </c>
      <c r="K5339" s="24">
        <v>2987.39</v>
      </c>
      <c r="L5339" s="38">
        <v>46296</v>
      </c>
      <c r="M5339" s="23" t="s">
        <v>108</v>
      </c>
      <c r="N5339" s="23" t="str">
        <f>IF(COUNTIF($A$2:A5339,A5339)&gt;1,"DUP","OK")</f>
        <v>OK</v>
      </c>
      <c r="O5339" s="23" t="str">
        <f t="shared" si="250"/>
        <v>ORD26001003</v>
      </c>
      <c r="P5339" s="23" t="str">
        <f t="shared" si="251"/>
        <v>Oct-Due</v>
      </c>
      <c r="Q5339" s="23" t="str">
        <f>IF(F5339="CAPTURE",IF(COUNTIF(orders!$A:$A,O5339)&gt;0,"Yes","NO ORDER"),"")</f>
        <v>Yes</v>
      </c>
    </row>
    <row r="5340" spans="1:17" ht="15" customHeight="1" x14ac:dyDescent="0.3">
      <c r="A5340" s="23" t="s">
        <v>18561</v>
      </c>
      <c r="B5340" s="23"/>
      <c r="C5340" s="23" t="s">
        <v>2500</v>
      </c>
      <c r="D5340" s="23" t="str">
        <f t="shared" si="249"/>
        <v>ORD26001019</v>
      </c>
      <c r="E5340" s="38">
        <v>46294</v>
      </c>
      <c r="F5340" s="23" t="s">
        <v>12410</v>
      </c>
      <c r="G5340" s="23" t="s">
        <v>75</v>
      </c>
      <c r="H5340" s="24">
        <v>698</v>
      </c>
      <c r="I5340" s="24">
        <v>0</v>
      </c>
      <c r="J5340" s="24">
        <v>0</v>
      </c>
      <c r="K5340" s="24">
        <v>698</v>
      </c>
      <c r="L5340" s="38">
        <v>46296</v>
      </c>
      <c r="M5340" s="23" t="s">
        <v>108</v>
      </c>
      <c r="N5340" s="23" t="str">
        <f>IF(COUNTIF($A$2:A5340,A5340)&gt;1,"DUP","OK")</f>
        <v>OK</v>
      </c>
      <c r="O5340" s="23" t="str">
        <f t="shared" si="250"/>
        <v>ORD26001019</v>
      </c>
      <c r="P5340" s="23" t="str">
        <f t="shared" si="251"/>
        <v>Oct-Due</v>
      </c>
      <c r="Q5340" s="23" t="str">
        <f>IF(F5340="CAPTURE",IF(COUNTIF(orders!$A:$A,O5340)&gt;0,"Yes","NO ORDER"),"")</f>
        <v>Yes</v>
      </c>
    </row>
    <row r="5341" spans="1:17" ht="15" customHeight="1" x14ac:dyDescent="0.3">
      <c r="A5341" s="23" t="s">
        <v>18562</v>
      </c>
      <c r="B5341" s="23"/>
      <c r="C5341" s="23" t="s">
        <v>2646</v>
      </c>
      <c r="D5341" s="23" t="str">
        <f t="shared" si="249"/>
        <v>ORD26001090</v>
      </c>
      <c r="E5341" s="38">
        <v>46294</v>
      </c>
      <c r="F5341" s="23" t="s">
        <v>12410</v>
      </c>
      <c r="G5341" s="23" t="s">
        <v>79</v>
      </c>
      <c r="H5341" s="24">
        <v>3297</v>
      </c>
      <c r="I5341" s="24">
        <v>52.75</v>
      </c>
      <c r="J5341" s="24">
        <v>9.5</v>
      </c>
      <c r="K5341" s="24">
        <v>3234.75</v>
      </c>
      <c r="L5341" s="38">
        <v>46296</v>
      </c>
      <c r="M5341" s="23" t="s">
        <v>108</v>
      </c>
      <c r="N5341" s="23" t="str">
        <f>IF(COUNTIF($A$2:A5341,A5341)&gt;1,"DUP","OK")</f>
        <v>OK</v>
      </c>
      <c r="O5341" s="23" t="str">
        <f t="shared" si="250"/>
        <v>ORD26001090</v>
      </c>
      <c r="P5341" s="23" t="str">
        <f t="shared" si="251"/>
        <v>Oct-Due</v>
      </c>
      <c r="Q5341" s="23" t="str">
        <f>IF(F5341="CAPTURE",IF(COUNTIF(orders!$A:$A,O5341)&gt;0,"Yes","NO ORDER"),"")</f>
        <v>Yes</v>
      </c>
    </row>
    <row r="5342" spans="1:17" ht="15" customHeight="1" x14ac:dyDescent="0.3">
      <c r="A5342" s="23" t="s">
        <v>18563</v>
      </c>
      <c r="B5342" s="23"/>
      <c r="C5342" s="23" t="s">
        <v>2650</v>
      </c>
      <c r="D5342" s="23" t="str">
        <f t="shared" si="249"/>
        <v>ORD26001092</v>
      </c>
      <c r="E5342" s="38">
        <v>46294</v>
      </c>
      <c r="F5342" s="23" t="s">
        <v>12410</v>
      </c>
      <c r="G5342" s="23" t="s">
        <v>75</v>
      </c>
      <c r="H5342" s="24">
        <v>1799</v>
      </c>
      <c r="I5342" s="24">
        <v>0</v>
      </c>
      <c r="J5342" s="24">
        <v>0</v>
      </c>
      <c r="K5342" s="24">
        <v>1799</v>
      </c>
      <c r="L5342" s="38">
        <v>46296</v>
      </c>
      <c r="M5342" s="23" t="s">
        <v>108</v>
      </c>
      <c r="N5342" s="23" t="str">
        <f>IF(COUNTIF($A$2:A5342,A5342)&gt;1,"DUP","OK")</f>
        <v>OK</v>
      </c>
      <c r="O5342" s="23" t="str">
        <f t="shared" si="250"/>
        <v>ORD26001092</v>
      </c>
      <c r="P5342" s="23" t="str">
        <f t="shared" si="251"/>
        <v>Oct-Due</v>
      </c>
      <c r="Q5342" s="23" t="str">
        <f>IF(F5342="CAPTURE",IF(COUNTIF(orders!$A:$A,O5342)&gt;0,"Yes","NO ORDER"),"")</f>
        <v>Yes</v>
      </c>
    </row>
    <row r="5343" spans="1:17" ht="15" customHeight="1" x14ac:dyDescent="0.3">
      <c r="A5343" s="23" t="s">
        <v>18564</v>
      </c>
      <c r="B5343" s="23"/>
      <c r="C5343" s="23" t="s">
        <v>2660</v>
      </c>
      <c r="D5343" s="23" t="str">
        <f t="shared" si="249"/>
        <v>ORD26001097</v>
      </c>
      <c r="E5343" s="38">
        <v>46294</v>
      </c>
      <c r="F5343" s="23" t="s">
        <v>12410</v>
      </c>
      <c r="G5343" s="23" t="s">
        <v>75</v>
      </c>
      <c r="H5343" s="24">
        <v>349</v>
      </c>
      <c r="I5343" s="24">
        <v>0</v>
      </c>
      <c r="J5343" s="24">
        <v>0</v>
      </c>
      <c r="K5343" s="24">
        <v>349</v>
      </c>
      <c r="L5343" s="38">
        <v>46296</v>
      </c>
      <c r="M5343" s="23" t="s">
        <v>108</v>
      </c>
      <c r="N5343" s="23" t="str">
        <f>IF(COUNTIF($A$2:A5343,A5343)&gt;1,"DUP","OK")</f>
        <v>OK</v>
      </c>
      <c r="O5343" s="23" t="str">
        <f t="shared" si="250"/>
        <v>ORD26001097</v>
      </c>
      <c r="P5343" s="23" t="str">
        <f t="shared" si="251"/>
        <v>Oct-Due</v>
      </c>
      <c r="Q5343" s="23" t="str">
        <f>IF(F5343="CAPTURE",IF(COUNTIF(orders!$A:$A,O5343)&gt;0,"Yes","NO ORDER"),"")</f>
        <v>Yes</v>
      </c>
    </row>
    <row r="5344" spans="1:17" ht="15" customHeight="1" x14ac:dyDescent="0.3">
      <c r="A5344" s="23" t="s">
        <v>18565</v>
      </c>
      <c r="B5344" s="23"/>
      <c r="C5344" s="23" t="s">
        <v>2687</v>
      </c>
      <c r="D5344" s="23" t="str">
        <f t="shared" si="249"/>
        <v>ORD26001111</v>
      </c>
      <c r="E5344" s="38">
        <v>46294</v>
      </c>
      <c r="F5344" s="23" t="s">
        <v>12410</v>
      </c>
      <c r="G5344" s="23" t="s">
        <v>77</v>
      </c>
      <c r="H5344" s="24">
        <v>2298</v>
      </c>
      <c r="I5344" s="24">
        <v>39.07</v>
      </c>
      <c r="J5344" s="24">
        <v>7.03</v>
      </c>
      <c r="K5344" s="24">
        <v>2251.9</v>
      </c>
      <c r="L5344" s="38">
        <v>46296</v>
      </c>
      <c r="M5344" s="23" t="s">
        <v>108</v>
      </c>
      <c r="N5344" s="23" t="str">
        <f>IF(COUNTIF($A$2:A5344,A5344)&gt;1,"DUP","OK")</f>
        <v>OK</v>
      </c>
      <c r="O5344" s="23" t="str">
        <f t="shared" si="250"/>
        <v>ORD26001111</v>
      </c>
      <c r="P5344" s="23" t="str">
        <f t="shared" si="251"/>
        <v>Oct-Due</v>
      </c>
      <c r="Q5344" s="23" t="str">
        <f>IF(F5344="CAPTURE",IF(COUNTIF(orders!$A:$A,O5344)&gt;0,"Yes","NO ORDER"),"")</f>
        <v>Yes</v>
      </c>
    </row>
    <row r="5345" spans="1:17" ht="15" customHeight="1" x14ac:dyDescent="0.3">
      <c r="A5345" s="23" t="s">
        <v>18566</v>
      </c>
      <c r="B5345" s="23"/>
      <c r="C5345" s="23" t="s">
        <v>2753</v>
      </c>
      <c r="D5345" s="23" t="str">
        <f t="shared" si="249"/>
        <v>ORD26001143</v>
      </c>
      <c r="E5345" s="38">
        <v>46294</v>
      </c>
      <c r="F5345" s="23" t="s">
        <v>12410</v>
      </c>
      <c r="G5345" s="23" t="s">
        <v>75</v>
      </c>
      <c r="H5345" s="24">
        <v>799</v>
      </c>
      <c r="I5345" s="24">
        <v>0</v>
      </c>
      <c r="J5345" s="24">
        <v>0</v>
      </c>
      <c r="K5345" s="24">
        <v>799</v>
      </c>
      <c r="L5345" s="38">
        <v>46296</v>
      </c>
      <c r="M5345" s="23" t="s">
        <v>108</v>
      </c>
      <c r="N5345" s="23" t="str">
        <f>IF(COUNTIF($A$2:A5345,A5345)&gt;1,"DUP","OK")</f>
        <v>OK</v>
      </c>
      <c r="O5345" s="23" t="str">
        <f t="shared" si="250"/>
        <v>ORD26001143</v>
      </c>
      <c r="P5345" s="23" t="str">
        <f t="shared" si="251"/>
        <v>Oct-Due</v>
      </c>
      <c r="Q5345" s="23" t="str">
        <f>IF(F5345="CAPTURE",IF(COUNTIF(orders!$A:$A,O5345)&gt;0,"Yes","NO ORDER"),"")</f>
        <v>Yes</v>
      </c>
    </row>
    <row r="5346" spans="1:17" ht="15" customHeight="1" x14ac:dyDescent="0.3">
      <c r="A5346" s="23" t="s">
        <v>18567</v>
      </c>
      <c r="B5346" s="23"/>
      <c r="C5346" s="23" t="s">
        <v>2793</v>
      </c>
      <c r="D5346" s="23" t="str">
        <f t="shared" si="249"/>
        <v>ORD26001163</v>
      </c>
      <c r="E5346" s="38">
        <v>46294</v>
      </c>
      <c r="F5346" s="23" t="s">
        <v>12410</v>
      </c>
      <c r="G5346" s="23" t="s">
        <v>77</v>
      </c>
      <c r="H5346" s="24">
        <v>299</v>
      </c>
      <c r="I5346" s="24">
        <v>5.68</v>
      </c>
      <c r="J5346" s="24">
        <v>1.02</v>
      </c>
      <c r="K5346" s="24">
        <v>292.3</v>
      </c>
      <c r="L5346" s="38">
        <v>46296</v>
      </c>
      <c r="M5346" s="23" t="s">
        <v>108</v>
      </c>
      <c r="N5346" s="23" t="str">
        <f>IF(COUNTIF($A$2:A5346,A5346)&gt;1,"DUP","OK")</f>
        <v>OK</v>
      </c>
      <c r="O5346" s="23" t="str">
        <f t="shared" si="250"/>
        <v>ORD26001163</v>
      </c>
      <c r="P5346" s="23" t="str">
        <f t="shared" si="251"/>
        <v>Oct-Due</v>
      </c>
      <c r="Q5346" s="23" t="str">
        <f>IF(F5346="CAPTURE",IF(COUNTIF(orders!$A:$A,O5346)&gt;0,"Yes","NO ORDER"),"")</f>
        <v>Yes</v>
      </c>
    </row>
    <row r="5347" spans="1:17" ht="15" customHeight="1" x14ac:dyDescent="0.3">
      <c r="A5347" s="23" t="s">
        <v>18568</v>
      </c>
      <c r="B5347" s="23"/>
      <c r="C5347" s="23" t="s">
        <v>2894</v>
      </c>
      <c r="D5347" s="23" t="str">
        <f t="shared" si="249"/>
        <v>ORD26001213</v>
      </c>
      <c r="E5347" s="38">
        <v>46294</v>
      </c>
      <c r="F5347" s="23" t="s">
        <v>12410</v>
      </c>
      <c r="G5347" s="23" t="s">
        <v>75</v>
      </c>
      <c r="H5347" s="24">
        <v>9798</v>
      </c>
      <c r="I5347" s="24">
        <v>29.39</v>
      </c>
      <c r="J5347" s="24">
        <v>5.29</v>
      </c>
      <c r="K5347" s="24">
        <v>9763.32</v>
      </c>
      <c r="L5347" s="38">
        <v>46296</v>
      </c>
      <c r="M5347" s="23" t="s">
        <v>108</v>
      </c>
      <c r="N5347" s="23" t="str">
        <f>IF(COUNTIF($A$2:A5347,A5347)&gt;1,"DUP","OK")</f>
        <v>OK</v>
      </c>
      <c r="O5347" s="23" t="str">
        <f t="shared" si="250"/>
        <v>ORD26001213</v>
      </c>
      <c r="P5347" s="23" t="str">
        <f t="shared" si="251"/>
        <v>Oct-Due</v>
      </c>
      <c r="Q5347" s="23" t="str">
        <f>IF(F5347="CAPTURE",IF(COUNTIF(orders!$A:$A,O5347)&gt;0,"Yes","NO ORDER"),"")</f>
        <v>Yes</v>
      </c>
    </row>
    <row r="5348" spans="1:17" ht="15" customHeight="1" x14ac:dyDescent="0.3">
      <c r="A5348" s="23" t="s">
        <v>18569</v>
      </c>
      <c r="B5348" s="23"/>
      <c r="C5348" s="23" t="s">
        <v>2900</v>
      </c>
      <c r="D5348" s="23" t="str">
        <f t="shared" si="249"/>
        <v>ORD26001216</v>
      </c>
      <c r="E5348" s="38">
        <v>46294</v>
      </c>
      <c r="F5348" s="23" t="s">
        <v>12410</v>
      </c>
      <c r="G5348" s="23" t="s">
        <v>79</v>
      </c>
      <c r="H5348" s="24">
        <v>3298</v>
      </c>
      <c r="I5348" s="24">
        <v>52.77</v>
      </c>
      <c r="J5348" s="24">
        <v>9.5</v>
      </c>
      <c r="K5348" s="24">
        <v>3235.73</v>
      </c>
      <c r="L5348" s="38">
        <v>46296</v>
      </c>
      <c r="M5348" s="23" t="s">
        <v>108</v>
      </c>
      <c r="N5348" s="23" t="str">
        <f>IF(COUNTIF($A$2:A5348,A5348)&gt;1,"DUP","OK")</f>
        <v>OK</v>
      </c>
      <c r="O5348" s="23" t="str">
        <f t="shared" si="250"/>
        <v>ORD26001216</v>
      </c>
      <c r="P5348" s="23" t="str">
        <f t="shared" si="251"/>
        <v>Oct-Due</v>
      </c>
      <c r="Q5348" s="23" t="str">
        <f>IF(F5348="CAPTURE",IF(COUNTIF(orders!$A:$A,O5348)&gt;0,"Yes","NO ORDER"),"")</f>
        <v>Yes</v>
      </c>
    </row>
    <row r="5349" spans="1:17" ht="15" customHeight="1" x14ac:dyDescent="0.3">
      <c r="A5349" s="23" t="s">
        <v>18570</v>
      </c>
      <c r="B5349" s="23"/>
      <c r="C5349" s="23" t="s">
        <v>2915</v>
      </c>
      <c r="D5349" s="23" t="str">
        <f t="shared" si="249"/>
        <v>ORD26001223</v>
      </c>
      <c r="E5349" s="38">
        <v>46294</v>
      </c>
      <c r="F5349" s="23" t="s">
        <v>12410</v>
      </c>
      <c r="G5349" s="23" t="s">
        <v>79</v>
      </c>
      <c r="H5349" s="24">
        <v>3298</v>
      </c>
      <c r="I5349" s="24">
        <v>52.77</v>
      </c>
      <c r="J5349" s="24">
        <v>9.5</v>
      </c>
      <c r="K5349" s="24">
        <v>3235.73</v>
      </c>
      <c r="L5349" s="38">
        <v>46296</v>
      </c>
      <c r="M5349" s="23" t="s">
        <v>108</v>
      </c>
      <c r="N5349" s="23" t="str">
        <f>IF(COUNTIF($A$2:A5349,A5349)&gt;1,"DUP","OK")</f>
        <v>OK</v>
      </c>
      <c r="O5349" s="23" t="str">
        <f t="shared" si="250"/>
        <v>ORD26001223</v>
      </c>
      <c r="P5349" s="23" t="str">
        <f t="shared" si="251"/>
        <v>Oct-Due</v>
      </c>
      <c r="Q5349" s="23" t="str">
        <f>IF(F5349="CAPTURE",IF(COUNTIF(orders!$A:$A,O5349)&gt;0,"Yes","NO ORDER"),"")</f>
        <v>Yes</v>
      </c>
    </row>
    <row r="5350" spans="1:17" ht="15" customHeight="1" x14ac:dyDescent="0.3">
      <c r="A5350" s="23" t="s">
        <v>18571</v>
      </c>
      <c r="B5350" s="23"/>
      <c r="C5350" s="23" t="s">
        <v>3011</v>
      </c>
      <c r="D5350" s="23" t="str">
        <f t="shared" si="249"/>
        <v>ORD26001269</v>
      </c>
      <c r="E5350" s="38">
        <v>46294</v>
      </c>
      <c r="F5350" s="23" t="s">
        <v>12410</v>
      </c>
      <c r="G5350" s="23" t="s">
        <v>81</v>
      </c>
      <c r="H5350" s="24">
        <v>4847</v>
      </c>
      <c r="I5350" s="24">
        <v>58.16</v>
      </c>
      <c r="J5350" s="24">
        <v>10.47</v>
      </c>
      <c r="K5350" s="24">
        <v>4778.37</v>
      </c>
      <c r="L5350" s="38">
        <v>46296</v>
      </c>
      <c r="M5350" s="23" t="s">
        <v>108</v>
      </c>
      <c r="N5350" s="23" t="str">
        <f>IF(COUNTIF($A$2:A5350,A5350)&gt;1,"DUP","OK")</f>
        <v>OK</v>
      </c>
      <c r="O5350" s="23" t="str">
        <f t="shared" si="250"/>
        <v>ORD26001269</v>
      </c>
      <c r="P5350" s="23" t="str">
        <f t="shared" si="251"/>
        <v>Oct-Due</v>
      </c>
      <c r="Q5350" s="23" t="str">
        <f>IF(F5350="CAPTURE",IF(COUNTIF(orders!$A:$A,O5350)&gt;0,"Yes","NO ORDER"),"")</f>
        <v>Yes</v>
      </c>
    </row>
    <row r="5351" spans="1:17" ht="15" customHeight="1" x14ac:dyDescent="0.3">
      <c r="A5351" s="23" t="s">
        <v>18572</v>
      </c>
      <c r="B5351" s="23"/>
      <c r="C5351" s="23" t="s">
        <v>3058</v>
      </c>
      <c r="D5351" s="23" t="str">
        <f t="shared" si="249"/>
        <v>ORD26001292</v>
      </c>
      <c r="E5351" s="38">
        <v>46294</v>
      </c>
      <c r="F5351" s="23" t="s">
        <v>12410</v>
      </c>
      <c r="G5351" s="23" t="s">
        <v>77</v>
      </c>
      <c r="H5351" s="24">
        <v>2848</v>
      </c>
      <c r="I5351" s="24">
        <v>48.42</v>
      </c>
      <c r="J5351" s="24">
        <v>8.7200000000000006</v>
      </c>
      <c r="K5351" s="24">
        <v>2790.86</v>
      </c>
      <c r="L5351" s="38">
        <v>46296</v>
      </c>
      <c r="M5351" s="23" t="s">
        <v>108</v>
      </c>
      <c r="N5351" s="23" t="str">
        <f>IF(COUNTIF($A$2:A5351,A5351)&gt;1,"DUP","OK")</f>
        <v>OK</v>
      </c>
      <c r="O5351" s="23" t="str">
        <f t="shared" si="250"/>
        <v>ORD26001292</v>
      </c>
      <c r="P5351" s="23" t="str">
        <f t="shared" si="251"/>
        <v>Oct-Due</v>
      </c>
      <c r="Q5351" s="23" t="str">
        <f>IF(F5351="CAPTURE",IF(COUNTIF(orders!$A:$A,O5351)&gt;0,"Yes","NO ORDER"),"")</f>
        <v>Yes</v>
      </c>
    </row>
    <row r="5352" spans="1:17" ht="15" customHeight="1" x14ac:dyDescent="0.3">
      <c r="A5352" s="23" t="s">
        <v>18573</v>
      </c>
      <c r="B5352" s="23"/>
      <c r="C5352" s="23" t="s">
        <v>18574</v>
      </c>
      <c r="D5352" s="23" t="str">
        <f t="shared" si="249"/>
        <v>ORD26001297</v>
      </c>
      <c r="E5352" s="38">
        <v>46294</v>
      </c>
      <c r="F5352" s="23" t="s">
        <v>12410</v>
      </c>
      <c r="G5352" s="23" t="s">
        <v>75</v>
      </c>
      <c r="H5352" s="24">
        <v>5498</v>
      </c>
      <c r="I5352" s="24">
        <v>16.489999999999998</v>
      </c>
      <c r="J5352" s="24">
        <v>2.97</v>
      </c>
      <c r="K5352" s="24">
        <v>5478.54</v>
      </c>
      <c r="L5352" s="38">
        <v>46296</v>
      </c>
      <c r="M5352" s="23" t="s">
        <v>108</v>
      </c>
      <c r="N5352" s="23" t="str">
        <f>IF(COUNTIF($A$2:A5352,A5352)&gt;1,"DUP","OK")</f>
        <v>OK</v>
      </c>
      <c r="O5352" s="23" t="str">
        <f t="shared" si="250"/>
        <v>ORD26001297</v>
      </c>
      <c r="P5352" s="23" t="str">
        <f t="shared" si="251"/>
        <v>Oct-Due</v>
      </c>
      <c r="Q5352" s="23" t="str">
        <f>IF(F5352="CAPTURE",IF(COUNTIF(orders!$A:$A,O5352)&gt;0,"Yes","NO ORDER"),"")</f>
        <v>Yes</v>
      </c>
    </row>
    <row r="5353" spans="1:17" ht="15" customHeight="1" x14ac:dyDescent="0.3">
      <c r="A5353" s="23" t="s">
        <v>18575</v>
      </c>
      <c r="B5353" s="23"/>
      <c r="C5353" s="23" t="s">
        <v>3098</v>
      </c>
      <c r="D5353" s="23" t="str">
        <f t="shared" si="249"/>
        <v>ORD26001311</v>
      </c>
      <c r="E5353" s="38">
        <v>46294</v>
      </c>
      <c r="F5353" s="23" t="s">
        <v>12410</v>
      </c>
      <c r="G5353" s="23" t="s">
        <v>77</v>
      </c>
      <c r="H5353" s="24">
        <v>3848</v>
      </c>
      <c r="I5353" s="24">
        <v>92.35</v>
      </c>
      <c r="J5353" s="24">
        <v>16.62</v>
      </c>
      <c r="K5353" s="24">
        <v>3739.03</v>
      </c>
      <c r="L5353" s="38">
        <v>46296</v>
      </c>
      <c r="M5353" s="23" t="s">
        <v>108</v>
      </c>
      <c r="N5353" s="23" t="str">
        <f>IF(COUNTIF($A$2:A5353,A5353)&gt;1,"DUP","OK")</f>
        <v>OK</v>
      </c>
      <c r="O5353" s="23" t="str">
        <f t="shared" si="250"/>
        <v>ORD26001311</v>
      </c>
      <c r="P5353" s="23" t="str">
        <f t="shared" si="251"/>
        <v>Oct-Due</v>
      </c>
      <c r="Q5353" s="23" t="str">
        <f>IF(F5353="CAPTURE",IF(COUNTIF(orders!$A:$A,O5353)&gt;0,"Yes","NO ORDER"),"")</f>
        <v>Yes</v>
      </c>
    </row>
    <row r="5354" spans="1:17" ht="15" customHeight="1" x14ac:dyDescent="0.3">
      <c r="A5354" s="23" t="s">
        <v>18576</v>
      </c>
      <c r="B5354" s="23"/>
      <c r="C5354" s="23" t="s">
        <v>3208</v>
      </c>
      <c r="D5354" s="23" t="str">
        <f t="shared" si="249"/>
        <v>ORD26001364</v>
      </c>
      <c r="E5354" s="38">
        <v>46294</v>
      </c>
      <c r="F5354" s="23" t="s">
        <v>12410</v>
      </c>
      <c r="G5354" s="23" t="s">
        <v>79</v>
      </c>
      <c r="H5354" s="24">
        <v>4999</v>
      </c>
      <c r="I5354" s="24">
        <v>79.98</v>
      </c>
      <c r="J5354" s="24">
        <v>14.4</v>
      </c>
      <c r="K5354" s="24">
        <v>4904.62</v>
      </c>
      <c r="L5354" s="38">
        <v>46296</v>
      </c>
      <c r="M5354" s="23" t="s">
        <v>108</v>
      </c>
      <c r="N5354" s="23" t="str">
        <f>IF(COUNTIF($A$2:A5354,A5354)&gt;1,"DUP","OK")</f>
        <v>OK</v>
      </c>
      <c r="O5354" s="23" t="str">
        <f t="shared" si="250"/>
        <v>ORD26001364</v>
      </c>
      <c r="P5354" s="23" t="str">
        <f t="shared" si="251"/>
        <v>Oct-Due</v>
      </c>
      <c r="Q5354" s="23" t="str">
        <f>IF(F5354="CAPTURE",IF(COUNTIF(orders!$A:$A,O5354)&gt;0,"Yes","NO ORDER"),"")</f>
        <v>Yes</v>
      </c>
    </row>
    <row r="5355" spans="1:17" ht="15" customHeight="1" x14ac:dyDescent="0.3">
      <c r="A5355" s="23" t="s">
        <v>18577</v>
      </c>
      <c r="B5355" s="23"/>
      <c r="C5355" s="23" t="s">
        <v>3335</v>
      </c>
      <c r="D5355" s="23" t="str">
        <f t="shared" si="249"/>
        <v>ORD26001427</v>
      </c>
      <c r="E5355" s="38">
        <v>46294</v>
      </c>
      <c r="F5355" s="23" t="s">
        <v>12410</v>
      </c>
      <c r="G5355" s="23" t="s">
        <v>75</v>
      </c>
      <c r="H5355" s="24">
        <v>5598</v>
      </c>
      <c r="I5355" s="24">
        <v>16.79</v>
      </c>
      <c r="J5355" s="24">
        <v>3.02</v>
      </c>
      <c r="K5355" s="24">
        <v>5578.19</v>
      </c>
      <c r="L5355" s="38">
        <v>46296</v>
      </c>
      <c r="M5355" s="23" t="s">
        <v>108</v>
      </c>
      <c r="N5355" s="23" t="str">
        <f>IF(COUNTIF($A$2:A5355,A5355)&gt;1,"DUP","OK")</f>
        <v>OK</v>
      </c>
      <c r="O5355" s="23" t="str">
        <f t="shared" si="250"/>
        <v>ORD26001427</v>
      </c>
      <c r="P5355" s="23" t="str">
        <f t="shared" si="251"/>
        <v>Oct-Due</v>
      </c>
      <c r="Q5355" s="23" t="str">
        <f>IF(F5355="CAPTURE",IF(COUNTIF(orders!$A:$A,O5355)&gt;0,"Yes","NO ORDER"),"")</f>
        <v>Yes</v>
      </c>
    </row>
    <row r="5356" spans="1:17" ht="15" customHeight="1" x14ac:dyDescent="0.3">
      <c r="A5356" s="23" t="s">
        <v>18578</v>
      </c>
      <c r="B5356" s="23"/>
      <c r="C5356" s="23" t="s">
        <v>3516</v>
      </c>
      <c r="D5356" s="23" t="str">
        <f t="shared" si="249"/>
        <v>ORD26001515</v>
      </c>
      <c r="E5356" s="38">
        <v>46294</v>
      </c>
      <c r="F5356" s="23" t="s">
        <v>12410</v>
      </c>
      <c r="G5356" s="23" t="s">
        <v>79</v>
      </c>
      <c r="H5356" s="24">
        <v>499</v>
      </c>
      <c r="I5356" s="24">
        <v>8.98</v>
      </c>
      <c r="J5356" s="24">
        <v>1.62</v>
      </c>
      <c r="K5356" s="24">
        <v>488.4</v>
      </c>
      <c r="L5356" s="38">
        <v>46296</v>
      </c>
      <c r="M5356" s="23" t="s">
        <v>108</v>
      </c>
      <c r="N5356" s="23" t="str">
        <f>IF(COUNTIF($A$2:A5356,A5356)&gt;1,"DUP","OK")</f>
        <v>OK</v>
      </c>
      <c r="O5356" s="23" t="str">
        <f t="shared" si="250"/>
        <v>ORD26001515</v>
      </c>
      <c r="P5356" s="23" t="str">
        <f t="shared" si="251"/>
        <v>Oct-Due</v>
      </c>
      <c r="Q5356" s="23" t="str">
        <f>IF(F5356="CAPTURE",IF(COUNTIF(orders!$A:$A,O5356)&gt;0,"Yes","NO ORDER"),"")</f>
        <v>Yes</v>
      </c>
    </row>
    <row r="5357" spans="1:17" ht="15" customHeight="1" x14ac:dyDescent="0.3">
      <c r="A5357" s="23" t="s">
        <v>18579</v>
      </c>
      <c r="B5357" s="23"/>
      <c r="C5357" s="23" t="s">
        <v>3655</v>
      </c>
      <c r="D5357" s="23" t="str">
        <f t="shared" si="249"/>
        <v>ORD26001584</v>
      </c>
      <c r="E5357" s="38">
        <v>46294</v>
      </c>
      <c r="F5357" s="23" t="s">
        <v>12410</v>
      </c>
      <c r="G5357" s="23" t="s">
        <v>77</v>
      </c>
      <c r="H5357" s="24">
        <v>9297</v>
      </c>
      <c r="I5357" s="24">
        <v>158.05000000000001</v>
      </c>
      <c r="J5357" s="24">
        <v>28.45</v>
      </c>
      <c r="K5357" s="24">
        <v>9110.5</v>
      </c>
      <c r="L5357" s="38">
        <v>46296</v>
      </c>
      <c r="M5357" s="23" t="s">
        <v>108</v>
      </c>
      <c r="N5357" s="23" t="str">
        <f>IF(COUNTIF($A$2:A5357,A5357)&gt;1,"DUP","OK")</f>
        <v>OK</v>
      </c>
      <c r="O5357" s="23" t="str">
        <f t="shared" si="250"/>
        <v>ORD26001584</v>
      </c>
      <c r="P5357" s="23" t="str">
        <f t="shared" si="251"/>
        <v>Oct-Due</v>
      </c>
      <c r="Q5357" s="23" t="str">
        <f>IF(F5357="CAPTURE",IF(COUNTIF(orders!$A:$A,O5357)&gt;0,"Yes","NO ORDER"),"")</f>
        <v>Yes</v>
      </c>
    </row>
    <row r="5358" spans="1:17" ht="15" customHeight="1" x14ac:dyDescent="0.3">
      <c r="A5358" s="23" t="s">
        <v>18580</v>
      </c>
      <c r="B5358" s="23"/>
      <c r="C5358" s="23" t="s">
        <v>3673</v>
      </c>
      <c r="D5358" s="23" t="str">
        <f t="shared" si="249"/>
        <v>ORD26001593</v>
      </c>
      <c r="E5358" s="38">
        <v>46294</v>
      </c>
      <c r="F5358" s="23" t="s">
        <v>12410</v>
      </c>
      <c r="G5358" s="23" t="s">
        <v>79</v>
      </c>
      <c r="H5358" s="24">
        <v>799</v>
      </c>
      <c r="I5358" s="24">
        <v>14.38</v>
      </c>
      <c r="J5358" s="24">
        <v>2.59</v>
      </c>
      <c r="K5358" s="24">
        <v>782.03</v>
      </c>
      <c r="L5358" s="38">
        <v>46296</v>
      </c>
      <c r="M5358" s="23" t="s">
        <v>108</v>
      </c>
      <c r="N5358" s="23" t="str">
        <f>IF(COUNTIF($A$2:A5358,A5358)&gt;1,"DUP","OK")</f>
        <v>OK</v>
      </c>
      <c r="O5358" s="23" t="str">
        <f t="shared" si="250"/>
        <v>ORD26001593</v>
      </c>
      <c r="P5358" s="23" t="str">
        <f t="shared" si="251"/>
        <v>Oct-Due</v>
      </c>
      <c r="Q5358" s="23" t="str">
        <f>IF(F5358="CAPTURE",IF(COUNTIF(orders!$A:$A,O5358)&gt;0,"Yes","NO ORDER"),"")</f>
        <v>Yes</v>
      </c>
    </row>
    <row r="5359" spans="1:17" ht="15" customHeight="1" x14ac:dyDescent="0.3">
      <c r="A5359" s="23" t="s">
        <v>18581</v>
      </c>
      <c r="B5359" s="23"/>
      <c r="C5359" s="23" t="s">
        <v>3693</v>
      </c>
      <c r="D5359" s="23" t="str">
        <f t="shared" si="249"/>
        <v>ORD26001603</v>
      </c>
      <c r="E5359" s="38">
        <v>46294</v>
      </c>
      <c r="F5359" s="23" t="s">
        <v>12410</v>
      </c>
      <c r="G5359" s="23" t="s">
        <v>75</v>
      </c>
      <c r="H5359" s="24">
        <v>5998</v>
      </c>
      <c r="I5359" s="24">
        <v>17.989999999999998</v>
      </c>
      <c r="J5359" s="24">
        <v>3.24</v>
      </c>
      <c r="K5359" s="24">
        <v>5976.77</v>
      </c>
      <c r="L5359" s="38">
        <v>46296</v>
      </c>
      <c r="M5359" s="23" t="s">
        <v>108</v>
      </c>
      <c r="N5359" s="23" t="str">
        <f>IF(COUNTIF($A$2:A5359,A5359)&gt;1,"DUP","OK")</f>
        <v>OK</v>
      </c>
      <c r="O5359" s="23" t="str">
        <f t="shared" si="250"/>
        <v>ORD26001603</v>
      </c>
      <c r="P5359" s="23" t="str">
        <f t="shared" si="251"/>
        <v>Oct-Due</v>
      </c>
      <c r="Q5359" s="23" t="str">
        <f>IF(F5359="CAPTURE",IF(COUNTIF(orders!$A:$A,O5359)&gt;0,"Yes","NO ORDER"),"")</f>
        <v>Yes</v>
      </c>
    </row>
    <row r="5360" spans="1:17" ht="15" customHeight="1" x14ac:dyDescent="0.3">
      <c r="A5360" s="23" t="s">
        <v>18582</v>
      </c>
      <c r="B5360" s="23"/>
      <c r="C5360" s="23" t="s">
        <v>3868</v>
      </c>
      <c r="D5360" s="23" t="str">
        <f t="shared" si="249"/>
        <v>ORD26001691</v>
      </c>
      <c r="E5360" s="38">
        <v>46294</v>
      </c>
      <c r="F5360" s="23" t="s">
        <v>12410</v>
      </c>
      <c r="G5360" s="23" t="s">
        <v>81</v>
      </c>
      <c r="H5360" s="24">
        <v>1499</v>
      </c>
      <c r="I5360" s="24">
        <v>22.49</v>
      </c>
      <c r="J5360" s="24">
        <v>4.05</v>
      </c>
      <c r="K5360" s="24">
        <v>1472.46</v>
      </c>
      <c r="L5360" s="38">
        <v>46296</v>
      </c>
      <c r="M5360" s="23" t="s">
        <v>108</v>
      </c>
      <c r="N5360" s="23" t="str">
        <f>IF(COUNTIF($A$2:A5360,A5360)&gt;1,"DUP","OK")</f>
        <v>OK</v>
      </c>
      <c r="O5360" s="23" t="str">
        <f t="shared" si="250"/>
        <v>ORD26001691</v>
      </c>
      <c r="P5360" s="23" t="str">
        <f t="shared" si="251"/>
        <v>Oct-Due</v>
      </c>
      <c r="Q5360" s="23" t="str">
        <f>IF(F5360="CAPTURE",IF(COUNTIF(orders!$A:$A,O5360)&gt;0,"Yes","NO ORDER"),"")</f>
        <v>Yes</v>
      </c>
    </row>
    <row r="5361" spans="1:17" ht="15" customHeight="1" x14ac:dyDescent="0.3">
      <c r="A5361" s="23" t="s">
        <v>18583</v>
      </c>
      <c r="B5361" s="23"/>
      <c r="C5361" s="23" t="s">
        <v>3886</v>
      </c>
      <c r="D5361" s="23" t="str">
        <f t="shared" si="249"/>
        <v>ORD26001699</v>
      </c>
      <c r="E5361" s="38">
        <v>46294</v>
      </c>
      <c r="F5361" s="23" t="s">
        <v>12410</v>
      </c>
      <c r="G5361" s="23" t="s">
        <v>79</v>
      </c>
      <c r="H5361" s="24">
        <v>2298</v>
      </c>
      <c r="I5361" s="24">
        <v>36.770000000000003</v>
      </c>
      <c r="J5361" s="24">
        <v>6.62</v>
      </c>
      <c r="K5361" s="24">
        <v>2254.61</v>
      </c>
      <c r="L5361" s="38">
        <v>46296</v>
      </c>
      <c r="M5361" s="23" t="s">
        <v>108</v>
      </c>
      <c r="N5361" s="23" t="str">
        <f>IF(COUNTIF($A$2:A5361,A5361)&gt;1,"DUP","OK")</f>
        <v>OK</v>
      </c>
      <c r="O5361" s="23" t="str">
        <f t="shared" si="250"/>
        <v>ORD26001699</v>
      </c>
      <c r="P5361" s="23" t="str">
        <f t="shared" si="251"/>
        <v>Oct-Due</v>
      </c>
      <c r="Q5361" s="23" t="str">
        <f>IF(F5361="CAPTURE",IF(COUNTIF(orders!$A:$A,O5361)&gt;0,"Yes","NO ORDER"),"")</f>
        <v>Yes</v>
      </c>
    </row>
    <row r="5362" spans="1:17" ht="15" customHeight="1" x14ac:dyDescent="0.3">
      <c r="A5362" s="23" t="s">
        <v>18584</v>
      </c>
      <c r="B5362" s="23"/>
      <c r="C5362" s="23" t="s">
        <v>3921</v>
      </c>
      <c r="D5362" s="23" t="str">
        <f t="shared" si="249"/>
        <v>ORD26001717</v>
      </c>
      <c r="E5362" s="38">
        <v>46294</v>
      </c>
      <c r="F5362" s="23" t="s">
        <v>12410</v>
      </c>
      <c r="G5362" s="23" t="s">
        <v>75</v>
      </c>
      <c r="H5362" s="24">
        <v>299</v>
      </c>
      <c r="I5362" s="24">
        <v>0</v>
      </c>
      <c r="J5362" s="24">
        <v>0</v>
      </c>
      <c r="K5362" s="24">
        <v>299</v>
      </c>
      <c r="L5362" s="38">
        <v>46296</v>
      </c>
      <c r="M5362" s="23" t="s">
        <v>108</v>
      </c>
      <c r="N5362" s="23" t="str">
        <f>IF(COUNTIF($A$2:A5362,A5362)&gt;1,"DUP","OK")</f>
        <v>OK</v>
      </c>
      <c r="O5362" s="23" t="str">
        <f t="shared" si="250"/>
        <v>ORD26001717</v>
      </c>
      <c r="P5362" s="23" t="str">
        <f t="shared" si="251"/>
        <v>Oct-Due</v>
      </c>
      <c r="Q5362" s="23" t="str">
        <f>IF(F5362="CAPTURE",IF(COUNTIF(orders!$A:$A,O5362)&gt;0,"Yes","NO ORDER"),"")</f>
        <v>Yes</v>
      </c>
    </row>
    <row r="5363" spans="1:17" ht="15" customHeight="1" x14ac:dyDescent="0.3">
      <c r="A5363" s="23" t="s">
        <v>18585</v>
      </c>
      <c r="B5363" s="23"/>
      <c r="C5363" s="23" t="s">
        <v>18586</v>
      </c>
      <c r="D5363" s="23" t="str">
        <f t="shared" si="249"/>
        <v>ORD26001746</v>
      </c>
      <c r="E5363" s="38">
        <v>46294</v>
      </c>
      <c r="F5363" s="23" t="s">
        <v>12410</v>
      </c>
      <c r="G5363" s="23" t="s">
        <v>79</v>
      </c>
      <c r="H5363" s="24">
        <v>999</v>
      </c>
      <c r="I5363" s="24">
        <v>17.98</v>
      </c>
      <c r="J5363" s="24">
        <v>3.24</v>
      </c>
      <c r="K5363" s="24">
        <v>977.78</v>
      </c>
      <c r="L5363" s="38">
        <v>46296</v>
      </c>
      <c r="M5363" s="23" t="s">
        <v>108</v>
      </c>
      <c r="N5363" s="23" t="str">
        <f>IF(COUNTIF($A$2:A5363,A5363)&gt;1,"DUP","OK")</f>
        <v>OK</v>
      </c>
      <c r="O5363" s="23" t="str">
        <f t="shared" si="250"/>
        <v>ORD26001746</v>
      </c>
      <c r="P5363" s="23" t="str">
        <f t="shared" si="251"/>
        <v>Oct-Due</v>
      </c>
      <c r="Q5363" s="23" t="str">
        <f>IF(F5363="CAPTURE",IF(COUNTIF(orders!$A:$A,O5363)&gt;0,"Yes","NO ORDER"),"")</f>
        <v>Yes</v>
      </c>
    </row>
    <row r="5364" spans="1:17" ht="15" customHeight="1" x14ac:dyDescent="0.3">
      <c r="A5364" s="23" t="s">
        <v>18587</v>
      </c>
      <c r="B5364" s="23"/>
      <c r="C5364" s="23" t="s">
        <v>4012</v>
      </c>
      <c r="D5364" s="23" t="str">
        <f t="shared" si="249"/>
        <v>ORD26001762</v>
      </c>
      <c r="E5364" s="38">
        <v>46294</v>
      </c>
      <c r="F5364" s="23" t="s">
        <v>12410</v>
      </c>
      <c r="G5364" s="23" t="s">
        <v>79</v>
      </c>
      <c r="H5364" s="24">
        <v>5998</v>
      </c>
      <c r="I5364" s="24">
        <v>95.97</v>
      </c>
      <c r="J5364" s="24">
        <v>17.27</v>
      </c>
      <c r="K5364" s="24">
        <v>5884.76</v>
      </c>
      <c r="L5364" s="38">
        <v>46296</v>
      </c>
      <c r="M5364" s="23" t="s">
        <v>108</v>
      </c>
      <c r="N5364" s="23" t="str">
        <f>IF(COUNTIF($A$2:A5364,A5364)&gt;1,"DUP","OK")</f>
        <v>OK</v>
      </c>
      <c r="O5364" s="23" t="str">
        <f t="shared" si="250"/>
        <v>ORD26001762</v>
      </c>
      <c r="P5364" s="23" t="str">
        <f t="shared" si="251"/>
        <v>Oct-Due</v>
      </c>
      <c r="Q5364" s="23" t="str">
        <f>IF(F5364="CAPTURE",IF(COUNTIF(orders!$A:$A,O5364)&gt;0,"Yes","NO ORDER"),"")</f>
        <v>Yes</v>
      </c>
    </row>
    <row r="5365" spans="1:17" ht="15" customHeight="1" x14ac:dyDescent="0.3">
      <c r="A5365" s="23" t="s">
        <v>18588</v>
      </c>
      <c r="B5365" s="23"/>
      <c r="C5365" s="23" t="s">
        <v>4222</v>
      </c>
      <c r="D5365" s="23" t="str">
        <f t="shared" si="249"/>
        <v>ORD26001868</v>
      </c>
      <c r="E5365" s="38">
        <v>46294</v>
      </c>
      <c r="F5365" s="23" t="s">
        <v>12410</v>
      </c>
      <c r="G5365" s="23" t="s">
        <v>75</v>
      </c>
      <c r="H5365" s="24">
        <v>1998</v>
      </c>
      <c r="I5365" s="24">
        <v>0</v>
      </c>
      <c r="J5365" s="24">
        <v>0</v>
      </c>
      <c r="K5365" s="24">
        <v>1998</v>
      </c>
      <c r="L5365" s="38">
        <v>46296</v>
      </c>
      <c r="M5365" s="23" t="s">
        <v>108</v>
      </c>
      <c r="N5365" s="23" t="str">
        <f>IF(COUNTIF($A$2:A5365,A5365)&gt;1,"DUP","OK")</f>
        <v>OK</v>
      </c>
      <c r="O5365" s="23" t="str">
        <f t="shared" si="250"/>
        <v>ORD26001868</v>
      </c>
      <c r="P5365" s="23" t="str">
        <f t="shared" si="251"/>
        <v>Oct-Due</v>
      </c>
      <c r="Q5365" s="23" t="str">
        <f>IF(F5365="CAPTURE",IF(COUNTIF(orders!$A:$A,O5365)&gt;0,"Yes","NO ORDER"),"")</f>
        <v>Yes</v>
      </c>
    </row>
    <row r="5366" spans="1:17" ht="15" customHeight="1" x14ac:dyDescent="0.3">
      <c r="A5366" s="23" t="s">
        <v>18589</v>
      </c>
      <c r="B5366" s="23"/>
      <c r="C5366" s="23" t="s">
        <v>4253</v>
      </c>
      <c r="D5366" s="23" t="str">
        <f t="shared" si="249"/>
        <v>ORD26001883</v>
      </c>
      <c r="E5366" s="38">
        <v>46294</v>
      </c>
      <c r="F5366" s="23" t="s">
        <v>12410</v>
      </c>
      <c r="G5366" s="23" t="s">
        <v>75</v>
      </c>
      <c r="H5366" s="24">
        <v>499</v>
      </c>
      <c r="I5366" s="24">
        <v>0</v>
      </c>
      <c r="J5366" s="24">
        <v>0</v>
      </c>
      <c r="K5366" s="24">
        <v>499</v>
      </c>
      <c r="L5366" s="38">
        <v>46296</v>
      </c>
      <c r="M5366" s="23" t="s">
        <v>108</v>
      </c>
      <c r="N5366" s="23" t="str">
        <f>IF(COUNTIF($A$2:A5366,A5366)&gt;1,"DUP","OK")</f>
        <v>OK</v>
      </c>
      <c r="O5366" s="23" t="str">
        <f t="shared" si="250"/>
        <v>ORD26001883</v>
      </c>
      <c r="P5366" s="23" t="str">
        <f t="shared" si="251"/>
        <v>Oct-Due</v>
      </c>
      <c r="Q5366" s="23" t="str">
        <f>IF(F5366="CAPTURE",IF(COUNTIF(orders!$A:$A,O5366)&gt;0,"Yes","NO ORDER"),"")</f>
        <v>Yes</v>
      </c>
    </row>
    <row r="5367" spans="1:17" ht="15" customHeight="1" x14ac:dyDescent="0.3">
      <c r="A5367" s="23" t="s">
        <v>18590</v>
      </c>
      <c r="B5367" s="23"/>
      <c r="C5367" s="23" t="s">
        <v>4603</v>
      </c>
      <c r="D5367" s="23" t="str">
        <f t="shared" si="249"/>
        <v>ORD26002056</v>
      </c>
      <c r="E5367" s="38">
        <v>46294</v>
      </c>
      <c r="F5367" s="23" t="s">
        <v>12410</v>
      </c>
      <c r="G5367" s="23" t="s">
        <v>79</v>
      </c>
      <c r="H5367" s="24">
        <v>4897</v>
      </c>
      <c r="I5367" s="24">
        <v>78.349999999999994</v>
      </c>
      <c r="J5367" s="24">
        <v>14.1</v>
      </c>
      <c r="K5367" s="24">
        <v>4804.55</v>
      </c>
      <c r="L5367" s="38">
        <v>46296</v>
      </c>
      <c r="M5367" s="23" t="s">
        <v>108</v>
      </c>
      <c r="N5367" s="23" t="str">
        <f>IF(COUNTIF($A$2:A5367,A5367)&gt;1,"DUP","OK")</f>
        <v>OK</v>
      </c>
      <c r="O5367" s="23" t="str">
        <f t="shared" si="250"/>
        <v>ORD26002056</v>
      </c>
      <c r="P5367" s="23" t="str">
        <f t="shared" si="251"/>
        <v>Oct-Due</v>
      </c>
      <c r="Q5367" s="23" t="str">
        <f>IF(F5367="CAPTURE",IF(COUNTIF(orders!$A:$A,O5367)&gt;0,"Yes","NO ORDER"),"")</f>
        <v>Yes</v>
      </c>
    </row>
    <row r="5368" spans="1:17" ht="15" customHeight="1" x14ac:dyDescent="0.3">
      <c r="A5368" s="23" t="s">
        <v>18591</v>
      </c>
      <c r="B5368" s="23"/>
      <c r="C5368" s="23" t="s">
        <v>18592</v>
      </c>
      <c r="D5368" s="23" t="str">
        <f t="shared" si="249"/>
        <v>ORD26002070</v>
      </c>
      <c r="E5368" s="38">
        <v>46294</v>
      </c>
      <c r="F5368" s="23" t="s">
        <v>12410</v>
      </c>
      <c r="G5368" s="23" t="s">
        <v>75</v>
      </c>
      <c r="H5368" s="24">
        <v>948</v>
      </c>
      <c r="I5368" s="24">
        <v>0</v>
      </c>
      <c r="J5368" s="24">
        <v>0</v>
      </c>
      <c r="K5368" s="24">
        <v>948</v>
      </c>
      <c r="L5368" s="38">
        <v>46296</v>
      </c>
      <c r="M5368" s="23" t="s">
        <v>108</v>
      </c>
      <c r="N5368" s="23" t="str">
        <f>IF(COUNTIF($A$2:A5368,A5368)&gt;1,"DUP","OK")</f>
        <v>OK</v>
      </c>
      <c r="O5368" s="23" t="str">
        <f t="shared" si="250"/>
        <v>ORD26002070</v>
      </c>
      <c r="P5368" s="23" t="str">
        <f t="shared" si="251"/>
        <v>Oct-Due</v>
      </c>
      <c r="Q5368" s="23" t="str">
        <f>IF(F5368="CAPTURE",IF(COUNTIF(orders!$A:$A,O5368)&gt;0,"Yes","NO ORDER"),"")</f>
        <v>Yes</v>
      </c>
    </row>
    <row r="5369" spans="1:17" ht="15" customHeight="1" x14ac:dyDescent="0.3">
      <c r="A5369" s="23" t="s">
        <v>18593</v>
      </c>
      <c r="B5369" s="23"/>
      <c r="C5369" s="23" t="s">
        <v>4742</v>
      </c>
      <c r="D5369" s="23" t="str">
        <f t="shared" si="249"/>
        <v>ORD26002126</v>
      </c>
      <c r="E5369" s="38">
        <v>46294</v>
      </c>
      <c r="F5369" s="23" t="s">
        <v>12410</v>
      </c>
      <c r="G5369" s="23" t="s">
        <v>77</v>
      </c>
      <c r="H5369" s="24">
        <v>4298</v>
      </c>
      <c r="I5369" s="24">
        <v>73.069999999999993</v>
      </c>
      <c r="J5369" s="24">
        <v>13.15</v>
      </c>
      <c r="K5369" s="24">
        <v>4211.78</v>
      </c>
      <c r="L5369" s="38">
        <v>46296</v>
      </c>
      <c r="M5369" s="23" t="s">
        <v>108</v>
      </c>
      <c r="N5369" s="23" t="str">
        <f>IF(COUNTIF($A$2:A5369,A5369)&gt;1,"DUP","OK")</f>
        <v>OK</v>
      </c>
      <c r="O5369" s="23" t="str">
        <f t="shared" si="250"/>
        <v>ORD26002126</v>
      </c>
      <c r="P5369" s="23" t="str">
        <f t="shared" si="251"/>
        <v>Oct-Due</v>
      </c>
      <c r="Q5369" s="23" t="str">
        <f>IF(F5369="CAPTURE",IF(COUNTIF(orders!$A:$A,O5369)&gt;0,"Yes","NO ORDER"),"")</f>
        <v>Yes</v>
      </c>
    </row>
    <row r="5370" spans="1:17" ht="15" customHeight="1" x14ac:dyDescent="0.3">
      <c r="A5370" s="23" t="s">
        <v>18594</v>
      </c>
      <c r="B5370" s="23"/>
      <c r="C5370" s="23" t="s">
        <v>4793</v>
      </c>
      <c r="D5370" s="23" t="str">
        <f t="shared" si="249"/>
        <v>ORD26002152</v>
      </c>
      <c r="E5370" s="38">
        <v>46294</v>
      </c>
      <c r="F5370" s="23" t="s">
        <v>12410</v>
      </c>
      <c r="G5370" s="23" t="s">
        <v>75</v>
      </c>
      <c r="H5370" s="24">
        <v>1499</v>
      </c>
      <c r="I5370" s="24">
        <v>0</v>
      </c>
      <c r="J5370" s="24">
        <v>0</v>
      </c>
      <c r="K5370" s="24">
        <v>1499</v>
      </c>
      <c r="L5370" s="38">
        <v>46296</v>
      </c>
      <c r="M5370" s="23" t="s">
        <v>108</v>
      </c>
      <c r="N5370" s="23" t="str">
        <f>IF(COUNTIF($A$2:A5370,A5370)&gt;1,"DUP","OK")</f>
        <v>OK</v>
      </c>
      <c r="O5370" s="23" t="str">
        <f t="shared" si="250"/>
        <v>ORD26002152</v>
      </c>
      <c r="P5370" s="23" t="str">
        <f t="shared" si="251"/>
        <v>Oct-Due</v>
      </c>
      <c r="Q5370" s="23" t="str">
        <f>IF(F5370="CAPTURE",IF(COUNTIF(orders!$A:$A,O5370)&gt;0,"Yes","NO ORDER"),"")</f>
        <v>Yes</v>
      </c>
    </row>
    <row r="5371" spans="1:17" ht="15" customHeight="1" x14ac:dyDescent="0.3">
      <c r="A5371" s="23" t="s">
        <v>18595</v>
      </c>
      <c r="B5371" s="23"/>
      <c r="C5371" s="23" t="s">
        <v>5075</v>
      </c>
      <c r="D5371" s="23" t="str">
        <f t="shared" si="249"/>
        <v>ORD26002291</v>
      </c>
      <c r="E5371" s="38">
        <v>46294</v>
      </c>
      <c r="F5371" s="23" t="s">
        <v>12410</v>
      </c>
      <c r="G5371" s="23" t="s">
        <v>75</v>
      </c>
      <c r="H5371" s="24">
        <v>599</v>
      </c>
      <c r="I5371" s="24">
        <v>0</v>
      </c>
      <c r="J5371" s="24">
        <v>0</v>
      </c>
      <c r="K5371" s="24">
        <v>599</v>
      </c>
      <c r="L5371" s="38">
        <v>46296</v>
      </c>
      <c r="M5371" s="23" t="s">
        <v>108</v>
      </c>
      <c r="N5371" s="23" t="str">
        <f>IF(COUNTIF($A$2:A5371,A5371)&gt;1,"DUP","OK")</f>
        <v>OK</v>
      </c>
      <c r="O5371" s="23" t="str">
        <f t="shared" si="250"/>
        <v>ORD26002291</v>
      </c>
      <c r="P5371" s="23" t="str">
        <f t="shared" si="251"/>
        <v>Oct-Due</v>
      </c>
      <c r="Q5371" s="23" t="str">
        <f>IF(F5371="CAPTURE",IF(COUNTIF(orders!$A:$A,O5371)&gt;0,"Yes","NO ORDER"),"")</f>
        <v>Yes</v>
      </c>
    </row>
    <row r="5372" spans="1:17" ht="15" customHeight="1" x14ac:dyDescent="0.3">
      <c r="A5372" s="23" t="s">
        <v>18596</v>
      </c>
      <c r="B5372" s="23"/>
      <c r="C5372" s="23" t="s">
        <v>5077</v>
      </c>
      <c r="D5372" s="23" t="str">
        <f t="shared" si="249"/>
        <v>ORD26002292</v>
      </c>
      <c r="E5372" s="38">
        <v>46294</v>
      </c>
      <c r="F5372" s="23" t="s">
        <v>12410</v>
      </c>
      <c r="G5372" s="23" t="s">
        <v>79</v>
      </c>
      <c r="H5372" s="24">
        <v>599</v>
      </c>
      <c r="I5372" s="24">
        <v>10.78</v>
      </c>
      <c r="J5372" s="24">
        <v>1.94</v>
      </c>
      <c r="K5372" s="24">
        <v>586.28</v>
      </c>
      <c r="L5372" s="38">
        <v>46296</v>
      </c>
      <c r="M5372" s="23" t="s">
        <v>108</v>
      </c>
      <c r="N5372" s="23" t="str">
        <f>IF(COUNTIF($A$2:A5372,A5372)&gt;1,"DUP","OK")</f>
        <v>OK</v>
      </c>
      <c r="O5372" s="23" t="str">
        <f t="shared" si="250"/>
        <v>ORD26002292</v>
      </c>
      <c r="P5372" s="23" t="str">
        <f t="shared" si="251"/>
        <v>Oct-Due</v>
      </c>
      <c r="Q5372" s="23" t="str">
        <f>IF(F5372="CAPTURE",IF(COUNTIF(orders!$A:$A,O5372)&gt;0,"Yes","NO ORDER"),"")</f>
        <v>Yes</v>
      </c>
    </row>
    <row r="5373" spans="1:17" ht="15" customHeight="1" x14ac:dyDescent="0.3">
      <c r="A5373" s="23" t="s">
        <v>18597</v>
      </c>
      <c r="B5373" s="23"/>
      <c r="C5373" s="23" t="s">
        <v>5118</v>
      </c>
      <c r="D5373" s="23" t="str">
        <f t="shared" si="249"/>
        <v>ORD26002312</v>
      </c>
      <c r="E5373" s="38">
        <v>46294</v>
      </c>
      <c r="F5373" s="23" t="s">
        <v>12410</v>
      </c>
      <c r="G5373" s="23" t="s">
        <v>81</v>
      </c>
      <c r="H5373" s="24">
        <v>999</v>
      </c>
      <c r="I5373" s="24">
        <v>14.99</v>
      </c>
      <c r="J5373" s="24">
        <v>2.7</v>
      </c>
      <c r="K5373" s="24">
        <v>981.31</v>
      </c>
      <c r="L5373" s="38">
        <v>46296</v>
      </c>
      <c r="M5373" s="23" t="s">
        <v>108</v>
      </c>
      <c r="N5373" s="23" t="str">
        <f>IF(COUNTIF($A$2:A5373,A5373)&gt;1,"DUP","OK")</f>
        <v>OK</v>
      </c>
      <c r="O5373" s="23" t="str">
        <f t="shared" si="250"/>
        <v>ORD26002312</v>
      </c>
      <c r="P5373" s="23" t="str">
        <f t="shared" si="251"/>
        <v>Oct-Due</v>
      </c>
      <c r="Q5373" s="23" t="str">
        <f>IF(F5373="CAPTURE",IF(COUNTIF(orders!$A:$A,O5373)&gt;0,"Yes","NO ORDER"),"")</f>
        <v>Yes</v>
      </c>
    </row>
    <row r="5374" spans="1:17" ht="15" customHeight="1" x14ac:dyDescent="0.3">
      <c r="A5374" s="23" t="s">
        <v>18598</v>
      </c>
      <c r="B5374" s="23"/>
      <c r="C5374" s="23" t="s">
        <v>5164</v>
      </c>
      <c r="D5374" s="23" t="str">
        <f t="shared" si="249"/>
        <v>ORD26002335</v>
      </c>
      <c r="E5374" s="38">
        <v>46294</v>
      </c>
      <c r="F5374" s="23" t="s">
        <v>12410</v>
      </c>
      <c r="G5374" s="23" t="s">
        <v>75</v>
      </c>
      <c r="H5374" s="24">
        <v>299</v>
      </c>
      <c r="I5374" s="24">
        <v>0</v>
      </c>
      <c r="J5374" s="24">
        <v>0</v>
      </c>
      <c r="K5374" s="24">
        <v>299</v>
      </c>
      <c r="L5374" s="38">
        <v>46296</v>
      </c>
      <c r="M5374" s="23" t="s">
        <v>108</v>
      </c>
      <c r="N5374" s="23" t="str">
        <f>IF(COUNTIF($A$2:A5374,A5374)&gt;1,"DUP","OK")</f>
        <v>OK</v>
      </c>
      <c r="O5374" s="23" t="str">
        <f t="shared" si="250"/>
        <v>ORD26002335</v>
      </c>
      <c r="P5374" s="23" t="str">
        <f t="shared" si="251"/>
        <v>Oct-Due</v>
      </c>
      <c r="Q5374" s="23" t="str">
        <f>IF(F5374="CAPTURE",IF(COUNTIF(orders!$A:$A,O5374)&gt;0,"Yes","NO ORDER"),"")</f>
        <v>Yes</v>
      </c>
    </row>
    <row r="5375" spans="1:17" ht="15" customHeight="1" x14ac:dyDescent="0.3">
      <c r="A5375" s="23" t="s">
        <v>18599</v>
      </c>
      <c r="B5375" s="23"/>
      <c r="C5375" s="23" t="s">
        <v>5243</v>
      </c>
      <c r="D5375" s="23" t="str">
        <f t="shared" si="249"/>
        <v>ORD26002375</v>
      </c>
      <c r="E5375" s="38">
        <v>46294</v>
      </c>
      <c r="F5375" s="23" t="s">
        <v>12410</v>
      </c>
      <c r="G5375" s="23" t="s">
        <v>75</v>
      </c>
      <c r="H5375" s="24">
        <v>799</v>
      </c>
      <c r="I5375" s="24">
        <v>0</v>
      </c>
      <c r="J5375" s="24">
        <v>0</v>
      </c>
      <c r="K5375" s="24">
        <v>799</v>
      </c>
      <c r="L5375" s="38">
        <v>46296</v>
      </c>
      <c r="M5375" s="23" t="s">
        <v>108</v>
      </c>
      <c r="N5375" s="23" t="str">
        <f>IF(COUNTIF($A$2:A5375,A5375)&gt;1,"DUP","OK")</f>
        <v>OK</v>
      </c>
      <c r="O5375" s="23" t="str">
        <f t="shared" si="250"/>
        <v>ORD26002375</v>
      </c>
      <c r="P5375" s="23" t="str">
        <f t="shared" si="251"/>
        <v>Oct-Due</v>
      </c>
      <c r="Q5375" s="23" t="str">
        <f>IF(F5375="CAPTURE",IF(COUNTIF(orders!$A:$A,O5375)&gt;0,"Yes","NO ORDER"),"")</f>
        <v>Yes</v>
      </c>
    </row>
    <row r="5376" spans="1:17" ht="15" customHeight="1" x14ac:dyDescent="0.3">
      <c r="A5376" s="23" t="s">
        <v>18600</v>
      </c>
      <c r="B5376" s="23"/>
      <c r="C5376" s="23" t="s">
        <v>5265</v>
      </c>
      <c r="D5376" s="23" t="str">
        <f t="shared" si="249"/>
        <v>ORD26002386</v>
      </c>
      <c r="E5376" s="38">
        <v>46294</v>
      </c>
      <c r="F5376" s="23" t="s">
        <v>12410</v>
      </c>
      <c r="G5376" s="23" t="s">
        <v>75</v>
      </c>
      <c r="H5376" s="24">
        <v>7797</v>
      </c>
      <c r="I5376" s="24">
        <v>23.39</v>
      </c>
      <c r="J5376" s="24">
        <v>4.21</v>
      </c>
      <c r="K5376" s="24">
        <v>7769.4</v>
      </c>
      <c r="L5376" s="38">
        <v>46296</v>
      </c>
      <c r="M5376" s="23" t="s">
        <v>108</v>
      </c>
      <c r="N5376" s="23" t="str">
        <f>IF(COUNTIF($A$2:A5376,A5376)&gt;1,"DUP","OK")</f>
        <v>OK</v>
      </c>
      <c r="O5376" s="23" t="str">
        <f t="shared" si="250"/>
        <v>ORD26002386</v>
      </c>
      <c r="P5376" s="23" t="str">
        <f t="shared" si="251"/>
        <v>Oct-Due</v>
      </c>
      <c r="Q5376" s="23" t="str">
        <f>IF(F5376="CAPTURE",IF(COUNTIF(orders!$A:$A,O5376)&gt;0,"Yes","NO ORDER"),"")</f>
        <v>Yes</v>
      </c>
    </row>
    <row r="5377" spans="1:17" ht="15" customHeight="1" x14ac:dyDescent="0.3">
      <c r="A5377" s="23" t="s">
        <v>18601</v>
      </c>
      <c r="B5377" s="23"/>
      <c r="C5377" s="23" t="s">
        <v>5335</v>
      </c>
      <c r="D5377" s="23" t="str">
        <f t="shared" si="249"/>
        <v>ORD26002422</v>
      </c>
      <c r="E5377" s="38">
        <v>46294</v>
      </c>
      <c r="F5377" s="23" t="s">
        <v>12410</v>
      </c>
      <c r="G5377" s="23" t="s">
        <v>75</v>
      </c>
      <c r="H5377" s="24">
        <v>6498</v>
      </c>
      <c r="I5377" s="24">
        <v>19.489999999999998</v>
      </c>
      <c r="J5377" s="24">
        <v>3.51</v>
      </c>
      <c r="K5377" s="24">
        <v>6475</v>
      </c>
      <c r="L5377" s="38">
        <v>46296</v>
      </c>
      <c r="M5377" s="23" t="s">
        <v>108</v>
      </c>
      <c r="N5377" s="23" t="str">
        <f>IF(COUNTIF($A$2:A5377,A5377)&gt;1,"DUP","OK")</f>
        <v>OK</v>
      </c>
      <c r="O5377" s="23" t="str">
        <f t="shared" si="250"/>
        <v>ORD26002422</v>
      </c>
      <c r="P5377" s="23" t="str">
        <f t="shared" si="251"/>
        <v>Oct-Due</v>
      </c>
      <c r="Q5377" s="23" t="str">
        <f>IF(F5377="CAPTURE",IF(COUNTIF(orders!$A:$A,O5377)&gt;0,"Yes","NO ORDER"),"")</f>
        <v>Yes</v>
      </c>
    </row>
    <row r="5378" spans="1:17" ht="15" customHeight="1" x14ac:dyDescent="0.3">
      <c r="A5378" s="23" t="s">
        <v>18602</v>
      </c>
      <c r="B5378" s="23"/>
      <c r="C5378" s="23" t="s">
        <v>18603</v>
      </c>
      <c r="D5378" s="23" t="str">
        <f t="shared" ref="D5378:D5441" si="252">UPPER(SUBSTITUTE(TRIM(C5378),"-",""))</f>
        <v>ORD26002439</v>
      </c>
      <c r="E5378" s="38">
        <v>46294</v>
      </c>
      <c r="F5378" s="23" t="s">
        <v>12410</v>
      </c>
      <c r="G5378" s="23" t="s">
        <v>75</v>
      </c>
      <c r="H5378" s="24">
        <v>3798</v>
      </c>
      <c r="I5378" s="24">
        <v>11.39</v>
      </c>
      <c r="J5378" s="24">
        <v>2.0499999999999998</v>
      </c>
      <c r="K5378" s="24">
        <v>3784.56</v>
      </c>
      <c r="L5378" s="38">
        <v>46296</v>
      </c>
      <c r="M5378" s="23" t="s">
        <v>108</v>
      </c>
      <c r="N5378" s="23" t="str">
        <f>IF(COUNTIF($A$2:A5378,A5378)&gt;1,"DUP","OK")</f>
        <v>OK</v>
      </c>
      <c r="O5378" s="23" t="str">
        <f t="shared" ref="O5378:O5441" si="253">IF(F5378="REFUND",INDEX($D:$D,MATCH(B5378,$A:$A,0)),D5378)</f>
        <v>ORD26002439</v>
      </c>
      <c r="P5378" s="23" t="str">
        <f t="shared" ref="P5378:P5441" si="254">IF(L5378&gt;DATE(2026,9,30),"Oct-Due","Sep")</f>
        <v>Oct-Due</v>
      </c>
      <c r="Q5378" s="23" t="str">
        <f>IF(F5378="CAPTURE",IF(COUNTIF(orders!$A:$A,O5378)&gt;0,"Yes","NO ORDER"),"")</f>
        <v>Yes</v>
      </c>
    </row>
    <row r="5379" spans="1:17" ht="15" customHeight="1" x14ac:dyDescent="0.3">
      <c r="A5379" s="23" t="s">
        <v>18604</v>
      </c>
      <c r="B5379" s="23"/>
      <c r="C5379" s="23" t="s">
        <v>5383</v>
      </c>
      <c r="D5379" s="23" t="str">
        <f t="shared" si="252"/>
        <v>ORD26002446</v>
      </c>
      <c r="E5379" s="38">
        <v>46294</v>
      </c>
      <c r="F5379" s="23" t="s">
        <v>12410</v>
      </c>
      <c r="G5379" s="23" t="s">
        <v>79</v>
      </c>
      <c r="H5379" s="24">
        <v>9498</v>
      </c>
      <c r="I5379" s="24">
        <v>151.97</v>
      </c>
      <c r="J5379" s="24">
        <v>27.35</v>
      </c>
      <c r="K5379" s="24">
        <v>9318.68</v>
      </c>
      <c r="L5379" s="38">
        <v>46296</v>
      </c>
      <c r="M5379" s="23" t="s">
        <v>108</v>
      </c>
      <c r="N5379" s="23" t="str">
        <f>IF(COUNTIF($A$2:A5379,A5379)&gt;1,"DUP","OK")</f>
        <v>OK</v>
      </c>
      <c r="O5379" s="23" t="str">
        <f t="shared" si="253"/>
        <v>ORD26002446</v>
      </c>
      <c r="P5379" s="23" t="str">
        <f t="shared" si="254"/>
        <v>Oct-Due</v>
      </c>
      <c r="Q5379" s="23" t="str">
        <f>IF(F5379="CAPTURE",IF(COUNTIF(orders!$A:$A,O5379)&gt;0,"Yes","NO ORDER"),"")</f>
        <v>Yes</v>
      </c>
    </row>
    <row r="5380" spans="1:17" ht="15" customHeight="1" x14ac:dyDescent="0.3">
      <c r="A5380" s="23" t="s">
        <v>18605</v>
      </c>
      <c r="B5380" s="23"/>
      <c r="C5380" s="23" t="s">
        <v>5409</v>
      </c>
      <c r="D5380" s="23" t="str">
        <f t="shared" si="252"/>
        <v>ORD26002459</v>
      </c>
      <c r="E5380" s="38">
        <v>46294</v>
      </c>
      <c r="F5380" s="23" t="s">
        <v>12410</v>
      </c>
      <c r="G5380" s="23" t="s">
        <v>77</v>
      </c>
      <c r="H5380" s="24">
        <v>8797</v>
      </c>
      <c r="I5380" s="24">
        <v>149.55000000000001</v>
      </c>
      <c r="J5380" s="24">
        <v>26.92</v>
      </c>
      <c r="K5380" s="24">
        <v>8620.5300000000007</v>
      </c>
      <c r="L5380" s="38">
        <v>46296</v>
      </c>
      <c r="M5380" s="23" t="s">
        <v>108</v>
      </c>
      <c r="N5380" s="23" t="str">
        <f>IF(COUNTIF($A$2:A5380,A5380)&gt;1,"DUP","OK")</f>
        <v>OK</v>
      </c>
      <c r="O5380" s="23" t="str">
        <f t="shared" si="253"/>
        <v>ORD26002459</v>
      </c>
      <c r="P5380" s="23" t="str">
        <f t="shared" si="254"/>
        <v>Oct-Due</v>
      </c>
      <c r="Q5380" s="23" t="str">
        <f>IF(F5380="CAPTURE",IF(COUNTIF(orders!$A:$A,O5380)&gt;0,"Yes","NO ORDER"),"")</f>
        <v>Yes</v>
      </c>
    </row>
    <row r="5381" spans="1:17" ht="15" customHeight="1" x14ac:dyDescent="0.3">
      <c r="A5381" s="23" t="s">
        <v>18606</v>
      </c>
      <c r="B5381" s="23"/>
      <c r="C5381" s="23" t="s">
        <v>5497</v>
      </c>
      <c r="D5381" s="23" t="str">
        <f t="shared" si="252"/>
        <v>ORD26002504</v>
      </c>
      <c r="E5381" s="38">
        <v>46294</v>
      </c>
      <c r="F5381" s="23" t="s">
        <v>12410</v>
      </c>
      <c r="G5381" s="23" t="s">
        <v>75</v>
      </c>
      <c r="H5381" s="24">
        <v>1798</v>
      </c>
      <c r="I5381" s="24">
        <v>0</v>
      </c>
      <c r="J5381" s="24">
        <v>0</v>
      </c>
      <c r="K5381" s="24">
        <v>1798</v>
      </c>
      <c r="L5381" s="38">
        <v>46296</v>
      </c>
      <c r="M5381" s="23" t="s">
        <v>108</v>
      </c>
      <c r="N5381" s="23" t="str">
        <f>IF(COUNTIF($A$2:A5381,A5381)&gt;1,"DUP","OK")</f>
        <v>OK</v>
      </c>
      <c r="O5381" s="23" t="str">
        <f t="shared" si="253"/>
        <v>ORD26002504</v>
      </c>
      <c r="P5381" s="23" t="str">
        <f t="shared" si="254"/>
        <v>Oct-Due</v>
      </c>
      <c r="Q5381" s="23" t="str">
        <f>IF(F5381="CAPTURE",IF(COUNTIF(orders!$A:$A,O5381)&gt;0,"Yes","NO ORDER"),"")</f>
        <v>Yes</v>
      </c>
    </row>
    <row r="5382" spans="1:17" ht="15" customHeight="1" x14ac:dyDescent="0.3">
      <c r="A5382" s="23" t="s">
        <v>18607</v>
      </c>
      <c r="B5382" s="23"/>
      <c r="C5382" s="23" t="s">
        <v>5533</v>
      </c>
      <c r="D5382" s="23" t="str">
        <f t="shared" si="252"/>
        <v>ORD26002521</v>
      </c>
      <c r="E5382" s="38">
        <v>46294</v>
      </c>
      <c r="F5382" s="23" t="s">
        <v>12410</v>
      </c>
      <c r="G5382" s="23" t="s">
        <v>75</v>
      </c>
      <c r="H5382" s="24">
        <v>499</v>
      </c>
      <c r="I5382" s="24">
        <v>0</v>
      </c>
      <c r="J5382" s="24">
        <v>0</v>
      </c>
      <c r="K5382" s="24">
        <v>499</v>
      </c>
      <c r="L5382" s="38">
        <v>46296</v>
      </c>
      <c r="M5382" s="23" t="s">
        <v>108</v>
      </c>
      <c r="N5382" s="23" t="str">
        <f>IF(COUNTIF($A$2:A5382,A5382)&gt;1,"DUP","OK")</f>
        <v>OK</v>
      </c>
      <c r="O5382" s="23" t="str">
        <f t="shared" si="253"/>
        <v>ORD26002521</v>
      </c>
      <c r="P5382" s="23" t="str">
        <f t="shared" si="254"/>
        <v>Oct-Due</v>
      </c>
      <c r="Q5382" s="23" t="str">
        <f>IF(F5382="CAPTURE",IF(COUNTIF(orders!$A:$A,O5382)&gt;0,"Yes","NO ORDER"),"")</f>
        <v>Yes</v>
      </c>
    </row>
    <row r="5383" spans="1:17" ht="15" customHeight="1" x14ac:dyDescent="0.3">
      <c r="A5383" s="23" t="s">
        <v>18608</v>
      </c>
      <c r="B5383" s="23"/>
      <c r="C5383" s="23" t="s">
        <v>5710</v>
      </c>
      <c r="D5383" s="23" t="str">
        <f t="shared" si="252"/>
        <v>ORD26002608</v>
      </c>
      <c r="E5383" s="38">
        <v>46294</v>
      </c>
      <c r="F5383" s="23" t="s">
        <v>12410</v>
      </c>
      <c r="G5383" s="23" t="s">
        <v>75</v>
      </c>
      <c r="H5383" s="24">
        <v>349</v>
      </c>
      <c r="I5383" s="24">
        <v>0</v>
      </c>
      <c r="J5383" s="24">
        <v>0</v>
      </c>
      <c r="K5383" s="24">
        <v>349</v>
      </c>
      <c r="L5383" s="38">
        <v>46296</v>
      </c>
      <c r="M5383" s="23" t="s">
        <v>108</v>
      </c>
      <c r="N5383" s="23" t="str">
        <f>IF(COUNTIF($A$2:A5383,A5383)&gt;1,"DUP","OK")</f>
        <v>OK</v>
      </c>
      <c r="O5383" s="23" t="str">
        <f t="shared" si="253"/>
        <v>ORD26002608</v>
      </c>
      <c r="P5383" s="23" t="str">
        <f t="shared" si="254"/>
        <v>Oct-Due</v>
      </c>
      <c r="Q5383" s="23" t="str">
        <f>IF(F5383="CAPTURE",IF(COUNTIF(orders!$A:$A,O5383)&gt;0,"Yes","NO ORDER"),"")</f>
        <v>Yes</v>
      </c>
    </row>
    <row r="5384" spans="1:17" ht="15" customHeight="1" x14ac:dyDescent="0.3">
      <c r="A5384" s="23" t="s">
        <v>18609</v>
      </c>
      <c r="B5384" s="23"/>
      <c r="C5384" s="23" t="s">
        <v>5754</v>
      </c>
      <c r="D5384" s="23" t="str">
        <f t="shared" si="252"/>
        <v>ORD26002630</v>
      </c>
      <c r="E5384" s="38">
        <v>46294</v>
      </c>
      <c r="F5384" s="23" t="s">
        <v>12410</v>
      </c>
      <c r="G5384" s="23" t="s">
        <v>75</v>
      </c>
      <c r="H5384" s="24">
        <v>1298</v>
      </c>
      <c r="I5384" s="24">
        <v>0</v>
      </c>
      <c r="J5384" s="24">
        <v>0</v>
      </c>
      <c r="K5384" s="24">
        <v>1298</v>
      </c>
      <c r="L5384" s="38">
        <v>46296</v>
      </c>
      <c r="M5384" s="23" t="s">
        <v>108</v>
      </c>
      <c r="N5384" s="23" t="str">
        <f>IF(COUNTIF($A$2:A5384,A5384)&gt;1,"DUP","OK")</f>
        <v>OK</v>
      </c>
      <c r="O5384" s="23" t="str">
        <f t="shared" si="253"/>
        <v>ORD26002630</v>
      </c>
      <c r="P5384" s="23" t="str">
        <f t="shared" si="254"/>
        <v>Oct-Due</v>
      </c>
      <c r="Q5384" s="23" t="str">
        <f>IF(F5384="CAPTURE",IF(COUNTIF(orders!$A:$A,O5384)&gt;0,"Yes","NO ORDER"),"")</f>
        <v>Yes</v>
      </c>
    </row>
    <row r="5385" spans="1:17" ht="15" customHeight="1" x14ac:dyDescent="0.3">
      <c r="A5385" s="23" t="s">
        <v>18610</v>
      </c>
      <c r="B5385" s="23"/>
      <c r="C5385" s="23" t="s">
        <v>18611</v>
      </c>
      <c r="D5385" s="23" t="str">
        <f t="shared" si="252"/>
        <v>ORD26002674</v>
      </c>
      <c r="E5385" s="38">
        <v>46294</v>
      </c>
      <c r="F5385" s="23" t="s">
        <v>12410</v>
      </c>
      <c r="G5385" s="23" t="s">
        <v>75</v>
      </c>
      <c r="H5385" s="24">
        <v>2298</v>
      </c>
      <c r="I5385" s="24">
        <v>6.89</v>
      </c>
      <c r="J5385" s="24">
        <v>1.24</v>
      </c>
      <c r="K5385" s="24">
        <v>2289.87</v>
      </c>
      <c r="L5385" s="38">
        <v>46296</v>
      </c>
      <c r="M5385" s="23" t="s">
        <v>108</v>
      </c>
      <c r="N5385" s="23" t="str">
        <f>IF(COUNTIF($A$2:A5385,A5385)&gt;1,"DUP","OK")</f>
        <v>OK</v>
      </c>
      <c r="O5385" s="23" t="str">
        <f t="shared" si="253"/>
        <v>ORD26002674</v>
      </c>
      <c r="P5385" s="23" t="str">
        <f t="shared" si="254"/>
        <v>Oct-Due</v>
      </c>
      <c r="Q5385" s="23" t="str">
        <f>IF(F5385="CAPTURE",IF(COUNTIF(orders!$A:$A,O5385)&gt;0,"Yes","NO ORDER"),"")</f>
        <v>Yes</v>
      </c>
    </row>
    <row r="5386" spans="1:17" ht="15" customHeight="1" x14ac:dyDescent="0.3">
      <c r="A5386" s="23" t="s">
        <v>18612</v>
      </c>
      <c r="B5386" s="23"/>
      <c r="C5386" s="23" t="s">
        <v>5866</v>
      </c>
      <c r="D5386" s="23" t="str">
        <f t="shared" si="252"/>
        <v>ORD26002685</v>
      </c>
      <c r="E5386" s="38">
        <v>46294</v>
      </c>
      <c r="F5386" s="23" t="s">
        <v>12410</v>
      </c>
      <c r="G5386" s="23" t="s">
        <v>75</v>
      </c>
      <c r="H5386" s="24">
        <v>7999</v>
      </c>
      <c r="I5386" s="24">
        <v>24</v>
      </c>
      <c r="J5386" s="24">
        <v>4.32</v>
      </c>
      <c r="K5386" s="24">
        <v>7970.68</v>
      </c>
      <c r="L5386" s="38">
        <v>46296</v>
      </c>
      <c r="M5386" s="23" t="s">
        <v>108</v>
      </c>
      <c r="N5386" s="23" t="str">
        <f>IF(COUNTIF($A$2:A5386,A5386)&gt;1,"DUP","OK")</f>
        <v>OK</v>
      </c>
      <c r="O5386" s="23" t="str">
        <f t="shared" si="253"/>
        <v>ORD26002685</v>
      </c>
      <c r="P5386" s="23" t="str">
        <f t="shared" si="254"/>
        <v>Oct-Due</v>
      </c>
      <c r="Q5386" s="23" t="str">
        <f>IF(F5386="CAPTURE",IF(COUNTIF(orders!$A:$A,O5386)&gt;0,"Yes","NO ORDER"),"")</f>
        <v>Yes</v>
      </c>
    </row>
    <row r="5387" spans="1:17" ht="15" customHeight="1" x14ac:dyDescent="0.3">
      <c r="A5387" s="23" t="s">
        <v>18613</v>
      </c>
      <c r="B5387" s="23"/>
      <c r="C5387" s="23" t="s">
        <v>5876</v>
      </c>
      <c r="D5387" s="23" t="str">
        <f t="shared" si="252"/>
        <v>ORD26002690</v>
      </c>
      <c r="E5387" s="38">
        <v>46294</v>
      </c>
      <c r="F5387" s="23" t="s">
        <v>12410</v>
      </c>
      <c r="G5387" s="23" t="s">
        <v>75</v>
      </c>
      <c r="H5387" s="24">
        <v>2798</v>
      </c>
      <c r="I5387" s="24">
        <v>8.39</v>
      </c>
      <c r="J5387" s="24">
        <v>1.51</v>
      </c>
      <c r="K5387" s="24">
        <v>2788.1</v>
      </c>
      <c r="L5387" s="38">
        <v>46296</v>
      </c>
      <c r="M5387" s="23" t="s">
        <v>108</v>
      </c>
      <c r="N5387" s="23" t="str">
        <f>IF(COUNTIF($A$2:A5387,A5387)&gt;1,"DUP","OK")</f>
        <v>OK</v>
      </c>
      <c r="O5387" s="23" t="str">
        <f t="shared" si="253"/>
        <v>ORD26002690</v>
      </c>
      <c r="P5387" s="23" t="str">
        <f t="shared" si="254"/>
        <v>Oct-Due</v>
      </c>
      <c r="Q5387" s="23" t="str">
        <f>IF(F5387="CAPTURE",IF(COUNTIF(orders!$A:$A,O5387)&gt;0,"Yes","NO ORDER"),"")</f>
        <v>Yes</v>
      </c>
    </row>
    <row r="5388" spans="1:17" ht="15" customHeight="1" x14ac:dyDescent="0.3">
      <c r="A5388" s="23" t="s">
        <v>18614</v>
      </c>
      <c r="B5388" s="23"/>
      <c r="C5388" s="23" t="s">
        <v>5914</v>
      </c>
      <c r="D5388" s="23" t="str">
        <f t="shared" si="252"/>
        <v>ORD26002709</v>
      </c>
      <c r="E5388" s="38">
        <v>46294</v>
      </c>
      <c r="F5388" s="23" t="s">
        <v>12410</v>
      </c>
      <c r="G5388" s="23" t="s">
        <v>81</v>
      </c>
      <c r="H5388" s="24">
        <v>12297</v>
      </c>
      <c r="I5388" s="24">
        <v>110.67</v>
      </c>
      <c r="J5388" s="24">
        <v>19.920000000000002</v>
      </c>
      <c r="K5388" s="24">
        <v>12166.41</v>
      </c>
      <c r="L5388" s="38">
        <v>46296</v>
      </c>
      <c r="M5388" s="23" t="s">
        <v>108</v>
      </c>
      <c r="N5388" s="23" t="str">
        <f>IF(COUNTIF($A$2:A5388,A5388)&gt;1,"DUP","OK")</f>
        <v>OK</v>
      </c>
      <c r="O5388" s="23" t="str">
        <f t="shared" si="253"/>
        <v>ORD26002709</v>
      </c>
      <c r="P5388" s="23" t="str">
        <f t="shared" si="254"/>
        <v>Oct-Due</v>
      </c>
      <c r="Q5388" s="23" t="str">
        <f>IF(F5388="CAPTURE",IF(COUNTIF(orders!$A:$A,O5388)&gt;0,"Yes","NO ORDER"),"")</f>
        <v>Yes</v>
      </c>
    </row>
    <row r="5389" spans="1:17" ht="15" customHeight="1" x14ac:dyDescent="0.3">
      <c r="A5389" s="23" t="s">
        <v>18615</v>
      </c>
      <c r="B5389" s="23"/>
      <c r="C5389" s="23" t="s">
        <v>5976</v>
      </c>
      <c r="D5389" s="23" t="str">
        <f t="shared" si="252"/>
        <v>ORD26002740</v>
      </c>
      <c r="E5389" s="38">
        <v>46294</v>
      </c>
      <c r="F5389" s="23" t="s">
        <v>12410</v>
      </c>
      <c r="G5389" s="23" t="s">
        <v>75</v>
      </c>
      <c r="H5389" s="24">
        <v>1499</v>
      </c>
      <c r="I5389" s="24">
        <v>0</v>
      </c>
      <c r="J5389" s="24">
        <v>0</v>
      </c>
      <c r="K5389" s="24">
        <v>1499</v>
      </c>
      <c r="L5389" s="38">
        <v>46296</v>
      </c>
      <c r="M5389" s="23" t="s">
        <v>108</v>
      </c>
      <c r="N5389" s="23" t="str">
        <f>IF(COUNTIF($A$2:A5389,A5389)&gt;1,"DUP","OK")</f>
        <v>OK</v>
      </c>
      <c r="O5389" s="23" t="str">
        <f t="shared" si="253"/>
        <v>ORD26002740</v>
      </c>
      <c r="P5389" s="23" t="str">
        <f t="shared" si="254"/>
        <v>Oct-Due</v>
      </c>
      <c r="Q5389" s="23" t="str">
        <f>IF(F5389="CAPTURE",IF(COUNTIF(orders!$A:$A,O5389)&gt;0,"Yes","NO ORDER"),"")</f>
        <v>Yes</v>
      </c>
    </row>
    <row r="5390" spans="1:17" ht="15" customHeight="1" x14ac:dyDescent="0.3">
      <c r="A5390" s="23" t="s">
        <v>18616</v>
      </c>
      <c r="B5390" s="23"/>
      <c r="C5390" s="23" t="s">
        <v>6028</v>
      </c>
      <c r="D5390" s="23" t="str">
        <f t="shared" si="252"/>
        <v>ORD26002765</v>
      </c>
      <c r="E5390" s="38">
        <v>46294</v>
      </c>
      <c r="F5390" s="23" t="s">
        <v>12410</v>
      </c>
      <c r="G5390" s="23" t="s">
        <v>75</v>
      </c>
      <c r="H5390" s="24">
        <v>10847</v>
      </c>
      <c r="I5390" s="24">
        <v>32.54</v>
      </c>
      <c r="J5390" s="24">
        <v>5.86</v>
      </c>
      <c r="K5390" s="24">
        <v>10808.6</v>
      </c>
      <c r="L5390" s="38">
        <v>46296</v>
      </c>
      <c r="M5390" s="23" t="s">
        <v>108</v>
      </c>
      <c r="N5390" s="23" t="str">
        <f>IF(COUNTIF($A$2:A5390,A5390)&gt;1,"DUP","OK")</f>
        <v>OK</v>
      </c>
      <c r="O5390" s="23" t="str">
        <f t="shared" si="253"/>
        <v>ORD26002765</v>
      </c>
      <c r="P5390" s="23" t="str">
        <f t="shared" si="254"/>
        <v>Oct-Due</v>
      </c>
      <c r="Q5390" s="23" t="str">
        <f>IF(F5390="CAPTURE",IF(COUNTIF(orders!$A:$A,O5390)&gt;0,"Yes","NO ORDER"),"")</f>
        <v>Yes</v>
      </c>
    </row>
    <row r="5391" spans="1:17" ht="15" customHeight="1" x14ac:dyDescent="0.3">
      <c r="A5391" s="23" t="s">
        <v>18617</v>
      </c>
      <c r="B5391" s="23"/>
      <c r="C5391" s="23" t="s">
        <v>18618</v>
      </c>
      <c r="D5391" s="23" t="str">
        <f t="shared" si="252"/>
        <v>ORD26002866</v>
      </c>
      <c r="E5391" s="38">
        <v>46294</v>
      </c>
      <c r="F5391" s="23" t="s">
        <v>12410</v>
      </c>
      <c r="G5391" s="23" t="s">
        <v>77</v>
      </c>
      <c r="H5391" s="24">
        <v>7497</v>
      </c>
      <c r="I5391" s="24">
        <v>127.45</v>
      </c>
      <c r="J5391" s="24">
        <v>22.94</v>
      </c>
      <c r="K5391" s="24">
        <v>7346.61</v>
      </c>
      <c r="L5391" s="38">
        <v>46296</v>
      </c>
      <c r="M5391" s="23" t="s">
        <v>108</v>
      </c>
      <c r="N5391" s="23" t="str">
        <f>IF(COUNTIF($A$2:A5391,A5391)&gt;1,"DUP","OK")</f>
        <v>OK</v>
      </c>
      <c r="O5391" s="23" t="str">
        <f t="shared" si="253"/>
        <v>ORD26002866</v>
      </c>
      <c r="P5391" s="23" t="str">
        <f t="shared" si="254"/>
        <v>Oct-Due</v>
      </c>
      <c r="Q5391" s="23" t="str">
        <f>IF(F5391="CAPTURE",IF(COUNTIF(orders!$A:$A,O5391)&gt;0,"Yes","NO ORDER"),"")</f>
        <v>Yes</v>
      </c>
    </row>
    <row r="5392" spans="1:17" ht="15" customHeight="1" x14ac:dyDescent="0.3">
      <c r="A5392" s="23" t="s">
        <v>18619</v>
      </c>
      <c r="B5392" s="23"/>
      <c r="C5392" s="23" t="s">
        <v>18620</v>
      </c>
      <c r="D5392" s="23" t="str">
        <f t="shared" si="252"/>
        <v>ORD26002882</v>
      </c>
      <c r="E5392" s="38">
        <v>46294</v>
      </c>
      <c r="F5392" s="23" t="s">
        <v>12410</v>
      </c>
      <c r="G5392" s="23" t="s">
        <v>75</v>
      </c>
      <c r="H5392" s="24">
        <v>6498</v>
      </c>
      <c r="I5392" s="24">
        <v>19.489999999999998</v>
      </c>
      <c r="J5392" s="24">
        <v>3.51</v>
      </c>
      <c r="K5392" s="24">
        <v>6475</v>
      </c>
      <c r="L5392" s="38">
        <v>46296</v>
      </c>
      <c r="M5392" s="23" t="s">
        <v>108</v>
      </c>
      <c r="N5392" s="23" t="str">
        <f>IF(COUNTIF($A$2:A5392,A5392)&gt;1,"DUP","OK")</f>
        <v>OK</v>
      </c>
      <c r="O5392" s="23" t="str">
        <f t="shared" si="253"/>
        <v>ORD26002882</v>
      </c>
      <c r="P5392" s="23" t="str">
        <f t="shared" si="254"/>
        <v>Oct-Due</v>
      </c>
      <c r="Q5392" s="23" t="str">
        <f>IF(F5392="CAPTURE",IF(COUNTIF(orders!$A:$A,O5392)&gt;0,"Yes","NO ORDER"),"")</f>
        <v>Yes</v>
      </c>
    </row>
    <row r="5393" spans="1:17" ht="15" customHeight="1" x14ac:dyDescent="0.3">
      <c r="A5393" s="23" t="s">
        <v>18621</v>
      </c>
      <c r="B5393" s="23"/>
      <c r="C5393" s="23" t="s">
        <v>6310</v>
      </c>
      <c r="D5393" s="23" t="str">
        <f t="shared" si="252"/>
        <v>ORD26002908</v>
      </c>
      <c r="E5393" s="38">
        <v>46294</v>
      </c>
      <c r="F5393" s="23" t="s">
        <v>12410</v>
      </c>
      <c r="G5393" s="23" t="s">
        <v>79</v>
      </c>
      <c r="H5393" s="24">
        <v>3499</v>
      </c>
      <c r="I5393" s="24">
        <v>55.98</v>
      </c>
      <c r="J5393" s="24">
        <v>10.08</v>
      </c>
      <c r="K5393" s="24">
        <v>3432.94</v>
      </c>
      <c r="L5393" s="38">
        <v>46296</v>
      </c>
      <c r="M5393" s="23" t="s">
        <v>108</v>
      </c>
      <c r="N5393" s="23" t="str">
        <f>IF(COUNTIF($A$2:A5393,A5393)&gt;1,"DUP","OK")</f>
        <v>OK</v>
      </c>
      <c r="O5393" s="23" t="str">
        <f t="shared" si="253"/>
        <v>ORD26002908</v>
      </c>
      <c r="P5393" s="23" t="str">
        <f t="shared" si="254"/>
        <v>Oct-Due</v>
      </c>
      <c r="Q5393" s="23" t="str">
        <f>IF(F5393="CAPTURE",IF(COUNTIF(orders!$A:$A,O5393)&gt;0,"Yes","NO ORDER"),"")</f>
        <v>Yes</v>
      </c>
    </row>
    <row r="5394" spans="1:17" ht="15" customHeight="1" x14ac:dyDescent="0.3">
      <c r="A5394" s="23" t="s">
        <v>18622</v>
      </c>
      <c r="B5394" s="23"/>
      <c r="C5394" s="23" t="s">
        <v>6423</v>
      </c>
      <c r="D5394" s="23" t="str">
        <f t="shared" si="252"/>
        <v>ORD26002964</v>
      </c>
      <c r="E5394" s="38">
        <v>46294</v>
      </c>
      <c r="F5394" s="23" t="s">
        <v>12410</v>
      </c>
      <c r="G5394" s="23" t="s">
        <v>79</v>
      </c>
      <c r="H5394" s="24">
        <v>7498</v>
      </c>
      <c r="I5394" s="24">
        <v>119.97</v>
      </c>
      <c r="J5394" s="24">
        <v>21.59</v>
      </c>
      <c r="K5394" s="24">
        <v>7356.44</v>
      </c>
      <c r="L5394" s="38">
        <v>46296</v>
      </c>
      <c r="M5394" s="23" t="s">
        <v>108</v>
      </c>
      <c r="N5394" s="23" t="str">
        <f>IF(COUNTIF($A$2:A5394,A5394)&gt;1,"DUP","OK")</f>
        <v>OK</v>
      </c>
      <c r="O5394" s="23" t="str">
        <f t="shared" si="253"/>
        <v>ORD26002964</v>
      </c>
      <c r="P5394" s="23" t="str">
        <f t="shared" si="254"/>
        <v>Oct-Due</v>
      </c>
      <c r="Q5394" s="23" t="str">
        <f>IF(F5394="CAPTURE",IF(COUNTIF(orders!$A:$A,O5394)&gt;0,"Yes","NO ORDER"),"")</f>
        <v>Yes</v>
      </c>
    </row>
    <row r="5395" spans="1:17" ht="15" customHeight="1" x14ac:dyDescent="0.3">
      <c r="A5395" s="23" t="s">
        <v>18623</v>
      </c>
      <c r="B5395" s="23"/>
      <c r="C5395" s="23" t="s">
        <v>6438</v>
      </c>
      <c r="D5395" s="23" t="str">
        <f t="shared" si="252"/>
        <v>ORD26002971</v>
      </c>
      <c r="E5395" s="38">
        <v>46294</v>
      </c>
      <c r="F5395" s="23" t="s">
        <v>12410</v>
      </c>
      <c r="G5395" s="23" t="s">
        <v>77</v>
      </c>
      <c r="H5395" s="24">
        <v>3297</v>
      </c>
      <c r="I5395" s="24">
        <v>56.05</v>
      </c>
      <c r="J5395" s="24">
        <v>10.09</v>
      </c>
      <c r="K5395" s="24">
        <v>3230.86</v>
      </c>
      <c r="L5395" s="38">
        <v>46296</v>
      </c>
      <c r="M5395" s="23" t="s">
        <v>108</v>
      </c>
      <c r="N5395" s="23" t="str">
        <f>IF(COUNTIF($A$2:A5395,A5395)&gt;1,"DUP","OK")</f>
        <v>OK</v>
      </c>
      <c r="O5395" s="23" t="str">
        <f t="shared" si="253"/>
        <v>ORD26002971</v>
      </c>
      <c r="P5395" s="23" t="str">
        <f t="shared" si="254"/>
        <v>Oct-Due</v>
      </c>
      <c r="Q5395" s="23" t="str">
        <f>IF(F5395="CAPTURE",IF(COUNTIF(orders!$A:$A,O5395)&gt;0,"Yes","NO ORDER"),"")</f>
        <v>Yes</v>
      </c>
    </row>
    <row r="5396" spans="1:17" ht="15" customHeight="1" x14ac:dyDescent="0.3">
      <c r="A5396" s="23" t="s">
        <v>18624</v>
      </c>
      <c r="B5396" s="23"/>
      <c r="C5396" s="23" t="s">
        <v>6467</v>
      </c>
      <c r="D5396" s="23" t="str">
        <f t="shared" si="252"/>
        <v>ORD26002986</v>
      </c>
      <c r="E5396" s="38">
        <v>46294</v>
      </c>
      <c r="F5396" s="23" t="s">
        <v>12410</v>
      </c>
      <c r="G5396" s="23" t="s">
        <v>79</v>
      </c>
      <c r="H5396" s="24">
        <v>4999</v>
      </c>
      <c r="I5396" s="24">
        <v>79.98</v>
      </c>
      <c r="J5396" s="24">
        <v>14.4</v>
      </c>
      <c r="K5396" s="24">
        <v>4904.62</v>
      </c>
      <c r="L5396" s="38">
        <v>46296</v>
      </c>
      <c r="M5396" s="23" t="s">
        <v>108</v>
      </c>
      <c r="N5396" s="23" t="str">
        <f>IF(COUNTIF($A$2:A5396,A5396)&gt;1,"DUP","OK")</f>
        <v>OK</v>
      </c>
      <c r="O5396" s="23" t="str">
        <f t="shared" si="253"/>
        <v>ORD26002986</v>
      </c>
      <c r="P5396" s="23" t="str">
        <f t="shared" si="254"/>
        <v>Oct-Due</v>
      </c>
      <c r="Q5396" s="23" t="str">
        <f>IF(F5396="CAPTURE",IF(COUNTIF(orders!$A:$A,O5396)&gt;0,"Yes","NO ORDER"),"")</f>
        <v>Yes</v>
      </c>
    </row>
    <row r="5397" spans="1:17" ht="15" customHeight="1" x14ac:dyDescent="0.3">
      <c r="A5397" s="23" t="s">
        <v>18625</v>
      </c>
      <c r="B5397" s="23"/>
      <c r="C5397" s="23" t="s">
        <v>6517</v>
      </c>
      <c r="D5397" s="23" t="str">
        <f t="shared" si="252"/>
        <v>ORD26003012</v>
      </c>
      <c r="E5397" s="38">
        <v>46294</v>
      </c>
      <c r="F5397" s="23" t="s">
        <v>12410</v>
      </c>
      <c r="G5397" s="23" t="s">
        <v>77</v>
      </c>
      <c r="H5397" s="24">
        <v>3497</v>
      </c>
      <c r="I5397" s="24">
        <v>59.45</v>
      </c>
      <c r="J5397" s="24">
        <v>10.7</v>
      </c>
      <c r="K5397" s="24">
        <v>3426.85</v>
      </c>
      <c r="L5397" s="38">
        <v>46296</v>
      </c>
      <c r="M5397" s="23" t="s">
        <v>108</v>
      </c>
      <c r="N5397" s="23" t="str">
        <f>IF(COUNTIF($A$2:A5397,A5397)&gt;1,"DUP","OK")</f>
        <v>OK</v>
      </c>
      <c r="O5397" s="23" t="str">
        <f t="shared" si="253"/>
        <v>ORD26003012</v>
      </c>
      <c r="P5397" s="23" t="str">
        <f t="shared" si="254"/>
        <v>Oct-Due</v>
      </c>
      <c r="Q5397" s="23" t="str">
        <f>IF(F5397="CAPTURE",IF(COUNTIF(orders!$A:$A,O5397)&gt;0,"Yes","NO ORDER"),"")</f>
        <v>Yes</v>
      </c>
    </row>
    <row r="5398" spans="1:17" ht="15" customHeight="1" x14ac:dyDescent="0.3">
      <c r="A5398" s="23" t="s">
        <v>18626</v>
      </c>
      <c r="B5398" s="23"/>
      <c r="C5398" s="23" t="s">
        <v>6546</v>
      </c>
      <c r="D5398" s="23" t="str">
        <f t="shared" si="252"/>
        <v>ORD26003026</v>
      </c>
      <c r="E5398" s="38">
        <v>46294</v>
      </c>
      <c r="F5398" s="23" t="s">
        <v>12410</v>
      </c>
      <c r="G5398" s="23" t="s">
        <v>75</v>
      </c>
      <c r="H5398" s="24">
        <v>4999</v>
      </c>
      <c r="I5398" s="24">
        <v>15</v>
      </c>
      <c r="J5398" s="24">
        <v>2.7</v>
      </c>
      <c r="K5398" s="24">
        <v>4981.3</v>
      </c>
      <c r="L5398" s="38">
        <v>46296</v>
      </c>
      <c r="M5398" s="23" t="s">
        <v>108</v>
      </c>
      <c r="N5398" s="23" t="str">
        <f>IF(COUNTIF($A$2:A5398,A5398)&gt;1,"DUP","OK")</f>
        <v>OK</v>
      </c>
      <c r="O5398" s="23" t="str">
        <f t="shared" si="253"/>
        <v>ORD26003026</v>
      </c>
      <c r="P5398" s="23" t="str">
        <f t="shared" si="254"/>
        <v>Oct-Due</v>
      </c>
      <c r="Q5398" s="23" t="str">
        <f>IF(F5398="CAPTURE",IF(COUNTIF(orders!$A:$A,O5398)&gt;0,"Yes","NO ORDER"),"")</f>
        <v>Yes</v>
      </c>
    </row>
    <row r="5399" spans="1:17" ht="15" customHeight="1" x14ac:dyDescent="0.3">
      <c r="A5399" s="23" t="s">
        <v>18627</v>
      </c>
      <c r="B5399" s="23"/>
      <c r="C5399" s="23" t="s">
        <v>6566</v>
      </c>
      <c r="D5399" s="23" t="str">
        <f t="shared" si="252"/>
        <v>ORD26003036</v>
      </c>
      <c r="E5399" s="38">
        <v>46294</v>
      </c>
      <c r="F5399" s="23" t="s">
        <v>12410</v>
      </c>
      <c r="G5399" s="23" t="s">
        <v>75</v>
      </c>
      <c r="H5399" s="24">
        <v>1299</v>
      </c>
      <c r="I5399" s="24">
        <v>0</v>
      </c>
      <c r="J5399" s="24">
        <v>0</v>
      </c>
      <c r="K5399" s="24">
        <v>1299</v>
      </c>
      <c r="L5399" s="38">
        <v>46296</v>
      </c>
      <c r="M5399" s="23" t="s">
        <v>108</v>
      </c>
      <c r="N5399" s="23" t="str">
        <f>IF(COUNTIF($A$2:A5399,A5399)&gt;1,"DUP","OK")</f>
        <v>OK</v>
      </c>
      <c r="O5399" s="23" t="str">
        <f t="shared" si="253"/>
        <v>ORD26003036</v>
      </c>
      <c r="P5399" s="23" t="str">
        <f t="shared" si="254"/>
        <v>Oct-Due</v>
      </c>
      <c r="Q5399" s="23" t="str">
        <f>IF(F5399="CAPTURE",IF(COUNTIF(orders!$A:$A,O5399)&gt;0,"Yes","NO ORDER"),"")</f>
        <v>Yes</v>
      </c>
    </row>
    <row r="5400" spans="1:17" ht="15" customHeight="1" x14ac:dyDescent="0.3">
      <c r="A5400" s="23" t="s">
        <v>18628</v>
      </c>
      <c r="B5400" s="23"/>
      <c r="C5400" s="23" t="s">
        <v>6599</v>
      </c>
      <c r="D5400" s="23" t="str">
        <f t="shared" si="252"/>
        <v>ORD26003053</v>
      </c>
      <c r="E5400" s="38">
        <v>46294</v>
      </c>
      <c r="F5400" s="23" t="s">
        <v>12410</v>
      </c>
      <c r="G5400" s="23" t="s">
        <v>75</v>
      </c>
      <c r="H5400" s="24">
        <v>3298</v>
      </c>
      <c r="I5400" s="24">
        <v>9.89</v>
      </c>
      <c r="J5400" s="24">
        <v>1.78</v>
      </c>
      <c r="K5400" s="24">
        <v>3286.33</v>
      </c>
      <c r="L5400" s="38">
        <v>46296</v>
      </c>
      <c r="M5400" s="23" t="s">
        <v>108</v>
      </c>
      <c r="N5400" s="23" t="str">
        <f>IF(COUNTIF($A$2:A5400,A5400)&gt;1,"DUP","OK")</f>
        <v>OK</v>
      </c>
      <c r="O5400" s="23" t="str">
        <f t="shared" si="253"/>
        <v>ORD26003053</v>
      </c>
      <c r="P5400" s="23" t="str">
        <f t="shared" si="254"/>
        <v>Oct-Due</v>
      </c>
      <c r="Q5400" s="23" t="str">
        <f>IF(F5400="CAPTURE",IF(COUNTIF(orders!$A:$A,O5400)&gt;0,"Yes","NO ORDER"),"")</f>
        <v>Yes</v>
      </c>
    </row>
    <row r="5401" spans="1:17" ht="15" customHeight="1" x14ac:dyDescent="0.3">
      <c r="A5401" s="23" t="s">
        <v>18629</v>
      </c>
      <c r="B5401" s="23"/>
      <c r="C5401" s="23" t="s">
        <v>6624</v>
      </c>
      <c r="D5401" s="23" t="str">
        <f t="shared" si="252"/>
        <v>ORD26003064</v>
      </c>
      <c r="E5401" s="38">
        <v>46294</v>
      </c>
      <c r="F5401" s="23" t="s">
        <v>12410</v>
      </c>
      <c r="G5401" s="23" t="s">
        <v>75</v>
      </c>
      <c r="H5401" s="24">
        <v>499</v>
      </c>
      <c r="I5401" s="24">
        <v>1.5</v>
      </c>
      <c r="J5401" s="24">
        <v>0.27</v>
      </c>
      <c r="K5401" s="24">
        <v>497.23</v>
      </c>
      <c r="L5401" s="38">
        <v>46296</v>
      </c>
      <c r="M5401" s="23" t="s">
        <v>108</v>
      </c>
      <c r="N5401" s="23" t="str">
        <f>IF(COUNTIF($A$2:A5401,A5401)&gt;1,"DUP","OK")</f>
        <v>OK</v>
      </c>
      <c r="O5401" s="23" t="str">
        <f t="shared" si="253"/>
        <v>ORD26003064</v>
      </c>
      <c r="P5401" s="23" t="str">
        <f t="shared" si="254"/>
        <v>Oct-Due</v>
      </c>
      <c r="Q5401" s="23" t="str">
        <f>IF(F5401="CAPTURE",IF(COUNTIF(orders!$A:$A,O5401)&gt;0,"Yes","NO ORDER"),"")</f>
        <v>Yes</v>
      </c>
    </row>
    <row r="5402" spans="1:17" ht="15" customHeight="1" x14ac:dyDescent="0.3">
      <c r="A5402" s="23" t="s">
        <v>18630</v>
      </c>
      <c r="B5402" s="23"/>
      <c r="C5402" s="23" t="s">
        <v>6651</v>
      </c>
      <c r="D5402" s="23" t="str">
        <f t="shared" si="252"/>
        <v>ORD26003078</v>
      </c>
      <c r="E5402" s="38">
        <v>46294</v>
      </c>
      <c r="F5402" s="23" t="s">
        <v>12410</v>
      </c>
      <c r="G5402" s="23" t="s">
        <v>75</v>
      </c>
      <c r="H5402" s="24">
        <v>11297</v>
      </c>
      <c r="I5402" s="24">
        <v>33.89</v>
      </c>
      <c r="J5402" s="24">
        <v>6.1</v>
      </c>
      <c r="K5402" s="24">
        <v>11257.01</v>
      </c>
      <c r="L5402" s="38">
        <v>46296</v>
      </c>
      <c r="M5402" s="23" t="s">
        <v>108</v>
      </c>
      <c r="N5402" s="23" t="str">
        <f>IF(COUNTIF($A$2:A5402,A5402)&gt;1,"DUP","OK")</f>
        <v>OK</v>
      </c>
      <c r="O5402" s="23" t="str">
        <f t="shared" si="253"/>
        <v>ORD26003078</v>
      </c>
      <c r="P5402" s="23" t="str">
        <f t="shared" si="254"/>
        <v>Oct-Due</v>
      </c>
      <c r="Q5402" s="23" t="str">
        <f>IF(F5402="CAPTURE",IF(COUNTIF(orders!$A:$A,O5402)&gt;0,"Yes","NO ORDER"),"")</f>
        <v>Yes</v>
      </c>
    </row>
    <row r="5403" spans="1:17" ht="15" customHeight="1" x14ac:dyDescent="0.3">
      <c r="A5403" s="23" t="s">
        <v>18631</v>
      </c>
      <c r="B5403" s="23"/>
      <c r="C5403" s="23" t="s">
        <v>6735</v>
      </c>
      <c r="D5403" s="23" t="str">
        <f t="shared" si="252"/>
        <v>ORD26003119</v>
      </c>
      <c r="E5403" s="38">
        <v>46294</v>
      </c>
      <c r="F5403" s="23" t="s">
        <v>12410</v>
      </c>
      <c r="G5403" s="23" t="s">
        <v>79</v>
      </c>
      <c r="H5403" s="24">
        <v>2798</v>
      </c>
      <c r="I5403" s="24">
        <v>44.77</v>
      </c>
      <c r="J5403" s="24">
        <v>8.06</v>
      </c>
      <c r="K5403" s="24">
        <v>2745.17</v>
      </c>
      <c r="L5403" s="38">
        <v>46296</v>
      </c>
      <c r="M5403" s="23" t="s">
        <v>108</v>
      </c>
      <c r="N5403" s="23" t="str">
        <f>IF(COUNTIF($A$2:A5403,A5403)&gt;1,"DUP","OK")</f>
        <v>OK</v>
      </c>
      <c r="O5403" s="23" t="str">
        <f t="shared" si="253"/>
        <v>ORD26003119</v>
      </c>
      <c r="P5403" s="23" t="str">
        <f t="shared" si="254"/>
        <v>Oct-Due</v>
      </c>
      <c r="Q5403" s="23" t="str">
        <f>IF(F5403="CAPTURE",IF(COUNTIF(orders!$A:$A,O5403)&gt;0,"Yes","NO ORDER"),"")</f>
        <v>Yes</v>
      </c>
    </row>
    <row r="5404" spans="1:17" ht="15" customHeight="1" x14ac:dyDescent="0.3">
      <c r="A5404" s="23" t="s">
        <v>18632</v>
      </c>
      <c r="B5404" s="23"/>
      <c r="C5404" s="23" t="s">
        <v>6745</v>
      </c>
      <c r="D5404" s="23" t="str">
        <f t="shared" si="252"/>
        <v>ORD26003124</v>
      </c>
      <c r="E5404" s="38">
        <v>46294</v>
      </c>
      <c r="F5404" s="23" t="s">
        <v>12410</v>
      </c>
      <c r="G5404" s="23" t="s">
        <v>75</v>
      </c>
      <c r="H5404" s="24">
        <v>4897</v>
      </c>
      <c r="I5404" s="24">
        <v>14.69</v>
      </c>
      <c r="J5404" s="24">
        <v>2.64</v>
      </c>
      <c r="K5404" s="24">
        <v>4879.67</v>
      </c>
      <c r="L5404" s="38">
        <v>46296</v>
      </c>
      <c r="M5404" s="23" t="s">
        <v>108</v>
      </c>
      <c r="N5404" s="23" t="str">
        <f>IF(COUNTIF($A$2:A5404,A5404)&gt;1,"DUP","OK")</f>
        <v>OK</v>
      </c>
      <c r="O5404" s="23" t="str">
        <f t="shared" si="253"/>
        <v>ORD26003124</v>
      </c>
      <c r="P5404" s="23" t="str">
        <f t="shared" si="254"/>
        <v>Oct-Due</v>
      </c>
      <c r="Q5404" s="23" t="str">
        <f>IF(F5404="CAPTURE",IF(COUNTIF(orders!$A:$A,O5404)&gt;0,"Yes","NO ORDER"),"")</f>
        <v>Yes</v>
      </c>
    </row>
    <row r="5405" spans="1:17" ht="15" customHeight="1" x14ac:dyDescent="0.3">
      <c r="A5405" s="23" t="s">
        <v>18633</v>
      </c>
      <c r="B5405" s="23"/>
      <c r="C5405" s="23" t="s">
        <v>6825</v>
      </c>
      <c r="D5405" s="23" t="str">
        <f t="shared" si="252"/>
        <v>ORD26003164</v>
      </c>
      <c r="E5405" s="38">
        <v>46294</v>
      </c>
      <c r="F5405" s="23" t="s">
        <v>12410</v>
      </c>
      <c r="G5405" s="23" t="s">
        <v>77</v>
      </c>
      <c r="H5405" s="24">
        <v>1299</v>
      </c>
      <c r="I5405" s="24">
        <v>24.68</v>
      </c>
      <c r="J5405" s="24">
        <v>4.4400000000000004</v>
      </c>
      <c r="K5405" s="24">
        <v>1269.8800000000001</v>
      </c>
      <c r="L5405" s="38">
        <v>46296</v>
      </c>
      <c r="M5405" s="23" t="s">
        <v>108</v>
      </c>
      <c r="N5405" s="23" t="str">
        <f>IF(COUNTIF($A$2:A5405,A5405)&gt;1,"DUP","OK")</f>
        <v>OK</v>
      </c>
      <c r="O5405" s="23" t="str">
        <f t="shared" si="253"/>
        <v>ORD26003164</v>
      </c>
      <c r="P5405" s="23" t="str">
        <f t="shared" si="254"/>
        <v>Oct-Due</v>
      </c>
      <c r="Q5405" s="23" t="str">
        <f>IF(F5405="CAPTURE",IF(COUNTIF(orders!$A:$A,O5405)&gt;0,"Yes","NO ORDER"),"")</f>
        <v>Yes</v>
      </c>
    </row>
    <row r="5406" spans="1:17" ht="15" customHeight="1" x14ac:dyDescent="0.3">
      <c r="A5406" s="23" t="s">
        <v>18634</v>
      </c>
      <c r="B5406" s="23"/>
      <c r="C5406" s="23" t="s">
        <v>6985</v>
      </c>
      <c r="D5406" s="23" t="str">
        <f t="shared" si="252"/>
        <v>ORD26003244</v>
      </c>
      <c r="E5406" s="38">
        <v>46294</v>
      </c>
      <c r="F5406" s="23" t="s">
        <v>12410</v>
      </c>
      <c r="G5406" s="23" t="s">
        <v>79</v>
      </c>
      <c r="H5406" s="24">
        <v>9397</v>
      </c>
      <c r="I5406" s="24">
        <v>150.35</v>
      </c>
      <c r="J5406" s="24">
        <v>27.06</v>
      </c>
      <c r="K5406" s="24">
        <v>9219.59</v>
      </c>
      <c r="L5406" s="38">
        <v>46296</v>
      </c>
      <c r="M5406" s="23" t="s">
        <v>108</v>
      </c>
      <c r="N5406" s="23" t="str">
        <f>IF(COUNTIF($A$2:A5406,A5406)&gt;1,"DUP","OK")</f>
        <v>OK</v>
      </c>
      <c r="O5406" s="23" t="str">
        <f t="shared" si="253"/>
        <v>ORD26003244</v>
      </c>
      <c r="P5406" s="23" t="str">
        <f t="shared" si="254"/>
        <v>Oct-Due</v>
      </c>
      <c r="Q5406" s="23" t="str">
        <f>IF(F5406="CAPTURE",IF(COUNTIF(orders!$A:$A,O5406)&gt;0,"Yes","NO ORDER"),"")</f>
        <v>Yes</v>
      </c>
    </row>
    <row r="5407" spans="1:17" ht="15" customHeight="1" x14ac:dyDescent="0.3">
      <c r="A5407" s="23" t="s">
        <v>18635</v>
      </c>
      <c r="B5407" s="23"/>
      <c r="C5407" s="23" t="s">
        <v>7003</v>
      </c>
      <c r="D5407" s="23" t="str">
        <f t="shared" si="252"/>
        <v>ORD26003252</v>
      </c>
      <c r="E5407" s="38">
        <v>46294</v>
      </c>
      <c r="F5407" s="23" t="s">
        <v>12410</v>
      </c>
      <c r="G5407" s="23" t="s">
        <v>75</v>
      </c>
      <c r="H5407" s="24">
        <v>2499</v>
      </c>
      <c r="I5407" s="24">
        <v>7.5</v>
      </c>
      <c r="J5407" s="24">
        <v>1.35</v>
      </c>
      <c r="K5407" s="24">
        <v>2490.15</v>
      </c>
      <c r="L5407" s="38">
        <v>46296</v>
      </c>
      <c r="M5407" s="23" t="s">
        <v>108</v>
      </c>
      <c r="N5407" s="23" t="str">
        <f>IF(COUNTIF($A$2:A5407,A5407)&gt;1,"DUP","OK")</f>
        <v>OK</v>
      </c>
      <c r="O5407" s="23" t="str">
        <f t="shared" si="253"/>
        <v>ORD26003252</v>
      </c>
      <c r="P5407" s="23" t="str">
        <f t="shared" si="254"/>
        <v>Oct-Due</v>
      </c>
      <c r="Q5407" s="23" t="str">
        <f>IF(F5407="CAPTURE",IF(COUNTIF(orders!$A:$A,O5407)&gt;0,"Yes","NO ORDER"),"")</f>
        <v>Yes</v>
      </c>
    </row>
    <row r="5408" spans="1:17" ht="15" customHeight="1" x14ac:dyDescent="0.3">
      <c r="A5408" s="23" t="s">
        <v>18636</v>
      </c>
      <c r="B5408" s="23"/>
      <c r="C5408" s="23" t="s">
        <v>7028</v>
      </c>
      <c r="D5408" s="23" t="str">
        <f t="shared" si="252"/>
        <v>ORD26003265</v>
      </c>
      <c r="E5408" s="38">
        <v>46294</v>
      </c>
      <c r="F5408" s="23" t="s">
        <v>12410</v>
      </c>
      <c r="G5408" s="23" t="s">
        <v>79</v>
      </c>
      <c r="H5408" s="24">
        <v>6297</v>
      </c>
      <c r="I5408" s="24">
        <v>100.75</v>
      </c>
      <c r="J5408" s="24">
        <v>18.14</v>
      </c>
      <c r="K5408" s="24">
        <v>6178.11</v>
      </c>
      <c r="L5408" s="38">
        <v>46296</v>
      </c>
      <c r="M5408" s="23" t="s">
        <v>108</v>
      </c>
      <c r="N5408" s="23" t="str">
        <f>IF(COUNTIF($A$2:A5408,A5408)&gt;1,"DUP","OK")</f>
        <v>OK</v>
      </c>
      <c r="O5408" s="23" t="str">
        <f t="shared" si="253"/>
        <v>ORD26003265</v>
      </c>
      <c r="P5408" s="23" t="str">
        <f t="shared" si="254"/>
        <v>Oct-Due</v>
      </c>
      <c r="Q5408" s="23" t="str">
        <f>IF(F5408="CAPTURE",IF(COUNTIF(orders!$A:$A,O5408)&gt;0,"Yes","NO ORDER"),"")</f>
        <v>Yes</v>
      </c>
    </row>
    <row r="5409" spans="1:17" ht="15" customHeight="1" x14ac:dyDescent="0.3">
      <c r="A5409" s="23" t="s">
        <v>18637</v>
      </c>
      <c r="B5409" s="23"/>
      <c r="C5409" s="23" t="s">
        <v>7111</v>
      </c>
      <c r="D5409" s="23" t="str">
        <f t="shared" si="252"/>
        <v>ORD26003307</v>
      </c>
      <c r="E5409" s="38">
        <v>46294</v>
      </c>
      <c r="F5409" s="23" t="s">
        <v>12410</v>
      </c>
      <c r="G5409" s="23" t="s">
        <v>77</v>
      </c>
      <c r="H5409" s="24">
        <v>7998</v>
      </c>
      <c r="I5409" s="24">
        <v>135.97</v>
      </c>
      <c r="J5409" s="24">
        <v>24.47</v>
      </c>
      <c r="K5409" s="24">
        <v>7837.56</v>
      </c>
      <c r="L5409" s="38">
        <v>46296</v>
      </c>
      <c r="M5409" s="23" t="s">
        <v>108</v>
      </c>
      <c r="N5409" s="23" t="str">
        <f>IF(COUNTIF($A$2:A5409,A5409)&gt;1,"DUP","OK")</f>
        <v>OK</v>
      </c>
      <c r="O5409" s="23" t="str">
        <f t="shared" si="253"/>
        <v>ORD26003307</v>
      </c>
      <c r="P5409" s="23" t="str">
        <f t="shared" si="254"/>
        <v>Oct-Due</v>
      </c>
      <c r="Q5409" s="23" t="str">
        <f>IF(F5409="CAPTURE",IF(COUNTIF(orders!$A:$A,O5409)&gt;0,"Yes","NO ORDER"),"")</f>
        <v>Yes</v>
      </c>
    </row>
    <row r="5410" spans="1:17" ht="15" customHeight="1" x14ac:dyDescent="0.3">
      <c r="A5410" s="23" t="s">
        <v>18638</v>
      </c>
      <c r="B5410" s="23"/>
      <c r="C5410" s="23" t="s">
        <v>18639</v>
      </c>
      <c r="D5410" s="23" t="str">
        <f t="shared" si="252"/>
        <v>ORD26003353</v>
      </c>
      <c r="E5410" s="38">
        <v>46294</v>
      </c>
      <c r="F5410" s="23" t="s">
        <v>12410</v>
      </c>
      <c r="G5410" s="23" t="s">
        <v>75</v>
      </c>
      <c r="H5410" s="24">
        <v>1848</v>
      </c>
      <c r="I5410" s="24">
        <v>0</v>
      </c>
      <c r="J5410" s="24">
        <v>0</v>
      </c>
      <c r="K5410" s="24">
        <v>1848</v>
      </c>
      <c r="L5410" s="38">
        <v>46296</v>
      </c>
      <c r="M5410" s="23" t="s">
        <v>108</v>
      </c>
      <c r="N5410" s="23" t="str">
        <f>IF(COUNTIF($A$2:A5410,A5410)&gt;1,"DUP","OK")</f>
        <v>OK</v>
      </c>
      <c r="O5410" s="23" t="str">
        <f t="shared" si="253"/>
        <v>ORD26003353</v>
      </c>
      <c r="P5410" s="23" t="str">
        <f t="shared" si="254"/>
        <v>Oct-Due</v>
      </c>
      <c r="Q5410" s="23" t="str">
        <f>IF(F5410="CAPTURE",IF(COUNTIF(orders!$A:$A,O5410)&gt;0,"Yes","NO ORDER"),"")</f>
        <v>Yes</v>
      </c>
    </row>
    <row r="5411" spans="1:17" ht="15" customHeight="1" x14ac:dyDescent="0.3">
      <c r="A5411" s="23" t="s">
        <v>18640</v>
      </c>
      <c r="B5411" s="23"/>
      <c r="C5411" s="23" t="s">
        <v>7247</v>
      </c>
      <c r="D5411" s="23" t="str">
        <f t="shared" si="252"/>
        <v>ORD26003374</v>
      </c>
      <c r="E5411" s="38">
        <v>46294</v>
      </c>
      <c r="F5411" s="23" t="s">
        <v>12410</v>
      </c>
      <c r="G5411" s="23" t="s">
        <v>75</v>
      </c>
      <c r="H5411" s="24">
        <v>3998</v>
      </c>
      <c r="I5411" s="24">
        <v>11.99</v>
      </c>
      <c r="J5411" s="24">
        <v>2.16</v>
      </c>
      <c r="K5411" s="24">
        <v>3983.85</v>
      </c>
      <c r="L5411" s="38">
        <v>46296</v>
      </c>
      <c r="M5411" s="23" t="s">
        <v>108</v>
      </c>
      <c r="N5411" s="23" t="str">
        <f>IF(COUNTIF($A$2:A5411,A5411)&gt;1,"DUP","OK")</f>
        <v>OK</v>
      </c>
      <c r="O5411" s="23" t="str">
        <f t="shared" si="253"/>
        <v>ORD26003374</v>
      </c>
      <c r="P5411" s="23" t="str">
        <f t="shared" si="254"/>
        <v>Oct-Due</v>
      </c>
      <c r="Q5411" s="23" t="str">
        <f>IF(F5411="CAPTURE",IF(COUNTIF(orders!$A:$A,O5411)&gt;0,"Yes","NO ORDER"),"")</f>
        <v>Yes</v>
      </c>
    </row>
    <row r="5412" spans="1:17" ht="15" customHeight="1" x14ac:dyDescent="0.3">
      <c r="A5412" s="23" t="s">
        <v>18641</v>
      </c>
      <c r="B5412" s="23"/>
      <c r="C5412" s="23" t="s">
        <v>7307</v>
      </c>
      <c r="D5412" s="23" t="str">
        <f t="shared" si="252"/>
        <v>ORD26003404</v>
      </c>
      <c r="E5412" s="38">
        <v>46294</v>
      </c>
      <c r="F5412" s="23" t="s">
        <v>12410</v>
      </c>
      <c r="G5412" s="23" t="s">
        <v>79</v>
      </c>
      <c r="H5412" s="24">
        <v>299</v>
      </c>
      <c r="I5412" s="24">
        <v>5.38</v>
      </c>
      <c r="J5412" s="24">
        <v>0.97</v>
      </c>
      <c r="K5412" s="24">
        <v>292.64999999999998</v>
      </c>
      <c r="L5412" s="38">
        <v>46296</v>
      </c>
      <c r="M5412" s="23" t="s">
        <v>108</v>
      </c>
      <c r="N5412" s="23" t="str">
        <f>IF(COUNTIF($A$2:A5412,A5412)&gt;1,"DUP","OK")</f>
        <v>OK</v>
      </c>
      <c r="O5412" s="23" t="str">
        <f t="shared" si="253"/>
        <v>ORD26003404</v>
      </c>
      <c r="P5412" s="23" t="str">
        <f t="shared" si="254"/>
        <v>Oct-Due</v>
      </c>
      <c r="Q5412" s="23" t="str">
        <f>IF(F5412="CAPTURE",IF(COUNTIF(orders!$A:$A,O5412)&gt;0,"Yes","NO ORDER"),"")</f>
        <v>Yes</v>
      </c>
    </row>
    <row r="5413" spans="1:17" ht="15" customHeight="1" x14ac:dyDescent="0.3">
      <c r="A5413" s="23" t="s">
        <v>18642</v>
      </c>
      <c r="B5413" s="23"/>
      <c r="C5413" s="23" t="s">
        <v>18643</v>
      </c>
      <c r="D5413" s="23" t="str">
        <f t="shared" si="252"/>
        <v>ORD26003429</v>
      </c>
      <c r="E5413" s="38">
        <v>46294</v>
      </c>
      <c r="F5413" s="23" t="s">
        <v>12410</v>
      </c>
      <c r="G5413" s="23" t="s">
        <v>75</v>
      </c>
      <c r="H5413" s="24">
        <v>299</v>
      </c>
      <c r="I5413" s="24">
        <v>0</v>
      </c>
      <c r="J5413" s="24">
        <v>0</v>
      </c>
      <c r="K5413" s="24">
        <v>299</v>
      </c>
      <c r="L5413" s="38">
        <v>46296</v>
      </c>
      <c r="M5413" s="23" t="s">
        <v>108</v>
      </c>
      <c r="N5413" s="23" t="str">
        <f>IF(COUNTIF($A$2:A5413,A5413)&gt;1,"DUP","OK")</f>
        <v>OK</v>
      </c>
      <c r="O5413" s="23" t="str">
        <f t="shared" si="253"/>
        <v>ORD26003429</v>
      </c>
      <c r="P5413" s="23" t="str">
        <f t="shared" si="254"/>
        <v>Oct-Due</v>
      </c>
      <c r="Q5413" s="23" t="str">
        <f>IF(F5413="CAPTURE",IF(COUNTIF(orders!$A:$A,O5413)&gt;0,"Yes","NO ORDER"),"")</f>
        <v>Yes</v>
      </c>
    </row>
    <row r="5414" spans="1:17" ht="15" customHeight="1" x14ac:dyDescent="0.3">
      <c r="A5414" s="23" t="s">
        <v>18644</v>
      </c>
      <c r="B5414" s="23"/>
      <c r="C5414" s="23" t="s">
        <v>7363</v>
      </c>
      <c r="D5414" s="23" t="str">
        <f t="shared" si="252"/>
        <v>ORD26003432</v>
      </c>
      <c r="E5414" s="38">
        <v>46294</v>
      </c>
      <c r="F5414" s="23" t="s">
        <v>12410</v>
      </c>
      <c r="G5414" s="23" t="s">
        <v>77</v>
      </c>
      <c r="H5414" s="24">
        <v>2499</v>
      </c>
      <c r="I5414" s="24">
        <v>42.48</v>
      </c>
      <c r="J5414" s="24">
        <v>7.65</v>
      </c>
      <c r="K5414" s="24">
        <v>2448.87</v>
      </c>
      <c r="L5414" s="38">
        <v>46296</v>
      </c>
      <c r="M5414" s="23" t="s">
        <v>108</v>
      </c>
      <c r="N5414" s="23" t="str">
        <f>IF(COUNTIF($A$2:A5414,A5414)&gt;1,"DUP","OK")</f>
        <v>OK</v>
      </c>
      <c r="O5414" s="23" t="str">
        <f t="shared" si="253"/>
        <v>ORD26003432</v>
      </c>
      <c r="P5414" s="23" t="str">
        <f t="shared" si="254"/>
        <v>Oct-Due</v>
      </c>
      <c r="Q5414" s="23" t="str">
        <f>IF(F5414="CAPTURE",IF(COUNTIF(orders!$A:$A,O5414)&gt;0,"Yes","NO ORDER"),"")</f>
        <v>Yes</v>
      </c>
    </row>
    <row r="5415" spans="1:17" ht="15" customHeight="1" x14ac:dyDescent="0.3">
      <c r="A5415" s="23" t="s">
        <v>18645</v>
      </c>
      <c r="B5415" s="23"/>
      <c r="C5415" s="23" t="s">
        <v>7428</v>
      </c>
      <c r="D5415" s="23" t="str">
        <f t="shared" si="252"/>
        <v>ORD26003464</v>
      </c>
      <c r="E5415" s="38">
        <v>46294</v>
      </c>
      <c r="F5415" s="23" t="s">
        <v>12410</v>
      </c>
      <c r="G5415" s="23" t="s">
        <v>75</v>
      </c>
      <c r="H5415" s="24">
        <v>4999</v>
      </c>
      <c r="I5415" s="24">
        <v>15</v>
      </c>
      <c r="J5415" s="24">
        <v>2.7</v>
      </c>
      <c r="K5415" s="24">
        <v>4981.3</v>
      </c>
      <c r="L5415" s="38">
        <v>46296</v>
      </c>
      <c r="M5415" s="23" t="s">
        <v>108</v>
      </c>
      <c r="N5415" s="23" t="str">
        <f>IF(COUNTIF($A$2:A5415,A5415)&gt;1,"DUP","OK")</f>
        <v>OK</v>
      </c>
      <c r="O5415" s="23" t="str">
        <f t="shared" si="253"/>
        <v>ORD26003464</v>
      </c>
      <c r="P5415" s="23" t="str">
        <f t="shared" si="254"/>
        <v>Oct-Due</v>
      </c>
      <c r="Q5415" s="23" t="str">
        <f>IF(F5415="CAPTURE",IF(COUNTIF(orders!$A:$A,O5415)&gt;0,"Yes","NO ORDER"),"")</f>
        <v>Yes</v>
      </c>
    </row>
    <row r="5416" spans="1:17" ht="15" customHeight="1" x14ac:dyDescent="0.3">
      <c r="A5416" s="23" t="s">
        <v>18646</v>
      </c>
      <c r="B5416" s="23"/>
      <c r="C5416" s="23" t="s">
        <v>7444</v>
      </c>
      <c r="D5416" s="23" t="str">
        <f t="shared" si="252"/>
        <v>ORD26003472</v>
      </c>
      <c r="E5416" s="38">
        <v>46294</v>
      </c>
      <c r="F5416" s="23" t="s">
        <v>12410</v>
      </c>
      <c r="G5416" s="23" t="s">
        <v>75</v>
      </c>
      <c r="H5416" s="24">
        <v>4298</v>
      </c>
      <c r="I5416" s="24">
        <v>12.89</v>
      </c>
      <c r="J5416" s="24">
        <v>2.3199999999999998</v>
      </c>
      <c r="K5416" s="24">
        <v>4282.79</v>
      </c>
      <c r="L5416" s="38">
        <v>46296</v>
      </c>
      <c r="M5416" s="23" t="s">
        <v>108</v>
      </c>
      <c r="N5416" s="23" t="str">
        <f>IF(COUNTIF($A$2:A5416,A5416)&gt;1,"DUP","OK")</f>
        <v>OK</v>
      </c>
      <c r="O5416" s="23" t="str">
        <f t="shared" si="253"/>
        <v>ORD26003472</v>
      </c>
      <c r="P5416" s="23" t="str">
        <f t="shared" si="254"/>
        <v>Oct-Due</v>
      </c>
      <c r="Q5416" s="23" t="str">
        <f>IF(F5416="CAPTURE",IF(COUNTIF(orders!$A:$A,O5416)&gt;0,"Yes","NO ORDER"),"")</f>
        <v>Yes</v>
      </c>
    </row>
    <row r="5417" spans="1:17" ht="15" customHeight="1" x14ac:dyDescent="0.3">
      <c r="A5417" s="23" t="s">
        <v>18647</v>
      </c>
      <c r="B5417" s="23"/>
      <c r="C5417" s="23" t="s">
        <v>7453</v>
      </c>
      <c r="D5417" s="23" t="str">
        <f t="shared" si="252"/>
        <v>ORD26003477</v>
      </c>
      <c r="E5417" s="38">
        <v>46294</v>
      </c>
      <c r="F5417" s="23" t="s">
        <v>12410</v>
      </c>
      <c r="G5417" s="23" t="s">
        <v>75</v>
      </c>
      <c r="H5417" s="24">
        <v>998</v>
      </c>
      <c r="I5417" s="24">
        <v>0</v>
      </c>
      <c r="J5417" s="24">
        <v>0</v>
      </c>
      <c r="K5417" s="24">
        <v>998</v>
      </c>
      <c r="L5417" s="38">
        <v>46296</v>
      </c>
      <c r="M5417" s="23" t="s">
        <v>108</v>
      </c>
      <c r="N5417" s="23" t="str">
        <f>IF(COUNTIF($A$2:A5417,A5417)&gt;1,"DUP","OK")</f>
        <v>OK</v>
      </c>
      <c r="O5417" s="23" t="str">
        <f t="shared" si="253"/>
        <v>ORD26003477</v>
      </c>
      <c r="P5417" s="23" t="str">
        <f t="shared" si="254"/>
        <v>Oct-Due</v>
      </c>
      <c r="Q5417" s="23" t="str">
        <f>IF(F5417="CAPTURE",IF(COUNTIF(orders!$A:$A,O5417)&gt;0,"Yes","NO ORDER"),"")</f>
        <v>Yes</v>
      </c>
    </row>
    <row r="5418" spans="1:17" ht="15" customHeight="1" x14ac:dyDescent="0.3">
      <c r="A5418" s="23" t="s">
        <v>18648</v>
      </c>
      <c r="B5418" s="23"/>
      <c r="C5418" s="23" t="s">
        <v>7476</v>
      </c>
      <c r="D5418" s="23" t="str">
        <f t="shared" si="252"/>
        <v>ORD26003489</v>
      </c>
      <c r="E5418" s="38">
        <v>46294</v>
      </c>
      <c r="F5418" s="23" t="s">
        <v>12410</v>
      </c>
      <c r="G5418" s="23" t="s">
        <v>75</v>
      </c>
      <c r="H5418" s="24">
        <v>599</v>
      </c>
      <c r="I5418" s="24">
        <v>0</v>
      </c>
      <c r="J5418" s="24">
        <v>0</v>
      </c>
      <c r="K5418" s="24">
        <v>599</v>
      </c>
      <c r="L5418" s="38">
        <v>46296</v>
      </c>
      <c r="M5418" s="23" t="s">
        <v>108</v>
      </c>
      <c r="N5418" s="23" t="str">
        <f>IF(COUNTIF($A$2:A5418,A5418)&gt;1,"DUP","OK")</f>
        <v>OK</v>
      </c>
      <c r="O5418" s="23" t="str">
        <f t="shared" si="253"/>
        <v>ORD26003489</v>
      </c>
      <c r="P5418" s="23" t="str">
        <f t="shared" si="254"/>
        <v>Oct-Due</v>
      </c>
      <c r="Q5418" s="23" t="str">
        <f>IF(F5418="CAPTURE",IF(COUNTIF(orders!$A:$A,O5418)&gt;0,"Yes","NO ORDER"),"")</f>
        <v>Yes</v>
      </c>
    </row>
    <row r="5419" spans="1:17" ht="15" customHeight="1" x14ac:dyDescent="0.3">
      <c r="A5419" s="23" t="s">
        <v>18649</v>
      </c>
      <c r="B5419" s="23"/>
      <c r="C5419" s="23" t="s">
        <v>18650</v>
      </c>
      <c r="D5419" s="23" t="str">
        <f t="shared" si="252"/>
        <v>ORD26003509</v>
      </c>
      <c r="E5419" s="38">
        <v>46294</v>
      </c>
      <c r="F5419" s="23" t="s">
        <v>12410</v>
      </c>
      <c r="G5419" s="23" t="s">
        <v>77</v>
      </c>
      <c r="H5419" s="24">
        <v>8797</v>
      </c>
      <c r="I5419" s="24">
        <v>149.55000000000001</v>
      </c>
      <c r="J5419" s="24">
        <v>26.92</v>
      </c>
      <c r="K5419" s="24">
        <v>8620.5300000000007</v>
      </c>
      <c r="L5419" s="38">
        <v>46296</v>
      </c>
      <c r="M5419" s="23" t="s">
        <v>108</v>
      </c>
      <c r="N5419" s="23" t="str">
        <f>IF(COUNTIF($A$2:A5419,A5419)&gt;1,"DUP","OK")</f>
        <v>OK</v>
      </c>
      <c r="O5419" s="23" t="str">
        <f t="shared" si="253"/>
        <v>ORD26003509</v>
      </c>
      <c r="P5419" s="23" t="str">
        <f t="shared" si="254"/>
        <v>Oct-Due</v>
      </c>
      <c r="Q5419" s="23" t="str">
        <f>IF(F5419="CAPTURE",IF(COUNTIF(orders!$A:$A,O5419)&gt;0,"Yes","NO ORDER"),"")</f>
        <v>Yes</v>
      </c>
    </row>
    <row r="5420" spans="1:17" ht="15" customHeight="1" x14ac:dyDescent="0.3">
      <c r="A5420" s="23" t="s">
        <v>18651</v>
      </c>
      <c r="B5420" s="23"/>
      <c r="C5420" s="23" t="s">
        <v>7619</v>
      </c>
      <c r="D5420" s="23" t="str">
        <f t="shared" si="252"/>
        <v>ORD26003562</v>
      </c>
      <c r="E5420" s="38">
        <v>46294</v>
      </c>
      <c r="F5420" s="23" t="s">
        <v>12410</v>
      </c>
      <c r="G5420" s="23" t="s">
        <v>75</v>
      </c>
      <c r="H5420" s="24">
        <v>999</v>
      </c>
      <c r="I5420" s="24">
        <v>0</v>
      </c>
      <c r="J5420" s="24">
        <v>0</v>
      </c>
      <c r="K5420" s="24">
        <v>999</v>
      </c>
      <c r="L5420" s="38">
        <v>46296</v>
      </c>
      <c r="M5420" s="23" t="s">
        <v>108</v>
      </c>
      <c r="N5420" s="23" t="str">
        <f>IF(COUNTIF($A$2:A5420,A5420)&gt;1,"DUP","OK")</f>
        <v>OK</v>
      </c>
      <c r="O5420" s="23" t="str">
        <f t="shared" si="253"/>
        <v>ORD26003562</v>
      </c>
      <c r="P5420" s="23" t="str">
        <f t="shared" si="254"/>
        <v>Oct-Due</v>
      </c>
      <c r="Q5420" s="23" t="str">
        <f>IF(F5420="CAPTURE",IF(COUNTIF(orders!$A:$A,O5420)&gt;0,"Yes","NO ORDER"),"")</f>
        <v>Yes</v>
      </c>
    </row>
    <row r="5421" spans="1:17" ht="15" customHeight="1" x14ac:dyDescent="0.3">
      <c r="A5421" s="23" t="s">
        <v>18652</v>
      </c>
      <c r="B5421" s="23"/>
      <c r="C5421" s="23" t="s">
        <v>18653</v>
      </c>
      <c r="D5421" s="23" t="str">
        <f t="shared" si="252"/>
        <v>ORD26003599</v>
      </c>
      <c r="E5421" s="38">
        <v>46294</v>
      </c>
      <c r="F5421" s="23" t="s">
        <v>12410</v>
      </c>
      <c r="G5421" s="23" t="s">
        <v>75</v>
      </c>
      <c r="H5421" s="24">
        <v>1299</v>
      </c>
      <c r="I5421" s="24">
        <v>0</v>
      </c>
      <c r="J5421" s="24">
        <v>0</v>
      </c>
      <c r="K5421" s="24">
        <v>1299</v>
      </c>
      <c r="L5421" s="38">
        <v>46296</v>
      </c>
      <c r="M5421" s="23" t="s">
        <v>108</v>
      </c>
      <c r="N5421" s="23" t="str">
        <f>IF(COUNTIF($A$2:A5421,A5421)&gt;1,"DUP","OK")</f>
        <v>OK</v>
      </c>
      <c r="O5421" s="23" t="str">
        <f t="shared" si="253"/>
        <v>ORD26003599</v>
      </c>
      <c r="P5421" s="23" t="str">
        <f t="shared" si="254"/>
        <v>Oct-Due</v>
      </c>
      <c r="Q5421" s="23" t="str">
        <f>IF(F5421="CAPTURE",IF(COUNTIF(orders!$A:$A,O5421)&gt;0,"Yes","NO ORDER"),"")</f>
        <v>Yes</v>
      </c>
    </row>
    <row r="5422" spans="1:17" ht="15" customHeight="1" x14ac:dyDescent="0.3">
      <c r="A5422" s="23" t="s">
        <v>18654</v>
      </c>
      <c r="B5422" s="23"/>
      <c r="C5422" s="23" t="s">
        <v>7700</v>
      </c>
      <c r="D5422" s="23" t="str">
        <f t="shared" si="252"/>
        <v>ORD26003603</v>
      </c>
      <c r="E5422" s="38">
        <v>46294</v>
      </c>
      <c r="F5422" s="23" t="s">
        <v>12410</v>
      </c>
      <c r="G5422" s="23" t="s">
        <v>75</v>
      </c>
      <c r="H5422" s="24">
        <v>799</v>
      </c>
      <c r="I5422" s="24">
        <v>2.4</v>
      </c>
      <c r="J5422" s="24">
        <v>0.43</v>
      </c>
      <c r="K5422" s="24">
        <v>796.17</v>
      </c>
      <c r="L5422" s="38">
        <v>46296</v>
      </c>
      <c r="M5422" s="23" t="s">
        <v>108</v>
      </c>
      <c r="N5422" s="23" t="str">
        <f>IF(COUNTIF($A$2:A5422,A5422)&gt;1,"DUP","OK")</f>
        <v>OK</v>
      </c>
      <c r="O5422" s="23" t="str">
        <f t="shared" si="253"/>
        <v>ORD26003603</v>
      </c>
      <c r="P5422" s="23" t="str">
        <f t="shared" si="254"/>
        <v>Oct-Due</v>
      </c>
      <c r="Q5422" s="23" t="str">
        <f>IF(F5422="CAPTURE",IF(COUNTIF(orders!$A:$A,O5422)&gt;0,"Yes","NO ORDER"),"")</f>
        <v>Yes</v>
      </c>
    </row>
    <row r="5423" spans="1:17" ht="15" customHeight="1" x14ac:dyDescent="0.3">
      <c r="A5423" s="23" t="s">
        <v>18655</v>
      </c>
      <c r="B5423" s="23"/>
      <c r="C5423" s="23" t="s">
        <v>18656</v>
      </c>
      <c r="D5423" s="23" t="str">
        <f t="shared" si="252"/>
        <v>ORD26003649</v>
      </c>
      <c r="E5423" s="38">
        <v>46294</v>
      </c>
      <c r="F5423" s="23" t="s">
        <v>12410</v>
      </c>
      <c r="G5423" s="23" t="s">
        <v>77</v>
      </c>
      <c r="H5423" s="24">
        <v>3147</v>
      </c>
      <c r="I5423" s="24">
        <v>53.5</v>
      </c>
      <c r="J5423" s="24">
        <v>9.6300000000000008</v>
      </c>
      <c r="K5423" s="24">
        <v>3083.87</v>
      </c>
      <c r="L5423" s="38">
        <v>46296</v>
      </c>
      <c r="M5423" s="23" t="s">
        <v>108</v>
      </c>
      <c r="N5423" s="23" t="str">
        <f>IF(COUNTIF($A$2:A5423,A5423)&gt;1,"DUP","OK")</f>
        <v>OK</v>
      </c>
      <c r="O5423" s="23" t="str">
        <f t="shared" si="253"/>
        <v>ORD26003649</v>
      </c>
      <c r="P5423" s="23" t="str">
        <f t="shared" si="254"/>
        <v>Oct-Due</v>
      </c>
      <c r="Q5423" s="23" t="str">
        <f>IF(F5423="CAPTURE",IF(COUNTIF(orders!$A:$A,O5423)&gt;0,"Yes","NO ORDER"),"")</f>
        <v>Yes</v>
      </c>
    </row>
    <row r="5424" spans="1:17" ht="15" customHeight="1" x14ac:dyDescent="0.3">
      <c r="A5424" s="23" t="s">
        <v>18657</v>
      </c>
      <c r="B5424" s="23"/>
      <c r="C5424" s="23" t="s">
        <v>7854</v>
      </c>
      <c r="D5424" s="23" t="str">
        <f t="shared" si="252"/>
        <v>ORD26003683</v>
      </c>
      <c r="E5424" s="38">
        <v>46294</v>
      </c>
      <c r="F5424" s="23" t="s">
        <v>12410</v>
      </c>
      <c r="G5424" s="23" t="s">
        <v>75</v>
      </c>
      <c r="H5424" s="24">
        <v>8598</v>
      </c>
      <c r="I5424" s="24">
        <v>25.79</v>
      </c>
      <c r="J5424" s="24">
        <v>4.6399999999999997</v>
      </c>
      <c r="K5424" s="24">
        <v>8567.57</v>
      </c>
      <c r="L5424" s="38">
        <v>46296</v>
      </c>
      <c r="M5424" s="23" t="s">
        <v>108</v>
      </c>
      <c r="N5424" s="23" t="str">
        <f>IF(COUNTIF($A$2:A5424,A5424)&gt;1,"DUP","OK")</f>
        <v>OK</v>
      </c>
      <c r="O5424" s="23" t="str">
        <f t="shared" si="253"/>
        <v>ORD26003683</v>
      </c>
      <c r="P5424" s="23" t="str">
        <f t="shared" si="254"/>
        <v>Oct-Due</v>
      </c>
      <c r="Q5424" s="23" t="str">
        <f>IF(F5424="CAPTURE",IF(COUNTIF(orders!$A:$A,O5424)&gt;0,"Yes","NO ORDER"),"")</f>
        <v>Yes</v>
      </c>
    </row>
    <row r="5425" spans="1:17" ht="15" customHeight="1" x14ac:dyDescent="0.3">
      <c r="A5425" s="23" t="s">
        <v>18658</v>
      </c>
      <c r="B5425" s="23"/>
      <c r="C5425" s="23" t="s">
        <v>18659</v>
      </c>
      <c r="D5425" s="23" t="str">
        <f t="shared" si="252"/>
        <v>ORD26003685</v>
      </c>
      <c r="E5425" s="38">
        <v>46294</v>
      </c>
      <c r="F5425" s="23" t="s">
        <v>12410</v>
      </c>
      <c r="G5425" s="23" t="s">
        <v>79</v>
      </c>
      <c r="H5425" s="24">
        <v>799</v>
      </c>
      <c r="I5425" s="24">
        <v>14.38</v>
      </c>
      <c r="J5425" s="24">
        <v>2.59</v>
      </c>
      <c r="K5425" s="24">
        <v>782.03</v>
      </c>
      <c r="L5425" s="38">
        <v>46296</v>
      </c>
      <c r="M5425" s="23" t="s">
        <v>108</v>
      </c>
      <c r="N5425" s="23" t="str">
        <f>IF(COUNTIF($A$2:A5425,A5425)&gt;1,"DUP","OK")</f>
        <v>OK</v>
      </c>
      <c r="O5425" s="23" t="str">
        <f t="shared" si="253"/>
        <v>ORD26003685</v>
      </c>
      <c r="P5425" s="23" t="str">
        <f t="shared" si="254"/>
        <v>Oct-Due</v>
      </c>
      <c r="Q5425" s="23" t="str">
        <f>IF(F5425="CAPTURE",IF(COUNTIF(orders!$A:$A,O5425)&gt;0,"Yes","NO ORDER"),"")</f>
        <v>Yes</v>
      </c>
    </row>
    <row r="5426" spans="1:17" ht="15" customHeight="1" x14ac:dyDescent="0.3">
      <c r="A5426" s="23" t="s">
        <v>18660</v>
      </c>
      <c r="B5426" s="23"/>
      <c r="C5426" s="23" t="s">
        <v>8223</v>
      </c>
      <c r="D5426" s="23" t="str">
        <f t="shared" si="252"/>
        <v>ORD26003868</v>
      </c>
      <c r="E5426" s="38">
        <v>46294</v>
      </c>
      <c r="F5426" s="23" t="s">
        <v>12410</v>
      </c>
      <c r="G5426" s="23" t="s">
        <v>75</v>
      </c>
      <c r="H5426" s="24">
        <v>12797</v>
      </c>
      <c r="I5426" s="24">
        <v>38.39</v>
      </c>
      <c r="J5426" s="24">
        <v>6.91</v>
      </c>
      <c r="K5426" s="24">
        <v>12751.7</v>
      </c>
      <c r="L5426" s="38">
        <v>46296</v>
      </c>
      <c r="M5426" s="23" t="s">
        <v>108</v>
      </c>
      <c r="N5426" s="23" t="str">
        <f>IF(COUNTIF($A$2:A5426,A5426)&gt;1,"DUP","OK")</f>
        <v>OK</v>
      </c>
      <c r="O5426" s="23" t="str">
        <f t="shared" si="253"/>
        <v>ORD26003868</v>
      </c>
      <c r="P5426" s="23" t="str">
        <f t="shared" si="254"/>
        <v>Oct-Due</v>
      </c>
      <c r="Q5426" s="23" t="str">
        <f>IF(F5426="CAPTURE",IF(COUNTIF(orders!$A:$A,O5426)&gt;0,"Yes","NO ORDER"),"")</f>
        <v>Yes</v>
      </c>
    </row>
    <row r="5427" spans="1:17" ht="15" customHeight="1" x14ac:dyDescent="0.3">
      <c r="A5427" s="23" t="s">
        <v>18661</v>
      </c>
      <c r="B5427" s="23"/>
      <c r="C5427" s="23" t="s">
        <v>8265</v>
      </c>
      <c r="D5427" s="23" t="str">
        <f t="shared" si="252"/>
        <v>ORD26003889</v>
      </c>
      <c r="E5427" s="38">
        <v>46294</v>
      </c>
      <c r="F5427" s="23" t="s">
        <v>12410</v>
      </c>
      <c r="G5427" s="23" t="s">
        <v>79</v>
      </c>
      <c r="H5427" s="24">
        <v>3147</v>
      </c>
      <c r="I5427" s="24">
        <v>50.35</v>
      </c>
      <c r="J5427" s="24">
        <v>9.06</v>
      </c>
      <c r="K5427" s="24">
        <v>3087.59</v>
      </c>
      <c r="L5427" s="38">
        <v>46296</v>
      </c>
      <c r="M5427" s="23" t="s">
        <v>108</v>
      </c>
      <c r="N5427" s="23" t="str">
        <f>IF(COUNTIF($A$2:A5427,A5427)&gt;1,"DUP","OK")</f>
        <v>OK</v>
      </c>
      <c r="O5427" s="23" t="str">
        <f t="shared" si="253"/>
        <v>ORD26003889</v>
      </c>
      <c r="P5427" s="23" t="str">
        <f t="shared" si="254"/>
        <v>Oct-Due</v>
      </c>
      <c r="Q5427" s="23" t="str">
        <f>IF(F5427="CAPTURE",IF(COUNTIF(orders!$A:$A,O5427)&gt;0,"Yes","NO ORDER"),"")</f>
        <v>Yes</v>
      </c>
    </row>
    <row r="5428" spans="1:17" ht="15" customHeight="1" x14ac:dyDescent="0.3">
      <c r="A5428" s="23" t="s">
        <v>18662</v>
      </c>
      <c r="B5428" s="23"/>
      <c r="C5428" s="23" t="s">
        <v>8275</v>
      </c>
      <c r="D5428" s="23" t="str">
        <f t="shared" si="252"/>
        <v>ORD26003894</v>
      </c>
      <c r="E5428" s="38">
        <v>46294</v>
      </c>
      <c r="F5428" s="23" t="s">
        <v>12410</v>
      </c>
      <c r="G5428" s="23" t="s">
        <v>75</v>
      </c>
      <c r="H5428" s="24">
        <v>349</v>
      </c>
      <c r="I5428" s="24">
        <v>0</v>
      </c>
      <c r="J5428" s="24">
        <v>0</v>
      </c>
      <c r="K5428" s="24">
        <v>349</v>
      </c>
      <c r="L5428" s="38">
        <v>46296</v>
      </c>
      <c r="M5428" s="23" t="s">
        <v>108</v>
      </c>
      <c r="N5428" s="23" t="str">
        <f>IF(COUNTIF($A$2:A5428,A5428)&gt;1,"DUP","OK")</f>
        <v>OK</v>
      </c>
      <c r="O5428" s="23" t="str">
        <f t="shared" si="253"/>
        <v>ORD26003894</v>
      </c>
      <c r="P5428" s="23" t="str">
        <f t="shared" si="254"/>
        <v>Oct-Due</v>
      </c>
      <c r="Q5428" s="23" t="str">
        <f>IF(F5428="CAPTURE",IF(COUNTIF(orders!$A:$A,O5428)&gt;0,"Yes","NO ORDER"),"")</f>
        <v>Yes</v>
      </c>
    </row>
    <row r="5429" spans="1:17" ht="15" customHeight="1" x14ac:dyDescent="0.3">
      <c r="A5429" s="23" t="s">
        <v>18663</v>
      </c>
      <c r="B5429" s="23"/>
      <c r="C5429" s="23" t="s">
        <v>8309</v>
      </c>
      <c r="D5429" s="23" t="str">
        <f t="shared" si="252"/>
        <v>ORD26003911</v>
      </c>
      <c r="E5429" s="38">
        <v>46294</v>
      </c>
      <c r="F5429" s="23" t="s">
        <v>12410</v>
      </c>
      <c r="G5429" s="23" t="s">
        <v>79</v>
      </c>
      <c r="H5429" s="24">
        <v>3998</v>
      </c>
      <c r="I5429" s="24">
        <v>63.97</v>
      </c>
      <c r="J5429" s="24">
        <v>11.51</v>
      </c>
      <c r="K5429" s="24">
        <v>3922.52</v>
      </c>
      <c r="L5429" s="38">
        <v>46296</v>
      </c>
      <c r="M5429" s="23" t="s">
        <v>108</v>
      </c>
      <c r="N5429" s="23" t="str">
        <f>IF(COUNTIF($A$2:A5429,A5429)&gt;1,"DUP","OK")</f>
        <v>OK</v>
      </c>
      <c r="O5429" s="23" t="str">
        <f t="shared" si="253"/>
        <v>ORD26003911</v>
      </c>
      <c r="P5429" s="23" t="str">
        <f t="shared" si="254"/>
        <v>Oct-Due</v>
      </c>
      <c r="Q5429" s="23" t="str">
        <f>IF(F5429="CAPTURE",IF(COUNTIF(orders!$A:$A,O5429)&gt;0,"Yes","NO ORDER"),"")</f>
        <v>Yes</v>
      </c>
    </row>
    <row r="5430" spans="1:17" ht="15" customHeight="1" x14ac:dyDescent="0.3">
      <c r="A5430" s="23" t="s">
        <v>18664</v>
      </c>
      <c r="B5430" s="23"/>
      <c r="C5430" s="23" t="s">
        <v>8357</v>
      </c>
      <c r="D5430" s="23" t="str">
        <f t="shared" si="252"/>
        <v>ORD26003935</v>
      </c>
      <c r="E5430" s="38">
        <v>46294</v>
      </c>
      <c r="F5430" s="23" t="s">
        <v>12410</v>
      </c>
      <c r="G5430" s="23" t="s">
        <v>75</v>
      </c>
      <c r="H5430" s="24">
        <v>599</v>
      </c>
      <c r="I5430" s="24">
        <v>0</v>
      </c>
      <c r="J5430" s="24">
        <v>0</v>
      </c>
      <c r="K5430" s="24">
        <v>599</v>
      </c>
      <c r="L5430" s="38">
        <v>46296</v>
      </c>
      <c r="M5430" s="23" t="s">
        <v>108</v>
      </c>
      <c r="N5430" s="23" t="str">
        <f>IF(COUNTIF($A$2:A5430,A5430)&gt;1,"DUP","OK")</f>
        <v>OK</v>
      </c>
      <c r="O5430" s="23" t="str">
        <f t="shared" si="253"/>
        <v>ORD26003935</v>
      </c>
      <c r="P5430" s="23" t="str">
        <f t="shared" si="254"/>
        <v>Oct-Due</v>
      </c>
      <c r="Q5430" s="23" t="str">
        <f>IF(F5430="CAPTURE",IF(COUNTIF(orders!$A:$A,O5430)&gt;0,"Yes","NO ORDER"),"")</f>
        <v>Yes</v>
      </c>
    </row>
    <row r="5431" spans="1:17" ht="15" customHeight="1" x14ac:dyDescent="0.3">
      <c r="A5431" s="23" t="s">
        <v>18665</v>
      </c>
      <c r="B5431" s="23"/>
      <c r="C5431" s="23" t="s">
        <v>8359</v>
      </c>
      <c r="D5431" s="23" t="str">
        <f t="shared" si="252"/>
        <v>ORD26003936</v>
      </c>
      <c r="E5431" s="38">
        <v>46294</v>
      </c>
      <c r="F5431" s="23" t="s">
        <v>12410</v>
      </c>
      <c r="G5431" s="23" t="s">
        <v>77</v>
      </c>
      <c r="H5431" s="24">
        <v>799</v>
      </c>
      <c r="I5431" s="24">
        <v>15.18</v>
      </c>
      <c r="J5431" s="24">
        <v>2.73</v>
      </c>
      <c r="K5431" s="24">
        <v>781.09</v>
      </c>
      <c r="L5431" s="38">
        <v>46296</v>
      </c>
      <c r="M5431" s="23" t="s">
        <v>108</v>
      </c>
      <c r="N5431" s="23" t="str">
        <f>IF(COUNTIF($A$2:A5431,A5431)&gt;1,"DUP","OK")</f>
        <v>OK</v>
      </c>
      <c r="O5431" s="23" t="str">
        <f t="shared" si="253"/>
        <v>ORD26003936</v>
      </c>
      <c r="P5431" s="23" t="str">
        <f t="shared" si="254"/>
        <v>Oct-Due</v>
      </c>
      <c r="Q5431" s="23" t="str">
        <f>IF(F5431="CAPTURE",IF(COUNTIF(orders!$A:$A,O5431)&gt;0,"Yes","NO ORDER"),"")</f>
        <v>Yes</v>
      </c>
    </row>
    <row r="5432" spans="1:17" ht="15" customHeight="1" x14ac:dyDescent="0.3">
      <c r="A5432" s="23" t="s">
        <v>18666</v>
      </c>
      <c r="B5432" s="23"/>
      <c r="C5432" s="23" t="s">
        <v>8417</v>
      </c>
      <c r="D5432" s="23" t="str">
        <f t="shared" si="252"/>
        <v>ORD26003965</v>
      </c>
      <c r="E5432" s="38">
        <v>46294</v>
      </c>
      <c r="F5432" s="23" t="s">
        <v>12410</v>
      </c>
      <c r="G5432" s="23" t="s">
        <v>79</v>
      </c>
      <c r="H5432" s="24">
        <v>1299</v>
      </c>
      <c r="I5432" s="24">
        <v>23.38</v>
      </c>
      <c r="J5432" s="24">
        <v>4.21</v>
      </c>
      <c r="K5432" s="24">
        <v>1271.4100000000001</v>
      </c>
      <c r="L5432" s="38">
        <v>46296</v>
      </c>
      <c r="M5432" s="23" t="s">
        <v>108</v>
      </c>
      <c r="N5432" s="23" t="str">
        <f>IF(COUNTIF($A$2:A5432,A5432)&gt;1,"DUP","OK")</f>
        <v>OK</v>
      </c>
      <c r="O5432" s="23" t="str">
        <f t="shared" si="253"/>
        <v>ORD26003965</v>
      </c>
      <c r="P5432" s="23" t="str">
        <f t="shared" si="254"/>
        <v>Oct-Due</v>
      </c>
      <c r="Q5432" s="23" t="str">
        <f>IF(F5432="CAPTURE",IF(COUNTIF(orders!$A:$A,O5432)&gt;0,"Yes","NO ORDER"),"")</f>
        <v>Yes</v>
      </c>
    </row>
    <row r="5433" spans="1:17" ht="15" customHeight="1" x14ac:dyDescent="0.3">
      <c r="A5433" s="23" t="s">
        <v>18667</v>
      </c>
      <c r="B5433" s="23"/>
      <c r="C5433" s="23" t="s">
        <v>8451</v>
      </c>
      <c r="D5433" s="23" t="str">
        <f t="shared" si="252"/>
        <v>ORD26003982</v>
      </c>
      <c r="E5433" s="38">
        <v>46294</v>
      </c>
      <c r="F5433" s="23" t="s">
        <v>12410</v>
      </c>
      <c r="G5433" s="23" t="s">
        <v>81</v>
      </c>
      <c r="H5433" s="24">
        <v>499</v>
      </c>
      <c r="I5433" s="24">
        <v>7.49</v>
      </c>
      <c r="J5433" s="24">
        <v>1.35</v>
      </c>
      <c r="K5433" s="24">
        <v>490.16</v>
      </c>
      <c r="L5433" s="38">
        <v>46296</v>
      </c>
      <c r="M5433" s="23" t="s">
        <v>108</v>
      </c>
      <c r="N5433" s="23" t="str">
        <f>IF(COUNTIF($A$2:A5433,A5433)&gt;1,"DUP","OK")</f>
        <v>OK</v>
      </c>
      <c r="O5433" s="23" t="str">
        <f t="shared" si="253"/>
        <v>ORD26003982</v>
      </c>
      <c r="P5433" s="23" t="str">
        <f t="shared" si="254"/>
        <v>Oct-Due</v>
      </c>
      <c r="Q5433" s="23" t="str">
        <f>IF(F5433="CAPTURE",IF(COUNTIF(orders!$A:$A,O5433)&gt;0,"Yes","NO ORDER"),"")</f>
        <v>Yes</v>
      </c>
    </row>
    <row r="5434" spans="1:17" ht="15" customHeight="1" x14ac:dyDescent="0.3">
      <c r="A5434" s="23" t="s">
        <v>18668</v>
      </c>
      <c r="B5434" s="23"/>
      <c r="C5434" s="23" t="s">
        <v>8674</v>
      </c>
      <c r="D5434" s="23" t="str">
        <f t="shared" si="252"/>
        <v>ORD26004097</v>
      </c>
      <c r="E5434" s="38">
        <v>46294</v>
      </c>
      <c r="F5434" s="23" t="s">
        <v>12410</v>
      </c>
      <c r="G5434" s="23" t="s">
        <v>75</v>
      </c>
      <c r="H5434" s="24">
        <v>14497</v>
      </c>
      <c r="I5434" s="24">
        <v>43.49</v>
      </c>
      <c r="J5434" s="24">
        <v>7.83</v>
      </c>
      <c r="K5434" s="24">
        <v>14445.68</v>
      </c>
      <c r="L5434" s="38">
        <v>46296</v>
      </c>
      <c r="M5434" s="23" t="s">
        <v>108</v>
      </c>
      <c r="N5434" s="23" t="str">
        <f>IF(COUNTIF($A$2:A5434,A5434)&gt;1,"DUP","OK")</f>
        <v>OK</v>
      </c>
      <c r="O5434" s="23" t="str">
        <f t="shared" si="253"/>
        <v>ORD26004097</v>
      </c>
      <c r="P5434" s="23" t="str">
        <f t="shared" si="254"/>
        <v>Oct-Due</v>
      </c>
      <c r="Q5434" s="23" t="str">
        <f>IF(F5434="CAPTURE",IF(COUNTIF(orders!$A:$A,O5434)&gt;0,"Yes","NO ORDER"),"")</f>
        <v>Yes</v>
      </c>
    </row>
    <row r="5435" spans="1:17" ht="15" customHeight="1" x14ac:dyDescent="0.3">
      <c r="A5435" s="23" t="s">
        <v>18669</v>
      </c>
      <c r="B5435" s="23"/>
      <c r="C5435" s="23" t="s">
        <v>8700</v>
      </c>
      <c r="D5435" s="23" t="str">
        <f t="shared" si="252"/>
        <v>ORD26004110</v>
      </c>
      <c r="E5435" s="38">
        <v>46294</v>
      </c>
      <c r="F5435" s="23" t="s">
        <v>12410</v>
      </c>
      <c r="G5435" s="23" t="s">
        <v>77</v>
      </c>
      <c r="H5435" s="24">
        <v>2998</v>
      </c>
      <c r="I5435" s="24">
        <v>50.97</v>
      </c>
      <c r="J5435" s="24">
        <v>9.17</v>
      </c>
      <c r="K5435" s="24">
        <v>2937.86</v>
      </c>
      <c r="L5435" s="38">
        <v>46296</v>
      </c>
      <c r="M5435" s="23" t="s">
        <v>108</v>
      </c>
      <c r="N5435" s="23" t="str">
        <f>IF(COUNTIF($A$2:A5435,A5435)&gt;1,"DUP","OK")</f>
        <v>OK</v>
      </c>
      <c r="O5435" s="23" t="str">
        <f t="shared" si="253"/>
        <v>ORD26004110</v>
      </c>
      <c r="P5435" s="23" t="str">
        <f t="shared" si="254"/>
        <v>Oct-Due</v>
      </c>
      <c r="Q5435" s="23" t="str">
        <f>IF(F5435="CAPTURE",IF(COUNTIF(orders!$A:$A,O5435)&gt;0,"Yes","NO ORDER"),"")</f>
        <v>Yes</v>
      </c>
    </row>
    <row r="5436" spans="1:17" ht="15" customHeight="1" x14ac:dyDescent="0.3">
      <c r="A5436" s="23" t="s">
        <v>18670</v>
      </c>
      <c r="B5436" s="23"/>
      <c r="C5436" s="23" t="s">
        <v>8759</v>
      </c>
      <c r="D5436" s="23" t="str">
        <f t="shared" si="252"/>
        <v>ORD26004140</v>
      </c>
      <c r="E5436" s="38">
        <v>46294</v>
      </c>
      <c r="F5436" s="23" t="s">
        <v>12410</v>
      </c>
      <c r="G5436" s="23" t="s">
        <v>79</v>
      </c>
      <c r="H5436" s="24">
        <v>1298</v>
      </c>
      <c r="I5436" s="24">
        <v>23.36</v>
      </c>
      <c r="J5436" s="24">
        <v>4.2</v>
      </c>
      <c r="K5436" s="24">
        <v>1270.44</v>
      </c>
      <c r="L5436" s="38">
        <v>46296</v>
      </c>
      <c r="M5436" s="23" t="s">
        <v>108</v>
      </c>
      <c r="N5436" s="23" t="str">
        <f>IF(COUNTIF($A$2:A5436,A5436)&gt;1,"DUP","OK")</f>
        <v>OK</v>
      </c>
      <c r="O5436" s="23" t="str">
        <f t="shared" si="253"/>
        <v>ORD26004140</v>
      </c>
      <c r="P5436" s="23" t="str">
        <f t="shared" si="254"/>
        <v>Oct-Due</v>
      </c>
      <c r="Q5436" s="23" t="str">
        <f>IF(F5436="CAPTURE",IF(COUNTIF(orders!$A:$A,O5436)&gt;0,"Yes","NO ORDER"),"")</f>
        <v>Yes</v>
      </c>
    </row>
    <row r="5437" spans="1:17" ht="15" customHeight="1" x14ac:dyDescent="0.3">
      <c r="A5437" s="23" t="s">
        <v>18671</v>
      </c>
      <c r="B5437" s="23"/>
      <c r="C5437" s="23" t="s">
        <v>8831</v>
      </c>
      <c r="D5437" s="23" t="str">
        <f t="shared" si="252"/>
        <v>ORD26004178</v>
      </c>
      <c r="E5437" s="38">
        <v>46294</v>
      </c>
      <c r="F5437" s="23" t="s">
        <v>12410</v>
      </c>
      <c r="G5437" s="23" t="s">
        <v>81</v>
      </c>
      <c r="H5437" s="24">
        <v>7297</v>
      </c>
      <c r="I5437" s="24">
        <v>87.56</v>
      </c>
      <c r="J5437" s="24">
        <v>15.76</v>
      </c>
      <c r="K5437" s="24">
        <v>7193.68</v>
      </c>
      <c r="L5437" s="38">
        <v>46296</v>
      </c>
      <c r="M5437" s="23" t="s">
        <v>108</v>
      </c>
      <c r="N5437" s="23" t="str">
        <f>IF(COUNTIF($A$2:A5437,A5437)&gt;1,"DUP","OK")</f>
        <v>OK</v>
      </c>
      <c r="O5437" s="23" t="str">
        <f t="shared" si="253"/>
        <v>ORD26004178</v>
      </c>
      <c r="P5437" s="23" t="str">
        <f t="shared" si="254"/>
        <v>Oct-Due</v>
      </c>
      <c r="Q5437" s="23" t="str">
        <f>IF(F5437="CAPTURE",IF(COUNTIF(orders!$A:$A,O5437)&gt;0,"Yes","NO ORDER"),"")</f>
        <v>Yes</v>
      </c>
    </row>
    <row r="5438" spans="1:17" ht="15" customHeight="1" x14ac:dyDescent="0.3">
      <c r="A5438" s="23" t="s">
        <v>18672</v>
      </c>
      <c r="B5438" s="23"/>
      <c r="C5438" s="23" t="s">
        <v>8890</v>
      </c>
      <c r="D5438" s="23" t="str">
        <f t="shared" si="252"/>
        <v>ORD26004207</v>
      </c>
      <c r="E5438" s="38">
        <v>46294</v>
      </c>
      <c r="F5438" s="23" t="s">
        <v>12410</v>
      </c>
      <c r="G5438" s="23" t="s">
        <v>75</v>
      </c>
      <c r="H5438" s="24">
        <v>6498</v>
      </c>
      <c r="I5438" s="24">
        <v>19.489999999999998</v>
      </c>
      <c r="J5438" s="24">
        <v>3.51</v>
      </c>
      <c r="K5438" s="24">
        <v>6475</v>
      </c>
      <c r="L5438" s="38">
        <v>46296</v>
      </c>
      <c r="M5438" s="23" t="s">
        <v>108</v>
      </c>
      <c r="N5438" s="23" t="str">
        <f>IF(COUNTIF($A$2:A5438,A5438)&gt;1,"DUP","OK")</f>
        <v>OK</v>
      </c>
      <c r="O5438" s="23" t="str">
        <f t="shared" si="253"/>
        <v>ORD26004207</v>
      </c>
      <c r="P5438" s="23" t="str">
        <f t="shared" si="254"/>
        <v>Oct-Due</v>
      </c>
      <c r="Q5438" s="23" t="str">
        <f>IF(F5438="CAPTURE",IF(COUNTIF(orders!$A:$A,O5438)&gt;0,"Yes","NO ORDER"),"")</f>
        <v>Yes</v>
      </c>
    </row>
    <row r="5439" spans="1:17" ht="15" customHeight="1" x14ac:dyDescent="0.3">
      <c r="A5439" s="23" t="s">
        <v>18673</v>
      </c>
      <c r="B5439" s="23"/>
      <c r="C5439" s="23" t="s">
        <v>9007</v>
      </c>
      <c r="D5439" s="23" t="str">
        <f t="shared" si="252"/>
        <v>ORD26004267</v>
      </c>
      <c r="E5439" s="38">
        <v>46294</v>
      </c>
      <c r="F5439" s="23" t="s">
        <v>12410</v>
      </c>
      <c r="G5439" s="23" t="s">
        <v>75</v>
      </c>
      <c r="H5439" s="24">
        <v>499</v>
      </c>
      <c r="I5439" s="24">
        <v>0</v>
      </c>
      <c r="J5439" s="24">
        <v>0</v>
      </c>
      <c r="K5439" s="24">
        <v>499</v>
      </c>
      <c r="L5439" s="38">
        <v>46296</v>
      </c>
      <c r="M5439" s="23" t="s">
        <v>108</v>
      </c>
      <c r="N5439" s="23" t="str">
        <f>IF(COUNTIF($A$2:A5439,A5439)&gt;1,"DUP","OK")</f>
        <v>OK</v>
      </c>
      <c r="O5439" s="23" t="str">
        <f t="shared" si="253"/>
        <v>ORD26004267</v>
      </c>
      <c r="P5439" s="23" t="str">
        <f t="shared" si="254"/>
        <v>Oct-Due</v>
      </c>
      <c r="Q5439" s="23" t="str">
        <f>IF(F5439="CAPTURE",IF(COUNTIF(orders!$A:$A,O5439)&gt;0,"Yes","NO ORDER"),"")</f>
        <v>Yes</v>
      </c>
    </row>
    <row r="5440" spans="1:17" ht="15" customHeight="1" x14ac:dyDescent="0.3">
      <c r="A5440" s="23" t="s">
        <v>18674</v>
      </c>
      <c r="B5440" s="23"/>
      <c r="C5440" s="23" t="s">
        <v>9114</v>
      </c>
      <c r="D5440" s="23" t="str">
        <f t="shared" si="252"/>
        <v>ORD26004319</v>
      </c>
      <c r="E5440" s="38">
        <v>46294</v>
      </c>
      <c r="F5440" s="23" t="s">
        <v>12410</v>
      </c>
      <c r="G5440" s="23" t="s">
        <v>79</v>
      </c>
      <c r="H5440" s="24">
        <v>1798</v>
      </c>
      <c r="I5440" s="24">
        <v>32.36</v>
      </c>
      <c r="J5440" s="24">
        <v>5.82</v>
      </c>
      <c r="K5440" s="24">
        <v>1759.82</v>
      </c>
      <c r="L5440" s="38">
        <v>46296</v>
      </c>
      <c r="M5440" s="23" t="s">
        <v>108</v>
      </c>
      <c r="N5440" s="23" t="str">
        <f>IF(COUNTIF($A$2:A5440,A5440)&gt;1,"DUP","OK")</f>
        <v>OK</v>
      </c>
      <c r="O5440" s="23" t="str">
        <f t="shared" si="253"/>
        <v>ORD26004319</v>
      </c>
      <c r="P5440" s="23" t="str">
        <f t="shared" si="254"/>
        <v>Oct-Due</v>
      </c>
      <c r="Q5440" s="23" t="str">
        <f>IF(F5440="CAPTURE",IF(COUNTIF(orders!$A:$A,O5440)&gt;0,"Yes","NO ORDER"),"")</f>
        <v>Yes</v>
      </c>
    </row>
    <row r="5441" spans="1:17" ht="15" customHeight="1" x14ac:dyDescent="0.3">
      <c r="A5441" s="23" t="s">
        <v>18675</v>
      </c>
      <c r="B5441" s="23"/>
      <c r="C5441" s="23" t="s">
        <v>9130</v>
      </c>
      <c r="D5441" s="23" t="str">
        <f t="shared" si="252"/>
        <v>ORD26004327</v>
      </c>
      <c r="E5441" s="38">
        <v>46294</v>
      </c>
      <c r="F5441" s="23" t="s">
        <v>12410</v>
      </c>
      <c r="G5441" s="23" t="s">
        <v>77</v>
      </c>
      <c r="H5441" s="24">
        <v>848</v>
      </c>
      <c r="I5441" s="24">
        <v>16.11</v>
      </c>
      <c r="J5441" s="24">
        <v>2.9</v>
      </c>
      <c r="K5441" s="24">
        <v>828.99</v>
      </c>
      <c r="L5441" s="38">
        <v>46296</v>
      </c>
      <c r="M5441" s="23" t="s">
        <v>108</v>
      </c>
      <c r="N5441" s="23" t="str">
        <f>IF(COUNTIF($A$2:A5441,A5441)&gt;1,"DUP","OK")</f>
        <v>OK</v>
      </c>
      <c r="O5441" s="23" t="str">
        <f t="shared" si="253"/>
        <v>ORD26004327</v>
      </c>
      <c r="P5441" s="23" t="str">
        <f t="shared" si="254"/>
        <v>Oct-Due</v>
      </c>
      <c r="Q5441" s="23" t="str">
        <f>IF(F5441="CAPTURE",IF(COUNTIF(orders!$A:$A,O5441)&gt;0,"Yes","NO ORDER"),"")</f>
        <v>Yes</v>
      </c>
    </row>
    <row r="5442" spans="1:17" ht="15" customHeight="1" x14ac:dyDescent="0.3">
      <c r="A5442" s="23" t="s">
        <v>18676</v>
      </c>
      <c r="B5442" s="23"/>
      <c r="C5442" s="23" t="s">
        <v>18677</v>
      </c>
      <c r="D5442" s="23" t="str">
        <f t="shared" ref="D5442:D5505" si="255">UPPER(SUBSTITUTE(TRIM(C5442),"-",""))</f>
        <v>ORD26004333</v>
      </c>
      <c r="E5442" s="38">
        <v>46294</v>
      </c>
      <c r="F5442" s="23" t="s">
        <v>12410</v>
      </c>
      <c r="G5442" s="23" t="s">
        <v>75</v>
      </c>
      <c r="H5442" s="24">
        <v>3298</v>
      </c>
      <c r="I5442" s="24">
        <v>9.89</v>
      </c>
      <c r="J5442" s="24">
        <v>1.78</v>
      </c>
      <c r="K5442" s="24">
        <v>3286.33</v>
      </c>
      <c r="L5442" s="38">
        <v>46296</v>
      </c>
      <c r="M5442" s="23" t="s">
        <v>108</v>
      </c>
      <c r="N5442" s="23" t="str">
        <f>IF(COUNTIF($A$2:A5442,A5442)&gt;1,"DUP","OK")</f>
        <v>OK</v>
      </c>
      <c r="O5442" s="23" t="str">
        <f t="shared" ref="O5442:O5505" si="256">IF(F5442="REFUND",INDEX($D:$D,MATCH(B5442,$A:$A,0)),D5442)</f>
        <v>ORD26004333</v>
      </c>
      <c r="P5442" s="23" t="str">
        <f t="shared" ref="P5442:P5505" si="257">IF(L5442&gt;DATE(2026,9,30),"Oct-Due","Sep")</f>
        <v>Oct-Due</v>
      </c>
      <c r="Q5442" s="23" t="str">
        <f>IF(F5442="CAPTURE",IF(COUNTIF(orders!$A:$A,O5442)&gt;0,"Yes","NO ORDER"),"")</f>
        <v>Yes</v>
      </c>
    </row>
    <row r="5443" spans="1:17" ht="15" customHeight="1" x14ac:dyDescent="0.3">
      <c r="A5443" s="23" t="s">
        <v>18678</v>
      </c>
      <c r="B5443" s="23"/>
      <c r="C5443" s="23" t="s">
        <v>9260</v>
      </c>
      <c r="D5443" s="23" t="str">
        <f t="shared" si="255"/>
        <v>ORD26004393</v>
      </c>
      <c r="E5443" s="38">
        <v>46294</v>
      </c>
      <c r="F5443" s="23" t="s">
        <v>12410</v>
      </c>
      <c r="G5443" s="23" t="s">
        <v>75</v>
      </c>
      <c r="H5443" s="24">
        <v>7999</v>
      </c>
      <c r="I5443" s="24">
        <v>24</v>
      </c>
      <c r="J5443" s="24">
        <v>4.32</v>
      </c>
      <c r="K5443" s="24">
        <v>7970.68</v>
      </c>
      <c r="L5443" s="38">
        <v>46296</v>
      </c>
      <c r="M5443" s="23" t="s">
        <v>108</v>
      </c>
      <c r="N5443" s="23" t="str">
        <f>IF(COUNTIF($A$2:A5443,A5443)&gt;1,"DUP","OK")</f>
        <v>OK</v>
      </c>
      <c r="O5443" s="23" t="str">
        <f t="shared" si="256"/>
        <v>ORD26004393</v>
      </c>
      <c r="P5443" s="23" t="str">
        <f t="shared" si="257"/>
        <v>Oct-Due</v>
      </c>
      <c r="Q5443" s="23" t="str">
        <f>IF(F5443="CAPTURE",IF(COUNTIF(orders!$A:$A,O5443)&gt;0,"Yes","NO ORDER"),"")</f>
        <v>Yes</v>
      </c>
    </row>
    <row r="5444" spans="1:17" ht="15" customHeight="1" x14ac:dyDescent="0.3">
      <c r="A5444" s="23" t="s">
        <v>18679</v>
      </c>
      <c r="B5444" s="23"/>
      <c r="C5444" s="23" t="s">
        <v>9395</v>
      </c>
      <c r="D5444" s="23" t="str">
        <f t="shared" si="255"/>
        <v>ORD26004461</v>
      </c>
      <c r="E5444" s="38">
        <v>46294</v>
      </c>
      <c r="F5444" s="23" t="s">
        <v>12410</v>
      </c>
      <c r="G5444" s="23" t="s">
        <v>75</v>
      </c>
      <c r="H5444" s="24">
        <v>6297</v>
      </c>
      <c r="I5444" s="24">
        <v>18.89</v>
      </c>
      <c r="J5444" s="24">
        <v>3.4</v>
      </c>
      <c r="K5444" s="24">
        <v>6274.71</v>
      </c>
      <c r="L5444" s="38">
        <v>46296</v>
      </c>
      <c r="M5444" s="23" t="s">
        <v>108</v>
      </c>
      <c r="N5444" s="23" t="str">
        <f>IF(COUNTIF($A$2:A5444,A5444)&gt;1,"DUP","OK")</f>
        <v>OK</v>
      </c>
      <c r="O5444" s="23" t="str">
        <f t="shared" si="256"/>
        <v>ORD26004461</v>
      </c>
      <c r="P5444" s="23" t="str">
        <f t="shared" si="257"/>
        <v>Oct-Due</v>
      </c>
      <c r="Q5444" s="23" t="str">
        <f>IF(F5444="CAPTURE",IF(COUNTIF(orders!$A:$A,O5444)&gt;0,"Yes","NO ORDER"),"")</f>
        <v>Yes</v>
      </c>
    </row>
    <row r="5445" spans="1:17" ht="15" customHeight="1" x14ac:dyDescent="0.3">
      <c r="A5445" s="23" t="s">
        <v>18680</v>
      </c>
      <c r="B5445" s="23"/>
      <c r="C5445" s="23" t="s">
        <v>9460</v>
      </c>
      <c r="D5445" s="23" t="str">
        <f t="shared" si="255"/>
        <v>ORD26004494</v>
      </c>
      <c r="E5445" s="38">
        <v>46294</v>
      </c>
      <c r="F5445" s="23" t="s">
        <v>12410</v>
      </c>
      <c r="G5445" s="23" t="s">
        <v>75</v>
      </c>
      <c r="H5445" s="24">
        <v>2499</v>
      </c>
      <c r="I5445" s="24">
        <v>7.5</v>
      </c>
      <c r="J5445" s="24">
        <v>1.35</v>
      </c>
      <c r="K5445" s="24">
        <v>2490.15</v>
      </c>
      <c r="L5445" s="38">
        <v>46296</v>
      </c>
      <c r="M5445" s="23" t="s">
        <v>108</v>
      </c>
      <c r="N5445" s="23" t="str">
        <f>IF(COUNTIF($A$2:A5445,A5445)&gt;1,"DUP","OK")</f>
        <v>OK</v>
      </c>
      <c r="O5445" s="23" t="str">
        <f t="shared" si="256"/>
        <v>ORD26004494</v>
      </c>
      <c r="P5445" s="23" t="str">
        <f t="shared" si="257"/>
        <v>Oct-Due</v>
      </c>
      <c r="Q5445" s="23" t="str">
        <f>IF(F5445="CAPTURE",IF(COUNTIF(orders!$A:$A,O5445)&gt;0,"Yes","NO ORDER"),"")</f>
        <v>Yes</v>
      </c>
    </row>
    <row r="5446" spans="1:17" ht="15" customHeight="1" x14ac:dyDescent="0.3">
      <c r="A5446" s="23" t="s">
        <v>18681</v>
      </c>
      <c r="B5446" s="23"/>
      <c r="C5446" s="23" t="s">
        <v>9626</v>
      </c>
      <c r="D5446" s="23" t="str">
        <f t="shared" si="255"/>
        <v>ORD26004577</v>
      </c>
      <c r="E5446" s="38">
        <v>46294</v>
      </c>
      <c r="F5446" s="23" t="s">
        <v>12410</v>
      </c>
      <c r="G5446" s="23" t="s">
        <v>75</v>
      </c>
      <c r="H5446" s="24">
        <v>9797</v>
      </c>
      <c r="I5446" s="24">
        <v>29.39</v>
      </c>
      <c r="J5446" s="24">
        <v>5.29</v>
      </c>
      <c r="K5446" s="24">
        <v>9762.32</v>
      </c>
      <c r="L5446" s="38">
        <v>46296</v>
      </c>
      <c r="M5446" s="23" t="s">
        <v>108</v>
      </c>
      <c r="N5446" s="23" t="str">
        <f>IF(COUNTIF($A$2:A5446,A5446)&gt;1,"DUP","OK")</f>
        <v>OK</v>
      </c>
      <c r="O5446" s="23" t="str">
        <f t="shared" si="256"/>
        <v>ORD26004577</v>
      </c>
      <c r="P5446" s="23" t="str">
        <f t="shared" si="257"/>
        <v>Oct-Due</v>
      </c>
      <c r="Q5446" s="23" t="str">
        <f>IF(F5446="CAPTURE",IF(COUNTIF(orders!$A:$A,O5446)&gt;0,"Yes","NO ORDER"),"")</f>
        <v>Yes</v>
      </c>
    </row>
    <row r="5447" spans="1:17" ht="15" customHeight="1" x14ac:dyDescent="0.3">
      <c r="A5447" s="23" t="s">
        <v>18682</v>
      </c>
      <c r="B5447" s="23"/>
      <c r="C5447" s="23" t="s">
        <v>9653</v>
      </c>
      <c r="D5447" s="23" t="str">
        <f t="shared" si="255"/>
        <v>ORD26004590</v>
      </c>
      <c r="E5447" s="38">
        <v>46294</v>
      </c>
      <c r="F5447" s="23" t="s">
        <v>12410</v>
      </c>
      <c r="G5447" s="23" t="s">
        <v>75</v>
      </c>
      <c r="H5447" s="24">
        <v>7999</v>
      </c>
      <c r="I5447" s="24">
        <v>24</v>
      </c>
      <c r="J5447" s="24">
        <v>4.32</v>
      </c>
      <c r="K5447" s="24">
        <v>7970.68</v>
      </c>
      <c r="L5447" s="38">
        <v>46296</v>
      </c>
      <c r="M5447" s="23" t="s">
        <v>108</v>
      </c>
      <c r="N5447" s="23" t="str">
        <f>IF(COUNTIF($A$2:A5447,A5447)&gt;1,"DUP","OK")</f>
        <v>OK</v>
      </c>
      <c r="O5447" s="23" t="str">
        <f t="shared" si="256"/>
        <v>ORD26004590</v>
      </c>
      <c r="P5447" s="23" t="str">
        <f t="shared" si="257"/>
        <v>Oct-Due</v>
      </c>
      <c r="Q5447" s="23" t="str">
        <f>IF(F5447="CAPTURE",IF(COUNTIF(orders!$A:$A,O5447)&gt;0,"Yes","NO ORDER"),"")</f>
        <v>Yes</v>
      </c>
    </row>
    <row r="5448" spans="1:17" ht="15" customHeight="1" x14ac:dyDescent="0.3">
      <c r="A5448" s="23" t="s">
        <v>18683</v>
      </c>
      <c r="B5448" s="23"/>
      <c r="C5448" s="23" t="s">
        <v>9692</v>
      </c>
      <c r="D5448" s="23" t="str">
        <f t="shared" si="255"/>
        <v>ORD26004610</v>
      </c>
      <c r="E5448" s="38">
        <v>46294</v>
      </c>
      <c r="F5448" s="23" t="s">
        <v>12410</v>
      </c>
      <c r="G5448" s="23" t="s">
        <v>75</v>
      </c>
      <c r="H5448" s="24">
        <v>1798</v>
      </c>
      <c r="I5448" s="24">
        <v>0</v>
      </c>
      <c r="J5448" s="24">
        <v>0</v>
      </c>
      <c r="K5448" s="24">
        <v>1798</v>
      </c>
      <c r="L5448" s="38">
        <v>46296</v>
      </c>
      <c r="M5448" s="23" t="s">
        <v>108</v>
      </c>
      <c r="N5448" s="23" t="str">
        <f>IF(COUNTIF($A$2:A5448,A5448)&gt;1,"DUP","OK")</f>
        <v>OK</v>
      </c>
      <c r="O5448" s="23" t="str">
        <f t="shared" si="256"/>
        <v>ORD26004610</v>
      </c>
      <c r="P5448" s="23" t="str">
        <f t="shared" si="257"/>
        <v>Oct-Due</v>
      </c>
      <c r="Q5448" s="23" t="str">
        <f>IF(F5448="CAPTURE",IF(COUNTIF(orders!$A:$A,O5448)&gt;0,"Yes","NO ORDER"),"")</f>
        <v>Yes</v>
      </c>
    </row>
    <row r="5449" spans="1:17" ht="15" customHeight="1" x14ac:dyDescent="0.3">
      <c r="A5449" s="23" t="s">
        <v>18684</v>
      </c>
      <c r="B5449" s="23"/>
      <c r="C5449" s="23" t="s">
        <v>9707</v>
      </c>
      <c r="D5449" s="23" t="str">
        <f t="shared" si="255"/>
        <v>ORD26004617</v>
      </c>
      <c r="E5449" s="38">
        <v>46294</v>
      </c>
      <c r="F5449" s="23" t="s">
        <v>12410</v>
      </c>
      <c r="G5449" s="23" t="s">
        <v>75</v>
      </c>
      <c r="H5449" s="24">
        <v>2998</v>
      </c>
      <c r="I5449" s="24">
        <v>8.99</v>
      </c>
      <c r="J5449" s="24">
        <v>1.62</v>
      </c>
      <c r="K5449" s="24">
        <v>2987.39</v>
      </c>
      <c r="L5449" s="38">
        <v>46296</v>
      </c>
      <c r="M5449" s="23" t="s">
        <v>108</v>
      </c>
      <c r="N5449" s="23" t="str">
        <f>IF(COUNTIF($A$2:A5449,A5449)&gt;1,"DUP","OK")</f>
        <v>OK</v>
      </c>
      <c r="O5449" s="23" t="str">
        <f t="shared" si="256"/>
        <v>ORD26004617</v>
      </c>
      <c r="P5449" s="23" t="str">
        <f t="shared" si="257"/>
        <v>Oct-Due</v>
      </c>
      <c r="Q5449" s="23" t="str">
        <f>IF(F5449="CAPTURE",IF(COUNTIF(orders!$A:$A,O5449)&gt;0,"Yes","NO ORDER"),"")</f>
        <v>Yes</v>
      </c>
    </row>
    <row r="5450" spans="1:17" ht="15" customHeight="1" x14ac:dyDescent="0.3">
      <c r="A5450" s="23" t="s">
        <v>18685</v>
      </c>
      <c r="B5450" s="23"/>
      <c r="C5450" s="23" t="s">
        <v>9743</v>
      </c>
      <c r="D5450" s="23" t="str">
        <f t="shared" si="255"/>
        <v>ORD26004635</v>
      </c>
      <c r="E5450" s="38">
        <v>46294</v>
      </c>
      <c r="F5450" s="23" t="s">
        <v>12410</v>
      </c>
      <c r="G5450" s="23" t="s">
        <v>77</v>
      </c>
      <c r="H5450" s="24">
        <v>2499</v>
      </c>
      <c r="I5450" s="24">
        <v>42.48</v>
      </c>
      <c r="J5450" s="24">
        <v>7.65</v>
      </c>
      <c r="K5450" s="24">
        <v>2448.87</v>
      </c>
      <c r="L5450" s="38">
        <v>46296</v>
      </c>
      <c r="M5450" s="23" t="s">
        <v>108</v>
      </c>
      <c r="N5450" s="23" t="str">
        <f>IF(COUNTIF($A$2:A5450,A5450)&gt;1,"DUP","OK")</f>
        <v>OK</v>
      </c>
      <c r="O5450" s="23" t="str">
        <f t="shared" si="256"/>
        <v>ORD26004635</v>
      </c>
      <c r="P5450" s="23" t="str">
        <f t="shared" si="257"/>
        <v>Oct-Due</v>
      </c>
      <c r="Q5450" s="23" t="str">
        <f>IF(F5450="CAPTURE",IF(COUNTIF(orders!$A:$A,O5450)&gt;0,"Yes","NO ORDER"),"")</f>
        <v>Yes</v>
      </c>
    </row>
    <row r="5451" spans="1:17" ht="15" customHeight="1" x14ac:dyDescent="0.3">
      <c r="A5451" s="23" t="s">
        <v>18686</v>
      </c>
      <c r="B5451" s="23"/>
      <c r="C5451" s="23" t="s">
        <v>10184</v>
      </c>
      <c r="D5451" s="23" t="str">
        <f t="shared" si="255"/>
        <v>ORD26004862</v>
      </c>
      <c r="E5451" s="38">
        <v>46294</v>
      </c>
      <c r="F5451" s="23" t="s">
        <v>12410</v>
      </c>
      <c r="G5451" s="23" t="s">
        <v>75</v>
      </c>
      <c r="H5451" s="24">
        <v>2897</v>
      </c>
      <c r="I5451" s="24">
        <v>8.69</v>
      </c>
      <c r="J5451" s="24">
        <v>1.56</v>
      </c>
      <c r="K5451" s="24">
        <v>2886.75</v>
      </c>
      <c r="L5451" s="38">
        <v>46296</v>
      </c>
      <c r="M5451" s="23" t="s">
        <v>108</v>
      </c>
      <c r="N5451" s="23" t="str">
        <f>IF(COUNTIF($A$2:A5451,A5451)&gt;1,"DUP","OK")</f>
        <v>OK</v>
      </c>
      <c r="O5451" s="23" t="str">
        <f t="shared" si="256"/>
        <v>ORD26004862</v>
      </c>
      <c r="P5451" s="23" t="str">
        <f t="shared" si="257"/>
        <v>Oct-Due</v>
      </c>
      <c r="Q5451" s="23" t="str">
        <f>IF(F5451="CAPTURE",IF(COUNTIF(orders!$A:$A,O5451)&gt;0,"Yes","NO ORDER"),"")</f>
        <v>Yes</v>
      </c>
    </row>
    <row r="5452" spans="1:17" ht="15" customHeight="1" x14ac:dyDescent="0.3">
      <c r="A5452" s="23" t="s">
        <v>18687</v>
      </c>
      <c r="B5452" s="23"/>
      <c r="C5452" s="23" t="s">
        <v>10188</v>
      </c>
      <c r="D5452" s="23" t="str">
        <f t="shared" si="255"/>
        <v>ORD26004864</v>
      </c>
      <c r="E5452" s="38">
        <v>46294</v>
      </c>
      <c r="F5452" s="23" t="s">
        <v>12410</v>
      </c>
      <c r="G5452" s="23" t="s">
        <v>75</v>
      </c>
      <c r="H5452" s="24">
        <v>4798</v>
      </c>
      <c r="I5452" s="24">
        <v>14.39</v>
      </c>
      <c r="J5452" s="24">
        <v>2.59</v>
      </c>
      <c r="K5452" s="24">
        <v>4781.0200000000004</v>
      </c>
      <c r="L5452" s="38">
        <v>46296</v>
      </c>
      <c r="M5452" s="23" t="s">
        <v>108</v>
      </c>
      <c r="N5452" s="23" t="str">
        <f>IF(COUNTIF($A$2:A5452,A5452)&gt;1,"DUP","OK")</f>
        <v>OK</v>
      </c>
      <c r="O5452" s="23" t="str">
        <f t="shared" si="256"/>
        <v>ORD26004864</v>
      </c>
      <c r="P5452" s="23" t="str">
        <f t="shared" si="257"/>
        <v>Oct-Due</v>
      </c>
      <c r="Q5452" s="23" t="str">
        <f>IF(F5452="CAPTURE",IF(COUNTIF(orders!$A:$A,O5452)&gt;0,"Yes","NO ORDER"),"")</f>
        <v>Yes</v>
      </c>
    </row>
    <row r="5453" spans="1:17" ht="15" customHeight="1" x14ac:dyDescent="0.3">
      <c r="A5453" s="23" t="s">
        <v>18688</v>
      </c>
      <c r="B5453" s="23"/>
      <c r="C5453" s="23" t="s">
        <v>10220</v>
      </c>
      <c r="D5453" s="23" t="str">
        <f t="shared" si="255"/>
        <v>ORD26004881</v>
      </c>
      <c r="E5453" s="38">
        <v>46294</v>
      </c>
      <c r="F5453" s="23" t="s">
        <v>12410</v>
      </c>
      <c r="G5453" s="23" t="s">
        <v>75</v>
      </c>
      <c r="H5453" s="24">
        <v>3798</v>
      </c>
      <c r="I5453" s="24">
        <v>11.39</v>
      </c>
      <c r="J5453" s="24">
        <v>2.0499999999999998</v>
      </c>
      <c r="K5453" s="24">
        <v>3784.56</v>
      </c>
      <c r="L5453" s="38">
        <v>46296</v>
      </c>
      <c r="M5453" s="23" t="s">
        <v>108</v>
      </c>
      <c r="N5453" s="23" t="str">
        <f>IF(COUNTIF($A$2:A5453,A5453)&gt;1,"DUP","OK")</f>
        <v>OK</v>
      </c>
      <c r="O5453" s="23" t="str">
        <f t="shared" si="256"/>
        <v>ORD26004881</v>
      </c>
      <c r="P5453" s="23" t="str">
        <f t="shared" si="257"/>
        <v>Oct-Due</v>
      </c>
      <c r="Q5453" s="23" t="str">
        <f>IF(F5453="CAPTURE",IF(COUNTIF(orders!$A:$A,O5453)&gt;0,"Yes","NO ORDER"),"")</f>
        <v>Yes</v>
      </c>
    </row>
    <row r="5454" spans="1:17" ht="15" customHeight="1" x14ac:dyDescent="0.3">
      <c r="A5454" s="23" t="s">
        <v>18689</v>
      </c>
      <c r="B5454" s="23"/>
      <c r="C5454" s="23" t="s">
        <v>10226</v>
      </c>
      <c r="D5454" s="23" t="str">
        <f t="shared" si="255"/>
        <v>ORD26004884</v>
      </c>
      <c r="E5454" s="38">
        <v>46294</v>
      </c>
      <c r="F5454" s="23" t="s">
        <v>12410</v>
      </c>
      <c r="G5454" s="23" t="s">
        <v>79</v>
      </c>
      <c r="H5454" s="24">
        <v>299</v>
      </c>
      <c r="I5454" s="24">
        <v>5.38</v>
      </c>
      <c r="J5454" s="24">
        <v>0.97</v>
      </c>
      <c r="K5454" s="24">
        <v>292.64999999999998</v>
      </c>
      <c r="L5454" s="38">
        <v>46296</v>
      </c>
      <c r="M5454" s="23" t="s">
        <v>108</v>
      </c>
      <c r="N5454" s="23" t="str">
        <f>IF(COUNTIF($A$2:A5454,A5454)&gt;1,"DUP","OK")</f>
        <v>OK</v>
      </c>
      <c r="O5454" s="23" t="str">
        <f t="shared" si="256"/>
        <v>ORD26004884</v>
      </c>
      <c r="P5454" s="23" t="str">
        <f t="shared" si="257"/>
        <v>Oct-Due</v>
      </c>
      <c r="Q5454" s="23" t="str">
        <f>IF(F5454="CAPTURE",IF(COUNTIF(orders!$A:$A,O5454)&gt;0,"Yes","NO ORDER"),"")</f>
        <v>Yes</v>
      </c>
    </row>
    <row r="5455" spans="1:17" ht="15" customHeight="1" x14ac:dyDescent="0.3">
      <c r="A5455" s="23" t="s">
        <v>18690</v>
      </c>
      <c r="B5455" s="23"/>
      <c r="C5455" s="23" t="s">
        <v>10415</v>
      </c>
      <c r="D5455" s="23" t="str">
        <f t="shared" si="255"/>
        <v>ORD26004981</v>
      </c>
      <c r="E5455" s="38">
        <v>46294</v>
      </c>
      <c r="F5455" s="23" t="s">
        <v>12410</v>
      </c>
      <c r="G5455" s="23" t="s">
        <v>75</v>
      </c>
      <c r="H5455" s="24">
        <v>6298</v>
      </c>
      <c r="I5455" s="24">
        <v>18.89</v>
      </c>
      <c r="J5455" s="24">
        <v>3.4</v>
      </c>
      <c r="K5455" s="24">
        <v>6275.71</v>
      </c>
      <c r="L5455" s="38">
        <v>46296</v>
      </c>
      <c r="M5455" s="23" t="s">
        <v>108</v>
      </c>
      <c r="N5455" s="23" t="str">
        <f>IF(COUNTIF($A$2:A5455,A5455)&gt;1,"DUP","OK")</f>
        <v>OK</v>
      </c>
      <c r="O5455" s="23" t="str">
        <f t="shared" si="256"/>
        <v>ORD26004981</v>
      </c>
      <c r="P5455" s="23" t="str">
        <f t="shared" si="257"/>
        <v>Oct-Due</v>
      </c>
      <c r="Q5455" s="23" t="str">
        <f>IF(F5455="CAPTURE",IF(COUNTIF(orders!$A:$A,O5455)&gt;0,"Yes","NO ORDER"),"")</f>
        <v>Yes</v>
      </c>
    </row>
    <row r="5456" spans="1:17" ht="15" customHeight="1" x14ac:dyDescent="0.3">
      <c r="A5456" s="23" t="s">
        <v>18691</v>
      </c>
      <c r="B5456" s="23"/>
      <c r="C5456" s="23" t="s">
        <v>10447</v>
      </c>
      <c r="D5456" s="23" t="str">
        <f t="shared" si="255"/>
        <v>ORD26004997</v>
      </c>
      <c r="E5456" s="38">
        <v>46294</v>
      </c>
      <c r="F5456" s="23" t="s">
        <v>12410</v>
      </c>
      <c r="G5456" s="23" t="s">
        <v>77</v>
      </c>
      <c r="H5456" s="24">
        <v>3499</v>
      </c>
      <c r="I5456" s="24">
        <v>59.48</v>
      </c>
      <c r="J5456" s="24">
        <v>10.71</v>
      </c>
      <c r="K5456" s="24">
        <v>3428.81</v>
      </c>
      <c r="L5456" s="38">
        <v>46296</v>
      </c>
      <c r="M5456" s="23" t="s">
        <v>108</v>
      </c>
      <c r="N5456" s="23" t="str">
        <f>IF(COUNTIF($A$2:A5456,A5456)&gt;1,"DUP","OK")</f>
        <v>OK</v>
      </c>
      <c r="O5456" s="23" t="str">
        <f t="shared" si="256"/>
        <v>ORD26004997</v>
      </c>
      <c r="P5456" s="23" t="str">
        <f t="shared" si="257"/>
        <v>Oct-Due</v>
      </c>
      <c r="Q5456" s="23" t="str">
        <f>IF(F5456="CAPTURE",IF(COUNTIF(orders!$A:$A,O5456)&gt;0,"Yes","NO ORDER"),"")</f>
        <v>Yes</v>
      </c>
    </row>
    <row r="5457" spans="1:17" ht="15" customHeight="1" x14ac:dyDescent="0.3">
      <c r="A5457" s="23" t="s">
        <v>18692</v>
      </c>
      <c r="B5457" s="23"/>
      <c r="C5457" s="23" t="s">
        <v>10652</v>
      </c>
      <c r="D5457" s="23" t="str">
        <f t="shared" si="255"/>
        <v>ORD26005104</v>
      </c>
      <c r="E5457" s="38">
        <v>46294</v>
      </c>
      <c r="F5457" s="23" t="s">
        <v>12410</v>
      </c>
      <c r="G5457" s="23" t="s">
        <v>79</v>
      </c>
      <c r="H5457" s="24">
        <v>2597</v>
      </c>
      <c r="I5457" s="24">
        <v>41.55</v>
      </c>
      <c r="J5457" s="24">
        <v>7.48</v>
      </c>
      <c r="K5457" s="24">
        <v>2547.9699999999998</v>
      </c>
      <c r="L5457" s="38">
        <v>46296</v>
      </c>
      <c r="M5457" s="23" t="s">
        <v>108</v>
      </c>
      <c r="N5457" s="23" t="str">
        <f>IF(COUNTIF($A$2:A5457,A5457)&gt;1,"DUP","OK")</f>
        <v>OK</v>
      </c>
      <c r="O5457" s="23" t="str">
        <f t="shared" si="256"/>
        <v>ORD26005104</v>
      </c>
      <c r="P5457" s="23" t="str">
        <f t="shared" si="257"/>
        <v>Oct-Due</v>
      </c>
      <c r="Q5457" s="23" t="str">
        <f>IF(F5457="CAPTURE",IF(COUNTIF(orders!$A:$A,O5457)&gt;0,"Yes","NO ORDER"),"")</f>
        <v>Yes</v>
      </c>
    </row>
    <row r="5458" spans="1:17" ht="15" customHeight="1" x14ac:dyDescent="0.3">
      <c r="A5458" s="23" t="s">
        <v>18693</v>
      </c>
      <c r="B5458" s="23"/>
      <c r="C5458" s="23" t="s">
        <v>10658</v>
      </c>
      <c r="D5458" s="23" t="str">
        <f t="shared" si="255"/>
        <v>ORD26005107</v>
      </c>
      <c r="E5458" s="38">
        <v>46294</v>
      </c>
      <c r="F5458" s="23" t="s">
        <v>12410</v>
      </c>
      <c r="G5458" s="23" t="s">
        <v>75</v>
      </c>
      <c r="H5458" s="24">
        <v>599</v>
      </c>
      <c r="I5458" s="24">
        <v>0</v>
      </c>
      <c r="J5458" s="24">
        <v>0</v>
      </c>
      <c r="K5458" s="24">
        <v>599</v>
      </c>
      <c r="L5458" s="38">
        <v>46296</v>
      </c>
      <c r="M5458" s="23" t="s">
        <v>108</v>
      </c>
      <c r="N5458" s="23" t="str">
        <f>IF(COUNTIF($A$2:A5458,A5458)&gt;1,"DUP","OK")</f>
        <v>OK</v>
      </c>
      <c r="O5458" s="23" t="str">
        <f t="shared" si="256"/>
        <v>ORD26005107</v>
      </c>
      <c r="P5458" s="23" t="str">
        <f t="shared" si="257"/>
        <v>Oct-Due</v>
      </c>
      <c r="Q5458" s="23" t="str">
        <f>IF(F5458="CAPTURE",IF(COUNTIF(orders!$A:$A,O5458)&gt;0,"Yes","NO ORDER"),"")</f>
        <v>Yes</v>
      </c>
    </row>
    <row r="5459" spans="1:17" ht="15" customHeight="1" x14ac:dyDescent="0.3">
      <c r="A5459" s="23" t="s">
        <v>18694</v>
      </c>
      <c r="B5459" s="23"/>
      <c r="C5459" s="23" t="s">
        <v>10775</v>
      </c>
      <c r="D5459" s="23" t="str">
        <f t="shared" si="255"/>
        <v>ORD26005168</v>
      </c>
      <c r="E5459" s="38">
        <v>46294</v>
      </c>
      <c r="F5459" s="23" t="s">
        <v>12410</v>
      </c>
      <c r="G5459" s="23" t="s">
        <v>79</v>
      </c>
      <c r="H5459" s="24">
        <v>1398</v>
      </c>
      <c r="I5459" s="24">
        <v>25.16</v>
      </c>
      <c r="J5459" s="24">
        <v>4.53</v>
      </c>
      <c r="K5459" s="24">
        <v>1368.31</v>
      </c>
      <c r="L5459" s="38">
        <v>46296</v>
      </c>
      <c r="M5459" s="23" t="s">
        <v>108</v>
      </c>
      <c r="N5459" s="23" t="str">
        <f>IF(COUNTIF($A$2:A5459,A5459)&gt;1,"DUP","OK")</f>
        <v>OK</v>
      </c>
      <c r="O5459" s="23" t="str">
        <f t="shared" si="256"/>
        <v>ORD26005168</v>
      </c>
      <c r="P5459" s="23" t="str">
        <f t="shared" si="257"/>
        <v>Oct-Due</v>
      </c>
      <c r="Q5459" s="23" t="str">
        <f>IF(F5459="CAPTURE",IF(COUNTIF(orders!$A:$A,O5459)&gt;0,"Yes","NO ORDER"),"")</f>
        <v>Yes</v>
      </c>
    </row>
    <row r="5460" spans="1:17" ht="15" customHeight="1" x14ac:dyDescent="0.3">
      <c r="A5460" s="23" t="s">
        <v>18695</v>
      </c>
      <c r="B5460" s="23"/>
      <c r="C5460" s="23" t="s">
        <v>18696</v>
      </c>
      <c r="D5460" s="23" t="str">
        <f t="shared" si="255"/>
        <v>ORD26005205</v>
      </c>
      <c r="E5460" s="38">
        <v>46294</v>
      </c>
      <c r="F5460" s="23" t="s">
        <v>12410</v>
      </c>
      <c r="G5460" s="23" t="s">
        <v>75</v>
      </c>
      <c r="H5460" s="24">
        <v>2697</v>
      </c>
      <c r="I5460" s="24">
        <v>8.09</v>
      </c>
      <c r="J5460" s="24">
        <v>1.46</v>
      </c>
      <c r="K5460" s="24">
        <v>2687.45</v>
      </c>
      <c r="L5460" s="38">
        <v>46296</v>
      </c>
      <c r="M5460" s="23" t="s">
        <v>108</v>
      </c>
      <c r="N5460" s="23" t="str">
        <f>IF(COUNTIF($A$2:A5460,A5460)&gt;1,"DUP","OK")</f>
        <v>OK</v>
      </c>
      <c r="O5460" s="23" t="str">
        <f t="shared" si="256"/>
        <v>ORD26005205</v>
      </c>
      <c r="P5460" s="23" t="str">
        <f t="shared" si="257"/>
        <v>Oct-Due</v>
      </c>
      <c r="Q5460" s="23" t="str">
        <f>IF(F5460="CAPTURE",IF(COUNTIF(orders!$A:$A,O5460)&gt;0,"Yes","NO ORDER"),"")</f>
        <v>Yes</v>
      </c>
    </row>
    <row r="5461" spans="1:17" ht="15" customHeight="1" x14ac:dyDescent="0.3">
      <c r="A5461" s="23" t="s">
        <v>18697</v>
      </c>
      <c r="B5461" s="23"/>
      <c r="C5461" s="23" t="s">
        <v>18698</v>
      </c>
      <c r="D5461" s="23" t="str">
        <f t="shared" si="255"/>
        <v>ORD26005240</v>
      </c>
      <c r="E5461" s="38">
        <v>46294</v>
      </c>
      <c r="F5461" s="23" t="s">
        <v>12410</v>
      </c>
      <c r="G5461" s="23" t="s">
        <v>75</v>
      </c>
      <c r="H5461" s="24">
        <v>5597</v>
      </c>
      <c r="I5461" s="24">
        <v>16.79</v>
      </c>
      <c r="J5461" s="24">
        <v>3.02</v>
      </c>
      <c r="K5461" s="24">
        <v>5577.19</v>
      </c>
      <c r="L5461" s="38">
        <v>46296</v>
      </c>
      <c r="M5461" s="23" t="s">
        <v>108</v>
      </c>
      <c r="N5461" s="23" t="str">
        <f>IF(COUNTIF($A$2:A5461,A5461)&gt;1,"DUP","OK")</f>
        <v>OK</v>
      </c>
      <c r="O5461" s="23" t="str">
        <f t="shared" si="256"/>
        <v>ORD26005240</v>
      </c>
      <c r="P5461" s="23" t="str">
        <f t="shared" si="257"/>
        <v>Oct-Due</v>
      </c>
      <c r="Q5461" s="23" t="str">
        <f>IF(F5461="CAPTURE",IF(COUNTIF(orders!$A:$A,O5461)&gt;0,"Yes","NO ORDER"),"")</f>
        <v>Yes</v>
      </c>
    </row>
    <row r="5462" spans="1:17" ht="15" customHeight="1" x14ac:dyDescent="0.3">
      <c r="A5462" s="23" t="s">
        <v>18699</v>
      </c>
      <c r="B5462" s="23"/>
      <c r="C5462" s="23" t="s">
        <v>10968</v>
      </c>
      <c r="D5462" s="23" t="str">
        <f t="shared" si="255"/>
        <v>ORD26005265</v>
      </c>
      <c r="E5462" s="38">
        <v>46294</v>
      </c>
      <c r="F5462" s="23" t="s">
        <v>12410</v>
      </c>
      <c r="G5462" s="23" t="s">
        <v>79</v>
      </c>
      <c r="H5462" s="24">
        <v>4798</v>
      </c>
      <c r="I5462" s="24">
        <v>76.77</v>
      </c>
      <c r="J5462" s="24">
        <v>13.82</v>
      </c>
      <c r="K5462" s="24">
        <v>4707.41</v>
      </c>
      <c r="L5462" s="38">
        <v>46296</v>
      </c>
      <c r="M5462" s="23" t="s">
        <v>108</v>
      </c>
      <c r="N5462" s="23" t="str">
        <f>IF(COUNTIF($A$2:A5462,A5462)&gt;1,"DUP","OK")</f>
        <v>OK</v>
      </c>
      <c r="O5462" s="23" t="str">
        <f t="shared" si="256"/>
        <v>ORD26005265</v>
      </c>
      <c r="P5462" s="23" t="str">
        <f t="shared" si="257"/>
        <v>Oct-Due</v>
      </c>
      <c r="Q5462" s="23" t="str">
        <f>IF(F5462="CAPTURE",IF(COUNTIF(orders!$A:$A,O5462)&gt;0,"Yes","NO ORDER"),"")</f>
        <v>Yes</v>
      </c>
    </row>
    <row r="5463" spans="1:17" ht="15" customHeight="1" x14ac:dyDescent="0.3">
      <c r="A5463" s="23" t="s">
        <v>18700</v>
      </c>
      <c r="B5463" s="23"/>
      <c r="C5463" s="23" t="s">
        <v>11031</v>
      </c>
      <c r="D5463" s="23" t="str">
        <f t="shared" si="255"/>
        <v>ORD26005299</v>
      </c>
      <c r="E5463" s="38">
        <v>46294</v>
      </c>
      <c r="F5463" s="23" t="s">
        <v>12410</v>
      </c>
      <c r="G5463" s="23" t="s">
        <v>79</v>
      </c>
      <c r="H5463" s="24">
        <v>7498</v>
      </c>
      <c r="I5463" s="24">
        <v>119.97</v>
      </c>
      <c r="J5463" s="24">
        <v>21.59</v>
      </c>
      <c r="K5463" s="24">
        <v>7356.44</v>
      </c>
      <c r="L5463" s="38">
        <v>46296</v>
      </c>
      <c r="M5463" s="23" t="s">
        <v>108</v>
      </c>
      <c r="N5463" s="23" t="str">
        <f>IF(COUNTIF($A$2:A5463,A5463)&gt;1,"DUP","OK")</f>
        <v>OK</v>
      </c>
      <c r="O5463" s="23" t="str">
        <f t="shared" si="256"/>
        <v>ORD26005299</v>
      </c>
      <c r="P5463" s="23" t="str">
        <f t="shared" si="257"/>
        <v>Oct-Due</v>
      </c>
      <c r="Q5463" s="23" t="str">
        <f>IF(F5463="CAPTURE",IF(COUNTIF(orders!$A:$A,O5463)&gt;0,"Yes","NO ORDER"),"")</f>
        <v>Yes</v>
      </c>
    </row>
    <row r="5464" spans="1:17" ht="15" customHeight="1" x14ac:dyDescent="0.3">
      <c r="A5464" s="23" t="s">
        <v>18701</v>
      </c>
      <c r="B5464" s="23"/>
      <c r="C5464" s="23" t="s">
        <v>18702</v>
      </c>
      <c r="D5464" s="23" t="str">
        <f t="shared" si="255"/>
        <v>ORD26005337</v>
      </c>
      <c r="E5464" s="38">
        <v>46294</v>
      </c>
      <c r="F5464" s="23" t="s">
        <v>12410</v>
      </c>
      <c r="G5464" s="23" t="s">
        <v>75</v>
      </c>
      <c r="H5464" s="24">
        <v>1998</v>
      </c>
      <c r="I5464" s="24">
        <v>0</v>
      </c>
      <c r="J5464" s="24">
        <v>0</v>
      </c>
      <c r="K5464" s="24">
        <v>1998</v>
      </c>
      <c r="L5464" s="38">
        <v>46296</v>
      </c>
      <c r="M5464" s="23" t="s">
        <v>108</v>
      </c>
      <c r="N5464" s="23" t="str">
        <f>IF(COUNTIF($A$2:A5464,A5464)&gt;1,"DUP","OK")</f>
        <v>OK</v>
      </c>
      <c r="O5464" s="23" t="str">
        <f t="shared" si="256"/>
        <v>ORD26005337</v>
      </c>
      <c r="P5464" s="23" t="str">
        <f t="shared" si="257"/>
        <v>Oct-Due</v>
      </c>
      <c r="Q5464" s="23" t="str">
        <f>IF(F5464="CAPTURE",IF(COUNTIF(orders!$A:$A,O5464)&gt;0,"Yes","NO ORDER"),"")</f>
        <v>Yes</v>
      </c>
    </row>
    <row r="5465" spans="1:17" ht="15" customHeight="1" x14ac:dyDescent="0.3">
      <c r="A5465" s="23" t="s">
        <v>18703</v>
      </c>
      <c r="B5465" s="23"/>
      <c r="C5465" s="23" t="s">
        <v>11301</v>
      </c>
      <c r="D5465" s="23" t="str">
        <f t="shared" si="255"/>
        <v>ORD26005435</v>
      </c>
      <c r="E5465" s="38">
        <v>46294</v>
      </c>
      <c r="F5465" s="23" t="s">
        <v>12410</v>
      </c>
      <c r="G5465" s="23" t="s">
        <v>75</v>
      </c>
      <c r="H5465" s="24">
        <v>2499</v>
      </c>
      <c r="I5465" s="24">
        <v>7.5</v>
      </c>
      <c r="J5465" s="24">
        <v>1.35</v>
      </c>
      <c r="K5465" s="24">
        <v>2490.15</v>
      </c>
      <c r="L5465" s="38">
        <v>46296</v>
      </c>
      <c r="M5465" s="23" t="s">
        <v>108</v>
      </c>
      <c r="N5465" s="23" t="str">
        <f>IF(COUNTIF($A$2:A5465,A5465)&gt;1,"DUP","OK")</f>
        <v>OK</v>
      </c>
      <c r="O5465" s="23" t="str">
        <f t="shared" si="256"/>
        <v>ORD26005435</v>
      </c>
      <c r="P5465" s="23" t="str">
        <f t="shared" si="257"/>
        <v>Oct-Due</v>
      </c>
      <c r="Q5465" s="23" t="str">
        <f>IF(F5465="CAPTURE",IF(COUNTIF(orders!$A:$A,O5465)&gt;0,"Yes","NO ORDER"),"")</f>
        <v>Yes</v>
      </c>
    </row>
    <row r="5466" spans="1:17" ht="15" customHeight="1" x14ac:dyDescent="0.3">
      <c r="A5466" s="23" t="s">
        <v>18704</v>
      </c>
      <c r="B5466" s="23"/>
      <c r="C5466" s="23" t="s">
        <v>18705</v>
      </c>
      <c r="D5466" s="23" t="str">
        <f t="shared" si="255"/>
        <v>ORD26005445</v>
      </c>
      <c r="E5466" s="38">
        <v>46294</v>
      </c>
      <c r="F5466" s="23" t="s">
        <v>12410</v>
      </c>
      <c r="G5466" s="23" t="s">
        <v>75</v>
      </c>
      <c r="H5466" s="24">
        <v>1447</v>
      </c>
      <c r="I5466" s="24">
        <v>0</v>
      </c>
      <c r="J5466" s="24">
        <v>0</v>
      </c>
      <c r="K5466" s="24">
        <v>1447</v>
      </c>
      <c r="L5466" s="38">
        <v>46296</v>
      </c>
      <c r="M5466" s="23" t="s">
        <v>108</v>
      </c>
      <c r="N5466" s="23" t="str">
        <f>IF(COUNTIF($A$2:A5466,A5466)&gt;1,"DUP","OK")</f>
        <v>OK</v>
      </c>
      <c r="O5466" s="23" t="str">
        <f t="shared" si="256"/>
        <v>ORD26005445</v>
      </c>
      <c r="P5466" s="23" t="str">
        <f t="shared" si="257"/>
        <v>Oct-Due</v>
      </c>
      <c r="Q5466" s="23" t="str">
        <f>IF(F5466="CAPTURE",IF(COUNTIF(orders!$A:$A,O5466)&gt;0,"Yes","NO ORDER"),"")</f>
        <v>Yes</v>
      </c>
    </row>
    <row r="5467" spans="1:17" ht="15" customHeight="1" x14ac:dyDescent="0.3">
      <c r="A5467" s="23" t="s">
        <v>18706</v>
      </c>
      <c r="B5467" s="23"/>
      <c r="C5467" s="23" t="s">
        <v>11397</v>
      </c>
      <c r="D5467" s="23" t="str">
        <f t="shared" si="255"/>
        <v>ORD26005484</v>
      </c>
      <c r="E5467" s="38">
        <v>46294</v>
      </c>
      <c r="F5467" s="23" t="s">
        <v>12410</v>
      </c>
      <c r="G5467" s="23" t="s">
        <v>75</v>
      </c>
      <c r="H5467" s="24">
        <v>2999</v>
      </c>
      <c r="I5467" s="24">
        <v>9</v>
      </c>
      <c r="J5467" s="24">
        <v>1.62</v>
      </c>
      <c r="K5467" s="24">
        <v>2988.38</v>
      </c>
      <c r="L5467" s="38">
        <v>46296</v>
      </c>
      <c r="M5467" s="23" t="s">
        <v>108</v>
      </c>
      <c r="N5467" s="23" t="str">
        <f>IF(COUNTIF($A$2:A5467,A5467)&gt;1,"DUP","OK")</f>
        <v>OK</v>
      </c>
      <c r="O5467" s="23" t="str">
        <f t="shared" si="256"/>
        <v>ORD26005484</v>
      </c>
      <c r="P5467" s="23" t="str">
        <f t="shared" si="257"/>
        <v>Oct-Due</v>
      </c>
      <c r="Q5467" s="23" t="str">
        <f>IF(F5467="CAPTURE",IF(COUNTIF(orders!$A:$A,O5467)&gt;0,"Yes","NO ORDER"),"")</f>
        <v>Yes</v>
      </c>
    </row>
    <row r="5468" spans="1:17" ht="15" customHeight="1" x14ac:dyDescent="0.3">
      <c r="A5468" s="23" t="s">
        <v>18707</v>
      </c>
      <c r="B5468" s="23"/>
      <c r="C5468" s="23" t="s">
        <v>11418</v>
      </c>
      <c r="D5468" s="23" t="str">
        <f t="shared" si="255"/>
        <v>ORD26005495</v>
      </c>
      <c r="E5468" s="38">
        <v>46294</v>
      </c>
      <c r="F5468" s="23" t="s">
        <v>12410</v>
      </c>
      <c r="G5468" s="23" t="s">
        <v>75</v>
      </c>
      <c r="H5468" s="24">
        <v>4999</v>
      </c>
      <c r="I5468" s="24">
        <v>15</v>
      </c>
      <c r="J5468" s="24">
        <v>2.7</v>
      </c>
      <c r="K5468" s="24">
        <v>4981.3</v>
      </c>
      <c r="L5468" s="38">
        <v>46296</v>
      </c>
      <c r="M5468" s="23" t="s">
        <v>108</v>
      </c>
      <c r="N5468" s="23" t="str">
        <f>IF(COUNTIF($A$2:A5468,A5468)&gt;1,"DUP","OK")</f>
        <v>OK</v>
      </c>
      <c r="O5468" s="23" t="str">
        <f t="shared" si="256"/>
        <v>ORD26005495</v>
      </c>
      <c r="P5468" s="23" t="str">
        <f t="shared" si="257"/>
        <v>Oct-Due</v>
      </c>
      <c r="Q5468" s="23" t="str">
        <f>IF(F5468="CAPTURE",IF(COUNTIF(orders!$A:$A,O5468)&gt;0,"Yes","NO ORDER"),"")</f>
        <v>Yes</v>
      </c>
    </row>
    <row r="5469" spans="1:17" ht="15" customHeight="1" x14ac:dyDescent="0.3">
      <c r="A5469" s="23" t="s">
        <v>18708</v>
      </c>
      <c r="B5469" s="23"/>
      <c r="C5469" s="23" t="s">
        <v>11472</v>
      </c>
      <c r="D5469" s="23" t="str">
        <f t="shared" si="255"/>
        <v>ORD26005523</v>
      </c>
      <c r="E5469" s="38">
        <v>46294</v>
      </c>
      <c r="F5469" s="23" t="s">
        <v>12410</v>
      </c>
      <c r="G5469" s="23" t="s">
        <v>81</v>
      </c>
      <c r="H5469" s="24">
        <v>3298</v>
      </c>
      <c r="I5469" s="24">
        <v>39.58</v>
      </c>
      <c r="J5469" s="24">
        <v>7.12</v>
      </c>
      <c r="K5469" s="24">
        <v>3251.3</v>
      </c>
      <c r="L5469" s="38">
        <v>46296</v>
      </c>
      <c r="M5469" s="23" t="s">
        <v>108</v>
      </c>
      <c r="N5469" s="23" t="str">
        <f>IF(COUNTIF($A$2:A5469,A5469)&gt;1,"DUP","OK")</f>
        <v>OK</v>
      </c>
      <c r="O5469" s="23" t="str">
        <f t="shared" si="256"/>
        <v>ORD26005523</v>
      </c>
      <c r="P5469" s="23" t="str">
        <f t="shared" si="257"/>
        <v>Oct-Due</v>
      </c>
      <c r="Q5469" s="23" t="str">
        <f>IF(F5469="CAPTURE",IF(COUNTIF(orders!$A:$A,O5469)&gt;0,"Yes","NO ORDER"),"")</f>
        <v>Yes</v>
      </c>
    </row>
    <row r="5470" spans="1:17" ht="15" customHeight="1" x14ac:dyDescent="0.3">
      <c r="A5470" s="23" t="s">
        <v>18709</v>
      </c>
      <c r="B5470" s="23"/>
      <c r="C5470" s="23" t="s">
        <v>18710</v>
      </c>
      <c r="D5470" s="23" t="str">
        <f t="shared" si="255"/>
        <v>ORD26005534</v>
      </c>
      <c r="E5470" s="38">
        <v>46294</v>
      </c>
      <c r="F5470" s="23" t="s">
        <v>12410</v>
      </c>
      <c r="G5470" s="23" t="s">
        <v>77</v>
      </c>
      <c r="H5470" s="24">
        <v>13597</v>
      </c>
      <c r="I5470" s="24">
        <v>231.15</v>
      </c>
      <c r="J5470" s="24">
        <v>41.61</v>
      </c>
      <c r="K5470" s="24">
        <v>13324.24</v>
      </c>
      <c r="L5470" s="38">
        <v>46296</v>
      </c>
      <c r="M5470" s="23" t="s">
        <v>108</v>
      </c>
      <c r="N5470" s="23" t="str">
        <f>IF(COUNTIF($A$2:A5470,A5470)&gt;1,"DUP","OK")</f>
        <v>OK</v>
      </c>
      <c r="O5470" s="23" t="str">
        <f t="shared" si="256"/>
        <v>ORD26005534</v>
      </c>
      <c r="P5470" s="23" t="str">
        <f t="shared" si="257"/>
        <v>Oct-Due</v>
      </c>
      <c r="Q5470" s="23" t="str">
        <f>IF(F5470="CAPTURE",IF(COUNTIF(orders!$A:$A,O5470)&gt;0,"Yes","NO ORDER"),"")</f>
        <v>Yes</v>
      </c>
    </row>
    <row r="5471" spans="1:17" ht="15" customHeight="1" x14ac:dyDescent="0.3">
      <c r="A5471" s="23" t="s">
        <v>18711</v>
      </c>
      <c r="B5471" s="23"/>
      <c r="C5471" s="23" t="s">
        <v>11662</v>
      </c>
      <c r="D5471" s="23" t="str">
        <f t="shared" si="255"/>
        <v>ORD26005620</v>
      </c>
      <c r="E5471" s="38">
        <v>46294</v>
      </c>
      <c r="F5471" s="23" t="s">
        <v>12410</v>
      </c>
      <c r="G5471" s="23" t="s">
        <v>75</v>
      </c>
      <c r="H5471" s="24">
        <v>349</v>
      </c>
      <c r="I5471" s="24">
        <v>0</v>
      </c>
      <c r="J5471" s="24">
        <v>0</v>
      </c>
      <c r="K5471" s="24">
        <v>349</v>
      </c>
      <c r="L5471" s="38">
        <v>46296</v>
      </c>
      <c r="M5471" s="23" t="s">
        <v>108</v>
      </c>
      <c r="N5471" s="23" t="str">
        <f>IF(COUNTIF($A$2:A5471,A5471)&gt;1,"DUP","OK")</f>
        <v>OK</v>
      </c>
      <c r="O5471" s="23" t="str">
        <f t="shared" si="256"/>
        <v>ORD26005620</v>
      </c>
      <c r="P5471" s="23" t="str">
        <f t="shared" si="257"/>
        <v>Oct-Due</v>
      </c>
      <c r="Q5471" s="23" t="str">
        <f>IF(F5471="CAPTURE",IF(COUNTIF(orders!$A:$A,O5471)&gt;0,"Yes","NO ORDER"),"")</f>
        <v>Yes</v>
      </c>
    </row>
    <row r="5472" spans="1:17" ht="15" customHeight="1" x14ac:dyDescent="0.3">
      <c r="A5472" s="23" t="s">
        <v>18712</v>
      </c>
      <c r="B5472" s="23"/>
      <c r="C5472" s="23" t="s">
        <v>11688</v>
      </c>
      <c r="D5472" s="23" t="str">
        <f t="shared" si="255"/>
        <v>ORD26005633</v>
      </c>
      <c r="E5472" s="38">
        <v>46294</v>
      </c>
      <c r="F5472" s="23" t="s">
        <v>12410</v>
      </c>
      <c r="G5472" s="23" t="s">
        <v>79</v>
      </c>
      <c r="H5472" s="24">
        <v>1299</v>
      </c>
      <c r="I5472" s="24">
        <v>23.38</v>
      </c>
      <c r="J5472" s="24">
        <v>4.21</v>
      </c>
      <c r="K5472" s="24">
        <v>1271.4100000000001</v>
      </c>
      <c r="L5472" s="38">
        <v>46296</v>
      </c>
      <c r="M5472" s="23" t="s">
        <v>108</v>
      </c>
      <c r="N5472" s="23" t="str">
        <f>IF(COUNTIF($A$2:A5472,A5472)&gt;1,"DUP","OK")</f>
        <v>OK</v>
      </c>
      <c r="O5472" s="23" t="str">
        <f t="shared" si="256"/>
        <v>ORD26005633</v>
      </c>
      <c r="P5472" s="23" t="str">
        <f t="shared" si="257"/>
        <v>Oct-Due</v>
      </c>
      <c r="Q5472" s="23" t="str">
        <f>IF(F5472="CAPTURE",IF(COUNTIF(orders!$A:$A,O5472)&gt;0,"Yes","NO ORDER"),"")</f>
        <v>Yes</v>
      </c>
    </row>
    <row r="5473" spans="1:17" ht="15" customHeight="1" x14ac:dyDescent="0.3">
      <c r="A5473" s="23" t="s">
        <v>18713</v>
      </c>
      <c r="B5473" s="23"/>
      <c r="C5473" s="23" t="s">
        <v>11716</v>
      </c>
      <c r="D5473" s="23" t="str">
        <f t="shared" si="255"/>
        <v>ORD26005647</v>
      </c>
      <c r="E5473" s="38">
        <v>46294</v>
      </c>
      <c r="F5473" s="23" t="s">
        <v>12410</v>
      </c>
      <c r="G5473" s="23" t="s">
        <v>75</v>
      </c>
      <c r="H5473" s="24">
        <v>2499</v>
      </c>
      <c r="I5473" s="24">
        <v>7.5</v>
      </c>
      <c r="J5473" s="24">
        <v>1.35</v>
      </c>
      <c r="K5473" s="24">
        <v>2490.15</v>
      </c>
      <c r="L5473" s="38">
        <v>46296</v>
      </c>
      <c r="M5473" s="23" t="s">
        <v>108</v>
      </c>
      <c r="N5473" s="23" t="str">
        <f>IF(COUNTIF($A$2:A5473,A5473)&gt;1,"DUP","OK")</f>
        <v>OK</v>
      </c>
      <c r="O5473" s="23" t="str">
        <f t="shared" si="256"/>
        <v>ORD26005647</v>
      </c>
      <c r="P5473" s="23" t="str">
        <f t="shared" si="257"/>
        <v>Oct-Due</v>
      </c>
      <c r="Q5473" s="23" t="str">
        <f>IF(F5473="CAPTURE",IF(COUNTIF(orders!$A:$A,O5473)&gt;0,"Yes","NO ORDER"),"")</f>
        <v>Yes</v>
      </c>
    </row>
    <row r="5474" spans="1:17" ht="15" customHeight="1" x14ac:dyDescent="0.3">
      <c r="A5474" s="23" t="s">
        <v>18714</v>
      </c>
      <c r="B5474" s="23"/>
      <c r="C5474" s="23" t="s">
        <v>11736</v>
      </c>
      <c r="D5474" s="23" t="str">
        <f t="shared" si="255"/>
        <v>ORD26005658</v>
      </c>
      <c r="E5474" s="38">
        <v>46294</v>
      </c>
      <c r="F5474" s="23" t="s">
        <v>12410</v>
      </c>
      <c r="G5474" s="23" t="s">
        <v>77</v>
      </c>
      <c r="H5474" s="24">
        <v>1499</v>
      </c>
      <c r="I5474" s="24">
        <v>28.48</v>
      </c>
      <c r="J5474" s="24">
        <v>5.13</v>
      </c>
      <c r="K5474" s="24">
        <v>1465.39</v>
      </c>
      <c r="L5474" s="38">
        <v>46296</v>
      </c>
      <c r="M5474" s="23" t="s">
        <v>108</v>
      </c>
      <c r="N5474" s="23" t="str">
        <f>IF(COUNTIF($A$2:A5474,A5474)&gt;1,"DUP","OK")</f>
        <v>OK</v>
      </c>
      <c r="O5474" s="23" t="str">
        <f t="shared" si="256"/>
        <v>ORD26005658</v>
      </c>
      <c r="P5474" s="23" t="str">
        <f t="shared" si="257"/>
        <v>Oct-Due</v>
      </c>
      <c r="Q5474" s="23" t="str">
        <f>IF(F5474="CAPTURE",IF(COUNTIF(orders!$A:$A,O5474)&gt;0,"Yes","NO ORDER"),"")</f>
        <v>Yes</v>
      </c>
    </row>
    <row r="5475" spans="1:17" ht="15" customHeight="1" x14ac:dyDescent="0.3">
      <c r="A5475" s="23" t="s">
        <v>18715</v>
      </c>
      <c r="B5475" s="23"/>
      <c r="C5475" s="23" t="s">
        <v>11869</v>
      </c>
      <c r="D5475" s="23" t="str">
        <f t="shared" si="255"/>
        <v>ORD26005727</v>
      </c>
      <c r="E5475" s="38">
        <v>46294</v>
      </c>
      <c r="F5475" s="23" t="s">
        <v>12410</v>
      </c>
      <c r="G5475" s="23" t="s">
        <v>75</v>
      </c>
      <c r="H5475" s="24">
        <v>4097</v>
      </c>
      <c r="I5475" s="24">
        <v>12.29</v>
      </c>
      <c r="J5475" s="24">
        <v>2.21</v>
      </c>
      <c r="K5475" s="24">
        <v>4082.5</v>
      </c>
      <c r="L5475" s="38">
        <v>46296</v>
      </c>
      <c r="M5475" s="23" t="s">
        <v>108</v>
      </c>
      <c r="N5475" s="23" t="str">
        <f>IF(COUNTIF($A$2:A5475,A5475)&gt;1,"DUP","OK")</f>
        <v>OK</v>
      </c>
      <c r="O5475" s="23" t="str">
        <f t="shared" si="256"/>
        <v>ORD26005727</v>
      </c>
      <c r="P5475" s="23" t="str">
        <f t="shared" si="257"/>
        <v>Oct-Due</v>
      </c>
      <c r="Q5475" s="23" t="str">
        <f>IF(F5475="CAPTURE",IF(COUNTIF(orders!$A:$A,O5475)&gt;0,"Yes","NO ORDER"),"")</f>
        <v>Yes</v>
      </c>
    </row>
    <row r="5476" spans="1:17" ht="15" customHeight="1" x14ac:dyDescent="0.3">
      <c r="A5476" s="23" t="s">
        <v>18716</v>
      </c>
      <c r="B5476" s="23"/>
      <c r="C5476" s="23" t="s">
        <v>18717</v>
      </c>
      <c r="D5476" s="23" t="str">
        <f t="shared" si="255"/>
        <v>ORD26005736</v>
      </c>
      <c r="E5476" s="38">
        <v>46294</v>
      </c>
      <c r="F5476" s="23" t="s">
        <v>12410</v>
      </c>
      <c r="G5476" s="23" t="s">
        <v>75</v>
      </c>
      <c r="H5476" s="24">
        <v>11797</v>
      </c>
      <c r="I5476" s="24">
        <v>35.39</v>
      </c>
      <c r="J5476" s="24">
        <v>6.37</v>
      </c>
      <c r="K5476" s="24">
        <v>11755.24</v>
      </c>
      <c r="L5476" s="38">
        <v>46296</v>
      </c>
      <c r="M5476" s="23" t="s">
        <v>108</v>
      </c>
      <c r="N5476" s="23" t="str">
        <f>IF(COUNTIF($A$2:A5476,A5476)&gt;1,"DUP","OK")</f>
        <v>OK</v>
      </c>
      <c r="O5476" s="23" t="str">
        <f t="shared" si="256"/>
        <v>ORD26005736</v>
      </c>
      <c r="P5476" s="23" t="str">
        <f t="shared" si="257"/>
        <v>Oct-Due</v>
      </c>
      <c r="Q5476" s="23" t="str">
        <f>IF(F5476="CAPTURE",IF(COUNTIF(orders!$A:$A,O5476)&gt;0,"Yes","NO ORDER"),"")</f>
        <v>Yes</v>
      </c>
    </row>
    <row r="5477" spans="1:17" ht="15" customHeight="1" x14ac:dyDescent="0.3">
      <c r="A5477" s="23" t="s">
        <v>18718</v>
      </c>
      <c r="B5477" s="23"/>
      <c r="C5477" s="23" t="s">
        <v>11915</v>
      </c>
      <c r="D5477" s="23" t="str">
        <f t="shared" si="255"/>
        <v>ORD26005750</v>
      </c>
      <c r="E5477" s="38">
        <v>46294</v>
      </c>
      <c r="F5477" s="23" t="s">
        <v>12410</v>
      </c>
      <c r="G5477" s="23" t="s">
        <v>77</v>
      </c>
      <c r="H5477" s="24">
        <v>499</v>
      </c>
      <c r="I5477" s="24">
        <v>9.48</v>
      </c>
      <c r="J5477" s="24">
        <v>1.71</v>
      </c>
      <c r="K5477" s="24">
        <v>487.81</v>
      </c>
      <c r="L5477" s="38">
        <v>46296</v>
      </c>
      <c r="M5477" s="23" t="s">
        <v>108</v>
      </c>
      <c r="N5477" s="23" t="str">
        <f>IF(COUNTIF($A$2:A5477,A5477)&gt;1,"DUP","OK")</f>
        <v>OK</v>
      </c>
      <c r="O5477" s="23" t="str">
        <f t="shared" si="256"/>
        <v>ORD26005750</v>
      </c>
      <c r="P5477" s="23" t="str">
        <f t="shared" si="257"/>
        <v>Oct-Due</v>
      </c>
      <c r="Q5477" s="23" t="str">
        <f>IF(F5477="CAPTURE",IF(COUNTIF(orders!$A:$A,O5477)&gt;0,"Yes","NO ORDER"),"")</f>
        <v>Yes</v>
      </c>
    </row>
    <row r="5478" spans="1:17" ht="15" customHeight="1" x14ac:dyDescent="0.3">
      <c r="A5478" s="23" t="s">
        <v>18719</v>
      </c>
      <c r="B5478" s="23"/>
      <c r="C5478" s="23" t="s">
        <v>11938</v>
      </c>
      <c r="D5478" s="23" t="str">
        <f t="shared" si="255"/>
        <v>ORD26005762</v>
      </c>
      <c r="E5478" s="38">
        <v>46294</v>
      </c>
      <c r="F5478" s="23" t="s">
        <v>12410</v>
      </c>
      <c r="G5478" s="23" t="s">
        <v>77</v>
      </c>
      <c r="H5478" s="24">
        <v>7297</v>
      </c>
      <c r="I5478" s="24">
        <v>124.05</v>
      </c>
      <c r="J5478" s="24">
        <v>22.33</v>
      </c>
      <c r="K5478" s="24">
        <v>7150.62</v>
      </c>
      <c r="L5478" s="38">
        <v>46296</v>
      </c>
      <c r="M5478" s="23" t="s">
        <v>108</v>
      </c>
      <c r="N5478" s="23" t="str">
        <f>IF(COUNTIF($A$2:A5478,A5478)&gt;1,"DUP","OK")</f>
        <v>OK</v>
      </c>
      <c r="O5478" s="23" t="str">
        <f t="shared" si="256"/>
        <v>ORD26005762</v>
      </c>
      <c r="P5478" s="23" t="str">
        <f t="shared" si="257"/>
        <v>Oct-Due</v>
      </c>
      <c r="Q5478" s="23" t="str">
        <f>IF(F5478="CAPTURE",IF(COUNTIF(orders!$A:$A,O5478)&gt;0,"Yes","NO ORDER"),"")</f>
        <v>Yes</v>
      </c>
    </row>
    <row r="5479" spans="1:17" ht="15" customHeight="1" x14ac:dyDescent="0.3">
      <c r="A5479" s="23" t="s">
        <v>18720</v>
      </c>
      <c r="B5479" s="23"/>
      <c r="C5479" s="23" t="s">
        <v>12026</v>
      </c>
      <c r="D5479" s="23" t="str">
        <f t="shared" si="255"/>
        <v>ORD26005807</v>
      </c>
      <c r="E5479" s="38">
        <v>46294</v>
      </c>
      <c r="F5479" s="23" t="s">
        <v>12410</v>
      </c>
      <c r="G5479" s="23" t="s">
        <v>81</v>
      </c>
      <c r="H5479" s="24">
        <v>11498</v>
      </c>
      <c r="I5479" s="24">
        <v>103.48</v>
      </c>
      <c r="J5479" s="24">
        <v>18.63</v>
      </c>
      <c r="K5479" s="24">
        <v>11375.89</v>
      </c>
      <c r="L5479" s="38">
        <v>46296</v>
      </c>
      <c r="M5479" s="23" t="s">
        <v>108</v>
      </c>
      <c r="N5479" s="23" t="str">
        <f>IF(COUNTIF($A$2:A5479,A5479)&gt;1,"DUP","OK")</f>
        <v>OK</v>
      </c>
      <c r="O5479" s="23" t="str">
        <f t="shared" si="256"/>
        <v>ORD26005807</v>
      </c>
      <c r="P5479" s="23" t="str">
        <f t="shared" si="257"/>
        <v>Oct-Due</v>
      </c>
      <c r="Q5479" s="23" t="str">
        <f>IF(F5479="CAPTURE",IF(COUNTIF(orders!$A:$A,O5479)&gt;0,"Yes","NO ORDER"),"")</f>
        <v>Yes</v>
      </c>
    </row>
    <row r="5480" spans="1:17" ht="15" customHeight="1" x14ac:dyDescent="0.3">
      <c r="A5480" s="23" t="s">
        <v>18721</v>
      </c>
      <c r="B5480" s="23"/>
      <c r="C5480" s="23" t="s">
        <v>12172</v>
      </c>
      <c r="D5480" s="23" t="str">
        <f t="shared" si="255"/>
        <v>ORD26005886</v>
      </c>
      <c r="E5480" s="38">
        <v>46294</v>
      </c>
      <c r="F5480" s="23" t="s">
        <v>12410</v>
      </c>
      <c r="G5480" s="23" t="s">
        <v>75</v>
      </c>
      <c r="H5480" s="24">
        <v>2798</v>
      </c>
      <c r="I5480" s="24">
        <v>8.39</v>
      </c>
      <c r="J5480" s="24">
        <v>1.51</v>
      </c>
      <c r="K5480" s="24">
        <v>2788.1</v>
      </c>
      <c r="L5480" s="38">
        <v>46296</v>
      </c>
      <c r="M5480" s="23" t="s">
        <v>108</v>
      </c>
      <c r="N5480" s="23" t="str">
        <f>IF(COUNTIF($A$2:A5480,A5480)&gt;1,"DUP","OK")</f>
        <v>OK</v>
      </c>
      <c r="O5480" s="23" t="str">
        <f t="shared" si="256"/>
        <v>ORD26005886</v>
      </c>
      <c r="P5480" s="23" t="str">
        <f t="shared" si="257"/>
        <v>Oct-Due</v>
      </c>
      <c r="Q5480" s="23" t="str">
        <f>IF(F5480="CAPTURE",IF(COUNTIF(orders!$A:$A,O5480)&gt;0,"Yes","NO ORDER"),"")</f>
        <v>Yes</v>
      </c>
    </row>
    <row r="5481" spans="1:17" ht="15" customHeight="1" x14ac:dyDescent="0.3">
      <c r="A5481" s="23" t="s">
        <v>18722</v>
      </c>
      <c r="B5481" s="23"/>
      <c r="C5481" s="23" t="s">
        <v>18723</v>
      </c>
      <c r="D5481" s="23" t="str">
        <f t="shared" si="255"/>
        <v>ORD26005913</v>
      </c>
      <c r="E5481" s="38">
        <v>46294</v>
      </c>
      <c r="F5481" s="23" t="s">
        <v>12410</v>
      </c>
      <c r="G5481" s="23" t="s">
        <v>75</v>
      </c>
      <c r="H5481" s="24">
        <v>3097</v>
      </c>
      <c r="I5481" s="24">
        <v>9.2899999999999991</v>
      </c>
      <c r="J5481" s="24">
        <v>1.67</v>
      </c>
      <c r="K5481" s="24">
        <v>3086.04</v>
      </c>
      <c r="L5481" s="38">
        <v>46296</v>
      </c>
      <c r="M5481" s="23" t="s">
        <v>108</v>
      </c>
      <c r="N5481" s="23" t="str">
        <f>IF(COUNTIF($A$2:A5481,A5481)&gt;1,"DUP","OK")</f>
        <v>OK</v>
      </c>
      <c r="O5481" s="23" t="str">
        <f t="shared" si="256"/>
        <v>ORD26005913</v>
      </c>
      <c r="P5481" s="23" t="str">
        <f t="shared" si="257"/>
        <v>Oct-Due</v>
      </c>
      <c r="Q5481" s="23" t="str">
        <f>IF(F5481="CAPTURE",IF(COUNTIF(orders!$A:$A,O5481)&gt;0,"Yes","NO ORDER"),"")</f>
        <v>Yes</v>
      </c>
    </row>
    <row r="5482" spans="1:17" ht="15" customHeight="1" x14ac:dyDescent="0.3">
      <c r="A5482" s="23" t="s">
        <v>18724</v>
      </c>
      <c r="B5482" s="23"/>
      <c r="C5482" s="23" t="s">
        <v>12238</v>
      </c>
      <c r="D5482" s="23" t="str">
        <f t="shared" si="255"/>
        <v>ORD26005919</v>
      </c>
      <c r="E5482" s="38">
        <v>46294</v>
      </c>
      <c r="F5482" s="23" t="s">
        <v>12410</v>
      </c>
      <c r="G5482" s="23" t="s">
        <v>75</v>
      </c>
      <c r="H5482" s="24">
        <v>2598</v>
      </c>
      <c r="I5482" s="24">
        <v>7.79</v>
      </c>
      <c r="J5482" s="24">
        <v>1.4</v>
      </c>
      <c r="K5482" s="24">
        <v>2588.81</v>
      </c>
      <c r="L5482" s="38">
        <v>46296</v>
      </c>
      <c r="M5482" s="23" t="s">
        <v>108</v>
      </c>
      <c r="N5482" s="23" t="str">
        <f>IF(COUNTIF($A$2:A5482,A5482)&gt;1,"DUP","OK")</f>
        <v>OK</v>
      </c>
      <c r="O5482" s="23" t="str">
        <f t="shared" si="256"/>
        <v>ORD26005919</v>
      </c>
      <c r="P5482" s="23" t="str">
        <f t="shared" si="257"/>
        <v>Oct-Due</v>
      </c>
      <c r="Q5482" s="23" t="str">
        <f>IF(F5482="CAPTURE",IF(COUNTIF(orders!$A:$A,O5482)&gt;0,"Yes","NO ORDER"),"")</f>
        <v>Yes</v>
      </c>
    </row>
    <row r="5483" spans="1:17" ht="15" customHeight="1" x14ac:dyDescent="0.3">
      <c r="A5483" s="23" t="s">
        <v>18725</v>
      </c>
      <c r="B5483" s="23"/>
      <c r="C5483" s="23" t="s">
        <v>12270</v>
      </c>
      <c r="D5483" s="23" t="str">
        <f t="shared" si="255"/>
        <v>ORD26005936</v>
      </c>
      <c r="E5483" s="38">
        <v>46294</v>
      </c>
      <c r="F5483" s="23" t="s">
        <v>12410</v>
      </c>
      <c r="G5483" s="23" t="s">
        <v>75</v>
      </c>
      <c r="H5483" s="24">
        <v>349</v>
      </c>
      <c r="I5483" s="24">
        <v>0</v>
      </c>
      <c r="J5483" s="24">
        <v>0</v>
      </c>
      <c r="K5483" s="24">
        <v>349</v>
      </c>
      <c r="L5483" s="38">
        <v>46296</v>
      </c>
      <c r="M5483" s="23" t="s">
        <v>108</v>
      </c>
      <c r="N5483" s="23" t="str">
        <f>IF(COUNTIF($A$2:A5483,A5483)&gt;1,"DUP","OK")</f>
        <v>OK</v>
      </c>
      <c r="O5483" s="23" t="str">
        <f t="shared" si="256"/>
        <v>ORD26005936</v>
      </c>
      <c r="P5483" s="23" t="str">
        <f t="shared" si="257"/>
        <v>Oct-Due</v>
      </c>
      <c r="Q5483" s="23" t="str">
        <f>IF(F5483="CAPTURE",IF(COUNTIF(orders!$A:$A,O5483)&gt;0,"Yes","NO ORDER"),"")</f>
        <v>Yes</v>
      </c>
    </row>
    <row r="5484" spans="1:17" ht="15" customHeight="1" x14ac:dyDescent="0.3">
      <c r="A5484" s="23" t="s">
        <v>18726</v>
      </c>
      <c r="B5484" s="23"/>
      <c r="C5484" s="23" t="s">
        <v>12285</v>
      </c>
      <c r="D5484" s="23" t="str">
        <f t="shared" si="255"/>
        <v>ORD26005944</v>
      </c>
      <c r="E5484" s="38">
        <v>46294</v>
      </c>
      <c r="F5484" s="23" t="s">
        <v>12410</v>
      </c>
      <c r="G5484" s="23" t="s">
        <v>79</v>
      </c>
      <c r="H5484" s="24">
        <v>4098</v>
      </c>
      <c r="I5484" s="24">
        <v>65.569999999999993</v>
      </c>
      <c r="J5484" s="24">
        <v>11.8</v>
      </c>
      <c r="K5484" s="24">
        <v>4020.63</v>
      </c>
      <c r="L5484" s="38">
        <v>46296</v>
      </c>
      <c r="M5484" s="23" t="s">
        <v>108</v>
      </c>
      <c r="N5484" s="23" t="str">
        <f>IF(COUNTIF($A$2:A5484,A5484)&gt;1,"DUP","OK")</f>
        <v>OK</v>
      </c>
      <c r="O5484" s="23" t="str">
        <f t="shared" si="256"/>
        <v>ORD26005944</v>
      </c>
      <c r="P5484" s="23" t="str">
        <f t="shared" si="257"/>
        <v>Oct-Due</v>
      </c>
      <c r="Q5484" s="23" t="str">
        <f>IF(F5484="CAPTURE",IF(COUNTIF(orders!$A:$A,O5484)&gt;0,"Yes","NO ORDER"),"")</f>
        <v>Yes</v>
      </c>
    </row>
    <row r="5485" spans="1:17" ht="15" customHeight="1" x14ac:dyDescent="0.3">
      <c r="A5485" s="23" t="s">
        <v>18727</v>
      </c>
      <c r="B5485" s="23"/>
      <c r="C5485" s="23" t="s">
        <v>12349</v>
      </c>
      <c r="D5485" s="23" t="str">
        <f t="shared" si="255"/>
        <v>ORD26005979</v>
      </c>
      <c r="E5485" s="38">
        <v>46294</v>
      </c>
      <c r="F5485" s="23" t="s">
        <v>12410</v>
      </c>
      <c r="G5485" s="23" t="s">
        <v>79</v>
      </c>
      <c r="H5485" s="24">
        <v>3499</v>
      </c>
      <c r="I5485" s="24">
        <v>55.98</v>
      </c>
      <c r="J5485" s="24">
        <v>10.08</v>
      </c>
      <c r="K5485" s="24">
        <v>3432.94</v>
      </c>
      <c r="L5485" s="38">
        <v>46296</v>
      </c>
      <c r="M5485" s="23" t="s">
        <v>108</v>
      </c>
      <c r="N5485" s="23" t="str">
        <f>IF(COUNTIF($A$2:A5485,A5485)&gt;1,"DUP","OK")</f>
        <v>OK</v>
      </c>
      <c r="O5485" s="23" t="str">
        <f t="shared" si="256"/>
        <v>ORD26005979</v>
      </c>
      <c r="P5485" s="23" t="str">
        <f t="shared" si="257"/>
        <v>Oct-Due</v>
      </c>
      <c r="Q5485" s="23" t="str">
        <f>IF(F5485="CAPTURE",IF(COUNTIF(orders!$A:$A,O5485)&gt;0,"Yes","NO ORDER"),"")</f>
        <v>Yes</v>
      </c>
    </row>
    <row r="5486" spans="1:17" ht="15" customHeight="1" x14ac:dyDescent="0.3">
      <c r="A5486" s="23" t="s">
        <v>18728</v>
      </c>
      <c r="B5486" s="23"/>
      <c r="C5486" s="23" t="s">
        <v>12355</v>
      </c>
      <c r="D5486" s="23" t="str">
        <f t="shared" si="255"/>
        <v>ORD26005982</v>
      </c>
      <c r="E5486" s="38">
        <v>46294</v>
      </c>
      <c r="F5486" s="23" t="s">
        <v>12410</v>
      </c>
      <c r="G5486" s="23" t="s">
        <v>75</v>
      </c>
      <c r="H5486" s="24">
        <v>599</v>
      </c>
      <c r="I5486" s="24">
        <v>0</v>
      </c>
      <c r="J5486" s="24">
        <v>0</v>
      </c>
      <c r="K5486" s="24">
        <v>599</v>
      </c>
      <c r="L5486" s="38">
        <v>46296</v>
      </c>
      <c r="M5486" s="23" t="s">
        <v>108</v>
      </c>
      <c r="N5486" s="23" t="str">
        <f>IF(COUNTIF($A$2:A5486,A5486)&gt;1,"DUP","OK")</f>
        <v>OK</v>
      </c>
      <c r="O5486" s="23" t="str">
        <f t="shared" si="256"/>
        <v>ORD26005982</v>
      </c>
      <c r="P5486" s="23" t="str">
        <f t="shared" si="257"/>
        <v>Oct-Due</v>
      </c>
      <c r="Q5486" s="23" t="str">
        <f>IF(F5486="CAPTURE",IF(COUNTIF(orders!$A:$A,O5486)&gt;0,"Yes","NO ORDER"),"")</f>
        <v>Yes</v>
      </c>
    </row>
    <row r="5487" spans="1:17" ht="15" customHeight="1" x14ac:dyDescent="0.3">
      <c r="A5487" s="23" t="s">
        <v>18729</v>
      </c>
      <c r="B5487" s="23" t="s">
        <v>17982</v>
      </c>
      <c r="C5487" s="23"/>
      <c r="D5487" s="23" t="str">
        <f t="shared" si="255"/>
        <v/>
      </c>
      <c r="E5487" s="38">
        <v>46294</v>
      </c>
      <c r="F5487" s="23" t="s">
        <v>12791</v>
      </c>
      <c r="G5487" s="23" t="s">
        <v>77</v>
      </c>
      <c r="H5487" s="24">
        <v>1799</v>
      </c>
      <c r="I5487" s="24">
        <v>0</v>
      </c>
      <c r="J5487" s="24">
        <v>0</v>
      </c>
      <c r="K5487" s="24">
        <v>-1799</v>
      </c>
      <c r="L5487" s="38">
        <v>46296</v>
      </c>
      <c r="M5487" s="23" t="s">
        <v>108</v>
      </c>
      <c r="N5487" s="23" t="str">
        <f>IF(COUNTIF($A$2:A5487,A5487)&gt;1,"DUP","OK")</f>
        <v>OK</v>
      </c>
      <c r="O5487" s="23" t="str">
        <f t="shared" si="256"/>
        <v>ORD26003320</v>
      </c>
      <c r="P5487" s="23" t="str">
        <f t="shared" si="257"/>
        <v>Oct-Due</v>
      </c>
      <c r="Q5487" s="23" t="str">
        <f>IF(F5487="CAPTURE",IF(COUNTIF(orders!$A:$A,O5487)&gt;0,"Yes","NO ORDER"),"")</f>
        <v/>
      </c>
    </row>
    <row r="5488" spans="1:17" ht="15" customHeight="1" x14ac:dyDescent="0.3">
      <c r="A5488" s="23" t="s">
        <v>18730</v>
      </c>
      <c r="B5488" s="23" t="s">
        <v>17225</v>
      </c>
      <c r="C5488" s="23"/>
      <c r="D5488" s="23" t="str">
        <f t="shared" si="255"/>
        <v/>
      </c>
      <c r="E5488" s="38">
        <v>46294</v>
      </c>
      <c r="F5488" s="23" t="s">
        <v>12791</v>
      </c>
      <c r="G5488" s="23" t="s">
        <v>79</v>
      </c>
      <c r="H5488" s="24">
        <v>1299</v>
      </c>
      <c r="I5488" s="24">
        <v>0</v>
      </c>
      <c r="J5488" s="24">
        <v>0</v>
      </c>
      <c r="K5488" s="24">
        <v>-1299</v>
      </c>
      <c r="L5488" s="38">
        <v>46296</v>
      </c>
      <c r="M5488" s="23" t="s">
        <v>108</v>
      </c>
      <c r="N5488" s="23" t="str">
        <f>IF(COUNTIF($A$2:A5488,A5488)&gt;1,"DUP","OK")</f>
        <v>OK</v>
      </c>
      <c r="O5488" s="23" t="str">
        <f t="shared" si="256"/>
        <v>ORD26000027</v>
      </c>
      <c r="P5488" s="23" t="str">
        <f t="shared" si="257"/>
        <v>Oct-Due</v>
      </c>
      <c r="Q5488" s="23" t="str">
        <f>IF(F5488="CAPTURE",IF(COUNTIF(orders!$A:$A,O5488)&gt;0,"Yes","NO ORDER"),"")</f>
        <v/>
      </c>
    </row>
    <row r="5489" spans="1:17" ht="15" customHeight="1" x14ac:dyDescent="0.3">
      <c r="A5489" s="23" t="s">
        <v>18731</v>
      </c>
      <c r="B5489" s="23" t="s">
        <v>17784</v>
      </c>
      <c r="C5489" s="23"/>
      <c r="D5489" s="23" t="str">
        <f t="shared" si="255"/>
        <v/>
      </c>
      <c r="E5489" s="38">
        <v>46294</v>
      </c>
      <c r="F5489" s="23" t="s">
        <v>12791</v>
      </c>
      <c r="G5489" s="23" t="s">
        <v>79</v>
      </c>
      <c r="H5489" s="24">
        <v>349</v>
      </c>
      <c r="I5489" s="24">
        <v>0</v>
      </c>
      <c r="J5489" s="24">
        <v>0</v>
      </c>
      <c r="K5489" s="24">
        <v>-349</v>
      </c>
      <c r="L5489" s="38">
        <v>46296</v>
      </c>
      <c r="M5489" s="23" t="s">
        <v>108</v>
      </c>
      <c r="N5489" s="23" t="str">
        <f>IF(COUNTIF($A$2:A5489,A5489)&gt;1,"DUP","OK")</f>
        <v>OK</v>
      </c>
      <c r="O5489" s="23" t="str">
        <f t="shared" si="256"/>
        <v>ORD26004063</v>
      </c>
      <c r="P5489" s="23" t="str">
        <f t="shared" si="257"/>
        <v>Oct-Due</v>
      </c>
      <c r="Q5489" s="23" t="str">
        <f>IF(F5489="CAPTURE",IF(COUNTIF(orders!$A:$A,O5489)&gt;0,"Yes","NO ORDER"),"")</f>
        <v/>
      </c>
    </row>
    <row r="5490" spans="1:17" ht="15" customHeight="1" x14ac:dyDescent="0.3">
      <c r="A5490" s="23" t="s">
        <v>18732</v>
      </c>
      <c r="B5490" s="23" t="s">
        <v>17548</v>
      </c>
      <c r="C5490" s="23"/>
      <c r="D5490" s="23" t="str">
        <f t="shared" si="255"/>
        <v/>
      </c>
      <c r="E5490" s="38">
        <v>46294</v>
      </c>
      <c r="F5490" s="23" t="s">
        <v>12791</v>
      </c>
      <c r="G5490" s="23" t="s">
        <v>75</v>
      </c>
      <c r="H5490" s="24">
        <v>3298</v>
      </c>
      <c r="I5490" s="24">
        <v>0</v>
      </c>
      <c r="J5490" s="24">
        <v>0</v>
      </c>
      <c r="K5490" s="24">
        <v>-3298</v>
      </c>
      <c r="L5490" s="38">
        <v>46296</v>
      </c>
      <c r="M5490" s="23" t="s">
        <v>108</v>
      </c>
      <c r="N5490" s="23" t="str">
        <f>IF(COUNTIF($A$2:A5490,A5490)&gt;1,"DUP","OK")</f>
        <v>OK</v>
      </c>
      <c r="O5490" s="23" t="str">
        <f t="shared" si="256"/>
        <v>ORD26003725</v>
      </c>
      <c r="P5490" s="23" t="str">
        <f t="shared" si="257"/>
        <v>Oct-Due</v>
      </c>
      <c r="Q5490" s="23" t="str">
        <f>IF(F5490="CAPTURE",IF(COUNTIF(orders!$A:$A,O5490)&gt;0,"Yes","NO ORDER"),"")</f>
        <v/>
      </c>
    </row>
    <row r="5491" spans="1:17" ht="15" customHeight="1" x14ac:dyDescent="0.3">
      <c r="A5491" s="23" t="s">
        <v>18733</v>
      </c>
      <c r="B5491" s="23" t="s">
        <v>17665</v>
      </c>
      <c r="C5491" s="23"/>
      <c r="D5491" s="23" t="str">
        <f t="shared" si="255"/>
        <v/>
      </c>
      <c r="E5491" s="38">
        <v>46294</v>
      </c>
      <c r="F5491" s="23" t="s">
        <v>12791</v>
      </c>
      <c r="G5491" s="23" t="s">
        <v>75</v>
      </c>
      <c r="H5491" s="24">
        <v>1299</v>
      </c>
      <c r="I5491" s="24">
        <v>0</v>
      </c>
      <c r="J5491" s="24">
        <v>0</v>
      </c>
      <c r="K5491" s="24">
        <v>-1299</v>
      </c>
      <c r="L5491" s="38">
        <v>46296</v>
      </c>
      <c r="M5491" s="23" t="s">
        <v>108</v>
      </c>
      <c r="N5491" s="23" t="str">
        <f>IF(COUNTIF($A$2:A5491,A5491)&gt;1,"DUP","OK")</f>
        <v>OK</v>
      </c>
      <c r="O5491" s="23" t="str">
        <f t="shared" si="256"/>
        <v>ORD26000843</v>
      </c>
      <c r="P5491" s="23" t="str">
        <f t="shared" si="257"/>
        <v>Oct-Due</v>
      </c>
      <c r="Q5491" s="23" t="str">
        <f>IF(F5491="CAPTURE",IF(COUNTIF(orders!$A:$A,O5491)&gt;0,"Yes","NO ORDER"),"")</f>
        <v/>
      </c>
    </row>
    <row r="5492" spans="1:17" ht="15" customHeight="1" x14ac:dyDescent="0.3">
      <c r="A5492" s="23" t="s">
        <v>18734</v>
      </c>
      <c r="B5492" s="23" t="s">
        <v>17905</v>
      </c>
      <c r="C5492" s="23"/>
      <c r="D5492" s="23" t="str">
        <f t="shared" si="255"/>
        <v/>
      </c>
      <c r="E5492" s="38">
        <v>46294</v>
      </c>
      <c r="F5492" s="23" t="s">
        <v>12791</v>
      </c>
      <c r="G5492" s="23" t="s">
        <v>81</v>
      </c>
      <c r="H5492" s="24">
        <v>5497</v>
      </c>
      <c r="I5492" s="24">
        <v>0</v>
      </c>
      <c r="J5492" s="24">
        <v>0</v>
      </c>
      <c r="K5492" s="24">
        <v>-5497</v>
      </c>
      <c r="L5492" s="38">
        <v>46296</v>
      </c>
      <c r="M5492" s="23" t="s">
        <v>108</v>
      </c>
      <c r="N5492" s="23" t="str">
        <f>IF(COUNTIF($A$2:A5492,A5492)&gt;1,"DUP","OK")</f>
        <v>OK</v>
      </c>
      <c r="O5492" s="23" t="str">
        <f t="shared" si="256"/>
        <v>ORD26001000</v>
      </c>
      <c r="P5492" s="23" t="str">
        <f t="shared" si="257"/>
        <v>Oct-Due</v>
      </c>
      <c r="Q5492" s="23" t="str">
        <f>IF(F5492="CAPTURE",IF(COUNTIF(orders!$A:$A,O5492)&gt;0,"Yes","NO ORDER"),"")</f>
        <v/>
      </c>
    </row>
    <row r="5493" spans="1:17" ht="15" customHeight="1" x14ac:dyDescent="0.3">
      <c r="A5493" s="23" t="s">
        <v>18735</v>
      </c>
      <c r="B5493" s="23" t="s">
        <v>18301</v>
      </c>
      <c r="C5493" s="23"/>
      <c r="D5493" s="23" t="str">
        <f t="shared" si="255"/>
        <v/>
      </c>
      <c r="E5493" s="38">
        <v>46294</v>
      </c>
      <c r="F5493" s="23" t="s">
        <v>12791</v>
      </c>
      <c r="G5493" s="23" t="s">
        <v>81</v>
      </c>
      <c r="H5493" s="24">
        <v>7797</v>
      </c>
      <c r="I5493" s="24">
        <v>0</v>
      </c>
      <c r="J5493" s="24">
        <v>0</v>
      </c>
      <c r="K5493" s="24">
        <v>-7797</v>
      </c>
      <c r="L5493" s="38">
        <v>46296</v>
      </c>
      <c r="M5493" s="23" t="s">
        <v>108</v>
      </c>
      <c r="N5493" s="23" t="str">
        <f>IF(COUNTIF($A$2:A5493,A5493)&gt;1,"DUP","OK")</f>
        <v>OK</v>
      </c>
      <c r="O5493" s="23" t="str">
        <f t="shared" si="256"/>
        <v>ORD26000169</v>
      </c>
      <c r="P5493" s="23" t="str">
        <f t="shared" si="257"/>
        <v>Oct-Due</v>
      </c>
      <c r="Q5493" s="23" t="str">
        <f>IF(F5493="CAPTURE",IF(COUNTIF(orders!$A:$A,O5493)&gt;0,"Yes","NO ORDER"),"")</f>
        <v/>
      </c>
    </row>
    <row r="5494" spans="1:17" ht="15" customHeight="1" x14ac:dyDescent="0.3">
      <c r="A5494" s="23" t="s">
        <v>18736</v>
      </c>
      <c r="B5494" s="23" t="s">
        <v>17610</v>
      </c>
      <c r="C5494" s="23"/>
      <c r="D5494" s="23" t="str">
        <f t="shared" si="255"/>
        <v/>
      </c>
      <c r="E5494" s="38">
        <v>46294</v>
      </c>
      <c r="F5494" s="23" t="s">
        <v>12791</v>
      </c>
      <c r="G5494" s="23" t="s">
        <v>81</v>
      </c>
      <c r="H5494" s="24">
        <v>1799</v>
      </c>
      <c r="I5494" s="24">
        <v>0</v>
      </c>
      <c r="J5494" s="24">
        <v>0</v>
      </c>
      <c r="K5494" s="24">
        <v>-1799</v>
      </c>
      <c r="L5494" s="38">
        <v>46296</v>
      </c>
      <c r="M5494" s="23" t="s">
        <v>108</v>
      </c>
      <c r="N5494" s="23" t="str">
        <f>IF(COUNTIF($A$2:A5494,A5494)&gt;1,"DUP","OK")</f>
        <v>OK</v>
      </c>
      <c r="O5494" s="23" t="str">
        <f t="shared" si="256"/>
        <v>ORD26005409</v>
      </c>
      <c r="P5494" s="23" t="str">
        <f t="shared" si="257"/>
        <v>Oct-Due</v>
      </c>
      <c r="Q5494" s="23" t="str">
        <f>IF(F5494="CAPTURE",IF(COUNTIF(orders!$A:$A,O5494)&gt;0,"Yes","NO ORDER"),"")</f>
        <v/>
      </c>
    </row>
    <row r="5495" spans="1:17" ht="15" customHeight="1" x14ac:dyDescent="0.3">
      <c r="A5495" s="23" t="s">
        <v>18737</v>
      </c>
      <c r="B5495" s="23" t="s">
        <v>18026</v>
      </c>
      <c r="C5495" s="23"/>
      <c r="D5495" s="23" t="str">
        <f t="shared" si="255"/>
        <v/>
      </c>
      <c r="E5495" s="38">
        <v>46294</v>
      </c>
      <c r="F5495" s="23" t="s">
        <v>12791</v>
      </c>
      <c r="G5495" s="23" t="s">
        <v>75</v>
      </c>
      <c r="H5495" s="24">
        <v>3798</v>
      </c>
      <c r="I5495" s="24">
        <v>0</v>
      </c>
      <c r="J5495" s="24">
        <v>0</v>
      </c>
      <c r="K5495" s="24">
        <v>-3798</v>
      </c>
      <c r="L5495" s="38">
        <v>46296</v>
      </c>
      <c r="M5495" s="23" t="s">
        <v>108</v>
      </c>
      <c r="N5495" s="23" t="str">
        <f>IF(COUNTIF($A$2:A5495,A5495)&gt;1,"DUP","OK")</f>
        <v>OK</v>
      </c>
      <c r="O5495" s="23" t="str">
        <f t="shared" si="256"/>
        <v>ORD26004702</v>
      </c>
      <c r="P5495" s="23" t="str">
        <f t="shared" si="257"/>
        <v>Oct-Due</v>
      </c>
      <c r="Q5495" s="23" t="str">
        <f>IF(F5495="CAPTURE",IF(COUNTIF(orders!$A:$A,O5495)&gt;0,"Yes","NO ORDER"),"")</f>
        <v/>
      </c>
    </row>
    <row r="5496" spans="1:17" ht="15" customHeight="1" x14ac:dyDescent="0.3">
      <c r="A5496" s="23" t="s">
        <v>18738</v>
      </c>
      <c r="B5496" s="23" t="s">
        <v>18270</v>
      </c>
      <c r="C5496" s="23"/>
      <c r="D5496" s="23" t="str">
        <f t="shared" si="255"/>
        <v/>
      </c>
      <c r="E5496" s="38">
        <v>46294</v>
      </c>
      <c r="F5496" s="23" t="s">
        <v>12791</v>
      </c>
      <c r="G5496" s="23" t="s">
        <v>77</v>
      </c>
      <c r="H5496" s="24">
        <v>799</v>
      </c>
      <c r="I5496" s="24">
        <v>0</v>
      </c>
      <c r="J5496" s="24">
        <v>0</v>
      </c>
      <c r="K5496" s="24">
        <v>-799</v>
      </c>
      <c r="L5496" s="38">
        <v>46296</v>
      </c>
      <c r="M5496" s="23" t="s">
        <v>108</v>
      </c>
      <c r="N5496" s="23" t="str">
        <f>IF(COUNTIF($A$2:A5496,A5496)&gt;1,"DUP","OK")</f>
        <v>OK</v>
      </c>
      <c r="O5496" s="23" t="str">
        <f t="shared" si="256"/>
        <v>ORD26005415</v>
      </c>
      <c r="P5496" s="23" t="str">
        <f t="shared" si="257"/>
        <v>Oct-Due</v>
      </c>
      <c r="Q5496" s="23" t="str">
        <f>IF(F5496="CAPTURE",IF(COUNTIF(orders!$A:$A,O5496)&gt;0,"Yes","NO ORDER"),"")</f>
        <v/>
      </c>
    </row>
    <row r="5497" spans="1:17" ht="15" customHeight="1" x14ac:dyDescent="0.3">
      <c r="A5497" s="23" t="s">
        <v>18739</v>
      </c>
      <c r="B5497" s="23" t="s">
        <v>17996</v>
      </c>
      <c r="C5497" s="23"/>
      <c r="D5497" s="23" t="str">
        <f t="shared" si="255"/>
        <v/>
      </c>
      <c r="E5497" s="38">
        <v>46294</v>
      </c>
      <c r="F5497" s="23" t="s">
        <v>12791</v>
      </c>
      <c r="G5497" s="23" t="s">
        <v>75</v>
      </c>
      <c r="H5497" s="24">
        <v>848</v>
      </c>
      <c r="I5497" s="24">
        <v>0</v>
      </c>
      <c r="J5497" s="24">
        <v>0</v>
      </c>
      <c r="K5497" s="24">
        <v>-848</v>
      </c>
      <c r="L5497" s="38">
        <v>46296</v>
      </c>
      <c r="M5497" s="23" t="s">
        <v>108</v>
      </c>
      <c r="N5497" s="23" t="str">
        <f>IF(COUNTIF($A$2:A5497,A5497)&gt;1,"DUP","OK")</f>
        <v>OK</v>
      </c>
      <c r="O5497" s="23" t="str">
        <f t="shared" si="256"/>
        <v>ORD26003684</v>
      </c>
      <c r="P5497" s="23" t="str">
        <f t="shared" si="257"/>
        <v>Oct-Due</v>
      </c>
      <c r="Q5497" s="23" t="str">
        <f>IF(F5497="CAPTURE",IF(COUNTIF(orders!$A:$A,O5497)&gt;0,"Yes","NO ORDER"),"")</f>
        <v/>
      </c>
    </row>
    <row r="5498" spans="1:17" ht="15" customHeight="1" x14ac:dyDescent="0.3">
      <c r="A5498" s="23" t="s">
        <v>18740</v>
      </c>
      <c r="B5498" s="23" t="s">
        <v>17241</v>
      </c>
      <c r="C5498" s="23"/>
      <c r="D5498" s="23" t="str">
        <f t="shared" si="255"/>
        <v/>
      </c>
      <c r="E5498" s="38">
        <v>46294</v>
      </c>
      <c r="F5498" s="23" t="s">
        <v>12791</v>
      </c>
      <c r="G5498" s="23" t="s">
        <v>75</v>
      </c>
      <c r="H5498" s="24">
        <v>1498</v>
      </c>
      <c r="I5498" s="24">
        <v>0</v>
      </c>
      <c r="J5498" s="24">
        <v>0</v>
      </c>
      <c r="K5498" s="24">
        <v>-1498</v>
      </c>
      <c r="L5498" s="38">
        <v>46296</v>
      </c>
      <c r="M5498" s="23" t="s">
        <v>108</v>
      </c>
      <c r="N5498" s="23" t="str">
        <f>IF(COUNTIF($A$2:A5498,A5498)&gt;1,"DUP","OK")</f>
        <v>OK</v>
      </c>
      <c r="O5498" s="23" t="str">
        <f t="shared" si="256"/>
        <v>ORD26000412</v>
      </c>
      <c r="P5498" s="23" t="str">
        <f t="shared" si="257"/>
        <v>Oct-Due</v>
      </c>
      <c r="Q5498" s="23" t="str">
        <f>IF(F5498="CAPTURE",IF(COUNTIF(orders!$A:$A,O5498)&gt;0,"Yes","NO ORDER"),"")</f>
        <v/>
      </c>
    </row>
    <row r="5499" spans="1:17" ht="15" customHeight="1" x14ac:dyDescent="0.3">
      <c r="A5499" s="23" t="s">
        <v>18741</v>
      </c>
      <c r="B5499" s="23"/>
      <c r="C5499" s="23" t="s">
        <v>18742</v>
      </c>
      <c r="D5499" s="23" t="str">
        <f t="shared" si="255"/>
        <v>ORD26000030</v>
      </c>
      <c r="E5499" s="38">
        <v>46295</v>
      </c>
      <c r="F5499" s="23" t="s">
        <v>12410</v>
      </c>
      <c r="G5499" s="23" t="s">
        <v>75</v>
      </c>
      <c r="H5499" s="24">
        <v>7999</v>
      </c>
      <c r="I5499" s="24">
        <v>24</v>
      </c>
      <c r="J5499" s="24">
        <v>4.32</v>
      </c>
      <c r="K5499" s="24">
        <v>7970.68</v>
      </c>
      <c r="L5499" s="38">
        <v>46297</v>
      </c>
      <c r="M5499" s="23" t="s">
        <v>110</v>
      </c>
      <c r="N5499" s="23" t="str">
        <f>IF(COUNTIF($A$2:A5499,A5499)&gt;1,"DUP","OK")</f>
        <v>OK</v>
      </c>
      <c r="O5499" s="23" t="str">
        <f t="shared" si="256"/>
        <v>ORD26000030</v>
      </c>
      <c r="P5499" s="23" t="str">
        <f t="shared" si="257"/>
        <v>Oct-Due</v>
      </c>
      <c r="Q5499" s="23" t="str">
        <f>IF(F5499="CAPTURE",IF(COUNTIF(orders!$A:$A,O5499)&gt;0,"Yes","NO ORDER"),"")</f>
        <v>Yes</v>
      </c>
    </row>
    <row r="5500" spans="1:17" ht="15" customHeight="1" x14ac:dyDescent="0.3">
      <c r="A5500" s="23" t="s">
        <v>18743</v>
      </c>
      <c r="B5500" s="23"/>
      <c r="C5500" s="23" t="s">
        <v>353</v>
      </c>
      <c r="D5500" s="23" t="str">
        <f t="shared" si="255"/>
        <v>ORD26000037</v>
      </c>
      <c r="E5500" s="38">
        <v>46295</v>
      </c>
      <c r="F5500" s="23" t="s">
        <v>12410</v>
      </c>
      <c r="G5500" s="23" t="s">
        <v>75</v>
      </c>
      <c r="H5500" s="24">
        <v>499</v>
      </c>
      <c r="I5500" s="24">
        <v>0</v>
      </c>
      <c r="J5500" s="24">
        <v>0</v>
      </c>
      <c r="K5500" s="24">
        <v>499</v>
      </c>
      <c r="L5500" s="38">
        <v>46297</v>
      </c>
      <c r="M5500" s="23" t="s">
        <v>110</v>
      </c>
      <c r="N5500" s="23" t="str">
        <f>IF(COUNTIF($A$2:A5500,A5500)&gt;1,"DUP","OK")</f>
        <v>OK</v>
      </c>
      <c r="O5500" s="23" t="str">
        <f t="shared" si="256"/>
        <v>ORD26000037</v>
      </c>
      <c r="P5500" s="23" t="str">
        <f t="shared" si="257"/>
        <v>Oct-Due</v>
      </c>
      <c r="Q5500" s="23" t="str">
        <f>IF(F5500="CAPTURE",IF(COUNTIF(orders!$A:$A,O5500)&gt;0,"Yes","NO ORDER"),"")</f>
        <v>Yes</v>
      </c>
    </row>
    <row r="5501" spans="1:17" ht="15" customHeight="1" x14ac:dyDescent="0.3">
      <c r="A5501" s="23" t="s">
        <v>18744</v>
      </c>
      <c r="B5501" s="23"/>
      <c r="C5501" s="23" t="s">
        <v>18745</v>
      </c>
      <c r="D5501" s="23" t="str">
        <f t="shared" si="255"/>
        <v>ORD26000047</v>
      </c>
      <c r="E5501" s="38">
        <v>46295</v>
      </c>
      <c r="F5501" s="23" t="s">
        <v>12410</v>
      </c>
      <c r="G5501" s="23" t="s">
        <v>75</v>
      </c>
      <c r="H5501" s="24">
        <v>349</v>
      </c>
      <c r="I5501" s="24">
        <v>0</v>
      </c>
      <c r="J5501" s="24">
        <v>0</v>
      </c>
      <c r="K5501" s="24">
        <v>349</v>
      </c>
      <c r="L5501" s="38">
        <v>46297</v>
      </c>
      <c r="M5501" s="23" t="s">
        <v>110</v>
      </c>
      <c r="N5501" s="23" t="str">
        <f>IF(COUNTIF($A$2:A5501,A5501)&gt;1,"DUP","OK")</f>
        <v>OK</v>
      </c>
      <c r="O5501" s="23" t="str">
        <f t="shared" si="256"/>
        <v>ORD26000047</v>
      </c>
      <c r="P5501" s="23" t="str">
        <f t="shared" si="257"/>
        <v>Oct-Due</v>
      </c>
      <c r="Q5501" s="23" t="str">
        <f>IF(F5501="CAPTURE",IF(COUNTIF(orders!$A:$A,O5501)&gt;0,"Yes","NO ORDER"),"")</f>
        <v>Yes</v>
      </c>
    </row>
    <row r="5502" spans="1:17" ht="15" customHeight="1" x14ac:dyDescent="0.3">
      <c r="A5502" s="23" t="s">
        <v>18746</v>
      </c>
      <c r="B5502" s="23"/>
      <c r="C5502" s="23" t="s">
        <v>608</v>
      </c>
      <c r="D5502" s="23" t="str">
        <f t="shared" si="255"/>
        <v>ORD26000143</v>
      </c>
      <c r="E5502" s="38">
        <v>46295</v>
      </c>
      <c r="F5502" s="23" t="s">
        <v>12410</v>
      </c>
      <c r="G5502" s="23" t="s">
        <v>79</v>
      </c>
      <c r="H5502" s="24">
        <v>8798</v>
      </c>
      <c r="I5502" s="24">
        <v>140.77000000000001</v>
      </c>
      <c r="J5502" s="24">
        <v>25.34</v>
      </c>
      <c r="K5502" s="24">
        <v>8631.89</v>
      </c>
      <c r="L5502" s="38">
        <v>46297</v>
      </c>
      <c r="M5502" s="23" t="s">
        <v>110</v>
      </c>
      <c r="N5502" s="23" t="str">
        <f>IF(COUNTIF($A$2:A5502,A5502)&gt;1,"DUP","OK")</f>
        <v>OK</v>
      </c>
      <c r="O5502" s="23" t="str">
        <f t="shared" si="256"/>
        <v>ORD26000143</v>
      </c>
      <c r="P5502" s="23" t="str">
        <f t="shared" si="257"/>
        <v>Oct-Due</v>
      </c>
      <c r="Q5502" s="23" t="str">
        <f>IF(F5502="CAPTURE",IF(COUNTIF(orders!$A:$A,O5502)&gt;0,"Yes","NO ORDER"),"")</f>
        <v>Yes</v>
      </c>
    </row>
    <row r="5503" spans="1:17" ht="15" customHeight="1" x14ac:dyDescent="0.3">
      <c r="A5503" s="23" t="s">
        <v>18747</v>
      </c>
      <c r="B5503" s="23"/>
      <c r="C5503" s="23" t="s">
        <v>623</v>
      </c>
      <c r="D5503" s="23" t="str">
        <f t="shared" si="255"/>
        <v>ORD26000149</v>
      </c>
      <c r="E5503" s="38">
        <v>46295</v>
      </c>
      <c r="F5503" s="23" t="s">
        <v>12410</v>
      </c>
      <c r="G5503" s="23" t="s">
        <v>81</v>
      </c>
      <c r="H5503" s="24">
        <v>3798</v>
      </c>
      <c r="I5503" s="24">
        <v>45.58</v>
      </c>
      <c r="J5503" s="24">
        <v>8.1999999999999993</v>
      </c>
      <c r="K5503" s="24">
        <v>3744.22</v>
      </c>
      <c r="L5503" s="38">
        <v>46297</v>
      </c>
      <c r="M5503" s="23" t="s">
        <v>110</v>
      </c>
      <c r="N5503" s="23" t="str">
        <f>IF(COUNTIF($A$2:A5503,A5503)&gt;1,"DUP","OK")</f>
        <v>OK</v>
      </c>
      <c r="O5503" s="23" t="str">
        <f t="shared" si="256"/>
        <v>ORD26000149</v>
      </c>
      <c r="P5503" s="23" t="str">
        <f t="shared" si="257"/>
        <v>Oct-Due</v>
      </c>
      <c r="Q5503" s="23" t="str">
        <f>IF(F5503="CAPTURE",IF(COUNTIF(orders!$A:$A,O5503)&gt;0,"Yes","NO ORDER"),"")</f>
        <v>Yes</v>
      </c>
    </row>
    <row r="5504" spans="1:17" ht="15" customHeight="1" x14ac:dyDescent="0.3">
      <c r="A5504" s="23" t="s">
        <v>18748</v>
      </c>
      <c r="B5504" s="23"/>
      <c r="C5504" s="23" t="s">
        <v>641</v>
      </c>
      <c r="D5504" s="23" t="str">
        <f t="shared" si="255"/>
        <v>ORD26000157</v>
      </c>
      <c r="E5504" s="38">
        <v>46295</v>
      </c>
      <c r="F5504" s="23" t="s">
        <v>12410</v>
      </c>
      <c r="G5504" s="23" t="s">
        <v>75</v>
      </c>
      <c r="H5504" s="24">
        <v>1098</v>
      </c>
      <c r="I5504" s="24">
        <v>0</v>
      </c>
      <c r="J5504" s="24">
        <v>0</v>
      </c>
      <c r="K5504" s="24">
        <v>1098</v>
      </c>
      <c r="L5504" s="38">
        <v>46297</v>
      </c>
      <c r="M5504" s="23" t="s">
        <v>110</v>
      </c>
      <c r="N5504" s="23" t="str">
        <f>IF(COUNTIF($A$2:A5504,A5504)&gt;1,"DUP","OK")</f>
        <v>OK</v>
      </c>
      <c r="O5504" s="23" t="str">
        <f t="shared" si="256"/>
        <v>ORD26000157</v>
      </c>
      <c r="P5504" s="23" t="str">
        <f t="shared" si="257"/>
        <v>Oct-Due</v>
      </c>
      <c r="Q5504" s="23" t="str">
        <f>IF(F5504="CAPTURE",IF(COUNTIF(orders!$A:$A,O5504)&gt;0,"Yes","NO ORDER"),"")</f>
        <v>Yes</v>
      </c>
    </row>
    <row r="5505" spans="1:17" ht="15" customHeight="1" x14ac:dyDescent="0.3">
      <c r="A5505" s="23" t="s">
        <v>18749</v>
      </c>
      <c r="B5505" s="23"/>
      <c r="C5505" s="23" t="s">
        <v>18750</v>
      </c>
      <c r="D5505" s="23" t="str">
        <f t="shared" si="255"/>
        <v>ORD26000158</v>
      </c>
      <c r="E5505" s="38">
        <v>46295</v>
      </c>
      <c r="F5505" s="23" t="s">
        <v>12410</v>
      </c>
      <c r="G5505" s="23" t="s">
        <v>75</v>
      </c>
      <c r="H5505" s="24">
        <v>3798</v>
      </c>
      <c r="I5505" s="24">
        <v>11.39</v>
      </c>
      <c r="J5505" s="24">
        <v>2.0499999999999998</v>
      </c>
      <c r="K5505" s="24">
        <v>3784.56</v>
      </c>
      <c r="L5505" s="38">
        <v>46297</v>
      </c>
      <c r="M5505" s="23" t="s">
        <v>110</v>
      </c>
      <c r="N5505" s="23" t="str">
        <f>IF(COUNTIF($A$2:A5505,A5505)&gt;1,"DUP","OK")</f>
        <v>OK</v>
      </c>
      <c r="O5505" s="23" t="str">
        <f t="shared" si="256"/>
        <v>ORD26000158</v>
      </c>
      <c r="P5505" s="23" t="str">
        <f t="shared" si="257"/>
        <v>Oct-Due</v>
      </c>
      <c r="Q5505" s="23" t="str">
        <f>IF(F5505="CAPTURE",IF(COUNTIF(orders!$A:$A,O5505)&gt;0,"Yes","NO ORDER"),"")</f>
        <v>Yes</v>
      </c>
    </row>
    <row r="5506" spans="1:17" ht="15" customHeight="1" x14ac:dyDescent="0.3">
      <c r="A5506" s="23" t="s">
        <v>18751</v>
      </c>
      <c r="B5506" s="23"/>
      <c r="C5506" s="23" t="s">
        <v>678</v>
      </c>
      <c r="D5506" s="23" t="str">
        <f t="shared" ref="D5506:D5569" si="258">UPPER(SUBSTITUTE(TRIM(C5506),"-",""))</f>
        <v>ORD26000173</v>
      </c>
      <c r="E5506" s="38">
        <v>46295</v>
      </c>
      <c r="F5506" s="23" t="s">
        <v>12410</v>
      </c>
      <c r="G5506" s="23" t="s">
        <v>75</v>
      </c>
      <c r="H5506" s="24">
        <v>5097</v>
      </c>
      <c r="I5506" s="24">
        <v>15.29</v>
      </c>
      <c r="J5506" s="24">
        <v>2.75</v>
      </c>
      <c r="K5506" s="24">
        <v>5078.96</v>
      </c>
      <c r="L5506" s="38">
        <v>46297</v>
      </c>
      <c r="M5506" s="23" t="s">
        <v>110</v>
      </c>
      <c r="N5506" s="23" t="str">
        <f>IF(COUNTIF($A$2:A5506,A5506)&gt;1,"DUP","OK")</f>
        <v>OK</v>
      </c>
      <c r="O5506" s="23" t="str">
        <f t="shared" ref="O5506:O5569" si="259">IF(F5506="REFUND",INDEX($D:$D,MATCH(B5506,$A:$A,0)),D5506)</f>
        <v>ORD26000173</v>
      </c>
      <c r="P5506" s="23" t="str">
        <f t="shared" ref="P5506:P5569" si="260">IF(L5506&gt;DATE(2026,9,30),"Oct-Due","Sep")</f>
        <v>Oct-Due</v>
      </c>
      <c r="Q5506" s="23" t="str">
        <f>IF(F5506="CAPTURE",IF(COUNTIF(orders!$A:$A,O5506)&gt;0,"Yes","NO ORDER"),"")</f>
        <v>Yes</v>
      </c>
    </row>
    <row r="5507" spans="1:17" ht="15" customHeight="1" x14ac:dyDescent="0.3">
      <c r="A5507" s="23" t="s">
        <v>18752</v>
      </c>
      <c r="B5507" s="23"/>
      <c r="C5507" s="23" t="s">
        <v>740</v>
      </c>
      <c r="D5507" s="23" t="str">
        <f t="shared" si="258"/>
        <v>ORD26000201</v>
      </c>
      <c r="E5507" s="38">
        <v>46295</v>
      </c>
      <c r="F5507" s="23" t="s">
        <v>12410</v>
      </c>
      <c r="G5507" s="23" t="s">
        <v>81</v>
      </c>
      <c r="H5507" s="24">
        <v>999</v>
      </c>
      <c r="I5507" s="24">
        <v>14.99</v>
      </c>
      <c r="J5507" s="24">
        <v>2.7</v>
      </c>
      <c r="K5507" s="24">
        <v>981.31</v>
      </c>
      <c r="L5507" s="38">
        <v>46297</v>
      </c>
      <c r="M5507" s="23" t="s">
        <v>110</v>
      </c>
      <c r="N5507" s="23" t="str">
        <f>IF(COUNTIF($A$2:A5507,A5507)&gt;1,"DUP","OK")</f>
        <v>OK</v>
      </c>
      <c r="O5507" s="23" t="str">
        <f t="shared" si="259"/>
        <v>ORD26000201</v>
      </c>
      <c r="P5507" s="23" t="str">
        <f t="shared" si="260"/>
        <v>Oct-Due</v>
      </c>
      <c r="Q5507" s="23" t="str">
        <f>IF(F5507="CAPTURE",IF(COUNTIF(orders!$A:$A,O5507)&gt;0,"Yes","NO ORDER"),"")</f>
        <v>Yes</v>
      </c>
    </row>
    <row r="5508" spans="1:17" ht="15" customHeight="1" x14ac:dyDescent="0.3">
      <c r="A5508" s="23" t="s">
        <v>18753</v>
      </c>
      <c r="B5508" s="23"/>
      <c r="C5508" s="23" t="s">
        <v>972</v>
      </c>
      <c r="D5508" s="23" t="str">
        <f t="shared" si="258"/>
        <v>ORD26000303</v>
      </c>
      <c r="E5508" s="38">
        <v>46295</v>
      </c>
      <c r="F5508" s="23" t="s">
        <v>12410</v>
      </c>
      <c r="G5508" s="23" t="s">
        <v>79</v>
      </c>
      <c r="H5508" s="24">
        <v>1498</v>
      </c>
      <c r="I5508" s="24">
        <v>26.96</v>
      </c>
      <c r="J5508" s="24">
        <v>4.8499999999999996</v>
      </c>
      <c r="K5508" s="24">
        <v>1466.19</v>
      </c>
      <c r="L5508" s="38">
        <v>46297</v>
      </c>
      <c r="M5508" s="23" t="s">
        <v>110</v>
      </c>
      <c r="N5508" s="23" t="str">
        <f>IF(COUNTIF($A$2:A5508,A5508)&gt;1,"DUP","OK")</f>
        <v>OK</v>
      </c>
      <c r="O5508" s="23" t="str">
        <f t="shared" si="259"/>
        <v>ORD26000303</v>
      </c>
      <c r="P5508" s="23" t="str">
        <f t="shared" si="260"/>
        <v>Oct-Due</v>
      </c>
      <c r="Q5508" s="23" t="str">
        <f>IF(F5508="CAPTURE",IF(COUNTIF(orders!$A:$A,O5508)&gt;0,"Yes","NO ORDER"),"")</f>
        <v>Yes</v>
      </c>
    </row>
    <row r="5509" spans="1:17" ht="15" customHeight="1" x14ac:dyDescent="0.3">
      <c r="A5509" s="23" t="s">
        <v>18754</v>
      </c>
      <c r="B5509" s="23"/>
      <c r="C5509" s="23" t="s">
        <v>18755</v>
      </c>
      <c r="D5509" s="23" t="str">
        <f t="shared" si="258"/>
        <v>ORD26000312</v>
      </c>
      <c r="E5509" s="38">
        <v>46295</v>
      </c>
      <c r="F5509" s="23" t="s">
        <v>12410</v>
      </c>
      <c r="G5509" s="23" t="s">
        <v>79</v>
      </c>
      <c r="H5509" s="24">
        <v>2798</v>
      </c>
      <c r="I5509" s="24">
        <v>44.77</v>
      </c>
      <c r="J5509" s="24">
        <v>8.06</v>
      </c>
      <c r="K5509" s="24">
        <v>2745.17</v>
      </c>
      <c r="L5509" s="38">
        <v>46297</v>
      </c>
      <c r="M5509" s="23" t="s">
        <v>110</v>
      </c>
      <c r="N5509" s="23" t="str">
        <f>IF(COUNTIF($A$2:A5509,A5509)&gt;1,"DUP","OK")</f>
        <v>OK</v>
      </c>
      <c r="O5509" s="23" t="str">
        <f t="shared" si="259"/>
        <v>ORD26000312</v>
      </c>
      <c r="P5509" s="23" t="str">
        <f t="shared" si="260"/>
        <v>Oct-Due</v>
      </c>
      <c r="Q5509" s="23" t="str">
        <f>IF(F5509="CAPTURE",IF(COUNTIF(orders!$A:$A,O5509)&gt;0,"Yes","NO ORDER"),"")</f>
        <v>Yes</v>
      </c>
    </row>
    <row r="5510" spans="1:17" ht="15" customHeight="1" x14ac:dyDescent="0.3">
      <c r="A5510" s="23" t="s">
        <v>18756</v>
      </c>
      <c r="B5510" s="23"/>
      <c r="C5510" s="23" t="s">
        <v>997</v>
      </c>
      <c r="D5510" s="23" t="str">
        <f t="shared" si="258"/>
        <v>ORD26000315</v>
      </c>
      <c r="E5510" s="38">
        <v>46295</v>
      </c>
      <c r="F5510" s="23" t="s">
        <v>12410</v>
      </c>
      <c r="G5510" s="23" t="s">
        <v>75</v>
      </c>
      <c r="H5510" s="24">
        <v>1947</v>
      </c>
      <c r="I5510" s="24">
        <v>0</v>
      </c>
      <c r="J5510" s="24">
        <v>0</v>
      </c>
      <c r="K5510" s="24">
        <v>1947</v>
      </c>
      <c r="L5510" s="38">
        <v>46297</v>
      </c>
      <c r="M5510" s="23" t="s">
        <v>110</v>
      </c>
      <c r="N5510" s="23" t="str">
        <f>IF(COUNTIF($A$2:A5510,A5510)&gt;1,"DUP","OK")</f>
        <v>OK</v>
      </c>
      <c r="O5510" s="23" t="str">
        <f t="shared" si="259"/>
        <v>ORD26000315</v>
      </c>
      <c r="P5510" s="23" t="str">
        <f t="shared" si="260"/>
        <v>Oct-Due</v>
      </c>
      <c r="Q5510" s="23" t="str">
        <f>IF(F5510="CAPTURE",IF(COUNTIF(orders!$A:$A,O5510)&gt;0,"Yes","NO ORDER"),"")</f>
        <v>Yes</v>
      </c>
    </row>
    <row r="5511" spans="1:17" ht="15" customHeight="1" x14ac:dyDescent="0.3">
      <c r="A5511" s="23" t="s">
        <v>18757</v>
      </c>
      <c r="B5511" s="23"/>
      <c r="C5511" s="23" t="s">
        <v>997</v>
      </c>
      <c r="D5511" s="23" t="str">
        <f t="shared" si="258"/>
        <v>ORD26000315</v>
      </c>
      <c r="E5511" s="38">
        <v>46295</v>
      </c>
      <c r="F5511" s="23" t="s">
        <v>12410</v>
      </c>
      <c r="G5511" s="23" t="s">
        <v>75</v>
      </c>
      <c r="H5511" s="24">
        <v>1947</v>
      </c>
      <c r="I5511" s="24">
        <v>0</v>
      </c>
      <c r="J5511" s="24">
        <v>0</v>
      </c>
      <c r="K5511" s="24">
        <v>1947</v>
      </c>
      <c r="L5511" s="38">
        <v>46297</v>
      </c>
      <c r="M5511" s="23" t="s">
        <v>110</v>
      </c>
      <c r="N5511" s="23" t="str">
        <f>IF(COUNTIF($A$2:A5511,A5511)&gt;1,"DUP","OK")</f>
        <v>OK</v>
      </c>
      <c r="O5511" s="23" t="str">
        <f t="shared" si="259"/>
        <v>ORD26000315</v>
      </c>
      <c r="P5511" s="23" t="str">
        <f t="shared" si="260"/>
        <v>Oct-Due</v>
      </c>
      <c r="Q5511" s="23" t="str">
        <f>IF(F5511="CAPTURE",IF(COUNTIF(orders!$A:$A,O5511)&gt;0,"Yes","NO ORDER"),"")</f>
        <v>Yes</v>
      </c>
    </row>
    <row r="5512" spans="1:17" ht="15" customHeight="1" x14ac:dyDescent="0.3">
      <c r="A5512" s="23" t="s">
        <v>18758</v>
      </c>
      <c r="B5512" s="23"/>
      <c r="C5512" s="23" t="s">
        <v>1002</v>
      </c>
      <c r="D5512" s="23" t="str">
        <f t="shared" si="258"/>
        <v>ORD26000317</v>
      </c>
      <c r="E5512" s="38">
        <v>46295</v>
      </c>
      <c r="F5512" s="23" t="s">
        <v>12410</v>
      </c>
      <c r="G5512" s="23" t="s">
        <v>75</v>
      </c>
      <c r="H5512" s="24">
        <v>3798</v>
      </c>
      <c r="I5512" s="24">
        <v>11.39</v>
      </c>
      <c r="J5512" s="24">
        <v>2.0499999999999998</v>
      </c>
      <c r="K5512" s="24">
        <v>3784.56</v>
      </c>
      <c r="L5512" s="38">
        <v>46297</v>
      </c>
      <c r="M5512" s="23" t="s">
        <v>110</v>
      </c>
      <c r="N5512" s="23" t="str">
        <f>IF(COUNTIF($A$2:A5512,A5512)&gt;1,"DUP","OK")</f>
        <v>OK</v>
      </c>
      <c r="O5512" s="23" t="str">
        <f t="shared" si="259"/>
        <v>ORD26000317</v>
      </c>
      <c r="P5512" s="23" t="str">
        <f t="shared" si="260"/>
        <v>Oct-Due</v>
      </c>
      <c r="Q5512" s="23" t="str">
        <f>IF(F5512="CAPTURE",IF(COUNTIF(orders!$A:$A,O5512)&gt;0,"Yes","NO ORDER"),"")</f>
        <v>Yes</v>
      </c>
    </row>
    <row r="5513" spans="1:17" ht="15" customHeight="1" x14ac:dyDescent="0.3">
      <c r="A5513" s="23" t="s">
        <v>18759</v>
      </c>
      <c r="B5513" s="23"/>
      <c r="C5513" s="23" t="s">
        <v>1004</v>
      </c>
      <c r="D5513" s="23" t="str">
        <f t="shared" si="258"/>
        <v>ORD26000318</v>
      </c>
      <c r="E5513" s="38">
        <v>46295</v>
      </c>
      <c r="F5513" s="23" t="s">
        <v>12410</v>
      </c>
      <c r="G5513" s="23" t="s">
        <v>79</v>
      </c>
      <c r="H5513" s="24">
        <v>4298</v>
      </c>
      <c r="I5513" s="24">
        <v>68.77</v>
      </c>
      <c r="J5513" s="24">
        <v>12.38</v>
      </c>
      <c r="K5513" s="24">
        <v>4216.8500000000004</v>
      </c>
      <c r="L5513" s="38">
        <v>46297</v>
      </c>
      <c r="M5513" s="23" t="s">
        <v>110</v>
      </c>
      <c r="N5513" s="23" t="str">
        <f>IF(COUNTIF($A$2:A5513,A5513)&gt;1,"DUP","OK")</f>
        <v>OK</v>
      </c>
      <c r="O5513" s="23" t="str">
        <f t="shared" si="259"/>
        <v>ORD26000318</v>
      </c>
      <c r="P5513" s="23" t="str">
        <f t="shared" si="260"/>
        <v>Oct-Due</v>
      </c>
      <c r="Q5513" s="23" t="str">
        <f>IF(F5513="CAPTURE",IF(COUNTIF(orders!$A:$A,O5513)&gt;0,"Yes","NO ORDER"),"")</f>
        <v>Yes</v>
      </c>
    </row>
    <row r="5514" spans="1:17" ht="15" customHeight="1" x14ac:dyDescent="0.3">
      <c r="A5514" s="23" t="s">
        <v>18760</v>
      </c>
      <c r="B5514" s="23"/>
      <c r="C5514" s="23" t="s">
        <v>1015</v>
      </c>
      <c r="D5514" s="23" t="str">
        <f t="shared" si="258"/>
        <v>ORD26000323</v>
      </c>
      <c r="E5514" s="38">
        <v>46295</v>
      </c>
      <c r="F5514" s="23" t="s">
        <v>12410</v>
      </c>
      <c r="G5514" s="23" t="s">
        <v>75</v>
      </c>
      <c r="H5514" s="24">
        <v>2999</v>
      </c>
      <c r="I5514" s="24">
        <v>9</v>
      </c>
      <c r="J5514" s="24">
        <v>1.62</v>
      </c>
      <c r="K5514" s="24">
        <v>2988.38</v>
      </c>
      <c r="L5514" s="38">
        <v>46297</v>
      </c>
      <c r="M5514" s="23" t="s">
        <v>110</v>
      </c>
      <c r="N5514" s="23" t="str">
        <f>IF(COUNTIF($A$2:A5514,A5514)&gt;1,"DUP","OK")</f>
        <v>OK</v>
      </c>
      <c r="O5514" s="23" t="str">
        <f t="shared" si="259"/>
        <v>ORD26000323</v>
      </c>
      <c r="P5514" s="23" t="str">
        <f t="shared" si="260"/>
        <v>Oct-Due</v>
      </c>
      <c r="Q5514" s="23" t="str">
        <f>IF(F5514="CAPTURE",IF(COUNTIF(orders!$A:$A,O5514)&gt;0,"Yes","NO ORDER"),"")</f>
        <v>Yes</v>
      </c>
    </row>
    <row r="5515" spans="1:17" ht="15" customHeight="1" x14ac:dyDescent="0.3">
      <c r="A5515" s="23" t="s">
        <v>18761</v>
      </c>
      <c r="B5515" s="23"/>
      <c r="C5515" s="23" t="s">
        <v>1019</v>
      </c>
      <c r="D5515" s="23" t="str">
        <f t="shared" si="258"/>
        <v>ORD26000325</v>
      </c>
      <c r="E5515" s="38">
        <v>46295</v>
      </c>
      <c r="F5515" s="23" t="s">
        <v>12410</v>
      </c>
      <c r="G5515" s="23" t="s">
        <v>79</v>
      </c>
      <c r="H5515" s="24">
        <v>9097</v>
      </c>
      <c r="I5515" s="24">
        <v>145.55000000000001</v>
      </c>
      <c r="J5515" s="24">
        <v>26.2</v>
      </c>
      <c r="K5515" s="24">
        <v>8925.25</v>
      </c>
      <c r="L5515" s="38">
        <v>46297</v>
      </c>
      <c r="M5515" s="23" t="s">
        <v>110</v>
      </c>
      <c r="N5515" s="23" t="str">
        <f>IF(COUNTIF($A$2:A5515,A5515)&gt;1,"DUP","OK")</f>
        <v>OK</v>
      </c>
      <c r="O5515" s="23" t="str">
        <f t="shared" si="259"/>
        <v>ORD26000325</v>
      </c>
      <c r="P5515" s="23" t="str">
        <f t="shared" si="260"/>
        <v>Oct-Due</v>
      </c>
      <c r="Q5515" s="23" t="str">
        <f>IF(F5515="CAPTURE",IF(COUNTIF(orders!$A:$A,O5515)&gt;0,"Yes","NO ORDER"),"")</f>
        <v>Yes</v>
      </c>
    </row>
    <row r="5516" spans="1:17" ht="15" customHeight="1" x14ac:dyDescent="0.3">
      <c r="A5516" s="23" t="s">
        <v>18762</v>
      </c>
      <c r="B5516" s="23"/>
      <c r="C5516" s="23" t="s">
        <v>18763</v>
      </c>
      <c r="D5516" s="23" t="str">
        <f t="shared" si="258"/>
        <v>ORD26000343</v>
      </c>
      <c r="E5516" s="38">
        <v>46295</v>
      </c>
      <c r="F5516" s="23" t="s">
        <v>12410</v>
      </c>
      <c r="G5516" s="23" t="s">
        <v>75</v>
      </c>
      <c r="H5516" s="24">
        <v>1499</v>
      </c>
      <c r="I5516" s="24">
        <v>0</v>
      </c>
      <c r="J5516" s="24">
        <v>0</v>
      </c>
      <c r="K5516" s="24">
        <v>1499</v>
      </c>
      <c r="L5516" s="38">
        <v>46297</v>
      </c>
      <c r="M5516" s="23" t="s">
        <v>110</v>
      </c>
      <c r="N5516" s="23" t="str">
        <f>IF(COUNTIF($A$2:A5516,A5516)&gt;1,"DUP","OK")</f>
        <v>OK</v>
      </c>
      <c r="O5516" s="23" t="str">
        <f t="shared" si="259"/>
        <v>ORD26000343</v>
      </c>
      <c r="P5516" s="23" t="str">
        <f t="shared" si="260"/>
        <v>Oct-Due</v>
      </c>
      <c r="Q5516" s="23" t="str">
        <f>IF(F5516="CAPTURE",IF(COUNTIF(orders!$A:$A,O5516)&gt;0,"Yes","NO ORDER"),"")</f>
        <v>Yes</v>
      </c>
    </row>
    <row r="5517" spans="1:17" ht="15" customHeight="1" x14ac:dyDescent="0.3">
      <c r="A5517" s="23" t="s">
        <v>18764</v>
      </c>
      <c r="B5517" s="23"/>
      <c r="C5517" s="23" t="s">
        <v>1130</v>
      </c>
      <c r="D5517" s="23" t="str">
        <f t="shared" si="258"/>
        <v>ORD26000374</v>
      </c>
      <c r="E5517" s="38">
        <v>46295</v>
      </c>
      <c r="F5517" s="23" t="s">
        <v>12410</v>
      </c>
      <c r="G5517" s="23" t="s">
        <v>75</v>
      </c>
      <c r="H5517" s="24">
        <v>4498</v>
      </c>
      <c r="I5517" s="24">
        <v>13.49</v>
      </c>
      <c r="J5517" s="24">
        <v>2.4300000000000002</v>
      </c>
      <c r="K5517" s="24">
        <v>4482.08</v>
      </c>
      <c r="L5517" s="38">
        <v>46297</v>
      </c>
      <c r="M5517" s="23" t="s">
        <v>110</v>
      </c>
      <c r="N5517" s="23" t="str">
        <f>IF(COUNTIF($A$2:A5517,A5517)&gt;1,"DUP","OK")</f>
        <v>OK</v>
      </c>
      <c r="O5517" s="23" t="str">
        <f t="shared" si="259"/>
        <v>ORD26000374</v>
      </c>
      <c r="P5517" s="23" t="str">
        <f t="shared" si="260"/>
        <v>Oct-Due</v>
      </c>
      <c r="Q5517" s="23" t="str">
        <f>IF(F5517="CAPTURE",IF(COUNTIF(orders!$A:$A,O5517)&gt;0,"Yes","NO ORDER"),"")</f>
        <v>Yes</v>
      </c>
    </row>
    <row r="5518" spans="1:17" ht="15" customHeight="1" x14ac:dyDescent="0.3">
      <c r="A5518" s="23" t="s">
        <v>18765</v>
      </c>
      <c r="B5518" s="23"/>
      <c r="C5518" s="23" t="s">
        <v>1214</v>
      </c>
      <c r="D5518" s="23" t="str">
        <f t="shared" si="258"/>
        <v>ORD26000413</v>
      </c>
      <c r="E5518" s="38">
        <v>46295</v>
      </c>
      <c r="F5518" s="23" t="s">
        <v>12410</v>
      </c>
      <c r="G5518" s="23" t="s">
        <v>79</v>
      </c>
      <c r="H5518" s="24">
        <v>349</v>
      </c>
      <c r="I5518" s="24">
        <v>6.28</v>
      </c>
      <c r="J5518" s="24">
        <v>1.1299999999999999</v>
      </c>
      <c r="K5518" s="24">
        <v>341.59</v>
      </c>
      <c r="L5518" s="38">
        <v>46297</v>
      </c>
      <c r="M5518" s="23" t="s">
        <v>110</v>
      </c>
      <c r="N5518" s="23" t="str">
        <f>IF(COUNTIF($A$2:A5518,A5518)&gt;1,"DUP","OK")</f>
        <v>OK</v>
      </c>
      <c r="O5518" s="23" t="str">
        <f t="shared" si="259"/>
        <v>ORD26000413</v>
      </c>
      <c r="P5518" s="23" t="str">
        <f t="shared" si="260"/>
        <v>Oct-Due</v>
      </c>
      <c r="Q5518" s="23" t="str">
        <f>IF(F5518="CAPTURE",IF(COUNTIF(orders!$A:$A,O5518)&gt;0,"Yes","NO ORDER"),"")</f>
        <v>Yes</v>
      </c>
    </row>
    <row r="5519" spans="1:17" ht="15" customHeight="1" x14ac:dyDescent="0.3">
      <c r="A5519" s="23" t="s">
        <v>18766</v>
      </c>
      <c r="B5519" s="23"/>
      <c r="C5519" s="23" t="s">
        <v>1330</v>
      </c>
      <c r="D5519" s="23" t="str">
        <f t="shared" si="258"/>
        <v>ORD26000467</v>
      </c>
      <c r="E5519" s="38">
        <v>46295</v>
      </c>
      <c r="F5519" s="23" t="s">
        <v>12410</v>
      </c>
      <c r="G5519" s="23" t="s">
        <v>75</v>
      </c>
      <c r="H5519" s="24">
        <v>4999</v>
      </c>
      <c r="I5519" s="24">
        <v>15</v>
      </c>
      <c r="J5519" s="24">
        <v>2.7</v>
      </c>
      <c r="K5519" s="24">
        <v>4981.3</v>
      </c>
      <c r="L5519" s="38">
        <v>46297</v>
      </c>
      <c r="M5519" s="23" t="s">
        <v>110</v>
      </c>
      <c r="N5519" s="23" t="str">
        <f>IF(COUNTIF($A$2:A5519,A5519)&gt;1,"DUP","OK")</f>
        <v>OK</v>
      </c>
      <c r="O5519" s="23" t="str">
        <f t="shared" si="259"/>
        <v>ORD26000467</v>
      </c>
      <c r="P5519" s="23" t="str">
        <f t="shared" si="260"/>
        <v>Oct-Due</v>
      </c>
      <c r="Q5519" s="23" t="str">
        <f>IF(F5519="CAPTURE",IF(COUNTIF(orders!$A:$A,O5519)&gt;0,"Yes","NO ORDER"),"")</f>
        <v>Yes</v>
      </c>
    </row>
    <row r="5520" spans="1:17" ht="15" customHeight="1" x14ac:dyDescent="0.3">
      <c r="A5520" s="23" t="s">
        <v>18767</v>
      </c>
      <c r="B5520" s="23"/>
      <c r="C5520" s="23" t="s">
        <v>1451</v>
      </c>
      <c r="D5520" s="23" t="str">
        <f t="shared" si="258"/>
        <v>ORD26000520</v>
      </c>
      <c r="E5520" s="38">
        <v>46295</v>
      </c>
      <c r="F5520" s="23" t="s">
        <v>12410</v>
      </c>
      <c r="G5520" s="23" t="s">
        <v>75</v>
      </c>
      <c r="H5520" s="24">
        <v>1498</v>
      </c>
      <c r="I5520" s="24">
        <v>0</v>
      </c>
      <c r="J5520" s="24">
        <v>0</v>
      </c>
      <c r="K5520" s="24">
        <v>1498</v>
      </c>
      <c r="L5520" s="38">
        <v>46297</v>
      </c>
      <c r="M5520" s="23" t="s">
        <v>110</v>
      </c>
      <c r="N5520" s="23" t="str">
        <f>IF(COUNTIF($A$2:A5520,A5520)&gt;1,"DUP","OK")</f>
        <v>OK</v>
      </c>
      <c r="O5520" s="23" t="str">
        <f t="shared" si="259"/>
        <v>ORD26000520</v>
      </c>
      <c r="P5520" s="23" t="str">
        <f t="shared" si="260"/>
        <v>Oct-Due</v>
      </c>
      <c r="Q5520" s="23" t="str">
        <f>IF(F5520="CAPTURE",IF(COUNTIF(orders!$A:$A,O5520)&gt;0,"Yes","NO ORDER"),"")</f>
        <v>Yes</v>
      </c>
    </row>
    <row r="5521" spans="1:17" ht="15" customHeight="1" x14ac:dyDescent="0.3">
      <c r="A5521" s="23" t="s">
        <v>18768</v>
      </c>
      <c r="B5521" s="23"/>
      <c r="C5521" s="23" t="s">
        <v>1500</v>
      </c>
      <c r="D5521" s="23" t="str">
        <f t="shared" si="258"/>
        <v>ORD26000543</v>
      </c>
      <c r="E5521" s="38">
        <v>46295</v>
      </c>
      <c r="F5521" s="23" t="s">
        <v>12410</v>
      </c>
      <c r="G5521" s="23" t="s">
        <v>75</v>
      </c>
      <c r="H5521" s="24">
        <v>5697</v>
      </c>
      <c r="I5521" s="24">
        <v>17.09</v>
      </c>
      <c r="J5521" s="24">
        <v>3.08</v>
      </c>
      <c r="K5521" s="24">
        <v>5676.83</v>
      </c>
      <c r="L5521" s="38">
        <v>46297</v>
      </c>
      <c r="M5521" s="23" t="s">
        <v>110</v>
      </c>
      <c r="N5521" s="23" t="str">
        <f>IF(COUNTIF($A$2:A5521,A5521)&gt;1,"DUP","OK")</f>
        <v>OK</v>
      </c>
      <c r="O5521" s="23" t="str">
        <f t="shared" si="259"/>
        <v>ORD26000543</v>
      </c>
      <c r="P5521" s="23" t="str">
        <f t="shared" si="260"/>
        <v>Oct-Due</v>
      </c>
      <c r="Q5521" s="23" t="str">
        <f>IF(F5521="CAPTURE",IF(COUNTIF(orders!$A:$A,O5521)&gt;0,"Yes","NO ORDER"),"")</f>
        <v>Yes</v>
      </c>
    </row>
    <row r="5522" spans="1:17" ht="15" customHeight="1" x14ac:dyDescent="0.3">
      <c r="A5522" s="23" t="s">
        <v>18769</v>
      </c>
      <c r="B5522" s="23"/>
      <c r="C5522" s="23" t="s">
        <v>1514</v>
      </c>
      <c r="D5522" s="23" t="str">
        <f t="shared" si="258"/>
        <v>ORD26000549</v>
      </c>
      <c r="E5522" s="38">
        <v>46295</v>
      </c>
      <c r="F5522" s="23" t="s">
        <v>12410</v>
      </c>
      <c r="G5522" s="23" t="s">
        <v>79</v>
      </c>
      <c r="H5522" s="24">
        <v>3499</v>
      </c>
      <c r="I5522" s="24">
        <v>55.98</v>
      </c>
      <c r="J5522" s="24">
        <v>10.08</v>
      </c>
      <c r="K5522" s="24">
        <v>3432.94</v>
      </c>
      <c r="L5522" s="38">
        <v>46297</v>
      </c>
      <c r="M5522" s="23" t="s">
        <v>110</v>
      </c>
      <c r="N5522" s="23" t="str">
        <f>IF(COUNTIF($A$2:A5522,A5522)&gt;1,"DUP","OK")</f>
        <v>OK</v>
      </c>
      <c r="O5522" s="23" t="str">
        <f t="shared" si="259"/>
        <v>ORD26000549</v>
      </c>
      <c r="P5522" s="23" t="str">
        <f t="shared" si="260"/>
        <v>Oct-Due</v>
      </c>
      <c r="Q5522" s="23" t="str">
        <f>IF(F5522="CAPTURE",IF(COUNTIF(orders!$A:$A,O5522)&gt;0,"Yes","NO ORDER"),"")</f>
        <v>Yes</v>
      </c>
    </row>
    <row r="5523" spans="1:17" ht="15" customHeight="1" x14ac:dyDescent="0.3">
      <c r="A5523" s="23" t="s">
        <v>18770</v>
      </c>
      <c r="B5523" s="23"/>
      <c r="C5523" s="23" t="s">
        <v>1544</v>
      </c>
      <c r="D5523" s="23" t="str">
        <f t="shared" si="258"/>
        <v>ORD26000563</v>
      </c>
      <c r="E5523" s="38">
        <v>46295</v>
      </c>
      <c r="F5523" s="23" t="s">
        <v>12410</v>
      </c>
      <c r="G5523" s="23" t="s">
        <v>75</v>
      </c>
      <c r="H5523" s="24">
        <v>8998</v>
      </c>
      <c r="I5523" s="24">
        <v>26.99</v>
      </c>
      <c r="J5523" s="24">
        <v>4.8600000000000003</v>
      </c>
      <c r="K5523" s="24">
        <v>8966.15</v>
      </c>
      <c r="L5523" s="38">
        <v>46297</v>
      </c>
      <c r="M5523" s="23" t="s">
        <v>110</v>
      </c>
      <c r="N5523" s="23" t="str">
        <f>IF(COUNTIF($A$2:A5523,A5523)&gt;1,"DUP","OK")</f>
        <v>OK</v>
      </c>
      <c r="O5523" s="23" t="str">
        <f t="shared" si="259"/>
        <v>ORD26000563</v>
      </c>
      <c r="P5523" s="23" t="str">
        <f t="shared" si="260"/>
        <v>Oct-Due</v>
      </c>
      <c r="Q5523" s="23" t="str">
        <f>IF(F5523="CAPTURE",IF(COUNTIF(orders!$A:$A,O5523)&gt;0,"Yes","NO ORDER"),"")</f>
        <v>Yes</v>
      </c>
    </row>
    <row r="5524" spans="1:17" ht="15" customHeight="1" x14ac:dyDescent="0.3">
      <c r="A5524" s="23" t="s">
        <v>18771</v>
      </c>
      <c r="B5524" s="23"/>
      <c r="C5524" s="23" t="s">
        <v>1593</v>
      </c>
      <c r="D5524" s="23" t="str">
        <f t="shared" si="258"/>
        <v>ORD26000586</v>
      </c>
      <c r="E5524" s="38">
        <v>46295</v>
      </c>
      <c r="F5524" s="23" t="s">
        <v>12410</v>
      </c>
      <c r="G5524" s="23" t="s">
        <v>77</v>
      </c>
      <c r="H5524" s="24">
        <v>5998</v>
      </c>
      <c r="I5524" s="24">
        <v>143.94999999999999</v>
      </c>
      <c r="J5524" s="24">
        <v>25.91</v>
      </c>
      <c r="K5524" s="24">
        <v>5828.14</v>
      </c>
      <c r="L5524" s="38">
        <v>46297</v>
      </c>
      <c r="M5524" s="23" t="s">
        <v>110</v>
      </c>
      <c r="N5524" s="23" t="str">
        <f>IF(COUNTIF($A$2:A5524,A5524)&gt;1,"DUP","OK")</f>
        <v>OK</v>
      </c>
      <c r="O5524" s="23" t="str">
        <f t="shared" si="259"/>
        <v>ORD26000586</v>
      </c>
      <c r="P5524" s="23" t="str">
        <f t="shared" si="260"/>
        <v>Oct-Due</v>
      </c>
      <c r="Q5524" s="23" t="str">
        <f>IF(F5524="CAPTURE",IF(COUNTIF(orders!$A:$A,O5524)&gt;0,"Yes","NO ORDER"),"")</f>
        <v>Yes</v>
      </c>
    </row>
    <row r="5525" spans="1:17" ht="15" customHeight="1" x14ac:dyDescent="0.3">
      <c r="A5525" s="23" t="s">
        <v>18772</v>
      </c>
      <c r="B5525" s="23"/>
      <c r="C5525" s="23" t="s">
        <v>18773</v>
      </c>
      <c r="D5525" s="23" t="str">
        <f t="shared" si="258"/>
        <v>ORD26000622</v>
      </c>
      <c r="E5525" s="38">
        <v>46295</v>
      </c>
      <c r="F5525" s="23" t="s">
        <v>12410</v>
      </c>
      <c r="G5525" s="23" t="s">
        <v>75</v>
      </c>
      <c r="H5525" s="24">
        <v>2098</v>
      </c>
      <c r="I5525" s="24">
        <v>6.29</v>
      </c>
      <c r="J5525" s="24">
        <v>1.1299999999999999</v>
      </c>
      <c r="K5525" s="24">
        <v>2090.58</v>
      </c>
      <c r="L5525" s="38">
        <v>46297</v>
      </c>
      <c r="M5525" s="23" t="s">
        <v>110</v>
      </c>
      <c r="N5525" s="23" t="str">
        <f>IF(COUNTIF($A$2:A5525,A5525)&gt;1,"DUP","OK")</f>
        <v>OK</v>
      </c>
      <c r="O5525" s="23" t="str">
        <f t="shared" si="259"/>
        <v>ORD26000622</v>
      </c>
      <c r="P5525" s="23" t="str">
        <f t="shared" si="260"/>
        <v>Oct-Due</v>
      </c>
      <c r="Q5525" s="23" t="str">
        <f>IF(F5525="CAPTURE",IF(COUNTIF(orders!$A:$A,O5525)&gt;0,"Yes","NO ORDER"),"")</f>
        <v>Yes</v>
      </c>
    </row>
    <row r="5526" spans="1:17" ht="15" customHeight="1" x14ac:dyDescent="0.3">
      <c r="A5526" s="23" t="s">
        <v>18774</v>
      </c>
      <c r="B5526" s="23"/>
      <c r="C5526" s="23" t="s">
        <v>1679</v>
      </c>
      <c r="D5526" s="23" t="str">
        <f t="shared" si="258"/>
        <v>ORD26000625</v>
      </c>
      <c r="E5526" s="38">
        <v>46295</v>
      </c>
      <c r="F5526" s="23" t="s">
        <v>12410</v>
      </c>
      <c r="G5526" s="23" t="s">
        <v>75</v>
      </c>
      <c r="H5526" s="24">
        <v>10498</v>
      </c>
      <c r="I5526" s="24">
        <v>31.49</v>
      </c>
      <c r="J5526" s="24">
        <v>5.67</v>
      </c>
      <c r="K5526" s="24">
        <v>10460.84</v>
      </c>
      <c r="L5526" s="38">
        <v>46297</v>
      </c>
      <c r="M5526" s="23" t="s">
        <v>110</v>
      </c>
      <c r="N5526" s="23" t="str">
        <f>IF(COUNTIF($A$2:A5526,A5526)&gt;1,"DUP","OK")</f>
        <v>OK</v>
      </c>
      <c r="O5526" s="23" t="str">
        <f t="shared" si="259"/>
        <v>ORD26000625</v>
      </c>
      <c r="P5526" s="23" t="str">
        <f t="shared" si="260"/>
        <v>Oct-Due</v>
      </c>
      <c r="Q5526" s="23" t="str">
        <f>IF(F5526="CAPTURE",IF(COUNTIF(orders!$A:$A,O5526)&gt;0,"Yes","NO ORDER"),"")</f>
        <v>Yes</v>
      </c>
    </row>
    <row r="5527" spans="1:17" ht="15" customHeight="1" x14ac:dyDescent="0.3">
      <c r="A5527" s="23" t="s">
        <v>18775</v>
      </c>
      <c r="B5527" s="23"/>
      <c r="C5527" s="23" t="s">
        <v>1710</v>
      </c>
      <c r="D5527" s="23" t="str">
        <f t="shared" si="258"/>
        <v>ORD26000640</v>
      </c>
      <c r="E5527" s="38">
        <v>46295</v>
      </c>
      <c r="F5527" s="23" t="s">
        <v>12410</v>
      </c>
      <c r="G5527" s="23" t="s">
        <v>79</v>
      </c>
      <c r="H5527" s="24">
        <v>9997</v>
      </c>
      <c r="I5527" s="24">
        <v>159.94999999999999</v>
      </c>
      <c r="J5527" s="24">
        <v>28.79</v>
      </c>
      <c r="K5527" s="24">
        <v>9808.26</v>
      </c>
      <c r="L5527" s="38">
        <v>46297</v>
      </c>
      <c r="M5527" s="23" t="s">
        <v>110</v>
      </c>
      <c r="N5527" s="23" t="str">
        <f>IF(COUNTIF($A$2:A5527,A5527)&gt;1,"DUP","OK")</f>
        <v>OK</v>
      </c>
      <c r="O5527" s="23" t="str">
        <f t="shared" si="259"/>
        <v>ORD26000640</v>
      </c>
      <c r="P5527" s="23" t="str">
        <f t="shared" si="260"/>
        <v>Oct-Due</v>
      </c>
      <c r="Q5527" s="23" t="str">
        <f>IF(F5527="CAPTURE",IF(COUNTIF(orders!$A:$A,O5527)&gt;0,"Yes","NO ORDER"),"")</f>
        <v>Yes</v>
      </c>
    </row>
    <row r="5528" spans="1:17" ht="15" customHeight="1" x14ac:dyDescent="0.3">
      <c r="A5528" s="23" t="s">
        <v>18776</v>
      </c>
      <c r="B5528" s="23"/>
      <c r="C5528" s="23" t="s">
        <v>1931</v>
      </c>
      <c r="D5528" s="23" t="str">
        <f t="shared" si="258"/>
        <v>ORD26000746</v>
      </c>
      <c r="E5528" s="38">
        <v>46295</v>
      </c>
      <c r="F5528" s="23" t="s">
        <v>12410</v>
      </c>
      <c r="G5528" s="23" t="s">
        <v>75</v>
      </c>
      <c r="H5528" s="24">
        <v>999</v>
      </c>
      <c r="I5528" s="24">
        <v>0</v>
      </c>
      <c r="J5528" s="24">
        <v>0</v>
      </c>
      <c r="K5528" s="24">
        <v>999</v>
      </c>
      <c r="L5528" s="38">
        <v>46297</v>
      </c>
      <c r="M5528" s="23" t="s">
        <v>110</v>
      </c>
      <c r="N5528" s="23" t="str">
        <f>IF(COUNTIF($A$2:A5528,A5528)&gt;1,"DUP","OK")</f>
        <v>OK</v>
      </c>
      <c r="O5528" s="23" t="str">
        <f t="shared" si="259"/>
        <v>ORD26000746</v>
      </c>
      <c r="P5528" s="23" t="str">
        <f t="shared" si="260"/>
        <v>Oct-Due</v>
      </c>
      <c r="Q5528" s="23" t="str">
        <f>IF(F5528="CAPTURE",IF(COUNTIF(orders!$A:$A,O5528)&gt;0,"Yes","NO ORDER"),"")</f>
        <v>Yes</v>
      </c>
    </row>
    <row r="5529" spans="1:17" ht="15" customHeight="1" x14ac:dyDescent="0.3">
      <c r="A5529" s="23" t="s">
        <v>18777</v>
      </c>
      <c r="B5529" s="23"/>
      <c r="C5529" s="23" t="s">
        <v>1999</v>
      </c>
      <c r="D5529" s="23" t="str">
        <f t="shared" si="258"/>
        <v>ORD26000777</v>
      </c>
      <c r="E5529" s="38">
        <v>46295</v>
      </c>
      <c r="F5529" s="23" t="s">
        <v>12410</v>
      </c>
      <c r="G5529" s="23" t="s">
        <v>75</v>
      </c>
      <c r="H5529" s="24">
        <v>499</v>
      </c>
      <c r="I5529" s="24">
        <v>0</v>
      </c>
      <c r="J5529" s="24">
        <v>0</v>
      </c>
      <c r="K5529" s="24">
        <v>499</v>
      </c>
      <c r="L5529" s="38">
        <v>46297</v>
      </c>
      <c r="M5529" s="23" t="s">
        <v>110</v>
      </c>
      <c r="N5529" s="23" t="str">
        <f>IF(COUNTIF($A$2:A5529,A5529)&gt;1,"DUP","OK")</f>
        <v>OK</v>
      </c>
      <c r="O5529" s="23" t="str">
        <f t="shared" si="259"/>
        <v>ORD26000777</v>
      </c>
      <c r="P5529" s="23" t="str">
        <f t="shared" si="260"/>
        <v>Oct-Due</v>
      </c>
      <c r="Q5529" s="23" t="str">
        <f>IF(F5529="CAPTURE",IF(COUNTIF(orders!$A:$A,O5529)&gt;0,"Yes","NO ORDER"),"")</f>
        <v>Yes</v>
      </c>
    </row>
    <row r="5530" spans="1:17" ht="15" customHeight="1" x14ac:dyDescent="0.3">
      <c r="A5530" s="23" t="s">
        <v>18778</v>
      </c>
      <c r="B5530" s="23"/>
      <c r="C5530" s="23" t="s">
        <v>2021</v>
      </c>
      <c r="D5530" s="23" t="str">
        <f t="shared" si="258"/>
        <v>ORD26000787</v>
      </c>
      <c r="E5530" s="38">
        <v>46295</v>
      </c>
      <c r="F5530" s="23" t="s">
        <v>12410</v>
      </c>
      <c r="G5530" s="23" t="s">
        <v>75</v>
      </c>
      <c r="H5530" s="24">
        <v>848</v>
      </c>
      <c r="I5530" s="24">
        <v>0</v>
      </c>
      <c r="J5530" s="24">
        <v>0</v>
      </c>
      <c r="K5530" s="24">
        <v>848</v>
      </c>
      <c r="L5530" s="38">
        <v>46297</v>
      </c>
      <c r="M5530" s="23" t="s">
        <v>110</v>
      </c>
      <c r="N5530" s="23" t="str">
        <f>IF(COUNTIF($A$2:A5530,A5530)&gt;1,"DUP","OK")</f>
        <v>OK</v>
      </c>
      <c r="O5530" s="23" t="str">
        <f t="shared" si="259"/>
        <v>ORD26000787</v>
      </c>
      <c r="P5530" s="23" t="str">
        <f t="shared" si="260"/>
        <v>Oct-Due</v>
      </c>
      <c r="Q5530" s="23" t="str">
        <f>IF(F5530="CAPTURE",IF(COUNTIF(orders!$A:$A,O5530)&gt;0,"Yes","NO ORDER"),"")</f>
        <v>Yes</v>
      </c>
    </row>
    <row r="5531" spans="1:17" ht="15" customHeight="1" x14ac:dyDescent="0.3">
      <c r="A5531" s="23" t="s">
        <v>18779</v>
      </c>
      <c r="B5531" s="23"/>
      <c r="C5531" s="23" t="s">
        <v>2037</v>
      </c>
      <c r="D5531" s="23" t="str">
        <f t="shared" si="258"/>
        <v>ORD26000795</v>
      </c>
      <c r="E5531" s="38">
        <v>46295</v>
      </c>
      <c r="F5531" s="23" t="s">
        <v>12410</v>
      </c>
      <c r="G5531" s="23" t="s">
        <v>77</v>
      </c>
      <c r="H5531" s="24">
        <v>2999</v>
      </c>
      <c r="I5531" s="24">
        <v>50.98</v>
      </c>
      <c r="J5531" s="24">
        <v>9.18</v>
      </c>
      <c r="K5531" s="24">
        <v>2938.84</v>
      </c>
      <c r="L5531" s="38">
        <v>46297</v>
      </c>
      <c r="M5531" s="23" t="s">
        <v>110</v>
      </c>
      <c r="N5531" s="23" t="str">
        <f>IF(COUNTIF($A$2:A5531,A5531)&gt;1,"DUP","OK")</f>
        <v>OK</v>
      </c>
      <c r="O5531" s="23" t="str">
        <f t="shared" si="259"/>
        <v>ORD26000795</v>
      </c>
      <c r="P5531" s="23" t="str">
        <f t="shared" si="260"/>
        <v>Oct-Due</v>
      </c>
      <c r="Q5531" s="23" t="str">
        <f>IF(F5531="CAPTURE",IF(COUNTIF(orders!$A:$A,O5531)&gt;0,"Yes","NO ORDER"),"")</f>
        <v>Yes</v>
      </c>
    </row>
    <row r="5532" spans="1:17" ht="15" customHeight="1" x14ac:dyDescent="0.3">
      <c r="A5532" s="23" t="s">
        <v>18780</v>
      </c>
      <c r="B5532" s="23"/>
      <c r="C5532" s="23" t="s">
        <v>2067</v>
      </c>
      <c r="D5532" s="23" t="str">
        <f t="shared" si="258"/>
        <v>ORD26000810</v>
      </c>
      <c r="E5532" s="38">
        <v>46295</v>
      </c>
      <c r="F5532" s="23" t="s">
        <v>12410</v>
      </c>
      <c r="G5532" s="23" t="s">
        <v>75</v>
      </c>
      <c r="H5532" s="24">
        <v>3499</v>
      </c>
      <c r="I5532" s="24">
        <v>10.5</v>
      </c>
      <c r="J5532" s="24">
        <v>1.89</v>
      </c>
      <c r="K5532" s="24">
        <v>3486.61</v>
      </c>
      <c r="L5532" s="38">
        <v>46297</v>
      </c>
      <c r="M5532" s="23" t="s">
        <v>110</v>
      </c>
      <c r="N5532" s="23" t="str">
        <f>IF(COUNTIF($A$2:A5532,A5532)&gt;1,"DUP","OK")</f>
        <v>OK</v>
      </c>
      <c r="O5532" s="23" t="str">
        <f t="shared" si="259"/>
        <v>ORD26000810</v>
      </c>
      <c r="P5532" s="23" t="str">
        <f t="shared" si="260"/>
        <v>Oct-Due</v>
      </c>
      <c r="Q5532" s="23" t="str">
        <f>IF(F5532="CAPTURE",IF(COUNTIF(orders!$A:$A,O5532)&gt;0,"Yes","NO ORDER"),"")</f>
        <v>Yes</v>
      </c>
    </row>
    <row r="5533" spans="1:17" ht="15" customHeight="1" x14ac:dyDescent="0.3">
      <c r="A5533" s="23" t="s">
        <v>18781</v>
      </c>
      <c r="B5533" s="23"/>
      <c r="C5533" s="23" t="s">
        <v>2075</v>
      </c>
      <c r="D5533" s="23" t="str">
        <f t="shared" si="258"/>
        <v>ORD26000814</v>
      </c>
      <c r="E5533" s="38">
        <v>46295</v>
      </c>
      <c r="F5533" s="23" t="s">
        <v>12410</v>
      </c>
      <c r="G5533" s="23" t="s">
        <v>75</v>
      </c>
      <c r="H5533" s="24">
        <v>2999</v>
      </c>
      <c r="I5533" s="24">
        <v>9</v>
      </c>
      <c r="J5533" s="24">
        <v>1.62</v>
      </c>
      <c r="K5533" s="24">
        <v>2988.38</v>
      </c>
      <c r="L5533" s="38">
        <v>46297</v>
      </c>
      <c r="M5533" s="23" t="s">
        <v>110</v>
      </c>
      <c r="N5533" s="23" t="str">
        <f>IF(COUNTIF($A$2:A5533,A5533)&gt;1,"DUP","OK")</f>
        <v>OK</v>
      </c>
      <c r="O5533" s="23" t="str">
        <f t="shared" si="259"/>
        <v>ORD26000814</v>
      </c>
      <c r="P5533" s="23" t="str">
        <f t="shared" si="260"/>
        <v>Oct-Due</v>
      </c>
      <c r="Q5533" s="23" t="str">
        <f>IF(F5533="CAPTURE",IF(COUNTIF(orders!$A:$A,O5533)&gt;0,"Yes","NO ORDER"),"")</f>
        <v>Yes</v>
      </c>
    </row>
    <row r="5534" spans="1:17" ht="15" customHeight="1" x14ac:dyDescent="0.3">
      <c r="A5534" s="23" t="s">
        <v>18782</v>
      </c>
      <c r="B5534" s="23"/>
      <c r="C5534" s="23" t="s">
        <v>18783</v>
      </c>
      <c r="D5534" s="23" t="str">
        <f t="shared" si="258"/>
        <v>ORD26000867</v>
      </c>
      <c r="E5534" s="38">
        <v>46295</v>
      </c>
      <c r="F5534" s="23" t="s">
        <v>12410</v>
      </c>
      <c r="G5534" s="23" t="s">
        <v>81</v>
      </c>
      <c r="H5534" s="24">
        <v>3298</v>
      </c>
      <c r="I5534" s="24">
        <v>39.58</v>
      </c>
      <c r="J5534" s="24">
        <v>7.12</v>
      </c>
      <c r="K5534" s="24">
        <v>3251.3</v>
      </c>
      <c r="L5534" s="38">
        <v>46297</v>
      </c>
      <c r="M5534" s="23" t="s">
        <v>110</v>
      </c>
      <c r="N5534" s="23" t="str">
        <f>IF(COUNTIF($A$2:A5534,A5534)&gt;1,"DUP","OK")</f>
        <v>OK</v>
      </c>
      <c r="O5534" s="23" t="str">
        <f t="shared" si="259"/>
        <v>ORD26000867</v>
      </c>
      <c r="P5534" s="23" t="str">
        <f t="shared" si="260"/>
        <v>Oct-Due</v>
      </c>
      <c r="Q5534" s="23" t="str">
        <f>IF(F5534="CAPTURE",IF(COUNTIF(orders!$A:$A,O5534)&gt;0,"Yes","NO ORDER"),"")</f>
        <v>Yes</v>
      </c>
    </row>
    <row r="5535" spans="1:17" ht="15" customHeight="1" x14ac:dyDescent="0.3">
      <c r="A5535" s="23" t="s">
        <v>18784</v>
      </c>
      <c r="B5535" s="23"/>
      <c r="C5535" s="23" t="s">
        <v>2221</v>
      </c>
      <c r="D5535" s="23" t="str">
        <f t="shared" si="258"/>
        <v>ORD26000883</v>
      </c>
      <c r="E5535" s="38">
        <v>46295</v>
      </c>
      <c r="F5535" s="23" t="s">
        <v>12410</v>
      </c>
      <c r="G5535" s="23" t="s">
        <v>75</v>
      </c>
      <c r="H5535" s="24">
        <v>5298</v>
      </c>
      <c r="I5535" s="24">
        <v>15.89</v>
      </c>
      <c r="J5535" s="24">
        <v>2.86</v>
      </c>
      <c r="K5535" s="24">
        <v>5279.25</v>
      </c>
      <c r="L5535" s="38">
        <v>46297</v>
      </c>
      <c r="M5535" s="23" t="s">
        <v>110</v>
      </c>
      <c r="N5535" s="23" t="str">
        <f>IF(COUNTIF($A$2:A5535,A5535)&gt;1,"DUP","OK")</f>
        <v>OK</v>
      </c>
      <c r="O5535" s="23" t="str">
        <f t="shared" si="259"/>
        <v>ORD26000883</v>
      </c>
      <c r="P5535" s="23" t="str">
        <f t="shared" si="260"/>
        <v>Oct-Due</v>
      </c>
      <c r="Q5535" s="23" t="str">
        <f>IF(F5535="CAPTURE",IF(COUNTIF(orders!$A:$A,O5535)&gt;0,"Yes","NO ORDER"),"")</f>
        <v>Yes</v>
      </c>
    </row>
    <row r="5536" spans="1:17" ht="15" customHeight="1" x14ac:dyDescent="0.3">
      <c r="A5536" s="23" t="s">
        <v>18785</v>
      </c>
      <c r="B5536" s="23"/>
      <c r="C5536" s="23" t="s">
        <v>2223</v>
      </c>
      <c r="D5536" s="23" t="str">
        <f t="shared" si="258"/>
        <v>ORD26000884</v>
      </c>
      <c r="E5536" s="38">
        <v>46295</v>
      </c>
      <c r="F5536" s="23" t="s">
        <v>12410</v>
      </c>
      <c r="G5536" s="23" t="s">
        <v>75</v>
      </c>
      <c r="H5536" s="24">
        <v>2498</v>
      </c>
      <c r="I5536" s="24">
        <v>7.49</v>
      </c>
      <c r="J5536" s="24">
        <v>1.35</v>
      </c>
      <c r="K5536" s="24">
        <v>2489.16</v>
      </c>
      <c r="L5536" s="38">
        <v>46297</v>
      </c>
      <c r="M5536" s="23" t="s">
        <v>110</v>
      </c>
      <c r="N5536" s="23" t="str">
        <f>IF(COUNTIF($A$2:A5536,A5536)&gt;1,"DUP","OK")</f>
        <v>OK</v>
      </c>
      <c r="O5536" s="23" t="str">
        <f t="shared" si="259"/>
        <v>ORD26000884</v>
      </c>
      <c r="P5536" s="23" t="str">
        <f t="shared" si="260"/>
        <v>Oct-Due</v>
      </c>
      <c r="Q5536" s="23" t="str">
        <f>IF(F5536="CAPTURE",IF(COUNTIF(orders!$A:$A,O5536)&gt;0,"Yes","NO ORDER"),"")</f>
        <v>Yes</v>
      </c>
    </row>
    <row r="5537" spans="1:17" ht="15" customHeight="1" x14ac:dyDescent="0.3">
      <c r="A5537" s="23" t="s">
        <v>18786</v>
      </c>
      <c r="B5537" s="23"/>
      <c r="C5537" s="23" t="s">
        <v>2245</v>
      </c>
      <c r="D5537" s="23" t="str">
        <f t="shared" si="258"/>
        <v>ORD26000895</v>
      </c>
      <c r="E5537" s="38">
        <v>46295</v>
      </c>
      <c r="F5537" s="23" t="s">
        <v>12410</v>
      </c>
      <c r="G5537" s="23" t="s">
        <v>81</v>
      </c>
      <c r="H5537" s="24">
        <v>2999</v>
      </c>
      <c r="I5537" s="24">
        <v>35.99</v>
      </c>
      <c r="J5537" s="24">
        <v>6.48</v>
      </c>
      <c r="K5537" s="24">
        <v>2956.53</v>
      </c>
      <c r="L5537" s="38">
        <v>46297</v>
      </c>
      <c r="M5537" s="23" t="s">
        <v>110</v>
      </c>
      <c r="N5537" s="23" t="str">
        <f>IF(COUNTIF($A$2:A5537,A5537)&gt;1,"DUP","OK")</f>
        <v>OK</v>
      </c>
      <c r="O5537" s="23" t="str">
        <f t="shared" si="259"/>
        <v>ORD26000895</v>
      </c>
      <c r="P5537" s="23" t="str">
        <f t="shared" si="260"/>
        <v>Oct-Due</v>
      </c>
      <c r="Q5537" s="23" t="str">
        <f>IF(F5537="CAPTURE",IF(COUNTIF(orders!$A:$A,O5537)&gt;0,"Yes","NO ORDER"),"")</f>
        <v>Yes</v>
      </c>
    </row>
    <row r="5538" spans="1:17" ht="15" customHeight="1" x14ac:dyDescent="0.3">
      <c r="A5538" s="23" t="s">
        <v>18787</v>
      </c>
      <c r="B5538" s="23"/>
      <c r="C5538" s="23" t="s">
        <v>18788</v>
      </c>
      <c r="D5538" s="23" t="str">
        <f t="shared" si="258"/>
        <v>ORD26000920</v>
      </c>
      <c r="E5538" s="38">
        <v>46295</v>
      </c>
      <c r="F5538" s="23" t="s">
        <v>12410</v>
      </c>
      <c r="G5538" s="23" t="s">
        <v>79</v>
      </c>
      <c r="H5538" s="24">
        <v>4498</v>
      </c>
      <c r="I5538" s="24">
        <v>71.97</v>
      </c>
      <c r="J5538" s="24">
        <v>12.95</v>
      </c>
      <c r="K5538" s="24">
        <v>4413.08</v>
      </c>
      <c r="L5538" s="38">
        <v>46297</v>
      </c>
      <c r="M5538" s="23" t="s">
        <v>110</v>
      </c>
      <c r="N5538" s="23" t="str">
        <f>IF(COUNTIF($A$2:A5538,A5538)&gt;1,"DUP","OK")</f>
        <v>OK</v>
      </c>
      <c r="O5538" s="23" t="str">
        <f t="shared" si="259"/>
        <v>ORD26000920</v>
      </c>
      <c r="P5538" s="23" t="str">
        <f t="shared" si="260"/>
        <v>Oct-Due</v>
      </c>
      <c r="Q5538" s="23" t="str">
        <f>IF(F5538="CAPTURE",IF(COUNTIF(orders!$A:$A,O5538)&gt;0,"Yes","NO ORDER"),"")</f>
        <v>Yes</v>
      </c>
    </row>
    <row r="5539" spans="1:17" ht="15" customHeight="1" x14ac:dyDescent="0.3">
      <c r="A5539" s="23" t="s">
        <v>18789</v>
      </c>
      <c r="B5539" s="23"/>
      <c r="C5539" s="23" t="s">
        <v>18790</v>
      </c>
      <c r="D5539" s="23" t="str">
        <f t="shared" si="258"/>
        <v>ORD26000928</v>
      </c>
      <c r="E5539" s="38">
        <v>46295</v>
      </c>
      <c r="F5539" s="23" t="s">
        <v>12410</v>
      </c>
      <c r="G5539" s="23" t="s">
        <v>75</v>
      </c>
      <c r="H5539" s="24">
        <v>2998</v>
      </c>
      <c r="I5539" s="24">
        <v>8.99</v>
      </c>
      <c r="J5539" s="24">
        <v>1.62</v>
      </c>
      <c r="K5539" s="24">
        <v>2987.39</v>
      </c>
      <c r="L5539" s="38">
        <v>46297</v>
      </c>
      <c r="M5539" s="23" t="s">
        <v>110</v>
      </c>
      <c r="N5539" s="23" t="str">
        <f>IF(COUNTIF($A$2:A5539,A5539)&gt;1,"DUP","OK")</f>
        <v>OK</v>
      </c>
      <c r="O5539" s="23" t="str">
        <f t="shared" si="259"/>
        <v>ORD26000928</v>
      </c>
      <c r="P5539" s="23" t="str">
        <f t="shared" si="260"/>
        <v>Oct-Due</v>
      </c>
      <c r="Q5539" s="23" t="str">
        <f>IF(F5539="CAPTURE",IF(COUNTIF(orders!$A:$A,O5539)&gt;0,"Yes","NO ORDER"),"")</f>
        <v>Yes</v>
      </c>
    </row>
    <row r="5540" spans="1:17" ht="15" customHeight="1" x14ac:dyDescent="0.3">
      <c r="A5540" s="23" t="s">
        <v>18791</v>
      </c>
      <c r="B5540" s="23"/>
      <c r="C5540" s="23" t="s">
        <v>2344</v>
      </c>
      <c r="D5540" s="23" t="str">
        <f t="shared" si="258"/>
        <v>ORD26000943</v>
      </c>
      <c r="E5540" s="38">
        <v>46295</v>
      </c>
      <c r="F5540" s="23" t="s">
        <v>12410</v>
      </c>
      <c r="G5540" s="23" t="s">
        <v>77</v>
      </c>
      <c r="H5540" s="24">
        <v>7999</v>
      </c>
      <c r="I5540" s="24">
        <v>135.97999999999999</v>
      </c>
      <c r="J5540" s="24">
        <v>24.48</v>
      </c>
      <c r="K5540" s="24">
        <v>7838.54</v>
      </c>
      <c r="L5540" s="38">
        <v>46297</v>
      </c>
      <c r="M5540" s="23" t="s">
        <v>110</v>
      </c>
      <c r="N5540" s="23" t="str">
        <f>IF(COUNTIF($A$2:A5540,A5540)&gt;1,"DUP","OK")</f>
        <v>OK</v>
      </c>
      <c r="O5540" s="23" t="str">
        <f t="shared" si="259"/>
        <v>ORD26000943</v>
      </c>
      <c r="P5540" s="23" t="str">
        <f t="shared" si="260"/>
        <v>Oct-Due</v>
      </c>
      <c r="Q5540" s="23" t="str">
        <f>IF(F5540="CAPTURE",IF(COUNTIF(orders!$A:$A,O5540)&gt;0,"Yes","NO ORDER"),"")</f>
        <v>Yes</v>
      </c>
    </row>
    <row r="5541" spans="1:17" ht="15" customHeight="1" x14ac:dyDescent="0.3">
      <c r="A5541" s="23" t="s">
        <v>18792</v>
      </c>
      <c r="B5541" s="23"/>
      <c r="C5541" s="23" t="s">
        <v>2385</v>
      </c>
      <c r="D5541" s="23" t="str">
        <f t="shared" si="258"/>
        <v>ORD26000963</v>
      </c>
      <c r="E5541" s="38">
        <v>46295</v>
      </c>
      <c r="F5541" s="23" t="s">
        <v>12410</v>
      </c>
      <c r="G5541" s="23" t="s">
        <v>75</v>
      </c>
      <c r="H5541" s="24">
        <v>2999</v>
      </c>
      <c r="I5541" s="24">
        <v>9</v>
      </c>
      <c r="J5541" s="24">
        <v>1.62</v>
      </c>
      <c r="K5541" s="24">
        <v>2988.38</v>
      </c>
      <c r="L5541" s="38">
        <v>46297</v>
      </c>
      <c r="M5541" s="23" t="s">
        <v>110</v>
      </c>
      <c r="N5541" s="23" t="str">
        <f>IF(COUNTIF($A$2:A5541,A5541)&gt;1,"DUP","OK")</f>
        <v>OK</v>
      </c>
      <c r="O5541" s="23" t="str">
        <f t="shared" si="259"/>
        <v>ORD26000963</v>
      </c>
      <c r="P5541" s="23" t="str">
        <f t="shared" si="260"/>
        <v>Oct-Due</v>
      </c>
      <c r="Q5541" s="23" t="str">
        <f>IF(F5541="CAPTURE",IF(COUNTIF(orders!$A:$A,O5541)&gt;0,"Yes","NO ORDER"),"")</f>
        <v>Yes</v>
      </c>
    </row>
    <row r="5542" spans="1:17" ht="15" customHeight="1" x14ac:dyDescent="0.3">
      <c r="A5542" s="23" t="s">
        <v>18793</v>
      </c>
      <c r="B5542" s="23"/>
      <c r="C5542" s="23" t="s">
        <v>2426</v>
      </c>
      <c r="D5542" s="23" t="str">
        <f t="shared" si="258"/>
        <v>ORD26000983</v>
      </c>
      <c r="E5542" s="38">
        <v>46295</v>
      </c>
      <c r="F5542" s="23" t="s">
        <v>12410</v>
      </c>
      <c r="G5542" s="23" t="s">
        <v>77</v>
      </c>
      <c r="H5542" s="24">
        <v>648</v>
      </c>
      <c r="I5542" s="24">
        <v>12.31</v>
      </c>
      <c r="J5542" s="24">
        <v>2.2200000000000002</v>
      </c>
      <c r="K5542" s="24">
        <v>633.47</v>
      </c>
      <c r="L5542" s="38">
        <v>46297</v>
      </c>
      <c r="M5542" s="23" t="s">
        <v>110</v>
      </c>
      <c r="N5542" s="23" t="str">
        <f>IF(COUNTIF($A$2:A5542,A5542)&gt;1,"DUP","OK")</f>
        <v>OK</v>
      </c>
      <c r="O5542" s="23" t="str">
        <f t="shared" si="259"/>
        <v>ORD26000983</v>
      </c>
      <c r="P5542" s="23" t="str">
        <f t="shared" si="260"/>
        <v>Oct-Due</v>
      </c>
      <c r="Q5542" s="23" t="str">
        <f>IF(F5542="CAPTURE",IF(COUNTIF(orders!$A:$A,O5542)&gt;0,"Yes","NO ORDER"),"")</f>
        <v>Yes</v>
      </c>
    </row>
    <row r="5543" spans="1:17" ht="15" customHeight="1" x14ac:dyDescent="0.3">
      <c r="A5543" s="23" t="s">
        <v>18794</v>
      </c>
      <c r="B5543" s="23"/>
      <c r="C5543" s="23" t="s">
        <v>2526</v>
      </c>
      <c r="D5543" s="23" t="str">
        <f t="shared" si="258"/>
        <v>ORD26001032</v>
      </c>
      <c r="E5543" s="38">
        <v>46295</v>
      </c>
      <c r="F5543" s="23" t="s">
        <v>12410</v>
      </c>
      <c r="G5543" s="23" t="s">
        <v>79</v>
      </c>
      <c r="H5543" s="24">
        <v>499</v>
      </c>
      <c r="I5543" s="24">
        <v>8.98</v>
      </c>
      <c r="J5543" s="24">
        <v>1.62</v>
      </c>
      <c r="K5543" s="24">
        <v>488.4</v>
      </c>
      <c r="L5543" s="38">
        <v>46297</v>
      </c>
      <c r="M5543" s="23" t="s">
        <v>110</v>
      </c>
      <c r="N5543" s="23" t="str">
        <f>IF(COUNTIF($A$2:A5543,A5543)&gt;1,"DUP","OK")</f>
        <v>OK</v>
      </c>
      <c r="O5543" s="23" t="str">
        <f t="shared" si="259"/>
        <v>ORD26001032</v>
      </c>
      <c r="P5543" s="23" t="str">
        <f t="shared" si="260"/>
        <v>Oct-Due</v>
      </c>
      <c r="Q5543" s="23" t="str">
        <f>IF(F5543="CAPTURE",IF(COUNTIF(orders!$A:$A,O5543)&gt;0,"Yes","NO ORDER"),"")</f>
        <v>Yes</v>
      </c>
    </row>
    <row r="5544" spans="1:17" ht="15" customHeight="1" x14ac:dyDescent="0.3">
      <c r="A5544" s="23" t="s">
        <v>18795</v>
      </c>
      <c r="B5544" s="23"/>
      <c r="C5544" s="23" t="s">
        <v>2584</v>
      </c>
      <c r="D5544" s="23" t="str">
        <f t="shared" si="258"/>
        <v>ORD26001060</v>
      </c>
      <c r="E5544" s="38">
        <v>46295</v>
      </c>
      <c r="F5544" s="23" t="s">
        <v>12410</v>
      </c>
      <c r="G5544" s="23" t="s">
        <v>77</v>
      </c>
      <c r="H5544" s="24">
        <v>349</v>
      </c>
      <c r="I5544" s="24">
        <v>6.63</v>
      </c>
      <c r="J5544" s="24">
        <v>1.19</v>
      </c>
      <c r="K5544" s="24">
        <v>341.18</v>
      </c>
      <c r="L5544" s="38">
        <v>46297</v>
      </c>
      <c r="M5544" s="23" t="s">
        <v>110</v>
      </c>
      <c r="N5544" s="23" t="str">
        <f>IF(COUNTIF($A$2:A5544,A5544)&gt;1,"DUP","OK")</f>
        <v>OK</v>
      </c>
      <c r="O5544" s="23" t="str">
        <f t="shared" si="259"/>
        <v>ORD26001060</v>
      </c>
      <c r="P5544" s="23" t="str">
        <f t="shared" si="260"/>
        <v>Oct-Due</v>
      </c>
      <c r="Q5544" s="23" t="str">
        <f>IF(F5544="CAPTURE",IF(COUNTIF(orders!$A:$A,O5544)&gt;0,"Yes","NO ORDER"),"")</f>
        <v>Yes</v>
      </c>
    </row>
    <row r="5545" spans="1:17" ht="15" customHeight="1" x14ac:dyDescent="0.3">
      <c r="A5545" s="23" t="s">
        <v>18796</v>
      </c>
      <c r="B5545" s="23"/>
      <c r="C5545" s="23" t="s">
        <v>2606</v>
      </c>
      <c r="D5545" s="23" t="str">
        <f t="shared" si="258"/>
        <v>ORD26001071</v>
      </c>
      <c r="E5545" s="38">
        <v>46295</v>
      </c>
      <c r="F5545" s="23" t="s">
        <v>12410</v>
      </c>
      <c r="G5545" s="23" t="s">
        <v>75</v>
      </c>
      <c r="H5545" s="24">
        <v>1799</v>
      </c>
      <c r="I5545" s="24">
        <v>0</v>
      </c>
      <c r="J5545" s="24">
        <v>0</v>
      </c>
      <c r="K5545" s="24">
        <v>1799</v>
      </c>
      <c r="L5545" s="38">
        <v>46297</v>
      </c>
      <c r="M5545" s="23" t="s">
        <v>110</v>
      </c>
      <c r="N5545" s="23" t="str">
        <f>IF(COUNTIF($A$2:A5545,A5545)&gt;1,"DUP","OK")</f>
        <v>OK</v>
      </c>
      <c r="O5545" s="23" t="str">
        <f t="shared" si="259"/>
        <v>ORD26001071</v>
      </c>
      <c r="P5545" s="23" t="str">
        <f t="shared" si="260"/>
        <v>Oct-Due</v>
      </c>
      <c r="Q5545" s="23" t="str">
        <f>IF(F5545="CAPTURE",IF(COUNTIF(orders!$A:$A,O5545)&gt;0,"Yes","NO ORDER"),"")</f>
        <v>Yes</v>
      </c>
    </row>
    <row r="5546" spans="1:17" ht="15" customHeight="1" x14ac:dyDescent="0.3">
      <c r="A5546" s="23" t="s">
        <v>18797</v>
      </c>
      <c r="B5546" s="23"/>
      <c r="C5546" s="23" t="s">
        <v>18798</v>
      </c>
      <c r="D5546" s="23" t="str">
        <f t="shared" si="258"/>
        <v>ORD26001109</v>
      </c>
      <c r="E5546" s="38">
        <v>46295</v>
      </c>
      <c r="F5546" s="23" t="s">
        <v>12410</v>
      </c>
      <c r="G5546" s="23" t="s">
        <v>77</v>
      </c>
      <c r="H5546" s="24">
        <v>9297</v>
      </c>
      <c r="I5546" s="24">
        <v>158.05000000000001</v>
      </c>
      <c r="J5546" s="24">
        <v>28.45</v>
      </c>
      <c r="K5546" s="24">
        <v>9110.5</v>
      </c>
      <c r="L5546" s="38">
        <v>46297</v>
      </c>
      <c r="M5546" s="23" t="s">
        <v>110</v>
      </c>
      <c r="N5546" s="23" t="str">
        <f>IF(COUNTIF($A$2:A5546,A5546)&gt;1,"DUP","OK")</f>
        <v>OK</v>
      </c>
      <c r="O5546" s="23" t="str">
        <f t="shared" si="259"/>
        <v>ORD26001109</v>
      </c>
      <c r="P5546" s="23" t="str">
        <f t="shared" si="260"/>
        <v>Oct-Due</v>
      </c>
      <c r="Q5546" s="23" t="str">
        <f>IF(F5546="CAPTURE",IF(COUNTIF(orders!$A:$A,O5546)&gt;0,"Yes","NO ORDER"),"")</f>
        <v>Yes</v>
      </c>
    </row>
    <row r="5547" spans="1:17" ht="15" customHeight="1" x14ac:dyDescent="0.3">
      <c r="A5547" s="23" t="s">
        <v>18799</v>
      </c>
      <c r="B5547" s="23"/>
      <c r="C5547" s="23" t="s">
        <v>2759</v>
      </c>
      <c r="D5547" s="23" t="str">
        <f t="shared" si="258"/>
        <v>ORD26001146</v>
      </c>
      <c r="E5547" s="38">
        <v>46295</v>
      </c>
      <c r="F5547" s="23" t="s">
        <v>12410</v>
      </c>
      <c r="G5547" s="23" t="s">
        <v>79</v>
      </c>
      <c r="H5547" s="24">
        <v>999</v>
      </c>
      <c r="I5547" s="24">
        <v>17.98</v>
      </c>
      <c r="J5547" s="24">
        <v>3.24</v>
      </c>
      <c r="K5547" s="24">
        <v>977.78</v>
      </c>
      <c r="L5547" s="38">
        <v>46297</v>
      </c>
      <c r="M5547" s="23" t="s">
        <v>110</v>
      </c>
      <c r="N5547" s="23" t="str">
        <f>IF(COUNTIF($A$2:A5547,A5547)&gt;1,"DUP","OK")</f>
        <v>OK</v>
      </c>
      <c r="O5547" s="23" t="str">
        <f t="shared" si="259"/>
        <v>ORD26001146</v>
      </c>
      <c r="P5547" s="23" t="str">
        <f t="shared" si="260"/>
        <v>Oct-Due</v>
      </c>
      <c r="Q5547" s="23" t="str">
        <f>IF(F5547="CAPTURE",IF(COUNTIF(orders!$A:$A,O5547)&gt;0,"Yes","NO ORDER"),"")</f>
        <v>Yes</v>
      </c>
    </row>
    <row r="5548" spans="1:17" ht="15" customHeight="1" x14ac:dyDescent="0.3">
      <c r="A5548" s="23" t="s">
        <v>18800</v>
      </c>
      <c r="B5548" s="23"/>
      <c r="C5548" s="23" t="s">
        <v>2857</v>
      </c>
      <c r="D5548" s="23" t="str">
        <f t="shared" si="258"/>
        <v>ORD26001195</v>
      </c>
      <c r="E5548" s="38">
        <v>46295</v>
      </c>
      <c r="F5548" s="23" t="s">
        <v>12410</v>
      </c>
      <c r="G5548" s="23" t="s">
        <v>77</v>
      </c>
      <c r="H5548" s="24">
        <v>3147</v>
      </c>
      <c r="I5548" s="24">
        <v>53.5</v>
      </c>
      <c r="J5548" s="24">
        <v>9.6300000000000008</v>
      </c>
      <c r="K5548" s="24">
        <v>3083.87</v>
      </c>
      <c r="L5548" s="38">
        <v>46297</v>
      </c>
      <c r="M5548" s="23" t="s">
        <v>110</v>
      </c>
      <c r="N5548" s="23" t="str">
        <f>IF(COUNTIF($A$2:A5548,A5548)&gt;1,"DUP","OK")</f>
        <v>OK</v>
      </c>
      <c r="O5548" s="23" t="str">
        <f t="shared" si="259"/>
        <v>ORD26001195</v>
      </c>
      <c r="P5548" s="23" t="str">
        <f t="shared" si="260"/>
        <v>Oct-Due</v>
      </c>
      <c r="Q5548" s="23" t="str">
        <f>IF(F5548="CAPTURE",IF(COUNTIF(orders!$A:$A,O5548)&gt;0,"Yes","NO ORDER"),"")</f>
        <v>Yes</v>
      </c>
    </row>
    <row r="5549" spans="1:17" ht="15" customHeight="1" x14ac:dyDescent="0.3">
      <c r="A5549" s="23" t="s">
        <v>18801</v>
      </c>
      <c r="B5549" s="23"/>
      <c r="C5549" s="23" t="s">
        <v>2940</v>
      </c>
      <c r="D5549" s="23" t="str">
        <f t="shared" si="258"/>
        <v>ORD26001235</v>
      </c>
      <c r="E5549" s="38">
        <v>46295</v>
      </c>
      <c r="F5549" s="23" t="s">
        <v>12410</v>
      </c>
      <c r="G5549" s="23" t="s">
        <v>75</v>
      </c>
      <c r="H5549" s="24">
        <v>2499</v>
      </c>
      <c r="I5549" s="24">
        <v>7.5</v>
      </c>
      <c r="J5549" s="24">
        <v>1.35</v>
      </c>
      <c r="K5549" s="24">
        <v>2490.15</v>
      </c>
      <c r="L5549" s="38">
        <v>46297</v>
      </c>
      <c r="M5549" s="23" t="s">
        <v>110</v>
      </c>
      <c r="N5549" s="23" t="str">
        <f>IF(COUNTIF($A$2:A5549,A5549)&gt;1,"DUP","OK")</f>
        <v>OK</v>
      </c>
      <c r="O5549" s="23" t="str">
        <f t="shared" si="259"/>
        <v>ORD26001235</v>
      </c>
      <c r="P5549" s="23" t="str">
        <f t="shared" si="260"/>
        <v>Oct-Due</v>
      </c>
      <c r="Q5549" s="23" t="str">
        <f>IF(F5549="CAPTURE",IF(COUNTIF(orders!$A:$A,O5549)&gt;0,"Yes","NO ORDER"),"")</f>
        <v>Yes</v>
      </c>
    </row>
    <row r="5550" spans="1:17" ht="15" customHeight="1" x14ac:dyDescent="0.3">
      <c r="A5550" s="23" t="s">
        <v>18802</v>
      </c>
      <c r="B5550" s="23"/>
      <c r="C5550" s="23" t="s">
        <v>18803</v>
      </c>
      <c r="D5550" s="23" t="str">
        <f t="shared" si="258"/>
        <v>ORD26001238</v>
      </c>
      <c r="E5550" s="38">
        <v>46295</v>
      </c>
      <c r="F5550" s="23" t="s">
        <v>12410</v>
      </c>
      <c r="G5550" s="23" t="s">
        <v>81</v>
      </c>
      <c r="H5550" s="24">
        <v>799</v>
      </c>
      <c r="I5550" s="24">
        <v>11.99</v>
      </c>
      <c r="J5550" s="24">
        <v>2.16</v>
      </c>
      <c r="K5550" s="24">
        <v>784.85</v>
      </c>
      <c r="L5550" s="38">
        <v>46297</v>
      </c>
      <c r="M5550" s="23" t="s">
        <v>110</v>
      </c>
      <c r="N5550" s="23" t="str">
        <f>IF(COUNTIF($A$2:A5550,A5550)&gt;1,"DUP","OK")</f>
        <v>OK</v>
      </c>
      <c r="O5550" s="23" t="str">
        <f t="shared" si="259"/>
        <v>ORD26001238</v>
      </c>
      <c r="P5550" s="23" t="str">
        <f t="shared" si="260"/>
        <v>Oct-Due</v>
      </c>
      <c r="Q5550" s="23" t="str">
        <f>IF(F5550="CAPTURE",IF(COUNTIF(orders!$A:$A,O5550)&gt;0,"Yes","NO ORDER"),"")</f>
        <v>Yes</v>
      </c>
    </row>
    <row r="5551" spans="1:17" ht="15" customHeight="1" x14ac:dyDescent="0.3">
      <c r="A5551" s="23" t="s">
        <v>18804</v>
      </c>
      <c r="B5551" s="23"/>
      <c r="C5551" s="23" t="s">
        <v>2957</v>
      </c>
      <c r="D5551" s="23" t="str">
        <f t="shared" si="258"/>
        <v>ORD26001243</v>
      </c>
      <c r="E5551" s="38">
        <v>46295</v>
      </c>
      <c r="F5551" s="23" t="s">
        <v>12410</v>
      </c>
      <c r="G5551" s="23" t="s">
        <v>79</v>
      </c>
      <c r="H5551" s="24">
        <v>2798</v>
      </c>
      <c r="I5551" s="24">
        <v>44.77</v>
      </c>
      <c r="J5551" s="24">
        <v>8.06</v>
      </c>
      <c r="K5551" s="24">
        <v>2745.17</v>
      </c>
      <c r="L5551" s="38">
        <v>46297</v>
      </c>
      <c r="M5551" s="23" t="s">
        <v>110</v>
      </c>
      <c r="N5551" s="23" t="str">
        <f>IF(COUNTIF($A$2:A5551,A5551)&gt;1,"DUP","OK")</f>
        <v>OK</v>
      </c>
      <c r="O5551" s="23" t="str">
        <f t="shared" si="259"/>
        <v>ORD26001243</v>
      </c>
      <c r="P5551" s="23" t="str">
        <f t="shared" si="260"/>
        <v>Oct-Due</v>
      </c>
      <c r="Q5551" s="23" t="str">
        <f>IF(F5551="CAPTURE",IF(COUNTIF(orders!$A:$A,O5551)&gt;0,"Yes","NO ORDER"),"")</f>
        <v>Yes</v>
      </c>
    </row>
    <row r="5552" spans="1:17" ht="15" customHeight="1" x14ac:dyDescent="0.3">
      <c r="A5552" s="23" t="s">
        <v>18805</v>
      </c>
      <c r="B5552" s="23"/>
      <c r="C5552" s="23" t="s">
        <v>3103</v>
      </c>
      <c r="D5552" s="23" t="str">
        <f t="shared" si="258"/>
        <v>ORD26001313</v>
      </c>
      <c r="E5552" s="38">
        <v>46295</v>
      </c>
      <c r="F5552" s="23" t="s">
        <v>12410</v>
      </c>
      <c r="G5552" s="23" t="s">
        <v>75</v>
      </c>
      <c r="H5552" s="24">
        <v>4999</v>
      </c>
      <c r="I5552" s="24">
        <v>15</v>
      </c>
      <c r="J5552" s="24">
        <v>2.7</v>
      </c>
      <c r="K5552" s="24">
        <v>4981.3</v>
      </c>
      <c r="L5552" s="38">
        <v>46297</v>
      </c>
      <c r="M5552" s="23" t="s">
        <v>110</v>
      </c>
      <c r="N5552" s="23" t="str">
        <f>IF(COUNTIF($A$2:A5552,A5552)&gt;1,"DUP","OK")</f>
        <v>OK</v>
      </c>
      <c r="O5552" s="23" t="str">
        <f t="shared" si="259"/>
        <v>ORD26001313</v>
      </c>
      <c r="P5552" s="23" t="str">
        <f t="shared" si="260"/>
        <v>Oct-Due</v>
      </c>
      <c r="Q5552" s="23" t="str">
        <f>IF(F5552="CAPTURE",IF(COUNTIF(orders!$A:$A,O5552)&gt;0,"Yes","NO ORDER"),"")</f>
        <v>Yes</v>
      </c>
    </row>
    <row r="5553" spans="1:17" ht="15" customHeight="1" x14ac:dyDescent="0.3">
      <c r="A5553" s="23" t="s">
        <v>18806</v>
      </c>
      <c r="B5553" s="23"/>
      <c r="C5553" s="23" t="s">
        <v>3267</v>
      </c>
      <c r="D5553" s="23" t="str">
        <f t="shared" si="258"/>
        <v>ORD26001393</v>
      </c>
      <c r="E5553" s="38">
        <v>46295</v>
      </c>
      <c r="F5553" s="23" t="s">
        <v>12410</v>
      </c>
      <c r="G5553" s="23" t="s">
        <v>77</v>
      </c>
      <c r="H5553" s="24">
        <v>1098</v>
      </c>
      <c r="I5553" s="24">
        <v>20.86</v>
      </c>
      <c r="J5553" s="24">
        <v>3.75</v>
      </c>
      <c r="K5553" s="24">
        <v>1073.3900000000001</v>
      </c>
      <c r="L5553" s="38">
        <v>46297</v>
      </c>
      <c r="M5553" s="23" t="s">
        <v>110</v>
      </c>
      <c r="N5553" s="23" t="str">
        <f>IF(COUNTIF($A$2:A5553,A5553)&gt;1,"DUP","OK")</f>
        <v>OK</v>
      </c>
      <c r="O5553" s="23" t="str">
        <f t="shared" si="259"/>
        <v>ORD26001393</v>
      </c>
      <c r="P5553" s="23" t="str">
        <f t="shared" si="260"/>
        <v>Oct-Due</v>
      </c>
      <c r="Q5553" s="23" t="str">
        <f>IF(F5553="CAPTURE",IF(COUNTIF(orders!$A:$A,O5553)&gt;0,"Yes","NO ORDER"),"")</f>
        <v>Yes</v>
      </c>
    </row>
    <row r="5554" spans="1:17" ht="15" customHeight="1" x14ac:dyDescent="0.3">
      <c r="A5554" s="23" t="s">
        <v>18807</v>
      </c>
      <c r="B5554" s="23"/>
      <c r="C5554" s="23" t="s">
        <v>3316</v>
      </c>
      <c r="D5554" s="23" t="str">
        <f t="shared" si="258"/>
        <v>ORD26001418</v>
      </c>
      <c r="E5554" s="38">
        <v>46295</v>
      </c>
      <c r="F5554" s="23" t="s">
        <v>12410</v>
      </c>
      <c r="G5554" s="23" t="s">
        <v>75</v>
      </c>
      <c r="H5554" s="24">
        <v>10998</v>
      </c>
      <c r="I5554" s="24">
        <v>32.99</v>
      </c>
      <c r="J5554" s="24">
        <v>5.94</v>
      </c>
      <c r="K5554" s="24">
        <v>10959.07</v>
      </c>
      <c r="L5554" s="38">
        <v>46297</v>
      </c>
      <c r="M5554" s="23" t="s">
        <v>110</v>
      </c>
      <c r="N5554" s="23" t="str">
        <f>IF(COUNTIF($A$2:A5554,A5554)&gt;1,"DUP","OK")</f>
        <v>OK</v>
      </c>
      <c r="O5554" s="23" t="str">
        <f t="shared" si="259"/>
        <v>ORD26001418</v>
      </c>
      <c r="P5554" s="23" t="str">
        <f t="shared" si="260"/>
        <v>Oct-Due</v>
      </c>
      <c r="Q5554" s="23" t="str">
        <f>IF(F5554="CAPTURE",IF(COUNTIF(orders!$A:$A,O5554)&gt;0,"Yes","NO ORDER"),"")</f>
        <v>Yes</v>
      </c>
    </row>
    <row r="5555" spans="1:17" ht="15" customHeight="1" x14ac:dyDescent="0.3">
      <c r="A5555" s="23" t="s">
        <v>18808</v>
      </c>
      <c r="B5555" s="23"/>
      <c r="C5555" s="23" t="s">
        <v>3443</v>
      </c>
      <c r="D5555" s="23" t="str">
        <f t="shared" si="258"/>
        <v>ORD26001480</v>
      </c>
      <c r="E5555" s="38">
        <v>46295</v>
      </c>
      <c r="F5555" s="23" t="s">
        <v>12410</v>
      </c>
      <c r="G5555" s="23" t="s">
        <v>77</v>
      </c>
      <c r="H5555" s="24">
        <v>12998</v>
      </c>
      <c r="I5555" s="24">
        <v>220.97</v>
      </c>
      <c r="J5555" s="24">
        <v>39.770000000000003</v>
      </c>
      <c r="K5555" s="24">
        <v>12737.26</v>
      </c>
      <c r="L5555" s="38">
        <v>46297</v>
      </c>
      <c r="M5555" s="23" t="s">
        <v>110</v>
      </c>
      <c r="N5555" s="23" t="str">
        <f>IF(COUNTIF($A$2:A5555,A5555)&gt;1,"DUP","OK")</f>
        <v>OK</v>
      </c>
      <c r="O5555" s="23" t="str">
        <f t="shared" si="259"/>
        <v>ORD26001480</v>
      </c>
      <c r="P5555" s="23" t="str">
        <f t="shared" si="260"/>
        <v>Oct-Due</v>
      </c>
      <c r="Q5555" s="23" t="str">
        <f>IF(F5555="CAPTURE",IF(COUNTIF(orders!$A:$A,O5555)&gt;0,"Yes","NO ORDER"),"")</f>
        <v>Yes</v>
      </c>
    </row>
    <row r="5556" spans="1:17" ht="15" customHeight="1" x14ac:dyDescent="0.3">
      <c r="A5556" s="23" t="s">
        <v>18809</v>
      </c>
      <c r="B5556" s="23"/>
      <c r="C5556" s="23" t="s">
        <v>18810</v>
      </c>
      <c r="D5556" s="23" t="str">
        <f t="shared" si="258"/>
        <v>ORD26001480</v>
      </c>
      <c r="E5556" s="38">
        <v>46295</v>
      </c>
      <c r="F5556" s="23" t="s">
        <v>12410</v>
      </c>
      <c r="G5556" s="23" t="s">
        <v>77</v>
      </c>
      <c r="H5556" s="24">
        <v>12998</v>
      </c>
      <c r="I5556" s="24">
        <v>220.97</v>
      </c>
      <c r="J5556" s="24">
        <v>39.770000000000003</v>
      </c>
      <c r="K5556" s="24">
        <v>12737.26</v>
      </c>
      <c r="L5556" s="38">
        <v>46297</v>
      </c>
      <c r="M5556" s="23" t="s">
        <v>110</v>
      </c>
      <c r="N5556" s="23" t="str">
        <f>IF(COUNTIF($A$2:A5556,A5556)&gt;1,"DUP","OK")</f>
        <v>OK</v>
      </c>
      <c r="O5556" s="23" t="str">
        <f t="shared" si="259"/>
        <v>ORD26001480</v>
      </c>
      <c r="P5556" s="23" t="str">
        <f t="shared" si="260"/>
        <v>Oct-Due</v>
      </c>
      <c r="Q5556" s="23" t="str">
        <f>IF(F5556="CAPTURE",IF(COUNTIF(orders!$A:$A,O5556)&gt;0,"Yes","NO ORDER"),"")</f>
        <v>Yes</v>
      </c>
    </row>
    <row r="5557" spans="1:17" ht="15" customHeight="1" x14ac:dyDescent="0.3">
      <c r="A5557" s="23" t="s">
        <v>18811</v>
      </c>
      <c r="B5557" s="23"/>
      <c r="C5557" s="23" t="s">
        <v>3446</v>
      </c>
      <c r="D5557" s="23" t="str">
        <f t="shared" si="258"/>
        <v>ORD26001481</v>
      </c>
      <c r="E5557" s="38">
        <v>46295</v>
      </c>
      <c r="F5557" s="23" t="s">
        <v>12410</v>
      </c>
      <c r="G5557" s="23" t="s">
        <v>77</v>
      </c>
      <c r="H5557" s="24">
        <v>3497</v>
      </c>
      <c r="I5557" s="24">
        <v>59.45</v>
      </c>
      <c r="J5557" s="24">
        <v>10.7</v>
      </c>
      <c r="K5557" s="24">
        <v>3426.85</v>
      </c>
      <c r="L5557" s="38">
        <v>46297</v>
      </c>
      <c r="M5557" s="23" t="s">
        <v>110</v>
      </c>
      <c r="N5557" s="23" t="str">
        <f>IF(COUNTIF($A$2:A5557,A5557)&gt;1,"DUP","OK")</f>
        <v>OK</v>
      </c>
      <c r="O5557" s="23" t="str">
        <f t="shared" si="259"/>
        <v>ORD26001481</v>
      </c>
      <c r="P5557" s="23" t="str">
        <f t="shared" si="260"/>
        <v>Oct-Due</v>
      </c>
      <c r="Q5557" s="23" t="str">
        <f>IF(F5557="CAPTURE",IF(COUNTIF(orders!$A:$A,O5557)&gt;0,"Yes","NO ORDER"),"")</f>
        <v>Yes</v>
      </c>
    </row>
    <row r="5558" spans="1:17" ht="15" customHeight="1" x14ac:dyDescent="0.3">
      <c r="A5558" s="23" t="s">
        <v>18812</v>
      </c>
      <c r="B5558" s="23"/>
      <c r="C5558" s="23" t="s">
        <v>18813</v>
      </c>
      <c r="D5558" s="23" t="str">
        <f t="shared" si="258"/>
        <v>ORD26001516</v>
      </c>
      <c r="E5558" s="38">
        <v>46295</v>
      </c>
      <c r="F5558" s="23" t="s">
        <v>12410</v>
      </c>
      <c r="G5558" s="23" t="s">
        <v>77</v>
      </c>
      <c r="H5558" s="24">
        <v>9197</v>
      </c>
      <c r="I5558" s="24">
        <v>156.35</v>
      </c>
      <c r="J5558" s="24">
        <v>28.14</v>
      </c>
      <c r="K5558" s="24">
        <v>9012.51</v>
      </c>
      <c r="L5558" s="38">
        <v>46297</v>
      </c>
      <c r="M5558" s="23" t="s">
        <v>110</v>
      </c>
      <c r="N5558" s="23" t="str">
        <f>IF(COUNTIF($A$2:A5558,A5558)&gt;1,"DUP","OK")</f>
        <v>OK</v>
      </c>
      <c r="O5558" s="23" t="str">
        <f t="shared" si="259"/>
        <v>ORD26001516</v>
      </c>
      <c r="P5558" s="23" t="str">
        <f t="shared" si="260"/>
        <v>Oct-Due</v>
      </c>
      <c r="Q5558" s="23" t="str">
        <f>IF(F5558="CAPTURE",IF(COUNTIF(orders!$A:$A,O5558)&gt;0,"Yes","NO ORDER"),"")</f>
        <v>Yes</v>
      </c>
    </row>
    <row r="5559" spans="1:17" ht="15" customHeight="1" x14ac:dyDescent="0.3">
      <c r="A5559" s="23" t="s">
        <v>18814</v>
      </c>
      <c r="B5559" s="23"/>
      <c r="C5559" s="23" t="s">
        <v>3542</v>
      </c>
      <c r="D5559" s="23" t="str">
        <f t="shared" si="258"/>
        <v>ORD26001527</v>
      </c>
      <c r="E5559" s="38">
        <v>46295</v>
      </c>
      <c r="F5559" s="23" t="s">
        <v>12410</v>
      </c>
      <c r="G5559" s="23" t="s">
        <v>79</v>
      </c>
      <c r="H5559" s="24">
        <v>499</v>
      </c>
      <c r="I5559" s="24">
        <v>8.98</v>
      </c>
      <c r="J5559" s="24">
        <v>1.62</v>
      </c>
      <c r="K5559" s="24">
        <v>488.4</v>
      </c>
      <c r="L5559" s="38">
        <v>46297</v>
      </c>
      <c r="M5559" s="23" t="s">
        <v>110</v>
      </c>
      <c r="N5559" s="23" t="str">
        <f>IF(COUNTIF($A$2:A5559,A5559)&gt;1,"DUP","OK")</f>
        <v>OK</v>
      </c>
      <c r="O5559" s="23" t="str">
        <f t="shared" si="259"/>
        <v>ORD26001527</v>
      </c>
      <c r="P5559" s="23" t="str">
        <f t="shared" si="260"/>
        <v>Oct-Due</v>
      </c>
      <c r="Q5559" s="23" t="str">
        <f>IF(F5559="CAPTURE",IF(COUNTIF(orders!$A:$A,O5559)&gt;0,"Yes","NO ORDER"),"")</f>
        <v>Yes</v>
      </c>
    </row>
    <row r="5560" spans="1:17" ht="15" customHeight="1" x14ac:dyDescent="0.3">
      <c r="A5560" s="23" t="s">
        <v>18815</v>
      </c>
      <c r="B5560" s="23"/>
      <c r="C5560" s="23" t="s">
        <v>3685</v>
      </c>
      <c r="D5560" s="23" t="str">
        <f t="shared" si="258"/>
        <v>ORD26001599</v>
      </c>
      <c r="E5560" s="38">
        <v>46295</v>
      </c>
      <c r="F5560" s="23" t="s">
        <v>12410</v>
      </c>
      <c r="G5560" s="23" t="s">
        <v>75</v>
      </c>
      <c r="H5560" s="24">
        <v>4999</v>
      </c>
      <c r="I5560" s="24">
        <v>15</v>
      </c>
      <c r="J5560" s="24">
        <v>2.7</v>
      </c>
      <c r="K5560" s="24">
        <v>4981.3</v>
      </c>
      <c r="L5560" s="38">
        <v>46297</v>
      </c>
      <c r="M5560" s="23" t="s">
        <v>110</v>
      </c>
      <c r="N5560" s="23" t="str">
        <f>IF(COUNTIF($A$2:A5560,A5560)&gt;1,"DUP","OK")</f>
        <v>OK</v>
      </c>
      <c r="O5560" s="23" t="str">
        <f t="shared" si="259"/>
        <v>ORD26001599</v>
      </c>
      <c r="P5560" s="23" t="str">
        <f t="shared" si="260"/>
        <v>Oct-Due</v>
      </c>
      <c r="Q5560" s="23" t="str">
        <f>IF(F5560="CAPTURE",IF(COUNTIF(orders!$A:$A,O5560)&gt;0,"Yes","NO ORDER"),"")</f>
        <v>Yes</v>
      </c>
    </row>
    <row r="5561" spans="1:17" ht="15" customHeight="1" x14ac:dyDescent="0.3">
      <c r="A5561" s="23" t="s">
        <v>18816</v>
      </c>
      <c r="B5561" s="23"/>
      <c r="C5561" s="23" t="s">
        <v>3715</v>
      </c>
      <c r="D5561" s="23" t="str">
        <f t="shared" si="258"/>
        <v>ORD26001614</v>
      </c>
      <c r="E5561" s="38">
        <v>46295</v>
      </c>
      <c r="F5561" s="23" t="s">
        <v>12410</v>
      </c>
      <c r="G5561" s="23" t="s">
        <v>75</v>
      </c>
      <c r="H5561" s="24">
        <v>1499</v>
      </c>
      <c r="I5561" s="24">
        <v>0</v>
      </c>
      <c r="J5561" s="24">
        <v>0</v>
      </c>
      <c r="K5561" s="24">
        <v>1499</v>
      </c>
      <c r="L5561" s="38">
        <v>46297</v>
      </c>
      <c r="M5561" s="23" t="s">
        <v>110</v>
      </c>
      <c r="N5561" s="23" t="str">
        <f>IF(COUNTIF($A$2:A5561,A5561)&gt;1,"DUP","OK")</f>
        <v>OK</v>
      </c>
      <c r="O5561" s="23" t="str">
        <f t="shared" si="259"/>
        <v>ORD26001614</v>
      </c>
      <c r="P5561" s="23" t="str">
        <f t="shared" si="260"/>
        <v>Oct-Due</v>
      </c>
      <c r="Q5561" s="23" t="str">
        <f>IF(F5561="CAPTURE",IF(COUNTIF(orders!$A:$A,O5561)&gt;0,"Yes","NO ORDER"),"")</f>
        <v>Yes</v>
      </c>
    </row>
    <row r="5562" spans="1:17" ht="15" customHeight="1" x14ac:dyDescent="0.3">
      <c r="A5562" s="23" t="s">
        <v>18817</v>
      </c>
      <c r="B5562" s="23"/>
      <c r="C5562" s="23" t="s">
        <v>3756</v>
      </c>
      <c r="D5562" s="23" t="str">
        <f t="shared" si="258"/>
        <v>ORD26001635</v>
      </c>
      <c r="E5562" s="38">
        <v>46295</v>
      </c>
      <c r="F5562" s="23" t="s">
        <v>12410</v>
      </c>
      <c r="G5562" s="23" t="s">
        <v>79</v>
      </c>
      <c r="H5562" s="24">
        <v>1299</v>
      </c>
      <c r="I5562" s="24">
        <v>23.38</v>
      </c>
      <c r="J5562" s="24">
        <v>4.21</v>
      </c>
      <c r="K5562" s="24">
        <v>1271.4100000000001</v>
      </c>
      <c r="L5562" s="38">
        <v>46297</v>
      </c>
      <c r="M5562" s="23" t="s">
        <v>110</v>
      </c>
      <c r="N5562" s="23" t="str">
        <f>IF(COUNTIF($A$2:A5562,A5562)&gt;1,"DUP","OK")</f>
        <v>OK</v>
      </c>
      <c r="O5562" s="23" t="str">
        <f t="shared" si="259"/>
        <v>ORD26001635</v>
      </c>
      <c r="P5562" s="23" t="str">
        <f t="shared" si="260"/>
        <v>Oct-Due</v>
      </c>
      <c r="Q5562" s="23" t="str">
        <f>IF(F5562="CAPTURE",IF(COUNTIF(orders!$A:$A,O5562)&gt;0,"Yes","NO ORDER"),"")</f>
        <v>Yes</v>
      </c>
    </row>
    <row r="5563" spans="1:17" ht="15" customHeight="1" x14ac:dyDescent="0.3">
      <c r="A5563" s="23" t="s">
        <v>18818</v>
      </c>
      <c r="B5563" s="23"/>
      <c r="C5563" s="23" t="s">
        <v>18819</v>
      </c>
      <c r="D5563" s="23" t="str">
        <f t="shared" si="258"/>
        <v>ORD26001658</v>
      </c>
      <c r="E5563" s="38">
        <v>46295</v>
      </c>
      <c r="F5563" s="23" t="s">
        <v>12410</v>
      </c>
      <c r="G5563" s="23" t="s">
        <v>75</v>
      </c>
      <c r="H5563" s="24">
        <v>2098</v>
      </c>
      <c r="I5563" s="24">
        <v>6.29</v>
      </c>
      <c r="J5563" s="24">
        <v>1.1299999999999999</v>
      </c>
      <c r="K5563" s="24">
        <v>2090.58</v>
      </c>
      <c r="L5563" s="38">
        <v>46297</v>
      </c>
      <c r="M5563" s="23" t="s">
        <v>110</v>
      </c>
      <c r="N5563" s="23" t="str">
        <f>IF(COUNTIF($A$2:A5563,A5563)&gt;1,"DUP","OK")</f>
        <v>OK</v>
      </c>
      <c r="O5563" s="23" t="str">
        <f t="shared" si="259"/>
        <v>ORD26001658</v>
      </c>
      <c r="P5563" s="23" t="str">
        <f t="shared" si="260"/>
        <v>Oct-Due</v>
      </c>
      <c r="Q5563" s="23" t="str">
        <f>IF(F5563="CAPTURE",IF(COUNTIF(orders!$A:$A,O5563)&gt;0,"Yes","NO ORDER"),"")</f>
        <v>Yes</v>
      </c>
    </row>
    <row r="5564" spans="1:17" ht="15" customHeight="1" x14ac:dyDescent="0.3">
      <c r="A5564" s="23" t="s">
        <v>18820</v>
      </c>
      <c r="B5564" s="23"/>
      <c r="C5564" s="23" t="s">
        <v>3917</v>
      </c>
      <c r="D5564" s="23" t="str">
        <f t="shared" si="258"/>
        <v>ORD26001715</v>
      </c>
      <c r="E5564" s="38">
        <v>46295</v>
      </c>
      <c r="F5564" s="23" t="s">
        <v>12410</v>
      </c>
      <c r="G5564" s="23" t="s">
        <v>79</v>
      </c>
      <c r="H5564" s="24">
        <v>5298</v>
      </c>
      <c r="I5564" s="24">
        <v>84.77</v>
      </c>
      <c r="J5564" s="24">
        <v>15.26</v>
      </c>
      <c r="K5564" s="24">
        <v>5197.97</v>
      </c>
      <c r="L5564" s="38">
        <v>46297</v>
      </c>
      <c r="M5564" s="23" t="s">
        <v>110</v>
      </c>
      <c r="N5564" s="23" t="str">
        <f>IF(COUNTIF($A$2:A5564,A5564)&gt;1,"DUP","OK")</f>
        <v>OK</v>
      </c>
      <c r="O5564" s="23" t="str">
        <f t="shared" si="259"/>
        <v>ORD26001715</v>
      </c>
      <c r="P5564" s="23" t="str">
        <f t="shared" si="260"/>
        <v>Oct-Due</v>
      </c>
      <c r="Q5564" s="23" t="str">
        <f>IF(F5564="CAPTURE",IF(COUNTIF(orders!$A:$A,O5564)&gt;0,"Yes","NO ORDER"),"")</f>
        <v>Yes</v>
      </c>
    </row>
    <row r="5565" spans="1:17" ht="15" customHeight="1" x14ac:dyDescent="0.3">
      <c r="A5565" s="23" t="s">
        <v>18821</v>
      </c>
      <c r="B5565" s="23"/>
      <c r="C5565" s="23" t="s">
        <v>3937</v>
      </c>
      <c r="D5565" s="23" t="str">
        <f t="shared" si="258"/>
        <v>ORD26001725</v>
      </c>
      <c r="E5565" s="38">
        <v>46295</v>
      </c>
      <c r="F5565" s="23" t="s">
        <v>12410</v>
      </c>
      <c r="G5565" s="23" t="s">
        <v>77</v>
      </c>
      <c r="H5565" s="24">
        <v>799</v>
      </c>
      <c r="I5565" s="24">
        <v>15.18</v>
      </c>
      <c r="J5565" s="24">
        <v>2.73</v>
      </c>
      <c r="K5565" s="24">
        <v>781.09</v>
      </c>
      <c r="L5565" s="38">
        <v>46297</v>
      </c>
      <c r="M5565" s="23" t="s">
        <v>110</v>
      </c>
      <c r="N5565" s="23" t="str">
        <f>IF(COUNTIF($A$2:A5565,A5565)&gt;1,"DUP","OK")</f>
        <v>OK</v>
      </c>
      <c r="O5565" s="23" t="str">
        <f t="shared" si="259"/>
        <v>ORD26001725</v>
      </c>
      <c r="P5565" s="23" t="str">
        <f t="shared" si="260"/>
        <v>Oct-Due</v>
      </c>
      <c r="Q5565" s="23" t="str">
        <f>IF(F5565="CAPTURE",IF(COUNTIF(orders!$A:$A,O5565)&gt;0,"Yes","NO ORDER"),"")</f>
        <v>Yes</v>
      </c>
    </row>
    <row r="5566" spans="1:17" ht="15" customHeight="1" x14ac:dyDescent="0.3">
      <c r="A5566" s="23" t="s">
        <v>18822</v>
      </c>
      <c r="B5566" s="23"/>
      <c r="C5566" s="23" t="s">
        <v>4010</v>
      </c>
      <c r="D5566" s="23" t="str">
        <f t="shared" si="258"/>
        <v>ORD26001761</v>
      </c>
      <c r="E5566" s="38">
        <v>46295</v>
      </c>
      <c r="F5566" s="23" t="s">
        <v>12410</v>
      </c>
      <c r="G5566" s="23" t="s">
        <v>81</v>
      </c>
      <c r="H5566" s="24">
        <v>299</v>
      </c>
      <c r="I5566" s="24">
        <v>4.49</v>
      </c>
      <c r="J5566" s="24">
        <v>0.81</v>
      </c>
      <c r="K5566" s="24">
        <v>293.7</v>
      </c>
      <c r="L5566" s="38">
        <v>46297</v>
      </c>
      <c r="M5566" s="23" t="s">
        <v>110</v>
      </c>
      <c r="N5566" s="23" t="str">
        <f>IF(COUNTIF($A$2:A5566,A5566)&gt;1,"DUP","OK")</f>
        <v>OK</v>
      </c>
      <c r="O5566" s="23" t="str">
        <f t="shared" si="259"/>
        <v>ORD26001761</v>
      </c>
      <c r="P5566" s="23" t="str">
        <f t="shared" si="260"/>
        <v>Oct-Due</v>
      </c>
      <c r="Q5566" s="23" t="str">
        <f>IF(F5566="CAPTURE",IF(COUNTIF(orders!$A:$A,O5566)&gt;0,"Yes","NO ORDER"),"")</f>
        <v>Yes</v>
      </c>
    </row>
    <row r="5567" spans="1:17" ht="15" customHeight="1" x14ac:dyDescent="0.3">
      <c r="A5567" s="23" t="s">
        <v>18823</v>
      </c>
      <c r="B5567" s="23"/>
      <c r="C5567" s="23" t="s">
        <v>4030</v>
      </c>
      <c r="D5567" s="23" t="str">
        <f t="shared" si="258"/>
        <v>ORD26001771</v>
      </c>
      <c r="E5567" s="38">
        <v>46295</v>
      </c>
      <c r="F5567" s="23" t="s">
        <v>12410</v>
      </c>
      <c r="G5567" s="23" t="s">
        <v>75</v>
      </c>
      <c r="H5567" s="24">
        <v>999</v>
      </c>
      <c r="I5567" s="24">
        <v>0</v>
      </c>
      <c r="J5567" s="24">
        <v>0</v>
      </c>
      <c r="K5567" s="24">
        <v>999</v>
      </c>
      <c r="L5567" s="38">
        <v>46297</v>
      </c>
      <c r="M5567" s="23" t="s">
        <v>110</v>
      </c>
      <c r="N5567" s="23" t="str">
        <f>IF(COUNTIF($A$2:A5567,A5567)&gt;1,"DUP","OK")</f>
        <v>OK</v>
      </c>
      <c r="O5567" s="23" t="str">
        <f t="shared" si="259"/>
        <v>ORD26001771</v>
      </c>
      <c r="P5567" s="23" t="str">
        <f t="shared" si="260"/>
        <v>Oct-Due</v>
      </c>
      <c r="Q5567" s="23" t="str">
        <f>IF(F5567="CAPTURE",IF(COUNTIF(orders!$A:$A,O5567)&gt;0,"Yes","NO ORDER"),"")</f>
        <v>Yes</v>
      </c>
    </row>
    <row r="5568" spans="1:17" ht="15" customHeight="1" x14ac:dyDescent="0.3">
      <c r="A5568" s="23" t="s">
        <v>18824</v>
      </c>
      <c r="B5568" s="23"/>
      <c r="C5568" s="23" t="s">
        <v>4032</v>
      </c>
      <c r="D5568" s="23" t="str">
        <f t="shared" si="258"/>
        <v>ORD26001772</v>
      </c>
      <c r="E5568" s="38">
        <v>46295</v>
      </c>
      <c r="F5568" s="23" t="s">
        <v>12410</v>
      </c>
      <c r="G5568" s="23" t="s">
        <v>75</v>
      </c>
      <c r="H5568" s="24">
        <v>5998</v>
      </c>
      <c r="I5568" s="24">
        <v>17.989999999999998</v>
      </c>
      <c r="J5568" s="24">
        <v>3.24</v>
      </c>
      <c r="K5568" s="24">
        <v>5976.77</v>
      </c>
      <c r="L5568" s="38">
        <v>46297</v>
      </c>
      <c r="M5568" s="23" t="s">
        <v>110</v>
      </c>
      <c r="N5568" s="23" t="str">
        <f>IF(COUNTIF($A$2:A5568,A5568)&gt;1,"DUP","OK")</f>
        <v>OK</v>
      </c>
      <c r="O5568" s="23" t="str">
        <f t="shared" si="259"/>
        <v>ORD26001772</v>
      </c>
      <c r="P5568" s="23" t="str">
        <f t="shared" si="260"/>
        <v>Oct-Due</v>
      </c>
      <c r="Q5568" s="23" t="str">
        <f>IF(F5568="CAPTURE",IF(COUNTIF(orders!$A:$A,O5568)&gt;0,"Yes","NO ORDER"),"")</f>
        <v>Yes</v>
      </c>
    </row>
    <row r="5569" spans="1:17" ht="15" customHeight="1" x14ac:dyDescent="0.3">
      <c r="A5569" s="23" t="s">
        <v>18825</v>
      </c>
      <c r="B5569" s="23"/>
      <c r="C5569" s="23" t="s">
        <v>4081</v>
      </c>
      <c r="D5569" s="23" t="str">
        <f t="shared" si="258"/>
        <v>ORD26001797</v>
      </c>
      <c r="E5569" s="38">
        <v>46295</v>
      </c>
      <c r="F5569" s="23" t="s">
        <v>12410</v>
      </c>
      <c r="G5569" s="23" t="s">
        <v>79</v>
      </c>
      <c r="H5569" s="24">
        <v>2499</v>
      </c>
      <c r="I5569" s="24">
        <v>39.979999999999997</v>
      </c>
      <c r="J5569" s="24">
        <v>7.2</v>
      </c>
      <c r="K5569" s="24">
        <v>2451.8200000000002</v>
      </c>
      <c r="L5569" s="38">
        <v>46297</v>
      </c>
      <c r="M5569" s="23" t="s">
        <v>110</v>
      </c>
      <c r="N5569" s="23" t="str">
        <f>IF(COUNTIF($A$2:A5569,A5569)&gt;1,"DUP","OK")</f>
        <v>OK</v>
      </c>
      <c r="O5569" s="23" t="str">
        <f t="shared" si="259"/>
        <v>ORD26001797</v>
      </c>
      <c r="P5569" s="23" t="str">
        <f t="shared" si="260"/>
        <v>Oct-Due</v>
      </c>
      <c r="Q5569" s="23" t="str">
        <f>IF(F5569="CAPTURE",IF(COUNTIF(orders!$A:$A,O5569)&gt;0,"Yes","NO ORDER"),"")</f>
        <v>Yes</v>
      </c>
    </row>
    <row r="5570" spans="1:17" ht="15" customHeight="1" x14ac:dyDescent="0.3">
      <c r="A5570" s="23" t="s">
        <v>18826</v>
      </c>
      <c r="B5570" s="23"/>
      <c r="C5570" s="23" t="s">
        <v>4131</v>
      </c>
      <c r="D5570" s="23" t="str">
        <f t="shared" ref="D5570:D5633" si="261">UPPER(SUBSTITUTE(TRIM(C5570),"-",""))</f>
        <v>ORD26001822</v>
      </c>
      <c r="E5570" s="38">
        <v>46295</v>
      </c>
      <c r="F5570" s="23" t="s">
        <v>12410</v>
      </c>
      <c r="G5570" s="23" t="s">
        <v>75</v>
      </c>
      <c r="H5570" s="24">
        <v>2999</v>
      </c>
      <c r="I5570" s="24">
        <v>9</v>
      </c>
      <c r="J5570" s="24">
        <v>1.62</v>
      </c>
      <c r="K5570" s="24">
        <v>2988.38</v>
      </c>
      <c r="L5570" s="38">
        <v>46297</v>
      </c>
      <c r="M5570" s="23" t="s">
        <v>110</v>
      </c>
      <c r="N5570" s="23" t="str">
        <f>IF(COUNTIF($A$2:A5570,A5570)&gt;1,"DUP","OK")</f>
        <v>OK</v>
      </c>
      <c r="O5570" s="23" t="str">
        <f t="shared" ref="O5570:O5633" si="262">IF(F5570="REFUND",INDEX($D:$D,MATCH(B5570,$A:$A,0)),D5570)</f>
        <v>ORD26001822</v>
      </c>
      <c r="P5570" s="23" t="str">
        <f t="shared" ref="P5570:P5633" si="263">IF(L5570&gt;DATE(2026,9,30),"Oct-Due","Sep")</f>
        <v>Oct-Due</v>
      </c>
      <c r="Q5570" s="23" t="str">
        <f>IF(F5570="CAPTURE",IF(COUNTIF(orders!$A:$A,O5570)&gt;0,"Yes","NO ORDER"),"")</f>
        <v>Yes</v>
      </c>
    </row>
    <row r="5571" spans="1:17" ht="15" customHeight="1" x14ac:dyDescent="0.3">
      <c r="A5571" s="23" t="s">
        <v>18827</v>
      </c>
      <c r="B5571" s="23"/>
      <c r="C5571" s="23" t="s">
        <v>4139</v>
      </c>
      <c r="D5571" s="23" t="str">
        <f t="shared" si="261"/>
        <v>ORD26001826</v>
      </c>
      <c r="E5571" s="38">
        <v>46295</v>
      </c>
      <c r="F5571" s="23" t="s">
        <v>12410</v>
      </c>
      <c r="G5571" s="23" t="s">
        <v>81</v>
      </c>
      <c r="H5571" s="24">
        <v>3499</v>
      </c>
      <c r="I5571" s="24">
        <v>41.99</v>
      </c>
      <c r="J5571" s="24">
        <v>7.56</v>
      </c>
      <c r="K5571" s="24">
        <v>3449.45</v>
      </c>
      <c r="L5571" s="38">
        <v>46297</v>
      </c>
      <c r="M5571" s="23" t="s">
        <v>110</v>
      </c>
      <c r="N5571" s="23" t="str">
        <f>IF(COUNTIF($A$2:A5571,A5571)&gt;1,"DUP","OK")</f>
        <v>OK</v>
      </c>
      <c r="O5571" s="23" t="str">
        <f t="shared" si="262"/>
        <v>ORD26001826</v>
      </c>
      <c r="P5571" s="23" t="str">
        <f t="shared" si="263"/>
        <v>Oct-Due</v>
      </c>
      <c r="Q5571" s="23" t="str">
        <f>IF(F5571="CAPTURE",IF(COUNTIF(orders!$A:$A,O5571)&gt;0,"Yes","NO ORDER"),"")</f>
        <v>Yes</v>
      </c>
    </row>
    <row r="5572" spans="1:17" ht="15" customHeight="1" x14ac:dyDescent="0.3">
      <c r="A5572" s="23" t="s">
        <v>18828</v>
      </c>
      <c r="B5572" s="23"/>
      <c r="C5572" s="23" t="s">
        <v>4200</v>
      </c>
      <c r="D5572" s="23" t="str">
        <f t="shared" si="261"/>
        <v>ORD26001857</v>
      </c>
      <c r="E5572" s="38">
        <v>46295</v>
      </c>
      <c r="F5572" s="23" t="s">
        <v>12410</v>
      </c>
      <c r="G5572" s="23" t="s">
        <v>77</v>
      </c>
      <c r="H5572" s="24">
        <v>4197</v>
      </c>
      <c r="I5572" s="24">
        <v>71.349999999999994</v>
      </c>
      <c r="J5572" s="24">
        <v>12.84</v>
      </c>
      <c r="K5572" s="24">
        <v>4112.8100000000004</v>
      </c>
      <c r="L5572" s="38">
        <v>46297</v>
      </c>
      <c r="M5572" s="23" t="s">
        <v>110</v>
      </c>
      <c r="N5572" s="23" t="str">
        <f>IF(COUNTIF($A$2:A5572,A5572)&gt;1,"DUP","OK")</f>
        <v>OK</v>
      </c>
      <c r="O5572" s="23" t="str">
        <f t="shared" si="262"/>
        <v>ORD26001857</v>
      </c>
      <c r="P5572" s="23" t="str">
        <f t="shared" si="263"/>
        <v>Oct-Due</v>
      </c>
      <c r="Q5572" s="23" t="str">
        <f>IF(F5572="CAPTURE",IF(COUNTIF(orders!$A:$A,O5572)&gt;0,"Yes","NO ORDER"),"")</f>
        <v>Yes</v>
      </c>
    </row>
    <row r="5573" spans="1:17" ht="15" customHeight="1" x14ac:dyDescent="0.3">
      <c r="A5573" s="23" t="s">
        <v>18829</v>
      </c>
      <c r="B5573" s="23"/>
      <c r="C5573" s="23" t="s">
        <v>4251</v>
      </c>
      <c r="D5573" s="23" t="str">
        <f t="shared" si="261"/>
        <v>ORD26001882</v>
      </c>
      <c r="E5573" s="38">
        <v>46295</v>
      </c>
      <c r="F5573" s="23" t="s">
        <v>12410</v>
      </c>
      <c r="G5573" s="23" t="s">
        <v>81</v>
      </c>
      <c r="H5573" s="24">
        <v>998</v>
      </c>
      <c r="I5573" s="24">
        <v>14.97</v>
      </c>
      <c r="J5573" s="24">
        <v>2.69</v>
      </c>
      <c r="K5573" s="24">
        <v>980.34</v>
      </c>
      <c r="L5573" s="38">
        <v>46297</v>
      </c>
      <c r="M5573" s="23" t="s">
        <v>110</v>
      </c>
      <c r="N5573" s="23" t="str">
        <f>IF(COUNTIF($A$2:A5573,A5573)&gt;1,"DUP","OK")</f>
        <v>OK</v>
      </c>
      <c r="O5573" s="23" t="str">
        <f t="shared" si="262"/>
        <v>ORD26001882</v>
      </c>
      <c r="P5573" s="23" t="str">
        <f t="shared" si="263"/>
        <v>Oct-Due</v>
      </c>
      <c r="Q5573" s="23" t="str">
        <f>IF(F5573="CAPTURE",IF(COUNTIF(orders!$A:$A,O5573)&gt;0,"Yes","NO ORDER"),"")</f>
        <v>Yes</v>
      </c>
    </row>
    <row r="5574" spans="1:17" ht="15" customHeight="1" x14ac:dyDescent="0.3">
      <c r="A5574" s="23" t="s">
        <v>18830</v>
      </c>
      <c r="B5574" s="23"/>
      <c r="C5574" s="23" t="s">
        <v>4334</v>
      </c>
      <c r="D5574" s="23" t="str">
        <f t="shared" si="261"/>
        <v>ORD26001922</v>
      </c>
      <c r="E5574" s="38">
        <v>46295</v>
      </c>
      <c r="F5574" s="23" t="s">
        <v>12410</v>
      </c>
      <c r="G5574" s="23" t="s">
        <v>77</v>
      </c>
      <c r="H5574" s="24">
        <v>2499</v>
      </c>
      <c r="I5574" s="24">
        <v>42.48</v>
      </c>
      <c r="J5574" s="24">
        <v>7.65</v>
      </c>
      <c r="K5574" s="24">
        <v>2448.87</v>
      </c>
      <c r="L5574" s="38">
        <v>46297</v>
      </c>
      <c r="M5574" s="23" t="s">
        <v>110</v>
      </c>
      <c r="N5574" s="23" t="str">
        <f>IF(COUNTIF($A$2:A5574,A5574)&gt;1,"DUP","OK")</f>
        <v>OK</v>
      </c>
      <c r="O5574" s="23" t="str">
        <f t="shared" si="262"/>
        <v>ORD26001922</v>
      </c>
      <c r="P5574" s="23" t="str">
        <f t="shared" si="263"/>
        <v>Oct-Due</v>
      </c>
      <c r="Q5574" s="23" t="str">
        <f>IF(F5574="CAPTURE",IF(COUNTIF(orders!$A:$A,O5574)&gt;0,"Yes","NO ORDER"),"")</f>
        <v>Yes</v>
      </c>
    </row>
    <row r="5575" spans="1:17" ht="15" customHeight="1" x14ac:dyDescent="0.3">
      <c r="A5575" s="23" t="s">
        <v>18831</v>
      </c>
      <c r="B5575" s="23"/>
      <c r="C5575" s="23" t="s">
        <v>4462</v>
      </c>
      <c r="D5575" s="23" t="str">
        <f t="shared" si="261"/>
        <v>ORD26001987</v>
      </c>
      <c r="E5575" s="38">
        <v>46295</v>
      </c>
      <c r="F5575" s="23" t="s">
        <v>12410</v>
      </c>
      <c r="G5575" s="23" t="s">
        <v>75</v>
      </c>
      <c r="H5575" s="24">
        <v>4999</v>
      </c>
      <c r="I5575" s="24">
        <v>15</v>
      </c>
      <c r="J5575" s="24">
        <v>2.7</v>
      </c>
      <c r="K5575" s="24">
        <v>4981.3</v>
      </c>
      <c r="L5575" s="38">
        <v>46297</v>
      </c>
      <c r="M5575" s="23" t="s">
        <v>110</v>
      </c>
      <c r="N5575" s="23" t="str">
        <f>IF(COUNTIF($A$2:A5575,A5575)&gt;1,"DUP","OK")</f>
        <v>OK</v>
      </c>
      <c r="O5575" s="23" t="str">
        <f t="shared" si="262"/>
        <v>ORD26001987</v>
      </c>
      <c r="P5575" s="23" t="str">
        <f t="shared" si="263"/>
        <v>Oct-Due</v>
      </c>
      <c r="Q5575" s="23" t="str">
        <f>IF(F5575="CAPTURE",IF(COUNTIF(orders!$A:$A,O5575)&gt;0,"Yes","NO ORDER"),"")</f>
        <v>Yes</v>
      </c>
    </row>
    <row r="5576" spans="1:17" ht="15" customHeight="1" x14ac:dyDescent="0.3">
      <c r="A5576" s="23" t="s">
        <v>18832</v>
      </c>
      <c r="B5576" s="23"/>
      <c r="C5576" s="23" t="s">
        <v>18833</v>
      </c>
      <c r="D5576" s="23" t="str">
        <f t="shared" si="261"/>
        <v>ORD26002017</v>
      </c>
      <c r="E5576" s="38">
        <v>46295</v>
      </c>
      <c r="F5576" s="23" t="s">
        <v>12410</v>
      </c>
      <c r="G5576" s="23" t="s">
        <v>75</v>
      </c>
      <c r="H5576" s="24">
        <v>3098</v>
      </c>
      <c r="I5576" s="24">
        <v>9.2899999999999991</v>
      </c>
      <c r="J5576" s="24">
        <v>1.67</v>
      </c>
      <c r="K5576" s="24">
        <v>3087.04</v>
      </c>
      <c r="L5576" s="38">
        <v>46297</v>
      </c>
      <c r="M5576" s="23" t="s">
        <v>110</v>
      </c>
      <c r="N5576" s="23" t="str">
        <f>IF(COUNTIF($A$2:A5576,A5576)&gt;1,"DUP","OK")</f>
        <v>OK</v>
      </c>
      <c r="O5576" s="23" t="str">
        <f t="shared" si="262"/>
        <v>ORD26002017</v>
      </c>
      <c r="P5576" s="23" t="str">
        <f t="shared" si="263"/>
        <v>Oct-Due</v>
      </c>
      <c r="Q5576" s="23" t="str">
        <f>IF(F5576="CAPTURE",IF(COUNTIF(orders!$A:$A,O5576)&gt;0,"Yes","NO ORDER"),"")</f>
        <v>Yes</v>
      </c>
    </row>
    <row r="5577" spans="1:17" ht="15" customHeight="1" x14ac:dyDescent="0.3">
      <c r="A5577" s="23" t="s">
        <v>18834</v>
      </c>
      <c r="B5577" s="23"/>
      <c r="C5577" s="23" t="s">
        <v>4529</v>
      </c>
      <c r="D5577" s="23" t="str">
        <f t="shared" si="261"/>
        <v>ORD26002020</v>
      </c>
      <c r="E5577" s="38">
        <v>46295</v>
      </c>
      <c r="F5577" s="23" t="s">
        <v>12410</v>
      </c>
      <c r="G5577" s="23" t="s">
        <v>75</v>
      </c>
      <c r="H5577" s="24">
        <v>999</v>
      </c>
      <c r="I5577" s="24">
        <v>0</v>
      </c>
      <c r="J5577" s="24">
        <v>0</v>
      </c>
      <c r="K5577" s="24">
        <v>999</v>
      </c>
      <c r="L5577" s="38">
        <v>46297</v>
      </c>
      <c r="M5577" s="23" t="s">
        <v>110</v>
      </c>
      <c r="N5577" s="23" t="str">
        <f>IF(COUNTIF($A$2:A5577,A5577)&gt;1,"DUP","OK")</f>
        <v>OK</v>
      </c>
      <c r="O5577" s="23" t="str">
        <f t="shared" si="262"/>
        <v>ORD26002020</v>
      </c>
      <c r="P5577" s="23" t="str">
        <f t="shared" si="263"/>
        <v>Oct-Due</v>
      </c>
      <c r="Q5577" s="23" t="str">
        <f>IF(F5577="CAPTURE",IF(COUNTIF(orders!$A:$A,O5577)&gt;0,"Yes","NO ORDER"),"")</f>
        <v>Yes</v>
      </c>
    </row>
    <row r="5578" spans="1:17" ht="15" customHeight="1" x14ac:dyDescent="0.3">
      <c r="A5578" s="23" t="s">
        <v>18835</v>
      </c>
      <c r="B5578" s="23"/>
      <c r="C5578" s="23" t="s">
        <v>4568</v>
      </c>
      <c r="D5578" s="23" t="str">
        <f t="shared" si="261"/>
        <v>ORD26002039</v>
      </c>
      <c r="E5578" s="38">
        <v>46295</v>
      </c>
      <c r="F5578" s="23" t="s">
        <v>12410</v>
      </c>
      <c r="G5578" s="23" t="s">
        <v>79</v>
      </c>
      <c r="H5578" s="24">
        <v>5498</v>
      </c>
      <c r="I5578" s="24">
        <v>87.97</v>
      </c>
      <c r="J5578" s="24">
        <v>15.83</v>
      </c>
      <c r="K5578" s="24">
        <v>5394.2</v>
      </c>
      <c r="L5578" s="38">
        <v>46297</v>
      </c>
      <c r="M5578" s="23" t="s">
        <v>110</v>
      </c>
      <c r="N5578" s="23" t="str">
        <f>IF(COUNTIF($A$2:A5578,A5578)&gt;1,"DUP","OK")</f>
        <v>OK</v>
      </c>
      <c r="O5578" s="23" t="str">
        <f t="shared" si="262"/>
        <v>ORD26002039</v>
      </c>
      <c r="P5578" s="23" t="str">
        <f t="shared" si="263"/>
        <v>Oct-Due</v>
      </c>
      <c r="Q5578" s="23" t="str">
        <f>IF(F5578="CAPTURE",IF(COUNTIF(orders!$A:$A,O5578)&gt;0,"Yes","NO ORDER"),"")</f>
        <v>Yes</v>
      </c>
    </row>
    <row r="5579" spans="1:17" ht="15" customHeight="1" x14ac:dyDescent="0.3">
      <c r="A5579" s="23" t="s">
        <v>18836</v>
      </c>
      <c r="B5579" s="23"/>
      <c r="C5579" s="23" t="s">
        <v>18837</v>
      </c>
      <c r="D5579" s="23" t="str">
        <f t="shared" si="261"/>
        <v>ORD26002092</v>
      </c>
      <c r="E5579" s="38">
        <v>46295</v>
      </c>
      <c r="F5579" s="23" t="s">
        <v>12410</v>
      </c>
      <c r="G5579" s="23" t="s">
        <v>77</v>
      </c>
      <c r="H5579" s="24">
        <v>3848</v>
      </c>
      <c r="I5579" s="24">
        <v>65.42</v>
      </c>
      <c r="J5579" s="24">
        <v>11.78</v>
      </c>
      <c r="K5579" s="24">
        <v>3770.8</v>
      </c>
      <c r="L5579" s="38">
        <v>46297</v>
      </c>
      <c r="M5579" s="23" t="s">
        <v>110</v>
      </c>
      <c r="N5579" s="23" t="str">
        <f>IF(COUNTIF($A$2:A5579,A5579)&gt;1,"DUP","OK")</f>
        <v>OK</v>
      </c>
      <c r="O5579" s="23" t="str">
        <f t="shared" si="262"/>
        <v>ORD26002092</v>
      </c>
      <c r="P5579" s="23" t="str">
        <f t="shared" si="263"/>
        <v>Oct-Due</v>
      </c>
      <c r="Q5579" s="23" t="str">
        <f>IF(F5579="CAPTURE",IF(COUNTIF(orders!$A:$A,O5579)&gt;0,"Yes","NO ORDER"),"")</f>
        <v>Yes</v>
      </c>
    </row>
    <row r="5580" spans="1:17" ht="15" customHeight="1" x14ac:dyDescent="0.3">
      <c r="A5580" s="23" t="s">
        <v>18838</v>
      </c>
      <c r="B5580" s="23"/>
      <c r="C5580" s="23" t="s">
        <v>4791</v>
      </c>
      <c r="D5580" s="23" t="str">
        <f t="shared" si="261"/>
        <v>ORD26002151</v>
      </c>
      <c r="E5580" s="38">
        <v>46295</v>
      </c>
      <c r="F5580" s="23" t="s">
        <v>12410</v>
      </c>
      <c r="G5580" s="23" t="s">
        <v>75</v>
      </c>
      <c r="H5580" s="24">
        <v>349</v>
      </c>
      <c r="I5580" s="24">
        <v>0</v>
      </c>
      <c r="J5580" s="24">
        <v>0</v>
      </c>
      <c r="K5580" s="24">
        <v>349</v>
      </c>
      <c r="L5580" s="38">
        <v>46297</v>
      </c>
      <c r="M5580" s="23" t="s">
        <v>110</v>
      </c>
      <c r="N5580" s="23" t="str">
        <f>IF(COUNTIF($A$2:A5580,A5580)&gt;1,"DUP","OK")</f>
        <v>OK</v>
      </c>
      <c r="O5580" s="23" t="str">
        <f t="shared" si="262"/>
        <v>ORD26002151</v>
      </c>
      <c r="P5580" s="23" t="str">
        <f t="shared" si="263"/>
        <v>Oct-Due</v>
      </c>
      <c r="Q5580" s="23" t="str">
        <f>IF(F5580="CAPTURE",IF(COUNTIF(orders!$A:$A,O5580)&gt;0,"Yes","NO ORDER"),"")</f>
        <v>Yes</v>
      </c>
    </row>
    <row r="5581" spans="1:17" ht="15" customHeight="1" x14ac:dyDescent="0.3">
      <c r="A5581" s="23" t="s">
        <v>18839</v>
      </c>
      <c r="B5581" s="23"/>
      <c r="C5581" s="23" t="s">
        <v>4852</v>
      </c>
      <c r="D5581" s="23" t="str">
        <f t="shared" si="261"/>
        <v>ORD26002181</v>
      </c>
      <c r="E5581" s="38">
        <v>46295</v>
      </c>
      <c r="F5581" s="23" t="s">
        <v>12410</v>
      </c>
      <c r="G5581" s="23" t="s">
        <v>77</v>
      </c>
      <c r="H5581" s="24">
        <v>999</v>
      </c>
      <c r="I5581" s="24">
        <v>18.98</v>
      </c>
      <c r="J5581" s="24">
        <v>3.42</v>
      </c>
      <c r="K5581" s="24">
        <v>976.6</v>
      </c>
      <c r="L5581" s="38">
        <v>46297</v>
      </c>
      <c r="M5581" s="23" t="s">
        <v>110</v>
      </c>
      <c r="N5581" s="23" t="str">
        <f>IF(COUNTIF($A$2:A5581,A5581)&gt;1,"DUP","OK")</f>
        <v>OK</v>
      </c>
      <c r="O5581" s="23" t="str">
        <f t="shared" si="262"/>
        <v>ORD26002181</v>
      </c>
      <c r="P5581" s="23" t="str">
        <f t="shared" si="263"/>
        <v>Oct-Due</v>
      </c>
      <c r="Q5581" s="23" t="str">
        <f>IF(F5581="CAPTURE",IF(COUNTIF(orders!$A:$A,O5581)&gt;0,"Yes","NO ORDER"),"")</f>
        <v>Yes</v>
      </c>
    </row>
    <row r="5582" spans="1:17" ht="15" customHeight="1" x14ac:dyDescent="0.3">
      <c r="A5582" s="23" t="s">
        <v>18840</v>
      </c>
      <c r="B5582" s="23"/>
      <c r="C5582" s="23" t="s">
        <v>18841</v>
      </c>
      <c r="D5582" s="23" t="str">
        <f t="shared" si="261"/>
        <v>ORD26002210</v>
      </c>
      <c r="E5582" s="38">
        <v>46295</v>
      </c>
      <c r="F5582" s="23" t="s">
        <v>12410</v>
      </c>
      <c r="G5582" s="23" t="s">
        <v>77</v>
      </c>
      <c r="H5582" s="24">
        <v>5348</v>
      </c>
      <c r="I5582" s="24">
        <v>90.92</v>
      </c>
      <c r="J5582" s="24">
        <v>16.37</v>
      </c>
      <c r="K5582" s="24">
        <v>5240.71</v>
      </c>
      <c r="L5582" s="38">
        <v>46297</v>
      </c>
      <c r="M5582" s="23" t="s">
        <v>110</v>
      </c>
      <c r="N5582" s="23" t="str">
        <f>IF(COUNTIF($A$2:A5582,A5582)&gt;1,"DUP","OK")</f>
        <v>OK</v>
      </c>
      <c r="O5582" s="23" t="str">
        <f t="shared" si="262"/>
        <v>ORD26002210</v>
      </c>
      <c r="P5582" s="23" t="str">
        <f t="shared" si="263"/>
        <v>Oct-Due</v>
      </c>
      <c r="Q5582" s="23" t="str">
        <f>IF(F5582="CAPTURE",IF(COUNTIF(orders!$A:$A,O5582)&gt;0,"Yes","NO ORDER"),"")</f>
        <v>Yes</v>
      </c>
    </row>
    <row r="5583" spans="1:17" ht="15" customHeight="1" x14ac:dyDescent="0.3">
      <c r="A5583" s="23" t="s">
        <v>18842</v>
      </c>
      <c r="B5583" s="23"/>
      <c r="C5583" s="23" t="s">
        <v>5092</v>
      </c>
      <c r="D5583" s="23" t="str">
        <f t="shared" si="261"/>
        <v>ORD26002299</v>
      </c>
      <c r="E5583" s="38">
        <v>46295</v>
      </c>
      <c r="F5583" s="23" t="s">
        <v>12410</v>
      </c>
      <c r="G5583" s="23" t="s">
        <v>77</v>
      </c>
      <c r="H5583" s="24">
        <v>11497</v>
      </c>
      <c r="I5583" s="24">
        <v>195.45</v>
      </c>
      <c r="J5583" s="24">
        <v>35.18</v>
      </c>
      <c r="K5583" s="24">
        <v>11266.37</v>
      </c>
      <c r="L5583" s="38">
        <v>46297</v>
      </c>
      <c r="M5583" s="23" t="s">
        <v>110</v>
      </c>
      <c r="N5583" s="23" t="str">
        <f>IF(COUNTIF($A$2:A5583,A5583)&gt;1,"DUP","OK")</f>
        <v>OK</v>
      </c>
      <c r="O5583" s="23" t="str">
        <f t="shared" si="262"/>
        <v>ORD26002299</v>
      </c>
      <c r="P5583" s="23" t="str">
        <f t="shared" si="263"/>
        <v>Oct-Due</v>
      </c>
      <c r="Q5583" s="23" t="str">
        <f>IF(F5583="CAPTURE",IF(COUNTIF(orders!$A:$A,O5583)&gt;0,"Yes","NO ORDER"),"")</f>
        <v>Yes</v>
      </c>
    </row>
    <row r="5584" spans="1:17" ht="15" customHeight="1" x14ac:dyDescent="0.3">
      <c r="A5584" s="23" t="s">
        <v>18843</v>
      </c>
      <c r="B5584" s="23"/>
      <c r="C5584" s="23" t="s">
        <v>5245</v>
      </c>
      <c r="D5584" s="23" t="str">
        <f t="shared" si="261"/>
        <v>ORD26002376</v>
      </c>
      <c r="E5584" s="38">
        <v>46295</v>
      </c>
      <c r="F5584" s="23" t="s">
        <v>12410</v>
      </c>
      <c r="G5584" s="23" t="s">
        <v>79</v>
      </c>
      <c r="H5584" s="24">
        <v>4897</v>
      </c>
      <c r="I5584" s="24">
        <v>78.349999999999994</v>
      </c>
      <c r="J5584" s="24">
        <v>14.1</v>
      </c>
      <c r="K5584" s="24">
        <v>4804.55</v>
      </c>
      <c r="L5584" s="38">
        <v>46297</v>
      </c>
      <c r="M5584" s="23" t="s">
        <v>110</v>
      </c>
      <c r="N5584" s="23" t="str">
        <f>IF(COUNTIF($A$2:A5584,A5584)&gt;1,"DUP","OK")</f>
        <v>OK</v>
      </c>
      <c r="O5584" s="23" t="str">
        <f t="shared" si="262"/>
        <v>ORD26002376</v>
      </c>
      <c r="P5584" s="23" t="str">
        <f t="shared" si="263"/>
        <v>Oct-Due</v>
      </c>
      <c r="Q5584" s="23" t="str">
        <f>IF(F5584="CAPTURE",IF(COUNTIF(orders!$A:$A,O5584)&gt;0,"Yes","NO ORDER"),"")</f>
        <v>Yes</v>
      </c>
    </row>
    <row r="5585" spans="1:17" ht="15" customHeight="1" x14ac:dyDescent="0.3">
      <c r="A5585" s="23" t="s">
        <v>18844</v>
      </c>
      <c r="B5585" s="23"/>
      <c r="C5585" s="23" t="s">
        <v>18845</v>
      </c>
      <c r="D5585" s="23" t="str">
        <f t="shared" si="261"/>
        <v>ORD26002393</v>
      </c>
      <c r="E5585" s="38">
        <v>46295</v>
      </c>
      <c r="F5585" s="23" t="s">
        <v>12410</v>
      </c>
      <c r="G5585" s="23" t="s">
        <v>75</v>
      </c>
      <c r="H5585" s="24">
        <v>1499</v>
      </c>
      <c r="I5585" s="24">
        <v>0</v>
      </c>
      <c r="J5585" s="24">
        <v>0</v>
      </c>
      <c r="K5585" s="24">
        <v>1499</v>
      </c>
      <c r="L5585" s="38">
        <v>46297</v>
      </c>
      <c r="M5585" s="23" t="s">
        <v>110</v>
      </c>
      <c r="N5585" s="23" t="str">
        <f>IF(COUNTIF($A$2:A5585,A5585)&gt;1,"DUP","OK")</f>
        <v>OK</v>
      </c>
      <c r="O5585" s="23" t="str">
        <f t="shared" si="262"/>
        <v>ORD26002393</v>
      </c>
      <c r="P5585" s="23" t="str">
        <f t="shared" si="263"/>
        <v>Oct-Due</v>
      </c>
      <c r="Q5585" s="23" t="str">
        <f>IF(F5585="CAPTURE",IF(COUNTIF(orders!$A:$A,O5585)&gt;0,"Yes","NO ORDER"),"")</f>
        <v>Yes</v>
      </c>
    </row>
    <row r="5586" spans="1:17" ht="15" customHeight="1" x14ac:dyDescent="0.3">
      <c r="A5586" s="23" t="s">
        <v>18846</v>
      </c>
      <c r="B5586" s="23"/>
      <c r="C5586" s="23" t="s">
        <v>5311</v>
      </c>
      <c r="D5586" s="23" t="str">
        <f t="shared" si="261"/>
        <v>ORD26002409</v>
      </c>
      <c r="E5586" s="38">
        <v>46295</v>
      </c>
      <c r="F5586" s="23" t="s">
        <v>12410</v>
      </c>
      <c r="G5586" s="23" t="s">
        <v>75</v>
      </c>
      <c r="H5586" s="24">
        <v>2298</v>
      </c>
      <c r="I5586" s="24">
        <v>6.89</v>
      </c>
      <c r="J5586" s="24">
        <v>1.24</v>
      </c>
      <c r="K5586" s="24">
        <v>2289.87</v>
      </c>
      <c r="L5586" s="38">
        <v>46297</v>
      </c>
      <c r="M5586" s="23" t="s">
        <v>110</v>
      </c>
      <c r="N5586" s="23" t="str">
        <f>IF(COUNTIF($A$2:A5586,A5586)&gt;1,"DUP","OK")</f>
        <v>OK</v>
      </c>
      <c r="O5586" s="23" t="str">
        <f t="shared" si="262"/>
        <v>ORD26002409</v>
      </c>
      <c r="P5586" s="23" t="str">
        <f t="shared" si="263"/>
        <v>Oct-Due</v>
      </c>
      <c r="Q5586" s="23" t="str">
        <f>IF(F5586="CAPTURE",IF(COUNTIF(orders!$A:$A,O5586)&gt;0,"Yes","NO ORDER"),"")</f>
        <v>Yes</v>
      </c>
    </row>
    <row r="5587" spans="1:17" ht="15" customHeight="1" x14ac:dyDescent="0.3">
      <c r="A5587" s="23" t="s">
        <v>18847</v>
      </c>
      <c r="B5587" s="23"/>
      <c r="C5587" s="23" t="s">
        <v>5640</v>
      </c>
      <c r="D5587" s="23" t="str">
        <f t="shared" si="261"/>
        <v>ORD26002573</v>
      </c>
      <c r="E5587" s="38">
        <v>46295</v>
      </c>
      <c r="F5587" s="23" t="s">
        <v>12410</v>
      </c>
      <c r="G5587" s="23" t="s">
        <v>75</v>
      </c>
      <c r="H5587" s="24">
        <v>1299</v>
      </c>
      <c r="I5587" s="24">
        <v>0</v>
      </c>
      <c r="J5587" s="24">
        <v>0</v>
      </c>
      <c r="K5587" s="24">
        <v>1299</v>
      </c>
      <c r="L5587" s="38">
        <v>46297</v>
      </c>
      <c r="M5587" s="23" t="s">
        <v>110</v>
      </c>
      <c r="N5587" s="23" t="str">
        <f>IF(COUNTIF($A$2:A5587,A5587)&gt;1,"DUP","OK")</f>
        <v>OK</v>
      </c>
      <c r="O5587" s="23" t="str">
        <f t="shared" si="262"/>
        <v>ORD26002573</v>
      </c>
      <c r="P5587" s="23" t="str">
        <f t="shared" si="263"/>
        <v>Oct-Due</v>
      </c>
      <c r="Q5587" s="23" t="str">
        <f>IF(F5587="CAPTURE",IF(COUNTIF(orders!$A:$A,O5587)&gt;0,"Yes","NO ORDER"),"")</f>
        <v>Yes</v>
      </c>
    </row>
    <row r="5588" spans="1:17" ht="15" customHeight="1" x14ac:dyDescent="0.3">
      <c r="A5588" s="23" t="s">
        <v>18848</v>
      </c>
      <c r="B5588" s="23"/>
      <c r="C5588" s="23" t="s">
        <v>5657</v>
      </c>
      <c r="D5588" s="23" t="str">
        <f t="shared" si="261"/>
        <v>ORD26002582</v>
      </c>
      <c r="E5588" s="38">
        <v>46295</v>
      </c>
      <c r="F5588" s="23" t="s">
        <v>12410</v>
      </c>
      <c r="G5588" s="23" t="s">
        <v>79</v>
      </c>
      <c r="H5588" s="24">
        <v>1799</v>
      </c>
      <c r="I5588" s="24">
        <v>32.380000000000003</v>
      </c>
      <c r="J5588" s="24">
        <v>5.83</v>
      </c>
      <c r="K5588" s="24">
        <v>1760.79</v>
      </c>
      <c r="L5588" s="38">
        <v>46297</v>
      </c>
      <c r="M5588" s="23" t="s">
        <v>110</v>
      </c>
      <c r="N5588" s="23" t="str">
        <f>IF(COUNTIF($A$2:A5588,A5588)&gt;1,"DUP","OK")</f>
        <v>OK</v>
      </c>
      <c r="O5588" s="23" t="str">
        <f t="shared" si="262"/>
        <v>ORD26002582</v>
      </c>
      <c r="P5588" s="23" t="str">
        <f t="shared" si="263"/>
        <v>Oct-Due</v>
      </c>
      <c r="Q5588" s="23" t="str">
        <f>IF(F5588="CAPTURE",IF(COUNTIF(orders!$A:$A,O5588)&gt;0,"Yes","NO ORDER"),"")</f>
        <v>Yes</v>
      </c>
    </row>
    <row r="5589" spans="1:17" ht="15" customHeight="1" x14ac:dyDescent="0.3">
      <c r="A5589" s="23" t="s">
        <v>18849</v>
      </c>
      <c r="B5589" s="23"/>
      <c r="C5589" s="23" t="s">
        <v>5703</v>
      </c>
      <c r="D5589" s="23" t="str">
        <f t="shared" si="261"/>
        <v>ORD26002605</v>
      </c>
      <c r="E5589" s="38">
        <v>46295</v>
      </c>
      <c r="F5589" s="23" t="s">
        <v>12410</v>
      </c>
      <c r="G5589" s="23" t="s">
        <v>75</v>
      </c>
      <c r="H5589" s="24">
        <v>599</v>
      </c>
      <c r="I5589" s="24">
        <v>0</v>
      </c>
      <c r="J5589" s="24">
        <v>0</v>
      </c>
      <c r="K5589" s="24">
        <v>599</v>
      </c>
      <c r="L5589" s="38">
        <v>46297</v>
      </c>
      <c r="M5589" s="23" t="s">
        <v>110</v>
      </c>
      <c r="N5589" s="23" t="str">
        <f>IF(COUNTIF($A$2:A5589,A5589)&gt;1,"DUP","OK")</f>
        <v>OK</v>
      </c>
      <c r="O5589" s="23" t="str">
        <f t="shared" si="262"/>
        <v>ORD26002605</v>
      </c>
      <c r="P5589" s="23" t="str">
        <f t="shared" si="263"/>
        <v>Oct-Due</v>
      </c>
      <c r="Q5589" s="23" t="str">
        <f>IF(F5589="CAPTURE",IF(COUNTIF(orders!$A:$A,O5589)&gt;0,"Yes","NO ORDER"),"")</f>
        <v>Yes</v>
      </c>
    </row>
    <row r="5590" spans="1:17" ht="15" customHeight="1" x14ac:dyDescent="0.3">
      <c r="A5590" s="23" t="s">
        <v>18850</v>
      </c>
      <c r="B5590" s="23"/>
      <c r="C5590" s="23" t="s">
        <v>5708</v>
      </c>
      <c r="D5590" s="23" t="str">
        <f t="shared" si="261"/>
        <v>ORD26002607</v>
      </c>
      <c r="E5590" s="38">
        <v>46295</v>
      </c>
      <c r="F5590" s="23" t="s">
        <v>12410</v>
      </c>
      <c r="G5590" s="23" t="s">
        <v>79</v>
      </c>
      <c r="H5590" s="24">
        <v>3598</v>
      </c>
      <c r="I5590" s="24">
        <v>57.57</v>
      </c>
      <c r="J5590" s="24">
        <v>10.36</v>
      </c>
      <c r="K5590" s="24">
        <v>3530.07</v>
      </c>
      <c r="L5590" s="38">
        <v>46297</v>
      </c>
      <c r="M5590" s="23" t="s">
        <v>110</v>
      </c>
      <c r="N5590" s="23" t="str">
        <f>IF(COUNTIF($A$2:A5590,A5590)&gt;1,"DUP","OK")</f>
        <v>OK</v>
      </c>
      <c r="O5590" s="23" t="str">
        <f t="shared" si="262"/>
        <v>ORD26002607</v>
      </c>
      <c r="P5590" s="23" t="str">
        <f t="shared" si="263"/>
        <v>Oct-Due</v>
      </c>
      <c r="Q5590" s="23" t="str">
        <f>IF(F5590="CAPTURE",IF(COUNTIF(orders!$A:$A,O5590)&gt;0,"Yes","NO ORDER"),"")</f>
        <v>Yes</v>
      </c>
    </row>
    <row r="5591" spans="1:17" ht="15" customHeight="1" x14ac:dyDescent="0.3">
      <c r="A5591" s="23" t="s">
        <v>18851</v>
      </c>
      <c r="B5591" s="23"/>
      <c r="C5591" s="23" t="s">
        <v>5810</v>
      </c>
      <c r="D5591" s="23" t="str">
        <f t="shared" si="261"/>
        <v>ORD26002657</v>
      </c>
      <c r="E5591" s="38">
        <v>46295</v>
      </c>
      <c r="F5591" s="23" t="s">
        <v>12410</v>
      </c>
      <c r="G5591" s="23" t="s">
        <v>77</v>
      </c>
      <c r="H5591" s="24">
        <v>798</v>
      </c>
      <c r="I5591" s="24">
        <v>15.16</v>
      </c>
      <c r="J5591" s="24">
        <v>2.73</v>
      </c>
      <c r="K5591" s="24">
        <v>780.11</v>
      </c>
      <c r="L5591" s="38">
        <v>46297</v>
      </c>
      <c r="M5591" s="23" t="s">
        <v>110</v>
      </c>
      <c r="N5591" s="23" t="str">
        <f>IF(COUNTIF($A$2:A5591,A5591)&gt;1,"DUP","OK")</f>
        <v>OK</v>
      </c>
      <c r="O5591" s="23" t="str">
        <f t="shared" si="262"/>
        <v>ORD26002657</v>
      </c>
      <c r="P5591" s="23" t="str">
        <f t="shared" si="263"/>
        <v>Oct-Due</v>
      </c>
      <c r="Q5591" s="23" t="str">
        <f>IF(F5591="CAPTURE",IF(COUNTIF(orders!$A:$A,O5591)&gt;0,"Yes","NO ORDER"),"")</f>
        <v>Yes</v>
      </c>
    </row>
    <row r="5592" spans="1:17" ht="15" customHeight="1" x14ac:dyDescent="0.3">
      <c r="A5592" s="23" t="s">
        <v>18852</v>
      </c>
      <c r="B5592" s="23"/>
      <c r="C5592" s="23" t="s">
        <v>5936</v>
      </c>
      <c r="D5592" s="23" t="str">
        <f t="shared" si="261"/>
        <v>ORD26002720</v>
      </c>
      <c r="E5592" s="38">
        <v>46295</v>
      </c>
      <c r="F5592" s="23" t="s">
        <v>12410</v>
      </c>
      <c r="G5592" s="23" t="s">
        <v>81</v>
      </c>
      <c r="H5592" s="24">
        <v>1799</v>
      </c>
      <c r="I5592" s="24">
        <v>26.99</v>
      </c>
      <c r="J5592" s="24">
        <v>4.8600000000000003</v>
      </c>
      <c r="K5592" s="24">
        <v>1767.15</v>
      </c>
      <c r="L5592" s="38">
        <v>46297</v>
      </c>
      <c r="M5592" s="23" t="s">
        <v>110</v>
      </c>
      <c r="N5592" s="23" t="str">
        <f>IF(COUNTIF($A$2:A5592,A5592)&gt;1,"DUP","OK")</f>
        <v>OK</v>
      </c>
      <c r="O5592" s="23" t="str">
        <f t="shared" si="262"/>
        <v>ORD26002720</v>
      </c>
      <c r="P5592" s="23" t="str">
        <f t="shared" si="263"/>
        <v>Oct-Due</v>
      </c>
      <c r="Q5592" s="23" t="str">
        <f>IF(F5592="CAPTURE",IF(COUNTIF(orders!$A:$A,O5592)&gt;0,"Yes","NO ORDER"),"")</f>
        <v>Yes</v>
      </c>
    </row>
    <row r="5593" spans="1:17" ht="15" customHeight="1" x14ac:dyDescent="0.3">
      <c r="A5593" s="23" t="s">
        <v>18853</v>
      </c>
      <c r="B5593" s="23"/>
      <c r="C5593" s="23" t="s">
        <v>5987</v>
      </c>
      <c r="D5593" s="23" t="str">
        <f t="shared" si="261"/>
        <v>ORD26002745</v>
      </c>
      <c r="E5593" s="38">
        <v>46295</v>
      </c>
      <c r="F5593" s="23" t="s">
        <v>12410</v>
      </c>
      <c r="G5593" s="23" t="s">
        <v>77</v>
      </c>
      <c r="H5593" s="24">
        <v>5498</v>
      </c>
      <c r="I5593" s="24">
        <v>93.47</v>
      </c>
      <c r="J5593" s="24">
        <v>16.82</v>
      </c>
      <c r="K5593" s="24">
        <v>5387.71</v>
      </c>
      <c r="L5593" s="38">
        <v>46297</v>
      </c>
      <c r="M5593" s="23" t="s">
        <v>110</v>
      </c>
      <c r="N5593" s="23" t="str">
        <f>IF(COUNTIF($A$2:A5593,A5593)&gt;1,"DUP","OK")</f>
        <v>OK</v>
      </c>
      <c r="O5593" s="23" t="str">
        <f t="shared" si="262"/>
        <v>ORD26002745</v>
      </c>
      <c r="P5593" s="23" t="str">
        <f t="shared" si="263"/>
        <v>Oct-Due</v>
      </c>
      <c r="Q5593" s="23" t="str">
        <f>IF(F5593="CAPTURE",IF(COUNTIF(orders!$A:$A,O5593)&gt;0,"Yes","NO ORDER"),"")</f>
        <v>Yes</v>
      </c>
    </row>
    <row r="5594" spans="1:17" ht="15" customHeight="1" x14ac:dyDescent="0.3">
      <c r="A5594" s="23" t="s">
        <v>18854</v>
      </c>
      <c r="B5594" s="23"/>
      <c r="C5594" s="23" t="s">
        <v>6082</v>
      </c>
      <c r="D5594" s="23" t="str">
        <f t="shared" si="261"/>
        <v>ORD26002792</v>
      </c>
      <c r="E5594" s="38">
        <v>46295</v>
      </c>
      <c r="F5594" s="23" t="s">
        <v>12410</v>
      </c>
      <c r="G5594" s="23" t="s">
        <v>75</v>
      </c>
      <c r="H5594" s="24">
        <v>2499</v>
      </c>
      <c r="I5594" s="24">
        <v>7.5</v>
      </c>
      <c r="J5594" s="24">
        <v>1.35</v>
      </c>
      <c r="K5594" s="24">
        <v>2490.15</v>
      </c>
      <c r="L5594" s="38">
        <v>46297</v>
      </c>
      <c r="M5594" s="23" t="s">
        <v>110</v>
      </c>
      <c r="N5594" s="23" t="str">
        <f>IF(COUNTIF($A$2:A5594,A5594)&gt;1,"DUP","OK")</f>
        <v>OK</v>
      </c>
      <c r="O5594" s="23" t="str">
        <f t="shared" si="262"/>
        <v>ORD26002792</v>
      </c>
      <c r="P5594" s="23" t="str">
        <f t="shared" si="263"/>
        <v>Oct-Due</v>
      </c>
      <c r="Q5594" s="23" t="str">
        <f>IF(F5594="CAPTURE",IF(COUNTIF(orders!$A:$A,O5594)&gt;0,"Yes","NO ORDER"),"")</f>
        <v>Yes</v>
      </c>
    </row>
    <row r="5595" spans="1:17" ht="15" customHeight="1" x14ac:dyDescent="0.3">
      <c r="A5595" s="23" t="s">
        <v>18855</v>
      </c>
      <c r="B5595" s="23"/>
      <c r="C5595" s="23" t="s">
        <v>6198</v>
      </c>
      <c r="D5595" s="23" t="str">
        <f t="shared" si="261"/>
        <v>ORD26002851</v>
      </c>
      <c r="E5595" s="38">
        <v>46295</v>
      </c>
      <c r="F5595" s="23" t="s">
        <v>12410</v>
      </c>
      <c r="G5595" s="23" t="s">
        <v>79</v>
      </c>
      <c r="H5595" s="24">
        <v>4597</v>
      </c>
      <c r="I5595" s="24">
        <v>73.55</v>
      </c>
      <c r="J5595" s="24">
        <v>13.24</v>
      </c>
      <c r="K5595" s="24">
        <v>4510.21</v>
      </c>
      <c r="L5595" s="38">
        <v>46297</v>
      </c>
      <c r="M5595" s="23" t="s">
        <v>110</v>
      </c>
      <c r="N5595" s="23" t="str">
        <f>IF(COUNTIF($A$2:A5595,A5595)&gt;1,"DUP","OK")</f>
        <v>OK</v>
      </c>
      <c r="O5595" s="23" t="str">
        <f t="shared" si="262"/>
        <v>ORD26002851</v>
      </c>
      <c r="P5595" s="23" t="str">
        <f t="shared" si="263"/>
        <v>Oct-Due</v>
      </c>
      <c r="Q5595" s="23" t="str">
        <f>IF(F5595="CAPTURE",IF(COUNTIF(orders!$A:$A,O5595)&gt;0,"Yes","NO ORDER"),"")</f>
        <v>Yes</v>
      </c>
    </row>
    <row r="5596" spans="1:17" ht="15" customHeight="1" x14ac:dyDescent="0.3">
      <c r="A5596" s="23" t="s">
        <v>18856</v>
      </c>
      <c r="B5596" s="23"/>
      <c r="C5596" s="23" t="s">
        <v>6206</v>
      </c>
      <c r="D5596" s="23" t="str">
        <f t="shared" si="261"/>
        <v>ORD26002855</v>
      </c>
      <c r="E5596" s="38">
        <v>46295</v>
      </c>
      <c r="F5596" s="23" t="s">
        <v>12410</v>
      </c>
      <c r="G5596" s="23" t="s">
        <v>75</v>
      </c>
      <c r="H5596" s="24">
        <v>4999</v>
      </c>
      <c r="I5596" s="24">
        <v>15</v>
      </c>
      <c r="J5596" s="24">
        <v>2.7</v>
      </c>
      <c r="K5596" s="24">
        <v>4981.3</v>
      </c>
      <c r="L5596" s="38">
        <v>46297</v>
      </c>
      <c r="M5596" s="23" t="s">
        <v>110</v>
      </c>
      <c r="N5596" s="23" t="str">
        <f>IF(COUNTIF($A$2:A5596,A5596)&gt;1,"DUP","OK")</f>
        <v>OK</v>
      </c>
      <c r="O5596" s="23" t="str">
        <f t="shared" si="262"/>
        <v>ORD26002855</v>
      </c>
      <c r="P5596" s="23" t="str">
        <f t="shared" si="263"/>
        <v>Oct-Due</v>
      </c>
      <c r="Q5596" s="23" t="str">
        <f>IF(F5596="CAPTURE",IF(COUNTIF(orders!$A:$A,O5596)&gt;0,"Yes","NO ORDER"),"")</f>
        <v>Yes</v>
      </c>
    </row>
    <row r="5597" spans="1:17" ht="15" customHeight="1" x14ac:dyDescent="0.3">
      <c r="A5597" s="23" t="s">
        <v>18857</v>
      </c>
      <c r="B5597" s="23"/>
      <c r="C5597" s="23" t="s">
        <v>18858</v>
      </c>
      <c r="D5597" s="23" t="str">
        <f t="shared" si="261"/>
        <v>ORD26002880</v>
      </c>
      <c r="E5597" s="38">
        <v>46295</v>
      </c>
      <c r="F5597" s="23" t="s">
        <v>12410</v>
      </c>
      <c r="G5597" s="23" t="s">
        <v>79</v>
      </c>
      <c r="H5597" s="24">
        <v>299</v>
      </c>
      <c r="I5597" s="24">
        <v>5.38</v>
      </c>
      <c r="J5597" s="24">
        <v>0.97</v>
      </c>
      <c r="K5597" s="24">
        <v>292.64999999999998</v>
      </c>
      <c r="L5597" s="38">
        <v>46297</v>
      </c>
      <c r="M5597" s="23" t="s">
        <v>110</v>
      </c>
      <c r="N5597" s="23" t="str">
        <f>IF(COUNTIF($A$2:A5597,A5597)&gt;1,"DUP","OK")</f>
        <v>OK</v>
      </c>
      <c r="O5597" s="23" t="str">
        <f t="shared" si="262"/>
        <v>ORD26002880</v>
      </c>
      <c r="P5597" s="23" t="str">
        <f t="shared" si="263"/>
        <v>Oct-Due</v>
      </c>
      <c r="Q5597" s="23" t="str">
        <f>IF(F5597="CAPTURE",IF(COUNTIF(orders!$A:$A,O5597)&gt;0,"Yes","NO ORDER"),"")</f>
        <v>Yes</v>
      </c>
    </row>
    <row r="5598" spans="1:17" ht="15" customHeight="1" x14ac:dyDescent="0.3">
      <c r="A5598" s="23" t="s">
        <v>18859</v>
      </c>
      <c r="B5598" s="23"/>
      <c r="C5598" s="23" t="s">
        <v>6354</v>
      </c>
      <c r="D5598" s="23" t="str">
        <f t="shared" si="261"/>
        <v>ORD26002929</v>
      </c>
      <c r="E5598" s="38">
        <v>46295</v>
      </c>
      <c r="F5598" s="23" t="s">
        <v>12410</v>
      </c>
      <c r="G5598" s="23" t="s">
        <v>81</v>
      </c>
      <c r="H5598" s="24">
        <v>299</v>
      </c>
      <c r="I5598" s="24">
        <v>4.49</v>
      </c>
      <c r="J5598" s="24">
        <v>0.81</v>
      </c>
      <c r="K5598" s="24">
        <v>293.7</v>
      </c>
      <c r="L5598" s="38">
        <v>46297</v>
      </c>
      <c r="M5598" s="23" t="s">
        <v>110</v>
      </c>
      <c r="N5598" s="23" t="str">
        <f>IF(COUNTIF($A$2:A5598,A5598)&gt;1,"DUP","OK")</f>
        <v>OK</v>
      </c>
      <c r="O5598" s="23" t="str">
        <f t="shared" si="262"/>
        <v>ORD26002929</v>
      </c>
      <c r="P5598" s="23" t="str">
        <f t="shared" si="263"/>
        <v>Oct-Due</v>
      </c>
      <c r="Q5598" s="23" t="str">
        <f>IF(F5598="CAPTURE",IF(COUNTIF(orders!$A:$A,O5598)&gt;0,"Yes","NO ORDER"),"")</f>
        <v>Yes</v>
      </c>
    </row>
    <row r="5599" spans="1:17" ht="15" customHeight="1" x14ac:dyDescent="0.3">
      <c r="A5599" s="23" t="s">
        <v>18860</v>
      </c>
      <c r="B5599" s="23"/>
      <c r="C5599" s="23" t="s">
        <v>6360</v>
      </c>
      <c r="D5599" s="23" t="str">
        <f t="shared" si="261"/>
        <v>ORD26002932</v>
      </c>
      <c r="E5599" s="38">
        <v>46295</v>
      </c>
      <c r="F5599" s="23" t="s">
        <v>12410</v>
      </c>
      <c r="G5599" s="23" t="s">
        <v>79</v>
      </c>
      <c r="H5599" s="24">
        <v>799</v>
      </c>
      <c r="I5599" s="24">
        <v>14.38</v>
      </c>
      <c r="J5599" s="24">
        <v>2.59</v>
      </c>
      <c r="K5599" s="24">
        <v>782.03</v>
      </c>
      <c r="L5599" s="38">
        <v>46297</v>
      </c>
      <c r="M5599" s="23" t="s">
        <v>110</v>
      </c>
      <c r="N5599" s="23" t="str">
        <f>IF(COUNTIF($A$2:A5599,A5599)&gt;1,"DUP","OK")</f>
        <v>OK</v>
      </c>
      <c r="O5599" s="23" t="str">
        <f t="shared" si="262"/>
        <v>ORD26002932</v>
      </c>
      <c r="P5599" s="23" t="str">
        <f t="shared" si="263"/>
        <v>Oct-Due</v>
      </c>
      <c r="Q5599" s="23" t="str">
        <f>IF(F5599="CAPTURE",IF(COUNTIF(orders!$A:$A,O5599)&gt;0,"Yes","NO ORDER"),"")</f>
        <v>Yes</v>
      </c>
    </row>
    <row r="5600" spans="1:17" ht="15" customHeight="1" x14ac:dyDescent="0.3">
      <c r="A5600" s="23" t="s">
        <v>18861</v>
      </c>
      <c r="B5600" s="23"/>
      <c r="C5600" s="23" t="s">
        <v>6450</v>
      </c>
      <c r="D5600" s="23" t="str">
        <f t="shared" si="261"/>
        <v>ORD26002977</v>
      </c>
      <c r="E5600" s="38">
        <v>46295</v>
      </c>
      <c r="F5600" s="23" t="s">
        <v>12410</v>
      </c>
      <c r="G5600" s="23" t="s">
        <v>75</v>
      </c>
      <c r="H5600" s="24">
        <v>3499</v>
      </c>
      <c r="I5600" s="24">
        <v>10.5</v>
      </c>
      <c r="J5600" s="24">
        <v>1.89</v>
      </c>
      <c r="K5600" s="24">
        <v>3486.61</v>
      </c>
      <c r="L5600" s="38">
        <v>46297</v>
      </c>
      <c r="M5600" s="23" t="s">
        <v>110</v>
      </c>
      <c r="N5600" s="23" t="str">
        <f>IF(COUNTIF($A$2:A5600,A5600)&gt;1,"DUP","OK")</f>
        <v>OK</v>
      </c>
      <c r="O5600" s="23" t="str">
        <f t="shared" si="262"/>
        <v>ORD26002977</v>
      </c>
      <c r="P5600" s="23" t="str">
        <f t="shared" si="263"/>
        <v>Oct-Due</v>
      </c>
      <c r="Q5600" s="23" t="str">
        <f>IF(F5600="CAPTURE",IF(COUNTIF(orders!$A:$A,O5600)&gt;0,"Yes","NO ORDER"),"")</f>
        <v>Yes</v>
      </c>
    </row>
    <row r="5601" spans="1:17" ht="15" customHeight="1" x14ac:dyDescent="0.3">
      <c r="A5601" s="23" t="s">
        <v>18862</v>
      </c>
      <c r="B5601" s="23"/>
      <c r="C5601" s="23" t="s">
        <v>6476</v>
      </c>
      <c r="D5601" s="23" t="str">
        <f t="shared" si="261"/>
        <v>ORD26002991</v>
      </c>
      <c r="E5601" s="38">
        <v>46295</v>
      </c>
      <c r="F5601" s="23" t="s">
        <v>12410</v>
      </c>
      <c r="G5601" s="23" t="s">
        <v>79</v>
      </c>
      <c r="H5601" s="24">
        <v>3499</v>
      </c>
      <c r="I5601" s="24">
        <v>55.98</v>
      </c>
      <c r="J5601" s="24">
        <v>10.08</v>
      </c>
      <c r="K5601" s="24">
        <v>3432.94</v>
      </c>
      <c r="L5601" s="38">
        <v>46297</v>
      </c>
      <c r="M5601" s="23" t="s">
        <v>110</v>
      </c>
      <c r="N5601" s="23" t="str">
        <f>IF(COUNTIF($A$2:A5601,A5601)&gt;1,"DUP","OK")</f>
        <v>OK</v>
      </c>
      <c r="O5601" s="23" t="str">
        <f t="shared" si="262"/>
        <v>ORD26002991</v>
      </c>
      <c r="P5601" s="23" t="str">
        <f t="shared" si="263"/>
        <v>Oct-Due</v>
      </c>
      <c r="Q5601" s="23" t="str">
        <f>IF(F5601="CAPTURE",IF(COUNTIF(orders!$A:$A,O5601)&gt;0,"Yes","NO ORDER"),"")</f>
        <v>Yes</v>
      </c>
    </row>
    <row r="5602" spans="1:17" ht="15" customHeight="1" x14ac:dyDescent="0.3">
      <c r="A5602" s="23" t="s">
        <v>18863</v>
      </c>
      <c r="B5602" s="23"/>
      <c r="C5602" s="23" t="s">
        <v>6478</v>
      </c>
      <c r="D5602" s="23" t="str">
        <f t="shared" si="261"/>
        <v>ORD26002992</v>
      </c>
      <c r="E5602" s="38">
        <v>46295</v>
      </c>
      <c r="F5602" s="23" t="s">
        <v>12410</v>
      </c>
      <c r="G5602" s="23" t="s">
        <v>75</v>
      </c>
      <c r="H5602" s="24">
        <v>2999</v>
      </c>
      <c r="I5602" s="24">
        <v>9</v>
      </c>
      <c r="J5602" s="24">
        <v>1.62</v>
      </c>
      <c r="K5602" s="24">
        <v>2988.38</v>
      </c>
      <c r="L5602" s="38">
        <v>46297</v>
      </c>
      <c r="M5602" s="23" t="s">
        <v>110</v>
      </c>
      <c r="N5602" s="23" t="str">
        <f>IF(COUNTIF($A$2:A5602,A5602)&gt;1,"DUP","OK")</f>
        <v>OK</v>
      </c>
      <c r="O5602" s="23" t="str">
        <f t="shared" si="262"/>
        <v>ORD26002992</v>
      </c>
      <c r="P5602" s="23" t="str">
        <f t="shared" si="263"/>
        <v>Oct-Due</v>
      </c>
      <c r="Q5602" s="23" t="str">
        <f>IF(F5602="CAPTURE",IF(COUNTIF(orders!$A:$A,O5602)&gt;0,"Yes","NO ORDER"),"")</f>
        <v>Yes</v>
      </c>
    </row>
    <row r="5603" spans="1:17" ht="15" customHeight="1" x14ac:dyDescent="0.3">
      <c r="A5603" s="23" t="s">
        <v>18864</v>
      </c>
      <c r="B5603" s="23"/>
      <c r="C5603" s="23" t="s">
        <v>6488</v>
      </c>
      <c r="D5603" s="23" t="str">
        <f t="shared" si="261"/>
        <v>ORD26002997</v>
      </c>
      <c r="E5603" s="38">
        <v>46295</v>
      </c>
      <c r="F5603" s="23" t="s">
        <v>12410</v>
      </c>
      <c r="G5603" s="23" t="s">
        <v>79</v>
      </c>
      <c r="H5603" s="24">
        <v>1799</v>
      </c>
      <c r="I5603" s="24">
        <v>32.380000000000003</v>
      </c>
      <c r="J5603" s="24">
        <v>5.83</v>
      </c>
      <c r="K5603" s="24">
        <v>1760.79</v>
      </c>
      <c r="L5603" s="38">
        <v>46297</v>
      </c>
      <c r="M5603" s="23" t="s">
        <v>110</v>
      </c>
      <c r="N5603" s="23" t="str">
        <f>IF(COUNTIF($A$2:A5603,A5603)&gt;1,"DUP","OK")</f>
        <v>OK</v>
      </c>
      <c r="O5603" s="23" t="str">
        <f t="shared" si="262"/>
        <v>ORD26002997</v>
      </c>
      <c r="P5603" s="23" t="str">
        <f t="shared" si="263"/>
        <v>Oct-Due</v>
      </c>
      <c r="Q5603" s="23" t="str">
        <f>IF(F5603="CAPTURE",IF(COUNTIF(orders!$A:$A,O5603)&gt;0,"Yes","NO ORDER"),"")</f>
        <v>Yes</v>
      </c>
    </row>
    <row r="5604" spans="1:17" ht="15" customHeight="1" x14ac:dyDescent="0.3">
      <c r="A5604" s="23" t="s">
        <v>18865</v>
      </c>
      <c r="B5604" s="23"/>
      <c r="C5604" s="23" t="s">
        <v>6494</v>
      </c>
      <c r="D5604" s="23" t="str">
        <f t="shared" si="261"/>
        <v>ORD26003000</v>
      </c>
      <c r="E5604" s="38">
        <v>46295</v>
      </c>
      <c r="F5604" s="23" t="s">
        <v>12410</v>
      </c>
      <c r="G5604" s="23" t="s">
        <v>79</v>
      </c>
      <c r="H5604" s="24">
        <v>648</v>
      </c>
      <c r="I5604" s="24">
        <v>11.66</v>
      </c>
      <c r="J5604" s="24">
        <v>2.1</v>
      </c>
      <c r="K5604" s="24">
        <v>634.24</v>
      </c>
      <c r="L5604" s="38">
        <v>46297</v>
      </c>
      <c r="M5604" s="23" t="s">
        <v>110</v>
      </c>
      <c r="N5604" s="23" t="str">
        <f>IF(COUNTIF($A$2:A5604,A5604)&gt;1,"DUP","OK")</f>
        <v>OK</v>
      </c>
      <c r="O5604" s="23" t="str">
        <f t="shared" si="262"/>
        <v>ORD26003000</v>
      </c>
      <c r="P5604" s="23" t="str">
        <f t="shared" si="263"/>
        <v>Oct-Due</v>
      </c>
      <c r="Q5604" s="23" t="str">
        <f>IF(F5604="CAPTURE",IF(COUNTIF(orders!$A:$A,O5604)&gt;0,"Yes","NO ORDER"),"")</f>
        <v>Yes</v>
      </c>
    </row>
    <row r="5605" spans="1:17" ht="15" customHeight="1" x14ac:dyDescent="0.3">
      <c r="A5605" s="23" t="s">
        <v>18866</v>
      </c>
      <c r="B5605" s="23"/>
      <c r="C5605" s="23" t="s">
        <v>6542</v>
      </c>
      <c r="D5605" s="23" t="str">
        <f t="shared" si="261"/>
        <v>ORD26003024</v>
      </c>
      <c r="E5605" s="38">
        <v>46295</v>
      </c>
      <c r="F5605" s="23" t="s">
        <v>12410</v>
      </c>
      <c r="G5605" s="23" t="s">
        <v>81</v>
      </c>
      <c r="H5605" s="24">
        <v>1499</v>
      </c>
      <c r="I5605" s="24">
        <v>22.49</v>
      </c>
      <c r="J5605" s="24">
        <v>4.05</v>
      </c>
      <c r="K5605" s="24">
        <v>1472.46</v>
      </c>
      <c r="L5605" s="38">
        <v>46297</v>
      </c>
      <c r="M5605" s="23" t="s">
        <v>110</v>
      </c>
      <c r="N5605" s="23" t="str">
        <f>IF(COUNTIF($A$2:A5605,A5605)&gt;1,"DUP","OK")</f>
        <v>OK</v>
      </c>
      <c r="O5605" s="23" t="str">
        <f t="shared" si="262"/>
        <v>ORD26003024</v>
      </c>
      <c r="P5605" s="23" t="str">
        <f t="shared" si="263"/>
        <v>Oct-Due</v>
      </c>
      <c r="Q5605" s="23" t="str">
        <f>IF(F5605="CAPTURE",IF(COUNTIF(orders!$A:$A,O5605)&gt;0,"Yes","NO ORDER"),"")</f>
        <v>Yes</v>
      </c>
    </row>
    <row r="5606" spans="1:17" ht="15" customHeight="1" x14ac:dyDescent="0.3">
      <c r="A5606" s="23" t="s">
        <v>18867</v>
      </c>
      <c r="B5606" s="23"/>
      <c r="C5606" s="23" t="s">
        <v>6616</v>
      </c>
      <c r="D5606" s="23" t="str">
        <f t="shared" si="261"/>
        <v>ORD26003060</v>
      </c>
      <c r="E5606" s="38">
        <v>46295</v>
      </c>
      <c r="F5606" s="23" t="s">
        <v>12410</v>
      </c>
      <c r="G5606" s="23" t="s">
        <v>79</v>
      </c>
      <c r="H5606" s="24">
        <v>6297</v>
      </c>
      <c r="I5606" s="24">
        <v>100.75</v>
      </c>
      <c r="J5606" s="24">
        <v>18.14</v>
      </c>
      <c r="K5606" s="24">
        <v>6178.11</v>
      </c>
      <c r="L5606" s="38">
        <v>46297</v>
      </c>
      <c r="M5606" s="23" t="s">
        <v>110</v>
      </c>
      <c r="N5606" s="23" t="str">
        <f>IF(COUNTIF($A$2:A5606,A5606)&gt;1,"DUP","OK")</f>
        <v>OK</v>
      </c>
      <c r="O5606" s="23" t="str">
        <f t="shared" si="262"/>
        <v>ORD26003060</v>
      </c>
      <c r="P5606" s="23" t="str">
        <f t="shared" si="263"/>
        <v>Oct-Due</v>
      </c>
      <c r="Q5606" s="23" t="str">
        <f>IF(F5606="CAPTURE",IF(COUNTIF(orders!$A:$A,O5606)&gt;0,"Yes","NO ORDER"),"")</f>
        <v>Yes</v>
      </c>
    </row>
    <row r="5607" spans="1:17" ht="15" customHeight="1" x14ac:dyDescent="0.3">
      <c r="A5607" s="23" t="s">
        <v>18868</v>
      </c>
      <c r="B5607" s="23"/>
      <c r="C5607" s="23" t="s">
        <v>6657</v>
      </c>
      <c r="D5607" s="23" t="str">
        <f t="shared" si="261"/>
        <v>ORD26003081</v>
      </c>
      <c r="E5607" s="38">
        <v>46295</v>
      </c>
      <c r="F5607" s="23" t="s">
        <v>12410</v>
      </c>
      <c r="G5607" s="23" t="s">
        <v>75</v>
      </c>
      <c r="H5607" s="24">
        <v>12497</v>
      </c>
      <c r="I5607" s="24">
        <v>37.49</v>
      </c>
      <c r="J5607" s="24">
        <v>6.75</v>
      </c>
      <c r="K5607" s="24">
        <v>12452.76</v>
      </c>
      <c r="L5607" s="38">
        <v>46297</v>
      </c>
      <c r="M5607" s="23" t="s">
        <v>110</v>
      </c>
      <c r="N5607" s="23" t="str">
        <f>IF(COUNTIF($A$2:A5607,A5607)&gt;1,"DUP","OK")</f>
        <v>OK</v>
      </c>
      <c r="O5607" s="23" t="str">
        <f t="shared" si="262"/>
        <v>ORD26003081</v>
      </c>
      <c r="P5607" s="23" t="str">
        <f t="shared" si="263"/>
        <v>Oct-Due</v>
      </c>
      <c r="Q5607" s="23" t="str">
        <f>IF(F5607="CAPTURE",IF(COUNTIF(orders!$A:$A,O5607)&gt;0,"Yes","NO ORDER"),"")</f>
        <v>Yes</v>
      </c>
    </row>
    <row r="5608" spans="1:17" ht="15" customHeight="1" x14ac:dyDescent="0.3">
      <c r="A5608" s="23" t="s">
        <v>18869</v>
      </c>
      <c r="B5608" s="23"/>
      <c r="C5608" s="23" t="s">
        <v>6695</v>
      </c>
      <c r="D5608" s="23" t="str">
        <f t="shared" si="261"/>
        <v>ORD26003099</v>
      </c>
      <c r="E5608" s="38">
        <v>46295</v>
      </c>
      <c r="F5608" s="23" t="s">
        <v>12410</v>
      </c>
      <c r="G5608" s="23" t="s">
        <v>79</v>
      </c>
      <c r="H5608" s="24">
        <v>7597</v>
      </c>
      <c r="I5608" s="24">
        <v>121.55</v>
      </c>
      <c r="J5608" s="24">
        <v>21.88</v>
      </c>
      <c r="K5608" s="24">
        <v>7453.57</v>
      </c>
      <c r="L5608" s="38">
        <v>46297</v>
      </c>
      <c r="M5608" s="23" t="s">
        <v>110</v>
      </c>
      <c r="N5608" s="23" t="str">
        <f>IF(COUNTIF($A$2:A5608,A5608)&gt;1,"DUP","OK")</f>
        <v>OK</v>
      </c>
      <c r="O5608" s="23" t="str">
        <f t="shared" si="262"/>
        <v>ORD26003099</v>
      </c>
      <c r="P5608" s="23" t="str">
        <f t="shared" si="263"/>
        <v>Oct-Due</v>
      </c>
      <c r="Q5608" s="23" t="str">
        <f>IF(F5608="CAPTURE",IF(COUNTIF(orders!$A:$A,O5608)&gt;0,"Yes","NO ORDER"),"")</f>
        <v>Yes</v>
      </c>
    </row>
    <row r="5609" spans="1:17" ht="15" customHeight="1" x14ac:dyDescent="0.3">
      <c r="A5609" s="23" t="s">
        <v>18870</v>
      </c>
      <c r="B5609" s="23"/>
      <c r="C5609" s="23" t="s">
        <v>18871</v>
      </c>
      <c r="D5609" s="23" t="str">
        <f t="shared" si="261"/>
        <v>ORD26003182</v>
      </c>
      <c r="E5609" s="38">
        <v>46295</v>
      </c>
      <c r="F5609" s="23" t="s">
        <v>12410</v>
      </c>
      <c r="G5609" s="23" t="s">
        <v>79</v>
      </c>
      <c r="H5609" s="24">
        <v>299</v>
      </c>
      <c r="I5609" s="24">
        <v>5.38</v>
      </c>
      <c r="J5609" s="24">
        <v>0.97</v>
      </c>
      <c r="K5609" s="24">
        <v>292.64999999999998</v>
      </c>
      <c r="L5609" s="38">
        <v>46297</v>
      </c>
      <c r="M5609" s="23" t="s">
        <v>110</v>
      </c>
      <c r="N5609" s="23" t="str">
        <f>IF(COUNTIF($A$2:A5609,A5609)&gt;1,"DUP","OK")</f>
        <v>OK</v>
      </c>
      <c r="O5609" s="23" t="str">
        <f t="shared" si="262"/>
        <v>ORD26003182</v>
      </c>
      <c r="P5609" s="23" t="str">
        <f t="shared" si="263"/>
        <v>Oct-Due</v>
      </c>
      <c r="Q5609" s="23" t="str">
        <f>IF(F5609="CAPTURE",IF(COUNTIF(orders!$A:$A,O5609)&gt;0,"Yes","NO ORDER"),"")</f>
        <v>Yes</v>
      </c>
    </row>
    <row r="5610" spans="1:17" ht="15" customHeight="1" x14ac:dyDescent="0.3">
      <c r="A5610" s="23" t="s">
        <v>18872</v>
      </c>
      <c r="B5610" s="23"/>
      <c r="C5610" s="23" t="s">
        <v>6971</v>
      </c>
      <c r="D5610" s="23" t="str">
        <f t="shared" si="261"/>
        <v>ORD26003237</v>
      </c>
      <c r="E5610" s="38">
        <v>46295</v>
      </c>
      <c r="F5610" s="23" t="s">
        <v>12410</v>
      </c>
      <c r="G5610" s="23" t="s">
        <v>75</v>
      </c>
      <c r="H5610" s="24">
        <v>1798</v>
      </c>
      <c r="I5610" s="24">
        <v>0</v>
      </c>
      <c r="J5610" s="24">
        <v>0</v>
      </c>
      <c r="K5610" s="24">
        <v>1798</v>
      </c>
      <c r="L5610" s="38">
        <v>46297</v>
      </c>
      <c r="M5610" s="23" t="s">
        <v>110</v>
      </c>
      <c r="N5610" s="23" t="str">
        <f>IF(COUNTIF($A$2:A5610,A5610)&gt;1,"DUP","OK")</f>
        <v>OK</v>
      </c>
      <c r="O5610" s="23" t="str">
        <f t="shared" si="262"/>
        <v>ORD26003237</v>
      </c>
      <c r="P5610" s="23" t="str">
        <f t="shared" si="263"/>
        <v>Oct-Due</v>
      </c>
      <c r="Q5610" s="23" t="str">
        <f>IF(F5610="CAPTURE",IF(COUNTIF(orders!$A:$A,O5610)&gt;0,"Yes","NO ORDER"),"")</f>
        <v>Yes</v>
      </c>
    </row>
    <row r="5611" spans="1:17" ht="15" customHeight="1" x14ac:dyDescent="0.3">
      <c r="A5611" s="23" t="s">
        <v>18873</v>
      </c>
      <c r="B5611" s="23"/>
      <c r="C5611" s="23" t="s">
        <v>6981</v>
      </c>
      <c r="D5611" s="23" t="str">
        <f t="shared" si="261"/>
        <v>ORD26003242</v>
      </c>
      <c r="E5611" s="38">
        <v>46295</v>
      </c>
      <c r="F5611" s="23" t="s">
        <v>12410</v>
      </c>
      <c r="G5611" s="23" t="s">
        <v>75</v>
      </c>
      <c r="H5611" s="24">
        <v>2798</v>
      </c>
      <c r="I5611" s="24">
        <v>8.39</v>
      </c>
      <c r="J5611" s="24">
        <v>1.51</v>
      </c>
      <c r="K5611" s="24">
        <v>2788.1</v>
      </c>
      <c r="L5611" s="38">
        <v>46297</v>
      </c>
      <c r="M5611" s="23" t="s">
        <v>110</v>
      </c>
      <c r="N5611" s="23" t="str">
        <f>IF(COUNTIF($A$2:A5611,A5611)&gt;1,"DUP","OK")</f>
        <v>OK</v>
      </c>
      <c r="O5611" s="23" t="str">
        <f t="shared" si="262"/>
        <v>ORD26003242</v>
      </c>
      <c r="P5611" s="23" t="str">
        <f t="shared" si="263"/>
        <v>Oct-Due</v>
      </c>
      <c r="Q5611" s="23" t="str">
        <f>IF(F5611="CAPTURE",IF(COUNTIF(orders!$A:$A,O5611)&gt;0,"Yes","NO ORDER"),"")</f>
        <v>Yes</v>
      </c>
    </row>
    <row r="5612" spans="1:17" ht="15" customHeight="1" x14ac:dyDescent="0.3">
      <c r="A5612" s="23" t="s">
        <v>18874</v>
      </c>
      <c r="B5612" s="23"/>
      <c r="C5612" s="23" t="s">
        <v>7034</v>
      </c>
      <c r="D5612" s="23" t="str">
        <f t="shared" si="261"/>
        <v>ORD26003268</v>
      </c>
      <c r="E5612" s="38">
        <v>46295</v>
      </c>
      <c r="F5612" s="23" t="s">
        <v>12410</v>
      </c>
      <c r="G5612" s="23" t="s">
        <v>75</v>
      </c>
      <c r="H5612" s="24">
        <v>299</v>
      </c>
      <c r="I5612" s="24">
        <v>0</v>
      </c>
      <c r="J5612" s="24">
        <v>0</v>
      </c>
      <c r="K5612" s="24">
        <v>299</v>
      </c>
      <c r="L5612" s="38">
        <v>46297</v>
      </c>
      <c r="M5612" s="23" t="s">
        <v>110</v>
      </c>
      <c r="N5612" s="23" t="str">
        <f>IF(COUNTIF($A$2:A5612,A5612)&gt;1,"DUP","OK")</f>
        <v>OK</v>
      </c>
      <c r="O5612" s="23" t="str">
        <f t="shared" si="262"/>
        <v>ORD26003268</v>
      </c>
      <c r="P5612" s="23" t="str">
        <f t="shared" si="263"/>
        <v>Oct-Due</v>
      </c>
      <c r="Q5612" s="23" t="str">
        <f>IF(F5612="CAPTURE",IF(COUNTIF(orders!$A:$A,O5612)&gt;0,"Yes","NO ORDER"),"")</f>
        <v>Yes</v>
      </c>
    </row>
    <row r="5613" spans="1:17" ht="15" customHeight="1" x14ac:dyDescent="0.3">
      <c r="A5613" s="23" t="s">
        <v>18875</v>
      </c>
      <c r="B5613" s="23"/>
      <c r="C5613" s="23" t="s">
        <v>7245</v>
      </c>
      <c r="D5613" s="23" t="str">
        <f t="shared" si="261"/>
        <v>ORD26003373</v>
      </c>
      <c r="E5613" s="38">
        <v>46295</v>
      </c>
      <c r="F5613" s="23" t="s">
        <v>12410</v>
      </c>
      <c r="G5613" s="23" t="s">
        <v>79</v>
      </c>
      <c r="H5613" s="24">
        <v>4999</v>
      </c>
      <c r="I5613" s="24">
        <v>79.98</v>
      </c>
      <c r="J5613" s="24">
        <v>14.4</v>
      </c>
      <c r="K5613" s="24">
        <v>4904.62</v>
      </c>
      <c r="L5613" s="38">
        <v>46297</v>
      </c>
      <c r="M5613" s="23" t="s">
        <v>110</v>
      </c>
      <c r="N5613" s="23" t="str">
        <f>IF(COUNTIF($A$2:A5613,A5613)&gt;1,"DUP","OK")</f>
        <v>OK</v>
      </c>
      <c r="O5613" s="23" t="str">
        <f t="shared" si="262"/>
        <v>ORD26003373</v>
      </c>
      <c r="P5613" s="23" t="str">
        <f t="shared" si="263"/>
        <v>Oct-Due</v>
      </c>
      <c r="Q5613" s="23" t="str">
        <f>IF(F5613="CAPTURE",IF(COUNTIF(orders!$A:$A,O5613)&gt;0,"Yes","NO ORDER"),"")</f>
        <v>Yes</v>
      </c>
    </row>
    <row r="5614" spans="1:17" ht="15" customHeight="1" x14ac:dyDescent="0.3">
      <c r="A5614" s="23" t="s">
        <v>18876</v>
      </c>
      <c r="B5614" s="23"/>
      <c r="C5614" s="23" t="s">
        <v>7283</v>
      </c>
      <c r="D5614" s="23" t="str">
        <f t="shared" si="261"/>
        <v>ORD26003392</v>
      </c>
      <c r="E5614" s="38">
        <v>46295</v>
      </c>
      <c r="F5614" s="23" t="s">
        <v>12410</v>
      </c>
      <c r="G5614" s="23" t="s">
        <v>81</v>
      </c>
      <c r="H5614" s="24">
        <v>10498</v>
      </c>
      <c r="I5614" s="24">
        <v>94.48</v>
      </c>
      <c r="J5614" s="24">
        <v>17.010000000000002</v>
      </c>
      <c r="K5614" s="24">
        <v>10386.51</v>
      </c>
      <c r="L5614" s="38">
        <v>46297</v>
      </c>
      <c r="M5614" s="23" t="s">
        <v>110</v>
      </c>
      <c r="N5614" s="23" t="str">
        <f>IF(COUNTIF($A$2:A5614,A5614)&gt;1,"DUP","OK")</f>
        <v>OK</v>
      </c>
      <c r="O5614" s="23" t="str">
        <f t="shared" si="262"/>
        <v>ORD26003392</v>
      </c>
      <c r="P5614" s="23" t="str">
        <f t="shared" si="263"/>
        <v>Oct-Due</v>
      </c>
      <c r="Q5614" s="23" t="str">
        <f>IF(F5614="CAPTURE",IF(COUNTIF(orders!$A:$A,O5614)&gt;0,"Yes","NO ORDER"),"")</f>
        <v>Yes</v>
      </c>
    </row>
    <row r="5615" spans="1:17" ht="15" customHeight="1" x14ac:dyDescent="0.3">
      <c r="A5615" s="23" t="s">
        <v>18877</v>
      </c>
      <c r="B5615" s="23"/>
      <c r="C5615" s="23" t="s">
        <v>7341</v>
      </c>
      <c r="D5615" s="23" t="str">
        <f t="shared" si="261"/>
        <v>ORD26003421</v>
      </c>
      <c r="E5615" s="38">
        <v>46295</v>
      </c>
      <c r="F5615" s="23" t="s">
        <v>12410</v>
      </c>
      <c r="G5615" s="23" t="s">
        <v>77</v>
      </c>
      <c r="H5615" s="24">
        <v>3499</v>
      </c>
      <c r="I5615" s="24">
        <v>59.48</v>
      </c>
      <c r="J5615" s="24">
        <v>10.71</v>
      </c>
      <c r="K5615" s="24">
        <v>3428.81</v>
      </c>
      <c r="L5615" s="38">
        <v>46297</v>
      </c>
      <c r="M5615" s="23" t="s">
        <v>110</v>
      </c>
      <c r="N5615" s="23" t="str">
        <f>IF(COUNTIF($A$2:A5615,A5615)&gt;1,"DUP","OK")</f>
        <v>OK</v>
      </c>
      <c r="O5615" s="23" t="str">
        <f t="shared" si="262"/>
        <v>ORD26003421</v>
      </c>
      <c r="P5615" s="23" t="str">
        <f t="shared" si="263"/>
        <v>Oct-Due</v>
      </c>
      <c r="Q5615" s="23" t="str">
        <f>IF(F5615="CAPTURE",IF(COUNTIF(orders!$A:$A,O5615)&gt;0,"Yes","NO ORDER"),"")</f>
        <v>Yes</v>
      </c>
    </row>
    <row r="5616" spans="1:17" ht="15" customHeight="1" x14ac:dyDescent="0.3">
      <c r="A5616" s="23" t="s">
        <v>18878</v>
      </c>
      <c r="B5616" s="23"/>
      <c r="C5616" s="23" t="s">
        <v>7383</v>
      </c>
      <c r="D5616" s="23" t="str">
        <f t="shared" si="261"/>
        <v>ORD26003442</v>
      </c>
      <c r="E5616" s="38">
        <v>46295</v>
      </c>
      <c r="F5616" s="23" t="s">
        <v>12410</v>
      </c>
      <c r="G5616" s="23" t="s">
        <v>75</v>
      </c>
      <c r="H5616" s="24">
        <v>6797</v>
      </c>
      <c r="I5616" s="24">
        <v>20.39</v>
      </c>
      <c r="J5616" s="24">
        <v>3.67</v>
      </c>
      <c r="K5616" s="24">
        <v>6772.94</v>
      </c>
      <c r="L5616" s="38">
        <v>46297</v>
      </c>
      <c r="M5616" s="23" t="s">
        <v>110</v>
      </c>
      <c r="N5616" s="23" t="str">
        <f>IF(COUNTIF($A$2:A5616,A5616)&gt;1,"DUP","OK")</f>
        <v>OK</v>
      </c>
      <c r="O5616" s="23" t="str">
        <f t="shared" si="262"/>
        <v>ORD26003442</v>
      </c>
      <c r="P5616" s="23" t="str">
        <f t="shared" si="263"/>
        <v>Oct-Due</v>
      </c>
      <c r="Q5616" s="23" t="str">
        <f>IF(F5616="CAPTURE",IF(COUNTIF(orders!$A:$A,O5616)&gt;0,"Yes","NO ORDER"),"")</f>
        <v>Yes</v>
      </c>
    </row>
    <row r="5617" spans="1:17" ht="15" customHeight="1" x14ac:dyDescent="0.3">
      <c r="A5617" s="23" t="s">
        <v>18879</v>
      </c>
      <c r="B5617" s="23"/>
      <c r="C5617" s="23" t="s">
        <v>7385</v>
      </c>
      <c r="D5617" s="23" t="str">
        <f t="shared" si="261"/>
        <v>ORD26003443</v>
      </c>
      <c r="E5617" s="38">
        <v>46295</v>
      </c>
      <c r="F5617" s="23" t="s">
        <v>12410</v>
      </c>
      <c r="G5617" s="23" t="s">
        <v>75</v>
      </c>
      <c r="H5617" s="24">
        <v>9298</v>
      </c>
      <c r="I5617" s="24">
        <v>27.89</v>
      </c>
      <c r="J5617" s="24">
        <v>5.0199999999999996</v>
      </c>
      <c r="K5617" s="24">
        <v>9265.09</v>
      </c>
      <c r="L5617" s="38">
        <v>46297</v>
      </c>
      <c r="M5617" s="23" t="s">
        <v>110</v>
      </c>
      <c r="N5617" s="23" t="str">
        <f>IF(COUNTIF($A$2:A5617,A5617)&gt;1,"DUP","OK")</f>
        <v>OK</v>
      </c>
      <c r="O5617" s="23" t="str">
        <f t="shared" si="262"/>
        <v>ORD26003443</v>
      </c>
      <c r="P5617" s="23" t="str">
        <f t="shared" si="263"/>
        <v>Oct-Due</v>
      </c>
      <c r="Q5617" s="23" t="str">
        <f>IF(F5617="CAPTURE",IF(COUNTIF(orders!$A:$A,O5617)&gt;0,"Yes","NO ORDER"),"")</f>
        <v>Yes</v>
      </c>
    </row>
    <row r="5618" spans="1:17" ht="15" customHeight="1" x14ac:dyDescent="0.3">
      <c r="A5618" s="23" t="s">
        <v>18880</v>
      </c>
      <c r="B5618" s="23"/>
      <c r="C5618" s="23" t="s">
        <v>7422</v>
      </c>
      <c r="D5618" s="23" t="str">
        <f t="shared" si="261"/>
        <v>ORD26003461</v>
      </c>
      <c r="E5618" s="38">
        <v>46295</v>
      </c>
      <c r="F5618" s="23" t="s">
        <v>12410</v>
      </c>
      <c r="G5618" s="23" t="s">
        <v>75</v>
      </c>
      <c r="H5618" s="24">
        <v>349</v>
      </c>
      <c r="I5618" s="24">
        <v>0</v>
      </c>
      <c r="J5618" s="24">
        <v>0</v>
      </c>
      <c r="K5618" s="24">
        <v>349</v>
      </c>
      <c r="L5618" s="38">
        <v>46297</v>
      </c>
      <c r="M5618" s="23" t="s">
        <v>110</v>
      </c>
      <c r="N5618" s="23" t="str">
        <f>IF(COUNTIF($A$2:A5618,A5618)&gt;1,"DUP","OK")</f>
        <v>OK</v>
      </c>
      <c r="O5618" s="23" t="str">
        <f t="shared" si="262"/>
        <v>ORD26003461</v>
      </c>
      <c r="P5618" s="23" t="str">
        <f t="shared" si="263"/>
        <v>Oct-Due</v>
      </c>
      <c r="Q5618" s="23" t="str">
        <f>IF(F5618="CAPTURE",IF(COUNTIF(orders!$A:$A,O5618)&gt;0,"Yes","NO ORDER"),"")</f>
        <v>Yes</v>
      </c>
    </row>
    <row r="5619" spans="1:17" ht="15" customHeight="1" x14ac:dyDescent="0.3">
      <c r="A5619" s="23" t="s">
        <v>18881</v>
      </c>
      <c r="B5619" s="23"/>
      <c r="C5619" s="23" t="s">
        <v>7601</v>
      </c>
      <c r="D5619" s="23" t="str">
        <f t="shared" si="261"/>
        <v>ORD26003553</v>
      </c>
      <c r="E5619" s="38">
        <v>46295</v>
      </c>
      <c r="F5619" s="23" t="s">
        <v>12410</v>
      </c>
      <c r="G5619" s="23" t="s">
        <v>75</v>
      </c>
      <c r="H5619" s="24">
        <v>4998</v>
      </c>
      <c r="I5619" s="24">
        <v>14.99</v>
      </c>
      <c r="J5619" s="24">
        <v>2.7</v>
      </c>
      <c r="K5619" s="24">
        <v>4980.3100000000004</v>
      </c>
      <c r="L5619" s="38">
        <v>46297</v>
      </c>
      <c r="M5619" s="23" t="s">
        <v>110</v>
      </c>
      <c r="N5619" s="23" t="str">
        <f>IF(COUNTIF($A$2:A5619,A5619)&gt;1,"DUP","OK")</f>
        <v>OK</v>
      </c>
      <c r="O5619" s="23" t="str">
        <f t="shared" si="262"/>
        <v>ORD26003553</v>
      </c>
      <c r="P5619" s="23" t="str">
        <f t="shared" si="263"/>
        <v>Oct-Due</v>
      </c>
      <c r="Q5619" s="23" t="str">
        <f>IF(F5619="CAPTURE",IF(COUNTIF(orders!$A:$A,O5619)&gt;0,"Yes","NO ORDER"),"")</f>
        <v>Yes</v>
      </c>
    </row>
    <row r="5620" spans="1:17" ht="15" customHeight="1" x14ac:dyDescent="0.3">
      <c r="A5620" s="23" t="s">
        <v>18882</v>
      </c>
      <c r="B5620" s="23"/>
      <c r="C5620" s="23" t="s">
        <v>7628</v>
      </c>
      <c r="D5620" s="23" t="str">
        <f t="shared" si="261"/>
        <v>ORD26003566</v>
      </c>
      <c r="E5620" s="38">
        <v>46295</v>
      </c>
      <c r="F5620" s="23" t="s">
        <v>12410</v>
      </c>
      <c r="G5620" s="23" t="s">
        <v>75</v>
      </c>
      <c r="H5620" s="24">
        <v>4498</v>
      </c>
      <c r="I5620" s="24">
        <v>13.49</v>
      </c>
      <c r="J5620" s="24">
        <v>2.4300000000000002</v>
      </c>
      <c r="K5620" s="24">
        <v>4482.08</v>
      </c>
      <c r="L5620" s="38">
        <v>46297</v>
      </c>
      <c r="M5620" s="23" t="s">
        <v>110</v>
      </c>
      <c r="N5620" s="23" t="str">
        <f>IF(COUNTIF($A$2:A5620,A5620)&gt;1,"DUP","OK")</f>
        <v>OK</v>
      </c>
      <c r="O5620" s="23" t="str">
        <f t="shared" si="262"/>
        <v>ORD26003566</v>
      </c>
      <c r="P5620" s="23" t="str">
        <f t="shared" si="263"/>
        <v>Oct-Due</v>
      </c>
      <c r="Q5620" s="23" t="str">
        <f>IF(F5620="CAPTURE",IF(COUNTIF(orders!$A:$A,O5620)&gt;0,"Yes","NO ORDER"),"")</f>
        <v>Yes</v>
      </c>
    </row>
    <row r="5621" spans="1:17" ht="15" customHeight="1" x14ac:dyDescent="0.3">
      <c r="A5621" s="23" t="s">
        <v>18883</v>
      </c>
      <c r="B5621" s="23"/>
      <c r="C5621" s="23" t="s">
        <v>18884</v>
      </c>
      <c r="D5621" s="23" t="str">
        <f t="shared" si="261"/>
        <v>ORD26003616</v>
      </c>
      <c r="E5621" s="38">
        <v>46295</v>
      </c>
      <c r="F5621" s="23" t="s">
        <v>12410</v>
      </c>
      <c r="G5621" s="23" t="s">
        <v>81</v>
      </c>
      <c r="H5621" s="24">
        <v>9498</v>
      </c>
      <c r="I5621" s="24">
        <v>113.98</v>
      </c>
      <c r="J5621" s="24">
        <v>20.52</v>
      </c>
      <c r="K5621" s="24">
        <v>9363.5</v>
      </c>
      <c r="L5621" s="38">
        <v>46297</v>
      </c>
      <c r="M5621" s="23" t="s">
        <v>110</v>
      </c>
      <c r="N5621" s="23" t="str">
        <f>IF(COUNTIF($A$2:A5621,A5621)&gt;1,"DUP","OK")</f>
        <v>OK</v>
      </c>
      <c r="O5621" s="23" t="str">
        <f t="shared" si="262"/>
        <v>ORD26003616</v>
      </c>
      <c r="P5621" s="23" t="str">
        <f t="shared" si="263"/>
        <v>Oct-Due</v>
      </c>
      <c r="Q5621" s="23" t="str">
        <f>IF(F5621="CAPTURE",IF(COUNTIF(orders!$A:$A,O5621)&gt;0,"Yes","NO ORDER"),"")</f>
        <v>Yes</v>
      </c>
    </row>
    <row r="5622" spans="1:17" ht="15" customHeight="1" x14ac:dyDescent="0.3">
      <c r="A5622" s="23" t="s">
        <v>18885</v>
      </c>
      <c r="B5622" s="23"/>
      <c r="C5622" s="23" t="s">
        <v>7741</v>
      </c>
      <c r="D5622" s="23" t="str">
        <f t="shared" si="261"/>
        <v>ORD26003624</v>
      </c>
      <c r="E5622" s="38">
        <v>46295</v>
      </c>
      <c r="F5622" s="23" t="s">
        <v>12410</v>
      </c>
      <c r="G5622" s="23" t="s">
        <v>75</v>
      </c>
      <c r="H5622" s="24">
        <v>499</v>
      </c>
      <c r="I5622" s="24">
        <v>0</v>
      </c>
      <c r="J5622" s="24">
        <v>0</v>
      </c>
      <c r="K5622" s="24">
        <v>499</v>
      </c>
      <c r="L5622" s="38">
        <v>46297</v>
      </c>
      <c r="M5622" s="23" t="s">
        <v>110</v>
      </c>
      <c r="N5622" s="23" t="str">
        <f>IF(COUNTIF($A$2:A5622,A5622)&gt;1,"DUP","OK")</f>
        <v>OK</v>
      </c>
      <c r="O5622" s="23" t="str">
        <f t="shared" si="262"/>
        <v>ORD26003624</v>
      </c>
      <c r="P5622" s="23" t="str">
        <f t="shared" si="263"/>
        <v>Oct-Due</v>
      </c>
      <c r="Q5622" s="23" t="str">
        <f>IF(F5622="CAPTURE",IF(COUNTIF(orders!$A:$A,O5622)&gt;0,"Yes","NO ORDER"),"")</f>
        <v>Yes</v>
      </c>
    </row>
    <row r="5623" spans="1:17" ht="15" customHeight="1" x14ac:dyDescent="0.3">
      <c r="A5623" s="23" t="s">
        <v>18886</v>
      </c>
      <c r="B5623" s="23"/>
      <c r="C5623" s="23" t="s">
        <v>7773</v>
      </c>
      <c r="D5623" s="23" t="str">
        <f t="shared" si="261"/>
        <v>ORD26003640</v>
      </c>
      <c r="E5623" s="38">
        <v>46295</v>
      </c>
      <c r="F5623" s="23" t="s">
        <v>12410</v>
      </c>
      <c r="G5623" s="23" t="s">
        <v>77</v>
      </c>
      <c r="H5623" s="24">
        <v>2999</v>
      </c>
      <c r="I5623" s="24">
        <v>71.98</v>
      </c>
      <c r="J5623" s="24">
        <v>12.96</v>
      </c>
      <c r="K5623" s="24">
        <v>2914.06</v>
      </c>
      <c r="L5623" s="38">
        <v>46297</v>
      </c>
      <c r="M5623" s="23" t="s">
        <v>110</v>
      </c>
      <c r="N5623" s="23" t="str">
        <f>IF(COUNTIF($A$2:A5623,A5623)&gt;1,"DUP","OK")</f>
        <v>OK</v>
      </c>
      <c r="O5623" s="23" t="str">
        <f t="shared" si="262"/>
        <v>ORD26003640</v>
      </c>
      <c r="P5623" s="23" t="str">
        <f t="shared" si="263"/>
        <v>Oct-Due</v>
      </c>
      <c r="Q5623" s="23" t="str">
        <f>IF(F5623="CAPTURE",IF(COUNTIF(orders!$A:$A,O5623)&gt;0,"Yes","NO ORDER"),"")</f>
        <v>Yes</v>
      </c>
    </row>
    <row r="5624" spans="1:17" ht="15" customHeight="1" x14ac:dyDescent="0.3">
      <c r="A5624" s="23" t="s">
        <v>18887</v>
      </c>
      <c r="B5624" s="23"/>
      <c r="C5624" s="23" t="s">
        <v>7860</v>
      </c>
      <c r="D5624" s="23" t="str">
        <f t="shared" si="261"/>
        <v>ORD26003686</v>
      </c>
      <c r="E5624" s="38">
        <v>46295</v>
      </c>
      <c r="F5624" s="23" t="s">
        <v>12410</v>
      </c>
      <c r="G5624" s="23" t="s">
        <v>79</v>
      </c>
      <c r="H5624" s="24">
        <v>8498</v>
      </c>
      <c r="I5624" s="24">
        <v>135.97</v>
      </c>
      <c r="J5624" s="24">
        <v>24.47</v>
      </c>
      <c r="K5624" s="24">
        <v>8337.56</v>
      </c>
      <c r="L5624" s="38">
        <v>46297</v>
      </c>
      <c r="M5624" s="23" t="s">
        <v>110</v>
      </c>
      <c r="N5624" s="23" t="str">
        <f>IF(COUNTIF($A$2:A5624,A5624)&gt;1,"DUP","OK")</f>
        <v>OK</v>
      </c>
      <c r="O5624" s="23" t="str">
        <f t="shared" si="262"/>
        <v>ORD26003686</v>
      </c>
      <c r="P5624" s="23" t="str">
        <f t="shared" si="263"/>
        <v>Oct-Due</v>
      </c>
      <c r="Q5624" s="23" t="str">
        <f>IF(F5624="CAPTURE",IF(COUNTIF(orders!$A:$A,O5624)&gt;0,"Yes","NO ORDER"),"")</f>
        <v>Yes</v>
      </c>
    </row>
    <row r="5625" spans="1:17" ht="15" customHeight="1" x14ac:dyDescent="0.3">
      <c r="A5625" s="23" t="s">
        <v>18888</v>
      </c>
      <c r="B5625" s="23"/>
      <c r="C5625" s="23" t="s">
        <v>7915</v>
      </c>
      <c r="D5625" s="23" t="str">
        <f t="shared" si="261"/>
        <v>ORD26003713</v>
      </c>
      <c r="E5625" s="38">
        <v>46295</v>
      </c>
      <c r="F5625" s="23" t="s">
        <v>12410</v>
      </c>
      <c r="G5625" s="23" t="s">
        <v>79</v>
      </c>
      <c r="H5625" s="24">
        <v>1598</v>
      </c>
      <c r="I5625" s="24">
        <v>28.76</v>
      </c>
      <c r="J5625" s="24">
        <v>5.18</v>
      </c>
      <c r="K5625" s="24">
        <v>1564.06</v>
      </c>
      <c r="L5625" s="38">
        <v>46297</v>
      </c>
      <c r="M5625" s="23" t="s">
        <v>110</v>
      </c>
      <c r="N5625" s="23" t="str">
        <f>IF(COUNTIF($A$2:A5625,A5625)&gt;1,"DUP","OK")</f>
        <v>OK</v>
      </c>
      <c r="O5625" s="23" t="str">
        <f t="shared" si="262"/>
        <v>ORD26003713</v>
      </c>
      <c r="P5625" s="23" t="str">
        <f t="shared" si="263"/>
        <v>Oct-Due</v>
      </c>
      <c r="Q5625" s="23" t="str">
        <f>IF(F5625="CAPTURE",IF(COUNTIF(orders!$A:$A,O5625)&gt;0,"Yes","NO ORDER"),"")</f>
        <v>Yes</v>
      </c>
    </row>
    <row r="5626" spans="1:17" ht="15" customHeight="1" x14ac:dyDescent="0.3">
      <c r="A5626" s="23" t="s">
        <v>18889</v>
      </c>
      <c r="B5626" s="23"/>
      <c r="C5626" s="23" t="s">
        <v>7922</v>
      </c>
      <c r="D5626" s="23" t="str">
        <f t="shared" si="261"/>
        <v>ORD26003717</v>
      </c>
      <c r="E5626" s="38">
        <v>46295</v>
      </c>
      <c r="F5626" s="23" t="s">
        <v>12410</v>
      </c>
      <c r="G5626" s="23" t="s">
        <v>75</v>
      </c>
      <c r="H5626" s="24">
        <v>2797</v>
      </c>
      <c r="I5626" s="24">
        <v>8.39</v>
      </c>
      <c r="J5626" s="24">
        <v>1.51</v>
      </c>
      <c r="K5626" s="24">
        <v>2787.1</v>
      </c>
      <c r="L5626" s="38">
        <v>46297</v>
      </c>
      <c r="M5626" s="23" t="s">
        <v>110</v>
      </c>
      <c r="N5626" s="23" t="str">
        <f>IF(COUNTIF($A$2:A5626,A5626)&gt;1,"DUP","OK")</f>
        <v>OK</v>
      </c>
      <c r="O5626" s="23" t="str">
        <f t="shared" si="262"/>
        <v>ORD26003717</v>
      </c>
      <c r="P5626" s="23" t="str">
        <f t="shared" si="263"/>
        <v>Oct-Due</v>
      </c>
      <c r="Q5626" s="23" t="str">
        <f>IF(F5626="CAPTURE",IF(COUNTIF(orders!$A:$A,O5626)&gt;0,"Yes","NO ORDER"),"")</f>
        <v>Yes</v>
      </c>
    </row>
    <row r="5627" spans="1:17" ht="15" customHeight="1" x14ac:dyDescent="0.3">
      <c r="A5627" s="23" t="s">
        <v>18890</v>
      </c>
      <c r="B5627" s="23"/>
      <c r="C5627" s="23" t="s">
        <v>7936</v>
      </c>
      <c r="D5627" s="23" t="str">
        <f t="shared" si="261"/>
        <v>ORD26003724</v>
      </c>
      <c r="E5627" s="38">
        <v>46295</v>
      </c>
      <c r="F5627" s="23" t="s">
        <v>12410</v>
      </c>
      <c r="G5627" s="23" t="s">
        <v>75</v>
      </c>
      <c r="H5627" s="24">
        <v>5298</v>
      </c>
      <c r="I5627" s="24">
        <v>15.89</v>
      </c>
      <c r="J5627" s="24">
        <v>2.86</v>
      </c>
      <c r="K5627" s="24">
        <v>5279.25</v>
      </c>
      <c r="L5627" s="38">
        <v>46297</v>
      </c>
      <c r="M5627" s="23" t="s">
        <v>110</v>
      </c>
      <c r="N5627" s="23" t="str">
        <f>IF(COUNTIF($A$2:A5627,A5627)&gt;1,"DUP","OK")</f>
        <v>OK</v>
      </c>
      <c r="O5627" s="23" t="str">
        <f t="shared" si="262"/>
        <v>ORD26003724</v>
      </c>
      <c r="P5627" s="23" t="str">
        <f t="shared" si="263"/>
        <v>Oct-Due</v>
      </c>
      <c r="Q5627" s="23" t="str">
        <f>IF(F5627="CAPTURE",IF(COUNTIF(orders!$A:$A,O5627)&gt;0,"Yes","NO ORDER"),"")</f>
        <v>Yes</v>
      </c>
    </row>
    <row r="5628" spans="1:17" ht="15" customHeight="1" x14ac:dyDescent="0.3">
      <c r="A5628" s="23" t="s">
        <v>18891</v>
      </c>
      <c r="B5628" s="23"/>
      <c r="C5628" s="23" t="s">
        <v>18892</v>
      </c>
      <c r="D5628" s="23" t="str">
        <f t="shared" si="261"/>
        <v>ORD26003748</v>
      </c>
      <c r="E5628" s="38">
        <v>46295</v>
      </c>
      <c r="F5628" s="23" t="s">
        <v>12410</v>
      </c>
      <c r="G5628" s="23" t="s">
        <v>81</v>
      </c>
      <c r="H5628" s="24">
        <v>3798</v>
      </c>
      <c r="I5628" s="24">
        <v>45.58</v>
      </c>
      <c r="J5628" s="24">
        <v>8.1999999999999993</v>
      </c>
      <c r="K5628" s="24">
        <v>3744.22</v>
      </c>
      <c r="L5628" s="38">
        <v>46297</v>
      </c>
      <c r="M5628" s="23" t="s">
        <v>110</v>
      </c>
      <c r="N5628" s="23" t="str">
        <f>IF(COUNTIF($A$2:A5628,A5628)&gt;1,"DUP","OK")</f>
        <v>OK</v>
      </c>
      <c r="O5628" s="23" t="str">
        <f t="shared" si="262"/>
        <v>ORD26003748</v>
      </c>
      <c r="P5628" s="23" t="str">
        <f t="shared" si="263"/>
        <v>Oct-Due</v>
      </c>
      <c r="Q5628" s="23" t="str">
        <f>IF(F5628="CAPTURE",IF(COUNTIF(orders!$A:$A,O5628)&gt;0,"Yes","NO ORDER"),"")</f>
        <v>Yes</v>
      </c>
    </row>
    <row r="5629" spans="1:17" ht="15" customHeight="1" x14ac:dyDescent="0.3">
      <c r="A5629" s="23" t="s">
        <v>18893</v>
      </c>
      <c r="B5629" s="23"/>
      <c r="C5629" s="23" t="s">
        <v>18894</v>
      </c>
      <c r="D5629" s="23" t="str">
        <f t="shared" si="261"/>
        <v>ORD26003776</v>
      </c>
      <c r="E5629" s="38">
        <v>46295</v>
      </c>
      <c r="F5629" s="23" t="s">
        <v>12410</v>
      </c>
      <c r="G5629" s="23" t="s">
        <v>75</v>
      </c>
      <c r="H5629" s="24">
        <v>4597</v>
      </c>
      <c r="I5629" s="24">
        <v>13.79</v>
      </c>
      <c r="J5629" s="24">
        <v>2.48</v>
      </c>
      <c r="K5629" s="24">
        <v>4580.7299999999996</v>
      </c>
      <c r="L5629" s="38">
        <v>46297</v>
      </c>
      <c r="M5629" s="23" t="s">
        <v>110</v>
      </c>
      <c r="N5629" s="23" t="str">
        <f>IF(COUNTIF($A$2:A5629,A5629)&gt;1,"DUP","OK")</f>
        <v>OK</v>
      </c>
      <c r="O5629" s="23" t="str">
        <f t="shared" si="262"/>
        <v>ORD26003776</v>
      </c>
      <c r="P5629" s="23" t="str">
        <f t="shared" si="263"/>
        <v>Oct-Due</v>
      </c>
      <c r="Q5629" s="23" t="str">
        <f>IF(F5629="CAPTURE",IF(COUNTIF(orders!$A:$A,O5629)&gt;0,"Yes","NO ORDER"),"")</f>
        <v>Yes</v>
      </c>
    </row>
    <row r="5630" spans="1:17" ht="15" customHeight="1" x14ac:dyDescent="0.3">
      <c r="A5630" s="23" t="s">
        <v>18895</v>
      </c>
      <c r="B5630" s="23"/>
      <c r="C5630" s="23" t="s">
        <v>8058</v>
      </c>
      <c r="D5630" s="23" t="str">
        <f t="shared" si="261"/>
        <v>ORD26003785</v>
      </c>
      <c r="E5630" s="38">
        <v>46295</v>
      </c>
      <c r="F5630" s="23" t="s">
        <v>12410</v>
      </c>
      <c r="G5630" s="23" t="s">
        <v>75</v>
      </c>
      <c r="H5630" s="24">
        <v>1499</v>
      </c>
      <c r="I5630" s="24">
        <v>0</v>
      </c>
      <c r="J5630" s="24">
        <v>0</v>
      </c>
      <c r="K5630" s="24">
        <v>1499</v>
      </c>
      <c r="L5630" s="38">
        <v>46297</v>
      </c>
      <c r="M5630" s="23" t="s">
        <v>110</v>
      </c>
      <c r="N5630" s="23" t="str">
        <f>IF(COUNTIF($A$2:A5630,A5630)&gt;1,"DUP","OK")</f>
        <v>OK</v>
      </c>
      <c r="O5630" s="23" t="str">
        <f t="shared" si="262"/>
        <v>ORD26003785</v>
      </c>
      <c r="P5630" s="23" t="str">
        <f t="shared" si="263"/>
        <v>Oct-Due</v>
      </c>
      <c r="Q5630" s="23" t="str">
        <f>IF(F5630="CAPTURE",IF(COUNTIF(orders!$A:$A,O5630)&gt;0,"Yes","NO ORDER"),"")</f>
        <v>Yes</v>
      </c>
    </row>
    <row r="5631" spans="1:17" ht="15" customHeight="1" x14ac:dyDescent="0.3">
      <c r="A5631" s="23" t="s">
        <v>18896</v>
      </c>
      <c r="B5631" s="23"/>
      <c r="C5631" s="23" t="s">
        <v>8068</v>
      </c>
      <c r="D5631" s="23" t="str">
        <f t="shared" si="261"/>
        <v>ORD26003790</v>
      </c>
      <c r="E5631" s="38">
        <v>46295</v>
      </c>
      <c r="F5631" s="23" t="s">
        <v>12410</v>
      </c>
      <c r="G5631" s="23" t="s">
        <v>81</v>
      </c>
      <c r="H5631" s="24">
        <v>1098</v>
      </c>
      <c r="I5631" s="24">
        <v>16.47</v>
      </c>
      <c r="J5631" s="24">
        <v>2.96</v>
      </c>
      <c r="K5631" s="24">
        <v>1078.57</v>
      </c>
      <c r="L5631" s="38">
        <v>46297</v>
      </c>
      <c r="M5631" s="23" t="s">
        <v>110</v>
      </c>
      <c r="N5631" s="23" t="str">
        <f>IF(COUNTIF($A$2:A5631,A5631)&gt;1,"DUP","OK")</f>
        <v>OK</v>
      </c>
      <c r="O5631" s="23" t="str">
        <f t="shared" si="262"/>
        <v>ORD26003790</v>
      </c>
      <c r="P5631" s="23" t="str">
        <f t="shared" si="263"/>
        <v>Oct-Due</v>
      </c>
      <c r="Q5631" s="23" t="str">
        <f>IF(F5631="CAPTURE",IF(COUNTIF(orders!$A:$A,O5631)&gt;0,"Yes","NO ORDER"),"")</f>
        <v>Yes</v>
      </c>
    </row>
    <row r="5632" spans="1:17" ht="15" customHeight="1" x14ac:dyDescent="0.3">
      <c r="A5632" s="23" t="s">
        <v>18897</v>
      </c>
      <c r="B5632" s="23"/>
      <c r="C5632" s="23" t="s">
        <v>8096</v>
      </c>
      <c r="D5632" s="23" t="str">
        <f t="shared" si="261"/>
        <v>ORD26003804</v>
      </c>
      <c r="E5632" s="38">
        <v>46295</v>
      </c>
      <c r="F5632" s="23" t="s">
        <v>12410</v>
      </c>
      <c r="G5632" s="23" t="s">
        <v>75</v>
      </c>
      <c r="H5632" s="24">
        <v>7999</v>
      </c>
      <c r="I5632" s="24">
        <v>24</v>
      </c>
      <c r="J5632" s="24">
        <v>4.32</v>
      </c>
      <c r="K5632" s="24">
        <v>7970.68</v>
      </c>
      <c r="L5632" s="38">
        <v>46297</v>
      </c>
      <c r="M5632" s="23" t="s">
        <v>110</v>
      </c>
      <c r="N5632" s="23" t="str">
        <f>IF(COUNTIF($A$2:A5632,A5632)&gt;1,"DUP","OK")</f>
        <v>OK</v>
      </c>
      <c r="O5632" s="23" t="str">
        <f t="shared" si="262"/>
        <v>ORD26003804</v>
      </c>
      <c r="P5632" s="23" t="str">
        <f t="shared" si="263"/>
        <v>Oct-Due</v>
      </c>
      <c r="Q5632" s="23" t="str">
        <f>IF(F5632="CAPTURE",IF(COUNTIF(orders!$A:$A,O5632)&gt;0,"Yes","NO ORDER"),"")</f>
        <v>Yes</v>
      </c>
    </row>
    <row r="5633" spans="1:17" ht="15" customHeight="1" x14ac:dyDescent="0.3">
      <c r="A5633" s="23" t="s">
        <v>18898</v>
      </c>
      <c r="B5633" s="23"/>
      <c r="C5633" s="23" t="s">
        <v>8188</v>
      </c>
      <c r="D5633" s="23" t="str">
        <f t="shared" si="261"/>
        <v>ORD26003850</v>
      </c>
      <c r="E5633" s="38">
        <v>46295</v>
      </c>
      <c r="F5633" s="23" t="s">
        <v>12410</v>
      </c>
      <c r="G5633" s="23" t="s">
        <v>79</v>
      </c>
      <c r="H5633" s="24">
        <v>599</v>
      </c>
      <c r="I5633" s="24">
        <v>10.78</v>
      </c>
      <c r="J5633" s="24">
        <v>1.94</v>
      </c>
      <c r="K5633" s="24">
        <v>586.28</v>
      </c>
      <c r="L5633" s="38">
        <v>46297</v>
      </c>
      <c r="M5633" s="23" t="s">
        <v>110</v>
      </c>
      <c r="N5633" s="23" t="str">
        <f>IF(COUNTIF($A$2:A5633,A5633)&gt;1,"DUP","OK")</f>
        <v>OK</v>
      </c>
      <c r="O5633" s="23" t="str">
        <f t="shared" si="262"/>
        <v>ORD26003850</v>
      </c>
      <c r="P5633" s="23" t="str">
        <f t="shared" si="263"/>
        <v>Oct-Due</v>
      </c>
      <c r="Q5633" s="23" t="str">
        <f>IF(F5633="CAPTURE",IF(COUNTIF(orders!$A:$A,O5633)&gt;0,"Yes","NO ORDER"),"")</f>
        <v>Yes</v>
      </c>
    </row>
    <row r="5634" spans="1:17" ht="15" customHeight="1" x14ac:dyDescent="0.3">
      <c r="A5634" s="23" t="s">
        <v>18899</v>
      </c>
      <c r="B5634" s="23"/>
      <c r="C5634" s="23" t="s">
        <v>8251</v>
      </c>
      <c r="D5634" s="23" t="str">
        <f t="shared" ref="D5634:D5697" si="264">UPPER(SUBSTITUTE(TRIM(C5634),"-",""))</f>
        <v>ORD26003882</v>
      </c>
      <c r="E5634" s="38">
        <v>46295</v>
      </c>
      <c r="F5634" s="23" t="s">
        <v>12410</v>
      </c>
      <c r="G5634" s="23" t="s">
        <v>79</v>
      </c>
      <c r="H5634" s="24">
        <v>7999</v>
      </c>
      <c r="I5634" s="24">
        <v>127.98</v>
      </c>
      <c r="J5634" s="24">
        <v>23.04</v>
      </c>
      <c r="K5634" s="24">
        <v>7847.98</v>
      </c>
      <c r="L5634" s="38">
        <v>46297</v>
      </c>
      <c r="M5634" s="23" t="s">
        <v>110</v>
      </c>
      <c r="N5634" s="23" t="str">
        <f>IF(COUNTIF($A$2:A5634,A5634)&gt;1,"DUP","OK")</f>
        <v>OK</v>
      </c>
      <c r="O5634" s="23" t="str">
        <f t="shared" ref="O5634:O5697" si="265">IF(F5634="REFUND",INDEX($D:$D,MATCH(B5634,$A:$A,0)),D5634)</f>
        <v>ORD26003882</v>
      </c>
      <c r="P5634" s="23" t="str">
        <f t="shared" ref="P5634:P5697" si="266">IF(L5634&gt;DATE(2026,9,30),"Oct-Due","Sep")</f>
        <v>Oct-Due</v>
      </c>
      <c r="Q5634" s="23" t="str">
        <f>IF(F5634="CAPTURE",IF(COUNTIF(orders!$A:$A,O5634)&gt;0,"Yes","NO ORDER"),"")</f>
        <v>Yes</v>
      </c>
    </row>
    <row r="5635" spans="1:17" ht="15" customHeight="1" x14ac:dyDescent="0.3">
      <c r="A5635" s="23" t="s">
        <v>18900</v>
      </c>
      <c r="B5635" s="23"/>
      <c r="C5635" s="23" t="s">
        <v>8351</v>
      </c>
      <c r="D5635" s="23" t="str">
        <f t="shared" si="264"/>
        <v>ORD26003932</v>
      </c>
      <c r="E5635" s="38">
        <v>46295</v>
      </c>
      <c r="F5635" s="23" t="s">
        <v>12410</v>
      </c>
      <c r="G5635" s="23" t="s">
        <v>75</v>
      </c>
      <c r="H5635" s="24">
        <v>499</v>
      </c>
      <c r="I5635" s="24">
        <v>0</v>
      </c>
      <c r="J5635" s="24">
        <v>0</v>
      </c>
      <c r="K5635" s="24">
        <v>499</v>
      </c>
      <c r="L5635" s="38">
        <v>46297</v>
      </c>
      <c r="M5635" s="23" t="s">
        <v>110</v>
      </c>
      <c r="N5635" s="23" t="str">
        <f>IF(COUNTIF($A$2:A5635,A5635)&gt;1,"DUP","OK")</f>
        <v>OK</v>
      </c>
      <c r="O5635" s="23" t="str">
        <f t="shared" si="265"/>
        <v>ORD26003932</v>
      </c>
      <c r="P5635" s="23" t="str">
        <f t="shared" si="266"/>
        <v>Oct-Due</v>
      </c>
      <c r="Q5635" s="23" t="str">
        <f>IF(F5635="CAPTURE",IF(COUNTIF(orders!$A:$A,O5635)&gt;0,"Yes","NO ORDER"),"")</f>
        <v>Yes</v>
      </c>
    </row>
    <row r="5636" spans="1:17" ht="15" customHeight="1" x14ac:dyDescent="0.3">
      <c r="A5636" s="23" t="s">
        <v>18901</v>
      </c>
      <c r="B5636" s="23"/>
      <c r="C5636" s="23" t="s">
        <v>8521</v>
      </c>
      <c r="D5636" s="23" t="str">
        <f t="shared" si="264"/>
        <v>ORD26004018</v>
      </c>
      <c r="E5636" s="38">
        <v>46295</v>
      </c>
      <c r="F5636" s="23" t="s">
        <v>12410</v>
      </c>
      <c r="G5636" s="23" t="s">
        <v>81</v>
      </c>
      <c r="H5636" s="24">
        <v>999</v>
      </c>
      <c r="I5636" s="24">
        <v>14.99</v>
      </c>
      <c r="J5636" s="24">
        <v>2.7</v>
      </c>
      <c r="K5636" s="24">
        <v>981.31</v>
      </c>
      <c r="L5636" s="38">
        <v>46297</v>
      </c>
      <c r="M5636" s="23" t="s">
        <v>110</v>
      </c>
      <c r="N5636" s="23" t="str">
        <f>IF(COUNTIF($A$2:A5636,A5636)&gt;1,"DUP","OK")</f>
        <v>OK</v>
      </c>
      <c r="O5636" s="23" t="str">
        <f t="shared" si="265"/>
        <v>ORD26004018</v>
      </c>
      <c r="P5636" s="23" t="str">
        <f t="shared" si="266"/>
        <v>Oct-Due</v>
      </c>
      <c r="Q5636" s="23" t="str">
        <f>IF(F5636="CAPTURE",IF(COUNTIF(orders!$A:$A,O5636)&gt;0,"Yes","NO ORDER"),"")</f>
        <v>Yes</v>
      </c>
    </row>
    <row r="5637" spans="1:17" ht="15" customHeight="1" x14ac:dyDescent="0.3">
      <c r="A5637" s="23" t="s">
        <v>18902</v>
      </c>
      <c r="B5637" s="23"/>
      <c r="C5637" s="23" t="s">
        <v>18903</v>
      </c>
      <c r="D5637" s="23" t="str">
        <f t="shared" si="264"/>
        <v>ORD26004022</v>
      </c>
      <c r="E5637" s="38">
        <v>46295</v>
      </c>
      <c r="F5637" s="23" t="s">
        <v>12410</v>
      </c>
      <c r="G5637" s="23" t="s">
        <v>77</v>
      </c>
      <c r="H5637" s="24">
        <v>8298</v>
      </c>
      <c r="I5637" s="24">
        <v>141.07</v>
      </c>
      <c r="J5637" s="24">
        <v>25.39</v>
      </c>
      <c r="K5637" s="24">
        <v>8131.54</v>
      </c>
      <c r="L5637" s="38">
        <v>46297</v>
      </c>
      <c r="M5637" s="23" t="s">
        <v>110</v>
      </c>
      <c r="N5637" s="23" t="str">
        <f>IF(COUNTIF($A$2:A5637,A5637)&gt;1,"DUP","OK")</f>
        <v>OK</v>
      </c>
      <c r="O5637" s="23" t="str">
        <f t="shared" si="265"/>
        <v>ORD26004022</v>
      </c>
      <c r="P5637" s="23" t="str">
        <f t="shared" si="266"/>
        <v>Oct-Due</v>
      </c>
      <c r="Q5637" s="23" t="str">
        <f>IF(F5637="CAPTURE",IF(COUNTIF(orders!$A:$A,O5637)&gt;0,"Yes","NO ORDER"),"")</f>
        <v>Yes</v>
      </c>
    </row>
    <row r="5638" spans="1:17" ht="15" customHeight="1" x14ac:dyDescent="0.3">
      <c r="A5638" s="23" t="s">
        <v>18904</v>
      </c>
      <c r="B5638" s="23"/>
      <c r="C5638" s="23" t="s">
        <v>8538</v>
      </c>
      <c r="D5638" s="23" t="str">
        <f t="shared" si="264"/>
        <v>ORD26004026</v>
      </c>
      <c r="E5638" s="38">
        <v>46295</v>
      </c>
      <c r="F5638" s="23" t="s">
        <v>12410</v>
      </c>
      <c r="G5638" s="23" t="s">
        <v>79</v>
      </c>
      <c r="H5638" s="24">
        <v>898</v>
      </c>
      <c r="I5638" s="24">
        <v>16.16</v>
      </c>
      <c r="J5638" s="24">
        <v>2.91</v>
      </c>
      <c r="K5638" s="24">
        <v>878.93</v>
      </c>
      <c r="L5638" s="38">
        <v>46297</v>
      </c>
      <c r="M5638" s="23" t="s">
        <v>110</v>
      </c>
      <c r="N5638" s="23" t="str">
        <f>IF(COUNTIF($A$2:A5638,A5638)&gt;1,"DUP","OK")</f>
        <v>OK</v>
      </c>
      <c r="O5638" s="23" t="str">
        <f t="shared" si="265"/>
        <v>ORD26004026</v>
      </c>
      <c r="P5638" s="23" t="str">
        <f t="shared" si="266"/>
        <v>Oct-Due</v>
      </c>
      <c r="Q5638" s="23" t="str">
        <f>IF(F5638="CAPTURE",IF(COUNTIF(orders!$A:$A,O5638)&gt;0,"Yes","NO ORDER"),"")</f>
        <v>Yes</v>
      </c>
    </row>
    <row r="5639" spans="1:17" ht="15" customHeight="1" x14ac:dyDescent="0.3">
      <c r="A5639" s="23" t="s">
        <v>18905</v>
      </c>
      <c r="B5639" s="23"/>
      <c r="C5639" s="23" t="s">
        <v>8543</v>
      </c>
      <c r="D5639" s="23" t="str">
        <f t="shared" si="264"/>
        <v>ORD26004029</v>
      </c>
      <c r="E5639" s="38">
        <v>46295</v>
      </c>
      <c r="F5639" s="23" t="s">
        <v>12410</v>
      </c>
      <c r="G5639" s="23" t="s">
        <v>79</v>
      </c>
      <c r="H5639" s="24">
        <v>7999</v>
      </c>
      <c r="I5639" s="24">
        <v>127.98</v>
      </c>
      <c r="J5639" s="24">
        <v>23.04</v>
      </c>
      <c r="K5639" s="24">
        <v>7847.98</v>
      </c>
      <c r="L5639" s="38">
        <v>46297</v>
      </c>
      <c r="M5639" s="23" t="s">
        <v>110</v>
      </c>
      <c r="N5639" s="23" t="str">
        <f>IF(COUNTIF($A$2:A5639,A5639)&gt;1,"DUP","OK")</f>
        <v>OK</v>
      </c>
      <c r="O5639" s="23" t="str">
        <f t="shared" si="265"/>
        <v>ORD26004029</v>
      </c>
      <c r="P5639" s="23" t="str">
        <f t="shared" si="266"/>
        <v>Oct-Due</v>
      </c>
      <c r="Q5639" s="23" t="str">
        <f>IF(F5639="CAPTURE",IF(COUNTIF(orders!$A:$A,O5639)&gt;0,"Yes","NO ORDER"),"")</f>
        <v>Yes</v>
      </c>
    </row>
    <row r="5640" spans="1:17" ht="15" customHeight="1" x14ac:dyDescent="0.3">
      <c r="A5640" s="23" t="s">
        <v>18906</v>
      </c>
      <c r="B5640" s="23"/>
      <c r="C5640" s="23" t="s">
        <v>8611</v>
      </c>
      <c r="D5640" s="23" t="str">
        <f t="shared" si="264"/>
        <v>ORD26004064</v>
      </c>
      <c r="E5640" s="38">
        <v>46295</v>
      </c>
      <c r="F5640" s="23" t="s">
        <v>12410</v>
      </c>
      <c r="G5640" s="23" t="s">
        <v>75</v>
      </c>
      <c r="H5640" s="24">
        <v>5348</v>
      </c>
      <c r="I5640" s="24">
        <v>16.04</v>
      </c>
      <c r="J5640" s="24">
        <v>2.89</v>
      </c>
      <c r="K5640" s="24">
        <v>5329.07</v>
      </c>
      <c r="L5640" s="38">
        <v>46297</v>
      </c>
      <c r="M5640" s="23" t="s">
        <v>110</v>
      </c>
      <c r="N5640" s="23" t="str">
        <f>IF(COUNTIF($A$2:A5640,A5640)&gt;1,"DUP","OK")</f>
        <v>OK</v>
      </c>
      <c r="O5640" s="23" t="str">
        <f t="shared" si="265"/>
        <v>ORD26004064</v>
      </c>
      <c r="P5640" s="23" t="str">
        <f t="shared" si="266"/>
        <v>Oct-Due</v>
      </c>
      <c r="Q5640" s="23" t="str">
        <f>IF(F5640="CAPTURE",IF(COUNTIF(orders!$A:$A,O5640)&gt;0,"Yes","NO ORDER"),"")</f>
        <v>Yes</v>
      </c>
    </row>
    <row r="5641" spans="1:17" ht="15" customHeight="1" x14ac:dyDescent="0.3">
      <c r="A5641" s="23" t="s">
        <v>18907</v>
      </c>
      <c r="B5641" s="23"/>
      <c r="C5641" s="23" t="s">
        <v>8656</v>
      </c>
      <c r="D5641" s="23" t="str">
        <f t="shared" si="264"/>
        <v>ORD26004087</v>
      </c>
      <c r="E5641" s="38">
        <v>46295</v>
      </c>
      <c r="F5641" s="23" t="s">
        <v>12410</v>
      </c>
      <c r="G5641" s="23" t="s">
        <v>75</v>
      </c>
      <c r="H5641" s="24">
        <v>3998</v>
      </c>
      <c r="I5641" s="24">
        <v>11.99</v>
      </c>
      <c r="J5641" s="24">
        <v>2.16</v>
      </c>
      <c r="K5641" s="24">
        <v>3983.85</v>
      </c>
      <c r="L5641" s="38">
        <v>46297</v>
      </c>
      <c r="M5641" s="23" t="s">
        <v>110</v>
      </c>
      <c r="N5641" s="23" t="str">
        <f>IF(COUNTIF($A$2:A5641,A5641)&gt;1,"DUP","OK")</f>
        <v>OK</v>
      </c>
      <c r="O5641" s="23" t="str">
        <f t="shared" si="265"/>
        <v>ORD26004087</v>
      </c>
      <c r="P5641" s="23" t="str">
        <f t="shared" si="266"/>
        <v>Oct-Due</v>
      </c>
      <c r="Q5641" s="23" t="str">
        <f>IF(F5641="CAPTURE",IF(COUNTIF(orders!$A:$A,O5641)&gt;0,"Yes","NO ORDER"),"")</f>
        <v>Yes</v>
      </c>
    </row>
    <row r="5642" spans="1:17" ht="15" customHeight="1" x14ac:dyDescent="0.3">
      <c r="A5642" s="23" t="s">
        <v>18908</v>
      </c>
      <c r="B5642" s="23"/>
      <c r="C5642" s="23" t="s">
        <v>18909</v>
      </c>
      <c r="D5642" s="23" t="str">
        <f t="shared" si="264"/>
        <v>ORD26004120</v>
      </c>
      <c r="E5642" s="38">
        <v>46295</v>
      </c>
      <c r="F5642" s="23" t="s">
        <v>12410</v>
      </c>
      <c r="G5642" s="23" t="s">
        <v>75</v>
      </c>
      <c r="H5642" s="24">
        <v>1299</v>
      </c>
      <c r="I5642" s="24">
        <v>0</v>
      </c>
      <c r="J5642" s="24">
        <v>0</v>
      </c>
      <c r="K5642" s="24">
        <v>1299</v>
      </c>
      <c r="L5642" s="38">
        <v>46297</v>
      </c>
      <c r="M5642" s="23" t="s">
        <v>110</v>
      </c>
      <c r="N5642" s="23" t="str">
        <f>IF(COUNTIF($A$2:A5642,A5642)&gt;1,"DUP","OK")</f>
        <v>OK</v>
      </c>
      <c r="O5642" s="23" t="str">
        <f t="shared" si="265"/>
        <v>ORD26004120</v>
      </c>
      <c r="P5642" s="23" t="str">
        <f t="shared" si="266"/>
        <v>Oct-Due</v>
      </c>
      <c r="Q5642" s="23" t="str">
        <f>IF(F5642="CAPTURE",IF(COUNTIF(orders!$A:$A,O5642)&gt;0,"Yes","NO ORDER"),"")</f>
        <v>Yes</v>
      </c>
    </row>
    <row r="5643" spans="1:17" ht="15" customHeight="1" x14ac:dyDescent="0.3">
      <c r="A5643" s="23" t="s">
        <v>18910</v>
      </c>
      <c r="B5643" s="23"/>
      <c r="C5643" s="23" t="s">
        <v>8755</v>
      </c>
      <c r="D5643" s="23" t="str">
        <f t="shared" si="264"/>
        <v>ORD26004138</v>
      </c>
      <c r="E5643" s="38">
        <v>46295</v>
      </c>
      <c r="F5643" s="23" t="s">
        <v>12410</v>
      </c>
      <c r="G5643" s="23" t="s">
        <v>81</v>
      </c>
      <c r="H5643" s="24">
        <v>11297</v>
      </c>
      <c r="I5643" s="24">
        <v>101.67</v>
      </c>
      <c r="J5643" s="24">
        <v>18.3</v>
      </c>
      <c r="K5643" s="24">
        <v>11177.03</v>
      </c>
      <c r="L5643" s="38">
        <v>46297</v>
      </c>
      <c r="M5643" s="23" t="s">
        <v>110</v>
      </c>
      <c r="N5643" s="23" t="str">
        <f>IF(COUNTIF($A$2:A5643,A5643)&gt;1,"DUP","OK")</f>
        <v>OK</v>
      </c>
      <c r="O5643" s="23" t="str">
        <f t="shared" si="265"/>
        <v>ORD26004138</v>
      </c>
      <c r="P5643" s="23" t="str">
        <f t="shared" si="266"/>
        <v>Oct-Due</v>
      </c>
      <c r="Q5643" s="23" t="str">
        <f>IF(F5643="CAPTURE",IF(COUNTIF(orders!$A:$A,O5643)&gt;0,"Yes","NO ORDER"),"")</f>
        <v>Yes</v>
      </c>
    </row>
    <row r="5644" spans="1:17" ht="15" customHeight="1" x14ac:dyDescent="0.3">
      <c r="A5644" s="23" t="s">
        <v>18911</v>
      </c>
      <c r="B5644" s="23"/>
      <c r="C5644" s="23" t="s">
        <v>8761</v>
      </c>
      <c r="D5644" s="23" t="str">
        <f t="shared" si="264"/>
        <v>ORD26004141</v>
      </c>
      <c r="E5644" s="38">
        <v>46295</v>
      </c>
      <c r="F5644" s="23" t="s">
        <v>12410</v>
      </c>
      <c r="G5644" s="23" t="s">
        <v>75</v>
      </c>
      <c r="H5644" s="24">
        <v>898</v>
      </c>
      <c r="I5644" s="24">
        <v>0</v>
      </c>
      <c r="J5644" s="24">
        <v>0</v>
      </c>
      <c r="K5644" s="24">
        <v>898</v>
      </c>
      <c r="L5644" s="38">
        <v>46297</v>
      </c>
      <c r="M5644" s="23" t="s">
        <v>110</v>
      </c>
      <c r="N5644" s="23" t="str">
        <f>IF(COUNTIF($A$2:A5644,A5644)&gt;1,"DUP","OK")</f>
        <v>OK</v>
      </c>
      <c r="O5644" s="23" t="str">
        <f t="shared" si="265"/>
        <v>ORD26004141</v>
      </c>
      <c r="P5644" s="23" t="str">
        <f t="shared" si="266"/>
        <v>Oct-Due</v>
      </c>
      <c r="Q5644" s="23" t="str">
        <f>IF(F5644="CAPTURE",IF(COUNTIF(orders!$A:$A,O5644)&gt;0,"Yes","NO ORDER"),"")</f>
        <v>Yes</v>
      </c>
    </row>
    <row r="5645" spans="1:17" ht="15" customHeight="1" x14ac:dyDescent="0.3">
      <c r="A5645" s="23" t="s">
        <v>18912</v>
      </c>
      <c r="B5645" s="23"/>
      <c r="C5645" s="23" t="s">
        <v>8866</v>
      </c>
      <c r="D5645" s="23" t="str">
        <f t="shared" si="264"/>
        <v>ORD26004195</v>
      </c>
      <c r="E5645" s="38">
        <v>46295</v>
      </c>
      <c r="F5645" s="23" t="s">
        <v>12410</v>
      </c>
      <c r="G5645" s="23" t="s">
        <v>75</v>
      </c>
      <c r="H5645" s="24">
        <v>2498</v>
      </c>
      <c r="I5645" s="24">
        <v>7.49</v>
      </c>
      <c r="J5645" s="24">
        <v>1.35</v>
      </c>
      <c r="K5645" s="24">
        <v>2489.16</v>
      </c>
      <c r="L5645" s="38">
        <v>46297</v>
      </c>
      <c r="M5645" s="23" t="s">
        <v>110</v>
      </c>
      <c r="N5645" s="23" t="str">
        <f>IF(COUNTIF($A$2:A5645,A5645)&gt;1,"DUP","OK")</f>
        <v>OK</v>
      </c>
      <c r="O5645" s="23" t="str">
        <f t="shared" si="265"/>
        <v>ORD26004195</v>
      </c>
      <c r="P5645" s="23" t="str">
        <f t="shared" si="266"/>
        <v>Oct-Due</v>
      </c>
      <c r="Q5645" s="23" t="str">
        <f>IF(F5645="CAPTURE",IF(COUNTIF(orders!$A:$A,O5645)&gt;0,"Yes","NO ORDER"),"")</f>
        <v>Yes</v>
      </c>
    </row>
    <row r="5646" spans="1:17" ht="15" customHeight="1" x14ac:dyDescent="0.3">
      <c r="A5646" s="23" t="s">
        <v>18913</v>
      </c>
      <c r="B5646" s="23"/>
      <c r="C5646" s="23" t="s">
        <v>8902</v>
      </c>
      <c r="D5646" s="23" t="str">
        <f t="shared" si="264"/>
        <v>ORD26004213</v>
      </c>
      <c r="E5646" s="38">
        <v>46295</v>
      </c>
      <c r="F5646" s="23" t="s">
        <v>12410</v>
      </c>
      <c r="G5646" s="23" t="s">
        <v>75</v>
      </c>
      <c r="H5646" s="24">
        <v>4798</v>
      </c>
      <c r="I5646" s="24">
        <v>14.39</v>
      </c>
      <c r="J5646" s="24">
        <v>2.59</v>
      </c>
      <c r="K5646" s="24">
        <v>4781.0200000000004</v>
      </c>
      <c r="L5646" s="38">
        <v>46297</v>
      </c>
      <c r="M5646" s="23" t="s">
        <v>110</v>
      </c>
      <c r="N5646" s="23" t="str">
        <f>IF(COUNTIF($A$2:A5646,A5646)&gt;1,"DUP","OK")</f>
        <v>OK</v>
      </c>
      <c r="O5646" s="23" t="str">
        <f t="shared" si="265"/>
        <v>ORD26004213</v>
      </c>
      <c r="P5646" s="23" t="str">
        <f t="shared" si="266"/>
        <v>Oct-Due</v>
      </c>
      <c r="Q5646" s="23" t="str">
        <f>IF(F5646="CAPTURE",IF(COUNTIF(orders!$A:$A,O5646)&gt;0,"Yes","NO ORDER"),"")</f>
        <v>Yes</v>
      </c>
    </row>
    <row r="5647" spans="1:17" ht="15" customHeight="1" x14ac:dyDescent="0.3">
      <c r="A5647" s="23" t="s">
        <v>18914</v>
      </c>
      <c r="B5647" s="23"/>
      <c r="C5647" s="23" t="s">
        <v>8927</v>
      </c>
      <c r="D5647" s="23" t="str">
        <f t="shared" si="264"/>
        <v>ORD26004226</v>
      </c>
      <c r="E5647" s="38">
        <v>46295</v>
      </c>
      <c r="F5647" s="23" t="s">
        <v>12410</v>
      </c>
      <c r="G5647" s="23" t="s">
        <v>75</v>
      </c>
      <c r="H5647" s="24">
        <v>349</v>
      </c>
      <c r="I5647" s="24">
        <v>0</v>
      </c>
      <c r="J5647" s="24">
        <v>0</v>
      </c>
      <c r="K5647" s="24">
        <v>349</v>
      </c>
      <c r="L5647" s="38">
        <v>46297</v>
      </c>
      <c r="M5647" s="23" t="s">
        <v>110</v>
      </c>
      <c r="N5647" s="23" t="str">
        <f>IF(COUNTIF($A$2:A5647,A5647)&gt;1,"DUP","OK")</f>
        <v>OK</v>
      </c>
      <c r="O5647" s="23" t="str">
        <f t="shared" si="265"/>
        <v>ORD26004226</v>
      </c>
      <c r="P5647" s="23" t="str">
        <f t="shared" si="266"/>
        <v>Oct-Due</v>
      </c>
      <c r="Q5647" s="23" t="str">
        <f>IF(F5647="CAPTURE",IF(COUNTIF(orders!$A:$A,O5647)&gt;0,"Yes","NO ORDER"),"")</f>
        <v>Yes</v>
      </c>
    </row>
    <row r="5648" spans="1:17" ht="15" customHeight="1" x14ac:dyDescent="0.3">
      <c r="A5648" s="23" t="s">
        <v>18915</v>
      </c>
      <c r="B5648" s="23"/>
      <c r="C5648" s="23" t="s">
        <v>8960</v>
      </c>
      <c r="D5648" s="23" t="str">
        <f t="shared" si="264"/>
        <v>ORD26004243</v>
      </c>
      <c r="E5648" s="38">
        <v>46295</v>
      </c>
      <c r="F5648" s="23" t="s">
        <v>12410</v>
      </c>
      <c r="G5648" s="23" t="s">
        <v>75</v>
      </c>
      <c r="H5648" s="24">
        <v>1299</v>
      </c>
      <c r="I5648" s="24">
        <v>0</v>
      </c>
      <c r="J5648" s="24">
        <v>0</v>
      </c>
      <c r="K5648" s="24">
        <v>1299</v>
      </c>
      <c r="L5648" s="38">
        <v>46297</v>
      </c>
      <c r="M5648" s="23" t="s">
        <v>110</v>
      </c>
      <c r="N5648" s="23" t="str">
        <f>IF(COUNTIF($A$2:A5648,A5648)&gt;1,"DUP","OK")</f>
        <v>OK</v>
      </c>
      <c r="O5648" s="23" t="str">
        <f t="shared" si="265"/>
        <v>ORD26004243</v>
      </c>
      <c r="P5648" s="23" t="str">
        <f t="shared" si="266"/>
        <v>Oct-Due</v>
      </c>
      <c r="Q5648" s="23" t="str">
        <f>IF(F5648="CAPTURE",IF(COUNTIF(orders!$A:$A,O5648)&gt;0,"Yes","NO ORDER"),"")</f>
        <v>Yes</v>
      </c>
    </row>
    <row r="5649" spans="1:17" ht="15" customHeight="1" x14ac:dyDescent="0.3">
      <c r="A5649" s="23" t="s">
        <v>18916</v>
      </c>
      <c r="B5649" s="23"/>
      <c r="C5649" s="23" t="s">
        <v>18917</v>
      </c>
      <c r="D5649" s="23" t="str">
        <f t="shared" si="264"/>
        <v>ORD26004248</v>
      </c>
      <c r="E5649" s="38">
        <v>46295</v>
      </c>
      <c r="F5649" s="23" t="s">
        <v>12410</v>
      </c>
      <c r="G5649" s="23" t="s">
        <v>75</v>
      </c>
      <c r="H5649" s="24">
        <v>2098</v>
      </c>
      <c r="I5649" s="24">
        <v>6.29</v>
      </c>
      <c r="J5649" s="24">
        <v>1.1299999999999999</v>
      </c>
      <c r="K5649" s="24">
        <v>2090.58</v>
      </c>
      <c r="L5649" s="38">
        <v>46297</v>
      </c>
      <c r="M5649" s="23" t="s">
        <v>110</v>
      </c>
      <c r="N5649" s="23" t="str">
        <f>IF(COUNTIF($A$2:A5649,A5649)&gt;1,"DUP","OK")</f>
        <v>OK</v>
      </c>
      <c r="O5649" s="23" t="str">
        <f t="shared" si="265"/>
        <v>ORD26004248</v>
      </c>
      <c r="P5649" s="23" t="str">
        <f t="shared" si="266"/>
        <v>Oct-Due</v>
      </c>
      <c r="Q5649" s="23" t="str">
        <f>IF(F5649="CAPTURE",IF(COUNTIF(orders!$A:$A,O5649)&gt;0,"Yes","NO ORDER"),"")</f>
        <v>Yes</v>
      </c>
    </row>
    <row r="5650" spans="1:17" ht="15" customHeight="1" x14ac:dyDescent="0.3">
      <c r="A5650" s="23" t="s">
        <v>18918</v>
      </c>
      <c r="B5650" s="23"/>
      <c r="C5650" s="23" t="s">
        <v>8983</v>
      </c>
      <c r="D5650" s="23" t="str">
        <f t="shared" si="264"/>
        <v>ORD26004255</v>
      </c>
      <c r="E5650" s="38">
        <v>46295</v>
      </c>
      <c r="F5650" s="23" t="s">
        <v>12410</v>
      </c>
      <c r="G5650" s="23" t="s">
        <v>81</v>
      </c>
      <c r="H5650" s="24">
        <v>299</v>
      </c>
      <c r="I5650" s="24">
        <v>4.49</v>
      </c>
      <c r="J5650" s="24">
        <v>0.81</v>
      </c>
      <c r="K5650" s="24">
        <v>293.7</v>
      </c>
      <c r="L5650" s="38">
        <v>46297</v>
      </c>
      <c r="M5650" s="23" t="s">
        <v>110</v>
      </c>
      <c r="N5650" s="23" t="str">
        <f>IF(COUNTIF($A$2:A5650,A5650)&gt;1,"DUP","OK")</f>
        <v>OK</v>
      </c>
      <c r="O5650" s="23" t="str">
        <f t="shared" si="265"/>
        <v>ORD26004255</v>
      </c>
      <c r="P5650" s="23" t="str">
        <f t="shared" si="266"/>
        <v>Oct-Due</v>
      </c>
      <c r="Q5650" s="23" t="str">
        <f>IF(F5650="CAPTURE",IF(COUNTIF(orders!$A:$A,O5650)&gt;0,"Yes","NO ORDER"),"")</f>
        <v>Yes</v>
      </c>
    </row>
    <row r="5651" spans="1:17" ht="15" customHeight="1" x14ac:dyDescent="0.3">
      <c r="A5651" s="23" t="s">
        <v>18919</v>
      </c>
      <c r="B5651" s="23"/>
      <c r="C5651" s="23" t="s">
        <v>9039</v>
      </c>
      <c r="D5651" s="23" t="str">
        <f t="shared" si="264"/>
        <v>ORD26004283</v>
      </c>
      <c r="E5651" s="38">
        <v>46295</v>
      </c>
      <c r="F5651" s="23" t="s">
        <v>12410</v>
      </c>
      <c r="G5651" s="23" t="s">
        <v>79</v>
      </c>
      <c r="H5651" s="24">
        <v>5348</v>
      </c>
      <c r="I5651" s="24">
        <v>85.57</v>
      </c>
      <c r="J5651" s="24">
        <v>15.4</v>
      </c>
      <c r="K5651" s="24">
        <v>5247.03</v>
      </c>
      <c r="L5651" s="38">
        <v>46297</v>
      </c>
      <c r="M5651" s="23" t="s">
        <v>110</v>
      </c>
      <c r="N5651" s="23" t="str">
        <f>IF(COUNTIF($A$2:A5651,A5651)&gt;1,"DUP","OK")</f>
        <v>OK</v>
      </c>
      <c r="O5651" s="23" t="str">
        <f t="shared" si="265"/>
        <v>ORD26004283</v>
      </c>
      <c r="P5651" s="23" t="str">
        <f t="shared" si="266"/>
        <v>Oct-Due</v>
      </c>
      <c r="Q5651" s="23" t="str">
        <f>IF(F5651="CAPTURE",IF(COUNTIF(orders!$A:$A,O5651)&gt;0,"Yes","NO ORDER"),"")</f>
        <v>Yes</v>
      </c>
    </row>
    <row r="5652" spans="1:17" ht="15" customHeight="1" x14ac:dyDescent="0.3">
      <c r="A5652" s="23" t="s">
        <v>18920</v>
      </c>
      <c r="B5652" s="23"/>
      <c r="C5652" s="23" t="s">
        <v>18921</v>
      </c>
      <c r="D5652" s="23" t="str">
        <f t="shared" si="264"/>
        <v>ORD26004315</v>
      </c>
      <c r="E5652" s="38">
        <v>46295</v>
      </c>
      <c r="F5652" s="23" t="s">
        <v>12410</v>
      </c>
      <c r="G5652" s="23" t="s">
        <v>77</v>
      </c>
      <c r="H5652" s="24">
        <v>1598</v>
      </c>
      <c r="I5652" s="24">
        <v>30.36</v>
      </c>
      <c r="J5652" s="24">
        <v>5.46</v>
      </c>
      <c r="K5652" s="24">
        <v>1562.18</v>
      </c>
      <c r="L5652" s="38">
        <v>46297</v>
      </c>
      <c r="M5652" s="23" t="s">
        <v>110</v>
      </c>
      <c r="N5652" s="23" t="str">
        <f>IF(COUNTIF($A$2:A5652,A5652)&gt;1,"DUP","OK")</f>
        <v>OK</v>
      </c>
      <c r="O5652" s="23" t="str">
        <f t="shared" si="265"/>
        <v>ORD26004315</v>
      </c>
      <c r="P5652" s="23" t="str">
        <f t="shared" si="266"/>
        <v>Oct-Due</v>
      </c>
      <c r="Q5652" s="23" t="str">
        <f>IF(F5652="CAPTURE",IF(COUNTIF(orders!$A:$A,O5652)&gt;0,"Yes","NO ORDER"),"")</f>
        <v>Yes</v>
      </c>
    </row>
    <row r="5653" spans="1:17" ht="15" customHeight="1" x14ac:dyDescent="0.3">
      <c r="A5653" s="23" t="s">
        <v>18922</v>
      </c>
      <c r="B5653" s="23"/>
      <c r="C5653" s="23" t="s">
        <v>9235</v>
      </c>
      <c r="D5653" s="23" t="str">
        <f t="shared" si="264"/>
        <v>ORD26004380</v>
      </c>
      <c r="E5653" s="38">
        <v>46295</v>
      </c>
      <c r="F5653" s="23" t="s">
        <v>12410</v>
      </c>
      <c r="G5653" s="23" t="s">
        <v>75</v>
      </c>
      <c r="H5653" s="24">
        <v>4999</v>
      </c>
      <c r="I5653" s="24">
        <v>15</v>
      </c>
      <c r="J5653" s="24">
        <v>2.7</v>
      </c>
      <c r="K5653" s="24">
        <v>4981.3</v>
      </c>
      <c r="L5653" s="38">
        <v>46297</v>
      </c>
      <c r="M5653" s="23" t="s">
        <v>110</v>
      </c>
      <c r="N5653" s="23" t="str">
        <f>IF(COUNTIF($A$2:A5653,A5653)&gt;1,"DUP","OK")</f>
        <v>OK</v>
      </c>
      <c r="O5653" s="23" t="str">
        <f t="shared" si="265"/>
        <v>ORD26004380</v>
      </c>
      <c r="P5653" s="23" t="str">
        <f t="shared" si="266"/>
        <v>Oct-Due</v>
      </c>
      <c r="Q5653" s="23" t="str">
        <f>IF(F5653="CAPTURE",IF(COUNTIF(orders!$A:$A,O5653)&gt;0,"Yes","NO ORDER"),"")</f>
        <v>Yes</v>
      </c>
    </row>
    <row r="5654" spans="1:17" ht="15" customHeight="1" x14ac:dyDescent="0.3">
      <c r="A5654" s="23" t="s">
        <v>18923</v>
      </c>
      <c r="B5654" s="23"/>
      <c r="C5654" s="23" t="s">
        <v>9288</v>
      </c>
      <c r="D5654" s="23" t="str">
        <f t="shared" si="264"/>
        <v>ORD26004407</v>
      </c>
      <c r="E5654" s="38">
        <v>46295</v>
      </c>
      <c r="F5654" s="23" t="s">
        <v>12410</v>
      </c>
      <c r="G5654" s="23" t="s">
        <v>77</v>
      </c>
      <c r="H5654" s="24">
        <v>7999</v>
      </c>
      <c r="I5654" s="24">
        <v>135.97999999999999</v>
      </c>
      <c r="J5654" s="24">
        <v>24.48</v>
      </c>
      <c r="K5654" s="24">
        <v>7838.54</v>
      </c>
      <c r="L5654" s="38">
        <v>46297</v>
      </c>
      <c r="M5654" s="23" t="s">
        <v>110</v>
      </c>
      <c r="N5654" s="23" t="str">
        <f>IF(COUNTIF($A$2:A5654,A5654)&gt;1,"DUP","OK")</f>
        <v>OK</v>
      </c>
      <c r="O5654" s="23" t="str">
        <f t="shared" si="265"/>
        <v>ORD26004407</v>
      </c>
      <c r="P5654" s="23" t="str">
        <f t="shared" si="266"/>
        <v>Oct-Due</v>
      </c>
      <c r="Q5654" s="23" t="str">
        <f>IF(F5654="CAPTURE",IF(COUNTIF(orders!$A:$A,O5654)&gt;0,"Yes","NO ORDER"),"")</f>
        <v>Yes</v>
      </c>
    </row>
    <row r="5655" spans="1:17" ht="15" customHeight="1" x14ac:dyDescent="0.3">
      <c r="A5655" s="23" t="s">
        <v>18924</v>
      </c>
      <c r="B5655" s="23"/>
      <c r="C5655" s="23" t="s">
        <v>9306</v>
      </c>
      <c r="D5655" s="23" t="str">
        <f t="shared" si="264"/>
        <v>ORD26004416</v>
      </c>
      <c r="E5655" s="38">
        <v>46295</v>
      </c>
      <c r="F5655" s="23" t="s">
        <v>12410</v>
      </c>
      <c r="G5655" s="23" t="s">
        <v>79</v>
      </c>
      <c r="H5655" s="24">
        <v>3499</v>
      </c>
      <c r="I5655" s="24">
        <v>55.98</v>
      </c>
      <c r="J5655" s="24">
        <v>10.08</v>
      </c>
      <c r="K5655" s="24">
        <v>3432.94</v>
      </c>
      <c r="L5655" s="38">
        <v>46297</v>
      </c>
      <c r="M5655" s="23" t="s">
        <v>110</v>
      </c>
      <c r="N5655" s="23" t="str">
        <f>IF(COUNTIF($A$2:A5655,A5655)&gt;1,"DUP","OK")</f>
        <v>OK</v>
      </c>
      <c r="O5655" s="23" t="str">
        <f t="shared" si="265"/>
        <v>ORD26004416</v>
      </c>
      <c r="P5655" s="23" t="str">
        <f t="shared" si="266"/>
        <v>Oct-Due</v>
      </c>
      <c r="Q5655" s="23" t="str">
        <f>IF(F5655="CAPTURE",IF(COUNTIF(orders!$A:$A,O5655)&gt;0,"Yes","NO ORDER"),"")</f>
        <v>Yes</v>
      </c>
    </row>
    <row r="5656" spans="1:17" ht="15" customHeight="1" x14ac:dyDescent="0.3">
      <c r="A5656" s="23" t="s">
        <v>18925</v>
      </c>
      <c r="B5656" s="23"/>
      <c r="C5656" s="23" t="s">
        <v>9324</v>
      </c>
      <c r="D5656" s="23" t="str">
        <f t="shared" si="264"/>
        <v>ORD26004426</v>
      </c>
      <c r="E5656" s="38">
        <v>46295</v>
      </c>
      <c r="F5656" s="23" t="s">
        <v>12410</v>
      </c>
      <c r="G5656" s="23" t="s">
        <v>75</v>
      </c>
      <c r="H5656" s="24">
        <v>7397</v>
      </c>
      <c r="I5656" s="24">
        <v>22.19</v>
      </c>
      <c r="J5656" s="24">
        <v>3.99</v>
      </c>
      <c r="K5656" s="24">
        <v>7370.82</v>
      </c>
      <c r="L5656" s="38">
        <v>46297</v>
      </c>
      <c r="M5656" s="23" t="s">
        <v>110</v>
      </c>
      <c r="N5656" s="23" t="str">
        <f>IF(COUNTIF($A$2:A5656,A5656)&gt;1,"DUP","OK")</f>
        <v>OK</v>
      </c>
      <c r="O5656" s="23" t="str">
        <f t="shared" si="265"/>
        <v>ORD26004426</v>
      </c>
      <c r="P5656" s="23" t="str">
        <f t="shared" si="266"/>
        <v>Oct-Due</v>
      </c>
      <c r="Q5656" s="23" t="str">
        <f>IF(F5656="CAPTURE",IF(COUNTIF(orders!$A:$A,O5656)&gt;0,"Yes","NO ORDER"),"")</f>
        <v>Yes</v>
      </c>
    </row>
    <row r="5657" spans="1:17" ht="15" customHeight="1" x14ac:dyDescent="0.3">
      <c r="A5657" s="23" t="s">
        <v>18926</v>
      </c>
      <c r="B5657" s="23"/>
      <c r="C5657" s="23" t="s">
        <v>9346</v>
      </c>
      <c r="D5657" s="23" t="str">
        <f t="shared" si="264"/>
        <v>ORD26004437</v>
      </c>
      <c r="E5657" s="38">
        <v>46295</v>
      </c>
      <c r="F5657" s="23" t="s">
        <v>12410</v>
      </c>
      <c r="G5657" s="23" t="s">
        <v>75</v>
      </c>
      <c r="H5657" s="24">
        <v>8797</v>
      </c>
      <c r="I5657" s="24">
        <v>26.39</v>
      </c>
      <c r="J5657" s="24">
        <v>4.75</v>
      </c>
      <c r="K5657" s="24">
        <v>8765.86</v>
      </c>
      <c r="L5657" s="38">
        <v>46297</v>
      </c>
      <c r="M5657" s="23" t="s">
        <v>110</v>
      </c>
      <c r="N5657" s="23" t="str">
        <f>IF(COUNTIF($A$2:A5657,A5657)&gt;1,"DUP","OK")</f>
        <v>OK</v>
      </c>
      <c r="O5657" s="23" t="str">
        <f t="shared" si="265"/>
        <v>ORD26004437</v>
      </c>
      <c r="P5657" s="23" t="str">
        <f t="shared" si="266"/>
        <v>Oct-Due</v>
      </c>
      <c r="Q5657" s="23" t="str">
        <f>IF(F5657="CAPTURE",IF(COUNTIF(orders!$A:$A,O5657)&gt;0,"Yes","NO ORDER"),"")</f>
        <v>Yes</v>
      </c>
    </row>
    <row r="5658" spans="1:17" ht="15" customHeight="1" x14ac:dyDescent="0.3">
      <c r="A5658" s="23" t="s">
        <v>18927</v>
      </c>
      <c r="B5658" s="23"/>
      <c r="C5658" s="23" t="s">
        <v>9382</v>
      </c>
      <c r="D5658" s="23" t="str">
        <f t="shared" si="264"/>
        <v>ORD26004454</v>
      </c>
      <c r="E5658" s="38">
        <v>46295</v>
      </c>
      <c r="F5658" s="23" t="s">
        <v>12410</v>
      </c>
      <c r="G5658" s="23" t="s">
        <v>81</v>
      </c>
      <c r="H5658" s="24">
        <v>4797</v>
      </c>
      <c r="I5658" s="24">
        <v>57.56</v>
      </c>
      <c r="J5658" s="24">
        <v>10.36</v>
      </c>
      <c r="K5658" s="24">
        <v>4729.08</v>
      </c>
      <c r="L5658" s="38">
        <v>46297</v>
      </c>
      <c r="M5658" s="23" t="s">
        <v>110</v>
      </c>
      <c r="N5658" s="23" t="str">
        <f>IF(COUNTIF($A$2:A5658,A5658)&gt;1,"DUP","OK")</f>
        <v>OK</v>
      </c>
      <c r="O5658" s="23" t="str">
        <f t="shared" si="265"/>
        <v>ORD26004454</v>
      </c>
      <c r="P5658" s="23" t="str">
        <f t="shared" si="266"/>
        <v>Oct-Due</v>
      </c>
      <c r="Q5658" s="23" t="str">
        <f>IF(F5658="CAPTURE",IF(COUNTIF(orders!$A:$A,O5658)&gt;0,"Yes","NO ORDER"),"")</f>
        <v>Yes</v>
      </c>
    </row>
    <row r="5659" spans="1:17" ht="15" customHeight="1" x14ac:dyDescent="0.3">
      <c r="A5659" s="23" t="s">
        <v>18928</v>
      </c>
      <c r="B5659" s="23"/>
      <c r="C5659" s="23" t="s">
        <v>9441</v>
      </c>
      <c r="D5659" s="23" t="str">
        <f t="shared" si="264"/>
        <v>ORD26004485</v>
      </c>
      <c r="E5659" s="38">
        <v>46295</v>
      </c>
      <c r="F5659" s="23" t="s">
        <v>12410</v>
      </c>
      <c r="G5659" s="23" t="s">
        <v>79</v>
      </c>
      <c r="H5659" s="24">
        <v>4498</v>
      </c>
      <c r="I5659" s="24">
        <v>71.97</v>
      </c>
      <c r="J5659" s="24">
        <v>12.95</v>
      </c>
      <c r="K5659" s="24">
        <v>4413.08</v>
      </c>
      <c r="L5659" s="38">
        <v>46297</v>
      </c>
      <c r="M5659" s="23" t="s">
        <v>110</v>
      </c>
      <c r="N5659" s="23" t="str">
        <f>IF(COUNTIF($A$2:A5659,A5659)&gt;1,"DUP","OK")</f>
        <v>OK</v>
      </c>
      <c r="O5659" s="23" t="str">
        <f t="shared" si="265"/>
        <v>ORD26004485</v>
      </c>
      <c r="P5659" s="23" t="str">
        <f t="shared" si="266"/>
        <v>Oct-Due</v>
      </c>
      <c r="Q5659" s="23" t="str">
        <f>IF(F5659="CAPTURE",IF(COUNTIF(orders!$A:$A,O5659)&gt;0,"Yes","NO ORDER"),"")</f>
        <v>Yes</v>
      </c>
    </row>
    <row r="5660" spans="1:17" ht="15" customHeight="1" x14ac:dyDescent="0.3">
      <c r="A5660" s="23" t="s">
        <v>18929</v>
      </c>
      <c r="B5660" s="23"/>
      <c r="C5660" s="23" t="s">
        <v>18930</v>
      </c>
      <c r="D5660" s="23" t="str">
        <f t="shared" si="264"/>
        <v>ORD26004489</v>
      </c>
      <c r="E5660" s="38">
        <v>46295</v>
      </c>
      <c r="F5660" s="23" t="s">
        <v>12410</v>
      </c>
      <c r="G5660" s="23" t="s">
        <v>75</v>
      </c>
      <c r="H5660" s="24">
        <v>5998</v>
      </c>
      <c r="I5660" s="24">
        <v>17.989999999999998</v>
      </c>
      <c r="J5660" s="24">
        <v>3.24</v>
      </c>
      <c r="K5660" s="24">
        <v>5976.77</v>
      </c>
      <c r="L5660" s="38">
        <v>46297</v>
      </c>
      <c r="M5660" s="23" t="s">
        <v>110</v>
      </c>
      <c r="N5660" s="23" t="str">
        <f>IF(COUNTIF($A$2:A5660,A5660)&gt;1,"DUP","OK")</f>
        <v>OK</v>
      </c>
      <c r="O5660" s="23" t="str">
        <f t="shared" si="265"/>
        <v>ORD26004489</v>
      </c>
      <c r="P5660" s="23" t="str">
        <f t="shared" si="266"/>
        <v>Oct-Due</v>
      </c>
      <c r="Q5660" s="23" t="str">
        <f>IF(F5660="CAPTURE",IF(COUNTIF(orders!$A:$A,O5660)&gt;0,"Yes","NO ORDER"),"")</f>
        <v>Yes</v>
      </c>
    </row>
    <row r="5661" spans="1:17" ht="15" customHeight="1" x14ac:dyDescent="0.3">
      <c r="A5661" s="23" t="s">
        <v>18931</v>
      </c>
      <c r="B5661" s="23"/>
      <c r="C5661" s="23" t="s">
        <v>9462</v>
      </c>
      <c r="D5661" s="23" t="str">
        <f t="shared" si="264"/>
        <v>ORD26004495</v>
      </c>
      <c r="E5661" s="38">
        <v>46295</v>
      </c>
      <c r="F5661" s="23" t="s">
        <v>12410</v>
      </c>
      <c r="G5661" s="23" t="s">
        <v>75</v>
      </c>
      <c r="H5661" s="24">
        <v>5597</v>
      </c>
      <c r="I5661" s="24">
        <v>16.79</v>
      </c>
      <c r="J5661" s="24">
        <v>3.02</v>
      </c>
      <c r="K5661" s="24">
        <v>5577.19</v>
      </c>
      <c r="L5661" s="38">
        <v>46297</v>
      </c>
      <c r="M5661" s="23" t="s">
        <v>110</v>
      </c>
      <c r="N5661" s="23" t="str">
        <f>IF(COUNTIF($A$2:A5661,A5661)&gt;1,"DUP","OK")</f>
        <v>OK</v>
      </c>
      <c r="O5661" s="23" t="str">
        <f t="shared" si="265"/>
        <v>ORD26004495</v>
      </c>
      <c r="P5661" s="23" t="str">
        <f t="shared" si="266"/>
        <v>Oct-Due</v>
      </c>
      <c r="Q5661" s="23" t="str">
        <f>IF(F5661="CAPTURE",IF(COUNTIF(orders!$A:$A,O5661)&gt;0,"Yes","NO ORDER"),"")</f>
        <v>Yes</v>
      </c>
    </row>
    <row r="5662" spans="1:17" ht="15" customHeight="1" x14ac:dyDescent="0.3">
      <c r="A5662" s="23" t="s">
        <v>18932</v>
      </c>
      <c r="B5662" s="23"/>
      <c r="C5662" s="23" t="s">
        <v>18933</v>
      </c>
      <c r="D5662" s="23" t="str">
        <f t="shared" si="264"/>
        <v>ORD26004505</v>
      </c>
      <c r="E5662" s="38">
        <v>46295</v>
      </c>
      <c r="F5662" s="23" t="s">
        <v>12410</v>
      </c>
      <c r="G5662" s="23" t="s">
        <v>75</v>
      </c>
      <c r="H5662" s="24">
        <v>12297</v>
      </c>
      <c r="I5662" s="24">
        <v>36.89</v>
      </c>
      <c r="J5662" s="24">
        <v>6.64</v>
      </c>
      <c r="K5662" s="24">
        <v>12253.47</v>
      </c>
      <c r="L5662" s="38">
        <v>46297</v>
      </c>
      <c r="M5662" s="23" t="s">
        <v>110</v>
      </c>
      <c r="N5662" s="23" t="str">
        <f>IF(COUNTIF($A$2:A5662,A5662)&gt;1,"DUP","OK")</f>
        <v>OK</v>
      </c>
      <c r="O5662" s="23" t="str">
        <f t="shared" si="265"/>
        <v>ORD26004505</v>
      </c>
      <c r="P5662" s="23" t="str">
        <f t="shared" si="266"/>
        <v>Oct-Due</v>
      </c>
      <c r="Q5662" s="23" t="str">
        <f>IF(F5662="CAPTURE",IF(COUNTIF(orders!$A:$A,O5662)&gt;0,"Yes","NO ORDER"),"")</f>
        <v>Yes</v>
      </c>
    </row>
    <row r="5663" spans="1:17" ht="15" customHeight="1" x14ac:dyDescent="0.3">
      <c r="A5663" s="23" t="s">
        <v>18934</v>
      </c>
      <c r="B5663" s="23"/>
      <c r="C5663" s="23" t="s">
        <v>9597</v>
      </c>
      <c r="D5663" s="23" t="str">
        <f t="shared" si="264"/>
        <v>ORD26004562</v>
      </c>
      <c r="E5663" s="38">
        <v>46295</v>
      </c>
      <c r="F5663" s="23" t="s">
        <v>12410</v>
      </c>
      <c r="G5663" s="23" t="s">
        <v>75</v>
      </c>
      <c r="H5663" s="24">
        <v>3499</v>
      </c>
      <c r="I5663" s="24">
        <v>10.5</v>
      </c>
      <c r="J5663" s="24">
        <v>1.89</v>
      </c>
      <c r="K5663" s="24">
        <v>3486.61</v>
      </c>
      <c r="L5663" s="38">
        <v>46297</v>
      </c>
      <c r="M5663" s="23" t="s">
        <v>110</v>
      </c>
      <c r="N5663" s="23" t="str">
        <f>IF(COUNTIF($A$2:A5663,A5663)&gt;1,"DUP","OK")</f>
        <v>OK</v>
      </c>
      <c r="O5663" s="23" t="str">
        <f t="shared" si="265"/>
        <v>ORD26004562</v>
      </c>
      <c r="P5663" s="23" t="str">
        <f t="shared" si="266"/>
        <v>Oct-Due</v>
      </c>
      <c r="Q5663" s="23" t="str">
        <f>IF(F5663="CAPTURE",IF(COUNTIF(orders!$A:$A,O5663)&gt;0,"Yes","NO ORDER"),"")</f>
        <v>Yes</v>
      </c>
    </row>
    <row r="5664" spans="1:17" ht="15" customHeight="1" x14ac:dyDescent="0.3">
      <c r="A5664" s="23" t="s">
        <v>18935</v>
      </c>
      <c r="B5664" s="23"/>
      <c r="C5664" s="23" t="s">
        <v>9659</v>
      </c>
      <c r="D5664" s="23" t="str">
        <f t="shared" si="264"/>
        <v>ORD26004593</v>
      </c>
      <c r="E5664" s="38">
        <v>46295</v>
      </c>
      <c r="F5664" s="23" t="s">
        <v>12410</v>
      </c>
      <c r="G5664" s="23" t="s">
        <v>75</v>
      </c>
      <c r="H5664" s="24">
        <v>1198</v>
      </c>
      <c r="I5664" s="24">
        <v>0</v>
      </c>
      <c r="J5664" s="24">
        <v>0</v>
      </c>
      <c r="K5664" s="24">
        <v>1198</v>
      </c>
      <c r="L5664" s="38">
        <v>46297</v>
      </c>
      <c r="M5664" s="23" t="s">
        <v>110</v>
      </c>
      <c r="N5664" s="23" t="str">
        <f>IF(COUNTIF($A$2:A5664,A5664)&gt;1,"DUP","OK")</f>
        <v>OK</v>
      </c>
      <c r="O5664" s="23" t="str">
        <f t="shared" si="265"/>
        <v>ORD26004593</v>
      </c>
      <c r="P5664" s="23" t="str">
        <f t="shared" si="266"/>
        <v>Oct-Due</v>
      </c>
      <c r="Q5664" s="23" t="str">
        <f>IF(F5664="CAPTURE",IF(COUNTIF(orders!$A:$A,O5664)&gt;0,"Yes","NO ORDER"),"")</f>
        <v>Yes</v>
      </c>
    </row>
    <row r="5665" spans="1:17" ht="15" customHeight="1" x14ac:dyDescent="0.3">
      <c r="A5665" s="23" t="s">
        <v>18936</v>
      </c>
      <c r="B5665" s="23"/>
      <c r="C5665" s="23" t="s">
        <v>9768</v>
      </c>
      <c r="D5665" s="23" t="str">
        <f t="shared" si="264"/>
        <v>ORD26004649</v>
      </c>
      <c r="E5665" s="38">
        <v>46295</v>
      </c>
      <c r="F5665" s="23" t="s">
        <v>12410</v>
      </c>
      <c r="G5665" s="23" t="s">
        <v>77</v>
      </c>
      <c r="H5665" s="24">
        <v>799</v>
      </c>
      <c r="I5665" s="24">
        <v>15.18</v>
      </c>
      <c r="J5665" s="24">
        <v>2.73</v>
      </c>
      <c r="K5665" s="24">
        <v>781.09</v>
      </c>
      <c r="L5665" s="38">
        <v>46297</v>
      </c>
      <c r="M5665" s="23" t="s">
        <v>110</v>
      </c>
      <c r="N5665" s="23" t="str">
        <f>IF(COUNTIF($A$2:A5665,A5665)&gt;1,"DUP","OK")</f>
        <v>OK</v>
      </c>
      <c r="O5665" s="23" t="str">
        <f t="shared" si="265"/>
        <v>ORD26004649</v>
      </c>
      <c r="P5665" s="23" t="str">
        <f t="shared" si="266"/>
        <v>Oct-Due</v>
      </c>
      <c r="Q5665" s="23" t="str">
        <f>IF(F5665="CAPTURE",IF(COUNTIF(orders!$A:$A,O5665)&gt;0,"Yes","NO ORDER"),"")</f>
        <v>Yes</v>
      </c>
    </row>
    <row r="5666" spans="1:17" ht="15" customHeight="1" x14ac:dyDescent="0.3">
      <c r="A5666" s="23" t="s">
        <v>18937</v>
      </c>
      <c r="B5666" s="23"/>
      <c r="C5666" s="23" t="s">
        <v>18938</v>
      </c>
      <c r="D5666" s="23" t="str">
        <f t="shared" si="264"/>
        <v>ORD26004659</v>
      </c>
      <c r="E5666" s="38">
        <v>46295</v>
      </c>
      <c r="F5666" s="23" t="s">
        <v>12410</v>
      </c>
      <c r="G5666" s="23" t="s">
        <v>77</v>
      </c>
      <c r="H5666" s="24">
        <v>999</v>
      </c>
      <c r="I5666" s="24">
        <v>18.98</v>
      </c>
      <c r="J5666" s="24">
        <v>3.42</v>
      </c>
      <c r="K5666" s="24">
        <v>976.6</v>
      </c>
      <c r="L5666" s="38">
        <v>46297</v>
      </c>
      <c r="M5666" s="23" t="s">
        <v>110</v>
      </c>
      <c r="N5666" s="23" t="str">
        <f>IF(COUNTIF($A$2:A5666,A5666)&gt;1,"DUP","OK")</f>
        <v>OK</v>
      </c>
      <c r="O5666" s="23" t="str">
        <f t="shared" si="265"/>
        <v>ORD26004659</v>
      </c>
      <c r="P5666" s="23" t="str">
        <f t="shared" si="266"/>
        <v>Oct-Due</v>
      </c>
      <c r="Q5666" s="23" t="str">
        <f>IF(F5666="CAPTURE",IF(COUNTIF(orders!$A:$A,O5666)&gt;0,"Yes","NO ORDER"),"")</f>
        <v>Yes</v>
      </c>
    </row>
    <row r="5667" spans="1:17" ht="15" customHeight="1" x14ac:dyDescent="0.3">
      <c r="A5667" s="23" t="s">
        <v>18939</v>
      </c>
      <c r="B5667" s="23"/>
      <c r="C5667" s="23" t="s">
        <v>9810</v>
      </c>
      <c r="D5667" s="23" t="str">
        <f t="shared" si="264"/>
        <v>ORD26004671</v>
      </c>
      <c r="E5667" s="38">
        <v>46295</v>
      </c>
      <c r="F5667" s="23" t="s">
        <v>12410</v>
      </c>
      <c r="G5667" s="23" t="s">
        <v>75</v>
      </c>
      <c r="H5667" s="24">
        <v>3298</v>
      </c>
      <c r="I5667" s="24">
        <v>9.89</v>
      </c>
      <c r="J5667" s="24">
        <v>1.78</v>
      </c>
      <c r="K5667" s="24">
        <v>3286.33</v>
      </c>
      <c r="L5667" s="38">
        <v>46297</v>
      </c>
      <c r="M5667" s="23" t="s">
        <v>110</v>
      </c>
      <c r="N5667" s="23" t="str">
        <f>IF(COUNTIF($A$2:A5667,A5667)&gt;1,"DUP","OK")</f>
        <v>OK</v>
      </c>
      <c r="O5667" s="23" t="str">
        <f t="shared" si="265"/>
        <v>ORD26004671</v>
      </c>
      <c r="P5667" s="23" t="str">
        <f t="shared" si="266"/>
        <v>Oct-Due</v>
      </c>
      <c r="Q5667" s="23" t="str">
        <f>IF(F5667="CAPTURE",IF(COUNTIF(orders!$A:$A,O5667)&gt;0,"Yes","NO ORDER"),"")</f>
        <v>Yes</v>
      </c>
    </row>
    <row r="5668" spans="1:17" ht="15" customHeight="1" x14ac:dyDescent="0.3">
      <c r="A5668" s="23" t="s">
        <v>18940</v>
      </c>
      <c r="B5668" s="23"/>
      <c r="C5668" s="23" t="s">
        <v>9822</v>
      </c>
      <c r="D5668" s="23" t="str">
        <f t="shared" si="264"/>
        <v>ORD26004677</v>
      </c>
      <c r="E5668" s="38">
        <v>46295</v>
      </c>
      <c r="F5668" s="23" t="s">
        <v>12410</v>
      </c>
      <c r="G5668" s="23" t="s">
        <v>75</v>
      </c>
      <c r="H5668" s="24">
        <v>2999</v>
      </c>
      <c r="I5668" s="24">
        <v>9</v>
      </c>
      <c r="J5668" s="24">
        <v>1.62</v>
      </c>
      <c r="K5668" s="24">
        <v>2988.38</v>
      </c>
      <c r="L5668" s="38">
        <v>46297</v>
      </c>
      <c r="M5668" s="23" t="s">
        <v>110</v>
      </c>
      <c r="N5668" s="23" t="str">
        <f>IF(COUNTIF($A$2:A5668,A5668)&gt;1,"DUP","OK")</f>
        <v>OK</v>
      </c>
      <c r="O5668" s="23" t="str">
        <f t="shared" si="265"/>
        <v>ORD26004677</v>
      </c>
      <c r="P5668" s="23" t="str">
        <f t="shared" si="266"/>
        <v>Oct-Due</v>
      </c>
      <c r="Q5668" s="23" t="str">
        <f>IF(F5668="CAPTURE",IF(COUNTIF(orders!$A:$A,O5668)&gt;0,"Yes","NO ORDER"),"")</f>
        <v>Yes</v>
      </c>
    </row>
    <row r="5669" spans="1:17" ht="15" customHeight="1" x14ac:dyDescent="0.3">
      <c r="A5669" s="23" t="s">
        <v>18941</v>
      </c>
      <c r="B5669" s="23"/>
      <c r="C5669" s="23" t="s">
        <v>18942</v>
      </c>
      <c r="D5669" s="23" t="str">
        <f t="shared" si="264"/>
        <v>ORD26004703</v>
      </c>
      <c r="E5669" s="38">
        <v>46295</v>
      </c>
      <c r="F5669" s="23" t="s">
        <v>12410</v>
      </c>
      <c r="G5669" s="23" t="s">
        <v>75</v>
      </c>
      <c r="H5669" s="24">
        <v>13997</v>
      </c>
      <c r="I5669" s="24">
        <v>41.99</v>
      </c>
      <c r="J5669" s="24">
        <v>7.56</v>
      </c>
      <c r="K5669" s="24">
        <v>13947.45</v>
      </c>
      <c r="L5669" s="38">
        <v>46297</v>
      </c>
      <c r="M5669" s="23" t="s">
        <v>110</v>
      </c>
      <c r="N5669" s="23" t="str">
        <f>IF(COUNTIF($A$2:A5669,A5669)&gt;1,"DUP","OK")</f>
        <v>OK</v>
      </c>
      <c r="O5669" s="23" t="str">
        <f t="shared" si="265"/>
        <v>ORD26004703</v>
      </c>
      <c r="P5669" s="23" t="str">
        <f t="shared" si="266"/>
        <v>Oct-Due</v>
      </c>
      <c r="Q5669" s="23" t="str">
        <f>IF(F5669="CAPTURE",IF(COUNTIF(orders!$A:$A,O5669)&gt;0,"Yes","NO ORDER"),"")</f>
        <v>Yes</v>
      </c>
    </row>
    <row r="5670" spans="1:17" ht="15" customHeight="1" x14ac:dyDescent="0.3">
      <c r="A5670" s="23" t="s">
        <v>18943</v>
      </c>
      <c r="B5670" s="23"/>
      <c r="C5670" s="23" t="s">
        <v>9898</v>
      </c>
      <c r="D5670" s="23" t="str">
        <f t="shared" si="264"/>
        <v>ORD26004716</v>
      </c>
      <c r="E5670" s="38">
        <v>46295</v>
      </c>
      <c r="F5670" s="23" t="s">
        <v>12410</v>
      </c>
      <c r="G5670" s="23" t="s">
        <v>75</v>
      </c>
      <c r="H5670" s="24">
        <v>3798</v>
      </c>
      <c r="I5670" s="24">
        <v>11.39</v>
      </c>
      <c r="J5670" s="24">
        <v>2.0499999999999998</v>
      </c>
      <c r="K5670" s="24">
        <v>3784.56</v>
      </c>
      <c r="L5670" s="38">
        <v>46297</v>
      </c>
      <c r="M5670" s="23" t="s">
        <v>110</v>
      </c>
      <c r="N5670" s="23" t="str">
        <f>IF(COUNTIF($A$2:A5670,A5670)&gt;1,"DUP","OK")</f>
        <v>OK</v>
      </c>
      <c r="O5670" s="23" t="str">
        <f t="shared" si="265"/>
        <v>ORD26004716</v>
      </c>
      <c r="P5670" s="23" t="str">
        <f t="shared" si="266"/>
        <v>Oct-Due</v>
      </c>
      <c r="Q5670" s="23" t="str">
        <f>IF(F5670="CAPTURE",IF(COUNTIF(orders!$A:$A,O5670)&gt;0,"Yes","NO ORDER"),"")</f>
        <v>Yes</v>
      </c>
    </row>
    <row r="5671" spans="1:17" ht="15" customHeight="1" x14ac:dyDescent="0.3">
      <c r="A5671" s="23" t="s">
        <v>18944</v>
      </c>
      <c r="B5671" s="23"/>
      <c r="C5671" s="23" t="s">
        <v>9900</v>
      </c>
      <c r="D5671" s="23" t="str">
        <f t="shared" si="264"/>
        <v>ORD26004717</v>
      </c>
      <c r="E5671" s="38">
        <v>46295</v>
      </c>
      <c r="F5671" s="23" t="s">
        <v>12410</v>
      </c>
      <c r="G5671" s="23" t="s">
        <v>79</v>
      </c>
      <c r="H5671" s="24">
        <v>4999</v>
      </c>
      <c r="I5671" s="24">
        <v>79.98</v>
      </c>
      <c r="J5671" s="24">
        <v>14.4</v>
      </c>
      <c r="K5671" s="24">
        <v>4904.62</v>
      </c>
      <c r="L5671" s="38">
        <v>46297</v>
      </c>
      <c r="M5671" s="23" t="s">
        <v>110</v>
      </c>
      <c r="N5671" s="23" t="str">
        <f>IF(COUNTIF($A$2:A5671,A5671)&gt;1,"DUP","OK")</f>
        <v>OK</v>
      </c>
      <c r="O5671" s="23" t="str">
        <f t="shared" si="265"/>
        <v>ORD26004717</v>
      </c>
      <c r="P5671" s="23" t="str">
        <f t="shared" si="266"/>
        <v>Oct-Due</v>
      </c>
      <c r="Q5671" s="23" t="str">
        <f>IF(F5671="CAPTURE",IF(COUNTIF(orders!$A:$A,O5671)&gt;0,"Yes","NO ORDER"),"")</f>
        <v>Yes</v>
      </c>
    </row>
    <row r="5672" spans="1:17" ht="15" customHeight="1" x14ac:dyDescent="0.3">
      <c r="A5672" s="23" t="s">
        <v>18945</v>
      </c>
      <c r="B5672" s="23"/>
      <c r="C5672" s="23" t="s">
        <v>9910</v>
      </c>
      <c r="D5672" s="23" t="str">
        <f t="shared" si="264"/>
        <v>ORD26004722</v>
      </c>
      <c r="E5672" s="38">
        <v>46295</v>
      </c>
      <c r="F5672" s="23" t="s">
        <v>12410</v>
      </c>
      <c r="G5672" s="23" t="s">
        <v>79</v>
      </c>
      <c r="H5672" s="24">
        <v>1298</v>
      </c>
      <c r="I5672" s="24">
        <v>23.36</v>
      </c>
      <c r="J5672" s="24">
        <v>4.2</v>
      </c>
      <c r="K5672" s="24">
        <v>1270.44</v>
      </c>
      <c r="L5672" s="38">
        <v>46297</v>
      </c>
      <c r="M5672" s="23" t="s">
        <v>110</v>
      </c>
      <c r="N5672" s="23" t="str">
        <f>IF(COUNTIF($A$2:A5672,A5672)&gt;1,"DUP","OK")</f>
        <v>OK</v>
      </c>
      <c r="O5672" s="23" t="str">
        <f t="shared" si="265"/>
        <v>ORD26004722</v>
      </c>
      <c r="P5672" s="23" t="str">
        <f t="shared" si="266"/>
        <v>Oct-Due</v>
      </c>
      <c r="Q5672" s="23" t="str">
        <f>IF(F5672="CAPTURE",IF(COUNTIF(orders!$A:$A,O5672)&gt;0,"Yes","NO ORDER"),"")</f>
        <v>Yes</v>
      </c>
    </row>
    <row r="5673" spans="1:17" ht="15" customHeight="1" x14ac:dyDescent="0.3">
      <c r="A5673" s="23" t="s">
        <v>18946</v>
      </c>
      <c r="B5673" s="23"/>
      <c r="C5673" s="23" t="s">
        <v>9933</v>
      </c>
      <c r="D5673" s="23" t="str">
        <f t="shared" si="264"/>
        <v>ORD26004734</v>
      </c>
      <c r="E5673" s="38">
        <v>46295</v>
      </c>
      <c r="F5673" s="23" t="s">
        <v>12410</v>
      </c>
      <c r="G5673" s="23" t="s">
        <v>75</v>
      </c>
      <c r="H5673" s="24">
        <v>5097</v>
      </c>
      <c r="I5673" s="24">
        <v>15.29</v>
      </c>
      <c r="J5673" s="24">
        <v>2.75</v>
      </c>
      <c r="K5673" s="24">
        <v>5078.96</v>
      </c>
      <c r="L5673" s="38">
        <v>46297</v>
      </c>
      <c r="M5673" s="23" t="s">
        <v>110</v>
      </c>
      <c r="N5673" s="23" t="str">
        <f>IF(COUNTIF($A$2:A5673,A5673)&gt;1,"DUP","OK")</f>
        <v>OK</v>
      </c>
      <c r="O5673" s="23" t="str">
        <f t="shared" si="265"/>
        <v>ORD26004734</v>
      </c>
      <c r="P5673" s="23" t="str">
        <f t="shared" si="266"/>
        <v>Oct-Due</v>
      </c>
      <c r="Q5673" s="23" t="str">
        <f>IF(F5673="CAPTURE",IF(COUNTIF(orders!$A:$A,O5673)&gt;0,"Yes","NO ORDER"),"")</f>
        <v>Yes</v>
      </c>
    </row>
    <row r="5674" spans="1:17" ht="15" customHeight="1" x14ac:dyDescent="0.3">
      <c r="A5674" s="23" t="s">
        <v>18947</v>
      </c>
      <c r="B5674" s="23"/>
      <c r="C5674" s="23" t="s">
        <v>10044</v>
      </c>
      <c r="D5674" s="23" t="str">
        <f t="shared" si="264"/>
        <v>ORD26004791</v>
      </c>
      <c r="E5674" s="38">
        <v>46295</v>
      </c>
      <c r="F5674" s="23" t="s">
        <v>12410</v>
      </c>
      <c r="G5674" s="23" t="s">
        <v>75</v>
      </c>
      <c r="H5674" s="24">
        <v>799</v>
      </c>
      <c r="I5674" s="24">
        <v>0</v>
      </c>
      <c r="J5674" s="24">
        <v>0</v>
      </c>
      <c r="K5674" s="24">
        <v>799</v>
      </c>
      <c r="L5674" s="38">
        <v>46297</v>
      </c>
      <c r="M5674" s="23" t="s">
        <v>110</v>
      </c>
      <c r="N5674" s="23" t="str">
        <f>IF(COUNTIF($A$2:A5674,A5674)&gt;1,"DUP","OK")</f>
        <v>OK</v>
      </c>
      <c r="O5674" s="23" t="str">
        <f t="shared" si="265"/>
        <v>ORD26004791</v>
      </c>
      <c r="P5674" s="23" t="str">
        <f t="shared" si="266"/>
        <v>Oct-Due</v>
      </c>
      <c r="Q5674" s="23" t="str">
        <f>IF(F5674="CAPTURE",IF(COUNTIF(orders!$A:$A,O5674)&gt;0,"Yes","NO ORDER"),"")</f>
        <v>Yes</v>
      </c>
    </row>
    <row r="5675" spans="1:17" ht="15" customHeight="1" x14ac:dyDescent="0.3">
      <c r="A5675" s="23" t="s">
        <v>18948</v>
      </c>
      <c r="B5675" s="23"/>
      <c r="C5675" s="23" t="s">
        <v>10146</v>
      </c>
      <c r="D5675" s="23" t="str">
        <f t="shared" si="264"/>
        <v>ORD26004843</v>
      </c>
      <c r="E5675" s="38">
        <v>46295</v>
      </c>
      <c r="F5675" s="23" t="s">
        <v>12410</v>
      </c>
      <c r="G5675" s="23" t="s">
        <v>77</v>
      </c>
      <c r="H5675" s="24">
        <v>3098</v>
      </c>
      <c r="I5675" s="24">
        <v>52.67</v>
      </c>
      <c r="J5675" s="24">
        <v>9.48</v>
      </c>
      <c r="K5675" s="24">
        <v>3035.85</v>
      </c>
      <c r="L5675" s="38">
        <v>46297</v>
      </c>
      <c r="M5675" s="23" t="s">
        <v>110</v>
      </c>
      <c r="N5675" s="23" t="str">
        <f>IF(COUNTIF($A$2:A5675,A5675)&gt;1,"DUP","OK")</f>
        <v>OK</v>
      </c>
      <c r="O5675" s="23" t="str">
        <f t="shared" si="265"/>
        <v>ORD26004843</v>
      </c>
      <c r="P5675" s="23" t="str">
        <f t="shared" si="266"/>
        <v>Oct-Due</v>
      </c>
      <c r="Q5675" s="23" t="str">
        <f>IF(F5675="CAPTURE",IF(COUNTIF(orders!$A:$A,O5675)&gt;0,"Yes","NO ORDER"),"")</f>
        <v>Yes</v>
      </c>
    </row>
    <row r="5676" spans="1:17" ht="15" customHeight="1" x14ac:dyDescent="0.3">
      <c r="A5676" s="23" t="s">
        <v>18949</v>
      </c>
      <c r="B5676" s="23"/>
      <c r="C5676" s="23" t="s">
        <v>18950</v>
      </c>
      <c r="D5676" s="23" t="str">
        <f t="shared" si="264"/>
        <v>ORD26004896</v>
      </c>
      <c r="E5676" s="38">
        <v>46295</v>
      </c>
      <c r="F5676" s="23" t="s">
        <v>12410</v>
      </c>
      <c r="G5676" s="23" t="s">
        <v>75</v>
      </c>
      <c r="H5676" s="24">
        <v>4999</v>
      </c>
      <c r="I5676" s="24">
        <v>15</v>
      </c>
      <c r="J5676" s="24">
        <v>2.7</v>
      </c>
      <c r="K5676" s="24">
        <v>4981.3</v>
      </c>
      <c r="L5676" s="38">
        <v>46297</v>
      </c>
      <c r="M5676" s="23" t="s">
        <v>110</v>
      </c>
      <c r="N5676" s="23" t="str">
        <f>IF(COUNTIF($A$2:A5676,A5676)&gt;1,"DUP","OK")</f>
        <v>OK</v>
      </c>
      <c r="O5676" s="23" t="str">
        <f t="shared" si="265"/>
        <v>ORD26004896</v>
      </c>
      <c r="P5676" s="23" t="str">
        <f t="shared" si="266"/>
        <v>Oct-Due</v>
      </c>
      <c r="Q5676" s="23" t="str">
        <f>IF(F5676="CAPTURE",IF(COUNTIF(orders!$A:$A,O5676)&gt;0,"Yes","NO ORDER"),"")</f>
        <v>Yes</v>
      </c>
    </row>
    <row r="5677" spans="1:17" ht="15" customHeight="1" x14ac:dyDescent="0.3">
      <c r="A5677" s="23" t="s">
        <v>18951</v>
      </c>
      <c r="B5677" s="23"/>
      <c r="C5677" s="23" t="s">
        <v>10269</v>
      </c>
      <c r="D5677" s="23" t="str">
        <f t="shared" si="264"/>
        <v>ORD26004906</v>
      </c>
      <c r="E5677" s="38">
        <v>46295</v>
      </c>
      <c r="F5677" s="23" t="s">
        <v>12410</v>
      </c>
      <c r="G5677" s="23" t="s">
        <v>77</v>
      </c>
      <c r="H5677" s="24">
        <v>2397</v>
      </c>
      <c r="I5677" s="24">
        <v>40.75</v>
      </c>
      <c r="J5677" s="24">
        <v>7.34</v>
      </c>
      <c r="K5677" s="24">
        <v>2348.91</v>
      </c>
      <c r="L5677" s="38">
        <v>46297</v>
      </c>
      <c r="M5677" s="23" t="s">
        <v>110</v>
      </c>
      <c r="N5677" s="23" t="str">
        <f>IF(COUNTIF($A$2:A5677,A5677)&gt;1,"DUP","OK")</f>
        <v>OK</v>
      </c>
      <c r="O5677" s="23" t="str">
        <f t="shared" si="265"/>
        <v>ORD26004906</v>
      </c>
      <c r="P5677" s="23" t="str">
        <f t="shared" si="266"/>
        <v>Oct-Due</v>
      </c>
      <c r="Q5677" s="23" t="str">
        <f>IF(F5677="CAPTURE",IF(COUNTIF(orders!$A:$A,O5677)&gt;0,"Yes","NO ORDER"),"")</f>
        <v>Yes</v>
      </c>
    </row>
    <row r="5678" spans="1:17" ht="15" customHeight="1" x14ac:dyDescent="0.3">
      <c r="A5678" s="23" t="s">
        <v>18952</v>
      </c>
      <c r="B5678" s="23"/>
      <c r="C5678" s="23" t="s">
        <v>10286</v>
      </c>
      <c r="D5678" s="23" t="str">
        <f t="shared" si="264"/>
        <v>ORD26004915</v>
      </c>
      <c r="E5678" s="38">
        <v>46295</v>
      </c>
      <c r="F5678" s="23" t="s">
        <v>12410</v>
      </c>
      <c r="G5678" s="23" t="s">
        <v>79</v>
      </c>
      <c r="H5678" s="24">
        <v>1299</v>
      </c>
      <c r="I5678" s="24">
        <v>23.38</v>
      </c>
      <c r="J5678" s="24">
        <v>4.21</v>
      </c>
      <c r="K5678" s="24">
        <v>1271.4100000000001</v>
      </c>
      <c r="L5678" s="38">
        <v>46297</v>
      </c>
      <c r="M5678" s="23" t="s">
        <v>110</v>
      </c>
      <c r="N5678" s="23" t="str">
        <f>IF(COUNTIF($A$2:A5678,A5678)&gt;1,"DUP","OK")</f>
        <v>OK</v>
      </c>
      <c r="O5678" s="23" t="str">
        <f t="shared" si="265"/>
        <v>ORD26004915</v>
      </c>
      <c r="P5678" s="23" t="str">
        <f t="shared" si="266"/>
        <v>Oct-Due</v>
      </c>
      <c r="Q5678" s="23" t="str">
        <f>IF(F5678="CAPTURE",IF(COUNTIF(orders!$A:$A,O5678)&gt;0,"Yes","NO ORDER"),"")</f>
        <v>Yes</v>
      </c>
    </row>
    <row r="5679" spans="1:17" ht="15" customHeight="1" x14ac:dyDescent="0.3">
      <c r="A5679" s="23" t="s">
        <v>18953</v>
      </c>
      <c r="B5679" s="23"/>
      <c r="C5679" s="23" t="s">
        <v>10312</v>
      </c>
      <c r="D5679" s="23" t="str">
        <f t="shared" si="264"/>
        <v>ORD26004928</v>
      </c>
      <c r="E5679" s="38">
        <v>46295</v>
      </c>
      <c r="F5679" s="23" t="s">
        <v>12410</v>
      </c>
      <c r="G5679" s="23" t="s">
        <v>81</v>
      </c>
      <c r="H5679" s="24">
        <v>999</v>
      </c>
      <c r="I5679" s="24">
        <v>14.99</v>
      </c>
      <c r="J5679" s="24">
        <v>2.7</v>
      </c>
      <c r="K5679" s="24">
        <v>981.31</v>
      </c>
      <c r="L5679" s="38">
        <v>46297</v>
      </c>
      <c r="M5679" s="23" t="s">
        <v>110</v>
      </c>
      <c r="N5679" s="23" t="str">
        <f>IF(COUNTIF($A$2:A5679,A5679)&gt;1,"DUP","OK")</f>
        <v>OK</v>
      </c>
      <c r="O5679" s="23" t="str">
        <f t="shared" si="265"/>
        <v>ORD26004928</v>
      </c>
      <c r="P5679" s="23" t="str">
        <f t="shared" si="266"/>
        <v>Oct-Due</v>
      </c>
      <c r="Q5679" s="23" t="str">
        <f>IF(F5679="CAPTURE",IF(COUNTIF(orders!$A:$A,O5679)&gt;0,"Yes","NO ORDER"),"")</f>
        <v>Yes</v>
      </c>
    </row>
    <row r="5680" spans="1:17" ht="15" customHeight="1" x14ac:dyDescent="0.3">
      <c r="A5680" s="23" t="s">
        <v>18954</v>
      </c>
      <c r="B5680" s="23"/>
      <c r="C5680" s="23" t="s">
        <v>18955</v>
      </c>
      <c r="D5680" s="23" t="str">
        <f t="shared" si="264"/>
        <v>ORD26004931</v>
      </c>
      <c r="E5680" s="38">
        <v>46295</v>
      </c>
      <c r="F5680" s="23" t="s">
        <v>12410</v>
      </c>
      <c r="G5680" s="23" t="s">
        <v>75</v>
      </c>
      <c r="H5680" s="24">
        <v>599</v>
      </c>
      <c r="I5680" s="24">
        <v>0</v>
      </c>
      <c r="J5680" s="24">
        <v>0</v>
      </c>
      <c r="K5680" s="24">
        <v>599</v>
      </c>
      <c r="L5680" s="38">
        <v>46297</v>
      </c>
      <c r="M5680" s="23" t="s">
        <v>110</v>
      </c>
      <c r="N5680" s="23" t="str">
        <f>IF(COUNTIF($A$2:A5680,A5680)&gt;1,"DUP","OK")</f>
        <v>OK</v>
      </c>
      <c r="O5680" s="23" t="str">
        <f t="shared" si="265"/>
        <v>ORD26004931</v>
      </c>
      <c r="P5680" s="23" t="str">
        <f t="shared" si="266"/>
        <v>Oct-Due</v>
      </c>
      <c r="Q5680" s="23" t="str">
        <f>IF(F5680="CAPTURE",IF(COUNTIF(orders!$A:$A,O5680)&gt;0,"Yes","NO ORDER"),"")</f>
        <v>Yes</v>
      </c>
    </row>
    <row r="5681" spans="1:17" ht="15" customHeight="1" x14ac:dyDescent="0.3">
      <c r="A5681" s="23" t="s">
        <v>18956</v>
      </c>
      <c r="B5681" s="23"/>
      <c r="C5681" s="23" t="s">
        <v>10347</v>
      </c>
      <c r="D5681" s="23" t="str">
        <f t="shared" si="264"/>
        <v>ORD26004946</v>
      </c>
      <c r="E5681" s="38">
        <v>46295</v>
      </c>
      <c r="F5681" s="23" t="s">
        <v>12410</v>
      </c>
      <c r="G5681" s="23" t="s">
        <v>75</v>
      </c>
      <c r="H5681" s="24">
        <v>299</v>
      </c>
      <c r="I5681" s="24">
        <v>0</v>
      </c>
      <c r="J5681" s="24">
        <v>0</v>
      </c>
      <c r="K5681" s="24">
        <v>299</v>
      </c>
      <c r="L5681" s="38">
        <v>46297</v>
      </c>
      <c r="M5681" s="23" t="s">
        <v>110</v>
      </c>
      <c r="N5681" s="23" t="str">
        <f>IF(COUNTIF($A$2:A5681,A5681)&gt;1,"DUP","OK")</f>
        <v>OK</v>
      </c>
      <c r="O5681" s="23" t="str">
        <f t="shared" si="265"/>
        <v>ORD26004946</v>
      </c>
      <c r="P5681" s="23" t="str">
        <f t="shared" si="266"/>
        <v>Oct-Due</v>
      </c>
      <c r="Q5681" s="23" t="str">
        <f>IF(F5681="CAPTURE",IF(COUNTIF(orders!$A:$A,O5681)&gt;0,"Yes","NO ORDER"),"")</f>
        <v>Yes</v>
      </c>
    </row>
    <row r="5682" spans="1:17" ht="15" customHeight="1" x14ac:dyDescent="0.3">
      <c r="A5682" s="23" t="s">
        <v>18957</v>
      </c>
      <c r="B5682" s="23"/>
      <c r="C5682" s="23" t="s">
        <v>10441</v>
      </c>
      <c r="D5682" s="23" t="str">
        <f t="shared" si="264"/>
        <v>ORD26004994</v>
      </c>
      <c r="E5682" s="38">
        <v>46295</v>
      </c>
      <c r="F5682" s="23" t="s">
        <v>12410</v>
      </c>
      <c r="G5682" s="23" t="s">
        <v>75</v>
      </c>
      <c r="H5682" s="24">
        <v>499</v>
      </c>
      <c r="I5682" s="24">
        <v>0</v>
      </c>
      <c r="J5682" s="24">
        <v>0</v>
      </c>
      <c r="K5682" s="24">
        <v>499</v>
      </c>
      <c r="L5682" s="38">
        <v>46297</v>
      </c>
      <c r="M5682" s="23" t="s">
        <v>110</v>
      </c>
      <c r="N5682" s="23" t="str">
        <f>IF(COUNTIF($A$2:A5682,A5682)&gt;1,"DUP","OK")</f>
        <v>OK</v>
      </c>
      <c r="O5682" s="23" t="str">
        <f t="shared" si="265"/>
        <v>ORD26004994</v>
      </c>
      <c r="P5682" s="23" t="str">
        <f t="shared" si="266"/>
        <v>Oct-Due</v>
      </c>
      <c r="Q5682" s="23" t="str">
        <f>IF(F5682="CAPTURE",IF(COUNTIF(orders!$A:$A,O5682)&gt;0,"Yes","NO ORDER"),"")</f>
        <v>Yes</v>
      </c>
    </row>
    <row r="5683" spans="1:17" ht="15" customHeight="1" x14ac:dyDescent="0.3">
      <c r="A5683" s="23" t="s">
        <v>18958</v>
      </c>
      <c r="B5683" s="23"/>
      <c r="C5683" s="23" t="s">
        <v>18959</v>
      </c>
      <c r="D5683" s="23" t="str">
        <f t="shared" si="264"/>
        <v>ORD26005011</v>
      </c>
      <c r="E5683" s="38">
        <v>46295</v>
      </c>
      <c r="F5683" s="23" t="s">
        <v>12410</v>
      </c>
      <c r="G5683" s="23" t="s">
        <v>81</v>
      </c>
      <c r="H5683" s="24">
        <v>999</v>
      </c>
      <c r="I5683" s="24">
        <v>14.99</v>
      </c>
      <c r="J5683" s="24">
        <v>2.7</v>
      </c>
      <c r="K5683" s="24">
        <v>981.31</v>
      </c>
      <c r="L5683" s="38">
        <v>46297</v>
      </c>
      <c r="M5683" s="23" t="s">
        <v>110</v>
      </c>
      <c r="N5683" s="23" t="str">
        <f>IF(COUNTIF($A$2:A5683,A5683)&gt;1,"DUP","OK")</f>
        <v>OK</v>
      </c>
      <c r="O5683" s="23" t="str">
        <f t="shared" si="265"/>
        <v>ORD26005011</v>
      </c>
      <c r="P5683" s="23" t="str">
        <f t="shared" si="266"/>
        <v>Oct-Due</v>
      </c>
      <c r="Q5683" s="23" t="str">
        <f>IF(F5683="CAPTURE",IF(COUNTIF(orders!$A:$A,O5683)&gt;0,"Yes","NO ORDER"),"")</f>
        <v>Yes</v>
      </c>
    </row>
    <row r="5684" spans="1:17" ht="15" customHeight="1" x14ac:dyDescent="0.3">
      <c r="A5684" s="23" t="s">
        <v>18960</v>
      </c>
      <c r="B5684" s="23"/>
      <c r="C5684" s="23" t="s">
        <v>10560</v>
      </c>
      <c r="D5684" s="23" t="str">
        <f t="shared" si="264"/>
        <v>ORD26005057</v>
      </c>
      <c r="E5684" s="38">
        <v>46295</v>
      </c>
      <c r="F5684" s="23" t="s">
        <v>12410</v>
      </c>
      <c r="G5684" s="23" t="s">
        <v>79</v>
      </c>
      <c r="H5684" s="24">
        <v>3498</v>
      </c>
      <c r="I5684" s="24">
        <v>55.97</v>
      </c>
      <c r="J5684" s="24">
        <v>10.07</v>
      </c>
      <c r="K5684" s="24">
        <v>3431.96</v>
      </c>
      <c r="L5684" s="38">
        <v>46297</v>
      </c>
      <c r="M5684" s="23" t="s">
        <v>110</v>
      </c>
      <c r="N5684" s="23" t="str">
        <f>IF(COUNTIF($A$2:A5684,A5684)&gt;1,"DUP","OK")</f>
        <v>OK</v>
      </c>
      <c r="O5684" s="23" t="str">
        <f t="shared" si="265"/>
        <v>ORD26005057</v>
      </c>
      <c r="P5684" s="23" t="str">
        <f t="shared" si="266"/>
        <v>Oct-Due</v>
      </c>
      <c r="Q5684" s="23" t="str">
        <f>IF(F5684="CAPTURE",IF(COUNTIF(orders!$A:$A,O5684)&gt;0,"Yes","NO ORDER"),"")</f>
        <v>Yes</v>
      </c>
    </row>
    <row r="5685" spans="1:17" ht="15" customHeight="1" x14ac:dyDescent="0.3">
      <c r="A5685" s="23" t="s">
        <v>18961</v>
      </c>
      <c r="B5685" s="23"/>
      <c r="C5685" s="23" t="s">
        <v>10617</v>
      </c>
      <c r="D5685" s="23" t="str">
        <f t="shared" si="264"/>
        <v>ORD26005086</v>
      </c>
      <c r="E5685" s="38">
        <v>46295</v>
      </c>
      <c r="F5685" s="23" t="s">
        <v>12410</v>
      </c>
      <c r="G5685" s="23" t="s">
        <v>75</v>
      </c>
      <c r="H5685" s="24">
        <v>648</v>
      </c>
      <c r="I5685" s="24">
        <v>0</v>
      </c>
      <c r="J5685" s="24">
        <v>0</v>
      </c>
      <c r="K5685" s="24">
        <v>648</v>
      </c>
      <c r="L5685" s="38">
        <v>46297</v>
      </c>
      <c r="M5685" s="23" t="s">
        <v>110</v>
      </c>
      <c r="N5685" s="23" t="str">
        <f>IF(COUNTIF($A$2:A5685,A5685)&gt;1,"DUP","OK")</f>
        <v>OK</v>
      </c>
      <c r="O5685" s="23" t="str">
        <f t="shared" si="265"/>
        <v>ORD26005086</v>
      </c>
      <c r="P5685" s="23" t="str">
        <f t="shared" si="266"/>
        <v>Oct-Due</v>
      </c>
      <c r="Q5685" s="23" t="str">
        <f>IF(F5685="CAPTURE",IF(COUNTIF(orders!$A:$A,O5685)&gt;0,"Yes","NO ORDER"),"")</f>
        <v>Yes</v>
      </c>
    </row>
    <row r="5686" spans="1:17" ht="15" customHeight="1" x14ac:dyDescent="0.3">
      <c r="A5686" s="23" t="s">
        <v>18962</v>
      </c>
      <c r="B5686" s="23"/>
      <c r="C5686" s="23" t="s">
        <v>10709</v>
      </c>
      <c r="D5686" s="23" t="str">
        <f t="shared" si="264"/>
        <v>ORD26005133</v>
      </c>
      <c r="E5686" s="38">
        <v>46295</v>
      </c>
      <c r="F5686" s="23" t="s">
        <v>12410</v>
      </c>
      <c r="G5686" s="23" t="s">
        <v>75</v>
      </c>
      <c r="H5686" s="24">
        <v>4498</v>
      </c>
      <c r="I5686" s="24">
        <v>13.49</v>
      </c>
      <c r="J5686" s="24">
        <v>2.4300000000000002</v>
      </c>
      <c r="K5686" s="24">
        <v>4482.08</v>
      </c>
      <c r="L5686" s="38">
        <v>46297</v>
      </c>
      <c r="M5686" s="23" t="s">
        <v>110</v>
      </c>
      <c r="N5686" s="23" t="str">
        <f>IF(COUNTIF($A$2:A5686,A5686)&gt;1,"DUP","OK")</f>
        <v>OK</v>
      </c>
      <c r="O5686" s="23" t="str">
        <f t="shared" si="265"/>
        <v>ORD26005133</v>
      </c>
      <c r="P5686" s="23" t="str">
        <f t="shared" si="266"/>
        <v>Oct-Due</v>
      </c>
      <c r="Q5686" s="23" t="str">
        <f>IF(F5686="CAPTURE",IF(COUNTIF(orders!$A:$A,O5686)&gt;0,"Yes","NO ORDER"),"")</f>
        <v>Yes</v>
      </c>
    </row>
    <row r="5687" spans="1:17" ht="15" customHeight="1" x14ac:dyDescent="0.3">
      <c r="A5687" s="23" t="s">
        <v>18963</v>
      </c>
      <c r="B5687" s="23"/>
      <c r="C5687" s="23" t="s">
        <v>10794</v>
      </c>
      <c r="D5687" s="23" t="str">
        <f t="shared" si="264"/>
        <v>ORD26005177</v>
      </c>
      <c r="E5687" s="38">
        <v>46295</v>
      </c>
      <c r="F5687" s="23" t="s">
        <v>12410</v>
      </c>
      <c r="G5687" s="23" t="s">
        <v>81</v>
      </c>
      <c r="H5687" s="24">
        <v>6797</v>
      </c>
      <c r="I5687" s="24">
        <v>81.56</v>
      </c>
      <c r="J5687" s="24">
        <v>14.68</v>
      </c>
      <c r="K5687" s="24">
        <v>6700.76</v>
      </c>
      <c r="L5687" s="38">
        <v>46297</v>
      </c>
      <c r="M5687" s="23" t="s">
        <v>110</v>
      </c>
      <c r="N5687" s="23" t="str">
        <f>IF(COUNTIF($A$2:A5687,A5687)&gt;1,"DUP","OK")</f>
        <v>OK</v>
      </c>
      <c r="O5687" s="23" t="str">
        <f t="shared" si="265"/>
        <v>ORD26005177</v>
      </c>
      <c r="P5687" s="23" t="str">
        <f t="shared" si="266"/>
        <v>Oct-Due</v>
      </c>
      <c r="Q5687" s="23" t="str">
        <f>IF(F5687="CAPTURE",IF(COUNTIF(orders!$A:$A,O5687)&gt;0,"Yes","NO ORDER"),"")</f>
        <v>Yes</v>
      </c>
    </row>
    <row r="5688" spans="1:17" ht="15" customHeight="1" x14ac:dyDescent="0.3">
      <c r="A5688" s="23" t="s">
        <v>18964</v>
      </c>
      <c r="B5688" s="23"/>
      <c r="C5688" s="23" t="s">
        <v>10854</v>
      </c>
      <c r="D5688" s="23" t="str">
        <f t="shared" si="264"/>
        <v>ORD26005207</v>
      </c>
      <c r="E5688" s="38">
        <v>46295</v>
      </c>
      <c r="F5688" s="23" t="s">
        <v>12410</v>
      </c>
      <c r="G5688" s="23" t="s">
        <v>77</v>
      </c>
      <c r="H5688" s="24">
        <v>2897</v>
      </c>
      <c r="I5688" s="24">
        <v>49.25</v>
      </c>
      <c r="J5688" s="24">
        <v>8.8699999999999992</v>
      </c>
      <c r="K5688" s="24">
        <v>2838.88</v>
      </c>
      <c r="L5688" s="38">
        <v>46297</v>
      </c>
      <c r="M5688" s="23" t="s">
        <v>110</v>
      </c>
      <c r="N5688" s="23" t="str">
        <f>IF(COUNTIF($A$2:A5688,A5688)&gt;1,"DUP","OK")</f>
        <v>OK</v>
      </c>
      <c r="O5688" s="23" t="str">
        <f t="shared" si="265"/>
        <v>ORD26005207</v>
      </c>
      <c r="P5688" s="23" t="str">
        <f t="shared" si="266"/>
        <v>Oct-Due</v>
      </c>
      <c r="Q5688" s="23" t="str">
        <f>IF(F5688="CAPTURE",IF(COUNTIF(orders!$A:$A,O5688)&gt;0,"Yes","NO ORDER"),"")</f>
        <v>Yes</v>
      </c>
    </row>
    <row r="5689" spans="1:17" ht="15" customHeight="1" x14ac:dyDescent="0.3">
      <c r="A5689" s="23" t="s">
        <v>18965</v>
      </c>
      <c r="B5689" s="23"/>
      <c r="C5689" s="23" t="s">
        <v>10986</v>
      </c>
      <c r="D5689" s="23" t="str">
        <f t="shared" si="264"/>
        <v>ORD26005275</v>
      </c>
      <c r="E5689" s="38">
        <v>46295</v>
      </c>
      <c r="F5689" s="23" t="s">
        <v>12410</v>
      </c>
      <c r="G5689" s="23" t="s">
        <v>75</v>
      </c>
      <c r="H5689" s="24">
        <v>2499</v>
      </c>
      <c r="I5689" s="24">
        <v>7.5</v>
      </c>
      <c r="J5689" s="24">
        <v>1.35</v>
      </c>
      <c r="K5689" s="24">
        <v>2490.15</v>
      </c>
      <c r="L5689" s="38">
        <v>46297</v>
      </c>
      <c r="M5689" s="23" t="s">
        <v>110</v>
      </c>
      <c r="N5689" s="23" t="str">
        <f>IF(COUNTIF($A$2:A5689,A5689)&gt;1,"DUP","OK")</f>
        <v>OK</v>
      </c>
      <c r="O5689" s="23" t="str">
        <f t="shared" si="265"/>
        <v>ORD26005275</v>
      </c>
      <c r="P5689" s="23" t="str">
        <f t="shared" si="266"/>
        <v>Oct-Due</v>
      </c>
      <c r="Q5689" s="23" t="str">
        <f>IF(F5689="CAPTURE",IF(COUNTIF(orders!$A:$A,O5689)&gt;0,"Yes","NO ORDER"),"")</f>
        <v>Yes</v>
      </c>
    </row>
    <row r="5690" spans="1:17" ht="15" customHeight="1" x14ac:dyDescent="0.3">
      <c r="A5690" s="23" t="s">
        <v>18966</v>
      </c>
      <c r="B5690" s="23"/>
      <c r="C5690" s="23" t="s">
        <v>11029</v>
      </c>
      <c r="D5690" s="23" t="str">
        <f t="shared" si="264"/>
        <v>ORD26005298</v>
      </c>
      <c r="E5690" s="38">
        <v>46295</v>
      </c>
      <c r="F5690" s="23" t="s">
        <v>12410</v>
      </c>
      <c r="G5690" s="23" t="s">
        <v>77</v>
      </c>
      <c r="H5690" s="24">
        <v>2398</v>
      </c>
      <c r="I5690" s="24">
        <v>57.55</v>
      </c>
      <c r="J5690" s="24">
        <v>10.36</v>
      </c>
      <c r="K5690" s="24">
        <v>2330.09</v>
      </c>
      <c r="L5690" s="38">
        <v>46297</v>
      </c>
      <c r="M5690" s="23" t="s">
        <v>110</v>
      </c>
      <c r="N5690" s="23" t="str">
        <f>IF(COUNTIF($A$2:A5690,A5690)&gt;1,"DUP","OK")</f>
        <v>OK</v>
      </c>
      <c r="O5690" s="23" t="str">
        <f t="shared" si="265"/>
        <v>ORD26005298</v>
      </c>
      <c r="P5690" s="23" t="str">
        <f t="shared" si="266"/>
        <v>Oct-Due</v>
      </c>
      <c r="Q5690" s="23" t="str">
        <f>IF(F5690="CAPTURE",IF(COUNTIF(orders!$A:$A,O5690)&gt;0,"Yes","NO ORDER"),"")</f>
        <v>Yes</v>
      </c>
    </row>
    <row r="5691" spans="1:17" ht="15" customHeight="1" x14ac:dyDescent="0.3">
      <c r="A5691" s="23" t="s">
        <v>18967</v>
      </c>
      <c r="B5691" s="23"/>
      <c r="C5691" s="23" t="s">
        <v>11071</v>
      </c>
      <c r="D5691" s="23" t="str">
        <f t="shared" si="264"/>
        <v>ORD26005319</v>
      </c>
      <c r="E5691" s="38">
        <v>46295</v>
      </c>
      <c r="F5691" s="23" t="s">
        <v>12410</v>
      </c>
      <c r="G5691" s="23" t="s">
        <v>75</v>
      </c>
      <c r="H5691" s="24">
        <v>999</v>
      </c>
      <c r="I5691" s="24">
        <v>0</v>
      </c>
      <c r="J5691" s="24">
        <v>0</v>
      </c>
      <c r="K5691" s="24">
        <v>999</v>
      </c>
      <c r="L5691" s="38">
        <v>46297</v>
      </c>
      <c r="M5691" s="23" t="s">
        <v>110</v>
      </c>
      <c r="N5691" s="23" t="str">
        <f>IF(COUNTIF($A$2:A5691,A5691)&gt;1,"DUP","OK")</f>
        <v>OK</v>
      </c>
      <c r="O5691" s="23" t="str">
        <f t="shared" si="265"/>
        <v>ORD26005319</v>
      </c>
      <c r="P5691" s="23" t="str">
        <f t="shared" si="266"/>
        <v>Oct-Due</v>
      </c>
      <c r="Q5691" s="23" t="str">
        <f>IF(F5691="CAPTURE",IF(COUNTIF(orders!$A:$A,O5691)&gt;0,"Yes","NO ORDER"),"")</f>
        <v>Yes</v>
      </c>
    </row>
    <row r="5692" spans="1:17" ht="15" customHeight="1" x14ac:dyDescent="0.3">
      <c r="A5692" s="23" t="s">
        <v>18968</v>
      </c>
      <c r="B5692" s="23"/>
      <c r="C5692" s="23" t="s">
        <v>11089</v>
      </c>
      <c r="D5692" s="23" t="str">
        <f t="shared" si="264"/>
        <v>ORD26005328</v>
      </c>
      <c r="E5692" s="38">
        <v>46295</v>
      </c>
      <c r="F5692" s="23" t="s">
        <v>12410</v>
      </c>
      <c r="G5692" s="23" t="s">
        <v>77</v>
      </c>
      <c r="H5692" s="24">
        <v>1799</v>
      </c>
      <c r="I5692" s="24">
        <v>34.18</v>
      </c>
      <c r="J5692" s="24">
        <v>6.15</v>
      </c>
      <c r="K5692" s="24">
        <v>1758.67</v>
      </c>
      <c r="L5692" s="38">
        <v>46297</v>
      </c>
      <c r="M5692" s="23" t="s">
        <v>110</v>
      </c>
      <c r="N5692" s="23" t="str">
        <f>IF(COUNTIF($A$2:A5692,A5692)&gt;1,"DUP","OK")</f>
        <v>OK</v>
      </c>
      <c r="O5692" s="23" t="str">
        <f t="shared" si="265"/>
        <v>ORD26005328</v>
      </c>
      <c r="P5692" s="23" t="str">
        <f t="shared" si="266"/>
        <v>Oct-Due</v>
      </c>
      <c r="Q5692" s="23" t="str">
        <f>IF(F5692="CAPTURE",IF(COUNTIF(orders!$A:$A,O5692)&gt;0,"Yes","NO ORDER"),"")</f>
        <v>Yes</v>
      </c>
    </row>
    <row r="5693" spans="1:17" ht="15" customHeight="1" x14ac:dyDescent="0.3">
      <c r="A5693" s="23" t="s">
        <v>18969</v>
      </c>
      <c r="B5693" s="23"/>
      <c r="C5693" s="23" t="s">
        <v>11091</v>
      </c>
      <c r="D5693" s="23" t="str">
        <f t="shared" si="264"/>
        <v>ORD26005329</v>
      </c>
      <c r="E5693" s="38">
        <v>46295</v>
      </c>
      <c r="F5693" s="23" t="s">
        <v>12410</v>
      </c>
      <c r="G5693" s="23" t="s">
        <v>75</v>
      </c>
      <c r="H5693" s="24">
        <v>599</v>
      </c>
      <c r="I5693" s="24">
        <v>0</v>
      </c>
      <c r="J5693" s="24">
        <v>0</v>
      </c>
      <c r="K5693" s="24">
        <v>599</v>
      </c>
      <c r="L5693" s="38">
        <v>46297</v>
      </c>
      <c r="M5693" s="23" t="s">
        <v>110</v>
      </c>
      <c r="N5693" s="23" t="str">
        <f>IF(COUNTIF($A$2:A5693,A5693)&gt;1,"DUP","OK")</f>
        <v>OK</v>
      </c>
      <c r="O5693" s="23" t="str">
        <f t="shared" si="265"/>
        <v>ORD26005329</v>
      </c>
      <c r="P5693" s="23" t="str">
        <f t="shared" si="266"/>
        <v>Oct-Due</v>
      </c>
      <c r="Q5693" s="23" t="str">
        <f>IF(F5693="CAPTURE",IF(COUNTIF(orders!$A:$A,O5693)&gt;0,"Yes","NO ORDER"),"")</f>
        <v>Yes</v>
      </c>
    </row>
    <row r="5694" spans="1:17" ht="15" customHeight="1" x14ac:dyDescent="0.3">
      <c r="A5694" s="23" t="s">
        <v>18970</v>
      </c>
      <c r="B5694" s="23"/>
      <c r="C5694" s="23" t="s">
        <v>11111</v>
      </c>
      <c r="D5694" s="23" t="str">
        <f t="shared" si="264"/>
        <v>ORD26005339</v>
      </c>
      <c r="E5694" s="38">
        <v>46295</v>
      </c>
      <c r="F5694" s="23" t="s">
        <v>12410</v>
      </c>
      <c r="G5694" s="23" t="s">
        <v>79</v>
      </c>
      <c r="H5694" s="24">
        <v>3499</v>
      </c>
      <c r="I5694" s="24">
        <v>55.98</v>
      </c>
      <c r="J5694" s="24">
        <v>10.08</v>
      </c>
      <c r="K5694" s="24">
        <v>3432.94</v>
      </c>
      <c r="L5694" s="38">
        <v>46297</v>
      </c>
      <c r="M5694" s="23" t="s">
        <v>110</v>
      </c>
      <c r="N5694" s="23" t="str">
        <f>IF(COUNTIF($A$2:A5694,A5694)&gt;1,"DUP","OK")</f>
        <v>OK</v>
      </c>
      <c r="O5694" s="23" t="str">
        <f t="shared" si="265"/>
        <v>ORD26005339</v>
      </c>
      <c r="P5694" s="23" t="str">
        <f t="shared" si="266"/>
        <v>Oct-Due</v>
      </c>
      <c r="Q5694" s="23" t="str">
        <f>IF(F5694="CAPTURE",IF(COUNTIF(orders!$A:$A,O5694)&gt;0,"Yes","NO ORDER"),"")</f>
        <v>Yes</v>
      </c>
    </row>
    <row r="5695" spans="1:17" ht="15" customHeight="1" x14ac:dyDescent="0.3">
      <c r="A5695" s="23" t="s">
        <v>18971</v>
      </c>
      <c r="B5695" s="23"/>
      <c r="C5695" s="23" t="s">
        <v>11126</v>
      </c>
      <c r="D5695" s="23" t="str">
        <f t="shared" si="264"/>
        <v>ORD26005347</v>
      </c>
      <c r="E5695" s="38">
        <v>46295</v>
      </c>
      <c r="F5695" s="23" t="s">
        <v>12410</v>
      </c>
      <c r="G5695" s="23" t="s">
        <v>79</v>
      </c>
      <c r="H5695" s="24">
        <v>3499</v>
      </c>
      <c r="I5695" s="24">
        <v>55.98</v>
      </c>
      <c r="J5695" s="24">
        <v>10.08</v>
      </c>
      <c r="K5695" s="24">
        <v>3432.94</v>
      </c>
      <c r="L5695" s="38">
        <v>46297</v>
      </c>
      <c r="M5695" s="23" t="s">
        <v>110</v>
      </c>
      <c r="N5695" s="23" t="str">
        <f>IF(COUNTIF($A$2:A5695,A5695)&gt;1,"DUP","OK")</f>
        <v>OK</v>
      </c>
      <c r="O5695" s="23" t="str">
        <f t="shared" si="265"/>
        <v>ORD26005347</v>
      </c>
      <c r="P5695" s="23" t="str">
        <f t="shared" si="266"/>
        <v>Oct-Due</v>
      </c>
      <c r="Q5695" s="23" t="str">
        <f>IF(F5695="CAPTURE",IF(COUNTIF(orders!$A:$A,O5695)&gt;0,"Yes","NO ORDER"),"")</f>
        <v>Yes</v>
      </c>
    </row>
    <row r="5696" spans="1:17" ht="15" customHeight="1" x14ac:dyDescent="0.3">
      <c r="A5696" s="23" t="s">
        <v>18972</v>
      </c>
      <c r="B5696" s="23"/>
      <c r="C5696" s="23" t="s">
        <v>11130</v>
      </c>
      <c r="D5696" s="23" t="str">
        <f t="shared" si="264"/>
        <v>ORD26005349</v>
      </c>
      <c r="E5696" s="38">
        <v>46295</v>
      </c>
      <c r="F5696" s="23" t="s">
        <v>12410</v>
      </c>
      <c r="G5696" s="23" t="s">
        <v>75</v>
      </c>
      <c r="H5696" s="24">
        <v>599</v>
      </c>
      <c r="I5696" s="24">
        <v>0</v>
      </c>
      <c r="J5696" s="24">
        <v>0</v>
      </c>
      <c r="K5696" s="24">
        <v>599</v>
      </c>
      <c r="L5696" s="38">
        <v>46297</v>
      </c>
      <c r="M5696" s="23" t="s">
        <v>110</v>
      </c>
      <c r="N5696" s="23" t="str">
        <f>IF(COUNTIF($A$2:A5696,A5696)&gt;1,"DUP","OK")</f>
        <v>OK</v>
      </c>
      <c r="O5696" s="23" t="str">
        <f t="shared" si="265"/>
        <v>ORD26005349</v>
      </c>
      <c r="P5696" s="23" t="str">
        <f t="shared" si="266"/>
        <v>Oct-Due</v>
      </c>
      <c r="Q5696" s="23" t="str">
        <f>IF(F5696="CAPTURE",IF(COUNTIF(orders!$A:$A,O5696)&gt;0,"Yes","NO ORDER"),"")</f>
        <v>Yes</v>
      </c>
    </row>
    <row r="5697" spans="1:17" ht="15" customHeight="1" x14ac:dyDescent="0.3">
      <c r="A5697" s="23" t="s">
        <v>18973</v>
      </c>
      <c r="B5697" s="23"/>
      <c r="C5697" s="23" t="s">
        <v>11203</v>
      </c>
      <c r="D5697" s="23" t="str">
        <f t="shared" si="264"/>
        <v>ORD26005385</v>
      </c>
      <c r="E5697" s="38">
        <v>46295</v>
      </c>
      <c r="F5697" s="23" t="s">
        <v>12410</v>
      </c>
      <c r="G5697" s="23" t="s">
        <v>79</v>
      </c>
      <c r="H5697" s="24">
        <v>3098</v>
      </c>
      <c r="I5697" s="24">
        <v>49.57</v>
      </c>
      <c r="J5697" s="24">
        <v>8.92</v>
      </c>
      <c r="K5697" s="24">
        <v>3039.51</v>
      </c>
      <c r="L5697" s="38">
        <v>46297</v>
      </c>
      <c r="M5697" s="23" t="s">
        <v>110</v>
      </c>
      <c r="N5697" s="23" t="str">
        <f>IF(COUNTIF($A$2:A5697,A5697)&gt;1,"DUP","OK")</f>
        <v>OK</v>
      </c>
      <c r="O5697" s="23" t="str">
        <f t="shared" si="265"/>
        <v>ORD26005385</v>
      </c>
      <c r="P5697" s="23" t="str">
        <f t="shared" si="266"/>
        <v>Oct-Due</v>
      </c>
      <c r="Q5697" s="23" t="str">
        <f>IF(F5697="CAPTURE",IF(COUNTIF(orders!$A:$A,O5697)&gt;0,"Yes","NO ORDER"),"")</f>
        <v>Yes</v>
      </c>
    </row>
    <row r="5698" spans="1:17" ht="15" customHeight="1" x14ac:dyDescent="0.3">
      <c r="A5698" s="23" t="s">
        <v>18974</v>
      </c>
      <c r="B5698" s="23"/>
      <c r="C5698" s="23" t="s">
        <v>11245</v>
      </c>
      <c r="D5698" s="23" t="str">
        <f t="shared" ref="D5698:D5743" si="267">UPPER(SUBSTITUTE(TRIM(C5698),"-",""))</f>
        <v>ORD26005406</v>
      </c>
      <c r="E5698" s="38">
        <v>46295</v>
      </c>
      <c r="F5698" s="23" t="s">
        <v>12410</v>
      </c>
      <c r="G5698" s="23" t="s">
        <v>75</v>
      </c>
      <c r="H5698" s="24">
        <v>7097</v>
      </c>
      <c r="I5698" s="24">
        <v>21.29</v>
      </c>
      <c r="J5698" s="24">
        <v>3.83</v>
      </c>
      <c r="K5698" s="24">
        <v>7071.88</v>
      </c>
      <c r="L5698" s="38">
        <v>46297</v>
      </c>
      <c r="M5698" s="23" t="s">
        <v>110</v>
      </c>
      <c r="N5698" s="23" t="str">
        <f>IF(COUNTIF($A$2:A5698,A5698)&gt;1,"DUP","OK")</f>
        <v>OK</v>
      </c>
      <c r="O5698" s="23" t="str">
        <f t="shared" ref="O5698:O5743" si="268">IF(F5698="REFUND",INDEX($D:$D,MATCH(B5698,$A:$A,0)),D5698)</f>
        <v>ORD26005406</v>
      </c>
      <c r="P5698" s="23" t="str">
        <f t="shared" ref="P5698:P5743" si="269">IF(L5698&gt;DATE(2026,9,30),"Oct-Due","Sep")</f>
        <v>Oct-Due</v>
      </c>
      <c r="Q5698" s="23" t="str">
        <f>IF(F5698="CAPTURE",IF(COUNTIF(orders!$A:$A,O5698)&gt;0,"Yes","NO ORDER"),"")</f>
        <v>Yes</v>
      </c>
    </row>
    <row r="5699" spans="1:17" ht="15" customHeight="1" x14ac:dyDescent="0.3">
      <c r="A5699" s="23" t="s">
        <v>18975</v>
      </c>
      <c r="B5699" s="23"/>
      <c r="C5699" s="23" t="s">
        <v>11509</v>
      </c>
      <c r="D5699" s="23" t="str">
        <f t="shared" si="267"/>
        <v>ORD26005542</v>
      </c>
      <c r="E5699" s="38">
        <v>46295</v>
      </c>
      <c r="F5699" s="23" t="s">
        <v>12410</v>
      </c>
      <c r="G5699" s="23" t="s">
        <v>79</v>
      </c>
      <c r="H5699" s="24">
        <v>7999</v>
      </c>
      <c r="I5699" s="24">
        <v>127.98</v>
      </c>
      <c r="J5699" s="24">
        <v>23.04</v>
      </c>
      <c r="K5699" s="24">
        <v>7847.98</v>
      </c>
      <c r="L5699" s="38">
        <v>46297</v>
      </c>
      <c r="M5699" s="23" t="s">
        <v>110</v>
      </c>
      <c r="N5699" s="23" t="str">
        <f>IF(COUNTIF($A$2:A5699,A5699)&gt;1,"DUP","OK")</f>
        <v>OK</v>
      </c>
      <c r="O5699" s="23" t="str">
        <f t="shared" si="268"/>
        <v>ORD26005542</v>
      </c>
      <c r="P5699" s="23" t="str">
        <f t="shared" si="269"/>
        <v>Oct-Due</v>
      </c>
      <c r="Q5699" s="23" t="str">
        <f>IF(F5699="CAPTURE",IF(COUNTIF(orders!$A:$A,O5699)&gt;0,"Yes","NO ORDER"),"")</f>
        <v>Yes</v>
      </c>
    </row>
    <row r="5700" spans="1:17" ht="15" customHeight="1" x14ac:dyDescent="0.3">
      <c r="A5700" s="23" t="s">
        <v>18976</v>
      </c>
      <c r="B5700" s="23"/>
      <c r="C5700" s="23" t="s">
        <v>11511</v>
      </c>
      <c r="D5700" s="23" t="str">
        <f t="shared" si="267"/>
        <v>ORD26005543</v>
      </c>
      <c r="E5700" s="38">
        <v>46295</v>
      </c>
      <c r="F5700" s="23" t="s">
        <v>12410</v>
      </c>
      <c r="G5700" s="23" t="s">
        <v>75</v>
      </c>
      <c r="H5700" s="24">
        <v>1499</v>
      </c>
      <c r="I5700" s="24">
        <v>0</v>
      </c>
      <c r="J5700" s="24">
        <v>0</v>
      </c>
      <c r="K5700" s="24">
        <v>1499</v>
      </c>
      <c r="L5700" s="38">
        <v>46297</v>
      </c>
      <c r="M5700" s="23" t="s">
        <v>110</v>
      </c>
      <c r="N5700" s="23" t="str">
        <f>IF(COUNTIF($A$2:A5700,A5700)&gt;1,"DUP","OK")</f>
        <v>OK</v>
      </c>
      <c r="O5700" s="23" t="str">
        <f t="shared" si="268"/>
        <v>ORD26005543</v>
      </c>
      <c r="P5700" s="23" t="str">
        <f t="shared" si="269"/>
        <v>Oct-Due</v>
      </c>
      <c r="Q5700" s="23" t="str">
        <f>IF(F5700="CAPTURE",IF(COUNTIF(orders!$A:$A,O5700)&gt;0,"Yes","NO ORDER"),"")</f>
        <v>Yes</v>
      </c>
    </row>
    <row r="5701" spans="1:17" ht="15" customHeight="1" x14ac:dyDescent="0.3">
      <c r="A5701" s="23" t="s">
        <v>18977</v>
      </c>
      <c r="B5701" s="23"/>
      <c r="C5701" s="23" t="s">
        <v>11581</v>
      </c>
      <c r="D5701" s="23" t="str">
        <f t="shared" si="267"/>
        <v>ORD26005579</v>
      </c>
      <c r="E5701" s="38">
        <v>46295</v>
      </c>
      <c r="F5701" s="23" t="s">
        <v>12410</v>
      </c>
      <c r="G5701" s="23" t="s">
        <v>75</v>
      </c>
      <c r="H5701" s="24">
        <v>2999</v>
      </c>
      <c r="I5701" s="24">
        <v>9</v>
      </c>
      <c r="J5701" s="24">
        <v>1.62</v>
      </c>
      <c r="K5701" s="24">
        <v>2988.38</v>
      </c>
      <c r="L5701" s="38">
        <v>46297</v>
      </c>
      <c r="M5701" s="23" t="s">
        <v>110</v>
      </c>
      <c r="N5701" s="23" t="str">
        <f>IF(COUNTIF($A$2:A5701,A5701)&gt;1,"DUP","OK")</f>
        <v>OK</v>
      </c>
      <c r="O5701" s="23" t="str">
        <f t="shared" si="268"/>
        <v>ORD26005579</v>
      </c>
      <c r="P5701" s="23" t="str">
        <f t="shared" si="269"/>
        <v>Oct-Due</v>
      </c>
      <c r="Q5701" s="23" t="str">
        <f>IF(F5701="CAPTURE",IF(COUNTIF(orders!$A:$A,O5701)&gt;0,"Yes","NO ORDER"),"")</f>
        <v>Yes</v>
      </c>
    </row>
    <row r="5702" spans="1:17" ht="15" customHeight="1" x14ac:dyDescent="0.3">
      <c r="A5702" s="23" t="s">
        <v>18978</v>
      </c>
      <c r="B5702" s="23"/>
      <c r="C5702" s="23" t="s">
        <v>11748</v>
      </c>
      <c r="D5702" s="23" t="str">
        <f t="shared" si="267"/>
        <v>ORD26005664</v>
      </c>
      <c r="E5702" s="38">
        <v>46295</v>
      </c>
      <c r="F5702" s="23" t="s">
        <v>12410</v>
      </c>
      <c r="G5702" s="23" t="s">
        <v>75</v>
      </c>
      <c r="H5702" s="24">
        <v>499</v>
      </c>
      <c r="I5702" s="24">
        <v>0</v>
      </c>
      <c r="J5702" s="24">
        <v>0</v>
      </c>
      <c r="K5702" s="24">
        <v>499</v>
      </c>
      <c r="L5702" s="38">
        <v>46297</v>
      </c>
      <c r="M5702" s="23" t="s">
        <v>110</v>
      </c>
      <c r="N5702" s="23" t="str">
        <f>IF(COUNTIF($A$2:A5702,A5702)&gt;1,"DUP","OK")</f>
        <v>OK</v>
      </c>
      <c r="O5702" s="23" t="str">
        <f t="shared" si="268"/>
        <v>ORD26005664</v>
      </c>
      <c r="P5702" s="23" t="str">
        <f t="shared" si="269"/>
        <v>Oct-Due</v>
      </c>
      <c r="Q5702" s="23" t="str">
        <f>IF(F5702="CAPTURE",IF(COUNTIF(orders!$A:$A,O5702)&gt;0,"Yes","NO ORDER"),"")</f>
        <v>Yes</v>
      </c>
    </row>
    <row r="5703" spans="1:17" ht="15" customHeight="1" x14ac:dyDescent="0.3">
      <c r="A5703" s="23" t="s">
        <v>18979</v>
      </c>
      <c r="B5703" s="23"/>
      <c r="C5703" s="23" t="s">
        <v>11971</v>
      </c>
      <c r="D5703" s="23" t="str">
        <f t="shared" si="267"/>
        <v>ORD26005779</v>
      </c>
      <c r="E5703" s="38">
        <v>46295</v>
      </c>
      <c r="F5703" s="23" t="s">
        <v>12410</v>
      </c>
      <c r="G5703" s="23" t="s">
        <v>79</v>
      </c>
      <c r="H5703" s="24">
        <v>299</v>
      </c>
      <c r="I5703" s="24">
        <v>5.38</v>
      </c>
      <c r="J5703" s="24">
        <v>0.97</v>
      </c>
      <c r="K5703" s="24">
        <v>292.64999999999998</v>
      </c>
      <c r="L5703" s="38">
        <v>46297</v>
      </c>
      <c r="M5703" s="23" t="s">
        <v>110</v>
      </c>
      <c r="N5703" s="23" t="str">
        <f>IF(COUNTIF($A$2:A5703,A5703)&gt;1,"DUP","OK")</f>
        <v>OK</v>
      </c>
      <c r="O5703" s="23" t="str">
        <f t="shared" si="268"/>
        <v>ORD26005779</v>
      </c>
      <c r="P5703" s="23" t="str">
        <f t="shared" si="269"/>
        <v>Oct-Due</v>
      </c>
      <c r="Q5703" s="23" t="str">
        <f>IF(F5703="CAPTURE",IF(COUNTIF(orders!$A:$A,O5703)&gt;0,"Yes","NO ORDER"),"")</f>
        <v>Yes</v>
      </c>
    </row>
    <row r="5704" spans="1:17" ht="15" customHeight="1" x14ac:dyDescent="0.3">
      <c r="A5704" s="23" t="s">
        <v>18980</v>
      </c>
      <c r="B5704" s="23"/>
      <c r="C5704" s="23" t="s">
        <v>18981</v>
      </c>
      <c r="D5704" s="23" t="str">
        <f t="shared" si="267"/>
        <v>ORD26005787</v>
      </c>
      <c r="E5704" s="38">
        <v>46295</v>
      </c>
      <c r="F5704" s="23" t="s">
        <v>12410</v>
      </c>
      <c r="G5704" s="23" t="s">
        <v>81</v>
      </c>
      <c r="H5704" s="24">
        <v>2499</v>
      </c>
      <c r="I5704" s="24">
        <v>29.99</v>
      </c>
      <c r="J5704" s="24">
        <v>5.4</v>
      </c>
      <c r="K5704" s="24">
        <v>2463.61</v>
      </c>
      <c r="L5704" s="38">
        <v>46297</v>
      </c>
      <c r="M5704" s="23" t="s">
        <v>110</v>
      </c>
      <c r="N5704" s="23" t="str">
        <f>IF(COUNTIF($A$2:A5704,A5704)&gt;1,"DUP","OK")</f>
        <v>OK</v>
      </c>
      <c r="O5704" s="23" t="str">
        <f t="shared" si="268"/>
        <v>ORD26005787</v>
      </c>
      <c r="P5704" s="23" t="str">
        <f t="shared" si="269"/>
        <v>Oct-Due</v>
      </c>
      <c r="Q5704" s="23" t="str">
        <f>IF(F5704="CAPTURE",IF(COUNTIF(orders!$A:$A,O5704)&gt;0,"Yes","NO ORDER"),"")</f>
        <v>Yes</v>
      </c>
    </row>
    <row r="5705" spans="1:17" ht="15" customHeight="1" x14ac:dyDescent="0.3">
      <c r="A5705" s="23" t="s">
        <v>18982</v>
      </c>
      <c r="B5705" s="23"/>
      <c r="C5705" s="23" t="s">
        <v>18983</v>
      </c>
      <c r="D5705" s="23" t="str">
        <f t="shared" si="267"/>
        <v>ORD26005841</v>
      </c>
      <c r="E5705" s="38">
        <v>46295</v>
      </c>
      <c r="F5705" s="23" t="s">
        <v>12410</v>
      </c>
      <c r="G5705" s="23" t="s">
        <v>77</v>
      </c>
      <c r="H5705" s="24">
        <v>999</v>
      </c>
      <c r="I5705" s="24">
        <v>18.98</v>
      </c>
      <c r="J5705" s="24">
        <v>3.42</v>
      </c>
      <c r="K5705" s="24">
        <v>976.6</v>
      </c>
      <c r="L5705" s="38">
        <v>46297</v>
      </c>
      <c r="M5705" s="23" t="s">
        <v>110</v>
      </c>
      <c r="N5705" s="23" t="str">
        <f>IF(COUNTIF($A$2:A5705,A5705)&gt;1,"DUP","OK")</f>
        <v>OK</v>
      </c>
      <c r="O5705" s="23" t="str">
        <f t="shared" si="268"/>
        <v>ORD26005841</v>
      </c>
      <c r="P5705" s="23" t="str">
        <f t="shared" si="269"/>
        <v>Oct-Due</v>
      </c>
      <c r="Q5705" s="23" t="str">
        <f>IF(F5705="CAPTURE",IF(COUNTIF(orders!$A:$A,O5705)&gt;0,"Yes","NO ORDER"),"")</f>
        <v>Yes</v>
      </c>
    </row>
    <row r="5706" spans="1:17" ht="15" customHeight="1" x14ac:dyDescent="0.3">
      <c r="A5706" s="23" t="s">
        <v>18984</v>
      </c>
      <c r="B5706" s="23"/>
      <c r="C5706" s="23" t="s">
        <v>12114</v>
      </c>
      <c r="D5706" s="23" t="str">
        <f t="shared" si="267"/>
        <v>ORD26005854</v>
      </c>
      <c r="E5706" s="38">
        <v>46295</v>
      </c>
      <c r="F5706" s="23" t="s">
        <v>12410</v>
      </c>
      <c r="G5706" s="23" t="s">
        <v>81</v>
      </c>
      <c r="H5706" s="24">
        <v>349</v>
      </c>
      <c r="I5706" s="24">
        <v>5.24</v>
      </c>
      <c r="J5706" s="24">
        <v>0.94</v>
      </c>
      <c r="K5706" s="24">
        <v>342.82</v>
      </c>
      <c r="L5706" s="38">
        <v>46297</v>
      </c>
      <c r="M5706" s="23" t="s">
        <v>110</v>
      </c>
      <c r="N5706" s="23" t="str">
        <f>IF(COUNTIF($A$2:A5706,A5706)&gt;1,"DUP","OK")</f>
        <v>OK</v>
      </c>
      <c r="O5706" s="23" t="str">
        <f t="shared" si="268"/>
        <v>ORD26005854</v>
      </c>
      <c r="P5706" s="23" t="str">
        <f t="shared" si="269"/>
        <v>Oct-Due</v>
      </c>
      <c r="Q5706" s="23" t="str">
        <f>IF(F5706="CAPTURE",IF(COUNTIF(orders!$A:$A,O5706)&gt;0,"Yes","NO ORDER"),"")</f>
        <v>Yes</v>
      </c>
    </row>
    <row r="5707" spans="1:17" ht="15" customHeight="1" x14ac:dyDescent="0.3">
      <c r="A5707" s="23" t="s">
        <v>18985</v>
      </c>
      <c r="B5707" s="23"/>
      <c r="C5707" s="23" t="s">
        <v>12176</v>
      </c>
      <c r="D5707" s="23" t="str">
        <f t="shared" si="267"/>
        <v>ORD26005888</v>
      </c>
      <c r="E5707" s="38">
        <v>46295</v>
      </c>
      <c r="F5707" s="23" t="s">
        <v>12410</v>
      </c>
      <c r="G5707" s="23" t="s">
        <v>79</v>
      </c>
      <c r="H5707" s="24">
        <v>2999</v>
      </c>
      <c r="I5707" s="24">
        <v>47.98</v>
      </c>
      <c r="J5707" s="24">
        <v>8.64</v>
      </c>
      <c r="K5707" s="24">
        <v>2942.38</v>
      </c>
      <c r="L5707" s="38">
        <v>46297</v>
      </c>
      <c r="M5707" s="23" t="s">
        <v>110</v>
      </c>
      <c r="N5707" s="23" t="str">
        <f>IF(COUNTIF($A$2:A5707,A5707)&gt;1,"DUP","OK")</f>
        <v>OK</v>
      </c>
      <c r="O5707" s="23" t="str">
        <f t="shared" si="268"/>
        <v>ORD26005888</v>
      </c>
      <c r="P5707" s="23" t="str">
        <f t="shared" si="269"/>
        <v>Oct-Due</v>
      </c>
      <c r="Q5707" s="23" t="str">
        <f>IF(F5707="CAPTURE",IF(COUNTIF(orders!$A:$A,O5707)&gt;0,"Yes","NO ORDER"),"")</f>
        <v>Yes</v>
      </c>
    </row>
    <row r="5708" spans="1:17" ht="15" customHeight="1" x14ac:dyDescent="0.3">
      <c r="A5708" s="23" t="s">
        <v>18986</v>
      </c>
      <c r="B5708" s="23"/>
      <c r="C5708" s="23" t="s">
        <v>12263</v>
      </c>
      <c r="D5708" s="23" t="str">
        <f t="shared" si="267"/>
        <v>ORD26005932</v>
      </c>
      <c r="E5708" s="38">
        <v>46295</v>
      </c>
      <c r="F5708" s="23" t="s">
        <v>12410</v>
      </c>
      <c r="G5708" s="23" t="s">
        <v>75</v>
      </c>
      <c r="H5708" s="24">
        <v>599</v>
      </c>
      <c r="I5708" s="24">
        <v>0</v>
      </c>
      <c r="J5708" s="24">
        <v>0</v>
      </c>
      <c r="K5708" s="24">
        <v>599</v>
      </c>
      <c r="L5708" s="38">
        <v>46297</v>
      </c>
      <c r="M5708" s="23" t="s">
        <v>110</v>
      </c>
      <c r="N5708" s="23" t="str">
        <f>IF(COUNTIF($A$2:A5708,A5708)&gt;1,"DUP","OK")</f>
        <v>OK</v>
      </c>
      <c r="O5708" s="23" t="str">
        <f t="shared" si="268"/>
        <v>ORD26005932</v>
      </c>
      <c r="P5708" s="23" t="str">
        <f t="shared" si="269"/>
        <v>Oct-Due</v>
      </c>
      <c r="Q5708" s="23" t="str">
        <f>IF(F5708="CAPTURE",IF(COUNTIF(orders!$A:$A,O5708)&gt;0,"Yes","NO ORDER"),"")</f>
        <v>Yes</v>
      </c>
    </row>
    <row r="5709" spans="1:17" ht="15" customHeight="1" x14ac:dyDescent="0.3">
      <c r="A5709" s="23" t="s">
        <v>18987</v>
      </c>
      <c r="B5709" s="23" t="s">
        <v>18409</v>
      </c>
      <c r="C5709" s="23"/>
      <c r="D5709" s="23" t="str">
        <f t="shared" si="267"/>
        <v/>
      </c>
      <c r="E5709" s="38">
        <v>46295</v>
      </c>
      <c r="F5709" s="23" t="s">
        <v>12791</v>
      </c>
      <c r="G5709" s="23" t="s">
        <v>75</v>
      </c>
      <c r="H5709" s="24">
        <v>599</v>
      </c>
      <c r="I5709" s="24">
        <v>0</v>
      </c>
      <c r="J5709" s="24">
        <v>0</v>
      </c>
      <c r="K5709" s="24">
        <v>-599</v>
      </c>
      <c r="L5709" s="38">
        <v>46297</v>
      </c>
      <c r="M5709" s="23" t="s">
        <v>110</v>
      </c>
      <c r="N5709" s="23" t="str">
        <f>IF(COUNTIF($A$2:A5709,A5709)&gt;1,"DUP","OK")</f>
        <v>OK</v>
      </c>
      <c r="O5709" s="23" t="str">
        <f t="shared" si="268"/>
        <v>ORD26003197</v>
      </c>
      <c r="P5709" s="23" t="str">
        <f t="shared" si="269"/>
        <v>Oct-Due</v>
      </c>
      <c r="Q5709" s="23" t="str">
        <f>IF(F5709="CAPTURE",IF(COUNTIF(orders!$A:$A,O5709)&gt;0,"Yes","NO ORDER"),"")</f>
        <v/>
      </c>
    </row>
    <row r="5710" spans="1:17" ht="15" customHeight="1" x14ac:dyDescent="0.3">
      <c r="A5710" s="23" t="s">
        <v>18988</v>
      </c>
      <c r="B5710" s="23" t="s">
        <v>18187</v>
      </c>
      <c r="C5710" s="23"/>
      <c r="D5710" s="23" t="str">
        <f t="shared" si="267"/>
        <v/>
      </c>
      <c r="E5710" s="38">
        <v>46295</v>
      </c>
      <c r="F5710" s="23" t="s">
        <v>12791</v>
      </c>
      <c r="G5710" s="23" t="s">
        <v>77</v>
      </c>
      <c r="H5710" s="24">
        <v>499</v>
      </c>
      <c r="I5710" s="24">
        <v>0</v>
      </c>
      <c r="J5710" s="24">
        <v>0</v>
      </c>
      <c r="K5710" s="24">
        <v>-499</v>
      </c>
      <c r="L5710" s="38">
        <v>46297</v>
      </c>
      <c r="M5710" s="23" t="s">
        <v>110</v>
      </c>
      <c r="N5710" s="23" t="str">
        <f>IF(COUNTIF($A$2:A5710,A5710)&gt;1,"DUP","OK")</f>
        <v>OK</v>
      </c>
      <c r="O5710" s="23" t="str">
        <f t="shared" si="268"/>
        <v>ORD26002917</v>
      </c>
      <c r="P5710" s="23" t="str">
        <f t="shared" si="269"/>
        <v>Oct-Due</v>
      </c>
      <c r="Q5710" s="23" t="str">
        <f>IF(F5710="CAPTURE",IF(COUNTIF(orders!$A:$A,O5710)&gt;0,"Yes","NO ORDER"),"")</f>
        <v/>
      </c>
    </row>
    <row r="5711" spans="1:17" ht="15" customHeight="1" x14ac:dyDescent="0.3">
      <c r="A5711" s="23" t="s">
        <v>18989</v>
      </c>
      <c r="B5711" s="23" t="s">
        <v>18012</v>
      </c>
      <c r="C5711" s="23"/>
      <c r="D5711" s="23" t="str">
        <f t="shared" si="267"/>
        <v/>
      </c>
      <c r="E5711" s="38">
        <v>46295</v>
      </c>
      <c r="F5711" s="23" t="s">
        <v>12791</v>
      </c>
      <c r="G5711" s="23" t="s">
        <v>75</v>
      </c>
      <c r="H5711" s="24">
        <v>999</v>
      </c>
      <c r="I5711" s="24">
        <v>0</v>
      </c>
      <c r="J5711" s="24">
        <v>0</v>
      </c>
      <c r="K5711" s="24">
        <v>-999</v>
      </c>
      <c r="L5711" s="38">
        <v>46297</v>
      </c>
      <c r="M5711" s="23" t="s">
        <v>110</v>
      </c>
      <c r="N5711" s="23" t="str">
        <f>IF(COUNTIF($A$2:A5711,A5711)&gt;1,"DUP","OK")</f>
        <v>OK</v>
      </c>
      <c r="O5711" s="23" t="str">
        <f t="shared" si="268"/>
        <v>ORD26004221</v>
      </c>
      <c r="P5711" s="23" t="str">
        <f t="shared" si="269"/>
        <v>Oct-Due</v>
      </c>
      <c r="Q5711" s="23" t="str">
        <f>IF(F5711="CAPTURE",IF(COUNTIF(orders!$A:$A,O5711)&gt;0,"Yes","NO ORDER"),"")</f>
        <v/>
      </c>
    </row>
    <row r="5712" spans="1:17" ht="15" customHeight="1" x14ac:dyDescent="0.3">
      <c r="A5712" s="23" t="s">
        <v>18990</v>
      </c>
      <c r="B5712" s="23" t="s">
        <v>18504</v>
      </c>
      <c r="C5712" s="23"/>
      <c r="D5712" s="23" t="str">
        <f t="shared" si="267"/>
        <v/>
      </c>
      <c r="E5712" s="38">
        <v>46295</v>
      </c>
      <c r="F5712" s="23" t="s">
        <v>12791</v>
      </c>
      <c r="G5712" s="23" t="s">
        <v>79</v>
      </c>
      <c r="H5712" s="24">
        <v>2999</v>
      </c>
      <c r="I5712" s="24">
        <v>0</v>
      </c>
      <c r="J5712" s="24">
        <v>0</v>
      </c>
      <c r="K5712" s="24">
        <v>-2999</v>
      </c>
      <c r="L5712" s="38">
        <v>46297</v>
      </c>
      <c r="M5712" s="23" t="s">
        <v>110</v>
      </c>
      <c r="N5712" s="23" t="str">
        <f>IF(COUNTIF($A$2:A5712,A5712)&gt;1,"DUP","OK")</f>
        <v>OK</v>
      </c>
      <c r="O5712" s="23" t="str">
        <f t="shared" si="268"/>
        <v>ORD26005798</v>
      </c>
      <c r="P5712" s="23" t="str">
        <f t="shared" si="269"/>
        <v>Oct-Due</v>
      </c>
      <c r="Q5712" s="23" t="str">
        <f>IF(F5712="CAPTURE",IF(COUNTIF(orders!$A:$A,O5712)&gt;0,"Yes","NO ORDER"),"")</f>
        <v/>
      </c>
    </row>
    <row r="5713" spans="1:17" ht="15" customHeight="1" x14ac:dyDescent="0.3">
      <c r="A5713" s="23" t="s">
        <v>18991</v>
      </c>
      <c r="B5713" s="23" t="s">
        <v>18002</v>
      </c>
      <c r="C5713" s="23"/>
      <c r="D5713" s="23" t="str">
        <f t="shared" si="267"/>
        <v/>
      </c>
      <c r="E5713" s="38">
        <v>46295</v>
      </c>
      <c r="F5713" s="23" t="s">
        <v>12791</v>
      </c>
      <c r="G5713" s="23" t="s">
        <v>79</v>
      </c>
      <c r="H5713" s="24">
        <v>1299</v>
      </c>
      <c r="I5713" s="24">
        <v>0</v>
      </c>
      <c r="J5713" s="24">
        <v>0</v>
      </c>
      <c r="K5713" s="24">
        <v>-1299</v>
      </c>
      <c r="L5713" s="38">
        <v>46297</v>
      </c>
      <c r="M5713" s="23" t="s">
        <v>110</v>
      </c>
      <c r="N5713" s="23" t="str">
        <f>IF(COUNTIF($A$2:A5713,A5713)&gt;1,"DUP","OK")</f>
        <v>OK</v>
      </c>
      <c r="O5713" s="23" t="str">
        <f t="shared" si="268"/>
        <v>ORD26003899</v>
      </c>
      <c r="P5713" s="23" t="str">
        <f t="shared" si="269"/>
        <v>Oct-Due</v>
      </c>
      <c r="Q5713" s="23" t="str">
        <f>IF(F5713="CAPTURE",IF(COUNTIF(orders!$A:$A,O5713)&gt;0,"Yes","NO ORDER"),"")</f>
        <v/>
      </c>
    </row>
    <row r="5714" spans="1:17" ht="15" customHeight="1" x14ac:dyDescent="0.3">
      <c r="A5714" s="23" t="s">
        <v>18992</v>
      </c>
      <c r="B5714" s="23" t="s">
        <v>18023</v>
      </c>
      <c r="C5714" s="23"/>
      <c r="D5714" s="23" t="str">
        <f t="shared" si="267"/>
        <v/>
      </c>
      <c r="E5714" s="38">
        <v>46295</v>
      </c>
      <c r="F5714" s="23" t="s">
        <v>12791</v>
      </c>
      <c r="G5714" s="23" t="s">
        <v>79</v>
      </c>
      <c r="H5714" s="24">
        <v>1499</v>
      </c>
      <c r="I5714" s="24">
        <v>0</v>
      </c>
      <c r="J5714" s="24">
        <v>0</v>
      </c>
      <c r="K5714" s="24">
        <v>-1499</v>
      </c>
      <c r="L5714" s="38">
        <v>46297</v>
      </c>
      <c r="M5714" s="23" t="s">
        <v>110</v>
      </c>
      <c r="N5714" s="23" t="str">
        <f>IF(COUNTIF($A$2:A5714,A5714)&gt;1,"DUP","OK")</f>
        <v>OK</v>
      </c>
      <c r="O5714" s="23" t="str">
        <f t="shared" si="268"/>
        <v>ORD26004561</v>
      </c>
      <c r="P5714" s="23" t="str">
        <f t="shared" si="269"/>
        <v>Oct-Due</v>
      </c>
      <c r="Q5714" s="23" t="str">
        <f>IF(F5714="CAPTURE",IF(COUNTIF(orders!$A:$A,O5714)&gt;0,"Yes","NO ORDER"),"")</f>
        <v/>
      </c>
    </row>
    <row r="5715" spans="1:17" ht="15" customHeight="1" x14ac:dyDescent="0.3">
      <c r="A5715" s="23" t="s">
        <v>18993</v>
      </c>
      <c r="B5715" s="23" t="s">
        <v>18225</v>
      </c>
      <c r="C5715" s="23"/>
      <c r="D5715" s="23" t="str">
        <f t="shared" si="267"/>
        <v/>
      </c>
      <c r="E5715" s="38">
        <v>46295</v>
      </c>
      <c r="F5715" s="23" t="s">
        <v>12791</v>
      </c>
      <c r="G5715" s="23" t="s">
        <v>79</v>
      </c>
      <c r="H5715" s="24">
        <v>299</v>
      </c>
      <c r="I5715" s="24">
        <v>0</v>
      </c>
      <c r="J5715" s="24">
        <v>0</v>
      </c>
      <c r="K5715" s="24">
        <v>-299</v>
      </c>
      <c r="L5715" s="38">
        <v>46297</v>
      </c>
      <c r="M5715" s="23" t="s">
        <v>110</v>
      </c>
      <c r="N5715" s="23" t="str">
        <f>IF(COUNTIF($A$2:A5715,A5715)&gt;1,"DUP","OK")</f>
        <v>OK</v>
      </c>
      <c r="O5715" s="23" t="str">
        <f t="shared" si="268"/>
        <v>ORD26004179</v>
      </c>
      <c r="P5715" s="23" t="str">
        <f t="shared" si="269"/>
        <v>Oct-Due</v>
      </c>
      <c r="Q5715" s="23" t="str">
        <f>IF(F5715="CAPTURE",IF(COUNTIF(orders!$A:$A,O5715)&gt;0,"Yes","NO ORDER"),"")</f>
        <v/>
      </c>
    </row>
    <row r="5716" spans="1:17" ht="15" customHeight="1" x14ac:dyDescent="0.3">
      <c r="A5716" s="23" t="s">
        <v>18994</v>
      </c>
      <c r="B5716" s="23" t="s">
        <v>18787</v>
      </c>
      <c r="C5716" s="23"/>
      <c r="D5716" s="23" t="str">
        <f t="shared" si="267"/>
        <v/>
      </c>
      <c r="E5716" s="38">
        <v>46295</v>
      </c>
      <c r="F5716" s="23" t="s">
        <v>12791</v>
      </c>
      <c r="G5716" s="23" t="s">
        <v>79</v>
      </c>
      <c r="H5716" s="24">
        <v>4498</v>
      </c>
      <c r="I5716" s="24">
        <v>0</v>
      </c>
      <c r="J5716" s="24">
        <v>0</v>
      </c>
      <c r="K5716" s="24">
        <v>-4498</v>
      </c>
      <c r="L5716" s="38">
        <v>46297</v>
      </c>
      <c r="M5716" s="23" t="s">
        <v>110</v>
      </c>
      <c r="N5716" s="23" t="str">
        <f>IF(COUNTIF($A$2:A5716,A5716)&gt;1,"DUP","OK")</f>
        <v>OK</v>
      </c>
      <c r="O5716" s="23" t="str">
        <f t="shared" si="268"/>
        <v>ORD26000920</v>
      </c>
      <c r="P5716" s="23" t="str">
        <f t="shared" si="269"/>
        <v>Oct-Due</v>
      </c>
      <c r="Q5716" s="23" t="str">
        <f>IF(F5716="CAPTURE",IF(COUNTIF(orders!$A:$A,O5716)&gt;0,"Yes","NO ORDER"),"")</f>
        <v/>
      </c>
    </row>
    <row r="5717" spans="1:17" ht="15" customHeight="1" x14ac:dyDescent="0.3">
      <c r="A5717" s="23" t="s">
        <v>18995</v>
      </c>
      <c r="B5717" s="23" t="s">
        <v>18374</v>
      </c>
      <c r="C5717" s="23"/>
      <c r="D5717" s="23" t="str">
        <f t="shared" si="267"/>
        <v/>
      </c>
      <c r="E5717" s="38">
        <v>46295</v>
      </c>
      <c r="F5717" s="23" t="s">
        <v>12791</v>
      </c>
      <c r="G5717" s="23" t="s">
        <v>75</v>
      </c>
      <c r="H5717" s="24">
        <v>4999</v>
      </c>
      <c r="I5717" s="24">
        <v>0</v>
      </c>
      <c r="J5717" s="24">
        <v>0</v>
      </c>
      <c r="K5717" s="24">
        <v>-4999</v>
      </c>
      <c r="L5717" s="38">
        <v>46297</v>
      </c>
      <c r="M5717" s="23" t="s">
        <v>110</v>
      </c>
      <c r="N5717" s="23" t="str">
        <f>IF(COUNTIF($A$2:A5717,A5717)&gt;1,"DUP","OK")</f>
        <v>OK</v>
      </c>
      <c r="O5717" s="23" t="str">
        <f t="shared" si="268"/>
        <v>ORD26002235</v>
      </c>
      <c r="P5717" s="23" t="str">
        <f t="shared" si="269"/>
        <v>Oct-Due</v>
      </c>
      <c r="Q5717" s="23" t="str">
        <f>IF(F5717="CAPTURE",IF(COUNTIF(orders!$A:$A,O5717)&gt;0,"Yes","NO ORDER"),"")</f>
        <v/>
      </c>
    </row>
    <row r="5718" spans="1:17" ht="15" customHeight="1" x14ac:dyDescent="0.3">
      <c r="A5718" s="23" t="s">
        <v>18996</v>
      </c>
      <c r="B5718" s="23" t="s">
        <v>18645</v>
      </c>
      <c r="C5718" s="23"/>
      <c r="D5718" s="23" t="str">
        <f t="shared" si="267"/>
        <v/>
      </c>
      <c r="E5718" s="38">
        <v>46295</v>
      </c>
      <c r="F5718" s="23" t="s">
        <v>12791</v>
      </c>
      <c r="G5718" s="23" t="s">
        <v>75</v>
      </c>
      <c r="H5718" s="24">
        <v>4999</v>
      </c>
      <c r="I5718" s="24">
        <v>0</v>
      </c>
      <c r="J5718" s="24">
        <v>0</v>
      </c>
      <c r="K5718" s="24">
        <v>-4999</v>
      </c>
      <c r="L5718" s="38">
        <v>46297</v>
      </c>
      <c r="M5718" s="23" t="s">
        <v>110</v>
      </c>
      <c r="N5718" s="23" t="str">
        <f>IF(COUNTIF($A$2:A5718,A5718)&gt;1,"DUP","OK")</f>
        <v>OK</v>
      </c>
      <c r="O5718" s="23" t="str">
        <f t="shared" si="268"/>
        <v>ORD26003464</v>
      </c>
      <c r="P5718" s="23" t="str">
        <f t="shared" si="269"/>
        <v>Oct-Due</v>
      </c>
      <c r="Q5718" s="23" t="str">
        <f>IF(F5718="CAPTURE",IF(COUNTIF(orders!$A:$A,O5718)&gt;0,"Yes","NO ORDER"),"")</f>
        <v/>
      </c>
    </row>
    <row r="5719" spans="1:17" ht="15" customHeight="1" x14ac:dyDescent="0.3">
      <c r="A5719" s="23" t="s">
        <v>18997</v>
      </c>
      <c r="B5719" s="23" t="s">
        <v>18253</v>
      </c>
      <c r="C5719" s="23"/>
      <c r="D5719" s="23" t="str">
        <f t="shared" si="267"/>
        <v/>
      </c>
      <c r="E5719" s="38">
        <v>46295</v>
      </c>
      <c r="F5719" s="23" t="s">
        <v>12791</v>
      </c>
      <c r="G5719" s="23" t="s">
        <v>77</v>
      </c>
      <c r="H5719" s="24">
        <v>1499</v>
      </c>
      <c r="I5719" s="24">
        <v>0</v>
      </c>
      <c r="J5719" s="24">
        <v>0</v>
      </c>
      <c r="K5719" s="24">
        <v>-1499</v>
      </c>
      <c r="L5719" s="38">
        <v>46297</v>
      </c>
      <c r="M5719" s="23" t="s">
        <v>110</v>
      </c>
      <c r="N5719" s="23" t="str">
        <f>IF(COUNTIF($A$2:A5719,A5719)&gt;1,"DUP","OK")</f>
        <v>OK</v>
      </c>
      <c r="O5719" s="23" t="str">
        <f t="shared" si="268"/>
        <v>ORD26005033</v>
      </c>
      <c r="P5719" s="23" t="str">
        <f t="shared" si="269"/>
        <v>Oct-Due</v>
      </c>
      <c r="Q5719" s="23" t="str">
        <f>IF(F5719="CAPTURE",IF(COUNTIF(orders!$A:$A,O5719)&gt;0,"Yes","NO ORDER"),"")</f>
        <v/>
      </c>
    </row>
    <row r="5720" spans="1:17" ht="15" customHeight="1" x14ac:dyDescent="0.3">
      <c r="A5720" s="23" t="s">
        <v>18998</v>
      </c>
      <c r="B5720" s="23" t="s">
        <v>18835</v>
      </c>
      <c r="C5720" s="23"/>
      <c r="D5720" s="23" t="str">
        <f t="shared" si="267"/>
        <v/>
      </c>
      <c r="E5720" s="38">
        <v>46295</v>
      </c>
      <c r="F5720" s="23" t="s">
        <v>12791</v>
      </c>
      <c r="G5720" s="23" t="s">
        <v>79</v>
      </c>
      <c r="H5720" s="24">
        <v>5498</v>
      </c>
      <c r="I5720" s="24">
        <v>0</v>
      </c>
      <c r="J5720" s="24">
        <v>0</v>
      </c>
      <c r="K5720" s="24">
        <v>-5498</v>
      </c>
      <c r="L5720" s="38">
        <v>46297</v>
      </c>
      <c r="M5720" s="23" t="s">
        <v>110</v>
      </c>
      <c r="N5720" s="23" t="str">
        <f>IF(COUNTIF($A$2:A5720,A5720)&gt;1,"DUP","OK")</f>
        <v>OK</v>
      </c>
      <c r="O5720" s="23" t="str">
        <f t="shared" si="268"/>
        <v>ORD26002039</v>
      </c>
      <c r="P5720" s="23" t="str">
        <f t="shared" si="269"/>
        <v>Oct-Due</v>
      </c>
      <c r="Q5720" s="23" t="str">
        <f>IF(F5720="CAPTURE",IF(COUNTIF(orders!$A:$A,O5720)&gt;0,"Yes","NO ORDER"),"")</f>
        <v/>
      </c>
    </row>
    <row r="5721" spans="1:17" ht="15" customHeight="1" x14ac:dyDescent="0.3">
      <c r="A5721" s="23" t="s">
        <v>18999</v>
      </c>
      <c r="B5721" s="23" t="s">
        <v>18907</v>
      </c>
      <c r="C5721" s="23"/>
      <c r="D5721" s="23" t="str">
        <f t="shared" si="267"/>
        <v/>
      </c>
      <c r="E5721" s="38">
        <v>46295</v>
      </c>
      <c r="F5721" s="23" t="s">
        <v>12791</v>
      </c>
      <c r="G5721" s="23" t="s">
        <v>75</v>
      </c>
      <c r="H5721" s="24">
        <v>3998</v>
      </c>
      <c r="I5721" s="24">
        <v>0</v>
      </c>
      <c r="J5721" s="24">
        <v>0</v>
      </c>
      <c r="K5721" s="24">
        <v>-3998</v>
      </c>
      <c r="L5721" s="38">
        <v>46297</v>
      </c>
      <c r="M5721" s="23" t="s">
        <v>110</v>
      </c>
      <c r="N5721" s="23" t="str">
        <f>IF(COUNTIF($A$2:A5721,A5721)&gt;1,"DUP","OK")</f>
        <v>OK</v>
      </c>
      <c r="O5721" s="23" t="str">
        <f t="shared" si="268"/>
        <v>ORD26004087</v>
      </c>
      <c r="P5721" s="23" t="str">
        <f t="shared" si="269"/>
        <v>Oct-Due</v>
      </c>
      <c r="Q5721" s="23" t="str">
        <f>IF(F5721="CAPTURE",IF(COUNTIF(orders!$A:$A,O5721)&gt;0,"Yes","NO ORDER"),"")</f>
        <v/>
      </c>
    </row>
    <row r="5722" spans="1:17" ht="15" customHeight="1" x14ac:dyDescent="0.3">
      <c r="A5722" s="23" t="s">
        <v>19000</v>
      </c>
      <c r="B5722" s="23" t="s">
        <v>18853</v>
      </c>
      <c r="C5722" s="23"/>
      <c r="D5722" s="23" t="str">
        <f t="shared" si="267"/>
        <v/>
      </c>
      <c r="E5722" s="38">
        <v>46295</v>
      </c>
      <c r="F5722" s="23" t="s">
        <v>12791</v>
      </c>
      <c r="G5722" s="23" t="s">
        <v>77</v>
      </c>
      <c r="H5722" s="24">
        <v>5498</v>
      </c>
      <c r="I5722" s="24">
        <v>0</v>
      </c>
      <c r="J5722" s="24">
        <v>0</v>
      </c>
      <c r="K5722" s="24">
        <v>-5498</v>
      </c>
      <c r="L5722" s="38">
        <v>46297</v>
      </c>
      <c r="M5722" s="23" t="s">
        <v>110</v>
      </c>
      <c r="N5722" s="23" t="str">
        <f>IF(COUNTIF($A$2:A5722,A5722)&gt;1,"DUP","OK")</f>
        <v>OK</v>
      </c>
      <c r="O5722" s="23" t="str">
        <f t="shared" si="268"/>
        <v>ORD26002745</v>
      </c>
      <c r="P5722" s="23" t="str">
        <f t="shared" si="269"/>
        <v>Oct-Due</v>
      </c>
      <c r="Q5722" s="23" t="str">
        <f>IF(F5722="CAPTURE",IF(COUNTIF(orders!$A:$A,O5722)&gt;0,"Yes","NO ORDER"),"")</f>
        <v/>
      </c>
    </row>
    <row r="5723" spans="1:17" ht="15" customHeight="1" x14ac:dyDescent="0.3">
      <c r="A5723" s="23" t="s">
        <v>19001</v>
      </c>
      <c r="B5723" s="23" t="s">
        <v>18647</v>
      </c>
      <c r="C5723" s="23"/>
      <c r="D5723" s="23" t="str">
        <f t="shared" si="267"/>
        <v/>
      </c>
      <c r="E5723" s="38">
        <v>46295</v>
      </c>
      <c r="F5723" s="23" t="s">
        <v>12791</v>
      </c>
      <c r="G5723" s="23" t="s">
        <v>75</v>
      </c>
      <c r="H5723" s="24">
        <v>998</v>
      </c>
      <c r="I5723" s="24">
        <v>0</v>
      </c>
      <c r="J5723" s="24">
        <v>0</v>
      </c>
      <c r="K5723" s="24">
        <v>-998</v>
      </c>
      <c r="L5723" s="38">
        <v>46297</v>
      </c>
      <c r="M5723" s="23" t="s">
        <v>110</v>
      </c>
      <c r="N5723" s="23" t="str">
        <f>IF(COUNTIF($A$2:A5723,A5723)&gt;1,"DUP","OK")</f>
        <v>OK</v>
      </c>
      <c r="O5723" s="23" t="str">
        <f t="shared" si="268"/>
        <v>ORD26003477</v>
      </c>
      <c r="P5723" s="23" t="str">
        <f t="shared" si="269"/>
        <v>Oct-Due</v>
      </c>
      <c r="Q5723" s="23" t="str">
        <f>IF(F5723="CAPTURE",IF(COUNTIF(orders!$A:$A,O5723)&gt;0,"Yes","NO ORDER"),"")</f>
        <v/>
      </c>
    </row>
    <row r="5724" spans="1:17" ht="15" customHeight="1" x14ac:dyDescent="0.3">
      <c r="A5724" s="23" t="s">
        <v>19002</v>
      </c>
      <c r="B5724" s="23" t="s">
        <v>17642</v>
      </c>
      <c r="C5724" s="23"/>
      <c r="D5724" s="23" t="str">
        <f t="shared" si="267"/>
        <v/>
      </c>
      <c r="E5724" s="38">
        <v>46295</v>
      </c>
      <c r="F5724" s="23" t="s">
        <v>12791</v>
      </c>
      <c r="G5724" s="23" t="s">
        <v>75</v>
      </c>
      <c r="H5724" s="24">
        <v>1198</v>
      </c>
      <c r="I5724" s="24">
        <v>0</v>
      </c>
      <c r="J5724" s="24">
        <v>0</v>
      </c>
      <c r="K5724" s="24">
        <v>-1198</v>
      </c>
      <c r="L5724" s="38">
        <v>46297</v>
      </c>
      <c r="M5724" s="23" t="s">
        <v>110</v>
      </c>
      <c r="N5724" s="23" t="str">
        <f>IF(COUNTIF($A$2:A5724,A5724)&gt;1,"DUP","OK")</f>
        <v>OK</v>
      </c>
      <c r="O5724" s="23" t="str">
        <f t="shared" si="268"/>
        <v>ORD26000233</v>
      </c>
      <c r="P5724" s="23" t="str">
        <f t="shared" si="269"/>
        <v>Oct-Due</v>
      </c>
      <c r="Q5724" s="23" t="str">
        <f>IF(F5724="CAPTURE",IF(COUNTIF(orders!$A:$A,O5724)&gt;0,"Yes","NO ORDER"),"")</f>
        <v/>
      </c>
    </row>
    <row r="5725" spans="1:17" ht="15" customHeight="1" x14ac:dyDescent="0.3">
      <c r="A5725" s="23" t="s">
        <v>19003</v>
      </c>
      <c r="B5725" s="23" t="s">
        <v>17874</v>
      </c>
      <c r="C5725" s="23"/>
      <c r="D5725" s="23" t="str">
        <f t="shared" si="267"/>
        <v/>
      </c>
      <c r="E5725" s="38">
        <v>46295</v>
      </c>
      <c r="F5725" s="23" t="s">
        <v>12791</v>
      </c>
      <c r="G5725" s="23" t="s">
        <v>79</v>
      </c>
      <c r="H5725" s="24">
        <v>9298</v>
      </c>
      <c r="I5725" s="24">
        <v>0</v>
      </c>
      <c r="J5725" s="24">
        <v>0</v>
      </c>
      <c r="K5725" s="24">
        <v>-9298</v>
      </c>
      <c r="L5725" s="38">
        <v>46297</v>
      </c>
      <c r="M5725" s="23" t="s">
        <v>110</v>
      </c>
      <c r="N5725" s="23" t="str">
        <f>IF(COUNTIF($A$2:A5725,A5725)&gt;1,"DUP","OK")</f>
        <v>OK</v>
      </c>
      <c r="O5725" s="23" t="str">
        <f t="shared" si="268"/>
        <v>ORD26000057</v>
      </c>
      <c r="P5725" s="23" t="str">
        <f t="shared" si="269"/>
        <v>Oct-Due</v>
      </c>
      <c r="Q5725" s="23" t="str">
        <f>IF(F5725="CAPTURE",IF(COUNTIF(orders!$A:$A,O5725)&gt;0,"Yes","NO ORDER"),"")</f>
        <v/>
      </c>
    </row>
    <row r="5726" spans="1:17" ht="15" customHeight="1" x14ac:dyDescent="0.3">
      <c r="A5726" s="23" t="s">
        <v>19004</v>
      </c>
      <c r="B5726" s="23" t="s">
        <v>18287</v>
      </c>
      <c r="C5726" s="23"/>
      <c r="D5726" s="23" t="str">
        <f t="shared" si="267"/>
        <v/>
      </c>
      <c r="E5726" s="38">
        <v>46295</v>
      </c>
      <c r="F5726" s="23" t="s">
        <v>12791</v>
      </c>
      <c r="G5726" s="23" t="s">
        <v>75</v>
      </c>
      <c r="H5726" s="24">
        <v>7999</v>
      </c>
      <c r="I5726" s="24">
        <v>0</v>
      </c>
      <c r="J5726" s="24">
        <v>0</v>
      </c>
      <c r="K5726" s="24">
        <v>-7999</v>
      </c>
      <c r="L5726" s="38">
        <v>46297</v>
      </c>
      <c r="M5726" s="23" t="s">
        <v>110</v>
      </c>
      <c r="N5726" s="23" t="str">
        <f>IF(COUNTIF($A$2:A5726,A5726)&gt;1,"DUP","OK")</f>
        <v>OK</v>
      </c>
      <c r="O5726" s="23" t="str">
        <f t="shared" si="268"/>
        <v>ORD26005856</v>
      </c>
      <c r="P5726" s="23" t="str">
        <f t="shared" si="269"/>
        <v>Oct-Due</v>
      </c>
      <c r="Q5726" s="23" t="str">
        <f>IF(F5726="CAPTURE",IF(COUNTIF(orders!$A:$A,O5726)&gt;0,"Yes","NO ORDER"),"")</f>
        <v/>
      </c>
    </row>
    <row r="5727" spans="1:17" ht="15" customHeight="1" x14ac:dyDescent="0.3">
      <c r="A5727" s="23" t="s">
        <v>19005</v>
      </c>
      <c r="B5727" s="23" t="s">
        <v>18706</v>
      </c>
      <c r="C5727" s="23"/>
      <c r="D5727" s="23" t="str">
        <f t="shared" si="267"/>
        <v/>
      </c>
      <c r="E5727" s="38">
        <v>46295</v>
      </c>
      <c r="F5727" s="23" t="s">
        <v>12791</v>
      </c>
      <c r="G5727" s="23" t="s">
        <v>75</v>
      </c>
      <c r="H5727" s="24">
        <v>2999</v>
      </c>
      <c r="I5727" s="24">
        <v>0</v>
      </c>
      <c r="J5727" s="24">
        <v>0</v>
      </c>
      <c r="K5727" s="24">
        <v>-2999</v>
      </c>
      <c r="L5727" s="38">
        <v>46297</v>
      </c>
      <c r="M5727" s="23" t="s">
        <v>110</v>
      </c>
      <c r="N5727" s="23" t="str">
        <f>IF(COUNTIF($A$2:A5727,A5727)&gt;1,"DUP","OK")</f>
        <v>OK</v>
      </c>
      <c r="O5727" s="23" t="str">
        <f t="shared" si="268"/>
        <v>ORD26005484</v>
      </c>
      <c r="P5727" s="23" t="str">
        <f t="shared" si="269"/>
        <v>Oct-Due</v>
      </c>
      <c r="Q5727" s="23" t="str">
        <f>IF(F5727="CAPTURE",IF(COUNTIF(orders!$A:$A,O5727)&gt;0,"Yes","NO ORDER"),"")</f>
        <v/>
      </c>
    </row>
    <row r="5728" spans="1:17" ht="15" customHeight="1" x14ac:dyDescent="0.3">
      <c r="A5728" s="23" t="s">
        <v>19006</v>
      </c>
      <c r="B5728" s="23" t="s">
        <v>18453</v>
      </c>
      <c r="C5728" s="23"/>
      <c r="D5728" s="23" t="str">
        <f t="shared" si="267"/>
        <v/>
      </c>
      <c r="E5728" s="38">
        <v>46295</v>
      </c>
      <c r="F5728" s="23" t="s">
        <v>12791</v>
      </c>
      <c r="G5728" s="23" t="s">
        <v>75</v>
      </c>
      <c r="H5728" s="24">
        <v>349</v>
      </c>
      <c r="I5728" s="24">
        <v>0</v>
      </c>
      <c r="J5728" s="24">
        <v>0</v>
      </c>
      <c r="K5728" s="24">
        <v>-349</v>
      </c>
      <c r="L5728" s="38">
        <v>46297</v>
      </c>
      <c r="M5728" s="23" t="s">
        <v>110</v>
      </c>
      <c r="N5728" s="23" t="str">
        <f>IF(COUNTIF($A$2:A5728,A5728)&gt;1,"DUP","OK")</f>
        <v>OK</v>
      </c>
      <c r="O5728" s="23" t="str">
        <f t="shared" si="268"/>
        <v>ORD26004311</v>
      </c>
      <c r="P5728" s="23" t="str">
        <f t="shared" si="269"/>
        <v>Oct-Due</v>
      </c>
      <c r="Q5728" s="23" t="str">
        <f>IF(F5728="CAPTURE",IF(COUNTIF(orders!$A:$A,O5728)&gt;0,"Yes","NO ORDER"),"")</f>
        <v/>
      </c>
    </row>
    <row r="5729" spans="1:17" ht="15" customHeight="1" x14ac:dyDescent="0.3">
      <c r="A5729" s="23" t="s">
        <v>19007</v>
      </c>
      <c r="B5729" s="23" t="s">
        <v>18478</v>
      </c>
      <c r="C5729" s="23"/>
      <c r="D5729" s="23" t="str">
        <f t="shared" si="267"/>
        <v/>
      </c>
      <c r="E5729" s="38">
        <v>46295</v>
      </c>
      <c r="F5729" s="23" t="s">
        <v>12791</v>
      </c>
      <c r="G5729" s="23" t="s">
        <v>77</v>
      </c>
      <c r="H5729" s="24">
        <v>7999</v>
      </c>
      <c r="I5729" s="24">
        <v>0</v>
      </c>
      <c r="J5729" s="24">
        <v>0</v>
      </c>
      <c r="K5729" s="24">
        <v>-7999</v>
      </c>
      <c r="L5729" s="38">
        <v>46297</v>
      </c>
      <c r="M5729" s="23" t="s">
        <v>110</v>
      </c>
      <c r="N5729" s="23" t="str">
        <f>IF(COUNTIF($A$2:A5729,A5729)&gt;1,"DUP","OK")</f>
        <v>OK</v>
      </c>
      <c r="O5729" s="23" t="str">
        <f t="shared" si="268"/>
        <v>ORD26005144</v>
      </c>
      <c r="P5729" s="23" t="str">
        <f t="shared" si="269"/>
        <v>Oct-Due</v>
      </c>
      <c r="Q5729" s="23" t="str">
        <f>IF(F5729="CAPTURE",IF(COUNTIF(orders!$A:$A,O5729)&gt;0,"Yes","NO ORDER"),"")</f>
        <v/>
      </c>
    </row>
    <row r="5730" spans="1:17" ht="15" customHeight="1" x14ac:dyDescent="0.3">
      <c r="A5730" s="23" t="s">
        <v>19008</v>
      </c>
      <c r="B5730" s="23" t="s">
        <v>18971</v>
      </c>
      <c r="C5730" s="23"/>
      <c r="D5730" s="23" t="str">
        <f t="shared" si="267"/>
        <v/>
      </c>
      <c r="E5730" s="38">
        <v>46295</v>
      </c>
      <c r="F5730" s="23" t="s">
        <v>12791</v>
      </c>
      <c r="G5730" s="23" t="s">
        <v>79</v>
      </c>
      <c r="H5730" s="24">
        <v>3499</v>
      </c>
      <c r="I5730" s="24">
        <v>0</v>
      </c>
      <c r="J5730" s="24">
        <v>0</v>
      </c>
      <c r="K5730" s="24">
        <v>-3499</v>
      </c>
      <c r="L5730" s="38">
        <v>46297</v>
      </c>
      <c r="M5730" s="23" t="s">
        <v>110</v>
      </c>
      <c r="N5730" s="23" t="str">
        <f>IF(COUNTIF($A$2:A5730,A5730)&gt;1,"DUP","OK")</f>
        <v>OK</v>
      </c>
      <c r="O5730" s="23" t="str">
        <f t="shared" si="268"/>
        <v>ORD26005347</v>
      </c>
      <c r="P5730" s="23" t="str">
        <f t="shared" si="269"/>
        <v>Oct-Due</v>
      </c>
      <c r="Q5730" s="23" t="str">
        <f>IF(F5730="CAPTURE",IF(COUNTIF(orders!$A:$A,O5730)&gt;0,"Yes","NO ORDER"),"")</f>
        <v/>
      </c>
    </row>
    <row r="5731" spans="1:17" ht="15" customHeight="1" x14ac:dyDescent="0.3">
      <c r="A5731" s="23" t="s">
        <v>19009</v>
      </c>
      <c r="B5731" s="23" t="s">
        <v>18830</v>
      </c>
      <c r="C5731" s="23"/>
      <c r="D5731" s="23" t="str">
        <f t="shared" si="267"/>
        <v/>
      </c>
      <c r="E5731" s="38">
        <v>46295</v>
      </c>
      <c r="F5731" s="23" t="s">
        <v>12791</v>
      </c>
      <c r="G5731" s="23" t="s">
        <v>77</v>
      </c>
      <c r="H5731" s="24">
        <v>2499</v>
      </c>
      <c r="I5731" s="24">
        <v>0</v>
      </c>
      <c r="J5731" s="24">
        <v>0</v>
      </c>
      <c r="K5731" s="24">
        <v>-2499</v>
      </c>
      <c r="L5731" s="38">
        <v>46297</v>
      </c>
      <c r="M5731" s="23" t="s">
        <v>110</v>
      </c>
      <c r="N5731" s="23" t="str">
        <f>IF(COUNTIF($A$2:A5731,A5731)&gt;1,"DUP","OK")</f>
        <v>OK</v>
      </c>
      <c r="O5731" s="23" t="str">
        <f t="shared" si="268"/>
        <v>ORD26001922</v>
      </c>
      <c r="P5731" s="23" t="str">
        <f t="shared" si="269"/>
        <v>Oct-Due</v>
      </c>
      <c r="Q5731" s="23" t="str">
        <f>IF(F5731="CAPTURE",IF(COUNTIF(orders!$A:$A,O5731)&gt;0,"Yes","NO ORDER"),"")</f>
        <v/>
      </c>
    </row>
    <row r="5732" spans="1:17" ht="15" customHeight="1" x14ac:dyDescent="0.3">
      <c r="A5732" s="23" t="s">
        <v>19010</v>
      </c>
      <c r="B5732" s="23" t="s">
        <v>17918</v>
      </c>
      <c r="C5732" s="23"/>
      <c r="D5732" s="23" t="str">
        <f t="shared" si="267"/>
        <v/>
      </c>
      <c r="E5732" s="38">
        <v>46295</v>
      </c>
      <c r="F5732" s="23" t="s">
        <v>12791</v>
      </c>
      <c r="G5732" s="23" t="s">
        <v>79</v>
      </c>
      <c r="H5732" s="24">
        <v>349</v>
      </c>
      <c r="I5732" s="24">
        <v>0</v>
      </c>
      <c r="J5732" s="24">
        <v>0</v>
      </c>
      <c r="K5732" s="24">
        <v>-349</v>
      </c>
      <c r="L5732" s="38">
        <v>46297</v>
      </c>
      <c r="M5732" s="23" t="s">
        <v>110</v>
      </c>
      <c r="N5732" s="23" t="str">
        <f>IF(COUNTIF($A$2:A5732,A5732)&gt;1,"DUP","OK")</f>
        <v>OK</v>
      </c>
      <c r="O5732" s="23" t="str">
        <f t="shared" si="268"/>
        <v>ORD26001494</v>
      </c>
      <c r="P5732" s="23" t="str">
        <f t="shared" si="269"/>
        <v>Oct-Due</v>
      </c>
      <c r="Q5732" s="23" t="str">
        <f>IF(F5732="CAPTURE",IF(COUNTIF(orders!$A:$A,O5732)&gt;0,"Yes","NO ORDER"),"")</f>
        <v/>
      </c>
    </row>
    <row r="5733" spans="1:17" ht="15" customHeight="1" x14ac:dyDescent="0.3">
      <c r="A5733" s="23" t="s">
        <v>19011</v>
      </c>
      <c r="B5733" s="23" t="s">
        <v>17823</v>
      </c>
      <c r="C5733" s="23"/>
      <c r="D5733" s="23" t="str">
        <f t="shared" si="267"/>
        <v/>
      </c>
      <c r="E5733" s="38">
        <v>46295</v>
      </c>
      <c r="F5733" s="23" t="s">
        <v>12791</v>
      </c>
      <c r="G5733" s="23" t="s">
        <v>75</v>
      </c>
      <c r="H5733" s="24">
        <v>8998</v>
      </c>
      <c r="I5733" s="24">
        <v>0</v>
      </c>
      <c r="J5733" s="24">
        <v>0</v>
      </c>
      <c r="K5733" s="24">
        <v>-8998</v>
      </c>
      <c r="L5733" s="38">
        <v>46297</v>
      </c>
      <c r="M5733" s="23" t="s">
        <v>110</v>
      </c>
      <c r="N5733" s="23" t="str">
        <f>IF(COUNTIF($A$2:A5733,A5733)&gt;1,"DUP","OK")</f>
        <v>OK</v>
      </c>
      <c r="O5733" s="23" t="str">
        <f t="shared" si="268"/>
        <v>ORD26004905</v>
      </c>
      <c r="P5733" s="23" t="str">
        <f t="shared" si="269"/>
        <v>Oct-Due</v>
      </c>
      <c r="Q5733" s="23" t="str">
        <f>IF(F5733="CAPTURE",IF(COUNTIF(orders!$A:$A,O5733)&gt;0,"Yes","NO ORDER"),"")</f>
        <v/>
      </c>
    </row>
    <row r="5734" spans="1:17" ht="15" customHeight="1" x14ac:dyDescent="0.3">
      <c r="A5734" s="23" t="s">
        <v>19012</v>
      </c>
      <c r="B5734" s="23" t="s">
        <v>17705</v>
      </c>
      <c r="C5734" s="23"/>
      <c r="D5734" s="23" t="str">
        <f t="shared" si="267"/>
        <v/>
      </c>
      <c r="E5734" s="38">
        <v>46295</v>
      </c>
      <c r="F5734" s="23" t="s">
        <v>12791</v>
      </c>
      <c r="G5734" s="23" t="s">
        <v>75</v>
      </c>
      <c r="H5734" s="24">
        <v>2798</v>
      </c>
      <c r="I5734" s="24">
        <v>0</v>
      </c>
      <c r="J5734" s="24">
        <v>0</v>
      </c>
      <c r="K5734" s="24">
        <v>-2798</v>
      </c>
      <c r="L5734" s="38">
        <v>46297</v>
      </c>
      <c r="M5734" s="23" t="s">
        <v>110</v>
      </c>
      <c r="N5734" s="23" t="str">
        <f>IF(COUNTIF($A$2:A5734,A5734)&gt;1,"DUP","OK")</f>
        <v>OK</v>
      </c>
      <c r="O5734" s="23" t="str">
        <f t="shared" si="268"/>
        <v>ORD26001766</v>
      </c>
      <c r="P5734" s="23" t="str">
        <f t="shared" si="269"/>
        <v>Oct-Due</v>
      </c>
      <c r="Q5734" s="23" t="str">
        <f>IF(F5734="CAPTURE",IF(COUNTIF(orders!$A:$A,O5734)&gt;0,"Yes","NO ORDER"),"")</f>
        <v/>
      </c>
    </row>
    <row r="5735" spans="1:17" ht="15" customHeight="1" x14ac:dyDescent="0.3">
      <c r="A5735" s="23" t="s">
        <v>19013</v>
      </c>
      <c r="B5735" s="23" t="s">
        <v>18481</v>
      </c>
      <c r="C5735" s="23"/>
      <c r="D5735" s="23" t="str">
        <f t="shared" si="267"/>
        <v/>
      </c>
      <c r="E5735" s="38">
        <v>46295</v>
      </c>
      <c r="F5735" s="23" t="s">
        <v>12791</v>
      </c>
      <c r="G5735" s="23" t="s">
        <v>79</v>
      </c>
      <c r="H5735" s="24">
        <v>1799</v>
      </c>
      <c r="I5735" s="24">
        <v>0</v>
      </c>
      <c r="J5735" s="24">
        <v>0</v>
      </c>
      <c r="K5735" s="24">
        <v>-1799</v>
      </c>
      <c r="L5735" s="38">
        <v>46297</v>
      </c>
      <c r="M5735" s="23" t="s">
        <v>110</v>
      </c>
      <c r="N5735" s="23" t="str">
        <f>IF(COUNTIF($A$2:A5735,A5735)&gt;1,"DUP","OK")</f>
        <v>OK</v>
      </c>
      <c r="O5735" s="23" t="str">
        <f t="shared" si="268"/>
        <v>ORD26005160</v>
      </c>
      <c r="P5735" s="23" t="str">
        <f t="shared" si="269"/>
        <v>Oct-Due</v>
      </c>
      <c r="Q5735" s="23" t="str">
        <f>IF(F5735="CAPTURE",IF(COUNTIF(orders!$A:$A,O5735)&gt;0,"Yes","NO ORDER"),"")</f>
        <v/>
      </c>
    </row>
    <row r="5736" spans="1:17" ht="15" customHeight="1" x14ac:dyDescent="0.3">
      <c r="A5736" s="23" t="s">
        <v>19014</v>
      </c>
      <c r="B5736" s="23" t="s">
        <v>17807</v>
      </c>
      <c r="C5736" s="23"/>
      <c r="D5736" s="23" t="str">
        <f t="shared" si="267"/>
        <v/>
      </c>
      <c r="E5736" s="38">
        <v>46295</v>
      </c>
      <c r="F5736" s="23" t="s">
        <v>12791</v>
      </c>
      <c r="G5736" s="23" t="s">
        <v>81</v>
      </c>
      <c r="H5736" s="24">
        <v>499</v>
      </c>
      <c r="I5736" s="24">
        <v>0</v>
      </c>
      <c r="J5736" s="24">
        <v>0</v>
      </c>
      <c r="K5736" s="24">
        <v>-499</v>
      </c>
      <c r="L5736" s="38">
        <v>46297</v>
      </c>
      <c r="M5736" s="23" t="s">
        <v>110</v>
      </c>
      <c r="N5736" s="23" t="str">
        <f>IF(COUNTIF($A$2:A5736,A5736)&gt;1,"DUP","OK")</f>
        <v>OK</v>
      </c>
      <c r="O5736" s="23" t="str">
        <f t="shared" si="268"/>
        <v>ORD26004509</v>
      </c>
      <c r="P5736" s="23" t="str">
        <f t="shared" si="269"/>
        <v>Oct-Due</v>
      </c>
      <c r="Q5736" s="23" t="str">
        <f>IF(F5736="CAPTURE",IF(COUNTIF(orders!$A:$A,O5736)&gt;0,"Yes","NO ORDER"),"")</f>
        <v/>
      </c>
    </row>
    <row r="5737" spans="1:17" ht="15" customHeight="1" x14ac:dyDescent="0.3">
      <c r="A5737" s="23" t="s">
        <v>19015</v>
      </c>
      <c r="B5737" s="23" t="s">
        <v>18559</v>
      </c>
      <c r="C5737" s="23"/>
      <c r="D5737" s="23" t="str">
        <f t="shared" si="267"/>
        <v/>
      </c>
      <c r="E5737" s="38">
        <v>46295</v>
      </c>
      <c r="F5737" s="23" t="s">
        <v>12791</v>
      </c>
      <c r="G5737" s="23" t="s">
        <v>79</v>
      </c>
      <c r="H5737" s="24">
        <v>9498</v>
      </c>
      <c r="I5737" s="24">
        <v>0</v>
      </c>
      <c r="J5737" s="24">
        <v>0</v>
      </c>
      <c r="K5737" s="24">
        <v>-9498</v>
      </c>
      <c r="L5737" s="38">
        <v>46297</v>
      </c>
      <c r="M5737" s="23" t="s">
        <v>110</v>
      </c>
      <c r="N5737" s="23" t="str">
        <f>IF(COUNTIF($A$2:A5737,A5737)&gt;1,"DUP","OK")</f>
        <v>OK</v>
      </c>
      <c r="O5737" s="23" t="str">
        <f t="shared" si="268"/>
        <v>ORD26001001</v>
      </c>
      <c r="P5737" s="23" t="str">
        <f t="shared" si="269"/>
        <v>Oct-Due</v>
      </c>
      <c r="Q5737" s="23" t="str">
        <f>IF(F5737="CAPTURE",IF(COUNTIF(orders!$A:$A,O5737)&gt;0,"Yes","NO ORDER"),"")</f>
        <v/>
      </c>
    </row>
    <row r="5738" spans="1:17" ht="15" customHeight="1" x14ac:dyDescent="0.3">
      <c r="A5738" s="23" t="s">
        <v>19016</v>
      </c>
      <c r="B5738" s="23" t="s">
        <v>18685</v>
      </c>
      <c r="C5738" s="23"/>
      <c r="D5738" s="23" t="str">
        <f t="shared" si="267"/>
        <v/>
      </c>
      <c r="E5738" s="38">
        <v>46295</v>
      </c>
      <c r="F5738" s="23" t="s">
        <v>12791</v>
      </c>
      <c r="G5738" s="23" t="s">
        <v>77</v>
      </c>
      <c r="H5738" s="24">
        <v>2499</v>
      </c>
      <c r="I5738" s="24">
        <v>0</v>
      </c>
      <c r="J5738" s="24">
        <v>0</v>
      </c>
      <c r="K5738" s="24">
        <v>-2499</v>
      </c>
      <c r="L5738" s="38">
        <v>46297</v>
      </c>
      <c r="M5738" s="23" t="s">
        <v>110</v>
      </c>
      <c r="N5738" s="23" t="str">
        <f>IF(COUNTIF($A$2:A5738,A5738)&gt;1,"DUP","OK")</f>
        <v>OK</v>
      </c>
      <c r="O5738" s="23" t="str">
        <f t="shared" si="268"/>
        <v>ORD26004635</v>
      </c>
      <c r="P5738" s="23" t="str">
        <f t="shared" si="269"/>
        <v>Oct-Due</v>
      </c>
      <c r="Q5738" s="23" t="str">
        <f>IF(F5738="CAPTURE",IF(COUNTIF(orders!$A:$A,O5738)&gt;0,"Yes","NO ORDER"),"")</f>
        <v/>
      </c>
    </row>
    <row r="5739" spans="1:17" ht="15" customHeight="1" x14ac:dyDescent="0.3">
      <c r="A5739" s="23" t="s">
        <v>19017</v>
      </c>
      <c r="B5739" s="23" t="s">
        <v>18569</v>
      </c>
      <c r="C5739" s="23"/>
      <c r="D5739" s="23" t="str">
        <f t="shared" si="267"/>
        <v/>
      </c>
      <c r="E5739" s="38">
        <v>46295</v>
      </c>
      <c r="F5739" s="23" t="s">
        <v>12791</v>
      </c>
      <c r="G5739" s="23" t="s">
        <v>79</v>
      </c>
      <c r="H5739" s="24">
        <v>3298</v>
      </c>
      <c r="I5739" s="24">
        <v>0</v>
      </c>
      <c r="J5739" s="24">
        <v>0</v>
      </c>
      <c r="K5739" s="24">
        <v>-3298</v>
      </c>
      <c r="L5739" s="38">
        <v>46297</v>
      </c>
      <c r="M5739" s="23" t="s">
        <v>110</v>
      </c>
      <c r="N5739" s="23" t="str">
        <f>IF(COUNTIF($A$2:A5739,A5739)&gt;1,"DUP","OK")</f>
        <v>OK</v>
      </c>
      <c r="O5739" s="23" t="str">
        <f t="shared" si="268"/>
        <v>ORD26001216</v>
      </c>
      <c r="P5739" s="23" t="str">
        <f t="shared" si="269"/>
        <v>Oct-Due</v>
      </c>
      <c r="Q5739" s="23" t="str">
        <f>IF(F5739="CAPTURE",IF(COUNTIF(orders!$A:$A,O5739)&gt;0,"Yes","NO ORDER"),"")</f>
        <v/>
      </c>
    </row>
    <row r="5740" spans="1:17" ht="15" customHeight="1" x14ac:dyDescent="0.3">
      <c r="A5740" s="23" t="s">
        <v>19018</v>
      </c>
      <c r="B5740" s="23" t="s">
        <v>18695</v>
      </c>
      <c r="C5740" s="23"/>
      <c r="D5740" s="23" t="str">
        <f t="shared" si="267"/>
        <v/>
      </c>
      <c r="E5740" s="38">
        <v>46295</v>
      </c>
      <c r="F5740" s="23" t="s">
        <v>12791</v>
      </c>
      <c r="G5740" s="23" t="s">
        <v>75</v>
      </c>
      <c r="H5740" s="24">
        <v>2697</v>
      </c>
      <c r="I5740" s="24">
        <v>0</v>
      </c>
      <c r="J5740" s="24">
        <v>0</v>
      </c>
      <c r="K5740" s="24">
        <v>-2697</v>
      </c>
      <c r="L5740" s="38">
        <v>46297</v>
      </c>
      <c r="M5740" s="23" t="s">
        <v>110</v>
      </c>
      <c r="N5740" s="23" t="str">
        <f>IF(COUNTIF($A$2:A5740,A5740)&gt;1,"DUP","OK")</f>
        <v>OK</v>
      </c>
      <c r="O5740" s="23" t="str">
        <f t="shared" si="268"/>
        <v>ORD26005205</v>
      </c>
      <c r="P5740" s="23" t="str">
        <f t="shared" si="269"/>
        <v>Oct-Due</v>
      </c>
      <c r="Q5740" s="23" t="str">
        <f>IF(F5740="CAPTURE",IF(COUNTIF(orders!$A:$A,O5740)&gt;0,"Yes","NO ORDER"),"")</f>
        <v/>
      </c>
    </row>
    <row r="5741" spans="1:17" ht="15" customHeight="1" x14ac:dyDescent="0.3">
      <c r="A5741" s="23" t="s">
        <v>19019</v>
      </c>
      <c r="B5741" s="23" t="s">
        <v>18183</v>
      </c>
      <c r="C5741" s="23"/>
      <c r="D5741" s="23" t="str">
        <f t="shared" si="267"/>
        <v/>
      </c>
      <c r="E5741" s="38">
        <v>46295</v>
      </c>
      <c r="F5741" s="23" t="s">
        <v>12791</v>
      </c>
      <c r="G5741" s="23" t="s">
        <v>77</v>
      </c>
      <c r="H5741" s="24">
        <v>999</v>
      </c>
      <c r="I5741" s="24">
        <v>0</v>
      </c>
      <c r="J5741" s="24">
        <v>0</v>
      </c>
      <c r="K5741" s="24">
        <v>-999</v>
      </c>
      <c r="L5741" s="38">
        <v>46297</v>
      </c>
      <c r="M5741" s="23" t="s">
        <v>110</v>
      </c>
      <c r="N5741" s="23" t="str">
        <f>IF(COUNTIF($A$2:A5741,A5741)&gt;1,"DUP","OK")</f>
        <v>OK</v>
      </c>
      <c r="O5741" s="23" t="str">
        <f t="shared" si="268"/>
        <v>ORD26002802</v>
      </c>
      <c r="P5741" s="23" t="str">
        <f t="shared" si="269"/>
        <v>Oct-Due</v>
      </c>
      <c r="Q5741" s="23" t="str">
        <f>IF(F5741="CAPTURE",IF(COUNTIF(orders!$A:$A,O5741)&gt;0,"Yes","NO ORDER"),"")</f>
        <v/>
      </c>
    </row>
    <row r="5742" spans="1:17" ht="15" customHeight="1" x14ac:dyDescent="0.3">
      <c r="A5742" s="23" t="s">
        <v>19020</v>
      </c>
      <c r="B5742" s="23" t="s">
        <v>17806</v>
      </c>
      <c r="C5742" s="23"/>
      <c r="D5742" s="23" t="str">
        <f t="shared" si="267"/>
        <v/>
      </c>
      <c r="E5742" s="38">
        <v>46295</v>
      </c>
      <c r="F5742" s="23" t="s">
        <v>12791</v>
      </c>
      <c r="G5742" s="23" t="s">
        <v>79</v>
      </c>
      <c r="H5742" s="24">
        <v>12297</v>
      </c>
      <c r="I5742" s="24">
        <v>0</v>
      </c>
      <c r="J5742" s="24">
        <v>0</v>
      </c>
      <c r="K5742" s="24">
        <v>-12297</v>
      </c>
      <c r="L5742" s="38">
        <v>46297</v>
      </c>
      <c r="M5742" s="23" t="s">
        <v>110</v>
      </c>
      <c r="N5742" s="23" t="str">
        <f>IF(COUNTIF($A$2:A5742,A5742)&gt;1,"DUP","OK")</f>
        <v>OK</v>
      </c>
      <c r="O5742" s="23" t="str">
        <f t="shared" si="268"/>
        <v>ORD26004474</v>
      </c>
      <c r="P5742" s="23" t="str">
        <f t="shared" si="269"/>
        <v>Oct-Due</v>
      </c>
      <c r="Q5742" s="23" t="str">
        <f>IF(F5742="CAPTURE",IF(COUNTIF(orders!$A:$A,O5742)&gt;0,"Yes","NO ORDER"),"")</f>
        <v/>
      </c>
    </row>
    <row r="5743" spans="1:17" ht="15" customHeight="1" x14ac:dyDescent="0.3">
      <c r="A5743" s="23" t="s">
        <v>19021</v>
      </c>
      <c r="B5743" s="23" t="s">
        <v>17772</v>
      </c>
      <c r="C5743" s="23"/>
      <c r="D5743" s="23" t="str">
        <f t="shared" si="267"/>
        <v/>
      </c>
      <c r="E5743" s="38">
        <v>46295</v>
      </c>
      <c r="F5743" s="23" t="s">
        <v>12791</v>
      </c>
      <c r="G5743" s="23" t="s">
        <v>75</v>
      </c>
      <c r="H5743" s="24">
        <v>10998</v>
      </c>
      <c r="I5743" s="24">
        <v>0</v>
      </c>
      <c r="J5743" s="24">
        <v>0</v>
      </c>
      <c r="K5743" s="24">
        <v>-10998</v>
      </c>
      <c r="L5743" s="38">
        <v>46297</v>
      </c>
      <c r="M5743" s="23" t="s">
        <v>110</v>
      </c>
      <c r="N5743" s="23" t="str">
        <f>IF(COUNTIF($A$2:A5743,A5743)&gt;1,"DUP","OK")</f>
        <v>OK</v>
      </c>
      <c r="O5743" s="23" t="str">
        <f t="shared" si="268"/>
        <v>ORD26003615</v>
      </c>
      <c r="P5743" s="23" t="str">
        <f t="shared" si="269"/>
        <v>Oct-Due</v>
      </c>
      <c r="Q5743" s="23" t="str">
        <f>IF(F5743="CAPTURE",IF(COUNTIF(orders!$A:$A,O5743)&gt;0,"Yes","NO ORDER"),"")</f>
        <v/>
      </c>
    </row>
  </sheetData>
  <autoFilter ref="A1:Q5743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50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5" customWidth="1"/>
    <col min="3" max="3" width="13" customWidth="1"/>
    <col min="4" max="4" width="11" customWidth="1"/>
    <col min="5" max="5" width="10" customWidth="1"/>
    <col min="6" max="6" width="13" customWidth="1"/>
    <col min="7" max="7" width="10" customWidth="1"/>
    <col min="8" max="8" width="13" customWidth="1"/>
    <col min="9" max="10" width="12" customWidth="1"/>
    <col min="11" max="11" width="13" customWidth="1"/>
    <col min="12" max="12" width="14" customWidth="1"/>
  </cols>
  <sheetData>
    <row r="1" spans="1:12" ht="23.25" customHeight="1" x14ac:dyDescent="0.3">
      <c r="A1" s="17" t="s">
        <v>12394</v>
      </c>
      <c r="B1" s="17" t="s">
        <v>236</v>
      </c>
      <c r="C1" s="17" t="s">
        <v>12400</v>
      </c>
      <c r="D1" s="17" t="s">
        <v>12401</v>
      </c>
      <c r="E1" s="17" t="s">
        <v>19022</v>
      </c>
      <c r="F1" s="36" t="s">
        <v>19023</v>
      </c>
      <c r="G1" s="36" t="s">
        <v>19024</v>
      </c>
      <c r="H1" s="36" t="s">
        <v>19025</v>
      </c>
      <c r="I1" s="36" t="s">
        <v>19026</v>
      </c>
      <c r="J1" s="36" t="s">
        <v>19027</v>
      </c>
      <c r="K1" s="36" t="s">
        <v>19028</v>
      </c>
      <c r="L1" s="36" t="s">
        <v>19029</v>
      </c>
    </row>
    <row r="2" spans="1:12" ht="15" customHeight="1" x14ac:dyDescent="0.3">
      <c r="A2" s="23" t="s">
        <v>12409</v>
      </c>
      <c r="B2" s="23" t="s">
        <v>77</v>
      </c>
      <c r="C2" s="39">
        <v>6798</v>
      </c>
      <c r="D2" s="24">
        <v>163.15</v>
      </c>
      <c r="E2" s="24">
        <v>29.37</v>
      </c>
      <c r="F2" s="23">
        <f>COUNTIFS(mdr_rate_cleaned!$A$2:$A$10,B2,mdr_rate_cleaned!$B$2:$B$10,"&lt;"&amp;C2,mdr_rate_cleaned!$F$2:$F$10,"&gt;="&amp;C2)</f>
        <v>1</v>
      </c>
      <c r="G2" s="40">
        <f>SUMIFS(mdr_rate_cleaned!$G$2:$G$10,mdr_rate_cleaned!$A$2:$A$10,B2,mdr_rate_cleaned!$B$2:$B$10,"&lt;"&amp;C2,mdr_rate_cleaned!$F$2:$F$10,"&gt;="&amp;C2)</f>
        <v>1.7000000000000001E-2</v>
      </c>
      <c r="H2" s="24">
        <f t="shared" ref="H2:H65" si="0">ROUND(C2*G2,2)</f>
        <v>115.57</v>
      </c>
      <c r="I2" s="23" t="str">
        <f t="shared" ref="I2:I65" si="1">IF(ROUND(D2-H2,2)=0,"Match","Differs")</f>
        <v>Differs</v>
      </c>
      <c r="J2" s="23" t="str">
        <f t="shared" ref="J2:J65" si="2">IF(ROUND(E2-ROUND(D2*0.18,2),2)=0,"Match","Differs")</f>
        <v>Match</v>
      </c>
      <c r="K2" s="24">
        <f t="shared" ref="K2:K65" si="3">ROUND(H2*0.18,2)</f>
        <v>20.8</v>
      </c>
      <c r="L2" s="24">
        <f t="shared" ref="L2:L65" si="4">ROUND(D2+E2-H2-K2,2)</f>
        <v>56.15</v>
      </c>
    </row>
    <row r="3" spans="1:12" ht="15" customHeight="1" x14ac:dyDescent="0.3">
      <c r="A3" s="23" t="s">
        <v>12411</v>
      </c>
      <c r="B3" s="23" t="s">
        <v>79</v>
      </c>
      <c r="C3" s="39">
        <v>11297</v>
      </c>
      <c r="D3" s="24">
        <v>180.75</v>
      </c>
      <c r="E3" s="24">
        <v>32.54</v>
      </c>
      <c r="F3" s="23">
        <f>COUNTIFS(mdr_rate_cleaned!$A$2:$A$10,B3,mdr_rate_cleaned!$B$2:$B$10,"&lt;"&amp;C3,mdr_rate_cleaned!$F$2:$F$10,"&gt;="&amp;C3)</f>
        <v>1</v>
      </c>
      <c r="G3" s="40">
        <f>SUMIFS(mdr_rate_cleaned!$G$2:$G$10,mdr_rate_cleaned!$A$2:$A$10,B3,mdr_rate_cleaned!$B$2:$B$10,"&lt;"&amp;C3,mdr_rate_cleaned!$F$2:$F$10,"&gt;="&amp;C3)</f>
        <v>1.6E-2</v>
      </c>
      <c r="H3" s="24">
        <f t="shared" si="0"/>
        <v>180.75</v>
      </c>
      <c r="I3" s="23" t="str">
        <f t="shared" si="1"/>
        <v>Match</v>
      </c>
      <c r="J3" s="23" t="str">
        <f t="shared" si="2"/>
        <v>Match</v>
      </c>
      <c r="K3" s="24">
        <f t="shared" si="3"/>
        <v>32.54</v>
      </c>
      <c r="L3" s="24">
        <f t="shared" si="4"/>
        <v>0</v>
      </c>
    </row>
    <row r="4" spans="1:12" ht="15" customHeight="1" x14ac:dyDescent="0.3">
      <c r="A4" s="23" t="s">
        <v>12413</v>
      </c>
      <c r="B4" s="23" t="s">
        <v>79</v>
      </c>
      <c r="C4" s="39">
        <v>4999</v>
      </c>
      <c r="D4" s="24">
        <v>79.98</v>
      </c>
      <c r="E4" s="24">
        <v>14.4</v>
      </c>
      <c r="F4" s="23">
        <f>COUNTIFS(mdr_rate_cleaned!$A$2:$A$10,B4,mdr_rate_cleaned!$B$2:$B$10,"&lt;"&amp;C4,mdr_rate_cleaned!$F$2:$F$10,"&gt;="&amp;C4)</f>
        <v>1</v>
      </c>
      <c r="G4" s="40">
        <f>SUMIFS(mdr_rate_cleaned!$G$2:$G$10,mdr_rate_cleaned!$A$2:$A$10,B4,mdr_rate_cleaned!$B$2:$B$10,"&lt;"&amp;C4,mdr_rate_cleaned!$F$2:$F$10,"&gt;="&amp;C4)</f>
        <v>1.6E-2</v>
      </c>
      <c r="H4" s="24">
        <f t="shared" si="0"/>
        <v>79.98</v>
      </c>
      <c r="I4" s="23" t="str">
        <f t="shared" si="1"/>
        <v>Match</v>
      </c>
      <c r="J4" s="23" t="str">
        <f t="shared" si="2"/>
        <v>Match</v>
      </c>
      <c r="K4" s="24">
        <f t="shared" si="3"/>
        <v>14.4</v>
      </c>
      <c r="L4" s="24">
        <f t="shared" si="4"/>
        <v>0</v>
      </c>
    </row>
    <row r="5" spans="1:12" ht="15" customHeight="1" x14ac:dyDescent="0.3">
      <c r="A5" s="23" t="s">
        <v>12414</v>
      </c>
      <c r="B5" s="23" t="s">
        <v>79</v>
      </c>
      <c r="C5" s="39">
        <v>349</v>
      </c>
      <c r="D5" s="24">
        <v>6.28</v>
      </c>
      <c r="E5" s="24">
        <v>1.1299999999999999</v>
      </c>
      <c r="F5" s="23">
        <f>COUNTIFS(mdr_rate_cleaned!$A$2:$A$10,B5,mdr_rate_cleaned!$B$2:$B$10,"&lt;"&amp;C5,mdr_rate_cleaned!$F$2:$F$10,"&gt;="&amp;C5)</f>
        <v>1</v>
      </c>
      <c r="G5" s="40">
        <f>SUMIFS(mdr_rate_cleaned!$G$2:$G$10,mdr_rate_cleaned!$A$2:$A$10,B5,mdr_rate_cleaned!$B$2:$B$10,"&lt;"&amp;C5,mdr_rate_cleaned!$F$2:$F$10,"&gt;="&amp;C5)</f>
        <v>1.8000000000000002E-2</v>
      </c>
      <c r="H5" s="24">
        <f t="shared" si="0"/>
        <v>6.28</v>
      </c>
      <c r="I5" s="23" t="str">
        <f t="shared" si="1"/>
        <v>Match</v>
      </c>
      <c r="J5" s="23" t="str">
        <f t="shared" si="2"/>
        <v>Match</v>
      </c>
      <c r="K5" s="24">
        <f t="shared" si="3"/>
        <v>1.1299999999999999</v>
      </c>
      <c r="L5" s="24">
        <f t="shared" si="4"/>
        <v>0</v>
      </c>
    </row>
    <row r="6" spans="1:12" ht="15" customHeight="1" x14ac:dyDescent="0.3">
      <c r="A6" s="23" t="s">
        <v>12415</v>
      </c>
      <c r="B6" s="23" t="s">
        <v>75</v>
      </c>
      <c r="C6" s="39">
        <v>9498</v>
      </c>
      <c r="D6" s="24">
        <v>28.49</v>
      </c>
      <c r="E6" s="24">
        <v>5.13</v>
      </c>
      <c r="F6" s="23">
        <f>COUNTIFS(mdr_rate_cleaned!$A$2:$A$10,B6,mdr_rate_cleaned!$B$2:$B$10,"&lt;"&amp;C6,mdr_rate_cleaned!$F$2:$F$10,"&gt;="&amp;C6)</f>
        <v>1</v>
      </c>
      <c r="G6" s="40">
        <f>SUMIFS(mdr_rate_cleaned!$G$2:$G$10,mdr_rate_cleaned!$A$2:$A$10,B6,mdr_rate_cleaned!$B$2:$B$10,"&lt;"&amp;C6,mdr_rate_cleaned!$F$2:$F$10,"&gt;="&amp;C6)</f>
        <v>3.0000000000000001E-3</v>
      </c>
      <c r="H6" s="24">
        <f t="shared" si="0"/>
        <v>28.49</v>
      </c>
      <c r="I6" s="23" t="str">
        <f t="shared" si="1"/>
        <v>Match</v>
      </c>
      <c r="J6" s="23" t="str">
        <f t="shared" si="2"/>
        <v>Match</v>
      </c>
      <c r="K6" s="24">
        <f t="shared" si="3"/>
        <v>5.13</v>
      </c>
      <c r="L6" s="24">
        <f t="shared" si="4"/>
        <v>0</v>
      </c>
    </row>
    <row r="7" spans="1:12" ht="15" customHeight="1" x14ac:dyDescent="0.3">
      <c r="A7" s="23" t="s">
        <v>12416</v>
      </c>
      <c r="B7" s="23" t="s">
        <v>79</v>
      </c>
      <c r="C7" s="39">
        <v>7999</v>
      </c>
      <c r="D7" s="24">
        <v>127.98</v>
      </c>
      <c r="E7" s="24">
        <v>23.04</v>
      </c>
      <c r="F7" s="23">
        <f>COUNTIFS(mdr_rate_cleaned!$A$2:$A$10,B7,mdr_rate_cleaned!$B$2:$B$10,"&lt;"&amp;C7,mdr_rate_cleaned!$F$2:$F$10,"&gt;="&amp;C7)</f>
        <v>1</v>
      </c>
      <c r="G7" s="40">
        <f>SUMIFS(mdr_rate_cleaned!$G$2:$G$10,mdr_rate_cleaned!$A$2:$A$10,B7,mdr_rate_cleaned!$B$2:$B$10,"&lt;"&amp;C7,mdr_rate_cleaned!$F$2:$F$10,"&gt;="&amp;C7)</f>
        <v>1.6E-2</v>
      </c>
      <c r="H7" s="24">
        <f t="shared" si="0"/>
        <v>127.98</v>
      </c>
      <c r="I7" s="23" t="str">
        <f t="shared" si="1"/>
        <v>Match</v>
      </c>
      <c r="J7" s="23" t="str">
        <f t="shared" si="2"/>
        <v>Match</v>
      </c>
      <c r="K7" s="24">
        <f t="shared" si="3"/>
        <v>23.04</v>
      </c>
      <c r="L7" s="24">
        <f t="shared" si="4"/>
        <v>0</v>
      </c>
    </row>
    <row r="8" spans="1:12" ht="15" customHeight="1" x14ac:dyDescent="0.3">
      <c r="A8" s="23" t="s">
        <v>12417</v>
      </c>
      <c r="B8" s="23" t="s">
        <v>79</v>
      </c>
      <c r="C8" s="39">
        <v>1299</v>
      </c>
      <c r="D8" s="24">
        <v>23.38</v>
      </c>
      <c r="E8" s="24">
        <v>4.21</v>
      </c>
      <c r="F8" s="23">
        <f>COUNTIFS(mdr_rate_cleaned!$A$2:$A$10,B8,mdr_rate_cleaned!$B$2:$B$10,"&lt;"&amp;C8,mdr_rate_cleaned!$F$2:$F$10,"&gt;="&amp;C8)</f>
        <v>1</v>
      </c>
      <c r="G8" s="40">
        <f>SUMIFS(mdr_rate_cleaned!$G$2:$G$10,mdr_rate_cleaned!$A$2:$A$10,B8,mdr_rate_cleaned!$B$2:$B$10,"&lt;"&amp;C8,mdr_rate_cleaned!$F$2:$F$10,"&gt;="&amp;C8)</f>
        <v>1.8000000000000002E-2</v>
      </c>
      <c r="H8" s="24">
        <f t="shared" si="0"/>
        <v>23.38</v>
      </c>
      <c r="I8" s="23" t="str">
        <f t="shared" si="1"/>
        <v>Match</v>
      </c>
      <c r="J8" s="23" t="str">
        <f t="shared" si="2"/>
        <v>Match</v>
      </c>
      <c r="K8" s="24">
        <f t="shared" si="3"/>
        <v>4.21</v>
      </c>
      <c r="L8" s="24">
        <f t="shared" si="4"/>
        <v>0</v>
      </c>
    </row>
    <row r="9" spans="1:12" ht="15" customHeight="1" x14ac:dyDescent="0.3">
      <c r="A9" s="23" t="s">
        <v>12418</v>
      </c>
      <c r="B9" s="23" t="s">
        <v>75</v>
      </c>
      <c r="C9" s="39">
        <v>1799</v>
      </c>
      <c r="D9" s="24">
        <v>0</v>
      </c>
      <c r="E9" s="24">
        <v>0</v>
      </c>
      <c r="F9" s="23">
        <f>COUNTIFS(mdr_rate_cleaned!$A$2:$A$10,B9,mdr_rate_cleaned!$B$2:$B$10,"&lt;"&amp;C9,mdr_rate_cleaned!$F$2:$F$10,"&gt;="&amp;C9)</f>
        <v>1</v>
      </c>
      <c r="G9" s="40">
        <f>SUMIFS(mdr_rate_cleaned!$G$2:$G$10,mdr_rate_cleaned!$A$2:$A$10,B9,mdr_rate_cleaned!$B$2:$B$10,"&lt;"&amp;C9,mdr_rate_cleaned!$F$2:$F$10,"&gt;="&amp;C9)</f>
        <v>0</v>
      </c>
      <c r="H9" s="24">
        <f t="shared" si="0"/>
        <v>0</v>
      </c>
      <c r="I9" s="23" t="str">
        <f t="shared" si="1"/>
        <v>Match</v>
      </c>
      <c r="J9" s="23" t="str">
        <f t="shared" si="2"/>
        <v>Match</v>
      </c>
      <c r="K9" s="24">
        <f t="shared" si="3"/>
        <v>0</v>
      </c>
      <c r="L9" s="24">
        <f t="shared" si="4"/>
        <v>0</v>
      </c>
    </row>
    <row r="10" spans="1:12" ht="15" customHeight="1" x14ac:dyDescent="0.3">
      <c r="A10" s="23" t="s">
        <v>12419</v>
      </c>
      <c r="B10" s="23" t="s">
        <v>75</v>
      </c>
      <c r="C10" s="39">
        <v>4298</v>
      </c>
      <c r="D10" s="24">
        <v>12.89</v>
      </c>
      <c r="E10" s="24">
        <v>2.3199999999999998</v>
      </c>
      <c r="F10" s="23">
        <f>COUNTIFS(mdr_rate_cleaned!$A$2:$A$10,B10,mdr_rate_cleaned!$B$2:$B$10,"&lt;"&amp;C10,mdr_rate_cleaned!$F$2:$F$10,"&gt;="&amp;C10)</f>
        <v>1</v>
      </c>
      <c r="G10" s="40">
        <f>SUMIFS(mdr_rate_cleaned!$G$2:$G$10,mdr_rate_cleaned!$A$2:$A$10,B10,mdr_rate_cleaned!$B$2:$B$10,"&lt;"&amp;C10,mdr_rate_cleaned!$F$2:$F$10,"&gt;="&amp;C10)</f>
        <v>3.0000000000000001E-3</v>
      </c>
      <c r="H10" s="24">
        <f t="shared" si="0"/>
        <v>12.89</v>
      </c>
      <c r="I10" s="23" t="str">
        <f t="shared" si="1"/>
        <v>Match</v>
      </c>
      <c r="J10" s="23" t="str">
        <f t="shared" si="2"/>
        <v>Match</v>
      </c>
      <c r="K10" s="24">
        <f t="shared" si="3"/>
        <v>2.3199999999999998</v>
      </c>
      <c r="L10" s="24">
        <f t="shared" si="4"/>
        <v>0</v>
      </c>
    </row>
    <row r="11" spans="1:12" ht="15" customHeight="1" x14ac:dyDescent="0.3">
      <c r="A11" s="23" t="s">
        <v>12420</v>
      </c>
      <c r="B11" s="23" t="s">
        <v>79</v>
      </c>
      <c r="C11" s="39">
        <v>799</v>
      </c>
      <c r="D11" s="24">
        <v>14.38</v>
      </c>
      <c r="E11" s="24">
        <v>2.59</v>
      </c>
      <c r="F11" s="23">
        <f>COUNTIFS(mdr_rate_cleaned!$A$2:$A$10,B11,mdr_rate_cleaned!$B$2:$B$10,"&lt;"&amp;C11,mdr_rate_cleaned!$F$2:$F$10,"&gt;="&amp;C11)</f>
        <v>1</v>
      </c>
      <c r="G11" s="40">
        <f>SUMIFS(mdr_rate_cleaned!$G$2:$G$10,mdr_rate_cleaned!$A$2:$A$10,B11,mdr_rate_cleaned!$B$2:$B$10,"&lt;"&amp;C11,mdr_rate_cleaned!$F$2:$F$10,"&gt;="&amp;C11)</f>
        <v>1.8000000000000002E-2</v>
      </c>
      <c r="H11" s="24">
        <f t="shared" si="0"/>
        <v>14.38</v>
      </c>
      <c r="I11" s="23" t="str">
        <f t="shared" si="1"/>
        <v>Match</v>
      </c>
      <c r="J11" s="23" t="str">
        <f t="shared" si="2"/>
        <v>Match</v>
      </c>
      <c r="K11" s="24">
        <f t="shared" si="3"/>
        <v>2.59</v>
      </c>
      <c r="L11" s="24">
        <f t="shared" si="4"/>
        <v>0</v>
      </c>
    </row>
    <row r="12" spans="1:12" ht="15" customHeight="1" x14ac:dyDescent="0.3">
      <c r="A12" s="23" t="s">
        <v>12421</v>
      </c>
      <c r="B12" s="23" t="s">
        <v>77</v>
      </c>
      <c r="C12" s="39">
        <v>4297</v>
      </c>
      <c r="D12" s="24">
        <v>73.05</v>
      </c>
      <c r="E12" s="24">
        <v>13.15</v>
      </c>
      <c r="F12" s="23">
        <f>COUNTIFS(mdr_rate_cleaned!$A$2:$A$10,B12,mdr_rate_cleaned!$B$2:$B$10,"&lt;"&amp;C12,mdr_rate_cleaned!$F$2:$F$10,"&gt;="&amp;C12)</f>
        <v>1</v>
      </c>
      <c r="G12" s="40">
        <f>SUMIFS(mdr_rate_cleaned!$G$2:$G$10,mdr_rate_cleaned!$A$2:$A$10,B12,mdr_rate_cleaned!$B$2:$B$10,"&lt;"&amp;C12,mdr_rate_cleaned!$F$2:$F$10,"&gt;="&amp;C12)</f>
        <v>1.7000000000000001E-2</v>
      </c>
      <c r="H12" s="24">
        <f t="shared" si="0"/>
        <v>73.05</v>
      </c>
      <c r="I12" s="23" t="str">
        <f t="shared" si="1"/>
        <v>Match</v>
      </c>
      <c r="J12" s="23" t="str">
        <f t="shared" si="2"/>
        <v>Match</v>
      </c>
      <c r="K12" s="24">
        <f t="shared" si="3"/>
        <v>13.15</v>
      </c>
      <c r="L12" s="24">
        <f t="shared" si="4"/>
        <v>0</v>
      </c>
    </row>
    <row r="13" spans="1:12" ht="15" customHeight="1" x14ac:dyDescent="0.3">
      <c r="A13" s="23" t="s">
        <v>12422</v>
      </c>
      <c r="B13" s="23" t="s">
        <v>79</v>
      </c>
      <c r="C13" s="39">
        <v>898</v>
      </c>
      <c r="D13" s="24">
        <v>16.16</v>
      </c>
      <c r="E13" s="24">
        <v>2.91</v>
      </c>
      <c r="F13" s="23">
        <f>COUNTIFS(mdr_rate_cleaned!$A$2:$A$10,B13,mdr_rate_cleaned!$B$2:$B$10,"&lt;"&amp;C13,mdr_rate_cleaned!$F$2:$F$10,"&gt;="&amp;C13)</f>
        <v>1</v>
      </c>
      <c r="G13" s="40">
        <f>SUMIFS(mdr_rate_cleaned!$G$2:$G$10,mdr_rate_cleaned!$A$2:$A$10,B13,mdr_rate_cleaned!$B$2:$B$10,"&lt;"&amp;C13,mdr_rate_cleaned!$F$2:$F$10,"&gt;="&amp;C13)</f>
        <v>1.8000000000000002E-2</v>
      </c>
      <c r="H13" s="24">
        <f t="shared" si="0"/>
        <v>16.16</v>
      </c>
      <c r="I13" s="23" t="str">
        <f t="shared" si="1"/>
        <v>Match</v>
      </c>
      <c r="J13" s="23" t="str">
        <f t="shared" si="2"/>
        <v>Match</v>
      </c>
      <c r="K13" s="24">
        <f t="shared" si="3"/>
        <v>2.91</v>
      </c>
      <c r="L13" s="24">
        <f t="shared" si="4"/>
        <v>0</v>
      </c>
    </row>
    <row r="14" spans="1:12" ht="15" customHeight="1" x14ac:dyDescent="0.3">
      <c r="A14" s="23" t="s">
        <v>12423</v>
      </c>
      <c r="B14" s="23" t="s">
        <v>79</v>
      </c>
      <c r="C14" s="39">
        <v>9498</v>
      </c>
      <c r="D14" s="24">
        <v>151.97</v>
      </c>
      <c r="E14" s="24">
        <v>27.35</v>
      </c>
      <c r="F14" s="23">
        <f>COUNTIFS(mdr_rate_cleaned!$A$2:$A$10,B14,mdr_rate_cleaned!$B$2:$B$10,"&lt;"&amp;C14,mdr_rate_cleaned!$F$2:$F$10,"&gt;="&amp;C14)</f>
        <v>1</v>
      </c>
      <c r="G14" s="40">
        <f>SUMIFS(mdr_rate_cleaned!$G$2:$G$10,mdr_rate_cleaned!$A$2:$A$10,B14,mdr_rate_cleaned!$B$2:$B$10,"&lt;"&amp;C14,mdr_rate_cleaned!$F$2:$F$10,"&gt;="&amp;C14)</f>
        <v>1.6E-2</v>
      </c>
      <c r="H14" s="24">
        <f t="shared" si="0"/>
        <v>151.97</v>
      </c>
      <c r="I14" s="23" t="str">
        <f t="shared" si="1"/>
        <v>Match</v>
      </c>
      <c r="J14" s="23" t="str">
        <f t="shared" si="2"/>
        <v>Match</v>
      </c>
      <c r="K14" s="24">
        <f t="shared" si="3"/>
        <v>27.35</v>
      </c>
      <c r="L14" s="24">
        <f t="shared" si="4"/>
        <v>0</v>
      </c>
    </row>
    <row r="15" spans="1:12" ht="15" customHeight="1" x14ac:dyDescent="0.3">
      <c r="A15" s="23" t="s">
        <v>12424</v>
      </c>
      <c r="B15" s="23" t="s">
        <v>79</v>
      </c>
      <c r="C15" s="39">
        <v>1798</v>
      </c>
      <c r="D15" s="24">
        <v>32.36</v>
      </c>
      <c r="E15" s="24">
        <v>5.82</v>
      </c>
      <c r="F15" s="23">
        <f>COUNTIFS(mdr_rate_cleaned!$A$2:$A$10,B15,mdr_rate_cleaned!$B$2:$B$10,"&lt;"&amp;C15,mdr_rate_cleaned!$F$2:$F$10,"&gt;="&amp;C15)</f>
        <v>1</v>
      </c>
      <c r="G15" s="40">
        <f>SUMIFS(mdr_rate_cleaned!$G$2:$G$10,mdr_rate_cleaned!$A$2:$A$10,B15,mdr_rate_cleaned!$B$2:$B$10,"&lt;"&amp;C15,mdr_rate_cleaned!$F$2:$F$10,"&gt;="&amp;C15)</f>
        <v>1.8000000000000002E-2</v>
      </c>
      <c r="H15" s="24">
        <f t="shared" si="0"/>
        <v>32.36</v>
      </c>
      <c r="I15" s="23" t="str">
        <f t="shared" si="1"/>
        <v>Match</v>
      </c>
      <c r="J15" s="23" t="str">
        <f t="shared" si="2"/>
        <v>Match</v>
      </c>
      <c r="K15" s="24">
        <f t="shared" si="3"/>
        <v>5.82</v>
      </c>
      <c r="L15" s="24">
        <f t="shared" si="4"/>
        <v>0</v>
      </c>
    </row>
    <row r="16" spans="1:12" ht="15" customHeight="1" x14ac:dyDescent="0.3">
      <c r="A16" s="23" t="s">
        <v>12425</v>
      </c>
      <c r="B16" s="23" t="s">
        <v>75</v>
      </c>
      <c r="C16" s="39">
        <v>7999</v>
      </c>
      <c r="D16" s="24">
        <v>24</v>
      </c>
      <c r="E16" s="24">
        <v>4.32</v>
      </c>
      <c r="F16" s="23">
        <f>COUNTIFS(mdr_rate_cleaned!$A$2:$A$10,B16,mdr_rate_cleaned!$B$2:$B$10,"&lt;"&amp;C16,mdr_rate_cleaned!$F$2:$F$10,"&gt;="&amp;C16)</f>
        <v>1</v>
      </c>
      <c r="G16" s="40">
        <f>SUMIFS(mdr_rate_cleaned!$G$2:$G$10,mdr_rate_cleaned!$A$2:$A$10,B16,mdr_rate_cleaned!$B$2:$B$10,"&lt;"&amp;C16,mdr_rate_cleaned!$F$2:$F$10,"&gt;="&amp;C16)</f>
        <v>3.0000000000000001E-3</v>
      </c>
      <c r="H16" s="24">
        <f t="shared" si="0"/>
        <v>24</v>
      </c>
      <c r="I16" s="23" t="str">
        <f t="shared" si="1"/>
        <v>Match</v>
      </c>
      <c r="J16" s="23" t="str">
        <f t="shared" si="2"/>
        <v>Match</v>
      </c>
      <c r="K16" s="24">
        <f t="shared" si="3"/>
        <v>4.32</v>
      </c>
      <c r="L16" s="24">
        <f t="shared" si="4"/>
        <v>0</v>
      </c>
    </row>
    <row r="17" spans="1:12" ht="15" customHeight="1" x14ac:dyDescent="0.3">
      <c r="A17" s="23" t="s">
        <v>12426</v>
      </c>
      <c r="B17" s="23" t="s">
        <v>75</v>
      </c>
      <c r="C17" s="39">
        <v>11997</v>
      </c>
      <c r="D17" s="24">
        <v>35.99</v>
      </c>
      <c r="E17" s="24">
        <v>6.48</v>
      </c>
      <c r="F17" s="23">
        <f>COUNTIFS(mdr_rate_cleaned!$A$2:$A$10,B17,mdr_rate_cleaned!$B$2:$B$10,"&lt;"&amp;C17,mdr_rate_cleaned!$F$2:$F$10,"&gt;="&amp;C17)</f>
        <v>1</v>
      </c>
      <c r="G17" s="40">
        <f>SUMIFS(mdr_rate_cleaned!$G$2:$G$10,mdr_rate_cleaned!$A$2:$A$10,B17,mdr_rate_cleaned!$B$2:$B$10,"&lt;"&amp;C17,mdr_rate_cleaned!$F$2:$F$10,"&gt;="&amp;C17)</f>
        <v>3.0000000000000001E-3</v>
      </c>
      <c r="H17" s="24">
        <f t="shared" si="0"/>
        <v>35.99</v>
      </c>
      <c r="I17" s="23" t="str">
        <f t="shared" si="1"/>
        <v>Match</v>
      </c>
      <c r="J17" s="23" t="str">
        <f t="shared" si="2"/>
        <v>Match</v>
      </c>
      <c r="K17" s="24">
        <f t="shared" si="3"/>
        <v>6.48</v>
      </c>
      <c r="L17" s="24">
        <f t="shared" si="4"/>
        <v>0</v>
      </c>
    </row>
    <row r="18" spans="1:12" ht="15" customHeight="1" x14ac:dyDescent="0.3">
      <c r="A18" s="23" t="s">
        <v>12427</v>
      </c>
      <c r="B18" s="23" t="s">
        <v>77</v>
      </c>
      <c r="C18" s="39">
        <v>999</v>
      </c>
      <c r="D18" s="24">
        <v>18.98</v>
      </c>
      <c r="E18" s="24">
        <v>3.42</v>
      </c>
      <c r="F18" s="23">
        <f>COUNTIFS(mdr_rate_cleaned!$A$2:$A$10,B18,mdr_rate_cleaned!$B$2:$B$10,"&lt;"&amp;C18,mdr_rate_cleaned!$F$2:$F$10,"&gt;="&amp;C18)</f>
        <v>1</v>
      </c>
      <c r="G18" s="40">
        <f>SUMIFS(mdr_rate_cleaned!$G$2:$G$10,mdr_rate_cleaned!$A$2:$A$10,B18,mdr_rate_cleaned!$B$2:$B$10,"&lt;"&amp;C18,mdr_rate_cleaned!$F$2:$F$10,"&gt;="&amp;C18)</f>
        <v>1.9E-2</v>
      </c>
      <c r="H18" s="24">
        <f t="shared" si="0"/>
        <v>18.98</v>
      </c>
      <c r="I18" s="23" t="str">
        <f t="shared" si="1"/>
        <v>Match</v>
      </c>
      <c r="J18" s="23" t="str">
        <f t="shared" si="2"/>
        <v>Match</v>
      </c>
      <c r="K18" s="24">
        <f t="shared" si="3"/>
        <v>3.42</v>
      </c>
      <c r="L18" s="24">
        <f t="shared" si="4"/>
        <v>0</v>
      </c>
    </row>
    <row r="19" spans="1:12" ht="15" customHeight="1" x14ac:dyDescent="0.3">
      <c r="A19" s="23" t="s">
        <v>12428</v>
      </c>
      <c r="B19" s="23" t="s">
        <v>75</v>
      </c>
      <c r="C19" s="39">
        <v>9798</v>
      </c>
      <c r="D19" s="24">
        <v>29.39</v>
      </c>
      <c r="E19" s="24">
        <v>5.29</v>
      </c>
      <c r="F19" s="23">
        <f>COUNTIFS(mdr_rate_cleaned!$A$2:$A$10,B19,mdr_rate_cleaned!$B$2:$B$10,"&lt;"&amp;C19,mdr_rate_cleaned!$F$2:$F$10,"&gt;="&amp;C19)</f>
        <v>1</v>
      </c>
      <c r="G19" s="40">
        <f>SUMIFS(mdr_rate_cleaned!$G$2:$G$10,mdr_rate_cleaned!$A$2:$A$10,B19,mdr_rate_cleaned!$B$2:$B$10,"&lt;"&amp;C19,mdr_rate_cleaned!$F$2:$F$10,"&gt;="&amp;C19)</f>
        <v>3.0000000000000001E-3</v>
      </c>
      <c r="H19" s="24">
        <f t="shared" si="0"/>
        <v>29.39</v>
      </c>
      <c r="I19" s="23" t="str">
        <f t="shared" si="1"/>
        <v>Match</v>
      </c>
      <c r="J19" s="23" t="str">
        <f t="shared" si="2"/>
        <v>Match</v>
      </c>
      <c r="K19" s="24">
        <f t="shared" si="3"/>
        <v>5.29</v>
      </c>
      <c r="L19" s="24">
        <f t="shared" si="4"/>
        <v>0</v>
      </c>
    </row>
    <row r="20" spans="1:12" ht="15" customHeight="1" x14ac:dyDescent="0.3">
      <c r="A20" s="23" t="s">
        <v>12429</v>
      </c>
      <c r="B20" s="23" t="s">
        <v>79</v>
      </c>
      <c r="C20" s="39">
        <v>599</v>
      </c>
      <c r="D20" s="24">
        <v>10.78</v>
      </c>
      <c r="E20" s="24">
        <v>1.94</v>
      </c>
      <c r="F20" s="23">
        <f>COUNTIFS(mdr_rate_cleaned!$A$2:$A$10,B20,mdr_rate_cleaned!$B$2:$B$10,"&lt;"&amp;C20,mdr_rate_cleaned!$F$2:$F$10,"&gt;="&amp;C20)</f>
        <v>1</v>
      </c>
      <c r="G20" s="40">
        <f>SUMIFS(mdr_rate_cleaned!$G$2:$G$10,mdr_rate_cleaned!$A$2:$A$10,B20,mdr_rate_cleaned!$B$2:$B$10,"&lt;"&amp;C20,mdr_rate_cleaned!$F$2:$F$10,"&gt;="&amp;C20)</f>
        <v>1.8000000000000002E-2</v>
      </c>
      <c r="H20" s="24">
        <f t="shared" si="0"/>
        <v>10.78</v>
      </c>
      <c r="I20" s="23" t="str">
        <f t="shared" si="1"/>
        <v>Match</v>
      </c>
      <c r="J20" s="23" t="str">
        <f t="shared" si="2"/>
        <v>Match</v>
      </c>
      <c r="K20" s="24">
        <f t="shared" si="3"/>
        <v>1.94</v>
      </c>
      <c r="L20" s="24">
        <f t="shared" si="4"/>
        <v>0</v>
      </c>
    </row>
    <row r="21" spans="1:12" ht="15" customHeight="1" x14ac:dyDescent="0.3">
      <c r="A21" s="23" t="s">
        <v>12430</v>
      </c>
      <c r="B21" s="23" t="s">
        <v>75</v>
      </c>
      <c r="C21" s="39">
        <v>1998</v>
      </c>
      <c r="D21" s="24">
        <v>0</v>
      </c>
      <c r="E21" s="24">
        <v>0</v>
      </c>
      <c r="F21" s="23">
        <f>COUNTIFS(mdr_rate_cleaned!$A$2:$A$10,B21,mdr_rate_cleaned!$B$2:$B$10,"&lt;"&amp;C21,mdr_rate_cleaned!$F$2:$F$10,"&gt;="&amp;C21)</f>
        <v>1</v>
      </c>
      <c r="G21" s="40">
        <f>SUMIFS(mdr_rate_cleaned!$G$2:$G$10,mdr_rate_cleaned!$A$2:$A$10,B21,mdr_rate_cleaned!$B$2:$B$10,"&lt;"&amp;C21,mdr_rate_cleaned!$F$2:$F$10,"&gt;="&amp;C21)</f>
        <v>0</v>
      </c>
      <c r="H21" s="24">
        <f t="shared" si="0"/>
        <v>0</v>
      </c>
      <c r="I21" s="23" t="str">
        <f t="shared" si="1"/>
        <v>Match</v>
      </c>
      <c r="J21" s="23" t="str">
        <f t="shared" si="2"/>
        <v>Match</v>
      </c>
      <c r="K21" s="24">
        <f t="shared" si="3"/>
        <v>0</v>
      </c>
      <c r="L21" s="24">
        <f t="shared" si="4"/>
        <v>0</v>
      </c>
    </row>
    <row r="22" spans="1:12" ht="15" customHeight="1" x14ac:dyDescent="0.3">
      <c r="A22" s="23" t="s">
        <v>12431</v>
      </c>
      <c r="B22" s="23" t="s">
        <v>75</v>
      </c>
      <c r="C22" s="39">
        <v>499</v>
      </c>
      <c r="D22" s="24">
        <v>0</v>
      </c>
      <c r="E22" s="24">
        <v>0</v>
      </c>
      <c r="F22" s="23">
        <f>COUNTIFS(mdr_rate_cleaned!$A$2:$A$10,B22,mdr_rate_cleaned!$B$2:$B$10,"&lt;"&amp;C22,mdr_rate_cleaned!$F$2:$F$10,"&gt;="&amp;C22)</f>
        <v>1</v>
      </c>
      <c r="G22" s="40">
        <f>SUMIFS(mdr_rate_cleaned!$G$2:$G$10,mdr_rate_cleaned!$A$2:$A$10,B22,mdr_rate_cleaned!$B$2:$B$10,"&lt;"&amp;C22,mdr_rate_cleaned!$F$2:$F$10,"&gt;="&amp;C22)</f>
        <v>0</v>
      </c>
      <c r="H22" s="24">
        <f t="shared" si="0"/>
        <v>0</v>
      </c>
      <c r="I22" s="23" t="str">
        <f t="shared" si="1"/>
        <v>Match</v>
      </c>
      <c r="J22" s="23" t="str">
        <f t="shared" si="2"/>
        <v>Match</v>
      </c>
      <c r="K22" s="24">
        <f t="shared" si="3"/>
        <v>0</v>
      </c>
      <c r="L22" s="24">
        <f t="shared" si="4"/>
        <v>0</v>
      </c>
    </row>
    <row r="23" spans="1:12" ht="15" customHeight="1" x14ac:dyDescent="0.3">
      <c r="A23" s="23" t="s">
        <v>12432</v>
      </c>
      <c r="B23" s="23" t="s">
        <v>81</v>
      </c>
      <c r="C23" s="39">
        <v>1799</v>
      </c>
      <c r="D23" s="24">
        <v>26.99</v>
      </c>
      <c r="E23" s="24">
        <v>4.8600000000000003</v>
      </c>
      <c r="F23" s="23">
        <f>COUNTIFS(mdr_rate_cleaned!$A$2:$A$10,B23,mdr_rate_cleaned!$B$2:$B$10,"&lt;"&amp;C23,mdr_rate_cleaned!$F$2:$F$10,"&gt;="&amp;C23)</f>
        <v>1</v>
      </c>
      <c r="G23" s="40">
        <f>SUMIFS(mdr_rate_cleaned!$G$2:$G$10,mdr_rate_cleaned!$A$2:$A$10,B23,mdr_rate_cleaned!$B$2:$B$10,"&lt;"&amp;C23,mdr_rate_cleaned!$F$2:$F$10,"&gt;="&amp;C23)</f>
        <v>1.4999999999999999E-2</v>
      </c>
      <c r="H23" s="24">
        <f t="shared" si="0"/>
        <v>26.99</v>
      </c>
      <c r="I23" s="23" t="str">
        <f t="shared" si="1"/>
        <v>Match</v>
      </c>
      <c r="J23" s="23" t="str">
        <f t="shared" si="2"/>
        <v>Match</v>
      </c>
      <c r="K23" s="24">
        <f t="shared" si="3"/>
        <v>4.8600000000000003</v>
      </c>
      <c r="L23" s="24">
        <f t="shared" si="4"/>
        <v>0</v>
      </c>
    </row>
    <row r="24" spans="1:12" ht="15" customHeight="1" x14ac:dyDescent="0.3">
      <c r="A24" s="23" t="s">
        <v>12433</v>
      </c>
      <c r="B24" s="23" t="s">
        <v>77</v>
      </c>
      <c r="C24" s="39">
        <v>1298</v>
      </c>
      <c r="D24" s="24">
        <v>24.66</v>
      </c>
      <c r="E24" s="24">
        <v>4.4400000000000004</v>
      </c>
      <c r="F24" s="23">
        <f>COUNTIFS(mdr_rate_cleaned!$A$2:$A$10,B24,mdr_rate_cleaned!$B$2:$B$10,"&lt;"&amp;C24,mdr_rate_cleaned!$F$2:$F$10,"&gt;="&amp;C24)</f>
        <v>1</v>
      </c>
      <c r="G24" s="40">
        <f>SUMIFS(mdr_rate_cleaned!$G$2:$G$10,mdr_rate_cleaned!$A$2:$A$10,B24,mdr_rate_cleaned!$B$2:$B$10,"&lt;"&amp;C24,mdr_rate_cleaned!$F$2:$F$10,"&gt;="&amp;C24)</f>
        <v>1.9E-2</v>
      </c>
      <c r="H24" s="24">
        <f t="shared" si="0"/>
        <v>24.66</v>
      </c>
      <c r="I24" s="23" t="str">
        <f t="shared" si="1"/>
        <v>Match</v>
      </c>
      <c r="J24" s="23" t="str">
        <f t="shared" si="2"/>
        <v>Match</v>
      </c>
      <c r="K24" s="24">
        <f t="shared" si="3"/>
        <v>4.4400000000000004</v>
      </c>
      <c r="L24" s="24">
        <f t="shared" si="4"/>
        <v>0</v>
      </c>
    </row>
    <row r="25" spans="1:12" ht="15" customHeight="1" x14ac:dyDescent="0.3">
      <c r="A25" s="23" t="s">
        <v>12434</v>
      </c>
      <c r="B25" s="23" t="s">
        <v>79</v>
      </c>
      <c r="C25" s="39">
        <v>10597</v>
      </c>
      <c r="D25" s="24">
        <v>169.55</v>
      </c>
      <c r="E25" s="24">
        <v>30.52</v>
      </c>
      <c r="F25" s="23">
        <f>COUNTIFS(mdr_rate_cleaned!$A$2:$A$10,B25,mdr_rate_cleaned!$B$2:$B$10,"&lt;"&amp;C25,mdr_rate_cleaned!$F$2:$F$10,"&gt;="&amp;C25)</f>
        <v>1</v>
      </c>
      <c r="G25" s="40">
        <f>SUMIFS(mdr_rate_cleaned!$G$2:$G$10,mdr_rate_cleaned!$A$2:$A$10,B25,mdr_rate_cleaned!$B$2:$B$10,"&lt;"&amp;C25,mdr_rate_cleaned!$F$2:$F$10,"&gt;="&amp;C25)</f>
        <v>1.6E-2</v>
      </c>
      <c r="H25" s="24">
        <f t="shared" si="0"/>
        <v>169.55</v>
      </c>
      <c r="I25" s="23" t="str">
        <f t="shared" si="1"/>
        <v>Match</v>
      </c>
      <c r="J25" s="23" t="str">
        <f t="shared" si="2"/>
        <v>Match</v>
      </c>
      <c r="K25" s="24">
        <f t="shared" si="3"/>
        <v>30.52</v>
      </c>
      <c r="L25" s="24">
        <f t="shared" si="4"/>
        <v>0</v>
      </c>
    </row>
    <row r="26" spans="1:12" ht="15" customHeight="1" x14ac:dyDescent="0.3">
      <c r="A26" s="23" t="s">
        <v>12435</v>
      </c>
      <c r="B26" s="23" t="s">
        <v>75</v>
      </c>
      <c r="C26" s="39">
        <v>10797</v>
      </c>
      <c r="D26" s="24">
        <v>32.39</v>
      </c>
      <c r="E26" s="24">
        <v>5.83</v>
      </c>
      <c r="F26" s="23">
        <f>COUNTIFS(mdr_rate_cleaned!$A$2:$A$10,B26,mdr_rate_cleaned!$B$2:$B$10,"&lt;"&amp;C26,mdr_rate_cleaned!$F$2:$F$10,"&gt;="&amp;C26)</f>
        <v>1</v>
      </c>
      <c r="G26" s="40">
        <f>SUMIFS(mdr_rate_cleaned!$G$2:$G$10,mdr_rate_cleaned!$A$2:$A$10,B26,mdr_rate_cleaned!$B$2:$B$10,"&lt;"&amp;C26,mdr_rate_cleaned!$F$2:$F$10,"&gt;="&amp;C26)</f>
        <v>3.0000000000000001E-3</v>
      </c>
      <c r="H26" s="24">
        <f t="shared" si="0"/>
        <v>32.39</v>
      </c>
      <c r="I26" s="23" t="str">
        <f t="shared" si="1"/>
        <v>Match</v>
      </c>
      <c r="J26" s="23" t="str">
        <f t="shared" si="2"/>
        <v>Match</v>
      </c>
      <c r="K26" s="24">
        <f t="shared" si="3"/>
        <v>5.83</v>
      </c>
      <c r="L26" s="24">
        <f t="shared" si="4"/>
        <v>0</v>
      </c>
    </row>
    <row r="27" spans="1:12" ht="15" customHeight="1" x14ac:dyDescent="0.3">
      <c r="A27" s="23" t="s">
        <v>12436</v>
      </c>
      <c r="B27" s="23" t="s">
        <v>75</v>
      </c>
      <c r="C27" s="39">
        <v>6298</v>
      </c>
      <c r="D27" s="24">
        <v>18.89</v>
      </c>
      <c r="E27" s="24">
        <v>3.4</v>
      </c>
      <c r="F27" s="23">
        <f>COUNTIFS(mdr_rate_cleaned!$A$2:$A$10,B27,mdr_rate_cleaned!$B$2:$B$10,"&lt;"&amp;C27,mdr_rate_cleaned!$F$2:$F$10,"&gt;="&amp;C27)</f>
        <v>1</v>
      </c>
      <c r="G27" s="40">
        <f>SUMIFS(mdr_rate_cleaned!$G$2:$G$10,mdr_rate_cleaned!$A$2:$A$10,B27,mdr_rate_cleaned!$B$2:$B$10,"&lt;"&amp;C27,mdr_rate_cleaned!$F$2:$F$10,"&gt;="&amp;C27)</f>
        <v>3.0000000000000001E-3</v>
      </c>
      <c r="H27" s="24">
        <f t="shared" si="0"/>
        <v>18.89</v>
      </c>
      <c r="I27" s="23" t="str">
        <f t="shared" si="1"/>
        <v>Match</v>
      </c>
      <c r="J27" s="23" t="str">
        <f t="shared" si="2"/>
        <v>Match</v>
      </c>
      <c r="K27" s="24">
        <f t="shared" si="3"/>
        <v>3.4</v>
      </c>
      <c r="L27" s="24">
        <f t="shared" si="4"/>
        <v>0</v>
      </c>
    </row>
    <row r="28" spans="1:12" ht="15" customHeight="1" x14ac:dyDescent="0.3">
      <c r="A28" s="23" t="s">
        <v>12437</v>
      </c>
      <c r="B28" s="23" t="s">
        <v>79</v>
      </c>
      <c r="C28" s="39">
        <v>3598</v>
      </c>
      <c r="D28" s="24">
        <v>57.57</v>
      </c>
      <c r="E28" s="24">
        <v>10.36</v>
      </c>
      <c r="F28" s="23">
        <f>COUNTIFS(mdr_rate_cleaned!$A$2:$A$10,B28,mdr_rate_cleaned!$B$2:$B$10,"&lt;"&amp;C28,mdr_rate_cleaned!$F$2:$F$10,"&gt;="&amp;C28)</f>
        <v>1</v>
      </c>
      <c r="G28" s="40">
        <f>SUMIFS(mdr_rate_cleaned!$G$2:$G$10,mdr_rate_cleaned!$A$2:$A$10,B28,mdr_rate_cleaned!$B$2:$B$10,"&lt;"&amp;C28,mdr_rate_cleaned!$F$2:$F$10,"&gt;="&amp;C28)</f>
        <v>1.6E-2</v>
      </c>
      <c r="H28" s="24">
        <f t="shared" si="0"/>
        <v>57.57</v>
      </c>
      <c r="I28" s="23" t="str">
        <f t="shared" si="1"/>
        <v>Match</v>
      </c>
      <c r="J28" s="23" t="str">
        <f t="shared" si="2"/>
        <v>Match</v>
      </c>
      <c r="K28" s="24">
        <f t="shared" si="3"/>
        <v>10.36</v>
      </c>
      <c r="L28" s="24">
        <f t="shared" si="4"/>
        <v>0</v>
      </c>
    </row>
    <row r="29" spans="1:12" ht="15" customHeight="1" x14ac:dyDescent="0.3">
      <c r="A29" s="23" t="s">
        <v>12438</v>
      </c>
      <c r="B29" s="23" t="s">
        <v>75</v>
      </c>
      <c r="C29" s="39">
        <v>1499</v>
      </c>
      <c r="D29" s="24">
        <v>0</v>
      </c>
      <c r="E29" s="24">
        <v>0</v>
      </c>
      <c r="F29" s="23">
        <f>COUNTIFS(mdr_rate_cleaned!$A$2:$A$10,B29,mdr_rate_cleaned!$B$2:$B$10,"&lt;"&amp;C29,mdr_rate_cleaned!$F$2:$F$10,"&gt;="&amp;C29)</f>
        <v>1</v>
      </c>
      <c r="G29" s="40">
        <f>SUMIFS(mdr_rate_cleaned!$G$2:$G$10,mdr_rate_cleaned!$A$2:$A$10,B29,mdr_rate_cleaned!$B$2:$B$10,"&lt;"&amp;C29,mdr_rate_cleaned!$F$2:$F$10,"&gt;="&amp;C29)</f>
        <v>0</v>
      </c>
      <c r="H29" s="24">
        <f t="shared" si="0"/>
        <v>0</v>
      </c>
      <c r="I29" s="23" t="str">
        <f t="shared" si="1"/>
        <v>Match</v>
      </c>
      <c r="J29" s="23" t="str">
        <f t="shared" si="2"/>
        <v>Match</v>
      </c>
      <c r="K29" s="24">
        <f t="shared" si="3"/>
        <v>0</v>
      </c>
      <c r="L29" s="24">
        <f t="shared" si="4"/>
        <v>0</v>
      </c>
    </row>
    <row r="30" spans="1:12" ht="15" customHeight="1" x14ac:dyDescent="0.3">
      <c r="A30" s="23" t="s">
        <v>12439</v>
      </c>
      <c r="B30" s="23" t="s">
        <v>75</v>
      </c>
      <c r="C30" s="39">
        <v>848</v>
      </c>
      <c r="D30" s="24">
        <v>0</v>
      </c>
      <c r="E30" s="24">
        <v>0</v>
      </c>
      <c r="F30" s="23">
        <f>COUNTIFS(mdr_rate_cleaned!$A$2:$A$10,B30,mdr_rate_cleaned!$B$2:$B$10,"&lt;"&amp;C30,mdr_rate_cleaned!$F$2:$F$10,"&gt;="&amp;C30)</f>
        <v>1</v>
      </c>
      <c r="G30" s="40">
        <f>SUMIFS(mdr_rate_cleaned!$G$2:$G$10,mdr_rate_cleaned!$A$2:$A$10,B30,mdr_rate_cleaned!$B$2:$B$10,"&lt;"&amp;C30,mdr_rate_cleaned!$F$2:$F$10,"&gt;="&amp;C30)</f>
        <v>0</v>
      </c>
      <c r="H30" s="24">
        <f t="shared" si="0"/>
        <v>0</v>
      </c>
      <c r="I30" s="23" t="str">
        <f t="shared" si="1"/>
        <v>Match</v>
      </c>
      <c r="J30" s="23" t="str">
        <f t="shared" si="2"/>
        <v>Match</v>
      </c>
      <c r="K30" s="24">
        <f t="shared" si="3"/>
        <v>0</v>
      </c>
      <c r="L30" s="24">
        <f t="shared" si="4"/>
        <v>0</v>
      </c>
    </row>
    <row r="31" spans="1:12" ht="15" customHeight="1" x14ac:dyDescent="0.3">
      <c r="A31" s="23" t="s">
        <v>12440</v>
      </c>
      <c r="B31" s="23" t="s">
        <v>75</v>
      </c>
      <c r="C31" s="39">
        <v>4797</v>
      </c>
      <c r="D31" s="24">
        <v>14.39</v>
      </c>
      <c r="E31" s="24">
        <v>2.59</v>
      </c>
      <c r="F31" s="23">
        <f>COUNTIFS(mdr_rate_cleaned!$A$2:$A$10,B31,mdr_rate_cleaned!$B$2:$B$10,"&lt;"&amp;C31,mdr_rate_cleaned!$F$2:$F$10,"&gt;="&amp;C31)</f>
        <v>1</v>
      </c>
      <c r="G31" s="40">
        <f>SUMIFS(mdr_rate_cleaned!$G$2:$G$10,mdr_rate_cleaned!$A$2:$A$10,B31,mdr_rate_cleaned!$B$2:$B$10,"&lt;"&amp;C31,mdr_rate_cleaned!$F$2:$F$10,"&gt;="&amp;C31)</f>
        <v>3.0000000000000001E-3</v>
      </c>
      <c r="H31" s="24">
        <f t="shared" si="0"/>
        <v>14.39</v>
      </c>
      <c r="I31" s="23" t="str">
        <f t="shared" si="1"/>
        <v>Match</v>
      </c>
      <c r="J31" s="23" t="str">
        <f t="shared" si="2"/>
        <v>Match</v>
      </c>
      <c r="K31" s="24">
        <f t="shared" si="3"/>
        <v>2.59</v>
      </c>
      <c r="L31" s="24">
        <f t="shared" si="4"/>
        <v>0</v>
      </c>
    </row>
    <row r="32" spans="1:12" ht="15" customHeight="1" x14ac:dyDescent="0.3">
      <c r="A32" s="23" t="s">
        <v>12441</v>
      </c>
      <c r="B32" s="23" t="s">
        <v>79</v>
      </c>
      <c r="C32" s="39">
        <v>9297</v>
      </c>
      <c r="D32" s="24">
        <v>148.75</v>
      </c>
      <c r="E32" s="24">
        <v>26.78</v>
      </c>
      <c r="F32" s="23">
        <f>COUNTIFS(mdr_rate_cleaned!$A$2:$A$10,B32,mdr_rate_cleaned!$B$2:$B$10,"&lt;"&amp;C32,mdr_rate_cleaned!$F$2:$F$10,"&gt;="&amp;C32)</f>
        <v>1</v>
      </c>
      <c r="G32" s="40">
        <f>SUMIFS(mdr_rate_cleaned!$G$2:$G$10,mdr_rate_cleaned!$A$2:$A$10,B32,mdr_rate_cleaned!$B$2:$B$10,"&lt;"&amp;C32,mdr_rate_cleaned!$F$2:$F$10,"&gt;="&amp;C32)</f>
        <v>1.6E-2</v>
      </c>
      <c r="H32" s="24">
        <f t="shared" si="0"/>
        <v>148.75</v>
      </c>
      <c r="I32" s="23" t="str">
        <f t="shared" si="1"/>
        <v>Match</v>
      </c>
      <c r="J32" s="23" t="str">
        <f t="shared" si="2"/>
        <v>Match</v>
      </c>
      <c r="K32" s="24">
        <f t="shared" si="3"/>
        <v>26.78</v>
      </c>
      <c r="L32" s="24">
        <f t="shared" si="4"/>
        <v>0</v>
      </c>
    </row>
    <row r="33" spans="1:12" ht="15" customHeight="1" x14ac:dyDescent="0.3">
      <c r="A33" s="23" t="s">
        <v>12443</v>
      </c>
      <c r="B33" s="23" t="s">
        <v>81</v>
      </c>
      <c r="C33" s="39">
        <v>9498</v>
      </c>
      <c r="D33" s="24">
        <v>113.98</v>
      </c>
      <c r="E33" s="24">
        <v>20.52</v>
      </c>
      <c r="F33" s="23">
        <f>COUNTIFS(mdr_rate_cleaned!$A$2:$A$10,B33,mdr_rate_cleaned!$B$2:$B$10,"&lt;"&amp;C33,mdr_rate_cleaned!$F$2:$F$10,"&gt;="&amp;C33)</f>
        <v>1</v>
      </c>
      <c r="G33" s="40">
        <f>SUMIFS(mdr_rate_cleaned!$G$2:$G$10,mdr_rate_cleaned!$A$2:$A$10,B33,mdr_rate_cleaned!$B$2:$B$10,"&lt;"&amp;C33,mdr_rate_cleaned!$F$2:$F$10,"&gt;="&amp;C33)</f>
        <v>1.2E-2</v>
      </c>
      <c r="H33" s="24">
        <f t="shared" si="0"/>
        <v>113.98</v>
      </c>
      <c r="I33" s="23" t="str">
        <f t="shared" si="1"/>
        <v>Match</v>
      </c>
      <c r="J33" s="23" t="str">
        <f t="shared" si="2"/>
        <v>Match</v>
      </c>
      <c r="K33" s="24">
        <f t="shared" si="3"/>
        <v>20.52</v>
      </c>
      <c r="L33" s="24">
        <f t="shared" si="4"/>
        <v>0</v>
      </c>
    </row>
    <row r="34" spans="1:12" ht="15" customHeight="1" x14ac:dyDescent="0.3">
      <c r="A34" s="23" t="s">
        <v>12445</v>
      </c>
      <c r="B34" s="23" t="s">
        <v>75</v>
      </c>
      <c r="C34" s="39">
        <v>6498</v>
      </c>
      <c r="D34" s="24">
        <v>19.489999999999998</v>
      </c>
      <c r="E34" s="24">
        <v>3.51</v>
      </c>
      <c r="F34" s="23">
        <f>COUNTIFS(mdr_rate_cleaned!$A$2:$A$10,B34,mdr_rate_cleaned!$B$2:$B$10,"&lt;"&amp;C34,mdr_rate_cleaned!$F$2:$F$10,"&gt;="&amp;C34)</f>
        <v>1</v>
      </c>
      <c r="G34" s="40">
        <f>SUMIFS(mdr_rate_cleaned!$G$2:$G$10,mdr_rate_cleaned!$A$2:$A$10,B34,mdr_rate_cleaned!$B$2:$B$10,"&lt;"&amp;C34,mdr_rate_cleaned!$F$2:$F$10,"&gt;="&amp;C34)</f>
        <v>3.0000000000000001E-3</v>
      </c>
      <c r="H34" s="24">
        <f t="shared" si="0"/>
        <v>19.489999999999998</v>
      </c>
      <c r="I34" s="23" t="str">
        <f t="shared" si="1"/>
        <v>Match</v>
      </c>
      <c r="J34" s="23" t="str">
        <f t="shared" si="2"/>
        <v>Match</v>
      </c>
      <c r="K34" s="24">
        <f t="shared" si="3"/>
        <v>3.51</v>
      </c>
      <c r="L34" s="24">
        <f t="shared" si="4"/>
        <v>0</v>
      </c>
    </row>
    <row r="35" spans="1:12" ht="15" customHeight="1" x14ac:dyDescent="0.3">
      <c r="A35" s="23" t="s">
        <v>12446</v>
      </c>
      <c r="B35" s="23" t="s">
        <v>75</v>
      </c>
      <c r="C35" s="39">
        <v>7999</v>
      </c>
      <c r="D35" s="24">
        <v>24</v>
      </c>
      <c r="E35" s="24">
        <v>4.32</v>
      </c>
      <c r="F35" s="23">
        <f>COUNTIFS(mdr_rate_cleaned!$A$2:$A$10,B35,mdr_rate_cleaned!$B$2:$B$10,"&lt;"&amp;C35,mdr_rate_cleaned!$F$2:$F$10,"&gt;="&amp;C35)</f>
        <v>1</v>
      </c>
      <c r="G35" s="40">
        <f>SUMIFS(mdr_rate_cleaned!$G$2:$G$10,mdr_rate_cleaned!$A$2:$A$10,B35,mdr_rate_cleaned!$B$2:$B$10,"&lt;"&amp;C35,mdr_rate_cleaned!$F$2:$F$10,"&gt;="&amp;C35)</f>
        <v>3.0000000000000001E-3</v>
      </c>
      <c r="H35" s="24">
        <f t="shared" si="0"/>
        <v>24</v>
      </c>
      <c r="I35" s="23" t="str">
        <f t="shared" si="1"/>
        <v>Match</v>
      </c>
      <c r="J35" s="23" t="str">
        <f t="shared" si="2"/>
        <v>Match</v>
      </c>
      <c r="K35" s="24">
        <f t="shared" si="3"/>
        <v>4.32</v>
      </c>
      <c r="L35" s="24">
        <f t="shared" si="4"/>
        <v>0</v>
      </c>
    </row>
    <row r="36" spans="1:12" ht="15" customHeight="1" x14ac:dyDescent="0.3">
      <c r="A36" s="23" t="s">
        <v>12447</v>
      </c>
      <c r="B36" s="23" t="s">
        <v>81</v>
      </c>
      <c r="C36" s="39">
        <v>4999</v>
      </c>
      <c r="D36" s="24">
        <v>59.99</v>
      </c>
      <c r="E36" s="24">
        <v>10.8</v>
      </c>
      <c r="F36" s="23">
        <f>COUNTIFS(mdr_rate_cleaned!$A$2:$A$10,B36,mdr_rate_cleaned!$B$2:$B$10,"&lt;"&amp;C36,mdr_rate_cleaned!$F$2:$F$10,"&gt;="&amp;C36)</f>
        <v>1</v>
      </c>
      <c r="G36" s="40">
        <f>SUMIFS(mdr_rate_cleaned!$G$2:$G$10,mdr_rate_cleaned!$A$2:$A$10,B36,mdr_rate_cleaned!$B$2:$B$10,"&lt;"&amp;C36,mdr_rate_cleaned!$F$2:$F$10,"&gt;="&amp;C36)</f>
        <v>1.2E-2</v>
      </c>
      <c r="H36" s="24">
        <f t="shared" si="0"/>
        <v>59.99</v>
      </c>
      <c r="I36" s="23" t="str">
        <f t="shared" si="1"/>
        <v>Match</v>
      </c>
      <c r="J36" s="23" t="str">
        <f t="shared" si="2"/>
        <v>Match</v>
      </c>
      <c r="K36" s="24">
        <f t="shared" si="3"/>
        <v>10.8</v>
      </c>
      <c r="L36" s="24">
        <f t="shared" si="4"/>
        <v>0</v>
      </c>
    </row>
    <row r="37" spans="1:12" ht="15" customHeight="1" x14ac:dyDescent="0.3">
      <c r="A37" s="23" t="s">
        <v>12448</v>
      </c>
      <c r="B37" s="23" t="s">
        <v>81</v>
      </c>
      <c r="C37" s="39">
        <v>1298</v>
      </c>
      <c r="D37" s="24">
        <v>19.47</v>
      </c>
      <c r="E37" s="24">
        <v>3.5</v>
      </c>
      <c r="F37" s="23">
        <f>COUNTIFS(mdr_rate_cleaned!$A$2:$A$10,B37,mdr_rate_cleaned!$B$2:$B$10,"&lt;"&amp;C37,mdr_rate_cleaned!$F$2:$F$10,"&gt;="&amp;C37)</f>
        <v>1</v>
      </c>
      <c r="G37" s="40">
        <f>SUMIFS(mdr_rate_cleaned!$G$2:$G$10,mdr_rate_cleaned!$A$2:$A$10,B37,mdr_rate_cleaned!$B$2:$B$10,"&lt;"&amp;C37,mdr_rate_cleaned!$F$2:$F$10,"&gt;="&amp;C37)</f>
        <v>1.4999999999999999E-2</v>
      </c>
      <c r="H37" s="24">
        <f t="shared" si="0"/>
        <v>19.47</v>
      </c>
      <c r="I37" s="23" t="str">
        <f t="shared" si="1"/>
        <v>Match</v>
      </c>
      <c r="J37" s="23" t="str">
        <f t="shared" si="2"/>
        <v>Match</v>
      </c>
      <c r="K37" s="24">
        <f t="shared" si="3"/>
        <v>3.5</v>
      </c>
      <c r="L37" s="24">
        <f t="shared" si="4"/>
        <v>0</v>
      </c>
    </row>
    <row r="38" spans="1:12" ht="15" customHeight="1" x14ac:dyDescent="0.3">
      <c r="A38" s="23" t="s">
        <v>12449</v>
      </c>
      <c r="B38" s="23" t="s">
        <v>75</v>
      </c>
      <c r="C38" s="39">
        <v>1347</v>
      </c>
      <c r="D38" s="24">
        <v>0</v>
      </c>
      <c r="E38" s="24">
        <v>0</v>
      </c>
      <c r="F38" s="23">
        <f>COUNTIFS(mdr_rate_cleaned!$A$2:$A$10,B38,mdr_rate_cleaned!$B$2:$B$10,"&lt;"&amp;C38,mdr_rate_cleaned!$F$2:$F$10,"&gt;="&amp;C38)</f>
        <v>1</v>
      </c>
      <c r="G38" s="40">
        <f>SUMIFS(mdr_rate_cleaned!$G$2:$G$10,mdr_rate_cleaned!$A$2:$A$10,B38,mdr_rate_cleaned!$B$2:$B$10,"&lt;"&amp;C38,mdr_rate_cleaned!$F$2:$F$10,"&gt;="&amp;C38)</f>
        <v>0</v>
      </c>
      <c r="H38" s="24">
        <f t="shared" si="0"/>
        <v>0</v>
      </c>
      <c r="I38" s="23" t="str">
        <f t="shared" si="1"/>
        <v>Match</v>
      </c>
      <c r="J38" s="23" t="str">
        <f t="shared" si="2"/>
        <v>Match</v>
      </c>
      <c r="K38" s="24">
        <f t="shared" si="3"/>
        <v>0</v>
      </c>
      <c r="L38" s="24">
        <f t="shared" si="4"/>
        <v>0</v>
      </c>
    </row>
    <row r="39" spans="1:12" ht="15" customHeight="1" x14ac:dyDescent="0.3">
      <c r="A39" s="23" t="s">
        <v>12450</v>
      </c>
      <c r="B39" s="23" t="s">
        <v>79</v>
      </c>
      <c r="C39" s="39">
        <v>3499</v>
      </c>
      <c r="D39" s="24">
        <v>55.98</v>
      </c>
      <c r="E39" s="24">
        <v>10.08</v>
      </c>
      <c r="F39" s="23">
        <f>COUNTIFS(mdr_rate_cleaned!$A$2:$A$10,B39,mdr_rate_cleaned!$B$2:$B$10,"&lt;"&amp;C39,mdr_rate_cleaned!$F$2:$F$10,"&gt;="&amp;C39)</f>
        <v>1</v>
      </c>
      <c r="G39" s="40">
        <f>SUMIFS(mdr_rate_cleaned!$G$2:$G$10,mdr_rate_cleaned!$A$2:$A$10,B39,mdr_rate_cleaned!$B$2:$B$10,"&lt;"&amp;C39,mdr_rate_cleaned!$F$2:$F$10,"&gt;="&amp;C39)</f>
        <v>1.6E-2</v>
      </c>
      <c r="H39" s="24">
        <f t="shared" si="0"/>
        <v>55.98</v>
      </c>
      <c r="I39" s="23" t="str">
        <f t="shared" si="1"/>
        <v>Match</v>
      </c>
      <c r="J39" s="23" t="str">
        <f t="shared" si="2"/>
        <v>Match</v>
      </c>
      <c r="K39" s="24">
        <f t="shared" si="3"/>
        <v>10.08</v>
      </c>
      <c r="L39" s="24">
        <f t="shared" si="4"/>
        <v>0</v>
      </c>
    </row>
    <row r="40" spans="1:12" ht="15" customHeight="1" x14ac:dyDescent="0.3">
      <c r="A40" s="23" t="s">
        <v>12451</v>
      </c>
      <c r="B40" s="23" t="s">
        <v>75</v>
      </c>
      <c r="C40" s="39">
        <v>10597</v>
      </c>
      <c r="D40" s="24">
        <v>31.79</v>
      </c>
      <c r="E40" s="24">
        <v>5.72</v>
      </c>
      <c r="F40" s="23">
        <f>COUNTIFS(mdr_rate_cleaned!$A$2:$A$10,B40,mdr_rate_cleaned!$B$2:$B$10,"&lt;"&amp;C40,mdr_rate_cleaned!$F$2:$F$10,"&gt;="&amp;C40)</f>
        <v>1</v>
      </c>
      <c r="G40" s="40">
        <f>SUMIFS(mdr_rate_cleaned!$G$2:$G$10,mdr_rate_cleaned!$A$2:$A$10,B40,mdr_rate_cleaned!$B$2:$B$10,"&lt;"&amp;C40,mdr_rate_cleaned!$F$2:$F$10,"&gt;="&amp;C40)</f>
        <v>3.0000000000000001E-3</v>
      </c>
      <c r="H40" s="24">
        <f t="shared" si="0"/>
        <v>31.79</v>
      </c>
      <c r="I40" s="23" t="str">
        <f t="shared" si="1"/>
        <v>Match</v>
      </c>
      <c r="J40" s="23" t="str">
        <f t="shared" si="2"/>
        <v>Match</v>
      </c>
      <c r="K40" s="24">
        <f t="shared" si="3"/>
        <v>5.72</v>
      </c>
      <c r="L40" s="24">
        <f t="shared" si="4"/>
        <v>0</v>
      </c>
    </row>
    <row r="41" spans="1:12" ht="15" customHeight="1" x14ac:dyDescent="0.3">
      <c r="A41" s="23" t="s">
        <v>12452</v>
      </c>
      <c r="B41" s="23" t="s">
        <v>75</v>
      </c>
      <c r="C41" s="39">
        <v>10497</v>
      </c>
      <c r="D41" s="24">
        <v>31.49</v>
      </c>
      <c r="E41" s="24">
        <v>5.67</v>
      </c>
      <c r="F41" s="23">
        <f>COUNTIFS(mdr_rate_cleaned!$A$2:$A$10,B41,mdr_rate_cleaned!$B$2:$B$10,"&lt;"&amp;C41,mdr_rate_cleaned!$F$2:$F$10,"&gt;="&amp;C41)</f>
        <v>1</v>
      </c>
      <c r="G41" s="40">
        <f>SUMIFS(mdr_rate_cleaned!$G$2:$G$10,mdr_rate_cleaned!$A$2:$A$10,B41,mdr_rate_cleaned!$B$2:$B$10,"&lt;"&amp;C41,mdr_rate_cleaned!$F$2:$F$10,"&gt;="&amp;C41)</f>
        <v>3.0000000000000001E-3</v>
      </c>
      <c r="H41" s="24">
        <f t="shared" si="0"/>
        <v>31.49</v>
      </c>
      <c r="I41" s="23" t="str">
        <f t="shared" si="1"/>
        <v>Match</v>
      </c>
      <c r="J41" s="23" t="str">
        <f t="shared" si="2"/>
        <v>Match</v>
      </c>
      <c r="K41" s="24">
        <f t="shared" si="3"/>
        <v>5.67</v>
      </c>
      <c r="L41" s="24">
        <f t="shared" si="4"/>
        <v>0</v>
      </c>
    </row>
    <row r="42" spans="1:12" ht="15" customHeight="1" x14ac:dyDescent="0.3">
      <c r="A42" s="23" t="s">
        <v>12454</v>
      </c>
      <c r="B42" s="23" t="s">
        <v>79</v>
      </c>
      <c r="C42" s="39">
        <v>999</v>
      </c>
      <c r="D42" s="24">
        <v>17.98</v>
      </c>
      <c r="E42" s="24">
        <v>3.24</v>
      </c>
      <c r="F42" s="23">
        <f>COUNTIFS(mdr_rate_cleaned!$A$2:$A$10,B42,mdr_rate_cleaned!$B$2:$B$10,"&lt;"&amp;C42,mdr_rate_cleaned!$F$2:$F$10,"&gt;="&amp;C42)</f>
        <v>1</v>
      </c>
      <c r="G42" s="40">
        <f>SUMIFS(mdr_rate_cleaned!$G$2:$G$10,mdr_rate_cleaned!$A$2:$A$10,B42,mdr_rate_cleaned!$B$2:$B$10,"&lt;"&amp;C42,mdr_rate_cleaned!$F$2:$F$10,"&gt;="&amp;C42)</f>
        <v>1.8000000000000002E-2</v>
      </c>
      <c r="H42" s="24">
        <f t="shared" si="0"/>
        <v>17.98</v>
      </c>
      <c r="I42" s="23" t="str">
        <f t="shared" si="1"/>
        <v>Match</v>
      </c>
      <c r="J42" s="23" t="str">
        <f t="shared" si="2"/>
        <v>Match</v>
      </c>
      <c r="K42" s="24">
        <f t="shared" si="3"/>
        <v>3.24</v>
      </c>
      <c r="L42" s="24">
        <f t="shared" si="4"/>
        <v>0</v>
      </c>
    </row>
    <row r="43" spans="1:12" ht="15" customHeight="1" x14ac:dyDescent="0.3">
      <c r="A43" s="23" t="s">
        <v>12455</v>
      </c>
      <c r="B43" s="23" t="s">
        <v>75</v>
      </c>
      <c r="C43" s="39">
        <v>1799</v>
      </c>
      <c r="D43" s="24">
        <v>0</v>
      </c>
      <c r="E43" s="24">
        <v>0</v>
      </c>
      <c r="F43" s="23">
        <f>COUNTIFS(mdr_rate_cleaned!$A$2:$A$10,B43,mdr_rate_cleaned!$B$2:$B$10,"&lt;"&amp;C43,mdr_rate_cleaned!$F$2:$F$10,"&gt;="&amp;C43)</f>
        <v>1</v>
      </c>
      <c r="G43" s="40">
        <f>SUMIFS(mdr_rate_cleaned!$G$2:$G$10,mdr_rate_cleaned!$A$2:$A$10,B43,mdr_rate_cleaned!$B$2:$B$10,"&lt;"&amp;C43,mdr_rate_cleaned!$F$2:$F$10,"&gt;="&amp;C43)</f>
        <v>0</v>
      </c>
      <c r="H43" s="24">
        <f t="shared" si="0"/>
        <v>0</v>
      </c>
      <c r="I43" s="23" t="str">
        <f t="shared" si="1"/>
        <v>Match</v>
      </c>
      <c r="J43" s="23" t="str">
        <f t="shared" si="2"/>
        <v>Match</v>
      </c>
      <c r="K43" s="24">
        <f t="shared" si="3"/>
        <v>0</v>
      </c>
      <c r="L43" s="24">
        <f t="shared" si="4"/>
        <v>0</v>
      </c>
    </row>
    <row r="44" spans="1:12" ht="15" customHeight="1" x14ac:dyDescent="0.3">
      <c r="A44" s="23" t="s">
        <v>12456</v>
      </c>
      <c r="B44" s="23" t="s">
        <v>75</v>
      </c>
      <c r="C44" s="39">
        <v>3499</v>
      </c>
      <c r="D44" s="24">
        <v>10.5</v>
      </c>
      <c r="E44" s="24">
        <v>1.89</v>
      </c>
      <c r="F44" s="23">
        <f>COUNTIFS(mdr_rate_cleaned!$A$2:$A$10,B44,mdr_rate_cleaned!$B$2:$B$10,"&lt;"&amp;C44,mdr_rate_cleaned!$F$2:$F$10,"&gt;="&amp;C44)</f>
        <v>1</v>
      </c>
      <c r="G44" s="40">
        <f>SUMIFS(mdr_rate_cleaned!$G$2:$G$10,mdr_rate_cleaned!$A$2:$A$10,B44,mdr_rate_cleaned!$B$2:$B$10,"&lt;"&amp;C44,mdr_rate_cleaned!$F$2:$F$10,"&gt;="&amp;C44)</f>
        <v>3.0000000000000001E-3</v>
      </c>
      <c r="H44" s="24">
        <f t="shared" si="0"/>
        <v>10.5</v>
      </c>
      <c r="I44" s="23" t="str">
        <f t="shared" si="1"/>
        <v>Match</v>
      </c>
      <c r="J44" s="23" t="str">
        <f t="shared" si="2"/>
        <v>Match</v>
      </c>
      <c r="K44" s="24">
        <f t="shared" si="3"/>
        <v>1.89</v>
      </c>
      <c r="L44" s="24">
        <f t="shared" si="4"/>
        <v>0</v>
      </c>
    </row>
    <row r="45" spans="1:12" ht="15" customHeight="1" x14ac:dyDescent="0.3">
      <c r="A45" s="23" t="s">
        <v>12457</v>
      </c>
      <c r="B45" s="23" t="s">
        <v>77</v>
      </c>
      <c r="C45" s="39">
        <v>3798</v>
      </c>
      <c r="D45" s="24">
        <v>64.569999999999993</v>
      </c>
      <c r="E45" s="24">
        <v>11.62</v>
      </c>
      <c r="F45" s="23">
        <f>COUNTIFS(mdr_rate_cleaned!$A$2:$A$10,B45,mdr_rate_cleaned!$B$2:$B$10,"&lt;"&amp;C45,mdr_rate_cleaned!$F$2:$F$10,"&gt;="&amp;C45)</f>
        <v>1</v>
      </c>
      <c r="G45" s="40">
        <f>SUMIFS(mdr_rate_cleaned!$G$2:$G$10,mdr_rate_cleaned!$A$2:$A$10,B45,mdr_rate_cleaned!$B$2:$B$10,"&lt;"&amp;C45,mdr_rate_cleaned!$F$2:$F$10,"&gt;="&amp;C45)</f>
        <v>1.7000000000000001E-2</v>
      </c>
      <c r="H45" s="24">
        <f t="shared" si="0"/>
        <v>64.569999999999993</v>
      </c>
      <c r="I45" s="23" t="str">
        <f t="shared" si="1"/>
        <v>Match</v>
      </c>
      <c r="J45" s="23" t="str">
        <f t="shared" si="2"/>
        <v>Match</v>
      </c>
      <c r="K45" s="24">
        <f t="shared" si="3"/>
        <v>11.62</v>
      </c>
      <c r="L45" s="24">
        <f t="shared" si="4"/>
        <v>0</v>
      </c>
    </row>
    <row r="46" spans="1:12" ht="15" customHeight="1" x14ac:dyDescent="0.3">
      <c r="A46" s="23" t="s">
        <v>12459</v>
      </c>
      <c r="B46" s="23" t="s">
        <v>79</v>
      </c>
      <c r="C46" s="39">
        <v>799</v>
      </c>
      <c r="D46" s="24">
        <v>14.38</v>
      </c>
      <c r="E46" s="24">
        <v>2.59</v>
      </c>
      <c r="F46" s="23">
        <f>COUNTIFS(mdr_rate_cleaned!$A$2:$A$10,B46,mdr_rate_cleaned!$B$2:$B$10,"&lt;"&amp;C46,mdr_rate_cleaned!$F$2:$F$10,"&gt;="&amp;C46)</f>
        <v>1</v>
      </c>
      <c r="G46" s="40">
        <f>SUMIFS(mdr_rate_cleaned!$G$2:$G$10,mdr_rate_cleaned!$A$2:$A$10,B46,mdr_rate_cleaned!$B$2:$B$10,"&lt;"&amp;C46,mdr_rate_cleaned!$F$2:$F$10,"&gt;="&amp;C46)</f>
        <v>1.8000000000000002E-2</v>
      </c>
      <c r="H46" s="24">
        <f t="shared" si="0"/>
        <v>14.38</v>
      </c>
      <c r="I46" s="23" t="str">
        <f t="shared" si="1"/>
        <v>Match</v>
      </c>
      <c r="J46" s="23" t="str">
        <f t="shared" si="2"/>
        <v>Match</v>
      </c>
      <c r="K46" s="24">
        <f t="shared" si="3"/>
        <v>2.59</v>
      </c>
      <c r="L46" s="24">
        <f t="shared" si="4"/>
        <v>0</v>
      </c>
    </row>
    <row r="47" spans="1:12" ht="15" customHeight="1" x14ac:dyDescent="0.3">
      <c r="A47" s="23" t="s">
        <v>12460</v>
      </c>
      <c r="B47" s="23" t="s">
        <v>81</v>
      </c>
      <c r="C47" s="39">
        <v>1299</v>
      </c>
      <c r="D47" s="24">
        <v>19.489999999999998</v>
      </c>
      <c r="E47" s="24">
        <v>3.51</v>
      </c>
      <c r="F47" s="23">
        <f>COUNTIFS(mdr_rate_cleaned!$A$2:$A$10,B47,mdr_rate_cleaned!$B$2:$B$10,"&lt;"&amp;C47,mdr_rate_cleaned!$F$2:$F$10,"&gt;="&amp;C47)</f>
        <v>1</v>
      </c>
      <c r="G47" s="40">
        <f>SUMIFS(mdr_rate_cleaned!$G$2:$G$10,mdr_rate_cleaned!$A$2:$A$10,B47,mdr_rate_cleaned!$B$2:$B$10,"&lt;"&amp;C47,mdr_rate_cleaned!$F$2:$F$10,"&gt;="&amp;C47)</f>
        <v>1.4999999999999999E-2</v>
      </c>
      <c r="H47" s="24">
        <f t="shared" si="0"/>
        <v>19.489999999999998</v>
      </c>
      <c r="I47" s="23" t="str">
        <f t="shared" si="1"/>
        <v>Match</v>
      </c>
      <c r="J47" s="23" t="str">
        <f t="shared" si="2"/>
        <v>Match</v>
      </c>
      <c r="K47" s="24">
        <f t="shared" si="3"/>
        <v>3.51</v>
      </c>
      <c r="L47" s="24">
        <f t="shared" si="4"/>
        <v>0</v>
      </c>
    </row>
    <row r="48" spans="1:12" ht="15" customHeight="1" x14ac:dyDescent="0.3">
      <c r="A48" s="23" t="s">
        <v>12461</v>
      </c>
      <c r="B48" s="23" t="s">
        <v>75</v>
      </c>
      <c r="C48" s="39">
        <v>349</v>
      </c>
      <c r="D48" s="24">
        <v>0</v>
      </c>
      <c r="E48" s="24">
        <v>0</v>
      </c>
      <c r="F48" s="23">
        <f>COUNTIFS(mdr_rate_cleaned!$A$2:$A$10,B48,mdr_rate_cleaned!$B$2:$B$10,"&lt;"&amp;C48,mdr_rate_cleaned!$F$2:$F$10,"&gt;="&amp;C48)</f>
        <v>1</v>
      </c>
      <c r="G48" s="40">
        <f>SUMIFS(mdr_rate_cleaned!$G$2:$G$10,mdr_rate_cleaned!$A$2:$A$10,B48,mdr_rate_cleaned!$B$2:$B$10,"&lt;"&amp;C48,mdr_rate_cleaned!$F$2:$F$10,"&gt;="&amp;C48)</f>
        <v>0</v>
      </c>
      <c r="H48" s="24">
        <f t="shared" si="0"/>
        <v>0</v>
      </c>
      <c r="I48" s="23" t="str">
        <f t="shared" si="1"/>
        <v>Match</v>
      </c>
      <c r="J48" s="23" t="str">
        <f t="shared" si="2"/>
        <v>Match</v>
      </c>
      <c r="K48" s="24">
        <f t="shared" si="3"/>
        <v>0</v>
      </c>
      <c r="L48" s="24">
        <f t="shared" si="4"/>
        <v>0</v>
      </c>
    </row>
    <row r="49" spans="1:12" ht="15" customHeight="1" x14ac:dyDescent="0.3">
      <c r="A49" s="23" t="s">
        <v>12462</v>
      </c>
      <c r="B49" s="23" t="s">
        <v>75</v>
      </c>
      <c r="C49" s="39">
        <v>799</v>
      </c>
      <c r="D49" s="24">
        <v>0</v>
      </c>
      <c r="E49" s="24">
        <v>0</v>
      </c>
      <c r="F49" s="23">
        <f>COUNTIFS(mdr_rate_cleaned!$A$2:$A$10,B49,mdr_rate_cleaned!$B$2:$B$10,"&lt;"&amp;C49,mdr_rate_cleaned!$F$2:$F$10,"&gt;="&amp;C49)</f>
        <v>1</v>
      </c>
      <c r="G49" s="40">
        <f>SUMIFS(mdr_rate_cleaned!$G$2:$G$10,mdr_rate_cleaned!$A$2:$A$10,B49,mdr_rate_cleaned!$B$2:$B$10,"&lt;"&amp;C49,mdr_rate_cleaned!$F$2:$F$10,"&gt;="&amp;C49)</f>
        <v>0</v>
      </c>
      <c r="H49" s="24">
        <f t="shared" si="0"/>
        <v>0</v>
      </c>
      <c r="I49" s="23" t="str">
        <f t="shared" si="1"/>
        <v>Match</v>
      </c>
      <c r="J49" s="23" t="str">
        <f t="shared" si="2"/>
        <v>Match</v>
      </c>
      <c r="K49" s="24">
        <f t="shared" si="3"/>
        <v>0</v>
      </c>
      <c r="L49" s="24">
        <f t="shared" si="4"/>
        <v>0</v>
      </c>
    </row>
    <row r="50" spans="1:12" ht="15" customHeight="1" x14ac:dyDescent="0.3">
      <c r="A50" s="23" t="s">
        <v>12463</v>
      </c>
      <c r="B50" s="23" t="s">
        <v>75</v>
      </c>
      <c r="C50" s="39">
        <v>1798</v>
      </c>
      <c r="D50" s="24">
        <v>0</v>
      </c>
      <c r="E50" s="24">
        <v>0</v>
      </c>
      <c r="F50" s="23">
        <f>COUNTIFS(mdr_rate_cleaned!$A$2:$A$10,B50,mdr_rate_cleaned!$B$2:$B$10,"&lt;"&amp;C50,mdr_rate_cleaned!$F$2:$F$10,"&gt;="&amp;C50)</f>
        <v>1</v>
      </c>
      <c r="G50" s="40">
        <f>SUMIFS(mdr_rate_cleaned!$G$2:$G$10,mdr_rate_cleaned!$A$2:$A$10,B50,mdr_rate_cleaned!$B$2:$B$10,"&lt;"&amp;C50,mdr_rate_cleaned!$F$2:$F$10,"&gt;="&amp;C50)</f>
        <v>0</v>
      </c>
      <c r="H50" s="24">
        <f t="shared" si="0"/>
        <v>0</v>
      </c>
      <c r="I50" s="23" t="str">
        <f t="shared" si="1"/>
        <v>Match</v>
      </c>
      <c r="J50" s="23" t="str">
        <f t="shared" si="2"/>
        <v>Match</v>
      </c>
      <c r="K50" s="24">
        <f t="shared" si="3"/>
        <v>0</v>
      </c>
      <c r="L50" s="24">
        <f t="shared" si="4"/>
        <v>0</v>
      </c>
    </row>
    <row r="51" spans="1:12" ht="15" customHeight="1" x14ac:dyDescent="0.3">
      <c r="A51" s="23" t="s">
        <v>12465</v>
      </c>
      <c r="B51" s="23" t="s">
        <v>75</v>
      </c>
      <c r="C51" s="39">
        <v>2999</v>
      </c>
      <c r="D51" s="24">
        <v>9</v>
      </c>
      <c r="E51" s="24">
        <v>1.62</v>
      </c>
      <c r="F51" s="23">
        <f>COUNTIFS(mdr_rate_cleaned!$A$2:$A$10,B51,mdr_rate_cleaned!$B$2:$B$10,"&lt;"&amp;C51,mdr_rate_cleaned!$F$2:$F$10,"&gt;="&amp;C51)</f>
        <v>1</v>
      </c>
      <c r="G51" s="40">
        <f>SUMIFS(mdr_rate_cleaned!$G$2:$G$10,mdr_rate_cleaned!$A$2:$A$10,B51,mdr_rate_cleaned!$B$2:$B$10,"&lt;"&amp;C51,mdr_rate_cleaned!$F$2:$F$10,"&gt;="&amp;C51)</f>
        <v>3.0000000000000001E-3</v>
      </c>
      <c r="H51" s="24">
        <f t="shared" si="0"/>
        <v>9</v>
      </c>
      <c r="I51" s="23" t="str">
        <f t="shared" si="1"/>
        <v>Match</v>
      </c>
      <c r="J51" s="23" t="str">
        <f t="shared" si="2"/>
        <v>Match</v>
      </c>
      <c r="K51" s="24">
        <f t="shared" si="3"/>
        <v>1.62</v>
      </c>
      <c r="L51" s="24">
        <f t="shared" si="4"/>
        <v>0</v>
      </c>
    </row>
    <row r="52" spans="1:12" ht="15" customHeight="1" x14ac:dyDescent="0.3">
      <c r="A52" s="23" t="s">
        <v>12467</v>
      </c>
      <c r="B52" s="23" t="s">
        <v>75</v>
      </c>
      <c r="C52" s="39">
        <v>999</v>
      </c>
      <c r="D52" s="24">
        <v>0</v>
      </c>
      <c r="E52" s="24">
        <v>0</v>
      </c>
      <c r="F52" s="23">
        <f>COUNTIFS(mdr_rate_cleaned!$A$2:$A$10,B52,mdr_rate_cleaned!$B$2:$B$10,"&lt;"&amp;C52,mdr_rate_cleaned!$F$2:$F$10,"&gt;="&amp;C52)</f>
        <v>1</v>
      </c>
      <c r="G52" s="40">
        <f>SUMIFS(mdr_rate_cleaned!$G$2:$G$10,mdr_rate_cleaned!$A$2:$A$10,B52,mdr_rate_cleaned!$B$2:$B$10,"&lt;"&amp;C52,mdr_rate_cleaned!$F$2:$F$10,"&gt;="&amp;C52)</f>
        <v>0</v>
      </c>
      <c r="H52" s="24">
        <f t="shared" si="0"/>
        <v>0</v>
      </c>
      <c r="I52" s="23" t="str">
        <f t="shared" si="1"/>
        <v>Match</v>
      </c>
      <c r="J52" s="23" t="str">
        <f t="shared" si="2"/>
        <v>Match</v>
      </c>
      <c r="K52" s="24">
        <f t="shared" si="3"/>
        <v>0</v>
      </c>
      <c r="L52" s="24">
        <f t="shared" si="4"/>
        <v>0</v>
      </c>
    </row>
    <row r="53" spans="1:12" ht="15" customHeight="1" x14ac:dyDescent="0.3">
      <c r="A53" s="23" t="s">
        <v>12468</v>
      </c>
      <c r="B53" s="23" t="s">
        <v>79</v>
      </c>
      <c r="C53" s="39">
        <v>1648</v>
      </c>
      <c r="D53" s="24">
        <v>29.66</v>
      </c>
      <c r="E53" s="24">
        <v>5.34</v>
      </c>
      <c r="F53" s="23">
        <f>COUNTIFS(mdr_rate_cleaned!$A$2:$A$10,B53,mdr_rate_cleaned!$B$2:$B$10,"&lt;"&amp;C53,mdr_rate_cleaned!$F$2:$F$10,"&gt;="&amp;C53)</f>
        <v>1</v>
      </c>
      <c r="G53" s="40">
        <f>SUMIFS(mdr_rate_cleaned!$G$2:$G$10,mdr_rate_cleaned!$A$2:$A$10,B53,mdr_rate_cleaned!$B$2:$B$10,"&lt;"&amp;C53,mdr_rate_cleaned!$F$2:$F$10,"&gt;="&amp;C53)</f>
        <v>1.8000000000000002E-2</v>
      </c>
      <c r="H53" s="24">
        <f t="shared" si="0"/>
        <v>29.66</v>
      </c>
      <c r="I53" s="23" t="str">
        <f t="shared" si="1"/>
        <v>Match</v>
      </c>
      <c r="J53" s="23" t="str">
        <f t="shared" si="2"/>
        <v>Match</v>
      </c>
      <c r="K53" s="24">
        <f t="shared" si="3"/>
        <v>5.34</v>
      </c>
      <c r="L53" s="24">
        <f t="shared" si="4"/>
        <v>0</v>
      </c>
    </row>
    <row r="54" spans="1:12" ht="15" customHeight="1" x14ac:dyDescent="0.3">
      <c r="A54" s="23" t="s">
        <v>12470</v>
      </c>
      <c r="B54" s="23" t="s">
        <v>77</v>
      </c>
      <c r="C54" s="39">
        <v>599</v>
      </c>
      <c r="D54" s="24">
        <v>11.38</v>
      </c>
      <c r="E54" s="24">
        <v>2.0499999999999998</v>
      </c>
      <c r="F54" s="23">
        <f>COUNTIFS(mdr_rate_cleaned!$A$2:$A$10,B54,mdr_rate_cleaned!$B$2:$B$10,"&lt;"&amp;C54,mdr_rate_cleaned!$F$2:$F$10,"&gt;="&amp;C54)</f>
        <v>1</v>
      </c>
      <c r="G54" s="40">
        <f>SUMIFS(mdr_rate_cleaned!$G$2:$G$10,mdr_rate_cleaned!$A$2:$A$10,B54,mdr_rate_cleaned!$B$2:$B$10,"&lt;"&amp;C54,mdr_rate_cleaned!$F$2:$F$10,"&gt;="&amp;C54)</f>
        <v>1.9E-2</v>
      </c>
      <c r="H54" s="24">
        <f t="shared" si="0"/>
        <v>11.38</v>
      </c>
      <c r="I54" s="23" t="str">
        <f t="shared" si="1"/>
        <v>Match</v>
      </c>
      <c r="J54" s="23" t="str">
        <f t="shared" si="2"/>
        <v>Match</v>
      </c>
      <c r="K54" s="24">
        <f t="shared" si="3"/>
        <v>2.0499999999999998</v>
      </c>
      <c r="L54" s="24">
        <f t="shared" si="4"/>
        <v>0</v>
      </c>
    </row>
    <row r="55" spans="1:12" ht="15" customHeight="1" x14ac:dyDescent="0.3">
      <c r="A55" s="23" t="s">
        <v>12471</v>
      </c>
      <c r="B55" s="23" t="s">
        <v>79</v>
      </c>
      <c r="C55" s="39">
        <v>6498</v>
      </c>
      <c r="D55" s="24">
        <v>103.97</v>
      </c>
      <c r="E55" s="24">
        <v>18.71</v>
      </c>
      <c r="F55" s="23">
        <f>COUNTIFS(mdr_rate_cleaned!$A$2:$A$10,B55,mdr_rate_cleaned!$B$2:$B$10,"&lt;"&amp;C55,mdr_rate_cleaned!$F$2:$F$10,"&gt;="&amp;C55)</f>
        <v>1</v>
      </c>
      <c r="G55" s="40">
        <f>SUMIFS(mdr_rate_cleaned!$G$2:$G$10,mdr_rate_cleaned!$A$2:$A$10,B55,mdr_rate_cleaned!$B$2:$B$10,"&lt;"&amp;C55,mdr_rate_cleaned!$F$2:$F$10,"&gt;="&amp;C55)</f>
        <v>1.6E-2</v>
      </c>
      <c r="H55" s="24">
        <f t="shared" si="0"/>
        <v>103.97</v>
      </c>
      <c r="I55" s="23" t="str">
        <f t="shared" si="1"/>
        <v>Match</v>
      </c>
      <c r="J55" s="23" t="str">
        <f t="shared" si="2"/>
        <v>Match</v>
      </c>
      <c r="K55" s="24">
        <f t="shared" si="3"/>
        <v>18.71</v>
      </c>
      <c r="L55" s="24">
        <f t="shared" si="4"/>
        <v>0</v>
      </c>
    </row>
    <row r="56" spans="1:12" ht="15" customHeight="1" x14ac:dyDescent="0.3">
      <c r="A56" s="23" t="s">
        <v>12472</v>
      </c>
      <c r="B56" s="23" t="s">
        <v>75</v>
      </c>
      <c r="C56" s="39">
        <v>5348</v>
      </c>
      <c r="D56" s="24">
        <v>16.04</v>
      </c>
      <c r="E56" s="24">
        <v>2.89</v>
      </c>
      <c r="F56" s="23">
        <f>COUNTIFS(mdr_rate_cleaned!$A$2:$A$10,B56,mdr_rate_cleaned!$B$2:$B$10,"&lt;"&amp;C56,mdr_rate_cleaned!$F$2:$F$10,"&gt;="&amp;C56)</f>
        <v>1</v>
      </c>
      <c r="G56" s="40">
        <f>SUMIFS(mdr_rate_cleaned!$G$2:$G$10,mdr_rate_cleaned!$A$2:$A$10,B56,mdr_rate_cleaned!$B$2:$B$10,"&lt;"&amp;C56,mdr_rate_cleaned!$F$2:$F$10,"&gt;="&amp;C56)</f>
        <v>3.0000000000000001E-3</v>
      </c>
      <c r="H56" s="24">
        <f t="shared" si="0"/>
        <v>16.04</v>
      </c>
      <c r="I56" s="23" t="str">
        <f t="shared" si="1"/>
        <v>Match</v>
      </c>
      <c r="J56" s="23" t="str">
        <f t="shared" si="2"/>
        <v>Match</v>
      </c>
      <c r="K56" s="24">
        <f t="shared" si="3"/>
        <v>2.89</v>
      </c>
      <c r="L56" s="24">
        <f t="shared" si="4"/>
        <v>0</v>
      </c>
    </row>
    <row r="57" spans="1:12" ht="15" customHeight="1" x14ac:dyDescent="0.3">
      <c r="A57" s="23" t="s">
        <v>12473</v>
      </c>
      <c r="B57" s="23" t="s">
        <v>75</v>
      </c>
      <c r="C57" s="39">
        <v>4798</v>
      </c>
      <c r="D57" s="24">
        <v>14.39</v>
      </c>
      <c r="E57" s="24">
        <v>2.59</v>
      </c>
      <c r="F57" s="23">
        <f>COUNTIFS(mdr_rate_cleaned!$A$2:$A$10,B57,mdr_rate_cleaned!$B$2:$B$10,"&lt;"&amp;C57,mdr_rate_cleaned!$F$2:$F$10,"&gt;="&amp;C57)</f>
        <v>1</v>
      </c>
      <c r="G57" s="40">
        <f>SUMIFS(mdr_rate_cleaned!$G$2:$G$10,mdr_rate_cleaned!$A$2:$A$10,B57,mdr_rate_cleaned!$B$2:$B$10,"&lt;"&amp;C57,mdr_rate_cleaned!$F$2:$F$10,"&gt;="&amp;C57)</f>
        <v>3.0000000000000001E-3</v>
      </c>
      <c r="H57" s="24">
        <f t="shared" si="0"/>
        <v>14.39</v>
      </c>
      <c r="I57" s="23" t="str">
        <f t="shared" si="1"/>
        <v>Match</v>
      </c>
      <c r="J57" s="23" t="str">
        <f t="shared" si="2"/>
        <v>Match</v>
      </c>
      <c r="K57" s="24">
        <f t="shared" si="3"/>
        <v>2.59</v>
      </c>
      <c r="L57" s="24">
        <f t="shared" si="4"/>
        <v>0</v>
      </c>
    </row>
    <row r="58" spans="1:12" ht="15" customHeight="1" x14ac:dyDescent="0.3">
      <c r="A58" s="23" t="s">
        <v>12474</v>
      </c>
      <c r="B58" s="23" t="s">
        <v>77</v>
      </c>
      <c r="C58" s="39">
        <v>1799</v>
      </c>
      <c r="D58" s="24">
        <v>34.18</v>
      </c>
      <c r="E58" s="24">
        <v>6.15</v>
      </c>
      <c r="F58" s="23">
        <f>COUNTIFS(mdr_rate_cleaned!$A$2:$A$10,B58,mdr_rate_cleaned!$B$2:$B$10,"&lt;"&amp;C58,mdr_rate_cleaned!$F$2:$F$10,"&gt;="&amp;C58)</f>
        <v>1</v>
      </c>
      <c r="G58" s="40">
        <f>SUMIFS(mdr_rate_cleaned!$G$2:$G$10,mdr_rate_cleaned!$A$2:$A$10,B58,mdr_rate_cleaned!$B$2:$B$10,"&lt;"&amp;C58,mdr_rate_cleaned!$F$2:$F$10,"&gt;="&amp;C58)</f>
        <v>1.9E-2</v>
      </c>
      <c r="H58" s="24">
        <f t="shared" si="0"/>
        <v>34.18</v>
      </c>
      <c r="I58" s="23" t="str">
        <f t="shared" si="1"/>
        <v>Match</v>
      </c>
      <c r="J58" s="23" t="str">
        <f t="shared" si="2"/>
        <v>Match</v>
      </c>
      <c r="K58" s="24">
        <f t="shared" si="3"/>
        <v>6.15</v>
      </c>
      <c r="L58" s="24">
        <f t="shared" si="4"/>
        <v>0</v>
      </c>
    </row>
    <row r="59" spans="1:12" ht="15" customHeight="1" x14ac:dyDescent="0.3">
      <c r="A59" s="23" t="s">
        <v>12475</v>
      </c>
      <c r="B59" s="23" t="s">
        <v>81</v>
      </c>
      <c r="C59" s="39">
        <v>8798</v>
      </c>
      <c r="D59" s="24">
        <v>105.58</v>
      </c>
      <c r="E59" s="24">
        <v>19</v>
      </c>
      <c r="F59" s="23">
        <f>COUNTIFS(mdr_rate_cleaned!$A$2:$A$10,B59,mdr_rate_cleaned!$B$2:$B$10,"&lt;"&amp;C59,mdr_rate_cleaned!$F$2:$F$10,"&gt;="&amp;C59)</f>
        <v>1</v>
      </c>
      <c r="G59" s="40">
        <f>SUMIFS(mdr_rate_cleaned!$G$2:$G$10,mdr_rate_cleaned!$A$2:$A$10,B59,mdr_rate_cleaned!$B$2:$B$10,"&lt;"&amp;C59,mdr_rate_cleaned!$F$2:$F$10,"&gt;="&amp;C59)</f>
        <v>1.2E-2</v>
      </c>
      <c r="H59" s="24">
        <f t="shared" si="0"/>
        <v>105.58</v>
      </c>
      <c r="I59" s="23" t="str">
        <f t="shared" si="1"/>
        <v>Match</v>
      </c>
      <c r="J59" s="23" t="str">
        <f t="shared" si="2"/>
        <v>Match</v>
      </c>
      <c r="K59" s="24">
        <f t="shared" si="3"/>
        <v>19</v>
      </c>
      <c r="L59" s="24">
        <f t="shared" si="4"/>
        <v>0</v>
      </c>
    </row>
    <row r="60" spans="1:12" ht="15" customHeight="1" x14ac:dyDescent="0.3">
      <c r="A60" s="23" t="s">
        <v>12477</v>
      </c>
      <c r="B60" s="23" t="s">
        <v>75</v>
      </c>
      <c r="C60" s="39">
        <v>7999</v>
      </c>
      <c r="D60" s="24">
        <v>24</v>
      </c>
      <c r="E60" s="24">
        <v>4.32</v>
      </c>
      <c r="F60" s="23">
        <f>COUNTIFS(mdr_rate_cleaned!$A$2:$A$10,B60,mdr_rate_cleaned!$B$2:$B$10,"&lt;"&amp;C60,mdr_rate_cleaned!$F$2:$F$10,"&gt;="&amp;C60)</f>
        <v>1</v>
      </c>
      <c r="G60" s="40">
        <f>SUMIFS(mdr_rate_cleaned!$G$2:$G$10,mdr_rate_cleaned!$A$2:$A$10,B60,mdr_rate_cleaned!$B$2:$B$10,"&lt;"&amp;C60,mdr_rate_cleaned!$F$2:$F$10,"&gt;="&amp;C60)</f>
        <v>3.0000000000000001E-3</v>
      </c>
      <c r="H60" s="24">
        <f t="shared" si="0"/>
        <v>24</v>
      </c>
      <c r="I60" s="23" t="str">
        <f t="shared" si="1"/>
        <v>Match</v>
      </c>
      <c r="J60" s="23" t="str">
        <f t="shared" si="2"/>
        <v>Match</v>
      </c>
      <c r="K60" s="24">
        <f t="shared" si="3"/>
        <v>4.32</v>
      </c>
      <c r="L60" s="24">
        <f t="shared" si="4"/>
        <v>0</v>
      </c>
    </row>
    <row r="61" spans="1:12" ht="15" customHeight="1" x14ac:dyDescent="0.3">
      <c r="A61" s="23" t="s">
        <v>12478</v>
      </c>
      <c r="B61" s="23" t="s">
        <v>75</v>
      </c>
      <c r="C61" s="39">
        <v>2499</v>
      </c>
      <c r="D61" s="24">
        <v>7.5</v>
      </c>
      <c r="E61" s="24">
        <v>1.35</v>
      </c>
      <c r="F61" s="23">
        <f>COUNTIFS(mdr_rate_cleaned!$A$2:$A$10,B61,mdr_rate_cleaned!$B$2:$B$10,"&lt;"&amp;C61,mdr_rate_cleaned!$F$2:$F$10,"&gt;="&amp;C61)</f>
        <v>1</v>
      </c>
      <c r="G61" s="40">
        <f>SUMIFS(mdr_rate_cleaned!$G$2:$G$10,mdr_rate_cleaned!$A$2:$A$10,B61,mdr_rate_cleaned!$B$2:$B$10,"&lt;"&amp;C61,mdr_rate_cleaned!$F$2:$F$10,"&gt;="&amp;C61)</f>
        <v>3.0000000000000001E-3</v>
      </c>
      <c r="H61" s="24">
        <f t="shared" si="0"/>
        <v>7.5</v>
      </c>
      <c r="I61" s="23" t="str">
        <f t="shared" si="1"/>
        <v>Match</v>
      </c>
      <c r="J61" s="23" t="str">
        <f t="shared" si="2"/>
        <v>Match</v>
      </c>
      <c r="K61" s="24">
        <f t="shared" si="3"/>
        <v>1.35</v>
      </c>
      <c r="L61" s="24">
        <f t="shared" si="4"/>
        <v>0</v>
      </c>
    </row>
    <row r="62" spans="1:12" ht="15" customHeight="1" x14ac:dyDescent="0.3">
      <c r="A62" s="23" t="s">
        <v>12479</v>
      </c>
      <c r="B62" s="23" t="s">
        <v>75</v>
      </c>
      <c r="C62" s="39">
        <v>1499</v>
      </c>
      <c r="D62" s="24">
        <v>0</v>
      </c>
      <c r="E62" s="24">
        <v>0</v>
      </c>
      <c r="F62" s="23">
        <f>COUNTIFS(mdr_rate_cleaned!$A$2:$A$10,B62,mdr_rate_cleaned!$B$2:$B$10,"&lt;"&amp;C62,mdr_rate_cleaned!$F$2:$F$10,"&gt;="&amp;C62)</f>
        <v>1</v>
      </c>
      <c r="G62" s="40">
        <f>SUMIFS(mdr_rate_cleaned!$G$2:$G$10,mdr_rate_cleaned!$A$2:$A$10,B62,mdr_rate_cleaned!$B$2:$B$10,"&lt;"&amp;C62,mdr_rate_cleaned!$F$2:$F$10,"&gt;="&amp;C62)</f>
        <v>0</v>
      </c>
      <c r="H62" s="24">
        <f t="shared" si="0"/>
        <v>0</v>
      </c>
      <c r="I62" s="23" t="str">
        <f t="shared" si="1"/>
        <v>Match</v>
      </c>
      <c r="J62" s="23" t="str">
        <f t="shared" si="2"/>
        <v>Match</v>
      </c>
      <c r="K62" s="24">
        <f t="shared" si="3"/>
        <v>0</v>
      </c>
      <c r="L62" s="24">
        <f t="shared" si="4"/>
        <v>0</v>
      </c>
    </row>
    <row r="63" spans="1:12" ht="15" customHeight="1" x14ac:dyDescent="0.3">
      <c r="A63" s="23" t="s">
        <v>12480</v>
      </c>
      <c r="B63" s="23" t="s">
        <v>75</v>
      </c>
      <c r="C63" s="39">
        <v>1499</v>
      </c>
      <c r="D63" s="24">
        <v>0</v>
      </c>
      <c r="E63" s="24">
        <v>0</v>
      </c>
      <c r="F63" s="23">
        <f>COUNTIFS(mdr_rate_cleaned!$A$2:$A$10,B63,mdr_rate_cleaned!$B$2:$B$10,"&lt;"&amp;C63,mdr_rate_cleaned!$F$2:$F$10,"&gt;="&amp;C63)</f>
        <v>1</v>
      </c>
      <c r="G63" s="40">
        <f>SUMIFS(mdr_rate_cleaned!$G$2:$G$10,mdr_rate_cleaned!$A$2:$A$10,B63,mdr_rate_cleaned!$B$2:$B$10,"&lt;"&amp;C63,mdr_rate_cleaned!$F$2:$F$10,"&gt;="&amp;C63)</f>
        <v>0</v>
      </c>
      <c r="H63" s="24">
        <f t="shared" si="0"/>
        <v>0</v>
      </c>
      <c r="I63" s="23" t="str">
        <f t="shared" si="1"/>
        <v>Match</v>
      </c>
      <c r="J63" s="23" t="str">
        <f t="shared" si="2"/>
        <v>Match</v>
      </c>
      <c r="K63" s="24">
        <f t="shared" si="3"/>
        <v>0</v>
      </c>
      <c r="L63" s="24">
        <f t="shared" si="4"/>
        <v>0</v>
      </c>
    </row>
    <row r="64" spans="1:12" ht="15" customHeight="1" x14ac:dyDescent="0.3">
      <c r="A64" s="23" t="s">
        <v>12481</v>
      </c>
      <c r="B64" s="23" t="s">
        <v>75</v>
      </c>
      <c r="C64" s="39">
        <v>2598</v>
      </c>
      <c r="D64" s="24">
        <v>7.79</v>
      </c>
      <c r="E64" s="24">
        <v>1.4</v>
      </c>
      <c r="F64" s="23">
        <f>COUNTIFS(mdr_rate_cleaned!$A$2:$A$10,B64,mdr_rate_cleaned!$B$2:$B$10,"&lt;"&amp;C64,mdr_rate_cleaned!$F$2:$F$10,"&gt;="&amp;C64)</f>
        <v>1</v>
      </c>
      <c r="G64" s="40">
        <f>SUMIFS(mdr_rate_cleaned!$G$2:$G$10,mdr_rate_cleaned!$A$2:$A$10,B64,mdr_rate_cleaned!$B$2:$B$10,"&lt;"&amp;C64,mdr_rate_cleaned!$F$2:$F$10,"&gt;="&amp;C64)</f>
        <v>3.0000000000000001E-3</v>
      </c>
      <c r="H64" s="24">
        <f t="shared" si="0"/>
        <v>7.79</v>
      </c>
      <c r="I64" s="23" t="str">
        <f t="shared" si="1"/>
        <v>Match</v>
      </c>
      <c r="J64" s="23" t="str">
        <f t="shared" si="2"/>
        <v>Match</v>
      </c>
      <c r="K64" s="24">
        <f t="shared" si="3"/>
        <v>1.4</v>
      </c>
      <c r="L64" s="24">
        <f t="shared" si="4"/>
        <v>0</v>
      </c>
    </row>
    <row r="65" spans="1:12" ht="15" customHeight="1" x14ac:dyDescent="0.3">
      <c r="A65" s="23" t="s">
        <v>12482</v>
      </c>
      <c r="B65" s="23" t="s">
        <v>75</v>
      </c>
      <c r="C65" s="39">
        <v>1098</v>
      </c>
      <c r="D65" s="24">
        <v>0</v>
      </c>
      <c r="E65" s="24">
        <v>0</v>
      </c>
      <c r="F65" s="23">
        <f>COUNTIFS(mdr_rate_cleaned!$A$2:$A$10,B65,mdr_rate_cleaned!$B$2:$B$10,"&lt;"&amp;C65,mdr_rate_cleaned!$F$2:$F$10,"&gt;="&amp;C65)</f>
        <v>1</v>
      </c>
      <c r="G65" s="40">
        <f>SUMIFS(mdr_rate_cleaned!$G$2:$G$10,mdr_rate_cleaned!$A$2:$A$10,B65,mdr_rate_cleaned!$B$2:$B$10,"&lt;"&amp;C65,mdr_rate_cleaned!$F$2:$F$10,"&gt;="&amp;C65)</f>
        <v>0</v>
      </c>
      <c r="H65" s="24">
        <f t="shared" si="0"/>
        <v>0</v>
      </c>
      <c r="I65" s="23" t="str">
        <f t="shared" si="1"/>
        <v>Match</v>
      </c>
      <c r="J65" s="23" t="str">
        <f t="shared" si="2"/>
        <v>Match</v>
      </c>
      <c r="K65" s="24">
        <f t="shared" si="3"/>
        <v>0</v>
      </c>
      <c r="L65" s="24">
        <f t="shared" si="4"/>
        <v>0</v>
      </c>
    </row>
    <row r="66" spans="1:12" ht="15" customHeight="1" x14ac:dyDescent="0.3">
      <c r="A66" s="23" t="s">
        <v>12483</v>
      </c>
      <c r="B66" s="23" t="s">
        <v>75</v>
      </c>
      <c r="C66" s="39">
        <v>648</v>
      </c>
      <c r="D66" s="24">
        <v>0</v>
      </c>
      <c r="E66" s="24">
        <v>0</v>
      </c>
      <c r="F66" s="23">
        <f>COUNTIFS(mdr_rate_cleaned!$A$2:$A$10,B66,mdr_rate_cleaned!$B$2:$B$10,"&lt;"&amp;C66,mdr_rate_cleaned!$F$2:$F$10,"&gt;="&amp;C66)</f>
        <v>1</v>
      </c>
      <c r="G66" s="40">
        <f>SUMIFS(mdr_rate_cleaned!$G$2:$G$10,mdr_rate_cleaned!$A$2:$A$10,B66,mdr_rate_cleaned!$B$2:$B$10,"&lt;"&amp;C66,mdr_rate_cleaned!$F$2:$F$10,"&gt;="&amp;C66)</f>
        <v>0</v>
      </c>
      <c r="H66" s="24">
        <f t="shared" ref="H66:H129" si="5">ROUND(C66*G66,2)</f>
        <v>0</v>
      </c>
      <c r="I66" s="23" t="str">
        <f t="shared" ref="I66:I129" si="6">IF(ROUND(D66-H66,2)=0,"Match","Differs")</f>
        <v>Match</v>
      </c>
      <c r="J66" s="23" t="str">
        <f t="shared" ref="J66:J129" si="7">IF(ROUND(E66-ROUND(D66*0.18,2),2)=0,"Match","Differs")</f>
        <v>Match</v>
      </c>
      <c r="K66" s="24">
        <f t="shared" ref="K66:K129" si="8">ROUND(H66*0.18,2)</f>
        <v>0</v>
      </c>
      <c r="L66" s="24">
        <f t="shared" ref="L66:L129" si="9">ROUND(D66+E66-H66-K66,2)</f>
        <v>0</v>
      </c>
    </row>
    <row r="67" spans="1:12" ht="15" customHeight="1" x14ac:dyDescent="0.3">
      <c r="A67" s="23" t="s">
        <v>12484</v>
      </c>
      <c r="B67" s="23" t="s">
        <v>75</v>
      </c>
      <c r="C67" s="39">
        <v>4999</v>
      </c>
      <c r="D67" s="24">
        <v>15</v>
      </c>
      <c r="E67" s="24">
        <v>2.7</v>
      </c>
      <c r="F67" s="23">
        <f>COUNTIFS(mdr_rate_cleaned!$A$2:$A$10,B67,mdr_rate_cleaned!$B$2:$B$10,"&lt;"&amp;C67,mdr_rate_cleaned!$F$2:$F$10,"&gt;="&amp;C67)</f>
        <v>1</v>
      </c>
      <c r="G67" s="40">
        <f>SUMIFS(mdr_rate_cleaned!$G$2:$G$10,mdr_rate_cleaned!$A$2:$A$10,B67,mdr_rate_cleaned!$B$2:$B$10,"&lt;"&amp;C67,mdr_rate_cleaned!$F$2:$F$10,"&gt;="&amp;C67)</f>
        <v>3.0000000000000001E-3</v>
      </c>
      <c r="H67" s="24">
        <f t="shared" si="5"/>
        <v>15</v>
      </c>
      <c r="I67" s="23" t="str">
        <f t="shared" si="6"/>
        <v>Match</v>
      </c>
      <c r="J67" s="23" t="str">
        <f t="shared" si="7"/>
        <v>Match</v>
      </c>
      <c r="K67" s="24">
        <f t="shared" si="8"/>
        <v>2.7</v>
      </c>
      <c r="L67" s="24">
        <f t="shared" si="9"/>
        <v>0</v>
      </c>
    </row>
    <row r="68" spans="1:12" ht="15" customHeight="1" x14ac:dyDescent="0.3">
      <c r="A68" s="23" t="s">
        <v>12486</v>
      </c>
      <c r="B68" s="23" t="s">
        <v>77</v>
      </c>
      <c r="C68" s="39">
        <v>3647</v>
      </c>
      <c r="D68" s="24">
        <v>62</v>
      </c>
      <c r="E68" s="24">
        <v>11.16</v>
      </c>
      <c r="F68" s="23">
        <f>COUNTIFS(mdr_rate_cleaned!$A$2:$A$10,B68,mdr_rate_cleaned!$B$2:$B$10,"&lt;"&amp;C68,mdr_rate_cleaned!$F$2:$F$10,"&gt;="&amp;C68)</f>
        <v>1</v>
      </c>
      <c r="G68" s="40">
        <f>SUMIFS(mdr_rate_cleaned!$G$2:$G$10,mdr_rate_cleaned!$A$2:$A$10,B68,mdr_rate_cleaned!$B$2:$B$10,"&lt;"&amp;C68,mdr_rate_cleaned!$F$2:$F$10,"&gt;="&amp;C68)</f>
        <v>1.7000000000000001E-2</v>
      </c>
      <c r="H68" s="24">
        <f t="shared" si="5"/>
        <v>62</v>
      </c>
      <c r="I68" s="23" t="str">
        <f t="shared" si="6"/>
        <v>Match</v>
      </c>
      <c r="J68" s="23" t="str">
        <f t="shared" si="7"/>
        <v>Match</v>
      </c>
      <c r="K68" s="24">
        <f t="shared" si="8"/>
        <v>11.16</v>
      </c>
      <c r="L68" s="24">
        <f t="shared" si="9"/>
        <v>0</v>
      </c>
    </row>
    <row r="69" spans="1:12" ht="15" customHeight="1" x14ac:dyDescent="0.3">
      <c r="A69" s="23" t="s">
        <v>12487</v>
      </c>
      <c r="B69" s="23" t="s">
        <v>75</v>
      </c>
      <c r="C69" s="39">
        <v>999</v>
      </c>
      <c r="D69" s="24">
        <v>0</v>
      </c>
      <c r="E69" s="24">
        <v>0</v>
      </c>
      <c r="F69" s="23">
        <f>COUNTIFS(mdr_rate_cleaned!$A$2:$A$10,B69,mdr_rate_cleaned!$B$2:$B$10,"&lt;"&amp;C69,mdr_rate_cleaned!$F$2:$F$10,"&gt;="&amp;C69)</f>
        <v>1</v>
      </c>
      <c r="G69" s="40">
        <f>SUMIFS(mdr_rate_cleaned!$G$2:$G$10,mdr_rate_cleaned!$A$2:$A$10,B69,mdr_rate_cleaned!$B$2:$B$10,"&lt;"&amp;C69,mdr_rate_cleaned!$F$2:$F$10,"&gt;="&amp;C69)</f>
        <v>0</v>
      </c>
      <c r="H69" s="24">
        <f t="shared" si="5"/>
        <v>0</v>
      </c>
      <c r="I69" s="23" t="str">
        <f t="shared" si="6"/>
        <v>Match</v>
      </c>
      <c r="J69" s="23" t="str">
        <f t="shared" si="7"/>
        <v>Match</v>
      </c>
      <c r="K69" s="24">
        <f t="shared" si="8"/>
        <v>0</v>
      </c>
      <c r="L69" s="24">
        <f t="shared" si="9"/>
        <v>0</v>
      </c>
    </row>
    <row r="70" spans="1:12" ht="15" customHeight="1" x14ac:dyDescent="0.3">
      <c r="A70" s="23" t="s">
        <v>12488</v>
      </c>
      <c r="B70" s="23" t="s">
        <v>75</v>
      </c>
      <c r="C70" s="39">
        <v>1299</v>
      </c>
      <c r="D70" s="24">
        <v>0</v>
      </c>
      <c r="E70" s="24">
        <v>0</v>
      </c>
      <c r="F70" s="23">
        <f>COUNTIFS(mdr_rate_cleaned!$A$2:$A$10,B70,mdr_rate_cleaned!$B$2:$B$10,"&lt;"&amp;C70,mdr_rate_cleaned!$F$2:$F$10,"&gt;="&amp;C70)</f>
        <v>1</v>
      </c>
      <c r="G70" s="40">
        <f>SUMIFS(mdr_rate_cleaned!$G$2:$G$10,mdr_rate_cleaned!$A$2:$A$10,B70,mdr_rate_cleaned!$B$2:$B$10,"&lt;"&amp;C70,mdr_rate_cleaned!$F$2:$F$10,"&gt;="&amp;C70)</f>
        <v>0</v>
      </c>
      <c r="H70" s="24">
        <f t="shared" si="5"/>
        <v>0</v>
      </c>
      <c r="I70" s="23" t="str">
        <f t="shared" si="6"/>
        <v>Match</v>
      </c>
      <c r="J70" s="23" t="str">
        <f t="shared" si="7"/>
        <v>Match</v>
      </c>
      <c r="K70" s="24">
        <f t="shared" si="8"/>
        <v>0</v>
      </c>
      <c r="L70" s="24">
        <f t="shared" si="9"/>
        <v>0</v>
      </c>
    </row>
    <row r="71" spans="1:12" ht="15" customHeight="1" x14ac:dyDescent="0.3">
      <c r="A71" s="23" t="s">
        <v>12490</v>
      </c>
      <c r="B71" s="23" t="s">
        <v>79</v>
      </c>
      <c r="C71" s="39">
        <v>499</v>
      </c>
      <c r="D71" s="24">
        <v>8.98</v>
      </c>
      <c r="E71" s="24">
        <v>1.62</v>
      </c>
      <c r="F71" s="23">
        <f>COUNTIFS(mdr_rate_cleaned!$A$2:$A$10,B71,mdr_rate_cleaned!$B$2:$B$10,"&lt;"&amp;C71,mdr_rate_cleaned!$F$2:$F$10,"&gt;="&amp;C71)</f>
        <v>1</v>
      </c>
      <c r="G71" s="40">
        <f>SUMIFS(mdr_rate_cleaned!$G$2:$G$10,mdr_rate_cleaned!$A$2:$A$10,B71,mdr_rate_cleaned!$B$2:$B$10,"&lt;"&amp;C71,mdr_rate_cleaned!$F$2:$F$10,"&gt;="&amp;C71)</f>
        <v>1.8000000000000002E-2</v>
      </c>
      <c r="H71" s="24">
        <f t="shared" si="5"/>
        <v>8.98</v>
      </c>
      <c r="I71" s="23" t="str">
        <f t="shared" si="6"/>
        <v>Match</v>
      </c>
      <c r="J71" s="23" t="str">
        <f t="shared" si="7"/>
        <v>Match</v>
      </c>
      <c r="K71" s="24">
        <f t="shared" si="8"/>
        <v>1.62</v>
      </c>
      <c r="L71" s="24">
        <f t="shared" si="9"/>
        <v>0</v>
      </c>
    </row>
    <row r="72" spans="1:12" ht="15" customHeight="1" x14ac:dyDescent="0.3">
      <c r="A72" s="23" t="s">
        <v>12491</v>
      </c>
      <c r="B72" s="23" t="s">
        <v>75</v>
      </c>
      <c r="C72" s="39">
        <v>2999</v>
      </c>
      <c r="D72" s="24">
        <v>9</v>
      </c>
      <c r="E72" s="24">
        <v>1.62</v>
      </c>
      <c r="F72" s="23">
        <f>COUNTIFS(mdr_rate_cleaned!$A$2:$A$10,B72,mdr_rate_cleaned!$B$2:$B$10,"&lt;"&amp;C72,mdr_rate_cleaned!$F$2:$F$10,"&gt;="&amp;C72)</f>
        <v>1</v>
      </c>
      <c r="G72" s="40">
        <f>SUMIFS(mdr_rate_cleaned!$G$2:$G$10,mdr_rate_cleaned!$A$2:$A$10,B72,mdr_rate_cleaned!$B$2:$B$10,"&lt;"&amp;C72,mdr_rate_cleaned!$F$2:$F$10,"&gt;="&amp;C72)</f>
        <v>3.0000000000000001E-3</v>
      </c>
      <c r="H72" s="24">
        <f t="shared" si="5"/>
        <v>9</v>
      </c>
      <c r="I72" s="23" t="str">
        <f t="shared" si="6"/>
        <v>Match</v>
      </c>
      <c r="J72" s="23" t="str">
        <f t="shared" si="7"/>
        <v>Match</v>
      </c>
      <c r="K72" s="24">
        <f t="shared" si="8"/>
        <v>1.62</v>
      </c>
      <c r="L72" s="24">
        <f t="shared" si="9"/>
        <v>0</v>
      </c>
    </row>
    <row r="73" spans="1:12" ht="15" customHeight="1" x14ac:dyDescent="0.3">
      <c r="A73" s="23" t="s">
        <v>12493</v>
      </c>
      <c r="B73" s="23" t="s">
        <v>75</v>
      </c>
      <c r="C73" s="39">
        <v>5998</v>
      </c>
      <c r="D73" s="24">
        <v>17.989999999999998</v>
      </c>
      <c r="E73" s="24">
        <v>3.24</v>
      </c>
      <c r="F73" s="23">
        <f>COUNTIFS(mdr_rate_cleaned!$A$2:$A$10,B73,mdr_rate_cleaned!$B$2:$B$10,"&lt;"&amp;C73,mdr_rate_cleaned!$F$2:$F$10,"&gt;="&amp;C73)</f>
        <v>1</v>
      </c>
      <c r="G73" s="40">
        <f>SUMIFS(mdr_rate_cleaned!$G$2:$G$10,mdr_rate_cleaned!$A$2:$A$10,B73,mdr_rate_cleaned!$B$2:$B$10,"&lt;"&amp;C73,mdr_rate_cleaned!$F$2:$F$10,"&gt;="&amp;C73)</f>
        <v>3.0000000000000001E-3</v>
      </c>
      <c r="H73" s="24">
        <f t="shared" si="5"/>
        <v>17.989999999999998</v>
      </c>
      <c r="I73" s="23" t="str">
        <f t="shared" si="6"/>
        <v>Match</v>
      </c>
      <c r="J73" s="23" t="str">
        <f t="shared" si="7"/>
        <v>Match</v>
      </c>
      <c r="K73" s="24">
        <f t="shared" si="8"/>
        <v>3.24</v>
      </c>
      <c r="L73" s="24">
        <f t="shared" si="9"/>
        <v>0</v>
      </c>
    </row>
    <row r="74" spans="1:12" ht="15" customHeight="1" x14ac:dyDescent="0.3">
      <c r="A74" s="23" t="s">
        <v>12495</v>
      </c>
      <c r="B74" s="23" t="s">
        <v>75</v>
      </c>
      <c r="C74" s="39">
        <v>1499</v>
      </c>
      <c r="D74" s="24">
        <v>0</v>
      </c>
      <c r="E74" s="24">
        <v>0</v>
      </c>
      <c r="F74" s="23">
        <f>COUNTIFS(mdr_rate_cleaned!$A$2:$A$10,B74,mdr_rate_cleaned!$B$2:$B$10,"&lt;"&amp;C74,mdr_rate_cleaned!$F$2:$F$10,"&gt;="&amp;C74)</f>
        <v>1</v>
      </c>
      <c r="G74" s="40">
        <f>SUMIFS(mdr_rate_cleaned!$G$2:$G$10,mdr_rate_cleaned!$A$2:$A$10,B74,mdr_rate_cleaned!$B$2:$B$10,"&lt;"&amp;C74,mdr_rate_cleaned!$F$2:$F$10,"&gt;="&amp;C74)</f>
        <v>0</v>
      </c>
      <c r="H74" s="24">
        <f t="shared" si="5"/>
        <v>0</v>
      </c>
      <c r="I74" s="23" t="str">
        <f t="shared" si="6"/>
        <v>Match</v>
      </c>
      <c r="J74" s="23" t="str">
        <f t="shared" si="7"/>
        <v>Match</v>
      </c>
      <c r="K74" s="24">
        <f t="shared" si="8"/>
        <v>0</v>
      </c>
      <c r="L74" s="24">
        <f t="shared" si="9"/>
        <v>0</v>
      </c>
    </row>
    <row r="75" spans="1:12" ht="15" customHeight="1" x14ac:dyDescent="0.3">
      <c r="A75" s="23" t="s">
        <v>12496</v>
      </c>
      <c r="B75" s="23" t="s">
        <v>81</v>
      </c>
      <c r="C75" s="39">
        <v>3498</v>
      </c>
      <c r="D75" s="24">
        <v>41.98</v>
      </c>
      <c r="E75" s="24">
        <v>7.56</v>
      </c>
      <c r="F75" s="23">
        <f>COUNTIFS(mdr_rate_cleaned!$A$2:$A$10,B75,mdr_rate_cleaned!$B$2:$B$10,"&lt;"&amp;C75,mdr_rate_cleaned!$F$2:$F$10,"&gt;="&amp;C75)</f>
        <v>1</v>
      </c>
      <c r="G75" s="40">
        <f>SUMIFS(mdr_rate_cleaned!$G$2:$G$10,mdr_rate_cleaned!$A$2:$A$10,B75,mdr_rate_cleaned!$B$2:$B$10,"&lt;"&amp;C75,mdr_rate_cleaned!$F$2:$F$10,"&gt;="&amp;C75)</f>
        <v>1.2E-2</v>
      </c>
      <c r="H75" s="24">
        <f t="shared" si="5"/>
        <v>41.98</v>
      </c>
      <c r="I75" s="23" t="str">
        <f t="shared" si="6"/>
        <v>Match</v>
      </c>
      <c r="J75" s="23" t="str">
        <f t="shared" si="7"/>
        <v>Match</v>
      </c>
      <c r="K75" s="24">
        <f t="shared" si="8"/>
        <v>7.56</v>
      </c>
      <c r="L75" s="24">
        <f t="shared" si="9"/>
        <v>0</v>
      </c>
    </row>
    <row r="76" spans="1:12" ht="15" customHeight="1" x14ac:dyDescent="0.3">
      <c r="A76" s="23" t="s">
        <v>12498</v>
      </c>
      <c r="B76" s="23" t="s">
        <v>79</v>
      </c>
      <c r="C76" s="39">
        <v>599</v>
      </c>
      <c r="D76" s="24">
        <v>10.78</v>
      </c>
      <c r="E76" s="24">
        <v>1.94</v>
      </c>
      <c r="F76" s="23">
        <f>COUNTIFS(mdr_rate_cleaned!$A$2:$A$10,B76,mdr_rate_cleaned!$B$2:$B$10,"&lt;"&amp;C76,mdr_rate_cleaned!$F$2:$F$10,"&gt;="&amp;C76)</f>
        <v>1</v>
      </c>
      <c r="G76" s="40">
        <f>SUMIFS(mdr_rate_cleaned!$G$2:$G$10,mdr_rate_cleaned!$A$2:$A$10,B76,mdr_rate_cleaned!$B$2:$B$10,"&lt;"&amp;C76,mdr_rate_cleaned!$F$2:$F$10,"&gt;="&amp;C76)</f>
        <v>1.8000000000000002E-2</v>
      </c>
      <c r="H76" s="24">
        <f t="shared" si="5"/>
        <v>10.78</v>
      </c>
      <c r="I76" s="23" t="str">
        <f t="shared" si="6"/>
        <v>Match</v>
      </c>
      <c r="J76" s="23" t="str">
        <f t="shared" si="7"/>
        <v>Match</v>
      </c>
      <c r="K76" s="24">
        <f t="shared" si="8"/>
        <v>1.94</v>
      </c>
      <c r="L76" s="24">
        <f t="shared" si="9"/>
        <v>0</v>
      </c>
    </row>
    <row r="77" spans="1:12" ht="15" customHeight="1" x14ac:dyDescent="0.3">
      <c r="A77" s="23" t="s">
        <v>12499</v>
      </c>
      <c r="B77" s="23" t="s">
        <v>77</v>
      </c>
      <c r="C77" s="39">
        <v>2397</v>
      </c>
      <c r="D77" s="24">
        <v>40.75</v>
      </c>
      <c r="E77" s="24">
        <v>7.34</v>
      </c>
      <c r="F77" s="23">
        <f>COUNTIFS(mdr_rate_cleaned!$A$2:$A$10,B77,mdr_rate_cleaned!$B$2:$B$10,"&lt;"&amp;C77,mdr_rate_cleaned!$F$2:$F$10,"&gt;="&amp;C77)</f>
        <v>1</v>
      </c>
      <c r="G77" s="40">
        <f>SUMIFS(mdr_rate_cleaned!$G$2:$G$10,mdr_rate_cleaned!$A$2:$A$10,B77,mdr_rate_cleaned!$B$2:$B$10,"&lt;"&amp;C77,mdr_rate_cleaned!$F$2:$F$10,"&gt;="&amp;C77)</f>
        <v>1.7000000000000001E-2</v>
      </c>
      <c r="H77" s="24">
        <f t="shared" si="5"/>
        <v>40.75</v>
      </c>
      <c r="I77" s="23" t="str">
        <f t="shared" si="6"/>
        <v>Match</v>
      </c>
      <c r="J77" s="23" t="str">
        <f t="shared" si="7"/>
        <v>Match</v>
      </c>
      <c r="K77" s="24">
        <f t="shared" si="8"/>
        <v>7.34</v>
      </c>
      <c r="L77" s="24">
        <f t="shared" si="9"/>
        <v>0</v>
      </c>
    </row>
    <row r="78" spans="1:12" ht="15" customHeight="1" x14ac:dyDescent="0.3">
      <c r="A78" s="23" t="s">
        <v>12500</v>
      </c>
      <c r="B78" s="23" t="s">
        <v>79</v>
      </c>
      <c r="C78" s="39">
        <v>3499</v>
      </c>
      <c r="D78" s="24">
        <v>55.98</v>
      </c>
      <c r="E78" s="24">
        <v>10.08</v>
      </c>
      <c r="F78" s="23">
        <f>COUNTIFS(mdr_rate_cleaned!$A$2:$A$10,B78,mdr_rate_cleaned!$B$2:$B$10,"&lt;"&amp;C78,mdr_rate_cleaned!$F$2:$F$10,"&gt;="&amp;C78)</f>
        <v>1</v>
      </c>
      <c r="G78" s="40">
        <f>SUMIFS(mdr_rate_cleaned!$G$2:$G$10,mdr_rate_cleaned!$A$2:$A$10,B78,mdr_rate_cleaned!$B$2:$B$10,"&lt;"&amp;C78,mdr_rate_cleaned!$F$2:$F$10,"&gt;="&amp;C78)</f>
        <v>1.6E-2</v>
      </c>
      <c r="H78" s="24">
        <f t="shared" si="5"/>
        <v>55.98</v>
      </c>
      <c r="I78" s="23" t="str">
        <f t="shared" si="6"/>
        <v>Match</v>
      </c>
      <c r="J78" s="23" t="str">
        <f t="shared" si="7"/>
        <v>Match</v>
      </c>
      <c r="K78" s="24">
        <f t="shared" si="8"/>
        <v>10.08</v>
      </c>
      <c r="L78" s="24">
        <f t="shared" si="9"/>
        <v>0</v>
      </c>
    </row>
    <row r="79" spans="1:12" ht="15" customHeight="1" x14ac:dyDescent="0.3">
      <c r="A79" s="23" t="s">
        <v>12501</v>
      </c>
      <c r="B79" s="23" t="s">
        <v>79</v>
      </c>
      <c r="C79" s="39">
        <v>1799</v>
      </c>
      <c r="D79" s="24">
        <v>32.380000000000003</v>
      </c>
      <c r="E79" s="24">
        <v>5.83</v>
      </c>
      <c r="F79" s="23">
        <f>COUNTIFS(mdr_rate_cleaned!$A$2:$A$10,B79,mdr_rate_cleaned!$B$2:$B$10,"&lt;"&amp;C79,mdr_rate_cleaned!$F$2:$F$10,"&gt;="&amp;C79)</f>
        <v>1</v>
      </c>
      <c r="G79" s="40">
        <f>SUMIFS(mdr_rate_cleaned!$G$2:$G$10,mdr_rate_cleaned!$A$2:$A$10,B79,mdr_rate_cleaned!$B$2:$B$10,"&lt;"&amp;C79,mdr_rate_cleaned!$F$2:$F$10,"&gt;="&amp;C79)</f>
        <v>1.8000000000000002E-2</v>
      </c>
      <c r="H79" s="24">
        <f t="shared" si="5"/>
        <v>32.380000000000003</v>
      </c>
      <c r="I79" s="23" t="str">
        <f t="shared" si="6"/>
        <v>Match</v>
      </c>
      <c r="J79" s="23" t="str">
        <f t="shared" si="7"/>
        <v>Match</v>
      </c>
      <c r="K79" s="24">
        <f t="shared" si="8"/>
        <v>5.83</v>
      </c>
      <c r="L79" s="24">
        <f t="shared" si="9"/>
        <v>0</v>
      </c>
    </row>
    <row r="80" spans="1:12" ht="15" customHeight="1" x14ac:dyDescent="0.3">
      <c r="A80" s="23" t="s">
        <v>12502</v>
      </c>
      <c r="B80" s="23" t="s">
        <v>75</v>
      </c>
      <c r="C80" s="39">
        <v>3098</v>
      </c>
      <c r="D80" s="24">
        <v>9.2899999999999991</v>
      </c>
      <c r="E80" s="24">
        <v>1.67</v>
      </c>
      <c r="F80" s="23">
        <f>COUNTIFS(mdr_rate_cleaned!$A$2:$A$10,B80,mdr_rate_cleaned!$B$2:$B$10,"&lt;"&amp;C80,mdr_rate_cleaned!$F$2:$F$10,"&gt;="&amp;C80)</f>
        <v>1</v>
      </c>
      <c r="G80" s="40">
        <f>SUMIFS(mdr_rate_cleaned!$G$2:$G$10,mdr_rate_cleaned!$A$2:$A$10,B80,mdr_rate_cleaned!$B$2:$B$10,"&lt;"&amp;C80,mdr_rate_cleaned!$F$2:$F$10,"&gt;="&amp;C80)</f>
        <v>3.0000000000000001E-3</v>
      </c>
      <c r="H80" s="24">
        <f t="shared" si="5"/>
        <v>9.2899999999999991</v>
      </c>
      <c r="I80" s="23" t="str">
        <f t="shared" si="6"/>
        <v>Match</v>
      </c>
      <c r="J80" s="23" t="str">
        <f t="shared" si="7"/>
        <v>Match</v>
      </c>
      <c r="K80" s="24">
        <f t="shared" si="8"/>
        <v>1.67</v>
      </c>
      <c r="L80" s="24">
        <f t="shared" si="9"/>
        <v>0</v>
      </c>
    </row>
    <row r="81" spans="1:12" ht="15" customHeight="1" x14ac:dyDescent="0.3">
      <c r="A81" s="23" t="s">
        <v>12503</v>
      </c>
      <c r="B81" s="23" t="s">
        <v>75</v>
      </c>
      <c r="C81" s="39">
        <v>4999</v>
      </c>
      <c r="D81" s="24">
        <v>15</v>
      </c>
      <c r="E81" s="24">
        <v>2.7</v>
      </c>
      <c r="F81" s="23">
        <f>COUNTIFS(mdr_rate_cleaned!$A$2:$A$10,B81,mdr_rate_cleaned!$B$2:$B$10,"&lt;"&amp;C81,mdr_rate_cleaned!$F$2:$F$10,"&gt;="&amp;C81)</f>
        <v>1</v>
      </c>
      <c r="G81" s="40">
        <f>SUMIFS(mdr_rate_cleaned!$G$2:$G$10,mdr_rate_cleaned!$A$2:$A$10,B81,mdr_rate_cleaned!$B$2:$B$10,"&lt;"&amp;C81,mdr_rate_cleaned!$F$2:$F$10,"&gt;="&amp;C81)</f>
        <v>3.0000000000000001E-3</v>
      </c>
      <c r="H81" s="24">
        <f t="shared" si="5"/>
        <v>15</v>
      </c>
      <c r="I81" s="23" t="str">
        <f t="shared" si="6"/>
        <v>Match</v>
      </c>
      <c r="J81" s="23" t="str">
        <f t="shared" si="7"/>
        <v>Match</v>
      </c>
      <c r="K81" s="24">
        <f t="shared" si="8"/>
        <v>2.7</v>
      </c>
      <c r="L81" s="24">
        <f t="shared" si="9"/>
        <v>0</v>
      </c>
    </row>
    <row r="82" spans="1:12" ht="15" customHeight="1" x14ac:dyDescent="0.3">
      <c r="A82" s="23" t="s">
        <v>12505</v>
      </c>
      <c r="B82" s="23" t="s">
        <v>75</v>
      </c>
      <c r="C82" s="39">
        <v>4999</v>
      </c>
      <c r="D82" s="24">
        <v>15</v>
      </c>
      <c r="E82" s="24">
        <v>2.7</v>
      </c>
      <c r="F82" s="23">
        <f>COUNTIFS(mdr_rate_cleaned!$A$2:$A$10,B82,mdr_rate_cleaned!$B$2:$B$10,"&lt;"&amp;C82,mdr_rate_cleaned!$F$2:$F$10,"&gt;="&amp;C82)</f>
        <v>1</v>
      </c>
      <c r="G82" s="40">
        <f>SUMIFS(mdr_rate_cleaned!$G$2:$G$10,mdr_rate_cleaned!$A$2:$A$10,B82,mdr_rate_cleaned!$B$2:$B$10,"&lt;"&amp;C82,mdr_rate_cleaned!$F$2:$F$10,"&gt;="&amp;C82)</f>
        <v>3.0000000000000001E-3</v>
      </c>
      <c r="H82" s="24">
        <f t="shared" si="5"/>
        <v>15</v>
      </c>
      <c r="I82" s="23" t="str">
        <f t="shared" si="6"/>
        <v>Match</v>
      </c>
      <c r="J82" s="23" t="str">
        <f t="shared" si="7"/>
        <v>Match</v>
      </c>
      <c r="K82" s="24">
        <f t="shared" si="8"/>
        <v>2.7</v>
      </c>
      <c r="L82" s="24">
        <f t="shared" si="9"/>
        <v>0</v>
      </c>
    </row>
    <row r="83" spans="1:12" ht="15" customHeight="1" x14ac:dyDescent="0.3">
      <c r="A83" s="23" t="s">
        <v>12506</v>
      </c>
      <c r="B83" s="23" t="s">
        <v>75</v>
      </c>
      <c r="C83" s="39">
        <v>3098</v>
      </c>
      <c r="D83" s="24">
        <v>9.2899999999999991</v>
      </c>
      <c r="E83" s="24">
        <v>1.67</v>
      </c>
      <c r="F83" s="23">
        <f>COUNTIFS(mdr_rate_cleaned!$A$2:$A$10,B83,mdr_rate_cleaned!$B$2:$B$10,"&lt;"&amp;C83,mdr_rate_cleaned!$F$2:$F$10,"&gt;="&amp;C83)</f>
        <v>1</v>
      </c>
      <c r="G83" s="40">
        <f>SUMIFS(mdr_rate_cleaned!$G$2:$G$10,mdr_rate_cleaned!$A$2:$A$10,B83,mdr_rate_cleaned!$B$2:$B$10,"&lt;"&amp;C83,mdr_rate_cleaned!$F$2:$F$10,"&gt;="&amp;C83)</f>
        <v>3.0000000000000001E-3</v>
      </c>
      <c r="H83" s="24">
        <f t="shared" si="5"/>
        <v>9.2899999999999991</v>
      </c>
      <c r="I83" s="23" t="str">
        <f t="shared" si="6"/>
        <v>Match</v>
      </c>
      <c r="J83" s="23" t="str">
        <f t="shared" si="7"/>
        <v>Match</v>
      </c>
      <c r="K83" s="24">
        <f t="shared" si="8"/>
        <v>1.67</v>
      </c>
      <c r="L83" s="24">
        <f t="shared" si="9"/>
        <v>0</v>
      </c>
    </row>
    <row r="84" spans="1:12" ht="15" customHeight="1" x14ac:dyDescent="0.3">
      <c r="A84" s="23" t="s">
        <v>12507</v>
      </c>
      <c r="B84" s="23" t="s">
        <v>79</v>
      </c>
      <c r="C84" s="39">
        <v>3447</v>
      </c>
      <c r="D84" s="24">
        <v>55.15</v>
      </c>
      <c r="E84" s="24">
        <v>9.93</v>
      </c>
      <c r="F84" s="23">
        <f>COUNTIFS(mdr_rate_cleaned!$A$2:$A$10,B84,mdr_rate_cleaned!$B$2:$B$10,"&lt;"&amp;C84,mdr_rate_cleaned!$F$2:$F$10,"&gt;="&amp;C84)</f>
        <v>1</v>
      </c>
      <c r="G84" s="40">
        <f>SUMIFS(mdr_rate_cleaned!$G$2:$G$10,mdr_rate_cleaned!$A$2:$A$10,B84,mdr_rate_cleaned!$B$2:$B$10,"&lt;"&amp;C84,mdr_rate_cleaned!$F$2:$F$10,"&gt;="&amp;C84)</f>
        <v>1.6E-2</v>
      </c>
      <c r="H84" s="24">
        <f t="shared" si="5"/>
        <v>55.15</v>
      </c>
      <c r="I84" s="23" t="str">
        <f t="shared" si="6"/>
        <v>Match</v>
      </c>
      <c r="J84" s="23" t="str">
        <f t="shared" si="7"/>
        <v>Match</v>
      </c>
      <c r="K84" s="24">
        <f t="shared" si="8"/>
        <v>9.93</v>
      </c>
      <c r="L84" s="24">
        <f t="shared" si="9"/>
        <v>0</v>
      </c>
    </row>
    <row r="85" spans="1:12" ht="15" customHeight="1" x14ac:dyDescent="0.3">
      <c r="A85" s="23" t="s">
        <v>12508</v>
      </c>
      <c r="B85" s="23" t="s">
        <v>75</v>
      </c>
      <c r="C85" s="39">
        <v>2499</v>
      </c>
      <c r="D85" s="24">
        <v>7.5</v>
      </c>
      <c r="E85" s="24">
        <v>1.35</v>
      </c>
      <c r="F85" s="23">
        <f>COUNTIFS(mdr_rate_cleaned!$A$2:$A$10,B85,mdr_rate_cleaned!$B$2:$B$10,"&lt;"&amp;C85,mdr_rate_cleaned!$F$2:$F$10,"&gt;="&amp;C85)</f>
        <v>1</v>
      </c>
      <c r="G85" s="40">
        <f>SUMIFS(mdr_rate_cleaned!$G$2:$G$10,mdr_rate_cleaned!$A$2:$A$10,B85,mdr_rate_cleaned!$B$2:$B$10,"&lt;"&amp;C85,mdr_rate_cleaned!$F$2:$F$10,"&gt;="&amp;C85)</f>
        <v>3.0000000000000001E-3</v>
      </c>
      <c r="H85" s="24">
        <f t="shared" si="5"/>
        <v>7.5</v>
      </c>
      <c r="I85" s="23" t="str">
        <f t="shared" si="6"/>
        <v>Match</v>
      </c>
      <c r="J85" s="23" t="str">
        <f t="shared" si="7"/>
        <v>Match</v>
      </c>
      <c r="K85" s="24">
        <f t="shared" si="8"/>
        <v>1.35</v>
      </c>
      <c r="L85" s="24">
        <f t="shared" si="9"/>
        <v>0</v>
      </c>
    </row>
    <row r="86" spans="1:12" ht="15" customHeight="1" x14ac:dyDescent="0.3">
      <c r="A86" s="23" t="s">
        <v>12509</v>
      </c>
      <c r="B86" s="23" t="s">
        <v>75</v>
      </c>
      <c r="C86" s="39">
        <v>3499</v>
      </c>
      <c r="D86" s="24">
        <v>10.5</v>
      </c>
      <c r="E86" s="24">
        <v>1.89</v>
      </c>
      <c r="F86" s="23">
        <f>COUNTIFS(mdr_rate_cleaned!$A$2:$A$10,B86,mdr_rate_cleaned!$B$2:$B$10,"&lt;"&amp;C86,mdr_rate_cleaned!$F$2:$F$10,"&gt;="&amp;C86)</f>
        <v>1</v>
      </c>
      <c r="G86" s="40">
        <f>SUMIFS(mdr_rate_cleaned!$G$2:$G$10,mdr_rate_cleaned!$A$2:$A$10,B86,mdr_rate_cleaned!$B$2:$B$10,"&lt;"&amp;C86,mdr_rate_cleaned!$F$2:$F$10,"&gt;="&amp;C86)</f>
        <v>3.0000000000000001E-3</v>
      </c>
      <c r="H86" s="24">
        <f t="shared" si="5"/>
        <v>10.5</v>
      </c>
      <c r="I86" s="23" t="str">
        <f t="shared" si="6"/>
        <v>Match</v>
      </c>
      <c r="J86" s="23" t="str">
        <f t="shared" si="7"/>
        <v>Match</v>
      </c>
      <c r="K86" s="24">
        <f t="shared" si="8"/>
        <v>1.89</v>
      </c>
      <c r="L86" s="24">
        <f t="shared" si="9"/>
        <v>0</v>
      </c>
    </row>
    <row r="87" spans="1:12" ht="15" customHeight="1" x14ac:dyDescent="0.3">
      <c r="A87" s="23" t="s">
        <v>12510</v>
      </c>
      <c r="B87" s="23" t="s">
        <v>77</v>
      </c>
      <c r="C87" s="39">
        <v>599</v>
      </c>
      <c r="D87" s="24">
        <v>11.38</v>
      </c>
      <c r="E87" s="24">
        <v>2.0499999999999998</v>
      </c>
      <c r="F87" s="23">
        <f>COUNTIFS(mdr_rate_cleaned!$A$2:$A$10,B87,mdr_rate_cleaned!$B$2:$B$10,"&lt;"&amp;C87,mdr_rate_cleaned!$F$2:$F$10,"&gt;="&amp;C87)</f>
        <v>1</v>
      </c>
      <c r="G87" s="40">
        <f>SUMIFS(mdr_rate_cleaned!$G$2:$G$10,mdr_rate_cleaned!$A$2:$A$10,B87,mdr_rate_cleaned!$B$2:$B$10,"&lt;"&amp;C87,mdr_rate_cleaned!$F$2:$F$10,"&gt;="&amp;C87)</f>
        <v>1.9E-2</v>
      </c>
      <c r="H87" s="24">
        <f t="shared" si="5"/>
        <v>11.38</v>
      </c>
      <c r="I87" s="23" t="str">
        <f t="shared" si="6"/>
        <v>Match</v>
      </c>
      <c r="J87" s="23" t="str">
        <f t="shared" si="7"/>
        <v>Match</v>
      </c>
      <c r="K87" s="24">
        <f t="shared" si="8"/>
        <v>2.0499999999999998</v>
      </c>
      <c r="L87" s="24">
        <f t="shared" si="9"/>
        <v>0</v>
      </c>
    </row>
    <row r="88" spans="1:12" ht="15" customHeight="1" x14ac:dyDescent="0.3">
      <c r="A88" s="23" t="s">
        <v>12511</v>
      </c>
      <c r="B88" s="23" t="s">
        <v>75</v>
      </c>
      <c r="C88" s="39">
        <v>2798</v>
      </c>
      <c r="D88" s="24">
        <v>8.39</v>
      </c>
      <c r="E88" s="24">
        <v>1.51</v>
      </c>
      <c r="F88" s="23">
        <f>COUNTIFS(mdr_rate_cleaned!$A$2:$A$10,B88,mdr_rate_cleaned!$B$2:$B$10,"&lt;"&amp;C88,mdr_rate_cleaned!$F$2:$F$10,"&gt;="&amp;C88)</f>
        <v>1</v>
      </c>
      <c r="G88" s="40">
        <f>SUMIFS(mdr_rate_cleaned!$G$2:$G$10,mdr_rate_cleaned!$A$2:$A$10,B88,mdr_rate_cleaned!$B$2:$B$10,"&lt;"&amp;C88,mdr_rate_cleaned!$F$2:$F$10,"&gt;="&amp;C88)</f>
        <v>3.0000000000000001E-3</v>
      </c>
      <c r="H88" s="24">
        <f t="shared" si="5"/>
        <v>8.39</v>
      </c>
      <c r="I88" s="23" t="str">
        <f t="shared" si="6"/>
        <v>Match</v>
      </c>
      <c r="J88" s="23" t="str">
        <f t="shared" si="7"/>
        <v>Match</v>
      </c>
      <c r="K88" s="24">
        <f t="shared" si="8"/>
        <v>1.51</v>
      </c>
      <c r="L88" s="24">
        <f t="shared" si="9"/>
        <v>0</v>
      </c>
    </row>
    <row r="89" spans="1:12" ht="15" customHeight="1" x14ac:dyDescent="0.3">
      <c r="A89" s="23" t="s">
        <v>12512</v>
      </c>
      <c r="B89" s="23" t="s">
        <v>75</v>
      </c>
      <c r="C89" s="39">
        <v>1299</v>
      </c>
      <c r="D89" s="24">
        <v>0</v>
      </c>
      <c r="E89" s="24">
        <v>0</v>
      </c>
      <c r="F89" s="23">
        <f>COUNTIFS(mdr_rate_cleaned!$A$2:$A$10,B89,mdr_rate_cleaned!$B$2:$B$10,"&lt;"&amp;C89,mdr_rate_cleaned!$F$2:$F$10,"&gt;="&amp;C89)</f>
        <v>1</v>
      </c>
      <c r="G89" s="40">
        <f>SUMIFS(mdr_rate_cleaned!$G$2:$G$10,mdr_rate_cleaned!$A$2:$A$10,B89,mdr_rate_cleaned!$B$2:$B$10,"&lt;"&amp;C89,mdr_rate_cleaned!$F$2:$F$10,"&gt;="&amp;C89)</f>
        <v>0</v>
      </c>
      <c r="H89" s="24">
        <f t="shared" si="5"/>
        <v>0</v>
      </c>
      <c r="I89" s="23" t="str">
        <f t="shared" si="6"/>
        <v>Match</v>
      </c>
      <c r="J89" s="23" t="str">
        <f t="shared" si="7"/>
        <v>Match</v>
      </c>
      <c r="K89" s="24">
        <f t="shared" si="8"/>
        <v>0</v>
      </c>
      <c r="L89" s="24">
        <f t="shared" si="9"/>
        <v>0</v>
      </c>
    </row>
    <row r="90" spans="1:12" ht="15" customHeight="1" x14ac:dyDescent="0.3">
      <c r="A90" s="23" t="s">
        <v>12513</v>
      </c>
      <c r="B90" s="23" t="s">
        <v>75</v>
      </c>
      <c r="C90" s="39">
        <v>2999</v>
      </c>
      <c r="D90" s="24">
        <v>9</v>
      </c>
      <c r="E90" s="24">
        <v>1.62</v>
      </c>
      <c r="F90" s="23">
        <f>COUNTIFS(mdr_rate_cleaned!$A$2:$A$10,B90,mdr_rate_cleaned!$B$2:$B$10,"&lt;"&amp;C90,mdr_rate_cleaned!$F$2:$F$10,"&gt;="&amp;C90)</f>
        <v>1</v>
      </c>
      <c r="G90" s="40">
        <f>SUMIFS(mdr_rate_cleaned!$G$2:$G$10,mdr_rate_cleaned!$A$2:$A$10,B90,mdr_rate_cleaned!$B$2:$B$10,"&lt;"&amp;C90,mdr_rate_cleaned!$F$2:$F$10,"&gt;="&amp;C90)</f>
        <v>3.0000000000000001E-3</v>
      </c>
      <c r="H90" s="24">
        <f t="shared" si="5"/>
        <v>9</v>
      </c>
      <c r="I90" s="23" t="str">
        <f t="shared" si="6"/>
        <v>Match</v>
      </c>
      <c r="J90" s="23" t="str">
        <f t="shared" si="7"/>
        <v>Match</v>
      </c>
      <c r="K90" s="24">
        <f t="shared" si="8"/>
        <v>1.62</v>
      </c>
      <c r="L90" s="24">
        <f t="shared" si="9"/>
        <v>0</v>
      </c>
    </row>
    <row r="91" spans="1:12" ht="15" customHeight="1" x14ac:dyDescent="0.3">
      <c r="A91" s="23" t="s">
        <v>12514</v>
      </c>
      <c r="B91" s="23" t="s">
        <v>75</v>
      </c>
      <c r="C91" s="39">
        <v>3848</v>
      </c>
      <c r="D91" s="24">
        <v>11.54</v>
      </c>
      <c r="E91" s="24">
        <v>2.08</v>
      </c>
      <c r="F91" s="23">
        <f>COUNTIFS(mdr_rate_cleaned!$A$2:$A$10,B91,mdr_rate_cleaned!$B$2:$B$10,"&lt;"&amp;C91,mdr_rate_cleaned!$F$2:$F$10,"&gt;="&amp;C91)</f>
        <v>1</v>
      </c>
      <c r="G91" s="40">
        <f>SUMIFS(mdr_rate_cleaned!$G$2:$G$10,mdr_rate_cleaned!$A$2:$A$10,B91,mdr_rate_cleaned!$B$2:$B$10,"&lt;"&amp;C91,mdr_rate_cleaned!$F$2:$F$10,"&gt;="&amp;C91)</f>
        <v>3.0000000000000001E-3</v>
      </c>
      <c r="H91" s="24">
        <f t="shared" si="5"/>
        <v>11.54</v>
      </c>
      <c r="I91" s="23" t="str">
        <f t="shared" si="6"/>
        <v>Match</v>
      </c>
      <c r="J91" s="23" t="str">
        <f t="shared" si="7"/>
        <v>Match</v>
      </c>
      <c r="K91" s="24">
        <f t="shared" si="8"/>
        <v>2.08</v>
      </c>
      <c r="L91" s="24">
        <f t="shared" si="9"/>
        <v>0</v>
      </c>
    </row>
    <row r="92" spans="1:12" ht="15" customHeight="1" x14ac:dyDescent="0.3">
      <c r="A92" s="23" t="s">
        <v>12515</v>
      </c>
      <c r="B92" s="23" t="s">
        <v>77</v>
      </c>
      <c r="C92" s="39">
        <v>10097</v>
      </c>
      <c r="D92" s="24">
        <v>171.65</v>
      </c>
      <c r="E92" s="24">
        <v>30.9</v>
      </c>
      <c r="F92" s="23">
        <f>COUNTIFS(mdr_rate_cleaned!$A$2:$A$10,B92,mdr_rate_cleaned!$B$2:$B$10,"&lt;"&amp;C92,mdr_rate_cleaned!$F$2:$F$10,"&gt;="&amp;C92)</f>
        <v>1</v>
      </c>
      <c r="G92" s="40">
        <f>SUMIFS(mdr_rate_cleaned!$G$2:$G$10,mdr_rate_cleaned!$A$2:$A$10,B92,mdr_rate_cleaned!$B$2:$B$10,"&lt;"&amp;C92,mdr_rate_cleaned!$F$2:$F$10,"&gt;="&amp;C92)</f>
        <v>1.7000000000000001E-2</v>
      </c>
      <c r="H92" s="24">
        <f t="shared" si="5"/>
        <v>171.65</v>
      </c>
      <c r="I92" s="23" t="str">
        <f t="shared" si="6"/>
        <v>Match</v>
      </c>
      <c r="J92" s="23" t="str">
        <f t="shared" si="7"/>
        <v>Match</v>
      </c>
      <c r="K92" s="24">
        <f t="shared" si="8"/>
        <v>30.9</v>
      </c>
      <c r="L92" s="24">
        <f t="shared" si="9"/>
        <v>0</v>
      </c>
    </row>
    <row r="93" spans="1:12" ht="15" customHeight="1" x14ac:dyDescent="0.3">
      <c r="A93" s="23" t="s">
        <v>12517</v>
      </c>
      <c r="B93" s="23" t="s">
        <v>81</v>
      </c>
      <c r="C93" s="39">
        <v>3499</v>
      </c>
      <c r="D93" s="24">
        <v>41.99</v>
      </c>
      <c r="E93" s="24">
        <v>7.56</v>
      </c>
      <c r="F93" s="23">
        <f>COUNTIFS(mdr_rate_cleaned!$A$2:$A$10,B93,mdr_rate_cleaned!$B$2:$B$10,"&lt;"&amp;C93,mdr_rate_cleaned!$F$2:$F$10,"&gt;="&amp;C93)</f>
        <v>1</v>
      </c>
      <c r="G93" s="40">
        <f>SUMIFS(mdr_rate_cleaned!$G$2:$G$10,mdr_rate_cleaned!$A$2:$A$10,B93,mdr_rate_cleaned!$B$2:$B$10,"&lt;"&amp;C93,mdr_rate_cleaned!$F$2:$F$10,"&gt;="&amp;C93)</f>
        <v>1.2E-2</v>
      </c>
      <c r="H93" s="24">
        <f t="shared" si="5"/>
        <v>41.99</v>
      </c>
      <c r="I93" s="23" t="str">
        <f t="shared" si="6"/>
        <v>Match</v>
      </c>
      <c r="J93" s="23" t="str">
        <f t="shared" si="7"/>
        <v>Match</v>
      </c>
      <c r="K93" s="24">
        <f t="shared" si="8"/>
        <v>7.56</v>
      </c>
      <c r="L93" s="24">
        <f t="shared" si="9"/>
        <v>0</v>
      </c>
    </row>
    <row r="94" spans="1:12" ht="15" customHeight="1" x14ac:dyDescent="0.3">
      <c r="A94" s="23" t="s">
        <v>12518</v>
      </c>
      <c r="B94" s="23" t="s">
        <v>77</v>
      </c>
      <c r="C94" s="39">
        <v>2499</v>
      </c>
      <c r="D94" s="24">
        <v>42.48</v>
      </c>
      <c r="E94" s="24">
        <v>7.65</v>
      </c>
      <c r="F94" s="23">
        <f>COUNTIFS(mdr_rate_cleaned!$A$2:$A$10,B94,mdr_rate_cleaned!$B$2:$B$10,"&lt;"&amp;C94,mdr_rate_cleaned!$F$2:$F$10,"&gt;="&amp;C94)</f>
        <v>1</v>
      </c>
      <c r="G94" s="40">
        <f>SUMIFS(mdr_rate_cleaned!$G$2:$G$10,mdr_rate_cleaned!$A$2:$A$10,B94,mdr_rate_cleaned!$B$2:$B$10,"&lt;"&amp;C94,mdr_rate_cleaned!$F$2:$F$10,"&gt;="&amp;C94)</f>
        <v>1.7000000000000001E-2</v>
      </c>
      <c r="H94" s="24">
        <f t="shared" si="5"/>
        <v>42.48</v>
      </c>
      <c r="I94" s="23" t="str">
        <f t="shared" si="6"/>
        <v>Match</v>
      </c>
      <c r="J94" s="23" t="str">
        <f t="shared" si="7"/>
        <v>Match</v>
      </c>
      <c r="K94" s="24">
        <f t="shared" si="8"/>
        <v>7.65</v>
      </c>
      <c r="L94" s="24">
        <f t="shared" si="9"/>
        <v>0</v>
      </c>
    </row>
    <row r="95" spans="1:12" ht="15" customHeight="1" x14ac:dyDescent="0.3">
      <c r="A95" s="23" t="s">
        <v>12519</v>
      </c>
      <c r="B95" s="23" t="s">
        <v>79</v>
      </c>
      <c r="C95" s="39">
        <v>3798</v>
      </c>
      <c r="D95" s="24">
        <v>60.77</v>
      </c>
      <c r="E95" s="24">
        <v>10.94</v>
      </c>
      <c r="F95" s="23">
        <f>COUNTIFS(mdr_rate_cleaned!$A$2:$A$10,B95,mdr_rate_cleaned!$B$2:$B$10,"&lt;"&amp;C95,mdr_rate_cleaned!$F$2:$F$10,"&gt;="&amp;C95)</f>
        <v>1</v>
      </c>
      <c r="G95" s="40">
        <f>SUMIFS(mdr_rate_cleaned!$G$2:$G$10,mdr_rate_cleaned!$A$2:$A$10,B95,mdr_rate_cleaned!$B$2:$B$10,"&lt;"&amp;C95,mdr_rate_cleaned!$F$2:$F$10,"&gt;="&amp;C95)</f>
        <v>1.6E-2</v>
      </c>
      <c r="H95" s="24">
        <f t="shared" si="5"/>
        <v>60.77</v>
      </c>
      <c r="I95" s="23" t="str">
        <f t="shared" si="6"/>
        <v>Match</v>
      </c>
      <c r="J95" s="23" t="str">
        <f t="shared" si="7"/>
        <v>Match</v>
      </c>
      <c r="K95" s="24">
        <f t="shared" si="8"/>
        <v>10.94</v>
      </c>
      <c r="L95" s="24">
        <f t="shared" si="9"/>
        <v>0</v>
      </c>
    </row>
    <row r="96" spans="1:12" ht="15" customHeight="1" x14ac:dyDescent="0.3">
      <c r="A96" s="23" t="s">
        <v>12520</v>
      </c>
      <c r="B96" s="23" t="s">
        <v>79</v>
      </c>
      <c r="C96" s="39">
        <v>4999</v>
      </c>
      <c r="D96" s="24">
        <v>79.98</v>
      </c>
      <c r="E96" s="24">
        <v>14.4</v>
      </c>
      <c r="F96" s="23">
        <f>COUNTIFS(mdr_rate_cleaned!$A$2:$A$10,B96,mdr_rate_cleaned!$B$2:$B$10,"&lt;"&amp;C96,mdr_rate_cleaned!$F$2:$F$10,"&gt;="&amp;C96)</f>
        <v>1</v>
      </c>
      <c r="G96" s="40">
        <f>SUMIFS(mdr_rate_cleaned!$G$2:$G$10,mdr_rate_cleaned!$A$2:$A$10,B96,mdr_rate_cleaned!$B$2:$B$10,"&lt;"&amp;C96,mdr_rate_cleaned!$F$2:$F$10,"&gt;="&amp;C96)</f>
        <v>1.6E-2</v>
      </c>
      <c r="H96" s="24">
        <f t="shared" si="5"/>
        <v>79.98</v>
      </c>
      <c r="I96" s="23" t="str">
        <f t="shared" si="6"/>
        <v>Match</v>
      </c>
      <c r="J96" s="23" t="str">
        <f t="shared" si="7"/>
        <v>Match</v>
      </c>
      <c r="K96" s="24">
        <f t="shared" si="8"/>
        <v>14.4</v>
      </c>
      <c r="L96" s="24">
        <f t="shared" si="9"/>
        <v>0</v>
      </c>
    </row>
    <row r="97" spans="1:12" ht="15" customHeight="1" x14ac:dyDescent="0.3">
      <c r="A97" s="23" t="s">
        <v>12521</v>
      </c>
      <c r="B97" s="23" t="s">
        <v>79</v>
      </c>
      <c r="C97" s="39">
        <v>499</v>
      </c>
      <c r="D97" s="24">
        <v>8.98</v>
      </c>
      <c r="E97" s="24">
        <v>1.62</v>
      </c>
      <c r="F97" s="23">
        <f>COUNTIFS(mdr_rate_cleaned!$A$2:$A$10,B97,mdr_rate_cleaned!$B$2:$B$10,"&lt;"&amp;C97,mdr_rate_cleaned!$F$2:$F$10,"&gt;="&amp;C97)</f>
        <v>1</v>
      </c>
      <c r="G97" s="40">
        <f>SUMIFS(mdr_rate_cleaned!$G$2:$G$10,mdr_rate_cleaned!$A$2:$A$10,B97,mdr_rate_cleaned!$B$2:$B$10,"&lt;"&amp;C97,mdr_rate_cleaned!$F$2:$F$10,"&gt;="&amp;C97)</f>
        <v>1.8000000000000002E-2</v>
      </c>
      <c r="H97" s="24">
        <f t="shared" si="5"/>
        <v>8.98</v>
      </c>
      <c r="I97" s="23" t="str">
        <f t="shared" si="6"/>
        <v>Match</v>
      </c>
      <c r="J97" s="23" t="str">
        <f t="shared" si="7"/>
        <v>Match</v>
      </c>
      <c r="K97" s="24">
        <f t="shared" si="8"/>
        <v>1.62</v>
      </c>
      <c r="L97" s="24">
        <f t="shared" si="9"/>
        <v>0</v>
      </c>
    </row>
    <row r="98" spans="1:12" ht="15" customHeight="1" x14ac:dyDescent="0.3">
      <c r="A98" s="23" t="s">
        <v>12522</v>
      </c>
      <c r="B98" s="23" t="s">
        <v>75</v>
      </c>
      <c r="C98" s="39">
        <v>1299</v>
      </c>
      <c r="D98" s="24">
        <v>0</v>
      </c>
      <c r="E98" s="24">
        <v>0</v>
      </c>
      <c r="F98" s="23">
        <f>COUNTIFS(mdr_rate_cleaned!$A$2:$A$10,B98,mdr_rate_cleaned!$B$2:$B$10,"&lt;"&amp;C98,mdr_rate_cleaned!$F$2:$F$10,"&gt;="&amp;C98)</f>
        <v>1</v>
      </c>
      <c r="G98" s="40">
        <f>SUMIFS(mdr_rate_cleaned!$G$2:$G$10,mdr_rate_cleaned!$A$2:$A$10,B98,mdr_rate_cleaned!$B$2:$B$10,"&lt;"&amp;C98,mdr_rate_cleaned!$F$2:$F$10,"&gt;="&amp;C98)</f>
        <v>0</v>
      </c>
      <c r="H98" s="24">
        <f t="shared" si="5"/>
        <v>0</v>
      </c>
      <c r="I98" s="23" t="str">
        <f t="shared" si="6"/>
        <v>Match</v>
      </c>
      <c r="J98" s="23" t="str">
        <f t="shared" si="7"/>
        <v>Match</v>
      </c>
      <c r="K98" s="24">
        <f t="shared" si="8"/>
        <v>0</v>
      </c>
      <c r="L98" s="24">
        <f t="shared" si="9"/>
        <v>0</v>
      </c>
    </row>
    <row r="99" spans="1:12" ht="15" customHeight="1" x14ac:dyDescent="0.3">
      <c r="A99" s="23" t="s">
        <v>12524</v>
      </c>
      <c r="B99" s="23" t="s">
        <v>81</v>
      </c>
      <c r="C99" s="39">
        <v>8647</v>
      </c>
      <c r="D99" s="24">
        <v>103.76</v>
      </c>
      <c r="E99" s="24">
        <v>18.68</v>
      </c>
      <c r="F99" s="23">
        <f>COUNTIFS(mdr_rate_cleaned!$A$2:$A$10,B99,mdr_rate_cleaned!$B$2:$B$10,"&lt;"&amp;C99,mdr_rate_cleaned!$F$2:$F$10,"&gt;="&amp;C99)</f>
        <v>1</v>
      </c>
      <c r="G99" s="40">
        <f>SUMIFS(mdr_rate_cleaned!$G$2:$G$10,mdr_rate_cleaned!$A$2:$A$10,B99,mdr_rate_cleaned!$B$2:$B$10,"&lt;"&amp;C99,mdr_rate_cleaned!$F$2:$F$10,"&gt;="&amp;C99)</f>
        <v>1.2E-2</v>
      </c>
      <c r="H99" s="24">
        <f t="shared" si="5"/>
        <v>103.76</v>
      </c>
      <c r="I99" s="23" t="str">
        <f t="shared" si="6"/>
        <v>Match</v>
      </c>
      <c r="J99" s="23" t="str">
        <f t="shared" si="7"/>
        <v>Match</v>
      </c>
      <c r="K99" s="24">
        <f t="shared" si="8"/>
        <v>18.68</v>
      </c>
      <c r="L99" s="24">
        <f t="shared" si="9"/>
        <v>0</v>
      </c>
    </row>
    <row r="100" spans="1:12" ht="15" customHeight="1" x14ac:dyDescent="0.3">
      <c r="A100" s="23" t="s">
        <v>12525</v>
      </c>
      <c r="B100" s="23" t="s">
        <v>77</v>
      </c>
      <c r="C100" s="39">
        <v>3848</v>
      </c>
      <c r="D100" s="24">
        <v>65.42</v>
      </c>
      <c r="E100" s="24">
        <v>11.78</v>
      </c>
      <c r="F100" s="23">
        <f>COUNTIFS(mdr_rate_cleaned!$A$2:$A$10,B100,mdr_rate_cleaned!$B$2:$B$10,"&lt;"&amp;C100,mdr_rate_cleaned!$F$2:$F$10,"&gt;="&amp;C100)</f>
        <v>1</v>
      </c>
      <c r="G100" s="40">
        <f>SUMIFS(mdr_rate_cleaned!$G$2:$G$10,mdr_rate_cleaned!$A$2:$A$10,B100,mdr_rate_cleaned!$B$2:$B$10,"&lt;"&amp;C100,mdr_rate_cleaned!$F$2:$F$10,"&gt;="&amp;C100)</f>
        <v>1.7000000000000001E-2</v>
      </c>
      <c r="H100" s="24">
        <f t="shared" si="5"/>
        <v>65.42</v>
      </c>
      <c r="I100" s="23" t="str">
        <f t="shared" si="6"/>
        <v>Match</v>
      </c>
      <c r="J100" s="23" t="str">
        <f t="shared" si="7"/>
        <v>Match</v>
      </c>
      <c r="K100" s="24">
        <f t="shared" si="8"/>
        <v>11.78</v>
      </c>
      <c r="L100" s="24">
        <f t="shared" si="9"/>
        <v>0</v>
      </c>
    </row>
    <row r="101" spans="1:12" ht="15" customHeight="1" x14ac:dyDescent="0.3">
      <c r="A101" s="23" t="s">
        <v>12526</v>
      </c>
      <c r="B101" s="23" t="s">
        <v>75</v>
      </c>
      <c r="C101" s="39">
        <v>1499</v>
      </c>
      <c r="D101" s="24">
        <v>0</v>
      </c>
      <c r="E101" s="24">
        <v>0</v>
      </c>
      <c r="F101" s="23">
        <f>COUNTIFS(mdr_rate_cleaned!$A$2:$A$10,B101,mdr_rate_cleaned!$B$2:$B$10,"&lt;"&amp;C101,mdr_rate_cleaned!$F$2:$F$10,"&gt;="&amp;C101)</f>
        <v>1</v>
      </c>
      <c r="G101" s="40">
        <f>SUMIFS(mdr_rate_cleaned!$G$2:$G$10,mdr_rate_cleaned!$A$2:$A$10,B101,mdr_rate_cleaned!$B$2:$B$10,"&lt;"&amp;C101,mdr_rate_cleaned!$F$2:$F$10,"&gt;="&amp;C101)</f>
        <v>0</v>
      </c>
      <c r="H101" s="24">
        <f t="shared" si="5"/>
        <v>0</v>
      </c>
      <c r="I101" s="23" t="str">
        <f t="shared" si="6"/>
        <v>Match</v>
      </c>
      <c r="J101" s="23" t="str">
        <f t="shared" si="7"/>
        <v>Match</v>
      </c>
      <c r="K101" s="24">
        <f t="shared" si="8"/>
        <v>0</v>
      </c>
      <c r="L101" s="24">
        <f t="shared" si="9"/>
        <v>0</v>
      </c>
    </row>
    <row r="102" spans="1:12" ht="15" customHeight="1" x14ac:dyDescent="0.3">
      <c r="A102" s="23" t="s">
        <v>12527</v>
      </c>
      <c r="B102" s="23" t="s">
        <v>81</v>
      </c>
      <c r="C102" s="39">
        <v>5297</v>
      </c>
      <c r="D102" s="24">
        <v>63.56</v>
      </c>
      <c r="E102" s="24">
        <v>11.44</v>
      </c>
      <c r="F102" s="23">
        <f>COUNTIFS(mdr_rate_cleaned!$A$2:$A$10,B102,mdr_rate_cleaned!$B$2:$B$10,"&lt;"&amp;C102,mdr_rate_cleaned!$F$2:$F$10,"&gt;="&amp;C102)</f>
        <v>1</v>
      </c>
      <c r="G102" s="40">
        <f>SUMIFS(mdr_rate_cleaned!$G$2:$G$10,mdr_rate_cleaned!$A$2:$A$10,B102,mdr_rate_cleaned!$B$2:$B$10,"&lt;"&amp;C102,mdr_rate_cleaned!$F$2:$F$10,"&gt;="&amp;C102)</f>
        <v>1.2E-2</v>
      </c>
      <c r="H102" s="24">
        <f t="shared" si="5"/>
        <v>63.56</v>
      </c>
      <c r="I102" s="23" t="str">
        <f t="shared" si="6"/>
        <v>Match</v>
      </c>
      <c r="J102" s="23" t="str">
        <f t="shared" si="7"/>
        <v>Match</v>
      </c>
      <c r="K102" s="24">
        <f t="shared" si="8"/>
        <v>11.44</v>
      </c>
      <c r="L102" s="24">
        <f t="shared" si="9"/>
        <v>0</v>
      </c>
    </row>
    <row r="103" spans="1:12" ht="15" customHeight="1" x14ac:dyDescent="0.3">
      <c r="A103" s="23" t="s">
        <v>12528</v>
      </c>
      <c r="B103" s="23" t="s">
        <v>75</v>
      </c>
      <c r="C103" s="39">
        <v>349</v>
      </c>
      <c r="D103" s="24">
        <v>0</v>
      </c>
      <c r="E103" s="24">
        <v>0</v>
      </c>
      <c r="F103" s="23">
        <f>COUNTIFS(mdr_rate_cleaned!$A$2:$A$10,B103,mdr_rate_cleaned!$B$2:$B$10,"&lt;"&amp;C103,mdr_rate_cleaned!$F$2:$F$10,"&gt;="&amp;C103)</f>
        <v>1</v>
      </c>
      <c r="G103" s="40">
        <f>SUMIFS(mdr_rate_cleaned!$G$2:$G$10,mdr_rate_cleaned!$A$2:$A$10,B103,mdr_rate_cleaned!$B$2:$B$10,"&lt;"&amp;C103,mdr_rate_cleaned!$F$2:$F$10,"&gt;="&amp;C103)</f>
        <v>0</v>
      </c>
      <c r="H103" s="24">
        <f t="shared" si="5"/>
        <v>0</v>
      </c>
      <c r="I103" s="23" t="str">
        <f t="shared" si="6"/>
        <v>Match</v>
      </c>
      <c r="J103" s="23" t="str">
        <f t="shared" si="7"/>
        <v>Match</v>
      </c>
      <c r="K103" s="24">
        <f t="shared" si="8"/>
        <v>0</v>
      </c>
      <c r="L103" s="24">
        <f t="shared" si="9"/>
        <v>0</v>
      </c>
    </row>
    <row r="104" spans="1:12" ht="15" customHeight="1" x14ac:dyDescent="0.3">
      <c r="A104" s="23" t="s">
        <v>12529</v>
      </c>
      <c r="B104" s="23" t="s">
        <v>79</v>
      </c>
      <c r="C104" s="39">
        <v>1198</v>
      </c>
      <c r="D104" s="24">
        <v>21.56</v>
      </c>
      <c r="E104" s="24">
        <v>3.88</v>
      </c>
      <c r="F104" s="23">
        <f>COUNTIFS(mdr_rate_cleaned!$A$2:$A$10,B104,mdr_rate_cleaned!$B$2:$B$10,"&lt;"&amp;C104,mdr_rate_cleaned!$F$2:$F$10,"&gt;="&amp;C104)</f>
        <v>1</v>
      </c>
      <c r="G104" s="40">
        <f>SUMIFS(mdr_rate_cleaned!$G$2:$G$10,mdr_rate_cleaned!$A$2:$A$10,B104,mdr_rate_cleaned!$B$2:$B$10,"&lt;"&amp;C104,mdr_rate_cleaned!$F$2:$F$10,"&gt;="&amp;C104)</f>
        <v>1.8000000000000002E-2</v>
      </c>
      <c r="H104" s="24">
        <f t="shared" si="5"/>
        <v>21.56</v>
      </c>
      <c r="I104" s="23" t="str">
        <f t="shared" si="6"/>
        <v>Match</v>
      </c>
      <c r="J104" s="23" t="str">
        <f t="shared" si="7"/>
        <v>Match</v>
      </c>
      <c r="K104" s="24">
        <f t="shared" si="8"/>
        <v>3.88</v>
      </c>
      <c r="L104" s="24">
        <f t="shared" si="9"/>
        <v>0</v>
      </c>
    </row>
    <row r="105" spans="1:12" ht="15" customHeight="1" x14ac:dyDescent="0.3">
      <c r="A105" s="23" t="s">
        <v>12531</v>
      </c>
      <c r="B105" s="23" t="s">
        <v>79</v>
      </c>
      <c r="C105" s="39">
        <v>898</v>
      </c>
      <c r="D105" s="24">
        <v>16.16</v>
      </c>
      <c r="E105" s="24">
        <v>2.91</v>
      </c>
      <c r="F105" s="23">
        <f>COUNTIFS(mdr_rate_cleaned!$A$2:$A$10,B105,mdr_rate_cleaned!$B$2:$B$10,"&lt;"&amp;C105,mdr_rate_cleaned!$F$2:$F$10,"&gt;="&amp;C105)</f>
        <v>1</v>
      </c>
      <c r="G105" s="40">
        <f>SUMIFS(mdr_rate_cleaned!$G$2:$G$10,mdr_rate_cleaned!$A$2:$A$10,B105,mdr_rate_cleaned!$B$2:$B$10,"&lt;"&amp;C105,mdr_rate_cleaned!$F$2:$F$10,"&gt;="&amp;C105)</f>
        <v>1.8000000000000002E-2</v>
      </c>
      <c r="H105" s="24">
        <f t="shared" si="5"/>
        <v>16.16</v>
      </c>
      <c r="I105" s="23" t="str">
        <f t="shared" si="6"/>
        <v>Match</v>
      </c>
      <c r="J105" s="23" t="str">
        <f t="shared" si="7"/>
        <v>Match</v>
      </c>
      <c r="K105" s="24">
        <f t="shared" si="8"/>
        <v>2.91</v>
      </c>
      <c r="L105" s="24">
        <f t="shared" si="9"/>
        <v>0</v>
      </c>
    </row>
    <row r="106" spans="1:12" ht="15" customHeight="1" x14ac:dyDescent="0.3">
      <c r="A106" s="23" t="s">
        <v>12532</v>
      </c>
      <c r="B106" s="23" t="s">
        <v>77</v>
      </c>
      <c r="C106" s="39">
        <v>1499</v>
      </c>
      <c r="D106" s="24">
        <v>28.48</v>
      </c>
      <c r="E106" s="24">
        <v>5.13</v>
      </c>
      <c r="F106" s="23">
        <f>COUNTIFS(mdr_rate_cleaned!$A$2:$A$10,B106,mdr_rate_cleaned!$B$2:$B$10,"&lt;"&amp;C106,mdr_rate_cleaned!$F$2:$F$10,"&gt;="&amp;C106)</f>
        <v>1</v>
      </c>
      <c r="G106" s="40">
        <f>SUMIFS(mdr_rate_cleaned!$G$2:$G$10,mdr_rate_cleaned!$A$2:$A$10,B106,mdr_rate_cleaned!$B$2:$B$10,"&lt;"&amp;C106,mdr_rate_cleaned!$F$2:$F$10,"&gt;="&amp;C106)</f>
        <v>1.9E-2</v>
      </c>
      <c r="H106" s="24">
        <f t="shared" si="5"/>
        <v>28.48</v>
      </c>
      <c r="I106" s="23" t="str">
        <f t="shared" si="6"/>
        <v>Match</v>
      </c>
      <c r="J106" s="23" t="str">
        <f t="shared" si="7"/>
        <v>Match</v>
      </c>
      <c r="K106" s="24">
        <f t="shared" si="8"/>
        <v>5.13</v>
      </c>
      <c r="L106" s="24">
        <f t="shared" si="9"/>
        <v>0</v>
      </c>
    </row>
    <row r="107" spans="1:12" ht="15" customHeight="1" x14ac:dyDescent="0.3">
      <c r="A107" s="23" t="s">
        <v>12533</v>
      </c>
      <c r="B107" s="23" t="s">
        <v>75</v>
      </c>
      <c r="C107" s="39">
        <v>798</v>
      </c>
      <c r="D107" s="24">
        <v>0</v>
      </c>
      <c r="E107" s="24">
        <v>0</v>
      </c>
      <c r="F107" s="23">
        <f>COUNTIFS(mdr_rate_cleaned!$A$2:$A$10,B107,mdr_rate_cleaned!$B$2:$B$10,"&lt;"&amp;C107,mdr_rate_cleaned!$F$2:$F$10,"&gt;="&amp;C107)</f>
        <v>1</v>
      </c>
      <c r="G107" s="40">
        <f>SUMIFS(mdr_rate_cleaned!$G$2:$G$10,mdr_rate_cleaned!$A$2:$A$10,B107,mdr_rate_cleaned!$B$2:$B$10,"&lt;"&amp;C107,mdr_rate_cleaned!$F$2:$F$10,"&gt;="&amp;C107)</f>
        <v>0</v>
      </c>
      <c r="H107" s="24">
        <f t="shared" si="5"/>
        <v>0</v>
      </c>
      <c r="I107" s="23" t="str">
        <f t="shared" si="6"/>
        <v>Match</v>
      </c>
      <c r="J107" s="23" t="str">
        <f t="shared" si="7"/>
        <v>Match</v>
      </c>
      <c r="K107" s="24">
        <f t="shared" si="8"/>
        <v>0</v>
      </c>
      <c r="L107" s="24">
        <f t="shared" si="9"/>
        <v>0</v>
      </c>
    </row>
    <row r="108" spans="1:12" ht="15" customHeight="1" x14ac:dyDescent="0.3">
      <c r="A108" s="23" t="s">
        <v>12534</v>
      </c>
      <c r="B108" s="23" t="s">
        <v>77</v>
      </c>
      <c r="C108" s="39">
        <v>499</v>
      </c>
      <c r="D108" s="24">
        <v>9.48</v>
      </c>
      <c r="E108" s="24">
        <v>1.71</v>
      </c>
      <c r="F108" s="23">
        <f>COUNTIFS(mdr_rate_cleaned!$A$2:$A$10,B108,mdr_rate_cleaned!$B$2:$B$10,"&lt;"&amp;C108,mdr_rate_cleaned!$F$2:$F$10,"&gt;="&amp;C108)</f>
        <v>1</v>
      </c>
      <c r="G108" s="40">
        <f>SUMIFS(mdr_rate_cleaned!$G$2:$G$10,mdr_rate_cleaned!$A$2:$A$10,B108,mdr_rate_cleaned!$B$2:$B$10,"&lt;"&amp;C108,mdr_rate_cleaned!$F$2:$F$10,"&gt;="&amp;C108)</f>
        <v>1.9E-2</v>
      </c>
      <c r="H108" s="24">
        <f t="shared" si="5"/>
        <v>9.48</v>
      </c>
      <c r="I108" s="23" t="str">
        <f t="shared" si="6"/>
        <v>Match</v>
      </c>
      <c r="J108" s="23" t="str">
        <f t="shared" si="7"/>
        <v>Match</v>
      </c>
      <c r="K108" s="24">
        <f t="shared" si="8"/>
        <v>1.71</v>
      </c>
      <c r="L108" s="24">
        <f t="shared" si="9"/>
        <v>0</v>
      </c>
    </row>
    <row r="109" spans="1:12" ht="15" customHeight="1" x14ac:dyDescent="0.3">
      <c r="A109" s="23" t="s">
        <v>12535</v>
      </c>
      <c r="B109" s="23" t="s">
        <v>81</v>
      </c>
      <c r="C109" s="39">
        <v>599</v>
      </c>
      <c r="D109" s="24">
        <v>8.99</v>
      </c>
      <c r="E109" s="24">
        <v>1.62</v>
      </c>
      <c r="F109" s="23">
        <f>COUNTIFS(mdr_rate_cleaned!$A$2:$A$10,B109,mdr_rate_cleaned!$B$2:$B$10,"&lt;"&amp;C109,mdr_rate_cleaned!$F$2:$F$10,"&gt;="&amp;C109)</f>
        <v>1</v>
      </c>
      <c r="G109" s="40">
        <f>SUMIFS(mdr_rate_cleaned!$G$2:$G$10,mdr_rate_cleaned!$A$2:$A$10,B109,mdr_rate_cleaned!$B$2:$B$10,"&lt;"&amp;C109,mdr_rate_cleaned!$F$2:$F$10,"&gt;="&amp;C109)</f>
        <v>1.4999999999999999E-2</v>
      </c>
      <c r="H109" s="24">
        <f t="shared" si="5"/>
        <v>8.99</v>
      </c>
      <c r="I109" s="23" t="str">
        <f t="shared" si="6"/>
        <v>Match</v>
      </c>
      <c r="J109" s="23" t="str">
        <f t="shared" si="7"/>
        <v>Match</v>
      </c>
      <c r="K109" s="24">
        <f t="shared" si="8"/>
        <v>1.62</v>
      </c>
      <c r="L109" s="24">
        <f t="shared" si="9"/>
        <v>0</v>
      </c>
    </row>
    <row r="110" spans="1:12" ht="15" customHeight="1" x14ac:dyDescent="0.3">
      <c r="A110" s="23" t="s">
        <v>12536</v>
      </c>
      <c r="B110" s="23" t="s">
        <v>77</v>
      </c>
      <c r="C110" s="39">
        <v>1499</v>
      </c>
      <c r="D110" s="24">
        <v>28.48</v>
      </c>
      <c r="E110" s="24">
        <v>5.13</v>
      </c>
      <c r="F110" s="23">
        <f>COUNTIFS(mdr_rate_cleaned!$A$2:$A$10,B110,mdr_rate_cleaned!$B$2:$B$10,"&lt;"&amp;C110,mdr_rate_cleaned!$F$2:$F$10,"&gt;="&amp;C110)</f>
        <v>1</v>
      </c>
      <c r="G110" s="40">
        <f>SUMIFS(mdr_rate_cleaned!$G$2:$G$10,mdr_rate_cleaned!$A$2:$A$10,B110,mdr_rate_cleaned!$B$2:$B$10,"&lt;"&amp;C110,mdr_rate_cleaned!$F$2:$F$10,"&gt;="&amp;C110)</f>
        <v>1.9E-2</v>
      </c>
      <c r="H110" s="24">
        <f t="shared" si="5"/>
        <v>28.48</v>
      </c>
      <c r="I110" s="23" t="str">
        <f t="shared" si="6"/>
        <v>Match</v>
      </c>
      <c r="J110" s="23" t="str">
        <f t="shared" si="7"/>
        <v>Match</v>
      </c>
      <c r="K110" s="24">
        <f t="shared" si="8"/>
        <v>5.13</v>
      </c>
      <c r="L110" s="24">
        <f t="shared" si="9"/>
        <v>0</v>
      </c>
    </row>
    <row r="111" spans="1:12" ht="15" customHeight="1" x14ac:dyDescent="0.3">
      <c r="A111" s="23" t="s">
        <v>12537</v>
      </c>
      <c r="B111" s="23" t="s">
        <v>81</v>
      </c>
      <c r="C111" s="39">
        <v>10797</v>
      </c>
      <c r="D111" s="24">
        <v>97.17</v>
      </c>
      <c r="E111" s="24">
        <v>17.489999999999998</v>
      </c>
      <c r="F111" s="23">
        <f>COUNTIFS(mdr_rate_cleaned!$A$2:$A$10,B111,mdr_rate_cleaned!$B$2:$B$10,"&lt;"&amp;C111,mdr_rate_cleaned!$F$2:$F$10,"&gt;="&amp;C111)</f>
        <v>1</v>
      </c>
      <c r="G111" s="40">
        <f>SUMIFS(mdr_rate_cleaned!$G$2:$G$10,mdr_rate_cleaned!$A$2:$A$10,B111,mdr_rate_cleaned!$B$2:$B$10,"&lt;"&amp;C111,mdr_rate_cleaned!$F$2:$F$10,"&gt;="&amp;C111)</f>
        <v>9.0000000000000011E-3</v>
      </c>
      <c r="H111" s="24">
        <f t="shared" si="5"/>
        <v>97.17</v>
      </c>
      <c r="I111" s="23" t="str">
        <f t="shared" si="6"/>
        <v>Match</v>
      </c>
      <c r="J111" s="23" t="str">
        <f t="shared" si="7"/>
        <v>Match</v>
      </c>
      <c r="K111" s="24">
        <f t="shared" si="8"/>
        <v>17.489999999999998</v>
      </c>
      <c r="L111" s="24">
        <f t="shared" si="9"/>
        <v>0</v>
      </c>
    </row>
    <row r="112" spans="1:12" ht="15" customHeight="1" x14ac:dyDescent="0.3">
      <c r="A112" s="23" t="s">
        <v>12538</v>
      </c>
      <c r="B112" s="23" t="s">
        <v>75</v>
      </c>
      <c r="C112" s="39">
        <v>7999</v>
      </c>
      <c r="D112" s="24">
        <v>24</v>
      </c>
      <c r="E112" s="24">
        <v>4.32</v>
      </c>
      <c r="F112" s="23">
        <f>COUNTIFS(mdr_rate_cleaned!$A$2:$A$10,B112,mdr_rate_cleaned!$B$2:$B$10,"&lt;"&amp;C112,mdr_rate_cleaned!$F$2:$F$10,"&gt;="&amp;C112)</f>
        <v>1</v>
      </c>
      <c r="G112" s="40">
        <f>SUMIFS(mdr_rate_cleaned!$G$2:$G$10,mdr_rate_cleaned!$A$2:$A$10,B112,mdr_rate_cleaned!$B$2:$B$10,"&lt;"&amp;C112,mdr_rate_cleaned!$F$2:$F$10,"&gt;="&amp;C112)</f>
        <v>3.0000000000000001E-3</v>
      </c>
      <c r="H112" s="24">
        <f t="shared" si="5"/>
        <v>24</v>
      </c>
      <c r="I112" s="23" t="str">
        <f t="shared" si="6"/>
        <v>Match</v>
      </c>
      <c r="J112" s="23" t="str">
        <f t="shared" si="7"/>
        <v>Match</v>
      </c>
      <c r="K112" s="24">
        <f t="shared" si="8"/>
        <v>4.32</v>
      </c>
      <c r="L112" s="24">
        <f t="shared" si="9"/>
        <v>0</v>
      </c>
    </row>
    <row r="113" spans="1:12" ht="15" customHeight="1" x14ac:dyDescent="0.3">
      <c r="A113" s="23" t="s">
        <v>12539</v>
      </c>
      <c r="B113" s="23" t="s">
        <v>75</v>
      </c>
      <c r="C113" s="39">
        <v>3848</v>
      </c>
      <c r="D113" s="24">
        <v>11.54</v>
      </c>
      <c r="E113" s="24">
        <v>2.08</v>
      </c>
      <c r="F113" s="23">
        <f>COUNTIFS(mdr_rate_cleaned!$A$2:$A$10,B113,mdr_rate_cleaned!$B$2:$B$10,"&lt;"&amp;C113,mdr_rate_cleaned!$F$2:$F$10,"&gt;="&amp;C113)</f>
        <v>1</v>
      </c>
      <c r="G113" s="40">
        <f>SUMIFS(mdr_rate_cleaned!$G$2:$G$10,mdr_rate_cleaned!$A$2:$A$10,B113,mdr_rate_cleaned!$B$2:$B$10,"&lt;"&amp;C113,mdr_rate_cleaned!$F$2:$F$10,"&gt;="&amp;C113)</f>
        <v>3.0000000000000001E-3</v>
      </c>
      <c r="H113" s="24">
        <f t="shared" si="5"/>
        <v>11.54</v>
      </c>
      <c r="I113" s="23" t="str">
        <f t="shared" si="6"/>
        <v>Match</v>
      </c>
      <c r="J113" s="23" t="str">
        <f t="shared" si="7"/>
        <v>Match</v>
      </c>
      <c r="K113" s="24">
        <f t="shared" si="8"/>
        <v>2.08</v>
      </c>
      <c r="L113" s="24">
        <f t="shared" si="9"/>
        <v>0</v>
      </c>
    </row>
    <row r="114" spans="1:12" ht="15" customHeight="1" x14ac:dyDescent="0.3">
      <c r="A114" s="23" t="s">
        <v>12540</v>
      </c>
      <c r="B114" s="23" t="s">
        <v>79</v>
      </c>
      <c r="C114" s="39">
        <v>2499</v>
      </c>
      <c r="D114" s="24">
        <v>39.979999999999997</v>
      </c>
      <c r="E114" s="24">
        <v>7.2</v>
      </c>
      <c r="F114" s="23">
        <f>COUNTIFS(mdr_rate_cleaned!$A$2:$A$10,B114,mdr_rate_cleaned!$B$2:$B$10,"&lt;"&amp;C114,mdr_rate_cleaned!$F$2:$F$10,"&gt;="&amp;C114)</f>
        <v>1</v>
      </c>
      <c r="G114" s="40">
        <f>SUMIFS(mdr_rate_cleaned!$G$2:$G$10,mdr_rate_cleaned!$A$2:$A$10,B114,mdr_rate_cleaned!$B$2:$B$10,"&lt;"&amp;C114,mdr_rate_cleaned!$F$2:$F$10,"&gt;="&amp;C114)</f>
        <v>1.6E-2</v>
      </c>
      <c r="H114" s="24">
        <f t="shared" si="5"/>
        <v>39.979999999999997</v>
      </c>
      <c r="I114" s="23" t="str">
        <f t="shared" si="6"/>
        <v>Match</v>
      </c>
      <c r="J114" s="23" t="str">
        <f t="shared" si="7"/>
        <v>Match</v>
      </c>
      <c r="K114" s="24">
        <f t="shared" si="8"/>
        <v>7.2</v>
      </c>
      <c r="L114" s="24">
        <f t="shared" si="9"/>
        <v>0</v>
      </c>
    </row>
    <row r="115" spans="1:12" ht="15" customHeight="1" x14ac:dyDescent="0.3">
      <c r="A115" s="23" t="s">
        <v>12541</v>
      </c>
      <c r="B115" s="23" t="s">
        <v>75</v>
      </c>
      <c r="C115" s="39">
        <v>898</v>
      </c>
      <c r="D115" s="24">
        <v>0</v>
      </c>
      <c r="E115" s="24">
        <v>0</v>
      </c>
      <c r="F115" s="23">
        <f>COUNTIFS(mdr_rate_cleaned!$A$2:$A$10,B115,mdr_rate_cleaned!$B$2:$B$10,"&lt;"&amp;C115,mdr_rate_cleaned!$F$2:$F$10,"&gt;="&amp;C115)</f>
        <v>1</v>
      </c>
      <c r="G115" s="40">
        <f>SUMIFS(mdr_rate_cleaned!$G$2:$G$10,mdr_rate_cleaned!$A$2:$A$10,B115,mdr_rate_cleaned!$B$2:$B$10,"&lt;"&amp;C115,mdr_rate_cleaned!$F$2:$F$10,"&gt;="&amp;C115)</f>
        <v>0</v>
      </c>
      <c r="H115" s="24">
        <f t="shared" si="5"/>
        <v>0</v>
      </c>
      <c r="I115" s="23" t="str">
        <f t="shared" si="6"/>
        <v>Match</v>
      </c>
      <c r="J115" s="23" t="str">
        <f t="shared" si="7"/>
        <v>Match</v>
      </c>
      <c r="K115" s="24">
        <f t="shared" si="8"/>
        <v>0</v>
      </c>
      <c r="L115" s="24">
        <f t="shared" si="9"/>
        <v>0</v>
      </c>
    </row>
    <row r="116" spans="1:12" ht="15" customHeight="1" x14ac:dyDescent="0.3">
      <c r="A116" s="23" t="s">
        <v>12542</v>
      </c>
      <c r="B116" s="23" t="s">
        <v>75</v>
      </c>
      <c r="C116" s="39">
        <v>2999</v>
      </c>
      <c r="D116" s="24">
        <v>9</v>
      </c>
      <c r="E116" s="24">
        <v>1.62</v>
      </c>
      <c r="F116" s="23">
        <f>COUNTIFS(mdr_rate_cleaned!$A$2:$A$10,B116,mdr_rate_cleaned!$B$2:$B$10,"&lt;"&amp;C116,mdr_rate_cleaned!$F$2:$F$10,"&gt;="&amp;C116)</f>
        <v>1</v>
      </c>
      <c r="G116" s="40">
        <f>SUMIFS(mdr_rate_cleaned!$G$2:$G$10,mdr_rate_cleaned!$A$2:$A$10,B116,mdr_rate_cleaned!$B$2:$B$10,"&lt;"&amp;C116,mdr_rate_cleaned!$F$2:$F$10,"&gt;="&amp;C116)</f>
        <v>3.0000000000000001E-3</v>
      </c>
      <c r="H116" s="24">
        <f t="shared" si="5"/>
        <v>9</v>
      </c>
      <c r="I116" s="23" t="str">
        <f t="shared" si="6"/>
        <v>Match</v>
      </c>
      <c r="J116" s="23" t="str">
        <f t="shared" si="7"/>
        <v>Match</v>
      </c>
      <c r="K116" s="24">
        <f t="shared" si="8"/>
        <v>1.62</v>
      </c>
      <c r="L116" s="24">
        <f t="shared" si="9"/>
        <v>0</v>
      </c>
    </row>
    <row r="117" spans="1:12" ht="15" customHeight="1" x14ac:dyDescent="0.3">
      <c r="A117" s="23" t="s">
        <v>12543</v>
      </c>
      <c r="B117" s="23" t="s">
        <v>75</v>
      </c>
      <c r="C117" s="39">
        <v>599</v>
      </c>
      <c r="D117" s="24">
        <v>0</v>
      </c>
      <c r="E117" s="24">
        <v>0</v>
      </c>
      <c r="F117" s="23">
        <f>COUNTIFS(mdr_rate_cleaned!$A$2:$A$10,B117,mdr_rate_cleaned!$B$2:$B$10,"&lt;"&amp;C117,mdr_rate_cleaned!$F$2:$F$10,"&gt;="&amp;C117)</f>
        <v>1</v>
      </c>
      <c r="G117" s="40">
        <f>SUMIFS(mdr_rate_cleaned!$G$2:$G$10,mdr_rate_cleaned!$A$2:$A$10,B117,mdr_rate_cleaned!$B$2:$B$10,"&lt;"&amp;C117,mdr_rate_cleaned!$F$2:$F$10,"&gt;="&amp;C117)</f>
        <v>0</v>
      </c>
      <c r="H117" s="24">
        <f t="shared" si="5"/>
        <v>0</v>
      </c>
      <c r="I117" s="23" t="str">
        <f t="shared" si="6"/>
        <v>Match</v>
      </c>
      <c r="J117" s="23" t="str">
        <f t="shared" si="7"/>
        <v>Match</v>
      </c>
      <c r="K117" s="24">
        <f t="shared" si="8"/>
        <v>0</v>
      </c>
      <c r="L117" s="24">
        <f t="shared" si="9"/>
        <v>0</v>
      </c>
    </row>
    <row r="118" spans="1:12" ht="15" customHeight="1" x14ac:dyDescent="0.3">
      <c r="A118" s="23" t="s">
        <v>12544</v>
      </c>
      <c r="B118" s="23" t="s">
        <v>75</v>
      </c>
      <c r="C118" s="39">
        <v>3997</v>
      </c>
      <c r="D118" s="24">
        <v>11.99</v>
      </c>
      <c r="E118" s="24">
        <v>2.16</v>
      </c>
      <c r="F118" s="23">
        <f>COUNTIFS(mdr_rate_cleaned!$A$2:$A$10,B118,mdr_rate_cleaned!$B$2:$B$10,"&lt;"&amp;C118,mdr_rate_cleaned!$F$2:$F$10,"&gt;="&amp;C118)</f>
        <v>1</v>
      </c>
      <c r="G118" s="40">
        <f>SUMIFS(mdr_rate_cleaned!$G$2:$G$10,mdr_rate_cleaned!$A$2:$A$10,B118,mdr_rate_cleaned!$B$2:$B$10,"&lt;"&amp;C118,mdr_rate_cleaned!$F$2:$F$10,"&gt;="&amp;C118)</f>
        <v>3.0000000000000001E-3</v>
      </c>
      <c r="H118" s="24">
        <f t="shared" si="5"/>
        <v>11.99</v>
      </c>
      <c r="I118" s="23" t="str">
        <f t="shared" si="6"/>
        <v>Match</v>
      </c>
      <c r="J118" s="23" t="str">
        <f t="shared" si="7"/>
        <v>Match</v>
      </c>
      <c r="K118" s="24">
        <f t="shared" si="8"/>
        <v>2.16</v>
      </c>
      <c r="L118" s="24">
        <f t="shared" si="9"/>
        <v>0</v>
      </c>
    </row>
    <row r="119" spans="1:12" ht="15" customHeight="1" x14ac:dyDescent="0.3">
      <c r="A119" s="23" t="s">
        <v>12545</v>
      </c>
      <c r="B119" s="23" t="s">
        <v>75</v>
      </c>
      <c r="C119" s="39">
        <v>3499</v>
      </c>
      <c r="D119" s="24">
        <v>10.5</v>
      </c>
      <c r="E119" s="24">
        <v>1.89</v>
      </c>
      <c r="F119" s="23">
        <f>COUNTIFS(mdr_rate_cleaned!$A$2:$A$10,B119,mdr_rate_cleaned!$B$2:$B$10,"&lt;"&amp;C119,mdr_rate_cleaned!$F$2:$F$10,"&gt;="&amp;C119)</f>
        <v>1</v>
      </c>
      <c r="G119" s="40">
        <f>SUMIFS(mdr_rate_cleaned!$G$2:$G$10,mdr_rate_cleaned!$A$2:$A$10,B119,mdr_rate_cleaned!$B$2:$B$10,"&lt;"&amp;C119,mdr_rate_cleaned!$F$2:$F$10,"&gt;="&amp;C119)</f>
        <v>3.0000000000000001E-3</v>
      </c>
      <c r="H119" s="24">
        <f t="shared" si="5"/>
        <v>10.5</v>
      </c>
      <c r="I119" s="23" t="str">
        <f t="shared" si="6"/>
        <v>Match</v>
      </c>
      <c r="J119" s="23" t="str">
        <f t="shared" si="7"/>
        <v>Match</v>
      </c>
      <c r="K119" s="24">
        <f t="shared" si="8"/>
        <v>1.89</v>
      </c>
      <c r="L119" s="24">
        <f t="shared" si="9"/>
        <v>0</v>
      </c>
    </row>
    <row r="120" spans="1:12" ht="15" customHeight="1" x14ac:dyDescent="0.3">
      <c r="A120" s="23" t="s">
        <v>12547</v>
      </c>
      <c r="B120" s="23" t="s">
        <v>75</v>
      </c>
      <c r="C120" s="39">
        <v>2098</v>
      </c>
      <c r="D120" s="24">
        <v>6.29</v>
      </c>
      <c r="E120" s="24">
        <v>1.1299999999999999</v>
      </c>
      <c r="F120" s="23">
        <f>COUNTIFS(mdr_rate_cleaned!$A$2:$A$10,B120,mdr_rate_cleaned!$B$2:$B$10,"&lt;"&amp;C120,mdr_rate_cleaned!$F$2:$F$10,"&gt;="&amp;C120)</f>
        <v>1</v>
      </c>
      <c r="G120" s="40">
        <f>SUMIFS(mdr_rate_cleaned!$G$2:$G$10,mdr_rate_cleaned!$A$2:$A$10,B120,mdr_rate_cleaned!$B$2:$B$10,"&lt;"&amp;C120,mdr_rate_cleaned!$F$2:$F$10,"&gt;="&amp;C120)</f>
        <v>3.0000000000000001E-3</v>
      </c>
      <c r="H120" s="24">
        <f t="shared" si="5"/>
        <v>6.29</v>
      </c>
      <c r="I120" s="23" t="str">
        <f t="shared" si="6"/>
        <v>Match</v>
      </c>
      <c r="J120" s="23" t="str">
        <f t="shared" si="7"/>
        <v>Match</v>
      </c>
      <c r="K120" s="24">
        <f t="shared" si="8"/>
        <v>1.1299999999999999</v>
      </c>
      <c r="L120" s="24">
        <f t="shared" si="9"/>
        <v>0</v>
      </c>
    </row>
    <row r="121" spans="1:12" ht="15" customHeight="1" x14ac:dyDescent="0.3">
      <c r="A121" s="23" t="s">
        <v>12548</v>
      </c>
      <c r="B121" s="23" t="s">
        <v>75</v>
      </c>
      <c r="C121" s="39">
        <v>5598</v>
      </c>
      <c r="D121" s="24">
        <v>16.79</v>
      </c>
      <c r="E121" s="24">
        <v>3.02</v>
      </c>
      <c r="F121" s="23">
        <f>COUNTIFS(mdr_rate_cleaned!$A$2:$A$10,B121,mdr_rate_cleaned!$B$2:$B$10,"&lt;"&amp;C121,mdr_rate_cleaned!$F$2:$F$10,"&gt;="&amp;C121)</f>
        <v>1</v>
      </c>
      <c r="G121" s="40">
        <f>SUMIFS(mdr_rate_cleaned!$G$2:$G$10,mdr_rate_cleaned!$A$2:$A$10,B121,mdr_rate_cleaned!$B$2:$B$10,"&lt;"&amp;C121,mdr_rate_cleaned!$F$2:$F$10,"&gt;="&amp;C121)</f>
        <v>3.0000000000000001E-3</v>
      </c>
      <c r="H121" s="24">
        <f t="shared" si="5"/>
        <v>16.79</v>
      </c>
      <c r="I121" s="23" t="str">
        <f t="shared" si="6"/>
        <v>Match</v>
      </c>
      <c r="J121" s="23" t="str">
        <f t="shared" si="7"/>
        <v>Match</v>
      </c>
      <c r="K121" s="24">
        <f t="shared" si="8"/>
        <v>3.02</v>
      </c>
      <c r="L121" s="24">
        <f t="shared" si="9"/>
        <v>0</v>
      </c>
    </row>
    <row r="122" spans="1:12" ht="15" customHeight="1" x14ac:dyDescent="0.3">
      <c r="A122" s="23" t="s">
        <v>12549</v>
      </c>
      <c r="B122" s="23" t="s">
        <v>75</v>
      </c>
      <c r="C122" s="39">
        <v>2798</v>
      </c>
      <c r="D122" s="24">
        <v>8.39</v>
      </c>
      <c r="E122" s="24">
        <v>1.51</v>
      </c>
      <c r="F122" s="23">
        <f>COUNTIFS(mdr_rate_cleaned!$A$2:$A$10,B122,mdr_rate_cleaned!$B$2:$B$10,"&lt;"&amp;C122,mdr_rate_cleaned!$F$2:$F$10,"&gt;="&amp;C122)</f>
        <v>1</v>
      </c>
      <c r="G122" s="40">
        <f>SUMIFS(mdr_rate_cleaned!$G$2:$G$10,mdr_rate_cleaned!$A$2:$A$10,B122,mdr_rate_cleaned!$B$2:$B$10,"&lt;"&amp;C122,mdr_rate_cleaned!$F$2:$F$10,"&gt;="&amp;C122)</f>
        <v>3.0000000000000001E-3</v>
      </c>
      <c r="H122" s="24">
        <f t="shared" si="5"/>
        <v>8.39</v>
      </c>
      <c r="I122" s="23" t="str">
        <f t="shared" si="6"/>
        <v>Match</v>
      </c>
      <c r="J122" s="23" t="str">
        <f t="shared" si="7"/>
        <v>Match</v>
      </c>
      <c r="K122" s="24">
        <f t="shared" si="8"/>
        <v>1.51</v>
      </c>
      <c r="L122" s="24">
        <f t="shared" si="9"/>
        <v>0</v>
      </c>
    </row>
    <row r="123" spans="1:12" ht="15" customHeight="1" x14ac:dyDescent="0.3">
      <c r="A123" s="23" t="s">
        <v>12550</v>
      </c>
      <c r="B123" s="23" t="s">
        <v>75</v>
      </c>
      <c r="C123" s="39">
        <v>1848</v>
      </c>
      <c r="D123" s="24">
        <v>0</v>
      </c>
      <c r="E123" s="24">
        <v>0</v>
      </c>
      <c r="F123" s="23">
        <f>COUNTIFS(mdr_rate_cleaned!$A$2:$A$10,B123,mdr_rate_cleaned!$B$2:$B$10,"&lt;"&amp;C123,mdr_rate_cleaned!$F$2:$F$10,"&gt;="&amp;C123)</f>
        <v>1</v>
      </c>
      <c r="G123" s="40">
        <f>SUMIFS(mdr_rate_cleaned!$G$2:$G$10,mdr_rate_cleaned!$A$2:$A$10,B123,mdr_rate_cleaned!$B$2:$B$10,"&lt;"&amp;C123,mdr_rate_cleaned!$F$2:$F$10,"&gt;="&amp;C123)</f>
        <v>0</v>
      </c>
      <c r="H123" s="24">
        <f t="shared" si="5"/>
        <v>0</v>
      </c>
      <c r="I123" s="23" t="str">
        <f t="shared" si="6"/>
        <v>Match</v>
      </c>
      <c r="J123" s="23" t="str">
        <f t="shared" si="7"/>
        <v>Match</v>
      </c>
      <c r="K123" s="24">
        <f t="shared" si="8"/>
        <v>0</v>
      </c>
      <c r="L123" s="24">
        <f t="shared" si="9"/>
        <v>0</v>
      </c>
    </row>
    <row r="124" spans="1:12" ht="15" customHeight="1" x14ac:dyDescent="0.3">
      <c r="A124" s="23" t="s">
        <v>12551</v>
      </c>
      <c r="B124" s="23" t="s">
        <v>75</v>
      </c>
      <c r="C124" s="39">
        <v>299</v>
      </c>
      <c r="D124" s="24">
        <v>0</v>
      </c>
      <c r="E124" s="24">
        <v>0</v>
      </c>
      <c r="F124" s="23">
        <f>COUNTIFS(mdr_rate_cleaned!$A$2:$A$10,B124,mdr_rate_cleaned!$B$2:$B$10,"&lt;"&amp;C124,mdr_rate_cleaned!$F$2:$F$10,"&gt;="&amp;C124)</f>
        <v>1</v>
      </c>
      <c r="G124" s="40">
        <f>SUMIFS(mdr_rate_cleaned!$G$2:$G$10,mdr_rate_cleaned!$A$2:$A$10,B124,mdr_rate_cleaned!$B$2:$B$10,"&lt;"&amp;C124,mdr_rate_cleaned!$F$2:$F$10,"&gt;="&amp;C124)</f>
        <v>0</v>
      </c>
      <c r="H124" s="24">
        <f t="shared" si="5"/>
        <v>0</v>
      </c>
      <c r="I124" s="23" t="str">
        <f t="shared" si="6"/>
        <v>Match</v>
      </c>
      <c r="J124" s="23" t="str">
        <f t="shared" si="7"/>
        <v>Match</v>
      </c>
      <c r="K124" s="24">
        <f t="shared" si="8"/>
        <v>0</v>
      </c>
      <c r="L124" s="24">
        <f t="shared" si="9"/>
        <v>0</v>
      </c>
    </row>
    <row r="125" spans="1:12" ht="15" customHeight="1" x14ac:dyDescent="0.3">
      <c r="A125" s="23" t="s">
        <v>12552</v>
      </c>
      <c r="B125" s="23" t="s">
        <v>75</v>
      </c>
      <c r="C125" s="39">
        <v>2897</v>
      </c>
      <c r="D125" s="24">
        <v>8.69</v>
      </c>
      <c r="E125" s="24">
        <v>1.56</v>
      </c>
      <c r="F125" s="23">
        <f>COUNTIFS(mdr_rate_cleaned!$A$2:$A$10,B125,mdr_rate_cleaned!$B$2:$B$10,"&lt;"&amp;C125,mdr_rate_cleaned!$F$2:$F$10,"&gt;="&amp;C125)</f>
        <v>1</v>
      </c>
      <c r="G125" s="40">
        <f>SUMIFS(mdr_rate_cleaned!$G$2:$G$10,mdr_rate_cleaned!$A$2:$A$10,B125,mdr_rate_cleaned!$B$2:$B$10,"&lt;"&amp;C125,mdr_rate_cleaned!$F$2:$F$10,"&gt;="&amp;C125)</f>
        <v>3.0000000000000001E-3</v>
      </c>
      <c r="H125" s="24">
        <f t="shared" si="5"/>
        <v>8.69</v>
      </c>
      <c r="I125" s="23" t="str">
        <f t="shared" si="6"/>
        <v>Match</v>
      </c>
      <c r="J125" s="23" t="str">
        <f t="shared" si="7"/>
        <v>Match</v>
      </c>
      <c r="K125" s="24">
        <f t="shared" si="8"/>
        <v>1.56</v>
      </c>
      <c r="L125" s="24">
        <f t="shared" si="9"/>
        <v>0</v>
      </c>
    </row>
    <row r="126" spans="1:12" ht="15" customHeight="1" x14ac:dyDescent="0.3">
      <c r="A126" s="23" t="s">
        <v>12553</v>
      </c>
      <c r="B126" s="23" t="s">
        <v>77</v>
      </c>
      <c r="C126" s="39">
        <v>4298</v>
      </c>
      <c r="D126" s="24">
        <v>73.069999999999993</v>
      </c>
      <c r="E126" s="24">
        <v>13.15</v>
      </c>
      <c r="F126" s="23">
        <f>COUNTIFS(mdr_rate_cleaned!$A$2:$A$10,B126,mdr_rate_cleaned!$B$2:$B$10,"&lt;"&amp;C126,mdr_rate_cleaned!$F$2:$F$10,"&gt;="&amp;C126)</f>
        <v>1</v>
      </c>
      <c r="G126" s="40">
        <f>SUMIFS(mdr_rate_cleaned!$G$2:$G$10,mdr_rate_cleaned!$A$2:$A$10,B126,mdr_rate_cleaned!$B$2:$B$10,"&lt;"&amp;C126,mdr_rate_cleaned!$F$2:$F$10,"&gt;="&amp;C126)</f>
        <v>1.7000000000000001E-2</v>
      </c>
      <c r="H126" s="24">
        <f t="shared" si="5"/>
        <v>73.069999999999993</v>
      </c>
      <c r="I126" s="23" t="str">
        <f t="shared" si="6"/>
        <v>Match</v>
      </c>
      <c r="J126" s="23" t="str">
        <f t="shared" si="7"/>
        <v>Match</v>
      </c>
      <c r="K126" s="24">
        <f t="shared" si="8"/>
        <v>13.15</v>
      </c>
      <c r="L126" s="24">
        <f t="shared" si="9"/>
        <v>0</v>
      </c>
    </row>
    <row r="127" spans="1:12" ht="15" customHeight="1" x14ac:dyDescent="0.3">
      <c r="A127" s="23" t="s">
        <v>12554</v>
      </c>
      <c r="B127" s="23" t="s">
        <v>79</v>
      </c>
      <c r="C127" s="39">
        <v>999</v>
      </c>
      <c r="D127" s="24">
        <v>17.98</v>
      </c>
      <c r="E127" s="24">
        <v>3.24</v>
      </c>
      <c r="F127" s="23">
        <f>COUNTIFS(mdr_rate_cleaned!$A$2:$A$10,B127,mdr_rate_cleaned!$B$2:$B$10,"&lt;"&amp;C127,mdr_rate_cleaned!$F$2:$F$10,"&gt;="&amp;C127)</f>
        <v>1</v>
      </c>
      <c r="G127" s="40">
        <f>SUMIFS(mdr_rate_cleaned!$G$2:$G$10,mdr_rate_cleaned!$A$2:$A$10,B127,mdr_rate_cleaned!$B$2:$B$10,"&lt;"&amp;C127,mdr_rate_cleaned!$F$2:$F$10,"&gt;="&amp;C127)</f>
        <v>1.8000000000000002E-2</v>
      </c>
      <c r="H127" s="24">
        <f t="shared" si="5"/>
        <v>17.98</v>
      </c>
      <c r="I127" s="23" t="str">
        <f t="shared" si="6"/>
        <v>Match</v>
      </c>
      <c r="J127" s="23" t="str">
        <f t="shared" si="7"/>
        <v>Match</v>
      </c>
      <c r="K127" s="24">
        <f t="shared" si="8"/>
        <v>3.24</v>
      </c>
      <c r="L127" s="24">
        <f t="shared" si="9"/>
        <v>0</v>
      </c>
    </row>
    <row r="128" spans="1:12" ht="15" customHeight="1" x14ac:dyDescent="0.3">
      <c r="A128" s="23" t="s">
        <v>12555</v>
      </c>
      <c r="B128" s="23" t="s">
        <v>79</v>
      </c>
      <c r="C128" s="39">
        <v>1798</v>
      </c>
      <c r="D128" s="24">
        <v>32.36</v>
      </c>
      <c r="E128" s="24">
        <v>5.82</v>
      </c>
      <c r="F128" s="23">
        <f>COUNTIFS(mdr_rate_cleaned!$A$2:$A$10,B128,mdr_rate_cleaned!$B$2:$B$10,"&lt;"&amp;C128,mdr_rate_cleaned!$F$2:$F$10,"&gt;="&amp;C128)</f>
        <v>1</v>
      </c>
      <c r="G128" s="40">
        <f>SUMIFS(mdr_rate_cleaned!$G$2:$G$10,mdr_rate_cleaned!$A$2:$A$10,B128,mdr_rate_cleaned!$B$2:$B$10,"&lt;"&amp;C128,mdr_rate_cleaned!$F$2:$F$10,"&gt;="&amp;C128)</f>
        <v>1.8000000000000002E-2</v>
      </c>
      <c r="H128" s="24">
        <f t="shared" si="5"/>
        <v>32.36</v>
      </c>
      <c r="I128" s="23" t="str">
        <f t="shared" si="6"/>
        <v>Match</v>
      </c>
      <c r="J128" s="23" t="str">
        <f t="shared" si="7"/>
        <v>Match</v>
      </c>
      <c r="K128" s="24">
        <f t="shared" si="8"/>
        <v>5.82</v>
      </c>
      <c r="L128" s="24">
        <f t="shared" si="9"/>
        <v>0</v>
      </c>
    </row>
    <row r="129" spans="1:12" ht="15" customHeight="1" x14ac:dyDescent="0.3">
      <c r="A129" s="23" t="s">
        <v>12556</v>
      </c>
      <c r="B129" s="23" t="s">
        <v>81</v>
      </c>
      <c r="C129" s="39">
        <v>3597</v>
      </c>
      <c r="D129" s="24">
        <v>43.16</v>
      </c>
      <c r="E129" s="24">
        <v>7.77</v>
      </c>
      <c r="F129" s="23">
        <f>COUNTIFS(mdr_rate_cleaned!$A$2:$A$10,B129,mdr_rate_cleaned!$B$2:$B$10,"&lt;"&amp;C129,mdr_rate_cleaned!$F$2:$F$10,"&gt;="&amp;C129)</f>
        <v>1</v>
      </c>
      <c r="G129" s="40">
        <f>SUMIFS(mdr_rate_cleaned!$G$2:$G$10,mdr_rate_cleaned!$A$2:$A$10,B129,mdr_rate_cleaned!$B$2:$B$10,"&lt;"&amp;C129,mdr_rate_cleaned!$F$2:$F$10,"&gt;="&amp;C129)</f>
        <v>1.2E-2</v>
      </c>
      <c r="H129" s="24">
        <f t="shared" si="5"/>
        <v>43.16</v>
      </c>
      <c r="I129" s="23" t="str">
        <f t="shared" si="6"/>
        <v>Match</v>
      </c>
      <c r="J129" s="23" t="str">
        <f t="shared" si="7"/>
        <v>Match</v>
      </c>
      <c r="K129" s="24">
        <f t="shared" si="8"/>
        <v>7.77</v>
      </c>
      <c r="L129" s="24">
        <f t="shared" si="9"/>
        <v>0</v>
      </c>
    </row>
    <row r="130" spans="1:12" ht="15" customHeight="1" x14ac:dyDescent="0.3">
      <c r="A130" s="23" t="s">
        <v>12557</v>
      </c>
      <c r="B130" s="23" t="s">
        <v>79</v>
      </c>
      <c r="C130" s="39">
        <v>7999</v>
      </c>
      <c r="D130" s="24">
        <v>127.98</v>
      </c>
      <c r="E130" s="24">
        <v>23.04</v>
      </c>
      <c r="F130" s="23">
        <f>COUNTIFS(mdr_rate_cleaned!$A$2:$A$10,B130,mdr_rate_cleaned!$B$2:$B$10,"&lt;"&amp;C130,mdr_rate_cleaned!$F$2:$F$10,"&gt;="&amp;C130)</f>
        <v>1</v>
      </c>
      <c r="G130" s="40">
        <f>SUMIFS(mdr_rate_cleaned!$G$2:$G$10,mdr_rate_cleaned!$A$2:$A$10,B130,mdr_rate_cleaned!$B$2:$B$10,"&lt;"&amp;C130,mdr_rate_cleaned!$F$2:$F$10,"&gt;="&amp;C130)</f>
        <v>1.6E-2</v>
      </c>
      <c r="H130" s="24">
        <f t="shared" ref="H130:H193" si="10">ROUND(C130*G130,2)</f>
        <v>127.98</v>
      </c>
      <c r="I130" s="23" t="str">
        <f t="shared" ref="I130:I193" si="11">IF(ROUND(D130-H130,2)=0,"Match","Differs")</f>
        <v>Match</v>
      </c>
      <c r="J130" s="23" t="str">
        <f t="shared" ref="J130:J193" si="12">IF(ROUND(E130-ROUND(D130*0.18,2),2)=0,"Match","Differs")</f>
        <v>Match</v>
      </c>
      <c r="K130" s="24">
        <f t="shared" ref="K130:K193" si="13">ROUND(H130*0.18,2)</f>
        <v>23.04</v>
      </c>
      <c r="L130" s="24">
        <f t="shared" ref="L130:L193" si="14">ROUND(D130+E130-H130-K130,2)</f>
        <v>0</v>
      </c>
    </row>
    <row r="131" spans="1:12" ht="15" customHeight="1" x14ac:dyDescent="0.3">
      <c r="A131" s="23" t="s">
        <v>12559</v>
      </c>
      <c r="B131" s="23" t="s">
        <v>75</v>
      </c>
      <c r="C131" s="39">
        <v>4498</v>
      </c>
      <c r="D131" s="24">
        <v>13.49</v>
      </c>
      <c r="E131" s="24">
        <v>2.4300000000000002</v>
      </c>
      <c r="F131" s="23">
        <f>COUNTIFS(mdr_rate_cleaned!$A$2:$A$10,B131,mdr_rate_cleaned!$B$2:$B$10,"&lt;"&amp;C131,mdr_rate_cleaned!$F$2:$F$10,"&gt;="&amp;C131)</f>
        <v>1</v>
      </c>
      <c r="G131" s="40">
        <f>SUMIFS(mdr_rate_cleaned!$G$2:$G$10,mdr_rate_cleaned!$A$2:$A$10,B131,mdr_rate_cleaned!$B$2:$B$10,"&lt;"&amp;C131,mdr_rate_cleaned!$F$2:$F$10,"&gt;="&amp;C131)</f>
        <v>3.0000000000000001E-3</v>
      </c>
      <c r="H131" s="24">
        <f t="shared" si="10"/>
        <v>13.49</v>
      </c>
      <c r="I131" s="23" t="str">
        <f t="shared" si="11"/>
        <v>Match</v>
      </c>
      <c r="J131" s="23" t="str">
        <f t="shared" si="12"/>
        <v>Match</v>
      </c>
      <c r="K131" s="24">
        <f t="shared" si="13"/>
        <v>2.4300000000000002</v>
      </c>
      <c r="L131" s="24">
        <f t="shared" si="14"/>
        <v>0</v>
      </c>
    </row>
    <row r="132" spans="1:12" ht="15" customHeight="1" x14ac:dyDescent="0.3">
      <c r="A132" s="23" t="s">
        <v>12560</v>
      </c>
      <c r="B132" s="23" t="s">
        <v>75</v>
      </c>
      <c r="C132" s="39">
        <v>2499</v>
      </c>
      <c r="D132" s="24">
        <v>7.5</v>
      </c>
      <c r="E132" s="24">
        <v>1.35</v>
      </c>
      <c r="F132" s="23">
        <f>COUNTIFS(mdr_rate_cleaned!$A$2:$A$10,B132,mdr_rate_cleaned!$B$2:$B$10,"&lt;"&amp;C132,mdr_rate_cleaned!$F$2:$F$10,"&gt;="&amp;C132)</f>
        <v>1</v>
      </c>
      <c r="G132" s="40">
        <f>SUMIFS(mdr_rate_cleaned!$G$2:$G$10,mdr_rate_cleaned!$A$2:$A$10,B132,mdr_rate_cleaned!$B$2:$B$10,"&lt;"&amp;C132,mdr_rate_cleaned!$F$2:$F$10,"&gt;="&amp;C132)</f>
        <v>3.0000000000000001E-3</v>
      </c>
      <c r="H132" s="24">
        <f t="shared" si="10"/>
        <v>7.5</v>
      </c>
      <c r="I132" s="23" t="str">
        <f t="shared" si="11"/>
        <v>Match</v>
      </c>
      <c r="J132" s="23" t="str">
        <f t="shared" si="12"/>
        <v>Match</v>
      </c>
      <c r="K132" s="24">
        <f t="shared" si="13"/>
        <v>1.35</v>
      </c>
      <c r="L132" s="24">
        <f t="shared" si="14"/>
        <v>0</v>
      </c>
    </row>
    <row r="133" spans="1:12" ht="15" customHeight="1" x14ac:dyDescent="0.3">
      <c r="A133" s="23" t="s">
        <v>12561</v>
      </c>
      <c r="B133" s="23" t="s">
        <v>79</v>
      </c>
      <c r="C133" s="39">
        <v>2499</v>
      </c>
      <c r="D133" s="24">
        <v>39.979999999999997</v>
      </c>
      <c r="E133" s="24">
        <v>7.2</v>
      </c>
      <c r="F133" s="23">
        <f>COUNTIFS(mdr_rate_cleaned!$A$2:$A$10,B133,mdr_rate_cleaned!$B$2:$B$10,"&lt;"&amp;C133,mdr_rate_cleaned!$F$2:$F$10,"&gt;="&amp;C133)</f>
        <v>1</v>
      </c>
      <c r="G133" s="40">
        <f>SUMIFS(mdr_rate_cleaned!$G$2:$G$10,mdr_rate_cleaned!$A$2:$A$10,B133,mdr_rate_cleaned!$B$2:$B$10,"&lt;"&amp;C133,mdr_rate_cleaned!$F$2:$F$10,"&gt;="&amp;C133)</f>
        <v>1.6E-2</v>
      </c>
      <c r="H133" s="24">
        <f t="shared" si="10"/>
        <v>39.979999999999997</v>
      </c>
      <c r="I133" s="23" t="str">
        <f t="shared" si="11"/>
        <v>Match</v>
      </c>
      <c r="J133" s="23" t="str">
        <f t="shared" si="12"/>
        <v>Match</v>
      </c>
      <c r="K133" s="24">
        <f t="shared" si="13"/>
        <v>7.2</v>
      </c>
      <c r="L133" s="24">
        <f t="shared" si="14"/>
        <v>0</v>
      </c>
    </row>
    <row r="134" spans="1:12" ht="15" customHeight="1" x14ac:dyDescent="0.3">
      <c r="A134" s="23" t="s">
        <v>12562</v>
      </c>
      <c r="B134" s="23" t="s">
        <v>81</v>
      </c>
      <c r="C134" s="39">
        <v>799</v>
      </c>
      <c r="D134" s="24">
        <v>11.99</v>
      </c>
      <c r="E134" s="24">
        <v>2.16</v>
      </c>
      <c r="F134" s="23">
        <f>COUNTIFS(mdr_rate_cleaned!$A$2:$A$10,B134,mdr_rate_cleaned!$B$2:$B$10,"&lt;"&amp;C134,mdr_rate_cleaned!$F$2:$F$10,"&gt;="&amp;C134)</f>
        <v>1</v>
      </c>
      <c r="G134" s="40">
        <f>SUMIFS(mdr_rate_cleaned!$G$2:$G$10,mdr_rate_cleaned!$A$2:$A$10,B134,mdr_rate_cleaned!$B$2:$B$10,"&lt;"&amp;C134,mdr_rate_cleaned!$F$2:$F$10,"&gt;="&amp;C134)</f>
        <v>1.4999999999999999E-2</v>
      </c>
      <c r="H134" s="24">
        <f t="shared" si="10"/>
        <v>11.99</v>
      </c>
      <c r="I134" s="23" t="str">
        <f t="shared" si="11"/>
        <v>Match</v>
      </c>
      <c r="J134" s="23" t="str">
        <f t="shared" si="12"/>
        <v>Match</v>
      </c>
      <c r="K134" s="24">
        <f t="shared" si="13"/>
        <v>2.16</v>
      </c>
      <c r="L134" s="24">
        <f t="shared" si="14"/>
        <v>0</v>
      </c>
    </row>
    <row r="135" spans="1:12" ht="15" customHeight="1" x14ac:dyDescent="0.3">
      <c r="A135" s="23" t="s">
        <v>12563</v>
      </c>
      <c r="B135" s="23" t="s">
        <v>75</v>
      </c>
      <c r="C135" s="39">
        <v>1299</v>
      </c>
      <c r="D135" s="24">
        <v>0</v>
      </c>
      <c r="E135" s="24">
        <v>0</v>
      </c>
      <c r="F135" s="23">
        <f>COUNTIFS(mdr_rate_cleaned!$A$2:$A$10,B135,mdr_rate_cleaned!$B$2:$B$10,"&lt;"&amp;C135,mdr_rate_cleaned!$F$2:$F$10,"&gt;="&amp;C135)</f>
        <v>1</v>
      </c>
      <c r="G135" s="40">
        <f>SUMIFS(mdr_rate_cleaned!$G$2:$G$10,mdr_rate_cleaned!$A$2:$A$10,B135,mdr_rate_cleaned!$B$2:$B$10,"&lt;"&amp;C135,mdr_rate_cleaned!$F$2:$F$10,"&gt;="&amp;C135)</f>
        <v>0</v>
      </c>
      <c r="H135" s="24">
        <f t="shared" si="10"/>
        <v>0</v>
      </c>
      <c r="I135" s="23" t="str">
        <f t="shared" si="11"/>
        <v>Match</v>
      </c>
      <c r="J135" s="23" t="str">
        <f t="shared" si="12"/>
        <v>Match</v>
      </c>
      <c r="K135" s="24">
        <f t="shared" si="13"/>
        <v>0</v>
      </c>
      <c r="L135" s="24">
        <f t="shared" si="14"/>
        <v>0</v>
      </c>
    </row>
    <row r="136" spans="1:12" ht="15" customHeight="1" x14ac:dyDescent="0.3">
      <c r="A136" s="23" t="s">
        <v>12565</v>
      </c>
      <c r="B136" s="23" t="s">
        <v>77</v>
      </c>
      <c r="C136" s="39">
        <v>1799</v>
      </c>
      <c r="D136" s="24">
        <v>34.18</v>
      </c>
      <c r="E136" s="24">
        <v>6.15</v>
      </c>
      <c r="F136" s="23">
        <f>COUNTIFS(mdr_rate_cleaned!$A$2:$A$10,B136,mdr_rate_cleaned!$B$2:$B$10,"&lt;"&amp;C136,mdr_rate_cleaned!$F$2:$F$10,"&gt;="&amp;C136)</f>
        <v>1</v>
      </c>
      <c r="G136" s="40">
        <f>SUMIFS(mdr_rate_cleaned!$G$2:$G$10,mdr_rate_cleaned!$A$2:$A$10,B136,mdr_rate_cleaned!$B$2:$B$10,"&lt;"&amp;C136,mdr_rate_cleaned!$F$2:$F$10,"&gt;="&amp;C136)</f>
        <v>1.9E-2</v>
      </c>
      <c r="H136" s="24">
        <f t="shared" si="10"/>
        <v>34.18</v>
      </c>
      <c r="I136" s="23" t="str">
        <f t="shared" si="11"/>
        <v>Match</v>
      </c>
      <c r="J136" s="23" t="str">
        <f t="shared" si="12"/>
        <v>Match</v>
      </c>
      <c r="K136" s="24">
        <f t="shared" si="13"/>
        <v>6.15</v>
      </c>
      <c r="L136" s="24">
        <f t="shared" si="14"/>
        <v>0</v>
      </c>
    </row>
    <row r="137" spans="1:12" ht="15" customHeight="1" x14ac:dyDescent="0.3">
      <c r="A137" s="23" t="s">
        <v>12566</v>
      </c>
      <c r="B137" s="23" t="s">
        <v>81</v>
      </c>
      <c r="C137" s="39">
        <v>7999</v>
      </c>
      <c r="D137" s="24">
        <v>95.99</v>
      </c>
      <c r="E137" s="24">
        <v>17.28</v>
      </c>
      <c r="F137" s="23">
        <f>COUNTIFS(mdr_rate_cleaned!$A$2:$A$10,B137,mdr_rate_cleaned!$B$2:$B$10,"&lt;"&amp;C137,mdr_rate_cleaned!$F$2:$F$10,"&gt;="&amp;C137)</f>
        <v>1</v>
      </c>
      <c r="G137" s="40">
        <f>SUMIFS(mdr_rate_cleaned!$G$2:$G$10,mdr_rate_cleaned!$A$2:$A$10,B137,mdr_rate_cleaned!$B$2:$B$10,"&lt;"&amp;C137,mdr_rate_cleaned!$F$2:$F$10,"&gt;="&amp;C137)</f>
        <v>1.2E-2</v>
      </c>
      <c r="H137" s="24">
        <f t="shared" si="10"/>
        <v>95.99</v>
      </c>
      <c r="I137" s="23" t="str">
        <f t="shared" si="11"/>
        <v>Match</v>
      </c>
      <c r="J137" s="23" t="str">
        <f t="shared" si="12"/>
        <v>Match</v>
      </c>
      <c r="K137" s="24">
        <f t="shared" si="13"/>
        <v>17.28</v>
      </c>
      <c r="L137" s="24">
        <f t="shared" si="14"/>
        <v>0</v>
      </c>
    </row>
    <row r="138" spans="1:12" ht="15" customHeight="1" x14ac:dyDescent="0.3">
      <c r="A138" s="23" t="s">
        <v>12567</v>
      </c>
      <c r="B138" s="23" t="s">
        <v>79</v>
      </c>
      <c r="C138" s="39">
        <v>4999</v>
      </c>
      <c r="D138" s="24">
        <v>79.98</v>
      </c>
      <c r="E138" s="24">
        <v>14.4</v>
      </c>
      <c r="F138" s="23">
        <f>COUNTIFS(mdr_rate_cleaned!$A$2:$A$10,B138,mdr_rate_cleaned!$B$2:$B$10,"&lt;"&amp;C138,mdr_rate_cleaned!$F$2:$F$10,"&gt;="&amp;C138)</f>
        <v>1</v>
      </c>
      <c r="G138" s="40">
        <f>SUMIFS(mdr_rate_cleaned!$G$2:$G$10,mdr_rate_cleaned!$A$2:$A$10,B138,mdr_rate_cleaned!$B$2:$B$10,"&lt;"&amp;C138,mdr_rate_cleaned!$F$2:$F$10,"&gt;="&amp;C138)</f>
        <v>1.6E-2</v>
      </c>
      <c r="H138" s="24">
        <f t="shared" si="10"/>
        <v>79.98</v>
      </c>
      <c r="I138" s="23" t="str">
        <f t="shared" si="11"/>
        <v>Match</v>
      </c>
      <c r="J138" s="23" t="str">
        <f t="shared" si="12"/>
        <v>Match</v>
      </c>
      <c r="K138" s="24">
        <f t="shared" si="13"/>
        <v>14.4</v>
      </c>
      <c r="L138" s="24">
        <f t="shared" si="14"/>
        <v>0</v>
      </c>
    </row>
    <row r="139" spans="1:12" ht="15" customHeight="1" x14ac:dyDescent="0.3">
      <c r="A139" s="23" t="s">
        <v>12568</v>
      </c>
      <c r="B139" s="23" t="s">
        <v>77</v>
      </c>
      <c r="C139" s="39">
        <v>948</v>
      </c>
      <c r="D139" s="24">
        <v>18.010000000000002</v>
      </c>
      <c r="E139" s="24">
        <v>3.24</v>
      </c>
      <c r="F139" s="23">
        <f>COUNTIFS(mdr_rate_cleaned!$A$2:$A$10,B139,mdr_rate_cleaned!$B$2:$B$10,"&lt;"&amp;C139,mdr_rate_cleaned!$F$2:$F$10,"&gt;="&amp;C139)</f>
        <v>1</v>
      </c>
      <c r="G139" s="40">
        <f>SUMIFS(mdr_rate_cleaned!$G$2:$G$10,mdr_rate_cleaned!$A$2:$A$10,B139,mdr_rate_cleaned!$B$2:$B$10,"&lt;"&amp;C139,mdr_rate_cleaned!$F$2:$F$10,"&gt;="&amp;C139)</f>
        <v>1.9E-2</v>
      </c>
      <c r="H139" s="24">
        <f t="shared" si="10"/>
        <v>18.010000000000002</v>
      </c>
      <c r="I139" s="23" t="str">
        <f t="shared" si="11"/>
        <v>Match</v>
      </c>
      <c r="J139" s="23" t="str">
        <f t="shared" si="12"/>
        <v>Match</v>
      </c>
      <c r="K139" s="24">
        <f t="shared" si="13"/>
        <v>3.24</v>
      </c>
      <c r="L139" s="24">
        <f t="shared" si="14"/>
        <v>0</v>
      </c>
    </row>
    <row r="140" spans="1:12" ht="15" customHeight="1" x14ac:dyDescent="0.3">
      <c r="A140" s="23" t="s">
        <v>12569</v>
      </c>
      <c r="B140" s="23" t="s">
        <v>75</v>
      </c>
      <c r="C140" s="39">
        <v>15997</v>
      </c>
      <c r="D140" s="24">
        <v>47.99</v>
      </c>
      <c r="E140" s="24">
        <v>8.64</v>
      </c>
      <c r="F140" s="23">
        <f>COUNTIFS(mdr_rate_cleaned!$A$2:$A$10,B140,mdr_rate_cleaned!$B$2:$B$10,"&lt;"&amp;C140,mdr_rate_cleaned!$F$2:$F$10,"&gt;="&amp;C140)</f>
        <v>1</v>
      </c>
      <c r="G140" s="40">
        <f>SUMIFS(mdr_rate_cleaned!$G$2:$G$10,mdr_rate_cleaned!$A$2:$A$10,B140,mdr_rate_cleaned!$B$2:$B$10,"&lt;"&amp;C140,mdr_rate_cleaned!$F$2:$F$10,"&gt;="&amp;C140)</f>
        <v>3.0000000000000001E-3</v>
      </c>
      <c r="H140" s="24">
        <f t="shared" si="10"/>
        <v>47.99</v>
      </c>
      <c r="I140" s="23" t="str">
        <f t="shared" si="11"/>
        <v>Match</v>
      </c>
      <c r="J140" s="23" t="str">
        <f t="shared" si="12"/>
        <v>Match</v>
      </c>
      <c r="K140" s="24">
        <f t="shared" si="13"/>
        <v>8.64</v>
      </c>
      <c r="L140" s="24">
        <f t="shared" si="14"/>
        <v>0</v>
      </c>
    </row>
    <row r="141" spans="1:12" ht="15" customHeight="1" x14ac:dyDescent="0.3">
      <c r="A141" s="23" t="s">
        <v>12570</v>
      </c>
      <c r="B141" s="23" t="s">
        <v>75</v>
      </c>
      <c r="C141" s="39">
        <v>10998</v>
      </c>
      <c r="D141" s="24">
        <v>32.99</v>
      </c>
      <c r="E141" s="24">
        <v>5.94</v>
      </c>
      <c r="F141" s="23">
        <f>COUNTIFS(mdr_rate_cleaned!$A$2:$A$10,B141,mdr_rate_cleaned!$B$2:$B$10,"&lt;"&amp;C141,mdr_rate_cleaned!$F$2:$F$10,"&gt;="&amp;C141)</f>
        <v>1</v>
      </c>
      <c r="G141" s="40">
        <f>SUMIFS(mdr_rate_cleaned!$G$2:$G$10,mdr_rate_cleaned!$A$2:$A$10,B141,mdr_rate_cleaned!$B$2:$B$10,"&lt;"&amp;C141,mdr_rate_cleaned!$F$2:$F$10,"&gt;="&amp;C141)</f>
        <v>3.0000000000000001E-3</v>
      </c>
      <c r="H141" s="24">
        <f t="shared" si="10"/>
        <v>32.99</v>
      </c>
      <c r="I141" s="23" t="str">
        <f t="shared" si="11"/>
        <v>Match</v>
      </c>
      <c r="J141" s="23" t="str">
        <f t="shared" si="12"/>
        <v>Match</v>
      </c>
      <c r="K141" s="24">
        <f t="shared" si="13"/>
        <v>5.94</v>
      </c>
      <c r="L141" s="24">
        <f t="shared" si="14"/>
        <v>0</v>
      </c>
    </row>
    <row r="142" spans="1:12" ht="15" customHeight="1" x14ac:dyDescent="0.3">
      <c r="A142" s="23" t="s">
        <v>12571</v>
      </c>
      <c r="B142" s="23" t="s">
        <v>81</v>
      </c>
      <c r="C142" s="39">
        <v>7999</v>
      </c>
      <c r="D142" s="24">
        <v>95.99</v>
      </c>
      <c r="E142" s="24">
        <v>17.28</v>
      </c>
      <c r="F142" s="23">
        <f>COUNTIFS(mdr_rate_cleaned!$A$2:$A$10,B142,mdr_rate_cleaned!$B$2:$B$10,"&lt;"&amp;C142,mdr_rate_cleaned!$F$2:$F$10,"&gt;="&amp;C142)</f>
        <v>1</v>
      </c>
      <c r="G142" s="40">
        <f>SUMIFS(mdr_rate_cleaned!$G$2:$G$10,mdr_rate_cleaned!$A$2:$A$10,B142,mdr_rate_cleaned!$B$2:$B$10,"&lt;"&amp;C142,mdr_rate_cleaned!$F$2:$F$10,"&gt;="&amp;C142)</f>
        <v>1.2E-2</v>
      </c>
      <c r="H142" s="24">
        <f t="shared" si="10"/>
        <v>95.99</v>
      </c>
      <c r="I142" s="23" t="str">
        <f t="shared" si="11"/>
        <v>Match</v>
      </c>
      <c r="J142" s="23" t="str">
        <f t="shared" si="12"/>
        <v>Match</v>
      </c>
      <c r="K142" s="24">
        <f t="shared" si="13"/>
        <v>17.28</v>
      </c>
      <c r="L142" s="24">
        <f t="shared" si="14"/>
        <v>0</v>
      </c>
    </row>
    <row r="143" spans="1:12" ht="15" customHeight="1" x14ac:dyDescent="0.3">
      <c r="A143" s="23" t="s">
        <v>12572</v>
      </c>
      <c r="B143" s="23" t="s">
        <v>79</v>
      </c>
      <c r="C143" s="39">
        <v>1299</v>
      </c>
      <c r="D143" s="24">
        <v>23.38</v>
      </c>
      <c r="E143" s="24">
        <v>4.21</v>
      </c>
      <c r="F143" s="23">
        <f>COUNTIFS(mdr_rate_cleaned!$A$2:$A$10,B143,mdr_rate_cleaned!$B$2:$B$10,"&lt;"&amp;C143,mdr_rate_cleaned!$F$2:$F$10,"&gt;="&amp;C143)</f>
        <v>1</v>
      </c>
      <c r="G143" s="40">
        <f>SUMIFS(mdr_rate_cleaned!$G$2:$G$10,mdr_rate_cleaned!$A$2:$A$10,B143,mdr_rate_cleaned!$B$2:$B$10,"&lt;"&amp;C143,mdr_rate_cleaned!$F$2:$F$10,"&gt;="&amp;C143)</f>
        <v>1.8000000000000002E-2</v>
      </c>
      <c r="H143" s="24">
        <f t="shared" si="10"/>
        <v>23.38</v>
      </c>
      <c r="I143" s="23" t="str">
        <f t="shared" si="11"/>
        <v>Match</v>
      </c>
      <c r="J143" s="23" t="str">
        <f t="shared" si="12"/>
        <v>Match</v>
      </c>
      <c r="K143" s="24">
        <f t="shared" si="13"/>
        <v>4.21</v>
      </c>
      <c r="L143" s="24">
        <f t="shared" si="14"/>
        <v>0</v>
      </c>
    </row>
    <row r="144" spans="1:12" ht="15" customHeight="1" x14ac:dyDescent="0.3">
      <c r="A144" s="23" t="s">
        <v>12573</v>
      </c>
      <c r="B144" s="23" t="s">
        <v>79</v>
      </c>
      <c r="C144" s="39">
        <v>2298</v>
      </c>
      <c r="D144" s="24">
        <v>36.770000000000003</v>
      </c>
      <c r="E144" s="24">
        <v>6.62</v>
      </c>
      <c r="F144" s="23">
        <f>COUNTIFS(mdr_rate_cleaned!$A$2:$A$10,B144,mdr_rate_cleaned!$B$2:$B$10,"&lt;"&amp;C144,mdr_rate_cleaned!$F$2:$F$10,"&gt;="&amp;C144)</f>
        <v>1</v>
      </c>
      <c r="G144" s="40">
        <f>SUMIFS(mdr_rate_cleaned!$G$2:$G$10,mdr_rate_cleaned!$A$2:$A$10,B144,mdr_rate_cleaned!$B$2:$B$10,"&lt;"&amp;C144,mdr_rate_cleaned!$F$2:$F$10,"&gt;="&amp;C144)</f>
        <v>1.6E-2</v>
      </c>
      <c r="H144" s="24">
        <f t="shared" si="10"/>
        <v>36.770000000000003</v>
      </c>
      <c r="I144" s="23" t="str">
        <f t="shared" si="11"/>
        <v>Match</v>
      </c>
      <c r="J144" s="23" t="str">
        <f t="shared" si="12"/>
        <v>Match</v>
      </c>
      <c r="K144" s="24">
        <f t="shared" si="13"/>
        <v>6.62</v>
      </c>
      <c r="L144" s="24">
        <f t="shared" si="14"/>
        <v>0</v>
      </c>
    </row>
    <row r="145" spans="1:12" ht="15" customHeight="1" x14ac:dyDescent="0.3">
      <c r="A145" s="23" t="s">
        <v>12574</v>
      </c>
      <c r="B145" s="23" t="s">
        <v>75</v>
      </c>
      <c r="C145" s="39">
        <v>299</v>
      </c>
      <c r="D145" s="24">
        <v>0</v>
      </c>
      <c r="E145" s="24">
        <v>0</v>
      </c>
      <c r="F145" s="23">
        <f>COUNTIFS(mdr_rate_cleaned!$A$2:$A$10,B145,mdr_rate_cleaned!$B$2:$B$10,"&lt;"&amp;C145,mdr_rate_cleaned!$F$2:$F$10,"&gt;="&amp;C145)</f>
        <v>1</v>
      </c>
      <c r="G145" s="40">
        <f>SUMIFS(mdr_rate_cleaned!$G$2:$G$10,mdr_rate_cleaned!$A$2:$A$10,B145,mdr_rate_cleaned!$B$2:$B$10,"&lt;"&amp;C145,mdr_rate_cleaned!$F$2:$F$10,"&gt;="&amp;C145)</f>
        <v>0</v>
      </c>
      <c r="H145" s="24">
        <f t="shared" si="10"/>
        <v>0</v>
      </c>
      <c r="I145" s="23" t="str">
        <f t="shared" si="11"/>
        <v>Match</v>
      </c>
      <c r="J145" s="23" t="str">
        <f t="shared" si="12"/>
        <v>Match</v>
      </c>
      <c r="K145" s="24">
        <f t="shared" si="13"/>
        <v>0</v>
      </c>
      <c r="L145" s="24">
        <f t="shared" si="14"/>
        <v>0</v>
      </c>
    </row>
    <row r="146" spans="1:12" ht="15" customHeight="1" x14ac:dyDescent="0.3">
      <c r="A146" s="23" t="s">
        <v>12575</v>
      </c>
      <c r="B146" s="23" t="s">
        <v>79</v>
      </c>
      <c r="C146" s="39">
        <v>3798</v>
      </c>
      <c r="D146" s="24">
        <v>60.77</v>
      </c>
      <c r="E146" s="24">
        <v>10.94</v>
      </c>
      <c r="F146" s="23">
        <f>COUNTIFS(mdr_rate_cleaned!$A$2:$A$10,B146,mdr_rate_cleaned!$B$2:$B$10,"&lt;"&amp;C146,mdr_rate_cleaned!$F$2:$F$10,"&gt;="&amp;C146)</f>
        <v>1</v>
      </c>
      <c r="G146" s="40">
        <f>SUMIFS(mdr_rate_cleaned!$G$2:$G$10,mdr_rate_cleaned!$A$2:$A$10,B146,mdr_rate_cleaned!$B$2:$B$10,"&lt;"&amp;C146,mdr_rate_cleaned!$F$2:$F$10,"&gt;="&amp;C146)</f>
        <v>1.6E-2</v>
      </c>
      <c r="H146" s="24">
        <f t="shared" si="10"/>
        <v>60.77</v>
      </c>
      <c r="I146" s="23" t="str">
        <f t="shared" si="11"/>
        <v>Match</v>
      </c>
      <c r="J146" s="23" t="str">
        <f t="shared" si="12"/>
        <v>Match</v>
      </c>
      <c r="K146" s="24">
        <f t="shared" si="13"/>
        <v>10.94</v>
      </c>
      <c r="L146" s="24">
        <f t="shared" si="14"/>
        <v>0</v>
      </c>
    </row>
    <row r="147" spans="1:12" ht="15" customHeight="1" x14ac:dyDescent="0.3">
      <c r="A147" s="23" t="s">
        <v>12576</v>
      </c>
      <c r="B147" s="23" t="s">
        <v>75</v>
      </c>
      <c r="C147" s="39">
        <v>12797</v>
      </c>
      <c r="D147" s="24">
        <v>38.39</v>
      </c>
      <c r="E147" s="24">
        <v>6.91</v>
      </c>
      <c r="F147" s="23">
        <f>COUNTIFS(mdr_rate_cleaned!$A$2:$A$10,B147,mdr_rate_cleaned!$B$2:$B$10,"&lt;"&amp;C147,mdr_rate_cleaned!$F$2:$F$10,"&gt;="&amp;C147)</f>
        <v>1</v>
      </c>
      <c r="G147" s="40">
        <f>SUMIFS(mdr_rate_cleaned!$G$2:$G$10,mdr_rate_cleaned!$A$2:$A$10,B147,mdr_rate_cleaned!$B$2:$B$10,"&lt;"&amp;C147,mdr_rate_cleaned!$F$2:$F$10,"&gt;="&amp;C147)</f>
        <v>3.0000000000000001E-3</v>
      </c>
      <c r="H147" s="24">
        <f t="shared" si="10"/>
        <v>38.39</v>
      </c>
      <c r="I147" s="23" t="str">
        <f t="shared" si="11"/>
        <v>Match</v>
      </c>
      <c r="J147" s="23" t="str">
        <f t="shared" si="12"/>
        <v>Match</v>
      </c>
      <c r="K147" s="24">
        <f t="shared" si="13"/>
        <v>6.91</v>
      </c>
      <c r="L147" s="24">
        <f t="shared" si="14"/>
        <v>0</v>
      </c>
    </row>
    <row r="148" spans="1:12" ht="15" customHeight="1" x14ac:dyDescent="0.3">
      <c r="A148" s="23" t="s">
        <v>12577</v>
      </c>
      <c r="B148" s="23" t="s">
        <v>75</v>
      </c>
      <c r="C148" s="39">
        <v>4298</v>
      </c>
      <c r="D148" s="24">
        <v>12.89</v>
      </c>
      <c r="E148" s="24">
        <v>2.3199999999999998</v>
      </c>
      <c r="F148" s="23">
        <f>COUNTIFS(mdr_rate_cleaned!$A$2:$A$10,B148,mdr_rate_cleaned!$B$2:$B$10,"&lt;"&amp;C148,mdr_rate_cleaned!$F$2:$F$10,"&gt;="&amp;C148)</f>
        <v>1</v>
      </c>
      <c r="G148" s="40">
        <f>SUMIFS(mdr_rate_cleaned!$G$2:$G$10,mdr_rate_cleaned!$A$2:$A$10,B148,mdr_rate_cleaned!$B$2:$B$10,"&lt;"&amp;C148,mdr_rate_cleaned!$F$2:$F$10,"&gt;="&amp;C148)</f>
        <v>3.0000000000000001E-3</v>
      </c>
      <c r="H148" s="24">
        <f t="shared" si="10"/>
        <v>12.89</v>
      </c>
      <c r="I148" s="23" t="str">
        <f t="shared" si="11"/>
        <v>Match</v>
      </c>
      <c r="J148" s="23" t="str">
        <f t="shared" si="12"/>
        <v>Match</v>
      </c>
      <c r="K148" s="24">
        <f t="shared" si="13"/>
        <v>2.3199999999999998</v>
      </c>
      <c r="L148" s="24">
        <f t="shared" si="14"/>
        <v>0</v>
      </c>
    </row>
    <row r="149" spans="1:12" ht="15" customHeight="1" x14ac:dyDescent="0.3">
      <c r="A149" s="23" t="s">
        <v>12578</v>
      </c>
      <c r="B149" s="23" t="s">
        <v>75</v>
      </c>
      <c r="C149" s="39">
        <v>599</v>
      </c>
      <c r="D149" s="24">
        <v>0</v>
      </c>
      <c r="E149" s="24">
        <v>0</v>
      </c>
      <c r="F149" s="23">
        <f>COUNTIFS(mdr_rate_cleaned!$A$2:$A$10,B149,mdr_rate_cleaned!$B$2:$B$10,"&lt;"&amp;C149,mdr_rate_cleaned!$F$2:$F$10,"&gt;="&amp;C149)</f>
        <v>1</v>
      </c>
      <c r="G149" s="40">
        <f>SUMIFS(mdr_rate_cleaned!$G$2:$G$10,mdr_rate_cleaned!$A$2:$A$10,B149,mdr_rate_cleaned!$B$2:$B$10,"&lt;"&amp;C149,mdr_rate_cleaned!$F$2:$F$10,"&gt;="&amp;C149)</f>
        <v>0</v>
      </c>
      <c r="H149" s="24">
        <f t="shared" si="10"/>
        <v>0</v>
      </c>
      <c r="I149" s="23" t="str">
        <f t="shared" si="11"/>
        <v>Match</v>
      </c>
      <c r="J149" s="23" t="str">
        <f t="shared" si="12"/>
        <v>Match</v>
      </c>
      <c r="K149" s="24">
        <f t="shared" si="13"/>
        <v>0</v>
      </c>
      <c r="L149" s="24">
        <f t="shared" si="14"/>
        <v>0</v>
      </c>
    </row>
    <row r="150" spans="1:12" ht="15" customHeight="1" x14ac:dyDescent="0.3">
      <c r="A150" s="23" t="s">
        <v>12579</v>
      </c>
      <c r="B150" s="23" t="s">
        <v>75</v>
      </c>
      <c r="C150" s="39">
        <v>3499</v>
      </c>
      <c r="D150" s="24">
        <v>10.5</v>
      </c>
      <c r="E150" s="24">
        <v>1.89</v>
      </c>
      <c r="F150" s="23">
        <f>COUNTIFS(mdr_rate_cleaned!$A$2:$A$10,B150,mdr_rate_cleaned!$B$2:$B$10,"&lt;"&amp;C150,mdr_rate_cleaned!$F$2:$F$10,"&gt;="&amp;C150)</f>
        <v>1</v>
      </c>
      <c r="G150" s="40">
        <f>SUMIFS(mdr_rate_cleaned!$G$2:$G$10,mdr_rate_cleaned!$A$2:$A$10,B150,mdr_rate_cleaned!$B$2:$B$10,"&lt;"&amp;C150,mdr_rate_cleaned!$F$2:$F$10,"&gt;="&amp;C150)</f>
        <v>3.0000000000000001E-3</v>
      </c>
      <c r="H150" s="24">
        <f t="shared" si="10"/>
        <v>10.5</v>
      </c>
      <c r="I150" s="23" t="str">
        <f t="shared" si="11"/>
        <v>Match</v>
      </c>
      <c r="J150" s="23" t="str">
        <f t="shared" si="12"/>
        <v>Match</v>
      </c>
      <c r="K150" s="24">
        <f t="shared" si="13"/>
        <v>1.89</v>
      </c>
      <c r="L150" s="24">
        <f t="shared" si="14"/>
        <v>0</v>
      </c>
    </row>
    <row r="151" spans="1:12" ht="15" customHeight="1" x14ac:dyDescent="0.3">
      <c r="A151" s="23" t="s">
        <v>12580</v>
      </c>
      <c r="B151" s="23" t="s">
        <v>77</v>
      </c>
      <c r="C151" s="39">
        <v>7497</v>
      </c>
      <c r="D151" s="24">
        <v>127.45</v>
      </c>
      <c r="E151" s="24">
        <v>22.94</v>
      </c>
      <c r="F151" s="23">
        <f>COUNTIFS(mdr_rate_cleaned!$A$2:$A$10,B151,mdr_rate_cleaned!$B$2:$B$10,"&lt;"&amp;C151,mdr_rate_cleaned!$F$2:$F$10,"&gt;="&amp;C151)</f>
        <v>1</v>
      </c>
      <c r="G151" s="40">
        <f>SUMIFS(mdr_rate_cleaned!$G$2:$G$10,mdr_rate_cleaned!$A$2:$A$10,B151,mdr_rate_cleaned!$B$2:$B$10,"&lt;"&amp;C151,mdr_rate_cleaned!$F$2:$F$10,"&gt;="&amp;C151)</f>
        <v>1.7000000000000001E-2</v>
      </c>
      <c r="H151" s="24">
        <f t="shared" si="10"/>
        <v>127.45</v>
      </c>
      <c r="I151" s="23" t="str">
        <f t="shared" si="11"/>
        <v>Match</v>
      </c>
      <c r="J151" s="23" t="str">
        <f t="shared" si="12"/>
        <v>Match</v>
      </c>
      <c r="K151" s="24">
        <f t="shared" si="13"/>
        <v>22.94</v>
      </c>
      <c r="L151" s="24">
        <f t="shared" si="14"/>
        <v>0</v>
      </c>
    </row>
    <row r="152" spans="1:12" ht="15" customHeight="1" x14ac:dyDescent="0.3">
      <c r="A152" s="23" t="s">
        <v>12581</v>
      </c>
      <c r="B152" s="23" t="s">
        <v>75</v>
      </c>
      <c r="C152" s="39">
        <v>799</v>
      </c>
      <c r="D152" s="24">
        <v>2.4</v>
      </c>
      <c r="E152" s="24">
        <v>0.43</v>
      </c>
      <c r="F152" s="23">
        <f>COUNTIFS(mdr_rate_cleaned!$A$2:$A$10,B152,mdr_rate_cleaned!$B$2:$B$10,"&lt;"&amp;C152,mdr_rate_cleaned!$F$2:$F$10,"&gt;="&amp;C152)</f>
        <v>1</v>
      </c>
      <c r="G152" s="40">
        <f>SUMIFS(mdr_rate_cleaned!$G$2:$G$10,mdr_rate_cleaned!$A$2:$A$10,B152,mdr_rate_cleaned!$B$2:$B$10,"&lt;"&amp;C152,mdr_rate_cleaned!$F$2:$F$10,"&gt;="&amp;C152)</f>
        <v>0</v>
      </c>
      <c r="H152" s="24">
        <f t="shared" si="10"/>
        <v>0</v>
      </c>
      <c r="I152" s="23" t="str">
        <f t="shared" si="11"/>
        <v>Differs</v>
      </c>
      <c r="J152" s="23" t="str">
        <f t="shared" si="12"/>
        <v>Match</v>
      </c>
      <c r="K152" s="24">
        <f t="shared" si="13"/>
        <v>0</v>
      </c>
      <c r="L152" s="24">
        <f t="shared" si="14"/>
        <v>2.83</v>
      </c>
    </row>
    <row r="153" spans="1:12" ht="15" customHeight="1" x14ac:dyDescent="0.3">
      <c r="A153" s="23" t="s">
        <v>12583</v>
      </c>
      <c r="B153" s="23" t="s">
        <v>75</v>
      </c>
      <c r="C153" s="39">
        <v>10297</v>
      </c>
      <c r="D153" s="24">
        <v>30.89</v>
      </c>
      <c r="E153" s="24">
        <v>5.56</v>
      </c>
      <c r="F153" s="23">
        <f>COUNTIFS(mdr_rate_cleaned!$A$2:$A$10,B153,mdr_rate_cleaned!$B$2:$B$10,"&lt;"&amp;C153,mdr_rate_cleaned!$F$2:$F$10,"&gt;="&amp;C153)</f>
        <v>1</v>
      </c>
      <c r="G153" s="40">
        <f>SUMIFS(mdr_rate_cleaned!$G$2:$G$10,mdr_rate_cleaned!$A$2:$A$10,B153,mdr_rate_cleaned!$B$2:$B$10,"&lt;"&amp;C153,mdr_rate_cleaned!$F$2:$F$10,"&gt;="&amp;C153)</f>
        <v>3.0000000000000001E-3</v>
      </c>
      <c r="H153" s="24">
        <f t="shared" si="10"/>
        <v>30.89</v>
      </c>
      <c r="I153" s="23" t="str">
        <f t="shared" si="11"/>
        <v>Match</v>
      </c>
      <c r="J153" s="23" t="str">
        <f t="shared" si="12"/>
        <v>Match</v>
      </c>
      <c r="K153" s="24">
        <f t="shared" si="13"/>
        <v>5.56</v>
      </c>
      <c r="L153" s="24">
        <f t="shared" si="14"/>
        <v>0</v>
      </c>
    </row>
    <row r="154" spans="1:12" ht="15" customHeight="1" x14ac:dyDescent="0.3">
      <c r="A154" s="23" t="s">
        <v>12584</v>
      </c>
      <c r="B154" s="23" t="s">
        <v>79</v>
      </c>
      <c r="C154" s="39">
        <v>3499</v>
      </c>
      <c r="D154" s="24">
        <v>55.98</v>
      </c>
      <c r="E154" s="24">
        <v>10.08</v>
      </c>
      <c r="F154" s="23">
        <f>COUNTIFS(mdr_rate_cleaned!$A$2:$A$10,B154,mdr_rate_cleaned!$B$2:$B$10,"&lt;"&amp;C154,mdr_rate_cleaned!$F$2:$F$10,"&gt;="&amp;C154)</f>
        <v>1</v>
      </c>
      <c r="G154" s="40">
        <f>SUMIFS(mdr_rate_cleaned!$G$2:$G$10,mdr_rate_cleaned!$A$2:$A$10,B154,mdr_rate_cleaned!$B$2:$B$10,"&lt;"&amp;C154,mdr_rate_cleaned!$F$2:$F$10,"&gt;="&amp;C154)</f>
        <v>1.6E-2</v>
      </c>
      <c r="H154" s="24">
        <f t="shared" si="10"/>
        <v>55.98</v>
      </c>
      <c r="I154" s="23" t="str">
        <f t="shared" si="11"/>
        <v>Match</v>
      </c>
      <c r="J154" s="23" t="str">
        <f t="shared" si="12"/>
        <v>Match</v>
      </c>
      <c r="K154" s="24">
        <f t="shared" si="13"/>
        <v>10.08</v>
      </c>
      <c r="L154" s="24">
        <f t="shared" si="14"/>
        <v>0</v>
      </c>
    </row>
    <row r="155" spans="1:12" ht="15" customHeight="1" x14ac:dyDescent="0.3">
      <c r="A155" s="23" t="s">
        <v>12585</v>
      </c>
      <c r="B155" s="23" t="s">
        <v>81</v>
      </c>
      <c r="C155" s="39">
        <v>12998</v>
      </c>
      <c r="D155" s="24">
        <v>116.98</v>
      </c>
      <c r="E155" s="24">
        <v>21.06</v>
      </c>
      <c r="F155" s="23">
        <f>COUNTIFS(mdr_rate_cleaned!$A$2:$A$10,B155,mdr_rate_cleaned!$B$2:$B$10,"&lt;"&amp;C155,mdr_rate_cleaned!$F$2:$F$10,"&gt;="&amp;C155)</f>
        <v>1</v>
      </c>
      <c r="G155" s="40">
        <f>SUMIFS(mdr_rate_cleaned!$G$2:$G$10,mdr_rate_cleaned!$A$2:$A$10,B155,mdr_rate_cleaned!$B$2:$B$10,"&lt;"&amp;C155,mdr_rate_cleaned!$F$2:$F$10,"&gt;="&amp;C155)</f>
        <v>9.0000000000000011E-3</v>
      </c>
      <c r="H155" s="24">
        <f t="shared" si="10"/>
        <v>116.98</v>
      </c>
      <c r="I155" s="23" t="str">
        <f t="shared" si="11"/>
        <v>Match</v>
      </c>
      <c r="J155" s="23" t="str">
        <f t="shared" si="12"/>
        <v>Match</v>
      </c>
      <c r="K155" s="24">
        <f t="shared" si="13"/>
        <v>21.06</v>
      </c>
      <c r="L155" s="24">
        <f t="shared" si="14"/>
        <v>0</v>
      </c>
    </row>
    <row r="156" spans="1:12" ht="15" customHeight="1" x14ac:dyDescent="0.3">
      <c r="A156" s="23" t="s">
        <v>12586</v>
      </c>
      <c r="B156" s="23" t="s">
        <v>75</v>
      </c>
      <c r="C156" s="39">
        <v>2999</v>
      </c>
      <c r="D156" s="24">
        <v>9</v>
      </c>
      <c r="E156" s="24">
        <v>1.62</v>
      </c>
      <c r="F156" s="23">
        <f>COUNTIFS(mdr_rate_cleaned!$A$2:$A$10,B156,mdr_rate_cleaned!$B$2:$B$10,"&lt;"&amp;C156,mdr_rate_cleaned!$F$2:$F$10,"&gt;="&amp;C156)</f>
        <v>1</v>
      </c>
      <c r="G156" s="40">
        <f>SUMIFS(mdr_rate_cleaned!$G$2:$G$10,mdr_rate_cleaned!$A$2:$A$10,B156,mdr_rate_cleaned!$B$2:$B$10,"&lt;"&amp;C156,mdr_rate_cleaned!$F$2:$F$10,"&gt;="&amp;C156)</f>
        <v>3.0000000000000001E-3</v>
      </c>
      <c r="H156" s="24">
        <f t="shared" si="10"/>
        <v>9</v>
      </c>
      <c r="I156" s="23" t="str">
        <f t="shared" si="11"/>
        <v>Match</v>
      </c>
      <c r="J156" s="23" t="str">
        <f t="shared" si="12"/>
        <v>Match</v>
      </c>
      <c r="K156" s="24">
        <f t="shared" si="13"/>
        <v>1.62</v>
      </c>
      <c r="L156" s="24">
        <f t="shared" si="14"/>
        <v>0</v>
      </c>
    </row>
    <row r="157" spans="1:12" ht="15" customHeight="1" x14ac:dyDescent="0.3">
      <c r="A157" s="23" t="s">
        <v>12587</v>
      </c>
      <c r="B157" s="23" t="s">
        <v>75</v>
      </c>
      <c r="C157" s="39">
        <v>6798</v>
      </c>
      <c r="D157" s="24">
        <v>20.39</v>
      </c>
      <c r="E157" s="24">
        <v>3.67</v>
      </c>
      <c r="F157" s="23">
        <f>COUNTIFS(mdr_rate_cleaned!$A$2:$A$10,B157,mdr_rate_cleaned!$B$2:$B$10,"&lt;"&amp;C157,mdr_rate_cleaned!$F$2:$F$10,"&gt;="&amp;C157)</f>
        <v>1</v>
      </c>
      <c r="G157" s="40">
        <f>SUMIFS(mdr_rate_cleaned!$G$2:$G$10,mdr_rate_cleaned!$A$2:$A$10,B157,mdr_rate_cleaned!$B$2:$B$10,"&lt;"&amp;C157,mdr_rate_cleaned!$F$2:$F$10,"&gt;="&amp;C157)</f>
        <v>3.0000000000000001E-3</v>
      </c>
      <c r="H157" s="24">
        <f t="shared" si="10"/>
        <v>20.39</v>
      </c>
      <c r="I157" s="23" t="str">
        <f t="shared" si="11"/>
        <v>Match</v>
      </c>
      <c r="J157" s="23" t="str">
        <f t="shared" si="12"/>
        <v>Match</v>
      </c>
      <c r="K157" s="24">
        <f t="shared" si="13"/>
        <v>3.67</v>
      </c>
      <c r="L157" s="24">
        <f t="shared" si="14"/>
        <v>0</v>
      </c>
    </row>
    <row r="158" spans="1:12" ht="15" customHeight="1" x14ac:dyDescent="0.3">
      <c r="A158" s="23" t="s">
        <v>12589</v>
      </c>
      <c r="B158" s="23" t="s">
        <v>77</v>
      </c>
      <c r="C158" s="39">
        <v>3498</v>
      </c>
      <c r="D158" s="24">
        <v>83.95</v>
      </c>
      <c r="E158" s="24">
        <v>15.11</v>
      </c>
      <c r="F158" s="23">
        <f>COUNTIFS(mdr_rate_cleaned!$A$2:$A$10,B158,mdr_rate_cleaned!$B$2:$B$10,"&lt;"&amp;C158,mdr_rate_cleaned!$F$2:$F$10,"&gt;="&amp;C158)</f>
        <v>1</v>
      </c>
      <c r="G158" s="40">
        <f>SUMIFS(mdr_rate_cleaned!$G$2:$G$10,mdr_rate_cleaned!$A$2:$A$10,B158,mdr_rate_cleaned!$B$2:$B$10,"&lt;"&amp;C158,mdr_rate_cleaned!$F$2:$F$10,"&gt;="&amp;C158)</f>
        <v>1.7000000000000001E-2</v>
      </c>
      <c r="H158" s="24">
        <f t="shared" si="10"/>
        <v>59.47</v>
      </c>
      <c r="I158" s="23" t="str">
        <f t="shared" si="11"/>
        <v>Differs</v>
      </c>
      <c r="J158" s="23" t="str">
        <f t="shared" si="12"/>
        <v>Match</v>
      </c>
      <c r="K158" s="24">
        <f t="shared" si="13"/>
        <v>10.7</v>
      </c>
      <c r="L158" s="24">
        <f t="shared" si="14"/>
        <v>28.89</v>
      </c>
    </row>
    <row r="159" spans="1:12" ht="15" customHeight="1" x14ac:dyDescent="0.3">
      <c r="A159" s="23" t="s">
        <v>12590</v>
      </c>
      <c r="B159" s="23" t="s">
        <v>75</v>
      </c>
      <c r="C159" s="39">
        <v>9997</v>
      </c>
      <c r="D159" s="24">
        <v>29.99</v>
      </c>
      <c r="E159" s="24">
        <v>5.4</v>
      </c>
      <c r="F159" s="23">
        <f>COUNTIFS(mdr_rate_cleaned!$A$2:$A$10,B159,mdr_rate_cleaned!$B$2:$B$10,"&lt;"&amp;C159,mdr_rate_cleaned!$F$2:$F$10,"&gt;="&amp;C159)</f>
        <v>1</v>
      </c>
      <c r="G159" s="40">
        <f>SUMIFS(mdr_rate_cleaned!$G$2:$G$10,mdr_rate_cleaned!$A$2:$A$10,B159,mdr_rate_cleaned!$B$2:$B$10,"&lt;"&amp;C159,mdr_rate_cleaned!$F$2:$F$10,"&gt;="&amp;C159)</f>
        <v>3.0000000000000001E-3</v>
      </c>
      <c r="H159" s="24">
        <f t="shared" si="10"/>
        <v>29.99</v>
      </c>
      <c r="I159" s="23" t="str">
        <f t="shared" si="11"/>
        <v>Match</v>
      </c>
      <c r="J159" s="23" t="str">
        <f t="shared" si="12"/>
        <v>Match</v>
      </c>
      <c r="K159" s="24">
        <f t="shared" si="13"/>
        <v>5.4</v>
      </c>
      <c r="L159" s="24">
        <f t="shared" si="14"/>
        <v>0</v>
      </c>
    </row>
    <row r="160" spans="1:12" ht="15" customHeight="1" x14ac:dyDescent="0.3">
      <c r="A160" s="23" t="s">
        <v>12591</v>
      </c>
      <c r="B160" s="23" t="s">
        <v>79</v>
      </c>
      <c r="C160" s="39">
        <v>5798</v>
      </c>
      <c r="D160" s="24">
        <v>92.77</v>
      </c>
      <c r="E160" s="24">
        <v>16.7</v>
      </c>
      <c r="F160" s="23">
        <f>COUNTIFS(mdr_rate_cleaned!$A$2:$A$10,B160,mdr_rate_cleaned!$B$2:$B$10,"&lt;"&amp;C160,mdr_rate_cleaned!$F$2:$F$10,"&gt;="&amp;C160)</f>
        <v>1</v>
      </c>
      <c r="G160" s="40">
        <f>SUMIFS(mdr_rate_cleaned!$G$2:$G$10,mdr_rate_cleaned!$A$2:$A$10,B160,mdr_rate_cleaned!$B$2:$B$10,"&lt;"&amp;C160,mdr_rate_cleaned!$F$2:$F$10,"&gt;="&amp;C160)</f>
        <v>1.6E-2</v>
      </c>
      <c r="H160" s="24">
        <f t="shared" si="10"/>
        <v>92.77</v>
      </c>
      <c r="I160" s="23" t="str">
        <f t="shared" si="11"/>
        <v>Match</v>
      </c>
      <c r="J160" s="23" t="str">
        <f t="shared" si="12"/>
        <v>Match</v>
      </c>
      <c r="K160" s="24">
        <f t="shared" si="13"/>
        <v>16.7</v>
      </c>
      <c r="L160" s="24">
        <f t="shared" si="14"/>
        <v>0</v>
      </c>
    </row>
    <row r="161" spans="1:12" ht="15" customHeight="1" x14ac:dyDescent="0.3">
      <c r="A161" s="23" t="s">
        <v>12592</v>
      </c>
      <c r="B161" s="23" t="s">
        <v>75</v>
      </c>
      <c r="C161" s="39">
        <v>499</v>
      </c>
      <c r="D161" s="24">
        <v>0</v>
      </c>
      <c r="E161" s="24">
        <v>0</v>
      </c>
      <c r="F161" s="23">
        <f>COUNTIFS(mdr_rate_cleaned!$A$2:$A$10,B161,mdr_rate_cleaned!$B$2:$B$10,"&lt;"&amp;C161,mdr_rate_cleaned!$F$2:$F$10,"&gt;="&amp;C161)</f>
        <v>1</v>
      </c>
      <c r="G161" s="40">
        <f>SUMIFS(mdr_rate_cleaned!$G$2:$G$10,mdr_rate_cleaned!$A$2:$A$10,B161,mdr_rate_cleaned!$B$2:$B$10,"&lt;"&amp;C161,mdr_rate_cleaned!$F$2:$F$10,"&gt;="&amp;C161)</f>
        <v>0</v>
      </c>
      <c r="H161" s="24">
        <f t="shared" si="10"/>
        <v>0</v>
      </c>
      <c r="I161" s="23" t="str">
        <f t="shared" si="11"/>
        <v>Match</v>
      </c>
      <c r="J161" s="23" t="str">
        <f t="shared" si="12"/>
        <v>Match</v>
      </c>
      <c r="K161" s="24">
        <f t="shared" si="13"/>
        <v>0</v>
      </c>
      <c r="L161" s="24">
        <f t="shared" si="14"/>
        <v>0</v>
      </c>
    </row>
    <row r="162" spans="1:12" ht="15" customHeight="1" x14ac:dyDescent="0.3">
      <c r="A162" s="23" t="s">
        <v>12593</v>
      </c>
      <c r="B162" s="23" t="s">
        <v>75</v>
      </c>
      <c r="C162" s="39">
        <v>1799</v>
      </c>
      <c r="D162" s="24">
        <v>0</v>
      </c>
      <c r="E162" s="24">
        <v>0</v>
      </c>
      <c r="F162" s="23">
        <f>COUNTIFS(mdr_rate_cleaned!$A$2:$A$10,B162,mdr_rate_cleaned!$B$2:$B$10,"&lt;"&amp;C162,mdr_rate_cleaned!$F$2:$F$10,"&gt;="&amp;C162)</f>
        <v>1</v>
      </c>
      <c r="G162" s="40">
        <f>SUMIFS(mdr_rate_cleaned!$G$2:$G$10,mdr_rate_cleaned!$A$2:$A$10,B162,mdr_rate_cleaned!$B$2:$B$10,"&lt;"&amp;C162,mdr_rate_cleaned!$F$2:$F$10,"&gt;="&amp;C162)</f>
        <v>0</v>
      </c>
      <c r="H162" s="24">
        <f t="shared" si="10"/>
        <v>0</v>
      </c>
      <c r="I162" s="23" t="str">
        <f t="shared" si="11"/>
        <v>Match</v>
      </c>
      <c r="J162" s="23" t="str">
        <f t="shared" si="12"/>
        <v>Match</v>
      </c>
      <c r="K162" s="24">
        <f t="shared" si="13"/>
        <v>0</v>
      </c>
      <c r="L162" s="24">
        <f t="shared" si="14"/>
        <v>0</v>
      </c>
    </row>
    <row r="163" spans="1:12" ht="15" customHeight="1" x14ac:dyDescent="0.3">
      <c r="A163" s="23" t="s">
        <v>12594</v>
      </c>
      <c r="B163" s="23" t="s">
        <v>79</v>
      </c>
      <c r="C163" s="39">
        <v>6297</v>
      </c>
      <c r="D163" s="24">
        <v>100.75</v>
      </c>
      <c r="E163" s="24">
        <v>18.14</v>
      </c>
      <c r="F163" s="23">
        <f>COUNTIFS(mdr_rate_cleaned!$A$2:$A$10,B163,mdr_rate_cleaned!$B$2:$B$10,"&lt;"&amp;C163,mdr_rate_cleaned!$F$2:$F$10,"&gt;="&amp;C163)</f>
        <v>1</v>
      </c>
      <c r="G163" s="40">
        <f>SUMIFS(mdr_rate_cleaned!$G$2:$G$10,mdr_rate_cleaned!$A$2:$A$10,B163,mdr_rate_cleaned!$B$2:$B$10,"&lt;"&amp;C163,mdr_rate_cleaned!$F$2:$F$10,"&gt;="&amp;C163)</f>
        <v>1.6E-2</v>
      </c>
      <c r="H163" s="24">
        <f t="shared" si="10"/>
        <v>100.75</v>
      </c>
      <c r="I163" s="23" t="str">
        <f t="shared" si="11"/>
        <v>Match</v>
      </c>
      <c r="J163" s="23" t="str">
        <f t="shared" si="12"/>
        <v>Match</v>
      </c>
      <c r="K163" s="24">
        <f t="shared" si="13"/>
        <v>18.14</v>
      </c>
      <c r="L163" s="24">
        <f t="shared" si="14"/>
        <v>0</v>
      </c>
    </row>
    <row r="164" spans="1:12" ht="15" customHeight="1" x14ac:dyDescent="0.3">
      <c r="A164" s="23" t="s">
        <v>12595</v>
      </c>
      <c r="B164" s="23" t="s">
        <v>75</v>
      </c>
      <c r="C164" s="39">
        <v>4897</v>
      </c>
      <c r="D164" s="24">
        <v>14.69</v>
      </c>
      <c r="E164" s="24">
        <v>2.64</v>
      </c>
      <c r="F164" s="23">
        <f>COUNTIFS(mdr_rate_cleaned!$A$2:$A$10,B164,mdr_rate_cleaned!$B$2:$B$10,"&lt;"&amp;C164,mdr_rate_cleaned!$F$2:$F$10,"&gt;="&amp;C164)</f>
        <v>1</v>
      </c>
      <c r="G164" s="40">
        <f>SUMIFS(mdr_rate_cleaned!$G$2:$G$10,mdr_rate_cleaned!$A$2:$A$10,B164,mdr_rate_cleaned!$B$2:$B$10,"&lt;"&amp;C164,mdr_rate_cleaned!$F$2:$F$10,"&gt;="&amp;C164)</f>
        <v>3.0000000000000001E-3</v>
      </c>
      <c r="H164" s="24">
        <f t="shared" si="10"/>
        <v>14.69</v>
      </c>
      <c r="I164" s="23" t="str">
        <f t="shared" si="11"/>
        <v>Match</v>
      </c>
      <c r="J164" s="23" t="str">
        <f t="shared" si="12"/>
        <v>Match</v>
      </c>
      <c r="K164" s="24">
        <f t="shared" si="13"/>
        <v>2.64</v>
      </c>
      <c r="L164" s="24">
        <f t="shared" si="14"/>
        <v>0</v>
      </c>
    </row>
    <row r="165" spans="1:12" ht="15" customHeight="1" x14ac:dyDescent="0.3">
      <c r="A165" s="23" t="s">
        <v>12596</v>
      </c>
      <c r="B165" s="23" t="s">
        <v>79</v>
      </c>
      <c r="C165" s="39">
        <v>299</v>
      </c>
      <c r="D165" s="24">
        <v>5.38</v>
      </c>
      <c r="E165" s="24">
        <v>0.97</v>
      </c>
      <c r="F165" s="23">
        <f>COUNTIFS(mdr_rate_cleaned!$A$2:$A$10,B165,mdr_rate_cleaned!$B$2:$B$10,"&lt;"&amp;C165,mdr_rate_cleaned!$F$2:$F$10,"&gt;="&amp;C165)</f>
        <v>1</v>
      </c>
      <c r="G165" s="40">
        <f>SUMIFS(mdr_rate_cleaned!$G$2:$G$10,mdr_rate_cleaned!$A$2:$A$10,B165,mdr_rate_cleaned!$B$2:$B$10,"&lt;"&amp;C165,mdr_rate_cleaned!$F$2:$F$10,"&gt;="&amp;C165)</f>
        <v>1.8000000000000002E-2</v>
      </c>
      <c r="H165" s="24">
        <f t="shared" si="10"/>
        <v>5.38</v>
      </c>
      <c r="I165" s="23" t="str">
        <f t="shared" si="11"/>
        <v>Match</v>
      </c>
      <c r="J165" s="23" t="str">
        <f t="shared" si="12"/>
        <v>Match</v>
      </c>
      <c r="K165" s="24">
        <f t="shared" si="13"/>
        <v>0.97</v>
      </c>
      <c r="L165" s="24">
        <f t="shared" si="14"/>
        <v>0</v>
      </c>
    </row>
    <row r="166" spans="1:12" ht="15" customHeight="1" x14ac:dyDescent="0.3">
      <c r="A166" s="23" t="s">
        <v>12597</v>
      </c>
      <c r="B166" s="23" t="s">
        <v>79</v>
      </c>
      <c r="C166" s="39">
        <v>1299</v>
      </c>
      <c r="D166" s="24">
        <v>23.38</v>
      </c>
      <c r="E166" s="24">
        <v>4.21</v>
      </c>
      <c r="F166" s="23">
        <f>COUNTIFS(mdr_rate_cleaned!$A$2:$A$10,B166,mdr_rate_cleaned!$B$2:$B$10,"&lt;"&amp;C166,mdr_rate_cleaned!$F$2:$F$10,"&gt;="&amp;C166)</f>
        <v>1</v>
      </c>
      <c r="G166" s="40">
        <f>SUMIFS(mdr_rate_cleaned!$G$2:$G$10,mdr_rate_cleaned!$A$2:$A$10,B166,mdr_rate_cleaned!$B$2:$B$10,"&lt;"&amp;C166,mdr_rate_cleaned!$F$2:$F$10,"&gt;="&amp;C166)</f>
        <v>1.8000000000000002E-2</v>
      </c>
      <c r="H166" s="24">
        <f t="shared" si="10"/>
        <v>23.38</v>
      </c>
      <c r="I166" s="23" t="str">
        <f t="shared" si="11"/>
        <v>Match</v>
      </c>
      <c r="J166" s="23" t="str">
        <f t="shared" si="12"/>
        <v>Match</v>
      </c>
      <c r="K166" s="24">
        <f t="shared" si="13"/>
        <v>4.21</v>
      </c>
      <c r="L166" s="24">
        <f t="shared" si="14"/>
        <v>0</v>
      </c>
    </row>
    <row r="167" spans="1:12" ht="15" customHeight="1" x14ac:dyDescent="0.3">
      <c r="A167" s="23" t="s">
        <v>12599</v>
      </c>
      <c r="B167" s="23" t="s">
        <v>79</v>
      </c>
      <c r="C167" s="39">
        <v>299</v>
      </c>
      <c r="D167" s="24">
        <v>5.38</v>
      </c>
      <c r="E167" s="24">
        <v>0.97</v>
      </c>
      <c r="F167" s="23">
        <f>COUNTIFS(mdr_rate_cleaned!$A$2:$A$10,B167,mdr_rate_cleaned!$B$2:$B$10,"&lt;"&amp;C167,mdr_rate_cleaned!$F$2:$F$10,"&gt;="&amp;C167)</f>
        <v>1</v>
      </c>
      <c r="G167" s="40">
        <f>SUMIFS(mdr_rate_cleaned!$G$2:$G$10,mdr_rate_cleaned!$A$2:$A$10,B167,mdr_rate_cleaned!$B$2:$B$10,"&lt;"&amp;C167,mdr_rate_cleaned!$F$2:$F$10,"&gt;="&amp;C167)</f>
        <v>1.8000000000000002E-2</v>
      </c>
      <c r="H167" s="24">
        <f t="shared" si="10"/>
        <v>5.38</v>
      </c>
      <c r="I167" s="23" t="str">
        <f t="shared" si="11"/>
        <v>Match</v>
      </c>
      <c r="J167" s="23" t="str">
        <f t="shared" si="12"/>
        <v>Match</v>
      </c>
      <c r="K167" s="24">
        <f t="shared" si="13"/>
        <v>0.97</v>
      </c>
      <c r="L167" s="24">
        <f t="shared" si="14"/>
        <v>0</v>
      </c>
    </row>
    <row r="168" spans="1:12" ht="15" customHeight="1" x14ac:dyDescent="0.3">
      <c r="A168" s="23" t="s">
        <v>12600</v>
      </c>
      <c r="B168" s="23" t="s">
        <v>79</v>
      </c>
      <c r="C168" s="39">
        <v>299</v>
      </c>
      <c r="D168" s="24">
        <v>5.38</v>
      </c>
      <c r="E168" s="24">
        <v>0.97</v>
      </c>
      <c r="F168" s="23">
        <f>COUNTIFS(mdr_rate_cleaned!$A$2:$A$10,B168,mdr_rate_cleaned!$B$2:$B$10,"&lt;"&amp;C168,mdr_rate_cleaned!$F$2:$F$10,"&gt;="&amp;C168)</f>
        <v>1</v>
      </c>
      <c r="G168" s="40">
        <f>SUMIFS(mdr_rate_cleaned!$G$2:$G$10,mdr_rate_cleaned!$A$2:$A$10,B168,mdr_rate_cleaned!$B$2:$B$10,"&lt;"&amp;C168,mdr_rate_cleaned!$F$2:$F$10,"&gt;="&amp;C168)</f>
        <v>1.8000000000000002E-2</v>
      </c>
      <c r="H168" s="24">
        <f t="shared" si="10"/>
        <v>5.38</v>
      </c>
      <c r="I168" s="23" t="str">
        <f t="shared" si="11"/>
        <v>Match</v>
      </c>
      <c r="J168" s="23" t="str">
        <f t="shared" si="12"/>
        <v>Match</v>
      </c>
      <c r="K168" s="24">
        <f t="shared" si="13"/>
        <v>0.97</v>
      </c>
      <c r="L168" s="24">
        <f t="shared" si="14"/>
        <v>0</v>
      </c>
    </row>
    <row r="169" spans="1:12" ht="15" customHeight="1" x14ac:dyDescent="0.3">
      <c r="A169" s="23" t="s">
        <v>12602</v>
      </c>
      <c r="B169" s="23" t="s">
        <v>75</v>
      </c>
      <c r="C169" s="39">
        <v>12797</v>
      </c>
      <c r="D169" s="24">
        <v>38.39</v>
      </c>
      <c r="E169" s="24">
        <v>6.91</v>
      </c>
      <c r="F169" s="23">
        <f>COUNTIFS(mdr_rate_cleaned!$A$2:$A$10,B169,mdr_rate_cleaned!$B$2:$B$10,"&lt;"&amp;C169,mdr_rate_cleaned!$F$2:$F$10,"&gt;="&amp;C169)</f>
        <v>1</v>
      </c>
      <c r="G169" s="40">
        <f>SUMIFS(mdr_rate_cleaned!$G$2:$G$10,mdr_rate_cleaned!$A$2:$A$10,B169,mdr_rate_cleaned!$B$2:$B$10,"&lt;"&amp;C169,mdr_rate_cleaned!$F$2:$F$10,"&gt;="&amp;C169)</f>
        <v>3.0000000000000001E-3</v>
      </c>
      <c r="H169" s="24">
        <f t="shared" si="10"/>
        <v>38.39</v>
      </c>
      <c r="I169" s="23" t="str">
        <f t="shared" si="11"/>
        <v>Match</v>
      </c>
      <c r="J169" s="23" t="str">
        <f t="shared" si="12"/>
        <v>Match</v>
      </c>
      <c r="K169" s="24">
        <f t="shared" si="13"/>
        <v>6.91</v>
      </c>
      <c r="L169" s="24">
        <f t="shared" si="14"/>
        <v>0</v>
      </c>
    </row>
    <row r="170" spans="1:12" ht="15" customHeight="1" x14ac:dyDescent="0.3">
      <c r="A170" s="23" t="s">
        <v>12604</v>
      </c>
      <c r="B170" s="23" t="s">
        <v>79</v>
      </c>
      <c r="C170" s="39">
        <v>1299</v>
      </c>
      <c r="D170" s="24">
        <v>23.38</v>
      </c>
      <c r="E170" s="24">
        <v>4.21</v>
      </c>
      <c r="F170" s="23">
        <f>COUNTIFS(mdr_rate_cleaned!$A$2:$A$10,B170,mdr_rate_cleaned!$B$2:$B$10,"&lt;"&amp;C170,mdr_rate_cleaned!$F$2:$F$10,"&gt;="&amp;C170)</f>
        <v>1</v>
      </c>
      <c r="G170" s="40">
        <f>SUMIFS(mdr_rate_cleaned!$G$2:$G$10,mdr_rate_cleaned!$A$2:$A$10,B170,mdr_rate_cleaned!$B$2:$B$10,"&lt;"&amp;C170,mdr_rate_cleaned!$F$2:$F$10,"&gt;="&amp;C170)</f>
        <v>1.8000000000000002E-2</v>
      </c>
      <c r="H170" s="24">
        <f t="shared" si="10"/>
        <v>23.38</v>
      </c>
      <c r="I170" s="23" t="str">
        <f t="shared" si="11"/>
        <v>Match</v>
      </c>
      <c r="J170" s="23" t="str">
        <f t="shared" si="12"/>
        <v>Match</v>
      </c>
      <c r="K170" s="24">
        <f t="shared" si="13"/>
        <v>4.21</v>
      </c>
      <c r="L170" s="24">
        <f t="shared" si="14"/>
        <v>0</v>
      </c>
    </row>
    <row r="171" spans="1:12" ht="15" customHeight="1" x14ac:dyDescent="0.3">
      <c r="A171" s="23" t="s">
        <v>12605</v>
      </c>
      <c r="B171" s="23" t="s">
        <v>81</v>
      </c>
      <c r="C171" s="39">
        <v>1499</v>
      </c>
      <c r="D171" s="24">
        <v>22.49</v>
      </c>
      <c r="E171" s="24">
        <v>4.05</v>
      </c>
      <c r="F171" s="23">
        <f>COUNTIFS(mdr_rate_cleaned!$A$2:$A$10,B171,mdr_rate_cleaned!$B$2:$B$10,"&lt;"&amp;C171,mdr_rate_cleaned!$F$2:$F$10,"&gt;="&amp;C171)</f>
        <v>1</v>
      </c>
      <c r="G171" s="40">
        <f>SUMIFS(mdr_rate_cleaned!$G$2:$G$10,mdr_rate_cleaned!$A$2:$A$10,B171,mdr_rate_cleaned!$B$2:$B$10,"&lt;"&amp;C171,mdr_rate_cleaned!$F$2:$F$10,"&gt;="&amp;C171)</f>
        <v>1.4999999999999999E-2</v>
      </c>
      <c r="H171" s="24">
        <f t="shared" si="10"/>
        <v>22.49</v>
      </c>
      <c r="I171" s="23" t="str">
        <f t="shared" si="11"/>
        <v>Match</v>
      </c>
      <c r="J171" s="23" t="str">
        <f t="shared" si="12"/>
        <v>Match</v>
      </c>
      <c r="K171" s="24">
        <f t="shared" si="13"/>
        <v>4.05</v>
      </c>
      <c r="L171" s="24">
        <f t="shared" si="14"/>
        <v>0</v>
      </c>
    </row>
    <row r="172" spans="1:12" ht="15" customHeight="1" x14ac:dyDescent="0.3">
      <c r="A172" s="23" t="s">
        <v>12606</v>
      </c>
      <c r="B172" s="23" t="s">
        <v>75</v>
      </c>
      <c r="C172" s="39">
        <v>1298</v>
      </c>
      <c r="D172" s="24">
        <v>0</v>
      </c>
      <c r="E172" s="24">
        <v>0</v>
      </c>
      <c r="F172" s="23">
        <f>COUNTIFS(mdr_rate_cleaned!$A$2:$A$10,B172,mdr_rate_cleaned!$B$2:$B$10,"&lt;"&amp;C172,mdr_rate_cleaned!$F$2:$F$10,"&gt;="&amp;C172)</f>
        <v>1</v>
      </c>
      <c r="G172" s="40">
        <f>SUMIFS(mdr_rate_cleaned!$G$2:$G$10,mdr_rate_cleaned!$A$2:$A$10,B172,mdr_rate_cleaned!$B$2:$B$10,"&lt;"&amp;C172,mdr_rate_cleaned!$F$2:$F$10,"&gt;="&amp;C172)</f>
        <v>0</v>
      </c>
      <c r="H172" s="24">
        <f t="shared" si="10"/>
        <v>0</v>
      </c>
      <c r="I172" s="23" t="str">
        <f t="shared" si="11"/>
        <v>Match</v>
      </c>
      <c r="J172" s="23" t="str">
        <f t="shared" si="12"/>
        <v>Match</v>
      </c>
      <c r="K172" s="24">
        <f t="shared" si="13"/>
        <v>0</v>
      </c>
      <c r="L172" s="24">
        <f t="shared" si="14"/>
        <v>0</v>
      </c>
    </row>
    <row r="173" spans="1:12" ht="15" customHeight="1" x14ac:dyDescent="0.3">
      <c r="A173" s="23" t="s">
        <v>12608</v>
      </c>
      <c r="B173" s="23" t="s">
        <v>75</v>
      </c>
      <c r="C173" s="39">
        <v>499</v>
      </c>
      <c r="D173" s="24">
        <v>0</v>
      </c>
      <c r="E173" s="24">
        <v>0</v>
      </c>
      <c r="F173" s="23">
        <f>COUNTIFS(mdr_rate_cleaned!$A$2:$A$10,B173,mdr_rate_cleaned!$B$2:$B$10,"&lt;"&amp;C173,mdr_rate_cleaned!$F$2:$F$10,"&gt;="&amp;C173)</f>
        <v>1</v>
      </c>
      <c r="G173" s="40">
        <f>SUMIFS(mdr_rate_cleaned!$G$2:$G$10,mdr_rate_cleaned!$A$2:$A$10,B173,mdr_rate_cleaned!$B$2:$B$10,"&lt;"&amp;C173,mdr_rate_cleaned!$F$2:$F$10,"&gt;="&amp;C173)</f>
        <v>0</v>
      </c>
      <c r="H173" s="24">
        <f t="shared" si="10"/>
        <v>0</v>
      </c>
      <c r="I173" s="23" t="str">
        <f t="shared" si="11"/>
        <v>Match</v>
      </c>
      <c r="J173" s="23" t="str">
        <f t="shared" si="12"/>
        <v>Match</v>
      </c>
      <c r="K173" s="24">
        <f t="shared" si="13"/>
        <v>0</v>
      </c>
      <c r="L173" s="24">
        <f t="shared" si="14"/>
        <v>0</v>
      </c>
    </row>
    <row r="174" spans="1:12" ht="15" customHeight="1" x14ac:dyDescent="0.3">
      <c r="A174" s="23" t="s">
        <v>12609</v>
      </c>
      <c r="B174" s="23" t="s">
        <v>81</v>
      </c>
      <c r="C174" s="39">
        <v>848</v>
      </c>
      <c r="D174" s="24">
        <v>12.72</v>
      </c>
      <c r="E174" s="24">
        <v>2.29</v>
      </c>
      <c r="F174" s="23">
        <f>COUNTIFS(mdr_rate_cleaned!$A$2:$A$10,B174,mdr_rate_cleaned!$B$2:$B$10,"&lt;"&amp;C174,mdr_rate_cleaned!$F$2:$F$10,"&gt;="&amp;C174)</f>
        <v>1</v>
      </c>
      <c r="G174" s="40">
        <f>SUMIFS(mdr_rate_cleaned!$G$2:$G$10,mdr_rate_cleaned!$A$2:$A$10,B174,mdr_rate_cleaned!$B$2:$B$10,"&lt;"&amp;C174,mdr_rate_cleaned!$F$2:$F$10,"&gt;="&amp;C174)</f>
        <v>1.4999999999999999E-2</v>
      </c>
      <c r="H174" s="24">
        <f t="shared" si="10"/>
        <v>12.72</v>
      </c>
      <c r="I174" s="23" t="str">
        <f t="shared" si="11"/>
        <v>Match</v>
      </c>
      <c r="J174" s="23" t="str">
        <f t="shared" si="12"/>
        <v>Match</v>
      </c>
      <c r="K174" s="24">
        <f t="shared" si="13"/>
        <v>2.29</v>
      </c>
      <c r="L174" s="24">
        <f t="shared" si="14"/>
        <v>0</v>
      </c>
    </row>
    <row r="175" spans="1:12" ht="15" customHeight="1" x14ac:dyDescent="0.3">
      <c r="A175" s="23" t="s">
        <v>12611</v>
      </c>
      <c r="B175" s="23" t="s">
        <v>75</v>
      </c>
      <c r="C175" s="39">
        <v>1799</v>
      </c>
      <c r="D175" s="24">
        <v>0</v>
      </c>
      <c r="E175" s="24">
        <v>0</v>
      </c>
      <c r="F175" s="23">
        <f>COUNTIFS(mdr_rate_cleaned!$A$2:$A$10,B175,mdr_rate_cleaned!$B$2:$B$10,"&lt;"&amp;C175,mdr_rate_cleaned!$F$2:$F$10,"&gt;="&amp;C175)</f>
        <v>1</v>
      </c>
      <c r="G175" s="40">
        <f>SUMIFS(mdr_rate_cleaned!$G$2:$G$10,mdr_rate_cleaned!$A$2:$A$10,B175,mdr_rate_cleaned!$B$2:$B$10,"&lt;"&amp;C175,mdr_rate_cleaned!$F$2:$F$10,"&gt;="&amp;C175)</f>
        <v>0</v>
      </c>
      <c r="H175" s="24">
        <f t="shared" si="10"/>
        <v>0</v>
      </c>
      <c r="I175" s="23" t="str">
        <f t="shared" si="11"/>
        <v>Match</v>
      </c>
      <c r="J175" s="23" t="str">
        <f t="shared" si="12"/>
        <v>Match</v>
      </c>
      <c r="K175" s="24">
        <f t="shared" si="13"/>
        <v>0</v>
      </c>
      <c r="L175" s="24">
        <f t="shared" si="14"/>
        <v>0</v>
      </c>
    </row>
    <row r="176" spans="1:12" ht="15" customHeight="1" x14ac:dyDescent="0.3">
      <c r="A176" s="23" t="s">
        <v>12612</v>
      </c>
      <c r="B176" s="23" t="s">
        <v>81</v>
      </c>
      <c r="C176" s="39">
        <v>7999</v>
      </c>
      <c r="D176" s="24">
        <v>95.99</v>
      </c>
      <c r="E176" s="24">
        <v>17.28</v>
      </c>
      <c r="F176" s="23">
        <f>COUNTIFS(mdr_rate_cleaned!$A$2:$A$10,B176,mdr_rate_cleaned!$B$2:$B$10,"&lt;"&amp;C176,mdr_rate_cleaned!$F$2:$F$10,"&gt;="&amp;C176)</f>
        <v>1</v>
      </c>
      <c r="G176" s="40">
        <f>SUMIFS(mdr_rate_cleaned!$G$2:$G$10,mdr_rate_cleaned!$A$2:$A$10,B176,mdr_rate_cleaned!$B$2:$B$10,"&lt;"&amp;C176,mdr_rate_cleaned!$F$2:$F$10,"&gt;="&amp;C176)</f>
        <v>1.2E-2</v>
      </c>
      <c r="H176" s="24">
        <f t="shared" si="10"/>
        <v>95.99</v>
      </c>
      <c r="I176" s="23" t="str">
        <f t="shared" si="11"/>
        <v>Match</v>
      </c>
      <c r="J176" s="23" t="str">
        <f t="shared" si="12"/>
        <v>Match</v>
      </c>
      <c r="K176" s="24">
        <f t="shared" si="13"/>
        <v>17.28</v>
      </c>
      <c r="L176" s="24">
        <f t="shared" si="14"/>
        <v>0</v>
      </c>
    </row>
    <row r="177" spans="1:12" ht="15" customHeight="1" x14ac:dyDescent="0.3">
      <c r="A177" s="23" t="s">
        <v>12613</v>
      </c>
      <c r="B177" s="23" t="s">
        <v>75</v>
      </c>
      <c r="C177" s="39">
        <v>7999</v>
      </c>
      <c r="D177" s="24">
        <v>24</v>
      </c>
      <c r="E177" s="24">
        <v>4.32</v>
      </c>
      <c r="F177" s="23">
        <f>COUNTIFS(mdr_rate_cleaned!$A$2:$A$10,B177,mdr_rate_cleaned!$B$2:$B$10,"&lt;"&amp;C177,mdr_rate_cleaned!$F$2:$F$10,"&gt;="&amp;C177)</f>
        <v>1</v>
      </c>
      <c r="G177" s="40">
        <f>SUMIFS(mdr_rate_cleaned!$G$2:$G$10,mdr_rate_cleaned!$A$2:$A$10,B177,mdr_rate_cleaned!$B$2:$B$10,"&lt;"&amp;C177,mdr_rate_cleaned!$F$2:$F$10,"&gt;="&amp;C177)</f>
        <v>3.0000000000000001E-3</v>
      </c>
      <c r="H177" s="24">
        <f t="shared" si="10"/>
        <v>24</v>
      </c>
      <c r="I177" s="23" t="str">
        <f t="shared" si="11"/>
        <v>Match</v>
      </c>
      <c r="J177" s="23" t="str">
        <f t="shared" si="12"/>
        <v>Match</v>
      </c>
      <c r="K177" s="24">
        <f t="shared" si="13"/>
        <v>4.32</v>
      </c>
      <c r="L177" s="24">
        <f t="shared" si="14"/>
        <v>0</v>
      </c>
    </row>
    <row r="178" spans="1:12" ht="15" customHeight="1" x14ac:dyDescent="0.3">
      <c r="A178" s="23" t="s">
        <v>12614</v>
      </c>
      <c r="B178" s="23" t="s">
        <v>75</v>
      </c>
      <c r="C178" s="39">
        <v>1098</v>
      </c>
      <c r="D178" s="24">
        <v>0</v>
      </c>
      <c r="E178" s="24">
        <v>0</v>
      </c>
      <c r="F178" s="23">
        <f>COUNTIFS(mdr_rate_cleaned!$A$2:$A$10,B178,mdr_rate_cleaned!$B$2:$B$10,"&lt;"&amp;C178,mdr_rate_cleaned!$F$2:$F$10,"&gt;="&amp;C178)</f>
        <v>1</v>
      </c>
      <c r="G178" s="40">
        <f>SUMIFS(mdr_rate_cleaned!$G$2:$G$10,mdr_rate_cleaned!$A$2:$A$10,B178,mdr_rate_cleaned!$B$2:$B$10,"&lt;"&amp;C178,mdr_rate_cleaned!$F$2:$F$10,"&gt;="&amp;C178)</f>
        <v>0</v>
      </c>
      <c r="H178" s="24">
        <f t="shared" si="10"/>
        <v>0</v>
      </c>
      <c r="I178" s="23" t="str">
        <f t="shared" si="11"/>
        <v>Match</v>
      </c>
      <c r="J178" s="23" t="str">
        <f t="shared" si="12"/>
        <v>Match</v>
      </c>
      <c r="K178" s="24">
        <f t="shared" si="13"/>
        <v>0</v>
      </c>
      <c r="L178" s="24">
        <f t="shared" si="14"/>
        <v>0</v>
      </c>
    </row>
    <row r="179" spans="1:12" ht="15" customHeight="1" x14ac:dyDescent="0.3">
      <c r="A179" s="23" t="s">
        <v>12615</v>
      </c>
      <c r="B179" s="23" t="s">
        <v>75</v>
      </c>
      <c r="C179" s="39">
        <v>599</v>
      </c>
      <c r="D179" s="24">
        <v>0</v>
      </c>
      <c r="E179" s="24">
        <v>0</v>
      </c>
      <c r="F179" s="23">
        <f>COUNTIFS(mdr_rate_cleaned!$A$2:$A$10,B179,mdr_rate_cleaned!$B$2:$B$10,"&lt;"&amp;C179,mdr_rate_cleaned!$F$2:$F$10,"&gt;="&amp;C179)</f>
        <v>1</v>
      </c>
      <c r="G179" s="40">
        <f>SUMIFS(mdr_rate_cleaned!$G$2:$G$10,mdr_rate_cleaned!$A$2:$A$10,B179,mdr_rate_cleaned!$B$2:$B$10,"&lt;"&amp;C179,mdr_rate_cleaned!$F$2:$F$10,"&gt;="&amp;C179)</f>
        <v>0</v>
      </c>
      <c r="H179" s="24">
        <f t="shared" si="10"/>
        <v>0</v>
      </c>
      <c r="I179" s="23" t="str">
        <f t="shared" si="11"/>
        <v>Match</v>
      </c>
      <c r="J179" s="23" t="str">
        <f t="shared" si="12"/>
        <v>Match</v>
      </c>
      <c r="K179" s="24">
        <f t="shared" si="13"/>
        <v>0</v>
      </c>
      <c r="L179" s="24">
        <f t="shared" si="14"/>
        <v>0</v>
      </c>
    </row>
    <row r="180" spans="1:12" ht="15" customHeight="1" x14ac:dyDescent="0.3">
      <c r="A180" s="23" t="s">
        <v>12616</v>
      </c>
      <c r="B180" s="23" t="s">
        <v>75</v>
      </c>
      <c r="C180" s="39">
        <v>1598</v>
      </c>
      <c r="D180" s="24">
        <v>0</v>
      </c>
      <c r="E180" s="24">
        <v>0</v>
      </c>
      <c r="F180" s="23">
        <f>COUNTIFS(mdr_rate_cleaned!$A$2:$A$10,B180,mdr_rate_cleaned!$B$2:$B$10,"&lt;"&amp;C180,mdr_rate_cleaned!$F$2:$F$10,"&gt;="&amp;C180)</f>
        <v>1</v>
      </c>
      <c r="G180" s="40">
        <f>SUMIFS(mdr_rate_cleaned!$G$2:$G$10,mdr_rate_cleaned!$A$2:$A$10,B180,mdr_rate_cleaned!$B$2:$B$10,"&lt;"&amp;C180,mdr_rate_cleaned!$F$2:$F$10,"&gt;="&amp;C180)</f>
        <v>0</v>
      </c>
      <c r="H180" s="24">
        <f t="shared" si="10"/>
        <v>0</v>
      </c>
      <c r="I180" s="23" t="str">
        <f t="shared" si="11"/>
        <v>Match</v>
      </c>
      <c r="J180" s="23" t="str">
        <f t="shared" si="12"/>
        <v>Match</v>
      </c>
      <c r="K180" s="24">
        <f t="shared" si="13"/>
        <v>0</v>
      </c>
      <c r="L180" s="24">
        <f t="shared" si="14"/>
        <v>0</v>
      </c>
    </row>
    <row r="181" spans="1:12" ht="15" customHeight="1" x14ac:dyDescent="0.3">
      <c r="A181" s="23" t="s">
        <v>12617</v>
      </c>
      <c r="B181" s="23" t="s">
        <v>77</v>
      </c>
      <c r="C181" s="39">
        <v>799</v>
      </c>
      <c r="D181" s="24">
        <v>15.18</v>
      </c>
      <c r="E181" s="24">
        <v>2.73</v>
      </c>
      <c r="F181" s="23">
        <f>COUNTIFS(mdr_rate_cleaned!$A$2:$A$10,B181,mdr_rate_cleaned!$B$2:$B$10,"&lt;"&amp;C181,mdr_rate_cleaned!$F$2:$F$10,"&gt;="&amp;C181)</f>
        <v>1</v>
      </c>
      <c r="G181" s="40">
        <f>SUMIFS(mdr_rate_cleaned!$G$2:$G$10,mdr_rate_cleaned!$A$2:$A$10,B181,mdr_rate_cleaned!$B$2:$B$10,"&lt;"&amp;C181,mdr_rate_cleaned!$F$2:$F$10,"&gt;="&amp;C181)</f>
        <v>1.9E-2</v>
      </c>
      <c r="H181" s="24">
        <f t="shared" si="10"/>
        <v>15.18</v>
      </c>
      <c r="I181" s="23" t="str">
        <f t="shared" si="11"/>
        <v>Match</v>
      </c>
      <c r="J181" s="23" t="str">
        <f t="shared" si="12"/>
        <v>Match</v>
      </c>
      <c r="K181" s="24">
        <f t="shared" si="13"/>
        <v>2.73</v>
      </c>
      <c r="L181" s="24">
        <f t="shared" si="14"/>
        <v>0</v>
      </c>
    </row>
    <row r="182" spans="1:12" ht="15" customHeight="1" x14ac:dyDescent="0.3">
      <c r="A182" s="23" t="s">
        <v>12618</v>
      </c>
      <c r="B182" s="23" t="s">
        <v>79</v>
      </c>
      <c r="C182" s="39">
        <v>999</v>
      </c>
      <c r="D182" s="24">
        <v>17.98</v>
      </c>
      <c r="E182" s="24">
        <v>3.24</v>
      </c>
      <c r="F182" s="23">
        <f>COUNTIFS(mdr_rate_cleaned!$A$2:$A$10,B182,mdr_rate_cleaned!$B$2:$B$10,"&lt;"&amp;C182,mdr_rate_cleaned!$F$2:$F$10,"&gt;="&amp;C182)</f>
        <v>1</v>
      </c>
      <c r="G182" s="40">
        <f>SUMIFS(mdr_rate_cleaned!$G$2:$G$10,mdr_rate_cleaned!$A$2:$A$10,B182,mdr_rate_cleaned!$B$2:$B$10,"&lt;"&amp;C182,mdr_rate_cleaned!$F$2:$F$10,"&gt;="&amp;C182)</f>
        <v>1.8000000000000002E-2</v>
      </c>
      <c r="H182" s="24">
        <f t="shared" si="10"/>
        <v>17.98</v>
      </c>
      <c r="I182" s="23" t="str">
        <f t="shared" si="11"/>
        <v>Match</v>
      </c>
      <c r="J182" s="23" t="str">
        <f t="shared" si="12"/>
        <v>Match</v>
      </c>
      <c r="K182" s="24">
        <f t="shared" si="13"/>
        <v>3.24</v>
      </c>
      <c r="L182" s="24">
        <f t="shared" si="14"/>
        <v>0</v>
      </c>
    </row>
    <row r="183" spans="1:12" ht="15" customHeight="1" x14ac:dyDescent="0.3">
      <c r="A183" s="23" t="s">
        <v>12619</v>
      </c>
      <c r="B183" s="23" t="s">
        <v>75</v>
      </c>
      <c r="C183" s="39">
        <v>349</v>
      </c>
      <c r="D183" s="24">
        <v>0</v>
      </c>
      <c r="E183" s="24">
        <v>0</v>
      </c>
      <c r="F183" s="23">
        <f>COUNTIFS(mdr_rate_cleaned!$A$2:$A$10,B183,mdr_rate_cleaned!$B$2:$B$10,"&lt;"&amp;C183,mdr_rate_cleaned!$F$2:$F$10,"&gt;="&amp;C183)</f>
        <v>1</v>
      </c>
      <c r="G183" s="40">
        <f>SUMIFS(mdr_rate_cleaned!$G$2:$G$10,mdr_rate_cleaned!$A$2:$A$10,B183,mdr_rate_cleaned!$B$2:$B$10,"&lt;"&amp;C183,mdr_rate_cleaned!$F$2:$F$10,"&gt;="&amp;C183)</f>
        <v>0</v>
      </c>
      <c r="H183" s="24">
        <f t="shared" si="10"/>
        <v>0</v>
      </c>
      <c r="I183" s="23" t="str">
        <f t="shared" si="11"/>
        <v>Match</v>
      </c>
      <c r="J183" s="23" t="str">
        <f t="shared" si="12"/>
        <v>Match</v>
      </c>
      <c r="K183" s="24">
        <f t="shared" si="13"/>
        <v>0</v>
      </c>
      <c r="L183" s="24">
        <f t="shared" si="14"/>
        <v>0</v>
      </c>
    </row>
    <row r="184" spans="1:12" ht="15" customHeight="1" x14ac:dyDescent="0.3">
      <c r="A184" s="23" t="s">
        <v>12620</v>
      </c>
      <c r="B184" s="23" t="s">
        <v>75</v>
      </c>
      <c r="C184" s="39">
        <v>1499</v>
      </c>
      <c r="D184" s="24">
        <v>0</v>
      </c>
      <c r="E184" s="24">
        <v>0</v>
      </c>
      <c r="F184" s="23">
        <f>COUNTIFS(mdr_rate_cleaned!$A$2:$A$10,B184,mdr_rate_cleaned!$B$2:$B$10,"&lt;"&amp;C184,mdr_rate_cleaned!$F$2:$F$10,"&gt;="&amp;C184)</f>
        <v>1</v>
      </c>
      <c r="G184" s="40">
        <f>SUMIFS(mdr_rate_cleaned!$G$2:$G$10,mdr_rate_cleaned!$A$2:$A$10,B184,mdr_rate_cleaned!$B$2:$B$10,"&lt;"&amp;C184,mdr_rate_cleaned!$F$2:$F$10,"&gt;="&amp;C184)</f>
        <v>0</v>
      </c>
      <c r="H184" s="24">
        <f t="shared" si="10"/>
        <v>0</v>
      </c>
      <c r="I184" s="23" t="str">
        <f t="shared" si="11"/>
        <v>Match</v>
      </c>
      <c r="J184" s="23" t="str">
        <f t="shared" si="12"/>
        <v>Match</v>
      </c>
      <c r="K184" s="24">
        <f t="shared" si="13"/>
        <v>0</v>
      </c>
      <c r="L184" s="24">
        <f t="shared" si="14"/>
        <v>0</v>
      </c>
    </row>
    <row r="185" spans="1:12" ht="15" customHeight="1" x14ac:dyDescent="0.3">
      <c r="A185" s="23" t="s">
        <v>12621</v>
      </c>
      <c r="B185" s="23" t="s">
        <v>77</v>
      </c>
      <c r="C185" s="39">
        <v>2398</v>
      </c>
      <c r="D185" s="24">
        <v>57.55</v>
      </c>
      <c r="E185" s="24">
        <v>10.36</v>
      </c>
      <c r="F185" s="23">
        <f>COUNTIFS(mdr_rate_cleaned!$A$2:$A$10,B185,mdr_rate_cleaned!$B$2:$B$10,"&lt;"&amp;C185,mdr_rate_cleaned!$F$2:$F$10,"&gt;="&amp;C185)</f>
        <v>1</v>
      </c>
      <c r="G185" s="40">
        <f>SUMIFS(mdr_rate_cleaned!$G$2:$G$10,mdr_rate_cleaned!$A$2:$A$10,B185,mdr_rate_cleaned!$B$2:$B$10,"&lt;"&amp;C185,mdr_rate_cleaned!$F$2:$F$10,"&gt;="&amp;C185)</f>
        <v>1.7000000000000001E-2</v>
      </c>
      <c r="H185" s="24">
        <f t="shared" si="10"/>
        <v>40.770000000000003</v>
      </c>
      <c r="I185" s="23" t="str">
        <f t="shared" si="11"/>
        <v>Differs</v>
      </c>
      <c r="J185" s="23" t="str">
        <f t="shared" si="12"/>
        <v>Match</v>
      </c>
      <c r="K185" s="24">
        <f t="shared" si="13"/>
        <v>7.34</v>
      </c>
      <c r="L185" s="24">
        <f t="shared" si="14"/>
        <v>19.8</v>
      </c>
    </row>
    <row r="186" spans="1:12" ht="15" customHeight="1" x14ac:dyDescent="0.3">
      <c r="A186" s="23" t="s">
        <v>12622</v>
      </c>
      <c r="B186" s="23" t="s">
        <v>77</v>
      </c>
      <c r="C186" s="39">
        <v>1998</v>
      </c>
      <c r="D186" s="24">
        <v>37.96</v>
      </c>
      <c r="E186" s="24">
        <v>6.83</v>
      </c>
      <c r="F186" s="23">
        <f>COUNTIFS(mdr_rate_cleaned!$A$2:$A$10,B186,mdr_rate_cleaned!$B$2:$B$10,"&lt;"&amp;C186,mdr_rate_cleaned!$F$2:$F$10,"&gt;="&amp;C186)</f>
        <v>1</v>
      </c>
      <c r="G186" s="40">
        <f>SUMIFS(mdr_rate_cleaned!$G$2:$G$10,mdr_rate_cleaned!$A$2:$A$10,B186,mdr_rate_cleaned!$B$2:$B$10,"&lt;"&amp;C186,mdr_rate_cleaned!$F$2:$F$10,"&gt;="&amp;C186)</f>
        <v>1.9E-2</v>
      </c>
      <c r="H186" s="24">
        <f t="shared" si="10"/>
        <v>37.96</v>
      </c>
      <c r="I186" s="23" t="str">
        <f t="shared" si="11"/>
        <v>Match</v>
      </c>
      <c r="J186" s="23" t="str">
        <f t="shared" si="12"/>
        <v>Match</v>
      </c>
      <c r="K186" s="24">
        <f t="shared" si="13"/>
        <v>6.83</v>
      </c>
      <c r="L186" s="24">
        <f t="shared" si="14"/>
        <v>0</v>
      </c>
    </row>
    <row r="187" spans="1:12" ht="15" customHeight="1" x14ac:dyDescent="0.3">
      <c r="A187" s="23" t="s">
        <v>12623</v>
      </c>
      <c r="B187" s="23" t="s">
        <v>79</v>
      </c>
      <c r="C187" s="39">
        <v>4999</v>
      </c>
      <c r="D187" s="24">
        <v>79.98</v>
      </c>
      <c r="E187" s="24">
        <v>14.4</v>
      </c>
      <c r="F187" s="23">
        <f>COUNTIFS(mdr_rate_cleaned!$A$2:$A$10,B187,mdr_rate_cleaned!$B$2:$B$10,"&lt;"&amp;C187,mdr_rate_cleaned!$F$2:$F$10,"&gt;="&amp;C187)</f>
        <v>1</v>
      </c>
      <c r="G187" s="40">
        <f>SUMIFS(mdr_rate_cleaned!$G$2:$G$10,mdr_rate_cleaned!$A$2:$A$10,B187,mdr_rate_cleaned!$B$2:$B$10,"&lt;"&amp;C187,mdr_rate_cleaned!$F$2:$F$10,"&gt;="&amp;C187)</f>
        <v>1.6E-2</v>
      </c>
      <c r="H187" s="24">
        <f t="shared" si="10"/>
        <v>79.98</v>
      </c>
      <c r="I187" s="23" t="str">
        <f t="shared" si="11"/>
        <v>Match</v>
      </c>
      <c r="J187" s="23" t="str">
        <f t="shared" si="12"/>
        <v>Match</v>
      </c>
      <c r="K187" s="24">
        <f t="shared" si="13"/>
        <v>14.4</v>
      </c>
      <c r="L187" s="24">
        <f t="shared" si="14"/>
        <v>0</v>
      </c>
    </row>
    <row r="188" spans="1:12" ht="15" customHeight="1" x14ac:dyDescent="0.3">
      <c r="A188" s="23" t="s">
        <v>12624</v>
      </c>
      <c r="B188" s="23" t="s">
        <v>75</v>
      </c>
      <c r="C188" s="39">
        <v>7797</v>
      </c>
      <c r="D188" s="24">
        <v>23.39</v>
      </c>
      <c r="E188" s="24">
        <v>4.21</v>
      </c>
      <c r="F188" s="23">
        <f>COUNTIFS(mdr_rate_cleaned!$A$2:$A$10,B188,mdr_rate_cleaned!$B$2:$B$10,"&lt;"&amp;C188,mdr_rate_cleaned!$F$2:$F$10,"&gt;="&amp;C188)</f>
        <v>1</v>
      </c>
      <c r="G188" s="40">
        <f>SUMIFS(mdr_rate_cleaned!$G$2:$G$10,mdr_rate_cleaned!$A$2:$A$10,B188,mdr_rate_cleaned!$B$2:$B$10,"&lt;"&amp;C188,mdr_rate_cleaned!$F$2:$F$10,"&gt;="&amp;C188)</f>
        <v>3.0000000000000001E-3</v>
      </c>
      <c r="H188" s="24">
        <f t="shared" si="10"/>
        <v>23.39</v>
      </c>
      <c r="I188" s="23" t="str">
        <f t="shared" si="11"/>
        <v>Match</v>
      </c>
      <c r="J188" s="23" t="str">
        <f t="shared" si="12"/>
        <v>Match</v>
      </c>
      <c r="K188" s="24">
        <f t="shared" si="13"/>
        <v>4.21</v>
      </c>
      <c r="L188" s="24">
        <f t="shared" si="14"/>
        <v>0</v>
      </c>
    </row>
    <row r="189" spans="1:12" ht="15" customHeight="1" x14ac:dyDescent="0.3">
      <c r="A189" s="23" t="s">
        <v>12625</v>
      </c>
      <c r="B189" s="23" t="s">
        <v>75</v>
      </c>
      <c r="C189" s="39">
        <v>1798</v>
      </c>
      <c r="D189" s="24">
        <v>0</v>
      </c>
      <c r="E189" s="24">
        <v>0</v>
      </c>
      <c r="F189" s="23">
        <f>COUNTIFS(mdr_rate_cleaned!$A$2:$A$10,B189,mdr_rate_cleaned!$B$2:$B$10,"&lt;"&amp;C189,mdr_rate_cleaned!$F$2:$F$10,"&gt;="&amp;C189)</f>
        <v>1</v>
      </c>
      <c r="G189" s="40">
        <f>SUMIFS(mdr_rate_cleaned!$G$2:$G$10,mdr_rate_cleaned!$A$2:$A$10,B189,mdr_rate_cleaned!$B$2:$B$10,"&lt;"&amp;C189,mdr_rate_cleaned!$F$2:$F$10,"&gt;="&amp;C189)</f>
        <v>0</v>
      </c>
      <c r="H189" s="24">
        <f t="shared" si="10"/>
        <v>0</v>
      </c>
      <c r="I189" s="23" t="str">
        <f t="shared" si="11"/>
        <v>Match</v>
      </c>
      <c r="J189" s="23" t="str">
        <f t="shared" si="12"/>
        <v>Match</v>
      </c>
      <c r="K189" s="24">
        <f t="shared" si="13"/>
        <v>0</v>
      </c>
      <c r="L189" s="24">
        <f t="shared" si="14"/>
        <v>0</v>
      </c>
    </row>
    <row r="190" spans="1:12" ht="15" customHeight="1" x14ac:dyDescent="0.3">
      <c r="A190" s="23" t="s">
        <v>12626</v>
      </c>
      <c r="B190" s="23" t="s">
        <v>79</v>
      </c>
      <c r="C190" s="39">
        <v>499</v>
      </c>
      <c r="D190" s="24">
        <v>8.98</v>
      </c>
      <c r="E190" s="24">
        <v>1.62</v>
      </c>
      <c r="F190" s="23">
        <f>COUNTIFS(mdr_rate_cleaned!$A$2:$A$10,B190,mdr_rate_cleaned!$B$2:$B$10,"&lt;"&amp;C190,mdr_rate_cleaned!$F$2:$F$10,"&gt;="&amp;C190)</f>
        <v>1</v>
      </c>
      <c r="G190" s="40">
        <f>SUMIFS(mdr_rate_cleaned!$G$2:$G$10,mdr_rate_cleaned!$A$2:$A$10,B190,mdr_rate_cleaned!$B$2:$B$10,"&lt;"&amp;C190,mdr_rate_cleaned!$F$2:$F$10,"&gt;="&amp;C190)</f>
        <v>1.8000000000000002E-2</v>
      </c>
      <c r="H190" s="24">
        <f t="shared" si="10"/>
        <v>8.98</v>
      </c>
      <c r="I190" s="23" t="str">
        <f t="shared" si="11"/>
        <v>Match</v>
      </c>
      <c r="J190" s="23" t="str">
        <f t="shared" si="12"/>
        <v>Match</v>
      </c>
      <c r="K190" s="24">
        <f t="shared" si="13"/>
        <v>1.62</v>
      </c>
      <c r="L190" s="24">
        <f t="shared" si="14"/>
        <v>0</v>
      </c>
    </row>
    <row r="191" spans="1:12" ht="15" customHeight="1" x14ac:dyDescent="0.3">
      <c r="A191" s="23" t="s">
        <v>12627</v>
      </c>
      <c r="B191" s="23" t="s">
        <v>79</v>
      </c>
      <c r="C191" s="39">
        <v>1148</v>
      </c>
      <c r="D191" s="24">
        <v>20.66</v>
      </c>
      <c r="E191" s="24">
        <v>3.72</v>
      </c>
      <c r="F191" s="23">
        <f>COUNTIFS(mdr_rate_cleaned!$A$2:$A$10,B191,mdr_rate_cleaned!$B$2:$B$10,"&lt;"&amp;C191,mdr_rate_cleaned!$F$2:$F$10,"&gt;="&amp;C191)</f>
        <v>1</v>
      </c>
      <c r="G191" s="40">
        <f>SUMIFS(mdr_rate_cleaned!$G$2:$G$10,mdr_rate_cleaned!$A$2:$A$10,B191,mdr_rate_cleaned!$B$2:$B$10,"&lt;"&amp;C191,mdr_rate_cleaned!$F$2:$F$10,"&gt;="&amp;C191)</f>
        <v>1.8000000000000002E-2</v>
      </c>
      <c r="H191" s="24">
        <f t="shared" si="10"/>
        <v>20.66</v>
      </c>
      <c r="I191" s="23" t="str">
        <f t="shared" si="11"/>
        <v>Match</v>
      </c>
      <c r="J191" s="23" t="str">
        <f t="shared" si="12"/>
        <v>Match</v>
      </c>
      <c r="K191" s="24">
        <f t="shared" si="13"/>
        <v>3.72</v>
      </c>
      <c r="L191" s="24">
        <f t="shared" si="14"/>
        <v>0</v>
      </c>
    </row>
    <row r="192" spans="1:12" ht="15" customHeight="1" x14ac:dyDescent="0.3">
      <c r="A192" s="23" t="s">
        <v>12628</v>
      </c>
      <c r="B192" s="23" t="s">
        <v>79</v>
      </c>
      <c r="C192" s="39">
        <v>5297</v>
      </c>
      <c r="D192" s="24">
        <v>84.75</v>
      </c>
      <c r="E192" s="24">
        <v>15.26</v>
      </c>
      <c r="F192" s="23">
        <f>COUNTIFS(mdr_rate_cleaned!$A$2:$A$10,B192,mdr_rate_cleaned!$B$2:$B$10,"&lt;"&amp;C192,mdr_rate_cleaned!$F$2:$F$10,"&gt;="&amp;C192)</f>
        <v>1</v>
      </c>
      <c r="G192" s="40">
        <f>SUMIFS(mdr_rate_cleaned!$G$2:$G$10,mdr_rate_cleaned!$A$2:$A$10,B192,mdr_rate_cleaned!$B$2:$B$10,"&lt;"&amp;C192,mdr_rate_cleaned!$F$2:$F$10,"&gt;="&amp;C192)</f>
        <v>1.6E-2</v>
      </c>
      <c r="H192" s="24">
        <f t="shared" si="10"/>
        <v>84.75</v>
      </c>
      <c r="I192" s="23" t="str">
        <f t="shared" si="11"/>
        <v>Match</v>
      </c>
      <c r="J192" s="23" t="str">
        <f t="shared" si="12"/>
        <v>Match</v>
      </c>
      <c r="K192" s="24">
        <f t="shared" si="13"/>
        <v>15.26</v>
      </c>
      <c r="L192" s="24">
        <f t="shared" si="14"/>
        <v>0</v>
      </c>
    </row>
    <row r="193" spans="1:12" ht="15" customHeight="1" x14ac:dyDescent="0.3">
      <c r="A193" s="23" t="s">
        <v>12630</v>
      </c>
      <c r="B193" s="23" t="s">
        <v>75</v>
      </c>
      <c r="C193" s="39">
        <v>5998</v>
      </c>
      <c r="D193" s="24">
        <v>17.989999999999998</v>
      </c>
      <c r="E193" s="24">
        <v>3.24</v>
      </c>
      <c r="F193" s="23">
        <f>COUNTIFS(mdr_rate_cleaned!$A$2:$A$10,B193,mdr_rate_cleaned!$B$2:$B$10,"&lt;"&amp;C193,mdr_rate_cleaned!$F$2:$F$10,"&gt;="&amp;C193)</f>
        <v>1</v>
      </c>
      <c r="G193" s="40">
        <f>SUMIFS(mdr_rate_cleaned!$G$2:$G$10,mdr_rate_cleaned!$A$2:$A$10,B193,mdr_rate_cleaned!$B$2:$B$10,"&lt;"&amp;C193,mdr_rate_cleaned!$F$2:$F$10,"&gt;="&amp;C193)</f>
        <v>3.0000000000000001E-3</v>
      </c>
      <c r="H193" s="24">
        <f t="shared" si="10"/>
        <v>17.989999999999998</v>
      </c>
      <c r="I193" s="23" t="str">
        <f t="shared" si="11"/>
        <v>Match</v>
      </c>
      <c r="J193" s="23" t="str">
        <f t="shared" si="12"/>
        <v>Match</v>
      </c>
      <c r="K193" s="24">
        <f t="shared" si="13"/>
        <v>3.24</v>
      </c>
      <c r="L193" s="24">
        <f t="shared" si="14"/>
        <v>0</v>
      </c>
    </row>
    <row r="194" spans="1:12" ht="15" customHeight="1" x14ac:dyDescent="0.3">
      <c r="A194" s="23" t="s">
        <v>12632</v>
      </c>
      <c r="B194" s="23" t="s">
        <v>75</v>
      </c>
      <c r="C194" s="39">
        <v>1798</v>
      </c>
      <c r="D194" s="24">
        <v>0</v>
      </c>
      <c r="E194" s="24">
        <v>0</v>
      </c>
      <c r="F194" s="23">
        <f>COUNTIFS(mdr_rate_cleaned!$A$2:$A$10,B194,mdr_rate_cleaned!$B$2:$B$10,"&lt;"&amp;C194,mdr_rate_cleaned!$F$2:$F$10,"&gt;="&amp;C194)</f>
        <v>1</v>
      </c>
      <c r="G194" s="40">
        <f>SUMIFS(mdr_rate_cleaned!$G$2:$G$10,mdr_rate_cleaned!$A$2:$A$10,B194,mdr_rate_cleaned!$B$2:$B$10,"&lt;"&amp;C194,mdr_rate_cleaned!$F$2:$F$10,"&gt;="&amp;C194)</f>
        <v>0</v>
      </c>
      <c r="H194" s="24">
        <f t="shared" ref="H194:H257" si="15">ROUND(C194*G194,2)</f>
        <v>0</v>
      </c>
      <c r="I194" s="23" t="str">
        <f t="shared" ref="I194:I257" si="16">IF(ROUND(D194-H194,2)=0,"Match","Differs")</f>
        <v>Match</v>
      </c>
      <c r="J194" s="23" t="str">
        <f t="shared" ref="J194:J257" si="17">IF(ROUND(E194-ROUND(D194*0.18,2),2)=0,"Match","Differs")</f>
        <v>Match</v>
      </c>
      <c r="K194" s="24">
        <f t="shared" ref="K194:K257" si="18">ROUND(H194*0.18,2)</f>
        <v>0</v>
      </c>
      <c r="L194" s="24">
        <f t="shared" ref="L194:L257" si="19">ROUND(D194+E194-H194-K194,2)</f>
        <v>0</v>
      </c>
    </row>
    <row r="195" spans="1:12" ht="15" customHeight="1" x14ac:dyDescent="0.3">
      <c r="A195" s="23" t="s">
        <v>12633</v>
      </c>
      <c r="B195" s="23" t="s">
        <v>77</v>
      </c>
      <c r="C195" s="39">
        <v>3998</v>
      </c>
      <c r="D195" s="24">
        <v>67.97</v>
      </c>
      <c r="E195" s="24">
        <v>12.23</v>
      </c>
      <c r="F195" s="23">
        <f>COUNTIFS(mdr_rate_cleaned!$A$2:$A$10,B195,mdr_rate_cleaned!$B$2:$B$10,"&lt;"&amp;C195,mdr_rate_cleaned!$F$2:$F$10,"&gt;="&amp;C195)</f>
        <v>1</v>
      </c>
      <c r="G195" s="40">
        <f>SUMIFS(mdr_rate_cleaned!$G$2:$G$10,mdr_rate_cleaned!$A$2:$A$10,B195,mdr_rate_cleaned!$B$2:$B$10,"&lt;"&amp;C195,mdr_rate_cleaned!$F$2:$F$10,"&gt;="&amp;C195)</f>
        <v>1.7000000000000001E-2</v>
      </c>
      <c r="H195" s="24">
        <f t="shared" si="15"/>
        <v>67.97</v>
      </c>
      <c r="I195" s="23" t="str">
        <f t="shared" si="16"/>
        <v>Match</v>
      </c>
      <c r="J195" s="23" t="str">
        <f t="shared" si="17"/>
        <v>Match</v>
      </c>
      <c r="K195" s="24">
        <f t="shared" si="18"/>
        <v>12.23</v>
      </c>
      <c r="L195" s="24">
        <f t="shared" si="19"/>
        <v>0</v>
      </c>
    </row>
    <row r="196" spans="1:12" ht="15" customHeight="1" x14ac:dyDescent="0.3">
      <c r="A196" s="23" t="s">
        <v>12634</v>
      </c>
      <c r="B196" s="23" t="s">
        <v>77</v>
      </c>
      <c r="C196" s="39">
        <v>3597</v>
      </c>
      <c r="D196" s="24">
        <v>61.15</v>
      </c>
      <c r="E196" s="24">
        <v>11.01</v>
      </c>
      <c r="F196" s="23">
        <f>COUNTIFS(mdr_rate_cleaned!$A$2:$A$10,B196,mdr_rate_cleaned!$B$2:$B$10,"&lt;"&amp;C196,mdr_rate_cleaned!$F$2:$F$10,"&gt;="&amp;C196)</f>
        <v>1</v>
      </c>
      <c r="G196" s="40">
        <f>SUMIFS(mdr_rate_cleaned!$G$2:$G$10,mdr_rate_cleaned!$A$2:$A$10,B196,mdr_rate_cleaned!$B$2:$B$10,"&lt;"&amp;C196,mdr_rate_cleaned!$F$2:$F$10,"&gt;="&amp;C196)</f>
        <v>1.7000000000000001E-2</v>
      </c>
      <c r="H196" s="24">
        <f t="shared" si="15"/>
        <v>61.15</v>
      </c>
      <c r="I196" s="23" t="str">
        <f t="shared" si="16"/>
        <v>Match</v>
      </c>
      <c r="J196" s="23" t="str">
        <f t="shared" si="17"/>
        <v>Match</v>
      </c>
      <c r="K196" s="24">
        <f t="shared" si="18"/>
        <v>11.01</v>
      </c>
      <c r="L196" s="24">
        <f t="shared" si="19"/>
        <v>0</v>
      </c>
    </row>
    <row r="197" spans="1:12" ht="15" customHeight="1" x14ac:dyDescent="0.3">
      <c r="A197" s="23" t="s">
        <v>12635</v>
      </c>
      <c r="B197" s="23" t="s">
        <v>79</v>
      </c>
      <c r="C197" s="39">
        <v>2798</v>
      </c>
      <c r="D197" s="24">
        <v>44.77</v>
      </c>
      <c r="E197" s="24">
        <v>8.06</v>
      </c>
      <c r="F197" s="23">
        <f>COUNTIFS(mdr_rate_cleaned!$A$2:$A$10,B197,mdr_rate_cleaned!$B$2:$B$10,"&lt;"&amp;C197,mdr_rate_cleaned!$F$2:$F$10,"&gt;="&amp;C197)</f>
        <v>1</v>
      </c>
      <c r="G197" s="40">
        <f>SUMIFS(mdr_rate_cleaned!$G$2:$G$10,mdr_rate_cleaned!$A$2:$A$10,B197,mdr_rate_cleaned!$B$2:$B$10,"&lt;"&amp;C197,mdr_rate_cleaned!$F$2:$F$10,"&gt;="&amp;C197)</f>
        <v>1.6E-2</v>
      </c>
      <c r="H197" s="24">
        <f t="shared" si="15"/>
        <v>44.77</v>
      </c>
      <c r="I197" s="23" t="str">
        <f t="shared" si="16"/>
        <v>Match</v>
      </c>
      <c r="J197" s="23" t="str">
        <f t="shared" si="17"/>
        <v>Match</v>
      </c>
      <c r="K197" s="24">
        <f t="shared" si="18"/>
        <v>8.06</v>
      </c>
      <c r="L197" s="24">
        <f t="shared" si="19"/>
        <v>0</v>
      </c>
    </row>
    <row r="198" spans="1:12" ht="15" customHeight="1" x14ac:dyDescent="0.3">
      <c r="A198" s="23" t="s">
        <v>12636</v>
      </c>
      <c r="B198" s="23" t="s">
        <v>79</v>
      </c>
      <c r="C198" s="39">
        <v>5598</v>
      </c>
      <c r="D198" s="24">
        <v>89.57</v>
      </c>
      <c r="E198" s="24">
        <v>16.12</v>
      </c>
      <c r="F198" s="23">
        <f>COUNTIFS(mdr_rate_cleaned!$A$2:$A$10,B198,mdr_rate_cleaned!$B$2:$B$10,"&lt;"&amp;C198,mdr_rate_cleaned!$F$2:$F$10,"&gt;="&amp;C198)</f>
        <v>1</v>
      </c>
      <c r="G198" s="40">
        <f>SUMIFS(mdr_rate_cleaned!$G$2:$G$10,mdr_rate_cleaned!$A$2:$A$10,B198,mdr_rate_cleaned!$B$2:$B$10,"&lt;"&amp;C198,mdr_rate_cleaned!$F$2:$F$10,"&gt;="&amp;C198)</f>
        <v>1.6E-2</v>
      </c>
      <c r="H198" s="24">
        <f t="shared" si="15"/>
        <v>89.57</v>
      </c>
      <c r="I198" s="23" t="str">
        <f t="shared" si="16"/>
        <v>Match</v>
      </c>
      <c r="J198" s="23" t="str">
        <f t="shared" si="17"/>
        <v>Match</v>
      </c>
      <c r="K198" s="24">
        <f t="shared" si="18"/>
        <v>16.12</v>
      </c>
      <c r="L198" s="24">
        <f t="shared" si="19"/>
        <v>0</v>
      </c>
    </row>
    <row r="199" spans="1:12" ht="15" customHeight="1" x14ac:dyDescent="0.3">
      <c r="A199" s="23" t="s">
        <v>12637</v>
      </c>
      <c r="B199" s="23" t="s">
        <v>77</v>
      </c>
      <c r="C199" s="39">
        <v>2798</v>
      </c>
      <c r="D199" s="24">
        <v>47.57</v>
      </c>
      <c r="E199" s="24">
        <v>8.56</v>
      </c>
      <c r="F199" s="23">
        <f>COUNTIFS(mdr_rate_cleaned!$A$2:$A$10,B199,mdr_rate_cleaned!$B$2:$B$10,"&lt;"&amp;C199,mdr_rate_cleaned!$F$2:$F$10,"&gt;="&amp;C199)</f>
        <v>1</v>
      </c>
      <c r="G199" s="40">
        <f>SUMIFS(mdr_rate_cleaned!$G$2:$G$10,mdr_rate_cleaned!$A$2:$A$10,B199,mdr_rate_cleaned!$B$2:$B$10,"&lt;"&amp;C199,mdr_rate_cleaned!$F$2:$F$10,"&gt;="&amp;C199)</f>
        <v>1.7000000000000001E-2</v>
      </c>
      <c r="H199" s="24">
        <f t="shared" si="15"/>
        <v>47.57</v>
      </c>
      <c r="I199" s="23" t="str">
        <f t="shared" si="16"/>
        <v>Match</v>
      </c>
      <c r="J199" s="23" t="str">
        <f t="shared" si="17"/>
        <v>Match</v>
      </c>
      <c r="K199" s="24">
        <f t="shared" si="18"/>
        <v>8.56</v>
      </c>
      <c r="L199" s="24">
        <f t="shared" si="19"/>
        <v>0</v>
      </c>
    </row>
    <row r="200" spans="1:12" ht="15" customHeight="1" x14ac:dyDescent="0.3">
      <c r="A200" s="23" t="s">
        <v>12638</v>
      </c>
      <c r="B200" s="23" t="s">
        <v>79</v>
      </c>
      <c r="C200" s="39">
        <v>2848</v>
      </c>
      <c r="D200" s="24">
        <v>45.57</v>
      </c>
      <c r="E200" s="24">
        <v>8.1999999999999993</v>
      </c>
      <c r="F200" s="23">
        <f>COUNTIFS(mdr_rate_cleaned!$A$2:$A$10,B200,mdr_rate_cleaned!$B$2:$B$10,"&lt;"&amp;C200,mdr_rate_cleaned!$F$2:$F$10,"&gt;="&amp;C200)</f>
        <v>1</v>
      </c>
      <c r="G200" s="40">
        <f>SUMIFS(mdr_rate_cleaned!$G$2:$G$10,mdr_rate_cleaned!$A$2:$A$10,B200,mdr_rate_cleaned!$B$2:$B$10,"&lt;"&amp;C200,mdr_rate_cleaned!$F$2:$F$10,"&gt;="&amp;C200)</f>
        <v>1.6E-2</v>
      </c>
      <c r="H200" s="24">
        <f t="shared" si="15"/>
        <v>45.57</v>
      </c>
      <c r="I200" s="23" t="str">
        <f t="shared" si="16"/>
        <v>Match</v>
      </c>
      <c r="J200" s="23" t="str">
        <f t="shared" si="17"/>
        <v>Match</v>
      </c>
      <c r="K200" s="24">
        <f t="shared" si="18"/>
        <v>8.1999999999999993</v>
      </c>
      <c r="L200" s="24">
        <f t="shared" si="19"/>
        <v>0</v>
      </c>
    </row>
    <row r="201" spans="1:12" ht="15" customHeight="1" x14ac:dyDescent="0.3">
      <c r="A201" s="23" t="s">
        <v>12639</v>
      </c>
      <c r="B201" s="23" t="s">
        <v>75</v>
      </c>
      <c r="C201" s="39">
        <v>1848</v>
      </c>
      <c r="D201" s="24">
        <v>0</v>
      </c>
      <c r="E201" s="24">
        <v>0</v>
      </c>
      <c r="F201" s="23">
        <f>COUNTIFS(mdr_rate_cleaned!$A$2:$A$10,B201,mdr_rate_cleaned!$B$2:$B$10,"&lt;"&amp;C201,mdr_rate_cleaned!$F$2:$F$10,"&gt;="&amp;C201)</f>
        <v>1</v>
      </c>
      <c r="G201" s="40">
        <f>SUMIFS(mdr_rate_cleaned!$G$2:$G$10,mdr_rate_cleaned!$A$2:$A$10,B201,mdr_rate_cleaned!$B$2:$B$10,"&lt;"&amp;C201,mdr_rate_cleaned!$F$2:$F$10,"&gt;="&amp;C201)</f>
        <v>0</v>
      </c>
      <c r="H201" s="24">
        <f t="shared" si="15"/>
        <v>0</v>
      </c>
      <c r="I201" s="23" t="str">
        <f t="shared" si="16"/>
        <v>Match</v>
      </c>
      <c r="J201" s="23" t="str">
        <f t="shared" si="17"/>
        <v>Match</v>
      </c>
      <c r="K201" s="24">
        <f t="shared" si="18"/>
        <v>0</v>
      </c>
      <c r="L201" s="24">
        <f t="shared" si="19"/>
        <v>0</v>
      </c>
    </row>
    <row r="202" spans="1:12" ht="15" customHeight="1" x14ac:dyDescent="0.3">
      <c r="A202" s="23" t="s">
        <v>12640</v>
      </c>
      <c r="B202" s="23" t="s">
        <v>79</v>
      </c>
      <c r="C202" s="39">
        <v>8298</v>
      </c>
      <c r="D202" s="24">
        <v>132.77000000000001</v>
      </c>
      <c r="E202" s="24">
        <v>23.9</v>
      </c>
      <c r="F202" s="23">
        <f>COUNTIFS(mdr_rate_cleaned!$A$2:$A$10,B202,mdr_rate_cleaned!$B$2:$B$10,"&lt;"&amp;C202,mdr_rate_cleaned!$F$2:$F$10,"&gt;="&amp;C202)</f>
        <v>1</v>
      </c>
      <c r="G202" s="40">
        <f>SUMIFS(mdr_rate_cleaned!$G$2:$G$10,mdr_rate_cleaned!$A$2:$A$10,B202,mdr_rate_cleaned!$B$2:$B$10,"&lt;"&amp;C202,mdr_rate_cleaned!$F$2:$F$10,"&gt;="&amp;C202)</f>
        <v>1.6E-2</v>
      </c>
      <c r="H202" s="24">
        <f t="shared" si="15"/>
        <v>132.77000000000001</v>
      </c>
      <c r="I202" s="23" t="str">
        <f t="shared" si="16"/>
        <v>Match</v>
      </c>
      <c r="J202" s="23" t="str">
        <f t="shared" si="17"/>
        <v>Match</v>
      </c>
      <c r="K202" s="24">
        <f t="shared" si="18"/>
        <v>23.9</v>
      </c>
      <c r="L202" s="24">
        <f t="shared" si="19"/>
        <v>0</v>
      </c>
    </row>
    <row r="203" spans="1:12" ht="15" customHeight="1" x14ac:dyDescent="0.3">
      <c r="A203" s="23" t="s">
        <v>12641</v>
      </c>
      <c r="B203" s="23" t="s">
        <v>81</v>
      </c>
      <c r="C203" s="39">
        <v>4798</v>
      </c>
      <c r="D203" s="24">
        <v>57.58</v>
      </c>
      <c r="E203" s="24">
        <v>10.36</v>
      </c>
      <c r="F203" s="23">
        <f>COUNTIFS(mdr_rate_cleaned!$A$2:$A$10,B203,mdr_rate_cleaned!$B$2:$B$10,"&lt;"&amp;C203,mdr_rate_cleaned!$F$2:$F$10,"&gt;="&amp;C203)</f>
        <v>1</v>
      </c>
      <c r="G203" s="40">
        <f>SUMIFS(mdr_rate_cleaned!$G$2:$G$10,mdr_rate_cleaned!$A$2:$A$10,B203,mdr_rate_cleaned!$B$2:$B$10,"&lt;"&amp;C203,mdr_rate_cleaned!$F$2:$F$10,"&gt;="&amp;C203)</f>
        <v>1.2E-2</v>
      </c>
      <c r="H203" s="24">
        <f t="shared" si="15"/>
        <v>57.58</v>
      </c>
      <c r="I203" s="23" t="str">
        <f t="shared" si="16"/>
        <v>Match</v>
      </c>
      <c r="J203" s="23" t="str">
        <f t="shared" si="17"/>
        <v>Match</v>
      </c>
      <c r="K203" s="24">
        <f t="shared" si="18"/>
        <v>10.36</v>
      </c>
      <c r="L203" s="24">
        <f t="shared" si="19"/>
        <v>0</v>
      </c>
    </row>
    <row r="204" spans="1:12" ht="15" customHeight="1" x14ac:dyDescent="0.3">
      <c r="A204" s="23" t="s">
        <v>12642</v>
      </c>
      <c r="B204" s="23" t="s">
        <v>75</v>
      </c>
      <c r="C204" s="39">
        <v>7297</v>
      </c>
      <c r="D204" s="24">
        <v>21.89</v>
      </c>
      <c r="E204" s="24">
        <v>3.94</v>
      </c>
      <c r="F204" s="23">
        <f>COUNTIFS(mdr_rate_cleaned!$A$2:$A$10,B204,mdr_rate_cleaned!$B$2:$B$10,"&lt;"&amp;C204,mdr_rate_cleaned!$F$2:$F$10,"&gt;="&amp;C204)</f>
        <v>1</v>
      </c>
      <c r="G204" s="40">
        <f>SUMIFS(mdr_rate_cleaned!$G$2:$G$10,mdr_rate_cleaned!$A$2:$A$10,B204,mdr_rate_cleaned!$B$2:$B$10,"&lt;"&amp;C204,mdr_rate_cleaned!$F$2:$F$10,"&gt;="&amp;C204)</f>
        <v>3.0000000000000001E-3</v>
      </c>
      <c r="H204" s="24">
        <f t="shared" si="15"/>
        <v>21.89</v>
      </c>
      <c r="I204" s="23" t="str">
        <f t="shared" si="16"/>
        <v>Match</v>
      </c>
      <c r="J204" s="23" t="str">
        <f t="shared" si="17"/>
        <v>Match</v>
      </c>
      <c r="K204" s="24">
        <f t="shared" si="18"/>
        <v>3.94</v>
      </c>
      <c r="L204" s="24">
        <f t="shared" si="19"/>
        <v>0</v>
      </c>
    </row>
    <row r="205" spans="1:12" ht="15" customHeight="1" x14ac:dyDescent="0.3">
      <c r="A205" s="23" t="s">
        <v>12643</v>
      </c>
      <c r="B205" s="23" t="s">
        <v>75</v>
      </c>
      <c r="C205" s="39">
        <v>3797</v>
      </c>
      <c r="D205" s="24">
        <v>11.39</v>
      </c>
      <c r="E205" s="24">
        <v>2.0499999999999998</v>
      </c>
      <c r="F205" s="23">
        <f>COUNTIFS(mdr_rate_cleaned!$A$2:$A$10,B205,mdr_rate_cleaned!$B$2:$B$10,"&lt;"&amp;C205,mdr_rate_cleaned!$F$2:$F$10,"&gt;="&amp;C205)</f>
        <v>1</v>
      </c>
      <c r="G205" s="40">
        <f>SUMIFS(mdr_rate_cleaned!$G$2:$G$10,mdr_rate_cleaned!$A$2:$A$10,B205,mdr_rate_cleaned!$B$2:$B$10,"&lt;"&amp;C205,mdr_rate_cleaned!$F$2:$F$10,"&gt;="&amp;C205)</f>
        <v>3.0000000000000001E-3</v>
      </c>
      <c r="H205" s="24">
        <f t="shared" si="15"/>
        <v>11.39</v>
      </c>
      <c r="I205" s="23" t="str">
        <f t="shared" si="16"/>
        <v>Match</v>
      </c>
      <c r="J205" s="23" t="str">
        <f t="shared" si="17"/>
        <v>Match</v>
      </c>
      <c r="K205" s="24">
        <f t="shared" si="18"/>
        <v>2.0499999999999998</v>
      </c>
      <c r="L205" s="24">
        <f t="shared" si="19"/>
        <v>0</v>
      </c>
    </row>
    <row r="206" spans="1:12" ht="15" customHeight="1" x14ac:dyDescent="0.3">
      <c r="A206" s="23" t="s">
        <v>12644</v>
      </c>
      <c r="B206" s="23" t="s">
        <v>77</v>
      </c>
      <c r="C206" s="39">
        <v>3499</v>
      </c>
      <c r="D206" s="24">
        <v>59.48</v>
      </c>
      <c r="E206" s="24">
        <v>10.71</v>
      </c>
      <c r="F206" s="23">
        <f>COUNTIFS(mdr_rate_cleaned!$A$2:$A$10,B206,mdr_rate_cleaned!$B$2:$B$10,"&lt;"&amp;C206,mdr_rate_cleaned!$F$2:$F$10,"&gt;="&amp;C206)</f>
        <v>1</v>
      </c>
      <c r="G206" s="40">
        <f>SUMIFS(mdr_rate_cleaned!$G$2:$G$10,mdr_rate_cleaned!$A$2:$A$10,B206,mdr_rate_cleaned!$B$2:$B$10,"&lt;"&amp;C206,mdr_rate_cleaned!$F$2:$F$10,"&gt;="&amp;C206)</f>
        <v>1.7000000000000001E-2</v>
      </c>
      <c r="H206" s="24">
        <f t="shared" si="15"/>
        <v>59.48</v>
      </c>
      <c r="I206" s="23" t="str">
        <f t="shared" si="16"/>
        <v>Match</v>
      </c>
      <c r="J206" s="23" t="str">
        <f t="shared" si="17"/>
        <v>Match</v>
      </c>
      <c r="K206" s="24">
        <f t="shared" si="18"/>
        <v>10.71</v>
      </c>
      <c r="L206" s="24">
        <f t="shared" si="19"/>
        <v>0</v>
      </c>
    </row>
    <row r="207" spans="1:12" ht="15" customHeight="1" x14ac:dyDescent="0.3">
      <c r="A207" s="23" t="s">
        <v>12645</v>
      </c>
      <c r="B207" s="23" t="s">
        <v>75</v>
      </c>
      <c r="C207" s="39">
        <v>4297</v>
      </c>
      <c r="D207" s="24">
        <v>12.89</v>
      </c>
      <c r="E207" s="24">
        <v>2.3199999999999998</v>
      </c>
      <c r="F207" s="23">
        <f>COUNTIFS(mdr_rate_cleaned!$A$2:$A$10,B207,mdr_rate_cleaned!$B$2:$B$10,"&lt;"&amp;C207,mdr_rate_cleaned!$F$2:$F$10,"&gt;="&amp;C207)</f>
        <v>1</v>
      </c>
      <c r="G207" s="40">
        <f>SUMIFS(mdr_rate_cleaned!$G$2:$G$10,mdr_rate_cleaned!$A$2:$A$10,B207,mdr_rate_cleaned!$B$2:$B$10,"&lt;"&amp;C207,mdr_rate_cleaned!$F$2:$F$10,"&gt;="&amp;C207)</f>
        <v>3.0000000000000001E-3</v>
      </c>
      <c r="H207" s="24">
        <f t="shared" si="15"/>
        <v>12.89</v>
      </c>
      <c r="I207" s="23" t="str">
        <f t="shared" si="16"/>
        <v>Match</v>
      </c>
      <c r="J207" s="23" t="str">
        <f t="shared" si="17"/>
        <v>Match</v>
      </c>
      <c r="K207" s="24">
        <f t="shared" si="18"/>
        <v>2.3199999999999998</v>
      </c>
      <c r="L207" s="24">
        <f t="shared" si="19"/>
        <v>0</v>
      </c>
    </row>
    <row r="208" spans="1:12" ht="15" customHeight="1" x14ac:dyDescent="0.3">
      <c r="A208" s="23" t="s">
        <v>12646</v>
      </c>
      <c r="B208" s="23" t="s">
        <v>75</v>
      </c>
      <c r="C208" s="39">
        <v>599</v>
      </c>
      <c r="D208" s="24">
        <v>0</v>
      </c>
      <c r="E208" s="24">
        <v>0</v>
      </c>
      <c r="F208" s="23">
        <f>COUNTIFS(mdr_rate_cleaned!$A$2:$A$10,B208,mdr_rate_cleaned!$B$2:$B$10,"&lt;"&amp;C208,mdr_rate_cleaned!$F$2:$F$10,"&gt;="&amp;C208)</f>
        <v>1</v>
      </c>
      <c r="G208" s="40">
        <f>SUMIFS(mdr_rate_cleaned!$G$2:$G$10,mdr_rate_cleaned!$A$2:$A$10,B208,mdr_rate_cleaned!$B$2:$B$10,"&lt;"&amp;C208,mdr_rate_cleaned!$F$2:$F$10,"&gt;="&amp;C208)</f>
        <v>0</v>
      </c>
      <c r="H208" s="24">
        <f t="shared" si="15"/>
        <v>0</v>
      </c>
      <c r="I208" s="23" t="str">
        <f t="shared" si="16"/>
        <v>Match</v>
      </c>
      <c r="J208" s="23" t="str">
        <f t="shared" si="17"/>
        <v>Match</v>
      </c>
      <c r="K208" s="24">
        <f t="shared" si="18"/>
        <v>0</v>
      </c>
      <c r="L208" s="24">
        <f t="shared" si="19"/>
        <v>0</v>
      </c>
    </row>
    <row r="209" spans="1:12" ht="15" customHeight="1" x14ac:dyDescent="0.3">
      <c r="A209" s="23" t="s">
        <v>12647</v>
      </c>
      <c r="B209" s="23" t="s">
        <v>75</v>
      </c>
      <c r="C209" s="39">
        <v>4498</v>
      </c>
      <c r="D209" s="24">
        <v>13.49</v>
      </c>
      <c r="E209" s="24">
        <v>2.4300000000000002</v>
      </c>
      <c r="F209" s="23">
        <f>COUNTIFS(mdr_rate_cleaned!$A$2:$A$10,B209,mdr_rate_cleaned!$B$2:$B$10,"&lt;"&amp;C209,mdr_rate_cleaned!$F$2:$F$10,"&gt;="&amp;C209)</f>
        <v>1</v>
      </c>
      <c r="G209" s="40">
        <f>SUMIFS(mdr_rate_cleaned!$G$2:$G$10,mdr_rate_cleaned!$A$2:$A$10,B209,mdr_rate_cleaned!$B$2:$B$10,"&lt;"&amp;C209,mdr_rate_cleaned!$F$2:$F$10,"&gt;="&amp;C209)</f>
        <v>3.0000000000000001E-3</v>
      </c>
      <c r="H209" s="24">
        <f t="shared" si="15"/>
        <v>13.49</v>
      </c>
      <c r="I209" s="23" t="str">
        <f t="shared" si="16"/>
        <v>Match</v>
      </c>
      <c r="J209" s="23" t="str">
        <f t="shared" si="17"/>
        <v>Match</v>
      </c>
      <c r="K209" s="24">
        <f t="shared" si="18"/>
        <v>2.4300000000000002</v>
      </c>
      <c r="L209" s="24">
        <f t="shared" si="19"/>
        <v>0</v>
      </c>
    </row>
    <row r="210" spans="1:12" ht="15" customHeight="1" x14ac:dyDescent="0.3">
      <c r="A210" s="23" t="s">
        <v>12648</v>
      </c>
      <c r="B210" s="23" t="s">
        <v>75</v>
      </c>
      <c r="C210" s="39">
        <v>349</v>
      </c>
      <c r="D210" s="24">
        <v>0</v>
      </c>
      <c r="E210" s="24">
        <v>0</v>
      </c>
      <c r="F210" s="23">
        <f>COUNTIFS(mdr_rate_cleaned!$A$2:$A$10,B210,mdr_rate_cleaned!$B$2:$B$10,"&lt;"&amp;C210,mdr_rate_cleaned!$F$2:$F$10,"&gt;="&amp;C210)</f>
        <v>1</v>
      </c>
      <c r="G210" s="40">
        <f>SUMIFS(mdr_rate_cleaned!$G$2:$G$10,mdr_rate_cleaned!$A$2:$A$10,B210,mdr_rate_cleaned!$B$2:$B$10,"&lt;"&amp;C210,mdr_rate_cleaned!$F$2:$F$10,"&gt;="&amp;C210)</f>
        <v>0</v>
      </c>
      <c r="H210" s="24">
        <f t="shared" si="15"/>
        <v>0</v>
      </c>
      <c r="I210" s="23" t="str">
        <f t="shared" si="16"/>
        <v>Match</v>
      </c>
      <c r="J210" s="23" t="str">
        <f t="shared" si="17"/>
        <v>Match</v>
      </c>
      <c r="K210" s="24">
        <f t="shared" si="18"/>
        <v>0</v>
      </c>
      <c r="L210" s="24">
        <f t="shared" si="19"/>
        <v>0</v>
      </c>
    </row>
    <row r="211" spans="1:12" ht="15" customHeight="1" x14ac:dyDescent="0.3">
      <c r="A211" s="23" t="s">
        <v>12649</v>
      </c>
      <c r="B211" s="23" t="s">
        <v>75</v>
      </c>
      <c r="C211" s="39">
        <v>1499</v>
      </c>
      <c r="D211" s="24">
        <v>0</v>
      </c>
      <c r="E211" s="24">
        <v>0</v>
      </c>
      <c r="F211" s="23">
        <f>COUNTIFS(mdr_rate_cleaned!$A$2:$A$10,B211,mdr_rate_cleaned!$B$2:$B$10,"&lt;"&amp;C211,mdr_rate_cleaned!$F$2:$F$10,"&gt;="&amp;C211)</f>
        <v>1</v>
      </c>
      <c r="G211" s="40">
        <f>SUMIFS(mdr_rate_cleaned!$G$2:$G$10,mdr_rate_cleaned!$A$2:$A$10,B211,mdr_rate_cleaned!$B$2:$B$10,"&lt;"&amp;C211,mdr_rate_cleaned!$F$2:$F$10,"&gt;="&amp;C211)</f>
        <v>0</v>
      </c>
      <c r="H211" s="24">
        <f t="shared" si="15"/>
        <v>0</v>
      </c>
      <c r="I211" s="23" t="str">
        <f t="shared" si="16"/>
        <v>Match</v>
      </c>
      <c r="J211" s="23" t="str">
        <f t="shared" si="17"/>
        <v>Match</v>
      </c>
      <c r="K211" s="24">
        <f t="shared" si="18"/>
        <v>0</v>
      </c>
      <c r="L211" s="24">
        <f t="shared" si="19"/>
        <v>0</v>
      </c>
    </row>
    <row r="212" spans="1:12" ht="15" customHeight="1" x14ac:dyDescent="0.3">
      <c r="A212" s="23" t="s">
        <v>12650</v>
      </c>
      <c r="B212" s="23" t="s">
        <v>75</v>
      </c>
      <c r="C212" s="39">
        <v>299</v>
      </c>
      <c r="D212" s="24">
        <v>0</v>
      </c>
      <c r="E212" s="24">
        <v>0</v>
      </c>
      <c r="F212" s="23">
        <f>COUNTIFS(mdr_rate_cleaned!$A$2:$A$10,B212,mdr_rate_cleaned!$B$2:$B$10,"&lt;"&amp;C212,mdr_rate_cleaned!$F$2:$F$10,"&gt;="&amp;C212)</f>
        <v>1</v>
      </c>
      <c r="G212" s="40">
        <f>SUMIFS(mdr_rate_cleaned!$G$2:$G$10,mdr_rate_cleaned!$A$2:$A$10,B212,mdr_rate_cleaned!$B$2:$B$10,"&lt;"&amp;C212,mdr_rate_cleaned!$F$2:$F$10,"&gt;="&amp;C212)</f>
        <v>0</v>
      </c>
      <c r="H212" s="24">
        <f t="shared" si="15"/>
        <v>0</v>
      </c>
      <c r="I212" s="23" t="str">
        <f t="shared" si="16"/>
        <v>Match</v>
      </c>
      <c r="J212" s="23" t="str">
        <f t="shared" si="17"/>
        <v>Match</v>
      </c>
      <c r="K212" s="24">
        <f t="shared" si="18"/>
        <v>0</v>
      </c>
      <c r="L212" s="24">
        <f t="shared" si="19"/>
        <v>0</v>
      </c>
    </row>
    <row r="213" spans="1:12" ht="15" customHeight="1" x14ac:dyDescent="0.3">
      <c r="A213" s="23" t="s">
        <v>12651</v>
      </c>
      <c r="B213" s="23" t="s">
        <v>79</v>
      </c>
      <c r="C213" s="39">
        <v>799</v>
      </c>
      <c r="D213" s="24">
        <v>14.38</v>
      </c>
      <c r="E213" s="24">
        <v>2.59</v>
      </c>
      <c r="F213" s="23">
        <f>COUNTIFS(mdr_rate_cleaned!$A$2:$A$10,B213,mdr_rate_cleaned!$B$2:$B$10,"&lt;"&amp;C213,mdr_rate_cleaned!$F$2:$F$10,"&gt;="&amp;C213)</f>
        <v>1</v>
      </c>
      <c r="G213" s="40">
        <f>SUMIFS(mdr_rate_cleaned!$G$2:$G$10,mdr_rate_cleaned!$A$2:$A$10,B213,mdr_rate_cleaned!$B$2:$B$10,"&lt;"&amp;C213,mdr_rate_cleaned!$F$2:$F$10,"&gt;="&amp;C213)</f>
        <v>1.8000000000000002E-2</v>
      </c>
      <c r="H213" s="24">
        <f t="shared" si="15"/>
        <v>14.38</v>
      </c>
      <c r="I213" s="23" t="str">
        <f t="shared" si="16"/>
        <v>Match</v>
      </c>
      <c r="J213" s="23" t="str">
        <f t="shared" si="17"/>
        <v>Match</v>
      </c>
      <c r="K213" s="24">
        <f t="shared" si="18"/>
        <v>2.59</v>
      </c>
      <c r="L213" s="24">
        <f t="shared" si="19"/>
        <v>0</v>
      </c>
    </row>
    <row r="214" spans="1:12" ht="15" customHeight="1" x14ac:dyDescent="0.3">
      <c r="A214" s="23" t="s">
        <v>12652</v>
      </c>
      <c r="B214" s="23" t="s">
        <v>75</v>
      </c>
      <c r="C214" s="39">
        <v>3499</v>
      </c>
      <c r="D214" s="24">
        <v>10.5</v>
      </c>
      <c r="E214" s="24">
        <v>1.89</v>
      </c>
      <c r="F214" s="23">
        <f>COUNTIFS(mdr_rate_cleaned!$A$2:$A$10,B214,mdr_rate_cleaned!$B$2:$B$10,"&lt;"&amp;C214,mdr_rate_cleaned!$F$2:$F$10,"&gt;="&amp;C214)</f>
        <v>1</v>
      </c>
      <c r="G214" s="40">
        <f>SUMIFS(mdr_rate_cleaned!$G$2:$G$10,mdr_rate_cleaned!$A$2:$A$10,B214,mdr_rate_cleaned!$B$2:$B$10,"&lt;"&amp;C214,mdr_rate_cleaned!$F$2:$F$10,"&gt;="&amp;C214)</f>
        <v>3.0000000000000001E-3</v>
      </c>
      <c r="H214" s="24">
        <f t="shared" si="15"/>
        <v>10.5</v>
      </c>
      <c r="I214" s="23" t="str">
        <f t="shared" si="16"/>
        <v>Match</v>
      </c>
      <c r="J214" s="23" t="str">
        <f t="shared" si="17"/>
        <v>Match</v>
      </c>
      <c r="K214" s="24">
        <f t="shared" si="18"/>
        <v>1.89</v>
      </c>
      <c r="L214" s="24">
        <f t="shared" si="19"/>
        <v>0</v>
      </c>
    </row>
    <row r="215" spans="1:12" ht="15" customHeight="1" x14ac:dyDescent="0.3">
      <c r="A215" s="23" t="s">
        <v>12653</v>
      </c>
      <c r="B215" s="23" t="s">
        <v>79</v>
      </c>
      <c r="C215" s="39">
        <v>4999</v>
      </c>
      <c r="D215" s="24">
        <v>79.98</v>
      </c>
      <c r="E215" s="24">
        <v>14.4</v>
      </c>
      <c r="F215" s="23">
        <f>COUNTIFS(mdr_rate_cleaned!$A$2:$A$10,B215,mdr_rate_cleaned!$B$2:$B$10,"&lt;"&amp;C215,mdr_rate_cleaned!$F$2:$F$10,"&gt;="&amp;C215)</f>
        <v>1</v>
      </c>
      <c r="G215" s="40">
        <f>SUMIFS(mdr_rate_cleaned!$G$2:$G$10,mdr_rate_cleaned!$A$2:$A$10,B215,mdr_rate_cleaned!$B$2:$B$10,"&lt;"&amp;C215,mdr_rate_cleaned!$F$2:$F$10,"&gt;="&amp;C215)</f>
        <v>1.6E-2</v>
      </c>
      <c r="H215" s="24">
        <f t="shared" si="15"/>
        <v>79.98</v>
      </c>
      <c r="I215" s="23" t="str">
        <f t="shared" si="16"/>
        <v>Match</v>
      </c>
      <c r="J215" s="23" t="str">
        <f t="shared" si="17"/>
        <v>Match</v>
      </c>
      <c r="K215" s="24">
        <f t="shared" si="18"/>
        <v>14.4</v>
      </c>
      <c r="L215" s="24">
        <f t="shared" si="19"/>
        <v>0</v>
      </c>
    </row>
    <row r="216" spans="1:12" ht="15" customHeight="1" x14ac:dyDescent="0.3">
      <c r="A216" s="23" t="s">
        <v>12654</v>
      </c>
      <c r="B216" s="23" t="s">
        <v>77</v>
      </c>
      <c r="C216" s="39">
        <v>6297</v>
      </c>
      <c r="D216" s="24">
        <v>107.05</v>
      </c>
      <c r="E216" s="24">
        <v>19.27</v>
      </c>
      <c r="F216" s="23">
        <f>COUNTIFS(mdr_rate_cleaned!$A$2:$A$10,B216,mdr_rate_cleaned!$B$2:$B$10,"&lt;"&amp;C216,mdr_rate_cleaned!$F$2:$F$10,"&gt;="&amp;C216)</f>
        <v>1</v>
      </c>
      <c r="G216" s="40">
        <f>SUMIFS(mdr_rate_cleaned!$G$2:$G$10,mdr_rate_cleaned!$A$2:$A$10,B216,mdr_rate_cleaned!$B$2:$B$10,"&lt;"&amp;C216,mdr_rate_cleaned!$F$2:$F$10,"&gt;="&amp;C216)</f>
        <v>1.7000000000000001E-2</v>
      </c>
      <c r="H216" s="24">
        <f t="shared" si="15"/>
        <v>107.05</v>
      </c>
      <c r="I216" s="23" t="str">
        <f t="shared" si="16"/>
        <v>Match</v>
      </c>
      <c r="J216" s="23" t="str">
        <f t="shared" si="17"/>
        <v>Match</v>
      </c>
      <c r="K216" s="24">
        <f t="shared" si="18"/>
        <v>19.27</v>
      </c>
      <c r="L216" s="24">
        <f t="shared" si="19"/>
        <v>0</v>
      </c>
    </row>
    <row r="217" spans="1:12" ht="15" customHeight="1" x14ac:dyDescent="0.3">
      <c r="A217" s="23" t="s">
        <v>12655</v>
      </c>
      <c r="B217" s="23" t="s">
        <v>79</v>
      </c>
      <c r="C217" s="39">
        <v>2798</v>
      </c>
      <c r="D217" s="24">
        <v>44.77</v>
      </c>
      <c r="E217" s="24">
        <v>8.06</v>
      </c>
      <c r="F217" s="23">
        <f>COUNTIFS(mdr_rate_cleaned!$A$2:$A$10,B217,mdr_rate_cleaned!$B$2:$B$10,"&lt;"&amp;C217,mdr_rate_cleaned!$F$2:$F$10,"&gt;="&amp;C217)</f>
        <v>1</v>
      </c>
      <c r="G217" s="40">
        <f>SUMIFS(mdr_rate_cleaned!$G$2:$G$10,mdr_rate_cleaned!$A$2:$A$10,B217,mdr_rate_cleaned!$B$2:$B$10,"&lt;"&amp;C217,mdr_rate_cleaned!$F$2:$F$10,"&gt;="&amp;C217)</f>
        <v>1.6E-2</v>
      </c>
      <c r="H217" s="24">
        <f t="shared" si="15"/>
        <v>44.77</v>
      </c>
      <c r="I217" s="23" t="str">
        <f t="shared" si="16"/>
        <v>Match</v>
      </c>
      <c r="J217" s="23" t="str">
        <f t="shared" si="17"/>
        <v>Match</v>
      </c>
      <c r="K217" s="24">
        <f t="shared" si="18"/>
        <v>8.06</v>
      </c>
      <c r="L217" s="24">
        <f t="shared" si="19"/>
        <v>0</v>
      </c>
    </row>
    <row r="218" spans="1:12" ht="15" customHeight="1" x14ac:dyDescent="0.3">
      <c r="A218" s="23" t="s">
        <v>12657</v>
      </c>
      <c r="B218" s="23" t="s">
        <v>79</v>
      </c>
      <c r="C218" s="39">
        <v>1299</v>
      </c>
      <c r="D218" s="24">
        <v>23.38</v>
      </c>
      <c r="E218" s="24">
        <v>4.21</v>
      </c>
      <c r="F218" s="23">
        <f>COUNTIFS(mdr_rate_cleaned!$A$2:$A$10,B218,mdr_rate_cleaned!$B$2:$B$10,"&lt;"&amp;C218,mdr_rate_cleaned!$F$2:$F$10,"&gt;="&amp;C218)</f>
        <v>1</v>
      </c>
      <c r="G218" s="40">
        <f>SUMIFS(mdr_rate_cleaned!$G$2:$G$10,mdr_rate_cleaned!$A$2:$A$10,B218,mdr_rate_cleaned!$B$2:$B$10,"&lt;"&amp;C218,mdr_rate_cleaned!$F$2:$F$10,"&gt;="&amp;C218)</f>
        <v>1.8000000000000002E-2</v>
      </c>
      <c r="H218" s="24">
        <f t="shared" si="15"/>
        <v>23.38</v>
      </c>
      <c r="I218" s="23" t="str">
        <f t="shared" si="16"/>
        <v>Match</v>
      </c>
      <c r="J218" s="23" t="str">
        <f t="shared" si="17"/>
        <v>Match</v>
      </c>
      <c r="K218" s="24">
        <f t="shared" si="18"/>
        <v>4.21</v>
      </c>
      <c r="L218" s="24">
        <f t="shared" si="19"/>
        <v>0</v>
      </c>
    </row>
    <row r="219" spans="1:12" ht="15" customHeight="1" x14ac:dyDescent="0.3">
      <c r="A219" s="23" t="s">
        <v>12658</v>
      </c>
      <c r="B219" s="23" t="s">
        <v>75</v>
      </c>
      <c r="C219" s="39">
        <v>4597</v>
      </c>
      <c r="D219" s="24">
        <v>13.79</v>
      </c>
      <c r="E219" s="24">
        <v>2.48</v>
      </c>
      <c r="F219" s="23">
        <f>COUNTIFS(mdr_rate_cleaned!$A$2:$A$10,B219,mdr_rate_cleaned!$B$2:$B$10,"&lt;"&amp;C219,mdr_rate_cleaned!$F$2:$F$10,"&gt;="&amp;C219)</f>
        <v>1</v>
      </c>
      <c r="G219" s="40">
        <f>SUMIFS(mdr_rate_cleaned!$G$2:$G$10,mdr_rate_cleaned!$A$2:$A$10,B219,mdr_rate_cleaned!$B$2:$B$10,"&lt;"&amp;C219,mdr_rate_cleaned!$F$2:$F$10,"&gt;="&amp;C219)</f>
        <v>3.0000000000000001E-3</v>
      </c>
      <c r="H219" s="24">
        <f t="shared" si="15"/>
        <v>13.79</v>
      </c>
      <c r="I219" s="23" t="str">
        <f t="shared" si="16"/>
        <v>Match</v>
      </c>
      <c r="J219" s="23" t="str">
        <f t="shared" si="17"/>
        <v>Match</v>
      </c>
      <c r="K219" s="24">
        <f t="shared" si="18"/>
        <v>2.48</v>
      </c>
      <c r="L219" s="24">
        <f t="shared" si="19"/>
        <v>0</v>
      </c>
    </row>
    <row r="220" spans="1:12" ht="15" customHeight="1" x14ac:dyDescent="0.3">
      <c r="A220" s="23" t="s">
        <v>12660</v>
      </c>
      <c r="B220" s="23" t="s">
        <v>75</v>
      </c>
      <c r="C220" s="39">
        <v>2298</v>
      </c>
      <c r="D220" s="24">
        <v>6.89</v>
      </c>
      <c r="E220" s="24">
        <v>1.24</v>
      </c>
      <c r="F220" s="23">
        <f>COUNTIFS(mdr_rate_cleaned!$A$2:$A$10,B220,mdr_rate_cleaned!$B$2:$B$10,"&lt;"&amp;C220,mdr_rate_cleaned!$F$2:$F$10,"&gt;="&amp;C220)</f>
        <v>1</v>
      </c>
      <c r="G220" s="40">
        <f>SUMIFS(mdr_rate_cleaned!$G$2:$G$10,mdr_rate_cleaned!$A$2:$A$10,B220,mdr_rate_cleaned!$B$2:$B$10,"&lt;"&amp;C220,mdr_rate_cleaned!$F$2:$F$10,"&gt;="&amp;C220)</f>
        <v>3.0000000000000001E-3</v>
      </c>
      <c r="H220" s="24">
        <f t="shared" si="15"/>
        <v>6.89</v>
      </c>
      <c r="I220" s="23" t="str">
        <f t="shared" si="16"/>
        <v>Match</v>
      </c>
      <c r="J220" s="23" t="str">
        <f t="shared" si="17"/>
        <v>Match</v>
      </c>
      <c r="K220" s="24">
        <f t="shared" si="18"/>
        <v>1.24</v>
      </c>
      <c r="L220" s="24">
        <f t="shared" si="19"/>
        <v>0</v>
      </c>
    </row>
    <row r="221" spans="1:12" ht="15" customHeight="1" x14ac:dyDescent="0.3">
      <c r="A221" s="23" t="s">
        <v>12661</v>
      </c>
      <c r="B221" s="23" t="s">
        <v>75</v>
      </c>
      <c r="C221" s="39">
        <v>799</v>
      </c>
      <c r="D221" s="24">
        <v>0</v>
      </c>
      <c r="E221" s="24">
        <v>0</v>
      </c>
      <c r="F221" s="23">
        <f>COUNTIFS(mdr_rate_cleaned!$A$2:$A$10,B221,mdr_rate_cleaned!$B$2:$B$10,"&lt;"&amp;C221,mdr_rate_cleaned!$F$2:$F$10,"&gt;="&amp;C221)</f>
        <v>1</v>
      </c>
      <c r="G221" s="40">
        <f>SUMIFS(mdr_rate_cleaned!$G$2:$G$10,mdr_rate_cleaned!$A$2:$A$10,B221,mdr_rate_cleaned!$B$2:$B$10,"&lt;"&amp;C221,mdr_rate_cleaned!$F$2:$F$10,"&gt;="&amp;C221)</f>
        <v>0</v>
      </c>
      <c r="H221" s="24">
        <f t="shared" si="15"/>
        <v>0</v>
      </c>
      <c r="I221" s="23" t="str">
        <f t="shared" si="16"/>
        <v>Match</v>
      </c>
      <c r="J221" s="23" t="str">
        <f t="shared" si="17"/>
        <v>Match</v>
      </c>
      <c r="K221" s="24">
        <f t="shared" si="18"/>
        <v>0</v>
      </c>
      <c r="L221" s="24">
        <f t="shared" si="19"/>
        <v>0</v>
      </c>
    </row>
    <row r="222" spans="1:12" ht="15" customHeight="1" x14ac:dyDescent="0.3">
      <c r="A222" s="23" t="s">
        <v>12662</v>
      </c>
      <c r="B222" s="23" t="s">
        <v>75</v>
      </c>
      <c r="C222" s="39">
        <v>2499</v>
      </c>
      <c r="D222" s="24">
        <v>7.5</v>
      </c>
      <c r="E222" s="24">
        <v>1.35</v>
      </c>
      <c r="F222" s="23">
        <f>COUNTIFS(mdr_rate_cleaned!$A$2:$A$10,B222,mdr_rate_cleaned!$B$2:$B$10,"&lt;"&amp;C222,mdr_rate_cleaned!$F$2:$F$10,"&gt;="&amp;C222)</f>
        <v>1</v>
      </c>
      <c r="G222" s="40">
        <f>SUMIFS(mdr_rate_cleaned!$G$2:$G$10,mdr_rate_cleaned!$A$2:$A$10,B222,mdr_rate_cleaned!$B$2:$B$10,"&lt;"&amp;C222,mdr_rate_cleaned!$F$2:$F$10,"&gt;="&amp;C222)</f>
        <v>3.0000000000000001E-3</v>
      </c>
      <c r="H222" s="24">
        <f t="shared" si="15"/>
        <v>7.5</v>
      </c>
      <c r="I222" s="23" t="str">
        <f t="shared" si="16"/>
        <v>Match</v>
      </c>
      <c r="J222" s="23" t="str">
        <f t="shared" si="17"/>
        <v>Match</v>
      </c>
      <c r="K222" s="24">
        <f t="shared" si="18"/>
        <v>1.35</v>
      </c>
      <c r="L222" s="24">
        <f t="shared" si="19"/>
        <v>0</v>
      </c>
    </row>
    <row r="223" spans="1:12" ht="15" customHeight="1" x14ac:dyDescent="0.3">
      <c r="A223" s="23" t="s">
        <v>12664</v>
      </c>
      <c r="B223" s="23" t="s">
        <v>79</v>
      </c>
      <c r="C223" s="39">
        <v>299</v>
      </c>
      <c r="D223" s="24">
        <v>5.38</v>
      </c>
      <c r="E223" s="24">
        <v>0.97</v>
      </c>
      <c r="F223" s="23">
        <f>COUNTIFS(mdr_rate_cleaned!$A$2:$A$10,B223,mdr_rate_cleaned!$B$2:$B$10,"&lt;"&amp;C223,mdr_rate_cleaned!$F$2:$F$10,"&gt;="&amp;C223)</f>
        <v>1</v>
      </c>
      <c r="G223" s="40">
        <f>SUMIFS(mdr_rate_cleaned!$G$2:$G$10,mdr_rate_cleaned!$A$2:$A$10,B223,mdr_rate_cleaned!$B$2:$B$10,"&lt;"&amp;C223,mdr_rate_cleaned!$F$2:$F$10,"&gt;="&amp;C223)</f>
        <v>1.8000000000000002E-2</v>
      </c>
      <c r="H223" s="24">
        <f t="shared" si="15"/>
        <v>5.38</v>
      </c>
      <c r="I223" s="23" t="str">
        <f t="shared" si="16"/>
        <v>Match</v>
      </c>
      <c r="J223" s="23" t="str">
        <f t="shared" si="17"/>
        <v>Match</v>
      </c>
      <c r="K223" s="24">
        <f t="shared" si="18"/>
        <v>0.97</v>
      </c>
      <c r="L223" s="24">
        <f t="shared" si="19"/>
        <v>0</v>
      </c>
    </row>
    <row r="224" spans="1:12" ht="15" customHeight="1" x14ac:dyDescent="0.3">
      <c r="A224" s="23" t="s">
        <v>12666</v>
      </c>
      <c r="B224" s="23" t="s">
        <v>75</v>
      </c>
      <c r="C224" s="39">
        <v>799</v>
      </c>
      <c r="D224" s="24">
        <v>0</v>
      </c>
      <c r="E224" s="24">
        <v>0</v>
      </c>
      <c r="F224" s="23">
        <f>COUNTIFS(mdr_rate_cleaned!$A$2:$A$10,B224,mdr_rate_cleaned!$B$2:$B$10,"&lt;"&amp;C224,mdr_rate_cleaned!$F$2:$F$10,"&gt;="&amp;C224)</f>
        <v>1</v>
      </c>
      <c r="G224" s="40">
        <f>SUMIFS(mdr_rate_cleaned!$G$2:$G$10,mdr_rate_cleaned!$A$2:$A$10,B224,mdr_rate_cleaned!$B$2:$B$10,"&lt;"&amp;C224,mdr_rate_cleaned!$F$2:$F$10,"&gt;="&amp;C224)</f>
        <v>0</v>
      </c>
      <c r="H224" s="24">
        <f t="shared" si="15"/>
        <v>0</v>
      </c>
      <c r="I224" s="23" t="str">
        <f t="shared" si="16"/>
        <v>Match</v>
      </c>
      <c r="J224" s="23" t="str">
        <f t="shared" si="17"/>
        <v>Match</v>
      </c>
      <c r="K224" s="24">
        <f t="shared" si="18"/>
        <v>0</v>
      </c>
      <c r="L224" s="24">
        <f t="shared" si="19"/>
        <v>0</v>
      </c>
    </row>
    <row r="225" spans="1:12" ht="15" customHeight="1" x14ac:dyDescent="0.3">
      <c r="A225" s="23" t="s">
        <v>12667</v>
      </c>
      <c r="B225" s="23" t="s">
        <v>75</v>
      </c>
      <c r="C225" s="39">
        <v>7498</v>
      </c>
      <c r="D225" s="24">
        <v>22.49</v>
      </c>
      <c r="E225" s="24">
        <v>4.05</v>
      </c>
      <c r="F225" s="23">
        <f>COUNTIFS(mdr_rate_cleaned!$A$2:$A$10,B225,mdr_rate_cleaned!$B$2:$B$10,"&lt;"&amp;C225,mdr_rate_cleaned!$F$2:$F$10,"&gt;="&amp;C225)</f>
        <v>1</v>
      </c>
      <c r="G225" s="40">
        <f>SUMIFS(mdr_rate_cleaned!$G$2:$G$10,mdr_rate_cleaned!$A$2:$A$10,B225,mdr_rate_cleaned!$B$2:$B$10,"&lt;"&amp;C225,mdr_rate_cleaned!$F$2:$F$10,"&gt;="&amp;C225)</f>
        <v>3.0000000000000001E-3</v>
      </c>
      <c r="H225" s="24">
        <f t="shared" si="15"/>
        <v>22.49</v>
      </c>
      <c r="I225" s="23" t="str">
        <f t="shared" si="16"/>
        <v>Match</v>
      </c>
      <c r="J225" s="23" t="str">
        <f t="shared" si="17"/>
        <v>Match</v>
      </c>
      <c r="K225" s="24">
        <f t="shared" si="18"/>
        <v>4.05</v>
      </c>
      <c r="L225" s="24">
        <f t="shared" si="19"/>
        <v>0</v>
      </c>
    </row>
    <row r="226" spans="1:12" ht="15" customHeight="1" x14ac:dyDescent="0.3">
      <c r="A226" s="23" t="s">
        <v>12668</v>
      </c>
      <c r="B226" s="23" t="s">
        <v>79</v>
      </c>
      <c r="C226" s="39">
        <v>2499</v>
      </c>
      <c r="D226" s="24">
        <v>39.979999999999997</v>
      </c>
      <c r="E226" s="24">
        <v>7.2</v>
      </c>
      <c r="F226" s="23">
        <f>COUNTIFS(mdr_rate_cleaned!$A$2:$A$10,B226,mdr_rate_cleaned!$B$2:$B$10,"&lt;"&amp;C226,mdr_rate_cleaned!$F$2:$F$10,"&gt;="&amp;C226)</f>
        <v>1</v>
      </c>
      <c r="G226" s="40">
        <f>SUMIFS(mdr_rate_cleaned!$G$2:$G$10,mdr_rate_cleaned!$A$2:$A$10,B226,mdr_rate_cleaned!$B$2:$B$10,"&lt;"&amp;C226,mdr_rate_cleaned!$F$2:$F$10,"&gt;="&amp;C226)</f>
        <v>1.6E-2</v>
      </c>
      <c r="H226" s="24">
        <f t="shared" si="15"/>
        <v>39.979999999999997</v>
      </c>
      <c r="I226" s="23" t="str">
        <f t="shared" si="16"/>
        <v>Match</v>
      </c>
      <c r="J226" s="23" t="str">
        <f t="shared" si="17"/>
        <v>Match</v>
      </c>
      <c r="K226" s="24">
        <f t="shared" si="18"/>
        <v>7.2</v>
      </c>
      <c r="L226" s="24">
        <f t="shared" si="19"/>
        <v>0</v>
      </c>
    </row>
    <row r="227" spans="1:12" ht="15" customHeight="1" x14ac:dyDescent="0.3">
      <c r="A227" s="23" t="s">
        <v>12670</v>
      </c>
      <c r="B227" s="23" t="s">
        <v>79</v>
      </c>
      <c r="C227" s="39">
        <v>1299</v>
      </c>
      <c r="D227" s="24">
        <v>23.38</v>
      </c>
      <c r="E227" s="24">
        <v>4.21</v>
      </c>
      <c r="F227" s="23">
        <f>COUNTIFS(mdr_rate_cleaned!$A$2:$A$10,B227,mdr_rate_cleaned!$B$2:$B$10,"&lt;"&amp;C227,mdr_rate_cleaned!$F$2:$F$10,"&gt;="&amp;C227)</f>
        <v>1</v>
      </c>
      <c r="G227" s="40">
        <f>SUMIFS(mdr_rate_cleaned!$G$2:$G$10,mdr_rate_cleaned!$A$2:$A$10,B227,mdr_rate_cleaned!$B$2:$B$10,"&lt;"&amp;C227,mdr_rate_cleaned!$F$2:$F$10,"&gt;="&amp;C227)</f>
        <v>1.8000000000000002E-2</v>
      </c>
      <c r="H227" s="24">
        <f t="shared" si="15"/>
        <v>23.38</v>
      </c>
      <c r="I227" s="23" t="str">
        <f t="shared" si="16"/>
        <v>Match</v>
      </c>
      <c r="J227" s="23" t="str">
        <f t="shared" si="17"/>
        <v>Match</v>
      </c>
      <c r="K227" s="24">
        <f t="shared" si="18"/>
        <v>4.21</v>
      </c>
      <c r="L227" s="24">
        <f t="shared" si="19"/>
        <v>0</v>
      </c>
    </row>
    <row r="228" spans="1:12" ht="15" customHeight="1" x14ac:dyDescent="0.3">
      <c r="A228" s="23" t="s">
        <v>12671</v>
      </c>
      <c r="B228" s="23" t="s">
        <v>75</v>
      </c>
      <c r="C228" s="39">
        <v>2897</v>
      </c>
      <c r="D228" s="24">
        <v>8.69</v>
      </c>
      <c r="E228" s="24">
        <v>1.56</v>
      </c>
      <c r="F228" s="23">
        <f>COUNTIFS(mdr_rate_cleaned!$A$2:$A$10,B228,mdr_rate_cleaned!$B$2:$B$10,"&lt;"&amp;C228,mdr_rate_cleaned!$F$2:$F$10,"&gt;="&amp;C228)</f>
        <v>1</v>
      </c>
      <c r="G228" s="40">
        <f>SUMIFS(mdr_rate_cleaned!$G$2:$G$10,mdr_rate_cleaned!$A$2:$A$10,B228,mdr_rate_cleaned!$B$2:$B$10,"&lt;"&amp;C228,mdr_rate_cleaned!$F$2:$F$10,"&gt;="&amp;C228)</f>
        <v>3.0000000000000001E-3</v>
      </c>
      <c r="H228" s="24">
        <f t="shared" si="15"/>
        <v>8.69</v>
      </c>
      <c r="I228" s="23" t="str">
        <f t="shared" si="16"/>
        <v>Match</v>
      </c>
      <c r="J228" s="23" t="str">
        <f t="shared" si="17"/>
        <v>Match</v>
      </c>
      <c r="K228" s="24">
        <f t="shared" si="18"/>
        <v>1.56</v>
      </c>
      <c r="L228" s="24">
        <f t="shared" si="19"/>
        <v>0</v>
      </c>
    </row>
    <row r="229" spans="1:12" ht="15" customHeight="1" x14ac:dyDescent="0.3">
      <c r="A229" s="23" t="s">
        <v>12673</v>
      </c>
      <c r="B229" s="23" t="s">
        <v>77</v>
      </c>
      <c r="C229" s="39">
        <v>2499</v>
      </c>
      <c r="D229" s="24">
        <v>59.98</v>
      </c>
      <c r="E229" s="24">
        <v>10.8</v>
      </c>
      <c r="F229" s="23">
        <f>COUNTIFS(mdr_rate_cleaned!$A$2:$A$10,B229,mdr_rate_cleaned!$B$2:$B$10,"&lt;"&amp;C229,mdr_rate_cleaned!$F$2:$F$10,"&gt;="&amp;C229)</f>
        <v>1</v>
      </c>
      <c r="G229" s="40">
        <f>SUMIFS(mdr_rate_cleaned!$G$2:$G$10,mdr_rate_cleaned!$A$2:$A$10,B229,mdr_rate_cleaned!$B$2:$B$10,"&lt;"&amp;C229,mdr_rate_cleaned!$F$2:$F$10,"&gt;="&amp;C229)</f>
        <v>1.7000000000000001E-2</v>
      </c>
      <c r="H229" s="24">
        <f t="shared" si="15"/>
        <v>42.48</v>
      </c>
      <c r="I229" s="23" t="str">
        <f t="shared" si="16"/>
        <v>Differs</v>
      </c>
      <c r="J229" s="23" t="str">
        <f t="shared" si="17"/>
        <v>Match</v>
      </c>
      <c r="K229" s="24">
        <f t="shared" si="18"/>
        <v>7.65</v>
      </c>
      <c r="L229" s="24">
        <f t="shared" si="19"/>
        <v>20.65</v>
      </c>
    </row>
    <row r="230" spans="1:12" ht="15" customHeight="1" x14ac:dyDescent="0.3">
      <c r="A230" s="23" t="s">
        <v>12674</v>
      </c>
      <c r="B230" s="23" t="s">
        <v>77</v>
      </c>
      <c r="C230" s="39">
        <v>599</v>
      </c>
      <c r="D230" s="24">
        <v>11.38</v>
      </c>
      <c r="E230" s="24">
        <v>2.0499999999999998</v>
      </c>
      <c r="F230" s="23">
        <f>COUNTIFS(mdr_rate_cleaned!$A$2:$A$10,B230,mdr_rate_cleaned!$B$2:$B$10,"&lt;"&amp;C230,mdr_rate_cleaned!$F$2:$F$10,"&gt;="&amp;C230)</f>
        <v>1</v>
      </c>
      <c r="G230" s="40">
        <f>SUMIFS(mdr_rate_cleaned!$G$2:$G$10,mdr_rate_cleaned!$A$2:$A$10,B230,mdr_rate_cleaned!$B$2:$B$10,"&lt;"&amp;C230,mdr_rate_cleaned!$F$2:$F$10,"&gt;="&amp;C230)</f>
        <v>1.9E-2</v>
      </c>
      <c r="H230" s="24">
        <f t="shared" si="15"/>
        <v>11.38</v>
      </c>
      <c r="I230" s="23" t="str">
        <f t="shared" si="16"/>
        <v>Match</v>
      </c>
      <c r="J230" s="23" t="str">
        <f t="shared" si="17"/>
        <v>Match</v>
      </c>
      <c r="K230" s="24">
        <f t="shared" si="18"/>
        <v>2.0499999999999998</v>
      </c>
      <c r="L230" s="24">
        <f t="shared" si="19"/>
        <v>0</v>
      </c>
    </row>
    <row r="231" spans="1:12" ht="15" customHeight="1" x14ac:dyDescent="0.3">
      <c r="A231" s="23" t="s">
        <v>12675</v>
      </c>
      <c r="B231" s="23" t="s">
        <v>79</v>
      </c>
      <c r="C231" s="39">
        <v>2798</v>
      </c>
      <c r="D231" s="24">
        <v>44.77</v>
      </c>
      <c r="E231" s="24">
        <v>8.06</v>
      </c>
      <c r="F231" s="23">
        <f>COUNTIFS(mdr_rate_cleaned!$A$2:$A$10,B231,mdr_rate_cleaned!$B$2:$B$10,"&lt;"&amp;C231,mdr_rate_cleaned!$F$2:$F$10,"&gt;="&amp;C231)</f>
        <v>1</v>
      </c>
      <c r="G231" s="40">
        <f>SUMIFS(mdr_rate_cleaned!$G$2:$G$10,mdr_rate_cleaned!$A$2:$A$10,B231,mdr_rate_cleaned!$B$2:$B$10,"&lt;"&amp;C231,mdr_rate_cleaned!$F$2:$F$10,"&gt;="&amp;C231)</f>
        <v>1.6E-2</v>
      </c>
      <c r="H231" s="24">
        <f t="shared" si="15"/>
        <v>44.77</v>
      </c>
      <c r="I231" s="23" t="str">
        <f t="shared" si="16"/>
        <v>Match</v>
      </c>
      <c r="J231" s="23" t="str">
        <f t="shared" si="17"/>
        <v>Match</v>
      </c>
      <c r="K231" s="24">
        <f t="shared" si="18"/>
        <v>8.06</v>
      </c>
      <c r="L231" s="24">
        <f t="shared" si="19"/>
        <v>0</v>
      </c>
    </row>
    <row r="232" spans="1:12" ht="15" customHeight="1" x14ac:dyDescent="0.3">
      <c r="A232" s="23" t="s">
        <v>12676</v>
      </c>
      <c r="B232" s="23" t="s">
        <v>77</v>
      </c>
      <c r="C232" s="39">
        <v>1499</v>
      </c>
      <c r="D232" s="24">
        <v>28.48</v>
      </c>
      <c r="E232" s="24">
        <v>5.13</v>
      </c>
      <c r="F232" s="23">
        <f>COUNTIFS(mdr_rate_cleaned!$A$2:$A$10,B232,mdr_rate_cleaned!$B$2:$B$10,"&lt;"&amp;C232,mdr_rate_cleaned!$F$2:$F$10,"&gt;="&amp;C232)</f>
        <v>1</v>
      </c>
      <c r="G232" s="40">
        <f>SUMIFS(mdr_rate_cleaned!$G$2:$G$10,mdr_rate_cleaned!$A$2:$A$10,B232,mdr_rate_cleaned!$B$2:$B$10,"&lt;"&amp;C232,mdr_rate_cleaned!$F$2:$F$10,"&gt;="&amp;C232)</f>
        <v>1.9E-2</v>
      </c>
      <c r="H232" s="24">
        <f t="shared" si="15"/>
        <v>28.48</v>
      </c>
      <c r="I232" s="23" t="str">
        <f t="shared" si="16"/>
        <v>Match</v>
      </c>
      <c r="J232" s="23" t="str">
        <f t="shared" si="17"/>
        <v>Match</v>
      </c>
      <c r="K232" s="24">
        <f t="shared" si="18"/>
        <v>5.13</v>
      </c>
      <c r="L232" s="24">
        <f t="shared" si="19"/>
        <v>0</v>
      </c>
    </row>
    <row r="233" spans="1:12" ht="15" customHeight="1" x14ac:dyDescent="0.3">
      <c r="A233" s="23" t="s">
        <v>12677</v>
      </c>
      <c r="B233" s="23" t="s">
        <v>75</v>
      </c>
      <c r="C233" s="39">
        <v>1098</v>
      </c>
      <c r="D233" s="24">
        <v>0</v>
      </c>
      <c r="E233" s="24">
        <v>0</v>
      </c>
      <c r="F233" s="23">
        <f>COUNTIFS(mdr_rate_cleaned!$A$2:$A$10,B233,mdr_rate_cleaned!$B$2:$B$10,"&lt;"&amp;C233,mdr_rate_cleaned!$F$2:$F$10,"&gt;="&amp;C233)</f>
        <v>1</v>
      </c>
      <c r="G233" s="40">
        <f>SUMIFS(mdr_rate_cleaned!$G$2:$G$10,mdr_rate_cleaned!$A$2:$A$10,B233,mdr_rate_cleaned!$B$2:$B$10,"&lt;"&amp;C233,mdr_rate_cleaned!$F$2:$F$10,"&gt;="&amp;C233)</f>
        <v>0</v>
      </c>
      <c r="H233" s="24">
        <f t="shared" si="15"/>
        <v>0</v>
      </c>
      <c r="I233" s="23" t="str">
        <f t="shared" si="16"/>
        <v>Match</v>
      </c>
      <c r="J233" s="23" t="str">
        <f t="shared" si="17"/>
        <v>Match</v>
      </c>
      <c r="K233" s="24">
        <f t="shared" si="18"/>
        <v>0</v>
      </c>
      <c r="L233" s="24">
        <f t="shared" si="19"/>
        <v>0</v>
      </c>
    </row>
    <row r="234" spans="1:12" ht="15" customHeight="1" x14ac:dyDescent="0.3">
      <c r="A234" s="23" t="s">
        <v>12679</v>
      </c>
      <c r="B234" s="23" t="s">
        <v>75</v>
      </c>
      <c r="C234" s="39">
        <v>6498</v>
      </c>
      <c r="D234" s="24">
        <v>19.489999999999998</v>
      </c>
      <c r="E234" s="24">
        <v>3.51</v>
      </c>
      <c r="F234" s="23">
        <f>COUNTIFS(mdr_rate_cleaned!$A$2:$A$10,B234,mdr_rate_cleaned!$B$2:$B$10,"&lt;"&amp;C234,mdr_rate_cleaned!$F$2:$F$10,"&gt;="&amp;C234)</f>
        <v>1</v>
      </c>
      <c r="G234" s="40">
        <f>SUMIFS(mdr_rate_cleaned!$G$2:$G$10,mdr_rate_cleaned!$A$2:$A$10,B234,mdr_rate_cleaned!$B$2:$B$10,"&lt;"&amp;C234,mdr_rate_cleaned!$F$2:$F$10,"&gt;="&amp;C234)</f>
        <v>3.0000000000000001E-3</v>
      </c>
      <c r="H234" s="24">
        <f t="shared" si="15"/>
        <v>19.489999999999998</v>
      </c>
      <c r="I234" s="23" t="str">
        <f t="shared" si="16"/>
        <v>Match</v>
      </c>
      <c r="J234" s="23" t="str">
        <f t="shared" si="17"/>
        <v>Match</v>
      </c>
      <c r="K234" s="24">
        <f t="shared" si="18"/>
        <v>3.51</v>
      </c>
      <c r="L234" s="24">
        <f t="shared" si="19"/>
        <v>0</v>
      </c>
    </row>
    <row r="235" spans="1:12" ht="15" customHeight="1" x14ac:dyDescent="0.3">
      <c r="A235" s="23" t="s">
        <v>12680</v>
      </c>
      <c r="B235" s="23" t="s">
        <v>79</v>
      </c>
      <c r="C235" s="39">
        <v>3897</v>
      </c>
      <c r="D235" s="24">
        <v>62.35</v>
      </c>
      <c r="E235" s="24">
        <v>11.22</v>
      </c>
      <c r="F235" s="23">
        <f>COUNTIFS(mdr_rate_cleaned!$A$2:$A$10,B235,mdr_rate_cleaned!$B$2:$B$10,"&lt;"&amp;C235,mdr_rate_cleaned!$F$2:$F$10,"&gt;="&amp;C235)</f>
        <v>1</v>
      </c>
      <c r="G235" s="40">
        <f>SUMIFS(mdr_rate_cleaned!$G$2:$G$10,mdr_rate_cleaned!$A$2:$A$10,B235,mdr_rate_cleaned!$B$2:$B$10,"&lt;"&amp;C235,mdr_rate_cleaned!$F$2:$F$10,"&gt;="&amp;C235)</f>
        <v>1.6E-2</v>
      </c>
      <c r="H235" s="24">
        <f t="shared" si="15"/>
        <v>62.35</v>
      </c>
      <c r="I235" s="23" t="str">
        <f t="shared" si="16"/>
        <v>Match</v>
      </c>
      <c r="J235" s="23" t="str">
        <f t="shared" si="17"/>
        <v>Match</v>
      </c>
      <c r="K235" s="24">
        <f t="shared" si="18"/>
        <v>11.22</v>
      </c>
      <c r="L235" s="24">
        <f t="shared" si="19"/>
        <v>0</v>
      </c>
    </row>
    <row r="236" spans="1:12" ht="15" customHeight="1" x14ac:dyDescent="0.3">
      <c r="A236" s="23" t="s">
        <v>12681</v>
      </c>
      <c r="B236" s="23" t="s">
        <v>79</v>
      </c>
      <c r="C236" s="39">
        <v>999</v>
      </c>
      <c r="D236" s="24">
        <v>17.98</v>
      </c>
      <c r="E236" s="24">
        <v>3.24</v>
      </c>
      <c r="F236" s="23">
        <f>COUNTIFS(mdr_rate_cleaned!$A$2:$A$10,B236,mdr_rate_cleaned!$B$2:$B$10,"&lt;"&amp;C236,mdr_rate_cleaned!$F$2:$F$10,"&gt;="&amp;C236)</f>
        <v>1</v>
      </c>
      <c r="G236" s="40">
        <f>SUMIFS(mdr_rate_cleaned!$G$2:$G$10,mdr_rate_cleaned!$A$2:$A$10,B236,mdr_rate_cleaned!$B$2:$B$10,"&lt;"&amp;C236,mdr_rate_cleaned!$F$2:$F$10,"&gt;="&amp;C236)</f>
        <v>1.8000000000000002E-2</v>
      </c>
      <c r="H236" s="24">
        <f t="shared" si="15"/>
        <v>17.98</v>
      </c>
      <c r="I236" s="23" t="str">
        <f t="shared" si="16"/>
        <v>Match</v>
      </c>
      <c r="J236" s="23" t="str">
        <f t="shared" si="17"/>
        <v>Match</v>
      </c>
      <c r="K236" s="24">
        <f t="shared" si="18"/>
        <v>3.24</v>
      </c>
      <c r="L236" s="24">
        <f t="shared" si="19"/>
        <v>0</v>
      </c>
    </row>
    <row r="237" spans="1:12" ht="15" customHeight="1" x14ac:dyDescent="0.3">
      <c r="A237" s="23" t="s">
        <v>12682</v>
      </c>
      <c r="B237" s="23" t="s">
        <v>79</v>
      </c>
      <c r="C237" s="39">
        <v>7998</v>
      </c>
      <c r="D237" s="24">
        <v>127.97</v>
      </c>
      <c r="E237" s="24">
        <v>23.03</v>
      </c>
      <c r="F237" s="23">
        <f>COUNTIFS(mdr_rate_cleaned!$A$2:$A$10,B237,mdr_rate_cleaned!$B$2:$B$10,"&lt;"&amp;C237,mdr_rate_cleaned!$F$2:$F$10,"&gt;="&amp;C237)</f>
        <v>1</v>
      </c>
      <c r="G237" s="40">
        <f>SUMIFS(mdr_rate_cleaned!$G$2:$G$10,mdr_rate_cleaned!$A$2:$A$10,B237,mdr_rate_cleaned!$B$2:$B$10,"&lt;"&amp;C237,mdr_rate_cleaned!$F$2:$F$10,"&gt;="&amp;C237)</f>
        <v>1.6E-2</v>
      </c>
      <c r="H237" s="24">
        <f t="shared" si="15"/>
        <v>127.97</v>
      </c>
      <c r="I237" s="23" t="str">
        <f t="shared" si="16"/>
        <v>Match</v>
      </c>
      <c r="J237" s="23" t="str">
        <f t="shared" si="17"/>
        <v>Match</v>
      </c>
      <c r="K237" s="24">
        <f t="shared" si="18"/>
        <v>23.03</v>
      </c>
      <c r="L237" s="24">
        <f t="shared" si="19"/>
        <v>0</v>
      </c>
    </row>
    <row r="238" spans="1:12" ht="15" customHeight="1" x14ac:dyDescent="0.3">
      <c r="A238" s="23" t="s">
        <v>12683</v>
      </c>
      <c r="B238" s="23" t="s">
        <v>75</v>
      </c>
      <c r="C238" s="39">
        <v>599</v>
      </c>
      <c r="D238" s="24">
        <v>0</v>
      </c>
      <c r="E238" s="24">
        <v>0</v>
      </c>
      <c r="F238" s="23">
        <f>COUNTIFS(mdr_rate_cleaned!$A$2:$A$10,B238,mdr_rate_cleaned!$B$2:$B$10,"&lt;"&amp;C238,mdr_rate_cleaned!$F$2:$F$10,"&gt;="&amp;C238)</f>
        <v>1</v>
      </c>
      <c r="G238" s="40">
        <f>SUMIFS(mdr_rate_cleaned!$G$2:$G$10,mdr_rate_cleaned!$A$2:$A$10,B238,mdr_rate_cleaned!$B$2:$B$10,"&lt;"&amp;C238,mdr_rate_cleaned!$F$2:$F$10,"&gt;="&amp;C238)</f>
        <v>0</v>
      </c>
      <c r="H238" s="24">
        <f t="shared" si="15"/>
        <v>0</v>
      </c>
      <c r="I238" s="23" t="str">
        <f t="shared" si="16"/>
        <v>Match</v>
      </c>
      <c r="J238" s="23" t="str">
        <f t="shared" si="17"/>
        <v>Match</v>
      </c>
      <c r="K238" s="24">
        <f t="shared" si="18"/>
        <v>0</v>
      </c>
      <c r="L238" s="24">
        <f t="shared" si="19"/>
        <v>0</v>
      </c>
    </row>
    <row r="239" spans="1:12" ht="15" customHeight="1" x14ac:dyDescent="0.3">
      <c r="A239" s="23" t="s">
        <v>12684</v>
      </c>
      <c r="B239" s="23" t="s">
        <v>79</v>
      </c>
      <c r="C239" s="39">
        <v>2499</v>
      </c>
      <c r="D239" s="24">
        <v>39.979999999999997</v>
      </c>
      <c r="E239" s="24">
        <v>7.2</v>
      </c>
      <c r="F239" s="23">
        <f>COUNTIFS(mdr_rate_cleaned!$A$2:$A$10,B239,mdr_rate_cleaned!$B$2:$B$10,"&lt;"&amp;C239,mdr_rate_cleaned!$F$2:$F$10,"&gt;="&amp;C239)</f>
        <v>1</v>
      </c>
      <c r="G239" s="40">
        <f>SUMIFS(mdr_rate_cleaned!$G$2:$G$10,mdr_rate_cleaned!$A$2:$A$10,B239,mdr_rate_cleaned!$B$2:$B$10,"&lt;"&amp;C239,mdr_rate_cleaned!$F$2:$F$10,"&gt;="&amp;C239)</f>
        <v>1.6E-2</v>
      </c>
      <c r="H239" s="24">
        <f t="shared" si="15"/>
        <v>39.979999999999997</v>
      </c>
      <c r="I239" s="23" t="str">
        <f t="shared" si="16"/>
        <v>Match</v>
      </c>
      <c r="J239" s="23" t="str">
        <f t="shared" si="17"/>
        <v>Match</v>
      </c>
      <c r="K239" s="24">
        <f t="shared" si="18"/>
        <v>7.2</v>
      </c>
      <c r="L239" s="24">
        <f t="shared" si="19"/>
        <v>0</v>
      </c>
    </row>
    <row r="240" spans="1:12" ht="15" customHeight="1" x14ac:dyDescent="0.3">
      <c r="A240" s="23" t="s">
        <v>12685</v>
      </c>
      <c r="B240" s="23" t="s">
        <v>75</v>
      </c>
      <c r="C240" s="39">
        <v>599</v>
      </c>
      <c r="D240" s="24">
        <v>0</v>
      </c>
      <c r="E240" s="24">
        <v>0</v>
      </c>
      <c r="F240" s="23">
        <f>COUNTIFS(mdr_rate_cleaned!$A$2:$A$10,B240,mdr_rate_cleaned!$B$2:$B$10,"&lt;"&amp;C240,mdr_rate_cleaned!$F$2:$F$10,"&gt;="&amp;C240)</f>
        <v>1</v>
      </c>
      <c r="G240" s="40">
        <f>SUMIFS(mdr_rate_cleaned!$G$2:$G$10,mdr_rate_cleaned!$A$2:$A$10,B240,mdr_rate_cleaned!$B$2:$B$10,"&lt;"&amp;C240,mdr_rate_cleaned!$F$2:$F$10,"&gt;="&amp;C240)</f>
        <v>0</v>
      </c>
      <c r="H240" s="24">
        <f t="shared" si="15"/>
        <v>0</v>
      </c>
      <c r="I240" s="23" t="str">
        <f t="shared" si="16"/>
        <v>Match</v>
      </c>
      <c r="J240" s="23" t="str">
        <f t="shared" si="17"/>
        <v>Match</v>
      </c>
      <c r="K240" s="24">
        <f t="shared" si="18"/>
        <v>0</v>
      </c>
      <c r="L240" s="24">
        <f t="shared" si="19"/>
        <v>0</v>
      </c>
    </row>
    <row r="241" spans="1:12" ht="15" customHeight="1" x14ac:dyDescent="0.3">
      <c r="A241" s="23" t="s">
        <v>12686</v>
      </c>
      <c r="B241" s="23" t="s">
        <v>79</v>
      </c>
      <c r="C241" s="39">
        <v>1299</v>
      </c>
      <c r="D241" s="24">
        <v>23.38</v>
      </c>
      <c r="E241" s="24">
        <v>4.21</v>
      </c>
      <c r="F241" s="23">
        <f>COUNTIFS(mdr_rate_cleaned!$A$2:$A$10,B241,mdr_rate_cleaned!$B$2:$B$10,"&lt;"&amp;C241,mdr_rate_cleaned!$F$2:$F$10,"&gt;="&amp;C241)</f>
        <v>1</v>
      </c>
      <c r="G241" s="40">
        <f>SUMIFS(mdr_rate_cleaned!$G$2:$G$10,mdr_rate_cleaned!$A$2:$A$10,B241,mdr_rate_cleaned!$B$2:$B$10,"&lt;"&amp;C241,mdr_rate_cleaned!$F$2:$F$10,"&gt;="&amp;C241)</f>
        <v>1.8000000000000002E-2</v>
      </c>
      <c r="H241" s="24">
        <f t="shared" si="15"/>
        <v>23.38</v>
      </c>
      <c r="I241" s="23" t="str">
        <f t="shared" si="16"/>
        <v>Match</v>
      </c>
      <c r="J241" s="23" t="str">
        <f t="shared" si="17"/>
        <v>Match</v>
      </c>
      <c r="K241" s="24">
        <f t="shared" si="18"/>
        <v>4.21</v>
      </c>
      <c r="L241" s="24">
        <f t="shared" si="19"/>
        <v>0</v>
      </c>
    </row>
    <row r="242" spans="1:12" ht="15" customHeight="1" x14ac:dyDescent="0.3">
      <c r="A242" s="23" t="s">
        <v>12687</v>
      </c>
      <c r="B242" s="23" t="s">
        <v>77</v>
      </c>
      <c r="C242" s="39">
        <v>2298</v>
      </c>
      <c r="D242" s="24">
        <v>39.07</v>
      </c>
      <c r="E242" s="24">
        <v>7.03</v>
      </c>
      <c r="F242" s="23">
        <f>COUNTIFS(mdr_rate_cleaned!$A$2:$A$10,B242,mdr_rate_cleaned!$B$2:$B$10,"&lt;"&amp;C242,mdr_rate_cleaned!$F$2:$F$10,"&gt;="&amp;C242)</f>
        <v>1</v>
      </c>
      <c r="G242" s="40">
        <f>SUMIFS(mdr_rate_cleaned!$G$2:$G$10,mdr_rate_cleaned!$A$2:$A$10,B242,mdr_rate_cleaned!$B$2:$B$10,"&lt;"&amp;C242,mdr_rate_cleaned!$F$2:$F$10,"&gt;="&amp;C242)</f>
        <v>1.7000000000000001E-2</v>
      </c>
      <c r="H242" s="24">
        <f t="shared" si="15"/>
        <v>39.07</v>
      </c>
      <c r="I242" s="23" t="str">
        <f t="shared" si="16"/>
        <v>Match</v>
      </c>
      <c r="J242" s="23" t="str">
        <f t="shared" si="17"/>
        <v>Match</v>
      </c>
      <c r="K242" s="24">
        <f t="shared" si="18"/>
        <v>7.03</v>
      </c>
      <c r="L242" s="24">
        <f t="shared" si="19"/>
        <v>0</v>
      </c>
    </row>
    <row r="243" spans="1:12" ht="15" customHeight="1" x14ac:dyDescent="0.3">
      <c r="A243" s="23" t="s">
        <v>12688</v>
      </c>
      <c r="B243" s="23" t="s">
        <v>81</v>
      </c>
      <c r="C243" s="39">
        <v>999</v>
      </c>
      <c r="D243" s="24">
        <v>14.99</v>
      </c>
      <c r="E243" s="24">
        <v>2.7</v>
      </c>
      <c r="F243" s="23">
        <f>COUNTIFS(mdr_rate_cleaned!$A$2:$A$10,B243,mdr_rate_cleaned!$B$2:$B$10,"&lt;"&amp;C243,mdr_rate_cleaned!$F$2:$F$10,"&gt;="&amp;C243)</f>
        <v>1</v>
      </c>
      <c r="G243" s="40">
        <f>SUMIFS(mdr_rate_cleaned!$G$2:$G$10,mdr_rate_cleaned!$A$2:$A$10,B243,mdr_rate_cleaned!$B$2:$B$10,"&lt;"&amp;C243,mdr_rate_cleaned!$F$2:$F$10,"&gt;="&amp;C243)</f>
        <v>1.4999999999999999E-2</v>
      </c>
      <c r="H243" s="24">
        <f t="shared" si="15"/>
        <v>14.99</v>
      </c>
      <c r="I243" s="23" t="str">
        <f t="shared" si="16"/>
        <v>Match</v>
      </c>
      <c r="J243" s="23" t="str">
        <f t="shared" si="17"/>
        <v>Match</v>
      </c>
      <c r="K243" s="24">
        <f t="shared" si="18"/>
        <v>2.7</v>
      </c>
      <c r="L243" s="24">
        <f t="shared" si="19"/>
        <v>0</v>
      </c>
    </row>
    <row r="244" spans="1:12" ht="15" customHeight="1" x14ac:dyDescent="0.3">
      <c r="A244" s="23" t="s">
        <v>12689</v>
      </c>
      <c r="B244" s="23" t="s">
        <v>75</v>
      </c>
      <c r="C244" s="39">
        <v>1499</v>
      </c>
      <c r="D244" s="24">
        <v>0</v>
      </c>
      <c r="E244" s="24">
        <v>0</v>
      </c>
      <c r="F244" s="23">
        <f>COUNTIFS(mdr_rate_cleaned!$A$2:$A$10,B244,mdr_rate_cleaned!$B$2:$B$10,"&lt;"&amp;C244,mdr_rate_cleaned!$F$2:$F$10,"&gt;="&amp;C244)</f>
        <v>1</v>
      </c>
      <c r="G244" s="40">
        <f>SUMIFS(mdr_rate_cleaned!$G$2:$G$10,mdr_rate_cleaned!$A$2:$A$10,B244,mdr_rate_cleaned!$B$2:$B$10,"&lt;"&amp;C244,mdr_rate_cleaned!$F$2:$F$10,"&gt;="&amp;C244)</f>
        <v>0</v>
      </c>
      <c r="H244" s="24">
        <f t="shared" si="15"/>
        <v>0</v>
      </c>
      <c r="I244" s="23" t="str">
        <f t="shared" si="16"/>
        <v>Match</v>
      </c>
      <c r="J244" s="23" t="str">
        <f t="shared" si="17"/>
        <v>Match</v>
      </c>
      <c r="K244" s="24">
        <f t="shared" si="18"/>
        <v>0</v>
      </c>
      <c r="L244" s="24">
        <f t="shared" si="19"/>
        <v>0</v>
      </c>
    </row>
    <row r="245" spans="1:12" ht="15" customHeight="1" x14ac:dyDescent="0.3">
      <c r="A245" s="23" t="s">
        <v>12690</v>
      </c>
      <c r="B245" s="23" t="s">
        <v>79</v>
      </c>
      <c r="C245" s="39">
        <v>999</v>
      </c>
      <c r="D245" s="24">
        <v>17.98</v>
      </c>
      <c r="E245" s="24">
        <v>3.24</v>
      </c>
      <c r="F245" s="23">
        <f>COUNTIFS(mdr_rate_cleaned!$A$2:$A$10,B245,mdr_rate_cleaned!$B$2:$B$10,"&lt;"&amp;C245,mdr_rate_cleaned!$F$2:$F$10,"&gt;="&amp;C245)</f>
        <v>1</v>
      </c>
      <c r="G245" s="40">
        <f>SUMIFS(mdr_rate_cleaned!$G$2:$G$10,mdr_rate_cleaned!$A$2:$A$10,B245,mdr_rate_cleaned!$B$2:$B$10,"&lt;"&amp;C245,mdr_rate_cleaned!$F$2:$F$10,"&gt;="&amp;C245)</f>
        <v>1.8000000000000002E-2</v>
      </c>
      <c r="H245" s="24">
        <f t="shared" si="15"/>
        <v>17.98</v>
      </c>
      <c r="I245" s="23" t="str">
        <f t="shared" si="16"/>
        <v>Match</v>
      </c>
      <c r="J245" s="23" t="str">
        <f t="shared" si="17"/>
        <v>Match</v>
      </c>
      <c r="K245" s="24">
        <f t="shared" si="18"/>
        <v>3.24</v>
      </c>
      <c r="L245" s="24">
        <f t="shared" si="19"/>
        <v>0</v>
      </c>
    </row>
    <row r="246" spans="1:12" ht="15" customHeight="1" x14ac:dyDescent="0.3">
      <c r="A246" s="23" t="s">
        <v>12692</v>
      </c>
      <c r="B246" s="23" t="s">
        <v>75</v>
      </c>
      <c r="C246" s="39">
        <v>1799</v>
      </c>
      <c r="D246" s="24">
        <v>0</v>
      </c>
      <c r="E246" s="24">
        <v>0</v>
      </c>
      <c r="F246" s="23">
        <f>COUNTIFS(mdr_rate_cleaned!$A$2:$A$10,B246,mdr_rate_cleaned!$B$2:$B$10,"&lt;"&amp;C246,mdr_rate_cleaned!$F$2:$F$10,"&gt;="&amp;C246)</f>
        <v>1</v>
      </c>
      <c r="G246" s="40">
        <f>SUMIFS(mdr_rate_cleaned!$G$2:$G$10,mdr_rate_cleaned!$A$2:$A$10,B246,mdr_rate_cleaned!$B$2:$B$10,"&lt;"&amp;C246,mdr_rate_cleaned!$F$2:$F$10,"&gt;="&amp;C246)</f>
        <v>0</v>
      </c>
      <c r="H246" s="24">
        <f t="shared" si="15"/>
        <v>0</v>
      </c>
      <c r="I246" s="23" t="str">
        <f t="shared" si="16"/>
        <v>Match</v>
      </c>
      <c r="J246" s="23" t="str">
        <f t="shared" si="17"/>
        <v>Match</v>
      </c>
      <c r="K246" s="24">
        <f t="shared" si="18"/>
        <v>0</v>
      </c>
      <c r="L246" s="24">
        <f t="shared" si="19"/>
        <v>0</v>
      </c>
    </row>
    <row r="247" spans="1:12" ht="15" customHeight="1" x14ac:dyDescent="0.3">
      <c r="A247" s="23" t="s">
        <v>12693</v>
      </c>
      <c r="B247" s="23" t="s">
        <v>75</v>
      </c>
      <c r="C247" s="39">
        <v>1799</v>
      </c>
      <c r="D247" s="24">
        <v>0</v>
      </c>
      <c r="E247" s="24">
        <v>0</v>
      </c>
      <c r="F247" s="23">
        <f>COUNTIFS(mdr_rate_cleaned!$A$2:$A$10,B247,mdr_rate_cleaned!$B$2:$B$10,"&lt;"&amp;C247,mdr_rate_cleaned!$F$2:$F$10,"&gt;="&amp;C247)</f>
        <v>1</v>
      </c>
      <c r="G247" s="40">
        <f>SUMIFS(mdr_rate_cleaned!$G$2:$G$10,mdr_rate_cleaned!$A$2:$A$10,B247,mdr_rate_cleaned!$B$2:$B$10,"&lt;"&amp;C247,mdr_rate_cleaned!$F$2:$F$10,"&gt;="&amp;C247)</f>
        <v>0</v>
      </c>
      <c r="H247" s="24">
        <f t="shared" si="15"/>
        <v>0</v>
      </c>
      <c r="I247" s="23" t="str">
        <f t="shared" si="16"/>
        <v>Match</v>
      </c>
      <c r="J247" s="23" t="str">
        <f t="shared" si="17"/>
        <v>Match</v>
      </c>
      <c r="K247" s="24">
        <f t="shared" si="18"/>
        <v>0</v>
      </c>
      <c r="L247" s="24">
        <f t="shared" si="19"/>
        <v>0</v>
      </c>
    </row>
    <row r="248" spans="1:12" ht="15" customHeight="1" x14ac:dyDescent="0.3">
      <c r="A248" s="23" t="s">
        <v>12694</v>
      </c>
      <c r="B248" s="23" t="s">
        <v>75</v>
      </c>
      <c r="C248" s="39">
        <v>4798</v>
      </c>
      <c r="D248" s="24">
        <v>14.39</v>
      </c>
      <c r="E248" s="24">
        <v>2.59</v>
      </c>
      <c r="F248" s="23">
        <f>COUNTIFS(mdr_rate_cleaned!$A$2:$A$10,B248,mdr_rate_cleaned!$B$2:$B$10,"&lt;"&amp;C248,mdr_rate_cleaned!$F$2:$F$10,"&gt;="&amp;C248)</f>
        <v>1</v>
      </c>
      <c r="G248" s="40">
        <f>SUMIFS(mdr_rate_cleaned!$G$2:$G$10,mdr_rate_cleaned!$A$2:$A$10,B248,mdr_rate_cleaned!$B$2:$B$10,"&lt;"&amp;C248,mdr_rate_cleaned!$F$2:$F$10,"&gt;="&amp;C248)</f>
        <v>3.0000000000000001E-3</v>
      </c>
      <c r="H248" s="24">
        <f t="shared" si="15"/>
        <v>14.39</v>
      </c>
      <c r="I248" s="23" t="str">
        <f t="shared" si="16"/>
        <v>Match</v>
      </c>
      <c r="J248" s="23" t="str">
        <f t="shared" si="17"/>
        <v>Match</v>
      </c>
      <c r="K248" s="24">
        <f t="shared" si="18"/>
        <v>2.59</v>
      </c>
      <c r="L248" s="24">
        <f t="shared" si="19"/>
        <v>0</v>
      </c>
    </row>
    <row r="249" spans="1:12" ht="15" customHeight="1" x14ac:dyDescent="0.3">
      <c r="A249" s="23" t="s">
        <v>12695</v>
      </c>
      <c r="B249" s="23" t="s">
        <v>81</v>
      </c>
      <c r="C249" s="39">
        <v>3447</v>
      </c>
      <c r="D249" s="24">
        <v>41.36</v>
      </c>
      <c r="E249" s="24">
        <v>7.44</v>
      </c>
      <c r="F249" s="23">
        <f>COUNTIFS(mdr_rate_cleaned!$A$2:$A$10,B249,mdr_rate_cleaned!$B$2:$B$10,"&lt;"&amp;C249,mdr_rate_cleaned!$F$2:$F$10,"&gt;="&amp;C249)</f>
        <v>1</v>
      </c>
      <c r="G249" s="40">
        <f>SUMIFS(mdr_rate_cleaned!$G$2:$G$10,mdr_rate_cleaned!$A$2:$A$10,B249,mdr_rate_cleaned!$B$2:$B$10,"&lt;"&amp;C249,mdr_rate_cleaned!$F$2:$F$10,"&gt;="&amp;C249)</f>
        <v>1.2E-2</v>
      </c>
      <c r="H249" s="24">
        <f t="shared" si="15"/>
        <v>41.36</v>
      </c>
      <c r="I249" s="23" t="str">
        <f t="shared" si="16"/>
        <v>Match</v>
      </c>
      <c r="J249" s="23" t="str">
        <f t="shared" si="17"/>
        <v>Match</v>
      </c>
      <c r="K249" s="24">
        <f t="shared" si="18"/>
        <v>7.44</v>
      </c>
      <c r="L249" s="24">
        <f t="shared" si="19"/>
        <v>0</v>
      </c>
    </row>
    <row r="250" spans="1:12" ht="15" customHeight="1" x14ac:dyDescent="0.3">
      <c r="A250" s="23" t="s">
        <v>12696</v>
      </c>
      <c r="B250" s="23" t="s">
        <v>75</v>
      </c>
      <c r="C250" s="39">
        <v>349</v>
      </c>
      <c r="D250" s="24">
        <v>0</v>
      </c>
      <c r="E250" s="24">
        <v>0</v>
      </c>
      <c r="F250" s="23">
        <f>COUNTIFS(mdr_rate_cleaned!$A$2:$A$10,B250,mdr_rate_cleaned!$B$2:$B$10,"&lt;"&amp;C250,mdr_rate_cleaned!$F$2:$F$10,"&gt;="&amp;C250)</f>
        <v>1</v>
      </c>
      <c r="G250" s="40">
        <f>SUMIFS(mdr_rate_cleaned!$G$2:$G$10,mdr_rate_cleaned!$A$2:$A$10,B250,mdr_rate_cleaned!$B$2:$B$10,"&lt;"&amp;C250,mdr_rate_cleaned!$F$2:$F$10,"&gt;="&amp;C250)</f>
        <v>0</v>
      </c>
      <c r="H250" s="24">
        <f t="shared" si="15"/>
        <v>0</v>
      </c>
      <c r="I250" s="23" t="str">
        <f t="shared" si="16"/>
        <v>Match</v>
      </c>
      <c r="J250" s="23" t="str">
        <f t="shared" si="17"/>
        <v>Match</v>
      </c>
      <c r="K250" s="24">
        <f t="shared" si="18"/>
        <v>0</v>
      </c>
      <c r="L250" s="24">
        <f t="shared" si="19"/>
        <v>0</v>
      </c>
    </row>
    <row r="251" spans="1:12" ht="15" customHeight="1" x14ac:dyDescent="0.3">
      <c r="A251" s="23" t="s">
        <v>12697</v>
      </c>
      <c r="B251" s="23" t="s">
        <v>75</v>
      </c>
      <c r="C251" s="39">
        <v>2499</v>
      </c>
      <c r="D251" s="24">
        <v>7.5</v>
      </c>
      <c r="E251" s="24">
        <v>1.35</v>
      </c>
      <c r="F251" s="23">
        <f>COUNTIFS(mdr_rate_cleaned!$A$2:$A$10,B251,mdr_rate_cleaned!$B$2:$B$10,"&lt;"&amp;C251,mdr_rate_cleaned!$F$2:$F$10,"&gt;="&amp;C251)</f>
        <v>1</v>
      </c>
      <c r="G251" s="40">
        <f>SUMIFS(mdr_rate_cleaned!$G$2:$G$10,mdr_rate_cleaned!$A$2:$A$10,B251,mdr_rate_cleaned!$B$2:$B$10,"&lt;"&amp;C251,mdr_rate_cleaned!$F$2:$F$10,"&gt;="&amp;C251)</f>
        <v>3.0000000000000001E-3</v>
      </c>
      <c r="H251" s="24">
        <f t="shared" si="15"/>
        <v>7.5</v>
      </c>
      <c r="I251" s="23" t="str">
        <f t="shared" si="16"/>
        <v>Match</v>
      </c>
      <c r="J251" s="23" t="str">
        <f t="shared" si="17"/>
        <v>Match</v>
      </c>
      <c r="K251" s="24">
        <f t="shared" si="18"/>
        <v>1.35</v>
      </c>
      <c r="L251" s="24">
        <f t="shared" si="19"/>
        <v>0</v>
      </c>
    </row>
    <row r="252" spans="1:12" ht="15" customHeight="1" x14ac:dyDescent="0.3">
      <c r="A252" s="23" t="s">
        <v>12698</v>
      </c>
      <c r="B252" s="23" t="s">
        <v>79</v>
      </c>
      <c r="C252" s="39">
        <v>999</v>
      </c>
      <c r="D252" s="24">
        <v>17.98</v>
      </c>
      <c r="E252" s="24">
        <v>3.24</v>
      </c>
      <c r="F252" s="23">
        <f>COUNTIFS(mdr_rate_cleaned!$A$2:$A$10,B252,mdr_rate_cleaned!$B$2:$B$10,"&lt;"&amp;C252,mdr_rate_cleaned!$F$2:$F$10,"&gt;="&amp;C252)</f>
        <v>1</v>
      </c>
      <c r="G252" s="40">
        <f>SUMIFS(mdr_rate_cleaned!$G$2:$G$10,mdr_rate_cleaned!$A$2:$A$10,B252,mdr_rate_cleaned!$B$2:$B$10,"&lt;"&amp;C252,mdr_rate_cleaned!$F$2:$F$10,"&gt;="&amp;C252)</f>
        <v>1.8000000000000002E-2</v>
      </c>
      <c r="H252" s="24">
        <f t="shared" si="15"/>
        <v>17.98</v>
      </c>
      <c r="I252" s="23" t="str">
        <f t="shared" si="16"/>
        <v>Match</v>
      </c>
      <c r="J252" s="23" t="str">
        <f t="shared" si="17"/>
        <v>Match</v>
      </c>
      <c r="K252" s="24">
        <f t="shared" si="18"/>
        <v>3.24</v>
      </c>
      <c r="L252" s="24">
        <f t="shared" si="19"/>
        <v>0</v>
      </c>
    </row>
    <row r="253" spans="1:12" ht="15" customHeight="1" x14ac:dyDescent="0.3">
      <c r="A253" s="23" t="s">
        <v>12699</v>
      </c>
      <c r="B253" s="23" t="s">
        <v>79</v>
      </c>
      <c r="C253" s="39">
        <v>4999</v>
      </c>
      <c r="D253" s="24">
        <v>79.98</v>
      </c>
      <c r="E253" s="24">
        <v>14.4</v>
      </c>
      <c r="F253" s="23">
        <f>COUNTIFS(mdr_rate_cleaned!$A$2:$A$10,B253,mdr_rate_cleaned!$B$2:$B$10,"&lt;"&amp;C253,mdr_rate_cleaned!$F$2:$F$10,"&gt;="&amp;C253)</f>
        <v>1</v>
      </c>
      <c r="G253" s="40">
        <f>SUMIFS(mdr_rate_cleaned!$G$2:$G$10,mdr_rate_cleaned!$A$2:$A$10,B253,mdr_rate_cleaned!$B$2:$B$10,"&lt;"&amp;C253,mdr_rate_cleaned!$F$2:$F$10,"&gt;="&amp;C253)</f>
        <v>1.6E-2</v>
      </c>
      <c r="H253" s="24">
        <f t="shared" si="15"/>
        <v>79.98</v>
      </c>
      <c r="I253" s="23" t="str">
        <f t="shared" si="16"/>
        <v>Match</v>
      </c>
      <c r="J253" s="23" t="str">
        <f t="shared" si="17"/>
        <v>Match</v>
      </c>
      <c r="K253" s="24">
        <f t="shared" si="18"/>
        <v>14.4</v>
      </c>
      <c r="L253" s="24">
        <f t="shared" si="19"/>
        <v>0</v>
      </c>
    </row>
    <row r="254" spans="1:12" ht="15" customHeight="1" x14ac:dyDescent="0.3">
      <c r="A254" s="23" t="s">
        <v>12700</v>
      </c>
      <c r="B254" s="23" t="s">
        <v>79</v>
      </c>
      <c r="C254" s="39">
        <v>349</v>
      </c>
      <c r="D254" s="24">
        <v>6.28</v>
      </c>
      <c r="E254" s="24">
        <v>1.1299999999999999</v>
      </c>
      <c r="F254" s="23">
        <f>COUNTIFS(mdr_rate_cleaned!$A$2:$A$10,B254,mdr_rate_cleaned!$B$2:$B$10,"&lt;"&amp;C254,mdr_rate_cleaned!$F$2:$F$10,"&gt;="&amp;C254)</f>
        <v>1</v>
      </c>
      <c r="G254" s="40">
        <f>SUMIFS(mdr_rate_cleaned!$G$2:$G$10,mdr_rate_cleaned!$A$2:$A$10,B254,mdr_rate_cleaned!$B$2:$B$10,"&lt;"&amp;C254,mdr_rate_cleaned!$F$2:$F$10,"&gt;="&amp;C254)</f>
        <v>1.8000000000000002E-2</v>
      </c>
      <c r="H254" s="24">
        <f t="shared" si="15"/>
        <v>6.28</v>
      </c>
      <c r="I254" s="23" t="str">
        <f t="shared" si="16"/>
        <v>Match</v>
      </c>
      <c r="J254" s="23" t="str">
        <f t="shared" si="17"/>
        <v>Match</v>
      </c>
      <c r="K254" s="24">
        <f t="shared" si="18"/>
        <v>1.1299999999999999</v>
      </c>
      <c r="L254" s="24">
        <f t="shared" si="19"/>
        <v>0</v>
      </c>
    </row>
    <row r="255" spans="1:12" ht="15" customHeight="1" x14ac:dyDescent="0.3">
      <c r="A255" s="23" t="s">
        <v>12701</v>
      </c>
      <c r="B255" s="23" t="s">
        <v>75</v>
      </c>
      <c r="C255" s="39">
        <v>2998</v>
      </c>
      <c r="D255" s="24">
        <v>8.99</v>
      </c>
      <c r="E255" s="24">
        <v>1.62</v>
      </c>
      <c r="F255" s="23">
        <f>COUNTIFS(mdr_rate_cleaned!$A$2:$A$10,B255,mdr_rate_cleaned!$B$2:$B$10,"&lt;"&amp;C255,mdr_rate_cleaned!$F$2:$F$10,"&gt;="&amp;C255)</f>
        <v>1</v>
      </c>
      <c r="G255" s="40">
        <f>SUMIFS(mdr_rate_cleaned!$G$2:$G$10,mdr_rate_cleaned!$A$2:$A$10,B255,mdr_rate_cleaned!$B$2:$B$10,"&lt;"&amp;C255,mdr_rate_cleaned!$F$2:$F$10,"&gt;="&amp;C255)</f>
        <v>3.0000000000000001E-3</v>
      </c>
      <c r="H255" s="24">
        <f t="shared" si="15"/>
        <v>8.99</v>
      </c>
      <c r="I255" s="23" t="str">
        <f t="shared" si="16"/>
        <v>Match</v>
      </c>
      <c r="J255" s="23" t="str">
        <f t="shared" si="17"/>
        <v>Match</v>
      </c>
      <c r="K255" s="24">
        <f t="shared" si="18"/>
        <v>1.62</v>
      </c>
      <c r="L255" s="24">
        <f t="shared" si="19"/>
        <v>0</v>
      </c>
    </row>
    <row r="256" spans="1:12" ht="15" customHeight="1" x14ac:dyDescent="0.3">
      <c r="A256" s="23" t="s">
        <v>12702</v>
      </c>
      <c r="B256" s="23" t="s">
        <v>79</v>
      </c>
      <c r="C256" s="39">
        <v>1299</v>
      </c>
      <c r="D256" s="24">
        <v>23.38</v>
      </c>
      <c r="E256" s="24">
        <v>4.21</v>
      </c>
      <c r="F256" s="23">
        <f>COUNTIFS(mdr_rate_cleaned!$A$2:$A$10,B256,mdr_rate_cleaned!$B$2:$B$10,"&lt;"&amp;C256,mdr_rate_cleaned!$F$2:$F$10,"&gt;="&amp;C256)</f>
        <v>1</v>
      </c>
      <c r="G256" s="40">
        <f>SUMIFS(mdr_rate_cleaned!$G$2:$G$10,mdr_rate_cleaned!$A$2:$A$10,B256,mdr_rate_cleaned!$B$2:$B$10,"&lt;"&amp;C256,mdr_rate_cleaned!$F$2:$F$10,"&gt;="&amp;C256)</f>
        <v>1.8000000000000002E-2</v>
      </c>
      <c r="H256" s="24">
        <f t="shared" si="15"/>
        <v>23.38</v>
      </c>
      <c r="I256" s="23" t="str">
        <f t="shared" si="16"/>
        <v>Match</v>
      </c>
      <c r="J256" s="23" t="str">
        <f t="shared" si="17"/>
        <v>Match</v>
      </c>
      <c r="K256" s="24">
        <f t="shared" si="18"/>
        <v>4.21</v>
      </c>
      <c r="L256" s="24">
        <f t="shared" si="19"/>
        <v>0</v>
      </c>
    </row>
    <row r="257" spans="1:12" ht="15" customHeight="1" x14ac:dyDescent="0.3">
      <c r="A257" s="23" t="s">
        <v>12704</v>
      </c>
      <c r="B257" s="23" t="s">
        <v>79</v>
      </c>
      <c r="C257" s="39">
        <v>3499</v>
      </c>
      <c r="D257" s="24">
        <v>55.98</v>
      </c>
      <c r="E257" s="24">
        <v>10.08</v>
      </c>
      <c r="F257" s="23">
        <f>COUNTIFS(mdr_rate_cleaned!$A$2:$A$10,B257,mdr_rate_cleaned!$B$2:$B$10,"&lt;"&amp;C257,mdr_rate_cleaned!$F$2:$F$10,"&gt;="&amp;C257)</f>
        <v>1</v>
      </c>
      <c r="G257" s="40">
        <f>SUMIFS(mdr_rate_cleaned!$G$2:$G$10,mdr_rate_cleaned!$A$2:$A$10,B257,mdr_rate_cleaned!$B$2:$B$10,"&lt;"&amp;C257,mdr_rate_cleaned!$F$2:$F$10,"&gt;="&amp;C257)</f>
        <v>1.6E-2</v>
      </c>
      <c r="H257" s="24">
        <f t="shared" si="15"/>
        <v>55.98</v>
      </c>
      <c r="I257" s="23" t="str">
        <f t="shared" si="16"/>
        <v>Match</v>
      </c>
      <c r="J257" s="23" t="str">
        <f t="shared" si="17"/>
        <v>Match</v>
      </c>
      <c r="K257" s="24">
        <f t="shared" si="18"/>
        <v>10.08</v>
      </c>
      <c r="L257" s="24">
        <f t="shared" si="19"/>
        <v>0</v>
      </c>
    </row>
    <row r="258" spans="1:12" ht="15" customHeight="1" x14ac:dyDescent="0.3">
      <c r="A258" s="23" t="s">
        <v>12706</v>
      </c>
      <c r="B258" s="23" t="s">
        <v>81</v>
      </c>
      <c r="C258" s="39">
        <v>799</v>
      </c>
      <c r="D258" s="24">
        <v>11.99</v>
      </c>
      <c r="E258" s="24">
        <v>2.16</v>
      </c>
      <c r="F258" s="23">
        <f>COUNTIFS(mdr_rate_cleaned!$A$2:$A$10,B258,mdr_rate_cleaned!$B$2:$B$10,"&lt;"&amp;C258,mdr_rate_cleaned!$F$2:$F$10,"&gt;="&amp;C258)</f>
        <v>1</v>
      </c>
      <c r="G258" s="40">
        <f>SUMIFS(mdr_rate_cleaned!$G$2:$G$10,mdr_rate_cleaned!$A$2:$A$10,B258,mdr_rate_cleaned!$B$2:$B$10,"&lt;"&amp;C258,mdr_rate_cleaned!$F$2:$F$10,"&gt;="&amp;C258)</f>
        <v>1.4999999999999999E-2</v>
      </c>
      <c r="H258" s="24">
        <f t="shared" ref="H258:H321" si="20">ROUND(C258*G258,2)</f>
        <v>11.99</v>
      </c>
      <c r="I258" s="23" t="str">
        <f t="shared" ref="I258:I321" si="21">IF(ROUND(D258-H258,2)=0,"Match","Differs")</f>
        <v>Match</v>
      </c>
      <c r="J258" s="23" t="str">
        <f t="shared" ref="J258:J321" si="22">IF(ROUND(E258-ROUND(D258*0.18,2),2)=0,"Match","Differs")</f>
        <v>Match</v>
      </c>
      <c r="K258" s="24">
        <f t="shared" ref="K258:K321" si="23">ROUND(H258*0.18,2)</f>
        <v>2.16</v>
      </c>
      <c r="L258" s="24">
        <f t="shared" ref="L258:L321" si="24">ROUND(D258+E258-H258-K258,2)</f>
        <v>0</v>
      </c>
    </row>
    <row r="259" spans="1:12" ht="15" customHeight="1" x14ac:dyDescent="0.3">
      <c r="A259" s="23" t="s">
        <v>12707</v>
      </c>
      <c r="B259" s="23" t="s">
        <v>75</v>
      </c>
      <c r="C259" s="39">
        <v>5298</v>
      </c>
      <c r="D259" s="24">
        <v>15.89</v>
      </c>
      <c r="E259" s="24">
        <v>2.86</v>
      </c>
      <c r="F259" s="23">
        <f>COUNTIFS(mdr_rate_cleaned!$A$2:$A$10,B259,mdr_rate_cleaned!$B$2:$B$10,"&lt;"&amp;C259,mdr_rate_cleaned!$F$2:$F$10,"&gt;="&amp;C259)</f>
        <v>1</v>
      </c>
      <c r="G259" s="40">
        <f>SUMIFS(mdr_rate_cleaned!$G$2:$G$10,mdr_rate_cleaned!$A$2:$A$10,B259,mdr_rate_cleaned!$B$2:$B$10,"&lt;"&amp;C259,mdr_rate_cleaned!$F$2:$F$10,"&gt;="&amp;C259)</f>
        <v>3.0000000000000001E-3</v>
      </c>
      <c r="H259" s="24">
        <f t="shared" si="20"/>
        <v>15.89</v>
      </c>
      <c r="I259" s="23" t="str">
        <f t="shared" si="21"/>
        <v>Match</v>
      </c>
      <c r="J259" s="23" t="str">
        <f t="shared" si="22"/>
        <v>Match</v>
      </c>
      <c r="K259" s="24">
        <f t="shared" si="23"/>
        <v>2.86</v>
      </c>
      <c r="L259" s="24">
        <f t="shared" si="24"/>
        <v>0</v>
      </c>
    </row>
    <row r="260" spans="1:12" ht="15" customHeight="1" x14ac:dyDescent="0.3">
      <c r="A260" s="23" t="s">
        <v>12708</v>
      </c>
      <c r="B260" s="23" t="s">
        <v>75</v>
      </c>
      <c r="C260" s="39">
        <v>799</v>
      </c>
      <c r="D260" s="24">
        <v>0</v>
      </c>
      <c r="E260" s="24">
        <v>0</v>
      </c>
      <c r="F260" s="23">
        <f>COUNTIFS(mdr_rate_cleaned!$A$2:$A$10,B260,mdr_rate_cleaned!$B$2:$B$10,"&lt;"&amp;C260,mdr_rate_cleaned!$F$2:$F$10,"&gt;="&amp;C260)</f>
        <v>1</v>
      </c>
      <c r="G260" s="40">
        <f>SUMIFS(mdr_rate_cleaned!$G$2:$G$10,mdr_rate_cleaned!$A$2:$A$10,B260,mdr_rate_cleaned!$B$2:$B$10,"&lt;"&amp;C260,mdr_rate_cleaned!$F$2:$F$10,"&gt;="&amp;C260)</f>
        <v>0</v>
      </c>
      <c r="H260" s="24">
        <f t="shared" si="20"/>
        <v>0</v>
      </c>
      <c r="I260" s="23" t="str">
        <f t="shared" si="21"/>
        <v>Match</v>
      </c>
      <c r="J260" s="23" t="str">
        <f t="shared" si="22"/>
        <v>Match</v>
      </c>
      <c r="K260" s="24">
        <f t="shared" si="23"/>
        <v>0</v>
      </c>
      <c r="L260" s="24">
        <f t="shared" si="24"/>
        <v>0</v>
      </c>
    </row>
    <row r="261" spans="1:12" ht="15" customHeight="1" x14ac:dyDescent="0.3">
      <c r="A261" s="23" t="s">
        <v>12710</v>
      </c>
      <c r="B261" s="23" t="s">
        <v>75</v>
      </c>
      <c r="C261" s="39">
        <v>2499</v>
      </c>
      <c r="D261" s="24">
        <v>7.5</v>
      </c>
      <c r="E261" s="24">
        <v>1.35</v>
      </c>
      <c r="F261" s="23">
        <f>COUNTIFS(mdr_rate_cleaned!$A$2:$A$10,B261,mdr_rate_cleaned!$B$2:$B$10,"&lt;"&amp;C261,mdr_rate_cleaned!$F$2:$F$10,"&gt;="&amp;C261)</f>
        <v>1</v>
      </c>
      <c r="G261" s="40">
        <f>SUMIFS(mdr_rate_cleaned!$G$2:$G$10,mdr_rate_cleaned!$A$2:$A$10,B261,mdr_rate_cleaned!$B$2:$B$10,"&lt;"&amp;C261,mdr_rate_cleaned!$F$2:$F$10,"&gt;="&amp;C261)</f>
        <v>3.0000000000000001E-3</v>
      </c>
      <c r="H261" s="24">
        <f t="shared" si="20"/>
        <v>7.5</v>
      </c>
      <c r="I261" s="23" t="str">
        <f t="shared" si="21"/>
        <v>Match</v>
      </c>
      <c r="J261" s="23" t="str">
        <f t="shared" si="22"/>
        <v>Match</v>
      </c>
      <c r="K261" s="24">
        <f t="shared" si="23"/>
        <v>1.35</v>
      </c>
      <c r="L261" s="24">
        <f t="shared" si="24"/>
        <v>0</v>
      </c>
    </row>
    <row r="262" spans="1:12" ht="15" customHeight="1" x14ac:dyDescent="0.3">
      <c r="A262" s="23" t="s">
        <v>12711</v>
      </c>
      <c r="B262" s="23" t="s">
        <v>75</v>
      </c>
      <c r="C262" s="39">
        <v>499</v>
      </c>
      <c r="D262" s="24">
        <v>0</v>
      </c>
      <c r="E262" s="24">
        <v>0</v>
      </c>
      <c r="F262" s="23">
        <f>COUNTIFS(mdr_rate_cleaned!$A$2:$A$10,B262,mdr_rate_cleaned!$B$2:$B$10,"&lt;"&amp;C262,mdr_rate_cleaned!$F$2:$F$10,"&gt;="&amp;C262)</f>
        <v>1</v>
      </c>
      <c r="G262" s="40">
        <f>SUMIFS(mdr_rate_cleaned!$G$2:$G$10,mdr_rate_cleaned!$A$2:$A$10,B262,mdr_rate_cleaned!$B$2:$B$10,"&lt;"&amp;C262,mdr_rate_cleaned!$F$2:$F$10,"&gt;="&amp;C262)</f>
        <v>0</v>
      </c>
      <c r="H262" s="24">
        <f t="shared" si="20"/>
        <v>0</v>
      </c>
      <c r="I262" s="23" t="str">
        <f t="shared" si="21"/>
        <v>Match</v>
      </c>
      <c r="J262" s="23" t="str">
        <f t="shared" si="22"/>
        <v>Match</v>
      </c>
      <c r="K262" s="24">
        <f t="shared" si="23"/>
        <v>0</v>
      </c>
      <c r="L262" s="24">
        <f t="shared" si="24"/>
        <v>0</v>
      </c>
    </row>
    <row r="263" spans="1:12" ht="15" customHeight="1" x14ac:dyDescent="0.3">
      <c r="A263" s="23" t="s">
        <v>12712</v>
      </c>
      <c r="B263" s="23" t="s">
        <v>79</v>
      </c>
      <c r="C263" s="39">
        <v>999</v>
      </c>
      <c r="D263" s="24">
        <v>17.98</v>
      </c>
      <c r="E263" s="24">
        <v>3.24</v>
      </c>
      <c r="F263" s="23">
        <f>COUNTIFS(mdr_rate_cleaned!$A$2:$A$10,B263,mdr_rate_cleaned!$B$2:$B$10,"&lt;"&amp;C263,mdr_rate_cleaned!$F$2:$F$10,"&gt;="&amp;C263)</f>
        <v>1</v>
      </c>
      <c r="G263" s="40">
        <f>SUMIFS(mdr_rate_cleaned!$G$2:$G$10,mdr_rate_cleaned!$A$2:$A$10,B263,mdr_rate_cleaned!$B$2:$B$10,"&lt;"&amp;C263,mdr_rate_cleaned!$F$2:$F$10,"&gt;="&amp;C263)</f>
        <v>1.8000000000000002E-2</v>
      </c>
      <c r="H263" s="24">
        <f t="shared" si="20"/>
        <v>17.98</v>
      </c>
      <c r="I263" s="23" t="str">
        <f t="shared" si="21"/>
        <v>Match</v>
      </c>
      <c r="J263" s="23" t="str">
        <f t="shared" si="22"/>
        <v>Match</v>
      </c>
      <c r="K263" s="24">
        <f t="shared" si="23"/>
        <v>3.24</v>
      </c>
      <c r="L263" s="24">
        <f t="shared" si="24"/>
        <v>0</v>
      </c>
    </row>
    <row r="264" spans="1:12" ht="15" customHeight="1" x14ac:dyDescent="0.3">
      <c r="A264" s="23" t="s">
        <v>12713</v>
      </c>
      <c r="B264" s="23" t="s">
        <v>79</v>
      </c>
      <c r="C264" s="39">
        <v>1098</v>
      </c>
      <c r="D264" s="24">
        <v>19.760000000000002</v>
      </c>
      <c r="E264" s="24">
        <v>3.56</v>
      </c>
      <c r="F264" s="23">
        <f>COUNTIFS(mdr_rate_cleaned!$A$2:$A$10,B264,mdr_rate_cleaned!$B$2:$B$10,"&lt;"&amp;C264,mdr_rate_cleaned!$F$2:$F$10,"&gt;="&amp;C264)</f>
        <v>1</v>
      </c>
      <c r="G264" s="40">
        <f>SUMIFS(mdr_rate_cleaned!$G$2:$G$10,mdr_rate_cleaned!$A$2:$A$10,B264,mdr_rate_cleaned!$B$2:$B$10,"&lt;"&amp;C264,mdr_rate_cleaned!$F$2:$F$10,"&gt;="&amp;C264)</f>
        <v>1.8000000000000002E-2</v>
      </c>
      <c r="H264" s="24">
        <f t="shared" si="20"/>
        <v>19.760000000000002</v>
      </c>
      <c r="I264" s="23" t="str">
        <f t="shared" si="21"/>
        <v>Match</v>
      </c>
      <c r="J264" s="23" t="str">
        <f t="shared" si="22"/>
        <v>Match</v>
      </c>
      <c r="K264" s="24">
        <f t="shared" si="23"/>
        <v>3.56</v>
      </c>
      <c r="L264" s="24">
        <f t="shared" si="24"/>
        <v>0</v>
      </c>
    </row>
    <row r="265" spans="1:12" ht="15" customHeight="1" x14ac:dyDescent="0.3">
      <c r="A265" s="23" t="s">
        <v>12714</v>
      </c>
      <c r="B265" s="23" t="s">
        <v>75</v>
      </c>
      <c r="C265" s="39">
        <v>499</v>
      </c>
      <c r="D265" s="24">
        <v>0</v>
      </c>
      <c r="E265" s="24">
        <v>0</v>
      </c>
      <c r="F265" s="23">
        <f>COUNTIFS(mdr_rate_cleaned!$A$2:$A$10,B265,mdr_rate_cleaned!$B$2:$B$10,"&lt;"&amp;C265,mdr_rate_cleaned!$F$2:$F$10,"&gt;="&amp;C265)</f>
        <v>1</v>
      </c>
      <c r="G265" s="40">
        <f>SUMIFS(mdr_rate_cleaned!$G$2:$G$10,mdr_rate_cleaned!$A$2:$A$10,B265,mdr_rate_cleaned!$B$2:$B$10,"&lt;"&amp;C265,mdr_rate_cleaned!$F$2:$F$10,"&gt;="&amp;C265)</f>
        <v>0</v>
      </c>
      <c r="H265" s="24">
        <f t="shared" si="20"/>
        <v>0</v>
      </c>
      <c r="I265" s="23" t="str">
        <f t="shared" si="21"/>
        <v>Match</v>
      </c>
      <c r="J265" s="23" t="str">
        <f t="shared" si="22"/>
        <v>Match</v>
      </c>
      <c r="K265" s="24">
        <f t="shared" si="23"/>
        <v>0</v>
      </c>
      <c r="L265" s="24">
        <f t="shared" si="24"/>
        <v>0</v>
      </c>
    </row>
    <row r="266" spans="1:12" ht="15" customHeight="1" x14ac:dyDescent="0.3">
      <c r="A266" s="23" t="s">
        <v>12715</v>
      </c>
      <c r="B266" s="23" t="s">
        <v>79</v>
      </c>
      <c r="C266" s="39">
        <v>3499</v>
      </c>
      <c r="D266" s="24">
        <v>55.98</v>
      </c>
      <c r="E266" s="24">
        <v>10.08</v>
      </c>
      <c r="F266" s="23">
        <f>COUNTIFS(mdr_rate_cleaned!$A$2:$A$10,B266,mdr_rate_cleaned!$B$2:$B$10,"&lt;"&amp;C266,mdr_rate_cleaned!$F$2:$F$10,"&gt;="&amp;C266)</f>
        <v>1</v>
      </c>
      <c r="G266" s="40">
        <f>SUMIFS(mdr_rate_cleaned!$G$2:$G$10,mdr_rate_cleaned!$A$2:$A$10,B266,mdr_rate_cleaned!$B$2:$B$10,"&lt;"&amp;C266,mdr_rate_cleaned!$F$2:$F$10,"&gt;="&amp;C266)</f>
        <v>1.6E-2</v>
      </c>
      <c r="H266" s="24">
        <f t="shared" si="20"/>
        <v>55.98</v>
      </c>
      <c r="I266" s="23" t="str">
        <f t="shared" si="21"/>
        <v>Match</v>
      </c>
      <c r="J266" s="23" t="str">
        <f t="shared" si="22"/>
        <v>Match</v>
      </c>
      <c r="K266" s="24">
        <f t="shared" si="23"/>
        <v>10.08</v>
      </c>
      <c r="L266" s="24">
        <f t="shared" si="24"/>
        <v>0</v>
      </c>
    </row>
    <row r="267" spans="1:12" ht="15" customHeight="1" x14ac:dyDescent="0.3">
      <c r="A267" s="23" t="s">
        <v>12716</v>
      </c>
      <c r="B267" s="23" t="s">
        <v>79</v>
      </c>
      <c r="C267" s="39">
        <v>2298</v>
      </c>
      <c r="D267" s="24">
        <v>36.770000000000003</v>
      </c>
      <c r="E267" s="24">
        <v>6.62</v>
      </c>
      <c r="F267" s="23">
        <f>COUNTIFS(mdr_rate_cleaned!$A$2:$A$10,B267,mdr_rate_cleaned!$B$2:$B$10,"&lt;"&amp;C267,mdr_rate_cleaned!$F$2:$F$10,"&gt;="&amp;C267)</f>
        <v>1</v>
      </c>
      <c r="G267" s="40">
        <f>SUMIFS(mdr_rate_cleaned!$G$2:$G$10,mdr_rate_cleaned!$A$2:$A$10,B267,mdr_rate_cleaned!$B$2:$B$10,"&lt;"&amp;C267,mdr_rate_cleaned!$F$2:$F$10,"&gt;="&amp;C267)</f>
        <v>1.6E-2</v>
      </c>
      <c r="H267" s="24">
        <f t="shared" si="20"/>
        <v>36.770000000000003</v>
      </c>
      <c r="I267" s="23" t="str">
        <f t="shared" si="21"/>
        <v>Match</v>
      </c>
      <c r="J267" s="23" t="str">
        <f t="shared" si="22"/>
        <v>Match</v>
      </c>
      <c r="K267" s="24">
        <f t="shared" si="23"/>
        <v>6.62</v>
      </c>
      <c r="L267" s="24">
        <f t="shared" si="24"/>
        <v>0</v>
      </c>
    </row>
    <row r="268" spans="1:12" ht="15" customHeight="1" x14ac:dyDescent="0.3">
      <c r="A268" s="23" t="s">
        <v>12717</v>
      </c>
      <c r="B268" s="23" t="s">
        <v>75</v>
      </c>
      <c r="C268" s="39">
        <v>898</v>
      </c>
      <c r="D268" s="24">
        <v>0</v>
      </c>
      <c r="E268" s="24">
        <v>0</v>
      </c>
      <c r="F268" s="23">
        <f>COUNTIFS(mdr_rate_cleaned!$A$2:$A$10,B268,mdr_rate_cleaned!$B$2:$B$10,"&lt;"&amp;C268,mdr_rate_cleaned!$F$2:$F$10,"&gt;="&amp;C268)</f>
        <v>1</v>
      </c>
      <c r="G268" s="40">
        <f>SUMIFS(mdr_rate_cleaned!$G$2:$G$10,mdr_rate_cleaned!$A$2:$A$10,B268,mdr_rate_cleaned!$B$2:$B$10,"&lt;"&amp;C268,mdr_rate_cleaned!$F$2:$F$10,"&gt;="&amp;C268)</f>
        <v>0</v>
      </c>
      <c r="H268" s="24">
        <f t="shared" si="20"/>
        <v>0</v>
      </c>
      <c r="I268" s="23" t="str">
        <f t="shared" si="21"/>
        <v>Match</v>
      </c>
      <c r="J268" s="23" t="str">
        <f t="shared" si="22"/>
        <v>Match</v>
      </c>
      <c r="K268" s="24">
        <f t="shared" si="23"/>
        <v>0</v>
      </c>
      <c r="L268" s="24">
        <f t="shared" si="24"/>
        <v>0</v>
      </c>
    </row>
    <row r="269" spans="1:12" ht="15" customHeight="1" x14ac:dyDescent="0.3">
      <c r="A269" s="23" t="s">
        <v>12718</v>
      </c>
      <c r="B269" s="23" t="s">
        <v>81</v>
      </c>
      <c r="C269" s="39">
        <v>2999</v>
      </c>
      <c r="D269" s="24">
        <v>35.99</v>
      </c>
      <c r="E269" s="24">
        <v>6.48</v>
      </c>
      <c r="F269" s="23">
        <f>COUNTIFS(mdr_rate_cleaned!$A$2:$A$10,B269,mdr_rate_cleaned!$B$2:$B$10,"&lt;"&amp;C269,mdr_rate_cleaned!$F$2:$F$10,"&gt;="&amp;C269)</f>
        <v>1</v>
      </c>
      <c r="G269" s="40">
        <f>SUMIFS(mdr_rate_cleaned!$G$2:$G$10,mdr_rate_cleaned!$A$2:$A$10,B269,mdr_rate_cleaned!$B$2:$B$10,"&lt;"&amp;C269,mdr_rate_cleaned!$F$2:$F$10,"&gt;="&amp;C269)</f>
        <v>1.2E-2</v>
      </c>
      <c r="H269" s="24">
        <f t="shared" si="20"/>
        <v>35.99</v>
      </c>
      <c r="I269" s="23" t="str">
        <f t="shared" si="21"/>
        <v>Match</v>
      </c>
      <c r="J269" s="23" t="str">
        <f t="shared" si="22"/>
        <v>Match</v>
      </c>
      <c r="K269" s="24">
        <f t="shared" si="23"/>
        <v>6.48</v>
      </c>
      <c r="L269" s="24">
        <f t="shared" si="24"/>
        <v>0</v>
      </c>
    </row>
    <row r="270" spans="1:12" ht="15" customHeight="1" x14ac:dyDescent="0.3">
      <c r="A270" s="23" t="s">
        <v>12719</v>
      </c>
      <c r="B270" s="23" t="s">
        <v>75</v>
      </c>
      <c r="C270" s="39">
        <v>7597</v>
      </c>
      <c r="D270" s="24">
        <v>22.79</v>
      </c>
      <c r="E270" s="24">
        <v>4.0999999999999996</v>
      </c>
      <c r="F270" s="23">
        <f>COUNTIFS(mdr_rate_cleaned!$A$2:$A$10,B270,mdr_rate_cleaned!$B$2:$B$10,"&lt;"&amp;C270,mdr_rate_cleaned!$F$2:$F$10,"&gt;="&amp;C270)</f>
        <v>1</v>
      </c>
      <c r="G270" s="40">
        <f>SUMIFS(mdr_rate_cleaned!$G$2:$G$10,mdr_rate_cleaned!$A$2:$A$10,B270,mdr_rate_cleaned!$B$2:$B$10,"&lt;"&amp;C270,mdr_rate_cleaned!$F$2:$F$10,"&gt;="&amp;C270)</f>
        <v>3.0000000000000001E-3</v>
      </c>
      <c r="H270" s="24">
        <f t="shared" si="20"/>
        <v>22.79</v>
      </c>
      <c r="I270" s="23" t="str">
        <f t="shared" si="21"/>
        <v>Match</v>
      </c>
      <c r="J270" s="23" t="str">
        <f t="shared" si="22"/>
        <v>Match</v>
      </c>
      <c r="K270" s="24">
        <f t="shared" si="23"/>
        <v>4.0999999999999996</v>
      </c>
      <c r="L270" s="24">
        <f t="shared" si="24"/>
        <v>0</v>
      </c>
    </row>
    <row r="271" spans="1:12" ht="15" customHeight="1" x14ac:dyDescent="0.3">
      <c r="A271" s="23" t="s">
        <v>12720</v>
      </c>
      <c r="B271" s="23" t="s">
        <v>75</v>
      </c>
      <c r="C271" s="39">
        <v>3499</v>
      </c>
      <c r="D271" s="24">
        <v>10.5</v>
      </c>
      <c r="E271" s="24">
        <v>1.89</v>
      </c>
      <c r="F271" s="23">
        <f>COUNTIFS(mdr_rate_cleaned!$A$2:$A$10,B271,mdr_rate_cleaned!$B$2:$B$10,"&lt;"&amp;C271,mdr_rate_cleaned!$F$2:$F$10,"&gt;="&amp;C271)</f>
        <v>1</v>
      </c>
      <c r="G271" s="40">
        <f>SUMIFS(mdr_rate_cleaned!$G$2:$G$10,mdr_rate_cleaned!$A$2:$A$10,B271,mdr_rate_cleaned!$B$2:$B$10,"&lt;"&amp;C271,mdr_rate_cleaned!$F$2:$F$10,"&gt;="&amp;C271)</f>
        <v>3.0000000000000001E-3</v>
      </c>
      <c r="H271" s="24">
        <f t="shared" si="20"/>
        <v>10.5</v>
      </c>
      <c r="I271" s="23" t="str">
        <f t="shared" si="21"/>
        <v>Match</v>
      </c>
      <c r="J271" s="23" t="str">
        <f t="shared" si="22"/>
        <v>Match</v>
      </c>
      <c r="K271" s="24">
        <f t="shared" si="23"/>
        <v>1.89</v>
      </c>
      <c r="L271" s="24">
        <f t="shared" si="24"/>
        <v>0</v>
      </c>
    </row>
    <row r="272" spans="1:12" ht="15" customHeight="1" x14ac:dyDescent="0.3">
      <c r="A272" s="23" t="s">
        <v>12722</v>
      </c>
      <c r="B272" s="23" t="s">
        <v>75</v>
      </c>
      <c r="C272" s="39">
        <v>499</v>
      </c>
      <c r="D272" s="24">
        <v>0</v>
      </c>
      <c r="E272" s="24">
        <v>0</v>
      </c>
      <c r="F272" s="23">
        <f>COUNTIFS(mdr_rate_cleaned!$A$2:$A$10,B272,mdr_rate_cleaned!$B$2:$B$10,"&lt;"&amp;C272,mdr_rate_cleaned!$F$2:$F$10,"&gt;="&amp;C272)</f>
        <v>1</v>
      </c>
      <c r="G272" s="40">
        <f>SUMIFS(mdr_rate_cleaned!$G$2:$G$10,mdr_rate_cleaned!$A$2:$A$10,B272,mdr_rate_cleaned!$B$2:$B$10,"&lt;"&amp;C272,mdr_rate_cleaned!$F$2:$F$10,"&gt;="&amp;C272)</f>
        <v>0</v>
      </c>
      <c r="H272" s="24">
        <f t="shared" si="20"/>
        <v>0</v>
      </c>
      <c r="I272" s="23" t="str">
        <f t="shared" si="21"/>
        <v>Match</v>
      </c>
      <c r="J272" s="23" t="str">
        <f t="shared" si="22"/>
        <v>Match</v>
      </c>
      <c r="K272" s="24">
        <f t="shared" si="23"/>
        <v>0</v>
      </c>
      <c r="L272" s="24">
        <f t="shared" si="24"/>
        <v>0</v>
      </c>
    </row>
    <row r="273" spans="1:12" ht="15" customHeight="1" x14ac:dyDescent="0.3">
      <c r="A273" s="23" t="s">
        <v>12723</v>
      </c>
      <c r="B273" s="23" t="s">
        <v>79</v>
      </c>
      <c r="C273" s="39">
        <v>349</v>
      </c>
      <c r="D273" s="24">
        <v>6.28</v>
      </c>
      <c r="E273" s="24">
        <v>1.1299999999999999</v>
      </c>
      <c r="F273" s="23">
        <f>COUNTIFS(mdr_rate_cleaned!$A$2:$A$10,B273,mdr_rate_cleaned!$B$2:$B$10,"&lt;"&amp;C273,mdr_rate_cleaned!$F$2:$F$10,"&gt;="&amp;C273)</f>
        <v>1</v>
      </c>
      <c r="G273" s="40">
        <f>SUMIFS(mdr_rate_cleaned!$G$2:$G$10,mdr_rate_cleaned!$A$2:$A$10,B273,mdr_rate_cleaned!$B$2:$B$10,"&lt;"&amp;C273,mdr_rate_cleaned!$F$2:$F$10,"&gt;="&amp;C273)</f>
        <v>1.8000000000000002E-2</v>
      </c>
      <c r="H273" s="24">
        <f t="shared" si="20"/>
        <v>6.28</v>
      </c>
      <c r="I273" s="23" t="str">
        <f t="shared" si="21"/>
        <v>Match</v>
      </c>
      <c r="J273" s="23" t="str">
        <f t="shared" si="22"/>
        <v>Match</v>
      </c>
      <c r="K273" s="24">
        <f t="shared" si="23"/>
        <v>1.1299999999999999</v>
      </c>
      <c r="L273" s="24">
        <f t="shared" si="24"/>
        <v>0</v>
      </c>
    </row>
    <row r="274" spans="1:12" ht="15" customHeight="1" x14ac:dyDescent="0.3">
      <c r="A274" s="23" t="s">
        <v>12724</v>
      </c>
      <c r="B274" s="23" t="s">
        <v>75</v>
      </c>
      <c r="C274" s="39">
        <v>2499</v>
      </c>
      <c r="D274" s="24">
        <v>7.5</v>
      </c>
      <c r="E274" s="24">
        <v>1.35</v>
      </c>
      <c r="F274" s="23">
        <f>COUNTIFS(mdr_rate_cleaned!$A$2:$A$10,B274,mdr_rate_cleaned!$B$2:$B$10,"&lt;"&amp;C274,mdr_rate_cleaned!$F$2:$F$10,"&gt;="&amp;C274)</f>
        <v>1</v>
      </c>
      <c r="G274" s="40">
        <f>SUMIFS(mdr_rate_cleaned!$G$2:$G$10,mdr_rate_cleaned!$A$2:$A$10,B274,mdr_rate_cleaned!$B$2:$B$10,"&lt;"&amp;C274,mdr_rate_cleaned!$F$2:$F$10,"&gt;="&amp;C274)</f>
        <v>3.0000000000000001E-3</v>
      </c>
      <c r="H274" s="24">
        <f t="shared" si="20"/>
        <v>7.5</v>
      </c>
      <c r="I274" s="23" t="str">
        <f t="shared" si="21"/>
        <v>Match</v>
      </c>
      <c r="J274" s="23" t="str">
        <f t="shared" si="22"/>
        <v>Match</v>
      </c>
      <c r="K274" s="24">
        <f t="shared" si="23"/>
        <v>1.35</v>
      </c>
      <c r="L274" s="24">
        <f t="shared" si="24"/>
        <v>0</v>
      </c>
    </row>
    <row r="275" spans="1:12" ht="15" customHeight="1" x14ac:dyDescent="0.3">
      <c r="A275" s="23" t="s">
        <v>12726</v>
      </c>
      <c r="B275" s="23" t="s">
        <v>75</v>
      </c>
      <c r="C275" s="39">
        <v>299</v>
      </c>
      <c r="D275" s="24">
        <v>0</v>
      </c>
      <c r="E275" s="24">
        <v>0</v>
      </c>
      <c r="F275" s="23">
        <f>COUNTIFS(mdr_rate_cleaned!$A$2:$A$10,B275,mdr_rate_cleaned!$B$2:$B$10,"&lt;"&amp;C275,mdr_rate_cleaned!$F$2:$F$10,"&gt;="&amp;C275)</f>
        <v>1</v>
      </c>
      <c r="G275" s="40">
        <f>SUMIFS(mdr_rate_cleaned!$G$2:$G$10,mdr_rate_cleaned!$A$2:$A$10,B275,mdr_rate_cleaned!$B$2:$B$10,"&lt;"&amp;C275,mdr_rate_cleaned!$F$2:$F$10,"&gt;="&amp;C275)</f>
        <v>0</v>
      </c>
      <c r="H275" s="24">
        <f t="shared" si="20"/>
        <v>0</v>
      </c>
      <c r="I275" s="23" t="str">
        <f t="shared" si="21"/>
        <v>Match</v>
      </c>
      <c r="J275" s="23" t="str">
        <f t="shared" si="22"/>
        <v>Match</v>
      </c>
      <c r="K275" s="24">
        <f t="shared" si="23"/>
        <v>0</v>
      </c>
      <c r="L275" s="24">
        <f t="shared" si="24"/>
        <v>0</v>
      </c>
    </row>
    <row r="276" spans="1:12" ht="15" customHeight="1" x14ac:dyDescent="0.3">
      <c r="A276" s="23" t="s">
        <v>12727</v>
      </c>
      <c r="B276" s="23" t="s">
        <v>75</v>
      </c>
      <c r="C276" s="39">
        <v>4298</v>
      </c>
      <c r="D276" s="24">
        <v>12.89</v>
      </c>
      <c r="E276" s="24">
        <v>2.3199999999999998</v>
      </c>
      <c r="F276" s="23">
        <f>COUNTIFS(mdr_rate_cleaned!$A$2:$A$10,B276,mdr_rate_cleaned!$B$2:$B$10,"&lt;"&amp;C276,mdr_rate_cleaned!$F$2:$F$10,"&gt;="&amp;C276)</f>
        <v>1</v>
      </c>
      <c r="G276" s="40">
        <f>SUMIFS(mdr_rate_cleaned!$G$2:$G$10,mdr_rate_cleaned!$A$2:$A$10,B276,mdr_rate_cleaned!$B$2:$B$10,"&lt;"&amp;C276,mdr_rate_cleaned!$F$2:$F$10,"&gt;="&amp;C276)</f>
        <v>3.0000000000000001E-3</v>
      </c>
      <c r="H276" s="24">
        <f t="shared" si="20"/>
        <v>12.89</v>
      </c>
      <c r="I276" s="23" t="str">
        <f t="shared" si="21"/>
        <v>Match</v>
      </c>
      <c r="J276" s="23" t="str">
        <f t="shared" si="22"/>
        <v>Match</v>
      </c>
      <c r="K276" s="24">
        <f t="shared" si="23"/>
        <v>2.3199999999999998</v>
      </c>
      <c r="L276" s="24">
        <f t="shared" si="24"/>
        <v>0</v>
      </c>
    </row>
    <row r="277" spans="1:12" ht="15" customHeight="1" x14ac:dyDescent="0.3">
      <c r="A277" s="23" t="s">
        <v>12728</v>
      </c>
      <c r="B277" s="23" t="s">
        <v>79</v>
      </c>
      <c r="C277" s="39">
        <v>7999</v>
      </c>
      <c r="D277" s="24">
        <v>127.98</v>
      </c>
      <c r="E277" s="24">
        <v>23.04</v>
      </c>
      <c r="F277" s="23">
        <f>COUNTIFS(mdr_rate_cleaned!$A$2:$A$10,B277,mdr_rate_cleaned!$B$2:$B$10,"&lt;"&amp;C277,mdr_rate_cleaned!$F$2:$F$10,"&gt;="&amp;C277)</f>
        <v>1</v>
      </c>
      <c r="G277" s="40">
        <f>SUMIFS(mdr_rate_cleaned!$G$2:$G$10,mdr_rate_cleaned!$A$2:$A$10,B277,mdr_rate_cleaned!$B$2:$B$10,"&lt;"&amp;C277,mdr_rate_cleaned!$F$2:$F$10,"&gt;="&amp;C277)</f>
        <v>1.6E-2</v>
      </c>
      <c r="H277" s="24">
        <f t="shared" si="20"/>
        <v>127.98</v>
      </c>
      <c r="I277" s="23" t="str">
        <f t="shared" si="21"/>
        <v>Match</v>
      </c>
      <c r="J277" s="23" t="str">
        <f t="shared" si="22"/>
        <v>Match</v>
      </c>
      <c r="K277" s="24">
        <f t="shared" si="23"/>
        <v>23.04</v>
      </c>
      <c r="L277" s="24">
        <f t="shared" si="24"/>
        <v>0</v>
      </c>
    </row>
    <row r="278" spans="1:12" ht="15" customHeight="1" x14ac:dyDescent="0.3">
      <c r="A278" s="23" t="s">
        <v>12729</v>
      </c>
      <c r="B278" s="23" t="s">
        <v>75</v>
      </c>
      <c r="C278" s="39">
        <v>999</v>
      </c>
      <c r="D278" s="24">
        <v>0</v>
      </c>
      <c r="E278" s="24">
        <v>0</v>
      </c>
      <c r="F278" s="23">
        <f>COUNTIFS(mdr_rate_cleaned!$A$2:$A$10,B278,mdr_rate_cleaned!$B$2:$B$10,"&lt;"&amp;C278,mdr_rate_cleaned!$F$2:$F$10,"&gt;="&amp;C278)</f>
        <v>1</v>
      </c>
      <c r="G278" s="40">
        <f>SUMIFS(mdr_rate_cleaned!$G$2:$G$10,mdr_rate_cleaned!$A$2:$A$10,B278,mdr_rate_cleaned!$B$2:$B$10,"&lt;"&amp;C278,mdr_rate_cleaned!$F$2:$F$10,"&gt;="&amp;C278)</f>
        <v>0</v>
      </c>
      <c r="H278" s="24">
        <f t="shared" si="20"/>
        <v>0</v>
      </c>
      <c r="I278" s="23" t="str">
        <f t="shared" si="21"/>
        <v>Match</v>
      </c>
      <c r="J278" s="23" t="str">
        <f t="shared" si="22"/>
        <v>Match</v>
      </c>
      <c r="K278" s="24">
        <f t="shared" si="23"/>
        <v>0</v>
      </c>
      <c r="L278" s="24">
        <f t="shared" si="24"/>
        <v>0</v>
      </c>
    </row>
    <row r="279" spans="1:12" ht="15" customHeight="1" x14ac:dyDescent="0.3">
      <c r="A279" s="23" t="s">
        <v>12730</v>
      </c>
      <c r="B279" s="23" t="s">
        <v>75</v>
      </c>
      <c r="C279" s="39">
        <v>2999</v>
      </c>
      <c r="D279" s="24">
        <v>9</v>
      </c>
      <c r="E279" s="24">
        <v>1.62</v>
      </c>
      <c r="F279" s="23">
        <f>COUNTIFS(mdr_rate_cleaned!$A$2:$A$10,B279,mdr_rate_cleaned!$B$2:$B$10,"&lt;"&amp;C279,mdr_rate_cleaned!$F$2:$F$10,"&gt;="&amp;C279)</f>
        <v>1</v>
      </c>
      <c r="G279" s="40">
        <f>SUMIFS(mdr_rate_cleaned!$G$2:$G$10,mdr_rate_cleaned!$A$2:$A$10,B279,mdr_rate_cleaned!$B$2:$B$10,"&lt;"&amp;C279,mdr_rate_cleaned!$F$2:$F$10,"&gt;="&amp;C279)</f>
        <v>3.0000000000000001E-3</v>
      </c>
      <c r="H279" s="24">
        <f t="shared" si="20"/>
        <v>9</v>
      </c>
      <c r="I279" s="23" t="str">
        <f t="shared" si="21"/>
        <v>Match</v>
      </c>
      <c r="J279" s="23" t="str">
        <f t="shared" si="22"/>
        <v>Match</v>
      </c>
      <c r="K279" s="24">
        <f t="shared" si="23"/>
        <v>1.62</v>
      </c>
      <c r="L279" s="24">
        <f t="shared" si="24"/>
        <v>0</v>
      </c>
    </row>
    <row r="280" spans="1:12" ht="15" customHeight="1" x14ac:dyDescent="0.3">
      <c r="A280" s="23" t="s">
        <v>12731</v>
      </c>
      <c r="B280" s="23" t="s">
        <v>75</v>
      </c>
      <c r="C280" s="39">
        <v>349</v>
      </c>
      <c r="D280" s="24">
        <v>0</v>
      </c>
      <c r="E280" s="24">
        <v>0</v>
      </c>
      <c r="F280" s="23">
        <f>COUNTIFS(mdr_rate_cleaned!$A$2:$A$10,B280,mdr_rate_cleaned!$B$2:$B$10,"&lt;"&amp;C280,mdr_rate_cleaned!$F$2:$F$10,"&gt;="&amp;C280)</f>
        <v>1</v>
      </c>
      <c r="G280" s="40">
        <f>SUMIFS(mdr_rate_cleaned!$G$2:$G$10,mdr_rate_cleaned!$A$2:$A$10,B280,mdr_rate_cleaned!$B$2:$B$10,"&lt;"&amp;C280,mdr_rate_cleaned!$F$2:$F$10,"&gt;="&amp;C280)</f>
        <v>0</v>
      </c>
      <c r="H280" s="24">
        <f t="shared" si="20"/>
        <v>0</v>
      </c>
      <c r="I280" s="23" t="str">
        <f t="shared" si="21"/>
        <v>Match</v>
      </c>
      <c r="J280" s="23" t="str">
        <f t="shared" si="22"/>
        <v>Match</v>
      </c>
      <c r="K280" s="24">
        <f t="shared" si="23"/>
        <v>0</v>
      </c>
      <c r="L280" s="24">
        <f t="shared" si="24"/>
        <v>0</v>
      </c>
    </row>
    <row r="281" spans="1:12" ht="15" customHeight="1" x14ac:dyDescent="0.3">
      <c r="A281" s="23" t="s">
        <v>12733</v>
      </c>
      <c r="B281" s="23" t="s">
        <v>79</v>
      </c>
      <c r="C281" s="39">
        <v>1799</v>
      </c>
      <c r="D281" s="24">
        <v>32.380000000000003</v>
      </c>
      <c r="E281" s="24">
        <v>5.83</v>
      </c>
      <c r="F281" s="23">
        <f>COUNTIFS(mdr_rate_cleaned!$A$2:$A$10,B281,mdr_rate_cleaned!$B$2:$B$10,"&lt;"&amp;C281,mdr_rate_cleaned!$F$2:$F$10,"&gt;="&amp;C281)</f>
        <v>1</v>
      </c>
      <c r="G281" s="40">
        <f>SUMIFS(mdr_rate_cleaned!$G$2:$G$10,mdr_rate_cleaned!$A$2:$A$10,B281,mdr_rate_cleaned!$B$2:$B$10,"&lt;"&amp;C281,mdr_rate_cleaned!$F$2:$F$10,"&gt;="&amp;C281)</f>
        <v>1.8000000000000002E-2</v>
      </c>
      <c r="H281" s="24">
        <f t="shared" si="20"/>
        <v>32.380000000000003</v>
      </c>
      <c r="I281" s="23" t="str">
        <f t="shared" si="21"/>
        <v>Match</v>
      </c>
      <c r="J281" s="23" t="str">
        <f t="shared" si="22"/>
        <v>Match</v>
      </c>
      <c r="K281" s="24">
        <f t="shared" si="23"/>
        <v>5.83</v>
      </c>
      <c r="L281" s="24">
        <f t="shared" si="24"/>
        <v>0</v>
      </c>
    </row>
    <row r="282" spans="1:12" ht="15" customHeight="1" x14ac:dyDescent="0.3">
      <c r="A282" s="23" t="s">
        <v>12734</v>
      </c>
      <c r="B282" s="23" t="s">
        <v>75</v>
      </c>
      <c r="C282" s="39">
        <v>2597</v>
      </c>
      <c r="D282" s="24">
        <v>7.79</v>
      </c>
      <c r="E282" s="24">
        <v>1.4</v>
      </c>
      <c r="F282" s="23">
        <f>COUNTIFS(mdr_rate_cleaned!$A$2:$A$10,B282,mdr_rate_cleaned!$B$2:$B$10,"&lt;"&amp;C282,mdr_rate_cleaned!$F$2:$F$10,"&gt;="&amp;C282)</f>
        <v>1</v>
      </c>
      <c r="G282" s="40">
        <f>SUMIFS(mdr_rate_cleaned!$G$2:$G$10,mdr_rate_cleaned!$A$2:$A$10,B282,mdr_rate_cleaned!$B$2:$B$10,"&lt;"&amp;C282,mdr_rate_cleaned!$F$2:$F$10,"&gt;="&amp;C282)</f>
        <v>3.0000000000000001E-3</v>
      </c>
      <c r="H282" s="24">
        <f t="shared" si="20"/>
        <v>7.79</v>
      </c>
      <c r="I282" s="23" t="str">
        <f t="shared" si="21"/>
        <v>Match</v>
      </c>
      <c r="J282" s="23" t="str">
        <f t="shared" si="22"/>
        <v>Match</v>
      </c>
      <c r="K282" s="24">
        <f t="shared" si="23"/>
        <v>1.4</v>
      </c>
      <c r="L282" s="24">
        <f t="shared" si="24"/>
        <v>0</v>
      </c>
    </row>
    <row r="283" spans="1:12" ht="15" customHeight="1" x14ac:dyDescent="0.3">
      <c r="A283" s="23" t="s">
        <v>12735</v>
      </c>
      <c r="B283" s="23" t="s">
        <v>79</v>
      </c>
      <c r="C283" s="39">
        <v>4999</v>
      </c>
      <c r="D283" s="24">
        <v>79.98</v>
      </c>
      <c r="E283" s="24">
        <v>14.4</v>
      </c>
      <c r="F283" s="23">
        <f>COUNTIFS(mdr_rate_cleaned!$A$2:$A$10,B283,mdr_rate_cleaned!$B$2:$B$10,"&lt;"&amp;C283,mdr_rate_cleaned!$F$2:$F$10,"&gt;="&amp;C283)</f>
        <v>1</v>
      </c>
      <c r="G283" s="40">
        <f>SUMIFS(mdr_rate_cleaned!$G$2:$G$10,mdr_rate_cleaned!$A$2:$A$10,B283,mdr_rate_cleaned!$B$2:$B$10,"&lt;"&amp;C283,mdr_rate_cleaned!$F$2:$F$10,"&gt;="&amp;C283)</f>
        <v>1.6E-2</v>
      </c>
      <c r="H283" s="24">
        <f t="shared" si="20"/>
        <v>79.98</v>
      </c>
      <c r="I283" s="23" t="str">
        <f t="shared" si="21"/>
        <v>Match</v>
      </c>
      <c r="J283" s="23" t="str">
        <f t="shared" si="22"/>
        <v>Match</v>
      </c>
      <c r="K283" s="24">
        <f t="shared" si="23"/>
        <v>14.4</v>
      </c>
      <c r="L283" s="24">
        <f t="shared" si="24"/>
        <v>0</v>
      </c>
    </row>
    <row r="284" spans="1:12" ht="15" customHeight="1" x14ac:dyDescent="0.3">
      <c r="A284" s="23" t="s">
        <v>12736</v>
      </c>
      <c r="B284" s="23" t="s">
        <v>77</v>
      </c>
      <c r="C284" s="39">
        <v>7999</v>
      </c>
      <c r="D284" s="24">
        <v>191.98</v>
      </c>
      <c r="E284" s="24">
        <v>34.56</v>
      </c>
      <c r="F284" s="23">
        <f>COUNTIFS(mdr_rate_cleaned!$A$2:$A$10,B284,mdr_rate_cleaned!$B$2:$B$10,"&lt;"&amp;C284,mdr_rate_cleaned!$F$2:$F$10,"&gt;="&amp;C284)</f>
        <v>1</v>
      </c>
      <c r="G284" s="40">
        <f>SUMIFS(mdr_rate_cleaned!$G$2:$G$10,mdr_rate_cleaned!$A$2:$A$10,B284,mdr_rate_cleaned!$B$2:$B$10,"&lt;"&amp;C284,mdr_rate_cleaned!$F$2:$F$10,"&gt;="&amp;C284)</f>
        <v>1.7000000000000001E-2</v>
      </c>
      <c r="H284" s="24">
        <f t="shared" si="20"/>
        <v>135.97999999999999</v>
      </c>
      <c r="I284" s="23" t="str">
        <f t="shared" si="21"/>
        <v>Differs</v>
      </c>
      <c r="J284" s="23" t="str">
        <f t="shared" si="22"/>
        <v>Match</v>
      </c>
      <c r="K284" s="24">
        <f t="shared" si="23"/>
        <v>24.48</v>
      </c>
      <c r="L284" s="24">
        <f t="shared" si="24"/>
        <v>66.08</v>
      </c>
    </row>
    <row r="285" spans="1:12" ht="15" customHeight="1" x14ac:dyDescent="0.3">
      <c r="A285" s="23" t="s">
        <v>12737</v>
      </c>
      <c r="B285" s="23" t="s">
        <v>81</v>
      </c>
      <c r="C285" s="39">
        <v>1299</v>
      </c>
      <c r="D285" s="24">
        <v>19.489999999999998</v>
      </c>
      <c r="E285" s="24">
        <v>3.51</v>
      </c>
      <c r="F285" s="23">
        <f>COUNTIFS(mdr_rate_cleaned!$A$2:$A$10,B285,mdr_rate_cleaned!$B$2:$B$10,"&lt;"&amp;C285,mdr_rate_cleaned!$F$2:$F$10,"&gt;="&amp;C285)</f>
        <v>1</v>
      </c>
      <c r="G285" s="40">
        <f>SUMIFS(mdr_rate_cleaned!$G$2:$G$10,mdr_rate_cleaned!$A$2:$A$10,B285,mdr_rate_cleaned!$B$2:$B$10,"&lt;"&amp;C285,mdr_rate_cleaned!$F$2:$F$10,"&gt;="&amp;C285)</f>
        <v>1.4999999999999999E-2</v>
      </c>
      <c r="H285" s="24">
        <f t="shared" si="20"/>
        <v>19.489999999999998</v>
      </c>
      <c r="I285" s="23" t="str">
        <f t="shared" si="21"/>
        <v>Match</v>
      </c>
      <c r="J285" s="23" t="str">
        <f t="shared" si="22"/>
        <v>Match</v>
      </c>
      <c r="K285" s="24">
        <f t="shared" si="23"/>
        <v>3.51</v>
      </c>
      <c r="L285" s="24">
        <f t="shared" si="24"/>
        <v>0</v>
      </c>
    </row>
    <row r="286" spans="1:12" ht="15" customHeight="1" x14ac:dyDescent="0.3">
      <c r="A286" s="23" t="s">
        <v>12738</v>
      </c>
      <c r="B286" s="23" t="s">
        <v>81</v>
      </c>
      <c r="C286" s="39">
        <v>349</v>
      </c>
      <c r="D286" s="24">
        <v>5.24</v>
      </c>
      <c r="E286" s="24">
        <v>0.94</v>
      </c>
      <c r="F286" s="23">
        <f>COUNTIFS(mdr_rate_cleaned!$A$2:$A$10,B286,mdr_rate_cleaned!$B$2:$B$10,"&lt;"&amp;C286,mdr_rate_cleaned!$F$2:$F$10,"&gt;="&amp;C286)</f>
        <v>1</v>
      </c>
      <c r="G286" s="40">
        <f>SUMIFS(mdr_rate_cleaned!$G$2:$G$10,mdr_rate_cleaned!$A$2:$A$10,B286,mdr_rate_cleaned!$B$2:$B$10,"&lt;"&amp;C286,mdr_rate_cleaned!$F$2:$F$10,"&gt;="&amp;C286)</f>
        <v>1.4999999999999999E-2</v>
      </c>
      <c r="H286" s="24">
        <f t="shared" si="20"/>
        <v>5.24</v>
      </c>
      <c r="I286" s="23" t="str">
        <f t="shared" si="21"/>
        <v>Match</v>
      </c>
      <c r="J286" s="23" t="str">
        <f t="shared" si="22"/>
        <v>Match</v>
      </c>
      <c r="K286" s="24">
        <f t="shared" si="23"/>
        <v>0.94</v>
      </c>
      <c r="L286" s="24">
        <f t="shared" si="24"/>
        <v>0</v>
      </c>
    </row>
    <row r="287" spans="1:12" ht="15" customHeight="1" x14ac:dyDescent="0.3">
      <c r="A287" s="23" t="s">
        <v>12739</v>
      </c>
      <c r="B287" s="23" t="s">
        <v>75</v>
      </c>
      <c r="C287" s="39">
        <v>4098</v>
      </c>
      <c r="D287" s="24">
        <v>12.29</v>
      </c>
      <c r="E287" s="24">
        <v>2.21</v>
      </c>
      <c r="F287" s="23">
        <f>COUNTIFS(mdr_rate_cleaned!$A$2:$A$10,B287,mdr_rate_cleaned!$B$2:$B$10,"&lt;"&amp;C287,mdr_rate_cleaned!$F$2:$F$10,"&gt;="&amp;C287)</f>
        <v>1</v>
      </c>
      <c r="G287" s="40">
        <f>SUMIFS(mdr_rate_cleaned!$G$2:$G$10,mdr_rate_cleaned!$A$2:$A$10,B287,mdr_rate_cleaned!$B$2:$B$10,"&lt;"&amp;C287,mdr_rate_cleaned!$F$2:$F$10,"&gt;="&amp;C287)</f>
        <v>3.0000000000000001E-3</v>
      </c>
      <c r="H287" s="24">
        <f t="shared" si="20"/>
        <v>12.29</v>
      </c>
      <c r="I287" s="23" t="str">
        <f t="shared" si="21"/>
        <v>Match</v>
      </c>
      <c r="J287" s="23" t="str">
        <f t="shared" si="22"/>
        <v>Match</v>
      </c>
      <c r="K287" s="24">
        <f t="shared" si="23"/>
        <v>2.21</v>
      </c>
      <c r="L287" s="24">
        <f t="shared" si="24"/>
        <v>0</v>
      </c>
    </row>
    <row r="288" spans="1:12" ht="15" customHeight="1" x14ac:dyDescent="0.3">
      <c r="A288" s="23" t="s">
        <v>12740</v>
      </c>
      <c r="B288" s="23" t="s">
        <v>75</v>
      </c>
      <c r="C288" s="39">
        <v>1798</v>
      </c>
      <c r="D288" s="24">
        <v>0</v>
      </c>
      <c r="E288" s="24">
        <v>0</v>
      </c>
      <c r="F288" s="23">
        <f>COUNTIFS(mdr_rate_cleaned!$A$2:$A$10,B288,mdr_rate_cleaned!$B$2:$B$10,"&lt;"&amp;C288,mdr_rate_cleaned!$F$2:$F$10,"&gt;="&amp;C288)</f>
        <v>1</v>
      </c>
      <c r="G288" s="40">
        <f>SUMIFS(mdr_rate_cleaned!$G$2:$G$10,mdr_rate_cleaned!$A$2:$A$10,B288,mdr_rate_cleaned!$B$2:$B$10,"&lt;"&amp;C288,mdr_rate_cleaned!$F$2:$F$10,"&gt;="&amp;C288)</f>
        <v>0</v>
      </c>
      <c r="H288" s="24">
        <f t="shared" si="20"/>
        <v>0</v>
      </c>
      <c r="I288" s="23" t="str">
        <f t="shared" si="21"/>
        <v>Match</v>
      </c>
      <c r="J288" s="23" t="str">
        <f t="shared" si="22"/>
        <v>Match</v>
      </c>
      <c r="K288" s="24">
        <f t="shared" si="23"/>
        <v>0</v>
      </c>
      <c r="L288" s="24">
        <f t="shared" si="24"/>
        <v>0</v>
      </c>
    </row>
    <row r="289" spans="1:12" ht="15" customHeight="1" x14ac:dyDescent="0.3">
      <c r="A289" s="23" t="s">
        <v>12741</v>
      </c>
      <c r="B289" s="23" t="s">
        <v>79</v>
      </c>
      <c r="C289" s="39">
        <v>2947</v>
      </c>
      <c r="D289" s="24">
        <v>47.15</v>
      </c>
      <c r="E289" s="24">
        <v>8.49</v>
      </c>
      <c r="F289" s="23">
        <f>COUNTIFS(mdr_rate_cleaned!$A$2:$A$10,B289,mdr_rate_cleaned!$B$2:$B$10,"&lt;"&amp;C289,mdr_rate_cleaned!$F$2:$F$10,"&gt;="&amp;C289)</f>
        <v>1</v>
      </c>
      <c r="G289" s="40">
        <f>SUMIFS(mdr_rate_cleaned!$G$2:$G$10,mdr_rate_cleaned!$A$2:$A$10,B289,mdr_rate_cleaned!$B$2:$B$10,"&lt;"&amp;C289,mdr_rate_cleaned!$F$2:$F$10,"&gt;="&amp;C289)</f>
        <v>1.6E-2</v>
      </c>
      <c r="H289" s="24">
        <f t="shared" si="20"/>
        <v>47.15</v>
      </c>
      <c r="I289" s="23" t="str">
        <f t="shared" si="21"/>
        <v>Match</v>
      </c>
      <c r="J289" s="23" t="str">
        <f t="shared" si="22"/>
        <v>Match</v>
      </c>
      <c r="K289" s="24">
        <f t="shared" si="23"/>
        <v>8.49</v>
      </c>
      <c r="L289" s="24">
        <f t="shared" si="24"/>
        <v>0</v>
      </c>
    </row>
    <row r="290" spans="1:12" ht="15" customHeight="1" x14ac:dyDescent="0.3">
      <c r="A290" s="23" t="s">
        <v>12742</v>
      </c>
      <c r="B290" s="23" t="s">
        <v>79</v>
      </c>
      <c r="C290" s="39">
        <v>6998</v>
      </c>
      <c r="D290" s="24">
        <v>111.97</v>
      </c>
      <c r="E290" s="24">
        <v>20.149999999999999</v>
      </c>
      <c r="F290" s="23">
        <f>COUNTIFS(mdr_rate_cleaned!$A$2:$A$10,B290,mdr_rate_cleaned!$B$2:$B$10,"&lt;"&amp;C290,mdr_rate_cleaned!$F$2:$F$10,"&gt;="&amp;C290)</f>
        <v>1</v>
      </c>
      <c r="G290" s="40">
        <f>SUMIFS(mdr_rate_cleaned!$G$2:$G$10,mdr_rate_cleaned!$A$2:$A$10,B290,mdr_rate_cleaned!$B$2:$B$10,"&lt;"&amp;C290,mdr_rate_cleaned!$F$2:$F$10,"&gt;="&amp;C290)</f>
        <v>1.6E-2</v>
      </c>
      <c r="H290" s="24">
        <f t="shared" si="20"/>
        <v>111.97</v>
      </c>
      <c r="I290" s="23" t="str">
        <f t="shared" si="21"/>
        <v>Match</v>
      </c>
      <c r="J290" s="23" t="str">
        <f t="shared" si="22"/>
        <v>Match</v>
      </c>
      <c r="K290" s="24">
        <f t="shared" si="23"/>
        <v>20.149999999999999</v>
      </c>
      <c r="L290" s="24">
        <f t="shared" si="24"/>
        <v>0</v>
      </c>
    </row>
    <row r="291" spans="1:12" ht="15" customHeight="1" x14ac:dyDescent="0.3">
      <c r="A291" s="23" t="s">
        <v>12743</v>
      </c>
      <c r="B291" s="23" t="s">
        <v>77</v>
      </c>
      <c r="C291" s="39">
        <v>8798</v>
      </c>
      <c r="D291" s="24">
        <v>149.57</v>
      </c>
      <c r="E291" s="24">
        <v>26.92</v>
      </c>
      <c r="F291" s="23">
        <f>COUNTIFS(mdr_rate_cleaned!$A$2:$A$10,B291,mdr_rate_cleaned!$B$2:$B$10,"&lt;"&amp;C291,mdr_rate_cleaned!$F$2:$F$10,"&gt;="&amp;C291)</f>
        <v>1</v>
      </c>
      <c r="G291" s="40">
        <f>SUMIFS(mdr_rate_cleaned!$G$2:$G$10,mdr_rate_cleaned!$A$2:$A$10,B291,mdr_rate_cleaned!$B$2:$B$10,"&lt;"&amp;C291,mdr_rate_cleaned!$F$2:$F$10,"&gt;="&amp;C291)</f>
        <v>1.7000000000000001E-2</v>
      </c>
      <c r="H291" s="24">
        <f t="shared" si="20"/>
        <v>149.57</v>
      </c>
      <c r="I291" s="23" t="str">
        <f t="shared" si="21"/>
        <v>Match</v>
      </c>
      <c r="J291" s="23" t="str">
        <f t="shared" si="22"/>
        <v>Match</v>
      </c>
      <c r="K291" s="24">
        <f t="shared" si="23"/>
        <v>26.92</v>
      </c>
      <c r="L291" s="24">
        <f t="shared" si="24"/>
        <v>0</v>
      </c>
    </row>
    <row r="292" spans="1:12" ht="15" customHeight="1" x14ac:dyDescent="0.3">
      <c r="A292" s="23" t="s">
        <v>12745</v>
      </c>
      <c r="B292" s="23" t="s">
        <v>81</v>
      </c>
      <c r="C292" s="39">
        <v>3998</v>
      </c>
      <c r="D292" s="24">
        <v>47.98</v>
      </c>
      <c r="E292" s="24">
        <v>8.64</v>
      </c>
      <c r="F292" s="23">
        <f>COUNTIFS(mdr_rate_cleaned!$A$2:$A$10,B292,mdr_rate_cleaned!$B$2:$B$10,"&lt;"&amp;C292,mdr_rate_cleaned!$F$2:$F$10,"&gt;="&amp;C292)</f>
        <v>1</v>
      </c>
      <c r="G292" s="40">
        <f>SUMIFS(mdr_rate_cleaned!$G$2:$G$10,mdr_rate_cleaned!$A$2:$A$10,B292,mdr_rate_cleaned!$B$2:$B$10,"&lt;"&amp;C292,mdr_rate_cleaned!$F$2:$F$10,"&gt;="&amp;C292)</f>
        <v>1.2E-2</v>
      </c>
      <c r="H292" s="24">
        <f t="shared" si="20"/>
        <v>47.98</v>
      </c>
      <c r="I292" s="23" t="str">
        <f t="shared" si="21"/>
        <v>Match</v>
      </c>
      <c r="J292" s="23" t="str">
        <f t="shared" si="22"/>
        <v>Match</v>
      </c>
      <c r="K292" s="24">
        <f t="shared" si="23"/>
        <v>8.64</v>
      </c>
      <c r="L292" s="24">
        <f t="shared" si="24"/>
        <v>0</v>
      </c>
    </row>
    <row r="293" spans="1:12" ht="15" customHeight="1" x14ac:dyDescent="0.3">
      <c r="A293" s="23" t="s">
        <v>12746</v>
      </c>
      <c r="B293" s="23" t="s">
        <v>75</v>
      </c>
      <c r="C293" s="39">
        <v>499</v>
      </c>
      <c r="D293" s="24">
        <v>0</v>
      </c>
      <c r="E293" s="24">
        <v>0</v>
      </c>
      <c r="F293" s="23">
        <f>COUNTIFS(mdr_rate_cleaned!$A$2:$A$10,B293,mdr_rate_cleaned!$B$2:$B$10,"&lt;"&amp;C293,mdr_rate_cleaned!$F$2:$F$10,"&gt;="&amp;C293)</f>
        <v>1</v>
      </c>
      <c r="G293" s="40">
        <f>SUMIFS(mdr_rate_cleaned!$G$2:$G$10,mdr_rate_cleaned!$A$2:$A$10,B293,mdr_rate_cleaned!$B$2:$B$10,"&lt;"&amp;C293,mdr_rate_cleaned!$F$2:$F$10,"&gt;="&amp;C293)</f>
        <v>0</v>
      </c>
      <c r="H293" s="24">
        <f t="shared" si="20"/>
        <v>0</v>
      </c>
      <c r="I293" s="23" t="str">
        <f t="shared" si="21"/>
        <v>Match</v>
      </c>
      <c r="J293" s="23" t="str">
        <f t="shared" si="22"/>
        <v>Match</v>
      </c>
      <c r="K293" s="24">
        <f t="shared" si="23"/>
        <v>0</v>
      </c>
      <c r="L293" s="24">
        <f t="shared" si="24"/>
        <v>0</v>
      </c>
    </row>
    <row r="294" spans="1:12" ht="15" customHeight="1" x14ac:dyDescent="0.3">
      <c r="A294" s="23" t="s">
        <v>12747</v>
      </c>
      <c r="B294" s="23" t="s">
        <v>81</v>
      </c>
      <c r="C294" s="39">
        <v>349</v>
      </c>
      <c r="D294" s="24">
        <v>5.24</v>
      </c>
      <c r="E294" s="24">
        <v>0.94</v>
      </c>
      <c r="F294" s="23">
        <f>COUNTIFS(mdr_rate_cleaned!$A$2:$A$10,B294,mdr_rate_cleaned!$B$2:$B$10,"&lt;"&amp;C294,mdr_rate_cleaned!$F$2:$F$10,"&gt;="&amp;C294)</f>
        <v>1</v>
      </c>
      <c r="G294" s="40">
        <f>SUMIFS(mdr_rate_cleaned!$G$2:$G$10,mdr_rate_cleaned!$A$2:$A$10,B294,mdr_rate_cleaned!$B$2:$B$10,"&lt;"&amp;C294,mdr_rate_cleaned!$F$2:$F$10,"&gt;="&amp;C294)</f>
        <v>1.4999999999999999E-2</v>
      </c>
      <c r="H294" s="24">
        <f t="shared" si="20"/>
        <v>5.24</v>
      </c>
      <c r="I294" s="23" t="str">
        <f t="shared" si="21"/>
        <v>Match</v>
      </c>
      <c r="J294" s="23" t="str">
        <f t="shared" si="22"/>
        <v>Match</v>
      </c>
      <c r="K294" s="24">
        <f t="shared" si="23"/>
        <v>0.94</v>
      </c>
      <c r="L294" s="24">
        <f t="shared" si="24"/>
        <v>0</v>
      </c>
    </row>
    <row r="295" spans="1:12" ht="15" customHeight="1" x14ac:dyDescent="0.3">
      <c r="A295" s="23" t="s">
        <v>12749</v>
      </c>
      <c r="B295" s="23" t="s">
        <v>75</v>
      </c>
      <c r="C295" s="39">
        <v>1098</v>
      </c>
      <c r="D295" s="24">
        <v>0</v>
      </c>
      <c r="E295" s="24">
        <v>0</v>
      </c>
      <c r="F295" s="23">
        <f>COUNTIFS(mdr_rate_cleaned!$A$2:$A$10,B295,mdr_rate_cleaned!$B$2:$B$10,"&lt;"&amp;C295,mdr_rate_cleaned!$F$2:$F$10,"&gt;="&amp;C295)</f>
        <v>1</v>
      </c>
      <c r="G295" s="40">
        <f>SUMIFS(mdr_rate_cleaned!$G$2:$G$10,mdr_rate_cleaned!$A$2:$A$10,B295,mdr_rate_cleaned!$B$2:$B$10,"&lt;"&amp;C295,mdr_rate_cleaned!$F$2:$F$10,"&gt;="&amp;C295)</f>
        <v>0</v>
      </c>
      <c r="H295" s="24">
        <f t="shared" si="20"/>
        <v>0</v>
      </c>
      <c r="I295" s="23" t="str">
        <f t="shared" si="21"/>
        <v>Match</v>
      </c>
      <c r="J295" s="23" t="str">
        <f t="shared" si="22"/>
        <v>Match</v>
      </c>
      <c r="K295" s="24">
        <f t="shared" si="23"/>
        <v>0</v>
      </c>
      <c r="L295" s="24">
        <f t="shared" si="24"/>
        <v>0</v>
      </c>
    </row>
    <row r="296" spans="1:12" ht="15" customHeight="1" x14ac:dyDescent="0.3">
      <c r="A296" s="23" t="s">
        <v>12750</v>
      </c>
      <c r="B296" s="23" t="s">
        <v>79</v>
      </c>
      <c r="C296" s="39">
        <v>10347</v>
      </c>
      <c r="D296" s="24">
        <v>165.55</v>
      </c>
      <c r="E296" s="24">
        <v>29.8</v>
      </c>
      <c r="F296" s="23">
        <f>COUNTIFS(mdr_rate_cleaned!$A$2:$A$10,B296,mdr_rate_cleaned!$B$2:$B$10,"&lt;"&amp;C296,mdr_rate_cleaned!$F$2:$F$10,"&gt;="&amp;C296)</f>
        <v>1</v>
      </c>
      <c r="G296" s="40">
        <f>SUMIFS(mdr_rate_cleaned!$G$2:$G$10,mdr_rate_cleaned!$A$2:$A$10,B296,mdr_rate_cleaned!$B$2:$B$10,"&lt;"&amp;C296,mdr_rate_cleaned!$F$2:$F$10,"&gt;="&amp;C296)</f>
        <v>1.6E-2</v>
      </c>
      <c r="H296" s="24">
        <f t="shared" si="20"/>
        <v>165.55</v>
      </c>
      <c r="I296" s="23" t="str">
        <f t="shared" si="21"/>
        <v>Match</v>
      </c>
      <c r="J296" s="23" t="str">
        <f t="shared" si="22"/>
        <v>Match</v>
      </c>
      <c r="K296" s="24">
        <f t="shared" si="23"/>
        <v>29.8</v>
      </c>
      <c r="L296" s="24">
        <f t="shared" si="24"/>
        <v>0</v>
      </c>
    </row>
    <row r="297" spans="1:12" ht="15" customHeight="1" x14ac:dyDescent="0.3">
      <c r="A297" s="23" t="s">
        <v>12751</v>
      </c>
      <c r="B297" s="23" t="s">
        <v>79</v>
      </c>
      <c r="C297" s="39">
        <v>5598</v>
      </c>
      <c r="D297" s="24">
        <v>89.57</v>
      </c>
      <c r="E297" s="24">
        <v>16.12</v>
      </c>
      <c r="F297" s="23">
        <f>COUNTIFS(mdr_rate_cleaned!$A$2:$A$10,B297,mdr_rate_cleaned!$B$2:$B$10,"&lt;"&amp;C297,mdr_rate_cleaned!$F$2:$F$10,"&gt;="&amp;C297)</f>
        <v>1</v>
      </c>
      <c r="G297" s="40">
        <f>SUMIFS(mdr_rate_cleaned!$G$2:$G$10,mdr_rate_cleaned!$A$2:$A$10,B297,mdr_rate_cleaned!$B$2:$B$10,"&lt;"&amp;C297,mdr_rate_cleaned!$F$2:$F$10,"&gt;="&amp;C297)</f>
        <v>1.6E-2</v>
      </c>
      <c r="H297" s="24">
        <f t="shared" si="20"/>
        <v>89.57</v>
      </c>
      <c r="I297" s="23" t="str">
        <f t="shared" si="21"/>
        <v>Match</v>
      </c>
      <c r="J297" s="23" t="str">
        <f t="shared" si="22"/>
        <v>Match</v>
      </c>
      <c r="K297" s="24">
        <f t="shared" si="23"/>
        <v>16.12</v>
      </c>
      <c r="L297" s="24">
        <f t="shared" si="24"/>
        <v>0</v>
      </c>
    </row>
    <row r="298" spans="1:12" ht="15" customHeight="1" x14ac:dyDescent="0.3">
      <c r="A298" s="23" t="s">
        <v>12752</v>
      </c>
      <c r="B298" s="23" t="s">
        <v>75</v>
      </c>
      <c r="C298" s="39">
        <v>6498</v>
      </c>
      <c r="D298" s="24">
        <v>19.489999999999998</v>
      </c>
      <c r="E298" s="24">
        <v>3.51</v>
      </c>
      <c r="F298" s="23">
        <f>COUNTIFS(mdr_rate_cleaned!$A$2:$A$10,B298,mdr_rate_cleaned!$B$2:$B$10,"&lt;"&amp;C298,mdr_rate_cleaned!$F$2:$F$10,"&gt;="&amp;C298)</f>
        <v>1</v>
      </c>
      <c r="G298" s="40">
        <f>SUMIFS(mdr_rate_cleaned!$G$2:$G$10,mdr_rate_cleaned!$A$2:$A$10,B298,mdr_rate_cleaned!$B$2:$B$10,"&lt;"&amp;C298,mdr_rate_cleaned!$F$2:$F$10,"&gt;="&amp;C298)</f>
        <v>3.0000000000000001E-3</v>
      </c>
      <c r="H298" s="24">
        <f t="shared" si="20"/>
        <v>19.489999999999998</v>
      </c>
      <c r="I298" s="23" t="str">
        <f t="shared" si="21"/>
        <v>Match</v>
      </c>
      <c r="J298" s="23" t="str">
        <f t="shared" si="22"/>
        <v>Match</v>
      </c>
      <c r="K298" s="24">
        <f t="shared" si="23"/>
        <v>3.51</v>
      </c>
      <c r="L298" s="24">
        <f t="shared" si="24"/>
        <v>0</v>
      </c>
    </row>
    <row r="299" spans="1:12" ht="15" customHeight="1" x14ac:dyDescent="0.3">
      <c r="A299" s="23" t="s">
        <v>12753</v>
      </c>
      <c r="B299" s="23" t="s">
        <v>77</v>
      </c>
      <c r="C299" s="39">
        <v>6797</v>
      </c>
      <c r="D299" s="24">
        <v>115.55</v>
      </c>
      <c r="E299" s="24">
        <v>20.8</v>
      </c>
      <c r="F299" s="23">
        <f>COUNTIFS(mdr_rate_cleaned!$A$2:$A$10,B299,mdr_rate_cleaned!$B$2:$B$10,"&lt;"&amp;C299,mdr_rate_cleaned!$F$2:$F$10,"&gt;="&amp;C299)</f>
        <v>1</v>
      </c>
      <c r="G299" s="40">
        <f>SUMIFS(mdr_rate_cleaned!$G$2:$G$10,mdr_rate_cleaned!$A$2:$A$10,B299,mdr_rate_cleaned!$B$2:$B$10,"&lt;"&amp;C299,mdr_rate_cleaned!$F$2:$F$10,"&gt;="&amp;C299)</f>
        <v>1.7000000000000001E-2</v>
      </c>
      <c r="H299" s="24">
        <f t="shared" si="20"/>
        <v>115.55</v>
      </c>
      <c r="I299" s="23" t="str">
        <f t="shared" si="21"/>
        <v>Match</v>
      </c>
      <c r="J299" s="23" t="str">
        <f t="shared" si="22"/>
        <v>Match</v>
      </c>
      <c r="K299" s="24">
        <f t="shared" si="23"/>
        <v>20.8</v>
      </c>
      <c r="L299" s="24">
        <f t="shared" si="24"/>
        <v>0</v>
      </c>
    </row>
    <row r="300" spans="1:12" ht="15" customHeight="1" x14ac:dyDescent="0.3">
      <c r="A300" s="23" t="s">
        <v>12755</v>
      </c>
      <c r="B300" s="23" t="s">
        <v>75</v>
      </c>
      <c r="C300" s="39">
        <v>5797</v>
      </c>
      <c r="D300" s="24">
        <v>17.39</v>
      </c>
      <c r="E300" s="24">
        <v>3.13</v>
      </c>
      <c r="F300" s="23">
        <f>COUNTIFS(mdr_rate_cleaned!$A$2:$A$10,B300,mdr_rate_cleaned!$B$2:$B$10,"&lt;"&amp;C300,mdr_rate_cleaned!$F$2:$F$10,"&gt;="&amp;C300)</f>
        <v>1</v>
      </c>
      <c r="G300" s="40">
        <f>SUMIFS(mdr_rate_cleaned!$G$2:$G$10,mdr_rate_cleaned!$A$2:$A$10,B300,mdr_rate_cleaned!$B$2:$B$10,"&lt;"&amp;C300,mdr_rate_cleaned!$F$2:$F$10,"&gt;="&amp;C300)</f>
        <v>3.0000000000000001E-3</v>
      </c>
      <c r="H300" s="24">
        <f t="shared" si="20"/>
        <v>17.39</v>
      </c>
      <c r="I300" s="23" t="str">
        <f t="shared" si="21"/>
        <v>Match</v>
      </c>
      <c r="J300" s="23" t="str">
        <f t="shared" si="22"/>
        <v>Match</v>
      </c>
      <c r="K300" s="24">
        <f t="shared" si="23"/>
        <v>3.13</v>
      </c>
      <c r="L300" s="24">
        <f t="shared" si="24"/>
        <v>0</v>
      </c>
    </row>
    <row r="301" spans="1:12" ht="15" customHeight="1" x14ac:dyDescent="0.3">
      <c r="A301" s="23" t="s">
        <v>12757</v>
      </c>
      <c r="B301" s="23" t="s">
        <v>79</v>
      </c>
      <c r="C301" s="39">
        <v>2998</v>
      </c>
      <c r="D301" s="24">
        <v>47.97</v>
      </c>
      <c r="E301" s="24">
        <v>8.6300000000000008</v>
      </c>
      <c r="F301" s="23">
        <f>COUNTIFS(mdr_rate_cleaned!$A$2:$A$10,B301,mdr_rate_cleaned!$B$2:$B$10,"&lt;"&amp;C301,mdr_rate_cleaned!$F$2:$F$10,"&gt;="&amp;C301)</f>
        <v>1</v>
      </c>
      <c r="G301" s="40">
        <f>SUMIFS(mdr_rate_cleaned!$G$2:$G$10,mdr_rate_cleaned!$A$2:$A$10,B301,mdr_rate_cleaned!$B$2:$B$10,"&lt;"&amp;C301,mdr_rate_cleaned!$F$2:$F$10,"&gt;="&amp;C301)</f>
        <v>1.6E-2</v>
      </c>
      <c r="H301" s="24">
        <f t="shared" si="20"/>
        <v>47.97</v>
      </c>
      <c r="I301" s="23" t="str">
        <f t="shared" si="21"/>
        <v>Match</v>
      </c>
      <c r="J301" s="23" t="str">
        <f t="shared" si="22"/>
        <v>Match</v>
      </c>
      <c r="K301" s="24">
        <f t="shared" si="23"/>
        <v>8.6300000000000008</v>
      </c>
      <c r="L301" s="24">
        <f t="shared" si="24"/>
        <v>0</v>
      </c>
    </row>
    <row r="302" spans="1:12" ht="15" customHeight="1" x14ac:dyDescent="0.3">
      <c r="A302" s="23" t="s">
        <v>12758</v>
      </c>
      <c r="B302" s="23" t="s">
        <v>79</v>
      </c>
      <c r="C302" s="39">
        <v>4498</v>
      </c>
      <c r="D302" s="24">
        <v>71.97</v>
      </c>
      <c r="E302" s="24">
        <v>12.95</v>
      </c>
      <c r="F302" s="23">
        <f>COUNTIFS(mdr_rate_cleaned!$A$2:$A$10,B302,mdr_rate_cleaned!$B$2:$B$10,"&lt;"&amp;C302,mdr_rate_cleaned!$F$2:$F$10,"&gt;="&amp;C302)</f>
        <v>1</v>
      </c>
      <c r="G302" s="40">
        <f>SUMIFS(mdr_rate_cleaned!$G$2:$G$10,mdr_rate_cleaned!$A$2:$A$10,B302,mdr_rate_cleaned!$B$2:$B$10,"&lt;"&amp;C302,mdr_rate_cleaned!$F$2:$F$10,"&gt;="&amp;C302)</f>
        <v>1.6E-2</v>
      </c>
      <c r="H302" s="24">
        <f t="shared" si="20"/>
        <v>71.97</v>
      </c>
      <c r="I302" s="23" t="str">
        <f t="shared" si="21"/>
        <v>Match</v>
      </c>
      <c r="J302" s="23" t="str">
        <f t="shared" si="22"/>
        <v>Match</v>
      </c>
      <c r="K302" s="24">
        <f t="shared" si="23"/>
        <v>12.95</v>
      </c>
      <c r="L302" s="24">
        <f t="shared" si="24"/>
        <v>0</v>
      </c>
    </row>
    <row r="303" spans="1:12" ht="15" customHeight="1" x14ac:dyDescent="0.3">
      <c r="A303" s="23" t="s">
        <v>12759</v>
      </c>
      <c r="B303" s="23" t="s">
        <v>75</v>
      </c>
      <c r="C303" s="39">
        <v>10297</v>
      </c>
      <c r="D303" s="24">
        <v>30.89</v>
      </c>
      <c r="E303" s="24">
        <v>5.56</v>
      </c>
      <c r="F303" s="23">
        <f>COUNTIFS(mdr_rate_cleaned!$A$2:$A$10,B303,mdr_rate_cleaned!$B$2:$B$10,"&lt;"&amp;C303,mdr_rate_cleaned!$F$2:$F$10,"&gt;="&amp;C303)</f>
        <v>1</v>
      </c>
      <c r="G303" s="40">
        <f>SUMIFS(mdr_rate_cleaned!$G$2:$G$10,mdr_rate_cleaned!$A$2:$A$10,B303,mdr_rate_cleaned!$B$2:$B$10,"&lt;"&amp;C303,mdr_rate_cleaned!$F$2:$F$10,"&gt;="&amp;C303)</f>
        <v>3.0000000000000001E-3</v>
      </c>
      <c r="H303" s="24">
        <f t="shared" si="20"/>
        <v>30.89</v>
      </c>
      <c r="I303" s="23" t="str">
        <f t="shared" si="21"/>
        <v>Match</v>
      </c>
      <c r="J303" s="23" t="str">
        <f t="shared" si="22"/>
        <v>Match</v>
      </c>
      <c r="K303" s="24">
        <f t="shared" si="23"/>
        <v>5.56</v>
      </c>
      <c r="L303" s="24">
        <f t="shared" si="24"/>
        <v>0</v>
      </c>
    </row>
    <row r="304" spans="1:12" ht="15" customHeight="1" x14ac:dyDescent="0.3">
      <c r="A304" s="23" t="s">
        <v>12760</v>
      </c>
      <c r="B304" s="23" t="s">
        <v>79</v>
      </c>
      <c r="C304" s="39">
        <v>9797</v>
      </c>
      <c r="D304" s="24">
        <v>156.75</v>
      </c>
      <c r="E304" s="24">
        <v>28.22</v>
      </c>
      <c r="F304" s="23">
        <f>COUNTIFS(mdr_rate_cleaned!$A$2:$A$10,B304,mdr_rate_cleaned!$B$2:$B$10,"&lt;"&amp;C304,mdr_rate_cleaned!$F$2:$F$10,"&gt;="&amp;C304)</f>
        <v>1</v>
      </c>
      <c r="G304" s="40">
        <f>SUMIFS(mdr_rate_cleaned!$G$2:$G$10,mdr_rate_cleaned!$A$2:$A$10,B304,mdr_rate_cleaned!$B$2:$B$10,"&lt;"&amp;C304,mdr_rate_cleaned!$F$2:$F$10,"&gt;="&amp;C304)</f>
        <v>1.6E-2</v>
      </c>
      <c r="H304" s="24">
        <f t="shared" si="20"/>
        <v>156.75</v>
      </c>
      <c r="I304" s="23" t="str">
        <f t="shared" si="21"/>
        <v>Match</v>
      </c>
      <c r="J304" s="23" t="str">
        <f t="shared" si="22"/>
        <v>Match</v>
      </c>
      <c r="K304" s="24">
        <f t="shared" si="23"/>
        <v>28.22</v>
      </c>
      <c r="L304" s="24">
        <f t="shared" si="24"/>
        <v>0</v>
      </c>
    </row>
    <row r="305" spans="1:12" ht="15" customHeight="1" x14ac:dyDescent="0.3">
      <c r="A305" s="23" t="s">
        <v>12761</v>
      </c>
      <c r="B305" s="23" t="s">
        <v>75</v>
      </c>
      <c r="C305" s="39">
        <v>3499</v>
      </c>
      <c r="D305" s="24">
        <v>10.5</v>
      </c>
      <c r="E305" s="24">
        <v>1.89</v>
      </c>
      <c r="F305" s="23">
        <f>COUNTIFS(mdr_rate_cleaned!$A$2:$A$10,B305,mdr_rate_cleaned!$B$2:$B$10,"&lt;"&amp;C305,mdr_rate_cleaned!$F$2:$F$10,"&gt;="&amp;C305)</f>
        <v>1</v>
      </c>
      <c r="G305" s="40">
        <f>SUMIFS(mdr_rate_cleaned!$G$2:$G$10,mdr_rate_cleaned!$A$2:$A$10,B305,mdr_rate_cleaned!$B$2:$B$10,"&lt;"&amp;C305,mdr_rate_cleaned!$F$2:$F$10,"&gt;="&amp;C305)</f>
        <v>3.0000000000000001E-3</v>
      </c>
      <c r="H305" s="24">
        <f t="shared" si="20"/>
        <v>10.5</v>
      </c>
      <c r="I305" s="23" t="str">
        <f t="shared" si="21"/>
        <v>Match</v>
      </c>
      <c r="J305" s="23" t="str">
        <f t="shared" si="22"/>
        <v>Match</v>
      </c>
      <c r="K305" s="24">
        <f t="shared" si="23"/>
        <v>1.89</v>
      </c>
      <c r="L305" s="24">
        <f t="shared" si="24"/>
        <v>0</v>
      </c>
    </row>
    <row r="306" spans="1:12" ht="15" customHeight="1" x14ac:dyDescent="0.3">
      <c r="A306" s="23" t="s">
        <v>12763</v>
      </c>
      <c r="B306" s="23" t="s">
        <v>75</v>
      </c>
      <c r="C306" s="39">
        <v>799</v>
      </c>
      <c r="D306" s="24">
        <v>0</v>
      </c>
      <c r="E306" s="24">
        <v>0</v>
      </c>
      <c r="F306" s="23">
        <f>COUNTIFS(mdr_rate_cleaned!$A$2:$A$10,B306,mdr_rate_cleaned!$B$2:$B$10,"&lt;"&amp;C306,mdr_rate_cleaned!$F$2:$F$10,"&gt;="&amp;C306)</f>
        <v>1</v>
      </c>
      <c r="G306" s="40">
        <f>SUMIFS(mdr_rate_cleaned!$G$2:$G$10,mdr_rate_cleaned!$A$2:$A$10,B306,mdr_rate_cleaned!$B$2:$B$10,"&lt;"&amp;C306,mdr_rate_cleaned!$F$2:$F$10,"&gt;="&amp;C306)</f>
        <v>0</v>
      </c>
      <c r="H306" s="24">
        <f t="shared" si="20"/>
        <v>0</v>
      </c>
      <c r="I306" s="23" t="str">
        <f t="shared" si="21"/>
        <v>Match</v>
      </c>
      <c r="J306" s="23" t="str">
        <f t="shared" si="22"/>
        <v>Match</v>
      </c>
      <c r="K306" s="24">
        <f t="shared" si="23"/>
        <v>0</v>
      </c>
      <c r="L306" s="24">
        <f t="shared" si="24"/>
        <v>0</v>
      </c>
    </row>
    <row r="307" spans="1:12" ht="15" customHeight="1" x14ac:dyDescent="0.3">
      <c r="A307" s="23" t="s">
        <v>12765</v>
      </c>
      <c r="B307" s="23" t="s">
        <v>81</v>
      </c>
      <c r="C307" s="39">
        <v>698</v>
      </c>
      <c r="D307" s="24">
        <v>10.47</v>
      </c>
      <c r="E307" s="24">
        <v>1.88</v>
      </c>
      <c r="F307" s="23">
        <f>COUNTIFS(mdr_rate_cleaned!$A$2:$A$10,B307,mdr_rate_cleaned!$B$2:$B$10,"&lt;"&amp;C307,mdr_rate_cleaned!$F$2:$F$10,"&gt;="&amp;C307)</f>
        <v>1</v>
      </c>
      <c r="G307" s="40">
        <f>SUMIFS(mdr_rate_cleaned!$G$2:$G$10,mdr_rate_cleaned!$A$2:$A$10,B307,mdr_rate_cleaned!$B$2:$B$10,"&lt;"&amp;C307,mdr_rate_cleaned!$F$2:$F$10,"&gt;="&amp;C307)</f>
        <v>1.4999999999999999E-2</v>
      </c>
      <c r="H307" s="24">
        <f t="shared" si="20"/>
        <v>10.47</v>
      </c>
      <c r="I307" s="23" t="str">
        <f t="shared" si="21"/>
        <v>Match</v>
      </c>
      <c r="J307" s="23" t="str">
        <f t="shared" si="22"/>
        <v>Match</v>
      </c>
      <c r="K307" s="24">
        <f t="shared" si="23"/>
        <v>1.88</v>
      </c>
      <c r="L307" s="24">
        <f t="shared" si="24"/>
        <v>0</v>
      </c>
    </row>
    <row r="308" spans="1:12" ht="15" customHeight="1" x14ac:dyDescent="0.3">
      <c r="A308" s="23" t="s">
        <v>12766</v>
      </c>
      <c r="B308" s="23" t="s">
        <v>79</v>
      </c>
      <c r="C308" s="39">
        <v>5097</v>
      </c>
      <c r="D308" s="24">
        <v>81.55</v>
      </c>
      <c r="E308" s="24">
        <v>14.68</v>
      </c>
      <c r="F308" s="23">
        <f>COUNTIFS(mdr_rate_cleaned!$A$2:$A$10,B308,mdr_rate_cleaned!$B$2:$B$10,"&lt;"&amp;C308,mdr_rate_cleaned!$F$2:$F$10,"&gt;="&amp;C308)</f>
        <v>1</v>
      </c>
      <c r="G308" s="40">
        <f>SUMIFS(mdr_rate_cleaned!$G$2:$G$10,mdr_rate_cleaned!$A$2:$A$10,B308,mdr_rate_cleaned!$B$2:$B$10,"&lt;"&amp;C308,mdr_rate_cleaned!$F$2:$F$10,"&gt;="&amp;C308)</f>
        <v>1.6E-2</v>
      </c>
      <c r="H308" s="24">
        <f t="shared" si="20"/>
        <v>81.55</v>
      </c>
      <c r="I308" s="23" t="str">
        <f t="shared" si="21"/>
        <v>Match</v>
      </c>
      <c r="J308" s="23" t="str">
        <f t="shared" si="22"/>
        <v>Match</v>
      </c>
      <c r="K308" s="24">
        <f t="shared" si="23"/>
        <v>14.68</v>
      </c>
      <c r="L308" s="24">
        <f t="shared" si="24"/>
        <v>0</v>
      </c>
    </row>
    <row r="309" spans="1:12" ht="15" customHeight="1" x14ac:dyDescent="0.3">
      <c r="A309" s="23" t="s">
        <v>12767</v>
      </c>
      <c r="B309" s="23" t="s">
        <v>75</v>
      </c>
      <c r="C309" s="39">
        <v>499</v>
      </c>
      <c r="D309" s="24">
        <v>0</v>
      </c>
      <c r="E309" s="24">
        <v>0</v>
      </c>
      <c r="F309" s="23">
        <f>COUNTIFS(mdr_rate_cleaned!$A$2:$A$10,B309,mdr_rate_cleaned!$B$2:$B$10,"&lt;"&amp;C309,mdr_rate_cleaned!$F$2:$F$10,"&gt;="&amp;C309)</f>
        <v>1</v>
      </c>
      <c r="G309" s="40">
        <f>SUMIFS(mdr_rate_cleaned!$G$2:$G$10,mdr_rate_cleaned!$A$2:$A$10,B309,mdr_rate_cleaned!$B$2:$B$10,"&lt;"&amp;C309,mdr_rate_cleaned!$F$2:$F$10,"&gt;="&amp;C309)</f>
        <v>0</v>
      </c>
      <c r="H309" s="24">
        <f t="shared" si="20"/>
        <v>0</v>
      </c>
      <c r="I309" s="23" t="str">
        <f t="shared" si="21"/>
        <v>Match</v>
      </c>
      <c r="J309" s="23" t="str">
        <f t="shared" si="22"/>
        <v>Match</v>
      </c>
      <c r="K309" s="24">
        <f t="shared" si="23"/>
        <v>0</v>
      </c>
      <c r="L309" s="24">
        <f t="shared" si="24"/>
        <v>0</v>
      </c>
    </row>
    <row r="310" spans="1:12" ht="15" customHeight="1" x14ac:dyDescent="0.3">
      <c r="A310" s="23" t="s">
        <v>12769</v>
      </c>
      <c r="B310" s="23" t="s">
        <v>75</v>
      </c>
      <c r="C310" s="39">
        <v>999</v>
      </c>
      <c r="D310" s="24">
        <v>0</v>
      </c>
      <c r="E310" s="24">
        <v>0</v>
      </c>
      <c r="F310" s="23">
        <f>COUNTIFS(mdr_rate_cleaned!$A$2:$A$10,B310,mdr_rate_cleaned!$B$2:$B$10,"&lt;"&amp;C310,mdr_rate_cleaned!$F$2:$F$10,"&gt;="&amp;C310)</f>
        <v>1</v>
      </c>
      <c r="G310" s="40">
        <f>SUMIFS(mdr_rate_cleaned!$G$2:$G$10,mdr_rate_cleaned!$A$2:$A$10,B310,mdr_rate_cleaned!$B$2:$B$10,"&lt;"&amp;C310,mdr_rate_cleaned!$F$2:$F$10,"&gt;="&amp;C310)</f>
        <v>0</v>
      </c>
      <c r="H310" s="24">
        <f t="shared" si="20"/>
        <v>0</v>
      </c>
      <c r="I310" s="23" t="str">
        <f t="shared" si="21"/>
        <v>Match</v>
      </c>
      <c r="J310" s="23" t="str">
        <f t="shared" si="22"/>
        <v>Match</v>
      </c>
      <c r="K310" s="24">
        <f t="shared" si="23"/>
        <v>0</v>
      </c>
      <c r="L310" s="24">
        <f t="shared" si="24"/>
        <v>0</v>
      </c>
    </row>
    <row r="311" spans="1:12" ht="15" customHeight="1" x14ac:dyDescent="0.3">
      <c r="A311" s="23" t="s">
        <v>12770</v>
      </c>
      <c r="B311" s="23" t="s">
        <v>81</v>
      </c>
      <c r="C311" s="39">
        <v>7999</v>
      </c>
      <c r="D311" s="24">
        <v>95.99</v>
      </c>
      <c r="E311" s="24">
        <v>17.28</v>
      </c>
      <c r="F311" s="23">
        <f>COUNTIFS(mdr_rate_cleaned!$A$2:$A$10,B311,mdr_rate_cleaned!$B$2:$B$10,"&lt;"&amp;C311,mdr_rate_cleaned!$F$2:$F$10,"&gt;="&amp;C311)</f>
        <v>1</v>
      </c>
      <c r="G311" s="40">
        <f>SUMIFS(mdr_rate_cleaned!$G$2:$G$10,mdr_rate_cleaned!$A$2:$A$10,B311,mdr_rate_cleaned!$B$2:$B$10,"&lt;"&amp;C311,mdr_rate_cleaned!$F$2:$F$10,"&gt;="&amp;C311)</f>
        <v>1.2E-2</v>
      </c>
      <c r="H311" s="24">
        <f t="shared" si="20"/>
        <v>95.99</v>
      </c>
      <c r="I311" s="23" t="str">
        <f t="shared" si="21"/>
        <v>Match</v>
      </c>
      <c r="J311" s="23" t="str">
        <f t="shared" si="22"/>
        <v>Match</v>
      </c>
      <c r="K311" s="24">
        <f t="shared" si="23"/>
        <v>17.28</v>
      </c>
      <c r="L311" s="24">
        <f t="shared" si="24"/>
        <v>0</v>
      </c>
    </row>
    <row r="312" spans="1:12" ht="15" customHeight="1" x14ac:dyDescent="0.3">
      <c r="A312" s="23" t="s">
        <v>12771</v>
      </c>
      <c r="B312" s="23" t="s">
        <v>77</v>
      </c>
      <c r="C312" s="39">
        <v>3499</v>
      </c>
      <c r="D312" s="24">
        <v>59.48</v>
      </c>
      <c r="E312" s="24">
        <v>10.71</v>
      </c>
      <c r="F312" s="23">
        <f>COUNTIFS(mdr_rate_cleaned!$A$2:$A$10,B312,mdr_rate_cleaned!$B$2:$B$10,"&lt;"&amp;C312,mdr_rate_cleaned!$F$2:$F$10,"&gt;="&amp;C312)</f>
        <v>1</v>
      </c>
      <c r="G312" s="40">
        <f>SUMIFS(mdr_rate_cleaned!$G$2:$G$10,mdr_rate_cleaned!$A$2:$A$10,B312,mdr_rate_cleaned!$B$2:$B$10,"&lt;"&amp;C312,mdr_rate_cleaned!$F$2:$F$10,"&gt;="&amp;C312)</f>
        <v>1.7000000000000001E-2</v>
      </c>
      <c r="H312" s="24">
        <f t="shared" si="20"/>
        <v>59.48</v>
      </c>
      <c r="I312" s="23" t="str">
        <f t="shared" si="21"/>
        <v>Match</v>
      </c>
      <c r="J312" s="23" t="str">
        <f t="shared" si="22"/>
        <v>Match</v>
      </c>
      <c r="K312" s="24">
        <f t="shared" si="23"/>
        <v>10.71</v>
      </c>
      <c r="L312" s="24">
        <f t="shared" si="24"/>
        <v>0</v>
      </c>
    </row>
    <row r="313" spans="1:12" ht="15" customHeight="1" x14ac:dyDescent="0.3">
      <c r="A313" s="23" t="s">
        <v>12772</v>
      </c>
      <c r="B313" s="23" t="s">
        <v>79</v>
      </c>
      <c r="C313" s="39">
        <v>799</v>
      </c>
      <c r="D313" s="24">
        <v>14.38</v>
      </c>
      <c r="E313" s="24">
        <v>2.59</v>
      </c>
      <c r="F313" s="23">
        <f>COUNTIFS(mdr_rate_cleaned!$A$2:$A$10,B313,mdr_rate_cleaned!$B$2:$B$10,"&lt;"&amp;C313,mdr_rate_cleaned!$F$2:$F$10,"&gt;="&amp;C313)</f>
        <v>1</v>
      </c>
      <c r="G313" s="40">
        <f>SUMIFS(mdr_rate_cleaned!$G$2:$G$10,mdr_rate_cleaned!$A$2:$A$10,B313,mdr_rate_cleaned!$B$2:$B$10,"&lt;"&amp;C313,mdr_rate_cleaned!$F$2:$F$10,"&gt;="&amp;C313)</f>
        <v>1.8000000000000002E-2</v>
      </c>
      <c r="H313" s="24">
        <f t="shared" si="20"/>
        <v>14.38</v>
      </c>
      <c r="I313" s="23" t="str">
        <f t="shared" si="21"/>
        <v>Match</v>
      </c>
      <c r="J313" s="23" t="str">
        <f t="shared" si="22"/>
        <v>Match</v>
      </c>
      <c r="K313" s="24">
        <f t="shared" si="23"/>
        <v>2.59</v>
      </c>
      <c r="L313" s="24">
        <f t="shared" si="24"/>
        <v>0</v>
      </c>
    </row>
    <row r="314" spans="1:12" ht="15" customHeight="1" x14ac:dyDescent="0.3">
      <c r="A314" s="23" t="s">
        <v>12773</v>
      </c>
      <c r="B314" s="23" t="s">
        <v>75</v>
      </c>
      <c r="C314" s="39">
        <v>3647</v>
      </c>
      <c r="D314" s="24">
        <v>10.94</v>
      </c>
      <c r="E314" s="24">
        <v>1.97</v>
      </c>
      <c r="F314" s="23">
        <f>COUNTIFS(mdr_rate_cleaned!$A$2:$A$10,B314,mdr_rate_cleaned!$B$2:$B$10,"&lt;"&amp;C314,mdr_rate_cleaned!$F$2:$F$10,"&gt;="&amp;C314)</f>
        <v>1</v>
      </c>
      <c r="G314" s="40">
        <f>SUMIFS(mdr_rate_cleaned!$G$2:$G$10,mdr_rate_cleaned!$A$2:$A$10,B314,mdr_rate_cleaned!$B$2:$B$10,"&lt;"&amp;C314,mdr_rate_cleaned!$F$2:$F$10,"&gt;="&amp;C314)</f>
        <v>3.0000000000000001E-3</v>
      </c>
      <c r="H314" s="24">
        <f t="shared" si="20"/>
        <v>10.94</v>
      </c>
      <c r="I314" s="23" t="str">
        <f t="shared" si="21"/>
        <v>Match</v>
      </c>
      <c r="J314" s="23" t="str">
        <f t="shared" si="22"/>
        <v>Match</v>
      </c>
      <c r="K314" s="24">
        <f t="shared" si="23"/>
        <v>1.97</v>
      </c>
      <c r="L314" s="24">
        <f t="shared" si="24"/>
        <v>0</v>
      </c>
    </row>
    <row r="315" spans="1:12" ht="15" customHeight="1" x14ac:dyDescent="0.3">
      <c r="A315" s="23" t="s">
        <v>12774</v>
      </c>
      <c r="B315" s="23" t="s">
        <v>75</v>
      </c>
      <c r="C315" s="39">
        <v>7999</v>
      </c>
      <c r="D315" s="24">
        <v>24</v>
      </c>
      <c r="E315" s="24">
        <v>4.32</v>
      </c>
      <c r="F315" s="23">
        <f>COUNTIFS(mdr_rate_cleaned!$A$2:$A$10,B315,mdr_rate_cleaned!$B$2:$B$10,"&lt;"&amp;C315,mdr_rate_cleaned!$F$2:$F$10,"&gt;="&amp;C315)</f>
        <v>1</v>
      </c>
      <c r="G315" s="40">
        <f>SUMIFS(mdr_rate_cleaned!$G$2:$G$10,mdr_rate_cleaned!$A$2:$A$10,B315,mdr_rate_cleaned!$B$2:$B$10,"&lt;"&amp;C315,mdr_rate_cleaned!$F$2:$F$10,"&gt;="&amp;C315)</f>
        <v>3.0000000000000001E-3</v>
      </c>
      <c r="H315" s="24">
        <f t="shared" si="20"/>
        <v>24</v>
      </c>
      <c r="I315" s="23" t="str">
        <f t="shared" si="21"/>
        <v>Match</v>
      </c>
      <c r="J315" s="23" t="str">
        <f t="shared" si="22"/>
        <v>Match</v>
      </c>
      <c r="K315" s="24">
        <f t="shared" si="23"/>
        <v>4.32</v>
      </c>
      <c r="L315" s="24">
        <f t="shared" si="24"/>
        <v>0</v>
      </c>
    </row>
    <row r="316" spans="1:12" ht="15" customHeight="1" x14ac:dyDescent="0.3">
      <c r="A316" s="23" t="s">
        <v>12775</v>
      </c>
      <c r="B316" s="23" t="s">
        <v>81</v>
      </c>
      <c r="C316" s="39">
        <v>7999</v>
      </c>
      <c r="D316" s="24">
        <v>95.99</v>
      </c>
      <c r="E316" s="24">
        <v>17.28</v>
      </c>
      <c r="F316" s="23">
        <f>COUNTIFS(mdr_rate_cleaned!$A$2:$A$10,B316,mdr_rate_cleaned!$B$2:$B$10,"&lt;"&amp;C316,mdr_rate_cleaned!$F$2:$F$10,"&gt;="&amp;C316)</f>
        <v>1</v>
      </c>
      <c r="G316" s="40">
        <f>SUMIFS(mdr_rate_cleaned!$G$2:$G$10,mdr_rate_cleaned!$A$2:$A$10,B316,mdr_rate_cleaned!$B$2:$B$10,"&lt;"&amp;C316,mdr_rate_cleaned!$F$2:$F$10,"&gt;="&amp;C316)</f>
        <v>1.2E-2</v>
      </c>
      <c r="H316" s="24">
        <f t="shared" si="20"/>
        <v>95.99</v>
      </c>
      <c r="I316" s="23" t="str">
        <f t="shared" si="21"/>
        <v>Match</v>
      </c>
      <c r="J316" s="23" t="str">
        <f t="shared" si="22"/>
        <v>Match</v>
      </c>
      <c r="K316" s="24">
        <f t="shared" si="23"/>
        <v>17.28</v>
      </c>
      <c r="L316" s="24">
        <f t="shared" si="24"/>
        <v>0</v>
      </c>
    </row>
    <row r="317" spans="1:12" ht="15" customHeight="1" x14ac:dyDescent="0.3">
      <c r="A317" s="23" t="s">
        <v>12776</v>
      </c>
      <c r="B317" s="23" t="s">
        <v>75</v>
      </c>
      <c r="C317" s="39">
        <v>1499</v>
      </c>
      <c r="D317" s="24">
        <v>4.5</v>
      </c>
      <c r="E317" s="24">
        <v>0.81</v>
      </c>
      <c r="F317" s="23">
        <f>COUNTIFS(mdr_rate_cleaned!$A$2:$A$10,B317,mdr_rate_cleaned!$B$2:$B$10,"&lt;"&amp;C317,mdr_rate_cleaned!$F$2:$F$10,"&gt;="&amp;C317)</f>
        <v>1</v>
      </c>
      <c r="G317" s="40">
        <f>SUMIFS(mdr_rate_cleaned!$G$2:$G$10,mdr_rate_cleaned!$A$2:$A$10,B317,mdr_rate_cleaned!$B$2:$B$10,"&lt;"&amp;C317,mdr_rate_cleaned!$F$2:$F$10,"&gt;="&amp;C317)</f>
        <v>0</v>
      </c>
      <c r="H317" s="24">
        <f t="shared" si="20"/>
        <v>0</v>
      </c>
      <c r="I317" s="23" t="str">
        <f t="shared" si="21"/>
        <v>Differs</v>
      </c>
      <c r="J317" s="23" t="str">
        <f t="shared" si="22"/>
        <v>Match</v>
      </c>
      <c r="K317" s="24">
        <f t="shared" si="23"/>
        <v>0</v>
      </c>
      <c r="L317" s="24">
        <f t="shared" si="24"/>
        <v>5.31</v>
      </c>
    </row>
    <row r="318" spans="1:12" ht="15" customHeight="1" x14ac:dyDescent="0.3">
      <c r="A318" s="23" t="s">
        <v>12777</v>
      </c>
      <c r="B318" s="23" t="s">
        <v>79</v>
      </c>
      <c r="C318" s="39">
        <v>2598</v>
      </c>
      <c r="D318" s="24">
        <v>41.57</v>
      </c>
      <c r="E318" s="24">
        <v>7.48</v>
      </c>
      <c r="F318" s="23">
        <f>COUNTIFS(mdr_rate_cleaned!$A$2:$A$10,B318,mdr_rate_cleaned!$B$2:$B$10,"&lt;"&amp;C318,mdr_rate_cleaned!$F$2:$F$10,"&gt;="&amp;C318)</f>
        <v>1</v>
      </c>
      <c r="G318" s="40">
        <f>SUMIFS(mdr_rate_cleaned!$G$2:$G$10,mdr_rate_cleaned!$A$2:$A$10,B318,mdr_rate_cleaned!$B$2:$B$10,"&lt;"&amp;C318,mdr_rate_cleaned!$F$2:$F$10,"&gt;="&amp;C318)</f>
        <v>1.6E-2</v>
      </c>
      <c r="H318" s="24">
        <f t="shared" si="20"/>
        <v>41.57</v>
      </c>
      <c r="I318" s="23" t="str">
        <f t="shared" si="21"/>
        <v>Match</v>
      </c>
      <c r="J318" s="23" t="str">
        <f t="shared" si="22"/>
        <v>Match</v>
      </c>
      <c r="K318" s="24">
        <f t="shared" si="23"/>
        <v>7.48</v>
      </c>
      <c r="L318" s="24">
        <f t="shared" si="24"/>
        <v>0</v>
      </c>
    </row>
    <row r="319" spans="1:12" ht="15" customHeight="1" x14ac:dyDescent="0.3">
      <c r="A319" s="23" t="s">
        <v>12779</v>
      </c>
      <c r="B319" s="23" t="s">
        <v>77</v>
      </c>
      <c r="C319" s="39">
        <v>4999</v>
      </c>
      <c r="D319" s="24">
        <v>84.98</v>
      </c>
      <c r="E319" s="24">
        <v>15.3</v>
      </c>
      <c r="F319" s="23">
        <f>COUNTIFS(mdr_rate_cleaned!$A$2:$A$10,B319,mdr_rate_cleaned!$B$2:$B$10,"&lt;"&amp;C319,mdr_rate_cleaned!$F$2:$F$10,"&gt;="&amp;C319)</f>
        <v>1</v>
      </c>
      <c r="G319" s="40">
        <f>SUMIFS(mdr_rate_cleaned!$G$2:$G$10,mdr_rate_cleaned!$A$2:$A$10,B319,mdr_rate_cleaned!$B$2:$B$10,"&lt;"&amp;C319,mdr_rate_cleaned!$F$2:$F$10,"&gt;="&amp;C319)</f>
        <v>1.7000000000000001E-2</v>
      </c>
      <c r="H319" s="24">
        <f t="shared" si="20"/>
        <v>84.98</v>
      </c>
      <c r="I319" s="23" t="str">
        <f t="shared" si="21"/>
        <v>Match</v>
      </c>
      <c r="J319" s="23" t="str">
        <f t="shared" si="22"/>
        <v>Match</v>
      </c>
      <c r="K319" s="24">
        <f t="shared" si="23"/>
        <v>15.3</v>
      </c>
      <c r="L319" s="24">
        <f t="shared" si="24"/>
        <v>0</v>
      </c>
    </row>
    <row r="320" spans="1:12" ht="15" customHeight="1" x14ac:dyDescent="0.3">
      <c r="A320" s="23" t="s">
        <v>12780</v>
      </c>
      <c r="B320" s="23" t="s">
        <v>79</v>
      </c>
      <c r="C320" s="39">
        <v>15997</v>
      </c>
      <c r="D320" s="24">
        <v>255.95</v>
      </c>
      <c r="E320" s="24">
        <v>46.07</v>
      </c>
      <c r="F320" s="23">
        <f>COUNTIFS(mdr_rate_cleaned!$A$2:$A$10,B320,mdr_rate_cleaned!$B$2:$B$10,"&lt;"&amp;C320,mdr_rate_cleaned!$F$2:$F$10,"&gt;="&amp;C320)</f>
        <v>1</v>
      </c>
      <c r="G320" s="40">
        <f>SUMIFS(mdr_rate_cleaned!$G$2:$G$10,mdr_rate_cleaned!$A$2:$A$10,B320,mdr_rate_cleaned!$B$2:$B$10,"&lt;"&amp;C320,mdr_rate_cleaned!$F$2:$F$10,"&gt;="&amp;C320)</f>
        <v>1.6E-2</v>
      </c>
      <c r="H320" s="24">
        <f t="shared" si="20"/>
        <v>255.95</v>
      </c>
      <c r="I320" s="23" t="str">
        <f t="shared" si="21"/>
        <v>Match</v>
      </c>
      <c r="J320" s="23" t="str">
        <f t="shared" si="22"/>
        <v>Match</v>
      </c>
      <c r="K320" s="24">
        <f t="shared" si="23"/>
        <v>46.07</v>
      </c>
      <c r="L320" s="24">
        <f t="shared" si="24"/>
        <v>0</v>
      </c>
    </row>
    <row r="321" spans="1:12" ht="15" customHeight="1" x14ac:dyDescent="0.3">
      <c r="A321" s="23" t="s">
        <v>12781</v>
      </c>
      <c r="B321" s="23" t="s">
        <v>75</v>
      </c>
      <c r="C321" s="39">
        <v>6997</v>
      </c>
      <c r="D321" s="24">
        <v>20.99</v>
      </c>
      <c r="E321" s="24">
        <v>3.78</v>
      </c>
      <c r="F321" s="23">
        <f>COUNTIFS(mdr_rate_cleaned!$A$2:$A$10,B321,mdr_rate_cleaned!$B$2:$B$10,"&lt;"&amp;C321,mdr_rate_cleaned!$F$2:$F$10,"&gt;="&amp;C321)</f>
        <v>1</v>
      </c>
      <c r="G321" s="40">
        <f>SUMIFS(mdr_rate_cleaned!$G$2:$G$10,mdr_rate_cleaned!$A$2:$A$10,B321,mdr_rate_cleaned!$B$2:$B$10,"&lt;"&amp;C321,mdr_rate_cleaned!$F$2:$F$10,"&gt;="&amp;C321)</f>
        <v>3.0000000000000001E-3</v>
      </c>
      <c r="H321" s="24">
        <f t="shared" si="20"/>
        <v>20.99</v>
      </c>
      <c r="I321" s="23" t="str">
        <f t="shared" si="21"/>
        <v>Match</v>
      </c>
      <c r="J321" s="23" t="str">
        <f t="shared" si="22"/>
        <v>Match</v>
      </c>
      <c r="K321" s="24">
        <f t="shared" si="23"/>
        <v>3.78</v>
      </c>
      <c r="L321" s="24">
        <f t="shared" si="24"/>
        <v>0</v>
      </c>
    </row>
    <row r="322" spans="1:12" ht="15" customHeight="1" x14ac:dyDescent="0.3">
      <c r="A322" s="23" t="s">
        <v>12782</v>
      </c>
      <c r="B322" s="23" t="s">
        <v>75</v>
      </c>
      <c r="C322" s="39">
        <v>2298</v>
      </c>
      <c r="D322" s="24">
        <v>6.89</v>
      </c>
      <c r="E322" s="24">
        <v>1.24</v>
      </c>
      <c r="F322" s="23">
        <f>COUNTIFS(mdr_rate_cleaned!$A$2:$A$10,B322,mdr_rate_cleaned!$B$2:$B$10,"&lt;"&amp;C322,mdr_rate_cleaned!$F$2:$F$10,"&gt;="&amp;C322)</f>
        <v>1</v>
      </c>
      <c r="G322" s="40">
        <f>SUMIFS(mdr_rate_cleaned!$G$2:$G$10,mdr_rate_cleaned!$A$2:$A$10,B322,mdr_rate_cleaned!$B$2:$B$10,"&lt;"&amp;C322,mdr_rate_cleaned!$F$2:$F$10,"&gt;="&amp;C322)</f>
        <v>3.0000000000000001E-3</v>
      </c>
      <c r="H322" s="24">
        <f t="shared" ref="H322:H385" si="25">ROUND(C322*G322,2)</f>
        <v>6.89</v>
      </c>
      <c r="I322" s="23" t="str">
        <f t="shared" ref="I322:I385" si="26">IF(ROUND(D322-H322,2)=0,"Match","Differs")</f>
        <v>Match</v>
      </c>
      <c r="J322" s="23" t="str">
        <f t="shared" ref="J322:J385" si="27">IF(ROUND(E322-ROUND(D322*0.18,2),2)=0,"Match","Differs")</f>
        <v>Match</v>
      </c>
      <c r="K322" s="24">
        <f t="shared" ref="K322:K385" si="28">ROUND(H322*0.18,2)</f>
        <v>1.24</v>
      </c>
      <c r="L322" s="24">
        <f t="shared" ref="L322:L385" si="29">ROUND(D322+E322-H322-K322,2)</f>
        <v>0</v>
      </c>
    </row>
    <row r="323" spans="1:12" ht="15" customHeight="1" x14ac:dyDescent="0.3">
      <c r="A323" s="23" t="s">
        <v>12783</v>
      </c>
      <c r="B323" s="23" t="s">
        <v>79</v>
      </c>
      <c r="C323" s="39">
        <v>6498</v>
      </c>
      <c r="D323" s="24">
        <v>103.97</v>
      </c>
      <c r="E323" s="24">
        <v>18.71</v>
      </c>
      <c r="F323" s="23">
        <f>COUNTIFS(mdr_rate_cleaned!$A$2:$A$10,B323,mdr_rate_cleaned!$B$2:$B$10,"&lt;"&amp;C323,mdr_rate_cleaned!$F$2:$F$10,"&gt;="&amp;C323)</f>
        <v>1</v>
      </c>
      <c r="G323" s="40">
        <f>SUMIFS(mdr_rate_cleaned!$G$2:$G$10,mdr_rate_cleaned!$A$2:$A$10,B323,mdr_rate_cleaned!$B$2:$B$10,"&lt;"&amp;C323,mdr_rate_cleaned!$F$2:$F$10,"&gt;="&amp;C323)</f>
        <v>1.6E-2</v>
      </c>
      <c r="H323" s="24">
        <f t="shared" si="25"/>
        <v>103.97</v>
      </c>
      <c r="I323" s="23" t="str">
        <f t="shared" si="26"/>
        <v>Match</v>
      </c>
      <c r="J323" s="23" t="str">
        <f t="shared" si="27"/>
        <v>Match</v>
      </c>
      <c r="K323" s="24">
        <f t="shared" si="28"/>
        <v>18.71</v>
      </c>
      <c r="L323" s="24">
        <f t="shared" si="29"/>
        <v>0</v>
      </c>
    </row>
    <row r="324" spans="1:12" ht="15" customHeight="1" x14ac:dyDescent="0.3">
      <c r="A324" s="23" t="s">
        <v>12784</v>
      </c>
      <c r="B324" s="23" t="s">
        <v>81</v>
      </c>
      <c r="C324" s="39">
        <v>10498</v>
      </c>
      <c r="D324" s="24">
        <v>94.48</v>
      </c>
      <c r="E324" s="24">
        <v>17.010000000000002</v>
      </c>
      <c r="F324" s="23">
        <f>COUNTIFS(mdr_rate_cleaned!$A$2:$A$10,B324,mdr_rate_cleaned!$B$2:$B$10,"&lt;"&amp;C324,mdr_rate_cleaned!$F$2:$F$10,"&gt;="&amp;C324)</f>
        <v>1</v>
      </c>
      <c r="G324" s="40">
        <f>SUMIFS(mdr_rate_cleaned!$G$2:$G$10,mdr_rate_cleaned!$A$2:$A$10,B324,mdr_rate_cleaned!$B$2:$B$10,"&lt;"&amp;C324,mdr_rate_cleaned!$F$2:$F$10,"&gt;="&amp;C324)</f>
        <v>9.0000000000000011E-3</v>
      </c>
      <c r="H324" s="24">
        <f t="shared" si="25"/>
        <v>94.48</v>
      </c>
      <c r="I324" s="23" t="str">
        <f t="shared" si="26"/>
        <v>Match</v>
      </c>
      <c r="J324" s="23" t="str">
        <f t="shared" si="27"/>
        <v>Match</v>
      </c>
      <c r="K324" s="24">
        <f t="shared" si="28"/>
        <v>17.010000000000002</v>
      </c>
      <c r="L324" s="24">
        <f t="shared" si="29"/>
        <v>0</v>
      </c>
    </row>
    <row r="325" spans="1:12" ht="15" customHeight="1" x14ac:dyDescent="0.3">
      <c r="A325" s="23" t="s">
        <v>12785</v>
      </c>
      <c r="B325" s="23" t="s">
        <v>75</v>
      </c>
      <c r="C325" s="39">
        <v>2499</v>
      </c>
      <c r="D325" s="24">
        <v>7.5</v>
      </c>
      <c r="E325" s="24">
        <v>1.35</v>
      </c>
      <c r="F325" s="23">
        <f>COUNTIFS(mdr_rate_cleaned!$A$2:$A$10,B325,mdr_rate_cleaned!$B$2:$B$10,"&lt;"&amp;C325,mdr_rate_cleaned!$F$2:$F$10,"&gt;="&amp;C325)</f>
        <v>1</v>
      </c>
      <c r="G325" s="40">
        <f>SUMIFS(mdr_rate_cleaned!$G$2:$G$10,mdr_rate_cleaned!$A$2:$A$10,B325,mdr_rate_cleaned!$B$2:$B$10,"&lt;"&amp;C325,mdr_rate_cleaned!$F$2:$F$10,"&gt;="&amp;C325)</f>
        <v>3.0000000000000001E-3</v>
      </c>
      <c r="H325" s="24">
        <f t="shared" si="25"/>
        <v>7.5</v>
      </c>
      <c r="I325" s="23" t="str">
        <f t="shared" si="26"/>
        <v>Match</v>
      </c>
      <c r="J325" s="23" t="str">
        <f t="shared" si="27"/>
        <v>Match</v>
      </c>
      <c r="K325" s="24">
        <f t="shared" si="28"/>
        <v>1.35</v>
      </c>
      <c r="L325" s="24">
        <f t="shared" si="29"/>
        <v>0</v>
      </c>
    </row>
    <row r="326" spans="1:12" ht="15" customHeight="1" x14ac:dyDescent="0.3">
      <c r="A326" s="23" t="s">
        <v>12786</v>
      </c>
      <c r="B326" s="23" t="s">
        <v>79</v>
      </c>
      <c r="C326" s="39">
        <v>1498</v>
      </c>
      <c r="D326" s="24">
        <v>26.96</v>
      </c>
      <c r="E326" s="24">
        <v>4.8499999999999996</v>
      </c>
      <c r="F326" s="23">
        <f>COUNTIFS(mdr_rate_cleaned!$A$2:$A$10,B326,mdr_rate_cleaned!$B$2:$B$10,"&lt;"&amp;C326,mdr_rate_cleaned!$F$2:$F$10,"&gt;="&amp;C326)</f>
        <v>1</v>
      </c>
      <c r="G326" s="40">
        <f>SUMIFS(mdr_rate_cleaned!$G$2:$G$10,mdr_rate_cleaned!$A$2:$A$10,B326,mdr_rate_cleaned!$B$2:$B$10,"&lt;"&amp;C326,mdr_rate_cleaned!$F$2:$F$10,"&gt;="&amp;C326)</f>
        <v>1.8000000000000002E-2</v>
      </c>
      <c r="H326" s="24">
        <f t="shared" si="25"/>
        <v>26.96</v>
      </c>
      <c r="I326" s="23" t="str">
        <f t="shared" si="26"/>
        <v>Match</v>
      </c>
      <c r="J326" s="23" t="str">
        <f t="shared" si="27"/>
        <v>Match</v>
      </c>
      <c r="K326" s="24">
        <f t="shared" si="28"/>
        <v>4.8499999999999996</v>
      </c>
      <c r="L326" s="24">
        <f t="shared" si="29"/>
        <v>0</v>
      </c>
    </row>
    <row r="327" spans="1:12" ht="15" customHeight="1" x14ac:dyDescent="0.3">
      <c r="A327" s="23" t="s">
        <v>12787</v>
      </c>
      <c r="B327" s="23" t="s">
        <v>75</v>
      </c>
      <c r="C327" s="39">
        <v>499</v>
      </c>
      <c r="D327" s="24">
        <v>0</v>
      </c>
      <c r="E327" s="24">
        <v>0</v>
      </c>
      <c r="F327" s="23">
        <f>COUNTIFS(mdr_rate_cleaned!$A$2:$A$10,B327,mdr_rate_cleaned!$B$2:$B$10,"&lt;"&amp;C327,mdr_rate_cleaned!$F$2:$F$10,"&gt;="&amp;C327)</f>
        <v>1</v>
      </c>
      <c r="G327" s="40">
        <f>SUMIFS(mdr_rate_cleaned!$G$2:$G$10,mdr_rate_cleaned!$A$2:$A$10,B327,mdr_rate_cleaned!$B$2:$B$10,"&lt;"&amp;C327,mdr_rate_cleaned!$F$2:$F$10,"&gt;="&amp;C327)</f>
        <v>0</v>
      </c>
      <c r="H327" s="24">
        <f t="shared" si="25"/>
        <v>0</v>
      </c>
      <c r="I327" s="23" t="str">
        <f t="shared" si="26"/>
        <v>Match</v>
      </c>
      <c r="J327" s="23" t="str">
        <f t="shared" si="27"/>
        <v>Match</v>
      </c>
      <c r="K327" s="24">
        <f t="shared" si="28"/>
        <v>0</v>
      </c>
      <c r="L327" s="24">
        <f t="shared" si="29"/>
        <v>0</v>
      </c>
    </row>
    <row r="328" spans="1:12" ht="15" customHeight="1" x14ac:dyDescent="0.3">
      <c r="A328" s="23" t="s">
        <v>12788</v>
      </c>
      <c r="B328" s="23" t="s">
        <v>75</v>
      </c>
      <c r="C328" s="39">
        <v>1299</v>
      </c>
      <c r="D328" s="24">
        <v>0</v>
      </c>
      <c r="E328" s="24">
        <v>0</v>
      </c>
      <c r="F328" s="23">
        <f>COUNTIFS(mdr_rate_cleaned!$A$2:$A$10,B328,mdr_rate_cleaned!$B$2:$B$10,"&lt;"&amp;C328,mdr_rate_cleaned!$F$2:$F$10,"&gt;="&amp;C328)</f>
        <v>1</v>
      </c>
      <c r="G328" s="40">
        <f>SUMIFS(mdr_rate_cleaned!$G$2:$G$10,mdr_rate_cleaned!$A$2:$A$10,B328,mdr_rate_cleaned!$B$2:$B$10,"&lt;"&amp;C328,mdr_rate_cleaned!$F$2:$F$10,"&gt;="&amp;C328)</f>
        <v>0</v>
      </c>
      <c r="H328" s="24">
        <f t="shared" si="25"/>
        <v>0</v>
      </c>
      <c r="I328" s="23" t="str">
        <f t="shared" si="26"/>
        <v>Match</v>
      </c>
      <c r="J328" s="23" t="str">
        <f t="shared" si="27"/>
        <v>Match</v>
      </c>
      <c r="K328" s="24">
        <f t="shared" si="28"/>
        <v>0</v>
      </c>
      <c r="L328" s="24">
        <f t="shared" si="29"/>
        <v>0</v>
      </c>
    </row>
    <row r="329" spans="1:12" ht="15" customHeight="1" x14ac:dyDescent="0.3">
      <c r="A329" s="23" t="s">
        <v>12789</v>
      </c>
      <c r="B329" s="23" t="s">
        <v>77</v>
      </c>
      <c r="C329" s="39">
        <v>1499</v>
      </c>
      <c r="D329" s="24">
        <v>28.48</v>
      </c>
      <c r="E329" s="24">
        <v>5.13</v>
      </c>
      <c r="F329" s="23">
        <f>COUNTIFS(mdr_rate_cleaned!$A$2:$A$10,B329,mdr_rate_cleaned!$B$2:$B$10,"&lt;"&amp;C329,mdr_rate_cleaned!$F$2:$F$10,"&gt;="&amp;C329)</f>
        <v>1</v>
      </c>
      <c r="G329" s="40">
        <f>SUMIFS(mdr_rate_cleaned!$G$2:$G$10,mdr_rate_cleaned!$A$2:$A$10,B329,mdr_rate_cleaned!$B$2:$B$10,"&lt;"&amp;C329,mdr_rate_cleaned!$F$2:$F$10,"&gt;="&amp;C329)</f>
        <v>1.9E-2</v>
      </c>
      <c r="H329" s="24">
        <f t="shared" si="25"/>
        <v>28.48</v>
      </c>
      <c r="I329" s="23" t="str">
        <f t="shared" si="26"/>
        <v>Match</v>
      </c>
      <c r="J329" s="23" t="str">
        <f t="shared" si="27"/>
        <v>Match</v>
      </c>
      <c r="K329" s="24">
        <f t="shared" si="28"/>
        <v>5.13</v>
      </c>
      <c r="L329" s="24">
        <f t="shared" si="29"/>
        <v>0</v>
      </c>
    </row>
    <row r="330" spans="1:12" ht="15" customHeight="1" x14ac:dyDescent="0.3">
      <c r="A330" s="23" t="s">
        <v>12793</v>
      </c>
      <c r="B330" s="23" t="s">
        <v>79</v>
      </c>
      <c r="C330" s="39">
        <v>349</v>
      </c>
      <c r="D330" s="24">
        <v>6.28</v>
      </c>
      <c r="E330" s="24">
        <v>1.1299999999999999</v>
      </c>
      <c r="F330" s="23">
        <f>COUNTIFS(mdr_rate_cleaned!$A$2:$A$10,B330,mdr_rate_cleaned!$B$2:$B$10,"&lt;"&amp;C330,mdr_rate_cleaned!$F$2:$F$10,"&gt;="&amp;C330)</f>
        <v>1</v>
      </c>
      <c r="G330" s="40">
        <f>SUMIFS(mdr_rate_cleaned!$G$2:$G$10,mdr_rate_cleaned!$A$2:$A$10,B330,mdr_rate_cleaned!$B$2:$B$10,"&lt;"&amp;C330,mdr_rate_cleaned!$F$2:$F$10,"&gt;="&amp;C330)</f>
        <v>1.8000000000000002E-2</v>
      </c>
      <c r="H330" s="24">
        <f t="shared" si="25"/>
        <v>6.28</v>
      </c>
      <c r="I330" s="23" t="str">
        <f t="shared" si="26"/>
        <v>Match</v>
      </c>
      <c r="J330" s="23" t="str">
        <f t="shared" si="27"/>
        <v>Match</v>
      </c>
      <c r="K330" s="24">
        <f t="shared" si="28"/>
        <v>1.1299999999999999</v>
      </c>
      <c r="L330" s="24">
        <f t="shared" si="29"/>
        <v>0</v>
      </c>
    </row>
    <row r="331" spans="1:12" ht="15" customHeight="1" x14ac:dyDescent="0.3">
      <c r="A331" s="23" t="s">
        <v>12794</v>
      </c>
      <c r="B331" s="23" t="s">
        <v>77</v>
      </c>
      <c r="C331" s="39">
        <v>2197</v>
      </c>
      <c r="D331" s="24">
        <v>37.35</v>
      </c>
      <c r="E331" s="24">
        <v>6.72</v>
      </c>
      <c r="F331" s="23">
        <f>COUNTIFS(mdr_rate_cleaned!$A$2:$A$10,B331,mdr_rate_cleaned!$B$2:$B$10,"&lt;"&amp;C331,mdr_rate_cleaned!$F$2:$F$10,"&gt;="&amp;C331)</f>
        <v>1</v>
      </c>
      <c r="G331" s="40">
        <f>SUMIFS(mdr_rate_cleaned!$G$2:$G$10,mdr_rate_cleaned!$A$2:$A$10,B331,mdr_rate_cleaned!$B$2:$B$10,"&lt;"&amp;C331,mdr_rate_cleaned!$F$2:$F$10,"&gt;="&amp;C331)</f>
        <v>1.7000000000000001E-2</v>
      </c>
      <c r="H331" s="24">
        <f t="shared" si="25"/>
        <v>37.35</v>
      </c>
      <c r="I331" s="23" t="str">
        <f t="shared" si="26"/>
        <v>Match</v>
      </c>
      <c r="J331" s="23" t="str">
        <f t="shared" si="27"/>
        <v>Match</v>
      </c>
      <c r="K331" s="24">
        <f t="shared" si="28"/>
        <v>6.72</v>
      </c>
      <c r="L331" s="24">
        <f t="shared" si="29"/>
        <v>0</v>
      </c>
    </row>
    <row r="332" spans="1:12" ht="15" customHeight="1" x14ac:dyDescent="0.3">
      <c r="A332" s="23" t="s">
        <v>12795</v>
      </c>
      <c r="B332" s="23" t="s">
        <v>75</v>
      </c>
      <c r="C332" s="39">
        <v>599</v>
      </c>
      <c r="D332" s="24">
        <v>0</v>
      </c>
      <c r="E332" s="24">
        <v>0</v>
      </c>
      <c r="F332" s="23">
        <f>COUNTIFS(mdr_rate_cleaned!$A$2:$A$10,B332,mdr_rate_cleaned!$B$2:$B$10,"&lt;"&amp;C332,mdr_rate_cleaned!$F$2:$F$10,"&gt;="&amp;C332)</f>
        <v>1</v>
      </c>
      <c r="G332" s="40">
        <f>SUMIFS(mdr_rate_cleaned!$G$2:$G$10,mdr_rate_cleaned!$A$2:$A$10,B332,mdr_rate_cleaned!$B$2:$B$10,"&lt;"&amp;C332,mdr_rate_cleaned!$F$2:$F$10,"&gt;="&amp;C332)</f>
        <v>0</v>
      </c>
      <c r="H332" s="24">
        <f t="shared" si="25"/>
        <v>0</v>
      </c>
      <c r="I332" s="23" t="str">
        <f t="shared" si="26"/>
        <v>Match</v>
      </c>
      <c r="J332" s="23" t="str">
        <f t="shared" si="27"/>
        <v>Match</v>
      </c>
      <c r="K332" s="24">
        <f t="shared" si="28"/>
        <v>0</v>
      </c>
      <c r="L332" s="24">
        <f t="shared" si="29"/>
        <v>0</v>
      </c>
    </row>
    <row r="333" spans="1:12" ht="15" customHeight="1" x14ac:dyDescent="0.3">
      <c r="A333" s="23" t="s">
        <v>12796</v>
      </c>
      <c r="B333" s="23" t="s">
        <v>75</v>
      </c>
      <c r="C333" s="39">
        <v>349</v>
      </c>
      <c r="D333" s="24">
        <v>0</v>
      </c>
      <c r="E333" s="24">
        <v>0</v>
      </c>
      <c r="F333" s="23">
        <f>COUNTIFS(mdr_rate_cleaned!$A$2:$A$10,B333,mdr_rate_cleaned!$B$2:$B$10,"&lt;"&amp;C333,mdr_rate_cleaned!$F$2:$F$10,"&gt;="&amp;C333)</f>
        <v>1</v>
      </c>
      <c r="G333" s="40">
        <f>SUMIFS(mdr_rate_cleaned!$G$2:$G$10,mdr_rate_cleaned!$A$2:$A$10,B333,mdr_rate_cleaned!$B$2:$B$10,"&lt;"&amp;C333,mdr_rate_cleaned!$F$2:$F$10,"&gt;="&amp;C333)</f>
        <v>0</v>
      </c>
      <c r="H333" s="24">
        <f t="shared" si="25"/>
        <v>0</v>
      </c>
      <c r="I333" s="23" t="str">
        <f t="shared" si="26"/>
        <v>Match</v>
      </c>
      <c r="J333" s="23" t="str">
        <f t="shared" si="27"/>
        <v>Match</v>
      </c>
      <c r="K333" s="24">
        <f t="shared" si="28"/>
        <v>0</v>
      </c>
      <c r="L333" s="24">
        <f t="shared" si="29"/>
        <v>0</v>
      </c>
    </row>
    <row r="334" spans="1:12" ht="15" customHeight="1" x14ac:dyDescent="0.3">
      <c r="A334" s="23" t="s">
        <v>12797</v>
      </c>
      <c r="B334" s="23" t="s">
        <v>79</v>
      </c>
      <c r="C334" s="39">
        <v>6397</v>
      </c>
      <c r="D334" s="24">
        <v>102.35</v>
      </c>
      <c r="E334" s="24">
        <v>18.420000000000002</v>
      </c>
      <c r="F334" s="23">
        <f>COUNTIFS(mdr_rate_cleaned!$A$2:$A$10,B334,mdr_rate_cleaned!$B$2:$B$10,"&lt;"&amp;C334,mdr_rate_cleaned!$F$2:$F$10,"&gt;="&amp;C334)</f>
        <v>1</v>
      </c>
      <c r="G334" s="40">
        <f>SUMIFS(mdr_rate_cleaned!$G$2:$G$10,mdr_rate_cleaned!$A$2:$A$10,B334,mdr_rate_cleaned!$B$2:$B$10,"&lt;"&amp;C334,mdr_rate_cleaned!$F$2:$F$10,"&gt;="&amp;C334)</f>
        <v>1.6E-2</v>
      </c>
      <c r="H334" s="24">
        <f t="shared" si="25"/>
        <v>102.35</v>
      </c>
      <c r="I334" s="23" t="str">
        <f t="shared" si="26"/>
        <v>Match</v>
      </c>
      <c r="J334" s="23" t="str">
        <f t="shared" si="27"/>
        <v>Match</v>
      </c>
      <c r="K334" s="24">
        <f t="shared" si="28"/>
        <v>18.420000000000002</v>
      </c>
      <c r="L334" s="24">
        <f t="shared" si="29"/>
        <v>0</v>
      </c>
    </row>
    <row r="335" spans="1:12" ht="15" customHeight="1" x14ac:dyDescent="0.3">
      <c r="A335" s="23" t="s">
        <v>12798</v>
      </c>
      <c r="B335" s="23" t="s">
        <v>77</v>
      </c>
      <c r="C335" s="39">
        <v>2798</v>
      </c>
      <c r="D335" s="24">
        <v>47.57</v>
      </c>
      <c r="E335" s="24">
        <v>8.56</v>
      </c>
      <c r="F335" s="23">
        <f>COUNTIFS(mdr_rate_cleaned!$A$2:$A$10,B335,mdr_rate_cleaned!$B$2:$B$10,"&lt;"&amp;C335,mdr_rate_cleaned!$F$2:$F$10,"&gt;="&amp;C335)</f>
        <v>1</v>
      </c>
      <c r="G335" s="40">
        <f>SUMIFS(mdr_rate_cleaned!$G$2:$G$10,mdr_rate_cleaned!$A$2:$A$10,B335,mdr_rate_cleaned!$B$2:$B$10,"&lt;"&amp;C335,mdr_rate_cleaned!$F$2:$F$10,"&gt;="&amp;C335)</f>
        <v>1.7000000000000001E-2</v>
      </c>
      <c r="H335" s="24">
        <f t="shared" si="25"/>
        <v>47.57</v>
      </c>
      <c r="I335" s="23" t="str">
        <f t="shared" si="26"/>
        <v>Match</v>
      </c>
      <c r="J335" s="23" t="str">
        <f t="shared" si="27"/>
        <v>Match</v>
      </c>
      <c r="K335" s="24">
        <f t="shared" si="28"/>
        <v>8.56</v>
      </c>
      <c r="L335" s="24">
        <f t="shared" si="29"/>
        <v>0</v>
      </c>
    </row>
    <row r="336" spans="1:12" ht="15" customHeight="1" x14ac:dyDescent="0.3">
      <c r="A336" s="23" t="s">
        <v>12799</v>
      </c>
      <c r="B336" s="23" t="s">
        <v>75</v>
      </c>
      <c r="C336" s="39">
        <v>4999</v>
      </c>
      <c r="D336" s="24">
        <v>15</v>
      </c>
      <c r="E336" s="24">
        <v>2.7</v>
      </c>
      <c r="F336" s="23">
        <f>COUNTIFS(mdr_rate_cleaned!$A$2:$A$10,B336,mdr_rate_cleaned!$B$2:$B$10,"&lt;"&amp;C336,mdr_rate_cleaned!$F$2:$F$10,"&gt;="&amp;C336)</f>
        <v>1</v>
      </c>
      <c r="G336" s="40">
        <f>SUMIFS(mdr_rate_cleaned!$G$2:$G$10,mdr_rate_cleaned!$A$2:$A$10,B336,mdr_rate_cleaned!$B$2:$B$10,"&lt;"&amp;C336,mdr_rate_cleaned!$F$2:$F$10,"&gt;="&amp;C336)</f>
        <v>3.0000000000000001E-3</v>
      </c>
      <c r="H336" s="24">
        <f t="shared" si="25"/>
        <v>15</v>
      </c>
      <c r="I336" s="23" t="str">
        <f t="shared" si="26"/>
        <v>Match</v>
      </c>
      <c r="J336" s="23" t="str">
        <f t="shared" si="27"/>
        <v>Match</v>
      </c>
      <c r="K336" s="24">
        <f t="shared" si="28"/>
        <v>2.7</v>
      </c>
      <c r="L336" s="24">
        <f t="shared" si="29"/>
        <v>0</v>
      </c>
    </row>
    <row r="337" spans="1:12" ht="15" customHeight="1" x14ac:dyDescent="0.3">
      <c r="A337" s="23" t="s">
        <v>12800</v>
      </c>
      <c r="B337" s="23" t="s">
        <v>79</v>
      </c>
      <c r="C337" s="39">
        <v>349</v>
      </c>
      <c r="D337" s="24">
        <v>6.28</v>
      </c>
      <c r="E337" s="24">
        <v>1.1299999999999999</v>
      </c>
      <c r="F337" s="23">
        <f>COUNTIFS(mdr_rate_cleaned!$A$2:$A$10,B337,mdr_rate_cleaned!$B$2:$B$10,"&lt;"&amp;C337,mdr_rate_cleaned!$F$2:$F$10,"&gt;="&amp;C337)</f>
        <v>1</v>
      </c>
      <c r="G337" s="40">
        <f>SUMIFS(mdr_rate_cleaned!$G$2:$G$10,mdr_rate_cleaned!$A$2:$A$10,B337,mdr_rate_cleaned!$B$2:$B$10,"&lt;"&amp;C337,mdr_rate_cleaned!$F$2:$F$10,"&gt;="&amp;C337)</f>
        <v>1.8000000000000002E-2</v>
      </c>
      <c r="H337" s="24">
        <f t="shared" si="25"/>
        <v>6.28</v>
      </c>
      <c r="I337" s="23" t="str">
        <f t="shared" si="26"/>
        <v>Match</v>
      </c>
      <c r="J337" s="23" t="str">
        <f t="shared" si="27"/>
        <v>Match</v>
      </c>
      <c r="K337" s="24">
        <f t="shared" si="28"/>
        <v>1.1299999999999999</v>
      </c>
      <c r="L337" s="24">
        <f t="shared" si="29"/>
        <v>0</v>
      </c>
    </row>
    <row r="338" spans="1:12" ht="15" customHeight="1" x14ac:dyDescent="0.3">
      <c r="A338" s="23" t="s">
        <v>12801</v>
      </c>
      <c r="B338" s="23" t="s">
        <v>75</v>
      </c>
      <c r="C338" s="39">
        <v>2398</v>
      </c>
      <c r="D338" s="24">
        <v>7.19</v>
      </c>
      <c r="E338" s="24">
        <v>1.29</v>
      </c>
      <c r="F338" s="23">
        <f>COUNTIFS(mdr_rate_cleaned!$A$2:$A$10,B338,mdr_rate_cleaned!$B$2:$B$10,"&lt;"&amp;C338,mdr_rate_cleaned!$F$2:$F$10,"&gt;="&amp;C338)</f>
        <v>1</v>
      </c>
      <c r="G338" s="40">
        <f>SUMIFS(mdr_rate_cleaned!$G$2:$G$10,mdr_rate_cleaned!$A$2:$A$10,B338,mdr_rate_cleaned!$B$2:$B$10,"&lt;"&amp;C338,mdr_rate_cleaned!$F$2:$F$10,"&gt;="&amp;C338)</f>
        <v>3.0000000000000001E-3</v>
      </c>
      <c r="H338" s="24">
        <f t="shared" si="25"/>
        <v>7.19</v>
      </c>
      <c r="I338" s="23" t="str">
        <f t="shared" si="26"/>
        <v>Match</v>
      </c>
      <c r="J338" s="23" t="str">
        <f t="shared" si="27"/>
        <v>Match</v>
      </c>
      <c r="K338" s="24">
        <f t="shared" si="28"/>
        <v>1.29</v>
      </c>
      <c r="L338" s="24">
        <f t="shared" si="29"/>
        <v>0</v>
      </c>
    </row>
    <row r="339" spans="1:12" ht="15" customHeight="1" x14ac:dyDescent="0.3">
      <c r="A339" s="23" t="s">
        <v>12803</v>
      </c>
      <c r="B339" s="23" t="s">
        <v>75</v>
      </c>
      <c r="C339" s="39">
        <v>3348</v>
      </c>
      <c r="D339" s="24">
        <v>10.039999999999999</v>
      </c>
      <c r="E339" s="24">
        <v>1.81</v>
      </c>
      <c r="F339" s="23">
        <f>COUNTIFS(mdr_rate_cleaned!$A$2:$A$10,B339,mdr_rate_cleaned!$B$2:$B$10,"&lt;"&amp;C339,mdr_rate_cleaned!$F$2:$F$10,"&gt;="&amp;C339)</f>
        <v>1</v>
      </c>
      <c r="G339" s="40">
        <f>SUMIFS(mdr_rate_cleaned!$G$2:$G$10,mdr_rate_cleaned!$A$2:$A$10,B339,mdr_rate_cleaned!$B$2:$B$10,"&lt;"&amp;C339,mdr_rate_cleaned!$F$2:$F$10,"&gt;="&amp;C339)</f>
        <v>3.0000000000000001E-3</v>
      </c>
      <c r="H339" s="24">
        <f t="shared" si="25"/>
        <v>10.039999999999999</v>
      </c>
      <c r="I339" s="23" t="str">
        <f t="shared" si="26"/>
        <v>Match</v>
      </c>
      <c r="J339" s="23" t="str">
        <f t="shared" si="27"/>
        <v>Match</v>
      </c>
      <c r="K339" s="24">
        <f t="shared" si="28"/>
        <v>1.81</v>
      </c>
      <c r="L339" s="24">
        <f t="shared" si="29"/>
        <v>0</v>
      </c>
    </row>
    <row r="340" spans="1:12" ht="15" customHeight="1" x14ac:dyDescent="0.3">
      <c r="A340" s="23" t="s">
        <v>12804</v>
      </c>
      <c r="B340" s="23" t="s">
        <v>75</v>
      </c>
      <c r="C340" s="39">
        <v>2999</v>
      </c>
      <c r="D340" s="24">
        <v>9</v>
      </c>
      <c r="E340" s="24">
        <v>1.62</v>
      </c>
      <c r="F340" s="23">
        <f>COUNTIFS(mdr_rate_cleaned!$A$2:$A$10,B340,mdr_rate_cleaned!$B$2:$B$10,"&lt;"&amp;C340,mdr_rate_cleaned!$F$2:$F$10,"&gt;="&amp;C340)</f>
        <v>1</v>
      </c>
      <c r="G340" s="40">
        <f>SUMIFS(mdr_rate_cleaned!$G$2:$G$10,mdr_rate_cleaned!$A$2:$A$10,B340,mdr_rate_cleaned!$B$2:$B$10,"&lt;"&amp;C340,mdr_rate_cleaned!$F$2:$F$10,"&gt;="&amp;C340)</f>
        <v>3.0000000000000001E-3</v>
      </c>
      <c r="H340" s="24">
        <f t="shared" si="25"/>
        <v>9</v>
      </c>
      <c r="I340" s="23" t="str">
        <f t="shared" si="26"/>
        <v>Match</v>
      </c>
      <c r="J340" s="23" t="str">
        <f t="shared" si="27"/>
        <v>Match</v>
      </c>
      <c r="K340" s="24">
        <f t="shared" si="28"/>
        <v>1.62</v>
      </c>
      <c r="L340" s="24">
        <f t="shared" si="29"/>
        <v>0</v>
      </c>
    </row>
    <row r="341" spans="1:12" ht="15" customHeight="1" x14ac:dyDescent="0.3">
      <c r="A341" s="23" t="s">
        <v>12805</v>
      </c>
      <c r="B341" s="23" t="s">
        <v>75</v>
      </c>
      <c r="C341" s="39">
        <v>2798</v>
      </c>
      <c r="D341" s="24">
        <v>8.39</v>
      </c>
      <c r="E341" s="24">
        <v>1.51</v>
      </c>
      <c r="F341" s="23">
        <f>COUNTIFS(mdr_rate_cleaned!$A$2:$A$10,B341,mdr_rate_cleaned!$B$2:$B$10,"&lt;"&amp;C341,mdr_rate_cleaned!$F$2:$F$10,"&gt;="&amp;C341)</f>
        <v>1</v>
      </c>
      <c r="G341" s="40">
        <f>SUMIFS(mdr_rate_cleaned!$G$2:$G$10,mdr_rate_cleaned!$A$2:$A$10,B341,mdr_rate_cleaned!$B$2:$B$10,"&lt;"&amp;C341,mdr_rate_cleaned!$F$2:$F$10,"&gt;="&amp;C341)</f>
        <v>3.0000000000000001E-3</v>
      </c>
      <c r="H341" s="24">
        <f t="shared" si="25"/>
        <v>8.39</v>
      </c>
      <c r="I341" s="23" t="str">
        <f t="shared" si="26"/>
        <v>Match</v>
      </c>
      <c r="J341" s="23" t="str">
        <f t="shared" si="27"/>
        <v>Match</v>
      </c>
      <c r="K341" s="24">
        <f t="shared" si="28"/>
        <v>1.51</v>
      </c>
      <c r="L341" s="24">
        <f t="shared" si="29"/>
        <v>0</v>
      </c>
    </row>
    <row r="342" spans="1:12" ht="15" customHeight="1" x14ac:dyDescent="0.3">
      <c r="A342" s="23" t="s">
        <v>12807</v>
      </c>
      <c r="B342" s="23" t="s">
        <v>77</v>
      </c>
      <c r="C342" s="39">
        <v>2798</v>
      </c>
      <c r="D342" s="24">
        <v>47.57</v>
      </c>
      <c r="E342" s="24">
        <v>8.56</v>
      </c>
      <c r="F342" s="23">
        <f>COUNTIFS(mdr_rate_cleaned!$A$2:$A$10,B342,mdr_rate_cleaned!$B$2:$B$10,"&lt;"&amp;C342,mdr_rate_cleaned!$F$2:$F$10,"&gt;="&amp;C342)</f>
        <v>1</v>
      </c>
      <c r="G342" s="40">
        <f>SUMIFS(mdr_rate_cleaned!$G$2:$G$10,mdr_rate_cleaned!$A$2:$A$10,B342,mdr_rate_cleaned!$B$2:$B$10,"&lt;"&amp;C342,mdr_rate_cleaned!$F$2:$F$10,"&gt;="&amp;C342)</f>
        <v>1.7000000000000001E-2</v>
      </c>
      <c r="H342" s="24">
        <f t="shared" si="25"/>
        <v>47.57</v>
      </c>
      <c r="I342" s="23" t="str">
        <f t="shared" si="26"/>
        <v>Match</v>
      </c>
      <c r="J342" s="23" t="str">
        <f t="shared" si="27"/>
        <v>Match</v>
      </c>
      <c r="K342" s="24">
        <f t="shared" si="28"/>
        <v>8.56</v>
      </c>
      <c r="L342" s="24">
        <f t="shared" si="29"/>
        <v>0</v>
      </c>
    </row>
    <row r="343" spans="1:12" ht="15" customHeight="1" x14ac:dyDescent="0.3">
      <c r="A343" s="23" t="s">
        <v>12808</v>
      </c>
      <c r="B343" s="23" t="s">
        <v>79</v>
      </c>
      <c r="C343" s="39">
        <v>2897</v>
      </c>
      <c r="D343" s="24">
        <v>46.35</v>
      </c>
      <c r="E343" s="24">
        <v>8.34</v>
      </c>
      <c r="F343" s="23">
        <f>COUNTIFS(mdr_rate_cleaned!$A$2:$A$10,B343,mdr_rate_cleaned!$B$2:$B$10,"&lt;"&amp;C343,mdr_rate_cleaned!$F$2:$F$10,"&gt;="&amp;C343)</f>
        <v>1</v>
      </c>
      <c r="G343" s="40">
        <f>SUMIFS(mdr_rate_cleaned!$G$2:$G$10,mdr_rate_cleaned!$A$2:$A$10,B343,mdr_rate_cleaned!$B$2:$B$10,"&lt;"&amp;C343,mdr_rate_cleaned!$F$2:$F$10,"&gt;="&amp;C343)</f>
        <v>1.6E-2</v>
      </c>
      <c r="H343" s="24">
        <f t="shared" si="25"/>
        <v>46.35</v>
      </c>
      <c r="I343" s="23" t="str">
        <f t="shared" si="26"/>
        <v>Match</v>
      </c>
      <c r="J343" s="23" t="str">
        <f t="shared" si="27"/>
        <v>Match</v>
      </c>
      <c r="K343" s="24">
        <f t="shared" si="28"/>
        <v>8.34</v>
      </c>
      <c r="L343" s="24">
        <f t="shared" si="29"/>
        <v>0</v>
      </c>
    </row>
    <row r="344" spans="1:12" ht="15" customHeight="1" x14ac:dyDescent="0.3">
      <c r="A344" s="23" t="s">
        <v>12809</v>
      </c>
      <c r="B344" s="23" t="s">
        <v>77</v>
      </c>
      <c r="C344" s="39">
        <v>2798</v>
      </c>
      <c r="D344" s="24">
        <v>47.57</v>
      </c>
      <c r="E344" s="24">
        <v>8.56</v>
      </c>
      <c r="F344" s="23">
        <f>COUNTIFS(mdr_rate_cleaned!$A$2:$A$10,B344,mdr_rate_cleaned!$B$2:$B$10,"&lt;"&amp;C344,mdr_rate_cleaned!$F$2:$F$10,"&gt;="&amp;C344)</f>
        <v>1</v>
      </c>
      <c r="G344" s="40">
        <f>SUMIFS(mdr_rate_cleaned!$G$2:$G$10,mdr_rate_cleaned!$A$2:$A$10,B344,mdr_rate_cleaned!$B$2:$B$10,"&lt;"&amp;C344,mdr_rate_cleaned!$F$2:$F$10,"&gt;="&amp;C344)</f>
        <v>1.7000000000000001E-2</v>
      </c>
      <c r="H344" s="24">
        <f t="shared" si="25"/>
        <v>47.57</v>
      </c>
      <c r="I344" s="23" t="str">
        <f t="shared" si="26"/>
        <v>Match</v>
      </c>
      <c r="J344" s="23" t="str">
        <f t="shared" si="27"/>
        <v>Match</v>
      </c>
      <c r="K344" s="24">
        <f t="shared" si="28"/>
        <v>8.56</v>
      </c>
      <c r="L344" s="24">
        <f t="shared" si="29"/>
        <v>0</v>
      </c>
    </row>
    <row r="345" spans="1:12" ht="15" customHeight="1" x14ac:dyDescent="0.3">
      <c r="A345" s="23" t="s">
        <v>12810</v>
      </c>
      <c r="B345" s="23" t="s">
        <v>75</v>
      </c>
      <c r="C345" s="39">
        <v>3597</v>
      </c>
      <c r="D345" s="24">
        <v>10.79</v>
      </c>
      <c r="E345" s="24">
        <v>1.94</v>
      </c>
      <c r="F345" s="23">
        <f>COUNTIFS(mdr_rate_cleaned!$A$2:$A$10,B345,mdr_rate_cleaned!$B$2:$B$10,"&lt;"&amp;C345,mdr_rate_cleaned!$F$2:$F$10,"&gt;="&amp;C345)</f>
        <v>1</v>
      </c>
      <c r="G345" s="40">
        <f>SUMIFS(mdr_rate_cleaned!$G$2:$G$10,mdr_rate_cleaned!$A$2:$A$10,B345,mdr_rate_cleaned!$B$2:$B$10,"&lt;"&amp;C345,mdr_rate_cleaned!$F$2:$F$10,"&gt;="&amp;C345)</f>
        <v>3.0000000000000001E-3</v>
      </c>
      <c r="H345" s="24">
        <f t="shared" si="25"/>
        <v>10.79</v>
      </c>
      <c r="I345" s="23" t="str">
        <f t="shared" si="26"/>
        <v>Match</v>
      </c>
      <c r="J345" s="23" t="str">
        <f t="shared" si="27"/>
        <v>Match</v>
      </c>
      <c r="K345" s="24">
        <f t="shared" si="28"/>
        <v>1.94</v>
      </c>
      <c r="L345" s="24">
        <f t="shared" si="29"/>
        <v>0</v>
      </c>
    </row>
    <row r="346" spans="1:12" ht="15" customHeight="1" x14ac:dyDescent="0.3">
      <c r="A346" s="23" t="s">
        <v>12811</v>
      </c>
      <c r="B346" s="23" t="s">
        <v>75</v>
      </c>
      <c r="C346" s="39">
        <v>4999</v>
      </c>
      <c r="D346" s="24">
        <v>15</v>
      </c>
      <c r="E346" s="24">
        <v>2.7</v>
      </c>
      <c r="F346" s="23">
        <f>COUNTIFS(mdr_rate_cleaned!$A$2:$A$10,B346,mdr_rate_cleaned!$B$2:$B$10,"&lt;"&amp;C346,mdr_rate_cleaned!$F$2:$F$10,"&gt;="&amp;C346)</f>
        <v>1</v>
      </c>
      <c r="G346" s="40">
        <f>SUMIFS(mdr_rate_cleaned!$G$2:$G$10,mdr_rate_cleaned!$A$2:$A$10,B346,mdr_rate_cleaned!$B$2:$B$10,"&lt;"&amp;C346,mdr_rate_cleaned!$F$2:$F$10,"&gt;="&amp;C346)</f>
        <v>3.0000000000000001E-3</v>
      </c>
      <c r="H346" s="24">
        <f t="shared" si="25"/>
        <v>15</v>
      </c>
      <c r="I346" s="23" t="str">
        <f t="shared" si="26"/>
        <v>Match</v>
      </c>
      <c r="J346" s="23" t="str">
        <f t="shared" si="27"/>
        <v>Match</v>
      </c>
      <c r="K346" s="24">
        <f t="shared" si="28"/>
        <v>2.7</v>
      </c>
      <c r="L346" s="24">
        <f t="shared" si="29"/>
        <v>0</v>
      </c>
    </row>
    <row r="347" spans="1:12" ht="15" customHeight="1" x14ac:dyDescent="0.3">
      <c r="A347" s="23" t="s">
        <v>12812</v>
      </c>
      <c r="B347" s="23" t="s">
        <v>75</v>
      </c>
      <c r="C347" s="39">
        <v>2498</v>
      </c>
      <c r="D347" s="24">
        <v>7.49</v>
      </c>
      <c r="E347" s="24">
        <v>1.35</v>
      </c>
      <c r="F347" s="23">
        <f>COUNTIFS(mdr_rate_cleaned!$A$2:$A$10,B347,mdr_rate_cleaned!$B$2:$B$10,"&lt;"&amp;C347,mdr_rate_cleaned!$F$2:$F$10,"&gt;="&amp;C347)</f>
        <v>1</v>
      </c>
      <c r="G347" s="40">
        <f>SUMIFS(mdr_rate_cleaned!$G$2:$G$10,mdr_rate_cleaned!$A$2:$A$10,B347,mdr_rate_cleaned!$B$2:$B$10,"&lt;"&amp;C347,mdr_rate_cleaned!$F$2:$F$10,"&gt;="&amp;C347)</f>
        <v>3.0000000000000001E-3</v>
      </c>
      <c r="H347" s="24">
        <f t="shared" si="25"/>
        <v>7.49</v>
      </c>
      <c r="I347" s="23" t="str">
        <f t="shared" si="26"/>
        <v>Match</v>
      </c>
      <c r="J347" s="23" t="str">
        <f t="shared" si="27"/>
        <v>Match</v>
      </c>
      <c r="K347" s="24">
        <f t="shared" si="28"/>
        <v>1.35</v>
      </c>
      <c r="L347" s="24">
        <f t="shared" si="29"/>
        <v>0</v>
      </c>
    </row>
    <row r="348" spans="1:12" ht="15" customHeight="1" x14ac:dyDescent="0.3">
      <c r="A348" s="23" t="s">
        <v>12813</v>
      </c>
      <c r="B348" s="23" t="s">
        <v>77</v>
      </c>
      <c r="C348" s="39">
        <v>7999</v>
      </c>
      <c r="D348" s="24">
        <v>135.97999999999999</v>
      </c>
      <c r="E348" s="24">
        <v>24.48</v>
      </c>
      <c r="F348" s="23">
        <f>COUNTIFS(mdr_rate_cleaned!$A$2:$A$10,B348,mdr_rate_cleaned!$B$2:$B$10,"&lt;"&amp;C348,mdr_rate_cleaned!$F$2:$F$10,"&gt;="&amp;C348)</f>
        <v>1</v>
      </c>
      <c r="G348" s="40">
        <f>SUMIFS(mdr_rate_cleaned!$G$2:$G$10,mdr_rate_cleaned!$A$2:$A$10,B348,mdr_rate_cleaned!$B$2:$B$10,"&lt;"&amp;C348,mdr_rate_cleaned!$F$2:$F$10,"&gt;="&amp;C348)</f>
        <v>1.7000000000000001E-2</v>
      </c>
      <c r="H348" s="24">
        <f t="shared" si="25"/>
        <v>135.97999999999999</v>
      </c>
      <c r="I348" s="23" t="str">
        <f t="shared" si="26"/>
        <v>Match</v>
      </c>
      <c r="J348" s="23" t="str">
        <f t="shared" si="27"/>
        <v>Match</v>
      </c>
      <c r="K348" s="24">
        <f t="shared" si="28"/>
        <v>24.48</v>
      </c>
      <c r="L348" s="24">
        <f t="shared" si="29"/>
        <v>0</v>
      </c>
    </row>
    <row r="349" spans="1:12" ht="15" customHeight="1" x14ac:dyDescent="0.3">
      <c r="A349" s="23" t="s">
        <v>12814</v>
      </c>
      <c r="B349" s="23" t="s">
        <v>75</v>
      </c>
      <c r="C349" s="39">
        <v>798</v>
      </c>
      <c r="D349" s="24">
        <v>0</v>
      </c>
      <c r="E349" s="24">
        <v>0</v>
      </c>
      <c r="F349" s="23">
        <f>COUNTIFS(mdr_rate_cleaned!$A$2:$A$10,B349,mdr_rate_cleaned!$B$2:$B$10,"&lt;"&amp;C349,mdr_rate_cleaned!$F$2:$F$10,"&gt;="&amp;C349)</f>
        <v>1</v>
      </c>
      <c r="G349" s="40">
        <f>SUMIFS(mdr_rate_cleaned!$G$2:$G$10,mdr_rate_cleaned!$A$2:$A$10,B349,mdr_rate_cleaned!$B$2:$B$10,"&lt;"&amp;C349,mdr_rate_cleaned!$F$2:$F$10,"&gt;="&amp;C349)</f>
        <v>0</v>
      </c>
      <c r="H349" s="24">
        <f t="shared" si="25"/>
        <v>0</v>
      </c>
      <c r="I349" s="23" t="str">
        <f t="shared" si="26"/>
        <v>Match</v>
      </c>
      <c r="J349" s="23" t="str">
        <f t="shared" si="27"/>
        <v>Match</v>
      </c>
      <c r="K349" s="24">
        <f t="shared" si="28"/>
        <v>0</v>
      </c>
      <c r="L349" s="24">
        <f t="shared" si="29"/>
        <v>0</v>
      </c>
    </row>
    <row r="350" spans="1:12" ht="15" customHeight="1" x14ac:dyDescent="0.3">
      <c r="A350" s="23" t="s">
        <v>12815</v>
      </c>
      <c r="B350" s="23" t="s">
        <v>81</v>
      </c>
      <c r="C350" s="39">
        <v>1998</v>
      </c>
      <c r="D350" s="24">
        <v>29.97</v>
      </c>
      <c r="E350" s="24">
        <v>5.39</v>
      </c>
      <c r="F350" s="23">
        <f>COUNTIFS(mdr_rate_cleaned!$A$2:$A$10,B350,mdr_rate_cleaned!$B$2:$B$10,"&lt;"&amp;C350,mdr_rate_cleaned!$F$2:$F$10,"&gt;="&amp;C350)</f>
        <v>1</v>
      </c>
      <c r="G350" s="40">
        <f>SUMIFS(mdr_rate_cleaned!$G$2:$G$10,mdr_rate_cleaned!$A$2:$A$10,B350,mdr_rate_cleaned!$B$2:$B$10,"&lt;"&amp;C350,mdr_rate_cleaned!$F$2:$F$10,"&gt;="&amp;C350)</f>
        <v>1.4999999999999999E-2</v>
      </c>
      <c r="H350" s="24">
        <f t="shared" si="25"/>
        <v>29.97</v>
      </c>
      <c r="I350" s="23" t="str">
        <f t="shared" si="26"/>
        <v>Match</v>
      </c>
      <c r="J350" s="23" t="str">
        <f t="shared" si="27"/>
        <v>Match</v>
      </c>
      <c r="K350" s="24">
        <f t="shared" si="28"/>
        <v>5.39</v>
      </c>
      <c r="L350" s="24">
        <f t="shared" si="29"/>
        <v>0</v>
      </c>
    </row>
    <row r="351" spans="1:12" ht="15" customHeight="1" x14ac:dyDescent="0.3">
      <c r="A351" s="23" t="s">
        <v>12816</v>
      </c>
      <c r="B351" s="23" t="s">
        <v>77</v>
      </c>
      <c r="C351" s="39">
        <v>2647</v>
      </c>
      <c r="D351" s="24">
        <v>45</v>
      </c>
      <c r="E351" s="24">
        <v>8.1</v>
      </c>
      <c r="F351" s="23">
        <f>COUNTIFS(mdr_rate_cleaned!$A$2:$A$10,B351,mdr_rate_cleaned!$B$2:$B$10,"&lt;"&amp;C351,mdr_rate_cleaned!$F$2:$F$10,"&gt;="&amp;C351)</f>
        <v>1</v>
      </c>
      <c r="G351" s="40">
        <f>SUMIFS(mdr_rate_cleaned!$G$2:$G$10,mdr_rate_cleaned!$A$2:$A$10,B351,mdr_rate_cleaned!$B$2:$B$10,"&lt;"&amp;C351,mdr_rate_cleaned!$F$2:$F$10,"&gt;="&amp;C351)</f>
        <v>1.7000000000000001E-2</v>
      </c>
      <c r="H351" s="24">
        <f t="shared" si="25"/>
        <v>45</v>
      </c>
      <c r="I351" s="23" t="str">
        <f t="shared" si="26"/>
        <v>Match</v>
      </c>
      <c r="J351" s="23" t="str">
        <f t="shared" si="27"/>
        <v>Match</v>
      </c>
      <c r="K351" s="24">
        <f t="shared" si="28"/>
        <v>8.1</v>
      </c>
      <c r="L351" s="24">
        <f t="shared" si="29"/>
        <v>0</v>
      </c>
    </row>
    <row r="352" spans="1:12" ht="15" customHeight="1" x14ac:dyDescent="0.3">
      <c r="A352" s="23" t="s">
        <v>12817</v>
      </c>
      <c r="B352" s="23" t="s">
        <v>77</v>
      </c>
      <c r="C352" s="39">
        <v>999</v>
      </c>
      <c r="D352" s="24">
        <v>18.98</v>
      </c>
      <c r="E352" s="24">
        <v>3.42</v>
      </c>
      <c r="F352" s="23">
        <f>COUNTIFS(mdr_rate_cleaned!$A$2:$A$10,B352,mdr_rate_cleaned!$B$2:$B$10,"&lt;"&amp;C352,mdr_rate_cleaned!$F$2:$F$10,"&gt;="&amp;C352)</f>
        <v>1</v>
      </c>
      <c r="G352" s="40">
        <f>SUMIFS(mdr_rate_cleaned!$G$2:$G$10,mdr_rate_cleaned!$A$2:$A$10,B352,mdr_rate_cleaned!$B$2:$B$10,"&lt;"&amp;C352,mdr_rate_cleaned!$F$2:$F$10,"&gt;="&amp;C352)</f>
        <v>1.9E-2</v>
      </c>
      <c r="H352" s="24">
        <f t="shared" si="25"/>
        <v>18.98</v>
      </c>
      <c r="I352" s="23" t="str">
        <f t="shared" si="26"/>
        <v>Match</v>
      </c>
      <c r="J352" s="23" t="str">
        <f t="shared" si="27"/>
        <v>Match</v>
      </c>
      <c r="K352" s="24">
        <f t="shared" si="28"/>
        <v>3.42</v>
      </c>
      <c r="L352" s="24">
        <f t="shared" si="29"/>
        <v>0</v>
      </c>
    </row>
    <row r="353" spans="1:12" ht="15" customHeight="1" x14ac:dyDescent="0.3">
      <c r="A353" s="23" t="s">
        <v>12819</v>
      </c>
      <c r="B353" s="23" t="s">
        <v>75</v>
      </c>
      <c r="C353" s="39">
        <v>3499</v>
      </c>
      <c r="D353" s="24">
        <v>10.5</v>
      </c>
      <c r="E353" s="24">
        <v>1.89</v>
      </c>
      <c r="F353" s="23">
        <f>COUNTIFS(mdr_rate_cleaned!$A$2:$A$10,B353,mdr_rate_cleaned!$B$2:$B$10,"&lt;"&amp;C353,mdr_rate_cleaned!$F$2:$F$10,"&gt;="&amp;C353)</f>
        <v>1</v>
      </c>
      <c r="G353" s="40">
        <f>SUMIFS(mdr_rate_cleaned!$G$2:$G$10,mdr_rate_cleaned!$A$2:$A$10,B353,mdr_rate_cleaned!$B$2:$B$10,"&lt;"&amp;C353,mdr_rate_cleaned!$F$2:$F$10,"&gt;="&amp;C353)</f>
        <v>3.0000000000000001E-3</v>
      </c>
      <c r="H353" s="24">
        <f t="shared" si="25"/>
        <v>10.5</v>
      </c>
      <c r="I353" s="23" t="str">
        <f t="shared" si="26"/>
        <v>Match</v>
      </c>
      <c r="J353" s="23" t="str">
        <f t="shared" si="27"/>
        <v>Match</v>
      </c>
      <c r="K353" s="24">
        <f t="shared" si="28"/>
        <v>1.89</v>
      </c>
      <c r="L353" s="24">
        <f t="shared" si="29"/>
        <v>0</v>
      </c>
    </row>
    <row r="354" spans="1:12" ht="15" customHeight="1" x14ac:dyDescent="0.3">
      <c r="A354" s="23" t="s">
        <v>12820</v>
      </c>
      <c r="B354" s="23" t="s">
        <v>79</v>
      </c>
      <c r="C354" s="39">
        <v>6998</v>
      </c>
      <c r="D354" s="24">
        <v>111.97</v>
      </c>
      <c r="E354" s="24">
        <v>20.149999999999999</v>
      </c>
      <c r="F354" s="23">
        <f>COUNTIFS(mdr_rate_cleaned!$A$2:$A$10,B354,mdr_rate_cleaned!$B$2:$B$10,"&lt;"&amp;C354,mdr_rate_cleaned!$F$2:$F$10,"&gt;="&amp;C354)</f>
        <v>1</v>
      </c>
      <c r="G354" s="40">
        <f>SUMIFS(mdr_rate_cleaned!$G$2:$G$10,mdr_rate_cleaned!$A$2:$A$10,B354,mdr_rate_cleaned!$B$2:$B$10,"&lt;"&amp;C354,mdr_rate_cleaned!$F$2:$F$10,"&gt;="&amp;C354)</f>
        <v>1.6E-2</v>
      </c>
      <c r="H354" s="24">
        <f t="shared" si="25"/>
        <v>111.97</v>
      </c>
      <c r="I354" s="23" t="str">
        <f t="shared" si="26"/>
        <v>Match</v>
      </c>
      <c r="J354" s="23" t="str">
        <f t="shared" si="27"/>
        <v>Match</v>
      </c>
      <c r="K354" s="24">
        <f t="shared" si="28"/>
        <v>20.149999999999999</v>
      </c>
      <c r="L354" s="24">
        <f t="shared" si="29"/>
        <v>0</v>
      </c>
    </row>
    <row r="355" spans="1:12" ht="15" customHeight="1" x14ac:dyDescent="0.3">
      <c r="A355" s="23" t="s">
        <v>12821</v>
      </c>
      <c r="B355" s="23" t="s">
        <v>81</v>
      </c>
      <c r="C355" s="39">
        <v>2998</v>
      </c>
      <c r="D355" s="24">
        <v>35.979999999999997</v>
      </c>
      <c r="E355" s="24">
        <v>6.48</v>
      </c>
      <c r="F355" s="23">
        <f>COUNTIFS(mdr_rate_cleaned!$A$2:$A$10,B355,mdr_rate_cleaned!$B$2:$B$10,"&lt;"&amp;C355,mdr_rate_cleaned!$F$2:$F$10,"&gt;="&amp;C355)</f>
        <v>1</v>
      </c>
      <c r="G355" s="40">
        <f>SUMIFS(mdr_rate_cleaned!$G$2:$G$10,mdr_rate_cleaned!$A$2:$A$10,B355,mdr_rate_cleaned!$B$2:$B$10,"&lt;"&amp;C355,mdr_rate_cleaned!$F$2:$F$10,"&gt;="&amp;C355)</f>
        <v>1.2E-2</v>
      </c>
      <c r="H355" s="24">
        <f t="shared" si="25"/>
        <v>35.979999999999997</v>
      </c>
      <c r="I355" s="23" t="str">
        <f t="shared" si="26"/>
        <v>Match</v>
      </c>
      <c r="J355" s="23" t="str">
        <f t="shared" si="27"/>
        <v>Match</v>
      </c>
      <c r="K355" s="24">
        <f t="shared" si="28"/>
        <v>6.48</v>
      </c>
      <c r="L355" s="24">
        <f t="shared" si="29"/>
        <v>0</v>
      </c>
    </row>
    <row r="356" spans="1:12" ht="15" customHeight="1" x14ac:dyDescent="0.3">
      <c r="A356" s="23" t="s">
        <v>12822</v>
      </c>
      <c r="B356" s="23" t="s">
        <v>81</v>
      </c>
      <c r="C356" s="39">
        <v>1348</v>
      </c>
      <c r="D356" s="24">
        <v>20.22</v>
      </c>
      <c r="E356" s="24">
        <v>3.64</v>
      </c>
      <c r="F356" s="23">
        <f>COUNTIFS(mdr_rate_cleaned!$A$2:$A$10,B356,mdr_rate_cleaned!$B$2:$B$10,"&lt;"&amp;C356,mdr_rate_cleaned!$F$2:$F$10,"&gt;="&amp;C356)</f>
        <v>1</v>
      </c>
      <c r="G356" s="40">
        <f>SUMIFS(mdr_rate_cleaned!$G$2:$G$10,mdr_rate_cleaned!$A$2:$A$10,B356,mdr_rate_cleaned!$B$2:$B$10,"&lt;"&amp;C356,mdr_rate_cleaned!$F$2:$F$10,"&gt;="&amp;C356)</f>
        <v>1.4999999999999999E-2</v>
      </c>
      <c r="H356" s="24">
        <f t="shared" si="25"/>
        <v>20.22</v>
      </c>
      <c r="I356" s="23" t="str">
        <f t="shared" si="26"/>
        <v>Match</v>
      </c>
      <c r="J356" s="23" t="str">
        <f t="shared" si="27"/>
        <v>Match</v>
      </c>
      <c r="K356" s="24">
        <f t="shared" si="28"/>
        <v>3.64</v>
      </c>
      <c r="L356" s="24">
        <f t="shared" si="29"/>
        <v>0</v>
      </c>
    </row>
    <row r="357" spans="1:12" ht="15" customHeight="1" x14ac:dyDescent="0.3">
      <c r="A357" s="23" t="s">
        <v>12824</v>
      </c>
      <c r="B357" s="23" t="s">
        <v>77</v>
      </c>
      <c r="C357" s="39">
        <v>3798</v>
      </c>
      <c r="D357" s="24">
        <v>64.569999999999993</v>
      </c>
      <c r="E357" s="24">
        <v>11.62</v>
      </c>
      <c r="F357" s="23">
        <f>COUNTIFS(mdr_rate_cleaned!$A$2:$A$10,B357,mdr_rate_cleaned!$B$2:$B$10,"&lt;"&amp;C357,mdr_rate_cleaned!$F$2:$F$10,"&gt;="&amp;C357)</f>
        <v>1</v>
      </c>
      <c r="G357" s="40">
        <f>SUMIFS(mdr_rate_cleaned!$G$2:$G$10,mdr_rate_cleaned!$A$2:$A$10,B357,mdr_rate_cleaned!$B$2:$B$10,"&lt;"&amp;C357,mdr_rate_cleaned!$F$2:$F$10,"&gt;="&amp;C357)</f>
        <v>1.7000000000000001E-2</v>
      </c>
      <c r="H357" s="24">
        <f t="shared" si="25"/>
        <v>64.569999999999993</v>
      </c>
      <c r="I357" s="23" t="str">
        <f t="shared" si="26"/>
        <v>Match</v>
      </c>
      <c r="J357" s="23" t="str">
        <f t="shared" si="27"/>
        <v>Match</v>
      </c>
      <c r="K357" s="24">
        <f t="shared" si="28"/>
        <v>11.62</v>
      </c>
      <c r="L357" s="24">
        <f t="shared" si="29"/>
        <v>0</v>
      </c>
    </row>
    <row r="358" spans="1:12" ht="15" customHeight="1" x14ac:dyDescent="0.3">
      <c r="A358" s="23" t="s">
        <v>12826</v>
      </c>
      <c r="B358" s="23" t="s">
        <v>79</v>
      </c>
      <c r="C358" s="39">
        <v>3499</v>
      </c>
      <c r="D358" s="24">
        <v>55.98</v>
      </c>
      <c r="E358" s="24">
        <v>10.08</v>
      </c>
      <c r="F358" s="23">
        <f>COUNTIFS(mdr_rate_cleaned!$A$2:$A$10,B358,mdr_rate_cleaned!$B$2:$B$10,"&lt;"&amp;C358,mdr_rate_cleaned!$F$2:$F$10,"&gt;="&amp;C358)</f>
        <v>1</v>
      </c>
      <c r="G358" s="40">
        <f>SUMIFS(mdr_rate_cleaned!$G$2:$G$10,mdr_rate_cleaned!$A$2:$A$10,B358,mdr_rate_cleaned!$B$2:$B$10,"&lt;"&amp;C358,mdr_rate_cleaned!$F$2:$F$10,"&gt;="&amp;C358)</f>
        <v>1.6E-2</v>
      </c>
      <c r="H358" s="24">
        <f t="shared" si="25"/>
        <v>55.98</v>
      </c>
      <c r="I358" s="23" t="str">
        <f t="shared" si="26"/>
        <v>Match</v>
      </c>
      <c r="J358" s="23" t="str">
        <f t="shared" si="27"/>
        <v>Match</v>
      </c>
      <c r="K358" s="24">
        <f t="shared" si="28"/>
        <v>10.08</v>
      </c>
      <c r="L358" s="24">
        <f t="shared" si="29"/>
        <v>0</v>
      </c>
    </row>
    <row r="359" spans="1:12" ht="15" customHeight="1" x14ac:dyDescent="0.3">
      <c r="A359" s="23" t="s">
        <v>12827</v>
      </c>
      <c r="B359" s="23" t="s">
        <v>75</v>
      </c>
      <c r="C359" s="39">
        <v>6298</v>
      </c>
      <c r="D359" s="24">
        <v>18.89</v>
      </c>
      <c r="E359" s="24">
        <v>3.4</v>
      </c>
      <c r="F359" s="23">
        <f>COUNTIFS(mdr_rate_cleaned!$A$2:$A$10,B359,mdr_rate_cleaned!$B$2:$B$10,"&lt;"&amp;C359,mdr_rate_cleaned!$F$2:$F$10,"&gt;="&amp;C359)</f>
        <v>1</v>
      </c>
      <c r="G359" s="40">
        <f>SUMIFS(mdr_rate_cleaned!$G$2:$G$10,mdr_rate_cleaned!$A$2:$A$10,B359,mdr_rate_cleaned!$B$2:$B$10,"&lt;"&amp;C359,mdr_rate_cleaned!$F$2:$F$10,"&gt;="&amp;C359)</f>
        <v>3.0000000000000001E-3</v>
      </c>
      <c r="H359" s="24">
        <f t="shared" si="25"/>
        <v>18.89</v>
      </c>
      <c r="I359" s="23" t="str">
        <f t="shared" si="26"/>
        <v>Match</v>
      </c>
      <c r="J359" s="23" t="str">
        <f t="shared" si="27"/>
        <v>Match</v>
      </c>
      <c r="K359" s="24">
        <f t="shared" si="28"/>
        <v>3.4</v>
      </c>
      <c r="L359" s="24">
        <f t="shared" si="29"/>
        <v>0</v>
      </c>
    </row>
    <row r="360" spans="1:12" ht="15" customHeight="1" x14ac:dyDescent="0.3">
      <c r="A360" s="23" t="s">
        <v>12828</v>
      </c>
      <c r="B360" s="23" t="s">
        <v>77</v>
      </c>
      <c r="C360" s="39">
        <v>799</v>
      </c>
      <c r="D360" s="24">
        <v>15.18</v>
      </c>
      <c r="E360" s="24">
        <v>2.73</v>
      </c>
      <c r="F360" s="23">
        <f>COUNTIFS(mdr_rate_cleaned!$A$2:$A$10,B360,mdr_rate_cleaned!$B$2:$B$10,"&lt;"&amp;C360,mdr_rate_cleaned!$F$2:$F$10,"&gt;="&amp;C360)</f>
        <v>1</v>
      </c>
      <c r="G360" s="40">
        <f>SUMIFS(mdr_rate_cleaned!$G$2:$G$10,mdr_rate_cleaned!$A$2:$A$10,B360,mdr_rate_cleaned!$B$2:$B$10,"&lt;"&amp;C360,mdr_rate_cleaned!$F$2:$F$10,"&gt;="&amp;C360)</f>
        <v>1.9E-2</v>
      </c>
      <c r="H360" s="24">
        <f t="shared" si="25"/>
        <v>15.18</v>
      </c>
      <c r="I360" s="23" t="str">
        <f t="shared" si="26"/>
        <v>Match</v>
      </c>
      <c r="J360" s="23" t="str">
        <f t="shared" si="27"/>
        <v>Match</v>
      </c>
      <c r="K360" s="24">
        <f t="shared" si="28"/>
        <v>2.73</v>
      </c>
      <c r="L360" s="24">
        <f t="shared" si="29"/>
        <v>0</v>
      </c>
    </row>
    <row r="361" spans="1:12" ht="15" customHeight="1" x14ac:dyDescent="0.3">
      <c r="A361" s="23" t="s">
        <v>12829</v>
      </c>
      <c r="B361" s="23" t="s">
        <v>75</v>
      </c>
      <c r="C361" s="39">
        <v>3499</v>
      </c>
      <c r="D361" s="24">
        <v>10.5</v>
      </c>
      <c r="E361" s="24">
        <v>1.89</v>
      </c>
      <c r="F361" s="23">
        <f>COUNTIFS(mdr_rate_cleaned!$A$2:$A$10,B361,mdr_rate_cleaned!$B$2:$B$10,"&lt;"&amp;C361,mdr_rate_cleaned!$F$2:$F$10,"&gt;="&amp;C361)</f>
        <v>1</v>
      </c>
      <c r="G361" s="40">
        <f>SUMIFS(mdr_rate_cleaned!$G$2:$G$10,mdr_rate_cleaned!$A$2:$A$10,B361,mdr_rate_cleaned!$B$2:$B$10,"&lt;"&amp;C361,mdr_rate_cleaned!$F$2:$F$10,"&gt;="&amp;C361)</f>
        <v>3.0000000000000001E-3</v>
      </c>
      <c r="H361" s="24">
        <f t="shared" si="25"/>
        <v>10.5</v>
      </c>
      <c r="I361" s="23" t="str">
        <f t="shared" si="26"/>
        <v>Match</v>
      </c>
      <c r="J361" s="23" t="str">
        <f t="shared" si="27"/>
        <v>Match</v>
      </c>
      <c r="K361" s="24">
        <f t="shared" si="28"/>
        <v>1.89</v>
      </c>
      <c r="L361" s="24">
        <f t="shared" si="29"/>
        <v>0</v>
      </c>
    </row>
    <row r="362" spans="1:12" ht="15" customHeight="1" x14ac:dyDescent="0.3">
      <c r="A362" s="23" t="s">
        <v>12830</v>
      </c>
      <c r="B362" s="23" t="s">
        <v>75</v>
      </c>
      <c r="C362" s="39">
        <v>499</v>
      </c>
      <c r="D362" s="24">
        <v>0</v>
      </c>
      <c r="E362" s="24">
        <v>0</v>
      </c>
      <c r="F362" s="23">
        <f>COUNTIFS(mdr_rate_cleaned!$A$2:$A$10,B362,mdr_rate_cleaned!$B$2:$B$10,"&lt;"&amp;C362,mdr_rate_cleaned!$F$2:$F$10,"&gt;="&amp;C362)</f>
        <v>1</v>
      </c>
      <c r="G362" s="40">
        <f>SUMIFS(mdr_rate_cleaned!$G$2:$G$10,mdr_rate_cleaned!$A$2:$A$10,B362,mdr_rate_cleaned!$B$2:$B$10,"&lt;"&amp;C362,mdr_rate_cleaned!$F$2:$F$10,"&gt;="&amp;C362)</f>
        <v>0</v>
      </c>
      <c r="H362" s="24">
        <f t="shared" si="25"/>
        <v>0</v>
      </c>
      <c r="I362" s="23" t="str">
        <f t="shared" si="26"/>
        <v>Match</v>
      </c>
      <c r="J362" s="23" t="str">
        <f t="shared" si="27"/>
        <v>Match</v>
      </c>
      <c r="K362" s="24">
        <f t="shared" si="28"/>
        <v>0</v>
      </c>
      <c r="L362" s="24">
        <f t="shared" si="29"/>
        <v>0</v>
      </c>
    </row>
    <row r="363" spans="1:12" ht="15" customHeight="1" x14ac:dyDescent="0.3">
      <c r="A363" s="23" t="s">
        <v>12831</v>
      </c>
      <c r="B363" s="23" t="s">
        <v>75</v>
      </c>
      <c r="C363" s="39">
        <v>3498</v>
      </c>
      <c r="D363" s="24">
        <v>10.49</v>
      </c>
      <c r="E363" s="24">
        <v>1.89</v>
      </c>
      <c r="F363" s="23">
        <f>COUNTIFS(mdr_rate_cleaned!$A$2:$A$10,B363,mdr_rate_cleaned!$B$2:$B$10,"&lt;"&amp;C363,mdr_rate_cleaned!$F$2:$F$10,"&gt;="&amp;C363)</f>
        <v>1</v>
      </c>
      <c r="G363" s="40">
        <f>SUMIFS(mdr_rate_cleaned!$G$2:$G$10,mdr_rate_cleaned!$A$2:$A$10,B363,mdr_rate_cleaned!$B$2:$B$10,"&lt;"&amp;C363,mdr_rate_cleaned!$F$2:$F$10,"&gt;="&amp;C363)</f>
        <v>3.0000000000000001E-3</v>
      </c>
      <c r="H363" s="24">
        <f t="shared" si="25"/>
        <v>10.49</v>
      </c>
      <c r="I363" s="23" t="str">
        <f t="shared" si="26"/>
        <v>Match</v>
      </c>
      <c r="J363" s="23" t="str">
        <f t="shared" si="27"/>
        <v>Match</v>
      </c>
      <c r="K363" s="24">
        <f t="shared" si="28"/>
        <v>1.89</v>
      </c>
      <c r="L363" s="24">
        <f t="shared" si="29"/>
        <v>0</v>
      </c>
    </row>
    <row r="364" spans="1:12" ht="15" customHeight="1" x14ac:dyDescent="0.3">
      <c r="A364" s="23" t="s">
        <v>12832</v>
      </c>
      <c r="B364" s="23" t="s">
        <v>75</v>
      </c>
      <c r="C364" s="39">
        <v>349</v>
      </c>
      <c r="D364" s="24">
        <v>0</v>
      </c>
      <c r="E364" s="24">
        <v>0</v>
      </c>
      <c r="F364" s="23">
        <f>COUNTIFS(mdr_rate_cleaned!$A$2:$A$10,B364,mdr_rate_cleaned!$B$2:$B$10,"&lt;"&amp;C364,mdr_rate_cleaned!$F$2:$F$10,"&gt;="&amp;C364)</f>
        <v>1</v>
      </c>
      <c r="G364" s="40">
        <f>SUMIFS(mdr_rate_cleaned!$G$2:$G$10,mdr_rate_cleaned!$A$2:$A$10,B364,mdr_rate_cleaned!$B$2:$B$10,"&lt;"&amp;C364,mdr_rate_cleaned!$F$2:$F$10,"&gt;="&amp;C364)</f>
        <v>0</v>
      </c>
      <c r="H364" s="24">
        <f t="shared" si="25"/>
        <v>0</v>
      </c>
      <c r="I364" s="23" t="str">
        <f t="shared" si="26"/>
        <v>Match</v>
      </c>
      <c r="J364" s="23" t="str">
        <f t="shared" si="27"/>
        <v>Match</v>
      </c>
      <c r="K364" s="24">
        <f t="shared" si="28"/>
        <v>0</v>
      </c>
      <c r="L364" s="24">
        <f t="shared" si="29"/>
        <v>0</v>
      </c>
    </row>
    <row r="365" spans="1:12" ht="15" customHeight="1" x14ac:dyDescent="0.3">
      <c r="A365" s="23" t="s">
        <v>12833</v>
      </c>
      <c r="B365" s="23" t="s">
        <v>75</v>
      </c>
      <c r="C365" s="39">
        <v>349</v>
      </c>
      <c r="D365" s="24">
        <v>0</v>
      </c>
      <c r="E365" s="24">
        <v>0</v>
      </c>
      <c r="F365" s="23">
        <f>COUNTIFS(mdr_rate_cleaned!$A$2:$A$10,B365,mdr_rate_cleaned!$B$2:$B$10,"&lt;"&amp;C365,mdr_rate_cleaned!$F$2:$F$10,"&gt;="&amp;C365)</f>
        <v>1</v>
      </c>
      <c r="G365" s="40">
        <f>SUMIFS(mdr_rate_cleaned!$G$2:$G$10,mdr_rate_cleaned!$A$2:$A$10,B365,mdr_rate_cleaned!$B$2:$B$10,"&lt;"&amp;C365,mdr_rate_cleaned!$F$2:$F$10,"&gt;="&amp;C365)</f>
        <v>0</v>
      </c>
      <c r="H365" s="24">
        <f t="shared" si="25"/>
        <v>0</v>
      </c>
      <c r="I365" s="23" t="str">
        <f t="shared" si="26"/>
        <v>Match</v>
      </c>
      <c r="J365" s="23" t="str">
        <f t="shared" si="27"/>
        <v>Match</v>
      </c>
      <c r="K365" s="24">
        <f t="shared" si="28"/>
        <v>0</v>
      </c>
      <c r="L365" s="24">
        <f t="shared" si="29"/>
        <v>0</v>
      </c>
    </row>
    <row r="366" spans="1:12" ht="15" customHeight="1" x14ac:dyDescent="0.3">
      <c r="A366" s="23" t="s">
        <v>12834</v>
      </c>
      <c r="B366" s="23" t="s">
        <v>79</v>
      </c>
      <c r="C366" s="39">
        <v>3998</v>
      </c>
      <c r="D366" s="24">
        <v>63.97</v>
      </c>
      <c r="E366" s="24">
        <v>11.51</v>
      </c>
      <c r="F366" s="23">
        <f>COUNTIFS(mdr_rate_cleaned!$A$2:$A$10,B366,mdr_rate_cleaned!$B$2:$B$10,"&lt;"&amp;C366,mdr_rate_cleaned!$F$2:$F$10,"&gt;="&amp;C366)</f>
        <v>1</v>
      </c>
      <c r="G366" s="40">
        <f>SUMIFS(mdr_rate_cleaned!$G$2:$G$10,mdr_rate_cleaned!$A$2:$A$10,B366,mdr_rate_cleaned!$B$2:$B$10,"&lt;"&amp;C366,mdr_rate_cleaned!$F$2:$F$10,"&gt;="&amp;C366)</f>
        <v>1.6E-2</v>
      </c>
      <c r="H366" s="24">
        <f t="shared" si="25"/>
        <v>63.97</v>
      </c>
      <c r="I366" s="23" t="str">
        <f t="shared" si="26"/>
        <v>Match</v>
      </c>
      <c r="J366" s="23" t="str">
        <f t="shared" si="27"/>
        <v>Match</v>
      </c>
      <c r="K366" s="24">
        <f t="shared" si="28"/>
        <v>11.51</v>
      </c>
      <c r="L366" s="24">
        <f t="shared" si="29"/>
        <v>0</v>
      </c>
    </row>
    <row r="367" spans="1:12" ht="15" customHeight="1" x14ac:dyDescent="0.3">
      <c r="A367" s="23" t="s">
        <v>12835</v>
      </c>
      <c r="B367" s="23" t="s">
        <v>77</v>
      </c>
      <c r="C367" s="39">
        <v>299</v>
      </c>
      <c r="D367" s="24">
        <v>5.68</v>
      </c>
      <c r="E367" s="24">
        <v>1.02</v>
      </c>
      <c r="F367" s="23">
        <f>COUNTIFS(mdr_rate_cleaned!$A$2:$A$10,B367,mdr_rate_cleaned!$B$2:$B$10,"&lt;"&amp;C367,mdr_rate_cleaned!$F$2:$F$10,"&gt;="&amp;C367)</f>
        <v>1</v>
      </c>
      <c r="G367" s="40">
        <f>SUMIFS(mdr_rate_cleaned!$G$2:$G$10,mdr_rate_cleaned!$A$2:$A$10,B367,mdr_rate_cleaned!$B$2:$B$10,"&lt;"&amp;C367,mdr_rate_cleaned!$F$2:$F$10,"&gt;="&amp;C367)</f>
        <v>1.9E-2</v>
      </c>
      <c r="H367" s="24">
        <f t="shared" si="25"/>
        <v>5.68</v>
      </c>
      <c r="I367" s="23" t="str">
        <f t="shared" si="26"/>
        <v>Match</v>
      </c>
      <c r="J367" s="23" t="str">
        <f t="shared" si="27"/>
        <v>Match</v>
      </c>
      <c r="K367" s="24">
        <f t="shared" si="28"/>
        <v>1.02</v>
      </c>
      <c r="L367" s="24">
        <f t="shared" si="29"/>
        <v>0</v>
      </c>
    </row>
    <row r="368" spans="1:12" ht="15" customHeight="1" x14ac:dyDescent="0.3">
      <c r="A368" s="23" t="s">
        <v>12837</v>
      </c>
      <c r="B368" s="23" t="s">
        <v>77</v>
      </c>
      <c r="C368" s="39">
        <v>1799</v>
      </c>
      <c r="D368" s="24">
        <v>34.18</v>
      </c>
      <c r="E368" s="24">
        <v>6.15</v>
      </c>
      <c r="F368" s="23">
        <f>COUNTIFS(mdr_rate_cleaned!$A$2:$A$10,B368,mdr_rate_cleaned!$B$2:$B$10,"&lt;"&amp;C368,mdr_rate_cleaned!$F$2:$F$10,"&gt;="&amp;C368)</f>
        <v>1</v>
      </c>
      <c r="G368" s="40">
        <f>SUMIFS(mdr_rate_cleaned!$G$2:$G$10,mdr_rate_cleaned!$A$2:$A$10,B368,mdr_rate_cleaned!$B$2:$B$10,"&lt;"&amp;C368,mdr_rate_cleaned!$F$2:$F$10,"&gt;="&amp;C368)</f>
        <v>1.9E-2</v>
      </c>
      <c r="H368" s="24">
        <f t="shared" si="25"/>
        <v>34.18</v>
      </c>
      <c r="I368" s="23" t="str">
        <f t="shared" si="26"/>
        <v>Match</v>
      </c>
      <c r="J368" s="23" t="str">
        <f t="shared" si="27"/>
        <v>Match</v>
      </c>
      <c r="K368" s="24">
        <f t="shared" si="28"/>
        <v>6.15</v>
      </c>
      <c r="L368" s="24">
        <f t="shared" si="29"/>
        <v>0</v>
      </c>
    </row>
    <row r="369" spans="1:12" ht="15" customHeight="1" x14ac:dyDescent="0.3">
      <c r="A369" s="23" t="s">
        <v>12838</v>
      </c>
      <c r="B369" s="23" t="s">
        <v>79</v>
      </c>
      <c r="C369" s="39">
        <v>1299</v>
      </c>
      <c r="D369" s="24">
        <v>23.38</v>
      </c>
      <c r="E369" s="24">
        <v>4.21</v>
      </c>
      <c r="F369" s="23">
        <f>COUNTIFS(mdr_rate_cleaned!$A$2:$A$10,B369,mdr_rate_cleaned!$B$2:$B$10,"&lt;"&amp;C369,mdr_rate_cleaned!$F$2:$F$10,"&gt;="&amp;C369)</f>
        <v>1</v>
      </c>
      <c r="G369" s="40">
        <f>SUMIFS(mdr_rate_cleaned!$G$2:$G$10,mdr_rate_cleaned!$A$2:$A$10,B369,mdr_rate_cleaned!$B$2:$B$10,"&lt;"&amp;C369,mdr_rate_cleaned!$F$2:$F$10,"&gt;="&amp;C369)</f>
        <v>1.8000000000000002E-2</v>
      </c>
      <c r="H369" s="24">
        <f t="shared" si="25"/>
        <v>23.38</v>
      </c>
      <c r="I369" s="23" t="str">
        <f t="shared" si="26"/>
        <v>Match</v>
      </c>
      <c r="J369" s="23" t="str">
        <f t="shared" si="27"/>
        <v>Match</v>
      </c>
      <c r="K369" s="24">
        <f t="shared" si="28"/>
        <v>4.21</v>
      </c>
      <c r="L369" s="24">
        <f t="shared" si="29"/>
        <v>0</v>
      </c>
    </row>
    <row r="370" spans="1:12" ht="15" customHeight="1" x14ac:dyDescent="0.3">
      <c r="A370" s="23" t="s">
        <v>12839</v>
      </c>
      <c r="B370" s="23" t="s">
        <v>75</v>
      </c>
      <c r="C370" s="39">
        <v>499</v>
      </c>
      <c r="D370" s="24">
        <v>0</v>
      </c>
      <c r="E370" s="24">
        <v>0</v>
      </c>
      <c r="F370" s="23">
        <f>COUNTIFS(mdr_rate_cleaned!$A$2:$A$10,B370,mdr_rate_cleaned!$B$2:$B$10,"&lt;"&amp;C370,mdr_rate_cleaned!$F$2:$F$10,"&gt;="&amp;C370)</f>
        <v>1</v>
      </c>
      <c r="G370" s="40">
        <f>SUMIFS(mdr_rate_cleaned!$G$2:$G$10,mdr_rate_cleaned!$A$2:$A$10,B370,mdr_rate_cleaned!$B$2:$B$10,"&lt;"&amp;C370,mdr_rate_cleaned!$F$2:$F$10,"&gt;="&amp;C370)</f>
        <v>0</v>
      </c>
      <c r="H370" s="24">
        <f t="shared" si="25"/>
        <v>0</v>
      </c>
      <c r="I370" s="23" t="str">
        <f t="shared" si="26"/>
        <v>Match</v>
      </c>
      <c r="J370" s="23" t="str">
        <f t="shared" si="27"/>
        <v>Match</v>
      </c>
      <c r="K370" s="24">
        <f t="shared" si="28"/>
        <v>0</v>
      </c>
      <c r="L370" s="24">
        <f t="shared" si="29"/>
        <v>0</v>
      </c>
    </row>
    <row r="371" spans="1:12" ht="15" customHeight="1" x14ac:dyDescent="0.3">
      <c r="A371" s="23" t="s">
        <v>12840</v>
      </c>
      <c r="B371" s="23" t="s">
        <v>79</v>
      </c>
      <c r="C371" s="39">
        <v>2499</v>
      </c>
      <c r="D371" s="24">
        <v>39.979999999999997</v>
      </c>
      <c r="E371" s="24">
        <v>7.2</v>
      </c>
      <c r="F371" s="23">
        <f>COUNTIFS(mdr_rate_cleaned!$A$2:$A$10,B371,mdr_rate_cleaned!$B$2:$B$10,"&lt;"&amp;C371,mdr_rate_cleaned!$F$2:$F$10,"&gt;="&amp;C371)</f>
        <v>1</v>
      </c>
      <c r="G371" s="40">
        <f>SUMIFS(mdr_rate_cleaned!$G$2:$G$10,mdr_rate_cleaned!$A$2:$A$10,B371,mdr_rate_cleaned!$B$2:$B$10,"&lt;"&amp;C371,mdr_rate_cleaned!$F$2:$F$10,"&gt;="&amp;C371)</f>
        <v>1.6E-2</v>
      </c>
      <c r="H371" s="24">
        <f t="shared" si="25"/>
        <v>39.979999999999997</v>
      </c>
      <c r="I371" s="23" t="str">
        <f t="shared" si="26"/>
        <v>Match</v>
      </c>
      <c r="J371" s="23" t="str">
        <f t="shared" si="27"/>
        <v>Match</v>
      </c>
      <c r="K371" s="24">
        <f t="shared" si="28"/>
        <v>7.2</v>
      </c>
      <c r="L371" s="24">
        <f t="shared" si="29"/>
        <v>0</v>
      </c>
    </row>
    <row r="372" spans="1:12" ht="15" customHeight="1" x14ac:dyDescent="0.3">
      <c r="A372" s="23" t="s">
        <v>12841</v>
      </c>
      <c r="B372" s="23" t="s">
        <v>75</v>
      </c>
      <c r="C372" s="39">
        <v>3499</v>
      </c>
      <c r="D372" s="24">
        <v>10.5</v>
      </c>
      <c r="E372" s="24">
        <v>1.89</v>
      </c>
      <c r="F372" s="23">
        <f>COUNTIFS(mdr_rate_cleaned!$A$2:$A$10,B372,mdr_rate_cleaned!$B$2:$B$10,"&lt;"&amp;C372,mdr_rate_cleaned!$F$2:$F$10,"&gt;="&amp;C372)</f>
        <v>1</v>
      </c>
      <c r="G372" s="40">
        <f>SUMIFS(mdr_rate_cleaned!$G$2:$G$10,mdr_rate_cleaned!$A$2:$A$10,B372,mdr_rate_cleaned!$B$2:$B$10,"&lt;"&amp;C372,mdr_rate_cleaned!$F$2:$F$10,"&gt;="&amp;C372)</f>
        <v>3.0000000000000001E-3</v>
      </c>
      <c r="H372" s="24">
        <f t="shared" si="25"/>
        <v>10.5</v>
      </c>
      <c r="I372" s="23" t="str">
        <f t="shared" si="26"/>
        <v>Match</v>
      </c>
      <c r="J372" s="23" t="str">
        <f t="shared" si="27"/>
        <v>Match</v>
      </c>
      <c r="K372" s="24">
        <f t="shared" si="28"/>
        <v>1.89</v>
      </c>
      <c r="L372" s="24">
        <f t="shared" si="29"/>
        <v>0</v>
      </c>
    </row>
    <row r="373" spans="1:12" ht="15" customHeight="1" x14ac:dyDescent="0.3">
      <c r="A373" s="23" t="s">
        <v>12842</v>
      </c>
      <c r="B373" s="23" t="s">
        <v>77</v>
      </c>
      <c r="C373" s="39">
        <v>4298</v>
      </c>
      <c r="D373" s="24">
        <v>73.069999999999993</v>
      </c>
      <c r="E373" s="24">
        <v>13.15</v>
      </c>
      <c r="F373" s="23">
        <f>COUNTIFS(mdr_rate_cleaned!$A$2:$A$10,B373,mdr_rate_cleaned!$B$2:$B$10,"&lt;"&amp;C373,mdr_rate_cleaned!$F$2:$F$10,"&gt;="&amp;C373)</f>
        <v>1</v>
      </c>
      <c r="G373" s="40">
        <f>SUMIFS(mdr_rate_cleaned!$G$2:$G$10,mdr_rate_cleaned!$A$2:$A$10,B373,mdr_rate_cleaned!$B$2:$B$10,"&lt;"&amp;C373,mdr_rate_cleaned!$F$2:$F$10,"&gt;="&amp;C373)</f>
        <v>1.7000000000000001E-2</v>
      </c>
      <c r="H373" s="24">
        <f t="shared" si="25"/>
        <v>73.069999999999993</v>
      </c>
      <c r="I373" s="23" t="str">
        <f t="shared" si="26"/>
        <v>Match</v>
      </c>
      <c r="J373" s="23" t="str">
        <f t="shared" si="27"/>
        <v>Match</v>
      </c>
      <c r="K373" s="24">
        <f t="shared" si="28"/>
        <v>13.15</v>
      </c>
      <c r="L373" s="24">
        <f t="shared" si="29"/>
        <v>0</v>
      </c>
    </row>
    <row r="374" spans="1:12" ht="15" customHeight="1" x14ac:dyDescent="0.3">
      <c r="A374" s="23" t="s">
        <v>12843</v>
      </c>
      <c r="B374" s="23" t="s">
        <v>81</v>
      </c>
      <c r="C374" s="39">
        <v>10498</v>
      </c>
      <c r="D374" s="24">
        <v>94.48</v>
      </c>
      <c r="E374" s="24">
        <v>17.010000000000002</v>
      </c>
      <c r="F374" s="23">
        <f>COUNTIFS(mdr_rate_cleaned!$A$2:$A$10,B374,mdr_rate_cleaned!$B$2:$B$10,"&lt;"&amp;C374,mdr_rate_cleaned!$F$2:$F$10,"&gt;="&amp;C374)</f>
        <v>1</v>
      </c>
      <c r="G374" s="40">
        <f>SUMIFS(mdr_rate_cleaned!$G$2:$G$10,mdr_rate_cleaned!$A$2:$A$10,B374,mdr_rate_cleaned!$B$2:$B$10,"&lt;"&amp;C374,mdr_rate_cleaned!$F$2:$F$10,"&gt;="&amp;C374)</f>
        <v>9.0000000000000011E-3</v>
      </c>
      <c r="H374" s="24">
        <f t="shared" si="25"/>
        <v>94.48</v>
      </c>
      <c r="I374" s="23" t="str">
        <f t="shared" si="26"/>
        <v>Match</v>
      </c>
      <c r="J374" s="23" t="str">
        <f t="shared" si="27"/>
        <v>Match</v>
      </c>
      <c r="K374" s="24">
        <f t="shared" si="28"/>
        <v>17.010000000000002</v>
      </c>
      <c r="L374" s="24">
        <f t="shared" si="29"/>
        <v>0</v>
      </c>
    </row>
    <row r="375" spans="1:12" ht="15" customHeight="1" x14ac:dyDescent="0.3">
      <c r="A375" s="23" t="s">
        <v>12844</v>
      </c>
      <c r="B375" s="23" t="s">
        <v>77</v>
      </c>
      <c r="C375" s="39">
        <v>1598</v>
      </c>
      <c r="D375" s="24">
        <v>30.36</v>
      </c>
      <c r="E375" s="24">
        <v>5.46</v>
      </c>
      <c r="F375" s="23">
        <f>COUNTIFS(mdr_rate_cleaned!$A$2:$A$10,B375,mdr_rate_cleaned!$B$2:$B$10,"&lt;"&amp;C375,mdr_rate_cleaned!$F$2:$F$10,"&gt;="&amp;C375)</f>
        <v>1</v>
      </c>
      <c r="G375" s="40">
        <f>SUMIFS(mdr_rate_cleaned!$G$2:$G$10,mdr_rate_cleaned!$A$2:$A$10,B375,mdr_rate_cleaned!$B$2:$B$10,"&lt;"&amp;C375,mdr_rate_cleaned!$F$2:$F$10,"&gt;="&amp;C375)</f>
        <v>1.9E-2</v>
      </c>
      <c r="H375" s="24">
        <f t="shared" si="25"/>
        <v>30.36</v>
      </c>
      <c r="I375" s="23" t="str">
        <f t="shared" si="26"/>
        <v>Match</v>
      </c>
      <c r="J375" s="23" t="str">
        <f t="shared" si="27"/>
        <v>Match</v>
      </c>
      <c r="K375" s="24">
        <f t="shared" si="28"/>
        <v>5.46</v>
      </c>
      <c r="L375" s="24">
        <f t="shared" si="29"/>
        <v>0</v>
      </c>
    </row>
    <row r="376" spans="1:12" ht="15" customHeight="1" x14ac:dyDescent="0.3">
      <c r="A376" s="23" t="s">
        <v>12845</v>
      </c>
      <c r="B376" s="23" t="s">
        <v>79</v>
      </c>
      <c r="C376" s="39">
        <v>2999</v>
      </c>
      <c r="D376" s="24">
        <v>47.98</v>
      </c>
      <c r="E376" s="24">
        <v>8.64</v>
      </c>
      <c r="F376" s="23">
        <f>COUNTIFS(mdr_rate_cleaned!$A$2:$A$10,B376,mdr_rate_cleaned!$B$2:$B$10,"&lt;"&amp;C376,mdr_rate_cleaned!$F$2:$F$10,"&gt;="&amp;C376)</f>
        <v>1</v>
      </c>
      <c r="G376" s="40">
        <f>SUMIFS(mdr_rate_cleaned!$G$2:$G$10,mdr_rate_cleaned!$A$2:$A$10,B376,mdr_rate_cleaned!$B$2:$B$10,"&lt;"&amp;C376,mdr_rate_cleaned!$F$2:$F$10,"&gt;="&amp;C376)</f>
        <v>1.6E-2</v>
      </c>
      <c r="H376" s="24">
        <f t="shared" si="25"/>
        <v>47.98</v>
      </c>
      <c r="I376" s="23" t="str">
        <f t="shared" si="26"/>
        <v>Match</v>
      </c>
      <c r="J376" s="23" t="str">
        <f t="shared" si="27"/>
        <v>Match</v>
      </c>
      <c r="K376" s="24">
        <f t="shared" si="28"/>
        <v>8.64</v>
      </c>
      <c r="L376" s="24">
        <f t="shared" si="29"/>
        <v>0</v>
      </c>
    </row>
    <row r="377" spans="1:12" ht="15" customHeight="1" x14ac:dyDescent="0.3">
      <c r="A377" s="23" t="s">
        <v>12846</v>
      </c>
      <c r="B377" s="23" t="s">
        <v>75</v>
      </c>
      <c r="C377" s="39">
        <v>1447</v>
      </c>
      <c r="D377" s="24">
        <v>0</v>
      </c>
      <c r="E377" s="24">
        <v>0</v>
      </c>
      <c r="F377" s="23">
        <f>COUNTIFS(mdr_rate_cleaned!$A$2:$A$10,B377,mdr_rate_cleaned!$B$2:$B$10,"&lt;"&amp;C377,mdr_rate_cleaned!$F$2:$F$10,"&gt;="&amp;C377)</f>
        <v>1</v>
      </c>
      <c r="G377" s="40">
        <f>SUMIFS(mdr_rate_cleaned!$G$2:$G$10,mdr_rate_cleaned!$A$2:$A$10,B377,mdr_rate_cleaned!$B$2:$B$10,"&lt;"&amp;C377,mdr_rate_cleaned!$F$2:$F$10,"&gt;="&amp;C377)</f>
        <v>0</v>
      </c>
      <c r="H377" s="24">
        <f t="shared" si="25"/>
        <v>0</v>
      </c>
      <c r="I377" s="23" t="str">
        <f t="shared" si="26"/>
        <v>Match</v>
      </c>
      <c r="J377" s="23" t="str">
        <f t="shared" si="27"/>
        <v>Match</v>
      </c>
      <c r="K377" s="24">
        <f t="shared" si="28"/>
        <v>0</v>
      </c>
      <c r="L377" s="24">
        <f t="shared" si="29"/>
        <v>0</v>
      </c>
    </row>
    <row r="378" spans="1:12" ht="15" customHeight="1" x14ac:dyDescent="0.3">
      <c r="A378" s="23" t="s">
        <v>12847</v>
      </c>
      <c r="B378" s="23" t="s">
        <v>75</v>
      </c>
      <c r="C378" s="39">
        <v>499</v>
      </c>
      <c r="D378" s="24">
        <v>1.5</v>
      </c>
      <c r="E378" s="24">
        <v>0.27</v>
      </c>
      <c r="F378" s="23">
        <f>COUNTIFS(mdr_rate_cleaned!$A$2:$A$10,B378,mdr_rate_cleaned!$B$2:$B$10,"&lt;"&amp;C378,mdr_rate_cleaned!$F$2:$F$10,"&gt;="&amp;C378)</f>
        <v>1</v>
      </c>
      <c r="G378" s="40">
        <f>SUMIFS(mdr_rate_cleaned!$G$2:$G$10,mdr_rate_cleaned!$A$2:$A$10,B378,mdr_rate_cleaned!$B$2:$B$10,"&lt;"&amp;C378,mdr_rate_cleaned!$F$2:$F$10,"&gt;="&amp;C378)</f>
        <v>0</v>
      </c>
      <c r="H378" s="24">
        <f t="shared" si="25"/>
        <v>0</v>
      </c>
      <c r="I378" s="23" t="str">
        <f t="shared" si="26"/>
        <v>Differs</v>
      </c>
      <c r="J378" s="23" t="str">
        <f t="shared" si="27"/>
        <v>Match</v>
      </c>
      <c r="K378" s="24">
        <f t="shared" si="28"/>
        <v>0</v>
      </c>
      <c r="L378" s="24">
        <f t="shared" si="29"/>
        <v>1.77</v>
      </c>
    </row>
    <row r="379" spans="1:12" ht="15" customHeight="1" x14ac:dyDescent="0.3">
      <c r="A379" s="23" t="s">
        <v>12848</v>
      </c>
      <c r="B379" s="23" t="s">
        <v>81</v>
      </c>
      <c r="C379" s="39">
        <v>349</v>
      </c>
      <c r="D379" s="24">
        <v>5.24</v>
      </c>
      <c r="E379" s="24">
        <v>0.94</v>
      </c>
      <c r="F379" s="23">
        <f>COUNTIFS(mdr_rate_cleaned!$A$2:$A$10,B379,mdr_rate_cleaned!$B$2:$B$10,"&lt;"&amp;C379,mdr_rate_cleaned!$F$2:$F$10,"&gt;="&amp;C379)</f>
        <v>1</v>
      </c>
      <c r="G379" s="40">
        <f>SUMIFS(mdr_rate_cleaned!$G$2:$G$10,mdr_rate_cleaned!$A$2:$A$10,B379,mdr_rate_cleaned!$B$2:$B$10,"&lt;"&amp;C379,mdr_rate_cleaned!$F$2:$F$10,"&gt;="&amp;C379)</f>
        <v>1.4999999999999999E-2</v>
      </c>
      <c r="H379" s="24">
        <f t="shared" si="25"/>
        <v>5.24</v>
      </c>
      <c r="I379" s="23" t="str">
        <f t="shared" si="26"/>
        <v>Match</v>
      </c>
      <c r="J379" s="23" t="str">
        <f t="shared" si="27"/>
        <v>Match</v>
      </c>
      <c r="K379" s="24">
        <f t="shared" si="28"/>
        <v>0.94</v>
      </c>
      <c r="L379" s="24">
        <f t="shared" si="29"/>
        <v>0</v>
      </c>
    </row>
    <row r="380" spans="1:12" ht="15" customHeight="1" x14ac:dyDescent="0.3">
      <c r="A380" s="23" t="s">
        <v>12849</v>
      </c>
      <c r="B380" s="23" t="s">
        <v>75</v>
      </c>
      <c r="C380" s="39">
        <v>2499</v>
      </c>
      <c r="D380" s="24">
        <v>7.5</v>
      </c>
      <c r="E380" s="24">
        <v>1.35</v>
      </c>
      <c r="F380" s="23">
        <f>COUNTIFS(mdr_rate_cleaned!$A$2:$A$10,B380,mdr_rate_cleaned!$B$2:$B$10,"&lt;"&amp;C380,mdr_rate_cleaned!$F$2:$F$10,"&gt;="&amp;C380)</f>
        <v>1</v>
      </c>
      <c r="G380" s="40">
        <f>SUMIFS(mdr_rate_cleaned!$G$2:$G$10,mdr_rate_cleaned!$A$2:$A$10,B380,mdr_rate_cleaned!$B$2:$B$10,"&lt;"&amp;C380,mdr_rate_cleaned!$F$2:$F$10,"&gt;="&amp;C380)</f>
        <v>3.0000000000000001E-3</v>
      </c>
      <c r="H380" s="24">
        <f t="shared" si="25"/>
        <v>7.5</v>
      </c>
      <c r="I380" s="23" t="str">
        <f t="shared" si="26"/>
        <v>Match</v>
      </c>
      <c r="J380" s="23" t="str">
        <f t="shared" si="27"/>
        <v>Match</v>
      </c>
      <c r="K380" s="24">
        <f t="shared" si="28"/>
        <v>1.35</v>
      </c>
      <c r="L380" s="24">
        <f t="shared" si="29"/>
        <v>0</v>
      </c>
    </row>
    <row r="381" spans="1:12" ht="15" customHeight="1" x14ac:dyDescent="0.3">
      <c r="A381" s="23" t="s">
        <v>12850</v>
      </c>
      <c r="B381" s="23" t="s">
        <v>75</v>
      </c>
      <c r="C381" s="39">
        <v>349</v>
      </c>
      <c r="D381" s="24">
        <v>0</v>
      </c>
      <c r="E381" s="24">
        <v>0</v>
      </c>
      <c r="F381" s="23">
        <f>COUNTIFS(mdr_rate_cleaned!$A$2:$A$10,B381,mdr_rate_cleaned!$B$2:$B$10,"&lt;"&amp;C381,mdr_rate_cleaned!$F$2:$F$10,"&gt;="&amp;C381)</f>
        <v>1</v>
      </c>
      <c r="G381" s="40">
        <f>SUMIFS(mdr_rate_cleaned!$G$2:$G$10,mdr_rate_cleaned!$A$2:$A$10,B381,mdr_rate_cleaned!$B$2:$B$10,"&lt;"&amp;C381,mdr_rate_cleaned!$F$2:$F$10,"&gt;="&amp;C381)</f>
        <v>0</v>
      </c>
      <c r="H381" s="24">
        <f t="shared" si="25"/>
        <v>0</v>
      </c>
      <c r="I381" s="23" t="str">
        <f t="shared" si="26"/>
        <v>Match</v>
      </c>
      <c r="J381" s="23" t="str">
        <f t="shared" si="27"/>
        <v>Match</v>
      </c>
      <c r="K381" s="24">
        <f t="shared" si="28"/>
        <v>0</v>
      </c>
      <c r="L381" s="24">
        <f t="shared" si="29"/>
        <v>0</v>
      </c>
    </row>
    <row r="382" spans="1:12" ht="15" customHeight="1" x14ac:dyDescent="0.3">
      <c r="A382" s="23" t="s">
        <v>12851</v>
      </c>
      <c r="B382" s="23" t="s">
        <v>75</v>
      </c>
      <c r="C382" s="39">
        <v>4797</v>
      </c>
      <c r="D382" s="24">
        <v>14.39</v>
      </c>
      <c r="E382" s="24">
        <v>2.59</v>
      </c>
      <c r="F382" s="23">
        <f>COUNTIFS(mdr_rate_cleaned!$A$2:$A$10,B382,mdr_rate_cleaned!$B$2:$B$10,"&lt;"&amp;C382,mdr_rate_cleaned!$F$2:$F$10,"&gt;="&amp;C382)</f>
        <v>1</v>
      </c>
      <c r="G382" s="40">
        <f>SUMIFS(mdr_rate_cleaned!$G$2:$G$10,mdr_rate_cleaned!$A$2:$A$10,B382,mdr_rate_cleaned!$B$2:$B$10,"&lt;"&amp;C382,mdr_rate_cleaned!$F$2:$F$10,"&gt;="&amp;C382)</f>
        <v>3.0000000000000001E-3</v>
      </c>
      <c r="H382" s="24">
        <f t="shared" si="25"/>
        <v>14.39</v>
      </c>
      <c r="I382" s="23" t="str">
        <f t="shared" si="26"/>
        <v>Match</v>
      </c>
      <c r="J382" s="23" t="str">
        <f t="shared" si="27"/>
        <v>Match</v>
      </c>
      <c r="K382" s="24">
        <f t="shared" si="28"/>
        <v>2.59</v>
      </c>
      <c r="L382" s="24">
        <f t="shared" si="29"/>
        <v>0</v>
      </c>
    </row>
    <row r="383" spans="1:12" ht="15" customHeight="1" x14ac:dyDescent="0.3">
      <c r="A383" s="23" t="s">
        <v>12852</v>
      </c>
      <c r="B383" s="23" t="s">
        <v>79</v>
      </c>
      <c r="C383" s="39">
        <v>999</v>
      </c>
      <c r="D383" s="24">
        <v>17.98</v>
      </c>
      <c r="E383" s="24">
        <v>3.24</v>
      </c>
      <c r="F383" s="23">
        <f>COUNTIFS(mdr_rate_cleaned!$A$2:$A$10,B383,mdr_rate_cleaned!$B$2:$B$10,"&lt;"&amp;C383,mdr_rate_cleaned!$F$2:$F$10,"&gt;="&amp;C383)</f>
        <v>1</v>
      </c>
      <c r="G383" s="40">
        <f>SUMIFS(mdr_rate_cleaned!$G$2:$G$10,mdr_rate_cleaned!$A$2:$A$10,B383,mdr_rate_cleaned!$B$2:$B$10,"&lt;"&amp;C383,mdr_rate_cleaned!$F$2:$F$10,"&gt;="&amp;C383)</f>
        <v>1.8000000000000002E-2</v>
      </c>
      <c r="H383" s="24">
        <f t="shared" si="25"/>
        <v>17.98</v>
      </c>
      <c r="I383" s="23" t="str">
        <f t="shared" si="26"/>
        <v>Match</v>
      </c>
      <c r="J383" s="23" t="str">
        <f t="shared" si="27"/>
        <v>Match</v>
      </c>
      <c r="K383" s="24">
        <f t="shared" si="28"/>
        <v>3.24</v>
      </c>
      <c r="L383" s="24">
        <f t="shared" si="29"/>
        <v>0</v>
      </c>
    </row>
    <row r="384" spans="1:12" ht="15" customHeight="1" x14ac:dyDescent="0.3">
      <c r="A384" s="23" t="s">
        <v>12853</v>
      </c>
      <c r="B384" s="23" t="s">
        <v>75</v>
      </c>
      <c r="C384" s="39">
        <v>299</v>
      </c>
      <c r="D384" s="24">
        <v>0</v>
      </c>
      <c r="E384" s="24">
        <v>0</v>
      </c>
      <c r="F384" s="23">
        <f>COUNTIFS(mdr_rate_cleaned!$A$2:$A$10,B384,mdr_rate_cleaned!$B$2:$B$10,"&lt;"&amp;C384,mdr_rate_cleaned!$F$2:$F$10,"&gt;="&amp;C384)</f>
        <v>1</v>
      </c>
      <c r="G384" s="40">
        <f>SUMIFS(mdr_rate_cleaned!$G$2:$G$10,mdr_rate_cleaned!$A$2:$A$10,B384,mdr_rate_cleaned!$B$2:$B$10,"&lt;"&amp;C384,mdr_rate_cleaned!$F$2:$F$10,"&gt;="&amp;C384)</f>
        <v>0</v>
      </c>
      <c r="H384" s="24">
        <f t="shared" si="25"/>
        <v>0</v>
      </c>
      <c r="I384" s="23" t="str">
        <f t="shared" si="26"/>
        <v>Match</v>
      </c>
      <c r="J384" s="23" t="str">
        <f t="shared" si="27"/>
        <v>Match</v>
      </c>
      <c r="K384" s="24">
        <f t="shared" si="28"/>
        <v>0</v>
      </c>
      <c r="L384" s="24">
        <f t="shared" si="29"/>
        <v>0</v>
      </c>
    </row>
    <row r="385" spans="1:12" ht="15" customHeight="1" x14ac:dyDescent="0.3">
      <c r="A385" s="23" t="s">
        <v>12854</v>
      </c>
      <c r="B385" s="23" t="s">
        <v>79</v>
      </c>
      <c r="C385" s="39">
        <v>1098</v>
      </c>
      <c r="D385" s="24">
        <v>19.760000000000002</v>
      </c>
      <c r="E385" s="24">
        <v>3.56</v>
      </c>
      <c r="F385" s="23">
        <f>COUNTIFS(mdr_rate_cleaned!$A$2:$A$10,B385,mdr_rate_cleaned!$B$2:$B$10,"&lt;"&amp;C385,mdr_rate_cleaned!$F$2:$F$10,"&gt;="&amp;C385)</f>
        <v>1</v>
      </c>
      <c r="G385" s="40">
        <f>SUMIFS(mdr_rate_cleaned!$G$2:$G$10,mdr_rate_cleaned!$A$2:$A$10,B385,mdr_rate_cleaned!$B$2:$B$10,"&lt;"&amp;C385,mdr_rate_cleaned!$F$2:$F$10,"&gt;="&amp;C385)</f>
        <v>1.8000000000000002E-2</v>
      </c>
      <c r="H385" s="24">
        <f t="shared" si="25"/>
        <v>19.760000000000002</v>
      </c>
      <c r="I385" s="23" t="str">
        <f t="shared" si="26"/>
        <v>Match</v>
      </c>
      <c r="J385" s="23" t="str">
        <f t="shared" si="27"/>
        <v>Match</v>
      </c>
      <c r="K385" s="24">
        <f t="shared" si="28"/>
        <v>3.56</v>
      </c>
      <c r="L385" s="24">
        <f t="shared" si="29"/>
        <v>0</v>
      </c>
    </row>
    <row r="386" spans="1:12" ht="15" customHeight="1" x14ac:dyDescent="0.3">
      <c r="A386" s="23" t="s">
        <v>12855</v>
      </c>
      <c r="B386" s="23" t="s">
        <v>75</v>
      </c>
      <c r="C386" s="39">
        <v>499</v>
      </c>
      <c r="D386" s="24">
        <v>0</v>
      </c>
      <c r="E386" s="24">
        <v>0</v>
      </c>
      <c r="F386" s="23">
        <f>COUNTIFS(mdr_rate_cleaned!$A$2:$A$10,B386,mdr_rate_cleaned!$B$2:$B$10,"&lt;"&amp;C386,mdr_rate_cleaned!$F$2:$F$10,"&gt;="&amp;C386)</f>
        <v>1</v>
      </c>
      <c r="G386" s="40">
        <f>SUMIFS(mdr_rate_cleaned!$G$2:$G$10,mdr_rate_cleaned!$A$2:$A$10,B386,mdr_rate_cleaned!$B$2:$B$10,"&lt;"&amp;C386,mdr_rate_cleaned!$F$2:$F$10,"&gt;="&amp;C386)</f>
        <v>0</v>
      </c>
      <c r="H386" s="24">
        <f t="shared" ref="H386:H449" si="30">ROUND(C386*G386,2)</f>
        <v>0</v>
      </c>
      <c r="I386" s="23" t="str">
        <f t="shared" ref="I386:I449" si="31">IF(ROUND(D386-H386,2)=0,"Match","Differs")</f>
        <v>Match</v>
      </c>
      <c r="J386" s="23" t="str">
        <f t="shared" ref="J386:J449" si="32">IF(ROUND(E386-ROUND(D386*0.18,2),2)=0,"Match","Differs")</f>
        <v>Match</v>
      </c>
      <c r="K386" s="24">
        <f t="shared" ref="K386:K449" si="33">ROUND(H386*0.18,2)</f>
        <v>0</v>
      </c>
      <c r="L386" s="24">
        <f t="shared" ref="L386:L449" si="34">ROUND(D386+E386-H386-K386,2)</f>
        <v>0</v>
      </c>
    </row>
    <row r="387" spans="1:12" ht="15" customHeight="1" x14ac:dyDescent="0.3">
      <c r="A387" s="23" t="s">
        <v>12857</v>
      </c>
      <c r="B387" s="23" t="s">
        <v>75</v>
      </c>
      <c r="C387" s="39">
        <v>4297</v>
      </c>
      <c r="D387" s="24">
        <v>12.89</v>
      </c>
      <c r="E387" s="24">
        <v>2.3199999999999998</v>
      </c>
      <c r="F387" s="23">
        <f>COUNTIFS(mdr_rate_cleaned!$A$2:$A$10,B387,mdr_rate_cleaned!$B$2:$B$10,"&lt;"&amp;C387,mdr_rate_cleaned!$F$2:$F$10,"&gt;="&amp;C387)</f>
        <v>1</v>
      </c>
      <c r="G387" s="40">
        <f>SUMIFS(mdr_rate_cleaned!$G$2:$G$10,mdr_rate_cleaned!$A$2:$A$10,B387,mdr_rate_cleaned!$B$2:$B$10,"&lt;"&amp;C387,mdr_rate_cleaned!$F$2:$F$10,"&gt;="&amp;C387)</f>
        <v>3.0000000000000001E-3</v>
      </c>
      <c r="H387" s="24">
        <f t="shared" si="30"/>
        <v>12.89</v>
      </c>
      <c r="I387" s="23" t="str">
        <f t="shared" si="31"/>
        <v>Match</v>
      </c>
      <c r="J387" s="23" t="str">
        <f t="shared" si="32"/>
        <v>Match</v>
      </c>
      <c r="K387" s="24">
        <f t="shared" si="33"/>
        <v>2.3199999999999998</v>
      </c>
      <c r="L387" s="24">
        <f t="shared" si="34"/>
        <v>0</v>
      </c>
    </row>
    <row r="388" spans="1:12" ht="15" customHeight="1" x14ac:dyDescent="0.3">
      <c r="A388" s="23" t="s">
        <v>12858</v>
      </c>
      <c r="B388" s="23" t="s">
        <v>75</v>
      </c>
      <c r="C388" s="39">
        <v>5998</v>
      </c>
      <c r="D388" s="24">
        <v>17.989999999999998</v>
      </c>
      <c r="E388" s="24">
        <v>3.24</v>
      </c>
      <c r="F388" s="23">
        <f>COUNTIFS(mdr_rate_cleaned!$A$2:$A$10,B388,mdr_rate_cleaned!$B$2:$B$10,"&lt;"&amp;C388,mdr_rate_cleaned!$F$2:$F$10,"&gt;="&amp;C388)</f>
        <v>1</v>
      </c>
      <c r="G388" s="40">
        <f>SUMIFS(mdr_rate_cleaned!$G$2:$G$10,mdr_rate_cleaned!$A$2:$A$10,B388,mdr_rate_cleaned!$B$2:$B$10,"&lt;"&amp;C388,mdr_rate_cleaned!$F$2:$F$10,"&gt;="&amp;C388)</f>
        <v>3.0000000000000001E-3</v>
      </c>
      <c r="H388" s="24">
        <f t="shared" si="30"/>
        <v>17.989999999999998</v>
      </c>
      <c r="I388" s="23" t="str">
        <f t="shared" si="31"/>
        <v>Match</v>
      </c>
      <c r="J388" s="23" t="str">
        <f t="shared" si="32"/>
        <v>Match</v>
      </c>
      <c r="K388" s="24">
        <f t="shared" si="33"/>
        <v>3.24</v>
      </c>
      <c r="L388" s="24">
        <f t="shared" si="34"/>
        <v>0</v>
      </c>
    </row>
    <row r="389" spans="1:12" ht="15" customHeight="1" x14ac:dyDescent="0.3">
      <c r="A389" s="23" t="s">
        <v>12859</v>
      </c>
      <c r="B389" s="23" t="s">
        <v>79</v>
      </c>
      <c r="C389" s="39">
        <v>1799</v>
      </c>
      <c r="D389" s="24">
        <v>32.380000000000003</v>
      </c>
      <c r="E389" s="24">
        <v>5.83</v>
      </c>
      <c r="F389" s="23">
        <f>COUNTIFS(mdr_rate_cleaned!$A$2:$A$10,B389,mdr_rate_cleaned!$B$2:$B$10,"&lt;"&amp;C389,mdr_rate_cleaned!$F$2:$F$10,"&gt;="&amp;C389)</f>
        <v>1</v>
      </c>
      <c r="G389" s="40">
        <f>SUMIFS(mdr_rate_cleaned!$G$2:$G$10,mdr_rate_cleaned!$A$2:$A$10,B389,mdr_rate_cleaned!$B$2:$B$10,"&lt;"&amp;C389,mdr_rate_cleaned!$F$2:$F$10,"&gt;="&amp;C389)</f>
        <v>1.8000000000000002E-2</v>
      </c>
      <c r="H389" s="24">
        <f t="shared" si="30"/>
        <v>32.380000000000003</v>
      </c>
      <c r="I389" s="23" t="str">
        <f t="shared" si="31"/>
        <v>Match</v>
      </c>
      <c r="J389" s="23" t="str">
        <f t="shared" si="32"/>
        <v>Match</v>
      </c>
      <c r="K389" s="24">
        <f t="shared" si="33"/>
        <v>5.83</v>
      </c>
      <c r="L389" s="24">
        <f t="shared" si="34"/>
        <v>0</v>
      </c>
    </row>
    <row r="390" spans="1:12" ht="15" customHeight="1" x14ac:dyDescent="0.3">
      <c r="A390" s="23" t="s">
        <v>12860</v>
      </c>
      <c r="B390" s="23" t="s">
        <v>79</v>
      </c>
      <c r="C390" s="39">
        <v>2597</v>
      </c>
      <c r="D390" s="24">
        <v>41.55</v>
      </c>
      <c r="E390" s="24">
        <v>7.48</v>
      </c>
      <c r="F390" s="23">
        <f>COUNTIFS(mdr_rate_cleaned!$A$2:$A$10,B390,mdr_rate_cleaned!$B$2:$B$10,"&lt;"&amp;C390,mdr_rate_cleaned!$F$2:$F$10,"&gt;="&amp;C390)</f>
        <v>1</v>
      </c>
      <c r="G390" s="40">
        <f>SUMIFS(mdr_rate_cleaned!$G$2:$G$10,mdr_rate_cleaned!$A$2:$A$10,B390,mdr_rate_cleaned!$B$2:$B$10,"&lt;"&amp;C390,mdr_rate_cleaned!$F$2:$F$10,"&gt;="&amp;C390)</f>
        <v>1.6E-2</v>
      </c>
      <c r="H390" s="24">
        <f t="shared" si="30"/>
        <v>41.55</v>
      </c>
      <c r="I390" s="23" t="str">
        <f t="shared" si="31"/>
        <v>Match</v>
      </c>
      <c r="J390" s="23" t="str">
        <f t="shared" si="32"/>
        <v>Match</v>
      </c>
      <c r="K390" s="24">
        <f t="shared" si="33"/>
        <v>7.48</v>
      </c>
      <c r="L390" s="24">
        <f t="shared" si="34"/>
        <v>0</v>
      </c>
    </row>
    <row r="391" spans="1:12" ht="15" customHeight="1" x14ac:dyDescent="0.3">
      <c r="A391" s="23" t="s">
        <v>12861</v>
      </c>
      <c r="B391" s="23" t="s">
        <v>75</v>
      </c>
      <c r="C391" s="39">
        <v>299</v>
      </c>
      <c r="D391" s="24">
        <v>0</v>
      </c>
      <c r="E391" s="24">
        <v>0</v>
      </c>
      <c r="F391" s="23">
        <f>COUNTIFS(mdr_rate_cleaned!$A$2:$A$10,B391,mdr_rate_cleaned!$B$2:$B$10,"&lt;"&amp;C391,mdr_rate_cleaned!$F$2:$F$10,"&gt;="&amp;C391)</f>
        <v>1</v>
      </c>
      <c r="G391" s="40">
        <f>SUMIFS(mdr_rate_cleaned!$G$2:$G$10,mdr_rate_cleaned!$A$2:$A$10,B391,mdr_rate_cleaned!$B$2:$B$10,"&lt;"&amp;C391,mdr_rate_cleaned!$F$2:$F$10,"&gt;="&amp;C391)</f>
        <v>0</v>
      </c>
      <c r="H391" s="24">
        <f t="shared" si="30"/>
        <v>0</v>
      </c>
      <c r="I391" s="23" t="str">
        <f t="shared" si="31"/>
        <v>Match</v>
      </c>
      <c r="J391" s="23" t="str">
        <f t="shared" si="32"/>
        <v>Match</v>
      </c>
      <c r="K391" s="24">
        <f t="shared" si="33"/>
        <v>0</v>
      </c>
      <c r="L391" s="24">
        <f t="shared" si="34"/>
        <v>0</v>
      </c>
    </row>
    <row r="392" spans="1:12" ht="15" customHeight="1" x14ac:dyDescent="0.3">
      <c r="A392" s="23" t="s">
        <v>12862</v>
      </c>
      <c r="B392" s="23" t="s">
        <v>75</v>
      </c>
      <c r="C392" s="39">
        <v>6997</v>
      </c>
      <c r="D392" s="24">
        <v>20.99</v>
      </c>
      <c r="E392" s="24">
        <v>3.78</v>
      </c>
      <c r="F392" s="23">
        <f>COUNTIFS(mdr_rate_cleaned!$A$2:$A$10,B392,mdr_rate_cleaned!$B$2:$B$10,"&lt;"&amp;C392,mdr_rate_cleaned!$F$2:$F$10,"&gt;="&amp;C392)</f>
        <v>1</v>
      </c>
      <c r="G392" s="40">
        <f>SUMIFS(mdr_rate_cleaned!$G$2:$G$10,mdr_rate_cleaned!$A$2:$A$10,B392,mdr_rate_cleaned!$B$2:$B$10,"&lt;"&amp;C392,mdr_rate_cleaned!$F$2:$F$10,"&gt;="&amp;C392)</f>
        <v>3.0000000000000001E-3</v>
      </c>
      <c r="H392" s="24">
        <f t="shared" si="30"/>
        <v>20.99</v>
      </c>
      <c r="I392" s="23" t="str">
        <f t="shared" si="31"/>
        <v>Match</v>
      </c>
      <c r="J392" s="23" t="str">
        <f t="shared" si="32"/>
        <v>Match</v>
      </c>
      <c r="K392" s="24">
        <f t="shared" si="33"/>
        <v>3.78</v>
      </c>
      <c r="L392" s="24">
        <f t="shared" si="34"/>
        <v>0</v>
      </c>
    </row>
    <row r="393" spans="1:12" ht="15" customHeight="1" x14ac:dyDescent="0.3">
      <c r="A393" s="23" t="s">
        <v>12863</v>
      </c>
      <c r="B393" s="23" t="s">
        <v>79</v>
      </c>
      <c r="C393" s="39">
        <v>299</v>
      </c>
      <c r="D393" s="24">
        <v>5.38</v>
      </c>
      <c r="E393" s="24">
        <v>0.97</v>
      </c>
      <c r="F393" s="23">
        <f>COUNTIFS(mdr_rate_cleaned!$A$2:$A$10,B393,mdr_rate_cleaned!$B$2:$B$10,"&lt;"&amp;C393,mdr_rate_cleaned!$F$2:$F$10,"&gt;="&amp;C393)</f>
        <v>1</v>
      </c>
      <c r="G393" s="40">
        <f>SUMIFS(mdr_rate_cleaned!$G$2:$G$10,mdr_rate_cleaned!$A$2:$A$10,B393,mdr_rate_cleaned!$B$2:$B$10,"&lt;"&amp;C393,mdr_rate_cleaned!$F$2:$F$10,"&gt;="&amp;C393)</f>
        <v>1.8000000000000002E-2</v>
      </c>
      <c r="H393" s="24">
        <f t="shared" si="30"/>
        <v>5.38</v>
      </c>
      <c r="I393" s="23" t="str">
        <f t="shared" si="31"/>
        <v>Match</v>
      </c>
      <c r="J393" s="23" t="str">
        <f t="shared" si="32"/>
        <v>Match</v>
      </c>
      <c r="K393" s="24">
        <f t="shared" si="33"/>
        <v>0.97</v>
      </c>
      <c r="L393" s="24">
        <f t="shared" si="34"/>
        <v>0</v>
      </c>
    </row>
    <row r="394" spans="1:12" ht="15" customHeight="1" x14ac:dyDescent="0.3">
      <c r="A394" s="23" t="s">
        <v>12865</v>
      </c>
      <c r="B394" s="23" t="s">
        <v>75</v>
      </c>
      <c r="C394" s="39">
        <v>15998</v>
      </c>
      <c r="D394" s="24">
        <v>47.99</v>
      </c>
      <c r="E394" s="24">
        <v>8.64</v>
      </c>
      <c r="F394" s="23">
        <f>COUNTIFS(mdr_rate_cleaned!$A$2:$A$10,B394,mdr_rate_cleaned!$B$2:$B$10,"&lt;"&amp;C394,mdr_rate_cleaned!$F$2:$F$10,"&gt;="&amp;C394)</f>
        <v>1</v>
      </c>
      <c r="G394" s="40">
        <f>SUMIFS(mdr_rate_cleaned!$G$2:$G$10,mdr_rate_cleaned!$A$2:$A$10,B394,mdr_rate_cleaned!$B$2:$B$10,"&lt;"&amp;C394,mdr_rate_cleaned!$F$2:$F$10,"&gt;="&amp;C394)</f>
        <v>3.0000000000000001E-3</v>
      </c>
      <c r="H394" s="24">
        <f t="shared" si="30"/>
        <v>47.99</v>
      </c>
      <c r="I394" s="23" t="str">
        <f t="shared" si="31"/>
        <v>Match</v>
      </c>
      <c r="J394" s="23" t="str">
        <f t="shared" si="32"/>
        <v>Match</v>
      </c>
      <c r="K394" s="24">
        <f t="shared" si="33"/>
        <v>8.64</v>
      </c>
      <c r="L394" s="24">
        <f t="shared" si="34"/>
        <v>0</v>
      </c>
    </row>
    <row r="395" spans="1:12" ht="15" customHeight="1" x14ac:dyDescent="0.3">
      <c r="A395" s="23" t="s">
        <v>12866</v>
      </c>
      <c r="B395" s="23" t="s">
        <v>75</v>
      </c>
      <c r="C395" s="39">
        <v>5598</v>
      </c>
      <c r="D395" s="24">
        <v>16.79</v>
      </c>
      <c r="E395" s="24">
        <v>3.02</v>
      </c>
      <c r="F395" s="23">
        <f>COUNTIFS(mdr_rate_cleaned!$A$2:$A$10,B395,mdr_rate_cleaned!$B$2:$B$10,"&lt;"&amp;C395,mdr_rate_cleaned!$F$2:$F$10,"&gt;="&amp;C395)</f>
        <v>1</v>
      </c>
      <c r="G395" s="40">
        <f>SUMIFS(mdr_rate_cleaned!$G$2:$G$10,mdr_rate_cleaned!$A$2:$A$10,B395,mdr_rate_cleaned!$B$2:$B$10,"&lt;"&amp;C395,mdr_rate_cleaned!$F$2:$F$10,"&gt;="&amp;C395)</f>
        <v>3.0000000000000001E-3</v>
      </c>
      <c r="H395" s="24">
        <f t="shared" si="30"/>
        <v>16.79</v>
      </c>
      <c r="I395" s="23" t="str">
        <f t="shared" si="31"/>
        <v>Match</v>
      </c>
      <c r="J395" s="23" t="str">
        <f t="shared" si="32"/>
        <v>Match</v>
      </c>
      <c r="K395" s="24">
        <f t="shared" si="33"/>
        <v>3.02</v>
      </c>
      <c r="L395" s="24">
        <f t="shared" si="34"/>
        <v>0</v>
      </c>
    </row>
    <row r="396" spans="1:12" ht="15" customHeight="1" x14ac:dyDescent="0.3">
      <c r="A396" s="23" t="s">
        <v>12867</v>
      </c>
      <c r="B396" s="23" t="s">
        <v>79</v>
      </c>
      <c r="C396" s="39">
        <v>5348</v>
      </c>
      <c r="D396" s="24">
        <v>85.57</v>
      </c>
      <c r="E396" s="24">
        <v>15.4</v>
      </c>
      <c r="F396" s="23">
        <f>COUNTIFS(mdr_rate_cleaned!$A$2:$A$10,B396,mdr_rate_cleaned!$B$2:$B$10,"&lt;"&amp;C396,mdr_rate_cleaned!$F$2:$F$10,"&gt;="&amp;C396)</f>
        <v>1</v>
      </c>
      <c r="G396" s="40">
        <f>SUMIFS(mdr_rate_cleaned!$G$2:$G$10,mdr_rate_cleaned!$A$2:$A$10,B396,mdr_rate_cleaned!$B$2:$B$10,"&lt;"&amp;C396,mdr_rate_cleaned!$F$2:$F$10,"&gt;="&amp;C396)</f>
        <v>1.6E-2</v>
      </c>
      <c r="H396" s="24">
        <f t="shared" si="30"/>
        <v>85.57</v>
      </c>
      <c r="I396" s="23" t="str">
        <f t="shared" si="31"/>
        <v>Match</v>
      </c>
      <c r="J396" s="23" t="str">
        <f t="shared" si="32"/>
        <v>Match</v>
      </c>
      <c r="K396" s="24">
        <f t="shared" si="33"/>
        <v>15.4</v>
      </c>
      <c r="L396" s="24">
        <f t="shared" si="34"/>
        <v>0</v>
      </c>
    </row>
    <row r="397" spans="1:12" ht="15" customHeight="1" x14ac:dyDescent="0.3">
      <c r="A397" s="23" t="s">
        <v>12868</v>
      </c>
      <c r="B397" s="23" t="s">
        <v>75</v>
      </c>
      <c r="C397" s="39">
        <v>698</v>
      </c>
      <c r="D397" s="24">
        <v>0</v>
      </c>
      <c r="E397" s="24">
        <v>0</v>
      </c>
      <c r="F397" s="23">
        <f>COUNTIFS(mdr_rate_cleaned!$A$2:$A$10,B397,mdr_rate_cleaned!$B$2:$B$10,"&lt;"&amp;C397,mdr_rate_cleaned!$F$2:$F$10,"&gt;="&amp;C397)</f>
        <v>1</v>
      </c>
      <c r="G397" s="40">
        <f>SUMIFS(mdr_rate_cleaned!$G$2:$G$10,mdr_rate_cleaned!$A$2:$A$10,B397,mdr_rate_cleaned!$B$2:$B$10,"&lt;"&amp;C397,mdr_rate_cleaned!$F$2:$F$10,"&gt;="&amp;C397)</f>
        <v>0</v>
      </c>
      <c r="H397" s="24">
        <f t="shared" si="30"/>
        <v>0</v>
      </c>
      <c r="I397" s="23" t="str">
        <f t="shared" si="31"/>
        <v>Match</v>
      </c>
      <c r="J397" s="23" t="str">
        <f t="shared" si="32"/>
        <v>Match</v>
      </c>
      <c r="K397" s="24">
        <f t="shared" si="33"/>
        <v>0</v>
      </c>
      <c r="L397" s="24">
        <f t="shared" si="34"/>
        <v>0</v>
      </c>
    </row>
    <row r="398" spans="1:12" ht="15" customHeight="1" x14ac:dyDescent="0.3">
      <c r="A398" s="23" t="s">
        <v>12869</v>
      </c>
      <c r="B398" s="23" t="s">
        <v>77</v>
      </c>
      <c r="C398" s="39">
        <v>1299</v>
      </c>
      <c r="D398" s="24">
        <v>24.68</v>
      </c>
      <c r="E398" s="24">
        <v>4.4400000000000004</v>
      </c>
      <c r="F398" s="23">
        <f>COUNTIFS(mdr_rate_cleaned!$A$2:$A$10,B398,mdr_rate_cleaned!$B$2:$B$10,"&lt;"&amp;C398,mdr_rate_cleaned!$F$2:$F$10,"&gt;="&amp;C398)</f>
        <v>1</v>
      </c>
      <c r="G398" s="40">
        <f>SUMIFS(mdr_rate_cleaned!$G$2:$G$10,mdr_rate_cleaned!$A$2:$A$10,B398,mdr_rate_cleaned!$B$2:$B$10,"&lt;"&amp;C398,mdr_rate_cleaned!$F$2:$F$10,"&gt;="&amp;C398)</f>
        <v>1.9E-2</v>
      </c>
      <c r="H398" s="24">
        <f t="shared" si="30"/>
        <v>24.68</v>
      </c>
      <c r="I398" s="23" t="str">
        <f t="shared" si="31"/>
        <v>Match</v>
      </c>
      <c r="J398" s="23" t="str">
        <f t="shared" si="32"/>
        <v>Match</v>
      </c>
      <c r="K398" s="24">
        <f t="shared" si="33"/>
        <v>4.4400000000000004</v>
      </c>
      <c r="L398" s="24">
        <f t="shared" si="34"/>
        <v>0</v>
      </c>
    </row>
    <row r="399" spans="1:12" ht="15" customHeight="1" x14ac:dyDescent="0.3">
      <c r="A399" s="23" t="s">
        <v>12870</v>
      </c>
      <c r="B399" s="23" t="s">
        <v>77</v>
      </c>
      <c r="C399" s="39">
        <v>2097</v>
      </c>
      <c r="D399" s="24">
        <v>35.65</v>
      </c>
      <c r="E399" s="24">
        <v>6.42</v>
      </c>
      <c r="F399" s="23">
        <f>COUNTIFS(mdr_rate_cleaned!$A$2:$A$10,B399,mdr_rate_cleaned!$B$2:$B$10,"&lt;"&amp;C399,mdr_rate_cleaned!$F$2:$F$10,"&gt;="&amp;C399)</f>
        <v>1</v>
      </c>
      <c r="G399" s="40">
        <f>SUMIFS(mdr_rate_cleaned!$G$2:$G$10,mdr_rate_cleaned!$A$2:$A$10,B399,mdr_rate_cleaned!$B$2:$B$10,"&lt;"&amp;C399,mdr_rate_cleaned!$F$2:$F$10,"&gt;="&amp;C399)</f>
        <v>1.7000000000000001E-2</v>
      </c>
      <c r="H399" s="24">
        <f t="shared" si="30"/>
        <v>35.65</v>
      </c>
      <c r="I399" s="23" t="str">
        <f t="shared" si="31"/>
        <v>Match</v>
      </c>
      <c r="J399" s="23" t="str">
        <f t="shared" si="32"/>
        <v>Match</v>
      </c>
      <c r="K399" s="24">
        <f t="shared" si="33"/>
        <v>6.42</v>
      </c>
      <c r="L399" s="24">
        <f t="shared" si="34"/>
        <v>0</v>
      </c>
    </row>
    <row r="400" spans="1:12" ht="15" customHeight="1" x14ac:dyDescent="0.3">
      <c r="A400" s="23" t="s">
        <v>12871</v>
      </c>
      <c r="B400" s="23" t="s">
        <v>75</v>
      </c>
      <c r="C400" s="39">
        <v>599</v>
      </c>
      <c r="D400" s="24">
        <v>0</v>
      </c>
      <c r="E400" s="24">
        <v>0</v>
      </c>
      <c r="F400" s="23">
        <f>COUNTIFS(mdr_rate_cleaned!$A$2:$A$10,B400,mdr_rate_cleaned!$B$2:$B$10,"&lt;"&amp;C400,mdr_rate_cleaned!$F$2:$F$10,"&gt;="&amp;C400)</f>
        <v>1</v>
      </c>
      <c r="G400" s="40">
        <f>SUMIFS(mdr_rate_cleaned!$G$2:$G$10,mdr_rate_cleaned!$A$2:$A$10,B400,mdr_rate_cleaned!$B$2:$B$10,"&lt;"&amp;C400,mdr_rate_cleaned!$F$2:$F$10,"&gt;="&amp;C400)</f>
        <v>0</v>
      </c>
      <c r="H400" s="24">
        <f t="shared" si="30"/>
        <v>0</v>
      </c>
      <c r="I400" s="23" t="str">
        <f t="shared" si="31"/>
        <v>Match</v>
      </c>
      <c r="J400" s="23" t="str">
        <f t="shared" si="32"/>
        <v>Match</v>
      </c>
      <c r="K400" s="24">
        <f t="shared" si="33"/>
        <v>0</v>
      </c>
      <c r="L400" s="24">
        <f t="shared" si="34"/>
        <v>0</v>
      </c>
    </row>
    <row r="401" spans="1:12" ht="15" customHeight="1" x14ac:dyDescent="0.3">
      <c r="A401" s="23" t="s">
        <v>12873</v>
      </c>
      <c r="B401" s="23" t="s">
        <v>79</v>
      </c>
      <c r="C401" s="39">
        <v>999</v>
      </c>
      <c r="D401" s="24">
        <v>17.98</v>
      </c>
      <c r="E401" s="24">
        <v>3.24</v>
      </c>
      <c r="F401" s="23">
        <f>COUNTIFS(mdr_rate_cleaned!$A$2:$A$10,B401,mdr_rate_cleaned!$B$2:$B$10,"&lt;"&amp;C401,mdr_rate_cleaned!$F$2:$F$10,"&gt;="&amp;C401)</f>
        <v>1</v>
      </c>
      <c r="G401" s="40">
        <f>SUMIFS(mdr_rate_cleaned!$G$2:$G$10,mdr_rate_cleaned!$A$2:$A$10,B401,mdr_rate_cleaned!$B$2:$B$10,"&lt;"&amp;C401,mdr_rate_cleaned!$F$2:$F$10,"&gt;="&amp;C401)</f>
        <v>1.8000000000000002E-2</v>
      </c>
      <c r="H401" s="24">
        <f t="shared" si="30"/>
        <v>17.98</v>
      </c>
      <c r="I401" s="23" t="str">
        <f t="shared" si="31"/>
        <v>Match</v>
      </c>
      <c r="J401" s="23" t="str">
        <f t="shared" si="32"/>
        <v>Match</v>
      </c>
      <c r="K401" s="24">
        <f t="shared" si="33"/>
        <v>3.24</v>
      </c>
      <c r="L401" s="24">
        <f t="shared" si="34"/>
        <v>0</v>
      </c>
    </row>
    <row r="402" spans="1:12" ht="15" customHeight="1" x14ac:dyDescent="0.3">
      <c r="A402" s="23" t="s">
        <v>12874</v>
      </c>
      <c r="B402" s="23" t="s">
        <v>77</v>
      </c>
      <c r="C402" s="39">
        <v>1499</v>
      </c>
      <c r="D402" s="24">
        <v>28.48</v>
      </c>
      <c r="E402" s="24">
        <v>5.13</v>
      </c>
      <c r="F402" s="23">
        <f>COUNTIFS(mdr_rate_cleaned!$A$2:$A$10,B402,mdr_rate_cleaned!$B$2:$B$10,"&lt;"&amp;C402,mdr_rate_cleaned!$F$2:$F$10,"&gt;="&amp;C402)</f>
        <v>1</v>
      </c>
      <c r="G402" s="40">
        <f>SUMIFS(mdr_rate_cleaned!$G$2:$G$10,mdr_rate_cleaned!$A$2:$A$10,B402,mdr_rate_cleaned!$B$2:$B$10,"&lt;"&amp;C402,mdr_rate_cleaned!$F$2:$F$10,"&gt;="&amp;C402)</f>
        <v>1.9E-2</v>
      </c>
      <c r="H402" s="24">
        <f t="shared" si="30"/>
        <v>28.48</v>
      </c>
      <c r="I402" s="23" t="str">
        <f t="shared" si="31"/>
        <v>Match</v>
      </c>
      <c r="J402" s="23" t="str">
        <f t="shared" si="32"/>
        <v>Match</v>
      </c>
      <c r="K402" s="24">
        <f t="shared" si="33"/>
        <v>5.13</v>
      </c>
      <c r="L402" s="24">
        <f t="shared" si="34"/>
        <v>0</v>
      </c>
    </row>
    <row r="403" spans="1:12" ht="15" customHeight="1" x14ac:dyDescent="0.3">
      <c r="A403" s="23" t="s">
        <v>12875</v>
      </c>
      <c r="B403" s="23" t="s">
        <v>75</v>
      </c>
      <c r="C403" s="39">
        <v>499</v>
      </c>
      <c r="D403" s="24">
        <v>0</v>
      </c>
      <c r="E403" s="24">
        <v>0</v>
      </c>
      <c r="F403" s="23">
        <f>COUNTIFS(mdr_rate_cleaned!$A$2:$A$10,B403,mdr_rate_cleaned!$B$2:$B$10,"&lt;"&amp;C403,mdr_rate_cleaned!$F$2:$F$10,"&gt;="&amp;C403)</f>
        <v>1</v>
      </c>
      <c r="G403" s="40">
        <f>SUMIFS(mdr_rate_cleaned!$G$2:$G$10,mdr_rate_cleaned!$A$2:$A$10,B403,mdr_rate_cleaned!$B$2:$B$10,"&lt;"&amp;C403,mdr_rate_cleaned!$F$2:$F$10,"&gt;="&amp;C403)</f>
        <v>0</v>
      </c>
      <c r="H403" s="24">
        <f t="shared" si="30"/>
        <v>0</v>
      </c>
      <c r="I403" s="23" t="str">
        <f t="shared" si="31"/>
        <v>Match</v>
      </c>
      <c r="J403" s="23" t="str">
        <f t="shared" si="32"/>
        <v>Match</v>
      </c>
      <c r="K403" s="24">
        <f t="shared" si="33"/>
        <v>0</v>
      </c>
      <c r="L403" s="24">
        <f t="shared" si="34"/>
        <v>0</v>
      </c>
    </row>
    <row r="404" spans="1:12" ht="15" customHeight="1" x14ac:dyDescent="0.3">
      <c r="A404" s="23" t="s">
        <v>12876</v>
      </c>
      <c r="B404" s="23" t="s">
        <v>75</v>
      </c>
      <c r="C404" s="39">
        <v>599</v>
      </c>
      <c r="D404" s="24">
        <v>0</v>
      </c>
      <c r="E404" s="24">
        <v>0</v>
      </c>
      <c r="F404" s="23">
        <f>COUNTIFS(mdr_rate_cleaned!$A$2:$A$10,B404,mdr_rate_cleaned!$B$2:$B$10,"&lt;"&amp;C404,mdr_rate_cleaned!$F$2:$F$10,"&gt;="&amp;C404)</f>
        <v>1</v>
      </c>
      <c r="G404" s="40">
        <f>SUMIFS(mdr_rate_cleaned!$G$2:$G$10,mdr_rate_cleaned!$A$2:$A$10,B404,mdr_rate_cleaned!$B$2:$B$10,"&lt;"&amp;C404,mdr_rate_cleaned!$F$2:$F$10,"&gt;="&amp;C404)</f>
        <v>0</v>
      </c>
      <c r="H404" s="24">
        <f t="shared" si="30"/>
        <v>0</v>
      </c>
      <c r="I404" s="23" t="str">
        <f t="shared" si="31"/>
        <v>Match</v>
      </c>
      <c r="J404" s="23" t="str">
        <f t="shared" si="32"/>
        <v>Match</v>
      </c>
      <c r="K404" s="24">
        <f t="shared" si="33"/>
        <v>0</v>
      </c>
      <c r="L404" s="24">
        <f t="shared" si="34"/>
        <v>0</v>
      </c>
    </row>
    <row r="405" spans="1:12" ht="15" customHeight="1" x14ac:dyDescent="0.3">
      <c r="A405" s="23" t="s">
        <v>12877</v>
      </c>
      <c r="B405" s="23" t="s">
        <v>75</v>
      </c>
      <c r="C405" s="39">
        <v>1299</v>
      </c>
      <c r="D405" s="24">
        <v>0</v>
      </c>
      <c r="E405" s="24">
        <v>0</v>
      </c>
      <c r="F405" s="23">
        <f>COUNTIFS(mdr_rate_cleaned!$A$2:$A$10,B405,mdr_rate_cleaned!$B$2:$B$10,"&lt;"&amp;C405,mdr_rate_cleaned!$F$2:$F$10,"&gt;="&amp;C405)</f>
        <v>1</v>
      </c>
      <c r="G405" s="40">
        <f>SUMIFS(mdr_rate_cleaned!$G$2:$G$10,mdr_rate_cleaned!$A$2:$A$10,B405,mdr_rate_cleaned!$B$2:$B$10,"&lt;"&amp;C405,mdr_rate_cleaned!$F$2:$F$10,"&gt;="&amp;C405)</f>
        <v>0</v>
      </c>
      <c r="H405" s="24">
        <f t="shared" si="30"/>
        <v>0</v>
      </c>
      <c r="I405" s="23" t="str">
        <f t="shared" si="31"/>
        <v>Match</v>
      </c>
      <c r="J405" s="23" t="str">
        <f t="shared" si="32"/>
        <v>Match</v>
      </c>
      <c r="K405" s="24">
        <f t="shared" si="33"/>
        <v>0</v>
      </c>
      <c r="L405" s="24">
        <f t="shared" si="34"/>
        <v>0</v>
      </c>
    </row>
    <row r="406" spans="1:12" ht="15" customHeight="1" x14ac:dyDescent="0.3">
      <c r="A406" s="23" t="s">
        <v>12878</v>
      </c>
      <c r="B406" s="23" t="s">
        <v>75</v>
      </c>
      <c r="C406" s="39">
        <v>4298</v>
      </c>
      <c r="D406" s="24">
        <v>12.89</v>
      </c>
      <c r="E406" s="24">
        <v>2.3199999999999998</v>
      </c>
      <c r="F406" s="23">
        <f>COUNTIFS(mdr_rate_cleaned!$A$2:$A$10,B406,mdr_rate_cleaned!$B$2:$B$10,"&lt;"&amp;C406,mdr_rate_cleaned!$F$2:$F$10,"&gt;="&amp;C406)</f>
        <v>1</v>
      </c>
      <c r="G406" s="40">
        <f>SUMIFS(mdr_rate_cleaned!$G$2:$G$10,mdr_rate_cleaned!$A$2:$A$10,B406,mdr_rate_cleaned!$B$2:$B$10,"&lt;"&amp;C406,mdr_rate_cleaned!$F$2:$F$10,"&gt;="&amp;C406)</f>
        <v>3.0000000000000001E-3</v>
      </c>
      <c r="H406" s="24">
        <f t="shared" si="30"/>
        <v>12.89</v>
      </c>
      <c r="I406" s="23" t="str">
        <f t="shared" si="31"/>
        <v>Match</v>
      </c>
      <c r="J406" s="23" t="str">
        <f t="shared" si="32"/>
        <v>Match</v>
      </c>
      <c r="K406" s="24">
        <f t="shared" si="33"/>
        <v>2.3199999999999998</v>
      </c>
      <c r="L406" s="24">
        <f t="shared" si="34"/>
        <v>0</v>
      </c>
    </row>
    <row r="407" spans="1:12" ht="15" customHeight="1" x14ac:dyDescent="0.3">
      <c r="A407" s="23" t="s">
        <v>12879</v>
      </c>
      <c r="B407" s="23" t="s">
        <v>79</v>
      </c>
      <c r="C407" s="39">
        <v>599</v>
      </c>
      <c r="D407" s="24">
        <v>10.78</v>
      </c>
      <c r="E407" s="24">
        <v>1.94</v>
      </c>
      <c r="F407" s="23">
        <f>COUNTIFS(mdr_rate_cleaned!$A$2:$A$10,B407,mdr_rate_cleaned!$B$2:$B$10,"&lt;"&amp;C407,mdr_rate_cleaned!$F$2:$F$10,"&gt;="&amp;C407)</f>
        <v>1</v>
      </c>
      <c r="G407" s="40">
        <f>SUMIFS(mdr_rate_cleaned!$G$2:$G$10,mdr_rate_cleaned!$A$2:$A$10,B407,mdr_rate_cleaned!$B$2:$B$10,"&lt;"&amp;C407,mdr_rate_cleaned!$F$2:$F$10,"&gt;="&amp;C407)</f>
        <v>1.8000000000000002E-2</v>
      </c>
      <c r="H407" s="24">
        <f t="shared" si="30"/>
        <v>10.78</v>
      </c>
      <c r="I407" s="23" t="str">
        <f t="shared" si="31"/>
        <v>Match</v>
      </c>
      <c r="J407" s="23" t="str">
        <f t="shared" si="32"/>
        <v>Match</v>
      </c>
      <c r="K407" s="24">
        <f t="shared" si="33"/>
        <v>1.94</v>
      </c>
      <c r="L407" s="24">
        <f t="shared" si="34"/>
        <v>0</v>
      </c>
    </row>
    <row r="408" spans="1:12" ht="15" customHeight="1" x14ac:dyDescent="0.3">
      <c r="A408" s="23" t="s">
        <v>12880</v>
      </c>
      <c r="B408" s="23" t="s">
        <v>79</v>
      </c>
      <c r="C408" s="39">
        <v>1798</v>
      </c>
      <c r="D408" s="24">
        <v>32.36</v>
      </c>
      <c r="E408" s="24">
        <v>5.82</v>
      </c>
      <c r="F408" s="23">
        <f>COUNTIFS(mdr_rate_cleaned!$A$2:$A$10,B408,mdr_rate_cleaned!$B$2:$B$10,"&lt;"&amp;C408,mdr_rate_cleaned!$F$2:$F$10,"&gt;="&amp;C408)</f>
        <v>1</v>
      </c>
      <c r="G408" s="40">
        <f>SUMIFS(mdr_rate_cleaned!$G$2:$G$10,mdr_rate_cleaned!$A$2:$A$10,B408,mdr_rate_cleaned!$B$2:$B$10,"&lt;"&amp;C408,mdr_rate_cleaned!$F$2:$F$10,"&gt;="&amp;C408)</f>
        <v>1.8000000000000002E-2</v>
      </c>
      <c r="H408" s="24">
        <f t="shared" si="30"/>
        <v>32.36</v>
      </c>
      <c r="I408" s="23" t="str">
        <f t="shared" si="31"/>
        <v>Match</v>
      </c>
      <c r="J408" s="23" t="str">
        <f t="shared" si="32"/>
        <v>Match</v>
      </c>
      <c r="K408" s="24">
        <f t="shared" si="33"/>
        <v>5.82</v>
      </c>
      <c r="L408" s="24">
        <f t="shared" si="34"/>
        <v>0</v>
      </c>
    </row>
    <row r="409" spans="1:12" ht="15" customHeight="1" x14ac:dyDescent="0.3">
      <c r="A409" s="23" t="s">
        <v>12881</v>
      </c>
      <c r="B409" s="23" t="s">
        <v>77</v>
      </c>
      <c r="C409" s="39">
        <v>999</v>
      </c>
      <c r="D409" s="24">
        <v>18.98</v>
      </c>
      <c r="E409" s="24">
        <v>3.42</v>
      </c>
      <c r="F409" s="23">
        <f>COUNTIFS(mdr_rate_cleaned!$A$2:$A$10,B409,mdr_rate_cleaned!$B$2:$B$10,"&lt;"&amp;C409,mdr_rate_cleaned!$F$2:$F$10,"&gt;="&amp;C409)</f>
        <v>1</v>
      </c>
      <c r="G409" s="40">
        <f>SUMIFS(mdr_rate_cleaned!$G$2:$G$10,mdr_rate_cleaned!$A$2:$A$10,B409,mdr_rate_cleaned!$B$2:$B$10,"&lt;"&amp;C409,mdr_rate_cleaned!$F$2:$F$10,"&gt;="&amp;C409)</f>
        <v>1.9E-2</v>
      </c>
      <c r="H409" s="24">
        <f t="shared" si="30"/>
        <v>18.98</v>
      </c>
      <c r="I409" s="23" t="str">
        <f t="shared" si="31"/>
        <v>Match</v>
      </c>
      <c r="J409" s="23" t="str">
        <f t="shared" si="32"/>
        <v>Match</v>
      </c>
      <c r="K409" s="24">
        <f t="shared" si="33"/>
        <v>3.42</v>
      </c>
      <c r="L409" s="24">
        <f t="shared" si="34"/>
        <v>0</v>
      </c>
    </row>
    <row r="410" spans="1:12" ht="15" customHeight="1" x14ac:dyDescent="0.3">
      <c r="A410" s="23" t="s">
        <v>12883</v>
      </c>
      <c r="B410" s="23" t="s">
        <v>75</v>
      </c>
      <c r="C410" s="39">
        <v>7999</v>
      </c>
      <c r="D410" s="24">
        <v>24</v>
      </c>
      <c r="E410" s="24">
        <v>4.32</v>
      </c>
      <c r="F410" s="23">
        <f>COUNTIFS(mdr_rate_cleaned!$A$2:$A$10,B410,mdr_rate_cleaned!$B$2:$B$10,"&lt;"&amp;C410,mdr_rate_cleaned!$F$2:$F$10,"&gt;="&amp;C410)</f>
        <v>1</v>
      </c>
      <c r="G410" s="40">
        <f>SUMIFS(mdr_rate_cleaned!$G$2:$G$10,mdr_rate_cleaned!$A$2:$A$10,B410,mdr_rate_cleaned!$B$2:$B$10,"&lt;"&amp;C410,mdr_rate_cleaned!$F$2:$F$10,"&gt;="&amp;C410)</f>
        <v>3.0000000000000001E-3</v>
      </c>
      <c r="H410" s="24">
        <f t="shared" si="30"/>
        <v>24</v>
      </c>
      <c r="I410" s="23" t="str">
        <f t="shared" si="31"/>
        <v>Match</v>
      </c>
      <c r="J410" s="23" t="str">
        <f t="shared" si="32"/>
        <v>Match</v>
      </c>
      <c r="K410" s="24">
        <f t="shared" si="33"/>
        <v>4.32</v>
      </c>
      <c r="L410" s="24">
        <f t="shared" si="34"/>
        <v>0</v>
      </c>
    </row>
    <row r="411" spans="1:12" ht="15" customHeight="1" x14ac:dyDescent="0.3">
      <c r="A411" s="23" t="s">
        <v>12884</v>
      </c>
      <c r="B411" s="23" t="s">
        <v>79</v>
      </c>
      <c r="C411" s="39">
        <v>1348</v>
      </c>
      <c r="D411" s="24">
        <v>24.26</v>
      </c>
      <c r="E411" s="24">
        <v>4.37</v>
      </c>
      <c r="F411" s="23">
        <f>COUNTIFS(mdr_rate_cleaned!$A$2:$A$10,B411,mdr_rate_cleaned!$B$2:$B$10,"&lt;"&amp;C411,mdr_rate_cleaned!$F$2:$F$10,"&gt;="&amp;C411)</f>
        <v>1</v>
      </c>
      <c r="G411" s="40">
        <f>SUMIFS(mdr_rate_cleaned!$G$2:$G$10,mdr_rate_cleaned!$A$2:$A$10,B411,mdr_rate_cleaned!$B$2:$B$10,"&lt;"&amp;C411,mdr_rate_cleaned!$F$2:$F$10,"&gt;="&amp;C411)</f>
        <v>1.8000000000000002E-2</v>
      </c>
      <c r="H411" s="24">
        <f t="shared" si="30"/>
        <v>24.26</v>
      </c>
      <c r="I411" s="23" t="str">
        <f t="shared" si="31"/>
        <v>Match</v>
      </c>
      <c r="J411" s="23" t="str">
        <f t="shared" si="32"/>
        <v>Match</v>
      </c>
      <c r="K411" s="24">
        <f t="shared" si="33"/>
        <v>4.37</v>
      </c>
      <c r="L411" s="24">
        <f t="shared" si="34"/>
        <v>0</v>
      </c>
    </row>
    <row r="412" spans="1:12" ht="15" customHeight="1" x14ac:dyDescent="0.3">
      <c r="A412" s="23" t="s">
        <v>12885</v>
      </c>
      <c r="B412" s="23" t="s">
        <v>75</v>
      </c>
      <c r="C412" s="39">
        <v>599</v>
      </c>
      <c r="D412" s="24">
        <v>0</v>
      </c>
      <c r="E412" s="24">
        <v>0</v>
      </c>
      <c r="F412" s="23">
        <f>COUNTIFS(mdr_rate_cleaned!$A$2:$A$10,B412,mdr_rate_cleaned!$B$2:$B$10,"&lt;"&amp;C412,mdr_rate_cleaned!$F$2:$F$10,"&gt;="&amp;C412)</f>
        <v>1</v>
      </c>
      <c r="G412" s="40">
        <f>SUMIFS(mdr_rate_cleaned!$G$2:$G$10,mdr_rate_cleaned!$A$2:$A$10,B412,mdr_rate_cleaned!$B$2:$B$10,"&lt;"&amp;C412,mdr_rate_cleaned!$F$2:$F$10,"&gt;="&amp;C412)</f>
        <v>0</v>
      </c>
      <c r="H412" s="24">
        <f t="shared" si="30"/>
        <v>0</v>
      </c>
      <c r="I412" s="23" t="str">
        <f t="shared" si="31"/>
        <v>Match</v>
      </c>
      <c r="J412" s="23" t="str">
        <f t="shared" si="32"/>
        <v>Match</v>
      </c>
      <c r="K412" s="24">
        <f t="shared" si="33"/>
        <v>0</v>
      </c>
      <c r="L412" s="24">
        <f t="shared" si="34"/>
        <v>0</v>
      </c>
    </row>
    <row r="413" spans="1:12" ht="15" customHeight="1" x14ac:dyDescent="0.3">
      <c r="A413" s="23" t="s">
        <v>12887</v>
      </c>
      <c r="B413" s="23" t="s">
        <v>75</v>
      </c>
      <c r="C413" s="39">
        <v>599</v>
      </c>
      <c r="D413" s="24">
        <v>0</v>
      </c>
      <c r="E413" s="24">
        <v>0</v>
      </c>
      <c r="F413" s="23">
        <f>COUNTIFS(mdr_rate_cleaned!$A$2:$A$10,B413,mdr_rate_cleaned!$B$2:$B$10,"&lt;"&amp;C413,mdr_rate_cleaned!$F$2:$F$10,"&gt;="&amp;C413)</f>
        <v>1</v>
      </c>
      <c r="G413" s="40">
        <f>SUMIFS(mdr_rate_cleaned!$G$2:$G$10,mdr_rate_cleaned!$A$2:$A$10,B413,mdr_rate_cleaned!$B$2:$B$10,"&lt;"&amp;C413,mdr_rate_cleaned!$F$2:$F$10,"&gt;="&amp;C413)</f>
        <v>0</v>
      </c>
      <c r="H413" s="24">
        <f t="shared" si="30"/>
        <v>0</v>
      </c>
      <c r="I413" s="23" t="str">
        <f t="shared" si="31"/>
        <v>Match</v>
      </c>
      <c r="J413" s="23" t="str">
        <f t="shared" si="32"/>
        <v>Match</v>
      </c>
      <c r="K413" s="24">
        <f t="shared" si="33"/>
        <v>0</v>
      </c>
      <c r="L413" s="24">
        <f t="shared" si="34"/>
        <v>0</v>
      </c>
    </row>
    <row r="414" spans="1:12" ht="15" customHeight="1" x14ac:dyDescent="0.3">
      <c r="A414" s="23" t="s">
        <v>12888</v>
      </c>
      <c r="B414" s="23" t="s">
        <v>75</v>
      </c>
      <c r="C414" s="39">
        <v>799</v>
      </c>
      <c r="D414" s="24">
        <v>0</v>
      </c>
      <c r="E414" s="24">
        <v>0</v>
      </c>
      <c r="F414" s="23">
        <f>COUNTIFS(mdr_rate_cleaned!$A$2:$A$10,B414,mdr_rate_cleaned!$B$2:$B$10,"&lt;"&amp;C414,mdr_rate_cleaned!$F$2:$F$10,"&gt;="&amp;C414)</f>
        <v>1</v>
      </c>
      <c r="G414" s="40">
        <f>SUMIFS(mdr_rate_cleaned!$G$2:$G$10,mdr_rate_cleaned!$A$2:$A$10,B414,mdr_rate_cleaned!$B$2:$B$10,"&lt;"&amp;C414,mdr_rate_cleaned!$F$2:$F$10,"&gt;="&amp;C414)</f>
        <v>0</v>
      </c>
      <c r="H414" s="24">
        <f t="shared" si="30"/>
        <v>0</v>
      </c>
      <c r="I414" s="23" t="str">
        <f t="shared" si="31"/>
        <v>Match</v>
      </c>
      <c r="J414" s="23" t="str">
        <f t="shared" si="32"/>
        <v>Match</v>
      </c>
      <c r="K414" s="24">
        <f t="shared" si="33"/>
        <v>0</v>
      </c>
      <c r="L414" s="24">
        <f t="shared" si="34"/>
        <v>0</v>
      </c>
    </row>
    <row r="415" spans="1:12" ht="15" customHeight="1" x14ac:dyDescent="0.3">
      <c r="A415" s="23" t="s">
        <v>12889</v>
      </c>
      <c r="B415" s="23" t="s">
        <v>75</v>
      </c>
      <c r="C415" s="39">
        <v>7497</v>
      </c>
      <c r="D415" s="24">
        <v>22.49</v>
      </c>
      <c r="E415" s="24">
        <v>4.05</v>
      </c>
      <c r="F415" s="23">
        <f>COUNTIFS(mdr_rate_cleaned!$A$2:$A$10,B415,mdr_rate_cleaned!$B$2:$B$10,"&lt;"&amp;C415,mdr_rate_cleaned!$F$2:$F$10,"&gt;="&amp;C415)</f>
        <v>1</v>
      </c>
      <c r="G415" s="40">
        <f>SUMIFS(mdr_rate_cleaned!$G$2:$G$10,mdr_rate_cleaned!$A$2:$A$10,B415,mdr_rate_cleaned!$B$2:$B$10,"&lt;"&amp;C415,mdr_rate_cleaned!$F$2:$F$10,"&gt;="&amp;C415)</f>
        <v>3.0000000000000001E-3</v>
      </c>
      <c r="H415" s="24">
        <f t="shared" si="30"/>
        <v>22.49</v>
      </c>
      <c r="I415" s="23" t="str">
        <f t="shared" si="31"/>
        <v>Match</v>
      </c>
      <c r="J415" s="23" t="str">
        <f t="shared" si="32"/>
        <v>Match</v>
      </c>
      <c r="K415" s="24">
        <f t="shared" si="33"/>
        <v>4.05</v>
      </c>
      <c r="L415" s="24">
        <f t="shared" si="34"/>
        <v>0</v>
      </c>
    </row>
    <row r="416" spans="1:12" ht="15" customHeight="1" x14ac:dyDescent="0.3">
      <c r="A416" s="23" t="s">
        <v>12890</v>
      </c>
      <c r="B416" s="23" t="s">
        <v>81</v>
      </c>
      <c r="C416" s="39">
        <v>499</v>
      </c>
      <c r="D416" s="24">
        <v>7.49</v>
      </c>
      <c r="E416" s="24">
        <v>1.35</v>
      </c>
      <c r="F416" s="23">
        <f>COUNTIFS(mdr_rate_cleaned!$A$2:$A$10,B416,mdr_rate_cleaned!$B$2:$B$10,"&lt;"&amp;C416,mdr_rate_cleaned!$F$2:$F$10,"&gt;="&amp;C416)</f>
        <v>1</v>
      </c>
      <c r="G416" s="40">
        <f>SUMIFS(mdr_rate_cleaned!$G$2:$G$10,mdr_rate_cleaned!$A$2:$A$10,B416,mdr_rate_cleaned!$B$2:$B$10,"&lt;"&amp;C416,mdr_rate_cleaned!$F$2:$F$10,"&gt;="&amp;C416)</f>
        <v>1.4999999999999999E-2</v>
      </c>
      <c r="H416" s="24">
        <f t="shared" si="30"/>
        <v>7.49</v>
      </c>
      <c r="I416" s="23" t="str">
        <f t="shared" si="31"/>
        <v>Match</v>
      </c>
      <c r="J416" s="23" t="str">
        <f t="shared" si="32"/>
        <v>Match</v>
      </c>
      <c r="K416" s="24">
        <f t="shared" si="33"/>
        <v>1.35</v>
      </c>
      <c r="L416" s="24">
        <f t="shared" si="34"/>
        <v>0</v>
      </c>
    </row>
    <row r="417" spans="1:12" ht="15" customHeight="1" x14ac:dyDescent="0.3">
      <c r="A417" s="23" t="s">
        <v>12891</v>
      </c>
      <c r="B417" s="23" t="s">
        <v>79</v>
      </c>
      <c r="C417" s="39">
        <v>7097</v>
      </c>
      <c r="D417" s="24">
        <v>113.55</v>
      </c>
      <c r="E417" s="24">
        <v>20.440000000000001</v>
      </c>
      <c r="F417" s="23">
        <f>COUNTIFS(mdr_rate_cleaned!$A$2:$A$10,B417,mdr_rate_cleaned!$B$2:$B$10,"&lt;"&amp;C417,mdr_rate_cleaned!$F$2:$F$10,"&gt;="&amp;C417)</f>
        <v>1</v>
      </c>
      <c r="G417" s="40">
        <f>SUMIFS(mdr_rate_cleaned!$G$2:$G$10,mdr_rate_cleaned!$A$2:$A$10,B417,mdr_rate_cleaned!$B$2:$B$10,"&lt;"&amp;C417,mdr_rate_cleaned!$F$2:$F$10,"&gt;="&amp;C417)</f>
        <v>1.6E-2</v>
      </c>
      <c r="H417" s="24">
        <f t="shared" si="30"/>
        <v>113.55</v>
      </c>
      <c r="I417" s="23" t="str">
        <f t="shared" si="31"/>
        <v>Match</v>
      </c>
      <c r="J417" s="23" t="str">
        <f t="shared" si="32"/>
        <v>Match</v>
      </c>
      <c r="K417" s="24">
        <f t="shared" si="33"/>
        <v>20.440000000000001</v>
      </c>
      <c r="L417" s="24">
        <f t="shared" si="34"/>
        <v>0</v>
      </c>
    </row>
    <row r="418" spans="1:12" ht="15" customHeight="1" x14ac:dyDescent="0.3">
      <c r="A418" s="23" t="s">
        <v>12893</v>
      </c>
      <c r="B418" s="23" t="s">
        <v>77</v>
      </c>
      <c r="C418" s="39">
        <v>6798</v>
      </c>
      <c r="D418" s="24">
        <v>115.57</v>
      </c>
      <c r="E418" s="24">
        <v>20.8</v>
      </c>
      <c r="F418" s="23">
        <f>COUNTIFS(mdr_rate_cleaned!$A$2:$A$10,B418,mdr_rate_cleaned!$B$2:$B$10,"&lt;"&amp;C418,mdr_rate_cleaned!$F$2:$F$10,"&gt;="&amp;C418)</f>
        <v>1</v>
      </c>
      <c r="G418" s="40">
        <f>SUMIFS(mdr_rate_cleaned!$G$2:$G$10,mdr_rate_cleaned!$A$2:$A$10,B418,mdr_rate_cleaned!$B$2:$B$10,"&lt;"&amp;C418,mdr_rate_cleaned!$F$2:$F$10,"&gt;="&amp;C418)</f>
        <v>1.7000000000000001E-2</v>
      </c>
      <c r="H418" s="24">
        <f t="shared" si="30"/>
        <v>115.57</v>
      </c>
      <c r="I418" s="23" t="str">
        <f t="shared" si="31"/>
        <v>Match</v>
      </c>
      <c r="J418" s="23" t="str">
        <f t="shared" si="32"/>
        <v>Match</v>
      </c>
      <c r="K418" s="24">
        <f t="shared" si="33"/>
        <v>20.8</v>
      </c>
      <c r="L418" s="24">
        <f t="shared" si="34"/>
        <v>0</v>
      </c>
    </row>
    <row r="419" spans="1:12" ht="15" customHeight="1" x14ac:dyDescent="0.3">
      <c r="A419" s="23" t="s">
        <v>12894</v>
      </c>
      <c r="B419" s="23" t="s">
        <v>75</v>
      </c>
      <c r="C419" s="39">
        <v>1299</v>
      </c>
      <c r="D419" s="24">
        <v>0</v>
      </c>
      <c r="E419" s="24">
        <v>0</v>
      </c>
      <c r="F419" s="23">
        <f>COUNTIFS(mdr_rate_cleaned!$A$2:$A$10,B419,mdr_rate_cleaned!$B$2:$B$10,"&lt;"&amp;C419,mdr_rate_cleaned!$F$2:$F$10,"&gt;="&amp;C419)</f>
        <v>1</v>
      </c>
      <c r="G419" s="40">
        <f>SUMIFS(mdr_rate_cleaned!$G$2:$G$10,mdr_rate_cleaned!$A$2:$A$10,B419,mdr_rate_cleaned!$B$2:$B$10,"&lt;"&amp;C419,mdr_rate_cleaned!$F$2:$F$10,"&gt;="&amp;C419)</f>
        <v>0</v>
      </c>
      <c r="H419" s="24">
        <f t="shared" si="30"/>
        <v>0</v>
      </c>
      <c r="I419" s="23" t="str">
        <f t="shared" si="31"/>
        <v>Match</v>
      </c>
      <c r="J419" s="23" t="str">
        <f t="shared" si="32"/>
        <v>Match</v>
      </c>
      <c r="K419" s="24">
        <f t="shared" si="33"/>
        <v>0</v>
      </c>
      <c r="L419" s="24">
        <f t="shared" si="34"/>
        <v>0</v>
      </c>
    </row>
    <row r="420" spans="1:12" ht="15" customHeight="1" x14ac:dyDescent="0.3">
      <c r="A420" s="23" t="s">
        <v>12895</v>
      </c>
      <c r="B420" s="23" t="s">
        <v>75</v>
      </c>
      <c r="C420" s="39">
        <v>7999</v>
      </c>
      <c r="D420" s="24">
        <v>24</v>
      </c>
      <c r="E420" s="24">
        <v>4.32</v>
      </c>
      <c r="F420" s="23">
        <f>COUNTIFS(mdr_rate_cleaned!$A$2:$A$10,B420,mdr_rate_cleaned!$B$2:$B$10,"&lt;"&amp;C420,mdr_rate_cleaned!$F$2:$F$10,"&gt;="&amp;C420)</f>
        <v>1</v>
      </c>
      <c r="G420" s="40">
        <f>SUMIFS(mdr_rate_cleaned!$G$2:$G$10,mdr_rate_cleaned!$A$2:$A$10,B420,mdr_rate_cleaned!$B$2:$B$10,"&lt;"&amp;C420,mdr_rate_cleaned!$F$2:$F$10,"&gt;="&amp;C420)</f>
        <v>3.0000000000000001E-3</v>
      </c>
      <c r="H420" s="24">
        <f t="shared" si="30"/>
        <v>24</v>
      </c>
      <c r="I420" s="23" t="str">
        <f t="shared" si="31"/>
        <v>Match</v>
      </c>
      <c r="J420" s="23" t="str">
        <f t="shared" si="32"/>
        <v>Match</v>
      </c>
      <c r="K420" s="24">
        <f t="shared" si="33"/>
        <v>4.32</v>
      </c>
      <c r="L420" s="24">
        <f t="shared" si="34"/>
        <v>0</v>
      </c>
    </row>
    <row r="421" spans="1:12" ht="15" customHeight="1" x14ac:dyDescent="0.3">
      <c r="A421" s="23" t="s">
        <v>12896</v>
      </c>
      <c r="B421" s="23" t="s">
        <v>75</v>
      </c>
      <c r="C421" s="39">
        <v>3197</v>
      </c>
      <c r="D421" s="24">
        <v>9.59</v>
      </c>
      <c r="E421" s="24">
        <v>1.73</v>
      </c>
      <c r="F421" s="23">
        <f>COUNTIFS(mdr_rate_cleaned!$A$2:$A$10,B421,mdr_rate_cleaned!$B$2:$B$10,"&lt;"&amp;C421,mdr_rate_cleaned!$F$2:$F$10,"&gt;="&amp;C421)</f>
        <v>1</v>
      </c>
      <c r="G421" s="40">
        <f>SUMIFS(mdr_rate_cleaned!$G$2:$G$10,mdr_rate_cleaned!$A$2:$A$10,B421,mdr_rate_cleaned!$B$2:$B$10,"&lt;"&amp;C421,mdr_rate_cleaned!$F$2:$F$10,"&gt;="&amp;C421)</f>
        <v>3.0000000000000001E-3</v>
      </c>
      <c r="H421" s="24">
        <f t="shared" si="30"/>
        <v>9.59</v>
      </c>
      <c r="I421" s="23" t="str">
        <f t="shared" si="31"/>
        <v>Match</v>
      </c>
      <c r="J421" s="23" t="str">
        <f t="shared" si="32"/>
        <v>Match</v>
      </c>
      <c r="K421" s="24">
        <f t="shared" si="33"/>
        <v>1.73</v>
      </c>
      <c r="L421" s="24">
        <f t="shared" si="34"/>
        <v>0</v>
      </c>
    </row>
    <row r="422" spans="1:12" ht="15" customHeight="1" x14ac:dyDescent="0.3">
      <c r="A422" s="23" t="s">
        <v>12897</v>
      </c>
      <c r="B422" s="23" t="s">
        <v>75</v>
      </c>
      <c r="C422" s="39">
        <v>5797</v>
      </c>
      <c r="D422" s="24">
        <v>17.39</v>
      </c>
      <c r="E422" s="24">
        <v>3.13</v>
      </c>
      <c r="F422" s="23">
        <f>COUNTIFS(mdr_rate_cleaned!$A$2:$A$10,B422,mdr_rate_cleaned!$B$2:$B$10,"&lt;"&amp;C422,mdr_rate_cleaned!$F$2:$F$10,"&gt;="&amp;C422)</f>
        <v>1</v>
      </c>
      <c r="G422" s="40">
        <f>SUMIFS(mdr_rate_cleaned!$G$2:$G$10,mdr_rate_cleaned!$A$2:$A$10,B422,mdr_rate_cleaned!$B$2:$B$10,"&lt;"&amp;C422,mdr_rate_cleaned!$F$2:$F$10,"&gt;="&amp;C422)</f>
        <v>3.0000000000000001E-3</v>
      </c>
      <c r="H422" s="24">
        <f t="shared" si="30"/>
        <v>17.39</v>
      </c>
      <c r="I422" s="23" t="str">
        <f t="shared" si="31"/>
        <v>Match</v>
      </c>
      <c r="J422" s="23" t="str">
        <f t="shared" si="32"/>
        <v>Match</v>
      </c>
      <c r="K422" s="24">
        <f t="shared" si="33"/>
        <v>3.13</v>
      </c>
      <c r="L422" s="24">
        <f t="shared" si="34"/>
        <v>0</v>
      </c>
    </row>
    <row r="423" spans="1:12" ht="15" customHeight="1" x14ac:dyDescent="0.3">
      <c r="A423" s="23" t="s">
        <v>12898</v>
      </c>
      <c r="B423" s="23" t="s">
        <v>79</v>
      </c>
      <c r="C423" s="39">
        <v>599</v>
      </c>
      <c r="D423" s="24">
        <v>10.78</v>
      </c>
      <c r="E423" s="24">
        <v>1.94</v>
      </c>
      <c r="F423" s="23">
        <f>COUNTIFS(mdr_rate_cleaned!$A$2:$A$10,B423,mdr_rate_cleaned!$B$2:$B$10,"&lt;"&amp;C423,mdr_rate_cleaned!$F$2:$F$10,"&gt;="&amp;C423)</f>
        <v>1</v>
      </c>
      <c r="G423" s="40">
        <f>SUMIFS(mdr_rate_cleaned!$G$2:$G$10,mdr_rate_cleaned!$A$2:$A$10,B423,mdr_rate_cleaned!$B$2:$B$10,"&lt;"&amp;C423,mdr_rate_cleaned!$F$2:$F$10,"&gt;="&amp;C423)</f>
        <v>1.8000000000000002E-2</v>
      </c>
      <c r="H423" s="24">
        <f t="shared" si="30"/>
        <v>10.78</v>
      </c>
      <c r="I423" s="23" t="str">
        <f t="shared" si="31"/>
        <v>Match</v>
      </c>
      <c r="J423" s="23" t="str">
        <f t="shared" si="32"/>
        <v>Match</v>
      </c>
      <c r="K423" s="24">
        <f t="shared" si="33"/>
        <v>1.94</v>
      </c>
      <c r="L423" s="24">
        <f t="shared" si="34"/>
        <v>0</v>
      </c>
    </row>
    <row r="424" spans="1:12" ht="15" customHeight="1" x14ac:dyDescent="0.3">
      <c r="A424" s="23" t="s">
        <v>12899</v>
      </c>
      <c r="B424" s="23" t="s">
        <v>75</v>
      </c>
      <c r="C424" s="39">
        <v>5998</v>
      </c>
      <c r="D424" s="24">
        <v>17.989999999999998</v>
      </c>
      <c r="E424" s="24">
        <v>3.24</v>
      </c>
      <c r="F424" s="23">
        <f>COUNTIFS(mdr_rate_cleaned!$A$2:$A$10,B424,mdr_rate_cleaned!$B$2:$B$10,"&lt;"&amp;C424,mdr_rate_cleaned!$F$2:$F$10,"&gt;="&amp;C424)</f>
        <v>1</v>
      </c>
      <c r="G424" s="40">
        <f>SUMIFS(mdr_rate_cleaned!$G$2:$G$10,mdr_rate_cleaned!$A$2:$A$10,B424,mdr_rate_cleaned!$B$2:$B$10,"&lt;"&amp;C424,mdr_rate_cleaned!$F$2:$F$10,"&gt;="&amp;C424)</f>
        <v>3.0000000000000001E-3</v>
      </c>
      <c r="H424" s="24">
        <f t="shared" si="30"/>
        <v>17.989999999999998</v>
      </c>
      <c r="I424" s="23" t="str">
        <f t="shared" si="31"/>
        <v>Match</v>
      </c>
      <c r="J424" s="23" t="str">
        <f t="shared" si="32"/>
        <v>Match</v>
      </c>
      <c r="K424" s="24">
        <f t="shared" si="33"/>
        <v>3.24</v>
      </c>
      <c r="L424" s="24">
        <f t="shared" si="34"/>
        <v>0</v>
      </c>
    </row>
    <row r="425" spans="1:12" ht="15" customHeight="1" x14ac:dyDescent="0.3">
      <c r="A425" s="23" t="s">
        <v>12900</v>
      </c>
      <c r="B425" s="23" t="s">
        <v>75</v>
      </c>
      <c r="C425" s="39">
        <v>349</v>
      </c>
      <c r="D425" s="24">
        <v>0</v>
      </c>
      <c r="E425" s="24">
        <v>0</v>
      </c>
      <c r="F425" s="23">
        <f>COUNTIFS(mdr_rate_cleaned!$A$2:$A$10,B425,mdr_rate_cleaned!$B$2:$B$10,"&lt;"&amp;C425,mdr_rate_cleaned!$F$2:$F$10,"&gt;="&amp;C425)</f>
        <v>1</v>
      </c>
      <c r="G425" s="40">
        <f>SUMIFS(mdr_rate_cleaned!$G$2:$G$10,mdr_rate_cleaned!$A$2:$A$10,B425,mdr_rate_cleaned!$B$2:$B$10,"&lt;"&amp;C425,mdr_rate_cleaned!$F$2:$F$10,"&gt;="&amp;C425)</f>
        <v>0</v>
      </c>
      <c r="H425" s="24">
        <f t="shared" si="30"/>
        <v>0</v>
      </c>
      <c r="I425" s="23" t="str">
        <f t="shared" si="31"/>
        <v>Match</v>
      </c>
      <c r="J425" s="23" t="str">
        <f t="shared" si="32"/>
        <v>Match</v>
      </c>
      <c r="K425" s="24">
        <f t="shared" si="33"/>
        <v>0</v>
      </c>
      <c r="L425" s="24">
        <f t="shared" si="34"/>
        <v>0</v>
      </c>
    </row>
    <row r="426" spans="1:12" ht="15" customHeight="1" x14ac:dyDescent="0.3">
      <c r="A426" s="23" t="s">
        <v>12902</v>
      </c>
      <c r="B426" s="23" t="s">
        <v>81</v>
      </c>
      <c r="C426" s="39">
        <v>3499</v>
      </c>
      <c r="D426" s="24">
        <v>41.99</v>
      </c>
      <c r="E426" s="24">
        <v>7.56</v>
      </c>
      <c r="F426" s="23">
        <f>COUNTIFS(mdr_rate_cleaned!$A$2:$A$10,B426,mdr_rate_cleaned!$B$2:$B$10,"&lt;"&amp;C426,mdr_rate_cleaned!$F$2:$F$10,"&gt;="&amp;C426)</f>
        <v>1</v>
      </c>
      <c r="G426" s="40">
        <f>SUMIFS(mdr_rate_cleaned!$G$2:$G$10,mdr_rate_cleaned!$A$2:$A$10,B426,mdr_rate_cleaned!$B$2:$B$10,"&lt;"&amp;C426,mdr_rate_cleaned!$F$2:$F$10,"&gt;="&amp;C426)</f>
        <v>1.2E-2</v>
      </c>
      <c r="H426" s="24">
        <f t="shared" si="30"/>
        <v>41.99</v>
      </c>
      <c r="I426" s="23" t="str">
        <f t="shared" si="31"/>
        <v>Match</v>
      </c>
      <c r="J426" s="23" t="str">
        <f t="shared" si="32"/>
        <v>Match</v>
      </c>
      <c r="K426" s="24">
        <f t="shared" si="33"/>
        <v>7.56</v>
      </c>
      <c r="L426" s="24">
        <f t="shared" si="34"/>
        <v>0</v>
      </c>
    </row>
    <row r="427" spans="1:12" ht="15" customHeight="1" x14ac:dyDescent="0.3">
      <c r="A427" s="23" t="s">
        <v>12904</v>
      </c>
      <c r="B427" s="23" t="s">
        <v>79</v>
      </c>
      <c r="C427" s="39">
        <v>499</v>
      </c>
      <c r="D427" s="24">
        <v>8.98</v>
      </c>
      <c r="E427" s="24">
        <v>1.62</v>
      </c>
      <c r="F427" s="23">
        <f>COUNTIFS(mdr_rate_cleaned!$A$2:$A$10,B427,mdr_rate_cleaned!$B$2:$B$10,"&lt;"&amp;C427,mdr_rate_cleaned!$F$2:$F$10,"&gt;="&amp;C427)</f>
        <v>1</v>
      </c>
      <c r="G427" s="40">
        <f>SUMIFS(mdr_rate_cleaned!$G$2:$G$10,mdr_rate_cleaned!$A$2:$A$10,B427,mdr_rate_cleaned!$B$2:$B$10,"&lt;"&amp;C427,mdr_rate_cleaned!$F$2:$F$10,"&gt;="&amp;C427)</f>
        <v>1.8000000000000002E-2</v>
      </c>
      <c r="H427" s="24">
        <f t="shared" si="30"/>
        <v>8.98</v>
      </c>
      <c r="I427" s="23" t="str">
        <f t="shared" si="31"/>
        <v>Match</v>
      </c>
      <c r="J427" s="23" t="str">
        <f t="shared" si="32"/>
        <v>Match</v>
      </c>
      <c r="K427" s="24">
        <f t="shared" si="33"/>
        <v>1.62</v>
      </c>
      <c r="L427" s="24">
        <f t="shared" si="34"/>
        <v>0</v>
      </c>
    </row>
    <row r="428" spans="1:12" ht="15" customHeight="1" x14ac:dyDescent="0.3">
      <c r="A428" s="23" t="s">
        <v>12905</v>
      </c>
      <c r="B428" s="23" t="s">
        <v>75</v>
      </c>
      <c r="C428" s="39">
        <v>2999</v>
      </c>
      <c r="D428" s="24">
        <v>9</v>
      </c>
      <c r="E428" s="24">
        <v>1.62</v>
      </c>
      <c r="F428" s="23">
        <f>COUNTIFS(mdr_rate_cleaned!$A$2:$A$10,B428,mdr_rate_cleaned!$B$2:$B$10,"&lt;"&amp;C428,mdr_rate_cleaned!$F$2:$F$10,"&gt;="&amp;C428)</f>
        <v>1</v>
      </c>
      <c r="G428" s="40">
        <f>SUMIFS(mdr_rate_cleaned!$G$2:$G$10,mdr_rate_cleaned!$A$2:$A$10,B428,mdr_rate_cleaned!$B$2:$B$10,"&lt;"&amp;C428,mdr_rate_cleaned!$F$2:$F$10,"&gt;="&amp;C428)</f>
        <v>3.0000000000000001E-3</v>
      </c>
      <c r="H428" s="24">
        <f t="shared" si="30"/>
        <v>9</v>
      </c>
      <c r="I428" s="23" t="str">
        <f t="shared" si="31"/>
        <v>Match</v>
      </c>
      <c r="J428" s="23" t="str">
        <f t="shared" si="32"/>
        <v>Match</v>
      </c>
      <c r="K428" s="24">
        <f t="shared" si="33"/>
        <v>1.62</v>
      </c>
      <c r="L428" s="24">
        <f t="shared" si="34"/>
        <v>0</v>
      </c>
    </row>
    <row r="429" spans="1:12" ht="15" customHeight="1" x14ac:dyDescent="0.3">
      <c r="A429" s="23" t="s">
        <v>12906</v>
      </c>
      <c r="B429" s="23" t="s">
        <v>79</v>
      </c>
      <c r="C429" s="39">
        <v>2499</v>
      </c>
      <c r="D429" s="24">
        <v>39.979999999999997</v>
      </c>
      <c r="E429" s="24">
        <v>7.2</v>
      </c>
      <c r="F429" s="23">
        <f>COUNTIFS(mdr_rate_cleaned!$A$2:$A$10,B429,mdr_rate_cleaned!$B$2:$B$10,"&lt;"&amp;C429,mdr_rate_cleaned!$F$2:$F$10,"&gt;="&amp;C429)</f>
        <v>1</v>
      </c>
      <c r="G429" s="40">
        <f>SUMIFS(mdr_rate_cleaned!$G$2:$G$10,mdr_rate_cleaned!$A$2:$A$10,B429,mdr_rate_cleaned!$B$2:$B$10,"&lt;"&amp;C429,mdr_rate_cleaned!$F$2:$F$10,"&gt;="&amp;C429)</f>
        <v>1.6E-2</v>
      </c>
      <c r="H429" s="24">
        <f t="shared" si="30"/>
        <v>39.979999999999997</v>
      </c>
      <c r="I429" s="23" t="str">
        <f t="shared" si="31"/>
        <v>Match</v>
      </c>
      <c r="J429" s="23" t="str">
        <f t="shared" si="32"/>
        <v>Match</v>
      </c>
      <c r="K429" s="24">
        <f t="shared" si="33"/>
        <v>7.2</v>
      </c>
      <c r="L429" s="24">
        <f t="shared" si="34"/>
        <v>0</v>
      </c>
    </row>
    <row r="430" spans="1:12" ht="15" customHeight="1" x14ac:dyDescent="0.3">
      <c r="A430" s="23" t="s">
        <v>12907</v>
      </c>
      <c r="B430" s="23" t="s">
        <v>79</v>
      </c>
      <c r="C430" s="39">
        <v>5498</v>
      </c>
      <c r="D430" s="24">
        <v>87.97</v>
      </c>
      <c r="E430" s="24">
        <v>15.83</v>
      </c>
      <c r="F430" s="23">
        <f>COUNTIFS(mdr_rate_cleaned!$A$2:$A$10,B430,mdr_rate_cleaned!$B$2:$B$10,"&lt;"&amp;C430,mdr_rate_cleaned!$F$2:$F$10,"&gt;="&amp;C430)</f>
        <v>1</v>
      </c>
      <c r="G430" s="40">
        <f>SUMIFS(mdr_rate_cleaned!$G$2:$G$10,mdr_rate_cleaned!$A$2:$A$10,B430,mdr_rate_cleaned!$B$2:$B$10,"&lt;"&amp;C430,mdr_rate_cleaned!$F$2:$F$10,"&gt;="&amp;C430)</f>
        <v>1.6E-2</v>
      </c>
      <c r="H430" s="24">
        <f t="shared" si="30"/>
        <v>87.97</v>
      </c>
      <c r="I430" s="23" t="str">
        <f t="shared" si="31"/>
        <v>Match</v>
      </c>
      <c r="J430" s="23" t="str">
        <f t="shared" si="32"/>
        <v>Match</v>
      </c>
      <c r="K430" s="24">
        <f t="shared" si="33"/>
        <v>15.83</v>
      </c>
      <c r="L430" s="24">
        <f t="shared" si="34"/>
        <v>0</v>
      </c>
    </row>
    <row r="431" spans="1:12" ht="15" customHeight="1" x14ac:dyDescent="0.3">
      <c r="A431" s="23" t="s">
        <v>12908</v>
      </c>
      <c r="B431" s="23" t="s">
        <v>75</v>
      </c>
      <c r="C431" s="39">
        <v>4997</v>
      </c>
      <c r="D431" s="24">
        <v>14.99</v>
      </c>
      <c r="E431" s="24">
        <v>2.7</v>
      </c>
      <c r="F431" s="23">
        <f>COUNTIFS(mdr_rate_cleaned!$A$2:$A$10,B431,mdr_rate_cleaned!$B$2:$B$10,"&lt;"&amp;C431,mdr_rate_cleaned!$F$2:$F$10,"&gt;="&amp;C431)</f>
        <v>1</v>
      </c>
      <c r="G431" s="40">
        <f>SUMIFS(mdr_rate_cleaned!$G$2:$G$10,mdr_rate_cleaned!$A$2:$A$10,B431,mdr_rate_cleaned!$B$2:$B$10,"&lt;"&amp;C431,mdr_rate_cleaned!$F$2:$F$10,"&gt;="&amp;C431)</f>
        <v>3.0000000000000001E-3</v>
      </c>
      <c r="H431" s="24">
        <f t="shared" si="30"/>
        <v>14.99</v>
      </c>
      <c r="I431" s="23" t="str">
        <f t="shared" si="31"/>
        <v>Match</v>
      </c>
      <c r="J431" s="23" t="str">
        <f t="shared" si="32"/>
        <v>Match</v>
      </c>
      <c r="K431" s="24">
        <f t="shared" si="33"/>
        <v>2.7</v>
      </c>
      <c r="L431" s="24">
        <f t="shared" si="34"/>
        <v>0</v>
      </c>
    </row>
    <row r="432" spans="1:12" ht="15" customHeight="1" x14ac:dyDescent="0.3">
      <c r="A432" s="23" t="s">
        <v>12909</v>
      </c>
      <c r="B432" s="23" t="s">
        <v>75</v>
      </c>
      <c r="C432" s="39">
        <v>2499</v>
      </c>
      <c r="D432" s="24">
        <v>7.5</v>
      </c>
      <c r="E432" s="24">
        <v>1.35</v>
      </c>
      <c r="F432" s="23">
        <f>COUNTIFS(mdr_rate_cleaned!$A$2:$A$10,B432,mdr_rate_cleaned!$B$2:$B$10,"&lt;"&amp;C432,mdr_rate_cleaned!$F$2:$F$10,"&gt;="&amp;C432)</f>
        <v>1</v>
      </c>
      <c r="G432" s="40">
        <f>SUMIFS(mdr_rate_cleaned!$G$2:$G$10,mdr_rate_cleaned!$A$2:$A$10,B432,mdr_rate_cleaned!$B$2:$B$10,"&lt;"&amp;C432,mdr_rate_cleaned!$F$2:$F$10,"&gt;="&amp;C432)</f>
        <v>3.0000000000000001E-3</v>
      </c>
      <c r="H432" s="24">
        <f t="shared" si="30"/>
        <v>7.5</v>
      </c>
      <c r="I432" s="23" t="str">
        <f t="shared" si="31"/>
        <v>Match</v>
      </c>
      <c r="J432" s="23" t="str">
        <f t="shared" si="32"/>
        <v>Match</v>
      </c>
      <c r="K432" s="24">
        <f t="shared" si="33"/>
        <v>1.35</v>
      </c>
      <c r="L432" s="24">
        <f t="shared" si="34"/>
        <v>0</v>
      </c>
    </row>
    <row r="433" spans="1:12" ht="15" customHeight="1" x14ac:dyDescent="0.3">
      <c r="A433" s="23" t="s">
        <v>12910</v>
      </c>
      <c r="B433" s="23" t="s">
        <v>79</v>
      </c>
      <c r="C433" s="39">
        <v>7998</v>
      </c>
      <c r="D433" s="24">
        <v>127.97</v>
      </c>
      <c r="E433" s="24">
        <v>23.03</v>
      </c>
      <c r="F433" s="23">
        <f>COUNTIFS(mdr_rate_cleaned!$A$2:$A$10,B433,mdr_rate_cleaned!$B$2:$B$10,"&lt;"&amp;C433,mdr_rate_cleaned!$F$2:$F$10,"&gt;="&amp;C433)</f>
        <v>1</v>
      </c>
      <c r="G433" s="40">
        <f>SUMIFS(mdr_rate_cleaned!$G$2:$G$10,mdr_rate_cleaned!$A$2:$A$10,B433,mdr_rate_cleaned!$B$2:$B$10,"&lt;"&amp;C433,mdr_rate_cleaned!$F$2:$F$10,"&gt;="&amp;C433)</f>
        <v>1.6E-2</v>
      </c>
      <c r="H433" s="24">
        <f t="shared" si="30"/>
        <v>127.97</v>
      </c>
      <c r="I433" s="23" t="str">
        <f t="shared" si="31"/>
        <v>Match</v>
      </c>
      <c r="J433" s="23" t="str">
        <f t="shared" si="32"/>
        <v>Match</v>
      </c>
      <c r="K433" s="24">
        <f t="shared" si="33"/>
        <v>23.03</v>
      </c>
      <c r="L433" s="24">
        <f t="shared" si="34"/>
        <v>0</v>
      </c>
    </row>
    <row r="434" spans="1:12" ht="15" customHeight="1" x14ac:dyDescent="0.3">
      <c r="A434" s="23" t="s">
        <v>12911</v>
      </c>
      <c r="B434" s="23" t="s">
        <v>77</v>
      </c>
      <c r="C434" s="39">
        <v>8847</v>
      </c>
      <c r="D434" s="24">
        <v>150.4</v>
      </c>
      <c r="E434" s="24">
        <v>27.07</v>
      </c>
      <c r="F434" s="23">
        <f>COUNTIFS(mdr_rate_cleaned!$A$2:$A$10,B434,mdr_rate_cleaned!$B$2:$B$10,"&lt;"&amp;C434,mdr_rate_cleaned!$F$2:$F$10,"&gt;="&amp;C434)</f>
        <v>1</v>
      </c>
      <c r="G434" s="40">
        <f>SUMIFS(mdr_rate_cleaned!$G$2:$G$10,mdr_rate_cleaned!$A$2:$A$10,B434,mdr_rate_cleaned!$B$2:$B$10,"&lt;"&amp;C434,mdr_rate_cleaned!$F$2:$F$10,"&gt;="&amp;C434)</f>
        <v>1.7000000000000001E-2</v>
      </c>
      <c r="H434" s="24">
        <f t="shared" si="30"/>
        <v>150.4</v>
      </c>
      <c r="I434" s="23" t="str">
        <f t="shared" si="31"/>
        <v>Match</v>
      </c>
      <c r="J434" s="23" t="str">
        <f t="shared" si="32"/>
        <v>Match</v>
      </c>
      <c r="K434" s="24">
        <f t="shared" si="33"/>
        <v>27.07</v>
      </c>
      <c r="L434" s="24">
        <f t="shared" si="34"/>
        <v>0</v>
      </c>
    </row>
    <row r="435" spans="1:12" ht="15" customHeight="1" x14ac:dyDescent="0.3">
      <c r="A435" s="23" t="s">
        <v>12912</v>
      </c>
      <c r="B435" s="23" t="s">
        <v>79</v>
      </c>
      <c r="C435" s="39">
        <v>349</v>
      </c>
      <c r="D435" s="24">
        <v>6.28</v>
      </c>
      <c r="E435" s="24">
        <v>1.1299999999999999</v>
      </c>
      <c r="F435" s="23">
        <f>COUNTIFS(mdr_rate_cleaned!$A$2:$A$10,B435,mdr_rate_cleaned!$B$2:$B$10,"&lt;"&amp;C435,mdr_rate_cleaned!$F$2:$F$10,"&gt;="&amp;C435)</f>
        <v>1</v>
      </c>
      <c r="G435" s="40">
        <f>SUMIFS(mdr_rate_cleaned!$G$2:$G$10,mdr_rate_cleaned!$A$2:$A$10,B435,mdr_rate_cleaned!$B$2:$B$10,"&lt;"&amp;C435,mdr_rate_cleaned!$F$2:$F$10,"&gt;="&amp;C435)</f>
        <v>1.8000000000000002E-2</v>
      </c>
      <c r="H435" s="24">
        <f t="shared" si="30"/>
        <v>6.28</v>
      </c>
      <c r="I435" s="23" t="str">
        <f t="shared" si="31"/>
        <v>Match</v>
      </c>
      <c r="J435" s="23" t="str">
        <f t="shared" si="32"/>
        <v>Match</v>
      </c>
      <c r="K435" s="24">
        <f t="shared" si="33"/>
        <v>1.1299999999999999</v>
      </c>
      <c r="L435" s="24">
        <f t="shared" si="34"/>
        <v>0</v>
      </c>
    </row>
    <row r="436" spans="1:12" ht="15" customHeight="1" x14ac:dyDescent="0.3">
      <c r="A436" s="23" t="s">
        <v>12913</v>
      </c>
      <c r="B436" s="23" t="s">
        <v>77</v>
      </c>
      <c r="C436" s="39">
        <v>16497</v>
      </c>
      <c r="D436" s="24">
        <v>280.45</v>
      </c>
      <c r="E436" s="24">
        <v>50.48</v>
      </c>
      <c r="F436" s="23">
        <f>COUNTIFS(mdr_rate_cleaned!$A$2:$A$10,B436,mdr_rate_cleaned!$B$2:$B$10,"&lt;"&amp;C436,mdr_rate_cleaned!$F$2:$F$10,"&gt;="&amp;C436)</f>
        <v>1</v>
      </c>
      <c r="G436" s="40">
        <f>SUMIFS(mdr_rate_cleaned!$G$2:$G$10,mdr_rate_cleaned!$A$2:$A$10,B436,mdr_rate_cleaned!$B$2:$B$10,"&lt;"&amp;C436,mdr_rate_cleaned!$F$2:$F$10,"&gt;="&amp;C436)</f>
        <v>1.7000000000000001E-2</v>
      </c>
      <c r="H436" s="24">
        <f t="shared" si="30"/>
        <v>280.45</v>
      </c>
      <c r="I436" s="23" t="str">
        <f t="shared" si="31"/>
        <v>Match</v>
      </c>
      <c r="J436" s="23" t="str">
        <f t="shared" si="32"/>
        <v>Match</v>
      </c>
      <c r="K436" s="24">
        <f t="shared" si="33"/>
        <v>50.48</v>
      </c>
      <c r="L436" s="24">
        <f t="shared" si="34"/>
        <v>0</v>
      </c>
    </row>
    <row r="437" spans="1:12" ht="15" customHeight="1" x14ac:dyDescent="0.3">
      <c r="A437" s="23" t="s">
        <v>12914</v>
      </c>
      <c r="B437" s="23" t="s">
        <v>75</v>
      </c>
      <c r="C437" s="39">
        <v>3647</v>
      </c>
      <c r="D437" s="24">
        <v>10.94</v>
      </c>
      <c r="E437" s="24">
        <v>1.97</v>
      </c>
      <c r="F437" s="23">
        <f>COUNTIFS(mdr_rate_cleaned!$A$2:$A$10,B437,mdr_rate_cleaned!$B$2:$B$10,"&lt;"&amp;C437,mdr_rate_cleaned!$F$2:$F$10,"&gt;="&amp;C437)</f>
        <v>1</v>
      </c>
      <c r="G437" s="40">
        <f>SUMIFS(mdr_rate_cleaned!$G$2:$G$10,mdr_rate_cleaned!$A$2:$A$10,B437,mdr_rate_cleaned!$B$2:$B$10,"&lt;"&amp;C437,mdr_rate_cleaned!$F$2:$F$10,"&gt;="&amp;C437)</f>
        <v>3.0000000000000001E-3</v>
      </c>
      <c r="H437" s="24">
        <f t="shared" si="30"/>
        <v>10.94</v>
      </c>
      <c r="I437" s="23" t="str">
        <f t="shared" si="31"/>
        <v>Match</v>
      </c>
      <c r="J437" s="23" t="str">
        <f t="shared" si="32"/>
        <v>Match</v>
      </c>
      <c r="K437" s="24">
        <f t="shared" si="33"/>
        <v>1.97</v>
      </c>
      <c r="L437" s="24">
        <f t="shared" si="34"/>
        <v>0</v>
      </c>
    </row>
    <row r="438" spans="1:12" ht="15" customHeight="1" x14ac:dyDescent="0.3">
      <c r="A438" s="23" t="s">
        <v>12915</v>
      </c>
      <c r="B438" s="23" t="s">
        <v>75</v>
      </c>
      <c r="C438" s="39">
        <v>599</v>
      </c>
      <c r="D438" s="24">
        <v>1.8</v>
      </c>
      <c r="E438" s="24">
        <v>0.32</v>
      </c>
      <c r="F438" s="23">
        <f>COUNTIFS(mdr_rate_cleaned!$A$2:$A$10,B438,mdr_rate_cleaned!$B$2:$B$10,"&lt;"&amp;C438,mdr_rate_cleaned!$F$2:$F$10,"&gt;="&amp;C438)</f>
        <v>1</v>
      </c>
      <c r="G438" s="40">
        <f>SUMIFS(mdr_rate_cleaned!$G$2:$G$10,mdr_rate_cleaned!$A$2:$A$10,B438,mdr_rate_cleaned!$B$2:$B$10,"&lt;"&amp;C438,mdr_rate_cleaned!$F$2:$F$10,"&gt;="&amp;C438)</f>
        <v>0</v>
      </c>
      <c r="H438" s="24">
        <f t="shared" si="30"/>
        <v>0</v>
      </c>
      <c r="I438" s="23" t="str">
        <f t="shared" si="31"/>
        <v>Differs</v>
      </c>
      <c r="J438" s="23" t="str">
        <f t="shared" si="32"/>
        <v>Match</v>
      </c>
      <c r="K438" s="24">
        <f t="shared" si="33"/>
        <v>0</v>
      </c>
      <c r="L438" s="24">
        <f t="shared" si="34"/>
        <v>2.12</v>
      </c>
    </row>
    <row r="439" spans="1:12" ht="15" customHeight="1" x14ac:dyDescent="0.3">
      <c r="A439" s="23" t="s">
        <v>12916</v>
      </c>
      <c r="B439" s="23" t="s">
        <v>79</v>
      </c>
      <c r="C439" s="39">
        <v>2499</v>
      </c>
      <c r="D439" s="24">
        <v>39.979999999999997</v>
      </c>
      <c r="E439" s="24">
        <v>7.2</v>
      </c>
      <c r="F439" s="23">
        <f>COUNTIFS(mdr_rate_cleaned!$A$2:$A$10,B439,mdr_rate_cleaned!$B$2:$B$10,"&lt;"&amp;C439,mdr_rate_cleaned!$F$2:$F$10,"&gt;="&amp;C439)</f>
        <v>1</v>
      </c>
      <c r="G439" s="40">
        <f>SUMIFS(mdr_rate_cleaned!$G$2:$G$10,mdr_rate_cleaned!$A$2:$A$10,B439,mdr_rate_cleaned!$B$2:$B$10,"&lt;"&amp;C439,mdr_rate_cleaned!$F$2:$F$10,"&gt;="&amp;C439)</f>
        <v>1.6E-2</v>
      </c>
      <c r="H439" s="24">
        <f t="shared" si="30"/>
        <v>39.979999999999997</v>
      </c>
      <c r="I439" s="23" t="str">
        <f t="shared" si="31"/>
        <v>Match</v>
      </c>
      <c r="J439" s="23" t="str">
        <f t="shared" si="32"/>
        <v>Match</v>
      </c>
      <c r="K439" s="24">
        <f t="shared" si="33"/>
        <v>7.2</v>
      </c>
      <c r="L439" s="24">
        <f t="shared" si="34"/>
        <v>0</v>
      </c>
    </row>
    <row r="440" spans="1:12" ht="15" customHeight="1" x14ac:dyDescent="0.3">
      <c r="A440" s="23" t="s">
        <v>12917</v>
      </c>
      <c r="B440" s="23" t="s">
        <v>75</v>
      </c>
      <c r="C440" s="39">
        <v>7999</v>
      </c>
      <c r="D440" s="24">
        <v>24</v>
      </c>
      <c r="E440" s="24">
        <v>4.32</v>
      </c>
      <c r="F440" s="23">
        <f>COUNTIFS(mdr_rate_cleaned!$A$2:$A$10,B440,mdr_rate_cleaned!$B$2:$B$10,"&lt;"&amp;C440,mdr_rate_cleaned!$F$2:$F$10,"&gt;="&amp;C440)</f>
        <v>1</v>
      </c>
      <c r="G440" s="40">
        <f>SUMIFS(mdr_rate_cleaned!$G$2:$G$10,mdr_rate_cleaned!$A$2:$A$10,B440,mdr_rate_cleaned!$B$2:$B$10,"&lt;"&amp;C440,mdr_rate_cleaned!$F$2:$F$10,"&gt;="&amp;C440)</f>
        <v>3.0000000000000001E-3</v>
      </c>
      <c r="H440" s="24">
        <f t="shared" si="30"/>
        <v>24</v>
      </c>
      <c r="I440" s="23" t="str">
        <f t="shared" si="31"/>
        <v>Match</v>
      </c>
      <c r="J440" s="23" t="str">
        <f t="shared" si="32"/>
        <v>Match</v>
      </c>
      <c r="K440" s="24">
        <f t="shared" si="33"/>
        <v>4.32</v>
      </c>
      <c r="L440" s="24">
        <f t="shared" si="34"/>
        <v>0</v>
      </c>
    </row>
    <row r="441" spans="1:12" ht="15" customHeight="1" x14ac:dyDescent="0.3">
      <c r="A441" s="23" t="s">
        <v>12919</v>
      </c>
      <c r="B441" s="23" t="s">
        <v>81</v>
      </c>
      <c r="C441" s="39">
        <v>299</v>
      </c>
      <c r="D441" s="24">
        <v>4.49</v>
      </c>
      <c r="E441" s="24">
        <v>0.81</v>
      </c>
      <c r="F441" s="23">
        <f>COUNTIFS(mdr_rate_cleaned!$A$2:$A$10,B441,mdr_rate_cleaned!$B$2:$B$10,"&lt;"&amp;C441,mdr_rate_cleaned!$F$2:$F$10,"&gt;="&amp;C441)</f>
        <v>1</v>
      </c>
      <c r="G441" s="40">
        <f>SUMIFS(mdr_rate_cleaned!$G$2:$G$10,mdr_rate_cleaned!$A$2:$A$10,B441,mdr_rate_cleaned!$B$2:$B$10,"&lt;"&amp;C441,mdr_rate_cleaned!$F$2:$F$10,"&gt;="&amp;C441)</f>
        <v>1.4999999999999999E-2</v>
      </c>
      <c r="H441" s="24">
        <f t="shared" si="30"/>
        <v>4.49</v>
      </c>
      <c r="I441" s="23" t="str">
        <f t="shared" si="31"/>
        <v>Match</v>
      </c>
      <c r="J441" s="23" t="str">
        <f t="shared" si="32"/>
        <v>Match</v>
      </c>
      <c r="K441" s="24">
        <f t="shared" si="33"/>
        <v>0.81</v>
      </c>
      <c r="L441" s="24">
        <f t="shared" si="34"/>
        <v>0</v>
      </c>
    </row>
    <row r="442" spans="1:12" ht="15" customHeight="1" x14ac:dyDescent="0.3">
      <c r="A442" s="23" t="s">
        <v>12920</v>
      </c>
      <c r="B442" s="23" t="s">
        <v>77</v>
      </c>
      <c r="C442" s="39">
        <v>299</v>
      </c>
      <c r="D442" s="24">
        <v>5.68</v>
      </c>
      <c r="E442" s="24">
        <v>1.02</v>
      </c>
      <c r="F442" s="23">
        <f>COUNTIFS(mdr_rate_cleaned!$A$2:$A$10,B442,mdr_rate_cleaned!$B$2:$B$10,"&lt;"&amp;C442,mdr_rate_cleaned!$F$2:$F$10,"&gt;="&amp;C442)</f>
        <v>1</v>
      </c>
      <c r="G442" s="40">
        <f>SUMIFS(mdr_rate_cleaned!$G$2:$G$10,mdr_rate_cleaned!$A$2:$A$10,B442,mdr_rate_cleaned!$B$2:$B$10,"&lt;"&amp;C442,mdr_rate_cleaned!$F$2:$F$10,"&gt;="&amp;C442)</f>
        <v>1.9E-2</v>
      </c>
      <c r="H442" s="24">
        <f t="shared" si="30"/>
        <v>5.68</v>
      </c>
      <c r="I442" s="23" t="str">
        <f t="shared" si="31"/>
        <v>Match</v>
      </c>
      <c r="J442" s="23" t="str">
        <f t="shared" si="32"/>
        <v>Match</v>
      </c>
      <c r="K442" s="24">
        <f t="shared" si="33"/>
        <v>1.02</v>
      </c>
      <c r="L442" s="24">
        <f t="shared" si="34"/>
        <v>0</v>
      </c>
    </row>
    <row r="443" spans="1:12" ht="15" customHeight="1" x14ac:dyDescent="0.3">
      <c r="A443" s="23" t="s">
        <v>12921</v>
      </c>
      <c r="B443" s="23" t="s">
        <v>75</v>
      </c>
      <c r="C443" s="39">
        <v>4998</v>
      </c>
      <c r="D443" s="24">
        <v>14.99</v>
      </c>
      <c r="E443" s="24">
        <v>2.7</v>
      </c>
      <c r="F443" s="23">
        <f>COUNTIFS(mdr_rate_cleaned!$A$2:$A$10,B443,mdr_rate_cleaned!$B$2:$B$10,"&lt;"&amp;C443,mdr_rate_cleaned!$F$2:$F$10,"&gt;="&amp;C443)</f>
        <v>1</v>
      </c>
      <c r="G443" s="40">
        <f>SUMIFS(mdr_rate_cleaned!$G$2:$G$10,mdr_rate_cleaned!$A$2:$A$10,B443,mdr_rate_cleaned!$B$2:$B$10,"&lt;"&amp;C443,mdr_rate_cleaned!$F$2:$F$10,"&gt;="&amp;C443)</f>
        <v>3.0000000000000001E-3</v>
      </c>
      <c r="H443" s="24">
        <f t="shared" si="30"/>
        <v>14.99</v>
      </c>
      <c r="I443" s="23" t="str">
        <f t="shared" si="31"/>
        <v>Match</v>
      </c>
      <c r="J443" s="23" t="str">
        <f t="shared" si="32"/>
        <v>Match</v>
      </c>
      <c r="K443" s="24">
        <f t="shared" si="33"/>
        <v>2.7</v>
      </c>
      <c r="L443" s="24">
        <f t="shared" si="34"/>
        <v>0</v>
      </c>
    </row>
    <row r="444" spans="1:12" ht="15" customHeight="1" x14ac:dyDescent="0.3">
      <c r="A444" s="23" t="s">
        <v>12922</v>
      </c>
      <c r="B444" s="23" t="s">
        <v>75</v>
      </c>
      <c r="C444" s="39">
        <v>1098</v>
      </c>
      <c r="D444" s="24">
        <v>0</v>
      </c>
      <c r="E444" s="24">
        <v>0</v>
      </c>
      <c r="F444" s="23">
        <f>COUNTIFS(mdr_rate_cleaned!$A$2:$A$10,B444,mdr_rate_cleaned!$B$2:$B$10,"&lt;"&amp;C444,mdr_rate_cleaned!$F$2:$F$10,"&gt;="&amp;C444)</f>
        <v>1</v>
      </c>
      <c r="G444" s="40">
        <f>SUMIFS(mdr_rate_cleaned!$G$2:$G$10,mdr_rate_cleaned!$A$2:$A$10,B444,mdr_rate_cleaned!$B$2:$B$10,"&lt;"&amp;C444,mdr_rate_cleaned!$F$2:$F$10,"&gt;="&amp;C444)</f>
        <v>0</v>
      </c>
      <c r="H444" s="24">
        <f t="shared" si="30"/>
        <v>0</v>
      </c>
      <c r="I444" s="23" t="str">
        <f t="shared" si="31"/>
        <v>Match</v>
      </c>
      <c r="J444" s="23" t="str">
        <f t="shared" si="32"/>
        <v>Match</v>
      </c>
      <c r="K444" s="24">
        <f t="shared" si="33"/>
        <v>0</v>
      </c>
      <c r="L444" s="24">
        <f t="shared" si="34"/>
        <v>0</v>
      </c>
    </row>
    <row r="445" spans="1:12" ht="15" customHeight="1" x14ac:dyDescent="0.3">
      <c r="A445" s="23" t="s">
        <v>12924</v>
      </c>
      <c r="B445" s="23" t="s">
        <v>75</v>
      </c>
      <c r="C445" s="39">
        <v>12497</v>
      </c>
      <c r="D445" s="24">
        <v>37.49</v>
      </c>
      <c r="E445" s="24">
        <v>6.75</v>
      </c>
      <c r="F445" s="23">
        <f>COUNTIFS(mdr_rate_cleaned!$A$2:$A$10,B445,mdr_rate_cleaned!$B$2:$B$10,"&lt;"&amp;C445,mdr_rate_cleaned!$F$2:$F$10,"&gt;="&amp;C445)</f>
        <v>1</v>
      </c>
      <c r="G445" s="40">
        <f>SUMIFS(mdr_rate_cleaned!$G$2:$G$10,mdr_rate_cleaned!$A$2:$A$10,B445,mdr_rate_cleaned!$B$2:$B$10,"&lt;"&amp;C445,mdr_rate_cleaned!$F$2:$F$10,"&gt;="&amp;C445)</f>
        <v>3.0000000000000001E-3</v>
      </c>
      <c r="H445" s="24">
        <f t="shared" si="30"/>
        <v>37.49</v>
      </c>
      <c r="I445" s="23" t="str">
        <f t="shared" si="31"/>
        <v>Match</v>
      </c>
      <c r="J445" s="23" t="str">
        <f t="shared" si="32"/>
        <v>Match</v>
      </c>
      <c r="K445" s="24">
        <f t="shared" si="33"/>
        <v>6.75</v>
      </c>
      <c r="L445" s="24">
        <f t="shared" si="34"/>
        <v>0</v>
      </c>
    </row>
    <row r="446" spans="1:12" ht="15" customHeight="1" x14ac:dyDescent="0.3">
      <c r="A446" s="23" t="s">
        <v>12925</v>
      </c>
      <c r="B446" s="23" t="s">
        <v>75</v>
      </c>
      <c r="C446" s="39">
        <v>299</v>
      </c>
      <c r="D446" s="24">
        <v>0.9</v>
      </c>
      <c r="E446" s="24">
        <v>0.16</v>
      </c>
      <c r="F446" s="23">
        <f>COUNTIFS(mdr_rate_cleaned!$A$2:$A$10,B446,mdr_rate_cleaned!$B$2:$B$10,"&lt;"&amp;C446,mdr_rate_cleaned!$F$2:$F$10,"&gt;="&amp;C446)</f>
        <v>1</v>
      </c>
      <c r="G446" s="40">
        <f>SUMIFS(mdr_rate_cleaned!$G$2:$G$10,mdr_rate_cleaned!$A$2:$A$10,B446,mdr_rate_cleaned!$B$2:$B$10,"&lt;"&amp;C446,mdr_rate_cleaned!$F$2:$F$10,"&gt;="&amp;C446)</f>
        <v>0</v>
      </c>
      <c r="H446" s="24">
        <f t="shared" si="30"/>
        <v>0</v>
      </c>
      <c r="I446" s="23" t="str">
        <f t="shared" si="31"/>
        <v>Differs</v>
      </c>
      <c r="J446" s="23" t="str">
        <f t="shared" si="32"/>
        <v>Match</v>
      </c>
      <c r="K446" s="24">
        <f t="shared" si="33"/>
        <v>0</v>
      </c>
      <c r="L446" s="24">
        <f t="shared" si="34"/>
        <v>1.06</v>
      </c>
    </row>
    <row r="447" spans="1:12" ht="15" customHeight="1" x14ac:dyDescent="0.3">
      <c r="A447" s="23" t="s">
        <v>12926</v>
      </c>
      <c r="B447" s="23" t="s">
        <v>75</v>
      </c>
      <c r="C447" s="39">
        <v>1098</v>
      </c>
      <c r="D447" s="24">
        <v>0</v>
      </c>
      <c r="E447" s="24">
        <v>0</v>
      </c>
      <c r="F447" s="23">
        <f>COUNTIFS(mdr_rate_cleaned!$A$2:$A$10,B447,mdr_rate_cleaned!$B$2:$B$10,"&lt;"&amp;C447,mdr_rate_cleaned!$F$2:$F$10,"&gt;="&amp;C447)</f>
        <v>1</v>
      </c>
      <c r="G447" s="40">
        <f>SUMIFS(mdr_rate_cleaned!$G$2:$G$10,mdr_rate_cleaned!$A$2:$A$10,B447,mdr_rate_cleaned!$B$2:$B$10,"&lt;"&amp;C447,mdr_rate_cleaned!$F$2:$F$10,"&gt;="&amp;C447)</f>
        <v>0</v>
      </c>
      <c r="H447" s="24">
        <f t="shared" si="30"/>
        <v>0</v>
      </c>
      <c r="I447" s="23" t="str">
        <f t="shared" si="31"/>
        <v>Match</v>
      </c>
      <c r="J447" s="23" t="str">
        <f t="shared" si="32"/>
        <v>Match</v>
      </c>
      <c r="K447" s="24">
        <f t="shared" si="33"/>
        <v>0</v>
      </c>
      <c r="L447" s="24">
        <f t="shared" si="34"/>
        <v>0</v>
      </c>
    </row>
    <row r="448" spans="1:12" ht="15" customHeight="1" x14ac:dyDescent="0.3">
      <c r="A448" s="23" t="s">
        <v>12927</v>
      </c>
      <c r="B448" s="23" t="s">
        <v>81</v>
      </c>
      <c r="C448" s="39">
        <v>5097</v>
      </c>
      <c r="D448" s="24">
        <v>61.16</v>
      </c>
      <c r="E448" s="24">
        <v>11.01</v>
      </c>
      <c r="F448" s="23">
        <f>COUNTIFS(mdr_rate_cleaned!$A$2:$A$10,B448,mdr_rate_cleaned!$B$2:$B$10,"&lt;"&amp;C448,mdr_rate_cleaned!$F$2:$F$10,"&gt;="&amp;C448)</f>
        <v>1</v>
      </c>
      <c r="G448" s="40">
        <f>SUMIFS(mdr_rate_cleaned!$G$2:$G$10,mdr_rate_cleaned!$A$2:$A$10,B448,mdr_rate_cleaned!$B$2:$B$10,"&lt;"&amp;C448,mdr_rate_cleaned!$F$2:$F$10,"&gt;="&amp;C448)</f>
        <v>1.2E-2</v>
      </c>
      <c r="H448" s="24">
        <f t="shared" si="30"/>
        <v>61.16</v>
      </c>
      <c r="I448" s="23" t="str">
        <f t="shared" si="31"/>
        <v>Match</v>
      </c>
      <c r="J448" s="23" t="str">
        <f t="shared" si="32"/>
        <v>Match</v>
      </c>
      <c r="K448" s="24">
        <f t="shared" si="33"/>
        <v>11.01</v>
      </c>
      <c r="L448" s="24">
        <f t="shared" si="34"/>
        <v>0</v>
      </c>
    </row>
    <row r="449" spans="1:12" ht="15" customHeight="1" x14ac:dyDescent="0.3">
      <c r="A449" s="23" t="s">
        <v>12928</v>
      </c>
      <c r="B449" s="23" t="s">
        <v>75</v>
      </c>
      <c r="C449" s="39">
        <v>3499</v>
      </c>
      <c r="D449" s="24">
        <v>10.5</v>
      </c>
      <c r="E449" s="24">
        <v>1.89</v>
      </c>
      <c r="F449" s="23">
        <f>COUNTIFS(mdr_rate_cleaned!$A$2:$A$10,B449,mdr_rate_cleaned!$B$2:$B$10,"&lt;"&amp;C449,mdr_rate_cleaned!$F$2:$F$10,"&gt;="&amp;C449)</f>
        <v>1</v>
      </c>
      <c r="G449" s="40">
        <f>SUMIFS(mdr_rate_cleaned!$G$2:$G$10,mdr_rate_cleaned!$A$2:$A$10,B449,mdr_rate_cleaned!$B$2:$B$10,"&lt;"&amp;C449,mdr_rate_cleaned!$F$2:$F$10,"&gt;="&amp;C449)</f>
        <v>3.0000000000000001E-3</v>
      </c>
      <c r="H449" s="24">
        <f t="shared" si="30"/>
        <v>10.5</v>
      </c>
      <c r="I449" s="23" t="str">
        <f t="shared" si="31"/>
        <v>Match</v>
      </c>
      <c r="J449" s="23" t="str">
        <f t="shared" si="32"/>
        <v>Match</v>
      </c>
      <c r="K449" s="24">
        <f t="shared" si="33"/>
        <v>1.89</v>
      </c>
      <c r="L449" s="24">
        <f t="shared" si="34"/>
        <v>0</v>
      </c>
    </row>
    <row r="450" spans="1:12" ht="15" customHeight="1" x14ac:dyDescent="0.3">
      <c r="A450" s="23" t="s">
        <v>12930</v>
      </c>
      <c r="B450" s="23" t="s">
        <v>79</v>
      </c>
      <c r="C450" s="39">
        <v>3298</v>
      </c>
      <c r="D450" s="24">
        <v>52.77</v>
      </c>
      <c r="E450" s="24">
        <v>9.5</v>
      </c>
      <c r="F450" s="23">
        <f>COUNTIFS(mdr_rate_cleaned!$A$2:$A$10,B450,mdr_rate_cleaned!$B$2:$B$10,"&lt;"&amp;C450,mdr_rate_cleaned!$F$2:$F$10,"&gt;="&amp;C450)</f>
        <v>1</v>
      </c>
      <c r="G450" s="40">
        <f>SUMIFS(mdr_rate_cleaned!$G$2:$G$10,mdr_rate_cleaned!$A$2:$A$10,B450,mdr_rate_cleaned!$B$2:$B$10,"&lt;"&amp;C450,mdr_rate_cleaned!$F$2:$F$10,"&gt;="&amp;C450)</f>
        <v>1.6E-2</v>
      </c>
      <c r="H450" s="24">
        <f t="shared" ref="H450:H513" si="35">ROUND(C450*G450,2)</f>
        <v>52.77</v>
      </c>
      <c r="I450" s="23" t="str">
        <f t="shared" ref="I450:I513" si="36">IF(ROUND(D450-H450,2)=0,"Match","Differs")</f>
        <v>Match</v>
      </c>
      <c r="J450" s="23" t="str">
        <f t="shared" ref="J450:J513" si="37">IF(ROUND(E450-ROUND(D450*0.18,2),2)=0,"Match","Differs")</f>
        <v>Match</v>
      </c>
      <c r="K450" s="24">
        <f t="shared" ref="K450:K513" si="38">ROUND(H450*0.18,2)</f>
        <v>9.5</v>
      </c>
      <c r="L450" s="24">
        <f t="shared" ref="L450:L513" si="39">ROUND(D450+E450-H450-K450,2)</f>
        <v>0</v>
      </c>
    </row>
    <row r="451" spans="1:12" ht="15" customHeight="1" x14ac:dyDescent="0.3">
      <c r="A451" s="23" t="s">
        <v>12932</v>
      </c>
      <c r="B451" s="23" t="s">
        <v>79</v>
      </c>
      <c r="C451" s="39">
        <v>3499</v>
      </c>
      <c r="D451" s="24">
        <v>55.98</v>
      </c>
      <c r="E451" s="24">
        <v>10.08</v>
      </c>
      <c r="F451" s="23">
        <f>COUNTIFS(mdr_rate_cleaned!$A$2:$A$10,B451,mdr_rate_cleaned!$B$2:$B$10,"&lt;"&amp;C451,mdr_rate_cleaned!$F$2:$F$10,"&gt;="&amp;C451)</f>
        <v>1</v>
      </c>
      <c r="G451" s="40">
        <f>SUMIFS(mdr_rate_cleaned!$G$2:$G$10,mdr_rate_cleaned!$A$2:$A$10,B451,mdr_rate_cleaned!$B$2:$B$10,"&lt;"&amp;C451,mdr_rate_cleaned!$F$2:$F$10,"&gt;="&amp;C451)</f>
        <v>1.6E-2</v>
      </c>
      <c r="H451" s="24">
        <f t="shared" si="35"/>
        <v>55.98</v>
      </c>
      <c r="I451" s="23" t="str">
        <f t="shared" si="36"/>
        <v>Match</v>
      </c>
      <c r="J451" s="23" t="str">
        <f t="shared" si="37"/>
        <v>Match</v>
      </c>
      <c r="K451" s="24">
        <f t="shared" si="38"/>
        <v>10.08</v>
      </c>
      <c r="L451" s="24">
        <f t="shared" si="39"/>
        <v>0</v>
      </c>
    </row>
    <row r="452" spans="1:12" ht="15" customHeight="1" x14ac:dyDescent="0.3">
      <c r="A452" s="23" t="s">
        <v>12934</v>
      </c>
      <c r="B452" s="23" t="s">
        <v>79</v>
      </c>
      <c r="C452" s="39">
        <v>848</v>
      </c>
      <c r="D452" s="24">
        <v>15.26</v>
      </c>
      <c r="E452" s="24">
        <v>2.75</v>
      </c>
      <c r="F452" s="23">
        <f>COUNTIFS(mdr_rate_cleaned!$A$2:$A$10,B452,mdr_rate_cleaned!$B$2:$B$10,"&lt;"&amp;C452,mdr_rate_cleaned!$F$2:$F$10,"&gt;="&amp;C452)</f>
        <v>1</v>
      </c>
      <c r="G452" s="40">
        <f>SUMIFS(mdr_rate_cleaned!$G$2:$G$10,mdr_rate_cleaned!$A$2:$A$10,B452,mdr_rate_cleaned!$B$2:$B$10,"&lt;"&amp;C452,mdr_rate_cleaned!$F$2:$F$10,"&gt;="&amp;C452)</f>
        <v>1.8000000000000002E-2</v>
      </c>
      <c r="H452" s="24">
        <f t="shared" si="35"/>
        <v>15.26</v>
      </c>
      <c r="I452" s="23" t="str">
        <f t="shared" si="36"/>
        <v>Match</v>
      </c>
      <c r="J452" s="23" t="str">
        <f t="shared" si="37"/>
        <v>Match</v>
      </c>
      <c r="K452" s="24">
        <f t="shared" si="38"/>
        <v>2.75</v>
      </c>
      <c r="L452" s="24">
        <f t="shared" si="39"/>
        <v>0</v>
      </c>
    </row>
    <row r="453" spans="1:12" ht="15" customHeight="1" x14ac:dyDescent="0.3">
      <c r="A453" s="23" t="s">
        <v>12935</v>
      </c>
      <c r="B453" s="23" t="s">
        <v>75</v>
      </c>
      <c r="C453" s="39">
        <v>5298</v>
      </c>
      <c r="D453" s="24">
        <v>15.89</v>
      </c>
      <c r="E453" s="24">
        <v>2.86</v>
      </c>
      <c r="F453" s="23">
        <f>COUNTIFS(mdr_rate_cleaned!$A$2:$A$10,B453,mdr_rate_cleaned!$B$2:$B$10,"&lt;"&amp;C453,mdr_rate_cleaned!$F$2:$F$10,"&gt;="&amp;C453)</f>
        <v>1</v>
      </c>
      <c r="G453" s="40">
        <f>SUMIFS(mdr_rate_cleaned!$G$2:$G$10,mdr_rate_cleaned!$A$2:$A$10,B453,mdr_rate_cleaned!$B$2:$B$10,"&lt;"&amp;C453,mdr_rate_cleaned!$F$2:$F$10,"&gt;="&amp;C453)</f>
        <v>3.0000000000000001E-3</v>
      </c>
      <c r="H453" s="24">
        <f t="shared" si="35"/>
        <v>15.89</v>
      </c>
      <c r="I453" s="23" t="str">
        <f t="shared" si="36"/>
        <v>Match</v>
      </c>
      <c r="J453" s="23" t="str">
        <f t="shared" si="37"/>
        <v>Match</v>
      </c>
      <c r="K453" s="24">
        <f t="shared" si="38"/>
        <v>2.86</v>
      </c>
      <c r="L453" s="24">
        <f t="shared" si="39"/>
        <v>0</v>
      </c>
    </row>
    <row r="454" spans="1:12" ht="15" customHeight="1" x14ac:dyDescent="0.3">
      <c r="A454" s="23" t="s">
        <v>12936</v>
      </c>
      <c r="B454" s="23" t="s">
        <v>79</v>
      </c>
      <c r="C454" s="39">
        <v>3098</v>
      </c>
      <c r="D454" s="24">
        <v>49.57</v>
      </c>
      <c r="E454" s="24">
        <v>8.92</v>
      </c>
      <c r="F454" s="23">
        <f>COUNTIFS(mdr_rate_cleaned!$A$2:$A$10,B454,mdr_rate_cleaned!$B$2:$B$10,"&lt;"&amp;C454,mdr_rate_cleaned!$F$2:$F$10,"&gt;="&amp;C454)</f>
        <v>1</v>
      </c>
      <c r="G454" s="40">
        <f>SUMIFS(mdr_rate_cleaned!$G$2:$G$10,mdr_rate_cleaned!$A$2:$A$10,B454,mdr_rate_cleaned!$B$2:$B$10,"&lt;"&amp;C454,mdr_rate_cleaned!$F$2:$F$10,"&gt;="&amp;C454)</f>
        <v>1.6E-2</v>
      </c>
      <c r="H454" s="24">
        <f t="shared" si="35"/>
        <v>49.57</v>
      </c>
      <c r="I454" s="23" t="str">
        <f t="shared" si="36"/>
        <v>Match</v>
      </c>
      <c r="J454" s="23" t="str">
        <f t="shared" si="37"/>
        <v>Match</v>
      </c>
      <c r="K454" s="24">
        <f t="shared" si="38"/>
        <v>8.92</v>
      </c>
      <c r="L454" s="24">
        <f t="shared" si="39"/>
        <v>0</v>
      </c>
    </row>
    <row r="455" spans="1:12" ht="15" customHeight="1" x14ac:dyDescent="0.3">
      <c r="A455" s="23" t="s">
        <v>12937</v>
      </c>
      <c r="B455" s="23" t="s">
        <v>79</v>
      </c>
      <c r="C455" s="39">
        <v>11297</v>
      </c>
      <c r="D455" s="24">
        <v>180.75</v>
      </c>
      <c r="E455" s="24">
        <v>32.54</v>
      </c>
      <c r="F455" s="23">
        <f>COUNTIFS(mdr_rate_cleaned!$A$2:$A$10,B455,mdr_rate_cleaned!$B$2:$B$10,"&lt;"&amp;C455,mdr_rate_cleaned!$F$2:$F$10,"&gt;="&amp;C455)</f>
        <v>1</v>
      </c>
      <c r="G455" s="40">
        <f>SUMIFS(mdr_rate_cleaned!$G$2:$G$10,mdr_rate_cleaned!$A$2:$A$10,B455,mdr_rate_cleaned!$B$2:$B$10,"&lt;"&amp;C455,mdr_rate_cleaned!$F$2:$F$10,"&gt;="&amp;C455)</f>
        <v>1.6E-2</v>
      </c>
      <c r="H455" s="24">
        <f t="shared" si="35"/>
        <v>180.75</v>
      </c>
      <c r="I455" s="23" t="str">
        <f t="shared" si="36"/>
        <v>Match</v>
      </c>
      <c r="J455" s="23" t="str">
        <f t="shared" si="37"/>
        <v>Match</v>
      </c>
      <c r="K455" s="24">
        <f t="shared" si="38"/>
        <v>32.54</v>
      </c>
      <c r="L455" s="24">
        <f t="shared" si="39"/>
        <v>0</v>
      </c>
    </row>
    <row r="456" spans="1:12" ht="15" customHeight="1" x14ac:dyDescent="0.3">
      <c r="A456" s="23" t="s">
        <v>12938</v>
      </c>
      <c r="B456" s="23" t="s">
        <v>75</v>
      </c>
      <c r="C456" s="39">
        <v>1798</v>
      </c>
      <c r="D456" s="24">
        <v>0</v>
      </c>
      <c r="E456" s="24">
        <v>0</v>
      </c>
      <c r="F456" s="23">
        <f>COUNTIFS(mdr_rate_cleaned!$A$2:$A$10,B456,mdr_rate_cleaned!$B$2:$B$10,"&lt;"&amp;C456,mdr_rate_cleaned!$F$2:$F$10,"&gt;="&amp;C456)</f>
        <v>1</v>
      </c>
      <c r="G456" s="40">
        <f>SUMIFS(mdr_rate_cleaned!$G$2:$G$10,mdr_rate_cleaned!$A$2:$A$10,B456,mdr_rate_cleaned!$B$2:$B$10,"&lt;"&amp;C456,mdr_rate_cleaned!$F$2:$F$10,"&gt;="&amp;C456)</f>
        <v>0</v>
      </c>
      <c r="H456" s="24">
        <f t="shared" si="35"/>
        <v>0</v>
      </c>
      <c r="I456" s="23" t="str">
        <f t="shared" si="36"/>
        <v>Match</v>
      </c>
      <c r="J456" s="23" t="str">
        <f t="shared" si="37"/>
        <v>Match</v>
      </c>
      <c r="K456" s="24">
        <f t="shared" si="38"/>
        <v>0</v>
      </c>
      <c r="L456" s="24">
        <f t="shared" si="39"/>
        <v>0</v>
      </c>
    </row>
    <row r="457" spans="1:12" ht="15" customHeight="1" x14ac:dyDescent="0.3">
      <c r="A457" s="23" t="s">
        <v>12939</v>
      </c>
      <c r="B457" s="23" t="s">
        <v>75</v>
      </c>
      <c r="C457" s="39">
        <v>7797</v>
      </c>
      <c r="D457" s="24">
        <v>23.39</v>
      </c>
      <c r="E457" s="24">
        <v>4.21</v>
      </c>
      <c r="F457" s="23">
        <f>COUNTIFS(mdr_rate_cleaned!$A$2:$A$10,B457,mdr_rate_cleaned!$B$2:$B$10,"&lt;"&amp;C457,mdr_rate_cleaned!$F$2:$F$10,"&gt;="&amp;C457)</f>
        <v>1</v>
      </c>
      <c r="G457" s="40">
        <f>SUMIFS(mdr_rate_cleaned!$G$2:$G$10,mdr_rate_cleaned!$A$2:$A$10,B457,mdr_rate_cleaned!$B$2:$B$10,"&lt;"&amp;C457,mdr_rate_cleaned!$F$2:$F$10,"&gt;="&amp;C457)</f>
        <v>3.0000000000000001E-3</v>
      </c>
      <c r="H457" s="24">
        <f t="shared" si="35"/>
        <v>23.39</v>
      </c>
      <c r="I457" s="23" t="str">
        <f t="shared" si="36"/>
        <v>Match</v>
      </c>
      <c r="J457" s="23" t="str">
        <f t="shared" si="37"/>
        <v>Match</v>
      </c>
      <c r="K457" s="24">
        <f t="shared" si="38"/>
        <v>4.21</v>
      </c>
      <c r="L457" s="24">
        <f t="shared" si="39"/>
        <v>0</v>
      </c>
    </row>
    <row r="458" spans="1:12" ht="15" customHeight="1" x14ac:dyDescent="0.3">
      <c r="A458" s="23" t="s">
        <v>12940</v>
      </c>
      <c r="B458" s="23" t="s">
        <v>75</v>
      </c>
      <c r="C458" s="39">
        <v>8798</v>
      </c>
      <c r="D458" s="24">
        <v>26.39</v>
      </c>
      <c r="E458" s="24">
        <v>4.75</v>
      </c>
      <c r="F458" s="23">
        <f>COUNTIFS(mdr_rate_cleaned!$A$2:$A$10,B458,mdr_rate_cleaned!$B$2:$B$10,"&lt;"&amp;C458,mdr_rate_cleaned!$F$2:$F$10,"&gt;="&amp;C458)</f>
        <v>1</v>
      </c>
      <c r="G458" s="40">
        <f>SUMIFS(mdr_rate_cleaned!$G$2:$G$10,mdr_rate_cleaned!$A$2:$A$10,B458,mdr_rate_cleaned!$B$2:$B$10,"&lt;"&amp;C458,mdr_rate_cleaned!$F$2:$F$10,"&gt;="&amp;C458)</f>
        <v>3.0000000000000001E-3</v>
      </c>
      <c r="H458" s="24">
        <f t="shared" si="35"/>
        <v>26.39</v>
      </c>
      <c r="I458" s="23" t="str">
        <f t="shared" si="36"/>
        <v>Match</v>
      </c>
      <c r="J458" s="23" t="str">
        <f t="shared" si="37"/>
        <v>Match</v>
      </c>
      <c r="K458" s="24">
        <f t="shared" si="38"/>
        <v>4.75</v>
      </c>
      <c r="L458" s="24">
        <f t="shared" si="39"/>
        <v>0</v>
      </c>
    </row>
    <row r="459" spans="1:12" ht="15" customHeight="1" x14ac:dyDescent="0.3">
      <c r="A459" s="23" t="s">
        <v>12941</v>
      </c>
      <c r="B459" s="23" t="s">
        <v>79</v>
      </c>
      <c r="C459" s="39">
        <v>999</v>
      </c>
      <c r="D459" s="24">
        <v>17.98</v>
      </c>
      <c r="E459" s="24">
        <v>3.24</v>
      </c>
      <c r="F459" s="23">
        <f>COUNTIFS(mdr_rate_cleaned!$A$2:$A$10,B459,mdr_rate_cleaned!$B$2:$B$10,"&lt;"&amp;C459,mdr_rate_cleaned!$F$2:$F$10,"&gt;="&amp;C459)</f>
        <v>1</v>
      </c>
      <c r="G459" s="40">
        <f>SUMIFS(mdr_rate_cleaned!$G$2:$G$10,mdr_rate_cleaned!$A$2:$A$10,B459,mdr_rate_cleaned!$B$2:$B$10,"&lt;"&amp;C459,mdr_rate_cleaned!$F$2:$F$10,"&gt;="&amp;C459)</f>
        <v>1.8000000000000002E-2</v>
      </c>
      <c r="H459" s="24">
        <f t="shared" si="35"/>
        <v>17.98</v>
      </c>
      <c r="I459" s="23" t="str">
        <f t="shared" si="36"/>
        <v>Match</v>
      </c>
      <c r="J459" s="23" t="str">
        <f t="shared" si="37"/>
        <v>Match</v>
      </c>
      <c r="K459" s="24">
        <f t="shared" si="38"/>
        <v>3.24</v>
      </c>
      <c r="L459" s="24">
        <f t="shared" si="39"/>
        <v>0</v>
      </c>
    </row>
    <row r="460" spans="1:12" ht="15" customHeight="1" x14ac:dyDescent="0.3">
      <c r="A460" s="23" t="s">
        <v>12942</v>
      </c>
      <c r="B460" s="23" t="s">
        <v>75</v>
      </c>
      <c r="C460" s="39">
        <v>7999</v>
      </c>
      <c r="D460" s="24">
        <v>24</v>
      </c>
      <c r="E460" s="24">
        <v>4.32</v>
      </c>
      <c r="F460" s="23">
        <f>COUNTIFS(mdr_rate_cleaned!$A$2:$A$10,B460,mdr_rate_cleaned!$B$2:$B$10,"&lt;"&amp;C460,mdr_rate_cleaned!$F$2:$F$10,"&gt;="&amp;C460)</f>
        <v>1</v>
      </c>
      <c r="G460" s="40">
        <f>SUMIFS(mdr_rate_cleaned!$G$2:$G$10,mdr_rate_cleaned!$A$2:$A$10,B460,mdr_rate_cleaned!$B$2:$B$10,"&lt;"&amp;C460,mdr_rate_cleaned!$F$2:$F$10,"&gt;="&amp;C460)</f>
        <v>3.0000000000000001E-3</v>
      </c>
      <c r="H460" s="24">
        <f t="shared" si="35"/>
        <v>24</v>
      </c>
      <c r="I460" s="23" t="str">
        <f t="shared" si="36"/>
        <v>Match</v>
      </c>
      <c r="J460" s="23" t="str">
        <f t="shared" si="37"/>
        <v>Match</v>
      </c>
      <c r="K460" s="24">
        <f t="shared" si="38"/>
        <v>4.32</v>
      </c>
      <c r="L460" s="24">
        <f t="shared" si="39"/>
        <v>0</v>
      </c>
    </row>
    <row r="461" spans="1:12" ht="15" customHeight="1" x14ac:dyDescent="0.3">
      <c r="A461" s="23" t="s">
        <v>12944</v>
      </c>
      <c r="B461" s="23" t="s">
        <v>79</v>
      </c>
      <c r="C461" s="39">
        <v>1848</v>
      </c>
      <c r="D461" s="24">
        <v>33.26</v>
      </c>
      <c r="E461" s="24">
        <v>5.99</v>
      </c>
      <c r="F461" s="23">
        <f>COUNTIFS(mdr_rate_cleaned!$A$2:$A$10,B461,mdr_rate_cleaned!$B$2:$B$10,"&lt;"&amp;C461,mdr_rate_cleaned!$F$2:$F$10,"&gt;="&amp;C461)</f>
        <v>1</v>
      </c>
      <c r="G461" s="40">
        <f>SUMIFS(mdr_rate_cleaned!$G$2:$G$10,mdr_rate_cleaned!$A$2:$A$10,B461,mdr_rate_cleaned!$B$2:$B$10,"&lt;"&amp;C461,mdr_rate_cleaned!$F$2:$F$10,"&gt;="&amp;C461)</f>
        <v>1.8000000000000002E-2</v>
      </c>
      <c r="H461" s="24">
        <f t="shared" si="35"/>
        <v>33.26</v>
      </c>
      <c r="I461" s="23" t="str">
        <f t="shared" si="36"/>
        <v>Match</v>
      </c>
      <c r="J461" s="23" t="str">
        <f t="shared" si="37"/>
        <v>Match</v>
      </c>
      <c r="K461" s="24">
        <f t="shared" si="38"/>
        <v>5.99</v>
      </c>
      <c r="L461" s="24">
        <f t="shared" si="39"/>
        <v>0</v>
      </c>
    </row>
    <row r="462" spans="1:12" ht="15" customHeight="1" x14ac:dyDescent="0.3">
      <c r="A462" s="23" t="s">
        <v>12945</v>
      </c>
      <c r="B462" s="23" t="s">
        <v>75</v>
      </c>
      <c r="C462" s="39">
        <v>1799</v>
      </c>
      <c r="D462" s="24">
        <v>0</v>
      </c>
      <c r="E462" s="24">
        <v>0</v>
      </c>
      <c r="F462" s="23">
        <f>COUNTIFS(mdr_rate_cleaned!$A$2:$A$10,B462,mdr_rate_cleaned!$B$2:$B$10,"&lt;"&amp;C462,mdr_rate_cleaned!$F$2:$F$10,"&gt;="&amp;C462)</f>
        <v>1</v>
      </c>
      <c r="G462" s="40">
        <f>SUMIFS(mdr_rate_cleaned!$G$2:$G$10,mdr_rate_cleaned!$A$2:$A$10,B462,mdr_rate_cleaned!$B$2:$B$10,"&lt;"&amp;C462,mdr_rate_cleaned!$F$2:$F$10,"&gt;="&amp;C462)</f>
        <v>0</v>
      </c>
      <c r="H462" s="24">
        <f t="shared" si="35"/>
        <v>0</v>
      </c>
      <c r="I462" s="23" t="str">
        <f t="shared" si="36"/>
        <v>Match</v>
      </c>
      <c r="J462" s="23" t="str">
        <f t="shared" si="37"/>
        <v>Match</v>
      </c>
      <c r="K462" s="24">
        <f t="shared" si="38"/>
        <v>0</v>
      </c>
      <c r="L462" s="24">
        <f t="shared" si="39"/>
        <v>0</v>
      </c>
    </row>
    <row r="463" spans="1:12" ht="15" customHeight="1" x14ac:dyDescent="0.3">
      <c r="A463" s="23" t="s">
        <v>12946</v>
      </c>
      <c r="B463" s="23" t="s">
        <v>75</v>
      </c>
      <c r="C463" s="39">
        <v>7999</v>
      </c>
      <c r="D463" s="24">
        <v>24</v>
      </c>
      <c r="E463" s="24">
        <v>4.32</v>
      </c>
      <c r="F463" s="23">
        <f>COUNTIFS(mdr_rate_cleaned!$A$2:$A$10,B463,mdr_rate_cleaned!$B$2:$B$10,"&lt;"&amp;C463,mdr_rate_cleaned!$F$2:$F$10,"&gt;="&amp;C463)</f>
        <v>1</v>
      </c>
      <c r="G463" s="40">
        <f>SUMIFS(mdr_rate_cleaned!$G$2:$G$10,mdr_rate_cleaned!$A$2:$A$10,B463,mdr_rate_cleaned!$B$2:$B$10,"&lt;"&amp;C463,mdr_rate_cleaned!$F$2:$F$10,"&gt;="&amp;C463)</f>
        <v>3.0000000000000001E-3</v>
      </c>
      <c r="H463" s="24">
        <f t="shared" si="35"/>
        <v>24</v>
      </c>
      <c r="I463" s="23" t="str">
        <f t="shared" si="36"/>
        <v>Match</v>
      </c>
      <c r="J463" s="23" t="str">
        <f t="shared" si="37"/>
        <v>Match</v>
      </c>
      <c r="K463" s="24">
        <f t="shared" si="38"/>
        <v>4.32</v>
      </c>
      <c r="L463" s="24">
        <f t="shared" si="39"/>
        <v>0</v>
      </c>
    </row>
    <row r="464" spans="1:12" ht="15" customHeight="1" x14ac:dyDescent="0.3">
      <c r="A464" s="23" t="s">
        <v>12947</v>
      </c>
      <c r="B464" s="23" t="s">
        <v>75</v>
      </c>
      <c r="C464" s="39">
        <v>1499</v>
      </c>
      <c r="D464" s="24">
        <v>0</v>
      </c>
      <c r="E464" s="24">
        <v>0</v>
      </c>
      <c r="F464" s="23">
        <f>COUNTIFS(mdr_rate_cleaned!$A$2:$A$10,B464,mdr_rate_cleaned!$B$2:$B$10,"&lt;"&amp;C464,mdr_rate_cleaned!$F$2:$F$10,"&gt;="&amp;C464)</f>
        <v>1</v>
      </c>
      <c r="G464" s="40">
        <f>SUMIFS(mdr_rate_cleaned!$G$2:$G$10,mdr_rate_cleaned!$A$2:$A$10,B464,mdr_rate_cleaned!$B$2:$B$10,"&lt;"&amp;C464,mdr_rate_cleaned!$F$2:$F$10,"&gt;="&amp;C464)</f>
        <v>0</v>
      </c>
      <c r="H464" s="24">
        <f t="shared" si="35"/>
        <v>0</v>
      </c>
      <c r="I464" s="23" t="str">
        <f t="shared" si="36"/>
        <v>Match</v>
      </c>
      <c r="J464" s="23" t="str">
        <f t="shared" si="37"/>
        <v>Match</v>
      </c>
      <c r="K464" s="24">
        <f t="shared" si="38"/>
        <v>0</v>
      </c>
      <c r="L464" s="24">
        <f t="shared" si="39"/>
        <v>0</v>
      </c>
    </row>
    <row r="465" spans="1:12" ht="15" customHeight="1" x14ac:dyDescent="0.3">
      <c r="A465" s="23" t="s">
        <v>12948</v>
      </c>
      <c r="B465" s="23" t="s">
        <v>75</v>
      </c>
      <c r="C465" s="39">
        <v>999</v>
      </c>
      <c r="D465" s="24">
        <v>0</v>
      </c>
      <c r="E465" s="24">
        <v>0</v>
      </c>
      <c r="F465" s="23">
        <f>COUNTIFS(mdr_rate_cleaned!$A$2:$A$10,B465,mdr_rate_cleaned!$B$2:$B$10,"&lt;"&amp;C465,mdr_rate_cleaned!$F$2:$F$10,"&gt;="&amp;C465)</f>
        <v>1</v>
      </c>
      <c r="G465" s="40">
        <f>SUMIFS(mdr_rate_cleaned!$G$2:$G$10,mdr_rate_cleaned!$A$2:$A$10,B465,mdr_rate_cleaned!$B$2:$B$10,"&lt;"&amp;C465,mdr_rate_cleaned!$F$2:$F$10,"&gt;="&amp;C465)</f>
        <v>0</v>
      </c>
      <c r="H465" s="24">
        <f t="shared" si="35"/>
        <v>0</v>
      </c>
      <c r="I465" s="23" t="str">
        <f t="shared" si="36"/>
        <v>Match</v>
      </c>
      <c r="J465" s="23" t="str">
        <f t="shared" si="37"/>
        <v>Match</v>
      </c>
      <c r="K465" s="24">
        <f t="shared" si="38"/>
        <v>0</v>
      </c>
      <c r="L465" s="24">
        <f t="shared" si="39"/>
        <v>0</v>
      </c>
    </row>
    <row r="466" spans="1:12" ht="15" customHeight="1" x14ac:dyDescent="0.3">
      <c r="A466" s="23" t="s">
        <v>12950</v>
      </c>
      <c r="B466" s="23" t="s">
        <v>79</v>
      </c>
      <c r="C466" s="39">
        <v>299</v>
      </c>
      <c r="D466" s="24">
        <v>5.38</v>
      </c>
      <c r="E466" s="24">
        <v>0.97</v>
      </c>
      <c r="F466" s="23">
        <f>COUNTIFS(mdr_rate_cleaned!$A$2:$A$10,B466,mdr_rate_cleaned!$B$2:$B$10,"&lt;"&amp;C466,mdr_rate_cleaned!$F$2:$F$10,"&gt;="&amp;C466)</f>
        <v>1</v>
      </c>
      <c r="G466" s="40">
        <f>SUMIFS(mdr_rate_cleaned!$G$2:$G$10,mdr_rate_cleaned!$A$2:$A$10,B466,mdr_rate_cleaned!$B$2:$B$10,"&lt;"&amp;C466,mdr_rate_cleaned!$F$2:$F$10,"&gt;="&amp;C466)</f>
        <v>1.8000000000000002E-2</v>
      </c>
      <c r="H466" s="24">
        <f t="shared" si="35"/>
        <v>5.38</v>
      </c>
      <c r="I466" s="23" t="str">
        <f t="shared" si="36"/>
        <v>Match</v>
      </c>
      <c r="J466" s="23" t="str">
        <f t="shared" si="37"/>
        <v>Match</v>
      </c>
      <c r="K466" s="24">
        <f t="shared" si="38"/>
        <v>0.97</v>
      </c>
      <c r="L466" s="24">
        <f t="shared" si="39"/>
        <v>0</v>
      </c>
    </row>
    <row r="467" spans="1:12" ht="15" customHeight="1" x14ac:dyDescent="0.3">
      <c r="A467" s="23" t="s">
        <v>12952</v>
      </c>
      <c r="B467" s="23" t="s">
        <v>79</v>
      </c>
      <c r="C467" s="39">
        <v>7999</v>
      </c>
      <c r="D467" s="24">
        <v>127.98</v>
      </c>
      <c r="E467" s="24">
        <v>23.04</v>
      </c>
      <c r="F467" s="23">
        <f>COUNTIFS(mdr_rate_cleaned!$A$2:$A$10,B467,mdr_rate_cleaned!$B$2:$B$10,"&lt;"&amp;C467,mdr_rate_cleaned!$F$2:$F$10,"&gt;="&amp;C467)</f>
        <v>1</v>
      </c>
      <c r="G467" s="40">
        <f>SUMIFS(mdr_rate_cleaned!$G$2:$G$10,mdr_rate_cleaned!$A$2:$A$10,B467,mdr_rate_cleaned!$B$2:$B$10,"&lt;"&amp;C467,mdr_rate_cleaned!$F$2:$F$10,"&gt;="&amp;C467)</f>
        <v>1.6E-2</v>
      </c>
      <c r="H467" s="24">
        <f t="shared" si="35"/>
        <v>127.98</v>
      </c>
      <c r="I467" s="23" t="str">
        <f t="shared" si="36"/>
        <v>Match</v>
      </c>
      <c r="J467" s="23" t="str">
        <f t="shared" si="37"/>
        <v>Match</v>
      </c>
      <c r="K467" s="24">
        <f t="shared" si="38"/>
        <v>23.04</v>
      </c>
      <c r="L467" s="24">
        <f t="shared" si="39"/>
        <v>0</v>
      </c>
    </row>
    <row r="468" spans="1:12" ht="15" customHeight="1" x14ac:dyDescent="0.3">
      <c r="A468" s="23" t="s">
        <v>12953</v>
      </c>
      <c r="B468" s="23" t="s">
        <v>79</v>
      </c>
      <c r="C468" s="39">
        <v>8998</v>
      </c>
      <c r="D468" s="24">
        <v>143.97</v>
      </c>
      <c r="E468" s="24">
        <v>25.91</v>
      </c>
      <c r="F468" s="23">
        <f>COUNTIFS(mdr_rate_cleaned!$A$2:$A$10,B468,mdr_rate_cleaned!$B$2:$B$10,"&lt;"&amp;C468,mdr_rate_cleaned!$F$2:$F$10,"&gt;="&amp;C468)</f>
        <v>1</v>
      </c>
      <c r="G468" s="40">
        <f>SUMIFS(mdr_rate_cleaned!$G$2:$G$10,mdr_rate_cleaned!$A$2:$A$10,B468,mdr_rate_cleaned!$B$2:$B$10,"&lt;"&amp;C468,mdr_rate_cleaned!$F$2:$F$10,"&gt;="&amp;C468)</f>
        <v>1.6E-2</v>
      </c>
      <c r="H468" s="24">
        <f t="shared" si="35"/>
        <v>143.97</v>
      </c>
      <c r="I468" s="23" t="str">
        <f t="shared" si="36"/>
        <v>Match</v>
      </c>
      <c r="J468" s="23" t="str">
        <f t="shared" si="37"/>
        <v>Match</v>
      </c>
      <c r="K468" s="24">
        <f t="shared" si="38"/>
        <v>25.91</v>
      </c>
      <c r="L468" s="24">
        <f t="shared" si="39"/>
        <v>0</v>
      </c>
    </row>
    <row r="469" spans="1:12" ht="15" customHeight="1" x14ac:dyDescent="0.3">
      <c r="A469" s="23" t="s">
        <v>12954</v>
      </c>
      <c r="B469" s="23" t="s">
        <v>75</v>
      </c>
      <c r="C469" s="39">
        <v>4597</v>
      </c>
      <c r="D469" s="24">
        <v>13.79</v>
      </c>
      <c r="E469" s="24">
        <v>2.48</v>
      </c>
      <c r="F469" s="23">
        <f>COUNTIFS(mdr_rate_cleaned!$A$2:$A$10,B469,mdr_rate_cleaned!$B$2:$B$10,"&lt;"&amp;C469,mdr_rate_cleaned!$F$2:$F$10,"&gt;="&amp;C469)</f>
        <v>1</v>
      </c>
      <c r="G469" s="40">
        <f>SUMIFS(mdr_rate_cleaned!$G$2:$G$10,mdr_rate_cleaned!$A$2:$A$10,B469,mdr_rate_cleaned!$B$2:$B$10,"&lt;"&amp;C469,mdr_rate_cleaned!$F$2:$F$10,"&gt;="&amp;C469)</f>
        <v>3.0000000000000001E-3</v>
      </c>
      <c r="H469" s="24">
        <f t="shared" si="35"/>
        <v>13.79</v>
      </c>
      <c r="I469" s="23" t="str">
        <f t="shared" si="36"/>
        <v>Match</v>
      </c>
      <c r="J469" s="23" t="str">
        <f t="shared" si="37"/>
        <v>Match</v>
      </c>
      <c r="K469" s="24">
        <f t="shared" si="38"/>
        <v>2.48</v>
      </c>
      <c r="L469" s="24">
        <f t="shared" si="39"/>
        <v>0</v>
      </c>
    </row>
    <row r="470" spans="1:12" ht="15" customHeight="1" x14ac:dyDescent="0.3">
      <c r="A470" s="23" t="s">
        <v>12955</v>
      </c>
      <c r="B470" s="23" t="s">
        <v>81</v>
      </c>
      <c r="C470" s="39">
        <v>3598</v>
      </c>
      <c r="D470" s="24">
        <v>43.18</v>
      </c>
      <c r="E470" s="24">
        <v>7.77</v>
      </c>
      <c r="F470" s="23">
        <f>COUNTIFS(mdr_rate_cleaned!$A$2:$A$10,B470,mdr_rate_cleaned!$B$2:$B$10,"&lt;"&amp;C470,mdr_rate_cleaned!$F$2:$F$10,"&gt;="&amp;C470)</f>
        <v>1</v>
      </c>
      <c r="G470" s="40">
        <f>SUMIFS(mdr_rate_cleaned!$G$2:$G$10,mdr_rate_cleaned!$A$2:$A$10,B470,mdr_rate_cleaned!$B$2:$B$10,"&lt;"&amp;C470,mdr_rate_cleaned!$F$2:$F$10,"&gt;="&amp;C470)</f>
        <v>1.2E-2</v>
      </c>
      <c r="H470" s="24">
        <f t="shared" si="35"/>
        <v>43.18</v>
      </c>
      <c r="I470" s="23" t="str">
        <f t="shared" si="36"/>
        <v>Match</v>
      </c>
      <c r="J470" s="23" t="str">
        <f t="shared" si="37"/>
        <v>Match</v>
      </c>
      <c r="K470" s="24">
        <f t="shared" si="38"/>
        <v>7.77</v>
      </c>
      <c r="L470" s="24">
        <f t="shared" si="39"/>
        <v>0</v>
      </c>
    </row>
    <row r="471" spans="1:12" ht="15" customHeight="1" x14ac:dyDescent="0.3">
      <c r="A471" s="23" t="s">
        <v>12956</v>
      </c>
      <c r="B471" s="23" t="s">
        <v>75</v>
      </c>
      <c r="C471" s="39">
        <v>2499</v>
      </c>
      <c r="D471" s="24">
        <v>7.5</v>
      </c>
      <c r="E471" s="24">
        <v>1.35</v>
      </c>
      <c r="F471" s="23">
        <f>COUNTIFS(mdr_rate_cleaned!$A$2:$A$10,B471,mdr_rate_cleaned!$B$2:$B$10,"&lt;"&amp;C471,mdr_rate_cleaned!$F$2:$F$10,"&gt;="&amp;C471)</f>
        <v>1</v>
      </c>
      <c r="G471" s="40">
        <f>SUMIFS(mdr_rate_cleaned!$G$2:$G$10,mdr_rate_cleaned!$A$2:$A$10,B471,mdr_rate_cleaned!$B$2:$B$10,"&lt;"&amp;C471,mdr_rate_cleaned!$F$2:$F$10,"&gt;="&amp;C471)</f>
        <v>3.0000000000000001E-3</v>
      </c>
      <c r="H471" s="24">
        <f t="shared" si="35"/>
        <v>7.5</v>
      </c>
      <c r="I471" s="23" t="str">
        <f t="shared" si="36"/>
        <v>Match</v>
      </c>
      <c r="J471" s="23" t="str">
        <f t="shared" si="37"/>
        <v>Match</v>
      </c>
      <c r="K471" s="24">
        <f t="shared" si="38"/>
        <v>1.35</v>
      </c>
      <c r="L471" s="24">
        <f t="shared" si="39"/>
        <v>0</v>
      </c>
    </row>
    <row r="472" spans="1:12" ht="15" customHeight="1" x14ac:dyDescent="0.3">
      <c r="A472" s="23" t="s">
        <v>12958</v>
      </c>
      <c r="B472" s="23" t="s">
        <v>75</v>
      </c>
      <c r="C472" s="39">
        <v>4999</v>
      </c>
      <c r="D472" s="24">
        <v>15</v>
      </c>
      <c r="E472" s="24">
        <v>2.7</v>
      </c>
      <c r="F472" s="23">
        <f>COUNTIFS(mdr_rate_cleaned!$A$2:$A$10,B472,mdr_rate_cleaned!$B$2:$B$10,"&lt;"&amp;C472,mdr_rate_cleaned!$F$2:$F$10,"&gt;="&amp;C472)</f>
        <v>1</v>
      </c>
      <c r="G472" s="40">
        <f>SUMIFS(mdr_rate_cleaned!$G$2:$G$10,mdr_rate_cleaned!$A$2:$A$10,B472,mdr_rate_cleaned!$B$2:$B$10,"&lt;"&amp;C472,mdr_rate_cleaned!$F$2:$F$10,"&gt;="&amp;C472)</f>
        <v>3.0000000000000001E-3</v>
      </c>
      <c r="H472" s="24">
        <f t="shared" si="35"/>
        <v>15</v>
      </c>
      <c r="I472" s="23" t="str">
        <f t="shared" si="36"/>
        <v>Match</v>
      </c>
      <c r="J472" s="23" t="str">
        <f t="shared" si="37"/>
        <v>Match</v>
      </c>
      <c r="K472" s="24">
        <f t="shared" si="38"/>
        <v>2.7</v>
      </c>
      <c r="L472" s="24">
        <f t="shared" si="39"/>
        <v>0</v>
      </c>
    </row>
    <row r="473" spans="1:12" ht="15" customHeight="1" x14ac:dyDescent="0.3">
      <c r="A473" s="23" t="s">
        <v>12959</v>
      </c>
      <c r="B473" s="23" t="s">
        <v>79</v>
      </c>
      <c r="C473" s="39">
        <v>999</v>
      </c>
      <c r="D473" s="24">
        <v>17.98</v>
      </c>
      <c r="E473" s="24">
        <v>3.24</v>
      </c>
      <c r="F473" s="23">
        <f>COUNTIFS(mdr_rate_cleaned!$A$2:$A$10,B473,mdr_rate_cleaned!$B$2:$B$10,"&lt;"&amp;C473,mdr_rate_cleaned!$F$2:$F$10,"&gt;="&amp;C473)</f>
        <v>1</v>
      </c>
      <c r="G473" s="40">
        <f>SUMIFS(mdr_rate_cleaned!$G$2:$G$10,mdr_rate_cleaned!$A$2:$A$10,B473,mdr_rate_cleaned!$B$2:$B$10,"&lt;"&amp;C473,mdr_rate_cleaned!$F$2:$F$10,"&gt;="&amp;C473)</f>
        <v>1.8000000000000002E-2</v>
      </c>
      <c r="H473" s="24">
        <f t="shared" si="35"/>
        <v>17.98</v>
      </c>
      <c r="I473" s="23" t="str">
        <f t="shared" si="36"/>
        <v>Match</v>
      </c>
      <c r="J473" s="23" t="str">
        <f t="shared" si="37"/>
        <v>Match</v>
      </c>
      <c r="K473" s="24">
        <f t="shared" si="38"/>
        <v>3.24</v>
      </c>
      <c r="L473" s="24">
        <f t="shared" si="39"/>
        <v>0</v>
      </c>
    </row>
    <row r="474" spans="1:12" ht="15" customHeight="1" x14ac:dyDescent="0.3">
      <c r="A474" s="23" t="s">
        <v>12961</v>
      </c>
      <c r="B474" s="23" t="s">
        <v>79</v>
      </c>
      <c r="C474" s="39">
        <v>2798</v>
      </c>
      <c r="D474" s="24">
        <v>44.77</v>
      </c>
      <c r="E474" s="24">
        <v>8.06</v>
      </c>
      <c r="F474" s="23">
        <f>COUNTIFS(mdr_rate_cleaned!$A$2:$A$10,B474,mdr_rate_cleaned!$B$2:$B$10,"&lt;"&amp;C474,mdr_rate_cleaned!$F$2:$F$10,"&gt;="&amp;C474)</f>
        <v>1</v>
      </c>
      <c r="G474" s="40">
        <f>SUMIFS(mdr_rate_cleaned!$G$2:$G$10,mdr_rate_cleaned!$A$2:$A$10,B474,mdr_rate_cleaned!$B$2:$B$10,"&lt;"&amp;C474,mdr_rate_cleaned!$F$2:$F$10,"&gt;="&amp;C474)</f>
        <v>1.6E-2</v>
      </c>
      <c r="H474" s="24">
        <f t="shared" si="35"/>
        <v>44.77</v>
      </c>
      <c r="I474" s="23" t="str">
        <f t="shared" si="36"/>
        <v>Match</v>
      </c>
      <c r="J474" s="23" t="str">
        <f t="shared" si="37"/>
        <v>Match</v>
      </c>
      <c r="K474" s="24">
        <f t="shared" si="38"/>
        <v>8.06</v>
      </c>
      <c r="L474" s="24">
        <f t="shared" si="39"/>
        <v>0</v>
      </c>
    </row>
    <row r="475" spans="1:12" ht="15" customHeight="1" x14ac:dyDescent="0.3">
      <c r="A475" s="23" t="s">
        <v>12963</v>
      </c>
      <c r="B475" s="23" t="s">
        <v>75</v>
      </c>
      <c r="C475" s="39">
        <v>3499</v>
      </c>
      <c r="D475" s="24">
        <v>10.5</v>
      </c>
      <c r="E475" s="24">
        <v>1.89</v>
      </c>
      <c r="F475" s="23">
        <f>COUNTIFS(mdr_rate_cleaned!$A$2:$A$10,B475,mdr_rate_cleaned!$B$2:$B$10,"&lt;"&amp;C475,mdr_rate_cleaned!$F$2:$F$10,"&gt;="&amp;C475)</f>
        <v>1</v>
      </c>
      <c r="G475" s="40">
        <f>SUMIFS(mdr_rate_cleaned!$G$2:$G$10,mdr_rate_cleaned!$A$2:$A$10,B475,mdr_rate_cleaned!$B$2:$B$10,"&lt;"&amp;C475,mdr_rate_cleaned!$F$2:$F$10,"&gt;="&amp;C475)</f>
        <v>3.0000000000000001E-3</v>
      </c>
      <c r="H475" s="24">
        <f t="shared" si="35"/>
        <v>10.5</v>
      </c>
      <c r="I475" s="23" t="str">
        <f t="shared" si="36"/>
        <v>Match</v>
      </c>
      <c r="J475" s="23" t="str">
        <f t="shared" si="37"/>
        <v>Match</v>
      </c>
      <c r="K475" s="24">
        <f t="shared" si="38"/>
        <v>1.89</v>
      </c>
      <c r="L475" s="24">
        <f t="shared" si="39"/>
        <v>0</v>
      </c>
    </row>
    <row r="476" spans="1:12" ht="15" customHeight="1" x14ac:dyDescent="0.3">
      <c r="A476" s="23" t="s">
        <v>12964</v>
      </c>
      <c r="B476" s="23" t="s">
        <v>75</v>
      </c>
      <c r="C476" s="39">
        <v>1498</v>
      </c>
      <c r="D476" s="24">
        <v>0</v>
      </c>
      <c r="E476" s="24">
        <v>0</v>
      </c>
      <c r="F476" s="23">
        <f>COUNTIFS(mdr_rate_cleaned!$A$2:$A$10,B476,mdr_rate_cleaned!$B$2:$B$10,"&lt;"&amp;C476,mdr_rate_cleaned!$F$2:$F$10,"&gt;="&amp;C476)</f>
        <v>1</v>
      </c>
      <c r="G476" s="40">
        <f>SUMIFS(mdr_rate_cleaned!$G$2:$G$10,mdr_rate_cleaned!$A$2:$A$10,B476,mdr_rate_cleaned!$B$2:$B$10,"&lt;"&amp;C476,mdr_rate_cleaned!$F$2:$F$10,"&gt;="&amp;C476)</f>
        <v>0</v>
      </c>
      <c r="H476" s="24">
        <f t="shared" si="35"/>
        <v>0</v>
      </c>
      <c r="I476" s="23" t="str">
        <f t="shared" si="36"/>
        <v>Match</v>
      </c>
      <c r="J476" s="23" t="str">
        <f t="shared" si="37"/>
        <v>Match</v>
      </c>
      <c r="K476" s="24">
        <f t="shared" si="38"/>
        <v>0</v>
      </c>
      <c r="L476" s="24">
        <f t="shared" si="39"/>
        <v>0</v>
      </c>
    </row>
    <row r="477" spans="1:12" ht="15" customHeight="1" x14ac:dyDescent="0.3">
      <c r="A477" s="23" t="s">
        <v>12965</v>
      </c>
      <c r="B477" s="23" t="s">
        <v>77</v>
      </c>
      <c r="C477" s="39">
        <v>4147</v>
      </c>
      <c r="D477" s="24">
        <v>70.5</v>
      </c>
      <c r="E477" s="24">
        <v>12.69</v>
      </c>
      <c r="F477" s="23">
        <f>COUNTIFS(mdr_rate_cleaned!$A$2:$A$10,B477,mdr_rate_cleaned!$B$2:$B$10,"&lt;"&amp;C477,mdr_rate_cleaned!$F$2:$F$10,"&gt;="&amp;C477)</f>
        <v>1</v>
      </c>
      <c r="G477" s="40">
        <f>SUMIFS(mdr_rate_cleaned!$G$2:$G$10,mdr_rate_cleaned!$A$2:$A$10,B477,mdr_rate_cleaned!$B$2:$B$10,"&lt;"&amp;C477,mdr_rate_cleaned!$F$2:$F$10,"&gt;="&amp;C477)</f>
        <v>1.7000000000000001E-2</v>
      </c>
      <c r="H477" s="24">
        <f t="shared" si="35"/>
        <v>70.5</v>
      </c>
      <c r="I477" s="23" t="str">
        <f t="shared" si="36"/>
        <v>Match</v>
      </c>
      <c r="J477" s="23" t="str">
        <f t="shared" si="37"/>
        <v>Match</v>
      </c>
      <c r="K477" s="24">
        <f t="shared" si="38"/>
        <v>12.69</v>
      </c>
      <c r="L477" s="24">
        <f t="shared" si="39"/>
        <v>0</v>
      </c>
    </row>
    <row r="478" spans="1:12" ht="15" customHeight="1" x14ac:dyDescent="0.3">
      <c r="A478" s="23" t="s">
        <v>12966</v>
      </c>
      <c r="B478" s="23" t="s">
        <v>79</v>
      </c>
      <c r="C478" s="39">
        <v>1998</v>
      </c>
      <c r="D478" s="24">
        <v>35.96</v>
      </c>
      <c r="E478" s="24">
        <v>6.47</v>
      </c>
      <c r="F478" s="23">
        <f>COUNTIFS(mdr_rate_cleaned!$A$2:$A$10,B478,mdr_rate_cleaned!$B$2:$B$10,"&lt;"&amp;C478,mdr_rate_cleaned!$F$2:$F$10,"&gt;="&amp;C478)</f>
        <v>1</v>
      </c>
      <c r="G478" s="40">
        <f>SUMIFS(mdr_rate_cleaned!$G$2:$G$10,mdr_rate_cleaned!$A$2:$A$10,B478,mdr_rate_cleaned!$B$2:$B$10,"&lt;"&amp;C478,mdr_rate_cleaned!$F$2:$F$10,"&gt;="&amp;C478)</f>
        <v>1.8000000000000002E-2</v>
      </c>
      <c r="H478" s="24">
        <f t="shared" si="35"/>
        <v>35.96</v>
      </c>
      <c r="I478" s="23" t="str">
        <f t="shared" si="36"/>
        <v>Match</v>
      </c>
      <c r="J478" s="23" t="str">
        <f t="shared" si="37"/>
        <v>Match</v>
      </c>
      <c r="K478" s="24">
        <f t="shared" si="38"/>
        <v>6.47</v>
      </c>
      <c r="L478" s="24">
        <f t="shared" si="39"/>
        <v>0</v>
      </c>
    </row>
    <row r="479" spans="1:12" ht="15" customHeight="1" x14ac:dyDescent="0.3">
      <c r="A479" s="23" t="s">
        <v>12967</v>
      </c>
      <c r="B479" s="23" t="s">
        <v>75</v>
      </c>
      <c r="C479" s="39">
        <v>6847</v>
      </c>
      <c r="D479" s="24">
        <v>20.54</v>
      </c>
      <c r="E479" s="24">
        <v>3.7</v>
      </c>
      <c r="F479" s="23">
        <f>COUNTIFS(mdr_rate_cleaned!$A$2:$A$10,B479,mdr_rate_cleaned!$B$2:$B$10,"&lt;"&amp;C479,mdr_rate_cleaned!$F$2:$F$10,"&gt;="&amp;C479)</f>
        <v>1</v>
      </c>
      <c r="G479" s="40">
        <f>SUMIFS(mdr_rate_cleaned!$G$2:$G$10,mdr_rate_cleaned!$A$2:$A$10,B479,mdr_rate_cleaned!$B$2:$B$10,"&lt;"&amp;C479,mdr_rate_cleaned!$F$2:$F$10,"&gt;="&amp;C479)</f>
        <v>3.0000000000000001E-3</v>
      </c>
      <c r="H479" s="24">
        <f t="shared" si="35"/>
        <v>20.54</v>
      </c>
      <c r="I479" s="23" t="str">
        <f t="shared" si="36"/>
        <v>Match</v>
      </c>
      <c r="J479" s="23" t="str">
        <f t="shared" si="37"/>
        <v>Match</v>
      </c>
      <c r="K479" s="24">
        <f t="shared" si="38"/>
        <v>3.7</v>
      </c>
      <c r="L479" s="24">
        <f t="shared" si="39"/>
        <v>0</v>
      </c>
    </row>
    <row r="480" spans="1:12" ht="15" customHeight="1" x14ac:dyDescent="0.3">
      <c r="A480" s="23" t="s">
        <v>12968</v>
      </c>
      <c r="B480" s="23" t="s">
        <v>81</v>
      </c>
      <c r="C480" s="39">
        <v>1299</v>
      </c>
      <c r="D480" s="24">
        <v>19.489999999999998</v>
      </c>
      <c r="E480" s="24">
        <v>3.51</v>
      </c>
      <c r="F480" s="23">
        <f>COUNTIFS(mdr_rate_cleaned!$A$2:$A$10,B480,mdr_rate_cleaned!$B$2:$B$10,"&lt;"&amp;C480,mdr_rate_cleaned!$F$2:$F$10,"&gt;="&amp;C480)</f>
        <v>1</v>
      </c>
      <c r="G480" s="40">
        <f>SUMIFS(mdr_rate_cleaned!$G$2:$G$10,mdr_rate_cleaned!$A$2:$A$10,B480,mdr_rate_cleaned!$B$2:$B$10,"&lt;"&amp;C480,mdr_rate_cleaned!$F$2:$F$10,"&gt;="&amp;C480)</f>
        <v>1.4999999999999999E-2</v>
      </c>
      <c r="H480" s="24">
        <f t="shared" si="35"/>
        <v>19.489999999999998</v>
      </c>
      <c r="I480" s="23" t="str">
        <f t="shared" si="36"/>
        <v>Match</v>
      </c>
      <c r="J480" s="23" t="str">
        <f t="shared" si="37"/>
        <v>Match</v>
      </c>
      <c r="K480" s="24">
        <f t="shared" si="38"/>
        <v>3.51</v>
      </c>
      <c r="L480" s="24">
        <f t="shared" si="39"/>
        <v>0</v>
      </c>
    </row>
    <row r="481" spans="1:12" ht="15" customHeight="1" x14ac:dyDescent="0.3">
      <c r="A481" s="23" t="s">
        <v>12969</v>
      </c>
      <c r="B481" s="23" t="s">
        <v>79</v>
      </c>
      <c r="C481" s="39">
        <v>599</v>
      </c>
      <c r="D481" s="24">
        <v>10.78</v>
      </c>
      <c r="E481" s="24">
        <v>1.94</v>
      </c>
      <c r="F481" s="23">
        <f>COUNTIFS(mdr_rate_cleaned!$A$2:$A$10,B481,mdr_rate_cleaned!$B$2:$B$10,"&lt;"&amp;C481,mdr_rate_cleaned!$F$2:$F$10,"&gt;="&amp;C481)</f>
        <v>1</v>
      </c>
      <c r="G481" s="40">
        <f>SUMIFS(mdr_rate_cleaned!$G$2:$G$10,mdr_rate_cleaned!$A$2:$A$10,B481,mdr_rate_cleaned!$B$2:$B$10,"&lt;"&amp;C481,mdr_rate_cleaned!$F$2:$F$10,"&gt;="&amp;C481)</f>
        <v>1.8000000000000002E-2</v>
      </c>
      <c r="H481" s="24">
        <f t="shared" si="35"/>
        <v>10.78</v>
      </c>
      <c r="I481" s="23" t="str">
        <f t="shared" si="36"/>
        <v>Match</v>
      </c>
      <c r="J481" s="23" t="str">
        <f t="shared" si="37"/>
        <v>Match</v>
      </c>
      <c r="K481" s="24">
        <f t="shared" si="38"/>
        <v>1.94</v>
      </c>
      <c r="L481" s="24">
        <f t="shared" si="39"/>
        <v>0</v>
      </c>
    </row>
    <row r="482" spans="1:12" ht="15" customHeight="1" x14ac:dyDescent="0.3">
      <c r="A482" s="23" t="s">
        <v>12970</v>
      </c>
      <c r="B482" s="23" t="s">
        <v>75</v>
      </c>
      <c r="C482" s="39">
        <v>2499</v>
      </c>
      <c r="D482" s="24">
        <v>7.5</v>
      </c>
      <c r="E482" s="24">
        <v>1.35</v>
      </c>
      <c r="F482" s="23">
        <f>COUNTIFS(mdr_rate_cleaned!$A$2:$A$10,B482,mdr_rate_cleaned!$B$2:$B$10,"&lt;"&amp;C482,mdr_rate_cleaned!$F$2:$F$10,"&gt;="&amp;C482)</f>
        <v>1</v>
      </c>
      <c r="G482" s="40">
        <f>SUMIFS(mdr_rate_cleaned!$G$2:$G$10,mdr_rate_cleaned!$A$2:$A$10,B482,mdr_rate_cleaned!$B$2:$B$10,"&lt;"&amp;C482,mdr_rate_cleaned!$F$2:$F$10,"&gt;="&amp;C482)</f>
        <v>3.0000000000000001E-3</v>
      </c>
      <c r="H482" s="24">
        <f t="shared" si="35"/>
        <v>7.5</v>
      </c>
      <c r="I482" s="23" t="str">
        <f t="shared" si="36"/>
        <v>Match</v>
      </c>
      <c r="J482" s="23" t="str">
        <f t="shared" si="37"/>
        <v>Match</v>
      </c>
      <c r="K482" s="24">
        <f t="shared" si="38"/>
        <v>1.35</v>
      </c>
      <c r="L482" s="24">
        <f t="shared" si="39"/>
        <v>0</v>
      </c>
    </row>
    <row r="483" spans="1:12" ht="15" customHeight="1" x14ac:dyDescent="0.3">
      <c r="A483" s="23" t="s">
        <v>12971</v>
      </c>
      <c r="B483" s="23" t="s">
        <v>75</v>
      </c>
      <c r="C483" s="39">
        <v>2998</v>
      </c>
      <c r="D483" s="24">
        <v>8.99</v>
      </c>
      <c r="E483" s="24">
        <v>1.62</v>
      </c>
      <c r="F483" s="23">
        <f>COUNTIFS(mdr_rate_cleaned!$A$2:$A$10,B483,mdr_rate_cleaned!$B$2:$B$10,"&lt;"&amp;C483,mdr_rate_cleaned!$F$2:$F$10,"&gt;="&amp;C483)</f>
        <v>1</v>
      </c>
      <c r="G483" s="40">
        <f>SUMIFS(mdr_rate_cleaned!$G$2:$G$10,mdr_rate_cleaned!$A$2:$A$10,B483,mdr_rate_cleaned!$B$2:$B$10,"&lt;"&amp;C483,mdr_rate_cleaned!$F$2:$F$10,"&gt;="&amp;C483)</f>
        <v>3.0000000000000001E-3</v>
      </c>
      <c r="H483" s="24">
        <f t="shared" si="35"/>
        <v>8.99</v>
      </c>
      <c r="I483" s="23" t="str">
        <f t="shared" si="36"/>
        <v>Match</v>
      </c>
      <c r="J483" s="23" t="str">
        <f t="shared" si="37"/>
        <v>Match</v>
      </c>
      <c r="K483" s="24">
        <f t="shared" si="38"/>
        <v>1.62</v>
      </c>
      <c r="L483" s="24">
        <f t="shared" si="39"/>
        <v>0</v>
      </c>
    </row>
    <row r="484" spans="1:12" ht="15" customHeight="1" x14ac:dyDescent="0.3">
      <c r="A484" s="23" t="s">
        <v>12972</v>
      </c>
      <c r="B484" s="23" t="s">
        <v>77</v>
      </c>
      <c r="C484" s="39">
        <v>8348</v>
      </c>
      <c r="D484" s="24">
        <v>141.91999999999999</v>
      </c>
      <c r="E484" s="24">
        <v>25.55</v>
      </c>
      <c r="F484" s="23">
        <f>COUNTIFS(mdr_rate_cleaned!$A$2:$A$10,B484,mdr_rate_cleaned!$B$2:$B$10,"&lt;"&amp;C484,mdr_rate_cleaned!$F$2:$F$10,"&gt;="&amp;C484)</f>
        <v>1</v>
      </c>
      <c r="G484" s="40">
        <f>SUMIFS(mdr_rate_cleaned!$G$2:$G$10,mdr_rate_cleaned!$A$2:$A$10,B484,mdr_rate_cleaned!$B$2:$B$10,"&lt;"&amp;C484,mdr_rate_cleaned!$F$2:$F$10,"&gt;="&amp;C484)</f>
        <v>1.7000000000000001E-2</v>
      </c>
      <c r="H484" s="24">
        <f t="shared" si="35"/>
        <v>141.91999999999999</v>
      </c>
      <c r="I484" s="23" t="str">
        <f t="shared" si="36"/>
        <v>Match</v>
      </c>
      <c r="J484" s="23" t="str">
        <f t="shared" si="37"/>
        <v>Match</v>
      </c>
      <c r="K484" s="24">
        <f t="shared" si="38"/>
        <v>25.55</v>
      </c>
      <c r="L484" s="24">
        <f t="shared" si="39"/>
        <v>0</v>
      </c>
    </row>
    <row r="485" spans="1:12" ht="15" customHeight="1" x14ac:dyDescent="0.3">
      <c r="A485" s="23" t="s">
        <v>12973</v>
      </c>
      <c r="B485" s="23" t="s">
        <v>75</v>
      </c>
      <c r="C485" s="39">
        <v>299</v>
      </c>
      <c r="D485" s="24">
        <v>0</v>
      </c>
      <c r="E485" s="24">
        <v>0</v>
      </c>
      <c r="F485" s="23">
        <f>COUNTIFS(mdr_rate_cleaned!$A$2:$A$10,B485,mdr_rate_cleaned!$B$2:$B$10,"&lt;"&amp;C485,mdr_rate_cleaned!$F$2:$F$10,"&gt;="&amp;C485)</f>
        <v>1</v>
      </c>
      <c r="G485" s="40">
        <f>SUMIFS(mdr_rate_cleaned!$G$2:$G$10,mdr_rate_cleaned!$A$2:$A$10,B485,mdr_rate_cleaned!$B$2:$B$10,"&lt;"&amp;C485,mdr_rate_cleaned!$F$2:$F$10,"&gt;="&amp;C485)</f>
        <v>0</v>
      </c>
      <c r="H485" s="24">
        <f t="shared" si="35"/>
        <v>0</v>
      </c>
      <c r="I485" s="23" t="str">
        <f t="shared" si="36"/>
        <v>Match</v>
      </c>
      <c r="J485" s="23" t="str">
        <f t="shared" si="37"/>
        <v>Match</v>
      </c>
      <c r="K485" s="24">
        <f t="shared" si="38"/>
        <v>0</v>
      </c>
      <c r="L485" s="24">
        <f t="shared" si="39"/>
        <v>0</v>
      </c>
    </row>
    <row r="486" spans="1:12" ht="15" customHeight="1" x14ac:dyDescent="0.3">
      <c r="A486" s="23" t="s">
        <v>12974</v>
      </c>
      <c r="B486" s="23" t="s">
        <v>75</v>
      </c>
      <c r="C486" s="39">
        <v>2598</v>
      </c>
      <c r="D486" s="24">
        <v>7.79</v>
      </c>
      <c r="E486" s="24">
        <v>1.4</v>
      </c>
      <c r="F486" s="23">
        <f>COUNTIFS(mdr_rate_cleaned!$A$2:$A$10,B486,mdr_rate_cleaned!$B$2:$B$10,"&lt;"&amp;C486,mdr_rate_cleaned!$F$2:$F$10,"&gt;="&amp;C486)</f>
        <v>1</v>
      </c>
      <c r="G486" s="40">
        <f>SUMIFS(mdr_rate_cleaned!$G$2:$G$10,mdr_rate_cleaned!$A$2:$A$10,B486,mdr_rate_cleaned!$B$2:$B$10,"&lt;"&amp;C486,mdr_rate_cleaned!$F$2:$F$10,"&gt;="&amp;C486)</f>
        <v>3.0000000000000001E-3</v>
      </c>
      <c r="H486" s="24">
        <f t="shared" si="35"/>
        <v>7.79</v>
      </c>
      <c r="I486" s="23" t="str">
        <f t="shared" si="36"/>
        <v>Match</v>
      </c>
      <c r="J486" s="23" t="str">
        <f t="shared" si="37"/>
        <v>Match</v>
      </c>
      <c r="K486" s="24">
        <f t="shared" si="38"/>
        <v>1.4</v>
      </c>
      <c r="L486" s="24">
        <f t="shared" si="39"/>
        <v>0</v>
      </c>
    </row>
    <row r="487" spans="1:12" ht="15" customHeight="1" x14ac:dyDescent="0.3">
      <c r="A487" s="23" t="s">
        <v>12976</v>
      </c>
      <c r="B487" s="23" t="s">
        <v>75</v>
      </c>
      <c r="C487" s="39">
        <v>799</v>
      </c>
      <c r="D487" s="24">
        <v>0</v>
      </c>
      <c r="E487" s="24">
        <v>0</v>
      </c>
      <c r="F487" s="23">
        <f>COUNTIFS(mdr_rate_cleaned!$A$2:$A$10,B487,mdr_rate_cleaned!$B$2:$B$10,"&lt;"&amp;C487,mdr_rate_cleaned!$F$2:$F$10,"&gt;="&amp;C487)</f>
        <v>1</v>
      </c>
      <c r="G487" s="40">
        <f>SUMIFS(mdr_rate_cleaned!$G$2:$G$10,mdr_rate_cleaned!$A$2:$A$10,B487,mdr_rate_cleaned!$B$2:$B$10,"&lt;"&amp;C487,mdr_rate_cleaned!$F$2:$F$10,"&gt;="&amp;C487)</f>
        <v>0</v>
      </c>
      <c r="H487" s="24">
        <f t="shared" si="35"/>
        <v>0</v>
      </c>
      <c r="I487" s="23" t="str">
        <f t="shared" si="36"/>
        <v>Match</v>
      </c>
      <c r="J487" s="23" t="str">
        <f t="shared" si="37"/>
        <v>Match</v>
      </c>
      <c r="K487" s="24">
        <f t="shared" si="38"/>
        <v>0</v>
      </c>
      <c r="L487" s="24">
        <f t="shared" si="39"/>
        <v>0</v>
      </c>
    </row>
    <row r="488" spans="1:12" ht="15" customHeight="1" x14ac:dyDescent="0.3">
      <c r="A488" s="23" t="s">
        <v>12977</v>
      </c>
      <c r="B488" s="23" t="s">
        <v>75</v>
      </c>
      <c r="C488" s="39">
        <v>349</v>
      </c>
      <c r="D488" s="24">
        <v>0</v>
      </c>
      <c r="E488" s="24">
        <v>0</v>
      </c>
      <c r="F488" s="23">
        <f>COUNTIFS(mdr_rate_cleaned!$A$2:$A$10,B488,mdr_rate_cleaned!$B$2:$B$10,"&lt;"&amp;C488,mdr_rate_cleaned!$F$2:$F$10,"&gt;="&amp;C488)</f>
        <v>1</v>
      </c>
      <c r="G488" s="40">
        <f>SUMIFS(mdr_rate_cleaned!$G$2:$G$10,mdr_rate_cleaned!$A$2:$A$10,B488,mdr_rate_cleaned!$B$2:$B$10,"&lt;"&amp;C488,mdr_rate_cleaned!$F$2:$F$10,"&gt;="&amp;C488)</f>
        <v>0</v>
      </c>
      <c r="H488" s="24">
        <f t="shared" si="35"/>
        <v>0</v>
      </c>
      <c r="I488" s="23" t="str">
        <f t="shared" si="36"/>
        <v>Match</v>
      </c>
      <c r="J488" s="23" t="str">
        <f t="shared" si="37"/>
        <v>Match</v>
      </c>
      <c r="K488" s="24">
        <f t="shared" si="38"/>
        <v>0</v>
      </c>
      <c r="L488" s="24">
        <f t="shared" si="39"/>
        <v>0</v>
      </c>
    </row>
    <row r="489" spans="1:12" ht="15" customHeight="1" x14ac:dyDescent="0.3">
      <c r="A489" s="23" t="s">
        <v>12978</v>
      </c>
      <c r="B489" s="23" t="s">
        <v>75</v>
      </c>
      <c r="C489" s="39">
        <v>349</v>
      </c>
      <c r="D489" s="24">
        <v>0</v>
      </c>
      <c r="E489" s="24">
        <v>0</v>
      </c>
      <c r="F489" s="23">
        <f>COUNTIFS(mdr_rate_cleaned!$A$2:$A$10,B489,mdr_rate_cleaned!$B$2:$B$10,"&lt;"&amp;C489,mdr_rate_cleaned!$F$2:$F$10,"&gt;="&amp;C489)</f>
        <v>1</v>
      </c>
      <c r="G489" s="40">
        <f>SUMIFS(mdr_rate_cleaned!$G$2:$G$10,mdr_rate_cleaned!$A$2:$A$10,B489,mdr_rate_cleaned!$B$2:$B$10,"&lt;"&amp;C489,mdr_rate_cleaned!$F$2:$F$10,"&gt;="&amp;C489)</f>
        <v>0</v>
      </c>
      <c r="H489" s="24">
        <f t="shared" si="35"/>
        <v>0</v>
      </c>
      <c r="I489" s="23" t="str">
        <f t="shared" si="36"/>
        <v>Match</v>
      </c>
      <c r="J489" s="23" t="str">
        <f t="shared" si="37"/>
        <v>Match</v>
      </c>
      <c r="K489" s="24">
        <f t="shared" si="38"/>
        <v>0</v>
      </c>
      <c r="L489" s="24">
        <f t="shared" si="39"/>
        <v>0</v>
      </c>
    </row>
    <row r="490" spans="1:12" ht="15" customHeight="1" x14ac:dyDescent="0.3">
      <c r="A490" s="23" t="s">
        <v>12980</v>
      </c>
      <c r="B490" s="23" t="s">
        <v>81</v>
      </c>
      <c r="C490" s="39">
        <v>3298</v>
      </c>
      <c r="D490" s="24">
        <v>39.58</v>
      </c>
      <c r="E490" s="24">
        <v>7.12</v>
      </c>
      <c r="F490" s="23">
        <f>COUNTIFS(mdr_rate_cleaned!$A$2:$A$10,B490,mdr_rate_cleaned!$B$2:$B$10,"&lt;"&amp;C490,mdr_rate_cleaned!$F$2:$F$10,"&gt;="&amp;C490)</f>
        <v>1</v>
      </c>
      <c r="G490" s="40">
        <f>SUMIFS(mdr_rate_cleaned!$G$2:$G$10,mdr_rate_cleaned!$A$2:$A$10,B490,mdr_rate_cleaned!$B$2:$B$10,"&lt;"&amp;C490,mdr_rate_cleaned!$F$2:$F$10,"&gt;="&amp;C490)</f>
        <v>1.2E-2</v>
      </c>
      <c r="H490" s="24">
        <f t="shared" si="35"/>
        <v>39.58</v>
      </c>
      <c r="I490" s="23" t="str">
        <f t="shared" si="36"/>
        <v>Match</v>
      </c>
      <c r="J490" s="23" t="str">
        <f t="shared" si="37"/>
        <v>Match</v>
      </c>
      <c r="K490" s="24">
        <f t="shared" si="38"/>
        <v>7.12</v>
      </c>
      <c r="L490" s="24">
        <f t="shared" si="39"/>
        <v>0</v>
      </c>
    </row>
    <row r="491" spans="1:12" ht="15" customHeight="1" x14ac:dyDescent="0.3">
      <c r="A491" s="23" t="s">
        <v>12981</v>
      </c>
      <c r="B491" s="23" t="s">
        <v>75</v>
      </c>
      <c r="C491" s="39">
        <v>1299</v>
      </c>
      <c r="D491" s="24">
        <v>0</v>
      </c>
      <c r="E491" s="24">
        <v>0</v>
      </c>
      <c r="F491" s="23">
        <f>COUNTIFS(mdr_rate_cleaned!$A$2:$A$10,B491,mdr_rate_cleaned!$B$2:$B$10,"&lt;"&amp;C491,mdr_rate_cleaned!$F$2:$F$10,"&gt;="&amp;C491)</f>
        <v>1</v>
      </c>
      <c r="G491" s="40">
        <f>SUMIFS(mdr_rate_cleaned!$G$2:$G$10,mdr_rate_cleaned!$A$2:$A$10,B491,mdr_rate_cleaned!$B$2:$B$10,"&lt;"&amp;C491,mdr_rate_cleaned!$F$2:$F$10,"&gt;="&amp;C491)</f>
        <v>0</v>
      </c>
      <c r="H491" s="24">
        <f t="shared" si="35"/>
        <v>0</v>
      </c>
      <c r="I491" s="23" t="str">
        <f t="shared" si="36"/>
        <v>Match</v>
      </c>
      <c r="J491" s="23" t="str">
        <f t="shared" si="37"/>
        <v>Match</v>
      </c>
      <c r="K491" s="24">
        <f t="shared" si="38"/>
        <v>0</v>
      </c>
      <c r="L491" s="24">
        <f t="shared" si="39"/>
        <v>0</v>
      </c>
    </row>
    <row r="492" spans="1:12" ht="15" customHeight="1" x14ac:dyDescent="0.3">
      <c r="A492" s="23" t="s">
        <v>12982</v>
      </c>
      <c r="B492" s="23" t="s">
        <v>79</v>
      </c>
      <c r="C492" s="39">
        <v>2499</v>
      </c>
      <c r="D492" s="24">
        <v>39.979999999999997</v>
      </c>
      <c r="E492" s="24">
        <v>7.2</v>
      </c>
      <c r="F492" s="23">
        <f>COUNTIFS(mdr_rate_cleaned!$A$2:$A$10,B492,mdr_rate_cleaned!$B$2:$B$10,"&lt;"&amp;C492,mdr_rate_cleaned!$F$2:$F$10,"&gt;="&amp;C492)</f>
        <v>1</v>
      </c>
      <c r="G492" s="40">
        <f>SUMIFS(mdr_rate_cleaned!$G$2:$G$10,mdr_rate_cleaned!$A$2:$A$10,B492,mdr_rate_cleaned!$B$2:$B$10,"&lt;"&amp;C492,mdr_rate_cleaned!$F$2:$F$10,"&gt;="&amp;C492)</f>
        <v>1.6E-2</v>
      </c>
      <c r="H492" s="24">
        <f t="shared" si="35"/>
        <v>39.979999999999997</v>
      </c>
      <c r="I492" s="23" t="str">
        <f t="shared" si="36"/>
        <v>Match</v>
      </c>
      <c r="J492" s="23" t="str">
        <f t="shared" si="37"/>
        <v>Match</v>
      </c>
      <c r="K492" s="24">
        <f t="shared" si="38"/>
        <v>7.2</v>
      </c>
      <c r="L492" s="24">
        <f t="shared" si="39"/>
        <v>0</v>
      </c>
    </row>
    <row r="493" spans="1:12" ht="15" customHeight="1" x14ac:dyDescent="0.3">
      <c r="A493" s="23" t="s">
        <v>12983</v>
      </c>
      <c r="B493" s="23" t="s">
        <v>79</v>
      </c>
      <c r="C493" s="39">
        <v>5298</v>
      </c>
      <c r="D493" s="24">
        <v>84.77</v>
      </c>
      <c r="E493" s="24">
        <v>15.26</v>
      </c>
      <c r="F493" s="23">
        <f>COUNTIFS(mdr_rate_cleaned!$A$2:$A$10,B493,mdr_rate_cleaned!$B$2:$B$10,"&lt;"&amp;C493,mdr_rate_cleaned!$F$2:$F$10,"&gt;="&amp;C493)</f>
        <v>1</v>
      </c>
      <c r="G493" s="40">
        <f>SUMIFS(mdr_rate_cleaned!$G$2:$G$10,mdr_rate_cleaned!$A$2:$A$10,B493,mdr_rate_cleaned!$B$2:$B$10,"&lt;"&amp;C493,mdr_rate_cleaned!$F$2:$F$10,"&gt;="&amp;C493)</f>
        <v>1.6E-2</v>
      </c>
      <c r="H493" s="24">
        <f t="shared" si="35"/>
        <v>84.77</v>
      </c>
      <c r="I493" s="23" t="str">
        <f t="shared" si="36"/>
        <v>Match</v>
      </c>
      <c r="J493" s="23" t="str">
        <f t="shared" si="37"/>
        <v>Match</v>
      </c>
      <c r="K493" s="24">
        <f t="shared" si="38"/>
        <v>15.26</v>
      </c>
      <c r="L493" s="24">
        <f t="shared" si="39"/>
        <v>0</v>
      </c>
    </row>
    <row r="494" spans="1:12" ht="15" customHeight="1" x14ac:dyDescent="0.3">
      <c r="A494" s="23" t="s">
        <v>12984</v>
      </c>
      <c r="B494" s="23" t="s">
        <v>77</v>
      </c>
      <c r="C494" s="39">
        <v>1647</v>
      </c>
      <c r="D494" s="24">
        <v>31.29</v>
      </c>
      <c r="E494" s="24">
        <v>5.63</v>
      </c>
      <c r="F494" s="23">
        <f>COUNTIFS(mdr_rate_cleaned!$A$2:$A$10,B494,mdr_rate_cleaned!$B$2:$B$10,"&lt;"&amp;C494,mdr_rate_cleaned!$F$2:$F$10,"&gt;="&amp;C494)</f>
        <v>1</v>
      </c>
      <c r="G494" s="40">
        <f>SUMIFS(mdr_rate_cleaned!$G$2:$G$10,mdr_rate_cleaned!$A$2:$A$10,B494,mdr_rate_cleaned!$B$2:$B$10,"&lt;"&amp;C494,mdr_rate_cleaned!$F$2:$F$10,"&gt;="&amp;C494)</f>
        <v>1.9E-2</v>
      </c>
      <c r="H494" s="24">
        <f t="shared" si="35"/>
        <v>31.29</v>
      </c>
      <c r="I494" s="23" t="str">
        <f t="shared" si="36"/>
        <v>Match</v>
      </c>
      <c r="J494" s="23" t="str">
        <f t="shared" si="37"/>
        <v>Match</v>
      </c>
      <c r="K494" s="24">
        <f t="shared" si="38"/>
        <v>5.63</v>
      </c>
      <c r="L494" s="24">
        <f t="shared" si="39"/>
        <v>0</v>
      </c>
    </row>
    <row r="495" spans="1:12" ht="15" customHeight="1" x14ac:dyDescent="0.3">
      <c r="A495" s="23" t="s">
        <v>12985</v>
      </c>
      <c r="B495" s="23" t="s">
        <v>77</v>
      </c>
      <c r="C495" s="39">
        <v>799</v>
      </c>
      <c r="D495" s="24">
        <v>15.18</v>
      </c>
      <c r="E495" s="24">
        <v>2.73</v>
      </c>
      <c r="F495" s="23">
        <f>COUNTIFS(mdr_rate_cleaned!$A$2:$A$10,B495,mdr_rate_cleaned!$B$2:$B$10,"&lt;"&amp;C495,mdr_rate_cleaned!$F$2:$F$10,"&gt;="&amp;C495)</f>
        <v>1</v>
      </c>
      <c r="G495" s="40">
        <f>SUMIFS(mdr_rate_cleaned!$G$2:$G$10,mdr_rate_cleaned!$A$2:$A$10,B495,mdr_rate_cleaned!$B$2:$B$10,"&lt;"&amp;C495,mdr_rate_cleaned!$F$2:$F$10,"&gt;="&amp;C495)</f>
        <v>1.9E-2</v>
      </c>
      <c r="H495" s="24">
        <f t="shared" si="35"/>
        <v>15.18</v>
      </c>
      <c r="I495" s="23" t="str">
        <f t="shared" si="36"/>
        <v>Match</v>
      </c>
      <c r="J495" s="23" t="str">
        <f t="shared" si="37"/>
        <v>Match</v>
      </c>
      <c r="K495" s="24">
        <f t="shared" si="38"/>
        <v>2.73</v>
      </c>
      <c r="L495" s="24">
        <f t="shared" si="39"/>
        <v>0</v>
      </c>
    </row>
    <row r="496" spans="1:12" ht="15" customHeight="1" x14ac:dyDescent="0.3">
      <c r="A496" s="23" t="s">
        <v>12986</v>
      </c>
      <c r="B496" s="23" t="s">
        <v>77</v>
      </c>
      <c r="C496" s="39">
        <v>9097</v>
      </c>
      <c r="D496" s="24">
        <v>154.65</v>
      </c>
      <c r="E496" s="24">
        <v>27.84</v>
      </c>
      <c r="F496" s="23">
        <f>COUNTIFS(mdr_rate_cleaned!$A$2:$A$10,B496,mdr_rate_cleaned!$B$2:$B$10,"&lt;"&amp;C496,mdr_rate_cleaned!$F$2:$F$10,"&gt;="&amp;C496)</f>
        <v>1</v>
      </c>
      <c r="G496" s="40">
        <f>SUMIFS(mdr_rate_cleaned!$G$2:$G$10,mdr_rate_cleaned!$A$2:$A$10,B496,mdr_rate_cleaned!$B$2:$B$10,"&lt;"&amp;C496,mdr_rate_cleaned!$F$2:$F$10,"&gt;="&amp;C496)</f>
        <v>1.7000000000000001E-2</v>
      </c>
      <c r="H496" s="24">
        <f t="shared" si="35"/>
        <v>154.65</v>
      </c>
      <c r="I496" s="23" t="str">
        <f t="shared" si="36"/>
        <v>Match</v>
      </c>
      <c r="J496" s="23" t="str">
        <f t="shared" si="37"/>
        <v>Match</v>
      </c>
      <c r="K496" s="24">
        <f t="shared" si="38"/>
        <v>27.84</v>
      </c>
      <c r="L496" s="24">
        <f t="shared" si="39"/>
        <v>0</v>
      </c>
    </row>
    <row r="497" spans="1:12" ht="15" customHeight="1" x14ac:dyDescent="0.3">
      <c r="A497" s="23" t="s">
        <v>12987</v>
      </c>
      <c r="B497" s="23" t="s">
        <v>75</v>
      </c>
      <c r="C497" s="39">
        <v>3997</v>
      </c>
      <c r="D497" s="24">
        <v>11.99</v>
      </c>
      <c r="E497" s="24">
        <v>2.16</v>
      </c>
      <c r="F497" s="23">
        <f>COUNTIFS(mdr_rate_cleaned!$A$2:$A$10,B497,mdr_rate_cleaned!$B$2:$B$10,"&lt;"&amp;C497,mdr_rate_cleaned!$F$2:$F$10,"&gt;="&amp;C497)</f>
        <v>1</v>
      </c>
      <c r="G497" s="40">
        <f>SUMIFS(mdr_rate_cleaned!$G$2:$G$10,mdr_rate_cleaned!$A$2:$A$10,B497,mdr_rate_cleaned!$B$2:$B$10,"&lt;"&amp;C497,mdr_rate_cleaned!$F$2:$F$10,"&gt;="&amp;C497)</f>
        <v>3.0000000000000001E-3</v>
      </c>
      <c r="H497" s="24">
        <f t="shared" si="35"/>
        <v>11.99</v>
      </c>
      <c r="I497" s="23" t="str">
        <f t="shared" si="36"/>
        <v>Match</v>
      </c>
      <c r="J497" s="23" t="str">
        <f t="shared" si="37"/>
        <v>Match</v>
      </c>
      <c r="K497" s="24">
        <f t="shared" si="38"/>
        <v>2.16</v>
      </c>
      <c r="L497" s="24">
        <f t="shared" si="39"/>
        <v>0</v>
      </c>
    </row>
    <row r="498" spans="1:12" ht="15" customHeight="1" x14ac:dyDescent="0.3">
      <c r="A498" s="23" t="s">
        <v>12988</v>
      </c>
      <c r="B498" s="23" t="s">
        <v>79</v>
      </c>
      <c r="C498" s="39">
        <v>1897</v>
      </c>
      <c r="D498" s="24">
        <v>34.15</v>
      </c>
      <c r="E498" s="24">
        <v>6.15</v>
      </c>
      <c r="F498" s="23">
        <f>COUNTIFS(mdr_rate_cleaned!$A$2:$A$10,B498,mdr_rate_cleaned!$B$2:$B$10,"&lt;"&amp;C498,mdr_rate_cleaned!$F$2:$F$10,"&gt;="&amp;C498)</f>
        <v>1</v>
      </c>
      <c r="G498" s="40">
        <f>SUMIFS(mdr_rate_cleaned!$G$2:$G$10,mdr_rate_cleaned!$A$2:$A$10,B498,mdr_rate_cleaned!$B$2:$B$10,"&lt;"&amp;C498,mdr_rate_cleaned!$F$2:$F$10,"&gt;="&amp;C498)</f>
        <v>1.8000000000000002E-2</v>
      </c>
      <c r="H498" s="24">
        <f t="shared" si="35"/>
        <v>34.15</v>
      </c>
      <c r="I498" s="23" t="str">
        <f t="shared" si="36"/>
        <v>Match</v>
      </c>
      <c r="J498" s="23" t="str">
        <f t="shared" si="37"/>
        <v>Match</v>
      </c>
      <c r="K498" s="24">
        <f t="shared" si="38"/>
        <v>6.15</v>
      </c>
      <c r="L498" s="24">
        <f t="shared" si="39"/>
        <v>0</v>
      </c>
    </row>
    <row r="499" spans="1:12" ht="15" customHeight="1" x14ac:dyDescent="0.3">
      <c r="A499" s="23" t="s">
        <v>12990</v>
      </c>
      <c r="B499" s="23" t="s">
        <v>75</v>
      </c>
      <c r="C499" s="39">
        <v>2098</v>
      </c>
      <c r="D499" s="24">
        <v>6.29</v>
      </c>
      <c r="E499" s="24">
        <v>1.1299999999999999</v>
      </c>
      <c r="F499" s="23">
        <f>COUNTIFS(mdr_rate_cleaned!$A$2:$A$10,B499,mdr_rate_cleaned!$B$2:$B$10,"&lt;"&amp;C499,mdr_rate_cleaned!$F$2:$F$10,"&gt;="&amp;C499)</f>
        <v>1</v>
      </c>
      <c r="G499" s="40">
        <f>SUMIFS(mdr_rate_cleaned!$G$2:$G$10,mdr_rate_cleaned!$A$2:$A$10,B499,mdr_rate_cleaned!$B$2:$B$10,"&lt;"&amp;C499,mdr_rate_cleaned!$F$2:$F$10,"&gt;="&amp;C499)</f>
        <v>3.0000000000000001E-3</v>
      </c>
      <c r="H499" s="24">
        <f t="shared" si="35"/>
        <v>6.29</v>
      </c>
      <c r="I499" s="23" t="str">
        <f t="shared" si="36"/>
        <v>Match</v>
      </c>
      <c r="J499" s="23" t="str">
        <f t="shared" si="37"/>
        <v>Match</v>
      </c>
      <c r="K499" s="24">
        <f t="shared" si="38"/>
        <v>1.1299999999999999</v>
      </c>
      <c r="L499" s="24">
        <f t="shared" si="39"/>
        <v>0</v>
      </c>
    </row>
    <row r="500" spans="1:12" ht="15" customHeight="1" x14ac:dyDescent="0.3">
      <c r="A500" s="23" t="s">
        <v>12991</v>
      </c>
      <c r="B500" s="23" t="s">
        <v>81</v>
      </c>
      <c r="C500" s="39">
        <v>2999</v>
      </c>
      <c r="D500" s="24">
        <v>35.99</v>
      </c>
      <c r="E500" s="24">
        <v>6.48</v>
      </c>
      <c r="F500" s="23">
        <f>COUNTIFS(mdr_rate_cleaned!$A$2:$A$10,B500,mdr_rate_cleaned!$B$2:$B$10,"&lt;"&amp;C500,mdr_rate_cleaned!$F$2:$F$10,"&gt;="&amp;C500)</f>
        <v>1</v>
      </c>
      <c r="G500" s="40">
        <f>SUMIFS(mdr_rate_cleaned!$G$2:$G$10,mdr_rate_cleaned!$A$2:$A$10,B500,mdr_rate_cleaned!$B$2:$B$10,"&lt;"&amp;C500,mdr_rate_cleaned!$F$2:$F$10,"&gt;="&amp;C500)</f>
        <v>1.2E-2</v>
      </c>
      <c r="H500" s="24">
        <f t="shared" si="35"/>
        <v>35.99</v>
      </c>
      <c r="I500" s="23" t="str">
        <f t="shared" si="36"/>
        <v>Match</v>
      </c>
      <c r="J500" s="23" t="str">
        <f t="shared" si="37"/>
        <v>Match</v>
      </c>
      <c r="K500" s="24">
        <f t="shared" si="38"/>
        <v>6.48</v>
      </c>
      <c r="L500" s="24">
        <f t="shared" si="39"/>
        <v>0</v>
      </c>
    </row>
    <row r="501" spans="1:12" ht="15" customHeight="1" x14ac:dyDescent="0.3">
      <c r="A501" s="23" t="s">
        <v>12992</v>
      </c>
      <c r="B501" s="23" t="s">
        <v>79</v>
      </c>
      <c r="C501" s="39">
        <v>799</v>
      </c>
      <c r="D501" s="24">
        <v>14.38</v>
      </c>
      <c r="E501" s="24">
        <v>2.59</v>
      </c>
      <c r="F501" s="23">
        <f>COUNTIFS(mdr_rate_cleaned!$A$2:$A$10,B501,mdr_rate_cleaned!$B$2:$B$10,"&lt;"&amp;C501,mdr_rate_cleaned!$F$2:$F$10,"&gt;="&amp;C501)</f>
        <v>1</v>
      </c>
      <c r="G501" s="40">
        <f>SUMIFS(mdr_rate_cleaned!$G$2:$G$10,mdr_rate_cleaned!$A$2:$A$10,B501,mdr_rate_cleaned!$B$2:$B$10,"&lt;"&amp;C501,mdr_rate_cleaned!$F$2:$F$10,"&gt;="&amp;C501)</f>
        <v>1.8000000000000002E-2</v>
      </c>
      <c r="H501" s="24">
        <f t="shared" si="35"/>
        <v>14.38</v>
      </c>
      <c r="I501" s="23" t="str">
        <f t="shared" si="36"/>
        <v>Match</v>
      </c>
      <c r="J501" s="23" t="str">
        <f t="shared" si="37"/>
        <v>Match</v>
      </c>
      <c r="K501" s="24">
        <f t="shared" si="38"/>
        <v>2.59</v>
      </c>
      <c r="L501" s="24">
        <f t="shared" si="39"/>
        <v>0</v>
      </c>
    </row>
    <row r="502" spans="1:12" ht="15" customHeight="1" x14ac:dyDescent="0.3">
      <c r="A502" s="23" t="s">
        <v>12993</v>
      </c>
      <c r="B502" s="23" t="s">
        <v>81</v>
      </c>
      <c r="C502" s="39">
        <v>4298</v>
      </c>
      <c r="D502" s="24">
        <v>51.58</v>
      </c>
      <c r="E502" s="24">
        <v>9.2799999999999994</v>
      </c>
      <c r="F502" s="23">
        <f>COUNTIFS(mdr_rate_cleaned!$A$2:$A$10,B502,mdr_rate_cleaned!$B$2:$B$10,"&lt;"&amp;C502,mdr_rate_cleaned!$F$2:$F$10,"&gt;="&amp;C502)</f>
        <v>1</v>
      </c>
      <c r="G502" s="40">
        <f>SUMIFS(mdr_rate_cleaned!$G$2:$G$10,mdr_rate_cleaned!$A$2:$A$10,B502,mdr_rate_cleaned!$B$2:$B$10,"&lt;"&amp;C502,mdr_rate_cleaned!$F$2:$F$10,"&gt;="&amp;C502)</f>
        <v>1.2E-2</v>
      </c>
      <c r="H502" s="24">
        <f t="shared" si="35"/>
        <v>51.58</v>
      </c>
      <c r="I502" s="23" t="str">
        <f t="shared" si="36"/>
        <v>Match</v>
      </c>
      <c r="J502" s="23" t="str">
        <f t="shared" si="37"/>
        <v>Match</v>
      </c>
      <c r="K502" s="24">
        <f t="shared" si="38"/>
        <v>9.2799999999999994</v>
      </c>
      <c r="L502" s="24">
        <f t="shared" si="39"/>
        <v>0</v>
      </c>
    </row>
    <row r="503" spans="1:12" ht="15" customHeight="1" x14ac:dyDescent="0.3">
      <c r="A503" s="23" t="s">
        <v>12994</v>
      </c>
      <c r="B503" s="23" t="s">
        <v>75</v>
      </c>
      <c r="C503" s="39">
        <v>799</v>
      </c>
      <c r="D503" s="24">
        <v>0</v>
      </c>
      <c r="E503" s="24">
        <v>0</v>
      </c>
      <c r="F503" s="23">
        <f>COUNTIFS(mdr_rate_cleaned!$A$2:$A$10,B503,mdr_rate_cleaned!$B$2:$B$10,"&lt;"&amp;C503,mdr_rate_cleaned!$F$2:$F$10,"&gt;="&amp;C503)</f>
        <v>1</v>
      </c>
      <c r="G503" s="40">
        <f>SUMIFS(mdr_rate_cleaned!$G$2:$G$10,mdr_rate_cleaned!$A$2:$A$10,B503,mdr_rate_cleaned!$B$2:$B$10,"&lt;"&amp;C503,mdr_rate_cleaned!$F$2:$F$10,"&gt;="&amp;C503)</f>
        <v>0</v>
      </c>
      <c r="H503" s="24">
        <f t="shared" si="35"/>
        <v>0</v>
      </c>
      <c r="I503" s="23" t="str">
        <f t="shared" si="36"/>
        <v>Match</v>
      </c>
      <c r="J503" s="23" t="str">
        <f t="shared" si="37"/>
        <v>Match</v>
      </c>
      <c r="K503" s="24">
        <f t="shared" si="38"/>
        <v>0</v>
      </c>
      <c r="L503" s="24">
        <f t="shared" si="39"/>
        <v>0</v>
      </c>
    </row>
    <row r="504" spans="1:12" ht="15" customHeight="1" x14ac:dyDescent="0.3">
      <c r="A504" s="23" t="s">
        <v>12996</v>
      </c>
      <c r="B504" s="23" t="s">
        <v>79</v>
      </c>
      <c r="C504" s="39">
        <v>2499</v>
      </c>
      <c r="D504" s="24">
        <v>39.979999999999997</v>
      </c>
      <c r="E504" s="24">
        <v>7.2</v>
      </c>
      <c r="F504" s="23">
        <f>COUNTIFS(mdr_rate_cleaned!$A$2:$A$10,B504,mdr_rate_cleaned!$B$2:$B$10,"&lt;"&amp;C504,mdr_rate_cleaned!$F$2:$F$10,"&gt;="&amp;C504)</f>
        <v>1</v>
      </c>
      <c r="G504" s="40">
        <f>SUMIFS(mdr_rate_cleaned!$G$2:$G$10,mdr_rate_cleaned!$A$2:$A$10,B504,mdr_rate_cleaned!$B$2:$B$10,"&lt;"&amp;C504,mdr_rate_cleaned!$F$2:$F$10,"&gt;="&amp;C504)</f>
        <v>1.6E-2</v>
      </c>
      <c r="H504" s="24">
        <f t="shared" si="35"/>
        <v>39.979999999999997</v>
      </c>
      <c r="I504" s="23" t="str">
        <f t="shared" si="36"/>
        <v>Match</v>
      </c>
      <c r="J504" s="23" t="str">
        <f t="shared" si="37"/>
        <v>Match</v>
      </c>
      <c r="K504" s="24">
        <f t="shared" si="38"/>
        <v>7.2</v>
      </c>
      <c r="L504" s="24">
        <f t="shared" si="39"/>
        <v>0</v>
      </c>
    </row>
    <row r="505" spans="1:12" ht="15" customHeight="1" x14ac:dyDescent="0.3">
      <c r="A505" s="23" t="s">
        <v>12997</v>
      </c>
      <c r="B505" s="23" t="s">
        <v>79</v>
      </c>
      <c r="C505" s="39">
        <v>4797</v>
      </c>
      <c r="D505" s="24">
        <v>76.75</v>
      </c>
      <c r="E505" s="24">
        <v>13.82</v>
      </c>
      <c r="F505" s="23">
        <f>COUNTIFS(mdr_rate_cleaned!$A$2:$A$10,B505,mdr_rate_cleaned!$B$2:$B$10,"&lt;"&amp;C505,mdr_rate_cleaned!$F$2:$F$10,"&gt;="&amp;C505)</f>
        <v>1</v>
      </c>
      <c r="G505" s="40">
        <f>SUMIFS(mdr_rate_cleaned!$G$2:$G$10,mdr_rate_cleaned!$A$2:$A$10,B505,mdr_rate_cleaned!$B$2:$B$10,"&lt;"&amp;C505,mdr_rate_cleaned!$F$2:$F$10,"&gt;="&amp;C505)</f>
        <v>1.6E-2</v>
      </c>
      <c r="H505" s="24">
        <f t="shared" si="35"/>
        <v>76.75</v>
      </c>
      <c r="I505" s="23" t="str">
        <f t="shared" si="36"/>
        <v>Match</v>
      </c>
      <c r="J505" s="23" t="str">
        <f t="shared" si="37"/>
        <v>Match</v>
      </c>
      <c r="K505" s="24">
        <f t="shared" si="38"/>
        <v>13.82</v>
      </c>
      <c r="L505" s="24">
        <f t="shared" si="39"/>
        <v>0</v>
      </c>
    </row>
    <row r="506" spans="1:12" ht="15" customHeight="1" x14ac:dyDescent="0.3">
      <c r="A506" s="23" t="s">
        <v>12998</v>
      </c>
      <c r="B506" s="23" t="s">
        <v>77</v>
      </c>
      <c r="C506" s="39">
        <v>1299</v>
      </c>
      <c r="D506" s="24">
        <v>24.68</v>
      </c>
      <c r="E506" s="24">
        <v>4.4400000000000004</v>
      </c>
      <c r="F506" s="23">
        <f>COUNTIFS(mdr_rate_cleaned!$A$2:$A$10,B506,mdr_rate_cleaned!$B$2:$B$10,"&lt;"&amp;C506,mdr_rate_cleaned!$F$2:$F$10,"&gt;="&amp;C506)</f>
        <v>1</v>
      </c>
      <c r="G506" s="40">
        <f>SUMIFS(mdr_rate_cleaned!$G$2:$G$10,mdr_rate_cleaned!$A$2:$A$10,B506,mdr_rate_cleaned!$B$2:$B$10,"&lt;"&amp;C506,mdr_rate_cleaned!$F$2:$F$10,"&gt;="&amp;C506)</f>
        <v>1.9E-2</v>
      </c>
      <c r="H506" s="24">
        <f t="shared" si="35"/>
        <v>24.68</v>
      </c>
      <c r="I506" s="23" t="str">
        <f t="shared" si="36"/>
        <v>Match</v>
      </c>
      <c r="J506" s="23" t="str">
        <f t="shared" si="37"/>
        <v>Match</v>
      </c>
      <c r="K506" s="24">
        <f t="shared" si="38"/>
        <v>4.4400000000000004</v>
      </c>
      <c r="L506" s="24">
        <f t="shared" si="39"/>
        <v>0</v>
      </c>
    </row>
    <row r="507" spans="1:12" ht="15" customHeight="1" x14ac:dyDescent="0.3">
      <c r="A507" s="23" t="s">
        <v>13000</v>
      </c>
      <c r="B507" s="23" t="s">
        <v>79</v>
      </c>
      <c r="C507" s="39">
        <v>4597</v>
      </c>
      <c r="D507" s="24">
        <v>73.55</v>
      </c>
      <c r="E507" s="24">
        <v>13.24</v>
      </c>
      <c r="F507" s="23">
        <f>COUNTIFS(mdr_rate_cleaned!$A$2:$A$10,B507,mdr_rate_cleaned!$B$2:$B$10,"&lt;"&amp;C507,mdr_rate_cleaned!$F$2:$F$10,"&gt;="&amp;C507)</f>
        <v>1</v>
      </c>
      <c r="G507" s="40">
        <f>SUMIFS(mdr_rate_cleaned!$G$2:$G$10,mdr_rate_cleaned!$A$2:$A$10,B507,mdr_rate_cleaned!$B$2:$B$10,"&lt;"&amp;C507,mdr_rate_cleaned!$F$2:$F$10,"&gt;="&amp;C507)</f>
        <v>1.6E-2</v>
      </c>
      <c r="H507" s="24">
        <f t="shared" si="35"/>
        <v>73.55</v>
      </c>
      <c r="I507" s="23" t="str">
        <f t="shared" si="36"/>
        <v>Match</v>
      </c>
      <c r="J507" s="23" t="str">
        <f t="shared" si="37"/>
        <v>Match</v>
      </c>
      <c r="K507" s="24">
        <f t="shared" si="38"/>
        <v>13.24</v>
      </c>
      <c r="L507" s="24">
        <f t="shared" si="39"/>
        <v>0</v>
      </c>
    </row>
    <row r="508" spans="1:12" ht="15" customHeight="1" x14ac:dyDescent="0.3">
      <c r="A508" s="23" t="s">
        <v>13001</v>
      </c>
      <c r="B508" s="23" t="s">
        <v>79</v>
      </c>
      <c r="C508" s="39">
        <v>999</v>
      </c>
      <c r="D508" s="24">
        <v>17.98</v>
      </c>
      <c r="E508" s="24">
        <v>3.24</v>
      </c>
      <c r="F508" s="23">
        <f>COUNTIFS(mdr_rate_cleaned!$A$2:$A$10,B508,mdr_rate_cleaned!$B$2:$B$10,"&lt;"&amp;C508,mdr_rate_cleaned!$F$2:$F$10,"&gt;="&amp;C508)</f>
        <v>1</v>
      </c>
      <c r="G508" s="40">
        <f>SUMIFS(mdr_rate_cleaned!$G$2:$G$10,mdr_rate_cleaned!$A$2:$A$10,B508,mdr_rate_cleaned!$B$2:$B$10,"&lt;"&amp;C508,mdr_rate_cleaned!$F$2:$F$10,"&gt;="&amp;C508)</f>
        <v>1.8000000000000002E-2</v>
      </c>
      <c r="H508" s="24">
        <f t="shared" si="35"/>
        <v>17.98</v>
      </c>
      <c r="I508" s="23" t="str">
        <f t="shared" si="36"/>
        <v>Match</v>
      </c>
      <c r="J508" s="23" t="str">
        <f t="shared" si="37"/>
        <v>Match</v>
      </c>
      <c r="K508" s="24">
        <f t="shared" si="38"/>
        <v>3.24</v>
      </c>
      <c r="L508" s="24">
        <f t="shared" si="39"/>
        <v>0</v>
      </c>
    </row>
    <row r="509" spans="1:12" ht="15" customHeight="1" x14ac:dyDescent="0.3">
      <c r="A509" s="23" t="s">
        <v>13002</v>
      </c>
      <c r="B509" s="23" t="s">
        <v>77</v>
      </c>
      <c r="C509" s="39">
        <v>2499</v>
      </c>
      <c r="D509" s="24">
        <v>42.48</v>
      </c>
      <c r="E509" s="24">
        <v>7.65</v>
      </c>
      <c r="F509" s="23">
        <f>COUNTIFS(mdr_rate_cleaned!$A$2:$A$10,B509,mdr_rate_cleaned!$B$2:$B$10,"&lt;"&amp;C509,mdr_rate_cleaned!$F$2:$F$10,"&gt;="&amp;C509)</f>
        <v>1</v>
      </c>
      <c r="G509" s="40">
        <f>SUMIFS(mdr_rate_cleaned!$G$2:$G$10,mdr_rate_cleaned!$A$2:$A$10,B509,mdr_rate_cleaned!$B$2:$B$10,"&lt;"&amp;C509,mdr_rate_cleaned!$F$2:$F$10,"&gt;="&amp;C509)</f>
        <v>1.7000000000000001E-2</v>
      </c>
      <c r="H509" s="24">
        <f t="shared" si="35"/>
        <v>42.48</v>
      </c>
      <c r="I509" s="23" t="str">
        <f t="shared" si="36"/>
        <v>Match</v>
      </c>
      <c r="J509" s="23" t="str">
        <f t="shared" si="37"/>
        <v>Match</v>
      </c>
      <c r="K509" s="24">
        <f t="shared" si="38"/>
        <v>7.65</v>
      </c>
      <c r="L509" s="24">
        <f t="shared" si="39"/>
        <v>0</v>
      </c>
    </row>
    <row r="510" spans="1:12" ht="15" customHeight="1" x14ac:dyDescent="0.3">
      <c r="A510" s="23" t="s">
        <v>13004</v>
      </c>
      <c r="B510" s="23" t="s">
        <v>77</v>
      </c>
      <c r="C510" s="39">
        <v>599</v>
      </c>
      <c r="D510" s="24">
        <v>11.38</v>
      </c>
      <c r="E510" s="24">
        <v>2.0499999999999998</v>
      </c>
      <c r="F510" s="23">
        <f>COUNTIFS(mdr_rate_cleaned!$A$2:$A$10,B510,mdr_rate_cleaned!$B$2:$B$10,"&lt;"&amp;C510,mdr_rate_cleaned!$F$2:$F$10,"&gt;="&amp;C510)</f>
        <v>1</v>
      </c>
      <c r="G510" s="40">
        <f>SUMIFS(mdr_rate_cleaned!$G$2:$G$10,mdr_rate_cleaned!$A$2:$A$10,B510,mdr_rate_cleaned!$B$2:$B$10,"&lt;"&amp;C510,mdr_rate_cleaned!$F$2:$F$10,"&gt;="&amp;C510)</f>
        <v>1.9E-2</v>
      </c>
      <c r="H510" s="24">
        <f t="shared" si="35"/>
        <v>11.38</v>
      </c>
      <c r="I510" s="23" t="str">
        <f t="shared" si="36"/>
        <v>Match</v>
      </c>
      <c r="J510" s="23" t="str">
        <f t="shared" si="37"/>
        <v>Match</v>
      </c>
      <c r="K510" s="24">
        <f t="shared" si="38"/>
        <v>2.0499999999999998</v>
      </c>
      <c r="L510" s="24">
        <f t="shared" si="39"/>
        <v>0</v>
      </c>
    </row>
    <row r="511" spans="1:12" ht="15" customHeight="1" x14ac:dyDescent="0.3">
      <c r="A511" s="23" t="s">
        <v>13005</v>
      </c>
      <c r="B511" s="23" t="s">
        <v>75</v>
      </c>
      <c r="C511" s="39">
        <v>4999</v>
      </c>
      <c r="D511" s="24">
        <v>15</v>
      </c>
      <c r="E511" s="24">
        <v>2.7</v>
      </c>
      <c r="F511" s="23">
        <f>COUNTIFS(mdr_rate_cleaned!$A$2:$A$10,B511,mdr_rate_cleaned!$B$2:$B$10,"&lt;"&amp;C511,mdr_rate_cleaned!$F$2:$F$10,"&gt;="&amp;C511)</f>
        <v>1</v>
      </c>
      <c r="G511" s="40">
        <f>SUMIFS(mdr_rate_cleaned!$G$2:$G$10,mdr_rate_cleaned!$A$2:$A$10,B511,mdr_rate_cleaned!$B$2:$B$10,"&lt;"&amp;C511,mdr_rate_cleaned!$F$2:$F$10,"&gt;="&amp;C511)</f>
        <v>3.0000000000000001E-3</v>
      </c>
      <c r="H511" s="24">
        <f t="shared" si="35"/>
        <v>15</v>
      </c>
      <c r="I511" s="23" t="str">
        <f t="shared" si="36"/>
        <v>Match</v>
      </c>
      <c r="J511" s="23" t="str">
        <f t="shared" si="37"/>
        <v>Match</v>
      </c>
      <c r="K511" s="24">
        <f t="shared" si="38"/>
        <v>2.7</v>
      </c>
      <c r="L511" s="24">
        <f t="shared" si="39"/>
        <v>0</v>
      </c>
    </row>
    <row r="512" spans="1:12" ht="15" customHeight="1" x14ac:dyDescent="0.3">
      <c r="A512" s="23" t="s">
        <v>13006</v>
      </c>
      <c r="B512" s="23" t="s">
        <v>75</v>
      </c>
      <c r="C512" s="39">
        <v>3098</v>
      </c>
      <c r="D512" s="24">
        <v>9.2899999999999991</v>
      </c>
      <c r="E512" s="24">
        <v>1.67</v>
      </c>
      <c r="F512" s="23">
        <f>COUNTIFS(mdr_rate_cleaned!$A$2:$A$10,B512,mdr_rate_cleaned!$B$2:$B$10,"&lt;"&amp;C512,mdr_rate_cleaned!$F$2:$F$10,"&gt;="&amp;C512)</f>
        <v>1</v>
      </c>
      <c r="G512" s="40">
        <f>SUMIFS(mdr_rate_cleaned!$G$2:$G$10,mdr_rate_cleaned!$A$2:$A$10,B512,mdr_rate_cleaned!$B$2:$B$10,"&lt;"&amp;C512,mdr_rate_cleaned!$F$2:$F$10,"&gt;="&amp;C512)</f>
        <v>3.0000000000000001E-3</v>
      </c>
      <c r="H512" s="24">
        <f t="shared" si="35"/>
        <v>9.2899999999999991</v>
      </c>
      <c r="I512" s="23" t="str">
        <f t="shared" si="36"/>
        <v>Match</v>
      </c>
      <c r="J512" s="23" t="str">
        <f t="shared" si="37"/>
        <v>Match</v>
      </c>
      <c r="K512" s="24">
        <f t="shared" si="38"/>
        <v>1.67</v>
      </c>
      <c r="L512" s="24">
        <f t="shared" si="39"/>
        <v>0</v>
      </c>
    </row>
    <row r="513" spans="1:12" ht="15" customHeight="1" x14ac:dyDescent="0.3">
      <c r="A513" s="23" t="s">
        <v>13007</v>
      </c>
      <c r="B513" s="23" t="s">
        <v>75</v>
      </c>
      <c r="C513" s="39">
        <v>4298</v>
      </c>
      <c r="D513" s="24">
        <v>12.89</v>
      </c>
      <c r="E513" s="24">
        <v>2.3199999999999998</v>
      </c>
      <c r="F513" s="23">
        <f>COUNTIFS(mdr_rate_cleaned!$A$2:$A$10,B513,mdr_rate_cleaned!$B$2:$B$10,"&lt;"&amp;C513,mdr_rate_cleaned!$F$2:$F$10,"&gt;="&amp;C513)</f>
        <v>1</v>
      </c>
      <c r="G513" s="40">
        <f>SUMIFS(mdr_rate_cleaned!$G$2:$G$10,mdr_rate_cleaned!$A$2:$A$10,B513,mdr_rate_cleaned!$B$2:$B$10,"&lt;"&amp;C513,mdr_rate_cleaned!$F$2:$F$10,"&gt;="&amp;C513)</f>
        <v>3.0000000000000001E-3</v>
      </c>
      <c r="H513" s="24">
        <f t="shared" si="35"/>
        <v>12.89</v>
      </c>
      <c r="I513" s="23" t="str">
        <f t="shared" si="36"/>
        <v>Match</v>
      </c>
      <c r="J513" s="23" t="str">
        <f t="shared" si="37"/>
        <v>Match</v>
      </c>
      <c r="K513" s="24">
        <f t="shared" si="38"/>
        <v>2.3199999999999998</v>
      </c>
      <c r="L513" s="24">
        <f t="shared" si="39"/>
        <v>0</v>
      </c>
    </row>
    <row r="514" spans="1:12" ht="15" customHeight="1" x14ac:dyDescent="0.3">
      <c r="A514" s="23" t="s">
        <v>13008</v>
      </c>
      <c r="B514" s="23" t="s">
        <v>77</v>
      </c>
      <c r="C514" s="39">
        <v>1998</v>
      </c>
      <c r="D514" s="24">
        <v>37.96</v>
      </c>
      <c r="E514" s="24">
        <v>6.83</v>
      </c>
      <c r="F514" s="23">
        <f>COUNTIFS(mdr_rate_cleaned!$A$2:$A$10,B514,mdr_rate_cleaned!$B$2:$B$10,"&lt;"&amp;C514,mdr_rate_cleaned!$F$2:$F$10,"&gt;="&amp;C514)</f>
        <v>1</v>
      </c>
      <c r="G514" s="40">
        <f>SUMIFS(mdr_rate_cleaned!$G$2:$G$10,mdr_rate_cleaned!$A$2:$A$10,B514,mdr_rate_cleaned!$B$2:$B$10,"&lt;"&amp;C514,mdr_rate_cleaned!$F$2:$F$10,"&gt;="&amp;C514)</f>
        <v>1.9E-2</v>
      </c>
      <c r="H514" s="24">
        <f t="shared" ref="H514:H577" si="40">ROUND(C514*G514,2)</f>
        <v>37.96</v>
      </c>
      <c r="I514" s="23" t="str">
        <f t="shared" ref="I514:I577" si="41">IF(ROUND(D514-H514,2)=0,"Match","Differs")</f>
        <v>Match</v>
      </c>
      <c r="J514" s="23" t="str">
        <f t="shared" ref="J514:J577" si="42">IF(ROUND(E514-ROUND(D514*0.18,2),2)=0,"Match","Differs")</f>
        <v>Match</v>
      </c>
      <c r="K514" s="24">
        <f t="shared" ref="K514:K577" si="43">ROUND(H514*0.18,2)</f>
        <v>6.83</v>
      </c>
      <c r="L514" s="24">
        <f t="shared" ref="L514:L577" si="44">ROUND(D514+E514-H514-K514,2)</f>
        <v>0</v>
      </c>
    </row>
    <row r="515" spans="1:12" ht="15" customHeight="1" x14ac:dyDescent="0.3">
      <c r="A515" s="23" t="s">
        <v>13009</v>
      </c>
      <c r="B515" s="23" t="s">
        <v>79</v>
      </c>
      <c r="C515" s="39">
        <v>2797</v>
      </c>
      <c r="D515" s="24">
        <v>44.75</v>
      </c>
      <c r="E515" s="24">
        <v>8.06</v>
      </c>
      <c r="F515" s="23">
        <f>COUNTIFS(mdr_rate_cleaned!$A$2:$A$10,B515,mdr_rate_cleaned!$B$2:$B$10,"&lt;"&amp;C515,mdr_rate_cleaned!$F$2:$F$10,"&gt;="&amp;C515)</f>
        <v>1</v>
      </c>
      <c r="G515" s="40">
        <f>SUMIFS(mdr_rate_cleaned!$G$2:$G$10,mdr_rate_cleaned!$A$2:$A$10,B515,mdr_rate_cleaned!$B$2:$B$10,"&lt;"&amp;C515,mdr_rate_cleaned!$F$2:$F$10,"&gt;="&amp;C515)</f>
        <v>1.6E-2</v>
      </c>
      <c r="H515" s="24">
        <f t="shared" si="40"/>
        <v>44.75</v>
      </c>
      <c r="I515" s="23" t="str">
        <f t="shared" si="41"/>
        <v>Match</v>
      </c>
      <c r="J515" s="23" t="str">
        <f t="shared" si="42"/>
        <v>Match</v>
      </c>
      <c r="K515" s="24">
        <f t="shared" si="43"/>
        <v>8.06</v>
      </c>
      <c r="L515" s="24">
        <f t="shared" si="44"/>
        <v>0</v>
      </c>
    </row>
    <row r="516" spans="1:12" ht="15" customHeight="1" x14ac:dyDescent="0.3">
      <c r="A516" s="23" t="s">
        <v>13011</v>
      </c>
      <c r="B516" s="23" t="s">
        <v>77</v>
      </c>
      <c r="C516" s="39">
        <v>2499</v>
      </c>
      <c r="D516" s="24">
        <v>42.48</v>
      </c>
      <c r="E516" s="24">
        <v>7.65</v>
      </c>
      <c r="F516" s="23">
        <f>COUNTIFS(mdr_rate_cleaned!$A$2:$A$10,B516,mdr_rate_cleaned!$B$2:$B$10,"&lt;"&amp;C516,mdr_rate_cleaned!$F$2:$F$10,"&gt;="&amp;C516)</f>
        <v>1</v>
      </c>
      <c r="G516" s="40">
        <f>SUMIFS(mdr_rate_cleaned!$G$2:$G$10,mdr_rate_cleaned!$A$2:$A$10,B516,mdr_rate_cleaned!$B$2:$B$10,"&lt;"&amp;C516,mdr_rate_cleaned!$F$2:$F$10,"&gt;="&amp;C516)</f>
        <v>1.7000000000000001E-2</v>
      </c>
      <c r="H516" s="24">
        <f t="shared" si="40"/>
        <v>42.48</v>
      </c>
      <c r="I516" s="23" t="str">
        <f t="shared" si="41"/>
        <v>Match</v>
      </c>
      <c r="J516" s="23" t="str">
        <f t="shared" si="42"/>
        <v>Match</v>
      </c>
      <c r="K516" s="24">
        <f t="shared" si="43"/>
        <v>7.65</v>
      </c>
      <c r="L516" s="24">
        <f t="shared" si="44"/>
        <v>0</v>
      </c>
    </row>
    <row r="517" spans="1:12" ht="15" customHeight="1" x14ac:dyDescent="0.3">
      <c r="A517" s="23" t="s">
        <v>13012</v>
      </c>
      <c r="B517" s="23" t="s">
        <v>75</v>
      </c>
      <c r="C517" s="39">
        <v>2798</v>
      </c>
      <c r="D517" s="24">
        <v>8.39</v>
      </c>
      <c r="E517" s="24">
        <v>1.51</v>
      </c>
      <c r="F517" s="23">
        <f>COUNTIFS(mdr_rate_cleaned!$A$2:$A$10,B517,mdr_rate_cleaned!$B$2:$B$10,"&lt;"&amp;C517,mdr_rate_cleaned!$F$2:$F$10,"&gt;="&amp;C517)</f>
        <v>1</v>
      </c>
      <c r="G517" s="40">
        <f>SUMIFS(mdr_rate_cleaned!$G$2:$G$10,mdr_rate_cleaned!$A$2:$A$10,B517,mdr_rate_cleaned!$B$2:$B$10,"&lt;"&amp;C517,mdr_rate_cleaned!$F$2:$F$10,"&gt;="&amp;C517)</f>
        <v>3.0000000000000001E-3</v>
      </c>
      <c r="H517" s="24">
        <f t="shared" si="40"/>
        <v>8.39</v>
      </c>
      <c r="I517" s="23" t="str">
        <f t="shared" si="41"/>
        <v>Match</v>
      </c>
      <c r="J517" s="23" t="str">
        <f t="shared" si="42"/>
        <v>Match</v>
      </c>
      <c r="K517" s="24">
        <f t="shared" si="43"/>
        <v>1.51</v>
      </c>
      <c r="L517" s="24">
        <f t="shared" si="44"/>
        <v>0</v>
      </c>
    </row>
    <row r="518" spans="1:12" ht="15" customHeight="1" x14ac:dyDescent="0.3">
      <c r="A518" s="23" t="s">
        <v>13015</v>
      </c>
      <c r="B518" s="23" t="s">
        <v>79</v>
      </c>
      <c r="C518" s="39">
        <v>3098</v>
      </c>
      <c r="D518" s="24">
        <v>49.57</v>
      </c>
      <c r="E518" s="24">
        <v>8.92</v>
      </c>
      <c r="F518" s="23">
        <f>COUNTIFS(mdr_rate_cleaned!$A$2:$A$10,B518,mdr_rate_cleaned!$B$2:$B$10,"&lt;"&amp;C518,mdr_rate_cleaned!$F$2:$F$10,"&gt;="&amp;C518)</f>
        <v>1</v>
      </c>
      <c r="G518" s="40">
        <f>SUMIFS(mdr_rate_cleaned!$G$2:$G$10,mdr_rate_cleaned!$A$2:$A$10,B518,mdr_rate_cleaned!$B$2:$B$10,"&lt;"&amp;C518,mdr_rate_cleaned!$F$2:$F$10,"&gt;="&amp;C518)</f>
        <v>1.6E-2</v>
      </c>
      <c r="H518" s="24">
        <f t="shared" si="40"/>
        <v>49.57</v>
      </c>
      <c r="I518" s="23" t="str">
        <f t="shared" si="41"/>
        <v>Match</v>
      </c>
      <c r="J518" s="23" t="str">
        <f t="shared" si="42"/>
        <v>Match</v>
      </c>
      <c r="K518" s="24">
        <f t="shared" si="43"/>
        <v>8.92</v>
      </c>
      <c r="L518" s="24">
        <f t="shared" si="44"/>
        <v>0</v>
      </c>
    </row>
    <row r="519" spans="1:12" ht="15" customHeight="1" x14ac:dyDescent="0.3">
      <c r="A519" s="23" t="s">
        <v>13016</v>
      </c>
      <c r="B519" s="23" t="s">
        <v>75</v>
      </c>
      <c r="C519" s="39">
        <v>3499</v>
      </c>
      <c r="D519" s="24">
        <v>10.5</v>
      </c>
      <c r="E519" s="24">
        <v>1.89</v>
      </c>
      <c r="F519" s="23">
        <f>COUNTIFS(mdr_rate_cleaned!$A$2:$A$10,B519,mdr_rate_cleaned!$B$2:$B$10,"&lt;"&amp;C519,mdr_rate_cleaned!$F$2:$F$10,"&gt;="&amp;C519)</f>
        <v>1</v>
      </c>
      <c r="G519" s="40">
        <f>SUMIFS(mdr_rate_cleaned!$G$2:$G$10,mdr_rate_cleaned!$A$2:$A$10,B519,mdr_rate_cleaned!$B$2:$B$10,"&lt;"&amp;C519,mdr_rate_cleaned!$F$2:$F$10,"&gt;="&amp;C519)</f>
        <v>3.0000000000000001E-3</v>
      </c>
      <c r="H519" s="24">
        <f t="shared" si="40"/>
        <v>10.5</v>
      </c>
      <c r="I519" s="23" t="str">
        <f t="shared" si="41"/>
        <v>Match</v>
      </c>
      <c r="J519" s="23" t="str">
        <f t="shared" si="42"/>
        <v>Match</v>
      </c>
      <c r="K519" s="24">
        <f t="shared" si="43"/>
        <v>1.89</v>
      </c>
      <c r="L519" s="24">
        <f t="shared" si="44"/>
        <v>0</v>
      </c>
    </row>
    <row r="520" spans="1:12" ht="15" customHeight="1" x14ac:dyDescent="0.3">
      <c r="A520" s="23" t="s">
        <v>13017</v>
      </c>
      <c r="B520" s="23" t="s">
        <v>77</v>
      </c>
      <c r="C520" s="39">
        <v>1098</v>
      </c>
      <c r="D520" s="24">
        <v>20.86</v>
      </c>
      <c r="E520" s="24">
        <v>3.75</v>
      </c>
      <c r="F520" s="23">
        <f>COUNTIFS(mdr_rate_cleaned!$A$2:$A$10,B520,mdr_rate_cleaned!$B$2:$B$10,"&lt;"&amp;C520,mdr_rate_cleaned!$F$2:$F$10,"&gt;="&amp;C520)</f>
        <v>1</v>
      </c>
      <c r="G520" s="40">
        <f>SUMIFS(mdr_rate_cleaned!$G$2:$G$10,mdr_rate_cleaned!$A$2:$A$10,B520,mdr_rate_cleaned!$B$2:$B$10,"&lt;"&amp;C520,mdr_rate_cleaned!$F$2:$F$10,"&gt;="&amp;C520)</f>
        <v>1.9E-2</v>
      </c>
      <c r="H520" s="24">
        <f t="shared" si="40"/>
        <v>20.86</v>
      </c>
      <c r="I520" s="23" t="str">
        <f t="shared" si="41"/>
        <v>Match</v>
      </c>
      <c r="J520" s="23" t="str">
        <f t="shared" si="42"/>
        <v>Match</v>
      </c>
      <c r="K520" s="24">
        <f t="shared" si="43"/>
        <v>3.75</v>
      </c>
      <c r="L520" s="24">
        <f t="shared" si="44"/>
        <v>0</v>
      </c>
    </row>
    <row r="521" spans="1:12" ht="15" customHeight="1" x14ac:dyDescent="0.3">
      <c r="A521" s="23" t="s">
        <v>13019</v>
      </c>
      <c r="B521" s="23" t="s">
        <v>75</v>
      </c>
      <c r="C521" s="39">
        <v>10297</v>
      </c>
      <c r="D521" s="24">
        <v>30.89</v>
      </c>
      <c r="E521" s="24">
        <v>5.56</v>
      </c>
      <c r="F521" s="23">
        <f>COUNTIFS(mdr_rate_cleaned!$A$2:$A$10,B521,mdr_rate_cleaned!$B$2:$B$10,"&lt;"&amp;C521,mdr_rate_cleaned!$F$2:$F$10,"&gt;="&amp;C521)</f>
        <v>1</v>
      </c>
      <c r="G521" s="40">
        <f>SUMIFS(mdr_rate_cleaned!$G$2:$G$10,mdr_rate_cleaned!$A$2:$A$10,B521,mdr_rate_cleaned!$B$2:$B$10,"&lt;"&amp;C521,mdr_rate_cleaned!$F$2:$F$10,"&gt;="&amp;C521)</f>
        <v>3.0000000000000001E-3</v>
      </c>
      <c r="H521" s="24">
        <f t="shared" si="40"/>
        <v>30.89</v>
      </c>
      <c r="I521" s="23" t="str">
        <f t="shared" si="41"/>
        <v>Match</v>
      </c>
      <c r="J521" s="23" t="str">
        <f t="shared" si="42"/>
        <v>Match</v>
      </c>
      <c r="K521" s="24">
        <f t="shared" si="43"/>
        <v>5.56</v>
      </c>
      <c r="L521" s="24">
        <f t="shared" si="44"/>
        <v>0</v>
      </c>
    </row>
    <row r="522" spans="1:12" ht="15" customHeight="1" x14ac:dyDescent="0.3">
      <c r="A522" s="23" t="s">
        <v>13020</v>
      </c>
      <c r="B522" s="23" t="s">
        <v>75</v>
      </c>
      <c r="C522" s="39">
        <v>2499</v>
      </c>
      <c r="D522" s="24">
        <v>7.5</v>
      </c>
      <c r="E522" s="24">
        <v>1.35</v>
      </c>
      <c r="F522" s="23">
        <f>COUNTIFS(mdr_rate_cleaned!$A$2:$A$10,B522,mdr_rate_cleaned!$B$2:$B$10,"&lt;"&amp;C522,mdr_rate_cleaned!$F$2:$F$10,"&gt;="&amp;C522)</f>
        <v>1</v>
      </c>
      <c r="G522" s="40">
        <f>SUMIFS(mdr_rate_cleaned!$G$2:$G$10,mdr_rate_cleaned!$A$2:$A$10,B522,mdr_rate_cleaned!$B$2:$B$10,"&lt;"&amp;C522,mdr_rate_cleaned!$F$2:$F$10,"&gt;="&amp;C522)</f>
        <v>3.0000000000000001E-3</v>
      </c>
      <c r="H522" s="24">
        <f t="shared" si="40"/>
        <v>7.5</v>
      </c>
      <c r="I522" s="23" t="str">
        <f t="shared" si="41"/>
        <v>Match</v>
      </c>
      <c r="J522" s="23" t="str">
        <f t="shared" si="42"/>
        <v>Match</v>
      </c>
      <c r="K522" s="24">
        <f t="shared" si="43"/>
        <v>1.35</v>
      </c>
      <c r="L522" s="24">
        <f t="shared" si="44"/>
        <v>0</v>
      </c>
    </row>
    <row r="523" spans="1:12" ht="15" customHeight="1" x14ac:dyDescent="0.3">
      <c r="A523" s="23" t="s">
        <v>13021</v>
      </c>
      <c r="B523" s="23" t="s">
        <v>75</v>
      </c>
      <c r="C523" s="39">
        <v>5998</v>
      </c>
      <c r="D523" s="24">
        <v>17.989999999999998</v>
      </c>
      <c r="E523" s="24">
        <v>3.24</v>
      </c>
      <c r="F523" s="23">
        <f>COUNTIFS(mdr_rate_cleaned!$A$2:$A$10,B523,mdr_rate_cleaned!$B$2:$B$10,"&lt;"&amp;C523,mdr_rate_cleaned!$F$2:$F$10,"&gt;="&amp;C523)</f>
        <v>1</v>
      </c>
      <c r="G523" s="40">
        <f>SUMIFS(mdr_rate_cleaned!$G$2:$G$10,mdr_rate_cleaned!$A$2:$A$10,B523,mdr_rate_cleaned!$B$2:$B$10,"&lt;"&amp;C523,mdr_rate_cleaned!$F$2:$F$10,"&gt;="&amp;C523)</f>
        <v>3.0000000000000001E-3</v>
      </c>
      <c r="H523" s="24">
        <f t="shared" si="40"/>
        <v>17.989999999999998</v>
      </c>
      <c r="I523" s="23" t="str">
        <f t="shared" si="41"/>
        <v>Match</v>
      </c>
      <c r="J523" s="23" t="str">
        <f t="shared" si="42"/>
        <v>Match</v>
      </c>
      <c r="K523" s="24">
        <f t="shared" si="43"/>
        <v>3.24</v>
      </c>
      <c r="L523" s="24">
        <f t="shared" si="44"/>
        <v>0</v>
      </c>
    </row>
    <row r="524" spans="1:12" ht="15" customHeight="1" x14ac:dyDescent="0.3">
      <c r="A524" s="23" t="s">
        <v>13022</v>
      </c>
      <c r="B524" s="23" t="s">
        <v>79</v>
      </c>
      <c r="C524" s="39">
        <v>1299</v>
      </c>
      <c r="D524" s="24">
        <v>23.38</v>
      </c>
      <c r="E524" s="24">
        <v>4.21</v>
      </c>
      <c r="F524" s="23">
        <f>COUNTIFS(mdr_rate_cleaned!$A$2:$A$10,B524,mdr_rate_cleaned!$B$2:$B$10,"&lt;"&amp;C524,mdr_rate_cleaned!$F$2:$F$10,"&gt;="&amp;C524)</f>
        <v>1</v>
      </c>
      <c r="G524" s="40">
        <f>SUMIFS(mdr_rate_cleaned!$G$2:$G$10,mdr_rate_cleaned!$A$2:$A$10,B524,mdr_rate_cleaned!$B$2:$B$10,"&lt;"&amp;C524,mdr_rate_cleaned!$F$2:$F$10,"&gt;="&amp;C524)</f>
        <v>1.8000000000000002E-2</v>
      </c>
      <c r="H524" s="24">
        <f t="shared" si="40"/>
        <v>23.38</v>
      </c>
      <c r="I524" s="23" t="str">
        <f t="shared" si="41"/>
        <v>Match</v>
      </c>
      <c r="J524" s="23" t="str">
        <f t="shared" si="42"/>
        <v>Match</v>
      </c>
      <c r="K524" s="24">
        <f t="shared" si="43"/>
        <v>4.21</v>
      </c>
      <c r="L524" s="24">
        <f t="shared" si="44"/>
        <v>0</v>
      </c>
    </row>
    <row r="525" spans="1:12" ht="15" customHeight="1" x14ac:dyDescent="0.3">
      <c r="A525" s="23" t="s">
        <v>13023</v>
      </c>
      <c r="B525" s="23" t="s">
        <v>75</v>
      </c>
      <c r="C525" s="39">
        <v>3499</v>
      </c>
      <c r="D525" s="24">
        <v>10.5</v>
      </c>
      <c r="E525" s="24">
        <v>1.89</v>
      </c>
      <c r="F525" s="23">
        <f>COUNTIFS(mdr_rate_cleaned!$A$2:$A$10,B525,mdr_rate_cleaned!$B$2:$B$10,"&lt;"&amp;C525,mdr_rate_cleaned!$F$2:$F$10,"&gt;="&amp;C525)</f>
        <v>1</v>
      </c>
      <c r="G525" s="40">
        <f>SUMIFS(mdr_rate_cleaned!$G$2:$G$10,mdr_rate_cleaned!$A$2:$A$10,B525,mdr_rate_cleaned!$B$2:$B$10,"&lt;"&amp;C525,mdr_rate_cleaned!$F$2:$F$10,"&gt;="&amp;C525)</f>
        <v>3.0000000000000001E-3</v>
      </c>
      <c r="H525" s="24">
        <f t="shared" si="40"/>
        <v>10.5</v>
      </c>
      <c r="I525" s="23" t="str">
        <f t="shared" si="41"/>
        <v>Match</v>
      </c>
      <c r="J525" s="23" t="str">
        <f t="shared" si="42"/>
        <v>Match</v>
      </c>
      <c r="K525" s="24">
        <f t="shared" si="43"/>
        <v>1.89</v>
      </c>
      <c r="L525" s="24">
        <f t="shared" si="44"/>
        <v>0</v>
      </c>
    </row>
    <row r="526" spans="1:12" ht="15" customHeight="1" x14ac:dyDescent="0.3">
      <c r="A526" s="23" t="s">
        <v>13024</v>
      </c>
      <c r="B526" s="23" t="s">
        <v>75</v>
      </c>
      <c r="C526" s="39">
        <v>1499</v>
      </c>
      <c r="D526" s="24">
        <v>0</v>
      </c>
      <c r="E526" s="24">
        <v>0</v>
      </c>
      <c r="F526" s="23">
        <f>COUNTIFS(mdr_rate_cleaned!$A$2:$A$10,B526,mdr_rate_cleaned!$B$2:$B$10,"&lt;"&amp;C526,mdr_rate_cleaned!$F$2:$F$10,"&gt;="&amp;C526)</f>
        <v>1</v>
      </c>
      <c r="G526" s="40">
        <f>SUMIFS(mdr_rate_cleaned!$G$2:$G$10,mdr_rate_cleaned!$A$2:$A$10,B526,mdr_rate_cleaned!$B$2:$B$10,"&lt;"&amp;C526,mdr_rate_cleaned!$F$2:$F$10,"&gt;="&amp;C526)</f>
        <v>0</v>
      </c>
      <c r="H526" s="24">
        <f t="shared" si="40"/>
        <v>0</v>
      </c>
      <c r="I526" s="23" t="str">
        <f t="shared" si="41"/>
        <v>Match</v>
      </c>
      <c r="J526" s="23" t="str">
        <f t="shared" si="42"/>
        <v>Match</v>
      </c>
      <c r="K526" s="24">
        <f t="shared" si="43"/>
        <v>0</v>
      </c>
      <c r="L526" s="24">
        <f t="shared" si="44"/>
        <v>0</v>
      </c>
    </row>
    <row r="527" spans="1:12" ht="15" customHeight="1" x14ac:dyDescent="0.3">
      <c r="A527" s="23" t="s">
        <v>13025</v>
      </c>
      <c r="B527" s="23" t="s">
        <v>75</v>
      </c>
      <c r="C527" s="39">
        <v>3100</v>
      </c>
      <c r="D527" s="24">
        <v>9.3000000000000007</v>
      </c>
      <c r="E527" s="24">
        <v>1.67</v>
      </c>
      <c r="F527" s="23">
        <f>COUNTIFS(mdr_rate_cleaned!$A$2:$A$10,B527,mdr_rate_cleaned!$B$2:$B$10,"&lt;"&amp;C527,mdr_rate_cleaned!$F$2:$F$10,"&gt;="&amp;C527)</f>
        <v>1</v>
      </c>
      <c r="G527" s="40">
        <f>SUMIFS(mdr_rate_cleaned!$G$2:$G$10,mdr_rate_cleaned!$A$2:$A$10,B527,mdr_rate_cleaned!$B$2:$B$10,"&lt;"&amp;C527,mdr_rate_cleaned!$F$2:$F$10,"&gt;="&amp;C527)</f>
        <v>3.0000000000000001E-3</v>
      </c>
      <c r="H527" s="24">
        <f t="shared" si="40"/>
        <v>9.3000000000000007</v>
      </c>
      <c r="I527" s="23" t="str">
        <f t="shared" si="41"/>
        <v>Match</v>
      </c>
      <c r="J527" s="23" t="str">
        <f t="shared" si="42"/>
        <v>Match</v>
      </c>
      <c r="K527" s="24">
        <f t="shared" si="43"/>
        <v>1.67</v>
      </c>
      <c r="L527" s="24">
        <f t="shared" si="44"/>
        <v>0</v>
      </c>
    </row>
    <row r="528" spans="1:12" ht="15" customHeight="1" x14ac:dyDescent="0.3">
      <c r="A528" s="23" t="s">
        <v>13026</v>
      </c>
      <c r="B528" s="23" t="s">
        <v>79</v>
      </c>
      <c r="C528" s="39">
        <v>5998</v>
      </c>
      <c r="D528" s="24">
        <v>95.97</v>
      </c>
      <c r="E528" s="24">
        <v>17.27</v>
      </c>
      <c r="F528" s="23">
        <f>COUNTIFS(mdr_rate_cleaned!$A$2:$A$10,B528,mdr_rate_cleaned!$B$2:$B$10,"&lt;"&amp;C528,mdr_rate_cleaned!$F$2:$F$10,"&gt;="&amp;C528)</f>
        <v>1</v>
      </c>
      <c r="G528" s="40">
        <f>SUMIFS(mdr_rate_cleaned!$G$2:$G$10,mdr_rate_cleaned!$A$2:$A$10,B528,mdr_rate_cleaned!$B$2:$B$10,"&lt;"&amp;C528,mdr_rate_cleaned!$F$2:$F$10,"&gt;="&amp;C528)</f>
        <v>1.6E-2</v>
      </c>
      <c r="H528" s="24">
        <f t="shared" si="40"/>
        <v>95.97</v>
      </c>
      <c r="I528" s="23" t="str">
        <f t="shared" si="41"/>
        <v>Match</v>
      </c>
      <c r="J528" s="23" t="str">
        <f t="shared" si="42"/>
        <v>Match</v>
      </c>
      <c r="K528" s="24">
        <f t="shared" si="43"/>
        <v>17.27</v>
      </c>
      <c r="L528" s="24">
        <f t="shared" si="44"/>
        <v>0</v>
      </c>
    </row>
    <row r="529" spans="1:12" ht="15" customHeight="1" x14ac:dyDescent="0.3">
      <c r="A529" s="23" t="s">
        <v>13028</v>
      </c>
      <c r="B529" s="23" t="s">
        <v>79</v>
      </c>
      <c r="C529" s="39">
        <v>4498</v>
      </c>
      <c r="D529" s="24">
        <v>71.97</v>
      </c>
      <c r="E529" s="24">
        <v>12.95</v>
      </c>
      <c r="F529" s="23">
        <f>COUNTIFS(mdr_rate_cleaned!$A$2:$A$10,B529,mdr_rate_cleaned!$B$2:$B$10,"&lt;"&amp;C529,mdr_rate_cleaned!$F$2:$F$10,"&gt;="&amp;C529)</f>
        <v>1</v>
      </c>
      <c r="G529" s="40">
        <f>SUMIFS(mdr_rate_cleaned!$G$2:$G$10,mdr_rate_cleaned!$A$2:$A$10,B529,mdr_rate_cleaned!$B$2:$B$10,"&lt;"&amp;C529,mdr_rate_cleaned!$F$2:$F$10,"&gt;="&amp;C529)</f>
        <v>1.6E-2</v>
      </c>
      <c r="H529" s="24">
        <f t="shared" si="40"/>
        <v>71.97</v>
      </c>
      <c r="I529" s="23" t="str">
        <f t="shared" si="41"/>
        <v>Match</v>
      </c>
      <c r="J529" s="23" t="str">
        <f t="shared" si="42"/>
        <v>Match</v>
      </c>
      <c r="K529" s="24">
        <f t="shared" si="43"/>
        <v>12.95</v>
      </c>
      <c r="L529" s="24">
        <f t="shared" si="44"/>
        <v>0</v>
      </c>
    </row>
    <row r="530" spans="1:12" ht="15" customHeight="1" x14ac:dyDescent="0.3">
      <c r="A530" s="23" t="s">
        <v>13029</v>
      </c>
      <c r="B530" s="23" t="s">
        <v>77</v>
      </c>
      <c r="C530" s="39">
        <v>6597</v>
      </c>
      <c r="D530" s="24">
        <v>112.15</v>
      </c>
      <c r="E530" s="24">
        <v>20.190000000000001</v>
      </c>
      <c r="F530" s="23">
        <f>COUNTIFS(mdr_rate_cleaned!$A$2:$A$10,B530,mdr_rate_cleaned!$B$2:$B$10,"&lt;"&amp;C530,mdr_rate_cleaned!$F$2:$F$10,"&gt;="&amp;C530)</f>
        <v>1</v>
      </c>
      <c r="G530" s="40">
        <f>SUMIFS(mdr_rate_cleaned!$G$2:$G$10,mdr_rate_cleaned!$A$2:$A$10,B530,mdr_rate_cleaned!$B$2:$B$10,"&lt;"&amp;C530,mdr_rate_cleaned!$F$2:$F$10,"&gt;="&amp;C530)</f>
        <v>1.7000000000000001E-2</v>
      </c>
      <c r="H530" s="24">
        <f t="shared" si="40"/>
        <v>112.15</v>
      </c>
      <c r="I530" s="23" t="str">
        <f t="shared" si="41"/>
        <v>Match</v>
      </c>
      <c r="J530" s="23" t="str">
        <f t="shared" si="42"/>
        <v>Match</v>
      </c>
      <c r="K530" s="24">
        <f t="shared" si="43"/>
        <v>20.190000000000001</v>
      </c>
      <c r="L530" s="24">
        <f t="shared" si="44"/>
        <v>0</v>
      </c>
    </row>
    <row r="531" spans="1:12" ht="15" customHeight="1" x14ac:dyDescent="0.3">
      <c r="A531" s="23" t="s">
        <v>13030</v>
      </c>
      <c r="B531" s="23" t="s">
        <v>79</v>
      </c>
      <c r="C531" s="39">
        <v>2499</v>
      </c>
      <c r="D531" s="24">
        <v>39.979999999999997</v>
      </c>
      <c r="E531" s="24">
        <v>7.2</v>
      </c>
      <c r="F531" s="23">
        <f>COUNTIFS(mdr_rate_cleaned!$A$2:$A$10,B531,mdr_rate_cleaned!$B$2:$B$10,"&lt;"&amp;C531,mdr_rate_cleaned!$F$2:$F$10,"&gt;="&amp;C531)</f>
        <v>1</v>
      </c>
      <c r="G531" s="40">
        <f>SUMIFS(mdr_rate_cleaned!$G$2:$G$10,mdr_rate_cleaned!$A$2:$A$10,B531,mdr_rate_cleaned!$B$2:$B$10,"&lt;"&amp;C531,mdr_rate_cleaned!$F$2:$F$10,"&gt;="&amp;C531)</f>
        <v>1.6E-2</v>
      </c>
      <c r="H531" s="24">
        <f t="shared" si="40"/>
        <v>39.979999999999997</v>
      </c>
      <c r="I531" s="23" t="str">
        <f t="shared" si="41"/>
        <v>Match</v>
      </c>
      <c r="J531" s="23" t="str">
        <f t="shared" si="42"/>
        <v>Match</v>
      </c>
      <c r="K531" s="24">
        <f t="shared" si="43"/>
        <v>7.2</v>
      </c>
      <c r="L531" s="24">
        <f t="shared" si="44"/>
        <v>0</v>
      </c>
    </row>
    <row r="532" spans="1:12" ht="15" customHeight="1" x14ac:dyDescent="0.3">
      <c r="A532" s="23" t="s">
        <v>13031</v>
      </c>
      <c r="B532" s="23" t="s">
        <v>79</v>
      </c>
      <c r="C532" s="39">
        <v>499</v>
      </c>
      <c r="D532" s="24">
        <v>8.98</v>
      </c>
      <c r="E532" s="24">
        <v>1.62</v>
      </c>
      <c r="F532" s="23">
        <f>COUNTIFS(mdr_rate_cleaned!$A$2:$A$10,B532,mdr_rate_cleaned!$B$2:$B$10,"&lt;"&amp;C532,mdr_rate_cleaned!$F$2:$F$10,"&gt;="&amp;C532)</f>
        <v>1</v>
      </c>
      <c r="G532" s="40">
        <f>SUMIFS(mdr_rate_cleaned!$G$2:$G$10,mdr_rate_cleaned!$A$2:$A$10,B532,mdr_rate_cleaned!$B$2:$B$10,"&lt;"&amp;C532,mdr_rate_cleaned!$F$2:$F$10,"&gt;="&amp;C532)</f>
        <v>1.8000000000000002E-2</v>
      </c>
      <c r="H532" s="24">
        <f t="shared" si="40"/>
        <v>8.98</v>
      </c>
      <c r="I532" s="23" t="str">
        <f t="shared" si="41"/>
        <v>Match</v>
      </c>
      <c r="J532" s="23" t="str">
        <f t="shared" si="42"/>
        <v>Match</v>
      </c>
      <c r="K532" s="24">
        <f t="shared" si="43"/>
        <v>1.62</v>
      </c>
      <c r="L532" s="24">
        <f t="shared" si="44"/>
        <v>0</v>
      </c>
    </row>
    <row r="533" spans="1:12" ht="15" customHeight="1" x14ac:dyDescent="0.3">
      <c r="A533" s="23" t="s">
        <v>13032</v>
      </c>
      <c r="B533" s="23" t="s">
        <v>75</v>
      </c>
      <c r="C533" s="39">
        <v>6097</v>
      </c>
      <c r="D533" s="24">
        <v>18.29</v>
      </c>
      <c r="E533" s="24">
        <v>3.29</v>
      </c>
      <c r="F533" s="23">
        <f>COUNTIFS(mdr_rate_cleaned!$A$2:$A$10,B533,mdr_rate_cleaned!$B$2:$B$10,"&lt;"&amp;C533,mdr_rate_cleaned!$F$2:$F$10,"&gt;="&amp;C533)</f>
        <v>1</v>
      </c>
      <c r="G533" s="40">
        <f>SUMIFS(mdr_rate_cleaned!$G$2:$G$10,mdr_rate_cleaned!$A$2:$A$10,B533,mdr_rate_cleaned!$B$2:$B$10,"&lt;"&amp;C533,mdr_rate_cleaned!$F$2:$F$10,"&gt;="&amp;C533)</f>
        <v>3.0000000000000001E-3</v>
      </c>
      <c r="H533" s="24">
        <f t="shared" si="40"/>
        <v>18.29</v>
      </c>
      <c r="I533" s="23" t="str">
        <f t="shared" si="41"/>
        <v>Match</v>
      </c>
      <c r="J533" s="23" t="str">
        <f t="shared" si="42"/>
        <v>Match</v>
      </c>
      <c r="K533" s="24">
        <f t="shared" si="43"/>
        <v>3.29</v>
      </c>
      <c r="L533" s="24">
        <f t="shared" si="44"/>
        <v>0</v>
      </c>
    </row>
    <row r="534" spans="1:12" ht="15" customHeight="1" x14ac:dyDescent="0.3">
      <c r="A534" s="23" t="s">
        <v>13033</v>
      </c>
      <c r="B534" s="23" t="s">
        <v>81</v>
      </c>
      <c r="C534" s="39">
        <v>349</v>
      </c>
      <c r="D534" s="24">
        <v>5.24</v>
      </c>
      <c r="E534" s="24">
        <v>0.94</v>
      </c>
      <c r="F534" s="23">
        <f>COUNTIFS(mdr_rate_cleaned!$A$2:$A$10,B534,mdr_rate_cleaned!$B$2:$B$10,"&lt;"&amp;C534,mdr_rate_cleaned!$F$2:$F$10,"&gt;="&amp;C534)</f>
        <v>1</v>
      </c>
      <c r="G534" s="40">
        <f>SUMIFS(mdr_rate_cleaned!$G$2:$G$10,mdr_rate_cleaned!$A$2:$A$10,B534,mdr_rate_cleaned!$B$2:$B$10,"&lt;"&amp;C534,mdr_rate_cleaned!$F$2:$F$10,"&gt;="&amp;C534)</f>
        <v>1.4999999999999999E-2</v>
      </c>
      <c r="H534" s="24">
        <f t="shared" si="40"/>
        <v>5.24</v>
      </c>
      <c r="I534" s="23" t="str">
        <f t="shared" si="41"/>
        <v>Match</v>
      </c>
      <c r="J534" s="23" t="str">
        <f t="shared" si="42"/>
        <v>Match</v>
      </c>
      <c r="K534" s="24">
        <f t="shared" si="43"/>
        <v>0.94</v>
      </c>
      <c r="L534" s="24">
        <f t="shared" si="44"/>
        <v>0</v>
      </c>
    </row>
    <row r="535" spans="1:12" ht="15" customHeight="1" x14ac:dyDescent="0.3">
      <c r="A535" s="23" t="s">
        <v>13034</v>
      </c>
      <c r="B535" s="23" t="s">
        <v>81</v>
      </c>
      <c r="C535" s="39">
        <v>1299</v>
      </c>
      <c r="D535" s="24">
        <v>19.489999999999998</v>
      </c>
      <c r="E535" s="24">
        <v>3.51</v>
      </c>
      <c r="F535" s="23">
        <f>COUNTIFS(mdr_rate_cleaned!$A$2:$A$10,B535,mdr_rate_cleaned!$B$2:$B$10,"&lt;"&amp;C535,mdr_rate_cleaned!$F$2:$F$10,"&gt;="&amp;C535)</f>
        <v>1</v>
      </c>
      <c r="G535" s="40">
        <f>SUMIFS(mdr_rate_cleaned!$G$2:$G$10,mdr_rate_cleaned!$A$2:$A$10,B535,mdr_rate_cleaned!$B$2:$B$10,"&lt;"&amp;C535,mdr_rate_cleaned!$F$2:$F$10,"&gt;="&amp;C535)</f>
        <v>1.4999999999999999E-2</v>
      </c>
      <c r="H535" s="24">
        <f t="shared" si="40"/>
        <v>19.489999999999998</v>
      </c>
      <c r="I535" s="23" t="str">
        <f t="shared" si="41"/>
        <v>Match</v>
      </c>
      <c r="J535" s="23" t="str">
        <f t="shared" si="42"/>
        <v>Match</v>
      </c>
      <c r="K535" s="24">
        <f t="shared" si="43"/>
        <v>3.51</v>
      </c>
      <c r="L535" s="24">
        <f t="shared" si="44"/>
        <v>0</v>
      </c>
    </row>
    <row r="536" spans="1:12" ht="15" customHeight="1" x14ac:dyDescent="0.3">
      <c r="A536" s="23" t="s">
        <v>13035</v>
      </c>
      <c r="B536" s="23" t="s">
        <v>75</v>
      </c>
      <c r="C536" s="39">
        <v>1598</v>
      </c>
      <c r="D536" s="24">
        <v>0</v>
      </c>
      <c r="E536" s="24">
        <v>0</v>
      </c>
      <c r="F536" s="23">
        <f>COUNTIFS(mdr_rate_cleaned!$A$2:$A$10,B536,mdr_rate_cleaned!$B$2:$B$10,"&lt;"&amp;C536,mdr_rate_cleaned!$F$2:$F$10,"&gt;="&amp;C536)</f>
        <v>1</v>
      </c>
      <c r="G536" s="40">
        <f>SUMIFS(mdr_rate_cleaned!$G$2:$G$10,mdr_rate_cleaned!$A$2:$A$10,B536,mdr_rate_cleaned!$B$2:$B$10,"&lt;"&amp;C536,mdr_rate_cleaned!$F$2:$F$10,"&gt;="&amp;C536)</f>
        <v>0</v>
      </c>
      <c r="H536" s="24">
        <f t="shared" si="40"/>
        <v>0</v>
      </c>
      <c r="I536" s="23" t="str">
        <f t="shared" si="41"/>
        <v>Match</v>
      </c>
      <c r="J536" s="23" t="str">
        <f t="shared" si="42"/>
        <v>Match</v>
      </c>
      <c r="K536" s="24">
        <f t="shared" si="43"/>
        <v>0</v>
      </c>
      <c r="L536" s="24">
        <f t="shared" si="44"/>
        <v>0</v>
      </c>
    </row>
    <row r="537" spans="1:12" ht="15" customHeight="1" x14ac:dyDescent="0.3">
      <c r="A537" s="23" t="s">
        <v>13036</v>
      </c>
      <c r="B537" s="23" t="s">
        <v>81</v>
      </c>
      <c r="C537" s="39">
        <v>2999</v>
      </c>
      <c r="D537" s="24">
        <v>35.99</v>
      </c>
      <c r="E537" s="24">
        <v>6.48</v>
      </c>
      <c r="F537" s="23">
        <f>COUNTIFS(mdr_rate_cleaned!$A$2:$A$10,B537,mdr_rate_cleaned!$B$2:$B$10,"&lt;"&amp;C537,mdr_rate_cleaned!$F$2:$F$10,"&gt;="&amp;C537)</f>
        <v>1</v>
      </c>
      <c r="G537" s="40">
        <f>SUMIFS(mdr_rate_cleaned!$G$2:$G$10,mdr_rate_cleaned!$A$2:$A$10,B537,mdr_rate_cleaned!$B$2:$B$10,"&lt;"&amp;C537,mdr_rate_cleaned!$F$2:$F$10,"&gt;="&amp;C537)</f>
        <v>1.2E-2</v>
      </c>
      <c r="H537" s="24">
        <f t="shared" si="40"/>
        <v>35.99</v>
      </c>
      <c r="I537" s="23" t="str">
        <f t="shared" si="41"/>
        <v>Match</v>
      </c>
      <c r="J537" s="23" t="str">
        <f t="shared" si="42"/>
        <v>Match</v>
      </c>
      <c r="K537" s="24">
        <f t="shared" si="43"/>
        <v>6.48</v>
      </c>
      <c r="L537" s="24">
        <f t="shared" si="44"/>
        <v>0</v>
      </c>
    </row>
    <row r="538" spans="1:12" ht="15" customHeight="1" x14ac:dyDescent="0.3">
      <c r="A538" s="23" t="s">
        <v>13037</v>
      </c>
      <c r="B538" s="23" t="s">
        <v>77</v>
      </c>
      <c r="C538" s="39">
        <v>599</v>
      </c>
      <c r="D538" s="24">
        <v>11.38</v>
      </c>
      <c r="E538" s="24">
        <v>2.0499999999999998</v>
      </c>
      <c r="F538" s="23">
        <f>COUNTIFS(mdr_rate_cleaned!$A$2:$A$10,B538,mdr_rate_cleaned!$B$2:$B$10,"&lt;"&amp;C538,mdr_rate_cleaned!$F$2:$F$10,"&gt;="&amp;C538)</f>
        <v>1</v>
      </c>
      <c r="G538" s="40">
        <f>SUMIFS(mdr_rate_cleaned!$G$2:$G$10,mdr_rate_cleaned!$A$2:$A$10,B538,mdr_rate_cleaned!$B$2:$B$10,"&lt;"&amp;C538,mdr_rate_cleaned!$F$2:$F$10,"&gt;="&amp;C538)</f>
        <v>1.9E-2</v>
      </c>
      <c r="H538" s="24">
        <f t="shared" si="40"/>
        <v>11.38</v>
      </c>
      <c r="I538" s="23" t="str">
        <f t="shared" si="41"/>
        <v>Match</v>
      </c>
      <c r="J538" s="23" t="str">
        <f t="shared" si="42"/>
        <v>Match</v>
      </c>
      <c r="K538" s="24">
        <f t="shared" si="43"/>
        <v>2.0499999999999998</v>
      </c>
      <c r="L538" s="24">
        <f t="shared" si="44"/>
        <v>0</v>
      </c>
    </row>
    <row r="539" spans="1:12" ht="15" customHeight="1" x14ac:dyDescent="0.3">
      <c r="A539" s="23" t="s">
        <v>13039</v>
      </c>
      <c r="B539" s="23" t="s">
        <v>75</v>
      </c>
      <c r="C539" s="39">
        <v>6897</v>
      </c>
      <c r="D539" s="24">
        <v>20.69</v>
      </c>
      <c r="E539" s="24">
        <v>3.72</v>
      </c>
      <c r="F539" s="23">
        <f>COUNTIFS(mdr_rate_cleaned!$A$2:$A$10,B539,mdr_rate_cleaned!$B$2:$B$10,"&lt;"&amp;C539,mdr_rate_cleaned!$F$2:$F$10,"&gt;="&amp;C539)</f>
        <v>1</v>
      </c>
      <c r="G539" s="40">
        <f>SUMIFS(mdr_rate_cleaned!$G$2:$G$10,mdr_rate_cleaned!$A$2:$A$10,B539,mdr_rate_cleaned!$B$2:$B$10,"&lt;"&amp;C539,mdr_rate_cleaned!$F$2:$F$10,"&gt;="&amp;C539)</f>
        <v>3.0000000000000001E-3</v>
      </c>
      <c r="H539" s="24">
        <f t="shared" si="40"/>
        <v>20.69</v>
      </c>
      <c r="I539" s="23" t="str">
        <f t="shared" si="41"/>
        <v>Match</v>
      </c>
      <c r="J539" s="23" t="str">
        <f t="shared" si="42"/>
        <v>Match</v>
      </c>
      <c r="K539" s="24">
        <f t="shared" si="43"/>
        <v>3.72</v>
      </c>
      <c r="L539" s="24">
        <f t="shared" si="44"/>
        <v>0</v>
      </c>
    </row>
    <row r="540" spans="1:12" ht="15" customHeight="1" x14ac:dyDescent="0.3">
      <c r="A540" s="23" t="s">
        <v>13040</v>
      </c>
      <c r="B540" s="23" t="s">
        <v>75</v>
      </c>
      <c r="C540" s="39">
        <v>2999</v>
      </c>
      <c r="D540" s="24">
        <v>9</v>
      </c>
      <c r="E540" s="24">
        <v>1.62</v>
      </c>
      <c r="F540" s="23">
        <f>COUNTIFS(mdr_rate_cleaned!$A$2:$A$10,B540,mdr_rate_cleaned!$B$2:$B$10,"&lt;"&amp;C540,mdr_rate_cleaned!$F$2:$F$10,"&gt;="&amp;C540)</f>
        <v>1</v>
      </c>
      <c r="G540" s="40">
        <f>SUMIFS(mdr_rate_cleaned!$G$2:$G$10,mdr_rate_cleaned!$A$2:$A$10,B540,mdr_rate_cleaned!$B$2:$B$10,"&lt;"&amp;C540,mdr_rate_cleaned!$F$2:$F$10,"&gt;="&amp;C540)</f>
        <v>3.0000000000000001E-3</v>
      </c>
      <c r="H540" s="24">
        <f t="shared" si="40"/>
        <v>9</v>
      </c>
      <c r="I540" s="23" t="str">
        <f t="shared" si="41"/>
        <v>Match</v>
      </c>
      <c r="J540" s="23" t="str">
        <f t="shared" si="42"/>
        <v>Match</v>
      </c>
      <c r="K540" s="24">
        <f t="shared" si="43"/>
        <v>1.62</v>
      </c>
      <c r="L540" s="24">
        <f t="shared" si="44"/>
        <v>0</v>
      </c>
    </row>
    <row r="541" spans="1:12" ht="15" customHeight="1" x14ac:dyDescent="0.3">
      <c r="A541" s="23" t="s">
        <v>13042</v>
      </c>
      <c r="B541" s="23" t="s">
        <v>75</v>
      </c>
      <c r="C541" s="39">
        <v>5598</v>
      </c>
      <c r="D541" s="24">
        <v>16.79</v>
      </c>
      <c r="E541" s="24">
        <v>3.02</v>
      </c>
      <c r="F541" s="23">
        <f>COUNTIFS(mdr_rate_cleaned!$A$2:$A$10,B541,mdr_rate_cleaned!$B$2:$B$10,"&lt;"&amp;C541,mdr_rate_cleaned!$F$2:$F$10,"&gt;="&amp;C541)</f>
        <v>1</v>
      </c>
      <c r="G541" s="40">
        <f>SUMIFS(mdr_rate_cleaned!$G$2:$G$10,mdr_rate_cleaned!$A$2:$A$10,B541,mdr_rate_cleaned!$B$2:$B$10,"&lt;"&amp;C541,mdr_rate_cleaned!$F$2:$F$10,"&gt;="&amp;C541)</f>
        <v>3.0000000000000001E-3</v>
      </c>
      <c r="H541" s="24">
        <f t="shared" si="40"/>
        <v>16.79</v>
      </c>
      <c r="I541" s="23" t="str">
        <f t="shared" si="41"/>
        <v>Match</v>
      </c>
      <c r="J541" s="23" t="str">
        <f t="shared" si="42"/>
        <v>Match</v>
      </c>
      <c r="K541" s="24">
        <f t="shared" si="43"/>
        <v>3.02</v>
      </c>
      <c r="L541" s="24">
        <f t="shared" si="44"/>
        <v>0</v>
      </c>
    </row>
    <row r="542" spans="1:12" ht="15" customHeight="1" x14ac:dyDescent="0.3">
      <c r="A542" s="23" t="s">
        <v>13043</v>
      </c>
      <c r="B542" s="23" t="s">
        <v>75</v>
      </c>
      <c r="C542" s="39">
        <v>2499</v>
      </c>
      <c r="D542" s="24">
        <v>7.5</v>
      </c>
      <c r="E542" s="24">
        <v>1.35</v>
      </c>
      <c r="F542" s="23">
        <f>COUNTIFS(mdr_rate_cleaned!$A$2:$A$10,B542,mdr_rate_cleaned!$B$2:$B$10,"&lt;"&amp;C542,mdr_rate_cleaned!$F$2:$F$10,"&gt;="&amp;C542)</f>
        <v>1</v>
      </c>
      <c r="G542" s="40">
        <f>SUMIFS(mdr_rate_cleaned!$G$2:$G$10,mdr_rate_cleaned!$A$2:$A$10,B542,mdr_rate_cleaned!$B$2:$B$10,"&lt;"&amp;C542,mdr_rate_cleaned!$F$2:$F$10,"&gt;="&amp;C542)</f>
        <v>3.0000000000000001E-3</v>
      </c>
      <c r="H542" s="24">
        <f t="shared" si="40"/>
        <v>7.5</v>
      </c>
      <c r="I542" s="23" t="str">
        <f t="shared" si="41"/>
        <v>Match</v>
      </c>
      <c r="J542" s="23" t="str">
        <f t="shared" si="42"/>
        <v>Match</v>
      </c>
      <c r="K542" s="24">
        <f t="shared" si="43"/>
        <v>1.35</v>
      </c>
      <c r="L542" s="24">
        <f t="shared" si="44"/>
        <v>0</v>
      </c>
    </row>
    <row r="543" spans="1:12" ht="15" customHeight="1" x14ac:dyDescent="0.3">
      <c r="A543" s="23" t="s">
        <v>13044</v>
      </c>
      <c r="B543" s="23" t="s">
        <v>75</v>
      </c>
      <c r="C543" s="39">
        <v>1499</v>
      </c>
      <c r="D543" s="24">
        <v>0</v>
      </c>
      <c r="E543" s="24">
        <v>0</v>
      </c>
      <c r="F543" s="23">
        <f>COUNTIFS(mdr_rate_cleaned!$A$2:$A$10,B543,mdr_rate_cleaned!$B$2:$B$10,"&lt;"&amp;C543,mdr_rate_cleaned!$F$2:$F$10,"&gt;="&amp;C543)</f>
        <v>1</v>
      </c>
      <c r="G543" s="40">
        <f>SUMIFS(mdr_rate_cleaned!$G$2:$G$10,mdr_rate_cleaned!$A$2:$A$10,B543,mdr_rate_cleaned!$B$2:$B$10,"&lt;"&amp;C543,mdr_rate_cleaned!$F$2:$F$10,"&gt;="&amp;C543)</f>
        <v>0</v>
      </c>
      <c r="H543" s="24">
        <f t="shared" si="40"/>
        <v>0</v>
      </c>
      <c r="I543" s="23" t="str">
        <f t="shared" si="41"/>
        <v>Match</v>
      </c>
      <c r="J543" s="23" t="str">
        <f t="shared" si="42"/>
        <v>Match</v>
      </c>
      <c r="K543" s="24">
        <f t="shared" si="43"/>
        <v>0</v>
      </c>
      <c r="L543" s="24">
        <f t="shared" si="44"/>
        <v>0</v>
      </c>
    </row>
    <row r="544" spans="1:12" ht="15" customHeight="1" x14ac:dyDescent="0.3">
      <c r="A544" s="23" t="s">
        <v>13046</v>
      </c>
      <c r="B544" s="23" t="s">
        <v>79</v>
      </c>
      <c r="C544" s="39">
        <v>6097</v>
      </c>
      <c r="D544" s="24">
        <v>97.55</v>
      </c>
      <c r="E544" s="24">
        <v>17.559999999999999</v>
      </c>
      <c r="F544" s="23">
        <f>COUNTIFS(mdr_rate_cleaned!$A$2:$A$10,B544,mdr_rate_cleaned!$B$2:$B$10,"&lt;"&amp;C544,mdr_rate_cleaned!$F$2:$F$10,"&gt;="&amp;C544)</f>
        <v>1</v>
      </c>
      <c r="G544" s="40">
        <f>SUMIFS(mdr_rate_cleaned!$G$2:$G$10,mdr_rate_cleaned!$A$2:$A$10,B544,mdr_rate_cleaned!$B$2:$B$10,"&lt;"&amp;C544,mdr_rate_cleaned!$F$2:$F$10,"&gt;="&amp;C544)</f>
        <v>1.6E-2</v>
      </c>
      <c r="H544" s="24">
        <f t="shared" si="40"/>
        <v>97.55</v>
      </c>
      <c r="I544" s="23" t="str">
        <f t="shared" si="41"/>
        <v>Match</v>
      </c>
      <c r="J544" s="23" t="str">
        <f t="shared" si="42"/>
        <v>Match</v>
      </c>
      <c r="K544" s="24">
        <f t="shared" si="43"/>
        <v>17.559999999999999</v>
      </c>
      <c r="L544" s="24">
        <f t="shared" si="44"/>
        <v>0</v>
      </c>
    </row>
    <row r="545" spans="1:12" ht="15" customHeight="1" x14ac:dyDescent="0.3">
      <c r="A545" s="23" t="s">
        <v>13048</v>
      </c>
      <c r="B545" s="23" t="s">
        <v>79</v>
      </c>
      <c r="C545" s="39">
        <v>6997</v>
      </c>
      <c r="D545" s="24">
        <v>111.95</v>
      </c>
      <c r="E545" s="24">
        <v>20.149999999999999</v>
      </c>
      <c r="F545" s="23">
        <f>COUNTIFS(mdr_rate_cleaned!$A$2:$A$10,B545,mdr_rate_cleaned!$B$2:$B$10,"&lt;"&amp;C545,mdr_rate_cleaned!$F$2:$F$10,"&gt;="&amp;C545)</f>
        <v>1</v>
      </c>
      <c r="G545" s="40">
        <f>SUMIFS(mdr_rate_cleaned!$G$2:$G$10,mdr_rate_cleaned!$A$2:$A$10,B545,mdr_rate_cleaned!$B$2:$B$10,"&lt;"&amp;C545,mdr_rate_cleaned!$F$2:$F$10,"&gt;="&amp;C545)</f>
        <v>1.6E-2</v>
      </c>
      <c r="H545" s="24">
        <f t="shared" si="40"/>
        <v>111.95</v>
      </c>
      <c r="I545" s="23" t="str">
        <f t="shared" si="41"/>
        <v>Match</v>
      </c>
      <c r="J545" s="23" t="str">
        <f t="shared" si="42"/>
        <v>Match</v>
      </c>
      <c r="K545" s="24">
        <f t="shared" si="43"/>
        <v>20.149999999999999</v>
      </c>
      <c r="L545" s="24">
        <f t="shared" si="44"/>
        <v>0</v>
      </c>
    </row>
    <row r="546" spans="1:12" ht="15" customHeight="1" x14ac:dyDescent="0.3">
      <c r="A546" s="23" t="s">
        <v>13049</v>
      </c>
      <c r="B546" s="23" t="s">
        <v>79</v>
      </c>
      <c r="C546" s="39">
        <v>599</v>
      </c>
      <c r="D546" s="24">
        <v>10.78</v>
      </c>
      <c r="E546" s="24">
        <v>1.94</v>
      </c>
      <c r="F546" s="23">
        <f>COUNTIFS(mdr_rate_cleaned!$A$2:$A$10,B546,mdr_rate_cleaned!$B$2:$B$10,"&lt;"&amp;C546,mdr_rate_cleaned!$F$2:$F$10,"&gt;="&amp;C546)</f>
        <v>1</v>
      </c>
      <c r="G546" s="40">
        <f>SUMIFS(mdr_rate_cleaned!$G$2:$G$10,mdr_rate_cleaned!$A$2:$A$10,B546,mdr_rate_cleaned!$B$2:$B$10,"&lt;"&amp;C546,mdr_rate_cleaned!$F$2:$F$10,"&gt;="&amp;C546)</f>
        <v>1.8000000000000002E-2</v>
      </c>
      <c r="H546" s="24">
        <f t="shared" si="40"/>
        <v>10.78</v>
      </c>
      <c r="I546" s="23" t="str">
        <f t="shared" si="41"/>
        <v>Match</v>
      </c>
      <c r="J546" s="23" t="str">
        <f t="shared" si="42"/>
        <v>Match</v>
      </c>
      <c r="K546" s="24">
        <f t="shared" si="43"/>
        <v>1.94</v>
      </c>
      <c r="L546" s="24">
        <f t="shared" si="44"/>
        <v>0</v>
      </c>
    </row>
    <row r="547" spans="1:12" ht="15" customHeight="1" x14ac:dyDescent="0.3">
      <c r="A547" s="23" t="s">
        <v>13050</v>
      </c>
      <c r="B547" s="23" t="s">
        <v>75</v>
      </c>
      <c r="C547" s="39">
        <v>3998</v>
      </c>
      <c r="D547" s="24">
        <v>11.99</v>
      </c>
      <c r="E547" s="24">
        <v>2.16</v>
      </c>
      <c r="F547" s="23">
        <f>COUNTIFS(mdr_rate_cleaned!$A$2:$A$10,B547,mdr_rate_cleaned!$B$2:$B$10,"&lt;"&amp;C547,mdr_rate_cleaned!$F$2:$F$10,"&gt;="&amp;C547)</f>
        <v>1</v>
      </c>
      <c r="G547" s="40">
        <f>SUMIFS(mdr_rate_cleaned!$G$2:$G$10,mdr_rate_cleaned!$A$2:$A$10,B547,mdr_rate_cleaned!$B$2:$B$10,"&lt;"&amp;C547,mdr_rate_cleaned!$F$2:$F$10,"&gt;="&amp;C547)</f>
        <v>3.0000000000000001E-3</v>
      </c>
      <c r="H547" s="24">
        <f t="shared" si="40"/>
        <v>11.99</v>
      </c>
      <c r="I547" s="23" t="str">
        <f t="shared" si="41"/>
        <v>Match</v>
      </c>
      <c r="J547" s="23" t="str">
        <f t="shared" si="42"/>
        <v>Match</v>
      </c>
      <c r="K547" s="24">
        <f t="shared" si="43"/>
        <v>2.16</v>
      </c>
      <c r="L547" s="24">
        <f t="shared" si="44"/>
        <v>0</v>
      </c>
    </row>
    <row r="548" spans="1:12" ht="15" customHeight="1" x14ac:dyDescent="0.3">
      <c r="A548" s="23" t="s">
        <v>13051</v>
      </c>
      <c r="B548" s="23" t="s">
        <v>79</v>
      </c>
      <c r="C548" s="39">
        <v>349</v>
      </c>
      <c r="D548" s="24">
        <v>6.28</v>
      </c>
      <c r="E548" s="24">
        <v>1.1299999999999999</v>
      </c>
      <c r="F548" s="23">
        <f>COUNTIFS(mdr_rate_cleaned!$A$2:$A$10,B548,mdr_rate_cleaned!$B$2:$B$10,"&lt;"&amp;C548,mdr_rate_cleaned!$F$2:$F$10,"&gt;="&amp;C548)</f>
        <v>1</v>
      </c>
      <c r="G548" s="40">
        <f>SUMIFS(mdr_rate_cleaned!$G$2:$G$10,mdr_rate_cleaned!$A$2:$A$10,B548,mdr_rate_cleaned!$B$2:$B$10,"&lt;"&amp;C548,mdr_rate_cleaned!$F$2:$F$10,"&gt;="&amp;C548)</f>
        <v>1.8000000000000002E-2</v>
      </c>
      <c r="H548" s="24">
        <f t="shared" si="40"/>
        <v>6.28</v>
      </c>
      <c r="I548" s="23" t="str">
        <f t="shared" si="41"/>
        <v>Match</v>
      </c>
      <c r="J548" s="23" t="str">
        <f t="shared" si="42"/>
        <v>Match</v>
      </c>
      <c r="K548" s="24">
        <f t="shared" si="43"/>
        <v>1.1299999999999999</v>
      </c>
      <c r="L548" s="24">
        <f t="shared" si="44"/>
        <v>0</v>
      </c>
    </row>
    <row r="549" spans="1:12" ht="15" customHeight="1" x14ac:dyDescent="0.3">
      <c r="A549" s="23" t="s">
        <v>13052</v>
      </c>
      <c r="B549" s="23" t="s">
        <v>75</v>
      </c>
      <c r="C549" s="39">
        <v>2597</v>
      </c>
      <c r="D549" s="24">
        <v>7.79</v>
      </c>
      <c r="E549" s="24">
        <v>1.4</v>
      </c>
      <c r="F549" s="23">
        <f>COUNTIFS(mdr_rate_cleaned!$A$2:$A$10,B549,mdr_rate_cleaned!$B$2:$B$10,"&lt;"&amp;C549,mdr_rate_cleaned!$F$2:$F$10,"&gt;="&amp;C549)</f>
        <v>1</v>
      </c>
      <c r="G549" s="40">
        <f>SUMIFS(mdr_rate_cleaned!$G$2:$G$10,mdr_rate_cleaned!$A$2:$A$10,B549,mdr_rate_cleaned!$B$2:$B$10,"&lt;"&amp;C549,mdr_rate_cleaned!$F$2:$F$10,"&gt;="&amp;C549)</f>
        <v>3.0000000000000001E-3</v>
      </c>
      <c r="H549" s="24">
        <f t="shared" si="40"/>
        <v>7.79</v>
      </c>
      <c r="I549" s="23" t="str">
        <f t="shared" si="41"/>
        <v>Match</v>
      </c>
      <c r="J549" s="23" t="str">
        <f t="shared" si="42"/>
        <v>Match</v>
      </c>
      <c r="K549" s="24">
        <f t="shared" si="43"/>
        <v>1.4</v>
      </c>
      <c r="L549" s="24">
        <f t="shared" si="44"/>
        <v>0</v>
      </c>
    </row>
    <row r="550" spans="1:12" ht="15" customHeight="1" x14ac:dyDescent="0.3">
      <c r="A550" s="23" t="s">
        <v>13053</v>
      </c>
      <c r="B550" s="23" t="s">
        <v>79</v>
      </c>
      <c r="C550" s="39">
        <v>999</v>
      </c>
      <c r="D550" s="24">
        <v>17.98</v>
      </c>
      <c r="E550" s="24">
        <v>3.24</v>
      </c>
      <c r="F550" s="23">
        <f>COUNTIFS(mdr_rate_cleaned!$A$2:$A$10,B550,mdr_rate_cleaned!$B$2:$B$10,"&lt;"&amp;C550,mdr_rate_cleaned!$F$2:$F$10,"&gt;="&amp;C550)</f>
        <v>1</v>
      </c>
      <c r="G550" s="40">
        <f>SUMIFS(mdr_rate_cleaned!$G$2:$G$10,mdr_rate_cleaned!$A$2:$A$10,B550,mdr_rate_cleaned!$B$2:$B$10,"&lt;"&amp;C550,mdr_rate_cleaned!$F$2:$F$10,"&gt;="&amp;C550)</f>
        <v>1.8000000000000002E-2</v>
      </c>
      <c r="H550" s="24">
        <f t="shared" si="40"/>
        <v>17.98</v>
      </c>
      <c r="I550" s="23" t="str">
        <f t="shared" si="41"/>
        <v>Match</v>
      </c>
      <c r="J550" s="23" t="str">
        <f t="shared" si="42"/>
        <v>Match</v>
      </c>
      <c r="K550" s="24">
        <f t="shared" si="43"/>
        <v>3.24</v>
      </c>
      <c r="L550" s="24">
        <f t="shared" si="44"/>
        <v>0</v>
      </c>
    </row>
    <row r="551" spans="1:12" ht="15" customHeight="1" x14ac:dyDescent="0.3">
      <c r="A551" s="23" t="s">
        <v>13054</v>
      </c>
      <c r="B551" s="23" t="s">
        <v>75</v>
      </c>
      <c r="C551" s="39">
        <v>349</v>
      </c>
      <c r="D551" s="24">
        <v>0</v>
      </c>
      <c r="E551" s="24">
        <v>0</v>
      </c>
      <c r="F551" s="23">
        <f>COUNTIFS(mdr_rate_cleaned!$A$2:$A$10,B551,mdr_rate_cleaned!$B$2:$B$10,"&lt;"&amp;C551,mdr_rate_cleaned!$F$2:$F$10,"&gt;="&amp;C551)</f>
        <v>1</v>
      </c>
      <c r="G551" s="40">
        <f>SUMIFS(mdr_rate_cleaned!$G$2:$G$10,mdr_rate_cleaned!$A$2:$A$10,B551,mdr_rate_cleaned!$B$2:$B$10,"&lt;"&amp;C551,mdr_rate_cleaned!$F$2:$F$10,"&gt;="&amp;C551)</f>
        <v>0</v>
      </c>
      <c r="H551" s="24">
        <f t="shared" si="40"/>
        <v>0</v>
      </c>
      <c r="I551" s="23" t="str">
        <f t="shared" si="41"/>
        <v>Match</v>
      </c>
      <c r="J551" s="23" t="str">
        <f t="shared" si="42"/>
        <v>Match</v>
      </c>
      <c r="K551" s="24">
        <f t="shared" si="43"/>
        <v>0</v>
      </c>
      <c r="L551" s="24">
        <f t="shared" si="44"/>
        <v>0</v>
      </c>
    </row>
    <row r="552" spans="1:12" ht="15" customHeight="1" x14ac:dyDescent="0.3">
      <c r="A552" s="23" t="s">
        <v>13055</v>
      </c>
      <c r="B552" s="23" t="s">
        <v>77</v>
      </c>
      <c r="C552" s="39">
        <v>1499</v>
      </c>
      <c r="D552" s="24">
        <v>28.48</v>
      </c>
      <c r="E552" s="24">
        <v>5.13</v>
      </c>
      <c r="F552" s="23">
        <f>COUNTIFS(mdr_rate_cleaned!$A$2:$A$10,B552,mdr_rate_cleaned!$B$2:$B$10,"&lt;"&amp;C552,mdr_rate_cleaned!$F$2:$F$10,"&gt;="&amp;C552)</f>
        <v>1</v>
      </c>
      <c r="G552" s="40">
        <f>SUMIFS(mdr_rate_cleaned!$G$2:$G$10,mdr_rate_cleaned!$A$2:$A$10,B552,mdr_rate_cleaned!$B$2:$B$10,"&lt;"&amp;C552,mdr_rate_cleaned!$F$2:$F$10,"&gt;="&amp;C552)</f>
        <v>1.9E-2</v>
      </c>
      <c r="H552" s="24">
        <f t="shared" si="40"/>
        <v>28.48</v>
      </c>
      <c r="I552" s="23" t="str">
        <f t="shared" si="41"/>
        <v>Match</v>
      </c>
      <c r="J552" s="23" t="str">
        <f t="shared" si="42"/>
        <v>Match</v>
      </c>
      <c r="K552" s="24">
        <f t="shared" si="43"/>
        <v>5.13</v>
      </c>
      <c r="L552" s="24">
        <f t="shared" si="44"/>
        <v>0</v>
      </c>
    </row>
    <row r="553" spans="1:12" ht="15" customHeight="1" x14ac:dyDescent="0.3">
      <c r="A553" s="23" t="s">
        <v>13056</v>
      </c>
      <c r="B553" s="23" t="s">
        <v>75</v>
      </c>
      <c r="C553" s="39">
        <v>9297</v>
      </c>
      <c r="D553" s="24">
        <v>27.89</v>
      </c>
      <c r="E553" s="24">
        <v>5.0199999999999996</v>
      </c>
      <c r="F553" s="23">
        <f>COUNTIFS(mdr_rate_cleaned!$A$2:$A$10,B553,mdr_rate_cleaned!$B$2:$B$10,"&lt;"&amp;C553,mdr_rate_cleaned!$F$2:$F$10,"&gt;="&amp;C553)</f>
        <v>1</v>
      </c>
      <c r="G553" s="40">
        <f>SUMIFS(mdr_rate_cleaned!$G$2:$G$10,mdr_rate_cleaned!$A$2:$A$10,B553,mdr_rate_cleaned!$B$2:$B$10,"&lt;"&amp;C553,mdr_rate_cleaned!$F$2:$F$10,"&gt;="&amp;C553)</f>
        <v>3.0000000000000001E-3</v>
      </c>
      <c r="H553" s="24">
        <f t="shared" si="40"/>
        <v>27.89</v>
      </c>
      <c r="I553" s="23" t="str">
        <f t="shared" si="41"/>
        <v>Match</v>
      </c>
      <c r="J553" s="23" t="str">
        <f t="shared" si="42"/>
        <v>Match</v>
      </c>
      <c r="K553" s="24">
        <f t="shared" si="43"/>
        <v>5.0199999999999996</v>
      </c>
      <c r="L553" s="24">
        <f t="shared" si="44"/>
        <v>0</v>
      </c>
    </row>
    <row r="554" spans="1:12" ht="15" customHeight="1" x14ac:dyDescent="0.3">
      <c r="A554" s="23" t="s">
        <v>13058</v>
      </c>
      <c r="B554" s="23" t="s">
        <v>75</v>
      </c>
      <c r="C554" s="39">
        <v>2597</v>
      </c>
      <c r="D554" s="24">
        <v>7.79</v>
      </c>
      <c r="E554" s="24">
        <v>1.4</v>
      </c>
      <c r="F554" s="23">
        <f>COUNTIFS(mdr_rate_cleaned!$A$2:$A$10,B554,mdr_rate_cleaned!$B$2:$B$10,"&lt;"&amp;C554,mdr_rate_cleaned!$F$2:$F$10,"&gt;="&amp;C554)</f>
        <v>1</v>
      </c>
      <c r="G554" s="40">
        <f>SUMIFS(mdr_rate_cleaned!$G$2:$G$10,mdr_rate_cleaned!$A$2:$A$10,B554,mdr_rate_cleaned!$B$2:$B$10,"&lt;"&amp;C554,mdr_rate_cleaned!$F$2:$F$10,"&gt;="&amp;C554)</f>
        <v>3.0000000000000001E-3</v>
      </c>
      <c r="H554" s="24">
        <f t="shared" si="40"/>
        <v>7.79</v>
      </c>
      <c r="I554" s="23" t="str">
        <f t="shared" si="41"/>
        <v>Match</v>
      </c>
      <c r="J554" s="23" t="str">
        <f t="shared" si="42"/>
        <v>Match</v>
      </c>
      <c r="K554" s="24">
        <f t="shared" si="43"/>
        <v>1.4</v>
      </c>
      <c r="L554" s="24">
        <f t="shared" si="44"/>
        <v>0</v>
      </c>
    </row>
    <row r="555" spans="1:12" ht="15" customHeight="1" x14ac:dyDescent="0.3">
      <c r="A555" s="23" t="s">
        <v>13059</v>
      </c>
      <c r="B555" s="23" t="s">
        <v>81</v>
      </c>
      <c r="C555" s="39">
        <v>1598</v>
      </c>
      <c r="D555" s="24">
        <v>23.97</v>
      </c>
      <c r="E555" s="24">
        <v>4.3099999999999996</v>
      </c>
      <c r="F555" s="23">
        <f>COUNTIFS(mdr_rate_cleaned!$A$2:$A$10,B555,mdr_rate_cleaned!$B$2:$B$10,"&lt;"&amp;C555,mdr_rate_cleaned!$F$2:$F$10,"&gt;="&amp;C555)</f>
        <v>1</v>
      </c>
      <c r="G555" s="40">
        <f>SUMIFS(mdr_rate_cleaned!$G$2:$G$10,mdr_rate_cleaned!$A$2:$A$10,B555,mdr_rate_cleaned!$B$2:$B$10,"&lt;"&amp;C555,mdr_rate_cleaned!$F$2:$F$10,"&gt;="&amp;C555)</f>
        <v>1.4999999999999999E-2</v>
      </c>
      <c r="H555" s="24">
        <f t="shared" si="40"/>
        <v>23.97</v>
      </c>
      <c r="I555" s="23" t="str">
        <f t="shared" si="41"/>
        <v>Match</v>
      </c>
      <c r="J555" s="23" t="str">
        <f t="shared" si="42"/>
        <v>Match</v>
      </c>
      <c r="K555" s="24">
        <f t="shared" si="43"/>
        <v>4.3099999999999996</v>
      </c>
      <c r="L555" s="24">
        <f t="shared" si="44"/>
        <v>0</v>
      </c>
    </row>
    <row r="556" spans="1:12" ht="15" customHeight="1" x14ac:dyDescent="0.3">
      <c r="A556" s="23" t="s">
        <v>13060</v>
      </c>
      <c r="B556" s="23" t="s">
        <v>79</v>
      </c>
      <c r="C556" s="39">
        <v>299</v>
      </c>
      <c r="D556" s="24">
        <v>5.38</v>
      </c>
      <c r="E556" s="24">
        <v>0.97</v>
      </c>
      <c r="F556" s="23">
        <f>COUNTIFS(mdr_rate_cleaned!$A$2:$A$10,B556,mdr_rate_cleaned!$B$2:$B$10,"&lt;"&amp;C556,mdr_rate_cleaned!$F$2:$F$10,"&gt;="&amp;C556)</f>
        <v>1</v>
      </c>
      <c r="G556" s="40">
        <f>SUMIFS(mdr_rate_cleaned!$G$2:$G$10,mdr_rate_cleaned!$A$2:$A$10,B556,mdr_rate_cleaned!$B$2:$B$10,"&lt;"&amp;C556,mdr_rate_cleaned!$F$2:$F$10,"&gt;="&amp;C556)</f>
        <v>1.8000000000000002E-2</v>
      </c>
      <c r="H556" s="24">
        <f t="shared" si="40"/>
        <v>5.38</v>
      </c>
      <c r="I556" s="23" t="str">
        <f t="shared" si="41"/>
        <v>Match</v>
      </c>
      <c r="J556" s="23" t="str">
        <f t="shared" si="42"/>
        <v>Match</v>
      </c>
      <c r="K556" s="24">
        <f t="shared" si="43"/>
        <v>0.97</v>
      </c>
      <c r="L556" s="24">
        <f t="shared" si="44"/>
        <v>0</v>
      </c>
    </row>
    <row r="557" spans="1:12" ht="15" customHeight="1" x14ac:dyDescent="0.3">
      <c r="A557" s="23" t="s">
        <v>13061</v>
      </c>
      <c r="B557" s="23" t="s">
        <v>75</v>
      </c>
      <c r="C557" s="39">
        <v>299</v>
      </c>
      <c r="D557" s="24">
        <v>0</v>
      </c>
      <c r="E557" s="24">
        <v>0</v>
      </c>
      <c r="F557" s="23">
        <f>COUNTIFS(mdr_rate_cleaned!$A$2:$A$10,B557,mdr_rate_cleaned!$B$2:$B$10,"&lt;"&amp;C557,mdr_rate_cleaned!$F$2:$F$10,"&gt;="&amp;C557)</f>
        <v>1</v>
      </c>
      <c r="G557" s="40">
        <f>SUMIFS(mdr_rate_cleaned!$G$2:$G$10,mdr_rate_cleaned!$A$2:$A$10,B557,mdr_rate_cleaned!$B$2:$B$10,"&lt;"&amp;C557,mdr_rate_cleaned!$F$2:$F$10,"&gt;="&amp;C557)</f>
        <v>0</v>
      </c>
      <c r="H557" s="24">
        <f t="shared" si="40"/>
        <v>0</v>
      </c>
      <c r="I557" s="23" t="str">
        <f t="shared" si="41"/>
        <v>Match</v>
      </c>
      <c r="J557" s="23" t="str">
        <f t="shared" si="42"/>
        <v>Match</v>
      </c>
      <c r="K557" s="24">
        <f t="shared" si="43"/>
        <v>0</v>
      </c>
      <c r="L557" s="24">
        <f t="shared" si="44"/>
        <v>0</v>
      </c>
    </row>
    <row r="558" spans="1:12" ht="15" customHeight="1" x14ac:dyDescent="0.3">
      <c r="A558" s="23" t="s">
        <v>13063</v>
      </c>
      <c r="B558" s="23" t="s">
        <v>79</v>
      </c>
      <c r="C558" s="39">
        <v>349</v>
      </c>
      <c r="D558" s="24">
        <v>6.28</v>
      </c>
      <c r="E558" s="24">
        <v>1.1299999999999999</v>
      </c>
      <c r="F558" s="23">
        <f>COUNTIFS(mdr_rate_cleaned!$A$2:$A$10,B558,mdr_rate_cleaned!$B$2:$B$10,"&lt;"&amp;C558,mdr_rate_cleaned!$F$2:$F$10,"&gt;="&amp;C558)</f>
        <v>1</v>
      </c>
      <c r="G558" s="40">
        <f>SUMIFS(mdr_rate_cleaned!$G$2:$G$10,mdr_rate_cleaned!$A$2:$A$10,B558,mdr_rate_cleaned!$B$2:$B$10,"&lt;"&amp;C558,mdr_rate_cleaned!$F$2:$F$10,"&gt;="&amp;C558)</f>
        <v>1.8000000000000002E-2</v>
      </c>
      <c r="H558" s="24">
        <f t="shared" si="40"/>
        <v>6.28</v>
      </c>
      <c r="I558" s="23" t="str">
        <f t="shared" si="41"/>
        <v>Match</v>
      </c>
      <c r="J558" s="23" t="str">
        <f t="shared" si="42"/>
        <v>Match</v>
      </c>
      <c r="K558" s="24">
        <f t="shared" si="43"/>
        <v>1.1299999999999999</v>
      </c>
      <c r="L558" s="24">
        <f t="shared" si="44"/>
        <v>0</v>
      </c>
    </row>
    <row r="559" spans="1:12" ht="15" customHeight="1" x14ac:dyDescent="0.3">
      <c r="A559" s="23" t="s">
        <v>13064</v>
      </c>
      <c r="B559" s="23" t="s">
        <v>79</v>
      </c>
      <c r="C559" s="39">
        <v>999</v>
      </c>
      <c r="D559" s="24">
        <v>17.98</v>
      </c>
      <c r="E559" s="24">
        <v>3.24</v>
      </c>
      <c r="F559" s="23">
        <f>COUNTIFS(mdr_rate_cleaned!$A$2:$A$10,B559,mdr_rate_cleaned!$B$2:$B$10,"&lt;"&amp;C559,mdr_rate_cleaned!$F$2:$F$10,"&gt;="&amp;C559)</f>
        <v>1</v>
      </c>
      <c r="G559" s="40">
        <f>SUMIFS(mdr_rate_cleaned!$G$2:$G$10,mdr_rate_cleaned!$A$2:$A$10,B559,mdr_rate_cleaned!$B$2:$B$10,"&lt;"&amp;C559,mdr_rate_cleaned!$F$2:$F$10,"&gt;="&amp;C559)</f>
        <v>1.8000000000000002E-2</v>
      </c>
      <c r="H559" s="24">
        <f t="shared" si="40"/>
        <v>17.98</v>
      </c>
      <c r="I559" s="23" t="str">
        <f t="shared" si="41"/>
        <v>Match</v>
      </c>
      <c r="J559" s="23" t="str">
        <f t="shared" si="42"/>
        <v>Match</v>
      </c>
      <c r="K559" s="24">
        <f t="shared" si="43"/>
        <v>3.24</v>
      </c>
      <c r="L559" s="24">
        <f t="shared" si="44"/>
        <v>0</v>
      </c>
    </row>
    <row r="560" spans="1:12" ht="15" customHeight="1" x14ac:dyDescent="0.3">
      <c r="A560" s="23" t="s">
        <v>13065</v>
      </c>
      <c r="B560" s="23" t="s">
        <v>75</v>
      </c>
      <c r="C560" s="39">
        <v>1798</v>
      </c>
      <c r="D560" s="24">
        <v>0</v>
      </c>
      <c r="E560" s="24">
        <v>0</v>
      </c>
      <c r="F560" s="23">
        <f>COUNTIFS(mdr_rate_cleaned!$A$2:$A$10,B560,mdr_rate_cleaned!$B$2:$B$10,"&lt;"&amp;C560,mdr_rate_cleaned!$F$2:$F$10,"&gt;="&amp;C560)</f>
        <v>1</v>
      </c>
      <c r="G560" s="40">
        <f>SUMIFS(mdr_rate_cleaned!$G$2:$G$10,mdr_rate_cleaned!$A$2:$A$10,B560,mdr_rate_cleaned!$B$2:$B$10,"&lt;"&amp;C560,mdr_rate_cleaned!$F$2:$F$10,"&gt;="&amp;C560)</f>
        <v>0</v>
      </c>
      <c r="H560" s="24">
        <f t="shared" si="40"/>
        <v>0</v>
      </c>
      <c r="I560" s="23" t="str">
        <f t="shared" si="41"/>
        <v>Match</v>
      </c>
      <c r="J560" s="23" t="str">
        <f t="shared" si="42"/>
        <v>Match</v>
      </c>
      <c r="K560" s="24">
        <f t="shared" si="43"/>
        <v>0</v>
      </c>
      <c r="L560" s="24">
        <f t="shared" si="44"/>
        <v>0</v>
      </c>
    </row>
    <row r="561" spans="1:12" ht="15" customHeight="1" x14ac:dyDescent="0.3">
      <c r="A561" s="23" t="s">
        <v>13066</v>
      </c>
      <c r="B561" s="23" t="s">
        <v>75</v>
      </c>
      <c r="C561" s="39">
        <v>7297</v>
      </c>
      <c r="D561" s="24">
        <v>21.89</v>
      </c>
      <c r="E561" s="24">
        <v>3.94</v>
      </c>
      <c r="F561" s="23">
        <f>COUNTIFS(mdr_rate_cleaned!$A$2:$A$10,B561,mdr_rate_cleaned!$B$2:$B$10,"&lt;"&amp;C561,mdr_rate_cleaned!$F$2:$F$10,"&gt;="&amp;C561)</f>
        <v>1</v>
      </c>
      <c r="G561" s="40">
        <f>SUMIFS(mdr_rate_cleaned!$G$2:$G$10,mdr_rate_cleaned!$A$2:$A$10,B561,mdr_rate_cleaned!$B$2:$B$10,"&lt;"&amp;C561,mdr_rate_cleaned!$F$2:$F$10,"&gt;="&amp;C561)</f>
        <v>3.0000000000000001E-3</v>
      </c>
      <c r="H561" s="24">
        <f t="shared" si="40"/>
        <v>21.89</v>
      </c>
      <c r="I561" s="23" t="str">
        <f t="shared" si="41"/>
        <v>Match</v>
      </c>
      <c r="J561" s="23" t="str">
        <f t="shared" si="42"/>
        <v>Match</v>
      </c>
      <c r="K561" s="24">
        <f t="shared" si="43"/>
        <v>3.94</v>
      </c>
      <c r="L561" s="24">
        <f t="shared" si="44"/>
        <v>0</v>
      </c>
    </row>
    <row r="562" spans="1:12" ht="15" customHeight="1" x14ac:dyDescent="0.3">
      <c r="A562" s="23" t="s">
        <v>13067</v>
      </c>
      <c r="B562" s="23" t="s">
        <v>81</v>
      </c>
      <c r="C562" s="39">
        <v>499</v>
      </c>
      <c r="D562" s="24">
        <v>7.49</v>
      </c>
      <c r="E562" s="24">
        <v>1.35</v>
      </c>
      <c r="F562" s="23">
        <f>COUNTIFS(mdr_rate_cleaned!$A$2:$A$10,B562,mdr_rate_cleaned!$B$2:$B$10,"&lt;"&amp;C562,mdr_rate_cleaned!$F$2:$F$10,"&gt;="&amp;C562)</f>
        <v>1</v>
      </c>
      <c r="G562" s="40">
        <f>SUMIFS(mdr_rate_cleaned!$G$2:$G$10,mdr_rate_cleaned!$A$2:$A$10,B562,mdr_rate_cleaned!$B$2:$B$10,"&lt;"&amp;C562,mdr_rate_cleaned!$F$2:$F$10,"&gt;="&amp;C562)</f>
        <v>1.4999999999999999E-2</v>
      </c>
      <c r="H562" s="24">
        <f t="shared" si="40"/>
        <v>7.49</v>
      </c>
      <c r="I562" s="23" t="str">
        <f t="shared" si="41"/>
        <v>Match</v>
      </c>
      <c r="J562" s="23" t="str">
        <f t="shared" si="42"/>
        <v>Match</v>
      </c>
      <c r="K562" s="24">
        <f t="shared" si="43"/>
        <v>1.35</v>
      </c>
      <c r="L562" s="24">
        <f t="shared" si="44"/>
        <v>0</v>
      </c>
    </row>
    <row r="563" spans="1:12" ht="15" customHeight="1" x14ac:dyDescent="0.3">
      <c r="A563" s="23" t="s">
        <v>13068</v>
      </c>
      <c r="B563" s="23" t="s">
        <v>79</v>
      </c>
      <c r="C563" s="39">
        <v>499</v>
      </c>
      <c r="D563" s="24">
        <v>8.98</v>
      </c>
      <c r="E563" s="24">
        <v>1.62</v>
      </c>
      <c r="F563" s="23">
        <f>COUNTIFS(mdr_rate_cleaned!$A$2:$A$10,B563,mdr_rate_cleaned!$B$2:$B$10,"&lt;"&amp;C563,mdr_rate_cleaned!$F$2:$F$10,"&gt;="&amp;C563)</f>
        <v>1</v>
      </c>
      <c r="G563" s="40">
        <f>SUMIFS(mdr_rate_cleaned!$G$2:$G$10,mdr_rate_cleaned!$A$2:$A$10,B563,mdr_rate_cleaned!$B$2:$B$10,"&lt;"&amp;C563,mdr_rate_cleaned!$F$2:$F$10,"&gt;="&amp;C563)</f>
        <v>1.8000000000000002E-2</v>
      </c>
      <c r="H563" s="24">
        <f t="shared" si="40"/>
        <v>8.98</v>
      </c>
      <c r="I563" s="23" t="str">
        <f t="shared" si="41"/>
        <v>Match</v>
      </c>
      <c r="J563" s="23" t="str">
        <f t="shared" si="42"/>
        <v>Match</v>
      </c>
      <c r="K563" s="24">
        <f t="shared" si="43"/>
        <v>1.62</v>
      </c>
      <c r="L563" s="24">
        <f t="shared" si="44"/>
        <v>0</v>
      </c>
    </row>
    <row r="564" spans="1:12" ht="15" customHeight="1" x14ac:dyDescent="0.3">
      <c r="A564" s="23" t="s">
        <v>13069</v>
      </c>
      <c r="B564" s="23" t="s">
        <v>75</v>
      </c>
      <c r="C564" s="39">
        <v>599</v>
      </c>
      <c r="D564" s="24">
        <v>0</v>
      </c>
      <c r="E564" s="24">
        <v>0</v>
      </c>
      <c r="F564" s="23">
        <f>COUNTIFS(mdr_rate_cleaned!$A$2:$A$10,B564,mdr_rate_cleaned!$B$2:$B$10,"&lt;"&amp;C564,mdr_rate_cleaned!$F$2:$F$10,"&gt;="&amp;C564)</f>
        <v>1</v>
      </c>
      <c r="G564" s="40">
        <f>SUMIFS(mdr_rate_cleaned!$G$2:$G$10,mdr_rate_cleaned!$A$2:$A$10,B564,mdr_rate_cleaned!$B$2:$B$10,"&lt;"&amp;C564,mdr_rate_cleaned!$F$2:$F$10,"&gt;="&amp;C564)</f>
        <v>0</v>
      </c>
      <c r="H564" s="24">
        <f t="shared" si="40"/>
        <v>0</v>
      </c>
      <c r="I564" s="23" t="str">
        <f t="shared" si="41"/>
        <v>Match</v>
      </c>
      <c r="J564" s="23" t="str">
        <f t="shared" si="42"/>
        <v>Match</v>
      </c>
      <c r="K564" s="24">
        <f t="shared" si="43"/>
        <v>0</v>
      </c>
      <c r="L564" s="24">
        <f t="shared" si="44"/>
        <v>0</v>
      </c>
    </row>
    <row r="565" spans="1:12" ht="15" customHeight="1" x14ac:dyDescent="0.3">
      <c r="A565" s="23" t="s">
        <v>13070</v>
      </c>
      <c r="B565" s="23" t="s">
        <v>75</v>
      </c>
      <c r="C565" s="39">
        <v>7999</v>
      </c>
      <c r="D565" s="24">
        <v>24</v>
      </c>
      <c r="E565" s="24">
        <v>4.32</v>
      </c>
      <c r="F565" s="23">
        <f>COUNTIFS(mdr_rate_cleaned!$A$2:$A$10,B565,mdr_rate_cleaned!$B$2:$B$10,"&lt;"&amp;C565,mdr_rate_cleaned!$F$2:$F$10,"&gt;="&amp;C565)</f>
        <v>1</v>
      </c>
      <c r="G565" s="40">
        <f>SUMIFS(mdr_rate_cleaned!$G$2:$G$10,mdr_rate_cleaned!$A$2:$A$10,B565,mdr_rate_cleaned!$B$2:$B$10,"&lt;"&amp;C565,mdr_rate_cleaned!$F$2:$F$10,"&gt;="&amp;C565)</f>
        <v>3.0000000000000001E-3</v>
      </c>
      <c r="H565" s="24">
        <f t="shared" si="40"/>
        <v>24</v>
      </c>
      <c r="I565" s="23" t="str">
        <f t="shared" si="41"/>
        <v>Match</v>
      </c>
      <c r="J565" s="23" t="str">
        <f t="shared" si="42"/>
        <v>Match</v>
      </c>
      <c r="K565" s="24">
        <f t="shared" si="43"/>
        <v>4.32</v>
      </c>
      <c r="L565" s="24">
        <f t="shared" si="44"/>
        <v>0</v>
      </c>
    </row>
    <row r="566" spans="1:12" ht="15" customHeight="1" x14ac:dyDescent="0.3">
      <c r="A566" s="23" t="s">
        <v>13071</v>
      </c>
      <c r="B566" s="23" t="s">
        <v>75</v>
      </c>
      <c r="C566" s="39">
        <v>10498</v>
      </c>
      <c r="D566" s="24">
        <v>31.49</v>
      </c>
      <c r="E566" s="24">
        <v>5.67</v>
      </c>
      <c r="F566" s="23">
        <f>COUNTIFS(mdr_rate_cleaned!$A$2:$A$10,B566,mdr_rate_cleaned!$B$2:$B$10,"&lt;"&amp;C566,mdr_rate_cleaned!$F$2:$F$10,"&gt;="&amp;C566)</f>
        <v>1</v>
      </c>
      <c r="G566" s="40">
        <f>SUMIFS(mdr_rate_cleaned!$G$2:$G$10,mdr_rate_cleaned!$A$2:$A$10,B566,mdr_rate_cleaned!$B$2:$B$10,"&lt;"&amp;C566,mdr_rate_cleaned!$F$2:$F$10,"&gt;="&amp;C566)</f>
        <v>3.0000000000000001E-3</v>
      </c>
      <c r="H566" s="24">
        <f t="shared" si="40"/>
        <v>31.49</v>
      </c>
      <c r="I566" s="23" t="str">
        <f t="shared" si="41"/>
        <v>Match</v>
      </c>
      <c r="J566" s="23" t="str">
        <f t="shared" si="42"/>
        <v>Match</v>
      </c>
      <c r="K566" s="24">
        <f t="shared" si="43"/>
        <v>5.67</v>
      </c>
      <c r="L566" s="24">
        <f t="shared" si="44"/>
        <v>0</v>
      </c>
    </row>
    <row r="567" spans="1:12" ht="15" customHeight="1" x14ac:dyDescent="0.3">
      <c r="A567" s="23" t="s">
        <v>13073</v>
      </c>
      <c r="B567" s="23" t="s">
        <v>77</v>
      </c>
      <c r="C567" s="39">
        <v>499</v>
      </c>
      <c r="D567" s="24">
        <v>9.48</v>
      </c>
      <c r="E567" s="24">
        <v>1.71</v>
      </c>
      <c r="F567" s="23">
        <f>COUNTIFS(mdr_rate_cleaned!$A$2:$A$10,B567,mdr_rate_cleaned!$B$2:$B$10,"&lt;"&amp;C567,mdr_rate_cleaned!$F$2:$F$10,"&gt;="&amp;C567)</f>
        <v>1</v>
      </c>
      <c r="G567" s="40">
        <f>SUMIFS(mdr_rate_cleaned!$G$2:$G$10,mdr_rate_cleaned!$A$2:$A$10,B567,mdr_rate_cleaned!$B$2:$B$10,"&lt;"&amp;C567,mdr_rate_cleaned!$F$2:$F$10,"&gt;="&amp;C567)</f>
        <v>1.9E-2</v>
      </c>
      <c r="H567" s="24">
        <f t="shared" si="40"/>
        <v>9.48</v>
      </c>
      <c r="I567" s="23" t="str">
        <f t="shared" si="41"/>
        <v>Match</v>
      </c>
      <c r="J567" s="23" t="str">
        <f t="shared" si="42"/>
        <v>Match</v>
      </c>
      <c r="K567" s="24">
        <f t="shared" si="43"/>
        <v>1.71</v>
      </c>
      <c r="L567" s="24">
        <f t="shared" si="44"/>
        <v>0</v>
      </c>
    </row>
    <row r="568" spans="1:12" ht="15" customHeight="1" x14ac:dyDescent="0.3">
      <c r="A568" s="23" t="s">
        <v>13074</v>
      </c>
      <c r="B568" s="23" t="s">
        <v>79</v>
      </c>
      <c r="C568" s="39">
        <v>5797</v>
      </c>
      <c r="D568" s="24">
        <v>92.75</v>
      </c>
      <c r="E568" s="24">
        <v>16.7</v>
      </c>
      <c r="F568" s="23">
        <f>COUNTIFS(mdr_rate_cleaned!$A$2:$A$10,B568,mdr_rate_cleaned!$B$2:$B$10,"&lt;"&amp;C568,mdr_rate_cleaned!$F$2:$F$10,"&gt;="&amp;C568)</f>
        <v>1</v>
      </c>
      <c r="G568" s="40">
        <f>SUMIFS(mdr_rate_cleaned!$G$2:$G$10,mdr_rate_cleaned!$A$2:$A$10,B568,mdr_rate_cleaned!$B$2:$B$10,"&lt;"&amp;C568,mdr_rate_cleaned!$F$2:$F$10,"&gt;="&amp;C568)</f>
        <v>1.6E-2</v>
      </c>
      <c r="H568" s="24">
        <f t="shared" si="40"/>
        <v>92.75</v>
      </c>
      <c r="I568" s="23" t="str">
        <f t="shared" si="41"/>
        <v>Match</v>
      </c>
      <c r="J568" s="23" t="str">
        <f t="shared" si="42"/>
        <v>Match</v>
      </c>
      <c r="K568" s="24">
        <f t="shared" si="43"/>
        <v>16.7</v>
      </c>
      <c r="L568" s="24">
        <f t="shared" si="44"/>
        <v>0</v>
      </c>
    </row>
    <row r="569" spans="1:12" ht="15" customHeight="1" x14ac:dyDescent="0.3">
      <c r="A569" s="23" t="s">
        <v>13076</v>
      </c>
      <c r="B569" s="23" t="s">
        <v>79</v>
      </c>
      <c r="C569" s="39">
        <v>7297</v>
      </c>
      <c r="D569" s="24">
        <v>116.75</v>
      </c>
      <c r="E569" s="24">
        <v>21.02</v>
      </c>
      <c r="F569" s="23">
        <f>COUNTIFS(mdr_rate_cleaned!$A$2:$A$10,B569,mdr_rate_cleaned!$B$2:$B$10,"&lt;"&amp;C569,mdr_rate_cleaned!$F$2:$F$10,"&gt;="&amp;C569)</f>
        <v>1</v>
      </c>
      <c r="G569" s="40">
        <f>SUMIFS(mdr_rate_cleaned!$G$2:$G$10,mdr_rate_cleaned!$A$2:$A$10,B569,mdr_rate_cleaned!$B$2:$B$10,"&lt;"&amp;C569,mdr_rate_cleaned!$F$2:$F$10,"&gt;="&amp;C569)</f>
        <v>1.6E-2</v>
      </c>
      <c r="H569" s="24">
        <f t="shared" si="40"/>
        <v>116.75</v>
      </c>
      <c r="I569" s="23" t="str">
        <f t="shared" si="41"/>
        <v>Match</v>
      </c>
      <c r="J569" s="23" t="str">
        <f t="shared" si="42"/>
        <v>Match</v>
      </c>
      <c r="K569" s="24">
        <f t="shared" si="43"/>
        <v>21.02</v>
      </c>
      <c r="L569" s="24">
        <f t="shared" si="44"/>
        <v>0</v>
      </c>
    </row>
    <row r="570" spans="1:12" ht="15" customHeight="1" x14ac:dyDescent="0.3">
      <c r="A570" s="23" t="s">
        <v>13077</v>
      </c>
      <c r="B570" s="23" t="s">
        <v>75</v>
      </c>
      <c r="C570" s="39">
        <v>9998</v>
      </c>
      <c r="D570" s="24">
        <v>29.99</v>
      </c>
      <c r="E570" s="24">
        <v>5.4</v>
      </c>
      <c r="F570" s="23">
        <f>COUNTIFS(mdr_rate_cleaned!$A$2:$A$10,B570,mdr_rate_cleaned!$B$2:$B$10,"&lt;"&amp;C570,mdr_rate_cleaned!$F$2:$F$10,"&gt;="&amp;C570)</f>
        <v>1</v>
      </c>
      <c r="G570" s="40">
        <f>SUMIFS(mdr_rate_cleaned!$G$2:$G$10,mdr_rate_cleaned!$A$2:$A$10,B570,mdr_rate_cleaned!$B$2:$B$10,"&lt;"&amp;C570,mdr_rate_cleaned!$F$2:$F$10,"&gt;="&amp;C570)</f>
        <v>3.0000000000000001E-3</v>
      </c>
      <c r="H570" s="24">
        <f t="shared" si="40"/>
        <v>29.99</v>
      </c>
      <c r="I570" s="23" t="str">
        <f t="shared" si="41"/>
        <v>Match</v>
      </c>
      <c r="J570" s="23" t="str">
        <f t="shared" si="42"/>
        <v>Match</v>
      </c>
      <c r="K570" s="24">
        <f t="shared" si="43"/>
        <v>5.4</v>
      </c>
      <c r="L570" s="24">
        <f t="shared" si="44"/>
        <v>0</v>
      </c>
    </row>
    <row r="571" spans="1:12" ht="15" customHeight="1" x14ac:dyDescent="0.3">
      <c r="A571" s="23" t="s">
        <v>13078</v>
      </c>
      <c r="B571" s="23" t="s">
        <v>75</v>
      </c>
      <c r="C571" s="39">
        <v>4999</v>
      </c>
      <c r="D571" s="24">
        <v>15</v>
      </c>
      <c r="E571" s="24">
        <v>2.7</v>
      </c>
      <c r="F571" s="23">
        <f>COUNTIFS(mdr_rate_cleaned!$A$2:$A$10,B571,mdr_rate_cleaned!$B$2:$B$10,"&lt;"&amp;C571,mdr_rate_cleaned!$F$2:$F$10,"&gt;="&amp;C571)</f>
        <v>1</v>
      </c>
      <c r="G571" s="40">
        <f>SUMIFS(mdr_rate_cleaned!$G$2:$G$10,mdr_rate_cleaned!$A$2:$A$10,B571,mdr_rate_cleaned!$B$2:$B$10,"&lt;"&amp;C571,mdr_rate_cleaned!$F$2:$F$10,"&gt;="&amp;C571)</f>
        <v>3.0000000000000001E-3</v>
      </c>
      <c r="H571" s="24">
        <f t="shared" si="40"/>
        <v>15</v>
      </c>
      <c r="I571" s="23" t="str">
        <f t="shared" si="41"/>
        <v>Match</v>
      </c>
      <c r="J571" s="23" t="str">
        <f t="shared" si="42"/>
        <v>Match</v>
      </c>
      <c r="K571" s="24">
        <f t="shared" si="43"/>
        <v>2.7</v>
      </c>
      <c r="L571" s="24">
        <f t="shared" si="44"/>
        <v>0</v>
      </c>
    </row>
    <row r="572" spans="1:12" ht="15" customHeight="1" x14ac:dyDescent="0.3">
      <c r="A572" s="23" t="s">
        <v>13079</v>
      </c>
      <c r="B572" s="23" t="s">
        <v>79</v>
      </c>
      <c r="C572" s="39">
        <v>599</v>
      </c>
      <c r="D572" s="24">
        <v>10.78</v>
      </c>
      <c r="E572" s="24">
        <v>1.94</v>
      </c>
      <c r="F572" s="23">
        <f>COUNTIFS(mdr_rate_cleaned!$A$2:$A$10,B572,mdr_rate_cleaned!$B$2:$B$10,"&lt;"&amp;C572,mdr_rate_cleaned!$F$2:$F$10,"&gt;="&amp;C572)</f>
        <v>1</v>
      </c>
      <c r="G572" s="40">
        <f>SUMIFS(mdr_rate_cleaned!$G$2:$G$10,mdr_rate_cleaned!$A$2:$A$10,B572,mdr_rate_cleaned!$B$2:$B$10,"&lt;"&amp;C572,mdr_rate_cleaned!$F$2:$F$10,"&gt;="&amp;C572)</f>
        <v>1.8000000000000002E-2</v>
      </c>
      <c r="H572" s="24">
        <f t="shared" si="40"/>
        <v>10.78</v>
      </c>
      <c r="I572" s="23" t="str">
        <f t="shared" si="41"/>
        <v>Match</v>
      </c>
      <c r="J572" s="23" t="str">
        <f t="shared" si="42"/>
        <v>Match</v>
      </c>
      <c r="K572" s="24">
        <f t="shared" si="43"/>
        <v>1.94</v>
      </c>
      <c r="L572" s="24">
        <f t="shared" si="44"/>
        <v>0</v>
      </c>
    </row>
    <row r="573" spans="1:12" ht="15" customHeight="1" x14ac:dyDescent="0.3">
      <c r="A573" s="23" t="s">
        <v>13080</v>
      </c>
      <c r="B573" s="23" t="s">
        <v>75</v>
      </c>
      <c r="C573" s="39">
        <v>299</v>
      </c>
      <c r="D573" s="24">
        <v>0</v>
      </c>
      <c r="E573" s="24">
        <v>0</v>
      </c>
      <c r="F573" s="23">
        <f>COUNTIFS(mdr_rate_cleaned!$A$2:$A$10,B573,mdr_rate_cleaned!$B$2:$B$10,"&lt;"&amp;C573,mdr_rate_cleaned!$F$2:$F$10,"&gt;="&amp;C573)</f>
        <v>1</v>
      </c>
      <c r="G573" s="40">
        <f>SUMIFS(mdr_rate_cleaned!$G$2:$G$10,mdr_rate_cleaned!$A$2:$A$10,B573,mdr_rate_cleaned!$B$2:$B$10,"&lt;"&amp;C573,mdr_rate_cleaned!$F$2:$F$10,"&gt;="&amp;C573)</f>
        <v>0</v>
      </c>
      <c r="H573" s="24">
        <f t="shared" si="40"/>
        <v>0</v>
      </c>
      <c r="I573" s="23" t="str">
        <f t="shared" si="41"/>
        <v>Match</v>
      </c>
      <c r="J573" s="23" t="str">
        <f t="shared" si="42"/>
        <v>Match</v>
      </c>
      <c r="K573" s="24">
        <f t="shared" si="43"/>
        <v>0</v>
      </c>
      <c r="L573" s="24">
        <f t="shared" si="44"/>
        <v>0</v>
      </c>
    </row>
    <row r="574" spans="1:12" ht="15" customHeight="1" x14ac:dyDescent="0.3">
      <c r="A574" s="23" t="s">
        <v>13081</v>
      </c>
      <c r="B574" s="23" t="s">
        <v>79</v>
      </c>
      <c r="C574" s="39">
        <v>6498</v>
      </c>
      <c r="D574" s="24">
        <v>103.97</v>
      </c>
      <c r="E574" s="24">
        <v>18.71</v>
      </c>
      <c r="F574" s="23">
        <f>COUNTIFS(mdr_rate_cleaned!$A$2:$A$10,B574,mdr_rate_cleaned!$B$2:$B$10,"&lt;"&amp;C574,mdr_rate_cleaned!$F$2:$F$10,"&gt;="&amp;C574)</f>
        <v>1</v>
      </c>
      <c r="G574" s="40">
        <f>SUMIFS(mdr_rate_cleaned!$G$2:$G$10,mdr_rate_cleaned!$A$2:$A$10,B574,mdr_rate_cleaned!$B$2:$B$10,"&lt;"&amp;C574,mdr_rate_cleaned!$F$2:$F$10,"&gt;="&amp;C574)</f>
        <v>1.6E-2</v>
      </c>
      <c r="H574" s="24">
        <f t="shared" si="40"/>
        <v>103.97</v>
      </c>
      <c r="I574" s="23" t="str">
        <f t="shared" si="41"/>
        <v>Match</v>
      </c>
      <c r="J574" s="23" t="str">
        <f t="shared" si="42"/>
        <v>Match</v>
      </c>
      <c r="K574" s="24">
        <f t="shared" si="43"/>
        <v>18.71</v>
      </c>
      <c r="L574" s="24">
        <f t="shared" si="44"/>
        <v>0</v>
      </c>
    </row>
    <row r="575" spans="1:12" ht="15" customHeight="1" x14ac:dyDescent="0.3">
      <c r="A575" s="23" t="s">
        <v>13082</v>
      </c>
      <c r="B575" s="23" t="s">
        <v>75</v>
      </c>
      <c r="C575" s="39">
        <v>499</v>
      </c>
      <c r="D575" s="24">
        <v>0</v>
      </c>
      <c r="E575" s="24">
        <v>0</v>
      </c>
      <c r="F575" s="23">
        <f>COUNTIFS(mdr_rate_cleaned!$A$2:$A$10,B575,mdr_rate_cleaned!$B$2:$B$10,"&lt;"&amp;C575,mdr_rate_cleaned!$F$2:$F$10,"&gt;="&amp;C575)</f>
        <v>1</v>
      </c>
      <c r="G575" s="40">
        <f>SUMIFS(mdr_rate_cleaned!$G$2:$G$10,mdr_rate_cleaned!$A$2:$A$10,B575,mdr_rate_cleaned!$B$2:$B$10,"&lt;"&amp;C575,mdr_rate_cleaned!$F$2:$F$10,"&gt;="&amp;C575)</f>
        <v>0</v>
      </c>
      <c r="H575" s="24">
        <f t="shared" si="40"/>
        <v>0</v>
      </c>
      <c r="I575" s="23" t="str">
        <f t="shared" si="41"/>
        <v>Match</v>
      </c>
      <c r="J575" s="23" t="str">
        <f t="shared" si="42"/>
        <v>Match</v>
      </c>
      <c r="K575" s="24">
        <f t="shared" si="43"/>
        <v>0</v>
      </c>
      <c r="L575" s="24">
        <f t="shared" si="44"/>
        <v>0</v>
      </c>
    </row>
    <row r="576" spans="1:12" ht="15" customHeight="1" x14ac:dyDescent="0.3">
      <c r="A576" s="23" t="s">
        <v>13083</v>
      </c>
      <c r="B576" s="23" t="s">
        <v>79</v>
      </c>
      <c r="C576" s="39">
        <v>948</v>
      </c>
      <c r="D576" s="24">
        <v>17.059999999999999</v>
      </c>
      <c r="E576" s="24">
        <v>3.07</v>
      </c>
      <c r="F576" s="23">
        <f>COUNTIFS(mdr_rate_cleaned!$A$2:$A$10,B576,mdr_rate_cleaned!$B$2:$B$10,"&lt;"&amp;C576,mdr_rate_cleaned!$F$2:$F$10,"&gt;="&amp;C576)</f>
        <v>1</v>
      </c>
      <c r="G576" s="40">
        <f>SUMIFS(mdr_rate_cleaned!$G$2:$G$10,mdr_rate_cleaned!$A$2:$A$10,B576,mdr_rate_cleaned!$B$2:$B$10,"&lt;"&amp;C576,mdr_rate_cleaned!$F$2:$F$10,"&gt;="&amp;C576)</f>
        <v>1.8000000000000002E-2</v>
      </c>
      <c r="H576" s="24">
        <f t="shared" si="40"/>
        <v>17.059999999999999</v>
      </c>
      <c r="I576" s="23" t="str">
        <f t="shared" si="41"/>
        <v>Match</v>
      </c>
      <c r="J576" s="23" t="str">
        <f t="shared" si="42"/>
        <v>Match</v>
      </c>
      <c r="K576" s="24">
        <f t="shared" si="43"/>
        <v>3.07</v>
      </c>
      <c r="L576" s="24">
        <f t="shared" si="44"/>
        <v>0</v>
      </c>
    </row>
    <row r="577" spans="1:12" ht="15" customHeight="1" x14ac:dyDescent="0.3">
      <c r="A577" s="23" t="s">
        <v>13084</v>
      </c>
      <c r="B577" s="23" t="s">
        <v>75</v>
      </c>
      <c r="C577" s="39">
        <v>799</v>
      </c>
      <c r="D577" s="24">
        <v>0</v>
      </c>
      <c r="E577" s="24">
        <v>0</v>
      </c>
      <c r="F577" s="23">
        <f>COUNTIFS(mdr_rate_cleaned!$A$2:$A$10,B577,mdr_rate_cleaned!$B$2:$B$10,"&lt;"&amp;C577,mdr_rate_cleaned!$F$2:$F$10,"&gt;="&amp;C577)</f>
        <v>1</v>
      </c>
      <c r="G577" s="40">
        <f>SUMIFS(mdr_rate_cleaned!$G$2:$G$10,mdr_rate_cleaned!$A$2:$A$10,B577,mdr_rate_cleaned!$B$2:$B$10,"&lt;"&amp;C577,mdr_rate_cleaned!$F$2:$F$10,"&gt;="&amp;C577)</f>
        <v>0</v>
      </c>
      <c r="H577" s="24">
        <f t="shared" si="40"/>
        <v>0</v>
      </c>
      <c r="I577" s="23" t="str">
        <f t="shared" si="41"/>
        <v>Match</v>
      </c>
      <c r="J577" s="23" t="str">
        <f t="shared" si="42"/>
        <v>Match</v>
      </c>
      <c r="K577" s="24">
        <f t="shared" si="43"/>
        <v>0</v>
      </c>
      <c r="L577" s="24">
        <f t="shared" si="44"/>
        <v>0</v>
      </c>
    </row>
    <row r="578" spans="1:12" ht="15" customHeight="1" x14ac:dyDescent="0.3">
      <c r="A578" s="23" t="s">
        <v>13085</v>
      </c>
      <c r="B578" s="23" t="s">
        <v>79</v>
      </c>
      <c r="C578" s="39">
        <v>8798</v>
      </c>
      <c r="D578" s="24">
        <v>140.77000000000001</v>
      </c>
      <c r="E578" s="24">
        <v>25.34</v>
      </c>
      <c r="F578" s="23">
        <f>COUNTIFS(mdr_rate_cleaned!$A$2:$A$10,B578,mdr_rate_cleaned!$B$2:$B$10,"&lt;"&amp;C578,mdr_rate_cleaned!$F$2:$F$10,"&gt;="&amp;C578)</f>
        <v>1</v>
      </c>
      <c r="G578" s="40">
        <f>SUMIFS(mdr_rate_cleaned!$G$2:$G$10,mdr_rate_cleaned!$A$2:$A$10,B578,mdr_rate_cleaned!$B$2:$B$10,"&lt;"&amp;C578,mdr_rate_cleaned!$F$2:$F$10,"&gt;="&amp;C578)</f>
        <v>1.6E-2</v>
      </c>
      <c r="H578" s="24">
        <f t="shared" ref="H578:H641" si="45">ROUND(C578*G578,2)</f>
        <v>140.77000000000001</v>
      </c>
      <c r="I578" s="23" t="str">
        <f t="shared" ref="I578:I641" si="46">IF(ROUND(D578-H578,2)=0,"Match","Differs")</f>
        <v>Match</v>
      </c>
      <c r="J578" s="23" t="str">
        <f t="shared" ref="J578:J641" si="47">IF(ROUND(E578-ROUND(D578*0.18,2),2)=0,"Match","Differs")</f>
        <v>Match</v>
      </c>
      <c r="K578" s="24">
        <f t="shared" ref="K578:K641" si="48">ROUND(H578*0.18,2)</f>
        <v>25.34</v>
      </c>
      <c r="L578" s="24">
        <f t="shared" ref="L578:L641" si="49">ROUND(D578+E578-H578-K578,2)</f>
        <v>0</v>
      </c>
    </row>
    <row r="579" spans="1:12" ht="15" customHeight="1" x14ac:dyDescent="0.3">
      <c r="A579" s="23" t="s">
        <v>13086</v>
      </c>
      <c r="B579" s="23" t="s">
        <v>79</v>
      </c>
      <c r="C579" s="39">
        <v>2498</v>
      </c>
      <c r="D579" s="24">
        <v>39.97</v>
      </c>
      <c r="E579" s="24">
        <v>7.19</v>
      </c>
      <c r="F579" s="23">
        <f>COUNTIFS(mdr_rate_cleaned!$A$2:$A$10,B579,mdr_rate_cleaned!$B$2:$B$10,"&lt;"&amp;C579,mdr_rate_cleaned!$F$2:$F$10,"&gt;="&amp;C579)</f>
        <v>1</v>
      </c>
      <c r="G579" s="40">
        <f>SUMIFS(mdr_rate_cleaned!$G$2:$G$10,mdr_rate_cleaned!$A$2:$A$10,B579,mdr_rate_cleaned!$B$2:$B$10,"&lt;"&amp;C579,mdr_rate_cleaned!$F$2:$F$10,"&gt;="&amp;C579)</f>
        <v>1.6E-2</v>
      </c>
      <c r="H579" s="24">
        <f t="shared" si="45"/>
        <v>39.97</v>
      </c>
      <c r="I579" s="23" t="str">
        <f t="shared" si="46"/>
        <v>Match</v>
      </c>
      <c r="J579" s="23" t="str">
        <f t="shared" si="47"/>
        <v>Match</v>
      </c>
      <c r="K579" s="24">
        <f t="shared" si="48"/>
        <v>7.19</v>
      </c>
      <c r="L579" s="24">
        <f t="shared" si="49"/>
        <v>0</v>
      </c>
    </row>
    <row r="580" spans="1:12" ht="15" customHeight="1" x14ac:dyDescent="0.3">
      <c r="A580" s="23" t="s">
        <v>13087</v>
      </c>
      <c r="B580" s="23" t="s">
        <v>75</v>
      </c>
      <c r="C580" s="39">
        <v>2999</v>
      </c>
      <c r="D580" s="24">
        <v>9</v>
      </c>
      <c r="E580" s="24">
        <v>1.62</v>
      </c>
      <c r="F580" s="23">
        <f>COUNTIFS(mdr_rate_cleaned!$A$2:$A$10,B580,mdr_rate_cleaned!$B$2:$B$10,"&lt;"&amp;C580,mdr_rate_cleaned!$F$2:$F$10,"&gt;="&amp;C580)</f>
        <v>1</v>
      </c>
      <c r="G580" s="40">
        <f>SUMIFS(mdr_rate_cleaned!$G$2:$G$10,mdr_rate_cleaned!$A$2:$A$10,B580,mdr_rate_cleaned!$B$2:$B$10,"&lt;"&amp;C580,mdr_rate_cleaned!$F$2:$F$10,"&gt;="&amp;C580)</f>
        <v>3.0000000000000001E-3</v>
      </c>
      <c r="H580" s="24">
        <f t="shared" si="45"/>
        <v>9</v>
      </c>
      <c r="I580" s="23" t="str">
        <f t="shared" si="46"/>
        <v>Match</v>
      </c>
      <c r="J580" s="23" t="str">
        <f t="shared" si="47"/>
        <v>Match</v>
      </c>
      <c r="K580" s="24">
        <f t="shared" si="48"/>
        <v>1.62</v>
      </c>
      <c r="L580" s="24">
        <f t="shared" si="49"/>
        <v>0</v>
      </c>
    </row>
    <row r="581" spans="1:12" ht="15" customHeight="1" x14ac:dyDescent="0.3">
      <c r="A581" s="23" t="s">
        <v>13089</v>
      </c>
      <c r="B581" s="23" t="s">
        <v>77</v>
      </c>
      <c r="C581" s="39">
        <v>3348</v>
      </c>
      <c r="D581" s="24">
        <v>56.92</v>
      </c>
      <c r="E581" s="24">
        <v>10.25</v>
      </c>
      <c r="F581" s="23">
        <f>COUNTIFS(mdr_rate_cleaned!$A$2:$A$10,B581,mdr_rate_cleaned!$B$2:$B$10,"&lt;"&amp;C581,mdr_rate_cleaned!$F$2:$F$10,"&gt;="&amp;C581)</f>
        <v>1</v>
      </c>
      <c r="G581" s="40">
        <f>SUMIFS(mdr_rate_cleaned!$G$2:$G$10,mdr_rate_cleaned!$A$2:$A$10,B581,mdr_rate_cleaned!$B$2:$B$10,"&lt;"&amp;C581,mdr_rate_cleaned!$F$2:$F$10,"&gt;="&amp;C581)</f>
        <v>1.7000000000000001E-2</v>
      </c>
      <c r="H581" s="24">
        <f t="shared" si="45"/>
        <v>56.92</v>
      </c>
      <c r="I581" s="23" t="str">
        <f t="shared" si="46"/>
        <v>Match</v>
      </c>
      <c r="J581" s="23" t="str">
        <f t="shared" si="47"/>
        <v>Match</v>
      </c>
      <c r="K581" s="24">
        <f t="shared" si="48"/>
        <v>10.25</v>
      </c>
      <c r="L581" s="24">
        <f t="shared" si="49"/>
        <v>0</v>
      </c>
    </row>
    <row r="582" spans="1:12" ht="15" customHeight="1" x14ac:dyDescent="0.3">
      <c r="A582" s="23" t="s">
        <v>13090</v>
      </c>
      <c r="B582" s="23" t="s">
        <v>75</v>
      </c>
      <c r="C582" s="39">
        <v>1098</v>
      </c>
      <c r="D582" s="24">
        <v>0</v>
      </c>
      <c r="E582" s="24">
        <v>0</v>
      </c>
      <c r="F582" s="23">
        <f>COUNTIFS(mdr_rate_cleaned!$A$2:$A$10,B582,mdr_rate_cleaned!$B$2:$B$10,"&lt;"&amp;C582,mdr_rate_cleaned!$F$2:$F$10,"&gt;="&amp;C582)</f>
        <v>1</v>
      </c>
      <c r="G582" s="40">
        <f>SUMIFS(mdr_rate_cleaned!$G$2:$G$10,mdr_rate_cleaned!$A$2:$A$10,B582,mdr_rate_cleaned!$B$2:$B$10,"&lt;"&amp;C582,mdr_rate_cleaned!$F$2:$F$10,"&gt;="&amp;C582)</f>
        <v>0</v>
      </c>
      <c r="H582" s="24">
        <f t="shared" si="45"/>
        <v>0</v>
      </c>
      <c r="I582" s="23" t="str">
        <f t="shared" si="46"/>
        <v>Match</v>
      </c>
      <c r="J582" s="23" t="str">
        <f t="shared" si="47"/>
        <v>Match</v>
      </c>
      <c r="K582" s="24">
        <f t="shared" si="48"/>
        <v>0</v>
      </c>
      <c r="L582" s="24">
        <f t="shared" si="49"/>
        <v>0</v>
      </c>
    </row>
    <row r="583" spans="1:12" ht="15" customHeight="1" x14ac:dyDescent="0.3">
      <c r="A583" s="23" t="s">
        <v>13091</v>
      </c>
      <c r="B583" s="23" t="s">
        <v>75</v>
      </c>
      <c r="C583" s="39">
        <v>5947</v>
      </c>
      <c r="D583" s="24">
        <v>17.84</v>
      </c>
      <c r="E583" s="24">
        <v>3.21</v>
      </c>
      <c r="F583" s="23">
        <f>COUNTIFS(mdr_rate_cleaned!$A$2:$A$10,B583,mdr_rate_cleaned!$B$2:$B$10,"&lt;"&amp;C583,mdr_rate_cleaned!$F$2:$F$10,"&gt;="&amp;C583)</f>
        <v>1</v>
      </c>
      <c r="G583" s="40">
        <f>SUMIFS(mdr_rate_cleaned!$G$2:$G$10,mdr_rate_cleaned!$A$2:$A$10,B583,mdr_rate_cleaned!$B$2:$B$10,"&lt;"&amp;C583,mdr_rate_cleaned!$F$2:$F$10,"&gt;="&amp;C583)</f>
        <v>3.0000000000000001E-3</v>
      </c>
      <c r="H583" s="24">
        <f t="shared" si="45"/>
        <v>17.84</v>
      </c>
      <c r="I583" s="23" t="str">
        <f t="shared" si="46"/>
        <v>Match</v>
      </c>
      <c r="J583" s="23" t="str">
        <f t="shared" si="47"/>
        <v>Match</v>
      </c>
      <c r="K583" s="24">
        <f t="shared" si="48"/>
        <v>3.21</v>
      </c>
      <c r="L583" s="24">
        <f t="shared" si="49"/>
        <v>0</v>
      </c>
    </row>
    <row r="584" spans="1:12" ht="15" customHeight="1" x14ac:dyDescent="0.3">
      <c r="A584" s="23" t="s">
        <v>13092</v>
      </c>
      <c r="B584" s="23" t="s">
        <v>79</v>
      </c>
      <c r="C584" s="39">
        <v>3447</v>
      </c>
      <c r="D584" s="24">
        <v>55.15</v>
      </c>
      <c r="E584" s="24">
        <v>9.93</v>
      </c>
      <c r="F584" s="23">
        <f>COUNTIFS(mdr_rate_cleaned!$A$2:$A$10,B584,mdr_rate_cleaned!$B$2:$B$10,"&lt;"&amp;C584,mdr_rate_cleaned!$F$2:$F$10,"&gt;="&amp;C584)</f>
        <v>1</v>
      </c>
      <c r="G584" s="40">
        <f>SUMIFS(mdr_rate_cleaned!$G$2:$G$10,mdr_rate_cleaned!$A$2:$A$10,B584,mdr_rate_cleaned!$B$2:$B$10,"&lt;"&amp;C584,mdr_rate_cleaned!$F$2:$F$10,"&gt;="&amp;C584)</f>
        <v>1.6E-2</v>
      </c>
      <c r="H584" s="24">
        <f t="shared" si="45"/>
        <v>55.15</v>
      </c>
      <c r="I584" s="23" t="str">
        <f t="shared" si="46"/>
        <v>Match</v>
      </c>
      <c r="J584" s="23" t="str">
        <f t="shared" si="47"/>
        <v>Match</v>
      </c>
      <c r="K584" s="24">
        <f t="shared" si="48"/>
        <v>9.93</v>
      </c>
      <c r="L584" s="24">
        <f t="shared" si="49"/>
        <v>0</v>
      </c>
    </row>
    <row r="585" spans="1:12" ht="15" customHeight="1" x14ac:dyDescent="0.3">
      <c r="A585" s="23" t="s">
        <v>13093</v>
      </c>
      <c r="B585" s="23" t="s">
        <v>81</v>
      </c>
      <c r="C585" s="39">
        <v>2499</v>
      </c>
      <c r="D585" s="24">
        <v>29.99</v>
      </c>
      <c r="E585" s="24">
        <v>5.4</v>
      </c>
      <c r="F585" s="23">
        <f>COUNTIFS(mdr_rate_cleaned!$A$2:$A$10,B585,mdr_rate_cleaned!$B$2:$B$10,"&lt;"&amp;C585,mdr_rate_cleaned!$F$2:$F$10,"&gt;="&amp;C585)</f>
        <v>1</v>
      </c>
      <c r="G585" s="40">
        <f>SUMIFS(mdr_rate_cleaned!$G$2:$G$10,mdr_rate_cleaned!$A$2:$A$10,B585,mdr_rate_cleaned!$B$2:$B$10,"&lt;"&amp;C585,mdr_rate_cleaned!$F$2:$F$10,"&gt;="&amp;C585)</f>
        <v>1.2E-2</v>
      </c>
      <c r="H585" s="24">
        <f t="shared" si="45"/>
        <v>29.99</v>
      </c>
      <c r="I585" s="23" t="str">
        <f t="shared" si="46"/>
        <v>Match</v>
      </c>
      <c r="J585" s="23" t="str">
        <f t="shared" si="47"/>
        <v>Match</v>
      </c>
      <c r="K585" s="24">
        <f t="shared" si="48"/>
        <v>5.4</v>
      </c>
      <c r="L585" s="24">
        <f t="shared" si="49"/>
        <v>0</v>
      </c>
    </row>
    <row r="586" spans="1:12" ht="15" customHeight="1" x14ac:dyDescent="0.3">
      <c r="A586" s="23" t="s">
        <v>13094</v>
      </c>
      <c r="B586" s="23" t="s">
        <v>75</v>
      </c>
      <c r="C586" s="39">
        <v>1947</v>
      </c>
      <c r="D586" s="24">
        <v>0</v>
      </c>
      <c r="E586" s="24">
        <v>0</v>
      </c>
      <c r="F586" s="23">
        <f>COUNTIFS(mdr_rate_cleaned!$A$2:$A$10,B586,mdr_rate_cleaned!$B$2:$B$10,"&lt;"&amp;C586,mdr_rate_cleaned!$F$2:$F$10,"&gt;="&amp;C586)</f>
        <v>1</v>
      </c>
      <c r="G586" s="40">
        <f>SUMIFS(mdr_rate_cleaned!$G$2:$G$10,mdr_rate_cleaned!$A$2:$A$10,B586,mdr_rate_cleaned!$B$2:$B$10,"&lt;"&amp;C586,mdr_rate_cleaned!$F$2:$F$10,"&gt;="&amp;C586)</f>
        <v>0</v>
      </c>
      <c r="H586" s="24">
        <f t="shared" si="45"/>
        <v>0</v>
      </c>
      <c r="I586" s="23" t="str">
        <f t="shared" si="46"/>
        <v>Match</v>
      </c>
      <c r="J586" s="23" t="str">
        <f t="shared" si="47"/>
        <v>Match</v>
      </c>
      <c r="K586" s="24">
        <f t="shared" si="48"/>
        <v>0</v>
      </c>
      <c r="L586" s="24">
        <f t="shared" si="49"/>
        <v>0</v>
      </c>
    </row>
    <row r="587" spans="1:12" ht="15" customHeight="1" x14ac:dyDescent="0.3">
      <c r="A587" s="23" t="s">
        <v>13095</v>
      </c>
      <c r="B587" s="23" t="s">
        <v>77</v>
      </c>
      <c r="C587" s="39">
        <v>3499</v>
      </c>
      <c r="D587" s="24">
        <v>59.48</v>
      </c>
      <c r="E587" s="24">
        <v>10.71</v>
      </c>
      <c r="F587" s="23">
        <f>COUNTIFS(mdr_rate_cleaned!$A$2:$A$10,B587,mdr_rate_cleaned!$B$2:$B$10,"&lt;"&amp;C587,mdr_rate_cleaned!$F$2:$F$10,"&gt;="&amp;C587)</f>
        <v>1</v>
      </c>
      <c r="G587" s="40">
        <f>SUMIFS(mdr_rate_cleaned!$G$2:$G$10,mdr_rate_cleaned!$A$2:$A$10,B587,mdr_rate_cleaned!$B$2:$B$10,"&lt;"&amp;C587,mdr_rate_cleaned!$F$2:$F$10,"&gt;="&amp;C587)</f>
        <v>1.7000000000000001E-2</v>
      </c>
      <c r="H587" s="24">
        <f t="shared" si="45"/>
        <v>59.48</v>
      </c>
      <c r="I587" s="23" t="str">
        <f t="shared" si="46"/>
        <v>Match</v>
      </c>
      <c r="J587" s="23" t="str">
        <f t="shared" si="47"/>
        <v>Match</v>
      </c>
      <c r="K587" s="24">
        <f t="shared" si="48"/>
        <v>10.71</v>
      </c>
      <c r="L587" s="24">
        <f t="shared" si="49"/>
        <v>0</v>
      </c>
    </row>
    <row r="588" spans="1:12" ht="15" customHeight="1" x14ac:dyDescent="0.3">
      <c r="A588" s="23" t="s">
        <v>13096</v>
      </c>
      <c r="B588" s="23" t="s">
        <v>75</v>
      </c>
      <c r="C588" s="39">
        <v>2498</v>
      </c>
      <c r="D588" s="24">
        <v>7.49</v>
      </c>
      <c r="E588" s="24">
        <v>1.35</v>
      </c>
      <c r="F588" s="23">
        <f>COUNTIFS(mdr_rate_cleaned!$A$2:$A$10,B588,mdr_rate_cleaned!$B$2:$B$10,"&lt;"&amp;C588,mdr_rate_cleaned!$F$2:$F$10,"&gt;="&amp;C588)</f>
        <v>1</v>
      </c>
      <c r="G588" s="40">
        <f>SUMIFS(mdr_rate_cleaned!$G$2:$G$10,mdr_rate_cleaned!$A$2:$A$10,B588,mdr_rate_cleaned!$B$2:$B$10,"&lt;"&amp;C588,mdr_rate_cleaned!$F$2:$F$10,"&gt;="&amp;C588)</f>
        <v>3.0000000000000001E-3</v>
      </c>
      <c r="H588" s="24">
        <f t="shared" si="45"/>
        <v>7.49</v>
      </c>
      <c r="I588" s="23" t="str">
        <f t="shared" si="46"/>
        <v>Match</v>
      </c>
      <c r="J588" s="23" t="str">
        <f t="shared" si="47"/>
        <v>Match</v>
      </c>
      <c r="K588" s="24">
        <f t="shared" si="48"/>
        <v>1.35</v>
      </c>
      <c r="L588" s="24">
        <f t="shared" si="49"/>
        <v>0</v>
      </c>
    </row>
    <row r="589" spans="1:12" ht="15" customHeight="1" x14ac:dyDescent="0.3">
      <c r="A589" s="23" t="s">
        <v>13097</v>
      </c>
      <c r="B589" s="23" t="s">
        <v>77</v>
      </c>
      <c r="C589" s="39">
        <v>349</v>
      </c>
      <c r="D589" s="24">
        <v>6.63</v>
      </c>
      <c r="E589" s="24">
        <v>1.19</v>
      </c>
      <c r="F589" s="23">
        <f>COUNTIFS(mdr_rate_cleaned!$A$2:$A$10,B589,mdr_rate_cleaned!$B$2:$B$10,"&lt;"&amp;C589,mdr_rate_cleaned!$F$2:$F$10,"&gt;="&amp;C589)</f>
        <v>1</v>
      </c>
      <c r="G589" s="40">
        <f>SUMIFS(mdr_rate_cleaned!$G$2:$G$10,mdr_rate_cleaned!$A$2:$A$10,B589,mdr_rate_cleaned!$B$2:$B$10,"&lt;"&amp;C589,mdr_rate_cleaned!$F$2:$F$10,"&gt;="&amp;C589)</f>
        <v>1.9E-2</v>
      </c>
      <c r="H589" s="24">
        <f t="shared" si="45"/>
        <v>6.63</v>
      </c>
      <c r="I589" s="23" t="str">
        <f t="shared" si="46"/>
        <v>Match</v>
      </c>
      <c r="J589" s="23" t="str">
        <f t="shared" si="47"/>
        <v>Match</v>
      </c>
      <c r="K589" s="24">
        <f t="shared" si="48"/>
        <v>1.19</v>
      </c>
      <c r="L589" s="24">
        <f t="shared" si="49"/>
        <v>0</v>
      </c>
    </row>
    <row r="590" spans="1:12" ht="15" customHeight="1" x14ac:dyDescent="0.3">
      <c r="A590" s="23" t="s">
        <v>13099</v>
      </c>
      <c r="B590" s="23" t="s">
        <v>79</v>
      </c>
      <c r="C590" s="39">
        <v>499</v>
      </c>
      <c r="D590" s="24">
        <v>8.98</v>
      </c>
      <c r="E590" s="24">
        <v>1.62</v>
      </c>
      <c r="F590" s="23">
        <f>COUNTIFS(mdr_rate_cleaned!$A$2:$A$10,B590,mdr_rate_cleaned!$B$2:$B$10,"&lt;"&amp;C590,mdr_rate_cleaned!$F$2:$F$10,"&gt;="&amp;C590)</f>
        <v>1</v>
      </c>
      <c r="G590" s="40">
        <f>SUMIFS(mdr_rate_cleaned!$G$2:$G$10,mdr_rate_cleaned!$A$2:$A$10,B590,mdr_rate_cleaned!$B$2:$B$10,"&lt;"&amp;C590,mdr_rate_cleaned!$F$2:$F$10,"&gt;="&amp;C590)</f>
        <v>1.8000000000000002E-2</v>
      </c>
      <c r="H590" s="24">
        <f t="shared" si="45"/>
        <v>8.98</v>
      </c>
      <c r="I590" s="23" t="str">
        <f t="shared" si="46"/>
        <v>Match</v>
      </c>
      <c r="J590" s="23" t="str">
        <f t="shared" si="47"/>
        <v>Match</v>
      </c>
      <c r="K590" s="24">
        <f t="shared" si="48"/>
        <v>1.62</v>
      </c>
      <c r="L590" s="24">
        <f t="shared" si="49"/>
        <v>0</v>
      </c>
    </row>
    <row r="591" spans="1:12" ht="15" customHeight="1" x14ac:dyDescent="0.3">
      <c r="A591" s="23" t="s">
        <v>13101</v>
      </c>
      <c r="B591" s="23" t="s">
        <v>75</v>
      </c>
      <c r="C591" s="39">
        <v>6798</v>
      </c>
      <c r="D591" s="24">
        <v>20.39</v>
      </c>
      <c r="E591" s="24">
        <v>3.67</v>
      </c>
      <c r="F591" s="23">
        <f>COUNTIFS(mdr_rate_cleaned!$A$2:$A$10,B591,mdr_rate_cleaned!$B$2:$B$10,"&lt;"&amp;C591,mdr_rate_cleaned!$F$2:$F$10,"&gt;="&amp;C591)</f>
        <v>1</v>
      </c>
      <c r="G591" s="40">
        <f>SUMIFS(mdr_rate_cleaned!$G$2:$G$10,mdr_rate_cleaned!$A$2:$A$10,B591,mdr_rate_cleaned!$B$2:$B$10,"&lt;"&amp;C591,mdr_rate_cleaned!$F$2:$F$10,"&gt;="&amp;C591)</f>
        <v>3.0000000000000001E-3</v>
      </c>
      <c r="H591" s="24">
        <f t="shared" si="45"/>
        <v>20.39</v>
      </c>
      <c r="I591" s="23" t="str">
        <f t="shared" si="46"/>
        <v>Match</v>
      </c>
      <c r="J591" s="23" t="str">
        <f t="shared" si="47"/>
        <v>Match</v>
      </c>
      <c r="K591" s="24">
        <f t="shared" si="48"/>
        <v>3.67</v>
      </c>
      <c r="L591" s="24">
        <f t="shared" si="49"/>
        <v>0</v>
      </c>
    </row>
    <row r="592" spans="1:12" ht="15" customHeight="1" x14ac:dyDescent="0.3">
      <c r="A592" s="23" t="s">
        <v>13102</v>
      </c>
      <c r="B592" s="23" t="s">
        <v>79</v>
      </c>
      <c r="C592" s="39">
        <v>8998</v>
      </c>
      <c r="D592" s="24">
        <v>143.97</v>
      </c>
      <c r="E592" s="24">
        <v>25.91</v>
      </c>
      <c r="F592" s="23">
        <f>COUNTIFS(mdr_rate_cleaned!$A$2:$A$10,B592,mdr_rate_cleaned!$B$2:$B$10,"&lt;"&amp;C592,mdr_rate_cleaned!$F$2:$F$10,"&gt;="&amp;C592)</f>
        <v>1</v>
      </c>
      <c r="G592" s="40">
        <f>SUMIFS(mdr_rate_cleaned!$G$2:$G$10,mdr_rate_cleaned!$A$2:$A$10,B592,mdr_rate_cleaned!$B$2:$B$10,"&lt;"&amp;C592,mdr_rate_cleaned!$F$2:$F$10,"&gt;="&amp;C592)</f>
        <v>1.6E-2</v>
      </c>
      <c r="H592" s="24">
        <f t="shared" si="45"/>
        <v>143.97</v>
      </c>
      <c r="I592" s="23" t="str">
        <f t="shared" si="46"/>
        <v>Match</v>
      </c>
      <c r="J592" s="23" t="str">
        <f t="shared" si="47"/>
        <v>Match</v>
      </c>
      <c r="K592" s="24">
        <f t="shared" si="48"/>
        <v>25.91</v>
      </c>
      <c r="L592" s="24">
        <f t="shared" si="49"/>
        <v>0</v>
      </c>
    </row>
    <row r="593" spans="1:12" ht="15" customHeight="1" x14ac:dyDescent="0.3">
      <c r="A593" s="23" t="s">
        <v>13104</v>
      </c>
      <c r="B593" s="23" t="s">
        <v>75</v>
      </c>
      <c r="C593" s="39">
        <v>3499</v>
      </c>
      <c r="D593" s="24">
        <v>10.5</v>
      </c>
      <c r="E593" s="24">
        <v>1.89</v>
      </c>
      <c r="F593" s="23">
        <f>COUNTIFS(mdr_rate_cleaned!$A$2:$A$10,B593,mdr_rate_cleaned!$B$2:$B$10,"&lt;"&amp;C593,mdr_rate_cleaned!$F$2:$F$10,"&gt;="&amp;C593)</f>
        <v>1</v>
      </c>
      <c r="G593" s="40">
        <f>SUMIFS(mdr_rate_cleaned!$G$2:$G$10,mdr_rate_cleaned!$A$2:$A$10,B593,mdr_rate_cleaned!$B$2:$B$10,"&lt;"&amp;C593,mdr_rate_cleaned!$F$2:$F$10,"&gt;="&amp;C593)</f>
        <v>3.0000000000000001E-3</v>
      </c>
      <c r="H593" s="24">
        <f t="shared" si="45"/>
        <v>10.5</v>
      </c>
      <c r="I593" s="23" t="str">
        <f t="shared" si="46"/>
        <v>Match</v>
      </c>
      <c r="J593" s="23" t="str">
        <f t="shared" si="47"/>
        <v>Match</v>
      </c>
      <c r="K593" s="24">
        <f t="shared" si="48"/>
        <v>1.89</v>
      </c>
      <c r="L593" s="24">
        <f t="shared" si="49"/>
        <v>0</v>
      </c>
    </row>
    <row r="594" spans="1:12" ht="15" customHeight="1" x14ac:dyDescent="0.3">
      <c r="A594" s="23" t="s">
        <v>13105</v>
      </c>
      <c r="B594" s="23" t="s">
        <v>77</v>
      </c>
      <c r="C594" s="39">
        <v>2999</v>
      </c>
      <c r="D594" s="24">
        <v>50.98</v>
      </c>
      <c r="E594" s="24">
        <v>9.18</v>
      </c>
      <c r="F594" s="23">
        <f>COUNTIFS(mdr_rate_cleaned!$A$2:$A$10,B594,mdr_rate_cleaned!$B$2:$B$10,"&lt;"&amp;C594,mdr_rate_cleaned!$F$2:$F$10,"&gt;="&amp;C594)</f>
        <v>1</v>
      </c>
      <c r="G594" s="40">
        <f>SUMIFS(mdr_rate_cleaned!$G$2:$G$10,mdr_rate_cleaned!$A$2:$A$10,B594,mdr_rate_cleaned!$B$2:$B$10,"&lt;"&amp;C594,mdr_rate_cleaned!$F$2:$F$10,"&gt;="&amp;C594)</f>
        <v>1.7000000000000001E-2</v>
      </c>
      <c r="H594" s="24">
        <f t="shared" si="45"/>
        <v>50.98</v>
      </c>
      <c r="I594" s="23" t="str">
        <f t="shared" si="46"/>
        <v>Match</v>
      </c>
      <c r="J594" s="23" t="str">
        <f t="shared" si="47"/>
        <v>Match</v>
      </c>
      <c r="K594" s="24">
        <f t="shared" si="48"/>
        <v>9.18</v>
      </c>
      <c r="L594" s="24">
        <f t="shared" si="49"/>
        <v>0</v>
      </c>
    </row>
    <row r="595" spans="1:12" ht="15" customHeight="1" x14ac:dyDescent="0.3">
      <c r="A595" s="23" t="s">
        <v>13106</v>
      </c>
      <c r="B595" s="23" t="s">
        <v>79</v>
      </c>
      <c r="C595" s="39">
        <v>1298</v>
      </c>
      <c r="D595" s="24">
        <v>23.36</v>
      </c>
      <c r="E595" s="24">
        <v>4.2</v>
      </c>
      <c r="F595" s="23">
        <f>COUNTIFS(mdr_rate_cleaned!$A$2:$A$10,B595,mdr_rate_cleaned!$B$2:$B$10,"&lt;"&amp;C595,mdr_rate_cleaned!$F$2:$F$10,"&gt;="&amp;C595)</f>
        <v>1</v>
      </c>
      <c r="G595" s="40">
        <f>SUMIFS(mdr_rate_cleaned!$G$2:$G$10,mdr_rate_cleaned!$A$2:$A$10,B595,mdr_rate_cleaned!$B$2:$B$10,"&lt;"&amp;C595,mdr_rate_cleaned!$F$2:$F$10,"&gt;="&amp;C595)</f>
        <v>1.8000000000000002E-2</v>
      </c>
      <c r="H595" s="24">
        <f t="shared" si="45"/>
        <v>23.36</v>
      </c>
      <c r="I595" s="23" t="str">
        <f t="shared" si="46"/>
        <v>Match</v>
      </c>
      <c r="J595" s="23" t="str">
        <f t="shared" si="47"/>
        <v>Match</v>
      </c>
      <c r="K595" s="24">
        <f t="shared" si="48"/>
        <v>4.2</v>
      </c>
      <c r="L595" s="24">
        <f t="shared" si="49"/>
        <v>0</v>
      </c>
    </row>
    <row r="596" spans="1:12" ht="15" customHeight="1" x14ac:dyDescent="0.3">
      <c r="A596" s="23" t="s">
        <v>13108</v>
      </c>
      <c r="B596" s="23" t="s">
        <v>81</v>
      </c>
      <c r="C596" s="39">
        <v>1348</v>
      </c>
      <c r="D596" s="24">
        <v>20.22</v>
      </c>
      <c r="E596" s="24">
        <v>3.64</v>
      </c>
      <c r="F596" s="23">
        <f>COUNTIFS(mdr_rate_cleaned!$A$2:$A$10,B596,mdr_rate_cleaned!$B$2:$B$10,"&lt;"&amp;C596,mdr_rate_cleaned!$F$2:$F$10,"&gt;="&amp;C596)</f>
        <v>1</v>
      </c>
      <c r="G596" s="40">
        <f>SUMIFS(mdr_rate_cleaned!$G$2:$G$10,mdr_rate_cleaned!$A$2:$A$10,B596,mdr_rate_cleaned!$B$2:$B$10,"&lt;"&amp;C596,mdr_rate_cleaned!$F$2:$F$10,"&gt;="&amp;C596)</f>
        <v>1.4999999999999999E-2</v>
      </c>
      <c r="H596" s="24">
        <f t="shared" si="45"/>
        <v>20.22</v>
      </c>
      <c r="I596" s="23" t="str">
        <f t="shared" si="46"/>
        <v>Match</v>
      </c>
      <c r="J596" s="23" t="str">
        <f t="shared" si="47"/>
        <v>Match</v>
      </c>
      <c r="K596" s="24">
        <f t="shared" si="48"/>
        <v>3.64</v>
      </c>
      <c r="L596" s="24">
        <f t="shared" si="49"/>
        <v>0</v>
      </c>
    </row>
    <row r="597" spans="1:12" ht="15" customHeight="1" x14ac:dyDescent="0.3">
      <c r="A597" s="23" t="s">
        <v>13109</v>
      </c>
      <c r="B597" s="23" t="s">
        <v>81</v>
      </c>
      <c r="C597" s="39">
        <v>5298</v>
      </c>
      <c r="D597" s="24">
        <v>63.58</v>
      </c>
      <c r="E597" s="24">
        <v>11.44</v>
      </c>
      <c r="F597" s="23">
        <f>COUNTIFS(mdr_rate_cleaned!$A$2:$A$10,B597,mdr_rate_cleaned!$B$2:$B$10,"&lt;"&amp;C597,mdr_rate_cleaned!$F$2:$F$10,"&gt;="&amp;C597)</f>
        <v>1</v>
      </c>
      <c r="G597" s="40">
        <f>SUMIFS(mdr_rate_cleaned!$G$2:$G$10,mdr_rate_cleaned!$A$2:$A$10,B597,mdr_rate_cleaned!$B$2:$B$10,"&lt;"&amp;C597,mdr_rate_cleaned!$F$2:$F$10,"&gt;="&amp;C597)</f>
        <v>1.2E-2</v>
      </c>
      <c r="H597" s="24">
        <f t="shared" si="45"/>
        <v>63.58</v>
      </c>
      <c r="I597" s="23" t="str">
        <f t="shared" si="46"/>
        <v>Match</v>
      </c>
      <c r="J597" s="23" t="str">
        <f t="shared" si="47"/>
        <v>Match</v>
      </c>
      <c r="K597" s="24">
        <f t="shared" si="48"/>
        <v>11.44</v>
      </c>
      <c r="L597" s="24">
        <f t="shared" si="49"/>
        <v>0</v>
      </c>
    </row>
    <row r="598" spans="1:12" ht="15" customHeight="1" x14ac:dyDescent="0.3">
      <c r="A598" s="23" t="s">
        <v>13110</v>
      </c>
      <c r="B598" s="23" t="s">
        <v>79</v>
      </c>
      <c r="C598" s="39">
        <v>9297</v>
      </c>
      <c r="D598" s="24">
        <v>148.75</v>
      </c>
      <c r="E598" s="24">
        <v>26.78</v>
      </c>
      <c r="F598" s="23">
        <f>COUNTIFS(mdr_rate_cleaned!$A$2:$A$10,B598,mdr_rate_cleaned!$B$2:$B$10,"&lt;"&amp;C598,mdr_rate_cleaned!$F$2:$F$10,"&gt;="&amp;C598)</f>
        <v>1</v>
      </c>
      <c r="G598" s="40">
        <f>SUMIFS(mdr_rate_cleaned!$G$2:$G$10,mdr_rate_cleaned!$A$2:$A$10,B598,mdr_rate_cleaned!$B$2:$B$10,"&lt;"&amp;C598,mdr_rate_cleaned!$F$2:$F$10,"&gt;="&amp;C598)</f>
        <v>1.6E-2</v>
      </c>
      <c r="H598" s="24">
        <f t="shared" si="45"/>
        <v>148.75</v>
      </c>
      <c r="I598" s="23" t="str">
        <f t="shared" si="46"/>
        <v>Match</v>
      </c>
      <c r="J598" s="23" t="str">
        <f t="shared" si="47"/>
        <v>Match</v>
      </c>
      <c r="K598" s="24">
        <f t="shared" si="48"/>
        <v>26.78</v>
      </c>
      <c r="L598" s="24">
        <f t="shared" si="49"/>
        <v>0</v>
      </c>
    </row>
    <row r="599" spans="1:12" ht="15" customHeight="1" x14ac:dyDescent="0.3">
      <c r="A599" s="23" t="s">
        <v>13111</v>
      </c>
      <c r="B599" s="23" t="s">
        <v>77</v>
      </c>
      <c r="C599" s="39">
        <v>1799</v>
      </c>
      <c r="D599" s="24">
        <v>34.18</v>
      </c>
      <c r="E599" s="24">
        <v>6.15</v>
      </c>
      <c r="F599" s="23">
        <f>COUNTIFS(mdr_rate_cleaned!$A$2:$A$10,B599,mdr_rate_cleaned!$B$2:$B$10,"&lt;"&amp;C599,mdr_rate_cleaned!$F$2:$F$10,"&gt;="&amp;C599)</f>
        <v>1</v>
      </c>
      <c r="G599" s="40">
        <f>SUMIFS(mdr_rate_cleaned!$G$2:$G$10,mdr_rate_cleaned!$A$2:$A$10,B599,mdr_rate_cleaned!$B$2:$B$10,"&lt;"&amp;C599,mdr_rate_cleaned!$F$2:$F$10,"&gt;="&amp;C599)</f>
        <v>1.9E-2</v>
      </c>
      <c r="H599" s="24">
        <f t="shared" si="45"/>
        <v>34.18</v>
      </c>
      <c r="I599" s="23" t="str">
        <f t="shared" si="46"/>
        <v>Match</v>
      </c>
      <c r="J599" s="23" t="str">
        <f t="shared" si="47"/>
        <v>Match</v>
      </c>
      <c r="K599" s="24">
        <f t="shared" si="48"/>
        <v>6.15</v>
      </c>
      <c r="L599" s="24">
        <f t="shared" si="49"/>
        <v>0</v>
      </c>
    </row>
    <row r="600" spans="1:12" ht="15" customHeight="1" x14ac:dyDescent="0.3">
      <c r="A600" s="23" t="s">
        <v>13112</v>
      </c>
      <c r="B600" s="23" t="s">
        <v>75</v>
      </c>
      <c r="C600" s="39">
        <v>1397</v>
      </c>
      <c r="D600" s="24">
        <v>0</v>
      </c>
      <c r="E600" s="24">
        <v>0</v>
      </c>
      <c r="F600" s="23">
        <f>COUNTIFS(mdr_rate_cleaned!$A$2:$A$10,B600,mdr_rate_cleaned!$B$2:$B$10,"&lt;"&amp;C600,mdr_rate_cleaned!$F$2:$F$10,"&gt;="&amp;C600)</f>
        <v>1</v>
      </c>
      <c r="G600" s="40">
        <f>SUMIFS(mdr_rate_cleaned!$G$2:$G$10,mdr_rate_cleaned!$A$2:$A$10,B600,mdr_rate_cleaned!$B$2:$B$10,"&lt;"&amp;C600,mdr_rate_cleaned!$F$2:$F$10,"&gt;="&amp;C600)</f>
        <v>0</v>
      </c>
      <c r="H600" s="24">
        <f t="shared" si="45"/>
        <v>0</v>
      </c>
      <c r="I600" s="23" t="str">
        <f t="shared" si="46"/>
        <v>Match</v>
      </c>
      <c r="J600" s="23" t="str">
        <f t="shared" si="47"/>
        <v>Match</v>
      </c>
      <c r="K600" s="24">
        <f t="shared" si="48"/>
        <v>0</v>
      </c>
      <c r="L600" s="24">
        <f t="shared" si="49"/>
        <v>0</v>
      </c>
    </row>
    <row r="601" spans="1:12" ht="15" customHeight="1" x14ac:dyDescent="0.3">
      <c r="A601" s="23" t="s">
        <v>13113</v>
      </c>
      <c r="B601" s="23" t="s">
        <v>75</v>
      </c>
      <c r="C601" s="39">
        <v>4999</v>
      </c>
      <c r="D601" s="24">
        <v>15</v>
      </c>
      <c r="E601" s="24">
        <v>2.7</v>
      </c>
      <c r="F601" s="23">
        <f>COUNTIFS(mdr_rate_cleaned!$A$2:$A$10,B601,mdr_rate_cleaned!$B$2:$B$10,"&lt;"&amp;C601,mdr_rate_cleaned!$F$2:$F$10,"&gt;="&amp;C601)</f>
        <v>1</v>
      </c>
      <c r="G601" s="40">
        <f>SUMIFS(mdr_rate_cleaned!$G$2:$G$10,mdr_rate_cleaned!$A$2:$A$10,B601,mdr_rate_cleaned!$B$2:$B$10,"&lt;"&amp;C601,mdr_rate_cleaned!$F$2:$F$10,"&gt;="&amp;C601)</f>
        <v>3.0000000000000001E-3</v>
      </c>
      <c r="H601" s="24">
        <f t="shared" si="45"/>
        <v>15</v>
      </c>
      <c r="I601" s="23" t="str">
        <f t="shared" si="46"/>
        <v>Match</v>
      </c>
      <c r="J601" s="23" t="str">
        <f t="shared" si="47"/>
        <v>Match</v>
      </c>
      <c r="K601" s="24">
        <f t="shared" si="48"/>
        <v>2.7</v>
      </c>
      <c r="L601" s="24">
        <f t="shared" si="49"/>
        <v>0</v>
      </c>
    </row>
    <row r="602" spans="1:12" ht="15" customHeight="1" x14ac:dyDescent="0.3">
      <c r="A602" s="23" t="s">
        <v>13114</v>
      </c>
      <c r="B602" s="23" t="s">
        <v>75</v>
      </c>
      <c r="C602" s="39">
        <v>798</v>
      </c>
      <c r="D602" s="24">
        <v>0</v>
      </c>
      <c r="E602" s="24">
        <v>0</v>
      </c>
      <c r="F602" s="23">
        <f>COUNTIFS(mdr_rate_cleaned!$A$2:$A$10,B602,mdr_rate_cleaned!$B$2:$B$10,"&lt;"&amp;C602,mdr_rate_cleaned!$F$2:$F$10,"&gt;="&amp;C602)</f>
        <v>1</v>
      </c>
      <c r="G602" s="40">
        <f>SUMIFS(mdr_rate_cleaned!$G$2:$G$10,mdr_rate_cleaned!$A$2:$A$10,B602,mdr_rate_cleaned!$B$2:$B$10,"&lt;"&amp;C602,mdr_rate_cleaned!$F$2:$F$10,"&gt;="&amp;C602)</f>
        <v>0</v>
      </c>
      <c r="H602" s="24">
        <f t="shared" si="45"/>
        <v>0</v>
      </c>
      <c r="I602" s="23" t="str">
        <f t="shared" si="46"/>
        <v>Match</v>
      </c>
      <c r="J602" s="23" t="str">
        <f t="shared" si="47"/>
        <v>Match</v>
      </c>
      <c r="K602" s="24">
        <f t="shared" si="48"/>
        <v>0</v>
      </c>
      <c r="L602" s="24">
        <f t="shared" si="49"/>
        <v>0</v>
      </c>
    </row>
    <row r="603" spans="1:12" ht="15" customHeight="1" x14ac:dyDescent="0.3">
      <c r="A603" s="23" t="s">
        <v>13116</v>
      </c>
      <c r="B603" s="23" t="s">
        <v>79</v>
      </c>
      <c r="C603" s="39">
        <v>3499</v>
      </c>
      <c r="D603" s="24">
        <v>55.98</v>
      </c>
      <c r="E603" s="24">
        <v>10.08</v>
      </c>
      <c r="F603" s="23">
        <f>COUNTIFS(mdr_rate_cleaned!$A$2:$A$10,B603,mdr_rate_cleaned!$B$2:$B$10,"&lt;"&amp;C603,mdr_rate_cleaned!$F$2:$F$10,"&gt;="&amp;C603)</f>
        <v>1</v>
      </c>
      <c r="G603" s="40">
        <f>SUMIFS(mdr_rate_cleaned!$G$2:$G$10,mdr_rate_cleaned!$A$2:$A$10,B603,mdr_rate_cleaned!$B$2:$B$10,"&lt;"&amp;C603,mdr_rate_cleaned!$F$2:$F$10,"&gt;="&amp;C603)</f>
        <v>1.6E-2</v>
      </c>
      <c r="H603" s="24">
        <f t="shared" si="45"/>
        <v>55.98</v>
      </c>
      <c r="I603" s="23" t="str">
        <f t="shared" si="46"/>
        <v>Match</v>
      </c>
      <c r="J603" s="23" t="str">
        <f t="shared" si="47"/>
        <v>Match</v>
      </c>
      <c r="K603" s="24">
        <f t="shared" si="48"/>
        <v>10.08</v>
      </c>
      <c r="L603" s="24">
        <f t="shared" si="49"/>
        <v>0</v>
      </c>
    </row>
    <row r="604" spans="1:12" ht="15" customHeight="1" x14ac:dyDescent="0.3">
      <c r="A604" s="23" t="s">
        <v>13117</v>
      </c>
      <c r="B604" s="23" t="s">
        <v>79</v>
      </c>
      <c r="C604" s="39">
        <v>799</v>
      </c>
      <c r="D604" s="24">
        <v>14.38</v>
      </c>
      <c r="E604" s="24">
        <v>2.59</v>
      </c>
      <c r="F604" s="23">
        <f>COUNTIFS(mdr_rate_cleaned!$A$2:$A$10,B604,mdr_rate_cleaned!$B$2:$B$10,"&lt;"&amp;C604,mdr_rate_cleaned!$F$2:$F$10,"&gt;="&amp;C604)</f>
        <v>1</v>
      </c>
      <c r="G604" s="40">
        <f>SUMIFS(mdr_rate_cleaned!$G$2:$G$10,mdr_rate_cleaned!$A$2:$A$10,B604,mdr_rate_cleaned!$B$2:$B$10,"&lt;"&amp;C604,mdr_rate_cleaned!$F$2:$F$10,"&gt;="&amp;C604)</f>
        <v>1.8000000000000002E-2</v>
      </c>
      <c r="H604" s="24">
        <f t="shared" si="45"/>
        <v>14.38</v>
      </c>
      <c r="I604" s="23" t="str">
        <f t="shared" si="46"/>
        <v>Match</v>
      </c>
      <c r="J604" s="23" t="str">
        <f t="shared" si="47"/>
        <v>Match</v>
      </c>
      <c r="K604" s="24">
        <f t="shared" si="48"/>
        <v>2.59</v>
      </c>
      <c r="L604" s="24">
        <f t="shared" si="49"/>
        <v>0</v>
      </c>
    </row>
    <row r="605" spans="1:12" ht="15" customHeight="1" x14ac:dyDescent="0.3">
      <c r="A605" s="23" t="s">
        <v>13118</v>
      </c>
      <c r="B605" s="23" t="s">
        <v>75</v>
      </c>
      <c r="C605" s="39">
        <v>2499</v>
      </c>
      <c r="D605" s="24">
        <v>7.5</v>
      </c>
      <c r="E605" s="24">
        <v>1.35</v>
      </c>
      <c r="F605" s="23">
        <f>COUNTIFS(mdr_rate_cleaned!$A$2:$A$10,B605,mdr_rate_cleaned!$B$2:$B$10,"&lt;"&amp;C605,mdr_rate_cleaned!$F$2:$F$10,"&gt;="&amp;C605)</f>
        <v>1</v>
      </c>
      <c r="G605" s="40">
        <f>SUMIFS(mdr_rate_cleaned!$G$2:$G$10,mdr_rate_cleaned!$A$2:$A$10,B605,mdr_rate_cleaned!$B$2:$B$10,"&lt;"&amp;C605,mdr_rate_cleaned!$F$2:$F$10,"&gt;="&amp;C605)</f>
        <v>3.0000000000000001E-3</v>
      </c>
      <c r="H605" s="24">
        <f t="shared" si="45"/>
        <v>7.5</v>
      </c>
      <c r="I605" s="23" t="str">
        <f t="shared" si="46"/>
        <v>Match</v>
      </c>
      <c r="J605" s="23" t="str">
        <f t="shared" si="47"/>
        <v>Match</v>
      </c>
      <c r="K605" s="24">
        <f t="shared" si="48"/>
        <v>1.35</v>
      </c>
      <c r="L605" s="24">
        <f t="shared" si="49"/>
        <v>0</v>
      </c>
    </row>
    <row r="606" spans="1:12" ht="15" customHeight="1" x14ac:dyDescent="0.3">
      <c r="A606" s="23" t="s">
        <v>13119</v>
      </c>
      <c r="B606" s="23" t="s">
        <v>75</v>
      </c>
      <c r="C606" s="39">
        <v>1799</v>
      </c>
      <c r="D606" s="24">
        <v>5.4</v>
      </c>
      <c r="E606" s="24">
        <v>0.97</v>
      </c>
      <c r="F606" s="23">
        <f>COUNTIFS(mdr_rate_cleaned!$A$2:$A$10,B606,mdr_rate_cleaned!$B$2:$B$10,"&lt;"&amp;C606,mdr_rate_cleaned!$F$2:$F$10,"&gt;="&amp;C606)</f>
        <v>1</v>
      </c>
      <c r="G606" s="40">
        <f>SUMIFS(mdr_rate_cleaned!$G$2:$G$10,mdr_rate_cleaned!$A$2:$A$10,B606,mdr_rate_cleaned!$B$2:$B$10,"&lt;"&amp;C606,mdr_rate_cleaned!$F$2:$F$10,"&gt;="&amp;C606)</f>
        <v>0</v>
      </c>
      <c r="H606" s="24">
        <f t="shared" si="45"/>
        <v>0</v>
      </c>
      <c r="I606" s="23" t="str">
        <f t="shared" si="46"/>
        <v>Differs</v>
      </c>
      <c r="J606" s="23" t="str">
        <f t="shared" si="47"/>
        <v>Match</v>
      </c>
      <c r="K606" s="24">
        <f t="shared" si="48"/>
        <v>0</v>
      </c>
      <c r="L606" s="24">
        <f t="shared" si="49"/>
        <v>6.37</v>
      </c>
    </row>
    <row r="607" spans="1:12" ht="15" customHeight="1" x14ac:dyDescent="0.3">
      <c r="A607" s="23" t="s">
        <v>13121</v>
      </c>
      <c r="B607" s="23" t="s">
        <v>75</v>
      </c>
      <c r="C607" s="39">
        <v>299</v>
      </c>
      <c r="D607" s="24">
        <v>0</v>
      </c>
      <c r="E607" s="24">
        <v>0</v>
      </c>
      <c r="F607" s="23">
        <f>COUNTIFS(mdr_rate_cleaned!$A$2:$A$10,B607,mdr_rate_cleaned!$B$2:$B$10,"&lt;"&amp;C607,mdr_rate_cleaned!$F$2:$F$10,"&gt;="&amp;C607)</f>
        <v>1</v>
      </c>
      <c r="G607" s="40">
        <f>SUMIFS(mdr_rate_cleaned!$G$2:$G$10,mdr_rate_cleaned!$A$2:$A$10,B607,mdr_rate_cleaned!$B$2:$B$10,"&lt;"&amp;C607,mdr_rate_cleaned!$F$2:$F$10,"&gt;="&amp;C607)</f>
        <v>0</v>
      </c>
      <c r="H607" s="24">
        <f t="shared" si="45"/>
        <v>0</v>
      </c>
      <c r="I607" s="23" t="str">
        <f t="shared" si="46"/>
        <v>Match</v>
      </c>
      <c r="J607" s="23" t="str">
        <f t="shared" si="47"/>
        <v>Match</v>
      </c>
      <c r="K607" s="24">
        <f t="shared" si="48"/>
        <v>0</v>
      </c>
      <c r="L607" s="24">
        <f t="shared" si="49"/>
        <v>0</v>
      </c>
    </row>
    <row r="608" spans="1:12" ht="15" customHeight="1" x14ac:dyDescent="0.3">
      <c r="A608" s="23" t="s">
        <v>13122</v>
      </c>
      <c r="B608" s="23" t="s">
        <v>77</v>
      </c>
      <c r="C608" s="39">
        <v>599</v>
      </c>
      <c r="D608" s="24">
        <v>11.38</v>
      </c>
      <c r="E608" s="24">
        <v>2.0499999999999998</v>
      </c>
      <c r="F608" s="23">
        <f>COUNTIFS(mdr_rate_cleaned!$A$2:$A$10,B608,mdr_rate_cleaned!$B$2:$B$10,"&lt;"&amp;C608,mdr_rate_cleaned!$F$2:$F$10,"&gt;="&amp;C608)</f>
        <v>1</v>
      </c>
      <c r="G608" s="40">
        <f>SUMIFS(mdr_rate_cleaned!$G$2:$G$10,mdr_rate_cleaned!$A$2:$A$10,B608,mdr_rate_cleaned!$B$2:$B$10,"&lt;"&amp;C608,mdr_rate_cleaned!$F$2:$F$10,"&gt;="&amp;C608)</f>
        <v>1.9E-2</v>
      </c>
      <c r="H608" s="24">
        <f t="shared" si="45"/>
        <v>11.38</v>
      </c>
      <c r="I608" s="23" t="str">
        <f t="shared" si="46"/>
        <v>Match</v>
      </c>
      <c r="J608" s="23" t="str">
        <f t="shared" si="47"/>
        <v>Match</v>
      </c>
      <c r="K608" s="24">
        <f t="shared" si="48"/>
        <v>2.0499999999999998</v>
      </c>
      <c r="L608" s="24">
        <f t="shared" si="49"/>
        <v>0</v>
      </c>
    </row>
    <row r="609" spans="1:12" ht="15" customHeight="1" x14ac:dyDescent="0.3">
      <c r="A609" s="23" t="s">
        <v>13124</v>
      </c>
      <c r="B609" s="23" t="s">
        <v>75</v>
      </c>
      <c r="C609" s="39">
        <v>1299</v>
      </c>
      <c r="D609" s="24">
        <v>0</v>
      </c>
      <c r="E609" s="24">
        <v>0</v>
      </c>
      <c r="F609" s="23">
        <f>COUNTIFS(mdr_rate_cleaned!$A$2:$A$10,B609,mdr_rate_cleaned!$B$2:$B$10,"&lt;"&amp;C609,mdr_rate_cleaned!$F$2:$F$10,"&gt;="&amp;C609)</f>
        <v>1</v>
      </c>
      <c r="G609" s="40">
        <f>SUMIFS(mdr_rate_cleaned!$G$2:$G$10,mdr_rate_cleaned!$A$2:$A$10,B609,mdr_rate_cleaned!$B$2:$B$10,"&lt;"&amp;C609,mdr_rate_cleaned!$F$2:$F$10,"&gt;="&amp;C609)</f>
        <v>0</v>
      </c>
      <c r="H609" s="24">
        <f t="shared" si="45"/>
        <v>0</v>
      </c>
      <c r="I609" s="23" t="str">
        <f t="shared" si="46"/>
        <v>Match</v>
      </c>
      <c r="J609" s="23" t="str">
        <f t="shared" si="47"/>
        <v>Match</v>
      </c>
      <c r="K609" s="24">
        <f t="shared" si="48"/>
        <v>0</v>
      </c>
      <c r="L609" s="24">
        <f t="shared" si="49"/>
        <v>0</v>
      </c>
    </row>
    <row r="610" spans="1:12" ht="15" customHeight="1" x14ac:dyDescent="0.3">
      <c r="A610" s="23" t="s">
        <v>13125</v>
      </c>
      <c r="B610" s="23" t="s">
        <v>79</v>
      </c>
      <c r="C610" s="39">
        <v>1499</v>
      </c>
      <c r="D610" s="24">
        <v>26.98</v>
      </c>
      <c r="E610" s="24">
        <v>4.8600000000000003</v>
      </c>
      <c r="F610" s="23">
        <f>COUNTIFS(mdr_rate_cleaned!$A$2:$A$10,B610,mdr_rate_cleaned!$B$2:$B$10,"&lt;"&amp;C610,mdr_rate_cleaned!$F$2:$F$10,"&gt;="&amp;C610)</f>
        <v>1</v>
      </c>
      <c r="G610" s="40">
        <f>SUMIFS(mdr_rate_cleaned!$G$2:$G$10,mdr_rate_cleaned!$A$2:$A$10,B610,mdr_rate_cleaned!$B$2:$B$10,"&lt;"&amp;C610,mdr_rate_cleaned!$F$2:$F$10,"&gt;="&amp;C610)</f>
        <v>1.8000000000000002E-2</v>
      </c>
      <c r="H610" s="24">
        <f t="shared" si="45"/>
        <v>26.98</v>
      </c>
      <c r="I610" s="23" t="str">
        <f t="shared" si="46"/>
        <v>Match</v>
      </c>
      <c r="J610" s="23" t="str">
        <f t="shared" si="47"/>
        <v>Match</v>
      </c>
      <c r="K610" s="24">
        <f t="shared" si="48"/>
        <v>4.8600000000000003</v>
      </c>
      <c r="L610" s="24">
        <f t="shared" si="49"/>
        <v>0</v>
      </c>
    </row>
    <row r="611" spans="1:12" ht="15" customHeight="1" x14ac:dyDescent="0.3">
      <c r="A611" s="23" t="s">
        <v>13126</v>
      </c>
      <c r="B611" s="23" t="s">
        <v>77</v>
      </c>
      <c r="C611" s="39">
        <v>499</v>
      </c>
      <c r="D611" s="24">
        <v>9.48</v>
      </c>
      <c r="E611" s="24">
        <v>1.71</v>
      </c>
      <c r="F611" s="23">
        <f>COUNTIFS(mdr_rate_cleaned!$A$2:$A$10,B611,mdr_rate_cleaned!$B$2:$B$10,"&lt;"&amp;C611,mdr_rate_cleaned!$F$2:$F$10,"&gt;="&amp;C611)</f>
        <v>1</v>
      </c>
      <c r="G611" s="40">
        <f>SUMIFS(mdr_rate_cleaned!$G$2:$G$10,mdr_rate_cleaned!$A$2:$A$10,B611,mdr_rate_cleaned!$B$2:$B$10,"&lt;"&amp;C611,mdr_rate_cleaned!$F$2:$F$10,"&gt;="&amp;C611)</f>
        <v>1.9E-2</v>
      </c>
      <c r="H611" s="24">
        <f t="shared" si="45"/>
        <v>9.48</v>
      </c>
      <c r="I611" s="23" t="str">
        <f t="shared" si="46"/>
        <v>Match</v>
      </c>
      <c r="J611" s="23" t="str">
        <f t="shared" si="47"/>
        <v>Match</v>
      </c>
      <c r="K611" s="24">
        <f t="shared" si="48"/>
        <v>1.71</v>
      </c>
      <c r="L611" s="24">
        <f t="shared" si="49"/>
        <v>0</v>
      </c>
    </row>
    <row r="612" spans="1:12" ht="15" customHeight="1" x14ac:dyDescent="0.3">
      <c r="A612" s="23" t="s">
        <v>13127</v>
      </c>
      <c r="B612" s="23" t="s">
        <v>75</v>
      </c>
      <c r="C612" s="39">
        <v>648</v>
      </c>
      <c r="D612" s="24">
        <v>0</v>
      </c>
      <c r="E612" s="24">
        <v>0</v>
      </c>
      <c r="F612" s="23">
        <f>COUNTIFS(mdr_rate_cleaned!$A$2:$A$10,B612,mdr_rate_cleaned!$B$2:$B$10,"&lt;"&amp;C612,mdr_rate_cleaned!$F$2:$F$10,"&gt;="&amp;C612)</f>
        <v>1</v>
      </c>
      <c r="G612" s="40">
        <f>SUMIFS(mdr_rate_cleaned!$G$2:$G$10,mdr_rate_cleaned!$A$2:$A$10,B612,mdr_rate_cleaned!$B$2:$B$10,"&lt;"&amp;C612,mdr_rate_cleaned!$F$2:$F$10,"&gt;="&amp;C612)</f>
        <v>0</v>
      </c>
      <c r="H612" s="24">
        <f t="shared" si="45"/>
        <v>0</v>
      </c>
      <c r="I612" s="23" t="str">
        <f t="shared" si="46"/>
        <v>Match</v>
      </c>
      <c r="J612" s="23" t="str">
        <f t="shared" si="47"/>
        <v>Match</v>
      </c>
      <c r="K612" s="24">
        <f t="shared" si="48"/>
        <v>0</v>
      </c>
      <c r="L612" s="24">
        <f t="shared" si="49"/>
        <v>0</v>
      </c>
    </row>
    <row r="613" spans="1:12" ht="15" customHeight="1" x14ac:dyDescent="0.3">
      <c r="A613" s="23" t="s">
        <v>13128</v>
      </c>
      <c r="B613" s="23" t="s">
        <v>77</v>
      </c>
      <c r="C613" s="39">
        <v>1998</v>
      </c>
      <c r="D613" s="24">
        <v>37.96</v>
      </c>
      <c r="E613" s="24">
        <v>6.83</v>
      </c>
      <c r="F613" s="23">
        <f>COUNTIFS(mdr_rate_cleaned!$A$2:$A$10,B613,mdr_rate_cleaned!$B$2:$B$10,"&lt;"&amp;C613,mdr_rate_cleaned!$F$2:$F$10,"&gt;="&amp;C613)</f>
        <v>1</v>
      </c>
      <c r="G613" s="40">
        <f>SUMIFS(mdr_rate_cleaned!$G$2:$G$10,mdr_rate_cleaned!$A$2:$A$10,B613,mdr_rate_cleaned!$B$2:$B$10,"&lt;"&amp;C613,mdr_rate_cleaned!$F$2:$F$10,"&gt;="&amp;C613)</f>
        <v>1.9E-2</v>
      </c>
      <c r="H613" s="24">
        <f t="shared" si="45"/>
        <v>37.96</v>
      </c>
      <c r="I613" s="23" t="str">
        <f t="shared" si="46"/>
        <v>Match</v>
      </c>
      <c r="J613" s="23" t="str">
        <f t="shared" si="47"/>
        <v>Match</v>
      </c>
      <c r="K613" s="24">
        <f t="shared" si="48"/>
        <v>6.83</v>
      </c>
      <c r="L613" s="24">
        <f t="shared" si="49"/>
        <v>0</v>
      </c>
    </row>
    <row r="614" spans="1:12" ht="15" customHeight="1" x14ac:dyDescent="0.3">
      <c r="A614" s="23" t="s">
        <v>13129</v>
      </c>
      <c r="B614" s="23" t="s">
        <v>75</v>
      </c>
      <c r="C614" s="39">
        <v>1798</v>
      </c>
      <c r="D614" s="24">
        <v>0</v>
      </c>
      <c r="E614" s="24">
        <v>0</v>
      </c>
      <c r="F614" s="23">
        <f>COUNTIFS(mdr_rate_cleaned!$A$2:$A$10,B614,mdr_rate_cleaned!$B$2:$B$10,"&lt;"&amp;C614,mdr_rate_cleaned!$F$2:$F$10,"&gt;="&amp;C614)</f>
        <v>1</v>
      </c>
      <c r="G614" s="40">
        <f>SUMIFS(mdr_rate_cleaned!$G$2:$G$10,mdr_rate_cleaned!$A$2:$A$10,B614,mdr_rate_cleaned!$B$2:$B$10,"&lt;"&amp;C614,mdr_rate_cleaned!$F$2:$F$10,"&gt;="&amp;C614)</f>
        <v>0</v>
      </c>
      <c r="H614" s="24">
        <f t="shared" si="45"/>
        <v>0</v>
      </c>
      <c r="I614" s="23" t="str">
        <f t="shared" si="46"/>
        <v>Match</v>
      </c>
      <c r="J614" s="23" t="str">
        <f t="shared" si="47"/>
        <v>Match</v>
      </c>
      <c r="K614" s="24">
        <f t="shared" si="48"/>
        <v>0</v>
      </c>
      <c r="L614" s="24">
        <f t="shared" si="49"/>
        <v>0</v>
      </c>
    </row>
    <row r="615" spans="1:12" ht="15" customHeight="1" x14ac:dyDescent="0.3">
      <c r="A615" s="23" t="s">
        <v>13130</v>
      </c>
      <c r="B615" s="23" t="s">
        <v>79</v>
      </c>
      <c r="C615" s="39">
        <v>2447</v>
      </c>
      <c r="D615" s="24">
        <v>39.15</v>
      </c>
      <c r="E615" s="24">
        <v>7.05</v>
      </c>
      <c r="F615" s="23">
        <f>COUNTIFS(mdr_rate_cleaned!$A$2:$A$10,B615,mdr_rate_cleaned!$B$2:$B$10,"&lt;"&amp;C615,mdr_rate_cleaned!$F$2:$F$10,"&gt;="&amp;C615)</f>
        <v>1</v>
      </c>
      <c r="G615" s="40">
        <f>SUMIFS(mdr_rate_cleaned!$G$2:$G$10,mdr_rate_cleaned!$A$2:$A$10,B615,mdr_rate_cleaned!$B$2:$B$10,"&lt;"&amp;C615,mdr_rate_cleaned!$F$2:$F$10,"&gt;="&amp;C615)</f>
        <v>1.6E-2</v>
      </c>
      <c r="H615" s="24">
        <f t="shared" si="45"/>
        <v>39.15</v>
      </c>
      <c r="I615" s="23" t="str">
        <f t="shared" si="46"/>
        <v>Match</v>
      </c>
      <c r="J615" s="23" t="str">
        <f t="shared" si="47"/>
        <v>Match</v>
      </c>
      <c r="K615" s="24">
        <f t="shared" si="48"/>
        <v>7.05</v>
      </c>
      <c r="L615" s="24">
        <f t="shared" si="49"/>
        <v>0</v>
      </c>
    </row>
    <row r="616" spans="1:12" ht="15" customHeight="1" x14ac:dyDescent="0.3">
      <c r="A616" s="23" t="s">
        <v>13131</v>
      </c>
      <c r="B616" s="23" t="s">
        <v>75</v>
      </c>
      <c r="C616" s="39">
        <v>299</v>
      </c>
      <c r="D616" s="24">
        <v>0</v>
      </c>
      <c r="E616" s="24">
        <v>0</v>
      </c>
      <c r="F616" s="23">
        <f>COUNTIFS(mdr_rate_cleaned!$A$2:$A$10,B616,mdr_rate_cleaned!$B$2:$B$10,"&lt;"&amp;C616,mdr_rate_cleaned!$F$2:$F$10,"&gt;="&amp;C616)</f>
        <v>1</v>
      </c>
      <c r="G616" s="40">
        <f>SUMIFS(mdr_rate_cleaned!$G$2:$G$10,mdr_rate_cleaned!$A$2:$A$10,B616,mdr_rate_cleaned!$B$2:$B$10,"&lt;"&amp;C616,mdr_rate_cleaned!$F$2:$F$10,"&gt;="&amp;C616)</f>
        <v>0</v>
      </c>
      <c r="H616" s="24">
        <f t="shared" si="45"/>
        <v>0</v>
      </c>
      <c r="I616" s="23" t="str">
        <f t="shared" si="46"/>
        <v>Match</v>
      </c>
      <c r="J616" s="23" t="str">
        <f t="shared" si="47"/>
        <v>Match</v>
      </c>
      <c r="K616" s="24">
        <f t="shared" si="48"/>
        <v>0</v>
      </c>
      <c r="L616" s="24">
        <f t="shared" si="49"/>
        <v>0</v>
      </c>
    </row>
    <row r="617" spans="1:12" ht="15" customHeight="1" x14ac:dyDescent="0.3">
      <c r="A617" s="23" t="s">
        <v>13132</v>
      </c>
      <c r="B617" s="23" t="s">
        <v>75</v>
      </c>
      <c r="C617" s="39">
        <v>349</v>
      </c>
      <c r="D617" s="24">
        <v>0</v>
      </c>
      <c r="E617" s="24">
        <v>0</v>
      </c>
      <c r="F617" s="23">
        <f>COUNTIFS(mdr_rate_cleaned!$A$2:$A$10,B617,mdr_rate_cleaned!$B$2:$B$10,"&lt;"&amp;C617,mdr_rate_cleaned!$F$2:$F$10,"&gt;="&amp;C617)</f>
        <v>1</v>
      </c>
      <c r="G617" s="40">
        <f>SUMIFS(mdr_rate_cleaned!$G$2:$G$10,mdr_rate_cleaned!$A$2:$A$10,B617,mdr_rate_cleaned!$B$2:$B$10,"&lt;"&amp;C617,mdr_rate_cleaned!$F$2:$F$10,"&gt;="&amp;C617)</f>
        <v>0</v>
      </c>
      <c r="H617" s="24">
        <f t="shared" si="45"/>
        <v>0</v>
      </c>
      <c r="I617" s="23" t="str">
        <f t="shared" si="46"/>
        <v>Match</v>
      </c>
      <c r="J617" s="23" t="str">
        <f t="shared" si="47"/>
        <v>Match</v>
      </c>
      <c r="K617" s="24">
        <f t="shared" si="48"/>
        <v>0</v>
      </c>
      <c r="L617" s="24">
        <f t="shared" si="49"/>
        <v>0</v>
      </c>
    </row>
    <row r="618" spans="1:12" ht="15" customHeight="1" x14ac:dyDescent="0.3">
      <c r="A618" s="23" t="s">
        <v>13133</v>
      </c>
      <c r="B618" s="23" t="s">
        <v>75</v>
      </c>
      <c r="C618" s="39">
        <v>499</v>
      </c>
      <c r="D618" s="24">
        <v>0</v>
      </c>
      <c r="E618" s="24">
        <v>0</v>
      </c>
      <c r="F618" s="23">
        <f>COUNTIFS(mdr_rate_cleaned!$A$2:$A$10,B618,mdr_rate_cleaned!$B$2:$B$10,"&lt;"&amp;C618,mdr_rate_cleaned!$F$2:$F$10,"&gt;="&amp;C618)</f>
        <v>1</v>
      </c>
      <c r="G618" s="40">
        <f>SUMIFS(mdr_rate_cleaned!$G$2:$G$10,mdr_rate_cleaned!$A$2:$A$10,B618,mdr_rate_cleaned!$B$2:$B$10,"&lt;"&amp;C618,mdr_rate_cleaned!$F$2:$F$10,"&gt;="&amp;C618)</f>
        <v>0</v>
      </c>
      <c r="H618" s="24">
        <f t="shared" si="45"/>
        <v>0</v>
      </c>
      <c r="I618" s="23" t="str">
        <f t="shared" si="46"/>
        <v>Match</v>
      </c>
      <c r="J618" s="23" t="str">
        <f t="shared" si="47"/>
        <v>Match</v>
      </c>
      <c r="K618" s="24">
        <f t="shared" si="48"/>
        <v>0</v>
      </c>
      <c r="L618" s="24">
        <f t="shared" si="49"/>
        <v>0</v>
      </c>
    </row>
    <row r="619" spans="1:12" ht="15" customHeight="1" x14ac:dyDescent="0.3">
      <c r="A619" s="23" t="s">
        <v>13134</v>
      </c>
      <c r="B619" s="23" t="s">
        <v>79</v>
      </c>
      <c r="C619" s="39">
        <v>2148</v>
      </c>
      <c r="D619" s="24">
        <v>34.369999999999997</v>
      </c>
      <c r="E619" s="24">
        <v>6.19</v>
      </c>
      <c r="F619" s="23">
        <f>COUNTIFS(mdr_rate_cleaned!$A$2:$A$10,B619,mdr_rate_cleaned!$B$2:$B$10,"&lt;"&amp;C619,mdr_rate_cleaned!$F$2:$F$10,"&gt;="&amp;C619)</f>
        <v>1</v>
      </c>
      <c r="G619" s="40">
        <f>SUMIFS(mdr_rate_cleaned!$G$2:$G$10,mdr_rate_cleaned!$A$2:$A$10,B619,mdr_rate_cleaned!$B$2:$B$10,"&lt;"&amp;C619,mdr_rate_cleaned!$F$2:$F$10,"&gt;="&amp;C619)</f>
        <v>1.6E-2</v>
      </c>
      <c r="H619" s="24">
        <f t="shared" si="45"/>
        <v>34.369999999999997</v>
      </c>
      <c r="I619" s="23" t="str">
        <f t="shared" si="46"/>
        <v>Match</v>
      </c>
      <c r="J619" s="23" t="str">
        <f t="shared" si="47"/>
        <v>Match</v>
      </c>
      <c r="K619" s="24">
        <f t="shared" si="48"/>
        <v>6.19</v>
      </c>
      <c r="L619" s="24">
        <f t="shared" si="49"/>
        <v>0</v>
      </c>
    </row>
    <row r="620" spans="1:12" ht="15" customHeight="1" x14ac:dyDescent="0.3">
      <c r="A620" s="23" t="s">
        <v>13135</v>
      </c>
      <c r="B620" s="23" t="s">
        <v>75</v>
      </c>
      <c r="C620" s="39">
        <v>999</v>
      </c>
      <c r="D620" s="24">
        <v>0</v>
      </c>
      <c r="E620" s="24">
        <v>0</v>
      </c>
      <c r="F620" s="23">
        <f>COUNTIFS(mdr_rate_cleaned!$A$2:$A$10,B620,mdr_rate_cleaned!$B$2:$B$10,"&lt;"&amp;C620,mdr_rate_cleaned!$F$2:$F$10,"&gt;="&amp;C620)</f>
        <v>1</v>
      </c>
      <c r="G620" s="40">
        <f>SUMIFS(mdr_rate_cleaned!$G$2:$G$10,mdr_rate_cleaned!$A$2:$A$10,B620,mdr_rate_cleaned!$B$2:$B$10,"&lt;"&amp;C620,mdr_rate_cleaned!$F$2:$F$10,"&gt;="&amp;C620)</f>
        <v>0</v>
      </c>
      <c r="H620" s="24">
        <f t="shared" si="45"/>
        <v>0</v>
      </c>
      <c r="I620" s="23" t="str">
        <f t="shared" si="46"/>
        <v>Match</v>
      </c>
      <c r="J620" s="23" t="str">
        <f t="shared" si="47"/>
        <v>Match</v>
      </c>
      <c r="K620" s="24">
        <f t="shared" si="48"/>
        <v>0</v>
      </c>
      <c r="L620" s="24">
        <f t="shared" si="49"/>
        <v>0</v>
      </c>
    </row>
    <row r="621" spans="1:12" ht="15" customHeight="1" x14ac:dyDescent="0.3">
      <c r="A621" s="23" t="s">
        <v>13136</v>
      </c>
      <c r="B621" s="23" t="s">
        <v>75</v>
      </c>
      <c r="C621" s="39">
        <v>10498</v>
      </c>
      <c r="D621" s="24">
        <v>31.49</v>
      </c>
      <c r="E621" s="24">
        <v>5.67</v>
      </c>
      <c r="F621" s="23">
        <f>COUNTIFS(mdr_rate_cleaned!$A$2:$A$10,B621,mdr_rate_cleaned!$B$2:$B$10,"&lt;"&amp;C621,mdr_rate_cleaned!$F$2:$F$10,"&gt;="&amp;C621)</f>
        <v>1</v>
      </c>
      <c r="G621" s="40">
        <f>SUMIFS(mdr_rate_cleaned!$G$2:$G$10,mdr_rate_cleaned!$A$2:$A$10,B621,mdr_rate_cleaned!$B$2:$B$10,"&lt;"&amp;C621,mdr_rate_cleaned!$F$2:$F$10,"&gt;="&amp;C621)</f>
        <v>3.0000000000000001E-3</v>
      </c>
      <c r="H621" s="24">
        <f t="shared" si="45"/>
        <v>31.49</v>
      </c>
      <c r="I621" s="23" t="str">
        <f t="shared" si="46"/>
        <v>Match</v>
      </c>
      <c r="J621" s="23" t="str">
        <f t="shared" si="47"/>
        <v>Match</v>
      </c>
      <c r="K621" s="24">
        <f t="shared" si="48"/>
        <v>5.67</v>
      </c>
      <c r="L621" s="24">
        <f t="shared" si="49"/>
        <v>0</v>
      </c>
    </row>
    <row r="622" spans="1:12" ht="15" customHeight="1" x14ac:dyDescent="0.3">
      <c r="A622" s="23" t="s">
        <v>13137</v>
      </c>
      <c r="B622" s="23" t="s">
        <v>77</v>
      </c>
      <c r="C622" s="39">
        <v>999</v>
      </c>
      <c r="D622" s="24">
        <v>18.98</v>
      </c>
      <c r="E622" s="24">
        <v>3.42</v>
      </c>
      <c r="F622" s="23">
        <f>COUNTIFS(mdr_rate_cleaned!$A$2:$A$10,B622,mdr_rate_cleaned!$B$2:$B$10,"&lt;"&amp;C622,mdr_rate_cleaned!$F$2:$F$10,"&gt;="&amp;C622)</f>
        <v>1</v>
      </c>
      <c r="G622" s="40">
        <f>SUMIFS(mdr_rate_cleaned!$G$2:$G$10,mdr_rate_cleaned!$A$2:$A$10,B622,mdr_rate_cleaned!$B$2:$B$10,"&lt;"&amp;C622,mdr_rate_cleaned!$F$2:$F$10,"&gt;="&amp;C622)</f>
        <v>1.9E-2</v>
      </c>
      <c r="H622" s="24">
        <f t="shared" si="45"/>
        <v>18.98</v>
      </c>
      <c r="I622" s="23" t="str">
        <f t="shared" si="46"/>
        <v>Match</v>
      </c>
      <c r="J622" s="23" t="str">
        <f t="shared" si="47"/>
        <v>Match</v>
      </c>
      <c r="K622" s="24">
        <f t="shared" si="48"/>
        <v>3.42</v>
      </c>
      <c r="L622" s="24">
        <f t="shared" si="49"/>
        <v>0</v>
      </c>
    </row>
    <row r="623" spans="1:12" ht="15" customHeight="1" x14ac:dyDescent="0.3">
      <c r="A623" s="23" t="s">
        <v>13138</v>
      </c>
      <c r="B623" s="23" t="s">
        <v>75</v>
      </c>
      <c r="C623" s="39">
        <v>7498</v>
      </c>
      <c r="D623" s="24">
        <v>22.49</v>
      </c>
      <c r="E623" s="24">
        <v>4.05</v>
      </c>
      <c r="F623" s="23">
        <f>COUNTIFS(mdr_rate_cleaned!$A$2:$A$10,B623,mdr_rate_cleaned!$B$2:$B$10,"&lt;"&amp;C623,mdr_rate_cleaned!$F$2:$F$10,"&gt;="&amp;C623)</f>
        <v>1</v>
      </c>
      <c r="G623" s="40">
        <f>SUMIFS(mdr_rate_cleaned!$G$2:$G$10,mdr_rate_cleaned!$A$2:$A$10,B623,mdr_rate_cleaned!$B$2:$B$10,"&lt;"&amp;C623,mdr_rate_cleaned!$F$2:$F$10,"&gt;="&amp;C623)</f>
        <v>3.0000000000000001E-3</v>
      </c>
      <c r="H623" s="24">
        <f t="shared" si="45"/>
        <v>22.49</v>
      </c>
      <c r="I623" s="23" t="str">
        <f t="shared" si="46"/>
        <v>Match</v>
      </c>
      <c r="J623" s="23" t="str">
        <f t="shared" si="47"/>
        <v>Match</v>
      </c>
      <c r="K623" s="24">
        <f t="shared" si="48"/>
        <v>4.05</v>
      </c>
      <c r="L623" s="24">
        <f t="shared" si="49"/>
        <v>0</v>
      </c>
    </row>
    <row r="624" spans="1:12" ht="15" customHeight="1" x14ac:dyDescent="0.3">
      <c r="A624" s="23" t="s">
        <v>13139</v>
      </c>
      <c r="B624" s="23" t="s">
        <v>79</v>
      </c>
      <c r="C624" s="39">
        <v>9097</v>
      </c>
      <c r="D624" s="24">
        <v>145.55000000000001</v>
      </c>
      <c r="E624" s="24">
        <v>26.2</v>
      </c>
      <c r="F624" s="23">
        <f>COUNTIFS(mdr_rate_cleaned!$A$2:$A$10,B624,mdr_rate_cleaned!$B$2:$B$10,"&lt;"&amp;C624,mdr_rate_cleaned!$F$2:$F$10,"&gt;="&amp;C624)</f>
        <v>1</v>
      </c>
      <c r="G624" s="40">
        <f>SUMIFS(mdr_rate_cleaned!$G$2:$G$10,mdr_rate_cleaned!$A$2:$A$10,B624,mdr_rate_cleaned!$B$2:$B$10,"&lt;"&amp;C624,mdr_rate_cleaned!$F$2:$F$10,"&gt;="&amp;C624)</f>
        <v>1.6E-2</v>
      </c>
      <c r="H624" s="24">
        <f t="shared" si="45"/>
        <v>145.55000000000001</v>
      </c>
      <c r="I624" s="23" t="str">
        <f t="shared" si="46"/>
        <v>Match</v>
      </c>
      <c r="J624" s="23" t="str">
        <f t="shared" si="47"/>
        <v>Match</v>
      </c>
      <c r="K624" s="24">
        <f t="shared" si="48"/>
        <v>26.2</v>
      </c>
      <c r="L624" s="24">
        <f t="shared" si="49"/>
        <v>0</v>
      </c>
    </row>
    <row r="625" spans="1:12" ht="15" customHeight="1" x14ac:dyDescent="0.3">
      <c r="A625" s="23" t="s">
        <v>13140</v>
      </c>
      <c r="B625" s="23" t="s">
        <v>79</v>
      </c>
      <c r="C625" s="39">
        <v>349</v>
      </c>
      <c r="D625" s="24">
        <v>6.28</v>
      </c>
      <c r="E625" s="24">
        <v>1.1299999999999999</v>
      </c>
      <c r="F625" s="23">
        <f>COUNTIFS(mdr_rate_cleaned!$A$2:$A$10,B625,mdr_rate_cleaned!$B$2:$B$10,"&lt;"&amp;C625,mdr_rate_cleaned!$F$2:$F$10,"&gt;="&amp;C625)</f>
        <v>1</v>
      </c>
      <c r="G625" s="40">
        <f>SUMIFS(mdr_rate_cleaned!$G$2:$G$10,mdr_rate_cleaned!$A$2:$A$10,B625,mdr_rate_cleaned!$B$2:$B$10,"&lt;"&amp;C625,mdr_rate_cleaned!$F$2:$F$10,"&gt;="&amp;C625)</f>
        <v>1.8000000000000002E-2</v>
      </c>
      <c r="H625" s="24">
        <f t="shared" si="45"/>
        <v>6.28</v>
      </c>
      <c r="I625" s="23" t="str">
        <f t="shared" si="46"/>
        <v>Match</v>
      </c>
      <c r="J625" s="23" t="str">
        <f t="shared" si="47"/>
        <v>Match</v>
      </c>
      <c r="K625" s="24">
        <f t="shared" si="48"/>
        <v>1.1299999999999999</v>
      </c>
      <c r="L625" s="24">
        <f t="shared" si="49"/>
        <v>0</v>
      </c>
    </row>
    <row r="626" spans="1:12" ht="15" customHeight="1" x14ac:dyDescent="0.3">
      <c r="A626" s="23" t="s">
        <v>13141</v>
      </c>
      <c r="B626" s="23" t="s">
        <v>75</v>
      </c>
      <c r="C626" s="39">
        <v>4999</v>
      </c>
      <c r="D626" s="24">
        <v>15</v>
      </c>
      <c r="E626" s="24">
        <v>2.7</v>
      </c>
      <c r="F626" s="23">
        <f>COUNTIFS(mdr_rate_cleaned!$A$2:$A$10,B626,mdr_rate_cleaned!$B$2:$B$10,"&lt;"&amp;C626,mdr_rate_cleaned!$F$2:$F$10,"&gt;="&amp;C626)</f>
        <v>1</v>
      </c>
      <c r="G626" s="40">
        <f>SUMIFS(mdr_rate_cleaned!$G$2:$G$10,mdr_rate_cleaned!$A$2:$A$10,B626,mdr_rate_cleaned!$B$2:$B$10,"&lt;"&amp;C626,mdr_rate_cleaned!$F$2:$F$10,"&gt;="&amp;C626)</f>
        <v>3.0000000000000001E-3</v>
      </c>
      <c r="H626" s="24">
        <f t="shared" si="45"/>
        <v>15</v>
      </c>
      <c r="I626" s="23" t="str">
        <f t="shared" si="46"/>
        <v>Match</v>
      </c>
      <c r="J626" s="23" t="str">
        <f t="shared" si="47"/>
        <v>Match</v>
      </c>
      <c r="K626" s="24">
        <f t="shared" si="48"/>
        <v>2.7</v>
      </c>
      <c r="L626" s="24">
        <f t="shared" si="49"/>
        <v>0</v>
      </c>
    </row>
    <row r="627" spans="1:12" ht="15" customHeight="1" x14ac:dyDescent="0.3">
      <c r="A627" s="23" t="s">
        <v>13142</v>
      </c>
      <c r="B627" s="23" t="s">
        <v>75</v>
      </c>
      <c r="C627" s="39">
        <v>6597</v>
      </c>
      <c r="D627" s="24">
        <v>19.79</v>
      </c>
      <c r="E627" s="24">
        <v>3.56</v>
      </c>
      <c r="F627" s="23">
        <f>COUNTIFS(mdr_rate_cleaned!$A$2:$A$10,B627,mdr_rate_cleaned!$B$2:$B$10,"&lt;"&amp;C627,mdr_rate_cleaned!$F$2:$F$10,"&gt;="&amp;C627)</f>
        <v>1</v>
      </c>
      <c r="G627" s="40">
        <f>SUMIFS(mdr_rate_cleaned!$G$2:$G$10,mdr_rate_cleaned!$A$2:$A$10,B627,mdr_rate_cleaned!$B$2:$B$10,"&lt;"&amp;C627,mdr_rate_cleaned!$F$2:$F$10,"&gt;="&amp;C627)</f>
        <v>3.0000000000000001E-3</v>
      </c>
      <c r="H627" s="24">
        <f t="shared" si="45"/>
        <v>19.79</v>
      </c>
      <c r="I627" s="23" t="str">
        <f t="shared" si="46"/>
        <v>Match</v>
      </c>
      <c r="J627" s="23" t="str">
        <f t="shared" si="47"/>
        <v>Match</v>
      </c>
      <c r="K627" s="24">
        <f t="shared" si="48"/>
        <v>3.56</v>
      </c>
      <c r="L627" s="24">
        <f t="shared" si="49"/>
        <v>0</v>
      </c>
    </row>
    <row r="628" spans="1:12" ht="15" customHeight="1" x14ac:dyDescent="0.3">
      <c r="A628" s="23" t="s">
        <v>13143</v>
      </c>
      <c r="B628" s="23" t="s">
        <v>75</v>
      </c>
      <c r="C628" s="39">
        <v>7999</v>
      </c>
      <c r="D628" s="24">
        <v>24</v>
      </c>
      <c r="E628" s="24">
        <v>4.32</v>
      </c>
      <c r="F628" s="23">
        <f>COUNTIFS(mdr_rate_cleaned!$A$2:$A$10,B628,mdr_rate_cleaned!$B$2:$B$10,"&lt;"&amp;C628,mdr_rate_cleaned!$F$2:$F$10,"&gt;="&amp;C628)</f>
        <v>1</v>
      </c>
      <c r="G628" s="40">
        <f>SUMIFS(mdr_rate_cleaned!$G$2:$G$10,mdr_rate_cleaned!$A$2:$A$10,B628,mdr_rate_cleaned!$B$2:$B$10,"&lt;"&amp;C628,mdr_rate_cleaned!$F$2:$F$10,"&gt;="&amp;C628)</f>
        <v>3.0000000000000001E-3</v>
      </c>
      <c r="H628" s="24">
        <f t="shared" si="45"/>
        <v>24</v>
      </c>
      <c r="I628" s="23" t="str">
        <f t="shared" si="46"/>
        <v>Match</v>
      </c>
      <c r="J628" s="23" t="str">
        <f t="shared" si="47"/>
        <v>Match</v>
      </c>
      <c r="K628" s="24">
        <f t="shared" si="48"/>
        <v>4.32</v>
      </c>
      <c r="L628" s="24">
        <f t="shared" si="49"/>
        <v>0</v>
      </c>
    </row>
    <row r="629" spans="1:12" ht="15" customHeight="1" x14ac:dyDescent="0.3">
      <c r="A629" s="23" t="s">
        <v>13145</v>
      </c>
      <c r="B629" s="23" t="s">
        <v>77</v>
      </c>
      <c r="C629" s="39">
        <v>4999</v>
      </c>
      <c r="D629" s="24">
        <v>84.98</v>
      </c>
      <c r="E629" s="24">
        <v>15.3</v>
      </c>
      <c r="F629" s="23">
        <f>COUNTIFS(mdr_rate_cleaned!$A$2:$A$10,B629,mdr_rate_cleaned!$B$2:$B$10,"&lt;"&amp;C629,mdr_rate_cleaned!$F$2:$F$10,"&gt;="&amp;C629)</f>
        <v>1</v>
      </c>
      <c r="G629" s="40">
        <f>SUMIFS(mdr_rate_cleaned!$G$2:$G$10,mdr_rate_cleaned!$A$2:$A$10,B629,mdr_rate_cleaned!$B$2:$B$10,"&lt;"&amp;C629,mdr_rate_cleaned!$F$2:$F$10,"&gt;="&amp;C629)</f>
        <v>1.7000000000000001E-2</v>
      </c>
      <c r="H629" s="24">
        <f t="shared" si="45"/>
        <v>84.98</v>
      </c>
      <c r="I629" s="23" t="str">
        <f t="shared" si="46"/>
        <v>Match</v>
      </c>
      <c r="J629" s="23" t="str">
        <f t="shared" si="47"/>
        <v>Match</v>
      </c>
      <c r="K629" s="24">
        <f t="shared" si="48"/>
        <v>15.3</v>
      </c>
      <c r="L629" s="24">
        <f t="shared" si="49"/>
        <v>0</v>
      </c>
    </row>
    <row r="630" spans="1:12" ht="15" customHeight="1" x14ac:dyDescent="0.3">
      <c r="A630" s="23" t="s">
        <v>13146</v>
      </c>
      <c r="B630" s="23" t="s">
        <v>77</v>
      </c>
      <c r="C630" s="39">
        <v>1798</v>
      </c>
      <c r="D630" s="24">
        <v>34.159999999999997</v>
      </c>
      <c r="E630" s="24">
        <v>6.15</v>
      </c>
      <c r="F630" s="23">
        <f>COUNTIFS(mdr_rate_cleaned!$A$2:$A$10,B630,mdr_rate_cleaned!$B$2:$B$10,"&lt;"&amp;C630,mdr_rate_cleaned!$F$2:$F$10,"&gt;="&amp;C630)</f>
        <v>1</v>
      </c>
      <c r="G630" s="40">
        <f>SUMIFS(mdr_rate_cleaned!$G$2:$G$10,mdr_rate_cleaned!$A$2:$A$10,B630,mdr_rate_cleaned!$B$2:$B$10,"&lt;"&amp;C630,mdr_rate_cleaned!$F$2:$F$10,"&gt;="&amp;C630)</f>
        <v>1.9E-2</v>
      </c>
      <c r="H630" s="24">
        <f t="shared" si="45"/>
        <v>34.159999999999997</v>
      </c>
      <c r="I630" s="23" t="str">
        <f t="shared" si="46"/>
        <v>Match</v>
      </c>
      <c r="J630" s="23" t="str">
        <f t="shared" si="47"/>
        <v>Match</v>
      </c>
      <c r="K630" s="24">
        <f t="shared" si="48"/>
        <v>6.15</v>
      </c>
      <c r="L630" s="24">
        <f t="shared" si="49"/>
        <v>0</v>
      </c>
    </row>
    <row r="631" spans="1:12" ht="15" customHeight="1" x14ac:dyDescent="0.3">
      <c r="A631" s="23" t="s">
        <v>13148</v>
      </c>
      <c r="B631" s="23" t="s">
        <v>75</v>
      </c>
      <c r="C631" s="39">
        <v>1299</v>
      </c>
      <c r="D631" s="24">
        <v>0</v>
      </c>
      <c r="E631" s="24">
        <v>0</v>
      </c>
      <c r="F631" s="23">
        <f>COUNTIFS(mdr_rate_cleaned!$A$2:$A$10,B631,mdr_rate_cleaned!$B$2:$B$10,"&lt;"&amp;C631,mdr_rate_cleaned!$F$2:$F$10,"&gt;="&amp;C631)</f>
        <v>1</v>
      </c>
      <c r="G631" s="40">
        <f>SUMIFS(mdr_rate_cleaned!$G$2:$G$10,mdr_rate_cleaned!$A$2:$A$10,B631,mdr_rate_cleaned!$B$2:$B$10,"&lt;"&amp;C631,mdr_rate_cleaned!$F$2:$F$10,"&gt;="&amp;C631)</f>
        <v>0</v>
      </c>
      <c r="H631" s="24">
        <f t="shared" si="45"/>
        <v>0</v>
      </c>
      <c r="I631" s="23" t="str">
        <f t="shared" si="46"/>
        <v>Match</v>
      </c>
      <c r="J631" s="23" t="str">
        <f t="shared" si="47"/>
        <v>Match</v>
      </c>
      <c r="K631" s="24">
        <f t="shared" si="48"/>
        <v>0</v>
      </c>
      <c r="L631" s="24">
        <f t="shared" si="49"/>
        <v>0</v>
      </c>
    </row>
    <row r="632" spans="1:12" ht="15" customHeight="1" x14ac:dyDescent="0.3">
      <c r="A632" s="23" t="s">
        <v>13149</v>
      </c>
      <c r="B632" s="23" t="s">
        <v>77</v>
      </c>
      <c r="C632" s="39">
        <v>4298</v>
      </c>
      <c r="D632" s="24">
        <v>73.069999999999993</v>
      </c>
      <c r="E632" s="24">
        <v>13.15</v>
      </c>
      <c r="F632" s="23">
        <f>COUNTIFS(mdr_rate_cleaned!$A$2:$A$10,B632,mdr_rate_cleaned!$B$2:$B$10,"&lt;"&amp;C632,mdr_rate_cleaned!$F$2:$F$10,"&gt;="&amp;C632)</f>
        <v>1</v>
      </c>
      <c r="G632" s="40">
        <f>SUMIFS(mdr_rate_cleaned!$G$2:$G$10,mdr_rate_cleaned!$A$2:$A$10,B632,mdr_rate_cleaned!$B$2:$B$10,"&lt;"&amp;C632,mdr_rate_cleaned!$F$2:$F$10,"&gt;="&amp;C632)</f>
        <v>1.7000000000000001E-2</v>
      </c>
      <c r="H632" s="24">
        <f t="shared" si="45"/>
        <v>73.069999999999993</v>
      </c>
      <c r="I632" s="23" t="str">
        <f t="shared" si="46"/>
        <v>Match</v>
      </c>
      <c r="J632" s="23" t="str">
        <f t="shared" si="47"/>
        <v>Match</v>
      </c>
      <c r="K632" s="24">
        <f t="shared" si="48"/>
        <v>13.15</v>
      </c>
      <c r="L632" s="24">
        <f t="shared" si="49"/>
        <v>0</v>
      </c>
    </row>
    <row r="633" spans="1:12" ht="15" customHeight="1" x14ac:dyDescent="0.3">
      <c r="A633" s="23" t="s">
        <v>13151</v>
      </c>
      <c r="B633" s="23" t="s">
        <v>79</v>
      </c>
      <c r="C633" s="39">
        <v>3998</v>
      </c>
      <c r="D633" s="24">
        <v>63.97</v>
      </c>
      <c r="E633" s="24">
        <v>11.51</v>
      </c>
      <c r="F633" s="23">
        <f>COUNTIFS(mdr_rate_cleaned!$A$2:$A$10,B633,mdr_rate_cleaned!$B$2:$B$10,"&lt;"&amp;C633,mdr_rate_cleaned!$F$2:$F$10,"&gt;="&amp;C633)</f>
        <v>1</v>
      </c>
      <c r="G633" s="40">
        <f>SUMIFS(mdr_rate_cleaned!$G$2:$G$10,mdr_rate_cleaned!$A$2:$A$10,B633,mdr_rate_cleaned!$B$2:$B$10,"&lt;"&amp;C633,mdr_rate_cleaned!$F$2:$F$10,"&gt;="&amp;C633)</f>
        <v>1.6E-2</v>
      </c>
      <c r="H633" s="24">
        <f t="shared" si="45"/>
        <v>63.97</v>
      </c>
      <c r="I633" s="23" t="str">
        <f t="shared" si="46"/>
        <v>Match</v>
      </c>
      <c r="J633" s="23" t="str">
        <f t="shared" si="47"/>
        <v>Match</v>
      </c>
      <c r="K633" s="24">
        <f t="shared" si="48"/>
        <v>11.51</v>
      </c>
      <c r="L633" s="24">
        <f t="shared" si="49"/>
        <v>0</v>
      </c>
    </row>
    <row r="634" spans="1:12" ht="15" customHeight="1" x14ac:dyDescent="0.3">
      <c r="A634" s="23" t="s">
        <v>13152</v>
      </c>
      <c r="B634" s="23" t="s">
        <v>75</v>
      </c>
      <c r="C634" s="39">
        <v>799</v>
      </c>
      <c r="D634" s="24">
        <v>0</v>
      </c>
      <c r="E634" s="24">
        <v>0</v>
      </c>
      <c r="F634" s="23">
        <f>COUNTIFS(mdr_rate_cleaned!$A$2:$A$10,B634,mdr_rate_cleaned!$B$2:$B$10,"&lt;"&amp;C634,mdr_rate_cleaned!$F$2:$F$10,"&gt;="&amp;C634)</f>
        <v>1</v>
      </c>
      <c r="G634" s="40">
        <f>SUMIFS(mdr_rate_cleaned!$G$2:$G$10,mdr_rate_cleaned!$A$2:$A$10,B634,mdr_rate_cleaned!$B$2:$B$10,"&lt;"&amp;C634,mdr_rate_cleaned!$F$2:$F$10,"&gt;="&amp;C634)</f>
        <v>0</v>
      </c>
      <c r="H634" s="24">
        <f t="shared" si="45"/>
        <v>0</v>
      </c>
      <c r="I634" s="23" t="str">
        <f t="shared" si="46"/>
        <v>Match</v>
      </c>
      <c r="J634" s="23" t="str">
        <f t="shared" si="47"/>
        <v>Match</v>
      </c>
      <c r="K634" s="24">
        <f t="shared" si="48"/>
        <v>0</v>
      </c>
      <c r="L634" s="24">
        <f t="shared" si="49"/>
        <v>0</v>
      </c>
    </row>
    <row r="635" spans="1:12" ht="15" customHeight="1" x14ac:dyDescent="0.3">
      <c r="A635" s="23" t="s">
        <v>13153</v>
      </c>
      <c r="B635" s="23" t="s">
        <v>81</v>
      </c>
      <c r="C635" s="39">
        <v>4298</v>
      </c>
      <c r="D635" s="24">
        <v>51.58</v>
      </c>
      <c r="E635" s="24">
        <v>9.2799999999999994</v>
      </c>
      <c r="F635" s="23">
        <f>COUNTIFS(mdr_rate_cleaned!$A$2:$A$10,B635,mdr_rate_cleaned!$B$2:$B$10,"&lt;"&amp;C635,mdr_rate_cleaned!$F$2:$F$10,"&gt;="&amp;C635)</f>
        <v>1</v>
      </c>
      <c r="G635" s="40">
        <f>SUMIFS(mdr_rate_cleaned!$G$2:$G$10,mdr_rate_cleaned!$A$2:$A$10,B635,mdr_rate_cleaned!$B$2:$B$10,"&lt;"&amp;C635,mdr_rate_cleaned!$F$2:$F$10,"&gt;="&amp;C635)</f>
        <v>1.2E-2</v>
      </c>
      <c r="H635" s="24">
        <f t="shared" si="45"/>
        <v>51.58</v>
      </c>
      <c r="I635" s="23" t="str">
        <f t="shared" si="46"/>
        <v>Match</v>
      </c>
      <c r="J635" s="23" t="str">
        <f t="shared" si="47"/>
        <v>Match</v>
      </c>
      <c r="K635" s="24">
        <f t="shared" si="48"/>
        <v>9.2799999999999994</v>
      </c>
      <c r="L635" s="24">
        <f t="shared" si="49"/>
        <v>0</v>
      </c>
    </row>
    <row r="636" spans="1:12" ht="15" customHeight="1" x14ac:dyDescent="0.3">
      <c r="A636" s="23" t="s">
        <v>13155</v>
      </c>
      <c r="B636" s="23" t="s">
        <v>79</v>
      </c>
      <c r="C636" s="39">
        <v>9147</v>
      </c>
      <c r="D636" s="24">
        <v>146.35</v>
      </c>
      <c r="E636" s="24">
        <v>26.34</v>
      </c>
      <c r="F636" s="23">
        <f>COUNTIFS(mdr_rate_cleaned!$A$2:$A$10,B636,mdr_rate_cleaned!$B$2:$B$10,"&lt;"&amp;C636,mdr_rate_cleaned!$F$2:$F$10,"&gt;="&amp;C636)</f>
        <v>1</v>
      </c>
      <c r="G636" s="40">
        <f>SUMIFS(mdr_rate_cleaned!$G$2:$G$10,mdr_rate_cleaned!$A$2:$A$10,B636,mdr_rate_cleaned!$B$2:$B$10,"&lt;"&amp;C636,mdr_rate_cleaned!$F$2:$F$10,"&gt;="&amp;C636)</f>
        <v>1.6E-2</v>
      </c>
      <c r="H636" s="24">
        <f t="shared" si="45"/>
        <v>146.35</v>
      </c>
      <c r="I636" s="23" t="str">
        <f t="shared" si="46"/>
        <v>Match</v>
      </c>
      <c r="J636" s="23" t="str">
        <f t="shared" si="47"/>
        <v>Match</v>
      </c>
      <c r="K636" s="24">
        <f t="shared" si="48"/>
        <v>26.34</v>
      </c>
      <c r="L636" s="24">
        <f t="shared" si="49"/>
        <v>0</v>
      </c>
    </row>
    <row r="637" spans="1:12" ht="15" customHeight="1" x14ac:dyDescent="0.3">
      <c r="A637" s="23" t="s">
        <v>13156</v>
      </c>
      <c r="B637" s="23" t="s">
        <v>75</v>
      </c>
      <c r="C637" s="39">
        <v>799</v>
      </c>
      <c r="D637" s="24">
        <v>0</v>
      </c>
      <c r="E637" s="24">
        <v>0</v>
      </c>
      <c r="F637" s="23">
        <f>COUNTIFS(mdr_rate_cleaned!$A$2:$A$10,B637,mdr_rate_cleaned!$B$2:$B$10,"&lt;"&amp;C637,mdr_rate_cleaned!$F$2:$F$10,"&gt;="&amp;C637)</f>
        <v>1</v>
      </c>
      <c r="G637" s="40">
        <f>SUMIFS(mdr_rate_cleaned!$G$2:$G$10,mdr_rate_cleaned!$A$2:$A$10,B637,mdr_rate_cleaned!$B$2:$B$10,"&lt;"&amp;C637,mdr_rate_cleaned!$F$2:$F$10,"&gt;="&amp;C637)</f>
        <v>0</v>
      </c>
      <c r="H637" s="24">
        <f t="shared" si="45"/>
        <v>0</v>
      </c>
      <c r="I637" s="23" t="str">
        <f t="shared" si="46"/>
        <v>Match</v>
      </c>
      <c r="J637" s="23" t="str">
        <f t="shared" si="47"/>
        <v>Match</v>
      </c>
      <c r="K637" s="24">
        <f t="shared" si="48"/>
        <v>0</v>
      </c>
      <c r="L637" s="24">
        <f t="shared" si="49"/>
        <v>0</v>
      </c>
    </row>
    <row r="638" spans="1:12" ht="15" customHeight="1" x14ac:dyDescent="0.3">
      <c r="A638" s="23" t="s">
        <v>13157</v>
      </c>
      <c r="B638" s="23" t="s">
        <v>75</v>
      </c>
      <c r="C638" s="39">
        <v>6797</v>
      </c>
      <c r="D638" s="24">
        <v>20.39</v>
      </c>
      <c r="E638" s="24">
        <v>3.67</v>
      </c>
      <c r="F638" s="23">
        <f>COUNTIFS(mdr_rate_cleaned!$A$2:$A$10,B638,mdr_rate_cleaned!$B$2:$B$10,"&lt;"&amp;C638,mdr_rate_cleaned!$F$2:$F$10,"&gt;="&amp;C638)</f>
        <v>1</v>
      </c>
      <c r="G638" s="40">
        <f>SUMIFS(mdr_rate_cleaned!$G$2:$G$10,mdr_rate_cleaned!$A$2:$A$10,B638,mdr_rate_cleaned!$B$2:$B$10,"&lt;"&amp;C638,mdr_rate_cleaned!$F$2:$F$10,"&gt;="&amp;C638)</f>
        <v>3.0000000000000001E-3</v>
      </c>
      <c r="H638" s="24">
        <f t="shared" si="45"/>
        <v>20.39</v>
      </c>
      <c r="I638" s="23" t="str">
        <f t="shared" si="46"/>
        <v>Match</v>
      </c>
      <c r="J638" s="23" t="str">
        <f t="shared" si="47"/>
        <v>Match</v>
      </c>
      <c r="K638" s="24">
        <f t="shared" si="48"/>
        <v>3.67</v>
      </c>
      <c r="L638" s="24">
        <f t="shared" si="49"/>
        <v>0</v>
      </c>
    </row>
    <row r="639" spans="1:12" ht="15" customHeight="1" x14ac:dyDescent="0.3">
      <c r="A639" s="23" t="s">
        <v>13158</v>
      </c>
      <c r="B639" s="23" t="s">
        <v>75</v>
      </c>
      <c r="C639" s="39">
        <v>10997</v>
      </c>
      <c r="D639" s="24">
        <v>32.99</v>
      </c>
      <c r="E639" s="24">
        <v>5.94</v>
      </c>
      <c r="F639" s="23">
        <f>COUNTIFS(mdr_rate_cleaned!$A$2:$A$10,B639,mdr_rate_cleaned!$B$2:$B$10,"&lt;"&amp;C639,mdr_rate_cleaned!$F$2:$F$10,"&gt;="&amp;C639)</f>
        <v>1</v>
      </c>
      <c r="G639" s="40">
        <f>SUMIFS(mdr_rate_cleaned!$G$2:$G$10,mdr_rate_cleaned!$A$2:$A$10,B639,mdr_rate_cleaned!$B$2:$B$10,"&lt;"&amp;C639,mdr_rate_cleaned!$F$2:$F$10,"&gt;="&amp;C639)</f>
        <v>3.0000000000000001E-3</v>
      </c>
      <c r="H639" s="24">
        <f t="shared" si="45"/>
        <v>32.99</v>
      </c>
      <c r="I639" s="23" t="str">
        <f t="shared" si="46"/>
        <v>Match</v>
      </c>
      <c r="J639" s="23" t="str">
        <f t="shared" si="47"/>
        <v>Match</v>
      </c>
      <c r="K639" s="24">
        <f t="shared" si="48"/>
        <v>5.94</v>
      </c>
      <c r="L639" s="24">
        <f t="shared" si="49"/>
        <v>0</v>
      </c>
    </row>
    <row r="640" spans="1:12" ht="15" customHeight="1" x14ac:dyDescent="0.3">
      <c r="A640" s="23" t="s">
        <v>13160</v>
      </c>
      <c r="B640" s="23" t="s">
        <v>79</v>
      </c>
      <c r="C640" s="39">
        <v>6798</v>
      </c>
      <c r="D640" s="24">
        <v>108.77</v>
      </c>
      <c r="E640" s="24">
        <v>19.579999999999998</v>
      </c>
      <c r="F640" s="23">
        <f>COUNTIFS(mdr_rate_cleaned!$A$2:$A$10,B640,mdr_rate_cleaned!$B$2:$B$10,"&lt;"&amp;C640,mdr_rate_cleaned!$F$2:$F$10,"&gt;="&amp;C640)</f>
        <v>1</v>
      </c>
      <c r="G640" s="40">
        <f>SUMIFS(mdr_rate_cleaned!$G$2:$G$10,mdr_rate_cleaned!$A$2:$A$10,B640,mdr_rate_cleaned!$B$2:$B$10,"&lt;"&amp;C640,mdr_rate_cleaned!$F$2:$F$10,"&gt;="&amp;C640)</f>
        <v>1.6E-2</v>
      </c>
      <c r="H640" s="24">
        <f t="shared" si="45"/>
        <v>108.77</v>
      </c>
      <c r="I640" s="23" t="str">
        <f t="shared" si="46"/>
        <v>Match</v>
      </c>
      <c r="J640" s="23" t="str">
        <f t="shared" si="47"/>
        <v>Match</v>
      </c>
      <c r="K640" s="24">
        <f t="shared" si="48"/>
        <v>19.579999999999998</v>
      </c>
      <c r="L640" s="24">
        <f t="shared" si="49"/>
        <v>0</v>
      </c>
    </row>
    <row r="641" spans="1:12" ht="15" customHeight="1" x14ac:dyDescent="0.3">
      <c r="A641" s="23" t="s">
        <v>13161</v>
      </c>
      <c r="B641" s="23" t="s">
        <v>75</v>
      </c>
      <c r="C641" s="39">
        <v>7999</v>
      </c>
      <c r="D641" s="24">
        <v>24</v>
      </c>
      <c r="E641" s="24">
        <v>4.32</v>
      </c>
      <c r="F641" s="23">
        <f>COUNTIFS(mdr_rate_cleaned!$A$2:$A$10,B641,mdr_rate_cleaned!$B$2:$B$10,"&lt;"&amp;C641,mdr_rate_cleaned!$F$2:$F$10,"&gt;="&amp;C641)</f>
        <v>1</v>
      </c>
      <c r="G641" s="40">
        <f>SUMIFS(mdr_rate_cleaned!$G$2:$G$10,mdr_rate_cleaned!$A$2:$A$10,B641,mdr_rate_cleaned!$B$2:$B$10,"&lt;"&amp;C641,mdr_rate_cleaned!$F$2:$F$10,"&gt;="&amp;C641)</f>
        <v>3.0000000000000001E-3</v>
      </c>
      <c r="H641" s="24">
        <f t="shared" si="45"/>
        <v>24</v>
      </c>
      <c r="I641" s="23" t="str">
        <f t="shared" si="46"/>
        <v>Match</v>
      </c>
      <c r="J641" s="23" t="str">
        <f t="shared" si="47"/>
        <v>Match</v>
      </c>
      <c r="K641" s="24">
        <f t="shared" si="48"/>
        <v>4.32</v>
      </c>
      <c r="L641" s="24">
        <f t="shared" si="49"/>
        <v>0</v>
      </c>
    </row>
    <row r="642" spans="1:12" ht="15" customHeight="1" x14ac:dyDescent="0.3">
      <c r="A642" s="23" t="s">
        <v>13162</v>
      </c>
      <c r="B642" s="23" t="s">
        <v>79</v>
      </c>
      <c r="C642" s="39">
        <v>7999</v>
      </c>
      <c r="D642" s="24">
        <v>127.98</v>
      </c>
      <c r="E642" s="24">
        <v>23.04</v>
      </c>
      <c r="F642" s="23">
        <f>COUNTIFS(mdr_rate_cleaned!$A$2:$A$10,B642,mdr_rate_cleaned!$B$2:$B$10,"&lt;"&amp;C642,mdr_rate_cleaned!$F$2:$F$10,"&gt;="&amp;C642)</f>
        <v>1</v>
      </c>
      <c r="G642" s="40">
        <f>SUMIFS(mdr_rate_cleaned!$G$2:$G$10,mdr_rate_cleaned!$A$2:$A$10,B642,mdr_rate_cleaned!$B$2:$B$10,"&lt;"&amp;C642,mdr_rate_cleaned!$F$2:$F$10,"&gt;="&amp;C642)</f>
        <v>1.6E-2</v>
      </c>
      <c r="H642" s="24">
        <f t="shared" ref="H642:H705" si="50">ROUND(C642*G642,2)</f>
        <v>127.98</v>
      </c>
      <c r="I642" s="23" t="str">
        <f t="shared" ref="I642:I705" si="51">IF(ROUND(D642-H642,2)=0,"Match","Differs")</f>
        <v>Match</v>
      </c>
      <c r="J642" s="23" t="str">
        <f t="shared" ref="J642:J705" si="52">IF(ROUND(E642-ROUND(D642*0.18,2),2)=0,"Match","Differs")</f>
        <v>Match</v>
      </c>
      <c r="K642" s="24">
        <f t="shared" ref="K642:K705" si="53">ROUND(H642*0.18,2)</f>
        <v>23.04</v>
      </c>
      <c r="L642" s="24">
        <f t="shared" ref="L642:L705" si="54">ROUND(D642+E642-H642-K642,2)</f>
        <v>0</v>
      </c>
    </row>
    <row r="643" spans="1:12" ht="15" customHeight="1" x14ac:dyDescent="0.3">
      <c r="A643" s="23" t="s">
        <v>13163</v>
      </c>
      <c r="B643" s="23" t="s">
        <v>79</v>
      </c>
      <c r="C643" s="39">
        <v>4798</v>
      </c>
      <c r="D643" s="24">
        <v>76.77</v>
      </c>
      <c r="E643" s="24">
        <v>13.82</v>
      </c>
      <c r="F643" s="23">
        <f>COUNTIFS(mdr_rate_cleaned!$A$2:$A$10,B643,mdr_rate_cleaned!$B$2:$B$10,"&lt;"&amp;C643,mdr_rate_cleaned!$F$2:$F$10,"&gt;="&amp;C643)</f>
        <v>1</v>
      </c>
      <c r="G643" s="40">
        <f>SUMIFS(mdr_rate_cleaned!$G$2:$G$10,mdr_rate_cleaned!$A$2:$A$10,B643,mdr_rate_cleaned!$B$2:$B$10,"&lt;"&amp;C643,mdr_rate_cleaned!$F$2:$F$10,"&gt;="&amp;C643)</f>
        <v>1.6E-2</v>
      </c>
      <c r="H643" s="24">
        <f t="shared" si="50"/>
        <v>76.77</v>
      </c>
      <c r="I643" s="23" t="str">
        <f t="shared" si="51"/>
        <v>Match</v>
      </c>
      <c r="J643" s="23" t="str">
        <f t="shared" si="52"/>
        <v>Match</v>
      </c>
      <c r="K643" s="24">
        <f t="shared" si="53"/>
        <v>13.82</v>
      </c>
      <c r="L643" s="24">
        <f t="shared" si="54"/>
        <v>0</v>
      </c>
    </row>
    <row r="644" spans="1:12" ht="15" customHeight="1" x14ac:dyDescent="0.3">
      <c r="A644" s="23" t="s">
        <v>13164</v>
      </c>
      <c r="B644" s="23" t="s">
        <v>81</v>
      </c>
      <c r="C644" s="39">
        <v>4999</v>
      </c>
      <c r="D644" s="24">
        <v>59.99</v>
      </c>
      <c r="E644" s="24">
        <v>10.8</v>
      </c>
      <c r="F644" s="23">
        <f>COUNTIFS(mdr_rate_cleaned!$A$2:$A$10,B644,mdr_rate_cleaned!$B$2:$B$10,"&lt;"&amp;C644,mdr_rate_cleaned!$F$2:$F$10,"&gt;="&amp;C644)</f>
        <v>1</v>
      </c>
      <c r="G644" s="40">
        <f>SUMIFS(mdr_rate_cleaned!$G$2:$G$10,mdr_rate_cleaned!$A$2:$A$10,B644,mdr_rate_cleaned!$B$2:$B$10,"&lt;"&amp;C644,mdr_rate_cleaned!$F$2:$F$10,"&gt;="&amp;C644)</f>
        <v>1.2E-2</v>
      </c>
      <c r="H644" s="24">
        <f t="shared" si="50"/>
        <v>59.99</v>
      </c>
      <c r="I644" s="23" t="str">
        <f t="shared" si="51"/>
        <v>Match</v>
      </c>
      <c r="J644" s="23" t="str">
        <f t="shared" si="52"/>
        <v>Match</v>
      </c>
      <c r="K644" s="24">
        <f t="shared" si="53"/>
        <v>10.8</v>
      </c>
      <c r="L644" s="24">
        <f t="shared" si="54"/>
        <v>0</v>
      </c>
    </row>
    <row r="645" spans="1:12" ht="15" customHeight="1" x14ac:dyDescent="0.3">
      <c r="A645" s="23" t="s">
        <v>13165</v>
      </c>
      <c r="B645" s="23" t="s">
        <v>81</v>
      </c>
      <c r="C645" s="39">
        <v>1499</v>
      </c>
      <c r="D645" s="24">
        <v>22.49</v>
      </c>
      <c r="E645" s="24">
        <v>4.05</v>
      </c>
      <c r="F645" s="23">
        <f>COUNTIFS(mdr_rate_cleaned!$A$2:$A$10,B645,mdr_rate_cleaned!$B$2:$B$10,"&lt;"&amp;C645,mdr_rate_cleaned!$F$2:$F$10,"&gt;="&amp;C645)</f>
        <v>1</v>
      </c>
      <c r="G645" s="40">
        <f>SUMIFS(mdr_rate_cleaned!$G$2:$G$10,mdr_rate_cleaned!$A$2:$A$10,B645,mdr_rate_cleaned!$B$2:$B$10,"&lt;"&amp;C645,mdr_rate_cleaned!$F$2:$F$10,"&gt;="&amp;C645)</f>
        <v>1.4999999999999999E-2</v>
      </c>
      <c r="H645" s="24">
        <f t="shared" si="50"/>
        <v>22.49</v>
      </c>
      <c r="I645" s="23" t="str">
        <f t="shared" si="51"/>
        <v>Match</v>
      </c>
      <c r="J645" s="23" t="str">
        <f t="shared" si="52"/>
        <v>Match</v>
      </c>
      <c r="K645" s="24">
        <f t="shared" si="53"/>
        <v>4.05</v>
      </c>
      <c r="L645" s="24">
        <f t="shared" si="54"/>
        <v>0</v>
      </c>
    </row>
    <row r="646" spans="1:12" ht="15" customHeight="1" x14ac:dyDescent="0.3">
      <c r="A646" s="23" t="s">
        <v>13166</v>
      </c>
      <c r="B646" s="23" t="s">
        <v>81</v>
      </c>
      <c r="C646" s="39">
        <v>8298</v>
      </c>
      <c r="D646" s="24">
        <v>99.58</v>
      </c>
      <c r="E646" s="24">
        <v>17.920000000000002</v>
      </c>
      <c r="F646" s="23">
        <f>COUNTIFS(mdr_rate_cleaned!$A$2:$A$10,B646,mdr_rate_cleaned!$B$2:$B$10,"&lt;"&amp;C646,mdr_rate_cleaned!$F$2:$F$10,"&gt;="&amp;C646)</f>
        <v>1</v>
      </c>
      <c r="G646" s="40">
        <f>SUMIFS(mdr_rate_cleaned!$G$2:$G$10,mdr_rate_cleaned!$A$2:$A$10,B646,mdr_rate_cleaned!$B$2:$B$10,"&lt;"&amp;C646,mdr_rate_cleaned!$F$2:$F$10,"&gt;="&amp;C646)</f>
        <v>1.2E-2</v>
      </c>
      <c r="H646" s="24">
        <f t="shared" si="50"/>
        <v>99.58</v>
      </c>
      <c r="I646" s="23" t="str">
        <f t="shared" si="51"/>
        <v>Match</v>
      </c>
      <c r="J646" s="23" t="str">
        <f t="shared" si="52"/>
        <v>Match</v>
      </c>
      <c r="K646" s="24">
        <f t="shared" si="53"/>
        <v>17.920000000000002</v>
      </c>
      <c r="L646" s="24">
        <f t="shared" si="54"/>
        <v>0</v>
      </c>
    </row>
    <row r="647" spans="1:12" ht="15" customHeight="1" x14ac:dyDescent="0.3">
      <c r="A647" s="23" t="s">
        <v>13167</v>
      </c>
      <c r="B647" s="23" t="s">
        <v>75</v>
      </c>
      <c r="C647" s="39">
        <v>9497</v>
      </c>
      <c r="D647" s="24">
        <v>28.49</v>
      </c>
      <c r="E647" s="24">
        <v>5.13</v>
      </c>
      <c r="F647" s="23">
        <f>COUNTIFS(mdr_rate_cleaned!$A$2:$A$10,B647,mdr_rate_cleaned!$B$2:$B$10,"&lt;"&amp;C647,mdr_rate_cleaned!$F$2:$F$10,"&gt;="&amp;C647)</f>
        <v>1</v>
      </c>
      <c r="G647" s="40">
        <f>SUMIFS(mdr_rate_cleaned!$G$2:$G$10,mdr_rate_cleaned!$A$2:$A$10,B647,mdr_rate_cleaned!$B$2:$B$10,"&lt;"&amp;C647,mdr_rate_cleaned!$F$2:$F$10,"&gt;="&amp;C647)</f>
        <v>3.0000000000000001E-3</v>
      </c>
      <c r="H647" s="24">
        <f t="shared" si="50"/>
        <v>28.49</v>
      </c>
      <c r="I647" s="23" t="str">
        <f t="shared" si="51"/>
        <v>Match</v>
      </c>
      <c r="J647" s="23" t="str">
        <f t="shared" si="52"/>
        <v>Match</v>
      </c>
      <c r="K647" s="24">
        <f t="shared" si="53"/>
        <v>5.13</v>
      </c>
      <c r="L647" s="24">
        <f t="shared" si="54"/>
        <v>0</v>
      </c>
    </row>
    <row r="648" spans="1:12" ht="15" customHeight="1" x14ac:dyDescent="0.3">
      <c r="A648" s="23" t="s">
        <v>13168</v>
      </c>
      <c r="B648" s="23" t="s">
        <v>79</v>
      </c>
      <c r="C648" s="39">
        <v>999</v>
      </c>
      <c r="D648" s="24">
        <v>17.98</v>
      </c>
      <c r="E648" s="24">
        <v>3.24</v>
      </c>
      <c r="F648" s="23">
        <f>COUNTIFS(mdr_rate_cleaned!$A$2:$A$10,B648,mdr_rate_cleaned!$B$2:$B$10,"&lt;"&amp;C648,mdr_rate_cleaned!$F$2:$F$10,"&gt;="&amp;C648)</f>
        <v>1</v>
      </c>
      <c r="G648" s="40">
        <f>SUMIFS(mdr_rate_cleaned!$G$2:$G$10,mdr_rate_cleaned!$A$2:$A$10,B648,mdr_rate_cleaned!$B$2:$B$10,"&lt;"&amp;C648,mdr_rate_cleaned!$F$2:$F$10,"&gt;="&amp;C648)</f>
        <v>1.8000000000000002E-2</v>
      </c>
      <c r="H648" s="24">
        <f t="shared" si="50"/>
        <v>17.98</v>
      </c>
      <c r="I648" s="23" t="str">
        <f t="shared" si="51"/>
        <v>Match</v>
      </c>
      <c r="J648" s="23" t="str">
        <f t="shared" si="52"/>
        <v>Match</v>
      </c>
      <c r="K648" s="24">
        <f t="shared" si="53"/>
        <v>3.24</v>
      </c>
      <c r="L648" s="24">
        <f t="shared" si="54"/>
        <v>0</v>
      </c>
    </row>
    <row r="649" spans="1:12" ht="15" customHeight="1" x14ac:dyDescent="0.3">
      <c r="A649" s="23" t="s">
        <v>13169</v>
      </c>
      <c r="B649" s="23" t="s">
        <v>79</v>
      </c>
      <c r="C649" s="39">
        <v>4197</v>
      </c>
      <c r="D649" s="24">
        <v>67.150000000000006</v>
      </c>
      <c r="E649" s="24">
        <v>12.09</v>
      </c>
      <c r="F649" s="23">
        <f>COUNTIFS(mdr_rate_cleaned!$A$2:$A$10,B649,mdr_rate_cleaned!$B$2:$B$10,"&lt;"&amp;C649,mdr_rate_cleaned!$F$2:$F$10,"&gt;="&amp;C649)</f>
        <v>1</v>
      </c>
      <c r="G649" s="40">
        <f>SUMIFS(mdr_rate_cleaned!$G$2:$G$10,mdr_rate_cleaned!$A$2:$A$10,B649,mdr_rate_cleaned!$B$2:$B$10,"&lt;"&amp;C649,mdr_rate_cleaned!$F$2:$F$10,"&gt;="&amp;C649)</f>
        <v>1.6E-2</v>
      </c>
      <c r="H649" s="24">
        <f t="shared" si="50"/>
        <v>67.150000000000006</v>
      </c>
      <c r="I649" s="23" t="str">
        <f t="shared" si="51"/>
        <v>Match</v>
      </c>
      <c r="J649" s="23" t="str">
        <f t="shared" si="52"/>
        <v>Match</v>
      </c>
      <c r="K649" s="24">
        <f t="shared" si="53"/>
        <v>12.09</v>
      </c>
      <c r="L649" s="24">
        <f t="shared" si="54"/>
        <v>0</v>
      </c>
    </row>
    <row r="650" spans="1:12" ht="15" customHeight="1" x14ac:dyDescent="0.3">
      <c r="A650" s="23" t="s">
        <v>13171</v>
      </c>
      <c r="B650" s="23" t="s">
        <v>75</v>
      </c>
      <c r="C650" s="39">
        <v>3097</v>
      </c>
      <c r="D650" s="24">
        <v>9.2899999999999991</v>
      </c>
      <c r="E650" s="24">
        <v>1.67</v>
      </c>
      <c r="F650" s="23">
        <f>COUNTIFS(mdr_rate_cleaned!$A$2:$A$10,B650,mdr_rate_cleaned!$B$2:$B$10,"&lt;"&amp;C650,mdr_rate_cleaned!$F$2:$F$10,"&gt;="&amp;C650)</f>
        <v>1</v>
      </c>
      <c r="G650" s="40">
        <f>SUMIFS(mdr_rate_cleaned!$G$2:$G$10,mdr_rate_cleaned!$A$2:$A$10,B650,mdr_rate_cleaned!$B$2:$B$10,"&lt;"&amp;C650,mdr_rate_cleaned!$F$2:$F$10,"&gt;="&amp;C650)</f>
        <v>3.0000000000000001E-3</v>
      </c>
      <c r="H650" s="24">
        <f t="shared" si="50"/>
        <v>9.2899999999999991</v>
      </c>
      <c r="I650" s="23" t="str">
        <f t="shared" si="51"/>
        <v>Match</v>
      </c>
      <c r="J650" s="23" t="str">
        <f t="shared" si="52"/>
        <v>Match</v>
      </c>
      <c r="K650" s="24">
        <f t="shared" si="53"/>
        <v>1.67</v>
      </c>
      <c r="L650" s="24">
        <f t="shared" si="54"/>
        <v>0</v>
      </c>
    </row>
    <row r="651" spans="1:12" ht="15" customHeight="1" x14ac:dyDescent="0.3">
      <c r="A651" s="23" t="s">
        <v>13172</v>
      </c>
      <c r="B651" s="23" t="s">
        <v>75</v>
      </c>
      <c r="C651" s="39">
        <v>7998</v>
      </c>
      <c r="D651" s="24">
        <v>23.99</v>
      </c>
      <c r="E651" s="24">
        <v>4.32</v>
      </c>
      <c r="F651" s="23">
        <f>COUNTIFS(mdr_rate_cleaned!$A$2:$A$10,B651,mdr_rate_cleaned!$B$2:$B$10,"&lt;"&amp;C651,mdr_rate_cleaned!$F$2:$F$10,"&gt;="&amp;C651)</f>
        <v>1</v>
      </c>
      <c r="G651" s="40">
        <f>SUMIFS(mdr_rate_cleaned!$G$2:$G$10,mdr_rate_cleaned!$A$2:$A$10,B651,mdr_rate_cleaned!$B$2:$B$10,"&lt;"&amp;C651,mdr_rate_cleaned!$F$2:$F$10,"&gt;="&amp;C651)</f>
        <v>3.0000000000000001E-3</v>
      </c>
      <c r="H651" s="24">
        <f t="shared" si="50"/>
        <v>23.99</v>
      </c>
      <c r="I651" s="23" t="str">
        <f t="shared" si="51"/>
        <v>Match</v>
      </c>
      <c r="J651" s="23" t="str">
        <f t="shared" si="52"/>
        <v>Match</v>
      </c>
      <c r="K651" s="24">
        <f t="shared" si="53"/>
        <v>4.32</v>
      </c>
      <c r="L651" s="24">
        <f t="shared" si="54"/>
        <v>0</v>
      </c>
    </row>
    <row r="652" spans="1:12" ht="15" customHeight="1" x14ac:dyDescent="0.3">
      <c r="A652" s="23" t="s">
        <v>13173</v>
      </c>
      <c r="B652" s="23" t="s">
        <v>75</v>
      </c>
      <c r="C652" s="39">
        <v>799</v>
      </c>
      <c r="D652" s="24">
        <v>0</v>
      </c>
      <c r="E652" s="24">
        <v>0</v>
      </c>
      <c r="F652" s="23">
        <f>COUNTIFS(mdr_rate_cleaned!$A$2:$A$10,B652,mdr_rate_cleaned!$B$2:$B$10,"&lt;"&amp;C652,mdr_rate_cleaned!$F$2:$F$10,"&gt;="&amp;C652)</f>
        <v>1</v>
      </c>
      <c r="G652" s="40">
        <f>SUMIFS(mdr_rate_cleaned!$G$2:$G$10,mdr_rate_cleaned!$A$2:$A$10,B652,mdr_rate_cleaned!$B$2:$B$10,"&lt;"&amp;C652,mdr_rate_cleaned!$F$2:$F$10,"&gt;="&amp;C652)</f>
        <v>0</v>
      </c>
      <c r="H652" s="24">
        <f t="shared" si="50"/>
        <v>0</v>
      </c>
      <c r="I652" s="23" t="str">
        <f t="shared" si="51"/>
        <v>Match</v>
      </c>
      <c r="J652" s="23" t="str">
        <f t="shared" si="52"/>
        <v>Match</v>
      </c>
      <c r="K652" s="24">
        <f t="shared" si="53"/>
        <v>0</v>
      </c>
      <c r="L652" s="24">
        <f t="shared" si="54"/>
        <v>0</v>
      </c>
    </row>
    <row r="653" spans="1:12" ht="15" customHeight="1" x14ac:dyDescent="0.3">
      <c r="A653" s="23" t="s">
        <v>13175</v>
      </c>
      <c r="B653" s="23" t="s">
        <v>75</v>
      </c>
      <c r="C653" s="39">
        <v>7999</v>
      </c>
      <c r="D653" s="24">
        <v>24</v>
      </c>
      <c r="E653" s="24">
        <v>4.32</v>
      </c>
      <c r="F653" s="23">
        <f>COUNTIFS(mdr_rate_cleaned!$A$2:$A$10,B653,mdr_rate_cleaned!$B$2:$B$10,"&lt;"&amp;C653,mdr_rate_cleaned!$F$2:$F$10,"&gt;="&amp;C653)</f>
        <v>1</v>
      </c>
      <c r="G653" s="40">
        <f>SUMIFS(mdr_rate_cleaned!$G$2:$G$10,mdr_rate_cleaned!$A$2:$A$10,B653,mdr_rate_cleaned!$B$2:$B$10,"&lt;"&amp;C653,mdr_rate_cleaned!$F$2:$F$10,"&gt;="&amp;C653)</f>
        <v>3.0000000000000001E-3</v>
      </c>
      <c r="H653" s="24">
        <f t="shared" si="50"/>
        <v>24</v>
      </c>
      <c r="I653" s="23" t="str">
        <f t="shared" si="51"/>
        <v>Match</v>
      </c>
      <c r="J653" s="23" t="str">
        <f t="shared" si="52"/>
        <v>Match</v>
      </c>
      <c r="K653" s="24">
        <f t="shared" si="53"/>
        <v>4.32</v>
      </c>
      <c r="L653" s="24">
        <f t="shared" si="54"/>
        <v>0</v>
      </c>
    </row>
    <row r="654" spans="1:12" ht="15" customHeight="1" x14ac:dyDescent="0.3">
      <c r="A654" s="23" t="s">
        <v>13177</v>
      </c>
      <c r="B654" s="23" t="s">
        <v>75</v>
      </c>
      <c r="C654" s="39">
        <v>599</v>
      </c>
      <c r="D654" s="24">
        <v>0</v>
      </c>
      <c r="E654" s="24">
        <v>0</v>
      </c>
      <c r="F654" s="23">
        <f>COUNTIFS(mdr_rate_cleaned!$A$2:$A$10,B654,mdr_rate_cleaned!$B$2:$B$10,"&lt;"&amp;C654,mdr_rate_cleaned!$F$2:$F$10,"&gt;="&amp;C654)</f>
        <v>1</v>
      </c>
      <c r="G654" s="40">
        <f>SUMIFS(mdr_rate_cleaned!$G$2:$G$10,mdr_rate_cleaned!$A$2:$A$10,B654,mdr_rate_cleaned!$B$2:$B$10,"&lt;"&amp;C654,mdr_rate_cleaned!$F$2:$F$10,"&gt;="&amp;C654)</f>
        <v>0</v>
      </c>
      <c r="H654" s="24">
        <f t="shared" si="50"/>
        <v>0</v>
      </c>
      <c r="I654" s="23" t="str">
        <f t="shared" si="51"/>
        <v>Match</v>
      </c>
      <c r="J654" s="23" t="str">
        <f t="shared" si="52"/>
        <v>Match</v>
      </c>
      <c r="K654" s="24">
        <f t="shared" si="53"/>
        <v>0</v>
      </c>
      <c r="L654" s="24">
        <f t="shared" si="54"/>
        <v>0</v>
      </c>
    </row>
    <row r="655" spans="1:12" ht="15" customHeight="1" x14ac:dyDescent="0.3">
      <c r="A655" s="23" t="s">
        <v>13178</v>
      </c>
      <c r="B655" s="23" t="s">
        <v>75</v>
      </c>
      <c r="C655" s="39">
        <v>6597</v>
      </c>
      <c r="D655" s="24">
        <v>19.79</v>
      </c>
      <c r="E655" s="24">
        <v>3.56</v>
      </c>
      <c r="F655" s="23">
        <f>COUNTIFS(mdr_rate_cleaned!$A$2:$A$10,B655,mdr_rate_cleaned!$B$2:$B$10,"&lt;"&amp;C655,mdr_rate_cleaned!$F$2:$F$10,"&gt;="&amp;C655)</f>
        <v>1</v>
      </c>
      <c r="G655" s="40">
        <f>SUMIFS(mdr_rate_cleaned!$G$2:$G$10,mdr_rate_cleaned!$A$2:$A$10,B655,mdr_rate_cleaned!$B$2:$B$10,"&lt;"&amp;C655,mdr_rate_cleaned!$F$2:$F$10,"&gt;="&amp;C655)</f>
        <v>3.0000000000000001E-3</v>
      </c>
      <c r="H655" s="24">
        <f t="shared" si="50"/>
        <v>19.79</v>
      </c>
      <c r="I655" s="23" t="str">
        <f t="shared" si="51"/>
        <v>Match</v>
      </c>
      <c r="J655" s="23" t="str">
        <f t="shared" si="52"/>
        <v>Match</v>
      </c>
      <c r="K655" s="24">
        <f t="shared" si="53"/>
        <v>3.56</v>
      </c>
      <c r="L655" s="24">
        <f t="shared" si="54"/>
        <v>0</v>
      </c>
    </row>
    <row r="656" spans="1:12" ht="15" customHeight="1" x14ac:dyDescent="0.3">
      <c r="A656" s="23" t="s">
        <v>13179</v>
      </c>
      <c r="B656" s="23" t="s">
        <v>75</v>
      </c>
      <c r="C656" s="39">
        <v>3397</v>
      </c>
      <c r="D656" s="24">
        <v>10.19</v>
      </c>
      <c r="E656" s="24">
        <v>1.83</v>
      </c>
      <c r="F656" s="23">
        <f>COUNTIFS(mdr_rate_cleaned!$A$2:$A$10,B656,mdr_rate_cleaned!$B$2:$B$10,"&lt;"&amp;C656,mdr_rate_cleaned!$F$2:$F$10,"&gt;="&amp;C656)</f>
        <v>1</v>
      </c>
      <c r="G656" s="40">
        <f>SUMIFS(mdr_rate_cleaned!$G$2:$G$10,mdr_rate_cleaned!$A$2:$A$10,B656,mdr_rate_cleaned!$B$2:$B$10,"&lt;"&amp;C656,mdr_rate_cleaned!$F$2:$F$10,"&gt;="&amp;C656)</f>
        <v>3.0000000000000001E-3</v>
      </c>
      <c r="H656" s="24">
        <f t="shared" si="50"/>
        <v>10.19</v>
      </c>
      <c r="I656" s="23" t="str">
        <f t="shared" si="51"/>
        <v>Match</v>
      </c>
      <c r="J656" s="23" t="str">
        <f t="shared" si="52"/>
        <v>Match</v>
      </c>
      <c r="K656" s="24">
        <f t="shared" si="53"/>
        <v>1.83</v>
      </c>
      <c r="L656" s="24">
        <f t="shared" si="54"/>
        <v>0</v>
      </c>
    </row>
    <row r="657" spans="1:12" ht="15" customHeight="1" x14ac:dyDescent="0.3">
      <c r="A657" s="23" t="s">
        <v>13180</v>
      </c>
      <c r="B657" s="23" t="s">
        <v>75</v>
      </c>
      <c r="C657" s="39">
        <v>2148</v>
      </c>
      <c r="D657" s="24">
        <v>6.44</v>
      </c>
      <c r="E657" s="24">
        <v>1.1599999999999999</v>
      </c>
      <c r="F657" s="23">
        <f>COUNTIFS(mdr_rate_cleaned!$A$2:$A$10,B657,mdr_rate_cleaned!$B$2:$B$10,"&lt;"&amp;C657,mdr_rate_cleaned!$F$2:$F$10,"&gt;="&amp;C657)</f>
        <v>1</v>
      </c>
      <c r="G657" s="40">
        <f>SUMIFS(mdr_rate_cleaned!$G$2:$G$10,mdr_rate_cleaned!$A$2:$A$10,B657,mdr_rate_cleaned!$B$2:$B$10,"&lt;"&amp;C657,mdr_rate_cleaned!$F$2:$F$10,"&gt;="&amp;C657)</f>
        <v>3.0000000000000001E-3</v>
      </c>
      <c r="H657" s="24">
        <f t="shared" si="50"/>
        <v>6.44</v>
      </c>
      <c r="I657" s="23" t="str">
        <f t="shared" si="51"/>
        <v>Match</v>
      </c>
      <c r="J657" s="23" t="str">
        <f t="shared" si="52"/>
        <v>Match</v>
      </c>
      <c r="K657" s="24">
        <f t="shared" si="53"/>
        <v>1.1599999999999999</v>
      </c>
      <c r="L657" s="24">
        <f t="shared" si="54"/>
        <v>0</v>
      </c>
    </row>
    <row r="658" spans="1:12" ht="15" customHeight="1" x14ac:dyDescent="0.3">
      <c r="A658" s="23" t="s">
        <v>13181</v>
      </c>
      <c r="B658" s="23" t="s">
        <v>75</v>
      </c>
      <c r="C658" s="39">
        <v>2798</v>
      </c>
      <c r="D658" s="24">
        <v>8.39</v>
      </c>
      <c r="E658" s="24">
        <v>1.51</v>
      </c>
      <c r="F658" s="23">
        <f>COUNTIFS(mdr_rate_cleaned!$A$2:$A$10,B658,mdr_rate_cleaned!$B$2:$B$10,"&lt;"&amp;C658,mdr_rate_cleaned!$F$2:$F$10,"&gt;="&amp;C658)</f>
        <v>1</v>
      </c>
      <c r="G658" s="40">
        <f>SUMIFS(mdr_rate_cleaned!$G$2:$G$10,mdr_rate_cleaned!$A$2:$A$10,B658,mdr_rate_cleaned!$B$2:$B$10,"&lt;"&amp;C658,mdr_rate_cleaned!$F$2:$F$10,"&gt;="&amp;C658)</f>
        <v>3.0000000000000001E-3</v>
      </c>
      <c r="H658" s="24">
        <f t="shared" si="50"/>
        <v>8.39</v>
      </c>
      <c r="I658" s="23" t="str">
        <f t="shared" si="51"/>
        <v>Match</v>
      </c>
      <c r="J658" s="23" t="str">
        <f t="shared" si="52"/>
        <v>Match</v>
      </c>
      <c r="K658" s="24">
        <f t="shared" si="53"/>
        <v>1.51</v>
      </c>
      <c r="L658" s="24">
        <f t="shared" si="54"/>
        <v>0</v>
      </c>
    </row>
    <row r="659" spans="1:12" ht="15" customHeight="1" x14ac:dyDescent="0.3">
      <c r="A659" s="23" t="s">
        <v>13182</v>
      </c>
      <c r="B659" s="23" t="s">
        <v>75</v>
      </c>
      <c r="C659" s="39">
        <v>898</v>
      </c>
      <c r="D659" s="24">
        <v>0</v>
      </c>
      <c r="E659" s="24">
        <v>0</v>
      </c>
      <c r="F659" s="23">
        <f>COUNTIFS(mdr_rate_cleaned!$A$2:$A$10,B659,mdr_rate_cleaned!$B$2:$B$10,"&lt;"&amp;C659,mdr_rate_cleaned!$F$2:$F$10,"&gt;="&amp;C659)</f>
        <v>1</v>
      </c>
      <c r="G659" s="40">
        <f>SUMIFS(mdr_rate_cleaned!$G$2:$G$10,mdr_rate_cleaned!$A$2:$A$10,B659,mdr_rate_cleaned!$B$2:$B$10,"&lt;"&amp;C659,mdr_rate_cleaned!$F$2:$F$10,"&gt;="&amp;C659)</f>
        <v>0</v>
      </c>
      <c r="H659" s="24">
        <f t="shared" si="50"/>
        <v>0</v>
      </c>
      <c r="I659" s="23" t="str">
        <f t="shared" si="51"/>
        <v>Match</v>
      </c>
      <c r="J659" s="23" t="str">
        <f t="shared" si="52"/>
        <v>Match</v>
      </c>
      <c r="K659" s="24">
        <f t="shared" si="53"/>
        <v>0</v>
      </c>
      <c r="L659" s="24">
        <f t="shared" si="54"/>
        <v>0</v>
      </c>
    </row>
    <row r="660" spans="1:12" ht="15" customHeight="1" x14ac:dyDescent="0.3">
      <c r="A660" s="23" t="s">
        <v>13183</v>
      </c>
      <c r="B660" s="23" t="s">
        <v>79</v>
      </c>
      <c r="C660" s="39">
        <v>1848</v>
      </c>
      <c r="D660" s="24">
        <v>33.26</v>
      </c>
      <c r="E660" s="24">
        <v>5.99</v>
      </c>
      <c r="F660" s="23">
        <f>COUNTIFS(mdr_rate_cleaned!$A$2:$A$10,B660,mdr_rate_cleaned!$B$2:$B$10,"&lt;"&amp;C660,mdr_rate_cleaned!$F$2:$F$10,"&gt;="&amp;C660)</f>
        <v>1</v>
      </c>
      <c r="G660" s="40">
        <f>SUMIFS(mdr_rate_cleaned!$G$2:$G$10,mdr_rate_cleaned!$A$2:$A$10,B660,mdr_rate_cleaned!$B$2:$B$10,"&lt;"&amp;C660,mdr_rate_cleaned!$F$2:$F$10,"&gt;="&amp;C660)</f>
        <v>1.8000000000000002E-2</v>
      </c>
      <c r="H660" s="24">
        <f t="shared" si="50"/>
        <v>33.26</v>
      </c>
      <c r="I660" s="23" t="str">
        <f t="shared" si="51"/>
        <v>Match</v>
      </c>
      <c r="J660" s="23" t="str">
        <f t="shared" si="52"/>
        <v>Match</v>
      </c>
      <c r="K660" s="24">
        <f t="shared" si="53"/>
        <v>5.99</v>
      </c>
      <c r="L660" s="24">
        <f t="shared" si="54"/>
        <v>0</v>
      </c>
    </row>
    <row r="661" spans="1:12" ht="15" customHeight="1" x14ac:dyDescent="0.3">
      <c r="A661" s="23" t="s">
        <v>13184</v>
      </c>
      <c r="B661" s="23" t="s">
        <v>79</v>
      </c>
      <c r="C661" s="39">
        <v>299</v>
      </c>
      <c r="D661" s="24">
        <v>5.38</v>
      </c>
      <c r="E661" s="24">
        <v>0.97</v>
      </c>
      <c r="F661" s="23">
        <f>COUNTIFS(mdr_rate_cleaned!$A$2:$A$10,B661,mdr_rate_cleaned!$B$2:$B$10,"&lt;"&amp;C661,mdr_rate_cleaned!$F$2:$F$10,"&gt;="&amp;C661)</f>
        <v>1</v>
      </c>
      <c r="G661" s="40">
        <f>SUMIFS(mdr_rate_cleaned!$G$2:$G$10,mdr_rate_cleaned!$A$2:$A$10,B661,mdr_rate_cleaned!$B$2:$B$10,"&lt;"&amp;C661,mdr_rate_cleaned!$F$2:$F$10,"&gt;="&amp;C661)</f>
        <v>1.8000000000000002E-2</v>
      </c>
      <c r="H661" s="24">
        <f t="shared" si="50"/>
        <v>5.38</v>
      </c>
      <c r="I661" s="23" t="str">
        <f t="shared" si="51"/>
        <v>Match</v>
      </c>
      <c r="J661" s="23" t="str">
        <f t="shared" si="52"/>
        <v>Match</v>
      </c>
      <c r="K661" s="24">
        <f t="shared" si="53"/>
        <v>0.97</v>
      </c>
      <c r="L661" s="24">
        <f t="shared" si="54"/>
        <v>0</v>
      </c>
    </row>
    <row r="662" spans="1:12" ht="15" customHeight="1" x14ac:dyDescent="0.3">
      <c r="A662" s="23" t="s">
        <v>13185</v>
      </c>
      <c r="B662" s="23" t="s">
        <v>79</v>
      </c>
      <c r="C662" s="39">
        <v>11797</v>
      </c>
      <c r="D662" s="24">
        <v>188.75</v>
      </c>
      <c r="E662" s="24">
        <v>33.979999999999997</v>
      </c>
      <c r="F662" s="23">
        <f>COUNTIFS(mdr_rate_cleaned!$A$2:$A$10,B662,mdr_rate_cleaned!$B$2:$B$10,"&lt;"&amp;C662,mdr_rate_cleaned!$F$2:$F$10,"&gt;="&amp;C662)</f>
        <v>1</v>
      </c>
      <c r="G662" s="40">
        <f>SUMIFS(mdr_rate_cleaned!$G$2:$G$10,mdr_rate_cleaned!$A$2:$A$10,B662,mdr_rate_cleaned!$B$2:$B$10,"&lt;"&amp;C662,mdr_rate_cleaned!$F$2:$F$10,"&gt;="&amp;C662)</f>
        <v>1.6E-2</v>
      </c>
      <c r="H662" s="24">
        <f t="shared" si="50"/>
        <v>188.75</v>
      </c>
      <c r="I662" s="23" t="str">
        <f t="shared" si="51"/>
        <v>Match</v>
      </c>
      <c r="J662" s="23" t="str">
        <f t="shared" si="52"/>
        <v>Match</v>
      </c>
      <c r="K662" s="24">
        <f t="shared" si="53"/>
        <v>33.979999999999997</v>
      </c>
      <c r="L662" s="24">
        <f t="shared" si="54"/>
        <v>0</v>
      </c>
    </row>
    <row r="663" spans="1:12" ht="15" customHeight="1" x14ac:dyDescent="0.3">
      <c r="A663" s="23" t="s">
        <v>13186</v>
      </c>
      <c r="B663" s="23" t="s">
        <v>79</v>
      </c>
      <c r="C663" s="39">
        <v>799</v>
      </c>
      <c r="D663" s="24">
        <v>14.38</v>
      </c>
      <c r="E663" s="24">
        <v>2.59</v>
      </c>
      <c r="F663" s="23">
        <f>COUNTIFS(mdr_rate_cleaned!$A$2:$A$10,B663,mdr_rate_cleaned!$B$2:$B$10,"&lt;"&amp;C663,mdr_rate_cleaned!$F$2:$F$10,"&gt;="&amp;C663)</f>
        <v>1</v>
      </c>
      <c r="G663" s="40">
        <f>SUMIFS(mdr_rate_cleaned!$G$2:$G$10,mdr_rate_cleaned!$A$2:$A$10,B663,mdr_rate_cleaned!$B$2:$B$10,"&lt;"&amp;C663,mdr_rate_cleaned!$F$2:$F$10,"&gt;="&amp;C663)</f>
        <v>1.8000000000000002E-2</v>
      </c>
      <c r="H663" s="24">
        <f t="shared" si="50"/>
        <v>14.38</v>
      </c>
      <c r="I663" s="23" t="str">
        <f t="shared" si="51"/>
        <v>Match</v>
      </c>
      <c r="J663" s="23" t="str">
        <f t="shared" si="52"/>
        <v>Match</v>
      </c>
      <c r="K663" s="24">
        <f t="shared" si="53"/>
        <v>2.59</v>
      </c>
      <c r="L663" s="24">
        <f t="shared" si="54"/>
        <v>0</v>
      </c>
    </row>
    <row r="664" spans="1:12" ht="15" customHeight="1" x14ac:dyDescent="0.3">
      <c r="A664" s="23" t="s">
        <v>13188</v>
      </c>
      <c r="B664" s="23" t="s">
        <v>79</v>
      </c>
      <c r="C664" s="39">
        <v>7999</v>
      </c>
      <c r="D664" s="24">
        <v>127.98</v>
      </c>
      <c r="E664" s="24">
        <v>23.04</v>
      </c>
      <c r="F664" s="23">
        <f>COUNTIFS(mdr_rate_cleaned!$A$2:$A$10,B664,mdr_rate_cleaned!$B$2:$B$10,"&lt;"&amp;C664,mdr_rate_cleaned!$F$2:$F$10,"&gt;="&amp;C664)</f>
        <v>1</v>
      </c>
      <c r="G664" s="40">
        <f>SUMIFS(mdr_rate_cleaned!$G$2:$G$10,mdr_rate_cleaned!$A$2:$A$10,B664,mdr_rate_cleaned!$B$2:$B$10,"&lt;"&amp;C664,mdr_rate_cleaned!$F$2:$F$10,"&gt;="&amp;C664)</f>
        <v>1.6E-2</v>
      </c>
      <c r="H664" s="24">
        <f t="shared" si="50"/>
        <v>127.98</v>
      </c>
      <c r="I664" s="23" t="str">
        <f t="shared" si="51"/>
        <v>Match</v>
      </c>
      <c r="J664" s="23" t="str">
        <f t="shared" si="52"/>
        <v>Match</v>
      </c>
      <c r="K664" s="24">
        <f t="shared" si="53"/>
        <v>23.04</v>
      </c>
      <c r="L664" s="24">
        <f t="shared" si="54"/>
        <v>0</v>
      </c>
    </row>
    <row r="665" spans="1:12" ht="15" customHeight="1" x14ac:dyDescent="0.3">
      <c r="A665" s="23" t="s">
        <v>13189</v>
      </c>
      <c r="B665" s="23" t="s">
        <v>79</v>
      </c>
      <c r="C665" s="39">
        <v>1648</v>
      </c>
      <c r="D665" s="24">
        <v>29.66</v>
      </c>
      <c r="E665" s="24">
        <v>5.34</v>
      </c>
      <c r="F665" s="23">
        <f>COUNTIFS(mdr_rate_cleaned!$A$2:$A$10,B665,mdr_rate_cleaned!$B$2:$B$10,"&lt;"&amp;C665,mdr_rate_cleaned!$F$2:$F$10,"&gt;="&amp;C665)</f>
        <v>1</v>
      </c>
      <c r="G665" s="40">
        <f>SUMIFS(mdr_rate_cleaned!$G$2:$G$10,mdr_rate_cleaned!$A$2:$A$10,B665,mdr_rate_cleaned!$B$2:$B$10,"&lt;"&amp;C665,mdr_rate_cleaned!$F$2:$F$10,"&gt;="&amp;C665)</f>
        <v>1.8000000000000002E-2</v>
      </c>
      <c r="H665" s="24">
        <f t="shared" si="50"/>
        <v>29.66</v>
      </c>
      <c r="I665" s="23" t="str">
        <f t="shared" si="51"/>
        <v>Match</v>
      </c>
      <c r="J665" s="23" t="str">
        <f t="shared" si="52"/>
        <v>Match</v>
      </c>
      <c r="K665" s="24">
        <f t="shared" si="53"/>
        <v>5.34</v>
      </c>
      <c r="L665" s="24">
        <f t="shared" si="54"/>
        <v>0</v>
      </c>
    </row>
    <row r="666" spans="1:12" ht="15" customHeight="1" x14ac:dyDescent="0.3">
      <c r="A666" s="23" t="s">
        <v>13191</v>
      </c>
      <c r="B666" s="23" t="s">
        <v>75</v>
      </c>
      <c r="C666" s="39">
        <v>4298</v>
      </c>
      <c r="D666" s="24">
        <v>12.89</v>
      </c>
      <c r="E666" s="24">
        <v>2.3199999999999998</v>
      </c>
      <c r="F666" s="23">
        <f>COUNTIFS(mdr_rate_cleaned!$A$2:$A$10,B666,mdr_rate_cleaned!$B$2:$B$10,"&lt;"&amp;C666,mdr_rate_cleaned!$F$2:$F$10,"&gt;="&amp;C666)</f>
        <v>1</v>
      </c>
      <c r="G666" s="40">
        <f>SUMIFS(mdr_rate_cleaned!$G$2:$G$10,mdr_rate_cleaned!$A$2:$A$10,B666,mdr_rate_cleaned!$B$2:$B$10,"&lt;"&amp;C666,mdr_rate_cleaned!$F$2:$F$10,"&gt;="&amp;C666)</f>
        <v>3.0000000000000001E-3</v>
      </c>
      <c r="H666" s="24">
        <f t="shared" si="50"/>
        <v>12.89</v>
      </c>
      <c r="I666" s="23" t="str">
        <f t="shared" si="51"/>
        <v>Match</v>
      </c>
      <c r="J666" s="23" t="str">
        <f t="shared" si="52"/>
        <v>Match</v>
      </c>
      <c r="K666" s="24">
        <f t="shared" si="53"/>
        <v>2.3199999999999998</v>
      </c>
      <c r="L666" s="24">
        <f t="shared" si="54"/>
        <v>0</v>
      </c>
    </row>
    <row r="667" spans="1:12" ht="15" customHeight="1" x14ac:dyDescent="0.3">
      <c r="A667" s="23" t="s">
        <v>13192</v>
      </c>
      <c r="B667" s="23" t="s">
        <v>75</v>
      </c>
      <c r="C667" s="39">
        <v>2098</v>
      </c>
      <c r="D667" s="24">
        <v>6.29</v>
      </c>
      <c r="E667" s="24">
        <v>1.1299999999999999</v>
      </c>
      <c r="F667" s="23">
        <f>COUNTIFS(mdr_rate_cleaned!$A$2:$A$10,B667,mdr_rate_cleaned!$B$2:$B$10,"&lt;"&amp;C667,mdr_rate_cleaned!$F$2:$F$10,"&gt;="&amp;C667)</f>
        <v>1</v>
      </c>
      <c r="G667" s="40">
        <f>SUMIFS(mdr_rate_cleaned!$G$2:$G$10,mdr_rate_cleaned!$A$2:$A$10,B667,mdr_rate_cleaned!$B$2:$B$10,"&lt;"&amp;C667,mdr_rate_cleaned!$F$2:$F$10,"&gt;="&amp;C667)</f>
        <v>3.0000000000000001E-3</v>
      </c>
      <c r="H667" s="24">
        <f t="shared" si="50"/>
        <v>6.29</v>
      </c>
      <c r="I667" s="23" t="str">
        <f t="shared" si="51"/>
        <v>Match</v>
      </c>
      <c r="J667" s="23" t="str">
        <f t="shared" si="52"/>
        <v>Match</v>
      </c>
      <c r="K667" s="24">
        <f t="shared" si="53"/>
        <v>1.1299999999999999</v>
      </c>
      <c r="L667" s="24">
        <f t="shared" si="54"/>
        <v>0</v>
      </c>
    </row>
    <row r="668" spans="1:12" ht="15" customHeight="1" x14ac:dyDescent="0.3">
      <c r="A668" s="23" t="s">
        <v>13193</v>
      </c>
      <c r="B668" s="23" t="s">
        <v>77</v>
      </c>
      <c r="C668" s="39">
        <v>1499</v>
      </c>
      <c r="D668" s="24">
        <v>28.48</v>
      </c>
      <c r="E668" s="24">
        <v>5.13</v>
      </c>
      <c r="F668" s="23">
        <f>COUNTIFS(mdr_rate_cleaned!$A$2:$A$10,B668,mdr_rate_cleaned!$B$2:$B$10,"&lt;"&amp;C668,mdr_rate_cleaned!$F$2:$F$10,"&gt;="&amp;C668)</f>
        <v>1</v>
      </c>
      <c r="G668" s="40">
        <f>SUMIFS(mdr_rate_cleaned!$G$2:$G$10,mdr_rate_cleaned!$A$2:$A$10,B668,mdr_rate_cleaned!$B$2:$B$10,"&lt;"&amp;C668,mdr_rate_cleaned!$F$2:$F$10,"&gt;="&amp;C668)</f>
        <v>1.9E-2</v>
      </c>
      <c r="H668" s="24">
        <f t="shared" si="50"/>
        <v>28.48</v>
      </c>
      <c r="I668" s="23" t="str">
        <f t="shared" si="51"/>
        <v>Match</v>
      </c>
      <c r="J668" s="23" t="str">
        <f t="shared" si="52"/>
        <v>Match</v>
      </c>
      <c r="K668" s="24">
        <f t="shared" si="53"/>
        <v>5.13</v>
      </c>
      <c r="L668" s="24">
        <f t="shared" si="54"/>
        <v>0</v>
      </c>
    </row>
    <row r="669" spans="1:12" ht="15" customHeight="1" x14ac:dyDescent="0.3">
      <c r="A669" s="23" t="s">
        <v>13194</v>
      </c>
      <c r="B669" s="23" t="s">
        <v>75</v>
      </c>
      <c r="C669" s="39">
        <v>4999</v>
      </c>
      <c r="D669" s="24">
        <v>15</v>
      </c>
      <c r="E669" s="24">
        <v>2.7</v>
      </c>
      <c r="F669" s="23">
        <f>COUNTIFS(mdr_rate_cleaned!$A$2:$A$10,B669,mdr_rate_cleaned!$B$2:$B$10,"&lt;"&amp;C669,mdr_rate_cleaned!$F$2:$F$10,"&gt;="&amp;C669)</f>
        <v>1</v>
      </c>
      <c r="G669" s="40">
        <f>SUMIFS(mdr_rate_cleaned!$G$2:$G$10,mdr_rate_cleaned!$A$2:$A$10,B669,mdr_rate_cleaned!$B$2:$B$10,"&lt;"&amp;C669,mdr_rate_cleaned!$F$2:$F$10,"&gt;="&amp;C669)</f>
        <v>3.0000000000000001E-3</v>
      </c>
      <c r="H669" s="24">
        <f t="shared" si="50"/>
        <v>15</v>
      </c>
      <c r="I669" s="23" t="str">
        <f t="shared" si="51"/>
        <v>Match</v>
      </c>
      <c r="J669" s="23" t="str">
        <f t="shared" si="52"/>
        <v>Match</v>
      </c>
      <c r="K669" s="24">
        <f t="shared" si="53"/>
        <v>2.7</v>
      </c>
      <c r="L669" s="24">
        <f t="shared" si="54"/>
        <v>0</v>
      </c>
    </row>
    <row r="670" spans="1:12" ht="15" customHeight="1" x14ac:dyDescent="0.3">
      <c r="A670" s="23" t="s">
        <v>13195</v>
      </c>
      <c r="B670" s="23" t="s">
        <v>79</v>
      </c>
      <c r="C670" s="39">
        <v>599</v>
      </c>
      <c r="D670" s="24">
        <v>10.78</v>
      </c>
      <c r="E670" s="24">
        <v>1.94</v>
      </c>
      <c r="F670" s="23">
        <f>COUNTIFS(mdr_rate_cleaned!$A$2:$A$10,B670,mdr_rate_cleaned!$B$2:$B$10,"&lt;"&amp;C670,mdr_rate_cleaned!$F$2:$F$10,"&gt;="&amp;C670)</f>
        <v>1</v>
      </c>
      <c r="G670" s="40">
        <f>SUMIFS(mdr_rate_cleaned!$G$2:$G$10,mdr_rate_cleaned!$A$2:$A$10,B670,mdr_rate_cleaned!$B$2:$B$10,"&lt;"&amp;C670,mdr_rate_cleaned!$F$2:$F$10,"&gt;="&amp;C670)</f>
        <v>1.8000000000000002E-2</v>
      </c>
      <c r="H670" s="24">
        <f t="shared" si="50"/>
        <v>10.78</v>
      </c>
      <c r="I670" s="23" t="str">
        <f t="shared" si="51"/>
        <v>Match</v>
      </c>
      <c r="J670" s="23" t="str">
        <f t="shared" si="52"/>
        <v>Match</v>
      </c>
      <c r="K670" s="24">
        <f t="shared" si="53"/>
        <v>1.94</v>
      </c>
      <c r="L670" s="24">
        <f t="shared" si="54"/>
        <v>0</v>
      </c>
    </row>
    <row r="671" spans="1:12" ht="15" customHeight="1" x14ac:dyDescent="0.3">
      <c r="A671" s="23" t="s">
        <v>13196</v>
      </c>
      <c r="B671" s="23" t="s">
        <v>75</v>
      </c>
      <c r="C671" s="39">
        <v>4298</v>
      </c>
      <c r="D671" s="24">
        <v>12.89</v>
      </c>
      <c r="E671" s="24">
        <v>2.3199999999999998</v>
      </c>
      <c r="F671" s="23">
        <f>COUNTIFS(mdr_rate_cleaned!$A$2:$A$10,B671,mdr_rate_cleaned!$B$2:$B$10,"&lt;"&amp;C671,mdr_rate_cleaned!$F$2:$F$10,"&gt;="&amp;C671)</f>
        <v>1</v>
      </c>
      <c r="G671" s="40">
        <f>SUMIFS(mdr_rate_cleaned!$G$2:$G$10,mdr_rate_cleaned!$A$2:$A$10,B671,mdr_rate_cleaned!$B$2:$B$10,"&lt;"&amp;C671,mdr_rate_cleaned!$F$2:$F$10,"&gt;="&amp;C671)</f>
        <v>3.0000000000000001E-3</v>
      </c>
      <c r="H671" s="24">
        <f t="shared" si="50"/>
        <v>12.89</v>
      </c>
      <c r="I671" s="23" t="str">
        <f t="shared" si="51"/>
        <v>Match</v>
      </c>
      <c r="J671" s="23" t="str">
        <f t="shared" si="52"/>
        <v>Match</v>
      </c>
      <c r="K671" s="24">
        <f t="shared" si="53"/>
        <v>2.3199999999999998</v>
      </c>
      <c r="L671" s="24">
        <f t="shared" si="54"/>
        <v>0</v>
      </c>
    </row>
    <row r="672" spans="1:12" ht="15" customHeight="1" x14ac:dyDescent="0.3">
      <c r="A672" s="23" t="s">
        <v>13197</v>
      </c>
      <c r="B672" s="23" t="s">
        <v>79</v>
      </c>
      <c r="C672" s="39">
        <v>599</v>
      </c>
      <c r="D672" s="24">
        <v>10.78</v>
      </c>
      <c r="E672" s="24">
        <v>1.94</v>
      </c>
      <c r="F672" s="23">
        <f>COUNTIFS(mdr_rate_cleaned!$A$2:$A$10,B672,mdr_rate_cleaned!$B$2:$B$10,"&lt;"&amp;C672,mdr_rate_cleaned!$F$2:$F$10,"&gt;="&amp;C672)</f>
        <v>1</v>
      </c>
      <c r="G672" s="40">
        <f>SUMIFS(mdr_rate_cleaned!$G$2:$G$10,mdr_rate_cleaned!$A$2:$A$10,B672,mdr_rate_cleaned!$B$2:$B$10,"&lt;"&amp;C672,mdr_rate_cleaned!$F$2:$F$10,"&gt;="&amp;C672)</f>
        <v>1.8000000000000002E-2</v>
      </c>
      <c r="H672" s="24">
        <f t="shared" si="50"/>
        <v>10.78</v>
      </c>
      <c r="I672" s="23" t="str">
        <f t="shared" si="51"/>
        <v>Match</v>
      </c>
      <c r="J672" s="23" t="str">
        <f t="shared" si="52"/>
        <v>Match</v>
      </c>
      <c r="K672" s="24">
        <f t="shared" si="53"/>
        <v>1.94</v>
      </c>
      <c r="L672" s="24">
        <f t="shared" si="54"/>
        <v>0</v>
      </c>
    </row>
    <row r="673" spans="1:12" ht="15" customHeight="1" x14ac:dyDescent="0.3">
      <c r="A673" s="23" t="s">
        <v>13198</v>
      </c>
      <c r="B673" s="23" t="s">
        <v>75</v>
      </c>
      <c r="C673" s="39">
        <v>5897</v>
      </c>
      <c r="D673" s="24">
        <v>17.690000000000001</v>
      </c>
      <c r="E673" s="24">
        <v>3.18</v>
      </c>
      <c r="F673" s="23">
        <f>COUNTIFS(mdr_rate_cleaned!$A$2:$A$10,B673,mdr_rate_cleaned!$B$2:$B$10,"&lt;"&amp;C673,mdr_rate_cleaned!$F$2:$F$10,"&gt;="&amp;C673)</f>
        <v>1</v>
      </c>
      <c r="G673" s="40">
        <f>SUMIFS(mdr_rate_cleaned!$G$2:$G$10,mdr_rate_cleaned!$A$2:$A$10,B673,mdr_rate_cleaned!$B$2:$B$10,"&lt;"&amp;C673,mdr_rate_cleaned!$F$2:$F$10,"&gt;="&amp;C673)</f>
        <v>3.0000000000000001E-3</v>
      </c>
      <c r="H673" s="24">
        <f t="shared" si="50"/>
        <v>17.690000000000001</v>
      </c>
      <c r="I673" s="23" t="str">
        <f t="shared" si="51"/>
        <v>Match</v>
      </c>
      <c r="J673" s="23" t="str">
        <f t="shared" si="52"/>
        <v>Match</v>
      </c>
      <c r="K673" s="24">
        <f t="shared" si="53"/>
        <v>3.18</v>
      </c>
      <c r="L673" s="24">
        <f t="shared" si="54"/>
        <v>0</v>
      </c>
    </row>
    <row r="674" spans="1:12" ht="15" customHeight="1" x14ac:dyDescent="0.3">
      <c r="A674" s="23" t="s">
        <v>13199</v>
      </c>
      <c r="B674" s="23" t="s">
        <v>75</v>
      </c>
      <c r="C674" s="39">
        <v>2148</v>
      </c>
      <c r="D674" s="24">
        <v>6.44</v>
      </c>
      <c r="E674" s="24">
        <v>1.1599999999999999</v>
      </c>
      <c r="F674" s="23">
        <f>COUNTIFS(mdr_rate_cleaned!$A$2:$A$10,B674,mdr_rate_cleaned!$B$2:$B$10,"&lt;"&amp;C674,mdr_rate_cleaned!$F$2:$F$10,"&gt;="&amp;C674)</f>
        <v>1</v>
      </c>
      <c r="G674" s="40">
        <f>SUMIFS(mdr_rate_cleaned!$G$2:$G$10,mdr_rate_cleaned!$A$2:$A$10,B674,mdr_rate_cleaned!$B$2:$B$10,"&lt;"&amp;C674,mdr_rate_cleaned!$F$2:$F$10,"&gt;="&amp;C674)</f>
        <v>3.0000000000000001E-3</v>
      </c>
      <c r="H674" s="24">
        <f t="shared" si="50"/>
        <v>6.44</v>
      </c>
      <c r="I674" s="23" t="str">
        <f t="shared" si="51"/>
        <v>Match</v>
      </c>
      <c r="J674" s="23" t="str">
        <f t="shared" si="52"/>
        <v>Match</v>
      </c>
      <c r="K674" s="24">
        <f t="shared" si="53"/>
        <v>1.1599999999999999</v>
      </c>
      <c r="L674" s="24">
        <f t="shared" si="54"/>
        <v>0</v>
      </c>
    </row>
    <row r="675" spans="1:12" ht="15" customHeight="1" x14ac:dyDescent="0.3">
      <c r="A675" s="23" t="s">
        <v>13200</v>
      </c>
      <c r="B675" s="23" t="s">
        <v>75</v>
      </c>
      <c r="C675" s="39">
        <v>2098</v>
      </c>
      <c r="D675" s="24">
        <v>6.29</v>
      </c>
      <c r="E675" s="24">
        <v>1.1299999999999999</v>
      </c>
      <c r="F675" s="23">
        <f>COUNTIFS(mdr_rate_cleaned!$A$2:$A$10,B675,mdr_rate_cleaned!$B$2:$B$10,"&lt;"&amp;C675,mdr_rate_cleaned!$F$2:$F$10,"&gt;="&amp;C675)</f>
        <v>1</v>
      </c>
      <c r="G675" s="40">
        <f>SUMIFS(mdr_rate_cleaned!$G$2:$G$10,mdr_rate_cleaned!$A$2:$A$10,B675,mdr_rate_cleaned!$B$2:$B$10,"&lt;"&amp;C675,mdr_rate_cleaned!$F$2:$F$10,"&gt;="&amp;C675)</f>
        <v>3.0000000000000001E-3</v>
      </c>
      <c r="H675" s="24">
        <f t="shared" si="50"/>
        <v>6.29</v>
      </c>
      <c r="I675" s="23" t="str">
        <f t="shared" si="51"/>
        <v>Match</v>
      </c>
      <c r="J675" s="23" t="str">
        <f t="shared" si="52"/>
        <v>Match</v>
      </c>
      <c r="K675" s="24">
        <f t="shared" si="53"/>
        <v>1.1299999999999999</v>
      </c>
      <c r="L675" s="24">
        <f t="shared" si="54"/>
        <v>0</v>
      </c>
    </row>
    <row r="676" spans="1:12" ht="15" customHeight="1" x14ac:dyDescent="0.3">
      <c r="A676" s="23" t="s">
        <v>13201</v>
      </c>
      <c r="B676" s="23" t="s">
        <v>75</v>
      </c>
      <c r="C676" s="39">
        <v>6597</v>
      </c>
      <c r="D676" s="24">
        <v>19.79</v>
      </c>
      <c r="E676" s="24">
        <v>3.56</v>
      </c>
      <c r="F676" s="23">
        <f>COUNTIFS(mdr_rate_cleaned!$A$2:$A$10,B676,mdr_rate_cleaned!$B$2:$B$10,"&lt;"&amp;C676,mdr_rate_cleaned!$F$2:$F$10,"&gt;="&amp;C676)</f>
        <v>1</v>
      </c>
      <c r="G676" s="40">
        <f>SUMIFS(mdr_rate_cleaned!$G$2:$G$10,mdr_rate_cleaned!$A$2:$A$10,B676,mdr_rate_cleaned!$B$2:$B$10,"&lt;"&amp;C676,mdr_rate_cleaned!$F$2:$F$10,"&gt;="&amp;C676)</f>
        <v>3.0000000000000001E-3</v>
      </c>
      <c r="H676" s="24">
        <f t="shared" si="50"/>
        <v>19.79</v>
      </c>
      <c r="I676" s="23" t="str">
        <f t="shared" si="51"/>
        <v>Match</v>
      </c>
      <c r="J676" s="23" t="str">
        <f t="shared" si="52"/>
        <v>Match</v>
      </c>
      <c r="K676" s="24">
        <f t="shared" si="53"/>
        <v>3.56</v>
      </c>
      <c r="L676" s="24">
        <f t="shared" si="54"/>
        <v>0</v>
      </c>
    </row>
    <row r="677" spans="1:12" ht="15" customHeight="1" x14ac:dyDescent="0.3">
      <c r="A677" s="23" t="s">
        <v>13202</v>
      </c>
      <c r="B677" s="23" t="s">
        <v>77</v>
      </c>
      <c r="C677" s="39">
        <v>4897</v>
      </c>
      <c r="D677" s="24">
        <v>83.25</v>
      </c>
      <c r="E677" s="24">
        <v>14.99</v>
      </c>
      <c r="F677" s="23">
        <f>COUNTIFS(mdr_rate_cleaned!$A$2:$A$10,B677,mdr_rate_cleaned!$B$2:$B$10,"&lt;"&amp;C677,mdr_rate_cleaned!$F$2:$F$10,"&gt;="&amp;C677)</f>
        <v>1</v>
      </c>
      <c r="G677" s="40">
        <f>SUMIFS(mdr_rate_cleaned!$G$2:$G$10,mdr_rate_cleaned!$A$2:$A$10,B677,mdr_rate_cleaned!$B$2:$B$10,"&lt;"&amp;C677,mdr_rate_cleaned!$F$2:$F$10,"&gt;="&amp;C677)</f>
        <v>1.7000000000000001E-2</v>
      </c>
      <c r="H677" s="24">
        <f t="shared" si="50"/>
        <v>83.25</v>
      </c>
      <c r="I677" s="23" t="str">
        <f t="shared" si="51"/>
        <v>Match</v>
      </c>
      <c r="J677" s="23" t="str">
        <f t="shared" si="52"/>
        <v>Match</v>
      </c>
      <c r="K677" s="24">
        <f t="shared" si="53"/>
        <v>14.99</v>
      </c>
      <c r="L677" s="24">
        <f t="shared" si="54"/>
        <v>0</v>
      </c>
    </row>
    <row r="678" spans="1:12" ht="15" customHeight="1" x14ac:dyDescent="0.3">
      <c r="A678" s="23" t="s">
        <v>13203</v>
      </c>
      <c r="B678" s="23" t="s">
        <v>75</v>
      </c>
      <c r="C678" s="39">
        <v>1799</v>
      </c>
      <c r="D678" s="24">
        <v>0</v>
      </c>
      <c r="E678" s="24">
        <v>0</v>
      </c>
      <c r="F678" s="23">
        <f>COUNTIFS(mdr_rate_cleaned!$A$2:$A$10,B678,mdr_rate_cleaned!$B$2:$B$10,"&lt;"&amp;C678,mdr_rate_cleaned!$F$2:$F$10,"&gt;="&amp;C678)</f>
        <v>1</v>
      </c>
      <c r="G678" s="40">
        <f>SUMIFS(mdr_rate_cleaned!$G$2:$G$10,mdr_rate_cleaned!$A$2:$A$10,B678,mdr_rate_cleaned!$B$2:$B$10,"&lt;"&amp;C678,mdr_rate_cleaned!$F$2:$F$10,"&gt;="&amp;C678)</f>
        <v>0</v>
      </c>
      <c r="H678" s="24">
        <f t="shared" si="50"/>
        <v>0</v>
      </c>
      <c r="I678" s="23" t="str">
        <f t="shared" si="51"/>
        <v>Match</v>
      </c>
      <c r="J678" s="23" t="str">
        <f t="shared" si="52"/>
        <v>Match</v>
      </c>
      <c r="K678" s="24">
        <f t="shared" si="53"/>
        <v>0</v>
      </c>
      <c r="L678" s="24">
        <f t="shared" si="54"/>
        <v>0</v>
      </c>
    </row>
    <row r="679" spans="1:12" ht="15" customHeight="1" x14ac:dyDescent="0.3">
      <c r="A679" s="23" t="s">
        <v>13205</v>
      </c>
      <c r="B679" s="23" t="s">
        <v>75</v>
      </c>
      <c r="C679" s="39">
        <v>2499</v>
      </c>
      <c r="D679" s="24">
        <v>7.5</v>
      </c>
      <c r="E679" s="24">
        <v>1.35</v>
      </c>
      <c r="F679" s="23">
        <f>COUNTIFS(mdr_rate_cleaned!$A$2:$A$10,B679,mdr_rate_cleaned!$B$2:$B$10,"&lt;"&amp;C679,mdr_rate_cleaned!$F$2:$F$10,"&gt;="&amp;C679)</f>
        <v>1</v>
      </c>
      <c r="G679" s="40">
        <f>SUMIFS(mdr_rate_cleaned!$G$2:$G$10,mdr_rate_cleaned!$A$2:$A$10,B679,mdr_rate_cleaned!$B$2:$B$10,"&lt;"&amp;C679,mdr_rate_cleaned!$F$2:$F$10,"&gt;="&amp;C679)</f>
        <v>3.0000000000000001E-3</v>
      </c>
      <c r="H679" s="24">
        <f t="shared" si="50"/>
        <v>7.5</v>
      </c>
      <c r="I679" s="23" t="str">
        <f t="shared" si="51"/>
        <v>Match</v>
      </c>
      <c r="J679" s="23" t="str">
        <f t="shared" si="52"/>
        <v>Match</v>
      </c>
      <c r="K679" s="24">
        <f t="shared" si="53"/>
        <v>1.35</v>
      </c>
      <c r="L679" s="24">
        <f t="shared" si="54"/>
        <v>0</v>
      </c>
    </row>
    <row r="680" spans="1:12" ht="15" customHeight="1" x14ac:dyDescent="0.3">
      <c r="A680" s="23" t="s">
        <v>13206</v>
      </c>
      <c r="B680" s="23" t="s">
        <v>75</v>
      </c>
      <c r="C680" s="39">
        <v>7999</v>
      </c>
      <c r="D680" s="24">
        <v>24</v>
      </c>
      <c r="E680" s="24">
        <v>4.32</v>
      </c>
      <c r="F680" s="23">
        <f>COUNTIFS(mdr_rate_cleaned!$A$2:$A$10,B680,mdr_rate_cleaned!$B$2:$B$10,"&lt;"&amp;C680,mdr_rate_cleaned!$F$2:$F$10,"&gt;="&amp;C680)</f>
        <v>1</v>
      </c>
      <c r="G680" s="40">
        <f>SUMIFS(mdr_rate_cleaned!$G$2:$G$10,mdr_rate_cleaned!$A$2:$A$10,B680,mdr_rate_cleaned!$B$2:$B$10,"&lt;"&amp;C680,mdr_rate_cleaned!$F$2:$F$10,"&gt;="&amp;C680)</f>
        <v>3.0000000000000001E-3</v>
      </c>
      <c r="H680" s="24">
        <f t="shared" si="50"/>
        <v>24</v>
      </c>
      <c r="I680" s="23" t="str">
        <f t="shared" si="51"/>
        <v>Match</v>
      </c>
      <c r="J680" s="23" t="str">
        <f t="shared" si="52"/>
        <v>Match</v>
      </c>
      <c r="K680" s="24">
        <f t="shared" si="53"/>
        <v>4.32</v>
      </c>
      <c r="L680" s="24">
        <f t="shared" si="54"/>
        <v>0</v>
      </c>
    </row>
    <row r="681" spans="1:12" ht="15" customHeight="1" x14ac:dyDescent="0.3">
      <c r="A681" s="23" t="s">
        <v>13208</v>
      </c>
      <c r="B681" s="23" t="s">
        <v>75</v>
      </c>
      <c r="C681" s="39">
        <v>349</v>
      </c>
      <c r="D681" s="24">
        <v>0</v>
      </c>
      <c r="E681" s="24">
        <v>0</v>
      </c>
      <c r="F681" s="23">
        <f>COUNTIFS(mdr_rate_cleaned!$A$2:$A$10,B681,mdr_rate_cleaned!$B$2:$B$10,"&lt;"&amp;C681,mdr_rate_cleaned!$F$2:$F$10,"&gt;="&amp;C681)</f>
        <v>1</v>
      </c>
      <c r="G681" s="40">
        <f>SUMIFS(mdr_rate_cleaned!$G$2:$G$10,mdr_rate_cleaned!$A$2:$A$10,B681,mdr_rate_cleaned!$B$2:$B$10,"&lt;"&amp;C681,mdr_rate_cleaned!$F$2:$F$10,"&gt;="&amp;C681)</f>
        <v>0</v>
      </c>
      <c r="H681" s="24">
        <f t="shared" si="50"/>
        <v>0</v>
      </c>
      <c r="I681" s="23" t="str">
        <f t="shared" si="51"/>
        <v>Match</v>
      </c>
      <c r="J681" s="23" t="str">
        <f t="shared" si="52"/>
        <v>Match</v>
      </c>
      <c r="K681" s="24">
        <f t="shared" si="53"/>
        <v>0</v>
      </c>
      <c r="L681" s="24">
        <f t="shared" si="54"/>
        <v>0</v>
      </c>
    </row>
    <row r="682" spans="1:12" ht="15" customHeight="1" x14ac:dyDescent="0.3">
      <c r="A682" s="23" t="s">
        <v>13209</v>
      </c>
      <c r="B682" s="23" t="s">
        <v>75</v>
      </c>
      <c r="C682" s="39">
        <v>1348</v>
      </c>
      <c r="D682" s="24">
        <v>0</v>
      </c>
      <c r="E682" s="24">
        <v>0</v>
      </c>
      <c r="F682" s="23">
        <f>COUNTIFS(mdr_rate_cleaned!$A$2:$A$10,B682,mdr_rate_cleaned!$B$2:$B$10,"&lt;"&amp;C682,mdr_rate_cleaned!$F$2:$F$10,"&gt;="&amp;C682)</f>
        <v>1</v>
      </c>
      <c r="G682" s="40">
        <f>SUMIFS(mdr_rate_cleaned!$G$2:$G$10,mdr_rate_cleaned!$A$2:$A$10,B682,mdr_rate_cleaned!$B$2:$B$10,"&lt;"&amp;C682,mdr_rate_cleaned!$F$2:$F$10,"&gt;="&amp;C682)</f>
        <v>0</v>
      </c>
      <c r="H682" s="24">
        <f t="shared" si="50"/>
        <v>0</v>
      </c>
      <c r="I682" s="23" t="str">
        <f t="shared" si="51"/>
        <v>Match</v>
      </c>
      <c r="J682" s="23" t="str">
        <f t="shared" si="52"/>
        <v>Match</v>
      </c>
      <c r="K682" s="24">
        <f t="shared" si="53"/>
        <v>0</v>
      </c>
      <c r="L682" s="24">
        <f t="shared" si="54"/>
        <v>0</v>
      </c>
    </row>
    <row r="683" spans="1:12" ht="15" customHeight="1" x14ac:dyDescent="0.3">
      <c r="A683" s="23" t="s">
        <v>13210</v>
      </c>
      <c r="B683" s="23" t="s">
        <v>81</v>
      </c>
      <c r="C683" s="39">
        <v>1799</v>
      </c>
      <c r="D683" s="24">
        <v>26.99</v>
      </c>
      <c r="E683" s="24">
        <v>4.8600000000000003</v>
      </c>
      <c r="F683" s="23">
        <f>COUNTIFS(mdr_rate_cleaned!$A$2:$A$10,B683,mdr_rate_cleaned!$B$2:$B$10,"&lt;"&amp;C683,mdr_rate_cleaned!$F$2:$F$10,"&gt;="&amp;C683)</f>
        <v>1</v>
      </c>
      <c r="G683" s="40">
        <f>SUMIFS(mdr_rate_cleaned!$G$2:$G$10,mdr_rate_cleaned!$A$2:$A$10,B683,mdr_rate_cleaned!$B$2:$B$10,"&lt;"&amp;C683,mdr_rate_cleaned!$F$2:$F$10,"&gt;="&amp;C683)</f>
        <v>1.4999999999999999E-2</v>
      </c>
      <c r="H683" s="24">
        <f t="shared" si="50"/>
        <v>26.99</v>
      </c>
      <c r="I683" s="23" t="str">
        <f t="shared" si="51"/>
        <v>Match</v>
      </c>
      <c r="J683" s="23" t="str">
        <f t="shared" si="52"/>
        <v>Match</v>
      </c>
      <c r="K683" s="24">
        <f t="shared" si="53"/>
        <v>4.8600000000000003</v>
      </c>
      <c r="L683" s="24">
        <f t="shared" si="54"/>
        <v>0</v>
      </c>
    </row>
    <row r="684" spans="1:12" ht="15" customHeight="1" x14ac:dyDescent="0.3">
      <c r="A684" s="23" t="s">
        <v>13211</v>
      </c>
      <c r="B684" s="23" t="s">
        <v>75</v>
      </c>
      <c r="C684" s="39">
        <v>2499</v>
      </c>
      <c r="D684" s="24">
        <v>7.5</v>
      </c>
      <c r="E684" s="24">
        <v>1.35</v>
      </c>
      <c r="F684" s="23">
        <f>COUNTIFS(mdr_rate_cleaned!$A$2:$A$10,B684,mdr_rate_cleaned!$B$2:$B$10,"&lt;"&amp;C684,mdr_rate_cleaned!$F$2:$F$10,"&gt;="&amp;C684)</f>
        <v>1</v>
      </c>
      <c r="G684" s="40">
        <f>SUMIFS(mdr_rate_cleaned!$G$2:$G$10,mdr_rate_cleaned!$A$2:$A$10,B684,mdr_rate_cleaned!$B$2:$B$10,"&lt;"&amp;C684,mdr_rate_cleaned!$F$2:$F$10,"&gt;="&amp;C684)</f>
        <v>3.0000000000000001E-3</v>
      </c>
      <c r="H684" s="24">
        <f t="shared" si="50"/>
        <v>7.5</v>
      </c>
      <c r="I684" s="23" t="str">
        <f t="shared" si="51"/>
        <v>Match</v>
      </c>
      <c r="J684" s="23" t="str">
        <f t="shared" si="52"/>
        <v>Match</v>
      </c>
      <c r="K684" s="24">
        <f t="shared" si="53"/>
        <v>1.35</v>
      </c>
      <c r="L684" s="24">
        <f t="shared" si="54"/>
        <v>0</v>
      </c>
    </row>
    <row r="685" spans="1:12" ht="15" customHeight="1" x14ac:dyDescent="0.3">
      <c r="A685" s="23" t="s">
        <v>13212</v>
      </c>
      <c r="B685" s="23" t="s">
        <v>75</v>
      </c>
      <c r="C685" s="39">
        <v>3348</v>
      </c>
      <c r="D685" s="24">
        <v>10.039999999999999</v>
      </c>
      <c r="E685" s="24">
        <v>1.81</v>
      </c>
      <c r="F685" s="23">
        <f>COUNTIFS(mdr_rate_cleaned!$A$2:$A$10,B685,mdr_rate_cleaned!$B$2:$B$10,"&lt;"&amp;C685,mdr_rate_cleaned!$F$2:$F$10,"&gt;="&amp;C685)</f>
        <v>1</v>
      </c>
      <c r="G685" s="40">
        <f>SUMIFS(mdr_rate_cleaned!$G$2:$G$10,mdr_rate_cleaned!$A$2:$A$10,B685,mdr_rate_cleaned!$B$2:$B$10,"&lt;"&amp;C685,mdr_rate_cleaned!$F$2:$F$10,"&gt;="&amp;C685)</f>
        <v>3.0000000000000001E-3</v>
      </c>
      <c r="H685" s="24">
        <f t="shared" si="50"/>
        <v>10.039999999999999</v>
      </c>
      <c r="I685" s="23" t="str">
        <f t="shared" si="51"/>
        <v>Match</v>
      </c>
      <c r="J685" s="23" t="str">
        <f t="shared" si="52"/>
        <v>Match</v>
      </c>
      <c r="K685" s="24">
        <f t="shared" si="53"/>
        <v>1.81</v>
      </c>
      <c r="L685" s="24">
        <f t="shared" si="54"/>
        <v>0</v>
      </c>
    </row>
    <row r="686" spans="1:12" ht="15" customHeight="1" x14ac:dyDescent="0.3">
      <c r="A686" s="23" t="s">
        <v>13213</v>
      </c>
      <c r="B686" s="23" t="s">
        <v>75</v>
      </c>
      <c r="C686" s="39">
        <v>7498</v>
      </c>
      <c r="D686" s="24">
        <v>22.49</v>
      </c>
      <c r="E686" s="24">
        <v>4.05</v>
      </c>
      <c r="F686" s="23">
        <f>COUNTIFS(mdr_rate_cleaned!$A$2:$A$10,B686,mdr_rate_cleaned!$B$2:$B$10,"&lt;"&amp;C686,mdr_rate_cleaned!$F$2:$F$10,"&gt;="&amp;C686)</f>
        <v>1</v>
      </c>
      <c r="G686" s="40">
        <f>SUMIFS(mdr_rate_cleaned!$G$2:$G$10,mdr_rate_cleaned!$A$2:$A$10,B686,mdr_rate_cleaned!$B$2:$B$10,"&lt;"&amp;C686,mdr_rate_cleaned!$F$2:$F$10,"&gt;="&amp;C686)</f>
        <v>3.0000000000000001E-3</v>
      </c>
      <c r="H686" s="24">
        <f t="shared" si="50"/>
        <v>22.49</v>
      </c>
      <c r="I686" s="23" t="str">
        <f t="shared" si="51"/>
        <v>Match</v>
      </c>
      <c r="J686" s="23" t="str">
        <f t="shared" si="52"/>
        <v>Match</v>
      </c>
      <c r="K686" s="24">
        <f t="shared" si="53"/>
        <v>4.05</v>
      </c>
      <c r="L686" s="24">
        <f t="shared" si="54"/>
        <v>0</v>
      </c>
    </row>
    <row r="687" spans="1:12" ht="15" customHeight="1" x14ac:dyDescent="0.3">
      <c r="A687" s="23" t="s">
        <v>13214</v>
      </c>
      <c r="B687" s="23" t="s">
        <v>79</v>
      </c>
      <c r="C687" s="39">
        <v>3798</v>
      </c>
      <c r="D687" s="24">
        <v>60.77</v>
      </c>
      <c r="E687" s="24">
        <v>10.94</v>
      </c>
      <c r="F687" s="23">
        <f>COUNTIFS(mdr_rate_cleaned!$A$2:$A$10,B687,mdr_rate_cleaned!$B$2:$B$10,"&lt;"&amp;C687,mdr_rate_cleaned!$F$2:$F$10,"&gt;="&amp;C687)</f>
        <v>1</v>
      </c>
      <c r="G687" s="40">
        <f>SUMIFS(mdr_rate_cleaned!$G$2:$G$10,mdr_rate_cleaned!$A$2:$A$10,B687,mdr_rate_cleaned!$B$2:$B$10,"&lt;"&amp;C687,mdr_rate_cleaned!$F$2:$F$10,"&gt;="&amp;C687)</f>
        <v>1.6E-2</v>
      </c>
      <c r="H687" s="24">
        <f t="shared" si="50"/>
        <v>60.77</v>
      </c>
      <c r="I687" s="23" t="str">
        <f t="shared" si="51"/>
        <v>Match</v>
      </c>
      <c r="J687" s="23" t="str">
        <f t="shared" si="52"/>
        <v>Match</v>
      </c>
      <c r="K687" s="24">
        <f t="shared" si="53"/>
        <v>10.94</v>
      </c>
      <c r="L687" s="24">
        <f t="shared" si="54"/>
        <v>0</v>
      </c>
    </row>
    <row r="688" spans="1:12" ht="15" customHeight="1" x14ac:dyDescent="0.3">
      <c r="A688" s="23" t="s">
        <v>13215</v>
      </c>
      <c r="B688" s="23" t="s">
        <v>79</v>
      </c>
      <c r="C688" s="39">
        <v>1499</v>
      </c>
      <c r="D688" s="24">
        <v>26.98</v>
      </c>
      <c r="E688" s="24">
        <v>4.8600000000000003</v>
      </c>
      <c r="F688" s="23">
        <f>COUNTIFS(mdr_rate_cleaned!$A$2:$A$10,B688,mdr_rate_cleaned!$B$2:$B$10,"&lt;"&amp;C688,mdr_rate_cleaned!$F$2:$F$10,"&gt;="&amp;C688)</f>
        <v>1</v>
      </c>
      <c r="G688" s="40">
        <f>SUMIFS(mdr_rate_cleaned!$G$2:$G$10,mdr_rate_cleaned!$A$2:$A$10,B688,mdr_rate_cleaned!$B$2:$B$10,"&lt;"&amp;C688,mdr_rate_cleaned!$F$2:$F$10,"&gt;="&amp;C688)</f>
        <v>1.8000000000000002E-2</v>
      </c>
      <c r="H688" s="24">
        <f t="shared" si="50"/>
        <v>26.98</v>
      </c>
      <c r="I688" s="23" t="str">
        <f t="shared" si="51"/>
        <v>Match</v>
      </c>
      <c r="J688" s="23" t="str">
        <f t="shared" si="52"/>
        <v>Match</v>
      </c>
      <c r="K688" s="24">
        <f t="shared" si="53"/>
        <v>4.8600000000000003</v>
      </c>
      <c r="L688" s="24">
        <f t="shared" si="54"/>
        <v>0</v>
      </c>
    </row>
    <row r="689" spans="1:12" ht="15" customHeight="1" x14ac:dyDescent="0.3">
      <c r="A689" s="23" t="s">
        <v>13216</v>
      </c>
      <c r="B689" s="23" t="s">
        <v>77</v>
      </c>
      <c r="C689" s="39">
        <v>15997</v>
      </c>
      <c r="D689" s="24">
        <v>271.95</v>
      </c>
      <c r="E689" s="24">
        <v>48.95</v>
      </c>
      <c r="F689" s="23">
        <f>COUNTIFS(mdr_rate_cleaned!$A$2:$A$10,B689,mdr_rate_cleaned!$B$2:$B$10,"&lt;"&amp;C689,mdr_rate_cleaned!$F$2:$F$10,"&gt;="&amp;C689)</f>
        <v>1</v>
      </c>
      <c r="G689" s="40">
        <f>SUMIFS(mdr_rate_cleaned!$G$2:$G$10,mdr_rate_cleaned!$A$2:$A$10,B689,mdr_rate_cleaned!$B$2:$B$10,"&lt;"&amp;C689,mdr_rate_cleaned!$F$2:$F$10,"&gt;="&amp;C689)</f>
        <v>1.7000000000000001E-2</v>
      </c>
      <c r="H689" s="24">
        <f t="shared" si="50"/>
        <v>271.95</v>
      </c>
      <c r="I689" s="23" t="str">
        <f t="shared" si="51"/>
        <v>Match</v>
      </c>
      <c r="J689" s="23" t="str">
        <f t="shared" si="52"/>
        <v>Match</v>
      </c>
      <c r="K689" s="24">
        <f t="shared" si="53"/>
        <v>48.95</v>
      </c>
      <c r="L689" s="24">
        <f t="shared" si="54"/>
        <v>0</v>
      </c>
    </row>
    <row r="690" spans="1:12" ht="15" customHeight="1" x14ac:dyDescent="0.3">
      <c r="A690" s="23" t="s">
        <v>13217</v>
      </c>
      <c r="B690" s="23" t="s">
        <v>75</v>
      </c>
      <c r="C690" s="39">
        <v>999</v>
      </c>
      <c r="D690" s="24">
        <v>0</v>
      </c>
      <c r="E690" s="24">
        <v>0</v>
      </c>
      <c r="F690" s="23">
        <f>COUNTIFS(mdr_rate_cleaned!$A$2:$A$10,B690,mdr_rate_cleaned!$B$2:$B$10,"&lt;"&amp;C690,mdr_rate_cleaned!$F$2:$F$10,"&gt;="&amp;C690)</f>
        <v>1</v>
      </c>
      <c r="G690" s="40">
        <f>SUMIFS(mdr_rate_cleaned!$G$2:$G$10,mdr_rate_cleaned!$A$2:$A$10,B690,mdr_rate_cleaned!$B$2:$B$10,"&lt;"&amp;C690,mdr_rate_cleaned!$F$2:$F$10,"&gt;="&amp;C690)</f>
        <v>0</v>
      </c>
      <c r="H690" s="24">
        <f t="shared" si="50"/>
        <v>0</v>
      </c>
      <c r="I690" s="23" t="str">
        <f t="shared" si="51"/>
        <v>Match</v>
      </c>
      <c r="J690" s="23" t="str">
        <f t="shared" si="52"/>
        <v>Match</v>
      </c>
      <c r="K690" s="24">
        <f t="shared" si="53"/>
        <v>0</v>
      </c>
      <c r="L690" s="24">
        <f t="shared" si="54"/>
        <v>0</v>
      </c>
    </row>
    <row r="691" spans="1:12" ht="15" customHeight="1" x14ac:dyDescent="0.3">
      <c r="A691" s="23" t="s">
        <v>13219</v>
      </c>
      <c r="B691" s="23" t="s">
        <v>77</v>
      </c>
      <c r="C691" s="39">
        <v>4397</v>
      </c>
      <c r="D691" s="24">
        <v>105.53</v>
      </c>
      <c r="E691" s="24">
        <v>19</v>
      </c>
      <c r="F691" s="23">
        <f>COUNTIFS(mdr_rate_cleaned!$A$2:$A$10,B691,mdr_rate_cleaned!$B$2:$B$10,"&lt;"&amp;C691,mdr_rate_cleaned!$F$2:$F$10,"&gt;="&amp;C691)</f>
        <v>1</v>
      </c>
      <c r="G691" s="40">
        <f>SUMIFS(mdr_rate_cleaned!$G$2:$G$10,mdr_rate_cleaned!$A$2:$A$10,B691,mdr_rate_cleaned!$B$2:$B$10,"&lt;"&amp;C691,mdr_rate_cleaned!$F$2:$F$10,"&gt;="&amp;C691)</f>
        <v>1.7000000000000001E-2</v>
      </c>
      <c r="H691" s="24">
        <f t="shared" si="50"/>
        <v>74.75</v>
      </c>
      <c r="I691" s="23" t="str">
        <f t="shared" si="51"/>
        <v>Differs</v>
      </c>
      <c r="J691" s="23" t="str">
        <f t="shared" si="52"/>
        <v>Match</v>
      </c>
      <c r="K691" s="24">
        <f t="shared" si="53"/>
        <v>13.46</v>
      </c>
      <c r="L691" s="24">
        <f t="shared" si="54"/>
        <v>36.32</v>
      </c>
    </row>
    <row r="692" spans="1:12" ht="15" customHeight="1" x14ac:dyDescent="0.3">
      <c r="A692" s="23" t="s">
        <v>13220</v>
      </c>
      <c r="B692" s="23" t="s">
        <v>75</v>
      </c>
      <c r="C692" s="39">
        <v>7999</v>
      </c>
      <c r="D692" s="24">
        <v>24</v>
      </c>
      <c r="E692" s="24">
        <v>4.32</v>
      </c>
      <c r="F692" s="23">
        <f>COUNTIFS(mdr_rate_cleaned!$A$2:$A$10,B692,mdr_rate_cleaned!$B$2:$B$10,"&lt;"&amp;C692,mdr_rate_cleaned!$F$2:$F$10,"&gt;="&amp;C692)</f>
        <v>1</v>
      </c>
      <c r="G692" s="40">
        <f>SUMIFS(mdr_rate_cleaned!$G$2:$G$10,mdr_rate_cleaned!$A$2:$A$10,B692,mdr_rate_cleaned!$B$2:$B$10,"&lt;"&amp;C692,mdr_rate_cleaned!$F$2:$F$10,"&gt;="&amp;C692)</f>
        <v>3.0000000000000001E-3</v>
      </c>
      <c r="H692" s="24">
        <f t="shared" si="50"/>
        <v>24</v>
      </c>
      <c r="I692" s="23" t="str">
        <f t="shared" si="51"/>
        <v>Match</v>
      </c>
      <c r="J692" s="23" t="str">
        <f t="shared" si="52"/>
        <v>Match</v>
      </c>
      <c r="K692" s="24">
        <f t="shared" si="53"/>
        <v>4.32</v>
      </c>
      <c r="L692" s="24">
        <f t="shared" si="54"/>
        <v>0</v>
      </c>
    </row>
    <row r="693" spans="1:12" ht="15" customHeight="1" x14ac:dyDescent="0.3">
      <c r="A693" s="23" t="s">
        <v>13221</v>
      </c>
      <c r="B693" s="23" t="s">
        <v>75</v>
      </c>
      <c r="C693" s="39">
        <v>6498</v>
      </c>
      <c r="D693" s="24">
        <v>19.489999999999998</v>
      </c>
      <c r="E693" s="24">
        <v>3.51</v>
      </c>
      <c r="F693" s="23">
        <f>COUNTIFS(mdr_rate_cleaned!$A$2:$A$10,B693,mdr_rate_cleaned!$B$2:$B$10,"&lt;"&amp;C693,mdr_rate_cleaned!$F$2:$F$10,"&gt;="&amp;C693)</f>
        <v>1</v>
      </c>
      <c r="G693" s="40">
        <f>SUMIFS(mdr_rate_cleaned!$G$2:$G$10,mdr_rate_cleaned!$A$2:$A$10,B693,mdr_rate_cleaned!$B$2:$B$10,"&lt;"&amp;C693,mdr_rate_cleaned!$F$2:$F$10,"&gt;="&amp;C693)</f>
        <v>3.0000000000000001E-3</v>
      </c>
      <c r="H693" s="24">
        <f t="shared" si="50"/>
        <v>19.489999999999998</v>
      </c>
      <c r="I693" s="23" t="str">
        <f t="shared" si="51"/>
        <v>Match</v>
      </c>
      <c r="J693" s="23" t="str">
        <f t="shared" si="52"/>
        <v>Match</v>
      </c>
      <c r="K693" s="24">
        <f t="shared" si="53"/>
        <v>3.51</v>
      </c>
      <c r="L693" s="24">
        <f t="shared" si="54"/>
        <v>0</v>
      </c>
    </row>
    <row r="694" spans="1:12" ht="15" customHeight="1" x14ac:dyDescent="0.3">
      <c r="A694" s="23" t="s">
        <v>13222</v>
      </c>
      <c r="B694" s="23" t="s">
        <v>75</v>
      </c>
      <c r="C694" s="39">
        <v>8298</v>
      </c>
      <c r="D694" s="24">
        <v>24.89</v>
      </c>
      <c r="E694" s="24">
        <v>4.4800000000000004</v>
      </c>
      <c r="F694" s="23">
        <f>COUNTIFS(mdr_rate_cleaned!$A$2:$A$10,B694,mdr_rate_cleaned!$B$2:$B$10,"&lt;"&amp;C694,mdr_rate_cleaned!$F$2:$F$10,"&gt;="&amp;C694)</f>
        <v>1</v>
      </c>
      <c r="G694" s="40">
        <f>SUMIFS(mdr_rate_cleaned!$G$2:$G$10,mdr_rate_cleaned!$A$2:$A$10,B694,mdr_rate_cleaned!$B$2:$B$10,"&lt;"&amp;C694,mdr_rate_cleaned!$F$2:$F$10,"&gt;="&amp;C694)</f>
        <v>3.0000000000000001E-3</v>
      </c>
      <c r="H694" s="24">
        <f t="shared" si="50"/>
        <v>24.89</v>
      </c>
      <c r="I694" s="23" t="str">
        <f t="shared" si="51"/>
        <v>Match</v>
      </c>
      <c r="J694" s="23" t="str">
        <f t="shared" si="52"/>
        <v>Match</v>
      </c>
      <c r="K694" s="24">
        <f t="shared" si="53"/>
        <v>4.4800000000000004</v>
      </c>
      <c r="L694" s="24">
        <f t="shared" si="54"/>
        <v>0</v>
      </c>
    </row>
    <row r="695" spans="1:12" ht="15" customHeight="1" x14ac:dyDescent="0.3">
      <c r="A695" s="23" t="s">
        <v>13223</v>
      </c>
      <c r="B695" s="23" t="s">
        <v>75</v>
      </c>
      <c r="C695" s="39">
        <v>1299</v>
      </c>
      <c r="D695" s="24">
        <v>0</v>
      </c>
      <c r="E695" s="24">
        <v>0</v>
      </c>
      <c r="F695" s="23">
        <f>COUNTIFS(mdr_rate_cleaned!$A$2:$A$10,B695,mdr_rate_cleaned!$B$2:$B$10,"&lt;"&amp;C695,mdr_rate_cleaned!$F$2:$F$10,"&gt;="&amp;C695)</f>
        <v>1</v>
      </c>
      <c r="G695" s="40">
        <f>SUMIFS(mdr_rate_cleaned!$G$2:$G$10,mdr_rate_cleaned!$A$2:$A$10,B695,mdr_rate_cleaned!$B$2:$B$10,"&lt;"&amp;C695,mdr_rate_cleaned!$F$2:$F$10,"&gt;="&amp;C695)</f>
        <v>0</v>
      </c>
      <c r="H695" s="24">
        <f t="shared" si="50"/>
        <v>0</v>
      </c>
      <c r="I695" s="23" t="str">
        <f t="shared" si="51"/>
        <v>Match</v>
      </c>
      <c r="J695" s="23" t="str">
        <f t="shared" si="52"/>
        <v>Match</v>
      </c>
      <c r="K695" s="24">
        <f t="shared" si="53"/>
        <v>0</v>
      </c>
      <c r="L695" s="24">
        <f t="shared" si="54"/>
        <v>0</v>
      </c>
    </row>
    <row r="696" spans="1:12" ht="15" customHeight="1" x14ac:dyDescent="0.3">
      <c r="A696" s="23" t="s">
        <v>13224</v>
      </c>
      <c r="B696" s="23" t="s">
        <v>81</v>
      </c>
      <c r="C696" s="39">
        <v>5348</v>
      </c>
      <c r="D696" s="24">
        <v>64.180000000000007</v>
      </c>
      <c r="E696" s="24">
        <v>11.55</v>
      </c>
      <c r="F696" s="23">
        <f>COUNTIFS(mdr_rate_cleaned!$A$2:$A$10,B696,mdr_rate_cleaned!$B$2:$B$10,"&lt;"&amp;C696,mdr_rate_cleaned!$F$2:$F$10,"&gt;="&amp;C696)</f>
        <v>1</v>
      </c>
      <c r="G696" s="40">
        <f>SUMIFS(mdr_rate_cleaned!$G$2:$G$10,mdr_rate_cleaned!$A$2:$A$10,B696,mdr_rate_cleaned!$B$2:$B$10,"&lt;"&amp;C696,mdr_rate_cleaned!$F$2:$F$10,"&gt;="&amp;C696)</f>
        <v>1.2E-2</v>
      </c>
      <c r="H696" s="24">
        <f t="shared" si="50"/>
        <v>64.180000000000007</v>
      </c>
      <c r="I696" s="23" t="str">
        <f t="shared" si="51"/>
        <v>Match</v>
      </c>
      <c r="J696" s="23" t="str">
        <f t="shared" si="52"/>
        <v>Match</v>
      </c>
      <c r="K696" s="24">
        <f t="shared" si="53"/>
        <v>11.55</v>
      </c>
      <c r="L696" s="24">
        <f t="shared" si="54"/>
        <v>0</v>
      </c>
    </row>
    <row r="697" spans="1:12" ht="15" customHeight="1" x14ac:dyDescent="0.3">
      <c r="A697" s="23" t="s">
        <v>13225</v>
      </c>
      <c r="B697" s="23" t="s">
        <v>79</v>
      </c>
      <c r="C697" s="39">
        <v>999</v>
      </c>
      <c r="D697" s="24">
        <v>17.98</v>
      </c>
      <c r="E697" s="24">
        <v>3.24</v>
      </c>
      <c r="F697" s="23">
        <f>COUNTIFS(mdr_rate_cleaned!$A$2:$A$10,B697,mdr_rate_cleaned!$B$2:$B$10,"&lt;"&amp;C697,mdr_rate_cleaned!$F$2:$F$10,"&gt;="&amp;C697)</f>
        <v>1</v>
      </c>
      <c r="G697" s="40">
        <f>SUMIFS(mdr_rate_cleaned!$G$2:$G$10,mdr_rate_cleaned!$A$2:$A$10,B697,mdr_rate_cleaned!$B$2:$B$10,"&lt;"&amp;C697,mdr_rate_cleaned!$F$2:$F$10,"&gt;="&amp;C697)</f>
        <v>1.8000000000000002E-2</v>
      </c>
      <c r="H697" s="24">
        <f t="shared" si="50"/>
        <v>17.98</v>
      </c>
      <c r="I697" s="23" t="str">
        <f t="shared" si="51"/>
        <v>Match</v>
      </c>
      <c r="J697" s="23" t="str">
        <f t="shared" si="52"/>
        <v>Match</v>
      </c>
      <c r="K697" s="24">
        <f t="shared" si="53"/>
        <v>3.24</v>
      </c>
      <c r="L697" s="24">
        <f t="shared" si="54"/>
        <v>0</v>
      </c>
    </row>
    <row r="698" spans="1:12" ht="15" customHeight="1" x14ac:dyDescent="0.3">
      <c r="A698" s="23" t="s">
        <v>13226</v>
      </c>
      <c r="B698" s="23" t="s">
        <v>75</v>
      </c>
      <c r="C698" s="39">
        <v>599</v>
      </c>
      <c r="D698" s="24">
        <v>0</v>
      </c>
      <c r="E698" s="24">
        <v>0</v>
      </c>
      <c r="F698" s="23">
        <f>COUNTIFS(mdr_rate_cleaned!$A$2:$A$10,B698,mdr_rate_cleaned!$B$2:$B$10,"&lt;"&amp;C698,mdr_rate_cleaned!$F$2:$F$10,"&gt;="&amp;C698)</f>
        <v>1</v>
      </c>
      <c r="G698" s="40">
        <f>SUMIFS(mdr_rate_cleaned!$G$2:$G$10,mdr_rate_cleaned!$A$2:$A$10,B698,mdr_rate_cleaned!$B$2:$B$10,"&lt;"&amp;C698,mdr_rate_cleaned!$F$2:$F$10,"&gt;="&amp;C698)</f>
        <v>0</v>
      </c>
      <c r="H698" s="24">
        <f t="shared" si="50"/>
        <v>0</v>
      </c>
      <c r="I698" s="23" t="str">
        <f t="shared" si="51"/>
        <v>Match</v>
      </c>
      <c r="J698" s="23" t="str">
        <f t="shared" si="52"/>
        <v>Match</v>
      </c>
      <c r="K698" s="24">
        <f t="shared" si="53"/>
        <v>0</v>
      </c>
      <c r="L698" s="24">
        <f t="shared" si="54"/>
        <v>0</v>
      </c>
    </row>
    <row r="699" spans="1:12" ht="15" customHeight="1" x14ac:dyDescent="0.3">
      <c r="A699" s="23" t="s">
        <v>13227</v>
      </c>
      <c r="B699" s="23" t="s">
        <v>79</v>
      </c>
      <c r="C699" s="39">
        <v>349</v>
      </c>
      <c r="D699" s="24">
        <v>6.28</v>
      </c>
      <c r="E699" s="24">
        <v>1.1299999999999999</v>
      </c>
      <c r="F699" s="23">
        <f>COUNTIFS(mdr_rate_cleaned!$A$2:$A$10,B699,mdr_rate_cleaned!$B$2:$B$10,"&lt;"&amp;C699,mdr_rate_cleaned!$F$2:$F$10,"&gt;="&amp;C699)</f>
        <v>1</v>
      </c>
      <c r="G699" s="40">
        <f>SUMIFS(mdr_rate_cleaned!$G$2:$G$10,mdr_rate_cleaned!$A$2:$A$10,B699,mdr_rate_cleaned!$B$2:$B$10,"&lt;"&amp;C699,mdr_rate_cleaned!$F$2:$F$10,"&gt;="&amp;C699)</f>
        <v>1.8000000000000002E-2</v>
      </c>
      <c r="H699" s="24">
        <f t="shared" si="50"/>
        <v>6.28</v>
      </c>
      <c r="I699" s="23" t="str">
        <f t="shared" si="51"/>
        <v>Match</v>
      </c>
      <c r="J699" s="23" t="str">
        <f t="shared" si="52"/>
        <v>Match</v>
      </c>
      <c r="K699" s="24">
        <f t="shared" si="53"/>
        <v>1.1299999999999999</v>
      </c>
      <c r="L699" s="24">
        <f t="shared" si="54"/>
        <v>0</v>
      </c>
    </row>
    <row r="700" spans="1:12" ht="15" customHeight="1" x14ac:dyDescent="0.3">
      <c r="A700" s="23" t="s">
        <v>13228</v>
      </c>
      <c r="B700" s="23" t="s">
        <v>79</v>
      </c>
      <c r="C700" s="39">
        <v>599</v>
      </c>
      <c r="D700" s="24">
        <v>10.78</v>
      </c>
      <c r="E700" s="24">
        <v>1.94</v>
      </c>
      <c r="F700" s="23">
        <f>COUNTIFS(mdr_rate_cleaned!$A$2:$A$10,B700,mdr_rate_cleaned!$B$2:$B$10,"&lt;"&amp;C700,mdr_rate_cleaned!$F$2:$F$10,"&gt;="&amp;C700)</f>
        <v>1</v>
      </c>
      <c r="G700" s="40">
        <f>SUMIFS(mdr_rate_cleaned!$G$2:$G$10,mdr_rate_cleaned!$A$2:$A$10,B700,mdr_rate_cleaned!$B$2:$B$10,"&lt;"&amp;C700,mdr_rate_cleaned!$F$2:$F$10,"&gt;="&amp;C700)</f>
        <v>1.8000000000000002E-2</v>
      </c>
      <c r="H700" s="24">
        <f t="shared" si="50"/>
        <v>10.78</v>
      </c>
      <c r="I700" s="23" t="str">
        <f t="shared" si="51"/>
        <v>Match</v>
      </c>
      <c r="J700" s="23" t="str">
        <f t="shared" si="52"/>
        <v>Match</v>
      </c>
      <c r="K700" s="24">
        <f t="shared" si="53"/>
        <v>1.94</v>
      </c>
      <c r="L700" s="24">
        <f t="shared" si="54"/>
        <v>0</v>
      </c>
    </row>
    <row r="701" spans="1:12" ht="15" customHeight="1" x14ac:dyDescent="0.3">
      <c r="A701" s="23" t="s">
        <v>13229</v>
      </c>
      <c r="B701" s="23" t="s">
        <v>75</v>
      </c>
      <c r="C701" s="39">
        <v>1299</v>
      </c>
      <c r="D701" s="24">
        <v>0</v>
      </c>
      <c r="E701" s="24">
        <v>0</v>
      </c>
      <c r="F701" s="23">
        <f>COUNTIFS(mdr_rate_cleaned!$A$2:$A$10,B701,mdr_rate_cleaned!$B$2:$B$10,"&lt;"&amp;C701,mdr_rate_cleaned!$F$2:$F$10,"&gt;="&amp;C701)</f>
        <v>1</v>
      </c>
      <c r="G701" s="40">
        <f>SUMIFS(mdr_rate_cleaned!$G$2:$G$10,mdr_rate_cleaned!$A$2:$A$10,B701,mdr_rate_cleaned!$B$2:$B$10,"&lt;"&amp;C701,mdr_rate_cleaned!$F$2:$F$10,"&gt;="&amp;C701)</f>
        <v>0</v>
      </c>
      <c r="H701" s="24">
        <f t="shared" si="50"/>
        <v>0</v>
      </c>
      <c r="I701" s="23" t="str">
        <f t="shared" si="51"/>
        <v>Match</v>
      </c>
      <c r="J701" s="23" t="str">
        <f t="shared" si="52"/>
        <v>Match</v>
      </c>
      <c r="K701" s="24">
        <f t="shared" si="53"/>
        <v>0</v>
      </c>
      <c r="L701" s="24">
        <f t="shared" si="54"/>
        <v>0</v>
      </c>
    </row>
    <row r="702" spans="1:12" ht="15" customHeight="1" x14ac:dyDescent="0.3">
      <c r="A702" s="23" t="s">
        <v>13231</v>
      </c>
      <c r="B702" s="23" t="s">
        <v>75</v>
      </c>
      <c r="C702" s="39">
        <v>1799</v>
      </c>
      <c r="D702" s="24">
        <v>0</v>
      </c>
      <c r="E702" s="24">
        <v>0</v>
      </c>
      <c r="F702" s="23">
        <f>COUNTIFS(mdr_rate_cleaned!$A$2:$A$10,B702,mdr_rate_cleaned!$B$2:$B$10,"&lt;"&amp;C702,mdr_rate_cleaned!$F$2:$F$10,"&gt;="&amp;C702)</f>
        <v>1</v>
      </c>
      <c r="G702" s="40">
        <f>SUMIFS(mdr_rate_cleaned!$G$2:$G$10,mdr_rate_cleaned!$A$2:$A$10,B702,mdr_rate_cleaned!$B$2:$B$10,"&lt;"&amp;C702,mdr_rate_cleaned!$F$2:$F$10,"&gt;="&amp;C702)</f>
        <v>0</v>
      </c>
      <c r="H702" s="24">
        <f t="shared" si="50"/>
        <v>0</v>
      </c>
      <c r="I702" s="23" t="str">
        <f t="shared" si="51"/>
        <v>Match</v>
      </c>
      <c r="J702" s="23" t="str">
        <f t="shared" si="52"/>
        <v>Match</v>
      </c>
      <c r="K702" s="24">
        <f t="shared" si="53"/>
        <v>0</v>
      </c>
      <c r="L702" s="24">
        <f t="shared" si="54"/>
        <v>0</v>
      </c>
    </row>
    <row r="703" spans="1:12" ht="15" customHeight="1" x14ac:dyDescent="0.3">
      <c r="A703" s="23" t="s">
        <v>13232</v>
      </c>
      <c r="B703" s="23" t="s">
        <v>75</v>
      </c>
      <c r="C703" s="39">
        <v>2998</v>
      </c>
      <c r="D703" s="24">
        <v>8.99</v>
      </c>
      <c r="E703" s="24">
        <v>1.62</v>
      </c>
      <c r="F703" s="23">
        <f>COUNTIFS(mdr_rate_cleaned!$A$2:$A$10,B703,mdr_rate_cleaned!$B$2:$B$10,"&lt;"&amp;C703,mdr_rate_cleaned!$F$2:$F$10,"&gt;="&amp;C703)</f>
        <v>1</v>
      </c>
      <c r="G703" s="40">
        <f>SUMIFS(mdr_rate_cleaned!$G$2:$G$10,mdr_rate_cleaned!$A$2:$A$10,B703,mdr_rate_cleaned!$B$2:$B$10,"&lt;"&amp;C703,mdr_rate_cleaned!$F$2:$F$10,"&gt;="&amp;C703)</f>
        <v>3.0000000000000001E-3</v>
      </c>
      <c r="H703" s="24">
        <f t="shared" si="50"/>
        <v>8.99</v>
      </c>
      <c r="I703" s="23" t="str">
        <f t="shared" si="51"/>
        <v>Match</v>
      </c>
      <c r="J703" s="23" t="str">
        <f t="shared" si="52"/>
        <v>Match</v>
      </c>
      <c r="K703" s="24">
        <f t="shared" si="53"/>
        <v>1.62</v>
      </c>
      <c r="L703" s="24">
        <f t="shared" si="54"/>
        <v>0</v>
      </c>
    </row>
    <row r="704" spans="1:12" ht="15" customHeight="1" x14ac:dyDescent="0.3">
      <c r="A704" s="23" t="s">
        <v>13233</v>
      </c>
      <c r="B704" s="23" t="s">
        <v>79</v>
      </c>
      <c r="C704" s="39">
        <v>1247</v>
      </c>
      <c r="D704" s="24">
        <v>22.45</v>
      </c>
      <c r="E704" s="24">
        <v>4.04</v>
      </c>
      <c r="F704" s="23">
        <f>COUNTIFS(mdr_rate_cleaned!$A$2:$A$10,B704,mdr_rate_cleaned!$B$2:$B$10,"&lt;"&amp;C704,mdr_rate_cleaned!$F$2:$F$10,"&gt;="&amp;C704)</f>
        <v>1</v>
      </c>
      <c r="G704" s="40">
        <f>SUMIFS(mdr_rate_cleaned!$G$2:$G$10,mdr_rate_cleaned!$A$2:$A$10,B704,mdr_rate_cleaned!$B$2:$B$10,"&lt;"&amp;C704,mdr_rate_cleaned!$F$2:$F$10,"&gt;="&amp;C704)</f>
        <v>1.8000000000000002E-2</v>
      </c>
      <c r="H704" s="24">
        <f t="shared" si="50"/>
        <v>22.45</v>
      </c>
      <c r="I704" s="23" t="str">
        <f t="shared" si="51"/>
        <v>Match</v>
      </c>
      <c r="J704" s="23" t="str">
        <f t="shared" si="52"/>
        <v>Match</v>
      </c>
      <c r="K704" s="24">
        <f t="shared" si="53"/>
        <v>4.04</v>
      </c>
      <c r="L704" s="24">
        <f t="shared" si="54"/>
        <v>0</v>
      </c>
    </row>
    <row r="705" spans="1:12" ht="15" customHeight="1" x14ac:dyDescent="0.3">
      <c r="A705" s="23" t="s">
        <v>13234</v>
      </c>
      <c r="B705" s="23" t="s">
        <v>79</v>
      </c>
      <c r="C705" s="39">
        <v>3499</v>
      </c>
      <c r="D705" s="24">
        <v>55.98</v>
      </c>
      <c r="E705" s="24">
        <v>10.08</v>
      </c>
      <c r="F705" s="23">
        <f>COUNTIFS(mdr_rate_cleaned!$A$2:$A$10,B705,mdr_rate_cleaned!$B$2:$B$10,"&lt;"&amp;C705,mdr_rate_cleaned!$F$2:$F$10,"&gt;="&amp;C705)</f>
        <v>1</v>
      </c>
      <c r="G705" s="40">
        <f>SUMIFS(mdr_rate_cleaned!$G$2:$G$10,mdr_rate_cleaned!$A$2:$A$10,B705,mdr_rate_cleaned!$B$2:$B$10,"&lt;"&amp;C705,mdr_rate_cleaned!$F$2:$F$10,"&gt;="&amp;C705)</f>
        <v>1.6E-2</v>
      </c>
      <c r="H705" s="24">
        <f t="shared" si="50"/>
        <v>55.98</v>
      </c>
      <c r="I705" s="23" t="str">
        <f t="shared" si="51"/>
        <v>Match</v>
      </c>
      <c r="J705" s="23" t="str">
        <f t="shared" si="52"/>
        <v>Match</v>
      </c>
      <c r="K705" s="24">
        <f t="shared" si="53"/>
        <v>10.08</v>
      </c>
      <c r="L705" s="24">
        <f t="shared" si="54"/>
        <v>0</v>
      </c>
    </row>
    <row r="706" spans="1:12" ht="15" customHeight="1" x14ac:dyDescent="0.3">
      <c r="A706" s="23" t="s">
        <v>13235</v>
      </c>
      <c r="B706" s="23" t="s">
        <v>81</v>
      </c>
      <c r="C706" s="39">
        <v>7999</v>
      </c>
      <c r="D706" s="24">
        <v>95.99</v>
      </c>
      <c r="E706" s="24">
        <v>17.28</v>
      </c>
      <c r="F706" s="23">
        <f>COUNTIFS(mdr_rate_cleaned!$A$2:$A$10,B706,mdr_rate_cleaned!$B$2:$B$10,"&lt;"&amp;C706,mdr_rate_cleaned!$F$2:$F$10,"&gt;="&amp;C706)</f>
        <v>1</v>
      </c>
      <c r="G706" s="40">
        <f>SUMIFS(mdr_rate_cleaned!$G$2:$G$10,mdr_rate_cleaned!$A$2:$A$10,B706,mdr_rate_cleaned!$B$2:$B$10,"&lt;"&amp;C706,mdr_rate_cleaned!$F$2:$F$10,"&gt;="&amp;C706)</f>
        <v>1.2E-2</v>
      </c>
      <c r="H706" s="24">
        <f t="shared" ref="H706:H769" si="55">ROUND(C706*G706,2)</f>
        <v>95.99</v>
      </c>
      <c r="I706" s="23" t="str">
        <f t="shared" ref="I706:I769" si="56">IF(ROUND(D706-H706,2)=0,"Match","Differs")</f>
        <v>Match</v>
      </c>
      <c r="J706" s="23" t="str">
        <f t="shared" ref="J706:J769" si="57">IF(ROUND(E706-ROUND(D706*0.18,2),2)=0,"Match","Differs")</f>
        <v>Match</v>
      </c>
      <c r="K706" s="24">
        <f t="shared" ref="K706:K769" si="58">ROUND(H706*0.18,2)</f>
        <v>17.28</v>
      </c>
      <c r="L706" s="24">
        <f t="shared" ref="L706:L769" si="59">ROUND(D706+E706-H706-K706,2)</f>
        <v>0</v>
      </c>
    </row>
    <row r="707" spans="1:12" ht="15" customHeight="1" x14ac:dyDescent="0.3">
      <c r="A707" s="23" t="s">
        <v>13237</v>
      </c>
      <c r="B707" s="23" t="s">
        <v>75</v>
      </c>
      <c r="C707" s="39">
        <v>1799</v>
      </c>
      <c r="D707" s="24">
        <v>0</v>
      </c>
      <c r="E707" s="24">
        <v>0</v>
      </c>
      <c r="F707" s="23">
        <f>COUNTIFS(mdr_rate_cleaned!$A$2:$A$10,B707,mdr_rate_cleaned!$B$2:$B$10,"&lt;"&amp;C707,mdr_rate_cleaned!$F$2:$F$10,"&gt;="&amp;C707)</f>
        <v>1</v>
      </c>
      <c r="G707" s="40">
        <f>SUMIFS(mdr_rate_cleaned!$G$2:$G$10,mdr_rate_cleaned!$A$2:$A$10,B707,mdr_rate_cleaned!$B$2:$B$10,"&lt;"&amp;C707,mdr_rate_cleaned!$F$2:$F$10,"&gt;="&amp;C707)</f>
        <v>0</v>
      </c>
      <c r="H707" s="24">
        <f t="shared" si="55"/>
        <v>0</v>
      </c>
      <c r="I707" s="23" t="str">
        <f t="shared" si="56"/>
        <v>Match</v>
      </c>
      <c r="J707" s="23" t="str">
        <f t="shared" si="57"/>
        <v>Match</v>
      </c>
      <c r="K707" s="24">
        <f t="shared" si="58"/>
        <v>0</v>
      </c>
      <c r="L707" s="24">
        <f t="shared" si="59"/>
        <v>0</v>
      </c>
    </row>
    <row r="708" spans="1:12" ht="15" customHeight="1" x14ac:dyDescent="0.3">
      <c r="A708" s="23" t="s">
        <v>13238</v>
      </c>
      <c r="B708" s="23" t="s">
        <v>75</v>
      </c>
      <c r="C708" s="39">
        <v>2499</v>
      </c>
      <c r="D708" s="24">
        <v>7.5</v>
      </c>
      <c r="E708" s="24">
        <v>1.35</v>
      </c>
      <c r="F708" s="23">
        <f>COUNTIFS(mdr_rate_cleaned!$A$2:$A$10,B708,mdr_rate_cleaned!$B$2:$B$10,"&lt;"&amp;C708,mdr_rate_cleaned!$F$2:$F$10,"&gt;="&amp;C708)</f>
        <v>1</v>
      </c>
      <c r="G708" s="40">
        <f>SUMIFS(mdr_rate_cleaned!$G$2:$G$10,mdr_rate_cleaned!$A$2:$A$10,B708,mdr_rate_cleaned!$B$2:$B$10,"&lt;"&amp;C708,mdr_rate_cleaned!$F$2:$F$10,"&gt;="&amp;C708)</f>
        <v>3.0000000000000001E-3</v>
      </c>
      <c r="H708" s="24">
        <f t="shared" si="55"/>
        <v>7.5</v>
      </c>
      <c r="I708" s="23" t="str">
        <f t="shared" si="56"/>
        <v>Match</v>
      </c>
      <c r="J708" s="23" t="str">
        <f t="shared" si="57"/>
        <v>Match</v>
      </c>
      <c r="K708" s="24">
        <f t="shared" si="58"/>
        <v>1.35</v>
      </c>
      <c r="L708" s="24">
        <f t="shared" si="59"/>
        <v>0</v>
      </c>
    </row>
    <row r="709" spans="1:12" ht="15" customHeight="1" x14ac:dyDescent="0.3">
      <c r="A709" s="23" t="s">
        <v>13239</v>
      </c>
      <c r="B709" s="23" t="s">
        <v>79</v>
      </c>
      <c r="C709" s="39">
        <v>1299</v>
      </c>
      <c r="D709" s="24">
        <v>23.38</v>
      </c>
      <c r="E709" s="24">
        <v>4.21</v>
      </c>
      <c r="F709" s="23">
        <f>COUNTIFS(mdr_rate_cleaned!$A$2:$A$10,B709,mdr_rate_cleaned!$B$2:$B$10,"&lt;"&amp;C709,mdr_rate_cleaned!$F$2:$F$10,"&gt;="&amp;C709)</f>
        <v>1</v>
      </c>
      <c r="G709" s="40">
        <f>SUMIFS(mdr_rate_cleaned!$G$2:$G$10,mdr_rate_cleaned!$A$2:$A$10,B709,mdr_rate_cleaned!$B$2:$B$10,"&lt;"&amp;C709,mdr_rate_cleaned!$F$2:$F$10,"&gt;="&amp;C709)</f>
        <v>1.8000000000000002E-2</v>
      </c>
      <c r="H709" s="24">
        <f t="shared" si="55"/>
        <v>23.38</v>
      </c>
      <c r="I709" s="23" t="str">
        <f t="shared" si="56"/>
        <v>Match</v>
      </c>
      <c r="J709" s="23" t="str">
        <f t="shared" si="57"/>
        <v>Match</v>
      </c>
      <c r="K709" s="24">
        <f t="shared" si="58"/>
        <v>4.21</v>
      </c>
      <c r="L709" s="24">
        <f t="shared" si="59"/>
        <v>0</v>
      </c>
    </row>
    <row r="710" spans="1:12" ht="15" customHeight="1" x14ac:dyDescent="0.3">
      <c r="A710" s="23" t="s">
        <v>13240</v>
      </c>
      <c r="B710" s="23" t="s">
        <v>75</v>
      </c>
      <c r="C710" s="39">
        <v>948</v>
      </c>
      <c r="D710" s="24">
        <v>0</v>
      </c>
      <c r="E710" s="24">
        <v>0</v>
      </c>
      <c r="F710" s="23">
        <f>COUNTIFS(mdr_rate_cleaned!$A$2:$A$10,B710,mdr_rate_cleaned!$B$2:$B$10,"&lt;"&amp;C710,mdr_rate_cleaned!$F$2:$F$10,"&gt;="&amp;C710)</f>
        <v>1</v>
      </c>
      <c r="G710" s="40">
        <f>SUMIFS(mdr_rate_cleaned!$G$2:$G$10,mdr_rate_cleaned!$A$2:$A$10,B710,mdr_rate_cleaned!$B$2:$B$10,"&lt;"&amp;C710,mdr_rate_cleaned!$F$2:$F$10,"&gt;="&amp;C710)</f>
        <v>0</v>
      </c>
      <c r="H710" s="24">
        <f t="shared" si="55"/>
        <v>0</v>
      </c>
      <c r="I710" s="23" t="str">
        <f t="shared" si="56"/>
        <v>Match</v>
      </c>
      <c r="J710" s="23" t="str">
        <f t="shared" si="57"/>
        <v>Match</v>
      </c>
      <c r="K710" s="24">
        <f t="shared" si="58"/>
        <v>0</v>
      </c>
      <c r="L710" s="24">
        <f t="shared" si="59"/>
        <v>0</v>
      </c>
    </row>
    <row r="711" spans="1:12" ht="15" customHeight="1" x14ac:dyDescent="0.3">
      <c r="A711" s="23" t="s">
        <v>13242</v>
      </c>
      <c r="B711" s="23" t="s">
        <v>79</v>
      </c>
      <c r="C711" s="39">
        <v>349</v>
      </c>
      <c r="D711" s="24">
        <v>6.28</v>
      </c>
      <c r="E711" s="24">
        <v>1.1299999999999999</v>
      </c>
      <c r="F711" s="23">
        <f>COUNTIFS(mdr_rate_cleaned!$A$2:$A$10,B711,mdr_rate_cleaned!$B$2:$B$10,"&lt;"&amp;C711,mdr_rate_cleaned!$F$2:$F$10,"&gt;="&amp;C711)</f>
        <v>1</v>
      </c>
      <c r="G711" s="40">
        <f>SUMIFS(mdr_rate_cleaned!$G$2:$G$10,mdr_rate_cleaned!$A$2:$A$10,B711,mdr_rate_cleaned!$B$2:$B$10,"&lt;"&amp;C711,mdr_rate_cleaned!$F$2:$F$10,"&gt;="&amp;C711)</f>
        <v>1.8000000000000002E-2</v>
      </c>
      <c r="H711" s="24">
        <f t="shared" si="55"/>
        <v>6.28</v>
      </c>
      <c r="I711" s="23" t="str">
        <f t="shared" si="56"/>
        <v>Match</v>
      </c>
      <c r="J711" s="23" t="str">
        <f t="shared" si="57"/>
        <v>Match</v>
      </c>
      <c r="K711" s="24">
        <f t="shared" si="58"/>
        <v>1.1299999999999999</v>
      </c>
      <c r="L711" s="24">
        <f t="shared" si="59"/>
        <v>0</v>
      </c>
    </row>
    <row r="712" spans="1:12" ht="15" customHeight="1" x14ac:dyDescent="0.3">
      <c r="A712" s="23" t="s">
        <v>13243</v>
      </c>
      <c r="B712" s="23" t="s">
        <v>75</v>
      </c>
      <c r="C712" s="39">
        <v>349</v>
      </c>
      <c r="D712" s="24">
        <v>0</v>
      </c>
      <c r="E712" s="24">
        <v>0</v>
      </c>
      <c r="F712" s="23">
        <f>COUNTIFS(mdr_rate_cleaned!$A$2:$A$10,B712,mdr_rate_cleaned!$B$2:$B$10,"&lt;"&amp;C712,mdr_rate_cleaned!$F$2:$F$10,"&gt;="&amp;C712)</f>
        <v>1</v>
      </c>
      <c r="G712" s="40">
        <f>SUMIFS(mdr_rate_cleaned!$G$2:$G$10,mdr_rate_cleaned!$A$2:$A$10,B712,mdr_rate_cleaned!$B$2:$B$10,"&lt;"&amp;C712,mdr_rate_cleaned!$F$2:$F$10,"&gt;="&amp;C712)</f>
        <v>0</v>
      </c>
      <c r="H712" s="24">
        <f t="shared" si="55"/>
        <v>0</v>
      </c>
      <c r="I712" s="23" t="str">
        <f t="shared" si="56"/>
        <v>Match</v>
      </c>
      <c r="J712" s="23" t="str">
        <f t="shared" si="57"/>
        <v>Match</v>
      </c>
      <c r="K712" s="24">
        <f t="shared" si="58"/>
        <v>0</v>
      </c>
      <c r="L712" s="24">
        <f t="shared" si="59"/>
        <v>0</v>
      </c>
    </row>
    <row r="713" spans="1:12" ht="15" customHeight="1" x14ac:dyDescent="0.3">
      <c r="A713" s="23" t="s">
        <v>13244</v>
      </c>
      <c r="B713" s="23" t="s">
        <v>75</v>
      </c>
      <c r="C713" s="39">
        <v>349</v>
      </c>
      <c r="D713" s="24">
        <v>0</v>
      </c>
      <c r="E713" s="24">
        <v>0</v>
      </c>
      <c r="F713" s="23">
        <f>COUNTIFS(mdr_rate_cleaned!$A$2:$A$10,B713,mdr_rate_cleaned!$B$2:$B$10,"&lt;"&amp;C713,mdr_rate_cleaned!$F$2:$F$10,"&gt;="&amp;C713)</f>
        <v>1</v>
      </c>
      <c r="G713" s="40">
        <f>SUMIFS(mdr_rate_cleaned!$G$2:$G$10,mdr_rate_cleaned!$A$2:$A$10,B713,mdr_rate_cleaned!$B$2:$B$10,"&lt;"&amp;C713,mdr_rate_cleaned!$F$2:$F$10,"&gt;="&amp;C713)</f>
        <v>0</v>
      </c>
      <c r="H713" s="24">
        <f t="shared" si="55"/>
        <v>0</v>
      </c>
      <c r="I713" s="23" t="str">
        <f t="shared" si="56"/>
        <v>Match</v>
      </c>
      <c r="J713" s="23" t="str">
        <f t="shared" si="57"/>
        <v>Match</v>
      </c>
      <c r="K713" s="24">
        <f t="shared" si="58"/>
        <v>0</v>
      </c>
      <c r="L713" s="24">
        <f t="shared" si="59"/>
        <v>0</v>
      </c>
    </row>
    <row r="714" spans="1:12" ht="15" customHeight="1" x14ac:dyDescent="0.3">
      <c r="A714" s="23" t="s">
        <v>13247</v>
      </c>
      <c r="B714" s="23" t="s">
        <v>75</v>
      </c>
      <c r="C714" s="39">
        <v>3598</v>
      </c>
      <c r="D714" s="24">
        <v>10.79</v>
      </c>
      <c r="E714" s="24">
        <v>1.94</v>
      </c>
      <c r="F714" s="23">
        <f>COUNTIFS(mdr_rate_cleaned!$A$2:$A$10,B714,mdr_rate_cleaned!$B$2:$B$10,"&lt;"&amp;C714,mdr_rate_cleaned!$F$2:$F$10,"&gt;="&amp;C714)</f>
        <v>1</v>
      </c>
      <c r="G714" s="40">
        <f>SUMIFS(mdr_rate_cleaned!$G$2:$G$10,mdr_rate_cleaned!$A$2:$A$10,B714,mdr_rate_cleaned!$B$2:$B$10,"&lt;"&amp;C714,mdr_rate_cleaned!$F$2:$F$10,"&gt;="&amp;C714)</f>
        <v>3.0000000000000001E-3</v>
      </c>
      <c r="H714" s="24">
        <f t="shared" si="55"/>
        <v>10.79</v>
      </c>
      <c r="I714" s="23" t="str">
        <f t="shared" si="56"/>
        <v>Match</v>
      </c>
      <c r="J714" s="23" t="str">
        <f t="shared" si="57"/>
        <v>Match</v>
      </c>
      <c r="K714" s="24">
        <f t="shared" si="58"/>
        <v>1.94</v>
      </c>
      <c r="L714" s="24">
        <f t="shared" si="59"/>
        <v>0</v>
      </c>
    </row>
    <row r="715" spans="1:12" ht="15" customHeight="1" x14ac:dyDescent="0.3">
      <c r="A715" s="23" t="s">
        <v>13248</v>
      </c>
      <c r="B715" s="23" t="s">
        <v>81</v>
      </c>
      <c r="C715" s="39">
        <v>1798</v>
      </c>
      <c r="D715" s="24">
        <v>26.97</v>
      </c>
      <c r="E715" s="24">
        <v>4.8499999999999996</v>
      </c>
      <c r="F715" s="23">
        <f>COUNTIFS(mdr_rate_cleaned!$A$2:$A$10,B715,mdr_rate_cleaned!$B$2:$B$10,"&lt;"&amp;C715,mdr_rate_cleaned!$F$2:$F$10,"&gt;="&amp;C715)</f>
        <v>1</v>
      </c>
      <c r="G715" s="40">
        <f>SUMIFS(mdr_rate_cleaned!$G$2:$G$10,mdr_rate_cleaned!$A$2:$A$10,B715,mdr_rate_cleaned!$B$2:$B$10,"&lt;"&amp;C715,mdr_rate_cleaned!$F$2:$F$10,"&gt;="&amp;C715)</f>
        <v>1.4999999999999999E-2</v>
      </c>
      <c r="H715" s="24">
        <f t="shared" si="55"/>
        <v>26.97</v>
      </c>
      <c r="I715" s="23" t="str">
        <f t="shared" si="56"/>
        <v>Match</v>
      </c>
      <c r="J715" s="23" t="str">
        <f t="shared" si="57"/>
        <v>Match</v>
      </c>
      <c r="K715" s="24">
        <f t="shared" si="58"/>
        <v>4.8499999999999996</v>
      </c>
      <c r="L715" s="24">
        <f t="shared" si="59"/>
        <v>0</v>
      </c>
    </row>
    <row r="716" spans="1:12" ht="15" customHeight="1" x14ac:dyDescent="0.3">
      <c r="A716" s="23" t="s">
        <v>13249</v>
      </c>
      <c r="B716" s="23" t="s">
        <v>79</v>
      </c>
      <c r="C716" s="39">
        <v>5097</v>
      </c>
      <c r="D716" s="24">
        <v>81.55</v>
      </c>
      <c r="E716" s="24">
        <v>14.68</v>
      </c>
      <c r="F716" s="23">
        <f>COUNTIFS(mdr_rate_cleaned!$A$2:$A$10,B716,mdr_rate_cleaned!$B$2:$B$10,"&lt;"&amp;C716,mdr_rate_cleaned!$F$2:$F$10,"&gt;="&amp;C716)</f>
        <v>1</v>
      </c>
      <c r="G716" s="40">
        <f>SUMIFS(mdr_rate_cleaned!$G$2:$G$10,mdr_rate_cleaned!$A$2:$A$10,B716,mdr_rate_cleaned!$B$2:$B$10,"&lt;"&amp;C716,mdr_rate_cleaned!$F$2:$F$10,"&gt;="&amp;C716)</f>
        <v>1.6E-2</v>
      </c>
      <c r="H716" s="24">
        <f t="shared" si="55"/>
        <v>81.55</v>
      </c>
      <c r="I716" s="23" t="str">
        <f t="shared" si="56"/>
        <v>Match</v>
      </c>
      <c r="J716" s="23" t="str">
        <f t="shared" si="57"/>
        <v>Match</v>
      </c>
      <c r="K716" s="24">
        <f t="shared" si="58"/>
        <v>14.68</v>
      </c>
      <c r="L716" s="24">
        <f t="shared" si="59"/>
        <v>0</v>
      </c>
    </row>
    <row r="717" spans="1:12" ht="15" customHeight="1" x14ac:dyDescent="0.3">
      <c r="A717" s="23" t="s">
        <v>13250</v>
      </c>
      <c r="B717" s="23" t="s">
        <v>77</v>
      </c>
      <c r="C717" s="39">
        <v>2999</v>
      </c>
      <c r="D717" s="24">
        <v>50.98</v>
      </c>
      <c r="E717" s="24">
        <v>9.18</v>
      </c>
      <c r="F717" s="23">
        <f>COUNTIFS(mdr_rate_cleaned!$A$2:$A$10,B717,mdr_rate_cleaned!$B$2:$B$10,"&lt;"&amp;C717,mdr_rate_cleaned!$F$2:$F$10,"&gt;="&amp;C717)</f>
        <v>1</v>
      </c>
      <c r="G717" s="40">
        <f>SUMIFS(mdr_rate_cleaned!$G$2:$G$10,mdr_rate_cleaned!$A$2:$A$10,B717,mdr_rate_cleaned!$B$2:$B$10,"&lt;"&amp;C717,mdr_rate_cleaned!$F$2:$F$10,"&gt;="&amp;C717)</f>
        <v>1.7000000000000001E-2</v>
      </c>
      <c r="H717" s="24">
        <f t="shared" si="55"/>
        <v>50.98</v>
      </c>
      <c r="I717" s="23" t="str">
        <f t="shared" si="56"/>
        <v>Match</v>
      </c>
      <c r="J717" s="23" t="str">
        <f t="shared" si="57"/>
        <v>Match</v>
      </c>
      <c r="K717" s="24">
        <f t="shared" si="58"/>
        <v>9.18</v>
      </c>
      <c r="L717" s="24">
        <f t="shared" si="59"/>
        <v>0</v>
      </c>
    </row>
    <row r="718" spans="1:12" ht="15" customHeight="1" x14ac:dyDescent="0.3">
      <c r="A718" s="23" t="s">
        <v>13252</v>
      </c>
      <c r="B718" s="23" t="s">
        <v>79</v>
      </c>
      <c r="C718" s="39">
        <v>5998</v>
      </c>
      <c r="D718" s="24">
        <v>95.97</v>
      </c>
      <c r="E718" s="24">
        <v>17.27</v>
      </c>
      <c r="F718" s="23">
        <f>COUNTIFS(mdr_rate_cleaned!$A$2:$A$10,B718,mdr_rate_cleaned!$B$2:$B$10,"&lt;"&amp;C718,mdr_rate_cleaned!$F$2:$F$10,"&gt;="&amp;C718)</f>
        <v>1</v>
      </c>
      <c r="G718" s="40">
        <f>SUMIFS(mdr_rate_cleaned!$G$2:$G$10,mdr_rate_cleaned!$A$2:$A$10,B718,mdr_rate_cleaned!$B$2:$B$10,"&lt;"&amp;C718,mdr_rate_cleaned!$F$2:$F$10,"&gt;="&amp;C718)</f>
        <v>1.6E-2</v>
      </c>
      <c r="H718" s="24">
        <f t="shared" si="55"/>
        <v>95.97</v>
      </c>
      <c r="I718" s="23" t="str">
        <f t="shared" si="56"/>
        <v>Match</v>
      </c>
      <c r="J718" s="23" t="str">
        <f t="shared" si="57"/>
        <v>Match</v>
      </c>
      <c r="K718" s="24">
        <f t="shared" si="58"/>
        <v>17.27</v>
      </c>
      <c r="L718" s="24">
        <f t="shared" si="59"/>
        <v>0</v>
      </c>
    </row>
    <row r="719" spans="1:12" ht="15" customHeight="1" x14ac:dyDescent="0.3">
      <c r="A719" s="23" t="s">
        <v>13253</v>
      </c>
      <c r="B719" s="23" t="s">
        <v>75</v>
      </c>
      <c r="C719" s="39">
        <v>9347</v>
      </c>
      <c r="D719" s="24">
        <v>28.04</v>
      </c>
      <c r="E719" s="24">
        <v>5.05</v>
      </c>
      <c r="F719" s="23">
        <f>COUNTIFS(mdr_rate_cleaned!$A$2:$A$10,B719,mdr_rate_cleaned!$B$2:$B$10,"&lt;"&amp;C719,mdr_rate_cleaned!$F$2:$F$10,"&gt;="&amp;C719)</f>
        <v>1</v>
      </c>
      <c r="G719" s="40">
        <f>SUMIFS(mdr_rate_cleaned!$G$2:$G$10,mdr_rate_cleaned!$A$2:$A$10,B719,mdr_rate_cleaned!$B$2:$B$10,"&lt;"&amp;C719,mdr_rate_cleaned!$F$2:$F$10,"&gt;="&amp;C719)</f>
        <v>3.0000000000000001E-3</v>
      </c>
      <c r="H719" s="24">
        <f t="shared" si="55"/>
        <v>28.04</v>
      </c>
      <c r="I719" s="23" t="str">
        <f t="shared" si="56"/>
        <v>Match</v>
      </c>
      <c r="J719" s="23" t="str">
        <f t="shared" si="57"/>
        <v>Match</v>
      </c>
      <c r="K719" s="24">
        <f t="shared" si="58"/>
        <v>5.05</v>
      </c>
      <c r="L719" s="24">
        <f t="shared" si="59"/>
        <v>0</v>
      </c>
    </row>
    <row r="720" spans="1:12" ht="15" customHeight="1" x14ac:dyDescent="0.3">
      <c r="A720" s="23" t="s">
        <v>13254</v>
      </c>
      <c r="B720" s="23" t="s">
        <v>79</v>
      </c>
      <c r="C720" s="39">
        <v>2197</v>
      </c>
      <c r="D720" s="24">
        <v>35.15</v>
      </c>
      <c r="E720" s="24">
        <v>6.33</v>
      </c>
      <c r="F720" s="23">
        <f>COUNTIFS(mdr_rate_cleaned!$A$2:$A$10,B720,mdr_rate_cleaned!$B$2:$B$10,"&lt;"&amp;C720,mdr_rate_cleaned!$F$2:$F$10,"&gt;="&amp;C720)</f>
        <v>1</v>
      </c>
      <c r="G720" s="40">
        <f>SUMIFS(mdr_rate_cleaned!$G$2:$G$10,mdr_rate_cleaned!$A$2:$A$10,B720,mdr_rate_cleaned!$B$2:$B$10,"&lt;"&amp;C720,mdr_rate_cleaned!$F$2:$F$10,"&gt;="&amp;C720)</f>
        <v>1.6E-2</v>
      </c>
      <c r="H720" s="24">
        <f t="shared" si="55"/>
        <v>35.15</v>
      </c>
      <c r="I720" s="23" t="str">
        <f t="shared" si="56"/>
        <v>Match</v>
      </c>
      <c r="J720" s="23" t="str">
        <f t="shared" si="57"/>
        <v>Match</v>
      </c>
      <c r="K720" s="24">
        <f t="shared" si="58"/>
        <v>6.33</v>
      </c>
      <c r="L720" s="24">
        <f t="shared" si="59"/>
        <v>0</v>
      </c>
    </row>
    <row r="721" spans="1:12" ht="15" customHeight="1" x14ac:dyDescent="0.3">
      <c r="A721" s="23" t="s">
        <v>13255</v>
      </c>
      <c r="B721" s="23" t="s">
        <v>75</v>
      </c>
      <c r="C721" s="39">
        <v>2999</v>
      </c>
      <c r="D721" s="24">
        <v>9</v>
      </c>
      <c r="E721" s="24">
        <v>1.62</v>
      </c>
      <c r="F721" s="23">
        <f>COUNTIFS(mdr_rate_cleaned!$A$2:$A$10,B721,mdr_rate_cleaned!$B$2:$B$10,"&lt;"&amp;C721,mdr_rate_cleaned!$F$2:$F$10,"&gt;="&amp;C721)</f>
        <v>1</v>
      </c>
      <c r="G721" s="40">
        <f>SUMIFS(mdr_rate_cleaned!$G$2:$G$10,mdr_rate_cleaned!$A$2:$A$10,B721,mdr_rate_cleaned!$B$2:$B$10,"&lt;"&amp;C721,mdr_rate_cleaned!$F$2:$F$10,"&gt;="&amp;C721)</f>
        <v>3.0000000000000001E-3</v>
      </c>
      <c r="H721" s="24">
        <f t="shared" si="55"/>
        <v>9</v>
      </c>
      <c r="I721" s="23" t="str">
        <f t="shared" si="56"/>
        <v>Match</v>
      </c>
      <c r="J721" s="23" t="str">
        <f t="shared" si="57"/>
        <v>Match</v>
      </c>
      <c r="K721" s="24">
        <f t="shared" si="58"/>
        <v>1.62</v>
      </c>
      <c r="L721" s="24">
        <f t="shared" si="59"/>
        <v>0</v>
      </c>
    </row>
    <row r="722" spans="1:12" ht="15" customHeight="1" x14ac:dyDescent="0.3">
      <c r="A722" s="23" t="s">
        <v>13256</v>
      </c>
      <c r="B722" s="23" t="s">
        <v>77</v>
      </c>
      <c r="C722" s="39">
        <v>8598</v>
      </c>
      <c r="D722" s="24">
        <v>146.16999999999999</v>
      </c>
      <c r="E722" s="24">
        <v>26.31</v>
      </c>
      <c r="F722" s="23">
        <f>COUNTIFS(mdr_rate_cleaned!$A$2:$A$10,B722,mdr_rate_cleaned!$B$2:$B$10,"&lt;"&amp;C722,mdr_rate_cleaned!$F$2:$F$10,"&gt;="&amp;C722)</f>
        <v>1</v>
      </c>
      <c r="G722" s="40">
        <f>SUMIFS(mdr_rate_cleaned!$G$2:$G$10,mdr_rate_cleaned!$A$2:$A$10,B722,mdr_rate_cleaned!$B$2:$B$10,"&lt;"&amp;C722,mdr_rate_cleaned!$F$2:$F$10,"&gt;="&amp;C722)</f>
        <v>1.7000000000000001E-2</v>
      </c>
      <c r="H722" s="24">
        <f t="shared" si="55"/>
        <v>146.16999999999999</v>
      </c>
      <c r="I722" s="23" t="str">
        <f t="shared" si="56"/>
        <v>Match</v>
      </c>
      <c r="J722" s="23" t="str">
        <f t="shared" si="57"/>
        <v>Match</v>
      </c>
      <c r="K722" s="24">
        <f t="shared" si="58"/>
        <v>26.31</v>
      </c>
      <c r="L722" s="24">
        <f t="shared" si="59"/>
        <v>0</v>
      </c>
    </row>
    <row r="723" spans="1:12" ht="15" customHeight="1" x14ac:dyDescent="0.3">
      <c r="A723" s="23" t="s">
        <v>13257</v>
      </c>
      <c r="B723" s="23" t="s">
        <v>75</v>
      </c>
      <c r="C723" s="39">
        <v>999</v>
      </c>
      <c r="D723" s="24">
        <v>0</v>
      </c>
      <c r="E723" s="24">
        <v>0</v>
      </c>
      <c r="F723" s="23">
        <f>COUNTIFS(mdr_rate_cleaned!$A$2:$A$10,B723,mdr_rate_cleaned!$B$2:$B$10,"&lt;"&amp;C723,mdr_rate_cleaned!$F$2:$F$10,"&gt;="&amp;C723)</f>
        <v>1</v>
      </c>
      <c r="G723" s="40">
        <f>SUMIFS(mdr_rate_cleaned!$G$2:$G$10,mdr_rate_cleaned!$A$2:$A$10,B723,mdr_rate_cleaned!$B$2:$B$10,"&lt;"&amp;C723,mdr_rate_cleaned!$F$2:$F$10,"&gt;="&amp;C723)</f>
        <v>0</v>
      </c>
      <c r="H723" s="24">
        <f t="shared" si="55"/>
        <v>0</v>
      </c>
      <c r="I723" s="23" t="str">
        <f t="shared" si="56"/>
        <v>Match</v>
      </c>
      <c r="J723" s="23" t="str">
        <f t="shared" si="57"/>
        <v>Match</v>
      </c>
      <c r="K723" s="24">
        <f t="shared" si="58"/>
        <v>0</v>
      </c>
      <c r="L723" s="24">
        <f t="shared" si="59"/>
        <v>0</v>
      </c>
    </row>
    <row r="724" spans="1:12" ht="15" customHeight="1" x14ac:dyDescent="0.3">
      <c r="A724" s="23" t="s">
        <v>13258</v>
      </c>
      <c r="B724" s="23" t="s">
        <v>79</v>
      </c>
      <c r="C724" s="39">
        <v>998</v>
      </c>
      <c r="D724" s="24">
        <v>17.96</v>
      </c>
      <c r="E724" s="24">
        <v>3.23</v>
      </c>
      <c r="F724" s="23">
        <f>COUNTIFS(mdr_rate_cleaned!$A$2:$A$10,B724,mdr_rate_cleaned!$B$2:$B$10,"&lt;"&amp;C724,mdr_rate_cleaned!$F$2:$F$10,"&gt;="&amp;C724)</f>
        <v>1</v>
      </c>
      <c r="G724" s="40">
        <f>SUMIFS(mdr_rate_cleaned!$G$2:$G$10,mdr_rate_cleaned!$A$2:$A$10,B724,mdr_rate_cleaned!$B$2:$B$10,"&lt;"&amp;C724,mdr_rate_cleaned!$F$2:$F$10,"&gt;="&amp;C724)</f>
        <v>1.8000000000000002E-2</v>
      </c>
      <c r="H724" s="24">
        <f t="shared" si="55"/>
        <v>17.96</v>
      </c>
      <c r="I724" s="23" t="str">
        <f t="shared" si="56"/>
        <v>Match</v>
      </c>
      <c r="J724" s="23" t="str">
        <f t="shared" si="57"/>
        <v>Match</v>
      </c>
      <c r="K724" s="24">
        <f t="shared" si="58"/>
        <v>3.23</v>
      </c>
      <c r="L724" s="24">
        <f t="shared" si="59"/>
        <v>0</v>
      </c>
    </row>
    <row r="725" spans="1:12" ht="15" customHeight="1" x14ac:dyDescent="0.3">
      <c r="A725" s="23" t="s">
        <v>13259</v>
      </c>
      <c r="B725" s="23" t="s">
        <v>75</v>
      </c>
      <c r="C725" s="39">
        <v>7999</v>
      </c>
      <c r="D725" s="24">
        <v>24</v>
      </c>
      <c r="E725" s="24">
        <v>4.32</v>
      </c>
      <c r="F725" s="23">
        <f>COUNTIFS(mdr_rate_cleaned!$A$2:$A$10,B725,mdr_rate_cleaned!$B$2:$B$10,"&lt;"&amp;C725,mdr_rate_cleaned!$F$2:$F$10,"&gt;="&amp;C725)</f>
        <v>1</v>
      </c>
      <c r="G725" s="40">
        <f>SUMIFS(mdr_rate_cleaned!$G$2:$G$10,mdr_rate_cleaned!$A$2:$A$10,B725,mdr_rate_cleaned!$B$2:$B$10,"&lt;"&amp;C725,mdr_rate_cleaned!$F$2:$F$10,"&gt;="&amp;C725)</f>
        <v>3.0000000000000001E-3</v>
      </c>
      <c r="H725" s="24">
        <f t="shared" si="55"/>
        <v>24</v>
      </c>
      <c r="I725" s="23" t="str">
        <f t="shared" si="56"/>
        <v>Match</v>
      </c>
      <c r="J725" s="23" t="str">
        <f t="shared" si="57"/>
        <v>Match</v>
      </c>
      <c r="K725" s="24">
        <f t="shared" si="58"/>
        <v>4.32</v>
      </c>
      <c r="L725" s="24">
        <f t="shared" si="59"/>
        <v>0</v>
      </c>
    </row>
    <row r="726" spans="1:12" ht="15" customHeight="1" x14ac:dyDescent="0.3">
      <c r="A726" s="23" t="s">
        <v>13260</v>
      </c>
      <c r="B726" s="23" t="s">
        <v>75</v>
      </c>
      <c r="C726" s="39">
        <v>11797</v>
      </c>
      <c r="D726" s="24">
        <v>35.39</v>
      </c>
      <c r="E726" s="24">
        <v>6.37</v>
      </c>
      <c r="F726" s="23">
        <f>COUNTIFS(mdr_rate_cleaned!$A$2:$A$10,B726,mdr_rate_cleaned!$B$2:$B$10,"&lt;"&amp;C726,mdr_rate_cleaned!$F$2:$F$10,"&gt;="&amp;C726)</f>
        <v>1</v>
      </c>
      <c r="G726" s="40">
        <f>SUMIFS(mdr_rate_cleaned!$G$2:$G$10,mdr_rate_cleaned!$A$2:$A$10,B726,mdr_rate_cleaned!$B$2:$B$10,"&lt;"&amp;C726,mdr_rate_cleaned!$F$2:$F$10,"&gt;="&amp;C726)</f>
        <v>3.0000000000000001E-3</v>
      </c>
      <c r="H726" s="24">
        <f t="shared" si="55"/>
        <v>35.39</v>
      </c>
      <c r="I726" s="23" t="str">
        <f t="shared" si="56"/>
        <v>Match</v>
      </c>
      <c r="J726" s="23" t="str">
        <f t="shared" si="57"/>
        <v>Match</v>
      </c>
      <c r="K726" s="24">
        <f t="shared" si="58"/>
        <v>6.37</v>
      </c>
      <c r="L726" s="24">
        <f t="shared" si="59"/>
        <v>0</v>
      </c>
    </row>
    <row r="727" spans="1:12" ht="15" customHeight="1" x14ac:dyDescent="0.3">
      <c r="A727" s="23" t="s">
        <v>13261</v>
      </c>
      <c r="B727" s="23" t="s">
        <v>75</v>
      </c>
      <c r="C727" s="39">
        <v>3499</v>
      </c>
      <c r="D727" s="24">
        <v>10.5</v>
      </c>
      <c r="E727" s="24">
        <v>1.89</v>
      </c>
      <c r="F727" s="23">
        <f>COUNTIFS(mdr_rate_cleaned!$A$2:$A$10,B727,mdr_rate_cleaned!$B$2:$B$10,"&lt;"&amp;C727,mdr_rate_cleaned!$F$2:$F$10,"&gt;="&amp;C727)</f>
        <v>1</v>
      </c>
      <c r="G727" s="40">
        <f>SUMIFS(mdr_rate_cleaned!$G$2:$G$10,mdr_rate_cleaned!$A$2:$A$10,B727,mdr_rate_cleaned!$B$2:$B$10,"&lt;"&amp;C727,mdr_rate_cleaned!$F$2:$F$10,"&gt;="&amp;C727)</f>
        <v>3.0000000000000001E-3</v>
      </c>
      <c r="H727" s="24">
        <f t="shared" si="55"/>
        <v>10.5</v>
      </c>
      <c r="I727" s="23" t="str">
        <f t="shared" si="56"/>
        <v>Match</v>
      </c>
      <c r="J727" s="23" t="str">
        <f t="shared" si="57"/>
        <v>Match</v>
      </c>
      <c r="K727" s="24">
        <f t="shared" si="58"/>
        <v>1.89</v>
      </c>
      <c r="L727" s="24">
        <f t="shared" si="59"/>
        <v>0</v>
      </c>
    </row>
    <row r="728" spans="1:12" ht="15" customHeight="1" x14ac:dyDescent="0.3">
      <c r="A728" s="23" t="s">
        <v>13262</v>
      </c>
      <c r="B728" s="23" t="s">
        <v>77</v>
      </c>
      <c r="C728" s="39">
        <v>2499</v>
      </c>
      <c r="D728" s="24">
        <v>42.48</v>
      </c>
      <c r="E728" s="24">
        <v>7.65</v>
      </c>
      <c r="F728" s="23">
        <f>COUNTIFS(mdr_rate_cleaned!$A$2:$A$10,B728,mdr_rate_cleaned!$B$2:$B$10,"&lt;"&amp;C728,mdr_rate_cleaned!$F$2:$F$10,"&gt;="&amp;C728)</f>
        <v>1</v>
      </c>
      <c r="G728" s="40">
        <f>SUMIFS(mdr_rate_cleaned!$G$2:$G$10,mdr_rate_cleaned!$A$2:$A$10,B728,mdr_rate_cleaned!$B$2:$B$10,"&lt;"&amp;C728,mdr_rate_cleaned!$F$2:$F$10,"&gt;="&amp;C728)</f>
        <v>1.7000000000000001E-2</v>
      </c>
      <c r="H728" s="24">
        <f t="shared" si="55"/>
        <v>42.48</v>
      </c>
      <c r="I728" s="23" t="str">
        <f t="shared" si="56"/>
        <v>Match</v>
      </c>
      <c r="J728" s="23" t="str">
        <f t="shared" si="57"/>
        <v>Match</v>
      </c>
      <c r="K728" s="24">
        <f t="shared" si="58"/>
        <v>7.65</v>
      </c>
      <c r="L728" s="24">
        <f t="shared" si="59"/>
        <v>0</v>
      </c>
    </row>
    <row r="729" spans="1:12" ht="15" customHeight="1" x14ac:dyDescent="0.3">
      <c r="A729" s="23" t="s">
        <v>13263</v>
      </c>
      <c r="B729" s="23" t="s">
        <v>79</v>
      </c>
      <c r="C729" s="39">
        <v>12998</v>
      </c>
      <c r="D729" s="24">
        <v>207.97</v>
      </c>
      <c r="E729" s="24">
        <v>37.43</v>
      </c>
      <c r="F729" s="23">
        <f>COUNTIFS(mdr_rate_cleaned!$A$2:$A$10,B729,mdr_rate_cleaned!$B$2:$B$10,"&lt;"&amp;C729,mdr_rate_cleaned!$F$2:$F$10,"&gt;="&amp;C729)</f>
        <v>1</v>
      </c>
      <c r="G729" s="40">
        <f>SUMIFS(mdr_rate_cleaned!$G$2:$G$10,mdr_rate_cleaned!$A$2:$A$10,B729,mdr_rate_cleaned!$B$2:$B$10,"&lt;"&amp;C729,mdr_rate_cleaned!$F$2:$F$10,"&gt;="&amp;C729)</f>
        <v>1.6E-2</v>
      </c>
      <c r="H729" s="24">
        <f t="shared" si="55"/>
        <v>207.97</v>
      </c>
      <c r="I729" s="23" t="str">
        <f t="shared" si="56"/>
        <v>Match</v>
      </c>
      <c r="J729" s="23" t="str">
        <f t="shared" si="57"/>
        <v>Match</v>
      </c>
      <c r="K729" s="24">
        <f t="shared" si="58"/>
        <v>37.43</v>
      </c>
      <c r="L729" s="24">
        <f t="shared" si="59"/>
        <v>0</v>
      </c>
    </row>
    <row r="730" spans="1:12" ht="15" customHeight="1" x14ac:dyDescent="0.3">
      <c r="A730" s="23" t="s">
        <v>13264</v>
      </c>
      <c r="B730" s="23" t="s">
        <v>75</v>
      </c>
      <c r="C730" s="39">
        <v>1799</v>
      </c>
      <c r="D730" s="24">
        <v>0</v>
      </c>
      <c r="E730" s="24">
        <v>0</v>
      </c>
      <c r="F730" s="23">
        <f>COUNTIFS(mdr_rate_cleaned!$A$2:$A$10,B730,mdr_rate_cleaned!$B$2:$B$10,"&lt;"&amp;C730,mdr_rate_cleaned!$F$2:$F$10,"&gt;="&amp;C730)</f>
        <v>1</v>
      </c>
      <c r="G730" s="40">
        <f>SUMIFS(mdr_rate_cleaned!$G$2:$G$10,mdr_rate_cleaned!$A$2:$A$10,B730,mdr_rate_cleaned!$B$2:$B$10,"&lt;"&amp;C730,mdr_rate_cleaned!$F$2:$F$10,"&gt;="&amp;C730)</f>
        <v>0</v>
      </c>
      <c r="H730" s="24">
        <f t="shared" si="55"/>
        <v>0</v>
      </c>
      <c r="I730" s="23" t="str">
        <f t="shared" si="56"/>
        <v>Match</v>
      </c>
      <c r="J730" s="23" t="str">
        <f t="shared" si="57"/>
        <v>Match</v>
      </c>
      <c r="K730" s="24">
        <f t="shared" si="58"/>
        <v>0</v>
      </c>
      <c r="L730" s="24">
        <f t="shared" si="59"/>
        <v>0</v>
      </c>
    </row>
    <row r="731" spans="1:12" ht="15" customHeight="1" x14ac:dyDescent="0.3">
      <c r="A731" s="23" t="s">
        <v>13265</v>
      </c>
      <c r="B731" s="23" t="s">
        <v>75</v>
      </c>
      <c r="C731" s="39">
        <v>6997</v>
      </c>
      <c r="D731" s="24">
        <v>20.99</v>
      </c>
      <c r="E731" s="24">
        <v>3.78</v>
      </c>
      <c r="F731" s="23">
        <f>COUNTIFS(mdr_rate_cleaned!$A$2:$A$10,B731,mdr_rate_cleaned!$B$2:$B$10,"&lt;"&amp;C731,mdr_rate_cleaned!$F$2:$F$10,"&gt;="&amp;C731)</f>
        <v>1</v>
      </c>
      <c r="G731" s="40">
        <f>SUMIFS(mdr_rate_cleaned!$G$2:$G$10,mdr_rate_cleaned!$A$2:$A$10,B731,mdr_rate_cleaned!$B$2:$B$10,"&lt;"&amp;C731,mdr_rate_cleaned!$F$2:$F$10,"&gt;="&amp;C731)</f>
        <v>3.0000000000000001E-3</v>
      </c>
      <c r="H731" s="24">
        <f t="shared" si="55"/>
        <v>20.99</v>
      </c>
      <c r="I731" s="23" t="str">
        <f t="shared" si="56"/>
        <v>Match</v>
      </c>
      <c r="J731" s="23" t="str">
        <f t="shared" si="57"/>
        <v>Match</v>
      </c>
      <c r="K731" s="24">
        <f t="shared" si="58"/>
        <v>3.78</v>
      </c>
      <c r="L731" s="24">
        <f t="shared" si="59"/>
        <v>0</v>
      </c>
    </row>
    <row r="732" spans="1:12" ht="15" customHeight="1" x14ac:dyDescent="0.3">
      <c r="A732" s="23" t="s">
        <v>13266</v>
      </c>
      <c r="B732" s="23" t="s">
        <v>75</v>
      </c>
      <c r="C732" s="39">
        <v>1499</v>
      </c>
      <c r="D732" s="24">
        <v>0</v>
      </c>
      <c r="E732" s="24">
        <v>0</v>
      </c>
      <c r="F732" s="23">
        <f>COUNTIFS(mdr_rate_cleaned!$A$2:$A$10,B732,mdr_rate_cleaned!$B$2:$B$10,"&lt;"&amp;C732,mdr_rate_cleaned!$F$2:$F$10,"&gt;="&amp;C732)</f>
        <v>1</v>
      </c>
      <c r="G732" s="40">
        <f>SUMIFS(mdr_rate_cleaned!$G$2:$G$10,mdr_rate_cleaned!$A$2:$A$10,B732,mdr_rate_cleaned!$B$2:$B$10,"&lt;"&amp;C732,mdr_rate_cleaned!$F$2:$F$10,"&gt;="&amp;C732)</f>
        <v>0</v>
      </c>
      <c r="H732" s="24">
        <f t="shared" si="55"/>
        <v>0</v>
      </c>
      <c r="I732" s="23" t="str">
        <f t="shared" si="56"/>
        <v>Match</v>
      </c>
      <c r="J732" s="23" t="str">
        <f t="shared" si="57"/>
        <v>Match</v>
      </c>
      <c r="K732" s="24">
        <f t="shared" si="58"/>
        <v>0</v>
      </c>
      <c r="L732" s="24">
        <f t="shared" si="59"/>
        <v>0</v>
      </c>
    </row>
    <row r="733" spans="1:12" ht="15" customHeight="1" x14ac:dyDescent="0.3">
      <c r="A733" s="23" t="s">
        <v>13268</v>
      </c>
      <c r="B733" s="23" t="s">
        <v>75</v>
      </c>
      <c r="C733" s="39">
        <v>349</v>
      </c>
      <c r="D733" s="24">
        <v>0</v>
      </c>
      <c r="E733" s="24">
        <v>0</v>
      </c>
      <c r="F733" s="23">
        <f>COUNTIFS(mdr_rate_cleaned!$A$2:$A$10,B733,mdr_rate_cleaned!$B$2:$B$10,"&lt;"&amp;C733,mdr_rate_cleaned!$F$2:$F$10,"&gt;="&amp;C733)</f>
        <v>1</v>
      </c>
      <c r="G733" s="40">
        <f>SUMIFS(mdr_rate_cleaned!$G$2:$G$10,mdr_rate_cleaned!$A$2:$A$10,B733,mdr_rate_cleaned!$B$2:$B$10,"&lt;"&amp;C733,mdr_rate_cleaned!$F$2:$F$10,"&gt;="&amp;C733)</f>
        <v>0</v>
      </c>
      <c r="H733" s="24">
        <f t="shared" si="55"/>
        <v>0</v>
      </c>
      <c r="I733" s="23" t="str">
        <f t="shared" si="56"/>
        <v>Match</v>
      </c>
      <c r="J733" s="23" t="str">
        <f t="shared" si="57"/>
        <v>Match</v>
      </c>
      <c r="K733" s="24">
        <f t="shared" si="58"/>
        <v>0</v>
      </c>
      <c r="L733" s="24">
        <f t="shared" si="59"/>
        <v>0</v>
      </c>
    </row>
    <row r="734" spans="1:12" ht="15" customHeight="1" x14ac:dyDescent="0.3">
      <c r="A734" s="23" t="s">
        <v>13269</v>
      </c>
      <c r="B734" s="23" t="s">
        <v>75</v>
      </c>
      <c r="C734" s="39">
        <v>349</v>
      </c>
      <c r="D734" s="24">
        <v>0</v>
      </c>
      <c r="E734" s="24">
        <v>0</v>
      </c>
      <c r="F734" s="23">
        <f>COUNTIFS(mdr_rate_cleaned!$A$2:$A$10,B734,mdr_rate_cleaned!$B$2:$B$10,"&lt;"&amp;C734,mdr_rate_cleaned!$F$2:$F$10,"&gt;="&amp;C734)</f>
        <v>1</v>
      </c>
      <c r="G734" s="40">
        <f>SUMIFS(mdr_rate_cleaned!$G$2:$G$10,mdr_rate_cleaned!$A$2:$A$10,B734,mdr_rate_cleaned!$B$2:$B$10,"&lt;"&amp;C734,mdr_rate_cleaned!$F$2:$F$10,"&gt;="&amp;C734)</f>
        <v>0</v>
      </c>
      <c r="H734" s="24">
        <f t="shared" si="55"/>
        <v>0</v>
      </c>
      <c r="I734" s="23" t="str">
        <f t="shared" si="56"/>
        <v>Match</v>
      </c>
      <c r="J734" s="23" t="str">
        <f t="shared" si="57"/>
        <v>Match</v>
      </c>
      <c r="K734" s="24">
        <f t="shared" si="58"/>
        <v>0</v>
      </c>
      <c r="L734" s="24">
        <f t="shared" si="59"/>
        <v>0</v>
      </c>
    </row>
    <row r="735" spans="1:12" ht="15" customHeight="1" x14ac:dyDescent="0.3">
      <c r="A735" s="23" t="s">
        <v>13270</v>
      </c>
      <c r="B735" s="23" t="s">
        <v>75</v>
      </c>
      <c r="C735" s="39">
        <v>499</v>
      </c>
      <c r="D735" s="24">
        <v>0</v>
      </c>
      <c r="E735" s="24">
        <v>0</v>
      </c>
      <c r="F735" s="23">
        <f>COUNTIFS(mdr_rate_cleaned!$A$2:$A$10,B735,mdr_rate_cleaned!$B$2:$B$10,"&lt;"&amp;C735,mdr_rate_cleaned!$F$2:$F$10,"&gt;="&amp;C735)</f>
        <v>1</v>
      </c>
      <c r="G735" s="40">
        <f>SUMIFS(mdr_rate_cleaned!$G$2:$G$10,mdr_rate_cleaned!$A$2:$A$10,B735,mdr_rate_cleaned!$B$2:$B$10,"&lt;"&amp;C735,mdr_rate_cleaned!$F$2:$F$10,"&gt;="&amp;C735)</f>
        <v>0</v>
      </c>
      <c r="H735" s="24">
        <f t="shared" si="55"/>
        <v>0</v>
      </c>
      <c r="I735" s="23" t="str">
        <f t="shared" si="56"/>
        <v>Match</v>
      </c>
      <c r="J735" s="23" t="str">
        <f t="shared" si="57"/>
        <v>Match</v>
      </c>
      <c r="K735" s="24">
        <f t="shared" si="58"/>
        <v>0</v>
      </c>
      <c r="L735" s="24">
        <f t="shared" si="59"/>
        <v>0</v>
      </c>
    </row>
    <row r="736" spans="1:12" ht="15" customHeight="1" x14ac:dyDescent="0.3">
      <c r="A736" s="23" t="s">
        <v>13271</v>
      </c>
      <c r="B736" s="23" t="s">
        <v>75</v>
      </c>
      <c r="C736" s="39">
        <v>8348</v>
      </c>
      <c r="D736" s="24">
        <v>25.04</v>
      </c>
      <c r="E736" s="24">
        <v>4.51</v>
      </c>
      <c r="F736" s="23">
        <f>COUNTIFS(mdr_rate_cleaned!$A$2:$A$10,B736,mdr_rate_cleaned!$B$2:$B$10,"&lt;"&amp;C736,mdr_rate_cleaned!$F$2:$F$10,"&gt;="&amp;C736)</f>
        <v>1</v>
      </c>
      <c r="G736" s="40">
        <f>SUMIFS(mdr_rate_cleaned!$G$2:$G$10,mdr_rate_cleaned!$A$2:$A$10,B736,mdr_rate_cleaned!$B$2:$B$10,"&lt;"&amp;C736,mdr_rate_cleaned!$F$2:$F$10,"&gt;="&amp;C736)</f>
        <v>3.0000000000000001E-3</v>
      </c>
      <c r="H736" s="24">
        <f t="shared" si="55"/>
        <v>25.04</v>
      </c>
      <c r="I736" s="23" t="str">
        <f t="shared" si="56"/>
        <v>Match</v>
      </c>
      <c r="J736" s="23" t="str">
        <f t="shared" si="57"/>
        <v>Match</v>
      </c>
      <c r="K736" s="24">
        <f t="shared" si="58"/>
        <v>4.51</v>
      </c>
      <c r="L736" s="24">
        <f t="shared" si="59"/>
        <v>0</v>
      </c>
    </row>
    <row r="737" spans="1:12" ht="15" customHeight="1" x14ac:dyDescent="0.3">
      <c r="A737" s="23" t="s">
        <v>13273</v>
      </c>
      <c r="B737" s="23" t="s">
        <v>75</v>
      </c>
      <c r="C737" s="39">
        <v>2798</v>
      </c>
      <c r="D737" s="24">
        <v>8.39</v>
      </c>
      <c r="E737" s="24">
        <v>1.51</v>
      </c>
      <c r="F737" s="23">
        <f>COUNTIFS(mdr_rate_cleaned!$A$2:$A$10,B737,mdr_rate_cleaned!$B$2:$B$10,"&lt;"&amp;C737,mdr_rate_cleaned!$F$2:$F$10,"&gt;="&amp;C737)</f>
        <v>1</v>
      </c>
      <c r="G737" s="40">
        <f>SUMIFS(mdr_rate_cleaned!$G$2:$G$10,mdr_rate_cleaned!$A$2:$A$10,B737,mdr_rate_cleaned!$B$2:$B$10,"&lt;"&amp;C737,mdr_rate_cleaned!$F$2:$F$10,"&gt;="&amp;C737)</f>
        <v>3.0000000000000001E-3</v>
      </c>
      <c r="H737" s="24">
        <f t="shared" si="55"/>
        <v>8.39</v>
      </c>
      <c r="I737" s="23" t="str">
        <f t="shared" si="56"/>
        <v>Match</v>
      </c>
      <c r="J737" s="23" t="str">
        <f t="shared" si="57"/>
        <v>Match</v>
      </c>
      <c r="K737" s="24">
        <f t="shared" si="58"/>
        <v>1.51</v>
      </c>
      <c r="L737" s="24">
        <f t="shared" si="59"/>
        <v>0</v>
      </c>
    </row>
    <row r="738" spans="1:12" ht="15" customHeight="1" x14ac:dyDescent="0.3">
      <c r="A738" s="23" t="s">
        <v>13274</v>
      </c>
      <c r="B738" s="23" t="s">
        <v>79</v>
      </c>
      <c r="C738" s="39">
        <v>4999</v>
      </c>
      <c r="D738" s="24">
        <v>79.98</v>
      </c>
      <c r="E738" s="24">
        <v>14.4</v>
      </c>
      <c r="F738" s="23">
        <f>COUNTIFS(mdr_rate_cleaned!$A$2:$A$10,B738,mdr_rate_cleaned!$B$2:$B$10,"&lt;"&amp;C738,mdr_rate_cleaned!$F$2:$F$10,"&gt;="&amp;C738)</f>
        <v>1</v>
      </c>
      <c r="G738" s="40">
        <f>SUMIFS(mdr_rate_cleaned!$G$2:$G$10,mdr_rate_cleaned!$A$2:$A$10,B738,mdr_rate_cleaned!$B$2:$B$10,"&lt;"&amp;C738,mdr_rate_cleaned!$F$2:$F$10,"&gt;="&amp;C738)</f>
        <v>1.6E-2</v>
      </c>
      <c r="H738" s="24">
        <f t="shared" si="55"/>
        <v>79.98</v>
      </c>
      <c r="I738" s="23" t="str">
        <f t="shared" si="56"/>
        <v>Match</v>
      </c>
      <c r="J738" s="23" t="str">
        <f t="shared" si="57"/>
        <v>Match</v>
      </c>
      <c r="K738" s="24">
        <f t="shared" si="58"/>
        <v>14.4</v>
      </c>
      <c r="L738" s="24">
        <f t="shared" si="59"/>
        <v>0</v>
      </c>
    </row>
    <row r="739" spans="1:12" ht="15" customHeight="1" x14ac:dyDescent="0.3">
      <c r="A739" s="23" t="s">
        <v>13275</v>
      </c>
      <c r="B739" s="23" t="s">
        <v>77</v>
      </c>
      <c r="C739" s="39">
        <v>4098</v>
      </c>
      <c r="D739" s="24">
        <v>69.67</v>
      </c>
      <c r="E739" s="24">
        <v>12.54</v>
      </c>
      <c r="F739" s="23">
        <f>COUNTIFS(mdr_rate_cleaned!$A$2:$A$10,B739,mdr_rate_cleaned!$B$2:$B$10,"&lt;"&amp;C739,mdr_rate_cleaned!$F$2:$F$10,"&gt;="&amp;C739)</f>
        <v>1</v>
      </c>
      <c r="G739" s="40">
        <f>SUMIFS(mdr_rate_cleaned!$G$2:$G$10,mdr_rate_cleaned!$A$2:$A$10,B739,mdr_rate_cleaned!$B$2:$B$10,"&lt;"&amp;C739,mdr_rate_cleaned!$F$2:$F$10,"&gt;="&amp;C739)</f>
        <v>1.7000000000000001E-2</v>
      </c>
      <c r="H739" s="24">
        <f t="shared" si="55"/>
        <v>69.67</v>
      </c>
      <c r="I739" s="23" t="str">
        <f t="shared" si="56"/>
        <v>Match</v>
      </c>
      <c r="J739" s="23" t="str">
        <f t="shared" si="57"/>
        <v>Match</v>
      </c>
      <c r="K739" s="24">
        <f t="shared" si="58"/>
        <v>12.54</v>
      </c>
      <c r="L739" s="24">
        <f t="shared" si="59"/>
        <v>0</v>
      </c>
    </row>
    <row r="740" spans="1:12" ht="15" customHeight="1" x14ac:dyDescent="0.3">
      <c r="A740" s="23" t="s">
        <v>13276</v>
      </c>
      <c r="B740" s="23" t="s">
        <v>77</v>
      </c>
      <c r="C740" s="39">
        <v>799</v>
      </c>
      <c r="D740" s="24">
        <v>15.18</v>
      </c>
      <c r="E740" s="24">
        <v>2.73</v>
      </c>
      <c r="F740" s="23">
        <f>COUNTIFS(mdr_rate_cleaned!$A$2:$A$10,B740,mdr_rate_cleaned!$B$2:$B$10,"&lt;"&amp;C740,mdr_rate_cleaned!$F$2:$F$10,"&gt;="&amp;C740)</f>
        <v>1</v>
      </c>
      <c r="G740" s="40">
        <f>SUMIFS(mdr_rate_cleaned!$G$2:$G$10,mdr_rate_cleaned!$A$2:$A$10,B740,mdr_rate_cleaned!$B$2:$B$10,"&lt;"&amp;C740,mdr_rate_cleaned!$F$2:$F$10,"&gt;="&amp;C740)</f>
        <v>1.9E-2</v>
      </c>
      <c r="H740" s="24">
        <f t="shared" si="55"/>
        <v>15.18</v>
      </c>
      <c r="I740" s="23" t="str">
        <f t="shared" si="56"/>
        <v>Match</v>
      </c>
      <c r="J740" s="23" t="str">
        <f t="shared" si="57"/>
        <v>Match</v>
      </c>
      <c r="K740" s="24">
        <f t="shared" si="58"/>
        <v>2.73</v>
      </c>
      <c r="L740" s="24">
        <f t="shared" si="59"/>
        <v>0</v>
      </c>
    </row>
    <row r="741" spans="1:12" ht="15" customHeight="1" x14ac:dyDescent="0.3">
      <c r="A741" s="23" t="s">
        <v>13277</v>
      </c>
      <c r="B741" s="23" t="s">
        <v>79</v>
      </c>
      <c r="C741" s="39">
        <v>2947</v>
      </c>
      <c r="D741" s="24">
        <v>47.15</v>
      </c>
      <c r="E741" s="24">
        <v>8.49</v>
      </c>
      <c r="F741" s="23">
        <f>COUNTIFS(mdr_rate_cleaned!$A$2:$A$10,B741,mdr_rate_cleaned!$B$2:$B$10,"&lt;"&amp;C741,mdr_rate_cleaned!$F$2:$F$10,"&gt;="&amp;C741)</f>
        <v>1</v>
      </c>
      <c r="G741" s="40">
        <f>SUMIFS(mdr_rate_cleaned!$G$2:$G$10,mdr_rate_cleaned!$A$2:$A$10,B741,mdr_rate_cleaned!$B$2:$B$10,"&lt;"&amp;C741,mdr_rate_cleaned!$F$2:$F$10,"&gt;="&amp;C741)</f>
        <v>1.6E-2</v>
      </c>
      <c r="H741" s="24">
        <f t="shared" si="55"/>
        <v>47.15</v>
      </c>
      <c r="I741" s="23" t="str">
        <f t="shared" si="56"/>
        <v>Match</v>
      </c>
      <c r="J741" s="23" t="str">
        <f t="shared" si="57"/>
        <v>Match</v>
      </c>
      <c r="K741" s="24">
        <f t="shared" si="58"/>
        <v>8.49</v>
      </c>
      <c r="L741" s="24">
        <f t="shared" si="59"/>
        <v>0</v>
      </c>
    </row>
    <row r="742" spans="1:12" ht="15" customHeight="1" x14ac:dyDescent="0.3">
      <c r="A742" s="23" t="s">
        <v>13278</v>
      </c>
      <c r="B742" s="23" t="s">
        <v>75</v>
      </c>
      <c r="C742" s="39">
        <v>799</v>
      </c>
      <c r="D742" s="24">
        <v>0</v>
      </c>
      <c r="E742" s="24">
        <v>0</v>
      </c>
      <c r="F742" s="23">
        <f>COUNTIFS(mdr_rate_cleaned!$A$2:$A$10,B742,mdr_rate_cleaned!$B$2:$B$10,"&lt;"&amp;C742,mdr_rate_cleaned!$F$2:$F$10,"&gt;="&amp;C742)</f>
        <v>1</v>
      </c>
      <c r="G742" s="40">
        <f>SUMIFS(mdr_rate_cleaned!$G$2:$G$10,mdr_rate_cleaned!$A$2:$A$10,B742,mdr_rate_cleaned!$B$2:$B$10,"&lt;"&amp;C742,mdr_rate_cleaned!$F$2:$F$10,"&gt;="&amp;C742)</f>
        <v>0</v>
      </c>
      <c r="H742" s="24">
        <f t="shared" si="55"/>
        <v>0</v>
      </c>
      <c r="I742" s="23" t="str">
        <f t="shared" si="56"/>
        <v>Match</v>
      </c>
      <c r="J742" s="23" t="str">
        <f t="shared" si="57"/>
        <v>Match</v>
      </c>
      <c r="K742" s="24">
        <f t="shared" si="58"/>
        <v>0</v>
      </c>
      <c r="L742" s="24">
        <f t="shared" si="59"/>
        <v>0</v>
      </c>
    </row>
    <row r="743" spans="1:12" ht="15" customHeight="1" x14ac:dyDescent="0.3">
      <c r="A743" s="23" t="s">
        <v>13279</v>
      </c>
      <c r="B743" s="23" t="s">
        <v>79</v>
      </c>
      <c r="C743" s="39">
        <v>1499</v>
      </c>
      <c r="D743" s="24">
        <v>26.98</v>
      </c>
      <c r="E743" s="24">
        <v>4.8600000000000003</v>
      </c>
      <c r="F743" s="23">
        <f>COUNTIFS(mdr_rate_cleaned!$A$2:$A$10,B743,mdr_rate_cleaned!$B$2:$B$10,"&lt;"&amp;C743,mdr_rate_cleaned!$F$2:$F$10,"&gt;="&amp;C743)</f>
        <v>1</v>
      </c>
      <c r="G743" s="40">
        <f>SUMIFS(mdr_rate_cleaned!$G$2:$G$10,mdr_rate_cleaned!$A$2:$A$10,B743,mdr_rate_cleaned!$B$2:$B$10,"&lt;"&amp;C743,mdr_rate_cleaned!$F$2:$F$10,"&gt;="&amp;C743)</f>
        <v>1.8000000000000002E-2</v>
      </c>
      <c r="H743" s="24">
        <f t="shared" si="55"/>
        <v>26.98</v>
      </c>
      <c r="I743" s="23" t="str">
        <f t="shared" si="56"/>
        <v>Match</v>
      </c>
      <c r="J743" s="23" t="str">
        <f t="shared" si="57"/>
        <v>Match</v>
      </c>
      <c r="K743" s="24">
        <f t="shared" si="58"/>
        <v>4.8600000000000003</v>
      </c>
      <c r="L743" s="24">
        <f t="shared" si="59"/>
        <v>0</v>
      </c>
    </row>
    <row r="744" spans="1:12" ht="15" customHeight="1" x14ac:dyDescent="0.3">
      <c r="A744" s="23" t="s">
        <v>13281</v>
      </c>
      <c r="B744" s="23" t="s">
        <v>75</v>
      </c>
      <c r="C744" s="39">
        <v>2999</v>
      </c>
      <c r="D744" s="24">
        <v>9</v>
      </c>
      <c r="E744" s="24">
        <v>1.62</v>
      </c>
      <c r="F744" s="23">
        <f>COUNTIFS(mdr_rate_cleaned!$A$2:$A$10,B744,mdr_rate_cleaned!$B$2:$B$10,"&lt;"&amp;C744,mdr_rate_cleaned!$F$2:$F$10,"&gt;="&amp;C744)</f>
        <v>1</v>
      </c>
      <c r="G744" s="40">
        <f>SUMIFS(mdr_rate_cleaned!$G$2:$G$10,mdr_rate_cleaned!$A$2:$A$10,B744,mdr_rate_cleaned!$B$2:$B$10,"&lt;"&amp;C744,mdr_rate_cleaned!$F$2:$F$10,"&gt;="&amp;C744)</f>
        <v>3.0000000000000001E-3</v>
      </c>
      <c r="H744" s="24">
        <f t="shared" si="55"/>
        <v>9</v>
      </c>
      <c r="I744" s="23" t="str">
        <f t="shared" si="56"/>
        <v>Match</v>
      </c>
      <c r="J744" s="23" t="str">
        <f t="shared" si="57"/>
        <v>Match</v>
      </c>
      <c r="K744" s="24">
        <f t="shared" si="58"/>
        <v>1.62</v>
      </c>
      <c r="L744" s="24">
        <f t="shared" si="59"/>
        <v>0</v>
      </c>
    </row>
    <row r="745" spans="1:12" ht="15" customHeight="1" x14ac:dyDescent="0.3">
      <c r="A745" s="23" t="s">
        <v>13282</v>
      </c>
      <c r="B745" s="23" t="s">
        <v>77</v>
      </c>
      <c r="C745" s="39">
        <v>3499</v>
      </c>
      <c r="D745" s="24">
        <v>59.48</v>
      </c>
      <c r="E745" s="24">
        <v>10.71</v>
      </c>
      <c r="F745" s="23">
        <f>COUNTIFS(mdr_rate_cleaned!$A$2:$A$10,B745,mdr_rate_cleaned!$B$2:$B$10,"&lt;"&amp;C745,mdr_rate_cleaned!$F$2:$F$10,"&gt;="&amp;C745)</f>
        <v>1</v>
      </c>
      <c r="G745" s="40">
        <f>SUMIFS(mdr_rate_cleaned!$G$2:$G$10,mdr_rate_cleaned!$A$2:$A$10,B745,mdr_rate_cleaned!$B$2:$B$10,"&lt;"&amp;C745,mdr_rate_cleaned!$F$2:$F$10,"&gt;="&amp;C745)</f>
        <v>1.7000000000000001E-2</v>
      </c>
      <c r="H745" s="24">
        <f t="shared" si="55"/>
        <v>59.48</v>
      </c>
      <c r="I745" s="23" t="str">
        <f t="shared" si="56"/>
        <v>Match</v>
      </c>
      <c r="J745" s="23" t="str">
        <f t="shared" si="57"/>
        <v>Match</v>
      </c>
      <c r="K745" s="24">
        <f t="shared" si="58"/>
        <v>10.71</v>
      </c>
      <c r="L745" s="24">
        <f t="shared" si="59"/>
        <v>0</v>
      </c>
    </row>
    <row r="746" spans="1:12" ht="15" customHeight="1" x14ac:dyDescent="0.3">
      <c r="A746" s="23" t="s">
        <v>13283</v>
      </c>
      <c r="B746" s="23" t="s">
        <v>75</v>
      </c>
      <c r="C746" s="39">
        <v>599</v>
      </c>
      <c r="D746" s="24">
        <v>0</v>
      </c>
      <c r="E746" s="24">
        <v>0</v>
      </c>
      <c r="F746" s="23">
        <f>COUNTIFS(mdr_rate_cleaned!$A$2:$A$10,B746,mdr_rate_cleaned!$B$2:$B$10,"&lt;"&amp;C746,mdr_rate_cleaned!$F$2:$F$10,"&gt;="&amp;C746)</f>
        <v>1</v>
      </c>
      <c r="G746" s="40">
        <f>SUMIFS(mdr_rate_cleaned!$G$2:$G$10,mdr_rate_cleaned!$A$2:$A$10,B746,mdr_rate_cleaned!$B$2:$B$10,"&lt;"&amp;C746,mdr_rate_cleaned!$F$2:$F$10,"&gt;="&amp;C746)</f>
        <v>0</v>
      </c>
      <c r="H746" s="24">
        <f t="shared" si="55"/>
        <v>0</v>
      </c>
      <c r="I746" s="23" t="str">
        <f t="shared" si="56"/>
        <v>Match</v>
      </c>
      <c r="J746" s="23" t="str">
        <f t="shared" si="57"/>
        <v>Match</v>
      </c>
      <c r="K746" s="24">
        <f t="shared" si="58"/>
        <v>0</v>
      </c>
      <c r="L746" s="24">
        <f t="shared" si="59"/>
        <v>0</v>
      </c>
    </row>
    <row r="747" spans="1:12" ht="15" customHeight="1" x14ac:dyDescent="0.3">
      <c r="A747" s="23" t="s">
        <v>13284</v>
      </c>
      <c r="B747" s="23" t="s">
        <v>77</v>
      </c>
      <c r="C747" s="39">
        <v>3499</v>
      </c>
      <c r="D747" s="24">
        <v>59.48</v>
      </c>
      <c r="E747" s="24">
        <v>10.71</v>
      </c>
      <c r="F747" s="23">
        <f>COUNTIFS(mdr_rate_cleaned!$A$2:$A$10,B747,mdr_rate_cleaned!$B$2:$B$10,"&lt;"&amp;C747,mdr_rate_cleaned!$F$2:$F$10,"&gt;="&amp;C747)</f>
        <v>1</v>
      </c>
      <c r="G747" s="40">
        <f>SUMIFS(mdr_rate_cleaned!$G$2:$G$10,mdr_rate_cleaned!$A$2:$A$10,B747,mdr_rate_cleaned!$B$2:$B$10,"&lt;"&amp;C747,mdr_rate_cleaned!$F$2:$F$10,"&gt;="&amp;C747)</f>
        <v>1.7000000000000001E-2</v>
      </c>
      <c r="H747" s="24">
        <f t="shared" si="55"/>
        <v>59.48</v>
      </c>
      <c r="I747" s="23" t="str">
        <f t="shared" si="56"/>
        <v>Match</v>
      </c>
      <c r="J747" s="23" t="str">
        <f t="shared" si="57"/>
        <v>Match</v>
      </c>
      <c r="K747" s="24">
        <f t="shared" si="58"/>
        <v>10.71</v>
      </c>
      <c r="L747" s="24">
        <f t="shared" si="59"/>
        <v>0</v>
      </c>
    </row>
    <row r="748" spans="1:12" ht="15" customHeight="1" x14ac:dyDescent="0.3">
      <c r="A748" s="23" t="s">
        <v>13286</v>
      </c>
      <c r="B748" s="23" t="s">
        <v>75</v>
      </c>
      <c r="C748" s="39">
        <v>3597</v>
      </c>
      <c r="D748" s="24">
        <v>10.79</v>
      </c>
      <c r="E748" s="24">
        <v>1.94</v>
      </c>
      <c r="F748" s="23">
        <f>COUNTIFS(mdr_rate_cleaned!$A$2:$A$10,B748,mdr_rate_cleaned!$B$2:$B$10,"&lt;"&amp;C748,mdr_rate_cleaned!$F$2:$F$10,"&gt;="&amp;C748)</f>
        <v>1</v>
      </c>
      <c r="G748" s="40">
        <f>SUMIFS(mdr_rate_cleaned!$G$2:$G$10,mdr_rate_cleaned!$A$2:$A$10,B748,mdr_rate_cleaned!$B$2:$B$10,"&lt;"&amp;C748,mdr_rate_cleaned!$F$2:$F$10,"&gt;="&amp;C748)</f>
        <v>3.0000000000000001E-3</v>
      </c>
      <c r="H748" s="24">
        <f t="shared" si="55"/>
        <v>10.79</v>
      </c>
      <c r="I748" s="23" t="str">
        <f t="shared" si="56"/>
        <v>Match</v>
      </c>
      <c r="J748" s="23" t="str">
        <f t="shared" si="57"/>
        <v>Match</v>
      </c>
      <c r="K748" s="24">
        <f t="shared" si="58"/>
        <v>1.94</v>
      </c>
      <c r="L748" s="24">
        <f t="shared" si="59"/>
        <v>0</v>
      </c>
    </row>
    <row r="749" spans="1:12" ht="15" customHeight="1" x14ac:dyDescent="0.3">
      <c r="A749" s="23" t="s">
        <v>13287</v>
      </c>
      <c r="B749" s="23" t="s">
        <v>75</v>
      </c>
      <c r="C749" s="39">
        <v>1348</v>
      </c>
      <c r="D749" s="24">
        <v>0</v>
      </c>
      <c r="E749" s="24">
        <v>0</v>
      </c>
      <c r="F749" s="23">
        <f>COUNTIFS(mdr_rate_cleaned!$A$2:$A$10,B749,mdr_rate_cleaned!$B$2:$B$10,"&lt;"&amp;C749,mdr_rate_cleaned!$F$2:$F$10,"&gt;="&amp;C749)</f>
        <v>1</v>
      </c>
      <c r="G749" s="40">
        <f>SUMIFS(mdr_rate_cleaned!$G$2:$G$10,mdr_rate_cleaned!$A$2:$A$10,B749,mdr_rate_cleaned!$B$2:$B$10,"&lt;"&amp;C749,mdr_rate_cleaned!$F$2:$F$10,"&gt;="&amp;C749)</f>
        <v>0</v>
      </c>
      <c r="H749" s="24">
        <f t="shared" si="55"/>
        <v>0</v>
      </c>
      <c r="I749" s="23" t="str">
        <f t="shared" si="56"/>
        <v>Match</v>
      </c>
      <c r="J749" s="23" t="str">
        <f t="shared" si="57"/>
        <v>Match</v>
      </c>
      <c r="K749" s="24">
        <f t="shared" si="58"/>
        <v>0</v>
      </c>
      <c r="L749" s="24">
        <f t="shared" si="59"/>
        <v>0</v>
      </c>
    </row>
    <row r="750" spans="1:12" ht="15" customHeight="1" x14ac:dyDescent="0.3">
      <c r="A750" s="23" t="s">
        <v>13289</v>
      </c>
      <c r="B750" s="23" t="s">
        <v>79</v>
      </c>
      <c r="C750" s="39">
        <v>6347</v>
      </c>
      <c r="D750" s="24">
        <v>101.55</v>
      </c>
      <c r="E750" s="24">
        <v>18.28</v>
      </c>
      <c r="F750" s="23">
        <f>COUNTIFS(mdr_rate_cleaned!$A$2:$A$10,B750,mdr_rate_cleaned!$B$2:$B$10,"&lt;"&amp;C750,mdr_rate_cleaned!$F$2:$F$10,"&gt;="&amp;C750)</f>
        <v>1</v>
      </c>
      <c r="G750" s="40">
        <f>SUMIFS(mdr_rate_cleaned!$G$2:$G$10,mdr_rate_cleaned!$A$2:$A$10,B750,mdr_rate_cleaned!$B$2:$B$10,"&lt;"&amp;C750,mdr_rate_cleaned!$F$2:$F$10,"&gt;="&amp;C750)</f>
        <v>1.6E-2</v>
      </c>
      <c r="H750" s="24">
        <f t="shared" si="55"/>
        <v>101.55</v>
      </c>
      <c r="I750" s="23" t="str">
        <f t="shared" si="56"/>
        <v>Match</v>
      </c>
      <c r="J750" s="23" t="str">
        <f t="shared" si="57"/>
        <v>Match</v>
      </c>
      <c r="K750" s="24">
        <f t="shared" si="58"/>
        <v>18.28</v>
      </c>
      <c r="L750" s="24">
        <f t="shared" si="59"/>
        <v>0</v>
      </c>
    </row>
    <row r="751" spans="1:12" ht="15" customHeight="1" x14ac:dyDescent="0.3">
      <c r="A751" s="23" t="s">
        <v>13291</v>
      </c>
      <c r="B751" s="23" t="s">
        <v>75</v>
      </c>
      <c r="C751" s="39">
        <v>799</v>
      </c>
      <c r="D751" s="24">
        <v>0</v>
      </c>
      <c r="E751" s="24">
        <v>0</v>
      </c>
      <c r="F751" s="23">
        <f>COUNTIFS(mdr_rate_cleaned!$A$2:$A$10,B751,mdr_rate_cleaned!$B$2:$B$10,"&lt;"&amp;C751,mdr_rate_cleaned!$F$2:$F$10,"&gt;="&amp;C751)</f>
        <v>1</v>
      </c>
      <c r="G751" s="40">
        <f>SUMIFS(mdr_rate_cleaned!$G$2:$G$10,mdr_rate_cleaned!$A$2:$A$10,B751,mdr_rate_cleaned!$B$2:$B$10,"&lt;"&amp;C751,mdr_rate_cleaned!$F$2:$F$10,"&gt;="&amp;C751)</f>
        <v>0</v>
      </c>
      <c r="H751" s="24">
        <f t="shared" si="55"/>
        <v>0</v>
      </c>
      <c r="I751" s="23" t="str">
        <f t="shared" si="56"/>
        <v>Match</v>
      </c>
      <c r="J751" s="23" t="str">
        <f t="shared" si="57"/>
        <v>Match</v>
      </c>
      <c r="K751" s="24">
        <f t="shared" si="58"/>
        <v>0</v>
      </c>
      <c r="L751" s="24">
        <f t="shared" si="59"/>
        <v>0</v>
      </c>
    </row>
    <row r="752" spans="1:12" ht="15" customHeight="1" x14ac:dyDescent="0.3">
      <c r="A752" s="23" t="s">
        <v>13292</v>
      </c>
      <c r="B752" s="23" t="s">
        <v>79</v>
      </c>
      <c r="C752" s="39">
        <v>1799</v>
      </c>
      <c r="D752" s="24">
        <v>32.380000000000003</v>
      </c>
      <c r="E752" s="24">
        <v>5.83</v>
      </c>
      <c r="F752" s="23">
        <f>COUNTIFS(mdr_rate_cleaned!$A$2:$A$10,B752,mdr_rate_cleaned!$B$2:$B$10,"&lt;"&amp;C752,mdr_rate_cleaned!$F$2:$F$10,"&gt;="&amp;C752)</f>
        <v>1</v>
      </c>
      <c r="G752" s="40">
        <f>SUMIFS(mdr_rate_cleaned!$G$2:$G$10,mdr_rate_cleaned!$A$2:$A$10,B752,mdr_rate_cleaned!$B$2:$B$10,"&lt;"&amp;C752,mdr_rate_cleaned!$F$2:$F$10,"&gt;="&amp;C752)</f>
        <v>1.8000000000000002E-2</v>
      </c>
      <c r="H752" s="24">
        <f t="shared" si="55"/>
        <v>32.380000000000003</v>
      </c>
      <c r="I752" s="23" t="str">
        <f t="shared" si="56"/>
        <v>Match</v>
      </c>
      <c r="J752" s="23" t="str">
        <f t="shared" si="57"/>
        <v>Match</v>
      </c>
      <c r="K752" s="24">
        <f t="shared" si="58"/>
        <v>5.83</v>
      </c>
      <c r="L752" s="24">
        <f t="shared" si="59"/>
        <v>0</v>
      </c>
    </row>
    <row r="753" spans="1:12" ht="15" customHeight="1" x14ac:dyDescent="0.3">
      <c r="A753" s="23" t="s">
        <v>13293</v>
      </c>
      <c r="B753" s="23" t="s">
        <v>79</v>
      </c>
      <c r="C753" s="39">
        <v>799</v>
      </c>
      <c r="D753" s="24">
        <v>14.38</v>
      </c>
      <c r="E753" s="24">
        <v>2.59</v>
      </c>
      <c r="F753" s="23">
        <f>COUNTIFS(mdr_rate_cleaned!$A$2:$A$10,B753,mdr_rate_cleaned!$B$2:$B$10,"&lt;"&amp;C753,mdr_rate_cleaned!$F$2:$F$10,"&gt;="&amp;C753)</f>
        <v>1</v>
      </c>
      <c r="G753" s="40">
        <f>SUMIFS(mdr_rate_cleaned!$G$2:$G$10,mdr_rate_cleaned!$A$2:$A$10,B753,mdr_rate_cleaned!$B$2:$B$10,"&lt;"&amp;C753,mdr_rate_cleaned!$F$2:$F$10,"&gt;="&amp;C753)</f>
        <v>1.8000000000000002E-2</v>
      </c>
      <c r="H753" s="24">
        <f t="shared" si="55"/>
        <v>14.38</v>
      </c>
      <c r="I753" s="23" t="str">
        <f t="shared" si="56"/>
        <v>Match</v>
      </c>
      <c r="J753" s="23" t="str">
        <f t="shared" si="57"/>
        <v>Match</v>
      </c>
      <c r="K753" s="24">
        <f t="shared" si="58"/>
        <v>2.59</v>
      </c>
      <c r="L753" s="24">
        <f t="shared" si="59"/>
        <v>0</v>
      </c>
    </row>
    <row r="754" spans="1:12" ht="15" customHeight="1" x14ac:dyDescent="0.3">
      <c r="A754" s="23" t="s">
        <v>13294</v>
      </c>
      <c r="B754" s="23" t="s">
        <v>75</v>
      </c>
      <c r="C754" s="39">
        <v>1499</v>
      </c>
      <c r="D754" s="24">
        <v>0</v>
      </c>
      <c r="E754" s="24">
        <v>0</v>
      </c>
      <c r="F754" s="23">
        <f>COUNTIFS(mdr_rate_cleaned!$A$2:$A$10,B754,mdr_rate_cleaned!$B$2:$B$10,"&lt;"&amp;C754,mdr_rate_cleaned!$F$2:$F$10,"&gt;="&amp;C754)</f>
        <v>1</v>
      </c>
      <c r="G754" s="40">
        <f>SUMIFS(mdr_rate_cleaned!$G$2:$G$10,mdr_rate_cleaned!$A$2:$A$10,B754,mdr_rate_cleaned!$B$2:$B$10,"&lt;"&amp;C754,mdr_rate_cleaned!$F$2:$F$10,"&gt;="&amp;C754)</f>
        <v>0</v>
      </c>
      <c r="H754" s="24">
        <f t="shared" si="55"/>
        <v>0</v>
      </c>
      <c r="I754" s="23" t="str">
        <f t="shared" si="56"/>
        <v>Match</v>
      </c>
      <c r="J754" s="23" t="str">
        <f t="shared" si="57"/>
        <v>Match</v>
      </c>
      <c r="K754" s="24">
        <f t="shared" si="58"/>
        <v>0</v>
      </c>
      <c r="L754" s="24">
        <f t="shared" si="59"/>
        <v>0</v>
      </c>
    </row>
    <row r="755" spans="1:12" ht="15" customHeight="1" x14ac:dyDescent="0.3">
      <c r="A755" s="23" t="s">
        <v>13295</v>
      </c>
      <c r="B755" s="23" t="s">
        <v>75</v>
      </c>
      <c r="C755" s="39">
        <v>4498</v>
      </c>
      <c r="D755" s="24">
        <v>13.49</v>
      </c>
      <c r="E755" s="24">
        <v>2.4300000000000002</v>
      </c>
      <c r="F755" s="23">
        <f>COUNTIFS(mdr_rate_cleaned!$A$2:$A$10,B755,mdr_rate_cleaned!$B$2:$B$10,"&lt;"&amp;C755,mdr_rate_cleaned!$F$2:$F$10,"&gt;="&amp;C755)</f>
        <v>1</v>
      </c>
      <c r="G755" s="40">
        <f>SUMIFS(mdr_rate_cleaned!$G$2:$G$10,mdr_rate_cleaned!$A$2:$A$10,B755,mdr_rate_cleaned!$B$2:$B$10,"&lt;"&amp;C755,mdr_rate_cleaned!$F$2:$F$10,"&gt;="&amp;C755)</f>
        <v>3.0000000000000001E-3</v>
      </c>
      <c r="H755" s="24">
        <f t="shared" si="55"/>
        <v>13.49</v>
      </c>
      <c r="I755" s="23" t="str">
        <f t="shared" si="56"/>
        <v>Match</v>
      </c>
      <c r="J755" s="23" t="str">
        <f t="shared" si="57"/>
        <v>Match</v>
      </c>
      <c r="K755" s="24">
        <f t="shared" si="58"/>
        <v>2.4300000000000002</v>
      </c>
      <c r="L755" s="24">
        <f t="shared" si="59"/>
        <v>0</v>
      </c>
    </row>
    <row r="756" spans="1:12" ht="15" customHeight="1" x14ac:dyDescent="0.3">
      <c r="A756" s="23" t="s">
        <v>13296</v>
      </c>
      <c r="B756" s="23" t="s">
        <v>77</v>
      </c>
      <c r="C756" s="39">
        <v>5998</v>
      </c>
      <c r="D756" s="24">
        <v>101.97</v>
      </c>
      <c r="E756" s="24">
        <v>18.350000000000001</v>
      </c>
      <c r="F756" s="23">
        <f>COUNTIFS(mdr_rate_cleaned!$A$2:$A$10,B756,mdr_rate_cleaned!$B$2:$B$10,"&lt;"&amp;C756,mdr_rate_cleaned!$F$2:$F$10,"&gt;="&amp;C756)</f>
        <v>1</v>
      </c>
      <c r="G756" s="40">
        <f>SUMIFS(mdr_rate_cleaned!$G$2:$G$10,mdr_rate_cleaned!$A$2:$A$10,B756,mdr_rate_cleaned!$B$2:$B$10,"&lt;"&amp;C756,mdr_rate_cleaned!$F$2:$F$10,"&gt;="&amp;C756)</f>
        <v>1.7000000000000001E-2</v>
      </c>
      <c r="H756" s="24">
        <f t="shared" si="55"/>
        <v>101.97</v>
      </c>
      <c r="I756" s="23" t="str">
        <f t="shared" si="56"/>
        <v>Match</v>
      </c>
      <c r="J756" s="23" t="str">
        <f t="shared" si="57"/>
        <v>Match</v>
      </c>
      <c r="K756" s="24">
        <f t="shared" si="58"/>
        <v>18.350000000000001</v>
      </c>
      <c r="L756" s="24">
        <f t="shared" si="59"/>
        <v>0</v>
      </c>
    </row>
    <row r="757" spans="1:12" ht="15" customHeight="1" x14ac:dyDescent="0.3">
      <c r="A757" s="23" t="s">
        <v>13298</v>
      </c>
      <c r="B757" s="23" t="s">
        <v>75</v>
      </c>
      <c r="C757" s="39">
        <v>3499</v>
      </c>
      <c r="D757" s="24">
        <v>10.5</v>
      </c>
      <c r="E757" s="24">
        <v>1.89</v>
      </c>
      <c r="F757" s="23">
        <f>COUNTIFS(mdr_rate_cleaned!$A$2:$A$10,B757,mdr_rate_cleaned!$B$2:$B$10,"&lt;"&amp;C757,mdr_rate_cleaned!$F$2:$F$10,"&gt;="&amp;C757)</f>
        <v>1</v>
      </c>
      <c r="G757" s="40">
        <f>SUMIFS(mdr_rate_cleaned!$G$2:$G$10,mdr_rate_cleaned!$A$2:$A$10,B757,mdr_rate_cleaned!$B$2:$B$10,"&lt;"&amp;C757,mdr_rate_cleaned!$F$2:$F$10,"&gt;="&amp;C757)</f>
        <v>3.0000000000000001E-3</v>
      </c>
      <c r="H757" s="24">
        <f t="shared" si="55"/>
        <v>10.5</v>
      </c>
      <c r="I757" s="23" t="str">
        <f t="shared" si="56"/>
        <v>Match</v>
      </c>
      <c r="J757" s="23" t="str">
        <f t="shared" si="57"/>
        <v>Match</v>
      </c>
      <c r="K757" s="24">
        <f t="shared" si="58"/>
        <v>1.89</v>
      </c>
      <c r="L757" s="24">
        <f t="shared" si="59"/>
        <v>0</v>
      </c>
    </row>
    <row r="758" spans="1:12" ht="15" customHeight="1" x14ac:dyDescent="0.3">
      <c r="A758" s="23" t="s">
        <v>13299</v>
      </c>
      <c r="B758" s="23" t="s">
        <v>79</v>
      </c>
      <c r="C758" s="39">
        <v>1799</v>
      </c>
      <c r="D758" s="24">
        <v>32.380000000000003</v>
      </c>
      <c r="E758" s="24">
        <v>5.83</v>
      </c>
      <c r="F758" s="23">
        <f>COUNTIFS(mdr_rate_cleaned!$A$2:$A$10,B758,mdr_rate_cleaned!$B$2:$B$10,"&lt;"&amp;C758,mdr_rate_cleaned!$F$2:$F$10,"&gt;="&amp;C758)</f>
        <v>1</v>
      </c>
      <c r="G758" s="40">
        <f>SUMIFS(mdr_rate_cleaned!$G$2:$G$10,mdr_rate_cleaned!$A$2:$A$10,B758,mdr_rate_cleaned!$B$2:$B$10,"&lt;"&amp;C758,mdr_rate_cleaned!$F$2:$F$10,"&gt;="&amp;C758)</f>
        <v>1.8000000000000002E-2</v>
      </c>
      <c r="H758" s="24">
        <f t="shared" si="55"/>
        <v>32.380000000000003</v>
      </c>
      <c r="I758" s="23" t="str">
        <f t="shared" si="56"/>
        <v>Match</v>
      </c>
      <c r="J758" s="23" t="str">
        <f t="shared" si="57"/>
        <v>Match</v>
      </c>
      <c r="K758" s="24">
        <f t="shared" si="58"/>
        <v>5.83</v>
      </c>
      <c r="L758" s="24">
        <f t="shared" si="59"/>
        <v>0</v>
      </c>
    </row>
    <row r="759" spans="1:12" ht="15" customHeight="1" x14ac:dyDescent="0.3">
      <c r="A759" s="23" t="s">
        <v>13300</v>
      </c>
      <c r="B759" s="23" t="s">
        <v>77</v>
      </c>
      <c r="C759" s="39">
        <v>1098</v>
      </c>
      <c r="D759" s="24">
        <v>20.86</v>
      </c>
      <c r="E759" s="24">
        <v>3.75</v>
      </c>
      <c r="F759" s="23">
        <f>COUNTIFS(mdr_rate_cleaned!$A$2:$A$10,B759,mdr_rate_cleaned!$B$2:$B$10,"&lt;"&amp;C759,mdr_rate_cleaned!$F$2:$F$10,"&gt;="&amp;C759)</f>
        <v>1</v>
      </c>
      <c r="G759" s="40">
        <f>SUMIFS(mdr_rate_cleaned!$G$2:$G$10,mdr_rate_cleaned!$A$2:$A$10,B759,mdr_rate_cleaned!$B$2:$B$10,"&lt;"&amp;C759,mdr_rate_cleaned!$F$2:$F$10,"&gt;="&amp;C759)</f>
        <v>1.9E-2</v>
      </c>
      <c r="H759" s="24">
        <f t="shared" si="55"/>
        <v>20.86</v>
      </c>
      <c r="I759" s="23" t="str">
        <f t="shared" si="56"/>
        <v>Match</v>
      </c>
      <c r="J759" s="23" t="str">
        <f t="shared" si="57"/>
        <v>Match</v>
      </c>
      <c r="K759" s="24">
        <f t="shared" si="58"/>
        <v>3.75</v>
      </c>
      <c r="L759" s="24">
        <f t="shared" si="59"/>
        <v>0</v>
      </c>
    </row>
    <row r="760" spans="1:12" ht="15" customHeight="1" x14ac:dyDescent="0.3">
      <c r="A760" s="23" t="s">
        <v>13301</v>
      </c>
      <c r="B760" s="23" t="s">
        <v>75</v>
      </c>
      <c r="C760" s="39">
        <v>5797</v>
      </c>
      <c r="D760" s="24">
        <v>17.39</v>
      </c>
      <c r="E760" s="24">
        <v>3.13</v>
      </c>
      <c r="F760" s="23">
        <f>COUNTIFS(mdr_rate_cleaned!$A$2:$A$10,B760,mdr_rate_cleaned!$B$2:$B$10,"&lt;"&amp;C760,mdr_rate_cleaned!$F$2:$F$10,"&gt;="&amp;C760)</f>
        <v>1</v>
      </c>
      <c r="G760" s="40">
        <f>SUMIFS(mdr_rate_cleaned!$G$2:$G$10,mdr_rate_cleaned!$A$2:$A$10,B760,mdr_rate_cleaned!$B$2:$B$10,"&lt;"&amp;C760,mdr_rate_cleaned!$F$2:$F$10,"&gt;="&amp;C760)</f>
        <v>3.0000000000000001E-3</v>
      </c>
      <c r="H760" s="24">
        <f t="shared" si="55"/>
        <v>17.39</v>
      </c>
      <c r="I760" s="23" t="str">
        <f t="shared" si="56"/>
        <v>Match</v>
      </c>
      <c r="J760" s="23" t="str">
        <f t="shared" si="57"/>
        <v>Match</v>
      </c>
      <c r="K760" s="24">
        <f t="shared" si="58"/>
        <v>3.13</v>
      </c>
      <c r="L760" s="24">
        <f t="shared" si="59"/>
        <v>0</v>
      </c>
    </row>
    <row r="761" spans="1:12" ht="15" customHeight="1" x14ac:dyDescent="0.3">
      <c r="A761" s="23" t="s">
        <v>13303</v>
      </c>
      <c r="B761" s="23" t="s">
        <v>77</v>
      </c>
      <c r="C761" s="39">
        <v>2999</v>
      </c>
      <c r="D761" s="24">
        <v>50.98</v>
      </c>
      <c r="E761" s="24">
        <v>9.18</v>
      </c>
      <c r="F761" s="23">
        <f>COUNTIFS(mdr_rate_cleaned!$A$2:$A$10,B761,mdr_rate_cleaned!$B$2:$B$10,"&lt;"&amp;C761,mdr_rate_cleaned!$F$2:$F$10,"&gt;="&amp;C761)</f>
        <v>1</v>
      </c>
      <c r="G761" s="40">
        <f>SUMIFS(mdr_rate_cleaned!$G$2:$G$10,mdr_rate_cleaned!$A$2:$A$10,B761,mdr_rate_cleaned!$B$2:$B$10,"&lt;"&amp;C761,mdr_rate_cleaned!$F$2:$F$10,"&gt;="&amp;C761)</f>
        <v>1.7000000000000001E-2</v>
      </c>
      <c r="H761" s="24">
        <f t="shared" si="55"/>
        <v>50.98</v>
      </c>
      <c r="I761" s="23" t="str">
        <f t="shared" si="56"/>
        <v>Match</v>
      </c>
      <c r="J761" s="23" t="str">
        <f t="shared" si="57"/>
        <v>Match</v>
      </c>
      <c r="K761" s="24">
        <f t="shared" si="58"/>
        <v>9.18</v>
      </c>
      <c r="L761" s="24">
        <f t="shared" si="59"/>
        <v>0</v>
      </c>
    </row>
    <row r="762" spans="1:12" ht="15" customHeight="1" x14ac:dyDescent="0.3">
      <c r="A762" s="23" t="s">
        <v>13305</v>
      </c>
      <c r="B762" s="23" t="s">
        <v>75</v>
      </c>
      <c r="C762" s="39">
        <v>6297</v>
      </c>
      <c r="D762" s="24">
        <v>18.89</v>
      </c>
      <c r="E762" s="24">
        <v>3.4</v>
      </c>
      <c r="F762" s="23">
        <f>COUNTIFS(mdr_rate_cleaned!$A$2:$A$10,B762,mdr_rate_cleaned!$B$2:$B$10,"&lt;"&amp;C762,mdr_rate_cleaned!$F$2:$F$10,"&gt;="&amp;C762)</f>
        <v>1</v>
      </c>
      <c r="G762" s="40">
        <f>SUMIFS(mdr_rate_cleaned!$G$2:$G$10,mdr_rate_cleaned!$A$2:$A$10,B762,mdr_rate_cleaned!$B$2:$B$10,"&lt;"&amp;C762,mdr_rate_cleaned!$F$2:$F$10,"&gt;="&amp;C762)</f>
        <v>3.0000000000000001E-3</v>
      </c>
      <c r="H762" s="24">
        <f t="shared" si="55"/>
        <v>18.89</v>
      </c>
      <c r="I762" s="23" t="str">
        <f t="shared" si="56"/>
        <v>Match</v>
      </c>
      <c r="J762" s="23" t="str">
        <f t="shared" si="57"/>
        <v>Match</v>
      </c>
      <c r="K762" s="24">
        <f t="shared" si="58"/>
        <v>3.4</v>
      </c>
      <c r="L762" s="24">
        <f t="shared" si="59"/>
        <v>0</v>
      </c>
    </row>
    <row r="763" spans="1:12" ht="15" customHeight="1" x14ac:dyDescent="0.3">
      <c r="A763" s="23" t="s">
        <v>13307</v>
      </c>
      <c r="B763" s="23" t="s">
        <v>77</v>
      </c>
      <c r="C763" s="39">
        <v>3499</v>
      </c>
      <c r="D763" s="24">
        <v>83.98</v>
      </c>
      <c r="E763" s="24">
        <v>15.12</v>
      </c>
      <c r="F763" s="23">
        <f>COUNTIFS(mdr_rate_cleaned!$A$2:$A$10,B763,mdr_rate_cleaned!$B$2:$B$10,"&lt;"&amp;C763,mdr_rate_cleaned!$F$2:$F$10,"&gt;="&amp;C763)</f>
        <v>1</v>
      </c>
      <c r="G763" s="40">
        <f>SUMIFS(mdr_rate_cleaned!$G$2:$G$10,mdr_rate_cleaned!$A$2:$A$10,B763,mdr_rate_cleaned!$B$2:$B$10,"&lt;"&amp;C763,mdr_rate_cleaned!$F$2:$F$10,"&gt;="&amp;C763)</f>
        <v>1.7000000000000001E-2</v>
      </c>
      <c r="H763" s="24">
        <f t="shared" si="55"/>
        <v>59.48</v>
      </c>
      <c r="I763" s="23" t="str">
        <f t="shared" si="56"/>
        <v>Differs</v>
      </c>
      <c r="J763" s="23" t="str">
        <f t="shared" si="57"/>
        <v>Match</v>
      </c>
      <c r="K763" s="24">
        <f t="shared" si="58"/>
        <v>10.71</v>
      </c>
      <c r="L763" s="24">
        <f t="shared" si="59"/>
        <v>28.91</v>
      </c>
    </row>
    <row r="764" spans="1:12" ht="15" customHeight="1" x14ac:dyDescent="0.3">
      <c r="A764" s="23" t="s">
        <v>13309</v>
      </c>
      <c r="B764" s="23" t="s">
        <v>75</v>
      </c>
      <c r="C764" s="39">
        <v>7297</v>
      </c>
      <c r="D764" s="24">
        <v>21.89</v>
      </c>
      <c r="E764" s="24">
        <v>3.94</v>
      </c>
      <c r="F764" s="23">
        <f>COUNTIFS(mdr_rate_cleaned!$A$2:$A$10,B764,mdr_rate_cleaned!$B$2:$B$10,"&lt;"&amp;C764,mdr_rate_cleaned!$F$2:$F$10,"&gt;="&amp;C764)</f>
        <v>1</v>
      </c>
      <c r="G764" s="40">
        <f>SUMIFS(mdr_rate_cleaned!$G$2:$G$10,mdr_rate_cleaned!$A$2:$A$10,B764,mdr_rate_cleaned!$B$2:$B$10,"&lt;"&amp;C764,mdr_rate_cleaned!$F$2:$F$10,"&gt;="&amp;C764)</f>
        <v>3.0000000000000001E-3</v>
      </c>
      <c r="H764" s="24">
        <f t="shared" si="55"/>
        <v>21.89</v>
      </c>
      <c r="I764" s="23" t="str">
        <f t="shared" si="56"/>
        <v>Match</v>
      </c>
      <c r="J764" s="23" t="str">
        <f t="shared" si="57"/>
        <v>Match</v>
      </c>
      <c r="K764" s="24">
        <f t="shared" si="58"/>
        <v>3.94</v>
      </c>
      <c r="L764" s="24">
        <f t="shared" si="59"/>
        <v>0</v>
      </c>
    </row>
    <row r="765" spans="1:12" ht="15" customHeight="1" x14ac:dyDescent="0.3">
      <c r="A765" s="23" t="s">
        <v>13310</v>
      </c>
      <c r="B765" s="23" t="s">
        <v>77</v>
      </c>
      <c r="C765" s="39">
        <v>4998</v>
      </c>
      <c r="D765" s="24">
        <v>84.97</v>
      </c>
      <c r="E765" s="24">
        <v>15.29</v>
      </c>
      <c r="F765" s="23">
        <f>COUNTIFS(mdr_rate_cleaned!$A$2:$A$10,B765,mdr_rate_cleaned!$B$2:$B$10,"&lt;"&amp;C765,mdr_rate_cleaned!$F$2:$F$10,"&gt;="&amp;C765)</f>
        <v>1</v>
      </c>
      <c r="G765" s="40">
        <f>SUMIFS(mdr_rate_cleaned!$G$2:$G$10,mdr_rate_cleaned!$A$2:$A$10,B765,mdr_rate_cleaned!$B$2:$B$10,"&lt;"&amp;C765,mdr_rate_cleaned!$F$2:$F$10,"&gt;="&amp;C765)</f>
        <v>1.7000000000000001E-2</v>
      </c>
      <c r="H765" s="24">
        <f t="shared" si="55"/>
        <v>84.97</v>
      </c>
      <c r="I765" s="23" t="str">
        <f t="shared" si="56"/>
        <v>Match</v>
      </c>
      <c r="J765" s="23" t="str">
        <f t="shared" si="57"/>
        <v>Match</v>
      </c>
      <c r="K765" s="24">
        <f t="shared" si="58"/>
        <v>15.29</v>
      </c>
      <c r="L765" s="24">
        <f t="shared" si="59"/>
        <v>0</v>
      </c>
    </row>
    <row r="766" spans="1:12" ht="15" customHeight="1" x14ac:dyDescent="0.3">
      <c r="A766" s="23" t="s">
        <v>13311</v>
      </c>
      <c r="B766" s="23" t="s">
        <v>75</v>
      </c>
      <c r="C766" s="39">
        <v>3499</v>
      </c>
      <c r="D766" s="24">
        <v>10.5</v>
      </c>
      <c r="E766" s="24">
        <v>1.89</v>
      </c>
      <c r="F766" s="23">
        <f>COUNTIFS(mdr_rate_cleaned!$A$2:$A$10,B766,mdr_rate_cleaned!$B$2:$B$10,"&lt;"&amp;C766,mdr_rate_cleaned!$F$2:$F$10,"&gt;="&amp;C766)</f>
        <v>1</v>
      </c>
      <c r="G766" s="40">
        <f>SUMIFS(mdr_rate_cleaned!$G$2:$G$10,mdr_rate_cleaned!$A$2:$A$10,B766,mdr_rate_cleaned!$B$2:$B$10,"&lt;"&amp;C766,mdr_rate_cleaned!$F$2:$F$10,"&gt;="&amp;C766)</f>
        <v>3.0000000000000001E-3</v>
      </c>
      <c r="H766" s="24">
        <f t="shared" si="55"/>
        <v>10.5</v>
      </c>
      <c r="I766" s="23" t="str">
        <f t="shared" si="56"/>
        <v>Match</v>
      </c>
      <c r="J766" s="23" t="str">
        <f t="shared" si="57"/>
        <v>Match</v>
      </c>
      <c r="K766" s="24">
        <f t="shared" si="58"/>
        <v>1.89</v>
      </c>
      <c r="L766" s="24">
        <f t="shared" si="59"/>
        <v>0</v>
      </c>
    </row>
    <row r="767" spans="1:12" ht="15" customHeight="1" x14ac:dyDescent="0.3">
      <c r="A767" s="23" t="s">
        <v>13312</v>
      </c>
      <c r="B767" s="23" t="s">
        <v>77</v>
      </c>
      <c r="C767" s="39">
        <v>799</v>
      </c>
      <c r="D767" s="24">
        <v>15.18</v>
      </c>
      <c r="E767" s="24">
        <v>2.73</v>
      </c>
      <c r="F767" s="23">
        <f>COUNTIFS(mdr_rate_cleaned!$A$2:$A$10,B767,mdr_rate_cleaned!$B$2:$B$10,"&lt;"&amp;C767,mdr_rate_cleaned!$F$2:$F$10,"&gt;="&amp;C767)</f>
        <v>1</v>
      </c>
      <c r="G767" s="40">
        <f>SUMIFS(mdr_rate_cleaned!$G$2:$G$10,mdr_rate_cleaned!$A$2:$A$10,B767,mdr_rate_cleaned!$B$2:$B$10,"&lt;"&amp;C767,mdr_rate_cleaned!$F$2:$F$10,"&gt;="&amp;C767)</f>
        <v>1.9E-2</v>
      </c>
      <c r="H767" s="24">
        <f t="shared" si="55"/>
        <v>15.18</v>
      </c>
      <c r="I767" s="23" t="str">
        <f t="shared" si="56"/>
        <v>Match</v>
      </c>
      <c r="J767" s="23" t="str">
        <f t="shared" si="57"/>
        <v>Match</v>
      </c>
      <c r="K767" s="24">
        <f t="shared" si="58"/>
        <v>2.73</v>
      </c>
      <c r="L767" s="24">
        <f t="shared" si="59"/>
        <v>0</v>
      </c>
    </row>
    <row r="768" spans="1:12" ht="15" customHeight="1" x14ac:dyDescent="0.3">
      <c r="A768" s="23" t="s">
        <v>13313</v>
      </c>
      <c r="B768" s="23" t="s">
        <v>75</v>
      </c>
      <c r="C768" s="39">
        <v>9147</v>
      </c>
      <c r="D768" s="24">
        <v>27.44</v>
      </c>
      <c r="E768" s="24">
        <v>4.9400000000000004</v>
      </c>
      <c r="F768" s="23">
        <f>COUNTIFS(mdr_rate_cleaned!$A$2:$A$10,B768,mdr_rate_cleaned!$B$2:$B$10,"&lt;"&amp;C768,mdr_rate_cleaned!$F$2:$F$10,"&gt;="&amp;C768)</f>
        <v>1</v>
      </c>
      <c r="G768" s="40">
        <f>SUMIFS(mdr_rate_cleaned!$G$2:$G$10,mdr_rate_cleaned!$A$2:$A$10,B768,mdr_rate_cleaned!$B$2:$B$10,"&lt;"&amp;C768,mdr_rate_cleaned!$F$2:$F$10,"&gt;="&amp;C768)</f>
        <v>3.0000000000000001E-3</v>
      </c>
      <c r="H768" s="24">
        <f t="shared" si="55"/>
        <v>27.44</v>
      </c>
      <c r="I768" s="23" t="str">
        <f t="shared" si="56"/>
        <v>Match</v>
      </c>
      <c r="J768" s="23" t="str">
        <f t="shared" si="57"/>
        <v>Match</v>
      </c>
      <c r="K768" s="24">
        <f t="shared" si="58"/>
        <v>4.9400000000000004</v>
      </c>
      <c r="L768" s="24">
        <f t="shared" si="59"/>
        <v>0</v>
      </c>
    </row>
    <row r="769" spans="1:12" ht="15" customHeight="1" x14ac:dyDescent="0.3">
      <c r="A769" s="23" t="s">
        <v>13314</v>
      </c>
      <c r="B769" s="23" t="s">
        <v>75</v>
      </c>
      <c r="C769" s="39">
        <v>1647</v>
      </c>
      <c r="D769" s="24">
        <v>0</v>
      </c>
      <c r="E769" s="24">
        <v>0</v>
      </c>
      <c r="F769" s="23">
        <f>COUNTIFS(mdr_rate_cleaned!$A$2:$A$10,B769,mdr_rate_cleaned!$B$2:$B$10,"&lt;"&amp;C769,mdr_rate_cleaned!$F$2:$F$10,"&gt;="&amp;C769)</f>
        <v>1</v>
      </c>
      <c r="G769" s="40">
        <f>SUMIFS(mdr_rate_cleaned!$G$2:$G$10,mdr_rate_cleaned!$A$2:$A$10,B769,mdr_rate_cleaned!$B$2:$B$10,"&lt;"&amp;C769,mdr_rate_cleaned!$F$2:$F$10,"&gt;="&amp;C769)</f>
        <v>0</v>
      </c>
      <c r="H769" s="24">
        <f t="shared" si="55"/>
        <v>0</v>
      </c>
      <c r="I769" s="23" t="str">
        <f t="shared" si="56"/>
        <v>Match</v>
      </c>
      <c r="J769" s="23" t="str">
        <f t="shared" si="57"/>
        <v>Match</v>
      </c>
      <c r="K769" s="24">
        <f t="shared" si="58"/>
        <v>0</v>
      </c>
      <c r="L769" s="24">
        <f t="shared" si="59"/>
        <v>0</v>
      </c>
    </row>
    <row r="770" spans="1:12" ht="15" customHeight="1" x14ac:dyDescent="0.3">
      <c r="A770" s="23" t="s">
        <v>13315</v>
      </c>
      <c r="B770" s="23" t="s">
        <v>75</v>
      </c>
      <c r="C770" s="39">
        <v>1299</v>
      </c>
      <c r="D770" s="24">
        <v>0</v>
      </c>
      <c r="E770" s="24">
        <v>0</v>
      </c>
      <c r="F770" s="23">
        <f>COUNTIFS(mdr_rate_cleaned!$A$2:$A$10,B770,mdr_rate_cleaned!$B$2:$B$10,"&lt;"&amp;C770,mdr_rate_cleaned!$F$2:$F$10,"&gt;="&amp;C770)</f>
        <v>1</v>
      </c>
      <c r="G770" s="40">
        <f>SUMIFS(mdr_rate_cleaned!$G$2:$G$10,mdr_rate_cleaned!$A$2:$A$10,B770,mdr_rate_cleaned!$B$2:$B$10,"&lt;"&amp;C770,mdr_rate_cleaned!$F$2:$F$10,"&gt;="&amp;C770)</f>
        <v>0</v>
      </c>
      <c r="H770" s="24">
        <f t="shared" ref="H770:H833" si="60">ROUND(C770*G770,2)</f>
        <v>0</v>
      </c>
      <c r="I770" s="23" t="str">
        <f t="shared" ref="I770:I833" si="61">IF(ROUND(D770-H770,2)=0,"Match","Differs")</f>
        <v>Match</v>
      </c>
      <c r="J770" s="23" t="str">
        <f t="shared" ref="J770:J833" si="62">IF(ROUND(E770-ROUND(D770*0.18,2),2)=0,"Match","Differs")</f>
        <v>Match</v>
      </c>
      <c r="K770" s="24">
        <f t="shared" ref="K770:K833" si="63">ROUND(H770*0.18,2)</f>
        <v>0</v>
      </c>
      <c r="L770" s="24">
        <f t="shared" ref="L770:L833" si="64">ROUND(D770+E770-H770-K770,2)</f>
        <v>0</v>
      </c>
    </row>
    <row r="771" spans="1:12" ht="15" customHeight="1" x14ac:dyDescent="0.3">
      <c r="A771" s="23" t="s">
        <v>13316</v>
      </c>
      <c r="B771" s="23" t="s">
        <v>79</v>
      </c>
      <c r="C771" s="39">
        <v>1198</v>
      </c>
      <c r="D771" s="24">
        <v>21.56</v>
      </c>
      <c r="E771" s="24">
        <v>3.88</v>
      </c>
      <c r="F771" s="23">
        <f>COUNTIFS(mdr_rate_cleaned!$A$2:$A$10,B771,mdr_rate_cleaned!$B$2:$B$10,"&lt;"&amp;C771,mdr_rate_cleaned!$F$2:$F$10,"&gt;="&amp;C771)</f>
        <v>1</v>
      </c>
      <c r="G771" s="40">
        <f>SUMIFS(mdr_rate_cleaned!$G$2:$G$10,mdr_rate_cleaned!$A$2:$A$10,B771,mdr_rate_cleaned!$B$2:$B$10,"&lt;"&amp;C771,mdr_rate_cleaned!$F$2:$F$10,"&gt;="&amp;C771)</f>
        <v>1.8000000000000002E-2</v>
      </c>
      <c r="H771" s="24">
        <f t="shared" si="60"/>
        <v>21.56</v>
      </c>
      <c r="I771" s="23" t="str">
        <f t="shared" si="61"/>
        <v>Match</v>
      </c>
      <c r="J771" s="23" t="str">
        <f t="shared" si="62"/>
        <v>Match</v>
      </c>
      <c r="K771" s="24">
        <f t="shared" si="63"/>
        <v>3.88</v>
      </c>
      <c r="L771" s="24">
        <f t="shared" si="64"/>
        <v>0</v>
      </c>
    </row>
    <row r="772" spans="1:12" ht="15" customHeight="1" x14ac:dyDescent="0.3">
      <c r="A772" s="23" t="s">
        <v>13317</v>
      </c>
      <c r="B772" s="23" t="s">
        <v>75</v>
      </c>
      <c r="C772" s="39">
        <v>8997</v>
      </c>
      <c r="D772" s="24">
        <v>26.99</v>
      </c>
      <c r="E772" s="24">
        <v>4.8600000000000003</v>
      </c>
      <c r="F772" s="23">
        <f>COUNTIFS(mdr_rate_cleaned!$A$2:$A$10,B772,mdr_rate_cleaned!$B$2:$B$10,"&lt;"&amp;C772,mdr_rate_cleaned!$F$2:$F$10,"&gt;="&amp;C772)</f>
        <v>1</v>
      </c>
      <c r="G772" s="40">
        <f>SUMIFS(mdr_rate_cleaned!$G$2:$G$10,mdr_rate_cleaned!$A$2:$A$10,B772,mdr_rate_cleaned!$B$2:$B$10,"&lt;"&amp;C772,mdr_rate_cleaned!$F$2:$F$10,"&gt;="&amp;C772)</f>
        <v>3.0000000000000001E-3</v>
      </c>
      <c r="H772" s="24">
        <f t="shared" si="60"/>
        <v>26.99</v>
      </c>
      <c r="I772" s="23" t="str">
        <f t="shared" si="61"/>
        <v>Match</v>
      </c>
      <c r="J772" s="23" t="str">
        <f t="shared" si="62"/>
        <v>Match</v>
      </c>
      <c r="K772" s="24">
        <f t="shared" si="63"/>
        <v>4.8600000000000003</v>
      </c>
      <c r="L772" s="24">
        <f t="shared" si="64"/>
        <v>0</v>
      </c>
    </row>
    <row r="773" spans="1:12" ht="15" customHeight="1" x14ac:dyDescent="0.3">
      <c r="A773" s="23" t="s">
        <v>13318</v>
      </c>
      <c r="B773" s="23" t="s">
        <v>81</v>
      </c>
      <c r="C773" s="39">
        <v>6347</v>
      </c>
      <c r="D773" s="24">
        <v>76.16</v>
      </c>
      <c r="E773" s="24">
        <v>13.71</v>
      </c>
      <c r="F773" s="23">
        <f>COUNTIFS(mdr_rate_cleaned!$A$2:$A$10,B773,mdr_rate_cleaned!$B$2:$B$10,"&lt;"&amp;C773,mdr_rate_cleaned!$F$2:$F$10,"&gt;="&amp;C773)</f>
        <v>1</v>
      </c>
      <c r="G773" s="40">
        <f>SUMIFS(mdr_rate_cleaned!$G$2:$G$10,mdr_rate_cleaned!$A$2:$A$10,B773,mdr_rate_cleaned!$B$2:$B$10,"&lt;"&amp;C773,mdr_rate_cleaned!$F$2:$F$10,"&gt;="&amp;C773)</f>
        <v>1.2E-2</v>
      </c>
      <c r="H773" s="24">
        <f t="shared" si="60"/>
        <v>76.16</v>
      </c>
      <c r="I773" s="23" t="str">
        <f t="shared" si="61"/>
        <v>Match</v>
      </c>
      <c r="J773" s="23" t="str">
        <f t="shared" si="62"/>
        <v>Match</v>
      </c>
      <c r="K773" s="24">
        <f t="shared" si="63"/>
        <v>13.71</v>
      </c>
      <c r="L773" s="24">
        <f t="shared" si="64"/>
        <v>0</v>
      </c>
    </row>
    <row r="774" spans="1:12" ht="15" customHeight="1" x14ac:dyDescent="0.3">
      <c r="A774" s="23" t="s">
        <v>13319</v>
      </c>
      <c r="B774" s="23" t="s">
        <v>75</v>
      </c>
      <c r="C774" s="39">
        <v>5797</v>
      </c>
      <c r="D774" s="24">
        <v>17.39</v>
      </c>
      <c r="E774" s="24">
        <v>3.13</v>
      </c>
      <c r="F774" s="23">
        <f>COUNTIFS(mdr_rate_cleaned!$A$2:$A$10,B774,mdr_rate_cleaned!$B$2:$B$10,"&lt;"&amp;C774,mdr_rate_cleaned!$F$2:$F$10,"&gt;="&amp;C774)</f>
        <v>1</v>
      </c>
      <c r="G774" s="40">
        <f>SUMIFS(mdr_rate_cleaned!$G$2:$G$10,mdr_rate_cleaned!$A$2:$A$10,B774,mdr_rate_cleaned!$B$2:$B$10,"&lt;"&amp;C774,mdr_rate_cleaned!$F$2:$F$10,"&gt;="&amp;C774)</f>
        <v>3.0000000000000001E-3</v>
      </c>
      <c r="H774" s="24">
        <f t="shared" si="60"/>
        <v>17.39</v>
      </c>
      <c r="I774" s="23" t="str">
        <f t="shared" si="61"/>
        <v>Match</v>
      </c>
      <c r="J774" s="23" t="str">
        <f t="shared" si="62"/>
        <v>Match</v>
      </c>
      <c r="K774" s="24">
        <f t="shared" si="63"/>
        <v>3.13</v>
      </c>
      <c r="L774" s="24">
        <f t="shared" si="64"/>
        <v>0</v>
      </c>
    </row>
    <row r="775" spans="1:12" ht="15" customHeight="1" x14ac:dyDescent="0.3">
      <c r="A775" s="23" t="s">
        <v>13320</v>
      </c>
      <c r="B775" s="23" t="s">
        <v>79</v>
      </c>
      <c r="C775" s="39">
        <v>4999</v>
      </c>
      <c r="D775" s="24">
        <v>79.98</v>
      </c>
      <c r="E775" s="24">
        <v>14.4</v>
      </c>
      <c r="F775" s="23">
        <f>COUNTIFS(mdr_rate_cleaned!$A$2:$A$10,B775,mdr_rate_cleaned!$B$2:$B$10,"&lt;"&amp;C775,mdr_rate_cleaned!$F$2:$F$10,"&gt;="&amp;C775)</f>
        <v>1</v>
      </c>
      <c r="G775" s="40">
        <f>SUMIFS(mdr_rate_cleaned!$G$2:$G$10,mdr_rate_cleaned!$A$2:$A$10,B775,mdr_rate_cleaned!$B$2:$B$10,"&lt;"&amp;C775,mdr_rate_cleaned!$F$2:$F$10,"&gt;="&amp;C775)</f>
        <v>1.6E-2</v>
      </c>
      <c r="H775" s="24">
        <f t="shared" si="60"/>
        <v>79.98</v>
      </c>
      <c r="I775" s="23" t="str">
        <f t="shared" si="61"/>
        <v>Match</v>
      </c>
      <c r="J775" s="23" t="str">
        <f t="shared" si="62"/>
        <v>Match</v>
      </c>
      <c r="K775" s="24">
        <f t="shared" si="63"/>
        <v>14.4</v>
      </c>
      <c r="L775" s="24">
        <f t="shared" si="64"/>
        <v>0</v>
      </c>
    </row>
    <row r="776" spans="1:12" ht="15" customHeight="1" x14ac:dyDescent="0.3">
      <c r="A776" s="23" t="s">
        <v>13321</v>
      </c>
      <c r="B776" s="23" t="s">
        <v>79</v>
      </c>
      <c r="C776" s="39">
        <v>7999</v>
      </c>
      <c r="D776" s="24">
        <v>127.98</v>
      </c>
      <c r="E776" s="24">
        <v>23.04</v>
      </c>
      <c r="F776" s="23">
        <f>COUNTIFS(mdr_rate_cleaned!$A$2:$A$10,B776,mdr_rate_cleaned!$B$2:$B$10,"&lt;"&amp;C776,mdr_rate_cleaned!$F$2:$F$10,"&gt;="&amp;C776)</f>
        <v>1</v>
      </c>
      <c r="G776" s="40">
        <f>SUMIFS(mdr_rate_cleaned!$G$2:$G$10,mdr_rate_cleaned!$A$2:$A$10,B776,mdr_rate_cleaned!$B$2:$B$10,"&lt;"&amp;C776,mdr_rate_cleaned!$F$2:$F$10,"&gt;="&amp;C776)</f>
        <v>1.6E-2</v>
      </c>
      <c r="H776" s="24">
        <f t="shared" si="60"/>
        <v>127.98</v>
      </c>
      <c r="I776" s="23" t="str">
        <f t="shared" si="61"/>
        <v>Match</v>
      </c>
      <c r="J776" s="23" t="str">
        <f t="shared" si="62"/>
        <v>Match</v>
      </c>
      <c r="K776" s="24">
        <f t="shared" si="63"/>
        <v>23.04</v>
      </c>
      <c r="L776" s="24">
        <f t="shared" si="64"/>
        <v>0</v>
      </c>
    </row>
    <row r="777" spans="1:12" ht="15" customHeight="1" x14ac:dyDescent="0.3">
      <c r="A777" s="23" t="s">
        <v>13323</v>
      </c>
      <c r="B777" s="23" t="s">
        <v>75</v>
      </c>
      <c r="C777" s="39">
        <v>2499</v>
      </c>
      <c r="D777" s="24">
        <v>7.5</v>
      </c>
      <c r="E777" s="24">
        <v>1.35</v>
      </c>
      <c r="F777" s="23">
        <f>COUNTIFS(mdr_rate_cleaned!$A$2:$A$10,B777,mdr_rate_cleaned!$B$2:$B$10,"&lt;"&amp;C777,mdr_rate_cleaned!$F$2:$F$10,"&gt;="&amp;C777)</f>
        <v>1</v>
      </c>
      <c r="G777" s="40">
        <f>SUMIFS(mdr_rate_cleaned!$G$2:$G$10,mdr_rate_cleaned!$A$2:$A$10,B777,mdr_rate_cleaned!$B$2:$B$10,"&lt;"&amp;C777,mdr_rate_cleaned!$F$2:$F$10,"&gt;="&amp;C777)</f>
        <v>3.0000000000000001E-3</v>
      </c>
      <c r="H777" s="24">
        <f t="shared" si="60"/>
        <v>7.5</v>
      </c>
      <c r="I777" s="23" t="str">
        <f t="shared" si="61"/>
        <v>Match</v>
      </c>
      <c r="J777" s="23" t="str">
        <f t="shared" si="62"/>
        <v>Match</v>
      </c>
      <c r="K777" s="24">
        <f t="shared" si="63"/>
        <v>1.35</v>
      </c>
      <c r="L777" s="24">
        <f t="shared" si="64"/>
        <v>0</v>
      </c>
    </row>
    <row r="778" spans="1:12" ht="15" customHeight="1" x14ac:dyDescent="0.3">
      <c r="A778" s="23" t="s">
        <v>13324</v>
      </c>
      <c r="B778" s="23" t="s">
        <v>79</v>
      </c>
      <c r="C778" s="39">
        <v>1799</v>
      </c>
      <c r="D778" s="24">
        <v>32.380000000000003</v>
      </c>
      <c r="E778" s="24">
        <v>5.83</v>
      </c>
      <c r="F778" s="23">
        <f>COUNTIFS(mdr_rate_cleaned!$A$2:$A$10,B778,mdr_rate_cleaned!$B$2:$B$10,"&lt;"&amp;C778,mdr_rate_cleaned!$F$2:$F$10,"&gt;="&amp;C778)</f>
        <v>1</v>
      </c>
      <c r="G778" s="40">
        <f>SUMIFS(mdr_rate_cleaned!$G$2:$G$10,mdr_rate_cleaned!$A$2:$A$10,B778,mdr_rate_cleaned!$B$2:$B$10,"&lt;"&amp;C778,mdr_rate_cleaned!$F$2:$F$10,"&gt;="&amp;C778)</f>
        <v>1.8000000000000002E-2</v>
      </c>
      <c r="H778" s="24">
        <f t="shared" si="60"/>
        <v>32.380000000000003</v>
      </c>
      <c r="I778" s="23" t="str">
        <f t="shared" si="61"/>
        <v>Match</v>
      </c>
      <c r="J778" s="23" t="str">
        <f t="shared" si="62"/>
        <v>Match</v>
      </c>
      <c r="K778" s="24">
        <f t="shared" si="63"/>
        <v>5.83</v>
      </c>
      <c r="L778" s="24">
        <f t="shared" si="64"/>
        <v>0</v>
      </c>
    </row>
    <row r="779" spans="1:12" ht="15" customHeight="1" x14ac:dyDescent="0.3">
      <c r="A779" s="23" t="s">
        <v>13326</v>
      </c>
      <c r="B779" s="23" t="s">
        <v>75</v>
      </c>
      <c r="C779" s="39">
        <v>11797</v>
      </c>
      <c r="D779" s="24">
        <v>35.39</v>
      </c>
      <c r="E779" s="24">
        <v>6.37</v>
      </c>
      <c r="F779" s="23">
        <f>COUNTIFS(mdr_rate_cleaned!$A$2:$A$10,B779,mdr_rate_cleaned!$B$2:$B$10,"&lt;"&amp;C779,mdr_rate_cleaned!$F$2:$F$10,"&gt;="&amp;C779)</f>
        <v>1</v>
      </c>
      <c r="G779" s="40">
        <f>SUMIFS(mdr_rate_cleaned!$G$2:$G$10,mdr_rate_cleaned!$A$2:$A$10,B779,mdr_rate_cleaned!$B$2:$B$10,"&lt;"&amp;C779,mdr_rate_cleaned!$F$2:$F$10,"&gt;="&amp;C779)</f>
        <v>3.0000000000000001E-3</v>
      </c>
      <c r="H779" s="24">
        <f t="shared" si="60"/>
        <v>35.39</v>
      </c>
      <c r="I779" s="23" t="str">
        <f t="shared" si="61"/>
        <v>Match</v>
      </c>
      <c r="J779" s="23" t="str">
        <f t="shared" si="62"/>
        <v>Match</v>
      </c>
      <c r="K779" s="24">
        <f t="shared" si="63"/>
        <v>6.37</v>
      </c>
      <c r="L779" s="24">
        <f t="shared" si="64"/>
        <v>0</v>
      </c>
    </row>
    <row r="780" spans="1:12" ht="15" customHeight="1" x14ac:dyDescent="0.3">
      <c r="A780" s="23" t="s">
        <v>13327</v>
      </c>
      <c r="B780" s="23" t="s">
        <v>79</v>
      </c>
      <c r="C780" s="39">
        <v>3499</v>
      </c>
      <c r="D780" s="24">
        <v>55.98</v>
      </c>
      <c r="E780" s="24">
        <v>10.08</v>
      </c>
      <c r="F780" s="23">
        <f>COUNTIFS(mdr_rate_cleaned!$A$2:$A$10,B780,mdr_rate_cleaned!$B$2:$B$10,"&lt;"&amp;C780,mdr_rate_cleaned!$F$2:$F$10,"&gt;="&amp;C780)</f>
        <v>1</v>
      </c>
      <c r="G780" s="40">
        <f>SUMIFS(mdr_rate_cleaned!$G$2:$G$10,mdr_rate_cleaned!$A$2:$A$10,B780,mdr_rate_cleaned!$B$2:$B$10,"&lt;"&amp;C780,mdr_rate_cleaned!$F$2:$F$10,"&gt;="&amp;C780)</f>
        <v>1.6E-2</v>
      </c>
      <c r="H780" s="24">
        <f t="shared" si="60"/>
        <v>55.98</v>
      </c>
      <c r="I780" s="23" t="str">
        <f t="shared" si="61"/>
        <v>Match</v>
      </c>
      <c r="J780" s="23" t="str">
        <f t="shared" si="62"/>
        <v>Match</v>
      </c>
      <c r="K780" s="24">
        <f t="shared" si="63"/>
        <v>10.08</v>
      </c>
      <c r="L780" s="24">
        <f t="shared" si="64"/>
        <v>0</v>
      </c>
    </row>
    <row r="781" spans="1:12" ht="15" customHeight="1" x14ac:dyDescent="0.3">
      <c r="A781" s="23" t="s">
        <v>13328</v>
      </c>
      <c r="B781" s="23" t="s">
        <v>75</v>
      </c>
      <c r="C781" s="39">
        <v>3499</v>
      </c>
      <c r="D781" s="24">
        <v>10.5</v>
      </c>
      <c r="E781" s="24">
        <v>1.89</v>
      </c>
      <c r="F781" s="23">
        <f>COUNTIFS(mdr_rate_cleaned!$A$2:$A$10,B781,mdr_rate_cleaned!$B$2:$B$10,"&lt;"&amp;C781,mdr_rate_cleaned!$F$2:$F$10,"&gt;="&amp;C781)</f>
        <v>1</v>
      </c>
      <c r="G781" s="40">
        <f>SUMIFS(mdr_rate_cleaned!$G$2:$G$10,mdr_rate_cleaned!$A$2:$A$10,B781,mdr_rate_cleaned!$B$2:$B$10,"&lt;"&amp;C781,mdr_rate_cleaned!$F$2:$F$10,"&gt;="&amp;C781)</f>
        <v>3.0000000000000001E-3</v>
      </c>
      <c r="H781" s="24">
        <f t="shared" si="60"/>
        <v>10.5</v>
      </c>
      <c r="I781" s="23" t="str">
        <f t="shared" si="61"/>
        <v>Match</v>
      </c>
      <c r="J781" s="23" t="str">
        <f t="shared" si="62"/>
        <v>Match</v>
      </c>
      <c r="K781" s="24">
        <f t="shared" si="63"/>
        <v>1.89</v>
      </c>
      <c r="L781" s="24">
        <f t="shared" si="64"/>
        <v>0</v>
      </c>
    </row>
    <row r="782" spans="1:12" ht="15" customHeight="1" x14ac:dyDescent="0.3">
      <c r="A782" s="23" t="s">
        <v>13329</v>
      </c>
      <c r="B782" s="23" t="s">
        <v>79</v>
      </c>
      <c r="C782" s="39">
        <v>1497</v>
      </c>
      <c r="D782" s="24">
        <v>26.95</v>
      </c>
      <c r="E782" s="24">
        <v>4.8499999999999996</v>
      </c>
      <c r="F782" s="23">
        <f>COUNTIFS(mdr_rate_cleaned!$A$2:$A$10,B782,mdr_rate_cleaned!$B$2:$B$10,"&lt;"&amp;C782,mdr_rate_cleaned!$F$2:$F$10,"&gt;="&amp;C782)</f>
        <v>1</v>
      </c>
      <c r="G782" s="40">
        <f>SUMIFS(mdr_rate_cleaned!$G$2:$G$10,mdr_rate_cleaned!$A$2:$A$10,B782,mdr_rate_cleaned!$B$2:$B$10,"&lt;"&amp;C782,mdr_rate_cleaned!$F$2:$F$10,"&gt;="&amp;C782)</f>
        <v>1.8000000000000002E-2</v>
      </c>
      <c r="H782" s="24">
        <f t="shared" si="60"/>
        <v>26.95</v>
      </c>
      <c r="I782" s="23" t="str">
        <f t="shared" si="61"/>
        <v>Match</v>
      </c>
      <c r="J782" s="23" t="str">
        <f t="shared" si="62"/>
        <v>Match</v>
      </c>
      <c r="K782" s="24">
        <f t="shared" si="63"/>
        <v>4.8499999999999996</v>
      </c>
      <c r="L782" s="24">
        <f t="shared" si="64"/>
        <v>0</v>
      </c>
    </row>
    <row r="783" spans="1:12" ht="15" customHeight="1" x14ac:dyDescent="0.3">
      <c r="A783" s="23" t="s">
        <v>13330</v>
      </c>
      <c r="B783" s="23" t="s">
        <v>75</v>
      </c>
      <c r="C783" s="39">
        <v>3348</v>
      </c>
      <c r="D783" s="24">
        <v>10.039999999999999</v>
      </c>
      <c r="E783" s="24">
        <v>1.81</v>
      </c>
      <c r="F783" s="23">
        <f>COUNTIFS(mdr_rate_cleaned!$A$2:$A$10,B783,mdr_rate_cleaned!$B$2:$B$10,"&lt;"&amp;C783,mdr_rate_cleaned!$F$2:$F$10,"&gt;="&amp;C783)</f>
        <v>1</v>
      </c>
      <c r="G783" s="40">
        <f>SUMIFS(mdr_rate_cleaned!$G$2:$G$10,mdr_rate_cleaned!$A$2:$A$10,B783,mdr_rate_cleaned!$B$2:$B$10,"&lt;"&amp;C783,mdr_rate_cleaned!$F$2:$F$10,"&gt;="&amp;C783)</f>
        <v>3.0000000000000001E-3</v>
      </c>
      <c r="H783" s="24">
        <f t="shared" si="60"/>
        <v>10.039999999999999</v>
      </c>
      <c r="I783" s="23" t="str">
        <f t="shared" si="61"/>
        <v>Match</v>
      </c>
      <c r="J783" s="23" t="str">
        <f t="shared" si="62"/>
        <v>Match</v>
      </c>
      <c r="K783" s="24">
        <f t="shared" si="63"/>
        <v>1.81</v>
      </c>
      <c r="L783" s="24">
        <f t="shared" si="64"/>
        <v>0</v>
      </c>
    </row>
    <row r="784" spans="1:12" ht="15" customHeight="1" x14ac:dyDescent="0.3">
      <c r="A784" s="23" t="s">
        <v>13332</v>
      </c>
      <c r="B784" s="23" t="s">
        <v>75</v>
      </c>
      <c r="C784" s="39">
        <v>2347</v>
      </c>
      <c r="D784" s="24">
        <v>7.04</v>
      </c>
      <c r="E784" s="24">
        <v>1.27</v>
      </c>
      <c r="F784" s="23">
        <f>COUNTIFS(mdr_rate_cleaned!$A$2:$A$10,B784,mdr_rate_cleaned!$B$2:$B$10,"&lt;"&amp;C784,mdr_rate_cleaned!$F$2:$F$10,"&gt;="&amp;C784)</f>
        <v>1</v>
      </c>
      <c r="G784" s="40">
        <f>SUMIFS(mdr_rate_cleaned!$G$2:$G$10,mdr_rate_cleaned!$A$2:$A$10,B784,mdr_rate_cleaned!$B$2:$B$10,"&lt;"&amp;C784,mdr_rate_cleaned!$F$2:$F$10,"&gt;="&amp;C784)</f>
        <v>3.0000000000000001E-3</v>
      </c>
      <c r="H784" s="24">
        <f t="shared" si="60"/>
        <v>7.04</v>
      </c>
      <c r="I784" s="23" t="str">
        <f t="shared" si="61"/>
        <v>Match</v>
      </c>
      <c r="J784" s="23" t="str">
        <f t="shared" si="62"/>
        <v>Match</v>
      </c>
      <c r="K784" s="24">
        <f t="shared" si="63"/>
        <v>1.27</v>
      </c>
      <c r="L784" s="24">
        <f t="shared" si="64"/>
        <v>0</v>
      </c>
    </row>
    <row r="785" spans="1:12" ht="15" customHeight="1" x14ac:dyDescent="0.3">
      <c r="A785" s="23" t="s">
        <v>13333</v>
      </c>
      <c r="B785" s="23" t="s">
        <v>79</v>
      </c>
      <c r="C785" s="39">
        <v>299</v>
      </c>
      <c r="D785" s="24">
        <v>5.38</v>
      </c>
      <c r="E785" s="24">
        <v>0.97</v>
      </c>
      <c r="F785" s="23">
        <f>COUNTIFS(mdr_rate_cleaned!$A$2:$A$10,B785,mdr_rate_cleaned!$B$2:$B$10,"&lt;"&amp;C785,mdr_rate_cleaned!$F$2:$F$10,"&gt;="&amp;C785)</f>
        <v>1</v>
      </c>
      <c r="G785" s="40">
        <f>SUMIFS(mdr_rate_cleaned!$G$2:$G$10,mdr_rate_cleaned!$A$2:$A$10,B785,mdr_rate_cleaned!$B$2:$B$10,"&lt;"&amp;C785,mdr_rate_cleaned!$F$2:$F$10,"&gt;="&amp;C785)</f>
        <v>1.8000000000000002E-2</v>
      </c>
      <c r="H785" s="24">
        <f t="shared" si="60"/>
        <v>5.38</v>
      </c>
      <c r="I785" s="23" t="str">
        <f t="shared" si="61"/>
        <v>Match</v>
      </c>
      <c r="J785" s="23" t="str">
        <f t="shared" si="62"/>
        <v>Match</v>
      </c>
      <c r="K785" s="24">
        <f t="shared" si="63"/>
        <v>0.97</v>
      </c>
      <c r="L785" s="24">
        <f t="shared" si="64"/>
        <v>0</v>
      </c>
    </row>
    <row r="786" spans="1:12" ht="15" customHeight="1" x14ac:dyDescent="0.3">
      <c r="A786" s="23" t="s">
        <v>13334</v>
      </c>
      <c r="B786" s="23" t="s">
        <v>75</v>
      </c>
      <c r="C786" s="39">
        <v>1299</v>
      </c>
      <c r="D786" s="24">
        <v>0</v>
      </c>
      <c r="E786" s="24">
        <v>0</v>
      </c>
      <c r="F786" s="23">
        <f>COUNTIFS(mdr_rate_cleaned!$A$2:$A$10,B786,mdr_rate_cleaned!$B$2:$B$10,"&lt;"&amp;C786,mdr_rate_cleaned!$F$2:$F$10,"&gt;="&amp;C786)</f>
        <v>1</v>
      </c>
      <c r="G786" s="40">
        <f>SUMIFS(mdr_rate_cleaned!$G$2:$G$10,mdr_rate_cleaned!$A$2:$A$10,B786,mdr_rate_cleaned!$B$2:$B$10,"&lt;"&amp;C786,mdr_rate_cleaned!$F$2:$F$10,"&gt;="&amp;C786)</f>
        <v>0</v>
      </c>
      <c r="H786" s="24">
        <f t="shared" si="60"/>
        <v>0</v>
      </c>
      <c r="I786" s="23" t="str">
        <f t="shared" si="61"/>
        <v>Match</v>
      </c>
      <c r="J786" s="23" t="str">
        <f t="shared" si="62"/>
        <v>Match</v>
      </c>
      <c r="K786" s="24">
        <f t="shared" si="63"/>
        <v>0</v>
      </c>
      <c r="L786" s="24">
        <f t="shared" si="64"/>
        <v>0</v>
      </c>
    </row>
    <row r="787" spans="1:12" ht="15" customHeight="1" x14ac:dyDescent="0.3">
      <c r="A787" s="23" t="s">
        <v>13335</v>
      </c>
      <c r="B787" s="23" t="s">
        <v>75</v>
      </c>
      <c r="C787" s="39">
        <v>1648</v>
      </c>
      <c r="D787" s="24">
        <v>0</v>
      </c>
      <c r="E787" s="24">
        <v>0</v>
      </c>
      <c r="F787" s="23">
        <f>COUNTIFS(mdr_rate_cleaned!$A$2:$A$10,B787,mdr_rate_cleaned!$B$2:$B$10,"&lt;"&amp;C787,mdr_rate_cleaned!$F$2:$F$10,"&gt;="&amp;C787)</f>
        <v>1</v>
      </c>
      <c r="G787" s="40">
        <f>SUMIFS(mdr_rate_cleaned!$G$2:$G$10,mdr_rate_cleaned!$A$2:$A$10,B787,mdr_rate_cleaned!$B$2:$B$10,"&lt;"&amp;C787,mdr_rate_cleaned!$F$2:$F$10,"&gt;="&amp;C787)</f>
        <v>0</v>
      </c>
      <c r="H787" s="24">
        <f t="shared" si="60"/>
        <v>0</v>
      </c>
      <c r="I787" s="23" t="str">
        <f t="shared" si="61"/>
        <v>Match</v>
      </c>
      <c r="J787" s="23" t="str">
        <f t="shared" si="62"/>
        <v>Match</v>
      </c>
      <c r="K787" s="24">
        <f t="shared" si="63"/>
        <v>0</v>
      </c>
      <c r="L787" s="24">
        <f t="shared" si="64"/>
        <v>0</v>
      </c>
    </row>
    <row r="788" spans="1:12" ht="15" customHeight="1" x14ac:dyDescent="0.3">
      <c r="A788" s="23" t="s">
        <v>13336</v>
      </c>
      <c r="B788" s="23" t="s">
        <v>79</v>
      </c>
      <c r="C788" s="39">
        <v>7999</v>
      </c>
      <c r="D788" s="24">
        <v>127.98</v>
      </c>
      <c r="E788" s="24">
        <v>23.04</v>
      </c>
      <c r="F788" s="23">
        <f>COUNTIFS(mdr_rate_cleaned!$A$2:$A$10,B788,mdr_rate_cleaned!$B$2:$B$10,"&lt;"&amp;C788,mdr_rate_cleaned!$F$2:$F$10,"&gt;="&amp;C788)</f>
        <v>1</v>
      </c>
      <c r="G788" s="40">
        <f>SUMIFS(mdr_rate_cleaned!$G$2:$G$10,mdr_rate_cleaned!$A$2:$A$10,B788,mdr_rate_cleaned!$B$2:$B$10,"&lt;"&amp;C788,mdr_rate_cleaned!$F$2:$F$10,"&gt;="&amp;C788)</f>
        <v>1.6E-2</v>
      </c>
      <c r="H788" s="24">
        <f t="shared" si="60"/>
        <v>127.98</v>
      </c>
      <c r="I788" s="23" t="str">
        <f t="shared" si="61"/>
        <v>Match</v>
      </c>
      <c r="J788" s="23" t="str">
        <f t="shared" si="62"/>
        <v>Match</v>
      </c>
      <c r="K788" s="24">
        <f t="shared" si="63"/>
        <v>23.04</v>
      </c>
      <c r="L788" s="24">
        <f t="shared" si="64"/>
        <v>0</v>
      </c>
    </row>
    <row r="789" spans="1:12" ht="15" customHeight="1" x14ac:dyDescent="0.3">
      <c r="A789" s="23" t="s">
        <v>13337</v>
      </c>
      <c r="B789" s="23" t="s">
        <v>77</v>
      </c>
      <c r="C789" s="39">
        <v>4999</v>
      </c>
      <c r="D789" s="24">
        <v>84.98</v>
      </c>
      <c r="E789" s="24">
        <v>15.3</v>
      </c>
      <c r="F789" s="23">
        <f>COUNTIFS(mdr_rate_cleaned!$A$2:$A$10,B789,mdr_rate_cleaned!$B$2:$B$10,"&lt;"&amp;C789,mdr_rate_cleaned!$F$2:$F$10,"&gt;="&amp;C789)</f>
        <v>1</v>
      </c>
      <c r="G789" s="40">
        <f>SUMIFS(mdr_rate_cleaned!$G$2:$G$10,mdr_rate_cleaned!$A$2:$A$10,B789,mdr_rate_cleaned!$B$2:$B$10,"&lt;"&amp;C789,mdr_rate_cleaned!$F$2:$F$10,"&gt;="&amp;C789)</f>
        <v>1.7000000000000001E-2</v>
      </c>
      <c r="H789" s="24">
        <f t="shared" si="60"/>
        <v>84.98</v>
      </c>
      <c r="I789" s="23" t="str">
        <f t="shared" si="61"/>
        <v>Match</v>
      </c>
      <c r="J789" s="23" t="str">
        <f t="shared" si="62"/>
        <v>Match</v>
      </c>
      <c r="K789" s="24">
        <f t="shared" si="63"/>
        <v>15.3</v>
      </c>
      <c r="L789" s="24">
        <f t="shared" si="64"/>
        <v>0</v>
      </c>
    </row>
    <row r="790" spans="1:12" ht="15" customHeight="1" x14ac:dyDescent="0.3">
      <c r="A790" s="23" t="s">
        <v>13338</v>
      </c>
      <c r="B790" s="23" t="s">
        <v>75</v>
      </c>
      <c r="C790" s="39">
        <v>1348</v>
      </c>
      <c r="D790" s="24">
        <v>0</v>
      </c>
      <c r="E790" s="24">
        <v>0</v>
      </c>
      <c r="F790" s="23">
        <f>COUNTIFS(mdr_rate_cleaned!$A$2:$A$10,B790,mdr_rate_cleaned!$B$2:$B$10,"&lt;"&amp;C790,mdr_rate_cleaned!$F$2:$F$10,"&gt;="&amp;C790)</f>
        <v>1</v>
      </c>
      <c r="G790" s="40">
        <f>SUMIFS(mdr_rate_cleaned!$G$2:$G$10,mdr_rate_cleaned!$A$2:$A$10,B790,mdr_rate_cleaned!$B$2:$B$10,"&lt;"&amp;C790,mdr_rate_cleaned!$F$2:$F$10,"&gt;="&amp;C790)</f>
        <v>0</v>
      </c>
      <c r="H790" s="24">
        <f t="shared" si="60"/>
        <v>0</v>
      </c>
      <c r="I790" s="23" t="str">
        <f t="shared" si="61"/>
        <v>Match</v>
      </c>
      <c r="J790" s="23" t="str">
        <f t="shared" si="62"/>
        <v>Match</v>
      </c>
      <c r="K790" s="24">
        <f t="shared" si="63"/>
        <v>0</v>
      </c>
      <c r="L790" s="24">
        <f t="shared" si="64"/>
        <v>0</v>
      </c>
    </row>
    <row r="791" spans="1:12" ht="15" customHeight="1" x14ac:dyDescent="0.3">
      <c r="A791" s="23" t="s">
        <v>13339</v>
      </c>
      <c r="B791" s="23" t="s">
        <v>75</v>
      </c>
      <c r="C791" s="39">
        <v>3998</v>
      </c>
      <c r="D791" s="24">
        <v>11.99</v>
      </c>
      <c r="E791" s="24">
        <v>2.16</v>
      </c>
      <c r="F791" s="23">
        <f>COUNTIFS(mdr_rate_cleaned!$A$2:$A$10,B791,mdr_rate_cleaned!$B$2:$B$10,"&lt;"&amp;C791,mdr_rate_cleaned!$F$2:$F$10,"&gt;="&amp;C791)</f>
        <v>1</v>
      </c>
      <c r="G791" s="40">
        <f>SUMIFS(mdr_rate_cleaned!$G$2:$G$10,mdr_rate_cleaned!$A$2:$A$10,B791,mdr_rate_cleaned!$B$2:$B$10,"&lt;"&amp;C791,mdr_rate_cleaned!$F$2:$F$10,"&gt;="&amp;C791)</f>
        <v>3.0000000000000001E-3</v>
      </c>
      <c r="H791" s="24">
        <f t="shared" si="60"/>
        <v>11.99</v>
      </c>
      <c r="I791" s="23" t="str">
        <f t="shared" si="61"/>
        <v>Match</v>
      </c>
      <c r="J791" s="23" t="str">
        <f t="shared" si="62"/>
        <v>Match</v>
      </c>
      <c r="K791" s="24">
        <f t="shared" si="63"/>
        <v>2.16</v>
      </c>
      <c r="L791" s="24">
        <f t="shared" si="64"/>
        <v>0</v>
      </c>
    </row>
    <row r="792" spans="1:12" ht="15" customHeight="1" x14ac:dyDescent="0.3">
      <c r="A792" s="23" t="s">
        <v>13340</v>
      </c>
      <c r="B792" s="23" t="s">
        <v>75</v>
      </c>
      <c r="C792" s="39">
        <v>349</v>
      </c>
      <c r="D792" s="24">
        <v>0</v>
      </c>
      <c r="E792" s="24">
        <v>0</v>
      </c>
      <c r="F792" s="23">
        <f>COUNTIFS(mdr_rate_cleaned!$A$2:$A$10,B792,mdr_rate_cleaned!$B$2:$B$10,"&lt;"&amp;C792,mdr_rate_cleaned!$F$2:$F$10,"&gt;="&amp;C792)</f>
        <v>1</v>
      </c>
      <c r="G792" s="40">
        <f>SUMIFS(mdr_rate_cleaned!$G$2:$G$10,mdr_rate_cleaned!$A$2:$A$10,B792,mdr_rate_cleaned!$B$2:$B$10,"&lt;"&amp;C792,mdr_rate_cleaned!$F$2:$F$10,"&gt;="&amp;C792)</f>
        <v>0</v>
      </c>
      <c r="H792" s="24">
        <f t="shared" si="60"/>
        <v>0</v>
      </c>
      <c r="I792" s="23" t="str">
        <f t="shared" si="61"/>
        <v>Match</v>
      </c>
      <c r="J792" s="23" t="str">
        <f t="shared" si="62"/>
        <v>Match</v>
      </c>
      <c r="K792" s="24">
        <f t="shared" si="63"/>
        <v>0</v>
      </c>
      <c r="L792" s="24">
        <f t="shared" si="64"/>
        <v>0</v>
      </c>
    </row>
    <row r="793" spans="1:12" ht="15" customHeight="1" x14ac:dyDescent="0.3">
      <c r="A793" s="23" t="s">
        <v>13341</v>
      </c>
      <c r="B793" s="23" t="s">
        <v>79</v>
      </c>
      <c r="C793" s="39">
        <v>2499</v>
      </c>
      <c r="D793" s="24">
        <v>39.979999999999997</v>
      </c>
      <c r="E793" s="24">
        <v>7.2</v>
      </c>
      <c r="F793" s="23">
        <f>COUNTIFS(mdr_rate_cleaned!$A$2:$A$10,B793,mdr_rate_cleaned!$B$2:$B$10,"&lt;"&amp;C793,mdr_rate_cleaned!$F$2:$F$10,"&gt;="&amp;C793)</f>
        <v>1</v>
      </c>
      <c r="G793" s="40">
        <f>SUMIFS(mdr_rate_cleaned!$G$2:$G$10,mdr_rate_cleaned!$A$2:$A$10,B793,mdr_rate_cleaned!$B$2:$B$10,"&lt;"&amp;C793,mdr_rate_cleaned!$F$2:$F$10,"&gt;="&amp;C793)</f>
        <v>1.6E-2</v>
      </c>
      <c r="H793" s="24">
        <f t="shared" si="60"/>
        <v>39.979999999999997</v>
      </c>
      <c r="I793" s="23" t="str">
        <f t="shared" si="61"/>
        <v>Match</v>
      </c>
      <c r="J793" s="23" t="str">
        <f t="shared" si="62"/>
        <v>Match</v>
      </c>
      <c r="K793" s="24">
        <f t="shared" si="63"/>
        <v>7.2</v>
      </c>
      <c r="L793" s="24">
        <f t="shared" si="64"/>
        <v>0</v>
      </c>
    </row>
    <row r="794" spans="1:12" ht="15" customHeight="1" x14ac:dyDescent="0.3">
      <c r="A794" s="23" t="s">
        <v>13342</v>
      </c>
      <c r="B794" s="23" t="s">
        <v>79</v>
      </c>
      <c r="C794" s="39">
        <v>7097</v>
      </c>
      <c r="D794" s="24">
        <v>113.55</v>
      </c>
      <c r="E794" s="24">
        <v>20.440000000000001</v>
      </c>
      <c r="F794" s="23">
        <f>COUNTIFS(mdr_rate_cleaned!$A$2:$A$10,B794,mdr_rate_cleaned!$B$2:$B$10,"&lt;"&amp;C794,mdr_rate_cleaned!$F$2:$F$10,"&gt;="&amp;C794)</f>
        <v>1</v>
      </c>
      <c r="G794" s="40">
        <f>SUMIFS(mdr_rate_cleaned!$G$2:$G$10,mdr_rate_cleaned!$A$2:$A$10,B794,mdr_rate_cleaned!$B$2:$B$10,"&lt;"&amp;C794,mdr_rate_cleaned!$F$2:$F$10,"&gt;="&amp;C794)</f>
        <v>1.6E-2</v>
      </c>
      <c r="H794" s="24">
        <f t="shared" si="60"/>
        <v>113.55</v>
      </c>
      <c r="I794" s="23" t="str">
        <f t="shared" si="61"/>
        <v>Match</v>
      </c>
      <c r="J794" s="23" t="str">
        <f t="shared" si="62"/>
        <v>Match</v>
      </c>
      <c r="K794" s="24">
        <f t="shared" si="63"/>
        <v>20.440000000000001</v>
      </c>
      <c r="L794" s="24">
        <f t="shared" si="64"/>
        <v>0</v>
      </c>
    </row>
    <row r="795" spans="1:12" ht="15" customHeight="1" x14ac:dyDescent="0.3">
      <c r="A795" s="23" t="s">
        <v>13343</v>
      </c>
      <c r="B795" s="23" t="s">
        <v>75</v>
      </c>
      <c r="C795" s="39">
        <v>1147</v>
      </c>
      <c r="D795" s="24">
        <v>0</v>
      </c>
      <c r="E795" s="24">
        <v>0</v>
      </c>
      <c r="F795" s="23">
        <f>COUNTIFS(mdr_rate_cleaned!$A$2:$A$10,B795,mdr_rate_cleaned!$B$2:$B$10,"&lt;"&amp;C795,mdr_rate_cleaned!$F$2:$F$10,"&gt;="&amp;C795)</f>
        <v>1</v>
      </c>
      <c r="G795" s="40">
        <f>SUMIFS(mdr_rate_cleaned!$G$2:$G$10,mdr_rate_cleaned!$A$2:$A$10,B795,mdr_rate_cleaned!$B$2:$B$10,"&lt;"&amp;C795,mdr_rate_cleaned!$F$2:$F$10,"&gt;="&amp;C795)</f>
        <v>0</v>
      </c>
      <c r="H795" s="24">
        <f t="shared" si="60"/>
        <v>0</v>
      </c>
      <c r="I795" s="23" t="str">
        <f t="shared" si="61"/>
        <v>Match</v>
      </c>
      <c r="J795" s="23" t="str">
        <f t="shared" si="62"/>
        <v>Match</v>
      </c>
      <c r="K795" s="24">
        <f t="shared" si="63"/>
        <v>0</v>
      </c>
      <c r="L795" s="24">
        <f t="shared" si="64"/>
        <v>0</v>
      </c>
    </row>
    <row r="796" spans="1:12" ht="15" customHeight="1" x14ac:dyDescent="0.3">
      <c r="A796" s="23" t="s">
        <v>13344</v>
      </c>
      <c r="B796" s="23" t="s">
        <v>79</v>
      </c>
      <c r="C796" s="39">
        <v>349</v>
      </c>
      <c r="D796" s="24">
        <v>6.28</v>
      </c>
      <c r="E796" s="24">
        <v>1.1299999999999999</v>
      </c>
      <c r="F796" s="23">
        <f>COUNTIFS(mdr_rate_cleaned!$A$2:$A$10,B796,mdr_rate_cleaned!$B$2:$B$10,"&lt;"&amp;C796,mdr_rate_cleaned!$F$2:$F$10,"&gt;="&amp;C796)</f>
        <v>1</v>
      </c>
      <c r="G796" s="40">
        <f>SUMIFS(mdr_rate_cleaned!$G$2:$G$10,mdr_rate_cleaned!$A$2:$A$10,B796,mdr_rate_cleaned!$B$2:$B$10,"&lt;"&amp;C796,mdr_rate_cleaned!$F$2:$F$10,"&gt;="&amp;C796)</f>
        <v>1.8000000000000002E-2</v>
      </c>
      <c r="H796" s="24">
        <f t="shared" si="60"/>
        <v>6.28</v>
      </c>
      <c r="I796" s="23" t="str">
        <f t="shared" si="61"/>
        <v>Match</v>
      </c>
      <c r="J796" s="23" t="str">
        <f t="shared" si="62"/>
        <v>Match</v>
      </c>
      <c r="K796" s="24">
        <f t="shared" si="63"/>
        <v>1.1299999999999999</v>
      </c>
      <c r="L796" s="24">
        <f t="shared" si="64"/>
        <v>0</v>
      </c>
    </row>
    <row r="797" spans="1:12" ht="15" customHeight="1" x14ac:dyDescent="0.3">
      <c r="A797" s="23" t="s">
        <v>13345</v>
      </c>
      <c r="B797" s="23" t="s">
        <v>75</v>
      </c>
      <c r="C797" s="39">
        <v>7999</v>
      </c>
      <c r="D797" s="24">
        <v>24</v>
      </c>
      <c r="E797" s="24">
        <v>4.32</v>
      </c>
      <c r="F797" s="23">
        <f>COUNTIFS(mdr_rate_cleaned!$A$2:$A$10,B797,mdr_rate_cleaned!$B$2:$B$10,"&lt;"&amp;C797,mdr_rate_cleaned!$F$2:$F$10,"&gt;="&amp;C797)</f>
        <v>1</v>
      </c>
      <c r="G797" s="40">
        <f>SUMIFS(mdr_rate_cleaned!$G$2:$G$10,mdr_rate_cleaned!$A$2:$A$10,B797,mdr_rate_cleaned!$B$2:$B$10,"&lt;"&amp;C797,mdr_rate_cleaned!$F$2:$F$10,"&gt;="&amp;C797)</f>
        <v>3.0000000000000001E-3</v>
      </c>
      <c r="H797" s="24">
        <f t="shared" si="60"/>
        <v>24</v>
      </c>
      <c r="I797" s="23" t="str">
        <f t="shared" si="61"/>
        <v>Match</v>
      </c>
      <c r="J797" s="23" t="str">
        <f t="shared" si="62"/>
        <v>Match</v>
      </c>
      <c r="K797" s="24">
        <f t="shared" si="63"/>
        <v>4.32</v>
      </c>
      <c r="L797" s="24">
        <f t="shared" si="64"/>
        <v>0</v>
      </c>
    </row>
    <row r="798" spans="1:12" ht="15" customHeight="1" x14ac:dyDescent="0.3">
      <c r="A798" s="23" t="s">
        <v>13346</v>
      </c>
      <c r="B798" s="23" t="s">
        <v>75</v>
      </c>
      <c r="C798" s="39">
        <v>4098</v>
      </c>
      <c r="D798" s="24">
        <v>12.29</v>
      </c>
      <c r="E798" s="24">
        <v>2.21</v>
      </c>
      <c r="F798" s="23">
        <f>COUNTIFS(mdr_rate_cleaned!$A$2:$A$10,B798,mdr_rate_cleaned!$B$2:$B$10,"&lt;"&amp;C798,mdr_rate_cleaned!$F$2:$F$10,"&gt;="&amp;C798)</f>
        <v>1</v>
      </c>
      <c r="G798" s="40">
        <f>SUMIFS(mdr_rate_cleaned!$G$2:$G$10,mdr_rate_cleaned!$A$2:$A$10,B798,mdr_rate_cleaned!$B$2:$B$10,"&lt;"&amp;C798,mdr_rate_cleaned!$F$2:$F$10,"&gt;="&amp;C798)</f>
        <v>3.0000000000000001E-3</v>
      </c>
      <c r="H798" s="24">
        <f t="shared" si="60"/>
        <v>12.29</v>
      </c>
      <c r="I798" s="23" t="str">
        <f t="shared" si="61"/>
        <v>Match</v>
      </c>
      <c r="J798" s="23" t="str">
        <f t="shared" si="62"/>
        <v>Match</v>
      </c>
      <c r="K798" s="24">
        <f t="shared" si="63"/>
        <v>2.21</v>
      </c>
      <c r="L798" s="24">
        <f t="shared" si="64"/>
        <v>0</v>
      </c>
    </row>
    <row r="799" spans="1:12" ht="15" customHeight="1" x14ac:dyDescent="0.3">
      <c r="A799" s="23" t="s">
        <v>13348</v>
      </c>
      <c r="B799" s="23" t="s">
        <v>81</v>
      </c>
      <c r="C799" s="39">
        <v>1499</v>
      </c>
      <c r="D799" s="24">
        <v>22.49</v>
      </c>
      <c r="E799" s="24">
        <v>4.05</v>
      </c>
      <c r="F799" s="23">
        <f>COUNTIFS(mdr_rate_cleaned!$A$2:$A$10,B799,mdr_rate_cleaned!$B$2:$B$10,"&lt;"&amp;C799,mdr_rate_cleaned!$F$2:$F$10,"&gt;="&amp;C799)</f>
        <v>1</v>
      </c>
      <c r="G799" s="40">
        <f>SUMIFS(mdr_rate_cleaned!$G$2:$G$10,mdr_rate_cleaned!$A$2:$A$10,B799,mdr_rate_cleaned!$B$2:$B$10,"&lt;"&amp;C799,mdr_rate_cleaned!$F$2:$F$10,"&gt;="&amp;C799)</f>
        <v>1.4999999999999999E-2</v>
      </c>
      <c r="H799" s="24">
        <f t="shared" si="60"/>
        <v>22.49</v>
      </c>
      <c r="I799" s="23" t="str">
        <f t="shared" si="61"/>
        <v>Match</v>
      </c>
      <c r="J799" s="23" t="str">
        <f t="shared" si="62"/>
        <v>Match</v>
      </c>
      <c r="K799" s="24">
        <f t="shared" si="63"/>
        <v>4.05</v>
      </c>
      <c r="L799" s="24">
        <f t="shared" si="64"/>
        <v>0</v>
      </c>
    </row>
    <row r="800" spans="1:12" ht="15" customHeight="1" x14ac:dyDescent="0.3">
      <c r="A800" s="23" t="s">
        <v>13349</v>
      </c>
      <c r="B800" s="23" t="s">
        <v>75</v>
      </c>
      <c r="C800" s="39">
        <v>1799</v>
      </c>
      <c r="D800" s="24">
        <v>0</v>
      </c>
      <c r="E800" s="24">
        <v>0</v>
      </c>
      <c r="F800" s="23">
        <f>COUNTIFS(mdr_rate_cleaned!$A$2:$A$10,B800,mdr_rate_cleaned!$B$2:$B$10,"&lt;"&amp;C800,mdr_rate_cleaned!$F$2:$F$10,"&gt;="&amp;C800)</f>
        <v>1</v>
      </c>
      <c r="G800" s="40">
        <f>SUMIFS(mdr_rate_cleaned!$G$2:$G$10,mdr_rate_cleaned!$A$2:$A$10,B800,mdr_rate_cleaned!$B$2:$B$10,"&lt;"&amp;C800,mdr_rate_cleaned!$F$2:$F$10,"&gt;="&amp;C800)</f>
        <v>0</v>
      </c>
      <c r="H800" s="24">
        <f t="shared" si="60"/>
        <v>0</v>
      </c>
      <c r="I800" s="23" t="str">
        <f t="shared" si="61"/>
        <v>Match</v>
      </c>
      <c r="J800" s="23" t="str">
        <f t="shared" si="62"/>
        <v>Match</v>
      </c>
      <c r="K800" s="24">
        <f t="shared" si="63"/>
        <v>0</v>
      </c>
      <c r="L800" s="24">
        <f t="shared" si="64"/>
        <v>0</v>
      </c>
    </row>
    <row r="801" spans="1:12" ht="15" customHeight="1" x14ac:dyDescent="0.3">
      <c r="A801" s="23" t="s">
        <v>13350</v>
      </c>
      <c r="B801" s="23" t="s">
        <v>79</v>
      </c>
      <c r="C801" s="39">
        <v>4297</v>
      </c>
      <c r="D801" s="24">
        <v>68.75</v>
      </c>
      <c r="E801" s="24">
        <v>12.38</v>
      </c>
      <c r="F801" s="23">
        <f>COUNTIFS(mdr_rate_cleaned!$A$2:$A$10,B801,mdr_rate_cleaned!$B$2:$B$10,"&lt;"&amp;C801,mdr_rate_cleaned!$F$2:$F$10,"&gt;="&amp;C801)</f>
        <v>1</v>
      </c>
      <c r="G801" s="40">
        <f>SUMIFS(mdr_rate_cleaned!$G$2:$G$10,mdr_rate_cleaned!$A$2:$A$10,B801,mdr_rate_cleaned!$B$2:$B$10,"&lt;"&amp;C801,mdr_rate_cleaned!$F$2:$F$10,"&gt;="&amp;C801)</f>
        <v>1.6E-2</v>
      </c>
      <c r="H801" s="24">
        <f t="shared" si="60"/>
        <v>68.75</v>
      </c>
      <c r="I801" s="23" t="str">
        <f t="shared" si="61"/>
        <v>Match</v>
      </c>
      <c r="J801" s="23" t="str">
        <f t="shared" si="62"/>
        <v>Match</v>
      </c>
      <c r="K801" s="24">
        <f t="shared" si="63"/>
        <v>12.38</v>
      </c>
      <c r="L801" s="24">
        <f t="shared" si="64"/>
        <v>0</v>
      </c>
    </row>
    <row r="802" spans="1:12" ht="15" customHeight="1" x14ac:dyDescent="0.3">
      <c r="A802" s="23" t="s">
        <v>13351</v>
      </c>
      <c r="B802" s="23" t="s">
        <v>79</v>
      </c>
      <c r="C802" s="39">
        <v>3499</v>
      </c>
      <c r="D802" s="24">
        <v>55.98</v>
      </c>
      <c r="E802" s="24">
        <v>10.08</v>
      </c>
      <c r="F802" s="23">
        <f>COUNTIFS(mdr_rate_cleaned!$A$2:$A$10,B802,mdr_rate_cleaned!$B$2:$B$10,"&lt;"&amp;C802,mdr_rate_cleaned!$F$2:$F$10,"&gt;="&amp;C802)</f>
        <v>1</v>
      </c>
      <c r="G802" s="40">
        <f>SUMIFS(mdr_rate_cleaned!$G$2:$G$10,mdr_rate_cleaned!$A$2:$A$10,B802,mdr_rate_cleaned!$B$2:$B$10,"&lt;"&amp;C802,mdr_rate_cleaned!$F$2:$F$10,"&gt;="&amp;C802)</f>
        <v>1.6E-2</v>
      </c>
      <c r="H802" s="24">
        <f t="shared" si="60"/>
        <v>55.98</v>
      </c>
      <c r="I802" s="23" t="str">
        <f t="shared" si="61"/>
        <v>Match</v>
      </c>
      <c r="J802" s="23" t="str">
        <f t="shared" si="62"/>
        <v>Match</v>
      </c>
      <c r="K802" s="24">
        <f t="shared" si="63"/>
        <v>10.08</v>
      </c>
      <c r="L802" s="24">
        <f t="shared" si="64"/>
        <v>0</v>
      </c>
    </row>
    <row r="803" spans="1:12" ht="15" customHeight="1" x14ac:dyDescent="0.3">
      <c r="A803" s="23" t="s">
        <v>13352</v>
      </c>
      <c r="B803" s="23" t="s">
        <v>75</v>
      </c>
      <c r="C803" s="39">
        <v>9347</v>
      </c>
      <c r="D803" s="24">
        <v>28.04</v>
      </c>
      <c r="E803" s="24">
        <v>5.05</v>
      </c>
      <c r="F803" s="23">
        <f>COUNTIFS(mdr_rate_cleaned!$A$2:$A$10,B803,mdr_rate_cleaned!$B$2:$B$10,"&lt;"&amp;C803,mdr_rate_cleaned!$F$2:$F$10,"&gt;="&amp;C803)</f>
        <v>1</v>
      </c>
      <c r="G803" s="40">
        <f>SUMIFS(mdr_rate_cleaned!$G$2:$G$10,mdr_rate_cleaned!$A$2:$A$10,B803,mdr_rate_cleaned!$B$2:$B$10,"&lt;"&amp;C803,mdr_rate_cleaned!$F$2:$F$10,"&gt;="&amp;C803)</f>
        <v>3.0000000000000001E-3</v>
      </c>
      <c r="H803" s="24">
        <f t="shared" si="60"/>
        <v>28.04</v>
      </c>
      <c r="I803" s="23" t="str">
        <f t="shared" si="61"/>
        <v>Match</v>
      </c>
      <c r="J803" s="23" t="str">
        <f t="shared" si="62"/>
        <v>Match</v>
      </c>
      <c r="K803" s="24">
        <f t="shared" si="63"/>
        <v>5.05</v>
      </c>
      <c r="L803" s="24">
        <f t="shared" si="64"/>
        <v>0</v>
      </c>
    </row>
    <row r="804" spans="1:12" ht="15" customHeight="1" x14ac:dyDescent="0.3">
      <c r="A804" s="23" t="s">
        <v>13353</v>
      </c>
      <c r="B804" s="23" t="s">
        <v>79</v>
      </c>
      <c r="C804" s="39">
        <v>499</v>
      </c>
      <c r="D804" s="24">
        <v>8.98</v>
      </c>
      <c r="E804" s="24">
        <v>1.62</v>
      </c>
      <c r="F804" s="23">
        <f>COUNTIFS(mdr_rate_cleaned!$A$2:$A$10,B804,mdr_rate_cleaned!$B$2:$B$10,"&lt;"&amp;C804,mdr_rate_cleaned!$F$2:$F$10,"&gt;="&amp;C804)</f>
        <v>1</v>
      </c>
      <c r="G804" s="40">
        <f>SUMIFS(mdr_rate_cleaned!$G$2:$G$10,mdr_rate_cleaned!$A$2:$A$10,B804,mdr_rate_cleaned!$B$2:$B$10,"&lt;"&amp;C804,mdr_rate_cleaned!$F$2:$F$10,"&gt;="&amp;C804)</f>
        <v>1.8000000000000002E-2</v>
      </c>
      <c r="H804" s="24">
        <f t="shared" si="60"/>
        <v>8.98</v>
      </c>
      <c r="I804" s="23" t="str">
        <f t="shared" si="61"/>
        <v>Match</v>
      </c>
      <c r="J804" s="23" t="str">
        <f t="shared" si="62"/>
        <v>Match</v>
      </c>
      <c r="K804" s="24">
        <f t="shared" si="63"/>
        <v>1.62</v>
      </c>
      <c r="L804" s="24">
        <f t="shared" si="64"/>
        <v>0</v>
      </c>
    </row>
    <row r="805" spans="1:12" ht="15" customHeight="1" x14ac:dyDescent="0.3">
      <c r="A805" s="23" t="s">
        <v>13354</v>
      </c>
      <c r="B805" s="23" t="s">
        <v>75</v>
      </c>
      <c r="C805" s="39">
        <v>1299</v>
      </c>
      <c r="D805" s="24">
        <v>0</v>
      </c>
      <c r="E805" s="24">
        <v>0</v>
      </c>
      <c r="F805" s="23">
        <f>COUNTIFS(mdr_rate_cleaned!$A$2:$A$10,B805,mdr_rate_cleaned!$B$2:$B$10,"&lt;"&amp;C805,mdr_rate_cleaned!$F$2:$F$10,"&gt;="&amp;C805)</f>
        <v>1</v>
      </c>
      <c r="G805" s="40">
        <f>SUMIFS(mdr_rate_cleaned!$G$2:$G$10,mdr_rate_cleaned!$A$2:$A$10,B805,mdr_rate_cleaned!$B$2:$B$10,"&lt;"&amp;C805,mdr_rate_cleaned!$F$2:$F$10,"&gt;="&amp;C805)</f>
        <v>0</v>
      </c>
      <c r="H805" s="24">
        <f t="shared" si="60"/>
        <v>0</v>
      </c>
      <c r="I805" s="23" t="str">
        <f t="shared" si="61"/>
        <v>Match</v>
      </c>
      <c r="J805" s="23" t="str">
        <f t="shared" si="62"/>
        <v>Match</v>
      </c>
      <c r="K805" s="24">
        <f t="shared" si="63"/>
        <v>0</v>
      </c>
      <c r="L805" s="24">
        <f t="shared" si="64"/>
        <v>0</v>
      </c>
    </row>
    <row r="806" spans="1:12" ht="15" customHeight="1" x14ac:dyDescent="0.3">
      <c r="A806" s="23" t="s">
        <v>13355</v>
      </c>
      <c r="B806" s="23" t="s">
        <v>77</v>
      </c>
      <c r="C806" s="39">
        <v>3098</v>
      </c>
      <c r="D806" s="24">
        <v>52.67</v>
      </c>
      <c r="E806" s="24">
        <v>9.48</v>
      </c>
      <c r="F806" s="23">
        <f>COUNTIFS(mdr_rate_cleaned!$A$2:$A$10,B806,mdr_rate_cleaned!$B$2:$B$10,"&lt;"&amp;C806,mdr_rate_cleaned!$F$2:$F$10,"&gt;="&amp;C806)</f>
        <v>1</v>
      </c>
      <c r="G806" s="40">
        <f>SUMIFS(mdr_rate_cleaned!$G$2:$G$10,mdr_rate_cleaned!$A$2:$A$10,B806,mdr_rate_cleaned!$B$2:$B$10,"&lt;"&amp;C806,mdr_rate_cleaned!$F$2:$F$10,"&gt;="&amp;C806)</f>
        <v>1.7000000000000001E-2</v>
      </c>
      <c r="H806" s="24">
        <f t="shared" si="60"/>
        <v>52.67</v>
      </c>
      <c r="I806" s="23" t="str">
        <f t="shared" si="61"/>
        <v>Match</v>
      </c>
      <c r="J806" s="23" t="str">
        <f t="shared" si="62"/>
        <v>Match</v>
      </c>
      <c r="K806" s="24">
        <f t="shared" si="63"/>
        <v>9.48</v>
      </c>
      <c r="L806" s="24">
        <f t="shared" si="64"/>
        <v>0</v>
      </c>
    </row>
    <row r="807" spans="1:12" ht="15" customHeight="1" x14ac:dyDescent="0.3">
      <c r="A807" s="23" t="s">
        <v>13356</v>
      </c>
      <c r="B807" s="23" t="s">
        <v>77</v>
      </c>
      <c r="C807" s="39">
        <v>2598</v>
      </c>
      <c r="D807" s="24">
        <v>44.17</v>
      </c>
      <c r="E807" s="24">
        <v>7.95</v>
      </c>
      <c r="F807" s="23">
        <f>COUNTIFS(mdr_rate_cleaned!$A$2:$A$10,B807,mdr_rate_cleaned!$B$2:$B$10,"&lt;"&amp;C807,mdr_rate_cleaned!$F$2:$F$10,"&gt;="&amp;C807)</f>
        <v>1</v>
      </c>
      <c r="G807" s="40">
        <f>SUMIFS(mdr_rate_cleaned!$G$2:$G$10,mdr_rate_cleaned!$A$2:$A$10,B807,mdr_rate_cleaned!$B$2:$B$10,"&lt;"&amp;C807,mdr_rate_cleaned!$F$2:$F$10,"&gt;="&amp;C807)</f>
        <v>1.7000000000000001E-2</v>
      </c>
      <c r="H807" s="24">
        <f t="shared" si="60"/>
        <v>44.17</v>
      </c>
      <c r="I807" s="23" t="str">
        <f t="shared" si="61"/>
        <v>Match</v>
      </c>
      <c r="J807" s="23" t="str">
        <f t="shared" si="62"/>
        <v>Match</v>
      </c>
      <c r="K807" s="24">
        <f t="shared" si="63"/>
        <v>7.95</v>
      </c>
      <c r="L807" s="24">
        <f t="shared" si="64"/>
        <v>0</v>
      </c>
    </row>
    <row r="808" spans="1:12" ht="15" customHeight="1" x14ac:dyDescent="0.3">
      <c r="A808" s="23" t="s">
        <v>13357</v>
      </c>
      <c r="B808" s="23" t="s">
        <v>77</v>
      </c>
      <c r="C808" s="39">
        <v>2499</v>
      </c>
      <c r="D808" s="24">
        <v>42.48</v>
      </c>
      <c r="E808" s="24">
        <v>7.65</v>
      </c>
      <c r="F808" s="23">
        <f>COUNTIFS(mdr_rate_cleaned!$A$2:$A$10,B808,mdr_rate_cleaned!$B$2:$B$10,"&lt;"&amp;C808,mdr_rate_cleaned!$F$2:$F$10,"&gt;="&amp;C808)</f>
        <v>1</v>
      </c>
      <c r="G808" s="40">
        <f>SUMIFS(mdr_rate_cleaned!$G$2:$G$10,mdr_rate_cleaned!$A$2:$A$10,B808,mdr_rate_cleaned!$B$2:$B$10,"&lt;"&amp;C808,mdr_rate_cleaned!$F$2:$F$10,"&gt;="&amp;C808)</f>
        <v>1.7000000000000001E-2</v>
      </c>
      <c r="H808" s="24">
        <f t="shared" si="60"/>
        <v>42.48</v>
      </c>
      <c r="I808" s="23" t="str">
        <f t="shared" si="61"/>
        <v>Match</v>
      </c>
      <c r="J808" s="23" t="str">
        <f t="shared" si="62"/>
        <v>Match</v>
      </c>
      <c r="K808" s="24">
        <f t="shared" si="63"/>
        <v>7.65</v>
      </c>
      <c r="L808" s="24">
        <f t="shared" si="64"/>
        <v>0</v>
      </c>
    </row>
    <row r="809" spans="1:12" ht="15" customHeight="1" x14ac:dyDescent="0.3">
      <c r="A809" s="23" t="s">
        <v>13359</v>
      </c>
      <c r="B809" s="23" t="s">
        <v>75</v>
      </c>
      <c r="C809" s="39">
        <v>8348</v>
      </c>
      <c r="D809" s="24">
        <v>25.04</v>
      </c>
      <c r="E809" s="24">
        <v>4.51</v>
      </c>
      <c r="F809" s="23">
        <f>COUNTIFS(mdr_rate_cleaned!$A$2:$A$10,B809,mdr_rate_cleaned!$B$2:$B$10,"&lt;"&amp;C809,mdr_rate_cleaned!$F$2:$F$10,"&gt;="&amp;C809)</f>
        <v>1</v>
      </c>
      <c r="G809" s="40">
        <f>SUMIFS(mdr_rate_cleaned!$G$2:$G$10,mdr_rate_cleaned!$A$2:$A$10,B809,mdr_rate_cleaned!$B$2:$B$10,"&lt;"&amp;C809,mdr_rate_cleaned!$F$2:$F$10,"&gt;="&amp;C809)</f>
        <v>3.0000000000000001E-3</v>
      </c>
      <c r="H809" s="24">
        <f t="shared" si="60"/>
        <v>25.04</v>
      </c>
      <c r="I809" s="23" t="str">
        <f t="shared" si="61"/>
        <v>Match</v>
      </c>
      <c r="J809" s="23" t="str">
        <f t="shared" si="62"/>
        <v>Match</v>
      </c>
      <c r="K809" s="24">
        <f t="shared" si="63"/>
        <v>4.51</v>
      </c>
      <c r="L809" s="24">
        <f t="shared" si="64"/>
        <v>0</v>
      </c>
    </row>
    <row r="810" spans="1:12" ht="15" customHeight="1" x14ac:dyDescent="0.3">
      <c r="A810" s="23" t="s">
        <v>13360</v>
      </c>
      <c r="B810" s="23" t="s">
        <v>75</v>
      </c>
      <c r="C810" s="39">
        <v>3499</v>
      </c>
      <c r="D810" s="24">
        <v>10.5</v>
      </c>
      <c r="E810" s="24">
        <v>1.89</v>
      </c>
      <c r="F810" s="23">
        <f>COUNTIFS(mdr_rate_cleaned!$A$2:$A$10,B810,mdr_rate_cleaned!$B$2:$B$10,"&lt;"&amp;C810,mdr_rate_cleaned!$F$2:$F$10,"&gt;="&amp;C810)</f>
        <v>1</v>
      </c>
      <c r="G810" s="40">
        <f>SUMIFS(mdr_rate_cleaned!$G$2:$G$10,mdr_rate_cleaned!$A$2:$A$10,B810,mdr_rate_cleaned!$B$2:$B$10,"&lt;"&amp;C810,mdr_rate_cleaned!$F$2:$F$10,"&gt;="&amp;C810)</f>
        <v>3.0000000000000001E-3</v>
      </c>
      <c r="H810" s="24">
        <f t="shared" si="60"/>
        <v>10.5</v>
      </c>
      <c r="I810" s="23" t="str">
        <f t="shared" si="61"/>
        <v>Match</v>
      </c>
      <c r="J810" s="23" t="str">
        <f t="shared" si="62"/>
        <v>Match</v>
      </c>
      <c r="K810" s="24">
        <f t="shared" si="63"/>
        <v>1.89</v>
      </c>
      <c r="L810" s="24">
        <f t="shared" si="64"/>
        <v>0</v>
      </c>
    </row>
    <row r="811" spans="1:12" ht="15" customHeight="1" x14ac:dyDescent="0.3">
      <c r="A811" s="23" t="s">
        <v>13361</v>
      </c>
      <c r="B811" s="23" t="s">
        <v>81</v>
      </c>
      <c r="C811" s="39">
        <v>599</v>
      </c>
      <c r="D811" s="24">
        <v>8.99</v>
      </c>
      <c r="E811" s="24">
        <v>1.62</v>
      </c>
      <c r="F811" s="23">
        <f>COUNTIFS(mdr_rate_cleaned!$A$2:$A$10,B811,mdr_rate_cleaned!$B$2:$B$10,"&lt;"&amp;C811,mdr_rate_cleaned!$F$2:$F$10,"&gt;="&amp;C811)</f>
        <v>1</v>
      </c>
      <c r="G811" s="40">
        <f>SUMIFS(mdr_rate_cleaned!$G$2:$G$10,mdr_rate_cleaned!$A$2:$A$10,B811,mdr_rate_cleaned!$B$2:$B$10,"&lt;"&amp;C811,mdr_rate_cleaned!$F$2:$F$10,"&gt;="&amp;C811)</f>
        <v>1.4999999999999999E-2</v>
      </c>
      <c r="H811" s="24">
        <f t="shared" si="60"/>
        <v>8.99</v>
      </c>
      <c r="I811" s="23" t="str">
        <f t="shared" si="61"/>
        <v>Match</v>
      </c>
      <c r="J811" s="23" t="str">
        <f t="shared" si="62"/>
        <v>Match</v>
      </c>
      <c r="K811" s="24">
        <f t="shared" si="63"/>
        <v>1.62</v>
      </c>
      <c r="L811" s="24">
        <f t="shared" si="64"/>
        <v>0</v>
      </c>
    </row>
    <row r="812" spans="1:12" ht="15" customHeight="1" x14ac:dyDescent="0.3">
      <c r="A812" s="23" t="s">
        <v>13362</v>
      </c>
      <c r="B812" s="23" t="s">
        <v>79</v>
      </c>
      <c r="C812" s="39">
        <v>499</v>
      </c>
      <c r="D812" s="24">
        <v>8.98</v>
      </c>
      <c r="E812" s="24">
        <v>1.62</v>
      </c>
      <c r="F812" s="23">
        <f>COUNTIFS(mdr_rate_cleaned!$A$2:$A$10,B812,mdr_rate_cleaned!$B$2:$B$10,"&lt;"&amp;C812,mdr_rate_cleaned!$F$2:$F$10,"&gt;="&amp;C812)</f>
        <v>1</v>
      </c>
      <c r="G812" s="40">
        <f>SUMIFS(mdr_rate_cleaned!$G$2:$G$10,mdr_rate_cleaned!$A$2:$A$10,B812,mdr_rate_cleaned!$B$2:$B$10,"&lt;"&amp;C812,mdr_rate_cleaned!$F$2:$F$10,"&gt;="&amp;C812)</f>
        <v>1.8000000000000002E-2</v>
      </c>
      <c r="H812" s="24">
        <f t="shared" si="60"/>
        <v>8.98</v>
      </c>
      <c r="I812" s="23" t="str">
        <f t="shared" si="61"/>
        <v>Match</v>
      </c>
      <c r="J812" s="23" t="str">
        <f t="shared" si="62"/>
        <v>Match</v>
      </c>
      <c r="K812" s="24">
        <f t="shared" si="63"/>
        <v>1.62</v>
      </c>
      <c r="L812" s="24">
        <f t="shared" si="64"/>
        <v>0</v>
      </c>
    </row>
    <row r="813" spans="1:12" ht="15" customHeight="1" x14ac:dyDescent="0.3">
      <c r="A813" s="23" t="s">
        <v>13363</v>
      </c>
      <c r="B813" s="23" t="s">
        <v>79</v>
      </c>
      <c r="C813" s="39">
        <v>1299</v>
      </c>
      <c r="D813" s="24">
        <v>23.38</v>
      </c>
      <c r="E813" s="24">
        <v>4.21</v>
      </c>
      <c r="F813" s="23">
        <f>COUNTIFS(mdr_rate_cleaned!$A$2:$A$10,B813,mdr_rate_cleaned!$B$2:$B$10,"&lt;"&amp;C813,mdr_rate_cleaned!$F$2:$F$10,"&gt;="&amp;C813)</f>
        <v>1</v>
      </c>
      <c r="G813" s="40">
        <f>SUMIFS(mdr_rate_cleaned!$G$2:$G$10,mdr_rate_cleaned!$A$2:$A$10,B813,mdr_rate_cleaned!$B$2:$B$10,"&lt;"&amp;C813,mdr_rate_cleaned!$F$2:$F$10,"&gt;="&amp;C813)</f>
        <v>1.8000000000000002E-2</v>
      </c>
      <c r="H813" s="24">
        <f t="shared" si="60"/>
        <v>23.38</v>
      </c>
      <c r="I813" s="23" t="str">
        <f t="shared" si="61"/>
        <v>Match</v>
      </c>
      <c r="J813" s="23" t="str">
        <f t="shared" si="62"/>
        <v>Match</v>
      </c>
      <c r="K813" s="24">
        <f t="shared" si="63"/>
        <v>4.21</v>
      </c>
      <c r="L813" s="24">
        <f t="shared" si="64"/>
        <v>0</v>
      </c>
    </row>
    <row r="814" spans="1:12" ht="15" customHeight="1" x14ac:dyDescent="0.3">
      <c r="A814" s="23" t="s">
        <v>13364</v>
      </c>
      <c r="B814" s="23" t="s">
        <v>75</v>
      </c>
      <c r="C814" s="39">
        <v>1799</v>
      </c>
      <c r="D814" s="24">
        <v>0</v>
      </c>
      <c r="E814" s="24">
        <v>0</v>
      </c>
      <c r="F814" s="23">
        <f>COUNTIFS(mdr_rate_cleaned!$A$2:$A$10,B814,mdr_rate_cleaned!$B$2:$B$10,"&lt;"&amp;C814,mdr_rate_cleaned!$F$2:$F$10,"&gt;="&amp;C814)</f>
        <v>1</v>
      </c>
      <c r="G814" s="40">
        <f>SUMIFS(mdr_rate_cleaned!$G$2:$G$10,mdr_rate_cleaned!$A$2:$A$10,B814,mdr_rate_cleaned!$B$2:$B$10,"&lt;"&amp;C814,mdr_rate_cleaned!$F$2:$F$10,"&gt;="&amp;C814)</f>
        <v>0</v>
      </c>
      <c r="H814" s="24">
        <f t="shared" si="60"/>
        <v>0</v>
      </c>
      <c r="I814" s="23" t="str">
        <f t="shared" si="61"/>
        <v>Match</v>
      </c>
      <c r="J814" s="23" t="str">
        <f t="shared" si="62"/>
        <v>Match</v>
      </c>
      <c r="K814" s="24">
        <f t="shared" si="63"/>
        <v>0</v>
      </c>
      <c r="L814" s="24">
        <f t="shared" si="64"/>
        <v>0</v>
      </c>
    </row>
    <row r="815" spans="1:12" ht="15" customHeight="1" x14ac:dyDescent="0.3">
      <c r="A815" s="23" t="s">
        <v>13365</v>
      </c>
      <c r="B815" s="23" t="s">
        <v>79</v>
      </c>
      <c r="C815" s="39">
        <v>999</v>
      </c>
      <c r="D815" s="24">
        <v>17.98</v>
      </c>
      <c r="E815" s="24">
        <v>3.24</v>
      </c>
      <c r="F815" s="23">
        <f>COUNTIFS(mdr_rate_cleaned!$A$2:$A$10,B815,mdr_rate_cleaned!$B$2:$B$10,"&lt;"&amp;C815,mdr_rate_cleaned!$F$2:$F$10,"&gt;="&amp;C815)</f>
        <v>1</v>
      </c>
      <c r="G815" s="40">
        <f>SUMIFS(mdr_rate_cleaned!$G$2:$G$10,mdr_rate_cleaned!$A$2:$A$10,B815,mdr_rate_cleaned!$B$2:$B$10,"&lt;"&amp;C815,mdr_rate_cleaned!$F$2:$F$10,"&gt;="&amp;C815)</f>
        <v>1.8000000000000002E-2</v>
      </c>
      <c r="H815" s="24">
        <f t="shared" si="60"/>
        <v>17.98</v>
      </c>
      <c r="I815" s="23" t="str">
        <f t="shared" si="61"/>
        <v>Match</v>
      </c>
      <c r="J815" s="23" t="str">
        <f t="shared" si="62"/>
        <v>Match</v>
      </c>
      <c r="K815" s="24">
        <f t="shared" si="63"/>
        <v>3.24</v>
      </c>
      <c r="L815" s="24">
        <f t="shared" si="64"/>
        <v>0</v>
      </c>
    </row>
    <row r="816" spans="1:12" ht="15" customHeight="1" x14ac:dyDescent="0.3">
      <c r="A816" s="23" t="s">
        <v>13367</v>
      </c>
      <c r="B816" s="23" t="s">
        <v>75</v>
      </c>
      <c r="C816" s="39">
        <v>1597</v>
      </c>
      <c r="D816" s="24">
        <v>0</v>
      </c>
      <c r="E816" s="24">
        <v>0</v>
      </c>
      <c r="F816" s="23">
        <f>COUNTIFS(mdr_rate_cleaned!$A$2:$A$10,B816,mdr_rate_cleaned!$B$2:$B$10,"&lt;"&amp;C816,mdr_rate_cleaned!$F$2:$F$10,"&gt;="&amp;C816)</f>
        <v>1</v>
      </c>
      <c r="G816" s="40">
        <f>SUMIFS(mdr_rate_cleaned!$G$2:$G$10,mdr_rate_cleaned!$A$2:$A$10,B816,mdr_rate_cleaned!$B$2:$B$10,"&lt;"&amp;C816,mdr_rate_cleaned!$F$2:$F$10,"&gt;="&amp;C816)</f>
        <v>0</v>
      </c>
      <c r="H816" s="24">
        <f t="shared" si="60"/>
        <v>0</v>
      </c>
      <c r="I816" s="23" t="str">
        <f t="shared" si="61"/>
        <v>Match</v>
      </c>
      <c r="J816" s="23" t="str">
        <f t="shared" si="62"/>
        <v>Match</v>
      </c>
      <c r="K816" s="24">
        <f t="shared" si="63"/>
        <v>0</v>
      </c>
      <c r="L816" s="24">
        <f t="shared" si="64"/>
        <v>0</v>
      </c>
    </row>
    <row r="817" spans="1:12" ht="15" customHeight="1" x14ac:dyDescent="0.3">
      <c r="A817" s="23" t="s">
        <v>13368</v>
      </c>
      <c r="B817" s="23" t="s">
        <v>77</v>
      </c>
      <c r="C817" s="39">
        <v>999</v>
      </c>
      <c r="D817" s="24">
        <v>18.98</v>
      </c>
      <c r="E817" s="24">
        <v>3.42</v>
      </c>
      <c r="F817" s="23">
        <f>COUNTIFS(mdr_rate_cleaned!$A$2:$A$10,B817,mdr_rate_cleaned!$B$2:$B$10,"&lt;"&amp;C817,mdr_rate_cleaned!$F$2:$F$10,"&gt;="&amp;C817)</f>
        <v>1</v>
      </c>
      <c r="G817" s="40">
        <f>SUMIFS(mdr_rate_cleaned!$G$2:$G$10,mdr_rate_cleaned!$A$2:$A$10,B817,mdr_rate_cleaned!$B$2:$B$10,"&lt;"&amp;C817,mdr_rate_cleaned!$F$2:$F$10,"&gt;="&amp;C817)</f>
        <v>1.9E-2</v>
      </c>
      <c r="H817" s="24">
        <f t="shared" si="60"/>
        <v>18.98</v>
      </c>
      <c r="I817" s="23" t="str">
        <f t="shared" si="61"/>
        <v>Match</v>
      </c>
      <c r="J817" s="23" t="str">
        <f t="shared" si="62"/>
        <v>Match</v>
      </c>
      <c r="K817" s="24">
        <f t="shared" si="63"/>
        <v>3.42</v>
      </c>
      <c r="L817" s="24">
        <f t="shared" si="64"/>
        <v>0</v>
      </c>
    </row>
    <row r="818" spans="1:12" ht="15" customHeight="1" x14ac:dyDescent="0.3">
      <c r="A818" s="23" t="s">
        <v>13369</v>
      </c>
      <c r="B818" s="23" t="s">
        <v>75</v>
      </c>
      <c r="C818" s="39">
        <v>499</v>
      </c>
      <c r="D818" s="24">
        <v>0</v>
      </c>
      <c r="E818" s="24">
        <v>0</v>
      </c>
      <c r="F818" s="23">
        <f>COUNTIFS(mdr_rate_cleaned!$A$2:$A$10,B818,mdr_rate_cleaned!$B$2:$B$10,"&lt;"&amp;C818,mdr_rate_cleaned!$F$2:$F$10,"&gt;="&amp;C818)</f>
        <v>1</v>
      </c>
      <c r="G818" s="40">
        <f>SUMIFS(mdr_rate_cleaned!$G$2:$G$10,mdr_rate_cleaned!$A$2:$A$10,B818,mdr_rate_cleaned!$B$2:$B$10,"&lt;"&amp;C818,mdr_rate_cleaned!$F$2:$F$10,"&gt;="&amp;C818)</f>
        <v>0</v>
      </c>
      <c r="H818" s="24">
        <f t="shared" si="60"/>
        <v>0</v>
      </c>
      <c r="I818" s="23" t="str">
        <f t="shared" si="61"/>
        <v>Match</v>
      </c>
      <c r="J818" s="23" t="str">
        <f t="shared" si="62"/>
        <v>Match</v>
      </c>
      <c r="K818" s="24">
        <f t="shared" si="63"/>
        <v>0</v>
      </c>
      <c r="L818" s="24">
        <f t="shared" si="64"/>
        <v>0</v>
      </c>
    </row>
    <row r="819" spans="1:12" ht="15" customHeight="1" x14ac:dyDescent="0.3">
      <c r="A819" s="23" t="s">
        <v>13370</v>
      </c>
      <c r="B819" s="23" t="s">
        <v>79</v>
      </c>
      <c r="C819" s="39">
        <v>999</v>
      </c>
      <c r="D819" s="24">
        <v>17.98</v>
      </c>
      <c r="E819" s="24">
        <v>3.24</v>
      </c>
      <c r="F819" s="23">
        <f>COUNTIFS(mdr_rate_cleaned!$A$2:$A$10,B819,mdr_rate_cleaned!$B$2:$B$10,"&lt;"&amp;C819,mdr_rate_cleaned!$F$2:$F$10,"&gt;="&amp;C819)</f>
        <v>1</v>
      </c>
      <c r="G819" s="40">
        <f>SUMIFS(mdr_rate_cleaned!$G$2:$G$10,mdr_rate_cleaned!$A$2:$A$10,B819,mdr_rate_cleaned!$B$2:$B$10,"&lt;"&amp;C819,mdr_rate_cleaned!$F$2:$F$10,"&gt;="&amp;C819)</f>
        <v>1.8000000000000002E-2</v>
      </c>
      <c r="H819" s="24">
        <f t="shared" si="60"/>
        <v>17.98</v>
      </c>
      <c r="I819" s="23" t="str">
        <f t="shared" si="61"/>
        <v>Match</v>
      </c>
      <c r="J819" s="23" t="str">
        <f t="shared" si="62"/>
        <v>Match</v>
      </c>
      <c r="K819" s="24">
        <f t="shared" si="63"/>
        <v>3.24</v>
      </c>
      <c r="L819" s="24">
        <f t="shared" si="64"/>
        <v>0</v>
      </c>
    </row>
    <row r="820" spans="1:12" ht="15" customHeight="1" x14ac:dyDescent="0.3">
      <c r="A820" s="23" t="s">
        <v>13371</v>
      </c>
      <c r="B820" s="23" t="s">
        <v>79</v>
      </c>
      <c r="C820" s="39">
        <v>2999</v>
      </c>
      <c r="D820" s="24">
        <v>47.98</v>
      </c>
      <c r="E820" s="24">
        <v>8.64</v>
      </c>
      <c r="F820" s="23">
        <f>COUNTIFS(mdr_rate_cleaned!$A$2:$A$10,B820,mdr_rate_cleaned!$B$2:$B$10,"&lt;"&amp;C820,mdr_rate_cleaned!$F$2:$F$10,"&gt;="&amp;C820)</f>
        <v>1</v>
      </c>
      <c r="G820" s="40">
        <f>SUMIFS(mdr_rate_cleaned!$G$2:$G$10,mdr_rate_cleaned!$A$2:$A$10,B820,mdr_rate_cleaned!$B$2:$B$10,"&lt;"&amp;C820,mdr_rate_cleaned!$F$2:$F$10,"&gt;="&amp;C820)</f>
        <v>1.6E-2</v>
      </c>
      <c r="H820" s="24">
        <f t="shared" si="60"/>
        <v>47.98</v>
      </c>
      <c r="I820" s="23" t="str">
        <f t="shared" si="61"/>
        <v>Match</v>
      </c>
      <c r="J820" s="23" t="str">
        <f t="shared" si="62"/>
        <v>Match</v>
      </c>
      <c r="K820" s="24">
        <f t="shared" si="63"/>
        <v>8.64</v>
      </c>
      <c r="L820" s="24">
        <f t="shared" si="64"/>
        <v>0</v>
      </c>
    </row>
    <row r="821" spans="1:12" ht="15" customHeight="1" x14ac:dyDescent="0.3">
      <c r="A821" s="23" t="s">
        <v>13372</v>
      </c>
      <c r="B821" s="23" t="s">
        <v>75</v>
      </c>
      <c r="C821" s="39">
        <v>12998</v>
      </c>
      <c r="D821" s="24">
        <v>38.99</v>
      </c>
      <c r="E821" s="24">
        <v>7.02</v>
      </c>
      <c r="F821" s="23">
        <f>COUNTIFS(mdr_rate_cleaned!$A$2:$A$10,B821,mdr_rate_cleaned!$B$2:$B$10,"&lt;"&amp;C821,mdr_rate_cleaned!$F$2:$F$10,"&gt;="&amp;C821)</f>
        <v>1</v>
      </c>
      <c r="G821" s="40">
        <f>SUMIFS(mdr_rate_cleaned!$G$2:$G$10,mdr_rate_cleaned!$A$2:$A$10,B821,mdr_rate_cleaned!$B$2:$B$10,"&lt;"&amp;C821,mdr_rate_cleaned!$F$2:$F$10,"&gt;="&amp;C821)</f>
        <v>3.0000000000000001E-3</v>
      </c>
      <c r="H821" s="24">
        <f t="shared" si="60"/>
        <v>38.99</v>
      </c>
      <c r="I821" s="23" t="str">
        <f t="shared" si="61"/>
        <v>Match</v>
      </c>
      <c r="J821" s="23" t="str">
        <f t="shared" si="62"/>
        <v>Match</v>
      </c>
      <c r="K821" s="24">
        <f t="shared" si="63"/>
        <v>7.02</v>
      </c>
      <c r="L821" s="24">
        <f t="shared" si="64"/>
        <v>0</v>
      </c>
    </row>
    <row r="822" spans="1:12" ht="15" customHeight="1" x14ac:dyDescent="0.3">
      <c r="A822" s="23" t="s">
        <v>13373</v>
      </c>
      <c r="B822" s="23" t="s">
        <v>75</v>
      </c>
      <c r="C822" s="39">
        <v>799</v>
      </c>
      <c r="D822" s="24">
        <v>0</v>
      </c>
      <c r="E822" s="24">
        <v>0</v>
      </c>
      <c r="F822" s="23">
        <f>COUNTIFS(mdr_rate_cleaned!$A$2:$A$10,B822,mdr_rate_cleaned!$B$2:$B$10,"&lt;"&amp;C822,mdr_rate_cleaned!$F$2:$F$10,"&gt;="&amp;C822)</f>
        <v>1</v>
      </c>
      <c r="G822" s="40">
        <f>SUMIFS(mdr_rate_cleaned!$G$2:$G$10,mdr_rate_cleaned!$A$2:$A$10,B822,mdr_rate_cleaned!$B$2:$B$10,"&lt;"&amp;C822,mdr_rate_cleaned!$F$2:$F$10,"&gt;="&amp;C822)</f>
        <v>0</v>
      </c>
      <c r="H822" s="24">
        <f t="shared" si="60"/>
        <v>0</v>
      </c>
      <c r="I822" s="23" t="str">
        <f t="shared" si="61"/>
        <v>Match</v>
      </c>
      <c r="J822" s="23" t="str">
        <f t="shared" si="62"/>
        <v>Match</v>
      </c>
      <c r="K822" s="24">
        <f t="shared" si="63"/>
        <v>0</v>
      </c>
      <c r="L822" s="24">
        <f t="shared" si="64"/>
        <v>0</v>
      </c>
    </row>
    <row r="823" spans="1:12" ht="15" customHeight="1" x14ac:dyDescent="0.3">
      <c r="A823" s="23" t="s">
        <v>13374</v>
      </c>
      <c r="B823" s="23" t="s">
        <v>79</v>
      </c>
      <c r="C823" s="39">
        <v>999</v>
      </c>
      <c r="D823" s="24">
        <v>17.98</v>
      </c>
      <c r="E823" s="24">
        <v>3.24</v>
      </c>
      <c r="F823" s="23">
        <f>COUNTIFS(mdr_rate_cleaned!$A$2:$A$10,B823,mdr_rate_cleaned!$B$2:$B$10,"&lt;"&amp;C823,mdr_rate_cleaned!$F$2:$F$10,"&gt;="&amp;C823)</f>
        <v>1</v>
      </c>
      <c r="G823" s="40">
        <f>SUMIFS(mdr_rate_cleaned!$G$2:$G$10,mdr_rate_cleaned!$A$2:$A$10,B823,mdr_rate_cleaned!$B$2:$B$10,"&lt;"&amp;C823,mdr_rate_cleaned!$F$2:$F$10,"&gt;="&amp;C823)</f>
        <v>1.8000000000000002E-2</v>
      </c>
      <c r="H823" s="24">
        <f t="shared" si="60"/>
        <v>17.98</v>
      </c>
      <c r="I823" s="23" t="str">
        <f t="shared" si="61"/>
        <v>Match</v>
      </c>
      <c r="J823" s="23" t="str">
        <f t="shared" si="62"/>
        <v>Match</v>
      </c>
      <c r="K823" s="24">
        <f t="shared" si="63"/>
        <v>3.24</v>
      </c>
      <c r="L823" s="24">
        <f t="shared" si="64"/>
        <v>0</v>
      </c>
    </row>
    <row r="824" spans="1:12" ht="15" customHeight="1" x14ac:dyDescent="0.3">
      <c r="A824" s="23" t="s">
        <v>13375</v>
      </c>
      <c r="B824" s="23" t="s">
        <v>79</v>
      </c>
      <c r="C824" s="39">
        <v>599</v>
      </c>
      <c r="D824" s="24">
        <v>10.78</v>
      </c>
      <c r="E824" s="24">
        <v>1.94</v>
      </c>
      <c r="F824" s="23">
        <f>COUNTIFS(mdr_rate_cleaned!$A$2:$A$10,B824,mdr_rate_cleaned!$B$2:$B$10,"&lt;"&amp;C824,mdr_rate_cleaned!$F$2:$F$10,"&gt;="&amp;C824)</f>
        <v>1</v>
      </c>
      <c r="G824" s="40">
        <f>SUMIFS(mdr_rate_cleaned!$G$2:$G$10,mdr_rate_cleaned!$A$2:$A$10,B824,mdr_rate_cleaned!$B$2:$B$10,"&lt;"&amp;C824,mdr_rate_cleaned!$F$2:$F$10,"&gt;="&amp;C824)</f>
        <v>1.8000000000000002E-2</v>
      </c>
      <c r="H824" s="24">
        <f t="shared" si="60"/>
        <v>10.78</v>
      </c>
      <c r="I824" s="23" t="str">
        <f t="shared" si="61"/>
        <v>Match</v>
      </c>
      <c r="J824" s="23" t="str">
        <f t="shared" si="62"/>
        <v>Match</v>
      </c>
      <c r="K824" s="24">
        <f t="shared" si="63"/>
        <v>1.94</v>
      </c>
      <c r="L824" s="24">
        <f t="shared" si="64"/>
        <v>0</v>
      </c>
    </row>
    <row r="825" spans="1:12" ht="15" customHeight="1" x14ac:dyDescent="0.3">
      <c r="A825" s="23" t="s">
        <v>13376</v>
      </c>
      <c r="B825" s="23" t="s">
        <v>81</v>
      </c>
      <c r="C825" s="39">
        <v>10497</v>
      </c>
      <c r="D825" s="24">
        <v>94.47</v>
      </c>
      <c r="E825" s="24">
        <v>17</v>
      </c>
      <c r="F825" s="23">
        <f>COUNTIFS(mdr_rate_cleaned!$A$2:$A$10,B825,mdr_rate_cleaned!$B$2:$B$10,"&lt;"&amp;C825,mdr_rate_cleaned!$F$2:$F$10,"&gt;="&amp;C825)</f>
        <v>1</v>
      </c>
      <c r="G825" s="40">
        <f>SUMIFS(mdr_rate_cleaned!$G$2:$G$10,mdr_rate_cleaned!$A$2:$A$10,B825,mdr_rate_cleaned!$B$2:$B$10,"&lt;"&amp;C825,mdr_rate_cleaned!$F$2:$F$10,"&gt;="&amp;C825)</f>
        <v>9.0000000000000011E-3</v>
      </c>
      <c r="H825" s="24">
        <f t="shared" si="60"/>
        <v>94.47</v>
      </c>
      <c r="I825" s="23" t="str">
        <f t="shared" si="61"/>
        <v>Match</v>
      </c>
      <c r="J825" s="23" t="str">
        <f t="shared" si="62"/>
        <v>Match</v>
      </c>
      <c r="K825" s="24">
        <f t="shared" si="63"/>
        <v>17</v>
      </c>
      <c r="L825" s="24">
        <f t="shared" si="64"/>
        <v>0</v>
      </c>
    </row>
    <row r="826" spans="1:12" ht="15" customHeight="1" x14ac:dyDescent="0.3">
      <c r="A826" s="23" t="s">
        <v>13377</v>
      </c>
      <c r="B826" s="23" t="s">
        <v>75</v>
      </c>
      <c r="C826" s="39">
        <v>8348</v>
      </c>
      <c r="D826" s="24">
        <v>25.04</v>
      </c>
      <c r="E826" s="24">
        <v>4.51</v>
      </c>
      <c r="F826" s="23">
        <f>COUNTIFS(mdr_rate_cleaned!$A$2:$A$10,B826,mdr_rate_cleaned!$B$2:$B$10,"&lt;"&amp;C826,mdr_rate_cleaned!$F$2:$F$10,"&gt;="&amp;C826)</f>
        <v>1</v>
      </c>
      <c r="G826" s="40">
        <f>SUMIFS(mdr_rate_cleaned!$G$2:$G$10,mdr_rate_cleaned!$A$2:$A$10,B826,mdr_rate_cleaned!$B$2:$B$10,"&lt;"&amp;C826,mdr_rate_cleaned!$F$2:$F$10,"&gt;="&amp;C826)</f>
        <v>3.0000000000000001E-3</v>
      </c>
      <c r="H826" s="24">
        <f t="shared" si="60"/>
        <v>25.04</v>
      </c>
      <c r="I826" s="23" t="str">
        <f t="shared" si="61"/>
        <v>Match</v>
      </c>
      <c r="J826" s="23" t="str">
        <f t="shared" si="62"/>
        <v>Match</v>
      </c>
      <c r="K826" s="24">
        <f t="shared" si="63"/>
        <v>4.51</v>
      </c>
      <c r="L826" s="24">
        <f t="shared" si="64"/>
        <v>0</v>
      </c>
    </row>
    <row r="827" spans="1:12" ht="15" customHeight="1" x14ac:dyDescent="0.3">
      <c r="A827" s="23" t="s">
        <v>13378</v>
      </c>
      <c r="B827" s="23" t="s">
        <v>75</v>
      </c>
      <c r="C827" s="39">
        <v>799</v>
      </c>
      <c r="D827" s="24">
        <v>0</v>
      </c>
      <c r="E827" s="24">
        <v>0</v>
      </c>
      <c r="F827" s="23">
        <f>COUNTIFS(mdr_rate_cleaned!$A$2:$A$10,B827,mdr_rate_cleaned!$B$2:$B$10,"&lt;"&amp;C827,mdr_rate_cleaned!$F$2:$F$10,"&gt;="&amp;C827)</f>
        <v>1</v>
      </c>
      <c r="G827" s="40">
        <f>SUMIFS(mdr_rate_cleaned!$G$2:$G$10,mdr_rate_cleaned!$A$2:$A$10,B827,mdr_rate_cleaned!$B$2:$B$10,"&lt;"&amp;C827,mdr_rate_cleaned!$F$2:$F$10,"&gt;="&amp;C827)</f>
        <v>0</v>
      </c>
      <c r="H827" s="24">
        <f t="shared" si="60"/>
        <v>0</v>
      </c>
      <c r="I827" s="23" t="str">
        <f t="shared" si="61"/>
        <v>Match</v>
      </c>
      <c r="J827" s="23" t="str">
        <f t="shared" si="62"/>
        <v>Match</v>
      </c>
      <c r="K827" s="24">
        <f t="shared" si="63"/>
        <v>0</v>
      </c>
      <c r="L827" s="24">
        <f t="shared" si="64"/>
        <v>0</v>
      </c>
    </row>
    <row r="828" spans="1:12" ht="15" customHeight="1" x14ac:dyDescent="0.3">
      <c r="A828" s="23" t="s">
        <v>13379</v>
      </c>
      <c r="B828" s="23" t="s">
        <v>79</v>
      </c>
      <c r="C828" s="39">
        <v>1299</v>
      </c>
      <c r="D828" s="24">
        <v>23.38</v>
      </c>
      <c r="E828" s="24">
        <v>4.21</v>
      </c>
      <c r="F828" s="23">
        <f>COUNTIFS(mdr_rate_cleaned!$A$2:$A$10,B828,mdr_rate_cleaned!$B$2:$B$10,"&lt;"&amp;C828,mdr_rate_cleaned!$F$2:$F$10,"&gt;="&amp;C828)</f>
        <v>1</v>
      </c>
      <c r="G828" s="40">
        <f>SUMIFS(mdr_rate_cleaned!$G$2:$G$10,mdr_rate_cleaned!$A$2:$A$10,B828,mdr_rate_cleaned!$B$2:$B$10,"&lt;"&amp;C828,mdr_rate_cleaned!$F$2:$F$10,"&gt;="&amp;C828)</f>
        <v>1.8000000000000002E-2</v>
      </c>
      <c r="H828" s="24">
        <f t="shared" si="60"/>
        <v>23.38</v>
      </c>
      <c r="I828" s="23" t="str">
        <f t="shared" si="61"/>
        <v>Match</v>
      </c>
      <c r="J828" s="23" t="str">
        <f t="shared" si="62"/>
        <v>Match</v>
      </c>
      <c r="K828" s="24">
        <f t="shared" si="63"/>
        <v>4.21</v>
      </c>
      <c r="L828" s="24">
        <f t="shared" si="64"/>
        <v>0</v>
      </c>
    </row>
    <row r="829" spans="1:12" ht="15" customHeight="1" x14ac:dyDescent="0.3">
      <c r="A829" s="23" t="s">
        <v>13381</v>
      </c>
      <c r="B829" s="23" t="s">
        <v>75</v>
      </c>
      <c r="C829" s="39">
        <v>1499</v>
      </c>
      <c r="D829" s="24">
        <v>0</v>
      </c>
      <c r="E829" s="24">
        <v>0</v>
      </c>
      <c r="F829" s="23">
        <f>COUNTIFS(mdr_rate_cleaned!$A$2:$A$10,B829,mdr_rate_cleaned!$B$2:$B$10,"&lt;"&amp;C829,mdr_rate_cleaned!$F$2:$F$10,"&gt;="&amp;C829)</f>
        <v>1</v>
      </c>
      <c r="G829" s="40">
        <f>SUMIFS(mdr_rate_cleaned!$G$2:$G$10,mdr_rate_cleaned!$A$2:$A$10,B829,mdr_rate_cleaned!$B$2:$B$10,"&lt;"&amp;C829,mdr_rate_cleaned!$F$2:$F$10,"&gt;="&amp;C829)</f>
        <v>0</v>
      </c>
      <c r="H829" s="24">
        <f t="shared" si="60"/>
        <v>0</v>
      </c>
      <c r="I829" s="23" t="str">
        <f t="shared" si="61"/>
        <v>Match</v>
      </c>
      <c r="J829" s="23" t="str">
        <f t="shared" si="62"/>
        <v>Match</v>
      </c>
      <c r="K829" s="24">
        <f t="shared" si="63"/>
        <v>0</v>
      </c>
      <c r="L829" s="24">
        <f t="shared" si="64"/>
        <v>0</v>
      </c>
    </row>
    <row r="830" spans="1:12" ht="15" customHeight="1" x14ac:dyDescent="0.3">
      <c r="A830" s="23" t="s">
        <v>13382</v>
      </c>
      <c r="B830" s="23" t="s">
        <v>75</v>
      </c>
      <c r="C830" s="39">
        <v>798</v>
      </c>
      <c r="D830" s="24">
        <v>0</v>
      </c>
      <c r="E830" s="24">
        <v>0</v>
      </c>
      <c r="F830" s="23">
        <f>COUNTIFS(mdr_rate_cleaned!$A$2:$A$10,B830,mdr_rate_cleaned!$B$2:$B$10,"&lt;"&amp;C830,mdr_rate_cleaned!$F$2:$F$10,"&gt;="&amp;C830)</f>
        <v>1</v>
      </c>
      <c r="G830" s="40">
        <f>SUMIFS(mdr_rate_cleaned!$G$2:$G$10,mdr_rate_cleaned!$A$2:$A$10,B830,mdr_rate_cleaned!$B$2:$B$10,"&lt;"&amp;C830,mdr_rate_cleaned!$F$2:$F$10,"&gt;="&amp;C830)</f>
        <v>0</v>
      </c>
      <c r="H830" s="24">
        <f t="shared" si="60"/>
        <v>0</v>
      </c>
      <c r="I830" s="23" t="str">
        <f t="shared" si="61"/>
        <v>Match</v>
      </c>
      <c r="J830" s="23" t="str">
        <f t="shared" si="62"/>
        <v>Match</v>
      </c>
      <c r="K830" s="24">
        <f t="shared" si="63"/>
        <v>0</v>
      </c>
      <c r="L830" s="24">
        <f t="shared" si="64"/>
        <v>0</v>
      </c>
    </row>
    <row r="831" spans="1:12" ht="15" customHeight="1" x14ac:dyDescent="0.3">
      <c r="A831" s="23" t="s">
        <v>13383</v>
      </c>
      <c r="B831" s="23" t="s">
        <v>79</v>
      </c>
      <c r="C831" s="39">
        <v>4999</v>
      </c>
      <c r="D831" s="24">
        <v>79.98</v>
      </c>
      <c r="E831" s="24">
        <v>14.4</v>
      </c>
      <c r="F831" s="23">
        <f>COUNTIFS(mdr_rate_cleaned!$A$2:$A$10,B831,mdr_rate_cleaned!$B$2:$B$10,"&lt;"&amp;C831,mdr_rate_cleaned!$F$2:$F$10,"&gt;="&amp;C831)</f>
        <v>1</v>
      </c>
      <c r="G831" s="40">
        <f>SUMIFS(mdr_rate_cleaned!$G$2:$G$10,mdr_rate_cleaned!$A$2:$A$10,B831,mdr_rate_cleaned!$B$2:$B$10,"&lt;"&amp;C831,mdr_rate_cleaned!$F$2:$F$10,"&gt;="&amp;C831)</f>
        <v>1.6E-2</v>
      </c>
      <c r="H831" s="24">
        <f t="shared" si="60"/>
        <v>79.98</v>
      </c>
      <c r="I831" s="23" t="str">
        <f t="shared" si="61"/>
        <v>Match</v>
      </c>
      <c r="J831" s="23" t="str">
        <f t="shared" si="62"/>
        <v>Match</v>
      </c>
      <c r="K831" s="24">
        <f t="shared" si="63"/>
        <v>14.4</v>
      </c>
      <c r="L831" s="24">
        <f t="shared" si="64"/>
        <v>0</v>
      </c>
    </row>
    <row r="832" spans="1:12" ht="15" customHeight="1" x14ac:dyDescent="0.3">
      <c r="A832" s="23" t="s">
        <v>13384</v>
      </c>
      <c r="B832" s="23" t="s">
        <v>75</v>
      </c>
      <c r="C832" s="39">
        <v>599</v>
      </c>
      <c r="D832" s="24">
        <v>0</v>
      </c>
      <c r="E832" s="24">
        <v>0</v>
      </c>
      <c r="F832" s="23">
        <f>COUNTIFS(mdr_rate_cleaned!$A$2:$A$10,B832,mdr_rate_cleaned!$B$2:$B$10,"&lt;"&amp;C832,mdr_rate_cleaned!$F$2:$F$10,"&gt;="&amp;C832)</f>
        <v>1</v>
      </c>
      <c r="G832" s="40">
        <f>SUMIFS(mdr_rate_cleaned!$G$2:$G$10,mdr_rate_cleaned!$A$2:$A$10,B832,mdr_rate_cleaned!$B$2:$B$10,"&lt;"&amp;C832,mdr_rate_cleaned!$F$2:$F$10,"&gt;="&amp;C832)</f>
        <v>0</v>
      </c>
      <c r="H832" s="24">
        <f t="shared" si="60"/>
        <v>0</v>
      </c>
      <c r="I832" s="23" t="str">
        <f t="shared" si="61"/>
        <v>Match</v>
      </c>
      <c r="J832" s="23" t="str">
        <f t="shared" si="62"/>
        <v>Match</v>
      </c>
      <c r="K832" s="24">
        <f t="shared" si="63"/>
        <v>0</v>
      </c>
      <c r="L832" s="24">
        <f t="shared" si="64"/>
        <v>0</v>
      </c>
    </row>
    <row r="833" spans="1:12" ht="15" customHeight="1" x14ac:dyDescent="0.3">
      <c r="A833" s="23" t="s">
        <v>13385</v>
      </c>
      <c r="B833" s="23" t="s">
        <v>79</v>
      </c>
      <c r="C833" s="39">
        <v>1148</v>
      </c>
      <c r="D833" s="24">
        <v>20.66</v>
      </c>
      <c r="E833" s="24">
        <v>3.72</v>
      </c>
      <c r="F833" s="23">
        <f>COUNTIFS(mdr_rate_cleaned!$A$2:$A$10,B833,mdr_rate_cleaned!$B$2:$B$10,"&lt;"&amp;C833,mdr_rate_cleaned!$F$2:$F$10,"&gt;="&amp;C833)</f>
        <v>1</v>
      </c>
      <c r="G833" s="40">
        <f>SUMIFS(mdr_rate_cleaned!$G$2:$G$10,mdr_rate_cleaned!$A$2:$A$10,B833,mdr_rate_cleaned!$B$2:$B$10,"&lt;"&amp;C833,mdr_rate_cleaned!$F$2:$F$10,"&gt;="&amp;C833)</f>
        <v>1.8000000000000002E-2</v>
      </c>
      <c r="H833" s="24">
        <f t="shared" si="60"/>
        <v>20.66</v>
      </c>
      <c r="I833" s="23" t="str">
        <f t="shared" si="61"/>
        <v>Match</v>
      </c>
      <c r="J833" s="23" t="str">
        <f t="shared" si="62"/>
        <v>Match</v>
      </c>
      <c r="K833" s="24">
        <f t="shared" si="63"/>
        <v>3.72</v>
      </c>
      <c r="L833" s="24">
        <f t="shared" si="64"/>
        <v>0</v>
      </c>
    </row>
    <row r="834" spans="1:12" ht="15" customHeight="1" x14ac:dyDescent="0.3">
      <c r="A834" s="23" t="s">
        <v>13386</v>
      </c>
      <c r="B834" s="23" t="s">
        <v>81</v>
      </c>
      <c r="C834" s="39">
        <v>1598</v>
      </c>
      <c r="D834" s="24">
        <v>23.97</v>
      </c>
      <c r="E834" s="24">
        <v>4.3099999999999996</v>
      </c>
      <c r="F834" s="23">
        <f>COUNTIFS(mdr_rate_cleaned!$A$2:$A$10,B834,mdr_rate_cleaned!$B$2:$B$10,"&lt;"&amp;C834,mdr_rate_cleaned!$F$2:$F$10,"&gt;="&amp;C834)</f>
        <v>1</v>
      </c>
      <c r="G834" s="40">
        <f>SUMIFS(mdr_rate_cleaned!$G$2:$G$10,mdr_rate_cleaned!$A$2:$A$10,B834,mdr_rate_cleaned!$B$2:$B$10,"&lt;"&amp;C834,mdr_rate_cleaned!$F$2:$F$10,"&gt;="&amp;C834)</f>
        <v>1.4999999999999999E-2</v>
      </c>
      <c r="H834" s="24">
        <f t="shared" ref="H834:H897" si="65">ROUND(C834*G834,2)</f>
        <v>23.97</v>
      </c>
      <c r="I834" s="23" t="str">
        <f t="shared" ref="I834:I897" si="66">IF(ROUND(D834-H834,2)=0,"Match","Differs")</f>
        <v>Match</v>
      </c>
      <c r="J834" s="23" t="str">
        <f t="shared" ref="J834:J897" si="67">IF(ROUND(E834-ROUND(D834*0.18,2),2)=0,"Match","Differs")</f>
        <v>Match</v>
      </c>
      <c r="K834" s="24">
        <f t="shared" ref="K834:K897" si="68">ROUND(H834*0.18,2)</f>
        <v>4.3099999999999996</v>
      </c>
      <c r="L834" s="24">
        <f t="shared" ref="L834:L897" si="69">ROUND(D834+E834-H834-K834,2)</f>
        <v>0</v>
      </c>
    </row>
    <row r="835" spans="1:12" ht="15" customHeight="1" x14ac:dyDescent="0.3">
      <c r="A835" s="23" t="s">
        <v>13388</v>
      </c>
      <c r="B835" s="23" t="s">
        <v>79</v>
      </c>
      <c r="C835" s="39">
        <v>299</v>
      </c>
      <c r="D835" s="24">
        <v>5.38</v>
      </c>
      <c r="E835" s="24">
        <v>0.97</v>
      </c>
      <c r="F835" s="23">
        <f>COUNTIFS(mdr_rate_cleaned!$A$2:$A$10,B835,mdr_rate_cleaned!$B$2:$B$10,"&lt;"&amp;C835,mdr_rate_cleaned!$F$2:$F$10,"&gt;="&amp;C835)</f>
        <v>1</v>
      </c>
      <c r="G835" s="40">
        <f>SUMIFS(mdr_rate_cleaned!$G$2:$G$10,mdr_rate_cleaned!$A$2:$A$10,B835,mdr_rate_cleaned!$B$2:$B$10,"&lt;"&amp;C835,mdr_rate_cleaned!$F$2:$F$10,"&gt;="&amp;C835)</f>
        <v>1.8000000000000002E-2</v>
      </c>
      <c r="H835" s="24">
        <f t="shared" si="65"/>
        <v>5.38</v>
      </c>
      <c r="I835" s="23" t="str">
        <f t="shared" si="66"/>
        <v>Match</v>
      </c>
      <c r="J835" s="23" t="str">
        <f t="shared" si="67"/>
        <v>Match</v>
      </c>
      <c r="K835" s="24">
        <f t="shared" si="68"/>
        <v>0.97</v>
      </c>
      <c r="L835" s="24">
        <f t="shared" si="69"/>
        <v>0</v>
      </c>
    </row>
    <row r="836" spans="1:12" ht="15" customHeight="1" x14ac:dyDescent="0.3">
      <c r="A836" s="23" t="s">
        <v>13390</v>
      </c>
      <c r="B836" s="23" t="s">
        <v>79</v>
      </c>
      <c r="C836" s="39">
        <v>2499</v>
      </c>
      <c r="D836" s="24">
        <v>39.979999999999997</v>
      </c>
      <c r="E836" s="24">
        <v>7.2</v>
      </c>
      <c r="F836" s="23">
        <f>COUNTIFS(mdr_rate_cleaned!$A$2:$A$10,B836,mdr_rate_cleaned!$B$2:$B$10,"&lt;"&amp;C836,mdr_rate_cleaned!$F$2:$F$10,"&gt;="&amp;C836)</f>
        <v>1</v>
      </c>
      <c r="G836" s="40">
        <f>SUMIFS(mdr_rate_cleaned!$G$2:$G$10,mdr_rate_cleaned!$A$2:$A$10,B836,mdr_rate_cleaned!$B$2:$B$10,"&lt;"&amp;C836,mdr_rate_cleaned!$F$2:$F$10,"&gt;="&amp;C836)</f>
        <v>1.6E-2</v>
      </c>
      <c r="H836" s="24">
        <f t="shared" si="65"/>
        <v>39.979999999999997</v>
      </c>
      <c r="I836" s="23" t="str">
        <f t="shared" si="66"/>
        <v>Match</v>
      </c>
      <c r="J836" s="23" t="str">
        <f t="shared" si="67"/>
        <v>Match</v>
      </c>
      <c r="K836" s="24">
        <f t="shared" si="68"/>
        <v>7.2</v>
      </c>
      <c r="L836" s="24">
        <f t="shared" si="69"/>
        <v>0</v>
      </c>
    </row>
    <row r="837" spans="1:12" ht="15" customHeight="1" x14ac:dyDescent="0.3">
      <c r="A837" s="23" t="s">
        <v>13392</v>
      </c>
      <c r="B837" s="23" t="s">
        <v>75</v>
      </c>
      <c r="C837" s="39">
        <v>3498</v>
      </c>
      <c r="D837" s="24">
        <v>10.49</v>
      </c>
      <c r="E837" s="24">
        <v>1.89</v>
      </c>
      <c r="F837" s="23">
        <f>COUNTIFS(mdr_rate_cleaned!$A$2:$A$10,B837,mdr_rate_cleaned!$B$2:$B$10,"&lt;"&amp;C837,mdr_rate_cleaned!$F$2:$F$10,"&gt;="&amp;C837)</f>
        <v>1</v>
      </c>
      <c r="G837" s="40">
        <f>SUMIFS(mdr_rate_cleaned!$G$2:$G$10,mdr_rate_cleaned!$A$2:$A$10,B837,mdr_rate_cleaned!$B$2:$B$10,"&lt;"&amp;C837,mdr_rate_cleaned!$F$2:$F$10,"&gt;="&amp;C837)</f>
        <v>3.0000000000000001E-3</v>
      </c>
      <c r="H837" s="24">
        <f t="shared" si="65"/>
        <v>10.49</v>
      </c>
      <c r="I837" s="23" t="str">
        <f t="shared" si="66"/>
        <v>Match</v>
      </c>
      <c r="J837" s="23" t="str">
        <f t="shared" si="67"/>
        <v>Match</v>
      </c>
      <c r="K837" s="24">
        <f t="shared" si="68"/>
        <v>1.89</v>
      </c>
      <c r="L837" s="24">
        <f t="shared" si="69"/>
        <v>0</v>
      </c>
    </row>
    <row r="838" spans="1:12" ht="15" customHeight="1" x14ac:dyDescent="0.3">
      <c r="A838" s="23" t="s">
        <v>13393</v>
      </c>
      <c r="B838" s="23" t="s">
        <v>75</v>
      </c>
      <c r="C838" s="39">
        <v>6347</v>
      </c>
      <c r="D838" s="24">
        <v>19.04</v>
      </c>
      <c r="E838" s="24">
        <v>3.43</v>
      </c>
      <c r="F838" s="23">
        <f>COUNTIFS(mdr_rate_cleaned!$A$2:$A$10,B838,mdr_rate_cleaned!$B$2:$B$10,"&lt;"&amp;C838,mdr_rate_cleaned!$F$2:$F$10,"&gt;="&amp;C838)</f>
        <v>1</v>
      </c>
      <c r="G838" s="40">
        <f>SUMIFS(mdr_rate_cleaned!$G$2:$G$10,mdr_rate_cleaned!$A$2:$A$10,B838,mdr_rate_cleaned!$B$2:$B$10,"&lt;"&amp;C838,mdr_rate_cleaned!$F$2:$F$10,"&gt;="&amp;C838)</f>
        <v>3.0000000000000001E-3</v>
      </c>
      <c r="H838" s="24">
        <f t="shared" si="65"/>
        <v>19.04</v>
      </c>
      <c r="I838" s="23" t="str">
        <f t="shared" si="66"/>
        <v>Match</v>
      </c>
      <c r="J838" s="23" t="str">
        <f t="shared" si="67"/>
        <v>Match</v>
      </c>
      <c r="K838" s="24">
        <f t="shared" si="68"/>
        <v>3.43</v>
      </c>
      <c r="L838" s="24">
        <f t="shared" si="69"/>
        <v>0</v>
      </c>
    </row>
    <row r="839" spans="1:12" ht="15" customHeight="1" x14ac:dyDescent="0.3">
      <c r="A839" s="23" t="s">
        <v>13394</v>
      </c>
      <c r="B839" s="23" t="s">
        <v>75</v>
      </c>
      <c r="C839" s="39">
        <v>349</v>
      </c>
      <c r="D839" s="24">
        <v>0</v>
      </c>
      <c r="E839" s="24">
        <v>0</v>
      </c>
      <c r="F839" s="23">
        <f>COUNTIFS(mdr_rate_cleaned!$A$2:$A$10,B839,mdr_rate_cleaned!$B$2:$B$10,"&lt;"&amp;C839,mdr_rate_cleaned!$F$2:$F$10,"&gt;="&amp;C839)</f>
        <v>1</v>
      </c>
      <c r="G839" s="40">
        <f>SUMIFS(mdr_rate_cleaned!$G$2:$G$10,mdr_rate_cleaned!$A$2:$A$10,B839,mdr_rate_cleaned!$B$2:$B$10,"&lt;"&amp;C839,mdr_rate_cleaned!$F$2:$F$10,"&gt;="&amp;C839)</f>
        <v>0</v>
      </c>
      <c r="H839" s="24">
        <f t="shared" si="65"/>
        <v>0</v>
      </c>
      <c r="I839" s="23" t="str">
        <f t="shared" si="66"/>
        <v>Match</v>
      </c>
      <c r="J839" s="23" t="str">
        <f t="shared" si="67"/>
        <v>Match</v>
      </c>
      <c r="K839" s="24">
        <f t="shared" si="68"/>
        <v>0</v>
      </c>
      <c r="L839" s="24">
        <f t="shared" si="69"/>
        <v>0</v>
      </c>
    </row>
    <row r="840" spans="1:12" ht="15" customHeight="1" x14ac:dyDescent="0.3">
      <c r="A840" s="23" t="s">
        <v>13395</v>
      </c>
      <c r="B840" s="23" t="s">
        <v>77</v>
      </c>
      <c r="C840" s="39">
        <v>5998</v>
      </c>
      <c r="D840" s="24">
        <v>101.97</v>
      </c>
      <c r="E840" s="24">
        <v>18.350000000000001</v>
      </c>
      <c r="F840" s="23">
        <f>COUNTIFS(mdr_rate_cleaned!$A$2:$A$10,B840,mdr_rate_cleaned!$B$2:$B$10,"&lt;"&amp;C840,mdr_rate_cleaned!$F$2:$F$10,"&gt;="&amp;C840)</f>
        <v>1</v>
      </c>
      <c r="G840" s="40">
        <f>SUMIFS(mdr_rate_cleaned!$G$2:$G$10,mdr_rate_cleaned!$A$2:$A$10,B840,mdr_rate_cleaned!$B$2:$B$10,"&lt;"&amp;C840,mdr_rate_cleaned!$F$2:$F$10,"&gt;="&amp;C840)</f>
        <v>1.7000000000000001E-2</v>
      </c>
      <c r="H840" s="24">
        <f t="shared" si="65"/>
        <v>101.97</v>
      </c>
      <c r="I840" s="23" t="str">
        <f t="shared" si="66"/>
        <v>Match</v>
      </c>
      <c r="J840" s="23" t="str">
        <f t="shared" si="67"/>
        <v>Match</v>
      </c>
      <c r="K840" s="24">
        <f t="shared" si="68"/>
        <v>18.350000000000001</v>
      </c>
      <c r="L840" s="24">
        <f t="shared" si="69"/>
        <v>0</v>
      </c>
    </row>
    <row r="841" spans="1:12" ht="15" customHeight="1" x14ac:dyDescent="0.3">
      <c r="A841" s="23" t="s">
        <v>13396</v>
      </c>
      <c r="B841" s="23" t="s">
        <v>77</v>
      </c>
      <c r="C841" s="39">
        <v>3997</v>
      </c>
      <c r="D841" s="24">
        <v>67.95</v>
      </c>
      <c r="E841" s="24">
        <v>12.23</v>
      </c>
      <c r="F841" s="23">
        <f>COUNTIFS(mdr_rate_cleaned!$A$2:$A$10,B841,mdr_rate_cleaned!$B$2:$B$10,"&lt;"&amp;C841,mdr_rate_cleaned!$F$2:$F$10,"&gt;="&amp;C841)</f>
        <v>1</v>
      </c>
      <c r="G841" s="40">
        <f>SUMIFS(mdr_rate_cleaned!$G$2:$G$10,mdr_rate_cleaned!$A$2:$A$10,B841,mdr_rate_cleaned!$B$2:$B$10,"&lt;"&amp;C841,mdr_rate_cleaned!$F$2:$F$10,"&gt;="&amp;C841)</f>
        <v>1.7000000000000001E-2</v>
      </c>
      <c r="H841" s="24">
        <f t="shared" si="65"/>
        <v>67.95</v>
      </c>
      <c r="I841" s="23" t="str">
        <f t="shared" si="66"/>
        <v>Match</v>
      </c>
      <c r="J841" s="23" t="str">
        <f t="shared" si="67"/>
        <v>Match</v>
      </c>
      <c r="K841" s="24">
        <f t="shared" si="68"/>
        <v>12.23</v>
      </c>
      <c r="L841" s="24">
        <f t="shared" si="69"/>
        <v>0</v>
      </c>
    </row>
    <row r="842" spans="1:12" ht="15" customHeight="1" x14ac:dyDescent="0.3">
      <c r="A842" s="23" t="s">
        <v>13398</v>
      </c>
      <c r="B842" s="23" t="s">
        <v>75</v>
      </c>
      <c r="C842" s="39">
        <v>3797</v>
      </c>
      <c r="D842" s="24">
        <v>11.39</v>
      </c>
      <c r="E842" s="24">
        <v>2.0499999999999998</v>
      </c>
      <c r="F842" s="23">
        <f>COUNTIFS(mdr_rate_cleaned!$A$2:$A$10,B842,mdr_rate_cleaned!$B$2:$B$10,"&lt;"&amp;C842,mdr_rate_cleaned!$F$2:$F$10,"&gt;="&amp;C842)</f>
        <v>1</v>
      </c>
      <c r="G842" s="40">
        <f>SUMIFS(mdr_rate_cleaned!$G$2:$G$10,mdr_rate_cleaned!$A$2:$A$10,B842,mdr_rate_cleaned!$B$2:$B$10,"&lt;"&amp;C842,mdr_rate_cleaned!$F$2:$F$10,"&gt;="&amp;C842)</f>
        <v>3.0000000000000001E-3</v>
      </c>
      <c r="H842" s="24">
        <f t="shared" si="65"/>
        <v>11.39</v>
      </c>
      <c r="I842" s="23" t="str">
        <f t="shared" si="66"/>
        <v>Match</v>
      </c>
      <c r="J842" s="23" t="str">
        <f t="shared" si="67"/>
        <v>Match</v>
      </c>
      <c r="K842" s="24">
        <f t="shared" si="68"/>
        <v>2.0499999999999998</v>
      </c>
      <c r="L842" s="24">
        <f t="shared" si="69"/>
        <v>0</v>
      </c>
    </row>
    <row r="843" spans="1:12" ht="15" customHeight="1" x14ac:dyDescent="0.3">
      <c r="A843" s="23" t="s">
        <v>13399</v>
      </c>
      <c r="B843" s="23" t="s">
        <v>75</v>
      </c>
      <c r="C843" s="39">
        <v>2999</v>
      </c>
      <c r="D843" s="24">
        <v>9</v>
      </c>
      <c r="E843" s="24">
        <v>1.62</v>
      </c>
      <c r="F843" s="23">
        <f>COUNTIFS(mdr_rate_cleaned!$A$2:$A$10,B843,mdr_rate_cleaned!$B$2:$B$10,"&lt;"&amp;C843,mdr_rate_cleaned!$F$2:$F$10,"&gt;="&amp;C843)</f>
        <v>1</v>
      </c>
      <c r="G843" s="40">
        <f>SUMIFS(mdr_rate_cleaned!$G$2:$G$10,mdr_rate_cleaned!$A$2:$A$10,B843,mdr_rate_cleaned!$B$2:$B$10,"&lt;"&amp;C843,mdr_rate_cleaned!$F$2:$F$10,"&gt;="&amp;C843)</f>
        <v>3.0000000000000001E-3</v>
      </c>
      <c r="H843" s="24">
        <f t="shared" si="65"/>
        <v>9</v>
      </c>
      <c r="I843" s="23" t="str">
        <f t="shared" si="66"/>
        <v>Match</v>
      </c>
      <c r="J843" s="23" t="str">
        <f t="shared" si="67"/>
        <v>Match</v>
      </c>
      <c r="K843" s="24">
        <f t="shared" si="68"/>
        <v>1.62</v>
      </c>
      <c r="L843" s="24">
        <f t="shared" si="69"/>
        <v>0</v>
      </c>
    </row>
    <row r="844" spans="1:12" ht="15" customHeight="1" x14ac:dyDescent="0.3">
      <c r="A844" s="23" t="s">
        <v>13400</v>
      </c>
      <c r="B844" s="23" t="s">
        <v>75</v>
      </c>
      <c r="C844" s="39">
        <v>1799</v>
      </c>
      <c r="D844" s="24">
        <v>0</v>
      </c>
      <c r="E844" s="24">
        <v>0</v>
      </c>
      <c r="F844" s="23">
        <f>COUNTIFS(mdr_rate_cleaned!$A$2:$A$10,B844,mdr_rate_cleaned!$B$2:$B$10,"&lt;"&amp;C844,mdr_rate_cleaned!$F$2:$F$10,"&gt;="&amp;C844)</f>
        <v>1</v>
      </c>
      <c r="G844" s="40">
        <f>SUMIFS(mdr_rate_cleaned!$G$2:$G$10,mdr_rate_cleaned!$A$2:$A$10,B844,mdr_rate_cleaned!$B$2:$B$10,"&lt;"&amp;C844,mdr_rate_cleaned!$F$2:$F$10,"&gt;="&amp;C844)</f>
        <v>0</v>
      </c>
      <c r="H844" s="24">
        <f t="shared" si="65"/>
        <v>0</v>
      </c>
      <c r="I844" s="23" t="str">
        <f t="shared" si="66"/>
        <v>Match</v>
      </c>
      <c r="J844" s="23" t="str">
        <f t="shared" si="67"/>
        <v>Match</v>
      </c>
      <c r="K844" s="24">
        <f t="shared" si="68"/>
        <v>0</v>
      </c>
      <c r="L844" s="24">
        <f t="shared" si="69"/>
        <v>0</v>
      </c>
    </row>
    <row r="845" spans="1:12" ht="15" customHeight="1" x14ac:dyDescent="0.3">
      <c r="A845" s="23" t="s">
        <v>13401</v>
      </c>
      <c r="B845" s="23" t="s">
        <v>79</v>
      </c>
      <c r="C845" s="39">
        <v>599</v>
      </c>
      <c r="D845" s="24">
        <v>10.78</v>
      </c>
      <c r="E845" s="24">
        <v>1.94</v>
      </c>
      <c r="F845" s="23">
        <f>COUNTIFS(mdr_rate_cleaned!$A$2:$A$10,B845,mdr_rate_cleaned!$B$2:$B$10,"&lt;"&amp;C845,mdr_rate_cleaned!$F$2:$F$10,"&gt;="&amp;C845)</f>
        <v>1</v>
      </c>
      <c r="G845" s="40">
        <f>SUMIFS(mdr_rate_cleaned!$G$2:$G$10,mdr_rate_cleaned!$A$2:$A$10,B845,mdr_rate_cleaned!$B$2:$B$10,"&lt;"&amp;C845,mdr_rate_cleaned!$F$2:$F$10,"&gt;="&amp;C845)</f>
        <v>1.8000000000000002E-2</v>
      </c>
      <c r="H845" s="24">
        <f t="shared" si="65"/>
        <v>10.78</v>
      </c>
      <c r="I845" s="23" t="str">
        <f t="shared" si="66"/>
        <v>Match</v>
      </c>
      <c r="J845" s="23" t="str">
        <f t="shared" si="67"/>
        <v>Match</v>
      </c>
      <c r="K845" s="24">
        <f t="shared" si="68"/>
        <v>1.94</v>
      </c>
      <c r="L845" s="24">
        <f t="shared" si="69"/>
        <v>0</v>
      </c>
    </row>
    <row r="846" spans="1:12" ht="15" customHeight="1" x14ac:dyDescent="0.3">
      <c r="A846" s="23" t="s">
        <v>13402</v>
      </c>
      <c r="B846" s="23" t="s">
        <v>81</v>
      </c>
      <c r="C846" s="39">
        <v>799</v>
      </c>
      <c r="D846" s="24">
        <v>11.99</v>
      </c>
      <c r="E846" s="24">
        <v>2.16</v>
      </c>
      <c r="F846" s="23">
        <f>COUNTIFS(mdr_rate_cleaned!$A$2:$A$10,B846,mdr_rate_cleaned!$B$2:$B$10,"&lt;"&amp;C846,mdr_rate_cleaned!$F$2:$F$10,"&gt;="&amp;C846)</f>
        <v>1</v>
      </c>
      <c r="G846" s="40">
        <f>SUMIFS(mdr_rate_cleaned!$G$2:$G$10,mdr_rate_cleaned!$A$2:$A$10,B846,mdr_rate_cleaned!$B$2:$B$10,"&lt;"&amp;C846,mdr_rate_cleaned!$F$2:$F$10,"&gt;="&amp;C846)</f>
        <v>1.4999999999999999E-2</v>
      </c>
      <c r="H846" s="24">
        <f t="shared" si="65"/>
        <v>11.99</v>
      </c>
      <c r="I846" s="23" t="str">
        <f t="shared" si="66"/>
        <v>Match</v>
      </c>
      <c r="J846" s="23" t="str">
        <f t="shared" si="67"/>
        <v>Match</v>
      </c>
      <c r="K846" s="24">
        <f t="shared" si="68"/>
        <v>2.16</v>
      </c>
      <c r="L846" s="24">
        <f t="shared" si="69"/>
        <v>0</v>
      </c>
    </row>
    <row r="847" spans="1:12" ht="15" customHeight="1" x14ac:dyDescent="0.3">
      <c r="A847" s="23" t="s">
        <v>13403</v>
      </c>
      <c r="B847" s="23" t="s">
        <v>75</v>
      </c>
      <c r="C847" s="39">
        <v>7999</v>
      </c>
      <c r="D847" s="24">
        <v>24</v>
      </c>
      <c r="E847" s="24">
        <v>4.32</v>
      </c>
      <c r="F847" s="23">
        <f>COUNTIFS(mdr_rate_cleaned!$A$2:$A$10,B847,mdr_rate_cleaned!$B$2:$B$10,"&lt;"&amp;C847,mdr_rate_cleaned!$F$2:$F$10,"&gt;="&amp;C847)</f>
        <v>1</v>
      </c>
      <c r="G847" s="40">
        <f>SUMIFS(mdr_rate_cleaned!$G$2:$G$10,mdr_rate_cleaned!$A$2:$A$10,B847,mdr_rate_cleaned!$B$2:$B$10,"&lt;"&amp;C847,mdr_rate_cleaned!$F$2:$F$10,"&gt;="&amp;C847)</f>
        <v>3.0000000000000001E-3</v>
      </c>
      <c r="H847" s="24">
        <f t="shared" si="65"/>
        <v>24</v>
      </c>
      <c r="I847" s="23" t="str">
        <f t="shared" si="66"/>
        <v>Match</v>
      </c>
      <c r="J847" s="23" t="str">
        <f t="shared" si="67"/>
        <v>Match</v>
      </c>
      <c r="K847" s="24">
        <f t="shared" si="68"/>
        <v>4.32</v>
      </c>
      <c r="L847" s="24">
        <f t="shared" si="69"/>
        <v>0</v>
      </c>
    </row>
    <row r="848" spans="1:12" ht="15" customHeight="1" x14ac:dyDescent="0.3">
      <c r="A848" s="23" t="s">
        <v>13405</v>
      </c>
      <c r="B848" s="23" t="s">
        <v>75</v>
      </c>
      <c r="C848" s="39">
        <v>3499</v>
      </c>
      <c r="D848" s="24">
        <v>10.5</v>
      </c>
      <c r="E848" s="24">
        <v>1.89</v>
      </c>
      <c r="F848" s="23">
        <f>COUNTIFS(mdr_rate_cleaned!$A$2:$A$10,B848,mdr_rate_cleaned!$B$2:$B$10,"&lt;"&amp;C848,mdr_rate_cleaned!$F$2:$F$10,"&gt;="&amp;C848)</f>
        <v>1</v>
      </c>
      <c r="G848" s="40">
        <f>SUMIFS(mdr_rate_cleaned!$G$2:$G$10,mdr_rate_cleaned!$A$2:$A$10,B848,mdr_rate_cleaned!$B$2:$B$10,"&lt;"&amp;C848,mdr_rate_cleaned!$F$2:$F$10,"&gt;="&amp;C848)</f>
        <v>3.0000000000000001E-3</v>
      </c>
      <c r="H848" s="24">
        <f t="shared" si="65"/>
        <v>10.5</v>
      </c>
      <c r="I848" s="23" t="str">
        <f t="shared" si="66"/>
        <v>Match</v>
      </c>
      <c r="J848" s="23" t="str">
        <f t="shared" si="67"/>
        <v>Match</v>
      </c>
      <c r="K848" s="24">
        <f t="shared" si="68"/>
        <v>1.89</v>
      </c>
      <c r="L848" s="24">
        <f t="shared" si="69"/>
        <v>0</v>
      </c>
    </row>
    <row r="849" spans="1:12" ht="15" customHeight="1" x14ac:dyDescent="0.3">
      <c r="A849" s="23" t="s">
        <v>13406</v>
      </c>
      <c r="B849" s="23" t="s">
        <v>75</v>
      </c>
      <c r="C849" s="39">
        <v>7498</v>
      </c>
      <c r="D849" s="24">
        <v>22.49</v>
      </c>
      <c r="E849" s="24">
        <v>4.05</v>
      </c>
      <c r="F849" s="23">
        <f>COUNTIFS(mdr_rate_cleaned!$A$2:$A$10,B849,mdr_rate_cleaned!$B$2:$B$10,"&lt;"&amp;C849,mdr_rate_cleaned!$F$2:$F$10,"&gt;="&amp;C849)</f>
        <v>1</v>
      </c>
      <c r="G849" s="40">
        <f>SUMIFS(mdr_rate_cleaned!$G$2:$G$10,mdr_rate_cleaned!$A$2:$A$10,B849,mdr_rate_cleaned!$B$2:$B$10,"&lt;"&amp;C849,mdr_rate_cleaned!$F$2:$F$10,"&gt;="&amp;C849)</f>
        <v>3.0000000000000001E-3</v>
      </c>
      <c r="H849" s="24">
        <f t="shared" si="65"/>
        <v>22.49</v>
      </c>
      <c r="I849" s="23" t="str">
        <f t="shared" si="66"/>
        <v>Match</v>
      </c>
      <c r="J849" s="23" t="str">
        <f t="shared" si="67"/>
        <v>Match</v>
      </c>
      <c r="K849" s="24">
        <f t="shared" si="68"/>
        <v>4.05</v>
      </c>
      <c r="L849" s="24">
        <f t="shared" si="69"/>
        <v>0</v>
      </c>
    </row>
    <row r="850" spans="1:12" ht="15" customHeight="1" x14ac:dyDescent="0.3">
      <c r="A850" s="23" t="s">
        <v>13407</v>
      </c>
      <c r="B850" s="23" t="s">
        <v>75</v>
      </c>
      <c r="C850" s="39">
        <v>349</v>
      </c>
      <c r="D850" s="24">
        <v>0</v>
      </c>
      <c r="E850" s="24">
        <v>0</v>
      </c>
      <c r="F850" s="23">
        <f>COUNTIFS(mdr_rate_cleaned!$A$2:$A$10,B850,mdr_rate_cleaned!$B$2:$B$10,"&lt;"&amp;C850,mdr_rate_cleaned!$F$2:$F$10,"&gt;="&amp;C850)</f>
        <v>1</v>
      </c>
      <c r="G850" s="40">
        <f>SUMIFS(mdr_rate_cleaned!$G$2:$G$10,mdr_rate_cleaned!$A$2:$A$10,B850,mdr_rate_cleaned!$B$2:$B$10,"&lt;"&amp;C850,mdr_rate_cleaned!$F$2:$F$10,"&gt;="&amp;C850)</f>
        <v>0</v>
      </c>
      <c r="H850" s="24">
        <f t="shared" si="65"/>
        <v>0</v>
      </c>
      <c r="I850" s="23" t="str">
        <f t="shared" si="66"/>
        <v>Match</v>
      </c>
      <c r="J850" s="23" t="str">
        <f t="shared" si="67"/>
        <v>Match</v>
      </c>
      <c r="K850" s="24">
        <f t="shared" si="68"/>
        <v>0</v>
      </c>
      <c r="L850" s="24">
        <f t="shared" si="69"/>
        <v>0</v>
      </c>
    </row>
    <row r="851" spans="1:12" ht="15" customHeight="1" x14ac:dyDescent="0.3">
      <c r="A851" s="23" t="s">
        <v>13408</v>
      </c>
      <c r="B851" s="23" t="s">
        <v>77</v>
      </c>
      <c r="C851" s="39">
        <v>2499</v>
      </c>
      <c r="D851" s="24">
        <v>42.48</v>
      </c>
      <c r="E851" s="24">
        <v>7.65</v>
      </c>
      <c r="F851" s="23">
        <f>COUNTIFS(mdr_rate_cleaned!$A$2:$A$10,B851,mdr_rate_cleaned!$B$2:$B$10,"&lt;"&amp;C851,mdr_rate_cleaned!$F$2:$F$10,"&gt;="&amp;C851)</f>
        <v>1</v>
      </c>
      <c r="G851" s="40">
        <f>SUMIFS(mdr_rate_cleaned!$G$2:$G$10,mdr_rate_cleaned!$A$2:$A$10,B851,mdr_rate_cleaned!$B$2:$B$10,"&lt;"&amp;C851,mdr_rate_cleaned!$F$2:$F$10,"&gt;="&amp;C851)</f>
        <v>1.7000000000000001E-2</v>
      </c>
      <c r="H851" s="24">
        <f t="shared" si="65"/>
        <v>42.48</v>
      </c>
      <c r="I851" s="23" t="str">
        <f t="shared" si="66"/>
        <v>Match</v>
      </c>
      <c r="J851" s="23" t="str">
        <f t="shared" si="67"/>
        <v>Match</v>
      </c>
      <c r="K851" s="24">
        <f t="shared" si="68"/>
        <v>7.65</v>
      </c>
      <c r="L851" s="24">
        <f t="shared" si="69"/>
        <v>0</v>
      </c>
    </row>
    <row r="852" spans="1:12" ht="15" customHeight="1" x14ac:dyDescent="0.3">
      <c r="A852" s="23" t="s">
        <v>13409</v>
      </c>
      <c r="B852" s="23" t="s">
        <v>75</v>
      </c>
      <c r="C852" s="39">
        <v>4998</v>
      </c>
      <c r="D852" s="24">
        <v>14.99</v>
      </c>
      <c r="E852" s="24">
        <v>2.7</v>
      </c>
      <c r="F852" s="23">
        <f>COUNTIFS(mdr_rate_cleaned!$A$2:$A$10,B852,mdr_rate_cleaned!$B$2:$B$10,"&lt;"&amp;C852,mdr_rate_cleaned!$F$2:$F$10,"&gt;="&amp;C852)</f>
        <v>1</v>
      </c>
      <c r="G852" s="40">
        <f>SUMIFS(mdr_rate_cleaned!$G$2:$G$10,mdr_rate_cleaned!$A$2:$A$10,B852,mdr_rate_cleaned!$B$2:$B$10,"&lt;"&amp;C852,mdr_rate_cleaned!$F$2:$F$10,"&gt;="&amp;C852)</f>
        <v>3.0000000000000001E-3</v>
      </c>
      <c r="H852" s="24">
        <f t="shared" si="65"/>
        <v>14.99</v>
      </c>
      <c r="I852" s="23" t="str">
        <f t="shared" si="66"/>
        <v>Match</v>
      </c>
      <c r="J852" s="23" t="str">
        <f t="shared" si="67"/>
        <v>Match</v>
      </c>
      <c r="K852" s="24">
        <f t="shared" si="68"/>
        <v>2.7</v>
      </c>
      <c r="L852" s="24">
        <f t="shared" si="69"/>
        <v>0</v>
      </c>
    </row>
    <row r="853" spans="1:12" ht="15" customHeight="1" x14ac:dyDescent="0.3">
      <c r="A853" s="23" t="s">
        <v>13410</v>
      </c>
      <c r="B853" s="23" t="s">
        <v>77</v>
      </c>
      <c r="C853" s="39">
        <v>2999</v>
      </c>
      <c r="D853" s="24">
        <v>50.98</v>
      </c>
      <c r="E853" s="24">
        <v>9.18</v>
      </c>
      <c r="F853" s="23">
        <f>COUNTIFS(mdr_rate_cleaned!$A$2:$A$10,B853,mdr_rate_cleaned!$B$2:$B$10,"&lt;"&amp;C853,mdr_rate_cleaned!$F$2:$F$10,"&gt;="&amp;C853)</f>
        <v>1</v>
      </c>
      <c r="G853" s="40">
        <f>SUMIFS(mdr_rate_cleaned!$G$2:$G$10,mdr_rate_cleaned!$A$2:$A$10,B853,mdr_rate_cleaned!$B$2:$B$10,"&lt;"&amp;C853,mdr_rate_cleaned!$F$2:$F$10,"&gt;="&amp;C853)</f>
        <v>1.7000000000000001E-2</v>
      </c>
      <c r="H853" s="24">
        <f t="shared" si="65"/>
        <v>50.98</v>
      </c>
      <c r="I853" s="23" t="str">
        <f t="shared" si="66"/>
        <v>Match</v>
      </c>
      <c r="J853" s="23" t="str">
        <f t="shared" si="67"/>
        <v>Match</v>
      </c>
      <c r="K853" s="24">
        <f t="shared" si="68"/>
        <v>9.18</v>
      </c>
      <c r="L853" s="24">
        <f t="shared" si="69"/>
        <v>0</v>
      </c>
    </row>
    <row r="854" spans="1:12" ht="15" customHeight="1" x14ac:dyDescent="0.3">
      <c r="A854" s="23" t="s">
        <v>13411</v>
      </c>
      <c r="B854" s="23" t="s">
        <v>75</v>
      </c>
      <c r="C854" s="39">
        <v>499</v>
      </c>
      <c r="D854" s="24">
        <v>0</v>
      </c>
      <c r="E854" s="24">
        <v>0</v>
      </c>
      <c r="F854" s="23">
        <f>COUNTIFS(mdr_rate_cleaned!$A$2:$A$10,B854,mdr_rate_cleaned!$B$2:$B$10,"&lt;"&amp;C854,mdr_rate_cleaned!$F$2:$F$10,"&gt;="&amp;C854)</f>
        <v>1</v>
      </c>
      <c r="G854" s="40">
        <f>SUMIFS(mdr_rate_cleaned!$G$2:$G$10,mdr_rate_cleaned!$A$2:$A$10,B854,mdr_rate_cleaned!$B$2:$B$10,"&lt;"&amp;C854,mdr_rate_cleaned!$F$2:$F$10,"&gt;="&amp;C854)</f>
        <v>0</v>
      </c>
      <c r="H854" s="24">
        <f t="shared" si="65"/>
        <v>0</v>
      </c>
      <c r="I854" s="23" t="str">
        <f t="shared" si="66"/>
        <v>Match</v>
      </c>
      <c r="J854" s="23" t="str">
        <f t="shared" si="67"/>
        <v>Match</v>
      </c>
      <c r="K854" s="24">
        <f t="shared" si="68"/>
        <v>0</v>
      </c>
      <c r="L854" s="24">
        <f t="shared" si="69"/>
        <v>0</v>
      </c>
    </row>
    <row r="855" spans="1:12" ht="15" customHeight="1" x14ac:dyDescent="0.3">
      <c r="A855" s="23" t="s">
        <v>13412</v>
      </c>
      <c r="B855" s="23" t="s">
        <v>81</v>
      </c>
      <c r="C855" s="39">
        <v>10998</v>
      </c>
      <c r="D855" s="24">
        <v>98.98</v>
      </c>
      <c r="E855" s="24">
        <v>17.82</v>
      </c>
      <c r="F855" s="23">
        <f>COUNTIFS(mdr_rate_cleaned!$A$2:$A$10,B855,mdr_rate_cleaned!$B$2:$B$10,"&lt;"&amp;C855,mdr_rate_cleaned!$F$2:$F$10,"&gt;="&amp;C855)</f>
        <v>1</v>
      </c>
      <c r="G855" s="40">
        <f>SUMIFS(mdr_rate_cleaned!$G$2:$G$10,mdr_rate_cleaned!$A$2:$A$10,B855,mdr_rate_cleaned!$B$2:$B$10,"&lt;"&amp;C855,mdr_rate_cleaned!$F$2:$F$10,"&gt;="&amp;C855)</f>
        <v>9.0000000000000011E-3</v>
      </c>
      <c r="H855" s="24">
        <f t="shared" si="65"/>
        <v>98.98</v>
      </c>
      <c r="I855" s="23" t="str">
        <f t="shared" si="66"/>
        <v>Match</v>
      </c>
      <c r="J855" s="23" t="str">
        <f t="shared" si="67"/>
        <v>Match</v>
      </c>
      <c r="K855" s="24">
        <f t="shared" si="68"/>
        <v>17.82</v>
      </c>
      <c r="L855" s="24">
        <f t="shared" si="69"/>
        <v>0</v>
      </c>
    </row>
    <row r="856" spans="1:12" ht="15" customHeight="1" x14ac:dyDescent="0.3">
      <c r="A856" s="23" t="s">
        <v>13413</v>
      </c>
      <c r="B856" s="23" t="s">
        <v>75</v>
      </c>
      <c r="C856" s="39">
        <v>1799</v>
      </c>
      <c r="D856" s="24">
        <v>0</v>
      </c>
      <c r="E856" s="24">
        <v>0</v>
      </c>
      <c r="F856" s="23">
        <f>COUNTIFS(mdr_rate_cleaned!$A$2:$A$10,B856,mdr_rate_cleaned!$B$2:$B$10,"&lt;"&amp;C856,mdr_rate_cleaned!$F$2:$F$10,"&gt;="&amp;C856)</f>
        <v>1</v>
      </c>
      <c r="G856" s="40">
        <f>SUMIFS(mdr_rate_cleaned!$G$2:$G$10,mdr_rate_cleaned!$A$2:$A$10,B856,mdr_rate_cleaned!$B$2:$B$10,"&lt;"&amp;C856,mdr_rate_cleaned!$F$2:$F$10,"&gt;="&amp;C856)</f>
        <v>0</v>
      </c>
      <c r="H856" s="24">
        <f t="shared" si="65"/>
        <v>0</v>
      </c>
      <c r="I856" s="23" t="str">
        <f t="shared" si="66"/>
        <v>Match</v>
      </c>
      <c r="J856" s="23" t="str">
        <f t="shared" si="67"/>
        <v>Match</v>
      </c>
      <c r="K856" s="24">
        <f t="shared" si="68"/>
        <v>0</v>
      </c>
      <c r="L856" s="24">
        <f t="shared" si="69"/>
        <v>0</v>
      </c>
    </row>
    <row r="857" spans="1:12" ht="15" customHeight="1" x14ac:dyDescent="0.3">
      <c r="A857" s="23" t="s">
        <v>13414</v>
      </c>
      <c r="B857" s="23" t="s">
        <v>75</v>
      </c>
      <c r="C857" s="39">
        <v>2999</v>
      </c>
      <c r="D857" s="24">
        <v>9</v>
      </c>
      <c r="E857" s="24">
        <v>1.62</v>
      </c>
      <c r="F857" s="23">
        <f>COUNTIFS(mdr_rate_cleaned!$A$2:$A$10,B857,mdr_rate_cleaned!$B$2:$B$10,"&lt;"&amp;C857,mdr_rate_cleaned!$F$2:$F$10,"&gt;="&amp;C857)</f>
        <v>1</v>
      </c>
      <c r="G857" s="40">
        <f>SUMIFS(mdr_rate_cleaned!$G$2:$G$10,mdr_rate_cleaned!$A$2:$A$10,B857,mdr_rate_cleaned!$B$2:$B$10,"&lt;"&amp;C857,mdr_rate_cleaned!$F$2:$F$10,"&gt;="&amp;C857)</f>
        <v>3.0000000000000001E-3</v>
      </c>
      <c r="H857" s="24">
        <f t="shared" si="65"/>
        <v>9</v>
      </c>
      <c r="I857" s="23" t="str">
        <f t="shared" si="66"/>
        <v>Match</v>
      </c>
      <c r="J857" s="23" t="str">
        <f t="shared" si="67"/>
        <v>Match</v>
      </c>
      <c r="K857" s="24">
        <f t="shared" si="68"/>
        <v>1.62</v>
      </c>
      <c r="L857" s="24">
        <f t="shared" si="69"/>
        <v>0</v>
      </c>
    </row>
    <row r="858" spans="1:12" ht="15" customHeight="1" x14ac:dyDescent="0.3">
      <c r="A858" s="23" t="s">
        <v>13415</v>
      </c>
      <c r="B858" s="23" t="s">
        <v>75</v>
      </c>
      <c r="C858" s="39">
        <v>349</v>
      </c>
      <c r="D858" s="24">
        <v>0</v>
      </c>
      <c r="E858" s="24">
        <v>0</v>
      </c>
      <c r="F858" s="23">
        <f>COUNTIFS(mdr_rate_cleaned!$A$2:$A$10,B858,mdr_rate_cleaned!$B$2:$B$10,"&lt;"&amp;C858,mdr_rate_cleaned!$F$2:$F$10,"&gt;="&amp;C858)</f>
        <v>1</v>
      </c>
      <c r="G858" s="40">
        <f>SUMIFS(mdr_rate_cleaned!$G$2:$G$10,mdr_rate_cleaned!$A$2:$A$10,B858,mdr_rate_cleaned!$B$2:$B$10,"&lt;"&amp;C858,mdr_rate_cleaned!$F$2:$F$10,"&gt;="&amp;C858)</f>
        <v>0</v>
      </c>
      <c r="H858" s="24">
        <f t="shared" si="65"/>
        <v>0</v>
      </c>
      <c r="I858" s="23" t="str">
        <f t="shared" si="66"/>
        <v>Match</v>
      </c>
      <c r="J858" s="23" t="str">
        <f t="shared" si="67"/>
        <v>Match</v>
      </c>
      <c r="K858" s="24">
        <f t="shared" si="68"/>
        <v>0</v>
      </c>
      <c r="L858" s="24">
        <f t="shared" si="69"/>
        <v>0</v>
      </c>
    </row>
    <row r="859" spans="1:12" ht="15" customHeight="1" x14ac:dyDescent="0.3">
      <c r="A859" s="23" t="s">
        <v>13417</v>
      </c>
      <c r="B859" s="23" t="s">
        <v>75</v>
      </c>
      <c r="C859" s="39">
        <v>1299</v>
      </c>
      <c r="D859" s="24">
        <v>0</v>
      </c>
      <c r="E859" s="24">
        <v>0</v>
      </c>
      <c r="F859" s="23">
        <f>COUNTIFS(mdr_rate_cleaned!$A$2:$A$10,B859,mdr_rate_cleaned!$B$2:$B$10,"&lt;"&amp;C859,mdr_rate_cleaned!$F$2:$F$10,"&gt;="&amp;C859)</f>
        <v>1</v>
      </c>
      <c r="G859" s="40">
        <f>SUMIFS(mdr_rate_cleaned!$G$2:$G$10,mdr_rate_cleaned!$A$2:$A$10,B859,mdr_rate_cleaned!$B$2:$B$10,"&lt;"&amp;C859,mdr_rate_cleaned!$F$2:$F$10,"&gt;="&amp;C859)</f>
        <v>0</v>
      </c>
      <c r="H859" s="24">
        <f t="shared" si="65"/>
        <v>0</v>
      </c>
      <c r="I859" s="23" t="str">
        <f t="shared" si="66"/>
        <v>Match</v>
      </c>
      <c r="J859" s="23" t="str">
        <f t="shared" si="67"/>
        <v>Match</v>
      </c>
      <c r="K859" s="24">
        <f t="shared" si="68"/>
        <v>0</v>
      </c>
      <c r="L859" s="24">
        <f t="shared" si="69"/>
        <v>0</v>
      </c>
    </row>
    <row r="860" spans="1:12" ht="15" customHeight="1" x14ac:dyDescent="0.3">
      <c r="A860" s="23" t="s">
        <v>13418</v>
      </c>
      <c r="B860" s="23" t="s">
        <v>75</v>
      </c>
      <c r="C860" s="39">
        <v>4999</v>
      </c>
      <c r="D860" s="24">
        <v>15</v>
      </c>
      <c r="E860" s="24">
        <v>2.7</v>
      </c>
      <c r="F860" s="23">
        <f>COUNTIFS(mdr_rate_cleaned!$A$2:$A$10,B860,mdr_rate_cleaned!$B$2:$B$10,"&lt;"&amp;C860,mdr_rate_cleaned!$F$2:$F$10,"&gt;="&amp;C860)</f>
        <v>1</v>
      </c>
      <c r="G860" s="40">
        <f>SUMIFS(mdr_rate_cleaned!$G$2:$G$10,mdr_rate_cleaned!$A$2:$A$10,B860,mdr_rate_cleaned!$B$2:$B$10,"&lt;"&amp;C860,mdr_rate_cleaned!$F$2:$F$10,"&gt;="&amp;C860)</f>
        <v>3.0000000000000001E-3</v>
      </c>
      <c r="H860" s="24">
        <f t="shared" si="65"/>
        <v>15</v>
      </c>
      <c r="I860" s="23" t="str">
        <f t="shared" si="66"/>
        <v>Match</v>
      </c>
      <c r="J860" s="23" t="str">
        <f t="shared" si="67"/>
        <v>Match</v>
      </c>
      <c r="K860" s="24">
        <f t="shared" si="68"/>
        <v>2.7</v>
      </c>
      <c r="L860" s="24">
        <f t="shared" si="69"/>
        <v>0</v>
      </c>
    </row>
    <row r="861" spans="1:12" ht="15" customHeight="1" x14ac:dyDescent="0.3">
      <c r="A861" s="23" t="s">
        <v>13419</v>
      </c>
      <c r="B861" s="23" t="s">
        <v>75</v>
      </c>
      <c r="C861" s="39">
        <v>4298</v>
      </c>
      <c r="D861" s="24">
        <v>12.89</v>
      </c>
      <c r="E861" s="24">
        <v>2.3199999999999998</v>
      </c>
      <c r="F861" s="23">
        <f>COUNTIFS(mdr_rate_cleaned!$A$2:$A$10,B861,mdr_rate_cleaned!$B$2:$B$10,"&lt;"&amp;C861,mdr_rate_cleaned!$F$2:$F$10,"&gt;="&amp;C861)</f>
        <v>1</v>
      </c>
      <c r="G861" s="40">
        <f>SUMIFS(mdr_rate_cleaned!$G$2:$G$10,mdr_rate_cleaned!$A$2:$A$10,B861,mdr_rate_cleaned!$B$2:$B$10,"&lt;"&amp;C861,mdr_rate_cleaned!$F$2:$F$10,"&gt;="&amp;C861)</f>
        <v>3.0000000000000001E-3</v>
      </c>
      <c r="H861" s="24">
        <f t="shared" si="65"/>
        <v>12.89</v>
      </c>
      <c r="I861" s="23" t="str">
        <f t="shared" si="66"/>
        <v>Match</v>
      </c>
      <c r="J861" s="23" t="str">
        <f t="shared" si="67"/>
        <v>Match</v>
      </c>
      <c r="K861" s="24">
        <f t="shared" si="68"/>
        <v>2.3199999999999998</v>
      </c>
      <c r="L861" s="24">
        <f t="shared" si="69"/>
        <v>0</v>
      </c>
    </row>
    <row r="862" spans="1:12" ht="15" customHeight="1" x14ac:dyDescent="0.3">
      <c r="A862" s="23" t="s">
        <v>13420</v>
      </c>
      <c r="B862" s="23" t="s">
        <v>75</v>
      </c>
      <c r="C862" s="39">
        <v>3998</v>
      </c>
      <c r="D862" s="24">
        <v>11.99</v>
      </c>
      <c r="E862" s="24">
        <v>2.16</v>
      </c>
      <c r="F862" s="23">
        <f>COUNTIFS(mdr_rate_cleaned!$A$2:$A$10,B862,mdr_rate_cleaned!$B$2:$B$10,"&lt;"&amp;C862,mdr_rate_cleaned!$F$2:$F$10,"&gt;="&amp;C862)</f>
        <v>1</v>
      </c>
      <c r="G862" s="40">
        <f>SUMIFS(mdr_rate_cleaned!$G$2:$G$10,mdr_rate_cleaned!$A$2:$A$10,B862,mdr_rate_cleaned!$B$2:$B$10,"&lt;"&amp;C862,mdr_rate_cleaned!$F$2:$F$10,"&gt;="&amp;C862)</f>
        <v>3.0000000000000001E-3</v>
      </c>
      <c r="H862" s="24">
        <f t="shared" si="65"/>
        <v>11.99</v>
      </c>
      <c r="I862" s="23" t="str">
        <f t="shared" si="66"/>
        <v>Match</v>
      </c>
      <c r="J862" s="23" t="str">
        <f t="shared" si="67"/>
        <v>Match</v>
      </c>
      <c r="K862" s="24">
        <f t="shared" si="68"/>
        <v>2.16</v>
      </c>
      <c r="L862" s="24">
        <f t="shared" si="69"/>
        <v>0</v>
      </c>
    </row>
    <row r="863" spans="1:12" ht="15" customHeight="1" x14ac:dyDescent="0.3">
      <c r="A863" s="23" t="s">
        <v>13421</v>
      </c>
      <c r="B863" s="23" t="s">
        <v>75</v>
      </c>
      <c r="C863" s="39">
        <v>798</v>
      </c>
      <c r="D863" s="24">
        <v>0</v>
      </c>
      <c r="E863" s="24">
        <v>0</v>
      </c>
      <c r="F863" s="23">
        <f>COUNTIFS(mdr_rate_cleaned!$A$2:$A$10,B863,mdr_rate_cleaned!$B$2:$B$10,"&lt;"&amp;C863,mdr_rate_cleaned!$F$2:$F$10,"&gt;="&amp;C863)</f>
        <v>1</v>
      </c>
      <c r="G863" s="40">
        <f>SUMIFS(mdr_rate_cleaned!$G$2:$G$10,mdr_rate_cleaned!$A$2:$A$10,B863,mdr_rate_cleaned!$B$2:$B$10,"&lt;"&amp;C863,mdr_rate_cleaned!$F$2:$F$10,"&gt;="&amp;C863)</f>
        <v>0</v>
      </c>
      <c r="H863" s="24">
        <f t="shared" si="65"/>
        <v>0</v>
      </c>
      <c r="I863" s="23" t="str">
        <f t="shared" si="66"/>
        <v>Match</v>
      </c>
      <c r="J863" s="23" t="str">
        <f t="shared" si="67"/>
        <v>Match</v>
      </c>
      <c r="K863" s="24">
        <f t="shared" si="68"/>
        <v>0</v>
      </c>
      <c r="L863" s="24">
        <f t="shared" si="69"/>
        <v>0</v>
      </c>
    </row>
    <row r="864" spans="1:12" ht="15" customHeight="1" x14ac:dyDescent="0.3">
      <c r="A864" s="23" t="s">
        <v>13422</v>
      </c>
      <c r="B864" s="23" t="s">
        <v>75</v>
      </c>
      <c r="C864" s="39">
        <v>1799</v>
      </c>
      <c r="D864" s="24">
        <v>0</v>
      </c>
      <c r="E864" s="24">
        <v>0</v>
      </c>
      <c r="F864" s="23">
        <f>COUNTIFS(mdr_rate_cleaned!$A$2:$A$10,B864,mdr_rate_cleaned!$B$2:$B$10,"&lt;"&amp;C864,mdr_rate_cleaned!$F$2:$F$10,"&gt;="&amp;C864)</f>
        <v>1</v>
      </c>
      <c r="G864" s="40">
        <f>SUMIFS(mdr_rate_cleaned!$G$2:$G$10,mdr_rate_cleaned!$A$2:$A$10,B864,mdr_rate_cleaned!$B$2:$B$10,"&lt;"&amp;C864,mdr_rate_cleaned!$F$2:$F$10,"&gt;="&amp;C864)</f>
        <v>0</v>
      </c>
      <c r="H864" s="24">
        <f t="shared" si="65"/>
        <v>0</v>
      </c>
      <c r="I864" s="23" t="str">
        <f t="shared" si="66"/>
        <v>Match</v>
      </c>
      <c r="J864" s="23" t="str">
        <f t="shared" si="67"/>
        <v>Match</v>
      </c>
      <c r="K864" s="24">
        <f t="shared" si="68"/>
        <v>0</v>
      </c>
      <c r="L864" s="24">
        <f t="shared" si="69"/>
        <v>0</v>
      </c>
    </row>
    <row r="865" spans="1:12" ht="15" customHeight="1" x14ac:dyDescent="0.3">
      <c r="A865" s="23" t="s">
        <v>13423</v>
      </c>
      <c r="B865" s="23" t="s">
        <v>81</v>
      </c>
      <c r="C865" s="39">
        <v>4098</v>
      </c>
      <c r="D865" s="24">
        <v>49.18</v>
      </c>
      <c r="E865" s="24">
        <v>8.85</v>
      </c>
      <c r="F865" s="23">
        <f>COUNTIFS(mdr_rate_cleaned!$A$2:$A$10,B865,mdr_rate_cleaned!$B$2:$B$10,"&lt;"&amp;C865,mdr_rate_cleaned!$F$2:$F$10,"&gt;="&amp;C865)</f>
        <v>1</v>
      </c>
      <c r="G865" s="40">
        <f>SUMIFS(mdr_rate_cleaned!$G$2:$G$10,mdr_rate_cleaned!$A$2:$A$10,B865,mdr_rate_cleaned!$B$2:$B$10,"&lt;"&amp;C865,mdr_rate_cleaned!$F$2:$F$10,"&gt;="&amp;C865)</f>
        <v>1.2E-2</v>
      </c>
      <c r="H865" s="24">
        <f t="shared" si="65"/>
        <v>49.18</v>
      </c>
      <c r="I865" s="23" t="str">
        <f t="shared" si="66"/>
        <v>Match</v>
      </c>
      <c r="J865" s="23" t="str">
        <f t="shared" si="67"/>
        <v>Match</v>
      </c>
      <c r="K865" s="24">
        <f t="shared" si="68"/>
        <v>8.85</v>
      </c>
      <c r="L865" s="24">
        <f t="shared" si="69"/>
        <v>0</v>
      </c>
    </row>
    <row r="866" spans="1:12" ht="15" customHeight="1" x14ac:dyDescent="0.3">
      <c r="A866" s="23" t="s">
        <v>13424</v>
      </c>
      <c r="B866" s="23" t="s">
        <v>79</v>
      </c>
      <c r="C866" s="39">
        <v>5997</v>
      </c>
      <c r="D866" s="24">
        <v>95.95</v>
      </c>
      <c r="E866" s="24">
        <v>17.27</v>
      </c>
      <c r="F866" s="23">
        <f>COUNTIFS(mdr_rate_cleaned!$A$2:$A$10,B866,mdr_rate_cleaned!$B$2:$B$10,"&lt;"&amp;C866,mdr_rate_cleaned!$F$2:$F$10,"&gt;="&amp;C866)</f>
        <v>1</v>
      </c>
      <c r="G866" s="40">
        <f>SUMIFS(mdr_rate_cleaned!$G$2:$G$10,mdr_rate_cleaned!$A$2:$A$10,B866,mdr_rate_cleaned!$B$2:$B$10,"&lt;"&amp;C866,mdr_rate_cleaned!$F$2:$F$10,"&gt;="&amp;C866)</f>
        <v>1.6E-2</v>
      </c>
      <c r="H866" s="24">
        <f t="shared" si="65"/>
        <v>95.95</v>
      </c>
      <c r="I866" s="23" t="str">
        <f t="shared" si="66"/>
        <v>Match</v>
      </c>
      <c r="J866" s="23" t="str">
        <f t="shared" si="67"/>
        <v>Match</v>
      </c>
      <c r="K866" s="24">
        <f t="shared" si="68"/>
        <v>17.27</v>
      </c>
      <c r="L866" s="24">
        <f t="shared" si="69"/>
        <v>0</v>
      </c>
    </row>
    <row r="867" spans="1:12" ht="15" customHeight="1" x14ac:dyDescent="0.3">
      <c r="A867" s="23" t="s">
        <v>13425</v>
      </c>
      <c r="B867" s="23" t="s">
        <v>79</v>
      </c>
      <c r="C867" s="39">
        <v>349</v>
      </c>
      <c r="D867" s="24">
        <v>6.28</v>
      </c>
      <c r="E867" s="24">
        <v>1.1299999999999999</v>
      </c>
      <c r="F867" s="23">
        <f>COUNTIFS(mdr_rate_cleaned!$A$2:$A$10,B867,mdr_rate_cleaned!$B$2:$B$10,"&lt;"&amp;C867,mdr_rate_cleaned!$F$2:$F$10,"&gt;="&amp;C867)</f>
        <v>1</v>
      </c>
      <c r="G867" s="40">
        <f>SUMIFS(mdr_rate_cleaned!$G$2:$G$10,mdr_rate_cleaned!$A$2:$A$10,B867,mdr_rate_cleaned!$B$2:$B$10,"&lt;"&amp;C867,mdr_rate_cleaned!$F$2:$F$10,"&gt;="&amp;C867)</f>
        <v>1.8000000000000002E-2</v>
      </c>
      <c r="H867" s="24">
        <f t="shared" si="65"/>
        <v>6.28</v>
      </c>
      <c r="I867" s="23" t="str">
        <f t="shared" si="66"/>
        <v>Match</v>
      </c>
      <c r="J867" s="23" t="str">
        <f t="shared" si="67"/>
        <v>Match</v>
      </c>
      <c r="K867" s="24">
        <f t="shared" si="68"/>
        <v>1.1299999999999999</v>
      </c>
      <c r="L867" s="24">
        <f t="shared" si="69"/>
        <v>0</v>
      </c>
    </row>
    <row r="868" spans="1:12" ht="15" customHeight="1" x14ac:dyDescent="0.3">
      <c r="A868" s="23" t="s">
        <v>13426</v>
      </c>
      <c r="B868" s="23" t="s">
        <v>75</v>
      </c>
      <c r="C868" s="39">
        <v>698</v>
      </c>
      <c r="D868" s="24">
        <v>0</v>
      </c>
      <c r="E868" s="24">
        <v>0</v>
      </c>
      <c r="F868" s="23">
        <f>COUNTIFS(mdr_rate_cleaned!$A$2:$A$10,B868,mdr_rate_cleaned!$B$2:$B$10,"&lt;"&amp;C868,mdr_rate_cleaned!$F$2:$F$10,"&gt;="&amp;C868)</f>
        <v>1</v>
      </c>
      <c r="G868" s="40">
        <f>SUMIFS(mdr_rate_cleaned!$G$2:$G$10,mdr_rate_cleaned!$A$2:$A$10,B868,mdr_rate_cleaned!$B$2:$B$10,"&lt;"&amp;C868,mdr_rate_cleaned!$F$2:$F$10,"&gt;="&amp;C868)</f>
        <v>0</v>
      </c>
      <c r="H868" s="24">
        <f t="shared" si="65"/>
        <v>0</v>
      </c>
      <c r="I868" s="23" t="str">
        <f t="shared" si="66"/>
        <v>Match</v>
      </c>
      <c r="J868" s="23" t="str">
        <f t="shared" si="67"/>
        <v>Match</v>
      </c>
      <c r="K868" s="24">
        <f t="shared" si="68"/>
        <v>0</v>
      </c>
      <c r="L868" s="24">
        <f t="shared" si="69"/>
        <v>0</v>
      </c>
    </row>
    <row r="869" spans="1:12" ht="15" customHeight="1" x14ac:dyDescent="0.3">
      <c r="A869" s="23" t="s">
        <v>13428</v>
      </c>
      <c r="B869" s="23" t="s">
        <v>81</v>
      </c>
      <c r="C869" s="39">
        <v>4999</v>
      </c>
      <c r="D869" s="24">
        <v>59.99</v>
      </c>
      <c r="E869" s="24">
        <v>10.8</v>
      </c>
      <c r="F869" s="23">
        <f>COUNTIFS(mdr_rate_cleaned!$A$2:$A$10,B869,mdr_rate_cleaned!$B$2:$B$10,"&lt;"&amp;C869,mdr_rate_cleaned!$F$2:$F$10,"&gt;="&amp;C869)</f>
        <v>1</v>
      </c>
      <c r="G869" s="40">
        <f>SUMIFS(mdr_rate_cleaned!$G$2:$G$10,mdr_rate_cleaned!$A$2:$A$10,B869,mdr_rate_cleaned!$B$2:$B$10,"&lt;"&amp;C869,mdr_rate_cleaned!$F$2:$F$10,"&gt;="&amp;C869)</f>
        <v>1.2E-2</v>
      </c>
      <c r="H869" s="24">
        <f t="shared" si="65"/>
        <v>59.99</v>
      </c>
      <c r="I869" s="23" t="str">
        <f t="shared" si="66"/>
        <v>Match</v>
      </c>
      <c r="J869" s="23" t="str">
        <f t="shared" si="67"/>
        <v>Match</v>
      </c>
      <c r="K869" s="24">
        <f t="shared" si="68"/>
        <v>10.8</v>
      </c>
      <c r="L869" s="24">
        <f t="shared" si="69"/>
        <v>0</v>
      </c>
    </row>
    <row r="870" spans="1:12" ht="15" customHeight="1" x14ac:dyDescent="0.3">
      <c r="A870" s="23" t="s">
        <v>13429</v>
      </c>
      <c r="B870" s="23" t="s">
        <v>75</v>
      </c>
      <c r="C870" s="39">
        <v>299</v>
      </c>
      <c r="D870" s="24">
        <v>0</v>
      </c>
      <c r="E870" s="24">
        <v>0</v>
      </c>
      <c r="F870" s="23">
        <f>COUNTIFS(mdr_rate_cleaned!$A$2:$A$10,B870,mdr_rate_cleaned!$B$2:$B$10,"&lt;"&amp;C870,mdr_rate_cleaned!$F$2:$F$10,"&gt;="&amp;C870)</f>
        <v>1</v>
      </c>
      <c r="G870" s="40">
        <f>SUMIFS(mdr_rate_cleaned!$G$2:$G$10,mdr_rate_cleaned!$A$2:$A$10,B870,mdr_rate_cleaned!$B$2:$B$10,"&lt;"&amp;C870,mdr_rate_cleaned!$F$2:$F$10,"&gt;="&amp;C870)</f>
        <v>0</v>
      </c>
      <c r="H870" s="24">
        <f t="shared" si="65"/>
        <v>0</v>
      </c>
      <c r="I870" s="23" t="str">
        <f t="shared" si="66"/>
        <v>Match</v>
      </c>
      <c r="J870" s="23" t="str">
        <f t="shared" si="67"/>
        <v>Match</v>
      </c>
      <c r="K870" s="24">
        <f t="shared" si="68"/>
        <v>0</v>
      </c>
      <c r="L870" s="24">
        <f t="shared" si="69"/>
        <v>0</v>
      </c>
    </row>
    <row r="871" spans="1:12" ht="15" customHeight="1" x14ac:dyDescent="0.3">
      <c r="A871" s="23" t="s">
        <v>13430</v>
      </c>
      <c r="B871" s="23" t="s">
        <v>79</v>
      </c>
      <c r="C871" s="39">
        <v>299</v>
      </c>
      <c r="D871" s="24">
        <v>5.38</v>
      </c>
      <c r="E871" s="24">
        <v>0.97</v>
      </c>
      <c r="F871" s="23">
        <f>COUNTIFS(mdr_rate_cleaned!$A$2:$A$10,B871,mdr_rate_cleaned!$B$2:$B$10,"&lt;"&amp;C871,mdr_rate_cleaned!$F$2:$F$10,"&gt;="&amp;C871)</f>
        <v>1</v>
      </c>
      <c r="G871" s="40">
        <f>SUMIFS(mdr_rate_cleaned!$G$2:$G$10,mdr_rate_cleaned!$A$2:$A$10,B871,mdr_rate_cleaned!$B$2:$B$10,"&lt;"&amp;C871,mdr_rate_cleaned!$F$2:$F$10,"&gt;="&amp;C871)</f>
        <v>1.8000000000000002E-2</v>
      </c>
      <c r="H871" s="24">
        <f t="shared" si="65"/>
        <v>5.38</v>
      </c>
      <c r="I871" s="23" t="str">
        <f t="shared" si="66"/>
        <v>Match</v>
      </c>
      <c r="J871" s="23" t="str">
        <f t="shared" si="67"/>
        <v>Match</v>
      </c>
      <c r="K871" s="24">
        <f t="shared" si="68"/>
        <v>0.97</v>
      </c>
      <c r="L871" s="24">
        <f t="shared" si="69"/>
        <v>0</v>
      </c>
    </row>
    <row r="872" spans="1:12" ht="15" customHeight="1" x14ac:dyDescent="0.3">
      <c r="A872" s="23" t="s">
        <v>13431</v>
      </c>
      <c r="B872" s="23" t="s">
        <v>75</v>
      </c>
      <c r="C872" s="39">
        <v>2999</v>
      </c>
      <c r="D872" s="24">
        <v>9</v>
      </c>
      <c r="E872" s="24">
        <v>1.62</v>
      </c>
      <c r="F872" s="23">
        <f>COUNTIFS(mdr_rate_cleaned!$A$2:$A$10,B872,mdr_rate_cleaned!$B$2:$B$10,"&lt;"&amp;C872,mdr_rate_cleaned!$F$2:$F$10,"&gt;="&amp;C872)</f>
        <v>1</v>
      </c>
      <c r="G872" s="40">
        <f>SUMIFS(mdr_rate_cleaned!$G$2:$G$10,mdr_rate_cleaned!$A$2:$A$10,B872,mdr_rate_cleaned!$B$2:$B$10,"&lt;"&amp;C872,mdr_rate_cleaned!$F$2:$F$10,"&gt;="&amp;C872)</f>
        <v>3.0000000000000001E-3</v>
      </c>
      <c r="H872" s="24">
        <f t="shared" si="65"/>
        <v>9</v>
      </c>
      <c r="I872" s="23" t="str">
        <f t="shared" si="66"/>
        <v>Match</v>
      </c>
      <c r="J872" s="23" t="str">
        <f t="shared" si="67"/>
        <v>Match</v>
      </c>
      <c r="K872" s="24">
        <f t="shared" si="68"/>
        <v>1.62</v>
      </c>
      <c r="L872" s="24">
        <f t="shared" si="69"/>
        <v>0</v>
      </c>
    </row>
    <row r="873" spans="1:12" ht="15" customHeight="1" x14ac:dyDescent="0.3">
      <c r="A873" s="23" t="s">
        <v>13432</v>
      </c>
      <c r="B873" s="23" t="s">
        <v>81</v>
      </c>
      <c r="C873" s="39">
        <v>499</v>
      </c>
      <c r="D873" s="24">
        <v>7.49</v>
      </c>
      <c r="E873" s="24">
        <v>1.35</v>
      </c>
      <c r="F873" s="23">
        <f>COUNTIFS(mdr_rate_cleaned!$A$2:$A$10,B873,mdr_rate_cleaned!$B$2:$B$10,"&lt;"&amp;C873,mdr_rate_cleaned!$F$2:$F$10,"&gt;="&amp;C873)</f>
        <v>1</v>
      </c>
      <c r="G873" s="40">
        <f>SUMIFS(mdr_rate_cleaned!$G$2:$G$10,mdr_rate_cleaned!$A$2:$A$10,B873,mdr_rate_cleaned!$B$2:$B$10,"&lt;"&amp;C873,mdr_rate_cleaned!$F$2:$F$10,"&gt;="&amp;C873)</f>
        <v>1.4999999999999999E-2</v>
      </c>
      <c r="H873" s="24">
        <f t="shared" si="65"/>
        <v>7.49</v>
      </c>
      <c r="I873" s="23" t="str">
        <f t="shared" si="66"/>
        <v>Match</v>
      </c>
      <c r="J873" s="23" t="str">
        <f t="shared" si="67"/>
        <v>Match</v>
      </c>
      <c r="K873" s="24">
        <f t="shared" si="68"/>
        <v>1.35</v>
      </c>
      <c r="L873" s="24">
        <f t="shared" si="69"/>
        <v>0</v>
      </c>
    </row>
    <row r="874" spans="1:12" ht="15" customHeight="1" x14ac:dyDescent="0.3">
      <c r="A874" s="23" t="s">
        <v>13433</v>
      </c>
      <c r="B874" s="23" t="s">
        <v>75</v>
      </c>
      <c r="C874" s="39">
        <v>10097</v>
      </c>
      <c r="D874" s="24">
        <v>30.29</v>
      </c>
      <c r="E874" s="24">
        <v>5.45</v>
      </c>
      <c r="F874" s="23">
        <f>COUNTIFS(mdr_rate_cleaned!$A$2:$A$10,B874,mdr_rate_cleaned!$B$2:$B$10,"&lt;"&amp;C874,mdr_rate_cleaned!$F$2:$F$10,"&gt;="&amp;C874)</f>
        <v>1</v>
      </c>
      <c r="G874" s="40">
        <f>SUMIFS(mdr_rate_cleaned!$G$2:$G$10,mdr_rate_cleaned!$A$2:$A$10,B874,mdr_rate_cleaned!$B$2:$B$10,"&lt;"&amp;C874,mdr_rate_cleaned!$F$2:$F$10,"&gt;="&amp;C874)</f>
        <v>3.0000000000000001E-3</v>
      </c>
      <c r="H874" s="24">
        <f t="shared" si="65"/>
        <v>30.29</v>
      </c>
      <c r="I874" s="23" t="str">
        <f t="shared" si="66"/>
        <v>Match</v>
      </c>
      <c r="J874" s="23" t="str">
        <f t="shared" si="67"/>
        <v>Match</v>
      </c>
      <c r="K874" s="24">
        <f t="shared" si="68"/>
        <v>5.45</v>
      </c>
      <c r="L874" s="24">
        <f t="shared" si="69"/>
        <v>0</v>
      </c>
    </row>
    <row r="875" spans="1:12" ht="15" customHeight="1" x14ac:dyDescent="0.3">
      <c r="A875" s="23" t="s">
        <v>13434</v>
      </c>
      <c r="B875" s="23" t="s">
        <v>75</v>
      </c>
      <c r="C875" s="39">
        <v>2148</v>
      </c>
      <c r="D875" s="24">
        <v>6.44</v>
      </c>
      <c r="E875" s="24">
        <v>1.1599999999999999</v>
      </c>
      <c r="F875" s="23">
        <f>COUNTIFS(mdr_rate_cleaned!$A$2:$A$10,B875,mdr_rate_cleaned!$B$2:$B$10,"&lt;"&amp;C875,mdr_rate_cleaned!$F$2:$F$10,"&gt;="&amp;C875)</f>
        <v>1</v>
      </c>
      <c r="G875" s="40">
        <f>SUMIFS(mdr_rate_cleaned!$G$2:$G$10,mdr_rate_cleaned!$A$2:$A$10,B875,mdr_rate_cleaned!$B$2:$B$10,"&lt;"&amp;C875,mdr_rate_cleaned!$F$2:$F$10,"&gt;="&amp;C875)</f>
        <v>3.0000000000000001E-3</v>
      </c>
      <c r="H875" s="24">
        <f t="shared" si="65"/>
        <v>6.44</v>
      </c>
      <c r="I875" s="23" t="str">
        <f t="shared" si="66"/>
        <v>Match</v>
      </c>
      <c r="J875" s="23" t="str">
        <f t="shared" si="67"/>
        <v>Match</v>
      </c>
      <c r="K875" s="24">
        <f t="shared" si="68"/>
        <v>1.1599999999999999</v>
      </c>
      <c r="L875" s="24">
        <f t="shared" si="69"/>
        <v>0</v>
      </c>
    </row>
    <row r="876" spans="1:12" ht="15" customHeight="1" x14ac:dyDescent="0.3">
      <c r="A876" s="23" t="s">
        <v>13436</v>
      </c>
      <c r="B876" s="23" t="s">
        <v>77</v>
      </c>
      <c r="C876" s="39">
        <v>5798</v>
      </c>
      <c r="D876" s="24">
        <v>98.57</v>
      </c>
      <c r="E876" s="24">
        <v>17.739999999999998</v>
      </c>
      <c r="F876" s="23">
        <f>COUNTIFS(mdr_rate_cleaned!$A$2:$A$10,B876,mdr_rate_cleaned!$B$2:$B$10,"&lt;"&amp;C876,mdr_rate_cleaned!$F$2:$F$10,"&gt;="&amp;C876)</f>
        <v>1</v>
      </c>
      <c r="G876" s="40">
        <f>SUMIFS(mdr_rate_cleaned!$G$2:$G$10,mdr_rate_cleaned!$A$2:$A$10,B876,mdr_rate_cleaned!$B$2:$B$10,"&lt;"&amp;C876,mdr_rate_cleaned!$F$2:$F$10,"&gt;="&amp;C876)</f>
        <v>1.7000000000000001E-2</v>
      </c>
      <c r="H876" s="24">
        <f t="shared" si="65"/>
        <v>98.57</v>
      </c>
      <c r="I876" s="23" t="str">
        <f t="shared" si="66"/>
        <v>Match</v>
      </c>
      <c r="J876" s="23" t="str">
        <f t="shared" si="67"/>
        <v>Match</v>
      </c>
      <c r="K876" s="24">
        <f t="shared" si="68"/>
        <v>17.739999999999998</v>
      </c>
      <c r="L876" s="24">
        <f t="shared" si="69"/>
        <v>0</v>
      </c>
    </row>
    <row r="877" spans="1:12" ht="15" customHeight="1" x14ac:dyDescent="0.3">
      <c r="A877" s="23" t="s">
        <v>13437</v>
      </c>
      <c r="B877" s="23" t="s">
        <v>81</v>
      </c>
      <c r="C877" s="39">
        <v>3897</v>
      </c>
      <c r="D877" s="24">
        <v>46.76</v>
      </c>
      <c r="E877" s="24">
        <v>8.42</v>
      </c>
      <c r="F877" s="23">
        <f>COUNTIFS(mdr_rate_cleaned!$A$2:$A$10,B877,mdr_rate_cleaned!$B$2:$B$10,"&lt;"&amp;C877,mdr_rate_cleaned!$F$2:$F$10,"&gt;="&amp;C877)</f>
        <v>1</v>
      </c>
      <c r="G877" s="40">
        <f>SUMIFS(mdr_rate_cleaned!$G$2:$G$10,mdr_rate_cleaned!$A$2:$A$10,B877,mdr_rate_cleaned!$B$2:$B$10,"&lt;"&amp;C877,mdr_rate_cleaned!$F$2:$F$10,"&gt;="&amp;C877)</f>
        <v>1.2E-2</v>
      </c>
      <c r="H877" s="24">
        <f t="shared" si="65"/>
        <v>46.76</v>
      </c>
      <c r="I877" s="23" t="str">
        <f t="shared" si="66"/>
        <v>Match</v>
      </c>
      <c r="J877" s="23" t="str">
        <f t="shared" si="67"/>
        <v>Match</v>
      </c>
      <c r="K877" s="24">
        <f t="shared" si="68"/>
        <v>8.42</v>
      </c>
      <c r="L877" s="24">
        <f t="shared" si="69"/>
        <v>0</v>
      </c>
    </row>
    <row r="878" spans="1:12" ht="15" customHeight="1" x14ac:dyDescent="0.3">
      <c r="A878" s="23" t="s">
        <v>13439</v>
      </c>
      <c r="B878" s="23" t="s">
        <v>79</v>
      </c>
      <c r="C878" s="39">
        <v>1098</v>
      </c>
      <c r="D878" s="24">
        <v>19.760000000000002</v>
      </c>
      <c r="E878" s="24">
        <v>3.56</v>
      </c>
      <c r="F878" s="23">
        <f>COUNTIFS(mdr_rate_cleaned!$A$2:$A$10,B878,mdr_rate_cleaned!$B$2:$B$10,"&lt;"&amp;C878,mdr_rate_cleaned!$F$2:$F$10,"&gt;="&amp;C878)</f>
        <v>1</v>
      </c>
      <c r="G878" s="40">
        <f>SUMIFS(mdr_rate_cleaned!$G$2:$G$10,mdr_rate_cleaned!$A$2:$A$10,B878,mdr_rate_cleaned!$B$2:$B$10,"&lt;"&amp;C878,mdr_rate_cleaned!$F$2:$F$10,"&gt;="&amp;C878)</f>
        <v>1.8000000000000002E-2</v>
      </c>
      <c r="H878" s="24">
        <f t="shared" si="65"/>
        <v>19.760000000000002</v>
      </c>
      <c r="I878" s="23" t="str">
        <f t="shared" si="66"/>
        <v>Match</v>
      </c>
      <c r="J878" s="23" t="str">
        <f t="shared" si="67"/>
        <v>Match</v>
      </c>
      <c r="K878" s="24">
        <f t="shared" si="68"/>
        <v>3.56</v>
      </c>
      <c r="L878" s="24">
        <f t="shared" si="69"/>
        <v>0</v>
      </c>
    </row>
    <row r="879" spans="1:12" ht="15" customHeight="1" x14ac:dyDescent="0.3">
      <c r="A879" s="23" t="s">
        <v>13441</v>
      </c>
      <c r="B879" s="23" t="s">
        <v>75</v>
      </c>
      <c r="C879" s="39">
        <v>5597</v>
      </c>
      <c r="D879" s="24">
        <v>16.79</v>
      </c>
      <c r="E879" s="24">
        <v>3.02</v>
      </c>
      <c r="F879" s="23">
        <f>COUNTIFS(mdr_rate_cleaned!$A$2:$A$10,B879,mdr_rate_cleaned!$B$2:$B$10,"&lt;"&amp;C879,mdr_rate_cleaned!$F$2:$F$10,"&gt;="&amp;C879)</f>
        <v>1</v>
      </c>
      <c r="G879" s="40">
        <f>SUMIFS(mdr_rate_cleaned!$G$2:$G$10,mdr_rate_cleaned!$A$2:$A$10,B879,mdr_rate_cleaned!$B$2:$B$10,"&lt;"&amp;C879,mdr_rate_cleaned!$F$2:$F$10,"&gt;="&amp;C879)</f>
        <v>3.0000000000000001E-3</v>
      </c>
      <c r="H879" s="24">
        <f t="shared" si="65"/>
        <v>16.79</v>
      </c>
      <c r="I879" s="23" t="str">
        <f t="shared" si="66"/>
        <v>Match</v>
      </c>
      <c r="J879" s="23" t="str">
        <f t="shared" si="67"/>
        <v>Match</v>
      </c>
      <c r="K879" s="24">
        <f t="shared" si="68"/>
        <v>3.02</v>
      </c>
      <c r="L879" s="24">
        <f t="shared" si="69"/>
        <v>0</v>
      </c>
    </row>
    <row r="880" spans="1:12" ht="15" customHeight="1" x14ac:dyDescent="0.3">
      <c r="A880" s="23" t="s">
        <v>13442</v>
      </c>
      <c r="B880" s="23" t="s">
        <v>77</v>
      </c>
      <c r="C880" s="39">
        <v>349</v>
      </c>
      <c r="D880" s="24">
        <v>6.63</v>
      </c>
      <c r="E880" s="24">
        <v>1.19</v>
      </c>
      <c r="F880" s="23">
        <f>COUNTIFS(mdr_rate_cleaned!$A$2:$A$10,B880,mdr_rate_cleaned!$B$2:$B$10,"&lt;"&amp;C880,mdr_rate_cleaned!$F$2:$F$10,"&gt;="&amp;C880)</f>
        <v>1</v>
      </c>
      <c r="G880" s="40">
        <f>SUMIFS(mdr_rate_cleaned!$G$2:$G$10,mdr_rate_cleaned!$A$2:$A$10,B880,mdr_rate_cleaned!$B$2:$B$10,"&lt;"&amp;C880,mdr_rate_cleaned!$F$2:$F$10,"&gt;="&amp;C880)</f>
        <v>1.9E-2</v>
      </c>
      <c r="H880" s="24">
        <f t="shared" si="65"/>
        <v>6.63</v>
      </c>
      <c r="I880" s="23" t="str">
        <f t="shared" si="66"/>
        <v>Match</v>
      </c>
      <c r="J880" s="23" t="str">
        <f t="shared" si="67"/>
        <v>Match</v>
      </c>
      <c r="K880" s="24">
        <f t="shared" si="68"/>
        <v>1.19</v>
      </c>
      <c r="L880" s="24">
        <f t="shared" si="69"/>
        <v>0</v>
      </c>
    </row>
    <row r="881" spans="1:12" ht="15" customHeight="1" x14ac:dyDescent="0.3">
      <c r="A881" s="23" t="s">
        <v>13443</v>
      </c>
      <c r="B881" s="23" t="s">
        <v>75</v>
      </c>
      <c r="C881" s="39">
        <v>5348</v>
      </c>
      <c r="D881" s="24">
        <v>16.04</v>
      </c>
      <c r="E881" s="24">
        <v>2.89</v>
      </c>
      <c r="F881" s="23">
        <f>COUNTIFS(mdr_rate_cleaned!$A$2:$A$10,B881,mdr_rate_cleaned!$B$2:$B$10,"&lt;"&amp;C881,mdr_rate_cleaned!$F$2:$F$10,"&gt;="&amp;C881)</f>
        <v>1</v>
      </c>
      <c r="G881" s="40">
        <f>SUMIFS(mdr_rate_cleaned!$G$2:$G$10,mdr_rate_cleaned!$A$2:$A$10,B881,mdr_rate_cleaned!$B$2:$B$10,"&lt;"&amp;C881,mdr_rate_cleaned!$F$2:$F$10,"&gt;="&amp;C881)</f>
        <v>3.0000000000000001E-3</v>
      </c>
      <c r="H881" s="24">
        <f t="shared" si="65"/>
        <v>16.04</v>
      </c>
      <c r="I881" s="23" t="str">
        <f t="shared" si="66"/>
        <v>Match</v>
      </c>
      <c r="J881" s="23" t="str">
        <f t="shared" si="67"/>
        <v>Match</v>
      </c>
      <c r="K881" s="24">
        <f t="shared" si="68"/>
        <v>2.89</v>
      </c>
      <c r="L881" s="24">
        <f t="shared" si="69"/>
        <v>0</v>
      </c>
    </row>
    <row r="882" spans="1:12" ht="15" customHeight="1" x14ac:dyDescent="0.3">
      <c r="A882" s="23" t="s">
        <v>13445</v>
      </c>
      <c r="B882" s="23" t="s">
        <v>75</v>
      </c>
      <c r="C882" s="39">
        <v>8298</v>
      </c>
      <c r="D882" s="24">
        <v>24.89</v>
      </c>
      <c r="E882" s="24">
        <v>4.4800000000000004</v>
      </c>
      <c r="F882" s="23">
        <f>COUNTIFS(mdr_rate_cleaned!$A$2:$A$10,B882,mdr_rate_cleaned!$B$2:$B$10,"&lt;"&amp;C882,mdr_rate_cleaned!$F$2:$F$10,"&gt;="&amp;C882)</f>
        <v>1</v>
      </c>
      <c r="G882" s="40">
        <f>SUMIFS(mdr_rate_cleaned!$G$2:$G$10,mdr_rate_cleaned!$A$2:$A$10,B882,mdr_rate_cleaned!$B$2:$B$10,"&lt;"&amp;C882,mdr_rate_cleaned!$F$2:$F$10,"&gt;="&amp;C882)</f>
        <v>3.0000000000000001E-3</v>
      </c>
      <c r="H882" s="24">
        <f t="shared" si="65"/>
        <v>24.89</v>
      </c>
      <c r="I882" s="23" t="str">
        <f t="shared" si="66"/>
        <v>Match</v>
      </c>
      <c r="J882" s="23" t="str">
        <f t="shared" si="67"/>
        <v>Match</v>
      </c>
      <c r="K882" s="24">
        <f t="shared" si="68"/>
        <v>4.4800000000000004</v>
      </c>
      <c r="L882" s="24">
        <f t="shared" si="69"/>
        <v>0</v>
      </c>
    </row>
    <row r="883" spans="1:12" ht="15" customHeight="1" x14ac:dyDescent="0.3">
      <c r="A883" s="23" t="s">
        <v>13446</v>
      </c>
      <c r="B883" s="23" t="s">
        <v>79</v>
      </c>
      <c r="C883" s="39">
        <v>2298</v>
      </c>
      <c r="D883" s="24">
        <v>36.770000000000003</v>
      </c>
      <c r="E883" s="24">
        <v>6.62</v>
      </c>
      <c r="F883" s="23">
        <f>COUNTIFS(mdr_rate_cleaned!$A$2:$A$10,B883,mdr_rate_cleaned!$B$2:$B$10,"&lt;"&amp;C883,mdr_rate_cleaned!$F$2:$F$10,"&gt;="&amp;C883)</f>
        <v>1</v>
      </c>
      <c r="G883" s="40">
        <f>SUMIFS(mdr_rate_cleaned!$G$2:$G$10,mdr_rate_cleaned!$A$2:$A$10,B883,mdr_rate_cleaned!$B$2:$B$10,"&lt;"&amp;C883,mdr_rate_cleaned!$F$2:$F$10,"&gt;="&amp;C883)</f>
        <v>1.6E-2</v>
      </c>
      <c r="H883" s="24">
        <f t="shared" si="65"/>
        <v>36.770000000000003</v>
      </c>
      <c r="I883" s="23" t="str">
        <f t="shared" si="66"/>
        <v>Match</v>
      </c>
      <c r="J883" s="23" t="str">
        <f t="shared" si="67"/>
        <v>Match</v>
      </c>
      <c r="K883" s="24">
        <f t="shared" si="68"/>
        <v>6.62</v>
      </c>
      <c r="L883" s="24">
        <f t="shared" si="69"/>
        <v>0</v>
      </c>
    </row>
    <row r="884" spans="1:12" ht="15" customHeight="1" x14ac:dyDescent="0.3">
      <c r="A884" s="23" t="s">
        <v>13447</v>
      </c>
      <c r="B884" s="23" t="s">
        <v>75</v>
      </c>
      <c r="C884" s="39">
        <v>7999</v>
      </c>
      <c r="D884" s="24">
        <v>24</v>
      </c>
      <c r="E884" s="24">
        <v>4.32</v>
      </c>
      <c r="F884" s="23">
        <f>COUNTIFS(mdr_rate_cleaned!$A$2:$A$10,B884,mdr_rate_cleaned!$B$2:$B$10,"&lt;"&amp;C884,mdr_rate_cleaned!$F$2:$F$10,"&gt;="&amp;C884)</f>
        <v>1</v>
      </c>
      <c r="G884" s="40">
        <f>SUMIFS(mdr_rate_cleaned!$G$2:$G$10,mdr_rate_cleaned!$A$2:$A$10,B884,mdr_rate_cleaned!$B$2:$B$10,"&lt;"&amp;C884,mdr_rate_cleaned!$F$2:$F$10,"&gt;="&amp;C884)</f>
        <v>3.0000000000000001E-3</v>
      </c>
      <c r="H884" s="24">
        <f t="shared" si="65"/>
        <v>24</v>
      </c>
      <c r="I884" s="23" t="str">
        <f t="shared" si="66"/>
        <v>Match</v>
      </c>
      <c r="J884" s="23" t="str">
        <f t="shared" si="67"/>
        <v>Match</v>
      </c>
      <c r="K884" s="24">
        <f t="shared" si="68"/>
        <v>4.32</v>
      </c>
      <c r="L884" s="24">
        <f t="shared" si="69"/>
        <v>0</v>
      </c>
    </row>
    <row r="885" spans="1:12" ht="15" customHeight="1" x14ac:dyDescent="0.3">
      <c r="A885" s="23" t="s">
        <v>13448</v>
      </c>
      <c r="B885" s="23" t="s">
        <v>75</v>
      </c>
      <c r="C885" s="39">
        <v>1798</v>
      </c>
      <c r="D885" s="24">
        <v>0</v>
      </c>
      <c r="E885" s="24">
        <v>0</v>
      </c>
      <c r="F885" s="23">
        <f>COUNTIFS(mdr_rate_cleaned!$A$2:$A$10,B885,mdr_rate_cleaned!$B$2:$B$10,"&lt;"&amp;C885,mdr_rate_cleaned!$F$2:$F$10,"&gt;="&amp;C885)</f>
        <v>1</v>
      </c>
      <c r="G885" s="40">
        <f>SUMIFS(mdr_rate_cleaned!$G$2:$G$10,mdr_rate_cleaned!$A$2:$A$10,B885,mdr_rate_cleaned!$B$2:$B$10,"&lt;"&amp;C885,mdr_rate_cleaned!$F$2:$F$10,"&gt;="&amp;C885)</f>
        <v>0</v>
      </c>
      <c r="H885" s="24">
        <f t="shared" si="65"/>
        <v>0</v>
      </c>
      <c r="I885" s="23" t="str">
        <f t="shared" si="66"/>
        <v>Match</v>
      </c>
      <c r="J885" s="23" t="str">
        <f t="shared" si="67"/>
        <v>Match</v>
      </c>
      <c r="K885" s="24">
        <f t="shared" si="68"/>
        <v>0</v>
      </c>
      <c r="L885" s="24">
        <f t="shared" si="69"/>
        <v>0</v>
      </c>
    </row>
    <row r="886" spans="1:12" ht="15" customHeight="1" x14ac:dyDescent="0.3">
      <c r="A886" s="23" t="s">
        <v>13449</v>
      </c>
      <c r="B886" s="23" t="s">
        <v>79</v>
      </c>
      <c r="C886" s="39">
        <v>5298</v>
      </c>
      <c r="D886" s="24">
        <v>84.77</v>
      </c>
      <c r="E886" s="24">
        <v>15.26</v>
      </c>
      <c r="F886" s="23">
        <f>COUNTIFS(mdr_rate_cleaned!$A$2:$A$10,B886,mdr_rate_cleaned!$B$2:$B$10,"&lt;"&amp;C886,mdr_rate_cleaned!$F$2:$F$10,"&gt;="&amp;C886)</f>
        <v>1</v>
      </c>
      <c r="G886" s="40">
        <f>SUMIFS(mdr_rate_cleaned!$G$2:$G$10,mdr_rate_cleaned!$A$2:$A$10,B886,mdr_rate_cleaned!$B$2:$B$10,"&lt;"&amp;C886,mdr_rate_cleaned!$F$2:$F$10,"&gt;="&amp;C886)</f>
        <v>1.6E-2</v>
      </c>
      <c r="H886" s="24">
        <f t="shared" si="65"/>
        <v>84.77</v>
      </c>
      <c r="I886" s="23" t="str">
        <f t="shared" si="66"/>
        <v>Match</v>
      </c>
      <c r="J886" s="23" t="str">
        <f t="shared" si="67"/>
        <v>Match</v>
      </c>
      <c r="K886" s="24">
        <f t="shared" si="68"/>
        <v>15.26</v>
      </c>
      <c r="L886" s="24">
        <f t="shared" si="69"/>
        <v>0</v>
      </c>
    </row>
    <row r="887" spans="1:12" ht="15" customHeight="1" x14ac:dyDescent="0.3">
      <c r="A887" s="23" t="s">
        <v>13450</v>
      </c>
      <c r="B887" s="23" t="s">
        <v>79</v>
      </c>
      <c r="C887" s="39">
        <v>299</v>
      </c>
      <c r="D887" s="24">
        <v>5.38</v>
      </c>
      <c r="E887" s="24">
        <v>0.97</v>
      </c>
      <c r="F887" s="23">
        <f>COUNTIFS(mdr_rate_cleaned!$A$2:$A$10,B887,mdr_rate_cleaned!$B$2:$B$10,"&lt;"&amp;C887,mdr_rate_cleaned!$F$2:$F$10,"&gt;="&amp;C887)</f>
        <v>1</v>
      </c>
      <c r="G887" s="40">
        <f>SUMIFS(mdr_rate_cleaned!$G$2:$G$10,mdr_rate_cleaned!$A$2:$A$10,B887,mdr_rate_cleaned!$B$2:$B$10,"&lt;"&amp;C887,mdr_rate_cleaned!$F$2:$F$10,"&gt;="&amp;C887)</f>
        <v>1.8000000000000002E-2</v>
      </c>
      <c r="H887" s="24">
        <f t="shared" si="65"/>
        <v>5.38</v>
      </c>
      <c r="I887" s="23" t="str">
        <f t="shared" si="66"/>
        <v>Match</v>
      </c>
      <c r="J887" s="23" t="str">
        <f t="shared" si="67"/>
        <v>Match</v>
      </c>
      <c r="K887" s="24">
        <f t="shared" si="68"/>
        <v>0.97</v>
      </c>
      <c r="L887" s="24">
        <f t="shared" si="69"/>
        <v>0</v>
      </c>
    </row>
    <row r="888" spans="1:12" ht="15" customHeight="1" x14ac:dyDescent="0.3">
      <c r="A888" s="23" t="s">
        <v>13452</v>
      </c>
      <c r="B888" s="23" t="s">
        <v>75</v>
      </c>
      <c r="C888" s="39">
        <v>3598</v>
      </c>
      <c r="D888" s="24">
        <v>10.79</v>
      </c>
      <c r="E888" s="24">
        <v>1.94</v>
      </c>
      <c r="F888" s="23">
        <f>COUNTIFS(mdr_rate_cleaned!$A$2:$A$10,B888,mdr_rate_cleaned!$B$2:$B$10,"&lt;"&amp;C888,mdr_rate_cleaned!$F$2:$F$10,"&gt;="&amp;C888)</f>
        <v>1</v>
      </c>
      <c r="G888" s="40">
        <f>SUMIFS(mdr_rate_cleaned!$G$2:$G$10,mdr_rate_cleaned!$A$2:$A$10,B888,mdr_rate_cleaned!$B$2:$B$10,"&lt;"&amp;C888,mdr_rate_cleaned!$F$2:$F$10,"&gt;="&amp;C888)</f>
        <v>3.0000000000000001E-3</v>
      </c>
      <c r="H888" s="24">
        <f t="shared" si="65"/>
        <v>10.79</v>
      </c>
      <c r="I888" s="23" t="str">
        <f t="shared" si="66"/>
        <v>Match</v>
      </c>
      <c r="J888" s="23" t="str">
        <f t="shared" si="67"/>
        <v>Match</v>
      </c>
      <c r="K888" s="24">
        <f t="shared" si="68"/>
        <v>1.94</v>
      </c>
      <c r="L888" s="24">
        <f t="shared" si="69"/>
        <v>0</v>
      </c>
    </row>
    <row r="889" spans="1:12" ht="15" customHeight="1" x14ac:dyDescent="0.3">
      <c r="A889" s="23" t="s">
        <v>13453</v>
      </c>
      <c r="B889" s="23" t="s">
        <v>75</v>
      </c>
      <c r="C889" s="39">
        <v>9798</v>
      </c>
      <c r="D889" s="24">
        <v>29.39</v>
      </c>
      <c r="E889" s="24">
        <v>5.29</v>
      </c>
      <c r="F889" s="23">
        <f>COUNTIFS(mdr_rate_cleaned!$A$2:$A$10,B889,mdr_rate_cleaned!$B$2:$B$10,"&lt;"&amp;C889,mdr_rate_cleaned!$F$2:$F$10,"&gt;="&amp;C889)</f>
        <v>1</v>
      </c>
      <c r="G889" s="40">
        <f>SUMIFS(mdr_rate_cleaned!$G$2:$G$10,mdr_rate_cleaned!$A$2:$A$10,B889,mdr_rate_cleaned!$B$2:$B$10,"&lt;"&amp;C889,mdr_rate_cleaned!$F$2:$F$10,"&gt;="&amp;C889)</f>
        <v>3.0000000000000001E-3</v>
      </c>
      <c r="H889" s="24">
        <f t="shared" si="65"/>
        <v>29.39</v>
      </c>
      <c r="I889" s="23" t="str">
        <f t="shared" si="66"/>
        <v>Match</v>
      </c>
      <c r="J889" s="23" t="str">
        <f t="shared" si="67"/>
        <v>Match</v>
      </c>
      <c r="K889" s="24">
        <f t="shared" si="68"/>
        <v>5.29</v>
      </c>
      <c r="L889" s="24">
        <f t="shared" si="69"/>
        <v>0</v>
      </c>
    </row>
    <row r="890" spans="1:12" ht="15" customHeight="1" x14ac:dyDescent="0.3">
      <c r="A890" s="23" t="s">
        <v>13454</v>
      </c>
      <c r="B890" s="23" t="s">
        <v>79</v>
      </c>
      <c r="C890" s="39">
        <v>1799</v>
      </c>
      <c r="D890" s="24">
        <v>32.380000000000003</v>
      </c>
      <c r="E890" s="24">
        <v>5.83</v>
      </c>
      <c r="F890" s="23">
        <f>COUNTIFS(mdr_rate_cleaned!$A$2:$A$10,B890,mdr_rate_cleaned!$B$2:$B$10,"&lt;"&amp;C890,mdr_rate_cleaned!$F$2:$F$10,"&gt;="&amp;C890)</f>
        <v>1</v>
      </c>
      <c r="G890" s="40">
        <f>SUMIFS(mdr_rate_cleaned!$G$2:$G$10,mdr_rate_cleaned!$A$2:$A$10,B890,mdr_rate_cleaned!$B$2:$B$10,"&lt;"&amp;C890,mdr_rate_cleaned!$F$2:$F$10,"&gt;="&amp;C890)</f>
        <v>1.8000000000000002E-2</v>
      </c>
      <c r="H890" s="24">
        <f t="shared" si="65"/>
        <v>32.380000000000003</v>
      </c>
      <c r="I890" s="23" t="str">
        <f t="shared" si="66"/>
        <v>Match</v>
      </c>
      <c r="J890" s="23" t="str">
        <f t="shared" si="67"/>
        <v>Match</v>
      </c>
      <c r="K890" s="24">
        <f t="shared" si="68"/>
        <v>5.83</v>
      </c>
      <c r="L890" s="24">
        <f t="shared" si="69"/>
        <v>0</v>
      </c>
    </row>
    <row r="891" spans="1:12" ht="15" customHeight="1" x14ac:dyDescent="0.3">
      <c r="A891" s="23" t="s">
        <v>13455</v>
      </c>
      <c r="B891" s="23" t="s">
        <v>79</v>
      </c>
      <c r="C891" s="39">
        <v>1398</v>
      </c>
      <c r="D891" s="24">
        <v>25.16</v>
      </c>
      <c r="E891" s="24">
        <v>4.53</v>
      </c>
      <c r="F891" s="23">
        <f>COUNTIFS(mdr_rate_cleaned!$A$2:$A$10,B891,mdr_rate_cleaned!$B$2:$B$10,"&lt;"&amp;C891,mdr_rate_cleaned!$F$2:$F$10,"&gt;="&amp;C891)</f>
        <v>1</v>
      </c>
      <c r="G891" s="40">
        <f>SUMIFS(mdr_rate_cleaned!$G$2:$G$10,mdr_rate_cleaned!$A$2:$A$10,B891,mdr_rate_cleaned!$B$2:$B$10,"&lt;"&amp;C891,mdr_rate_cleaned!$F$2:$F$10,"&gt;="&amp;C891)</f>
        <v>1.8000000000000002E-2</v>
      </c>
      <c r="H891" s="24">
        <f t="shared" si="65"/>
        <v>25.16</v>
      </c>
      <c r="I891" s="23" t="str">
        <f t="shared" si="66"/>
        <v>Match</v>
      </c>
      <c r="J891" s="23" t="str">
        <f t="shared" si="67"/>
        <v>Match</v>
      </c>
      <c r="K891" s="24">
        <f t="shared" si="68"/>
        <v>4.53</v>
      </c>
      <c r="L891" s="24">
        <f t="shared" si="69"/>
        <v>0</v>
      </c>
    </row>
    <row r="892" spans="1:12" ht="15" customHeight="1" x14ac:dyDescent="0.3">
      <c r="A892" s="23" t="s">
        <v>13456</v>
      </c>
      <c r="B892" s="23" t="s">
        <v>75</v>
      </c>
      <c r="C892" s="39">
        <v>299</v>
      </c>
      <c r="D892" s="24">
        <v>0</v>
      </c>
      <c r="E892" s="24">
        <v>0</v>
      </c>
      <c r="F892" s="23">
        <f>COUNTIFS(mdr_rate_cleaned!$A$2:$A$10,B892,mdr_rate_cleaned!$B$2:$B$10,"&lt;"&amp;C892,mdr_rate_cleaned!$F$2:$F$10,"&gt;="&amp;C892)</f>
        <v>1</v>
      </c>
      <c r="G892" s="40">
        <f>SUMIFS(mdr_rate_cleaned!$G$2:$G$10,mdr_rate_cleaned!$A$2:$A$10,B892,mdr_rate_cleaned!$B$2:$B$10,"&lt;"&amp;C892,mdr_rate_cleaned!$F$2:$F$10,"&gt;="&amp;C892)</f>
        <v>0</v>
      </c>
      <c r="H892" s="24">
        <f t="shared" si="65"/>
        <v>0</v>
      </c>
      <c r="I892" s="23" t="str">
        <f t="shared" si="66"/>
        <v>Match</v>
      </c>
      <c r="J892" s="23" t="str">
        <f t="shared" si="67"/>
        <v>Match</v>
      </c>
      <c r="K892" s="24">
        <f t="shared" si="68"/>
        <v>0</v>
      </c>
      <c r="L892" s="24">
        <f t="shared" si="69"/>
        <v>0</v>
      </c>
    </row>
    <row r="893" spans="1:12" ht="15" customHeight="1" x14ac:dyDescent="0.3">
      <c r="A893" s="23" t="s">
        <v>13458</v>
      </c>
      <c r="B893" s="23" t="s">
        <v>79</v>
      </c>
      <c r="C893" s="39">
        <v>999</v>
      </c>
      <c r="D893" s="24">
        <v>17.98</v>
      </c>
      <c r="E893" s="24">
        <v>3.24</v>
      </c>
      <c r="F893" s="23">
        <f>COUNTIFS(mdr_rate_cleaned!$A$2:$A$10,B893,mdr_rate_cleaned!$B$2:$B$10,"&lt;"&amp;C893,mdr_rate_cleaned!$F$2:$F$10,"&gt;="&amp;C893)</f>
        <v>1</v>
      </c>
      <c r="G893" s="40">
        <f>SUMIFS(mdr_rate_cleaned!$G$2:$G$10,mdr_rate_cleaned!$A$2:$A$10,B893,mdr_rate_cleaned!$B$2:$B$10,"&lt;"&amp;C893,mdr_rate_cleaned!$F$2:$F$10,"&gt;="&amp;C893)</f>
        <v>1.8000000000000002E-2</v>
      </c>
      <c r="H893" s="24">
        <f t="shared" si="65"/>
        <v>17.98</v>
      </c>
      <c r="I893" s="23" t="str">
        <f t="shared" si="66"/>
        <v>Match</v>
      </c>
      <c r="J893" s="23" t="str">
        <f t="shared" si="67"/>
        <v>Match</v>
      </c>
      <c r="K893" s="24">
        <f t="shared" si="68"/>
        <v>3.24</v>
      </c>
      <c r="L893" s="24">
        <f t="shared" si="69"/>
        <v>0</v>
      </c>
    </row>
    <row r="894" spans="1:12" ht="15" customHeight="1" x14ac:dyDescent="0.3">
      <c r="A894" s="23" t="s">
        <v>13459</v>
      </c>
      <c r="B894" s="23" t="s">
        <v>75</v>
      </c>
      <c r="C894" s="39">
        <v>2999</v>
      </c>
      <c r="D894" s="24">
        <v>9</v>
      </c>
      <c r="E894" s="24">
        <v>1.62</v>
      </c>
      <c r="F894" s="23">
        <f>COUNTIFS(mdr_rate_cleaned!$A$2:$A$10,B894,mdr_rate_cleaned!$B$2:$B$10,"&lt;"&amp;C894,mdr_rate_cleaned!$F$2:$F$10,"&gt;="&amp;C894)</f>
        <v>1</v>
      </c>
      <c r="G894" s="40">
        <f>SUMIFS(mdr_rate_cleaned!$G$2:$G$10,mdr_rate_cleaned!$A$2:$A$10,B894,mdr_rate_cleaned!$B$2:$B$10,"&lt;"&amp;C894,mdr_rate_cleaned!$F$2:$F$10,"&gt;="&amp;C894)</f>
        <v>3.0000000000000001E-3</v>
      </c>
      <c r="H894" s="24">
        <f t="shared" si="65"/>
        <v>9</v>
      </c>
      <c r="I894" s="23" t="str">
        <f t="shared" si="66"/>
        <v>Match</v>
      </c>
      <c r="J894" s="23" t="str">
        <f t="shared" si="67"/>
        <v>Match</v>
      </c>
      <c r="K894" s="24">
        <f t="shared" si="68"/>
        <v>1.62</v>
      </c>
      <c r="L894" s="24">
        <f t="shared" si="69"/>
        <v>0</v>
      </c>
    </row>
    <row r="895" spans="1:12" ht="15" customHeight="1" x14ac:dyDescent="0.3">
      <c r="A895" s="23" t="s">
        <v>13462</v>
      </c>
      <c r="B895" s="23" t="s">
        <v>75</v>
      </c>
      <c r="C895" s="39">
        <v>3798</v>
      </c>
      <c r="D895" s="24">
        <v>11.39</v>
      </c>
      <c r="E895" s="24">
        <v>2.0499999999999998</v>
      </c>
      <c r="F895" s="23">
        <f>COUNTIFS(mdr_rate_cleaned!$A$2:$A$10,B895,mdr_rate_cleaned!$B$2:$B$10,"&lt;"&amp;C895,mdr_rate_cleaned!$F$2:$F$10,"&gt;="&amp;C895)</f>
        <v>1</v>
      </c>
      <c r="G895" s="40">
        <f>SUMIFS(mdr_rate_cleaned!$G$2:$G$10,mdr_rate_cleaned!$A$2:$A$10,B895,mdr_rate_cleaned!$B$2:$B$10,"&lt;"&amp;C895,mdr_rate_cleaned!$F$2:$F$10,"&gt;="&amp;C895)</f>
        <v>3.0000000000000001E-3</v>
      </c>
      <c r="H895" s="24">
        <f t="shared" si="65"/>
        <v>11.39</v>
      </c>
      <c r="I895" s="23" t="str">
        <f t="shared" si="66"/>
        <v>Match</v>
      </c>
      <c r="J895" s="23" t="str">
        <f t="shared" si="67"/>
        <v>Match</v>
      </c>
      <c r="K895" s="24">
        <f t="shared" si="68"/>
        <v>2.0499999999999998</v>
      </c>
      <c r="L895" s="24">
        <f t="shared" si="69"/>
        <v>0</v>
      </c>
    </row>
    <row r="896" spans="1:12" ht="15" customHeight="1" x14ac:dyDescent="0.3">
      <c r="A896" s="23" t="s">
        <v>13464</v>
      </c>
      <c r="B896" s="23" t="s">
        <v>79</v>
      </c>
      <c r="C896" s="39">
        <v>1598</v>
      </c>
      <c r="D896" s="24">
        <v>28.76</v>
      </c>
      <c r="E896" s="24">
        <v>5.18</v>
      </c>
      <c r="F896" s="23">
        <f>COUNTIFS(mdr_rate_cleaned!$A$2:$A$10,B896,mdr_rate_cleaned!$B$2:$B$10,"&lt;"&amp;C896,mdr_rate_cleaned!$F$2:$F$10,"&gt;="&amp;C896)</f>
        <v>1</v>
      </c>
      <c r="G896" s="40">
        <f>SUMIFS(mdr_rate_cleaned!$G$2:$G$10,mdr_rate_cleaned!$A$2:$A$10,B896,mdr_rate_cleaned!$B$2:$B$10,"&lt;"&amp;C896,mdr_rate_cleaned!$F$2:$F$10,"&gt;="&amp;C896)</f>
        <v>1.8000000000000002E-2</v>
      </c>
      <c r="H896" s="24">
        <f t="shared" si="65"/>
        <v>28.76</v>
      </c>
      <c r="I896" s="23" t="str">
        <f t="shared" si="66"/>
        <v>Match</v>
      </c>
      <c r="J896" s="23" t="str">
        <f t="shared" si="67"/>
        <v>Match</v>
      </c>
      <c r="K896" s="24">
        <f t="shared" si="68"/>
        <v>5.18</v>
      </c>
      <c r="L896" s="24">
        <f t="shared" si="69"/>
        <v>0</v>
      </c>
    </row>
    <row r="897" spans="1:12" ht="15" customHeight="1" x14ac:dyDescent="0.3">
      <c r="A897" s="23" t="s">
        <v>13465</v>
      </c>
      <c r="B897" s="23" t="s">
        <v>79</v>
      </c>
      <c r="C897" s="39">
        <v>1299</v>
      </c>
      <c r="D897" s="24">
        <v>23.38</v>
      </c>
      <c r="E897" s="24">
        <v>4.21</v>
      </c>
      <c r="F897" s="23">
        <f>COUNTIFS(mdr_rate_cleaned!$A$2:$A$10,B897,mdr_rate_cleaned!$B$2:$B$10,"&lt;"&amp;C897,mdr_rate_cleaned!$F$2:$F$10,"&gt;="&amp;C897)</f>
        <v>1</v>
      </c>
      <c r="G897" s="40">
        <f>SUMIFS(mdr_rate_cleaned!$G$2:$G$10,mdr_rate_cleaned!$A$2:$A$10,B897,mdr_rate_cleaned!$B$2:$B$10,"&lt;"&amp;C897,mdr_rate_cleaned!$F$2:$F$10,"&gt;="&amp;C897)</f>
        <v>1.8000000000000002E-2</v>
      </c>
      <c r="H897" s="24">
        <f t="shared" si="65"/>
        <v>23.38</v>
      </c>
      <c r="I897" s="23" t="str">
        <f t="shared" si="66"/>
        <v>Match</v>
      </c>
      <c r="J897" s="23" t="str">
        <f t="shared" si="67"/>
        <v>Match</v>
      </c>
      <c r="K897" s="24">
        <f t="shared" si="68"/>
        <v>4.21</v>
      </c>
      <c r="L897" s="24">
        <f t="shared" si="69"/>
        <v>0</v>
      </c>
    </row>
    <row r="898" spans="1:12" ht="15" customHeight="1" x14ac:dyDescent="0.3">
      <c r="A898" s="23" t="s">
        <v>13466</v>
      </c>
      <c r="B898" s="23" t="s">
        <v>79</v>
      </c>
      <c r="C898" s="39">
        <v>5998</v>
      </c>
      <c r="D898" s="24">
        <v>95.97</v>
      </c>
      <c r="E898" s="24">
        <v>17.27</v>
      </c>
      <c r="F898" s="23">
        <f>COUNTIFS(mdr_rate_cleaned!$A$2:$A$10,B898,mdr_rate_cleaned!$B$2:$B$10,"&lt;"&amp;C898,mdr_rate_cleaned!$F$2:$F$10,"&gt;="&amp;C898)</f>
        <v>1</v>
      </c>
      <c r="G898" s="40">
        <f>SUMIFS(mdr_rate_cleaned!$G$2:$G$10,mdr_rate_cleaned!$A$2:$A$10,B898,mdr_rate_cleaned!$B$2:$B$10,"&lt;"&amp;C898,mdr_rate_cleaned!$F$2:$F$10,"&gt;="&amp;C898)</f>
        <v>1.6E-2</v>
      </c>
      <c r="H898" s="24">
        <f t="shared" ref="H898:H961" si="70">ROUND(C898*G898,2)</f>
        <v>95.97</v>
      </c>
      <c r="I898" s="23" t="str">
        <f t="shared" ref="I898:I961" si="71">IF(ROUND(D898-H898,2)=0,"Match","Differs")</f>
        <v>Match</v>
      </c>
      <c r="J898" s="23" t="str">
        <f t="shared" ref="J898:J961" si="72">IF(ROUND(E898-ROUND(D898*0.18,2),2)=0,"Match","Differs")</f>
        <v>Match</v>
      </c>
      <c r="K898" s="24">
        <f t="shared" ref="K898:K961" si="73">ROUND(H898*0.18,2)</f>
        <v>17.27</v>
      </c>
      <c r="L898" s="24">
        <f t="shared" ref="L898:L961" si="74">ROUND(D898+E898-H898-K898,2)</f>
        <v>0</v>
      </c>
    </row>
    <row r="899" spans="1:12" ht="15" customHeight="1" x14ac:dyDescent="0.3">
      <c r="A899" s="23" t="s">
        <v>13467</v>
      </c>
      <c r="B899" s="23" t="s">
        <v>79</v>
      </c>
      <c r="C899" s="39">
        <v>2499</v>
      </c>
      <c r="D899" s="24">
        <v>39.979999999999997</v>
      </c>
      <c r="E899" s="24">
        <v>7.2</v>
      </c>
      <c r="F899" s="23">
        <f>COUNTIFS(mdr_rate_cleaned!$A$2:$A$10,B899,mdr_rate_cleaned!$B$2:$B$10,"&lt;"&amp;C899,mdr_rate_cleaned!$F$2:$F$10,"&gt;="&amp;C899)</f>
        <v>1</v>
      </c>
      <c r="G899" s="40">
        <f>SUMIFS(mdr_rate_cleaned!$G$2:$G$10,mdr_rate_cleaned!$A$2:$A$10,B899,mdr_rate_cleaned!$B$2:$B$10,"&lt;"&amp;C899,mdr_rate_cleaned!$F$2:$F$10,"&gt;="&amp;C899)</f>
        <v>1.6E-2</v>
      </c>
      <c r="H899" s="24">
        <f t="shared" si="70"/>
        <v>39.979999999999997</v>
      </c>
      <c r="I899" s="23" t="str">
        <f t="shared" si="71"/>
        <v>Match</v>
      </c>
      <c r="J899" s="23" t="str">
        <f t="shared" si="72"/>
        <v>Match</v>
      </c>
      <c r="K899" s="24">
        <f t="shared" si="73"/>
        <v>7.2</v>
      </c>
      <c r="L899" s="24">
        <f t="shared" si="74"/>
        <v>0</v>
      </c>
    </row>
    <row r="900" spans="1:12" ht="15" customHeight="1" x14ac:dyDescent="0.3">
      <c r="A900" s="23" t="s">
        <v>13469</v>
      </c>
      <c r="B900" s="23" t="s">
        <v>75</v>
      </c>
      <c r="C900" s="39">
        <v>2197</v>
      </c>
      <c r="D900" s="24">
        <v>6.59</v>
      </c>
      <c r="E900" s="24">
        <v>1.19</v>
      </c>
      <c r="F900" s="23">
        <f>COUNTIFS(mdr_rate_cleaned!$A$2:$A$10,B900,mdr_rate_cleaned!$B$2:$B$10,"&lt;"&amp;C900,mdr_rate_cleaned!$F$2:$F$10,"&gt;="&amp;C900)</f>
        <v>1</v>
      </c>
      <c r="G900" s="40">
        <f>SUMIFS(mdr_rate_cleaned!$G$2:$G$10,mdr_rate_cleaned!$A$2:$A$10,B900,mdr_rate_cleaned!$B$2:$B$10,"&lt;"&amp;C900,mdr_rate_cleaned!$F$2:$F$10,"&gt;="&amp;C900)</f>
        <v>3.0000000000000001E-3</v>
      </c>
      <c r="H900" s="24">
        <f t="shared" si="70"/>
        <v>6.59</v>
      </c>
      <c r="I900" s="23" t="str">
        <f t="shared" si="71"/>
        <v>Match</v>
      </c>
      <c r="J900" s="23" t="str">
        <f t="shared" si="72"/>
        <v>Match</v>
      </c>
      <c r="K900" s="24">
        <f t="shared" si="73"/>
        <v>1.19</v>
      </c>
      <c r="L900" s="24">
        <f t="shared" si="74"/>
        <v>0</v>
      </c>
    </row>
    <row r="901" spans="1:12" ht="15" customHeight="1" x14ac:dyDescent="0.3">
      <c r="A901" s="23" t="s">
        <v>13470</v>
      </c>
      <c r="B901" s="23" t="s">
        <v>79</v>
      </c>
      <c r="C901" s="39">
        <v>7997</v>
      </c>
      <c r="D901" s="24">
        <v>127.95</v>
      </c>
      <c r="E901" s="24">
        <v>23.03</v>
      </c>
      <c r="F901" s="23">
        <f>COUNTIFS(mdr_rate_cleaned!$A$2:$A$10,B901,mdr_rate_cleaned!$B$2:$B$10,"&lt;"&amp;C901,mdr_rate_cleaned!$F$2:$F$10,"&gt;="&amp;C901)</f>
        <v>1</v>
      </c>
      <c r="G901" s="40">
        <f>SUMIFS(mdr_rate_cleaned!$G$2:$G$10,mdr_rate_cleaned!$A$2:$A$10,B901,mdr_rate_cleaned!$B$2:$B$10,"&lt;"&amp;C901,mdr_rate_cleaned!$F$2:$F$10,"&gt;="&amp;C901)</f>
        <v>1.6E-2</v>
      </c>
      <c r="H901" s="24">
        <f t="shared" si="70"/>
        <v>127.95</v>
      </c>
      <c r="I901" s="23" t="str">
        <f t="shared" si="71"/>
        <v>Match</v>
      </c>
      <c r="J901" s="23" t="str">
        <f t="shared" si="72"/>
        <v>Match</v>
      </c>
      <c r="K901" s="24">
        <f t="shared" si="73"/>
        <v>23.03</v>
      </c>
      <c r="L901" s="24">
        <f t="shared" si="74"/>
        <v>0</v>
      </c>
    </row>
    <row r="902" spans="1:12" ht="15" customHeight="1" x14ac:dyDescent="0.3">
      <c r="A902" s="23" t="s">
        <v>13471</v>
      </c>
      <c r="B902" s="23" t="s">
        <v>75</v>
      </c>
      <c r="C902" s="39">
        <v>3848</v>
      </c>
      <c r="D902" s="24">
        <v>11.54</v>
      </c>
      <c r="E902" s="24">
        <v>2.08</v>
      </c>
      <c r="F902" s="23">
        <f>COUNTIFS(mdr_rate_cleaned!$A$2:$A$10,B902,mdr_rate_cleaned!$B$2:$B$10,"&lt;"&amp;C902,mdr_rate_cleaned!$F$2:$F$10,"&gt;="&amp;C902)</f>
        <v>1</v>
      </c>
      <c r="G902" s="40">
        <f>SUMIFS(mdr_rate_cleaned!$G$2:$G$10,mdr_rate_cleaned!$A$2:$A$10,B902,mdr_rate_cleaned!$B$2:$B$10,"&lt;"&amp;C902,mdr_rate_cleaned!$F$2:$F$10,"&gt;="&amp;C902)</f>
        <v>3.0000000000000001E-3</v>
      </c>
      <c r="H902" s="24">
        <f t="shared" si="70"/>
        <v>11.54</v>
      </c>
      <c r="I902" s="23" t="str">
        <f t="shared" si="71"/>
        <v>Match</v>
      </c>
      <c r="J902" s="23" t="str">
        <f t="shared" si="72"/>
        <v>Match</v>
      </c>
      <c r="K902" s="24">
        <f t="shared" si="73"/>
        <v>2.08</v>
      </c>
      <c r="L902" s="24">
        <f t="shared" si="74"/>
        <v>0</v>
      </c>
    </row>
    <row r="903" spans="1:12" ht="15" customHeight="1" x14ac:dyDescent="0.3">
      <c r="A903" s="23" t="s">
        <v>13473</v>
      </c>
      <c r="B903" s="23" t="s">
        <v>81</v>
      </c>
      <c r="C903" s="39">
        <v>1299</v>
      </c>
      <c r="D903" s="24">
        <v>19.489999999999998</v>
      </c>
      <c r="E903" s="24">
        <v>3.51</v>
      </c>
      <c r="F903" s="23">
        <f>COUNTIFS(mdr_rate_cleaned!$A$2:$A$10,B903,mdr_rate_cleaned!$B$2:$B$10,"&lt;"&amp;C903,mdr_rate_cleaned!$F$2:$F$10,"&gt;="&amp;C903)</f>
        <v>1</v>
      </c>
      <c r="G903" s="40">
        <f>SUMIFS(mdr_rate_cleaned!$G$2:$G$10,mdr_rate_cleaned!$A$2:$A$10,B903,mdr_rate_cleaned!$B$2:$B$10,"&lt;"&amp;C903,mdr_rate_cleaned!$F$2:$F$10,"&gt;="&amp;C903)</f>
        <v>1.4999999999999999E-2</v>
      </c>
      <c r="H903" s="24">
        <f t="shared" si="70"/>
        <v>19.489999999999998</v>
      </c>
      <c r="I903" s="23" t="str">
        <f t="shared" si="71"/>
        <v>Match</v>
      </c>
      <c r="J903" s="23" t="str">
        <f t="shared" si="72"/>
        <v>Match</v>
      </c>
      <c r="K903" s="24">
        <f t="shared" si="73"/>
        <v>3.51</v>
      </c>
      <c r="L903" s="24">
        <f t="shared" si="74"/>
        <v>0</v>
      </c>
    </row>
    <row r="904" spans="1:12" ht="15" customHeight="1" x14ac:dyDescent="0.3">
      <c r="A904" s="23" t="s">
        <v>13475</v>
      </c>
      <c r="B904" s="23" t="s">
        <v>77</v>
      </c>
      <c r="C904" s="39">
        <v>499</v>
      </c>
      <c r="D904" s="24">
        <v>9.48</v>
      </c>
      <c r="E904" s="24">
        <v>1.71</v>
      </c>
      <c r="F904" s="23">
        <f>COUNTIFS(mdr_rate_cleaned!$A$2:$A$10,B904,mdr_rate_cleaned!$B$2:$B$10,"&lt;"&amp;C904,mdr_rate_cleaned!$F$2:$F$10,"&gt;="&amp;C904)</f>
        <v>1</v>
      </c>
      <c r="G904" s="40">
        <f>SUMIFS(mdr_rate_cleaned!$G$2:$G$10,mdr_rate_cleaned!$A$2:$A$10,B904,mdr_rate_cleaned!$B$2:$B$10,"&lt;"&amp;C904,mdr_rate_cleaned!$F$2:$F$10,"&gt;="&amp;C904)</f>
        <v>1.9E-2</v>
      </c>
      <c r="H904" s="24">
        <f t="shared" si="70"/>
        <v>9.48</v>
      </c>
      <c r="I904" s="23" t="str">
        <f t="shared" si="71"/>
        <v>Match</v>
      </c>
      <c r="J904" s="23" t="str">
        <f t="shared" si="72"/>
        <v>Match</v>
      </c>
      <c r="K904" s="24">
        <f t="shared" si="73"/>
        <v>1.71</v>
      </c>
      <c r="L904" s="24">
        <f t="shared" si="74"/>
        <v>0</v>
      </c>
    </row>
    <row r="905" spans="1:12" ht="15" customHeight="1" x14ac:dyDescent="0.3">
      <c r="A905" s="23" t="s">
        <v>13476</v>
      </c>
      <c r="B905" s="23" t="s">
        <v>79</v>
      </c>
      <c r="C905" s="39">
        <v>9647</v>
      </c>
      <c r="D905" s="24">
        <v>154.35</v>
      </c>
      <c r="E905" s="24">
        <v>27.78</v>
      </c>
      <c r="F905" s="23">
        <f>COUNTIFS(mdr_rate_cleaned!$A$2:$A$10,B905,mdr_rate_cleaned!$B$2:$B$10,"&lt;"&amp;C905,mdr_rate_cleaned!$F$2:$F$10,"&gt;="&amp;C905)</f>
        <v>1</v>
      </c>
      <c r="G905" s="40">
        <f>SUMIFS(mdr_rate_cleaned!$G$2:$G$10,mdr_rate_cleaned!$A$2:$A$10,B905,mdr_rate_cleaned!$B$2:$B$10,"&lt;"&amp;C905,mdr_rate_cleaned!$F$2:$F$10,"&gt;="&amp;C905)</f>
        <v>1.6E-2</v>
      </c>
      <c r="H905" s="24">
        <f t="shared" si="70"/>
        <v>154.35</v>
      </c>
      <c r="I905" s="23" t="str">
        <f t="shared" si="71"/>
        <v>Match</v>
      </c>
      <c r="J905" s="23" t="str">
        <f t="shared" si="72"/>
        <v>Match</v>
      </c>
      <c r="K905" s="24">
        <f t="shared" si="73"/>
        <v>27.78</v>
      </c>
      <c r="L905" s="24">
        <f t="shared" si="74"/>
        <v>0</v>
      </c>
    </row>
    <row r="906" spans="1:12" ht="15" customHeight="1" x14ac:dyDescent="0.3">
      <c r="A906" s="23" t="s">
        <v>13477</v>
      </c>
      <c r="B906" s="23" t="s">
        <v>79</v>
      </c>
      <c r="C906" s="39">
        <v>999</v>
      </c>
      <c r="D906" s="24">
        <v>17.98</v>
      </c>
      <c r="E906" s="24">
        <v>3.24</v>
      </c>
      <c r="F906" s="23">
        <f>COUNTIFS(mdr_rate_cleaned!$A$2:$A$10,B906,mdr_rate_cleaned!$B$2:$B$10,"&lt;"&amp;C906,mdr_rate_cleaned!$F$2:$F$10,"&gt;="&amp;C906)</f>
        <v>1</v>
      </c>
      <c r="G906" s="40">
        <f>SUMIFS(mdr_rate_cleaned!$G$2:$G$10,mdr_rate_cleaned!$A$2:$A$10,B906,mdr_rate_cleaned!$B$2:$B$10,"&lt;"&amp;C906,mdr_rate_cleaned!$F$2:$F$10,"&gt;="&amp;C906)</f>
        <v>1.8000000000000002E-2</v>
      </c>
      <c r="H906" s="24">
        <f t="shared" si="70"/>
        <v>17.98</v>
      </c>
      <c r="I906" s="23" t="str">
        <f t="shared" si="71"/>
        <v>Match</v>
      </c>
      <c r="J906" s="23" t="str">
        <f t="shared" si="72"/>
        <v>Match</v>
      </c>
      <c r="K906" s="24">
        <f t="shared" si="73"/>
        <v>3.24</v>
      </c>
      <c r="L906" s="24">
        <f t="shared" si="74"/>
        <v>0</v>
      </c>
    </row>
    <row r="907" spans="1:12" ht="15" customHeight="1" x14ac:dyDescent="0.3">
      <c r="A907" s="23" t="s">
        <v>13478</v>
      </c>
      <c r="B907" s="23" t="s">
        <v>79</v>
      </c>
      <c r="C907" s="39">
        <v>1798</v>
      </c>
      <c r="D907" s="24">
        <v>32.36</v>
      </c>
      <c r="E907" s="24">
        <v>5.82</v>
      </c>
      <c r="F907" s="23">
        <f>COUNTIFS(mdr_rate_cleaned!$A$2:$A$10,B907,mdr_rate_cleaned!$B$2:$B$10,"&lt;"&amp;C907,mdr_rate_cleaned!$F$2:$F$10,"&gt;="&amp;C907)</f>
        <v>1</v>
      </c>
      <c r="G907" s="40">
        <f>SUMIFS(mdr_rate_cleaned!$G$2:$G$10,mdr_rate_cleaned!$A$2:$A$10,B907,mdr_rate_cleaned!$B$2:$B$10,"&lt;"&amp;C907,mdr_rate_cleaned!$F$2:$F$10,"&gt;="&amp;C907)</f>
        <v>1.8000000000000002E-2</v>
      </c>
      <c r="H907" s="24">
        <f t="shared" si="70"/>
        <v>32.36</v>
      </c>
      <c r="I907" s="23" t="str">
        <f t="shared" si="71"/>
        <v>Match</v>
      </c>
      <c r="J907" s="23" t="str">
        <f t="shared" si="72"/>
        <v>Match</v>
      </c>
      <c r="K907" s="24">
        <f t="shared" si="73"/>
        <v>5.82</v>
      </c>
      <c r="L907" s="24">
        <f t="shared" si="74"/>
        <v>0</v>
      </c>
    </row>
    <row r="908" spans="1:12" ht="15" customHeight="1" x14ac:dyDescent="0.3">
      <c r="A908" s="23" t="s">
        <v>13479</v>
      </c>
      <c r="B908" s="23" t="s">
        <v>77</v>
      </c>
      <c r="C908" s="39">
        <v>1498</v>
      </c>
      <c r="D908" s="24">
        <v>28.46</v>
      </c>
      <c r="E908" s="24">
        <v>5.12</v>
      </c>
      <c r="F908" s="23">
        <f>COUNTIFS(mdr_rate_cleaned!$A$2:$A$10,B908,mdr_rate_cleaned!$B$2:$B$10,"&lt;"&amp;C908,mdr_rate_cleaned!$F$2:$F$10,"&gt;="&amp;C908)</f>
        <v>1</v>
      </c>
      <c r="G908" s="40">
        <f>SUMIFS(mdr_rate_cleaned!$G$2:$G$10,mdr_rate_cleaned!$A$2:$A$10,B908,mdr_rate_cleaned!$B$2:$B$10,"&lt;"&amp;C908,mdr_rate_cleaned!$F$2:$F$10,"&gt;="&amp;C908)</f>
        <v>1.9E-2</v>
      </c>
      <c r="H908" s="24">
        <f t="shared" si="70"/>
        <v>28.46</v>
      </c>
      <c r="I908" s="23" t="str">
        <f t="shared" si="71"/>
        <v>Match</v>
      </c>
      <c r="J908" s="23" t="str">
        <f t="shared" si="72"/>
        <v>Match</v>
      </c>
      <c r="K908" s="24">
        <f t="shared" si="73"/>
        <v>5.12</v>
      </c>
      <c r="L908" s="24">
        <f t="shared" si="74"/>
        <v>0</v>
      </c>
    </row>
    <row r="909" spans="1:12" ht="15" customHeight="1" x14ac:dyDescent="0.3">
      <c r="A909" s="23" t="s">
        <v>13480</v>
      </c>
      <c r="B909" s="23" t="s">
        <v>75</v>
      </c>
      <c r="C909" s="39">
        <v>3499</v>
      </c>
      <c r="D909" s="24">
        <v>10.5</v>
      </c>
      <c r="E909" s="24">
        <v>1.89</v>
      </c>
      <c r="F909" s="23">
        <f>COUNTIFS(mdr_rate_cleaned!$A$2:$A$10,B909,mdr_rate_cleaned!$B$2:$B$10,"&lt;"&amp;C909,mdr_rate_cleaned!$F$2:$F$10,"&gt;="&amp;C909)</f>
        <v>1</v>
      </c>
      <c r="G909" s="40">
        <f>SUMIFS(mdr_rate_cleaned!$G$2:$G$10,mdr_rate_cleaned!$A$2:$A$10,B909,mdr_rate_cleaned!$B$2:$B$10,"&lt;"&amp;C909,mdr_rate_cleaned!$F$2:$F$10,"&gt;="&amp;C909)</f>
        <v>3.0000000000000001E-3</v>
      </c>
      <c r="H909" s="24">
        <f t="shared" si="70"/>
        <v>10.5</v>
      </c>
      <c r="I909" s="23" t="str">
        <f t="shared" si="71"/>
        <v>Match</v>
      </c>
      <c r="J909" s="23" t="str">
        <f t="shared" si="72"/>
        <v>Match</v>
      </c>
      <c r="K909" s="24">
        <f t="shared" si="73"/>
        <v>1.89</v>
      </c>
      <c r="L909" s="24">
        <f t="shared" si="74"/>
        <v>0</v>
      </c>
    </row>
    <row r="910" spans="1:12" ht="15" customHeight="1" x14ac:dyDescent="0.3">
      <c r="A910" s="23" t="s">
        <v>13481</v>
      </c>
      <c r="B910" s="23" t="s">
        <v>79</v>
      </c>
      <c r="C910" s="39">
        <v>9597</v>
      </c>
      <c r="D910" s="24">
        <v>153.55000000000001</v>
      </c>
      <c r="E910" s="24">
        <v>27.64</v>
      </c>
      <c r="F910" s="23">
        <f>COUNTIFS(mdr_rate_cleaned!$A$2:$A$10,B910,mdr_rate_cleaned!$B$2:$B$10,"&lt;"&amp;C910,mdr_rate_cleaned!$F$2:$F$10,"&gt;="&amp;C910)</f>
        <v>1</v>
      </c>
      <c r="G910" s="40">
        <f>SUMIFS(mdr_rate_cleaned!$G$2:$G$10,mdr_rate_cleaned!$A$2:$A$10,B910,mdr_rate_cleaned!$B$2:$B$10,"&lt;"&amp;C910,mdr_rate_cleaned!$F$2:$F$10,"&gt;="&amp;C910)</f>
        <v>1.6E-2</v>
      </c>
      <c r="H910" s="24">
        <f t="shared" si="70"/>
        <v>153.55000000000001</v>
      </c>
      <c r="I910" s="23" t="str">
        <f t="shared" si="71"/>
        <v>Match</v>
      </c>
      <c r="J910" s="23" t="str">
        <f t="shared" si="72"/>
        <v>Match</v>
      </c>
      <c r="K910" s="24">
        <f t="shared" si="73"/>
        <v>27.64</v>
      </c>
      <c r="L910" s="24">
        <f t="shared" si="74"/>
        <v>0</v>
      </c>
    </row>
    <row r="911" spans="1:12" ht="15" customHeight="1" x14ac:dyDescent="0.3">
      <c r="A911" s="23" t="s">
        <v>13482</v>
      </c>
      <c r="B911" s="23" t="s">
        <v>75</v>
      </c>
      <c r="C911" s="39">
        <v>2499</v>
      </c>
      <c r="D911" s="24">
        <v>7.5</v>
      </c>
      <c r="E911" s="24">
        <v>1.35</v>
      </c>
      <c r="F911" s="23">
        <f>COUNTIFS(mdr_rate_cleaned!$A$2:$A$10,B911,mdr_rate_cleaned!$B$2:$B$10,"&lt;"&amp;C911,mdr_rate_cleaned!$F$2:$F$10,"&gt;="&amp;C911)</f>
        <v>1</v>
      </c>
      <c r="G911" s="40">
        <f>SUMIFS(mdr_rate_cleaned!$G$2:$G$10,mdr_rate_cleaned!$A$2:$A$10,B911,mdr_rate_cleaned!$B$2:$B$10,"&lt;"&amp;C911,mdr_rate_cleaned!$F$2:$F$10,"&gt;="&amp;C911)</f>
        <v>3.0000000000000001E-3</v>
      </c>
      <c r="H911" s="24">
        <f t="shared" si="70"/>
        <v>7.5</v>
      </c>
      <c r="I911" s="23" t="str">
        <f t="shared" si="71"/>
        <v>Match</v>
      </c>
      <c r="J911" s="23" t="str">
        <f t="shared" si="72"/>
        <v>Match</v>
      </c>
      <c r="K911" s="24">
        <f t="shared" si="73"/>
        <v>1.35</v>
      </c>
      <c r="L911" s="24">
        <f t="shared" si="74"/>
        <v>0</v>
      </c>
    </row>
    <row r="912" spans="1:12" ht="15" customHeight="1" x14ac:dyDescent="0.3">
      <c r="A912" s="23" t="s">
        <v>13483</v>
      </c>
      <c r="B912" s="23" t="s">
        <v>75</v>
      </c>
      <c r="C912" s="39">
        <v>499</v>
      </c>
      <c r="D912" s="24">
        <v>0</v>
      </c>
      <c r="E912" s="24">
        <v>0</v>
      </c>
      <c r="F912" s="23">
        <f>COUNTIFS(mdr_rate_cleaned!$A$2:$A$10,B912,mdr_rate_cleaned!$B$2:$B$10,"&lt;"&amp;C912,mdr_rate_cleaned!$F$2:$F$10,"&gt;="&amp;C912)</f>
        <v>1</v>
      </c>
      <c r="G912" s="40">
        <f>SUMIFS(mdr_rate_cleaned!$G$2:$G$10,mdr_rate_cleaned!$A$2:$A$10,B912,mdr_rate_cleaned!$B$2:$B$10,"&lt;"&amp;C912,mdr_rate_cleaned!$F$2:$F$10,"&gt;="&amp;C912)</f>
        <v>0</v>
      </c>
      <c r="H912" s="24">
        <f t="shared" si="70"/>
        <v>0</v>
      </c>
      <c r="I912" s="23" t="str">
        <f t="shared" si="71"/>
        <v>Match</v>
      </c>
      <c r="J912" s="23" t="str">
        <f t="shared" si="72"/>
        <v>Match</v>
      </c>
      <c r="K912" s="24">
        <f t="shared" si="73"/>
        <v>0</v>
      </c>
      <c r="L912" s="24">
        <f t="shared" si="74"/>
        <v>0</v>
      </c>
    </row>
    <row r="913" spans="1:12" ht="15" customHeight="1" x14ac:dyDescent="0.3">
      <c r="A913" s="23" t="s">
        <v>13484</v>
      </c>
      <c r="B913" s="23" t="s">
        <v>75</v>
      </c>
      <c r="C913" s="39">
        <v>12297</v>
      </c>
      <c r="D913" s="24">
        <v>36.89</v>
      </c>
      <c r="E913" s="24">
        <v>6.64</v>
      </c>
      <c r="F913" s="23">
        <f>COUNTIFS(mdr_rate_cleaned!$A$2:$A$10,B913,mdr_rate_cleaned!$B$2:$B$10,"&lt;"&amp;C913,mdr_rate_cleaned!$F$2:$F$10,"&gt;="&amp;C913)</f>
        <v>1</v>
      </c>
      <c r="G913" s="40">
        <f>SUMIFS(mdr_rate_cleaned!$G$2:$G$10,mdr_rate_cleaned!$A$2:$A$10,B913,mdr_rate_cleaned!$B$2:$B$10,"&lt;"&amp;C913,mdr_rate_cleaned!$F$2:$F$10,"&gt;="&amp;C913)</f>
        <v>3.0000000000000001E-3</v>
      </c>
      <c r="H913" s="24">
        <f t="shared" si="70"/>
        <v>36.89</v>
      </c>
      <c r="I913" s="23" t="str">
        <f t="shared" si="71"/>
        <v>Match</v>
      </c>
      <c r="J913" s="23" t="str">
        <f t="shared" si="72"/>
        <v>Match</v>
      </c>
      <c r="K913" s="24">
        <f t="shared" si="73"/>
        <v>6.64</v>
      </c>
      <c r="L913" s="24">
        <f t="shared" si="74"/>
        <v>0</v>
      </c>
    </row>
    <row r="914" spans="1:12" ht="15" customHeight="1" x14ac:dyDescent="0.3">
      <c r="A914" s="23" t="s">
        <v>13485</v>
      </c>
      <c r="B914" s="23" t="s">
        <v>77</v>
      </c>
      <c r="C914" s="39">
        <v>6297</v>
      </c>
      <c r="D914" s="24">
        <v>107.05</v>
      </c>
      <c r="E914" s="24">
        <v>19.27</v>
      </c>
      <c r="F914" s="23">
        <f>COUNTIFS(mdr_rate_cleaned!$A$2:$A$10,B914,mdr_rate_cleaned!$B$2:$B$10,"&lt;"&amp;C914,mdr_rate_cleaned!$F$2:$F$10,"&gt;="&amp;C914)</f>
        <v>1</v>
      </c>
      <c r="G914" s="40">
        <f>SUMIFS(mdr_rate_cleaned!$G$2:$G$10,mdr_rate_cleaned!$A$2:$A$10,B914,mdr_rate_cleaned!$B$2:$B$10,"&lt;"&amp;C914,mdr_rate_cleaned!$F$2:$F$10,"&gt;="&amp;C914)</f>
        <v>1.7000000000000001E-2</v>
      </c>
      <c r="H914" s="24">
        <f t="shared" si="70"/>
        <v>107.05</v>
      </c>
      <c r="I914" s="23" t="str">
        <f t="shared" si="71"/>
        <v>Match</v>
      </c>
      <c r="J914" s="23" t="str">
        <f t="shared" si="72"/>
        <v>Match</v>
      </c>
      <c r="K914" s="24">
        <f t="shared" si="73"/>
        <v>19.27</v>
      </c>
      <c r="L914" s="24">
        <f t="shared" si="74"/>
        <v>0</v>
      </c>
    </row>
    <row r="915" spans="1:12" ht="15" customHeight="1" x14ac:dyDescent="0.3">
      <c r="A915" s="23" t="s">
        <v>13486</v>
      </c>
      <c r="B915" s="23" t="s">
        <v>75</v>
      </c>
      <c r="C915" s="39">
        <v>5998</v>
      </c>
      <c r="D915" s="24">
        <v>17.989999999999998</v>
      </c>
      <c r="E915" s="24">
        <v>3.24</v>
      </c>
      <c r="F915" s="23">
        <f>COUNTIFS(mdr_rate_cleaned!$A$2:$A$10,B915,mdr_rate_cleaned!$B$2:$B$10,"&lt;"&amp;C915,mdr_rate_cleaned!$F$2:$F$10,"&gt;="&amp;C915)</f>
        <v>1</v>
      </c>
      <c r="G915" s="40">
        <f>SUMIFS(mdr_rate_cleaned!$G$2:$G$10,mdr_rate_cleaned!$A$2:$A$10,B915,mdr_rate_cleaned!$B$2:$B$10,"&lt;"&amp;C915,mdr_rate_cleaned!$F$2:$F$10,"&gt;="&amp;C915)</f>
        <v>3.0000000000000001E-3</v>
      </c>
      <c r="H915" s="24">
        <f t="shared" si="70"/>
        <v>17.989999999999998</v>
      </c>
      <c r="I915" s="23" t="str">
        <f t="shared" si="71"/>
        <v>Match</v>
      </c>
      <c r="J915" s="23" t="str">
        <f t="shared" si="72"/>
        <v>Match</v>
      </c>
      <c r="K915" s="24">
        <f t="shared" si="73"/>
        <v>3.24</v>
      </c>
      <c r="L915" s="24">
        <f t="shared" si="74"/>
        <v>0</v>
      </c>
    </row>
    <row r="916" spans="1:12" ht="15" customHeight="1" x14ac:dyDescent="0.3">
      <c r="A916" s="23" t="s">
        <v>13487</v>
      </c>
      <c r="B916" s="23" t="s">
        <v>75</v>
      </c>
      <c r="C916" s="39">
        <v>599</v>
      </c>
      <c r="D916" s="24">
        <v>0</v>
      </c>
      <c r="E916" s="24">
        <v>0</v>
      </c>
      <c r="F916" s="23">
        <f>COUNTIFS(mdr_rate_cleaned!$A$2:$A$10,B916,mdr_rate_cleaned!$B$2:$B$10,"&lt;"&amp;C916,mdr_rate_cleaned!$F$2:$F$10,"&gt;="&amp;C916)</f>
        <v>1</v>
      </c>
      <c r="G916" s="40">
        <f>SUMIFS(mdr_rate_cleaned!$G$2:$G$10,mdr_rate_cleaned!$A$2:$A$10,B916,mdr_rate_cleaned!$B$2:$B$10,"&lt;"&amp;C916,mdr_rate_cleaned!$F$2:$F$10,"&gt;="&amp;C916)</f>
        <v>0</v>
      </c>
      <c r="H916" s="24">
        <f t="shared" si="70"/>
        <v>0</v>
      </c>
      <c r="I916" s="23" t="str">
        <f t="shared" si="71"/>
        <v>Match</v>
      </c>
      <c r="J916" s="23" t="str">
        <f t="shared" si="72"/>
        <v>Match</v>
      </c>
      <c r="K916" s="24">
        <f t="shared" si="73"/>
        <v>0</v>
      </c>
      <c r="L916" s="24">
        <f t="shared" si="74"/>
        <v>0</v>
      </c>
    </row>
    <row r="917" spans="1:12" ht="15" customHeight="1" x14ac:dyDescent="0.3">
      <c r="A917" s="23" t="s">
        <v>13488</v>
      </c>
      <c r="B917" s="23" t="s">
        <v>79</v>
      </c>
      <c r="C917" s="39">
        <v>8847</v>
      </c>
      <c r="D917" s="24">
        <v>141.55000000000001</v>
      </c>
      <c r="E917" s="24">
        <v>25.48</v>
      </c>
      <c r="F917" s="23">
        <f>COUNTIFS(mdr_rate_cleaned!$A$2:$A$10,B917,mdr_rate_cleaned!$B$2:$B$10,"&lt;"&amp;C917,mdr_rate_cleaned!$F$2:$F$10,"&gt;="&amp;C917)</f>
        <v>1</v>
      </c>
      <c r="G917" s="40">
        <f>SUMIFS(mdr_rate_cleaned!$G$2:$G$10,mdr_rate_cleaned!$A$2:$A$10,B917,mdr_rate_cleaned!$B$2:$B$10,"&lt;"&amp;C917,mdr_rate_cleaned!$F$2:$F$10,"&gt;="&amp;C917)</f>
        <v>1.6E-2</v>
      </c>
      <c r="H917" s="24">
        <f t="shared" si="70"/>
        <v>141.55000000000001</v>
      </c>
      <c r="I917" s="23" t="str">
        <f t="shared" si="71"/>
        <v>Match</v>
      </c>
      <c r="J917" s="23" t="str">
        <f t="shared" si="72"/>
        <v>Match</v>
      </c>
      <c r="K917" s="24">
        <f t="shared" si="73"/>
        <v>25.48</v>
      </c>
      <c r="L917" s="24">
        <f t="shared" si="74"/>
        <v>0</v>
      </c>
    </row>
    <row r="918" spans="1:12" ht="15" customHeight="1" x14ac:dyDescent="0.3">
      <c r="A918" s="23" t="s">
        <v>13490</v>
      </c>
      <c r="B918" s="23" t="s">
        <v>75</v>
      </c>
      <c r="C918" s="39">
        <v>8798</v>
      </c>
      <c r="D918" s="24">
        <v>26.39</v>
      </c>
      <c r="E918" s="24">
        <v>4.75</v>
      </c>
      <c r="F918" s="23">
        <f>COUNTIFS(mdr_rate_cleaned!$A$2:$A$10,B918,mdr_rate_cleaned!$B$2:$B$10,"&lt;"&amp;C918,mdr_rate_cleaned!$F$2:$F$10,"&gt;="&amp;C918)</f>
        <v>1</v>
      </c>
      <c r="G918" s="40">
        <f>SUMIFS(mdr_rate_cleaned!$G$2:$G$10,mdr_rate_cleaned!$A$2:$A$10,B918,mdr_rate_cleaned!$B$2:$B$10,"&lt;"&amp;C918,mdr_rate_cleaned!$F$2:$F$10,"&gt;="&amp;C918)</f>
        <v>3.0000000000000001E-3</v>
      </c>
      <c r="H918" s="24">
        <f t="shared" si="70"/>
        <v>26.39</v>
      </c>
      <c r="I918" s="23" t="str">
        <f t="shared" si="71"/>
        <v>Match</v>
      </c>
      <c r="J918" s="23" t="str">
        <f t="shared" si="72"/>
        <v>Match</v>
      </c>
      <c r="K918" s="24">
        <f t="shared" si="73"/>
        <v>4.75</v>
      </c>
      <c r="L918" s="24">
        <f t="shared" si="74"/>
        <v>0</v>
      </c>
    </row>
    <row r="919" spans="1:12" ht="15" customHeight="1" x14ac:dyDescent="0.3">
      <c r="A919" s="23" t="s">
        <v>13492</v>
      </c>
      <c r="B919" s="23" t="s">
        <v>75</v>
      </c>
      <c r="C919" s="39">
        <v>5348</v>
      </c>
      <c r="D919" s="24">
        <v>16.04</v>
      </c>
      <c r="E919" s="24">
        <v>2.89</v>
      </c>
      <c r="F919" s="23">
        <f>COUNTIFS(mdr_rate_cleaned!$A$2:$A$10,B919,mdr_rate_cleaned!$B$2:$B$10,"&lt;"&amp;C919,mdr_rate_cleaned!$F$2:$F$10,"&gt;="&amp;C919)</f>
        <v>1</v>
      </c>
      <c r="G919" s="40">
        <f>SUMIFS(mdr_rate_cleaned!$G$2:$G$10,mdr_rate_cleaned!$A$2:$A$10,B919,mdr_rate_cleaned!$B$2:$B$10,"&lt;"&amp;C919,mdr_rate_cleaned!$F$2:$F$10,"&gt;="&amp;C919)</f>
        <v>3.0000000000000001E-3</v>
      </c>
      <c r="H919" s="24">
        <f t="shared" si="70"/>
        <v>16.04</v>
      </c>
      <c r="I919" s="23" t="str">
        <f t="shared" si="71"/>
        <v>Match</v>
      </c>
      <c r="J919" s="23" t="str">
        <f t="shared" si="72"/>
        <v>Match</v>
      </c>
      <c r="K919" s="24">
        <f t="shared" si="73"/>
        <v>2.89</v>
      </c>
      <c r="L919" s="24">
        <f t="shared" si="74"/>
        <v>0</v>
      </c>
    </row>
    <row r="920" spans="1:12" ht="15" customHeight="1" x14ac:dyDescent="0.3">
      <c r="A920" s="23" t="s">
        <v>13493</v>
      </c>
      <c r="B920" s="23" t="s">
        <v>81</v>
      </c>
      <c r="C920" s="39">
        <v>1799</v>
      </c>
      <c r="D920" s="24">
        <v>26.99</v>
      </c>
      <c r="E920" s="24">
        <v>4.8600000000000003</v>
      </c>
      <c r="F920" s="23">
        <f>COUNTIFS(mdr_rate_cleaned!$A$2:$A$10,B920,mdr_rate_cleaned!$B$2:$B$10,"&lt;"&amp;C920,mdr_rate_cleaned!$F$2:$F$10,"&gt;="&amp;C920)</f>
        <v>1</v>
      </c>
      <c r="G920" s="40">
        <f>SUMIFS(mdr_rate_cleaned!$G$2:$G$10,mdr_rate_cleaned!$A$2:$A$10,B920,mdr_rate_cleaned!$B$2:$B$10,"&lt;"&amp;C920,mdr_rate_cleaned!$F$2:$F$10,"&gt;="&amp;C920)</f>
        <v>1.4999999999999999E-2</v>
      </c>
      <c r="H920" s="24">
        <f t="shared" si="70"/>
        <v>26.99</v>
      </c>
      <c r="I920" s="23" t="str">
        <f t="shared" si="71"/>
        <v>Match</v>
      </c>
      <c r="J920" s="23" t="str">
        <f t="shared" si="72"/>
        <v>Match</v>
      </c>
      <c r="K920" s="24">
        <f t="shared" si="73"/>
        <v>4.8600000000000003</v>
      </c>
      <c r="L920" s="24">
        <f t="shared" si="74"/>
        <v>0</v>
      </c>
    </row>
    <row r="921" spans="1:12" ht="15" customHeight="1" x14ac:dyDescent="0.3">
      <c r="A921" s="23" t="s">
        <v>13494</v>
      </c>
      <c r="B921" s="23" t="s">
        <v>81</v>
      </c>
      <c r="C921" s="39">
        <v>3298</v>
      </c>
      <c r="D921" s="24">
        <v>39.58</v>
      </c>
      <c r="E921" s="24">
        <v>7.12</v>
      </c>
      <c r="F921" s="23">
        <f>COUNTIFS(mdr_rate_cleaned!$A$2:$A$10,B921,mdr_rate_cleaned!$B$2:$B$10,"&lt;"&amp;C921,mdr_rate_cleaned!$F$2:$F$10,"&gt;="&amp;C921)</f>
        <v>1</v>
      </c>
      <c r="G921" s="40">
        <f>SUMIFS(mdr_rate_cleaned!$G$2:$G$10,mdr_rate_cleaned!$A$2:$A$10,B921,mdr_rate_cleaned!$B$2:$B$10,"&lt;"&amp;C921,mdr_rate_cleaned!$F$2:$F$10,"&gt;="&amp;C921)</f>
        <v>1.2E-2</v>
      </c>
      <c r="H921" s="24">
        <f t="shared" si="70"/>
        <v>39.58</v>
      </c>
      <c r="I921" s="23" t="str">
        <f t="shared" si="71"/>
        <v>Match</v>
      </c>
      <c r="J921" s="23" t="str">
        <f t="shared" si="72"/>
        <v>Match</v>
      </c>
      <c r="K921" s="24">
        <f t="shared" si="73"/>
        <v>7.12</v>
      </c>
      <c r="L921" s="24">
        <f t="shared" si="74"/>
        <v>0</v>
      </c>
    </row>
    <row r="922" spans="1:12" ht="15" customHeight="1" x14ac:dyDescent="0.3">
      <c r="A922" s="23" t="s">
        <v>13495</v>
      </c>
      <c r="B922" s="23" t="s">
        <v>77</v>
      </c>
      <c r="C922" s="39">
        <v>1897</v>
      </c>
      <c r="D922" s="24">
        <v>36.04</v>
      </c>
      <c r="E922" s="24">
        <v>6.49</v>
      </c>
      <c r="F922" s="23">
        <f>COUNTIFS(mdr_rate_cleaned!$A$2:$A$10,B922,mdr_rate_cleaned!$B$2:$B$10,"&lt;"&amp;C922,mdr_rate_cleaned!$F$2:$F$10,"&gt;="&amp;C922)</f>
        <v>1</v>
      </c>
      <c r="G922" s="40">
        <f>SUMIFS(mdr_rate_cleaned!$G$2:$G$10,mdr_rate_cleaned!$A$2:$A$10,B922,mdr_rate_cleaned!$B$2:$B$10,"&lt;"&amp;C922,mdr_rate_cleaned!$F$2:$F$10,"&gt;="&amp;C922)</f>
        <v>1.9E-2</v>
      </c>
      <c r="H922" s="24">
        <f t="shared" si="70"/>
        <v>36.04</v>
      </c>
      <c r="I922" s="23" t="str">
        <f t="shared" si="71"/>
        <v>Match</v>
      </c>
      <c r="J922" s="23" t="str">
        <f t="shared" si="72"/>
        <v>Match</v>
      </c>
      <c r="K922" s="24">
        <f t="shared" si="73"/>
        <v>6.49</v>
      </c>
      <c r="L922" s="24">
        <f t="shared" si="74"/>
        <v>0</v>
      </c>
    </row>
    <row r="923" spans="1:12" ht="15" customHeight="1" x14ac:dyDescent="0.3">
      <c r="A923" s="23" t="s">
        <v>13496</v>
      </c>
      <c r="B923" s="23" t="s">
        <v>75</v>
      </c>
      <c r="C923" s="39">
        <v>4999</v>
      </c>
      <c r="D923" s="24">
        <v>15</v>
      </c>
      <c r="E923" s="24">
        <v>2.7</v>
      </c>
      <c r="F923" s="23">
        <f>COUNTIFS(mdr_rate_cleaned!$A$2:$A$10,B923,mdr_rate_cleaned!$B$2:$B$10,"&lt;"&amp;C923,mdr_rate_cleaned!$F$2:$F$10,"&gt;="&amp;C923)</f>
        <v>1</v>
      </c>
      <c r="G923" s="40">
        <f>SUMIFS(mdr_rate_cleaned!$G$2:$G$10,mdr_rate_cleaned!$A$2:$A$10,B923,mdr_rate_cleaned!$B$2:$B$10,"&lt;"&amp;C923,mdr_rate_cleaned!$F$2:$F$10,"&gt;="&amp;C923)</f>
        <v>3.0000000000000001E-3</v>
      </c>
      <c r="H923" s="24">
        <f t="shared" si="70"/>
        <v>15</v>
      </c>
      <c r="I923" s="23" t="str">
        <f t="shared" si="71"/>
        <v>Match</v>
      </c>
      <c r="J923" s="23" t="str">
        <f t="shared" si="72"/>
        <v>Match</v>
      </c>
      <c r="K923" s="24">
        <f t="shared" si="73"/>
        <v>2.7</v>
      </c>
      <c r="L923" s="24">
        <f t="shared" si="74"/>
        <v>0</v>
      </c>
    </row>
    <row r="924" spans="1:12" ht="15" customHeight="1" x14ac:dyDescent="0.3">
      <c r="A924" s="23" t="s">
        <v>13498</v>
      </c>
      <c r="B924" s="23" t="s">
        <v>75</v>
      </c>
      <c r="C924" s="39">
        <v>299</v>
      </c>
      <c r="D924" s="24">
        <v>0</v>
      </c>
      <c r="E924" s="24">
        <v>0</v>
      </c>
      <c r="F924" s="23">
        <f>COUNTIFS(mdr_rate_cleaned!$A$2:$A$10,B924,mdr_rate_cleaned!$B$2:$B$10,"&lt;"&amp;C924,mdr_rate_cleaned!$F$2:$F$10,"&gt;="&amp;C924)</f>
        <v>1</v>
      </c>
      <c r="G924" s="40">
        <f>SUMIFS(mdr_rate_cleaned!$G$2:$G$10,mdr_rate_cleaned!$A$2:$A$10,B924,mdr_rate_cleaned!$B$2:$B$10,"&lt;"&amp;C924,mdr_rate_cleaned!$F$2:$F$10,"&gt;="&amp;C924)</f>
        <v>0</v>
      </c>
      <c r="H924" s="24">
        <f t="shared" si="70"/>
        <v>0</v>
      </c>
      <c r="I924" s="23" t="str">
        <f t="shared" si="71"/>
        <v>Match</v>
      </c>
      <c r="J924" s="23" t="str">
        <f t="shared" si="72"/>
        <v>Match</v>
      </c>
      <c r="K924" s="24">
        <f t="shared" si="73"/>
        <v>0</v>
      </c>
      <c r="L924" s="24">
        <f t="shared" si="74"/>
        <v>0</v>
      </c>
    </row>
    <row r="925" spans="1:12" ht="15" customHeight="1" x14ac:dyDescent="0.3">
      <c r="A925" s="23" t="s">
        <v>13499</v>
      </c>
      <c r="B925" s="23" t="s">
        <v>75</v>
      </c>
      <c r="C925" s="39">
        <v>3499</v>
      </c>
      <c r="D925" s="24">
        <v>10.5</v>
      </c>
      <c r="E925" s="24">
        <v>1.89</v>
      </c>
      <c r="F925" s="23">
        <f>COUNTIFS(mdr_rate_cleaned!$A$2:$A$10,B925,mdr_rate_cleaned!$B$2:$B$10,"&lt;"&amp;C925,mdr_rate_cleaned!$F$2:$F$10,"&gt;="&amp;C925)</f>
        <v>1</v>
      </c>
      <c r="G925" s="40">
        <f>SUMIFS(mdr_rate_cleaned!$G$2:$G$10,mdr_rate_cleaned!$A$2:$A$10,B925,mdr_rate_cleaned!$B$2:$B$10,"&lt;"&amp;C925,mdr_rate_cleaned!$F$2:$F$10,"&gt;="&amp;C925)</f>
        <v>3.0000000000000001E-3</v>
      </c>
      <c r="H925" s="24">
        <f t="shared" si="70"/>
        <v>10.5</v>
      </c>
      <c r="I925" s="23" t="str">
        <f t="shared" si="71"/>
        <v>Match</v>
      </c>
      <c r="J925" s="23" t="str">
        <f t="shared" si="72"/>
        <v>Match</v>
      </c>
      <c r="K925" s="24">
        <f t="shared" si="73"/>
        <v>1.89</v>
      </c>
      <c r="L925" s="24">
        <f t="shared" si="74"/>
        <v>0</v>
      </c>
    </row>
    <row r="926" spans="1:12" ht="15" customHeight="1" x14ac:dyDescent="0.3">
      <c r="A926" s="23" t="s">
        <v>13500</v>
      </c>
      <c r="B926" s="23" t="s">
        <v>75</v>
      </c>
      <c r="C926" s="39">
        <v>8997</v>
      </c>
      <c r="D926" s="24">
        <v>26.99</v>
      </c>
      <c r="E926" s="24">
        <v>4.8600000000000003</v>
      </c>
      <c r="F926" s="23">
        <f>COUNTIFS(mdr_rate_cleaned!$A$2:$A$10,B926,mdr_rate_cleaned!$B$2:$B$10,"&lt;"&amp;C926,mdr_rate_cleaned!$F$2:$F$10,"&gt;="&amp;C926)</f>
        <v>1</v>
      </c>
      <c r="G926" s="40">
        <f>SUMIFS(mdr_rate_cleaned!$G$2:$G$10,mdr_rate_cleaned!$A$2:$A$10,B926,mdr_rate_cleaned!$B$2:$B$10,"&lt;"&amp;C926,mdr_rate_cleaned!$F$2:$F$10,"&gt;="&amp;C926)</f>
        <v>3.0000000000000001E-3</v>
      </c>
      <c r="H926" s="24">
        <f t="shared" si="70"/>
        <v>26.99</v>
      </c>
      <c r="I926" s="23" t="str">
        <f t="shared" si="71"/>
        <v>Match</v>
      </c>
      <c r="J926" s="23" t="str">
        <f t="shared" si="72"/>
        <v>Match</v>
      </c>
      <c r="K926" s="24">
        <f t="shared" si="73"/>
        <v>4.8600000000000003</v>
      </c>
      <c r="L926" s="24">
        <f t="shared" si="74"/>
        <v>0</v>
      </c>
    </row>
    <row r="927" spans="1:12" ht="15" customHeight="1" x14ac:dyDescent="0.3">
      <c r="A927" s="23" t="s">
        <v>13501</v>
      </c>
      <c r="B927" s="23" t="s">
        <v>75</v>
      </c>
      <c r="C927" s="39">
        <v>8298</v>
      </c>
      <c r="D927" s="24">
        <v>24.89</v>
      </c>
      <c r="E927" s="24">
        <v>4.4800000000000004</v>
      </c>
      <c r="F927" s="23">
        <f>COUNTIFS(mdr_rate_cleaned!$A$2:$A$10,B927,mdr_rate_cleaned!$B$2:$B$10,"&lt;"&amp;C927,mdr_rate_cleaned!$F$2:$F$10,"&gt;="&amp;C927)</f>
        <v>1</v>
      </c>
      <c r="G927" s="40">
        <f>SUMIFS(mdr_rate_cleaned!$G$2:$G$10,mdr_rate_cleaned!$A$2:$A$10,B927,mdr_rate_cleaned!$B$2:$B$10,"&lt;"&amp;C927,mdr_rate_cleaned!$F$2:$F$10,"&gt;="&amp;C927)</f>
        <v>3.0000000000000001E-3</v>
      </c>
      <c r="H927" s="24">
        <f t="shared" si="70"/>
        <v>24.89</v>
      </c>
      <c r="I927" s="23" t="str">
        <f t="shared" si="71"/>
        <v>Match</v>
      </c>
      <c r="J927" s="23" t="str">
        <f t="shared" si="72"/>
        <v>Match</v>
      </c>
      <c r="K927" s="24">
        <f t="shared" si="73"/>
        <v>4.4800000000000004</v>
      </c>
      <c r="L927" s="24">
        <f t="shared" si="74"/>
        <v>0</v>
      </c>
    </row>
    <row r="928" spans="1:12" ht="15" customHeight="1" x14ac:dyDescent="0.3">
      <c r="A928" s="23" t="s">
        <v>13502</v>
      </c>
      <c r="B928" s="23" t="s">
        <v>75</v>
      </c>
      <c r="C928" s="39">
        <v>1598</v>
      </c>
      <c r="D928" s="24">
        <v>0</v>
      </c>
      <c r="E928" s="24">
        <v>0</v>
      </c>
      <c r="F928" s="23">
        <f>COUNTIFS(mdr_rate_cleaned!$A$2:$A$10,B928,mdr_rate_cleaned!$B$2:$B$10,"&lt;"&amp;C928,mdr_rate_cleaned!$F$2:$F$10,"&gt;="&amp;C928)</f>
        <v>1</v>
      </c>
      <c r="G928" s="40">
        <f>SUMIFS(mdr_rate_cleaned!$G$2:$G$10,mdr_rate_cleaned!$A$2:$A$10,B928,mdr_rate_cleaned!$B$2:$B$10,"&lt;"&amp;C928,mdr_rate_cleaned!$F$2:$F$10,"&gt;="&amp;C928)</f>
        <v>0</v>
      </c>
      <c r="H928" s="24">
        <f t="shared" si="70"/>
        <v>0</v>
      </c>
      <c r="I928" s="23" t="str">
        <f t="shared" si="71"/>
        <v>Match</v>
      </c>
      <c r="J928" s="23" t="str">
        <f t="shared" si="72"/>
        <v>Match</v>
      </c>
      <c r="K928" s="24">
        <f t="shared" si="73"/>
        <v>0</v>
      </c>
      <c r="L928" s="24">
        <f t="shared" si="74"/>
        <v>0</v>
      </c>
    </row>
    <row r="929" spans="1:12" ht="15" customHeight="1" x14ac:dyDescent="0.3">
      <c r="A929" s="23" t="s">
        <v>13503</v>
      </c>
      <c r="B929" s="23" t="s">
        <v>75</v>
      </c>
      <c r="C929" s="39">
        <v>3499</v>
      </c>
      <c r="D929" s="24">
        <v>10.5</v>
      </c>
      <c r="E929" s="24">
        <v>1.89</v>
      </c>
      <c r="F929" s="23">
        <f>COUNTIFS(mdr_rate_cleaned!$A$2:$A$10,B929,mdr_rate_cleaned!$B$2:$B$10,"&lt;"&amp;C929,mdr_rate_cleaned!$F$2:$F$10,"&gt;="&amp;C929)</f>
        <v>1</v>
      </c>
      <c r="G929" s="40">
        <f>SUMIFS(mdr_rate_cleaned!$G$2:$G$10,mdr_rate_cleaned!$A$2:$A$10,B929,mdr_rate_cleaned!$B$2:$B$10,"&lt;"&amp;C929,mdr_rate_cleaned!$F$2:$F$10,"&gt;="&amp;C929)</f>
        <v>3.0000000000000001E-3</v>
      </c>
      <c r="H929" s="24">
        <f t="shared" si="70"/>
        <v>10.5</v>
      </c>
      <c r="I929" s="23" t="str">
        <f t="shared" si="71"/>
        <v>Match</v>
      </c>
      <c r="J929" s="23" t="str">
        <f t="shared" si="72"/>
        <v>Match</v>
      </c>
      <c r="K929" s="24">
        <f t="shared" si="73"/>
        <v>1.89</v>
      </c>
      <c r="L929" s="24">
        <f t="shared" si="74"/>
        <v>0</v>
      </c>
    </row>
    <row r="930" spans="1:12" ht="15" customHeight="1" x14ac:dyDescent="0.3">
      <c r="A930" s="23" t="s">
        <v>13504</v>
      </c>
      <c r="B930" s="23" t="s">
        <v>75</v>
      </c>
      <c r="C930" s="39">
        <v>11497</v>
      </c>
      <c r="D930" s="24">
        <v>34.49</v>
      </c>
      <c r="E930" s="24">
        <v>6.21</v>
      </c>
      <c r="F930" s="23">
        <f>COUNTIFS(mdr_rate_cleaned!$A$2:$A$10,B930,mdr_rate_cleaned!$B$2:$B$10,"&lt;"&amp;C930,mdr_rate_cleaned!$F$2:$F$10,"&gt;="&amp;C930)</f>
        <v>1</v>
      </c>
      <c r="G930" s="40">
        <f>SUMIFS(mdr_rate_cleaned!$G$2:$G$10,mdr_rate_cleaned!$A$2:$A$10,B930,mdr_rate_cleaned!$B$2:$B$10,"&lt;"&amp;C930,mdr_rate_cleaned!$F$2:$F$10,"&gt;="&amp;C930)</f>
        <v>3.0000000000000001E-3</v>
      </c>
      <c r="H930" s="24">
        <f t="shared" si="70"/>
        <v>34.49</v>
      </c>
      <c r="I930" s="23" t="str">
        <f t="shared" si="71"/>
        <v>Match</v>
      </c>
      <c r="J930" s="23" t="str">
        <f t="shared" si="72"/>
        <v>Match</v>
      </c>
      <c r="K930" s="24">
        <f t="shared" si="73"/>
        <v>6.21</v>
      </c>
      <c r="L930" s="24">
        <f t="shared" si="74"/>
        <v>0</v>
      </c>
    </row>
    <row r="931" spans="1:12" ht="15" customHeight="1" x14ac:dyDescent="0.3">
      <c r="A931" s="23" t="s">
        <v>13505</v>
      </c>
      <c r="B931" s="23" t="s">
        <v>75</v>
      </c>
      <c r="C931" s="39">
        <v>2848</v>
      </c>
      <c r="D931" s="24">
        <v>8.5399999999999991</v>
      </c>
      <c r="E931" s="24">
        <v>1.54</v>
      </c>
      <c r="F931" s="23">
        <f>COUNTIFS(mdr_rate_cleaned!$A$2:$A$10,B931,mdr_rate_cleaned!$B$2:$B$10,"&lt;"&amp;C931,mdr_rate_cleaned!$F$2:$F$10,"&gt;="&amp;C931)</f>
        <v>1</v>
      </c>
      <c r="G931" s="40">
        <f>SUMIFS(mdr_rate_cleaned!$G$2:$G$10,mdr_rate_cleaned!$A$2:$A$10,B931,mdr_rate_cleaned!$B$2:$B$10,"&lt;"&amp;C931,mdr_rate_cleaned!$F$2:$F$10,"&gt;="&amp;C931)</f>
        <v>3.0000000000000001E-3</v>
      </c>
      <c r="H931" s="24">
        <f t="shared" si="70"/>
        <v>8.5399999999999991</v>
      </c>
      <c r="I931" s="23" t="str">
        <f t="shared" si="71"/>
        <v>Match</v>
      </c>
      <c r="J931" s="23" t="str">
        <f t="shared" si="72"/>
        <v>Match</v>
      </c>
      <c r="K931" s="24">
        <f t="shared" si="73"/>
        <v>1.54</v>
      </c>
      <c r="L931" s="24">
        <f t="shared" si="74"/>
        <v>0</v>
      </c>
    </row>
    <row r="932" spans="1:12" ht="15" customHeight="1" x14ac:dyDescent="0.3">
      <c r="A932" s="23" t="s">
        <v>13506</v>
      </c>
      <c r="B932" s="23" t="s">
        <v>77</v>
      </c>
      <c r="C932" s="39">
        <v>4998</v>
      </c>
      <c r="D932" s="24">
        <v>84.97</v>
      </c>
      <c r="E932" s="24">
        <v>15.29</v>
      </c>
      <c r="F932" s="23">
        <f>COUNTIFS(mdr_rate_cleaned!$A$2:$A$10,B932,mdr_rate_cleaned!$B$2:$B$10,"&lt;"&amp;C932,mdr_rate_cleaned!$F$2:$F$10,"&gt;="&amp;C932)</f>
        <v>1</v>
      </c>
      <c r="G932" s="40">
        <f>SUMIFS(mdr_rate_cleaned!$G$2:$G$10,mdr_rate_cleaned!$A$2:$A$10,B932,mdr_rate_cleaned!$B$2:$B$10,"&lt;"&amp;C932,mdr_rate_cleaned!$F$2:$F$10,"&gt;="&amp;C932)</f>
        <v>1.7000000000000001E-2</v>
      </c>
      <c r="H932" s="24">
        <f t="shared" si="70"/>
        <v>84.97</v>
      </c>
      <c r="I932" s="23" t="str">
        <f t="shared" si="71"/>
        <v>Match</v>
      </c>
      <c r="J932" s="23" t="str">
        <f t="shared" si="72"/>
        <v>Match</v>
      </c>
      <c r="K932" s="24">
        <f t="shared" si="73"/>
        <v>15.29</v>
      </c>
      <c r="L932" s="24">
        <f t="shared" si="74"/>
        <v>0</v>
      </c>
    </row>
    <row r="933" spans="1:12" ht="15" customHeight="1" x14ac:dyDescent="0.3">
      <c r="A933" s="23" t="s">
        <v>13507</v>
      </c>
      <c r="B933" s="23" t="s">
        <v>75</v>
      </c>
      <c r="C933" s="39">
        <v>4597</v>
      </c>
      <c r="D933" s="24">
        <v>13.79</v>
      </c>
      <c r="E933" s="24">
        <v>2.48</v>
      </c>
      <c r="F933" s="23">
        <f>COUNTIFS(mdr_rate_cleaned!$A$2:$A$10,B933,mdr_rate_cleaned!$B$2:$B$10,"&lt;"&amp;C933,mdr_rate_cleaned!$F$2:$F$10,"&gt;="&amp;C933)</f>
        <v>1</v>
      </c>
      <c r="G933" s="40">
        <f>SUMIFS(mdr_rate_cleaned!$G$2:$G$10,mdr_rate_cleaned!$A$2:$A$10,B933,mdr_rate_cleaned!$B$2:$B$10,"&lt;"&amp;C933,mdr_rate_cleaned!$F$2:$F$10,"&gt;="&amp;C933)</f>
        <v>3.0000000000000001E-3</v>
      </c>
      <c r="H933" s="24">
        <f t="shared" si="70"/>
        <v>13.79</v>
      </c>
      <c r="I933" s="23" t="str">
        <f t="shared" si="71"/>
        <v>Match</v>
      </c>
      <c r="J933" s="23" t="str">
        <f t="shared" si="72"/>
        <v>Match</v>
      </c>
      <c r="K933" s="24">
        <f t="shared" si="73"/>
        <v>2.48</v>
      </c>
      <c r="L933" s="24">
        <f t="shared" si="74"/>
        <v>0</v>
      </c>
    </row>
    <row r="934" spans="1:12" ht="15" customHeight="1" x14ac:dyDescent="0.3">
      <c r="A934" s="23" t="s">
        <v>13508</v>
      </c>
      <c r="B934" s="23" t="s">
        <v>79</v>
      </c>
      <c r="C934" s="39">
        <v>5998</v>
      </c>
      <c r="D934" s="24">
        <v>95.97</v>
      </c>
      <c r="E934" s="24">
        <v>17.27</v>
      </c>
      <c r="F934" s="23">
        <f>COUNTIFS(mdr_rate_cleaned!$A$2:$A$10,B934,mdr_rate_cleaned!$B$2:$B$10,"&lt;"&amp;C934,mdr_rate_cleaned!$F$2:$F$10,"&gt;="&amp;C934)</f>
        <v>1</v>
      </c>
      <c r="G934" s="40">
        <f>SUMIFS(mdr_rate_cleaned!$G$2:$G$10,mdr_rate_cleaned!$A$2:$A$10,B934,mdr_rate_cleaned!$B$2:$B$10,"&lt;"&amp;C934,mdr_rate_cleaned!$F$2:$F$10,"&gt;="&amp;C934)</f>
        <v>1.6E-2</v>
      </c>
      <c r="H934" s="24">
        <f t="shared" si="70"/>
        <v>95.97</v>
      </c>
      <c r="I934" s="23" t="str">
        <f t="shared" si="71"/>
        <v>Match</v>
      </c>
      <c r="J934" s="23" t="str">
        <f t="shared" si="72"/>
        <v>Match</v>
      </c>
      <c r="K934" s="24">
        <f t="shared" si="73"/>
        <v>17.27</v>
      </c>
      <c r="L934" s="24">
        <f t="shared" si="74"/>
        <v>0</v>
      </c>
    </row>
    <row r="935" spans="1:12" ht="15" customHeight="1" x14ac:dyDescent="0.3">
      <c r="A935" s="23" t="s">
        <v>13509</v>
      </c>
      <c r="B935" s="23" t="s">
        <v>75</v>
      </c>
      <c r="C935" s="39">
        <v>1798</v>
      </c>
      <c r="D935" s="24">
        <v>0</v>
      </c>
      <c r="E935" s="24">
        <v>0</v>
      </c>
      <c r="F935" s="23">
        <f>COUNTIFS(mdr_rate_cleaned!$A$2:$A$10,B935,mdr_rate_cleaned!$B$2:$B$10,"&lt;"&amp;C935,mdr_rate_cleaned!$F$2:$F$10,"&gt;="&amp;C935)</f>
        <v>1</v>
      </c>
      <c r="G935" s="40">
        <f>SUMIFS(mdr_rate_cleaned!$G$2:$G$10,mdr_rate_cleaned!$A$2:$A$10,B935,mdr_rate_cleaned!$B$2:$B$10,"&lt;"&amp;C935,mdr_rate_cleaned!$F$2:$F$10,"&gt;="&amp;C935)</f>
        <v>0</v>
      </c>
      <c r="H935" s="24">
        <f t="shared" si="70"/>
        <v>0</v>
      </c>
      <c r="I935" s="23" t="str">
        <f t="shared" si="71"/>
        <v>Match</v>
      </c>
      <c r="J935" s="23" t="str">
        <f t="shared" si="72"/>
        <v>Match</v>
      </c>
      <c r="K935" s="24">
        <f t="shared" si="73"/>
        <v>0</v>
      </c>
      <c r="L935" s="24">
        <f t="shared" si="74"/>
        <v>0</v>
      </c>
    </row>
    <row r="936" spans="1:12" ht="15" customHeight="1" x14ac:dyDescent="0.3">
      <c r="A936" s="23" t="s">
        <v>13510</v>
      </c>
      <c r="B936" s="23" t="s">
        <v>75</v>
      </c>
      <c r="C936" s="39">
        <v>7999</v>
      </c>
      <c r="D936" s="24">
        <v>24</v>
      </c>
      <c r="E936" s="24">
        <v>4.32</v>
      </c>
      <c r="F936" s="23">
        <f>COUNTIFS(mdr_rate_cleaned!$A$2:$A$10,B936,mdr_rate_cleaned!$B$2:$B$10,"&lt;"&amp;C936,mdr_rate_cleaned!$F$2:$F$10,"&gt;="&amp;C936)</f>
        <v>1</v>
      </c>
      <c r="G936" s="40">
        <f>SUMIFS(mdr_rate_cleaned!$G$2:$G$10,mdr_rate_cleaned!$A$2:$A$10,B936,mdr_rate_cleaned!$B$2:$B$10,"&lt;"&amp;C936,mdr_rate_cleaned!$F$2:$F$10,"&gt;="&amp;C936)</f>
        <v>3.0000000000000001E-3</v>
      </c>
      <c r="H936" s="24">
        <f t="shared" si="70"/>
        <v>24</v>
      </c>
      <c r="I936" s="23" t="str">
        <f t="shared" si="71"/>
        <v>Match</v>
      </c>
      <c r="J936" s="23" t="str">
        <f t="shared" si="72"/>
        <v>Match</v>
      </c>
      <c r="K936" s="24">
        <f t="shared" si="73"/>
        <v>4.32</v>
      </c>
      <c r="L936" s="24">
        <f t="shared" si="74"/>
        <v>0</v>
      </c>
    </row>
    <row r="937" spans="1:12" ht="15" customHeight="1" x14ac:dyDescent="0.3">
      <c r="A937" s="23" t="s">
        <v>13511</v>
      </c>
      <c r="B937" s="23" t="s">
        <v>79</v>
      </c>
      <c r="C937" s="39">
        <v>799</v>
      </c>
      <c r="D937" s="24">
        <v>14.38</v>
      </c>
      <c r="E937" s="24">
        <v>2.59</v>
      </c>
      <c r="F937" s="23">
        <f>COUNTIFS(mdr_rate_cleaned!$A$2:$A$10,B937,mdr_rate_cleaned!$B$2:$B$10,"&lt;"&amp;C937,mdr_rate_cleaned!$F$2:$F$10,"&gt;="&amp;C937)</f>
        <v>1</v>
      </c>
      <c r="G937" s="40">
        <f>SUMIFS(mdr_rate_cleaned!$G$2:$G$10,mdr_rate_cleaned!$A$2:$A$10,B937,mdr_rate_cleaned!$B$2:$B$10,"&lt;"&amp;C937,mdr_rate_cleaned!$F$2:$F$10,"&gt;="&amp;C937)</f>
        <v>1.8000000000000002E-2</v>
      </c>
      <c r="H937" s="24">
        <f t="shared" si="70"/>
        <v>14.38</v>
      </c>
      <c r="I937" s="23" t="str">
        <f t="shared" si="71"/>
        <v>Match</v>
      </c>
      <c r="J937" s="23" t="str">
        <f t="shared" si="72"/>
        <v>Match</v>
      </c>
      <c r="K937" s="24">
        <f t="shared" si="73"/>
        <v>2.59</v>
      </c>
      <c r="L937" s="24">
        <f t="shared" si="74"/>
        <v>0</v>
      </c>
    </row>
    <row r="938" spans="1:12" ht="15" customHeight="1" x14ac:dyDescent="0.3">
      <c r="A938" s="23" t="s">
        <v>13512</v>
      </c>
      <c r="B938" s="23" t="s">
        <v>81</v>
      </c>
      <c r="C938" s="39">
        <v>6298</v>
      </c>
      <c r="D938" s="24">
        <v>75.58</v>
      </c>
      <c r="E938" s="24">
        <v>13.6</v>
      </c>
      <c r="F938" s="23">
        <f>COUNTIFS(mdr_rate_cleaned!$A$2:$A$10,B938,mdr_rate_cleaned!$B$2:$B$10,"&lt;"&amp;C938,mdr_rate_cleaned!$F$2:$F$10,"&gt;="&amp;C938)</f>
        <v>1</v>
      </c>
      <c r="G938" s="40">
        <f>SUMIFS(mdr_rate_cleaned!$G$2:$G$10,mdr_rate_cleaned!$A$2:$A$10,B938,mdr_rate_cleaned!$B$2:$B$10,"&lt;"&amp;C938,mdr_rate_cleaned!$F$2:$F$10,"&gt;="&amp;C938)</f>
        <v>1.2E-2</v>
      </c>
      <c r="H938" s="24">
        <f t="shared" si="70"/>
        <v>75.58</v>
      </c>
      <c r="I938" s="23" t="str">
        <f t="shared" si="71"/>
        <v>Match</v>
      </c>
      <c r="J938" s="23" t="str">
        <f t="shared" si="72"/>
        <v>Match</v>
      </c>
      <c r="K938" s="24">
        <f t="shared" si="73"/>
        <v>13.6</v>
      </c>
      <c r="L938" s="24">
        <f t="shared" si="74"/>
        <v>0</v>
      </c>
    </row>
    <row r="939" spans="1:12" ht="15" customHeight="1" x14ac:dyDescent="0.3">
      <c r="A939" s="23" t="s">
        <v>13513</v>
      </c>
      <c r="B939" s="23" t="s">
        <v>75</v>
      </c>
      <c r="C939" s="39">
        <v>1998</v>
      </c>
      <c r="D939" s="24">
        <v>0</v>
      </c>
      <c r="E939" s="24">
        <v>0</v>
      </c>
      <c r="F939" s="23">
        <f>COUNTIFS(mdr_rate_cleaned!$A$2:$A$10,B939,mdr_rate_cleaned!$B$2:$B$10,"&lt;"&amp;C939,mdr_rate_cleaned!$F$2:$F$10,"&gt;="&amp;C939)</f>
        <v>1</v>
      </c>
      <c r="G939" s="40">
        <f>SUMIFS(mdr_rate_cleaned!$G$2:$G$10,mdr_rate_cleaned!$A$2:$A$10,B939,mdr_rate_cleaned!$B$2:$B$10,"&lt;"&amp;C939,mdr_rate_cleaned!$F$2:$F$10,"&gt;="&amp;C939)</f>
        <v>0</v>
      </c>
      <c r="H939" s="24">
        <f t="shared" si="70"/>
        <v>0</v>
      </c>
      <c r="I939" s="23" t="str">
        <f t="shared" si="71"/>
        <v>Match</v>
      </c>
      <c r="J939" s="23" t="str">
        <f t="shared" si="72"/>
        <v>Match</v>
      </c>
      <c r="K939" s="24">
        <f t="shared" si="73"/>
        <v>0</v>
      </c>
      <c r="L939" s="24">
        <f t="shared" si="74"/>
        <v>0</v>
      </c>
    </row>
    <row r="940" spans="1:12" ht="15" customHeight="1" x14ac:dyDescent="0.3">
      <c r="A940" s="23" t="s">
        <v>13514</v>
      </c>
      <c r="B940" s="23" t="s">
        <v>75</v>
      </c>
      <c r="C940" s="39">
        <v>349</v>
      </c>
      <c r="D940" s="24">
        <v>0</v>
      </c>
      <c r="E940" s="24">
        <v>0</v>
      </c>
      <c r="F940" s="23">
        <f>COUNTIFS(mdr_rate_cleaned!$A$2:$A$10,B940,mdr_rate_cleaned!$B$2:$B$10,"&lt;"&amp;C940,mdr_rate_cleaned!$F$2:$F$10,"&gt;="&amp;C940)</f>
        <v>1</v>
      </c>
      <c r="G940" s="40">
        <f>SUMIFS(mdr_rate_cleaned!$G$2:$G$10,mdr_rate_cleaned!$A$2:$A$10,B940,mdr_rate_cleaned!$B$2:$B$10,"&lt;"&amp;C940,mdr_rate_cleaned!$F$2:$F$10,"&gt;="&amp;C940)</f>
        <v>0</v>
      </c>
      <c r="H940" s="24">
        <f t="shared" si="70"/>
        <v>0</v>
      </c>
      <c r="I940" s="23" t="str">
        <f t="shared" si="71"/>
        <v>Match</v>
      </c>
      <c r="J940" s="23" t="str">
        <f t="shared" si="72"/>
        <v>Match</v>
      </c>
      <c r="K940" s="24">
        <f t="shared" si="73"/>
        <v>0</v>
      </c>
      <c r="L940" s="24">
        <f t="shared" si="74"/>
        <v>0</v>
      </c>
    </row>
    <row r="941" spans="1:12" ht="15" customHeight="1" x14ac:dyDescent="0.3">
      <c r="A941" s="23" t="s">
        <v>13515</v>
      </c>
      <c r="B941" s="23" t="s">
        <v>75</v>
      </c>
      <c r="C941" s="39">
        <v>1299</v>
      </c>
      <c r="D941" s="24">
        <v>0</v>
      </c>
      <c r="E941" s="24">
        <v>0</v>
      </c>
      <c r="F941" s="23">
        <f>COUNTIFS(mdr_rate_cleaned!$A$2:$A$10,B941,mdr_rate_cleaned!$B$2:$B$10,"&lt;"&amp;C941,mdr_rate_cleaned!$F$2:$F$10,"&gt;="&amp;C941)</f>
        <v>1</v>
      </c>
      <c r="G941" s="40">
        <f>SUMIFS(mdr_rate_cleaned!$G$2:$G$10,mdr_rate_cleaned!$A$2:$A$10,B941,mdr_rate_cleaned!$B$2:$B$10,"&lt;"&amp;C941,mdr_rate_cleaned!$F$2:$F$10,"&gt;="&amp;C941)</f>
        <v>0</v>
      </c>
      <c r="H941" s="24">
        <f t="shared" si="70"/>
        <v>0</v>
      </c>
      <c r="I941" s="23" t="str">
        <f t="shared" si="71"/>
        <v>Match</v>
      </c>
      <c r="J941" s="23" t="str">
        <f t="shared" si="72"/>
        <v>Match</v>
      </c>
      <c r="K941" s="24">
        <f t="shared" si="73"/>
        <v>0</v>
      </c>
      <c r="L941" s="24">
        <f t="shared" si="74"/>
        <v>0</v>
      </c>
    </row>
    <row r="942" spans="1:12" ht="15" customHeight="1" x14ac:dyDescent="0.3">
      <c r="A942" s="23" t="s">
        <v>13516</v>
      </c>
      <c r="B942" s="23" t="s">
        <v>75</v>
      </c>
      <c r="C942" s="39">
        <v>1848</v>
      </c>
      <c r="D942" s="24">
        <v>0</v>
      </c>
      <c r="E942" s="24">
        <v>0</v>
      </c>
      <c r="F942" s="23">
        <f>COUNTIFS(mdr_rate_cleaned!$A$2:$A$10,B942,mdr_rate_cleaned!$B$2:$B$10,"&lt;"&amp;C942,mdr_rate_cleaned!$F$2:$F$10,"&gt;="&amp;C942)</f>
        <v>1</v>
      </c>
      <c r="G942" s="40">
        <f>SUMIFS(mdr_rate_cleaned!$G$2:$G$10,mdr_rate_cleaned!$A$2:$A$10,B942,mdr_rate_cleaned!$B$2:$B$10,"&lt;"&amp;C942,mdr_rate_cleaned!$F$2:$F$10,"&gt;="&amp;C942)</f>
        <v>0</v>
      </c>
      <c r="H942" s="24">
        <f t="shared" si="70"/>
        <v>0</v>
      </c>
      <c r="I942" s="23" t="str">
        <f t="shared" si="71"/>
        <v>Match</v>
      </c>
      <c r="J942" s="23" t="str">
        <f t="shared" si="72"/>
        <v>Match</v>
      </c>
      <c r="K942" s="24">
        <f t="shared" si="73"/>
        <v>0</v>
      </c>
      <c r="L942" s="24">
        <f t="shared" si="74"/>
        <v>0</v>
      </c>
    </row>
    <row r="943" spans="1:12" ht="15" customHeight="1" x14ac:dyDescent="0.3">
      <c r="A943" s="23" t="s">
        <v>13517</v>
      </c>
      <c r="B943" s="23" t="s">
        <v>75</v>
      </c>
      <c r="C943" s="39">
        <v>799</v>
      </c>
      <c r="D943" s="24">
        <v>0</v>
      </c>
      <c r="E943" s="24">
        <v>0</v>
      </c>
      <c r="F943" s="23">
        <f>COUNTIFS(mdr_rate_cleaned!$A$2:$A$10,B943,mdr_rate_cleaned!$B$2:$B$10,"&lt;"&amp;C943,mdr_rate_cleaned!$F$2:$F$10,"&gt;="&amp;C943)</f>
        <v>1</v>
      </c>
      <c r="G943" s="40">
        <f>SUMIFS(mdr_rate_cleaned!$G$2:$G$10,mdr_rate_cleaned!$A$2:$A$10,B943,mdr_rate_cleaned!$B$2:$B$10,"&lt;"&amp;C943,mdr_rate_cleaned!$F$2:$F$10,"&gt;="&amp;C943)</f>
        <v>0</v>
      </c>
      <c r="H943" s="24">
        <f t="shared" si="70"/>
        <v>0</v>
      </c>
      <c r="I943" s="23" t="str">
        <f t="shared" si="71"/>
        <v>Match</v>
      </c>
      <c r="J943" s="23" t="str">
        <f t="shared" si="72"/>
        <v>Match</v>
      </c>
      <c r="K943" s="24">
        <f t="shared" si="73"/>
        <v>0</v>
      </c>
      <c r="L943" s="24">
        <f t="shared" si="74"/>
        <v>0</v>
      </c>
    </row>
    <row r="944" spans="1:12" ht="15" customHeight="1" x14ac:dyDescent="0.3">
      <c r="A944" s="23" t="s">
        <v>13518</v>
      </c>
      <c r="B944" s="23" t="s">
        <v>75</v>
      </c>
      <c r="C944" s="39">
        <v>999</v>
      </c>
      <c r="D944" s="24">
        <v>0</v>
      </c>
      <c r="E944" s="24">
        <v>0</v>
      </c>
      <c r="F944" s="23">
        <f>COUNTIFS(mdr_rate_cleaned!$A$2:$A$10,B944,mdr_rate_cleaned!$B$2:$B$10,"&lt;"&amp;C944,mdr_rate_cleaned!$F$2:$F$10,"&gt;="&amp;C944)</f>
        <v>1</v>
      </c>
      <c r="G944" s="40">
        <f>SUMIFS(mdr_rate_cleaned!$G$2:$G$10,mdr_rate_cleaned!$A$2:$A$10,B944,mdr_rate_cleaned!$B$2:$B$10,"&lt;"&amp;C944,mdr_rate_cleaned!$F$2:$F$10,"&gt;="&amp;C944)</f>
        <v>0</v>
      </c>
      <c r="H944" s="24">
        <f t="shared" si="70"/>
        <v>0</v>
      </c>
      <c r="I944" s="23" t="str">
        <f t="shared" si="71"/>
        <v>Match</v>
      </c>
      <c r="J944" s="23" t="str">
        <f t="shared" si="72"/>
        <v>Match</v>
      </c>
      <c r="K944" s="24">
        <f t="shared" si="73"/>
        <v>0</v>
      </c>
      <c r="L944" s="24">
        <f t="shared" si="74"/>
        <v>0</v>
      </c>
    </row>
    <row r="945" spans="1:12" ht="15" customHeight="1" x14ac:dyDescent="0.3">
      <c r="A945" s="23" t="s">
        <v>13519</v>
      </c>
      <c r="B945" s="23" t="s">
        <v>75</v>
      </c>
      <c r="C945" s="39">
        <v>5097</v>
      </c>
      <c r="D945" s="24">
        <v>15.29</v>
      </c>
      <c r="E945" s="24">
        <v>2.75</v>
      </c>
      <c r="F945" s="23">
        <f>COUNTIFS(mdr_rate_cleaned!$A$2:$A$10,B945,mdr_rate_cleaned!$B$2:$B$10,"&lt;"&amp;C945,mdr_rate_cleaned!$F$2:$F$10,"&gt;="&amp;C945)</f>
        <v>1</v>
      </c>
      <c r="G945" s="40">
        <f>SUMIFS(mdr_rate_cleaned!$G$2:$G$10,mdr_rate_cleaned!$A$2:$A$10,B945,mdr_rate_cleaned!$B$2:$B$10,"&lt;"&amp;C945,mdr_rate_cleaned!$F$2:$F$10,"&gt;="&amp;C945)</f>
        <v>3.0000000000000001E-3</v>
      </c>
      <c r="H945" s="24">
        <f t="shared" si="70"/>
        <v>15.29</v>
      </c>
      <c r="I945" s="23" t="str">
        <f t="shared" si="71"/>
        <v>Match</v>
      </c>
      <c r="J945" s="23" t="str">
        <f t="shared" si="72"/>
        <v>Match</v>
      </c>
      <c r="K945" s="24">
        <f t="shared" si="73"/>
        <v>2.75</v>
      </c>
      <c r="L945" s="24">
        <f t="shared" si="74"/>
        <v>0</v>
      </c>
    </row>
    <row r="946" spans="1:12" ht="15" customHeight="1" x14ac:dyDescent="0.3">
      <c r="A946" s="23" t="s">
        <v>13520</v>
      </c>
      <c r="B946" s="23" t="s">
        <v>79</v>
      </c>
      <c r="C946" s="39">
        <v>7999</v>
      </c>
      <c r="D946" s="24">
        <v>127.98</v>
      </c>
      <c r="E946" s="24">
        <v>23.04</v>
      </c>
      <c r="F946" s="23">
        <f>COUNTIFS(mdr_rate_cleaned!$A$2:$A$10,B946,mdr_rate_cleaned!$B$2:$B$10,"&lt;"&amp;C946,mdr_rate_cleaned!$F$2:$F$10,"&gt;="&amp;C946)</f>
        <v>1</v>
      </c>
      <c r="G946" s="40">
        <f>SUMIFS(mdr_rate_cleaned!$G$2:$G$10,mdr_rate_cleaned!$A$2:$A$10,B946,mdr_rate_cleaned!$B$2:$B$10,"&lt;"&amp;C946,mdr_rate_cleaned!$F$2:$F$10,"&gt;="&amp;C946)</f>
        <v>1.6E-2</v>
      </c>
      <c r="H946" s="24">
        <f t="shared" si="70"/>
        <v>127.98</v>
      </c>
      <c r="I946" s="23" t="str">
        <f t="shared" si="71"/>
        <v>Match</v>
      </c>
      <c r="J946" s="23" t="str">
        <f t="shared" si="72"/>
        <v>Match</v>
      </c>
      <c r="K946" s="24">
        <f t="shared" si="73"/>
        <v>23.04</v>
      </c>
      <c r="L946" s="24">
        <f t="shared" si="74"/>
        <v>0</v>
      </c>
    </row>
    <row r="947" spans="1:12" ht="15" customHeight="1" x14ac:dyDescent="0.3">
      <c r="A947" s="23" t="s">
        <v>13522</v>
      </c>
      <c r="B947" s="23" t="s">
        <v>75</v>
      </c>
      <c r="C947" s="39">
        <v>4999</v>
      </c>
      <c r="D947" s="24">
        <v>15</v>
      </c>
      <c r="E947" s="24">
        <v>2.7</v>
      </c>
      <c r="F947" s="23">
        <f>COUNTIFS(mdr_rate_cleaned!$A$2:$A$10,B947,mdr_rate_cleaned!$B$2:$B$10,"&lt;"&amp;C947,mdr_rate_cleaned!$F$2:$F$10,"&gt;="&amp;C947)</f>
        <v>1</v>
      </c>
      <c r="G947" s="40">
        <f>SUMIFS(mdr_rate_cleaned!$G$2:$G$10,mdr_rate_cleaned!$A$2:$A$10,B947,mdr_rate_cleaned!$B$2:$B$10,"&lt;"&amp;C947,mdr_rate_cleaned!$F$2:$F$10,"&gt;="&amp;C947)</f>
        <v>3.0000000000000001E-3</v>
      </c>
      <c r="H947" s="24">
        <f t="shared" si="70"/>
        <v>15</v>
      </c>
      <c r="I947" s="23" t="str">
        <f t="shared" si="71"/>
        <v>Match</v>
      </c>
      <c r="J947" s="23" t="str">
        <f t="shared" si="72"/>
        <v>Match</v>
      </c>
      <c r="K947" s="24">
        <f t="shared" si="73"/>
        <v>2.7</v>
      </c>
      <c r="L947" s="24">
        <f t="shared" si="74"/>
        <v>0</v>
      </c>
    </row>
    <row r="948" spans="1:12" ht="15" customHeight="1" x14ac:dyDescent="0.3">
      <c r="A948" s="23" t="s">
        <v>13523</v>
      </c>
      <c r="B948" s="23" t="s">
        <v>79</v>
      </c>
      <c r="C948" s="39">
        <v>12297</v>
      </c>
      <c r="D948" s="24">
        <v>196.75</v>
      </c>
      <c r="E948" s="24">
        <v>35.42</v>
      </c>
      <c r="F948" s="23">
        <f>COUNTIFS(mdr_rate_cleaned!$A$2:$A$10,B948,mdr_rate_cleaned!$B$2:$B$10,"&lt;"&amp;C948,mdr_rate_cleaned!$F$2:$F$10,"&gt;="&amp;C948)</f>
        <v>1</v>
      </c>
      <c r="G948" s="40">
        <f>SUMIFS(mdr_rate_cleaned!$G$2:$G$10,mdr_rate_cleaned!$A$2:$A$10,B948,mdr_rate_cleaned!$B$2:$B$10,"&lt;"&amp;C948,mdr_rate_cleaned!$F$2:$F$10,"&gt;="&amp;C948)</f>
        <v>1.6E-2</v>
      </c>
      <c r="H948" s="24">
        <f t="shared" si="70"/>
        <v>196.75</v>
      </c>
      <c r="I948" s="23" t="str">
        <f t="shared" si="71"/>
        <v>Match</v>
      </c>
      <c r="J948" s="23" t="str">
        <f t="shared" si="72"/>
        <v>Match</v>
      </c>
      <c r="K948" s="24">
        <f t="shared" si="73"/>
        <v>35.42</v>
      </c>
      <c r="L948" s="24">
        <f t="shared" si="74"/>
        <v>0</v>
      </c>
    </row>
    <row r="949" spans="1:12" ht="15" customHeight="1" x14ac:dyDescent="0.3">
      <c r="A949" s="23" t="s">
        <v>13524</v>
      </c>
      <c r="B949" s="23" t="s">
        <v>75</v>
      </c>
      <c r="C949" s="39">
        <v>4498</v>
      </c>
      <c r="D949" s="24">
        <v>13.49</v>
      </c>
      <c r="E949" s="24">
        <v>2.4300000000000002</v>
      </c>
      <c r="F949" s="23">
        <f>COUNTIFS(mdr_rate_cleaned!$A$2:$A$10,B949,mdr_rate_cleaned!$B$2:$B$10,"&lt;"&amp;C949,mdr_rate_cleaned!$F$2:$F$10,"&gt;="&amp;C949)</f>
        <v>1</v>
      </c>
      <c r="G949" s="40">
        <f>SUMIFS(mdr_rate_cleaned!$G$2:$G$10,mdr_rate_cleaned!$A$2:$A$10,B949,mdr_rate_cleaned!$B$2:$B$10,"&lt;"&amp;C949,mdr_rate_cleaned!$F$2:$F$10,"&gt;="&amp;C949)</f>
        <v>3.0000000000000001E-3</v>
      </c>
      <c r="H949" s="24">
        <f t="shared" si="70"/>
        <v>13.49</v>
      </c>
      <c r="I949" s="23" t="str">
        <f t="shared" si="71"/>
        <v>Match</v>
      </c>
      <c r="J949" s="23" t="str">
        <f t="shared" si="72"/>
        <v>Match</v>
      </c>
      <c r="K949" s="24">
        <f t="shared" si="73"/>
        <v>2.4300000000000002</v>
      </c>
      <c r="L949" s="24">
        <f t="shared" si="74"/>
        <v>0</v>
      </c>
    </row>
    <row r="950" spans="1:12" ht="15" customHeight="1" x14ac:dyDescent="0.3">
      <c r="A950" s="23" t="s">
        <v>13525</v>
      </c>
      <c r="B950" s="23" t="s">
        <v>75</v>
      </c>
      <c r="C950" s="39">
        <v>1998</v>
      </c>
      <c r="D950" s="24">
        <v>0</v>
      </c>
      <c r="E950" s="24">
        <v>0</v>
      </c>
      <c r="F950" s="23">
        <f>COUNTIFS(mdr_rate_cleaned!$A$2:$A$10,B950,mdr_rate_cleaned!$B$2:$B$10,"&lt;"&amp;C950,mdr_rate_cleaned!$F$2:$F$10,"&gt;="&amp;C950)</f>
        <v>1</v>
      </c>
      <c r="G950" s="40">
        <f>SUMIFS(mdr_rate_cleaned!$G$2:$G$10,mdr_rate_cleaned!$A$2:$A$10,B950,mdr_rate_cleaned!$B$2:$B$10,"&lt;"&amp;C950,mdr_rate_cleaned!$F$2:$F$10,"&gt;="&amp;C950)</f>
        <v>0</v>
      </c>
      <c r="H950" s="24">
        <f t="shared" si="70"/>
        <v>0</v>
      </c>
      <c r="I950" s="23" t="str">
        <f t="shared" si="71"/>
        <v>Match</v>
      </c>
      <c r="J950" s="23" t="str">
        <f t="shared" si="72"/>
        <v>Match</v>
      </c>
      <c r="K950" s="24">
        <f t="shared" si="73"/>
        <v>0</v>
      </c>
      <c r="L950" s="24">
        <f t="shared" si="74"/>
        <v>0</v>
      </c>
    </row>
    <row r="951" spans="1:12" ht="15" customHeight="1" x14ac:dyDescent="0.3">
      <c r="A951" s="23" t="s">
        <v>13526</v>
      </c>
      <c r="B951" s="23" t="s">
        <v>79</v>
      </c>
      <c r="C951" s="39">
        <v>349</v>
      </c>
      <c r="D951" s="24">
        <v>6.28</v>
      </c>
      <c r="E951" s="24">
        <v>1.1299999999999999</v>
      </c>
      <c r="F951" s="23">
        <f>COUNTIFS(mdr_rate_cleaned!$A$2:$A$10,B951,mdr_rate_cleaned!$B$2:$B$10,"&lt;"&amp;C951,mdr_rate_cleaned!$F$2:$F$10,"&gt;="&amp;C951)</f>
        <v>1</v>
      </c>
      <c r="G951" s="40">
        <f>SUMIFS(mdr_rate_cleaned!$G$2:$G$10,mdr_rate_cleaned!$A$2:$A$10,B951,mdr_rate_cleaned!$B$2:$B$10,"&lt;"&amp;C951,mdr_rate_cleaned!$F$2:$F$10,"&gt;="&amp;C951)</f>
        <v>1.8000000000000002E-2</v>
      </c>
      <c r="H951" s="24">
        <f t="shared" si="70"/>
        <v>6.28</v>
      </c>
      <c r="I951" s="23" t="str">
        <f t="shared" si="71"/>
        <v>Match</v>
      </c>
      <c r="J951" s="23" t="str">
        <f t="shared" si="72"/>
        <v>Match</v>
      </c>
      <c r="K951" s="24">
        <f t="shared" si="73"/>
        <v>1.1299999999999999</v>
      </c>
      <c r="L951" s="24">
        <f t="shared" si="74"/>
        <v>0</v>
      </c>
    </row>
    <row r="952" spans="1:12" ht="15" customHeight="1" x14ac:dyDescent="0.3">
      <c r="A952" s="23" t="s">
        <v>13527</v>
      </c>
      <c r="B952" s="23" t="s">
        <v>79</v>
      </c>
      <c r="C952" s="39">
        <v>3498</v>
      </c>
      <c r="D952" s="24">
        <v>55.97</v>
      </c>
      <c r="E952" s="24">
        <v>10.07</v>
      </c>
      <c r="F952" s="23">
        <f>COUNTIFS(mdr_rate_cleaned!$A$2:$A$10,B952,mdr_rate_cleaned!$B$2:$B$10,"&lt;"&amp;C952,mdr_rate_cleaned!$F$2:$F$10,"&gt;="&amp;C952)</f>
        <v>1</v>
      </c>
      <c r="G952" s="40">
        <f>SUMIFS(mdr_rate_cleaned!$G$2:$G$10,mdr_rate_cleaned!$A$2:$A$10,B952,mdr_rate_cleaned!$B$2:$B$10,"&lt;"&amp;C952,mdr_rate_cleaned!$F$2:$F$10,"&gt;="&amp;C952)</f>
        <v>1.6E-2</v>
      </c>
      <c r="H952" s="24">
        <f t="shared" si="70"/>
        <v>55.97</v>
      </c>
      <c r="I952" s="23" t="str">
        <f t="shared" si="71"/>
        <v>Match</v>
      </c>
      <c r="J952" s="23" t="str">
        <f t="shared" si="72"/>
        <v>Match</v>
      </c>
      <c r="K952" s="24">
        <f t="shared" si="73"/>
        <v>10.07</v>
      </c>
      <c r="L952" s="24">
        <f t="shared" si="74"/>
        <v>0</v>
      </c>
    </row>
    <row r="953" spans="1:12" ht="15" customHeight="1" x14ac:dyDescent="0.3">
      <c r="A953" s="23" t="s">
        <v>13528</v>
      </c>
      <c r="B953" s="23" t="s">
        <v>81</v>
      </c>
      <c r="C953" s="39">
        <v>599</v>
      </c>
      <c r="D953" s="24">
        <v>8.99</v>
      </c>
      <c r="E953" s="24">
        <v>1.62</v>
      </c>
      <c r="F953" s="23">
        <f>COUNTIFS(mdr_rate_cleaned!$A$2:$A$10,B953,mdr_rate_cleaned!$B$2:$B$10,"&lt;"&amp;C953,mdr_rate_cleaned!$F$2:$F$10,"&gt;="&amp;C953)</f>
        <v>1</v>
      </c>
      <c r="G953" s="40">
        <f>SUMIFS(mdr_rate_cleaned!$G$2:$G$10,mdr_rate_cleaned!$A$2:$A$10,B953,mdr_rate_cleaned!$B$2:$B$10,"&lt;"&amp;C953,mdr_rate_cleaned!$F$2:$F$10,"&gt;="&amp;C953)</f>
        <v>1.4999999999999999E-2</v>
      </c>
      <c r="H953" s="24">
        <f t="shared" si="70"/>
        <v>8.99</v>
      </c>
      <c r="I953" s="23" t="str">
        <f t="shared" si="71"/>
        <v>Match</v>
      </c>
      <c r="J953" s="23" t="str">
        <f t="shared" si="72"/>
        <v>Match</v>
      </c>
      <c r="K953" s="24">
        <f t="shared" si="73"/>
        <v>1.62</v>
      </c>
      <c r="L953" s="24">
        <f t="shared" si="74"/>
        <v>0</v>
      </c>
    </row>
    <row r="954" spans="1:12" ht="15" customHeight="1" x14ac:dyDescent="0.3">
      <c r="A954" s="23" t="s">
        <v>13530</v>
      </c>
      <c r="B954" s="23" t="s">
        <v>79</v>
      </c>
      <c r="C954" s="39">
        <v>6397</v>
      </c>
      <c r="D954" s="24">
        <v>102.35</v>
      </c>
      <c r="E954" s="24">
        <v>18.420000000000002</v>
      </c>
      <c r="F954" s="23">
        <f>COUNTIFS(mdr_rate_cleaned!$A$2:$A$10,B954,mdr_rate_cleaned!$B$2:$B$10,"&lt;"&amp;C954,mdr_rate_cleaned!$F$2:$F$10,"&gt;="&amp;C954)</f>
        <v>1</v>
      </c>
      <c r="G954" s="40">
        <f>SUMIFS(mdr_rate_cleaned!$G$2:$G$10,mdr_rate_cleaned!$A$2:$A$10,B954,mdr_rate_cleaned!$B$2:$B$10,"&lt;"&amp;C954,mdr_rate_cleaned!$F$2:$F$10,"&gt;="&amp;C954)</f>
        <v>1.6E-2</v>
      </c>
      <c r="H954" s="24">
        <f t="shared" si="70"/>
        <v>102.35</v>
      </c>
      <c r="I954" s="23" t="str">
        <f t="shared" si="71"/>
        <v>Match</v>
      </c>
      <c r="J954" s="23" t="str">
        <f t="shared" si="72"/>
        <v>Match</v>
      </c>
      <c r="K954" s="24">
        <f t="shared" si="73"/>
        <v>18.420000000000002</v>
      </c>
      <c r="L954" s="24">
        <f t="shared" si="74"/>
        <v>0</v>
      </c>
    </row>
    <row r="955" spans="1:12" ht="15" customHeight="1" x14ac:dyDescent="0.3">
      <c r="A955" s="23" t="s">
        <v>13532</v>
      </c>
      <c r="B955" s="23" t="s">
        <v>75</v>
      </c>
      <c r="C955" s="39">
        <v>1799</v>
      </c>
      <c r="D955" s="24">
        <v>0</v>
      </c>
      <c r="E955" s="24">
        <v>0</v>
      </c>
      <c r="F955" s="23">
        <f>COUNTIFS(mdr_rate_cleaned!$A$2:$A$10,B955,mdr_rate_cleaned!$B$2:$B$10,"&lt;"&amp;C955,mdr_rate_cleaned!$F$2:$F$10,"&gt;="&amp;C955)</f>
        <v>1</v>
      </c>
      <c r="G955" s="40">
        <f>SUMIFS(mdr_rate_cleaned!$G$2:$G$10,mdr_rate_cleaned!$A$2:$A$10,B955,mdr_rate_cleaned!$B$2:$B$10,"&lt;"&amp;C955,mdr_rate_cleaned!$F$2:$F$10,"&gt;="&amp;C955)</f>
        <v>0</v>
      </c>
      <c r="H955" s="24">
        <f t="shared" si="70"/>
        <v>0</v>
      </c>
      <c r="I955" s="23" t="str">
        <f t="shared" si="71"/>
        <v>Match</v>
      </c>
      <c r="J955" s="23" t="str">
        <f t="shared" si="72"/>
        <v>Match</v>
      </c>
      <c r="K955" s="24">
        <f t="shared" si="73"/>
        <v>0</v>
      </c>
      <c r="L955" s="24">
        <f t="shared" si="74"/>
        <v>0</v>
      </c>
    </row>
    <row r="956" spans="1:12" ht="15" customHeight="1" x14ac:dyDescent="0.3">
      <c r="A956" s="23" t="s">
        <v>13533</v>
      </c>
      <c r="B956" s="23" t="s">
        <v>75</v>
      </c>
      <c r="C956" s="39">
        <v>9997</v>
      </c>
      <c r="D956" s="24">
        <v>29.99</v>
      </c>
      <c r="E956" s="24">
        <v>5.4</v>
      </c>
      <c r="F956" s="23">
        <f>COUNTIFS(mdr_rate_cleaned!$A$2:$A$10,B956,mdr_rate_cleaned!$B$2:$B$10,"&lt;"&amp;C956,mdr_rate_cleaned!$F$2:$F$10,"&gt;="&amp;C956)</f>
        <v>1</v>
      </c>
      <c r="G956" s="40">
        <f>SUMIFS(mdr_rate_cleaned!$G$2:$G$10,mdr_rate_cleaned!$A$2:$A$10,B956,mdr_rate_cleaned!$B$2:$B$10,"&lt;"&amp;C956,mdr_rate_cleaned!$F$2:$F$10,"&gt;="&amp;C956)</f>
        <v>3.0000000000000001E-3</v>
      </c>
      <c r="H956" s="24">
        <f t="shared" si="70"/>
        <v>29.99</v>
      </c>
      <c r="I956" s="23" t="str">
        <f t="shared" si="71"/>
        <v>Match</v>
      </c>
      <c r="J956" s="23" t="str">
        <f t="shared" si="72"/>
        <v>Match</v>
      </c>
      <c r="K956" s="24">
        <f t="shared" si="73"/>
        <v>5.4</v>
      </c>
      <c r="L956" s="24">
        <f t="shared" si="74"/>
        <v>0</v>
      </c>
    </row>
    <row r="957" spans="1:12" ht="15" customHeight="1" x14ac:dyDescent="0.3">
      <c r="A957" s="23" t="s">
        <v>13535</v>
      </c>
      <c r="B957" s="23" t="s">
        <v>75</v>
      </c>
      <c r="C957" s="39">
        <v>1799</v>
      </c>
      <c r="D957" s="24">
        <v>0</v>
      </c>
      <c r="E957" s="24">
        <v>0</v>
      </c>
      <c r="F957" s="23">
        <f>COUNTIFS(mdr_rate_cleaned!$A$2:$A$10,B957,mdr_rate_cleaned!$B$2:$B$10,"&lt;"&amp;C957,mdr_rate_cleaned!$F$2:$F$10,"&gt;="&amp;C957)</f>
        <v>1</v>
      </c>
      <c r="G957" s="40">
        <f>SUMIFS(mdr_rate_cleaned!$G$2:$G$10,mdr_rate_cleaned!$A$2:$A$10,B957,mdr_rate_cleaned!$B$2:$B$10,"&lt;"&amp;C957,mdr_rate_cleaned!$F$2:$F$10,"&gt;="&amp;C957)</f>
        <v>0</v>
      </c>
      <c r="H957" s="24">
        <f t="shared" si="70"/>
        <v>0</v>
      </c>
      <c r="I957" s="23" t="str">
        <f t="shared" si="71"/>
        <v>Match</v>
      </c>
      <c r="J957" s="23" t="str">
        <f t="shared" si="72"/>
        <v>Match</v>
      </c>
      <c r="K957" s="24">
        <f t="shared" si="73"/>
        <v>0</v>
      </c>
      <c r="L957" s="24">
        <f t="shared" si="74"/>
        <v>0</v>
      </c>
    </row>
    <row r="958" spans="1:12" ht="15" customHeight="1" x14ac:dyDescent="0.3">
      <c r="A958" s="23" t="s">
        <v>13536</v>
      </c>
      <c r="B958" s="23" t="s">
        <v>75</v>
      </c>
      <c r="C958" s="39">
        <v>4999</v>
      </c>
      <c r="D958" s="24">
        <v>15</v>
      </c>
      <c r="E958" s="24">
        <v>2.7</v>
      </c>
      <c r="F958" s="23">
        <f>COUNTIFS(mdr_rate_cleaned!$A$2:$A$10,B958,mdr_rate_cleaned!$B$2:$B$10,"&lt;"&amp;C958,mdr_rate_cleaned!$F$2:$F$10,"&gt;="&amp;C958)</f>
        <v>1</v>
      </c>
      <c r="G958" s="40">
        <f>SUMIFS(mdr_rate_cleaned!$G$2:$G$10,mdr_rate_cleaned!$A$2:$A$10,B958,mdr_rate_cleaned!$B$2:$B$10,"&lt;"&amp;C958,mdr_rate_cleaned!$F$2:$F$10,"&gt;="&amp;C958)</f>
        <v>3.0000000000000001E-3</v>
      </c>
      <c r="H958" s="24">
        <f t="shared" si="70"/>
        <v>15</v>
      </c>
      <c r="I958" s="23" t="str">
        <f t="shared" si="71"/>
        <v>Match</v>
      </c>
      <c r="J958" s="23" t="str">
        <f t="shared" si="72"/>
        <v>Match</v>
      </c>
      <c r="K958" s="24">
        <f t="shared" si="73"/>
        <v>2.7</v>
      </c>
      <c r="L958" s="24">
        <f t="shared" si="74"/>
        <v>0</v>
      </c>
    </row>
    <row r="959" spans="1:12" ht="15" customHeight="1" x14ac:dyDescent="0.3">
      <c r="A959" s="23" t="s">
        <v>13537</v>
      </c>
      <c r="B959" s="23" t="s">
        <v>75</v>
      </c>
      <c r="C959" s="39">
        <v>3848</v>
      </c>
      <c r="D959" s="24">
        <v>11.54</v>
      </c>
      <c r="E959" s="24">
        <v>2.08</v>
      </c>
      <c r="F959" s="23">
        <f>COUNTIFS(mdr_rate_cleaned!$A$2:$A$10,B959,mdr_rate_cleaned!$B$2:$B$10,"&lt;"&amp;C959,mdr_rate_cleaned!$F$2:$F$10,"&gt;="&amp;C959)</f>
        <v>1</v>
      </c>
      <c r="G959" s="40">
        <f>SUMIFS(mdr_rate_cleaned!$G$2:$G$10,mdr_rate_cleaned!$A$2:$A$10,B959,mdr_rate_cleaned!$B$2:$B$10,"&lt;"&amp;C959,mdr_rate_cleaned!$F$2:$F$10,"&gt;="&amp;C959)</f>
        <v>3.0000000000000001E-3</v>
      </c>
      <c r="H959" s="24">
        <f t="shared" si="70"/>
        <v>11.54</v>
      </c>
      <c r="I959" s="23" t="str">
        <f t="shared" si="71"/>
        <v>Match</v>
      </c>
      <c r="J959" s="23" t="str">
        <f t="shared" si="72"/>
        <v>Match</v>
      </c>
      <c r="K959" s="24">
        <f t="shared" si="73"/>
        <v>2.08</v>
      </c>
      <c r="L959" s="24">
        <f t="shared" si="74"/>
        <v>0</v>
      </c>
    </row>
    <row r="960" spans="1:12" ht="15" customHeight="1" x14ac:dyDescent="0.3">
      <c r="A960" s="23" t="s">
        <v>13538</v>
      </c>
      <c r="B960" s="23" t="s">
        <v>75</v>
      </c>
      <c r="C960" s="39">
        <v>499</v>
      </c>
      <c r="D960" s="24">
        <v>0</v>
      </c>
      <c r="E960" s="24">
        <v>0</v>
      </c>
      <c r="F960" s="23">
        <f>COUNTIFS(mdr_rate_cleaned!$A$2:$A$10,B960,mdr_rate_cleaned!$B$2:$B$10,"&lt;"&amp;C960,mdr_rate_cleaned!$F$2:$F$10,"&gt;="&amp;C960)</f>
        <v>1</v>
      </c>
      <c r="G960" s="40">
        <f>SUMIFS(mdr_rate_cleaned!$G$2:$G$10,mdr_rate_cleaned!$A$2:$A$10,B960,mdr_rate_cleaned!$B$2:$B$10,"&lt;"&amp;C960,mdr_rate_cleaned!$F$2:$F$10,"&gt;="&amp;C960)</f>
        <v>0</v>
      </c>
      <c r="H960" s="24">
        <f t="shared" si="70"/>
        <v>0</v>
      </c>
      <c r="I960" s="23" t="str">
        <f t="shared" si="71"/>
        <v>Match</v>
      </c>
      <c r="J960" s="23" t="str">
        <f t="shared" si="72"/>
        <v>Match</v>
      </c>
      <c r="K960" s="24">
        <f t="shared" si="73"/>
        <v>0</v>
      </c>
      <c r="L960" s="24">
        <f t="shared" si="74"/>
        <v>0</v>
      </c>
    </row>
    <row r="961" spans="1:12" ht="15" customHeight="1" x14ac:dyDescent="0.3">
      <c r="A961" s="23" t="s">
        <v>13539</v>
      </c>
      <c r="B961" s="23" t="s">
        <v>79</v>
      </c>
      <c r="C961" s="39">
        <v>1799</v>
      </c>
      <c r="D961" s="24">
        <v>32.380000000000003</v>
      </c>
      <c r="E961" s="24">
        <v>5.83</v>
      </c>
      <c r="F961" s="23">
        <f>COUNTIFS(mdr_rate_cleaned!$A$2:$A$10,B961,mdr_rate_cleaned!$B$2:$B$10,"&lt;"&amp;C961,mdr_rate_cleaned!$F$2:$F$10,"&gt;="&amp;C961)</f>
        <v>1</v>
      </c>
      <c r="G961" s="40">
        <f>SUMIFS(mdr_rate_cleaned!$G$2:$G$10,mdr_rate_cleaned!$A$2:$A$10,B961,mdr_rate_cleaned!$B$2:$B$10,"&lt;"&amp;C961,mdr_rate_cleaned!$F$2:$F$10,"&gt;="&amp;C961)</f>
        <v>1.8000000000000002E-2</v>
      </c>
      <c r="H961" s="24">
        <f t="shared" si="70"/>
        <v>32.380000000000003</v>
      </c>
      <c r="I961" s="23" t="str">
        <f t="shared" si="71"/>
        <v>Match</v>
      </c>
      <c r="J961" s="23" t="str">
        <f t="shared" si="72"/>
        <v>Match</v>
      </c>
      <c r="K961" s="24">
        <f t="shared" si="73"/>
        <v>5.83</v>
      </c>
      <c r="L961" s="24">
        <f t="shared" si="74"/>
        <v>0</v>
      </c>
    </row>
    <row r="962" spans="1:12" ht="15" customHeight="1" x14ac:dyDescent="0.3">
      <c r="A962" s="23" t="s">
        <v>13540</v>
      </c>
      <c r="B962" s="23" t="s">
        <v>75</v>
      </c>
      <c r="C962" s="39">
        <v>798</v>
      </c>
      <c r="D962" s="24">
        <v>0</v>
      </c>
      <c r="E962" s="24">
        <v>0</v>
      </c>
      <c r="F962" s="23">
        <f>COUNTIFS(mdr_rate_cleaned!$A$2:$A$10,B962,mdr_rate_cleaned!$B$2:$B$10,"&lt;"&amp;C962,mdr_rate_cleaned!$F$2:$F$10,"&gt;="&amp;C962)</f>
        <v>1</v>
      </c>
      <c r="G962" s="40">
        <f>SUMIFS(mdr_rate_cleaned!$G$2:$G$10,mdr_rate_cleaned!$A$2:$A$10,B962,mdr_rate_cleaned!$B$2:$B$10,"&lt;"&amp;C962,mdr_rate_cleaned!$F$2:$F$10,"&gt;="&amp;C962)</f>
        <v>0</v>
      </c>
      <c r="H962" s="24">
        <f t="shared" ref="H962:H1025" si="75">ROUND(C962*G962,2)</f>
        <v>0</v>
      </c>
      <c r="I962" s="23" t="str">
        <f t="shared" ref="I962:I1025" si="76">IF(ROUND(D962-H962,2)=0,"Match","Differs")</f>
        <v>Match</v>
      </c>
      <c r="J962" s="23" t="str">
        <f t="shared" ref="J962:J1025" si="77">IF(ROUND(E962-ROUND(D962*0.18,2),2)=0,"Match","Differs")</f>
        <v>Match</v>
      </c>
      <c r="K962" s="24">
        <f t="shared" ref="K962:K1025" si="78">ROUND(H962*0.18,2)</f>
        <v>0</v>
      </c>
      <c r="L962" s="24">
        <f t="shared" ref="L962:L1025" si="79">ROUND(D962+E962-H962-K962,2)</f>
        <v>0</v>
      </c>
    </row>
    <row r="963" spans="1:12" ht="15" customHeight="1" x14ac:dyDescent="0.3">
      <c r="A963" s="23" t="s">
        <v>13541</v>
      </c>
      <c r="B963" s="23" t="s">
        <v>79</v>
      </c>
      <c r="C963" s="39">
        <v>599</v>
      </c>
      <c r="D963" s="24">
        <v>10.78</v>
      </c>
      <c r="E963" s="24">
        <v>1.94</v>
      </c>
      <c r="F963" s="23">
        <f>COUNTIFS(mdr_rate_cleaned!$A$2:$A$10,B963,mdr_rate_cleaned!$B$2:$B$10,"&lt;"&amp;C963,mdr_rate_cleaned!$F$2:$F$10,"&gt;="&amp;C963)</f>
        <v>1</v>
      </c>
      <c r="G963" s="40">
        <f>SUMIFS(mdr_rate_cleaned!$G$2:$G$10,mdr_rate_cleaned!$A$2:$A$10,B963,mdr_rate_cleaned!$B$2:$B$10,"&lt;"&amp;C963,mdr_rate_cleaned!$F$2:$F$10,"&gt;="&amp;C963)</f>
        <v>1.8000000000000002E-2</v>
      </c>
      <c r="H963" s="24">
        <f t="shared" si="75"/>
        <v>10.78</v>
      </c>
      <c r="I963" s="23" t="str">
        <f t="shared" si="76"/>
        <v>Match</v>
      </c>
      <c r="J963" s="23" t="str">
        <f t="shared" si="77"/>
        <v>Match</v>
      </c>
      <c r="K963" s="24">
        <f t="shared" si="78"/>
        <v>1.94</v>
      </c>
      <c r="L963" s="24">
        <f t="shared" si="79"/>
        <v>0</v>
      </c>
    </row>
    <row r="964" spans="1:12" ht="15" customHeight="1" x14ac:dyDescent="0.3">
      <c r="A964" s="23" t="s">
        <v>13542</v>
      </c>
      <c r="B964" s="23" t="s">
        <v>75</v>
      </c>
      <c r="C964" s="39">
        <v>5998</v>
      </c>
      <c r="D964" s="24">
        <v>17.989999999999998</v>
      </c>
      <c r="E964" s="24">
        <v>3.24</v>
      </c>
      <c r="F964" s="23">
        <f>COUNTIFS(mdr_rate_cleaned!$A$2:$A$10,B964,mdr_rate_cleaned!$B$2:$B$10,"&lt;"&amp;C964,mdr_rate_cleaned!$F$2:$F$10,"&gt;="&amp;C964)</f>
        <v>1</v>
      </c>
      <c r="G964" s="40">
        <f>SUMIFS(mdr_rate_cleaned!$G$2:$G$10,mdr_rate_cleaned!$A$2:$A$10,B964,mdr_rate_cleaned!$B$2:$B$10,"&lt;"&amp;C964,mdr_rate_cleaned!$F$2:$F$10,"&gt;="&amp;C964)</f>
        <v>3.0000000000000001E-3</v>
      </c>
      <c r="H964" s="24">
        <f t="shared" si="75"/>
        <v>17.989999999999998</v>
      </c>
      <c r="I964" s="23" t="str">
        <f t="shared" si="76"/>
        <v>Match</v>
      </c>
      <c r="J964" s="23" t="str">
        <f t="shared" si="77"/>
        <v>Match</v>
      </c>
      <c r="K964" s="24">
        <f t="shared" si="78"/>
        <v>3.24</v>
      </c>
      <c r="L964" s="24">
        <f t="shared" si="79"/>
        <v>0</v>
      </c>
    </row>
    <row r="965" spans="1:12" ht="15" customHeight="1" x14ac:dyDescent="0.3">
      <c r="A965" s="23" t="s">
        <v>13543</v>
      </c>
      <c r="B965" s="23" t="s">
        <v>75</v>
      </c>
      <c r="C965" s="39">
        <v>2798</v>
      </c>
      <c r="D965" s="24">
        <v>8.39</v>
      </c>
      <c r="E965" s="24">
        <v>1.51</v>
      </c>
      <c r="F965" s="23">
        <f>COUNTIFS(mdr_rate_cleaned!$A$2:$A$10,B965,mdr_rate_cleaned!$B$2:$B$10,"&lt;"&amp;C965,mdr_rate_cleaned!$F$2:$F$10,"&gt;="&amp;C965)</f>
        <v>1</v>
      </c>
      <c r="G965" s="40">
        <f>SUMIFS(mdr_rate_cleaned!$G$2:$G$10,mdr_rate_cleaned!$A$2:$A$10,B965,mdr_rate_cleaned!$B$2:$B$10,"&lt;"&amp;C965,mdr_rate_cleaned!$F$2:$F$10,"&gt;="&amp;C965)</f>
        <v>3.0000000000000001E-3</v>
      </c>
      <c r="H965" s="24">
        <f t="shared" si="75"/>
        <v>8.39</v>
      </c>
      <c r="I965" s="23" t="str">
        <f t="shared" si="76"/>
        <v>Match</v>
      </c>
      <c r="J965" s="23" t="str">
        <f t="shared" si="77"/>
        <v>Match</v>
      </c>
      <c r="K965" s="24">
        <f t="shared" si="78"/>
        <v>1.51</v>
      </c>
      <c r="L965" s="24">
        <f t="shared" si="79"/>
        <v>0</v>
      </c>
    </row>
    <row r="966" spans="1:12" ht="15" customHeight="1" x14ac:dyDescent="0.3">
      <c r="A966" s="23" t="s">
        <v>13544</v>
      </c>
      <c r="B966" s="23" t="s">
        <v>79</v>
      </c>
      <c r="C966" s="39">
        <v>5598</v>
      </c>
      <c r="D966" s="24">
        <v>89.57</v>
      </c>
      <c r="E966" s="24">
        <v>16.12</v>
      </c>
      <c r="F966" s="23">
        <f>COUNTIFS(mdr_rate_cleaned!$A$2:$A$10,B966,mdr_rate_cleaned!$B$2:$B$10,"&lt;"&amp;C966,mdr_rate_cleaned!$F$2:$F$10,"&gt;="&amp;C966)</f>
        <v>1</v>
      </c>
      <c r="G966" s="40">
        <f>SUMIFS(mdr_rate_cleaned!$G$2:$G$10,mdr_rate_cleaned!$A$2:$A$10,B966,mdr_rate_cleaned!$B$2:$B$10,"&lt;"&amp;C966,mdr_rate_cleaned!$F$2:$F$10,"&gt;="&amp;C966)</f>
        <v>1.6E-2</v>
      </c>
      <c r="H966" s="24">
        <f t="shared" si="75"/>
        <v>89.57</v>
      </c>
      <c r="I966" s="23" t="str">
        <f t="shared" si="76"/>
        <v>Match</v>
      </c>
      <c r="J966" s="23" t="str">
        <f t="shared" si="77"/>
        <v>Match</v>
      </c>
      <c r="K966" s="24">
        <f t="shared" si="78"/>
        <v>16.12</v>
      </c>
      <c r="L966" s="24">
        <f t="shared" si="79"/>
        <v>0</v>
      </c>
    </row>
    <row r="967" spans="1:12" ht="15" customHeight="1" x14ac:dyDescent="0.3">
      <c r="A967" s="23" t="s">
        <v>13546</v>
      </c>
      <c r="B967" s="23" t="s">
        <v>75</v>
      </c>
      <c r="C967" s="39">
        <v>648</v>
      </c>
      <c r="D967" s="24">
        <v>0</v>
      </c>
      <c r="E967" s="24">
        <v>0</v>
      </c>
      <c r="F967" s="23">
        <f>COUNTIFS(mdr_rate_cleaned!$A$2:$A$10,B967,mdr_rate_cleaned!$B$2:$B$10,"&lt;"&amp;C967,mdr_rate_cleaned!$F$2:$F$10,"&gt;="&amp;C967)</f>
        <v>1</v>
      </c>
      <c r="G967" s="40">
        <f>SUMIFS(mdr_rate_cleaned!$G$2:$G$10,mdr_rate_cleaned!$A$2:$A$10,B967,mdr_rate_cleaned!$B$2:$B$10,"&lt;"&amp;C967,mdr_rate_cleaned!$F$2:$F$10,"&gt;="&amp;C967)</f>
        <v>0</v>
      </c>
      <c r="H967" s="24">
        <f t="shared" si="75"/>
        <v>0</v>
      </c>
      <c r="I967" s="23" t="str">
        <f t="shared" si="76"/>
        <v>Match</v>
      </c>
      <c r="J967" s="23" t="str">
        <f t="shared" si="77"/>
        <v>Match</v>
      </c>
      <c r="K967" s="24">
        <f t="shared" si="78"/>
        <v>0</v>
      </c>
      <c r="L967" s="24">
        <f t="shared" si="79"/>
        <v>0</v>
      </c>
    </row>
    <row r="968" spans="1:12" ht="15" customHeight="1" x14ac:dyDescent="0.3">
      <c r="A968" s="23" t="s">
        <v>13547</v>
      </c>
      <c r="B968" s="23" t="s">
        <v>79</v>
      </c>
      <c r="C968" s="39">
        <v>299</v>
      </c>
      <c r="D968" s="24">
        <v>5.38</v>
      </c>
      <c r="E968" s="24">
        <v>0.97</v>
      </c>
      <c r="F968" s="23">
        <f>COUNTIFS(mdr_rate_cleaned!$A$2:$A$10,B968,mdr_rate_cleaned!$B$2:$B$10,"&lt;"&amp;C968,mdr_rate_cleaned!$F$2:$F$10,"&gt;="&amp;C968)</f>
        <v>1</v>
      </c>
      <c r="G968" s="40">
        <f>SUMIFS(mdr_rate_cleaned!$G$2:$G$10,mdr_rate_cleaned!$A$2:$A$10,B968,mdr_rate_cleaned!$B$2:$B$10,"&lt;"&amp;C968,mdr_rate_cleaned!$F$2:$F$10,"&gt;="&amp;C968)</f>
        <v>1.8000000000000002E-2</v>
      </c>
      <c r="H968" s="24">
        <f t="shared" si="75"/>
        <v>5.38</v>
      </c>
      <c r="I968" s="23" t="str">
        <f t="shared" si="76"/>
        <v>Match</v>
      </c>
      <c r="J968" s="23" t="str">
        <f t="shared" si="77"/>
        <v>Match</v>
      </c>
      <c r="K968" s="24">
        <f t="shared" si="78"/>
        <v>0.97</v>
      </c>
      <c r="L968" s="24">
        <f t="shared" si="79"/>
        <v>0</v>
      </c>
    </row>
    <row r="969" spans="1:12" ht="15" customHeight="1" x14ac:dyDescent="0.3">
      <c r="A969" s="23" t="s">
        <v>13548</v>
      </c>
      <c r="B969" s="23" t="s">
        <v>77</v>
      </c>
      <c r="C969" s="39">
        <v>499</v>
      </c>
      <c r="D969" s="24">
        <v>9.48</v>
      </c>
      <c r="E969" s="24">
        <v>1.71</v>
      </c>
      <c r="F969" s="23">
        <f>COUNTIFS(mdr_rate_cleaned!$A$2:$A$10,B969,mdr_rate_cleaned!$B$2:$B$10,"&lt;"&amp;C969,mdr_rate_cleaned!$F$2:$F$10,"&gt;="&amp;C969)</f>
        <v>1</v>
      </c>
      <c r="G969" s="40">
        <f>SUMIFS(mdr_rate_cleaned!$G$2:$G$10,mdr_rate_cleaned!$A$2:$A$10,B969,mdr_rate_cleaned!$B$2:$B$10,"&lt;"&amp;C969,mdr_rate_cleaned!$F$2:$F$10,"&gt;="&amp;C969)</f>
        <v>1.9E-2</v>
      </c>
      <c r="H969" s="24">
        <f t="shared" si="75"/>
        <v>9.48</v>
      </c>
      <c r="I969" s="23" t="str">
        <f t="shared" si="76"/>
        <v>Match</v>
      </c>
      <c r="J969" s="23" t="str">
        <f t="shared" si="77"/>
        <v>Match</v>
      </c>
      <c r="K969" s="24">
        <f t="shared" si="78"/>
        <v>1.71</v>
      </c>
      <c r="L969" s="24">
        <f t="shared" si="79"/>
        <v>0</v>
      </c>
    </row>
    <row r="970" spans="1:12" ht="15" customHeight="1" x14ac:dyDescent="0.3">
      <c r="A970" s="23" t="s">
        <v>13549</v>
      </c>
      <c r="B970" s="23" t="s">
        <v>75</v>
      </c>
      <c r="C970" s="39">
        <v>1598</v>
      </c>
      <c r="D970" s="24">
        <v>0</v>
      </c>
      <c r="E970" s="24">
        <v>0</v>
      </c>
      <c r="F970" s="23">
        <f>COUNTIFS(mdr_rate_cleaned!$A$2:$A$10,B970,mdr_rate_cleaned!$B$2:$B$10,"&lt;"&amp;C970,mdr_rate_cleaned!$F$2:$F$10,"&gt;="&amp;C970)</f>
        <v>1</v>
      </c>
      <c r="G970" s="40">
        <f>SUMIFS(mdr_rate_cleaned!$G$2:$G$10,mdr_rate_cleaned!$A$2:$A$10,B970,mdr_rate_cleaned!$B$2:$B$10,"&lt;"&amp;C970,mdr_rate_cleaned!$F$2:$F$10,"&gt;="&amp;C970)</f>
        <v>0</v>
      </c>
      <c r="H970" s="24">
        <f t="shared" si="75"/>
        <v>0</v>
      </c>
      <c r="I970" s="23" t="str">
        <f t="shared" si="76"/>
        <v>Match</v>
      </c>
      <c r="J970" s="23" t="str">
        <f t="shared" si="77"/>
        <v>Match</v>
      </c>
      <c r="K970" s="24">
        <f t="shared" si="78"/>
        <v>0</v>
      </c>
      <c r="L970" s="24">
        <f t="shared" si="79"/>
        <v>0</v>
      </c>
    </row>
    <row r="971" spans="1:12" ht="15" customHeight="1" x14ac:dyDescent="0.3">
      <c r="A971" s="23" t="s">
        <v>13550</v>
      </c>
      <c r="B971" s="23" t="s">
        <v>79</v>
      </c>
      <c r="C971" s="39">
        <v>4498</v>
      </c>
      <c r="D971" s="24">
        <v>71.97</v>
      </c>
      <c r="E971" s="24">
        <v>12.95</v>
      </c>
      <c r="F971" s="23">
        <f>COUNTIFS(mdr_rate_cleaned!$A$2:$A$10,B971,mdr_rate_cleaned!$B$2:$B$10,"&lt;"&amp;C971,mdr_rate_cleaned!$F$2:$F$10,"&gt;="&amp;C971)</f>
        <v>1</v>
      </c>
      <c r="G971" s="40">
        <f>SUMIFS(mdr_rate_cleaned!$G$2:$G$10,mdr_rate_cleaned!$A$2:$A$10,B971,mdr_rate_cleaned!$B$2:$B$10,"&lt;"&amp;C971,mdr_rate_cleaned!$F$2:$F$10,"&gt;="&amp;C971)</f>
        <v>1.6E-2</v>
      </c>
      <c r="H971" s="24">
        <f t="shared" si="75"/>
        <v>71.97</v>
      </c>
      <c r="I971" s="23" t="str">
        <f t="shared" si="76"/>
        <v>Match</v>
      </c>
      <c r="J971" s="23" t="str">
        <f t="shared" si="77"/>
        <v>Match</v>
      </c>
      <c r="K971" s="24">
        <f t="shared" si="78"/>
        <v>12.95</v>
      </c>
      <c r="L971" s="24">
        <f t="shared" si="79"/>
        <v>0</v>
      </c>
    </row>
    <row r="972" spans="1:12" ht="15" customHeight="1" x14ac:dyDescent="0.3">
      <c r="A972" s="23" t="s">
        <v>13551</v>
      </c>
      <c r="B972" s="23" t="s">
        <v>75</v>
      </c>
      <c r="C972" s="39">
        <v>3598</v>
      </c>
      <c r="D972" s="24">
        <v>10.79</v>
      </c>
      <c r="E972" s="24">
        <v>1.94</v>
      </c>
      <c r="F972" s="23">
        <f>COUNTIFS(mdr_rate_cleaned!$A$2:$A$10,B972,mdr_rate_cleaned!$B$2:$B$10,"&lt;"&amp;C972,mdr_rate_cleaned!$F$2:$F$10,"&gt;="&amp;C972)</f>
        <v>1</v>
      </c>
      <c r="G972" s="40">
        <f>SUMIFS(mdr_rate_cleaned!$G$2:$G$10,mdr_rate_cleaned!$A$2:$A$10,B972,mdr_rate_cleaned!$B$2:$B$10,"&lt;"&amp;C972,mdr_rate_cleaned!$F$2:$F$10,"&gt;="&amp;C972)</f>
        <v>3.0000000000000001E-3</v>
      </c>
      <c r="H972" s="24">
        <f t="shared" si="75"/>
        <v>10.79</v>
      </c>
      <c r="I972" s="23" t="str">
        <f t="shared" si="76"/>
        <v>Match</v>
      </c>
      <c r="J972" s="23" t="str">
        <f t="shared" si="77"/>
        <v>Match</v>
      </c>
      <c r="K972" s="24">
        <f t="shared" si="78"/>
        <v>1.94</v>
      </c>
      <c r="L972" s="24">
        <f t="shared" si="79"/>
        <v>0</v>
      </c>
    </row>
    <row r="973" spans="1:12" ht="15" customHeight="1" x14ac:dyDescent="0.3">
      <c r="A973" s="23" t="s">
        <v>13553</v>
      </c>
      <c r="B973" s="23" t="s">
        <v>79</v>
      </c>
      <c r="C973" s="39">
        <v>3298</v>
      </c>
      <c r="D973" s="24">
        <v>52.77</v>
      </c>
      <c r="E973" s="24">
        <v>9.5</v>
      </c>
      <c r="F973" s="23">
        <f>COUNTIFS(mdr_rate_cleaned!$A$2:$A$10,B973,mdr_rate_cleaned!$B$2:$B$10,"&lt;"&amp;C973,mdr_rate_cleaned!$F$2:$F$10,"&gt;="&amp;C973)</f>
        <v>1</v>
      </c>
      <c r="G973" s="40">
        <f>SUMIFS(mdr_rate_cleaned!$G$2:$G$10,mdr_rate_cleaned!$A$2:$A$10,B973,mdr_rate_cleaned!$B$2:$B$10,"&lt;"&amp;C973,mdr_rate_cleaned!$F$2:$F$10,"&gt;="&amp;C973)</f>
        <v>1.6E-2</v>
      </c>
      <c r="H973" s="24">
        <f t="shared" si="75"/>
        <v>52.77</v>
      </c>
      <c r="I973" s="23" t="str">
        <f t="shared" si="76"/>
        <v>Match</v>
      </c>
      <c r="J973" s="23" t="str">
        <f t="shared" si="77"/>
        <v>Match</v>
      </c>
      <c r="K973" s="24">
        <f t="shared" si="78"/>
        <v>9.5</v>
      </c>
      <c r="L973" s="24">
        <f t="shared" si="79"/>
        <v>0</v>
      </c>
    </row>
    <row r="974" spans="1:12" ht="15" customHeight="1" x14ac:dyDescent="0.3">
      <c r="A974" s="23" t="s">
        <v>13554</v>
      </c>
      <c r="B974" s="23" t="s">
        <v>75</v>
      </c>
      <c r="C974" s="39">
        <v>6798</v>
      </c>
      <c r="D974" s="24">
        <v>20.39</v>
      </c>
      <c r="E974" s="24">
        <v>3.67</v>
      </c>
      <c r="F974" s="23">
        <f>COUNTIFS(mdr_rate_cleaned!$A$2:$A$10,B974,mdr_rate_cleaned!$B$2:$B$10,"&lt;"&amp;C974,mdr_rate_cleaned!$F$2:$F$10,"&gt;="&amp;C974)</f>
        <v>1</v>
      </c>
      <c r="G974" s="40">
        <f>SUMIFS(mdr_rate_cleaned!$G$2:$G$10,mdr_rate_cleaned!$A$2:$A$10,B974,mdr_rate_cleaned!$B$2:$B$10,"&lt;"&amp;C974,mdr_rate_cleaned!$F$2:$F$10,"&gt;="&amp;C974)</f>
        <v>3.0000000000000001E-3</v>
      </c>
      <c r="H974" s="24">
        <f t="shared" si="75"/>
        <v>20.39</v>
      </c>
      <c r="I974" s="23" t="str">
        <f t="shared" si="76"/>
        <v>Match</v>
      </c>
      <c r="J974" s="23" t="str">
        <f t="shared" si="77"/>
        <v>Match</v>
      </c>
      <c r="K974" s="24">
        <f t="shared" si="78"/>
        <v>3.67</v>
      </c>
      <c r="L974" s="24">
        <f t="shared" si="79"/>
        <v>0</v>
      </c>
    </row>
    <row r="975" spans="1:12" ht="15" customHeight="1" x14ac:dyDescent="0.3">
      <c r="A975" s="23" t="s">
        <v>13555</v>
      </c>
      <c r="B975" s="23" t="s">
        <v>77</v>
      </c>
      <c r="C975" s="39">
        <v>5598</v>
      </c>
      <c r="D975" s="24">
        <v>95.17</v>
      </c>
      <c r="E975" s="24">
        <v>17.13</v>
      </c>
      <c r="F975" s="23">
        <f>COUNTIFS(mdr_rate_cleaned!$A$2:$A$10,B975,mdr_rate_cleaned!$B$2:$B$10,"&lt;"&amp;C975,mdr_rate_cleaned!$F$2:$F$10,"&gt;="&amp;C975)</f>
        <v>1</v>
      </c>
      <c r="G975" s="40">
        <f>SUMIFS(mdr_rate_cleaned!$G$2:$G$10,mdr_rate_cleaned!$A$2:$A$10,B975,mdr_rate_cleaned!$B$2:$B$10,"&lt;"&amp;C975,mdr_rate_cleaned!$F$2:$F$10,"&gt;="&amp;C975)</f>
        <v>1.7000000000000001E-2</v>
      </c>
      <c r="H975" s="24">
        <f t="shared" si="75"/>
        <v>95.17</v>
      </c>
      <c r="I975" s="23" t="str">
        <f t="shared" si="76"/>
        <v>Match</v>
      </c>
      <c r="J975" s="23" t="str">
        <f t="shared" si="77"/>
        <v>Match</v>
      </c>
      <c r="K975" s="24">
        <f t="shared" si="78"/>
        <v>17.13</v>
      </c>
      <c r="L975" s="24">
        <f t="shared" si="79"/>
        <v>0</v>
      </c>
    </row>
    <row r="976" spans="1:12" ht="15" customHeight="1" x14ac:dyDescent="0.3">
      <c r="A976" s="23" t="s">
        <v>13556</v>
      </c>
      <c r="B976" s="23" t="s">
        <v>75</v>
      </c>
      <c r="C976" s="39">
        <v>3597</v>
      </c>
      <c r="D976" s="24">
        <v>10.79</v>
      </c>
      <c r="E976" s="24">
        <v>1.94</v>
      </c>
      <c r="F976" s="23">
        <f>COUNTIFS(mdr_rate_cleaned!$A$2:$A$10,B976,mdr_rate_cleaned!$B$2:$B$10,"&lt;"&amp;C976,mdr_rate_cleaned!$F$2:$F$10,"&gt;="&amp;C976)</f>
        <v>1</v>
      </c>
      <c r="G976" s="40">
        <f>SUMIFS(mdr_rate_cleaned!$G$2:$G$10,mdr_rate_cleaned!$A$2:$A$10,B976,mdr_rate_cleaned!$B$2:$B$10,"&lt;"&amp;C976,mdr_rate_cleaned!$F$2:$F$10,"&gt;="&amp;C976)</f>
        <v>3.0000000000000001E-3</v>
      </c>
      <c r="H976" s="24">
        <f t="shared" si="75"/>
        <v>10.79</v>
      </c>
      <c r="I976" s="23" t="str">
        <f t="shared" si="76"/>
        <v>Match</v>
      </c>
      <c r="J976" s="23" t="str">
        <f t="shared" si="77"/>
        <v>Match</v>
      </c>
      <c r="K976" s="24">
        <f t="shared" si="78"/>
        <v>1.94</v>
      </c>
      <c r="L976" s="24">
        <f t="shared" si="79"/>
        <v>0</v>
      </c>
    </row>
    <row r="977" spans="1:12" ht="15" customHeight="1" x14ac:dyDescent="0.3">
      <c r="A977" s="23" t="s">
        <v>13557</v>
      </c>
      <c r="B977" s="23" t="s">
        <v>79</v>
      </c>
      <c r="C977" s="39">
        <v>799</v>
      </c>
      <c r="D977" s="24">
        <v>14.38</v>
      </c>
      <c r="E977" s="24">
        <v>2.59</v>
      </c>
      <c r="F977" s="23">
        <f>COUNTIFS(mdr_rate_cleaned!$A$2:$A$10,B977,mdr_rate_cleaned!$B$2:$B$10,"&lt;"&amp;C977,mdr_rate_cleaned!$F$2:$F$10,"&gt;="&amp;C977)</f>
        <v>1</v>
      </c>
      <c r="G977" s="40">
        <f>SUMIFS(mdr_rate_cleaned!$G$2:$G$10,mdr_rate_cleaned!$A$2:$A$10,B977,mdr_rate_cleaned!$B$2:$B$10,"&lt;"&amp;C977,mdr_rate_cleaned!$F$2:$F$10,"&gt;="&amp;C977)</f>
        <v>1.8000000000000002E-2</v>
      </c>
      <c r="H977" s="24">
        <f t="shared" si="75"/>
        <v>14.38</v>
      </c>
      <c r="I977" s="23" t="str">
        <f t="shared" si="76"/>
        <v>Match</v>
      </c>
      <c r="J977" s="23" t="str">
        <f t="shared" si="77"/>
        <v>Match</v>
      </c>
      <c r="K977" s="24">
        <f t="shared" si="78"/>
        <v>2.59</v>
      </c>
      <c r="L977" s="24">
        <f t="shared" si="79"/>
        <v>0</v>
      </c>
    </row>
    <row r="978" spans="1:12" ht="15" customHeight="1" x14ac:dyDescent="0.3">
      <c r="A978" s="23" t="s">
        <v>13558</v>
      </c>
      <c r="B978" s="23" t="s">
        <v>77</v>
      </c>
      <c r="C978" s="39">
        <v>5998</v>
      </c>
      <c r="D978" s="24">
        <v>101.97</v>
      </c>
      <c r="E978" s="24">
        <v>18.350000000000001</v>
      </c>
      <c r="F978" s="23">
        <f>COUNTIFS(mdr_rate_cleaned!$A$2:$A$10,B978,mdr_rate_cleaned!$B$2:$B$10,"&lt;"&amp;C978,mdr_rate_cleaned!$F$2:$F$10,"&gt;="&amp;C978)</f>
        <v>1</v>
      </c>
      <c r="G978" s="40">
        <f>SUMIFS(mdr_rate_cleaned!$G$2:$G$10,mdr_rate_cleaned!$A$2:$A$10,B978,mdr_rate_cleaned!$B$2:$B$10,"&lt;"&amp;C978,mdr_rate_cleaned!$F$2:$F$10,"&gt;="&amp;C978)</f>
        <v>1.7000000000000001E-2</v>
      </c>
      <c r="H978" s="24">
        <f t="shared" si="75"/>
        <v>101.97</v>
      </c>
      <c r="I978" s="23" t="str">
        <f t="shared" si="76"/>
        <v>Match</v>
      </c>
      <c r="J978" s="23" t="str">
        <f t="shared" si="77"/>
        <v>Match</v>
      </c>
      <c r="K978" s="24">
        <f t="shared" si="78"/>
        <v>18.350000000000001</v>
      </c>
      <c r="L978" s="24">
        <f t="shared" si="79"/>
        <v>0</v>
      </c>
    </row>
    <row r="979" spans="1:12" ht="15" customHeight="1" x14ac:dyDescent="0.3">
      <c r="A979" s="23" t="s">
        <v>13559</v>
      </c>
      <c r="B979" s="23" t="s">
        <v>77</v>
      </c>
      <c r="C979" s="39">
        <v>1797</v>
      </c>
      <c r="D979" s="24">
        <v>34.14</v>
      </c>
      <c r="E979" s="24">
        <v>6.15</v>
      </c>
      <c r="F979" s="23">
        <f>COUNTIFS(mdr_rate_cleaned!$A$2:$A$10,B979,mdr_rate_cleaned!$B$2:$B$10,"&lt;"&amp;C979,mdr_rate_cleaned!$F$2:$F$10,"&gt;="&amp;C979)</f>
        <v>1</v>
      </c>
      <c r="G979" s="40">
        <f>SUMIFS(mdr_rate_cleaned!$G$2:$G$10,mdr_rate_cleaned!$A$2:$A$10,B979,mdr_rate_cleaned!$B$2:$B$10,"&lt;"&amp;C979,mdr_rate_cleaned!$F$2:$F$10,"&gt;="&amp;C979)</f>
        <v>1.9E-2</v>
      </c>
      <c r="H979" s="24">
        <f t="shared" si="75"/>
        <v>34.14</v>
      </c>
      <c r="I979" s="23" t="str">
        <f t="shared" si="76"/>
        <v>Match</v>
      </c>
      <c r="J979" s="23" t="str">
        <f t="shared" si="77"/>
        <v>Match</v>
      </c>
      <c r="K979" s="24">
        <f t="shared" si="78"/>
        <v>6.15</v>
      </c>
      <c r="L979" s="24">
        <f t="shared" si="79"/>
        <v>0</v>
      </c>
    </row>
    <row r="980" spans="1:12" ht="15" customHeight="1" x14ac:dyDescent="0.3">
      <c r="A980" s="23" t="s">
        <v>13560</v>
      </c>
      <c r="B980" s="23" t="s">
        <v>79</v>
      </c>
      <c r="C980" s="39">
        <v>3098</v>
      </c>
      <c r="D980" s="24">
        <v>49.57</v>
      </c>
      <c r="E980" s="24">
        <v>8.92</v>
      </c>
      <c r="F980" s="23">
        <f>COUNTIFS(mdr_rate_cleaned!$A$2:$A$10,B980,mdr_rate_cleaned!$B$2:$B$10,"&lt;"&amp;C980,mdr_rate_cleaned!$F$2:$F$10,"&gt;="&amp;C980)</f>
        <v>1</v>
      </c>
      <c r="G980" s="40">
        <f>SUMIFS(mdr_rate_cleaned!$G$2:$G$10,mdr_rate_cleaned!$A$2:$A$10,B980,mdr_rate_cleaned!$B$2:$B$10,"&lt;"&amp;C980,mdr_rate_cleaned!$F$2:$F$10,"&gt;="&amp;C980)</f>
        <v>1.6E-2</v>
      </c>
      <c r="H980" s="24">
        <f t="shared" si="75"/>
        <v>49.57</v>
      </c>
      <c r="I980" s="23" t="str">
        <f t="shared" si="76"/>
        <v>Match</v>
      </c>
      <c r="J980" s="23" t="str">
        <f t="shared" si="77"/>
        <v>Match</v>
      </c>
      <c r="K980" s="24">
        <f t="shared" si="78"/>
        <v>8.92</v>
      </c>
      <c r="L980" s="24">
        <f t="shared" si="79"/>
        <v>0</v>
      </c>
    </row>
    <row r="981" spans="1:12" ht="15" customHeight="1" x14ac:dyDescent="0.3">
      <c r="A981" s="23" t="s">
        <v>13562</v>
      </c>
      <c r="B981" s="23" t="s">
        <v>79</v>
      </c>
      <c r="C981" s="39">
        <v>499</v>
      </c>
      <c r="D981" s="24">
        <v>8.98</v>
      </c>
      <c r="E981" s="24">
        <v>1.62</v>
      </c>
      <c r="F981" s="23">
        <f>COUNTIFS(mdr_rate_cleaned!$A$2:$A$10,B981,mdr_rate_cleaned!$B$2:$B$10,"&lt;"&amp;C981,mdr_rate_cleaned!$F$2:$F$10,"&gt;="&amp;C981)</f>
        <v>1</v>
      </c>
      <c r="G981" s="40">
        <f>SUMIFS(mdr_rate_cleaned!$G$2:$G$10,mdr_rate_cleaned!$A$2:$A$10,B981,mdr_rate_cleaned!$B$2:$B$10,"&lt;"&amp;C981,mdr_rate_cleaned!$F$2:$F$10,"&gt;="&amp;C981)</f>
        <v>1.8000000000000002E-2</v>
      </c>
      <c r="H981" s="24">
        <f t="shared" si="75"/>
        <v>8.98</v>
      </c>
      <c r="I981" s="23" t="str">
        <f t="shared" si="76"/>
        <v>Match</v>
      </c>
      <c r="J981" s="23" t="str">
        <f t="shared" si="77"/>
        <v>Match</v>
      </c>
      <c r="K981" s="24">
        <f t="shared" si="78"/>
        <v>1.62</v>
      </c>
      <c r="L981" s="24">
        <f t="shared" si="79"/>
        <v>0</v>
      </c>
    </row>
    <row r="982" spans="1:12" ht="15" customHeight="1" x14ac:dyDescent="0.3">
      <c r="A982" s="23" t="s">
        <v>13563</v>
      </c>
      <c r="B982" s="23" t="s">
        <v>79</v>
      </c>
      <c r="C982" s="39">
        <v>1799</v>
      </c>
      <c r="D982" s="24">
        <v>32.380000000000003</v>
      </c>
      <c r="E982" s="24">
        <v>5.83</v>
      </c>
      <c r="F982" s="23">
        <f>COUNTIFS(mdr_rate_cleaned!$A$2:$A$10,B982,mdr_rate_cleaned!$B$2:$B$10,"&lt;"&amp;C982,mdr_rate_cleaned!$F$2:$F$10,"&gt;="&amp;C982)</f>
        <v>1</v>
      </c>
      <c r="G982" s="40">
        <f>SUMIFS(mdr_rate_cleaned!$G$2:$G$10,mdr_rate_cleaned!$A$2:$A$10,B982,mdr_rate_cleaned!$B$2:$B$10,"&lt;"&amp;C982,mdr_rate_cleaned!$F$2:$F$10,"&gt;="&amp;C982)</f>
        <v>1.8000000000000002E-2</v>
      </c>
      <c r="H982" s="24">
        <f t="shared" si="75"/>
        <v>32.380000000000003</v>
      </c>
      <c r="I982" s="23" t="str">
        <f t="shared" si="76"/>
        <v>Match</v>
      </c>
      <c r="J982" s="23" t="str">
        <f t="shared" si="77"/>
        <v>Match</v>
      </c>
      <c r="K982" s="24">
        <f t="shared" si="78"/>
        <v>5.83</v>
      </c>
      <c r="L982" s="24">
        <f t="shared" si="79"/>
        <v>0</v>
      </c>
    </row>
    <row r="983" spans="1:12" ht="15" customHeight="1" x14ac:dyDescent="0.3">
      <c r="A983" s="23" t="s">
        <v>13564</v>
      </c>
      <c r="B983" s="23" t="s">
        <v>75</v>
      </c>
      <c r="C983" s="39">
        <v>8798</v>
      </c>
      <c r="D983" s="24">
        <v>26.39</v>
      </c>
      <c r="E983" s="24">
        <v>4.75</v>
      </c>
      <c r="F983" s="23">
        <f>COUNTIFS(mdr_rate_cleaned!$A$2:$A$10,B983,mdr_rate_cleaned!$B$2:$B$10,"&lt;"&amp;C983,mdr_rate_cleaned!$F$2:$F$10,"&gt;="&amp;C983)</f>
        <v>1</v>
      </c>
      <c r="G983" s="40">
        <f>SUMIFS(mdr_rate_cleaned!$G$2:$G$10,mdr_rate_cleaned!$A$2:$A$10,B983,mdr_rate_cleaned!$B$2:$B$10,"&lt;"&amp;C983,mdr_rate_cleaned!$F$2:$F$10,"&gt;="&amp;C983)</f>
        <v>3.0000000000000001E-3</v>
      </c>
      <c r="H983" s="24">
        <f t="shared" si="75"/>
        <v>26.39</v>
      </c>
      <c r="I983" s="23" t="str">
        <f t="shared" si="76"/>
        <v>Match</v>
      </c>
      <c r="J983" s="23" t="str">
        <f t="shared" si="77"/>
        <v>Match</v>
      </c>
      <c r="K983" s="24">
        <f t="shared" si="78"/>
        <v>4.75</v>
      </c>
      <c r="L983" s="24">
        <f t="shared" si="79"/>
        <v>0</v>
      </c>
    </row>
    <row r="984" spans="1:12" ht="15" customHeight="1" x14ac:dyDescent="0.3">
      <c r="A984" s="23" t="s">
        <v>13566</v>
      </c>
      <c r="B984" s="23" t="s">
        <v>75</v>
      </c>
      <c r="C984" s="39">
        <v>3499</v>
      </c>
      <c r="D984" s="24">
        <v>10.5</v>
      </c>
      <c r="E984" s="24">
        <v>1.89</v>
      </c>
      <c r="F984" s="23">
        <f>COUNTIFS(mdr_rate_cleaned!$A$2:$A$10,B984,mdr_rate_cleaned!$B$2:$B$10,"&lt;"&amp;C984,mdr_rate_cleaned!$F$2:$F$10,"&gt;="&amp;C984)</f>
        <v>1</v>
      </c>
      <c r="G984" s="40">
        <f>SUMIFS(mdr_rate_cleaned!$G$2:$G$10,mdr_rate_cleaned!$A$2:$A$10,B984,mdr_rate_cleaned!$B$2:$B$10,"&lt;"&amp;C984,mdr_rate_cleaned!$F$2:$F$10,"&gt;="&amp;C984)</f>
        <v>3.0000000000000001E-3</v>
      </c>
      <c r="H984" s="24">
        <f t="shared" si="75"/>
        <v>10.5</v>
      </c>
      <c r="I984" s="23" t="str">
        <f t="shared" si="76"/>
        <v>Match</v>
      </c>
      <c r="J984" s="23" t="str">
        <f t="shared" si="77"/>
        <v>Match</v>
      </c>
      <c r="K984" s="24">
        <f t="shared" si="78"/>
        <v>1.89</v>
      </c>
      <c r="L984" s="24">
        <f t="shared" si="79"/>
        <v>0</v>
      </c>
    </row>
    <row r="985" spans="1:12" ht="15" customHeight="1" x14ac:dyDescent="0.3">
      <c r="A985" s="23" t="s">
        <v>13568</v>
      </c>
      <c r="B985" s="23" t="s">
        <v>75</v>
      </c>
      <c r="C985" s="39">
        <v>4999</v>
      </c>
      <c r="D985" s="24">
        <v>15</v>
      </c>
      <c r="E985" s="24">
        <v>2.7</v>
      </c>
      <c r="F985" s="23">
        <f>COUNTIFS(mdr_rate_cleaned!$A$2:$A$10,B985,mdr_rate_cleaned!$B$2:$B$10,"&lt;"&amp;C985,mdr_rate_cleaned!$F$2:$F$10,"&gt;="&amp;C985)</f>
        <v>1</v>
      </c>
      <c r="G985" s="40">
        <f>SUMIFS(mdr_rate_cleaned!$G$2:$G$10,mdr_rate_cleaned!$A$2:$A$10,B985,mdr_rate_cleaned!$B$2:$B$10,"&lt;"&amp;C985,mdr_rate_cleaned!$F$2:$F$10,"&gt;="&amp;C985)</f>
        <v>3.0000000000000001E-3</v>
      </c>
      <c r="H985" s="24">
        <f t="shared" si="75"/>
        <v>15</v>
      </c>
      <c r="I985" s="23" t="str">
        <f t="shared" si="76"/>
        <v>Match</v>
      </c>
      <c r="J985" s="23" t="str">
        <f t="shared" si="77"/>
        <v>Match</v>
      </c>
      <c r="K985" s="24">
        <f t="shared" si="78"/>
        <v>2.7</v>
      </c>
      <c r="L985" s="24">
        <f t="shared" si="79"/>
        <v>0</v>
      </c>
    </row>
    <row r="986" spans="1:12" ht="15" customHeight="1" x14ac:dyDescent="0.3">
      <c r="A986" s="23" t="s">
        <v>13569</v>
      </c>
      <c r="B986" s="23" t="s">
        <v>79</v>
      </c>
      <c r="C986" s="39">
        <v>499</v>
      </c>
      <c r="D986" s="24">
        <v>8.98</v>
      </c>
      <c r="E986" s="24">
        <v>1.62</v>
      </c>
      <c r="F986" s="23">
        <f>COUNTIFS(mdr_rate_cleaned!$A$2:$A$10,B986,mdr_rate_cleaned!$B$2:$B$10,"&lt;"&amp;C986,mdr_rate_cleaned!$F$2:$F$10,"&gt;="&amp;C986)</f>
        <v>1</v>
      </c>
      <c r="G986" s="40">
        <f>SUMIFS(mdr_rate_cleaned!$G$2:$G$10,mdr_rate_cleaned!$A$2:$A$10,B986,mdr_rate_cleaned!$B$2:$B$10,"&lt;"&amp;C986,mdr_rate_cleaned!$F$2:$F$10,"&gt;="&amp;C986)</f>
        <v>1.8000000000000002E-2</v>
      </c>
      <c r="H986" s="24">
        <f t="shared" si="75"/>
        <v>8.98</v>
      </c>
      <c r="I986" s="23" t="str">
        <f t="shared" si="76"/>
        <v>Match</v>
      </c>
      <c r="J986" s="23" t="str">
        <f t="shared" si="77"/>
        <v>Match</v>
      </c>
      <c r="K986" s="24">
        <f t="shared" si="78"/>
        <v>1.62</v>
      </c>
      <c r="L986" s="24">
        <f t="shared" si="79"/>
        <v>0</v>
      </c>
    </row>
    <row r="987" spans="1:12" ht="15" customHeight="1" x14ac:dyDescent="0.3">
      <c r="A987" s="23" t="s">
        <v>13570</v>
      </c>
      <c r="B987" s="23" t="s">
        <v>75</v>
      </c>
      <c r="C987" s="39">
        <v>349</v>
      </c>
      <c r="D987" s="24">
        <v>0</v>
      </c>
      <c r="E987" s="24">
        <v>0</v>
      </c>
      <c r="F987" s="23">
        <f>COUNTIFS(mdr_rate_cleaned!$A$2:$A$10,B987,mdr_rate_cleaned!$B$2:$B$10,"&lt;"&amp;C987,mdr_rate_cleaned!$F$2:$F$10,"&gt;="&amp;C987)</f>
        <v>1</v>
      </c>
      <c r="G987" s="40">
        <f>SUMIFS(mdr_rate_cleaned!$G$2:$G$10,mdr_rate_cleaned!$A$2:$A$10,B987,mdr_rate_cleaned!$B$2:$B$10,"&lt;"&amp;C987,mdr_rate_cleaned!$F$2:$F$10,"&gt;="&amp;C987)</f>
        <v>0</v>
      </c>
      <c r="H987" s="24">
        <f t="shared" si="75"/>
        <v>0</v>
      </c>
      <c r="I987" s="23" t="str">
        <f t="shared" si="76"/>
        <v>Match</v>
      </c>
      <c r="J987" s="23" t="str">
        <f t="shared" si="77"/>
        <v>Match</v>
      </c>
      <c r="K987" s="24">
        <f t="shared" si="78"/>
        <v>0</v>
      </c>
      <c r="L987" s="24">
        <f t="shared" si="79"/>
        <v>0</v>
      </c>
    </row>
    <row r="988" spans="1:12" ht="15" customHeight="1" x14ac:dyDescent="0.3">
      <c r="A988" s="23" t="s">
        <v>13571</v>
      </c>
      <c r="B988" s="23" t="s">
        <v>75</v>
      </c>
      <c r="C988" s="39">
        <v>299</v>
      </c>
      <c r="D988" s="24">
        <v>0</v>
      </c>
      <c r="E988" s="24">
        <v>0</v>
      </c>
      <c r="F988" s="23">
        <f>COUNTIFS(mdr_rate_cleaned!$A$2:$A$10,B988,mdr_rate_cleaned!$B$2:$B$10,"&lt;"&amp;C988,mdr_rate_cleaned!$F$2:$F$10,"&gt;="&amp;C988)</f>
        <v>1</v>
      </c>
      <c r="G988" s="40">
        <f>SUMIFS(mdr_rate_cleaned!$G$2:$G$10,mdr_rate_cleaned!$A$2:$A$10,B988,mdr_rate_cleaned!$B$2:$B$10,"&lt;"&amp;C988,mdr_rate_cleaned!$F$2:$F$10,"&gt;="&amp;C988)</f>
        <v>0</v>
      </c>
      <c r="H988" s="24">
        <f t="shared" si="75"/>
        <v>0</v>
      </c>
      <c r="I988" s="23" t="str">
        <f t="shared" si="76"/>
        <v>Match</v>
      </c>
      <c r="J988" s="23" t="str">
        <f t="shared" si="77"/>
        <v>Match</v>
      </c>
      <c r="K988" s="24">
        <f t="shared" si="78"/>
        <v>0</v>
      </c>
      <c r="L988" s="24">
        <f t="shared" si="79"/>
        <v>0</v>
      </c>
    </row>
    <row r="989" spans="1:12" ht="15" customHeight="1" x14ac:dyDescent="0.3">
      <c r="A989" s="23" t="s">
        <v>13572</v>
      </c>
      <c r="B989" s="23" t="s">
        <v>75</v>
      </c>
      <c r="C989" s="39">
        <v>8498</v>
      </c>
      <c r="D989" s="24">
        <v>25.49</v>
      </c>
      <c r="E989" s="24">
        <v>4.59</v>
      </c>
      <c r="F989" s="23">
        <f>COUNTIFS(mdr_rate_cleaned!$A$2:$A$10,B989,mdr_rate_cleaned!$B$2:$B$10,"&lt;"&amp;C989,mdr_rate_cleaned!$F$2:$F$10,"&gt;="&amp;C989)</f>
        <v>1</v>
      </c>
      <c r="G989" s="40">
        <f>SUMIFS(mdr_rate_cleaned!$G$2:$G$10,mdr_rate_cleaned!$A$2:$A$10,B989,mdr_rate_cleaned!$B$2:$B$10,"&lt;"&amp;C989,mdr_rate_cleaned!$F$2:$F$10,"&gt;="&amp;C989)</f>
        <v>3.0000000000000001E-3</v>
      </c>
      <c r="H989" s="24">
        <f t="shared" si="75"/>
        <v>25.49</v>
      </c>
      <c r="I989" s="23" t="str">
        <f t="shared" si="76"/>
        <v>Match</v>
      </c>
      <c r="J989" s="23" t="str">
        <f t="shared" si="77"/>
        <v>Match</v>
      </c>
      <c r="K989" s="24">
        <f t="shared" si="78"/>
        <v>4.59</v>
      </c>
      <c r="L989" s="24">
        <f t="shared" si="79"/>
        <v>0</v>
      </c>
    </row>
    <row r="990" spans="1:12" ht="15" customHeight="1" x14ac:dyDescent="0.3">
      <c r="A990" s="23" t="s">
        <v>13573</v>
      </c>
      <c r="B990" s="23" t="s">
        <v>77</v>
      </c>
      <c r="C990" s="39">
        <v>2298</v>
      </c>
      <c r="D990" s="24">
        <v>55.15</v>
      </c>
      <c r="E990" s="24">
        <v>9.93</v>
      </c>
      <c r="F990" s="23">
        <f>COUNTIFS(mdr_rate_cleaned!$A$2:$A$10,B990,mdr_rate_cleaned!$B$2:$B$10,"&lt;"&amp;C990,mdr_rate_cleaned!$F$2:$F$10,"&gt;="&amp;C990)</f>
        <v>1</v>
      </c>
      <c r="G990" s="40">
        <f>SUMIFS(mdr_rate_cleaned!$G$2:$G$10,mdr_rate_cleaned!$A$2:$A$10,B990,mdr_rate_cleaned!$B$2:$B$10,"&lt;"&amp;C990,mdr_rate_cleaned!$F$2:$F$10,"&gt;="&amp;C990)</f>
        <v>1.7000000000000001E-2</v>
      </c>
      <c r="H990" s="24">
        <f t="shared" si="75"/>
        <v>39.07</v>
      </c>
      <c r="I990" s="23" t="str">
        <f t="shared" si="76"/>
        <v>Differs</v>
      </c>
      <c r="J990" s="23" t="str">
        <f t="shared" si="77"/>
        <v>Match</v>
      </c>
      <c r="K990" s="24">
        <f t="shared" si="78"/>
        <v>7.03</v>
      </c>
      <c r="L990" s="24">
        <f t="shared" si="79"/>
        <v>18.98</v>
      </c>
    </row>
    <row r="991" spans="1:12" ht="15" customHeight="1" x14ac:dyDescent="0.3">
      <c r="A991" s="23" t="s">
        <v>13574</v>
      </c>
      <c r="B991" s="23" t="s">
        <v>75</v>
      </c>
      <c r="C991" s="39">
        <v>5797</v>
      </c>
      <c r="D991" s="24">
        <v>17.39</v>
      </c>
      <c r="E991" s="24">
        <v>3.13</v>
      </c>
      <c r="F991" s="23">
        <f>COUNTIFS(mdr_rate_cleaned!$A$2:$A$10,B991,mdr_rate_cleaned!$B$2:$B$10,"&lt;"&amp;C991,mdr_rate_cleaned!$F$2:$F$10,"&gt;="&amp;C991)</f>
        <v>1</v>
      </c>
      <c r="G991" s="40">
        <f>SUMIFS(mdr_rate_cleaned!$G$2:$G$10,mdr_rate_cleaned!$A$2:$A$10,B991,mdr_rate_cleaned!$B$2:$B$10,"&lt;"&amp;C991,mdr_rate_cleaned!$F$2:$F$10,"&gt;="&amp;C991)</f>
        <v>3.0000000000000001E-3</v>
      </c>
      <c r="H991" s="24">
        <f t="shared" si="75"/>
        <v>17.39</v>
      </c>
      <c r="I991" s="23" t="str">
        <f t="shared" si="76"/>
        <v>Match</v>
      </c>
      <c r="J991" s="23" t="str">
        <f t="shared" si="77"/>
        <v>Match</v>
      </c>
      <c r="K991" s="24">
        <f t="shared" si="78"/>
        <v>3.13</v>
      </c>
      <c r="L991" s="24">
        <f t="shared" si="79"/>
        <v>0</v>
      </c>
    </row>
    <row r="992" spans="1:12" ht="15" customHeight="1" x14ac:dyDescent="0.3">
      <c r="A992" s="23" t="s">
        <v>13575</v>
      </c>
      <c r="B992" s="23" t="s">
        <v>75</v>
      </c>
      <c r="C992" s="39">
        <v>9998</v>
      </c>
      <c r="D992" s="24">
        <v>29.99</v>
      </c>
      <c r="E992" s="24">
        <v>5.4</v>
      </c>
      <c r="F992" s="23">
        <f>COUNTIFS(mdr_rate_cleaned!$A$2:$A$10,B992,mdr_rate_cleaned!$B$2:$B$10,"&lt;"&amp;C992,mdr_rate_cleaned!$F$2:$F$10,"&gt;="&amp;C992)</f>
        <v>1</v>
      </c>
      <c r="G992" s="40">
        <f>SUMIFS(mdr_rate_cleaned!$G$2:$G$10,mdr_rate_cleaned!$A$2:$A$10,B992,mdr_rate_cleaned!$B$2:$B$10,"&lt;"&amp;C992,mdr_rate_cleaned!$F$2:$F$10,"&gt;="&amp;C992)</f>
        <v>3.0000000000000001E-3</v>
      </c>
      <c r="H992" s="24">
        <f t="shared" si="75"/>
        <v>29.99</v>
      </c>
      <c r="I992" s="23" t="str">
        <f t="shared" si="76"/>
        <v>Match</v>
      </c>
      <c r="J992" s="23" t="str">
        <f t="shared" si="77"/>
        <v>Match</v>
      </c>
      <c r="K992" s="24">
        <f t="shared" si="78"/>
        <v>5.4</v>
      </c>
      <c r="L992" s="24">
        <f t="shared" si="79"/>
        <v>0</v>
      </c>
    </row>
    <row r="993" spans="1:12" ht="15" customHeight="1" x14ac:dyDescent="0.3">
      <c r="A993" s="23" t="s">
        <v>13576</v>
      </c>
      <c r="B993" s="23" t="s">
        <v>75</v>
      </c>
      <c r="C993" s="39">
        <v>5147</v>
      </c>
      <c r="D993" s="24">
        <v>15.44</v>
      </c>
      <c r="E993" s="24">
        <v>2.78</v>
      </c>
      <c r="F993" s="23">
        <f>COUNTIFS(mdr_rate_cleaned!$A$2:$A$10,B993,mdr_rate_cleaned!$B$2:$B$10,"&lt;"&amp;C993,mdr_rate_cleaned!$F$2:$F$10,"&gt;="&amp;C993)</f>
        <v>1</v>
      </c>
      <c r="G993" s="40">
        <f>SUMIFS(mdr_rate_cleaned!$G$2:$G$10,mdr_rate_cleaned!$A$2:$A$10,B993,mdr_rate_cleaned!$B$2:$B$10,"&lt;"&amp;C993,mdr_rate_cleaned!$F$2:$F$10,"&gt;="&amp;C993)</f>
        <v>3.0000000000000001E-3</v>
      </c>
      <c r="H993" s="24">
        <f t="shared" si="75"/>
        <v>15.44</v>
      </c>
      <c r="I993" s="23" t="str">
        <f t="shared" si="76"/>
        <v>Match</v>
      </c>
      <c r="J993" s="23" t="str">
        <f t="shared" si="77"/>
        <v>Match</v>
      </c>
      <c r="K993" s="24">
        <f t="shared" si="78"/>
        <v>2.78</v>
      </c>
      <c r="L993" s="24">
        <f t="shared" si="79"/>
        <v>0</v>
      </c>
    </row>
    <row r="994" spans="1:12" ht="15" customHeight="1" x14ac:dyDescent="0.3">
      <c r="A994" s="23" t="s">
        <v>13577</v>
      </c>
      <c r="B994" s="23" t="s">
        <v>75</v>
      </c>
      <c r="C994" s="39">
        <v>3997</v>
      </c>
      <c r="D994" s="24">
        <v>11.99</v>
      </c>
      <c r="E994" s="24">
        <v>2.16</v>
      </c>
      <c r="F994" s="23">
        <f>COUNTIFS(mdr_rate_cleaned!$A$2:$A$10,B994,mdr_rate_cleaned!$B$2:$B$10,"&lt;"&amp;C994,mdr_rate_cleaned!$F$2:$F$10,"&gt;="&amp;C994)</f>
        <v>1</v>
      </c>
      <c r="G994" s="40">
        <f>SUMIFS(mdr_rate_cleaned!$G$2:$G$10,mdr_rate_cleaned!$A$2:$A$10,B994,mdr_rate_cleaned!$B$2:$B$10,"&lt;"&amp;C994,mdr_rate_cleaned!$F$2:$F$10,"&gt;="&amp;C994)</f>
        <v>3.0000000000000001E-3</v>
      </c>
      <c r="H994" s="24">
        <f t="shared" si="75"/>
        <v>11.99</v>
      </c>
      <c r="I994" s="23" t="str">
        <f t="shared" si="76"/>
        <v>Match</v>
      </c>
      <c r="J994" s="23" t="str">
        <f t="shared" si="77"/>
        <v>Match</v>
      </c>
      <c r="K994" s="24">
        <f t="shared" si="78"/>
        <v>2.16</v>
      </c>
      <c r="L994" s="24">
        <f t="shared" si="79"/>
        <v>0</v>
      </c>
    </row>
    <row r="995" spans="1:12" ht="15" customHeight="1" x14ac:dyDescent="0.3">
      <c r="A995" s="23" t="s">
        <v>13579</v>
      </c>
      <c r="B995" s="23" t="s">
        <v>75</v>
      </c>
      <c r="C995" s="39">
        <v>349</v>
      </c>
      <c r="D995" s="24">
        <v>0</v>
      </c>
      <c r="E995" s="24">
        <v>0</v>
      </c>
      <c r="F995" s="23">
        <f>COUNTIFS(mdr_rate_cleaned!$A$2:$A$10,B995,mdr_rate_cleaned!$B$2:$B$10,"&lt;"&amp;C995,mdr_rate_cleaned!$F$2:$F$10,"&gt;="&amp;C995)</f>
        <v>1</v>
      </c>
      <c r="G995" s="40">
        <f>SUMIFS(mdr_rate_cleaned!$G$2:$G$10,mdr_rate_cleaned!$A$2:$A$10,B995,mdr_rate_cleaned!$B$2:$B$10,"&lt;"&amp;C995,mdr_rate_cleaned!$F$2:$F$10,"&gt;="&amp;C995)</f>
        <v>0</v>
      </c>
      <c r="H995" s="24">
        <f t="shared" si="75"/>
        <v>0</v>
      </c>
      <c r="I995" s="23" t="str">
        <f t="shared" si="76"/>
        <v>Match</v>
      </c>
      <c r="J995" s="23" t="str">
        <f t="shared" si="77"/>
        <v>Match</v>
      </c>
      <c r="K995" s="24">
        <f t="shared" si="78"/>
        <v>0</v>
      </c>
      <c r="L995" s="24">
        <f t="shared" si="79"/>
        <v>0</v>
      </c>
    </row>
    <row r="996" spans="1:12" ht="15" customHeight="1" x14ac:dyDescent="0.3">
      <c r="A996" s="23" t="s">
        <v>13580</v>
      </c>
      <c r="B996" s="23" t="s">
        <v>75</v>
      </c>
      <c r="C996" s="39">
        <v>1998</v>
      </c>
      <c r="D996" s="24">
        <v>0</v>
      </c>
      <c r="E996" s="24">
        <v>0</v>
      </c>
      <c r="F996" s="23">
        <f>COUNTIFS(mdr_rate_cleaned!$A$2:$A$10,B996,mdr_rate_cleaned!$B$2:$B$10,"&lt;"&amp;C996,mdr_rate_cleaned!$F$2:$F$10,"&gt;="&amp;C996)</f>
        <v>1</v>
      </c>
      <c r="G996" s="40">
        <f>SUMIFS(mdr_rate_cleaned!$G$2:$G$10,mdr_rate_cleaned!$A$2:$A$10,B996,mdr_rate_cleaned!$B$2:$B$10,"&lt;"&amp;C996,mdr_rate_cleaned!$F$2:$F$10,"&gt;="&amp;C996)</f>
        <v>0</v>
      </c>
      <c r="H996" s="24">
        <f t="shared" si="75"/>
        <v>0</v>
      </c>
      <c r="I996" s="23" t="str">
        <f t="shared" si="76"/>
        <v>Match</v>
      </c>
      <c r="J996" s="23" t="str">
        <f t="shared" si="77"/>
        <v>Match</v>
      </c>
      <c r="K996" s="24">
        <f t="shared" si="78"/>
        <v>0</v>
      </c>
      <c r="L996" s="24">
        <f t="shared" si="79"/>
        <v>0</v>
      </c>
    </row>
    <row r="997" spans="1:12" ht="15" customHeight="1" x14ac:dyDescent="0.3">
      <c r="A997" s="23" t="s">
        <v>13581</v>
      </c>
      <c r="B997" s="23" t="s">
        <v>77</v>
      </c>
      <c r="C997" s="39">
        <v>7999</v>
      </c>
      <c r="D997" s="24">
        <v>135.97999999999999</v>
      </c>
      <c r="E997" s="24">
        <v>24.48</v>
      </c>
      <c r="F997" s="23">
        <f>COUNTIFS(mdr_rate_cleaned!$A$2:$A$10,B997,mdr_rate_cleaned!$B$2:$B$10,"&lt;"&amp;C997,mdr_rate_cleaned!$F$2:$F$10,"&gt;="&amp;C997)</f>
        <v>1</v>
      </c>
      <c r="G997" s="40">
        <f>SUMIFS(mdr_rate_cleaned!$G$2:$G$10,mdr_rate_cleaned!$A$2:$A$10,B997,mdr_rate_cleaned!$B$2:$B$10,"&lt;"&amp;C997,mdr_rate_cleaned!$F$2:$F$10,"&gt;="&amp;C997)</f>
        <v>1.7000000000000001E-2</v>
      </c>
      <c r="H997" s="24">
        <f t="shared" si="75"/>
        <v>135.97999999999999</v>
      </c>
      <c r="I997" s="23" t="str">
        <f t="shared" si="76"/>
        <v>Match</v>
      </c>
      <c r="J997" s="23" t="str">
        <f t="shared" si="77"/>
        <v>Match</v>
      </c>
      <c r="K997" s="24">
        <f t="shared" si="78"/>
        <v>24.48</v>
      </c>
      <c r="L997" s="24">
        <f t="shared" si="79"/>
        <v>0</v>
      </c>
    </row>
    <row r="998" spans="1:12" ht="15" customHeight="1" x14ac:dyDescent="0.3">
      <c r="A998" s="23" t="s">
        <v>13582</v>
      </c>
      <c r="B998" s="23" t="s">
        <v>75</v>
      </c>
      <c r="C998" s="39">
        <v>349</v>
      </c>
      <c r="D998" s="24">
        <v>0</v>
      </c>
      <c r="E998" s="24">
        <v>0</v>
      </c>
      <c r="F998" s="23">
        <f>COUNTIFS(mdr_rate_cleaned!$A$2:$A$10,B998,mdr_rate_cleaned!$B$2:$B$10,"&lt;"&amp;C998,mdr_rate_cleaned!$F$2:$F$10,"&gt;="&amp;C998)</f>
        <v>1</v>
      </c>
      <c r="G998" s="40">
        <f>SUMIFS(mdr_rate_cleaned!$G$2:$G$10,mdr_rate_cleaned!$A$2:$A$10,B998,mdr_rate_cleaned!$B$2:$B$10,"&lt;"&amp;C998,mdr_rate_cleaned!$F$2:$F$10,"&gt;="&amp;C998)</f>
        <v>0</v>
      </c>
      <c r="H998" s="24">
        <f t="shared" si="75"/>
        <v>0</v>
      </c>
      <c r="I998" s="23" t="str">
        <f t="shared" si="76"/>
        <v>Match</v>
      </c>
      <c r="J998" s="23" t="str">
        <f t="shared" si="77"/>
        <v>Match</v>
      </c>
      <c r="K998" s="24">
        <f t="shared" si="78"/>
        <v>0</v>
      </c>
      <c r="L998" s="24">
        <f t="shared" si="79"/>
        <v>0</v>
      </c>
    </row>
    <row r="999" spans="1:12" ht="15" customHeight="1" x14ac:dyDescent="0.3">
      <c r="A999" s="23" t="s">
        <v>13583</v>
      </c>
      <c r="B999" s="23" t="s">
        <v>79</v>
      </c>
      <c r="C999" s="39">
        <v>798</v>
      </c>
      <c r="D999" s="24">
        <v>14.36</v>
      </c>
      <c r="E999" s="24">
        <v>2.58</v>
      </c>
      <c r="F999" s="23">
        <f>COUNTIFS(mdr_rate_cleaned!$A$2:$A$10,B999,mdr_rate_cleaned!$B$2:$B$10,"&lt;"&amp;C999,mdr_rate_cleaned!$F$2:$F$10,"&gt;="&amp;C999)</f>
        <v>1</v>
      </c>
      <c r="G999" s="40">
        <f>SUMIFS(mdr_rate_cleaned!$G$2:$G$10,mdr_rate_cleaned!$A$2:$A$10,B999,mdr_rate_cleaned!$B$2:$B$10,"&lt;"&amp;C999,mdr_rate_cleaned!$F$2:$F$10,"&gt;="&amp;C999)</f>
        <v>1.8000000000000002E-2</v>
      </c>
      <c r="H999" s="24">
        <f t="shared" si="75"/>
        <v>14.36</v>
      </c>
      <c r="I999" s="23" t="str">
        <f t="shared" si="76"/>
        <v>Match</v>
      </c>
      <c r="J999" s="23" t="str">
        <f t="shared" si="77"/>
        <v>Match</v>
      </c>
      <c r="K999" s="24">
        <f t="shared" si="78"/>
        <v>2.58</v>
      </c>
      <c r="L999" s="24">
        <f t="shared" si="79"/>
        <v>0</v>
      </c>
    </row>
    <row r="1000" spans="1:12" ht="15" customHeight="1" x14ac:dyDescent="0.3">
      <c r="A1000" s="23" t="s">
        <v>13585</v>
      </c>
      <c r="B1000" s="23" t="s">
        <v>75</v>
      </c>
      <c r="C1000" s="39">
        <v>599</v>
      </c>
      <c r="D1000" s="24">
        <v>0</v>
      </c>
      <c r="E1000" s="24">
        <v>0</v>
      </c>
      <c r="F1000" s="23">
        <f>COUNTIFS(mdr_rate_cleaned!$A$2:$A$10,B1000,mdr_rate_cleaned!$B$2:$B$10,"&lt;"&amp;C1000,mdr_rate_cleaned!$F$2:$F$10,"&gt;="&amp;C1000)</f>
        <v>1</v>
      </c>
      <c r="G1000" s="40">
        <f>SUMIFS(mdr_rate_cleaned!$G$2:$G$10,mdr_rate_cleaned!$A$2:$A$10,B1000,mdr_rate_cleaned!$B$2:$B$10,"&lt;"&amp;C1000,mdr_rate_cleaned!$F$2:$F$10,"&gt;="&amp;C1000)</f>
        <v>0</v>
      </c>
      <c r="H1000" s="24">
        <f t="shared" si="75"/>
        <v>0</v>
      </c>
      <c r="I1000" s="23" t="str">
        <f t="shared" si="76"/>
        <v>Match</v>
      </c>
      <c r="J1000" s="23" t="str">
        <f t="shared" si="77"/>
        <v>Match</v>
      </c>
      <c r="K1000" s="24">
        <f t="shared" si="78"/>
        <v>0</v>
      </c>
      <c r="L1000" s="24">
        <f t="shared" si="79"/>
        <v>0</v>
      </c>
    </row>
    <row r="1001" spans="1:12" ht="15" customHeight="1" x14ac:dyDescent="0.3">
      <c r="A1001" s="23" t="s">
        <v>13586</v>
      </c>
      <c r="B1001" s="23" t="s">
        <v>75</v>
      </c>
      <c r="C1001" s="39">
        <v>12497</v>
      </c>
      <c r="D1001" s="24">
        <v>37.49</v>
      </c>
      <c r="E1001" s="24">
        <v>6.75</v>
      </c>
      <c r="F1001" s="23">
        <f>COUNTIFS(mdr_rate_cleaned!$A$2:$A$10,B1001,mdr_rate_cleaned!$B$2:$B$10,"&lt;"&amp;C1001,mdr_rate_cleaned!$F$2:$F$10,"&gt;="&amp;C1001)</f>
        <v>1</v>
      </c>
      <c r="G1001" s="40">
        <f>SUMIFS(mdr_rate_cleaned!$G$2:$G$10,mdr_rate_cleaned!$A$2:$A$10,B1001,mdr_rate_cleaned!$B$2:$B$10,"&lt;"&amp;C1001,mdr_rate_cleaned!$F$2:$F$10,"&gt;="&amp;C1001)</f>
        <v>3.0000000000000001E-3</v>
      </c>
      <c r="H1001" s="24">
        <f t="shared" si="75"/>
        <v>37.49</v>
      </c>
      <c r="I1001" s="23" t="str">
        <f t="shared" si="76"/>
        <v>Match</v>
      </c>
      <c r="J1001" s="23" t="str">
        <f t="shared" si="77"/>
        <v>Match</v>
      </c>
      <c r="K1001" s="24">
        <f t="shared" si="78"/>
        <v>6.75</v>
      </c>
      <c r="L1001" s="24">
        <f t="shared" si="79"/>
        <v>0</v>
      </c>
    </row>
    <row r="1002" spans="1:12" ht="15" customHeight="1" x14ac:dyDescent="0.3">
      <c r="A1002" s="23" t="s">
        <v>13587</v>
      </c>
      <c r="B1002" s="23" t="s">
        <v>77</v>
      </c>
      <c r="C1002" s="39">
        <v>8598</v>
      </c>
      <c r="D1002" s="24">
        <v>146.16999999999999</v>
      </c>
      <c r="E1002" s="24">
        <v>26.31</v>
      </c>
      <c r="F1002" s="23">
        <f>COUNTIFS(mdr_rate_cleaned!$A$2:$A$10,B1002,mdr_rate_cleaned!$B$2:$B$10,"&lt;"&amp;C1002,mdr_rate_cleaned!$F$2:$F$10,"&gt;="&amp;C1002)</f>
        <v>1</v>
      </c>
      <c r="G1002" s="40">
        <f>SUMIFS(mdr_rate_cleaned!$G$2:$G$10,mdr_rate_cleaned!$A$2:$A$10,B1002,mdr_rate_cleaned!$B$2:$B$10,"&lt;"&amp;C1002,mdr_rate_cleaned!$F$2:$F$10,"&gt;="&amp;C1002)</f>
        <v>1.7000000000000001E-2</v>
      </c>
      <c r="H1002" s="24">
        <f t="shared" si="75"/>
        <v>146.16999999999999</v>
      </c>
      <c r="I1002" s="23" t="str">
        <f t="shared" si="76"/>
        <v>Match</v>
      </c>
      <c r="J1002" s="23" t="str">
        <f t="shared" si="77"/>
        <v>Match</v>
      </c>
      <c r="K1002" s="24">
        <f t="shared" si="78"/>
        <v>26.31</v>
      </c>
      <c r="L1002" s="24">
        <f t="shared" si="79"/>
        <v>0</v>
      </c>
    </row>
    <row r="1003" spans="1:12" ht="15" customHeight="1" x14ac:dyDescent="0.3">
      <c r="A1003" s="23" t="s">
        <v>13588</v>
      </c>
      <c r="B1003" s="23" t="s">
        <v>77</v>
      </c>
      <c r="C1003" s="39">
        <v>9347</v>
      </c>
      <c r="D1003" s="24">
        <v>158.9</v>
      </c>
      <c r="E1003" s="24">
        <v>28.6</v>
      </c>
      <c r="F1003" s="23">
        <f>COUNTIFS(mdr_rate_cleaned!$A$2:$A$10,B1003,mdr_rate_cleaned!$B$2:$B$10,"&lt;"&amp;C1003,mdr_rate_cleaned!$F$2:$F$10,"&gt;="&amp;C1003)</f>
        <v>1</v>
      </c>
      <c r="G1003" s="40">
        <f>SUMIFS(mdr_rate_cleaned!$G$2:$G$10,mdr_rate_cleaned!$A$2:$A$10,B1003,mdr_rate_cleaned!$B$2:$B$10,"&lt;"&amp;C1003,mdr_rate_cleaned!$F$2:$F$10,"&gt;="&amp;C1003)</f>
        <v>1.7000000000000001E-2</v>
      </c>
      <c r="H1003" s="24">
        <f t="shared" si="75"/>
        <v>158.9</v>
      </c>
      <c r="I1003" s="23" t="str">
        <f t="shared" si="76"/>
        <v>Match</v>
      </c>
      <c r="J1003" s="23" t="str">
        <f t="shared" si="77"/>
        <v>Match</v>
      </c>
      <c r="K1003" s="24">
        <f t="shared" si="78"/>
        <v>28.6</v>
      </c>
      <c r="L1003" s="24">
        <f t="shared" si="79"/>
        <v>0</v>
      </c>
    </row>
    <row r="1004" spans="1:12" ht="15" customHeight="1" x14ac:dyDescent="0.3">
      <c r="A1004" s="23" t="s">
        <v>13589</v>
      </c>
      <c r="B1004" s="23" t="s">
        <v>75</v>
      </c>
      <c r="C1004" s="39">
        <v>3897</v>
      </c>
      <c r="D1004" s="24">
        <v>11.69</v>
      </c>
      <c r="E1004" s="24">
        <v>2.1</v>
      </c>
      <c r="F1004" s="23">
        <f>COUNTIFS(mdr_rate_cleaned!$A$2:$A$10,B1004,mdr_rate_cleaned!$B$2:$B$10,"&lt;"&amp;C1004,mdr_rate_cleaned!$F$2:$F$10,"&gt;="&amp;C1004)</f>
        <v>1</v>
      </c>
      <c r="G1004" s="40">
        <f>SUMIFS(mdr_rate_cleaned!$G$2:$G$10,mdr_rate_cleaned!$A$2:$A$10,B1004,mdr_rate_cleaned!$B$2:$B$10,"&lt;"&amp;C1004,mdr_rate_cleaned!$F$2:$F$10,"&gt;="&amp;C1004)</f>
        <v>3.0000000000000001E-3</v>
      </c>
      <c r="H1004" s="24">
        <f t="shared" si="75"/>
        <v>11.69</v>
      </c>
      <c r="I1004" s="23" t="str">
        <f t="shared" si="76"/>
        <v>Match</v>
      </c>
      <c r="J1004" s="23" t="str">
        <f t="shared" si="77"/>
        <v>Match</v>
      </c>
      <c r="K1004" s="24">
        <f t="shared" si="78"/>
        <v>2.1</v>
      </c>
      <c r="L1004" s="24">
        <f t="shared" si="79"/>
        <v>0</v>
      </c>
    </row>
    <row r="1005" spans="1:12" ht="15" customHeight="1" x14ac:dyDescent="0.3">
      <c r="A1005" s="23" t="s">
        <v>13590</v>
      </c>
      <c r="B1005" s="23" t="s">
        <v>75</v>
      </c>
      <c r="C1005" s="39">
        <v>1648</v>
      </c>
      <c r="D1005" s="24">
        <v>0</v>
      </c>
      <c r="E1005" s="24">
        <v>0</v>
      </c>
      <c r="F1005" s="23">
        <f>COUNTIFS(mdr_rate_cleaned!$A$2:$A$10,B1005,mdr_rate_cleaned!$B$2:$B$10,"&lt;"&amp;C1005,mdr_rate_cleaned!$F$2:$F$10,"&gt;="&amp;C1005)</f>
        <v>1</v>
      </c>
      <c r="G1005" s="40">
        <f>SUMIFS(mdr_rate_cleaned!$G$2:$G$10,mdr_rate_cleaned!$A$2:$A$10,B1005,mdr_rate_cleaned!$B$2:$B$10,"&lt;"&amp;C1005,mdr_rate_cleaned!$F$2:$F$10,"&gt;="&amp;C1005)</f>
        <v>0</v>
      </c>
      <c r="H1005" s="24">
        <f t="shared" si="75"/>
        <v>0</v>
      </c>
      <c r="I1005" s="23" t="str">
        <f t="shared" si="76"/>
        <v>Match</v>
      </c>
      <c r="J1005" s="23" t="str">
        <f t="shared" si="77"/>
        <v>Match</v>
      </c>
      <c r="K1005" s="24">
        <f t="shared" si="78"/>
        <v>0</v>
      </c>
      <c r="L1005" s="24">
        <f t="shared" si="79"/>
        <v>0</v>
      </c>
    </row>
    <row r="1006" spans="1:12" ht="15" customHeight="1" x14ac:dyDescent="0.3">
      <c r="A1006" s="23" t="s">
        <v>13591</v>
      </c>
      <c r="B1006" s="23" t="s">
        <v>75</v>
      </c>
      <c r="C1006" s="39">
        <v>1498</v>
      </c>
      <c r="D1006" s="24">
        <v>0</v>
      </c>
      <c r="E1006" s="24">
        <v>0</v>
      </c>
      <c r="F1006" s="23">
        <f>COUNTIFS(mdr_rate_cleaned!$A$2:$A$10,B1006,mdr_rate_cleaned!$B$2:$B$10,"&lt;"&amp;C1006,mdr_rate_cleaned!$F$2:$F$10,"&gt;="&amp;C1006)</f>
        <v>1</v>
      </c>
      <c r="G1006" s="40">
        <f>SUMIFS(mdr_rate_cleaned!$G$2:$G$10,mdr_rate_cleaned!$A$2:$A$10,B1006,mdr_rate_cleaned!$B$2:$B$10,"&lt;"&amp;C1006,mdr_rate_cleaned!$F$2:$F$10,"&gt;="&amp;C1006)</f>
        <v>0</v>
      </c>
      <c r="H1006" s="24">
        <f t="shared" si="75"/>
        <v>0</v>
      </c>
      <c r="I1006" s="23" t="str">
        <f t="shared" si="76"/>
        <v>Match</v>
      </c>
      <c r="J1006" s="23" t="str">
        <f t="shared" si="77"/>
        <v>Match</v>
      </c>
      <c r="K1006" s="24">
        <f t="shared" si="78"/>
        <v>0</v>
      </c>
      <c r="L1006" s="24">
        <f t="shared" si="79"/>
        <v>0</v>
      </c>
    </row>
    <row r="1007" spans="1:12" ht="15" customHeight="1" x14ac:dyDescent="0.3">
      <c r="A1007" s="23" t="s">
        <v>13592</v>
      </c>
      <c r="B1007" s="23" t="s">
        <v>79</v>
      </c>
      <c r="C1007" s="39">
        <v>698</v>
      </c>
      <c r="D1007" s="24">
        <v>12.56</v>
      </c>
      <c r="E1007" s="24">
        <v>2.2599999999999998</v>
      </c>
      <c r="F1007" s="23">
        <f>COUNTIFS(mdr_rate_cleaned!$A$2:$A$10,B1007,mdr_rate_cleaned!$B$2:$B$10,"&lt;"&amp;C1007,mdr_rate_cleaned!$F$2:$F$10,"&gt;="&amp;C1007)</f>
        <v>1</v>
      </c>
      <c r="G1007" s="40">
        <f>SUMIFS(mdr_rate_cleaned!$G$2:$G$10,mdr_rate_cleaned!$A$2:$A$10,B1007,mdr_rate_cleaned!$B$2:$B$10,"&lt;"&amp;C1007,mdr_rate_cleaned!$F$2:$F$10,"&gt;="&amp;C1007)</f>
        <v>1.8000000000000002E-2</v>
      </c>
      <c r="H1007" s="24">
        <f t="shared" si="75"/>
        <v>12.56</v>
      </c>
      <c r="I1007" s="23" t="str">
        <f t="shared" si="76"/>
        <v>Match</v>
      </c>
      <c r="J1007" s="23" t="str">
        <f t="shared" si="77"/>
        <v>Match</v>
      </c>
      <c r="K1007" s="24">
        <f t="shared" si="78"/>
        <v>2.2599999999999998</v>
      </c>
      <c r="L1007" s="24">
        <f t="shared" si="79"/>
        <v>0</v>
      </c>
    </row>
    <row r="1008" spans="1:12" ht="15" customHeight="1" x14ac:dyDescent="0.3">
      <c r="A1008" s="23" t="s">
        <v>13593</v>
      </c>
      <c r="B1008" s="23" t="s">
        <v>75</v>
      </c>
      <c r="C1008" s="39">
        <v>349</v>
      </c>
      <c r="D1008" s="24">
        <v>0</v>
      </c>
      <c r="E1008" s="24">
        <v>0</v>
      </c>
      <c r="F1008" s="23">
        <f>COUNTIFS(mdr_rate_cleaned!$A$2:$A$10,B1008,mdr_rate_cleaned!$B$2:$B$10,"&lt;"&amp;C1008,mdr_rate_cleaned!$F$2:$F$10,"&gt;="&amp;C1008)</f>
        <v>1</v>
      </c>
      <c r="G1008" s="40">
        <f>SUMIFS(mdr_rate_cleaned!$G$2:$G$10,mdr_rate_cleaned!$A$2:$A$10,B1008,mdr_rate_cleaned!$B$2:$B$10,"&lt;"&amp;C1008,mdr_rate_cleaned!$F$2:$F$10,"&gt;="&amp;C1008)</f>
        <v>0</v>
      </c>
      <c r="H1008" s="24">
        <f t="shared" si="75"/>
        <v>0</v>
      </c>
      <c r="I1008" s="23" t="str">
        <f t="shared" si="76"/>
        <v>Match</v>
      </c>
      <c r="J1008" s="23" t="str">
        <f t="shared" si="77"/>
        <v>Match</v>
      </c>
      <c r="K1008" s="24">
        <f t="shared" si="78"/>
        <v>0</v>
      </c>
      <c r="L1008" s="24">
        <f t="shared" si="79"/>
        <v>0</v>
      </c>
    </row>
    <row r="1009" spans="1:12" ht="15" customHeight="1" x14ac:dyDescent="0.3">
      <c r="A1009" s="23" t="s">
        <v>13594</v>
      </c>
      <c r="B1009" s="23" t="s">
        <v>79</v>
      </c>
      <c r="C1009" s="39">
        <v>3597</v>
      </c>
      <c r="D1009" s="24">
        <v>57.55</v>
      </c>
      <c r="E1009" s="24">
        <v>10.36</v>
      </c>
      <c r="F1009" s="23">
        <f>COUNTIFS(mdr_rate_cleaned!$A$2:$A$10,B1009,mdr_rate_cleaned!$B$2:$B$10,"&lt;"&amp;C1009,mdr_rate_cleaned!$F$2:$F$10,"&gt;="&amp;C1009)</f>
        <v>1</v>
      </c>
      <c r="G1009" s="40">
        <f>SUMIFS(mdr_rate_cleaned!$G$2:$G$10,mdr_rate_cleaned!$A$2:$A$10,B1009,mdr_rate_cleaned!$B$2:$B$10,"&lt;"&amp;C1009,mdr_rate_cleaned!$F$2:$F$10,"&gt;="&amp;C1009)</f>
        <v>1.6E-2</v>
      </c>
      <c r="H1009" s="24">
        <f t="shared" si="75"/>
        <v>57.55</v>
      </c>
      <c r="I1009" s="23" t="str">
        <f t="shared" si="76"/>
        <v>Match</v>
      </c>
      <c r="J1009" s="23" t="str">
        <f t="shared" si="77"/>
        <v>Match</v>
      </c>
      <c r="K1009" s="24">
        <f t="shared" si="78"/>
        <v>10.36</v>
      </c>
      <c r="L1009" s="24">
        <f t="shared" si="79"/>
        <v>0</v>
      </c>
    </row>
    <row r="1010" spans="1:12" ht="15" customHeight="1" x14ac:dyDescent="0.3">
      <c r="A1010" s="23" t="s">
        <v>13596</v>
      </c>
      <c r="B1010" s="23" t="s">
        <v>75</v>
      </c>
      <c r="C1010" s="39">
        <v>8348</v>
      </c>
      <c r="D1010" s="24">
        <v>25.04</v>
      </c>
      <c r="E1010" s="24">
        <v>4.51</v>
      </c>
      <c r="F1010" s="23">
        <f>COUNTIFS(mdr_rate_cleaned!$A$2:$A$10,B1010,mdr_rate_cleaned!$B$2:$B$10,"&lt;"&amp;C1010,mdr_rate_cleaned!$F$2:$F$10,"&gt;="&amp;C1010)</f>
        <v>1</v>
      </c>
      <c r="G1010" s="40">
        <f>SUMIFS(mdr_rate_cleaned!$G$2:$G$10,mdr_rate_cleaned!$A$2:$A$10,B1010,mdr_rate_cleaned!$B$2:$B$10,"&lt;"&amp;C1010,mdr_rate_cleaned!$F$2:$F$10,"&gt;="&amp;C1010)</f>
        <v>3.0000000000000001E-3</v>
      </c>
      <c r="H1010" s="24">
        <f t="shared" si="75"/>
        <v>25.04</v>
      </c>
      <c r="I1010" s="23" t="str">
        <f t="shared" si="76"/>
        <v>Match</v>
      </c>
      <c r="J1010" s="23" t="str">
        <f t="shared" si="77"/>
        <v>Match</v>
      </c>
      <c r="K1010" s="24">
        <f t="shared" si="78"/>
        <v>4.51</v>
      </c>
      <c r="L1010" s="24">
        <f t="shared" si="79"/>
        <v>0</v>
      </c>
    </row>
    <row r="1011" spans="1:12" ht="15" customHeight="1" x14ac:dyDescent="0.3">
      <c r="A1011" s="23" t="s">
        <v>13597</v>
      </c>
      <c r="B1011" s="23" t="s">
        <v>77</v>
      </c>
      <c r="C1011" s="39">
        <v>3499</v>
      </c>
      <c r="D1011" s="24">
        <v>59.48</v>
      </c>
      <c r="E1011" s="24">
        <v>10.71</v>
      </c>
      <c r="F1011" s="23">
        <f>COUNTIFS(mdr_rate_cleaned!$A$2:$A$10,B1011,mdr_rate_cleaned!$B$2:$B$10,"&lt;"&amp;C1011,mdr_rate_cleaned!$F$2:$F$10,"&gt;="&amp;C1011)</f>
        <v>1</v>
      </c>
      <c r="G1011" s="40">
        <f>SUMIFS(mdr_rate_cleaned!$G$2:$G$10,mdr_rate_cleaned!$A$2:$A$10,B1011,mdr_rate_cleaned!$B$2:$B$10,"&lt;"&amp;C1011,mdr_rate_cleaned!$F$2:$F$10,"&gt;="&amp;C1011)</f>
        <v>1.7000000000000001E-2</v>
      </c>
      <c r="H1011" s="24">
        <f t="shared" si="75"/>
        <v>59.48</v>
      </c>
      <c r="I1011" s="23" t="str">
        <f t="shared" si="76"/>
        <v>Match</v>
      </c>
      <c r="J1011" s="23" t="str">
        <f t="shared" si="77"/>
        <v>Match</v>
      </c>
      <c r="K1011" s="24">
        <f t="shared" si="78"/>
        <v>10.71</v>
      </c>
      <c r="L1011" s="24">
        <f t="shared" si="79"/>
        <v>0</v>
      </c>
    </row>
    <row r="1012" spans="1:12" ht="15" customHeight="1" x14ac:dyDescent="0.3">
      <c r="A1012" s="23" t="s">
        <v>13598</v>
      </c>
      <c r="B1012" s="23" t="s">
        <v>79</v>
      </c>
      <c r="C1012" s="39">
        <v>8348</v>
      </c>
      <c r="D1012" s="24">
        <v>133.57</v>
      </c>
      <c r="E1012" s="24">
        <v>24.04</v>
      </c>
      <c r="F1012" s="23">
        <f>COUNTIFS(mdr_rate_cleaned!$A$2:$A$10,B1012,mdr_rate_cleaned!$B$2:$B$10,"&lt;"&amp;C1012,mdr_rate_cleaned!$F$2:$F$10,"&gt;="&amp;C1012)</f>
        <v>1</v>
      </c>
      <c r="G1012" s="40">
        <f>SUMIFS(mdr_rate_cleaned!$G$2:$G$10,mdr_rate_cleaned!$A$2:$A$10,B1012,mdr_rate_cleaned!$B$2:$B$10,"&lt;"&amp;C1012,mdr_rate_cleaned!$F$2:$F$10,"&gt;="&amp;C1012)</f>
        <v>1.6E-2</v>
      </c>
      <c r="H1012" s="24">
        <f t="shared" si="75"/>
        <v>133.57</v>
      </c>
      <c r="I1012" s="23" t="str">
        <f t="shared" si="76"/>
        <v>Match</v>
      </c>
      <c r="J1012" s="23" t="str">
        <f t="shared" si="77"/>
        <v>Match</v>
      </c>
      <c r="K1012" s="24">
        <f t="shared" si="78"/>
        <v>24.04</v>
      </c>
      <c r="L1012" s="24">
        <f t="shared" si="79"/>
        <v>0</v>
      </c>
    </row>
    <row r="1013" spans="1:12" ht="15" customHeight="1" x14ac:dyDescent="0.3">
      <c r="A1013" s="23" t="s">
        <v>13599</v>
      </c>
      <c r="B1013" s="23" t="s">
        <v>79</v>
      </c>
      <c r="C1013" s="39">
        <v>1799</v>
      </c>
      <c r="D1013" s="24">
        <v>32.380000000000003</v>
      </c>
      <c r="E1013" s="24">
        <v>5.83</v>
      </c>
      <c r="F1013" s="23">
        <f>COUNTIFS(mdr_rate_cleaned!$A$2:$A$10,B1013,mdr_rate_cleaned!$B$2:$B$10,"&lt;"&amp;C1013,mdr_rate_cleaned!$F$2:$F$10,"&gt;="&amp;C1013)</f>
        <v>1</v>
      </c>
      <c r="G1013" s="40">
        <f>SUMIFS(mdr_rate_cleaned!$G$2:$G$10,mdr_rate_cleaned!$A$2:$A$10,B1013,mdr_rate_cleaned!$B$2:$B$10,"&lt;"&amp;C1013,mdr_rate_cleaned!$F$2:$F$10,"&gt;="&amp;C1013)</f>
        <v>1.8000000000000002E-2</v>
      </c>
      <c r="H1013" s="24">
        <f t="shared" si="75"/>
        <v>32.380000000000003</v>
      </c>
      <c r="I1013" s="23" t="str">
        <f t="shared" si="76"/>
        <v>Match</v>
      </c>
      <c r="J1013" s="23" t="str">
        <f t="shared" si="77"/>
        <v>Match</v>
      </c>
      <c r="K1013" s="24">
        <f t="shared" si="78"/>
        <v>5.83</v>
      </c>
      <c r="L1013" s="24">
        <f t="shared" si="79"/>
        <v>0</v>
      </c>
    </row>
    <row r="1014" spans="1:12" ht="15" customHeight="1" x14ac:dyDescent="0.3">
      <c r="A1014" s="23" t="s">
        <v>13600</v>
      </c>
      <c r="B1014" s="23" t="s">
        <v>79</v>
      </c>
      <c r="C1014" s="39">
        <v>299</v>
      </c>
      <c r="D1014" s="24">
        <v>5.38</v>
      </c>
      <c r="E1014" s="24">
        <v>0.97</v>
      </c>
      <c r="F1014" s="23">
        <f>COUNTIFS(mdr_rate_cleaned!$A$2:$A$10,B1014,mdr_rate_cleaned!$B$2:$B$10,"&lt;"&amp;C1014,mdr_rate_cleaned!$F$2:$F$10,"&gt;="&amp;C1014)</f>
        <v>1</v>
      </c>
      <c r="G1014" s="40">
        <f>SUMIFS(mdr_rate_cleaned!$G$2:$G$10,mdr_rate_cleaned!$A$2:$A$10,B1014,mdr_rate_cleaned!$B$2:$B$10,"&lt;"&amp;C1014,mdr_rate_cleaned!$F$2:$F$10,"&gt;="&amp;C1014)</f>
        <v>1.8000000000000002E-2</v>
      </c>
      <c r="H1014" s="24">
        <f t="shared" si="75"/>
        <v>5.38</v>
      </c>
      <c r="I1014" s="23" t="str">
        <f t="shared" si="76"/>
        <v>Match</v>
      </c>
      <c r="J1014" s="23" t="str">
        <f t="shared" si="77"/>
        <v>Match</v>
      </c>
      <c r="K1014" s="24">
        <f t="shared" si="78"/>
        <v>0.97</v>
      </c>
      <c r="L1014" s="24">
        <f t="shared" si="79"/>
        <v>0</v>
      </c>
    </row>
    <row r="1015" spans="1:12" ht="15" customHeight="1" x14ac:dyDescent="0.3">
      <c r="A1015" s="23" t="s">
        <v>13602</v>
      </c>
      <c r="B1015" s="23" t="s">
        <v>79</v>
      </c>
      <c r="C1015" s="39">
        <v>3499</v>
      </c>
      <c r="D1015" s="24">
        <v>55.98</v>
      </c>
      <c r="E1015" s="24">
        <v>10.08</v>
      </c>
      <c r="F1015" s="23">
        <f>COUNTIFS(mdr_rate_cleaned!$A$2:$A$10,B1015,mdr_rate_cleaned!$B$2:$B$10,"&lt;"&amp;C1015,mdr_rate_cleaned!$F$2:$F$10,"&gt;="&amp;C1015)</f>
        <v>1</v>
      </c>
      <c r="G1015" s="40">
        <f>SUMIFS(mdr_rate_cleaned!$G$2:$G$10,mdr_rate_cleaned!$A$2:$A$10,B1015,mdr_rate_cleaned!$B$2:$B$10,"&lt;"&amp;C1015,mdr_rate_cleaned!$F$2:$F$10,"&gt;="&amp;C1015)</f>
        <v>1.6E-2</v>
      </c>
      <c r="H1015" s="24">
        <f t="shared" si="75"/>
        <v>55.98</v>
      </c>
      <c r="I1015" s="23" t="str">
        <f t="shared" si="76"/>
        <v>Match</v>
      </c>
      <c r="J1015" s="23" t="str">
        <f t="shared" si="77"/>
        <v>Match</v>
      </c>
      <c r="K1015" s="24">
        <f t="shared" si="78"/>
        <v>10.08</v>
      </c>
      <c r="L1015" s="24">
        <f t="shared" si="79"/>
        <v>0</v>
      </c>
    </row>
    <row r="1016" spans="1:12" ht="15" customHeight="1" x14ac:dyDescent="0.3">
      <c r="A1016" s="23" t="s">
        <v>13603</v>
      </c>
      <c r="B1016" s="23" t="s">
        <v>79</v>
      </c>
      <c r="C1016" s="39">
        <v>7999</v>
      </c>
      <c r="D1016" s="24">
        <v>127.98</v>
      </c>
      <c r="E1016" s="24">
        <v>23.04</v>
      </c>
      <c r="F1016" s="23">
        <f>COUNTIFS(mdr_rate_cleaned!$A$2:$A$10,B1016,mdr_rate_cleaned!$B$2:$B$10,"&lt;"&amp;C1016,mdr_rate_cleaned!$F$2:$F$10,"&gt;="&amp;C1016)</f>
        <v>1</v>
      </c>
      <c r="G1016" s="40">
        <f>SUMIFS(mdr_rate_cleaned!$G$2:$G$10,mdr_rate_cleaned!$A$2:$A$10,B1016,mdr_rate_cleaned!$B$2:$B$10,"&lt;"&amp;C1016,mdr_rate_cleaned!$F$2:$F$10,"&gt;="&amp;C1016)</f>
        <v>1.6E-2</v>
      </c>
      <c r="H1016" s="24">
        <f t="shared" si="75"/>
        <v>127.98</v>
      </c>
      <c r="I1016" s="23" t="str">
        <f t="shared" si="76"/>
        <v>Match</v>
      </c>
      <c r="J1016" s="23" t="str">
        <f t="shared" si="77"/>
        <v>Match</v>
      </c>
      <c r="K1016" s="24">
        <f t="shared" si="78"/>
        <v>23.04</v>
      </c>
      <c r="L1016" s="24">
        <f t="shared" si="79"/>
        <v>0</v>
      </c>
    </row>
    <row r="1017" spans="1:12" ht="15" customHeight="1" x14ac:dyDescent="0.3">
      <c r="A1017" s="23" t="s">
        <v>13604</v>
      </c>
      <c r="B1017" s="23" t="s">
        <v>75</v>
      </c>
      <c r="C1017" s="39">
        <v>1898</v>
      </c>
      <c r="D1017" s="24">
        <v>0</v>
      </c>
      <c r="E1017" s="24">
        <v>0</v>
      </c>
      <c r="F1017" s="23">
        <f>COUNTIFS(mdr_rate_cleaned!$A$2:$A$10,B1017,mdr_rate_cleaned!$B$2:$B$10,"&lt;"&amp;C1017,mdr_rate_cleaned!$F$2:$F$10,"&gt;="&amp;C1017)</f>
        <v>1</v>
      </c>
      <c r="G1017" s="40">
        <f>SUMIFS(mdr_rate_cleaned!$G$2:$G$10,mdr_rate_cleaned!$A$2:$A$10,B1017,mdr_rate_cleaned!$B$2:$B$10,"&lt;"&amp;C1017,mdr_rate_cleaned!$F$2:$F$10,"&gt;="&amp;C1017)</f>
        <v>0</v>
      </c>
      <c r="H1017" s="24">
        <f t="shared" si="75"/>
        <v>0</v>
      </c>
      <c r="I1017" s="23" t="str">
        <f t="shared" si="76"/>
        <v>Match</v>
      </c>
      <c r="J1017" s="23" t="str">
        <f t="shared" si="77"/>
        <v>Match</v>
      </c>
      <c r="K1017" s="24">
        <f t="shared" si="78"/>
        <v>0</v>
      </c>
      <c r="L1017" s="24">
        <f t="shared" si="79"/>
        <v>0</v>
      </c>
    </row>
    <row r="1018" spans="1:12" ht="15" customHeight="1" x14ac:dyDescent="0.3">
      <c r="A1018" s="23" t="s">
        <v>13605</v>
      </c>
      <c r="B1018" s="23" t="s">
        <v>81</v>
      </c>
      <c r="C1018" s="39">
        <v>3298</v>
      </c>
      <c r="D1018" s="24">
        <v>39.58</v>
      </c>
      <c r="E1018" s="24">
        <v>7.12</v>
      </c>
      <c r="F1018" s="23">
        <f>COUNTIFS(mdr_rate_cleaned!$A$2:$A$10,B1018,mdr_rate_cleaned!$B$2:$B$10,"&lt;"&amp;C1018,mdr_rate_cleaned!$F$2:$F$10,"&gt;="&amp;C1018)</f>
        <v>1</v>
      </c>
      <c r="G1018" s="40">
        <f>SUMIFS(mdr_rate_cleaned!$G$2:$G$10,mdr_rate_cleaned!$A$2:$A$10,B1018,mdr_rate_cleaned!$B$2:$B$10,"&lt;"&amp;C1018,mdr_rate_cleaned!$F$2:$F$10,"&gt;="&amp;C1018)</f>
        <v>1.2E-2</v>
      </c>
      <c r="H1018" s="24">
        <f t="shared" si="75"/>
        <v>39.58</v>
      </c>
      <c r="I1018" s="23" t="str">
        <f t="shared" si="76"/>
        <v>Match</v>
      </c>
      <c r="J1018" s="23" t="str">
        <f t="shared" si="77"/>
        <v>Match</v>
      </c>
      <c r="K1018" s="24">
        <f t="shared" si="78"/>
        <v>7.12</v>
      </c>
      <c r="L1018" s="24">
        <f t="shared" si="79"/>
        <v>0</v>
      </c>
    </row>
    <row r="1019" spans="1:12" ht="15" customHeight="1" x14ac:dyDescent="0.3">
      <c r="A1019" s="23" t="s">
        <v>13606</v>
      </c>
      <c r="B1019" s="23" t="s">
        <v>75</v>
      </c>
      <c r="C1019" s="39">
        <v>1299</v>
      </c>
      <c r="D1019" s="24">
        <v>0</v>
      </c>
      <c r="E1019" s="24">
        <v>0</v>
      </c>
      <c r="F1019" s="23">
        <f>COUNTIFS(mdr_rate_cleaned!$A$2:$A$10,B1019,mdr_rate_cleaned!$B$2:$B$10,"&lt;"&amp;C1019,mdr_rate_cleaned!$F$2:$F$10,"&gt;="&amp;C1019)</f>
        <v>1</v>
      </c>
      <c r="G1019" s="40">
        <f>SUMIFS(mdr_rate_cleaned!$G$2:$G$10,mdr_rate_cleaned!$A$2:$A$10,B1019,mdr_rate_cleaned!$B$2:$B$10,"&lt;"&amp;C1019,mdr_rate_cleaned!$F$2:$F$10,"&gt;="&amp;C1019)</f>
        <v>0</v>
      </c>
      <c r="H1019" s="24">
        <f t="shared" si="75"/>
        <v>0</v>
      </c>
      <c r="I1019" s="23" t="str">
        <f t="shared" si="76"/>
        <v>Match</v>
      </c>
      <c r="J1019" s="23" t="str">
        <f t="shared" si="77"/>
        <v>Match</v>
      </c>
      <c r="K1019" s="24">
        <f t="shared" si="78"/>
        <v>0</v>
      </c>
      <c r="L1019" s="24">
        <f t="shared" si="79"/>
        <v>0</v>
      </c>
    </row>
    <row r="1020" spans="1:12" ht="15" customHeight="1" x14ac:dyDescent="0.3">
      <c r="A1020" s="23" t="s">
        <v>13607</v>
      </c>
      <c r="B1020" s="23" t="s">
        <v>75</v>
      </c>
      <c r="C1020" s="39">
        <v>2398</v>
      </c>
      <c r="D1020" s="24">
        <v>7.19</v>
      </c>
      <c r="E1020" s="24">
        <v>1.29</v>
      </c>
      <c r="F1020" s="23">
        <f>COUNTIFS(mdr_rate_cleaned!$A$2:$A$10,B1020,mdr_rate_cleaned!$B$2:$B$10,"&lt;"&amp;C1020,mdr_rate_cleaned!$F$2:$F$10,"&gt;="&amp;C1020)</f>
        <v>1</v>
      </c>
      <c r="G1020" s="40">
        <f>SUMIFS(mdr_rate_cleaned!$G$2:$G$10,mdr_rate_cleaned!$A$2:$A$10,B1020,mdr_rate_cleaned!$B$2:$B$10,"&lt;"&amp;C1020,mdr_rate_cleaned!$F$2:$F$10,"&gt;="&amp;C1020)</f>
        <v>3.0000000000000001E-3</v>
      </c>
      <c r="H1020" s="24">
        <f t="shared" si="75"/>
        <v>7.19</v>
      </c>
      <c r="I1020" s="23" t="str">
        <f t="shared" si="76"/>
        <v>Match</v>
      </c>
      <c r="J1020" s="23" t="str">
        <f t="shared" si="77"/>
        <v>Match</v>
      </c>
      <c r="K1020" s="24">
        <f t="shared" si="78"/>
        <v>1.29</v>
      </c>
      <c r="L1020" s="24">
        <f t="shared" si="79"/>
        <v>0</v>
      </c>
    </row>
    <row r="1021" spans="1:12" ht="15" customHeight="1" x14ac:dyDescent="0.3">
      <c r="A1021" s="23" t="s">
        <v>13608</v>
      </c>
      <c r="B1021" s="23" t="s">
        <v>75</v>
      </c>
      <c r="C1021" s="39">
        <v>2999</v>
      </c>
      <c r="D1021" s="24">
        <v>9</v>
      </c>
      <c r="E1021" s="24">
        <v>1.62</v>
      </c>
      <c r="F1021" s="23">
        <f>COUNTIFS(mdr_rate_cleaned!$A$2:$A$10,B1021,mdr_rate_cleaned!$B$2:$B$10,"&lt;"&amp;C1021,mdr_rate_cleaned!$F$2:$F$10,"&gt;="&amp;C1021)</f>
        <v>1</v>
      </c>
      <c r="G1021" s="40">
        <f>SUMIFS(mdr_rate_cleaned!$G$2:$G$10,mdr_rate_cleaned!$A$2:$A$10,B1021,mdr_rate_cleaned!$B$2:$B$10,"&lt;"&amp;C1021,mdr_rate_cleaned!$F$2:$F$10,"&gt;="&amp;C1021)</f>
        <v>3.0000000000000001E-3</v>
      </c>
      <c r="H1021" s="24">
        <f t="shared" si="75"/>
        <v>9</v>
      </c>
      <c r="I1021" s="23" t="str">
        <f t="shared" si="76"/>
        <v>Match</v>
      </c>
      <c r="J1021" s="23" t="str">
        <f t="shared" si="77"/>
        <v>Match</v>
      </c>
      <c r="K1021" s="24">
        <f t="shared" si="78"/>
        <v>1.62</v>
      </c>
      <c r="L1021" s="24">
        <f t="shared" si="79"/>
        <v>0</v>
      </c>
    </row>
    <row r="1022" spans="1:12" ht="15" customHeight="1" x14ac:dyDescent="0.3">
      <c r="A1022" s="23" t="s">
        <v>13609</v>
      </c>
      <c r="B1022" s="23" t="s">
        <v>75</v>
      </c>
      <c r="C1022" s="39">
        <v>2999</v>
      </c>
      <c r="D1022" s="24">
        <v>9</v>
      </c>
      <c r="E1022" s="24">
        <v>1.62</v>
      </c>
      <c r="F1022" s="23">
        <f>COUNTIFS(mdr_rate_cleaned!$A$2:$A$10,B1022,mdr_rate_cleaned!$B$2:$B$10,"&lt;"&amp;C1022,mdr_rate_cleaned!$F$2:$F$10,"&gt;="&amp;C1022)</f>
        <v>1</v>
      </c>
      <c r="G1022" s="40">
        <f>SUMIFS(mdr_rate_cleaned!$G$2:$G$10,mdr_rate_cleaned!$A$2:$A$10,B1022,mdr_rate_cleaned!$B$2:$B$10,"&lt;"&amp;C1022,mdr_rate_cleaned!$F$2:$F$10,"&gt;="&amp;C1022)</f>
        <v>3.0000000000000001E-3</v>
      </c>
      <c r="H1022" s="24">
        <f t="shared" si="75"/>
        <v>9</v>
      </c>
      <c r="I1022" s="23" t="str">
        <f t="shared" si="76"/>
        <v>Match</v>
      </c>
      <c r="J1022" s="23" t="str">
        <f t="shared" si="77"/>
        <v>Match</v>
      </c>
      <c r="K1022" s="24">
        <f t="shared" si="78"/>
        <v>1.62</v>
      </c>
      <c r="L1022" s="24">
        <f t="shared" si="79"/>
        <v>0</v>
      </c>
    </row>
    <row r="1023" spans="1:12" ht="15" customHeight="1" x14ac:dyDescent="0.3">
      <c r="A1023" s="23" t="s">
        <v>13610</v>
      </c>
      <c r="B1023" s="23" t="s">
        <v>75</v>
      </c>
      <c r="C1023" s="39">
        <v>1798</v>
      </c>
      <c r="D1023" s="24">
        <v>0</v>
      </c>
      <c r="E1023" s="24">
        <v>0</v>
      </c>
      <c r="F1023" s="23">
        <f>COUNTIFS(mdr_rate_cleaned!$A$2:$A$10,B1023,mdr_rate_cleaned!$B$2:$B$10,"&lt;"&amp;C1023,mdr_rate_cleaned!$F$2:$F$10,"&gt;="&amp;C1023)</f>
        <v>1</v>
      </c>
      <c r="G1023" s="40">
        <f>SUMIFS(mdr_rate_cleaned!$G$2:$G$10,mdr_rate_cleaned!$A$2:$A$10,B1023,mdr_rate_cleaned!$B$2:$B$10,"&lt;"&amp;C1023,mdr_rate_cleaned!$F$2:$F$10,"&gt;="&amp;C1023)</f>
        <v>0</v>
      </c>
      <c r="H1023" s="24">
        <f t="shared" si="75"/>
        <v>0</v>
      </c>
      <c r="I1023" s="23" t="str">
        <f t="shared" si="76"/>
        <v>Match</v>
      </c>
      <c r="J1023" s="23" t="str">
        <f t="shared" si="77"/>
        <v>Match</v>
      </c>
      <c r="K1023" s="24">
        <f t="shared" si="78"/>
        <v>0</v>
      </c>
      <c r="L1023" s="24">
        <f t="shared" si="79"/>
        <v>0</v>
      </c>
    </row>
    <row r="1024" spans="1:12" ht="15" customHeight="1" x14ac:dyDescent="0.3">
      <c r="A1024" s="23" t="s">
        <v>13611</v>
      </c>
      <c r="B1024" s="23" t="s">
        <v>79</v>
      </c>
      <c r="C1024" s="39">
        <v>7999</v>
      </c>
      <c r="D1024" s="24">
        <v>127.98</v>
      </c>
      <c r="E1024" s="24">
        <v>23.04</v>
      </c>
      <c r="F1024" s="23">
        <f>COUNTIFS(mdr_rate_cleaned!$A$2:$A$10,B1024,mdr_rate_cleaned!$B$2:$B$10,"&lt;"&amp;C1024,mdr_rate_cleaned!$F$2:$F$10,"&gt;="&amp;C1024)</f>
        <v>1</v>
      </c>
      <c r="G1024" s="40">
        <f>SUMIFS(mdr_rate_cleaned!$G$2:$G$10,mdr_rate_cleaned!$A$2:$A$10,B1024,mdr_rate_cleaned!$B$2:$B$10,"&lt;"&amp;C1024,mdr_rate_cleaned!$F$2:$F$10,"&gt;="&amp;C1024)</f>
        <v>1.6E-2</v>
      </c>
      <c r="H1024" s="24">
        <f t="shared" si="75"/>
        <v>127.98</v>
      </c>
      <c r="I1024" s="23" t="str">
        <f t="shared" si="76"/>
        <v>Match</v>
      </c>
      <c r="J1024" s="23" t="str">
        <f t="shared" si="77"/>
        <v>Match</v>
      </c>
      <c r="K1024" s="24">
        <f t="shared" si="78"/>
        <v>23.04</v>
      </c>
      <c r="L1024" s="24">
        <f t="shared" si="79"/>
        <v>0</v>
      </c>
    </row>
    <row r="1025" spans="1:12" ht="15" customHeight="1" x14ac:dyDescent="0.3">
      <c r="A1025" s="23" t="s">
        <v>13612</v>
      </c>
      <c r="B1025" s="23" t="s">
        <v>75</v>
      </c>
      <c r="C1025" s="39">
        <v>3397</v>
      </c>
      <c r="D1025" s="24">
        <v>10.19</v>
      </c>
      <c r="E1025" s="24">
        <v>1.83</v>
      </c>
      <c r="F1025" s="23">
        <f>COUNTIFS(mdr_rate_cleaned!$A$2:$A$10,B1025,mdr_rate_cleaned!$B$2:$B$10,"&lt;"&amp;C1025,mdr_rate_cleaned!$F$2:$F$10,"&gt;="&amp;C1025)</f>
        <v>1</v>
      </c>
      <c r="G1025" s="40">
        <f>SUMIFS(mdr_rate_cleaned!$G$2:$G$10,mdr_rate_cleaned!$A$2:$A$10,B1025,mdr_rate_cleaned!$B$2:$B$10,"&lt;"&amp;C1025,mdr_rate_cleaned!$F$2:$F$10,"&gt;="&amp;C1025)</f>
        <v>3.0000000000000001E-3</v>
      </c>
      <c r="H1025" s="24">
        <f t="shared" si="75"/>
        <v>10.19</v>
      </c>
      <c r="I1025" s="23" t="str">
        <f t="shared" si="76"/>
        <v>Match</v>
      </c>
      <c r="J1025" s="23" t="str">
        <f t="shared" si="77"/>
        <v>Match</v>
      </c>
      <c r="K1025" s="24">
        <f t="shared" si="78"/>
        <v>1.83</v>
      </c>
      <c r="L1025" s="24">
        <f t="shared" si="79"/>
        <v>0</v>
      </c>
    </row>
    <row r="1026" spans="1:12" ht="15" customHeight="1" x14ac:dyDescent="0.3">
      <c r="A1026" s="23" t="s">
        <v>13613</v>
      </c>
      <c r="B1026" s="23" t="s">
        <v>79</v>
      </c>
      <c r="C1026" s="39">
        <v>799</v>
      </c>
      <c r="D1026" s="24">
        <v>14.38</v>
      </c>
      <c r="E1026" s="24">
        <v>2.59</v>
      </c>
      <c r="F1026" s="23">
        <f>COUNTIFS(mdr_rate_cleaned!$A$2:$A$10,B1026,mdr_rate_cleaned!$B$2:$B$10,"&lt;"&amp;C1026,mdr_rate_cleaned!$F$2:$F$10,"&gt;="&amp;C1026)</f>
        <v>1</v>
      </c>
      <c r="G1026" s="40">
        <f>SUMIFS(mdr_rate_cleaned!$G$2:$G$10,mdr_rate_cleaned!$A$2:$A$10,B1026,mdr_rate_cleaned!$B$2:$B$10,"&lt;"&amp;C1026,mdr_rate_cleaned!$F$2:$F$10,"&gt;="&amp;C1026)</f>
        <v>1.8000000000000002E-2</v>
      </c>
      <c r="H1026" s="24">
        <f t="shared" ref="H1026:H1089" si="80">ROUND(C1026*G1026,2)</f>
        <v>14.38</v>
      </c>
      <c r="I1026" s="23" t="str">
        <f t="shared" ref="I1026:I1089" si="81">IF(ROUND(D1026-H1026,2)=0,"Match","Differs")</f>
        <v>Match</v>
      </c>
      <c r="J1026" s="23" t="str">
        <f t="shared" ref="J1026:J1089" si="82">IF(ROUND(E1026-ROUND(D1026*0.18,2),2)=0,"Match","Differs")</f>
        <v>Match</v>
      </c>
      <c r="K1026" s="24">
        <f t="shared" ref="K1026:K1089" si="83">ROUND(H1026*0.18,2)</f>
        <v>2.59</v>
      </c>
      <c r="L1026" s="24">
        <f t="shared" ref="L1026:L1089" si="84">ROUND(D1026+E1026-H1026-K1026,2)</f>
        <v>0</v>
      </c>
    </row>
    <row r="1027" spans="1:12" ht="15" customHeight="1" x14ac:dyDescent="0.3">
      <c r="A1027" s="23" t="s">
        <v>13614</v>
      </c>
      <c r="B1027" s="23" t="s">
        <v>75</v>
      </c>
      <c r="C1027" s="39">
        <v>4999</v>
      </c>
      <c r="D1027" s="24">
        <v>15</v>
      </c>
      <c r="E1027" s="24">
        <v>2.7</v>
      </c>
      <c r="F1027" s="23">
        <f>COUNTIFS(mdr_rate_cleaned!$A$2:$A$10,B1027,mdr_rate_cleaned!$B$2:$B$10,"&lt;"&amp;C1027,mdr_rate_cleaned!$F$2:$F$10,"&gt;="&amp;C1027)</f>
        <v>1</v>
      </c>
      <c r="G1027" s="40">
        <f>SUMIFS(mdr_rate_cleaned!$G$2:$G$10,mdr_rate_cleaned!$A$2:$A$10,B1027,mdr_rate_cleaned!$B$2:$B$10,"&lt;"&amp;C1027,mdr_rate_cleaned!$F$2:$F$10,"&gt;="&amp;C1027)</f>
        <v>3.0000000000000001E-3</v>
      </c>
      <c r="H1027" s="24">
        <f t="shared" si="80"/>
        <v>15</v>
      </c>
      <c r="I1027" s="23" t="str">
        <f t="shared" si="81"/>
        <v>Match</v>
      </c>
      <c r="J1027" s="23" t="str">
        <f t="shared" si="82"/>
        <v>Match</v>
      </c>
      <c r="K1027" s="24">
        <f t="shared" si="83"/>
        <v>2.7</v>
      </c>
      <c r="L1027" s="24">
        <f t="shared" si="84"/>
        <v>0</v>
      </c>
    </row>
    <row r="1028" spans="1:12" ht="15" customHeight="1" x14ac:dyDescent="0.3">
      <c r="A1028" s="23" t="s">
        <v>13615</v>
      </c>
      <c r="B1028" s="23" t="s">
        <v>75</v>
      </c>
      <c r="C1028" s="39">
        <v>4347</v>
      </c>
      <c r="D1028" s="24">
        <v>13.04</v>
      </c>
      <c r="E1028" s="24">
        <v>2.35</v>
      </c>
      <c r="F1028" s="23">
        <f>COUNTIFS(mdr_rate_cleaned!$A$2:$A$10,B1028,mdr_rate_cleaned!$B$2:$B$10,"&lt;"&amp;C1028,mdr_rate_cleaned!$F$2:$F$10,"&gt;="&amp;C1028)</f>
        <v>1</v>
      </c>
      <c r="G1028" s="40">
        <f>SUMIFS(mdr_rate_cleaned!$G$2:$G$10,mdr_rate_cleaned!$A$2:$A$10,B1028,mdr_rate_cleaned!$B$2:$B$10,"&lt;"&amp;C1028,mdr_rate_cleaned!$F$2:$F$10,"&gt;="&amp;C1028)</f>
        <v>3.0000000000000001E-3</v>
      </c>
      <c r="H1028" s="24">
        <f t="shared" si="80"/>
        <v>13.04</v>
      </c>
      <c r="I1028" s="23" t="str">
        <f t="shared" si="81"/>
        <v>Match</v>
      </c>
      <c r="J1028" s="23" t="str">
        <f t="shared" si="82"/>
        <v>Match</v>
      </c>
      <c r="K1028" s="24">
        <f t="shared" si="83"/>
        <v>2.35</v>
      </c>
      <c r="L1028" s="24">
        <f t="shared" si="84"/>
        <v>0</v>
      </c>
    </row>
    <row r="1029" spans="1:12" ht="15" customHeight="1" x14ac:dyDescent="0.3">
      <c r="A1029" s="23" t="s">
        <v>13616</v>
      </c>
      <c r="B1029" s="23" t="s">
        <v>75</v>
      </c>
      <c r="C1029" s="39">
        <v>1499</v>
      </c>
      <c r="D1029" s="24">
        <v>0</v>
      </c>
      <c r="E1029" s="24">
        <v>0</v>
      </c>
      <c r="F1029" s="23">
        <f>COUNTIFS(mdr_rate_cleaned!$A$2:$A$10,B1029,mdr_rate_cleaned!$B$2:$B$10,"&lt;"&amp;C1029,mdr_rate_cleaned!$F$2:$F$10,"&gt;="&amp;C1029)</f>
        <v>1</v>
      </c>
      <c r="G1029" s="40">
        <f>SUMIFS(mdr_rate_cleaned!$G$2:$G$10,mdr_rate_cleaned!$A$2:$A$10,B1029,mdr_rate_cleaned!$B$2:$B$10,"&lt;"&amp;C1029,mdr_rate_cleaned!$F$2:$F$10,"&gt;="&amp;C1029)</f>
        <v>0</v>
      </c>
      <c r="H1029" s="24">
        <f t="shared" si="80"/>
        <v>0</v>
      </c>
      <c r="I1029" s="23" t="str">
        <f t="shared" si="81"/>
        <v>Match</v>
      </c>
      <c r="J1029" s="23" t="str">
        <f t="shared" si="82"/>
        <v>Match</v>
      </c>
      <c r="K1029" s="24">
        <f t="shared" si="83"/>
        <v>0</v>
      </c>
      <c r="L1029" s="24">
        <f t="shared" si="84"/>
        <v>0</v>
      </c>
    </row>
    <row r="1030" spans="1:12" ht="15" customHeight="1" x14ac:dyDescent="0.3">
      <c r="A1030" s="23" t="s">
        <v>13617</v>
      </c>
      <c r="B1030" s="23" t="s">
        <v>75</v>
      </c>
      <c r="C1030" s="39">
        <v>349</v>
      </c>
      <c r="D1030" s="24">
        <v>0</v>
      </c>
      <c r="E1030" s="24">
        <v>0</v>
      </c>
      <c r="F1030" s="23">
        <f>COUNTIFS(mdr_rate_cleaned!$A$2:$A$10,B1030,mdr_rate_cleaned!$B$2:$B$10,"&lt;"&amp;C1030,mdr_rate_cleaned!$F$2:$F$10,"&gt;="&amp;C1030)</f>
        <v>1</v>
      </c>
      <c r="G1030" s="40">
        <f>SUMIFS(mdr_rate_cleaned!$G$2:$G$10,mdr_rate_cleaned!$A$2:$A$10,B1030,mdr_rate_cleaned!$B$2:$B$10,"&lt;"&amp;C1030,mdr_rate_cleaned!$F$2:$F$10,"&gt;="&amp;C1030)</f>
        <v>0</v>
      </c>
      <c r="H1030" s="24">
        <f t="shared" si="80"/>
        <v>0</v>
      </c>
      <c r="I1030" s="23" t="str">
        <f t="shared" si="81"/>
        <v>Match</v>
      </c>
      <c r="J1030" s="23" t="str">
        <f t="shared" si="82"/>
        <v>Match</v>
      </c>
      <c r="K1030" s="24">
        <f t="shared" si="83"/>
        <v>0</v>
      </c>
      <c r="L1030" s="24">
        <f t="shared" si="84"/>
        <v>0</v>
      </c>
    </row>
    <row r="1031" spans="1:12" ht="15" customHeight="1" x14ac:dyDescent="0.3">
      <c r="A1031" s="23" t="s">
        <v>13618</v>
      </c>
      <c r="B1031" s="23" t="s">
        <v>75</v>
      </c>
      <c r="C1031" s="39">
        <v>6297</v>
      </c>
      <c r="D1031" s="24">
        <v>18.89</v>
      </c>
      <c r="E1031" s="24">
        <v>3.4</v>
      </c>
      <c r="F1031" s="23">
        <f>COUNTIFS(mdr_rate_cleaned!$A$2:$A$10,B1031,mdr_rate_cleaned!$B$2:$B$10,"&lt;"&amp;C1031,mdr_rate_cleaned!$F$2:$F$10,"&gt;="&amp;C1031)</f>
        <v>1</v>
      </c>
      <c r="G1031" s="40">
        <f>SUMIFS(mdr_rate_cleaned!$G$2:$G$10,mdr_rate_cleaned!$A$2:$A$10,B1031,mdr_rate_cleaned!$B$2:$B$10,"&lt;"&amp;C1031,mdr_rate_cleaned!$F$2:$F$10,"&gt;="&amp;C1031)</f>
        <v>3.0000000000000001E-3</v>
      </c>
      <c r="H1031" s="24">
        <f t="shared" si="80"/>
        <v>18.89</v>
      </c>
      <c r="I1031" s="23" t="str">
        <f t="shared" si="81"/>
        <v>Match</v>
      </c>
      <c r="J1031" s="23" t="str">
        <f t="shared" si="82"/>
        <v>Match</v>
      </c>
      <c r="K1031" s="24">
        <f t="shared" si="83"/>
        <v>3.4</v>
      </c>
      <c r="L1031" s="24">
        <f t="shared" si="84"/>
        <v>0</v>
      </c>
    </row>
    <row r="1032" spans="1:12" ht="15" customHeight="1" x14ac:dyDescent="0.3">
      <c r="A1032" s="23" t="s">
        <v>13619</v>
      </c>
      <c r="B1032" s="23" t="s">
        <v>79</v>
      </c>
      <c r="C1032" s="39">
        <v>299</v>
      </c>
      <c r="D1032" s="24">
        <v>5.38</v>
      </c>
      <c r="E1032" s="24">
        <v>0.97</v>
      </c>
      <c r="F1032" s="23">
        <f>COUNTIFS(mdr_rate_cleaned!$A$2:$A$10,B1032,mdr_rate_cleaned!$B$2:$B$10,"&lt;"&amp;C1032,mdr_rate_cleaned!$F$2:$F$10,"&gt;="&amp;C1032)</f>
        <v>1</v>
      </c>
      <c r="G1032" s="40">
        <f>SUMIFS(mdr_rate_cleaned!$G$2:$G$10,mdr_rate_cleaned!$A$2:$A$10,B1032,mdr_rate_cleaned!$B$2:$B$10,"&lt;"&amp;C1032,mdr_rate_cleaned!$F$2:$F$10,"&gt;="&amp;C1032)</f>
        <v>1.8000000000000002E-2</v>
      </c>
      <c r="H1032" s="24">
        <f t="shared" si="80"/>
        <v>5.38</v>
      </c>
      <c r="I1032" s="23" t="str">
        <f t="shared" si="81"/>
        <v>Match</v>
      </c>
      <c r="J1032" s="23" t="str">
        <f t="shared" si="82"/>
        <v>Match</v>
      </c>
      <c r="K1032" s="24">
        <f t="shared" si="83"/>
        <v>0.97</v>
      </c>
      <c r="L1032" s="24">
        <f t="shared" si="84"/>
        <v>0</v>
      </c>
    </row>
    <row r="1033" spans="1:12" ht="15" customHeight="1" x14ac:dyDescent="0.3">
      <c r="A1033" s="23" t="s">
        <v>13620</v>
      </c>
      <c r="B1033" s="23" t="s">
        <v>79</v>
      </c>
      <c r="C1033" s="39">
        <v>2598</v>
      </c>
      <c r="D1033" s="24">
        <v>41.57</v>
      </c>
      <c r="E1033" s="24">
        <v>7.48</v>
      </c>
      <c r="F1033" s="23">
        <f>COUNTIFS(mdr_rate_cleaned!$A$2:$A$10,B1033,mdr_rate_cleaned!$B$2:$B$10,"&lt;"&amp;C1033,mdr_rate_cleaned!$F$2:$F$10,"&gt;="&amp;C1033)</f>
        <v>1</v>
      </c>
      <c r="G1033" s="40">
        <f>SUMIFS(mdr_rate_cleaned!$G$2:$G$10,mdr_rate_cleaned!$A$2:$A$10,B1033,mdr_rate_cleaned!$B$2:$B$10,"&lt;"&amp;C1033,mdr_rate_cleaned!$F$2:$F$10,"&gt;="&amp;C1033)</f>
        <v>1.6E-2</v>
      </c>
      <c r="H1033" s="24">
        <f t="shared" si="80"/>
        <v>41.57</v>
      </c>
      <c r="I1033" s="23" t="str">
        <f t="shared" si="81"/>
        <v>Match</v>
      </c>
      <c r="J1033" s="23" t="str">
        <f t="shared" si="82"/>
        <v>Match</v>
      </c>
      <c r="K1033" s="24">
        <f t="shared" si="83"/>
        <v>7.48</v>
      </c>
      <c r="L1033" s="24">
        <f t="shared" si="84"/>
        <v>0</v>
      </c>
    </row>
    <row r="1034" spans="1:12" ht="15" customHeight="1" x14ac:dyDescent="0.3">
      <c r="A1034" s="23" t="s">
        <v>13622</v>
      </c>
      <c r="B1034" s="23" t="s">
        <v>75</v>
      </c>
      <c r="C1034" s="39">
        <v>3798</v>
      </c>
      <c r="D1034" s="24">
        <v>11.39</v>
      </c>
      <c r="E1034" s="24">
        <v>2.0499999999999998</v>
      </c>
      <c r="F1034" s="23">
        <f>COUNTIFS(mdr_rate_cleaned!$A$2:$A$10,B1034,mdr_rate_cleaned!$B$2:$B$10,"&lt;"&amp;C1034,mdr_rate_cleaned!$F$2:$F$10,"&gt;="&amp;C1034)</f>
        <v>1</v>
      </c>
      <c r="G1034" s="40">
        <f>SUMIFS(mdr_rate_cleaned!$G$2:$G$10,mdr_rate_cleaned!$A$2:$A$10,B1034,mdr_rate_cleaned!$B$2:$B$10,"&lt;"&amp;C1034,mdr_rate_cleaned!$F$2:$F$10,"&gt;="&amp;C1034)</f>
        <v>3.0000000000000001E-3</v>
      </c>
      <c r="H1034" s="24">
        <f t="shared" si="80"/>
        <v>11.39</v>
      </c>
      <c r="I1034" s="23" t="str">
        <f t="shared" si="81"/>
        <v>Match</v>
      </c>
      <c r="J1034" s="23" t="str">
        <f t="shared" si="82"/>
        <v>Match</v>
      </c>
      <c r="K1034" s="24">
        <f t="shared" si="83"/>
        <v>2.0499999999999998</v>
      </c>
      <c r="L1034" s="24">
        <f t="shared" si="84"/>
        <v>0</v>
      </c>
    </row>
    <row r="1035" spans="1:12" ht="15" customHeight="1" x14ac:dyDescent="0.3">
      <c r="A1035" s="23" t="s">
        <v>13623</v>
      </c>
      <c r="B1035" s="23" t="s">
        <v>75</v>
      </c>
      <c r="C1035" s="39">
        <v>2298</v>
      </c>
      <c r="D1035" s="24">
        <v>6.89</v>
      </c>
      <c r="E1035" s="24">
        <v>1.24</v>
      </c>
      <c r="F1035" s="23">
        <f>COUNTIFS(mdr_rate_cleaned!$A$2:$A$10,B1035,mdr_rate_cleaned!$B$2:$B$10,"&lt;"&amp;C1035,mdr_rate_cleaned!$F$2:$F$10,"&gt;="&amp;C1035)</f>
        <v>1</v>
      </c>
      <c r="G1035" s="40">
        <f>SUMIFS(mdr_rate_cleaned!$G$2:$G$10,mdr_rate_cleaned!$A$2:$A$10,B1035,mdr_rate_cleaned!$B$2:$B$10,"&lt;"&amp;C1035,mdr_rate_cleaned!$F$2:$F$10,"&gt;="&amp;C1035)</f>
        <v>3.0000000000000001E-3</v>
      </c>
      <c r="H1035" s="24">
        <f t="shared" si="80"/>
        <v>6.89</v>
      </c>
      <c r="I1035" s="23" t="str">
        <f t="shared" si="81"/>
        <v>Match</v>
      </c>
      <c r="J1035" s="23" t="str">
        <f t="shared" si="82"/>
        <v>Match</v>
      </c>
      <c r="K1035" s="24">
        <f t="shared" si="83"/>
        <v>1.24</v>
      </c>
      <c r="L1035" s="24">
        <f t="shared" si="84"/>
        <v>0</v>
      </c>
    </row>
    <row r="1036" spans="1:12" ht="15" customHeight="1" x14ac:dyDescent="0.3">
      <c r="A1036" s="23" t="s">
        <v>13624</v>
      </c>
      <c r="B1036" s="23" t="s">
        <v>79</v>
      </c>
      <c r="C1036" s="39">
        <v>8348</v>
      </c>
      <c r="D1036" s="24">
        <v>133.57</v>
      </c>
      <c r="E1036" s="24">
        <v>24.04</v>
      </c>
      <c r="F1036" s="23">
        <f>COUNTIFS(mdr_rate_cleaned!$A$2:$A$10,B1036,mdr_rate_cleaned!$B$2:$B$10,"&lt;"&amp;C1036,mdr_rate_cleaned!$F$2:$F$10,"&gt;="&amp;C1036)</f>
        <v>1</v>
      </c>
      <c r="G1036" s="40">
        <f>SUMIFS(mdr_rate_cleaned!$G$2:$G$10,mdr_rate_cleaned!$A$2:$A$10,B1036,mdr_rate_cleaned!$B$2:$B$10,"&lt;"&amp;C1036,mdr_rate_cleaned!$F$2:$F$10,"&gt;="&amp;C1036)</f>
        <v>1.6E-2</v>
      </c>
      <c r="H1036" s="24">
        <f t="shared" si="80"/>
        <v>133.57</v>
      </c>
      <c r="I1036" s="23" t="str">
        <f t="shared" si="81"/>
        <v>Match</v>
      </c>
      <c r="J1036" s="23" t="str">
        <f t="shared" si="82"/>
        <v>Match</v>
      </c>
      <c r="K1036" s="24">
        <f t="shared" si="83"/>
        <v>24.04</v>
      </c>
      <c r="L1036" s="24">
        <f t="shared" si="84"/>
        <v>0</v>
      </c>
    </row>
    <row r="1037" spans="1:12" ht="15" customHeight="1" x14ac:dyDescent="0.3">
      <c r="A1037" s="23" t="s">
        <v>13625</v>
      </c>
      <c r="B1037" s="23" t="s">
        <v>75</v>
      </c>
      <c r="C1037" s="39">
        <v>599</v>
      </c>
      <c r="D1037" s="24">
        <v>0</v>
      </c>
      <c r="E1037" s="24">
        <v>0</v>
      </c>
      <c r="F1037" s="23">
        <f>COUNTIFS(mdr_rate_cleaned!$A$2:$A$10,B1037,mdr_rate_cleaned!$B$2:$B$10,"&lt;"&amp;C1037,mdr_rate_cleaned!$F$2:$F$10,"&gt;="&amp;C1037)</f>
        <v>1</v>
      </c>
      <c r="G1037" s="40">
        <f>SUMIFS(mdr_rate_cleaned!$G$2:$G$10,mdr_rate_cleaned!$A$2:$A$10,B1037,mdr_rate_cleaned!$B$2:$B$10,"&lt;"&amp;C1037,mdr_rate_cleaned!$F$2:$F$10,"&gt;="&amp;C1037)</f>
        <v>0</v>
      </c>
      <c r="H1037" s="24">
        <f t="shared" si="80"/>
        <v>0</v>
      </c>
      <c r="I1037" s="23" t="str">
        <f t="shared" si="81"/>
        <v>Match</v>
      </c>
      <c r="J1037" s="23" t="str">
        <f t="shared" si="82"/>
        <v>Match</v>
      </c>
      <c r="K1037" s="24">
        <f t="shared" si="83"/>
        <v>0</v>
      </c>
      <c r="L1037" s="24">
        <f t="shared" si="84"/>
        <v>0</v>
      </c>
    </row>
    <row r="1038" spans="1:12" ht="15" customHeight="1" x14ac:dyDescent="0.3">
      <c r="A1038" s="23" t="s">
        <v>13627</v>
      </c>
      <c r="B1038" s="23" t="s">
        <v>75</v>
      </c>
      <c r="C1038" s="39">
        <v>349</v>
      </c>
      <c r="D1038" s="24">
        <v>0</v>
      </c>
      <c r="E1038" s="24">
        <v>0</v>
      </c>
      <c r="F1038" s="23">
        <f>COUNTIFS(mdr_rate_cleaned!$A$2:$A$10,B1038,mdr_rate_cleaned!$B$2:$B$10,"&lt;"&amp;C1038,mdr_rate_cleaned!$F$2:$F$10,"&gt;="&amp;C1038)</f>
        <v>1</v>
      </c>
      <c r="G1038" s="40">
        <f>SUMIFS(mdr_rate_cleaned!$G$2:$G$10,mdr_rate_cleaned!$A$2:$A$10,B1038,mdr_rate_cleaned!$B$2:$B$10,"&lt;"&amp;C1038,mdr_rate_cleaned!$F$2:$F$10,"&gt;="&amp;C1038)</f>
        <v>0</v>
      </c>
      <c r="H1038" s="24">
        <f t="shared" si="80"/>
        <v>0</v>
      </c>
      <c r="I1038" s="23" t="str">
        <f t="shared" si="81"/>
        <v>Match</v>
      </c>
      <c r="J1038" s="23" t="str">
        <f t="shared" si="82"/>
        <v>Match</v>
      </c>
      <c r="K1038" s="24">
        <f t="shared" si="83"/>
        <v>0</v>
      </c>
      <c r="L1038" s="24">
        <f t="shared" si="84"/>
        <v>0</v>
      </c>
    </row>
    <row r="1039" spans="1:12" ht="15" customHeight="1" x14ac:dyDescent="0.3">
      <c r="A1039" s="23" t="s">
        <v>13628</v>
      </c>
      <c r="B1039" s="23" t="s">
        <v>77</v>
      </c>
      <c r="C1039" s="39">
        <v>2999</v>
      </c>
      <c r="D1039" s="24">
        <v>50.98</v>
      </c>
      <c r="E1039" s="24">
        <v>9.18</v>
      </c>
      <c r="F1039" s="23">
        <f>COUNTIFS(mdr_rate_cleaned!$A$2:$A$10,B1039,mdr_rate_cleaned!$B$2:$B$10,"&lt;"&amp;C1039,mdr_rate_cleaned!$F$2:$F$10,"&gt;="&amp;C1039)</f>
        <v>1</v>
      </c>
      <c r="G1039" s="40">
        <f>SUMIFS(mdr_rate_cleaned!$G$2:$G$10,mdr_rate_cleaned!$A$2:$A$10,B1039,mdr_rate_cleaned!$B$2:$B$10,"&lt;"&amp;C1039,mdr_rate_cleaned!$F$2:$F$10,"&gt;="&amp;C1039)</f>
        <v>1.7000000000000001E-2</v>
      </c>
      <c r="H1039" s="24">
        <f t="shared" si="80"/>
        <v>50.98</v>
      </c>
      <c r="I1039" s="23" t="str">
        <f t="shared" si="81"/>
        <v>Match</v>
      </c>
      <c r="J1039" s="23" t="str">
        <f t="shared" si="82"/>
        <v>Match</v>
      </c>
      <c r="K1039" s="24">
        <f t="shared" si="83"/>
        <v>9.18</v>
      </c>
      <c r="L1039" s="24">
        <f t="shared" si="84"/>
        <v>0</v>
      </c>
    </row>
    <row r="1040" spans="1:12" ht="15" customHeight="1" x14ac:dyDescent="0.3">
      <c r="A1040" s="23" t="s">
        <v>13629</v>
      </c>
      <c r="B1040" s="23" t="s">
        <v>79</v>
      </c>
      <c r="C1040" s="39">
        <v>499</v>
      </c>
      <c r="D1040" s="24">
        <v>8.98</v>
      </c>
      <c r="E1040" s="24">
        <v>1.62</v>
      </c>
      <c r="F1040" s="23">
        <f>COUNTIFS(mdr_rate_cleaned!$A$2:$A$10,B1040,mdr_rate_cleaned!$B$2:$B$10,"&lt;"&amp;C1040,mdr_rate_cleaned!$F$2:$F$10,"&gt;="&amp;C1040)</f>
        <v>1</v>
      </c>
      <c r="G1040" s="40">
        <f>SUMIFS(mdr_rate_cleaned!$G$2:$G$10,mdr_rate_cleaned!$A$2:$A$10,B1040,mdr_rate_cleaned!$B$2:$B$10,"&lt;"&amp;C1040,mdr_rate_cleaned!$F$2:$F$10,"&gt;="&amp;C1040)</f>
        <v>1.8000000000000002E-2</v>
      </c>
      <c r="H1040" s="24">
        <f t="shared" si="80"/>
        <v>8.98</v>
      </c>
      <c r="I1040" s="23" t="str">
        <f t="shared" si="81"/>
        <v>Match</v>
      </c>
      <c r="J1040" s="23" t="str">
        <f t="shared" si="82"/>
        <v>Match</v>
      </c>
      <c r="K1040" s="24">
        <f t="shared" si="83"/>
        <v>1.62</v>
      </c>
      <c r="L1040" s="24">
        <f t="shared" si="84"/>
        <v>0</v>
      </c>
    </row>
    <row r="1041" spans="1:12" ht="15" customHeight="1" x14ac:dyDescent="0.3">
      <c r="A1041" s="23" t="s">
        <v>13630</v>
      </c>
      <c r="B1041" s="23" t="s">
        <v>75</v>
      </c>
      <c r="C1041" s="39">
        <v>3298</v>
      </c>
      <c r="D1041" s="24">
        <v>9.89</v>
      </c>
      <c r="E1041" s="24">
        <v>1.78</v>
      </c>
      <c r="F1041" s="23">
        <f>COUNTIFS(mdr_rate_cleaned!$A$2:$A$10,B1041,mdr_rate_cleaned!$B$2:$B$10,"&lt;"&amp;C1041,mdr_rate_cleaned!$F$2:$F$10,"&gt;="&amp;C1041)</f>
        <v>1</v>
      </c>
      <c r="G1041" s="40">
        <f>SUMIFS(mdr_rate_cleaned!$G$2:$G$10,mdr_rate_cleaned!$A$2:$A$10,B1041,mdr_rate_cleaned!$B$2:$B$10,"&lt;"&amp;C1041,mdr_rate_cleaned!$F$2:$F$10,"&gt;="&amp;C1041)</f>
        <v>3.0000000000000001E-3</v>
      </c>
      <c r="H1041" s="24">
        <f t="shared" si="80"/>
        <v>9.89</v>
      </c>
      <c r="I1041" s="23" t="str">
        <f t="shared" si="81"/>
        <v>Match</v>
      </c>
      <c r="J1041" s="23" t="str">
        <f t="shared" si="82"/>
        <v>Match</v>
      </c>
      <c r="K1041" s="24">
        <f t="shared" si="83"/>
        <v>1.78</v>
      </c>
      <c r="L1041" s="24">
        <f t="shared" si="84"/>
        <v>0</v>
      </c>
    </row>
    <row r="1042" spans="1:12" ht="15" customHeight="1" x14ac:dyDescent="0.3">
      <c r="A1042" s="23" t="s">
        <v>13631</v>
      </c>
      <c r="B1042" s="23" t="s">
        <v>75</v>
      </c>
      <c r="C1042" s="39">
        <v>7999</v>
      </c>
      <c r="D1042" s="24">
        <v>24</v>
      </c>
      <c r="E1042" s="24">
        <v>4.32</v>
      </c>
      <c r="F1042" s="23">
        <f>COUNTIFS(mdr_rate_cleaned!$A$2:$A$10,B1042,mdr_rate_cleaned!$B$2:$B$10,"&lt;"&amp;C1042,mdr_rate_cleaned!$F$2:$F$10,"&gt;="&amp;C1042)</f>
        <v>1</v>
      </c>
      <c r="G1042" s="40">
        <f>SUMIFS(mdr_rate_cleaned!$G$2:$G$10,mdr_rate_cleaned!$A$2:$A$10,B1042,mdr_rate_cleaned!$B$2:$B$10,"&lt;"&amp;C1042,mdr_rate_cleaned!$F$2:$F$10,"&gt;="&amp;C1042)</f>
        <v>3.0000000000000001E-3</v>
      </c>
      <c r="H1042" s="24">
        <f t="shared" si="80"/>
        <v>24</v>
      </c>
      <c r="I1042" s="23" t="str">
        <f t="shared" si="81"/>
        <v>Match</v>
      </c>
      <c r="J1042" s="23" t="str">
        <f t="shared" si="82"/>
        <v>Match</v>
      </c>
      <c r="K1042" s="24">
        <f t="shared" si="83"/>
        <v>4.32</v>
      </c>
      <c r="L1042" s="24">
        <f t="shared" si="84"/>
        <v>0</v>
      </c>
    </row>
    <row r="1043" spans="1:12" ht="15" customHeight="1" x14ac:dyDescent="0.3">
      <c r="A1043" s="23" t="s">
        <v>13632</v>
      </c>
      <c r="B1043" s="23" t="s">
        <v>75</v>
      </c>
      <c r="C1043" s="39">
        <v>5597</v>
      </c>
      <c r="D1043" s="24">
        <v>16.79</v>
      </c>
      <c r="E1043" s="24">
        <v>3.02</v>
      </c>
      <c r="F1043" s="23">
        <f>COUNTIFS(mdr_rate_cleaned!$A$2:$A$10,B1043,mdr_rate_cleaned!$B$2:$B$10,"&lt;"&amp;C1043,mdr_rate_cleaned!$F$2:$F$10,"&gt;="&amp;C1043)</f>
        <v>1</v>
      </c>
      <c r="G1043" s="40">
        <f>SUMIFS(mdr_rate_cleaned!$G$2:$G$10,mdr_rate_cleaned!$A$2:$A$10,B1043,mdr_rate_cleaned!$B$2:$B$10,"&lt;"&amp;C1043,mdr_rate_cleaned!$F$2:$F$10,"&gt;="&amp;C1043)</f>
        <v>3.0000000000000001E-3</v>
      </c>
      <c r="H1043" s="24">
        <f t="shared" si="80"/>
        <v>16.79</v>
      </c>
      <c r="I1043" s="23" t="str">
        <f t="shared" si="81"/>
        <v>Match</v>
      </c>
      <c r="J1043" s="23" t="str">
        <f t="shared" si="82"/>
        <v>Match</v>
      </c>
      <c r="K1043" s="24">
        <f t="shared" si="83"/>
        <v>3.02</v>
      </c>
      <c r="L1043" s="24">
        <f t="shared" si="84"/>
        <v>0</v>
      </c>
    </row>
    <row r="1044" spans="1:12" ht="15" customHeight="1" x14ac:dyDescent="0.3">
      <c r="A1044" s="23" t="s">
        <v>13633</v>
      </c>
      <c r="B1044" s="23" t="s">
        <v>75</v>
      </c>
      <c r="C1044" s="39">
        <v>4999</v>
      </c>
      <c r="D1044" s="24">
        <v>15</v>
      </c>
      <c r="E1044" s="24">
        <v>2.7</v>
      </c>
      <c r="F1044" s="23">
        <f>COUNTIFS(mdr_rate_cleaned!$A$2:$A$10,B1044,mdr_rate_cleaned!$B$2:$B$10,"&lt;"&amp;C1044,mdr_rate_cleaned!$F$2:$F$10,"&gt;="&amp;C1044)</f>
        <v>1</v>
      </c>
      <c r="G1044" s="40">
        <f>SUMIFS(mdr_rate_cleaned!$G$2:$G$10,mdr_rate_cleaned!$A$2:$A$10,B1044,mdr_rate_cleaned!$B$2:$B$10,"&lt;"&amp;C1044,mdr_rate_cleaned!$F$2:$F$10,"&gt;="&amp;C1044)</f>
        <v>3.0000000000000001E-3</v>
      </c>
      <c r="H1044" s="24">
        <f t="shared" si="80"/>
        <v>15</v>
      </c>
      <c r="I1044" s="23" t="str">
        <f t="shared" si="81"/>
        <v>Match</v>
      </c>
      <c r="J1044" s="23" t="str">
        <f t="shared" si="82"/>
        <v>Match</v>
      </c>
      <c r="K1044" s="24">
        <f t="shared" si="83"/>
        <v>2.7</v>
      </c>
      <c r="L1044" s="24">
        <f t="shared" si="84"/>
        <v>0</v>
      </c>
    </row>
    <row r="1045" spans="1:12" ht="15" customHeight="1" x14ac:dyDescent="0.3">
      <c r="A1045" s="23" t="s">
        <v>13634</v>
      </c>
      <c r="B1045" s="23" t="s">
        <v>75</v>
      </c>
      <c r="C1045" s="39">
        <v>12097</v>
      </c>
      <c r="D1045" s="24">
        <v>36.29</v>
      </c>
      <c r="E1045" s="24">
        <v>6.53</v>
      </c>
      <c r="F1045" s="23">
        <f>COUNTIFS(mdr_rate_cleaned!$A$2:$A$10,B1045,mdr_rate_cleaned!$B$2:$B$10,"&lt;"&amp;C1045,mdr_rate_cleaned!$F$2:$F$10,"&gt;="&amp;C1045)</f>
        <v>1</v>
      </c>
      <c r="G1045" s="40">
        <f>SUMIFS(mdr_rate_cleaned!$G$2:$G$10,mdr_rate_cleaned!$A$2:$A$10,B1045,mdr_rate_cleaned!$B$2:$B$10,"&lt;"&amp;C1045,mdr_rate_cleaned!$F$2:$F$10,"&gt;="&amp;C1045)</f>
        <v>3.0000000000000001E-3</v>
      </c>
      <c r="H1045" s="24">
        <f t="shared" si="80"/>
        <v>36.29</v>
      </c>
      <c r="I1045" s="23" t="str">
        <f t="shared" si="81"/>
        <v>Match</v>
      </c>
      <c r="J1045" s="23" t="str">
        <f t="shared" si="82"/>
        <v>Match</v>
      </c>
      <c r="K1045" s="24">
        <f t="shared" si="83"/>
        <v>6.53</v>
      </c>
      <c r="L1045" s="24">
        <f t="shared" si="84"/>
        <v>0</v>
      </c>
    </row>
    <row r="1046" spans="1:12" ht="15" customHeight="1" x14ac:dyDescent="0.3">
      <c r="A1046" s="23" t="s">
        <v>13635</v>
      </c>
      <c r="B1046" s="23" t="s">
        <v>81</v>
      </c>
      <c r="C1046" s="39">
        <v>299</v>
      </c>
      <c r="D1046" s="24">
        <v>4.49</v>
      </c>
      <c r="E1046" s="24">
        <v>0.81</v>
      </c>
      <c r="F1046" s="23">
        <f>COUNTIFS(mdr_rate_cleaned!$A$2:$A$10,B1046,mdr_rate_cleaned!$B$2:$B$10,"&lt;"&amp;C1046,mdr_rate_cleaned!$F$2:$F$10,"&gt;="&amp;C1046)</f>
        <v>1</v>
      </c>
      <c r="G1046" s="40">
        <f>SUMIFS(mdr_rate_cleaned!$G$2:$G$10,mdr_rate_cleaned!$A$2:$A$10,B1046,mdr_rate_cleaned!$B$2:$B$10,"&lt;"&amp;C1046,mdr_rate_cleaned!$F$2:$F$10,"&gt;="&amp;C1046)</f>
        <v>1.4999999999999999E-2</v>
      </c>
      <c r="H1046" s="24">
        <f t="shared" si="80"/>
        <v>4.49</v>
      </c>
      <c r="I1046" s="23" t="str">
        <f t="shared" si="81"/>
        <v>Match</v>
      </c>
      <c r="J1046" s="23" t="str">
        <f t="shared" si="82"/>
        <v>Match</v>
      </c>
      <c r="K1046" s="24">
        <f t="shared" si="83"/>
        <v>0.81</v>
      </c>
      <c r="L1046" s="24">
        <f t="shared" si="84"/>
        <v>0</v>
      </c>
    </row>
    <row r="1047" spans="1:12" ht="15" customHeight="1" x14ac:dyDescent="0.3">
      <c r="A1047" s="23" t="s">
        <v>13636</v>
      </c>
      <c r="B1047" s="23" t="s">
        <v>75</v>
      </c>
      <c r="C1047" s="39">
        <v>6298</v>
      </c>
      <c r="D1047" s="24">
        <v>18.89</v>
      </c>
      <c r="E1047" s="24">
        <v>3.4</v>
      </c>
      <c r="F1047" s="23">
        <f>COUNTIFS(mdr_rate_cleaned!$A$2:$A$10,B1047,mdr_rate_cleaned!$B$2:$B$10,"&lt;"&amp;C1047,mdr_rate_cleaned!$F$2:$F$10,"&gt;="&amp;C1047)</f>
        <v>1</v>
      </c>
      <c r="G1047" s="40">
        <f>SUMIFS(mdr_rate_cleaned!$G$2:$G$10,mdr_rate_cleaned!$A$2:$A$10,B1047,mdr_rate_cleaned!$B$2:$B$10,"&lt;"&amp;C1047,mdr_rate_cleaned!$F$2:$F$10,"&gt;="&amp;C1047)</f>
        <v>3.0000000000000001E-3</v>
      </c>
      <c r="H1047" s="24">
        <f t="shared" si="80"/>
        <v>18.89</v>
      </c>
      <c r="I1047" s="23" t="str">
        <f t="shared" si="81"/>
        <v>Match</v>
      </c>
      <c r="J1047" s="23" t="str">
        <f t="shared" si="82"/>
        <v>Match</v>
      </c>
      <c r="K1047" s="24">
        <f t="shared" si="83"/>
        <v>3.4</v>
      </c>
      <c r="L1047" s="24">
        <f t="shared" si="84"/>
        <v>0</v>
      </c>
    </row>
    <row r="1048" spans="1:12" ht="15" customHeight="1" x14ac:dyDescent="0.3">
      <c r="A1048" s="23" t="s">
        <v>13637</v>
      </c>
      <c r="B1048" s="23" t="s">
        <v>75</v>
      </c>
      <c r="C1048" s="39">
        <v>1499</v>
      </c>
      <c r="D1048" s="24">
        <v>0</v>
      </c>
      <c r="E1048" s="24">
        <v>0</v>
      </c>
      <c r="F1048" s="23">
        <f>COUNTIFS(mdr_rate_cleaned!$A$2:$A$10,B1048,mdr_rate_cleaned!$B$2:$B$10,"&lt;"&amp;C1048,mdr_rate_cleaned!$F$2:$F$10,"&gt;="&amp;C1048)</f>
        <v>1</v>
      </c>
      <c r="G1048" s="40">
        <f>SUMIFS(mdr_rate_cleaned!$G$2:$G$10,mdr_rate_cleaned!$A$2:$A$10,B1048,mdr_rate_cleaned!$B$2:$B$10,"&lt;"&amp;C1048,mdr_rate_cleaned!$F$2:$F$10,"&gt;="&amp;C1048)</f>
        <v>0</v>
      </c>
      <c r="H1048" s="24">
        <f t="shared" si="80"/>
        <v>0</v>
      </c>
      <c r="I1048" s="23" t="str">
        <f t="shared" si="81"/>
        <v>Match</v>
      </c>
      <c r="J1048" s="23" t="str">
        <f t="shared" si="82"/>
        <v>Match</v>
      </c>
      <c r="K1048" s="24">
        <f t="shared" si="83"/>
        <v>0</v>
      </c>
      <c r="L1048" s="24">
        <f t="shared" si="84"/>
        <v>0</v>
      </c>
    </row>
    <row r="1049" spans="1:12" ht="15" customHeight="1" x14ac:dyDescent="0.3">
      <c r="A1049" s="23" t="s">
        <v>13639</v>
      </c>
      <c r="B1049" s="23" t="s">
        <v>79</v>
      </c>
      <c r="C1049" s="39">
        <v>349</v>
      </c>
      <c r="D1049" s="24">
        <v>6.28</v>
      </c>
      <c r="E1049" s="24">
        <v>1.1299999999999999</v>
      </c>
      <c r="F1049" s="23">
        <f>COUNTIFS(mdr_rate_cleaned!$A$2:$A$10,B1049,mdr_rate_cleaned!$B$2:$B$10,"&lt;"&amp;C1049,mdr_rate_cleaned!$F$2:$F$10,"&gt;="&amp;C1049)</f>
        <v>1</v>
      </c>
      <c r="G1049" s="40">
        <f>SUMIFS(mdr_rate_cleaned!$G$2:$G$10,mdr_rate_cleaned!$A$2:$A$10,B1049,mdr_rate_cleaned!$B$2:$B$10,"&lt;"&amp;C1049,mdr_rate_cleaned!$F$2:$F$10,"&gt;="&amp;C1049)</f>
        <v>1.8000000000000002E-2</v>
      </c>
      <c r="H1049" s="24">
        <f t="shared" si="80"/>
        <v>6.28</v>
      </c>
      <c r="I1049" s="23" t="str">
        <f t="shared" si="81"/>
        <v>Match</v>
      </c>
      <c r="J1049" s="23" t="str">
        <f t="shared" si="82"/>
        <v>Match</v>
      </c>
      <c r="K1049" s="24">
        <f t="shared" si="83"/>
        <v>1.1299999999999999</v>
      </c>
      <c r="L1049" s="24">
        <f t="shared" si="84"/>
        <v>0</v>
      </c>
    </row>
    <row r="1050" spans="1:12" ht="15" customHeight="1" x14ac:dyDescent="0.3">
      <c r="A1050" s="23" t="s">
        <v>13640</v>
      </c>
      <c r="B1050" s="23" t="s">
        <v>75</v>
      </c>
      <c r="C1050" s="39">
        <v>7999</v>
      </c>
      <c r="D1050" s="24">
        <v>24</v>
      </c>
      <c r="E1050" s="24">
        <v>4.32</v>
      </c>
      <c r="F1050" s="23">
        <f>COUNTIFS(mdr_rate_cleaned!$A$2:$A$10,B1050,mdr_rate_cleaned!$B$2:$B$10,"&lt;"&amp;C1050,mdr_rate_cleaned!$F$2:$F$10,"&gt;="&amp;C1050)</f>
        <v>1</v>
      </c>
      <c r="G1050" s="40">
        <f>SUMIFS(mdr_rate_cleaned!$G$2:$G$10,mdr_rate_cleaned!$A$2:$A$10,B1050,mdr_rate_cleaned!$B$2:$B$10,"&lt;"&amp;C1050,mdr_rate_cleaned!$F$2:$F$10,"&gt;="&amp;C1050)</f>
        <v>3.0000000000000001E-3</v>
      </c>
      <c r="H1050" s="24">
        <f t="shared" si="80"/>
        <v>24</v>
      </c>
      <c r="I1050" s="23" t="str">
        <f t="shared" si="81"/>
        <v>Match</v>
      </c>
      <c r="J1050" s="23" t="str">
        <f t="shared" si="82"/>
        <v>Match</v>
      </c>
      <c r="K1050" s="24">
        <f t="shared" si="83"/>
        <v>4.32</v>
      </c>
      <c r="L1050" s="24">
        <f t="shared" si="84"/>
        <v>0</v>
      </c>
    </row>
    <row r="1051" spans="1:12" ht="15" customHeight="1" x14ac:dyDescent="0.3">
      <c r="A1051" s="23" t="s">
        <v>13641</v>
      </c>
      <c r="B1051" s="23" t="s">
        <v>79</v>
      </c>
      <c r="C1051" s="39">
        <v>10397</v>
      </c>
      <c r="D1051" s="24">
        <v>166.35</v>
      </c>
      <c r="E1051" s="24">
        <v>29.94</v>
      </c>
      <c r="F1051" s="23">
        <f>COUNTIFS(mdr_rate_cleaned!$A$2:$A$10,B1051,mdr_rate_cleaned!$B$2:$B$10,"&lt;"&amp;C1051,mdr_rate_cleaned!$F$2:$F$10,"&gt;="&amp;C1051)</f>
        <v>1</v>
      </c>
      <c r="G1051" s="40">
        <f>SUMIFS(mdr_rate_cleaned!$G$2:$G$10,mdr_rate_cleaned!$A$2:$A$10,B1051,mdr_rate_cleaned!$B$2:$B$10,"&lt;"&amp;C1051,mdr_rate_cleaned!$F$2:$F$10,"&gt;="&amp;C1051)</f>
        <v>1.6E-2</v>
      </c>
      <c r="H1051" s="24">
        <f t="shared" si="80"/>
        <v>166.35</v>
      </c>
      <c r="I1051" s="23" t="str">
        <f t="shared" si="81"/>
        <v>Match</v>
      </c>
      <c r="J1051" s="23" t="str">
        <f t="shared" si="82"/>
        <v>Match</v>
      </c>
      <c r="K1051" s="24">
        <f t="shared" si="83"/>
        <v>29.94</v>
      </c>
      <c r="L1051" s="24">
        <f t="shared" si="84"/>
        <v>0</v>
      </c>
    </row>
    <row r="1052" spans="1:12" ht="15" customHeight="1" x14ac:dyDescent="0.3">
      <c r="A1052" s="23" t="s">
        <v>13642</v>
      </c>
      <c r="B1052" s="23" t="s">
        <v>75</v>
      </c>
      <c r="C1052" s="39">
        <v>1299</v>
      </c>
      <c r="D1052" s="24">
        <v>0</v>
      </c>
      <c r="E1052" s="24">
        <v>0</v>
      </c>
      <c r="F1052" s="23">
        <f>COUNTIFS(mdr_rate_cleaned!$A$2:$A$10,B1052,mdr_rate_cleaned!$B$2:$B$10,"&lt;"&amp;C1052,mdr_rate_cleaned!$F$2:$F$10,"&gt;="&amp;C1052)</f>
        <v>1</v>
      </c>
      <c r="G1052" s="40">
        <f>SUMIFS(mdr_rate_cleaned!$G$2:$G$10,mdr_rate_cleaned!$A$2:$A$10,B1052,mdr_rate_cleaned!$B$2:$B$10,"&lt;"&amp;C1052,mdr_rate_cleaned!$F$2:$F$10,"&gt;="&amp;C1052)</f>
        <v>0</v>
      </c>
      <c r="H1052" s="24">
        <f t="shared" si="80"/>
        <v>0</v>
      </c>
      <c r="I1052" s="23" t="str">
        <f t="shared" si="81"/>
        <v>Match</v>
      </c>
      <c r="J1052" s="23" t="str">
        <f t="shared" si="82"/>
        <v>Match</v>
      </c>
      <c r="K1052" s="24">
        <f t="shared" si="83"/>
        <v>0</v>
      </c>
      <c r="L1052" s="24">
        <f t="shared" si="84"/>
        <v>0</v>
      </c>
    </row>
    <row r="1053" spans="1:12" ht="15" customHeight="1" x14ac:dyDescent="0.3">
      <c r="A1053" s="23" t="s">
        <v>13643</v>
      </c>
      <c r="B1053" s="23" t="s">
        <v>75</v>
      </c>
      <c r="C1053" s="39">
        <v>5847</v>
      </c>
      <c r="D1053" s="24">
        <v>17.54</v>
      </c>
      <c r="E1053" s="24">
        <v>3.16</v>
      </c>
      <c r="F1053" s="23">
        <f>COUNTIFS(mdr_rate_cleaned!$A$2:$A$10,B1053,mdr_rate_cleaned!$B$2:$B$10,"&lt;"&amp;C1053,mdr_rate_cleaned!$F$2:$F$10,"&gt;="&amp;C1053)</f>
        <v>1</v>
      </c>
      <c r="G1053" s="40">
        <f>SUMIFS(mdr_rate_cleaned!$G$2:$G$10,mdr_rate_cleaned!$A$2:$A$10,B1053,mdr_rate_cleaned!$B$2:$B$10,"&lt;"&amp;C1053,mdr_rate_cleaned!$F$2:$F$10,"&gt;="&amp;C1053)</f>
        <v>3.0000000000000001E-3</v>
      </c>
      <c r="H1053" s="24">
        <f t="shared" si="80"/>
        <v>17.54</v>
      </c>
      <c r="I1053" s="23" t="str">
        <f t="shared" si="81"/>
        <v>Match</v>
      </c>
      <c r="J1053" s="23" t="str">
        <f t="shared" si="82"/>
        <v>Match</v>
      </c>
      <c r="K1053" s="24">
        <f t="shared" si="83"/>
        <v>3.16</v>
      </c>
      <c r="L1053" s="24">
        <f t="shared" si="84"/>
        <v>0</v>
      </c>
    </row>
    <row r="1054" spans="1:12" ht="15" customHeight="1" x14ac:dyDescent="0.3">
      <c r="A1054" s="23" t="s">
        <v>13644</v>
      </c>
      <c r="B1054" s="23" t="s">
        <v>75</v>
      </c>
      <c r="C1054" s="39">
        <v>1799</v>
      </c>
      <c r="D1054" s="24">
        <v>0</v>
      </c>
      <c r="E1054" s="24">
        <v>0</v>
      </c>
      <c r="F1054" s="23">
        <f>COUNTIFS(mdr_rate_cleaned!$A$2:$A$10,B1054,mdr_rate_cleaned!$B$2:$B$10,"&lt;"&amp;C1054,mdr_rate_cleaned!$F$2:$F$10,"&gt;="&amp;C1054)</f>
        <v>1</v>
      </c>
      <c r="G1054" s="40">
        <f>SUMIFS(mdr_rate_cleaned!$G$2:$G$10,mdr_rate_cleaned!$A$2:$A$10,B1054,mdr_rate_cleaned!$B$2:$B$10,"&lt;"&amp;C1054,mdr_rate_cleaned!$F$2:$F$10,"&gt;="&amp;C1054)</f>
        <v>0</v>
      </c>
      <c r="H1054" s="24">
        <f t="shared" si="80"/>
        <v>0</v>
      </c>
      <c r="I1054" s="23" t="str">
        <f t="shared" si="81"/>
        <v>Match</v>
      </c>
      <c r="J1054" s="23" t="str">
        <f t="shared" si="82"/>
        <v>Match</v>
      </c>
      <c r="K1054" s="24">
        <f t="shared" si="83"/>
        <v>0</v>
      </c>
      <c r="L1054" s="24">
        <f t="shared" si="84"/>
        <v>0</v>
      </c>
    </row>
    <row r="1055" spans="1:12" ht="15" customHeight="1" x14ac:dyDescent="0.3">
      <c r="A1055" s="23" t="s">
        <v>13645</v>
      </c>
      <c r="B1055" s="23" t="s">
        <v>79</v>
      </c>
      <c r="C1055" s="39">
        <v>3697</v>
      </c>
      <c r="D1055" s="24">
        <v>59.15</v>
      </c>
      <c r="E1055" s="24">
        <v>10.65</v>
      </c>
      <c r="F1055" s="23">
        <f>COUNTIFS(mdr_rate_cleaned!$A$2:$A$10,B1055,mdr_rate_cleaned!$B$2:$B$10,"&lt;"&amp;C1055,mdr_rate_cleaned!$F$2:$F$10,"&gt;="&amp;C1055)</f>
        <v>1</v>
      </c>
      <c r="G1055" s="40">
        <f>SUMIFS(mdr_rate_cleaned!$G$2:$G$10,mdr_rate_cleaned!$A$2:$A$10,B1055,mdr_rate_cleaned!$B$2:$B$10,"&lt;"&amp;C1055,mdr_rate_cleaned!$F$2:$F$10,"&gt;="&amp;C1055)</f>
        <v>1.6E-2</v>
      </c>
      <c r="H1055" s="24">
        <f t="shared" si="80"/>
        <v>59.15</v>
      </c>
      <c r="I1055" s="23" t="str">
        <f t="shared" si="81"/>
        <v>Match</v>
      </c>
      <c r="J1055" s="23" t="str">
        <f t="shared" si="82"/>
        <v>Match</v>
      </c>
      <c r="K1055" s="24">
        <f t="shared" si="83"/>
        <v>10.65</v>
      </c>
      <c r="L1055" s="24">
        <f t="shared" si="84"/>
        <v>0</v>
      </c>
    </row>
    <row r="1056" spans="1:12" ht="15" customHeight="1" x14ac:dyDescent="0.3">
      <c r="A1056" s="23" t="s">
        <v>13646</v>
      </c>
      <c r="B1056" s="23" t="s">
        <v>79</v>
      </c>
      <c r="C1056" s="39">
        <v>4498</v>
      </c>
      <c r="D1056" s="24">
        <v>71.97</v>
      </c>
      <c r="E1056" s="24">
        <v>12.95</v>
      </c>
      <c r="F1056" s="23">
        <f>COUNTIFS(mdr_rate_cleaned!$A$2:$A$10,B1056,mdr_rate_cleaned!$B$2:$B$10,"&lt;"&amp;C1056,mdr_rate_cleaned!$F$2:$F$10,"&gt;="&amp;C1056)</f>
        <v>1</v>
      </c>
      <c r="G1056" s="40">
        <f>SUMIFS(mdr_rate_cleaned!$G$2:$G$10,mdr_rate_cleaned!$A$2:$A$10,B1056,mdr_rate_cleaned!$B$2:$B$10,"&lt;"&amp;C1056,mdr_rate_cleaned!$F$2:$F$10,"&gt;="&amp;C1056)</f>
        <v>1.6E-2</v>
      </c>
      <c r="H1056" s="24">
        <f t="shared" si="80"/>
        <v>71.97</v>
      </c>
      <c r="I1056" s="23" t="str">
        <f t="shared" si="81"/>
        <v>Match</v>
      </c>
      <c r="J1056" s="23" t="str">
        <f t="shared" si="82"/>
        <v>Match</v>
      </c>
      <c r="K1056" s="24">
        <f t="shared" si="83"/>
        <v>12.95</v>
      </c>
      <c r="L1056" s="24">
        <f t="shared" si="84"/>
        <v>0</v>
      </c>
    </row>
    <row r="1057" spans="1:12" ht="15" customHeight="1" x14ac:dyDescent="0.3">
      <c r="A1057" s="23" t="s">
        <v>13647</v>
      </c>
      <c r="B1057" s="23" t="s">
        <v>75</v>
      </c>
      <c r="C1057" s="39">
        <v>4999</v>
      </c>
      <c r="D1057" s="24">
        <v>15</v>
      </c>
      <c r="E1057" s="24">
        <v>2.7</v>
      </c>
      <c r="F1057" s="23">
        <f>COUNTIFS(mdr_rate_cleaned!$A$2:$A$10,B1057,mdr_rate_cleaned!$B$2:$B$10,"&lt;"&amp;C1057,mdr_rate_cleaned!$F$2:$F$10,"&gt;="&amp;C1057)</f>
        <v>1</v>
      </c>
      <c r="G1057" s="40">
        <f>SUMIFS(mdr_rate_cleaned!$G$2:$G$10,mdr_rate_cleaned!$A$2:$A$10,B1057,mdr_rate_cleaned!$B$2:$B$10,"&lt;"&amp;C1057,mdr_rate_cleaned!$F$2:$F$10,"&gt;="&amp;C1057)</f>
        <v>3.0000000000000001E-3</v>
      </c>
      <c r="H1057" s="24">
        <f t="shared" si="80"/>
        <v>15</v>
      </c>
      <c r="I1057" s="23" t="str">
        <f t="shared" si="81"/>
        <v>Match</v>
      </c>
      <c r="J1057" s="23" t="str">
        <f t="shared" si="82"/>
        <v>Match</v>
      </c>
      <c r="K1057" s="24">
        <f t="shared" si="83"/>
        <v>2.7</v>
      </c>
      <c r="L1057" s="24">
        <f t="shared" si="84"/>
        <v>0</v>
      </c>
    </row>
    <row r="1058" spans="1:12" ht="15" customHeight="1" x14ac:dyDescent="0.3">
      <c r="A1058" s="23" t="s">
        <v>13648</v>
      </c>
      <c r="B1058" s="23" t="s">
        <v>75</v>
      </c>
      <c r="C1058" s="39">
        <v>2999</v>
      </c>
      <c r="D1058" s="24">
        <v>9</v>
      </c>
      <c r="E1058" s="24">
        <v>1.62</v>
      </c>
      <c r="F1058" s="23">
        <f>COUNTIFS(mdr_rate_cleaned!$A$2:$A$10,B1058,mdr_rate_cleaned!$B$2:$B$10,"&lt;"&amp;C1058,mdr_rate_cleaned!$F$2:$F$10,"&gt;="&amp;C1058)</f>
        <v>1</v>
      </c>
      <c r="G1058" s="40">
        <f>SUMIFS(mdr_rate_cleaned!$G$2:$G$10,mdr_rate_cleaned!$A$2:$A$10,B1058,mdr_rate_cleaned!$B$2:$B$10,"&lt;"&amp;C1058,mdr_rate_cleaned!$F$2:$F$10,"&gt;="&amp;C1058)</f>
        <v>3.0000000000000001E-3</v>
      </c>
      <c r="H1058" s="24">
        <f t="shared" si="80"/>
        <v>9</v>
      </c>
      <c r="I1058" s="23" t="str">
        <f t="shared" si="81"/>
        <v>Match</v>
      </c>
      <c r="J1058" s="23" t="str">
        <f t="shared" si="82"/>
        <v>Match</v>
      </c>
      <c r="K1058" s="24">
        <f t="shared" si="83"/>
        <v>1.62</v>
      </c>
      <c r="L1058" s="24">
        <f t="shared" si="84"/>
        <v>0</v>
      </c>
    </row>
    <row r="1059" spans="1:12" ht="15" customHeight="1" x14ac:dyDescent="0.3">
      <c r="A1059" s="23" t="s">
        <v>13649</v>
      </c>
      <c r="B1059" s="23" t="s">
        <v>79</v>
      </c>
      <c r="C1059" s="39">
        <v>349</v>
      </c>
      <c r="D1059" s="24">
        <v>6.28</v>
      </c>
      <c r="E1059" s="24">
        <v>1.1299999999999999</v>
      </c>
      <c r="F1059" s="23">
        <f>COUNTIFS(mdr_rate_cleaned!$A$2:$A$10,B1059,mdr_rate_cleaned!$B$2:$B$10,"&lt;"&amp;C1059,mdr_rate_cleaned!$F$2:$F$10,"&gt;="&amp;C1059)</f>
        <v>1</v>
      </c>
      <c r="G1059" s="40">
        <f>SUMIFS(mdr_rate_cleaned!$G$2:$G$10,mdr_rate_cleaned!$A$2:$A$10,B1059,mdr_rate_cleaned!$B$2:$B$10,"&lt;"&amp;C1059,mdr_rate_cleaned!$F$2:$F$10,"&gt;="&amp;C1059)</f>
        <v>1.8000000000000002E-2</v>
      </c>
      <c r="H1059" s="24">
        <f t="shared" si="80"/>
        <v>6.28</v>
      </c>
      <c r="I1059" s="23" t="str">
        <f t="shared" si="81"/>
        <v>Match</v>
      </c>
      <c r="J1059" s="23" t="str">
        <f t="shared" si="82"/>
        <v>Match</v>
      </c>
      <c r="K1059" s="24">
        <f t="shared" si="83"/>
        <v>1.1299999999999999</v>
      </c>
      <c r="L1059" s="24">
        <f t="shared" si="84"/>
        <v>0</v>
      </c>
    </row>
    <row r="1060" spans="1:12" ht="15" customHeight="1" x14ac:dyDescent="0.3">
      <c r="A1060" s="23" t="s">
        <v>13651</v>
      </c>
      <c r="B1060" s="23" t="s">
        <v>75</v>
      </c>
      <c r="C1060" s="39">
        <v>5998</v>
      </c>
      <c r="D1060" s="24">
        <v>17.989999999999998</v>
      </c>
      <c r="E1060" s="24">
        <v>3.24</v>
      </c>
      <c r="F1060" s="23">
        <f>COUNTIFS(mdr_rate_cleaned!$A$2:$A$10,B1060,mdr_rate_cleaned!$B$2:$B$10,"&lt;"&amp;C1060,mdr_rate_cleaned!$F$2:$F$10,"&gt;="&amp;C1060)</f>
        <v>1</v>
      </c>
      <c r="G1060" s="40">
        <f>SUMIFS(mdr_rate_cleaned!$G$2:$G$10,mdr_rate_cleaned!$A$2:$A$10,B1060,mdr_rate_cleaned!$B$2:$B$10,"&lt;"&amp;C1060,mdr_rate_cleaned!$F$2:$F$10,"&gt;="&amp;C1060)</f>
        <v>3.0000000000000001E-3</v>
      </c>
      <c r="H1060" s="24">
        <f t="shared" si="80"/>
        <v>17.989999999999998</v>
      </c>
      <c r="I1060" s="23" t="str">
        <f t="shared" si="81"/>
        <v>Match</v>
      </c>
      <c r="J1060" s="23" t="str">
        <f t="shared" si="82"/>
        <v>Match</v>
      </c>
      <c r="K1060" s="24">
        <f t="shared" si="83"/>
        <v>3.24</v>
      </c>
      <c r="L1060" s="24">
        <f t="shared" si="84"/>
        <v>0</v>
      </c>
    </row>
    <row r="1061" spans="1:12" ht="15" customHeight="1" x14ac:dyDescent="0.3">
      <c r="A1061" s="23" t="s">
        <v>13653</v>
      </c>
      <c r="B1061" s="23" t="s">
        <v>81</v>
      </c>
      <c r="C1061" s="39">
        <v>2499</v>
      </c>
      <c r="D1061" s="24">
        <v>29.99</v>
      </c>
      <c r="E1061" s="24">
        <v>5.4</v>
      </c>
      <c r="F1061" s="23">
        <f>COUNTIFS(mdr_rate_cleaned!$A$2:$A$10,B1061,mdr_rate_cleaned!$B$2:$B$10,"&lt;"&amp;C1061,mdr_rate_cleaned!$F$2:$F$10,"&gt;="&amp;C1061)</f>
        <v>1</v>
      </c>
      <c r="G1061" s="40">
        <f>SUMIFS(mdr_rate_cleaned!$G$2:$G$10,mdr_rate_cleaned!$A$2:$A$10,B1061,mdr_rate_cleaned!$B$2:$B$10,"&lt;"&amp;C1061,mdr_rate_cleaned!$F$2:$F$10,"&gt;="&amp;C1061)</f>
        <v>1.2E-2</v>
      </c>
      <c r="H1061" s="24">
        <f t="shared" si="80"/>
        <v>29.99</v>
      </c>
      <c r="I1061" s="23" t="str">
        <f t="shared" si="81"/>
        <v>Match</v>
      </c>
      <c r="J1061" s="23" t="str">
        <f t="shared" si="82"/>
        <v>Match</v>
      </c>
      <c r="K1061" s="24">
        <f t="shared" si="83"/>
        <v>5.4</v>
      </c>
      <c r="L1061" s="24">
        <f t="shared" si="84"/>
        <v>0</v>
      </c>
    </row>
    <row r="1062" spans="1:12" ht="15" customHeight="1" x14ac:dyDescent="0.3">
      <c r="A1062" s="23" t="s">
        <v>13654</v>
      </c>
      <c r="B1062" s="23" t="s">
        <v>75</v>
      </c>
      <c r="C1062" s="39">
        <v>799</v>
      </c>
      <c r="D1062" s="24">
        <v>0</v>
      </c>
      <c r="E1062" s="24">
        <v>0</v>
      </c>
      <c r="F1062" s="23">
        <f>COUNTIFS(mdr_rate_cleaned!$A$2:$A$10,B1062,mdr_rate_cleaned!$B$2:$B$10,"&lt;"&amp;C1062,mdr_rate_cleaned!$F$2:$F$10,"&gt;="&amp;C1062)</f>
        <v>1</v>
      </c>
      <c r="G1062" s="40">
        <f>SUMIFS(mdr_rate_cleaned!$G$2:$G$10,mdr_rate_cleaned!$A$2:$A$10,B1062,mdr_rate_cleaned!$B$2:$B$10,"&lt;"&amp;C1062,mdr_rate_cleaned!$F$2:$F$10,"&gt;="&amp;C1062)</f>
        <v>0</v>
      </c>
      <c r="H1062" s="24">
        <f t="shared" si="80"/>
        <v>0</v>
      </c>
      <c r="I1062" s="23" t="str">
        <f t="shared" si="81"/>
        <v>Match</v>
      </c>
      <c r="J1062" s="23" t="str">
        <f t="shared" si="82"/>
        <v>Match</v>
      </c>
      <c r="K1062" s="24">
        <f t="shared" si="83"/>
        <v>0</v>
      </c>
      <c r="L1062" s="24">
        <f t="shared" si="84"/>
        <v>0</v>
      </c>
    </row>
    <row r="1063" spans="1:12" ht="15" customHeight="1" x14ac:dyDescent="0.3">
      <c r="A1063" s="23" t="s">
        <v>13655</v>
      </c>
      <c r="B1063" s="23" t="s">
        <v>75</v>
      </c>
      <c r="C1063" s="39">
        <v>9298</v>
      </c>
      <c r="D1063" s="24">
        <v>27.89</v>
      </c>
      <c r="E1063" s="24">
        <v>5.0199999999999996</v>
      </c>
      <c r="F1063" s="23">
        <f>COUNTIFS(mdr_rate_cleaned!$A$2:$A$10,B1063,mdr_rate_cleaned!$B$2:$B$10,"&lt;"&amp;C1063,mdr_rate_cleaned!$F$2:$F$10,"&gt;="&amp;C1063)</f>
        <v>1</v>
      </c>
      <c r="G1063" s="40">
        <f>SUMIFS(mdr_rate_cleaned!$G$2:$G$10,mdr_rate_cleaned!$A$2:$A$10,B1063,mdr_rate_cleaned!$B$2:$B$10,"&lt;"&amp;C1063,mdr_rate_cleaned!$F$2:$F$10,"&gt;="&amp;C1063)</f>
        <v>3.0000000000000001E-3</v>
      </c>
      <c r="H1063" s="24">
        <f t="shared" si="80"/>
        <v>27.89</v>
      </c>
      <c r="I1063" s="23" t="str">
        <f t="shared" si="81"/>
        <v>Match</v>
      </c>
      <c r="J1063" s="23" t="str">
        <f t="shared" si="82"/>
        <v>Match</v>
      </c>
      <c r="K1063" s="24">
        <f t="shared" si="83"/>
        <v>5.0199999999999996</v>
      </c>
      <c r="L1063" s="24">
        <f t="shared" si="84"/>
        <v>0</v>
      </c>
    </row>
    <row r="1064" spans="1:12" ht="15" customHeight="1" x14ac:dyDescent="0.3">
      <c r="A1064" s="23" t="s">
        <v>13656</v>
      </c>
      <c r="B1064" s="23" t="s">
        <v>75</v>
      </c>
      <c r="C1064" s="39">
        <v>2499</v>
      </c>
      <c r="D1064" s="24">
        <v>7.5</v>
      </c>
      <c r="E1064" s="24">
        <v>1.35</v>
      </c>
      <c r="F1064" s="23">
        <f>COUNTIFS(mdr_rate_cleaned!$A$2:$A$10,B1064,mdr_rate_cleaned!$B$2:$B$10,"&lt;"&amp;C1064,mdr_rate_cleaned!$F$2:$F$10,"&gt;="&amp;C1064)</f>
        <v>1</v>
      </c>
      <c r="G1064" s="40">
        <f>SUMIFS(mdr_rate_cleaned!$G$2:$G$10,mdr_rate_cleaned!$A$2:$A$10,B1064,mdr_rate_cleaned!$B$2:$B$10,"&lt;"&amp;C1064,mdr_rate_cleaned!$F$2:$F$10,"&gt;="&amp;C1064)</f>
        <v>3.0000000000000001E-3</v>
      </c>
      <c r="H1064" s="24">
        <f t="shared" si="80"/>
        <v>7.5</v>
      </c>
      <c r="I1064" s="23" t="str">
        <f t="shared" si="81"/>
        <v>Match</v>
      </c>
      <c r="J1064" s="23" t="str">
        <f t="shared" si="82"/>
        <v>Match</v>
      </c>
      <c r="K1064" s="24">
        <f t="shared" si="83"/>
        <v>1.35</v>
      </c>
      <c r="L1064" s="24">
        <f t="shared" si="84"/>
        <v>0</v>
      </c>
    </row>
    <row r="1065" spans="1:12" ht="15" customHeight="1" x14ac:dyDescent="0.3">
      <c r="A1065" s="23" t="s">
        <v>13657</v>
      </c>
      <c r="B1065" s="23" t="s">
        <v>75</v>
      </c>
      <c r="C1065" s="39">
        <v>3097</v>
      </c>
      <c r="D1065" s="24">
        <v>9.2899999999999991</v>
      </c>
      <c r="E1065" s="24">
        <v>1.67</v>
      </c>
      <c r="F1065" s="23">
        <f>COUNTIFS(mdr_rate_cleaned!$A$2:$A$10,B1065,mdr_rate_cleaned!$B$2:$B$10,"&lt;"&amp;C1065,mdr_rate_cleaned!$F$2:$F$10,"&gt;="&amp;C1065)</f>
        <v>1</v>
      </c>
      <c r="G1065" s="40">
        <f>SUMIFS(mdr_rate_cleaned!$G$2:$G$10,mdr_rate_cleaned!$A$2:$A$10,B1065,mdr_rate_cleaned!$B$2:$B$10,"&lt;"&amp;C1065,mdr_rate_cleaned!$F$2:$F$10,"&gt;="&amp;C1065)</f>
        <v>3.0000000000000001E-3</v>
      </c>
      <c r="H1065" s="24">
        <f t="shared" si="80"/>
        <v>9.2899999999999991</v>
      </c>
      <c r="I1065" s="23" t="str">
        <f t="shared" si="81"/>
        <v>Match</v>
      </c>
      <c r="J1065" s="23" t="str">
        <f t="shared" si="82"/>
        <v>Match</v>
      </c>
      <c r="K1065" s="24">
        <f t="shared" si="83"/>
        <v>1.67</v>
      </c>
      <c r="L1065" s="24">
        <f t="shared" si="84"/>
        <v>0</v>
      </c>
    </row>
    <row r="1066" spans="1:12" ht="15" customHeight="1" x14ac:dyDescent="0.3">
      <c r="A1066" s="23" t="s">
        <v>13658</v>
      </c>
      <c r="B1066" s="23" t="s">
        <v>75</v>
      </c>
      <c r="C1066" s="39">
        <v>3797</v>
      </c>
      <c r="D1066" s="24">
        <v>11.39</v>
      </c>
      <c r="E1066" s="24">
        <v>2.0499999999999998</v>
      </c>
      <c r="F1066" s="23">
        <f>COUNTIFS(mdr_rate_cleaned!$A$2:$A$10,B1066,mdr_rate_cleaned!$B$2:$B$10,"&lt;"&amp;C1066,mdr_rate_cleaned!$F$2:$F$10,"&gt;="&amp;C1066)</f>
        <v>1</v>
      </c>
      <c r="G1066" s="40">
        <f>SUMIFS(mdr_rate_cleaned!$G$2:$G$10,mdr_rate_cleaned!$A$2:$A$10,B1066,mdr_rate_cleaned!$B$2:$B$10,"&lt;"&amp;C1066,mdr_rate_cleaned!$F$2:$F$10,"&gt;="&amp;C1066)</f>
        <v>3.0000000000000001E-3</v>
      </c>
      <c r="H1066" s="24">
        <f t="shared" si="80"/>
        <v>11.39</v>
      </c>
      <c r="I1066" s="23" t="str">
        <f t="shared" si="81"/>
        <v>Match</v>
      </c>
      <c r="J1066" s="23" t="str">
        <f t="shared" si="82"/>
        <v>Match</v>
      </c>
      <c r="K1066" s="24">
        <f t="shared" si="83"/>
        <v>2.0499999999999998</v>
      </c>
      <c r="L1066" s="24">
        <f t="shared" si="84"/>
        <v>0</v>
      </c>
    </row>
    <row r="1067" spans="1:12" ht="15" customHeight="1" x14ac:dyDescent="0.3">
      <c r="A1067" s="23" t="s">
        <v>13659</v>
      </c>
      <c r="B1067" s="23" t="s">
        <v>75</v>
      </c>
      <c r="C1067" s="39">
        <v>599</v>
      </c>
      <c r="D1067" s="24">
        <v>0</v>
      </c>
      <c r="E1067" s="24">
        <v>0</v>
      </c>
      <c r="F1067" s="23">
        <f>COUNTIFS(mdr_rate_cleaned!$A$2:$A$10,B1067,mdr_rate_cleaned!$B$2:$B$10,"&lt;"&amp;C1067,mdr_rate_cleaned!$F$2:$F$10,"&gt;="&amp;C1067)</f>
        <v>1</v>
      </c>
      <c r="G1067" s="40">
        <f>SUMIFS(mdr_rate_cleaned!$G$2:$G$10,mdr_rate_cleaned!$A$2:$A$10,B1067,mdr_rate_cleaned!$B$2:$B$10,"&lt;"&amp;C1067,mdr_rate_cleaned!$F$2:$F$10,"&gt;="&amp;C1067)</f>
        <v>0</v>
      </c>
      <c r="H1067" s="24">
        <f t="shared" si="80"/>
        <v>0</v>
      </c>
      <c r="I1067" s="23" t="str">
        <f t="shared" si="81"/>
        <v>Match</v>
      </c>
      <c r="J1067" s="23" t="str">
        <f t="shared" si="82"/>
        <v>Match</v>
      </c>
      <c r="K1067" s="24">
        <f t="shared" si="83"/>
        <v>0</v>
      </c>
      <c r="L1067" s="24">
        <f t="shared" si="84"/>
        <v>0</v>
      </c>
    </row>
    <row r="1068" spans="1:12" ht="15" customHeight="1" x14ac:dyDescent="0.3">
      <c r="A1068" s="23" t="s">
        <v>13660</v>
      </c>
      <c r="B1068" s="23" t="s">
        <v>77</v>
      </c>
      <c r="C1068" s="39">
        <v>3798</v>
      </c>
      <c r="D1068" s="24">
        <v>91.15</v>
      </c>
      <c r="E1068" s="24">
        <v>16.41</v>
      </c>
      <c r="F1068" s="23">
        <f>COUNTIFS(mdr_rate_cleaned!$A$2:$A$10,B1068,mdr_rate_cleaned!$B$2:$B$10,"&lt;"&amp;C1068,mdr_rate_cleaned!$F$2:$F$10,"&gt;="&amp;C1068)</f>
        <v>1</v>
      </c>
      <c r="G1068" s="40">
        <f>SUMIFS(mdr_rate_cleaned!$G$2:$G$10,mdr_rate_cleaned!$A$2:$A$10,B1068,mdr_rate_cleaned!$B$2:$B$10,"&lt;"&amp;C1068,mdr_rate_cleaned!$F$2:$F$10,"&gt;="&amp;C1068)</f>
        <v>1.7000000000000001E-2</v>
      </c>
      <c r="H1068" s="24">
        <f t="shared" si="80"/>
        <v>64.569999999999993</v>
      </c>
      <c r="I1068" s="23" t="str">
        <f t="shared" si="81"/>
        <v>Differs</v>
      </c>
      <c r="J1068" s="23" t="str">
        <f t="shared" si="82"/>
        <v>Match</v>
      </c>
      <c r="K1068" s="24">
        <f t="shared" si="83"/>
        <v>11.62</v>
      </c>
      <c r="L1068" s="24">
        <f t="shared" si="84"/>
        <v>31.37</v>
      </c>
    </row>
    <row r="1069" spans="1:12" ht="15" customHeight="1" x14ac:dyDescent="0.3">
      <c r="A1069" s="23" t="s">
        <v>13661</v>
      </c>
      <c r="B1069" s="23" t="s">
        <v>75</v>
      </c>
      <c r="C1069" s="39">
        <v>3498</v>
      </c>
      <c r="D1069" s="24">
        <v>10.49</v>
      </c>
      <c r="E1069" s="24">
        <v>1.89</v>
      </c>
      <c r="F1069" s="23">
        <f>COUNTIFS(mdr_rate_cleaned!$A$2:$A$10,B1069,mdr_rate_cleaned!$B$2:$B$10,"&lt;"&amp;C1069,mdr_rate_cleaned!$F$2:$F$10,"&gt;="&amp;C1069)</f>
        <v>1</v>
      </c>
      <c r="G1069" s="40">
        <f>SUMIFS(mdr_rate_cleaned!$G$2:$G$10,mdr_rate_cleaned!$A$2:$A$10,B1069,mdr_rate_cleaned!$B$2:$B$10,"&lt;"&amp;C1069,mdr_rate_cleaned!$F$2:$F$10,"&gt;="&amp;C1069)</f>
        <v>3.0000000000000001E-3</v>
      </c>
      <c r="H1069" s="24">
        <f t="shared" si="80"/>
        <v>10.49</v>
      </c>
      <c r="I1069" s="23" t="str">
        <f t="shared" si="81"/>
        <v>Match</v>
      </c>
      <c r="J1069" s="23" t="str">
        <f t="shared" si="82"/>
        <v>Match</v>
      </c>
      <c r="K1069" s="24">
        <f t="shared" si="83"/>
        <v>1.89</v>
      </c>
      <c r="L1069" s="24">
        <f t="shared" si="84"/>
        <v>0</v>
      </c>
    </row>
    <row r="1070" spans="1:12" ht="15" customHeight="1" x14ac:dyDescent="0.3">
      <c r="A1070" s="23" t="s">
        <v>13662</v>
      </c>
      <c r="B1070" s="23" t="s">
        <v>75</v>
      </c>
      <c r="C1070" s="39">
        <v>3097</v>
      </c>
      <c r="D1070" s="24">
        <v>9.2899999999999991</v>
      </c>
      <c r="E1070" s="24">
        <v>1.67</v>
      </c>
      <c r="F1070" s="23">
        <f>COUNTIFS(mdr_rate_cleaned!$A$2:$A$10,B1070,mdr_rate_cleaned!$B$2:$B$10,"&lt;"&amp;C1070,mdr_rate_cleaned!$F$2:$F$10,"&gt;="&amp;C1070)</f>
        <v>1</v>
      </c>
      <c r="G1070" s="40">
        <f>SUMIFS(mdr_rate_cleaned!$G$2:$G$10,mdr_rate_cleaned!$A$2:$A$10,B1070,mdr_rate_cleaned!$B$2:$B$10,"&lt;"&amp;C1070,mdr_rate_cleaned!$F$2:$F$10,"&gt;="&amp;C1070)</f>
        <v>3.0000000000000001E-3</v>
      </c>
      <c r="H1070" s="24">
        <f t="shared" si="80"/>
        <v>9.2899999999999991</v>
      </c>
      <c r="I1070" s="23" t="str">
        <f t="shared" si="81"/>
        <v>Match</v>
      </c>
      <c r="J1070" s="23" t="str">
        <f t="shared" si="82"/>
        <v>Match</v>
      </c>
      <c r="K1070" s="24">
        <f t="shared" si="83"/>
        <v>1.67</v>
      </c>
      <c r="L1070" s="24">
        <f t="shared" si="84"/>
        <v>0</v>
      </c>
    </row>
    <row r="1071" spans="1:12" ht="15" customHeight="1" x14ac:dyDescent="0.3">
      <c r="A1071" s="23" t="s">
        <v>13663</v>
      </c>
      <c r="B1071" s="23" t="s">
        <v>75</v>
      </c>
      <c r="C1071" s="39">
        <v>3348</v>
      </c>
      <c r="D1071" s="24">
        <v>10.039999999999999</v>
      </c>
      <c r="E1071" s="24">
        <v>1.81</v>
      </c>
      <c r="F1071" s="23">
        <f>COUNTIFS(mdr_rate_cleaned!$A$2:$A$10,B1071,mdr_rate_cleaned!$B$2:$B$10,"&lt;"&amp;C1071,mdr_rate_cleaned!$F$2:$F$10,"&gt;="&amp;C1071)</f>
        <v>1</v>
      </c>
      <c r="G1071" s="40">
        <f>SUMIFS(mdr_rate_cleaned!$G$2:$G$10,mdr_rate_cleaned!$A$2:$A$10,B1071,mdr_rate_cleaned!$B$2:$B$10,"&lt;"&amp;C1071,mdr_rate_cleaned!$F$2:$F$10,"&gt;="&amp;C1071)</f>
        <v>3.0000000000000001E-3</v>
      </c>
      <c r="H1071" s="24">
        <f t="shared" si="80"/>
        <v>10.039999999999999</v>
      </c>
      <c r="I1071" s="23" t="str">
        <f t="shared" si="81"/>
        <v>Match</v>
      </c>
      <c r="J1071" s="23" t="str">
        <f t="shared" si="82"/>
        <v>Match</v>
      </c>
      <c r="K1071" s="24">
        <f t="shared" si="83"/>
        <v>1.81</v>
      </c>
      <c r="L1071" s="24">
        <f t="shared" si="84"/>
        <v>0</v>
      </c>
    </row>
    <row r="1072" spans="1:12" ht="15" customHeight="1" x14ac:dyDescent="0.3">
      <c r="A1072" s="23" t="s">
        <v>13664</v>
      </c>
      <c r="B1072" s="23" t="s">
        <v>75</v>
      </c>
      <c r="C1072" s="39">
        <v>1499</v>
      </c>
      <c r="D1072" s="24">
        <v>0</v>
      </c>
      <c r="E1072" s="24">
        <v>0</v>
      </c>
      <c r="F1072" s="23">
        <f>COUNTIFS(mdr_rate_cleaned!$A$2:$A$10,B1072,mdr_rate_cleaned!$B$2:$B$10,"&lt;"&amp;C1072,mdr_rate_cleaned!$F$2:$F$10,"&gt;="&amp;C1072)</f>
        <v>1</v>
      </c>
      <c r="G1072" s="40">
        <f>SUMIFS(mdr_rate_cleaned!$G$2:$G$10,mdr_rate_cleaned!$A$2:$A$10,B1072,mdr_rate_cleaned!$B$2:$B$10,"&lt;"&amp;C1072,mdr_rate_cleaned!$F$2:$F$10,"&gt;="&amp;C1072)</f>
        <v>0</v>
      </c>
      <c r="H1072" s="24">
        <f t="shared" si="80"/>
        <v>0</v>
      </c>
      <c r="I1072" s="23" t="str">
        <f t="shared" si="81"/>
        <v>Match</v>
      </c>
      <c r="J1072" s="23" t="str">
        <f t="shared" si="82"/>
        <v>Match</v>
      </c>
      <c r="K1072" s="24">
        <f t="shared" si="83"/>
        <v>0</v>
      </c>
      <c r="L1072" s="24">
        <f t="shared" si="84"/>
        <v>0</v>
      </c>
    </row>
    <row r="1073" spans="1:12" ht="15" customHeight="1" x14ac:dyDescent="0.3">
      <c r="A1073" s="23" t="s">
        <v>13665</v>
      </c>
      <c r="B1073" s="23" t="s">
        <v>75</v>
      </c>
      <c r="C1073" s="39">
        <v>4999</v>
      </c>
      <c r="D1073" s="24">
        <v>15</v>
      </c>
      <c r="E1073" s="24">
        <v>2.7</v>
      </c>
      <c r="F1073" s="23">
        <f>COUNTIFS(mdr_rate_cleaned!$A$2:$A$10,B1073,mdr_rate_cleaned!$B$2:$B$10,"&lt;"&amp;C1073,mdr_rate_cleaned!$F$2:$F$10,"&gt;="&amp;C1073)</f>
        <v>1</v>
      </c>
      <c r="G1073" s="40">
        <f>SUMIFS(mdr_rate_cleaned!$G$2:$G$10,mdr_rate_cleaned!$A$2:$A$10,B1073,mdr_rate_cleaned!$B$2:$B$10,"&lt;"&amp;C1073,mdr_rate_cleaned!$F$2:$F$10,"&gt;="&amp;C1073)</f>
        <v>3.0000000000000001E-3</v>
      </c>
      <c r="H1073" s="24">
        <f t="shared" si="80"/>
        <v>15</v>
      </c>
      <c r="I1073" s="23" t="str">
        <f t="shared" si="81"/>
        <v>Match</v>
      </c>
      <c r="J1073" s="23" t="str">
        <f t="shared" si="82"/>
        <v>Match</v>
      </c>
      <c r="K1073" s="24">
        <f t="shared" si="83"/>
        <v>2.7</v>
      </c>
      <c r="L1073" s="24">
        <f t="shared" si="84"/>
        <v>0</v>
      </c>
    </row>
    <row r="1074" spans="1:12" ht="15" customHeight="1" x14ac:dyDescent="0.3">
      <c r="A1074" s="23" t="s">
        <v>13666</v>
      </c>
      <c r="B1074" s="23" t="s">
        <v>81</v>
      </c>
      <c r="C1074" s="39">
        <v>3499</v>
      </c>
      <c r="D1074" s="24">
        <v>41.99</v>
      </c>
      <c r="E1074" s="24">
        <v>7.56</v>
      </c>
      <c r="F1074" s="23">
        <f>COUNTIFS(mdr_rate_cleaned!$A$2:$A$10,B1074,mdr_rate_cleaned!$B$2:$B$10,"&lt;"&amp;C1074,mdr_rate_cleaned!$F$2:$F$10,"&gt;="&amp;C1074)</f>
        <v>1</v>
      </c>
      <c r="G1074" s="40">
        <f>SUMIFS(mdr_rate_cleaned!$G$2:$G$10,mdr_rate_cleaned!$A$2:$A$10,B1074,mdr_rate_cleaned!$B$2:$B$10,"&lt;"&amp;C1074,mdr_rate_cleaned!$F$2:$F$10,"&gt;="&amp;C1074)</f>
        <v>1.2E-2</v>
      </c>
      <c r="H1074" s="24">
        <f t="shared" si="80"/>
        <v>41.99</v>
      </c>
      <c r="I1074" s="23" t="str">
        <f t="shared" si="81"/>
        <v>Match</v>
      </c>
      <c r="J1074" s="23" t="str">
        <f t="shared" si="82"/>
        <v>Match</v>
      </c>
      <c r="K1074" s="24">
        <f t="shared" si="83"/>
        <v>7.56</v>
      </c>
      <c r="L1074" s="24">
        <f t="shared" si="84"/>
        <v>0</v>
      </c>
    </row>
    <row r="1075" spans="1:12" ht="15" customHeight="1" x14ac:dyDescent="0.3">
      <c r="A1075" s="23" t="s">
        <v>13667</v>
      </c>
      <c r="B1075" s="23" t="s">
        <v>77</v>
      </c>
      <c r="C1075" s="39">
        <v>799</v>
      </c>
      <c r="D1075" s="24">
        <v>15.18</v>
      </c>
      <c r="E1075" s="24">
        <v>2.73</v>
      </c>
      <c r="F1075" s="23">
        <f>COUNTIFS(mdr_rate_cleaned!$A$2:$A$10,B1075,mdr_rate_cleaned!$B$2:$B$10,"&lt;"&amp;C1075,mdr_rate_cleaned!$F$2:$F$10,"&gt;="&amp;C1075)</f>
        <v>1</v>
      </c>
      <c r="G1075" s="40">
        <f>SUMIFS(mdr_rate_cleaned!$G$2:$G$10,mdr_rate_cleaned!$A$2:$A$10,B1075,mdr_rate_cleaned!$B$2:$B$10,"&lt;"&amp;C1075,mdr_rate_cleaned!$F$2:$F$10,"&gt;="&amp;C1075)</f>
        <v>1.9E-2</v>
      </c>
      <c r="H1075" s="24">
        <f t="shared" si="80"/>
        <v>15.18</v>
      </c>
      <c r="I1075" s="23" t="str">
        <f t="shared" si="81"/>
        <v>Match</v>
      </c>
      <c r="J1075" s="23" t="str">
        <f t="shared" si="82"/>
        <v>Match</v>
      </c>
      <c r="K1075" s="24">
        <f t="shared" si="83"/>
        <v>2.73</v>
      </c>
      <c r="L1075" s="24">
        <f t="shared" si="84"/>
        <v>0</v>
      </c>
    </row>
    <row r="1076" spans="1:12" ht="15" customHeight="1" x14ac:dyDescent="0.3">
      <c r="A1076" s="23" t="s">
        <v>13668</v>
      </c>
      <c r="B1076" s="23" t="s">
        <v>75</v>
      </c>
      <c r="C1076" s="39">
        <v>4999</v>
      </c>
      <c r="D1076" s="24">
        <v>15</v>
      </c>
      <c r="E1076" s="24">
        <v>2.7</v>
      </c>
      <c r="F1076" s="23">
        <f>COUNTIFS(mdr_rate_cleaned!$A$2:$A$10,B1076,mdr_rate_cleaned!$B$2:$B$10,"&lt;"&amp;C1076,mdr_rate_cleaned!$F$2:$F$10,"&gt;="&amp;C1076)</f>
        <v>1</v>
      </c>
      <c r="G1076" s="40">
        <f>SUMIFS(mdr_rate_cleaned!$G$2:$G$10,mdr_rate_cleaned!$A$2:$A$10,B1076,mdr_rate_cleaned!$B$2:$B$10,"&lt;"&amp;C1076,mdr_rate_cleaned!$F$2:$F$10,"&gt;="&amp;C1076)</f>
        <v>3.0000000000000001E-3</v>
      </c>
      <c r="H1076" s="24">
        <f t="shared" si="80"/>
        <v>15</v>
      </c>
      <c r="I1076" s="23" t="str">
        <f t="shared" si="81"/>
        <v>Match</v>
      </c>
      <c r="J1076" s="23" t="str">
        <f t="shared" si="82"/>
        <v>Match</v>
      </c>
      <c r="K1076" s="24">
        <f t="shared" si="83"/>
        <v>2.7</v>
      </c>
      <c r="L1076" s="24">
        <f t="shared" si="84"/>
        <v>0</v>
      </c>
    </row>
    <row r="1077" spans="1:12" ht="15" customHeight="1" x14ac:dyDescent="0.3">
      <c r="A1077" s="23" t="s">
        <v>13669</v>
      </c>
      <c r="B1077" s="23" t="s">
        <v>79</v>
      </c>
      <c r="C1077" s="39">
        <v>9798</v>
      </c>
      <c r="D1077" s="24">
        <v>156.77000000000001</v>
      </c>
      <c r="E1077" s="24">
        <v>28.22</v>
      </c>
      <c r="F1077" s="23">
        <f>COUNTIFS(mdr_rate_cleaned!$A$2:$A$10,B1077,mdr_rate_cleaned!$B$2:$B$10,"&lt;"&amp;C1077,mdr_rate_cleaned!$F$2:$F$10,"&gt;="&amp;C1077)</f>
        <v>1</v>
      </c>
      <c r="G1077" s="40">
        <f>SUMIFS(mdr_rate_cleaned!$G$2:$G$10,mdr_rate_cleaned!$A$2:$A$10,B1077,mdr_rate_cleaned!$B$2:$B$10,"&lt;"&amp;C1077,mdr_rate_cleaned!$F$2:$F$10,"&gt;="&amp;C1077)</f>
        <v>1.6E-2</v>
      </c>
      <c r="H1077" s="24">
        <f t="shared" si="80"/>
        <v>156.77000000000001</v>
      </c>
      <c r="I1077" s="23" t="str">
        <f t="shared" si="81"/>
        <v>Match</v>
      </c>
      <c r="J1077" s="23" t="str">
        <f t="shared" si="82"/>
        <v>Match</v>
      </c>
      <c r="K1077" s="24">
        <f t="shared" si="83"/>
        <v>28.22</v>
      </c>
      <c r="L1077" s="24">
        <f t="shared" si="84"/>
        <v>0</v>
      </c>
    </row>
    <row r="1078" spans="1:12" ht="15" customHeight="1" x14ac:dyDescent="0.3">
      <c r="A1078" s="23" t="s">
        <v>13670</v>
      </c>
      <c r="B1078" s="23" t="s">
        <v>75</v>
      </c>
      <c r="C1078" s="39">
        <v>798</v>
      </c>
      <c r="D1078" s="24">
        <v>0</v>
      </c>
      <c r="E1078" s="24">
        <v>0</v>
      </c>
      <c r="F1078" s="23">
        <f>COUNTIFS(mdr_rate_cleaned!$A$2:$A$10,B1078,mdr_rate_cleaned!$B$2:$B$10,"&lt;"&amp;C1078,mdr_rate_cleaned!$F$2:$F$10,"&gt;="&amp;C1078)</f>
        <v>1</v>
      </c>
      <c r="G1078" s="40">
        <f>SUMIFS(mdr_rate_cleaned!$G$2:$G$10,mdr_rate_cleaned!$A$2:$A$10,B1078,mdr_rate_cleaned!$B$2:$B$10,"&lt;"&amp;C1078,mdr_rate_cleaned!$F$2:$F$10,"&gt;="&amp;C1078)</f>
        <v>0</v>
      </c>
      <c r="H1078" s="24">
        <f t="shared" si="80"/>
        <v>0</v>
      </c>
      <c r="I1078" s="23" t="str">
        <f t="shared" si="81"/>
        <v>Match</v>
      </c>
      <c r="J1078" s="23" t="str">
        <f t="shared" si="82"/>
        <v>Match</v>
      </c>
      <c r="K1078" s="24">
        <f t="shared" si="83"/>
        <v>0</v>
      </c>
      <c r="L1078" s="24">
        <f t="shared" si="84"/>
        <v>0</v>
      </c>
    </row>
    <row r="1079" spans="1:12" ht="15" customHeight="1" x14ac:dyDescent="0.3">
      <c r="A1079" s="23" t="s">
        <v>13671</v>
      </c>
      <c r="B1079" s="23" t="s">
        <v>79</v>
      </c>
      <c r="C1079" s="39">
        <v>7999</v>
      </c>
      <c r="D1079" s="24">
        <v>127.98</v>
      </c>
      <c r="E1079" s="24">
        <v>23.04</v>
      </c>
      <c r="F1079" s="23">
        <f>COUNTIFS(mdr_rate_cleaned!$A$2:$A$10,B1079,mdr_rate_cleaned!$B$2:$B$10,"&lt;"&amp;C1079,mdr_rate_cleaned!$F$2:$F$10,"&gt;="&amp;C1079)</f>
        <v>1</v>
      </c>
      <c r="G1079" s="40">
        <f>SUMIFS(mdr_rate_cleaned!$G$2:$G$10,mdr_rate_cleaned!$A$2:$A$10,B1079,mdr_rate_cleaned!$B$2:$B$10,"&lt;"&amp;C1079,mdr_rate_cleaned!$F$2:$F$10,"&gt;="&amp;C1079)</f>
        <v>1.6E-2</v>
      </c>
      <c r="H1079" s="24">
        <f t="shared" si="80"/>
        <v>127.98</v>
      </c>
      <c r="I1079" s="23" t="str">
        <f t="shared" si="81"/>
        <v>Match</v>
      </c>
      <c r="J1079" s="23" t="str">
        <f t="shared" si="82"/>
        <v>Match</v>
      </c>
      <c r="K1079" s="24">
        <f t="shared" si="83"/>
        <v>23.04</v>
      </c>
      <c r="L1079" s="24">
        <f t="shared" si="84"/>
        <v>0</v>
      </c>
    </row>
    <row r="1080" spans="1:12" ht="15" customHeight="1" x14ac:dyDescent="0.3">
      <c r="A1080" s="23" t="s">
        <v>13672</v>
      </c>
      <c r="B1080" s="23" t="s">
        <v>75</v>
      </c>
      <c r="C1080" s="39">
        <v>499</v>
      </c>
      <c r="D1080" s="24">
        <v>0</v>
      </c>
      <c r="E1080" s="24">
        <v>0</v>
      </c>
      <c r="F1080" s="23">
        <f>COUNTIFS(mdr_rate_cleaned!$A$2:$A$10,B1080,mdr_rate_cleaned!$B$2:$B$10,"&lt;"&amp;C1080,mdr_rate_cleaned!$F$2:$F$10,"&gt;="&amp;C1080)</f>
        <v>1</v>
      </c>
      <c r="G1080" s="40">
        <f>SUMIFS(mdr_rate_cleaned!$G$2:$G$10,mdr_rate_cleaned!$A$2:$A$10,B1080,mdr_rate_cleaned!$B$2:$B$10,"&lt;"&amp;C1080,mdr_rate_cleaned!$F$2:$F$10,"&gt;="&amp;C1080)</f>
        <v>0</v>
      </c>
      <c r="H1080" s="24">
        <f t="shared" si="80"/>
        <v>0</v>
      </c>
      <c r="I1080" s="23" t="str">
        <f t="shared" si="81"/>
        <v>Match</v>
      </c>
      <c r="J1080" s="23" t="str">
        <f t="shared" si="82"/>
        <v>Match</v>
      </c>
      <c r="K1080" s="24">
        <f t="shared" si="83"/>
        <v>0</v>
      </c>
      <c r="L1080" s="24">
        <f t="shared" si="84"/>
        <v>0</v>
      </c>
    </row>
    <row r="1081" spans="1:12" ht="15" customHeight="1" x14ac:dyDescent="0.3">
      <c r="A1081" s="23" t="s">
        <v>13674</v>
      </c>
      <c r="B1081" s="23" t="s">
        <v>79</v>
      </c>
      <c r="C1081" s="39">
        <v>9097</v>
      </c>
      <c r="D1081" s="24">
        <v>145.55000000000001</v>
      </c>
      <c r="E1081" s="24">
        <v>26.2</v>
      </c>
      <c r="F1081" s="23">
        <f>COUNTIFS(mdr_rate_cleaned!$A$2:$A$10,B1081,mdr_rate_cleaned!$B$2:$B$10,"&lt;"&amp;C1081,mdr_rate_cleaned!$F$2:$F$10,"&gt;="&amp;C1081)</f>
        <v>1</v>
      </c>
      <c r="G1081" s="40">
        <f>SUMIFS(mdr_rate_cleaned!$G$2:$G$10,mdr_rate_cleaned!$A$2:$A$10,B1081,mdr_rate_cleaned!$B$2:$B$10,"&lt;"&amp;C1081,mdr_rate_cleaned!$F$2:$F$10,"&gt;="&amp;C1081)</f>
        <v>1.6E-2</v>
      </c>
      <c r="H1081" s="24">
        <f t="shared" si="80"/>
        <v>145.55000000000001</v>
      </c>
      <c r="I1081" s="23" t="str">
        <f t="shared" si="81"/>
        <v>Match</v>
      </c>
      <c r="J1081" s="23" t="str">
        <f t="shared" si="82"/>
        <v>Match</v>
      </c>
      <c r="K1081" s="24">
        <f t="shared" si="83"/>
        <v>26.2</v>
      </c>
      <c r="L1081" s="24">
        <f t="shared" si="84"/>
        <v>0</v>
      </c>
    </row>
    <row r="1082" spans="1:12" ht="15" customHeight="1" x14ac:dyDescent="0.3">
      <c r="A1082" s="23" t="s">
        <v>13676</v>
      </c>
      <c r="B1082" s="23" t="s">
        <v>75</v>
      </c>
      <c r="C1082" s="39">
        <v>4298</v>
      </c>
      <c r="D1082" s="24">
        <v>12.89</v>
      </c>
      <c r="E1082" s="24">
        <v>2.3199999999999998</v>
      </c>
      <c r="F1082" s="23">
        <f>COUNTIFS(mdr_rate_cleaned!$A$2:$A$10,B1082,mdr_rate_cleaned!$B$2:$B$10,"&lt;"&amp;C1082,mdr_rate_cleaned!$F$2:$F$10,"&gt;="&amp;C1082)</f>
        <v>1</v>
      </c>
      <c r="G1082" s="40">
        <f>SUMIFS(mdr_rate_cleaned!$G$2:$G$10,mdr_rate_cleaned!$A$2:$A$10,B1082,mdr_rate_cleaned!$B$2:$B$10,"&lt;"&amp;C1082,mdr_rate_cleaned!$F$2:$F$10,"&gt;="&amp;C1082)</f>
        <v>3.0000000000000001E-3</v>
      </c>
      <c r="H1082" s="24">
        <f t="shared" si="80"/>
        <v>12.89</v>
      </c>
      <c r="I1082" s="23" t="str">
        <f t="shared" si="81"/>
        <v>Match</v>
      </c>
      <c r="J1082" s="23" t="str">
        <f t="shared" si="82"/>
        <v>Match</v>
      </c>
      <c r="K1082" s="24">
        <f t="shared" si="83"/>
        <v>2.3199999999999998</v>
      </c>
      <c r="L1082" s="24">
        <f t="shared" si="84"/>
        <v>0</v>
      </c>
    </row>
    <row r="1083" spans="1:12" ht="15" customHeight="1" x14ac:dyDescent="0.3">
      <c r="A1083" s="23" t="s">
        <v>13678</v>
      </c>
      <c r="B1083" s="23" t="s">
        <v>81</v>
      </c>
      <c r="C1083" s="39">
        <v>999</v>
      </c>
      <c r="D1083" s="24">
        <v>14.99</v>
      </c>
      <c r="E1083" s="24">
        <v>2.7</v>
      </c>
      <c r="F1083" s="23">
        <f>COUNTIFS(mdr_rate_cleaned!$A$2:$A$10,B1083,mdr_rate_cleaned!$B$2:$B$10,"&lt;"&amp;C1083,mdr_rate_cleaned!$F$2:$F$10,"&gt;="&amp;C1083)</f>
        <v>1</v>
      </c>
      <c r="G1083" s="40">
        <f>SUMIFS(mdr_rate_cleaned!$G$2:$G$10,mdr_rate_cleaned!$A$2:$A$10,B1083,mdr_rate_cleaned!$B$2:$B$10,"&lt;"&amp;C1083,mdr_rate_cleaned!$F$2:$F$10,"&gt;="&amp;C1083)</f>
        <v>1.4999999999999999E-2</v>
      </c>
      <c r="H1083" s="24">
        <f t="shared" si="80"/>
        <v>14.99</v>
      </c>
      <c r="I1083" s="23" t="str">
        <f t="shared" si="81"/>
        <v>Match</v>
      </c>
      <c r="J1083" s="23" t="str">
        <f t="shared" si="82"/>
        <v>Match</v>
      </c>
      <c r="K1083" s="24">
        <f t="shared" si="83"/>
        <v>2.7</v>
      </c>
      <c r="L1083" s="24">
        <f t="shared" si="84"/>
        <v>0</v>
      </c>
    </row>
    <row r="1084" spans="1:12" ht="15" customHeight="1" x14ac:dyDescent="0.3">
      <c r="A1084" s="23" t="s">
        <v>13683</v>
      </c>
      <c r="B1084" s="23" t="s">
        <v>75</v>
      </c>
      <c r="C1084" s="39">
        <v>1598</v>
      </c>
      <c r="D1084" s="24">
        <v>0</v>
      </c>
      <c r="E1084" s="24">
        <v>0</v>
      </c>
      <c r="F1084" s="23">
        <f>COUNTIFS(mdr_rate_cleaned!$A$2:$A$10,B1084,mdr_rate_cleaned!$B$2:$B$10,"&lt;"&amp;C1084,mdr_rate_cleaned!$F$2:$F$10,"&gt;="&amp;C1084)</f>
        <v>1</v>
      </c>
      <c r="G1084" s="40">
        <f>SUMIFS(mdr_rate_cleaned!$G$2:$G$10,mdr_rate_cleaned!$A$2:$A$10,B1084,mdr_rate_cleaned!$B$2:$B$10,"&lt;"&amp;C1084,mdr_rate_cleaned!$F$2:$F$10,"&gt;="&amp;C1084)</f>
        <v>0</v>
      </c>
      <c r="H1084" s="24">
        <f t="shared" si="80"/>
        <v>0</v>
      </c>
      <c r="I1084" s="23" t="str">
        <f t="shared" si="81"/>
        <v>Match</v>
      </c>
      <c r="J1084" s="23" t="str">
        <f t="shared" si="82"/>
        <v>Match</v>
      </c>
      <c r="K1084" s="24">
        <f t="shared" si="83"/>
        <v>0</v>
      </c>
      <c r="L1084" s="24">
        <f t="shared" si="84"/>
        <v>0</v>
      </c>
    </row>
    <row r="1085" spans="1:12" ht="15" customHeight="1" x14ac:dyDescent="0.3">
      <c r="A1085" s="23" t="s">
        <v>13684</v>
      </c>
      <c r="B1085" s="23" t="s">
        <v>81</v>
      </c>
      <c r="C1085" s="39">
        <v>499</v>
      </c>
      <c r="D1085" s="24">
        <v>7.49</v>
      </c>
      <c r="E1085" s="24">
        <v>1.35</v>
      </c>
      <c r="F1085" s="23">
        <f>COUNTIFS(mdr_rate_cleaned!$A$2:$A$10,B1085,mdr_rate_cleaned!$B$2:$B$10,"&lt;"&amp;C1085,mdr_rate_cleaned!$F$2:$F$10,"&gt;="&amp;C1085)</f>
        <v>1</v>
      </c>
      <c r="G1085" s="40">
        <f>SUMIFS(mdr_rate_cleaned!$G$2:$G$10,mdr_rate_cleaned!$A$2:$A$10,B1085,mdr_rate_cleaned!$B$2:$B$10,"&lt;"&amp;C1085,mdr_rate_cleaned!$F$2:$F$10,"&gt;="&amp;C1085)</f>
        <v>1.4999999999999999E-2</v>
      </c>
      <c r="H1085" s="24">
        <f t="shared" si="80"/>
        <v>7.49</v>
      </c>
      <c r="I1085" s="23" t="str">
        <f t="shared" si="81"/>
        <v>Match</v>
      </c>
      <c r="J1085" s="23" t="str">
        <f t="shared" si="82"/>
        <v>Match</v>
      </c>
      <c r="K1085" s="24">
        <f t="shared" si="83"/>
        <v>1.35</v>
      </c>
      <c r="L1085" s="24">
        <f t="shared" si="84"/>
        <v>0</v>
      </c>
    </row>
    <row r="1086" spans="1:12" ht="15" customHeight="1" x14ac:dyDescent="0.3">
      <c r="A1086" s="23" t="s">
        <v>13685</v>
      </c>
      <c r="B1086" s="23" t="s">
        <v>75</v>
      </c>
      <c r="C1086" s="39">
        <v>4999</v>
      </c>
      <c r="D1086" s="24">
        <v>15</v>
      </c>
      <c r="E1086" s="24">
        <v>2.7</v>
      </c>
      <c r="F1086" s="23">
        <f>COUNTIFS(mdr_rate_cleaned!$A$2:$A$10,B1086,mdr_rate_cleaned!$B$2:$B$10,"&lt;"&amp;C1086,mdr_rate_cleaned!$F$2:$F$10,"&gt;="&amp;C1086)</f>
        <v>1</v>
      </c>
      <c r="G1086" s="40">
        <f>SUMIFS(mdr_rate_cleaned!$G$2:$G$10,mdr_rate_cleaned!$A$2:$A$10,B1086,mdr_rate_cleaned!$B$2:$B$10,"&lt;"&amp;C1086,mdr_rate_cleaned!$F$2:$F$10,"&gt;="&amp;C1086)</f>
        <v>3.0000000000000001E-3</v>
      </c>
      <c r="H1086" s="24">
        <f t="shared" si="80"/>
        <v>15</v>
      </c>
      <c r="I1086" s="23" t="str">
        <f t="shared" si="81"/>
        <v>Match</v>
      </c>
      <c r="J1086" s="23" t="str">
        <f t="shared" si="82"/>
        <v>Match</v>
      </c>
      <c r="K1086" s="24">
        <f t="shared" si="83"/>
        <v>2.7</v>
      </c>
      <c r="L1086" s="24">
        <f t="shared" si="84"/>
        <v>0</v>
      </c>
    </row>
    <row r="1087" spans="1:12" ht="15" customHeight="1" x14ac:dyDescent="0.3">
      <c r="A1087" s="23" t="s">
        <v>13686</v>
      </c>
      <c r="B1087" s="23" t="s">
        <v>75</v>
      </c>
      <c r="C1087" s="39">
        <v>499</v>
      </c>
      <c r="D1087" s="24">
        <v>0</v>
      </c>
      <c r="E1087" s="24">
        <v>0</v>
      </c>
      <c r="F1087" s="23">
        <f>COUNTIFS(mdr_rate_cleaned!$A$2:$A$10,B1087,mdr_rate_cleaned!$B$2:$B$10,"&lt;"&amp;C1087,mdr_rate_cleaned!$F$2:$F$10,"&gt;="&amp;C1087)</f>
        <v>1</v>
      </c>
      <c r="G1087" s="40">
        <f>SUMIFS(mdr_rate_cleaned!$G$2:$G$10,mdr_rate_cleaned!$A$2:$A$10,B1087,mdr_rate_cleaned!$B$2:$B$10,"&lt;"&amp;C1087,mdr_rate_cleaned!$F$2:$F$10,"&gt;="&amp;C1087)</f>
        <v>0</v>
      </c>
      <c r="H1087" s="24">
        <f t="shared" si="80"/>
        <v>0</v>
      </c>
      <c r="I1087" s="23" t="str">
        <f t="shared" si="81"/>
        <v>Match</v>
      </c>
      <c r="J1087" s="23" t="str">
        <f t="shared" si="82"/>
        <v>Match</v>
      </c>
      <c r="K1087" s="24">
        <f t="shared" si="83"/>
        <v>0</v>
      </c>
      <c r="L1087" s="24">
        <f t="shared" si="84"/>
        <v>0</v>
      </c>
    </row>
    <row r="1088" spans="1:12" ht="15" customHeight="1" x14ac:dyDescent="0.3">
      <c r="A1088" s="23" t="s">
        <v>13687</v>
      </c>
      <c r="B1088" s="23" t="s">
        <v>81</v>
      </c>
      <c r="C1088" s="39">
        <v>2499</v>
      </c>
      <c r="D1088" s="24">
        <v>29.99</v>
      </c>
      <c r="E1088" s="24">
        <v>5.4</v>
      </c>
      <c r="F1088" s="23">
        <f>COUNTIFS(mdr_rate_cleaned!$A$2:$A$10,B1088,mdr_rate_cleaned!$B$2:$B$10,"&lt;"&amp;C1088,mdr_rate_cleaned!$F$2:$F$10,"&gt;="&amp;C1088)</f>
        <v>1</v>
      </c>
      <c r="G1088" s="40">
        <f>SUMIFS(mdr_rate_cleaned!$G$2:$G$10,mdr_rate_cleaned!$A$2:$A$10,B1088,mdr_rate_cleaned!$B$2:$B$10,"&lt;"&amp;C1088,mdr_rate_cleaned!$F$2:$F$10,"&gt;="&amp;C1088)</f>
        <v>1.2E-2</v>
      </c>
      <c r="H1088" s="24">
        <f t="shared" si="80"/>
        <v>29.99</v>
      </c>
      <c r="I1088" s="23" t="str">
        <f t="shared" si="81"/>
        <v>Match</v>
      </c>
      <c r="J1088" s="23" t="str">
        <f t="shared" si="82"/>
        <v>Match</v>
      </c>
      <c r="K1088" s="24">
        <f t="shared" si="83"/>
        <v>5.4</v>
      </c>
      <c r="L1088" s="24">
        <f t="shared" si="84"/>
        <v>0</v>
      </c>
    </row>
    <row r="1089" spans="1:12" ht="15" customHeight="1" x14ac:dyDescent="0.3">
      <c r="A1089" s="23" t="s">
        <v>13689</v>
      </c>
      <c r="B1089" s="23" t="s">
        <v>75</v>
      </c>
      <c r="C1089" s="39">
        <v>3998</v>
      </c>
      <c r="D1089" s="24">
        <v>11.99</v>
      </c>
      <c r="E1089" s="24">
        <v>2.16</v>
      </c>
      <c r="F1089" s="23">
        <f>COUNTIFS(mdr_rate_cleaned!$A$2:$A$10,B1089,mdr_rate_cleaned!$B$2:$B$10,"&lt;"&amp;C1089,mdr_rate_cleaned!$F$2:$F$10,"&gt;="&amp;C1089)</f>
        <v>1</v>
      </c>
      <c r="G1089" s="40">
        <f>SUMIFS(mdr_rate_cleaned!$G$2:$G$10,mdr_rate_cleaned!$A$2:$A$10,B1089,mdr_rate_cleaned!$B$2:$B$10,"&lt;"&amp;C1089,mdr_rate_cleaned!$F$2:$F$10,"&gt;="&amp;C1089)</f>
        <v>3.0000000000000001E-3</v>
      </c>
      <c r="H1089" s="24">
        <f t="shared" si="80"/>
        <v>11.99</v>
      </c>
      <c r="I1089" s="23" t="str">
        <f t="shared" si="81"/>
        <v>Match</v>
      </c>
      <c r="J1089" s="23" t="str">
        <f t="shared" si="82"/>
        <v>Match</v>
      </c>
      <c r="K1089" s="24">
        <f t="shared" si="83"/>
        <v>2.16</v>
      </c>
      <c r="L1089" s="24">
        <f t="shared" si="84"/>
        <v>0</v>
      </c>
    </row>
    <row r="1090" spans="1:12" ht="15" customHeight="1" x14ac:dyDescent="0.3">
      <c r="A1090" s="23" t="s">
        <v>13691</v>
      </c>
      <c r="B1090" s="23" t="s">
        <v>77</v>
      </c>
      <c r="C1090" s="39">
        <v>3499</v>
      </c>
      <c r="D1090" s="24">
        <v>83.98</v>
      </c>
      <c r="E1090" s="24">
        <v>15.12</v>
      </c>
      <c r="F1090" s="23">
        <f>COUNTIFS(mdr_rate_cleaned!$A$2:$A$10,B1090,mdr_rate_cleaned!$B$2:$B$10,"&lt;"&amp;C1090,mdr_rate_cleaned!$F$2:$F$10,"&gt;="&amp;C1090)</f>
        <v>1</v>
      </c>
      <c r="G1090" s="40">
        <f>SUMIFS(mdr_rate_cleaned!$G$2:$G$10,mdr_rate_cleaned!$A$2:$A$10,B1090,mdr_rate_cleaned!$B$2:$B$10,"&lt;"&amp;C1090,mdr_rate_cleaned!$F$2:$F$10,"&gt;="&amp;C1090)</f>
        <v>1.7000000000000001E-2</v>
      </c>
      <c r="H1090" s="24">
        <f t="shared" ref="H1090:H1153" si="85">ROUND(C1090*G1090,2)</f>
        <v>59.48</v>
      </c>
      <c r="I1090" s="23" t="str">
        <f t="shared" ref="I1090:I1153" si="86">IF(ROUND(D1090-H1090,2)=0,"Match","Differs")</f>
        <v>Differs</v>
      </c>
      <c r="J1090" s="23" t="str">
        <f t="shared" ref="J1090:J1153" si="87">IF(ROUND(E1090-ROUND(D1090*0.18,2),2)=0,"Match","Differs")</f>
        <v>Match</v>
      </c>
      <c r="K1090" s="24">
        <f t="shared" ref="K1090:K1153" si="88">ROUND(H1090*0.18,2)</f>
        <v>10.71</v>
      </c>
      <c r="L1090" s="24">
        <f t="shared" ref="L1090:L1153" si="89">ROUND(D1090+E1090-H1090-K1090,2)</f>
        <v>28.91</v>
      </c>
    </row>
    <row r="1091" spans="1:12" ht="15" customHeight="1" x14ac:dyDescent="0.3">
      <c r="A1091" s="23" t="s">
        <v>13692</v>
      </c>
      <c r="B1091" s="23" t="s">
        <v>79</v>
      </c>
      <c r="C1091" s="39">
        <v>2499</v>
      </c>
      <c r="D1091" s="24">
        <v>39.979999999999997</v>
      </c>
      <c r="E1091" s="24">
        <v>7.2</v>
      </c>
      <c r="F1091" s="23">
        <f>COUNTIFS(mdr_rate_cleaned!$A$2:$A$10,B1091,mdr_rate_cleaned!$B$2:$B$10,"&lt;"&amp;C1091,mdr_rate_cleaned!$F$2:$F$10,"&gt;="&amp;C1091)</f>
        <v>1</v>
      </c>
      <c r="G1091" s="40">
        <f>SUMIFS(mdr_rate_cleaned!$G$2:$G$10,mdr_rate_cleaned!$A$2:$A$10,B1091,mdr_rate_cleaned!$B$2:$B$10,"&lt;"&amp;C1091,mdr_rate_cleaned!$F$2:$F$10,"&gt;="&amp;C1091)</f>
        <v>1.6E-2</v>
      </c>
      <c r="H1091" s="24">
        <f t="shared" si="85"/>
        <v>39.979999999999997</v>
      </c>
      <c r="I1091" s="23" t="str">
        <f t="shared" si="86"/>
        <v>Match</v>
      </c>
      <c r="J1091" s="23" t="str">
        <f t="shared" si="87"/>
        <v>Match</v>
      </c>
      <c r="K1091" s="24">
        <f t="shared" si="88"/>
        <v>7.2</v>
      </c>
      <c r="L1091" s="24">
        <f t="shared" si="89"/>
        <v>0</v>
      </c>
    </row>
    <row r="1092" spans="1:12" ht="15" customHeight="1" x14ac:dyDescent="0.3">
      <c r="A1092" s="23" t="s">
        <v>13693</v>
      </c>
      <c r="B1092" s="23" t="s">
        <v>75</v>
      </c>
      <c r="C1092" s="39">
        <v>349</v>
      </c>
      <c r="D1092" s="24">
        <v>0</v>
      </c>
      <c r="E1092" s="24">
        <v>0</v>
      </c>
      <c r="F1092" s="23">
        <f>COUNTIFS(mdr_rate_cleaned!$A$2:$A$10,B1092,mdr_rate_cleaned!$B$2:$B$10,"&lt;"&amp;C1092,mdr_rate_cleaned!$F$2:$F$10,"&gt;="&amp;C1092)</f>
        <v>1</v>
      </c>
      <c r="G1092" s="40">
        <f>SUMIFS(mdr_rate_cleaned!$G$2:$G$10,mdr_rate_cleaned!$A$2:$A$10,B1092,mdr_rate_cleaned!$B$2:$B$10,"&lt;"&amp;C1092,mdr_rate_cleaned!$F$2:$F$10,"&gt;="&amp;C1092)</f>
        <v>0</v>
      </c>
      <c r="H1092" s="24">
        <f t="shared" si="85"/>
        <v>0</v>
      </c>
      <c r="I1092" s="23" t="str">
        <f t="shared" si="86"/>
        <v>Match</v>
      </c>
      <c r="J1092" s="23" t="str">
        <f t="shared" si="87"/>
        <v>Match</v>
      </c>
      <c r="K1092" s="24">
        <f t="shared" si="88"/>
        <v>0</v>
      </c>
      <c r="L1092" s="24">
        <f t="shared" si="89"/>
        <v>0</v>
      </c>
    </row>
    <row r="1093" spans="1:12" ht="15" customHeight="1" x14ac:dyDescent="0.3">
      <c r="A1093" s="23" t="s">
        <v>13695</v>
      </c>
      <c r="B1093" s="23" t="s">
        <v>75</v>
      </c>
      <c r="C1093" s="39">
        <v>4298</v>
      </c>
      <c r="D1093" s="24">
        <v>12.89</v>
      </c>
      <c r="E1093" s="24">
        <v>2.3199999999999998</v>
      </c>
      <c r="F1093" s="23">
        <f>COUNTIFS(mdr_rate_cleaned!$A$2:$A$10,B1093,mdr_rate_cleaned!$B$2:$B$10,"&lt;"&amp;C1093,mdr_rate_cleaned!$F$2:$F$10,"&gt;="&amp;C1093)</f>
        <v>1</v>
      </c>
      <c r="G1093" s="40">
        <f>SUMIFS(mdr_rate_cleaned!$G$2:$G$10,mdr_rate_cleaned!$A$2:$A$10,B1093,mdr_rate_cleaned!$B$2:$B$10,"&lt;"&amp;C1093,mdr_rate_cleaned!$F$2:$F$10,"&gt;="&amp;C1093)</f>
        <v>3.0000000000000001E-3</v>
      </c>
      <c r="H1093" s="24">
        <f t="shared" si="85"/>
        <v>12.89</v>
      </c>
      <c r="I1093" s="23" t="str">
        <f t="shared" si="86"/>
        <v>Match</v>
      </c>
      <c r="J1093" s="23" t="str">
        <f t="shared" si="87"/>
        <v>Match</v>
      </c>
      <c r="K1093" s="24">
        <f t="shared" si="88"/>
        <v>2.3199999999999998</v>
      </c>
      <c r="L1093" s="24">
        <f t="shared" si="89"/>
        <v>0</v>
      </c>
    </row>
    <row r="1094" spans="1:12" ht="15" customHeight="1" x14ac:dyDescent="0.3">
      <c r="A1094" s="23" t="s">
        <v>13696</v>
      </c>
      <c r="B1094" s="23" t="s">
        <v>81</v>
      </c>
      <c r="C1094" s="39">
        <v>7397</v>
      </c>
      <c r="D1094" s="24">
        <v>88.76</v>
      </c>
      <c r="E1094" s="24">
        <v>15.98</v>
      </c>
      <c r="F1094" s="23">
        <f>COUNTIFS(mdr_rate_cleaned!$A$2:$A$10,B1094,mdr_rate_cleaned!$B$2:$B$10,"&lt;"&amp;C1094,mdr_rate_cleaned!$F$2:$F$10,"&gt;="&amp;C1094)</f>
        <v>1</v>
      </c>
      <c r="G1094" s="40">
        <f>SUMIFS(mdr_rate_cleaned!$G$2:$G$10,mdr_rate_cleaned!$A$2:$A$10,B1094,mdr_rate_cleaned!$B$2:$B$10,"&lt;"&amp;C1094,mdr_rate_cleaned!$F$2:$F$10,"&gt;="&amp;C1094)</f>
        <v>1.2E-2</v>
      </c>
      <c r="H1094" s="24">
        <f t="shared" si="85"/>
        <v>88.76</v>
      </c>
      <c r="I1094" s="23" t="str">
        <f t="shared" si="86"/>
        <v>Match</v>
      </c>
      <c r="J1094" s="23" t="str">
        <f t="shared" si="87"/>
        <v>Match</v>
      </c>
      <c r="K1094" s="24">
        <f t="shared" si="88"/>
        <v>15.98</v>
      </c>
      <c r="L1094" s="24">
        <f t="shared" si="89"/>
        <v>0</v>
      </c>
    </row>
    <row r="1095" spans="1:12" ht="15" customHeight="1" x14ac:dyDescent="0.3">
      <c r="A1095" s="23" t="s">
        <v>13697</v>
      </c>
      <c r="B1095" s="23" t="s">
        <v>75</v>
      </c>
      <c r="C1095" s="39">
        <v>5348</v>
      </c>
      <c r="D1095" s="24">
        <v>16.04</v>
      </c>
      <c r="E1095" s="24">
        <v>2.89</v>
      </c>
      <c r="F1095" s="23">
        <f>COUNTIFS(mdr_rate_cleaned!$A$2:$A$10,B1095,mdr_rate_cleaned!$B$2:$B$10,"&lt;"&amp;C1095,mdr_rate_cleaned!$F$2:$F$10,"&gt;="&amp;C1095)</f>
        <v>1</v>
      </c>
      <c r="G1095" s="40">
        <f>SUMIFS(mdr_rate_cleaned!$G$2:$G$10,mdr_rate_cleaned!$A$2:$A$10,B1095,mdr_rate_cleaned!$B$2:$B$10,"&lt;"&amp;C1095,mdr_rate_cleaned!$F$2:$F$10,"&gt;="&amp;C1095)</f>
        <v>3.0000000000000001E-3</v>
      </c>
      <c r="H1095" s="24">
        <f t="shared" si="85"/>
        <v>16.04</v>
      </c>
      <c r="I1095" s="23" t="str">
        <f t="shared" si="86"/>
        <v>Match</v>
      </c>
      <c r="J1095" s="23" t="str">
        <f t="shared" si="87"/>
        <v>Match</v>
      </c>
      <c r="K1095" s="24">
        <f t="shared" si="88"/>
        <v>2.89</v>
      </c>
      <c r="L1095" s="24">
        <f t="shared" si="89"/>
        <v>0</v>
      </c>
    </row>
    <row r="1096" spans="1:12" ht="15" customHeight="1" x14ac:dyDescent="0.3">
      <c r="A1096" s="23" t="s">
        <v>13698</v>
      </c>
      <c r="B1096" s="23" t="s">
        <v>75</v>
      </c>
      <c r="C1096" s="39">
        <v>7999</v>
      </c>
      <c r="D1096" s="24">
        <v>24</v>
      </c>
      <c r="E1096" s="24">
        <v>4.32</v>
      </c>
      <c r="F1096" s="23">
        <f>COUNTIFS(mdr_rate_cleaned!$A$2:$A$10,B1096,mdr_rate_cleaned!$B$2:$B$10,"&lt;"&amp;C1096,mdr_rate_cleaned!$F$2:$F$10,"&gt;="&amp;C1096)</f>
        <v>1</v>
      </c>
      <c r="G1096" s="40">
        <f>SUMIFS(mdr_rate_cleaned!$G$2:$G$10,mdr_rate_cleaned!$A$2:$A$10,B1096,mdr_rate_cleaned!$B$2:$B$10,"&lt;"&amp;C1096,mdr_rate_cleaned!$F$2:$F$10,"&gt;="&amp;C1096)</f>
        <v>3.0000000000000001E-3</v>
      </c>
      <c r="H1096" s="24">
        <f t="shared" si="85"/>
        <v>24</v>
      </c>
      <c r="I1096" s="23" t="str">
        <f t="shared" si="86"/>
        <v>Match</v>
      </c>
      <c r="J1096" s="23" t="str">
        <f t="shared" si="87"/>
        <v>Match</v>
      </c>
      <c r="K1096" s="24">
        <f t="shared" si="88"/>
        <v>4.32</v>
      </c>
      <c r="L1096" s="24">
        <f t="shared" si="89"/>
        <v>0</v>
      </c>
    </row>
    <row r="1097" spans="1:12" ht="15" customHeight="1" x14ac:dyDescent="0.3">
      <c r="A1097" s="23" t="s">
        <v>13699</v>
      </c>
      <c r="B1097" s="23" t="s">
        <v>77</v>
      </c>
      <c r="C1097" s="39">
        <v>1799</v>
      </c>
      <c r="D1097" s="24">
        <v>34.18</v>
      </c>
      <c r="E1097" s="24">
        <v>6.15</v>
      </c>
      <c r="F1097" s="23">
        <f>COUNTIFS(mdr_rate_cleaned!$A$2:$A$10,B1097,mdr_rate_cleaned!$B$2:$B$10,"&lt;"&amp;C1097,mdr_rate_cleaned!$F$2:$F$10,"&gt;="&amp;C1097)</f>
        <v>1</v>
      </c>
      <c r="G1097" s="40">
        <f>SUMIFS(mdr_rate_cleaned!$G$2:$G$10,mdr_rate_cleaned!$A$2:$A$10,B1097,mdr_rate_cleaned!$B$2:$B$10,"&lt;"&amp;C1097,mdr_rate_cleaned!$F$2:$F$10,"&gt;="&amp;C1097)</f>
        <v>1.9E-2</v>
      </c>
      <c r="H1097" s="24">
        <f t="shared" si="85"/>
        <v>34.18</v>
      </c>
      <c r="I1097" s="23" t="str">
        <f t="shared" si="86"/>
        <v>Match</v>
      </c>
      <c r="J1097" s="23" t="str">
        <f t="shared" si="87"/>
        <v>Match</v>
      </c>
      <c r="K1097" s="24">
        <f t="shared" si="88"/>
        <v>6.15</v>
      </c>
      <c r="L1097" s="24">
        <f t="shared" si="89"/>
        <v>0</v>
      </c>
    </row>
    <row r="1098" spans="1:12" ht="15" customHeight="1" x14ac:dyDescent="0.3">
      <c r="A1098" s="23" t="s">
        <v>13700</v>
      </c>
      <c r="B1098" s="23" t="s">
        <v>75</v>
      </c>
      <c r="C1098" s="39">
        <v>2297</v>
      </c>
      <c r="D1098" s="24">
        <v>6.89</v>
      </c>
      <c r="E1098" s="24">
        <v>1.24</v>
      </c>
      <c r="F1098" s="23">
        <f>COUNTIFS(mdr_rate_cleaned!$A$2:$A$10,B1098,mdr_rate_cleaned!$B$2:$B$10,"&lt;"&amp;C1098,mdr_rate_cleaned!$F$2:$F$10,"&gt;="&amp;C1098)</f>
        <v>1</v>
      </c>
      <c r="G1098" s="40">
        <f>SUMIFS(mdr_rate_cleaned!$G$2:$G$10,mdr_rate_cleaned!$A$2:$A$10,B1098,mdr_rate_cleaned!$B$2:$B$10,"&lt;"&amp;C1098,mdr_rate_cleaned!$F$2:$F$10,"&gt;="&amp;C1098)</f>
        <v>3.0000000000000001E-3</v>
      </c>
      <c r="H1098" s="24">
        <f t="shared" si="85"/>
        <v>6.89</v>
      </c>
      <c r="I1098" s="23" t="str">
        <f t="shared" si="86"/>
        <v>Match</v>
      </c>
      <c r="J1098" s="23" t="str">
        <f t="shared" si="87"/>
        <v>Match</v>
      </c>
      <c r="K1098" s="24">
        <f t="shared" si="88"/>
        <v>1.24</v>
      </c>
      <c r="L1098" s="24">
        <f t="shared" si="89"/>
        <v>0</v>
      </c>
    </row>
    <row r="1099" spans="1:12" ht="15" customHeight="1" x14ac:dyDescent="0.3">
      <c r="A1099" s="23" t="s">
        <v>13701</v>
      </c>
      <c r="B1099" s="23" t="s">
        <v>79</v>
      </c>
      <c r="C1099" s="39">
        <v>499</v>
      </c>
      <c r="D1099" s="24">
        <v>8.98</v>
      </c>
      <c r="E1099" s="24">
        <v>1.62</v>
      </c>
      <c r="F1099" s="23">
        <f>COUNTIFS(mdr_rate_cleaned!$A$2:$A$10,B1099,mdr_rate_cleaned!$B$2:$B$10,"&lt;"&amp;C1099,mdr_rate_cleaned!$F$2:$F$10,"&gt;="&amp;C1099)</f>
        <v>1</v>
      </c>
      <c r="G1099" s="40">
        <f>SUMIFS(mdr_rate_cleaned!$G$2:$G$10,mdr_rate_cleaned!$A$2:$A$10,B1099,mdr_rate_cleaned!$B$2:$B$10,"&lt;"&amp;C1099,mdr_rate_cleaned!$F$2:$F$10,"&gt;="&amp;C1099)</f>
        <v>1.8000000000000002E-2</v>
      </c>
      <c r="H1099" s="24">
        <f t="shared" si="85"/>
        <v>8.98</v>
      </c>
      <c r="I1099" s="23" t="str">
        <f t="shared" si="86"/>
        <v>Match</v>
      </c>
      <c r="J1099" s="23" t="str">
        <f t="shared" si="87"/>
        <v>Match</v>
      </c>
      <c r="K1099" s="24">
        <f t="shared" si="88"/>
        <v>1.62</v>
      </c>
      <c r="L1099" s="24">
        <f t="shared" si="89"/>
        <v>0</v>
      </c>
    </row>
    <row r="1100" spans="1:12" ht="15" customHeight="1" x14ac:dyDescent="0.3">
      <c r="A1100" s="23" t="s">
        <v>13702</v>
      </c>
      <c r="B1100" s="23" t="s">
        <v>75</v>
      </c>
      <c r="C1100" s="39">
        <v>7999</v>
      </c>
      <c r="D1100" s="24">
        <v>24</v>
      </c>
      <c r="E1100" s="24">
        <v>4.32</v>
      </c>
      <c r="F1100" s="23">
        <f>COUNTIFS(mdr_rate_cleaned!$A$2:$A$10,B1100,mdr_rate_cleaned!$B$2:$B$10,"&lt;"&amp;C1100,mdr_rate_cleaned!$F$2:$F$10,"&gt;="&amp;C1100)</f>
        <v>1</v>
      </c>
      <c r="G1100" s="40">
        <f>SUMIFS(mdr_rate_cleaned!$G$2:$G$10,mdr_rate_cleaned!$A$2:$A$10,B1100,mdr_rate_cleaned!$B$2:$B$10,"&lt;"&amp;C1100,mdr_rate_cleaned!$F$2:$F$10,"&gt;="&amp;C1100)</f>
        <v>3.0000000000000001E-3</v>
      </c>
      <c r="H1100" s="24">
        <f t="shared" si="85"/>
        <v>24</v>
      </c>
      <c r="I1100" s="23" t="str">
        <f t="shared" si="86"/>
        <v>Match</v>
      </c>
      <c r="J1100" s="23" t="str">
        <f t="shared" si="87"/>
        <v>Match</v>
      </c>
      <c r="K1100" s="24">
        <f t="shared" si="88"/>
        <v>4.32</v>
      </c>
      <c r="L1100" s="24">
        <f t="shared" si="89"/>
        <v>0</v>
      </c>
    </row>
    <row r="1101" spans="1:12" ht="15" customHeight="1" x14ac:dyDescent="0.3">
      <c r="A1101" s="23" t="s">
        <v>13703</v>
      </c>
      <c r="B1101" s="23" t="s">
        <v>75</v>
      </c>
      <c r="C1101" s="39">
        <v>3098</v>
      </c>
      <c r="D1101" s="24">
        <v>9.2899999999999991</v>
      </c>
      <c r="E1101" s="24">
        <v>1.67</v>
      </c>
      <c r="F1101" s="23">
        <f>COUNTIFS(mdr_rate_cleaned!$A$2:$A$10,B1101,mdr_rate_cleaned!$B$2:$B$10,"&lt;"&amp;C1101,mdr_rate_cleaned!$F$2:$F$10,"&gt;="&amp;C1101)</f>
        <v>1</v>
      </c>
      <c r="G1101" s="40">
        <f>SUMIFS(mdr_rate_cleaned!$G$2:$G$10,mdr_rate_cleaned!$A$2:$A$10,B1101,mdr_rate_cleaned!$B$2:$B$10,"&lt;"&amp;C1101,mdr_rate_cleaned!$F$2:$F$10,"&gt;="&amp;C1101)</f>
        <v>3.0000000000000001E-3</v>
      </c>
      <c r="H1101" s="24">
        <f t="shared" si="85"/>
        <v>9.2899999999999991</v>
      </c>
      <c r="I1101" s="23" t="str">
        <f t="shared" si="86"/>
        <v>Match</v>
      </c>
      <c r="J1101" s="23" t="str">
        <f t="shared" si="87"/>
        <v>Match</v>
      </c>
      <c r="K1101" s="24">
        <f t="shared" si="88"/>
        <v>1.67</v>
      </c>
      <c r="L1101" s="24">
        <f t="shared" si="89"/>
        <v>0</v>
      </c>
    </row>
    <row r="1102" spans="1:12" ht="15" customHeight="1" x14ac:dyDescent="0.3">
      <c r="A1102" s="23" t="s">
        <v>13704</v>
      </c>
      <c r="B1102" s="23" t="s">
        <v>75</v>
      </c>
      <c r="C1102" s="39">
        <v>499</v>
      </c>
      <c r="D1102" s="24">
        <v>0</v>
      </c>
      <c r="E1102" s="24">
        <v>0</v>
      </c>
      <c r="F1102" s="23">
        <f>COUNTIFS(mdr_rate_cleaned!$A$2:$A$10,B1102,mdr_rate_cleaned!$B$2:$B$10,"&lt;"&amp;C1102,mdr_rate_cleaned!$F$2:$F$10,"&gt;="&amp;C1102)</f>
        <v>1</v>
      </c>
      <c r="G1102" s="40">
        <f>SUMIFS(mdr_rate_cleaned!$G$2:$G$10,mdr_rate_cleaned!$A$2:$A$10,B1102,mdr_rate_cleaned!$B$2:$B$10,"&lt;"&amp;C1102,mdr_rate_cleaned!$F$2:$F$10,"&gt;="&amp;C1102)</f>
        <v>0</v>
      </c>
      <c r="H1102" s="24">
        <f t="shared" si="85"/>
        <v>0</v>
      </c>
      <c r="I1102" s="23" t="str">
        <f t="shared" si="86"/>
        <v>Match</v>
      </c>
      <c r="J1102" s="23" t="str">
        <f t="shared" si="87"/>
        <v>Match</v>
      </c>
      <c r="K1102" s="24">
        <f t="shared" si="88"/>
        <v>0</v>
      </c>
      <c r="L1102" s="24">
        <f t="shared" si="89"/>
        <v>0</v>
      </c>
    </row>
    <row r="1103" spans="1:12" ht="15" customHeight="1" x14ac:dyDescent="0.3">
      <c r="A1103" s="23" t="s">
        <v>13705</v>
      </c>
      <c r="B1103" s="23" t="s">
        <v>79</v>
      </c>
      <c r="C1103" s="39">
        <v>2298</v>
      </c>
      <c r="D1103" s="24">
        <v>36.770000000000003</v>
      </c>
      <c r="E1103" s="24">
        <v>6.62</v>
      </c>
      <c r="F1103" s="23">
        <f>COUNTIFS(mdr_rate_cleaned!$A$2:$A$10,B1103,mdr_rate_cleaned!$B$2:$B$10,"&lt;"&amp;C1103,mdr_rate_cleaned!$F$2:$F$10,"&gt;="&amp;C1103)</f>
        <v>1</v>
      </c>
      <c r="G1103" s="40">
        <f>SUMIFS(mdr_rate_cleaned!$G$2:$G$10,mdr_rate_cleaned!$A$2:$A$10,B1103,mdr_rate_cleaned!$B$2:$B$10,"&lt;"&amp;C1103,mdr_rate_cleaned!$F$2:$F$10,"&gt;="&amp;C1103)</f>
        <v>1.6E-2</v>
      </c>
      <c r="H1103" s="24">
        <f t="shared" si="85"/>
        <v>36.770000000000003</v>
      </c>
      <c r="I1103" s="23" t="str">
        <f t="shared" si="86"/>
        <v>Match</v>
      </c>
      <c r="J1103" s="23" t="str">
        <f t="shared" si="87"/>
        <v>Match</v>
      </c>
      <c r="K1103" s="24">
        <f t="shared" si="88"/>
        <v>6.62</v>
      </c>
      <c r="L1103" s="24">
        <f t="shared" si="89"/>
        <v>0</v>
      </c>
    </row>
    <row r="1104" spans="1:12" ht="15" customHeight="1" x14ac:dyDescent="0.3">
      <c r="A1104" s="23" t="s">
        <v>13706</v>
      </c>
      <c r="B1104" s="23" t="s">
        <v>75</v>
      </c>
      <c r="C1104" s="39">
        <v>5998</v>
      </c>
      <c r="D1104" s="24">
        <v>17.989999999999998</v>
      </c>
      <c r="E1104" s="24">
        <v>3.24</v>
      </c>
      <c r="F1104" s="23">
        <f>COUNTIFS(mdr_rate_cleaned!$A$2:$A$10,B1104,mdr_rate_cleaned!$B$2:$B$10,"&lt;"&amp;C1104,mdr_rate_cleaned!$F$2:$F$10,"&gt;="&amp;C1104)</f>
        <v>1</v>
      </c>
      <c r="G1104" s="40">
        <f>SUMIFS(mdr_rate_cleaned!$G$2:$G$10,mdr_rate_cleaned!$A$2:$A$10,B1104,mdr_rate_cleaned!$B$2:$B$10,"&lt;"&amp;C1104,mdr_rate_cleaned!$F$2:$F$10,"&gt;="&amp;C1104)</f>
        <v>3.0000000000000001E-3</v>
      </c>
      <c r="H1104" s="24">
        <f t="shared" si="85"/>
        <v>17.989999999999998</v>
      </c>
      <c r="I1104" s="23" t="str">
        <f t="shared" si="86"/>
        <v>Match</v>
      </c>
      <c r="J1104" s="23" t="str">
        <f t="shared" si="87"/>
        <v>Match</v>
      </c>
      <c r="K1104" s="24">
        <f t="shared" si="88"/>
        <v>3.24</v>
      </c>
      <c r="L1104" s="24">
        <f t="shared" si="89"/>
        <v>0</v>
      </c>
    </row>
    <row r="1105" spans="1:12" ht="15" customHeight="1" x14ac:dyDescent="0.3">
      <c r="A1105" s="23" t="s">
        <v>13707</v>
      </c>
      <c r="B1105" s="23" t="s">
        <v>75</v>
      </c>
      <c r="C1105" s="39">
        <v>2998</v>
      </c>
      <c r="D1105" s="24">
        <v>8.99</v>
      </c>
      <c r="E1105" s="24">
        <v>1.62</v>
      </c>
      <c r="F1105" s="23">
        <f>COUNTIFS(mdr_rate_cleaned!$A$2:$A$10,B1105,mdr_rate_cleaned!$B$2:$B$10,"&lt;"&amp;C1105,mdr_rate_cleaned!$F$2:$F$10,"&gt;="&amp;C1105)</f>
        <v>1</v>
      </c>
      <c r="G1105" s="40">
        <f>SUMIFS(mdr_rate_cleaned!$G$2:$G$10,mdr_rate_cleaned!$A$2:$A$10,B1105,mdr_rate_cleaned!$B$2:$B$10,"&lt;"&amp;C1105,mdr_rate_cleaned!$F$2:$F$10,"&gt;="&amp;C1105)</f>
        <v>3.0000000000000001E-3</v>
      </c>
      <c r="H1105" s="24">
        <f t="shared" si="85"/>
        <v>8.99</v>
      </c>
      <c r="I1105" s="23" t="str">
        <f t="shared" si="86"/>
        <v>Match</v>
      </c>
      <c r="J1105" s="23" t="str">
        <f t="shared" si="87"/>
        <v>Match</v>
      </c>
      <c r="K1105" s="24">
        <f t="shared" si="88"/>
        <v>1.62</v>
      </c>
      <c r="L1105" s="24">
        <f t="shared" si="89"/>
        <v>0</v>
      </c>
    </row>
    <row r="1106" spans="1:12" ht="15" customHeight="1" x14ac:dyDescent="0.3">
      <c r="A1106" s="23" t="s">
        <v>13708</v>
      </c>
      <c r="B1106" s="23" t="s">
        <v>79</v>
      </c>
      <c r="C1106" s="39">
        <v>6297</v>
      </c>
      <c r="D1106" s="24">
        <v>100.75</v>
      </c>
      <c r="E1106" s="24">
        <v>18.14</v>
      </c>
      <c r="F1106" s="23">
        <f>COUNTIFS(mdr_rate_cleaned!$A$2:$A$10,B1106,mdr_rate_cleaned!$B$2:$B$10,"&lt;"&amp;C1106,mdr_rate_cleaned!$F$2:$F$10,"&gt;="&amp;C1106)</f>
        <v>1</v>
      </c>
      <c r="G1106" s="40">
        <f>SUMIFS(mdr_rate_cleaned!$G$2:$G$10,mdr_rate_cleaned!$A$2:$A$10,B1106,mdr_rate_cleaned!$B$2:$B$10,"&lt;"&amp;C1106,mdr_rate_cleaned!$F$2:$F$10,"&gt;="&amp;C1106)</f>
        <v>1.6E-2</v>
      </c>
      <c r="H1106" s="24">
        <f t="shared" si="85"/>
        <v>100.75</v>
      </c>
      <c r="I1106" s="23" t="str">
        <f t="shared" si="86"/>
        <v>Match</v>
      </c>
      <c r="J1106" s="23" t="str">
        <f t="shared" si="87"/>
        <v>Match</v>
      </c>
      <c r="K1106" s="24">
        <f t="shared" si="88"/>
        <v>18.14</v>
      </c>
      <c r="L1106" s="24">
        <f t="shared" si="89"/>
        <v>0</v>
      </c>
    </row>
    <row r="1107" spans="1:12" ht="15" customHeight="1" x14ac:dyDescent="0.3">
      <c r="A1107" s="23" t="s">
        <v>13709</v>
      </c>
      <c r="B1107" s="23" t="s">
        <v>79</v>
      </c>
      <c r="C1107" s="39">
        <v>3397</v>
      </c>
      <c r="D1107" s="24">
        <v>54.35</v>
      </c>
      <c r="E1107" s="24">
        <v>9.7799999999999994</v>
      </c>
      <c r="F1107" s="23">
        <f>COUNTIFS(mdr_rate_cleaned!$A$2:$A$10,B1107,mdr_rate_cleaned!$B$2:$B$10,"&lt;"&amp;C1107,mdr_rate_cleaned!$F$2:$F$10,"&gt;="&amp;C1107)</f>
        <v>1</v>
      </c>
      <c r="G1107" s="40">
        <f>SUMIFS(mdr_rate_cleaned!$G$2:$G$10,mdr_rate_cleaned!$A$2:$A$10,B1107,mdr_rate_cleaned!$B$2:$B$10,"&lt;"&amp;C1107,mdr_rate_cleaned!$F$2:$F$10,"&gt;="&amp;C1107)</f>
        <v>1.6E-2</v>
      </c>
      <c r="H1107" s="24">
        <f t="shared" si="85"/>
        <v>54.35</v>
      </c>
      <c r="I1107" s="23" t="str">
        <f t="shared" si="86"/>
        <v>Match</v>
      </c>
      <c r="J1107" s="23" t="str">
        <f t="shared" si="87"/>
        <v>Match</v>
      </c>
      <c r="K1107" s="24">
        <f t="shared" si="88"/>
        <v>9.7799999999999994</v>
      </c>
      <c r="L1107" s="24">
        <f t="shared" si="89"/>
        <v>0</v>
      </c>
    </row>
    <row r="1108" spans="1:12" ht="15" customHeight="1" x14ac:dyDescent="0.3">
      <c r="A1108" s="23" t="s">
        <v>13710</v>
      </c>
      <c r="B1108" s="23" t="s">
        <v>75</v>
      </c>
      <c r="C1108" s="39">
        <v>3097</v>
      </c>
      <c r="D1108" s="24">
        <v>9.2899999999999991</v>
      </c>
      <c r="E1108" s="24">
        <v>1.67</v>
      </c>
      <c r="F1108" s="23">
        <f>COUNTIFS(mdr_rate_cleaned!$A$2:$A$10,B1108,mdr_rate_cleaned!$B$2:$B$10,"&lt;"&amp;C1108,mdr_rate_cleaned!$F$2:$F$10,"&gt;="&amp;C1108)</f>
        <v>1</v>
      </c>
      <c r="G1108" s="40">
        <f>SUMIFS(mdr_rate_cleaned!$G$2:$G$10,mdr_rate_cleaned!$A$2:$A$10,B1108,mdr_rate_cleaned!$B$2:$B$10,"&lt;"&amp;C1108,mdr_rate_cleaned!$F$2:$F$10,"&gt;="&amp;C1108)</f>
        <v>3.0000000000000001E-3</v>
      </c>
      <c r="H1108" s="24">
        <f t="shared" si="85"/>
        <v>9.2899999999999991</v>
      </c>
      <c r="I1108" s="23" t="str">
        <f t="shared" si="86"/>
        <v>Match</v>
      </c>
      <c r="J1108" s="23" t="str">
        <f t="shared" si="87"/>
        <v>Match</v>
      </c>
      <c r="K1108" s="24">
        <f t="shared" si="88"/>
        <v>1.67</v>
      </c>
      <c r="L1108" s="24">
        <f t="shared" si="89"/>
        <v>0</v>
      </c>
    </row>
    <row r="1109" spans="1:12" ht="15" customHeight="1" x14ac:dyDescent="0.3">
      <c r="A1109" s="23" t="s">
        <v>13711</v>
      </c>
      <c r="B1109" s="23" t="s">
        <v>75</v>
      </c>
      <c r="C1109" s="39">
        <v>799</v>
      </c>
      <c r="D1109" s="24">
        <v>0</v>
      </c>
      <c r="E1109" s="24">
        <v>0</v>
      </c>
      <c r="F1109" s="23">
        <f>COUNTIFS(mdr_rate_cleaned!$A$2:$A$10,B1109,mdr_rate_cleaned!$B$2:$B$10,"&lt;"&amp;C1109,mdr_rate_cleaned!$F$2:$F$10,"&gt;="&amp;C1109)</f>
        <v>1</v>
      </c>
      <c r="G1109" s="40">
        <f>SUMIFS(mdr_rate_cleaned!$G$2:$G$10,mdr_rate_cleaned!$A$2:$A$10,B1109,mdr_rate_cleaned!$B$2:$B$10,"&lt;"&amp;C1109,mdr_rate_cleaned!$F$2:$F$10,"&gt;="&amp;C1109)</f>
        <v>0</v>
      </c>
      <c r="H1109" s="24">
        <f t="shared" si="85"/>
        <v>0</v>
      </c>
      <c r="I1109" s="23" t="str">
        <f t="shared" si="86"/>
        <v>Match</v>
      </c>
      <c r="J1109" s="23" t="str">
        <f t="shared" si="87"/>
        <v>Match</v>
      </c>
      <c r="K1109" s="24">
        <f t="shared" si="88"/>
        <v>0</v>
      </c>
      <c r="L1109" s="24">
        <f t="shared" si="89"/>
        <v>0</v>
      </c>
    </row>
    <row r="1110" spans="1:12" ht="15" customHeight="1" x14ac:dyDescent="0.3">
      <c r="A1110" s="23" t="s">
        <v>13712</v>
      </c>
      <c r="B1110" s="23" t="s">
        <v>75</v>
      </c>
      <c r="C1110" s="39">
        <v>349</v>
      </c>
      <c r="D1110" s="24">
        <v>0</v>
      </c>
      <c r="E1110" s="24">
        <v>0</v>
      </c>
      <c r="F1110" s="23">
        <f>COUNTIFS(mdr_rate_cleaned!$A$2:$A$10,B1110,mdr_rate_cleaned!$B$2:$B$10,"&lt;"&amp;C1110,mdr_rate_cleaned!$F$2:$F$10,"&gt;="&amp;C1110)</f>
        <v>1</v>
      </c>
      <c r="G1110" s="40">
        <f>SUMIFS(mdr_rate_cleaned!$G$2:$G$10,mdr_rate_cleaned!$A$2:$A$10,B1110,mdr_rate_cleaned!$B$2:$B$10,"&lt;"&amp;C1110,mdr_rate_cleaned!$F$2:$F$10,"&gt;="&amp;C1110)</f>
        <v>0</v>
      </c>
      <c r="H1110" s="24">
        <f t="shared" si="85"/>
        <v>0</v>
      </c>
      <c r="I1110" s="23" t="str">
        <f t="shared" si="86"/>
        <v>Match</v>
      </c>
      <c r="J1110" s="23" t="str">
        <f t="shared" si="87"/>
        <v>Match</v>
      </c>
      <c r="K1110" s="24">
        <f t="shared" si="88"/>
        <v>0</v>
      </c>
      <c r="L1110" s="24">
        <f t="shared" si="89"/>
        <v>0</v>
      </c>
    </row>
    <row r="1111" spans="1:12" ht="15" customHeight="1" x14ac:dyDescent="0.3">
      <c r="A1111" s="23" t="s">
        <v>13713</v>
      </c>
      <c r="B1111" s="23" t="s">
        <v>77</v>
      </c>
      <c r="C1111" s="39">
        <v>599</v>
      </c>
      <c r="D1111" s="24">
        <v>11.38</v>
      </c>
      <c r="E1111" s="24">
        <v>2.0499999999999998</v>
      </c>
      <c r="F1111" s="23">
        <f>COUNTIFS(mdr_rate_cleaned!$A$2:$A$10,B1111,mdr_rate_cleaned!$B$2:$B$10,"&lt;"&amp;C1111,mdr_rate_cleaned!$F$2:$F$10,"&gt;="&amp;C1111)</f>
        <v>1</v>
      </c>
      <c r="G1111" s="40">
        <f>SUMIFS(mdr_rate_cleaned!$G$2:$G$10,mdr_rate_cleaned!$A$2:$A$10,B1111,mdr_rate_cleaned!$B$2:$B$10,"&lt;"&amp;C1111,mdr_rate_cleaned!$F$2:$F$10,"&gt;="&amp;C1111)</f>
        <v>1.9E-2</v>
      </c>
      <c r="H1111" s="24">
        <f t="shared" si="85"/>
        <v>11.38</v>
      </c>
      <c r="I1111" s="23" t="str">
        <f t="shared" si="86"/>
        <v>Match</v>
      </c>
      <c r="J1111" s="23" t="str">
        <f t="shared" si="87"/>
        <v>Match</v>
      </c>
      <c r="K1111" s="24">
        <f t="shared" si="88"/>
        <v>2.0499999999999998</v>
      </c>
      <c r="L1111" s="24">
        <f t="shared" si="89"/>
        <v>0</v>
      </c>
    </row>
    <row r="1112" spans="1:12" ht="15" customHeight="1" x14ac:dyDescent="0.3">
      <c r="A1112" s="23" t="s">
        <v>13714</v>
      </c>
      <c r="B1112" s="23" t="s">
        <v>75</v>
      </c>
      <c r="C1112" s="39">
        <v>5498</v>
      </c>
      <c r="D1112" s="24">
        <v>16.489999999999998</v>
      </c>
      <c r="E1112" s="24">
        <v>2.97</v>
      </c>
      <c r="F1112" s="23">
        <f>COUNTIFS(mdr_rate_cleaned!$A$2:$A$10,B1112,mdr_rate_cleaned!$B$2:$B$10,"&lt;"&amp;C1112,mdr_rate_cleaned!$F$2:$F$10,"&gt;="&amp;C1112)</f>
        <v>1</v>
      </c>
      <c r="G1112" s="40">
        <f>SUMIFS(mdr_rate_cleaned!$G$2:$G$10,mdr_rate_cleaned!$A$2:$A$10,B1112,mdr_rate_cleaned!$B$2:$B$10,"&lt;"&amp;C1112,mdr_rate_cleaned!$F$2:$F$10,"&gt;="&amp;C1112)</f>
        <v>3.0000000000000001E-3</v>
      </c>
      <c r="H1112" s="24">
        <f t="shared" si="85"/>
        <v>16.489999999999998</v>
      </c>
      <c r="I1112" s="23" t="str">
        <f t="shared" si="86"/>
        <v>Match</v>
      </c>
      <c r="J1112" s="23" t="str">
        <f t="shared" si="87"/>
        <v>Match</v>
      </c>
      <c r="K1112" s="24">
        <f t="shared" si="88"/>
        <v>2.97</v>
      </c>
      <c r="L1112" s="24">
        <f t="shared" si="89"/>
        <v>0</v>
      </c>
    </row>
    <row r="1113" spans="1:12" ht="15" customHeight="1" x14ac:dyDescent="0.3">
      <c r="A1113" s="23" t="s">
        <v>13716</v>
      </c>
      <c r="B1113" s="23" t="s">
        <v>81</v>
      </c>
      <c r="C1113" s="39">
        <v>4999</v>
      </c>
      <c r="D1113" s="24">
        <v>59.99</v>
      </c>
      <c r="E1113" s="24">
        <v>10.8</v>
      </c>
      <c r="F1113" s="23">
        <f>COUNTIFS(mdr_rate_cleaned!$A$2:$A$10,B1113,mdr_rate_cleaned!$B$2:$B$10,"&lt;"&amp;C1113,mdr_rate_cleaned!$F$2:$F$10,"&gt;="&amp;C1113)</f>
        <v>1</v>
      </c>
      <c r="G1113" s="40">
        <f>SUMIFS(mdr_rate_cleaned!$G$2:$G$10,mdr_rate_cleaned!$A$2:$A$10,B1113,mdr_rate_cleaned!$B$2:$B$10,"&lt;"&amp;C1113,mdr_rate_cleaned!$F$2:$F$10,"&gt;="&amp;C1113)</f>
        <v>1.2E-2</v>
      </c>
      <c r="H1113" s="24">
        <f t="shared" si="85"/>
        <v>59.99</v>
      </c>
      <c r="I1113" s="23" t="str">
        <f t="shared" si="86"/>
        <v>Match</v>
      </c>
      <c r="J1113" s="23" t="str">
        <f t="shared" si="87"/>
        <v>Match</v>
      </c>
      <c r="K1113" s="24">
        <f t="shared" si="88"/>
        <v>10.8</v>
      </c>
      <c r="L1113" s="24">
        <f t="shared" si="89"/>
        <v>0</v>
      </c>
    </row>
    <row r="1114" spans="1:12" ht="15" customHeight="1" x14ac:dyDescent="0.3">
      <c r="A1114" s="23" t="s">
        <v>13717</v>
      </c>
      <c r="B1114" s="23" t="s">
        <v>75</v>
      </c>
      <c r="C1114" s="39">
        <v>4999</v>
      </c>
      <c r="D1114" s="24">
        <v>15</v>
      </c>
      <c r="E1114" s="24">
        <v>2.7</v>
      </c>
      <c r="F1114" s="23">
        <f>COUNTIFS(mdr_rate_cleaned!$A$2:$A$10,B1114,mdr_rate_cleaned!$B$2:$B$10,"&lt;"&amp;C1114,mdr_rate_cleaned!$F$2:$F$10,"&gt;="&amp;C1114)</f>
        <v>1</v>
      </c>
      <c r="G1114" s="40">
        <f>SUMIFS(mdr_rate_cleaned!$G$2:$G$10,mdr_rate_cleaned!$A$2:$A$10,B1114,mdr_rate_cleaned!$B$2:$B$10,"&lt;"&amp;C1114,mdr_rate_cleaned!$F$2:$F$10,"&gt;="&amp;C1114)</f>
        <v>3.0000000000000001E-3</v>
      </c>
      <c r="H1114" s="24">
        <f t="shared" si="85"/>
        <v>15</v>
      </c>
      <c r="I1114" s="23" t="str">
        <f t="shared" si="86"/>
        <v>Match</v>
      </c>
      <c r="J1114" s="23" t="str">
        <f t="shared" si="87"/>
        <v>Match</v>
      </c>
      <c r="K1114" s="24">
        <f t="shared" si="88"/>
        <v>2.7</v>
      </c>
      <c r="L1114" s="24">
        <f t="shared" si="89"/>
        <v>0</v>
      </c>
    </row>
    <row r="1115" spans="1:12" ht="15" customHeight="1" x14ac:dyDescent="0.3">
      <c r="A1115" s="23" t="s">
        <v>13718</v>
      </c>
      <c r="B1115" s="23" t="s">
        <v>79</v>
      </c>
      <c r="C1115" s="39">
        <v>349</v>
      </c>
      <c r="D1115" s="24">
        <v>6.28</v>
      </c>
      <c r="E1115" s="24">
        <v>1.1299999999999999</v>
      </c>
      <c r="F1115" s="23">
        <f>COUNTIFS(mdr_rate_cleaned!$A$2:$A$10,B1115,mdr_rate_cleaned!$B$2:$B$10,"&lt;"&amp;C1115,mdr_rate_cleaned!$F$2:$F$10,"&gt;="&amp;C1115)</f>
        <v>1</v>
      </c>
      <c r="G1115" s="40">
        <f>SUMIFS(mdr_rate_cleaned!$G$2:$G$10,mdr_rate_cleaned!$A$2:$A$10,B1115,mdr_rate_cleaned!$B$2:$B$10,"&lt;"&amp;C1115,mdr_rate_cleaned!$F$2:$F$10,"&gt;="&amp;C1115)</f>
        <v>1.8000000000000002E-2</v>
      </c>
      <c r="H1115" s="24">
        <f t="shared" si="85"/>
        <v>6.28</v>
      </c>
      <c r="I1115" s="23" t="str">
        <f t="shared" si="86"/>
        <v>Match</v>
      </c>
      <c r="J1115" s="23" t="str">
        <f t="shared" si="87"/>
        <v>Match</v>
      </c>
      <c r="K1115" s="24">
        <f t="shared" si="88"/>
        <v>1.1299999999999999</v>
      </c>
      <c r="L1115" s="24">
        <f t="shared" si="89"/>
        <v>0</v>
      </c>
    </row>
    <row r="1116" spans="1:12" ht="15" customHeight="1" x14ac:dyDescent="0.3">
      <c r="A1116" s="23" t="s">
        <v>13719</v>
      </c>
      <c r="B1116" s="23" t="s">
        <v>75</v>
      </c>
      <c r="C1116" s="39">
        <v>4999</v>
      </c>
      <c r="D1116" s="24">
        <v>15</v>
      </c>
      <c r="E1116" s="24">
        <v>2.7</v>
      </c>
      <c r="F1116" s="23">
        <f>COUNTIFS(mdr_rate_cleaned!$A$2:$A$10,B1116,mdr_rate_cleaned!$B$2:$B$10,"&lt;"&amp;C1116,mdr_rate_cleaned!$F$2:$F$10,"&gt;="&amp;C1116)</f>
        <v>1</v>
      </c>
      <c r="G1116" s="40">
        <f>SUMIFS(mdr_rate_cleaned!$G$2:$G$10,mdr_rate_cleaned!$A$2:$A$10,B1116,mdr_rate_cleaned!$B$2:$B$10,"&lt;"&amp;C1116,mdr_rate_cleaned!$F$2:$F$10,"&gt;="&amp;C1116)</f>
        <v>3.0000000000000001E-3</v>
      </c>
      <c r="H1116" s="24">
        <f t="shared" si="85"/>
        <v>15</v>
      </c>
      <c r="I1116" s="23" t="str">
        <f t="shared" si="86"/>
        <v>Match</v>
      </c>
      <c r="J1116" s="23" t="str">
        <f t="shared" si="87"/>
        <v>Match</v>
      </c>
      <c r="K1116" s="24">
        <f t="shared" si="88"/>
        <v>2.7</v>
      </c>
      <c r="L1116" s="24">
        <f t="shared" si="89"/>
        <v>0</v>
      </c>
    </row>
    <row r="1117" spans="1:12" ht="15" customHeight="1" x14ac:dyDescent="0.3">
      <c r="A1117" s="23" t="s">
        <v>13720</v>
      </c>
      <c r="B1117" s="23" t="s">
        <v>79</v>
      </c>
      <c r="C1117" s="39">
        <v>799</v>
      </c>
      <c r="D1117" s="24">
        <v>14.38</v>
      </c>
      <c r="E1117" s="24">
        <v>2.59</v>
      </c>
      <c r="F1117" s="23">
        <f>COUNTIFS(mdr_rate_cleaned!$A$2:$A$10,B1117,mdr_rate_cleaned!$B$2:$B$10,"&lt;"&amp;C1117,mdr_rate_cleaned!$F$2:$F$10,"&gt;="&amp;C1117)</f>
        <v>1</v>
      </c>
      <c r="G1117" s="40">
        <f>SUMIFS(mdr_rate_cleaned!$G$2:$G$10,mdr_rate_cleaned!$A$2:$A$10,B1117,mdr_rate_cleaned!$B$2:$B$10,"&lt;"&amp;C1117,mdr_rate_cleaned!$F$2:$F$10,"&gt;="&amp;C1117)</f>
        <v>1.8000000000000002E-2</v>
      </c>
      <c r="H1117" s="24">
        <f t="shared" si="85"/>
        <v>14.38</v>
      </c>
      <c r="I1117" s="23" t="str">
        <f t="shared" si="86"/>
        <v>Match</v>
      </c>
      <c r="J1117" s="23" t="str">
        <f t="shared" si="87"/>
        <v>Match</v>
      </c>
      <c r="K1117" s="24">
        <f t="shared" si="88"/>
        <v>2.59</v>
      </c>
      <c r="L1117" s="24">
        <f t="shared" si="89"/>
        <v>0</v>
      </c>
    </row>
    <row r="1118" spans="1:12" ht="15" customHeight="1" x14ac:dyDescent="0.3">
      <c r="A1118" s="23" t="s">
        <v>13721</v>
      </c>
      <c r="B1118" s="23" t="s">
        <v>79</v>
      </c>
      <c r="C1118" s="39">
        <v>4798</v>
      </c>
      <c r="D1118" s="24">
        <v>76.77</v>
      </c>
      <c r="E1118" s="24">
        <v>13.82</v>
      </c>
      <c r="F1118" s="23">
        <f>COUNTIFS(mdr_rate_cleaned!$A$2:$A$10,B1118,mdr_rate_cleaned!$B$2:$B$10,"&lt;"&amp;C1118,mdr_rate_cleaned!$F$2:$F$10,"&gt;="&amp;C1118)</f>
        <v>1</v>
      </c>
      <c r="G1118" s="40">
        <f>SUMIFS(mdr_rate_cleaned!$G$2:$G$10,mdr_rate_cleaned!$A$2:$A$10,B1118,mdr_rate_cleaned!$B$2:$B$10,"&lt;"&amp;C1118,mdr_rate_cleaned!$F$2:$F$10,"&gt;="&amp;C1118)</f>
        <v>1.6E-2</v>
      </c>
      <c r="H1118" s="24">
        <f t="shared" si="85"/>
        <v>76.77</v>
      </c>
      <c r="I1118" s="23" t="str">
        <f t="shared" si="86"/>
        <v>Match</v>
      </c>
      <c r="J1118" s="23" t="str">
        <f t="shared" si="87"/>
        <v>Match</v>
      </c>
      <c r="K1118" s="24">
        <f t="shared" si="88"/>
        <v>13.82</v>
      </c>
      <c r="L1118" s="24">
        <f t="shared" si="89"/>
        <v>0</v>
      </c>
    </row>
    <row r="1119" spans="1:12" ht="15" customHeight="1" x14ac:dyDescent="0.3">
      <c r="A1119" s="23" t="s">
        <v>13722</v>
      </c>
      <c r="B1119" s="23" t="s">
        <v>75</v>
      </c>
      <c r="C1119" s="39">
        <v>599</v>
      </c>
      <c r="D1119" s="24">
        <v>0</v>
      </c>
      <c r="E1119" s="24">
        <v>0</v>
      </c>
      <c r="F1119" s="23">
        <f>COUNTIFS(mdr_rate_cleaned!$A$2:$A$10,B1119,mdr_rate_cleaned!$B$2:$B$10,"&lt;"&amp;C1119,mdr_rate_cleaned!$F$2:$F$10,"&gt;="&amp;C1119)</f>
        <v>1</v>
      </c>
      <c r="G1119" s="40">
        <f>SUMIFS(mdr_rate_cleaned!$G$2:$G$10,mdr_rate_cleaned!$A$2:$A$10,B1119,mdr_rate_cleaned!$B$2:$B$10,"&lt;"&amp;C1119,mdr_rate_cleaned!$F$2:$F$10,"&gt;="&amp;C1119)</f>
        <v>0</v>
      </c>
      <c r="H1119" s="24">
        <f t="shared" si="85"/>
        <v>0</v>
      </c>
      <c r="I1119" s="23" t="str">
        <f t="shared" si="86"/>
        <v>Match</v>
      </c>
      <c r="J1119" s="23" t="str">
        <f t="shared" si="87"/>
        <v>Match</v>
      </c>
      <c r="K1119" s="24">
        <f t="shared" si="88"/>
        <v>0</v>
      </c>
      <c r="L1119" s="24">
        <f t="shared" si="89"/>
        <v>0</v>
      </c>
    </row>
    <row r="1120" spans="1:12" ht="15" customHeight="1" x14ac:dyDescent="0.3">
      <c r="A1120" s="23" t="s">
        <v>13724</v>
      </c>
      <c r="B1120" s="23" t="s">
        <v>79</v>
      </c>
      <c r="C1120" s="39">
        <v>10997</v>
      </c>
      <c r="D1120" s="24">
        <v>175.95</v>
      </c>
      <c r="E1120" s="24">
        <v>31.67</v>
      </c>
      <c r="F1120" s="23">
        <f>COUNTIFS(mdr_rate_cleaned!$A$2:$A$10,B1120,mdr_rate_cleaned!$B$2:$B$10,"&lt;"&amp;C1120,mdr_rate_cleaned!$F$2:$F$10,"&gt;="&amp;C1120)</f>
        <v>1</v>
      </c>
      <c r="G1120" s="40">
        <f>SUMIFS(mdr_rate_cleaned!$G$2:$G$10,mdr_rate_cleaned!$A$2:$A$10,B1120,mdr_rate_cleaned!$B$2:$B$10,"&lt;"&amp;C1120,mdr_rate_cleaned!$F$2:$F$10,"&gt;="&amp;C1120)</f>
        <v>1.6E-2</v>
      </c>
      <c r="H1120" s="24">
        <f t="shared" si="85"/>
        <v>175.95</v>
      </c>
      <c r="I1120" s="23" t="str">
        <f t="shared" si="86"/>
        <v>Match</v>
      </c>
      <c r="J1120" s="23" t="str">
        <f t="shared" si="87"/>
        <v>Match</v>
      </c>
      <c r="K1120" s="24">
        <f t="shared" si="88"/>
        <v>31.67</v>
      </c>
      <c r="L1120" s="24">
        <f t="shared" si="89"/>
        <v>0</v>
      </c>
    </row>
    <row r="1121" spans="1:12" ht="15" customHeight="1" x14ac:dyDescent="0.3">
      <c r="A1121" s="23" t="s">
        <v>13726</v>
      </c>
      <c r="B1121" s="23" t="s">
        <v>81</v>
      </c>
      <c r="C1121" s="39">
        <v>499</v>
      </c>
      <c r="D1121" s="24">
        <v>7.49</v>
      </c>
      <c r="E1121" s="24">
        <v>1.35</v>
      </c>
      <c r="F1121" s="23">
        <f>COUNTIFS(mdr_rate_cleaned!$A$2:$A$10,B1121,mdr_rate_cleaned!$B$2:$B$10,"&lt;"&amp;C1121,mdr_rate_cleaned!$F$2:$F$10,"&gt;="&amp;C1121)</f>
        <v>1</v>
      </c>
      <c r="G1121" s="40">
        <f>SUMIFS(mdr_rate_cleaned!$G$2:$G$10,mdr_rate_cleaned!$A$2:$A$10,B1121,mdr_rate_cleaned!$B$2:$B$10,"&lt;"&amp;C1121,mdr_rate_cleaned!$F$2:$F$10,"&gt;="&amp;C1121)</f>
        <v>1.4999999999999999E-2</v>
      </c>
      <c r="H1121" s="24">
        <f t="shared" si="85"/>
        <v>7.49</v>
      </c>
      <c r="I1121" s="23" t="str">
        <f t="shared" si="86"/>
        <v>Match</v>
      </c>
      <c r="J1121" s="23" t="str">
        <f t="shared" si="87"/>
        <v>Match</v>
      </c>
      <c r="K1121" s="24">
        <f t="shared" si="88"/>
        <v>1.35</v>
      </c>
      <c r="L1121" s="24">
        <f t="shared" si="89"/>
        <v>0</v>
      </c>
    </row>
    <row r="1122" spans="1:12" ht="15" customHeight="1" x14ac:dyDescent="0.3">
      <c r="A1122" s="23" t="s">
        <v>13728</v>
      </c>
      <c r="B1122" s="23" t="s">
        <v>81</v>
      </c>
      <c r="C1122" s="39">
        <v>3798</v>
      </c>
      <c r="D1122" s="24">
        <v>45.58</v>
      </c>
      <c r="E1122" s="24">
        <v>8.1999999999999993</v>
      </c>
      <c r="F1122" s="23">
        <f>COUNTIFS(mdr_rate_cleaned!$A$2:$A$10,B1122,mdr_rate_cleaned!$B$2:$B$10,"&lt;"&amp;C1122,mdr_rate_cleaned!$F$2:$F$10,"&gt;="&amp;C1122)</f>
        <v>1</v>
      </c>
      <c r="G1122" s="40">
        <f>SUMIFS(mdr_rate_cleaned!$G$2:$G$10,mdr_rate_cleaned!$A$2:$A$10,B1122,mdr_rate_cleaned!$B$2:$B$10,"&lt;"&amp;C1122,mdr_rate_cleaned!$F$2:$F$10,"&gt;="&amp;C1122)</f>
        <v>1.2E-2</v>
      </c>
      <c r="H1122" s="24">
        <f t="shared" si="85"/>
        <v>45.58</v>
      </c>
      <c r="I1122" s="23" t="str">
        <f t="shared" si="86"/>
        <v>Match</v>
      </c>
      <c r="J1122" s="23" t="str">
        <f t="shared" si="87"/>
        <v>Match</v>
      </c>
      <c r="K1122" s="24">
        <f t="shared" si="88"/>
        <v>8.1999999999999993</v>
      </c>
      <c r="L1122" s="24">
        <f t="shared" si="89"/>
        <v>0</v>
      </c>
    </row>
    <row r="1123" spans="1:12" ht="15" customHeight="1" x14ac:dyDescent="0.3">
      <c r="A1123" s="23" t="s">
        <v>13729</v>
      </c>
      <c r="B1123" s="23" t="s">
        <v>75</v>
      </c>
      <c r="C1123" s="39">
        <v>2598</v>
      </c>
      <c r="D1123" s="24">
        <v>7.79</v>
      </c>
      <c r="E1123" s="24">
        <v>1.4</v>
      </c>
      <c r="F1123" s="23">
        <f>COUNTIFS(mdr_rate_cleaned!$A$2:$A$10,B1123,mdr_rate_cleaned!$B$2:$B$10,"&lt;"&amp;C1123,mdr_rate_cleaned!$F$2:$F$10,"&gt;="&amp;C1123)</f>
        <v>1</v>
      </c>
      <c r="G1123" s="40">
        <f>SUMIFS(mdr_rate_cleaned!$G$2:$G$10,mdr_rate_cleaned!$A$2:$A$10,B1123,mdr_rate_cleaned!$B$2:$B$10,"&lt;"&amp;C1123,mdr_rate_cleaned!$F$2:$F$10,"&gt;="&amp;C1123)</f>
        <v>3.0000000000000001E-3</v>
      </c>
      <c r="H1123" s="24">
        <f t="shared" si="85"/>
        <v>7.79</v>
      </c>
      <c r="I1123" s="23" t="str">
        <f t="shared" si="86"/>
        <v>Match</v>
      </c>
      <c r="J1123" s="23" t="str">
        <f t="shared" si="87"/>
        <v>Match</v>
      </c>
      <c r="K1123" s="24">
        <f t="shared" si="88"/>
        <v>1.4</v>
      </c>
      <c r="L1123" s="24">
        <f t="shared" si="89"/>
        <v>0</v>
      </c>
    </row>
    <row r="1124" spans="1:12" ht="15" customHeight="1" x14ac:dyDescent="0.3">
      <c r="A1124" s="23" t="s">
        <v>13730</v>
      </c>
      <c r="B1124" s="23" t="s">
        <v>79</v>
      </c>
      <c r="C1124" s="39">
        <v>7097</v>
      </c>
      <c r="D1124" s="24">
        <v>113.55</v>
      </c>
      <c r="E1124" s="24">
        <v>20.440000000000001</v>
      </c>
      <c r="F1124" s="23">
        <f>COUNTIFS(mdr_rate_cleaned!$A$2:$A$10,B1124,mdr_rate_cleaned!$B$2:$B$10,"&lt;"&amp;C1124,mdr_rate_cleaned!$F$2:$F$10,"&gt;="&amp;C1124)</f>
        <v>1</v>
      </c>
      <c r="G1124" s="40">
        <f>SUMIFS(mdr_rate_cleaned!$G$2:$G$10,mdr_rate_cleaned!$A$2:$A$10,B1124,mdr_rate_cleaned!$B$2:$B$10,"&lt;"&amp;C1124,mdr_rate_cleaned!$F$2:$F$10,"&gt;="&amp;C1124)</f>
        <v>1.6E-2</v>
      </c>
      <c r="H1124" s="24">
        <f t="shared" si="85"/>
        <v>113.55</v>
      </c>
      <c r="I1124" s="23" t="str">
        <f t="shared" si="86"/>
        <v>Match</v>
      </c>
      <c r="J1124" s="23" t="str">
        <f t="shared" si="87"/>
        <v>Match</v>
      </c>
      <c r="K1124" s="24">
        <f t="shared" si="88"/>
        <v>20.440000000000001</v>
      </c>
      <c r="L1124" s="24">
        <f t="shared" si="89"/>
        <v>0</v>
      </c>
    </row>
    <row r="1125" spans="1:12" ht="15" customHeight="1" x14ac:dyDescent="0.3">
      <c r="A1125" s="23" t="s">
        <v>13731</v>
      </c>
      <c r="B1125" s="23" t="s">
        <v>75</v>
      </c>
      <c r="C1125" s="39">
        <v>799</v>
      </c>
      <c r="D1125" s="24">
        <v>0</v>
      </c>
      <c r="E1125" s="24">
        <v>0</v>
      </c>
      <c r="F1125" s="23">
        <f>COUNTIFS(mdr_rate_cleaned!$A$2:$A$10,B1125,mdr_rate_cleaned!$B$2:$B$10,"&lt;"&amp;C1125,mdr_rate_cleaned!$F$2:$F$10,"&gt;="&amp;C1125)</f>
        <v>1</v>
      </c>
      <c r="G1125" s="40">
        <f>SUMIFS(mdr_rate_cleaned!$G$2:$G$10,mdr_rate_cleaned!$A$2:$A$10,B1125,mdr_rate_cleaned!$B$2:$B$10,"&lt;"&amp;C1125,mdr_rate_cleaned!$F$2:$F$10,"&gt;="&amp;C1125)</f>
        <v>0</v>
      </c>
      <c r="H1125" s="24">
        <f t="shared" si="85"/>
        <v>0</v>
      </c>
      <c r="I1125" s="23" t="str">
        <f t="shared" si="86"/>
        <v>Match</v>
      </c>
      <c r="J1125" s="23" t="str">
        <f t="shared" si="87"/>
        <v>Match</v>
      </c>
      <c r="K1125" s="24">
        <f t="shared" si="88"/>
        <v>0</v>
      </c>
      <c r="L1125" s="24">
        <f t="shared" si="89"/>
        <v>0</v>
      </c>
    </row>
    <row r="1126" spans="1:12" ht="15" customHeight="1" x14ac:dyDescent="0.3">
      <c r="A1126" s="23" t="s">
        <v>13733</v>
      </c>
      <c r="B1126" s="23" t="s">
        <v>75</v>
      </c>
      <c r="C1126" s="39">
        <v>299</v>
      </c>
      <c r="D1126" s="24">
        <v>0</v>
      </c>
      <c r="E1126" s="24">
        <v>0</v>
      </c>
      <c r="F1126" s="23">
        <f>COUNTIFS(mdr_rate_cleaned!$A$2:$A$10,B1126,mdr_rate_cleaned!$B$2:$B$10,"&lt;"&amp;C1126,mdr_rate_cleaned!$F$2:$F$10,"&gt;="&amp;C1126)</f>
        <v>1</v>
      </c>
      <c r="G1126" s="40">
        <f>SUMIFS(mdr_rate_cleaned!$G$2:$G$10,mdr_rate_cleaned!$A$2:$A$10,B1126,mdr_rate_cleaned!$B$2:$B$10,"&lt;"&amp;C1126,mdr_rate_cleaned!$F$2:$F$10,"&gt;="&amp;C1126)</f>
        <v>0</v>
      </c>
      <c r="H1126" s="24">
        <f t="shared" si="85"/>
        <v>0</v>
      </c>
      <c r="I1126" s="23" t="str">
        <f t="shared" si="86"/>
        <v>Match</v>
      </c>
      <c r="J1126" s="23" t="str">
        <f t="shared" si="87"/>
        <v>Match</v>
      </c>
      <c r="K1126" s="24">
        <f t="shared" si="88"/>
        <v>0</v>
      </c>
      <c r="L1126" s="24">
        <f t="shared" si="89"/>
        <v>0</v>
      </c>
    </row>
    <row r="1127" spans="1:12" ht="15" customHeight="1" x14ac:dyDescent="0.3">
      <c r="A1127" s="23" t="s">
        <v>13734</v>
      </c>
      <c r="B1127" s="23" t="s">
        <v>79</v>
      </c>
      <c r="C1127" s="39">
        <v>8498</v>
      </c>
      <c r="D1127" s="24">
        <v>135.97</v>
      </c>
      <c r="E1127" s="24">
        <v>24.47</v>
      </c>
      <c r="F1127" s="23">
        <f>COUNTIFS(mdr_rate_cleaned!$A$2:$A$10,B1127,mdr_rate_cleaned!$B$2:$B$10,"&lt;"&amp;C1127,mdr_rate_cleaned!$F$2:$F$10,"&gt;="&amp;C1127)</f>
        <v>1</v>
      </c>
      <c r="G1127" s="40">
        <f>SUMIFS(mdr_rate_cleaned!$G$2:$G$10,mdr_rate_cleaned!$A$2:$A$10,B1127,mdr_rate_cleaned!$B$2:$B$10,"&lt;"&amp;C1127,mdr_rate_cleaned!$F$2:$F$10,"&gt;="&amp;C1127)</f>
        <v>1.6E-2</v>
      </c>
      <c r="H1127" s="24">
        <f t="shared" si="85"/>
        <v>135.97</v>
      </c>
      <c r="I1127" s="23" t="str">
        <f t="shared" si="86"/>
        <v>Match</v>
      </c>
      <c r="J1127" s="23" t="str">
        <f t="shared" si="87"/>
        <v>Match</v>
      </c>
      <c r="K1127" s="24">
        <f t="shared" si="88"/>
        <v>24.47</v>
      </c>
      <c r="L1127" s="24">
        <f t="shared" si="89"/>
        <v>0</v>
      </c>
    </row>
    <row r="1128" spans="1:12" ht="15" customHeight="1" x14ac:dyDescent="0.3">
      <c r="A1128" s="23" t="s">
        <v>13735</v>
      </c>
      <c r="B1128" s="23" t="s">
        <v>79</v>
      </c>
      <c r="C1128" s="39">
        <v>3798</v>
      </c>
      <c r="D1128" s="24">
        <v>60.77</v>
      </c>
      <c r="E1128" s="24">
        <v>10.94</v>
      </c>
      <c r="F1128" s="23">
        <f>COUNTIFS(mdr_rate_cleaned!$A$2:$A$10,B1128,mdr_rate_cleaned!$B$2:$B$10,"&lt;"&amp;C1128,mdr_rate_cleaned!$F$2:$F$10,"&gt;="&amp;C1128)</f>
        <v>1</v>
      </c>
      <c r="G1128" s="40">
        <f>SUMIFS(mdr_rate_cleaned!$G$2:$G$10,mdr_rate_cleaned!$A$2:$A$10,B1128,mdr_rate_cleaned!$B$2:$B$10,"&lt;"&amp;C1128,mdr_rate_cleaned!$F$2:$F$10,"&gt;="&amp;C1128)</f>
        <v>1.6E-2</v>
      </c>
      <c r="H1128" s="24">
        <f t="shared" si="85"/>
        <v>60.77</v>
      </c>
      <c r="I1128" s="23" t="str">
        <f t="shared" si="86"/>
        <v>Match</v>
      </c>
      <c r="J1128" s="23" t="str">
        <f t="shared" si="87"/>
        <v>Match</v>
      </c>
      <c r="K1128" s="24">
        <f t="shared" si="88"/>
        <v>10.94</v>
      </c>
      <c r="L1128" s="24">
        <f t="shared" si="89"/>
        <v>0</v>
      </c>
    </row>
    <row r="1129" spans="1:12" ht="15" customHeight="1" x14ac:dyDescent="0.3">
      <c r="A1129" s="23" t="s">
        <v>13736</v>
      </c>
      <c r="B1129" s="23" t="s">
        <v>79</v>
      </c>
      <c r="C1129" s="39">
        <v>1449</v>
      </c>
      <c r="D1129" s="24">
        <v>26.08</v>
      </c>
      <c r="E1129" s="24">
        <v>4.6900000000000004</v>
      </c>
      <c r="F1129" s="23">
        <f>COUNTIFS(mdr_rate_cleaned!$A$2:$A$10,B1129,mdr_rate_cleaned!$B$2:$B$10,"&lt;"&amp;C1129,mdr_rate_cleaned!$F$2:$F$10,"&gt;="&amp;C1129)</f>
        <v>1</v>
      </c>
      <c r="G1129" s="40">
        <f>SUMIFS(mdr_rate_cleaned!$G$2:$G$10,mdr_rate_cleaned!$A$2:$A$10,B1129,mdr_rate_cleaned!$B$2:$B$10,"&lt;"&amp;C1129,mdr_rate_cleaned!$F$2:$F$10,"&gt;="&amp;C1129)</f>
        <v>1.8000000000000002E-2</v>
      </c>
      <c r="H1129" s="24">
        <f t="shared" si="85"/>
        <v>26.08</v>
      </c>
      <c r="I1129" s="23" t="str">
        <f t="shared" si="86"/>
        <v>Match</v>
      </c>
      <c r="J1129" s="23" t="str">
        <f t="shared" si="87"/>
        <v>Match</v>
      </c>
      <c r="K1129" s="24">
        <f t="shared" si="88"/>
        <v>4.6900000000000004</v>
      </c>
      <c r="L1129" s="24">
        <f t="shared" si="89"/>
        <v>0</v>
      </c>
    </row>
    <row r="1130" spans="1:12" ht="15" customHeight="1" x14ac:dyDescent="0.3">
      <c r="A1130" s="23" t="s">
        <v>13737</v>
      </c>
      <c r="B1130" s="23" t="s">
        <v>77</v>
      </c>
      <c r="C1130" s="39">
        <v>1499</v>
      </c>
      <c r="D1130" s="24">
        <v>28.48</v>
      </c>
      <c r="E1130" s="24">
        <v>5.13</v>
      </c>
      <c r="F1130" s="23">
        <f>COUNTIFS(mdr_rate_cleaned!$A$2:$A$10,B1130,mdr_rate_cleaned!$B$2:$B$10,"&lt;"&amp;C1130,mdr_rate_cleaned!$F$2:$F$10,"&gt;="&amp;C1130)</f>
        <v>1</v>
      </c>
      <c r="G1130" s="40">
        <f>SUMIFS(mdr_rate_cleaned!$G$2:$G$10,mdr_rate_cleaned!$A$2:$A$10,B1130,mdr_rate_cleaned!$B$2:$B$10,"&lt;"&amp;C1130,mdr_rate_cleaned!$F$2:$F$10,"&gt;="&amp;C1130)</f>
        <v>1.9E-2</v>
      </c>
      <c r="H1130" s="24">
        <f t="shared" si="85"/>
        <v>28.48</v>
      </c>
      <c r="I1130" s="23" t="str">
        <f t="shared" si="86"/>
        <v>Match</v>
      </c>
      <c r="J1130" s="23" t="str">
        <f t="shared" si="87"/>
        <v>Match</v>
      </c>
      <c r="K1130" s="24">
        <f t="shared" si="88"/>
        <v>5.13</v>
      </c>
      <c r="L1130" s="24">
        <f t="shared" si="89"/>
        <v>0</v>
      </c>
    </row>
    <row r="1131" spans="1:12" ht="15" customHeight="1" x14ac:dyDescent="0.3">
      <c r="A1131" s="23" t="s">
        <v>13738</v>
      </c>
      <c r="B1131" s="23" t="s">
        <v>75</v>
      </c>
      <c r="C1131" s="39">
        <v>349</v>
      </c>
      <c r="D1131" s="24">
        <v>0</v>
      </c>
      <c r="E1131" s="24">
        <v>0</v>
      </c>
      <c r="F1131" s="23">
        <f>COUNTIFS(mdr_rate_cleaned!$A$2:$A$10,B1131,mdr_rate_cleaned!$B$2:$B$10,"&lt;"&amp;C1131,mdr_rate_cleaned!$F$2:$F$10,"&gt;="&amp;C1131)</f>
        <v>1</v>
      </c>
      <c r="G1131" s="40">
        <f>SUMIFS(mdr_rate_cleaned!$G$2:$G$10,mdr_rate_cleaned!$A$2:$A$10,B1131,mdr_rate_cleaned!$B$2:$B$10,"&lt;"&amp;C1131,mdr_rate_cleaned!$F$2:$F$10,"&gt;="&amp;C1131)</f>
        <v>0</v>
      </c>
      <c r="H1131" s="24">
        <f t="shared" si="85"/>
        <v>0</v>
      </c>
      <c r="I1131" s="23" t="str">
        <f t="shared" si="86"/>
        <v>Match</v>
      </c>
      <c r="J1131" s="23" t="str">
        <f t="shared" si="87"/>
        <v>Match</v>
      </c>
      <c r="K1131" s="24">
        <f t="shared" si="88"/>
        <v>0</v>
      </c>
      <c r="L1131" s="24">
        <f t="shared" si="89"/>
        <v>0</v>
      </c>
    </row>
    <row r="1132" spans="1:12" ht="15" customHeight="1" x14ac:dyDescent="0.3">
      <c r="A1132" s="23" t="s">
        <v>13740</v>
      </c>
      <c r="B1132" s="23" t="s">
        <v>77</v>
      </c>
      <c r="C1132" s="39">
        <v>2247</v>
      </c>
      <c r="D1132" s="24">
        <v>53.93</v>
      </c>
      <c r="E1132" s="24">
        <v>9.7100000000000009</v>
      </c>
      <c r="F1132" s="23">
        <f>COUNTIFS(mdr_rate_cleaned!$A$2:$A$10,B1132,mdr_rate_cleaned!$B$2:$B$10,"&lt;"&amp;C1132,mdr_rate_cleaned!$F$2:$F$10,"&gt;="&amp;C1132)</f>
        <v>1</v>
      </c>
      <c r="G1132" s="40">
        <f>SUMIFS(mdr_rate_cleaned!$G$2:$G$10,mdr_rate_cleaned!$A$2:$A$10,B1132,mdr_rate_cleaned!$B$2:$B$10,"&lt;"&amp;C1132,mdr_rate_cleaned!$F$2:$F$10,"&gt;="&amp;C1132)</f>
        <v>1.7000000000000001E-2</v>
      </c>
      <c r="H1132" s="24">
        <f t="shared" si="85"/>
        <v>38.200000000000003</v>
      </c>
      <c r="I1132" s="23" t="str">
        <f t="shared" si="86"/>
        <v>Differs</v>
      </c>
      <c r="J1132" s="23" t="str">
        <f t="shared" si="87"/>
        <v>Match</v>
      </c>
      <c r="K1132" s="24">
        <f t="shared" si="88"/>
        <v>6.88</v>
      </c>
      <c r="L1132" s="24">
        <f t="shared" si="89"/>
        <v>18.559999999999999</v>
      </c>
    </row>
    <row r="1133" spans="1:12" ht="15" customHeight="1" x14ac:dyDescent="0.3">
      <c r="A1133" s="23" t="s">
        <v>13741</v>
      </c>
      <c r="B1133" s="23" t="s">
        <v>75</v>
      </c>
      <c r="C1133" s="39">
        <v>1499</v>
      </c>
      <c r="D1133" s="24">
        <v>0</v>
      </c>
      <c r="E1133" s="24">
        <v>0</v>
      </c>
      <c r="F1133" s="23">
        <f>COUNTIFS(mdr_rate_cleaned!$A$2:$A$10,B1133,mdr_rate_cleaned!$B$2:$B$10,"&lt;"&amp;C1133,mdr_rate_cleaned!$F$2:$F$10,"&gt;="&amp;C1133)</f>
        <v>1</v>
      </c>
      <c r="G1133" s="40">
        <f>SUMIFS(mdr_rate_cleaned!$G$2:$G$10,mdr_rate_cleaned!$A$2:$A$10,B1133,mdr_rate_cleaned!$B$2:$B$10,"&lt;"&amp;C1133,mdr_rate_cleaned!$F$2:$F$10,"&gt;="&amp;C1133)</f>
        <v>0</v>
      </c>
      <c r="H1133" s="24">
        <f t="shared" si="85"/>
        <v>0</v>
      </c>
      <c r="I1133" s="23" t="str">
        <f t="shared" si="86"/>
        <v>Match</v>
      </c>
      <c r="J1133" s="23" t="str">
        <f t="shared" si="87"/>
        <v>Match</v>
      </c>
      <c r="K1133" s="24">
        <f t="shared" si="88"/>
        <v>0</v>
      </c>
      <c r="L1133" s="24">
        <f t="shared" si="89"/>
        <v>0</v>
      </c>
    </row>
    <row r="1134" spans="1:12" ht="15" customHeight="1" x14ac:dyDescent="0.3">
      <c r="A1134" s="23" t="s">
        <v>13742</v>
      </c>
      <c r="B1134" s="23" t="s">
        <v>75</v>
      </c>
      <c r="C1134" s="39">
        <v>11297</v>
      </c>
      <c r="D1134" s="24">
        <v>33.89</v>
      </c>
      <c r="E1134" s="24">
        <v>6.1</v>
      </c>
      <c r="F1134" s="23">
        <f>COUNTIFS(mdr_rate_cleaned!$A$2:$A$10,B1134,mdr_rate_cleaned!$B$2:$B$10,"&lt;"&amp;C1134,mdr_rate_cleaned!$F$2:$F$10,"&gt;="&amp;C1134)</f>
        <v>1</v>
      </c>
      <c r="G1134" s="40">
        <f>SUMIFS(mdr_rate_cleaned!$G$2:$G$10,mdr_rate_cleaned!$A$2:$A$10,B1134,mdr_rate_cleaned!$B$2:$B$10,"&lt;"&amp;C1134,mdr_rate_cleaned!$F$2:$F$10,"&gt;="&amp;C1134)</f>
        <v>3.0000000000000001E-3</v>
      </c>
      <c r="H1134" s="24">
        <f t="shared" si="85"/>
        <v>33.89</v>
      </c>
      <c r="I1134" s="23" t="str">
        <f t="shared" si="86"/>
        <v>Match</v>
      </c>
      <c r="J1134" s="23" t="str">
        <f t="shared" si="87"/>
        <v>Match</v>
      </c>
      <c r="K1134" s="24">
        <f t="shared" si="88"/>
        <v>6.1</v>
      </c>
      <c r="L1134" s="24">
        <f t="shared" si="89"/>
        <v>0</v>
      </c>
    </row>
    <row r="1135" spans="1:12" ht="15" customHeight="1" x14ac:dyDescent="0.3">
      <c r="A1135" s="23" t="s">
        <v>13744</v>
      </c>
      <c r="B1135" s="23" t="s">
        <v>75</v>
      </c>
      <c r="C1135" s="39">
        <v>10998</v>
      </c>
      <c r="D1135" s="24">
        <v>32.99</v>
      </c>
      <c r="E1135" s="24">
        <v>5.94</v>
      </c>
      <c r="F1135" s="23">
        <f>COUNTIFS(mdr_rate_cleaned!$A$2:$A$10,B1135,mdr_rate_cleaned!$B$2:$B$10,"&lt;"&amp;C1135,mdr_rate_cleaned!$F$2:$F$10,"&gt;="&amp;C1135)</f>
        <v>1</v>
      </c>
      <c r="G1135" s="40">
        <f>SUMIFS(mdr_rate_cleaned!$G$2:$G$10,mdr_rate_cleaned!$A$2:$A$10,B1135,mdr_rate_cleaned!$B$2:$B$10,"&lt;"&amp;C1135,mdr_rate_cleaned!$F$2:$F$10,"&gt;="&amp;C1135)</f>
        <v>3.0000000000000001E-3</v>
      </c>
      <c r="H1135" s="24">
        <f t="shared" si="85"/>
        <v>32.99</v>
      </c>
      <c r="I1135" s="23" t="str">
        <f t="shared" si="86"/>
        <v>Match</v>
      </c>
      <c r="J1135" s="23" t="str">
        <f t="shared" si="87"/>
        <v>Match</v>
      </c>
      <c r="K1135" s="24">
        <f t="shared" si="88"/>
        <v>5.94</v>
      </c>
      <c r="L1135" s="24">
        <f t="shared" si="89"/>
        <v>0</v>
      </c>
    </row>
    <row r="1136" spans="1:12" ht="15" customHeight="1" x14ac:dyDescent="0.3">
      <c r="A1136" s="23" t="s">
        <v>13745</v>
      </c>
      <c r="B1136" s="23" t="s">
        <v>75</v>
      </c>
      <c r="C1136" s="39">
        <v>1799</v>
      </c>
      <c r="D1136" s="24">
        <v>0</v>
      </c>
      <c r="E1136" s="24">
        <v>0</v>
      </c>
      <c r="F1136" s="23">
        <f>COUNTIFS(mdr_rate_cleaned!$A$2:$A$10,B1136,mdr_rate_cleaned!$B$2:$B$10,"&lt;"&amp;C1136,mdr_rate_cleaned!$F$2:$F$10,"&gt;="&amp;C1136)</f>
        <v>1</v>
      </c>
      <c r="G1136" s="40">
        <f>SUMIFS(mdr_rate_cleaned!$G$2:$G$10,mdr_rate_cleaned!$A$2:$A$10,B1136,mdr_rate_cleaned!$B$2:$B$10,"&lt;"&amp;C1136,mdr_rate_cleaned!$F$2:$F$10,"&gt;="&amp;C1136)</f>
        <v>0</v>
      </c>
      <c r="H1136" s="24">
        <f t="shared" si="85"/>
        <v>0</v>
      </c>
      <c r="I1136" s="23" t="str">
        <f t="shared" si="86"/>
        <v>Match</v>
      </c>
      <c r="J1136" s="23" t="str">
        <f t="shared" si="87"/>
        <v>Match</v>
      </c>
      <c r="K1136" s="24">
        <f t="shared" si="88"/>
        <v>0</v>
      </c>
      <c r="L1136" s="24">
        <f t="shared" si="89"/>
        <v>0</v>
      </c>
    </row>
    <row r="1137" spans="1:12" ht="15" customHeight="1" x14ac:dyDescent="0.3">
      <c r="A1137" s="23" t="s">
        <v>13746</v>
      </c>
      <c r="B1137" s="23" t="s">
        <v>75</v>
      </c>
      <c r="C1137" s="39">
        <v>8798</v>
      </c>
      <c r="D1137" s="24">
        <v>26.39</v>
      </c>
      <c r="E1137" s="24">
        <v>4.75</v>
      </c>
      <c r="F1137" s="23">
        <f>COUNTIFS(mdr_rate_cleaned!$A$2:$A$10,B1137,mdr_rate_cleaned!$B$2:$B$10,"&lt;"&amp;C1137,mdr_rate_cleaned!$F$2:$F$10,"&gt;="&amp;C1137)</f>
        <v>1</v>
      </c>
      <c r="G1137" s="40">
        <f>SUMIFS(mdr_rate_cleaned!$G$2:$G$10,mdr_rate_cleaned!$A$2:$A$10,B1137,mdr_rate_cleaned!$B$2:$B$10,"&lt;"&amp;C1137,mdr_rate_cleaned!$F$2:$F$10,"&gt;="&amp;C1137)</f>
        <v>3.0000000000000001E-3</v>
      </c>
      <c r="H1137" s="24">
        <f t="shared" si="85"/>
        <v>26.39</v>
      </c>
      <c r="I1137" s="23" t="str">
        <f t="shared" si="86"/>
        <v>Match</v>
      </c>
      <c r="J1137" s="23" t="str">
        <f t="shared" si="87"/>
        <v>Match</v>
      </c>
      <c r="K1137" s="24">
        <f t="shared" si="88"/>
        <v>4.75</v>
      </c>
      <c r="L1137" s="24">
        <f t="shared" si="89"/>
        <v>0</v>
      </c>
    </row>
    <row r="1138" spans="1:12" ht="15" customHeight="1" x14ac:dyDescent="0.3">
      <c r="A1138" s="23" t="s">
        <v>13748</v>
      </c>
      <c r="B1138" s="23" t="s">
        <v>75</v>
      </c>
      <c r="C1138" s="39">
        <v>3098</v>
      </c>
      <c r="D1138" s="24">
        <v>9.2899999999999991</v>
      </c>
      <c r="E1138" s="24">
        <v>1.67</v>
      </c>
      <c r="F1138" s="23">
        <f>COUNTIFS(mdr_rate_cleaned!$A$2:$A$10,B1138,mdr_rate_cleaned!$B$2:$B$10,"&lt;"&amp;C1138,mdr_rate_cleaned!$F$2:$F$10,"&gt;="&amp;C1138)</f>
        <v>1</v>
      </c>
      <c r="G1138" s="40">
        <f>SUMIFS(mdr_rate_cleaned!$G$2:$G$10,mdr_rate_cleaned!$A$2:$A$10,B1138,mdr_rate_cleaned!$B$2:$B$10,"&lt;"&amp;C1138,mdr_rate_cleaned!$F$2:$F$10,"&gt;="&amp;C1138)</f>
        <v>3.0000000000000001E-3</v>
      </c>
      <c r="H1138" s="24">
        <f t="shared" si="85"/>
        <v>9.2899999999999991</v>
      </c>
      <c r="I1138" s="23" t="str">
        <f t="shared" si="86"/>
        <v>Match</v>
      </c>
      <c r="J1138" s="23" t="str">
        <f t="shared" si="87"/>
        <v>Match</v>
      </c>
      <c r="K1138" s="24">
        <f t="shared" si="88"/>
        <v>1.67</v>
      </c>
      <c r="L1138" s="24">
        <f t="shared" si="89"/>
        <v>0</v>
      </c>
    </row>
    <row r="1139" spans="1:12" ht="15" customHeight="1" x14ac:dyDescent="0.3">
      <c r="A1139" s="23" t="s">
        <v>13749</v>
      </c>
      <c r="B1139" s="23" t="s">
        <v>75</v>
      </c>
      <c r="C1139" s="39">
        <v>2499</v>
      </c>
      <c r="D1139" s="24">
        <v>7.5</v>
      </c>
      <c r="E1139" s="24">
        <v>1.35</v>
      </c>
      <c r="F1139" s="23">
        <f>COUNTIFS(mdr_rate_cleaned!$A$2:$A$10,B1139,mdr_rate_cleaned!$B$2:$B$10,"&lt;"&amp;C1139,mdr_rate_cleaned!$F$2:$F$10,"&gt;="&amp;C1139)</f>
        <v>1</v>
      </c>
      <c r="G1139" s="40">
        <f>SUMIFS(mdr_rate_cleaned!$G$2:$G$10,mdr_rate_cleaned!$A$2:$A$10,B1139,mdr_rate_cleaned!$B$2:$B$10,"&lt;"&amp;C1139,mdr_rate_cleaned!$F$2:$F$10,"&gt;="&amp;C1139)</f>
        <v>3.0000000000000001E-3</v>
      </c>
      <c r="H1139" s="24">
        <f t="shared" si="85"/>
        <v>7.5</v>
      </c>
      <c r="I1139" s="23" t="str">
        <f t="shared" si="86"/>
        <v>Match</v>
      </c>
      <c r="J1139" s="23" t="str">
        <f t="shared" si="87"/>
        <v>Match</v>
      </c>
      <c r="K1139" s="24">
        <f t="shared" si="88"/>
        <v>1.35</v>
      </c>
      <c r="L1139" s="24">
        <f t="shared" si="89"/>
        <v>0</v>
      </c>
    </row>
    <row r="1140" spans="1:12" ht="15" customHeight="1" x14ac:dyDescent="0.3">
      <c r="A1140" s="23" t="s">
        <v>13751</v>
      </c>
      <c r="B1140" s="23" t="s">
        <v>75</v>
      </c>
      <c r="C1140" s="39">
        <v>2298</v>
      </c>
      <c r="D1140" s="24">
        <v>6.89</v>
      </c>
      <c r="E1140" s="24">
        <v>1.24</v>
      </c>
      <c r="F1140" s="23">
        <f>COUNTIFS(mdr_rate_cleaned!$A$2:$A$10,B1140,mdr_rate_cleaned!$B$2:$B$10,"&lt;"&amp;C1140,mdr_rate_cleaned!$F$2:$F$10,"&gt;="&amp;C1140)</f>
        <v>1</v>
      </c>
      <c r="G1140" s="40">
        <f>SUMIFS(mdr_rate_cleaned!$G$2:$G$10,mdr_rate_cleaned!$A$2:$A$10,B1140,mdr_rate_cleaned!$B$2:$B$10,"&lt;"&amp;C1140,mdr_rate_cleaned!$F$2:$F$10,"&gt;="&amp;C1140)</f>
        <v>3.0000000000000001E-3</v>
      </c>
      <c r="H1140" s="24">
        <f t="shared" si="85"/>
        <v>6.89</v>
      </c>
      <c r="I1140" s="23" t="str">
        <f t="shared" si="86"/>
        <v>Match</v>
      </c>
      <c r="J1140" s="23" t="str">
        <f t="shared" si="87"/>
        <v>Match</v>
      </c>
      <c r="K1140" s="24">
        <f t="shared" si="88"/>
        <v>1.24</v>
      </c>
      <c r="L1140" s="24">
        <f t="shared" si="89"/>
        <v>0</v>
      </c>
    </row>
    <row r="1141" spans="1:12" ht="15" customHeight="1" x14ac:dyDescent="0.3">
      <c r="A1141" s="23" t="s">
        <v>13752</v>
      </c>
      <c r="B1141" s="23" t="s">
        <v>75</v>
      </c>
      <c r="C1141" s="39">
        <v>999</v>
      </c>
      <c r="D1141" s="24">
        <v>0</v>
      </c>
      <c r="E1141" s="24">
        <v>0</v>
      </c>
      <c r="F1141" s="23">
        <f>COUNTIFS(mdr_rate_cleaned!$A$2:$A$10,B1141,mdr_rate_cleaned!$B$2:$B$10,"&lt;"&amp;C1141,mdr_rate_cleaned!$F$2:$F$10,"&gt;="&amp;C1141)</f>
        <v>1</v>
      </c>
      <c r="G1141" s="40">
        <f>SUMIFS(mdr_rate_cleaned!$G$2:$G$10,mdr_rate_cleaned!$A$2:$A$10,B1141,mdr_rate_cleaned!$B$2:$B$10,"&lt;"&amp;C1141,mdr_rate_cleaned!$F$2:$F$10,"&gt;="&amp;C1141)</f>
        <v>0</v>
      </c>
      <c r="H1141" s="24">
        <f t="shared" si="85"/>
        <v>0</v>
      </c>
      <c r="I1141" s="23" t="str">
        <f t="shared" si="86"/>
        <v>Match</v>
      </c>
      <c r="J1141" s="23" t="str">
        <f t="shared" si="87"/>
        <v>Match</v>
      </c>
      <c r="K1141" s="24">
        <f t="shared" si="88"/>
        <v>0</v>
      </c>
      <c r="L1141" s="24">
        <f t="shared" si="89"/>
        <v>0</v>
      </c>
    </row>
    <row r="1142" spans="1:12" ht="15" customHeight="1" x14ac:dyDescent="0.3">
      <c r="A1142" s="23" t="s">
        <v>13754</v>
      </c>
      <c r="B1142" s="23" t="s">
        <v>75</v>
      </c>
      <c r="C1142" s="39">
        <v>1348</v>
      </c>
      <c r="D1142" s="24">
        <v>0</v>
      </c>
      <c r="E1142" s="24">
        <v>0</v>
      </c>
      <c r="F1142" s="23">
        <f>COUNTIFS(mdr_rate_cleaned!$A$2:$A$10,B1142,mdr_rate_cleaned!$B$2:$B$10,"&lt;"&amp;C1142,mdr_rate_cleaned!$F$2:$F$10,"&gt;="&amp;C1142)</f>
        <v>1</v>
      </c>
      <c r="G1142" s="40">
        <f>SUMIFS(mdr_rate_cleaned!$G$2:$G$10,mdr_rate_cleaned!$A$2:$A$10,B1142,mdr_rate_cleaned!$B$2:$B$10,"&lt;"&amp;C1142,mdr_rate_cleaned!$F$2:$F$10,"&gt;="&amp;C1142)</f>
        <v>0</v>
      </c>
      <c r="H1142" s="24">
        <f t="shared" si="85"/>
        <v>0</v>
      </c>
      <c r="I1142" s="23" t="str">
        <f t="shared" si="86"/>
        <v>Match</v>
      </c>
      <c r="J1142" s="23" t="str">
        <f t="shared" si="87"/>
        <v>Match</v>
      </c>
      <c r="K1142" s="24">
        <f t="shared" si="88"/>
        <v>0</v>
      </c>
      <c r="L1142" s="24">
        <f t="shared" si="89"/>
        <v>0</v>
      </c>
    </row>
    <row r="1143" spans="1:12" ht="15" customHeight="1" x14ac:dyDescent="0.3">
      <c r="A1143" s="23" t="s">
        <v>13755</v>
      </c>
      <c r="B1143" s="23" t="s">
        <v>75</v>
      </c>
      <c r="C1143" s="39">
        <v>1499</v>
      </c>
      <c r="D1143" s="24">
        <v>0</v>
      </c>
      <c r="E1143" s="24">
        <v>0</v>
      </c>
      <c r="F1143" s="23">
        <f>COUNTIFS(mdr_rate_cleaned!$A$2:$A$10,B1143,mdr_rate_cleaned!$B$2:$B$10,"&lt;"&amp;C1143,mdr_rate_cleaned!$F$2:$F$10,"&gt;="&amp;C1143)</f>
        <v>1</v>
      </c>
      <c r="G1143" s="40">
        <f>SUMIFS(mdr_rate_cleaned!$G$2:$G$10,mdr_rate_cleaned!$A$2:$A$10,B1143,mdr_rate_cleaned!$B$2:$B$10,"&lt;"&amp;C1143,mdr_rate_cleaned!$F$2:$F$10,"&gt;="&amp;C1143)</f>
        <v>0</v>
      </c>
      <c r="H1143" s="24">
        <f t="shared" si="85"/>
        <v>0</v>
      </c>
      <c r="I1143" s="23" t="str">
        <f t="shared" si="86"/>
        <v>Match</v>
      </c>
      <c r="J1143" s="23" t="str">
        <f t="shared" si="87"/>
        <v>Match</v>
      </c>
      <c r="K1143" s="24">
        <f t="shared" si="88"/>
        <v>0</v>
      </c>
      <c r="L1143" s="24">
        <f t="shared" si="89"/>
        <v>0</v>
      </c>
    </row>
    <row r="1144" spans="1:12" ht="15" customHeight="1" x14ac:dyDescent="0.3">
      <c r="A1144" s="23" t="s">
        <v>13756</v>
      </c>
      <c r="B1144" s="23" t="s">
        <v>75</v>
      </c>
      <c r="C1144" s="39">
        <v>798</v>
      </c>
      <c r="D1144" s="24">
        <v>0</v>
      </c>
      <c r="E1144" s="24">
        <v>0</v>
      </c>
      <c r="F1144" s="23">
        <f>COUNTIFS(mdr_rate_cleaned!$A$2:$A$10,B1144,mdr_rate_cleaned!$B$2:$B$10,"&lt;"&amp;C1144,mdr_rate_cleaned!$F$2:$F$10,"&gt;="&amp;C1144)</f>
        <v>1</v>
      </c>
      <c r="G1144" s="40">
        <f>SUMIFS(mdr_rate_cleaned!$G$2:$G$10,mdr_rate_cleaned!$A$2:$A$10,B1144,mdr_rate_cleaned!$B$2:$B$10,"&lt;"&amp;C1144,mdr_rate_cleaned!$F$2:$F$10,"&gt;="&amp;C1144)</f>
        <v>0</v>
      </c>
      <c r="H1144" s="24">
        <f t="shared" si="85"/>
        <v>0</v>
      </c>
      <c r="I1144" s="23" t="str">
        <f t="shared" si="86"/>
        <v>Match</v>
      </c>
      <c r="J1144" s="23" t="str">
        <f t="shared" si="87"/>
        <v>Match</v>
      </c>
      <c r="K1144" s="24">
        <f t="shared" si="88"/>
        <v>0</v>
      </c>
      <c r="L1144" s="24">
        <f t="shared" si="89"/>
        <v>0</v>
      </c>
    </row>
    <row r="1145" spans="1:12" ht="15" customHeight="1" x14ac:dyDescent="0.3">
      <c r="A1145" s="23" t="s">
        <v>13757</v>
      </c>
      <c r="B1145" s="23" t="s">
        <v>79</v>
      </c>
      <c r="C1145" s="39">
        <v>2598</v>
      </c>
      <c r="D1145" s="24">
        <v>41.57</v>
      </c>
      <c r="E1145" s="24">
        <v>7.48</v>
      </c>
      <c r="F1145" s="23">
        <f>COUNTIFS(mdr_rate_cleaned!$A$2:$A$10,B1145,mdr_rate_cleaned!$B$2:$B$10,"&lt;"&amp;C1145,mdr_rate_cleaned!$F$2:$F$10,"&gt;="&amp;C1145)</f>
        <v>1</v>
      </c>
      <c r="G1145" s="40">
        <f>SUMIFS(mdr_rate_cleaned!$G$2:$G$10,mdr_rate_cleaned!$A$2:$A$10,B1145,mdr_rate_cleaned!$B$2:$B$10,"&lt;"&amp;C1145,mdr_rate_cleaned!$F$2:$F$10,"&gt;="&amp;C1145)</f>
        <v>1.6E-2</v>
      </c>
      <c r="H1145" s="24">
        <f t="shared" si="85"/>
        <v>41.57</v>
      </c>
      <c r="I1145" s="23" t="str">
        <f t="shared" si="86"/>
        <v>Match</v>
      </c>
      <c r="J1145" s="23" t="str">
        <f t="shared" si="87"/>
        <v>Match</v>
      </c>
      <c r="K1145" s="24">
        <f t="shared" si="88"/>
        <v>7.48</v>
      </c>
      <c r="L1145" s="24">
        <f t="shared" si="89"/>
        <v>0</v>
      </c>
    </row>
    <row r="1146" spans="1:12" ht="15" customHeight="1" x14ac:dyDescent="0.3">
      <c r="A1146" s="23" t="s">
        <v>13758</v>
      </c>
      <c r="B1146" s="23" t="s">
        <v>75</v>
      </c>
      <c r="C1146" s="39">
        <v>1299</v>
      </c>
      <c r="D1146" s="24">
        <v>0</v>
      </c>
      <c r="E1146" s="24">
        <v>0</v>
      </c>
      <c r="F1146" s="23">
        <f>COUNTIFS(mdr_rate_cleaned!$A$2:$A$10,B1146,mdr_rate_cleaned!$B$2:$B$10,"&lt;"&amp;C1146,mdr_rate_cleaned!$F$2:$F$10,"&gt;="&amp;C1146)</f>
        <v>1</v>
      </c>
      <c r="G1146" s="40">
        <f>SUMIFS(mdr_rate_cleaned!$G$2:$G$10,mdr_rate_cleaned!$A$2:$A$10,B1146,mdr_rate_cleaned!$B$2:$B$10,"&lt;"&amp;C1146,mdr_rate_cleaned!$F$2:$F$10,"&gt;="&amp;C1146)</f>
        <v>0</v>
      </c>
      <c r="H1146" s="24">
        <f t="shared" si="85"/>
        <v>0</v>
      </c>
      <c r="I1146" s="23" t="str">
        <f t="shared" si="86"/>
        <v>Match</v>
      </c>
      <c r="J1146" s="23" t="str">
        <f t="shared" si="87"/>
        <v>Match</v>
      </c>
      <c r="K1146" s="24">
        <f t="shared" si="88"/>
        <v>0</v>
      </c>
      <c r="L1146" s="24">
        <f t="shared" si="89"/>
        <v>0</v>
      </c>
    </row>
    <row r="1147" spans="1:12" ht="15" customHeight="1" x14ac:dyDescent="0.3">
      <c r="A1147" s="23" t="s">
        <v>13760</v>
      </c>
      <c r="B1147" s="23" t="s">
        <v>77</v>
      </c>
      <c r="C1147" s="39">
        <v>349</v>
      </c>
      <c r="D1147" s="24">
        <v>6.63</v>
      </c>
      <c r="E1147" s="24">
        <v>1.19</v>
      </c>
      <c r="F1147" s="23">
        <f>COUNTIFS(mdr_rate_cleaned!$A$2:$A$10,B1147,mdr_rate_cleaned!$B$2:$B$10,"&lt;"&amp;C1147,mdr_rate_cleaned!$F$2:$F$10,"&gt;="&amp;C1147)</f>
        <v>1</v>
      </c>
      <c r="G1147" s="40">
        <f>SUMIFS(mdr_rate_cleaned!$G$2:$G$10,mdr_rate_cleaned!$A$2:$A$10,B1147,mdr_rate_cleaned!$B$2:$B$10,"&lt;"&amp;C1147,mdr_rate_cleaned!$F$2:$F$10,"&gt;="&amp;C1147)</f>
        <v>1.9E-2</v>
      </c>
      <c r="H1147" s="24">
        <f t="shared" si="85"/>
        <v>6.63</v>
      </c>
      <c r="I1147" s="23" t="str">
        <f t="shared" si="86"/>
        <v>Match</v>
      </c>
      <c r="J1147" s="23" t="str">
        <f t="shared" si="87"/>
        <v>Match</v>
      </c>
      <c r="K1147" s="24">
        <f t="shared" si="88"/>
        <v>1.19</v>
      </c>
      <c r="L1147" s="24">
        <f t="shared" si="89"/>
        <v>0</v>
      </c>
    </row>
    <row r="1148" spans="1:12" ht="15" customHeight="1" x14ac:dyDescent="0.3">
      <c r="A1148" s="23" t="s">
        <v>13761</v>
      </c>
      <c r="B1148" s="23" t="s">
        <v>77</v>
      </c>
      <c r="C1148" s="39">
        <v>5498</v>
      </c>
      <c r="D1148" s="24">
        <v>93.47</v>
      </c>
      <c r="E1148" s="24">
        <v>16.82</v>
      </c>
      <c r="F1148" s="23">
        <f>COUNTIFS(mdr_rate_cleaned!$A$2:$A$10,B1148,mdr_rate_cleaned!$B$2:$B$10,"&lt;"&amp;C1148,mdr_rate_cleaned!$F$2:$F$10,"&gt;="&amp;C1148)</f>
        <v>1</v>
      </c>
      <c r="G1148" s="40">
        <f>SUMIFS(mdr_rate_cleaned!$G$2:$G$10,mdr_rate_cleaned!$A$2:$A$10,B1148,mdr_rate_cleaned!$B$2:$B$10,"&lt;"&amp;C1148,mdr_rate_cleaned!$F$2:$F$10,"&gt;="&amp;C1148)</f>
        <v>1.7000000000000001E-2</v>
      </c>
      <c r="H1148" s="24">
        <f t="shared" si="85"/>
        <v>93.47</v>
      </c>
      <c r="I1148" s="23" t="str">
        <f t="shared" si="86"/>
        <v>Match</v>
      </c>
      <c r="J1148" s="23" t="str">
        <f t="shared" si="87"/>
        <v>Match</v>
      </c>
      <c r="K1148" s="24">
        <f t="shared" si="88"/>
        <v>16.82</v>
      </c>
      <c r="L1148" s="24">
        <f t="shared" si="89"/>
        <v>0</v>
      </c>
    </row>
    <row r="1149" spans="1:12" ht="15" customHeight="1" x14ac:dyDescent="0.3">
      <c r="A1149" s="23" t="s">
        <v>13763</v>
      </c>
      <c r="B1149" s="23" t="s">
        <v>81</v>
      </c>
      <c r="C1149" s="39">
        <v>349</v>
      </c>
      <c r="D1149" s="24">
        <v>5.24</v>
      </c>
      <c r="E1149" s="24">
        <v>0.94</v>
      </c>
      <c r="F1149" s="23">
        <f>COUNTIFS(mdr_rate_cleaned!$A$2:$A$10,B1149,mdr_rate_cleaned!$B$2:$B$10,"&lt;"&amp;C1149,mdr_rate_cleaned!$F$2:$F$10,"&gt;="&amp;C1149)</f>
        <v>1</v>
      </c>
      <c r="G1149" s="40">
        <f>SUMIFS(mdr_rate_cleaned!$G$2:$G$10,mdr_rate_cleaned!$A$2:$A$10,B1149,mdr_rate_cleaned!$B$2:$B$10,"&lt;"&amp;C1149,mdr_rate_cleaned!$F$2:$F$10,"&gt;="&amp;C1149)</f>
        <v>1.4999999999999999E-2</v>
      </c>
      <c r="H1149" s="24">
        <f t="shared" si="85"/>
        <v>5.24</v>
      </c>
      <c r="I1149" s="23" t="str">
        <f t="shared" si="86"/>
        <v>Match</v>
      </c>
      <c r="J1149" s="23" t="str">
        <f t="shared" si="87"/>
        <v>Match</v>
      </c>
      <c r="K1149" s="24">
        <f t="shared" si="88"/>
        <v>0.94</v>
      </c>
      <c r="L1149" s="24">
        <f t="shared" si="89"/>
        <v>0</v>
      </c>
    </row>
    <row r="1150" spans="1:12" ht="15" customHeight="1" x14ac:dyDescent="0.3">
      <c r="A1150" s="23" t="s">
        <v>13764</v>
      </c>
      <c r="B1150" s="23" t="s">
        <v>81</v>
      </c>
      <c r="C1150" s="39">
        <v>4798</v>
      </c>
      <c r="D1150" s="24">
        <v>57.58</v>
      </c>
      <c r="E1150" s="24">
        <v>10.36</v>
      </c>
      <c r="F1150" s="23">
        <f>COUNTIFS(mdr_rate_cleaned!$A$2:$A$10,B1150,mdr_rate_cleaned!$B$2:$B$10,"&lt;"&amp;C1150,mdr_rate_cleaned!$F$2:$F$10,"&gt;="&amp;C1150)</f>
        <v>1</v>
      </c>
      <c r="G1150" s="40">
        <f>SUMIFS(mdr_rate_cleaned!$G$2:$G$10,mdr_rate_cleaned!$A$2:$A$10,B1150,mdr_rate_cleaned!$B$2:$B$10,"&lt;"&amp;C1150,mdr_rate_cleaned!$F$2:$F$10,"&gt;="&amp;C1150)</f>
        <v>1.2E-2</v>
      </c>
      <c r="H1150" s="24">
        <f t="shared" si="85"/>
        <v>57.58</v>
      </c>
      <c r="I1150" s="23" t="str">
        <f t="shared" si="86"/>
        <v>Match</v>
      </c>
      <c r="J1150" s="23" t="str">
        <f t="shared" si="87"/>
        <v>Match</v>
      </c>
      <c r="K1150" s="24">
        <f t="shared" si="88"/>
        <v>10.36</v>
      </c>
      <c r="L1150" s="24">
        <f t="shared" si="89"/>
        <v>0</v>
      </c>
    </row>
    <row r="1151" spans="1:12" ht="15" customHeight="1" x14ac:dyDescent="0.3">
      <c r="A1151" s="23" t="s">
        <v>13765</v>
      </c>
      <c r="B1151" s="23" t="s">
        <v>79</v>
      </c>
      <c r="C1151" s="39">
        <v>4298</v>
      </c>
      <c r="D1151" s="24">
        <v>68.77</v>
      </c>
      <c r="E1151" s="24">
        <v>12.38</v>
      </c>
      <c r="F1151" s="23">
        <f>COUNTIFS(mdr_rate_cleaned!$A$2:$A$10,B1151,mdr_rate_cleaned!$B$2:$B$10,"&lt;"&amp;C1151,mdr_rate_cleaned!$F$2:$F$10,"&gt;="&amp;C1151)</f>
        <v>1</v>
      </c>
      <c r="G1151" s="40">
        <f>SUMIFS(mdr_rate_cleaned!$G$2:$G$10,mdr_rate_cleaned!$A$2:$A$10,B1151,mdr_rate_cleaned!$B$2:$B$10,"&lt;"&amp;C1151,mdr_rate_cleaned!$F$2:$F$10,"&gt;="&amp;C1151)</f>
        <v>1.6E-2</v>
      </c>
      <c r="H1151" s="24">
        <f t="shared" si="85"/>
        <v>68.77</v>
      </c>
      <c r="I1151" s="23" t="str">
        <f t="shared" si="86"/>
        <v>Match</v>
      </c>
      <c r="J1151" s="23" t="str">
        <f t="shared" si="87"/>
        <v>Match</v>
      </c>
      <c r="K1151" s="24">
        <f t="shared" si="88"/>
        <v>12.38</v>
      </c>
      <c r="L1151" s="24">
        <f t="shared" si="89"/>
        <v>0</v>
      </c>
    </row>
    <row r="1152" spans="1:12" ht="15" customHeight="1" x14ac:dyDescent="0.3">
      <c r="A1152" s="23" t="s">
        <v>13767</v>
      </c>
      <c r="B1152" s="23" t="s">
        <v>75</v>
      </c>
      <c r="C1152" s="39">
        <v>349</v>
      </c>
      <c r="D1152" s="24">
        <v>0</v>
      </c>
      <c r="E1152" s="24">
        <v>0</v>
      </c>
      <c r="F1152" s="23">
        <f>COUNTIFS(mdr_rate_cleaned!$A$2:$A$10,B1152,mdr_rate_cleaned!$B$2:$B$10,"&lt;"&amp;C1152,mdr_rate_cleaned!$F$2:$F$10,"&gt;="&amp;C1152)</f>
        <v>1</v>
      </c>
      <c r="G1152" s="40">
        <f>SUMIFS(mdr_rate_cleaned!$G$2:$G$10,mdr_rate_cleaned!$A$2:$A$10,B1152,mdr_rate_cleaned!$B$2:$B$10,"&lt;"&amp;C1152,mdr_rate_cleaned!$F$2:$F$10,"&gt;="&amp;C1152)</f>
        <v>0</v>
      </c>
      <c r="H1152" s="24">
        <f t="shared" si="85"/>
        <v>0</v>
      </c>
      <c r="I1152" s="23" t="str">
        <f t="shared" si="86"/>
        <v>Match</v>
      </c>
      <c r="J1152" s="23" t="str">
        <f t="shared" si="87"/>
        <v>Match</v>
      </c>
      <c r="K1152" s="24">
        <f t="shared" si="88"/>
        <v>0</v>
      </c>
      <c r="L1152" s="24">
        <f t="shared" si="89"/>
        <v>0</v>
      </c>
    </row>
    <row r="1153" spans="1:12" ht="15" customHeight="1" x14ac:dyDescent="0.3">
      <c r="A1153" s="23" t="s">
        <v>13768</v>
      </c>
      <c r="B1153" s="23" t="s">
        <v>79</v>
      </c>
      <c r="C1153" s="39">
        <v>3947</v>
      </c>
      <c r="D1153" s="24">
        <v>63.15</v>
      </c>
      <c r="E1153" s="24">
        <v>11.37</v>
      </c>
      <c r="F1153" s="23">
        <f>COUNTIFS(mdr_rate_cleaned!$A$2:$A$10,B1153,mdr_rate_cleaned!$B$2:$B$10,"&lt;"&amp;C1153,mdr_rate_cleaned!$F$2:$F$10,"&gt;="&amp;C1153)</f>
        <v>1</v>
      </c>
      <c r="G1153" s="40">
        <f>SUMIFS(mdr_rate_cleaned!$G$2:$G$10,mdr_rate_cleaned!$A$2:$A$10,B1153,mdr_rate_cleaned!$B$2:$B$10,"&lt;"&amp;C1153,mdr_rate_cleaned!$F$2:$F$10,"&gt;="&amp;C1153)</f>
        <v>1.6E-2</v>
      </c>
      <c r="H1153" s="24">
        <f t="shared" si="85"/>
        <v>63.15</v>
      </c>
      <c r="I1153" s="23" t="str">
        <f t="shared" si="86"/>
        <v>Match</v>
      </c>
      <c r="J1153" s="23" t="str">
        <f t="shared" si="87"/>
        <v>Match</v>
      </c>
      <c r="K1153" s="24">
        <f t="shared" si="88"/>
        <v>11.37</v>
      </c>
      <c r="L1153" s="24">
        <f t="shared" si="89"/>
        <v>0</v>
      </c>
    </row>
    <row r="1154" spans="1:12" ht="15" customHeight="1" x14ac:dyDescent="0.3">
      <c r="A1154" s="23" t="s">
        <v>13769</v>
      </c>
      <c r="B1154" s="23" t="s">
        <v>75</v>
      </c>
      <c r="C1154" s="39">
        <v>3097</v>
      </c>
      <c r="D1154" s="24">
        <v>9.2899999999999991</v>
      </c>
      <c r="E1154" s="24">
        <v>1.67</v>
      </c>
      <c r="F1154" s="23">
        <f>COUNTIFS(mdr_rate_cleaned!$A$2:$A$10,B1154,mdr_rate_cleaned!$B$2:$B$10,"&lt;"&amp;C1154,mdr_rate_cleaned!$F$2:$F$10,"&gt;="&amp;C1154)</f>
        <v>1</v>
      </c>
      <c r="G1154" s="40">
        <f>SUMIFS(mdr_rate_cleaned!$G$2:$G$10,mdr_rate_cleaned!$A$2:$A$10,B1154,mdr_rate_cleaned!$B$2:$B$10,"&lt;"&amp;C1154,mdr_rate_cleaned!$F$2:$F$10,"&gt;="&amp;C1154)</f>
        <v>3.0000000000000001E-3</v>
      </c>
      <c r="H1154" s="24">
        <f t="shared" ref="H1154:H1217" si="90">ROUND(C1154*G1154,2)</f>
        <v>9.2899999999999991</v>
      </c>
      <c r="I1154" s="23" t="str">
        <f t="shared" ref="I1154:I1217" si="91">IF(ROUND(D1154-H1154,2)=0,"Match","Differs")</f>
        <v>Match</v>
      </c>
      <c r="J1154" s="23" t="str">
        <f t="shared" ref="J1154:J1217" si="92">IF(ROUND(E1154-ROUND(D1154*0.18,2),2)=0,"Match","Differs")</f>
        <v>Match</v>
      </c>
      <c r="K1154" s="24">
        <f t="shared" ref="K1154:K1217" si="93">ROUND(H1154*0.18,2)</f>
        <v>1.67</v>
      </c>
      <c r="L1154" s="24">
        <f t="shared" ref="L1154:L1217" si="94">ROUND(D1154+E1154-H1154-K1154,2)</f>
        <v>0</v>
      </c>
    </row>
    <row r="1155" spans="1:12" ht="15" customHeight="1" x14ac:dyDescent="0.3">
      <c r="A1155" s="23" t="s">
        <v>13770</v>
      </c>
      <c r="B1155" s="23" t="s">
        <v>81</v>
      </c>
      <c r="C1155" s="39">
        <v>999</v>
      </c>
      <c r="D1155" s="24">
        <v>14.99</v>
      </c>
      <c r="E1155" s="24">
        <v>2.7</v>
      </c>
      <c r="F1155" s="23">
        <f>COUNTIFS(mdr_rate_cleaned!$A$2:$A$10,B1155,mdr_rate_cleaned!$B$2:$B$10,"&lt;"&amp;C1155,mdr_rate_cleaned!$F$2:$F$10,"&gt;="&amp;C1155)</f>
        <v>1</v>
      </c>
      <c r="G1155" s="40">
        <f>SUMIFS(mdr_rate_cleaned!$G$2:$G$10,mdr_rate_cleaned!$A$2:$A$10,B1155,mdr_rate_cleaned!$B$2:$B$10,"&lt;"&amp;C1155,mdr_rate_cleaned!$F$2:$F$10,"&gt;="&amp;C1155)</f>
        <v>1.4999999999999999E-2</v>
      </c>
      <c r="H1155" s="24">
        <f t="shared" si="90"/>
        <v>14.99</v>
      </c>
      <c r="I1155" s="23" t="str">
        <f t="shared" si="91"/>
        <v>Match</v>
      </c>
      <c r="J1155" s="23" t="str">
        <f t="shared" si="92"/>
        <v>Match</v>
      </c>
      <c r="K1155" s="24">
        <f t="shared" si="93"/>
        <v>2.7</v>
      </c>
      <c r="L1155" s="24">
        <f t="shared" si="94"/>
        <v>0</v>
      </c>
    </row>
    <row r="1156" spans="1:12" ht="15" customHeight="1" x14ac:dyDescent="0.3">
      <c r="A1156" s="23" t="s">
        <v>13771</v>
      </c>
      <c r="B1156" s="23" t="s">
        <v>81</v>
      </c>
      <c r="C1156" s="39">
        <v>1598</v>
      </c>
      <c r="D1156" s="24">
        <v>23.97</v>
      </c>
      <c r="E1156" s="24">
        <v>4.3099999999999996</v>
      </c>
      <c r="F1156" s="23">
        <f>COUNTIFS(mdr_rate_cleaned!$A$2:$A$10,B1156,mdr_rate_cleaned!$B$2:$B$10,"&lt;"&amp;C1156,mdr_rate_cleaned!$F$2:$F$10,"&gt;="&amp;C1156)</f>
        <v>1</v>
      </c>
      <c r="G1156" s="40">
        <f>SUMIFS(mdr_rate_cleaned!$G$2:$G$10,mdr_rate_cleaned!$A$2:$A$10,B1156,mdr_rate_cleaned!$B$2:$B$10,"&lt;"&amp;C1156,mdr_rate_cleaned!$F$2:$F$10,"&gt;="&amp;C1156)</f>
        <v>1.4999999999999999E-2</v>
      </c>
      <c r="H1156" s="24">
        <f t="shared" si="90"/>
        <v>23.97</v>
      </c>
      <c r="I1156" s="23" t="str">
        <f t="shared" si="91"/>
        <v>Match</v>
      </c>
      <c r="J1156" s="23" t="str">
        <f t="shared" si="92"/>
        <v>Match</v>
      </c>
      <c r="K1156" s="24">
        <f t="shared" si="93"/>
        <v>4.3099999999999996</v>
      </c>
      <c r="L1156" s="24">
        <f t="shared" si="94"/>
        <v>0</v>
      </c>
    </row>
    <row r="1157" spans="1:12" ht="15" customHeight="1" x14ac:dyDescent="0.3">
      <c r="A1157" s="23" t="s">
        <v>13772</v>
      </c>
      <c r="B1157" s="23" t="s">
        <v>75</v>
      </c>
      <c r="C1157" s="39">
        <v>16797</v>
      </c>
      <c r="D1157" s="24">
        <v>50.39</v>
      </c>
      <c r="E1157" s="24">
        <v>9.07</v>
      </c>
      <c r="F1157" s="23">
        <f>COUNTIFS(mdr_rate_cleaned!$A$2:$A$10,B1157,mdr_rate_cleaned!$B$2:$B$10,"&lt;"&amp;C1157,mdr_rate_cleaned!$F$2:$F$10,"&gt;="&amp;C1157)</f>
        <v>1</v>
      </c>
      <c r="G1157" s="40">
        <f>SUMIFS(mdr_rate_cleaned!$G$2:$G$10,mdr_rate_cleaned!$A$2:$A$10,B1157,mdr_rate_cleaned!$B$2:$B$10,"&lt;"&amp;C1157,mdr_rate_cleaned!$F$2:$F$10,"&gt;="&amp;C1157)</f>
        <v>3.0000000000000001E-3</v>
      </c>
      <c r="H1157" s="24">
        <f t="shared" si="90"/>
        <v>50.39</v>
      </c>
      <c r="I1157" s="23" t="str">
        <f t="shared" si="91"/>
        <v>Match</v>
      </c>
      <c r="J1157" s="23" t="str">
        <f t="shared" si="92"/>
        <v>Match</v>
      </c>
      <c r="K1157" s="24">
        <f t="shared" si="93"/>
        <v>9.07</v>
      </c>
      <c r="L1157" s="24">
        <f t="shared" si="94"/>
        <v>0</v>
      </c>
    </row>
    <row r="1158" spans="1:12" ht="15" customHeight="1" x14ac:dyDescent="0.3">
      <c r="A1158" s="23" t="s">
        <v>13773</v>
      </c>
      <c r="B1158" s="23" t="s">
        <v>79</v>
      </c>
      <c r="C1158" s="39">
        <v>12297</v>
      </c>
      <c r="D1158" s="24">
        <v>196.75</v>
      </c>
      <c r="E1158" s="24">
        <v>35.42</v>
      </c>
      <c r="F1158" s="23">
        <f>COUNTIFS(mdr_rate_cleaned!$A$2:$A$10,B1158,mdr_rate_cleaned!$B$2:$B$10,"&lt;"&amp;C1158,mdr_rate_cleaned!$F$2:$F$10,"&gt;="&amp;C1158)</f>
        <v>1</v>
      </c>
      <c r="G1158" s="40">
        <f>SUMIFS(mdr_rate_cleaned!$G$2:$G$10,mdr_rate_cleaned!$A$2:$A$10,B1158,mdr_rate_cleaned!$B$2:$B$10,"&lt;"&amp;C1158,mdr_rate_cleaned!$F$2:$F$10,"&gt;="&amp;C1158)</f>
        <v>1.6E-2</v>
      </c>
      <c r="H1158" s="24">
        <f t="shared" si="90"/>
        <v>196.75</v>
      </c>
      <c r="I1158" s="23" t="str">
        <f t="shared" si="91"/>
        <v>Match</v>
      </c>
      <c r="J1158" s="23" t="str">
        <f t="shared" si="92"/>
        <v>Match</v>
      </c>
      <c r="K1158" s="24">
        <f t="shared" si="93"/>
        <v>35.42</v>
      </c>
      <c r="L1158" s="24">
        <f t="shared" si="94"/>
        <v>0</v>
      </c>
    </row>
    <row r="1159" spans="1:12" ht="15" customHeight="1" x14ac:dyDescent="0.3">
      <c r="A1159" s="23" t="s">
        <v>13774</v>
      </c>
      <c r="B1159" s="23" t="s">
        <v>79</v>
      </c>
      <c r="C1159" s="39">
        <v>1799</v>
      </c>
      <c r="D1159" s="24">
        <v>32.380000000000003</v>
      </c>
      <c r="E1159" s="24">
        <v>5.83</v>
      </c>
      <c r="F1159" s="23">
        <f>COUNTIFS(mdr_rate_cleaned!$A$2:$A$10,B1159,mdr_rate_cleaned!$B$2:$B$10,"&lt;"&amp;C1159,mdr_rate_cleaned!$F$2:$F$10,"&gt;="&amp;C1159)</f>
        <v>1</v>
      </c>
      <c r="G1159" s="40">
        <f>SUMIFS(mdr_rate_cleaned!$G$2:$G$10,mdr_rate_cleaned!$A$2:$A$10,B1159,mdr_rate_cleaned!$B$2:$B$10,"&lt;"&amp;C1159,mdr_rate_cleaned!$F$2:$F$10,"&gt;="&amp;C1159)</f>
        <v>1.8000000000000002E-2</v>
      </c>
      <c r="H1159" s="24">
        <f t="shared" si="90"/>
        <v>32.380000000000003</v>
      </c>
      <c r="I1159" s="23" t="str">
        <f t="shared" si="91"/>
        <v>Match</v>
      </c>
      <c r="J1159" s="23" t="str">
        <f t="shared" si="92"/>
        <v>Match</v>
      </c>
      <c r="K1159" s="24">
        <f t="shared" si="93"/>
        <v>5.83</v>
      </c>
      <c r="L1159" s="24">
        <f t="shared" si="94"/>
        <v>0</v>
      </c>
    </row>
    <row r="1160" spans="1:12" ht="15" customHeight="1" x14ac:dyDescent="0.3">
      <c r="A1160" s="23" t="s">
        <v>13776</v>
      </c>
      <c r="B1160" s="23" t="s">
        <v>75</v>
      </c>
      <c r="C1160" s="39">
        <v>4999</v>
      </c>
      <c r="D1160" s="24">
        <v>15</v>
      </c>
      <c r="E1160" s="24">
        <v>2.7</v>
      </c>
      <c r="F1160" s="23">
        <f>COUNTIFS(mdr_rate_cleaned!$A$2:$A$10,B1160,mdr_rate_cleaned!$B$2:$B$10,"&lt;"&amp;C1160,mdr_rate_cleaned!$F$2:$F$10,"&gt;="&amp;C1160)</f>
        <v>1</v>
      </c>
      <c r="G1160" s="40">
        <f>SUMIFS(mdr_rate_cleaned!$G$2:$G$10,mdr_rate_cleaned!$A$2:$A$10,B1160,mdr_rate_cleaned!$B$2:$B$10,"&lt;"&amp;C1160,mdr_rate_cleaned!$F$2:$F$10,"&gt;="&amp;C1160)</f>
        <v>3.0000000000000001E-3</v>
      </c>
      <c r="H1160" s="24">
        <f t="shared" si="90"/>
        <v>15</v>
      </c>
      <c r="I1160" s="23" t="str">
        <f t="shared" si="91"/>
        <v>Match</v>
      </c>
      <c r="J1160" s="23" t="str">
        <f t="shared" si="92"/>
        <v>Match</v>
      </c>
      <c r="K1160" s="24">
        <f t="shared" si="93"/>
        <v>2.7</v>
      </c>
      <c r="L1160" s="24">
        <f t="shared" si="94"/>
        <v>0</v>
      </c>
    </row>
    <row r="1161" spans="1:12" ht="15" customHeight="1" x14ac:dyDescent="0.3">
      <c r="A1161" s="23" t="s">
        <v>13777</v>
      </c>
      <c r="B1161" s="23" t="s">
        <v>81</v>
      </c>
      <c r="C1161" s="39">
        <v>349</v>
      </c>
      <c r="D1161" s="24">
        <v>5.24</v>
      </c>
      <c r="E1161" s="24">
        <v>0.94</v>
      </c>
      <c r="F1161" s="23">
        <f>COUNTIFS(mdr_rate_cleaned!$A$2:$A$10,B1161,mdr_rate_cleaned!$B$2:$B$10,"&lt;"&amp;C1161,mdr_rate_cleaned!$F$2:$F$10,"&gt;="&amp;C1161)</f>
        <v>1</v>
      </c>
      <c r="G1161" s="40">
        <f>SUMIFS(mdr_rate_cleaned!$G$2:$G$10,mdr_rate_cleaned!$A$2:$A$10,B1161,mdr_rate_cleaned!$B$2:$B$10,"&lt;"&amp;C1161,mdr_rate_cleaned!$F$2:$F$10,"&gt;="&amp;C1161)</f>
        <v>1.4999999999999999E-2</v>
      </c>
      <c r="H1161" s="24">
        <f t="shared" si="90"/>
        <v>5.24</v>
      </c>
      <c r="I1161" s="23" t="str">
        <f t="shared" si="91"/>
        <v>Match</v>
      </c>
      <c r="J1161" s="23" t="str">
        <f t="shared" si="92"/>
        <v>Match</v>
      </c>
      <c r="K1161" s="24">
        <f t="shared" si="93"/>
        <v>0.94</v>
      </c>
      <c r="L1161" s="24">
        <f t="shared" si="94"/>
        <v>0</v>
      </c>
    </row>
    <row r="1162" spans="1:12" ht="15" customHeight="1" x14ac:dyDescent="0.3">
      <c r="A1162" s="23" t="s">
        <v>13778</v>
      </c>
      <c r="B1162" s="23" t="s">
        <v>79</v>
      </c>
      <c r="C1162" s="39">
        <v>1799</v>
      </c>
      <c r="D1162" s="24">
        <v>32.380000000000003</v>
      </c>
      <c r="E1162" s="24">
        <v>5.83</v>
      </c>
      <c r="F1162" s="23">
        <f>COUNTIFS(mdr_rate_cleaned!$A$2:$A$10,B1162,mdr_rate_cleaned!$B$2:$B$10,"&lt;"&amp;C1162,mdr_rate_cleaned!$F$2:$F$10,"&gt;="&amp;C1162)</f>
        <v>1</v>
      </c>
      <c r="G1162" s="40">
        <f>SUMIFS(mdr_rate_cleaned!$G$2:$G$10,mdr_rate_cleaned!$A$2:$A$10,B1162,mdr_rate_cleaned!$B$2:$B$10,"&lt;"&amp;C1162,mdr_rate_cleaned!$F$2:$F$10,"&gt;="&amp;C1162)</f>
        <v>1.8000000000000002E-2</v>
      </c>
      <c r="H1162" s="24">
        <f t="shared" si="90"/>
        <v>32.380000000000003</v>
      </c>
      <c r="I1162" s="23" t="str">
        <f t="shared" si="91"/>
        <v>Match</v>
      </c>
      <c r="J1162" s="23" t="str">
        <f t="shared" si="92"/>
        <v>Match</v>
      </c>
      <c r="K1162" s="24">
        <f t="shared" si="93"/>
        <v>5.83</v>
      </c>
      <c r="L1162" s="24">
        <f t="shared" si="94"/>
        <v>0</v>
      </c>
    </row>
    <row r="1163" spans="1:12" ht="15" customHeight="1" x14ac:dyDescent="0.3">
      <c r="A1163" s="23" t="s">
        <v>13780</v>
      </c>
      <c r="B1163" s="23" t="s">
        <v>77</v>
      </c>
      <c r="C1163" s="39">
        <v>349</v>
      </c>
      <c r="D1163" s="24">
        <v>6.63</v>
      </c>
      <c r="E1163" s="24">
        <v>1.19</v>
      </c>
      <c r="F1163" s="23">
        <f>COUNTIFS(mdr_rate_cleaned!$A$2:$A$10,B1163,mdr_rate_cleaned!$B$2:$B$10,"&lt;"&amp;C1163,mdr_rate_cleaned!$F$2:$F$10,"&gt;="&amp;C1163)</f>
        <v>1</v>
      </c>
      <c r="G1163" s="40">
        <f>SUMIFS(mdr_rate_cleaned!$G$2:$G$10,mdr_rate_cleaned!$A$2:$A$10,B1163,mdr_rate_cleaned!$B$2:$B$10,"&lt;"&amp;C1163,mdr_rate_cleaned!$F$2:$F$10,"&gt;="&amp;C1163)</f>
        <v>1.9E-2</v>
      </c>
      <c r="H1163" s="24">
        <f t="shared" si="90"/>
        <v>6.63</v>
      </c>
      <c r="I1163" s="23" t="str">
        <f t="shared" si="91"/>
        <v>Match</v>
      </c>
      <c r="J1163" s="23" t="str">
        <f t="shared" si="92"/>
        <v>Match</v>
      </c>
      <c r="K1163" s="24">
        <f t="shared" si="93"/>
        <v>1.19</v>
      </c>
      <c r="L1163" s="24">
        <f t="shared" si="94"/>
        <v>0</v>
      </c>
    </row>
    <row r="1164" spans="1:12" ht="15" customHeight="1" x14ac:dyDescent="0.3">
      <c r="A1164" s="23" t="s">
        <v>13781</v>
      </c>
      <c r="B1164" s="23" t="s">
        <v>75</v>
      </c>
      <c r="C1164" s="39">
        <v>2098</v>
      </c>
      <c r="D1164" s="24">
        <v>6.29</v>
      </c>
      <c r="E1164" s="24">
        <v>1.1299999999999999</v>
      </c>
      <c r="F1164" s="23">
        <f>COUNTIFS(mdr_rate_cleaned!$A$2:$A$10,B1164,mdr_rate_cleaned!$B$2:$B$10,"&lt;"&amp;C1164,mdr_rate_cleaned!$F$2:$F$10,"&gt;="&amp;C1164)</f>
        <v>1</v>
      </c>
      <c r="G1164" s="40">
        <f>SUMIFS(mdr_rate_cleaned!$G$2:$G$10,mdr_rate_cleaned!$A$2:$A$10,B1164,mdr_rate_cleaned!$B$2:$B$10,"&lt;"&amp;C1164,mdr_rate_cleaned!$F$2:$F$10,"&gt;="&amp;C1164)</f>
        <v>3.0000000000000001E-3</v>
      </c>
      <c r="H1164" s="24">
        <f t="shared" si="90"/>
        <v>6.29</v>
      </c>
      <c r="I1164" s="23" t="str">
        <f t="shared" si="91"/>
        <v>Match</v>
      </c>
      <c r="J1164" s="23" t="str">
        <f t="shared" si="92"/>
        <v>Match</v>
      </c>
      <c r="K1164" s="24">
        <f t="shared" si="93"/>
        <v>1.1299999999999999</v>
      </c>
      <c r="L1164" s="24">
        <f t="shared" si="94"/>
        <v>0</v>
      </c>
    </row>
    <row r="1165" spans="1:12" ht="15" customHeight="1" x14ac:dyDescent="0.3">
      <c r="A1165" s="23" t="s">
        <v>13782</v>
      </c>
      <c r="B1165" s="23" t="s">
        <v>79</v>
      </c>
      <c r="C1165" s="39">
        <v>2999</v>
      </c>
      <c r="D1165" s="24">
        <v>47.98</v>
      </c>
      <c r="E1165" s="24">
        <v>8.64</v>
      </c>
      <c r="F1165" s="23">
        <f>COUNTIFS(mdr_rate_cleaned!$A$2:$A$10,B1165,mdr_rate_cleaned!$B$2:$B$10,"&lt;"&amp;C1165,mdr_rate_cleaned!$F$2:$F$10,"&gt;="&amp;C1165)</f>
        <v>1</v>
      </c>
      <c r="G1165" s="40">
        <f>SUMIFS(mdr_rate_cleaned!$G$2:$G$10,mdr_rate_cleaned!$A$2:$A$10,B1165,mdr_rate_cleaned!$B$2:$B$10,"&lt;"&amp;C1165,mdr_rate_cleaned!$F$2:$F$10,"&gt;="&amp;C1165)</f>
        <v>1.6E-2</v>
      </c>
      <c r="H1165" s="24">
        <f t="shared" si="90"/>
        <v>47.98</v>
      </c>
      <c r="I1165" s="23" t="str">
        <f t="shared" si="91"/>
        <v>Match</v>
      </c>
      <c r="J1165" s="23" t="str">
        <f t="shared" si="92"/>
        <v>Match</v>
      </c>
      <c r="K1165" s="24">
        <f t="shared" si="93"/>
        <v>8.64</v>
      </c>
      <c r="L1165" s="24">
        <f t="shared" si="94"/>
        <v>0</v>
      </c>
    </row>
    <row r="1166" spans="1:12" ht="15" customHeight="1" x14ac:dyDescent="0.3">
      <c r="A1166" s="23" t="s">
        <v>13783</v>
      </c>
      <c r="B1166" s="23" t="s">
        <v>77</v>
      </c>
      <c r="C1166" s="39">
        <v>799</v>
      </c>
      <c r="D1166" s="24">
        <v>15.18</v>
      </c>
      <c r="E1166" s="24">
        <v>2.73</v>
      </c>
      <c r="F1166" s="23">
        <f>COUNTIFS(mdr_rate_cleaned!$A$2:$A$10,B1166,mdr_rate_cleaned!$B$2:$B$10,"&lt;"&amp;C1166,mdr_rate_cleaned!$F$2:$F$10,"&gt;="&amp;C1166)</f>
        <v>1</v>
      </c>
      <c r="G1166" s="40">
        <f>SUMIFS(mdr_rate_cleaned!$G$2:$G$10,mdr_rate_cleaned!$A$2:$A$10,B1166,mdr_rate_cleaned!$B$2:$B$10,"&lt;"&amp;C1166,mdr_rate_cleaned!$F$2:$F$10,"&gt;="&amp;C1166)</f>
        <v>1.9E-2</v>
      </c>
      <c r="H1166" s="24">
        <f t="shared" si="90"/>
        <v>15.18</v>
      </c>
      <c r="I1166" s="23" t="str">
        <f t="shared" si="91"/>
        <v>Match</v>
      </c>
      <c r="J1166" s="23" t="str">
        <f t="shared" si="92"/>
        <v>Match</v>
      </c>
      <c r="K1166" s="24">
        <f t="shared" si="93"/>
        <v>2.73</v>
      </c>
      <c r="L1166" s="24">
        <f t="shared" si="94"/>
        <v>0</v>
      </c>
    </row>
    <row r="1167" spans="1:12" ht="15" customHeight="1" x14ac:dyDescent="0.3">
      <c r="A1167" s="23" t="s">
        <v>13785</v>
      </c>
      <c r="B1167" s="23" t="s">
        <v>79</v>
      </c>
      <c r="C1167" s="39">
        <v>5348</v>
      </c>
      <c r="D1167" s="24">
        <v>85.57</v>
      </c>
      <c r="E1167" s="24">
        <v>15.4</v>
      </c>
      <c r="F1167" s="23">
        <f>COUNTIFS(mdr_rate_cleaned!$A$2:$A$10,B1167,mdr_rate_cleaned!$B$2:$B$10,"&lt;"&amp;C1167,mdr_rate_cleaned!$F$2:$F$10,"&gt;="&amp;C1167)</f>
        <v>1</v>
      </c>
      <c r="G1167" s="40">
        <f>SUMIFS(mdr_rate_cleaned!$G$2:$G$10,mdr_rate_cleaned!$A$2:$A$10,B1167,mdr_rate_cleaned!$B$2:$B$10,"&lt;"&amp;C1167,mdr_rate_cleaned!$F$2:$F$10,"&gt;="&amp;C1167)</f>
        <v>1.6E-2</v>
      </c>
      <c r="H1167" s="24">
        <f t="shared" si="90"/>
        <v>85.57</v>
      </c>
      <c r="I1167" s="23" t="str">
        <f t="shared" si="91"/>
        <v>Match</v>
      </c>
      <c r="J1167" s="23" t="str">
        <f t="shared" si="92"/>
        <v>Match</v>
      </c>
      <c r="K1167" s="24">
        <f t="shared" si="93"/>
        <v>15.4</v>
      </c>
      <c r="L1167" s="24">
        <f t="shared" si="94"/>
        <v>0</v>
      </c>
    </row>
    <row r="1168" spans="1:12" ht="15" customHeight="1" x14ac:dyDescent="0.3">
      <c r="A1168" s="23" t="s">
        <v>13786</v>
      </c>
      <c r="B1168" s="23" t="s">
        <v>75</v>
      </c>
      <c r="C1168" s="39">
        <v>1498</v>
      </c>
      <c r="D1168" s="24">
        <v>0</v>
      </c>
      <c r="E1168" s="24">
        <v>0</v>
      </c>
      <c r="F1168" s="23">
        <f>COUNTIFS(mdr_rate_cleaned!$A$2:$A$10,B1168,mdr_rate_cleaned!$B$2:$B$10,"&lt;"&amp;C1168,mdr_rate_cleaned!$F$2:$F$10,"&gt;="&amp;C1168)</f>
        <v>1</v>
      </c>
      <c r="G1168" s="40">
        <f>SUMIFS(mdr_rate_cleaned!$G$2:$G$10,mdr_rate_cleaned!$A$2:$A$10,B1168,mdr_rate_cleaned!$B$2:$B$10,"&lt;"&amp;C1168,mdr_rate_cleaned!$F$2:$F$10,"&gt;="&amp;C1168)</f>
        <v>0</v>
      </c>
      <c r="H1168" s="24">
        <f t="shared" si="90"/>
        <v>0</v>
      </c>
      <c r="I1168" s="23" t="str">
        <f t="shared" si="91"/>
        <v>Match</v>
      </c>
      <c r="J1168" s="23" t="str">
        <f t="shared" si="92"/>
        <v>Match</v>
      </c>
      <c r="K1168" s="24">
        <f t="shared" si="93"/>
        <v>0</v>
      </c>
      <c r="L1168" s="24">
        <f t="shared" si="94"/>
        <v>0</v>
      </c>
    </row>
    <row r="1169" spans="1:12" ht="15" customHeight="1" x14ac:dyDescent="0.3">
      <c r="A1169" s="23" t="s">
        <v>13787</v>
      </c>
      <c r="B1169" s="23" t="s">
        <v>77</v>
      </c>
      <c r="C1169" s="39">
        <v>4999</v>
      </c>
      <c r="D1169" s="24">
        <v>84.98</v>
      </c>
      <c r="E1169" s="24">
        <v>15.3</v>
      </c>
      <c r="F1169" s="23">
        <f>COUNTIFS(mdr_rate_cleaned!$A$2:$A$10,B1169,mdr_rate_cleaned!$B$2:$B$10,"&lt;"&amp;C1169,mdr_rate_cleaned!$F$2:$F$10,"&gt;="&amp;C1169)</f>
        <v>1</v>
      </c>
      <c r="G1169" s="40">
        <f>SUMIFS(mdr_rate_cleaned!$G$2:$G$10,mdr_rate_cleaned!$A$2:$A$10,B1169,mdr_rate_cleaned!$B$2:$B$10,"&lt;"&amp;C1169,mdr_rate_cleaned!$F$2:$F$10,"&gt;="&amp;C1169)</f>
        <v>1.7000000000000001E-2</v>
      </c>
      <c r="H1169" s="24">
        <f t="shared" si="90"/>
        <v>84.98</v>
      </c>
      <c r="I1169" s="23" t="str">
        <f t="shared" si="91"/>
        <v>Match</v>
      </c>
      <c r="J1169" s="23" t="str">
        <f t="shared" si="92"/>
        <v>Match</v>
      </c>
      <c r="K1169" s="24">
        <f t="shared" si="93"/>
        <v>15.3</v>
      </c>
      <c r="L1169" s="24">
        <f t="shared" si="94"/>
        <v>0</v>
      </c>
    </row>
    <row r="1170" spans="1:12" ht="15" customHeight="1" x14ac:dyDescent="0.3">
      <c r="A1170" s="23" t="s">
        <v>13788</v>
      </c>
      <c r="B1170" s="23" t="s">
        <v>75</v>
      </c>
      <c r="C1170" s="39">
        <v>8297</v>
      </c>
      <c r="D1170" s="24">
        <v>24.89</v>
      </c>
      <c r="E1170" s="24">
        <v>4.4800000000000004</v>
      </c>
      <c r="F1170" s="23">
        <f>COUNTIFS(mdr_rate_cleaned!$A$2:$A$10,B1170,mdr_rate_cleaned!$B$2:$B$10,"&lt;"&amp;C1170,mdr_rate_cleaned!$F$2:$F$10,"&gt;="&amp;C1170)</f>
        <v>1</v>
      </c>
      <c r="G1170" s="40">
        <f>SUMIFS(mdr_rate_cleaned!$G$2:$G$10,mdr_rate_cleaned!$A$2:$A$10,B1170,mdr_rate_cleaned!$B$2:$B$10,"&lt;"&amp;C1170,mdr_rate_cleaned!$F$2:$F$10,"&gt;="&amp;C1170)</f>
        <v>3.0000000000000001E-3</v>
      </c>
      <c r="H1170" s="24">
        <f t="shared" si="90"/>
        <v>24.89</v>
      </c>
      <c r="I1170" s="23" t="str">
        <f t="shared" si="91"/>
        <v>Match</v>
      </c>
      <c r="J1170" s="23" t="str">
        <f t="shared" si="92"/>
        <v>Match</v>
      </c>
      <c r="K1170" s="24">
        <f t="shared" si="93"/>
        <v>4.4800000000000004</v>
      </c>
      <c r="L1170" s="24">
        <f t="shared" si="94"/>
        <v>0</v>
      </c>
    </row>
    <row r="1171" spans="1:12" ht="15" customHeight="1" x14ac:dyDescent="0.3">
      <c r="A1171" s="23" t="s">
        <v>13789</v>
      </c>
      <c r="B1171" s="23" t="s">
        <v>79</v>
      </c>
      <c r="C1171" s="39">
        <v>599</v>
      </c>
      <c r="D1171" s="24">
        <v>10.78</v>
      </c>
      <c r="E1171" s="24">
        <v>1.94</v>
      </c>
      <c r="F1171" s="23">
        <f>COUNTIFS(mdr_rate_cleaned!$A$2:$A$10,B1171,mdr_rate_cleaned!$B$2:$B$10,"&lt;"&amp;C1171,mdr_rate_cleaned!$F$2:$F$10,"&gt;="&amp;C1171)</f>
        <v>1</v>
      </c>
      <c r="G1171" s="40">
        <f>SUMIFS(mdr_rate_cleaned!$G$2:$G$10,mdr_rate_cleaned!$A$2:$A$10,B1171,mdr_rate_cleaned!$B$2:$B$10,"&lt;"&amp;C1171,mdr_rate_cleaned!$F$2:$F$10,"&gt;="&amp;C1171)</f>
        <v>1.8000000000000002E-2</v>
      </c>
      <c r="H1171" s="24">
        <f t="shared" si="90"/>
        <v>10.78</v>
      </c>
      <c r="I1171" s="23" t="str">
        <f t="shared" si="91"/>
        <v>Match</v>
      </c>
      <c r="J1171" s="23" t="str">
        <f t="shared" si="92"/>
        <v>Match</v>
      </c>
      <c r="K1171" s="24">
        <f t="shared" si="93"/>
        <v>1.94</v>
      </c>
      <c r="L1171" s="24">
        <f t="shared" si="94"/>
        <v>0</v>
      </c>
    </row>
    <row r="1172" spans="1:12" ht="15" customHeight="1" x14ac:dyDescent="0.3">
      <c r="A1172" s="23" t="s">
        <v>13790</v>
      </c>
      <c r="B1172" s="23" t="s">
        <v>75</v>
      </c>
      <c r="C1172" s="39">
        <v>599</v>
      </c>
      <c r="D1172" s="24">
        <v>0</v>
      </c>
      <c r="E1172" s="24">
        <v>0</v>
      </c>
      <c r="F1172" s="23">
        <f>COUNTIFS(mdr_rate_cleaned!$A$2:$A$10,B1172,mdr_rate_cleaned!$B$2:$B$10,"&lt;"&amp;C1172,mdr_rate_cleaned!$F$2:$F$10,"&gt;="&amp;C1172)</f>
        <v>1</v>
      </c>
      <c r="G1172" s="40">
        <f>SUMIFS(mdr_rate_cleaned!$G$2:$G$10,mdr_rate_cleaned!$A$2:$A$10,B1172,mdr_rate_cleaned!$B$2:$B$10,"&lt;"&amp;C1172,mdr_rate_cleaned!$F$2:$F$10,"&gt;="&amp;C1172)</f>
        <v>0</v>
      </c>
      <c r="H1172" s="24">
        <f t="shared" si="90"/>
        <v>0</v>
      </c>
      <c r="I1172" s="23" t="str">
        <f t="shared" si="91"/>
        <v>Match</v>
      </c>
      <c r="J1172" s="23" t="str">
        <f t="shared" si="92"/>
        <v>Match</v>
      </c>
      <c r="K1172" s="24">
        <f t="shared" si="93"/>
        <v>0</v>
      </c>
      <c r="L1172" s="24">
        <f t="shared" si="94"/>
        <v>0</v>
      </c>
    </row>
    <row r="1173" spans="1:12" ht="15" customHeight="1" x14ac:dyDescent="0.3">
      <c r="A1173" s="23" t="s">
        <v>13791</v>
      </c>
      <c r="B1173" s="23" t="s">
        <v>79</v>
      </c>
      <c r="C1173" s="39">
        <v>1799</v>
      </c>
      <c r="D1173" s="24">
        <v>32.380000000000003</v>
      </c>
      <c r="E1173" s="24">
        <v>5.83</v>
      </c>
      <c r="F1173" s="23">
        <f>COUNTIFS(mdr_rate_cleaned!$A$2:$A$10,B1173,mdr_rate_cleaned!$B$2:$B$10,"&lt;"&amp;C1173,mdr_rate_cleaned!$F$2:$F$10,"&gt;="&amp;C1173)</f>
        <v>1</v>
      </c>
      <c r="G1173" s="40">
        <f>SUMIFS(mdr_rate_cleaned!$G$2:$G$10,mdr_rate_cleaned!$A$2:$A$10,B1173,mdr_rate_cleaned!$B$2:$B$10,"&lt;"&amp;C1173,mdr_rate_cleaned!$F$2:$F$10,"&gt;="&amp;C1173)</f>
        <v>1.8000000000000002E-2</v>
      </c>
      <c r="H1173" s="24">
        <f t="shared" si="90"/>
        <v>32.380000000000003</v>
      </c>
      <c r="I1173" s="23" t="str">
        <f t="shared" si="91"/>
        <v>Match</v>
      </c>
      <c r="J1173" s="23" t="str">
        <f t="shared" si="92"/>
        <v>Match</v>
      </c>
      <c r="K1173" s="24">
        <f t="shared" si="93"/>
        <v>5.83</v>
      </c>
      <c r="L1173" s="24">
        <f t="shared" si="94"/>
        <v>0</v>
      </c>
    </row>
    <row r="1174" spans="1:12" ht="15" customHeight="1" x14ac:dyDescent="0.3">
      <c r="A1174" s="23" t="s">
        <v>13792</v>
      </c>
      <c r="B1174" s="23" t="s">
        <v>75</v>
      </c>
      <c r="C1174" s="39">
        <v>599</v>
      </c>
      <c r="D1174" s="24">
        <v>0</v>
      </c>
      <c r="E1174" s="24">
        <v>0</v>
      </c>
      <c r="F1174" s="23">
        <f>COUNTIFS(mdr_rate_cleaned!$A$2:$A$10,B1174,mdr_rate_cleaned!$B$2:$B$10,"&lt;"&amp;C1174,mdr_rate_cleaned!$F$2:$F$10,"&gt;="&amp;C1174)</f>
        <v>1</v>
      </c>
      <c r="G1174" s="40">
        <f>SUMIFS(mdr_rate_cleaned!$G$2:$G$10,mdr_rate_cleaned!$A$2:$A$10,B1174,mdr_rate_cleaned!$B$2:$B$10,"&lt;"&amp;C1174,mdr_rate_cleaned!$F$2:$F$10,"&gt;="&amp;C1174)</f>
        <v>0</v>
      </c>
      <c r="H1174" s="24">
        <f t="shared" si="90"/>
        <v>0</v>
      </c>
      <c r="I1174" s="23" t="str">
        <f t="shared" si="91"/>
        <v>Match</v>
      </c>
      <c r="J1174" s="23" t="str">
        <f t="shared" si="92"/>
        <v>Match</v>
      </c>
      <c r="K1174" s="24">
        <f t="shared" si="93"/>
        <v>0</v>
      </c>
      <c r="L1174" s="24">
        <f t="shared" si="94"/>
        <v>0</v>
      </c>
    </row>
    <row r="1175" spans="1:12" ht="15" customHeight="1" x14ac:dyDescent="0.3">
      <c r="A1175" s="23" t="s">
        <v>13793</v>
      </c>
      <c r="B1175" s="23" t="s">
        <v>77</v>
      </c>
      <c r="C1175" s="39">
        <v>4298</v>
      </c>
      <c r="D1175" s="24">
        <v>73.069999999999993</v>
      </c>
      <c r="E1175" s="24">
        <v>13.15</v>
      </c>
      <c r="F1175" s="23">
        <f>COUNTIFS(mdr_rate_cleaned!$A$2:$A$10,B1175,mdr_rate_cleaned!$B$2:$B$10,"&lt;"&amp;C1175,mdr_rate_cleaned!$F$2:$F$10,"&gt;="&amp;C1175)</f>
        <v>1</v>
      </c>
      <c r="G1175" s="40">
        <f>SUMIFS(mdr_rate_cleaned!$G$2:$G$10,mdr_rate_cleaned!$A$2:$A$10,B1175,mdr_rate_cleaned!$B$2:$B$10,"&lt;"&amp;C1175,mdr_rate_cleaned!$F$2:$F$10,"&gt;="&amp;C1175)</f>
        <v>1.7000000000000001E-2</v>
      </c>
      <c r="H1175" s="24">
        <f t="shared" si="90"/>
        <v>73.069999999999993</v>
      </c>
      <c r="I1175" s="23" t="str">
        <f t="shared" si="91"/>
        <v>Match</v>
      </c>
      <c r="J1175" s="23" t="str">
        <f t="shared" si="92"/>
        <v>Match</v>
      </c>
      <c r="K1175" s="24">
        <f t="shared" si="93"/>
        <v>13.15</v>
      </c>
      <c r="L1175" s="24">
        <f t="shared" si="94"/>
        <v>0</v>
      </c>
    </row>
    <row r="1176" spans="1:12" ht="15" customHeight="1" x14ac:dyDescent="0.3">
      <c r="A1176" s="23" t="s">
        <v>13794</v>
      </c>
      <c r="B1176" s="23" t="s">
        <v>79</v>
      </c>
      <c r="C1176" s="39">
        <v>2999</v>
      </c>
      <c r="D1176" s="24">
        <v>47.98</v>
      </c>
      <c r="E1176" s="24">
        <v>8.64</v>
      </c>
      <c r="F1176" s="23">
        <f>COUNTIFS(mdr_rate_cleaned!$A$2:$A$10,B1176,mdr_rate_cleaned!$B$2:$B$10,"&lt;"&amp;C1176,mdr_rate_cleaned!$F$2:$F$10,"&gt;="&amp;C1176)</f>
        <v>1</v>
      </c>
      <c r="G1176" s="40">
        <f>SUMIFS(mdr_rate_cleaned!$G$2:$G$10,mdr_rate_cleaned!$A$2:$A$10,B1176,mdr_rate_cleaned!$B$2:$B$10,"&lt;"&amp;C1176,mdr_rate_cleaned!$F$2:$F$10,"&gt;="&amp;C1176)</f>
        <v>1.6E-2</v>
      </c>
      <c r="H1176" s="24">
        <f t="shared" si="90"/>
        <v>47.98</v>
      </c>
      <c r="I1176" s="23" t="str">
        <f t="shared" si="91"/>
        <v>Match</v>
      </c>
      <c r="J1176" s="23" t="str">
        <f t="shared" si="92"/>
        <v>Match</v>
      </c>
      <c r="K1176" s="24">
        <f t="shared" si="93"/>
        <v>8.64</v>
      </c>
      <c r="L1176" s="24">
        <f t="shared" si="94"/>
        <v>0</v>
      </c>
    </row>
    <row r="1177" spans="1:12" ht="15" customHeight="1" x14ac:dyDescent="0.3">
      <c r="A1177" s="23" t="s">
        <v>13795</v>
      </c>
      <c r="B1177" s="23" t="s">
        <v>75</v>
      </c>
      <c r="C1177" s="39">
        <v>7999</v>
      </c>
      <c r="D1177" s="24">
        <v>24</v>
      </c>
      <c r="E1177" s="24">
        <v>4.32</v>
      </c>
      <c r="F1177" s="23">
        <f>COUNTIFS(mdr_rate_cleaned!$A$2:$A$10,B1177,mdr_rate_cleaned!$B$2:$B$10,"&lt;"&amp;C1177,mdr_rate_cleaned!$F$2:$F$10,"&gt;="&amp;C1177)</f>
        <v>1</v>
      </c>
      <c r="G1177" s="40">
        <f>SUMIFS(mdr_rate_cleaned!$G$2:$G$10,mdr_rate_cleaned!$A$2:$A$10,B1177,mdr_rate_cleaned!$B$2:$B$10,"&lt;"&amp;C1177,mdr_rate_cleaned!$F$2:$F$10,"&gt;="&amp;C1177)</f>
        <v>3.0000000000000001E-3</v>
      </c>
      <c r="H1177" s="24">
        <f t="shared" si="90"/>
        <v>24</v>
      </c>
      <c r="I1177" s="23" t="str">
        <f t="shared" si="91"/>
        <v>Match</v>
      </c>
      <c r="J1177" s="23" t="str">
        <f t="shared" si="92"/>
        <v>Match</v>
      </c>
      <c r="K1177" s="24">
        <f t="shared" si="93"/>
        <v>4.32</v>
      </c>
      <c r="L1177" s="24">
        <f t="shared" si="94"/>
        <v>0</v>
      </c>
    </row>
    <row r="1178" spans="1:12" ht="15" customHeight="1" x14ac:dyDescent="0.3">
      <c r="A1178" s="23" t="s">
        <v>13796</v>
      </c>
      <c r="B1178" s="23" t="s">
        <v>79</v>
      </c>
      <c r="C1178" s="39">
        <v>2999</v>
      </c>
      <c r="D1178" s="24">
        <v>47.98</v>
      </c>
      <c r="E1178" s="24">
        <v>8.64</v>
      </c>
      <c r="F1178" s="23">
        <f>COUNTIFS(mdr_rate_cleaned!$A$2:$A$10,B1178,mdr_rate_cleaned!$B$2:$B$10,"&lt;"&amp;C1178,mdr_rate_cleaned!$F$2:$F$10,"&gt;="&amp;C1178)</f>
        <v>1</v>
      </c>
      <c r="G1178" s="40">
        <f>SUMIFS(mdr_rate_cleaned!$G$2:$G$10,mdr_rate_cleaned!$A$2:$A$10,B1178,mdr_rate_cleaned!$B$2:$B$10,"&lt;"&amp;C1178,mdr_rate_cleaned!$F$2:$F$10,"&gt;="&amp;C1178)</f>
        <v>1.6E-2</v>
      </c>
      <c r="H1178" s="24">
        <f t="shared" si="90"/>
        <v>47.98</v>
      </c>
      <c r="I1178" s="23" t="str">
        <f t="shared" si="91"/>
        <v>Match</v>
      </c>
      <c r="J1178" s="23" t="str">
        <f t="shared" si="92"/>
        <v>Match</v>
      </c>
      <c r="K1178" s="24">
        <f t="shared" si="93"/>
        <v>8.64</v>
      </c>
      <c r="L1178" s="24">
        <f t="shared" si="94"/>
        <v>0</v>
      </c>
    </row>
    <row r="1179" spans="1:12" ht="15" customHeight="1" x14ac:dyDescent="0.3">
      <c r="A1179" s="23" t="s">
        <v>13797</v>
      </c>
      <c r="B1179" s="23" t="s">
        <v>75</v>
      </c>
      <c r="C1179" s="39">
        <v>3397</v>
      </c>
      <c r="D1179" s="24">
        <v>10.19</v>
      </c>
      <c r="E1179" s="24">
        <v>1.83</v>
      </c>
      <c r="F1179" s="23">
        <f>COUNTIFS(mdr_rate_cleaned!$A$2:$A$10,B1179,mdr_rate_cleaned!$B$2:$B$10,"&lt;"&amp;C1179,mdr_rate_cleaned!$F$2:$F$10,"&gt;="&amp;C1179)</f>
        <v>1</v>
      </c>
      <c r="G1179" s="40">
        <f>SUMIFS(mdr_rate_cleaned!$G$2:$G$10,mdr_rate_cleaned!$A$2:$A$10,B1179,mdr_rate_cleaned!$B$2:$B$10,"&lt;"&amp;C1179,mdr_rate_cleaned!$F$2:$F$10,"&gt;="&amp;C1179)</f>
        <v>3.0000000000000001E-3</v>
      </c>
      <c r="H1179" s="24">
        <f t="shared" si="90"/>
        <v>10.19</v>
      </c>
      <c r="I1179" s="23" t="str">
        <f t="shared" si="91"/>
        <v>Match</v>
      </c>
      <c r="J1179" s="23" t="str">
        <f t="shared" si="92"/>
        <v>Match</v>
      </c>
      <c r="K1179" s="24">
        <f t="shared" si="93"/>
        <v>1.83</v>
      </c>
      <c r="L1179" s="24">
        <f t="shared" si="94"/>
        <v>0</v>
      </c>
    </row>
    <row r="1180" spans="1:12" ht="15" customHeight="1" x14ac:dyDescent="0.3">
      <c r="A1180" s="23" t="s">
        <v>13799</v>
      </c>
      <c r="B1180" s="23" t="s">
        <v>75</v>
      </c>
      <c r="C1180" s="39">
        <v>6298</v>
      </c>
      <c r="D1180" s="24">
        <v>18.89</v>
      </c>
      <c r="E1180" s="24">
        <v>3.4</v>
      </c>
      <c r="F1180" s="23">
        <f>COUNTIFS(mdr_rate_cleaned!$A$2:$A$10,B1180,mdr_rate_cleaned!$B$2:$B$10,"&lt;"&amp;C1180,mdr_rate_cleaned!$F$2:$F$10,"&gt;="&amp;C1180)</f>
        <v>1</v>
      </c>
      <c r="G1180" s="40">
        <f>SUMIFS(mdr_rate_cleaned!$G$2:$G$10,mdr_rate_cleaned!$A$2:$A$10,B1180,mdr_rate_cleaned!$B$2:$B$10,"&lt;"&amp;C1180,mdr_rate_cleaned!$F$2:$F$10,"&gt;="&amp;C1180)</f>
        <v>3.0000000000000001E-3</v>
      </c>
      <c r="H1180" s="24">
        <f t="shared" si="90"/>
        <v>18.89</v>
      </c>
      <c r="I1180" s="23" t="str">
        <f t="shared" si="91"/>
        <v>Match</v>
      </c>
      <c r="J1180" s="23" t="str">
        <f t="shared" si="92"/>
        <v>Match</v>
      </c>
      <c r="K1180" s="24">
        <f t="shared" si="93"/>
        <v>3.4</v>
      </c>
      <c r="L1180" s="24">
        <f t="shared" si="94"/>
        <v>0</v>
      </c>
    </row>
    <row r="1181" spans="1:12" ht="15" customHeight="1" x14ac:dyDescent="0.3">
      <c r="A1181" s="23" t="s">
        <v>13800</v>
      </c>
      <c r="B1181" s="23" t="s">
        <v>79</v>
      </c>
      <c r="C1181" s="39">
        <v>599</v>
      </c>
      <c r="D1181" s="24">
        <v>10.78</v>
      </c>
      <c r="E1181" s="24">
        <v>1.94</v>
      </c>
      <c r="F1181" s="23">
        <f>COUNTIFS(mdr_rate_cleaned!$A$2:$A$10,B1181,mdr_rate_cleaned!$B$2:$B$10,"&lt;"&amp;C1181,mdr_rate_cleaned!$F$2:$F$10,"&gt;="&amp;C1181)</f>
        <v>1</v>
      </c>
      <c r="G1181" s="40">
        <f>SUMIFS(mdr_rate_cleaned!$G$2:$G$10,mdr_rate_cleaned!$A$2:$A$10,B1181,mdr_rate_cleaned!$B$2:$B$10,"&lt;"&amp;C1181,mdr_rate_cleaned!$F$2:$F$10,"&gt;="&amp;C1181)</f>
        <v>1.8000000000000002E-2</v>
      </c>
      <c r="H1181" s="24">
        <f t="shared" si="90"/>
        <v>10.78</v>
      </c>
      <c r="I1181" s="23" t="str">
        <f t="shared" si="91"/>
        <v>Match</v>
      </c>
      <c r="J1181" s="23" t="str">
        <f t="shared" si="92"/>
        <v>Match</v>
      </c>
      <c r="K1181" s="24">
        <f t="shared" si="93"/>
        <v>1.94</v>
      </c>
      <c r="L1181" s="24">
        <f t="shared" si="94"/>
        <v>0</v>
      </c>
    </row>
    <row r="1182" spans="1:12" ht="15" customHeight="1" x14ac:dyDescent="0.3">
      <c r="A1182" s="23" t="s">
        <v>13801</v>
      </c>
      <c r="B1182" s="23" t="s">
        <v>75</v>
      </c>
      <c r="C1182" s="39">
        <v>599</v>
      </c>
      <c r="D1182" s="24">
        <v>0</v>
      </c>
      <c r="E1182" s="24">
        <v>0</v>
      </c>
      <c r="F1182" s="23">
        <f>COUNTIFS(mdr_rate_cleaned!$A$2:$A$10,B1182,mdr_rate_cleaned!$B$2:$B$10,"&lt;"&amp;C1182,mdr_rate_cleaned!$F$2:$F$10,"&gt;="&amp;C1182)</f>
        <v>1</v>
      </c>
      <c r="G1182" s="40">
        <f>SUMIFS(mdr_rate_cleaned!$G$2:$G$10,mdr_rate_cleaned!$A$2:$A$10,B1182,mdr_rate_cleaned!$B$2:$B$10,"&lt;"&amp;C1182,mdr_rate_cleaned!$F$2:$F$10,"&gt;="&amp;C1182)</f>
        <v>0</v>
      </c>
      <c r="H1182" s="24">
        <f t="shared" si="90"/>
        <v>0</v>
      </c>
      <c r="I1182" s="23" t="str">
        <f t="shared" si="91"/>
        <v>Match</v>
      </c>
      <c r="J1182" s="23" t="str">
        <f t="shared" si="92"/>
        <v>Match</v>
      </c>
      <c r="K1182" s="24">
        <f t="shared" si="93"/>
        <v>0</v>
      </c>
      <c r="L1182" s="24">
        <f t="shared" si="94"/>
        <v>0</v>
      </c>
    </row>
    <row r="1183" spans="1:12" ht="15" customHeight="1" x14ac:dyDescent="0.3">
      <c r="A1183" s="23" t="s">
        <v>13803</v>
      </c>
      <c r="B1183" s="23" t="s">
        <v>75</v>
      </c>
      <c r="C1183" s="39">
        <v>1598</v>
      </c>
      <c r="D1183" s="24">
        <v>0</v>
      </c>
      <c r="E1183" s="24">
        <v>0</v>
      </c>
      <c r="F1183" s="23">
        <f>COUNTIFS(mdr_rate_cleaned!$A$2:$A$10,B1183,mdr_rate_cleaned!$B$2:$B$10,"&lt;"&amp;C1183,mdr_rate_cleaned!$F$2:$F$10,"&gt;="&amp;C1183)</f>
        <v>1</v>
      </c>
      <c r="G1183" s="40">
        <f>SUMIFS(mdr_rate_cleaned!$G$2:$G$10,mdr_rate_cleaned!$A$2:$A$10,B1183,mdr_rate_cleaned!$B$2:$B$10,"&lt;"&amp;C1183,mdr_rate_cleaned!$F$2:$F$10,"&gt;="&amp;C1183)</f>
        <v>0</v>
      </c>
      <c r="H1183" s="24">
        <f t="shared" si="90"/>
        <v>0</v>
      </c>
      <c r="I1183" s="23" t="str">
        <f t="shared" si="91"/>
        <v>Match</v>
      </c>
      <c r="J1183" s="23" t="str">
        <f t="shared" si="92"/>
        <v>Match</v>
      </c>
      <c r="K1183" s="24">
        <f t="shared" si="93"/>
        <v>0</v>
      </c>
      <c r="L1183" s="24">
        <f t="shared" si="94"/>
        <v>0</v>
      </c>
    </row>
    <row r="1184" spans="1:12" ht="15" customHeight="1" x14ac:dyDescent="0.3">
      <c r="A1184" s="23" t="s">
        <v>13804</v>
      </c>
      <c r="B1184" s="23" t="s">
        <v>75</v>
      </c>
      <c r="C1184" s="39">
        <v>8998</v>
      </c>
      <c r="D1184" s="24">
        <v>26.99</v>
      </c>
      <c r="E1184" s="24">
        <v>4.8600000000000003</v>
      </c>
      <c r="F1184" s="23">
        <f>COUNTIFS(mdr_rate_cleaned!$A$2:$A$10,B1184,mdr_rate_cleaned!$B$2:$B$10,"&lt;"&amp;C1184,mdr_rate_cleaned!$F$2:$F$10,"&gt;="&amp;C1184)</f>
        <v>1</v>
      </c>
      <c r="G1184" s="40">
        <f>SUMIFS(mdr_rate_cleaned!$G$2:$G$10,mdr_rate_cleaned!$A$2:$A$10,B1184,mdr_rate_cleaned!$B$2:$B$10,"&lt;"&amp;C1184,mdr_rate_cleaned!$F$2:$F$10,"&gt;="&amp;C1184)</f>
        <v>3.0000000000000001E-3</v>
      </c>
      <c r="H1184" s="24">
        <f t="shared" si="90"/>
        <v>26.99</v>
      </c>
      <c r="I1184" s="23" t="str">
        <f t="shared" si="91"/>
        <v>Match</v>
      </c>
      <c r="J1184" s="23" t="str">
        <f t="shared" si="92"/>
        <v>Match</v>
      </c>
      <c r="K1184" s="24">
        <f t="shared" si="93"/>
        <v>4.8600000000000003</v>
      </c>
      <c r="L1184" s="24">
        <f t="shared" si="94"/>
        <v>0</v>
      </c>
    </row>
    <row r="1185" spans="1:12" ht="15" customHeight="1" x14ac:dyDescent="0.3">
      <c r="A1185" s="23" t="s">
        <v>13805</v>
      </c>
      <c r="B1185" s="23" t="s">
        <v>75</v>
      </c>
      <c r="C1185" s="39">
        <v>4798</v>
      </c>
      <c r="D1185" s="24">
        <v>14.39</v>
      </c>
      <c r="E1185" s="24">
        <v>2.59</v>
      </c>
      <c r="F1185" s="23">
        <f>COUNTIFS(mdr_rate_cleaned!$A$2:$A$10,B1185,mdr_rate_cleaned!$B$2:$B$10,"&lt;"&amp;C1185,mdr_rate_cleaned!$F$2:$F$10,"&gt;="&amp;C1185)</f>
        <v>1</v>
      </c>
      <c r="G1185" s="40">
        <f>SUMIFS(mdr_rate_cleaned!$G$2:$G$10,mdr_rate_cleaned!$A$2:$A$10,B1185,mdr_rate_cleaned!$B$2:$B$10,"&lt;"&amp;C1185,mdr_rate_cleaned!$F$2:$F$10,"&gt;="&amp;C1185)</f>
        <v>3.0000000000000001E-3</v>
      </c>
      <c r="H1185" s="24">
        <f t="shared" si="90"/>
        <v>14.39</v>
      </c>
      <c r="I1185" s="23" t="str">
        <f t="shared" si="91"/>
        <v>Match</v>
      </c>
      <c r="J1185" s="23" t="str">
        <f t="shared" si="92"/>
        <v>Match</v>
      </c>
      <c r="K1185" s="24">
        <f t="shared" si="93"/>
        <v>2.59</v>
      </c>
      <c r="L1185" s="24">
        <f t="shared" si="94"/>
        <v>0</v>
      </c>
    </row>
    <row r="1186" spans="1:12" ht="15" customHeight="1" x14ac:dyDescent="0.3">
      <c r="A1186" s="23" t="s">
        <v>13806</v>
      </c>
      <c r="B1186" s="23" t="s">
        <v>79</v>
      </c>
      <c r="C1186" s="39">
        <v>1798</v>
      </c>
      <c r="D1186" s="24">
        <v>32.36</v>
      </c>
      <c r="E1186" s="24">
        <v>5.82</v>
      </c>
      <c r="F1186" s="23">
        <f>COUNTIFS(mdr_rate_cleaned!$A$2:$A$10,B1186,mdr_rate_cleaned!$B$2:$B$10,"&lt;"&amp;C1186,mdr_rate_cleaned!$F$2:$F$10,"&gt;="&amp;C1186)</f>
        <v>1</v>
      </c>
      <c r="G1186" s="40">
        <f>SUMIFS(mdr_rate_cleaned!$G$2:$G$10,mdr_rate_cleaned!$A$2:$A$10,B1186,mdr_rate_cleaned!$B$2:$B$10,"&lt;"&amp;C1186,mdr_rate_cleaned!$F$2:$F$10,"&gt;="&amp;C1186)</f>
        <v>1.8000000000000002E-2</v>
      </c>
      <c r="H1186" s="24">
        <f t="shared" si="90"/>
        <v>32.36</v>
      </c>
      <c r="I1186" s="23" t="str">
        <f t="shared" si="91"/>
        <v>Match</v>
      </c>
      <c r="J1186" s="23" t="str">
        <f t="shared" si="92"/>
        <v>Match</v>
      </c>
      <c r="K1186" s="24">
        <f t="shared" si="93"/>
        <v>5.82</v>
      </c>
      <c r="L1186" s="24">
        <f t="shared" si="94"/>
        <v>0</v>
      </c>
    </row>
    <row r="1187" spans="1:12" ht="15" customHeight="1" x14ac:dyDescent="0.3">
      <c r="A1187" s="23" t="s">
        <v>13807</v>
      </c>
      <c r="B1187" s="23" t="s">
        <v>79</v>
      </c>
      <c r="C1187" s="39">
        <v>4999</v>
      </c>
      <c r="D1187" s="24">
        <v>79.98</v>
      </c>
      <c r="E1187" s="24">
        <v>14.4</v>
      </c>
      <c r="F1187" s="23">
        <f>COUNTIFS(mdr_rate_cleaned!$A$2:$A$10,B1187,mdr_rate_cleaned!$B$2:$B$10,"&lt;"&amp;C1187,mdr_rate_cleaned!$F$2:$F$10,"&gt;="&amp;C1187)</f>
        <v>1</v>
      </c>
      <c r="G1187" s="40">
        <f>SUMIFS(mdr_rate_cleaned!$G$2:$G$10,mdr_rate_cleaned!$A$2:$A$10,B1187,mdr_rate_cleaned!$B$2:$B$10,"&lt;"&amp;C1187,mdr_rate_cleaned!$F$2:$F$10,"&gt;="&amp;C1187)</f>
        <v>1.6E-2</v>
      </c>
      <c r="H1187" s="24">
        <f t="shared" si="90"/>
        <v>79.98</v>
      </c>
      <c r="I1187" s="23" t="str">
        <f t="shared" si="91"/>
        <v>Match</v>
      </c>
      <c r="J1187" s="23" t="str">
        <f t="shared" si="92"/>
        <v>Match</v>
      </c>
      <c r="K1187" s="24">
        <f t="shared" si="93"/>
        <v>14.4</v>
      </c>
      <c r="L1187" s="24">
        <f t="shared" si="94"/>
        <v>0</v>
      </c>
    </row>
    <row r="1188" spans="1:12" ht="15" customHeight="1" x14ac:dyDescent="0.3">
      <c r="A1188" s="23" t="s">
        <v>13808</v>
      </c>
      <c r="B1188" s="23" t="s">
        <v>75</v>
      </c>
      <c r="C1188" s="39">
        <v>4999</v>
      </c>
      <c r="D1188" s="24">
        <v>15</v>
      </c>
      <c r="E1188" s="24">
        <v>2.7</v>
      </c>
      <c r="F1188" s="23">
        <f>COUNTIFS(mdr_rate_cleaned!$A$2:$A$10,B1188,mdr_rate_cleaned!$B$2:$B$10,"&lt;"&amp;C1188,mdr_rate_cleaned!$F$2:$F$10,"&gt;="&amp;C1188)</f>
        <v>1</v>
      </c>
      <c r="G1188" s="40">
        <f>SUMIFS(mdr_rate_cleaned!$G$2:$G$10,mdr_rate_cleaned!$A$2:$A$10,B1188,mdr_rate_cleaned!$B$2:$B$10,"&lt;"&amp;C1188,mdr_rate_cleaned!$F$2:$F$10,"&gt;="&amp;C1188)</f>
        <v>3.0000000000000001E-3</v>
      </c>
      <c r="H1188" s="24">
        <f t="shared" si="90"/>
        <v>15</v>
      </c>
      <c r="I1188" s="23" t="str">
        <f t="shared" si="91"/>
        <v>Match</v>
      </c>
      <c r="J1188" s="23" t="str">
        <f t="shared" si="92"/>
        <v>Match</v>
      </c>
      <c r="K1188" s="24">
        <f t="shared" si="93"/>
        <v>2.7</v>
      </c>
      <c r="L1188" s="24">
        <f t="shared" si="94"/>
        <v>0</v>
      </c>
    </row>
    <row r="1189" spans="1:12" ht="15" customHeight="1" x14ac:dyDescent="0.3">
      <c r="A1189" s="23" t="s">
        <v>13809</v>
      </c>
      <c r="B1189" s="23" t="s">
        <v>75</v>
      </c>
      <c r="C1189" s="39">
        <v>349</v>
      </c>
      <c r="D1189" s="24">
        <v>0</v>
      </c>
      <c r="E1189" s="24">
        <v>0</v>
      </c>
      <c r="F1189" s="23">
        <f>COUNTIFS(mdr_rate_cleaned!$A$2:$A$10,B1189,mdr_rate_cleaned!$B$2:$B$10,"&lt;"&amp;C1189,mdr_rate_cleaned!$F$2:$F$10,"&gt;="&amp;C1189)</f>
        <v>1</v>
      </c>
      <c r="G1189" s="40">
        <f>SUMIFS(mdr_rate_cleaned!$G$2:$G$10,mdr_rate_cleaned!$A$2:$A$10,B1189,mdr_rate_cleaned!$B$2:$B$10,"&lt;"&amp;C1189,mdr_rate_cleaned!$F$2:$F$10,"&gt;="&amp;C1189)</f>
        <v>0</v>
      </c>
      <c r="H1189" s="24">
        <f t="shared" si="90"/>
        <v>0</v>
      </c>
      <c r="I1189" s="23" t="str">
        <f t="shared" si="91"/>
        <v>Match</v>
      </c>
      <c r="J1189" s="23" t="str">
        <f t="shared" si="92"/>
        <v>Match</v>
      </c>
      <c r="K1189" s="24">
        <f t="shared" si="93"/>
        <v>0</v>
      </c>
      <c r="L1189" s="24">
        <f t="shared" si="94"/>
        <v>0</v>
      </c>
    </row>
    <row r="1190" spans="1:12" ht="15" customHeight="1" x14ac:dyDescent="0.3">
      <c r="A1190" s="23" t="s">
        <v>13810</v>
      </c>
      <c r="B1190" s="23" t="s">
        <v>79</v>
      </c>
      <c r="C1190" s="39">
        <v>3499</v>
      </c>
      <c r="D1190" s="24">
        <v>55.98</v>
      </c>
      <c r="E1190" s="24">
        <v>10.08</v>
      </c>
      <c r="F1190" s="23">
        <f>COUNTIFS(mdr_rate_cleaned!$A$2:$A$10,B1190,mdr_rate_cleaned!$B$2:$B$10,"&lt;"&amp;C1190,mdr_rate_cleaned!$F$2:$F$10,"&gt;="&amp;C1190)</f>
        <v>1</v>
      </c>
      <c r="G1190" s="40">
        <f>SUMIFS(mdr_rate_cleaned!$G$2:$G$10,mdr_rate_cleaned!$A$2:$A$10,B1190,mdr_rate_cleaned!$B$2:$B$10,"&lt;"&amp;C1190,mdr_rate_cleaned!$F$2:$F$10,"&gt;="&amp;C1190)</f>
        <v>1.6E-2</v>
      </c>
      <c r="H1190" s="24">
        <f t="shared" si="90"/>
        <v>55.98</v>
      </c>
      <c r="I1190" s="23" t="str">
        <f t="shared" si="91"/>
        <v>Match</v>
      </c>
      <c r="J1190" s="23" t="str">
        <f t="shared" si="92"/>
        <v>Match</v>
      </c>
      <c r="K1190" s="24">
        <f t="shared" si="93"/>
        <v>10.08</v>
      </c>
      <c r="L1190" s="24">
        <f t="shared" si="94"/>
        <v>0</v>
      </c>
    </row>
    <row r="1191" spans="1:12" ht="15" customHeight="1" x14ac:dyDescent="0.3">
      <c r="A1191" s="23" t="s">
        <v>13812</v>
      </c>
      <c r="B1191" s="23" t="s">
        <v>77</v>
      </c>
      <c r="C1191" s="39">
        <v>3098</v>
      </c>
      <c r="D1191" s="24">
        <v>52.67</v>
      </c>
      <c r="E1191" s="24">
        <v>9.48</v>
      </c>
      <c r="F1191" s="23">
        <f>COUNTIFS(mdr_rate_cleaned!$A$2:$A$10,B1191,mdr_rate_cleaned!$B$2:$B$10,"&lt;"&amp;C1191,mdr_rate_cleaned!$F$2:$F$10,"&gt;="&amp;C1191)</f>
        <v>1</v>
      </c>
      <c r="G1191" s="40">
        <f>SUMIFS(mdr_rate_cleaned!$G$2:$G$10,mdr_rate_cleaned!$A$2:$A$10,B1191,mdr_rate_cleaned!$B$2:$B$10,"&lt;"&amp;C1191,mdr_rate_cleaned!$F$2:$F$10,"&gt;="&amp;C1191)</f>
        <v>1.7000000000000001E-2</v>
      </c>
      <c r="H1191" s="24">
        <f t="shared" si="90"/>
        <v>52.67</v>
      </c>
      <c r="I1191" s="23" t="str">
        <f t="shared" si="91"/>
        <v>Match</v>
      </c>
      <c r="J1191" s="23" t="str">
        <f t="shared" si="92"/>
        <v>Match</v>
      </c>
      <c r="K1191" s="24">
        <f t="shared" si="93"/>
        <v>9.48</v>
      </c>
      <c r="L1191" s="24">
        <f t="shared" si="94"/>
        <v>0</v>
      </c>
    </row>
    <row r="1192" spans="1:12" ht="15" customHeight="1" x14ac:dyDescent="0.3">
      <c r="A1192" s="23" t="s">
        <v>13813</v>
      </c>
      <c r="B1192" s="23" t="s">
        <v>75</v>
      </c>
      <c r="C1192" s="39">
        <v>3499</v>
      </c>
      <c r="D1192" s="24">
        <v>10.5</v>
      </c>
      <c r="E1192" s="24">
        <v>1.89</v>
      </c>
      <c r="F1192" s="23">
        <f>COUNTIFS(mdr_rate_cleaned!$A$2:$A$10,B1192,mdr_rate_cleaned!$B$2:$B$10,"&lt;"&amp;C1192,mdr_rate_cleaned!$F$2:$F$10,"&gt;="&amp;C1192)</f>
        <v>1</v>
      </c>
      <c r="G1192" s="40">
        <f>SUMIFS(mdr_rate_cleaned!$G$2:$G$10,mdr_rate_cleaned!$A$2:$A$10,B1192,mdr_rate_cleaned!$B$2:$B$10,"&lt;"&amp;C1192,mdr_rate_cleaned!$F$2:$F$10,"&gt;="&amp;C1192)</f>
        <v>3.0000000000000001E-3</v>
      </c>
      <c r="H1192" s="24">
        <f t="shared" si="90"/>
        <v>10.5</v>
      </c>
      <c r="I1192" s="23" t="str">
        <f t="shared" si="91"/>
        <v>Match</v>
      </c>
      <c r="J1192" s="23" t="str">
        <f t="shared" si="92"/>
        <v>Match</v>
      </c>
      <c r="K1192" s="24">
        <f t="shared" si="93"/>
        <v>1.89</v>
      </c>
      <c r="L1192" s="24">
        <f t="shared" si="94"/>
        <v>0</v>
      </c>
    </row>
    <row r="1193" spans="1:12" ht="15" customHeight="1" x14ac:dyDescent="0.3">
      <c r="A1193" s="23" t="s">
        <v>13815</v>
      </c>
      <c r="B1193" s="23" t="s">
        <v>77</v>
      </c>
      <c r="C1193" s="39">
        <v>2499</v>
      </c>
      <c r="D1193" s="24">
        <v>42.48</v>
      </c>
      <c r="E1193" s="24">
        <v>7.65</v>
      </c>
      <c r="F1193" s="23">
        <f>COUNTIFS(mdr_rate_cleaned!$A$2:$A$10,B1193,mdr_rate_cleaned!$B$2:$B$10,"&lt;"&amp;C1193,mdr_rate_cleaned!$F$2:$F$10,"&gt;="&amp;C1193)</f>
        <v>1</v>
      </c>
      <c r="G1193" s="40">
        <f>SUMIFS(mdr_rate_cleaned!$G$2:$G$10,mdr_rate_cleaned!$A$2:$A$10,B1193,mdr_rate_cleaned!$B$2:$B$10,"&lt;"&amp;C1193,mdr_rate_cleaned!$F$2:$F$10,"&gt;="&amp;C1193)</f>
        <v>1.7000000000000001E-2</v>
      </c>
      <c r="H1193" s="24">
        <f t="shared" si="90"/>
        <v>42.48</v>
      </c>
      <c r="I1193" s="23" t="str">
        <f t="shared" si="91"/>
        <v>Match</v>
      </c>
      <c r="J1193" s="23" t="str">
        <f t="shared" si="92"/>
        <v>Match</v>
      </c>
      <c r="K1193" s="24">
        <f t="shared" si="93"/>
        <v>7.65</v>
      </c>
      <c r="L1193" s="24">
        <f t="shared" si="94"/>
        <v>0</v>
      </c>
    </row>
    <row r="1194" spans="1:12" ht="15" customHeight="1" x14ac:dyDescent="0.3">
      <c r="A1194" s="23" t="s">
        <v>13816</v>
      </c>
      <c r="B1194" s="23" t="s">
        <v>79</v>
      </c>
      <c r="C1194" s="39">
        <v>4999</v>
      </c>
      <c r="D1194" s="24">
        <v>79.98</v>
      </c>
      <c r="E1194" s="24">
        <v>14.4</v>
      </c>
      <c r="F1194" s="23">
        <f>COUNTIFS(mdr_rate_cleaned!$A$2:$A$10,B1194,mdr_rate_cleaned!$B$2:$B$10,"&lt;"&amp;C1194,mdr_rate_cleaned!$F$2:$F$10,"&gt;="&amp;C1194)</f>
        <v>1</v>
      </c>
      <c r="G1194" s="40">
        <f>SUMIFS(mdr_rate_cleaned!$G$2:$G$10,mdr_rate_cleaned!$A$2:$A$10,B1194,mdr_rate_cleaned!$B$2:$B$10,"&lt;"&amp;C1194,mdr_rate_cleaned!$F$2:$F$10,"&gt;="&amp;C1194)</f>
        <v>1.6E-2</v>
      </c>
      <c r="H1194" s="24">
        <f t="shared" si="90"/>
        <v>79.98</v>
      </c>
      <c r="I1194" s="23" t="str">
        <f t="shared" si="91"/>
        <v>Match</v>
      </c>
      <c r="J1194" s="23" t="str">
        <f t="shared" si="92"/>
        <v>Match</v>
      </c>
      <c r="K1194" s="24">
        <f t="shared" si="93"/>
        <v>14.4</v>
      </c>
      <c r="L1194" s="24">
        <f t="shared" si="94"/>
        <v>0</v>
      </c>
    </row>
    <row r="1195" spans="1:12" ht="15" customHeight="1" x14ac:dyDescent="0.3">
      <c r="A1195" s="23" t="s">
        <v>13817</v>
      </c>
      <c r="B1195" s="23" t="s">
        <v>79</v>
      </c>
      <c r="C1195" s="39">
        <v>2897</v>
      </c>
      <c r="D1195" s="24">
        <v>46.35</v>
      </c>
      <c r="E1195" s="24">
        <v>8.34</v>
      </c>
      <c r="F1195" s="23">
        <f>COUNTIFS(mdr_rate_cleaned!$A$2:$A$10,B1195,mdr_rate_cleaned!$B$2:$B$10,"&lt;"&amp;C1195,mdr_rate_cleaned!$F$2:$F$10,"&gt;="&amp;C1195)</f>
        <v>1</v>
      </c>
      <c r="G1195" s="40">
        <f>SUMIFS(mdr_rate_cleaned!$G$2:$G$10,mdr_rate_cleaned!$A$2:$A$10,B1195,mdr_rate_cleaned!$B$2:$B$10,"&lt;"&amp;C1195,mdr_rate_cleaned!$F$2:$F$10,"&gt;="&amp;C1195)</f>
        <v>1.6E-2</v>
      </c>
      <c r="H1195" s="24">
        <f t="shared" si="90"/>
        <v>46.35</v>
      </c>
      <c r="I1195" s="23" t="str">
        <f t="shared" si="91"/>
        <v>Match</v>
      </c>
      <c r="J1195" s="23" t="str">
        <f t="shared" si="92"/>
        <v>Match</v>
      </c>
      <c r="K1195" s="24">
        <f t="shared" si="93"/>
        <v>8.34</v>
      </c>
      <c r="L1195" s="24">
        <f t="shared" si="94"/>
        <v>0</v>
      </c>
    </row>
    <row r="1196" spans="1:12" ht="15" customHeight="1" x14ac:dyDescent="0.3">
      <c r="A1196" s="23" t="s">
        <v>13818</v>
      </c>
      <c r="B1196" s="23" t="s">
        <v>75</v>
      </c>
      <c r="C1196" s="39">
        <v>9798</v>
      </c>
      <c r="D1196" s="24">
        <v>29.39</v>
      </c>
      <c r="E1196" s="24">
        <v>5.29</v>
      </c>
      <c r="F1196" s="23">
        <f>COUNTIFS(mdr_rate_cleaned!$A$2:$A$10,B1196,mdr_rate_cleaned!$B$2:$B$10,"&lt;"&amp;C1196,mdr_rate_cleaned!$F$2:$F$10,"&gt;="&amp;C1196)</f>
        <v>1</v>
      </c>
      <c r="G1196" s="40">
        <f>SUMIFS(mdr_rate_cleaned!$G$2:$G$10,mdr_rate_cleaned!$A$2:$A$10,B1196,mdr_rate_cleaned!$B$2:$B$10,"&lt;"&amp;C1196,mdr_rate_cleaned!$F$2:$F$10,"&gt;="&amp;C1196)</f>
        <v>3.0000000000000001E-3</v>
      </c>
      <c r="H1196" s="24">
        <f t="shared" si="90"/>
        <v>29.39</v>
      </c>
      <c r="I1196" s="23" t="str">
        <f t="shared" si="91"/>
        <v>Match</v>
      </c>
      <c r="J1196" s="23" t="str">
        <f t="shared" si="92"/>
        <v>Match</v>
      </c>
      <c r="K1196" s="24">
        <f t="shared" si="93"/>
        <v>5.29</v>
      </c>
      <c r="L1196" s="24">
        <f t="shared" si="94"/>
        <v>0</v>
      </c>
    </row>
    <row r="1197" spans="1:12" ht="15" customHeight="1" x14ac:dyDescent="0.3">
      <c r="A1197" s="23" t="s">
        <v>13819</v>
      </c>
      <c r="B1197" s="23" t="s">
        <v>79</v>
      </c>
      <c r="C1197" s="39">
        <v>499</v>
      </c>
      <c r="D1197" s="24">
        <v>8.98</v>
      </c>
      <c r="E1197" s="24">
        <v>1.62</v>
      </c>
      <c r="F1197" s="23">
        <f>COUNTIFS(mdr_rate_cleaned!$A$2:$A$10,B1197,mdr_rate_cleaned!$B$2:$B$10,"&lt;"&amp;C1197,mdr_rate_cleaned!$F$2:$F$10,"&gt;="&amp;C1197)</f>
        <v>1</v>
      </c>
      <c r="G1197" s="40">
        <f>SUMIFS(mdr_rate_cleaned!$G$2:$G$10,mdr_rate_cleaned!$A$2:$A$10,B1197,mdr_rate_cleaned!$B$2:$B$10,"&lt;"&amp;C1197,mdr_rate_cleaned!$F$2:$F$10,"&gt;="&amp;C1197)</f>
        <v>1.8000000000000002E-2</v>
      </c>
      <c r="H1197" s="24">
        <f t="shared" si="90"/>
        <v>8.98</v>
      </c>
      <c r="I1197" s="23" t="str">
        <f t="shared" si="91"/>
        <v>Match</v>
      </c>
      <c r="J1197" s="23" t="str">
        <f t="shared" si="92"/>
        <v>Match</v>
      </c>
      <c r="K1197" s="24">
        <f t="shared" si="93"/>
        <v>1.62</v>
      </c>
      <c r="L1197" s="24">
        <f t="shared" si="94"/>
        <v>0</v>
      </c>
    </row>
    <row r="1198" spans="1:12" ht="15" customHeight="1" x14ac:dyDescent="0.3">
      <c r="A1198" s="23" t="s">
        <v>13820</v>
      </c>
      <c r="B1198" s="23" t="s">
        <v>75</v>
      </c>
      <c r="C1198" s="39">
        <v>7999</v>
      </c>
      <c r="D1198" s="24">
        <v>24</v>
      </c>
      <c r="E1198" s="24">
        <v>4.32</v>
      </c>
      <c r="F1198" s="23">
        <f>COUNTIFS(mdr_rate_cleaned!$A$2:$A$10,B1198,mdr_rate_cleaned!$B$2:$B$10,"&lt;"&amp;C1198,mdr_rate_cleaned!$F$2:$F$10,"&gt;="&amp;C1198)</f>
        <v>1</v>
      </c>
      <c r="G1198" s="40">
        <f>SUMIFS(mdr_rate_cleaned!$G$2:$G$10,mdr_rate_cleaned!$A$2:$A$10,B1198,mdr_rate_cleaned!$B$2:$B$10,"&lt;"&amp;C1198,mdr_rate_cleaned!$F$2:$F$10,"&gt;="&amp;C1198)</f>
        <v>3.0000000000000001E-3</v>
      </c>
      <c r="H1198" s="24">
        <f t="shared" si="90"/>
        <v>24</v>
      </c>
      <c r="I1198" s="23" t="str">
        <f t="shared" si="91"/>
        <v>Match</v>
      </c>
      <c r="J1198" s="23" t="str">
        <f t="shared" si="92"/>
        <v>Match</v>
      </c>
      <c r="K1198" s="24">
        <f t="shared" si="93"/>
        <v>4.32</v>
      </c>
      <c r="L1198" s="24">
        <f t="shared" si="94"/>
        <v>0</v>
      </c>
    </row>
    <row r="1199" spans="1:12" ht="15" customHeight="1" x14ac:dyDescent="0.3">
      <c r="A1199" s="23" t="s">
        <v>13821</v>
      </c>
      <c r="B1199" s="23" t="s">
        <v>75</v>
      </c>
      <c r="C1199" s="39">
        <v>6497</v>
      </c>
      <c r="D1199" s="24">
        <v>19.489999999999998</v>
      </c>
      <c r="E1199" s="24">
        <v>3.51</v>
      </c>
      <c r="F1199" s="23">
        <f>COUNTIFS(mdr_rate_cleaned!$A$2:$A$10,B1199,mdr_rate_cleaned!$B$2:$B$10,"&lt;"&amp;C1199,mdr_rate_cleaned!$F$2:$F$10,"&gt;="&amp;C1199)</f>
        <v>1</v>
      </c>
      <c r="G1199" s="40">
        <f>SUMIFS(mdr_rate_cleaned!$G$2:$G$10,mdr_rate_cleaned!$A$2:$A$10,B1199,mdr_rate_cleaned!$B$2:$B$10,"&lt;"&amp;C1199,mdr_rate_cleaned!$F$2:$F$10,"&gt;="&amp;C1199)</f>
        <v>3.0000000000000001E-3</v>
      </c>
      <c r="H1199" s="24">
        <f t="shared" si="90"/>
        <v>19.489999999999998</v>
      </c>
      <c r="I1199" s="23" t="str">
        <f t="shared" si="91"/>
        <v>Match</v>
      </c>
      <c r="J1199" s="23" t="str">
        <f t="shared" si="92"/>
        <v>Match</v>
      </c>
      <c r="K1199" s="24">
        <f t="shared" si="93"/>
        <v>3.51</v>
      </c>
      <c r="L1199" s="24">
        <f t="shared" si="94"/>
        <v>0</v>
      </c>
    </row>
    <row r="1200" spans="1:12" ht="15" customHeight="1" x14ac:dyDescent="0.3">
      <c r="A1200" s="23" t="s">
        <v>13822</v>
      </c>
      <c r="B1200" s="23" t="s">
        <v>77</v>
      </c>
      <c r="C1200" s="39">
        <v>4999</v>
      </c>
      <c r="D1200" s="24">
        <v>84.98</v>
      </c>
      <c r="E1200" s="24">
        <v>15.3</v>
      </c>
      <c r="F1200" s="23">
        <f>COUNTIFS(mdr_rate_cleaned!$A$2:$A$10,B1200,mdr_rate_cleaned!$B$2:$B$10,"&lt;"&amp;C1200,mdr_rate_cleaned!$F$2:$F$10,"&gt;="&amp;C1200)</f>
        <v>1</v>
      </c>
      <c r="G1200" s="40">
        <f>SUMIFS(mdr_rate_cleaned!$G$2:$G$10,mdr_rate_cleaned!$A$2:$A$10,B1200,mdr_rate_cleaned!$B$2:$B$10,"&lt;"&amp;C1200,mdr_rate_cleaned!$F$2:$F$10,"&gt;="&amp;C1200)</f>
        <v>1.7000000000000001E-2</v>
      </c>
      <c r="H1200" s="24">
        <f t="shared" si="90"/>
        <v>84.98</v>
      </c>
      <c r="I1200" s="23" t="str">
        <f t="shared" si="91"/>
        <v>Match</v>
      </c>
      <c r="J1200" s="23" t="str">
        <f t="shared" si="92"/>
        <v>Match</v>
      </c>
      <c r="K1200" s="24">
        <f t="shared" si="93"/>
        <v>15.3</v>
      </c>
      <c r="L1200" s="24">
        <f t="shared" si="94"/>
        <v>0</v>
      </c>
    </row>
    <row r="1201" spans="1:12" ht="15" customHeight="1" x14ac:dyDescent="0.3">
      <c r="A1201" s="23" t="s">
        <v>13823</v>
      </c>
      <c r="B1201" s="23" t="s">
        <v>75</v>
      </c>
      <c r="C1201" s="39">
        <v>349</v>
      </c>
      <c r="D1201" s="24">
        <v>0</v>
      </c>
      <c r="E1201" s="24">
        <v>0</v>
      </c>
      <c r="F1201" s="23">
        <f>COUNTIFS(mdr_rate_cleaned!$A$2:$A$10,B1201,mdr_rate_cleaned!$B$2:$B$10,"&lt;"&amp;C1201,mdr_rate_cleaned!$F$2:$F$10,"&gt;="&amp;C1201)</f>
        <v>1</v>
      </c>
      <c r="G1201" s="40">
        <f>SUMIFS(mdr_rate_cleaned!$G$2:$G$10,mdr_rate_cleaned!$A$2:$A$10,B1201,mdr_rate_cleaned!$B$2:$B$10,"&lt;"&amp;C1201,mdr_rate_cleaned!$F$2:$F$10,"&gt;="&amp;C1201)</f>
        <v>0</v>
      </c>
      <c r="H1201" s="24">
        <f t="shared" si="90"/>
        <v>0</v>
      </c>
      <c r="I1201" s="23" t="str">
        <f t="shared" si="91"/>
        <v>Match</v>
      </c>
      <c r="J1201" s="23" t="str">
        <f t="shared" si="92"/>
        <v>Match</v>
      </c>
      <c r="K1201" s="24">
        <f t="shared" si="93"/>
        <v>0</v>
      </c>
      <c r="L1201" s="24">
        <f t="shared" si="94"/>
        <v>0</v>
      </c>
    </row>
    <row r="1202" spans="1:12" ht="15" customHeight="1" x14ac:dyDescent="0.3">
      <c r="A1202" s="23" t="s">
        <v>13824</v>
      </c>
      <c r="B1202" s="23" t="s">
        <v>75</v>
      </c>
      <c r="C1202" s="39">
        <v>2999</v>
      </c>
      <c r="D1202" s="24">
        <v>9</v>
      </c>
      <c r="E1202" s="24">
        <v>1.62</v>
      </c>
      <c r="F1202" s="23">
        <f>COUNTIFS(mdr_rate_cleaned!$A$2:$A$10,B1202,mdr_rate_cleaned!$B$2:$B$10,"&lt;"&amp;C1202,mdr_rate_cleaned!$F$2:$F$10,"&gt;="&amp;C1202)</f>
        <v>1</v>
      </c>
      <c r="G1202" s="40">
        <f>SUMIFS(mdr_rate_cleaned!$G$2:$G$10,mdr_rate_cleaned!$A$2:$A$10,B1202,mdr_rate_cleaned!$B$2:$B$10,"&lt;"&amp;C1202,mdr_rate_cleaned!$F$2:$F$10,"&gt;="&amp;C1202)</f>
        <v>3.0000000000000001E-3</v>
      </c>
      <c r="H1202" s="24">
        <f t="shared" si="90"/>
        <v>9</v>
      </c>
      <c r="I1202" s="23" t="str">
        <f t="shared" si="91"/>
        <v>Match</v>
      </c>
      <c r="J1202" s="23" t="str">
        <f t="shared" si="92"/>
        <v>Match</v>
      </c>
      <c r="K1202" s="24">
        <f t="shared" si="93"/>
        <v>1.62</v>
      </c>
      <c r="L1202" s="24">
        <f t="shared" si="94"/>
        <v>0</v>
      </c>
    </row>
    <row r="1203" spans="1:12" ht="15" customHeight="1" x14ac:dyDescent="0.3">
      <c r="A1203" s="23" t="s">
        <v>13825</v>
      </c>
      <c r="B1203" s="23" t="s">
        <v>81</v>
      </c>
      <c r="C1203" s="39">
        <v>11797</v>
      </c>
      <c r="D1203" s="24">
        <v>106.17</v>
      </c>
      <c r="E1203" s="24">
        <v>19.11</v>
      </c>
      <c r="F1203" s="23">
        <f>COUNTIFS(mdr_rate_cleaned!$A$2:$A$10,B1203,mdr_rate_cleaned!$B$2:$B$10,"&lt;"&amp;C1203,mdr_rate_cleaned!$F$2:$F$10,"&gt;="&amp;C1203)</f>
        <v>1</v>
      </c>
      <c r="G1203" s="40">
        <f>SUMIFS(mdr_rate_cleaned!$G$2:$G$10,mdr_rate_cleaned!$A$2:$A$10,B1203,mdr_rate_cleaned!$B$2:$B$10,"&lt;"&amp;C1203,mdr_rate_cleaned!$F$2:$F$10,"&gt;="&amp;C1203)</f>
        <v>9.0000000000000011E-3</v>
      </c>
      <c r="H1203" s="24">
        <f t="shared" si="90"/>
        <v>106.17</v>
      </c>
      <c r="I1203" s="23" t="str">
        <f t="shared" si="91"/>
        <v>Match</v>
      </c>
      <c r="J1203" s="23" t="str">
        <f t="shared" si="92"/>
        <v>Match</v>
      </c>
      <c r="K1203" s="24">
        <f t="shared" si="93"/>
        <v>19.11</v>
      </c>
      <c r="L1203" s="24">
        <f t="shared" si="94"/>
        <v>0</v>
      </c>
    </row>
    <row r="1204" spans="1:12" ht="15" customHeight="1" x14ac:dyDescent="0.3">
      <c r="A1204" s="23" t="s">
        <v>13826</v>
      </c>
      <c r="B1204" s="23" t="s">
        <v>77</v>
      </c>
      <c r="C1204" s="39">
        <v>3499</v>
      </c>
      <c r="D1204" s="24">
        <v>59.48</v>
      </c>
      <c r="E1204" s="24">
        <v>10.71</v>
      </c>
      <c r="F1204" s="23">
        <f>COUNTIFS(mdr_rate_cleaned!$A$2:$A$10,B1204,mdr_rate_cleaned!$B$2:$B$10,"&lt;"&amp;C1204,mdr_rate_cleaned!$F$2:$F$10,"&gt;="&amp;C1204)</f>
        <v>1</v>
      </c>
      <c r="G1204" s="40">
        <f>SUMIFS(mdr_rate_cleaned!$G$2:$G$10,mdr_rate_cleaned!$A$2:$A$10,B1204,mdr_rate_cleaned!$B$2:$B$10,"&lt;"&amp;C1204,mdr_rate_cleaned!$F$2:$F$10,"&gt;="&amp;C1204)</f>
        <v>1.7000000000000001E-2</v>
      </c>
      <c r="H1204" s="24">
        <f t="shared" si="90"/>
        <v>59.48</v>
      </c>
      <c r="I1204" s="23" t="str">
        <f t="shared" si="91"/>
        <v>Match</v>
      </c>
      <c r="J1204" s="23" t="str">
        <f t="shared" si="92"/>
        <v>Match</v>
      </c>
      <c r="K1204" s="24">
        <f t="shared" si="93"/>
        <v>10.71</v>
      </c>
      <c r="L1204" s="24">
        <f t="shared" si="94"/>
        <v>0</v>
      </c>
    </row>
    <row r="1205" spans="1:12" ht="15" customHeight="1" x14ac:dyDescent="0.3">
      <c r="A1205" s="23" t="s">
        <v>13828</v>
      </c>
      <c r="B1205" s="23" t="s">
        <v>75</v>
      </c>
      <c r="C1205" s="39">
        <v>1499</v>
      </c>
      <c r="D1205" s="24">
        <v>0</v>
      </c>
      <c r="E1205" s="24">
        <v>0</v>
      </c>
      <c r="F1205" s="23">
        <f>COUNTIFS(mdr_rate_cleaned!$A$2:$A$10,B1205,mdr_rate_cleaned!$B$2:$B$10,"&lt;"&amp;C1205,mdr_rate_cleaned!$F$2:$F$10,"&gt;="&amp;C1205)</f>
        <v>1</v>
      </c>
      <c r="G1205" s="40">
        <f>SUMIFS(mdr_rate_cleaned!$G$2:$G$10,mdr_rate_cleaned!$A$2:$A$10,B1205,mdr_rate_cleaned!$B$2:$B$10,"&lt;"&amp;C1205,mdr_rate_cleaned!$F$2:$F$10,"&gt;="&amp;C1205)</f>
        <v>0</v>
      </c>
      <c r="H1205" s="24">
        <f t="shared" si="90"/>
        <v>0</v>
      </c>
      <c r="I1205" s="23" t="str">
        <f t="shared" si="91"/>
        <v>Match</v>
      </c>
      <c r="J1205" s="23" t="str">
        <f t="shared" si="92"/>
        <v>Match</v>
      </c>
      <c r="K1205" s="24">
        <f t="shared" si="93"/>
        <v>0</v>
      </c>
      <c r="L1205" s="24">
        <f t="shared" si="94"/>
        <v>0</v>
      </c>
    </row>
    <row r="1206" spans="1:12" ht="15" customHeight="1" x14ac:dyDescent="0.3">
      <c r="A1206" s="23" t="s">
        <v>13829</v>
      </c>
      <c r="B1206" s="23" t="s">
        <v>75</v>
      </c>
      <c r="C1206" s="39">
        <v>2499</v>
      </c>
      <c r="D1206" s="24">
        <v>7.5</v>
      </c>
      <c r="E1206" s="24">
        <v>1.35</v>
      </c>
      <c r="F1206" s="23">
        <f>COUNTIFS(mdr_rate_cleaned!$A$2:$A$10,B1206,mdr_rate_cleaned!$B$2:$B$10,"&lt;"&amp;C1206,mdr_rate_cleaned!$F$2:$F$10,"&gt;="&amp;C1206)</f>
        <v>1</v>
      </c>
      <c r="G1206" s="40">
        <f>SUMIFS(mdr_rate_cleaned!$G$2:$G$10,mdr_rate_cleaned!$A$2:$A$10,B1206,mdr_rate_cleaned!$B$2:$B$10,"&lt;"&amp;C1206,mdr_rate_cleaned!$F$2:$F$10,"&gt;="&amp;C1206)</f>
        <v>3.0000000000000001E-3</v>
      </c>
      <c r="H1206" s="24">
        <f t="shared" si="90"/>
        <v>7.5</v>
      </c>
      <c r="I1206" s="23" t="str">
        <f t="shared" si="91"/>
        <v>Match</v>
      </c>
      <c r="J1206" s="23" t="str">
        <f t="shared" si="92"/>
        <v>Match</v>
      </c>
      <c r="K1206" s="24">
        <f t="shared" si="93"/>
        <v>1.35</v>
      </c>
      <c r="L1206" s="24">
        <f t="shared" si="94"/>
        <v>0</v>
      </c>
    </row>
    <row r="1207" spans="1:12" ht="15" customHeight="1" x14ac:dyDescent="0.3">
      <c r="A1207" s="23" t="s">
        <v>13830</v>
      </c>
      <c r="B1207" s="23" t="s">
        <v>75</v>
      </c>
      <c r="C1207" s="39">
        <v>4999</v>
      </c>
      <c r="D1207" s="24">
        <v>15</v>
      </c>
      <c r="E1207" s="24">
        <v>2.7</v>
      </c>
      <c r="F1207" s="23">
        <f>COUNTIFS(mdr_rate_cleaned!$A$2:$A$10,B1207,mdr_rate_cleaned!$B$2:$B$10,"&lt;"&amp;C1207,mdr_rate_cleaned!$F$2:$F$10,"&gt;="&amp;C1207)</f>
        <v>1</v>
      </c>
      <c r="G1207" s="40">
        <f>SUMIFS(mdr_rate_cleaned!$G$2:$G$10,mdr_rate_cleaned!$A$2:$A$10,B1207,mdr_rate_cleaned!$B$2:$B$10,"&lt;"&amp;C1207,mdr_rate_cleaned!$F$2:$F$10,"&gt;="&amp;C1207)</f>
        <v>3.0000000000000001E-3</v>
      </c>
      <c r="H1207" s="24">
        <f t="shared" si="90"/>
        <v>15</v>
      </c>
      <c r="I1207" s="23" t="str">
        <f t="shared" si="91"/>
        <v>Match</v>
      </c>
      <c r="J1207" s="23" t="str">
        <f t="shared" si="92"/>
        <v>Match</v>
      </c>
      <c r="K1207" s="24">
        <f t="shared" si="93"/>
        <v>2.7</v>
      </c>
      <c r="L1207" s="24">
        <f t="shared" si="94"/>
        <v>0</v>
      </c>
    </row>
    <row r="1208" spans="1:12" ht="15" customHeight="1" x14ac:dyDescent="0.3">
      <c r="A1208" s="23" t="s">
        <v>13832</v>
      </c>
      <c r="B1208" s="23" t="s">
        <v>79</v>
      </c>
      <c r="C1208" s="39">
        <v>3499</v>
      </c>
      <c r="D1208" s="24">
        <v>55.98</v>
      </c>
      <c r="E1208" s="24">
        <v>10.08</v>
      </c>
      <c r="F1208" s="23">
        <f>COUNTIFS(mdr_rate_cleaned!$A$2:$A$10,B1208,mdr_rate_cleaned!$B$2:$B$10,"&lt;"&amp;C1208,mdr_rate_cleaned!$F$2:$F$10,"&gt;="&amp;C1208)</f>
        <v>1</v>
      </c>
      <c r="G1208" s="40">
        <f>SUMIFS(mdr_rate_cleaned!$G$2:$G$10,mdr_rate_cleaned!$A$2:$A$10,B1208,mdr_rate_cleaned!$B$2:$B$10,"&lt;"&amp;C1208,mdr_rate_cleaned!$F$2:$F$10,"&gt;="&amp;C1208)</f>
        <v>1.6E-2</v>
      </c>
      <c r="H1208" s="24">
        <f t="shared" si="90"/>
        <v>55.98</v>
      </c>
      <c r="I1208" s="23" t="str">
        <f t="shared" si="91"/>
        <v>Match</v>
      </c>
      <c r="J1208" s="23" t="str">
        <f t="shared" si="92"/>
        <v>Match</v>
      </c>
      <c r="K1208" s="24">
        <f t="shared" si="93"/>
        <v>10.08</v>
      </c>
      <c r="L1208" s="24">
        <f t="shared" si="94"/>
        <v>0</v>
      </c>
    </row>
    <row r="1209" spans="1:12" ht="15" customHeight="1" x14ac:dyDescent="0.3">
      <c r="A1209" s="23" t="s">
        <v>13833</v>
      </c>
      <c r="B1209" s="23" t="s">
        <v>75</v>
      </c>
      <c r="C1209" s="39">
        <v>1798</v>
      </c>
      <c r="D1209" s="24">
        <v>0</v>
      </c>
      <c r="E1209" s="24">
        <v>0</v>
      </c>
      <c r="F1209" s="23">
        <f>COUNTIFS(mdr_rate_cleaned!$A$2:$A$10,B1209,mdr_rate_cleaned!$B$2:$B$10,"&lt;"&amp;C1209,mdr_rate_cleaned!$F$2:$F$10,"&gt;="&amp;C1209)</f>
        <v>1</v>
      </c>
      <c r="G1209" s="40">
        <f>SUMIFS(mdr_rate_cleaned!$G$2:$G$10,mdr_rate_cleaned!$A$2:$A$10,B1209,mdr_rate_cleaned!$B$2:$B$10,"&lt;"&amp;C1209,mdr_rate_cleaned!$F$2:$F$10,"&gt;="&amp;C1209)</f>
        <v>0</v>
      </c>
      <c r="H1209" s="24">
        <f t="shared" si="90"/>
        <v>0</v>
      </c>
      <c r="I1209" s="23" t="str">
        <f t="shared" si="91"/>
        <v>Match</v>
      </c>
      <c r="J1209" s="23" t="str">
        <f t="shared" si="92"/>
        <v>Match</v>
      </c>
      <c r="K1209" s="24">
        <f t="shared" si="93"/>
        <v>0</v>
      </c>
      <c r="L1209" s="24">
        <f t="shared" si="94"/>
        <v>0</v>
      </c>
    </row>
    <row r="1210" spans="1:12" ht="15" customHeight="1" x14ac:dyDescent="0.3">
      <c r="A1210" s="23" t="s">
        <v>13834</v>
      </c>
      <c r="B1210" s="23" t="s">
        <v>79</v>
      </c>
      <c r="C1210" s="39">
        <v>11497</v>
      </c>
      <c r="D1210" s="24">
        <v>183.95</v>
      </c>
      <c r="E1210" s="24">
        <v>33.11</v>
      </c>
      <c r="F1210" s="23">
        <f>COUNTIFS(mdr_rate_cleaned!$A$2:$A$10,B1210,mdr_rate_cleaned!$B$2:$B$10,"&lt;"&amp;C1210,mdr_rate_cleaned!$F$2:$F$10,"&gt;="&amp;C1210)</f>
        <v>1</v>
      </c>
      <c r="G1210" s="40">
        <f>SUMIFS(mdr_rate_cleaned!$G$2:$G$10,mdr_rate_cleaned!$A$2:$A$10,B1210,mdr_rate_cleaned!$B$2:$B$10,"&lt;"&amp;C1210,mdr_rate_cleaned!$F$2:$F$10,"&gt;="&amp;C1210)</f>
        <v>1.6E-2</v>
      </c>
      <c r="H1210" s="24">
        <f t="shared" si="90"/>
        <v>183.95</v>
      </c>
      <c r="I1210" s="23" t="str">
        <f t="shared" si="91"/>
        <v>Match</v>
      </c>
      <c r="J1210" s="23" t="str">
        <f t="shared" si="92"/>
        <v>Match</v>
      </c>
      <c r="K1210" s="24">
        <f t="shared" si="93"/>
        <v>33.11</v>
      </c>
      <c r="L1210" s="24">
        <f t="shared" si="94"/>
        <v>0</v>
      </c>
    </row>
    <row r="1211" spans="1:12" ht="15" customHeight="1" x14ac:dyDescent="0.3">
      <c r="A1211" s="23" t="s">
        <v>13835</v>
      </c>
      <c r="B1211" s="23" t="s">
        <v>77</v>
      </c>
      <c r="C1211" s="39">
        <v>6597</v>
      </c>
      <c r="D1211" s="24">
        <v>112.15</v>
      </c>
      <c r="E1211" s="24">
        <v>20.190000000000001</v>
      </c>
      <c r="F1211" s="23">
        <f>COUNTIFS(mdr_rate_cleaned!$A$2:$A$10,B1211,mdr_rate_cleaned!$B$2:$B$10,"&lt;"&amp;C1211,mdr_rate_cleaned!$F$2:$F$10,"&gt;="&amp;C1211)</f>
        <v>1</v>
      </c>
      <c r="G1211" s="40">
        <f>SUMIFS(mdr_rate_cleaned!$G$2:$G$10,mdr_rate_cleaned!$A$2:$A$10,B1211,mdr_rate_cleaned!$B$2:$B$10,"&lt;"&amp;C1211,mdr_rate_cleaned!$F$2:$F$10,"&gt;="&amp;C1211)</f>
        <v>1.7000000000000001E-2</v>
      </c>
      <c r="H1211" s="24">
        <f t="shared" si="90"/>
        <v>112.15</v>
      </c>
      <c r="I1211" s="23" t="str">
        <f t="shared" si="91"/>
        <v>Match</v>
      </c>
      <c r="J1211" s="23" t="str">
        <f t="shared" si="92"/>
        <v>Match</v>
      </c>
      <c r="K1211" s="24">
        <f t="shared" si="93"/>
        <v>20.190000000000001</v>
      </c>
      <c r="L1211" s="24">
        <f t="shared" si="94"/>
        <v>0</v>
      </c>
    </row>
    <row r="1212" spans="1:12" ht="15" customHeight="1" x14ac:dyDescent="0.3">
      <c r="A1212" s="23" t="s">
        <v>13836</v>
      </c>
      <c r="B1212" s="23" t="s">
        <v>75</v>
      </c>
      <c r="C1212" s="39">
        <v>5298</v>
      </c>
      <c r="D1212" s="24">
        <v>15.89</v>
      </c>
      <c r="E1212" s="24">
        <v>2.86</v>
      </c>
      <c r="F1212" s="23">
        <f>COUNTIFS(mdr_rate_cleaned!$A$2:$A$10,B1212,mdr_rate_cleaned!$B$2:$B$10,"&lt;"&amp;C1212,mdr_rate_cleaned!$F$2:$F$10,"&gt;="&amp;C1212)</f>
        <v>1</v>
      </c>
      <c r="G1212" s="40">
        <f>SUMIFS(mdr_rate_cleaned!$G$2:$G$10,mdr_rate_cleaned!$A$2:$A$10,B1212,mdr_rate_cleaned!$B$2:$B$10,"&lt;"&amp;C1212,mdr_rate_cleaned!$F$2:$F$10,"&gt;="&amp;C1212)</f>
        <v>3.0000000000000001E-3</v>
      </c>
      <c r="H1212" s="24">
        <f t="shared" si="90"/>
        <v>15.89</v>
      </c>
      <c r="I1212" s="23" t="str">
        <f t="shared" si="91"/>
        <v>Match</v>
      </c>
      <c r="J1212" s="23" t="str">
        <f t="shared" si="92"/>
        <v>Match</v>
      </c>
      <c r="K1212" s="24">
        <f t="shared" si="93"/>
        <v>2.86</v>
      </c>
      <c r="L1212" s="24">
        <f t="shared" si="94"/>
        <v>0</v>
      </c>
    </row>
    <row r="1213" spans="1:12" ht="15" customHeight="1" x14ac:dyDescent="0.3">
      <c r="A1213" s="23" t="s">
        <v>13838</v>
      </c>
      <c r="B1213" s="23" t="s">
        <v>75</v>
      </c>
      <c r="C1213" s="39">
        <v>599</v>
      </c>
      <c r="D1213" s="24">
        <v>0</v>
      </c>
      <c r="E1213" s="24">
        <v>0</v>
      </c>
      <c r="F1213" s="23">
        <f>COUNTIFS(mdr_rate_cleaned!$A$2:$A$10,B1213,mdr_rate_cleaned!$B$2:$B$10,"&lt;"&amp;C1213,mdr_rate_cleaned!$F$2:$F$10,"&gt;="&amp;C1213)</f>
        <v>1</v>
      </c>
      <c r="G1213" s="40">
        <f>SUMIFS(mdr_rate_cleaned!$G$2:$G$10,mdr_rate_cleaned!$A$2:$A$10,B1213,mdr_rate_cleaned!$B$2:$B$10,"&lt;"&amp;C1213,mdr_rate_cleaned!$F$2:$F$10,"&gt;="&amp;C1213)</f>
        <v>0</v>
      </c>
      <c r="H1213" s="24">
        <f t="shared" si="90"/>
        <v>0</v>
      </c>
      <c r="I1213" s="23" t="str">
        <f t="shared" si="91"/>
        <v>Match</v>
      </c>
      <c r="J1213" s="23" t="str">
        <f t="shared" si="92"/>
        <v>Match</v>
      </c>
      <c r="K1213" s="24">
        <f t="shared" si="93"/>
        <v>0</v>
      </c>
      <c r="L1213" s="24">
        <f t="shared" si="94"/>
        <v>0</v>
      </c>
    </row>
    <row r="1214" spans="1:12" ht="15" customHeight="1" x14ac:dyDescent="0.3">
      <c r="A1214" s="23" t="s">
        <v>13839</v>
      </c>
      <c r="B1214" s="23" t="s">
        <v>75</v>
      </c>
      <c r="C1214" s="39">
        <v>1998</v>
      </c>
      <c r="D1214" s="24">
        <v>0</v>
      </c>
      <c r="E1214" s="24">
        <v>0</v>
      </c>
      <c r="F1214" s="23">
        <f>COUNTIFS(mdr_rate_cleaned!$A$2:$A$10,B1214,mdr_rate_cleaned!$B$2:$B$10,"&lt;"&amp;C1214,mdr_rate_cleaned!$F$2:$F$10,"&gt;="&amp;C1214)</f>
        <v>1</v>
      </c>
      <c r="G1214" s="40">
        <f>SUMIFS(mdr_rate_cleaned!$G$2:$G$10,mdr_rate_cleaned!$A$2:$A$10,B1214,mdr_rate_cleaned!$B$2:$B$10,"&lt;"&amp;C1214,mdr_rate_cleaned!$F$2:$F$10,"&gt;="&amp;C1214)</f>
        <v>0</v>
      </c>
      <c r="H1214" s="24">
        <f t="shared" si="90"/>
        <v>0</v>
      </c>
      <c r="I1214" s="23" t="str">
        <f t="shared" si="91"/>
        <v>Match</v>
      </c>
      <c r="J1214" s="23" t="str">
        <f t="shared" si="92"/>
        <v>Match</v>
      </c>
      <c r="K1214" s="24">
        <f t="shared" si="93"/>
        <v>0</v>
      </c>
      <c r="L1214" s="24">
        <f t="shared" si="94"/>
        <v>0</v>
      </c>
    </row>
    <row r="1215" spans="1:12" ht="15" customHeight="1" x14ac:dyDescent="0.3">
      <c r="A1215" s="23" t="s">
        <v>13840</v>
      </c>
      <c r="B1215" s="23" t="s">
        <v>79</v>
      </c>
      <c r="C1215" s="39">
        <v>5798</v>
      </c>
      <c r="D1215" s="24">
        <v>92.77</v>
      </c>
      <c r="E1215" s="24">
        <v>16.7</v>
      </c>
      <c r="F1215" s="23">
        <f>COUNTIFS(mdr_rate_cleaned!$A$2:$A$10,B1215,mdr_rate_cleaned!$B$2:$B$10,"&lt;"&amp;C1215,mdr_rate_cleaned!$F$2:$F$10,"&gt;="&amp;C1215)</f>
        <v>1</v>
      </c>
      <c r="G1215" s="40">
        <f>SUMIFS(mdr_rate_cleaned!$G$2:$G$10,mdr_rate_cleaned!$A$2:$A$10,B1215,mdr_rate_cleaned!$B$2:$B$10,"&lt;"&amp;C1215,mdr_rate_cleaned!$F$2:$F$10,"&gt;="&amp;C1215)</f>
        <v>1.6E-2</v>
      </c>
      <c r="H1215" s="24">
        <f t="shared" si="90"/>
        <v>92.77</v>
      </c>
      <c r="I1215" s="23" t="str">
        <f t="shared" si="91"/>
        <v>Match</v>
      </c>
      <c r="J1215" s="23" t="str">
        <f t="shared" si="92"/>
        <v>Match</v>
      </c>
      <c r="K1215" s="24">
        <f t="shared" si="93"/>
        <v>16.7</v>
      </c>
      <c r="L1215" s="24">
        <f t="shared" si="94"/>
        <v>0</v>
      </c>
    </row>
    <row r="1216" spans="1:12" ht="15" customHeight="1" x14ac:dyDescent="0.3">
      <c r="A1216" s="23" t="s">
        <v>13841</v>
      </c>
      <c r="B1216" s="23" t="s">
        <v>75</v>
      </c>
      <c r="C1216" s="39">
        <v>6097</v>
      </c>
      <c r="D1216" s="24">
        <v>18.29</v>
      </c>
      <c r="E1216" s="24">
        <v>3.29</v>
      </c>
      <c r="F1216" s="23">
        <f>COUNTIFS(mdr_rate_cleaned!$A$2:$A$10,B1216,mdr_rate_cleaned!$B$2:$B$10,"&lt;"&amp;C1216,mdr_rate_cleaned!$F$2:$F$10,"&gt;="&amp;C1216)</f>
        <v>1</v>
      </c>
      <c r="G1216" s="40">
        <f>SUMIFS(mdr_rate_cleaned!$G$2:$G$10,mdr_rate_cleaned!$A$2:$A$10,B1216,mdr_rate_cleaned!$B$2:$B$10,"&lt;"&amp;C1216,mdr_rate_cleaned!$F$2:$F$10,"&gt;="&amp;C1216)</f>
        <v>3.0000000000000001E-3</v>
      </c>
      <c r="H1216" s="24">
        <f t="shared" si="90"/>
        <v>18.29</v>
      </c>
      <c r="I1216" s="23" t="str">
        <f t="shared" si="91"/>
        <v>Match</v>
      </c>
      <c r="J1216" s="23" t="str">
        <f t="shared" si="92"/>
        <v>Match</v>
      </c>
      <c r="K1216" s="24">
        <f t="shared" si="93"/>
        <v>3.29</v>
      </c>
      <c r="L1216" s="24">
        <f t="shared" si="94"/>
        <v>0</v>
      </c>
    </row>
    <row r="1217" spans="1:12" ht="15" customHeight="1" x14ac:dyDescent="0.3">
      <c r="A1217" s="23" t="s">
        <v>13842</v>
      </c>
      <c r="B1217" s="23" t="s">
        <v>75</v>
      </c>
      <c r="C1217" s="39">
        <v>3499</v>
      </c>
      <c r="D1217" s="24">
        <v>10.5</v>
      </c>
      <c r="E1217" s="24">
        <v>1.89</v>
      </c>
      <c r="F1217" s="23">
        <f>COUNTIFS(mdr_rate_cleaned!$A$2:$A$10,B1217,mdr_rate_cleaned!$B$2:$B$10,"&lt;"&amp;C1217,mdr_rate_cleaned!$F$2:$F$10,"&gt;="&amp;C1217)</f>
        <v>1</v>
      </c>
      <c r="G1217" s="40">
        <f>SUMIFS(mdr_rate_cleaned!$G$2:$G$10,mdr_rate_cleaned!$A$2:$A$10,B1217,mdr_rate_cleaned!$B$2:$B$10,"&lt;"&amp;C1217,mdr_rate_cleaned!$F$2:$F$10,"&gt;="&amp;C1217)</f>
        <v>3.0000000000000001E-3</v>
      </c>
      <c r="H1217" s="24">
        <f t="shared" si="90"/>
        <v>10.5</v>
      </c>
      <c r="I1217" s="23" t="str">
        <f t="shared" si="91"/>
        <v>Match</v>
      </c>
      <c r="J1217" s="23" t="str">
        <f t="shared" si="92"/>
        <v>Match</v>
      </c>
      <c r="K1217" s="24">
        <f t="shared" si="93"/>
        <v>1.89</v>
      </c>
      <c r="L1217" s="24">
        <f t="shared" si="94"/>
        <v>0</v>
      </c>
    </row>
    <row r="1218" spans="1:12" ht="15" customHeight="1" x14ac:dyDescent="0.3">
      <c r="A1218" s="23" t="s">
        <v>13843</v>
      </c>
      <c r="B1218" s="23" t="s">
        <v>75</v>
      </c>
      <c r="C1218" s="39">
        <v>499</v>
      </c>
      <c r="D1218" s="24">
        <v>0</v>
      </c>
      <c r="E1218" s="24">
        <v>0</v>
      </c>
      <c r="F1218" s="23">
        <f>COUNTIFS(mdr_rate_cleaned!$A$2:$A$10,B1218,mdr_rate_cleaned!$B$2:$B$10,"&lt;"&amp;C1218,mdr_rate_cleaned!$F$2:$F$10,"&gt;="&amp;C1218)</f>
        <v>1</v>
      </c>
      <c r="G1218" s="40">
        <f>SUMIFS(mdr_rate_cleaned!$G$2:$G$10,mdr_rate_cleaned!$A$2:$A$10,B1218,mdr_rate_cleaned!$B$2:$B$10,"&lt;"&amp;C1218,mdr_rate_cleaned!$F$2:$F$10,"&gt;="&amp;C1218)</f>
        <v>0</v>
      </c>
      <c r="H1218" s="24">
        <f t="shared" ref="H1218:H1281" si="95">ROUND(C1218*G1218,2)</f>
        <v>0</v>
      </c>
      <c r="I1218" s="23" t="str">
        <f t="shared" ref="I1218:I1281" si="96">IF(ROUND(D1218-H1218,2)=0,"Match","Differs")</f>
        <v>Match</v>
      </c>
      <c r="J1218" s="23" t="str">
        <f t="shared" ref="J1218:J1281" si="97">IF(ROUND(E1218-ROUND(D1218*0.18,2),2)=0,"Match","Differs")</f>
        <v>Match</v>
      </c>
      <c r="K1218" s="24">
        <f t="shared" ref="K1218:K1281" si="98">ROUND(H1218*0.18,2)</f>
        <v>0</v>
      </c>
      <c r="L1218" s="24">
        <f t="shared" ref="L1218:L1281" si="99">ROUND(D1218+E1218-H1218-K1218,2)</f>
        <v>0</v>
      </c>
    </row>
    <row r="1219" spans="1:12" ht="15" customHeight="1" x14ac:dyDescent="0.3">
      <c r="A1219" s="23" t="s">
        <v>13844</v>
      </c>
      <c r="B1219" s="23" t="s">
        <v>75</v>
      </c>
      <c r="C1219" s="39">
        <v>1799</v>
      </c>
      <c r="D1219" s="24">
        <v>0</v>
      </c>
      <c r="E1219" s="24">
        <v>0</v>
      </c>
      <c r="F1219" s="23">
        <f>COUNTIFS(mdr_rate_cleaned!$A$2:$A$10,B1219,mdr_rate_cleaned!$B$2:$B$10,"&lt;"&amp;C1219,mdr_rate_cleaned!$F$2:$F$10,"&gt;="&amp;C1219)</f>
        <v>1</v>
      </c>
      <c r="G1219" s="40">
        <f>SUMIFS(mdr_rate_cleaned!$G$2:$G$10,mdr_rate_cleaned!$A$2:$A$10,B1219,mdr_rate_cleaned!$B$2:$B$10,"&lt;"&amp;C1219,mdr_rate_cleaned!$F$2:$F$10,"&gt;="&amp;C1219)</f>
        <v>0</v>
      </c>
      <c r="H1219" s="24">
        <f t="shared" si="95"/>
        <v>0</v>
      </c>
      <c r="I1219" s="23" t="str">
        <f t="shared" si="96"/>
        <v>Match</v>
      </c>
      <c r="J1219" s="23" t="str">
        <f t="shared" si="97"/>
        <v>Match</v>
      </c>
      <c r="K1219" s="24">
        <f t="shared" si="98"/>
        <v>0</v>
      </c>
      <c r="L1219" s="24">
        <f t="shared" si="99"/>
        <v>0</v>
      </c>
    </row>
    <row r="1220" spans="1:12" ht="15" customHeight="1" x14ac:dyDescent="0.3">
      <c r="A1220" s="23" t="s">
        <v>13845</v>
      </c>
      <c r="B1220" s="23" t="s">
        <v>81</v>
      </c>
      <c r="C1220" s="39">
        <v>3798</v>
      </c>
      <c r="D1220" s="24">
        <v>45.58</v>
      </c>
      <c r="E1220" s="24">
        <v>8.1999999999999993</v>
      </c>
      <c r="F1220" s="23">
        <f>COUNTIFS(mdr_rate_cleaned!$A$2:$A$10,B1220,mdr_rate_cleaned!$B$2:$B$10,"&lt;"&amp;C1220,mdr_rate_cleaned!$F$2:$F$10,"&gt;="&amp;C1220)</f>
        <v>1</v>
      </c>
      <c r="G1220" s="40">
        <f>SUMIFS(mdr_rate_cleaned!$G$2:$G$10,mdr_rate_cleaned!$A$2:$A$10,B1220,mdr_rate_cleaned!$B$2:$B$10,"&lt;"&amp;C1220,mdr_rate_cleaned!$F$2:$F$10,"&gt;="&amp;C1220)</f>
        <v>1.2E-2</v>
      </c>
      <c r="H1220" s="24">
        <f t="shared" si="95"/>
        <v>45.58</v>
      </c>
      <c r="I1220" s="23" t="str">
        <f t="shared" si="96"/>
        <v>Match</v>
      </c>
      <c r="J1220" s="23" t="str">
        <f t="shared" si="97"/>
        <v>Match</v>
      </c>
      <c r="K1220" s="24">
        <f t="shared" si="98"/>
        <v>8.1999999999999993</v>
      </c>
      <c r="L1220" s="24">
        <f t="shared" si="99"/>
        <v>0</v>
      </c>
    </row>
    <row r="1221" spans="1:12" ht="15" customHeight="1" x14ac:dyDescent="0.3">
      <c r="A1221" s="23" t="s">
        <v>13846</v>
      </c>
      <c r="B1221" s="23" t="s">
        <v>75</v>
      </c>
      <c r="C1221" s="39">
        <v>4999</v>
      </c>
      <c r="D1221" s="24">
        <v>15</v>
      </c>
      <c r="E1221" s="24">
        <v>2.7</v>
      </c>
      <c r="F1221" s="23">
        <f>COUNTIFS(mdr_rate_cleaned!$A$2:$A$10,B1221,mdr_rate_cleaned!$B$2:$B$10,"&lt;"&amp;C1221,mdr_rate_cleaned!$F$2:$F$10,"&gt;="&amp;C1221)</f>
        <v>1</v>
      </c>
      <c r="G1221" s="40">
        <f>SUMIFS(mdr_rate_cleaned!$G$2:$G$10,mdr_rate_cleaned!$A$2:$A$10,B1221,mdr_rate_cleaned!$B$2:$B$10,"&lt;"&amp;C1221,mdr_rate_cleaned!$F$2:$F$10,"&gt;="&amp;C1221)</f>
        <v>3.0000000000000001E-3</v>
      </c>
      <c r="H1221" s="24">
        <f t="shared" si="95"/>
        <v>15</v>
      </c>
      <c r="I1221" s="23" t="str">
        <f t="shared" si="96"/>
        <v>Match</v>
      </c>
      <c r="J1221" s="23" t="str">
        <f t="shared" si="97"/>
        <v>Match</v>
      </c>
      <c r="K1221" s="24">
        <f t="shared" si="98"/>
        <v>2.7</v>
      </c>
      <c r="L1221" s="24">
        <f t="shared" si="99"/>
        <v>0</v>
      </c>
    </row>
    <row r="1222" spans="1:12" ht="15" customHeight="1" x14ac:dyDescent="0.3">
      <c r="A1222" s="23" t="s">
        <v>13847</v>
      </c>
      <c r="B1222" s="23" t="s">
        <v>75</v>
      </c>
      <c r="C1222" s="39">
        <v>3098</v>
      </c>
      <c r="D1222" s="24">
        <v>9.2899999999999991</v>
      </c>
      <c r="E1222" s="24">
        <v>1.67</v>
      </c>
      <c r="F1222" s="23">
        <f>COUNTIFS(mdr_rate_cleaned!$A$2:$A$10,B1222,mdr_rate_cleaned!$B$2:$B$10,"&lt;"&amp;C1222,mdr_rate_cleaned!$F$2:$F$10,"&gt;="&amp;C1222)</f>
        <v>1</v>
      </c>
      <c r="G1222" s="40">
        <f>SUMIFS(mdr_rate_cleaned!$G$2:$G$10,mdr_rate_cleaned!$A$2:$A$10,B1222,mdr_rate_cleaned!$B$2:$B$10,"&lt;"&amp;C1222,mdr_rate_cleaned!$F$2:$F$10,"&gt;="&amp;C1222)</f>
        <v>3.0000000000000001E-3</v>
      </c>
      <c r="H1222" s="24">
        <f t="shared" si="95"/>
        <v>9.2899999999999991</v>
      </c>
      <c r="I1222" s="23" t="str">
        <f t="shared" si="96"/>
        <v>Match</v>
      </c>
      <c r="J1222" s="23" t="str">
        <f t="shared" si="97"/>
        <v>Match</v>
      </c>
      <c r="K1222" s="24">
        <f t="shared" si="98"/>
        <v>1.67</v>
      </c>
      <c r="L1222" s="24">
        <f t="shared" si="99"/>
        <v>0</v>
      </c>
    </row>
    <row r="1223" spans="1:12" ht="15" customHeight="1" x14ac:dyDescent="0.3">
      <c r="A1223" s="23" t="s">
        <v>13848</v>
      </c>
      <c r="B1223" s="23" t="s">
        <v>77</v>
      </c>
      <c r="C1223" s="39">
        <v>7998</v>
      </c>
      <c r="D1223" s="24">
        <v>135.97</v>
      </c>
      <c r="E1223" s="24">
        <v>24.47</v>
      </c>
      <c r="F1223" s="23">
        <f>COUNTIFS(mdr_rate_cleaned!$A$2:$A$10,B1223,mdr_rate_cleaned!$B$2:$B$10,"&lt;"&amp;C1223,mdr_rate_cleaned!$F$2:$F$10,"&gt;="&amp;C1223)</f>
        <v>1</v>
      </c>
      <c r="G1223" s="40">
        <f>SUMIFS(mdr_rate_cleaned!$G$2:$G$10,mdr_rate_cleaned!$A$2:$A$10,B1223,mdr_rate_cleaned!$B$2:$B$10,"&lt;"&amp;C1223,mdr_rate_cleaned!$F$2:$F$10,"&gt;="&amp;C1223)</f>
        <v>1.7000000000000001E-2</v>
      </c>
      <c r="H1223" s="24">
        <f t="shared" si="95"/>
        <v>135.97</v>
      </c>
      <c r="I1223" s="23" t="str">
        <f t="shared" si="96"/>
        <v>Match</v>
      </c>
      <c r="J1223" s="23" t="str">
        <f t="shared" si="97"/>
        <v>Match</v>
      </c>
      <c r="K1223" s="24">
        <f t="shared" si="98"/>
        <v>24.47</v>
      </c>
      <c r="L1223" s="24">
        <f t="shared" si="99"/>
        <v>0</v>
      </c>
    </row>
    <row r="1224" spans="1:12" ht="15" customHeight="1" x14ac:dyDescent="0.3">
      <c r="A1224" s="23" t="s">
        <v>13849</v>
      </c>
      <c r="B1224" s="23" t="s">
        <v>75</v>
      </c>
      <c r="C1224" s="39">
        <v>1499</v>
      </c>
      <c r="D1224" s="24">
        <v>0</v>
      </c>
      <c r="E1224" s="24">
        <v>0</v>
      </c>
      <c r="F1224" s="23">
        <f>COUNTIFS(mdr_rate_cleaned!$A$2:$A$10,B1224,mdr_rate_cleaned!$B$2:$B$10,"&lt;"&amp;C1224,mdr_rate_cleaned!$F$2:$F$10,"&gt;="&amp;C1224)</f>
        <v>1</v>
      </c>
      <c r="G1224" s="40">
        <f>SUMIFS(mdr_rate_cleaned!$G$2:$G$10,mdr_rate_cleaned!$A$2:$A$10,B1224,mdr_rate_cleaned!$B$2:$B$10,"&lt;"&amp;C1224,mdr_rate_cleaned!$F$2:$F$10,"&gt;="&amp;C1224)</f>
        <v>0</v>
      </c>
      <c r="H1224" s="24">
        <f t="shared" si="95"/>
        <v>0</v>
      </c>
      <c r="I1224" s="23" t="str">
        <f t="shared" si="96"/>
        <v>Match</v>
      </c>
      <c r="J1224" s="23" t="str">
        <f t="shared" si="97"/>
        <v>Match</v>
      </c>
      <c r="K1224" s="24">
        <f t="shared" si="98"/>
        <v>0</v>
      </c>
      <c r="L1224" s="24">
        <f t="shared" si="99"/>
        <v>0</v>
      </c>
    </row>
    <row r="1225" spans="1:12" ht="15" customHeight="1" x14ac:dyDescent="0.3">
      <c r="A1225" s="23" t="s">
        <v>13850</v>
      </c>
      <c r="B1225" s="23" t="s">
        <v>79</v>
      </c>
      <c r="C1225" s="39">
        <v>5597</v>
      </c>
      <c r="D1225" s="24">
        <v>89.55</v>
      </c>
      <c r="E1225" s="24">
        <v>16.12</v>
      </c>
      <c r="F1225" s="23">
        <f>COUNTIFS(mdr_rate_cleaned!$A$2:$A$10,B1225,mdr_rate_cleaned!$B$2:$B$10,"&lt;"&amp;C1225,mdr_rate_cleaned!$F$2:$F$10,"&gt;="&amp;C1225)</f>
        <v>1</v>
      </c>
      <c r="G1225" s="40">
        <f>SUMIFS(mdr_rate_cleaned!$G$2:$G$10,mdr_rate_cleaned!$A$2:$A$10,B1225,mdr_rate_cleaned!$B$2:$B$10,"&lt;"&amp;C1225,mdr_rate_cleaned!$F$2:$F$10,"&gt;="&amp;C1225)</f>
        <v>1.6E-2</v>
      </c>
      <c r="H1225" s="24">
        <f t="shared" si="95"/>
        <v>89.55</v>
      </c>
      <c r="I1225" s="23" t="str">
        <f t="shared" si="96"/>
        <v>Match</v>
      </c>
      <c r="J1225" s="23" t="str">
        <f t="shared" si="97"/>
        <v>Match</v>
      </c>
      <c r="K1225" s="24">
        <f t="shared" si="98"/>
        <v>16.12</v>
      </c>
      <c r="L1225" s="24">
        <f t="shared" si="99"/>
        <v>0</v>
      </c>
    </row>
    <row r="1226" spans="1:12" ht="15" customHeight="1" x14ac:dyDescent="0.3">
      <c r="A1226" s="23" t="s">
        <v>13851</v>
      </c>
      <c r="B1226" s="23" t="s">
        <v>77</v>
      </c>
      <c r="C1226" s="39">
        <v>1648</v>
      </c>
      <c r="D1226" s="24">
        <v>31.31</v>
      </c>
      <c r="E1226" s="24">
        <v>5.64</v>
      </c>
      <c r="F1226" s="23">
        <f>COUNTIFS(mdr_rate_cleaned!$A$2:$A$10,B1226,mdr_rate_cleaned!$B$2:$B$10,"&lt;"&amp;C1226,mdr_rate_cleaned!$F$2:$F$10,"&gt;="&amp;C1226)</f>
        <v>1</v>
      </c>
      <c r="G1226" s="40">
        <f>SUMIFS(mdr_rate_cleaned!$G$2:$G$10,mdr_rate_cleaned!$A$2:$A$10,B1226,mdr_rate_cleaned!$B$2:$B$10,"&lt;"&amp;C1226,mdr_rate_cleaned!$F$2:$F$10,"&gt;="&amp;C1226)</f>
        <v>1.9E-2</v>
      </c>
      <c r="H1226" s="24">
        <f t="shared" si="95"/>
        <v>31.31</v>
      </c>
      <c r="I1226" s="23" t="str">
        <f t="shared" si="96"/>
        <v>Match</v>
      </c>
      <c r="J1226" s="23" t="str">
        <f t="shared" si="97"/>
        <v>Match</v>
      </c>
      <c r="K1226" s="24">
        <f t="shared" si="98"/>
        <v>5.64</v>
      </c>
      <c r="L1226" s="24">
        <f t="shared" si="99"/>
        <v>0</v>
      </c>
    </row>
    <row r="1227" spans="1:12" ht="15" customHeight="1" x14ac:dyDescent="0.3">
      <c r="A1227" s="23" t="s">
        <v>13853</v>
      </c>
      <c r="B1227" s="23" t="s">
        <v>75</v>
      </c>
      <c r="C1227" s="39">
        <v>349</v>
      </c>
      <c r="D1227" s="24">
        <v>0</v>
      </c>
      <c r="E1227" s="24">
        <v>0</v>
      </c>
      <c r="F1227" s="23">
        <f>COUNTIFS(mdr_rate_cleaned!$A$2:$A$10,B1227,mdr_rate_cleaned!$B$2:$B$10,"&lt;"&amp;C1227,mdr_rate_cleaned!$F$2:$F$10,"&gt;="&amp;C1227)</f>
        <v>1</v>
      </c>
      <c r="G1227" s="40">
        <f>SUMIFS(mdr_rate_cleaned!$G$2:$G$10,mdr_rate_cleaned!$A$2:$A$10,B1227,mdr_rate_cleaned!$B$2:$B$10,"&lt;"&amp;C1227,mdr_rate_cleaned!$F$2:$F$10,"&gt;="&amp;C1227)</f>
        <v>0</v>
      </c>
      <c r="H1227" s="24">
        <f t="shared" si="95"/>
        <v>0</v>
      </c>
      <c r="I1227" s="23" t="str">
        <f t="shared" si="96"/>
        <v>Match</v>
      </c>
      <c r="J1227" s="23" t="str">
        <f t="shared" si="97"/>
        <v>Match</v>
      </c>
      <c r="K1227" s="24">
        <f t="shared" si="98"/>
        <v>0</v>
      </c>
      <c r="L1227" s="24">
        <f t="shared" si="99"/>
        <v>0</v>
      </c>
    </row>
    <row r="1228" spans="1:12" ht="15" customHeight="1" x14ac:dyDescent="0.3">
      <c r="A1228" s="23" t="s">
        <v>13854</v>
      </c>
      <c r="B1228" s="23" t="s">
        <v>79</v>
      </c>
      <c r="C1228" s="39">
        <v>7999</v>
      </c>
      <c r="D1228" s="24">
        <v>127.98</v>
      </c>
      <c r="E1228" s="24">
        <v>23.04</v>
      </c>
      <c r="F1228" s="23">
        <f>COUNTIFS(mdr_rate_cleaned!$A$2:$A$10,B1228,mdr_rate_cleaned!$B$2:$B$10,"&lt;"&amp;C1228,mdr_rate_cleaned!$F$2:$F$10,"&gt;="&amp;C1228)</f>
        <v>1</v>
      </c>
      <c r="G1228" s="40">
        <f>SUMIFS(mdr_rate_cleaned!$G$2:$G$10,mdr_rate_cleaned!$A$2:$A$10,B1228,mdr_rate_cleaned!$B$2:$B$10,"&lt;"&amp;C1228,mdr_rate_cleaned!$F$2:$F$10,"&gt;="&amp;C1228)</f>
        <v>1.6E-2</v>
      </c>
      <c r="H1228" s="24">
        <f t="shared" si="95"/>
        <v>127.98</v>
      </c>
      <c r="I1228" s="23" t="str">
        <f t="shared" si="96"/>
        <v>Match</v>
      </c>
      <c r="J1228" s="23" t="str">
        <f t="shared" si="97"/>
        <v>Match</v>
      </c>
      <c r="K1228" s="24">
        <f t="shared" si="98"/>
        <v>23.04</v>
      </c>
      <c r="L1228" s="24">
        <f t="shared" si="99"/>
        <v>0</v>
      </c>
    </row>
    <row r="1229" spans="1:12" ht="15" customHeight="1" x14ac:dyDescent="0.3">
      <c r="A1229" s="23" t="s">
        <v>13855</v>
      </c>
      <c r="B1229" s="23" t="s">
        <v>79</v>
      </c>
      <c r="C1229" s="39">
        <v>499</v>
      </c>
      <c r="D1229" s="24">
        <v>8.98</v>
      </c>
      <c r="E1229" s="24">
        <v>1.62</v>
      </c>
      <c r="F1229" s="23">
        <f>COUNTIFS(mdr_rate_cleaned!$A$2:$A$10,B1229,mdr_rate_cleaned!$B$2:$B$10,"&lt;"&amp;C1229,mdr_rate_cleaned!$F$2:$F$10,"&gt;="&amp;C1229)</f>
        <v>1</v>
      </c>
      <c r="G1229" s="40">
        <f>SUMIFS(mdr_rate_cleaned!$G$2:$G$10,mdr_rate_cleaned!$A$2:$A$10,B1229,mdr_rate_cleaned!$B$2:$B$10,"&lt;"&amp;C1229,mdr_rate_cleaned!$F$2:$F$10,"&gt;="&amp;C1229)</f>
        <v>1.8000000000000002E-2</v>
      </c>
      <c r="H1229" s="24">
        <f t="shared" si="95"/>
        <v>8.98</v>
      </c>
      <c r="I1229" s="23" t="str">
        <f t="shared" si="96"/>
        <v>Match</v>
      </c>
      <c r="J1229" s="23" t="str">
        <f t="shared" si="97"/>
        <v>Match</v>
      </c>
      <c r="K1229" s="24">
        <f t="shared" si="98"/>
        <v>1.62</v>
      </c>
      <c r="L1229" s="24">
        <f t="shared" si="99"/>
        <v>0</v>
      </c>
    </row>
    <row r="1230" spans="1:12" ht="15" customHeight="1" x14ac:dyDescent="0.3">
      <c r="A1230" s="23" t="s">
        <v>13856</v>
      </c>
      <c r="B1230" s="23" t="s">
        <v>75</v>
      </c>
      <c r="C1230" s="39">
        <v>599</v>
      </c>
      <c r="D1230" s="24">
        <v>0</v>
      </c>
      <c r="E1230" s="24">
        <v>0</v>
      </c>
      <c r="F1230" s="23">
        <f>COUNTIFS(mdr_rate_cleaned!$A$2:$A$10,B1230,mdr_rate_cleaned!$B$2:$B$10,"&lt;"&amp;C1230,mdr_rate_cleaned!$F$2:$F$10,"&gt;="&amp;C1230)</f>
        <v>1</v>
      </c>
      <c r="G1230" s="40">
        <f>SUMIFS(mdr_rate_cleaned!$G$2:$G$10,mdr_rate_cleaned!$A$2:$A$10,B1230,mdr_rate_cleaned!$B$2:$B$10,"&lt;"&amp;C1230,mdr_rate_cleaned!$F$2:$F$10,"&gt;="&amp;C1230)</f>
        <v>0</v>
      </c>
      <c r="H1230" s="24">
        <f t="shared" si="95"/>
        <v>0</v>
      </c>
      <c r="I1230" s="23" t="str">
        <f t="shared" si="96"/>
        <v>Match</v>
      </c>
      <c r="J1230" s="23" t="str">
        <f t="shared" si="97"/>
        <v>Match</v>
      </c>
      <c r="K1230" s="24">
        <f t="shared" si="98"/>
        <v>0</v>
      </c>
      <c r="L1230" s="24">
        <f t="shared" si="99"/>
        <v>0</v>
      </c>
    </row>
    <row r="1231" spans="1:12" ht="15" customHeight="1" x14ac:dyDescent="0.3">
      <c r="A1231" s="23" t="s">
        <v>13857</v>
      </c>
      <c r="B1231" s="23" t="s">
        <v>77</v>
      </c>
      <c r="C1231" s="39">
        <v>6597</v>
      </c>
      <c r="D1231" s="24">
        <v>112.15</v>
      </c>
      <c r="E1231" s="24">
        <v>20.190000000000001</v>
      </c>
      <c r="F1231" s="23">
        <f>COUNTIFS(mdr_rate_cleaned!$A$2:$A$10,B1231,mdr_rate_cleaned!$B$2:$B$10,"&lt;"&amp;C1231,mdr_rate_cleaned!$F$2:$F$10,"&gt;="&amp;C1231)</f>
        <v>1</v>
      </c>
      <c r="G1231" s="40">
        <f>SUMIFS(mdr_rate_cleaned!$G$2:$G$10,mdr_rate_cleaned!$A$2:$A$10,B1231,mdr_rate_cleaned!$B$2:$B$10,"&lt;"&amp;C1231,mdr_rate_cleaned!$F$2:$F$10,"&gt;="&amp;C1231)</f>
        <v>1.7000000000000001E-2</v>
      </c>
      <c r="H1231" s="24">
        <f t="shared" si="95"/>
        <v>112.15</v>
      </c>
      <c r="I1231" s="23" t="str">
        <f t="shared" si="96"/>
        <v>Match</v>
      </c>
      <c r="J1231" s="23" t="str">
        <f t="shared" si="97"/>
        <v>Match</v>
      </c>
      <c r="K1231" s="24">
        <f t="shared" si="98"/>
        <v>20.190000000000001</v>
      </c>
      <c r="L1231" s="24">
        <f t="shared" si="99"/>
        <v>0</v>
      </c>
    </row>
    <row r="1232" spans="1:12" ht="15" customHeight="1" x14ac:dyDescent="0.3">
      <c r="A1232" s="23" t="s">
        <v>13859</v>
      </c>
      <c r="B1232" s="23" t="s">
        <v>75</v>
      </c>
      <c r="C1232" s="39">
        <v>1799</v>
      </c>
      <c r="D1232" s="24">
        <v>0</v>
      </c>
      <c r="E1232" s="24">
        <v>0</v>
      </c>
      <c r="F1232" s="23">
        <f>COUNTIFS(mdr_rate_cleaned!$A$2:$A$10,B1232,mdr_rate_cleaned!$B$2:$B$10,"&lt;"&amp;C1232,mdr_rate_cleaned!$F$2:$F$10,"&gt;="&amp;C1232)</f>
        <v>1</v>
      </c>
      <c r="G1232" s="40">
        <f>SUMIFS(mdr_rate_cleaned!$G$2:$G$10,mdr_rate_cleaned!$A$2:$A$10,B1232,mdr_rate_cleaned!$B$2:$B$10,"&lt;"&amp;C1232,mdr_rate_cleaned!$F$2:$F$10,"&gt;="&amp;C1232)</f>
        <v>0</v>
      </c>
      <c r="H1232" s="24">
        <f t="shared" si="95"/>
        <v>0</v>
      </c>
      <c r="I1232" s="23" t="str">
        <f t="shared" si="96"/>
        <v>Match</v>
      </c>
      <c r="J1232" s="23" t="str">
        <f t="shared" si="97"/>
        <v>Match</v>
      </c>
      <c r="K1232" s="24">
        <f t="shared" si="98"/>
        <v>0</v>
      </c>
      <c r="L1232" s="24">
        <f t="shared" si="99"/>
        <v>0</v>
      </c>
    </row>
    <row r="1233" spans="1:12" ht="15" customHeight="1" x14ac:dyDescent="0.3">
      <c r="A1233" s="23" t="s">
        <v>13860</v>
      </c>
      <c r="B1233" s="23" t="s">
        <v>77</v>
      </c>
      <c r="C1233" s="39">
        <v>349</v>
      </c>
      <c r="D1233" s="24">
        <v>6.63</v>
      </c>
      <c r="E1233" s="24">
        <v>1.19</v>
      </c>
      <c r="F1233" s="23">
        <f>COUNTIFS(mdr_rate_cleaned!$A$2:$A$10,B1233,mdr_rate_cleaned!$B$2:$B$10,"&lt;"&amp;C1233,mdr_rate_cleaned!$F$2:$F$10,"&gt;="&amp;C1233)</f>
        <v>1</v>
      </c>
      <c r="G1233" s="40">
        <f>SUMIFS(mdr_rate_cleaned!$G$2:$G$10,mdr_rate_cleaned!$A$2:$A$10,B1233,mdr_rate_cleaned!$B$2:$B$10,"&lt;"&amp;C1233,mdr_rate_cleaned!$F$2:$F$10,"&gt;="&amp;C1233)</f>
        <v>1.9E-2</v>
      </c>
      <c r="H1233" s="24">
        <f t="shared" si="95"/>
        <v>6.63</v>
      </c>
      <c r="I1233" s="23" t="str">
        <f t="shared" si="96"/>
        <v>Match</v>
      </c>
      <c r="J1233" s="23" t="str">
        <f t="shared" si="97"/>
        <v>Match</v>
      </c>
      <c r="K1233" s="24">
        <f t="shared" si="98"/>
        <v>1.19</v>
      </c>
      <c r="L1233" s="24">
        <f t="shared" si="99"/>
        <v>0</v>
      </c>
    </row>
    <row r="1234" spans="1:12" ht="15" customHeight="1" x14ac:dyDescent="0.3">
      <c r="A1234" s="23" t="s">
        <v>13861</v>
      </c>
      <c r="B1234" s="23" t="s">
        <v>75</v>
      </c>
      <c r="C1234" s="39">
        <v>1398</v>
      </c>
      <c r="D1234" s="24">
        <v>0</v>
      </c>
      <c r="E1234" s="24">
        <v>0</v>
      </c>
      <c r="F1234" s="23">
        <f>COUNTIFS(mdr_rate_cleaned!$A$2:$A$10,B1234,mdr_rate_cleaned!$B$2:$B$10,"&lt;"&amp;C1234,mdr_rate_cleaned!$F$2:$F$10,"&gt;="&amp;C1234)</f>
        <v>1</v>
      </c>
      <c r="G1234" s="40">
        <f>SUMIFS(mdr_rate_cleaned!$G$2:$G$10,mdr_rate_cleaned!$A$2:$A$10,B1234,mdr_rate_cleaned!$B$2:$B$10,"&lt;"&amp;C1234,mdr_rate_cleaned!$F$2:$F$10,"&gt;="&amp;C1234)</f>
        <v>0</v>
      </c>
      <c r="H1234" s="24">
        <f t="shared" si="95"/>
        <v>0</v>
      </c>
      <c r="I1234" s="23" t="str">
        <f t="shared" si="96"/>
        <v>Match</v>
      </c>
      <c r="J1234" s="23" t="str">
        <f t="shared" si="97"/>
        <v>Match</v>
      </c>
      <c r="K1234" s="24">
        <f t="shared" si="98"/>
        <v>0</v>
      </c>
      <c r="L1234" s="24">
        <f t="shared" si="99"/>
        <v>0</v>
      </c>
    </row>
    <row r="1235" spans="1:12" ht="15" customHeight="1" x14ac:dyDescent="0.3">
      <c r="A1235" s="23" t="s">
        <v>13863</v>
      </c>
      <c r="B1235" s="23" t="s">
        <v>75</v>
      </c>
      <c r="C1235" s="39">
        <v>4999</v>
      </c>
      <c r="D1235" s="24">
        <v>15</v>
      </c>
      <c r="E1235" s="24">
        <v>2.7</v>
      </c>
      <c r="F1235" s="23">
        <f>COUNTIFS(mdr_rate_cleaned!$A$2:$A$10,B1235,mdr_rate_cleaned!$B$2:$B$10,"&lt;"&amp;C1235,mdr_rate_cleaned!$F$2:$F$10,"&gt;="&amp;C1235)</f>
        <v>1</v>
      </c>
      <c r="G1235" s="40">
        <f>SUMIFS(mdr_rate_cleaned!$G$2:$G$10,mdr_rate_cleaned!$A$2:$A$10,B1235,mdr_rate_cleaned!$B$2:$B$10,"&lt;"&amp;C1235,mdr_rate_cleaned!$F$2:$F$10,"&gt;="&amp;C1235)</f>
        <v>3.0000000000000001E-3</v>
      </c>
      <c r="H1235" s="24">
        <f t="shared" si="95"/>
        <v>15</v>
      </c>
      <c r="I1235" s="23" t="str">
        <f t="shared" si="96"/>
        <v>Match</v>
      </c>
      <c r="J1235" s="23" t="str">
        <f t="shared" si="97"/>
        <v>Match</v>
      </c>
      <c r="K1235" s="24">
        <f t="shared" si="98"/>
        <v>2.7</v>
      </c>
      <c r="L1235" s="24">
        <f t="shared" si="99"/>
        <v>0</v>
      </c>
    </row>
    <row r="1236" spans="1:12" ht="15" customHeight="1" x14ac:dyDescent="0.3">
      <c r="A1236" s="23" t="s">
        <v>13864</v>
      </c>
      <c r="B1236" s="23" t="s">
        <v>75</v>
      </c>
      <c r="C1236" s="39">
        <v>8997</v>
      </c>
      <c r="D1236" s="24">
        <v>26.99</v>
      </c>
      <c r="E1236" s="24">
        <v>4.8600000000000003</v>
      </c>
      <c r="F1236" s="23">
        <f>COUNTIFS(mdr_rate_cleaned!$A$2:$A$10,B1236,mdr_rate_cleaned!$B$2:$B$10,"&lt;"&amp;C1236,mdr_rate_cleaned!$F$2:$F$10,"&gt;="&amp;C1236)</f>
        <v>1</v>
      </c>
      <c r="G1236" s="40">
        <f>SUMIFS(mdr_rate_cleaned!$G$2:$G$10,mdr_rate_cleaned!$A$2:$A$10,B1236,mdr_rate_cleaned!$B$2:$B$10,"&lt;"&amp;C1236,mdr_rate_cleaned!$F$2:$F$10,"&gt;="&amp;C1236)</f>
        <v>3.0000000000000001E-3</v>
      </c>
      <c r="H1236" s="24">
        <f t="shared" si="95"/>
        <v>26.99</v>
      </c>
      <c r="I1236" s="23" t="str">
        <f t="shared" si="96"/>
        <v>Match</v>
      </c>
      <c r="J1236" s="23" t="str">
        <f t="shared" si="97"/>
        <v>Match</v>
      </c>
      <c r="K1236" s="24">
        <f t="shared" si="98"/>
        <v>4.8600000000000003</v>
      </c>
      <c r="L1236" s="24">
        <f t="shared" si="99"/>
        <v>0</v>
      </c>
    </row>
    <row r="1237" spans="1:12" ht="15" customHeight="1" x14ac:dyDescent="0.3">
      <c r="A1237" s="23" t="s">
        <v>13865</v>
      </c>
      <c r="B1237" s="23" t="s">
        <v>79</v>
      </c>
      <c r="C1237" s="39">
        <v>1299</v>
      </c>
      <c r="D1237" s="24">
        <v>23.38</v>
      </c>
      <c r="E1237" s="24">
        <v>4.21</v>
      </c>
      <c r="F1237" s="23">
        <f>COUNTIFS(mdr_rate_cleaned!$A$2:$A$10,B1237,mdr_rate_cleaned!$B$2:$B$10,"&lt;"&amp;C1237,mdr_rate_cleaned!$F$2:$F$10,"&gt;="&amp;C1237)</f>
        <v>1</v>
      </c>
      <c r="G1237" s="40">
        <f>SUMIFS(mdr_rate_cleaned!$G$2:$G$10,mdr_rate_cleaned!$A$2:$A$10,B1237,mdr_rate_cleaned!$B$2:$B$10,"&lt;"&amp;C1237,mdr_rate_cleaned!$F$2:$F$10,"&gt;="&amp;C1237)</f>
        <v>1.8000000000000002E-2</v>
      </c>
      <c r="H1237" s="24">
        <f t="shared" si="95"/>
        <v>23.38</v>
      </c>
      <c r="I1237" s="23" t="str">
        <f t="shared" si="96"/>
        <v>Match</v>
      </c>
      <c r="J1237" s="23" t="str">
        <f t="shared" si="97"/>
        <v>Match</v>
      </c>
      <c r="K1237" s="24">
        <f t="shared" si="98"/>
        <v>4.21</v>
      </c>
      <c r="L1237" s="24">
        <f t="shared" si="99"/>
        <v>0</v>
      </c>
    </row>
    <row r="1238" spans="1:12" ht="15" customHeight="1" x14ac:dyDescent="0.3">
      <c r="A1238" s="23" t="s">
        <v>13866</v>
      </c>
      <c r="B1238" s="23" t="s">
        <v>75</v>
      </c>
      <c r="C1238" s="39">
        <v>3998</v>
      </c>
      <c r="D1238" s="24">
        <v>11.99</v>
      </c>
      <c r="E1238" s="24">
        <v>2.16</v>
      </c>
      <c r="F1238" s="23">
        <f>COUNTIFS(mdr_rate_cleaned!$A$2:$A$10,B1238,mdr_rate_cleaned!$B$2:$B$10,"&lt;"&amp;C1238,mdr_rate_cleaned!$F$2:$F$10,"&gt;="&amp;C1238)</f>
        <v>1</v>
      </c>
      <c r="G1238" s="40">
        <f>SUMIFS(mdr_rate_cleaned!$G$2:$G$10,mdr_rate_cleaned!$A$2:$A$10,B1238,mdr_rate_cleaned!$B$2:$B$10,"&lt;"&amp;C1238,mdr_rate_cleaned!$F$2:$F$10,"&gt;="&amp;C1238)</f>
        <v>3.0000000000000001E-3</v>
      </c>
      <c r="H1238" s="24">
        <f t="shared" si="95"/>
        <v>11.99</v>
      </c>
      <c r="I1238" s="23" t="str">
        <f t="shared" si="96"/>
        <v>Match</v>
      </c>
      <c r="J1238" s="23" t="str">
        <f t="shared" si="97"/>
        <v>Match</v>
      </c>
      <c r="K1238" s="24">
        <f t="shared" si="98"/>
        <v>2.16</v>
      </c>
      <c r="L1238" s="24">
        <f t="shared" si="99"/>
        <v>0</v>
      </c>
    </row>
    <row r="1239" spans="1:12" ht="15" customHeight="1" x14ac:dyDescent="0.3">
      <c r="A1239" s="23" t="s">
        <v>13867</v>
      </c>
      <c r="B1239" s="23" t="s">
        <v>79</v>
      </c>
      <c r="C1239" s="39">
        <v>4999</v>
      </c>
      <c r="D1239" s="24">
        <v>79.98</v>
      </c>
      <c r="E1239" s="24">
        <v>14.4</v>
      </c>
      <c r="F1239" s="23">
        <f>COUNTIFS(mdr_rate_cleaned!$A$2:$A$10,B1239,mdr_rate_cleaned!$B$2:$B$10,"&lt;"&amp;C1239,mdr_rate_cleaned!$F$2:$F$10,"&gt;="&amp;C1239)</f>
        <v>1</v>
      </c>
      <c r="G1239" s="40">
        <f>SUMIFS(mdr_rate_cleaned!$G$2:$G$10,mdr_rate_cleaned!$A$2:$A$10,B1239,mdr_rate_cleaned!$B$2:$B$10,"&lt;"&amp;C1239,mdr_rate_cleaned!$F$2:$F$10,"&gt;="&amp;C1239)</f>
        <v>1.6E-2</v>
      </c>
      <c r="H1239" s="24">
        <f t="shared" si="95"/>
        <v>79.98</v>
      </c>
      <c r="I1239" s="23" t="str">
        <f t="shared" si="96"/>
        <v>Match</v>
      </c>
      <c r="J1239" s="23" t="str">
        <f t="shared" si="97"/>
        <v>Match</v>
      </c>
      <c r="K1239" s="24">
        <f t="shared" si="98"/>
        <v>14.4</v>
      </c>
      <c r="L1239" s="24">
        <f t="shared" si="99"/>
        <v>0</v>
      </c>
    </row>
    <row r="1240" spans="1:12" ht="15" customHeight="1" x14ac:dyDescent="0.3">
      <c r="A1240" s="23" t="s">
        <v>13869</v>
      </c>
      <c r="B1240" s="23" t="s">
        <v>77</v>
      </c>
      <c r="C1240" s="39">
        <v>1499</v>
      </c>
      <c r="D1240" s="24">
        <v>28.48</v>
      </c>
      <c r="E1240" s="24">
        <v>5.13</v>
      </c>
      <c r="F1240" s="23">
        <f>COUNTIFS(mdr_rate_cleaned!$A$2:$A$10,B1240,mdr_rate_cleaned!$B$2:$B$10,"&lt;"&amp;C1240,mdr_rate_cleaned!$F$2:$F$10,"&gt;="&amp;C1240)</f>
        <v>1</v>
      </c>
      <c r="G1240" s="40">
        <f>SUMIFS(mdr_rate_cleaned!$G$2:$G$10,mdr_rate_cleaned!$A$2:$A$10,B1240,mdr_rate_cleaned!$B$2:$B$10,"&lt;"&amp;C1240,mdr_rate_cleaned!$F$2:$F$10,"&gt;="&amp;C1240)</f>
        <v>1.9E-2</v>
      </c>
      <c r="H1240" s="24">
        <f t="shared" si="95"/>
        <v>28.48</v>
      </c>
      <c r="I1240" s="23" t="str">
        <f t="shared" si="96"/>
        <v>Match</v>
      </c>
      <c r="J1240" s="23" t="str">
        <f t="shared" si="97"/>
        <v>Match</v>
      </c>
      <c r="K1240" s="24">
        <f t="shared" si="98"/>
        <v>5.13</v>
      </c>
      <c r="L1240" s="24">
        <f t="shared" si="99"/>
        <v>0</v>
      </c>
    </row>
    <row r="1241" spans="1:12" ht="15" customHeight="1" x14ac:dyDescent="0.3">
      <c r="A1241" s="23" t="s">
        <v>13870</v>
      </c>
      <c r="B1241" s="23" t="s">
        <v>81</v>
      </c>
      <c r="C1241" s="39">
        <v>10497</v>
      </c>
      <c r="D1241" s="24">
        <v>94.47</v>
      </c>
      <c r="E1241" s="24">
        <v>17</v>
      </c>
      <c r="F1241" s="23">
        <f>COUNTIFS(mdr_rate_cleaned!$A$2:$A$10,B1241,mdr_rate_cleaned!$B$2:$B$10,"&lt;"&amp;C1241,mdr_rate_cleaned!$F$2:$F$10,"&gt;="&amp;C1241)</f>
        <v>1</v>
      </c>
      <c r="G1241" s="40">
        <f>SUMIFS(mdr_rate_cleaned!$G$2:$G$10,mdr_rate_cleaned!$A$2:$A$10,B1241,mdr_rate_cleaned!$B$2:$B$10,"&lt;"&amp;C1241,mdr_rate_cleaned!$F$2:$F$10,"&gt;="&amp;C1241)</f>
        <v>9.0000000000000011E-3</v>
      </c>
      <c r="H1241" s="24">
        <f t="shared" si="95"/>
        <v>94.47</v>
      </c>
      <c r="I1241" s="23" t="str">
        <f t="shared" si="96"/>
        <v>Match</v>
      </c>
      <c r="J1241" s="23" t="str">
        <f t="shared" si="97"/>
        <v>Match</v>
      </c>
      <c r="K1241" s="24">
        <f t="shared" si="98"/>
        <v>17</v>
      </c>
      <c r="L1241" s="24">
        <f t="shared" si="99"/>
        <v>0</v>
      </c>
    </row>
    <row r="1242" spans="1:12" ht="15" customHeight="1" x14ac:dyDescent="0.3">
      <c r="A1242" s="23" t="s">
        <v>13872</v>
      </c>
      <c r="B1242" s="23" t="s">
        <v>79</v>
      </c>
      <c r="C1242" s="39">
        <v>1499</v>
      </c>
      <c r="D1242" s="24">
        <v>26.98</v>
      </c>
      <c r="E1242" s="24">
        <v>4.8600000000000003</v>
      </c>
      <c r="F1242" s="23">
        <f>COUNTIFS(mdr_rate_cleaned!$A$2:$A$10,B1242,mdr_rate_cleaned!$B$2:$B$10,"&lt;"&amp;C1242,mdr_rate_cleaned!$F$2:$F$10,"&gt;="&amp;C1242)</f>
        <v>1</v>
      </c>
      <c r="G1242" s="40">
        <f>SUMIFS(mdr_rate_cleaned!$G$2:$G$10,mdr_rate_cleaned!$A$2:$A$10,B1242,mdr_rate_cleaned!$B$2:$B$10,"&lt;"&amp;C1242,mdr_rate_cleaned!$F$2:$F$10,"&gt;="&amp;C1242)</f>
        <v>1.8000000000000002E-2</v>
      </c>
      <c r="H1242" s="24">
        <f t="shared" si="95"/>
        <v>26.98</v>
      </c>
      <c r="I1242" s="23" t="str">
        <f t="shared" si="96"/>
        <v>Match</v>
      </c>
      <c r="J1242" s="23" t="str">
        <f t="shared" si="97"/>
        <v>Match</v>
      </c>
      <c r="K1242" s="24">
        <f t="shared" si="98"/>
        <v>4.8600000000000003</v>
      </c>
      <c r="L1242" s="24">
        <f t="shared" si="99"/>
        <v>0</v>
      </c>
    </row>
    <row r="1243" spans="1:12" ht="15" customHeight="1" x14ac:dyDescent="0.3">
      <c r="A1243" s="23" t="s">
        <v>13873</v>
      </c>
      <c r="B1243" s="23" t="s">
        <v>79</v>
      </c>
      <c r="C1243" s="39">
        <v>7999</v>
      </c>
      <c r="D1243" s="24">
        <v>127.98</v>
      </c>
      <c r="E1243" s="24">
        <v>23.04</v>
      </c>
      <c r="F1243" s="23">
        <f>COUNTIFS(mdr_rate_cleaned!$A$2:$A$10,B1243,mdr_rate_cleaned!$B$2:$B$10,"&lt;"&amp;C1243,mdr_rate_cleaned!$F$2:$F$10,"&gt;="&amp;C1243)</f>
        <v>1</v>
      </c>
      <c r="G1243" s="40">
        <f>SUMIFS(mdr_rate_cleaned!$G$2:$G$10,mdr_rate_cleaned!$A$2:$A$10,B1243,mdr_rate_cleaned!$B$2:$B$10,"&lt;"&amp;C1243,mdr_rate_cleaned!$F$2:$F$10,"&gt;="&amp;C1243)</f>
        <v>1.6E-2</v>
      </c>
      <c r="H1243" s="24">
        <f t="shared" si="95"/>
        <v>127.98</v>
      </c>
      <c r="I1243" s="23" t="str">
        <f t="shared" si="96"/>
        <v>Match</v>
      </c>
      <c r="J1243" s="23" t="str">
        <f t="shared" si="97"/>
        <v>Match</v>
      </c>
      <c r="K1243" s="24">
        <f t="shared" si="98"/>
        <v>23.04</v>
      </c>
      <c r="L1243" s="24">
        <f t="shared" si="99"/>
        <v>0</v>
      </c>
    </row>
    <row r="1244" spans="1:12" ht="15" customHeight="1" x14ac:dyDescent="0.3">
      <c r="A1244" s="23" t="s">
        <v>13874</v>
      </c>
      <c r="B1244" s="23" t="s">
        <v>75</v>
      </c>
      <c r="C1244" s="39">
        <v>1799</v>
      </c>
      <c r="D1244" s="24">
        <v>0</v>
      </c>
      <c r="E1244" s="24">
        <v>0</v>
      </c>
      <c r="F1244" s="23">
        <f>COUNTIFS(mdr_rate_cleaned!$A$2:$A$10,B1244,mdr_rate_cleaned!$B$2:$B$10,"&lt;"&amp;C1244,mdr_rate_cleaned!$F$2:$F$10,"&gt;="&amp;C1244)</f>
        <v>1</v>
      </c>
      <c r="G1244" s="40">
        <f>SUMIFS(mdr_rate_cleaned!$G$2:$G$10,mdr_rate_cleaned!$A$2:$A$10,B1244,mdr_rate_cleaned!$B$2:$B$10,"&lt;"&amp;C1244,mdr_rate_cleaned!$F$2:$F$10,"&gt;="&amp;C1244)</f>
        <v>0</v>
      </c>
      <c r="H1244" s="24">
        <f t="shared" si="95"/>
        <v>0</v>
      </c>
      <c r="I1244" s="23" t="str">
        <f t="shared" si="96"/>
        <v>Match</v>
      </c>
      <c r="J1244" s="23" t="str">
        <f t="shared" si="97"/>
        <v>Match</v>
      </c>
      <c r="K1244" s="24">
        <f t="shared" si="98"/>
        <v>0</v>
      </c>
      <c r="L1244" s="24">
        <f t="shared" si="99"/>
        <v>0</v>
      </c>
    </row>
    <row r="1245" spans="1:12" ht="15" customHeight="1" x14ac:dyDescent="0.3">
      <c r="A1245" s="23" t="s">
        <v>13875</v>
      </c>
      <c r="B1245" s="23" t="s">
        <v>81</v>
      </c>
      <c r="C1245" s="39">
        <v>3499</v>
      </c>
      <c r="D1245" s="24">
        <v>41.99</v>
      </c>
      <c r="E1245" s="24">
        <v>7.56</v>
      </c>
      <c r="F1245" s="23">
        <f>COUNTIFS(mdr_rate_cleaned!$A$2:$A$10,B1245,mdr_rate_cleaned!$B$2:$B$10,"&lt;"&amp;C1245,mdr_rate_cleaned!$F$2:$F$10,"&gt;="&amp;C1245)</f>
        <v>1</v>
      </c>
      <c r="G1245" s="40">
        <f>SUMIFS(mdr_rate_cleaned!$G$2:$G$10,mdr_rate_cleaned!$A$2:$A$10,B1245,mdr_rate_cleaned!$B$2:$B$10,"&lt;"&amp;C1245,mdr_rate_cleaned!$F$2:$F$10,"&gt;="&amp;C1245)</f>
        <v>1.2E-2</v>
      </c>
      <c r="H1245" s="24">
        <f t="shared" si="95"/>
        <v>41.99</v>
      </c>
      <c r="I1245" s="23" t="str">
        <f t="shared" si="96"/>
        <v>Match</v>
      </c>
      <c r="J1245" s="23" t="str">
        <f t="shared" si="97"/>
        <v>Match</v>
      </c>
      <c r="K1245" s="24">
        <f t="shared" si="98"/>
        <v>7.56</v>
      </c>
      <c r="L1245" s="24">
        <f t="shared" si="99"/>
        <v>0</v>
      </c>
    </row>
    <row r="1246" spans="1:12" ht="15" customHeight="1" x14ac:dyDescent="0.3">
      <c r="A1246" s="23" t="s">
        <v>13876</v>
      </c>
      <c r="B1246" s="23" t="s">
        <v>79</v>
      </c>
      <c r="C1246" s="39">
        <v>599</v>
      </c>
      <c r="D1246" s="24">
        <v>10.78</v>
      </c>
      <c r="E1246" s="24">
        <v>1.94</v>
      </c>
      <c r="F1246" s="23">
        <f>COUNTIFS(mdr_rate_cleaned!$A$2:$A$10,B1246,mdr_rate_cleaned!$B$2:$B$10,"&lt;"&amp;C1246,mdr_rate_cleaned!$F$2:$F$10,"&gt;="&amp;C1246)</f>
        <v>1</v>
      </c>
      <c r="G1246" s="40">
        <f>SUMIFS(mdr_rate_cleaned!$G$2:$G$10,mdr_rate_cleaned!$A$2:$A$10,B1246,mdr_rate_cleaned!$B$2:$B$10,"&lt;"&amp;C1246,mdr_rate_cleaned!$F$2:$F$10,"&gt;="&amp;C1246)</f>
        <v>1.8000000000000002E-2</v>
      </c>
      <c r="H1246" s="24">
        <f t="shared" si="95"/>
        <v>10.78</v>
      </c>
      <c r="I1246" s="23" t="str">
        <f t="shared" si="96"/>
        <v>Match</v>
      </c>
      <c r="J1246" s="23" t="str">
        <f t="shared" si="97"/>
        <v>Match</v>
      </c>
      <c r="K1246" s="24">
        <f t="shared" si="98"/>
        <v>1.94</v>
      </c>
      <c r="L1246" s="24">
        <f t="shared" si="99"/>
        <v>0</v>
      </c>
    </row>
    <row r="1247" spans="1:12" ht="15" customHeight="1" x14ac:dyDescent="0.3">
      <c r="A1247" s="23" t="s">
        <v>13877</v>
      </c>
      <c r="B1247" s="23" t="s">
        <v>79</v>
      </c>
      <c r="C1247" s="39">
        <v>11498</v>
      </c>
      <c r="D1247" s="24">
        <v>183.97</v>
      </c>
      <c r="E1247" s="24">
        <v>33.11</v>
      </c>
      <c r="F1247" s="23">
        <f>COUNTIFS(mdr_rate_cleaned!$A$2:$A$10,B1247,mdr_rate_cleaned!$B$2:$B$10,"&lt;"&amp;C1247,mdr_rate_cleaned!$F$2:$F$10,"&gt;="&amp;C1247)</f>
        <v>1</v>
      </c>
      <c r="G1247" s="40">
        <f>SUMIFS(mdr_rate_cleaned!$G$2:$G$10,mdr_rate_cleaned!$A$2:$A$10,B1247,mdr_rate_cleaned!$B$2:$B$10,"&lt;"&amp;C1247,mdr_rate_cleaned!$F$2:$F$10,"&gt;="&amp;C1247)</f>
        <v>1.6E-2</v>
      </c>
      <c r="H1247" s="24">
        <f t="shared" si="95"/>
        <v>183.97</v>
      </c>
      <c r="I1247" s="23" t="str">
        <f t="shared" si="96"/>
        <v>Match</v>
      </c>
      <c r="J1247" s="23" t="str">
        <f t="shared" si="97"/>
        <v>Match</v>
      </c>
      <c r="K1247" s="24">
        <f t="shared" si="98"/>
        <v>33.11</v>
      </c>
      <c r="L1247" s="24">
        <f t="shared" si="99"/>
        <v>0</v>
      </c>
    </row>
    <row r="1248" spans="1:12" ht="15" customHeight="1" x14ac:dyDescent="0.3">
      <c r="A1248" s="23" t="s">
        <v>13879</v>
      </c>
      <c r="B1248" s="23" t="s">
        <v>81</v>
      </c>
      <c r="C1248" s="39">
        <v>349</v>
      </c>
      <c r="D1248" s="24">
        <v>5.24</v>
      </c>
      <c r="E1248" s="24">
        <v>0.94</v>
      </c>
      <c r="F1248" s="23">
        <f>COUNTIFS(mdr_rate_cleaned!$A$2:$A$10,B1248,mdr_rate_cleaned!$B$2:$B$10,"&lt;"&amp;C1248,mdr_rate_cleaned!$F$2:$F$10,"&gt;="&amp;C1248)</f>
        <v>1</v>
      </c>
      <c r="G1248" s="40">
        <f>SUMIFS(mdr_rate_cleaned!$G$2:$G$10,mdr_rate_cleaned!$A$2:$A$10,B1248,mdr_rate_cleaned!$B$2:$B$10,"&lt;"&amp;C1248,mdr_rate_cleaned!$F$2:$F$10,"&gt;="&amp;C1248)</f>
        <v>1.4999999999999999E-2</v>
      </c>
      <c r="H1248" s="24">
        <f t="shared" si="95"/>
        <v>5.24</v>
      </c>
      <c r="I1248" s="23" t="str">
        <f t="shared" si="96"/>
        <v>Match</v>
      </c>
      <c r="J1248" s="23" t="str">
        <f t="shared" si="97"/>
        <v>Match</v>
      </c>
      <c r="K1248" s="24">
        <f t="shared" si="98"/>
        <v>0.94</v>
      </c>
      <c r="L1248" s="24">
        <f t="shared" si="99"/>
        <v>0</v>
      </c>
    </row>
    <row r="1249" spans="1:12" ht="15" customHeight="1" x14ac:dyDescent="0.3">
      <c r="A1249" s="23" t="s">
        <v>13880</v>
      </c>
      <c r="B1249" s="23" t="s">
        <v>75</v>
      </c>
      <c r="C1249" s="39">
        <v>10147</v>
      </c>
      <c r="D1249" s="24">
        <v>30.44</v>
      </c>
      <c r="E1249" s="24">
        <v>5.48</v>
      </c>
      <c r="F1249" s="23">
        <f>COUNTIFS(mdr_rate_cleaned!$A$2:$A$10,B1249,mdr_rate_cleaned!$B$2:$B$10,"&lt;"&amp;C1249,mdr_rate_cleaned!$F$2:$F$10,"&gt;="&amp;C1249)</f>
        <v>1</v>
      </c>
      <c r="G1249" s="40">
        <f>SUMIFS(mdr_rate_cleaned!$G$2:$G$10,mdr_rate_cleaned!$A$2:$A$10,B1249,mdr_rate_cleaned!$B$2:$B$10,"&lt;"&amp;C1249,mdr_rate_cleaned!$F$2:$F$10,"&gt;="&amp;C1249)</f>
        <v>3.0000000000000001E-3</v>
      </c>
      <c r="H1249" s="24">
        <f t="shared" si="95"/>
        <v>30.44</v>
      </c>
      <c r="I1249" s="23" t="str">
        <f t="shared" si="96"/>
        <v>Match</v>
      </c>
      <c r="J1249" s="23" t="str">
        <f t="shared" si="97"/>
        <v>Match</v>
      </c>
      <c r="K1249" s="24">
        <f t="shared" si="98"/>
        <v>5.48</v>
      </c>
      <c r="L1249" s="24">
        <f t="shared" si="99"/>
        <v>0</v>
      </c>
    </row>
    <row r="1250" spans="1:12" ht="15" customHeight="1" x14ac:dyDescent="0.3">
      <c r="A1250" s="23" t="s">
        <v>13881</v>
      </c>
      <c r="B1250" s="23" t="s">
        <v>75</v>
      </c>
      <c r="C1250" s="39">
        <v>349</v>
      </c>
      <c r="D1250" s="24">
        <v>0</v>
      </c>
      <c r="E1250" s="24">
        <v>0</v>
      </c>
      <c r="F1250" s="23">
        <f>COUNTIFS(mdr_rate_cleaned!$A$2:$A$10,B1250,mdr_rate_cleaned!$B$2:$B$10,"&lt;"&amp;C1250,mdr_rate_cleaned!$F$2:$F$10,"&gt;="&amp;C1250)</f>
        <v>1</v>
      </c>
      <c r="G1250" s="40">
        <f>SUMIFS(mdr_rate_cleaned!$G$2:$G$10,mdr_rate_cleaned!$A$2:$A$10,B1250,mdr_rate_cleaned!$B$2:$B$10,"&lt;"&amp;C1250,mdr_rate_cleaned!$F$2:$F$10,"&gt;="&amp;C1250)</f>
        <v>0</v>
      </c>
      <c r="H1250" s="24">
        <f t="shared" si="95"/>
        <v>0</v>
      </c>
      <c r="I1250" s="23" t="str">
        <f t="shared" si="96"/>
        <v>Match</v>
      </c>
      <c r="J1250" s="23" t="str">
        <f t="shared" si="97"/>
        <v>Match</v>
      </c>
      <c r="K1250" s="24">
        <f t="shared" si="98"/>
        <v>0</v>
      </c>
      <c r="L1250" s="24">
        <f t="shared" si="99"/>
        <v>0</v>
      </c>
    </row>
    <row r="1251" spans="1:12" ht="15" customHeight="1" x14ac:dyDescent="0.3">
      <c r="A1251" s="23" t="s">
        <v>13882</v>
      </c>
      <c r="B1251" s="23" t="s">
        <v>75</v>
      </c>
      <c r="C1251" s="39">
        <v>1799</v>
      </c>
      <c r="D1251" s="24">
        <v>0</v>
      </c>
      <c r="E1251" s="24">
        <v>0</v>
      </c>
      <c r="F1251" s="23">
        <f>COUNTIFS(mdr_rate_cleaned!$A$2:$A$10,B1251,mdr_rate_cleaned!$B$2:$B$10,"&lt;"&amp;C1251,mdr_rate_cleaned!$F$2:$F$10,"&gt;="&amp;C1251)</f>
        <v>1</v>
      </c>
      <c r="G1251" s="40">
        <f>SUMIFS(mdr_rate_cleaned!$G$2:$G$10,mdr_rate_cleaned!$A$2:$A$10,B1251,mdr_rate_cleaned!$B$2:$B$10,"&lt;"&amp;C1251,mdr_rate_cleaned!$F$2:$F$10,"&gt;="&amp;C1251)</f>
        <v>0</v>
      </c>
      <c r="H1251" s="24">
        <f t="shared" si="95"/>
        <v>0</v>
      </c>
      <c r="I1251" s="23" t="str">
        <f t="shared" si="96"/>
        <v>Match</v>
      </c>
      <c r="J1251" s="23" t="str">
        <f t="shared" si="97"/>
        <v>Match</v>
      </c>
      <c r="K1251" s="24">
        <f t="shared" si="98"/>
        <v>0</v>
      </c>
      <c r="L1251" s="24">
        <f t="shared" si="99"/>
        <v>0</v>
      </c>
    </row>
    <row r="1252" spans="1:12" ht="15" customHeight="1" x14ac:dyDescent="0.3">
      <c r="A1252" s="23" t="s">
        <v>13883</v>
      </c>
      <c r="B1252" s="23" t="s">
        <v>75</v>
      </c>
      <c r="C1252" s="39">
        <v>1799</v>
      </c>
      <c r="D1252" s="24">
        <v>0</v>
      </c>
      <c r="E1252" s="24">
        <v>0</v>
      </c>
      <c r="F1252" s="23">
        <f>COUNTIFS(mdr_rate_cleaned!$A$2:$A$10,B1252,mdr_rate_cleaned!$B$2:$B$10,"&lt;"&amp;C1252,mdr_rate_cleaned!$F$2:$F$10,"&gt;="&amp;C1252)</f>
        <v>1</v>
      </c>
      <c r="G1252" s="40">
        <f>SUMIFS(mdr_rate_cleaned!$G$2:$G$10,mdr_rate_cleaned!$A$2:$A$10,B1252,mdr_rate_cleaned!$B$2:$B$10,"&lt;"&amp;C1252,mdr_rate_cleaned!$F$2:$F$10,"&gt;="&amp;C1252)</f>
        <v>0</v>
      </c>
      <c r="H1252" s="24">
        <f t="shared" si="95"/>
        <v>0</v>
      </c>
      <c r="I1252" s="23" t="str">
        <f t="shared" si="96"/>
        <v>Match</v>
      </c>
      <c r="J1252" s="23" t="str">
        <f t="shared" si="97"/>
        <v>Match</v>
      </c>
      <c r="K1252" s="24">
        <f t="shared" si="98"/>
        <v>0</v>
      </c>
      <c r="L1252" s="24">
        <f t="shared" si="99"/>
        <v>0</v>
      </c>
    </row>
    <row r="1253" spans="1:12" ht="15" customHeight="1" x14ac:dyDescent="0.3">
      <c r="A1253" s="23" t="s">
        <v>13884</v>
      </c>
      <c r="B1253" s="23" t="s">
        <v>77</v>
      </c>
      <c r="C1253" s="39">
        <v>1799</v>
      </c>
      <c r="D1253" s="24">
        <v>34.18</v>
      </c>
      <c r="E1253" s="24">
        <v>6.15</v>
      </c>
      <c r="F1253" s="23">
        <f>COUNTIFS(mdr_rate_cleaned!$A$2:$A$10,B1253,mdr_rate_cleaned!$B$2:$B$10,"&lt;"&amp;C1253,mdr_rate_cleaned!$F$2:$F$10,"&gt;="&amp;C1253)</f>
        <v>1</v>
      </c>
      <c r="G1253" s="40">
        <f>SUMIFS(mdr_rate_cleaned!$G$2:$G$10,mdr_rate_cleaned!$A$2:$A$10,B1253,mdr_rate_cleaned!$B$2:$B$10,"&lt;"&amp;C1253,mdr_rate_cleaned!$F$2:$F$10,"&gt;="&amp;C1253)</f>
        <v>1.9E-2</v>
      </c>
      <c r="H1253" s="24">
        <f t="shared" si="95"/>
        <v>34.18</v>
      </c>
      <c r="I1253" s="23" t="str">
        <f t="shared" si="96"/>
        <v>Match</v>
      </c>
      <c r="J1253" s="23" t="str">
        <f t="shared" si="97"/>
        <v>Match</v>
      </c>
      <c r="K1253" s="24">
        <f t="shared" si="98"/>
        <v>6.15</v>
      </c>
      <c r="L1253" s="24">
        <f t="shared" si="99"/>
        <v>0</v>
      </c>
    </row>
    <row r="1254" spans="1:12" ht="15" customHeight="1" x14ac:dyDescent="0.3">
      <c r="A1254" s="23" t="s">
        <v>13885</v>
      </c>
      <c r="B1254" s="23" t="s">
        <v>79</v>
      </c>
      <c r="C1254" s="39">
        <v>3998</v>
      </c>
      <c r="D1254" s="24">
        <v>63.97</v>
      </c>
      <c r="E1254" s="24">
        <v>11.51</v>
      </c>
      <c r="F1254" s="23">
        <f>COUNTIFS(mdr_rate_cleaned!$A$2:$A$10,B1254,mdr_rate_cleaned!$B$2:$B$10,"&lt;"&amp;C1254,mdr_rate_cleaned!$F$2:$F$10,"&gt;="&amp;C1254)</f>
        <v>1</v>
      </c>
      <c r="G1254" s="40">
        <f>SUMIFS(mdr_rate_cleaned!$G$2:$G$10,mdr_rate_cleaned!$A$2:$A$10,B1254,mdr_rate_cleaned!$B$2:$B$10,"&lt;"&amp;C1254,mdr_rate_cleaned!$F$2:$F$10,"&gt;="&amp;C1254)</f>
        <v>1.6E-2</v>
      </c>
      <c r="H1254" s="24">
        <f t="shared" si="95"/>
        <v>63.97</v>
      </c>
      <c r="I1254" s="23" t="str">
        <f t="shared" si="96"/>
        <v>Match</v>
      </c>
      <c r="J1254" s="23" t="str">
        <f t="shared" si="97"/>
        <v>Match</v>
      </c>
      <c r="K1254" s="24">
        <f t="shared" si="98"/>
        <v>11.51</v>
      </c>
      <c r="L1254" s="24">
        <f t="shared" si="99"/>
        <v>0</v>
      </c>
    </row>
    <row r="1255" spans="1:12" ht="15" customHeight="1" x14ac:dyDescent="0.3">
      <c r="A1255" s="23" t="s">
        <v>13886</v>
      </c>
      <c r="B1255" s="23" t="s">
        <v>75</v>
      </c>
      <c r="C1255" s="39">
        <v>5998</v>
      </c>
      <c r="D1255" s="24">
        <v>17.989999999999998</v>
      </c>
      <c r="E1255" s="24">
        <v>3.24</v>
      </c>
      <c r="F1255" s="23">
        <f>COUNTIFS(mdr_rate_cleaned!$A$2:$A$10,B1255,mdr_rate_cleaned!$B$2:$B$10,"&lt;"&amp;C1255,mdr_rate_cleaned!$F$2:$F$10,"&gt;="&amp;C1255)</f>
        <v>1</v>
      </c>
      <c r="G1255" s="40">
        <f>SUMIFS(mdr_rate_cleaned!$G$2:$G$10,mdr_rate_cleaned!$A$2:$A$10,B1255,mdr_rate_cleaned!$B$2:$B$10,"&lt;"&amp;C1255,mdr_rate_cleaned!$F$2:$F$10,"&gt;="&amp;C1255)</f>
        <v>3.0000000000000001E-3</v>
      </c>
      <c r="H1255" s="24">
        <f t="shared" si="95"/>
        <v>17.989999999999998</v>
      </c>
      <c r="I1255" s="23" t="str">
        <f t="shared" si="96"/>
        <v>Match</v>
      </c>
      <c r="J1255" s="23" t="str">
        <f t="shared" si="97"/>
        <v>Match</v>
      </c>
      <c r="K1255" s="24">
        <f t="shared" si="98"/>
        <v>3.24</v>
      </c>
      <c r="L1255" s="24">
        <f t="shared" si="99"/>
        <v>0</v>
      </c>
    </row>
    <row r="1256" spans="1:12" ht="15" customHeight="1" x14ac:dyDescent="0.3">
      <c r="A1256" s="23" t="s">
        <v>13887</v>
      </c>
      <c r="B1256" s="23" t="s">
        <v>75</v>
      </c>
      <c r="C1256" s="39">
        <v>6498</v>
      </c>
      <c r="D1256" s="24">
        <v>19.489999999999998</v>
      </c>
      <c r="E1256" s="24">
        <v>3.51</v>
      </c>
      <c r="F1256" s="23">
        <f>COUNTIFS(mdr_rate_cleaned!$A$2:$A$10,B1256,mdr_rate_cleaned!$B$2:$B$10,"&lt;"&amp;C1256,mdr_rate_cleaned!$F$2:$F$10,"&gt;="&amp;C1256)</f>
        <v>1</v>
      </c>
      <c r="G1256" s="40">
        <f>SUMIFS(mdr_rate_cleaned!$G$2:$G$10,mdr_rate_cleaned!$A$2:$A$10,B1256,mdr_rate_cleaned!$B$2:$B$10,"&lt;"&amp;C1256,mdr_rate_cleaned!$F$2:$F$10,"&gt;="&amp;C1256)</f>
        <v>3.0000000000000001E-3</v>
      </c>
      <c r="H1256" s="24">
        <f t="shared" si="95"/>
        <v>19.489999999999998</v>
      </c>
      <c r="I1256" s="23" t="str">
        <f t="shared" si="96"/>
        <v>Match</v>
      </c>
      <c r="J1256" s="23" t="str">
        <f t="shared" si="97"/>
        <v>Match</v>
      </c>
      <c r="K1256" s="24">
        <f t="shared" si="98"/>
        <v>3.51</v>
      </c>
      <c r="L1256" s="24">
        <f t="shared" si="99"/>
        <v>0</v>
      </c>
    </row>
    <row r="1257" spans="1:12" ht="15" customHeight="1" x14ac:dyDescent="0.3">
      <c r="A1257" s="23" t="s">
        <v>13888</v>
      </c>
      <c r="B1257" s="23" t="s">
        <v>79</v>
      </c>
      <c r="C1257" s="39">
        <v>499</v>
      </c>
      <c r="D1257" s="24">
        <v>8.98</v>
      </c>
      <c r="E1257" s="24">
        <v>1.62</v>
      </c>
      <c r="F1257" s="23">
        <f>COUNTIFS(mdr_rate_cleaned!$A$2:$A$10,B1257,mdr_rate_cleaned!$B$2:$B$10,"&lt;"&amp;C1257,mdr_rate_cleaned!$F$2:$F$10,"&gt;="&amp;C1257)</f>
        <v>1</v>
      </c>
      <c r="G1257" s="40">
        <f>SUMIFS(mdr_rate_cleaned!$G$2:$G$10,mdr_rate_cleaned!$A$2:$A$10,B1257,mdr_rate_cleaned!$B$2:$B$10,"&lt;"&amp;C1257,mdr_rate_cleaned!$F$2:$F$10,"&gt;="&amp;C1257)</f>
        <v>1.8000000000000002E-2</v>
      </c>
      <c r="H1257" s="24">
        <f t="shared" si="95"/>
        <v>8.98</v>
      </c>
      <c r="I1257" s="23" t="str">
        <f t="shared" si="96"/>
        <v>Match</v>
      </c>
      <c r="J1257" s="23" t="str">
        <f t="shared" si="97"/>
        <v>Match</v>
      </c>
      <c r="K1257" s="24">
        <f t="shared" si="98"/>
        <v>1.62</v>
      </c>
      <c r="L1257" s="24">
        <f t="shared" si="99"/>
        <v>0</v>
      </c>
    </row>
    <row r="1258" spans="1:12" ht="15" customHeight="1" x14ac:dyDescent="0.3">
      <c r="A1258" s="23" t="s">
        <v>13890</v>
      </c>
      <c r="B1258" s="23" t="s">
        <v>75</v>
      </c>
      <c r="C1258" s="39">
        <v>2499</v>
      </c>
      <c r="D1258" s="24">
        <v>7.5</v>
      </c>
      <c r="E1258" s="24">
        <v>1.35</v>
      </c>
      <c r="F1258" s="23">
        <f>COUNTIFS(mdr_rate_cleaned!$A$2:$A$10,B1258,mdr_rate_cleaned!$B$2:$B$10,"&lt;"&amp;C1258,mdr_rate_cleaned!$F$2:$F$10,"&gt;="&amp;C1258)</f>
        <v>1</v>
      </c>
      <c r="G1258" s="40">
        <f>SUMIFS(mdr_rate_cleaned!$G$2:$G$10,mdr_rate_cleaned!$A$2:$A$10,B1258,mdr_rate_cleaned!$B$2:$B$10,"&lt;"&amp;C1258,mdr_rate_cleaned!$F$2:$F$10,"&gt;="&amp;C1258)</f>
        <v>3.0000000000000001E-3</v>
      </c>
      <c r="H1258" s="24">
        <f t="shared" si="95"/>
        <v>7.5</v>
      </c>
      <c r="I1258" s="23" t="str">
        <f t="shared" si="96"/>
        <v>Match</v>
      </c>
      <c r="J1258" s="23" t="str">
        <f t="shared" si="97"/>
        <v>Match</v>
      </c>
      <c r="K1258" s="24">
        <f t="shared" si="98"/>
        <v>1.35</v>
      </c>
      <c r="L1258" s="24">
        <f t="shared" si="99"/>
        <v>0</v>
      </c>
    </row>
    <row r="1259" spans="1:12" ht="15" customHeight="1" x14ac:dyDescent="0.3">
      <c r="A1259" s="23" t="s">
        <v>13891</v>
      </c>
      <c r="B1259" s="23" t="s">
        <v>75</v>
      </c>
      <c r="C1259" s="39">
        <v>9297</v>
      </c>
      <c r="D1259" s="24">
        <v>27.89</v>
      </c>
      <c r="E1259" s="24">
        <v>5.0199999999999996</v>
      </c>
      <c r="F1259" s="23">
        <f>COUNTIFS(mdr_rate_cleaned!$A$2:$A$10,B1259,mdr_rate_cleaned!$B$2:$B$10,"&lt;"&amp;C1259,mdr_rate_cleaned!$F$2:$F$10,"&gt;="&amp;C1259)</f>
        <v>1</v>
      </c>
      <c r="G1259" s="40">
        <f>SUMIFS(mdr_rate_cleaned!$G$2:$G$10,mdr_rate_cleaned!$A$2:$A$10,B1259,mdr_rate_cleaned!$B$2:$B$10,"&lt;"&amp;C1259,mdr_rate_cleaned!$F$2:$F$10,"&gt;="&amp;C1259)</f>
        <v>3.0000000000000001E-3</v>
      </c>
      <c r="H1259" s="24">
        <f t="shared" si="95"/>
        <v>27.89</v>
      </c>
      <c r="I1259" s="23" t="str">
        <f t="shared" si="96"/>
        <v>Match</v>
      </c>
      <c r="J1259" s="23" t="str">
        <f t="shared" si="97"/>
        <v>Match</v>
      </c>
      <c r="K1259" s="24">
        <f t="shared" si="98"/>
        <v>5.0199999999999996</v>
      </c>
      <c r="L1259" s="24">
        <f t="shared" si="99"/>
        <v>0</v>
      </c>
    </row>
    <row r="1260" spans="1:12" ht="15" customHeight="1" x14ac:dyDescent="0.3">
      <c r="A1260" s="23" t="s">
        <v>13892</v>
      </c>
      <c r="B1260" s="23" t="s">
        <v>81</v>
      </c>
      <c r="C1260" s="39">
        <v>1299</v>
      </c>
      <c r="D1260" s="24">
        <v>19.489999999999998</v>
      </c>
      <c r="E1260" s="24">
        <v>3.51</v>
      </c>
      <c r="F1260" s="23">
        <f>COUNTIFS(mdr_rate_cleaned!$A$2:$A$10,B1260,mdr_rate_cleaned!$B$2:$B$10,"&lt;"&amp;C1260,mdr_rate_cleaned!$F$2:$F$10,"&gt;="&amp;C1260)</f>
        <v>1</v>
      </c>
      <c r="G1260" s="40">
        <f>SUMIFS(mdr_rate_cleaned!$G$2:$G$10,mdr_rate_cleaned!$A$2:$A$10,B1260,mdr_rate_cleaned!$B$2:$B$10,"&lt;"&amp;C1260,mdr_rate_cleaned!$F$2:$F$10,"&gt;="&amp;C1260)</f>
        <v>1.4999999999999999E-2</v>
      </c>
      <c r="H1260" s="24">
        <f t="shared" si="95"/>
        <v>19.489999999999998</v>
      </c>
      <c r="I1260" s="23" t="str">
        <f t="shared" si="96"/>
        <v>Match</v>
      </c>
      <c r="J1260" s="23" t="str">
        <f t="shared" si="97"/>
        <v>Match</v>
      </c>
      <c r="K1260" s="24">
        <f t="shared" si="98"/>
        <v>3.51</v>
      </c>
      <c r="L1260" s="24">
        <f t="shared" si="99"/>
        <v>0</v>
      </c>
    </row>
    <row r="1261" spans="1:12" ht="15" customHeight="1" x14ac:dyDescent="0.3">
      <c r="A1261" s="23" t="s">
        <v>13903</v>
      </c>
      <c r="B1261" s="23" t="s">
        <v>75</v>
      </c>
      <c r="C1261" s="39">
        <v>13997</v>
      </c>
      <c r="D1261" s="24">
        <v>41.99</v>
      </c>
      <c r="E1261" s="24">
        <v>7.56</v>
      </c>
      <c r="F1261" s="23">
        <f>COUNTIFS(mdr_rate_cleaned!$A$2:$A$10,B1261,mdr_rate_cleaned!$B$2:$B$10,"&lt;"&amp;C1261,mdr_rate_cleaned!$F$2:$F$10,"&gt;="&amp;C1261)</f>
        <v>1</v>
      </c>
      <c r="G1261" s="40">
        <f>SUMIFS(mdr_rate_cleaned!$G$2:$G$10,mdr_rate_cleaned!$A$2:$A$10,B1261,mdr_rate_cleaned!$B$2:$B$10,"&lt;"&amp;C1261,mdr_rate_cleaned!$F$2:$F$10,"&gt;="&amp;C1261)</f>
        <v>3.0000000000000001E-3</v>
      </c>
      <c r="H1261" s="24">
        <f t="shared" si="95"/>
        <v>41.99</v>
      </c>
      <c r="I1261" s="23" t="str">
        <f t="shared" si="96"/>
        <v>Match</v>
      </c>
      <c r="J1261" s="23" t="str">
        <f t="shared" si="97"/>
        <v>Match</v>
      </c>
      <c r="K1261" s="24">
        <f t="shared" si="98"/>
        <v>7.56</v>
      </c>
      <c r="L1261" s="24">
        <f t="shared" si="99"/>
        <v>0</v>
      </c>
    </row>
    <row r="1262" spans="1:12" ht="15" customHeight="1" x14ac:dyDescent="0.3">
      <c r="A1262" s="23" t="s">
        <v>13904</v>
      </c>
      <c r="B1262" s="23" t="s">
        <v>75</v>
      </c>
      <c r="C1262" s="39">
        <v>999</v>
      </c>
      <c r="D1262" s="24">
        <v>0</v>
      </c>
      <c r="E1262" s="24">
        <v>0</v>
      </c>
      <c r="F1262" s="23">
        <f>COUNTIFS(mdr_rate_cleaned!$A$2:$A$10,B1262,mdr_rate_cleaned!$B$2:$B$10,"&lt;"&amp;C1262,mdr_rate_cleaned!$F$2:$F$10,"&gt;="&amp;C1262)</f>
        <v>1</v>
      </c>
      <c r="G1262" s="40">
        <f>SUMIFS(mdr_rate_cleaned!$G$2:$G$10,mdr_rate_cleaned!$A$2:$A$10,B1262,mdr_rate_cleaned!$B$2:$B$10,"&lt;"&amp;C1262,mdr_rate_cleaned!$F$2:$F$10,"&gt;="&amp;C1262)</f>
        <v>0</v>
      </c>
      <c r="H1262" s="24">
        <f t="shared" si="95"/>
        <v>0</v>
      </c>
      <c r="I1262" s="23" t="str">
        <f t="shared" si="96"/>
        <v>Match</v>
      </c>
      <c r="J1262" s="23" t="str">
        <f t="shared" si="97"/>
        <v>Match</v>
      </c>
      <c r="K1262" s="24">
        <f t="shared" si="98"/>
        <v>0</v>
      </c>
      <c r="L1262" s="24">
        <f t="shared" si="99"/>
        <v>0</v>
      </c>
    </row>
    <row r="1263" spans="1:12" ht="15" customHeight="1" x14ac:dyDescent="0.3">
      <c r="A1263" s="23" t="s">
        <v>13905</v>
      </c>
      <c r="B1263" s="23" t="s">
        <v>79</v>
      </c>
      <c r="C1263" s="39">
        <v>898</v>
      </c>
      <c r="D1263" s="24">
        <v>16.16</v>
      </c>
      <c r="E1263" s="24">
        <v>2.91</v>
      </c>
      <c r="F1263" s="23">
        <f>COUNTIFS(mdr_rate_cleaned!$A$2:$A$10,B1263,mdr_rate_cleaned!$B$2:$B$10,"&lt;"&amp;C1263,mdr_rate_cleaned!$F$2:$F$10,"&gt;="&amp;C1263)</f>
        <v>1</v>
      </c>
      <c r="G1263" s="40">
        <f>SUMIFS(mdr_rate_cleaned!$G$2:$G$10,mdr_rate_cleaned!$A$2:$A$10,B1263,mdr_rate_cleaned!$B$2:$B$10,"&lt;"&amp;C1263,mdr_rate_cleaned!$F$2:$F$10,"&gt;="&amp;C1263)</f>
        <v>1.8000000000000002E-2</v>
      </c>
      <c r="H1263" s="24">
        <f t="shared" si="95"/>
        <v>16.16</v>
      </c>
      <c r="I1263" s="23" t="str">
        <f t="shared" si="96"/>
        <v>Match</v>
      </c>
      <c r="J1263" s="23" t="str">
        <f t="shared" si="97"/>
        <v>Match</v>
      </c>
      <c r="K1263" s="24">
        <f t="shared" si="98"/>
        <v>2.91</v>
      </c>
      <c r="L1263" s="24">
        <f t="shared" si="99"/>
        <v>0</v>
      </c>
    </row>
    <row r="1264" spans="1:12" ht="15" customHeight="1" x14ac:dyDescent="0.3">
      <c r="A1264" s="23" t="s">
        <v>13906</v>
      </c>
      <c r="B1264" s="23" t="s">
        <v>75</v>
      </c>
      <c r="C1264" s="39">
        <v>2499</v>
      </c>
      <c r="D1264" s="24">
        <v>7.5</v>
      </c>
      <c r="E1264" s="24">
        <v>1.35</v>
      </c>
      <c r="F1264" s="23">
        <f>COUNTIFS(mdr_rate_cleaned!$A$2:$A$10,B1264,mdr_rate_cleaned!$B$2:$B$10,"&lt;"&amp;C1264,mdr_rate_cleaned!$F$2:$F$10,"&gt;="&amp;C1264)</f>
        <v>1</v>
      </c>
      <c r="G1264" s="40">
        <f>SUMIFS(mdr_rate_cleaned!$G$2:$G$10,mdr_rate_cleaned!$A$2:$A$10,B1264,mdr_rate_cleaned!$B$2:$B$10,"&lt;"&amp;C1264,mdr_rate_cleaned!$F$2:$F$10,"&gt;="&amp;C1264)</f>
        <v>3.0000000000000001E-3</v>
      </c>
      <c r="H1264" s="24">
        <f t="shared" si="95"/>
        <v>7.5</v>
      </c>
      <c r="I1264" s="23" t="str">
        <f t="shared" si="96"/>
        <v>Match</v>
      </c>
      <c r="J1264" s="23" t="str">
        <f t="shared" si="97"/>
        <v>Match</v>
      </c>
      <c r="K1264" s="24">
        <f t="shared" si="98"/>
        <v>1.35</v>
      </c>
      <c r="L1264" s="24">
        <f t="shared" si="99"/>
        <v>0</v>
      </c>
    </row>
    <row r="1265" spans="1:12" ht="15" customHeight="1" x14ac:dyDescent="0.3">
      <c r="A1265" s="23" t="s">
        <v>13907</v>
      </c>
      <c r="B1265" s="23" t="s">
        <v>75</v>
      </c>
      <c r="C1265" s="39">
        <v>1499</v>
      </c>
      <c r="D1265" s="24">
        <v>0</v>
      </c>
      <c r="E1265" s="24">
        <v>0</v>
      </c>
      <c r="F1265" s="23">
        <f>COUNTIFS(mdr_rate_cleaned!$A$2:$A$10,B1265,mdr_rate_cleaned!$B$2:$B$10,"&lt;"&amp;C1265,mdr_rate_cleaned!$F$2:$F$10,"&gt;="&amp;C1265)</f>
        <v>1</v>
      </c>
      <c r="G1265" s="40">
        <f>SUMIFS(mdr_rate_cleaned!$G$2:$G$10,mdr_rate_cleaned!$A$2:$A$10,B1265,mdr_rate_cleaned!$B$2:$B$10,"&lt;"&amp;C1265,mdr_rate_cleaned!$F$2:$F$10,"&gt;="&amp;C1265)</f>
        <v>0</v>
      </c>
      <c r="H1265" s="24">
        <f t="shared" si="95"/>
        <v>0</v>
      </c>
      <c r="I1265" s="23" t="str">
        <f t="shared" si="96"/>
        <v>Match</v>
      </c>
      <c r="J1265" s="23" t="str">
        <f t="shared" si="97"/>
        <v>Match</v>
      </c>
      <c r="K1265" s="24">
        <f t="shared" si="98"/>
        <v>0</v>
      </c>
      <c r="L1265" s="24">
        <f t="shared" si="99"/>
        <v>0</v>
      </c>
    </row>
    <row r="1266" spans="1:12" ht="15" customHeight="1" x14ac:dyDescent="0.3">
      <c r="A1266" s="23" t="s">
        <v>13908</v>
      </c>
      <c r="B1266" s="23" t="s">
        <v>79</v>
      </c>
      <c r="C1266" s="39">
        <v>499</v>
      </c>
      <c r="D1266" s="24">
        <v>8.98</v>
      </c>
      <c r="E1266" s="24">
        <v>1.62</v>
      </c>
      <c r="F1266" s="23">
        <f>COUNTIFS(mdr_rate_cleaned!$A$2:$A$10,B1266,mdr_rate_cleaned!$B$2:$B$10,"&lt;"&amp;C1266,mdr_rate_cleaned!$F$2:$F$10,"&gt;="&amp;C1266)</f>
        <v>1</v>
      </c>
      <c r="G1266" s="40">
        <f>SUMIFS(mdr_rate_cleaned!$G$2:$G$10,mdr_rate_cleaned!$A$2:$A$10,B1266,mdr_rate_cleaned!$B$2:$B$10,"&lt;"&amp;C1266,mdr_rate_cleaned!$F$2:$F$10,"&gt;="&amp;C1266)</f>
        <v>1.8000000000000002E-2</v>
      </c>
      <c r="H1266" s="24">
        <f t="shared" si="95"/>
        <v>8.98</v>
      </c>
      <c r="I1266" s="23" t="str">
        <f t="shared" si="96"/>
        <v>Match</v>
      </c>
      <c r="J1266" s="23" t="str">
        <f t="shared" si="97"/>
        <v>Match</v>
      </c>
      <c r="K1266" s="24">
        <f t="shared" si="98"/>
        <v>1.62</v>
      </c>
      <c r="L1266" s="24">
        <f t="shared" si="99"/>
        <v>0</v>
      </c>
    </row>
    <row r="1267" spans="1:12" ht="15" customHeight="1" x14ac:dyDescent="0.3">
      <c r="A1267" s="23" t="s">
        <v>13909</v>
      </c>
      <c r="B1267" s="23" t="s">
        <v>75</v>
      </c>
      <c r="C1267" s="39">
        <v>7999</v>
      </c>
      <c r="D1267" s="24">
        <v>24</v>
      </c>
      <c r="E1267" s="24">
        <v>4.32</v>
      </c>
      <c r="F1267" s="23">
        <f>COUNTIFS(mdr_rate_cleaned!$A$2:$A$10,B1267,mdr_rate_cleaned!$B$2:$B$10,"&lt;"&amp;C1267,mdr_rate_cleaned!$F$2:$F$10,"&gt;="&amp;C1267)</f>
        <v>1</v>
      </c>
      <c r="G1267" s="40">
        <f>SUMIFS(mdr_rate_cleaned!$G$2:$G$10,mdr_rate_cleaned!$A$2:$A$10,B1267,mdr_rate_cleaned!$B$2:$B$10,"&lt;"&amp;C1267,mdr_rate_cleaned!$F$2:$F$10,"&gt;="&amp;C1267)</f>
        <v>3.0000000000000001E-3</v>
      </c>
      <c r="H1267" s="24">
        <f t="shared" si="95"/>
        <v>24</v>
      </c>
      <c r="I1267" s="23" t="str">
        <f t="shared" si="96"/>
        <v>Match</v>
      </c>
      <c r="J1267" s="23" t="str">
        <f t="shared" si="97"/>
        <v>Match</v>
      </c>
      <c r="K1267" s="24">
        <f t="shared" si="98"/>
        <v>4.32</v>
      </c>
      <c r="L1267" s="24">
        <f t="shared" si="99"/>
        <v>0</v>
      </c>
    </row>
    <row r="1268" spans="1:12" ht="15" customHeight="1" x14ac:dyDescent="0.3">
      <c r="A1268" s="23" t="s">
        <v>13910</v>
      </c>
      <c r="B1268" s="23" t="s">
        <v>75</v>
      </c>
      <c r="C1268" s="39">
        <v>999</v>
      </c>
      <c r="D1268" s="24">
        <v>0</v>
      </c>
      <c r="E1268" s="24">
        <v>0</v>
      </c>
      <c r="F1268" s="23">
        <f>COUNTIFS(mdr_rate_cleaned!$A$2:$A$10,B1268,mdr_rate_cleaned!$B$2:$B$10,"&lt;"&amp;C1268,mdr_rate_cleaned!$F$2:$F$10,"&gt;="&amp;C1268)</f>
        <v>1</v>
      </c>
      <c r="G1268" s="40">
        <f>SUMIFS(mdr_rate_cleaned!$G$2:$G$10,mdr_rate_cleaned!$A$2:$A$10,B1268,mdr_rate_cleaned!$B$2:$B$10,"&lt;"&amp;C1268,mdr_rate_cleaned!$F$2:$F$10,"&gt;="&amp;C1268)</f>
        <v>0</v>
      </c>
      <c r="H1268" s="24">
        <f t="shared" si="95"/>
        <v>0</v>
      </c>
      <c r="I1268" s="23" t="str">
        <f t="shared" si="96"/>
        <v>Match</v>
      </c>
      <c r="J1268" s="23" t="str">
        <f t="shared" si="97"/>
        <v>Match</v>
      </c>
      <c r="K1268" s="24">
        <f t="shared" si="98"/>
        <v>0</v>
      </c>
      <c r="L1268" s="24">
        <f t="shared" si="99"/>
        <v>0</v>
      </c>
    </row>
    <row r="1269" spans="1:12" ht="15" customHeight="1" x14ac:dyDescent="0.3">
      <c r="A1269" s="23" t="s">
        <v>13911</v>
      </c>
      <c r="B1269" s="23" t="s">
        <v>75</v>
      </c>
      <c r="C1269" s="39">
        <v>499</v>
      </c>
      <c r="D1269" s="24">
        <v>0</v>
      </c>
      <c r="E1269" s="24">
        <v>0</v>
      </c>
      <c r="F1269" s="23">
        <f>COUNTIFS(mdr_rate_cleaned!$A$2:$A$10,B1269,mdr_rate_cleaned!$B$2:$B$10,"&lt;"&amp;C1269,mdr_rate_cleaned!$F$2:$F$10,"&gt;="&amp;C1269)</f>
        <v>1</v>
      </c>
      <c r="G1269" s="40">
        <f>SUMIFS(mdr_rate_cleaned!$G$2:$G$10,mdr_rate_cleaned!$A$2:$A$10,B1269,mdr_rate_cleaned!$B$2:$B$10,"&lt;"&amp;C1269,mdr_rate_cleaned!$F$2:$F$10,"&gt;="&amp;C1269)</f>
        <v>0</v>
      </c>
      <c r="H1269" s="24">
        <f t="shared" si="95"/>
        <v>0</v>
      </c>
      <c r="I1269" s="23" t="str">
        <f t="shared" si="96"/>
        <v>Match</v>
      </c>
      <c r="J1269" s="23" t="str">
        <f t="shared" si="97"/>
        <v>Match</v>
      </c>
      <c r="K1269" s="24">
        <f t="shared" si="98"/>
        <v>0</v>
      </c>
      <c r="L1269" s="24">
        <f t="shared" si="99"/>
        <v>0</v>
      </c>
    </row>
    <row r="1270" spans="1:12" ht="15" customHeight="1" x14ac:dyDescent="0.3">
      <c r="A1270" s="23" t="s">
        <v>13912</v>
      </c>
      <c r="B1270" s="23" t="s">
        <v>75</v>
      </c>
      <c r="C1270" s="39">
        <v>2499</v>
      </c>
      <c r="D1270" s="24">
        <v>7.5</v>
      </c>
      <c r="E1270" s="24">
        <v>1.35</v>
      </c>
      <c r="F1270" s="23">
        <f>COUNTIFS(mdr_rate_cleaned!$A$2:$A$10,B1270,mdr_rate_cleaned!$B$2:$B$10,"&lt;"&amp;C1270,mdr_rate_cleaned!$F$2:$F$10,"&gt;="&amp;C1270)</f>
        <v>1</v>
      </c>
      <c r="G1270" s="40">
        <f>SUMIFS(mdr_rate_cleaned!$G$2:$G$10,mdr_rate_cleaned!$A$2:$A$10,B1270,mdr_rate_cleaned!$B$2:$B$10,"&lt;"&amp;C1270,mdr_rate_cleaned!$F$2:$F$10,"&gt;="&amp;C1270)</f>
        <v>3.0000000000000001E-3</v>
      </c>
      <c r="H1270" s="24">
        <f t="shared" si="95"/>
        <v>7.5</v>
      </c>
      <c r="I1270" s="23" t="str">
        <f t="shared" si="96"/>
        <v>Match</v>
      </c>
      <c r="J1270" s="23" t="str">
        <f t="shared" si="97"/>
        <v>Match</v>
      </c>
      <c r="K1270" s="24">
        <f t="shared" si="98"/>
        <v>1.35</v>
      </c>
      <c r="L1270" s="24">
        <f t="shared" si="99"/>
        <v>0</v>
      </c>
    </row>
    <row r="1271" spans="1:12" ht="15" customHeight="1" x14ac:dyDescent="0.3">
      <c r="A1271" s="23" t="s">
        <v>13913</v>
      </c>
      <c r="B1271" s="23" t="s">
        <v>75</v>
      </c>
      <c r="C1271" s="39">
        <v>3098</v>
      </c>
      <c r="D1271" s="24">
        <v>9.2899999999999991</v>
      </c>
      <c r="E1271" s="24">
        <v>1.67</v>
      </c>
      <c r="F1271" s="23">
        <f>COUNTIFS(mdr_rate_cleaned!$A$2:$A$10,B1271,mdr_rate_cleaned!$B$2:$B$10,"&lt;"&amp;C1271,mdr_rate_cleaned!$F$2:$F$10,"&gt;="&amp;C1271)</f>
        <v>1</v>
      </c>
      <c r="G1271" s="40">
        <f>SUMIFS(mdr_rate_cleaned!$G$2:$G$10,mdr_rate_cleaned!$A$2:$A$10,B1271,mdr_rate_cleaned!$B$2:$B$10,"&lt;"&amp;C1271,mdr_rate_cleaned!$F$2:$F$10,"&gt;="&amp;C1271)</f>
        <v>3.0000000000000001E-3</v>
      </c>
      <c r="H1271" s="24">
        <f t="shared" si="95"/>
        <v>9.2899999999999991</v>
      </c>
      <c r="I1271" s="23" t="str">
        <f t="shared" si="96"/>
        <v>Match</v>
      </c>
      <c r="J1271" s="23" t="str">
        <f t="shared" si="97"/>
        <v>Match</v>
      </c>
      <c r="K1271" s="24">
        <f t="shared" si="98"/>
        <v>1.67</v>
      </c>
      <c r="L1271" s="24">
        <f t="shared" si="99"/>
        <v>0</v>
      </c>
    </row>
    <row r="1272" spans="1:12" ht="15" customHeight="1" x14ac:dyDescent="0.3">
      <c r="A1272" s="23" t="s">
        <v>13914</v>
      </c>
      <c r="B1272" s="23" t="s">
        <v>75</v>
      </c>
      <c r="C1272" s="39">
        <v>799</v>
      </c>
      <c r="D1272" s="24">
        <v>0</v>
      </c>
      <c r="E1272" s="24">
        <v>0</v>
      </c>
      <c r="F1272" s="23">
        <f>COUNTIFS(mdr_rate_cleaned!$A$2:$A$10,B1272,mdr_rate_cleaned!$B$2:$B$10,"&lt;"&amp;C1272,mdr_rate_cleaned!$F$2:$F$10,"&gt;="&amp;C1272)</f>
        <v>1</v>
      </c>
      <c r="G1272" s="40">
        <f>SUMIFS(mdr_rate_cleaned!$G$2:$G$10,mdr_rate_cleaned!$A$2:$A$10,B1272,mdr_rate_cleaned!$B$2:$B$10,"&lt;"&amp;C1272,mdr_rate_cleaned!$F$2:$F$10,"&gt;="&amp;C1272)</f>
        <v>0</v>
      </c>
      <c r="H1272" s="24">
        <f t="shared" si="95"/>
        <v>0</v>
      </c>
      <c r="I1272" s="23" t="str">
        <f t="shared" si="96"/>
        <v>Match</v>
      </c>
      <c r="J1272" s="23" t="str">
        <f t="shared" si="97"/>
        <v>Match</v>
      </c>
      <c r="K1272" s="24">
        <f t="shared" si="98"/>
        <v>0</v>
      </c>
      <c r="L1272" s="24">
        <f t="shared" si="99"/>
        <v>0</v>
      </c>
    </row>
    <row r="1273" spans="1:12" ht="15" customHeight="1" x14ac:dyDescent="0.3">
      <c r="A1273" s="23" t="s">
        <v>13915</v>
      </c>
      <c r="B1273" s="23" t="s">
        <v>75</v>
      </c>
      <c r="C1273" s="39">
        <v>2397</v>
      </c>
      <c r="D1273" s="24">
        <v>7.19</v>
      </c>
      <c r="E1273" s="24">
        <v>1.29</v>
      </c>
      <c r="F1273" s="23">
        <f>COUNTIFS(mdr_rate_cleaned!$A$2:$A$10,B1273,mdr_rate_cleaned!$B$2:$B$10,"&lt;"&amp;C1273,mdr_rate_cleaned!$F$2:$F$10,"&gt;="&amp;C1273)</f>
        <v>1</v>
      </c>
      <c r="G1273" s="40">
        <f>SUMIFS(mdr_rate_cleaned!$G$2:$G$10,mdr_rate_cleaned!$A$2:$A$10,B1273,mdr_rate_cleaned!$B$2:$B$10,"&lt;"&amp;C1273,mdr_rate_cleaned!$F$2:$F$10,"&gt;="&amp;C1273)</f>
        <v>3.0000000000000001E-3</v>
      </c>
      <c r="H1273" s="24">
        <f t="shared" si="95"/>
        <v>7.19</v>
      </c>
      <c r="I1273" s="23" t="str">
        <f t="shared" si="96"/>
        <v>Match</v>
      </c>
      <c r="J1273" s="23" t="str">
        <f t="shared" si="97"/>
        <v>Match</v>
      </c>
      <c r="K1273" s="24">
        <f t="shared" si="98"/>
        <v>1.29</v>
      </c>
      <c r="L1273" s="24">
        <f t="shared" si="99"/>
        <v>0</v>
      </c>
    </row>
    <row r="1274" spans="1:12" ht="15" customHeight="1" x14ac:dyDescent="0.3">
      <c r="A1274" s="23" t="s">
        <v>13916</v>
      </c>
      <c r="B1274" s="23" t="s">
        <v>79</v>
      </c>
      <c r="C1274" s="39">
        <v>599</v>
      </c>
      <c r="D1274" s="24">
        <v>10.78</v>
      </c>
      <c r="E1274" s="24">
        <v>1.94</v>
      </c>
      <c r="F1274" s="23">
        <f>COUNTIFS(mdr_rate_cleaned!$A$2:$A$10,B1274,mdr_rate_cleaned!$B$2:$B$10,"&lt;"&amp;C1274,mdr_rate_cleaned!$F$2:$F$10,"&gt;="&amp;C1274)</f>
        <v>1</v>
      </c>
      <c r="G1274" s="40">
        <f>SUMIFS(mdr_rate_cleaned!$G$2:$G$10,mdr_rate_cleaned!$A$2:$A$10,B1274,mdr_rate_cleaned!$B$2:$B$10,"&lt;"&amp;C1274,mdr_rate_cleaned!$F$2:$F$10,"&gt;="&amp;C1274)</f>
        <v>1.8000000000000002E-2</v>
      </c>
      <c r="H1274" s="24">
        <f t="shared" si="95"/>
        <v>10.78</v>
      </c>
      <c r="I1274" s="23" t="str">
        <f t="shared" si="96"/>
        <v>Match</v>
      </c>
      <c r="J1274" s="23" t="str">
        <f t="shared" si="97"/>
        <v>Match</v>
      </c>
      <c r="K1274" s="24">
        <f t="shared" si="98"/>
        <v>1.94</v>
      </c>
      <c r="L1274" s="24">
        <f t="shared" si="99"/>
        <v>0</v>
      </c>
    </row>
    <row r="1275" spans="1:12" ht="15" customHeight="1" x14ac:dyDescent="0.3">
      <c r="A1275" s="23" t="s">
        <v>13917</v>
      </c>
      <c r="B1275" s="23" t="s">
        <v>79</v>
      </c>
      <c r="C1275" s="39">
        <v>3998</v>
      </c>
      <c r="D1275" s="24">
        <v>63.97</v>
      </c>
      <c r="E1275" s="24">
        <v>11.51</v>
      </c>
      <c r="F1275" s="23">
        <f>COUNTIFS(mdr_rate_cleaned!$A$2:$A$10,B1275,mdr_rate_cleaned!$B$2:$B$10,"&lt;"&amp;C1275,mdr_rate_cleaned!$F$2:$F$10,"&gt;="&amp;C1275)</f>
        <v>1</v>
      </c>
      <c r="G1275" s="40">
        <f>SUMIFS(mdr_rate_cleaned!$G$2:$G$10,mdr_rate_cleaned!$A$2:$A$10,B1275,mdr_rate_cleaned!$B$2:$B$10,"&lt;"&amp;C1275,mdr_rate_cleaned!$F$2:$F$10,"&gt;="&amp;C1275)</f>
        <v>1.6E-2</v>
      </c>
      <c r="H1275" s="24">
        <f t="shared" si="95"/>
        <v>63.97</v>
      </c>
      <c r="I1275" s="23" t="str">
        <f t="shared" si="96"/>
        <v>Match</v>
      </c>
      <c r="J1275" s="23" t="str">
        <f t="shared" si="97"/>
        <v>Match</v>
      </c>
      <c r="K1275" s="24">
        <f t="shared" si="98"/>
        <v>11.51</v>
      </c>
      <c r="L1275" s="24">
        <f t="shared" si="99"/>
        <v>0</v>
      </c>
    </row>
    <row r="1276" spans="1:12" ht="15" customHeight="1" x14ac:dyDescent="0.3">
      <c r="A1276" s="23" t="s">
        <v>13918</v>
      </c>
      <c r="B1276" s="23" t="s">
        <v>77</v>
      </c>
      <c r="C1276" s="39">
        <v>3197</v>
      </c>
      <c r="D1276" s="24">
        <v>54.35</v>
      </c>
      <c r="E1276" s="24">
        <v>9.7799999999999994</v>
      </c>
      <c r="F1276" s="23">
        <f>COUNTIFS(mdr_rate_cleaned!$A$2:$A$10,B1276,mdr_rate_cleaned!$B$2:$B$10,"&lt;"&amp;C1276,mdr_rate_cleaned!$F$2:$F$10,"&gt;="&amp;C1276)</f>
        <v>1</v>
      </c>
      <c r="G1276" s="40">
        <f>SUMIFS(mdr_rate_cleaned!$G$2:$G$10,mdr_rate_cleaned!$A$2:$A$10,B1276,mdr_rate_cleaned!$B$2:$B$10,"&lt;"&amp;C1276,mdr_rate_cleaned!$F$2:$F$10,"&gt;="&amp;C1276)</f>
        <v>1.7000000000000001E-2</v>
      </c>
      <c r="H1276" s="24">
        <f t="shared" si="95"/>
        <v>54.35</v>
      </c>
      <c r="I1276" s="23" t="str">
        <f t="shared" si="96"/>
        <v>Match</v>
      </c>
      <c r="J1276" s="23" t="str">
        <f t="shared" si="97"/>
        <v>Match</v>
      </c>
      <c r="K1276" s="24">
        <f t="shared" si="98"/>
        <v>9.7799999999999994</v>
      </c>
      <c r="L1276" s="24">
        <f t="shared" si="99"/>
        <v>0</v>
      </c>
    </row>
    <row r="1277" spans="1:12" ht="15" customHeight="1" x14ac:dyDescent="0.3">
      <c r="A1277" s="23" t="s">
        <v>13919</v>
      </c>
      <c r="B1277" s="23" t="s">
        <v>79</v>
      </c>
      <c r="C1277" s="39">
        <v>10997</v>
      </c>
      <c r="D1277" s="24">
        <v>175.95</v>
      </c>
      <c r="E1277" s="24">
        <v>31.67</v>
      </c>
      <c r="F1277" s="23">
        <f>COUNTIFS(mdr_rate_cleaned!$A$2:$A$10,B1277,mdr_rate_cleaned!$B$2:$B$10,"&lt;"&amp;C1277,mdr_rate_cleaned!$F$2:$F$10,"&gt;="&amp;C1277)</f>
        <v>1</v>
      </c>
      <c r="G1277" s="40">
        <f>SUMIFS(mdr_rate_cleaned!$G$2:$G$10,mdr_rate_cleaned!$A$2:$A$10,B1277,mdr_rate_cleaned!$B$2:$B$10,"&lt;"&amp;C1277,mdr_rate_cleaned!$F$2:$F$10,"&gt;="&amp;C1277)</f>
        <v>1.6E-2</v>
      </c>
      <c r="H1277" s="24">
        <f t="shared" si="95"/>
        <v>175.95</v>
      </c>
      <c r="I1277" s="23" t="str">
        <f t="shared" si="96"/>
        <v>Match</v>
      </c>
      <c r="J1277" s="23" t="str">
        <f t="shared" si="97"/>
        <v>Match</v>
      </c>
      <c r="K1277" s="24">
        <f t="shared" si="98"/>
        <v>31.67</v>
      </c>
      <c r="L1277" s="24">
        <f t="shared" si="99"/>
        <v>0</v>
      </c>
    </row>
    <row r="1278" spans="1:12" ht="15" customHeight="1" x14ac:dyDescent="0.3">
      <c r="A1278" s="23" t="s">
        <v>13920</v>
      </c>
      <c r="B1278" s="23" t="s">
        <v>77</v>
      </c>
      <c r="C1278" s="39">
        <v>1299</v>
      </c>
      <c r="D1278" s="24">
        <v>24.68</v>
      </c>
      <c r="E1278" s="24">
        <v>4.4400000000000004</v>
      </c>
      <c r="F1278" s="23">
        <f>COUNTIFS(mdr_rate_cleaned!$A$2:$A$10,B1278,mdr_rate_cleaned!$B$2:$B$10,"&lt;"&amp;C1278,mdr_rate_cleaned!$F$2:$F$10,"&gt;="&amp;C1278)</f>
        <v>1</v>
      </c>
      <c r="G1278" s="40">
        <f>SUMIFS(mdr_rate_cleaned!$G$2:$G$10,mdr_rate_cleaned!$A$2:$A$10,B1278,mdr_rate_cleaned!$B$2:$B$10,"&lt;"&amp;C1278,mdr_rate_cleaned!$F$2:$F$10,"&gt;="&amp;C1278)</f>
        <v>1.9E-2</v>
      </c>
      <c r="H1278" s="24">
        <f t="shared" si="95"/>
        <v>24.68</v>
      </c>
      <c r="I1278" s="23" t="str">
        <f t="shared" si="96"/>
        <v>Match</v>
      </c>
      <c r="J1278" s="23" t="str">
        <f t="shared" si="97"/>
        <v>Match</v>
      </c>
      <c r="K1278" s="24">
        <f t="shared" si="98"/>
        <v>4.4400000000000004</v>
      </c>
      <c r="L1278" s="24">
        <f t="shared" si="99"/>
        <v>0</v>
      </c>
    </row>
    <row r="1279" spans="1:12" ht="15" customHeight="1" x14ac:dyDescent="0.3">
      <c r="A1279" s="23" t="s">
        <v>13921</v>
      </c>
      <c r="B1279" s="23" t="s">
        <v>79</v>
      </c>
      <c r="C1279" s="39">
        <v>2499</v>
      </c>
      <c r="D1279" s="24">
        <v>39.979999999999997</v>
      </c>
      <c r="E1279" s="24">
        <v>7.2</v>
      </c>
      <c r="F1279" s="23">
        <f>COUNTIFS(mdr_rate_cleaned!$A$2:$A$10,B1279,mdr_rate_cleaned!$B$2:$B$10,"&lt;"&amp;C1279,mdr_rate_cleaned!$F$2:$F$10,"&gt;="&amp;C1279)</f>
        <v>1</v>
      </c>
      <c r="G1279" s="40">
        <f>SUMIFS(mdr_rate_cleaned!$G$2:$G$10,mdr_rate_cleaned!$A$2:$A$10,B1279,mdr_rate_cleaned!$B$2:$B$10,"&lt;"&amp;C1279,mdr_rate_cleaned!$F$2:$F$10,"&gt;="&amp;C1279)</f>
        <v>1.6E-2</v>
      </c>
      <c r="H1279" s="24">
        <f t="shared" si="95"/>
        <v>39.979999999999997</v>
      </c>
      <c r="I1279" s="23" t="str">
        <f t="shared" si="96"/>
        <v>Match</v>
      </c>
      <c r="J1279" s="23" t="str">
        <f t="shared" si="97"/>
        <v>Match</v>
      </c>
      <c r="K1279" s="24">
        <f t="shared" si="98"/>
        <v>7.2</v>
      </c>
      <c r="L1279" s="24">
        <f t="shared" si="99"/>
        <v>0</v>
      </c>
    </row>
    <row r="1280" spans="1:12" ht="15" customHeight="1" x14ac:dyDescent="0.3">
      <c r="A1280" s="23" t="s">
        <v>13922</v>
      </c>
      <c r="B1280" s="23" t="s">
        <v>75</v>
      </c>
      <c r="C1280" s="39">
        <v>5498</v>
      </c>
      <c r="D1280" s="24">
        <v>16.489999999999998</v>
      </c>
      <c r="E1280" s="24">
        <v>2.97</v>
      </c>
      <c r="F1280" s="23">
        <f>COUNTIFS(mdr_rate_cleaned!$A$2:$A$10,B1280,mdr_rate_cleaned!$B$2:$B$10,"&lt;"&amp;C1280,mdr_rate_cleaned!$F$2:$F$10,"&gt;="&amp;C1280)</f>
        <v>1</v>
      </c>
      <c r="G1280" s="40">
        <f>SUMIFS(mdr_rate_cleaned!$G$2:$G$10,mdr_rate_cleaned!$A$2:$A$10,B1280,mdr_rate_cleaned!$B$2:$B$10,"&lt;"&amp;C1280,mdr_rate_cleaned!$F$2:$F$10,"&gt;="&amp;C1280)</f>
        <v>3.0000000000000001E-3</v>
      </c>
      <c r="H1280" s="24">
        <f t="shared" si="95"/>
        <v>16.489999999999998</v>
      </c>
      <c r="I1280" s="23" t="str">
        <f t="shared" si="96"/>
        <v>Match</v>
      </c>
      <c r="J1280" s="23" t="str">
        <f t="shared" si="97"/>
        <v>Match</v>
      </c>
      <c r="K1280" s="24">
        <f t="shared" si="98"/>
        <v>2.97</v>
      </c>
      <c r="L1280" s="24">
        <f t="shared" si="99"/>
        <v>0</v>
      </c>
    </row>
    <row r="1281" spans="1:12" ht="15" customHeight="1" x14ac:dyDescent="0.3">
      <c r="A1281" s="23" t="s">
        <v>13924</v>
      </c>
      <c r="B1281" s="23" t="s">
        <v>79</v>
      </c>
      <c r="C1281" s="39">
        <v>999</v>
      </c>
      <c r="D1281" s="24">
        <v>17.98</v>
      </c>
      <c r="E1281" s="24">
        <v>3.24</v>
      </c>
      <c r="F1281" s="23">
        <f>COUNTIFS(mdr_rate_cleaned!$A$2:$A$10,B1281,mdr_rate_cleaned!$B$2:$B$10,"&lt;"&amp;C1281,mdr_rate_cleaned!$F$2:$F$10,"&gt;="&amp;C1281)</f>
        <v>1</v>
      </c>
      <c r="G1281" s="40">
        <f>SUMIFS(mdr_rate_cleaned!$G$2:$G$10,mdr_rate_cleaned!$A$2:$A$10,B1281,mdr_rate_cleaned!$B$2:$B$10,"&lt;"&amp;C1281,mdr_rate_cleaned!$F$2:$F$10,"&gt;="&amp;C1281)</f>
        <v>1.8000000000000002E-2</v>
      </c>
      <c r="H1281" s="24">
        <f t="shared" si="95"/>
        <v>17.98</v>
      </c>
      <c r="I1281" s="23" t="str">
        <f t="shared" si="96"/>
        <v>Match</v>
      </c>
      <c r="J1281" s="23" t="str">
        <f t="shared" si="97"/>
        <v>Match</v>
      </c>
      <c r="K1281" s="24">
        <f t="shared" si="98"/>
        <v>3.24</v>
      </c>
      <c r="L1281" s="24">
        <f t="shared" si="99"/>
        <v>0</v>
      </c>
    </row>
    <row r="1282" spans="1:12" ht="15" customHeight="1" x14ac:dyDescent="0.3">
      <c r="A1282" s="23" t="s">
        <v>13925</v>
      </c>
      <c r="B1282" s="23" t="s">
        <v>75</v>
      </c>
      <c r="C1282" s="39">
        <v>5297</v>
      </c>
      <c r="D1282" s="24">
        <v>15.89</v>
      </c>
      <c r="E1282" s="24">
        <v>2.86</v>
      </c>
      <c r="F1282" s="23">
        <f>COUNTIFS(mdr_rate_cleaned!$A$2:$A$10,B1282,mdr_rate_cleaned!$B$2:$B$10,"&lt;"&amp;C1282,mdr_rate_cleaned!$F$2:$F$10,"&gt;="&amp;C1282)</f>
        <v>1</v>
      </c>
      <c r="G1282" s="40">
        <f>SUMIFS(mdr_rate_cleaned!$G$2:$G$10,mdr_rate_cleaned!$A$2:$A$10,B1282,mdr_rate_cleaned!$B$2:$B$10,"&lt;"&amp;C1282,mdr_rate_cleaned!$F$2:$F$10,"&gt;="&amp;C1282)</f>
        <v>3.0000000000000001E-3</v>
      </c>
      <c r="H1282" s="24">
        <f t="shared" ref="H1282:H1345" si="100">ROUND(C1282*G1282,2)</f>
        <v>15.89</v>
      </c>
      <c r="I1282" s="23" t="str">
        <f t="shared" ref="I1282:I1345" si="101">IF(ROUND(D1282-H1282,2)=0,"Match","Differs")</f>
        <v>Match</v>
      </c>
      <c r="J1282" s="23" t="str">
        <f t="shared" ref="J1282:J1345" si="102">IF(ROUND(E1282-ROUND(D1282*0.18,2),2)=0,"Match","Differs")</f>
        <v>Match</v>
      </c>
      <c r="K1282" s="24">
        <f t="shared" ref="K1282:K1345" si="103">ROUND(H1282*0.18,2)</f>
        <v>2.86</v>
      </c>
      <c r="L1282" s="24">
        <f t="shared" ref="L1282:L1345" si="104">ROUND(D1282+E1282-H1282-K1282,2)</f>
        <v>0</v>
      </c>
    </row>
    <row r="1283" spans="1:12" ht="15" customHeight="1" x14ac:dyDescent="0.3">
      <c r="A1283" s="23" t="s">
        <v>13927</v>
      </c>
      <c r="B1283" s="23" t="s">
        <v>75</v>
      </c>
      <c r="C1283" s="39">
        <v>698</v>
      </c>
      <c r="D1283" s="24">
        <v>0</v>
      </c>
      <c r="E1283" s="24">
        <v>0</v>
      </c>
      <c r="F1283" s="23">
        <f>COUNTIFS(mdr_rate_cleaned!$A$2:$A$10,B1283,mdr_rate_cleaned!$B$2:$B$10,"&lt;"&amp;C1283,mdr_rate_cleaned!$F$2:$F$10,"&gt;="&amp;C1283)</f>
        <v>1</v>
      </c>
      <c r="G1283" s="40">
        <f>SUMIFS(mdr_rate_cleaned!$G$2:$G$10,mdr_rate_cleaned!$A$2:$A$10,B1283,mdr_rate_cleaned!$B$2:$B$10,"&lt;"&amp;C1283,mdr_rate_cleaned!$F$2:$F$10,"&gt;="&amp;C1283)</f>
        <v>0</v>
      </c>
      <c r="H1283" s="24">
        <f t="shared" si="100"/>
        <v>0</v>
      </c>
      <c r="I1283" s="23" t="str">
        <f t="shared" si="101"/>
        <v>Match</v>
      </c>
      <c r="J1283" s="23" t="str">
        <f t="shared" si="102"/>
        <v>Match</v>
      </c>
      <c r="K1283" s="24">
        <f t="shared" si="103"/>
        <v>0</v>
      </c>
      <c r="L1283" s="24">
        <f t="shared" si="104"/>
        <v>0</v>
      </c>
    </row>
    <row r="1284" spans="1:12" ht="15" customHeight="1" x14ac:dyDescent="0.3">
      <c r="A1284" s="23" t="s">
        <v>13928</v>
      </c>
      <c r="B1284" s="23" t="s">
        <v>75</v>
      </c>
      <c r="C1284" s="39">
        <v>799</v>
      </c>
      <c r="D1284" s="24">
        <v>0</v>
      </c>
      <c r="E1284" s="24">
        <v>0</v>
      </c>
      <c r="F1284" s="23">
        <f>COUNTIFS(mdr_rate_cleaned!$A$2:$A$10,B1284,mdr_rate_cleaned!$B$2:$B$10,"&lt;"&amp;C1284,mdr_rate_cleaned!$F$2:$F$10,"&gt;="&amp;C1284)</f>
        <v>1</v>
      </c>
      <c r="G1284" s="40">
        <f>SUMIFS(mdr_rate_cleaned!$G$2:$G$10,mdr_rate_cleaned!$A$2:$A$10,B1284,mdr_rate_cleaned!$B$2:$B$10,"&lt;"&amp;C1284,mdr_rate_cleaned!$F$2:$F$10,"&gt;="&amp;C1284)</f>
        <v>0</v>
      </c>
      <c r="H1284" s="24">
        <f t="shared" si="100"/>
        <v>0</v>
      </c>
      <c r="I1284" s="23" t="str">
        <f t="shared" si="101"/>
        <v>Match</v>
      </c>
      <c r="J1284" s="23" t="str">
        <f t="shared" si="102"/>
        <v>Match</v>
      </c>
      <c r="K1284" s="24">
        <f t="shared" si="103"/>
        <v>0</v>
      </c>
      <c r="L1284" s="24">
        <f t="shared" si="104"/>
        <v>0</v>
      </c>
    </row>
    <row r="1285" spans="1:12" ht="15" customHeight="1" x14ac:dyDescent="0.3">
      <c r="A1285" s="23" t="s">
        <v>13929</v>
      </c>
      <c r="B1285" s="23" t="s">
        <v>77</v>
      </c>
      <c r="C1285" s="39">
        <v>1798</v>
      </c>
      <c r="D1285" s="24">
        <v>34.159999999999997</v>
      </c>
      <c r="E1285" s="24">
        <v>6.15</v>
      </c>
      <c r="F1285" s="23">
        <f>COUNTIFS(mdr_rate_cleaned!$A$2:$A$10,B1285,mdr_rate_cleaned!$B$2:$B$10,"&lt;"&amp;C1285,mdr_rate_cleaned!$F$2:$F$10,"&gt;="&amp;C1285)</f>
        <v>1</v>
      </c>
      <c r="G1285" s="40">
        <f>SUMIFS(mdr_rate_cleaned!$G$2:$G$10,mdr_rate_cleaned!$A$2:$A$10,B1285,mdr_rate_cleaned!$B$2:$B$10,"&lt;"&amp;C1285,mdr_rate_cleaned!$F$2:$F$10,"&gt;="&amp;C1285)</f>
        <v>1.9E-2</v>
      </c>
      <c r="H1285" s="24">
        <f t="shared" si="100"/>
        <v>34.159999999999997</v>
      </c>
      <c r="I1285" s="23" t="str">
        <f t="shared" si="101"/>
        <v>Match</v>
      </c>
      <c r="J1285" s="23" t="str">
        <f t="shared" si="102"/>
        <v>Match</v>
      </c>
      <c r="K1285" s="24">
        <f t="shared" si="103"/>
        <v>6.15</v>
      </c>
      <c r="L1285" s="24">
        <f t="shared" si="104"/>
        <v>0</v>
      </c>
    </row>
    <row r="1286" spans="1:12" ht="15" customHeight="1" x14ac:dyDescent="0.3">
      <c r="A1286" s="23" t="s">
        <v>13930</v>
      </c>
      <c r="B1286" s="23" t="s">
        <v>75</v>
      </c>
      <c r="C1286" s="39">
        <v>1697</v>
      </c>
      <c r="D1286" s="24">
        <v>0</v>
      </c>
      <c r="E1286" s="24">
        <v>0</v>
      </c>
      <c r="F1286" s="23">
        <f>COUNTIFS(mdr_rate_cleaned!$A$2:$A$10,B1286,mdr_rate_cleaned!$B$2:$B$10,"&lt;"&amp;C1286,mdr_rate_cleaned!$F$2:$F$10,"&gt;="&amp;C1286)</f>
        <v>1</v>
      </c>
      <c r="G1286" s="40">
        <f>SUMIFS(mdr_rate_cleaned!$G$2:$G$10,mdr_rate_cleaned!$A$2:$A$10,B1286,mdr_rate_cleaned!$B$2:$B$10,"&lt;"&amp;C1286,mdr_rate_cleaned!$F$2:$F$10,"&gt;="&amp;C1286)</f>
        <v>0</v>
      </c>
      <c r="H1286" s="24">
        <f t="shared" si="100"/>
        <v>0</v>
      </c>
      <c r="I1286" s="23" t="str">
        <f t="shared" si="101"/>
        <v>Match</v>
      </c>
      <c r="J1286" s="23" t="str">
        <f t="shared" si="102"/>
        <v>Match</v>
      </c>
      <c r="K1286" s="24">
        <f t="shared" si="103"/>
        <v>0</v>
      </c>
      <c r="L1286" s="24">
        <f t="shared" si="104"/>
        <v>0</v>
      </c>
    </row>
    <row r="1287" spans="1:12" ht="15" customHeight="1" x14ac:dyDescent="0.3">
      <c r="A1287" s="23" t="s">
        <v>13931</v>
      </c>
      <c r="B1287" s="23" t="s">
        <v>79</v>
      </c>
      <c r="C1287" s="39">
        <v>8797</v>
      </c>
      <c r="D1287" s="24">
        <v>140.75</v>
      </c>
      <c r="E1287" s="24">
        <v>25.34</v>
      </c>
      <c r="F1287" s="23">
        <f>COUNTIFS(mdr_rate_cleaned!$A$2:$A$10,B1287,mdr_rate_cleaned!$B$2:$B$10,"&lt;"&amp;C1287,mdr_rate_cleaned!$F$2:$F$10,"&gt;="&amp;C1287)</f>
        <v>1</v>
      </c>
      <c r="G1287" s="40">
        <f>SUMIFS(mdr_rate_cleaned!$G$2:$G$10,mdr_rate_cleaned!$A$2:$A$10,B1287,mdr_rate_cleaned!$B$2:$B$10,"&lt;"&amp;C1287,mdr_rate_cleaned!$F$2:$F$10,"&gt;="&amp;C1287)</f>
        <v>1.6E-2</v>
      </c>
      <c r="H1287" s="24">
        <f t="shared" si="100"/>
        <v>140.75</v>
      </c>
      <c r="I1287" s="23" t="str">
        <f t="shared" si="101"/>
        <v>Match</v>
      </c>
      <c r="J1287" s="23" t="str">
        <f t="shared" si="102"/>
        <v>Match</v>
      </c>
      <c r="K1287" s="24">
        <f t="shared" si="103"/>
        <v>25.34</v>
      </c>
      <c r="L1287" s="24">
        <f t="shared" si="104"/>
        <v>0</v>
      </c>
    </row>
    <row r="1288" spans="1:12" ht="15" customHeight="1" x14ac:dyDescent="0.3">
      <c r="A1288" s="23" t="s">
        <v>13933</v>
      </c>
      <c r="B1288" s="23" t="s">
        <v>75</v>
      </c>
      <c r="C1288" s="39">
        <v>2999</v>
      </c>
      <c r="D1288" s="24">
        <v>9</v>
      </c>
      <c r="E1288" s="24">
        <v>1.62</v>
      </c>
      <c r="F1288" s="23">
        <f>COUNTIFS(mdr_rate_cleaned!$A$2:$A$10,B1288,mdr_rate_cleaned!$B$2:$B$10,"&lt;"&amp;C1288,mdr_rate_cleaned!$F$2:$F$10,"&gt;="&amp;C1288)</f>
        <v>1</v>
      </c>
      <c r="G1288" s="40">
        <f>SUMIFS(mdr_rate_cleaned!$G$2:$G$10,mdr_rate_cleaned!$A$2:$A$10,B1288,mdr_rate_cleaned!$B$2:$B$10,"&lt;"&amp;C1288,mdr_rate_cleaned!$F$2:$F$10,"&gt;="&amp;C1288)</f>
        <v>3.0000000000000001E-3</v>
      </c>
      <c r="H1288" s="24">
        <f t="shared" si="100"/>
        <v>9</v>
      </c>
      <c r="I1288" s="23" t="str">
        <f t="shared" si="101"/>
        <v>Match</v>
      </c>
      <c r="J1288" s="23" t="str">
        <f t="shared" si="102"/>
        <v>Match</v>
      </c>
      <c r="K1288" s="24">
        <f t="shared" si="103"/>
        <v>1.62</v>
      </c>
      <c r="L1288" s="24">
        <f t="shared" si="104"/>
        <v>0</v>
      </c>
    </row>
    <row r="1289" spans="1:12" ht="15" customHeight="1" x14ac:dyDescent="0.3">
      <c r="A1289" s="23" t="s">
        <v>13934</v>
      </c>
      <c r="B1289" s="23" t="s">
        <v>75</v>
      </c>
      <c r="C1289" s="39">
        <v>1798</v>
      </c>
      <c r="D1289" s="24">
        <v>0</v>
      </c>
      <c r="E1289" s="24">
        <v>0</v>
      </c>
      <c r="F1289" s="23">
        <f>COUNTIFS(mdr_rate_cleaned!$A$2:$A$10,B1289,mdr_rate_cleaned!$B$2:$B$10,"&lt;"&amp;C1289,mdr_rate_cleaned!$F$2:$F$10,"&gt;="&amp;C1289)</f>
        <v>1</v>
      </c>
      <c r="G1289" s="40">
        <f>SUMIFS(mdr_rate_cleaned!$G$2:$G$10,mdr_rate_cleaned!$A$2:$A$10,B1289,mdr_rate_cleaned!$B$2:$B$10,"&lt;"&amp;C1289,mdr_rate_cleaned!$F$2:$F$10,"&gt;="&amp;C1289)</f>
        <v>0</v>
      </c>
      <c r="H1289" s="24">
        <f t="shared" si="100"/>
        <v>0</v>
      </c>
      <c r="I1289" s="23" t="str">
        <f t="shared" si="101"/>
        <v>Match</v>
      </c>
      <c r="J1289" s="23" t="str">
        <f t="shared" si="102"/>
        <v>Match</v>
      </c>
      <c r="K1289" s="24">
        <f t="shared" si="103"/>
        <v>0</v>
      </c>
      <c r="L1289" s="24">
        <f t="shared" si="104"/>
        <v>0</v>
      </c>
    </row>
    <row r="1290" spans="1:12" ht="15" customHeight="1" x14ac:dyDescent="0.3">
      <c r="A1290" s="23" t="s">
        <v>13935</v>
      </c>
      <c r="B1290" s="23" t="s">
        <v>75</v>
      </c>
      <c r="C1290" s="39">
        <v>599</v>
      </c>
      <c r="D1290" s="24">
        <v>0</v>
      </c>
      <c r="E1290" s="24">
        <v>0</v>
      </c>
      <c r="F1290" s="23">
        <f>COUNTIFS(mdr_rate_cleaned!$A$2:$A$10,B1290,mdr_rate_cleaned!$B$2:$B$10,"&lt;"&amp;C1290,mdr_rate_cleaned!$F$2:$F$10,"&gt;="&amp;C1290)</f>
        <v>1</v>
      </c>
      <c r="G1290" s="40">
        <f>SUMIFS(mdr_rate_cleaned!$G$2:$G$10,mdr_rate_cleaned!$A$2:$A$10,B1290,mdr_rate_cleaned!$B$2:$B$10,"&lt;"&amp;C1290,mdr_rate_cleaned!$F$2:$F$10,"&gt;="&amp;C1290)</f>
        <v>0</v>
      </c>
      <c r="H1290" s="24">
        <f t="shared" si="100"/>
        <v>0</v>
      </c>
      <c r="I1290" s="23" t="str">
        <f t="shared" si="101"/>
        <v>Match</v>
      </c>
      <c r="J1290" s="23" t="str">
        <f t="shared" si="102"/>
        <v>Match</v>
      </c>
      <c r="K1290" s="24">
        <f t="shared" si="103"/>
        <v>0</v>
      </c>
      <c r="L1290" s="24">
        <f t="shared" si="104"/>
        <v>0</v>
      </c>
    </row>
    <row r="1291" spans="1:12" ht="15" customHeight="1" x14ac:dyDescent="0.3">
      <c r="A1291" s="23" t="s">
        <v>13936</v>
      </c>
      <c r="B1291" s="23" t="s">
        <v>75</v>
      </c>
      <c r="C1291" s="39">
        <v>6297</v>
      </c>
      <c r="D1291" s="24">
        <v>18.89</v>
      </c>
      <c r="E1291" s="24">
        <v>3.4</v>
      </c>
      <c r="F1291" s="23">
        <f>COUNTIFS(mdr_rate_cleaned!$A$2:$A$10,B1291,mdr_rate_cleaned!$B$2:$B$10,"&lt;"&amp;C1291,mdr_rate_cleaned!$F$2:$F$10,"&gt;="&amp;C1291)</f>
        <v>1</v>
      </c>
      <c r="G1291" s="40">
        <f>SUMIFS(mdr_rate_cleaned!$G$2:$G$10,mdr_rate_cleaned!$A$2:$A$10,B1291,mdr_rate_cleaned!$B$2:$B$10,"&lt;"&amp;C1291,mdr_rate_cleaned!$F$2:$F$10,"&gt;="&amp;C1291)</f>
        <v>3.0000000000000001E-3</v>
      </c>
      <c r="H1291" s="24">
        <f t="shared" si="100"/>
        <v>18.89</v>
      </c>
      <c r="I1291" s="23" t="str">
        <f t="shared" si="101"/>
        <v>Match</v>
      </c>
      <c r="J1291" s="23" t="str">
        <f t="shared" si="102"/>
        <v>Match</v>
      </c>
      <c r="K1291" s="24">
        <f t="shared" si="103"/>
        <v>3.4</v>
      </c>
      <c r="L1291" s="24">
        <f t="shared" si="104"/>
        <v>0</v>
      </c>
    </row>
    <row r="1292" spans="1:12" ht="15" customHeight="1" x14ac:dyDescent="0.3">
      <c r="A1292" s="23" t="s">
        <v>13937</v>
      </c>
      <c r="B1292" s="23" t="s">
        <v>75</v>
      </c>
      <c r="C1292" s="39">
        <v>5348</v>
      </c>
      <c r="D1292" s="24">
        <v>16.04</v>
      </c>
      <c r="E1292" s="24">
        <v>2.89</v>
      </c>
      <c r="F1292" s="23">
        <f>COUNTIFS(mdr_rate_cleaned!$A$2:$A$10,B1292,mdr_rate_cleaned!$B$2:$B$10,"&lt;"&amp;C1292,mdr_rate_cleaned!$F$2:$F$10,"&gt;="&amp;C1292)</f>
        <v>1</v>
      </c>
      <c r="G1292" s="40">
        <f>SUMIFS(mdr_rate_cleaned!$G$2:$G$10,mdr_rate_cleaned!$A$2:$A$10,B1292,mdr_rate_cleaned!$B$2:$B$10,"&lt;"&amp;C1292,mdr_rate_cleaned!$F$2:$F$10,"&gt;="&amp;C1292)</f>
        <v>3.0000000000000001E-3</v>
      </c>
      <c r="H1292" s="24">
        <f t="shared" si="100"/>
        <v>16.04</v>
      </c>
      <c r="I1292" s="23" t="str">
        <f t="shared" si="101"/>
        <v>Match</v>
      </c>
      <c r="J1292" s="23" t="str">
        <f t="shared" si="102"/>
        <v>Match</v>
      </c>
      <c r="K1292" s="24">
        <f t="shared" si="103"/>
        <v>2.89</v>
      </c>
      <c r="L1292" s="24">
        <f t="shared" si="104"/>
        <v>0</v>
      </c>
    </row>
    <row r="1293" spans="1:12" ht="15" customHeight="1" x14ac:dyDescent="0.3">
      <c r="A1293" s="23" t="s">
        <v>13938</v>
      </c>
      <c r="B1293" s="23" t="s">
        <v>81</v>
      </c>
      <c r="C1293" s="39">
        <v>1147</v>
      </c>
      <c r="D1293" s="24">
        <v>17.21</v>
      </c>
      <c r="E1293" s="24">
        <v>3.1</v>
      </c>
      <c r="F1293" s="23">
        <f>COUNTIFS(mdr_rate_cleaned!$A$2:$A$10,B1293,mdr_rate_cleaned!$B$2:$B$10,"&lt;"&amp;C1293,mdr_rate_cleaned!$F$2:$F$10,"&gt;="&amp;C1293)</f>
        <v>1</v>
      </c>
      <c r="G1293" s="40">
        <f>SUMIFS(mdr_rate_cleaned!$G$2:$G$10,mdr_rate_cleaned!$A$2:$A$10,B1293,mdr_rate_cleaned!$B$2:$B$10,"&lt;"&amp;C1293,mdr_rate_cleaned!$F$2:$F$10,"&gt;="&amp;C1293)</f>
        <v>1.4999999999999999E-2</v>
      </c>
      <c r="H1293" s="24">
        <f t="shared" si="100"/>
        <v>17.21</v>
      </c>
      <c r="I1293" s="23" t="str">
        <f t="shared" si="101"/>
        <v>Match</v>
      </c>
      <c r="J1293" s="23" t="str">
        <f t="shared" si="102"/>
        <v>Match</v>
      </c>
      <c r="K1293" s="24">
        <f t="shared" si="103"/>
        <v>3.1</v>
      </c>
      <c r="L1293" s="24">
        <f t="shared" si="104"/>
        <v>0</v>
      </c>
    </row>
    <row r="1294" spans="1:12" ht="15" customHeight="1" x14ac:dyDescent="0.3">
      <c r="A1294" s="23" t="s">
        <v>13939</v>
      </c>
      <c r="B1294" s="23" t="s">
        <v>77</v>
      </c>
      <c r="C1294" s="39">
        <v>349</v>
      </c>
      <c r="D1294" s="24">
        <v>6.63</v>
      </c>
      <c r="E1294" s="24">
        <v>1.19</v>
      </c>
      <c r="F1294" s="23">
        <f>COUNTIFS(mdr_rate_cleaned!$A$2:$A$10,B1294,mdr_rate_cleaned!$B$2:$B$10,"&lt;"&amp;C1294,mdr_rate_cleaned!$F$2:$F$10,"&gt;="&amp;C1294)</f>
        <v>1</v>
      </c>
      <c r="G1294" s="40">
        <f>SUMIFS(mdr_rate_cleaned!$G$2:$G$10,mdr_rate_cleaned!$A$2:$A$10,B1294,mdr_rate_cleaned!$B$2:$B$10,"&lt;"&amp;C1294,mdr_rate_cleaned!$F$2:$F$10,"&gt;="&amp;C1294)</f>
        <v>1.9E-2</v>
      </c>
      <c r="H1294" s="24">
        <f t="shared" si="100"/>
        <v>6.63</v>
      </c>
      <c r="I1294" s="23" t="str">
        <f t="shared" si="101"/>
        <v>Match</v>
      </c>
      <c r="J1294" s="23" t="str">
        <f t="shared" si="102"/>
        <v>Match</v>
      </c>
      <c r="K1294" s="24">
        <f t="shared" si="103"/>
        <v>1.19</v>
      </c>
      <c r="L1294" s="24">
        <f t="shared" si="104"/>
        <v>0</v>
      </c>
    </row>
    <row r="1295" spans="1:12" ht="15" customHeight="1" x14ac:dyDescent="0.3">
      <c r="A1295" s="23" t="s">
        <v>13941</v>
      </c>
      <c r="B1295" s="23" t="s">
        <v>79</v>
      </c>
      <c r="C1295" s="39">
        <v>8498</v>
      </c>
      <c r="D1295" s="24">
        <v>135.97</v>
      </c>
      <c r="E1295" s="24">
        <v>24.47</v>
      </c>
      <c r="F1295" s="23">
        <f>COUNTIFS(mdr_rate_cleaned!$A$2:$A$10,B1295,mdr_rate_cleaned!$B$2:$B$10,"&lt;"&amp;C1295,mdr_rate_cleaned!$F$2:$F$10,"&gt;="&amp;C1295)</f>
        <v>1</v>
      </c>
      <c r="G1295" s="40">
        <f>SUMIFS(mdr_rate_cleaned!$G$2:$G$10,mdr_rate_cleaned!$A$2:$A$10,B1295,mdr_rate_cleaned!$B$2:$B$10,"&lt;"&amp;C1295,mdr_rate_cleaned!$F$2:$F$10,"&gt;="&amp;C1295)</f>
        <v>1.6E-2</v>
      </c>
      <c r="H1295" s="24">
        <f t="shared" si="100"/>
        <v>135.97</v>
      </c>
      <c r="I1295" s="23" t="str">
        <f t="shared" si="101"/>
        <v>Match</v>
      </c>
      <c r="J1295" s="23" t="str">
        <f t="shared" si="102"/>
        <v>Match</v>
      </c>
      <c r="K1295" s="24">
        <f t="shared" si="103"/>
        <v>24.47</v>
      </c>
      <c r="L1295" s="24">
        <f t="shared" si="104"/>
        <v>0</v>
      </c>
    </row>
    <row r="1296" spans="1:12" ht="15" customHeight="1" x14ac:dyDescent="0.3">
      <c r="A1296" s="23" t="s">
        <v>13942</v>
      </c>
      <c r="B1296" s="23" t="s">
        <v>75</v>
      </c>
      <c r="C1296" s="39">
        <v>2397</v>
      </c>
      <c r="D1296" s="24">
        <v>7.19</v>
      </c>
      <c r="E1296" s="24">
        <v>1.29</v>
      </c>
      <c r="F1296" s="23">
        <f>COUNTIFS(mdr_rate_cleaned!$A$2:$A$10,B1296,mdr_rate_cleaned!$B$2:$B$10,"&lt;"&amp;C1296,mdr_rate_cleaned!$F$2:$F$10,"&gt;="&amp;C1296)</f>
        <v>1</v>
      </c>
      <c r="G1296" s="40">
        <f>SUMIFS(mdr_rate_cleaned!$G$2:$G$10,mdr_rate_cleaned!$A$2:$A$10,B1296,mdr_rate_cleaned!$B$2:$B$10,"&lt;"&amp;C1296,mdr_rate_cleaned!$F$2:$F$10,"&gt;="&amp;C1296)</f>
        <v>3.0000000000000001E-3</v>
      </c>
      <c r="H1296" s="24">
        <f t="shared" si="100"/>
        <v>7.19</v>
      </c>
      <c r="I1296" s="23" t="str">
        <f t="shared" si="101"/>
        <v>Match</v>
      </c>
      <c r="J1296" s="23" t="str">
        <f t="shared" si="102"/>
        <v>Match</v>
      </c>
      <c r="K1296" s="24">
        <f t="shared" si="103"/>
        <v>1.29</v>
      </c>
      <c r="L1296" s="24">
        <f t="shared" si="104"/>
        <v>0</v>
      </c>
    </row>
    <row r="1297" spans="1:12" ht="15" customHeight="1" x14ac:dyDescent="0.3">
      <c r="A1297" s="23" t="s">
        <v>13943</v>
      </c>
      <c r="B1297" s="23" t="s">
        <v>79</v>
      </c>
      <c r="C1297" s="39">
        <v>799</v>
      </c>
      <c r="D1297" s="24">
        <v>14.38</v>
      </c>
      <c r="E1297" s="24">
        <v>2.59</v>
      </c>
      <c r="F1297" s="23">
        <f>COUNTIFS(mdr_rate_cleaned!$A$2:$A$10,B1297,mdr_rate_cleaned!$B$2:$B$10,"&lt;"&amp;C1297,mdr_rate_cleaned!$F$2:$F$10,"&gt;="&amp;C1297)</f>
        <v>1</v>
      </c>
      <c r="G1297" s="40">
        <f>SUMIFS(mdr_rate_cleaned!$G$2:$G$10,mdr_rate_cleaned!$A$2:$A$10,B1297,mdr_rate_cleaned!$B$2:$B$10,"&lt;"&amp;C1297,mdr_rate_cleaned!$F$2:$F$10,"&gt;="&amp;C1297)</f>
        <v>1.8000000000000002E-2</v>
      </c>
      <c r="H1297" s="24">
        <f t="shared" si="100"/>
        <v>14.38</v>
      </c>
      <c r="I1297" s="23" t="str">
        <f t="shared" si="101"/>
        <v>Match</v>
      </c>
      <c r="J1297" s="23" t="str">
        <f t="shared" si="102"/>
        <v>Match</v>
      </c>
      <c r="K1297" s="24">
        <f t="shared" si="103"/>
        <v>2.59</v>
      </c>
      <c r="L1297" s="24">
        <f t="shared" si="104"/>
        <v>0</v>
      </c>
    </row>
    <row r="1298" spans="1:12" ht="15" customHeight="1" x14ac:dyDescent="0.3">
      <c r="A1298" s="23" t="s">
        <v>13945</v>
      </c>
      <c r="B1298" s="23" t="s">
        <v>75</v>
      </c>
      <c r="C1298" s="39">
        <v>2999</v>
      </c>
      <c r="D1298" s="24">
        <v>9</v>
      </c>
      <c r="E1298" s="24">
        <v>1.62</v>
      </c>
      <c r="F1298" s="23">
        <f>COUNTIFS(mdr_rate_cleaned!$A$2:$A$10,B1298,mdr_rate_cleaned!$B$2:$B$10,"&lt;"&amp;C1298,mdr_rate_cleaned!$F$2:$F$10,"&gt;="&amp;C1298)</f>
        <v>1</v>
      </c>
      <c r="G1298" s="40">
        <f>SUMIFS(mdr_rate_cleaned!$G$2:$G$10,mdr_rate_cleaned!$A$2:$A$10,B1298,mdr_rate_cleaned!$B$2:$B$10,"&lt;"&amp;C1298,mdr_rate_cleaned!$F$2:$F$10,"&gt;="&amp;C1298)</f>
        <v>3.0000000000000001E-3</v>
      </c>
      <c r="H1298" s="24">
        <f t="shared" si="100"/>
        <v>9</v>
      </c>
      <c r="I1298" s="23" t="str">
        <f t="shared" si="101"/>
        <v>Match</v>
      </c>
      <c r="J1298" s="23" t="str">
        <f t="shared" si="102"/>
        <v>Match</v>
      </c>
      <c r="K1298" s="24">
        <f t="shared" si="103"/>
        <v>1.62</v>
      </c>
      <c r="L1298" s="24">
        <f t="shared" si="104"/>
        <v>0</v>
      </c>
    </row>
    <row r="1299" spans="1:12" ht="15" customHeight="1" x14ac:dyDescent="0.3">
      <c r="A1299" s="23" t="s">
        <v>13947</v>
      </c>
      <c r="B1299" s="23" t="s">
        <v>75</v>
      </c>
      <c r="C1299" s="39">
        <v>3499</v>
      </c>
      <c r="D1299" s="24">
        <v>10.5</v>
      </c>
      <c r="E1299" s="24">
        <v>1.89</v>
      </c>
      <c r="F1299" s="23">
        <f>COUNTIFS(mdr_rate_cleaned!$A$2:$A$10,B1299,mdr_rate_cleaned!$B$2:$B$10,"&lt;"&amp;C1299,mdr_rate_cleaned!$F$2:$F$10,"&gt;="&amp;C1299)</f>
        <v>1</v>
      </c>
      <c r="G1299" s="40">
        <f>SUMIFS(mdr_rate_cleaned!$G$2:$G$10,mdr_rate_cleaned!$A$2:$A$10,B1299,mdr_rate_cleaned!$B$2:$B$10,"&lt;"&amp;C1299,mdr_rate_cleaned!$F$2:$F$10,"&gt;="&amp;C1299)</f>
        <v>3.0000000000000001E-3</v>
      </c>
      <c r="H1299" s="24">
        <f t="shared" si="100"/>
        <v>10.5</v>
      </c>
      <c r="I1299" s="23" t="str">
        <f t="shared" si="101"/>
        <v>Match</v>
      </c>
      <c r="J1299" s="23" t="str">
        <f t="shared" si="102"/>
        <v>Match</v>
      </c>
      <c r="K1299" s="24">
        <f t="shared" si="103"/>
        <v>1.89</v>
      </c>
      <c r="L1299" s="24">
        <f t="shared" si="104"/>
        <v>0</v>
      </c>
    </row>
    <row r="1300" spans="1:12" ht="15" customHeight="1" x14ac:dyDescent="0.3">
      <c r="A1300" s="23" t="s">
        <v>13948</v>
      </c>
      <c r="B1300" s="23" t="s">
        <v>75</v>
      </c>
      <c r="C1300" s="39">
        <v>2148</v>
      </c>
      <c r="D1300" s="24">
        <v>6.44</v>
      </c>
      <c r="E1300" s="24">
        <v>1.1599999999999999</v>
      </c>
      <c r="F1300" s="23">
        <f>COUNTIFS(mdr_rate_cleaned!$A$2:$A$10,B1300,mdr_rate_cleaned!$B$2:$B$10,"&lt;"&amp;C1300,mdr_rate_cleaned!$F$2:$F$10,"&gt;="&amp;C1300)</f>
        <v>1</v>
      </c>
      <c r="G1300" s="40">
        <f>SUMIFS(mdr_rate_cleaned!$G$2:$G$10,mdr_rate_cleaned!$A$2:$A$10,B1300,mdr_rate_cleaned!$B$2:$B$10,"&lt;"&amp;C1300,mdr_rate_cleaned!$F$2:$F$10,"&gt;="&amp;C1300)</f>
        <v>3.0000000000000001E-3</v>
      </c>
      <c r="H1300" s="24">
        <f t="shared" si="100"/>
        <v>6.44</v>
      </c>
      <c r="I1300" s="23" t="str">
        <f t="shared" si="101"/>
        <v>Match</v>
      </c>
      <c r="J1300" s="23" t="str">
        <f t="shared" si="102"/>
        <v>Match</v>
      </c>
      <c r="K1300" s="24">
        <f t="shared" si="103"/>
        <v>1.1599999999999999</v>
      </c>
      <c r="L1300" s="24">
        <f t="shared" si="104"/>
        <v>0</v>
      </c>
    </row>
    <row r="1301" spans="1:12" ht="15" customHeight="1" x14ac:dyDescent="0.3">
      <c r="A1301" s="23" t="s">
        <v>13950</v>
      </c>
      <c r="B1301" s="23" t="s">
        <v>75</v>
      </c>
      <c r="C1301" s="39">
        <v>799</v>
      </c>
      <c r="D1301" s="24">
        <v>0</v>
      </c>
      <c r="E1301" s="24">
        <v>0</v>
      </c>
      <c r="F1301" s="23">
        <f>COUNTIFS(mdr_rate_cleaned!$A$2:$A$10,B1301,mdr_rate_cleaned!$B$2:$B$10,"&lt;"&amp;C1301,mdr_rate_cleaned!$F$2:$F$10,"&gt;="&amp;C1301)</f>
        <v>1</v>
      </c>
      <c r="G1301" s="40">
        <f>SUMIFS(mdr_rate_cleaned!$G$2:$G$10,mdr_rate_cleaned!$A$2:$A$10,B1301,mdr_rate_cleaned!$B$2:$B$10,"&lt;"&amp;C1301,mdr_rate_cleaned!$F$2:$F$10,"&gt;="&amp;C1301)</f>
        <v>0</v>
      </c>
      <c r="H1301" s="24">
        <f t="shared" si="100"/>
        <v>0</v>
      </c>
      <c r="I1301" s="23" t="str">
        <f t="shared" si="101"/>
        <v>Match</v>
      </c>
      <c r="J1301" s="23" t="str">
        <f t="shared" si="102"/>
        <v>Match</v>
      </c>
      <c r="K1301" s="24">
        <f t="shared" si="103"/>
        <v>0</v>
      </c>
      <c r="L1301" s="24">
        <f t="shared" si="104"/>
        <v>0</v>
      </c>
    </row>
    <row r="1302" spans="1:12" ht="15" customHeight="1" x14ac:dyDescent="0.3">
      <c r="A1302" s="23" t="s">
        <v>13951</v>
      </c>
      <c r="B1302" s="23" t="s">
        <v>77</v>
      </c>
      <c r="C1302" s="39">
        <v>4397</v>
      </c>
      <c r="D1302" s="24">
        <v>74.75</v>
      </c>
      <c r="E1302" s="24">
        <v>13.46</v>
      </c>
      <c r="F1302" s="23">
        <f>COUNTIFS(mdr_rate_cleaned!$A$2:$A$10,B1302,mdr_rate_cleaned!$B$2:$B$10,"&lt;"&amp;C1302,mdr_rate_cleaned!$F$2:$F$10,"&gt;="&amp;C1302)</f>
        <v>1</v>
      </c>
      <c r="G1302" s="40">
        <f>SUMIFS(mdr_rate_cleaned!$G$2:$G$10,mdr_rate_cleaned!$A$2:$A$10,B1302,mdr_rate_cleaned!$B$2:$B$10,"&lt;"&amp;C1302,mdr_rate_cleaned!$F$2:$F$10,"&gt;="&amp;C1302)</f>
        <v>1.7000000000000001E-2</v>
      </c>
      <c r="H1302" s="24">
        <f t="shared" si="100"/>
        <v>74.75</v>
      </c>
      <c r="I1302" s="23" t="str">
        <f t="shared" si="101"/>
        <v>Match</v>
      </c>
      <c r="J1302" s="23" t="str">
        <f t="shared" si="102"/>
        <v>Match</v>
      </c>
      <c r="K1302" s="24">
        <f t="shared" si="103"/>
        <v>13.46</v>
      </c>
      <c r="L1302" s="24">
        <f t="shared" si="104"/>
        <v>0</v>
      </c>
    </row>
    <row r="1303" spans="1:12" ht="15" customHeight="1" x14ac:dyDescent="0.3">
      <c r="A1303" s="23" t="s">
        <v>13952</v>
      </c>
      <c r="B1303" s="23" t="s">
        <v>79</v>
      </c>
      <c r="C1303" s="39">
        <v>2798</v>
      </c>
      <c r="D1303" s="24">
        <v>44.77</v>
      </c>
      <c r="E1303" s="24">
        <v>8.06</v>
      </c>
      <c r="F1303" s="23">
        <f>COUNTIFS(mdr_rate_cleaned!$A$2:$A$10,B1303,mdr_rate_cleaned!$B$2:$B$10,"&lt;"&amp;C1303,mdr_rate_cleaned!$F$2:$F$10,"&gt;="&amp;C1303)</f>
        <v>1</v>
      </c>
      <c r="G1303" s="40">
        <f>SUMIFS(mdr_rate_cleaned!$G$2:$G$10,mdr_rate_cleaned!$A$2:$A$10,B1303,mdr_rate_cleaned!$B$2:$B$10,"&lt;"&amp;C1303,mdr_rate_cleaned!$F$2:$F$10,"&gt;="&amp;C1303)</f>
        <v>1.6E-2</v>
      </c>
      <c r="H1303" s="24">
        <f t="shared" si="100"/>
        <v>44.77</v>
      </c>
      <c r="I1303" s="23" t="str">
        <f t="shared" si="101"/>
        <v>Match</v>
      </c>
      <c r="J1303" s="23" t="str">
        <f t="shared" si="102"/>
        <v>Match</v>
      </c>
      <c r="K1303" s="24">
        <f t="shared" si="103"/>
        <v>8.06</v>
      </c>
      <c r="L1303" s="24">
        <f t="shared" si="104"/>
        <v>0</v>
      </c>
    </row>
    <row r="1304" spans="1:12" ht="15" customHeight="1" x14ac:dyDescent="0.3">
      <c r="A1304" s="23" t="s">
        <v>13953</v>
      </c>
      <c r="B1304" s="23" t="s">
        <v>79</v>
      </c>
      <c r="C1304" s="39">
        <v>499</v>
      </c>
      <c r="D1304" s="24">
        <v>8.98</v>
      </c>
      <c r="E1304" s="24">
        <v>1.62</v>
      </c>
      <c r="F1304" s="23">
        <f>COUNTIFS(mdr_rate_cleaned!$A$2:$A$10,B1304,mdr_rate_cleaned!$B$2:$B$10,"&lt;"&amp;C1304,mdr_rate_cleaned!$F$2:$F$10,"&gt;="&amp;C1304)</f>
        <v>1</v>
      </c>
      <c r="G1304" s="40">
        <f>SUMIFS(mdr_rate_cleaned!$G$2:$G$10,mdr_rate_cleaned!$A$2:$A$10,B1304,mdr_rate_cleaned!$B$2:$B$10,"&lt;"&amp;C1304,mdr_rate_cleaned!$F$2:$F$10,"&gt;="&amp;C1304)</f>
        <v>1.8000000000000002E-2</v>
      </c>
      <c r="H1304" s="24">
        <f t="shared" si="100"/>
        <v>8.98</v>
      </c>
      <c r="I1304" s="23" t="str">
        <f t="shared" si="101"/>
        <v>Match</v>
      </c>
      <c r="J1304" s="23" t="str">
        <f t="shared" si="102"/>
        <v>Match</v>
      </c>
      <c r="K1304" s="24">
        <f t="shared" si="103"/>
        <v>1.62</v>
      </c>
      <c r="L1304" s="24">
        <f t="shared" si="104"/>
        <v>0</v>
      </c>
    </row>
    <row r="1305" spans="1:12" ht="15" customHeight="1" x14ac:dyDescent="0.3">
      <c r="A1305" s="23" t="s">
        <v>13954</v>
      </c>
      <c r="B1305" s="23" t="s">
        <v>79</v>
      </c>
      <c r="C1305" s="39">
        <v>2499</v>
      </c>
      <c r="D1305" s="24">
        <v>39.979999999999997</v>
      </c>
      <c r="E1305" s="24">
        <v>7.2</v>
      </c>
      <c r="F1305" s="23">
        <f>COUNTIFS(mdr_rate_cleaned!$A$2:$A$10,B1305,mdr_rate_cleaned!$B$2:$B$10,"&lt;"&amp;C1305,mdr_rate_cleaned!$F$2:$F$10,"&gt;="&amp;C1305)</f>
        <v>1</v>
      </c>
      <c r="G1305" s="40">
        <f>SUMIFS(mdr_rate_cleaned!$G$2:$G$10,mdr_rate_cleaned!$A$2:$A$10,B1305,mdr_rate_cleaned!$B$2:$B$10,"&lt;"&amp;C1305,mdr_rate_cleaned!$F$2:$F$10,"&gt;="&amp;C1305)</f>
        <v>1.6E-2</v>
      </c>
      <c r="H1305" s="24">
        <f t="shared" si="100"/>
        <v>39.979999999999997</v>
      </c>
      <c r="I1305" s="23" t="str">
        <f t="shared" si="101"/>
        <v>Match</v>
      </c>
      <c r="J1305" s="23" t="str">
        <f t="shared" si="102"/>
        <v>Match</v>
      </c>
      <c r="K1305" s="24">
        <f t="shared" si="103"/>
        <v>7.2</v>
      </c>
      <c r="L1305" s="24">
        <f t="shared" si="104"/>
        <v>0</v>
      </c>
    </row>
    <row r="1306" spans="1:12" ht="15" customHeight="1" x14ac:dyDescent="0.3">
      <c r="A1306" s="23" t="s">
        <v>13955</v>
      </c>
      <c r="B1306" s="23" t="s">
        <v>75</v>
      </c>
      <c r="C1306" s="39">
        <v>2298</v>
      </c>
      <c r="D1306" s="24">
        <v>6.89</v>
      </c>
      <c r="E1306" s="24">
        <v>1.24</v>
      </c>
      <c r="F1306" s="23">
        <f>COUNTIFS(mdr_rate_cleaned!$A$2:$A$10,B1306,mdr_rate_cleaned!$B$2:$B$10,"&lt;"&amp;C1306,mdr_rate_cleaned!$F$2:$F$10,"&gt;="&amp;C1306)</f>
        <v>1</v>
      </c>
      <c r="G1306" s="40">
        <f>SUMIFS(mdr_rate_cleaned!$G$2:$G$10,mdr_rate_cleaned!$A$2:$A$10,B1306,mdr_rate_cleaned!$B$2:$B$10,"&lt;"&amp;C1306,mdr_rate_cleaned!$F$2:$F$10,"&gt;="&amp;C1306)</f>
        <v>3.0000000000000001E-3</v>
      </c>
      <c r="H1306" s="24">
        <f t="shared" si="100"/>
        <v>6.89</v>
      </c>
      <c r="I1306" s="23" t="str">
        <f t="shared" si="101"/>
        <v>Match</v>
      </c>
      <c r="J1306" s="23" t="str">
        <f t="shared" si="102"/>
        <v>Match</v>
      </c>
      <c r="K1306" s="24">
        <f t="shared" si="103"/>
        <v>1.24</v>
      </c>
      <c r="L1306" s="24">
        <f t="shared" si="104"/>
        <v>0</v>
      </c>
    </row>
    <row r="1307" spans="1:12" ht="15" customHeight="1" x14ac:dyDescent="0.3">
      <c r="A1307" s="23" t="s">
        <v>13956</v>
      </c>
      <c r="B1307" s="23" t="s">
        <v>75</v>
      </c>
      <c r="C1307" s="39">
        <v>299</v>
      </c>
      <c r="D1307" s="24">
        <v>0</v>
      </c>
      <c r="E1307" s="24">
        <v>0</v>
      </c>
      <c r="F1307" s="23">
        <f>COUNTIFS(mdr_rate_cleaned!$A$2:$A$10,B1307,mdr_rate_cleaned!$B$2:$B$10,"&lt;"&amp;C1307,mdr_rate_cleaned!$F$2:$F$10,"&gt;="&amp;C1307)</f>
        <v>1</v>
      </c>
      <c r="G1307" s="40">
        <f>SUMIFS(mdr_rate_cleaned!$G$2:$G$10,mdr_rate_cleaned!$A$2:$A$10,B1307,mdr_rate_cleaned!$B$2:$B$10,"&lt;"&amp;C1307,mdr_rate_cleaned!$F$2:$F$10,"&gt;="&amp;C1307)</f>
        <v>0</v>
      </c>
      <c r="H1307" s="24">
        <f t="shared" si="100"/>
        <v>0</v>
      </c>
      <c r="I1307" s="23" t="str">
        <f t="shared" si="101"/>
        <v>Match</v>
      </c>
      <c r="J1307" s="23" t="str">
        <f t="shared" si="102"/>
        <v>Match</v>
      </c>
      <c r="K1307" s="24">
        <f t="shared" si="103"/>
        <v>0</v>
      </c>
      <c r="L1307" s="24">
        <f t="shared" si="104"/>
        <v>0</v>
      </c>
    </row>
    <row r="1308" spans="1:12" ht="15" customHeight="1" x14ac:dyDescent="0.3">
      <c r="A1308" s="23" t="s">
        <v>13957</v>
      </c>
      <c r="B1308" s="23" t="s">
        <v>75</v>
      </c>
      <c r="C1308" s="39">
        <v>499</v>
      </c>
      <c r="D1308" s="24">
        <v>0</v>
      </c>
      <c r="E1308" s="24">
        <v>0</v>
      </c>
      <c r="F1308" s="23">
        <f>COUNTIFS(mdr_rate_cleaned!$A$2:$A$10,B1308,mdr_rate_cleaned!$B$2:$B$10,"&lt;"&amp;C1308,mdr_rate_cleaned!$F$2:$F$10,"&gt;="&amp;C1308)</f>
        <v>1</v>
      </c>
      <c r="G1308" s="40">
        <f>SUMIFS(mdr_rate_cleaned!$G$2:$G$10,mdr_rate_cleaned!$A$2:$A$10,B1308,mdr_rate_cleaned!$B$2:$B$10,"&lt;"&amp;C1308,mdr_rate_cleaned!$F$2:$F$10,"&gt;="&amp;C1308)</f>
        <v>0</v>
      </c>
      <c r="H1308" s="24">
        <f t="shared" si="100"/>
        <v>0</v>
      </c>
      <c r="I1308" s="23" t="str">
        <f t="shared" si="101"/>
        <v>Match</v>
      </c>
      <c r="J1308" s="23" t="str">
        <f t="shared" si="102"/>
        <v>Match</v>
      </c>
      <c r="K1308" s="24">
        <f t="shared" si="103"/>
        <v>0</v>
      </c>
      <c r="L1308" s="24">
        <f t="shared" si="104"/>
        <v>0</v>
      </c>
    </row>
    <row r="1309" spans="1:12" ht="15" customHeight="1" x14ac:dyDescent="0.3">
      <c r="A1309" s="23" t="s">
        <v>13958</v>
      </c>
      <c r="B1309" s="23" t="s">
        <v>77</v>
      </c>
      <c r="C1309" s="39">
        <v>1348</v>
      </c>
      <c r="D1309" s="24">
        <v>25.61</v>
      </c>
      <c r="E1309" s="24">
        <v>4.6100000000000003</v>
      </c>
      <c r="F1309" s="23">
        <f>COUNTIFS(mdr_rate_cleaned!$A$2:$A$10,B1309,mdr_rate_cleaned!$B$2:$B$10,"&lt;"&amp;C1309,mdr_rate_cleaned!$F$2:$F$10,"&gt;="&amp;C1309)</f>
        <v>1</v>
      </c>
      <c r="G1309" s="40">
        <f>SUMIFS(mdr_rate_cleaned!$G$2:$G$10,mdr_rate_cleaned!$A$2:$A$10,B1309,mdr_rate_cleaned!$B$2:$B$10,"&lt;"&amp;C1309,mdr_rate_cleaned!$F$2:$F$10,"&gt;="&amp;C1309)</f>
        <v>1.9E-2</v>
      </c>
      <c r="H1309" s="24">
        <f t="shared" si="100"/>
        <v>25.61</v>
      </c>
      <c r="I1309" s="23" t="str">
        <f t="shared" si="101"/>
        <v>Match</v>
      </c>
      <c r="J1309" s="23" t="str">
        <f t="shared" si="102"/>
        <v>Match</v>
      </c>
      <c r="K1309" s="24">
        <f t="shared" si="103"/>
        <v>4.6100000000000003</v>
      </c>
      <c r="L1309" s="24">
        <f t="shared" si="104"/>
        <v>0</v>
      </c>
    </row>
    <row r="1310" spans="1:12" ht="15" customHeight="1" x14ac:dyDescent="0.3">
      <c r="A1310" s="23" t="s">
        <v>13959</v>
      </c>
      <c r="B1310" s="23" t="s">
        <v>75</v>
      </c>
      <c r="C1310" s="39">
        <v>4498</v>
      </c>
      <c r="D1310" s="24">
        <v>13.49</v>
      </c>
      <c r="E1310" s="24">
        <v>2.4300000000000002</v>
      </c>
      <c r="F1310" s="23">
        <f>COUNTIFS(mdr_rate_cleaned!$A$2:$A$10,B1310,mdr_rate_cleaned!$B$2:$B$10,"&lt;"&amp;C1310,mdr_rate_cleaned!$F$2:$F$10,"&gt;="&amp;C1310)</f>
        <v>1</v>
      </c>
      <c r="G1310" s="40">
        <f>SUMIFS(mdr_rate_cleaned!$G$2:$G$10,mdr_rate_cleaned!$A$2:$A$10,B1310,mdr_rate_cleaned!$B$2:$B$10,"&lt;"&amp;C1310,mdr_rate_cleaned!$F$2:$F$10,"&gt;="&amp;C1310)</f>
        <v>3.0000000000000001E-3</v>
      </c>
      <c r="H1310" s="24">
        <f t="shared" si="100"/>
        <v>13.49</v>
      </c>
      <c r="I1310" s="23" t="str">
        <f t="shared" si="101"/>
        <v>Match</v>
      </c>
      <c r="J1310" s="23" t="str">
        <f t="shared" si="102"/>
        <v>Match</v>
      </c>
      <c r="K1310" s="24">
        <f t="shared" si="103"/>
        <v>2.4300000000000002</v>
      </c>
      <c r="L1310" s="24">
        <f t="shared" si="104"/>
        <v>0</v>
      </c>
    </row>
    <row r="1311" spans="1:12" ht="15" customHeight="1" x14ac:dyDescent="0.3">
      <c r="A1311" s="23" t="s">
        <v>13960</v>
      </c>
      <c r="B1311" s="23" t="s">
        <v>81</v>
      </c>
      <c r="C1311" s="39">
        <v>2999</v>
      </c>
      <c r="D1311" s="24">
        <v>35.99</v>
      </c>
      <c r="E1311" s="24">
        <v>6.48</v>
      </c>
      <c r="F1311" s="23">
        <f>COUNTIFS(mdr_rate_cleaned!$A$2:$A$10,B1311,mdr_rate_cleaned!$B$2:$B$10,"&lt;"&amp;C1311,mdr_rate_cleaned!$F$2:$F$10,"&gt;="&amp;C1311)</f>
        <v>1</v>
      </c>
      <c r="G1311" s="40">
        <f>SUMIFS(mdr_rate_cleaned!$G$2:$G$10,mdr_rate_cleaned!$A$2:$A$10,B1311,mdr_rate_cleaned!$B$2:$B$10,"&lt;"&amp;C1311,mdr_rate_cleaned!$F$2:$F$10,"&gt;="&amp;C1311)</f>
        <v>1.2E-2</v>
      </c>
      <c r="H1311" s="24">
        <f t="shared" si="100"/>
        <v>35.99</v>
      </c>
      <c r="I1311" s="23" t="str">
        <f t="shared" si="101"/>
        <v>Match</v>
      </c>
      <c r="J1311" s="23" t="str">
        <f t="shared" si="102"/>
        <v>Match</v>
      </c>
      <c r="K1311" s="24">
        <f t="shared" si="103"/>
        <v>6.48</v>
      </c>
      <c r="L1311" s="24">
        <f t="shared" si="104"/>
        <v>0</v>
      </c>
    </row>
    <row r="1312" spans="1:12" ht="15" customHeight="1" x14ac:dyDescent="0.3">
      <c r="A1312" s="23" t="s">
        <v>13962</v>
      </c>
      <c r="B1312" s="23" t="s">
        <v>75</v>
      </c>
      <c r="C1312" s="39">
        <v>12297</v>
      </c>
      <c r="D1312" s="24">
        <v>36.89</v>
      </c>
      <c r="E1312" s="24">
        <v>6.64</v>
      </c>
      <c r="F1312" s="23">
        <f>COUNTIFS(mdr_rate_cleaned!$A$2:$A$10,B1312,mdr_rate_cleaned!$B$2:$B$10,"&lt;"&amp;C1312,mdr_rate_cleaned!$F$2:$F$10,"&gt;="&amp;C1312)</f>
        <v>1</v>
      </c>
      <c r="G1312" s="40">
        <f>SUMIFS(mdr_rate_cleaned!$G$2:$G$10,mdr_rate_cleaned!$A$2:$A$10,B1312,mdr_rate_cleaned!$B$2:$B$10,"&lt;"&amp;C1312,mdr_rate_cleaned!$F$2:$F$10,"&gt;="&amp;C1312)</f>
        <v>3.0000000000000001E-3</v>
      </c>
      <c r="H1312" s="24">
        <f t="shared" si="100"/>
        <v>36.89</v>
      </c>
      <c r="I1312" s="23" t="str">
        <f t="shared" si="101"/>
        <v>Match</v>
      </c>
      <c r="J1312" s="23" t="str">
        <f t="shared" si="102"/>
        <v>Match</v>
      </c>
      <c r="K1312" s="24">
        <f t="shared" si="103"/>
        <v>6.64</v>
      </c>
      <c r="L1312" s="24">
        <f t="shared" si="104"/>
        <v>0</v>
      </c>
    </row>
    <row r="1313" spans="1:12" ht="15" customHeight="1" x14ac:dyDescent="0.3">
      <c r="A1313" s="23" t="s">
        <v>13963</v>
      </c>
      <c r="B1313" s="23" t="s">
        <v>81</v>
      </c>
      <c r="C1313" s="39">
        <v>3499</v>
      </c>
      <c r="D1313" s="24">
        <v>41.99</v>
      </c>
      <c r="E1313" s="24">
        <v>7.56</v>
      </c>
      <c r="F1313" s="23">
        <f>COUNTIFS(mdr_rate_cleaned!$A$2:$A$10,B1313,mdr_rate_cleaned!$B$2:$B$10,"&lt;"&amp;C1313,mdr_rate_cleaned!$F$2:$F$10,"&gt;="&amp;C1313)</f>
        <v>1</v>
      </c>
      <c r="G1313" s="40">
        <f>SUMIFS(mdr_rate_cleaned!$G$2:$G$10,mdr_rate_cleaned!$A$2:$A$10,B1313,mdr_rate_cleaned!$B$2:$B$10,"&lt;"&amp;C1313,mdr_rate_cleaned!$F$2:$F$10,"&gt;="&amp;C1313)</f>
        <v>1.2E-2</v>
      </c>
      <c r="H1313" s="24">
        <f t="shared" si="100"/>
        <v>41.99</v>
      </c>
      <c r="I1313" s="23" t="str">
        <f t="shared" si="101"/>
        <v>Match</v>
      </c>
      <c r="J1313" s="23" t="str">
        <f t="shared" si="102"/>
        <v>Match</v>
      </c>
      <c r="K1313" s="24">
        <f t="shared" si="103"/>
        <v>7.56</v>
      </c>
      <c r="L1313" s="24">
        <f t="shared" si="104"/>
        <v>0</v>
      </c>
    </row>
    <row r="1314" spans="1:12" ht="15" customHeight="1" x14ac:dyDescent="0.3">
      <c r="A1314" s="23" t="s">
        <v>13964</v>
      </c>
      <c r="B1314" s="23" t="s">
        <v>75</v>
      </c>
      <c r="C1314" s="39">
        <v>3499</v>
      </c>
      <c r="D1314" s="24">
        <v>10.5</v>
      </c>
      <c r="E1314" s="24">
        <v>1.89</v>
      </c>
      <c r="F1314" s="23">
        <f>COUNTIFS(mdr_rate_cleaned!$A$2:$A$10,B1314,mdr_rate_cleaned!$B$2:$B$10,"&lt;"&amp;C1314,mdr_rate_cleaned!$F$2:$F$10,"&gt;="&amp;C1314)</f>
        <v>1</v>
      </c>
      <c r="G1314" s="40">
        <f>SUMIFS(mdr_rate_cleaned!$G$2:$G$10,mdr_rate_cleaned!$A$2:$A$10,B1314,mdr_rate_cleaned!$B$2:$B$10,"&lt;"&amp;C1314,mdr_rate_cleaned!$F$2:$F$10,"&gt;="&amp;C1314)</f>
        <v>3.0000000000000001E-3</v>
      </c>
      <c r="H1314" s="24">
        <f t="shared" si="100"/>
        <v>10.5</v>
      </c>
      <c r="I1314" s="23" t="str">
        <f t="shared" si="101"/>
        <v>Match</v>
      </c>
      <c r="J1314" s="23" t="str">
        <f t="shared" si="102"/>
        <v>Match</v>
      </c>
      <c r="K1314" s="24">
        <f t="shared" si="103"/>
        <v>1.89</v>
      </c>
      <c r="L1314" s="24">
        <f t="shared" si="104"/>
        <v>0</v>
      </c>
    </row>
    <row r="1315" spans="1:12" ht="15" customHeight="1" x14ac:dyDescent="0.3">
      <c r="A1315" s="23" t="s">
        <v>13965</v>
      </c>
      <c r="B1315" s="23" t="s">
        <v>75</v>
      </c>
      <c r="C1315" s="39">
        <v>9497</v>
      </c>
      <c r="D1315" s="24">
        <v>28.49</v>
      </c>
      <c r="E1315" s="24">
        <v>5.13</v>
      </c>
      <c r="F1315" s="23">
        <f>COUNTIFS(mdr_rate_cleaned!$A$2:$A$10,B1315,mdr_rate_cleaned!$B$2:$B$10,"&lt;"&amp;C1315,mdr_rate_cleaned!$F$2:$F$10,"&gt;="&amp;C1315)</f>
        <v>1</v>
      </c>
      <c r="G1315" s="40">
        <f>SUMIFS(mdr_rate_cleaned!$G$2:$G$10,mdr_rate_cleaned!$A$2:$A$10,B1315,mdr_rate_cleaned!$B$2:$B$10,"&lt;"&amp;C1315,mdr_rate_cleaned!$F$2:$F$10,"&gt;="&amp;C1315)</f>
        <v>3.0000000000000001E-3</v>
      </c>
      <c r="H1315" s="24">
        <f t="shared" si="100"/>
        <v>28.49</v>
      </c>
      <c r="I1315" s="23" t="str">
        <f t="shared" si="101"/>
        <v>Match</v>
      </c>
      <c r="J1315" s="23" t="str">
        <f t="shared" si="102"/>
        <v>Match</v>
      </c>
      <c r="K1315" s="24">
        <f t="shared" si="103"/>
        <v>5.13</v>
      </c>
      <c r="L1315" s="24">
        <f t="shared" si="104"/>
        <v>0</v>
      </c>
    </row>
    <row r="1316" spans="1:12" ht="15" customHeight="1" x14ac:dyDescent="0.3">
      <c r="A1316" s="23" t="s">
        <v>13966</v>
      </c>
      <c r="B1316" s="23" t="s">
        <v>79</v>
      </c>
      <c r="C1316" s="39">
        <v>1499</v>
      </c>
      <c r="D1316" s="24">
        <v>26.98</v>
      </c>
      <c r="E1316" s="24">
        <v>4.8600000000000003</v>
      </c>
      <c r="F1316" s="23">
        <f>COUNTIFS(mdr_rate_cleaned!$A$2:$A$10,B1316,mdr_rate_cleaned!$B$2:$B$10,"&lt;"&amp;C1316,mdr_rate_cleaned!$F$2:$F$10,"&gt;="&amp;C1316)</f>
        <v>1</v>
      </c>
      <c r="G1316" s="40">
        <f>SUMIFS(mdr_rate_cleaned!$G$2:$G$10,mdr_rate_cleaned!$A$2:$A$10,B1316,mdr_rate_cleaned!$B$2:$B$10,"&lt;"&amp;C1316,mdr_rate_cleaned!$F$2:$F$10,"&gt;="&amp;C1316)</f>
        <v>1.8000000000000002E-2</v>
      </c>
      <c r="H1316" s="24">
        <f t="shared" si="100"/>
        <v>26.98</v>
      </c>
      <c r="I1316" s="23" t="str">
        <f t="shared" si="101"/>
        <v>Match</v>
      </c>
      <c r="J1316" s="23" t="str">
        <f t="shared" si="102"/>
        <v>Match</v>
      </c>
      <c r="K1316" s="24">
        <f t="shared" si="103"/>
        <v>4.8600000000000003</v>
      </c>
      <c r="L1316" s="24">
        <f t="shared" si="104"/>
        <v>0</v>
      </c>
    </row>
    <row r="1317" spans="1:12" ht="15" customHeight="1" x14ac:dyDescent="0.3">
      <c r="A1317" s="23" t="s">
        <v>13968</v>
      </c>
      <c r="B1317" s="23" t="s">
        <v>77</v>
      </c>
      <c r="C1317" s="39">
        <v>2499</v>
      </c>
      <c r="D1317" s="24">
        <v>42.48</v>
      </c>
      <c r="E1317" s="24">
        <v>7.65</v>
      </c>
      <c r="F1317" s="23">
        <f>COUNTIFS(mdr_rate_cleaned!$A$2:$A$10,B1317,mdr_rate_cleaned!$B$2:$B$10,"&lt;"&amp;C1317,mdr_rate_cleaned!$F$2:$F$10,"&gt;="&amp;C1317)</f>
        <v>1</v>
      </c>
      <c r="G1317" s="40">
        <f>SUMIFS(mdr_rate_cleaned!$G$2:$G$10,mdr_rate_cleaned!$A$2:$A$10,B1317,mdr_rate_cleaned!$B$2:$B$10,"&lt;"&amp;C1317,mdr_rate_cleaned!$F$2:$F$10,"&gt;="&amp;C1317)</f>
        <v>1.7000000000000001E-2</v>
      </c>
      <c r="H1317" s="24">
        <f t="shared" si="100"/>
        <v>42.48</v>
      </c>
      <c r="I1317" s="23" t="str">
        <f t="shared" si="101"/>
        <v>Match</v>
      </c>
      <c r="J1317" s="23" t="str">
        <f t="shared" si="102"/>
        <v>Match</v>
      </c>
      <c r="K1317" s="24">
        <f t="shared" si="103"/>
        <v>7.65</v>
      </c>
      <c r="L1317" s="24">
        <f t="shared" si="104"/>
        <v>0</v>
      </c>
    </row>
    <row r="1318" spans="1:12" ht="15" customHeight="1" x14ac:dyDescent="0.3">
      <c r="A1318" s="23" t="s">
        <v>13969</v>
      </c>
      <c r="B1318" s="23" t="s">
        <v>75</v>
      </c>
      <c r="C1318" s="39">
        <v>10147</v>
      </c>
      <c r="D1318" s="24">
        <v>30.44</v>
      </c>
      <c r="E1318" s="24">
        <v>5.48</v>
      </c>
      <c r="F1318" s="23">
        <f>COUNTIFS(mdr_rate_cleaned!$A$2:$A$10,B1318,mdr_rate_cleaned!$B$2:$B$10,"&lt;"&amp;C1318,mdr_rate_cleaned!$F$2:$F$10,"&gt;="&amp;C1318)</f>
        <v>1</v>
      </c>
      <c r="G1318" s="40">
        <f>SUMIFS(mdr_rate_cleaned!$G$2:$G$10,mdr_rate_cleaned!$A$2:$A$10,B1318,mdr_rate_cleaned!$B$2:$B$10,"&lt;"&amp;C1318,mdr_rate_cleaned!$F$2:$F$10,"&gt;="&amp;C1318)</f>
        <v>3.0000000000000001E-3</v>
      </c>
      <c r="H1318" s="24">
        <f t="shared" si="100"/>
        <v>30.44</v>
      </c>
      <c r="I1318" s="23" t="str">
        <f t="shared" si="101"/>
        <v>Match</v>
      </c>
      <c r="J1318" s="23" t="str">
        <f t="shared" si="102"/>
        <v>Match</v>
      </c>
      <c r="K1318" s="24">
        <f t="shared" si="103"/>
        <v>5.48</v>
      </c>
      <c r="L1318" s="24">
        <f t="shared" si="104"/>
        <v>0</v>
      </c>
    </row>
    <row r="1319" spans="1:12" ht="15" customHeight="1" x14ac:dyDescent="0.3">
      <c r="A1319" s="23" t="s">
        <v>13970</v>
      </c>
      <c r="B1319" s="23" t="s">
        <v>75</v>
      </c>
      <c r="C1319" s="39">
        <v>599</v>
      </c>
      <c r="D1319" s="24">
        <v>0</v>
      </c>
      <c r="E1319" s="24">
        <v>0</v>
      </c>
      <c r="F1319" s="23">
        <f>COUNTIFS(mdr_rate_cleaned!$A$2:$A$10,B1319,mdr_rate_cleaned!$B$2:$B$10,"&lt;"&amp;C1319,mdr_rate_cleaned!$F$2:$F$10,"&gt;="&amp;C1319)</f>
        <v>1</v>
      </c>
      <c r="G1319" s="40">
        <f>SUMIFS(mdr_rate_cleaned!$G$2:$G$10,mdr_rate_cleaned!$A$2:$A$10,B1319,mdr_rate_cleaned!$B$2:$B$10,"&lt;"&amp;C1319,mdr_rate_cleaned!$F$2:$F$10,"&gt;="&amp;C1319)</f>
        <v>0</v>
      </c>
      <c r="H1319" s="24">
        <f t="shared" si="100"/>
        <v>0</v>
      </c>
      <c r="I1319" s="23" t="str">
        <f t="shared" si="101"/>
        <v>Match</v>
      </c>
      <c r="J1319" s="23" t="str">
        <f t="shared" si="102"/>
        <v>Match</v>
      </c>
      <c r="K1319" s="24">
        <f t="shared" si="103"/>
        <v>0</v>
      </c>
      <c r="L1319" s="24">
        <f t="shared" si="104"/>
        <v>0</v>
      </c>
    </row>
    <row r="1320" spans="1:12" ht="15" customHeight="1" x14ac:dyDescent="0.3">
      <c r="A1320" s="23" t="s">
        <v>13971</v>
      </c>
      <c r="B1320" s="23" t="s">
        <v>79</v>
      </c>
      <c r="C1320" s="39">
        <v>2499</v>
      </c>
      <c r="D1320" s="24">
        <v>39.979999999999997</v>
      </c>
      <c r="E1320" s="24">
        <v>7.2</v>
      </c>
      <c r="F1320" s="23">
        <f>COUNTIFS(mdr_rate_cleaned!$A$2:$A$10,B1320,mdr_rate_cleaned!$B$2:$B$10,"&lt;"&amp;C1320,mdr_rate_cleaned!$F$2:$F$10,"&gt;="&amp;C1320)</f>
        <v>1</v>
      </c>
      <c r="G1320" s="40">
        <f>SUMIFS(mdr_rate_cleaned!$G$2:$G$10,mdr_rate_cleaned!$A$2:$A$10,B1320,mdr_rate_cleaned!$B$2:$B$10,"&lt;"&amp;C1320,mdr_rate_cleaned!$F$2:$F$10,"&gt;="&amp;C1320)</f>
        <v>1.6E-2</v>
      </c>
      <c r="H1320" s="24">
        <f t="shared" si="100"/>
        <v>39.979999999999997</v>
      </c>
      <c r="I1320" s="23" t="str">
        <f t="shared" si="101"/>
        <v>Match</v>
      </c>
      <c r="J1320" s="23" t="str">
        <f t="shared" si="102"/>
        <v>Match</v>
      </c>
      <c r="K1320" s="24">
        <f t="shared" si="103"/>
        <v>7.2</v>
      </c>
      <c r="L1320" s="24">
        <f t="shared" si="104"/>
        <v>0</v>
      </c>
    </row>
    <row r="1321" spans="1:12" ht="15" customHeight="1" x14ac:dyDescent="0.3">
      <c r="A1321" s="23" t="s">
        <v>13972</v>
      </c>
      <c r="B1321" s="23" t="s">
        <v>77</v>
      </c>
      <c r="C1321" s="39">
        <v>4597</v>
      </c>
      <c r="D1321" s="24">
        <v>78.150000000000006</v>
      </c>
      <c r="E1321" s="24">
        <v>14.07</v>
      </c>
      <c r="F1321" s="23">
        <f>COUNTIFS(mdr_rate_cleaned!$A$2:$A$10,B1321,mdr_rate_cleaned!$B$2:$B$10,"&lt;"&amp;C1321,mdr_rate_cleaned!$F$2:$F$10,"&gt;="&amp;C1321)</f>
        <v>1</v>
      </c>
      <c r="G1321" s="40">
        <f>SUMIFS(mdr_rate_cleaned!$G$2:$G$10,mdr_rate_cleaned!$A$2:$A$10,B1321,mdr_rate_cleaned!$B$2:$B$10,"&lt;"&amp;C1321,mdr_rate_cleaned!$F$2:$F$10,"&gt;="&amp;C1321)</f>
        <v>1.7000000000000001E-2</v>
      </c>
      <c r="H1321" s="24">
        <f t="shared" si="100"/>
        <v>78.150000000000006</v>
      </c>
      <c r="I1321" s="23" t="str">
        <f t="shared" si="101"/>
        <v>Match</v>
      </c>
      <c r="J1321" s="23" t="str">
        <f t="shared" si="102"/>
        <v>Match</v>
      </c>
      <c r="K1321" s="24">
        <f t="shared" si="103"/>
        <v>14.07</v>
      </c>
      <c r="L1321" s="24">
        <f t="shared" si="104"/>
        <v>0</v>
      </c>
    </row>
    <row r="1322" spans="1:12" ht="15" customHeight="1" x14ac:dyDescent="0.3">
      <c r="A1322" s="23" t="s">
        <v>13973</v>
      </c>
      <c r="B1322" s="23" t="s">
        <v>75</v>
      </c>
      <c r="C1322" s="39">
        <v>599</v>
      </c>
      <c r="D1322" s="24">
        <v>0</v>
      </c>
      <c r="E1322" s="24">
        <v>0</v>
      </c>
      <c r="F1322" s="23">
        <f>COUNTIFS(mdr_rate_cleaned!$A$2:$A$10,B1322,mdr_rate_cleaned!$B$2:$B$10,"&lt;"&amp;C1322,mdr_rate_cleaned!$F$2:$F$10,"&gt;="&amp;C1322)</f>
        <v>1</v>
      </c>
      <c r="G1322" s="40">
        <f>SUMIFS(mdr_rate_cleaned!$G$2:$G$10,mdr_rate_cleaned!$A$2:$A$10,B1322,mdr_rate_cleaned!$B$2:$B$10,"&lt;"&amp;C1322,mdr_rate_cleaned!$F$2:$F$10,"&gt;="&amp;C1322)</f>
        <v>0</v>
      </c>
      <c r="H1322" s="24">
        <f t="shared" si="100"/>
        <v>0</v>
      </c>
      <c r="I1322" s="23" t="str">
        <f t="shared" si="101"/>
        <v>Match</v>
      </c>
      <c r="J1322" s="23" t="str">
        <f t="shared" si="102"/>
        <v>Match</v>
      </c>
      <c r="K1322" s="24">
        <f t="shared" si="103"/>
        <v>0</v>
      </c>
      <c r="L1322" s="24">
        <f t="shared" si="104"/>
        <v>0</v>
      </c>
    </row>
    <row r="1323" spans="1:12" ht="15" customHeight="1" x14ac:dyDescent="0.3">
      <c r="A1323" s="23" t="s">
        <v>13974</v>
      </c>
      <c r="B1323" s="23" t="s">
        <v>79</v>
      </c>
      <c r="C1323" s="39">
        <v>2298</v>
      </c>
      <c r="D1323" s="24">
        <v>36.770000000000003</v>
      </c>
      <c r="E1323" s="24">
        <v>6.62</v>
      </c>
      <c r="F1323" s="23">
        <f>COUNTIFS(mdr_rate_cleaned!$A$2:$A$10,B1323,mdr_rate_cleaned!$B$2:$B$10,"&lt;"&amp;C1323,mdr_rate_cleaned!$F$2:$F$10,"&gt;="&amp;C1323)</f>
        <v>1</v>
      </c>
      <c r="G1323" s="40">
        <f>SUMIFS(mdr_rate_cleaned!$G$2:$G$10,mdr_rate_cleaned!$A$2:$A$10,B1323,mdr_rate_cleaned!$B$2:$B$10,"&lt;"&amp;C1323,mdr_rate_cleaned!$F$2:$F$10,"&gt;="&amp;C1323)</f>
        <v>1.6E-2</v>
      </c>
      <c r="H1323" s="24">
        <f t="shared" si="100"/>
        <v>36.770000000000003</v>
      </c>
      <c r="I1323" s="23" t="str">
        <f t="shared" si="101"/>
        <v>Match</v>
      </c>
      <c r="J1323" s="23" t="str">
        <f t="shared" si="102"/>
        <v>Match</v>
      </c>
      <c r="K1323" s="24">
        <f t="shared" si="103"/>
        <v>6.62</v>
      </c>
      <c r="L1323" s="24">
        <f t="shared" si="104"/>
        <v>0</v>
      </c>
    </row>
    <row r="1324" spans="1:12" ht="15" customHeight="1" x14ac:dyDescent="0.3">
      <c r="A1324" s="23" t="s">
        <v>13975</v>
      </c>
      <c r="B1324" s="23" t="s">
        <v>75</v>
      </c>
      <c r="C1324" s="39">
        <v>599</v>
      </c>
      <c r="D1324" s="24">
        <v>0</v>
      </c>
      <c r="E1324" s="24">
        <v>0</v>
      </c>
      <c r="F1324" s="23">
        <f>COUNTIFS(mdr_rate_cleaned!$A$2:$A$10,B1324,mdr_rate_cleaned!$B$2:$B$10,"&lt;"&amp;C1324,mdr_rate_cleaned!$F$2:$F$10,"&gt;="&amp;C1324)</f>
        <v>1</v>
      </c>
      <c r="G1324" s="40">
        <f>SUMIFS(mdr_rate_cleaned!$G$2:$G$10,mdr_rate_cleaned!$A$2:$A$10,B1324,mdr_rate_cleaned!$B$2:$B$10,"&lt;"&amp;C1324,mdr_rate_cleaned!$F$2:$F$10,"&gt;="&amp;C1324)</f>
        <v>0</v>
      </c>
      <c r="H1324" s="24">
        <f t="shared" si="100"/>
        <v>0</v>
      </c>
      <c r="I1324" s="23" t="str">
        <f t="shared" si="101"/>
        <v>Match</v>
      </c>
      <c r="J1324" s="23" t="str">
        <f t="shared" si="102"/>
        <v>Match</v>
      </c>
      <c r="K1324" s="24">
        <f t="shared" si="103"/>
        <v>0</v>
      </c>
      <c r="L1324" s="24">
        <f t="shared" si="104"/>
        <v>0</v>
      </c>
    </row>
    <row r="1325" spans="1:12" ht="15" customHeight="1" x14ac:dyDescent="0.3">
      <c r="A1325" s="23" t="s">
        <v>13976</v>
      </c>
      <c r="B1325" s="23" t="s">
        <v>79</v>
      </c>
      <c r="C1325" s="39">
        <v>8348</v>
      </c>
      <c r="D1325" s="24">
        <v>133.57</v>
      </c>
      <c r="E1325" s="24">
        <v>24.04</v>
      </c>
      <c r="F1325" s="23">
        <f>COUNTIFS(mdr_rate_cleaned!$A$2:$A$10,B1325,mdr_rate_cleaned!$B$2:$B$10,"&lt;"&amp;C1325,mdr_rate_cleaned!$F$2:$F$10,"&gt;="&amp;C1325)</f>
        <v>1</v>
      </c>
      <c r="G1325" s="40">
        <f>SUMIFS(mdr_rate_cleaned!$G$2:$G$10,mdr_rate_cleaned!$A$2:$A$10,B1325,mdr_rate_cleaned!$B$2:$B$10,"&lt;"&amp;C1325,mdr_rate_cleaned!$F$2:$F$10,"&gt;="&amp;C1325)</f>
        <v>1.6E-2</v>
      </c>
      <c r="H1325" s="24">
        <f t="shared" si="100"/>
        <v>133.57</v>
      </c>
      <c r="I1325" s="23" t="str">
        <f t="shared" si="101"/>
        <v>Match</v>
      </c>
      <c r="J1325" s="23" t="str">
        <f t="shared" si="102"/>
        <v>Match</v>
      </c>
      <c r="K1325" s="24">
        <f t="shared" si="103"/>
        <v>24.04</v>
      </c>
      <c r="L1325" s="24">
        <f t="shared" si="104"/>
        <v>0</v>
      </c>
    </row>
    <row r="1326" spans="1:12" ht="15" customHeight="1" x14ac:dyDescent="0.3">
      <c r="A1326" s="23" t="s">
        <v>13977</v>
      </c>
      <c r="B1326" s="23" t="s">
        <v>75</v>
      </c>
      <c r="C1326" s="39">
        <v>7999</v>
      </c>
      <c r="D1326" s="24">
        <v>24</v>
      </c>
      <c r="E1326" s="24">
        <v>4.32</v>
      </c>
      <c r="F1326" s="23">
        <f>COUNTIFS(mdr_rate_cleaned!$A$2:$A$10,B1326,mdr_rate_cleaned!$B$2:$B$10,"&lt;"&amp;C1326,mdr_rate_cleaned!$F$2:$F$10,"&gt;="&amp;C1326)</f>
        <v>1</v>
      </c>
      <c r="G1326" s="40">
        <f>SUMIFS(mdr_rate_cleaned!$G$2:$G$10,mdr_rate_cleaned!$A$2:$A$10,B1326,mdr_rate_cleaned!$B$2:$B$10,"&lt;"&amp;C1326,mdr_rate_cleaned!$F$2:$F$10,"&gt;="&amp;C1326)</f>
        <v>3.0000000000000001E-3</v>
      </c>
      <c r="H1326" s="24">
        <f t="shared" si="100"/>
        <v>24</v>
      </c>
      <c r="I1326" s="23" t="str">
        <f t="shared" si="101"/>
        <v>Match</v>
      </c>
      <c r="J1326" s="23" t="str">
        <f t="shared" si="102"/>
        <v>Match</v>
      </c>
      <c r="K1326" s="24">
        <f t="shared" si="103"/>
        <v>4.32</v>
      </c>
      <c r="L1326" s="24">
        <f t="shared" si="104"/>
        <v>0</v>
      </c>
    </row>
    <row r="1327" spans="1:12" ht="15" customHeight="1" x14ac:dyDescent="0.3">
      <c r="A1327" s="23" t="s">
        <v>13978</v>
      </c>
      <c r="B1327" s="23" t="s">
        <v>75</v>
      </c>
      <c r="C1327" s="39">
        <v>12997</v>
      </c>
      <c r="D1327" s="24">
        <v>38.99</v>
      </c>
      <c r="E1327" s="24">
        <v>7.02</v>
      </c>
      <c r="F1327" s="23">
        <f>COUNTIFS(mdr_rate_cleaned!$A$2:$A$10,B1327,mdr_rate_cleaned!$B$2:$B$10,"&lt;"&amp;C1327,mdr_rate_cleaned!$F$2:$F$10,"&gt;="&amp;C1327)</f>
        <v>1</v>
      </c>
      <c r="G1327" s="40">
        <f>SUMIFS(mdr_rate_cleaned!$G$2:$G$10,mdr_rate_cleaned!$A$2:$A$10,B1327,mdr_rate_cleaned!$B$2:$B$10,"&lt;"&amp;C1327,mdr_rate_cleaned!$F$2:$F$10,"&gt;="&amp;C1327)</f>
        <v>3.0000000000000001E-3</v>
      </c>
      <c r="H1327" s="24">
        <f t="shared" si="100"/>
        <v>38.99</v>
      </c>
      <c r="I1327" s="23" t="str">
        <f t="shared" si="101"/>
        <v>Match</v>
      </c>
      <c r="J1327" s="23" t="str">
        <f t="shared" si="102"/>
        <v>Match</v>
      </c>
      <c r="K1327" s="24">
        <f t="shared" si="103"/>
        <v>7.02</v>
      </c>
      <c r="L1327" s="24">
        <f t="shared" si="104"/>
        <v>0</v>
      </c>
    </row>
    <row r="1328" spans="1:12" ht="15" customHeight="1" x14ac:dyDescent="0.3">
      <c r="A1328" s="23" t="s">
        <v>13979</v>
      </c>
      <c r="B1328" s="23" t="s">
        <v>81</v>
      </c>
      <c r="C1328" s="39">
        <v>7999</v>
      </c>
      <c r="D1328" s="24">
        <v>95.99</v>
      </c>
      <c r="E1328" s="24">
        <v>17.28</v>
      </c>
      <c r="F1328" s="23">
        <f>COUNTIFS(mdr_rate_cleaned!$A$2:$A$10,B1328,mdr_rate_cleaned!$B$2:$B$10,"&lt;"&amp;C1328,mdr_rate_cleaned!$F$2:$F$10,"&gt;="&amp;C1328)</f>
        <v>1</v>
      </c>
      <c r="G1328" s="40">
        <f>SUMIFS(mdr_rate_cleaned!$G$2:$G$10,mdr_rate_cleaned!$A$2:$A$10,B1328,mdr_rate_cleaned!$B$2:$B$10,"&lt;"&amp;C1328,mdr_rate_cleaned!$F$2:$F$10,"&gt;="&amp;C1328)</f>
        <v>1.2E-2</v>
      </c>
      <c r="H1328" s="24">
        <f t="shared" si="100"/>
        <v>95.99</v>
      </c>
      <c r="I1328" s="23" t="str">
        <f t="shared" si="101"/>
        <v>Match</v>
      </c>
      <c r="J1328" s="23" t="str">
        <f t="shared" si="102"/>
        <v>Match</v>
      </c>
      <c r="K1328" s="24">
        <f t="shared" si="103"/>
        <v>17.28</v>
      </c>
      <c r="L1328" s="24">
        <f t="shared" si="104"/>
        <v>0</v>
      </c>
    </row>
    <row r="1329" spans="1:12" ht="15" customHeight="1" x14ac:dyDescent="0.3">
      <c r="A1329" s="23" t="s">
        <v>13980</v>
      </c>
      <c r="B1329" s="23" t="s">
        <v>81</v>
      </c>
      <c r="C1329" s="39">
        <v>9998</v>
      </c>
      <c r="D1329" s="24">
        <v>119.98</v>
      </c>
      <c r="E1329" s="24">
        <v>21.6</v>
      </c>
      <c r="F1329" s="23">
        <f>COUNTIFS(mdr_rate_cleaned!$A$2:$A$10,B1329,mdr_rate_cleaned!$B$2:$B$10,"&lt;"&amp;C1329,mdr_rate_cleaned!$F$2:$F$10,"&gt;="&amp;C1329)</f>
        <v>1</v>
      </c>
      <c r="G1329" s="40">
        <f>SUMIFS(mdr_rate_cleaned!$G$2:$G$10,mdr_rate_cleaned!$A$2:$A$10,B1329,mdr_rate_cleaned!$B$2:$B$10,"&lt;"&amp;C1329,mdr_rate_cleaned!$F$2:$F$10,"&gt;="&amp;C1329)</f>
        <v>1.2E-2</v>
      </c>
      <c r="H1329" s="24">
        <f t="shared" si="100"/>
        <v>119.98</v>
      </c>
      <c r="I1329" s="23" t="str">
        <f t="shared" si="101"/>
        <v>Match</v>
      </c>
      <c r="J1329" s="23" t="str">
        <f t="shared" si="102"/>
        <v>Match</v>
      </c>
      <c r="K1329" s="24">
        <f t="shared" si="103"/>
        <v>21.6</v>
      </c>
      <c r="L1329" s="24">
        <f t="shared" si="104"/>
        <v>0</v>
      </c>
    </row>
    <row r="1330" spans="1:12" ht="15" customHeight="1" x14ac:dyDescent="0.3">
      <c r="A1330" s="23" t="s">
        <v>13981</v>
      </c>
      <c r="B1330" s="23" t="s">
        <v>75</v>
      </c>
      <c r="C1330" s="39">
        <v>3499</v>
      </c>
      <c r="D1330" s="24">
        <v>10.5</v>
      </c>
      <c r="E1330" s="24">
        <v>1.89</v>
      </c>
      <c r="F1330" s="23">
        <f>COUNTIFS(mdr_rate_cleaned!$A$2:$A$10,B1330,mdr_rate_cleaned!$B$2:$B$10,"&lt;"&amp;C1330,mdr_rate_cleaned!$F$2:$F$10,"&gt;="&amp;C1330)</f>
        <v>1</v>
      </c>
      <c r="G1330" s="40">
        <f>SUMIFS(mdr_rate_cleaned!$G$2:$G$10,mdr_rate_cleaned!$A$2:$A$10,B1330,mdr_rate_cleaned!$B$2:$B$10,"&lt;"&amp;C1330,mdr_rate_cleaned!$F$2:$F$10,"&gt;="&amp;C1330)</f>
        <v>3.0000000000000001E-3</v>
      </c>
      <c r="H1330" s="24">
        <f t="shared" si="100"/>
        <v>10.5</v>
      </c>
      <c r="I1330" s="23" t="str">
        <f t="shared" si="101"/>
        <v>Match</v>
      </c>
      <c r="J1330" s="23" t="str">
        <f t="shared" si="102"/>
        <v>Match</v>
      </c>
      <c r="K1330" s="24">
        <f t="shared" si="103"/>
        <v>1.89</v>
      </c>
      <c r="L1330" s="24">
        <f t="shared" si="104"/>
        <v>0</v>
      </c>
    </row>
    <row r="1331" spans="1:12" ht="15" customHeight="1" x14ac:dyDescent="0.3">
      <c r="A1331" s="23" t="s">
        <v>13983</v>
      </c>
      <c r="B1331" s="23" t="s">
        <v>79</v>
      </c>
      <c r="C1331" s="39">
        <v>1998</v>
      </c>
      <c r="D1331" s="24">
        <v>35.96</v>
      </c>
      <c r="E1331" s="24">
        <v>6.47</v>
      </c>
      <c r="F1331" s="23">
        <f>COUNTIFS(mdr_rate_cleaned!$A$2:$A$10,B1331,mdr_rate_cleaned!$B$2:$B$10,"&lt;"&amp;C1331,mdr_rate_cleaned!$F$2:$F$10,"&gt;="&amp;C1331)</f>
        <v>1</v>
      </c>
      <c r="G1331" s="40">
        <f>SUMIFS(mdr_rate_cleaned!$G$2:$G$10,mdr_rate_cleaned!$A$2:$A$10,B1331,mdr_rate_cleaned!$B$2:$B$10,"&lt;"&amp;C1331,mdr_rate_cleaned!$F$2:$F$10,"&gt;="&amp;C1331)</f>
        <v>1.8000000000000002E-2</v>
      </c>
      <c r="H1331" s="24">
        <f t="shared" si="100"/>
        <v>35.96</v>
      </c>
      <c r="I1331" s="23" t="str">
        <f t="shared" si="101"/>
        <v>Match</v>
      </c>
      <c r="J1331" s="23" t="str">
        <f t="shared" si="102"/>
        <v>Match</v>
      </c>
      <c r="K1331" s="24">
        <f t="shared" si="103"/>
        <v>6.47</v>
      </c>
      <c r="L1331" s="24">
        <f t="shared" si="104"/>
        <v>0</v>
      </c>
    </row>
    <row r="1332" spans="1:12" ht="15" customHeight="1" x14ac:dyDescent="0.3">
      <c r="A1332" s="23" t="s">
        <v>13984</v>
      </c>
      <c r="B1332" s="23" t="s">
        <v>75</v>
      </c>
      <c r="C1332" s="39">
        <v>1499</v>
      </c>
      <c r="D1332" s="24">
        <v>0</v>
      </c>
      <c r="E1332" s="24">
        <v>0</v>
      </c>
      <c r="F1332" s="23">
        <f>COUNTIFS(mdr_rate_cleaned!$A$2:$A$10,B1332,mdr_rate_cleaned!$B$2:$B$10,"&lt;"&amp;C1332,mdr_rate_cleaned!$F$2:$F$10,"&gt;="&amp;C1332)</f>
        <v>1</v>
      </c>
      <c r="G1332" s="40">
        <f>SUMIFS(mdr_rate_cleaned!$G$2:$G$10,mdr_rate_cleaned!$A$2:$A$10,B1332,mdr_rate_cleaned!$B$2:$B$10,"&lt;"&amp;C1332,mdr_rate_cleaned!$F$2:$F$10,"&gt;="&amp;C1332)</f>
        <v>0</v>
      </c>
      <c r="H1332" s="24">
        <f t="shared" si="100"/>
        <v>0</v>
      </c>
      <c r="I1332" s="23" t="str">
        <f t="shared" si="101"/>
        <v>Match</v>
      </c>
      <c r="J1332" s="23" t="str">
        <f t="shared" si="102"/>
        <v>Match</v>
      </c>
      <c r="K1332" s="24">
        <f t="shared" si="103"/>
        <v>0</v>
      </c>
      <c r="L1332" s="24">
        <f t="shared" si="104"/>
        <v>0</v>
      </c>
    </row>
    <row r="1333" spans="1:12" ht="15" customHeight="1" x14ac:dyDescent="0.3">
      <c r="A1333" s="23" t="s">
        <v>13985</v>
      </c>
      <c r="B1333" s="23" t="s">
        <v>75</v>
      </c>
      <c r="C1333" s="39">
        <v>2999</v>
      </c>
      <c r="D1333" s="24">
        <v>9</v>
      </c>
      <c r="E1333" s="24">
        <v>1.62</v>
      </c>
      <c r="F1333" s="23">
        <f>COUNTIFS(mdr_rate_cleaned!$A$2:$A$10,B1333,mdr_rate_cleaned!$B$2:$B$10,"&lt;"&amp;C1333,mdr_rate_cleaned!$F$2:$F$10,"&gt;="&amp;C1333)</f>
        <v>1</v>
      </c>
      <c r="G1333" s="40">
        <f>SUMIFS(mdr_rate_cleaned!$G$2:$G$10,mdr_rate_cleaned!$A$2:$A$10,B1333,mdr_rate_cleaned!$B$2:$B$10,"&lt;"&amp;C1333,mdr_rate_cleaned!$F$2:$F$10,"&gt;="&amp;C1333)</f>
        <v>3.0000000000000001E-3</v>
      </c>
      <c r="H1333" s="24">
        <f t="shared" si="100"/>
        <v>9</v>
      </c>
      <c r="I1333" s="23" t="str">
        <f t="shared" si="101"/>
        <v>Match</v>
      </c>
      <c r="J1333" s="23" t="str">
        <f t="shared" si="102"/>
        <v>Match</v>
      </c>
      <c r="K1333" s="24">
        <f t="shared" si="103"/>
        <v>1.62</v>
      </c>
      <c r="L1333" s="24">
        <f t="shared" si="104"/>
        <v>0</v>
      </c>
    </row>
    <row r="1334" spans="1:12" ht="15" customHeight="1" x14ac:dyDescent="0.3">
      <c r="A1334" s="23" t="s">
        <v>13986</v>
      </c>
      <c r="B1334" s="23" t="s">
        <v>75</v>
      </c>
      <c r="C1334" s="39">
        <v>1299</v>
      </c>
      <c r="D1334" s="24">
        <v>0</v>
      </c>
      <c r="E1334" s="24">
        <v>0</v>
      </c>
      <c r="F1334" s="23">
        <f>COUNTIFS(mdr_rate_cleaned!$A$2:$A$10,B1334,mdr_rate_cleaned!$B$2:$B$10,"&lt;"&amp;C1334,mdr_rate_cleaned!$F$2:$F$10,"&gt;="&amp;C1334)</f>
        <v>1</v>
      </c>
      <c r="G1334" s="40">
        <f>SUMIFS(mdr_rate_cleaned!$G$2:$G$10,mdr_rate_cleaned!$A$2:$A$10,B1334,mdr_rate_cleaned!$B$2:$B$10,"&lt;"&amp;C1334,mdr_rate_cleaned!$F$2:$F$10,"&gt;="&amp;C1334)</f>
        <v>0</v>
      </c>
      <c r="H1334" s="24">
        <f t="shared" si="100"/>
        <v>0</v>
      </c>
      <c r="I1334" s="23" t="str">
        <f t="shared" si="101"/>
        <v>Match</v>
      </c>
      <c r="J1334" s="23" t="str">
        <f t="shared" si="102"/>
        <v>Match</v>
      </c>
      <c r="K1334" s="24">
        <f t="shared" si="103"/>
        <v>0</v>
      </c>
      <c r="L1334" s="24">
        <f t="shared" si="104"/>
        <v>0</v>
      </c>
    </row>
    <row r="1335" spans="1:12" ht="15" customHeight="1" x14ac:dyDescent="0.3">
      <c r="A1335" s="23" t="s">
        <v>13987</v>
      </c>
      <c r="B1335" s="23" t="s">
        <v>75</v>
      </c>
      <c r="C1335" s="39">
        <v>799</v>
      </c>
      <c r="D1335" s="24">
        <v>0</v>
      </c>
      <c r="E1335" s="24">
        <v>0</v>
      </c>
      <c r="F1335" s="23">
        <f>COUNTIFS(mdr_rate_cleaned!$A$2:$A$10,B1335,mdr_rate_cleaned!$B$2:$B$10,"&lt;"&amp;C1335,mdr_rate_cleaned!$F$2:$F$10,"&gt;="&amp;C1335)</f>
        <v>1</v>
      </c>
      <c r="G1335" s="40">
        <f>SUMIFS(mdr_rate_cleaned!$G$2:$G$10,mdr_rate_cleaned!$A$2:$A$10,B1335,mdr_rate_cleaned!$B$2:$B$10,"&lt;"&amp;C1335,mdr_rate_cleaned!$F$2:$F$10,"&gt;="&amp;C1335)</f>
        <v>0</v>
      </c>
      <c r="H1335" s="24">
        <f t="shared" si="100"/>
        <v>0</v>
      </c>
      <c r="I1335" s="23" t="str">
        <f t="shared" si="101"/>
        <v>Match</v>
      </c>
      <c r="J1335" s="23" t="str">
        <f t="shared" si="102"/>
        <v>Match</v>
      </c>
      <c r="K1335" s="24">
        <f t="shared" si="103"/>
        <v>0</v>
      </c>
      <c r="L1335" s="24">
        <f t="shared" si="104"/>
        <v>0</v>
      </c>
    </row>
    <row r="1336" spans="1:12" ht="15" customHeight="1" x14ac:dyDescent="0.3">
      <c r="A1336" s="23" t="s">
        <v>13988</v>
      </c>
      <c r="B1336" s="23" t="s">
        <v>75</v>
      </c>
      <c r="C1336" s="39">
        <v>7998</v>
      </c>
      <c r="D1336" s="24">
        <v>23.99</v>
      </c>
      <c r="E1336" s="24">
        <v>4.32</v>
      </c>
      <c r="F1336" s="23">
        <f>COUNTIFS(mdr_rate_cleaned!$A$2:$A$10,B1336,mdr_rate_cleaned!$B$2:$B$10,"&lt;"&amp;C1336,mdr_rate_cleaned!$F$2:$F$10,"&gt;="&amp;C1336)</f>
        <v>1</v>
      </c>
      <c r="G1336" s="40">
        <f>SUMIFS(mdr_rate_cleaned!$G$2:$G$10,mdr_rate_cleaned!$A$2:$A$10,B1336,mdr_rate_cleaned!$B$2:$B$10,"&lt;"&amp;C1336,mdr_rate_cleaned!$F$2:$F$10,"&gt;="&amp;C1336)</f>
        <v>3.0000000000000001E-3</v>
      </c>
      <c r="H1336" s="24">
        <f t="shared" si="100"/>
        <v>23.99</v>
      </c>
      <c r="I1336" s="23" t="str">
        <f t="shared" si="101"/>
        <v>Match</v>
      </c>
      <c r="J1336" s="23" t="str">
        <f t="shared" si="102"/>
        <v>Match</v>
      </c>
      <c r="K1336" s="24">
        <f t="shared" si="103"/>
        <v>4.32</v>
      </c>
      <c r="L1336" s="24">
        <f t="shared" si="104"/>
        <v>0</v>
      </c>
    </row>
    <row r="1337" spans="1:12" ht="15" customHeight="1" x14ac:dyDescent="0.3">
      <c r="A1337" s="23" t="s">
        <v>13989</v>
      </c>
      <c r="B1337" s="23" t="s">
        <v>77</v>
      </c>
      <c r="C1337" s="39">
        <v>4998</v>
      </c>
      <c r="D1337" s="24">
        <v>84.97</v>
      </c>
      <c r="E1337" s="24">
        <v>15.29</v>
      </c>
      <c r="F1337" s="23">
        <f>COUNTIFS(mdr_rate_cleaned!$A$2:$A$10,B1337,mdr_rate_cleaned!$B$2:$B$10,"&lt;"&amp;C1337,mdr_rate_cleaned!$F$2:$F$10,"&gt;="&amp;C1337)</f>
        <v>1</v>
      </c>
      <c r="G1337" s="40">
        <f>SUMIFS(mdr_rate_cleaned!$G$2:$G$10,mdr_rate_cleaned!$A$2:$A$10,B1337,mdr_rate_cleaned!$B$2:$B$10,"&lt;"&amp;C1337,mdr_rate_cleaned!$F$2:$F$10,"&gt;="&amp;C1337)</f>
        <v>1.7000000000000001E-2</v>
      </c>
      <c r="H1337" s="24">
        <f t="shared" si="100"/>
        <v>84.97</v>
      </c>
      <c r="I1337" s="23" t="str">
        <f t="shared" si="101"/>
        <v>Match</v>
      </c>
      <c r="J1337" s="23" t="str">
        <f t="shared" si="102"/>
        <v>Match</v>
      </c>
      <c r="K1337" s="24">
        <f t="shared" si="103"/>
        <v>15.29</v>
      </c>
      <c r="L1337" s="24">
        <f t="shared" si="104"/>
        <v>0</v>
      </c>
    </row>
    <row r="1338" spans="1:12" ht="15" customHeight="1" x14ac:dyDescent="0.3">
      <c r="A1338" s="23" t="s">
        <v>13990</v>
      </c>
      <c r="B1338" s="23" t="s">
        <v>75</v>
      </c>
      <c r="C1338" s="39">
        <v>8998</v>
      </c>
      <c r="D1338" s="24">
        <v>26.99</v>
      </c>
      <c r="E1338" s="24">
        <v>4.8600000000000003</v>
      </c>
      <c r="F1338" s="23">
        <f>COUNTIFS(mdr_rate_cleaned!$A$2:$A$10,B1338,mdr_rate_cleaned!$B$2:$B$10,"&lt;"&amp;C1338,mdr_rate_cleaned!$F$2:$F$10,"&gt;="&amp;C1338)</f>
        <v>1</v>
      </c>
      <c r="G1338" s="40">
        <f>SUMIFS(mdr_rate_cleaned!$G$2:$G$10,mdr_rate_cleaned!$A$2:$A$10,B1338,mdr_rate_cleaned!$B$2:$B$10,"&lt;"&amp;C1338,mdr_rate_cleaned!$F$2:$F$10,"&gt;="&amp;C1338)</f>
        <v>3.0000000000000001E-3</v>
      </c>
      <c r="H1338" s="24">
        <f t="shared" si="100"/>
        <v>26.99</v>
      </c>
      <c r="I1338" s="23" t="str">
        <f t="shared" si="101"/>
        <v>Match</v>
      </c>
      <c r="J1338" s="23" t="str">
        <f t="shared" si="102"/>
        <v>Match</v>
      </c>
      <c r="K1338" s="24">
        <f t="shared" si="103"/>
        <v>4.8600000000000003</v>
      </c>
      <c r="L1338" s="24">
        <f t="shared" si="104"/>
        <v>0</v>
      </c>
    </row>
    <row r="1339" spans="1:12" ht="15" customHeight="1" x14ac:dyDescent="0.3">
      <c r="A1339" s="23" t="s">
        <v>13992</v>
      </c>
      <c r="B1339" s="23" t="s">
        <v>81</v>
      </c>
      <c r="C1339" s="39">
        <v>3098</v>
      </c>
      <c r="D1339" s="24">
        <v>37.18</v>
      </c>
      <c r="E1339" s="24">
        <v>6.69</v>
      </c>
      <c r="F1339" s="23">
        <f>COUNTIFS(mdr_rate_cleaned!$A$2:$A$10,B1339,mdr_rate_cleaned!$B$2:$B$10,"&lt;"&amp;C1339,mdr_rate_cleaned!$F$2:$F$10,"&gt;="&amp;C1339)</f>
        <v>1</v>
      </c>
      <c r="G1339" s="40">
        <f>SUMIFS(mdr_rate_cleaned!$G$2:$G$10,mdr_rate_cleaned!$A$2:$A$10,B1339,mdr_rate_cleaned!$B$2:$B$10,"&lt;"&amp;C1339,mdr_rate_cleaned!$F$2:$F$10,"&gt;="&amp;C1339)</f>
        <v>1.2E-2</v>
      </c>
      <c r="H1339" s="24">
        <f t="shared" si="100"/>
        <v>37.18</v>
      </c>
      <c r="I1339" s="23" t="str">
        <f t="shared" si="101"/>
        <v>Match</v>
      </c>
      <c r="J1339" s="23" t="str">
        <f t="shared" si="102"/>
        <v>Match</v>
      </c>
      <c r="K1339" s="24">
        <f t="shared" si="103"/>
        <v>6.69</v>
      </c>
      <c r="L1339" s="24">
        <f t="shared" si="104"/>
        <v>0</v>
      </c>
    </row>
    <row r="1340" spans="1:12" ht="15" customHeight="1" x14ac:dyDescent="0.3">
      <c r="A1340" s="23" t="s">
        <v>13993</v>
      </c>
      <c r="B1340" s="23" t="s">
        <v>79</v>
      </c>
      <c r="C1340" s="39">
        <v>5498</v>
      </c>
      <c r="D1340" s="24">
        <v>87.97</v>
      </c>
      <c r="E1340" s="24">
        <v>15.83</v>
      </c>
      <c r="F1340" s="23">
        <f>COUNTIFS(mdr_rate_cleaned!$A$2:$A$10,B1340,mdr_rate_cleaned!$B$2:$B$10,"&lt;"&amp;C1340,mdr_rate_cleaned!$F$2:$F$10,"&gt;="&amp;C1340)</f>
        <v>1</v>
      </c>
      <c r="G1340" s="40">
        <f>SUMIFS(mdr_rate_cleaned!$G$2:$G$10,mdr_rate_cleaned!$A$2:$A$10,B1340,mdr_rate_cleaned!$B$2:$B$10,"&lt;"&amp;C1340,mdr_rate_cleaned!$F$2:$F$10,"&gt;="&amp;C1340)</f>
        <v>1.6E-2</v>
      </c>
      <c r="H1340" s="24">
        <f t="shared" si="100"/>
        <v>87.97</v>
      </c>
      <c r="I1340" s="23" t="str">
        <f t="shared" si="101"/>
        <v>Match</v>
      </c>
      <c r="J1340" s="23" t="str">
        <f t="shared" si="102"/>
        <v>Match</v>
      </c>
      <c r="K1340" s="24">
        <f t="shared" si="103"/>
        <v>15.83</v>
      </c>
      <c r="L1340" s="24">
        <f t="shared" si="104"/>
        <v>0</v>
      </c>
    </row>
    <row r="1341" spans="1:12" ht="15" customHeight="1" x14ac:dyDescent="0.3">
      <c r="A1341" s="23" t="s">
        <v>13995</v>
      </c>
      <c r="B1341" s="23" t="s">
        <v>79</v>
      </c>
      <c r="C1341" s="39">
        <v>4097</v>
      </c>
      <c r="D1341" s="24">
        <v>65.55</v>
      </c>
      <c r="E1341" s="24">
        <v>11.8</v>
      </c>
      <c r="F1341" s="23">
        <f>COUNTIFS(mdr_rate_cleaned!$A$2:$A$10,B1341,mdr_rate_cleaned!$B$2:$B$10,"&lt;"&amp;C1341,mdr_rate_cleaned!$F$2:$F$10,"&gt;="&amp;C1341)</f>
        <v>1</v>
      </c>
      <c r="G1341" s="40">
        <f>SUMIFS(mdr_rate_cleaned!$G$2:$G$10,mdr_rate_cleaned!$A$2:$A$10,B1341,mdr_rate_cleaned!$B$2:$B$10,"&lt;"&amp;C1341,mdr_rate_cleaned!$F$2:$F$10,"&gt;="&amp;C1341)</f>
        <v>1.6E-2</v>
      </c>
      <c r="H1341" s="24">
        <f t="shared" si="100"/>
        <v>65.55</v>
      </c>
      <c r="I1341" s="23" t="str">
        <f t="shared" si="101"/>
        <v>Match</v>
      </c>
      <c r="J1341" s="23" t="str">
        <f t="shared" si="102"/>
        <v>Match</v>
      </c>
      <c r="K1341" s="24">
        <f t="shared" si="103"/>
        <v>11.8</v>
      </c>
      <c r="L1341" s="24">
        <f t="shared" si="104"/>
        <v>0</v>
      </c>
    </row>
    <row r="1342" spans="1:12" ht="15" customHeight="1" x14ac:dyDescent="0.3">
      <c r="A1342" s="23" t="s">
        <v>13996</v>
      </c>
      <c r="B1342" s="23" t="s">
        <v>79</v>
      </c>
      <c r="C1342" s="39">
        <v>4999</v>
      </c>
      <c r="D1342" s="24">
        <v>79.98</v>
      </c>
      <c r="E1342" s="24">
        <v>14.4</v>
      </c>
      <c r="F1342" s="23">
        <f>COUNTIFS(mdr_rate_cleaned!$A$2:$A$10,B1342,mdr_rate_cleaned!$B$2:$B$10,"&lt;"&amp;C1342,mdr_rate_cleaned!$F$2:$F$10,"&gt;="&amp;C1342)</f>
        <v>1</v>
      </c>
      <c r="G1342" s="40">
        <f>SUMIFS(mdr_rate_cleaned!$G$2:$G$10,mdr_rate_cleaned!$A$2:$A$10,B1342,mdr_rate_cleaned!$B$2:$B$10,"&lt;"&amp;C1342,mdr_rate_cleaned!$F$2:$F$10,"&gt;="&amp;C1342)</f>
        <v>1.6E-2</v>
      </c>
      <c r="H1342" s="24">
        <f t="shared" si="100"/>
        <v>79.98</v>
      </c>
      <c r="I1342" s="23" t="str">
        <f t="shared" si="101"/>
        <v>Match</v>
      </c>
      <c r="J1342" s="23" t="str">
        <f t="shared" si="102"/>
        <v>Match</v>
      </c>
      <c r="K1342" s="24">
        <f t="shared" si="103"/>
        <v>14.4</v>
      </c>
      <c r="L1342" s="24">
        <f t="shared" si="104"/>
        <v>0</v>
      </c>
    </row>
    <row r="1343" spans="1:12" ht="15" customHeight="1" x14ac:dyDescent="0.3">
      <c r="A1343" s="23" t="s">
        <v>13997</v>
      </c>
      <c r="B1343" s="23" t="s">
        <v>79</v>
      </c>
      <c r="C1343" s="39">
        <v>798</v>
      </c>
      <c r="D1343" s="24">
        <v>14.36</v>
      </c>
      <c r="E1343" s="24">
        <v>2.58</v>
      </c>
      <c r="F1343" s="23">
        <f>COUNTIFS(mdr_rate_cleaned!$A$2:$A$10,B1343,mdr_rate_cleaned!$B$2:$B$10,"&lt;"&amp;C1343,mdr_rate_cleaned!$F$2:$F$10,"&gt;="&amp;C1343)</f>
        <v>1</v>
      </c>
      <c r="G1343" s="40">
        <f>SUMIFS(mdr_rate_cleaned!$G$2:$G$10,mdr_rate_cleaned!$A$2:$A$10,B1343,mdr_rate_cleaned!$B$2:$B$10,"&lt;"&amp;C1343,mdr_rate_cleaned!$F$2:$F$10,"&gt;="&amp;C1343)</f>
        <v>1.8000000000000002E-2</v>
      </c>
      <c r="H1343" s="24">
        <f t="shared" si="100"/>
        <v>14.36</v>
      </c>
      <c r="I1343" s="23" t="str">
        <f t="shared" si="101"/>
        <v>Match</v>
      </c>
      <c r="J1343" s="23" t="str">
        <f t="shared" si="102"/>
        <v>Match</v>
      </c>
      <c r="K1343" s="24">
        <f t="shared" si="103"/>
        <v>2.58</v>
      </c>
      <c r="L1343" s="24">
        <f t="shared" si="104"/>
        <v>0</v>
      </c>
    </row>
    <row r="1344" spans="1:12" ht="15" customHeight="1" x14ac:dyDescent="0.3">
      <c r="A1344" s="23" t="s">
        <v>13998</v>
      </c>
      <c r="B1344" s="23" t="s">
        <v>75</v>
      </c>
      <c r="C1344" s="39">
        <v>3098</v>
      </c>
      <c r="D1344" s="24">
        <v>9.2899999999999991</v>
      </c>
      <c r="E1344" s="24">
        <v>1.67</v>
      </c>
      <c r="F1344" s="23">
        <f>COUNTIFS(mdr_rate_cleaned!$A$2:$A$10,B1344,mdr_rate_cleaned!$B$2:$B$10,"&lt;"&amp;C1344,mdr_rate_cleaned!$F$2:$F$10,"&gt;="&amp;C1344)</f>
        <v>1</v>
      </c>
      <c r="G1344" s="40">
        <f>SUMIFS(mdr_rate_cleaned!$G$2:$G$10,mdr_rate_cleaned!$A$2:$A$10,B1344,mdr_rate_cleaned!$B$2:$B$10,"&lt;"&amp;C1344,mdr_rate_cleaned!$F$2:$F$10,"&gt;="&amp;C1344)</f>
        <v>3.0000000000000001E-3</v>
      </c>
      <c r="H1344" s="24">
        <f t="shared" si="100"/>
        <v>9.2899999999999991</v>
      </c>
      <c r="I1344" s="23" t="str">
        <f t="shared" si="101"/>
        <v>Match</v>
      </c>
      <c r="J1344" s="23" t="str">
        <f t="shared" si="102"/>
        <v>Match</v>
      </c>
      <c r="K1344" s="24">
        <f t="shared" si="103"/>
        <v>1.67</v>
      </c>
      <c r="L1344" s="24">
        <f t="shared" si="104"/>
        <v>0</v>
      </c>
    </row>
    <row r="1345" spans="1:12" ht="15" customHeight="1" x14ac:dyDescent="0.3">
      <c r="A1345" s="23" t="s">
        <v>13999</v>
      </c>
      <c r="B1345" s="23" t="s">
        <v>77</v>
      </c>
      <c r="C1345" s="39">
        <v>2999</v>
      </c>
      <c r="D1345" s="24">
        <v>50.98</v>
      </c>
      <c r="E1345" s="24">
        <v>9.18</v>
      </c>
      <c r="F1345" s="23">
        <f>COUNTIFS(mdr_rate_cleaned!$A$2:$A$10,B1345,mdr_rate_cleaned!$B$2:$B$10,"&lt;"&amp;C1345,mdr_rate_cleaned!$F$2:$F$10,"&gt;="&amp;C1345)</f>
        <v>1</v>
      </c>
      <c r="G1345" s="40">
        <f>SUMIFS(mdr_rate_cleaned!$G$2:$G$10,mdr_rate_cleaned!$A$2:$A$10,B1345,mdr_rate_cleaned!$B$2:$B$10,"&lt;"&amp;C1345,mdr_rate_cleaned!$F$2:$F$10,"&gt;="&amp;C1345)</f>
        <v>1.7000000000000001E-2</v>
      </c>
      <c r="H1345" s="24">
        <f t="shared" si="100"/>
        <v>50.98</v>
      </c>
      <c r="I1345" s="23" t="str">
        <f t="shared" si="101"/>
        <v>Match</v>
      </c>
      <c r="J1345" s="23" t="str">
        <f t="shared" si="102"/>
        <v>Match</v>
      </c>
      <c r="K1345" s="24">
        <f t="shared" si="103"/>
        <v>9.18</v>
      </c>
      <c r="L1345" s="24">
        <f t="shared" si="104"/>
        <v>0</v>
      </c>
    </row>
    <row r="1346" spans="1:12" ht="15" customHeight="1" x14ac:dyDescent="0.3">
      <c r="A1346" s="23" t="s">
        <v>14001</v>
      </c>
      <c r="B1346" s="23" t="s">
        <v>81</v>
      </c>
      <c r="C1346" s="39">
        <v>15998</v>
      </c>
      <c r="D1346" s="24">
        <v>143.97999999999999</v>
      </c>
      <c r="E1346" s="24">
        <v>25.92</v>
      </c>
      <c r="F1346" s="23">
        <f>COUNTIFS(mdr_rate_cleaned!$A$2:$A$10,B1346,mdr_rate_cleaned!$B$2:$B$10,"&lt;"&amp;C1346,mdr_rate_cleaned!$F$2:$F$10,"&gt;="&amp;C1346)</f>
        <v>1</v>
      </c>
      <c r="G1346" s="40">
        <f>SUMIFS(mdr_rate_cleaned!$G$2:$G$10,mdr_rate_cleaned!$A$2:$A$10,B1346,mdr_rate_cleaned!$B$2:$B$10,"&lt;"&amp;C1346,mdr_rate_cleaned!$F$2:$F$10,"&gt;="&amp;C1346)</f>
        <v>9.0000000000000011E-3</v>
      </c>
      <c r="H1346" s="24">
        <f t="shared" ref="H1346:H1409" si="105">ROUND(C1346*G1346,2)</f>
        <v>143.97999999999999</v>
      </c>
      <c r="I1346" s="23" t="str">
        <f t="shared" ref="I1346:I1409" si="106">IF(ROUND(D1346-H1346,2)=0,"Match","Differs")</f>
        <v>Match</v>
      </c>
      <c r="J1346" s="23" t="str">
        <f t="shared" ref="J1346:J1409" si="107">IF(ROUND(E1346-ROUND(D1346*0.18,2),2)=0,"Match","Differs")</f>
        <v>Match</v>
      </c>
      <c r="K1346" s="24">
        <f t="shared" ref="K1346:K1409" si="108">ROUND(H1346*0.18,2)</f>
        <v>25.92</v>
      </c>
      <c r="L1346" s="24">
        <f t="shared" ref="L1346:L1409" si="109">ROUND(D1346+E1346-H1346-K1346,2)</f>
        <v>0</v>
      </c>
    </row>
    <row r="1347" spans="1:12" ht="15" customHeight="1" x14ac:dyDescent="0.3">
      <c r="A1347" s="23" t="s">
        <v>14002</v>
      </c>
      <c r="B1347" s="23" t="s">
        <v>77</v>
      </c>
      <c r="C1347" s="39">
        <v>4997</v>
      </c>
      <c r="D1347" s="24">
        <v>84.95</v>
      </c>
      <c r="E1347" s="24">
        <v>15.29</v>
      </c>
      <c r="F1347" s="23">
        <f>COUNTIFS(mdr_rate_cleaned!$A$2:$A$10,B1347,mdr_rate_cleaned!$B$2:$B$10,"&lt;"&amp;C1347,mdr_rate_cleaned!$F$2:$F$10,"&gt;="&amp;C1347)</f>
        <v>1</v>
      </c>
      <c r="G1347" s="40">
        <f>SUMIFS(mdr_rate_cleaned!$G$2:$G$10,mdr_rate_cleaned!$A$2:$A$10,B1347,mdr_rate_cleaned!$B$2:$B$10,"&lt;"&amp;C1347,mdr_rate_cleaned!$F$2:$F$10,"&gt;="&amp;C1347)</f>
        <v>1.7000000000000001E-2</v>
      </c>
      <c r="H1347" s="24">
        <f t="shared" si="105"/>
        <v>84.95</v>
      </c>
      <c r="I1347" s="23" t="str">
        <f t="shared" si="106"/>
        <v>Match</v>
      </c>
      <c r="J1347" s="23" t="str">
        <f t="shared" si="107"/>
        <v>Match</v>
      </c>
      <c r="K1347" s="24">
        <f t="shared" si="108"/>
        <v>15.29</v>
      </c>
      <c r="L1347" s="24">
        <f t="shared" si="109"/>
        <v>0</v>
      </c>
    </row>
    <row r="1348" spans="1:12" ht="15" customHeight="1" x14ac:dyDescent="0.3">
      <c r="A1348" s="23" t="s">
        <v>14003</v>
      </c>
      <c r="B1348" s="23" t="s">
        <v>81</v>
      </c>
      <c r="C1348" s="39">
        <v>4999</v>
      </c>
      <c r="D1348" s="24">
        <v>59.99</v>
      </c>
      <c r="E1348" s="24">
        <v>10.8</v>
      </c>
      <c r="F1348" s="23">
        <f>COUNTIFS(mdr_rate_cleaned!$A$2:$A$10,B1348,mdr_rate_cleaned!$B$2:$B$10,"&lt;"&amp;C1348,mdr_rate_cleaned!$F$2:$F$10,"&gt;="&amp;C1348)</f>
        <v>1</v>
      </c>
      <c r="G1348" s="40">
        <f>SUMIFS(mdr_rate_cleaned!$G$2:$G$10,mdr_rate_cleaned!$A$2:$A$10,B1348,mdr_rate_cleaned!$B$2:$B$10,"&lt;"&amp;C1348,mdr_rate_cleaned!$F$2:$F$10,"&gt;="&amp;C1348)</f>
        <v>1.2E-2</v>
      </c>
      <c r="H1348" s="24">
        <f t="shared" si="105"/>
        <v>59.99</v>
      </c>
      <c r="I1348" s="23" t="str">
        <f t="shared" si="106"/>
        <v>Match</v>
      </c>
      <c r="J1348" s="23" t="str">
        <f t="shared" si="107"/>
        <v>Match</v>
      </c>
      <c r="K1348" s="24">
        <f t="shared" si="108"/>
        <v>10.8</v>
      </c>
      <c r="L1348" s="24">
        <f t="shared" si="109"/>
        <v>0</v>
      </c>
    </row>
    <row r="1349" spans="1:12" ht="15" customHeight="1" x14ac:dyDescent="0.3">
      <c r="A1349" s="23" t="s">
        <v>14004</v>
      </c>
      <c r="B1349" s="23" t="s">
        <v>75</v>
      </c>
      <c r="C1349" s="39">
        <v>8997</v>
      </c>
      <c r="D1349" s="24">
        <v>26.99</v>
      </c>
      <c r="E1349" s="24">
        <v>4.8600000000000003</v>
      </c>
      <c r="F1349" s="23">
        <f>COUNTIFS(mdr_rate_cleaned!$A$2:$A$10,B1349,mdr_rate_cleaned!$B$2:$B$10,"&lt;"&amp;C1349,mdr_rate_cleaned!$F$2:$F$10,"&gt;="&amp;C1349)</f>
        <v>1</v>
      </c>
      <c r="G1349" s="40">
        <f>SUMIFS(mdr_rate_cleaned!$G$2:$G$10,mdr_rate_cleaned!$A$2:$A$10,B1349,mdr_rate_cleaned!$B$2:$B$10,"&lt;"&amp;C1349,mdr_rate_cleaned!$F$2:$F$10,"&gt;="&amp;C1349)</f>
        <v>3.0000000000000001E-3</v>
      </c>
      <c r="H1349" s="24">
        <f t="shared" si="105"/>
        <v>26.99</v>
      </c>
      <c r="I1349" s="23" t="str">
        <f t="shared" si="106"/>
        <v>Match</v>
      </c>
      <c r="J1349" s="23" t="str">
        <f t="shared" si="107"/>
        <v>Match</v>
      </c>
      <c r="K1349" s="24">
        <f t="shared" si="108"/>
        <v>4.8600000000000003</v>
      </c>
      <c r="L1349" s="24">
        <f t="shared" si="109"/>
        <v>0</v>
      </c>
    </row>
    <row r="1350" spans="1:12" ht="15" customHeight="1" x14ac:dyDescent="0.3">
      <c r="A1350" s="23" t="s">
        <v>14005</v>
      </c>
      <c r="B1350" s="23" t="s">
        <v>75</v>
      </c>
      <c r="C1350" s="39">
        <v>12297</v>
      </c>
      <c r="D1350" s="24">
        <v>36.89</v>
      </c>
      <c r="E1350" s="24">
        <v>6.64</v>
      </c>
      <c r="F1350" s="23">
        <f>COUNTIFS(mdr_rate_cleaned!$A$2:$A$10,B1350,mdr_rate_cleaned!$B$2:$B$10,"&lt;"&amp;C1350,mdr_rate_cleaned!$F$2:$F$10,"&gt;="&amp;C1350)</f>
        <v>1</v>
      </c>
      <c r="G1350" s="40">
        <f>SUMIFS(mdr_rate_cleaned!$G$2:$G$10,mdr_rate_cleaned!$A$2:$A$10,B1350,mdr_rate_cleaned!$B$2:$B$10,"&lt;"&amp;C1350,mdr_rate_cleaned!$F$2:$F$10,"&gt;="&amp;C1350)</f>
        <v>3.0000000000000001E-3</v>
      </c>
      <c r="H1350" s="24">
        <f t="shared" si="105"/>
        <v>36.89</v>
      </c>
      <c r="I1350" s="23" t="str">
        <f t="shared" si="106"/>
        <v>Match</v>
      </c>
      <c r="J1350" s="23" t="str">
        <f t="shared" si="107"/>
        <v>Match</v>
      </c>
      <c r="K1350" s="24">
        <f t="shared" si="108"/>
        <v>6.64</v>
      </c>
      <c r="L1350" s="24">
        <f t="shared" si="109"/>
        <v>0</v>
      </c>
    </row>
    <row r="1351" spans="1:12" ht="15" customHeight="1" x14ac:dyDescent="0.3">
      <c r="A1351" s="23" t="s">
        <v>14007</v>
      </c>
      <c r="B1351" s="23" t="s">
        <v>79</v>
      </c>
      <c r="C1351" s="39">
        <v>1499</v>
      </c>
      <c r="D1351" s="24">
        <v>26.98</v>
      </c>
      <c r="E1351" s="24">
        <v>4.8600000000000003</v>
      </c>
      <c r="F1351" s="23">
        <f>COUNTIFS(mdr_rate_cleaned!$A$2:$A$10,B1351,mdr_rate_cleaned!$B$2:$B$10,"&lt;"&amp;C1351,mdr_rate_cleaned!$F$2:$F$10,"&gt;="&amp;C1351)</f>
        <v>1</v>
      </c>
      <c r="G1351" s="40">
        <f>SUMIFS(mdr_rate_cleaned!$G$2:$G$10,mdr_rate_cleaned!$A$2:$A$10,B1351,mdr_rate_cleaned!$B$2:$B$10,"&lt;"&amp;C1351,mdr_rate_cleaned!$F$2:$F$10,"&gt;="&amp;C1351)</f>
        <v>1.8000000000000002E-2</v>
      </c>
      <c r="H1351" s="24">
        <f t="shared" si="105"/>
        <v>26.98</v>
      </c>
      <c r="I1351" s="23" t="str">
        <f t="shared" si="106"/>
        <v>Match</v>
      </c>
      <c r="J1351" s="23" t="str">
        <f t="shared" si="107"/>
        <v>Match</v>
      </c>
      <c r="K1351" s="24">
        <f t="shared" si="108"/>
        <v>4.8600000000000003</v>
      </c>
      <c r="L1351" s="24">
        <f t="shared" si="109"/>
        <v>0</v>
      </c>
    </row>
    <row r="1352" spans="1:12" ht="15" customHeight="1" x14ac:dyDescent="0.3">
      <c r="A1352" s="23" t="s">
        <v>14008</v>
      </c>
      <c r="B1352" s="23" t="s">
        <v>75</v>
      </c>
      <c r="C1352" s="39">
        <v>848</v>
      </c>
      <c r="D1352" s="24">
        <v>0</v>
      </c>
      <c r="E1352" s="24">
        <v>0</v>
      </c>
      <c r="F1352" s="23">
        <f>COUNTIFS(mdr_rate_cleaned!$A$2:$A$10,B1352,mdr_rate_cleaned!$B$2:$B$10,"&lt;"&amp;C1352,mdr_rate_cleaned!$F$2:$F$10,"&gt;="&amp;C1352)</f>
        <v>1</v>
      </c>
      <c r="G1352" s="40">
        <f>SUMIFS(mdr_rate_cleaned!$G$2:$G$10,mdr_rate_cleaned!$A$2:$A$10,B1352,mdr_rate_cleaned!$B$2:$B$10,"&lt;"&amp;C1352,mdr_rate_cleaned!$F$2:$F$10,"&gt;="&amp;C1352)</f>
        <v>0</v>
      </c>
      <c r="H1352" s="24">
        <f t="shared" si="105"/>
        <v>0</v>
      </c>
      <c r="I1352" s="23" t="str">
        <f t="shared" si="106"/>
        <v>Match</v>
      </c>
      <c r="J1352" s="23" t="str">
        <f t="shared" si="107"/>
        <v>Match</v>
      </c>
      <c r="K1352" s="24">
        <f t="shared" si="108"/>
        <v>0</v>
      </c>
      <c r="L1352" s="24">
        <f t="shared" si="109"/>
        <v>0</v>
      </c>
    </row>
    <row r="1353" spans="1:12" ht="15" customHeight="1" x14ac:dyDescent="0.3">
      <c r="A1353" s="23" t="s">
        <v>14009</v>
      </c>
      <c r="B1353" s="23" t="s">
        <v>79</v>
      </c>
      <c r="C1353" s="39">
        <v>6798</v>
      </c>
      <c r="D1353" s="24">
        <v>108.77</v>
      </c>
      <c r="E1353" s="24">
        <v>19.579999999999998</v>
      </c>
      <c r="F1353" s="23">
        <f>COUNTIFS(mdr_rate_cleaned!$A$2:$A$10,B1353,mdr_rate_cleaned!$B$2:$B$10,"&lt;"&amp;C1353,mdr_rate_cleaned!$F$2:$F$10,"&gt;="&amp;C1353)</f>
        <v>1</v>
      </c>
      <c r="G1353" s="40">
        <f>SUMIFS(mdr_rate_cleaned!$G$2:$G$10,mdr_rate_cleaned!$A$2:$A$10,B1353,mdr_rate_cleaned!$B$2:$B$10,"&lt;"&amp;C1353,mdr_rate_cleaned!$F$2:$F$10,"&gt;="&amp;C1353)</f>
        <v>1.6E-2</v>
      </c>
      <c r="H1353" s="24">
        <f t="shared" si="105"/>
        <v>108.77</v>
      </c>
      <c r="I1353" s="23" t="str">
        <f t="shared" si="106"/>
        <v>Match</v>
      </c>
      <c r="J1353" s="23" t="str">
        <f t="shared" si="107"/>
        <v>Match</v>
      </c>
      <c r="K1353" s="24">
        <f t="shared" si="108"/>
        <v>19.579999999999998</v>
      </c>
      <c r="L1353" s="24">
        <f t="shared" si="109"/>
        <v>0</v>
      </c>
    </row>
    <row r="1354" spans="1:12" ht="15" customHeight="1" x14ac:dyDescent="0.3">
      <c r="A1354" s="23" t="s">
        <v>14011</v>
      </c>
      <c r="B1354" s="23" t="s">
        <v>79</v>
      </c>
      <c r="C1354" s="39">
        <v>2999</v>
      </c>
      <c r="D1354" s="24">
        <v>47.98</v>
      </c>
      <c r="E1354" s="24">
        <v>8.64</v>
      </c>
      <c r="F1354" s="23">
        <f>COUNTIFS(mdr_rate_cleaned!$A$2:$A$10,B1354,mdr_rate_cleaned!$B$2:$B$10,"&lt;"&amp;C1354,mdr_rate_cleaned!$F$2:$F$10,"&gt;="&amp;C1354)</f>
        <v>1</v>
      </c>
      <c r="G1354" s="40">
        <f>SUMIFS(mdr_rate_cleaned!$G$2:$G$10,mdr_rate_cleaned!$A$2:$A$10,B1354,mdr_rate_cleaned!$B$2:$B$10,"&lt;"&amp;C1354,mdr_rate_cleaned!$F$2:$F$10,"&gt;="&amp;C1354)</f>
        <v>1.6E-2</v>
      </c>
      <c r="H1354" s="24">
        <f t="shared" si="105"/>
        <v>47.98</v>
      </c>
      <c r="I1354" s="23" t="str">
        <f t="shared" si="106"/>
        <v>Match</v>
      </c>
      <c r="J1354" s="23" t="str">
        <f t="shared" si="107"/>
        <v>Match</v>
      </c>
      <c r="K1354" s="24">
        <f t="shared" si="108"/>
        <v>8.64</v>
      </c>
      <c r="L1354" s="24">
        <f t="shared" si="109"/>
        <v>0</v>
      </c>
    </row>
    <row r="1355" spans="1:12" ht="15" customHeight="1" x14ac:dyDescent="0.3">
      <c r="A1355" s="23" t="s">
        <v>14012</v>
      </c>
      <c r="B1355" s="23" t="s">
        <v>75</v>
      </c>
      <c r="C1355" s="39">
        <v>3499</v>
      </c>
      <c r="D1355" s="24">
        <v>10.5</v>
      </c>
      <c r="E1355" s="24">
        <v>1.89</v>
      </c>
      <c r="F1355" s="23">
        <f>COUNTIFS(mdr_rate_cleaned!$A$2:$A$10,B1355,mdr_rate_cleaned!$B$2:$B$10,"&lt;"&amp;C1355,mdr_rate_cleaned!$F$2:$F$10,"&gt;="&amp;C1355)</f>
        <v>1</v>
      </c>
      <c r="G1355" s="40">
        <f>SUMIFS(mdr_rate_cleaned!$G$2:$G$10,mdr_rate_cleaned!$A$2:$A$10,B1355,mdr_rate_cleaned!$B$2:$B$10,"&lt;"&amp;C1355,mdr_rate_cleaned!$F$2:$F$10,"&gt;="&amp;C1355)</f>
        <v>3.0000000000000001E-3</v>
      </c>
      <c r="H1355" s="24">
        <f t="shared" si="105"/>
        <v>10.5</v>
      </c>
      <c r="I1355" s="23" t="str">
        <f t="shared" si="106"/>
        <v>Match</v>
      </c>
      <c r="J1355" s="23" t="str">
        <f t="shared" si="107"/>
        <v>Match</v>
      </c>
      <c r="K1355" s="24">
        <f t="shared" si="108"/>
        <v>1.89</v>
      </c>
      <c r="L1355" s="24">
        <f t="shared" si="109"/>
        <v>0</v>
      </c>
    </row>
    <row r="1356" spans="1:12" ht="15" customHeight="1" x14ac:dyDescent="0.3">
      <c r="A1356" s="23" t="s">
        <v>14013</v>
      </c>
      <c r="B1356" s="23" t="s">
        <v>77</v>
      </c>
      <c r="C1356" s="39">
        <v>3347</v>
      </c>
      <c r="D1356" s="24">
        <v>56.9</v>
      </c>
      <c r="E1356" s="24">
        <v>10.24</v>
      </c>
      <c r="F1356" s="23">
        <f>COUNTIFS(mdr_rate_cleaned!$A$2:$A$10,B1356,mdr_rate_cleaned!$B$2:$B$10,"&lt;"&amp;C1356,mdr_rate_cleaned!$F$2:$F$10,"&gt;="&amp;C1356)</f>
        <v>1</v>
      </c>
      <c r="G1356" s="40">
        <f>SUMIFS(mdr_rate_cleaned!$G$2:$G$10,mdr_rate_cleaned!$A$2:$A$10,B1356,mdr_rate_cleaned!$B$2:$B$10,"&lt;"&amp;C1356,mdr_rate_cleaned!$F$2:$F$10,"&gt;="&amp;C1356)</f>
        <v>1.7000000000000001E-2</v>
      </c>
      <c r="H1356" s="24">
        <f t="shared" si="105"/>
        <v>56.9</v>
      </c>
      <c r="I1356" s="23" t="str">
        <f t="shared" si="106"/>
        <v>Match</v>
      </c>
      <c r="J1356" s="23" t="str">
        <f t="shared" si="107"/>
        <v>Match</v>
      </c>
      <c r="K1356" s="24">
        <f t="shared" si="108"/>
        <v>10.24</v>
      </c>
      <c r="L1356" s="24">
        <f t="shared" si="109"/>
        <v>0</v>
      </c>
    </row>
    <row r="1357" spans="1:12" ht="15" customHeight="1" x14ac:dyDescent="0.3">
      <c r="A1357" s="23" t="s">
        <v>14014</v>
      </c>
      <c r="B1357" s="23" t="s">
        <v>77</v>
      </c>
      <c r="C1357" s="39">
        <v>3098</v>
      </c>
      <c r="D1357" s="24">
        <v>52.67</v>
      </c>
      <c r="E1357" s="24">
        <v>9.48</v>
      </c>
      <c r="F1357" s="23">
        <f>COUNTIFS(mdr_rate_cleaned!$A$2:$A$10,B1357,mdr_rate_cleaned!$B$2:$B$10,"&lt;"&amp;C1357,mdr_rate_cleaned!$F$2:$F$10,"&gt;="&amp;C1357)</f>
        <v>1</v>
      </c>
      <c r="G1357" s="40">
        <f>SUMIFS(mdr_rate_cleaned!$G$2:$G$10,mdr_rate_cleaned!$A$2:$A$10,B1357,mdr_rate_cleaned!$B$2:$B$10,"&lt;"&amp;C1357,mdr_rate_cleaned!$F$2:$F$10,"&gt;="&amp;C1357)</f>
        <v>1.7000000000000001E-2</v>
      </c>
      <c r="H1357" s="24">
        <f t="shared" si="105"/>
        <v>52.67</v>
      </c>
      <c r="I1357" s="23" t="str">
        <f t="shared" si="106"/>
        <v>Match</v>
      </c>
      <c r="J1357" s="23" t="str">
        <f t="shared" si="107"/>
        <v>Match</v>
      </c>
      <c r="K1357" s="24">
        <f t="shared" si="108"/>
        <v>9.48</v>
      </c>
      <c r="L1357" s="24">
        <f t="shared" si="109"/>
        <v>0</v>
      </c>
    </row>
    <row r="1358" spans="1:12" ht="15" customHeight="1" x14ac:dyDescent="0.3">
      <c r="A1358" s="23" t="s">
        <v>14016</v>
      </c>
      <c r="B1358" s="23" t="s">
        <v>75</v>
      </c>
      <c r="C1358" s="39">
        <v>2998</v>
      </c>
      <c r="D1358" s="24">
        <v>8.99</v>
      </c>
      <c r="E1358" s="24">
        <v>1.62</v>
      </c>
      <c r="F1358" s="23">
        <f>COUNTIFS(mdr_rate_cleaned!$A$2:$A$10,B1358,mdr_rate_cleaned!$B$2:$B$10,"&lt;"&amp;C1358,mdr_rate_cleaned!$F$2:$F$10,"&gt;="&amp;C1358)</f>
        <v>1</v>
      </c>
      <c r="G1358" s="40">
        <f>SUMIFS(mdr_rate_cleaned!$G$2:$G$10,mdr_rate_cleaned!$A$2:$A$10,B1358,mdr_rate_cleaned!$B$2:$B$10,"&lt;"&amp;C1358,mdr_rate_cleaned!$F$2:$F$10,"&gt;="&amp;C1358)</f>
        <v>3.0000000000000001E-3</v>
      </c>
      <c r="H1358" s="24">
        <f t="shared" si="105"/>
        <v>8.99</v>
      </c>
      <c r="I1358" s="23" t="str">
        <f t="shared" si="106"/>
        <v>Match</v>
      </c>
      <c r="J1358" s="23" t="str">
        <f t="shared" si="107"/>
        <v>Match</v>
      </c>
      <c r="K1358" s="24">
        <f t="shared" si="108"/>
        <v>1.62</v>
      </c>
      <c r="L1358" s="24">
        <f t="shared" si="109"/>
        <v>0</v>
      </c>
    </row>
    <row r="1359" spans="1:12" ht="15" customHeight="1" x14ac:dyDescent="0.3">
      <c r="A1359" s="23" t="s">
        <v>14017</v>
      </c>
      <c r="B1359" s="23" t="s">
        <v>75</v>
      </c>
      <c r="C1359" s="39">
        <v>349</v>
      </c>
      <c r="D1359" s="24">
        <v>0</v>
      </c>
      <c r="E1359" s="24">
        <v>0</v>
      </c>
      <c r="F1359" s="23">
        <f>COUNTIFS(mdr_rate_cleaned!$A$2:$A$10,B1359,mdr_rate_cleaned!$B$2:$B$10,"&lt;"&amp;C1359,mdr_rate_cleaned!$F$2:$F$10,"&gt;="&amp;C1359)</f>
        <v>1</v>
      </c>
      <c r="G1359" s="40">
        <f>SUMIFS(mdr_rate_cleaned!$G$2:$G$10,mdr_rate_cleaned!$A$2:$A$10,B1359,mdr_rate_cleaned!$B$2:$B$10,"&lt;"&amp;C1359,mdr_rate_cleaned!$F$2:$F$10,"&gt;="&amp;C1359)</f>
        <v>0</v>
      </c>
      <c r="H1359" s="24">
        <f t="shared" si="105"/>
        <v>0</v>
      </c>
      <c r="I1359" s="23" t="str">
        <f t="shared" si="106"/>
        <v>Match</v>
      </c>
      <c r="J1359" s="23" t="str">
        <f t="shared" si="107"/>
        <v>Match</v>
      </c>
      <c r="K1359" s="24">
        <f t="shared" si="108"/>
        <v>0</v>
      </c>
      <c r="L1359" s="24">
        <f t="shared" si="109"/>
        <v>0</v>
      </c>
    </row>
    <row r="1360" spans="1:12" ht="15" customHeight="1" x14ac:dyDescent="0.3">
      <c r="A1360" s="23" t="s">
        <v>14018</v>
      </c>
      <c r="B1360" s="23" t="s">
        <v>75</v>
      </c>
      <c r="C1360" s="39">
        <v>1798</v>
      </c>
      <c r="D1360" s="24">
        <v>0</v>
      </c>
      <c r="E1360" s="24">
        <v>0</v>
      </c>
      <c r="F1360" s="23">
        <f>COUNTIFS(mdr_rate_cleaned!$A$2:$A$10,B1360,mdr_rate_cleaned!$B$2:$B$10,"&lt;"&amp;C1360,mdr_rate_cleaned!$F$2:$F$10,"&gt;="&amp;C1360)</f>
        <v>1</v>
      </c>
      <c r="G1360" s="40">
        <f>SUMIFS(mdr_rate_cleaned!$G$2:$G$10,mdr_rate_cleaned!$A$2:$A$10,B1360,mdr_rate_cleaned!$B$2:$B$10,"&lt;"&amp;C1360,mdr_rate_cleaned!$F$2:$F$10,"&gt;="&amp;C1360)</f>
        <v>0</v>
      </c>
      <c r="H1360" s="24">
        <f t="shared" si="105"/>
        <v>0</v>
      </c>
      <c r="I1360" s="23" t="str">
        <f t="shared" si="106"/>
        <v>Match</v>
      </c>
      <c r="J1360" s="23" t="str">
        <f t="shared" si="107"/>
        <v>Match</v>
      </c>
      <c r="K1360" s="24">
        <f t="shared" si="108"/>
        <v>0</v>
      </c>
      <c r="L1360" s="24">
        <f t="shared" si="109"/>
        <v>0</v>
      </c>
    </row>
    <row r="1361" spans="1:12" ht="15" customHeight="1" x14ac:dyDescent="0.3">
      <c r="A1361" s="23" t="s">
        <v>14019</v>
      </c>
      <c r="B1361" s="23" t="s">
        <v>75</v>
      </c>
      <c r="C1361" s="39">
        <v>11498</v>
      </c>
      <c r="D1361" s="24">
        <v>34.49</v>
      </c>
      <c r="E1361" s="24">
        <v>6.21</v>
      </c>
      <c r="F1361" s="23">
        <f>COUNTIFS(mdr_rate_cleaned!$A$2:$A$10,B1361,mdr_rate_cleaned!$B$2:$B$10,"&lt;"&amp;C1361,mdr_rate_cleaned!$F$2:$F$10,"&gt;="&amp;C1361)</f>
        <v>1</v>
      </c>
      <c r="G1361" s="40">
        <f>SUMIFS(mdr_rate_cleaned!$G$2:$G$10,mdr_rate_cleaned!$A$2:$A$10,B1361,mdr_rate_cleaned!$B$2:$B$10,"&lt;"&amp;C1361,mdr_rate_cleaned!$F$2:$F$10,"&gt;="&amp;C1361)</f>
        <v>3.0000000000000001E-3</v>
      </c>
      <c r="H1361" s="24">
        <f t="shared" si="105"/>
        <v>34.49</v>
      </c>
      <c r="I1361" s="23" t="str">
        <f t="shared" si="106"/>
        <v>Match</v>
      </c>
      <c r="J1361" s="23" t="str">
        <f t="shared" si="107"/>
        <v>Match</v>
      </c>
      <c r="K1361" s="24">
        <f t="shared" si="108"/>
        <v>6.21</v>
      </c>
      <c r="L1361" s="24">
        <f t="shared" si="109"/>
        <v>0</v>
      </c>
    </row>
    <row r="1362" spans="1:12" ht="15" customHeight="1" x14ac:dyDescent="0.3">
      <c r="A1362" s="23" t="s">
        <v>14020</v>
      </c>
      <c r="B1362" s="23" t="s">
        <v>75</v>
      </c>
      <c r="C1362" s="39">
        <v>2498</v>
      </c>
      <c r="D1362" s="24">
        <v>7.49</v>
      </c>
      <c r="E1362" s="24">
        <v>1.35</v>
      </c>
      <c r="F1362" s="23">
        <f>COUNTIFS(mdr_rate_cleaned!$A$2:$A$10,B1362,mdr_rate_cleaned!$B$2:$B$10,"&lt;"&amp;C1362,mdr_rate_cleaned!$F$2:$F$10,"&gt;="&amp;C1362)</f>
        <v>1</v>
      </c>
      <c r="G1362" s="40">
        <f>SUMIFS(mdr_rate_cleaned!$G$2:$G$10,mdr_rate_cleaned!$A$2:$A$10,B1362,mdr_rate_cleaned!$B$2:$B$10,"&lt;"&amp;C1362,mdr_rate_cleaned!$F$2:$F$10,"&gt;="&amp;C1362)</f>
        <v>3.0000000000000001E-3</v>
      </c>
      <c r="H1362" s="24">
        <f t="shared" si="105"/>
        <v>7.49</v>
      </c>
      <c r="I1362" s="23" t="str">
        <f t="shared" si="106"/>
        <v>Match</v>
      </c>
      <c r="J1362" s="23" t="str">
        <f t="shared" si="107"/>
        <v>Match</v>
      </c>
      <c r="K1362" s="24">
        <f t="shared" si="108"/>
        <v>1.35</v>
      </c>
      <c r="L1362" s="24">
        <f t="shared" si="109"/>
        <v>0</v>
      </c>
    </row>
    <row r="1363" spans="1:12" ht="15" customHeight="1" x14ac:dyDescent="0.3">
      <c r="A1363" s="23" t="s">
        <v>14022</v>
      </c>
      <c r="B1363" s="23" t="s">
        <v>75</v>
      </c>
      <c r="C1363" s="39">
        <v>2499</v>
      </c>
      <c r="D1363" s="24">
        <v>7.5</v>
      </c>
      <c r="E1363" s="24">
        <v>1.35</v>
      </c>
      <c r="F1363" s="23">
        <f>COUNTIFS(mdr_rate_cleaned!$A$2:$A$10,B1363,mdr_rate_cleaned!$B$2:$B$10,"&lt;"&amp;C1363,mdr_rate_cleaned!$F$2:$F$10,"&gt;="&amp;C1363)</f>
        <v>1</v>
      </c>
      <c r="G1363" s="40">
        <f>SUMIFS(mdr_rate_cleaned!$G$2:$G$10,mdr_rate_cleaned!$A$2:$A$10,B1363,mdr_rate_cleaned!$B$2:$B$10,"&lt;"&amp;C1363,mdr_rate_cleaned!$F$2:$F$10,"&gt;="&amp;C1363)</f>
        <v>3.0000000000000001E-3</v>
      </c>
      <c r="H1363" s="24">
        <f t="shared" si="105"/>
        <v>7.5</v>
      </c>
      <c r="I1363" s="23" t="str">
        <f t="shared" si="106"/>
        <v>Match</v>
      </c>
      <c r="J1363" s="23" t="str">
        <f t="shared" si="107"/>
        <v>Match</v>
      </c>
      <c r="K1363" s="24">
        <f t="shared" si="108"/>
        <v>1.35</v>
      </c>
      <c r="L1363" s="24">
        <f t="shared" si="109"/>
        <v>0</v>
      </c>
    </row>
    <row r="1364" spans="1:12" ht="15" customHeight="1" x14ac:dyDescent="0.3">
      <c r="A1364" s="23" t="s">
        <v>14024</v>
      </c>
      <c r="B1364" s="23" t="s">
        <v>75</v>
      </c>
      <c r="C1364" s="39">
        <v>1447</v>
      </c>
      <c r="D1364" s="24">
        <v>0</v>
      </c>
      <c r="E1364" s="24">
        <v>0</v>
      </c>
      <c r="F1364" s="23">
        <f>COUNTIFS(mdr_rate_cleaned!$A$2:$A$10,B1364,mdr_rate_cleaned!$B$2:$B$10,"&lt;"&amp;C1364,mdr_rate_cleaned!$F$2:$F$10,"&gt;="&amp;C1364)</f>
        <v>1</v>
      </c>
      <c r="G1364" s="40">
        <f>SUMIFS(mdr_rate_cleaned!$G$2:$G$10,mdr_rate_cleaned!$A$2:$A$10,B1364,mdr_rate_cleaned!$B$2:$B$10,"&lt;"&amp;C1364,mdr_rate_cleaned!$F$2:$F$10,"&gt;="&amp;C1364)</f>
        <v>0</v>
      </c>
      <c r="H1364" s="24">
        <f t="shared" si="105"/>
        <v>0</v>
      </c>
      <c r="I1364" s="23" t="str">
        <f t="shared" si="106"/>
        <v>Match</v>
      </c>
      <c r="J1364" s="23" t="str">
        <f t="shared" si="107"/>
        <v>Match</v>
      </c>
      <c r="K1364" s="24">
        <f t="shared" si="108"/>
        <v>0</v>
      </c>
      <c r="L1364" s="24">
        <f t="shared" si="109"/>
        <v>0</v>
      </c>
    </row>
    <row r="1365" spans="1:12" ht="15" customHeight="1" x14ac:dyDescent="0.3">
      <c r="A1365" s="23" t="s">
        <v>14025</v>
      </c>
      <c r="B1365" s="23" t="s">
        <v>75</v>
      </c>
      <c r="C1365" s="39">
        <v>299</v>
      </c>
      <c r="D1365" s="24">
        <v>0</v>
      </c>
      <c r="E1365" s="24">
        <v>0</v>
      </c>
      <c r="F1365" s="23">
        <f>COUNTIFS(mdr_rate_cleaned!$A$2:$A$10,B1365,mdr_rate_cleaned!$B$2:$B$10,"&lt;"&amp;C1365,mdr_rate_cleaned!$F$2:$F$10,"&gt;="&amp;C1365)</f>
        <v>1</v>
      </c>
      <c r="G1365" s="40">
        <f>SUMIFS(mdr_rate_cleaned!$G$2:$G$10,mdr_rate_cleaned!$A$2:$A$10,B1365,mdr_rate_cleaned!$B$2:$B$10,"&lt;"&amp;C1365,mdr_rate_cleaned!$F$2:$F$10,"&gt;="&amp;C1365)</f>
        <v>0</v>
      </c>
      <c r="H1365" s="24">
        <f t="shared" si="105"/>
        <v>0</v>
      </c>
      <c r="I1365" s="23" t="str">
        <f t="shared" si="106"/>
        <v>Match</v>
      </c>
      <c r="J1365" s="23" t="str">
        <f t="shared" si="107"/>
        <v>Match</v>
      </c>
      <c r="K1365" s="24">
        <f t="shared" si="108"/>
        <v>0</v>
      </c>
      <c r="L1365" s="24">
        <f t="shared" si="109"/>
        <v>0</v>
      </c>
    </row>
    <row r="1366" spans="1:12" ht="15" customHeight="1" x14ac:dyDescent="0.3">
      <c r="A1366" s="23" t="s">
        <v>14026</v>
      </c>
      <c r="B1366" s="23" t="s">
        <v>79</v>
      </c>
      <c r="C1366" s="39">
        <v>3598</v>
      </c>
      <c r="D1366" s="24">
        <v>57.57</v>
      </c>
      <c r="E1366" s="24">
        <v>10.36</v>
      </c>
      <c r="F1366" s="23">
        <f>COUNTIFS(mdr_rate_cleaned!$A$2:$A$10,B1366,mdr_rate_cleaned!$B$2:$B$10,"&lt;"&amp;C1366,mdr_rate_cleaned!$F$2:$F$10,"&gt;="&amp;C1366)</f>
        <v>1</v>
      </c>
      <c r="G1366" s="40">
        <f>SUMIFS(mdr_rate_cleaned!$G$2:$G$10,mdr_rate_cleaned!$A$2:$A$10,B1366,mdr_rate_cleaned!$B$2:$B$10,"&lt;"&amp;C1366,mdr_rate_cleaned!$F$2:$F$10,"&gt;="&amp;C1366)</f>
        <v>1.6E-2</v>
      </c>
      <c r="H1366" s="24">
        <f t="shared" si="105"/>
        <v>57.57</v>
      </c>
      <c r="I1366" s="23" t="str">
        <f t="shared" si="106"/>
        <v>Match</v>
      </c>
      <c r="J1366" s="23" t="str">
        <f t="shared" si="107"/>
        <v>Match</v>
      </c>
      <c r="K1366" s="24">
        <f t="shared" si="108"/>
        <v>10.36</v>
      </c>
      <c r="L1366" s="24">
        <f t="shared" si="109"/>
        <v>0</v>
      </c>
    </row>
    <row r="1367" spans="1:12" ht="15" customHeight="1" x14ac:dyDescent="0.3">
      <c r="A1367" s="23" t="s">
        <v>14027</v>
      </c>
      <c r="B1367" s="23" t="s">
        <v>75</v>
      </c>
      <c r="C1367" s="39">
        <v>1799</v>
      </c>
      <c r="D1367" s="24">
        <v>0</v>
      </c>
      <c r="E1367" s="24">
        <v>0</v>
      </c>
      <c r="F1367" s="23">
        <f>COUNTIFS(mdr_rate_cleaned!$A$2:$A$10,B1367,mdr_rate_cleaned!$B$2:$B$10,"&lt;"&amp;C1367,mdr_rate_cleaned!$F$2:$F$10,"&gt;="&amp;C1367)</f>
        <v>1</v>
      </c>
      <c r="G1367" s="40">
        <f>SUMIFS(mdr_rate_cleaned!$G$2:$G$10,mdr_rate_cleaned!$A$2:$A$10,B1367,mdr_rate_cleaned!$B$2:$B$10,"&lt;"&amp;C1367,mdr_rate_cleaned!$F$2:$F$10,"&gt;="&amp;C1367)</f>
        <v>0</v>
      </c>
      <c r="H1367" s="24">
        <f t="shared" si="105"/>
        <v>0</v>
      </c>
      <c r="I1367" s="23" t="str">
        <f t="shared" si="106"/>
        <v>Match</v>
      </c>
      <c r="J1367" s="23" t="str">
        <f t="shared" si="107"/>
        <v>Match</v>
      </c>
      <c r="K1367" s="24">
        <f t="shared" si="108"/>
        <v>0</v>
      </c>
      <c r="L1367" s="24">
        <f t="shared" si="109"/>
        <v>0</v>
      </c>
    </row>
    <row r="1368" spans="1:12" ht="15" customHeight="1" x14ac:dyDescent="0.3">
      <c r="A1368" s="23" t="s">
        <v>14028</v>
      </c>
      <c r="B1368" s="23" t="s">
        <v>75</v>
      </c>
      <c r="C1368" s="39">
        <v>4798</v>
      </c>
      <c r="D1368" s="24">
        <v>14.39</v>
      </c>
      <c r="E1368" s="24">
        <v>2.59</v>
      </c>
      <c r="F1368" s="23">
        <f>COUNTIFS(mdr_rate_cleaned!$A$2:$A$10,B1368,mdr_rate_cleaned!$B$2:$B$10,"&lt;"&amp;C1368,mdr_rate_cleaned!$F$2:$F$10,"&gt;="&amp;C1368)</f>
        <v>1</v>
      </c>
      <c r="G1368" s="40">
        <f>SUMIFS(mdr_rate_cleaned!$G$2:$G$10,mdr_rate_cleaned!$A$2:$A$10,B1368,mdr_rate_cleaned!$B$2:$B$10,"&lt;"&amp;C1368,mdr_rate_cleaned!$F$2:$F$10,"&gt;="&amp;C1368)</f>
        <v>3.0000000000000001E-3</v>
      </c>
      <c r="H1368" s="24">
        <f t="shared" si="105"/>
        <v>14.39</v>
      </c>
      <c r="I1368" s="23" t="str">
        <f t="shared" si="106"/>
        <v>Match</v>
      </c>
      <c r="J1368" s="23" t="str">
        <f t="shared" si="107"/>
        <v>Match</v>
      </c>
      <c r="K1368" s="24">
        <f t="shared" si="108"/>
        <v>2.59</v>
      </c>
      <c r="L1368" s="24">
        <f t="shared" si="109"/>
        <v>0</v>
      </c>
    </row>
    <row r="1369" spans="1:12" ht="15" customHeight="1" x14ac:dyDescent="0.3">
      <c r="A1369" s="23" t="s">
        <v>14029</v>
      </c>
      <c r="B1369" s="23" t="s">
        <v>79</v>
      </c>
      <c r="C1369" s="39">
        <v>3798</v>
      </c>
      <c r="D1369" s="24">
        <v>60.77</v>
      </c>
      <c r="E1369" s="24">
        <v>10.94</v>
      </c>
      <c r="F1369" s="23">
        <f>COUNTIFS(mdr_rate_cleaned!$A$2:$A$10,B1369,mdr_rate_cleaned!$B$2:$B$10,"&lt;"&amp;C1369,mdr_rate_cleaned!$F$2:$F$10,"&gt;="&amp;C1369)</f>
        <v>1</v>
      </c>
      <c r="G1369" s="40">
        <f>SUMIFS(mdr_rate_cleaned!$G$2:$G$10,mdr_rate_cleaned!$A$2:$A$10,B1369,mdr_rate_cleaned!$B$2:$B$10,"&lt;"&amp;C1369,mdr_rate_cleaned!$F$2:$F$10,"&gt;="&amp;C1369)</f>
        <v>1.6E-2</v>
      </c>
      <c r="H1369" s="24">
        <f t="shared" si="105"/>
        <v>60.77</v>
      </c>
      <c r="I1369" s="23" t="str">
        <f t="shared" si="106"/>
        <v>Match</v>
      </c>
      <c r="J1369" s="23" t="str">
        <f t="shared" si="107"/>
        <v>Match</v>
      </c>
      <c r="K1369" s="24">
        <f t="shared" si="108"/>
        <v>10.94</v>
      </c>
      <c r="L1369" s="24">
        <f t="shared" si="109"/>
        <v>0</v>
      </c>
    </row>
    <row r="1370" spans="1:12" ht="15" customHeight="1" x14ac:dyDescent="0.3">
      <c r="A1370" s="23" t="s">
        <v>14030</v>
      </c>
      <c r="B1370" s="23" t="s">
        <v>81</v>
      </c>
      <c r="C1370" s="39">
        <v>5998</v>
      </c>
      <c r="D1370" s="24">
        <v>71.98</v>
      </c>
      <c r="E1370" s="24">
        <v>12.96</v>
      </c>
      <c r="F1370" s="23">
        <f>COUNTIFS(mdr_rate_cleaned!$A$2:$A$10,B1370,mdr_rate_cleaned!$B$2:$B$10,"&lt;"&amp;C1370,mdr_rate_cleaned!$F$2:$F$10,"&gt;="&amp;C1370)</f>
        <v>1</v>
      </c>
      <c r="G1370" s="40">
        <f>SUMIFS(mdr_rate_cleaned!$G$2:$G$10,mdr_rate_cleaned!$A$2:$A$10,B1370,mdr_rate_cleaned!$B$2:$B$10,"&lt;"&amp;C1370,mdr_rate_cleaned!$F$2:$F$10,"&gt;="&amp;C1370)</f>
        <v>1.2E-2</v>
      </c>
      <c r="H1370" s="24">
        <f t="shared" si="105"/>
        <v>71.98</v>
      </c>
      <c r="I1370" s="23" t="str">
        <f t="shared" si="106"/>
        <v>Match</v>
      </c>
      <c r="J1370" s="23" t="str">
        <f t="shared" si="107"/>
        <v>Match</v>
      </c>
      <c r="K1370" s="24">
        <f t="shared" si="108"/>
        <v>12.96</v>
      </c>
      <c r="L1370" s="24">
        <f t="shared" si="109"/>
        <v>0</v>
      </c>
    </row>
    <row r="1371" spans="1:12" ht="15" customHeight="1" x14ac:dyDescent="0.3">
      <c r="A1371" s="23" t="s">
        <v>14031</v>
      </c>
      <c r="B1371" s="23" t="s">
        <v>79</v>
      </c>
      <c r="C1371" s="39">
        <v>7999</v>
      </c>
      <c r="D1371" s="24">
        <v>127.98</v>
      </c>
      <c r="E1371" s="24">
        <v>23.04</v>
      </c>
      <c r="F1371" s="23">
        <f>COUNTIFS(mdr_rate_cleaned!$A$2:$A$10,B1371,mdr_rate_cleaned!$B$2:$B$10,"&lt;"&amp;C1371,mdr_rate_cleaned!$F$2:$F$10,"&gt;="&amp;C1371)</f>
        <v>1</v>
      </c>
      <c r="G1371" s="40">
        <f>SUMIFS(mdr_rate_cleaned!$G$2:$G$10,mdr_rate_cleaned!$A$2:$A$10,B1371,mdr_rate_cleaned!$B$2:$B$10,"&lt;"&amp;C1371,mdr_rate_cleaned!$F$2:$F$10,"&gt;="&amp;C1371)</f>
        <v>1.6E-2</v>
      </c>
      <c r="H1371" s="24">
        <f t="shared" si="105"/>
        <v>127.98</v>
      </c>
      <c r="I1371" s="23" t="str">
        <f t="shared" si="106"/>
        <v>Match</v>
      </c>
      <c r="J1371" s="23" t="str">
        <f t="shared" si="107"/>
        <v>Match</v>
      </c>
      <c r="K1371" s="24">
        <f t="shared" si="108"/>
        <v>23.04</v>
      </c>
      <c r="L1371" s="24">
        <f t="shared" si="109"/>
        <v>0</v>
      </c>
    </row>
    <row r="1372" spans="1:12" ht="15" customHeight="1" x14ac:dyDescent="0.3">
      <c r="A1372" s="23" t="s">
        <v>14032</v>
      </c>
      <c r="B1372" s="23" t="s">
        <v>75</v>
      </c>
      <c r="C1372" s="39">
        <v>4097</v>
      </c>
      <c r="D1372" s="24">
        <v>12.29</v>
      </c>
      <c r="E1372" s="24">
        <v>2.21</v>
      </c>
      <c r="F1372" s="23">
        <f>COUNTIFS(mdr_rate_cleaned!$A$2:$A$10,B1372,mdr_rate_cleaned!$B$2:$B$10,"&lt;"&amp;C1372,mdr_rate_cleaned!$F$2:$F$10,"&gt;="&amp;C1372)</f>
        <v>1</v>
      </c>
      <c r="G1372" s="40">
        <f>SUMIFS(mdr_rate_cleaned!$G$2:$G$10,mdr_rate_cleaned!$A$2:$A$10,B1372,mdr_rate_cleaned!$B$2:$B$10,"&lt;"&amp;C1372,mdr_rate_cleaned!$F$2:$F$10,"&gt;="&amp;C1372)</f>
        <v>3.0000000000000001E-3</v>
      </c>
      <c r="H1372" s="24">
        <f t="shared" si="105"/>
        <v>12.29</v>
      </c>
      <c r="I1372" s="23" t="str">
        <f t="shared" si="106"/>
        <v>Match</v>
      </c>
      <c r="J1372" s="23" t="str">
        <f t="shared" si="107"/>
        <v>Match</v>
      </c>
      <c r="K1372" s="24">
        <f t="shared" si="108"/>
        <v>2.21</v>
      </c>
      <c r="L1372" s="24">
        <f t="shared" si="109"/>
        <v>0</v>
      </c>
    </row>
    <row r="1373" spans="1:12" ht="15" customHeight="1" x14ac:dyDescent="0.3">
      <c r="A1373" s="23" t="s">
        <v>14034</v>
      </c>
      <c r="B1373" s="23" t="s">
        <v>75</v>
      </c>
      <c r="C1373" s="39">
        <v>2497</v>
      </c>
      <c r="D1373" s="24">
        <v>7.49</v>
      </c>
      <c r="E1373" s="24">
        <v>1.35</v>
      </c>
      <c r="F1373" s="23">
        <f>COUNTIFS(mdr_rate_cleaned!$A$2:$A$10,B1373,mdr_rate_cleaned!$B$2:$B$10,"&lt;"&amp;C1373,mdr_rate_cleaned!$F$2:$F$10,"&gt;="&amp;C1373)</f>
        <v>1</v>
      </c>
      <c r="G1373" s="40">
        <f>SUMIFS(mdr_rate_cleaned!$G$2:$G$10,mdr_rate_cleaned!$A$2:$A$10,B1373,mdr_rate_cleaned!$B$2:$B$10,"&lt;"&amp;C1373,mdr_rate_cleaned!$F$2:$F$10,"&gt;="&amp;C1373)</f>
        <v>3.0000000000000001E-3</v>
      </c>
      <c r="H1373" s="24">
        <f t="shared" si="105"/>
        <v>7.49</v>
      </c>
      <c r="I1373" s="23" t="str">
        <f t="shared" si="106"/>
        <v>Match</v>
      </c>
      <c r="J1373" s="23" t="str">
        <f t="shared" si="107"/>
        <v>Match</v>
      </c>
      <c r="K1373" s="24">
        <f t="shared" si="108"/>
        <v>1.35</v>
      </c>
      <c r="L1373" s="24">
        <f t="shared" si="109"/>
        <v>0</v>
      </c>
    </row>
    <row r="1374" spans="1:12" ht="15" customHeight="1" x14ac:dyDescent="0.3">
      <c r="A1374" s="23" t="s">
        <v>14035</v>
      </c>
      <c r="B1374" s="23" t="s">
        <v>77</v>
      </c>
      <c r="C1374" s="39">
        <v>10998</v>
      </c>
      <c r="D1374" s="24">
        <v>186.97</v>
      </c>
      <c r="E1374" s="24">
        <v>33.65</v>
      </c>
      <c r="F1374" s="23">
        <f>COUNTIFS(mdr_rate_cleaned!$A$2:$A$10,B1374,mdr_rate_cleaned!$B$2:$B$10,"&lt;"&amp;C1374,mdr_rate_cleaned!$F$2:$F$10,"&gt;="&amp;C1374)</f>
        <v>1</v>
      </c>
      <c r="G1374" s="40">
        <f>SUMIFS(mdr_rate_cleaned!$G$2:$G$10,mdr_rate_cleaned!$A$2:$A$10,B1374,mdr_rate_cleaned!$B$2:$B$10,"&lt;"&amp;C1374,mdr_rate_cleaned!$F$2:$F$10,"&gt;="&amp;C1374)</f>
        <v>1.7000000000000001E-2</v>
      </c>
      <c r="H1374" s="24">
        <f t="shared" si="105"/>
        <v>186.97</v>
      </c>
      <c r="I1374" s="23" t="str">
        <f t="shared" si="106"/>
        <v>Match</v>
      </c>
      <c r="J1374" s="23" t="str">
        <f t="shared" si="107"/>
        <v>Match</v>
      </c>
      <c r="K1374" s="24">
        <f t="shared" si="108"/>
        <v>33.65</v>
      </c>
      <c r="L1374" s="24">
        <f t="shared" si="109"/>
        <v>0</v>
      </c>
    </row>
    <row r="1375" spans="1:12" ht="15" customHeight="1" x14ac:dyDescent="0.3">
      <c r="A1375" s="23" t="s">
        <v>14036</v>
      </c>
      <c r="B1375" s="23" t="s">
        <v>77</v>
      </c>
      <c r="C1375" s="39">
        <v>5798</v>
      </c>
      <c r="D1375" s="24">
        <v>98.57</v>
      </c>
      <c r="E1375" s="24">
        <v>17.739999999999998</v>
      </c>
      <c r="F1375" s="23">
        <f>COUNTIFS(mdr_rate_cleaned!$A$2:$A$10,B1375,mdr_rate_cleaned!$B$2:$B$10,"&lt;"&amp;C1375,mdr_rate_cleaned!$F$2:$F$10,"&gt;="&amp;C1375)</f>
        <v>1</v>
      </c>
      <c r="G1375" s="40">
        <f>SUMIFS(mdr_rate_cleaned!$G$2:$G$10,mdr_rate_cleaned!$A$2:$A$10,B1375,mdr_rate_cleaned!$B$2:$B$10,"&lt;"&amp;C1375,mdr_rate_cleaned!$F$2:$F$10,"&gt;="&amp;C1375)</f>
        <v>1.7000000000000001E-2</v>
      </c>
      <c r="H1375" s="24">
        <f t="shared" si="105"/>
        <v>98.57</v>
      </c>
      <c r="I1375" s="23" t="str">
        <f t="shared" si="106"/>
        <v>Match</v>
      </c>
      <c r="J1375" s="23" t="str">
        <f t="shared" si="107"/>
        <v>Match</v>
      </c>
      <c r="K1375" s="24">
        <f t="shared" si="108"/>
        <v>17.739999999999998</v>
      </c>
      <c r="L1375" s="24">
        <f t="shared" si="109"/>
        <v>0</v>
      </c>
    </row>
    <row r="1376" spans="1:12" ht="15" customHeight="1" x14ac:dyDescent="0.3">
      <c r="A1376" s="23" t="s">
        <v>14038</v>
      </c>
      <c r="B1376" s="23" t="s">
        <v>75</v>
      </c>
      <c r="C1376" s="39">
        <v>10097</v>
      </c>
      <c r="D1376" s="24">
        <v>30.29</v>
      </c>
      <c r="E1376" s="24">
        <v>5.45</v>
      </c>
      <c r="F1376" s="23">
        <f>COUNTIFS(mdr_rate_cleaned!$A$2:$A$10,B1376,mdr_rate_cleaned!$B$2:$B$10,"&lt;"&amp;C1376,mdr_rate_cleaned!$F$2:$F$10,"&gt;="&amp;C1376)</f>
        <v>1</v>
      </c>
      <c r="G1376" s="40">
        <f>SUMIFS(mdr_rate_cleaned!$G$2:$G$10,mdr_rate_cleaned!$A$2:$A$10,B1376,mdr_rate_cleaned!$B$2:$B$10,"&lt;"&amp;C1376,mdr_rate_cleaned!$F$2:$F$10,"&gt;="&amp;C1376)</f>
        <v>3.0000000000000001E-3</v>
      </c>
      <c r="H1376" s="24">
        <f t="shared" si="105"/>
        <v>30.29</v>
      </c>
      <c r="I1376" s="23" t="str">
        <f t="shared" si="106"/>
        <v>Match</v>
      </c>
      <c r="J1376" s="23" t="str">
        <f t="shared" si="107"/>
        <v>Match</v>
      </c>
      <c r="K1376" s="24">
        <f t="shared" si="108"/>
        <v>5.45</v>
      </c>
      <c r="L1376" s="24">
        <f t="shared" si="109"/>
        <v>0</v>
      </c>
    </row>
    <row r="1377" spans="1:12" ht="15" customHeight="1" x14ac:dyDescent="0.3">
      <c r="A1377" s="23" t="s">
        <v>14039</v>
      </c>
      <c r="B1377" s="23" t="s">
        <v>79</v>
      </c>
      <c r="C1377" s="39">
        <v>999</v>
      </c>
      <c r="D1377" s="24">
        <v>17.98</v>
      </c>
      <c r="E1377" s="24">
        <v>3.24</v>
      </c>
      <c r="F1377" s="23">
        <f>COUNTIFS(mdr_rate_cleaned!$A$2:$A$10,B1377,mdr_rate_cleaned!$B$2:$B$10,"&lt;"&amp;C1377,mdr_rate_cleaned!$F$2:$F$10,"&gt;="&amp;C1377)</f>
        <v>1</v>
      </c>
      <c r="G1377" s="40">
        <f>SUMIFS(mdr_rate_cleaned!$G$2:$G$10,mdr_rate_cleaned!$A$2:$A$10,B1377,mdr_rate_cleaned!$B$2:$B$10,"&lt;"&amp;C1377,mdr_rate_cleaned!$F$2:$F$10,"&gt;="&amp;C1377)</f>
        <v>1.8000000000000002E-2</v>
      </c>
      <c r="H1377" s="24">
        <f t="shared" si="105"/>
        <v>17.98</v>
      </c>
      <c r="I1377" s="23" t="str">
        <f t="shared" si="106"/>
        <v>Match</v>
      </c>
      <c r="J1377" s="23" t="str">
        <f t="shared" si="107"/>
        <v>Match</v>
      </c>
      <c r="K1377" s="24">
        <f t="shared" si="108"/>
        <v>3.24</v>
      </c>
      <c r="L1377" s="24">
        <f t="shared" si="109"/>
        <v>0</v>
      </c>
    </row>
    <row r="1378" spans="1:12" ht="15" customHeight="1" x14ac:dyDescent="0.3">
      <c r="A1378" s="23" t="s">
        <v>14040</v>
      </c>
      <c r="B1378" s="23" t="s">
        <v>75</v>
      </c>
      <c r="C1378" s="39">
        <v>5998</v>
      </c>
      <c r="D1378" s="24">
        <v>17.989999999999998</v>
      </c>
      <c r="E1378" s="24">
        <v>3.24</v>
      </c>
      <c r="F1378" s="23">
        <f>COUNTIFS(mdr_rate_cleaned!$A$2:$A$10,B1378,mdr_rate_cleaned!$B$2:$B$10,"&lt;"&amp;C1378,mdr_rate_cleaned!$F$2:$F$10,"&gt;="&amp;C1378)</f>
        <v>1</v>
      </c>
      <c r="G1378" s="40">
        <f>SUMIFS(mdr_rate_cleaned!$G$2:$G$10,mdr_rate_cleaned!$A$2:$A$10,B1378,mdr_rate_cleaned!$B$2:$B$10,"&lt;"&amp;C1378,mdr_rate_cleaned!$F$2:$F$10,"&gt;="&amp;C1378)</f>
        <v>3.0000000000000001E-3</v>
      </c>
      <c r="H1378" s="24">
        <f t="shared" si="105"/>
        <v>17.989999999999998</v>
      </c>
      <c r="I1378" s="23" t="str">
        <f t="shared" si="106"/>
        <v>Match</v>
      </c>
      <c r="J1378" s="23" t="str">
        <f t="shared" si="107"/>
        <v>Match</v>
      </c>
      <c r="K1378" s="24">
        <f t="shared" si="108"/>
        <v>3.24</v>
      </c>
      <c r="L1378" s="24">
        <f t="shared" si="109"/>
        <v>0</v>
      </c>
    </row>
    <row r="1379" spans="1:12" ht="15" customHeight="1" x14ac:dyDescent="0.3">
      <c r="A1379" s="23" t="s">
        <v>14042</v>
      </c>
      <c r="B1379" s="23" t="s">
        <v>79</v>
      </c>
      <c r="C1379" s="39">
        <v>4999</v>
      </c>
      <c r="D1379" s="24">
        <v>79.98</v>
      </c>
      <c r="E1379" s="24">
        <v>14.4</v>
      </c>
      <c r="F1379" s="23">
        <f>COUNTIFS(mdr_rate_cleaned!$A$2:$A$10,B1379,mdr_rate_cleaned!$B$2:$B$10,"&lt;"&amp;C1379,mdr_rate_cleaned!$F$2:$F$10,"&gt;="&amp;C1379)</f>
        <v>1</v>
      </c>
      <c r="G1379" s="40">
        <f>SUMIFS(mdr_rate_cleaned!$G$2:$G$10,mdr_rate_cleaned!$A$2:$A$10,B1379,mdr_rate_cleaned!$B$2:$B$10,"&lt;"&amp;C1379,mdr_rate_cleaned!$F$2:$F$10,"&gt;="&amp;C1379)</f>
        <v>1.6E-2</v>
      </c>
      <c r="H1379" s="24">
        <f t="shared" si="105"/>
        <v>79.98</v>
      </c>
      <c r="I1379" s="23" t="str">
        <f t="shared" si="106"/>
        <v>Match</v>
      </c>
      <c r="J1379" s="23" t="str">
        <f t="shared" si="107"/>
        <v>Match</v>
      </c>
      <c r="K1379" s="24">
        <f t="shared" si="108"/>
        <v>14.4</v>
      </c>
      <c r="L1379" s="24">
        <f t="shared" si="109"/>
        <v>0</v>
      </c>
    </row>
    <row r="1380" spans="1:12" ht="15" customHeight="1" x14ac:dyDescent="0.3">
      <c r="A1380" s="23" t="s">
        <v>14044</v>
      </c>
      <c r="B1380" s="23" t="s">
        <v>75</v>
      </c>
      <c r="C1380" s="39">
        <v>4999</v>
      </c>
      <c r="D1380" s="24">
        <v>15</v>
      </c>
      <c r="E1380" s="24">
        <v>2.7</v>
      </c>
      <c r="F1380" s="23">
        <f>COUNTIFS(mdr_rate_cleaned!$A$2:$A$10,B1380,mdr_rate_cleaned!$B$2:$B$10,"&lt;"&amp;C1380,mdr_rate_cleaned!$F$2:$F$10,"&gt;="&amp;C1380)</f>
        <v>1</v>
      </c>
      <c r="G1380" s="40">
        <f>SUMIFS(mdr_rate_cleaned!$G$2:$G$10,mdr_rate_cleaned!$A$2:$A$10,B1380,mdr_rate_cleaned!$B$2:$B$10,"&lt;"&amp;C1380,mdr_rate_cleaned!$F$2:$F$10,"&gt;="&amp;C1380)</f>
        <v>3.0000000000000001E-3</v>
      </c>
      <c r="H1380" s="24">
        <f t="shared" si="105"/>
        <v>15</v>
      </c>
      <c r="I1380" s="23" t="str">
        <f t="shared" si="106"/>
        <v>Match</v>
      </c>
      <c r="J1380" s="23" t="str">
        <f t="shared" si="107"/>
        <v>Match</v>
      </c>
      <c r="K1380" s="24">
        <f t="shared" si="108"/>
        <v>2.7</v>
      </c>
      <c r="L1380" s="24">
        <f t="shared" si="109"/>
        <v>0</v>
      </c>
    </row>
    <row r="1381" spans="1:12" ht="15" customHeight="1" x14ac:dyDescent="0.3">
      <c r="A1381" s="23" t="s">
        <v>14045</v>
      </c>
      <c r="B1381" s="23" t="s">
        <v>81</v>
      </c>
      <c r="C1381" s="39">
        <v>2397</v>
      </c>
      <c r="D1381" s="24">
        <v>28.76</v>
      </c>
      <c r="E1381" s="24">
        <v>5.18</v>
      </c>
      <c r="F1381" s="23">
        <f>COUNTIFS(mdr_rate_cleaned!$A$2:$A$10,B1381,mdr_rate_cleaned!$B$2:$B$10,"&lt;"&amp;C1381,mdr_rate_cleaned!$F$2:$F$10,"&gt;="&amp;C1381)</f>
        <v>1</v>
      </c>
      <c r="G1381" s="40">
        <f>SUMIFS(mdr_rate_cleaned!$G$2:$G$10,mdr_rate_cleaned!$A$2:$A$10,B1381,mdr_rate_cleaned!$B$2:$B$10,"&lt;"&amp;C1381,mdr_rate_cleaned!$F$2:$F$10,"&gt;="&amp;C1381)</f>
        <v>1.2E-2</v>
      </c>
      <c r="H1381" s="24">
        <f t="shared" si="105"/>
        <v>28.76</v>
      </c>
      <c r="I1381" s="23" t="str">
        <f t="shared" si="106"/>
        <v>Match</v>
      </c>
      <c r="J1381" s="23" t="str">
        <f t="shared" si="107"/>
        <v>Match</v>
      </c>
      <c r="K1381" s="24">
        <f t="shared" si="108"/>
        <v>5.18</v>
      </c>
      <c r="L1381" s="24">
        <f t="shared" si="109"/>
        <v>0</v>
      </c>
    </row>
    <row r="1382" spans="1:12" ht="15" customHeight="1" x14ac:dyDescent="0.3">
      <c r="A1382" s="23" t="s">
        <v>14046</v>
      </c>
      <c r="B1382" s="23" t="s">
        <v>81</v>
      </c>
      <c r="C1382" s="39">
        <v>11498</v>
      </c>
      <c r="D1382" s="24">
        <v>103.48</v>
      </c>
      <c r="E1382" s="24">
        <v>18.63</v>
      </c>
      <c r="F1382" s="23">
        <f>COUNTIFS(mdr_rate_cleaned!$A$2:$A$10,B1382,mdr_rate_cleaned!$B$2:$B$10,"&lt;"&amp;C1382,mdr_rate_cleaned!$F$2:$F$10,"&gt;="&amp;C1382)</f>
        <v>1</v>
      </c>
      <c r="G1382" s="40">
        <f>SUMIFS(mdr_rate_cleaned!$G$2:$G$10,mdr_rate_cleaned!$A$2:$A$10,B1382,mdr_rate_cleaned!$B$2:$B$10,"&lt;"&amp;C1382,mdr_rate_cleaned!$F$2:$F$10,"&gt;="&amp;C1382)</f>
        <v>9.0000000000000011E-3</v>
      </c>
      <c r="H1382" s="24">
        <f t="shared" si="105"/>
        <v>103.48</v>
      </c>
      <c r="I1382" s="23" t="str">
        <f t="shared" si="106"/>
        <v>Match</v>
      </c>
      <c r="J1382" s="23" t="str">
        <f t="shared" si="107"/>
        <v>Match</v>
      </c>
      <c r="K1382" s="24">
        <f t="shared" si="108"/>
        <v>18.63</v>
      </c>
      <c r="L1382" s="24">
        <f t="shared" si="109"/>
        <v>0</v>
      </c>
    </row>
    <row r="1383" spans="1:12" ht="15" customHeight="1" x14ac:dyDescent="0.3">
      <c r="A1383" s="23" t="s">
        <v>14047</v>
      </c>
      <c r="B1383" s="23" t="s">
        <v>75</v>
      </c>
      <c r="C1383" s="39">
        <v>3499</v>
      </c>
      <c r="D1383" s="24">
        <v>10.5</v>
      </c>
      <c r="E1383" s="24">
        <v>1.89</v>
      </c>
      <c r="F1383" s="23">
        <f>COUNTIFS(mdr_rate_cleaned!$A$2:$A$10,B1383,mdr_rate_cleaned!$B$2:$B$10,"&lt;"&amp;C1383,mdr_rate_cleaned!$F$2:$F$10,"&gt;="&amp;C1383)</f>
        <v>1</v>
      </c>
      <c r="G1383" s="40">
        <f>SUMIFS(mdr_rate_cleaned!$G$2:$G$10,mdr_rate_cleaned!$A$2:$A$10,B1383,mdr_rate_cleaned!$B$2:$B$10,"&lt;"&amp;C1383,mdr_rate_cleaned!$F$2:$F$10,"&gt;="&amp;C1383)</f>
        <v>3.0000000000000001E-3</v>
      </c>
      <c r="H1383" s="24">
        <f t="shared" si="105"/>
        <v>10.5</v>
      </c>
      <c r="I1383" s="23" t="str">
        <f t="shared" si="106"/>
        <v>Match</v>
      </c>
      <c r="J1383" s="23" t="str">
        <f t="shared" si="107"/>
        <v>Match</v>
      </c>
      <c r="K1383" s="24">
        <f t="shared" si="108"/>
        <v>1.89</v>
      </c>
      <c r="L1383" s="24">
        <f t="shared" si="109"/>
        <v>0</v>
      </c>
    </row>
    <row r="1384" spans="1:12" ht="15" customHeight="1" x14ac:dyDescent="0.3">
      <c r="A1384" s="23" t="s">
        <v>14048</v>
      </c>
      <c r="B1384" s="23" t="s">
        <v>75</v>
      </c>
      <c r="C1384" s="39">
        <v>1299</v>
      </c>
      <c r="D1384" s="24">
        <v>0</v>
      </c>
      <c r="E1384" s="24">
        <v>0</v>
      </c>
      <c r="F1384" s="23">
        <f>COUNTIFS(mdr_rate_cleaned!$A$2:$A$10,B1384,mdr_rate_cleaned!$B$2:$B$10,"&lt;"&amp;C1384,mdr_rate_cleaned!$F$2:$F$10,"&gt;="&amp;C1384)</f>
        <v>1</v>
      </c>
      <c r="G1384" s="40">
        <f>SUMIFS(mdr_rate_cleaned!$G$2:$G$10,mdr_rate_cleaned!$A$2:$A$10,B1384,mdr_rate_cleaned!$B$2:$B$10,"&lt;"&amp;C1384,mdr_rate_cleaned!$F$2:$F$10,"&gt;="&amp;C1384)</f>
        <v>0</v>
      </c>
      <c r="H1384" s="24">
        <f t="shared" si="105"/>
        <v>0</v>
      </c>
      <c r="I1384" s="23" t="str">
        <f t="shared" si="106"/>
        <v>Match</v>
      </c>
      <c r="J1384" s="23" t="str">
        <f t="shared" si="107"/>
        <v>Match</v>
      </c>
      <c r="K1384" s="24">
        <f t="shared" si="108"/>
        <v>0</v>
      </c>
      <c r="L1384" s="24">
        <f t="shared" si="109"/>
        <v>0</v>
      </c>
    </row>
    <row r="1385" spans="1:12" ht="15" customHeight="1" x14ac:dyDescent="0.3">
      <c r="A1385" s="23" t="s">
        <v>14049</v>
      </c>
      <c r="B1385" s="23" t="s">
        <v>75</v>
      </c>
      <c r="C1385" s="39">
        <v>5348</v>
      </c>
      <c r="D1385" s="24">
        <v>16.04</v>
      </c>
      <c r="E1385" s="24">
        <v>2.89</v>
      </c>
      <c r="F1385" s="23">
        <f>COUNTIFS(mdr_rate_cleaned!$A$2:$A$10,B1385,mdr_rate_cleaned!$B$2:$B$10,"&lt;"&amp;C1385,mdr_rate_cleaned!$F$2:$F$10,"&gt;="&amp;C1385)</f>
        <v>1</v>
      </c>
      <c r="G1385" s="40">
        <f>SUMIFS(mdr_rate_cleaned!$G$2:$G$10,mdr_rate_cleaned!$A$2:$A$10,B1385,mdr_rate_cleaned!$B$2:$B$10,"&lt;"&amp;C1385,mdr_rate_cleaned!$F$2:$F$10,"&gt;="&amp;C1385)</f>
        <v>3.0000000000000001E-3</v>
      </c>
      <c r="H1385" s="24">
        <f t="shared" si="105"/>
        <v>16.04</v>
      </c>
      <c r="I1385" s="23" t="str">
        <f t="shared" si="106"/>
        <v>Match</v>
      </c>
      <c r="J1385" s="23" t="str">
        <f t="shared" si="107"/>
        <v>Match</v>
      </c>
      <c r="K1385" s="24">
        <f t="shared" si="108"/>
        <v>2.89</v>
      </c>
      <c r="L1385" s="24">
        <f t="shared" si="109"/>
        <v>0</v>
      </c>
    </row>
    <row r="1386" spans="1:12" ht="15" customHeight="1" x14ac:dyDescent="0.3">
      <c r="A1386" s="23" t="s">
        <v>14050</v>
      </c>
      <c r="B1386" s="23" t="s">
        <v>79</v>
      </c>
      <c r="C1386" s="39">
        <v>2999</v>
      </c>
      <c r="D1386" s="24">
        <v>47.98</v>
      </c>
      <c r="E1386" s="24">
        <v>8.64</v>
      </c>
      <c r="F1386" s="23">
        <f>COUNTIFS(mdr_rate_cleaned!$A$2:$A$10,B1386,mdr_rate_cleaned!$B$2:$B$10,"&lt;"&amp;C1386,mdr_rate_cleaned!$F$2:$F$10,"&gt;="&amp;C1386)</f>
        <v>1</v>
      </c>
      <c r="G1386" s="40">
        <f>SUMIFS(mdr_rate_cleaned!$G$2:$G$10,mdr_rate_cleaned!$A$2:$A$10,B1386,mdr_rate_cleaned!$B$2:$B$10,"&lt;"&amp;C1386,mdr_rate_cleaned!$F$2:$F$10,"&gt;="&amp;C1386)</f>
        <v>1.6E-2</v>
      </c>
      <c r="H1386" s="24">
        <f t="shared" si="105"/>
        <v>47.98</v>
      </c>
      <c r="I1386" s="23" t="str">
        <f t="shared" si="106"/>
        <v>Match</v>
      </c>
      <c r="J1386" s="23" t="str">
        <f t="shared" si="107"/>
        <v>Match</v>
      </c>
      <c r="K1386" s="24">
        <f t="shared" si="108"/>
        <v>8.64</v>
      </c>
      <c r="L1386" s="24">
        <f t="shared" si="109"/>
        <v>0</v>
      </c>
    </row>
    <row r="1387" spans="1:12" ht="15" customHeight="1" x14ac:dyDescent="0.3">
      <c r="A1387" s="23" t="s">
        <v>14052</v>
      </c>
      <c r="B1387" s="23" t="s">
        <v>77</v>
      </c>
      <c r="C1387" s="39">
        <v>7999</v>
      </c>
      <c r="D1387" s="24">
        <v>135.97999999999999</v>
      </c>
      <c r="E1387" s="24">
        <v>24.48</v>
      </c>
      <c r="F1387" s="23">
        <f>COUNTIFS(mdr_rate_cleaned!$A$2:$A$10,B1387,mdr_rate_cleaned!$B$2:$B$10,"&lt;"&amp;C1387,mdr_rate_cleaned!$F$2:$F$10,"&gt;="&amp;C1387)</f>
        <v>1</v>
      </c>
      <c r="G1387" s="40">
        <f>SUMIFS(mdr_rate_cleaned!$G$2:$G$10,mdr_rate_cleaned!$A$2:$A$10,B1387,mdr_rate_cleaned!$B$2:$B$10,"&lt;"&amp;C1387,mdr_rate_cleaned!$F$2:$F$10,"&gt;="&amp;C1387)</f>
        <v>1.7000000000000001E-2</v>
      </c>
      <c r="H1387" s="24">
        <f t="shared" si="105"/>
        <v>135.97999999999999</v>
      </c>
      <c r="I1387" s="23" t="str">
        <f t="shared" si="106"/>
        <v>Match</v>
      </c>
      <c r="J1387" s="23" t="str">
        <f t="shared" si="107"/>
        <v>Match</v>
      </c>
      <c r="K1387" s="24">
        <f t="shared" si="108"/>
        <v>24.48</v>
      </c>
      <c r="L1387" s="24">
        <f t="shared" si="109"/>
        <v>0</v>
      </c>
    </row>
    <row r="1388" spans="1:12" ht="15" customHeight="1" x14ac:dyDescent="0.3">
      <c r="A1388" s="23" t="s">
        <v>14053</v>
      </c>
      <c r="B1388" s="23" t="s">
        <v>79</v>
      </c>
      <c r="C1388" s="39">
        <v>2999</v>
      </c>
      <c r="D1388" s="24">
        <v>47.98</v>
      </c>
      <c r="E1388" s="24">
        <v>8.64</v>
      </c>
      <c r="F1388" s="23">
        <f>COUNTIFS(mdr_rate_cleaned!$A$2:$A$10,B1388,mdr_rate_cleaned!$B$2:$B$10,"&lt;"&amp;C1388,mdr_rate_cleaned!$F$2:$F$10,"&gt;="&amp;C1388)</f>
        <v>1</v>
      </c>
      <c r="G1388" s="40">
        <f>SUMIFS(mdr_rate_cleaned!$G$2:$G$10,mdr_rate_cleaned!$A$2:$A$10,B1388,mdr_rate_cleaned!$B$2:$B$10,"&lt;"&amp;C1388,mdr_rate_cleaned!$F$2:$F$10,"&gt;="&amp;C1388)</f>
        <v>1.6E-2</v>
      </c>
      <c r="H1388" s="24">
        <f t="shared" si="105"/>
        <v>47.98</v>
      </c>
      <c r="I1388" s="23" t="str">
        <f t="shared" si="106"/>
        <v>Match</v>
      </c>
      <c r="J1388" s="23" t="str">
        <f t="shared" si="107"/>
        <v>Match</v>
      </c>
      <c r="K1388" s="24">
        <f t="shared" si="108"/>
        <v>8.64</v>
      </c>
      <c r="L1388" s="24">
        <f t="shared" si="109"/>
        <v>0</v>
      </c>
    </row>
    <row r="1389" spans="1:12" ht="15" customHeight="1" x14ac:dyDescent="0.3">
      <c r="A1389" s="23" t="s">
        <v>14054</v>
      </c>
      <c r="B1389" s="23" t="s">
        <v>75</v>
      </c>
      <c r="C1389" s="39">
        <v>2597</v>
      </c>
      <c r="D1389" s="24">
        <v>7.79</v>
      </c>
      <c r="E1389" s="24">
        <v>1.4</v>
      </c>
      <c r="F1389" s="23">
        <f>COUNTIFS(mdr_rate_cleaned!$A$2:$A$10,B1389,mdr_rate_cleaned!$B$2:$B$10,"&lt;"&amp;C1389,mdr_rate_cleaned!$F$2:$F$10,"&gt;="&amp;C1389)</f>
        <v>1</v>
      </c>
      <c r="G1389" s="40">
        <f>SUMIFS(mdr_rate_cleaned!$G$2:$G$10,mdr_rate_cleaned!$A$2:$A$10,B1389,mdr_rate_cleaned!$B$2:$B$10,"&lt;"&amp;C1389,mdr_rate_cleaned!$F$2:$F$10,"&gt;="&amp;C1389)</f>
        <v>3.0000000000000001E-3</v>
      </c>
      <c r="H1389" s="24">
        <f t="shared" si="105"/>
        <v>7.79</v>
      </c>
      <c r="I1389" s="23" t="str">
        <f t="shared" si="106"/>
        <v>Match</v>
      </c>
      <c r="J1389" s="23" t="str">
        <f t="shared" si="107"/>
        <v>Match</v>
      </c>
      <c r="K1389" s="24">
        <f t="shared" si="108"/>
        <v>1.4</v>
      </c>
      <c r="L1389" s="24">
        <f t="shared" si="109"/>
        <v>0</v>
      </c>
    </row>
    <row r="1390" spans="1:12" ht="15" customHeight="1" x14ac:dyDescent="0.3">
      <c r="A1390" s="23" t="s">
        <v>14055</v>
      </c>
      <c r="B1390" s="23" t="s">
        <v>75</v>
      </c>
      <c r="C1390" s="39">
        <v>4297</v>
      </c>
      <c r="D1390" s="24">
        <v>12.89</v>
      </c>
      <c r="E1390" s="24">
        <v>2.3199999999999998</v>
      </c>
      <c r="F1390" s="23">
        <f>COUNTIFS(mdr_rate_cleaned!$A$2:$A$10,B1390,mdr_rate_cleaned!$B$2:$B$10,"&lt;"&amp;C1390,mdr_rate_cleaned!$F$2:$F$10,"&gt;="&amp;C1390)</f>
        <v>1</v>
      </c>
      <c r="G1390" s="40">
        <f>SUMIFS(mdr_rate_cleaned!$G$2:$G$10,mdr_rate_cleaned!$A$2:$A$10,B1390,mdr_rate_cleaned!$B$2:$B$10,"&lt;"&amp;C1390,mdr_rate_cleaned!$F$2:$F$10,"&gt;="&amp;C1390)</f>
        <v>3.0000000000000001E-3</v>
      </c>
      <c r="H1390" s="24">
        <f t="shared" si="105"/>
        <v>12.89</v>
      </c>
      <c r="I1390" s="23" t="str">
        <f t="shared" si="106"/>
        <v>Match</v>
      </c>
      <c r="J1390" s="23" t="str">
        <f t="shared" si="107"/>
        <v>Match</v>
      </c>
      <c r="K1390" s="24">
        <f t="shared" si="108"/>
        <v>2.3199999999999998</v>
      </c>
      <c r="L1390" s="24">
        <f t="shared" si="109"/>
        <v>0</v>
      </c>
    </row>
    <row r="1391" spans="1:12" ht="15" customHeight="1" x14ac:dyDescent="0.3">
      <c r="A1391" s="23" t="s">
        <v>14056</v>
      </c>
      <c r="B1391" s="23" t="s">
        <v>75</v>
      </c>
      <c r="C1391" s="39">
        <v>6498</v>
      </c>
      <c r="D1391" s="24">
        <v>19.489999999999998</v>
      </c>
      <c r="E1391" s="24">
        <v>3.51</v>
      </c>
      <c r="F1391" s="23">
        <f>COUNTIFS(mdr_rate_cleaned!$A$2:$A$10,B1391,mdr_rate_cleaned!$B$2:$B$10,"&lt;"&amp;C1391,mdr_rate_cleaned!$F$2:$F$10,"&gt;="&amp;C1391)</f>
        <v>1</v>
      </c>
      <c r="G1391" s="40">
        <f>SUMIFS(mdr_rate_cleaned!$G$2:$G$10,mdr_rate_cleaned!$A$2:$A$10,B1391,mdr_rate_cleaned!$B$2:$B$10,"&lt;"&amp;C1391,mdr_rate_cleaned!$F$2:$F$10,"&gt;="&amp;C1391)</f>
        <v>3.0000000000000001E-3</v>
      </c>
      <c r="H1391" s="24">
        <f t="shared" si="105"/>
        <v>19.489999999999998</v>
      </c>
      <c r="I1391" s="23" t="str">
        <f t="shared" si="106"/>
        <v>Match</v>
      </c>
      <c r="J1391" s="23" t="str">
        <f t="shared" si="107"/>
        <v>Match</v>
      </c>
      <c r="K1391" s="24">
        <f t="shared" si="108"/>
        <v>3.51</v>
      </c>
      <c r="L1391" s="24">
        <f t="shared" si="109"/>
        <v>0</v>
      </c>
    </row>
    <row r="1392" spans="1:12" ht="15" customHeight="1" x14ac:dyDescent="0.3">
      <c r="A1392" s="23" t="s">
        <v>14057</v>
      </c>
      <c r="B1392" s="23" t="s">
        <v>75</v>
      </c>
      <c r="C1392" s="39">
        <v>1499</v>
      </c>
      <c r="D1392" s="24">
        <v>0</v>
      </c>
      <c r="E1392" s="24">
        <v>0</v>
      </c>
      <c r="F1392" s="23">
        <f>COUNTIFS(mdr_rate_cleaned!$A$2:$A$10,B1392,mdr_rate_cleaned!$B$2:$B$10,"&lt;"&amp;C1392,mdr_rate_cleaned!$F$2:$F$10,"&gt;="&amp;C1392)</f>
        <v>1</v>
      </c>
      <c r="G1392" s="40">
        <f>SUMIFS(mdr_rate_cleaned!$G$2:$G$10,mdr_rate_cleaned!$A$2:$A$10,B1392,mdr_rate_cleaned!$B$2:$B$10,"&lt;"&amp;C1392,mdr_rate_cleaned!$F$2:$F$10,"&gt;="&amp;C1392)</f>
        <v>0</v>
      </c>
      <c r="H1392" s="24">
        <f t="shared" si="105"/>
        <v>0</v>
      </c>
      <c r="I1392" s="23" t="str">
        <f t="shared" si="106"/>
        <v>Match</v>
      </c>
      <c r="J1392" s="23" t="str">
        <f t="shared" si="107"/>
        <v>Match</v>
      </c>
      <c r="K1392" s="24">
        <f t="shared" si="108"/>
        <v>0</v>
      </c>
      <c r="L1392" s="24">
        <f t="shared" si="109"/>
        <v>0</v>
      </c>
    </row>
    <row r="1393" spans="1:12" ht="15" customHeight="1" x14ac:dyDescent="0.3">
      <c r="A1393" s="23" t="s">
        <v>14059</v>
      </c>
      <c r="B1393" s="23" t="s">
        <v>75</v>
      </c>
      <c r="C1393" s="39">
        <v>1499</v>
      </c>
      <c r="D1393" s="24">
        <v>0</v>
      </c>
      <c r="E1393" s="24">
        <v>0</v>
      </c>
      <c r="F1393" s="23">
        <f>COUNTIFS(mdr_rate_cleaned!$A$2:$A$10,B1393,mdr_rate_cleaned!$B$2:$B$10,"&lt;"&amp;C1393,mdr_rate_cleaned!$F$2:$F$10,"&gt;="&amp;C1393)</f>
        <v>1</v>
      </c>
      <c r="G1393" s="40">
        <f>SUMIFS(mdr_rate_cleaned!$G$2:$G$10,mdr_rate_cleaned!$A$2:$A$10,B1393,mdr_rate_cleaned!$B$2:$B$10,"&lt;"&amp;C1393,mdr_rate_cleaned!$F$2:$F$10,"&gt;="&amp;C1393)</f>
        <v>0</v>
      </c>
      <c r="H1393" s="24">
        <f t="shared" si="105"/>
        <v>0</v>
      </c>
      <c r="I1393" s="23" t="str">
        <f t="shared" si="106"/>
        <v>Match</v>
      </c>
      <c r="J1393" s="23" t="str">
        <f t="shared" si="107"/>
        <v>Match</v>
      </c>
      <c r="K1393" s="24">
        <f t="shared" si="108"/>
        <v>0</v>
      </c>
      <c r="L1393" s="24">
        <f t="shared" si="109"/>
        <v>0</v>
      </c>
    </row>
    <row r="1394" spans="1:12" ht="15" customHeight="1" x14ac:dyDescent="0.3">
      <c r="A1394" s="23" t="s">
        <v>14060</v>
      </c>
      <c r="B1394" s="23" t="s">
        <v>75</v>
      </c>
      <c r="C1394" s="39">
        <v>799</v>
      </c>
      <c r="D1394" s="24">
        <v>0</v>
      </c>
      <c r="E1394" s="24">
        <v>0</v>
      </c>
      <c r="F1394" s="23">
        <f>COUNTIFS(mdr_rate_cleaned!$A$2:$A$10,B1394,mdr_rate_cleaned!$B$2:$B$10,"&lt;"&amp;C1394,mdr_rate_cleaned!$F$2:$F$10,"&gt;="&amp;C1394)</f>
        <v>1</v>
      </c>
      <c r="G1394" s="40">
        <f>SUMIFS(mdr_rate_cleaned!$G$2:$G$10,mdr_rate_cleaned!$A$2:$A$10,B1394,mdr_rate_cleaned!$B$2:$B$10,"&lt;"&amp;C1394,mdr_rate_cleaned!$F$2:$F$10,"&gt;="&amp;C1394)</f>
        <v>0</v>
      </c>
      <c r="H1394" s="24">
        <f t="shared" si="105"/>
        <v>0</v>
      </c>
      <c r="I1394" s="23" t="str">
        <f t="shared" si="106"/>
        <v>Match</v>
      </c>
      <c r="J1394" s="23" t="str">
        <f t="shared" si="107"/>
        <v>Match</v>
      </c>
      <c r="K1394" s="24">
        <f t="shared" si="108"/>
        <v>0</v>
      </c>
      <c r="L1394" s="24">
        <f t="shared" si="109"/>
        <v>0</v>
      </c>
    </row>
    <row r="1395" spans="1:12" ht="15" customHeight="1" x14ac:dyDescent="0.3">
      <c r="A1395" s="23" t="s">
        <v>14061</v>
      </c>
      <c r="B1395" s="23" t="s">
        <v>79</v>
      </c>
      <c r="C1395" s="39">
        <v>4999</v>
      </c>
      <c r="D1395" s="24">
        <v>79.98</v>
      </c>
      <c r="E1395" s="24">
        <v>14.4</v>
      </c>
      <c r="F1395" s="23">
        <f>COUNTIFS(mdr_rate_cleaned!$A$2:$A$10,B1395,mdr_rate_cleaned!$B$2:$B$10,"&lt;"&amp;C1395,mdr_rate_cleaned!$F$2:$F$10,"&gt;="&amp;C1395)</f>
        <v>1</v>
      </c>
      <c r="G1395" s="40">
        <f>SUMIFS(mdr_rate_cleaned!$G$2:$G$10,mdr_rate_cleaned!$A$2:$A$10,B1395,mdr_rate_cleaned!$B$2:$B$10,"&lt;"&amp;C1395,mdr_rate_cleaned!$F$2:$F$10,"&gt;="&amp;C1395)</f>
        <v>1.6E-2</v>
      </c>
      <c r="H1395" s="24">
        <f t="shared" si="105"/>
        <v>79.98</v>
      </c>
      <c r="I1395" s="23" t="str">
        <f t="shared" si="106"/>
        <v>Match</v>
      </c>
      <c r="J1395" s="23" t="str">
        <f t="shared" si="107"/>
        <v>Match</v>
      </c>
      <c r="K1395" s="24">
        <f t="shared" si="108"/>
        <v>14.4</v>
      </c>
      <c r="L1395" s="24">
        <f t="shared" si="109"/>
        <v>0</v>
      </c>
    </row>
    <row r="1396" spans="1:12" ht="15" customHeight="1" x14ac:dyDescent="0.3">
      <c r="A1396" s="23" t="s">
        <v>14062</v>
      </c>
      <c r="B1396" s="23" t="s">
        <v>77</v>
      </c>
      <c r="C1396" s="39">
        <v>5798</v>
      </c>
      <c r="D1396" s="24">
        <v>98.57</v>
      </c>
      <c r="E1396" s="24">
        <v>17.739999999999998</v>
      </c>
      <c r="F1396" s="23">
        <f>COUNTIFS(mdr_rate_cleaned!$A$2:$A$10,B1396,mdr_rate_cleaned!$B$2:$B$10,"&lt;"&amp;C1396,mdr_rate_cleaned!$F$2:$F$10,"&gt;="&amp;C1396)</f>
        <v>1</v>
      </c>
      <c r="G1396" s="40">
        <f>SUMIFS(mdr_rate_cleaned!$G$2:$G$10,mdr_rate_cleaned!$A$2:$A$10,B1396,mdr_rate_cleaned!$B$2:$B$10,"&lt;"&amp;C1396,mdr_rate_cleaned!$F$2:$F$10,"&gt;="&amp;C1396)</f>
        <v>1.7000000000000001E-2</v>
      </c>
      <c r="H1396" s="24">
        <f t="shared" si="105"/>
        <v>98.57</v>
      </c>
      <c r="I1396" s="23" t="str">
        <f t="shared" si="106"/>
        <v>Match</v>
      </c>
      <c r="J1396" s="23" t="str">
        <f t="shared" si="107"/>
        <v>Match</v>
      </c>
      <c r="K1396" s="24">
        <f t="shared" si="108"/>
        <v>17.739999999999998</v>
      </c>
      <c r="L1396" s="24">
        <f t="shared" si="109"/>
        <v>0</v>
      </c>
    </row>
    <row r="1397" spans="1:12" ht="15" customHeight="1" x14ac:dyDescent="0.3">
      <c r="A1397" s="23" t="s">
        <v>14063</v>
      </c>
      <c r="B1397" s="23" t="s">
        <v>75</v>
      </c>
      <c r="C1397" s="39">
        <v>3998</v>
      </c>
      <c r="D1397" s="24">
        <v>11.99</v>
      </c>
      <c r="E1397" s="24">
        <v>2.16</v>
      </c>
      <c r="F1397" s="23">
        <f>COUNTIFS(mdr_rate_cleaned!$A$2:$A$10,B1397,mdr_rate_cleaned!$B$2:$B$10,"&lt;"&amp;C1397,mdr_rate_cleaned!$F$2:$F$10,"&gt;="&amp;C1397)</f>
        <v>1</v>
      </c>
      <c r="G1397" s="40">
        <f>SUMIFS(mdr_rate_cleaned!$G$2:$G$10,mdr_rate_cleaned!$A$2:$A$10,B1397,mdr_rate_cleaned!$B$2:$B$10,"&lt;"&amp;C1397,mdr_rate_cleaned!$F$2:$F$10,"&gt;="&amp;C1397)</f>
        <v>3.0000000000000001E-3</v>
      </c>
      <c r="H1397" s="24">
        <f t="shared" si="105"/>
        <v>11.99</v>
      </c>
      <c r="I1397" s="23" t="str">
        <f t="shared" si="106"/>
        <v>Match</v>
      </c>
      <c r="J1397" s="23" t="str">
        <f t="shared" si="107"/>
        <v>Match</v>
      </c>
      <c r="K1397" s="24">
        <f t="shared" si="108"/>
        <v>2.16</v>
      </c>
      <c r="L1397" s="24">
        <f t="shared" si="109"/>
        <v>0</v>
      </c>
    </row>
    <row r="1398" spans="1:12" ht="15" customHeight="1" x14ac:dyDescent="0.3">
      <c r="A1398" s="23" t="s">
        <v>14064</v>
      </c>
      <c r="B1398" s="23" t="s">
        <v>75</v>
      </c>
      <c r="C1398" s="39">
        <v>799</v>
      </c>
      <c r="D1398" s="24">
        <v>0</v>
      </c>
      <c r="E1398" s="24">
        <v>0</v>
      </c>
      <c r="F1398" s="23">
        <f>COUNTIFS(mdr_rate_cleaned!$A$2:$A$10,B1398,mdr_rate_cleaned!$B$2:$B$10,"&lt;"&amp;C1398,mdr_rate_cleaned!$F$2:$F$10,"&gt;="&amp;C1398)</f>
        <v>1</v>
      </c>
      <c r="G1398" s="40">
        <f>SUMIFS(mdr_rate_cleaned!$G$2:$G$10,mdr_rate_cleaned!$A$2:$A$10,B1398,mdr_rate_cleaned!$B$2:$B$10,"&lt;"&amp;C1398,mdr_rate_cleaned!$F$2:$F$10,"&gt;="&amp;C1398)</f>
        <v>0</v>
      </c>
      <c r="H1398" s="24">
        <f t="shared" si="105"/>
        <v>0</v>
      </c>
      <c r="I1398" s="23" t="str">
        <f t="shared" si="106"/>
        <v>Match</v>
      </c>
      <c r="J1398" s="23" t="str">
        <f t="shared" si="107"/>
        <v>Match</v>
      </c>
      <c r="K1398" s="24">
        <f t="shared" si="108"/>
        <v>0</v>
      </c>
      <c r="L1398" s="24">
        <f t="shared" si="109"/>
        <v>0</v>
      </c>
    </row>
    <row r="1399" spans="1:12" ht="15" customHeight="1" x14ac:dyDescent="0.3">
      <c r="A1399" s="23" t="s">
        <v>14065</v>
      </c>
      <c r="B1399" s="23" t="s">
        <v>79</v>
      </c>
      <c r="C1399" s="39">
        <v>599</v>
      </c>
      <c r="D1399" s="24">
        <v>10.78</v>
      </c>
      <c r="E1399" s="24">
        <v>1.94</v>
      </c>
      <c r="F1399" s="23">
        <f>COUNTIFS(mdr_rate_cleaned!$A$2:$A$10,B1399,mdr_rate_cleaned!$B$2:$B$10,"&lt;"&amp;C1399,mdr_rate_cleaned!$F$2:$F$10,"&gt;="&amp;C1399)</f>
        <v>1</v>
      </c>
      <c r="G1399" s="40">
        <f>SUMIFS(mdr_rate_cleaned!$G$2:$G$10,mdr_rate_cleaned!$A$2:$A$10,B1399,mdr_rate_cleaned!$B$2:$B$10,"&lt;"&amp;C1399,mdr_rate_cleaned!$F$2:$F$10,"&gt;="&amp;C1399)</f>
        <v>1.8000000000000002E-2</v>
      </c>
      <c r="H1399" s="24">
        <f t="shared" si="105"/>
        <v>10.78</v>
      </c>
      <c r="I1399" s="23" t="str">
        <f t="shared" si="106"/>
        <v>Match</v>
      </c>
      <c r="J1399" s="23" t="str">
        <f t="shared" si="107"/>
        <v>Match</v>
      </c>
      <c r="K1399" s="24">
        <f t="shared" si="108"/>
        <v>1.94</v>
      </c>
      <c r="L1399" s="24">
        <f t="shared" si="109"/>
        <v>0</v>
      </c>
    </row>
    <row r="1400" spans="1:12" ht="15" customHeight="1" x14ac:dyDescent="0.3">
      <c r="A1400" s="23" t="s">
        <v>14066</v>
      </c>
      <c r="B1400" s="23" t="s">
        <v>79</v>
      </c>
      <c r="C1400" s="39">
        <v>2499</v>
      </c>
      <c r="D1400" s="24">
        <v>39.979999999999997</v>
      </c>
      <c r="E1400" s="24">
        <v>7.2</v>
      </c>
      <c r="F1400" s="23">
        <f>COUNTIFS(mdr_rate_cleaned!$A$2:$A$10,B1400,mdr_rate_cleaned!$B$2:$B$10,"&lt;"&amp;C1400,mdr_rate_cleaned!$F$2:$F$10,"&gt;="&amp;C1400)</f>
        <v>1</v>
      </c>
      <c r="G1400" s="40">
        <f>SUMIFS(mdr_rate_cleaned!$G$2:$G$10,mdr_rate_cleaned!$A$2:$A$10,B1400,mdr_rate_cleaned!$B$2:$B$10,"&lt;"&amp;C1400,mdr_rate_cleaned!$F$2:$F$10,"&gt;="&amp;C1400)</f>
        <v>1.6E-2</v>
      </c>
      <c r="H1400" s="24">
        <f t="shared" si="105"/>
        <v>39.979999999999997</v>
      </c>
      <c r="I1400" s="23" t="str">
        <f t="shared" si="106"/>
        <v>Match</v>
      </c>
      <c r="J1400" s="23" t="str">
        <f t="shared" si="107"/>
        <v>Match</v>
      </c>
      <c r="K1400" s="24">
        <f t="shared" si="108"/>
        <v>7.2</v>
      </c>
      <c r="L1400" s="24">
        <f t="shared" si="109"/>
        <v>0</v>
      </c>
    </row>
    <row r="1401" spans="1:12" ht="15" customHeight="1" x14ac:dyDescent="0.3">
      <c r="A1401" s="23" t="s">
        <v>14068</v>
      </c>
      <c r="B1401" s="23" t="s">
        <v>75</v>
      </c>
      <c r="C1401" s="39">
        <v>6097</v>
      </c>
      <c r="D1401" s="24">
        <v>18.29</v>
      </c>
      <c r="E1401" s="24">
        <v>3.29</v>
      </c>
      <c r="F1401" s="23">
        <f>COUNTIFS(mdr_rate_cleaned!$A$2:$A$10,B1401,mdr_rate_cleaned!$B$2:$B$10,"&lt;"&amp;C1401,mdr_rate_cleaned!$F$2:$F$10,"&gt;="&amp;C1401)</f>
        <v>1</v>
      </c>
      <c r="G1401" s="40">
        <f>SUMIFS(mdr_rate_cleaned!$G$2:$G$10,mdr_rate_cleaned!$A$2:$A$10,B1401,mdr_rate_cleaned!$B$2:$B$10,"&lt;"&amp;C1401,mdr_rate_cleaned!$F$2:$F$10,"&gt;="&amp;C1401)</f>
        <v>3.0000000000000001E-3</v>
      </c>
      <c r="H1401" s="24">
        <f t="shared" si="105"/>
        <v>18.29</v>
      </c>
      <c r="I1401" s="23" t="str">
        <f t="shared" si="106"/>
        <v>Match</v>
      </c>
      <c r="J1401" s="23" t="str">
        <f t="shared" si="107"/>
        <v>Match</v>
      </c>
      <c r="K1401" s="24">
        <f t="shared" si="108"/>
        <v>3.29</v>
      </c>
      <c r="L1401" s="24">
        <f t="shared" si="109"/>
        <v>0</v>
      </c>
    </row>
    <row r="1402" spans="1:12" ht="15" customHeight="1" x14ac:dyDescent="0.3">
      <c r="A1402" s="23" t="s">
        <v>14069</v>
      </c>
      <c r="B1402" s="23" t="s">
        <v>75</v>
      </c>
      <c r="C1402" s="39">
        <v>2999</v>
      </c>
      <c r="D1402" s="24">
        <v>9</v>
      </c>
      <c r="E1402" s="24">
        <v>1.62</v>
      </c>
      <c r="F1402" s="23">
        <f>COUNTIFS(mdr_rate_cleaned!$A$2:$A$10,B1402,mdr_rate_cleaned!$B$2:$B$10,"&lt;"&amp;C1402,mdr_rate_cleaned!$F$2:$F$10,"&gt;="&amp;C1402)</f>
        <v>1</v>
      </c>
      <c r="G1402" s="40">
        <f>SUMIFS(mdr_rate_cleaned!$G$2:$G$10,mdr_rate_cleaned!$A$2:$A$10,B1402,mdr_rate_cleaned!$B$2:$B$10,"&lt;"&amp;C1402,mdr_rate_cleaned!$F$2:$F$10,"&gt;="&amp;C1402)</f>
        <v>3.0000000000000001E-3</v>
      </c>
      <c r="H1402" s="24">
        <f t="shared" si="105"/>
        <v>9</v>
      </c>
      <c r="I1402" s="23" t="str">
        <f t="shared" si="106"/>
        <v>Match</v>
      </c>
      <c r="J1402" s="23" t="str">
        <f t="shared" si="107"/>
        <v>Match</v>
      </c>
      <c r="K1402" s="24">
        <f t="shared" si="108"/>
        <v>1.62</v>
      </c>
      <c r="L1402" s="24">
        <f t="shared" si="109"/>
        <v>0</v>
      </c>
    </row>
    <row r="1403" spans="1:12" ht="15" customHeight="1" x14ac:dyDescent="0.3">
      <c r="A1403" s="23" t="s">
        <v>14070</v>
      </c>
      <c r="B1403" s="23" t="s">
        <v>79</v>
      </c>
      <c r="C1403" s="39">
        <v>8298</v>
      </c>
      <c r="D1403" s="24">
        <v>132.77000000000001</v>
      </c>
      <c r="E1403" s="24">
        <v>23.9</v>
      </c>
      <c r="F1403" s="23">
        <f>COUNTIFS(mdr_rate_cleaned!$A$2:$A$10,B1403,mdr_rate_cleaned!$B$2:$B$10,"&lt;"&amp;C1403,mdr_rate_cleaned!$F$2:$F$10,"&gt;="&amp;C1403)</f>
        <v>1</v>
      </c>
      <c r="G1403" s="40">
        <f>SUMIFS(mdr_rate_cleaned!$G$2:$G$10,mdr_rate_cleaned!$A$2:$A$10,B1403,mdr_rate_cleaned!$B$2:$B$10,"&lt;"&amp;C1403,mdr_rate_cleaned!$F$2:$F$10,"&gt;="&amp;C1403)</f>
        <v>1.6E-2</v>
      </c>
      <c r="H1403" s="24">
        <f t="shared" si="105"/>
        <v>132.77000000000001</v>
      </c>
      <c r="I1403" s="23" t="str">
        <f t="shared" si="106"/>
        <v>Match</v>
      </c>
      <c r="J1403" s="23" t="str">
        <f t="shared" si="107"/>
        <v>Match</v>
      </c>
      <c r="K1403" s="24">
        <f t="shared" si="108"/>
        <v>23.9</v>
      </c>
      <c r="L1403" s="24">
        <f t="shared" si="109"/>
        <v>0</v>
      </c>
    </row>
    <row r="1404" spans="1:12" ht="15" customHeight="1" x14ac:dyDescent="0.3">
      <c r="A1404" s="23" t="s">
        <v>14071</v>
      </c>
      <c r="B1404" s="23" t="s">
        <v>75</v>
      </c>
      <c r="C1404" s="39">
        <v>4998</v>
      </c>
      <c r="D1404" s="24">
        <v>14.99</v>
      </c>
      <c r="E1404" s="24">
        <v>2.7</v>
      </c>
      <c r="F1404" s="23">
        <f>COUNTIFS(mdr_rate_cleaned!$A$2:$A$10,B1404,mdr_rate_cleaned!$B$2:$B$10,"&lt;"&amp;C1404,mdr_rate_cleaned!$F$2:$F$10,"&gt;="&amp;C1404)</f>
        <v>1</v>
      </c>
      <c r="G1404" s="40">
        <f>SUMIFS(mdr_rate_cleaned!$G$2:$G$10,mdr_rate_cleaned!$A$2:$A$10,B1404,mdr_rate_cleaned!$B$2:$B$10,"&lt;"&amp;C1404,mdr_rate_cleaned!$F$2:$F$10,"&gt;="&amp;C1404)</f>
        <v>3.0000000000000001E-3</v>
      </c>
      <c r="H1404" s="24">
        <f t="shared" si="105"/>
        <v>14.99</v>
      </c>
      <c r="I1404" s="23" t="str">
        <f t="shared" si="106"/>
        <v>Match</v>
      </c>
      <c r="J1404" s="23" t="str">
        <f t="shared" si="107"/>
        <v>Match</v>
      </c>
      <c r="K1404" s="24">
        <f t="shared" si="108"/>
        <v>2.7</v>
      </c>
      <c r="L1404" s="24">
        <f t="shared" si="109"/>
        <v>0</v>
      </c>
    </row>
    <row r="1405" spans="1:12" ht="15" customHeight="1" x14ac:dyDescent="0.3">
      <c r="A1405" s="23" t="s">
        <v>14072</v>
      </c>
      <c r="B1405" s="23" t="s">
        <v>75</v>
      </c>
      <c r="C1405" s="39">
        <v>999</v>
      </c>
      <c r="D1405" s="24">
        <v>0</v>
      </c>
      <c r="E1405" s="24">
        <v>0</v>
      </c>
      <c r="F1405" s="23">
        <f>COUNTIFS(mdr_rate_cleaned!$A$2:$A$10,B1405,mdr_rate_cleaned!$B$2:$B$10,"&lt;"&amp;C1405,mdr_rate_cleaned!$F$2:$F$10,"&gt;="&amp;C1405)</f>
        <v>1</v>
      </c>
      <c r="G1405" s="40">
        <f>SUMIFS(mdr_rate_cleaned!$G$2:$G$10,mdr_rate_cleaned!$A$2:$A$10,B1405,mdr_rate_cleaned!$B$2:$B$10,"&lt;"&amp;C1405,mdr_rate_cleaned!$F$2:$F$10,"&gt;="&amp;C1405)</f>
        <v>0</v>
      </c>
      <c r="H1405" s="24">
        <f t="shared" si="105"/>
        <v>0</v>
      </c>
      <c r="I1405" s="23" t="str">
        <f t="shared" si="106"/>
        <v>Match</v>
      </c>
      <c r="J1405" s="23" t="str">
        <f t="shared" si="107"/>
        <v>Match</v>
      </c>
      <c r="K1405" s="24">
        <f t="shared" si="108"/>
        <v>0</v>
      </c>
      <c r="L1405" s="24">
        <f t="shared" si="109"/>
        <v>0</v>
      </c>
    </row>
    <row r="1406" spans="1:12" ht="15" customHeight="1" x14ac:dyDescent="0.3">
      <c r="A1406" s="23" t="s">
        <v>14073</v>
      </c>
      <c r="B1406" s="23" t="s">
        <v>79</v>
      </c>
      <c r="C1406" s="39">
        <v>4999</v>
      </c>
      <c r="D1406" s="24">
        <v>79.98</v>
      </c>
      <c r="E1406" s="24">
        <v>14.4</v>
      </c>
      <c r="F1406" s="23">
        <f>COUNTIFS(mdr_rate_cleaned!$A$2:$A$10,B1406,mdr_rate_cleaned!$B$2:$B$10,"&lt;"&amp;C1406,mdr_rate_cleaned!$F$2:$F$10,"&gt;="&amp;C1406)</f>
        <v>1</v>
      </c>
      <c r="G1406" s="40">
        <f>SUMIFS(mdr_rate_cleaned!$G$2:$G$10,mdr_rate_cleaned!$A$2:$A$10,B1406,mdr_rate_cleaned!$B$2:$B$10,"&lt;"&amp;C1406,mdr_rate_cleaned!$F$2:$F$10,"&gt;="&amp;C1406)</f>
        <v>1.6E-2</v>
      </c>
      <c r="H1406" s="24">
        <f t="shared" si="105"/>
        <v>79.98</v>
      </c>
      <c r="I1406" s="23" t="str">
        <f t="shared" si="106"/>
        <v>Match</v>
      </c>
      <c r="J1406" s="23" t="str">
        <f t="shared" si="107"/>
        <v>Match</v>
      </c>
      <c r="K1406" s="24">
        <f t="shared" si="108"/>
        <v>14.4</v>
      </c>
      <c r="L1406" s="24">
        <f t="shared" si="109"/>
        <v>0</v>
      </c>
    </row>
    <row r="1407" spans="1:12" ht="15" customHeight="1" x14ac:dyDescent="0.3">
      <c r="A1407" s="23" t="s">
        <v>14075</v>
      </c>
      <c r="B1407" s="23" t="s">
        <v>75</v>
      </c>
      <c r="C1407" s="39">
        <v>1499</v>
      </c>
      <c r="D1407" s="24">
        <v>0</v>
      </c>
      <c r="E1407" s="24">
        <v>0</v>
      </c>
      <c r="F1407" s="23">
        <f>COUNTIFS(mdr_rate_cleaned!$A$2:$A$10,B1407,mdr_rate_cleaned!$B$2:$B$10,"&lt;"&amp;C1407,mdr_rate_cleaned!$F$2:$F$10,"&gt;="&amp;C1407)</f>
        <v>1</v>
      </c>
      <c r="G1407" s="40">
        <f>SUMIFS(mdr_rate_cleaned!$G$2:$G$10,mdr_rate_cleaned!$A$2:$A$10,B1407,mdr_rate_cleaned!$B$2:$B$10,"&lt;"&amp;C1407,mdr_rate_cleaned!$F$2:$F$10,"&gt;="&amp;C1407)</f>
        <v>0</v>
      </c>
      <c r="H1407" s="24">
        <f t="shared" si="105"/>
        <v>0</v>
      </c>
      <c r="I1407" s="23" t="str">
        <f t="shared" si="106"/>
        <v>Match</v>
      </c>
      <c r="J1407" s="23" t="str">
        <f t="shared" si="107"/>
        <v>Match</v>
      </c>
      <c r="K1407" s="24">
        <f t="shared" si="108"/>
        <v>0</v>
      </c>
      <c r="L1407" s="24">
        <f t="shared" si="109"/>
        <v>0</v>
      </c>
    </row>
    <row r="1408" spans="1:12" ht="15" customHeight="1" x14ac:dyDescent="0.3">
      <c r="A1408" s="23" t="s">
        <v>14076</v>
      </c>
      <c r="B1408" s="23" t="s">
        <v>75</v>
      </c>
      <c r="C1408" s="39">
        <v>6797</v>
      </c>
      <c r="D1408" s="24">
        <v>20.39</v>
      </c>
      <c r="E1408" s="24">
        <v>3.67</v>
      </c>
      <c r="F1408" s="23">
        <f>COUNTIFS(mdr_rate_cleaned!$A$2:$A$10,B1408,mdr_rate_cleaned!$B$2:$B$10,"&lt;"&amp;C1408,mdr_rate_cleaned!$F$2:$F$10,"&gt;="&amp;C1408)</f>
        <v>1</v>
      </c>
      <c r="G1408" s="40">
        <f>SUMIFS(mdr_rate_cleaned!$G$2:$G$10,mdr_rate_cleaned!$A$2:$A$10,B1408,mdr_rate_cleaned!$B$2:$B$10,"&lt;"&amp;C1408,mdr_rate_cleaned!$F$2:$F$10,"&gt;="&amp;C1408)</f>
        <v>3.0000000000000001E-3</v>
      </c>
      <c r="H1408" s="24">
        <f t="shared" si="105"/>
        <v>20.39</v>
      </c>
      <c r="I1408" s="23" t="str">
        <f t="shared" si="106"/>
        <v>Match</v>
      </c>
      <c r="J1408" s="23" t="str">
        <f t="shared" si="107"/>
        <v>Match</v>
      </c>
      <c r="K1408" s="24">
        <f t="shared" si="108"/>
        <v>3.67</v>
      </c>
      <c r="L1408" s="24">
        <f t="shared" si="109"/>
        <v>0</v>
      </c>
    </row>
    <row r="1409" spans="1:12" ht="15" customHeight="1" x14ac:dyDescent="0.3">
      <c r="A1409" s="23" t="s">
        <v>14078</v>
      </c>
      <c r="B1409" s="23" t="s">
        <v>77</v>
      </c>
      <c r="C1409" s="39">
        <v>1798</v>
      </c>
      <c r="D1409" s="24">
        <v>34.159999999999997</v>
      </c>
      <c r="E1409" s="24">
        <v>6.15</v>
      </c>
      <c r="F1409" s="23">
        <f>COUNTIFS(mdr_rate_cleaned!$A$2:$A$10,B1409,mdr_rate_cleaned!$B$2:$B$10,"&lt;"&amp;C1409,mdr_rate_cleaned!$F$2:$F$10,"&gt;="&amp;C1409)</f>
        <v>1</v>
      </c>
      <c r="G1409" s="40">
        <f>SUMIFS(mdr_rate_cleaned!$G$2:$G$10,mdr_rate_cleaned!$A$2:$A$10,B1409,mdr_rate_cleaned!$B$2:$B$10,"&lt;"&amp;C1409,mdr_rate_cleaned!$F$2:$F$10,"&gt;="&amp;C1409)</f>
        <v>1.9E-2</v>
      </c>
      <c r="H1409" s="24">
        <f t="shared" si="105"/>
        <v>34.159999999999997</v>
      </c>
      <c r="I1409" s="23" t="str">
        <f t="shared" si="106"/>
        <v>Match</v>
      </c>
      <c r="J1409" s="23" t="str">
        <f t="shared" si="107"/>
        <v>Match</v>
      </c>
      <c r="K1409" s="24">
        <f t="shared" si="108"/>
        <v>6.15</v>
      </c>
      <c r="L1409" s="24">
        <f t="shared" si="109"/>
        <v>0</v>
      </c>
    </row>
    <row r="1410" spans="1:12" ht="15" customHeight="1" x14ac:dyDescent="0.3">
      <c r="A1410" s="23" t="s">
        <v>14079</v>
      </c>
      <c r="B1410" s="23" t="s">
        <v>75</v>
      </c>
      <c r="C1410" s="39">
        <v>2447</v>
      </c>
      <c r="D1410" s="24">
        <v>7.34</v>
      </c>
      <c r="E1410" s="24">
        <v>1.32</v>
      </c>
      <c r="F1410" s="23">
        <f>COUNTIFS(mdr_rate_cleaned!$A$2:$A$10,B1410,mdr_rate_cleaned!$B$2:$B$10,"&lt;"&amp;C1410,mdr_rate_cleaned!$F$2:$F$10,"&gt;="&amp;C1410)</f>
        <v>1</v>
      </c>
      <c r="G1410" s="40">
        <f>SUMIFS(mdr_rate_cleaned!$G$2:$G$10,mdr_rate_cleaned!$A$2:$A$10,B1410,mdr_rate_cleaned!$B$2:$B$10,"&lt;"&amp;C1410,mdr_rate_cleaned!$F$2:$F$10,"&gt;="&amp;C1410)</f>
        <v>3.0000000000000001E-3</v>
      </c>
      <c r="H1410" s="24">
        <f t="shared" ref="H1410:H1473" si="110">ROUND(C1410*G1410,2)</f>
        <v>7.34</v>
      </c>
      <c r="I1410" s="23" t="str">
        <f t="shared" ref="I1410:I1473" si="111">IF(ROUND(D1410-H1410,2)=0,"Match","Differs")</f>
        <v>Match</v>
      </c>
      <c r="J1410" s="23" t="str">
        <f t="shared" ref="J1410:J1473" si="112">IF(ROUND(E1410-ROUND(D1410*0.18,2),2)=0,"Match","Differs")</f>
        <v>Match</v>
      </c>
      <c r="K1410" s="24">
        <f t="shared" ref="K1410:K1473" si="113">ROUND(H1410*0.18,2)</f>
        <v>1.32</v>
      </c>
      <c r="L1410" s="24">
        <f t="shared" ref="L1410:L1473" si="114">ROUND(D1410+E1410-H1410-K1410,2)</f>
        <v>0</v>
      </c>
    </row>
    <row r="1411" spans="1:12" ht="15" customHeight="1" x14ac:dyDescent="0.3">
      <c r="A1411" s="23" t="s">
        <v>14080</v>
      </c>
      <c r="B1411" s="23" t="s">
        <v>75</v>
      </c>
      <c r="C1411" s="39">
        <v>11347</v>
      </c>
      <c r="D1411" s="24">
        <v>34.04</v>
      </c>
      <c r="E1411" s="24">
        <v>6.13</v>
      </c>
      <c r="F1411" s="23">
        <f>COUNTIFS(mdr_rate_cleaned!$A$2:$A$10,B1411,mdr_rate_cleaned!$B$2:$B$10,"&lt;"&amp;C1411,mdr_rate_cleaned!$F$2:$F$10,"&gt;="&amp;C1411)</f>
        <v>1</v>
      </c>
      <c r="G1411" s="40">
        <f>SUMIFS(mdr_rate_cleaned!$G$2:$G$10,mdr_rate_cleaned!$A$2:$A$10,B1411,mdr_rate_cleaned!$B$2:$B$10,"&lt;"&amp;C1411,mdr_rate_cleaned!$F$2:$F$10,"&gt;="&amp;C1411)</f>
        <v>3.0000000000000001E-3</v>
      </c>
      <c r="H1411" s="24">
        <f t="shared" si="110"/>
        <v>34.04</v>
      </c>
      <c r="I1411" s="23" t="str">
        <f t="shared" si="111"/>
        <v>Match</v>
      </c>
      <c r="J1411" s="23" t="str">
        <f t="shared" si="112"/>
        <v>Match</v>
      </c>
      <c r="K1411" s="24">
        <f t="shared" si="113"/>
        <v>6.13</v>
      </c>
      <c r="L1411" s="24">
        <f t="shared" si="114"/>
        <v>0</v>
      </c>
    </row>
    <row r="1412" spans="1:12" ht="15" customHeight="1" x14ac:dyDescent="0.3">
      <c r="A1412" s="23" t="s">
        <v>14081</v>
      </c>
      <c r="B1412" s="23" t="s">
        <v>79</v>
      </c>
      <c r="C1412" s="39">
        <v>799</v>
      </c>
      <c r="D1412" s="24">
        <v>14.38</v>
      </c>
      <c r="E1412" s="24">
        <v>2.59</v>
      </c>
      <c r="F1412" s="23">
        <f>COUNTIFS(mdr_rate_cleaned!$A$2:$A$10,B1412,mdr_rate_cleaned!$B$2:$B$10,"&lt;"&amp;C1412,mdr_rate_cleaned!$F$2:$F$10,"&gt;="&amp;C1412)</f>
        <v>1</v>
      </c>
      <c r="G1412" s="40">
        <f>SUMIFS(mdr_rate_cleaned!$G$2:$G$10,mdr_rate_cleaned!$A$2:$A$10,B1412,mdr_rate_cleaned!$B$2:$B$10,"&lt;"&amp;C1412,mdr_rate_cleaned!$F$2:$F$10,"&gt;="&amp;C1412)</f>
        <v>1.8000000000000002E-2</v>
      </c>
      <c r="H1412" s="24">
        <f t="shared" si="110"/>
        <v>14.38</v>
      </c>
      <c r="I1412" s="23" t="str">
        <f t="shared" si="111"/>
        <v>Match</v>
      </c>
      <c r="J1412" s="23" t="str">
        <f t="shared" si="112"/>
        <v>Match</v>
      </c>
      <c r="K1412" s="24">
        <f t="shared" si="113"/>
        <v>2.59</v>
      </c>
      <c r="L1412" s="24">
        <f t="shared" si="114"/>
        <v>0</v>
      </c>
    </row>
    <row r="1413" spans="1:12" ht="15" customHeight="1" x14ac:dyDescent="0.3">
      <c r="A1413" s="23" t="s">
        <v>14082</v>
      </c>
      <c r="B1413" s="23" t="s">
        <v>79</v>
      </c>
      <c r="C1413" s="39">
        <v>2999</v>
      </c>
      <c r="D1413" s="24">
        <v>47.98</v>
      </c>
      <c r="E1413" s="24">
        <v>8.64</v>
      </c>
      <c r="F1413" s="23">
        <f>COUNTIFS(mdr_rate_cleaned!$A$2:$A$10,B1413,mdr_rate_cleaned!$B$2:$B$10,"&lt;"&amp;C1413,mdr_rate_cleaned!$F$2:$F$10,"&gt;="&amp;C1413)</f>
        <v>1</v>
      </c>
      <c r="G1413" s="40">
        <f>SUMIFS(mdr_rate_cleaned!$G$2:$G$10,mdr_rate_cleaned!$A$2:$A$10,B1413,mdr_rate_cleaned!$B$2:$B$10,"&lt;"&amp;C1413,mdr_rate_cleaned!$F$2:$F$10,"&gt;="&amp;C1413)</f>
        <v>1.6E-2</v>
      </c>
      <c r="H1413" s="24">
        <f t="shared" si="110"/>
        <v>47.98</v>
      </c>
      <c r="I1413" s="23" t="str">
        <f t="shared" si="111"/>
        <v>Match</v>
      </c>
      <c r="J1413" s="23" t="str">
        <f t="shared" si="112"/>
        <v>Match</v>
      </c>
      <c r="K1413" s="24">
        <f t="shared" si="113"/>
        <v>8.64</v>
      </c>
      <c r="L1413" s="24">
        <f t="shared" si="114"/>
        <v>0</v>
      </c>
    </row>
    <row r="1414" spans="1:12" ht="15" customHeight="1" x14ac:dyDescent="0.3">
      <c r="A1414" s="23" t="s">
        <v>14083</v>
      </c>
      <c r="B1414" s="23" t="s">
        <v>77</v>
      </c>
      <c r="C1414" s="39">
        <v>599</v>
      </c>
      <c r="D1414" s="24">
        <v>11.38</v>
      </c>
      <c r="E1414" s="24">
        <v>2.0499999999999998</v>
      </c>
      <c r="F1414" s="23">
        <f>COUNTIFS(mdr_rate_cleaned!$A$2:$A$10,B1414,mdr_rate_cleaned!$B$2:$B$10,"&lt;"&amp;C1414,mdr_rate_cleaned!$F$2:$F$10,"&gt;="&amp;C1414)</f>
        <v>1</v>
      </c>
      <c r="G1414" s="40">
        <f>SUMIFS(mdr_rate_cleaned!$G$2:$G$10,mdr_rate_cleaned!$A$2:$A$10,B1414,mdr_rate_cleaned!$B$2:$B$10,"&lt;"&amp;C1414,mdr_rate_cleaned!$F$2:$F$10,"&gt;="&amp;C1414)</f>
        <v>1.9E-2</v>
      </c>
      <c r="H1414" s="24">
        <f t="shared" si="110"/>
        <v>11.38</v>
      </c>
      <c r="I1414" s="23" t="str">
        <f t="shared" si="111"/>
        <v>Match</v>
      </c>
      <c r="J1414" s="23" t="str">
        <f t="shared" si="112"/>
        <v>Match</v>
      </c>
      <c r="K1414" s="24">
        <f t="shared" si="113"/>
        <v>2.0499999999999998</v>
      </c>
      <c r="L1414" s="24">
        <f t="shared" si="114"/>
        <v>0</v>
      </c>
    </row>
    <row r="1415" spans="1:12" ht="15" customHeight="1" x14ac:dyDescent="0.3">
      <c r="A1415" s="23" t="s">
        <v>14084</v>
      </c>
      <c r="B1415" s="23" t="s">
        <v>75</v>
      </c>
      <c r="C1415" s="39">
        <v>1798</v>
      </c>
      <c r="D1415" s="24">
        <v>0</v>
      </c>
      <c r="E1415" s="24">
        <v>0</v>
      </c>
      <c r="F1415" s="23">
        <f>COUNTIFS(mdr_rate_cleaned!$A$2:$A$10,B1415,mdr_rate_cleaned!$B$2:$B$10,"&lt;"&amp;C1415,mdr_rate_cleaned!$F$2:$F$10,"&gt;="&amp;C1415)</f>
        <v>1</v>
      </c>
      <c r="G1415" s="40">
        <f>SUMIFS(mdr_rate_cleaned!$G$2:$G$10,mdr_rate_cleaned!$A$2:$A$10,B1415,mdr_rate_cleaned!$B$2:$B$10,"&lt;"&amp;C1415,mdr_rate_cleaned!$F$2:$F$10,"&gt;="&amp;C1415)</f>
        <v>0</v>
      </c>
      <c r="H1415" s="24">
        <f t="shared" si="110"/>
        <v>0</v>
      </c>
      <c r="I1415" s="23" t="str">
        <f t="shared" si="111"/>
        <v>Match</v>
      </c>
      <c r="J1415" s="23" t="str">
        <f t="shared" si="112"/>
        <v>Match</v>
      </c>
      <c r="K1415" s="24">
        <f t="shared" si="113"/>
        <v>0</v>
      </c>
      <c r="L1415" s="24">
        <f t="shared" si="114"/>
        <v>0</v>
      </c>
    </row>
    <row r="1416" spans="1:12" ht="15" customHeight="1" x14ac:dyDescent="0.3">
      <c r="A1416" s="23" t="s">
        <v>14086</v>
      </c>
      <c r="B1416" s="23" t="s">
        <v>75</v>
      </c>
      <c r="C1416" s="39">
        <v>4999</v>
      </c>
      <c r="D1416" s="24">
        <v>15</v>
      </c>
      <c r="E1416" s="24">
        <v>2.7</v>
      </c>
      <c r="F1416" s="23">
        <f>COUNTIFS(mdr_rate_cleaned!$A$2:$A$10,B1416,mdr_rate_cleaned!$B$2:$B$10,"&lt;"&amp;C1416,mdr_rate_cleaned!$F$2:$F$10,"&gt;="&amp;C1416)</f>
        <v>1</v>
      </c>
      <c r="G1416" s="40">
        <f>SUMIFS(mdr_rate_cleaned!$G$2:$G$10,mdr_rate_cleaned!$A$2:$A$10,B1416,mdr_rate_cleaned!$B$2:$B$10,"&lt;"&amp;C1416,mdr_rate_cleaned!$F$2:$F$10,"&gt;="&amp;C1416)</f>
        <v>3.0000000000000001E-3</v>
      </c>
      <c r="H1416" s="24">
        <f t="shared" si="110"/>
        <v>15</v>
      </c>
      <c r="I1416" s="23" t="str">
        <f t="shared" si="111"/>
        <v>Match</v>
      </c>
      <c r="J1416" s="23" t="str">
        <f t="shared" si="112"/>
        <v>Match</v>
      </c>
      <c r="K1416" s="24">
        <f t="shared" si="113"/>
        <v>2.7</v>
      </c>
      <c r="L1416" s="24">
        <f t="shared" si="114"/>
        <v>0</v>
      </c>
    </row>
    <row r="1417" spans="1:12" ht="15" customHeight="1" x14ac:dyDescent="0.3">
      <c r="A1417" s="23" t="s">
        <v>14087</v>
      </c>
      <c r="B1417" s="23" t="s">
        <v>75</v>
      </c>
      <c r="C1417" s="39">
        <v>13497</v>
      </c>
      <c r="D1417" s="24">
        <v>40.49</v>
      </c>
      <c r="E1417" s="24">
        <v>7.29</v>
      </c>
      <c r="F1417" s="23">
        <f>COUNTIFS(mdr_rate_cleaned!$A$2:$A$10,B1417,mdr_rate_cleaned!$B$2:$B$10,"&lt;"&amp;C1417,mdr_rate_cleaned!$F$2:$F$10,"&gt;="&amp;C1417)</f>
        <v>1</v>
      </c>
      <c r="G1417" s="40">
        <f>SUMIFS(mdr_rate_cleaned!$G$2:$G$10,mdr_rate_cleaned!$A$2:$A$10,B1417,mdr_rate_cleaned!$B$2:$B$10,"&lt;"&amp;C1417,mdr_rate_cleaned!$F$2:$F$10,"&gt;="&amp;C1417)</f>
        <v>3.0000000000000001E-3</v>
      </c>
      <c r="H1417" s="24">
        <f t="shared" si="110"/>
        <v>40.49</v>
      </c>
      <c r="I1417" s="23" t="str">
        <f t="shared" si="111"/>
        <v>Match</v>
      </c>
      <c r="J1417" s="23" t="str">
        <f t="shared" si="112"/>
        <v>Match</v>
      </c>
      <c r="K1417" s="24">
        <f t="shared" si="113"/>
        <v>7.29</v>
      </c>
      <c r="L1417" s="24">
        <f t="shared" si="114"/>
        <v>0</v>
      </c>
    </row>
    <row r="1418" spans="1:12" ht="15" customHeight="1" x14ac:dyDescent="0.3">
      <c r="A1418" s="23" t="s">
        <v>14089</v>
      </c>
      <c r="B1418" s="23" t="s">
        <v>79</v>
      </c>
      <c r="C1418" s="39">
        <v>3098</v>
      </c>
      <c r="D1418" s="24">
        <v>49.57</v>
      </c>
      <c r="E1418" s="24">
        <v>8.92</v>
      </c>
      <c r="F1418" s="23">
        <f>COUNTIFS(mdr_rate_cleaned!$A$2:$A$10,B1418,mdr_rate_cleaned!$B$2:$B$10,"&lt;"&amp;C1418,mdr_rate_cleaned!$F$2:$F$10,"&gt;="&amp;C1418)</f>
        <v>1</v>
      </c>
      <c r="G1418" s="40">
        <f>SUMIFS(mdr_rate_cleaned!$G$2:$G$10,mdr_rate_cleaned!$A$2:$A$10,B1418,mdr_rate_cleaned!$B$2:$B$10,"&lt;"&amp;C1418,mdr_rate_cleaned!$F$2:$F$10,"&gt;="&amp;C1418)</f>
        <v>1.6E-2</v>
      </c>
      <c r="H1418" s="24">
        <f t="shared" si="110"/>
        <v>49.57</v>
      </c>
      <c r="I1418" s="23" t="str">
        <f t="shared" si="111"/>
        <v>Match</v>
      </c>
      <c r="J1418" s="23" t="str">
        <f t="shared" si="112"/>
        <v>Match</v>
      </c>
      <c r="K1418" s="24">
        <f t="shared" si="113"/>
        <v>8.92</v>
      </c>
      <c r="L1418" s="24">
        <f t="shared" si="114"/>
        <v>0</v>
      </c>
    </row>
    <row r="1419" spans="1:12" ht="15" customHeight="1" x14ac:dyDescent="0.3">
      <c r="A1419" s="23" t="s">
        <v>14090</v>
      </c>
      <c r="B1419" s="23" t="s">
        <v>77</v>
      </c>
      <c r="C1419" s="39">
        <v>1799</v>
      </c>
      <c r="D1419" s="24">
        <v>34.18</v>
      </c>
      <c r="E1419" s="24">
        <v>6.15</v>
      </c>
      <c r="F1419" s="23">
        <f>COUNTIFS(mdr_rate_cleaned!$A$2:$A$10,B1419,mdr_rate_cleaned!$B$2:$B$10,"&lt;"&amp;C1419,mdr_rate_cleaned!$F$2:$F$10,"&gt;="&amp;C1419)</f>
        <v>1</v>
      </c>
      <c r="G1419" s="40">
        <f>SUMIFS(mdr_rate_cleaned!$G$2:$G$10,mdr_rate_cleaned!$A$2:$A$10,B1419,mdr_rate_cleaned!$B$2:$B$10,"&lt;"&amp;C1419,mdr_rate_cleaned!$F$2:$F$10,"&gt;="&amp;C1419)</f>
        <v>1.9E-2</v>
      </c>
      <c r="H1419" s="24">
        <f t="shared" si="110"/>
        <v>34.18</v>
      </c>
      <c r="I1419" s="23" t="str">
        <f t="shared" si="111"/>
        <v>Match</v>
      </c>
      <c r="J1419" s="23" t="str">
        <f t="shared" si="112"/>
        <v>Match</v>
      </c>
      <c r="K1419" s="24">
        <f t="shared" si="113"/>
        <v>6.15</v>
      </c>
      <c r="L1419" s="24">
        <f t="shared" si="114"/>
        <v>0</v>
      </c>
    </row>
    <row r="1420" spans="1:12" ht="15" customHeight="1" x14ac:dyDescent="0.3">
      <c r="A1420" s="23" t="s">
        <v>14092</v>
      </c>
      <c r="B1420" s="23" t="s">
        <v>77</v>
      </c>
      <c r="C1420" s="39">
        <v>599</v>
      </c>
      <c r="D1420" s="24">
        <v>11.38</v>
      </c>
      <c r="E1420" s="24">
        <v>2.0499999999999998</v>
      </c>
      <c r="F1420" s="23">
        <f>COUNTIFS(mdr_rate_cleaned!$A$2:$A$10,B1420,mdr_rate_cleaned!$B$2:$B$10,"&lt;"&amp;C1420,mdr_rate_cleaned!$F$2:$F$10,"&gt;="&amp;C1420)</f>
        <v>1</v>
      </c>
      <c r="G1420" s="40">
        <f>SUMIFS(mdr_rate_cleaned!$G$2:$G$10,mdr_rate_cleaned!$A$2:$A$10,B1420,mdr_rate_cleaned!$B$2:$B$10,"&lt;"&amp;C1420,mdr_rate_cleaned!$F$2:$F$10,"&gt;="&amp;C1420)</f>
        <v>1.9E-2</v>
      </c>
      <c r="H1420" s="24">
        <f t="shared" si="110"/>
        <v>11.38</v>
      </c>
      <c r="I1420" s="23" t="str">
        <f t="shared" si="111"/>
        <v>Match</v>
      </c>
      <c r="J1420" s="23" t="str">
        <f t="shared" si="112"/>
        <v>Match</v>
      </c>
      <c r="K1420" s="24">
        <f t="shared" si="113"/>
        <v>2.0499999999999998</v>
      </c>
      <c r="L1420" s="24">
        <f t="shared" si="114"/>
        <v>0</v>
      </c>
    </row>
    <row r="1421" spans="1:12" ht="15" customHeight="1" x14ac:dyDescent="0.3">
      <c r="A1421" s="23" t="s">
        <v>14093</v>
      </c>
      <c r="B1421" s="23" t="s">
        <v>79</v>
      </c>
      <c r="C1421" s="39">
        <v>3499</v>
      </c>
      <c r="D1421" s="24">
        <v>55.98</v>
      </c>
      <c r="E1421" s="24">
        <v>10.08</v>
      </c>
      <c r="F1421" s="23">
        <f>COUNTIFS(mdr_rate_cleaned!$A$2:$A$10,B1421,mdr_rate_cleaned!$B$2:$B$10,"&lt;"&amp;C1421,mdr_rate_cleaned!$F$2:$F$10,"&gt;="&amp;C1421)</f>
        <v>1</v>
      </c>
      <c r="G1421" s="40">
        <f>SUMIFS(mdr_rate_cleaned!$G$2:$G$10,mdr_rate_cleaned!$A$2:$A$10,B1421,mdr_rate_cleaned!$B$2:$B$10,"&lt;"&amp;C1421,mdr_rate_cleaned!$F$2:$F$10,"&gt;="&amp;C1421)</f>
        <v>1.6E-2</v>
      </c>
      <c r="H1421" s="24">
        <f t="shared" si="110"/>
        <v>55.98</v>
      </c>
      <c r="I1421" s="23" t="str">
        <f t="shared" si="111"/>
        <v>Match</v>
      </c>
      <c r="J1421" s="23" t="str">
        <f t="shared" si="112"/>
        <v>Match</v>
      </c>
      <c r="K1421" s="24">
        <f t="shared" si="113"/>
        <v>10.08</v>
      </c>
      <c r="L1421" s="24">
        <f t="shared" si="114"/>
        <v>0</v>
      </c>
    </row>
    <row r="1422" spans="1:12" ht="15" customHeight="1" x14ac:dyDescent="0.3">
      <c r="A1422" s="23" t="s">
        <v>14094</v>
      </c>
      <c r="B1422" s="23" t="s">
        <v>79</v>
      </c>
      <c r="C1422" s="39">
        <v>2499</v>
      </c>
      <c r="D1422" s="24">
        <v>39.979999999999997</v>
      </c>
      <c r="E1422" s="24">
        <v>7.2</v>
      </c>
      <c r="F1422" s="23">
        <f>COUNTIFS(mdr_rate_cleaned!$A$2:$A$10,B1422,mdr_rate_cleaned!$B$2:$B$10,"&lt;"&amp;C1422,mdr_rate_cleaned!$F$2:$F$10,"&gt;="&amp;C1422)</f>
        <v>1</v>
      </c>
      <c r="G1422" s="40">
        <f>SUMIFS(mdr_rate_cleaned!$G$2:$G$10,mdr_rate_cleaned!$A$2:$A$10,B1422,mdr_rate_cleaned!$B$2:$B$10,"&lt;"&amp;C1422,mdr_rate_cleaned!$F$2:$F$10,"&gt;="&amp;C1422)</f>
        <v>1.6E-2</v>
      </c>
      <c r="H1422" s="24">
        <f t="shared" si="110"/>
        <v>39.979999999999997</v>
      </c>
      <c r="I1422" s="23" t="str">
        <f t="shared" si="111"/>
        <v>Match</v>
      </c>
      <c r="J1422" s="23" t="str">
        <f t="shared" si="112"/>
        <v>Match</v>
      </c>
      <c r="K1422" s="24">
        <f t="shared" si="113"/>
        <v>7.2</v>
      </c>
      <c r="L1422" s="24">
        <f t="shared" si="114"/>
        <v>0</v>
      </c>
    </row>
    <row r="1423" spans="1:12" ht="15" customHeight="1" x14ac:dyDescent="0.3">
      <c r="A1423" s="23" t="s">
        <v>14095</v>
      </c>
      <c r="B1423" s="23" t="s">
        <v>75</v>
      </c>
      <c r="C1423" s="39">
        <v>5298</v>
      </c>
      <c r="D1423" s="24">
        <v>15.89</v>
      </c>
      <c r="E1423" s="24">
        <v>2.86</v>
      </c>
      <c r="F1423" s="23">
        <f>COUNTIFS(mdr_rate_cleaned!$A$2:$A$10,B1423,mdr_rate_cleaned!$B$2:$B$10,"&lt;"&amp;C1423,mdr_rate_cleaned!$F$2:$F$10,"&gt;="&amp;C1423)</f>
        <v>1</v>
      </c>
      <c r="G1423" s="40">
        <f>SUMIFS(mdr_rate_cleaned!$G$2:$G$10,mdr_rate_cleaned!$A$2:$A$10,B1423,mdr_rate_cleaned!$B$2:$B$10,"&lt;"&amp;C1423,mdr_rate_cleaned!$F$2:$F$10,"&gt;="&amp;C1423)</f>
        <v>3.0000000000000001E-3</v>
      </c>
      <c r="H1423" s="24">
        <f t="shared" si="110"/>
        <v>15.89</v>
      </c>
      <c r="I1423" s="23" t="str">
        <f t="shared" si="111"/>
        <v>Match</v>
      </c>
      <c r="J1423" s="23" t="str">
        <f t="shared" si="112"/>
        <v>Match</v>
      </c>
      <c r="K1423" s="24">
        <f t="shared" si="113"/>
        <v>2.86</v>
      </c>
      <c r="L1423" s="24">
        <f t="shared" si="114"/>
        <v>0</v>
      </c>
    </row>
    <row r="1424" spans="1:12" ht="15" customHeight="1" x14ac:dyDescent="0.3">
      <c r="A1424" s="23" t="s">
        <v>14096</v>
      </c>
      <c r="B1424" s="23" t="s">
        <v>75</v>
      </c>
      <c r="C1424" s="39">
        <v>1148</v>
      </c>
      <c r="D1424" s="24">
        <v>0</v>
      </c>
      <c r="E1424" s="24">
        <v>0</v>
      </c>
      <c r="F1424" s="23">
        <f>COUNTIFS(mdr_rate_cleaned!$A$2:$A$10,B1424,mdr_rate_cleaned!$B$2:$B$10,"&lt;"&amp;C1424,mdr_rate_cleaned!$F$2:$F$10,"&gt;="&amp;C1424)</f>
        <v>1</v>
      </c>
      <c r="G1424" s="40">
        <f>SUMIFS(mdr_rate_cleaned!$G$2:$G$10,mdr_rate_cleaned!$A$2:$A$10,B1424,mdr_rate_cleaned!$B$2:$B$10,"&lt;"&amp;C1424,mdr_rate_cleaned!$F$2:$F$10,"&gt;="&amp;C1424)</f>
        <v>0</v>
      </c>
      <c r="H1424" s="24">
        <f t="shared" si="110"/>
        <v>0</v>
      </c>
      <c r="I1424" s="23" t="str">
        <f t="shared" si="111"/>
        <v>Match</v>
      </c>
      <c r="J1424" s="23" t="str">
        <f t="shared" si="112"/>
        <v>Match</v>
      </c>
      <c r="K1424" s="24">
        <f t="shared" si="113"/>
        <v>0</v>
      </c>
      <c r="L1424" s="24">
        <f t="shared" si="114"/>
        <v>0</v>
      </c>
    </row>
    <row r="1425" spans="1:12" ht="15" customHeight="1" x14ac:dyDescent="0.3">
      <c r="A1425" s="23" t="s">
        <v>14097</v>
      </c>
      <c r="B1425" s="23" t="s">
        <v>77</v>
      </c>
      <c r="C1425" s="39">
        <v>999</v>
      </c>
      <c r="D1425" s="24">
        <v>18.98</v>
      </c>
      <c r="E1425" s="24">
        <v>3.42</v>
      </c>
      <c r="F1425" s="23">
        <f>COUNTIFS(mdr_rate_cleaned!$A$2:$A$10,B1425,mdr_rate_cleaned!$B$2:$B$10,"&lt;"&amp;C1425,mdr_rate_cleaned!$F$2:$F$10,"&gt;="&amp;C1425)</f>
        <v>1</v>
      </c>
      <c r="G1425" s="40">
        <f>SUMIFS(mdr_rate_cleaned!$G$2:$G$10,mdr_rate_cleaned!$A$2:$A$10,B1425,mdr_rate_cleaned!$B$2:$B$10,"&lt;"&amp;C1425,mdr_rate_cleaned!$F$2:$F$10,"&gt;="&amp;C1425)</f>
        <v>1.9E-2</v>
      </c>
      <c r="H1425" s="24">
        <f t="shared" si="110"/>
        <v>18.98</v>
      </c>
      <c r="I1425" s="23" t="str">
        <f t="shared" si="111"/>
        <v>Match</v>
      </c>
      <c r="J1425" s="23" t="str">
        <f t="shared" si="112"/>
        <v>Match</v>
      </c>
      <c r="K1425" s="24">
        <f t="shared" si="113"/>
        <v>3.42</v>
      </c>
      <c r="L1425" s="24">
        <f t="shared" si="114"/>
        <v>0</v>
      </c>
    </row>
    <row r="1426" spans="1:12" ht="15" customHeight="1" x14ac:dyDescent="0.3">
      <c r="A1426" s="23" t="s">
        <v>14098</v>
      </c>
      <c r="B1426" s="23" t="s">
        <v>79</v>
      </c>
      <c r="C1426" s="39">
        <v>499</v>
      </c>
      <c r="D1426" s="24">
        <v>8.98</v>
      </c>
      <c r="E1426" s="24">
        <v>1.62</v>
      </c>
      <c r="F1426" s="23">
        <f>COUNTIFS(mdr_rate_cleaned!$A$2:$A$10,B1426,mdr_rate_cleaned!$B$2:$B$10,"&lt;"&amp;C1426,mdr_rate_cleaned!$F$2:$F$10,"&gt;="&amp;C1426)</f>
        <v>1</v>
      </c>
      <c r="G1426" s="40">
        <f>SUMIFS(mdr_rate_cleaned!$G$2:$G$10,mdr_rate_cleaned!$A$2:$A$10,B1426,mdr_rate_cleaned!$B$2:$B$10,"&lt;"&amp;C1426,mdr_rate_cleaned!$F$2:$F$10,"&gt;="&amp;C1426)</f>
        <v>1.8000000000000002E-2</v>
      </c>
      <c r="H1426" s="24">
        <f t="shared" si="110"/>
        <v>8.98</v>
      </c>
      <c r="I1426" s="23" t="str">
        <f t="shared" si="111"/>
        <v>Match</v>
      </c>
      <c r="J1426" s="23" t="str">
        <f t="shared" si="112"/>
        <v>Match</v>
      </c>
      <c r="K1426" s="24">
        <f t="shared" si="113"/>
        <v>1.62</v>
      </c>
      <c r="L1426" s="24">
        <f t="shared" si="114"/>
        <v>0</v>
      </c>
    </row>
    <row r="1427" spans="1:12" ht="15" customHeight="1" x14ac:dyDescent="0.3">
      <c r="A1427" s="23" t="s">
        <v>14099</v>
      </c>
      <c r="B1427" s="23" t="s">
        <v>75</v>
      </c>
      <c r="C1427" s="39">
        <v>4999</v>
      </c>
      <c r="D1427" s="24">
        <v>15</v>
      </c>
      <c r="E1427" s="24">
        <v>2.7</v>
      </c>
      <c r="F1427" s="23">
        <f>COUNTIFS(mdr_rate_cleaned!$A$2:$A$10,B1427,mdr_rate_cleaned!$B$2:$B$10,"&lt;"&amp;C1427,mdr_rate_cleaned!$F$2:$F$10,"&gt;="&amp;C1427)</f>
        <v>1</v>
      </c>
      <c r="G1427" s="40">
        <f>SUMIFS(mdr_rate_cleaned!$G$2:$G$10,mdr_rate_cleaned!$A$2:$A$10,B1427,mdr_rate_cleaned!$B$2:$B$10,"&lt;"&amp;C1427,mdr_rate_cleaned!$F$2:$F$10,"&gt;="&amp;C1427)</f>
        <v>3.0000000000000001E-3</v>
      </c>
      <c r="H1427" s="24">
        <f t="shared" si="110"/>
        <v>15</v>
      </c>
      <c r="I1427" s="23" t="str">
        <f t="shared" si="111"/>
        <v>Match</v>
      </c>
      <c r="J1427" s="23" t="str">
        <f t="shared" si="112"/>
        <v>Match</v>
      </c>
      <c r="K1427" s="24">
        <f t="shared" si="113"/>
        <v>2.7</v>
      </c>
      <c r="L1427" s="24">
        <f t="shared" si="114"/>
        <v>0</v>
      </c>
    </row>
    <row r="1428" spans="1:12" ht="15" customHeight="1" x14ac:dyDescent="0.3">
      <c r="A1428" s="23" t="s">
        <v>14100</v>
      </c>
      <c r="B1428" s="23" t="s">
        <v>75</v>
      </c>
      <c r="C1428" s="39">
        <v>3499</v>
      </c>
      <c r="D1428" s="24">
        <v>10.5</v>
      </c>
      <c r="E1428" s="24">
        <v>1.89</v>
      </c>
      <c r="F1428" s="23">
        <f>COUNTIFS(mdr_rate_cleaned!$A$2:$A$10,B1428,mdr_rate_cleaned!$B$2:$B$10,"&lt;"&amp;C1428,mdr_rate_cleaned!$F$2:$F$10,"&gt;="&amp;C1428)</f>
        <v>1</v>
      </c>
      <c r="G1428" s="40">
        <f>SUMIFS(mdr_rate_cleaned!$G$2:$G$10,mdr_rate_cleaned!$A$2:$A$10,B1428,mdr_rate_cleaned!$B$2:$B$10,"&lt;"&amp;C1428,mdr_rate_cleaned!$F$2:$F$10,"&gt;="&amp;C1428)</f>
        <v>3.0000000000000001E-3</v>
      </c>
      <c r="H1428" s="24">
        <f t="shared" si="110"/>
        <v>10.5</v>
      </c>
      <c r="I1428" s="23" t="str">
        <f t="shared" si="111"/>
        <v>Match</v>
      </c>
      <c r="J1428" s="23" t="str">
        <f t="shared" si="112"/>
        <v>Match</v>
      </c>
      <c r="K1428" s="24">
        <f t="shared" si="113"/>
        <v>1.89</v>
      </c>
      <c r="L1428" s="24">
        <f t="shared" si="114"/>
        <v>0</v>
      </c>
    </row>
    <row r="1429" spans="1:12" ht="15" customHeight="1" x14ac:dyDescent="0.3">
      <c r="A1429" s="23" t="s">
        <v>14101</v>
      </c>
      <c r="B1429" s="23" t="s">
        <v>75</v>
      </c>
      <c r="C1429" s="39">
        <v>2999</v>
      </c>
      <c r="D1429" s="24">
        <v>9</v>
      </c>
      <c r="E1429" s="24">
        <v>1.62</v>
      </c>
      <c r="F1429" s="23">
        <f>COUNTIFS(mdr_rate_cleaned!$A$2:$A$10,B1429,mdr_rate_cleaned!$B$2:$B$10,"&lt;"&amp;C1429,mdr_rate_cleaned!$F$2:$F$10,"&gt;="&amp;C1429)</f>
        <v>1</v>
      </c>
      <c r="G1429" s="40">
        <f>SUMIFS(mdr_rate_cleaned!$G$2:$G$10,mdr_rate_cleaned!$A$2:$A$10,B1429,mdr_rate_cleaned!$B$2:$B$10,"&lt;"&amp;C1429,mdr_rate_cleaned!$F$2:$F$10,"&gt;="&amp;C1429)</f>
        <v>3.0000000000000001E-3</v>
      </c>
      <c r="H1429" s="24">
        <f t="shared" si="110"/>
        <v>9</v>
      </c>
      <c r="I1429" s="23" t="str">
        <f t="shared" si="111"/>
        <v>Match</v>
      </c>
      <c r="J1429" s="23" t="str">
        <f t="shared" si="112"/>
        <v>Match</v>
      </c>
      <c r="K1429" s="24">
        <f t="shared" si="113"/>
        <v>1.62</v>
      </c>
      <c r="L1429" s="24">
        <f t="shared" si="114"/>
        <v>0</v>
      </c>
    </row>
    <row r="1430" spans="1:12" ht="15" customHeight="1" x14ac:dyDescent="0.3">
      <c r="A1430" s="23" t="s">
        <v>14102</v>
      </c>
      <c r="B1430" s="23" t="s">
        <v>75</v>
      </c>
      <c r="C1430" s="39">
        <v>1848</v>
      </c>
      <c r="D1430" s="24">
        <v>0</v>
      </c>
      <c r="E1430" s="24">
        <v>0</v>
      </c>
      <c r="F1430" s="23">
        <f>COUNTIFS(mdr_rate_cleaned!$A$2:$A$10,B1430,mdr_rate_cleaned!$B$2:$B$10,"&lt;"&amp;C1430,mdr_rate_cleaned!$F$2:$F$10,"&gt;="&amp;C1430)</f>
        <v>1</v>
      </c>
      <c r="G1430" s="40">
        <f>SUMIFS(mdr_rate_cleaned!$G$2:$G$10,mdr_rate_cleaned!$A$2:$A$10,B1430,mdr_rate_cleaned!$B$2:$B$10,"&lt;"&amp;C1430,mdr_rate_cleaned!$F$2:$F$10,"&gt;="&amp;C1430)</f>
        <v>0</v>
      </c>
      <c r="H1430" s="24">
        <f t="shared" si="110"/>
        <v>0</v>
      </c>
      <c r="I1430" s="23" t="str">
        <f t="shared" si="111"/>
        <v>Match</v>
      </c>
      <c r="J1430" s="23" t="str">
        <f t="shared" si="112"/>
        <v>Match</v>
      </c>
      <c r="K1430" s="24">
        <f t="shared" si="113"/>
        <v>0</v>
      </c>
      <c r="L1430" s="24">
        <f t="shared" si="114"/>
        <v>0</v>
      </c>
    </row>
    <row r="1431" spans="1:12" ht="15" customHeight="1" x14ac:dyDescent="0.3">
      <c r="A1431" s="23" t="s">
        <v>14104</v>
      </c>
      <c r="B1431" s="23" t="s">
        <v>79</v>
      </c>
      <c r="C1431" s="39">
        <v>1499</v>
      </c>
      <c r="D1431" s="24">
        <v>26.98</v>
      </c>
      <c r="E1431" s="24">
        <v>4.8600000000000003</v>
      </c>
      <c r="F1431" s="23">
        <f>COUNTIFS(mdr_rate_cleaned!$A$2:$A$10,B1431,mdr_rate_cleaned!$B$2:$B$10,"&lt;"&amp;C1431,mdr_rate_cleaned!$F$2:$F$10,"&gt;="&amp;C1431)</f>
        <v>1</v>
      </c>
      <c r="G1431" s="40">
        <f>SUMIFS(mdr_rate_cleaned!$G$2:$G$10,mdr_rate_cleaned!$A$2:$A$10,B1431,mdr_rate_cleaned!$B$2:$B$10,"&lt;"&amp;C1431,mdr_rate_cleaned!$F$2:$F$10,"&gt;="&amp;C1431)</f>
        <v>1.8000000000000002E-2</v>
      </c>
      <c r="H1431" s="24">
        <f t="shared" si="110"/>
        <v>26.98</v>
      </c>
      <c r="I1431" s="23" t="str">
        <f t="shared" si="111"/>
        <v>Match</v>
      </c>
      <c r="J1431" s="23" t="str">
        <f t="shared" si="112"/>
        <v>Match</v>
      </c>
      <c r="K1431" s="24">
        <f t="shared" si="113"/>
        <v>4.8600000000000003</v>
      </c>
      <c r="L1431" s="24">
        <f t="shared" si="114"/>
        <v>0</v>
      </c>
    </row>
    <row r="1432" spans="1:12" ht="15" customHeight="1" x14ac:dyDescent="0.3">
      <c r="A1432" s="23" t="s">
        <v>14105</v>
      </c>
      <c r="B1432" s="23" t="s">
        <v>79</v>
      </c>
      <c r="C1432" s="39">
        <v>1299</v>
      </c>
      <c r="D1432" s="24">
        <v>23.38</v>
      </c>
      <c r="E1432" s="24">
        <v>4.21</v>
      </c>
      <c r="F1432" s="23">
        <f>COUNTIFS(mdr_rate_cleaned!$A$2:$A$10,B1432,mdr_rate_cleaned!$B$2:$B$10,"&lt;"&amp;C1432,mdr_rate_cleaned!$F$2:$F$10,"&gt;="&amp;C1432)</f>
        <v>1</v>
      </c>
      <c r="G1432" s="40">
        <f>SUMIFS(mdr_rate_cleaned!$G$2:$G$10,mdr_rate_cleaned!$A$2:$A$10,B1432,mdr_rate_cleaned!$B$2:$B$10,"&lt;"&amp;C1432,mdr_rate_cleaned!$F$2:$F$10,"&gt;="&amp;C1432)</f>
        <v>1.8000000000000002E-2</v>
      </c>
      <c r="H1432" s="24">
        <f t="shared" si="110"/>
        <v>23.38</v>
      </c>
      <c r="I1432" s="23" t="str">
        <f t="shared" si="111"/>
        <v>Match</v>
      </c>
      <c r="J1432" s="23" t="str">
        <f t="shared" si="112"/>
        <v>Match</v>
      </c>
      <c r="K1432" s="24">
        <f t="shared" si="113"/>
        <v>4.21</v>
      </c>
      <c r="L1432" s="24">
        <f t="shared" si="114"/>
        <v>0</v>
      </c>
    </row>
    <row r="1433" spans="1:12" ht="15" customHeight="1" x14ac:dyDescent="0.3">
      <c r="A1433" s="23" t="s">
        <v>14106</v>
      </c>
      <c r="B1433" s="23" t="s">
        <v>79</v>
      </c>
      <c r="C1433" s="39">
        <v>5847</v>
      </c>
      <c r="D1433" s="24">
        <v>93.55</v>
      </c>
      <c r="E1433" s="24">
        <v>16.84</v>
      </c>
      <c r="F1433" s="23">
        <f>COUNTIFS(mdr_rate_cleaned!$A$2:$A$10,B1433,mdr_rate_cleaned!$B$2:$B$10,"&lt;"&amp;C1433,mdr_rate_cleaned!$F$2:$F$10,"&gt;="&amp;C1433)</f>
        <v>1</v>
      </c>
      <c r="G1433" s="40">
        <f>SUMIFS(mdr_rate_cleaned!$G$2:$G$10,mdr_rate_cleaned!$A$2:$A$10,B1433,mdr_rate_cleaned!$B$2:$B$10,"&lt;"&amp;C1433,mdr_rate_cleaned!$F$2:$F$10,"&gt;="&amp;C1433)</f>
        <v>1.6E-2</v>
      </c>
      <c r="H1433" s="24">
        <f t="shared" si="110"/>
        <v>93.55</v>
      </c>
      <c r="I1433" s="23" t="str">
        <f t="shared" si="111"/>
        <v>Match</v>
      </c>
      <c r="J1433" s="23" t="str">
        <f t="shared" si="112"/>
        <v>Match</v>
      </c>
      <c r="K1433" s="24">
        <f t="shared" si="113"/>
        <v>16.84</v>
      </c>
      <c r="L1433" s="24">
        <f t="shared" si="114"/>
        <v>0</v>
      </c>
    </row>
    <row r="1434" spans="1:12" ht="15" customHeight="1" x14ac:dyDescent="0.3">
      <c r="A1434" s="23" t="s">
        <v>14108</v>
      </c>
      <c r="B1434" s="23" t="s">
        <v>79</v>
      </c>
      <c r="C1434" s="39">
        <v>1799</v>
      </c>
      <c r="D1434" s="24">
        <v>32.380000000000003</v>
      </c>
      <c r="E1434" s="24">
        <v>5.83</v>
      </c>
      <c r="F1434" s="23">
        <f>COUNTIFS(mdr_rate_cleaned!$A$2:$A$10,B1434,mdr_rate_cleaned!$B$2:$B$10,"&lt;"&amp;C1434,mdr_rate_cleaned!$F$2:$F$10,"&gt;="&amp;C1434)</f>
        <v>1</v>
      </c>
      <c r="G1434" s="40">
        <f>SUMIFS(mdr_rate_cleaned!$G$2:$G$10,mdr_rate_cleaned!$A$2:$A$10,B1434,mdr_rate_cleaned!$B$2:$B$10,"&lt;"&amp;C1434,mdr_rate_cleaned!$F$2:$F$10,"&gt;="&amp;C1434)</f>
        <v>1.8000000000000002E-2</v>
      </c>
      <c r="H1434" s="24">
        <f t="shared" si="110"/>
        <v>32.380000000000003</v>
      </c>
      <c r="I1434" s="23" t="str">
        <f t="shared" si="111"/>
        <v>Match</v>
      </c>
      <c r="J1434" s="23" t="str">
        <f t="shared" si="112"/>
        <v>Match</v>
      </c>
      <c r="K1434" s="24">
        <f t="shared" si="113"/>
        <v>5.83</v>
      </c>
      <c r="L1434" s="24">
        <f t="shared" si="114"/>
        <v>0</v>
      </c>
    </row>
    <row r="1435" spans="1:12" ht="15" customHeight="1" x14ac:dyDescent="0.3">
      <c r="A1435" s="23" t="s">
        <v>14110</v>
      </c>
      <c r="B1435" s="23" t="s">
        <v>75</v>
      </c>
      <c r="C1435" s="39">
        <v>7999</v>
      </c>
      <c r="D1435" s="24">
        <v>24</v>
      </c>
      <c r="E1435" s="24">
        <v>4.32</v>
      </c>
      <c r="F1435" s="23">
        <f>COUNTIFS(mdr_rate_cleaned!$A$2:$A$10,B1435,mdr_rate_cleaned!$B$2:$B$10,"&lt;"&amp;C1435,mdr_rate_cleaned!$F$2:$F$10,"&gt;="&amp;C1435)</f>
        <v>1</v>
      </c>
      <c r="G1435" s="40">
        <f>SUMIFS(mdr_rate_cleaned!$G$2:$G$10,mdr_rate_cleaned!$A$2:$A$10,B1435,mdr_rate_cleaned!$B$2:$B$10,"&lt;"&amp;C1435,mdr_rate_cleaned!$F$2:$F$10,"&gt;="&amp;C1435)</f>
        <v>3.0000000000000001E-3</v>
      </c>
      <c r="H1435" s="24">
        <f t="shared" si="110"/>
        <v>24</v>
      </c>
      <c r="I1435" s="23" t="str">
        <f t="shared" si="111"/>
        <v>Match</v>
      </c>
      <c r="J1435" s="23" t="str">
        <f t="shared" si="112"/>
        <v>Match</v>
      </c>
      <c r="K1435" s="24">
        <f t="shared" si="113"/>
        <v>4.32</v>
      </c>
      <c r="L1435" s="24">
        <f t="shared" si="114"/>
        <v>0</v>
      </c>
    </row>
    <row r="1436" spans="1:12" ht="15" customHeight="1" x14ac:dyDescent="0.3">
      <c r="A1436" s="23" t="s">
        <v>14112</v>
      </c>
      <c r="B1436" s="23" t="s">
        <v>75</v>
      </c>
      <c r="C1436" s="39">
        <v>2999</v>
      </c>
      <c r="D1436" s="24">
        <v>9</v>
      </c>
      <c r="E1436" s="24">
        <v>1.62</v>
      </c>
      <c r="F1436" s="23">
        <f>COUNTIFS(mdr_rate_cleaned!$A$2:$A$10,B1436,mdr_rate_cleaned!$B$2:$B$10,"&lt;"&amp;C1436,mdr_rate_cleaned!$F$2:$F$10,"&gt;="&amp;C1436)</f>
        <v>1</v>
      </c>
      <c r="G1436" s="40">
        <f>SUMIFS(mdr_rate_cleaned!$G$2:$G$10,mdr_rate_cleaned!$A$2:$A$10,B1436,mdr_rate_cleaned!$B$2:$B$10,"&lt;"&amp;C1436,mdr_rate_cleaned!$F$2:$F$10,"&gt;="&amp;C1436)</f>
        <v>3.0000000000000001E-3</v>
      </c>
      <c r="H1436" s="24">
        <f t="shared" si="110"/>
        <v>9</v>
      </c>
      <c r="I1436" s="23" t="str">
        <f t="shared" si="111"/>
        <v>Match</v>
      </c>
      <c r="J1436" s="23" t="str">
        <f t="shared" si="112"/>
        <v>Match</v>
      </c>
      <c r="K1436" s="24">
        <f t="shared" si="113"/>
        <v>1.62</v>
      </c>
      <c r="L1436" s="24">
        <f t="shared" si="114"/>
        <v>0</v>
      </c>
    </row>
    <row r="1437" spans="1:12" ht="15" customHeight="1" x14ac:dyDescent="0.3">
      <c r="A1437" s="23" t="s">
        <v>14114</v>
      </c>
      <c r="B1437" s="23" t="s">
        <v>79</v>
      </c>
      <c r="C1437" s="39">
        <v>1299</v>
      </c>
      <c r="D1437" s="24">
        <v>23.38</v>
      </c>
      <c r="E1437" s="24">
        <v>4.21</v>
      </c>
      <c r="F1437" s="23">
        <f>COUNTIFS(mdr_rate_cleaned!$A$2:$A$10,B1437,mdr_rate_cleaned!$B$2:$B$10,"&lt;"&amp;C1437,mdr_rate_cleaned!$F$2:$F$10,"&gt;="&amp;C1437)</f>
        <v>1</v>
      </c>
      <c r="G1437" s="40">
        <f>SUMIFS(mdr_rate_cleaned!$G$2:$G$10,mdr_rate_cleaned!$A$2:$A$10,B1437,mdr_rate_cleaned!$B$2:$B$10,"&lt;"&amp;C1437,mdr_rate_cleaned!$F$2:$F$10,"&gt;="&amp;C1437)</f>
        <v>1.8000000000000002E-2</v>
      </c>
      <c r="H1437" s="24">
        <f t="shared" si="110"/>
        <v>23.38</v>
      </c>
      <c r="I1437" s="23" t="str">
        <f t="shared" si="111"/>
        <v>Match</v>
      </c>
      <c r="J1437" s="23" t="str">
        <f t="shared" si="112"/>
        <v>Match</v>
      </c>
      <c r="K1437" s="24">
        <f t="shared" si="113"/>
        <v>4.21</v>
      </c>
      <c r="L1437" s="24">
        <f t="shared" si="114"/>
        <v>0</v>
      </c>
    </row>
    <row r="1438" spans="1:12" ht="15" customHeight="1" x14ac:dyDescent="0.3">
      <c r="A1438" s="23" t="s">
        <v>14115</v>
      </c>
      <c r="B1438" s="23" t="s">
        <v>75</v>
      </c>
      <c r="C1438" s="39">
        <v>349</v>
      </c>
      <c r="D1438" s="24">
        <v>0</v>
      </c>
      <c r="E1438" s="24">
        <v>0</v>
      </c>
      <c r="F1438" s="23">
        <f>COUNTIFS(mdr_rate_cleaned!$A$2:$A$10,B1438,mdr_rate_cleaned!$B$2:$B$10,"&lt;"&amp;C1438,mdr_rate_cleaned!$F$2:$F$10,"&gt;="&amp;C1438)</f>
        <v>1</v>
      </c>
      <c r="G1438" s="40">
        <f>SUMIFS(mdr_rate_cleaned!$G$2:$G$10,mdr_rate_cleaned!$A$2:$A$10,B1438,mdr_rate_cleaned!$B$2:$B$10,"&lt;"&amp;C1438,mdr_rate_cleaned!$F$2:$F$10,"&gt;="&amp;C1438)</f>
        <v>0</v>
      </c>
      <c r="H1438" s="24">
        <f t="shared" si="110"/>
        <v>0</v>
      </c>
      <c r="I1438" s="23" t="str">
        <f t="shared" si="111"/>
        <v>Match</v>
      </c>
      <c r="J1438" s="23" t="str">
        <f t="shared" si="112"/>
        <v>Match</v>
      </c>
      <c r="K1438" s="24">
        <f t="shared" si="113"/>
        <v>0</v>
      </c>
      <c r="L1438" s="24">
        <f t="shared" si="114"/>
        <v>0</v>
      </c>
    </row>
    <row r="1439" spans="1:12" ht="15" customHeight="1" x14ac:dyDescent="0.3">
      <c r="A1439" s="23" t="s">
        <v>14116</v>
      </c>
      <c r="B1439" s="23" t="s">
        <v>75</v>
      </c>
      <c r="C1439" s="39">
        <v>2098</v>
      </c>
      <c r="D1439" s="24">
        <v>6.29</v>
      </c>
      <c r="E1439" s="24">
        <v>1.1299999999999999</v>
      </c>
      <c r="F1439" s="23">
        <f>COUNTIFS(mdr_rate_cleaned!$A$2:$A$10,B1439,mdr_rate_cleaned!$B$2:$B$10,"&lt;"&amp;C1439,mdr_rate_cleaned!$F$2:$F$10,"&gt;="&amp;C1439)</f>
        <v>1</v>
      </c>
      <c r="G1439" s="40">
        <f>SUMIFS(mdr_rate_cleaned!$G$2:$G$10,mdr_rate_cleaned!$A$2:$A$10,B1439,mdr_rate_cleaned!$B$2:$B$10,"&lt;"&amp;C1439,mdr_rate_cleaned!$F$2:$F$10,"&gt;="&amp;C1439)</f>
        <v>3.0000000000000001E-3</v>
      </c>
      <c r="H1439" s="24">
        <f t="shared" si="110"/>
        <v>6.29</v>
      </c>
      <c r="I1439" s="23" t="str">
        <f t="shared" si="111"/>
        <v>Match</v>
      </c>
      <c r="J1439" s="23" t="str">
        <f t="shared" si="112"/>
        <v>Match</v>
      </c>
      <c r="K1439" s="24">
        <f t="shared" si="113"/>
        <v>1.1299999999999999</v>
      </c>
      <c r="L1439" s="24">
        <f t="shared" si="114"/>
        <v>0</v>
      </c>
    </row>
    <row r="1440" spans="1:12" ht="15" customHeight="1" x14ac:dyDescent="0.3">
      <c r="A1440" s="23" t="s">
        <v>14117</v>
      </c>
      <c r="B1440" s="23" t="s">
        <v>75</v>
      </c>
      <c r="C1440" s="39">
        <v>3098</v>
      </c>
      <c r="D1440" s="24">
        <v>9.2899999999999991</v>
      </c>
      <c r="E1440" s="24">
        <v>1.67</v>
      </c>
      <c r="F1440" s="23">
        <f>COUNTIFS(mdr_rate_cleaned!$A$2:$A$10,B1440,mdr_rate_cleaned!$B$2:$B$10,"&lt;"&amp;C1440,mdr_rate_cleaned!$F$2:$F$10,"&gt;="&amp;C1440)</f>
        <v>1</v>
      </c>
      <c r="G1440" s="40">
        <f>SUMIFS(mdr_rate_cleaned!$G$2:$G$10,mdr_rate_cleaned!$A$2:$A$10,B1440,mdr_rate_cleaned!$B$2:$B$10,"&lt;"&amp;C1440,mdr_rate_cleaned!$F$2:$F$10,"&gt;="&amp;C1440)</f>
        <v>3.0000000000000001E-3</v>
      </c>
      <c r="H1440" s="24">
        <f t="shared" si="110"/>
        <v>9.2899999999999991</v>
      </c>
      <c r="I1440" s="23" t="str">
        <f t="shared" si="111"/>
        <v>Match</v>
      </c>
      <c r="J1440" s="23" t="str">
        <f t="shared" si="112"/>
        <v>Match</v>
      </c>
      <c r="K1440" s="24">
        <f t="shared" si="113"/>
        <v>1.67</v>
      </c>
      <c r="L1440" s="24">
        <f t="shared" si="114"/>
        <v>0</v>
      </c>
    </row>
    <row r="1441" spans="1:12" ht="15" customHeight="1" x14ac:dyDescent="0.3">
      <c r="A1441" s="23" t="s">
        <v>14118</v>
      </c>
      <c r="B1441" s="23" t="s">
        <v>75</v>
      </c>
      <c r="C1441" s="39">
        <v>7999</v>
      </c>
      <c r="D1441" s="24">
        <v>24</v>
      </c>
      <c r="E1441" s="24">
        <v>4.32</v>
      </c>
      <c r="F1441" s="23">
        <f>COUNTIFS(mdr_rate_cleaned!$A$2:$A$10,B1441,mdr_rate_cleaned!$B$2:$B$10,"&lt;"&amp;C1441,mdr_rate_cleaned!$F$2:$F$10,"&gt;="&amp;C1441)</f>
        <v>1</v>
      </c>
      <c r="G1441" s="40">
        <f>SUMIFS(mdr_rate_cleaned!$G$2:$G$10,mdr_rate_cleaned!$A$2:$A$10,B1441,mdr_rate_cleaned!$B$2:$B$10,"&lt;"&amp;C1441,mdr_rate_cleaned!$F$2:$F$10,"&gt;="&amp;C1441)</f>
        <v>3.0000000000000001E-3</v>
      </c>
      <c r="H1441" s="24">
        <f t="shared" si="110"/>
        <v>24</v>
      </c>
      <c r="I1441" s="23" t="str">
        <f t="shared" si="111"/>
        <v>Match</v>
      </c>
      <c r="J1441" s="23" t="str">
        <f t="shared" si="112"/>
        <v>Match</v>
      </c>
      <c r="K1441" s="24">
        <f t="shared" si="113"/>
        <v>4.32</v>
      </c>
      <c r="L1441" s="24">
        <f t="shared" si="114"/>
        <v>0</v>
      </c>
    </row>
    <row r="1442" spans="1:12" ht="15" customHeight="1" x14ac:dyDescent="0.3">
      <c r="A1442" s="23" t="s">
        <v>14120</v>
      </c>
      <c r="B1442" s="23" t="s">
        <v>75</v>
      </c>
      <c r="C1442" s="39">
        <v>2798</v>
      </c>
      <c r="D1442" s="24">
        <v>8.39</v>
      </c>
      <c r="E1442" s="24">
        <v>1.51</v>
      </c>
      <c r="F1442" s="23">
        <f>COUNTIFS(mdr_rate_cleaned!$A$2:$A$10,B1442,mdr_rate_cleaned!$B$2:$B$10,"&lt;"&amp;C1442,mdr_rate_cleaned!$F$2:$F$10,"&gt;="&amp;C1442)</f>
        <v>1</v>
      </c>
      <c r="G1442" s="40">
        <f>SUMIFS(mdr_rate_cleaned!$G$2:$G$10,mdr_rate_cleaned!$A$2:$A$10,B1442,mdr_rate_cleaned!$B$2:$B$10,"&lt;"&amp;C1442,mdr_rate_cleaned!$F$2:$F$10,"&gt;="&amp;C1442)</f>
        <v>3.0000000000000001E-3</v>
      </c>
      <c r="H1442" s="24">
        <f t="shared" si="110"/>
        <v>8.39</v>
      </c>
      <c r="I1442" s="23" t="str">
        <f t="shared" si="111"/>
        <v>Match</v>
      </c>
      <c r="J1442" s="23" t="str">
        <f t="shared" si="112"/>
        <v>Match</v>
      </c>
      <c r="K1442" s="24">
        <f t="shared" si="113"/>
        <v>1.51</v>
      </c>
      <c r="L1442" s="24">
        <f t="shared" si="114"/>
        <v>0</v>
      </c>
    </row>
    <row r="1443" spans="1:12" ht="15" customHeight="1" x14ac:dyDescent="0.3">
      <c r="A1443" s="23" t="s">
        <v>14121</v>
      </c>
      <c r="B1443" s="23" t="s">
        <v>81</v>
      </c>
      <c r="C1443" s="39">
        <v>299</v>
      </c>
      <c r="D1443" s="24">
        <v>4.49</v>
      </c>
      <c r="E1443" s="24">
        <v>0.81</v>
      </c>
      <c r="F1443" s="23">
        <f>COUNTIFS(mdr_rate_cleaned!$A$2:$A$10,B1443,mdr_rate_cleaned!$B$2:$B$10,"&lt;"&amp;C1443,mdr_rate_cleaned!$F$2:$F$10,"&gt;="&amp;C1443)</f>
        <v>1</v>
      </c>
      <c r="G1443" s="40">
        <f>SUMIFS(mdr_rate_cleaned!$G$2:$G$10,mdr_rate_cleaned!$A$2:$A$10,B1443,mdr_rate_cleaned!$B$2:$B$10,"&lt;"&amp;C1443,mdr_rate_cleaned!$F$2:$F$10,"&gt;="&amp;C1443)</f>
        <v>1.4999999999999999E-2</v>
      </c>
      <c r="H1443" s="24">
        <f t="shared" si="110"/>
        <v>4.49</v>
      </c>
      <c r="I1443" s="23" t="str">
        <f t="shared" si="111"/>
        <v>Match</v>
      </c>
      <c r="J1443" s="23" t="str">
        <f t="shared" si="112"/>
        <v>Match</v>
      </c>
      <c r="K1443" s="24">
        <f t="shared" si="113"/>
        <v>0.81</v>
      </c>
      <c r="L1443" s="24">
        <f t="shared" si="114"/>
        <v>0</v>
      </c>
    </row>
    <row r="1444" spans="1:12" ht="15" customHeight="1" x14ac:dyDescent="0.3">
      <c r="A1444" s="23" t="s">
        <v>14122</v>
      </c>
      <c r="B1444" s="23" t="s">
        <v>75</v>
      </c>
      <c r="C1444" s="39">
        <v>7999</v>
      </c>
      <c r="D1444" s="24">
        <v>24</v>
      </c>
      <c r="E1444" s="24">
        <v>4.32</v>
      </c>
      <c r="F1444" s="23">
        <f>COUNTIFS(mdr_rate_cleaned!$A$2:$A$10,B1444,mdr_rate_cleaned!$B$2:$B$10,"&lt;"&amp;C1444,mdr_rate_cleaned!$F$2:$F$10,"&gt;="&amp;C1444)</f>
        <v>1</v>
      </c>
      <c r="G1444" s="40">
        <f>SUMIFS(mdr_rate_cleaned!$G$2:$G$10,mdr_rate_cleaned!$A$2:$A$10,B1444,mdr_rate_cleaned!$B$2:$B$10,"&lt;"&amp;C1444,mdr_rate_cleaned!$F$2:$F$10,"&gt;="&amp;C1444)</f>
        <v>3.0000000000000001E-3</v>
      </c>
      <c r="H1444" s="24">
        <f t="shared" si="110"/>
        <v>24</v>
      </c>
      <c r="I1444" s="23" t="str">
        <f t="shared" si="111"/>
        <v>Match</v>
      </c>
      <c r="J1444" s="23" t="str">
        <f t="shared" si="112"/>
        <v>Match</v>
      </c>
      <c r="K1444" s="24">
        <f t="shared" si="113"/>
        <v>4.32</v>
      </c>
      <c r="L1444" s="24">
        <f t="shared" si="114"/>
        <v>0</v>
      </c>
    </row>
    <row r="1445" spans="1:12" ht="15" customHeight="1" x14ac:dyDescent="0.3">
      <c r="A1445" s="23" t="s">
        <v>14123</v>
      </c>
      <c r="B1445" s="23" t="s">
        <v>75</v>
      </c>
      <c r="C1445" s="39">
        <v>799</v>
      </c>
      <c r="D1445" s="24">
        <v>0</v>
      </c>
      <c r="E1445" s="24">
        <v>0</v>
      </c>
      <c r="F1445" s="23">
        <f>COUNTIFS(mdr_rate_cleaned!$A$2:$A$10,B1445,mdr_rate_cleaned!$B$2:$B$10,"&lt;"&amp;C1445,mdr_rate_cleaned!$F$2:$F$10,"&gt;="&amp;C1445)</f>
        <v>1</v>
      </c>
      <c r="G1445" s="40">
        <f>SUMIFS(mdr_rate_cleaned!$G$2:$G$10,mdr_rate_cleaned!$A$2:$A$10,B1445,mdr_rate_cleaned!$B$2:$B$10,"&lt;"&amp;C1445,mdr_rate_cleaned!$F$2:$F$10,"&gt;="&amp;C1445)</f>
        <v>0</v>
      </c>
      <c r="H1445" s="24">
        <f t="shared" si="110"/>
        <v>0</v>
      </c>
      <c r="I1445" s="23" t="str">
        <f t="shared" si="111"/>
        <v>Match</v>
      </c>
      <c r="J1445" s="23" t="str">
        <f t="shared" si="112"/>
        <v>Match</v>
      </c>
      <c r="K1445" s="24">
        <f t="shared" si="113"/>
        <v>0</v>
      </c>
      <c r="L1445" s="24">
        <f t="shared" si="114"/>
        <v>0</v>
      </c>
    </row>
    <row r="1446" spans="1:12" ht="15" customHeight="1" x14ac:dyDescent="0.3">
      <c r="A1446" s="23" t="s">
        <v>14124</v>
      </c>
      <c r="B1446" s="23" t="s">
        <v>75</v>
      </c>
      <c r="C1446" s="39">
        <v>999</v>
      </c>
      <c r="D1446" s="24">
        <v>0</v>
      </c>
      <c r="E1446" s="24">
        <v>0</v>
      </c>
      <c r="F1446" s="23">
        <f>COUNTIFS(mdr_rate_cleaned!$A$2:$A$10,B1446,mdr_rate_cleaned!$B$2:$B$10,"&lt;"&amp;C1446,mdr_rate_cleaned!$F$2:$F$10,"&gt;="&amp;C1446)</f>
        <v>1</v>
      </c>
      <c r="G1446" s="40">
        <f>SUMIFS(mdr_rate_cleaned!$G$2:$G$10,mdr_rate_cleaned!$A$2:$A$10,B1446,mdr_rate_cleaned!$B$2:$B$10,"&lt;"&amp;C1446,mdr_rate_cleaned!$F$2:$F$10,"&gt;="&amp;C1446)</f>
        <v>0</v>
      </c>
      <c r="H1446" s="24">
        <f t="shared" si="110"/>
        <v>0</v>
      </c>
      <c r="I1446" s="23" t="str">
        <f t="shared" si="111"/>
        <v>Match</v>
      </c>
      <c r="J1446" s="23" t="str">
        <f t="shared" si="112"/>
        <v>Match</v>
      </c>
      <c r="K1446" s="24">
        <f t="shared" si="113"/>
        <v>0</v>
      </c>
      <c r="L1446" s="24">
        <f t="shared" si="114"/>
        <v>0</v>
      </c>
    </row>
    <row r="1447" spans="1:12" ht="15" customHeight="1" x14ac:dyDescent="0.3">
      <c r="A1447" s="23" t="s">
        <v>14126</v>
      </c>
      <c r="B1447" s="23" t="s">
        <v>75</v>
      </c>
      <c r="C1447" s="39">
        <v>3499</v>
      </c>
      <c r="D1447" s="24">
        <v>10.5</v>
      </c>
      <c r="E1447" s="24">
        <v>1.89</v>
      </c>
      <c r="F1447" s="23">
        <f>COUNTIFS(mdr_rate_cleaned!$A$2:$A$10,B1447,mdr_rate_cleaned!$B$2:$B$10,"&lt;"&amp;C1447,mdr_rate_cleaned!$F$2:$F$10,"&gt;="&amp;C1447)</f>
        <v>1</v>
      </c>
      <c r="G1447" s="40">
        <f>SUMIFS(mdr_rate_cleaned!$G$2:$G$10,mdr_rate_cleaned!$A$2:$A$10,B1447,mdr_rate_cleaned!$B$2:$B$10,"&lt;"&amp;C1447,mdr_rate_cleaned!$F$2:$F$10,"&gt;="&amp;C1447)</f>
        <v>3.0000000000000001E-3</v>
      </c>
      <c r="H1447" s="24">
        <f t="shared" si="110"/>
        <v>10.5</v>
      </c>
      <c r="I1447" s="23" t="str">
        <f t="shared" si="111"/>
        <v>Match</v>
      </c>
      <c r="J1447" s="23" t="str">
        <f t="shared" si="112"/>
        <v>Match</v>
      </c>
      <c r="K1447" s="24">
        <f t="shared" si="113"/>
        <v>1.89</v>
      </c>
      <c r="L1447" s="24">
        <f t="shared" si="114"/>
        <v>0</v>
      </c>
    </row>
    <row r="1448" spans="1:12" ht="15" customHeight="1" x14ac:dyDescent="0.3">
      <c r="A1448" s="23" t="s">
        <v>14128</v>
      </c>
      <c r="B1448" s="23" t="s">
        <v>75</v>
      </c>
      <c r="C1448" s="39">
        <v>1499</v>
      </c>
      <c r="D1448" s="24">
        <v>0</v>
      </c>
      <c r="E1448" s="24">
        <v>0</v>
      </c>
      <c r="F1448" s="23">
        <f>COUNTIFS(mdr_rate_cleaned!$A$2:$A$10,B1448,mdr_rate_cleaned!$B$2:$B$10,"&lt;"&amp;C1448,mdr_rate_cleaned!$F$2:$F$10,"&gt;="&amp;C1448)</f>
        <v>1</v>
      </c>
      <c r="G1448" s="40">
        <f>SUMIFS(mdr_rate_cleaned!$G$2:$G$10,mdr_rate_cleaned!$A$2:$A$10,B1448,mdr_rate_cleaned!$B$2:$B$10,"&lt;"&amp;C1448,mdr_rate_cleaned!$F$2:$F$10,"&gt;="&amp;C1448)</f>
        <v>0</v>
      </c>
      <c r="H1448" s="24">
        <f t="shared" si="110"/>
        <v>0</v>
      </c>
      <c r="I1448" s="23" t="str">
        <f t="shared" si="111"/>
        <v>Match</v>
      </c>
      <c r="J1448" s="23" t="str">
        <f t="shared" si="112"/>
        <v>Match</v>
      </c>
      <c r="K1448" s="24">
        <f t="shared" si="113"/>
        <v>0</v>
      </c>
      <c r="L1448" s="24">
        <f t="shared" si="114"/>
        <v>0</v>
      </c>
    </row>
    <row r="1449" spans="1:12" ht="15" customHeight="1" x14ac:dyDescent="0.3">
      <c r="A1449" s="23" t="s">
        <v>14129</v>
      </c>
      <c r="B1449" s="23" t="s">
        <v>81</v>
      </c>
      <c r="C1449" s="39">
        <v>2798</v>
      </c>
      <c r="D1449" s="24">
        <v>33.58</v>
      </c>
      <c r="E1449" s="24">
        <v>6.04</v>
      </c>
      <c r="F1449" s="23">
        <f>COUNTIFS(mdr_rate_cleaned!$A$2:$A$10,B1449,mdr_rate_cleaned!$B$2:$B$10,"&lt;"&amp;C1449,mdr_rate_cleaned!$F$2:$F$10,"&gt;="&amp;C1449)</f>
        <v>1</v>
      </c>
      <c r="G1449" s="40">
        <f>SUMIFS(mdr_rate_cleaned!$G$2:$G$10,mdr_rate_cleaned!$A$2:$A$10,B1449,mdr_rate_cleaned!$B$2:$B$10,"&lt;"&amp;C1449,mdr_rate_cleaned!$F$2:$F$10,"&gt;="&amp;C1449)</f>
        <v>1.2E-2</v>
      </c>
      <c r="H1449" s="24">
        <f t="shared" si="110"/>
        <v>33.58</v>
      </c>
      <c r="I1449" s="23" t="str">
        <f t="shared" si="111"/>
        <v>Match</v>
      </c>
      <c r="J1449" s="23" t="str">
        <f t="shared" si="112"/>
        <v>Match</v>
      </c>
      <c r="K1449" s="24">
        <f t="shared" si="113"/>
        <v>6.04</v>
      </c>
      <c r="L1449" s="24">
        <f t="shared" si="114"/>
        <v>0</v>
      </c>
    </row>
    <row r="1450" spans="1:12" ht="15" customHeight="1" x14ac:dyDescent="0.3">
      <c r="A1450" s="23" t="s">
        <v>14130</v>
      </c>
      <c r="B1450" s="23" t="s">
        <v>79</v>
      </c>
      <c r="C1450" s="39">
        <v>499</v>
      </c>
      <c r="D1450" s="24">
        <v>8.98</v>
      </c>
      <c r="E1450" s="24">
        <v>1.62</v>
      </c>
      <c r="F1450" s="23">
        <f>COUNTIFS(mdr_rate_cleaned!$A$2:$A$10,B1450,mdr_rate_cleaned!$B$2:$B$10,"&lt;"&amp;C1450,mdr_rate_cleaned!$F$2:$F$10,"&gt;="&amp;C1450)</f>
        <v>1</v>
      </c>
      <c r="G1450" s="40">
        <f>SUMIFS(mdr_rate_cleaned!$G$2:$G$10,mdr_rate_cleaned!$A$2:$A$10,B1450,mdr_rate_cleaned!$B$2:$B$10,"&lt;"&amp;C1450,mdr_rate_cleaned!$F$2:$F$10,"&gt;="&amp;C1450)</f>
        <v>1.8000000000000002E-2</v>
      </c>
      <c r="H1450" s="24">
        <f t="shared" si="110"/>
        <v>8.98</v>
      </c>
      <c r="I1450" s="23" t="str">
        <f t="shared" si="111"/>
        <v>Match</v>
      </c>
      <c r="J1450" s="23" t="str">
        <f t="shared" si="112"/>
        <v>Match</v>
      </c>
      <c r="K1450" s="24">
        <f t="shared" si="113"/>
        <v>1.62</v>
      </c>
      <c r="L1450" s="24">
        <f t="shared" si="114"/>
        <v>0</v>
      </c>
    </row>
    <row r="1451" spans="1:12" ht="15" customHeight="1" x14ac:dyDescent="0.3">
      <c r="A1451" s="23" t="s">
        <v>14132</v>
      </c>
      <c r="B1451" s="23" t="s">
        <v>79</v>
      </c>
      <c r="C1451" s="39">
        <v>799</v>
      </c>
      <c r="D1451" s="24">
        <v>14.38</v>
      </c>
      <c r="E1451" s="24">
        <v>2.59</v>
      </c>
      <c r="F1451" s="23">
        <f>COUNTIFS(mdr_rate_cleaned!$A$2:$A$10,B1451,mdr_rate_cleaned!$B$2:$B$10,"&lt;"&amp;C1451,mdr_rate_cleaned!$F$2:$F$10,"&gt;="&amp;C1451)</f>
        <v>1</v>
      </c>
      <c r="G1451" s="40">
        <f>SUMIFS(mdr_rate_cleaned!$G$2:$G$10,mdr_rate_cleaned!$A$2:$A$10,B1451,mdr_rate_cleaned!$B$2:$B$10,"&lt;"&amp;C1451,mdr_rate_cleaned!$F$2:$F$10,"&gt;="&amp;C1451)</f>
        <v>1.8000000000000002E-2</v>
      </c>
      <c r="H1451" s="24">
        <f t="shared" si="110"/>
        <v>14.38</v>
      </c>
      <c r="I1451" s="23" t="str">
        <f t="shared" si="111"/>
        <v>Match</v>
      </c>
      <c r="J1451" s="23" t="str">
        <f t="shared" si="112"/>
        <v>Match</v>
      </c>
      <c r="K1451" s="24">
        <f t="shared" si="113"/>
        <v>2.59</v>
      </c>
      <c r="L1451" s="24">
        <f t="shared" si="114"/>
        <v>0</v>
      </c>
    </row>
    <row r="1452" spans="1:12" ht="15" customHeight="1" x14ac:dyDescent="0.3">
      <c r="A1452" s="23" t="s">
        <v>14133</v>
      </c>
      <c r="B1452" s="23" t="s">
        <v>81</v>
      </c>
      <c r="C1452" s="39">
        <v>799</v>
      </c>
      <c r="D1452" s="24">
        <v>11.99</v>
      </c>
      <c r="E1452" s="24">
        <v>2.16</v>
      </c>
      <c r="F1452" s="23">
        <f>COUNTIFS(mdr_rate_cleaned!$A$2:$A$10,B1452,mdr_rate_cleaned!$B$2:$B$10,"&lt;"&amp;C1452,mdr_rate_cleaned!$F$2:$F$10,"&gt;="&amp;C1452)</f>
        <v>1</v>
      </c>
      <c r="G1452" s="40">
        <f>SUMIFS(mdr_rate_cleaned!$G$2:$G$10,mdr_rate_cleaned!$A$2:$A$10,B1452,mdr_rate_cleaned!$B$2:$B$10,"&lt;"&amp;C1452,mdr_rate_cleaned!$F$2:$F$10,"&gt;="&amp;C1452)</f>
        <v>1.4999999999999999E-2</v>
      </c>
      <c r="H1452" s="24">
        <f t="shared" si="110"/>
        <v>11.99</v>
      </c>
      <c r="I1452" s="23" t="str">
        <f t="shared" si="111"/>
        <v>Match</v>
      </c>
      <c r="J1452" s="23" t="str">
        <f t="shared" si="112"/>
        <v>Match</v>
      </c>
      <c r="K1452" s="24">
        <f t="shared" si="113"/>
        <v>2.16</v>
      </c>
      <c r="L1452" s="24">
        <f t="shared" si="114"/>
        <v>0</v>
      </c>
    </row>
    <row r="1453" spans="1:12" ht="15" customHeight="1" x14ac:dyDescent="0.3">
      <c r="A1453" s="23" t="s">
        <v>14134</v>
      </c>
      <c r="B1453" s="23" t="s">
        <v>75</v>
      </c>
      <c r="C1453" s="39">
        <v>299</v>
      </c>
      <c r="D1453" s="24">
        <v>0</v>
      </c>
      <c r="E1453" s="24">
        <v>0</v>
      </c>
      <c r="F1453" s="23">
        <f>COUNTIFS(mdr_rate_cleaned!$A$2:$A$10,B1453,mdr_rate_cleaned!$B$2:$B$10,"&lt;"&amp;C1453,mdr_rate_cleaned!$F$2:$F$10,"&gt;="&amp;C1453)</f>
        <v>1</v>
      </c>
      <c r="G1453" s="40">
        <f>SUMIFS(mdr_rate_cleaned!$G$2:$G$10,mdr_rate_cleaned!$A$2:$A$10,B1453,mdr_rate_cleaned!$B$2:$B$10,"&lt;"&amp;C1453,mdr_rate_cleaned!$F$2:$F$10,"&gt;="&amp;C1453)</f>
        <v>0</v>
      </c>
      <c r="H1453" s="24">
        <f t="shared" si="110"/>
        <v>0</v>
      </c>
      <c r="I1453" s="23" t="str">
        <f t="shared" si="111"/>
        <v>Match</v>
      </c>
      <c r="J1453" s="23" t="str">
        <f t="shared" si="112"/>
        <v>Match</v>
      </c>
      <c r="K1453" s="24">
        <f t="shared" si="113"/>
        <v>0</v>
      </c>
      <c r="L1453" s="24">
        <f t="shared" si="114"/>
        <v>0</v>
      </c>
    </row>
    <row r="1454" spans="1:12" ht="15" customHeight="1" x14ac:dyDescent="0.3">
      <c r="A1454" s="23" t="s">
        <v>14135</v>
      </c>
      <c r="B1454" s="23" t="s">
        <v>77</v>
      </c>
      <c r="C1454" s="39">
        <v>599</v>
      </c>
      <c r="D1454" s="24">
        <v>11.38</v>
      </c>
      <c r="E1454" s="24">
        <v>2.0499999999999998</v>
      </c>
      <c r="F1454" s="23">
        <f>COUNTIFS(mdr_rate_cleaned!$A$2:$A$10,B1454,mdr_rate_cleaned!$B$2:$B$10,"&lt;"&amp;C1454,mdr_rate_cleaned!$F$2:$F$10,"&gt;="&amp;C1454)</f>
        <v>1</v>
      </c>
      <c r="G1454" s="40">
        <f>SUMIFS(mdr_rate_cleaned!$G$2:$G$10,mdr_rate_cleaned!$A$2:$A$10,B1454,mdr_rate_cleaned!$B$2:$B$10,"&lt;"&amp;C1454,mdr_rate_cleaned!$F$2:$F$10,"&gt;="&amp;C1454)</f>
        <v>1.9E-2</v>
      </c>
      <c r="H1454" s="24">
        <f t="shared" si="110"/>
        <v>11.38</v>
      </c>
      <c r="I1454" s="23" t="str">
        <f t="shared" si="111"/>
        <v>Match</v>
      </c>
      <c r="J1454" s="23" t="str">
        <f t="shared" si="112"/>
        <v>Match</v>
      </c>
      <c r="K1454" s="24">
        <f t="shared" si="113"/>
        <v>2.0499999999999998</v>
      </c>
      <c r="L1454" s="24">
        <f t="shared" si="114"/>
        <v>0</v>
      </c>
    </row>
    <row r="1455" spans="1:12" ht="15" customHeight="1" x14ac:dyDescent="0.3">
      <c r="A1455" s="23" t="s">
        <v>14136</v>
      </c>
      <c r="B1455" s="23" t="s">
        <v>75</v>
      </c>
      <c r="C1455" s="39">
        <v>2098</v>
      </c>
      <c r="D1455" s="24">
        <v>6.29</v>
      </c>
      <c r="E1455" s="24">
        <v>1.1299999999999999</v>
      </c>
      <c r="F1455" s="23">
        <f>COUNTIFS(mdr_rate_cleaned!$A$2:$A$10,B1455,mdr_rate_cleaned!$B$2:$B$10,"&lt;"&amp;C1455,mdr_rate_cleaned!$F$2:$F$10,"&gt;="&amp;C1455)</f>
        <v>1</v>
      </c>
      <c r="G1455" s="40">
        <f>SUMIFS(mdr_rate_cleaned!$G$2:$G$10,mdr_rate_cleaned!$A$2:$A$10,B1455,mdr_rate_cleaned!$B$2:$B$10,"&lt;"&amp;C1455,mdr_rate_cleaned!$F$2:$F$10,"&gt;="&amp;C1455)</f>
        <v>3.0000000000000001E-3</v>
      </c>
      <c r="H1455" s="24">
        <f t="shared" si="110"/>
        <v>6.29</v>
      </c>
      <c r="I1455" s="23" t="str">
        <f t="shared" si="111"/>
        <v>Match</v>
      </c>
      <c r="J1455" s="23" t="str">
        <f t="shared" si="112"/>
        <v>Match</v>
      </c>
      <c r="K1455" s="24">
        <f t="shared" si="113"/>
        <v>1.1299999999999999</v>
      </c>
      <c r="L1455" s="24">
        <f t="shared" si="114"/>
        <v>0</v>
      </c>
    </row>
    <row r="1456" spans="1:12" ht="15" customHeight="1" x14ac:dyDescent="0.3">
      <c r="A1456" s="23" t="s">
        <v>14137</v>
      </c>
      <c r="B1456" s="23" t="s">
        <v>81</v>
      </c>
      <c r="C1456" s="39">
        <v>4998</v>
      </c>
      <c r="D1456" s="24">
        <v>59.98</v>
      </c>
      <c r="E1456" s="24">
        <v>10.8</v>
      </c>
      <c r="F1456" s="23">
        <f>COUNTIFS(mdr_rate_cleaned!$A$2:$A$10,B1456,mdr_rate_cleaned!$B$2:$B$10,"&lt;"&amp;C1456,mdr_rate_cleaned!$F$2:$F$10,"&gt;="&amp;C1456)</f>
        <v>1</v>
      </c>
      <c r="G1456" s="40">
        <f>SUMIFS(mdr_rate_cleaned!$G$2:$G$10,mdr_rate_cleaned!$A$2:$A$10,B1456,mdr_rate_cleaned!$B$2:$B$10,"&lt;"&amp;C1456,mdr_rate_cleaned!$F$2:$F$10,"&gt;="&amp;C1456)</f>
        <v>1.2E-2</v>
      </c>
      <c r="H1456" s="24">
        <f t="shared" si="110"/>
        <v>59.98</v>
      </c>
      <c r="I1456" s="23" t="str">
        <f t="shared" si="111"/>
        <v>Match</v>
      </c>
      <c r="J1456" s="23" t="str">
        <f t="shared" si="112"/>
        <v>Match</v>
      </c>
      <c r="K1456" s="24">
        <f t="shared" si="113"/>
        <v>10.8</v>
      </c>
      <c r="L1456" s="24">
        <f t="shared" si="114"/>
        <v>0</v>
      </c>
    </row>
    <row r="1457" spans="1:12" ht="15" customHeight="1" x14ac:dyDescent="0.3">
      <c r="A1457" s="23" t="s">
        <v>14139</v>
      </c>
      <c r="B1457" s="23" t="s">
        <v>79</v>
      </c>
      <c r="C1457" s="39">
        <v>10847</v>
      </c>
      <c r="D1457" s="24">
        <v>173.55</v>
      </c>
      <c r="E1457" s="24">
        <v>31.24</v>
      </c>
      <c r="F1457" s="23">
        <f>COUNTIFS(mdr_rate_cleaned!$A$2:$A$10,B1457,mdr_rate_cleaned!$B$2:$B$10,"&lt;"&amp;C1457,mdr_rate_cleaned!$F$2:$F$10,"&gt;="&amp;C1457)</f>
        <v>1</v>
      </c>
      <c r="G1457" s="40">
        <f>SUMIFS(mdr_rate_cleaned!$G$2:$G$10,mdr_rate_cleaned!$A$2:$A$10,B1457,mdr_rate_cleaned!$B$2:$B$10,"&lt;"&amp;C1457,mdr_rate_cleaned!$F$2:$F$10,"&gt;="&amp;C1457)</f>
        <v>1.6E-2</v>
      </c>
      <c r="H1457" s="24">
        <f t="shared" si="110"/>
        <v>173.55</v>
      </c>
      <c r="I1457" s="23" t="str">
        <f t="shared" si="111"/>
        <v>Match</v>
      </c>
      <c r="J1457" s="23" t="str">
        <f t="shared" si="112"/>
        <v>Match</v>
      </c>
      <c r="K1457" s="24">
        <f t="shared" si="113"/>
        <v>31.24</v>
      </c>
      <c r="L1457" s="24">
        <f t="shared" si="114"/>
        <v>0</v>
      </c>
    </row>
    <row r="1458" spans="1:12" ht="15" customHeight="1" x14ac:dyDescent="0.3">
      <c r="A1458" s="23" t="s">
        <v>14140</v>
      </c>
      <c r="B1458" s="23" t="s">
        <v>75</v>
      </c>
      <c r="C1458" s="39">
        <v>11597</v>
      </c>
      <c r="D1458" s="24">
        <v>34.79</v>
      </c>
      <c r="E1458" s="24">
        <v>6.26</v>
      </c>
      <c r="F1458" s="23">
        <f>COUNTIFS(mdr_rate_cleaned!$A$2:$A$10,B1458,mdr_rate_cleaned!$B$2:$B$10,"&lt;"&amp;C1458,mdr_rate_cleaned!$F$2:$F$10,"&gt;="&amp;C1458)</f>
        <v>1</v>
      </c>
      <c r="G1458" s="40">
        <f>SUMIFS(mdr_rate_cleaned!$G$2:$G$10,mdr_rate_cleaned!$A$2:$A$10,B1458,mdr_rate_cleaned!$B$2:$B$10,"&lt;"&amp;C1458,mdr_rate_cleaned!$F$2:$F$10,"&gt;="&amp;C1458)</f>
        <v>3.0000000000000001E-3</v>
      </c>
      <c r="H1458" s="24">
        <f t="shared" si="110"/>
        <v>34.79</v>
      </c>
      <c r="I1458" s="23" t="str">
        <f t="shared" si="111"/>
        <v>Match</v>
      </c>
      <c r="J1458" s="23" t="str">
        <f t="shared" si="112"/>
        <v>Match</v>
      </c>
      <c r="K1458" s="24">
        <f t="shared" si="113"/>
        <v>6.26</v>
      </c>
      <c r="L1458" s="24">
        <f t="shared" si="114"/>
        <v>0</v>
      </c>
    </row>
    <row r="1459" spans="1:12" ht="15" customHeight="1" x14ac:dyDescent="0.3">
      <c r="A1459" s="23" t="s">
        <v>14141</v>
      </c>
      <c r="B1459" s="23" t="s">
        <v>75</v>
      </c>
      <c r="C1459" s="39">
        <v>999</v>
      </c>
      <c r="D1459" s="24">
        <v>0</v>
      </c>
      <c r="E1459" s="24">
        <v>0</v>
      </c>
      <c r="F1459" s="23">
        <f>COUNTIFS(mdr_rate_cleaned!$A$2:$A$10,B1459,mdr_rate_cleaned!$B$2:$B$10,"&lt;"&amp;C1459,mdr_rate_cleaned!$F$2:$F$10,"&gt;="&amp;C1459)</f>
        <v>1</v>
      </c>
      <c r="G1459" s="40">
        <f>SUMIFS(mdr_rate_cleaned!$G$2:$G$10,mdr_rate_cleaned!$A$2:$A$10,B1459,mdr_rate_cleaned!$B$2:$B$10,"&lt;"&amp;C1459,mdr_rate_cleaned!$F$2:$F$10,"&gt;="&amp;C1459)</f>
        <v>0</v>
      </c>
      <c r="H1459" s="24">
        <f t="shared" si="110"/>
        <v>0</v>
      </c>
      <c r="I1459" s="23" t="str">
        <f t="shared" si="111"/>
        <v>Match</v>
      </c>
      <c r="J1459" s="23" t="str">
        <f t="shared" si="112"/>
        <v>Match</v>
      </c>
      <c r="K1459" s="24">
        <f t="shared" si="113"/>
        <v>0</v>
      </c>
      <c r="L1459" s="24">
        <f t="shared" si="114"/>
        <v>0</v>
      </c>
    </row>
    <row r="1460" spans="1:12" ht="15" customHeight="1" x14ac:dyDescent="0.3">
      <c r="A1460" s="23" t="s">
        <v>14142</v>
      </c>
      <c r="B1460" s="23" t="s">
        <v>75</v>
      </c>
      <c r="C1460" s="39">
        <v>4798</v>
      </c>
      <c r="D1460" s="24">
        <v>14.39</v>
      </c>
      <c r="E1460" s="24">
        <v>2.59</v>
      </c>
      <c r="F1460" s="23">
        <f>COUNTIFS(mdr_rate_cleaned!$A$2:$A$10,B1460,mdr_rate_cleaned!$B$2:$B$10,"&lt;"&amp;C1460,mdr_rate_cleaned!$F$2:$F$10,"&gt;="&amp;C1460)</f>
        <v>1</v>
      </c>
      <c r="G1460" s="40">
        <f>SUMIFS(mdr_rate_cleaned!$G$2:$G$10,mdr_rate_cleaned!$A$2:$A$10,B1460,mdr_rate_cleaned!$B$2:$B$10,"&lt;"&amp;C1460,mdr_rate_cleaned!$F$2:$F$10,"&gt;="&amp;C1460)</f>
        <v>3.0000000000000001E-3</v>
      </c>
      <c r="H1460" s="24">
        <f t="shared" si="110"/>
        <v>14.39</v>
      </c>
      <c r="I1460" s="23" t="str">
        <f t="shared" si="111"/>
        <v>Match</v>
      </c>
      <c r="J1460" s="23" t="str">
        <f t="shared" si="112"/>
        <v>Match</v>
      </c>
      <c r="K1460" s="24">
        <f t="shared" si="113"/>
        <v>2.59</v>
      </c>
      <c r="L1460" s="24">
        <f t="shared" si="114"/>
        <v>0</v>
      </c>
    </row>
    <row r="1461" spans="1:12" ht="15" customHeight="1" x14ac:dyDescent="0.3">
      <c r="A1461" s="23" t="s">
        <v>14143</v>
      </c>
      <c r="B1461" s="23" t="s">
        <v>75</v>
      </c>
      <c r="C1461" s="39">
        <v>7999</v>
      </c>
      <c r="D1461" s="24">
        <v>24</v>
      </c>
      <c r="E1461" s="24">
        <v>4.32</v>
      </c>
      <c r="F1461" s="23">
        <f>COUNTIFS(mdr_rate_cleaned!$A$2:$A$10,B1461,mdr_rate_cleaned!$B$2:$B$10,"&lt;"&amp;C1461,mdr_rate_cleaned!$F$2:$F$10,"&gt;="&amp;C1461)</f>
        <v>1</v>
      </c>
      <c r="G1461" s="40">
        <f>SUMIFS(mdr_rate_cleaned!$G$2:$G$10,mdr_rate_cleaned!$A$2:$A$10,B1461,mdr_rate_cleaned!$B$2:$B$10,"&lt;"&amp;C1461,mdr_rate_cleaned!$F$2:$F$10,"&gt;="&amp;C1461)</f>
        <v>3.0000000000000001E-3</v>
      </c>
      <c r="H1461" s="24">
        <f t="shared" si="110"/>
        <v>24</v>
      </c>
      <c r="I1461" s="23" t="str">
        <f t="shared" si="111"/>
        <v>Match</v>
      </c>
      <c r="J1461" s="23" t="str">
        <f t="shared" si="112"/>
        <v>Match</v>
      </c>
      <c r="K1461" s="24">
        <f t="shared" si="113"/>
        <v>4.32</v>
      </c>
      <c r="L1461" s="24">
        <f t="shared" si="114"/>
        <v>0</v>
      </c>
    </row>
    <row r="1462" spans="1:12" ht="15" customHeight="1" x14ac:dyDescent="0.3">
      <c r="A1462" s="23" t="s">
        <v>14144</v>
      </c>
      <c r="B1462" s="23" t="s">
        <v>75</v>
      </c>
      <c r="C1462" s="39">
        <v>1499</v>
      </c>
      <c r="D1462" s="24">
        <v>0</v>
      </c>
      <c r="E1462" s="24">
        <v>0</v>
      </c>
      <c r="F1462" s="23">
        <f>COUNTIFS(mdr_rate_cleaned!$A$2:$A$10,B1462,mdr_rate_cleaned!$B$2:$B$10,"&lt;"&amp;C1462,mdr_rate_cleaned!$F$2:$F$10,"&gt;="&amp;C1462)</f>
        <v>1</v>
      </c>
      <c r="G1462" s="40">
        <f>SUMIFS(mdr_rate_cleaned!$G$2:$G$10,mdr_rate_cleaned!$A$2:$A$10,B1462,mdr_rate_cleaned!$B$2:$B$10,"&lt;"&amp;C1462,mdr_rate_cleaned!$F$2:$F$10,"&gt;="&amp;C1462)</f>
        <v>0</v>
      </c>
      <c r="H1462" s="24">
        <f t="shared" si="110"/>
        <v>0</v>
      </c>
      <c r="I1462" s="23" t="str">
        <f t="shared" si="111"/>
        <v>Match</v>
      </c>
      <c r="J1462" s="23" t="str">
        <f t="shared" si="112"/>
        <v>Match</v>
      </c>
      <c r="K1462" s="24">
        <f t="shared" si="113"/>
        <v>0</v>
      </c>
      <c r="L1462" s="24">
        <f t="shared" si="114"/>
        <v>0</v>
      </c>
    </row>
    <row r="1463" spans="1:12" ht="15" customHeight="1" x14ac:dyDescent="0.3">
      <c r="A1463" s="23" t="s">
        <v>14145</v>
      </c>
      <c r="B1463" s="23" t="s">
        <v>79</v>
      </c>
      <c r="C1463" s="39">
        <v>1799</v>
      </c>
      <c r="D1463" s="24">
        <v>32.380000000000003</v>
      </c>
      <c r="E1463" s="24">
        <v>5.83</v>
      </c>
      <c r="F1463" s="23">
        <f>COUNTIFS(mdr_rate_cleaned!$A$2:$A$10,B1463,mdr_rate_cleaned!$B$2:$B$10,"&lt;"&amp;C1463,mdr_rate_cleaned!$F$2:$F$10,"&gt;="&amp;C1463)</f>
        <v>1</v>
      </c>
      <c r="G1463" s="40">
        <f>SUMIFS(mdr_rate_cleaned!$G$2:$G$10,mdr_rate_cleaned!$A$2:$A$10,B1463,mdr_rate_cleaned!$B$2:$B$10,"&lt;"&amp;C1463,mdr_rate_cleaned!$F$2:$F$10,"&gt;="&amp;C1463)</f>
        <v>1.8000000000000002E-2</v>
      </c>
      <c r="H1463" s="24">
        <f t="shared" si="110"/>
        <v>32.380000000000003</v>
      </c>
      <c r="I1463" s="23" t="str">
        <f t="shared" si="111"/>
        <v>Match</v>
      </c>
      <c r="J1463" s="23" t="str">
        <f t="shared" si="112"/>
        <v>Match</v>
      </c>
      <c r="K1463" s="24">
        <f t="shared" si="113"/>
        <v>5.83</v>
      </c>
      <c r="L1463" s="24">
        <f t="shared" si="114"/>
        <v>0</v>
      </c>
    </row>
    <row r="1464" spans="1:12" ht="15" customHeight="1" x14ac:dyDescent="0.3">
      <c r="A1464" s="23" t="s">
        <v>14154</v>
      </c>
      <c r="B1464" s="23" t="s">
        <v>75</v>
      </c>
      <c r="C1464" s="39">
        <v>3298</v>
      </c>
      <c r="D1464" s="24">
        <v>9.89</v>
      </c>
      <c r="E1464" s="24">
        <v>1.78</v>
      </c>
      <c r="F1464" s="23">
        <f>COUNTIFS(mdr_rate_cleaned!$A$2:$A$10,B1464,mdr_rate_cleaned!$B$2:$B$10,"&lt;"&amp;C1464,mdr_rate_cleaned!$F$2:$F$10,"&gt;="&amp;C1464)</f>
        <v>1</v>
      </c>
      <c r="G1464" s="40">
        <f>SUMIFS(mdr_rate_cleaned!$G$2:$G$10,mdr_rate_cleaned!$A$2:$A$10,B1464,mdr_rate_cleaned!$B$2:$B$10,"&lt;"&amp;C1464,mdr_rate_cleaned!$F$2:$F$10,"&gt;="&amp;C1464)</f>
        <v>3.0000000000000001E-3</v>
      </c>
      <c r="H1464" s="24">
        <f t="shared" si="110"/>
        <v>9.89</v>
      </c>
      <c r="I1464" s="23" t="str">
        <f t="shared" si="111"/>
        <v>Match</v>
      </c>
      <c r="J1464" s="23" t="str">
        <f t="shared" si="112"/>
        <v>Match</v>
      </c>
      <c r="K1464" s="24">
        <f t="shared" si="113"/>
        <v>1.78</v>
      </c>
      <c r="L1464" s="24">
        <f t="shared" si="114"/>
        <v>0</v>
      </c>
    </row>
    <row r="1465" spans="1:12" ht="15" customHeight="1" x14ac:dyDescent="0.3">
      <c r="A1465" s="23" t="s">
        <v>14155</v>
      </c>
      <c r="B1465" s="23" t="s">
        <v>79</v>
      </c>
      <c r="C1465" s="39">
        <v>1799</v>
      </c>
      <c r="D1465" s="24">
        <v>32.380000000000003</v>
      </c>
      <c r="E1465" s="24">
        <v>5.83</v>
      </c>
      <c r="F1465" s="23">
        <f>COUNTIFS(mdr_rate_cleaned!$A$2:$A$10,B1465,mdr_rate_cleaned!$B$2:$B$10,"&lt;"&amp;C1465,mdr_rate_cleaned!$F$2:$F$10,"&gt;="&amp;C1465)</f>
        <v>1</v>
      </c>
      <c r="G1465" s="40">
        <f>SUMIFS(mdr_rate_cleaned!$G$2:$G$10,mdr_rate_cleaned!$A$2:$A$10,B1465,mdr_rate_cleaned!$B$2:$B$10,"&lt;"&amp;C1465,mdr_rate_cleaned!$F$2:$F$10,"&gt;="&amp;C1465)</f>
        <v>1.8000000000000002E-2</v>
      </c>
      <c r="H1465" s="24">
        <f t="shared" si="110"/>
        <v>32.380000000000003</v>
      </c>
      <c r="I1465" s="23" t="str">
        <f t="shared" si="111"/>
        <v>Match</v>
      </c>
      <c r="J1465" s="23" t="str">
        <f t="shared" si="112"/>
        <v>Match</v>
      </c>
      <c r="K1465" s="24">
        <f t="shared" si="113"/>
        <v>5.83</v>
      </c>
      <c r="L1465" s="24">
        <f t="shared" si="114"/>
        <v>0</v>
      </c>
    </row>
    <row r="1466" spans="1:12" ht="15" customHeight="1" x14ac:dyDescent="0.3">
      <c r="A1466" s="23" t="s">
        <v>14157</v>
      </c>
      <c r="B1466" s="23" t="s">
        <v>75</v>
      </c>
      <c r="C1466" s="39">
        <v>499</v>
      </c>
      <c r="D1466" s="24">
        <v>0</v>
      </c>
      <c r="E1466" s="24">
        <v>0</v>
      </c>
      <c r="F1466" s="23">
        <f>COUNTIFS(mdr_rate_cleaned!$A$2:$A$10,B1466,mdr_rate_cleaned!$B$2:$B$10,"&lt;"&amp;C1466,mdr_rate_cleaned!$F$2:$F$10,"&gt;="&amp;C1466)</f>
        <v>1</v>
      </c>
      <c r="G1466" s="40">
        <f>SUMIFS(mdr_rate_cleaned!$G$2:$G$10,mdr_rate_cleaned!$A$2:$A$10,B1466,mdr_rate_cleaned!$B$2:$B$10,"&lt;"&amp;C1466,mdr_rate_cleaned!$F$2:$F$10,"&gt;="&amp;C1466)</f>
        <v>0</v>
      </c>
      <c r="H1466" s="24">
        <f t="shared" si="110"/>
        <v>0</v>
      </c>
      <c r="I1466" s="23" t="str">
        <f t="shared" si="111"/>
        <v>Match</v>
      </c>
      <c r="J1466" s="23" t="str">
        <f t="shared" si="112"/>
        <v>Match</v>
      </c>
      <c r="K1466" s="24">
        <f t="shared" si="113"/>
        <v>0</v>
      </c>
      <c r="L1466" s="24">
        <f t="shared" si="114"/>
        <v>0</v>
      </c>
    </row>
    <row r="1467" spans="1:12" ht="15" customHeight="1" x14ac:dyDescent="0.3">
      <c r="A1467" s="23" t="s">
        <v>14159</v>
      </c>
      <c r="B1467" s="23" t="s">
        <v>75</v>
      </c>
      <c r="C1467" s="39">
        <v>8798</v>
      </c>
      <c r="D1467" s="24">
        <v>26.39</v>
      </c>
      <c r="E1467" s="24">
        <v>4.75</v>
      </c>
      <c r="F1467" s="23">
        <f>COUNTIFS(mdr_rate_cleaned!$A$2:$A$10,B1467,mdr_rate_cleaned!$B$2:$B$10,"&lt;"&amp;C1467,mdr_rate_cleaned!$F$2:$F$10,"&gt;="&amp;C1467)</f>
        <v>1</v>
      </c>
      <c r="G1467" s="40">
        <f>SUMIFS(mdr_rate_cleaned!$G$2:$G$10,mdr_rate_cleaned!$A$2:$A$10,B1467,mdr_rate_cleaned!$B$2:$B$10,"&lt;"&amp;C1467,mdr_rate_cleaned!$F$2:$F$10,"&gt;="&amp;C1467)</f>
        <v>3.0000000000000001E-3</v>
      </c>
      <c r="H1467" s="24">
        <f t="shared" si="110"/>
        <v>26.39</v>
      </c>
      <c r="I1467" s="23" t="str">
        <f t="shared" si="111"/>
        <v>Match</v>
      </c>
      <c r="J1467" s="23" t="str">
        <f t="shared" si="112"/>
        <v>Match</v>
      </c>
      <c r="K1467" s="24">
        <f t="shared" si="113"/>
        <v>4.75</v>
      </c>
      <c r="L1467" s="24">
        <f t="shared" si="114"/>
        <v>0</v>
      </c>
    </row>
    <row r="1468" spans="1:12" ht="15" customHeight="1" x14ac:dyDescent="0.3">
      <c r="A1468" s="23" t="s">
        <v>14160</v>
      </c>
      <c r="B1468" s="23" t="s">
        <v>75</v>
      </c>
      <c r="C1468" s="39">
        <v>7999</v>
      </c>
      <c r="D1468" s="24">
        <v>24</v>
      </c>
      <c r="E1468" s="24">
        <v>4.32</v>
      </c>
      <c r="F1468" s="23">
        <f>COUNTIFS(mdr_rate_cleaned!$A$2:$A$10,B1468,mdr_rate_cleaned!$B$2:$B$10,"&lt;"&amp;C1468,mdr_rate_cleaned!$F$2:$F$10,"&gt;="&amp;C1468)</f>
        <v>1</v>
      </c>
      <c r="G1468" s="40">
        <f>SUMIFS(mdr_rate_cleaned!$G$2:$G$10,mdr_rate_cleaned!$A$2:$A$10,B1468,mdr_rate_cleaned!$B$2:$B$10,"&lt;"&amp;C1468,mdr_rate_cleaned!$F$2:$F$10,"&gt;="&amp;C1468)</f>
        <v>3.0000000000000001E-3</v>
      </c>
      <c r="H1468" s="24">
        <f t="shared" si="110"/>
        <v>24</v>
      </c>
      <c r="I1468" s="23" t="str">
        <f t="shared" si="111"/>
        <v>Match</v>
      </c>
      <c r="J1468" s="23" t="str">
        <f t="shared" si="112"/>
        <v>Match</v>
      </c>
      <c r="K1468" s="24">
        <f t="shared" si="113"/>
        <v>4.32</v>
      </c>
      <c r="L1468" s="24">
        <f t="shared" si="114"/>
        <v>0</v>
      </c>
    </row>
    <row r="1469" spans="1:12" ht="15" customHeight="1" x14ac:dyDescent="0.3">
      <c r="A1469" s="23" t="s">
        <v>14161</v>
      </c>
      <c r="B1469" s="23" t="s">
        <v>75</v>
      </c>
      <c r="C1469" s="39">
        <v>1447</v>
      </c>
      <c r="D1469" s="24">
        <v>0</v>
      </c>
      <c r="E1469" s="24">
        <v>0</v>
      </c>
      <c r="F1469" s="23">
        <f>COUNTIFS(mdr_rate_cleaned!$A$2:$A$10,B1469,mdr_rate_cleaned!$B$2:$B$10,"&lt;"&amp;C1469,mdr_rate_cleaned!$F$2:$F$10,"&gt;="&amp;C1469)</f>
        <v>1</v>
      </c>
      <c r="G1469" s="40">
        <f>SUMIFS(mdr_rate_cleaned!$G$2:$G$10,mdr_rate_cleaned!$A$2:$A$10,B1469,mdr_rate_cleaned!$B$2:$B$10,"&lt;"&amp;C1469,mdr_rate_cleaned!$F$2:$F$10,"&gt;="&amp;C1469)</f>
        <v>0</v>
      </c>
      <c r="H1469" s="24">
        <f t="shared" si="110"/>
        <v>0</v>
      </c>
      <c r="I1469" s="23" t="str">
        <f t="shared" si="111"/>
        <v>Match</v>
      </c>
      <c r="J1469" s="23" t="str">
        <f t="shared" si="112"/>
        <v>Match</v>
      </c>
      <c r="K1469" s="24">
        <f t="shared" si="113"/>
        <v>0</v>
      </c>
      <c r="L1469" s="24">
        <f t="shared" si="114"/>
        <v>0</v>
      </c>
    </row>
    <row r="1470" spans="1:12" ht="15" customHeight="1" x14ac:dyDescent="0.3">
      <c r="A1470" s="23" t="s">
        <v>14162</v>
      </c>
      <c r="B1470" s="23" t="s">
        <v>79</v>
      </c>
      <c r="C1470" s="39">
        <v>349</v>
      </c>
      <c r="D1470" s="24">
        <v>6.28</v>
      </c>
      <c r="E1470" s="24">
        <v>1.1299999999999999</v>
      </c>
      <c r="F1470" s="23">
        <f>COUNTIFS(mdr_rate_cleaned!$A$2:$A$10,B1470,mdr_rate_cleaned!$B$2:$B$10,"&lt;"&amp;C1470,mdr_rate_cleaned!$F$2:$F$10,"&gt;="&amp;C1470)</f>
        <v>1</v>
      </c>
      <c r="G1470" s="40">
        <f>SUMIFS(mdr_rate_cleaned!$G$2:$G$10,mdr_rate_cleaned!$A$2:$A$10,B1470,mdr_rate_cleaned!$B$2:$B$10,"&lt;"&amp;C1470,mdr_rate_cleaned!$F$2:$F$10,"&gt;="&amp;C1470)</f>
        <v>1.8000000000000002E-2</v>
      </c>
      <c r="H1470" s="24">
        <f t="shared" si="110"/>
        <v>6.28</v>
      </c>
      <c r="I1470" s="23" t="str">
        <f t="shared" si="111"/>
        <v>Match</v>
      </c>
      <c r="J1470" s="23" t="str">
        <f t="shared" si="112"/>
        <v>Match</v>
      </c>
      <c r="K1470" s="24">
        <f t="shared" si="113"/>
        <v>1.1299999999999999</v>
      </c>
      <c r="L1470" s="24">
        <f t="shared" si="114"/>
        <v>0</v>
      </c>
    </row>
    <row r="1471" spans="1:12" ht="15" customHeight="1" x14ac:dyDescent="0.3">
      <c r="A1471" s="23" t="s">
        <v>14163</v>
      </c>
      <c r="B1471" s="23" t="s">
        <v>79</v>
      </c>
      <c r="C1471" s="39">
        <v>1298</v>
      </c>
      <c r="D1471" s="24">
        <v>23.36</v>
      </c>
      <c r="E1471" s="24">
        <v>4.2</v>
      </c>
      <c r="F1471" s="23">
        <f>COUNTIFS(mdr_rate_cleaned!$A$2:$A$10,B1471,mdr_rate_cleaned!$B$2:$B$10,"&lt;"&amp;C1471,mdr_rate_cleaned!$F$2:$F$10,"&gt;="&amp;C1471)</f>
        <v>1</v>
      </c>
      <c r="G1471" s="40">
        <f>SUMIFS(mdr_rate_cleaned!$G$2:$G$10,mdr_rate_cleaned!$A$2:$A$10,B1471,mdr_rate_cleaned!$B$2:$B$10,"&lt;"&amp;C1471,mdr_rate_cleaned!$F$2:$F$10,"&gt;="&amp;C1471)</f>
        <v>1.8000000000000002E-2</v>
      </c>
      <c r="H1471" s="24">
        <f t="shared" si="110"/>
        <v>23.36</v>
      </c>
      <c r="I1471" s="23" t="str">
        <f t="shared" si="111"/>
        <v>Match</v>
      </c>
      <c r="J1471" s="23" t="str">
        <f t="shared" si="112"/>
        <v>Match</v>
      </c>
      <c r="K1471" s="24">
        <f t="shared" si="113"/>
        <v>4.2</v>
      </c>
      <c r="L1471" s="24">
        <f t="shared" si="114"/>
        <v>0</v>
      </c>
    </row>
    <row r="1472" spans="1:12" ht="15" customHeight="1" x14ac:dyDescent="0.3">
      <c r="A1472" s="23" t="s">
        <v>14164</v>
      </c>
      <c r="B1472" s="23" t="s">
        <v>81</v>
      </c>
      <c r="C1472" s="39">
        <v>9798</v>
      </c>
      <c r="D1472" s="24">
        <v>117.58</v>
      </c>
      <c r="E1472" s="24">
        <v>21.16</v>
      </c>
      <c r="F1472" s="23">
        <f>COUNTIFS(mdr_rate_cleaned!$A$2:$A$10,B1472,mdr_rate_cleaned!$B$2:$B$10,"&lt;"&amp;C1472,mdr_rate_cleaned!$F$2:$F$10,"&gt;="&amp;C1472)</f>
        <v>1</v>
      </c>
      <c r="G1472" s="40">
        <f>SUMIFS(mdr_rate_cleaned!$G$2:$G$10,mdr_rate_cleaned!$A$2:$A$10,B1472,mdr_rate_cleaned!$B$2:$B$10,"&lt;"&amp;C1472,mdr_rate_cleaned!$F$2:$F$10,"&gt;="&amp;C1472)</f>
        <v>1.2E-2</v>
      </c>
      <c r="H1472" s="24">
        <f t="shared" si="110"/>
        <v>117.58</v>
      </c>
      <c r="I1472" s="23" t="str">
        <f t="shared" si="111"/>
        <v>Match</v>
      </c>
      <c r="J1472" s="23" t="str">
        <f t="shared" si="112"/>
        <v>Match</v>
      </c>
      <c r="K1472" s="24">
        <f t="shared" si="113"/>
        <v>21.16</v>
      </c>
      <c r="L1472" s="24">
        <f t="shared" si="114"/>
        <v>0</v>
      </c>
    </row>
    <row r="1473" spans="1:12" ht="15" customHeight="1" x14ac:dyDescent="0.3">
      <c r="A1473" s="23" t="s">
        <v>14165</v>
      </c>
      <c r="B1473" s="23" t="s">
        <v>75</v>
      </c>
      <c r="C1473" s="39">
        <v>4298</v>
      </c>
      <c r="D1473" s="24">
        <v>12.89</v>
      </c>
      <c r="E1473" s="24">
        <v>2.3199999999999998</v>
      </c>
      <c r="F1473" s="23">
        <f>COUNTIFS(mdr_rate_cleaned!$A$2:$A$10,B1473,mdr_rate_cleaned!$B$2:$B$10,"&lt;"&amp;C1473,mdr_rate_cleaned!$F$2:$F$10,"&gt;="&amp;C1473)</f>
        <v>1</v>
      </c>
      <c r="G1473" s="40">
        <f>SUMIFS(mdr_rate_cleaned!$G$2:$G$10,mdr_rate_cleaned!$A$2:$A$10,B1473,mdr_rate_cleaned!$B$2:$B$10,"&lt;"&amp;C1473,mdr_rate_cleaned!$F$2:$F$10,"&gt;="&amp;C1473)</f>
        <v>3.0000000000000001E-3</v>
      </c>
      <c r="H1473" s="24">
        <f t="shared" si="110"/>
        <v>12.89</v>
      </c>
      <c r="I1473" s="23" t="str">
        <f t="shared" si="111"/>
        <v>Match</v>
      </c>
      <c r="J1473" s="23" t="str">
        <f t="shared" si="112"/>
        <v>Match</v>
      </c>
      <c r="K1473" s="24">
        <f t="shared" si="113"/>
        <v>2.3199999999999998</v>
      </c>
      <c r="L1473" s="24">
        <f t="shared" si="114"/>
        <v>0</v>
      </c>
    </row>
    <row r="1474" spans="1:12" ht="15" customHeight="1" x14ac:dyDescent="0.3">
      <c r="A1474" s="23" t="s">
        <v>14167</v>
      </c>
      <c r="B1474" s="23" t="s">
        <v>77</v>
      </c>
      <c r="C1474" s="39">
        <v>3499</v>
      </c>
      <c r="D1474" s="24">
        <v>59.48</v>
      </c>
      <c r="E1474" s="24">
        <v>10.71</v>
      </c>
      <c r="F1474" s="23">
        <f>COUNTIFS(mdr_rate_cleaned!$A$2:$A$10,B1474,mdr_rate_cleaned!$B$2:$B$10,"&lt;"&amp;C1474,mdr_rate_cleaned!$F$2:$F$10,"&gt;="&amp;C1474)</f>
        <v>1</v>
      </c>
      <c r="G1474" s="40">
        <f>SUMIFS(mdr_rate_cleaned!$G$2:$G$10,mdr_rate_cleaned!$A$2:$A$10,B1474,mdr_rate_cleaned!$B$2:$B$10,"&lt;"&amp;C1474,mdr_rate_cleaned!$F$2:$F$10,"&gt;="&amp;C1474)</f>
        <v>1.7000000000000001E-2</v>
      </c>
      <c r="H1474" s="24">
        <f t="shared" ref="H1474:H1537" si="115">ROUND(C1474*G1474,2)</f>
        <v>59.48</v>
      </c>
      <c r="I1474" s="23" t="str">
        <f t="shared" ref="I1474:I1537" si="116">IF(ROUND(D1474-H1474,2)=0,"Match","Differs")</f>
        <v>Match</v>
      </c>
      <c r="J1474" s="23" t="str">
        <f t="shared" ref="J1474:J1537" si="117">IF(ROUND(E1474-ROUND(D1474*0.18,2),2)=0,"Match","Differs")</f>
        <v>Match</v>
      </c>
      <c r="K1474" s="24">
        <f t="shared" ref="K1474:K1537" si="118">ROUND(H1474*0.18,2)</f>
        <v>10.71</v>
      </c>
      <c r="L1474" s="24">
        <f t="shared" ref="L1474:L1537" si="119">ROUND(D1474+E1474-H1474-K1474,2)</f>
        <v>0</v>
      </c>
    </row>
    <row r="1475" spans="1:12" ht="15" customHeight="1" x14ac:dyDescent="0.3">
      <c r="A1475" s="23" t="s">
        <v>14168</v>
      </c>
      <c r="B1475" s="23" t="s">
        <v>77</v>
      </c>
      <c r="C1475" s="39">
        <v>1598</v>
      </c>
      <c r="D1475" s="24">
        <v>30.36</v>
      </c>
      <c r="E1475" s="24">
        <v>5.46</v>
      </c>
      <c r="F1475" s="23">
        <f>COUNTIFS(mdr_rate_cleaned!$A$2:$A$10,B1475,mdr_rate_cleaned!$B$2:$B$10,"&lt;"&amp;C1475,mdr_rate_cleaned!$F$2:$F$10,"&gt;="&amp;C1475)</f>
        <v>1</v>
      </c>
      <c r="G1475" s="40">
        <f>SUMIFS(mdr_rate_cleaned!$G$2:$G$10,mdr_rate_cleaned!$A$2:$A$10,B1475,mdr_rate_cleaned!$B$2:$B$10,"&lt;"&amp;C1475,mdr_rate_cleaned!$F$2:$F$10,"&gt;="&amp;C1475)</f>
        <v>1.9E-2</v>
      </c>
      <c r="H1475" s="24">
        <f t="shared" si="115"/>
        <v>30.36</v>
      </c>
      <c r="I1475" s="23" t="str">
        <f t="shared" si="116"/>
        <v>Match</v>
      </c>
      <c r="J1475" s="23" t="str">
        <f t="shared" si="117"/>
        <v>Match</v>
      </c>
      <c r="K1475" s="24">
        <f t="shared" si="118"/>
        <v>5.46</v>
      </c>
      <c r="L1475" s="24">
        <f t="shared" si="119"/>
        <v>0</v>
      </c>
    </row>
    <row r="1476" spans="1:12" ht="15" customHeight="1" x14ac:dyDescent="0.3">
      <c r="A1476" s="23" t="s">
        <v>14169</v>
      </c>
      <c r="B1476" s="23" t="s">
        <v>75</v>
      </c>
      <c r="C1476" s="39">
        <v>4998</v>
      </c>
      <c r="D1476" s="24">
        <v>14.99</v>
      </c>
      <c r="E1476" s="24">
        <v>2.7</v>
      </c>
      <c r="F1476" s="23">
        <f>COUNTIFS(mdr_rate_cleaned!$A$2:$A$10,B1476,mdr_rate_cleaned!$B$2:$B$10,"&lt;"&amp;C1476,mdr_rate_cleaned!$F$2:$F$10,"&gt;="&amp;C1476)</f>
        <v>1</v>
      </c>
      <c r="G1476" s="40">
        <f>SUMIFS(mdr_rate_cleaned!$G$2:$G$10,mdr_rate_cleaned!$A$2:$A$10,B1476,mdr_rate_cleaned!$B$2:$B$10,"&lt;"&amp;C1476,mdr_rate_cleaned!$F$2:$F$10,"&gt;="&amp;C1476)</f>
        <v>3.0000000000000001E-3</v>
      </c>
      <c r="H1476" s="24">
        <f t="shared" si="115"/>
        <v>14.99</v>
      </c>
      <c r="I1476" s="23" t="str">
        <f t="shared" si="116"/>
        <v>Match</v>
      </c>
      <c r="J1476" s="23" t="str">
        <f t="shared" si="117"/>
        <v>Match</v>
      </c>
      <c r="K1476" s="24">
        <f t="shared" si="118"/>
        <v>2.7</v>
      </c>
      <c r="L1476" s="24">
        <f t="shared" si="119"/>
        <v>0</v>
      </c>
    </row>
    <row r="1477" spans="1:12" ht="15" customHeight="1" x14ac:dyDescent="0.3">
      <c r="A1477" s="23" t="s">
        <v>14170</v>
      </c>
      <c r="B1477" s="23" t="s">
        <v>79</v>
      </c>
      <c r="C1477" s="39">
        <v>10498</v>
      </c>
      <c r="D1477" s="24">
        <v>167.97</v>
      </c>
      <c r="E1477" s="24">
        <v>30.23</v>
      </c>
      <c r="F1477" s="23">
        <f>COUNTIFS(mdr_rate_cleaned!$A$2:$A$10,B1477,mdr_rate_cleaned!$B$2:$B$10,"&lt;"&amp;C1477,mdr_rate_cleaned!$F$2:$F$10,"&gt;="&amp;C1477)</f>
        <v>1</v>
      </c>
      <c r="G1477" s="40">
        <f>SUMIFS(mdr_rate_cleaned!$G$2:$G$10,mdr_rate_cleaned!$A$2:$A$10,B1477,mdr_rate_cleaned!$B$2:$B$10,"&lt;"&amp;C1477,mdr_rate_cleaned!$F$2:$F$10,"&gt;="&amp;C1477)</f>
        <v>1.6E-2</v>
      </c>
      <c r="H1477" s="24">
        <f t="shared" si="115"/>
        <v>167.97</v>
      </c>
      <c r="I1477" s="23" t="str">
        <f t="shared" si="116"/>
        <v>Match</v>
      </c>
      <c r="J1477" s="23" t="str">
        <f t="shared" si="117"/>
        <v>Match</v>
      </c>
      <c r="K1477" s="24">
        <f t="shared" si="118"/>
        <v>30.23</v>
      </c>
      <c r="L1477" s="24">
        <f t="shared" si="119"/>
        <v>0</v>
      </c>
    </row>
    <row r="1478" spans="1:12" ht="15" customHeight="1" x14ac:dyDescent="0.3">
      <c r="A1478" s="23" t="s">
        <v>14171</v>
      </c>
      <c r="B1478" s="23" t="s">
        <v>75</v>
      </c>
      <c r="C1478" s="39">
        <v>6498</v>
      </c>
      <c r="D1478" s="24">
        <v>19.489999999999998</v>
      </c>
      <c r="E1478" s="24">
        <v>3.51</v>
      </c>
      <c r="F1478" s="23">
        <f>COUNTIFS(mdr_rate_cleaned!$A$2:$A$10,B1478,mdr_rate_cleaned!$B$2:$B$10,"&lt;"&amp;C1478,mdr_rate_cleaned!$F$2:$F$10,"&gt;="&amp;C1478)</f>
        <v>1</v>
      </c>
      <c r="G1478" s="40">
        <f>SUMIFS(mdr_rate_cleaned!$G$2:$G$10,mdr_rate_cleaned!$A$2:$A$10,B1478,mdr_rate_cleaned!$B$2:$B$10,"&lt;"&amp;C1478,mdr_rate_cleaned!$F$2:$F$10,"&gt;="&amp;C1478)</f>
        <v>3.0000000000000001E-3</v>
      </c>
      <c r="H1478" s="24">
        <f t="shared" si="115"/>
        <v>19.489999999999998</v>
      </c>
      <c r="I1478" s="23" t="str">
        <f t="shared" si="116"/>
        <v>Match</v>
      </c>
      <c r="J1478" s="23" t="str">
        <f t="shared" si="117"/>
        <v>Match</v>
      </c>
      <c r="K1478" s="24">
        <f t="shared" si="118"/>
        <v>3.51</v>
      </c>
      <c r="L1478" s="24">
        <f t="shared" si="119"/>
        <v>0</v>
      </c>
    </row>
    <row r="1479" spans="1:12" ht="15" customHeight="1" x14ac:dyDescent="0.3">
      <c r="A1479" s="23" t="s">
        <v>14172</v>
      </c>
      <c r="B1479" s="23" t="s">
        <v>75</v>
      </c>
      <c r="C1479" s="39">
        <v>799</v>
      </c>
      <c r="D1479" s="24">
        <v>0</v>
      </c>
      <c r="E1479" s="24">
        <v>0</v>
      </c>
      <c r="F1479" s="23">
        <f>COUNTIFS(mdr_rate_cleaned!$A$2:$A$10,B1479,mdr_rate_cleaned!$B$2:$B$10,"&lt;"&amp;C1479,mdr_rate_cleaned!$F$2:$F$10,"&gt;="&amp;C1479)</f>
        <v>1</v>
      </c>
      <c r="G1479" s="40">
        <f>SUMIFS(mdr_rate_cleaned!$G$2:$G$10,mdr_rate_cleaned!$A$2:$A$10,B1479,mdr_rate_cleaned!$B$2:$B$10,"&lt;"&amp;C1479,mdr_rate_cleaned!$F$2:$F$10,"&gt;="&amp;C1479)</f>
        <v>0</v>
      </c>
      <c r="H1479" s="24">
        <f t="shared" si="115"/>
        <v>0</v>
      </c>
      <c r="I1479" s="23" t="str">
        <f t="shared" si="116"/>
        <v>Match</v>
      </c>
      <c r="J1479" s="23" t="str">
        <f t="shared" si="117"/>
        <v>Match</v>
      </c>
      <c r="K1479" s="24">
        <f t="shared" si="118"/>
        <v>0</v>
      </c>
      <c r="L1479" s="24">
        <f t="shared" si="119"/>
        <v>0</v>
      </c>
    </row>
    <row r="1480" spans="1:12" ht="15" customHeight="1" x14ac:dyDescent="0.3">
      <c r="A1480" s="23" t="s">
        <v>14173</v>
      </c>
      <c r="B1480" s="23" t="s">
        <v>81</v>
      </c>
      <c r="C1480" s="39">
        <v>4999</v>
      </c>
      <c r="D1480" s="24">
        <v>59.99</v>
      </c>
      <c r="E1480" s="24">
        <v>10.8</v>
      </c>
      <c r="F1480" s="23">
        <f>COUNTIFS(mdr_rate_cleaned!$A$2:$A$10,B1480,mdr_rate_cleaned!$B$2:$B$10,"&lt;"&amp;C1480,mdr_rate_cleaned!$F$2:$F$10,"&gt;="&amp;C1480)</f>
        <v>1</v>
      </c>
      <c r="G1480" s="40">
        <f>SUMIFS(mdr_rate_cleaned!$G$2:$G$10,mdr_rate_cleaned!$A$2:$A$10,B1480,mdr_rate_cleaned!$B$2:$B$10,"&lt;"&amp;C1480,mdr_rate_cleaned!$F$2:$F$10,"&gt;="&amp;C1480)</f>
        <v>1.2E-2</v>
      </c>
      <c r="H1480" s="24">
        <f t="shared" si="115"/>
        <v>59.99</v>
      </c>
      <c r="I1480" s="23" t="str">
        <f t="shared" si="116"/>
        <v>Match</v>
      </c>
      <c r="J1480" s="23" t="str">
        <f t="shared" si="117"/>
        <v>Match</v>
      </c>
      <c r="K1480" s="24">
        <f t="shared" si="118"/>
        <v>10.8</v>
      </c>
      <c r="L1480" s="24">
        <f t="shared" si="119"/>
        <v>0</v>
      </c>
    </row>
    <row r="1481" spans="1:12" ht="15" customHeight="1" x14ac:dyDescent="0.3">
      <c r="A1481" s="23" t="s">
        <v>14174</v>
      </c>
      <c r="B1481" s="23" t="s">
        <v>75</v>
      </c>
      <c r="C1481" s="39">
        <v>4498</v>
      </c>
      <c r="D1481" s="24">
        <v>13.49</v>
      </c>
      <c r="E1481" s="24">
        <v>2.4300000000000002</v>
      </c>
      <c r="F1481" s="23">
        <f>COUNTIFS(mdr_rate_cleaned!$A$2:$A$10,B1481,mdr_rate_cleaned!$B$2:$B$10,"&lt;"&amp;C1481,mdr_rate_cleaned!$F$2:$F$10,"&gt;="&amp;C1481)</f>
        <v>1</v>
      </c>
      <c r="G1481" s="40">
        <f>SUMIFS(mdr_rate_cleaned!$G$2:$G$10,mdr_rate_cleaned!$A$2:$A$10,B1481,mdr_rate_cleaned!$B$2:$B$10,"&lt;"&amp;C1481,mdr_rate_cleaned!$F$2:$F$10,"&gt;="&amp;C1481)</f>
        <v>3.0000000000000001E-3</v>
      </c>
      <c r="H1481" s="24">
        <f t="shared" si="115"/>
        <v>13.49</v>
      </c>
      <c r="I1481" s="23" t="str">
        <f t="shared" si="116"/>
        <v>Match</v>
      </c>
      <c r="J1481" s="23" t="str">
        <f t="shared" si="117"/>
        <v>Match</v>
      </c>
      <c r="K1481" s="24">
        <f t="shared" si="118"/>
        <v>2.4300000000000002</v>
      </c>
      <c r="L1481" s="24">
        <f t="shared" si="119"/>
        <v>0</v>
      </c>
    </row>
    <row r="1482" spans="1:12" ht="15" customHeight="1" x14ac:dyDescent="0.3">
      <c r="A1482" s="23" t="s">
        <v>14175</v>
      </c>
      <c r="B1482" s="23" t="s">
        <v>79</v>
      </c>
      <c r="C1482" s="39">
        <v>5798</v>
      </c>
      <c r="D1482" s="24">
        <v>92.77</v>
      </c>
      <c r="E1482" s="24">
        <v>16.7</v>
      </c>
      <c r="F1482" s="23">
        <f>COUNTIFS(mdr_rate_cleaned!$A$2:$A$10,B1482,mdr_rate_cleaned!$B$2:$B$10,"&lt;"&amp;C1482,mdr_rate_cleaned!$F$2:$F$10,"&gt;="&amp;C1482)</f>
        <v>1</v>
      </c>
      <c r="G1482" s="40">
        <f>SUMIFS(mdr_rate_cleaned!$G$2:$G$10,mdr_rate_cleaned!$A$2:$A$10,B1482,mdr_rate_cleaned!$B$2:$B$10,"&lt;"&amp;C1482,mdr_rate_cleaned!$F$2:$F$10,"&gt;="&amp;C1482)</f>
        <v>1.6E-2</v>
      </c>
      <c r="H1482" s="24">
        <f t="shared" si="115"/>
        <v>92.77</v>
      </c>
      <c r="I1482" s="23" t="str">
        <f t="shared" si="116"/>
        <v>Match</v>
      </c>
      <c r="J1482" s="23" t="str">
        <f t="shared" si="117"/>
        <v>Match</v>
      </c>
      <c r="K1482" s="24">
        <f t="shared" si="118"/>
        <v>16.7</v>
      </c>
      <c r="L1482" s="24">
        <f t="shared" si="119"/>
        <v>0</v>
      </c>
    </row>
    <row r="1483" spans="1:12" ht="15" customHeight="1" x14ac:dyDescent="0.3">
      <c r="A1483" s="23" t="s">
        <v>14176</v>
      </c>
      <c r="B1483" s="23" t="s">
        <v>79</v>
      </c>
      <c r="C1483" s="39">
        <v>9797</v>
      </c>
      <c r="D1483" s="24">
        <v>156.75</v>
      </c>
      <c r="E1483" s="24">
        <v>28.22</v>
      </c>
      <c r="F1483" s="23">
        <f>COUNTIFS(mdr_rate_cleaned!$A$2:$A$10,B1483,mdr_rate_cleaned!$B$2:$B$10,"&lt;"&amp;C1483,mdr_rate_cleaned!$F$2:$F$10,"&gt;="&amp;C1483)</f>
        <v>1</v>
      </c>
      <c r="G1483" s="40">
        <f>SUMIFS(mdr_rate_cleaned!$G$2:$G$10,mdr_rate_cleaned!$A$2:$A$10,B1483,mdr_rate_cleaned!$B$2:$B$10,"&lt;"&amp;C1483,mdr_rate_cleaned!$F$2:$F$10,"&gt;="&amp;C1483)</f>
        <v>1.6E-2</v>
      </c>
      <c r="H1483" s="24">
        <f t="shared" si="115"/>
        <v>156.75</v>
      </c>
      <c r="I1483" s="23" t="str">
        <f t="shared" si="116"/>
        <v>Match</v>
      </c>
      <c r="J1483" s="23" t="str">
        <f t="shared" si="117"/>
        <v>Match</v>
      </c>
      <c r="K1483" s="24">
        <f t="shared" si="118"/>
        <v>28.22</v>
      </c>
      <c r="L1483" s="24">
        <f t="shared" si="119"/>
        <v>0</v>
      </c>
    </row>
    <row r="1484" spans="1:12" ht="15" customHeight="1" x14ac:dyDescent="0.3">
      <c r="A1484" s="23" t="s">
        <v>14177</v>
      </c>
      <c r="B1484" s="23" t="s">
        <v>79</v>
      </c>
      <c r="C1484" s="39">
        <v>2598</v>
      </c>
      <c r="D1484" s="24">
        <v>41.57</v>
      </c>
      <c r="E1484" s="24">
        <v>7.48</v>
      </c>
      <c r="F1484" s="23">
        <f>COUNTIFS(mdr_rate_cleaned!$A$2:$A$10,B1484,mdr_rate_cleaned!$B$2:$B$10,"&lt;"&amp;C1484,mdr_rate_cleaned!$F$2:$F$10,"&gt;="&amp;C1484)</f>
        <v>1</v>
      </c>
      <c r="G1484" s="40">
        <f>SUMIFS(mdr_rate_cleaned!$G$2:$G$10,mdr_rate_cleaned!$A$2:$A$10,B1484,mdr_rate_cleaned!$B$2:$B$10,"&lt;"&amp;C1484,mdr_rate_cleaned!$F$2:$F$10,"&gt;="&amp;C1484)</f>
        <v>1.6E-2</v>
      </c>
      <c r="H1484" s="24">
        <f t="shared" si="115"/>
        <v>41.57</v>
      </c>
      <c r="I1484" s="23" t="str">
        <f t="shared" si="116"/>
        <v>Match</v>
      </c>
      <c r="J1484" s="23" t="str">
        <f t="shared" si="117"/>
        <v>Match</v>
      </c>
      <c r="K1484" s="24">
        <f t="shared" si="118"/>
        <v>7.48</v>
      </c>
      <c r="L1484" s="24">
        <f t="shared" si="119"/>
        <v>0</v>
      </c>
    </row>
    <row r="1485" spans="1:12" ht="15" customHeight="1" x14ac:dyDescent="0.3">
      <c r="A1485" s="23" t="s">
        <v>14179</v>
      </c>
      <c r="B1485" s="23" t="s">
        <v>75</v>
      </c>
      <c r="C1485" s="39">
        <v>3499</v>
      </c>
      <c r="D1485" s="24">
        <v>10.5</v>
      </c>
      <c r="E1485" s="24">
        <v>1.89</v>
      </c>
      <c r="F1485" s="23">
        <f>COUNTIFS(mdr_rate_cleaned!$A$2:$A$10,B1485,mdr_rate_cleaned!$B$2:$B$10,"&lt;"&amp;C1485,mdr_rate_cleaned!$F$2:$F$10,"&gt;="&amp;C1485)</f>
        <v>1</v>
      </c>
      <c r="G1485" s="40">
        <f>SUMIFS(mdr_rate_cleaned!$G$2:$G$10,mdr_rate_cleaned!$A$2:$A$10,B1485,mdr_rate_cleaned!$B$2:$B$10,"&lt;"&amp;C1485,mdr_rate_cleaned!$F$2:$F$10,"&gt;="&amp;C1485)</f>
        <v>3.0000000000000001E-3</v>
      </c>
      <c r="H1485" s="24">
        <f t="shared" si="115"/>
        <v>10.5</v>
      </c>
      <c r="I1485" s="23" t="str">
        <f t="shared" si="116"/>
        <v>Match</v>
      </c>
      <c r="J1485" s="23" t="str">
        <f t="shared" si="117"/>
        <v>Match</v>
      </c>
      <c r="K1485" s="24">
        <f t="shared" si="118"/>
        <v>1.89</v>
      </c>
      <c r="L1485" s="24">
        <f t="shared" si="119"/>
        <v>0</v>
      </c>
    </row>
    <row r="1486" spans="1:12" ht="15" customHeight="1" x14ac:dyDescent="0.3">
      <c r="A1486" s="23" t="s">
        <v>14180</v>
      </c>
      <c r="B1486" s="23" t="s">
        <v>75</v>
      </c>
      <c r="C1486" s="39">
        <v>499</v>
      </c>
      <c r="D1486" s="24">
        <v>0</v>
      </c>
      <c r="E1486" s="24">
        <v>0</v>
      </c>
      <c r="F1486" s="23">
        <f>COUNTIFS(mdr_rate_cleaned!$A$2:$A$10,B1486,mdr_rate_cleaned!$B$2:$B$10,"&lt;"&amp;C1486,mdr_rate_cleaned!$F$2:$F$10,"&gt;="&amp;C1486)</f>
        <v>1</v>
      </c>
      <c r="G1486" s="40">
        <f>SUMIFS(mdr_rate_cleaned!$G$2:$G$10,mdr_rate_cleaned!$A$2:$A$10,B1486,mdr_rate_cleaned!$B$2:$B$10,"&lt;"&amp;C1486,mdr_rate_cleaned!$F$2:$F$10,"&gt;="&amp;C1486)</f>
        <v>0</v>
      </c>
      <c r="H1486" s="24">
        <f t="shared" si="115"/>
        <v>0</v>
      </c>
      <c r="I1486" s="23" t="str">
        <f t="shared" si="116"/>
        <v>Match</v>
      </c>
      <c r="J1486" s="23" t="str">
        <f t="shared" si="117"/>
        <v>Match</v>
      </c>
      <c r="K1486" s="24">
        <f t="shared" si="118"/>
        <v>0</v>
      </c>
      <c r="L1486" s="24">
        <f t="shared" si="119"/>
        <v>0</v>
      </c>
    </row>
    <row r="1487" spans="1:12" ht="15" customHeight="1" x14ac:dyDescent="0.3">
      <c r="A1487" s="23" t="s">
        <v>14181</v>
      </c>
      <c r="B1487" s="23" t="s">
        <v>75</v>
      </c>
      <c r="C1487" s="39">
        <v>3298</v>
      </c>
      <c r="D1487" s="24">
        <v>9.89</v>
      </c>
      <c r="E1487" s="24">
        <v>1.78</v>
      </c>
      <c r="F1487" s="23">
        <f>COUNTIFS(mdr_rate_cleaned!$A$2:$A$10,B1487,mdr_rate_cleaned!$B$2:$B$10,"&lt;"&amp;C1487,mdr_rate_cleaned!$F$2:$F$10,"&gt;="&amp;C1487)</f>
        <v>1</v>
      </c>
      <c r="G1487" s="40">
        <f>SUMIFS(mdr_rate_cleaned!$G$2:$G$10,mdr_rate_cleaned!$A$2:$A$10,B1487,mdr_rate_cleaned!$B$2:$B$10,"&lt;"&amp;C1487,mdr_rate_cleaned!$F$2:$F$10,"&gt;="&amp;C1487)</f>
        <v>3.0000000000000001E-3</v>
      </c>
      <c r="H1487" s="24">
        <f t="shared" si="115"/>
        <v>9.89</v>
      </c>
      <c r="I1487" s="23" t="str">
        <f t="shared" si="116"/>
        <v>Match</v>
      </c>
      <c r="J1487" s="23" t="str">
        <f t="shared" si="117"/>
        <v>Match</v>
      </c>
      <c r="K1487" s="24">
        <f t="shared" si="118"/>
        <v>1.78</v>
      </c>
      <c r="L1487" s="24">
        <f t="shared" si="119"/>
        <v>0</v>
      </c>
    </row>
    <row r="1488" spans="1:12" ht="15" customHeight="1" x14ac:dyDescent="0.3">
      <c r="A1488" s="23" t="s">
        <v>14182</v>
      </c>
      <c r="B1488" s="23" t="s">
        <v>75</v>
      </c>
      <c r="C1488" s="39">
        <v>5297</v>
      </c>
      <c r="D1488" s="24">
        <v>15.89</v>
      </c>
      <c r="E1488" s="24">
        <v>2.86</v>
      </c>
      <c r="F1488" s="23">
        <f>COUNTIFS(mdr_rate_cleaned!$A$2:$A$10,B1488,mdr_rate_cleaned!$B$2:$B$10,"&lt;"&amp;C1488,mdr_rate_cleaned!$F$2:$F$10,"&gt;="&amp;C1488)</f>
        <v>1</v>
      </c>
      <c r="G1488" s="40">
        <f>SUMIFS(mdr_rate_cleaned!$G$2:$G$10,mdr_rate_cleaned!$A$2:$A$10,B1488,mdr_rate_cleaned!$B$2:$B$10,"&lt;"&amp;C1488,mdr_rate_cleaned!$F$2:$F$10,"&gt;="&amp;C1488)</f>
        <v>3.0000000000000001E-3</v>
      </c>
      <c r="H1488" s="24">
        <f t="shared" si="115"/>
        <v>15.89</v>
      </c>
      <c r="I1488" s="23" t="str">
        <f t="shared" si="116"/>
        <v>Match</v>
      </c>
      <c r="J1488" s="23" t="str">
        <f t="shared" si="117"/>
        <v>Match</v>
      </c>
      <c r="K1488" s="24">
        <f t="shared" si="118"/>
        <v>2.86</v>
      </c>
      <c r="L1488" s="24">
        <f t="shared" si="119"/>
        <v>0</v>
      </c>
    </row>
    <row r="1489" spans="1:12" ht="15" customHeight="1" x14ac:dyDescent="0.3">
      <c r="A1489" s="23" t="s">
        <v>14183</v>
      </c>
      <c r="B1489" s="23" t="s">
        <v>79</v>
      </c>
      <c r="C1489" s="39">
        <v>799</v>
      </c>
      <c r="D1489" s="24">
        <v>14.38</v>
      </c>
      <c r="E1489" s="24">
        <v>2.59</v>
      </c>
      <c r="F1489" s="23">
        <f>COUNTIFS(mdr_rate_cleaned!$A$2:$A$10,B1489,mdr_rate_cleaned!$B$2:$B$10,"&lt;"&amp;C1489,mdr_rate_cleaned!$F$2:$F$10,"&gt;="&amp;C1489)</f>
        <v>1</v>
      </c>
      <c r="G1489" s="40">
        <f>SUMIFS(mdr_rate_cleaned!$G$2:$G$10,mdr_rate_cleaned!$A$2:$A$10,B1489,mdr_rate_cleaned!$B$2:$B$10,"&lt;"&amp;C1489,mdr_rate_cleaned!$F$2:$F$10,"&gt;="&amp;C1489)</f>
        <v>1.8000000000000002E-2</v>
      </c>
      <c r="H1489" s="24">
        <f t="shared" si="115"/>
        <v>14.38</v>
      </c>
      <c r="I1489" s="23" t="str">
        <f t="shared" si="116"/>
        <v>Match</v>
      </c>
      <c r="J1489" s="23" t="str">
        <f t="shared" si="117"/>
        <v>Match</v>
      </c>
      <c r="K1489" s="24">
        <f t="shared" si="118"/>
        <v>2.59</v>
      </c>
      <c r="L1489" s="24">
        <f t="shared" si="119"/>
        <v>0</v>
      </c>
    </row>
    <row r="1490" spans="1:12" ht="15" customHeight="1" x14ac:dyDescent="0.3">
      <c r="A1490" s="23" t="s">
        <v>14185</v>
      </c>
      <c r="B1490" s="23" t="s">
        <v>75</v>
      </c>
      <c r="C1490" s="39">
        <v>1499</v>
      </c>
      <c r="D1490" s="24">
        <v>0</v>
      </c>
      <c r="E1490" s="24">
        <v>0</v>
      </c>
      <c r="F1490" s="23">
        <f>COUNTIFS(mdr_rate_cleaned!$A$2:$A$10,B1490,mdr_rate_cleaned!$B$2:$B$10,"&lt;"&amp;C1490,mdr_rate_cleaned!$F$2:$F$10,"&gt;="&amp;C1490)</f>
        <v>1</v>
      </c>
      <c r="G1490" s="40">
        <f>SUMIFS(mdr_rate_cleaned!$G$2:$G$10,mdr_rate_cleaned!$A$2:$A$10,B1490,mdr_rate_cleaned!$B$2:$B$10,"&lt;"&amp;C1490,mdr_rate_cleaned!$F$2:$F$10,"&gt;="&amp;C1490)</f>
        <v>0</v>
      </c>
      <c r="H1490" s="24">
        <f t="shared" si="115"/>
        <v>0</v>
      </c>
      <c r="I1490" s="23" t="str">
        <f t="shared" si="116"/>
        <v>Match</v>
      </c>
      <c r="J1490" s="23" t="str">
        <f t="shared" si="117"/>
        <v>Match</v>
      </c>
      <c r="K1490" s="24">
        <f t="shared" si="118"/>
        <v>0</v>
      </c>
      <c r="L1490" s="24">
        <f t="shared" si="119"/>
        <v>0</v>
      </c>
    </row>
    <row r="1491" spans="1:12" ht="15" customHeight="1" x14ac:dyDescent="0.3">
      <c r="A1491" s="23" t="s">
        <v>14186</v>
      </c>
      <c r="B1491" s="23" t="s">
        <v>75</v>
      </c>
      <c r="C1491" s="39">
        <v>8498</v>
      </c>
      <c r="D1491" s="24">
        <v>25.49</v>
      </c>
      <c r="E1491" s="24">
        <v>4.59</v>
      </c>
      <c r="F1491" s="23">
        <f>COUNTIFS(mdr_rate_cleaned!$A$2:$A$10,B1491,mdr_rate_cleaned!$B$2:$B$10,"&lt;"&amp;C1491,mdr_rate_cleaned!$F$2:$F$10,"&gt;="&amp;C1491)</f>
        <v>1</v>
      </c>
      <c r="G1491" s="40">
        <f>SUMIFS(mdr_rate_cleaned!$G$2:$G$10,mdr_rate_cleaned!$A$2:$A$10,B1491,mdr_rate_cleaned!$B$2:$B$10,"&lt;"&amp;C1491,mdr_rate_cleaned!$F$2:$F$10,"&gt;="&amp;C1491)</f>
        <v>3.0000000000000001E-3</v>
      </c>
      <c r="H1491" s="24">
        <f t="shared" si="115"/>
        <v>25.49</v>
      </c>
      <c r="I1491" s="23" t="str">
        <f t="shared" si="116"/>
        <v>Match</v>
      </c>
      <c r="J1491" s="23" t="str">
        <f t="shared" si="117"/>
        <v>Match</v>
      </c>
      <c r="K1491" s="24">
        <f t="shared" si="118"/>
        <v>4.59</v>
      </c>
      <c r="L1491" s="24">
        <f t="shared" si="119"/>
        <v>0</v>
      </c>
    </row>
    <row r="1492" spans="1:12" ht="15" customHeight="1" x14ac:dyDescent="0.3">
      <c r="A1492" s="23" t="s">
        <v>14187</v>
      </c>
      <c r="B1492" s="23" t="s">
        <v>75</v>
      </c>
      <c r="C1492" s="39">
        <v>5798</v>
      </c>
      <c r="D1492" s="24">
        <v>17.39</v>
      </c>
      <c r="E1492" s="24">
        <v>3.13</v>
      </c>
      <c r="F1492" s="23">
        <f>COUNTIFS(mdr_rate_cleaned!$A$2:$A$10,B1492,mdr_rate_cleaned!$B$2:$B$10,"&lt;"&amp;C1492,mdr_rate_cleaned!$F$2:$F$10,"&gt;="&amp;C1492)</f>
        <v>1</v>
      </c>
      <c r="G1492" s="40">
        <f>SUMIFS(mdr_rate_cleaned!$G$2:$G$10,mdr_rate_cleaned!$A$2:$A$10,B1492,mdr_rate_cleaned!$B$2:$B$10,"&lt;"&amp;C1492,mdr_rate_cleaned!$F$2:$F$10,"&gt;="&amp;C1492)</f>
        <v>3.0000000000000001E-3</v>
      </c>
      <c r="H1492" s="24">
        <f t="shared" si="115"/>
        <v>17.39</v>
      </c>
      <c r="I1492" s="23" t="str">
        <f t="shared" si="116"/>
        <v>Match</v>
      </c>
      <c r="J1492" s="23" t="str">
        <f t="shared" si="117"/>
        <v>Match</v>
      </c>
      <c r="K1492" s="24">
        <f t="shared" si="118"/>
        <v>3.13</v>
      </c>
      <c r="L1492" s="24">
        <f t="shared" si="119"/>
        <v>0</v>
      </c>
    </row>
    <row r="1493" spans="1:12" ht="15" customHeight="1" x14ac:dyDescent="0.3">
      <c r="A1493" s="23" t="s">
        <v>14188</v>
      </c>
      <c r="B1493" s="23" t="s">
        <v>79</v>
      </c>
      <c r="C1493" s="39">
        <v>999</v>
      </c>
      <c r="D1493" s="24">
        <v>17.98</v>
      </c>
      <c r="E1493" s="24">
        <v>3.24</v>
      </c>
      <c r="F1493" s="23">
        <f>COUNTIFS(mdr_rate_cleaned!$A$2:$A$10,B1493,mdr_rate_cleaned!$B$2:$B$10,"&lt;"&amp;C1493,mdr_rate_cleaned!$F$2:$F$10,"&gt;="&amp;C1493)</f>
        <v>1</v>
      </c>
      <c r="G1493" s="40">
        <f>SUMIFS(mdr_rate_cleaned!$G$2:$G$10,mdr_rate_cleaned!$A$2:$A$10,B1493,mdr_rate_cleaned!$B$2:$B$10,"&lt;"&amp;C1493,mdr_rate_cleaned!$F$2:$F$10,"&gt;="&amp;C1493)</f>
        <v>1.8000000000000002E-2</v>
      </c>
      <c r="H1493" s="24">
        <f t="shared" si="115"/>
        <v>17.98</v>
      </c>
      <c r="I1493" s="23" t="str">
        <f t="shared" si="116"/>
        <v>Match</v>
      </c>
      <c r="J1493" s="23" t="str">
        <f t="shared" si="117"/>
        <v>Match</v>
      </c>
      <c r="K1493" s="24">
        <f t="shared" si="118"/>
        <v>3.24</v>
      </c>
      <c r="L1493" s="24">
        <f t="shared" si="119"/>
        <v>0</v>
      </c>
    </row>
    <row r="1494" spans="1:12" ht="15" customHeight="1" x14ac:dyDescent="0.3">
      <c r="A1494" s="23" t="s">
        <v>14189</v>
      </c>
      <c r="B1494" s="23" t="s">
        <v>75</v>
      </c>
      <c r="C1494" s="39">
        <v>5998</v>
      </c>
      <c r="D1494" s="24">
        <v>17.989999999999998</v>
      </c>
      <c r="E1494" s="24">
        <v>3.24</v>
      </c>
      <c r="F1494" s="23">
        <f>COUNTIFS(mdr_rate_cleaned!$A$2:$A$10,B1494,mdr_rate_cleaned!$B$2:$B$10,"&lt;"&amp;C1494,mdr_rate_cleaned!$F$2:$F$10,"&gt;="&amp;C1494)</f>
        <v>1</v>
      </c>
      <c r="G1494" s="40">
        <f>SUMIFS(mdr_rate_cleaned!$G$2:$G$10,mdr_rate_cleaned!$A$2:$A$10,B1494,mdr_rate_cleaned!$B$2:$B$10,"&lt;"&amp;C1494,mdr_rate_cleaned!$F$2:$F$10,"&gt;="&amp;C1494)</f>
        <v>3.0000000000000001E-3</v>
      </c>
      <c r="H1494" s="24">
        <f t="shared" si="115"/>
        <v>17.989999999999998</v>
      </c>
      <c r="I1494" s="23" t="str">
        <f t="shared" si="116"/>
        <v>Match</v>
      </c>
      <c r="J1494" s="23" t="str">
        <f t="shared" si="117"/>
        <v>Match</v>
      </c>
      <c r="K1494" s="24">
        <f t="shared" si="118"/>
        <v>3.24</v>
      </c>
      <c r="L1494" s="24">
        <f t="shared" si="119"/>
        <v>0</v>
      </c>
    </row>
    <row r="1495" spans="1:12" ht="15" customHeight="1" x14ac:dyDescent="0.3">
      <c r="A1495" s="23" t="s">
        <v>14190</v>
      </c>
      <c r="B1495" s="23" t="s">
        <v>77</v>
      </c>
      <c r="C1495" s="39">
        <v>349</v>
      </c>
      <c r="D1495" s="24">
        <v>6.63</v>
      </c>
      <c r="E1495" s="24">
        <v>1.19</v>
      </c>
      <c r="F1495" s="23">
        <f>COUNTIFS(mdr_rate_cleaned!$A$2:$A$10,B1495,mdr_rate_cleaned!$B$2:$B$10,"&lt;"&amp;C1495,mdr_rate_cleaned!$F$2:$F$10,"&gt;="&amp;C1495)</f>
        <v>1</v>
      </c>
      <c r="G1495" s="40">
        <f>SUMIFS(mdr_rate_cleaned!$G$2:$G$10,mdr_rate_cleaned!$A$2:$A$10,B1495,mdr_rate_cleaned!$B$2:$B$10,"&lt;"&amp;C1495,mdr_rate_cleaned!$F$2:$F$10,"&gt;="&amp;C1495)</f>
        <v>1.9E-2</v>
      </c>
      <c r="H1495" s="24">
        <f t="shared" si="115"/>
        <v>6.63</v>
      </c>
      <c r="I1495" s="23" t="str">
        <f t="shared" si="116"/>
        <v>Match</v>
      </c>
      <c r="J1495" s="23" t="str">
        <f t="shared" si="117"/>
        <v>Match</v>
      </c>
      <c r="K1495" s="24">
        <f t="shared" si="118"/>
        <v>1.19</v>
      </c>
      <c r="L1495" s="24">
        <f t="shared" si="119"/>
        <v>0</v>
      </c>
    </row>
    <row r="1496" spans="1:12" ht="15" customHeight="1" x14ac:dyDescent="0.3">
      <c r="A1496" s="23" t="s">
        <v>14191</v>
      </c>
      <c r="B1496" s="23" t="s">
        <v>79</v>
      </c>
      <c r="C1496" s="39">
        <v>299</v>
      </c>
      <c r="D1496" s="24">
        <v>5.38</v>
      </c>
      <c r="E1496" s="24">
        <v>0.97</v>
      </c>
      <c r="F1496" s="23">
        <f>COUNTIFS(mdr_rate_cleaned!$A$2:$A$10,B1496,mdr_rate_cleaned!$B$2:$B$10,"&lt;"&amp;C1496,mdr_rate_cleaned!$F$2:$F$10,"&gt;="&amp;C1496)</f>
        <v>1</v>
      </c>
      <c r="G1496" s="40">
        <f>SUMIFS(mdr_rate_cleaned!$G$2:$G$10,mdr_rate_cleaned!$A$2:$A$10,B1496,mdr_rate_cleaned!$B$2:$B$10,"&lt;"&amp;C1496,mdr_rate_cleaned!$F$2:$F$10,"&gt;="&amp;C1496)</f>
        <v>1.8000000000000002E-2</v>
      </c>
      <c r="H1496" s="24">
        <f t="shared" si="115"/>
        <v>5.38</v>
      </c>
      <c r="I1496" s="23" t="str">
        <f t="shared" si="116"/>
        <v>Match</v>
      </c>
      <c r="J1496" s="23" t="str">
        <f t="shared" si="117"/>
        <v>Match</v>
      </c>
      <c r="K1496" s="24">
        <f t="shared" si="118"/>
        <v>0.97</v>
      </c>
      <c r="L1496" s="24">
        <f t="shared" si="119"/>
        <v>0</v>
      </c>
    </row>
    <row r="1497" spans="1:12" ht="15" customHeight="1" x14ac:dyDescent="0.3">
      <c r="A1497" s="23" t="s">
        <v>14192</v>
      </c>
      <c r="B1497" s="23" t="s">
        <v>75</v>
      </c>
      <c r="C1497" s="39">
        <v>299</v>
      </c>
      <c r="D1497" s="24">
        <v>0</v>
      </c>
      <c r="E1497" s="24">
        <v>0</v>
      </c>
      <c r="F1497" s="23">
        <f>COUNTIFS(mdr_rate_cleaned!$A$2:$A$10,B1497,mdr_rate_cleaned!$B$2:$B$10,"&lt;"&amp;C1497,mdr_rate_cleaned!$F$2:$F$10,"&gt;="&amp;C1497)</f>
        <v>1</v>
      </c>
      <c r="G1497" s="40">
        <f>SUMIFS(mdr_rate_cleaned!$G$2:$G$10,mdr_rate_cleaned!$A$2:$A$10,B1497,mdr_rate_cleaned!$B$2:$B$10,"&lt;"&amp;C1497,mdr_rate_cleaned!$F$2:$F$10,"&gt;="&amp;C1497)</f>
        <v>0</v>
      </c>
      <c r="H1497" s="24">
        <f t="shared" si="115"/>
        <v>0</v>
      </c>
      <c r="I1497" s="23" t="str">
        <f t="shared" si="116"/>
        <v>Match</v>
      </c>
      <c r="J1497" s="23" t="str">
        <f t="shared" si="117"/>
        <v>Match</v>
      </c>
      <c r="K1497" s="24">
        <f t="shared" si="118"/>
        <v>0</v>
      </c>
      <c r="L1497" s="24">
        <f t="shared" si="119"/>
        <v>0</v>
      </c>
    </row>
    <row r="1498" spans="1:12" ht="15" customHeight="1" x14ac:dyDescent="0.3">
      <c r="A1498" s="23" t="s">
        <v>14194</v>
      </c>
      <c r="B1498" s="23" t="s">
        <v>75</v>
      </c>
      <c r="C1498" s="39">
        <v>499</v>
      </c>
      <c r="D1498" s="24">
        <v>0</v>
      </c>
      <c r="E1498" s="24">
        <v>0</v>
      </c>
      <c r="F1498" s="23">
        <f>COUNTIFS(mdr_rate_cleaned!$A$2:$A$10,B1498,mdr_rate_cleaned!$B$2:$B$10,"&lt;"&amp;C1498,mdr_rate_cleaned!$F$2:$F$10,"&gt;="&amp;C1498)</f>
        <v>1</v>
      </c>
      <c r="G1498" s="40">
        <f>SUMIFS(mdr_rate_cleaned!$G$2:$G$10,mdr_rate_cleaned!$A$2:$A$10,B1498,mdr_rate_cleaned!$B$2:$B$10,"&lt;"&amp;C1498,mdr_rate_cleaned!$F$2:$F$10,"&gt;="&amp;C1498)</f>
        <v>0</v>
      </c>
      <c r="H1498" s="24">
        <f t="shared" si="115"/>
        <v>0</v>
      </c>
      <c r="I1498" s="23" t="str">
        <f t="shared" si="116"/>
        <v>Match</v>
      </c>
      <c r="J1498" s="23" t="str">
        <f t="shared" si="117"/>
        <v>Match</v>
      </c>
      <c r="K1498" s="24">
        <f t="shared" si="118"/>
        <v>0</v>
      </c>
      <c r="L1498" s="24">
        <f t="shared" si="119"/>
        <v>0</v>
      </c>
    </row>
    <row r="1499" spans="1:12" ht="15" customHeight="1" x14ac:dyDescent="0.3">
      <c r="A1499" s="23" t="s">
        <v>14195</v>
      </c>
      <c r="B1499" s="23" t="s">
        <v>75</v>
      </c>
      <c r="C1499" s="39">
        <v>2999</v>
      </c>
      <c r="D1499" s="24">
        <v>9</v>
      </c>
      <c r="E1499" s="24">
        <v>1.62</v>
      </c>
      <c r="F1499" s="23">
        <f>COUNTIFS(mdr_rate_cleaned!$A$2:$A$10,B1499,mdr_rate_cleaned!$B$2:$B$10,"&lt;"&amp;C1499,mdr_rate_cleaned!$F$2:$F$10,"&gt;="&amp;C1499)</f>
        <v>1</v>
      </c>
      <c r="G1499" s="40">
        <f>SUMIFS(mdr_rate_cleaned!$G$2:$G$10,mdr_rate_cleaned!$A$2:$A$10,B1499,mdr_rate_cleaned!$B$2:$B$10,"&lt;"&amp;C1499,mdr_rate_cleaned!$F$2:$F$10,"&gt;="&amp;C1499)</f>
        <v>3.0000000000000001E-3</v>
      </c>
      <c r="H1499" s="24">
        <f t="shared" si="115"/>
        <v>9</v>
      </c>
      <c r="I1499" s="23" t="str">
        <f t="shared" si="116"/>
        <v>Match</v>
      </c>
      <c r="J1499" s="23" t="str">
        <f t="shared" si="117"/>
        <v>Match</v>
      </c>
      <c r="K1499" s="24">
        <f t="shared" si="118"/>
        <v>1.62</v>
      </c>
      <c r="L1499" s="24">
        <f t="shared" si="119"/>
        <v>0</v>
      </c>
    </row>
    <row r="1500" spans="1:12" ht="15" customHeight="1" x14ac:dyDescent="0.3">
      <c r="A1500" s="23" t="s">
        <v>14196</v>
      </c>
      <c r="B1500" s="23" t="s">
        <v>75</v>
      </c>
      <c r="C1500" s="39">
        <v>2098</v>
      </c>
      <c r="D1500" s="24">
        <v>6.29</v>
      </c>
      <c r="E1500" s="24">
        <v>1.1299999999999999</v>
      </c>
      <c r="F1500" s="23">
        <f>COUNTIFS(mdr_rate_cleaned!$A$2:$A$10,B1500,mdr_rate_cleaned!$B$2:$B$10,"&lt;"&amp;C1500,mdr_rate_cleaned!$F$2:$F$10,"&gt;="&amp;C1500)</f>
        <v>1</v>
      </c>
      <c r="G1500" s="40">
        <f>SUMIFS(mdr_rate_cleaned!$G$2:$G$10,mdr_rate_cleaned!$A$2:$A$10,B1500,mdr_rate_cleaned!$B$2:$B$10,"&lt;"&amp;C1500,mdr_rate_cleaned!$F$2:$F$10,"&gt;="&amp;C1500)</f>
        <v>3.0000000000000001E-3</v>
      </c>
      <c r="H1500" s="24">
        <f t="shared" si="115"/>
        <v>6.29</v>
      </c>
      <c r="I1500" s="23" t="str">
        <f t="shared" si="116"/>
        <v>Match</v>
      </c>
      <c r="J1500" s="23" t="str">
        <f t="shared" si="117"/>
        <v>Match</v>
      </c>
      <c r="K1500" s="24">
        <f t="shared" si="118"/>
        <v>1.1299999999999999</v>
      </c>
      <c r="L1500" s="24">
        <f t="shared" si="119"/>
        <v>0</v>
      </c>
    </row>
    <row r="1501" spans="1:12" ht="15" customHeight="1" x14ac:dyDescent="0.3">
      <c r="A1501" s="23" t="s">
        <v>14197</v>
      </c>
      <c r="B1501" s="23" t="s">
        <v>77</v>
      </c>
      <c r="C1501" s="39">
        <v>3797</v>
      </c>
      <c r="D1501" s="24">
        <v>64.55</v>
      </c>
      <c r="E1501" s="24">
        <v>11.62</v>
      </c>
      <c r="F1501" s="23">
        <f>COUNTIFS(mdr_rate_cleaned!$A$2:$A$10,B1501,mdr_rate_cleaned!$B$2:$B$10,"&lt;"&amp;C1501,mdr_rate_cleaned!$F$2:$F$10,"&gt;="&amp;C1501)</f>
        <v>1</v>
      </c>
      <c r="G1501" s="40">
        <f>SUMIFS(mdr_rate_cleaned!$G$2:$G$10,mdr_rate_cleaned!$A$2:$A$10,B1501,mdr_rate_cleaned!$B$2:$B$10,"&lt;"&amp;C1501,mdr_rate_cleaned!$F$2:$F$10,"&gt;="&amp;C1501)</f>
        <v>1.7000000000000001E-2</v>
      </c>
      <c r="H1501" s="24">
        <f t="shared" si="115"/>
        <v>64.55</v>
      </c>
      <c r="I1501" s="23" t="str">
        <f t="shared" si="116"/>
        <v>Match</v>
      </c>
      <c r="J1501" s="23" t="str">
        <f t="shared" si="117"/>
        <v>Match</v>
      </c>
      <c r="K1501" s="24">
        <f t="shared" si="118"/>
        <v>11.62</v>
      </c>
      <c r="L1501" s="24">
        <f t="shared" si="119"/>
        <v>0</v>
      </c>
    </row>
    <row r="1502" spans="1:12" ht="15" customHeight="1" x14ac:dyDescent="0.3">
      <c r="A1502" s="23" t="s">
        <v>14198</v>
      </c>
      <c r="B1502" s="23" t="s">
        <v>75</v>
      </c>
      <c r="C1502" s="39">
        <v>4999</v>
      </c>
      <c r="D1502" s="24">
        <v>15</v>
      </c>
      <c r="E1502" s="24">
        <v>2.7</v>
      </c>
      <c r="F1502" s="23">
        <f>COUNTIFS(mdr_rate_cleaned!$A$2:$A$10,B1502,mdr_rate_cleaned!$B$2:$B$10,"&lt;"&amp;C1502,mdr_rate_cleaned!$F$2:$F$10,"&gt;="&amp;C1502)</f>
        <v>1</v>
      </c>
      <c r="G1502" s="40">
        <f>SUMIFS(mdr_rate_cleaned!$G$2:$G$10,mdr_rate_cleaned!$A$2:$A$10,B1502,mdr_rate_cleaned!$B$2:$B$10,"&lt;"&amp;C1502,mdr_rate_cleaned!$F$2:$F$10,"&gt;="&amp;C1502)</f>
        <v>3.0000000000000001E-3</v>
      </c>
      <c r="H1502" s="24">
        <f t="shared" si="115"/>
        <v>15</v>
      </c>
      <c r="I1502" s="23" t="str">
        <f t="shared" si="116"/>
        <v>Match</v>
      </c>
      <c r="J1502" s="23" t="str">
        <f t="shared" si="117"/>
        <v>Match</v>
      </c>
      <c r="K1502" s="24">
        <f t="shared" si="118"/>
        <v>2.7</v>
      </c>
      <c r="L1502" s="24">
        <f t="shared" si="119"/>
        <v>0</v>
      </c>
    </row>
    <row r="1503" spans="1:12" ht="15" customHeight="1" x14ac:dyDescent="0.3">
      <c r="A1503" s="23" t="s">
        <v>14199</v>
      </c>
      <c r="B1503" s="23" t="s">
        <v>79</v>
      </c>
      <c r="C1503" s="39">
        <v>1798</v>
      </c>
      <c r="D1503" s="24">
        <v>32.36</v>
      </c>
      <c r="E1503" s="24">
        <v>5.82</v>
      </c>
      <c r="F1503" s="23">
        <f>COUNTIFS(mdr_rate_cleaned!$A$2:$A$10,B1503,mdr_rate_cleaned!$B$2:$B$10,"&lt;"&amp;C1503,mdr_rate_cleaned!$F$2:$F$10,"&gt;="&amp;C1503)</f>
        <v>1</v>
      </c>
      <c r="G1503" s="40">
        <f>SUMIFS(mdr_rate_cleaned!$G$2:$G$10,mdr_rate_cleaned!$A$2:$A$10,B1503,mdr_rate_cleaned!$B$2:$B$10,"&lt;"&amp;C1503,mdr_rate_cleaned!$F$2:$F$10,"&gt;="&amp;C1503)</f>
        <v>1.8000000000000002E-2</v>
      </c>
      <c r="H1503" s="24">
        <f t="shared" si="115"/>
        <v>32.36</v>
      </c>
      <c r="I1503" s="23" t="str">
        <f t="shared" si="116"/>
        <v>Match</v>
      </c>
      <c r="J1503" s="23" t="str">
        <f t="shared" si="117"/>
        <v>Match</v>
      </c>
      <c r="K1503" s="24">
        <f t="shared" si="118"/>
        <v>5.82</v>
      </c>
      <c r="L1503" s="24">
        <f t="shared" si="119"/>
        <v>0</v>
      </c>
    </row>
    <row r="1504" spans="1:12" ht="15" customHeight="1" x14ac:dyDescent="0.3">
      <c r="A1504" s="23" t="s">
        <v>14200</v>
      </c>
      <c r="B1504" s="23" t="s">
        <v>75</v>
      </c>
      <c r="C1504" s="39">
        <v>7998</v>
      </c>
      <c r="D1504" s="24">
        <v>23.99</v>
      </c>
      <c r="E1504" s="24">
        <v>4.32</v>
      </c>
      <c r="F1504" s="23">
        <f>COUNTIFS(mdr_rate_cleaned!$A$2:$A$10,B1504,mdr_rate_cleaned!$B$2:$B$10,"&lt;"&amp;C1504,mdr_rate_cleaned!$F$2:$F$10,"&gt;="&amp;C1504)</f>
        <v>1</v>
      </c>
      <c r="G1504" s="40">
        <f>SUMIFS(mdr_rate_cleaned!$G$2:$G$10,mdr_rate_cleaned!$A$2:$A$10,B1504,mdr_rate_cleaned!$B$2:$B$10,"&lt;"&amp;C1504,mdr_rate_cleaned!$F$2:$F$10,"&gt;="&amp;C1504)</f>
        <v>3.0000000000000001E-3</v>
      </c>
      <c r="H1504" s="24">
        <f t="shared" si="115"/>
        <v>23.99</v>
      </c>
      <c r="I1504" s="23" t="str">
        <f t="shared" si="116"/>
        <v>Match</v>
      </c>
      <c r="J1504" s="23" t="str">
        <f t="shared" si="117"/>
        <v>Match</v>
      </c>
      <c r="K1504" s="24">
        <f t="shared" si="118"/>
        <v>4.32</v>
      </c>
      <c r="L1504" s="24">
        <f t="shared" si="119"/>
        <v>0</v>
      </c>
    </row>
    <row r="1505" spans="1:12" ht="15" customHeight="1" x14ac:dyDescent="0.3">
      <c r="A1505" s="23" t="s">
        <v>14201</v>
      </c>
      <c r="B1505" s="23" t="s">
        <v>79</v>
      </c>
      <c r="C1505" s="39">
        <v>2999</v>
      </c>
      <c r="D1505" s="24">
        <v>47.98</v>
      </c>
      <c r="E1505" s="24">
        <v>8.64</v>
      </c>
      <c r="F1505" s="23">
        <f>COUNTIFS(mdr_rate_cleaned!$A$2:$A$10,B1505,mdr_rate_cleaned!$B$2:$B$10,"&lt;"&amp;C1505,mdr_rate_cleaned!$F$2:$F$10,"&gt;="&amp;C1505)</f>
        <v>1</v>
      </c>
      <c r="G1505" s="40">
        <f>SUMIFS(mdr_rate_cleaned!$G$2:$G$10,mdr_rate_cleaned!$A$2:$A$10,B1505,mdr_rate_cleaned!$B$2:$B$10,"&lt;"&amp;C1505,mdr_rate_cleaned!$F$2:$F$10,"&gt;="&amp;C1505)</f>
        <v>1.6E-2</v>
      </c>
      <c r="H1505" s="24">
        <f t="shared" si="115"/>
        <v>47.98</v>
      </c>
      <c r="I1505" s="23" t="str">
        <f t="shared" si="116"/>
        <v>Match</v>
      </c>
      <c r="J1505" s="23" t="str">
        <f t="shared" si="117"/>
        <v>Match</v>
      </c>
      <c r="K1505" s="24">
        <f t="shared" si="118"/>
        <v>8.64</v>
      </c>
      <c r="L1505" s="24">
        <f t="shared" si="119"/>
        <v>0</v>
      </c>
    </row>
    <row r="1506" spans="1:12" ht="15" customHeight="1" x14ac:dyDescent="0.3">
      <c r="A1506" s="23" t="s">
        <v>14202</v>
      </c>
      <c r="B1506" s="23" t="s">
        <v>75</v>
      </c>
      <c r="C1506" s="39">
        <v>1348</v>
      </c>
      <c r="D1506" s="24">
        <v>0</v>
      </c>
      <c r="E1506" s="24">
        <v>0</v>
      </c>
      <c r="F1506" s="23">
        <f>COUNTIFS(mdr_rate_cleaned!$A$2:$A$10,B1506,mdr_rate_cleaned!$B$2:$B$10,"&lt;"&amp;C1506,mdr_rate_cleaned!$F$2:$F$10,"&gt;="&amp;C1506)</f>
        <v>1</v>
      </c>
      <c r="G1506" s="40">
        <f>SUMIFS(mdr_rate_cleaned!$G$2:$G$10,mdr_rate_cleaned!$A$2:$A$10,B1506,mdr_rate_cleaned!$B$2:$B$10,"&lt;"&amp;C1506,mdr_rate_cleaned!$F$2:$F$10,"&gt;="&amp;C1506)</f>
        <v>0</v>
      </c>
      <c r="H1506" s="24">
        <f t="shared" si="115"/>
        <v>0</v>
      </c>
      <c r="I1506" s="23" t="str">
        <f t="shared" si="116"/>
        <v>Match</v>
      </c>
      <c r="J1506" s="23" t="str">
        <f t="shared" si="117"/>
        <v>Match</v>
      </c>
      <c r="K1506" s="24">
        <f t="shared" si="118"/>
        <v>0</v>
      </c>
      <c r="L1506" s="24">
        <f t="shared" si="119"/>
        <v>0</v>
      </c>
    </row>
    <row r="1507" spans="1:12" ht="15" customHeight="1" x14ac:dyDescent="0.3">
      <c r="A1507" s="23" t="s">
        <v>14203</v>
      </c>
      <c r="B1507" s="23" t="s">
        <v>75</v>
      </c>
      <c r="C1507" s="39">
        <v>5498</v>
      </c>
      <c r="D1507" s="24">
        <v>16.489999999999998</v>
      </c>
      <c r="E1507" s="24">
        <v>2.97</v>
      </c>
      <c r="F1507" s="23">
        <f>COUNTIFS(mdr_rate_cleaned!$A$2:$A$10,B1507,mdr_rate_cleaned!$B$2:$B$10,"&lt;"&amp;C1507,mdr_rate_cleaned!$F$2:$F$10,"&gt;="&amp;C1507)</f>
        <v>1</v>
      </c>
      <c r="G1507" s="40">
        <f>SUMIFS(mdr_rate_cleaned!$G$2:$G$10,mdr_rate_cleaned!$A$2:$A$10,B1507,mdr_rate_cleaned!$B$2:$B$10,"&lt;"&amp;C1507,mdr_rate_cleaned!$F$2:$F$10,"&gt;="&amp;C1507)</f>
        <v>3.0000000000000001E-3</v>
      </c>
      <c r="H1507" s="24">
        <f t="shared" si="115"/>
        <v>16.489999999999998</v>
      </c>
      <c r="I1507" s="23" t="str">
        <f t="shared" si="116"/>
        <v>Match</v>
      </c>
      <c r="J1507" s="23" t="str">
        <f t="shared" si="117"/>
        <v>Match</v>
      </c>
      <c r="K1507" s="24">
        <f t="shared" si="118"/>
        <v>2.97</v>
      </c>
      <c r="L1507" s="24">
        <f t="shared" si="119"/>
        <v>0</v>
      </c>
    </row>
    <row r="1508" spans="1:12" ht="15" customHeight="1" x14ac:dyDescent="0.3">
      <c r="A1508" s="23" t="s">
        <v>14204</v>
      </c>
      <c r="B1508" s="23" t="s">
        <v>75</v>
      </c>
      <c r="C1508" s="39">
        <v>4397</v>
      </c>
      <c r="D1508" s="24">
        <v>13.19</v>
      </c>
      <c r="E1508" s="24">
        <v>2.37</v>
      </c>
      <c r="F1508" s="23">
        <f>COUNTIFS(mdr_rate_cleaned!$A$2:$A$10,B1508,mdr_rate_cleaned!$B$2:$B$10,"&lt;"&amp;C1508,mdr_rate_cleaned!$F$2:$F$10,"&gt;="&amp;C1508)</f>
        <v>1</v>
      </c>
      <c r="G1508" s="40">
        <f>SUMIFS(mdr_rate_cleaned!$G$2:$G$10,mdr_rate_cleaned!$A$2:$A$10,B1508,mdr_rate_cleaned!$B$2:$B$10,"&lt;"&amp;C1508,mdr_rate_cleaned!$F$2:$F$10,"&gt;="&amp;C1508)</f>
        <v>3.0000000000000001E-3</v>
      </c>
      <c r="H1508" s="24">
        <f t="shared" si="115"/>
        <v>13.19</v>
      </c>
      <c r="I1508" s="23" t="str">
        <f t="shared" si="116"/>
        <v>Match</v>
      </c>
      <c r="J1508" s="23" t="str">
        <f t="shared" si="117"/>
        <v>Match</v>
      </c>
      <c r="K1508" s="24">
        <f t="shared" si="118"/>
        <v>2.37</v>
      </c>
      <c r="L1508" s="24">
        <f t="shared" si="119"/>
        <v>0</v>
      </c>
    </row>
    <row r="1509" spans="1:12" ht="15" customHeight="1" x14ac:dyDescent="0.3">
      <c r="A1509" s="23" t="s">
        <v>14205</v>
      </c>
      <c r="B1509" s="23" t="s">
        <v>75</v>
      </c>
      <c r="C1509" s="39">
        <v>5397</v>
      </c>
      <c r="D1509" s="24">
        <v>16.190000000000001</v>
      </c>
      <c r="E1509" s="24">
        <v>2.91</v>
      </c>
      <c r="F1509" s="23">
        <f>COUNTIFS(mdr_rate_cleaned!$A$2:$A$10,B1509,mdr_rate_cleaned!$B$2:$B$10,"&lt;"&amp;C1509,mdr_rate_cleaned!$F$2:$F$10,"&gt;="&amp;C1509)</f>
        <v>1</v>
      </c>
      <c r="G1509" s="40">
        <f>SUMIFS(mdr_rate_cleaned!$G$2:$G$10,mdr_rate_cleaned!$A$2:$A$10,B1509,mdr_rate_cleaned!$B$2:$B$10,"&lt;"&amp;C1509,mdr_rate_cleaned!$F$2:$F$10,"&gt;="&amp;C1509)</f>
        <v>3.0000000000000001E-3</v>
      </c>
      <c r="H1509" s="24">
        <f t="shared" si="115"/>
        <v>16.190000000000001</v>
      </c>
      <c r="I1509" s="23" t="str">
        <f t="shared" si="116"/>
        <v>Match</v>
      </c>
      <c r="J1509" s="23" t="str">
        <f t="shared" si="117"/>
        <v>Match</v>
      </c>
      <c r="K1509" s="24">
        <f t="shared" si="118"/>
        <v>2.91</v>
      </c>
      <c r="L1509" s="24">
        <f t="shared" si="119"/>
        <v>0</v>
      </c>
    </row>
    <row r="1510" spans="1:12" ht="15" customHeight="1" x14ac:dyDescent="0.3">
      <c r="A1510" s="23" t="s">
        <v>14206</v>
      </c>
      <c r="B1510" s="23" t="s">
        <v>75</v>
      </c>
      <c r="C1510" s="39">
        <v>2097</v>
      </c>
      <c r="D1510" s="24">
        <v>6.29</v>
      </c>
      <c r="E1510" s="24">
        <v>1.1299999999999999</v>
      </c>
      <c r="F1510" s="23">
        <f>COUNTIFS(mdr_rate_cleaned!$A$2:$A$10,B1510,mdr_rate_cleaned!$B$2:$B$10,"&lt;"&amp;C1510,mdr_rate_cleaned!$F$2:$F$10,"&gt;="&amp;C1510)</f>
        <v>1</v>
      </c>
      <c r="G1510" s="40">
        <f>SUMIFS(mdr_rate_cleaned!$G$2:$G$10,mdr_rate_cleaned!$A$2:$A$10,B1510,mdr_rate_cleaned!$B$2:$B$10,"&lt;"&amp;C1510,mdr_rate_cleaned!$F$2:$F$10,"&gt;="&amp;C1510)</f>
        <v>3.0000000000000001E-3</v>
      </c>
      <c r="H1510" s="24">
        <f t="shared" si="115"/>
        <v>6.29</v>
      </c>
      <c r="I1510" s="23" t="str">
        <f t="shared" si="116"/>
        <v>Match</v>
      </c>
      <c r="J1510" s="23" t="str">
        <f t="shared" si="117"/>
        <v>Match</v>
      </c>
      <c r="K1510" s="24">
        <f t="shared" si="118"/>
        <v>1.1299999999999999</v>
      </c>
      <c r="L1510" s="24">
        <f t="shared" si="119"/>
        <v>0</v>
      </c>
    </row>
    <row r="1511" spans="1:12" ht="15" customHeight="1" x14ac:dyDescent="0.3">
      <c r="A1511" s="23" t="s">
        <v>14207</v>
      </c>
      <c r="B1511" s="23" t="s">
        <v>81</v>
      </c>
      <c r="C1511" s="39">
        <v>299</v>
      </c>
      <c r="D1511" s="24">
        <v>4.49</v>
      </c>
      <c r="E1511" s="24">
        <v>0.81</v>
      </c>
      <c r="F1511" s="23">
        <f>COUNTIFS(mdr_rate_cleaned!$A$2:$A$10,B1511,mdr_rate_cleaned!$B$2:$B$10,"&lt;"&amp;C1511,mdr_rate_cleaned!$F$2:$F$10,"&gt;="&amp;C1511)</f>
        <v>1</v>
      </c>
      <c r="G1511" s="40">
        <f>SUMIFS(mdr_rate_cleaned!$G$2:$G$10,mdr_rate_cleaned!$A$2:$A$10,B1511,mdr_rate_cleaned!$B$2:$B$10,"&lt;"&amp;C1511,mdr_rate_cleaned!$F$2:$F$10,"&gt;="&amp;C1511)</f>
        <v>1.4999999999999999E-2</v>
      </c>
      <c r="H1511" s="24">
        <f t="shared" si="115"/>
        <v>4.49</v>
      </c>
      <c r="I1511" s="23" t="str">
        <f t="shared" si="116"/>
        <v>Match</v>
      </c>
      <c r="J1511" s="23" t="str">
        <f t="shared" si="117"/>
        <v>Match</v>
      </c>
      <c r="K1511" s="24">
        <f t="shared" si="118"/>
        <v>0.81</v>
      </c>
      <c r="L1511" s="24">
        <f t="shared" si="119"/>
        <v>0</v>
      </c>
    </row>
    <row r="1512" spans="1:12" ht="15" customHeight="1" x14ac:dyDescent="0.3">
      <c r="A1512" s="23" t="s">
        <v>14208</v>
      </c>
      <c r="B1512" s="23" t="s">
        <v>79</v>
      </c>
      <c r="C1512" s="39">
        <v>5798</v>
      </c>
      <c r="D1512" s="24">
        <v>92.77</v>
      </c>
      <c r="E1512" s="24">
        <v>16.7</v>
      </c>
      <c r="F1512" s="23">
        <f>COUNTIFS(mdr_rate_cleaned!$A$2:$A$10,B1512,mdr_rate_cleaned!$B$2:$B$10,"&lt;"&amp;C1512,mdr_rate_cleaned!$F$2:$F$10,"&gt;="&amp;C1512)</f>
        <v>1</v>
      </c>
      <c r="G1512" s="40">
        <f>SUMIFS(mdr_rate_cleaned!$G$2:$G$10,mdr_rate_cleaned!$A$2:$A$10,B1512,mdr_rate_cleaned!$B$2:$B$10,"&lt;"&amp;C1512,mdr_rate_cleaned!$F$2:$F$10,"&gt;="&amp;C1512)</f>
        <v>1.6E-2</v>
      </c>
      <c r="H1512" s="24">
        <f t="shared" si="115"/>
        <v>92.77</v>
      </c>
      <c r="I1512" s="23" t="str">
        <f t="shared" si="116"/>
        <v>Match</v>
      </c>
      <c r="J1512" s="23" t="str">
        <f t="shared" si="117"/>
        <v>Match</v>
      </c>
      <c r="K1512" s="24">
        <f t="shared" si="118"/>
        <v>16.7</v>
      </c>
      <c r="L1512" s="24">
        <f t="shared" si="119"/>
        <v>0</v>
      </c>
    </row>
    <row r="1513" spans="1:12" ht="15" customHeight="1" x14ac:dyDescent="0.3">
      <c r="A1513" s="23" t="s">
        <v>14209</v>
      </c>
      <c r="B1513" s="23" t="s">
        <v>77</v>
      </c>
      <c r="C1513" s="39">
        <v>3798</v>
      </c>
      <c r="D1513" s="24">
        <v>64.569999999999993</v>
      </c>
      <c r="E1513" s="24">
        <v>11.62</v>
      </c>
      <c r="F1513" s="23">
        <f>COUNTIFS(mdr_rate_cleaned!$A$2:$A$10,B1513,mdr_rate_cleaned!$B$2:$B$10,"&lt;"&amp;C1513,mdr_rate_cleaned!$F$2:$F$10,"&gt;="&amp;C1513)</f>
        <v>1</v>
      </c>
      <c r="G1513" s="40">
        <f>SUMIFS(mdr_rate_cleaned!$G$2:$G$10,mdr_rate_cleaned!$A$2:$A$10,B1513,mdr_rate_cleaned!$B$2:$B$10,"&lt;"&amp;C1513,mdr_rate_cleaned!$F$2:$F$10,"&gt;="&amp;C1513)</f>
        <v>1.7000000000000001E-2</v>
      </c>
      <c r="H1513" s="24">
        <f t="shared" si="115"/>
        <v>64.569999999999993</v>
      </c>
      <c r="I1513" s="23" t="str">
        <f t="shared" si="116"/>
        <v>Match</v>
      </c>
      <c r="J1513" s="23" t="str">
        <f t="shared" si="117"/>
        <v>Match</v>
      </c>
      <c r="K1513" s="24">
        <f t="shared" si="118"/>
        <v>11.62</v>
      </c>
      <c r="L1513" s="24">
        <f t="shared" si="119"/>
        <v>0</v>
      </c>
    </row>
    <row r="1514" spans="1:12" ht="15" customHeight="1" x14ac:dyDescent="0.3">
      <c r="A1514" s="23" t="s">
        <v>14210</v>
      </c>
      <c r="B1514" s="23" t="s">
        <v>81</v>
      </c>
      <c r="C1514" s="39">
        <v>3098</v>
      </c>
      <c r="D1514" s="24">
        <v>37.18</v>
      </c>
      <c r="E1514" s="24">
        <v>6.69</v>
      </c>
      <c r="F1514" s="23">
        <f>COUNTIFS(mdr_rate_cleaned!$A$2:$A$10,B1514,mdr_rate_cleaned!$B$2:$B$10,"&lt;"&amp;C1514,mdr_rate_cleaned!$F$2:$F$10,"&gt;="&amp;C1514)</f>
        <v>1</v>
      </c>
      <c r="G1514" s="40">
        <f>SUMIFS(mdr_rate_cleaned!$G$2:$G$10,mdr_rate_cleaned!$A$2:$A$10,B1514,mdr_rate_cleaned!$B$2:$B$10,"&lt;"&amp;C1514,mdr_rate_cleaned!$F$2:$F$10,"&gt;="&amp;C1514)</f>
        <v>1.2E-2</v>
      </c>
      <c r="H1514" s="24">
        <f t="shared" si="115"/>
        <v>37.18</v>
      </c>
      <c r="I1514" s="23" t="str">
        <f t="shared" si="116"/>
        <v>Match</v>
      </c>
      <c r="J1514" s="23" t="str">
        <f t="shared" si="117"/>
        <v>Match</v>
      </c>
      <c r="K1514" s="24">
        <f t="shared" si="118"/>
        <v>6.69</v>
      </c>
      <c r="L1514" s="24">
        <f t="shared" si="119"/>
        <v>0</v>
      </c>
    </row>
    <row r="1515" spans="1:12" ht="15" customHeight="1" x14ac:dyDescent="0.3">
      <c r="A1515" s="23" t="s">
        <v>14211</v>
      </c>
      <c r="B1515" s="23" t="s">
        <v>75</v>
      </c>
      <c r="C1515" s="39">
        <v>2299</v>
      </c>
      <c r="D1515" s="24">
        <v>6.9</v>
      </c>
      <c r="E1515" s="24">
        <v>1.24</v>
      </c>
      <c r="F1515" s="23">
        <f>COUNTIFS(mdr_rate_cleaned!$A$2:$A$10,B1515,mdr_rate_cleaned!$B$2:$B$10,"&lt;"&amp;C1515,mdr_rate_cleaned!$F$2:$F$10,"&gt;="&amp;C1515)</f>
        <v>1</v>
      </c>
      <c r="G1515" s="40">
        <f>SUMIFS(mdr_rate_cleaned!$G$2:$G$10,mdr_rate_cleaned!$A$2:$A$10,B1515,mdr_rate_cleaned!$B$2:$B$10,"&lt;"&amp;C1515,mdr_rate_cleaned!$F$2:$F$10,"&gt;="&amp;C1515)</f>
        <v>3.0000000000000001E-3</v>
      </c>
      <c r="H1515" s="24">
        <f t="shared" si="115"/>
        <v>6.9</v>
      </c>
      <c r="I1515" s="23" t="str">
        <f t="shared" si="116"/>
        <v>Match</v>
      </c>
      <c r="J1515" s="23" t="str">
        <f t="shared" si="117"/>
        <v>Match</v>
      </c>
      <c r="K1515" s="24">
        <f t="shared" si="118"/>
        <v>1.24</v>
      </c>
      <c r="L1515" s="24">
        <f t="shared" si="119"/>
        <v>0</v>
      </c>
    </row>
    <row r="1516" spans="1:12" ht="15" customHeight="1" x14ac:dyDescent="0.3">
      <c r="A1516" s="23" t="s">
        <v>14212</v>
      </c>
      <c r="B1516" s="23" t="s">
        <v>75</v>
      </c>
      <c r="C1516" s="39">
        <v>1499</v>
      </c>
      <c r="D1516" s="24">
        <v>0</v>
      </c>
      <c r="E1516" s="24">
        <v>0</v>
      </c>
      <c r="F1516" s="23">
        <f>COUNTIFS(mdr_rate_cleaned!$A$2:$A$10,B1516,mdr_rate_cleaned!$B$2:$B$10,"&lt;"&amp;C1516,mdr_rate_cleaned!$F$2:$F$10,"&gt;="&amp;C1516)</f>
        <v>1</v>
      </c>
      <c r="G1516" s="40">
        <f>SUMIFS(mdr_rate_cleaned!$G$2:$G$10,mdr_rate_cleaned!$A$2:$A$10,B1516,mdr_rate_cleaned!$B$2:$B$10,"&lt;"&amp;C1516,mdr_rate_cleaned!$F$2:$F$10,"&gt;="&amp;C1516)</f>
        <v>0</v>
      </c>
      <c r="H1516" s="24">
        <f t="shared" si="115"/>
        <v>0</v>
      </c>
      <c r="I1516" s="23" t="str">
        <f t="shared" si="116"/>
        <v>Match</v>
      </c>
      <c r="J1516" s="23" t="str">
        <f t="shared" si="117"/>
        <v>Match</v>
      </c>
      <c r="K1516" s="24">
        <f t="shared" si="118"/>
        <v>0</v>
      </c>
      <c r="L1516" s="24">
        <f t="shared" si="119"/>
        <v>0</v>
      </c>
    </row>
    <row r="1517" spans="1:12" ht="15" customHeight="1" x14ac:dyDescent="0.3">
      <c r="A1517" s="23" t="s">
        <v>14213</v>
      </c>
      <c r="B1517" s="23" t="s">
        <v>79</v>
      </c>
      <c r="C1517" s="39">
        <v>999</v>
      </c>
      <c r="D1517" s="24">
        <v>17.98</v>
      </c>
      <c r="E1517" s="24">
        <v>3.24</v>
      </c>
      <c r="F1517" s="23">
        <f>COUNTIFS(mdr_rate_cleaned!$A$2:$A$10,B1517,mdr_rate_cleaned!$B$2:$B$10,"&lt;"&amp;C1517,mdr_rate_cleaned!$F$2:$F$10,"&gt;="&amp;C1517)</f>
        <v>1</v>
      </c>
      <c r="G1517" s="40">
        <f>SUMIFS(mdr_rate_cleaned!$G$2:$G$10,mdr_rate_cleaned!$A$2:$A$10,B1517,mdr_rate_cleaned!$B$2:$B$10,"&lt;"&amp;C1517,mdr_rate_cleaned!$F$2:$F$10,"&gt;="&amp;C1517)</f>
        <v>1.8000000000000002E-2</v>
      </c>
      <c r="H1517" s="24">
        <f t="shared" si="115"/>
        <v>17.98</v>
      </c>
      <c r="I1517" s="23" t="str">
        <f t="shared" si="116"/>
        <v>Match</v>
      </c>
      <c r="J1517" s="23" t="str">
        <f t="shared" si="117"/>
        <v>Match</v>
      </c>
      <c r="K1517" s="24">
        <f t="shared" si="118"/>
        <v>3.24</v>
      </c>
      <c r="L1517" s="24">
        <f t="shared" si="119"/>
        <v>0</v>
      </c>
    </row>
    <row r="1518" spans="1:12" ht="15" customHeight="1" x14ac:dyDescent="0.3">
      <c r="A1518" s="23" t="s">
        <v>14214</v>
      </c>
      <c r="B1518" s="23" t="s">
        <v>79</v>
      </c>
      <c r="C1518" s="39">
        <v>4498</v>
      </c>
      <c r="D1518" s="24">
        <v>71.97</v>
      </c>
      <c r="E1518" s="24">
        <v>12.95</v>
      </c>
      <c r="F1518" s="23">
        <f>COUNTIFS(mdr_rate_cleaned!$A$2:$A$10,B1518,mdr_rate_cleaned!$B$2:$B$10,"&lt;"&amp;C1518,mdr_rate_cleaned!$F$2:$F$10,"&gt;="&amp;C1518)</f>
        <v>1</v>
      </c>
      <c r="G1518" s="40">
        <f>SUMIFS(mdr_rate_cleaned!$G$2:$G$10,mdr_rate_cleaned!$A$2:$A$10,B1518,mdr_rate_cleaned!$B$2:$B$10,"&lt;"&amp;C1518,mdr_rate_cleaned!$F$2:$F$10,"&gt;="&amp;C1518)</f>
        <v>1.6E-2</v>
      </c>
      <c r="H1518" s="24">
        <f t="shared" si="115"/>
        <v>71.97</v>
      </c>
      <c r="I1518" s="23" t="str">
        <f t="shared" si="116"/>
        <v>Match</v>
      </c>
      <c r="J1518" s="23" t="str">
        <f t="shared" si="117"/>
        <v>Match</v>
      </c>
      <c r="K1518" s="24">
        <f t="shared" si="118"/>
        <v>12.95</v>
      </c>
      <c r="L1518" s="24">
        <f t="shared" si="119"/>
        <v>0</v>
      </c>
    </row>
    <row r="1519" spans="1:12" ht="15" customHeight="1" x14ac:dyDescent="0.3">
      <c r="A1519" s="23" t="s">
        <v>14215</v>
      </c>
      <c r="B1519" s="23" t="s">
        <v>77</v>
      </c>
      <c r="C1519" s="39">
        <v>3499</v>
      </c>
      <c r="D1519" s="24">
        <v>59.48</v>
      </c>
      <c r="E1519" s="24">
        <v>10.71</v>
      </c>
      <c r="F1519" s="23">
        <f>COUNTIFS(mdr_rate_cleaned!$A$2:$A$10,B1519,mdr_rate_cleaned!$B$2:$B$10,"&lt;"&amp;C1519,mdr_rate_cleaned!$F$2:$F$10,"&gt;="&amp;C1519)</f>
        <v>1</v>
      </c>
      <c r="G1519" s="40">
        <f>SUMIFS(mdr_rate_cleaned!$G$2:$G$10,mdr_rate_cleaned!$A$2:$A$10,B1519,mdr_rate_cleaned!$B$2:$B$10,"&lt;"&amp;C1519,mdr_rate_cleaned!$F$2:$F$10,"&gt;="&amp;C1519)</f>
        <v>1.7000000000000001E-2</v>
      </c>
      <c r="H1519" s="24">
        <f t="shared" si="115"/>
        <v>59.48</v>
      </c>
      <c r="I1519" s="23" t="str">
        <f t="shared" si="116"/>
        <v>Match</v>
      </c>
      <c r="J1519" s="23" t="str">
        <f t="shared" si="117"/>
        <v>Match</v>
      </c>
      <c r="K1519" s="24">
        <f t="shared" si="118"/>
        <v>10.71</v>
      </c>
      <c r="L1519" s="24">
        <f t="shared" si="119"/>
        <v>0</v>
      </c>
    </row>
    <row r="1520" spans="1:12" ht="15" customHeight="1" x14ac:dyDescent="0.3">
      <c r="A1520" s="23" t="s">
        <v>14217</v>
      </c>
      <c r="B1520" s="23" t="s">
        <v>81</v>
      </c>
      <c r="C1520" s="39">
        <v>2499</v>
      </c>
      <c r="D1520" s="24">
        <v>29.99</v>
      </c>
      <c r="E1520" s="24">
        <v>5.4</v>
      </c>
      <c r="F1520" s="23">
        <f>COUNTIFS(mdr_rate_cleaned!$A$2:$A$10,B1520,mdr_rate_cleaned!$B$2:$B$10,"&lt;"&amp;C1520,mdr_rate_cleaned!$F$2:$F$10,"&gt;="&amp;C1520)</f>
        <v>1</v>
      </c>
      <c r="G1520" s="40">
        <f>SUMIFS(mdr_rate_cleaned!$G$2:$G$10,mdr_rate_cleaned!$A$2:$A$10,B1520,mdr_rate_cleaned!$B$2:$B$10,"&lt;"&amp;C1520,mdr_rate_cleaned!$F$2:$F$10,"&gt;="&amp;C1520)</f>
        <v>1.2E-2</v>
      </c>
      <c r="H1520" s="24">
        <f t="shared" si="115"/>
        <v>29.99</v>
      </c>
      <c r="I1520" s="23" t="str">
        <f t="shared" si="116"/>
        <v>Match</v>
      </c>
      <c r="J1520" s="23" t="str">
        <f t="shared" si="117"/>
        <v>Match</v>
      </c>
      <c r="K1520" s="24">
        <f t="shared" si="118"/>
        <v>5.4</v>
      </c>
      <c r="L1520" s="24">
        <f t="shared" si="119"/>
        <v>0</v>
      </c>
    </row>
    <row r="1521" spans="1:12" ht="15" customHeight="1" x14ac:dyDescent="0.3">
      <c r="A1521" s="23" t="s">
        <v>14218</v>
      </c>
      <c r="B1521" s="23" t="s">
        <v>75</v>
      </c>
      <c r="C1521" s="39">
        <v>2798</v>
      </c>
      <c r="D1521" s="24">
        <v>8.39</v>
      </c>
      <c r="E1521" s="24">
        <v>1.51</v>
      </c>
      <c r="F1521" s="23">
        <f>COUNTIFS(mdr_rate_cleaned!$A$2:$A$10,B1521,mdr_rate_cleaned!$B$2:$B$10,"&lt;"&amp;C1521,mdr_rate_cleaned!$F$2:$F$10,"&gt;="&amp;C1521)</f>
        <v>1</v>
      </c>
      <c r="G1521" s="40">
        <f>SUMIFS(mdr_rate_cleaned!$G$2:$G$10,mdr_rate_cleaned!$A$2:$A$10,B1521,mdr_rate_cleaned!$B$2:$B$10,"&lt;"&amp;C1521,mdr_rate_cleaned!$F$2:$F$10,"&gt;="&amp;C1521)</f>
        <v>3.0000000000000001E-3</v>
      </c>
      <c r="H1521" s="24">
        <f t="shared" si="115"/>
        <v>8.39</v>
      </c>
      <c r="I1521" s="23" t="str">
        <f t="shared" si="116"/>
        <v>Match</v>
      </c>
      <c r="J1521" s="23" t="str">
        <f t="shared" si="117"/>
        <v>Match</v>
      </c>
      <c r="K1521" s="24">
        <f t="shared" si="118"/>
        <v>1.51</v>
      </c>
      <c r="L1521" s="24">
        <f t="shared" si="119"/>
        <v>0</v>
      </c>
    </row>
    <row r="1522" spans="1:12" ht="15" customHeight="1" x14ac:dyDescent="0.3">
      <c r="A1522" s="23" t="s">
        <v>14219</v>
      </c>
      <c r="B1522" s="23" t="s">
        <v>75</v>
      </c>
      <c r="C1522" s="39">
        <v>1299</v>
      </c>
      <c r="D1522" s="24">
        <v>0</v>
      </c>
      <c r="E1522" s="24">
        <v>0</v>
      </c>
      <c r="F1522" s="23">
        <f>COUNTIFS(mdr_rate_cleaned!$A$2:$A$10,B1522,mdr_rate_cleaned!$B$2:$B$10,"&lt;"&amp;C1522,mdr_rate_cleaned!$F$2:$F$10,"&gt;="&amp;C1522)</f>
        <v>1</v>
      </c>
      <c r="G1522" s="40">
        <f>SUMIFS(mdr_rate_cleaned!$G$2:$G$10,mdr_rate_cleaned!$A$2:$A$10,B1522,mdr_rate_cleaned!$B$2:$B$10,"&lt;"&amp;C1522,mdr_rate_cleaned!$F$2:$F$10,"&gt;="&amp;C1522)</f>
        <v>0</v>
      </c>
      <c r="H1522" s="24">
        <f t="shared" si="115"/>
        <v>0</v>
      </c>
      <c r="I1522" s="23" t="str">
        <f t="shared" si="116"/>
        <v>Match</v>
      </c>
      <c r="J1522" s="23" t="str">
        <f t="shared" si="117"/>
        <v>Match</v>
      </c>
      <c r="K1522" s="24">
        <f t="shared" si="118"/>
        <v>0</v>
      </c>
      <c r="L1522" s="24">
        <f t="shared" si="119"/>
        <v>0</v>
      </c>
    </row>
    <row r="1523" spans="1:12" ht="15" customHeight="1" x14ac:dyDescent="0.3">
      <c r="A1523" s="23" t="s">
        <v>14220</v>
      </c>
      <c r="B1523" s="23" t="s">
        <v>79</v>
      </c>
      <c r="C1523" s="39">
        <v>8797</v>
      </c>
      <c r="D1523" s="24">
        <v>140.75</v>
      </c>
      <c r="E1523" s="24">
        <v>25.34</v>
      </c>
      <c r="F1523" s="23">
        <f>COUNTIFS(mdr_rate_cleaned!$A$2:$A$10,B1523,mdr_rate_cleaned!$B$2:$B$10,"&lt;"&amp;C1523,mdr_rate_cleaned!$F$2:$F$10,"&gt;="&amp;C1523)</f>
        <v>1</v>
      </c>
      <c r="G1523" s="40">
        <f>SUMIFS(mdr_rate_cleaned!$G$2:$G$10,mdr_rate_cleaned!$A$2:$A$10,B1523,mdr_rate_cleaned!$B$2:$B$10,"&lt;"&amp;C1523,mdr_rate_cleaned!$F$2:$F$10,"&gt;="&amp;C1523)</f>
        <v>1.6E-2</v>
      </c>
      <c r="H1523" s="24">
        <f t="shared" si="115"/>
        <v>140.75</v>
      </c>
      <c r="I1523" s="23" t="str">
        <f t="shared" si="116"/>
        <v>Match</v>
      </c>
      <c r="J1523" s="23" t="str">
        <f t="shared" si="117"/>
        <v>Match</v>
      </c>
      <c r="K1523" s="24">
        <f t="shared" si="118"/>
        <v>25.34</v>
      </c>
      <c r="L1523" s="24">
        <f t="shared" si="119"/>
        <v>0</v>
      </c>
    </row>
    <row r="1524" spans="1:12" ht="15" customHeight="1" x14ac:dyDescent="0.3">
      <c r="A1524" s="23" t="s">
        <v>14221</v>
      </c>
      <c r="B1524" s="23" t="s">
        <v>75</v>
      </c>
      <c r="C1524" s="39">
        <v>8997</v>
      </c>
      <c r="D1524" s="24">
        <v>26.99</v>
      </c>
      <c r="E1524" s="24">
        <v>4.8600000000000003</v>
      </c>
      <c r="F1524" s="23">
        <f>COUNTIFS(mdr_rate_cleaned!$A$2:$A$10,B1524,mdr_rate_cleaned!$B$2:$B$10,"&lt;"&amp;C1524,mdr_rate_cleaned!$F$2:$F$10,"&gt;="&amp;C1524)</f>
        <v>1</v>
      </c>
      <c r="G1524" s="40">
        <f>SUMIFS(mdr_rate_cleaned!$G$2:$G$10,mdr_rate_cleaned!$A$2:$A$10,B1524,mdr_rate_cleaned!$B$2:$B$10,"&lt;"&amp;C1524,mdr_rate_cleaned!$F$2:$F$10,"&gt;="&amp;C1524)</f>
        <v>3.0000000000000001E-3</v>
      </c>
      <c r="H1524" s="24">
        <f t="shared" si="115"/>
        <v>26.99</v>
      </c>
      <c r="I1524" s="23" t="str">
        <f t="shared" si="116"/>
        <v>Match</v>
      </c>
      <c r="J1524" s="23" t="str">
        <f t="shared" si="117"/>
        <v>Match</v>
      </c>
      <c r="K1524" s="24">
        <f t="shared" si="118"/>
        <v>4.8600000000000003</v>
      </c>
      <c r="L1524" s="24">
        <f t="shared" si="119"/>
        <v>0</v>
      </c>
    </row>
    <row r="1525" spans="1:12" ht="15" customHeight="1" x14ac:dyDescent="0.3">
      <c r="A1525" s="23" t="s">
        <v>14222</v>
      </c>
      <c r="B1525" s="23" t="s">
        <v>77</v>
      </c>
      <c r="C1525" s="39">
        <v>7999</v>
      </c>
      <c r="D1525" s="24">
        <v>135.97999999999999</v>
      </c>
      <c r="E1525" s="24">
        <v>24.48</v>
      </c>
      <c r="F1525" s="23">
        <f>COUNTIFS(mdr_rate_cleaned!$A$2:$A$10,B1525,mdr_rate_cleaned!$B$2:$B$10,"&lt;"&amp;C1525,mdr_rate_cleaned!$F$2:$F$10,"&gt;="&amp;C1525)</f>
        <v>1</v>
      </c>
      <c r="G1525" s="40">
        <f>SUMIFS(mdr_rate_cleaned!$G$2:$G$10,mdr_rate_cleaned!$A$2:$A$10,B1525,mdr_rate_cleaned!$B$2:$B$10,"&lt;"&amp;C1525,mdr_rate_cleaned!$F$2:$F$10,"&gt;="&amp;C1525)</f>
        <v>1.7000000000000001E-2</v>
      </c>
      <c r="H1525" s="24">
        <f t="shared" si="115"/>
        <v>135.97999999999999</v>
      </c>
      <c r="I1525" s="23" t="str">
        <f t="shared" si="116"/>
        <v>Match</v>
      </c>
      <c r="J1525" s="23" t="str">
        <f t="shared" si="117"/>
        <v>Match</v>
      </c>
      <c r="K1525" s="24">
        <f t="shared" si="118"/>
        <v>24.48</v>
      </c>
      <c r="L1525" s="24">
        <f t="shared" si="119"/>
        <v>0</v>
      </c>
    </row>
    <row r="1526" spans="1:12" ht="15" customHeight="1" x14ac:dyDescent="0.3">
      <c r="A1526" s="23" t="s">
        <v>14223</v>
      </c>
      <c r="B1526" s="23" t="s">
        <v>79</v>
      </c>
      <c r="C1526" s="39">
        <v>5498</v>
      </c>
      <c r="D1526" s="24">
        <v>87.97</v>
      </c>
      <c r="E1526" s="24">
        <v>15.83</v>
      </c>
      <c r="F1526" s="23">
        <f>COUNTIFS(mdr_rate_cleaned!$A$2:$A$10,B1526,mdr_rate_cleaned!$B$2:$B$10,"&lt;"&amp;C1526,mdr_rate_cleaned!$F$2:$F$10,"&gt;="&amp;C1526)</f>
        <v>1</v>
      </c>
      <c r="G1526" s="40">
        <f>SUMIFS(mdr_rate_cleaned!$G$2:$G$10,mdr_rate_cleaned!$A$2:$A$10,B1526,mdr_rate_cleaned!$B$2:$B$10,"&lt;"&amp;C1526,mdr_rate_cleaned!$F$2:$F$10,"&gt;="&amp;C1526)</f>
        <v>1.6E-2</v>
      </c>
      <c r="H1526" s="24">
        <f t="shared" si="115"/>
        <v>87.97</v>
      </c>
      <c r="I1526" s="23" t="str">
        <f t="shared" si="116"/>
        <v>Match</v>
      </c>
      <c r="J1526" s="23" t="str">
        <f t="shared" si="117"/>
        <v>Match</v>
      </c>
      <c r="K1526" s="24">
        <f t="shared" si="118"/>
        <v>15.83</v>
      </c>
      <c r="L1526" s="24">
        <f t="shared" si="119"/>
        <v>0</v>
      </c>
    </row>
    <row r="1527" spans="1:12" ht="15" customHeight="1" x14ac:dyDescent="0.3">
      <c r="A1527" s="23" t="s">
        <v>14224</v>
      </c>
      <c r="B1527" s="23" t="s">
        <v>75</v>
      </c>
      <c r="C1527" s="39">
        <v>4998</v>
      </c>
      <c r="D1527" s="24">
        <v>14.99</v>
      </c>
      <c r="E1527" s="24">
        <v>2.7</v>
      </c>
      <c r="F1527" s="23">
        <f>COUNTIFS(mdr_rate_cleaned!$A$2:$A$10,B1527,mdr_rate_cleaned!$B$2:$B$10,"&lt;"&amp;C1527,mdr_rate_cleaned!$F$2:$F$10,"&gt;="&amp;C1527)</f>
        <v>1</v>
      </c>
      <c r="G1527" s="40">
        <f>SUMIFS(mdr_rate_cleaned!$G$2:$G$10,mdr_rate_cleaned!$A$2:$A$10,B1527,mdr_rate_cleaned!$B$2:$B$10,"&lt;"&amp;C1527,mdr_rate_cleaned!$F$2:$F$10,"&gt;="&amp;C1527)</f>
        <v>3.0000000000000001E-3</v>
      </c>
      <c r="H1527" s="24">
        <f t="shared" si="115"/>
        <v>14.99</v>
      </c>
      <c r="I1527" s="23" t="str">
        <f t="shared" si="116"/>
        <v>Match</v>
      </c>
      <c r="J1527" s="23" t="str">
        <f t="shared" si="117"/>
        <v>Match</v>
      </c>
      <c r="K1527" s="24">
        <f t="shared" si="118"/>
        <v>2.7</v>
      </c>
      <c r="L1527" s="24">
        <f t="shared" si="119"/>
        <v>0</v>
      </c>
    </row>
    <row r="1528" spans="1:12" ht="15" customHeight="1" x14ac:dyDescent="0.3">
      <c r="A1528" s="23" t="s">
        <v>14226</v>
      </c>
      <c r="B1528" s="23" t="s">
        <v>79</v>
      </c>
      <c r="C1528" s="39">
        <v>1998</v>
      </c>
      <c r="D1528" s="24">
        <v>35.96</v>
      </c>
      <c r="E1528" s="24">
        <v>6.47</v>
      </c>
      <c r="F1528" s="23">
        <f>COUNTIFS(mdr_rate_cleaned!$A$2:$A$10,B1528,mdr_rate_cleaned!$B$2:$B$10,"&lt;"&amp;C1528,mdr_rate_cleaned!$F$2:$F$10,"&gt;="&amp;C1528)</f>
        <v>1</v>
      </c>
      <c r="G1528" s="40">
        <f>SUMIFS(mdr_rate_cleaned!$G$2:$G$10,mdr_rate_cleaned!$A$2:$A$10,B1528,mdr_rate_cleaned!$B$2:$B$10,"&lt;"&amp;C1528,mdr_rate_cleaned!$F$2:$F$10,"&gt;="&amp;C1528)</f>
        <v>1.8000000000000002E-2</v>
      </c>
      <c r="H1528" s="24">
        <f t="shared" si="115"/>
        <v>35.96</v>
      </c>
      <c r="I1528" s="23" t="str">
        <f t="shared" si="116"/>
        <v>Match</v>
      </c>
      <c r="J1528" s="23" t="str">
        <f t="shared" si="117"/>
        <v>Match</v>
      </c>
      <c r="K1528" s="24">
        <f t="shared" si="118"/>
        <v>6.47</v>
      </c>
      <c r="L1528" s="24">
        <f t="shared" si="119"/>
        <v>0</v>
      </c>
    </row>
    <row r="1529" spans="1:12" ht="15" customHeight="1" x14ac:dyDescent="0.3">
      <c r="A1529" s="23" t="s">
        <v>14227</v>
      </c>
      <c r="B1529" s="23" t="s">
        <v>79</v>
      </c>
      <c r="C1529" s="39">
        <v>948</v>
      </c>
      <c r="D1529" s="24">
        <v>17.059999999999999</v>
      </c>
      <c r="E1529" s="24">
        <v>3.07</v>
      </c>
      <c r="F1529" s="23">
        <f>COUNTIFS(mdr_rate_cleaned!$A$2:$A$10,B1529,mdr_rate_cleaned!$B$2:$B$10,"&lt;"&amp;C1529,mdr_rate_cleaned!$F$2:$F$10,"&gt;="&amp;C1529)</f>
        <v>1</v>
      </c>
      <c r="G1529" s="40">
        <f>SUMIFS(mdr_rate_cleaned!$G$2:$G$10,mdr_rate_cleaned!$A$2:$A$10,B1529,mdr_rate_cleaned!$B$2:$B$10,"&lt;"&amp;C1529,mdr_rate_cleaned!$F$2:$F$10,"&gt;="&amp;C1529)</f>
        <v>1.8000000000000002E-2</v>
      </c>
      <c r="H1529" s="24">
        <f t="shared" si="115"/>
        <v>17.059999999999999</v>
      </c>
      <c r="I1529" s="23" t="str">
        <f t="shared" si="116"/>
        <v>Match</v>
      </c>
      <c r="J1529" s="23" t="str">
        <f t="shared" si="117"/>
        <v>Match</v>
      </c>
      <c r="K1529" s="24">
        <f t="shared" si="118"/>
        <v>3.07</v>
      </c>
      <c r="L1529" s="24">
        <f t="shared" si="119"/>
        <v>0</v>
      </c>
    </row>
    <row r="1530" spans="1:12" ht="15" customHeight="1" x14ac:dyDescent="0.3">
      <c r="A1530" s="23" t="s">
        <v>14228</v>
      </c>
      <c r="B1530" s="23" t="s">
        <v>75</v>
      </c>
      <c r="C1530" s="39">
        <v>799</v>
      </c>
      <c r="D1530" s="24">
        <v>0</v>
      </c>
      <c r="E1530" s="24">
        <v>0</v>
      </c>
      <c r="F1530" s="23">
        <f>COUNTIFS(mdr_rate_cleaned!$A$2:$A$10,B1530,mdr_rate_cleaned!$B$2:$B$10,"&lt;"&amp;C1530,mdr_rate_cleaned!$F$2:$F$10,"&gt;="&amp;C1530)</f>
        <v>1</v>
      </c>
      <c r="G1530" s="40">
        <f>SUMIFS(mdr_rate_cleaned!$G$2:$G$10,mdr_rate_cleaned!$A$2:$A$10,B1530,mdr_rate_cleaned!$B$2:$B$10,"&lt;"&amp;C1530,mdr_rate_cleaned!$F$2:$F$10,"&gt;="&amp;C1530)</f>
        <v>0</v>
      </c>
      <c r="H1530" s="24">
        <f t="shared" si="115"/>
        <v>0</v>
      </c>
      <c r="I1530" s="23" t="str">
        <f t="shared" si="116"/>
        <v>Match</v>
      </c>
      <c r="J1530" s="23" t="str">
        <f t="shared" si="117"/>
        <v>Match</v>
      </c>
      <c r="K1530" s="24">
        <f t="shared" si="118"/>
        <v>0</v>
      </c>
      <c r="L1530" s="24">
        <f t="shared" si="119"/>
        <v>0</v>
      </c>
    </row>
    <row r="1531" spans="1:12" ht="15" customHeight="1" x14ac:dyDescent="0.3">
      <c r="A1531" s="23" t="s">
        <v>14229</v>
      </c>
      <c r="B1531" s="23" t="s">
        <v>79</v>
      </c>
      <c r="C1531" s="39">
        <v>1348</v>
      </c>
      <c r="D1531" s="24">
        <v>24.26</v>
      </c>
      <c r="E1531" s="24">
        <v>4.37</v>
      </c>
      <c r="F1531" s="23">
        <f>COUNTIFS(mdr_rate_cleaned!$A$2:$A$10,B1531,mdr_rate_cleaned!$B$2:$B$10,"&lt;"&amp;C1531,mdr_rate_cleaned!$F$2:$F$10,"&gt;="&amp;C1531)</f>
        <v>1</v>
      </c>
      <c r="G1531" s="40">
        <f>SUMIFS(mdr_rate_cleaned!$G$2:$G$10,mdr_rate_cleaned!$A$2:$A$10,B1531,mdr_rate_cleaned!$B$2:$B$10,"&lt;"&amp;C1531,mdr_rate_cleaned!$F$2:$F$10,"&gt;="&amp;C1531)</f>
        <v>1.8000000000000002E-2</v>
      </c>
      <c r="H1531" s="24">
        <f t="shared" si="115"/>
        <v>24.26</v>
      </c>
      <c r="I1531" s="23" t="str">
        <f t="shared" si="116"/>
        <v>Match</v>
      </c>
      <c r="J1531" s="23" t="str">
        <f t="shared" si="117"/>
        <v>Match</v>
      </c>
      <c r="K1531" s="24">
        <f t="shared" si="118"/>
        <v>4.37</v>
      </c>
      <c r="L1531" s="24">
        <f t="shared" si="119"/>
        <v>0</v>
      </c>
    </row>
    <row r="1532" spans="1:12" ht="15" customHeight="1" x14ac:dyDescent="0.3">
      <c r="A1532" s="23" t="s">
        <v>14230</v>
      </c>
      <c r="B1532" s="23" t="s">
        <v>75</v>
      </c>
      <c r="C1532" s="39">
        <v>1299</v>
      </c>
      <c r="D1532" s="24">
        <v>0</v>
      </c>
      <c r="E1532" s="24">
        <v>0</v>
      </c>
      <c r="F1532" s="23">
        <f>COUNTIFS(mdr_rate_cleaned!$A$2:$A$10,B1532,mdr_rate_cleaned!$B$2:$B$10,"&lt;"&amp;C1532,mdr_rate_cleaned!$F$2:$F$10,"&gt;="&amp;C1532)</f>
        <v>1</v>
      </c>
      <c r="G1532" s="40">
        <f>SUMIFS(mdr_rate_cleaned!$G$2:$G$10,mdr_rate_cleaned!$A$2:$A$10,B1532,mdr_rate_cleaned!$B$2:$B$10,"&lt;"&amp;C1532,mdr_rate_cleaned!$F$2:$F$10,"&gt;="&amp;C1532)</f>
        <v>0</v>
      </c>
      <c r="H1532" s="24">
        <f t="shared" si="115"/>
        <v>0</v>
      </c>
      <c r="I1532" s="23" t="str">
        <f t="shared" si="116"/>
        <v>Match</v>
      </c>
      <c r="J1532" s="23" t="str">
        <f t="shared" si="117"/>
        <v>Match</v>
      </c>
      <c r="K1532" s="24">
        <f t="shared" si="118"/>
        <v>0</v>
      </c>
      <c r="L1532" s="24">
        <f t="shared" si="119"/>
        <v>0</v>
      </c>
    </row>
    <row r="1533" spans="1:12" ht="15" customHeight="1" x14ac:dyDescent="0.3">
      <c r="A1533" s="23" t="s">
        <v>14231</v>
      </c>
      <c r="B1533" s="23" t="s">
        <v>75</v>
      </c>
      <c r="C1533" s="39">
        <v>5498</v>
      </c>
      <c r="D1533" s="24">
        <v>16.489999999999998</v>
      </c>
      <c r="E1533" s="24">
        <v>2.97</v>
      </c>
      <c r="F1533" s="23">
        <f>COUNTIFS(mdr_rate_cleaned!$A$2:$A$10,B1533,mdr_rate_cleaned!$B$2:$B$10,"&lt;"&amp;C1533,mdr_rate_cleaned!$F$2:$F$10,"&gt;="&amp;C1533)</f>
        <v>1</v>
      </c>
      <c r="G1533" s="40">
        <f>SUMIFS(mdr_rate_cleaned!$G$2:$G$10,mdr_rate_cleaned!$A$2:$A$10,B1533,mdr_rate_cleaned!$B$2:$B$10,"&lt;"&amp;C1533,mdr_rate_cleaned!$F$2:$F$10,"&gt;="&amp;C1533)</f>
        <v>3.0000000000000001E-3</v>
      </c>
      <c r="H1533" s="24">
        <f t="shared" si="115"/>
        <v>16.489999999999998</v>
      </c>
      <c r="I1533" s="23" t="str">
        <f t="shared" si="116"/>
        <v>Match</v>
      </c>
      <c r="J1533" s="23" t="str">
        <f t="shared" si="117"/>
        <v>Match</v>
      </c>
      <c r="K1533" s="24">
        <f t="shared" si="118"/>
        <v>2.97</v>
      </c>
      <c r="L1533" s="24">
        <f t="shared" si="119"/>
        <v>0</v>
      </c>
    </row>
    <row r="1534" spans="1:12" ht="15" customHeight="1" x14ac:dyDescent="0.3">
      <c r="A1534" s="23" t="s">
        <v>14233</v>
      </c>
      <c r="B1534" s="23" t="s">
        <v>75</v>
      </c>
      <c r="C1534" s="39">
        <v>998</v>
      </c>
      <c r="D1534" s="24">
        <v>0</v>
      </c>
      <c r="E1534" s="24">
        <v>0</v>
      </c>
      <c r="F1534" s="23">
        <f>COUNTIFS(mdr_rate_cleaned!$A$2:$A$10,B1534,mdr_rate_cleaned!$B$2:$B$10,"&lt;"&amp;C1534,mdr_rate_cleaned!$F$2:$F$10,"&gt;="&amp;C1534)</f>
        <v>1</v>
      </c>
      <c r="G1534" s="40">
        <f>SUMIFS(mdr_rate_cleaned!$G$2:$G$10,mdr_rate_cleaned!$A$2:$A$10,B1534,mdr_rate_cleaned!$B$2:$B$10,"&lt;"&amp;C1534,mdr_rate_cleaned!$F$2:$F$10,"&gt;="&amp;C1534)</f>
        <v>0</v>
      </c>
      <c r="H1534" s="24">
        <f t="shared" si="115"/>
        <v>0</v>
      </c>
      <c r="I1534" s="23" t="str">
        <f t="shared" si="116"/>
        <v>Match</v>
      </c>
      <c r="J1534" s="23" t="str">
        <f t="shared" si="117"/>
        <v>Match</v>
      </c>
      <c r="K1534" s="24">
        <f t="shared" si="118"/>
        <v>0</v>
      </c>
      <c r="L1534" s="24">
        <f t="shared" si="119"/>
        <v>0</v>
      </c>
    </row>
    <row r="1535" spans="1:12" ht="15" customHeight="1" x14ac:dyDescent="0.3">
      <c r="A1535" s="23" t="s">
        <v>14234</v>
      </c>
      <c r="B1535" s="23" t="s">
        <v>79</v>
      </c>
      <c r="C1535" s="39">
        <v>1148</v>
      </c>
      <c r="D1535" s="24">
        <v>20.66</v>
      </c>
      <c r="E1535" s="24">
        <v>3.72</v>
      </c>
      <c r="F1535" s="23">
        <f>COUNTIFS(mdr_rate_cleaned!$A$2:$A$10,B1535,mdr_rate_cleaned!$B$2:$B$10,"&lt;"&amp;C1535,mdr_rate_cleaned!$F$2:$F$10,"&gt;="&amp;C1535)</f>
        <v>1</v>
      </c>
      <c r="G1535" s="40">
        <f>SUMIFS(mdr_rate_cleaned!$G$2:$G$10,mdr_rate_cleaned!$A$2:$A$10,B1535,mdr_rate_cleaned!$B$2:$B$10,"&lt;"&amp;C1535,mdr_rate_cleaned!$F$2:$F$10,"&gt;="&amp;C1535)</f>
        <v>1.8000000000000002E-2</v>
      </c>
      <c r="H1535" s="24">
        <f t="shared" si="115"/>
        <v>20.66</v>
      </c>
      <c r="I1535" s="23" t="str">
        <f t="shared" si="116"/>
        <v>Match</v>
      </c>
      <c r="J1535" s="23" t="str">
        <f t="shared" si="117"/>
        <v>Match</v>
      </c>
      <c r="K1535" s="24">
        <f t="shared" si="118"/>
        <v>3.72</v>
      </c>
      <c r="L1535" s="24">
        <f t="shared" si="119"/>
        <v>0</v>
      </c>
    </row>
    <row r="1536" spans="1:12" ht="15" customHeight="1" x14ac:dyDescent="0.3">
      <c r="A1536" s="23" t="s">
        <v>14236</v>
      </c>
      <c r="B1536" s="23" t="s">
        <v>79</v>
      </c>
      <c r="C1536" s="39">
        <v>3798</v>
      </c>
      <c r="D1536" s="24">
        <v>60.77</v>
      </c>
      <c r="E1536" s="24">
        <v>10.94</v>
      </c>
      <c r="F1536" s="23">
        <f>COUNTIFS(mdr_rate_cleaned!$A$2:$A$10,B1536,mdr_rate_cleaned!$B$2:$B$10,"&lt;"&amp;C1536,mdr_rate_cleaned!$F$2:$F$10,"&gt;="&amp;C1536)</f>
        <v>1</v>
      </c>
      <c r="G1536" s="40">
        <f>SUMIFS(mdr_rate_cleaned!$G$2:$G$10,mdr_rate_cleaned!$A$2:$A$10,B1536,mdr_rate_cleaned!$B$2:$B$10,"&lt;"&amp;C1536,mdr_rate_cleaned!$F$2:$F$10,"&gt;="&amp;C1536)</f>
        <v>1.6E-2</v>
      </c>
      <c r="H1536" s="24">
        <f t="shared" si="115"/>
        <v>60.77</v>
      </c>
      <c r="I1536" s="23" t="str">
        <f t="shared" si="116"/>
        <v>Match</v>
      </c>
      <c r="J1536" s="23" t="str">
        <f t="shared" si="117"/>
        <v>Match</v>
      </c>
      <c r="K1536" s="24">
        <f t="shared" si="118"/>
        <v>10.94</v>
      </c>
      <c r="L1536" s="24">
        <f t="shared" si="119"/>
        <v>0</v>
      </c>
    </row>
    <row r="1537" spans="1:12" ht="15" customHeight="1" x14ac:dyDescent="0.3">
      <c r="A1537" s="23" t="s">
        <v>14237</v>
      </c>
      <c r="B1537" s="23" t="s">
        <v>75</v>
      </c>
      <c r="C1537" s="39">
        <v>599</v>
      </c>
      <c r="D1537" s="24">
        <v>0</v>
      </c>
      <c r="E1537" s="24">
        <v>0</v>
      </c>
      <c r="F1537" s="23">
        <f>COUNTIFS(mdr_rate_cleaned!$A$2:$A$10,B1537,mdr_rate_cleaned!$B$2:$B$10,"&lt;"&amp;C1537,mdr_rate_cleaned!$F$2:$F$10,"&gt;="&amp;C1537)</f>
        <v>1</v>
      </c>
      <c r="G1537" s="40">
        <f>SUMIFS(mdr_rate_cleaned!$G$2:$G$10,mdr_rate_cleaned!$A$2:$A$10,B1537,mdr_rate_cleaned!$B$2:$B$10,"&lt;"&amp;C1537,mdr_rate_cleaned!$F$2:$F$10,"&gt;="&amp;C1537)</f>
        <v>0</v>
      </c>
      <c r="H1537" s="24">
        <f t="shared" si="115"/>
        <v>0</v>
      </c>
      <c r="I1537" s="23" t="str">
        <f t="shared" si="116"/>
        <v>Match</v>
      </c>
      <c r="J1537" s="23" t="str">
        <f t="shared" si="117"/>
        <v>Match</v>
      </c>
      <c r="K1537" s="24">
        <f t="shared" si="118"/>
        <v>0</v>
      </c>
      <c r="L1537" s="24">
        <f t="shared" si="119"/>
        <v>0</v>
      </c>
    </row>
    <row r="1538" spans="1:12" ht="15" customHeight="1" x14ac:dyDescent="0.3">
      <c r="A1538" s="23" t="s">
        <v>14238</v>
      </c>
      <c r="B1538" s="23" t="s">
        <v>75</v>
      </c>
      <c r="C1538" s="39">
        <v>1848</v>
      </c>
      <c r="D1538" s="24">
        <v>0</v>
      </c>
      <c r="E1538" s="24">
        <v>0</v>
      </c>
      <c r="F1538" s="23">
        <f>COUNTIFS(mdr_rate_cleaned!$A$2:$A$10,B1538,mdr_rate_cleaned!$B$2:$B$10,"&lt;"&amp;C1538,mdr_rate_cleaned!$F$2:$F$10,"&gt;="&amp;C1538)</f>
        <v>1</v>
      </c>
      <c r="G1538" s="40">
        <f>SUMIFS(mdr_rate_cleaned!$G$2:$G$10,mdr_rate_cleaned!$A$2:$A$10,B1538,mdr_rate_cleaned!$B$2:$B$10,"&lt;"&amp;C1538,mdr_rate_cleaned!$F$2:$F$10,"&gt;="&amp;C1538)</f>
        <v>0</v>
      </c>
      <c r="H1538" s="24">
        <f t="shared" ref="H1538:H1601" si="120">ROUND(C1538*G1538,2)</f>
        <v>0</v>
      </c>
      <c r="I1538" s="23" t="str">
        <f t="shared" ref="I1538:I1601" si="121">IF(ROUND(D1538-H1538,2)=0,"Match","Differs")</f>
        <v>Match</v>
      </c>
      <c r="J1538" s="23" t="str">
        <f t="shared" ref="J1538:J1601" si="122">IF(ROUND(E1538-ROUND(D1538*0.18,2),2)=0,"Match","Differs")</f>
        <v>Match</v>
      </c>
      <c r="K1538" s="24">
        <f t="shared" ref="K1538:K1601" si="123">ROUND(H1538*0.18,2)</f>
        <v>0</v>
      </c>
      <c r="L1538" s="24">
        <f t="shared" ref="L1538:L1601" si="124">ROUND(D1538+E1538-H1538-K1538,2)</f>
        <v>0</v>
      </c>
    </row>
    <row r="1539" spans="1:12" ht="15" customHeight="1" x14ac:dyDescent="0.3">
      <c r="A1539" s="23" t="s">
        <v>14239</v>
      </c>
      <c r="B1539" s="23" t="s">
        <v>75</v>
      </c>
      <c r="C1539" s="39">
        <v>1499</v>
      </c>
      <c r="D1539" s="24">
        <v>0</v>
      </c>
      <c r="E1539" s="24">
        <v>0</v>
      </c>
      <c r="F1539" s="23">
        <f>COUNTIFS(mdr_rate_cleaned!$A$2:$A$10,B1539,mdr_rate_cleaned!$B$2:$B$10,"&lt;"&amp;C1539,mdr_rate_cleaned!$F$2:$F$10,"&gt;="&amp;C1539)</f>
        <v>1</v>
      </c>
      <c r="G1539" s="40">
        <f>SUMIFS(mdr_rate_cleaned!$G$2:$G$10,mdr_rate_cleaned!$A$2:$A$10,B1539,mdr_rate_cleaned!$B$2:$B$10,"&lt;"&amp;C1539,mdr_rate_cleaned!$F$2:$F$10,"&gt;="&amp;C1539)</f>
        <v>0</v>
      </c>
      <c r="H1539" s="24">
        <f t="shared" si="120"/>
        <v>0</v>
      </c>
      <c r="I1539" s="23" t="str">
        <f t="shared" si="121"/>
        <v>Match</v>
      </c>
      <c r="J1539" s="23" t="str">
        <f t="shared" si="122"/>
        <v>Match</v>
      </c>
      <c r="K1539" s="24">
        <f t="shared" si="123"/>
        <v>0</v>
      </c>
      <c r="L1539" s="24">
        <f t="shared" si="124"/>
        <v>0</v>
      </c>
    </row>
    <row r="1540" spans="1:12" ht="15" customHeight="1" x14ac:dyDescent="0.3">
      <c r="A1540" s="23" t="s">
        <v>14240</v>
      </c>
      <c r="B1540" s="23" t="s">
        <v>77</v>
      </c>
      <c r="C1540" s="39">
        <v>2999</v>
      </c>
      <c r="D1540" s="24">
        <v>50.98</v>
      </c>
      <c r="E1540" s="24">
        <v>9.18</v>
      </c>
      <c r="F1540" s="23">
        <f>COUNTIFS(mdr_rate_cleaned!$A$2:$A$10,B1540,mdr_rate_cleaned!$B$2:$B$10,"&lt;"&amp;C1540,mdr_rate_cleaned!$F$2:$F$10,"&gt;="&amp;C1540)</f>
        <v>1</v>
      </c>
      <c r="G1540" s="40">
        <f>SUMIFS(mdr_rate_cleaned!$G$2:$G$10,mdr_rate_cleaned!$A$2:$A$10,B1540,mdr_rate_cleaned!$B$2:$B$10,"&lt;"&amp;C1540,mdr_rate_cleaned!$F$2:$F$10,"&gt;="&amp;C1540)</f>
        <v>1.7000000000000001E-2</v>
      </c>
      <c r="H1540" s="24">
        <f t="shared" si="120"/>
        <v>50.98</v>
      </c>
      <c r="I1540" s="23" t="str">
        <f t="shared" si="121"/>
        <v>Match</v>
      </c>
      <c r="J1540" s="23" t="str">
        <f t="shared" si="122"/>
        <v>Match</v>
      </c>
      <c r="K1540" s="24">
        <f t="shared" si="123"/>
        <v>9.18</v>
      </c>
      <c r="L1540" s="24">
        <f t="shared" si="124"/>
        <v>0</v>
      </c>
    </row>
    <row r="1541" spans="1:12" ht="15" customHeight="1" x14ac:dyDescent="0.3">
      <c r="A1541" s="23" t="s">
        <v>14241</v>
      </c>
      <c r="B1541" s="23" t="s">
        <v>75</v>
      </c>
      <c r="C1541" s="39">
        <v>999</v>
      </c>
      <c r="D1541" s="24">
        <v>0</v>
      </c>
      <c r="E1541" s="24">
        <v>0</v>
      </c>
      <c r="F1541" s="23">
        <f>COUNTIFS(mdr_rate_cleaned!$A$2:$A$10,B1541,mdr_rate_cleaned!$B$2:$B$10,"&lt;"&amp;C1541,mdr_rate_cleaned!$F$2:$F$10,"&gt;="&amp;C1541)</f>
        <v>1</v>
      </c>
      <c r="G1541" s="40">
        <f>SUMIFS(mdr_rate_cleaned!$G$2:$G$10,mdr_rate_cleaned!$A$2:$A$10,B1541,mdr_rate_cleaned!$B$2:$B$10,"&lt;"&amp;C1541,mdr_rate_cleaned!$F$2:$F$10,"&gt;="&amp;C1541)</f>
        <v>0</v>
      </c>
      <c r="H1541" s="24">
        <f t="shared" si="120"/>
        <v>0</v>
      </c>
      <c r="I1541" s="23" t="str">
        <f t="shared" si="121"/>
        <v>Match</v>
      </c>
      <c r="J1541" s="23" t="str">
        <f t="shared" si="122"/>
        <v>Match</v>
      </c>
      <c r="K1541" s="24">
        <f t="shared" si="123"/>
        <v>0</v>
      </c>
      <c r="L1541" s="24">
        <f t="shared" si="124"/>
        <v>0</v>
      </c>
    </row>
    <row r="1542" spans="1:12" ht="15" customHeight="1" x14ac:dyDescent="0.3">
      <c r="A1542" s="23" t="s">
        <v>14242</v>
      </c>
      <c r="B1542" s="23" t="s">
        <v>81</v>
      </c>
      <c r="C1542" s="39">
        <v>10497</v>
      </c>
      <c r="D1542" s="24">
        <v>94.47</v>
      </c>
      <c r="E1542" s="24">
        <v>17</v>
      </c>
      <c r="F1542" s="23">
        <f>COUNTIFS(mdr_rate_cleaned!$A$2:$A$10,B1542,mdr_rate_cleaned!$B$2:$B$10,"&lt;"&amp;C1542,mdr_rate_cleaned!$F$2:$F$10,"&gt;="&amp;C1542)</f>
        <v>1</v>
      </c>
      <c r="G1542" s="40">
        <f>SUMIFS(mdr_rate_cleaned!$G$2:$G$10,mdr_rate_cleaned!$A$2:$A$10,B1542,mdr_rate_cleaned!$B$2:$B$10,"&lt;"&amp;C1542,mdr_rate_cleaned!$F$2:$F$10,"&gt;="&amp;C1542)</f>
        <v>9.0000000000000011E-3</v>
      </c>
      <c r="H1542" s="24">
        <f t="shared" si="120"/>
        <v>94.47</v>
      </c>
      <c r="I1542" s="23" t="str">
        <f t="shared" si="121"/>
        <v>Match</v>
      </c>
      <c r="J1542" s="23" t="str">
        <f t="shared" si="122"/>
        <v>Match</v>
      </c>
      <c r="K1542" s="24">
        <f t="shared" si="123"/>
        <v>17</v>
      </c>
      <c r="L1542" s="24">
        <f t="shared" si="124"/>
        <v>0</v>
      </c>
    </row>
    <row r="1543" spans="1:12" ht="15" customHeight="1" x14ac:dyDescent="0.3">
      <c r="A1543" s="23" t="s">
        <v>14243</v>
      </c>
      <c r="B1543" s="23" t="s">
        <v>75</v>
      </c>
      <c r="C1543" s="39">
        <v>499</v>
      </c>
      <c r="D1543" s="24">
        <v>0</v>
      </c>
      <c r="E1543" s="24">
        <v>0</v>
      </c>
      <c r="F1543" s="23">
        <f>COUNTIFS(mdr_rate_cleaned!$A$2:$A$10,B1543,mdr_rate_cleaned!$B$2:$B$10,"&lt;"&amp;C1543,mdr_rate_cleaned!$F$2:$F$10,"&gt;="&amp;C1543)</f>
        <v>1</v>
      </c>
      <c r="G1543" s="40">
        <f>SUMIFS(mdr_rate_cleaned!$G$2:$G$10,mdr_rate_cleaned!$A$2:$A$10,B1543,mdr_rate_cleaned!$B$2:$B$10,"&lt;"&amp;C1543,mdr_rate_cleaned!$F$2:$F$10,"&gt;="&amp;C1543)</f>
        <v>0</v>
      </c>
      <c r="H1543" s="24">
        <f t="shared" si="120"/>
        <v>0</v>
      </c>
      <c r="I1543" s="23" t="str">
        <f t="shared" si="121"/>
        <v>Match</v>
      </c>
      <c r="J1543" s="23" t="str">
        <f t="shared" si="122"/>
        <v>Match</v>
      </c>
      <c r="K1543" s="24">
        <f t="shared" si="123"/>
        <v>0</v>
      </c>
      <c r="L1543" s="24">
        <f t="shared" si="124"/>
        <v>0</v>
      </c>
    </row>
    <row r="1544" spans="1:12" ht="15" customHeight="1" x14ac:dyDescent="0.3">
      <c r="A1544" s="23" t="s">
        <v>14244</v>
      </c>
      <c r="B1544" s="23" t="s">
        <v>75</v>
      </c>
      <c r="C1544" s="39">
        <v>299</v>
      </c>
      <c r="D1544" s="24">
        <v>0</v>
      </c>
      <c r="E1544" s="24">
        <v>0</v>
      </c>
      <c r="F1544" s="23">
        <f>COUNTIFS(mdr_rate_cleaned!$A$2:$A$10,B1544,mdr_rate_cleaned!$B$2:$B$10,"&lt;"&amp;C1544,mdr_rate_cleaned!$F$2:$F$10,"&gt;="&amp;C1544)</f>
        <v>1</v>
      </c>
      <c r="G1544" s="40">
        <f>SUMIFS(mdr_rate_cleaned!$G$2:$G$10,mdr_rate_cleaned!$A$2:$A$10,B1544,mdr_rate_cleaned!$B$2:$B$10,"&lt;"&amp;C1544,mdr_rate_cleaned!$F$2:$F$10,"&gt;="&amp;C1544)</f>
        <v>0</v>
      </c>
      <c r="H1544" s="24">
        <f t="shared" si="120"/>
        <v>0</v>
      </c>
      <c r="I1544" s="23" t="str">
        <f t="shared" si="121"/>
        <v>Match</v>
      </c>
      <c r="J1544" s="23" t="str">
        <f t="shared" si="122"/>
        <v>Match</v>
      </c>
      <c r="K1544" s="24">
        <f t="shared" si="123"/>
        <v>0</v>
      </c>
      <c r="L1544" s="24">
        <f t="shared" si="124"/>
        <v>0</v>
      </c>
    </row>
    <row r="1545" spans="1:12" ht="15" customHeight="1" x14ac:dyDescent="0.3">
      <c r="A1545" s="23" t="s">
        <v>14246</v>
      </c>
      <c r="B1545" s="23" t="s">
        <v>79</v>
      </c>
      <c r="C1545" s="39">
        <v>2499</v>
      </c>
      <c r="D1545" s="24">
        <v>39.979999999999997</v>
      </c>
      <c r="E1545" s="24">
        <v>7.2</v>
      </c>
      <c r="F1545" s="23">
        <f>COUNTIFS(mdr_rate_cleaned!$A$2:$A$10,B1545,mdr_rate_cleaned!$B$2:$B$10,"&lt;"&amp;C1545,mdr_rate_cleaned!$F$2:$F$10,"&gt;="&amp;C1545)</f>
        <v>1</v>
      </c>
      <c r="G1545" s="40">
        <f>SUMIFS(mdr_rate_cleaned!$G$2:$G$10,mdr_rate_cleaned!$A$2:$A$10,B1545,mdr_rate_cleaned!$B$2:$B$10,"&lt;"&amp;C1545,mdr_rate_cleaned!$F$2:$F$10,"&gt;="&amp;C1545)</f>
        <v>1.6E-2</v>
      </c>
      <c r="H1545" s="24">
        <f t="shared" si="120"/>
        <v>39.979999999999997</v>
      </c>
      <c r="I1545" s="23" t="str">
        <f t="shared" si="121"/>
        <v>Match</v>
      </c>
      <c r="J1545" s="23" t="str">
        <f t="shared" si="122"/>
        <v>Match</v>
      </c>
      <c r="K1545" s="24">
        <f t="shared" si="123"/>
        <v>7.2</v>
      </c>
      <c r="L1545" s="24">
        <f t="shared" si="124"/>
        <v>0</v>
      </c>
    </row>
    <row r="1546" spans="1:12" ht="15" customHeight="1" x14ac:dyDescent="0.3">
      <c r="A1546" s="23" t="s">
        <v>14247</v>
      </c>
      <c r="B1546" s="23" t="s">
        <v>79</v>
      </c>
      <c r="C1546" s="39">
        <v>999</v>
      </c>
      <c r="D1546" s="24">
        <v>17.98</v>
      </c>
      <c r="E1546" s="24">
        <v>3.24</v>
      </c>
      <c r="F1546" s="23">
        <f>COUNTIFS(mdr_rate_cleaned!$A$2:$A$10,B1546,mdr_rate_cleaned!$B$2:$B$10,"&lt;"&amp;C1546,mdr_rate_cleaned!$F$2:$F$10,"&gt;="&amp;C1546)</f>
        <v>1</v>
      </c>
      <c r="G1546" s="40">
        <f>SUMIFS(mdr_rate_cleaned!$G$2:$G$10,mdr_rate_cleaned!$A$2:$A$10,B1546,mdr_rate_cleaned!$B$2:$B$10,"&lt;"&amp;C1546,mdr_rate_cleaned!$F$2:$F$10,"&gt;="&amp;C1546)</f>
        <v>1.8000000000000002E-2</v>
      </c>
      <c r="H1546" s="24">
        <f t="shared" si="120"/>
        <v>17.98</v>
      </c>
      <c r="I1546" s="23" t="str">
        <f t="shared" si="121"/>
        <v>Match</v>
      </c>
      <c r="J1546" s="23" t="str">
        <f t="shared" si="122"/>
        <v>Match</v>
      </c>
      <c r="K1546" s="24">
        <f t="shared" si="123"/>
        <v>3.24</v>
      </c>
      <c r="L1546" s="24">
        <f t="shared" si="124"/>
        <v>0</v>
      </c>
    </row>
    <row r="1547" spans="1:12" ht="15" customHeight="1" x14ac:dyDescent="0.3">
      <c r="A1547" s="23" t="s">
        <v>14248</v>
      </c>
      <c r="B1547" s="23" t="s">
        <v>75</v>
      </c>
      <c r="C1547" s="39">
        <v>1098</v>
      </c>
      <c r="D1547" s="24">
        <v>0</v>
      </c>
      <c r="E1547" s="24">
        <v>0</v>
      </c>
      <c r="F1547" s="23">
        <f>COUNTIFS(mdr_rate_cleaned!$A$2:$A$10,B1547,mdr_rate_cleaned!$B$2:$B$10,"&lt;"&amp;C1547,mdr_rate_cleaned!$F$2:$F$10,"&gt;="&amp;C1547)</f>
        <v>1</v>
      </c>
      <c r="G1547" s="40">
        <f>SUMIFS(mdr_rate_cleaned!$G$2:$G$10,mdr_rate_cleaned!$A$2:$A$10,B1547,mdr_rate_cleaned!$B$2:$B$10,"&lt;"&amp;C1547,mdr_rate_cleaned!$F$2:$F$10,"&gt;="&amp;C1547)</f>
        <v>0</v>
      </c>
      <c r="H1547" s="24">
        <f t="shared" si="120"/>
        <v>0</v>
      </c>
      <c r="I1547" s="23" t="str">
        <f t="shared" si="121"/>
        <v>Match</v>
      </c>
      <c r="J1547" s="23" t="str">
        <f t="shared" si="122"/>
        <v>Match</v>
      </c>
      <c r="K1547" s="24">
        <f t="shared" si="123"/>
        <v>0</v>
      </c>
      <c r="L1547" s="24">
        <f t="shared" si="124"/>
        <v>0</v>
      </c>
    </row>
    <row r="1548" spans="1:12" ht="15" customHeight="1" x14ac:dyDescent="0.3">
      <c r="A1548" s="23" t="s">
        <v>14249</v>
      </c>
      <c r="B1548" s="23" t="s">
        <v>75</v>
      </c>
      <c r="C1548" s="39">
        <v>4297</v>
      </c>
      <c r="D1548" s="24">
        <v>12.89</v>
      </c>
      <c r="E1548" s="24">
        <v>2.3199999999999998</v>
      </c>
      <c r="F1548" s="23">
        <f>COUNTIFS(mdr_rate_cleaned!$A$2:$A$10,B1548,mdr_rate_cleaned!$B$2:$B$10,"&lt;"&amp;C1548,mdr_rate_cleaned!$F$2:$F$10,"&gt;="&amp;C1548)</f>
        <v>1</v>
      </c>
      <c r="G1548" s="40">
        <f>SUMIFS(mdr_rate_cleaned!$G$2:$G$10,mdr_rate_cleaned!$A$2:$A$10,B1548,mdr_rate_cleaned!$B$2:$B$10,"&lt;"&amp;C1548,mdr_rate_cleaned!$F$2:$F$10,"&gt;="&amp;C1548)</f>
        <v>3.0000000000000001E-3</v>
      </c>
      <c r="H1548" s="24">
        <f t="shared" si="120"/>
        <v>12.89</v>
      </c>
      <c r="I1548" s="23" t="str">
        <f t="shared" si="121"/>
        <v>Match</v>
      </c>
      <c r="J1548" s="23" t="str">
        <f t="shared" si="122"/>
        <v>Match</v>
      </c>
      <c r="K1548" s="24">
        <f t="shared" si="123"/>
        <v>2.3199999999999998</v>
      </c>
      <c r="L1548" s="24">
        <f t="shared" si="124"/>
        <v>0</v>
      </c>
    </row>
    <row r="1549" spans="1:12" ht="15" customHeight="1" x14ac:dyDescent="0.3">
      <c r="A1549" s="23" t="s">
        <v>14250</v>
      </c>
      <c r="B1549" s="23" t="s">
        <v>75</v>
      </c>
      <c r="C1549" s="39">
        <v>12297</v>
      </c>
      <c r="D1549" s="24">
        <v>36.89</v>
      </c>
      <c r="E1549" s="24">
        <v>6.64</v>
      </c>
      <c r="F1549" s="23">
        <f>COUNTIFS(mdr_rate_cleaned!$A$2:$A$10,B1549,mdr_rate_cleaned!$B$2:$B$10,"&lt;"&amp;C1549,mdr_rate_cleaned!$F$2:$F$10,"&gt;="&amp;C1549)</f>
        <v>1</v>
      </c>
      <c r="G1549" s="40">
        <f>SUMIFS(mdr_rate_cleaned!$G$2:$G$10,mdr_rate_cleaned!$A$2:$A$10,B1549,mdr_rate_cleaned!$B$2:$B$10,"&lt;"&amp;C1549,mdr_rate_cleaned!$F$2:$F$10,"&gt;="&amp;C1549)</f>
        <v>3.0000000000000001E-3</v>
      </c>
      <c r="H1549" s="24">
        <f t="shared" si="120"/>
        <v>36.89</v>
      </c>
      <c r="I1549" s="23" t="str">
        <f t="shared" si="121"/>
        <v>Match</v>
      </c>
      <c r="J1549" s="23" t="str">
        <f t="shared" si="122"/>
        <v>Match</v>
      </c>
      <c r="K1549" s="24">
        <f t="shared" si="123"/>
        <v>6.64</v>
      </c>
      <c r="L1549" s="24">
        <f t="shared" si="124"/>
        <v>0</v>
      </c>
    </row>
    <row r="1550" spans="1:12" ht="15" customHeight="1" x14ac:dyDescent="0.3">
      <c r="A1550" s="23" t="s">
        <v>14251</v>
      </c>
      <c r="B1550" s="23" t="s">
        <v>75</v>
      </c>
      <c r="C1550" s="39">
        <v>999</v>
      </c>
      <c r="D1550" s="24">
        <v>0</v>
      </c>
      <c r="E1550" s="24">
        <v>0</v>
      </c>
      <c r="F1550" s="23">
        <f>COUNTIFS(mdr_rate_cleaned!$A$2:$A$10,B1550,mdr_rate_cleaned!$B$2:$B$10,"&lt;"&amp;C1550,mdr_rate_cleaned!$F$2:$F$10,"&gt;="&amp;C1550)</f>
        <v>1</v>
      </c>
      <c r="G1550" s="40">
        <f>SUMIFS(mdr_rate_cleaned!$G$2:$G$10,mdr_rate_cleaned!$A$2:$A$10,B1550,mdr_rate_cleaned!$B$2:$B$10,"&lt;"&amp;C1550,mdr_rate_cleaned!$F$2:$F$10,"&gt;="&amp;C1550)</f>
        <v>0</v>
      </c>
      <c r="H1550" s="24">
        <f t="shared" si="120"/>
        <v>0</v>
      </c>
      <c r="I1550" s="23" t="str">
        <f t="shared" si="121"/>
        <v>Match</v>
      </c>
      <c r="J1550" s="23" t="str">
        <f t="shared" si="122"/>
        <v>Match</v>
      </c>
      <c r="K1550" s="24">
        <f t="shared" si="123"/>
        <v>0</v>
      </c>
      <c r="L1550" s="24">
        <f t="shared" si="124"/>
        <v>0</v>
      </c>
    </row>
    <row r="1551" spans="1:12" ht="15" customHeight="1" x14ac:dyDescent="0.3">
      <c r="A1551" s="23" t="s">
        <v>14252</v>
      </c>
      <c r="B1551" s="23" t="s">
        <v>75</v>
      </c>
      <c r="C1551" s="39">
        <v>999</v>
      </c>
      <c r="D1551" s="24">
        <v>0</v>
      </c>
      <c r="E1551" s="24">
        <v>0</v>
      </c>
      <c r="F1551" s="23">
        <f>COUNTIFS(mdr_rate_cleaned!$A$2:$A$10,B1551,mdr_rate_cleaned!$B$2:$B$10,"&lt;"&amp;C1551,mdr_rate_cleaned!$F$2:$F$10,"&gt;="&amp;C1551)</f>
        <v>1</v>
      </c>
      <c r="G1551" s="40">
        <f>SUMIFS(mdr_rate_cleaned!$G$2:$G$10,mdr_rate_cleaned!$A$2:$A$10,B1551,mdr_rate_cleaned!$B$2:$B$10,"&lt;"&amp;C1551,mdr_rate_cleaned!$F$2:$F$10,"&gt;="&amp;C1551)</f>
        <v>0</v>
      </c>
      <c r="H1551" s="24">
        <f t="shared" si="120"/>
        <v>0</v>
      </c>
      <c r="I1551" s="23" t="str">
        <f t="shared" si="121"/>
        <v>Match</v>
      </c>
      <c r="J1551" s="23" t="str">
        <f t="shared" si="122"/>
        <v>Match</v>
      </c>
      <c r="K1551" s="24">
        <f t="shared" si="123"/>
        <v>0</v>
      </c>
      <c r="L1551" s="24">
        <f t="shared" si="124"/>
        <v>0</v>
      </c>
    </row>
    <row r="1552" spans="1:12" ht="15" customHeight="1" x14ac:dyDescent="0.3">
      <c r="A1552" s="23" t="s">
        <v>14253</v>
      </c>
      <c r="B1552" s="23" t="s">
        <v>79</v>
      </c>
      <c r="C1552" s="39">
        <v>1799</v>
      </c>
      <c r="D1552" s="24">
        <v>32.380000000000003</v>
      </c>
      <c r="E1552" s="24">
        <v>5.83</v>
      </c>
      <c r="F1552" s="23">
        <f>COUNTIFS(mdr_rate_cleaned!$A$2:$A$10,B1552,mdr_rate_cleaned!$B$2:$B$10,"&lt;"&amp;C1552,mdr_rate_cleaned!$F$2:$F$10,"&gt;="&amp;C1552)</f>
        <v>1</v>
      </c>
      <c r="G1552" s="40">
        <f>SUMIFS(mdr_rate_cleaned!$G$2:$G$10,mdr_rate_cleaned!$A$2:$A$10,B1552,mdr_rate_cleaned!$B$2:$B$10,"&lt;"&amp;C1552,mdr_rate_cleaned!$F$2:$F$10,"&gt;="&amp;C1552)</f>
        <v>1.8000000000000002E-2</v>
      </c>
      <c r="H1552" s="24">
        <f t="shared" si="120"/>
        <v>32.380000000000003</v>
      </c>
      <c r="I1552" s="23" t="str">
        <f t="shared" si="121"/>
        <v>Match</v>
      </c>
      <c r="J1552" s="23" t="str">
        <f t="shared" si="122"/>
        <v>Match</v>
      </c>
      <c r="K1552" s="24">
        <f t="shared" si="123"/>
        <v>5.83</v>
      </c>
      <c r="L1552" s="24">
        <f t="shared" si="124"/>
        <v>0</v>
      </c>
    </row>
    <row r="1553" spans="1:12" ht="15" customHeight="1" x14ac:dyDescent="0.3">
      <c r="A1553" s="23" t="s">
        <v>14254</v>
      </c>
      <c r="B1553" s="23" t="s">
        <v>79</v>
      </c>
      <c r="C1553" s="39">
        <v>13297</v>
      </c>
      <c r="D1553" s="24">
        <v>212.75</v>
      </c>
      <c r="E1553" s="24">
        <v>38.299999999999997</v>
      </c>
      <c r="F1553" s="23">
        <f>COUNTIFS(mdr_rate_cleaned!$A$2:$A$10,B1553,mdr_rate_cleaned!$B$2:$B$10,"&lt;"&amp;C1553,mdr_rate_cleaned!$F$2:$F$10,"&gt;="&amp;C1553)</f>
        <v>1</v>
      </c>
      <c r="G1553" s="40">
        <f>SUMIFS(mdr_rate_cleaned!$G$2:$G$10,mdr_rate_cleaned!$A$2:$A$10,B1553,mdr_rate_cleaned!$B$2:$B$10,"&lt;"&amp;C1553,mdr_rate_cleaned!$F$2:$F$10,"&gt;="&amp;C1553)</f>
        <v>1.6E-2</v>
      </c>
      <c r="H1553" s="24">
        <f t="shared" si="120"/>
        <v>212.75</v>
      </c>
      <c r="I1553" s="23" t="str">
        <f t="shared" si="121"/>
        <v>Match</v>
      </c>
      <c r="J1553" s="23" t="str">
        <f t="shared" si="122"/>
        <v>Match</v>
      </c>
      <c r="K1553" s="24">
        <f t="shared" si="123"/>
        <v>38.299999999999997</v>
      </c>
      <c r="L1553" s="24">
        <f t="shared" si="124"/>
        <v>0</v>
      </c>
    </row>
    <row r="1554" spans="1:12" ht="15" customHeight="1" x14ac:dyDescent="0.3">
      <c r="A1554" s="23" t="s">
        <v>14255</v>
      </c>
      <c r="B1554" s="23" t="s">
        <v>79</v>
      </c>
      <c r="C1554" s="39">
        <v>2499</v>
      </c>
      <c r="D1554" s="24">
        <v>39.979999999999997</v>
      </c>
      <c r="E1554" s="24">
        <v>7.2</v>
      </c>
      <c r="F1554" s="23">
        <f>COUNTIFS(mdr_rate_cleaned!$A$2:$A$10,B1554,mdr_rate_cleaned!$B$2:$B$10,"&lt;"&amp;C1554,mdr_rate_cleaned!$F$2:$F$10,"&gt;="&amp;C1554)</f>
        <v>1</v>
      </c>
      <c r="G1554" s="40">
        <f>SUMIFS(mdr_rate_cleaned!$G$2:$G$10,mdr_rate_cleaned!$A$2:$A$10,B1554,mdr_rate_cleaned!$B$2:$B$10,"&lt;"&amp;C1554,mdr_rate_cleaned!$F$2:$F$10,"&gt;="&amp;C1554)</f>
        <v>1.6E-2</v>
      </c>
      <c r="H1554" s="24">
        <f t="shared" si="120"/>
        <v>39.979999999999997</v>
      </c>
      <c r="I1554" s="23" t="str">
        <f t="shared" si="121"/>
        <v>Match</v>
      </c>
      <c r="J1554" s="23" t="str">
        <f t="shared" si="122"/>
        <v>Match</v>
      </c>
      <c r="K1554" s="24">
        <f t="shared" si="123"/>
        <v>7.2</v>
      </c>
      <c r="L1554" s="24">
        <f t="shared" si="124"/>
        <v>0</v>
      </c>
    </row>
    <row r="1555" spans="1:12" ht="15" customHeight="1" x14ac:dyDescent="0.3">
      <c r="A1555" s="23" t="s">
        <v>14256</v>
      </c>
      <c r="B1555" s="23" t="s">
        <v>75</v>
      </c>
      <c r="C1555" s="39">
        <v>4498</v>
      </c>
      <c r="D1555" s="24">
        <v>13.49</v>
      </c>
      <c r="E1555" s="24">
        <v>2.4300000000000002</v>
      </c>
      <c r="F1555" s="23">
        <f>COUNTIFS(mdr_rate_cleaned!$A$2:$A$10,B1555,mdr_rate_cleaned!$B$2:$B$10,"&lt;"&amp;C1555,mdr_rate_cleaned!$F$2:$F$10,"&gt;="&amp;C1555)</f>
        <v>1</v>
      </c>
      <c r="G1555" s="40">
        <f>SUMIFS(mdr_rate_cleaned!$G$2:$G$10,mdr_rate_cleaned!$A$2:$A$10,B1555,mdr_rate_cleaned!$B$2:$B$10,"&lt;"&amp;C1555,mdr_rate_cleaned!$F$2:$F$10,"&gt;="&amp;C1555)</f>
        <v>3.0000000000000001E-3</v>
      </c>
      <c r="H1555" s="24">
        <f t="shared" si="120"/>
        <v>13.49</v>
      </c>
      <c r="I1555" s="23" t="str">
        <f t="shared" si="121"/>
        <v>Match</v>
      </c>
      <c r="J1555" s="23" t="str">
        <f t="shared" si="122"/>
        <v>Match</v>
      </c>
      <c r="K1555" s="24">
        <f t="shared" si="123"/>
        <v>2.4300000000000002</v>
      </c>
      <c r="L1555" s="24">
        <f t="shared" si="124"/>
        <v>0</v>
      </c>
    </row>
    <row r="1556" spans="1:12" ht="15" customHeight="1" x14ac:dyDescent="0.3">
      <c r="A1556" s="23" t="s">
        <v>14257</v>
      </c>
      <c r="B1556" s="23" t="s">
        <v>75</v>
      </c>
      <c r="C1556" s="39">
        <v>3498</v>
      </c>
      <c r="D1556" s="24">
        <v>10.49</v>
      </c>
      <c r="E1556" s="24">
        <v>1.89</v>
      </c>
      <c r="F1556" s="23">
        <f>COUNTIFS(mdr_rate_cleaned!$A$2:$A$10,B1556,mdr_rate_cleaned!$B$2:$B$10,"&lt;"&amp;C1556,mdr_rate_cleaned!$F$2:$F$10,"&gt;="&amp;C1556)</f>
        <v>1</v>
      </c>
      <c r="G1556" s="40">
        <f>SUMIFS(mdr_rate_cleaned!$G$2:$G$10,mdr_rate_cleaned!$A$2:$A$10,B1556,mdr_rate_cleaned!$B$2:$B$10,"&lt;"&amp;C1556,mdr_rate_cleaned!$F$2:$F$10,"&gt;="&amp;C1556)</f>
        <v>3.0000000000000001E-3</v>
      </c>
      <c r="H1556" s="24">
        <f t="shared" si="120"/>
        <v>10.49</v>
      </c>
      <c r="I1556" s="23" t="str">
        <f t="shared" si="121"/>
        <v>Match</v>
      </c>
      <c r="J1556" s="23" t="str">
        <f t="shared" si="122"/>
        <v>Match</v>
      </c>
      <c r="K1556" s="24">
        <f t="shared" si="123"/>
        <v>1.89</v>
      </c>
      <c r="L1556" s="24">
        <f t="shared" si="124"/>
        <v>0</v>
      </c>
    </row>
    <row r="1557" spans="1:12" ht="15" customHeight="1" x14ac:dyDescent="0.3">
      <c r="A1557" s="23" t="s">
        <v>14259</v>
      </c>
      <c r="B1557" s="23" t="s">
        <v>77</v>
      </c>
      <c r="C1557" s="39">
        <v>499</v>
      </c>
      <c r="D1557" s="24">
        <v>9.48</v>
      </c>
      <c r="E1557" s="24">
        <v>1.71</v>
      </c>
      <c r="F1557" s="23">
        <f>COUNTIFS(mdr_rate_cleaned!$A$2:$A$10,B1557,mdr_rate_cleaned!$B$2:$B$10,"&lt;"&amp;C1557,mdr_rate_cleaned!$F$2:$F$10,"&gt;="&amp;C1557)</f>
        <v>1</v>
      </c>
      <c r="G1557" s="40">
        <f>SUMIFS(mdr_rate_cleaned!$G$2:$G$10,mdr_rate_cleaned!$A$2:$A$10,B1557,mdr_rate_cleaned!$B$2:$B$10,"&lt;"&amp;C1557,mdr_rate_cleaned!$F$2:$F$10,"&gt;="&amp;C1557)</f>
        <v>1.9E-2</v>
      </c>
      <c r="H1557" s="24">
        <f t="shared" si="120"/>
        <v>9.48</v>
      </c>
      <c r="I1557" s="23" t="str">
        <f t="shared" si="121"/>
        <v>Match</v>
      </c>
      <c r="J1557" s="23" t="str">
        <f t="shared" si="122"/>
        <v>Match</v>
      </c>
      <c r="K1557" s="24">
        <f t="shared" si="123"/>
        <v>1.71</v>
      </c>
      <c r="L1557" s="24">
        <f t="shared" si="124"/>
        <v>0</v>
      </c>
    </row>
    <row r="1558" spans="1:12" ht="15" customHeight="1" x14ac:dyDescent="0.3">
      <c r="A1558" s="23" t="s">
        <v>14260</v>
      </c>
      <c r="B1558" s="23" t="s">
        <v>75</v>
      </c>
      <c r="C1558" s="39">
        <v>349</v>
      </c>
      <c r="D1558" s="24">
        <v>0</v>
      </c>
      <c r="E1558" s="24">
        <v>0</v>
      </c>
      <c r="F1558" s="23">
        <f>COUNTIFS(mdr_rate_cleaned!$A$2:$A$10,B1558,mdr_rate_cleaned!$B$2:$B$10,"&lt;"&amp;C1558,mdr_rate_cleaned!$F$2:$F$10,"&gt;="&amp;C1558)</f>
        <v>1</v>
      </c>
      <c r="G1558" s="40">
        <f>SUMIFS(mdr_rate_cleaned!$G$2:$G$10,mdr_rate_cleaned!$A$2:$A$10,B1558,mdr_rate_cleaned!$B$2:$B$10,"&lt;"&amp;C1558,mdr_rate_cleaned!$F$2:$F$10,"&gt;="&amp;C1558)</f>
        <v>0</v>
      </c>
      <c r="H1558" s="24">
        <f t="shared" si="120"/>
        <v>0</v>
      </c>
      <c r="I1558" s="23" t="str">
        <f t="shared" si="121"/>
        <v>Match</v>
      </c>
      <c r="J1558" s="23" t="str">
        <f t="shared" si="122"/>
        <v>Match</v>
      </c>
      <c r="K1558" s="24">
        <f t="shared" si="123"/>
        <v>0</v>
      </c>
      <c r="L1558" s="24">
        <f t="shared" si="124"/>
        <v>0</v>
      </c>
    </row>
    <row r="1559" spans="1:12" ht="15" customHeight="1" x14ac:dyDescent="0.3">
      <c r="A1559" s="23" t="s">
        <v>14261</v>
      </c>
      <c r="B1559" s="23" t="s">
        <v>81</v>
      </c>
      <c r="C1559" s="39">
        <v>1499</v>
      </c>
      <c r="D1559" s="24">
        <v>22.49</v>
      </c>
      <c r="E1559" s="24">
        <v>4.05</v>
      </c>
      <c r="F1559" s="23">
        <f>COUNTIFS(mdr_rate_cleaned!$A$2:$A$10,B1559,mdr_rate_cleaned!$B$2:$B$10,"&lt;"&amp;C1559,mdr_rate_cleaned!$F$2:$F$10,"&gt;="&amp;C1559)</f>
        <v>1</v>
      </c>
      <c r="G1559" s="40">
        <f>SUMIFS(mdr_rate_cleaned!$G$2:$G$10,mdr_rate_cleaned!$A$2:$A$10,B1559,mdr_rate_cleaned!$B$2:$B$10,"&lt;"&amp;C1559,mdr_rate_cleaned!$F$2:$F$10,"&gt;="&amp;C1559)</f>
        <v>1.4999999999999999E-2</v>
      </c>
      <c r="H1559" s="24">
        <f t="shared" si="120"/>
        <v>22.49</v>
      </c>
      <c r="I1559" s="23" t="str">
        <f t="shared" si="121"/>
        <v>Match</v>
      </c>
      <c r="J1559" s="23" t="str">
        <f t="shared" si="122"/>
        <v>Match</v>
      </c>
      <c r="K1559" s="24">
        <f t="shared" si="123"/>
        <v>4.05</v>
      </c>
      <c r="L1559" s="24">
        <f t="shared" si="124"/>
        <v>0</v>
      </c>
    </row>
    <row r="1560" spans="1:12" ht="15" customHeight="1" x14ac:dyDescent="0.3">
      <c r="A1560" s="23" t="s">
        <v>14263</v>
      </c>
      <c r="B1560" s="23" t="s">
        <v>75</v>
      </c>
      <c r="C1560" s="39">
        <v>5498</v>
      </c>
      <c r="D1560" s="24">
        <v>16.489999999999998</v>
      </c>
      <c r="E1560" s="24">
        <v>2.97</v>
      </c>
      <c r="F1560" s="23">
        <f>COUNTIFS(mdr_rate_cleaned!$A$2:$A$10,B1560,mdr_rate_cleaned!$B$2:$B$10,"&lt;"&amp;C1560,mdr_rate_cleaned!$F$2:$F$10,"&gt;="&amp;C1560)</f>
        <v>1</v>
      </c>
      <c r="G1560" s="40">
        <f>SUMIFS(mdr_rate_cleaned!$G$2:$G$10,mdr_rate_cleaned!$A$2:$A$10,B1560,mdr_rate_cleaned!$B$2:$B$10,"&lt;"&amp;C1560,mdr_rate_cleaned!$F$2:$F$10,"&gt;="&amp;C1560)</f>
        <v>3.0000000000000001E-3</v>
      </c>
      <c r="H1560" s="24">
        <f t="shared" si="120"/>
        <v>16.489999999999998</v>
      </c>
      <c r="I1560" s="23" t="str">
        <f t="shared" si="121"/>
        <v>Match</v>
      </c>
      <c r="J1560" s="23" t="str">
        <f t="shared" si="122"/>
        <v>Match</v>
      </c>
      <c r="K1560" s="24">
        <f t="shared" si="123"/>
        <v>2.97</v>
      </c>
      <c r="L1560" s="24">
        <f t="shared" si="124"/>
        <v>0</v>
      </c>
    </row>
    <row r="1561" spans="1:12" ht="15" customHeight="1" x14ac:dyDescent="0.3">
      <c r="A1561" s="23" t="s">
        <v>14264</v>
      </c>
      <c r="B1561" s="23" t="s">
        <v>81</v>
      </c>
      <c r="C1561" s="39">
        <v>1299</v>
      </c>
      <c r="D1561" s="24">
        <v>19.489999999999998</v>
      </c>
      <c r="E1561" s="24">
        <v>3.51</v>
      </c>
      <c r="F1561" s="23">
        <f>COUNTIFS(mdr_rate_cleaned!$A$2:$A$10,B1561,mdr_rate_cleaned!$B$2:$B$10,"&lt;"&amp;C1561,mdr_rate_cleaned!$F$2:$F$10,"&gt;="&amp;C1561)</f>
        <v>1</v>
      </c>
      <c r="G1561" s="40">
        <f>SUMIFS(mdr_rate_cleaned!$G$2:$G$10,mdr_rate_cleaned!$A$2:$A$10,B1561,mdr_rate_cleaned!$B$2:$B$10,"&lt;"&amp;C1561,mdr_rate_cleaned!$F$2:$F$10,"&gt;="&amp;C1561)</f>
        <v>1.4999999999999999E-2</v>
      </c>
      <c r="H1561" s="24">
        <f t="shared" si="120"/>
        <v>19.489999999999998</v>
      </c>
      <c r="I1561" s="23" t="str">
        <f t="shared" si="121"/>
        <v>Match</v>
      </c>
      <c r="J1561" s="23" t="str">
        <f t="shared" si="122"/>
        <v>Match</v>
      </c>
      <c r="K1561" s="24">
        <f t="shared" si="123"/>
        <v>3.51</v>
      </c>
      <c r="L1561" s="24">
        <f t="shared" si="124"/>
        <v>0</v>
      </c>
    </row>
    <row r="1562" spans="1:12" ht="15" customHeight="1" x14ac:dyDescent="0.3">
      <c r="A1562" s="23" t="s">
        <v>14265</v>
      </c>
      <c r="B1562" s="23" t="s">
        <v>75</v>
      </c>
      <c r="C1562" s="39">
        <v>7497</v>
      </c>
      <c r="D1562" s="24">
        <v>22.49</v>
      </c>
      <c r="E1562" s="24">
        <v>4.05</v>
      </c>
      <c r="F1562" s="23">
        <f>COUNTIFS(mdr_rate_cleaned!$A$2:$A$10,B1562,mdr_rate_cleaned!$B$2:$B$10,"&lt;"&amp;C1562,mdr_rate_cleaned!$F$2:$F$10,"&gt;="&amp;C1562)</f>
        <v>1</v>
      </c>
      <c r="G1562" s="40">
        <f>SUMIFS(mdr_rate_cleaned!$G$2:$G$10,mdr_rate_cleaned!$A$2:$A$10,B1562,mdr_rate_cleaned!$B$2:$B$10,"&lt;"&amp;C1562,mdr_rate_cleaned!$F$2:$F$10,"&gt;="&amp;C1562)</f>
        <v>3.0000000000000001E-3</v>
      </c>
      <c r="H1562" s="24">
        <f t="shared" si="120"/>
        <v>22.49</v>
      </c>
      <c r="I1562" s="23" t="str">
        <f t="shared" si="121"/>
        <v>Match</v>
      </c>
      <c r="J1562" s="23" t="str">
        <f t="shared" si="122"/>
        <v>Match</v>
      </c>
      <c r="K1562" s="24">
        <f t="shared" si="123"/>
        <v>4.05</v>
      </c>
      <c r="L1562" s="24">
        <f t="shared" si="124"/>
        <v>0</v>
      </c>
    </row>
    <row r="1563" spans="1:12" ht="15" customHeight="1" x14ac:dyDescent="0.3">
      <c r="A1563" s="23" t="s">
        <v>14266</v>
      </c>
      <c r="B1563" s="23" t="s">
        <v>81</v>
      </c>
      <c r="C1563" s="39">
        <v>999</v>
      </c>
      <c r="D1563" s="24">
        <v>14.99</v>
      </c>
      <c r="E1563" s="24">
        <v>2.7</v>
      </c>
      <c r="F1563" s="23">
        <f>COUNTIFS(mdr_rate_cleaned!$A$2:$A$10,B1563,mdr_rate_cleaned!$B$2:$B$10,"&lt;"&amp;C1563,mdr_rate_cleaned!$F$2:$F$10,"&gt;="&amp;C1563)</f>
        <v>1</v>
      </c>
      <c r="G1563" s="40">
        <f>SUMIFS(mdr_rate_cleaned!$G$2:$G$10,mdr_rate_cleaned!$A$2:$A$10,B1563,mdr_rate_cleaned!$B$2:$B$10,"&lt;"&amp;C1563,mdr_rate_cleaned!$F$2:$F$10,"&gt;="&amp;C1563)</f>
        <v>1.4999999999999999E-2</v>
      </c>
      <c r="H1563" s="24">
        <f t="shared" si="120"/>
        <v>14.99</v>
      </c>
      <c r="I1563" s="23" t="str">
        <f t="shared" si="121"/>
        <v>Match</v>
      </c>
      <c r="J1563" s="23" t="str">
        <f t="shared" si="122"/>
        <v>Match</v>
      </c>
      <c r="K1563" s="24">
        <f t="shared" si="123"/>
        <v>2.7</v>
      </c>
      <c r="L1563" s="24">
        <f t="shared" si="124"/>
        <v>0</v>
      </c>
    </row>
    <row r="1564" spans="1:12" ht="15" customHeight="1" x14ac:dyDescent="0.3">
      <c r="A1564" s="23" t="s">
        <v>14267</v>
      </c>
      <c r="B1564" s="23" t="s">
        <v>81</v>
      </c>
      <c r="C1564" s="39">
        <v>5298</v>
      </c>
      <c r="D1564" s="24">
        <v>63.58</v>
      </c>
      <c r="E1564" s="24">
        <v>11.44</v>
      </c>
      <c r="F1564" s="23">
        <f>COUNTIFS(mdr_rate_cleaned!$A$2:$A$10,B1564,mdr_rate_cleaned!$B$2:$B$10,"&lt;"&amp;C1564,mdr_rate_cleaned!$F$2:$F$10,"&gt;="&amp;C1564)</f>
        <v>1</v>
      </c>
      <c r="G1564" s="40">
        <f>SUMIFS(mdr_rate_cleaned!$G$2:$G$10,mdr_rate_cleaned!$A$2:$A$10,B1564,mdr_rate_cleaned!$B$2:$B$10,"&lt;"&amp;C1564,mdr_rate_cleaned!$F$2:$F$10,"&gt;="&amp;C1564)</f>
        <v>1.2E-2</v>
      </c>
      <c r="H1564" s="24">
        <f t="shared" si="120"/>
        <v>63.58</v>
      </c>
      <c r="I1564" s="23" t="str">
        <f t="shared" si="121"/>
        <v>Match</v>
      </c>
      <c r="J1564" s="23" t="str">
        <f t="shared" si="122"/>
        <v>Match</v>
      </c>
      <c r="K1564" s="24">
        <f t="shared" si="123"/>
        <v>11.44</v>
      </c>
      <c r="L1564" s="24">
        <f t="shared" si="124"/>
        <v>0</v>
      </c>
    </row>
    <row r="1565" spans="1:12" ht="15" customHeight="1" x14ac:dyDescent="0.3">
      <c r="A1565" s="23" t="s">
        <v>14268</v>
      </c>
      <c r="B1565" s="23" t="s">
        <v>81</v>
      </c>
      <c r="C1565" s="39">
        <v>2098</v>
      </c>
      <c r="D1565" s="24">
        <v>25.18</v>
      </c>
      <c r="E1565" s="24">
        <v>4.53</v>
      </c>
      <c r="F1565" s="23">
        <f>COUNTIFS(mdr_rate_cleaned!$A$2:$A$10,B1565,mdr_rate_cleaned!$B$2:$B$10,"&lt;"&amp;C1565,mdr_rate_cleaned!$F$2:$F$10,"&gt;="&amp;C1565)</f>
        <v>1</v>
      </c>
      <c r="G1565" s="40">
        <f>SUMIFS(mdr_rate_cleaned!$G$2:$G$10,mdr_rate_cleaned!$A$2:$A$10,B1565,mdr_rate_cleaned!$B$2:$B$10,"&lt;"&amp;C1565,mdr_rate_cleaned!$F$2:$F$10,"&gt;="&amp;C1565)</f>
        <v>1.2E-2</v>
      </c>
      <c r="H1565" s="24">
        <f t="shared" si="120"/>
        <v>25.18</v>
      </c>
      <c r="I1565" s="23" t="str">
        <f t="shared" si="121"/>
        <v>Match</v>
      </c>
      <c r="J1565" s="23" t="str">
        <f t="shared" si="122"/>
        <v>Match</v>
      </c>
      <c r="K1565" s="24">
        <f t="shared" si="123"/>
        <v>4.53</v>
      </c>
      <c r="L1565" s="24">
        <f t="shared" si="124"/>
        <v>0</v>
      </c>
    </row>
    <row r="1566" spans="1:12" ht="15" customHeight="1" x14ac:dyDescent="0.3">
      <c r="A1566" s="23" t="s">
        <v>14269</v>
      </c>
      <c r="B1566" s="23" t="s">
        <v>75</v>
      </c>
      <c r="C1566" s="39">
        <v>299</v>
      </c>
      <c r="D1566" s="24">
        <v>0</v>
      </c>
      <c r="E1566" s="24">
        <v>0</v>
      </c>
      <c r="F1566" s="23">
        <f>COUNTIFS(mdr_rate_cleaned!$A$2:$A$10,B1566,mdr_rate_cleaned!$B$2:$B$10,"&lt;"&amp;C1566,mdr_rate_cleaned!$F$2:$F$10,"&gt;="&amp;C1566)</f>
        <v>1</v>
      </c>
      <c r="G1566" s="40">
        <f>SUMIFS(mdr_rate_cleaned!$G$2:$G$10,mdr_rate_cleaned!$A$2:$A$10,B1566,mdr_rate_cleaned!$B$2:$B$10,"&lt;"&amp;C1566,mdr_rate_cleaned!$F$2:$F$10,"&gt;="&amp;C1566)</f>
        <v>0</v>
      </c>
      <c r="H1566" s="24">
        <f t="shared" si="120"/>
        <v>0</v>
      </c>
      <c r="I1566" s="23" t="str">
        <f t="shared" si="121"/>
        <v>Match</v>
      </c>
      <c r="J1566" s="23" t="str">
        <f t="shared" si="122"/>
        <v>Match</v>
      </c>
      <c r="K1566" s="24">
        <f t="shared" si="123"/>
        <v>0</v>
      </c>
      <c r="L1566" s="24">
        <f t="shared" si="124"/>
        <v>0</v>
      </c>
    </row>
    <row r="1567" spans="1:12" ht="15" customHeight="1" x14ac:dyDescent="0.3">
      <c r="A1567" s="23" t="s">
        <v>14271</v>
      </c>
      <c r="B1567" s="23" t="s">
        <v>75</v>
      </c>
      <c r="C1567" s="39">
        <v>4997</v>
      </c>
      <c r="D1567" s="24">
        <v>14.99</v>
      </c>
      <c r="E1567" s="24">
        <v>2.7</v>
      </c>
      <c r="F1567" s="23">
        <f>COUNTIFS(mdr_rate_cleaned!$A$2:$A$10,B1567,mdr_rate_cleaned!$B$2:$B$10,"&lt;"&amp;C1567,mdr_rate_cleaned!$F$2:$F$10,"&gt;="&amp;C1567)</f>
        <v>1</v>
      </c>
      <c r="G1567" s="40">
        <f>SUMIFS(mdr_rate_cleaned!$G$2:$G$10,mdr_rate_cleaned!$A$2:$A$10,B1567,mdr_rate_cleaned!$B$2:$B$10,"&lt;"&amp;C1567,mdr_rate_cleaned!$F$2:$F$10,"&gt;="&amp;C1567)</f>
        <v>3.0000000000000001E-3</v>
      </c>
      <c r="H1567" s="24">
        <f t="shared" si="120"/>
        <v>14.99</v>
      </c>
      <c r="I1567" s="23" t="str">
        <f t="shared" si="121"/>
        <v>Match</v>
      </c>
      <c r="J1567" s="23" t="str">
        <f t="shared" si="122"/>
        <v>Match</v>
      </c>
      <c r="K1567" s="24">
        <f t="shared" si="123"/>
        <v>2.7</v>
      </c>
      <c r="L1567" s="24">
        <f t="shared" si="124"/>
        <v>0</v>
      </c>
    </row>
    <row r="1568" spans="1:12" ht="15" customHeight="1" x14ac:dyDescent="0.3">
      <c r="A1568" s="23" t="s">
        <v>14272</v>
      </c>
      <c r="B1568" s="23" t="s">
        <v>75</v>
      </c>
      <c r="C1568" s="39">
        <v>349</v>
      </c>
      <c r="D1568" s="24">
        <v>0</v>
      </c>
      <c r="E1568" s="24">
        <v>0</v>
      </c>
      <c r="F1568" s="23">
        <f>COUNTIFS(mdr_rate_cleaned!$A$2:$A$10,B1568,mdr_rate_cleaned!$B$2:$B$10,"&lt;"&amp;C1568,mdr_rate_cleaned!$F$2:$F$10,"&gt;="&amp;C1568)</f>
        <v>1</v>
      </c>
      <c r="G1568" s="40">
        <f>SUMIFS(mdr_rate_cleaned!$G$2:$G$10,mdr_rate_cleaned!$A$2:$A$10,B1568,mdr_rate_cleaned!$B$2:$B$10,"&lt;"&amp;C1568,mdr_rate_cleaned!$F$2:$F$10,"&gt;="&amp;C1568)</f>
        <v>0</v>
      </c>
      <c r="H1568" s="24">
        <f t="shared" si="120"/>
        <v>0</v>
      </c>
      <c r="I1568" s="23" t="str">
        <f t="shared" si="121"/>
        <v>Match</v>
      </c>
      <c r="J1568" s="23" t="str">
        <f t="shared" si="122"/>
        <v>Match</v>
      </c>
      <c r="K1568" s="24">
        <f t="shared" si="123"/>
        <v>0</v>
      </c>
      <c r="L1568" s="24">
        <f t="shared" si="124"/>
        <v>0</v>
      </c>
    </row>
    <row r="1569" spans="1:12" ht="15" customHeight="1" x14ac:dyDescent="0.3">
      <c r="A1569" s="23" t="s">
        <v>14274</v>
      </c>
      <c r="B1569" s="23" t="s">
        <v>75</v>
      </c>
      <c r="C1569" s="39">
        <v>4797</v>
      </c>
      <c r="D1569" s="24">
        <v>14.39</v>
      </c>
      <c r="E1569" s="24">
        <v>2.59</v>
      </c>
      <c r="F1569" s="23">
        <f>COUNTIFS(mdr_rate_cleaned!$A$2:$A$10,B1569,mdr_rate_cleaned!$B$2:$B$10,"&lt;"&amp;C1569,mdr_rate_cleaned!$F$2:$F$10,"&gt;="&amp;C1569)</f>
        <v>1</v>
      </c>
      <c r="G1569" s="40">
        <f>SUMIFS(mdr_rate_cleaned!$G$2:$G$10,mdr_rate_cleaned!$A$2:$A$10,B1569,mdr_rate_cleaned!$B$2:$B$10,"&lt;"&amp;C1569,mdr_rate_cleaned!$F$2:$F$10,"&gt;="&amp;C1569)</f>
        <v>3.0000000000000001E-3</v>
      </c>
      <c r="H1569" s="24">
        <f t="shared" si="120"/>
        <v>14.39</v>
      </c>
      <c r="I1569" s="23" t="str">
        <f t="shared" si="121"/>
        <v>Match</v>
      </c>
      <c r="J1569" s="23" t="str">
        <f t="shared" si="122"/>
        <v>Match</v>
      </c>
      <c r="K1569" s="24">
        <f t="shared" si="123"/>
        <v>2.59</v>
      </c>
      <c r="L1569" s="24">
        <f t="shared" si="124"/>
        <v>0</v>
      </c>
    </row>
    <row r="1570" spans="1:12" ht="15" customHeight="1" x14ac:dyDescent="0.3">
      <c r="A1570" s="23" t="s">
        <v>14275</v>
      </c>
      <c r="B1570" s="23" t="s">
        <v>75</v>
      </c>
      <c r="C1570" s="39">
        <v>3998</v>
      </c>
      <c r="D1570" s="24">
        <v>11.99</v>
      </c>
      <c r="E1570" s="24">
        <v>2.16</v>
      </c>
      <c r="F1570" s="23">
        <f>COUNTIFS(mdr_rate_cleaned!$A$2:$A$10,B1570,mdr_rate_cleaned!$B$2:$B$10,"&lt;"&amp;C1570,mdr_rate_cleaned!$F$2:$F$10,"&gt;="&amp;C1570)</f>
        <v>1</v>
      </c>
      <c r="G1570" s="40">
        <f>SUMIFS(mdr_rate_cleaned!$G$2:$G$10,mdr_rate_cleaned!$A$2:$A$10,B1570,mdr_rate_cleaned!$B$2:$B$10,"&lt;"&amp;C1570,mdr_rate_cleaned!$F$2:$F$10,"&gt;="&amp;C1570)</f>
        <v>3.0000000000000001E-3</v>
      </c>
      <c r="H1570" s="24">
        <f t="shared" si="120"/>
        <v>11.99</v>
      </c>
      <c r="I1570" s="23" t="str">
        <f t="shared" si="121"/>
        <v>Match</v>
      </c>
      <c r="J1570" s="23" t="str">
        <f t="shared" si="122"/>
        <v>Match</v>
      </c>
      <c r="K1570" s="24">
        <f t="shared" si="123"/>
        <v>2.16</v>
      </c>
      <c r="L1570" s="24">
        <f t="shared" si="124"/>
        <v>0</v>
      </c>
    </row>
    <row r="1571" spans="1:12" ht="15" customHeight="1" x14ac:dyDescent="0.3">
      <c r="A1571" s="23" t="s">
        <v>14276</v>
      </c>
      <c r="B1571" s="23" t="s">
        <v>79</v>
      </c>
      <c r="C1571" s="39">
        <v>7999</v>
      </c>
      <c r="D1571" s="24">
        <v>127.98</v>
      </c>
      <c r="E1571" s="24">
        <v>23.04</v>
      </c>
      <c r="F1571" s="23">
        <f>COUNTIFS(mdr_rate_cleaned!$A$2:$A$10,B1571,mdr_rate_cleaned!$B$2:$B$10,"&lt;"&amp;C1571,mdr_rate_cleaned!$F$2:$F$10,"&gt;="&amp;C1571)</f>
        <v>1</v>
      </c>
      <c r="G1571" s="40">
        <f>SUMIFS(mdr_rate_cleaned!$G$2:$G$10,mdr_rate_cleaned!$A$2:$A$10,B1571,mdr_rate_cleaned!$B$2:$B$10,"&lt;"&amp;C1571,mdr_rate_cleaned!$F$2:$F$10,"&gt;="&amp;C1571)</f>
        <v>1.6E-2</v>
      </c>
      <c r="H1571" s="24">
        <f t="shared" si="120"/>
        <v>127.98</v>
      </c>
      <c r="I1571" s="23" t="str">
        <f t="shared" si="121"/>
        <v>Match</v>
      </c>
      <c r="J1571" s="23" t="str">
        <f t="shared" si="122"/>
        <v>Match</v>
      </c>
      <c r="K1571" s="24">
        <f t="shared" si="123"/>
        <v>23.04</v>
      </c>
      <c r="L1571" s="24">
        <f t="shared" si="124"/>
        <v>0</v>
      </c>
    </row>
    <row r="1572" spans="1:12" ht="15" customHeight="1" x14ac:dyDescent="0.3">
      <c r="A1572" s="23" t="s">
        <v>14278</v>
      </c>
      <c r="B1572" s="23" t="s">
        <v>81</v>
      </c>
      <c r="C1572" s="39">
        <v>999</v>
      </c>
      <c r="D1572" s="24">
        <v>14.99</v>
      </c>
      <c r="E1572" s="24">
        <v>2.7</v>
      </c>
      <c r="F1572" s="23">
        <f>COUNTIFS(mdr_rate_cleaned!$A$2:$A$10,B1572,mdr_rate_cleaned!$B$2:$B$10,"&lt;"&amp;C1572,mdr_rate_cleaned!$F$2:$F$10,"&gt;="&amp;C1572)</f>
        <v>1</v>
      </c>
      <c r="G1572" s="40">
        <f>SUMIFS(mdr_rate_cleaned!$G$2:$G$10,mdr_rate_cleaned!$A$2:$A$10,B1572,mdr_rate_cleaned!$B$2:$B$10,"&lt;"&amp;C1572,mdr_rate_cleaned!$F$2:$F$10,"&gt;="&amp;C1572)</f>
        <v>1.4999999999999999E-2</v>
      </c>
      <c r="H1572" s="24">
        <f t="shared" si="120"/>
        <v>14.99</v>
      </c>
      <c r="I1572" s="23" t="str">
        <f t="shared" si="121"/>
        <v>Match</v>
      </c>
      <c r="J1572" s="23" t="str">
        <f t="shared" si="122"/>
        <v>Match</v>
      </c>
      <c r="K1572" s="24">
        <f t="shared" si="123"/>
        <v>2.7</v>
      </c>
      <c r="L1572" s="24">
        <f t="shared" si="124"/>
        <v>0</v>
      </c>
    </row>
    <row r="1573" spans="1:12" ht="15" customHeight="1" x14ac:dyDescent="0.3">
      <c r="A1573" s="23" t="s">
        <v>14279</v>
      </c>
      <c r="B1573" s="23" t="s">
        <v>75</v>
      </c>
      <c r="C1573" s="39">
        <v>499</v>
      </c>
      <c r="D1573" s="24">
        <v>0</v>
      </c>
      <c r="E1573" s="24">
        <v>0</v>
      </c>
      <c r="F1573" s="23">
        <f>COUNTIFS(mdr_rate_cleaned!$A$2:$A$10,B1573,mdr_rate_cleaned!$B$2:$B$10,"&lt;"&amp;C1573,mdr_rate_cleaned!$F$2:$F$10,"&gt;="&amp;C1573)</f>
        <v>1</v>
      </c>
      <c r="G1573" s="40">
        <f>SUMIFS(mdr_rate_cleaned!$G$2:$G$10,mdr_rate_cleaned!$A$2:$A$10,B1573,mdr_rate_cleaned!$B$2:$B$10,"&lt;"&amp;C1573,mdr_rate_cleaned!$F$2:$F$10,"&gt;="&amp;C1573)</f>
        <v>0</v>
      </c>
      <c r="H1573" s="24">
        <f t="shared" si="120"/>
        <v>0</v>
      </c>
      <c r="I1573" s="23" t="str">
        <f t="shared" si="121"/>
        <v>Match</v>
      </c>
      <c r="J1573" s="23" t="str">
        <f t="shared" si="122"/>
        <v>Match</v>
      </c>
      <c r="K1573" s="24">
        <f t="shared" si="123"/>
        <v>0</v>
      </c>
      <c r="L1573" s="24">
        <f t="shared" si="124"/>
        <v>0</v>
      </c>
    </row>
    <row r="1574" spans="1:12" ht="15" customHeight="1" x14ac:dyDescent="0.3">
      <c r="A1574" s="23" t="s">
        <v>14280</v>
      </c>
      <c r="B1574" s="23" t="s">
        <v>79</v>
      </c>
      <c r="C1574" s="39">
        <v>1499</v>
      </c>
      <c r="D1574" s="24">
        <v>26.98</v>
      </c>
      <c r="E1574" s="24">
        <v>4.8600000000000003</v>
      </c>
      <c r="F1574" s="23">
        <f>COUNTIFS(mdr_rate_cleaned!$A$2:$A$10,B1574,mdr_rate_cleaned!$B$2:$B$10,"&lt;"&amp;C1574,mdr_rate_cleaned!$F$2:$F$10,"&gt;="&amp;C1574)</f>
        <v>1</v>
      </c>
      <c r="G1574" s="40">
        <f>SUMIFS(mdr_rate_cleaned!$G$2:$G$10,mdr_rate_cleaned!$A$2:$A$10,B1574,mdr_rate_cleaned!$B$2:$B$10,"&lt;"&amp;C1574,mdr_rate_cleaned!$F$2:$F$10,"&gt;="&amp;C1574)</f>
        <v>1.8000000000000002E-2</v>
      </c>
      <c r="H1574" s="24">
        <f t="shared" si="120"/>
        <v>26.98</v>
      </c>
      <c r="I1574" s="23" t="str">
        <f t="shared" si="121"/>
        <v>Match</v>
      </c>
      <c r="J1574" s="23" t="str">
        <f t="shared" si="122"/>
        <v>Match</v>
      </c>
      <c r="K1574" s="24">
        <f t="shared" si="123"/>
        <v>4.8600000000000003</v>
      </c>
      <c r="L1574" s="24">
        <f t="shared" si="124"/>
        <v>0</v>
      </c>
    </row>
    <row r="1575" spans="1:12" ht="15" customHeight="1" x14ac:dyDescent="0.3">
      <c r="A1575" s="23" t="s">
        <v>14282</v>
      </c>
      <c r="B1575" s="23" t="s">
        <v>75</v>
      </c>
      <c r="C1575" s="39">
        <v>499</v>
      </c>
      <c r="D1575" s="24">
        <v>1.5</v>
      </c>
      <c r="E1575" s="24">
        <v>0.27</v>
      </c>
      <c r="F1575" s="23">
        <f>COUNTIFS(mdr_rate_cleaned!$A$2:$A$10,B1575,mdr_rate_cleaned!$B$2:$B$10,"&lt;"&amp;C1575,mdr_rate_cleaned!$F$2:$F$10,"&gt;="&amp;C1575)</f>
        <v>1</v>
      </c>
      <c r="G1575" s="40">
        <f>SUMIFS(mdr_rate_cleaned!$G$2:$G$10,mdr_rate_cleaned!$A$2:$A$10,B1575,mdr_rate_cleaned!$B$2:$B$10,"&lt;"&amp;C1575,mdr_rate_cleaned!$F$2:$F$10,"&gt;="&amp;C1575)</f>
        <v>0</v>
      </c>
      <c r="H1575" s="24">
        <f t="shared" si="120"/>
        <v>0</v>
      </c>
      <c r="I1575" s="23" t="str">
        <f t="shared" si="121"/>
        <v>Differs</v>
      </c>
      <c r="J1575" s="23" t="str">
        <f t="shared" si="122"/>
        <v>Match</v>
      </c>
      <c r="K1575" s="24">
        <f t="shared" si="123"/>
        <v>0</v>
      </c>
      <c r="L1575" s="24">
        <f t="shared" si="124"/>
        <v>1.77</v>
      </c>
    </row>
    <row r="1576" spans="1:12" ht="15" customHeight="1" x14ac:dyDescent="0.3">
      <c r="A1576" s="23" t="s">
        <v>14284</v>
      </c>
      <c r="B1576" s="23" t="s">
        <v>75</v>
      </c>
      <c r="C1576" s="39">
        <v>2499</v>
      </c>
      <c r="D1576" s="24">
        <v>7.5</v>
      </c>
      <c r="E1576" s="24">
        <v>1.35</v>
      </c>
      <c r="F1576" s="23">
        <f>COUNTIFS(mdr_rate_cleaned!$A$2:$A$10,B1576,mdr_rate_cleaned!$B$2:$B$10,"&lt;"&amp;C1576,mdr_rate_cleaned!$F$2:$F$10,"&gt;="&amp;C1576)</f>
        <v>1</v>
      </c>
      <c r="G1576" s="40">
        <f>SUMIFS(mdr_rate_cleaned!$G$2:$G$10,mdr_rate_cleaned!$A$2:$A$10,B1576,mdr_rate_cleaned!$B$2:$B$10,"&lt;"&amp;C1576,mdr_rate_cleaned!$F$2:$F$10,"&gt;="&amp;C1576)</f>
        <v>3.0000000000000001E-3</v>
      </c>
      <c r="H1576" s="24">
        <f t="shared" si="120"/>
        <v>7.5</v>
      </c>
      <c r="I1576" s="23" t="str">
        <f t="shared" si="121"/>
        <v>Match</v>
      </c>
      <c r="J1576" s="23" t="str">
        <f t="shared" si="122"/>
        <v>Match</v>
      </c>
      <c r="K1576" s="24">
        <f t="shared" si="123"/>
        <v>1.35</v>
      </c>
      <c r="L1576" s="24">
        <f t="shared" si="124"/>
        <v>0</v>
      </c>
    </row>
    <row r="1577" spans="1:12" ht="15" customHeight="1" x14ac:dyDescent="0.3">
      <c r="A1577" s="23" t="s">
        <v>14285</v>
      </c>
      <c r="B1577" s="23" t="s">
        <v>77</v>
      </c>
      <c r="C1577" s="39">
        <v>499</v>
      </c>
      <c r="D1577" s="24">
        <v>9.48</v>
      </c>
      <c r="E1577" s="24">
        <v>1.71</v>
      </c>
      <c r="F1577" s="23">
        <f>COUNTIFS(mdr_rate_cleaned!$A$2:$A$10,B1577,mdr_rate_cleaned!$B$2:$B$10,"&lt;"&amp;C1577,mdr_rate_cleaned!$F$2:$F$10,"&gt;="&amp;C1577)</f>
        <v>1</v>
      </c>
      <c r="G1577" s="40">
        <f>SUMIFS(mdr_rate_cleaned!$G$2:$G$10,mdr_rate_cleaned!$A$2:$A$10,B1577,mdr_rate_cleaned!$B$2:$B$10,"&lt;"&amp;C1577,mdr_rate_cleaned!$F$2:$F$10,"&gt;="&amp;C1577)</f>
        <v>1.9E-2</v>
      </c>
      <c r="H1577" s="24">
        <f t="shared" si="120"/>
        <v>9.48</v>
      </c>
      <c r="I1577" s="23" t="str">
        <f t="shared" si="121"/>
        <v>Match</v>
      </c>
      <c r="J1577" s="23" t="str">
        <f t="shared" si="122"/>
        <v>Match</v>
      </c>
      <c r="K1577" s="24">
        <f t="shared" si="123"/>
        <v>1.71</v>
      </c>
      <c r="L1577" s="24">
        <f t="shared" si="124"/>
        <v>0</v>
      </c>
    </row>
    <row r="1578" spans="1:12" ht="15" customHeight="1" x14ac:dyDescent="0.3">
      <c r="A1578" s="23" t="s">
        <v>14286</v>
      </c>
      <c r="B1578" s="23" t="s">
        <v>79</v>
      </c>
      <c r="C1578" s="39">
        <v>3797</v>
      </c>
      <c r="D1578" s="24">
        <v>60.75</v>
      </c>
      <c r="E1578" s="24">
        <v>10.94</v>
      </c>
      <c r="F1578" s="23">
        <f>COUNTIFS(mdr_rate_cleaned!$A$2:$A$10,B1578,mdr_rate_cleaned!$B$2:$B$10,"&lt;"&amp;C1578,mdr_rate_cleaned!$F$2:$F$10,"&gt;="&amp;C1578)</f>
        <v>1</v>
      </c>
      <c r="G1578" s="40">
        <f>SUMIFS(mdr_rate_cleaned!$G$2:$G$10,mdr_rate_cleaned!$A$2:$A$10,B1578,mdr_rate_cleaned!$B$2:$B$10,"&lt;"&amp;C1578,mdr_rate_cleaned!$F$2:$F$10,"&gt;="&amp;C1578)</f>
        <v>1.6E-2</v>
      </c>
      <c r="H1578" s="24">
        <f t="shared" si="120"/>
        <v>60.75</v>
      </c>
      <c r="I1578" s="23" t="str">
        <f t="shared" si="121"/>
        <v>Match</v>
      </c>
      <c r="J1578" s="23" t="str">
        <f t="shared" si="122"/>
        <v>Match</v>
      </c>
      <c r="K1578" s="24">
        <f t="shared" si="123"/>
        <v>10.94</v>
      </c>
      <c r="L1578" s="24">
        <f t="shared" si="124"/>
        <v>0</v>
      </c>
    </row>
    <row r="1579" spans="1:12" ht="15" customHeight="1" x14ac:dyDescent="0.3">
      <c r="A1579" s="23" t="s">
        <v>14287</v>
      </c>
      <c r="B1579" s="23" t="s">
        <v>75</v>
      </c>
      <c r="C1579" s="39">
        <v>10998</v>
      </c>
      <c r="D1579" s="24">
        <v>32.99</v>
      </c>
      <c r="E1579" s="24">
        <v>5.94</v>
      </c>
      <c r="F1579" s="23">
        <f>COUNTIFS(mdr_rate_cleaned!$A$2:$A$10,B1579,mdr_rate_cleaned!$B$2:$B$10,"&lt;"&amp;C1579,mdr_rate_cleaned!$F$2:$F$10,"&gt;="&amp;C1579)</f>
        <v>1</v>
      </c>
      <c r="G1579" s="40">
        <f>SUMIFS(mdr_rate_cleaned!$G$2:$G$10,mdr_rate_cleaned!$A$2:$A$10,B1579,mdr_rate_cleaned!$B$2:$B$10,"&lt;"&amp;C1579,mdr_rate_cleaned!$F$2:$F$10,"&gt;="&amp;C1579)</f>
        <v>3.0000000000000001E-3</v>
      </c>
      <c r="H1579" s="24">
        <f t="shared" si="120"/>
        <v>32.99</v>
      </c>
      <c r="I1579" s="23" t="str">
        <f t="shared" si="121"/>
        <v>Match</v>
      </c>
      <c r="J1579" s="23" t="str">
        <f t="shared" si="122"/>
        <v>Match</v>
      </c>
      <c r="K1579" s="24">
        <f t="shared" si="123"/>
        <v>5.94</v>
      </c>
      <c r="L1579" s="24">
        <f t="shared" si="124"/>
        <v>0</v>
      </c>
    </row>
    <row r="1580" spans="1:12" ht="15" customHeight="1" x14ac:dyDescent="0.3">
      <c r="A1580" s="23" t="s">
        <v>14288</v>
      </c>
      <c r="B1580" s="23" t="s">
        <v>75</v>
      </c>
      <c r="C1580" s="39">
        <v>4147</v>
      </c>
      <c r="D1580" s="24">
        <v>12.44</v>
      </c>
      <c r="E1580" s="24">
        <v>2.2400000000000002</v>
      </c>
      <c r="F1580" s="23">
        <f>COUNTIFS(mdr_rate_cleaned!$A$2:$A$10,B1580,mdr_rate_cleaned!$B$2:$B$10,"&lt;"&amp;C1580,mdr_rate_cleaned!$F$2:$F$10,"&gt;="&amp;C1580)</f>
        <v>1</v>
      </c>
      <c r="G1580" s="40">
        <f>SUMIFS(mdr_rate_cleaned!$G$2:$G$10,mdr_rate_cleaned!$A$2:$A$10,B1580,mdr_rate_cleaned!$B$2:$B$10,"&lt;"&amp;C1580,mdr_rate_cleaned!$F$2:$F$10,"&gt;="&amp;C1580)</f>
        <v>3.0000000000000001E-3</v>
      </c>
      <c r="H1580" s="24">
        <f t="shared" si="120"/>
        <v>12.44</v>
      </c>
      <c r="I1580" s="23" t="str">
        <f t="shared" si="121"/>
        <v>Match</v>
      </c>
      <c r="J1580" s="23" t="str">
        <f t="shared" si="122"/>
        <v>Match</v>
      </c>
      <c r="K1580" s="24">
        <f t="shared" si="123"/>
        <v>2.2400000000000002</v>
      </c>
      <c r="L1580" s="24">
        <f t="shared" si="124"/>
        <v>0</v>
      </c>
    </row>
    <row r="1581" spans="1:12" ht="15" customHeight="1" x14ac:dyDescent="0.3">
      <c r="A1581" s="23" t="s">
        <v>14290</v>
      </c>
      <c r="B1581" s="23" t="s">
        <v>75</v>
      </c>
      <c r="C1581" s="39">
        <v>8997</v>
      </c>
      <c r="D1581" s="24">
        <v>26.99</v>
      </c>
      <c r="E1581" s="24">
        <v>4.8600000000000003</v>
      </c>
      <c r="F1581" s="23">
        <f>COUNTIFS(mdr_rate_cleaned!$A$2:$A$10,B1581,mdr_rate_cleaned!$B$2:$B$10,"&lt;"&amp;C1581,mdr_rate_cleaned!$F$2:$F$10,"&gt;="&amp;C1581)</f>
        <v>1</v>
      </c>
      <c r="G1581" s="40">
        <f>SUMIFS(mdr_rate_cleaned!$G$2:$G$10,mdr_rate_cleaned!$A$2:$A$10,B1581,mdr_rate_cleaned!$B$2:$B$10,"&lt;"&amp;C1581,mdr_rate_cleaned!$F$2:$F$10,"&gt;="&amp;C1581)</f>
        <v>3.0000000000000001E-3</v>
      </c>
      <c r="H1581" s="24">
        <f t="shared" si="120"/>
        <v>26.99</v>
      </c>
      <c r="I1581" s="23" t="str">
        <f t="shared" si="121"/>
        <v>Match</v>
      </c>
      <c r="J1581" s="23" t="str">
        <f t="shared" si="122"/>
        <v>Match</v>
      </c>
      <c r="K1581" s="24">
        <f t="shared" si="123"/>
        <v>4.8600000000000003</v>
      </c>
      <c r="L1581" s="24">
        <f t="shared" si="124"/>
        <v>0</v>
      </c>
    </row>
    <row r="1582" spans="1:12" ht="15" customHeight="1" x14ac:dyDescent="0.3">
      <c r="A1582" s="23" t="s">
        <v>14291</v>
      </c>
      <c r="B1582" s="23" t="s">
        <v>79</v>
      </c>
      <c r="C1582" s="39">
        <v>2147</v>
      </c>
      <c r="D1582" s="24">
        <v>34.35</v>
      </c>
      <c r="E1582" s="24">
        <v>6.18</v>
      </c>
      <c r="F1582" s="23">
        <f>COUNTIFS(mdr_rate_cleaned!$A$2:$A$10,B1582,mdr_rate_cleaned!$B$2:$B$10,"&lt;"&amp;C1582,mdr_rate_cleaned!$F$2:$F$10,"&gt;="&amp;C1582)</f>
        <v>1</v>
      </c>
      <c r="G1582" s="40">
        <f>SUMIFS(mdr_rate_cleaned!$G$2:$G$10,mdr_rate_cleaned!$A$2:$A$10,B1582,mdr_rate_cleaned!$B$2:$B$10,"&lt;"&amp;C1582,mdr_rate_cleaned!$F$2:$F$10,"&gt;="&amp;C1582)</f>
        <v>1.6E-2</v>
      </c>
      <c r="H1582" s="24">
        <f t="shared" si="120"/>
        <v>34.35</v>
      </c>
      <c r="I1582" s="23" t="str">
        <f t="shared" si="121"/>
        <v>Match</v>
      </c>
      <c r="J1582" s="23" t="str">
        <f t="shared" si="122"/>
        <v>Match</v>
      </c>
      <c r="K1582" s="24">
        <f t="shared" si="123"/>
        <v>6.18</v>
      </c>
      <c r="L1582" s="24">
        <f t="shared" si="124"/>
        <v>0</v>
      </c>
    </row>
    <row r="1583" spans="1:12" ht="15" customHeight="1" x14ac:dyDescent="0.3">
      <c r="A1583" s="23" t="s">
        <v>14292</v>
      </c>
      <c r="B1583" s="23" t="s">
        <v>79</v>
      </c>
      <c r="C1583" s="39">
        <v>8298</v>
      </c>
      <c r="D1583" s="24">
        <v>132.77000000000001</v>
      </c>
      <c r="E1583" s="24">
        <v>23.9</v>
      </c>
      <c r="F1583" s="23">
        <f>COUNTIFS(mdr_rate_cleaned!$A$2:$A$10,B1583,mdr_rate_cleaned!$B$2:$B$10,"&lt;"&amp;C1583,mdr_rate_cleaned!$F$2:$F$10,"&gt;="&amp;C1583)</f>
        <v>1</v>
      </c>
      <c r="G1583" s="40">
        <f>SUMIFS(mdr_rate_cleaned!$G$2:$G$10,mdr_rate_cleaned!$A$2:$A$10,B1583,mdr_rate_cleaned!$B$2:$B$10,"&lt;"&amp;C1583,mdr_rate_cleaned!$F$2:$F$10,"&gt;="&amp;C1583)</f>
        <v>1.6E-2</v>
      </c>
      <c r="H1583" s="24">
        <f t="shared" si="120"/>
        <v>132.77000000000001</v>
      </c>
      <c r="I1583" s="23" t="str">
        <f t="shared" si="121"/>
        <v>Match</v>
      </c>
      <c r="J1583" s="23" t="str">
        <f t="shared" si="122"/>
        <v>Match</v>
      </c>
      <c r="K1583" s="24">
        <f t="shared" si="123"/>
        <v>23.9</v>
      </c>
      <c r="L1583" s="24">
        <f t="shared" si="124"/>
        <v>0</v>
      </c>
    </row>
    <row r="1584" spans="1:12" ht="15" customHeight="1" x14ac:dyDescent="0.3">
      <c r="A1584" s="23" t="s">
        <v>14293</v>
      </c>
      <c r="B1584" s="23" t="s">
        <v>75</v>
      </c>
      <c r="C1584" s="39">
        <v>999</v>
      </c>
      <c r="D1584" s="24">
        <v>0</v>
      </c>
      <c r="E1584" s="24">
        <v>0</v>
      </c>
      <c r="F1584" s="23">
        <f>COUNTIFS(mdr_rate_cleaned!$A$2:$A$10,B1584,mdr_rate_cleaned!$B$2:$B$10,"&lt;"&amp;C1584,mdr_rate_cleaned!$F$2:$F$10,"&gt;="&amp;C1584)</f>
        <v>1</v>
      </c>
      <c r="G1584" s="40">
        <f>SUMIFS(mdr_rate_cleaned!$G$2:$G$10,mdr_rate_cleaned!$A$2:$A$10,B1584,mdr_rate_cleaned!$B$2:$B$10,"&lt;"&amp;C1584,mdr_rate_cleaned!$F$2:$F$10,"&gt;="&amp;C1584)</f>
        <v>0</v>
      </c>
      <c r="H1584" s="24">
        <f t="shared" si="120"/>
        <v>0</v>
      </c>
      <c r="I1584" s="23" t="str">
        <f t="shared" si="121"/>
        <v>Match</v>
      </c>
      <c r="J1584" s="23" t="str">
        <f t="shared" si="122"/>
        <v>Match</v>
      </c>
      <c r="K1584" s="24">
        <f t="shared" si="123"/>
        <v>0</v>
      </c>
      <c r="L1584" s="24">
        <f t="shared" si="124"/>
        <v>0</v>
      </c>
    </row>
    <row r="1585" spans="1:12" ht="15" customHeight="1" x14ac:dyDescent="0.3">
      <c r="A1585" s="23" t="s">
        <v>14294</v>
      </c>
      <c r="B1585" s="23" t="s">
        <v>75</v>
      </c>
      <c r="C1585" s="39">
        <v>3598</v>
      </c>
      <c r="D1585" s="24">
        <v>10.79</v>
      </c>
      <c r="E1585" s="24">
        <v>1.94</v>
      </c>
      <c r="F1585" s="23">
        <f>COUNTIFS(mdr_rate_cleaned!$A$2:$A$10,B1585,mdr_rate_cleaned!$B$2:$B$10,"&lt;"&amp;C1585,mdr_rate_cleaned!$F$2:$F$10,"&gt;="&amp;C1585)</f>
        <v>1</v>
      </c>
      <c r="G1585" s="40">
        <f>SUMIFS(mdr_rate_cleaned!$G$2:$G$10,mdr_rate_cleaned!$A$2:$A$10,B1585,mdr_rate_cleaned!$B$2:$B$10,"&lt;"&amp;C1585,mdr_rate_cleaned!$F$2:$F$10,"&gt;="&amp;C1585)</f>
        <v>3.0000000000000001E-3</v>
      </c>
      <c r="H1585" s="24">
        <f t="shared" si="120"/>
        <v>10.79</v>
      </c>
      <c r="I1585" s="23" t="str">
        <f t="shared" si="121"/>
        <v>Match</v>
      </c>
      <c r="J1585" s="23" t="str">
        <f t="shared" si="122"/>
        <v>Match</v>
      </c>
      <c r="K1585" s="24">
        <f t="shared" si="123"/>
        <v>1.94</v>
      </c>
      <c r="L1585" s="24">
        <f t="shared" si="124"/>
        <v>0</v>
      </c>
    </row>
    <row r="1586" spans="1:12" ht="15" customHeight="1" x14ac:dyDescent="0.3">
      <c r="A1586" s="23" t="s">
        <v>14295</v>
      </c>
      <c r="B1586" s="23" t="s">
        <v>79</v>
      </c>
      <c r="C1586" s="39">
        <v>349</v>
      </c>
      <c r="D1586" s="24">
        <v>6.28</v>
      </c>
      <c r="E1586" s="24">
        <v>1.1299999999999999</v>
      </c>
      <c r="F1586" s="23">
        <f>COUNTIFS(mdr_rate_cleaned!$A$2:$A$10,B1586,mdr_rate_cleaned!$B$2:$B$10,"&lt;"&amp;C1586,mdr_rate_cleaned!$F$2:$F$10,"&gt;="&amp;C1586)</f>
        <v>1</v>
      </c>
      <c r="G1586" s="40">
        <f>SUMIFS(mdr_rate_cleaned!$G$2:$G$10,mdr_rate_cleaned!$A$2:$A$10,B1586,mdr_rate_cleaned!$B$2:$B$10,"&lt;"&amp;C1586,mdr_rate_cleaned!$F$2:$F$10,"&gt;="&amp;C1586)</f>
        <v>1.8000000000000002E-2</v>
      </c>
      <c r="H1586" s="24">
        <f t="shared" si="120"/>
        <v>6.28</v>
      </c>
      <c r="I1586" s="23" t="str">
        <f t="shared" si="121"/>
        <v>Match</v>
      </c>
      <c r="J1586" s="23" t="str">
        <f t="shared" si="122"/>
        <v>Match</v>
      </c>
      <c r="K1586" s="24">
        <f t="shared" si="123"/>
        <v>1.1299999999999999</v>
      </c>
      <c r="L1586" s="24">
        <f t="shared" si="124"/>
        <v>0</v>
      </c>
    </row>
    <row r="1587" spans="1:12" ht="15" customHeight="1" x14ac:dyDescent="0.3">
      <c r="A1587" s="23" t="s">
        <v>14296</v>
      </c>
      <c r="B1587" s="23" t="s">
        <v>75</v>
      </c>
      <c r="C1587" s="39">
        <v>1998</v>
      </c>
      <c r="D1587" s="24">
        <v>0</v>
      </c>
      <c r="E1587" s="24">
        <v>0</v>
      </c>
      <c r="F1587" s="23">
        <f>COUNTIFS(mdr_rate_cleaned!$A$2:$A$10,B1587,mdr_rate_cleaned!$B$2:$B$10,"&lt;"&amp;C1587,mdr_rate_cleaned!$F$2:$F$10,"&gt;="&amp;C1587)</f>
        <v>1</v>
      </c>
      <c r="G1587" s="40">
        <f>SUMIFS(mdr_rate_cleaned!$G$2:$G$10,mdr_rate_cleaned!$A$2:$A$10,B1587,mdr_rate_cleaned!$B$2:$B$10,"&lt;"&amp;C1587,mdr_rate_cleaned!$F$2:$F$10,"&gt;="&amp;C1587)</f>
        <v>0</v>
      </c>
      <c r="H1587" s="24">
        <f t="shared" si="120"/>
        <v>0</v>
      </c>
      <c r="I1587" s="23" t="str">
        <f t="shared" si="121"/>
        <v>Match</v>
      </c>
      <c r="J1587" s="23" t="str">
        <f t="shared" si="122"/>
        <v>Match</v>
      </c>
      <c r="K1587" s="24">
        <f t="shared" si="123"/>
        <v>0</v>
      </c>
      <c r="L1587" s="24">
        <f t="shared" si="124"/>
        <v>0</v>
      </c>
    </row>
    <row r="1588" spans="1:12" ht="15" customHeight="1" x14ac:dyDescent="0.3">
      <c r="A1588" s="23" t="s">
        <v>14297</v>
      </c>
      <c r="B1588" s="23" t="s">
        <v>79</v>
      </c>
      <c r="C1588" s="39">
        <v>8997</v>
      </c>
      <c r="D1588" s="24">
        <v>143.94999999999999</v>
      </c>
      <c r="E1588" s="24">
        <v>25.91</v>
      </c>
      <c r="F1588" s="23">
        <f>COUNTIFS(mdr_rate_cleaned!$A$2:$A$10,B1588,mdr_rate_cleaned!$B$2:$B$10,"&lt;"&amp;C1588,mdr_rate_cleaned!$F$2:$F$10,"&gt;="&amp;C1588)</f>
        <v>1</v>
      </c>
      <c r="G1588" s="40">
        <f>SUMIFS(mdr_rate_cleaned!$G$2:$G$10,mdr_rate_cleaned!$A$2:$A$10,B1588,mdr_rate_cleaned!$B$2:$B$10,"&lt;"&amp;C1588,mdr_rate_cleaned!$F$2:$F$10,"&gt;="&amp;C1588)</f>
        <v>1.6E-2</v>
      </c>
      <c r="H1588" s="24">
        <f t="shared" si="120"/>
        <v>143.94999999999999</v>
      </c>
      <c r="I1588" s="23" t="str">
        <f t="shared" si="121"/>
        <v>Match</v>
      </c>
      <c r="J1588" s="23" t="str">
        <f t="shared" si="122"/>
        <v>Match</v>
      </c>
      <c r="K1588" s="24">
        <f t="shared" si="123"/>
        <v>25.91</v>
      </c>
      <c r="L1588" s="24">
        <f t="shared" si="124"/>
        <v>0</v>
      </c>
    </row>
    <row r="1589" spans="1:12" ht="15" customHeight="1" x14ac:dyDescent="0.3">
      <c r="A1589" s="23" t="s">
        <v>14298</v>
      </c>
      <c r="B1589" s="23" t="s">
        <v>77</v>
      </c>
      <c r="C1589" s="39">
        <v>1299</v>
      </c>
      <c r="D1589" s="24">
        <v>24.68</v>
      </c>
      <c r="E1589" s="24">
        <v>4.4400000000000004</v>
      </c>
      <c r="F1589" s="23">
        <f>COUNTIFS(mdr_rate_cleaned!$A$2:$A$10,B1589,mdr_rate_cleaned!$B$2:$B$10,"&lt;"&amp;C1589,mdr_rate_cleaned!$F$2:$F$10,"&gt;="&amp;C1589)</f>
        <v>1</v>
      </c>
      <c r="G1589" s="40">
        <f>SUMIFS(mdr_rate_cleaned!$G$2:$G$10,mdr_rate_cleaned!$A$2:$A$10,B1589,mdr_rate_cleaned!$B$2:$B$10,"&lt;"&amp;C1589,mdr_rate_cleaned!$F$2:$F$10,"&gt;="&amp;C1589)</f>
        <v>1.9E-2</v>
      </c>
      <c r="H1589" s="24">
        <f t="shared" si="120"/>
        <v>24.68</v>
      </c>
      <c r="I1589" s="23" t="str">
        <f t="shared" si="121"/>
        <v>Match</v>
      </c>
      <c r="J1589" s="23" t="str">
        <f t="shared" si="122"/>
        <v>Match</v>
      </c>
      <c r="K1589" s="24">
        <f t="shared" si="123"/>
        <v>4.4400000000000004</v>
      </c>
      <c r="L1589" s="24">
        <f t="shared" si="124"/>
        <v>0</v>
      </c>
    </row>
    <row r="1590" spans="1:12" ht="15" customHeight="1" x14ac:dyDescent="0.3">
      <c r="A1590" s="23" t="s">
        <v>14300</v>
      </c>
      <c r="B1590" s="23" t="s">
        <v>75</v>
      </c>
      <c r="C1590" s="39">
        <v>499</v>
      </c>
      <c r="D1590" s="24">
        <v>0</v>
      </c>
      <c r="E1590" s="24">
        <v>0</v>
      </c>
      <c r="F1590" s="23">
        <f>COUNTIFS(mdr_rate_cleaned!$A$2:$A$10,B1590,mdr_rate_cleaned!$B$2:$B$10,"&lt;"&amp;C1590,mdr_rate_cleaned!$F$2:$F$10,"&gt;="&amp;C1590)</f>
        <v>1</v>
      </c>
      <c r="G1590" s="40">
        <f>SUMIFS(mdr_rate_cleaned!$G$2:$G$10,mdr_rate_cleaned!$A$2:$A$10,B1590,mdr_rate_cleaned!$B$2:$B$10,"&lt;"&amp;C1590,mdr_rate_cleaned!$F$2:$F$10,"&gt;="&amp;C1590)</f>
        <v>0</v>
      </c>
      <c r="H1590" s="24">
        <f t="shared" si="120"/>
        <v>0</v>
      </c>
      <c r="I1590" s="23" t="str">
        <f t="shared" si="121"/>
        <v>Match</v>
      </c>
      <c r="J1590" s="23" t="str">
        <f t="shared" si="122"/>
        <v>Match</v>
      </c>
      <c r="K1590" s="24">
        <f t="shared" si="123"/>
        <v>0</v>
      </c>
      <c r="L1590" s="24">
        <f t="shared" si="124"/>
        <v>0</v>
      </c>
    </row>
    <row r="1591" spans="1:12" ht="15" customHeight="1" x14ac:dyDescent="0.3">
      <c r="A1591" s="23" t="s">
        <v>14301</v>
      </c>
      <c r="B1591" s="23" t="s">
        <v>75</v>
      </c>
      <c r="C1591" s="39">
        <v>6498</v>
      </c>
      <c r="D1591" s="24">
        <v>19.489999999999998</v>
      </c>
      <c r="E1591" s="24">
        <v>3.51</v>
      </c>
      <c r="F1591" s="23">
        <f>COUNTIFS(mdr_rate_cleaned!$A$2:$A$10,B1591,mdr_rate_cleaned!$B$2:$B$10,"&lt;"&amp;C1591,mdr_rate_cleaned!$F$2:$F$10,"&gt;="&amp;C1591)</f>
        <v>1</v>
      </c>
      <c r="G1591" s="40">
        <f>SUMIFS(mdr_rate_cleaned!$G$2:$G$10,mdr_rate_cleaned!$A$2:$A$10,B1591,mdr_rate_cleaned!$B$2:$B$10,"&lt;"&amp;C1591,mdr_rate_cleaned!$F$2:$F$10,"&gt;="&amp;C1591)</f>
        <v>3.0000000000000001E-3</v>
      </c>
      <c r="H1591" s="24">
        <f t="shared" si="120"/>
        <v>19.489999999999998</v>
      </c>
      <c r="I1591" s="23" t="str">
        <f t="shared" si="121"/>
        <v>Match</v>
      </c>
      <c r="J1591" s="23" t="str">
        <f t="shared" si="122"/>
        <v>Match</v>
      </c>
      <c r="K1591" s="24">
        <f t="shared" si="123"/>
        <v>3.51</v>
      </c>
      <c r="L1591" s="24">
        <f t="shared" si="124"/>
        <v>0</v>
      </c>
    </row>
    <row r="1592" spans="1:12" ht="15" customHeight="1" x14ac:dyDescent="0.3">
      <c r="A1592" s="23" t="s">
        <v>14302</v>
      </c>
      <c r="B1592" s="23" t="s">
        <v>75</v>
      </c>
      <c r="C1592" s="39">
        <v>1299</v>
      </c>
      <c r="D1592" s="24">
        <v>0</v>
      </c>
      <c r="E1592" s="24">
        <v>0</v>
      </c>
      <c r="F1592" s="23">
        <f>COUNTIFS(mdr_rate_cleaned!$A$2:$A$10,B1592,mdr_rate_cleaned!$B$2:$B$10,"&lt;"&amp;C1592,mdr_rate_cleaned!$F$2:$F$10,"&gt;="&amp;C1592)</f>
        <v>1</v>
      </c>
      <c r="G1592" s="40">
        <f>SUMIFS(mdr_rate_cleaned!$G$2:$G$10,mdr_rate_cleaned!$A$2:$A$10,B1592,mdr_rate_cleaned!$B$2:$B$10,"&lt;"&amp;C1592,mdr_rate_cleaned!$F$2:$F$10,"&gt;="&amp;C1592)</f>
        <v>0</v>
      </c>
      <c r="H1592" s="24">
        <f t="shared" si="120"/>
        <v>0</v>
      </c>
      <c r="I1592" s="23" t="str">
        <f t="shared" si="121"/>
        <v>Match</v>
      </c>
      <c r="J1592" s="23" t="str">
        <f t="shared" si="122"/>
        <v>Match</v>
      </c>
      <c r="K1592" s="24">
        <f t="shared" si="123"/>
        <v>0</v>
      </c>
      <c r="L1592" s="24">
        <f t="shared" si="124"/>
        <v>0</v>
      </c>
    </row>
    <row r="1593" spans="1:12" ht="15" customHeight="1" x14ac:dyDescent="0.3">
      <c r="A1593" s="23" t="s">
        <v>14303</v>
      </c>
      <c r="B1593" s="23" t="s">
        <v>75</v>
      </c>
      <c r="C1593" s="39">
        <v>799</v>
      </c>
      <c r="D1593" s="24">
        <v>0</v>
      </c>
      <c r="E1593" s="24">
        <v>0</v>
      </c>
      <c r="F1593" s="23">
        <f>COUNTIFS(mdr_rate_cleaned!$A$2:$A$10,B1593,mdr_rate_cleaned!$B$2:$B$10,"&lt;"&amp;C1593,mdr_rate_cleaned!$F$2:$F$10,"&gt;="&amp;C1593)</f>
        <v>1</v>
      </c>
      <c r="G1593" s="40">
        <f>SUMIFS(mdr_rate_cleaned!$G$2:$G$10,mdr_rate_cleaned!$A$2:$A$10,B1593,mdr_rate_cleaned!$B$2:$B$10,"&lt;"&amp;C1593,mdr_rate_cleaned!$F$2:$F$10,"&gt;="&amp;C1593)</f>
        <v>0</v>
      </c>
      <c r="H1593" s="24">
        <f t="shared" si="120"/>
        <v>0</v>
      </c>
      <c r="I1593" s="23" t="str">
        <f t="shared" si="121"/>
        <v>Match</v>
      </c>
      <c r="J1593" s="23" t="str">
        <f t="shared" si="122"/>
        <v>Match</v>
      </c>
      <c r="K1593" s="24">
        <f t="shared" si="123"/>
        <v>0</v>
      </c>
      <c r="L1593" s="24">
        <f t="shared" si="124"/>
        <v>0</v>
      </c>
    </row>
    <row r="1594" spans="1:12" ht="15" customHeight="1" x14ac:dyDescent="0.3">
      <c r="A1594" s="23" t="s">
        <v>14304</v>
      </c>
      <c r="B1594" s="23" t="s">
        <v>75</v>
      </c>
      <c r="C1594" s="39">
        <v>1598</v>
      </c>
      <c r="D1594" s="24">
        <v>0</v>
      </c>
      <c r="E1594" s="24">
        <v>0</v>
      </c>
      <c r="F1594" s="23">
        <f>COUNTIFS(mdr_rate_cleaned!$A$2:$A$10,B1594,mdr_rate_cleaned!$B$2:$B$10,"&lt;"&amp;C1594,mdr_rate_cleaned!$F$2:$F$10,"&gt;="&amp;C1594)</f>
        <v>1</v>
      </c>
      <c r="G1594" s="40">
        <f>SUMIFS(mdr_rate_cleaned!$G$2:$G$10,mdr_rate_cleaned!$A$2:$A$10,B1594,mdr_rate_cleaned!$B$2:$B$10,"&lt;"&amp;C1594,mdr_rate_cleaned!$F$2:$F$10,"&gt;="&amp;C1594)</f>
        <v>0</v>
      </c>
      <c r="H1594" s="24">
        <f t="shared" si="120"/>
        <v>0</v>
      </c>
      <c r="I1594" s="23" t="str">
        <f t="shared" si="121"/>
        <v>Match</v>
      </c>
      <c r="J1594" s="23" t="str">
        <f t="shared" si="122"/>
        <v>Match</v>
      </c>
      <c r="K1594" s="24">
        <f t="shared" si="123"/>
        <v>0</v>
      </c>
      <c r="L1594" s="24">
        <f t="shared" si="124"/>
        <v>0</v>
      </c>
    </row>
    <row r="1595" spans="1:12" ht="15" customHeight="1" x14ac:dyDescent="0.3">
      <c r="A1595" s="23" t="s">
        <v>14305</v>
      </c>
      <c r="B1595" s="23" t="s">
        <v>77</v>
      </c>
      <c r="C1595" s="39">
        <v>3298</v>
      </c>
      <c r="D1595" s="24">
        <v>56.07</v>
      </c>
      <c r="E1595" s="24">
        <v>10.09</v>
      </c>
      <c r="F1595" s="23">
        <f>COUNTIFS(mdr_rate_cleaned!$A$2:$A$10,B1595,mdr_rate_cleaned!$B$2:$B$10,"&lt;"&amp;C1595,mdr_rate_cleaned!$F$2:$F$10,"&gt;="&amp;C1595)</f>
        <v>1</v>
      </c>
      <c r="G1595" s="40">
        <f>SUMIFS(mdr_rate_cleaned!$G$2:$G$10,mdr_rate_cleaned!$A$2:$A$10,B1595,mdr_rate_cleaned!$B$2:$B$10,"&lt;"&amp;C1595,mdr_rate_cleaned!$F$2:$F$10,"&gt;="&amp;C1595)</f>
        <v>1.7000000000000001E-2</v>
      </c>
      <c r="H1595" s="24">
        <f t="shared" si="120"/>
        <v>56.07</v>
      </c>
      <c r="I1595" s="23" t="str">
        <f t="shared" si="121"/>
        <v>Match</v>
      </c>
      <c r="J1595" s="23" t="str">
        <f t="shared" si="122"/>
        <v>Match</v>
      </c>
      <c r="K1595" s="24">
        <f t="shared" si="123"/>
        <v>10.09</v>
      </c>
      <c r="L1595" s="24">
        <f t="shared" si="124"/>
        <v>0</v>
      </c>
    </row>
    <row r="1596" spans="1:12" ht="15" customHeight="1" x14ac:dyDescent="0.3">
      <c r="A1596" s="23" t="s">
        <v>14306</v>
      </c>
      <c r="B1596" s="23" t="s">
        <v>77</v>
      </c>
      <c r="C1596" s="39">
        <v>7498</v>
      </c>
      <c r="D1596" s="24">
        <v>127.47</v>
      </c>
      <c r="E1596" s="24">
        <v>22.94</v>
      </c>
      <c r="F1596" s="23">
        <f>COUNTIFS(mdr_rate_cleaned!$A$2:$A$10,B1596,mdr_rate_cleaned!$B$2:$B$10,"&lt;"&amp;C1596,mdr_rate_cleaned!$F$2:$F$10,"&gt;="&amp;C1596)</f>
        <v>1</v>
      </c>
      <c r="G1596" s="40">
        <f>SUMIFS(mdr_rate_cleaned!$G$2:$G$10,mdr_rate_cleaned!$A$2:$A$10,B1596,mdr_rate_cleaned!$B$2:$B$10,"&lt;"&amp;C1596,mdr_rate_cleaned!$F$2:$F$10,"&gt;="&amp;C1596)</f>
        <v>1.7000000000000001E-2</v>
      </c>
      <c r="H1596" s="24">
        <f t="shared" si="120"/>
        <v>127.47</v>
      </c>
      <c r="I1596" s="23" t="str">
        <f t="shared" si="121"/>
        <v>Match</v>
      </c>
      <c r="J1596" s="23" t="str">
        <f t="shared" si="122"/>
        <v>Match</v>
      </c>
      <c r="K1596" s="24">
        <f t="shared" si="123"/>
        <v>22.94</v>
      </c>
      <c r="L1596" s="24">
        <f t="shared" si="124"/>
        <v>0</v>
      </c>
    </row>
    <row r="1597" spans="1:12" ht="15" customHeight="1" x14ac:dyDescent="0.3">
      <c r="A1597" s="23" t="s">
        <v>14307</v>
      </c>
      <c r="B1597" s="23" t="s">
        <v>75</v>
      </c>
      <c r="C1597" s="39">
        <v>3499</v>
      </c>
      <c r="D1597" s="24">
        <v>10.5</v>
      </c>
      <c r="E1597" s="24">
        <v>1.89</v>
      </c>
      <c r="F1597" s="23">
        <f>COUNTIFS(mdr_rate_cleaned!$A$2:$A$10,B1597,mdr_rate_cleaned!$B$2:$B$10,"&lt;"&amp;C1597,mdr_rate_cleaned!$F$2:$F$10,"&gt;="&amp;C1597)</f>
        <v>1</v>
      </c>
      <c r="G1597" s="40">
        <f>SUMIFS(mdr_rate_cleaned!$G$2:$G$10,mdr_rate_cleaned!$A$2:$A$10,B1597,mdr_rate_cleaned!$B$2:$B$10,"&lt;"&amp;C1597,mdr_rate_cleaned!$F$2:$F$10,"&gt;="&amp;C1597)</f>
        <v>3.0000000000000001E-3</v>
      </c>
      <c r="H1597" s="24">
        <f t="shared" si="120"/>
        <v>10.5</v>
      </c>
      <c r="I1597" s="23" t="str">
        <f t="shared" si="121"/>
        <v>Match</v>
      </c>
      <c r="J1597" s="23" t="str">
        <f t="shared" si="122"/>
        <v>Match</v>
      </c>
      <c r="K1597" s="24">
        <f t="shared" si="123"/>
        <v>1.89</v>
      </c>
      <c r="L1597" s="24">
        <f t="shared" si="124"/>
        <v>0</v>
      </c>
    </row>
    <row r="1598" spans="1:12" ht="15" customHeight="1" x14ac:dyDescent="0.3">
      <c r="A1598" s="23" t="s">
        <v>14309</v>
      </c>
      <c r="B1598" s="23" t="s">
        <v>79</v>
      </c>
      <c r="C1598" s="39">
        <v>8298</v>
      </c>
      <c r="D1598" s="24">
        <v>132.77000000000001</v>
      </c>
      <c r="E1598" s="24">
        <v>23.9</v>
      </c>
      <c r="F1598" s="23">
        <f>COUNTIFS(mdr_rate_cleaned!$A$2:$A$10,B1598,mdr_rate_cleaned!$B$2:$B$10,"&lt;"&amp;C1598,mdr_rate_cleaned!$F$2:$F$10,"&gt;="&amp;C1598)</f>
        <v>1</v>
      </c>
      <c r="G1598" s="40">
        <f>SUMIFS(mdr_rate_cleaned!$G$2:$G$10,mdr_rate_cleaned!$A$2:$A$10,B1598,mdr_rate_cleaned!$B$2:$B$10,"&lt;"&amp;C1598,mdr_rate_cleaned!$F$2:$F$10,"&gt;="&amp;C1598)</f>
        <v>1.6E-2</v>
      </c>
      <c r="H1598" s="24">
        <f t="shared" si="120"/>
        <v>132.77000000000001</v>
      </c>
      <c r="I1598" s="23" t="str">
        <f t="shared" si="121"/>
        <v>Match</v>
      </c>
      <c r="J1598" s="23" t="str">
        <f t="shared" si="122"/>
        <v>Match</v>
      </c>
      <c r="K1598" s="24">
        <f t="shared" si="123"/>
        <v>23.9</v>
      </c>
      <c r="L1598" s="24">
        <f t="shared" si="124"/>
        <v>0</v>
      </c>
    </row>
    <row r="1599" spans="1:12" ht="15" customHeight="1" x14ac:dyDescent="0.3">
      <c r="A1599" s="23" t="s">
        <v>14311</v>
      </c>
      <c r="B1599" s="23" t="s">
        <v>75</v>
      </c>
      <c r="C1599" s="39">
        <v>9797</v>
      </c>
      <c r="D1599" s="24">
        <v>29.39</v>
      </c>
      <c r="E1599" s="24">
        <v>5.29</v>
      </c>
      <c r="F1599" s="23">
        <f>COUNTIFS(mdr_rate_cleaned!$A$2:$A$10,B1599,mdr_rate_cleaned!$B$2:$B$10,"&lt;"&amp;C1599,mdr_rate_cleaned!$F$2:$F$10,"&gt;="&amp;C1599)</f>
        <v>1</v>
      </c>
      <c r="G1599" s="40">
        <f>SUMIFS(mdr_rate_cleaned!$G$2:$G$10,mdr_rate_cleaned!$A$2:$A$10,B1599,mdr_rate_cleaned!$B$2:$B$10,"&lt;"&amp;C1599,mdr_rate_cleaned!$F$2:$F$10,"&gt;="&amp;C1599)</f>
        <v>3.0000000000000001E-3</v>
      </c>
      <c r="H1599" s="24">
        <f t="shared" si="120"/>
        <v>29.39</v>
      </c>
      <c r="I1599" s="23" t="str">
        <f t="shared" si="121"/>
        <v>Match</v>
      </c>
      <c r="J1599" s="23" t="str">
        <f t="shared" si="122"/>
        <v>Match</v>
      </c>
      <c r="K1599" s="24">
        <f t="shared" si="123"/>
        <v>5.29</v>
      </c>
      <c r="L1599" s="24">
        <f t="shared" si="124"/>
        <v>0</v>
      </c>
    </row>
    <row r="1600" spans="1:12" ht="15" customHeight="1" x14ac:dyDescent="0.3">
      <c r="A1600" s="23" t="s">
        <v>14312</v>
      </c>
      <c r="B1600" s="23" t="s">
        <v>75</v>
      </c>
      <c r="C1600" s="39">
        <v>898</v>
      </c>
      <c r="D1600" s="24">
        <v>0</v>
      </c>
      <c r="E1600" s="24">
        <v>0</v>
      </c>
      <c r="F1600" s="23">
        <f>COUNTIFS(mdr_rate_cleaned!$A$2:$A$10,B1600,mdr_rate_cleaned!$B$2:$B$10,"&lt;"&amp;C1600,mdr_rate_cleaned!$F$2:$F$10,"&gt;="&amp;C1600)</f>
        <v>1</v>
      </c>
      <c r="G1600" s="40">
        <f>SUMIFS(mdr_rate_cleaned!$G$2:$G$10,mdr_rate_cleaned!$A$2:$A$10,B1600,mdr_rate_cleaned!$B$2:$B$10,"&lt;"&amp;C1600,mdr_rate_cleaned!$F$2:$F$10,"&gt;="&amp;C1600)</f>
        <v>0</v>
      </c>
      <c r="H1600" s="24">
        <f t="shared" si="120"/>
        <v>0</v>
      </c>
      <c r="I1600" s="23" t="str">
        <f t="shared" si="121"/>
        <v>Match</v>
      </c>
      <c r="J1600" s="23" t="str">
        <f t="shared" si="122"/>
        <v>Match</v>
      </c>
      <c r="K1600" s="24">
        <f t="shared" si="123"/>
        <v>0</v>
      </c>
      <c r="L1600" s="24">
        <f t="shared" si="124"/>
        <v>0</v>
      </c>
    </row>
    <row r="1601" spans="1:12" ht="15" customHeight="1" x14ac:dyDescent="0.3">
      <c r="A1601" s="23" t="s">
        <v>14313</v>
      </c>
      <c r="B1601" s="23" t="s">
        <v>75</v>
      </c>
      <c r="C1601" s="39">
        <v>1499</v>
      </c>
      <c r="D1601" s="24">
        <v>0</v>
      </c>
      <c r="E1601" s="24">
        <v>0</v>
      </c>
      <c r="F1601" s="23">
        <f>COUNTIFS(mdr_rate_cleaned!$A$2:$A$10,B1601,mdr_rate_cleaned!$B$2:$B$10,"&lt;"&amp;C1601,mdr_rate_cleaned!$F$2:$F$10,"&gt;="&amp;C1601)</f>
        <v>1</v>
      </c>
      <c r="G1601" s="40">
        <f>SUMIFS(mdr_rate_cleaned!$G$2:$G$10,mdr_rate_cleaned!$A$2:$A$10,B1601,mdr_rate_cleaned!$B$2:$B$10,"&lt;"&amp;C1601,mdr_rate_cleaned!$F$2:$F$10,"&gt;="&amp;C1601)</f>
        <v>0</v>
      </c>
      <c r="H1601" s="24">
        <f t="shared" si="120"/>
        <v>0</v>
      </c>
      <c r="I1601" s="23" t="str">
        <f t="shared" si="121"/>
        <v>Match</v>
      </c>
      <c r="J1601" s="23" t="str">
        <f t="shared" si="122"/>
        <v>Match</v>
      </c>
      <c r="K1601" s="24">
        <f t="shared" si="123"/>
        <v>0</v>
      </c>
      <c r="L1601" s="24">
        <f t="shared" si="124"/>
        <v>0</v>
      </c>
    </row>
    <row r="1602" spans="1:12" ht="15" customHeight="1" x14ac:dyDescent="0.3">
      <c r="A1602" s="23" t="s">
        <v>14314</v>
      </c>
      <c r="B1602" s="23" t="s">
        <v>81</v>
      </c>
      <c r="C1602" s="39">
        <v>10498</v>
      </c>
      <c r="D1602" s="24">
        <v>94.48</v>
      </c>
      <c r="E1602" s="24">
        <v>17.010000000000002</v>
      </c>
      <c r="F1602" s="23">
        <f>COUNTIFS(mdr_rate_cleaned!$A$2:$A$10,B1602,mdr_rate_cleaned!$B$2:$B$10,"&lt;"&amp;C1602,mdr_rate_cleaned!$F$2:$F$10,"&gt;="&amp;C1602)</f>
        <v>1</v>
      </c>
      <c r="G1602" s="40">
        <f>SUMIFS(mdr_rate_cleaned!$G$2:$G$10,mdr_rate_cleaned!$A$2:$A$10,B1602,mdr_rate_cleaned!$B$2:$B$10,"&lt;"&amp;C1602,mdr_rate_cleaned!$F$2:$F$10,"&gt;="&amp;C1602)</f>
        <v>9.0000000000000011E-3</v>
      </c>
      <c r="H1602" s="24">
        <f t="shared" ref="H1602:H1665" si="125">ROUND(C1602*G1602,2)</f>
        <v>94.48</v>
      </c>
      <c r="I1602" s="23" t="str">
        <f t="shared" ref="I1602:I1665" si="126">IF(ROUND(D1602-H1602,2)=0,"Match","Differs")</f>
        <v>Match</v>
      </c>
      <c r="J1602" s="23" t="str">
        <f t="shared" ref="J1602:J1665" si="127">IF(ROUND(E1602-ROUND(D1602*0.18,2),2)=0,"Match","Differs")</f>
        <v>Match</v>
      </c>
      <c r="K1602" s="24">
        <f t="shared" ref="K1602:K1665" si="128">ROUND(H1602*0.18,2)</f>
        <v>17.010000000000002</v>
      </c>
      <c r="L1602" s="24">
        <f t="shared" ref="L1602:L1665" si="129">ROUND(D1602+E1602-H1602-K1602,2)</f>
        <v>0</v>
      </c>
    </row>
    <row r="1603" spans="1:12" ht="15" customHeight="1" x14ac:dyDescent="0.3">
      <c r="A1603" s="23" t="s">
        <v>14316</v>
      </c>
      <c r="B1603" s="23" t="s">
        <v>75</v>
      </c>
      <c r="C1603" s="39">
        <v>6298</v>
      </c>
      <c r="D1603" s="24">
        <v>18.89</v>
      </c>
      <c r="E1603" s="24">
        <v>3.4</v>
      </c>
      <c r="F1603" s="23">
        <f>COUNTIFS(mdr_rate_cleaned!$A$2:$A$10,B1603,mdr_rate_cleaned!$B$2:$B$10,"&lt;"&amp;C1603,mdr_rate_cleaned!$F$2:$F$10,"&gt;="&amp;C1603)</f>
        <v>1</v>
      </c>
      <c r="G1603" s="40">
        <f>SUMIFS(mdr_rate_cleaned!$G$2:$G$10,mdr_rate_cleaned!$A$2:$A$10,B1603,mdr_rate_cleaned!$B$2:$B$10,"&lt;"&amp;C1603,mdr_rate_cleaned!$F$2:$F$10,"&gt;="&amp;C1603)</f>
        <v>3.0000000000000001E-3</v>
      </c>
      <c r="H1603" s="24">
        <f t="shared" si="125"/>
        <v>18.89</v>
      </c>
      <c r="I1603" s="23" t="str">
        <f t="shared" si="126"/>
        <v>Match</v>
      </c>
      <c r="J1603" s="23" t="str">
        <f t="shared" si="127"/>
        <v>Match</v>
      </c>
      <c r="K1603" s="24">
        <f t="shared" si="128"/>
        <v>3.4</v>
      </c>
      <c r="L1603" s="24">
        <f t="shared" si="129"/>
        <v>0</v>
      </c>
    </row>
    <row r="1604" spans="1:12" ht="15" customHeight="1" x14ac:dyDescent="0.3">
      <c r="A1604" s="23" t="s">
        <v>14317</v>
      </c>
      <c r="B1604" s="23" t="s">
        <v>75</v>
      </c>
      <c r="C1604" s="39">
        <v>1499</v>
      </c>
      <c r="D1604" s="24">
        <v>0</v>
      </c>
      <c r="E1604" s="24">
        <v>0</v>
      </c>
      <c r="F1604" s="23">
        <f>COUNTIFS(mdr_rate_cleaned!$A$2:$A$10,B1604,mdr_rate_cleaned!$B$2:$B$10,"&lt;"&amp;C1604,mdr_rate_cleaned!$F$2:$F$10,"&gt;="&amp;C1604)</f>
        <v>1</v>
      </c>
      <c r="G1604" s="40">
        <f>SUMIFS(mdr_rate_cleaned!$G$2:$G$10,mdr_rate_cleaned!$A$2:$A$10,B1604,mdr_rate_cleaned!$B$2:$B$10,"&lt;"&amp;C1604,mdr_rate_cleaned!$F$2:$F$10,"&gt;="&amp;C1604)</f>
        <v>0</v>
      </c>
      <c r="H1604" s="24">
        <f t="shared" si="125"/>
        <v>0</v>
      </c>
      <c r="I1604" s="23" t="str">
        <f t="shared" si="126"/>
        <v>Match</v>
      </c>
      <c r="J1604" s="23" t="str">
        <f t="shared" si="127"/>
        <v>Match</v>
      </c>
      <c r="K1604" s="24">
        <f t="shared" si="128"/>
        <v>0</v>
      </c>
      <c r="L1604" s="24">
        <f t="shared" si="129"/>
        <v>0</v>
      </c>
    </row>
    <row r="1605" spans="1:12" ht="15" customHeight="1" x14ac:dyDescent="0.3">
      <c r="A1605" s="23" t="s">
        <v>14318</v>
      </c>
      <c r="B1605" s="23" t="s">
        <v>75</v>
      </c>
      <c r="C1605" s="39">
        <v>1499</v>
      </c>
      <c r="D1605" s="24">
        <v>0</v>
      </c>
      <c r="E1605" s="24">
        <v>0</v>
      </c>
      <c r="F1605" s="23">
        <f>COUNTIFS(mdr_rate_cleaned!$A$2:$A$10,B1605,mdr_rate_cleaned!$B$2:$B$10,"&lt;"&amp;C1605,mdr_rate_cleaned!$F$2:$F$10,"&gt;="&amp;C1605)</f>
        <v>1</v>
      </c>
      <c r="G1605" s="40">
        <f>SUMIFS(mdr_rate_cleaned!$G$2:$G$10,mdr_rate_cleaned!$A$2:$A$10,B1605,mdr_rate_cleaned!$B$2:$B$10,"&lt;"&amp;C1605,mdr_rate_cleaned!$F$2:$F$10,"&gt;="&amp;C1605)</f>
        <v>0</v>
      </c>
      <c r="H1605" s="24">
        <f t="shared" si="125"/>
        <v>0</v>
      </c>
      <c r="I1605" s="23" t="str">
        <f t="shared" si="126"/>
        <v>Match</v>
      </c>
      <c r="J1605" s="23" t="str">
        <f t="shared" si="127"/>
        <v>Match</v>
      </c>
      <c r="K1605" s="24">
        <f t="shared" si="128"/>
        <v>0</v>
      </c>
      <c r="L1605" s="24">
        <f t="shared" si="129"/>
        <v>0</v>
      </c>
    </row>
    <row r="1606" spans="1:12" ht="15" customHeight="1" x14ac:dyDescent="0.3">
      <c r="A1606" s="23" t="s">
        <v>14319</v>
      </c>
      <c r="B1606" s="23" t="s">
        <v>75</v>
      </c>
      <c r="C1606" s="39">
        <v>1848</v>
      </c>
      <c r="D1606" s="24">
        <v>0</v>
      </c>
      <c r="E1606" s="24">
        <v>0</v>
      </c>
      <c r="F1606" s="23">
        <f>COUNTIFS(mdr_rate_cleaned!$A$2:$A$10,B1606,mdr_rate_cleaned!$B$2:$B$10,"&lt;"&amp;C1606,mdr_rate_cleaned!$F$2:$F$10,"&gt;="&amp;C1606)</f>
        <v>1</v>
      </c>
      <c r="G1606" s="40">
        <f>SUMIFS(mdr_rate_cleaned!$G$2:$G$10,mdr_rate_cleaned!$A$2:$A$10,B1606,mdr_rate_cleaned!$B$2:$B$10,"&lt;"&amp;C1606,mdr_rate_cleaned!$F$2:$F$10,"&gt;="&amp;C1606)</f>
        <v>0</v>
      </c>
      <c r="H1606" s="24">
        <f t="shared" si="125"/>
        <v>0</v>
      </c>
      <c r="I1606" s="23" t="str">
        <f t="shared" si="126"/>
        <v>Match</v>
      </c>
      <c r="J1606" s="23" t="str">
        <f t="shared" si="127"/>
        <v>Match</v>
      </c>
      <c r="K1606" s="24">
        <f t="shared" si="128"/>
        <v>0</v>
      </c>
      <c r="L1606" s="24">
        <f t="shared" si="129"/>
        <v>0</v>
      </c>
    </row>
    <row r="1607" spans="1:12" ht="15" customHeight="1" x14ac:dyDescent="0.3">
      <c r="A1607" s="23" t="s">
        <v>14320</v>
      </c>
      <c r="B1607" s="23" t="s">
        <v>77</v>
      </c>
      <c r="C1607" s="39">
        <v>599</v>
      </c>
      <c r="D1607" s="24">
        <v>11.38</v>
      </c>
      <c r="E1607" s="24">
        <v>2.0499999999999998</v>
      </c>
      <c r="F1607" s="23">
        <f>COUNTIFS(mdr_rate_cleaned!$A$2:$A$10,B1607,mdr_rate_cleaned!$B$2:$B$10,"&lt;"&amp;C1607,mdr_rate_cleaned!$F$2:$F$10,"&gt;="&amp;C1607)</f>
        <v>1</v>
      </c>
      <c r="G1607" s="40">
        <f>SUMIFS(mdr_rate_cleaned!$G$2:$G$10,mdr_rate_cleaned!$A$2:$A$10,B1607,mdr_rate_cleaned!$B$2:$B$10,"&lt;"&amp;C1607,mdr_rate_cleaned!$F$2:$F$10,"&gt;="&amp;C1607)</f>
        <v>1.9E-2</v>
      </c>
      <c r="H1607" s="24">
        <f t="shared" si="125"/>
        <v>11.38</v>
      </c>
      <c r="I1607" s="23" t="str">
        <f t="shared" si="126"/>
        <v>Match</v>
      </c>
      <c r="J1607" s="23" t="str">
        <f t="shared" si="127"/>
        <v>Match</v>
      </c>
      <c r="K1607" s="24">
        <f t="shared" si="128"/>
        <v>2.0499999999999998</v>
      </c>
      <c r="L1607" s="24">
        <f t="shared" si="129"/>
        <v>0</v>
      </c>
    </row>
    <row r="1608" spans="1:12" ht="15" customHeight="1" x14ac:dyDescent="0.3">
      <c r="A1608" s="23" t="s">
        <v>14321</v>
      </c>
      <c r="B1608" s="23" t="s">
        <v>79</v>
      </c>
      <c r="C1608" s="39">
        <v>4297</v>
      </c>
      <c r="D1608" s="24">
        <v>68.75</v>
      </c>
      <c r="E1608" s="24">
        <v>12.38</v>
      </c>
      <c r="F1608" s="23">
        <f>COUNTIFS(mdr_rate_cleaned!$A$2:$A$10,B1608,mdr_rate_cleaned!$B$2:$B$10,"&lt;"&amp;C1608,mdr_rate_cleaned!$F$2:$F$10,"&gt;="&amp;C1608)</f>
        <v>1</v>
      </c>
      <c r="G1608" s="40">
        <f>SUMIFS(mdr_rate_cleaned!$G$2:$G$10,mdr_rate_cleaned!$A$2:$A$10,B1608,mdr_rate_cleaned!$B$2:$B$10,"&lt;"&amp;C1608,mdr_rate_cleaned!$F$2:$F$10,"&gt;="&amp;C1608)</f>
        <v>1.6E-2</v>
      </c>
      <c r="H1608" s="24">
        <f t="shared" si="125"/>
        <v>68.75</v>
      </c>
      <c r="I1608" s="23" t="str">
        <f t="shared" si="126"/>
        <v>Match</v>
      </c>
      <c r="J1608" s="23" t="str">
        <f t="shared" si="127"/>
        <v>Match</v>
      </c>
      <c r="K1608" s="24">
        <f t="shared" si="128"/>
        <v>12.38</v>
      </c>
      <c r="L1608" s="24">
        <f t="shared" si="129"/>
        <v>0</v>
      </c>
    </row>
    <row r="1609" spans="1:12" ht="15" customHeight="1" x14ac:dyDescent="0.3">
      <c r="A1609" s="23" t="s">
        <v>14323</v>
      </c>
      <c r="B1609" s="23" t="s">
        <v>79</v>
      </c>
      <c r="C1609" s="39">
        <v>4999</v>
      </c>
      <c r="D1609" s="24">
        <v>79.98</v>
      </c>
      <c r="E1609" s="24">
        <v>14.4</v>
      </c>
      <c r="F1609" s="23">
        <f>COUNTIFS(mdr_rate_cleaned!$A$2:$A$10,B1609,mdr_rate_cleaned!$B$2:$B$10,"&lt;"&amp;C1609,mdr_rate_cleaned!$F$2:$F$10,"&gt;="&amp;C1609)</f>
        <v>1</v>
      </c>
      <c r="G1609" s="40">
        <f>SUMIFS(mdr_rate_cleaned!$G$2:$G$10,mdr_rate_cleaned!$A$2:$A$10,B1609,mdr_rate_cleaned!$B$2:$B$10,"&lt;"&amp;C1609,mdr_rate_cleaned!$F$2:$F$10,"&gt;="&amp;C1609)</f>
        <v>1.6E-2</v>
      </c>
      <c r="H1609" s="24">
        <f t="shared" si="125"/>
        <v>79.98</v>
      </c>
      <c r="I1609" s="23" t="str">
        <f t="shared" si="126"/>
        <v>Match</v>
      </c>
      <c r="J1609" s="23" t="str">
        <f t="shared" si="127"/>
        <v>Match</v>
      </c>
      <c r="K1609" s="24">
        <f t="shared" si="128"/>
        <v>14.4</v>
      </c>
      <c r="L1609" s="24">
        <f t="shared" si="129"/>
        <v>0</v>
      </c>
    </row>
    <row r="1610" spans="1:12" ht="15" customHeight="1" x14ac:dyDescent="0.3">
      <c r="A1610" s="23" t="s">
        <v>14324</v>
      </c>
      <c r="B1610" s="23" t="s">
        <v>75</v>
      </c>
      <c r="C1610" s="39">
        <v>4798</v>
      </c>
      <c r="D1610" s="24">
        <v>14.39</v>
      </c>
      <c r="E1610" s="24">
        <v>2.59</v>
      </c>
      <c r="F1610" s="23">
        <f>COUNTIFS(mdr_rate_cleaned!$A$2:$A$10,B1610,mdr_rate_cleaned!$B$2:$B$10,"&lt;"&amp;C1610,mdr_rate_cleaned!$F$2:$F$10,"&gt;="&amp;C1610)</f>
        <v>1</v>
      </c>
      <c r="G1610" s="40">
        <f>SUMIFS(mdr_rate_cleaned!$G$2:$G$10,mdr_rate_cleaned!$A$2:$A$10,B1610,mdr_rate_cleaned!$B$2:$B$10,"&lt;"&amp;C1610,mdr_rate_cleaned!$F$2:$F$10,"&gt;="&amp;C1610)</f>
        <v>3.0000000000000001E-3</v>
      </c>
      <c r="H1610" s="24">
        <f t="shared" si="125"/>
        <v>14.39</v>
      </c>
      <c r="I1610" s="23" t="str">
        <f t="shared" si="126"/>
        <v>Match</v>
      </c>
      <c r="J1610" s="23" t="str">
        <f t="shared" si="127"/>
        <v>Match</v>
      </c>
      <c r="K1610" s="24">
        <f t="shared" si="128"/>
        <v>2.59</v>
      </c>
      <c r="L1610" s="24">
        <f t="shared" si="129"/>
        <v>0</v>
      </c>
    </row>
    <row r="1611" spans="1:12" ht="15" customHeight="1" x14ac:dyDescent="0.3">
      <c r="A1611" s="23" t="s">
        <v>14325</v>
      </c>
      <c r="B1611" s="23" t="s">
        <v>81</v>
      </c>
      <c r="C1611" s="39">
        <v>599</v>
      </c>
      <c r="D1611" s="24">
        <v>8.99</v>
      </c>
      <c r="E1611" s="24">
        <v>1.62</v>
      </c>
      <c r="F1611" s="23">
        <f>COUNTIFS(mdr_rate_cleaned!$A$2:$A$10,B1611,mdr_rate_cleaned!$B$2:$B$10,"&lt;"&amp;C1611,mdr_rate_cleaned!$F$2:$F$10,"&gt;="&amp;C1611)</f>
        <v>1</v>
      </c>
      <c r="G1611" s="40">
        <f>SUMIFS(mdr_rate_cleaned!$G$2:$G$10,mdr_rate_cleaned!$A$2:$A$10,B1611,mdr_rate_cleaned!$B$2:$B$10,"&lt;"&amp;C1611,mdr_rate_cleaned!$F$2:$F$10,"&gt;="&amp;C1611)</f>
        <v>1.4999999999999999E-2</v>
      </c>
      <c r="H1611" s="24">
        <f t="shared" si="125"/>
        <v>8.99</v>
      </c>
      <c r="I1611" s="23" t="str">
        <f t="shared" si="126"/>
        <v>Match</v>
      </c>
      <c r="J1611" s="23" t="str">
        <f t="shared" si="127"/>
        <v>Match</v>
      </c>
      <c r="K1611" s="24">
        <f t="shared" si="128"/>
        <v>1.62</v>
      </c>
      <c r="L1611" s="24">
        <f t="shared" si="129"/>
        <v>0</v>
      </c>
    </row>
    <row r="1612" spans="1:12" ht="15" customHeight="1" x14ac:dyDescent="0.3">
      <c r="A1612" s="23" t="s">
        <v>14326</v>
      </c>
      <c r="B1612" s="23" t="s">
        <v>75</v>
      </c>
      <c r="C1612" s="39">
        <v>3499</v>
      </c>
      <c r="D1612" s="24">
        <v>10.5</v>
      </c>
      <c r="E1612" s="24">
        <v>1.89</v>
      </c>
      <c r="F1612" s="23">
        <f>COUNTIFS(mdr_rate_cleaned!$A$2:$A$10,B1612,mdr_rate_cleaned!$B$2:$B$10,"&lt;"&amp;C1612,mdr_rate_cleaned!$F$2:$F$10,"&gt;="&amp;C1612)</f>
        <v>1</v>
      </c>
      <c r="G1612" s="40">
        <f>SUMIFS(mdr_rate_cleaned!$G$2:$G$10,mdr_rate_cleaned!$A$2:$A$10,B1612,mdr_rate_cleaned!$B$2:$B$10,"&lt;"&amp;C1612,mdr_rate_cleaned!$F$2:$F$10,"&gt;="&amp;C1612)</f>
        <v>3.0000000000000001E-3</v>
      </c>
      <c r="H1612" s="24">
        <f t="shared" si="125"/>
        <v>10.5</v>
      </c>
      <c r="I1612" s="23" t="str">
        <f t="shared" si="126"/>
        <v>Match</v>
      </c>
      <c r="J1612" s="23" t="str">
        <f t="shared" si="127"/>
        <v>Match</v>
      </c>
      <c r="K1612" s="24">
        <f t="shared" si="128"/>
        <v>1.89</v>
      </c>
      <c r="L1612" s="24">
        <f t="shared" si="129"/>
        <v>0</v>
      </c>
    </row>
    <row r="1613" spans="1:12" ht="15" customHeight="1" x14ac:dyDescent="0.3">
      <c r="A1613" s="23" t="s">
        <v>14327</v>
      </c>
      <c r="B1613" s="23" t="s">
        <v>79</v>
      </c>
      <c r="C1613" s="39">
        <v>799</v>
      </c>
      <c r="D1613" s="24">
        <v>14.38</v>
      </c>
      <c r="E1613" s="24">
        <v>2.59</v>
      </c>
      <c r="F1613" s="23">
        <f>COUNTIFS(mdr_rate_cleaned!$A$2:$A$10,B1613,mdr_rate_cleaned!$B$2:$B$10,"&lt;"&amp;C1613,mdr_rate_cleaned!$F$2:$F$10,"&gt;="&amp;C1613)</f>
        <v>1</v>
      </c>
      <c r="G1613" s="40">
        <f>SUMIFS(mdr_rate_cleaned!$G$2:$G$10,mdr_rate_cleaned!$A$2:$A$10,B1613,mdr_rate_cleaned!$B$2:$B$10,"&lt;"&amp;C1613,mdr_rate_cleaned!$F$2:$F$10,"&gt;="&amp;C1613)</f>
        <v>1.8000000000000002E-2</v>
      </c>
      <c r="H1613" s="24">
        <f t="shared" si="125"/>
        <v>14.38</v>
      </c>
      <c r="I1613" s="23" t="str">
        <f t="shared" si="126"/>
        <v>Match</v>
      </c>
      <c r="J1613" s="23" t="str">
        <f t="shared" si="127"/>
        <v>Match</v>
      </c>
      <c r="K1613" s="24">
        <f t="shared" si="128"/>
        <v>2.59</v>
      </c>
      <c r="L1613" s="24">
        <f t="shared" si="129"/>
        <v>0</v>
      </c>
    </row>
    <row r="1614" spans="1:12" ht="15" customHeight="1" x14ac:dyDescent="0.3">
      <c r="A1614" s="23" t="s">
        <v>14328</v>
      </c>
      <c r="B1614" s="23" t="s">
        <v>79</v>
      </c>
      <c r="C1614" s="39">
        <v>499</v>
      </c>
      <c r="D1614" s="24">
        <v>8.98</v>
      </c>
      <c r="E1614" s="24">
        <v>1.62</v>
      </c>
      <c r="F1614" s="23">
        <f>COUNTIFS(mdr_rate_cleaned!$A$2:$A$10,B1614,mdr_rate_cleaned!$B$2:$B$10,"&lt;"&amp;C1614,mdr_rate_cleaned!$F$2:$F$10,"&gt;="&amp;C1614)</f>
        <v>1</v>
      </c>
      <c r="G1614" s="40">
        <f>SUMIFS(mdr_rate_cleaned!$G$2:$G$10,mdr_rate_cleaned!$A$2:$A$10,B1614,mdr_rate_cleaned!$B$2:$B$10,"&lt;"&amp;C1614,mdr_rate_cleaned!$F$2:$F$10,"&gt;="&amp;C1614)</f>
        <v>1.8000000000000002E-2</v>
      </c>
      <c r="H1614" s="24">
        <f t="shared" si="125"/>
        <v>8.98</v>
      </c>
      <c r="I1614" s="23" t="str">
        <f t="shared" si="126"/>
        <v>Match</v>
      </c>
      <c r="J1614" s="23" t="str">
        <f t="shared" si="127"/>
        <v>Match</v>
      </c>
      <c r="K1614" s="24">
        <f t="shared" si="128"/>
        <v>1.62</v>
      </c>
      <c r="L1614" s="24">
        <f t="shared" si="129"/>
        <v>0</v>
      </c>
    </row>
    <row r="1615" spans="1:12" ht="15" customHeight="1" x14ac:dyDescent="0.3">
      <c r="A1615" s="23" t="s">
        <v>14329</v>
      </c>
      <c r="B1615" s="23" t="s">
        <v>77</v>
      </c>
      <c r="C1615" s="39">
        <v>599</v>
      </c>
      <c r="D1615" s="24">
        <v>11.38</v>
      </c>
      <c r="E1615" s="24">
        <v>2.0499999999999998</v>
      </c>
      <c r="F1615" s="23">
        <f>COUNTIFS(mdr_rate_cleaned!$A$2:$A$10,B1615,mdr_rate_cleaned!$B$2:$B$10,"&lt;"&amp;C1615,mdr_rate_cleaned!$F$2:$F$10,"&gt;="&amp;C1615)</f>
        <v>1</v>
      </c>
      <c r="G1615" s="40">
        <f>SUMIFS(mdr_rate_cleaned!$G$2:$G$10,mdr_rate_cleaned!$A$2:$A$10,B1615,mdr_rate_cleaned!$B$2:$B$10,"&lt;"&amp;C1615,mdr_rate_cleaned!$F$2:$F$10,"&gt;="&amp;C1615)</f>
        <v>1.9E-2</v>
      </c>
      <c r="H1615" s="24">
        <f t="shared" si="125"/>
        <v>11.38</v>
      </c>
      <c r="I1615" s="23" t="str">
        <f t="shared" si="126"/>
        <v>Match</v>
      </c>
      <c r="J1615" s="23" t="str">
        <f t="shared" si="127"/>
        <v>Match</v>
      </c>
      <c r="K1615" s="24">
        <f t="shared" si="128"/>
        <v>2.0499999999999998</v>
      </c>
      <c r="L1615" s="24">
        <f t="shared" si="129"/>
        <v>0</v>
      </c>
    </row>
    <row r="1616" spans="1:12" ht="15" customHeight="1" x14ac:dyDescent="0.3">
      <c r="A1616" s="23" t="s">
        <v>14330</v>
      </c>
      <c r="B1616" s="23" t="s">
        <v>81</v>
      </c>
      <c r="C1616" s="39">
        <v>599</v>
      </c>
      <c r="D1616" s="24">
        <v>8.99</v>
      </c>
      <c r="E1616" s="24">
        <v>1.62</v>
      </c>
      <c r="F1616" s="23">
        <f>COUNTIFS(mdr_rate_cleaned!$A$2:$A$10,B1616,mdr_rate_cleaned!$B$2:$B$10,"&lt;"&amp;C1616,mdr_rate_cleaned!$F$2:$F$10,"&gt;="&amp;C1616)</f>
        <v>1</v>
      </c>
      <c r="G1616" s="40">
        <f>SUMIFS(mdr_rate_cleaned!$G$2:$G$10,mdr_rate_cleaned!$A$2:$A$10,B1616,mdr_rate_cleaned!$B$2:$B$10,"&lt;"&amp;C1616,mdr_rate_cleaned!$F$2:$F$10,"&gt;="&amp;C1616)</f>
        <v>1.4999999999999999E-2</v>
      </c>
      <c r="H1616" s="24">
        <f t="shared" si="125"/>
        <v>8.99</v>
      </c>
      <c r="I1616" s="23" t="str">
        <f t="shared" si="126"/>
        <v>Match</v>
      </c>
      <c r="J1616" s="23" t="str">
        <f t="shared" si="127"/>
        <v>Match</v>
      </c>
      <c r="K1616" s="24">
        <f t="shared" si="128"/>
        <v>1.62</v>
      </c>
      <c r="L1616" s="24">
        <f t="shared" si="129"/>
        <v>0</v>
      </c>
    </row>
    <row r="1617" spans="1:12" ht="15" customHeight="1" x14ac:dyDescent="0.3">
      <c r="A1617" s="23" t="s">
        <v>14331</v>
      </c>
      <c r="B1617" s="23" t="s">
        <v>79</v>
      </c>
      <c r="C1617" s="39">
        <v>2497</v>
      </c>
      <c r="D1617" s="24">
        <v>39.950000000000003</v>
      </c>
      <c r="E1617" s="24">
        <v>7.19</v>
      </c>
      <c r="F1617" s="23">
        <f>COUNTIFS(mdr_rate_cleaned!$A$2:$A$10,B1617,mdr_rate_cleaned!$B$2:$B$10,"&lt;"&amp;C1617,mdr_rate_cleaned!$F$2:$F$10,"&gt;="&amp;C1617)</f>
        <v>1</v>
      </c>
      <c r="G1617" s="40">
        <f>SUMIFS(mdr_rate_cleaned!$G$2:$G$10,mdr_rate_cleaned!$A$2:$A$10,B1617,mdr_rate_cleaned!$B$2:$B$10,"&lt;"&amp;C1617,mdr_rate_cleaned!$F$2:$F$10,"&gt;="&amp;C1617)</f>
        <v>1.6E-2</v>
      </c>
      <c r="H1617" s="24">
        <f t="shared" si="125"/>
        <v>39.950000000000003</v>
      </c>
      <c r="I1617" s="23" t="str">
        <f t="shared" si="126"/>
        <v>Match</v>
      </c>
      <c r="J1617" s="23" t="str">
        <f t="shared" si="127"/>
        <v>Match</v>
      </c>
      <c r="K1617" s="24">
        <f t="shared" si="128"/>
        <v>7.19</v>
      </c>
      <c r="L1617" s="24">
        <f t="shared" si="129"/>
        <v>0</v>
      </c>
    </row>
    <row r="1618" spans="1:12" ht="15" customHeight="1" x14ac:dyDescent="0.3">
      <c r="A1618" s="23" t="s">
        <v>14333</v>
      </c>
      <c r="B1618" s="23" t="s">
        <v>75</v>
      </c>
      <c r="C1618" s="39">
        <v>798</v>
      </c>
      <c r="D1618" s="24">
        <v>0</v>
      </c>
      <c r="E1618" s="24">
        <v>0</v>
      </c>
      <c r="F1618" s="23">
        <f>COUNTIFS(mdr_rate_cleaned!$A$2:$A$10,B1618,mdr_rate_cleaned!$B$2:$B$10,"&lt;"&amp;C1618,mdr_rate_cleaned!$F$2:$F$10,"&gt;="&amp;C1618)</f>
        <v>1</v>
      </c>
      <c r="G1618" s="40">
        <f>SUMIFS(mdr_rate_cleaned!$G$2:$G$10,mdr_rate_cleaned!$A$2:$A$10,B1618,mdr_rate_cleaned!$B$2:$B$10,"&lt;"&amp;C1618,mdr_rate_cleaned!$F$2:$F$10,"&gt;="&amp;C1618)</f>
        <v>0</v>
      </c>
      <c r="H1618" s="24">
        <f t="shared" si="125"/>
        <v>0</v>
      </c>
      <c r="I1618" s="23" t="str">
        <f t="shared" si="126"/>
        <v>Match</v>
      </c>
      <c r="J1618" s="23" t="str">
        <f t="shared" si="127"/>
        <v>Match</v>
      </c>
      <c r="K1618" s="24">
        <f t="shared" si="128"/>
        <v>0</v>
      </c>
      <c r="L1618" s="24">
        <f t="shared" si="129"/>
        <v>0</v>
      </c>
    </row>
    <row r="1619" spans="1:12" ht="15" customHeight="1" x14ac:dyDescent="0.3">
      <c r="A1619" s="23" t="s">
        <v>14334</v>
      </c>
      <c r="B1619" s="23" t="s">
        <v>75</v>
      </c>
      <c r="C1619" s="39">
        <v>5797</v>
      </c>
      <c r="D1619" s="24">
        <v>17.39</v>
      </c>
      <c r="E1619" s="24">
        <v>3.13</v>
      </c>
      <c r="F1619" s="23">
        <f>COUNTIFS(mdr_rate_cleaned!$A$2:$A$10,B1619,mdr_rate_cleaned!$B$2:$B$10,"&lt;"&amp;C1619,mdr_rate_cleaned!$F$2:$F$10,"&gt;="&amp;C1619)</f>
        <v>1</v>
      </c>
      <c r="G1619" s="40">
        <f>SUMIFS(mdr_rate_cleaned!$G$2:$G$10,mdr_rate_cleaned!$A$2:$A$10,B1619,mdr_rate_cleaned!$B$2:$B$10,"&lt;"&amp;C1619,mdr_rate_cleaned!$F$2:$F$10,"&gt;="&amp;C1619)</f>
        <v>3.0000000000000001E-3</v>
      </c>
      <c r="H1619" s="24">
        <f t="shared" si="125"/>
        <v>17.39</v>
      </c>
      <c r="I1619" s="23" t="str">
        <f t="shared" si="126"/>
        <v>Match</v>
      </c>
      <c r="J1619" s="23" t="str">
        <f t="shared" si="127"/>
        <v>Match</v>
      </c>
      <c r="K1619" s="24">
        <f t="shared" si="128"/>
        <v>3.13</v>
      </c>
      <c r="L1619" s="24">
        <f t="shared" si="129"/>
        <v>0</v>
      </c>
    </row>
    <row r="1620" spans="1:12" ht="15" customHeight="1" x14ac:dyDescent="0.3">
      <c r="A1620" s="23" t="s">
        <v>14335</v>
      </c>
      <c r="B1620" s="23" t="s">
        <v>75</v>
      </c>
      <c r="C1620" s="39">
        <v>6997</v>
      </c>
      <c r="D1620" s="24">
        <v>20.99</v>
      </c>
      <c r="E1620" s="24">
        <v>3.78</v>
      </c>
      <c r="F1620" s="23">
        <f>COUNTIFS(mdr_rate_cleaned!$A$2:$A$10,B1620,mdr_rate_cleaned!$B$2:$B$10,"&lt;"&amp;C1620,mdr_rate_cleaned!$F$2:$F$10,"&gt;="&amp;C1620)</f>
        <v>1</v>
      </c>
      <c r="G1620" s="40">
        <f>SUMIFS(mdr_rate_cleaned!$G$2:$G$10,mdr_rate_cleaned!$A$2:$A$10,B1620,mdr_rate_cleaned!$B$2:$B$10,"&lt;"&amp;C1620,mdr_rate_cleaned!$F$2:$F$10,"&gt;="&amp;C1620)</f>
        <v>3.0000000000000001E-3</v>
      </c>
      <c r="H1620" s="24">
        <f t="shared" si="125"/>
        <v>20.99</v>
      </c>
      <c r="I1620" s="23" t="str">
        <f t="shared" si="126"/>
        <v>Match</v>
      </c>
      <c r="J1620" s="23" t="str">
        <f t="shared" si="127"/>
        <v>Match</v>
      </c>
      <c r="K1620" s="24">
        <f t="shared" si="128"/>
        <v>3.78</v>
      </c>
      <c r="L1620" s="24">
        <f t="shared" si="129"/>
        <v>0</v>
      </c>
    </row>
    <row r="1621" spans="1:12" ht="15" customHeight="1" x14ac:dyDescent="0.3">
      <c r="A1621" s="23" t="s">
        <v>14336</v>
      </c>
      <c r="B1621" s="23" t="s">
        <v>77</v>
      </c>
      <c r="C1621" s="39">
        <v>3298</v>
      </c>
      <c r="D1621" s="24">
        <v>56.07</v>
      </c>
      <c r="E1621" s="24">
        <v>10.09</v>
      </c>
      <c r="F1621" s="23">
        <f>COUNTIFS(mdr_rate_cleaned!$A$2:$A$10,B1621,mdr_rate_cleaned!$B$2:$B$10,"&lt;"&amp;C1621,mdr_rate_cleaned!$F$2:$F$10,"&gt;="&amp;C1621)</f>
        <v>1</v>
      </c>
      <c r="G1621" s="40">
        <f>SUMIFS(mdr_rate_cleaned!$G$2:$G$10,mdr_rate_cleaned!$A$2:$A$10,B1621,mdr_rate_cleaned!$B$2:$B$10,"&lt;"&amp;C1621,mdr_rate_cleaned!$F$2:$F$10,"&gt;="&amp;C1621)</f>
        <v>1.7000000000000001E-2</v>
      </c>
      <c r="H1621" s="24">
        <f t="shared" si="125"/>
        <v>56.07</v>
      </c>
      <c r="I1621" s="23" t="str">
        <f t="shared" si="126"/>
        <v>Match</v>
      </c>
      <c r="J1621" s="23" t="str">
        <f t="shared" si="127"/>
        <v>Match</v>
      </c>
      <c r="K1621" s="24">
        <f t="shared" si="128"/>
        <v>10.09</v>
      </c>
      <c r="L1621" s="24">
        <f t="shared" si="129"/>
        <v>0</v>
      </c>
    </row>
    <row r="1622" spans="1:12" ht="15" customHeight="1" x14ac:dyDescent="0.3">
      <c r="A1622" s="23" t="s">
        <v>14337</v>
      </c>
      <c r="B1622" s="23" t="s">
        <v>75</v>
      </c>
      <c r="C1622" s="39">
        <v>599</v>
      </c>
      <c r="D1622" s="24">
        <v>0</v>
      </c>
      <c r="E1622" s="24">
        <v>0</v>
      </c>
      <c r="F1622" s="23">
        <f>COUNTIFS(mdr_rate_cleaned!$A$2:$A$10,B1622,mdr_rate_cleaned!$B$2:$B$10,"&lt;"&amp;C1622,mdr_rate_cleaned!$F$2:$F$10,"&gt;="&amp;C1622)</f>
        <v>1</v>
      </c>
      <c r="G1622" s="40">
        <f>SUMIFS(mdr_rate_cleaned!$G$2:$G$10,mdr_rate_cleaned!$A$2:$A$10,B1622,mdr_rate_cleaned!$B$2:$B$10,"&lt;"&amp;C1622,mdr_rate_cleaned!$F$2:$F$10,"&gt;="&amp;C1622)</f>
        <v>0</v>
      </c>
      <c r="H1622" s="24">
        <f t="shared" si="125"/>
        <v>0</v>
      </c>
      <c r="I1622" s="23" t="str">
        <f t="shared" si="126"/>
        <v>Match</v>
      </c>
      <c r="J1622" s="23" t="str">
        <f t="shared" si="127"/>
        <v>Match</v>
      </c>
      <c r="K1622" s="24">
        <f t="shared" si="128"/>
        <v>0</v>
      </c>
      <c r="L1622" s="24">
        <f t="shared" si="129"/>
        <v>0</v>
      </c>
    </row>
    <row r="1623" spans="1:12" ht="15" customHeight="1" x14ac:dyDescent="0.3">
      <c r="A1623" s="23" t="s">
        <v>14338</v>
      </c>
      <c r="B1623" s="23" t="s">
        <v>77</v>
      </c>
      <c r="C1623" s="39">
        <v>2197</v>
      </c>
      <c r="D1623" s="24">
        <v>37.35</v>
      </c>
      <c r="E1623" s="24">
        <v>6.72</v>
      </c>
      <c r="F1623" s="23">
        <f>COUNTIFS(mdr_rate_cleaned!$A$2:$A$10,B1623,mdr_rate_cleaned!$B$2:$B$10,"&lt;"&amp;C1623,mdr_rate_cleaned!$F$2:$F$10,"&gt;="&amp;C1623)</f>
        <v>1</v>
      </c>
      <c r="G1623" s="40">
        <f>SUMIFS(mdr_rate_cleaned!$G$2:$G$10,mdr_rate_cleaned!$A$2:$A$10,B1623,mdr_rate_cleaned!$B$2:$B$10,"&lt;"&amp;C1623,mdr_rate_cleaned!$F$2:$F$10,"&gt;="&amp;C1623)</f>
        <v>1.7000000000000001E-2</v>
      </c>
      <c r="H1623" s="24">
        <f t="shared" si="125"/>
        <v>37.35</v>
      </c>
      <c r="I1623" s="23" t="str">
        <f t="shared" si="126"/>
        <v>Match</v>
      </c>
      <c r="J1623" s="23" t="str">
        <f t="shared" si="127"/>
        <v>Match</v>
      </c>
      <c r="K1623" s="24">
        <f t="shared" si="128"/>
        <v>6.72</v>
      </c>
      <c r="L1623" s="24">
        <f t="shared" si="129"/>
        <v>0</v>
      </c>
    </row>
    <row r="1624" spans="1:12" ht="15" customHeight="1" x14ac:dyDescent="0.3">
      <c r="A1624" s="23" t="s">
        <v>14340</v>
      </c>
      <c r="B1624" s="23" t="s">
        <v>75</v>
      </c>
      <c r="C1624" s="39">
        <v>3499</v>
      </c>
      <c r="D1624" s="24">
        <v>10.5</v>
      </c>
      <c r="E1624" s="24">
        <v>1.89</v>
      </c>
      <c r="F1624" s="23">
        <f>COUNTIFS(mdr_rate_cleaned!$A$2:$A$10,B1624,mdr_rate_cleaned!$B$2:$B$10,"&lt;"&amp;C1624,mdr_rate_cleaned!$F$2:$F$10,"&gt;="&amp;C1624)</f>
        <v>1</v>
      </c>
      <c r="G1624" s="40">
        <f>SUMIFS(mdr_rate_cleaned!$G$2:$G$10,mdr_rate_cleaned!$A$2:$A$10,B1624,mdr_rate_cleaned!$B$2:$B$10,"&lt;"&amp;C1624,mdr_rate_cleaned!$F$2:$F$10,"&gt;="&amp;C1624)</f>
        <v>3.0000000000000001E-3</v>
      </c>
      <c r="H1624" s="24">
        <f t="shared" si="125"/>
        <v>10.5</v>
      </c>
      <c r="I1624" s="23" t="str">
        <f t="shared" si="126"/>
        <v>Match</v>
      </c>
      <c r="J1624" s="23" t="str">
        <f t="shared" si="127"/>
        <v>Match</v>
      </c>
      <c r="K1624" s="24">
        <f t="shared" si="128"/>
        <v>1.89</v>
      </c>
      <c r="L1624" s="24">
        <f t="shared" si="129"/>
        <v>0</v>
      </c>
    </row>
    <row r="1625" spans="1:12" ht="15" customHeight="1" x14ac:dyDescent="0.3">
      <c r="A1625" s="23" t="s">
        <v>14341</v>
      </c>
      <c r="B1625" s="23" t="s">
        <v>75</v>
      </c>
      <c r="C1625" s="39">
        <v>2098</v>
      </c>
      <c r="D1625" s="24">
        <v>6.29</v>
      </c>
      <c r="E1625" s="24">
        <v>1.1299999999999999</v>
      </c>
      <c r="F1625" s="23">
        <f>COUNTIFS(mdr_rate_cleaned!$A$2:$A$10,B1625,mdr_rate_cleaned!$B$2:$B$10,"&lt;"&amp;C1625,mdr_rate_cleaned!$F$2:$F$10,"&gt;="&amp;C1625)</f>
        <v>1</v>
      </c>
      <c r="G1625" s="40">
        <f>SUMIFS(mdr_rate_cleaned!$G$2:$G$10,mdr_rate_cleaned!$A$2:$A$10,B1625,mdr_rate_cleaned!$B$2:$B$10,"&lt;"&amp;C1625,mdr_rate_cleaned!$F$2:$F$10,"&gt;="&amp;C1625)</f>
        <v>3.0000000000000001E-3</v>
      </c>
      <c r="H1625" s="24">
        <f t="shared" si="125"/>
        <v>6.29</v>
      </c>
      <c r="I1625" s="23" t="str">
        <f t="shared" si="126"/>
        <v>Match</v>
      </c>
      <c r="J1625" s="23" t="str">
        <f t="shared" si="127"/>
        <v>Match</v>
      </c>
      <c r="K1625" s="24">
        <f t="shared" si="128"/>
        <v>1.1299999999999999</v>
      </c>
      <c r="L1625" s="24">
        <f t="shared" si="129"/>
        <v>0</v>
      </c>
    </row>
    <row r="1626" spans="1:12" ht="15" customHeight="1" x14ac:dyDescent="0.3">
      <c r="A1626" s="23" t="s">
        <v>14342</v>
      </c>
      <c r="B1626" s="23" t="s">
        <v>79</v>
      </c>
      <c r="C1626" s="39">
        <v>999</v>
      </c>
      <c r="D1626" s="24">
        <v>17.98</v>
      </c>
      <c r="E1626" s="24">
        <v>3.24</v>
      </c>
      <c r="F1626" s="23">
        <f>COUNTIFS(mdr_rate_cleaned!$A$2:$A$10,B1626,mdr_rate_cleaned!$B$2:$B$10,"&lt;"&amp;C1626,mdr_rate_cleaned!$F$2:$F$10,"&gt;="&amp;C1626)</f>
        <v>1</v>
      </c>
      <c r="G1626" s="40">
        <f>SUMIFS(mdr_rate_cleaned!$G$2:$G$10,mdr_rate_cleaned!$A$2:$A$10,B1626,mdr_rate_cleaned!$B$2:$B$10,"&lt;"&amp;C1626,mdr_rate_cleaned!$F$2:$F$10,"&gt;="&amp;C1626)</f>
        <v>1.8000000000000002E-2</v>
      </c>
      <c r="H1626" s="24">
        <f t="shared" si="125"/>
        <v>17.98</v>
      </c>
      <c r="I1626" s="23" t="str">
        <f t="shared" si="126"/>
        <v>Match</v>
      </c>
      <c r="J1626" s="23" t="str">
        <f t="shared" si="127"/>
        <v>Match</v>
      </c>
      <c r="K1626" s="24">
        <f t="shared" si="128"/>
        <v>3.24</v>
      </c>
      <c r="L1626" s="24">
        <f t="shared" si="129"/>
        <v>0</v>
      </c>
    </row>
    <row r="1627" spans="1:12" ht="15" customHeight="1" x14ac:dyDescent="0.3">
      <c r="A1627" s="23" t="s">
        <v>14343</v>
      </c>
      <c r="B1627" s="23" t="s">
        <v>75</v>
      </c>
      <c r="C1627" s="39">
        <v>1499</v>
      </c>
      <c r="D1627" s="24">
        <v>0</v>
      </c>
      <c r="E1627" s="24">
        <v>0</v>
      </c>
      <c r="F1627" s="23">
        <f>COUNTIFS(mdr_rate_cleaned!$A$2:$A$10,B1627,mdr_rate_cleaned!$B$2:$B$10,"&lt;"&amp;C1627,mdr_rate_cleaned!$F$2:$F$10,"&gt;="&amp;C1627)</f>
        <v>1</v>
      </c>
      <c r="G1627" s="40">
        <f>SUMIFS(mdr_rate_cleaned!$G$2:$G$10,mdr_rate_cleaned!$A$2:$A$10,B1627,mdr_rate_cleaned!$B$2:$B$10,"&lt;"&amp;C1627,mdr_rate_cleaned!$F$2:$F$10,"&gt;="&amp;C1627)</f>
        <v>0</v>
      </c>
      <c r="H1627" s="24">
        <f t="shared" si="125"/>
        <v>0</v>
      </c>
      <c r="I1627" s="23" t="str">
        <f t="shared" si="126"/>
        <v>Match</v>
      </c>
      <c r="J1627" s="23" t="str">
        <f t="shared" si="127"/>
        <v>Match</v>
      </c>
      <c r="K1627" s="24">
        <f t="shared" si="128"/>
        <v>0</v>
      </c>
      <c r="L1627" s="24">
        <f t="shared" si="129"/>
        <v>0</v>
      </c>
    </row>
    <row r="1628" spans="1:12" ht="15" customHeight="1" x14ac:dyDescent="0.3">
      <c r="A1628" s="23" t="s">
        <v>14344</v>
      </c>
      <c r="B1628" s="23" t="s">
        <v>75</v>
      </c>
      <c r="C1628" s="39">
        <v>3499</v>
      </c>
      <c r="D1628" s="24">
        <v>10.5</v>
      </c>
      <c r="E1628" s="24">
        <v>1.89</v>
      </c>
      <c r="F1628" s="23">
        <f>COUNTIFS(mdr_rate_cleaned!$A$2:$A$10,B1628,mdr_rate_cleaned!$B$2:$B$10,"&lt;"&amp;C1628,mdr_rate_cleaned!$F$2:$F$10,"&gt;="&amp;C1628)</f>
        <v>1</v>
      </c>
      <c r="G1628" s="40">
        <f>SUMIFS(mdr_rate_cleaned!$G$2:$G$10,mdr_rate_cleaned!$A$2:$A$10,B1628,mdr_rate_cleaned!$B$2:$B$10,"&lt;"&amp;C1628,mdr_rate_cleaned!$F$2:$F$10,"&gt;="&amp;C1628)</f>
        <v>3.0000000000000001E-3</v>
      </c>
      <c r="H1628" s="24">
        <f t="shared" si="125"/>
        <v>10.5</v>
      </c>
      <c r="I1628" s="23" t="str">
        <f t="shared" si="126"/>
        <v>Match</v>
      </c>
      <c r="J1628" s="23" t="str">
        <f t="shared" si="127"/>
        <v>Match</v>
      </c>
      <c r="K1628" s="24">
        <f t="shared" si="128"/>
        <v>1.89</v>
      </c>
      <c r="L1628" s="24">
        <f t="shared" si="129"/>
        <v>0</v>
      </c>
    </row>
    <row r="1629" spans="1:12" ht="15" customHeight="1" x14ac:dyDescent="0.3">
      <c r="A1629" s="23" t="s">
        <v>14346</v>
      </c>
      <c r="B1629" s="23" t="s">
        <v>79</v>
      </c>
      <c r="C1629" s="39">
        <v>1299</v>
      </c>
      <c r="D1629" s="24">
        <v>23.38</v>
      </c>
      <c r="E1629" s="24">
        <v>4.21</v>
      </c>
      <c r="F1629" s="23">
        <f>COUNTIFS(mdr_rate_cleaned!$A$2:$A$10,B1629,mdr_rate_cleaned!$B$2:$B$10,"&lt;"&amp;C1629,mdr_rate_cleaned!$F$2:$F$10,"&gt;="&amp;C1629)</f>
        <v>1</v>
      </c>
      <c r="G1629" s="40">
        <f>SUMIFS(mdr_rate_cleaned!$G$2:$G$10,mdr_rate_cleaned!$A$2:$A$10,B1629,mdr_rate_cleaned!$B$2:$B$10,"&lt;"&amp;C1629,mdr_rate_cleaned!$F$2:$F$10,"&gt;="&amp;C1629)</f>
        <v>1.8000000000000002E-2</v>
      </c>
      <c r="H1629" s="24">
        <f t="shared" si="125"/>
        <v>23.38</v>
      </c>
      <c r="I1629" s="23" t="str">
        <f t="shared" si="126"/>
        <v>Match</v>
      </c>
      <c r="J1629" s="23" t="str">
        <f t="shared" si="127"/>
        <v>Match</v>
      </c>
      <c r="K1629" s="24">
        <f t="shared" si="128"/>
        <v>4.21</v>
      </c>
      <c r="L1629" s="24">
        <f t="shared" si="129"/>
        <v>0</v>
      </c>
    </row>
    <row r="1630" spans="1:12" ht="15" customHeight="1" x14ac:dyDescent="0.3">
      <c r="A1630" s="23" t="s">
        <v>14347</v>
      </c>
      <c r="B1630" s="23" t="s">
        <v>75</v>
      </c>
      <c r="C1630" s="39">
        <v>599</v>
      </c>
      <c r="D1630" s="24">
        <v>0</v>
      </c>
      <c r="E1630" s="24">
        <v>0</v>
      </c>
      <c r="F1630" s="23">
        <f>COUNTIFS(mdr_rate_cleaned!$A$2:$A$10,B1630,mdr_rate_cleaned!$B$2:$B$10,"&lt;"&amp;C1630,mdr_rate_cleaned!$F$2:$F$10,"&gt;="&amp;C1630)</f>
        <v>1</v>
      </c>
      <c r="G1630" s="40">
        <f>SUMIFS(mdr_rate_cleaned!$G$2:$G$10,mdr_rate_cleaned!$A$2:$A$10,B1630,mdr_rate_cleaned!$B$2:$B$10,"&lt;"&amp;C1630,mdr_rate_cleaned!$F$2:$F$10,"&gt;="&amp;C1630)</f>
        <v>0</v>
      </c>
      <c r="H1630" s="24">
        <f t="shared" si="125"/>
        <v>0</v>
      </c>
      <c r="I1630" s="23" t="str">
        <f t="shared" si="126"/>
        <v>Match</v>
      </c>
      <c r="J1630" s="23" t="str">
        <f t="shared" si="127"/>
        <v>Match</v>
      </c>
      <c r="K1630" s="24">
        <f t="shared" si="128"/>
        <v>0</v>
      </c>
      <c r="L1630" s="24">
        <f t="shared" si="129"/>
        <v>0</v>
      </c>
    </row>
    <row r="1631" spans="1:12" ht="15" customHeight="1" x14ac:dyDescent="0.3">
      <c r="A1631" s="23" t="s">
        <v>14348</v>
      </c>
      <c r="B1631" s="23" t="s">
        <v>75</v>
      </c>
      <c r="C1631" s="39">
        <v>3848</v>
      </c>
      <c r="D1631" s="24">
        <v>11.54</v>
      </c>
      <c r="E1631" s="24">
        <v>2.08</v>
      </c>
      <c r="F1631" s="23">
        <f>COUNTIFS(mdr_rate_cleaned!$A$2:$A$10,B1631,mdr_rate_cleaned!$B$2:$B$10,"&lt;"&amp;C1631,mdr_rate_cleaned!$F$2:$F$10,"&gt;="&amp;C1631)</f>
        <v>1</v>
      </c>
      <c r="G1631" s="40">
        <f>SUMIFS(mdr_rate_cleaned!$G$2:$G$10,mdr_rate_cleaned!$A$2:$A$10,B1631,mdr_rate_cleaned!$B$2:$B$10,"&lt;"&amp;C1631,mdr_rate_cleaned!$F$2:$F$10,"&gt;="&amp;C1631)</f>
        <v>3.0000000000000001E-3</v>
      </c>
      <c r="H1631" s="24">
        <f t="shared" si="125"/>
        <v>11.54</v>
      </c>
      <c r="I1631" s="23" t="str">
        <f t="shared" si="126"/>
        <v>Match</v>
      </c>
      <c r="J1631" s="23" t="str">
        <f t="shared" si="127"/>
        <v>Match</v>
      </c>
      <c r="K1631" s="24">
        <f t="shared" si="128"/>
        <v>2.08</v>
      </c>
      <c r="L1631" s="24">
        <f t="shared" si="129"/>
        <v>0</v>
      </c>
    </row>
    <row r="1632" spans="1:12" ht="15" customHeight="1" x14ac:dyDescent="0.3">
      <c r="A1632" s="23" t="s">
        <v>14349</v>
      </c>
      <c r="B1632" s="23" t="s">
        <v>75</v>
      </c>
      <c r="C1632" s="39">
        <v>1147</v>
      </c>
      <c r="D1632" s="24">
        <v>0</v>
      </c>
      <c r="E1632" s="24">
        <v>0</v>
      </c>
      <c r="F1632" s="23">
        <f>COUNTIFS(mdr_rate_cleaned!$A$2:$A$10,B1632,mdr_rate_cleaned!$B$2:$B$10,"&lt;"&amp;C1632,mdr_rate_cleaned!$F$2:$F$10,"&gt;="&amp;C1632)</f>
        <v>1</v>
      </c>
      <c r="G1632" s="40">
        <f>SUMIFS(mdr_rate_cleaned!$G$2:$G$10,mdr_rate_cleaned!$A$2:$A$10,B1632,mdr_rate_cleaned!$B$2:$B$10,"&lt;"&amp;C1632,mdr_rate_cleaned!$F$2:$F$10,"&gt;="&amp;C1632)</f>
        <v>0</v>
      </c>
      <c r="H1632" s="24">
        <f t="shared" si="125"/>
        <v>0</v>
      </c>
      <c r="I1632" s="23" t="str">
        <f t="shared" si="126"/>
        <v>Match</v>
      </c>
      <c r="J1632" s="23" t="str">
        <f t="shared" si="127"/>
        <v>Match</v>
      </c>
      <c r="K1632" s="24">
        <f t="shared" si="128"/>
        <v>0</v>
      </c>
      <c r="L1632" s="24">
        <f t="shared" si="129"/>
        <v>0</v>
      </c>
    </row>
    <row r="1633" spans="1:12" ht="15" customHeight="1" x14ac:dyDescent="0.3">
      <c r="A1633" s="23" t="s">
        <v>14350</v>
      </c>
      <c r="B1633" s="23" t="s">
        <v>75</v>
      </c>
      <c r="C1633" s="39">
        <v>2999</v>
      </c>
      <c r="D1633" s="24">
        <v>9</v>
      </c>
      <c r="E1633" s="24">
        <v>1.62</v>
      </c>
      <c r="F1633" s="23">
        <f>COUNTIFS(mdr_rate_cleaned!$A$2:$A$10,B1633,mdr_rate_cleaned!$B$2:$B$10,"&lt;"&amp;C1633,mdr_rate_cleaned!$F$2:$F$10,"&gt;="&amp;C1633)</f>
        <v>1</v>
      </c>
      <c r="G1633" s="40">
        <f>SUMIFS(mdr_rate_cleaned!$G$2:$G$10,mdr_rate_cleaned!$A$2:$A$10,B1633,mdr_rate_cleaned!$B$2:$B$10,"&lt;"&amp;C1633,mdr_rate_cleaned!$F$2:$F$10,"&gt;="&amp;C1633)</f>
        <v>3.0000000000000001E-3</v>
      </c>
      <c r="H1633" s="24">
        <f t="shared" si="125"/>
        <v>9</v>
      </c>
      <c r="I1633" s="23" t="str">
        <f t="shared" si="126"/>
        <v>Match</v>
      </c>
      <c r="J1633" s="23" t="str">
        <f t="shared" si="127"/>
        <v>Match</v>
      </c>
      <c r="K1633" s="24">
        <f t="shared" si="128"/>
        <v>1.62</v>
      </c>
      <c r="L1633" s="24">
        <f t="shared" si="129"/>
        <v>0</v>
      </c>
    </row>
    <row r="1634" spans="1:12" ht="15" customHeight="1" x14ac:dyDescent="0.3">
      <c r="A1634" s="23" t="s">
        <v>14351</v>
      </c>
      <c r="B1634" s="23" t="s">
        <v>79</v>
      </c>
      <c r="C1634" s="39">
        <v>349</v>
      </c>
      <c r="D1634" s="24">
        <v>6.28</v>
      </c>
      <c r="E1634" s="24">
        <v>1.1299999999999999</v>
      </c>
      <c r="F1634" s="23">
        <f>COUNTIFS(mdr_rate_cleaned!$A$2:$A$10,B1634,mdr_rate_cleaned!$B$2:$B$10,"&lt;"&amp;C1634,mdr_rate_cleaned!$F$2:$F$10,"&gt;="&amp;C1634)</f>
        <v>1</v>
      </c>
      <c r="G1634" s="40">
        <f>SUMIFS(mdr_rate_cleaned!$G$2:$G$10,mdr_rate_cleaned!$A$2:$A$10,B1634,mdr_rate_cleaned!$B$2:$B$10,"&lt;"&amp;C1634,mdr_rate_cleaned!$F$2:$F$10,"&gt;="&amp;C1634)</f>
        <v>1.8000000000000002E-2</v>
      </c>
      <c r="H1634" s="24">
        <f t="shared" si="125"/>
        <v>6.28</v>
      </c>
      <c r="I1634" s="23" t="str">
        <f t="shared" si="126"/>
        <v>Match</v>
      </c>
      <c r="J1634" s="23" t="str">
        <f t="shared" si="127"/>
        <v>Match</v>
      </c>
      <c r="K1634" s="24">
        <f t="shared" si="128"/>
        <v>1.1299999999999999</v>
      </c>
      <c r="L1634" s="24">
        <f t="shared" si="129"/>
        <v>0</v>
      </c>
    </row>
    <row r="1635" spans="1:12" ht="15" customHeight="1" x14ac:dyDescent="0.3">
      <c r="A1635" s="23" t="s">
        <v>14352</v>
      </c>
      <c r="B1635" s="23" t="s">
        <v>79</v>
      </c>
      <c r="C1635" s="39">
        <v>2999</v>
      </c>
      <c r="D1635" s="24">
        <v>47.98</v>
      </c>
      <c r="E1635" s="24">
        <v>8.64</v>
      </c>
      <c r="F1635" s="23">
        <f>COUNTIFS(mdr_rate_cleaned!$A$2:$A$10,B1635,mdr_rate_cleaned!$B$2:$B$10,"&lt;"&amp;C1635,mdr_rate_cleaned!$F$2:$F$10,"&gt;="&amp;C1635)</f>
        <v>1</v>
      </c>
      <c r="G1635" s="40">
        <f>SUMIFS(mdr_rate_cleaned!$G$2:$G$10,mdr_rate_cleaned!$A$2:$A$10,B1635,mdr_rate_cleaned!$B$2:$B$10,"&lt;"&amp;C1635,mdr_rate_cleaned!$F$2:$F$10,"&gt;="&amp;C1635)</f>
        <v>1.6E-2</v>
      </c>
      <c r="H1635" s="24">
        <f t="shared" si="125"/>
        <v>47.98</v>
      </c>
      <c r="I1635" s="23" t="str">
        <f t="shared" si="126"/>
        <v>Match</v>
      </c>
      <c r="J1635" s="23" t="str">
        <f t="shared" si="127"/>
        <v>Match</v>
      </c>
      <c r="K1635" s="24">
        <f t="shared" si="128"/>
        <v>8.64</v>
      </c>
      <c r="L1635" s="24">
        <f t="shared" si="129"/>
        <v>0</v>
      </c>
    </row>
    <row r="1636" spans="1:12" ht="15" customHeight="1" x14ac:dyDescent="0.3">
      <c r="A1636" s="23" t="s">
        <v>14356</v>
      </c>
      <c r="B1636" s="23" t="s">
        <v>75</v>
      </c>
      <c r="C1636" s="39">
        <v>10498</v>
      </c>
      <c r="D1636" s="24">
        <v>31.49</v>
      </c>
      <c r="E1636" s="24">
        <v>5.67</v>
      </c>
      <c r="F1636" s="23">
        <f>COUNTIFS(mdr_rate_cleaned!$A$2:$A$10,B1636,mdr_rate_cleaned!$B$2:$B$10,"&lt;"&amp;C1636,mdr_rate_cleaned!$F$2:$F$10,"&gt;="&amp;C1636)</f>
        <v>1</v>
      </c>
      <c r="G1636" s="40">
        <f>SUMIFS(mdr_rate_cleaned!$G$2:$G$10,mdr_rate_cleaned!$A$2:$A$10,B1636,mdr_rate_cleaned!$B$2:$B$10,"&lt;"&amp;C1636,mdr_rate_cleaned!$F$2:$F$10,"&gt;="&amp;C1636)</f>
        <v>3.0000000000000001E-3</v>
      </c>
      <c r="H1636" s="24">
        <f t="shared" si="125"/>
        <v>31.49</v>
      </c>
      <c r="I1636" s="23" t="str">
        <f t="shared" si="126"/>
        <v>Match</v>
      </c>
      <c r="J1636" s="23" t="str">
        <f t="shared" si="127"/>
        <v>Match</v>
      </c>
      <c r="K1636" s="24">
        <f t="shared" si="128"/>
        <v>5.67</v>
      </c>
      <c r="L1636" s="24">
        <f t="shared" si="129"/>
        <v>0</v>
      </c>
    </row>
    <row r="1637" spans="1:12" ht="15" customHeight="1" x14ac:dyDescent="0.3">
      <c r="A1637" s="23" t="s">
        <v>14357</v>
      </c>
      <c r="B1637" s="23" t="s">
        <v>81</v>
      </c>
      <c r="C1637" s="39">
        <v>349</v>
      </c>
      <c r="D1637" s="24">
        <v>5.24</v>
      </c>
      <c r="E1637" s="24">
        <v>0.94</v>
      </c>
      <c r="F1637" s="23">
        <f>COUNTIFS(mdr_rate_cleaned!$A$2:$A$10,B1637,mdr_rate_cleaned!$B$2:$B$10,"&lt;"&amp;C1637,mdr_rate_cleaned!$F$2:$F$10,"&gt;="&amp;C1637)</f>
        <v>1</v>
      </c>
      <c r="G1637" s="40">
        <f>SUMIFS(mdr_rate_cleaned!$G$2:$G$10,mdr_rate_cleaned!$A$2:$A$10,B1637,mdr_rate_cleaned!$B$2:$B$10,"&lt;"&amp;C1637,mdr_rate_cleaned!$F$2:$F$10,"&gt;="&amp;C1637)</f>
        <v>1.4999999999999999E-2</v>
      </c>
      <c r="H1637" s="24">
        <f t="shared" si="125"/>
        <v>5.24</v>
      </c>
      <c r="I1637" s="23" t="str">
        <f t="shared" si="126"/>
        <v>Match</v>
      </c>
      <c r="J1637" s="23" t="str">
        <f t="shared" si="127"/>
        <v>Match</v>
      </c>
      <c r="K1637" s="24">
        <f t="shared" si="128"/>
        <v>0.94</v>
      </c>
      <c r="L1637" s="24">
        <f t="shared" si="129"/>
        <v>0</v>
      </c>
    </row>
    <row r="1638" spans="1:12" ht="15" customHeight="1" x14ac:dyDescent="0.3">
      <c r="A1638" s="23" t="s">
        <v>14358</v>
      </c>
      <c r="B1638" s="23" t="s">
        <v>79</v>
      </c>
      <c r="C1638" s="39">
        <v>2798</v>
      </c>
      <c r="D1638" s="24">
        <v>44.77</v>
      </c>
      <c r="E1638" s="24">
        <v>8.06</v>
      </c>
      <c r="F1638" s="23">
        <f>COUNTIFS(mdr_rate_cleaned!$A$2:$A$10,B1638,mdr_rate_cleaned!$B$2:$B$10,"&lt;"&amp;C1638,mdr_rate_cleaned!$F$2:$F$10,"&gt;="&amp;C1638)</f>
        <v>1</v>
      </c>
      <c r="G1638" s="40">
        <f>SUMIFS(mdr_rate_cleaned!$G$2:$G$10,mdr_rate_cleaned!$A$2:$A$10,B1638,mdr_rate_cleaned!$B$2:$B$10,"&lt;"&amp;C1638,mdr_rate_cleaned!$F$2:$F$10,"&gt;="&amp;C1638)</f>
        <v>1.6E-2</v>
      </c>
      <c r="H1638" s="24">
        <f t="shared" si="125"/>
        <v>44.77</v>
      </c>
      <c r="I1638" s="23" t="str">
        <f t="shared" si="126"/>
        <v>Match</v>
      </c>
      <c r="J1638" s="23" t="str">
        <f t="shared" si="127"/>
        <v>Match</v>
      </c>
      <c r="K1638" s="24">
        <f t="shared" si="128"/>
        <v>8.06</v>
      </c>
      <c r="L1638" s="24">
        <f t="shared" si="129"/>
        <v>0</v>
      </c>
    </row>
    <row r="1639" spans="1:12" ht="15" customHeight="1" x14ac:dyDescent="0.3">
      <c r="A1639" s="23" t="s">
        <v>14359</v>
      </c>
      <c r="B1639" s="23" t="s">
        <v>75</v>
      </c>
      <c r="C1639" s="39">
        <v>5597</v>
      </c>
      <c r="D1639" s="24">
        <v>16.79</v>
      </c>
      <c r="E1639" s="24">
        <v>3.02</v>
      </c>
      <c r="F1639" s="23">
        <f>COUNTIFS(mdr_rate_cleaned!$A$2:$A$10,B1639,mdr_rate_cleaned!$B$2:$B$10,"&lt;"&amp;C1639,mdr_rate_cleaned!$F$2:$F$10,"&gt;="&amp;C1639)</f>
        <v>1</v>
      </c>
      <c r="G1639" s="40">
        <f>SUMIFS(mdr_rate_cleaned!$G$2:$G$10,mdr_rate_cleaned!$A$2:$A$10,B1639,mdr_rate_cleaned!$B$2:$B$10,"&lt;"&amp;C1639,mdr_rate_cleaned!$F$2:$F$10,"&gt;="&amp;C1639)</f>
        <v>3.0000000000000001E-3</v>
      </c>
      <c r="H1639" s="24">
        <f t="shared" si="125"/>
        <v>16.79</v>
      </c>
      <c r="I1639" s="23" t="str">
        <f t="shared" si="126"/>
        <v>Match</v>
      </c>
      <c r="J1639" s="23" t="str">
        <f t="shared" si="127"/>
        <v>Match</v>
      </c>
      <c r="K1639" s="24">
        <f t="shared" si="128"/>
        <v>3.02</v>
      </c>
      <c r="L1639" s="24">
        <f t="shared" si="129"/>
        <v>0</v>
      </c>
    </row>
    <row r="1640" spans="1:12" ht="15" customHeight="1" x14ac:dyDescent="0.3">
      <c r="A1640" s="23" t="s">
        <v>14361</v>
      </c>
      <c r="B1640" s="23" t="s">
        <v>75</v>
      </c>
      <c r="C1640" s="39">
        <v>499</v>
      </c>
      <c r="D1640" s="24">
        <v>0</v>
      </c>
      <c r="E1640" s="24">
        <v>0</v>
      </c>
      <c r="F1640" s="23">
        <f>COUNTIFS(mdr_rate_cleaned!$A$2:$A$10,B1640,mdr_rate_cleaned!$B$2:$B$10,"&lt;"&amp;C1640,mdr_rate_cleaned!$F$2:$F$10,"&gt;="&amp;C1640)</f>
        <v>1</v>
      </c>
      <c r="G1640" s="40">
        <f>SUMIFS(mdr_rate_cleaned!$G$2:$G$10,mdr_rate_cleaned!$A$2:$A$10,B1640,mdr_rate_cleaned!$B$2:$B$10,"&lt;"&amp;C1640,mdr_rate_cleaned!$F$2:$F$10,"&gt;="&amp;C1640)</f>
        <v>0</v>
      </c>
      <c r="H1640" s="24">
        <f t="shared" si="125"/>
        <v>0</v>
      </c>
      <c r="I1640" s="23" t="str">
        <f t="shared" si="126"/>
        <v>Match</v>
      </c>
      <c r="J1640" s="23" t="str">
        <f t="shared" si="127"/>
        <v>Match</v>
      </c>
      <c r="K1640" s="24">
        <f t="shared" si="128"/>
        <v>0</v>
      </c>
      <c r="L1640" s="24">
        <f t="shared" si="129"/>
        <v>0</v>
      </c>
    </row>
    <row r="1641" spans="1:12" ht="15" customHeight="1" x14ac:dyDescent="0.3">
      <c r="A1641" s="23" t="s">
        <v>14363</v>
      </c>
      <c r="B1641" s="23" t="s">
        <v>75</v>
      </c>
      <c r="C1641" s="39">
        <v>1798</v>
      </c>
      <c r="D1641" s="24">
        <v>0</v>
      </c>
      <c r="E1641" s="24">
        <v>0</v>
      </c>
      <c r="F1641" s="23">
        <f>COUNTIFS(mdr_rate_cleaned!$A$2:$A$10,B1641,mdr_rate_cleaned!$B$2:$B$10,"&lt;"&amp;C1641,mdr_rate_cleaned!$F$2:$F$10,"&gt;="&amp;C1641)</f>
        <v>1</v>
      </c>
      <c r="G1641" s="40">
        <f>SUMIFS(mdr_rate_cleaned!$G$2:$G$10,mdr_rate_cleaned!$A$2:$A$10,B1641,mdr_rate_cleaned!$B$2:$B$10,"&lt;"&amp;C1641,mdr_rate_cleaned!$F$2:$F$10,"&gt;="&amp;C1641)</f>
        <v>0</v>
      </c>
      <c r="H1641" s="24">
        <f t="shared" si="125"/>
        <v>0</v>
      </c>
      <c r="I1641" s="23" t="str">
        <f t="shared" si="126"/>
        <v>Match</v>
      </c>
      <c r="J1641" s="23" t="str">
        <f t="shared" si="127"/>
        <v>Match</v>
      </c>
      <c r="K1641" s="24">
        <f t="shared" si="128"/>
        <v>0</v>
      </c>
      <c r="L1641" s="24">
        <f t="shared" si="129"/>
        <v>0</v>
      </c>
    </row>
    <row r="1642" spans="1:12" ht="15" customHeight="1" x14ac:dyDescent="0.3">
      <c r="A1642" s="23" t="s">
        <v>14364</v>
      </c>
      <c r="B1642" s="23" t="s">
        <v>75</v>
      </c>
      <c r="C1642" s="39">
        <v>7097</v>
      </c>
      <c r="D1642" s="24">
        <v>21.29</v>
      </c>
      <c r="E1642" s="24">
        <v>3.83</v>
      </c>
      <c r="F1642" s="23">
        <f>COUNTIFS(mdr_rate_cleaned!$A$2:$A$10,B1642,mdr_rate_cleaned!$B$2:$B$10,"&lt;"&amp;C1642,mdr_rate_cleaned!$F$2:$F$10,"&gt;="&amp;C1642)</f>
        <v>1</v>
      </c>
      <c r="G1642" s="40">
        <f>SUMIFS(mdr_rate_cleaned!$G$2:$G$10,mdr_rate_cleaned!$A$2:$A$10,B1642,mdr_rate_cleaned!$B$2:$B$10,"&lt;"&amp;C1642,mdr_rate_cleaned!$F$2:$F$10,"&gt;="&amp;C1642)</f>
        <v>3.0000000000000001E-3</v>
      </c>
      <c r="H1642" s="24">
        <f t="shared" si="125"/>
        <v>21.29</v>
      </c>
      <c r="I1642" s="23" t="str">
        <f t="shared" si="126"/>
        <v>Match</v>
      </c>
      <c r="J1642" s="23" t="str">
        <f t="shared" si="127"/>
        <v>Match</v>
      </c>
      <c r="K1642" s="24">
        <f t="shared" si="128"/>
        <v>3.83</v>
      </c>
      <c r="L1642" s="24">
        <f t="shared" si="129"/>
        <v>0</v>
      </c>
    </row>
    <row r="1643" spans="1:12" ht="15" customHeight="1" x14ac:dyDescent="0.3">
      <c r="A1643" s="23" t="s">
        <v>14366</v>
      </c>
      <c r="B1643" s="23" t="s">
        <v>75</v>
      </c>
      <c r="C1643" s="39">
        <v>4999</v>
      </c>
      <c r="D1643" s="24">
        <v>15</v>
      </c>
      <c r="E1643" s="24">
        <v>2.7</v>
      </c>
      <c r="F1643" s="23">
        <f>COUNTIFS(mdr_rate_cleaned!$A$2:$A$10,B1643,mdr_rate_cleaned!$B$2:$B$10,"&lt;"&amp;C1643,mdr_rate_cleaned!$F$2:$F$10,"&gt;="&amp;C1643)</f>
        <v>1</v>
      </c>
      <c r="G1643" s="40">
        <f>SUMIFS(mdr_rate_cleaned!$G$2:$G$10,mdr_rate_cleaned!$A$2:$A$10,B1643,mdr_rate_cleaned!$B$2:$B$10,"&lt;"&amp;C1643,mdr_rate_cleaned!$F$2:$F$10,"&gt;="&amp;C1643)</f>
        <v>3.0000000000000001E-3</v>
      </c>
      <c r="H1643" s="24">
        <f t="shared" si="125"/>
        <v>15</v>
      </c>
      <c r="I1643" s="23" t="str">
        <f t="shared" si="126"/>
        <v>Match</v>
      </c>
      <c r="J1643" s="23" t="str">
        <f t="shared" si="127"/>
        <v>Match</v>
      </c>
      <c r="K1643" s="24">
        <f t="shared" si="128"/>
        <v>2.7</v>
      </c>
      <c r="L1643" s="24">
        <f t="shared" si="129"/>
        <v>0</v>
      </c>
    </row>
    <row r="1644" spans="1:12" ht="15" customHeight="1" x14ac:dyDescent="0.3">
      <c r="A1644" s="23" t="s">
        <v>14367</v>
      </c>
      <c r="B1644" s="23" t="s">
        <v>75</v>
      </c>
      <c r="C1644" s="39">
        <v>3848</v>
      </c>
      <c r="D1644" s="24">
        <v>11.54</v>
      </c>
      <c r="E1644" s="24">
        <v>2.08</v>
      </c>
      <c r="F1644" s="23">
        <f>COUNTIFS(mdr_rate_cleaned!$A$2:$A$10,B1644,mdr_rate_cleaned!$B$2:$B$10,"&lt;"&amp;C1644,mdr_rate_cleaned!$F$2:$F$10,"&gt;="&amp;C1644)</f>
        <v>1</v>
      </c>
      <c r="G1644" s="40">
        <f>SUMIFS(mdr_rate_cleaned!$G$2:$G$10,mdr_rate_cleaned!$A$2:$A$10,B1644,mdr_rate_cleaned!$B$2:$B$10,"&lt;"&amp;C1644,mdr_rate_cleaned!$F$2:$F$10,"&gt;="&amp;C1644)</f>
        <v>3.0000000000000001E-3</v>
      </c>
      <c r="H1644" s="24">
        <f t="shared" si="125"/>
        <v>11.54</v>
      </c>
      <c r="I1644" s="23" t="str">
        <f t="shared" si="126"/>
        <v>Match</v>
      </c>
      <c r="J1644" s="23" t="str">
        <f t="shared" si="127"/>
        <v>Match</v>
      </c>
      <c r="K1644" s="24">
        <f t="shared" si="128"/>
        <v>2.08</v>
      </c>
      <c r="L1644" s="24">
        <f t="shared" si="129"/>
        <v>0</v>
      </c>
    </row>
    <row r="1645" spans="1:12" ht="15" customHeight="1" x14ac:dyDescent="0.3">
      <c r="A1645" s="23" t="s">
        <v>14368</v>
      </c>
      <c r="B1645" s="23" t="s">
        <v>75</v>
      </c>
      <c r="C1645" s="39">
        <v>14497</v>
      </c>
      <c r="D1645" s="24">
        <v>43.49</v>
      </c>
      <c r="E1645" s="24">
        <v>7.83</v>
      </c>
      <c r="F1645" s="23">
        <f>COUNTIFS(mdr_rate_cleaned!$A$2:$A$10,B1645,mdr_rate_cleaned!$B$2:$B$10,"&lt;"&amp;C1645,mdr_rate_cleaned!$F$2:$F$10,"&gt;="&amp;C1645)</f>
        <v>1</v>
      </c>
      <c r="G1645" s="40">
        <f>SUMIFS(mdr_rate_cleaned!$G$2:$G$10,mdr_rate_cleaned!$A$2:$A$10,B1645,mdr_rate_cleaned!$B$2:$B$10,"&lt;"&amp;C1645,mdr_rate_cleaned!$F$2:$F$10,"&gt;="&amp;C1645)</f>
        <v>3.0000000000000001E-3</v>
      </c>
      <c r="H1645" s="24">
        <f t="shared" si="125"/>
        <v>43.49</v>
      </c>
      <c r="I1645" s="23" t="str">
        <f t="shared" si="126"/>
        <v>Match</v>
      </c>
      <c r="J1645" s="23" t="str">
        <f t="shared" si="127"/>
        <v>Match</v>
      </c>
      <c r="K1645" s="24">
        <f t="shared" si="128"/>
        <v>7.83</v>
      </c>
      <c r="L1645" s="24">
        <f t="shared" si="129"/>
        <v>0</v>
      </c>
    </row>
    <row r="1646" spans="1:12" ht="15" customHeight="1" x14ac:dyDescent="0.3">
      <c r="A1646" s="23" t="s">
        <v>14369</v>
      </c>
      <c r="B1646" s="23" t="s">
        <v>77</v>
      </c>
      <c r="C1646" s="39">
        <v>4798</v>
      </c>
      <c r="D1646" s="24">
        <v>81.569999999999993</v>
      </c>
      <c r="E1646" s="24">
        <v>14.68</v>
      </c>
      <c r="F1646" s="23">
        <f>COUNTIFS(mdr_rate_cleaned!$A$2:$A$10,B1646,mdr_rate_cleaned!$B$2:$B$10,"&lt;"&amp;C1646,mdr_rate_cleaned!$F$2:$F$10,"&gt;="&amp;C1646)</f>
        <v>1</v>
      </c>
      <c r="G1646" s="40">
        <f>SUMIFS(mdr_rate_cleaned!$G$2:$G$10,mdr_rate_cleaned!$A$2:$A$10,B1646,mdr_rate_cleaned!$B$2:$B$10,"&lt;"&amp;C1646,mdr_rate_cleaned!$F$2:$F$10,"&gt;="&amp;C1646)</f>
        <v>1.7000000000000001E-2</v>
      </c>
      <c r="H1646" s="24">
        <f t="shared" si="125"/>
        <v>81.569999999999993</v>
      </c>
      <c r="I1646" s="23" t="str">
        <f t="shared" si="126"/>
        <v>Match</v>
      </c>
      <c r="J1646" s="23" t="str">
        <f t="shared" si="127"/>
        <v>Match</v>
      </c>
      <c r="K1646" s="24">
        <f t="shared" si="128"/>
        <v>14.68</v>
      </c>
      <c r="L1646" s="24">
        <f t="shared" si="129"/>
        <v>0</v>
      </c>
    </row>
    <row r="1647" spans="1:12" ht="15" customHeight="1" x14ac:dyDescent="0.3">
      <c r="A1647" s="23" t="s">
        <v>14371</v>
      </c>
      <c r="B1647" s="23" t="s">
        <v>81</v>
      </c>
      <c r="C1647" s="39">
        <v>5498</v>
      </c>
      <c r="D1647" s="24">
        <v>65.98</v>
      </c>
      <c r="E1647" s="24">
        <v>11.88</v>
      </c>
      <c r="F1647" s="23">
        <f>COUNTIFS(mdr_rate_cleaned!$A$2:$A$10,B1647,mdr_rate_cleaned!$B$2:$B$10,"&lt;"&amp;C1647,mdr_rate_cleaned!$F$2:$F$10,"&gt;="&amp;C1647)</f>
        <v>1</v>
      </c>
      <c r="G1647" s="40">
        <f>SUMIFS(mdr_rate_cleaned!$G$2:$G$10,mdr_rate_cleaned!$A$2:$A$10,B1647,mdr_rate_cleaned!$B$2:$B$10,"&lt;"&amp;C1647,mdr_rate_cleaned!$F$2:$F$10,"&gt;="&amp;C1647)</f>
        <v>1.2E-2</v>
      </c>
      <c r="H1647" s="24">
        <f t="shared" si="125"/>
        <v>65.98</v>
      </c>
      <c r="I1647" s="23" t="str">
        <f t="shared" si="126"/>
        <v>Match</v>
      </c>
      <c r="J1647" s="23" t="str">
        <f t="shared" si="127"/>
        <v>Match</v>
      </c>
      <c r="K1647" s="24">
        <f t="shared" si="128"/>
        <v>11.88</v>
      </c>
      <c r="L1647" s="24">
        <f t="shared" si="129"/>
        <v>0</v>
      </c>
    </row>
    <row r="1648" spans="1:12" ht="15" customHeight="1" x14ac:dyDescent="0.3">
      <c r="A1648" s="23" t="s">
        <v>14372</v>
      </c>
      <c r="B1648" s="23" t="s">
        <v>75</v>
      </c>
      <c r="C1648" s="39">
        <v>349</v>
      </c>
      <c r="D1648" s="24">
        <v>0</v>
      </c>
      <c r="E1648" s="24">
        <v>0</v>
      </c>
      <c r="F1648" s="23">
        <f>COUNTIFS(mdr_rate_cleaned!$A$2:$A$10,B1648,mdr_rate_cleaned!$B$2:$B$10,"&lt;"&amp;C1648,mdr_rate_cleaned!$F$2:$F$10,"&gt;="&amp;C1648)</f>
        <v>1</v>
      </c>
      <c r="G1648" s="40">
        <f>SUMIFS(mdr_rate_cleaned!$G$2:$G$10,mdr_rate_cleaned!$A$2:$A$10,B1648,mdr_rate_cleaned!$B$2:$B$10,"&lt;"&amp;C1648,mdr_rate_cleaned!$F$2:$F$10,"&gt;="&amp;C1648)</f>
        <v>0</v>
      </c>
      <c r="H1648" s="24">
        <f t="shared" si="125"/>
        <v>0</v>
      </c>
      <c r="I1648" s="23" t="str">
        <f t="shared" si="126"/>
        <v>Match</v>
      </c>
      <c r="J1648" s="23" t="str">
        <f t="shared" si="127"/>
        <v>Match</v>
      </c>
      <c r="K1648" s="24">
        <f t="shared" si="128"/>
        <v>0</v>
      </c>
      <c r="L1648" s="24">
        <f t="shared" si="129"/>
        <v>0</v>
      </c>
    </row>
    <row r="1649" spans="1:12" ht="15" customHeight="1" x14ac:dyDescent="0.3">
      <c r="A1649" s="23" t="s">
        <v>14373</v>
      </c>
      <c r="B1649" s="23" t="s">
        <v>79</v>
      </c>
      <c r="C1649" s="39">
        <v>10347</v>
      </c>
      <c r="D1649" s="24">
        <v>165.55</v>
      </c>
      <c r="E1649" s="24">
        <v>29.8</v>
      </c>
      <c r="F1649" s="23">
        <f>COUNTIFS(mdr_rate_cleaned!$A$2:$A$10,B1649,mdr_rate_cleaned!$B$2:$B$10,"&lt;"&amp;C1649,mdr_rate_cleaned!$F$2:$F$10,"&gt;="&amp;C1649)</f>
        <v>1</v>
      </c>
      <c r="G1649" s="40">
        <f>SUMIFS(mdr_rate_cleaned!$G$2:$G$10,mdr_rate_cleaned!$A$2:$A$10,B1649,mdr_rate_cleaned!$B$2:$B$10,"&lt;"&amp;C1649,mdr_rate_cleaned!$F$2:$F$10,"&gt;="&amp;C1649)</f>
        <v>1.6E-2</v>
      </c>
      <c r="H1649" s="24">
        <f t="shared" si="125"/>
        <v>165.55</v>
      </c>
      <c r="I1649" s="23" t="str">
        <f t="shared" si="126"/>
        <v>Match</v>
      </c>
      <c r="J1649" s="23" t="str">
        <f t="shared" si="127"/>
        <v>Match</v>
      </c>
      <c r="K1649" s="24">
        <f t="shared" si="128"/>
        <v>29.8</v>
      </c>
      <c r="L1649" s="24">
        <f t="shared" si="129"/>
        <v>0</v>
      </c>
    </row>
    <row r="1650" spans="1:12" ht="15" customHeight="1" x14ac:dyDescent="0.3">
      <c r="A1650" s="23" t="s">
        <v>14374</v>
      </c>
      <c r="B1650" s="23" t="s">
        <v>79</v>
      </c>
      <c r="C1650" s="39">
        <v>1799</v>
      </c>
      <c r="D1650" s="24">
        <v>32.380000000000003</v>
      </c>
      <c r="E1650" s="24">
        <v>5.83</v>
      </c>
      <c r="F1650" s="23">
        <f>COUNTIFS(mdr_rate_cleaned!$A$2:$A$10,B1650,mdr_rate_cleaned!$B$2:$B$10,"&lt;"&amp;C1650,mdr_rate_cleaned!$F$2:$F$10,"&gt;="&amp;C1650)</f>
        <v>1</v>
      </c>
      <c r="G1650" s="40">
        <f>SUMIFS(mdr_rate_cleaned!$G$2:$G$10,mdr_rate_cleaned!$A$2:$A$10,B1650,mdr_rate_cleaned!$B$2:$B$10,"&lt;"&amp;C1650,mdr_rate_cleaned!$F$2:$F$10,"&gt;="&amp;C1650)</f>
        <v>1.8000000000000002E-2</v>
      </c>
      <c r="H1650" s="24">
        <f t="shared" si="125"/>
        <v>32.380000000000003</v>
      </c>
      <c r="I1650" s="23" t="str">
        <f t="shared" si="126"/>
        <v>Match</v>
      </c>
      <c r="J1650" s="23" t="str">
        <f t="shared" si="127"/>
        <v>Match</v>
      </c>
      <c r="K1650" s="24">
        <f t="shared" si="128"/>
        <v>5.83</v>
      </c>
      <c r="L1650" s="24">
        <f t="shared" si="129"/>
        <v>0</v>
      </c>
    </row>
    <row r="1651" spans="1:12" ht="15" customHeight="1" x14ac:dyDescent="0.3">
      <c r="A1651" s="23" t="s">
        <v>14376</v>
      </c>
      <c r="B1651" s="23" t="s">
        <v>75</v>
      </c>
      <c r="C1651" s="39">
        <v>12797</v>
      </c>
      <c r="D1651" s="24">
        <v>38.39</v>
      </c>
      <c r="E1651" s="24">
        <v>6.91</v>
      </c>
      <c r="F1651" s="23">
        <f>COUNTIFS(mdr_rate_cleaned!$A$2:$A$10,B1651,mdr_rate_cleaned!$B$2:$B$10,"&lt;"&amp;C1651,mdr_rate_cleaned!$F$2:$F$10,"&gt;="&amp;C1651)</f>
        <v>1</v>
      </c>
      <c r="G1651" s="40">
        <f>SUMIFS(mdr_rate_cleaned!$G$2:$G$10,mdr_rate_cleaned!$A$2:$A$10,B1651,mdr_rate_cleaned!$B$2:$B$10,"&lt;"&amp;C1651,mdr_rate_cleaned!$F$2:$F$10,"&gt;="&amp;C1651)</f>
        <v>3.0000000000000001E-3</v>
      </c>
      <c r="H1651" s="24">
        <f t="shared" si="125"/>
        <v>38.39</v>
      </c>
      <c r="I1651" s="23" t="str">
        <f t="shared" si="126"/>
        <v>Match</v>
      </c>
      <c r="J1651" s="23" t="str">
        <f t="shared" si="127"/>
        <v>Match</v>
      </c>
      <c r="K1651" s="24">
        <f t="shared" si="128"/>
        <v>6.91</v>
      </c>
      <c r="L1651" s="24">
        <f t="shared" si="129"/>
        <v>0</v>
      </c>
    </row>
    <row r="1652" spans="1:12" ht="15" customHeight="1" x14ac:dyDescent="0.3">
      <c r="A1652" s="23" t="s">
        <v>14377</v>
      </c>
      <c r="B1652" s="23" t="s">
        <v>75</v>
      </c>
      <c r="C1652" s="39">
        <v>299</v>
      </c>
      <c r="D1652" s="24">
        <v>0</v>
      </c>
      <c r="E1652" s="24">
        <v>0</v>
      </c>
      <c r="F1652" s="23">
        <f>COUNTIFS(mdr_rate_cleaned!$A$2:$A$10,B1652,mdr_rate_cleaned!$B$2:$B$10,"&lt;"&amp;C1652,mdr_rate_cleaned!$F$2:$F$10,"&gt;="&amp;C1652)</f>
        <v>1</v>
      </c>
      <c r="G1652" s="40">
        <f>SUMIFS(mdr_rate_cleaned!$G$2:$G$10,mdr_rate_cleaned!$A$2:$A$10,B1652,mdr_rate_cleaned!$B$2:$B$10,"&lt;"&amp;C1652,mdr_rate_cleaned!$F$2:$F$10,"&gt;="&amp;C1652)</f>
        <v>0</v>
      </c>
      <c r="H1652" s="24">
        <f t="shared" si="125"/>
        <v>0</v>
      </c>
      <c r="I1652" s="23" t="str">
        <f t="shared" si="126"/>
        <v>Match</v>
      </c>
      <c r="J1652" s="23" t="str">
        <f t="shared" si="127"/>
        <v>Match</v>
      </c>
      <c r="K1652" s="24">
        <f t="shared" si="128"/>
        <v>0</v>
      </c>
      <c r="L1652" s="24">
        <f t="shared" si="129"/>
        <v>0</v>
      </c>
    </row>
    <row r="1653" spans="1:12" ht="15" customHeight="1" x14ac:dyDescent="0.3">
      <c r="A1653" s="23" t="s">
        <v>14378</v>
      </c>
      <c r="B1653" s="23" t="s">
        <v>79</v>
      </c>
      <c r="C1653" s="39">
        <v>798</v>
      </c>
      <c r="D1653" s="24">
        <v>14.36</v>
      </c>
      <c r="E1653" s="24">
        <v>2.58</v>
      </c>
      <c r="F1653" s="23">
        <f>COUNTIFS(mdr_rate_cleaned!$A$2:$A$10,B1653,mdr_rate_cleaned!$B$2:$B$10,"&lt;"&amp;C1653,mdr_rate_cleaned!$F$2:$F$10,"&gt;="&amp;C1653)</f>
        <v>1</v>
      </c>
      <c r="G1653" s="40">
        <f>SUMIFS(mdr_rate_cleaned!$G$2:$G$10,mdr_rate_cleaned!$A$2:$A$10,B1653,mdr_rate_cleaned!$B$2:$B$10,"&lt;"&amp;C1653,mdr_rate_cleaned!$F$2:$F$10,"&gt;="&amp;C1653)</f>
        <v>1.8000000000000002E-2</v>
      </c>
      <c r="H1653" s="24">
        <f t="shared" si="125"/>
        <v>14.36</v>
      </c>
      <c r="I1653" s="23" t="str">
        <f t="shared" si="126"/>
        <v>Match</v>
      </c>
      <c r="J1653" s="23" t="str">
        <f t="shared" si="127"/>
        <v>Match</v>
      </c>
      <c r="K1653" s="24">
        <f t="shared" si="128"/>
        <v>2.58</v>
      </c>
      <c r="L1653" s="24">
        <f t="shared" si="129"/>
        <v>0</v>
      </c>
    </row>
    <row r="1654" spans="1:12" ht="15" customHeight="1" x14ac:dyDescent="0.3">
      <c r="A1654" s="23" t="s">
        <v>14379</v>
      </c>
      <c r="B1654" s="23" t="s">
        <v>75</v>
      </c>
      <c r="C1654" s="39">
        <v>1499</v>
      </c>
      <c r="D1654" s="24">
        <v>0</v>
      </c>
      <c r="E1654" s="24">
        <v>0</v>
      </c>
      <c r="F1654" s="23">
        <f>COUNTIFS(mdr_rate_cleaned!$A$2:$A$10,B1654,mdr_rate_cleaned!$B$2:$B$10,"&lt;"&amp;C1654,mdr_rate_cleaned!$F$2:$F$10,"&gt;="&amp;C1654)</f>
        <v>1</v>
      </c>
      <c r="G1654" s="40">
        <f>SUMIFS(mdr_rate_cleaned!$G$2:$G$10,mdr_rate_cleaned!$A$2:$A$10,B1654,mdr_rate_cleaned!$B$2:$B$10,"&lt;"&amp;C1654,mdr_rate_cleaned!$F$2:$F$10,"&gt;="&amp;C1654)</f>
        <v>0</v>
      </c>
      <c r="H1654" s="24">
        <f t="shared" si="125"/>
        <v>0</v>
      </c>
      <c r="I1654" s="23" t="str">
        <f t="shared" si="126"/>
        <v>Match</v>
      </c>
      <c r="J1654" s="23" t="str">
        <f t="shared" si="127"/>
        <v>Match</v>
      </c>
      <c r="K1654" s="24">
        <f t="shared" si="128"/>
        <v>0</v>
      </c>
      <c r="L1654" s="24">
        <f t="shared" si="129"/>
        <v>0</v>
      </c>
    </row>
    <row r="1655" spans="1:12" ht="15" customHeight="1" x14ac:dyDescent="0.3">
      <c r="A1655" s="23" t="s">
        <v>14380</v>
      </c>
      <c r="B1655" s="23" t="s">
        <v>75</v>
      </c>
      <c r="C1655" s="39">
        <v>3597</v>
      </c>
      <c r="D1655" s="24">
        <v>10.79</v>
      </c>
      <c r="E1655" s="24">
        <v>1.94</v>
      </c>
      <c r="F1655" s="23">
        <f>COUNTIFS(mdr_rate_cleaned!$A$2:$A$10,B1655,mdr_rate_cleaned!$B$2:$B$10,"&lt;"&amp;C1655,mdr_rate_cleaned!$F$2:$F$10,"&gt;="&amp;C1655)</f>
        <v>1</v>
      </c>
      <c r="G1655" s="40">
        <f>SUMIFS(mdr_rate_cleaned!$G$2:$G$10,mdr_rate_cleaned!$A$2:$A$10,B1655,mdr_rate_cleaned!$B$2:$B$10,"&lt;"&amp;C1655,mdr_rate_cleaned!$F$2:$F$10,"&gt;="&amp;C1655)</f>
        <v>3.0000000000000001E-3</v>
      </c>
      <c r="H1655" s="24">
        <f t="shared" si="125"/>
        <v>10.79</v>
      </c>
      <c r="I1655" s="23" t="str">
        <f t="shared" si="126"/>
        <v>Match</v>
      </c>
      <c r="J1655" s="23" t="str">
        <f t="shared" si="127"/>
        <v>Match</v>
      </c>
      <c r="K1655" s="24">
        <f t="shared" si="128"/>
        <v>1.94</v>
      </c>
      <c r="L1655" s="24">
        <f t="shared" si="129"/>
        <v>0</v>
      </c>
    </row>
    <row r="1656" spans="1:12" ht="15" customHeight="1" x14ac:dyDescent="0.3">
      <c r="A1656" s="23" t="s">
        <v>14381</v>
      </c>
      <c r="B1656" s="23" t="s">
        <v>81</v>
      </c>
      <c r="C1656" s="39">
        <v>1299</v>
      </c>
      <c r="D1656" s="24">
        <v>19.489999999999998</v>
      </c>
      <c r="E1656" s="24">
        <v>3.51</v>
      </c>
      <c r="F1656" s="23">
        <f>COUNTIFS(mdr_rate_cleaned!$A$2:$A$10,B1656,mdr_rate_cleaned!$B$2:$B$10,"&lt;"&amp;C1656,mdr_rate_cleaned!$F$2:$F$10,"&gt;="&amp;C1656)</f>
        <v>1</v>
      </c>
      <c r="G1656" s="40">
        <f>SUMIFS(mdr_rate_cleaned!$G$2:$G$10,mdr_rate_cleaned!$A$2:$A$10,B1656,mdr_rate_cleaned!$B$2:$B$10,"&lt;"&amp;C1656,mdr_rate_cleaned!$F$2:$F$10,"&gt;="&amp;C1656)</f>
        <v>1.4999999999999999E-2</v>
      </c>
      <c r="H1656" s="24">
        <f t="shared" si="125"/>
        <v>19.489999999999998</v>
      </c>
      <c r="I1656" s="23" t="str">
        <f t="shared" si="126"/>
        <v>Match</v>
      </c>
      <c r="J1656" s="23" t="str">
        <f t="shared" si="127"/>
        <v>Match</v>
      </c>
      <c r="K1656" s="24">
        <f t="shared" si="128"/>
        <v>3.51</v>
      </c>
      <c r="L1656" s="24">
        <f t="shared" si="129"/>
        <v>0</v>
      </c>
    </row>
    <row r="1657" spans="1:12" ht="15" customHeight="1" x14ac:dyDescent="0.3">
      <c r="A1657" s="23" t="s">
        <v>14383</v>
      </c>
      <c r="B1657" s="23" t="s">
        <v>75</v>
      </c>
      <c r="C1657" s="39">
        <v>3348</v>
      </c>
      <c r="D1657" s="24">
        <v>10.039999999999999</v>
      </c>
      <c r="E1657" s="24">
        <v>1.81</v>
      </c>
      <c r="F1657" s="23">
        <f>COUNTIFS(mdr_rate_cleaned!$A$2:$A$10,B1657,mdr_rate_cleaned!$B$2:$B$10,"&lt;"&amp;C1657,mdr_rate_cleaned!$F$2:$F$10,"&gt;="&amp;C1657)</f>
        <v>1</v>
      </c>
      <c r="G1657" s="40">
        <f>SUMIFS(mdr_rate_cleaned!$G$2:$G$10,mdr_rate_cleaned!$A$2:$A$10,B1657,mdr_rate_cleaned!$B$2:$B$10,"&lt;"&amp;C1657,mdr_rate_cleaned!$F$2:$F$10,"&gt;="&amp;C1657)</f>
        <v>3.0000000000000001E-3</v>
      </c>
      <c r="H1657" s="24">
        <f t="shared" si="125"/>
        <v>10.039999999999999</v>
      </c>
      <c r="I1657" s="23" t="str">
        <f t="shared" si="126"/>
        <v>Match</v>
      </c>
      <c r="J1657" s="23" t="str">
        <f t="shared" si="127"/>
        <v>Match</v>
      </c>
      <c r="K1657" s="24">
        <f t="shared" si="128"/>
        <v>1.81</v>
      </c>
      <c r="L1657" s="24">
        <f t="shared" si="129"/>
        <v>0</v>
      </c>
    </row>
    <row r="1658" spans="1:12" ht="15" customHeight="1" x14ac:dyDescent="0.3">
      <c r="A1658" s="23" t="s">
        <v>14385</v>
      </c>
      <c r="B1658" s="23" t="s">
        <v>77</v>
      </c>
      <c r="C1658" s="39">
        <v>10797</v>
      </c>
      <c r="D1658" s="24">
        <v>183.55</v>
      </c>
      <c r="E1658" s="24">
        <v>33.04</v>
      </c>
      <c r="F1658" s="23">
        <f>COUNTIFS(mdr_rate_cleaned!$A$2:$A$10,B1658,mdr_rate_cleaned!$B$2:$B$10,"&lt;"&amp;C1658,mdr_rate_cleaned!$F$2:$F$10,"&gt;="&amp;C1658)</f>
        <v>1</v>
      </c>
      <c r="G1658" s="40">
        <f>SUMIFS(mdr_rate_cleaned!$G$2:$G$10,mdr_rate_cleaned!$A$2:$A$10,B1658,mdr_rate_cleaned!$B$2:$B$10,"&lt;"&amp;C1658,mdr_rate_cleaned!$F$2:$F$10,"&gt;="&amp;C1658)</f>
        <v>1.7000000000000001E-2</v>
      </c>
      <c r="H1658" s="24">
        <f t="shared" si="125"/>
        <v>183.55</v>
      </c>
      <c r="I1658" s="23" t="str">
        <f t="shared" si="126"/>
        <v>Match</v>
      </c>
      <c r="J1658" s="23" t="str">
        <f t="shared" si="127"/>
        <v>Match</v>
      </c>
      <c r="K1658" s="24">
        <f t="shared" si="128"/>
        <v>33.04</v>
      </c>
      <c r="L1658" s="24">
        <f t="shared" si="129"/>
        <v>0</v>
      </c>
    </row>
    <row r="1659" spans="1:12" ht="15" customHeight="1" x14ac:dyDescent="0.3">
      <c r="A1659" s="23" t="s">
        <v>14387</v>
      </c>
      <c r="B1659" s="23" t="s">
        <v>75</v>
      </c>
      <c r="C1659" s="39">
        <v>5298</v>
      </c>
      <c r="D1659" s="24">
        <v>15.89</v>
      </c>
      <c r="E1659" s="24">
        <v>2.86</v>
      </c>
      <c r="F1659" s="23">
        <f>COUNTIFS(mdr_rate_cleaned!$A$2:$A$10,B1659,mdr_rate_cleaned!$B$2:$B$10,"&lt;"&amp;C1659,mdr_rate_cleaned!$F$2:$F$10,"&gt;="&amp;C1659)</f>
        <v>1</v>
      </c>
      <c r="G1659" s="40">
        <f>SUMIFS(mdr_rate_cleaned!$G$2:$G$10,mdr_rate_cleaned!$A$2:$A$10,B1659,mdr_rate_cleaned!$B$2:$B$10,"&lt;"&amp;C1659,mdr_rate_cleaned!$F$2:$F$10,"&gt;="&amp;C1659)</f>
        <v>3.0000000000000001E-3</v>
      </c>
      <c r="H1659" s="24">
        <f t="shared" si="125"/>
        <v>15.89</v>
      </c>
      <c r="I1659" s="23" t="str">
        <f t="shared" si="126"/>
        <v>Match</v>
      </c>
      <c r="J1659" s="23" t="str">
        <f t="shared" si="127"/>
        <v>Match</v>
      </c>
      <c r="K1659" s="24">
        <f t="shared" si="128"/>
        <v>2.86</v>
      </c>
      <c r="L1659" s="24">
        <f t="shared" si="129"/>
        <v>0</v>
      </c>
    </row>
    <row r="1660" spans="1:12" ht="15" customHeight="1" x14ac:dyDescent="0.3">
      <c r="A1660" s="23" t="s">
        <v>14388</v>
      </c>
      <c r="B1660" s="23" t="s">
        <v>75</v>
      </c>
      <c r="C1660" s="39">
        <v>4999</v>
      </c>
      <c r="D1660" s="24">
        <v>15</v>
      </c>
      <c r="E1660" s="24">
        <v>2.7</v>
      </c>
      <c r="F1660" s="23">
        <f>COUNTIFS(mdr_rate_cleaned!$A$2:$A$10,B1660,mdr_rate_cleaned!$B$2:$B$10,"&lt;"&amp;C1660,mdr_rate_cleaned!$F$2:$F$10,"&gt;="&amp;C1660)</f>
        <v>1</v>
      </c>
      <c r="G1660" s="40">
        <f>SUMIFS(mdr_rate_cleaned!$G$2:$G$10,mdr_rate_cleaned!$A$2:$A$10,B1660,mdr_rate_cleaned!$B$2:$B$10,"&lt;"&amp;C1660,mdr_rate_cleaned!$F$2:$F$10,"&gt;="&amp;C1660)</f>
        <v>3.0000000000000001E-3</v>
      </c>
      <c r="H1660" s="24">
        <f t="shared" si="125"/>
        <v>15</v>
      </c>
      <c r="I1660" s="23" t="str">
        <f t="shared" si="126"/>
        <v>Match</v>
      </c>
      <c r="J1660" s="23" t="str">
        <f t="shared" si="127"/>
        <v>Match</v>
      </c>
      <c r="K1660" s="24">
        <f t="shared" si="128"/>
        <v>2.7</v>
      </c>
      <c r="L1660" s="24">
        <f t="shared" si="129"/>
        <v>0</v>
      </c>
    </row>
    <row r="1661" spans="1:12" ht="15" customHeight="1" x14ac:dyDescent="0.3">
      <c r="A1661" s="23" t="s">
        <v>14389</v>
      </c>
      <c r="B1661" s="23" t="s">
        <v>75</v>
      </c>
      <c r="C1661" s="39">
        <v>299</v>
      </c>
      <c r="D1661" s="24">
        <v>0</v>
      </c>
      <c r="E1661" s="24">
        <v>0</v>
      </c>
      <c r="F1661" s="23">
        <f>COUNTIFS(mdr_rate_cleaned!$A$2:$A$10,B1661,mdr_rate_cleaned!$B$2:$B$10,"&lt;"&amp;C1661,mdr_rate_cleaned!$F$2:$F$10,"&gt;="&amp;C1661)</f>
        <v>1</v>
      </c>
      <c r="G1661" s="40">
        <f>SUMIFS(mdr_rate_cleaned!$G$2:$G$10,mdr_rate_cleaned!$A$2:$A$10,B1661,mdr_rate_cleaned!$B$2:$B$10,"&lt;"&amp;C1661,mdr_rate_cleaned!$F$2:$F$10,"&gt;="&amp;C1661)</f>
        <v>0</v>
      </c>
      <c r="H1661" s="24">
        <f t="shared" si="125"/>
        <v>0</v>
      </c>
      <c r="I1661" s="23" t="str">
        <f t="shared" si="126"/>
        <v>Match</v>
      </c>
      <c r="J1661" s="23" t="str">
        <f t="shared" si="127"/>
        <v>Match</v>
      </c>
      <c r="K1661" s="24">
        <f t="shared" si="128"/>
        <v>0</v>
      </c>
      <c r="L1661" s="24">
        <f t="shared" si="129"/>
        <v>0</v>
      </c>
    </row>
    <row r="1662" spans="1:12" ht="15" customHeight="1" x14ac:dyDescent="0.3">
      <c r="A1662" s="23" t="s">
        <v>14390</v>
      </c>
      <c r="B1662" s="23" t="s">
        <v>77</v>
      </c>
      <c r="C1662" s="39">
        <v>349</v>
      </c>
      <c r="D1662" s="24">
        <v>6.63</v>
      </c>
      <c r="E1662" s="24">
        <v>1.19</v>
      </c>
      <c r="F1662" s="23">
        <f>COUNTIFS(mdr_rate_cleaned!$A$2:$A$10,B1662,mdr_rate_cleaned!$B$2:$B$10,"&lt;"&amp;C1662,mdr_rate_cleaned!$F$2:$F$10,"&gt;="&amp;C1662)</f>
        <v>1</v>
      </c>
      <c r="G1662" s="40">
        <f>SUMIFS(mdr_rate_cleaned!$G$2:$G$10,mdr_rate_cleaned!$A$2:$A$10,B1662,mdr_rate_cleaned!$B$2:$B$10,"&lt;"&amp;C1662,mdr_rate_cleaned!$F$2:$F$10,"&gt;="&amp;C1662)</f>
        <v>1.9E-2</v>
      </c>
      <c r="H1662" s="24">
        <f t="shared" si="125"/>
        <v>6.63</v>
      </c>
      <c r="I1662" s="23" t="str">
        <f t="shared" si="126"/>
        <v>Match</v>
      </c>
      <c r="J1662" s="23" t="str">
        <f t="shared" si="127"/>
        <v>Match</v>
      </c>
      <c r="K1662" s="24">
        <f t="shared" si="128"/>
        <v>1.19</v>
      </c>
      <c r="L1662" s="24">
        <f t="shared" si="129"/>
        <v>0</v>
      </c>
    </row>
    <row r="1663" spans="1:12" ht="15" customHeight="1" x14ac:dyDescent="0.3">
      <c r="A1663" s="23" t="s">
        <v>14391</v>
      </c>
      <c r="B1663" s="23" t="s">
        <v>79</v>
      </c>
      <c r="C1663" s="39">
        <v>3498</v>
      </c>
      <c r="D1663" s="24">
        <v>55.97</v>
      </c>
      <c r="E1663" s="24">
        <v>10.07</v>
      </c>
      <c r="F1663" s="23">
        <f>COUNTIFS(mdr_rate_cleaned!$A$2:$A$10,B1663,mdr_rate_cleaned!$B$2:$B$10,"&lt;"&amp;C1663,mdr_rate_cleaned!$F$2:$F$10,"&gt;="&amp;C1663)</f>
        <v>1</v>
      </c>
      <c r="G1663" s="40">
        <f>SUMIFS(mdr_rate_cleaned!$G$2:$G$10,mdr_rate_cleaned!$A$2:$A$10,B1663,mdr_rate_cleaned!$B$2:$B$10,"&lt;"&amp;C1663,mdr_rate_cleaned!$F$2:$F$10,"&gt;="&amp;C1663)</f>
        <v>1.6E-2</v>
      </c>
      <c r="H1663" s="24">
        <f t="shared" si="125"/>
        <v>55.97</v>
      </c>
      <c r="I1663" s="23" t="str">
        <f t="shared" si="126"/>
        <v>Match</v>
      </c>
      <c r="J1663" s="23" t="str">
        <f t="shared" si="127"/>
        <v>Match</v>
      </c>
      <c r="K1663" s="24">
        <f t="shared" si="128"/>
        <v>10.07</v>
      </c>
      <c r="L1663" s="24">
        <f t="shared" si="129"/>
        <v>0</v>
      </c>
    </row>
    <row r="1664" spans="1:12" ht="15" customHeight="1" x14ac:dyDescent="0.3">
      <c r="A1664" s="23" t="s">
        <v>14392</v>
      </c>
      <c r="B1664" s="23" t="s">
        <v>77</v>
      </c>
      <c r="C1664" s="39">
        <v>848</v>
      </c>
      <c r="D1664" s="24">
        <v>16.11</v>
      </c>
      <c r="E1664" s="24">
        <v>2.9</v>
      </c>
      <c r="F1664" s="23">
        <f>COUNTIFS(mdr_rate_cleaned!$A$2:$A$10,B1664,mdr_rate_cleaned!$B$2:$B$10,"&lt;"&amp;C1664,mdr_rate_cleaned!$F$2:$F$10,"&gt;="&amp;C1664)</f>
        <v>1</v>
      </c>
      <c r="G1664" s="40">
        <f>SUMIFS(mdr_rate_cleaned!$G$2:$G$10,mdr_rate_cleaned!$A$2:$A$10,B1664,mdr_rate_cleaned!$B$2:$B$10,"&lt;"&amp;C1664,mdr_rate_cleaned!$F$2:$F$10,"&gt;="&amp;C1664)</f>
        <v>1.9E-2</v>
      </c>
      <c r="H1664" s="24">
        <f t="shared" si="125"/>
        <v>16.11</v>
      </c>
      <c r="I1664" s="23" t="str">
        <f t="shared" si="126"/>
        <v>Match</v>
      </c>
      <c r="J1664" s="23" t="str">
        <f t="shared" si="127"/>
        <v>Match</v>
      </c>
      <c r="K1664" s="24">
        <f t="shared" si="128"/>
        <v>2.9</v>
      </c>
      <c r="L1664" s="24">
        <f t="shared" si="129"/>
        <v>0</v>
      </c>
    </row>
    <row r="1665" spans="1:12" ht="15" customHeight="1" x14ac:dyDescent="0.3">
      <c r="A1665" s="23" t="s">
        <v>14393</v>
      </c>
      <c r="B1665" s="23" t="s">
        <v>79</v>
      </c>
      <c r="C1665" s="39">
        <v>1798</v>
      </c>
      <c r="D1665" s="24">
        <v>32.36</v>
      </c>
      <c r="E1665" s="24">
        <v>5.82</v>
      </c>
      <c r="F1665" s="23">
        <f>COUNTIFS(mdr_rate_cleaned!$A$2:$A$10,B1665,mdr_rate_cleaned!$B$2:$B$10,"&lt;"&amp;C1665,mdr_rate_cleaned!$F$2:$F$10,"&gt;="&amp;C1665)</f>
        <v>1</v>
      </c>
      <c r="G1665" s="40">
        <f>SUMIFS(mdr_rate_cleaned!$G$2:$G$10,mdr_rate_cleaned!$A$2:$A$10,B1665,mdr_rate_cleaned!$B$2:$B$10,"&lt;"&amp;C1665,mdr_rate_cleaned!$F$2:$F$10,"&gt;="&amp;C1665)</f>
        <v>1.8000000000000002E-2</v>
      </c>
      <c r="H1665" s="24">
        <f t="shared" si="125"/>
        <v>32.36</v>
      </c>
      <c r="I1665" s="23" t="str">
        <f t="shared" si="126"/>
        <v>Match</v>
      </c>
      <c r="J1665" s="23" t="str">
        <f t="shared" si="127"/>
        <v>Match</v>
      </c>
      <c r="K1665" s="24">
        <f t="shared" si="128"/>
        <v>5.82</v>
      </c>
      <c r="L1665" s="24">
        <f t="shared" si="129"/>
        <v>0</v>
      </c>
    </row>
    <row r="1666" spans="1:12" ht="15" customHeight="1" x14ac:dyDescent="0.3">
      <c r="A1666" s="23" t="s">
        <v>14394</v>
      </c>
      <c r="B1666" s="23" t="s">
        <v>79</v>
      </c>
      <c r="C1666" s="39">
        <v>3197</v>
      </c>
      <c r="D1666" s="24">
        <v>51.15</v>
      </c>
      <c r="E1666" s="24">
        <v>9.2100000000000009</v>
      </c>
      <c r="F1666" s="23">
        <f>COUNTIFS(mdr_rate_cleaned!$A$2:$A$10,B1666,mdr_rate_cleaned!$B$2:$B$10,"&lt;"&amp;C1666,mdr_rate_cleaned!$F$2:$F$10,"&gt;="&amp;C1666)</f>
        <v>1</v>
      </c>
      <c r="G1666" s="40">
        <f>SUMIFS(mdr_rate_cleaned!$G$2:$G$10,mdr_rate_cleaned!$A$2:$A$10,B1666,mdr_rate_cleaned!$B$2:$B$10,"&lt;"&amp;C1666,mdr_rate_cleaned!$F$2:$F$10,"&gt;="&amp;C1666)</f>
        <v>1.6E-2</v>
      </c>
      <c r="H1666" s="24">
        <f t="shared" ref="H1666:H1729" si="130">ROUND(C1666*G1666,2)</f>
        <v>51.15</v>
      </c>
      <c r="I1666" s="23" t="str">
        <f t="shared" ref="I1666:I1729" si="131">IF(ROUND(D1666-H1666,2)=0,"Match","Differs")</f>
        <v>Match</v>
      </c>
      <c r="J1666" s="23" t="str">
        <f t="shared" ref="J1666:J1729" si="132">IF(ROUND(E1666-ROUND(D1666*0.18,2),2)=0,"Match","Differs")</f>
        <v>Match</v>
      </c>
      <c r="K1666" s="24">
        <f t="shared" ref="K1666:K1729" si="133">ROUND(H1666*0.18,2)</f>
        <v>9.2100000000000009</v>
      </c>
      <c r="L1666" s="24">
        <f t="shared" ref="L1666:L1729" si="134">ROUND(D1666+E1666-H1666-K1666,2)</f>
        <v>0</v>
      </c>
    </row>
    <row r="1667" spans="1:12" ht="15" customHeight="1" x14ac:dyDescent="0.3">
      <c r="A1667" s="23" t="s">
        <v>14395</v>
      </c>
      <c r="B1667" s="23" t="s">
        <v>75</v>
      </c>
      <c r="C1667" s="39">
        <v>4998</v>
      </c>
      <c r="D1667" s="24">
        <v>14.99</v>
      </c>
      <c r="E1667" s="24">
        <v>2.7</v>
      </c>
      <c r="F1667" s="23">
        <f>COUNTIFS(mdr_rate_cleaned!$A$2:$A$10,B1667,mdr_rate_cleaned!$B$2:$B$10,"&lt;"&amp;C1667,mdr_rate_cleaned!$F$2:$F$10,"&gt;="&amp;C1667)</f>
        <v>1</v>
      </c>
      <c r="G1667" s="40">
        <f>SUMIFS(mdr_rate_cleaned!$G$2:$G$10,mdr_rate_cleaned!$A$2:$A$10,B1667,mdr_rate_cleaned!$B$2:$B$10,"&lt;"&amp;C1667,mdr_rate_cleaned!$F$2:$F$10,"&gt;="&amp;C1667)</f>
        <v>3.0000000000000001E-3</v>
      </c>
      <c r="H1667" s="24">
        <f t="shared" si="130"/>
        <v>14.99</v>
      </c>
      <c r="I1667" s="23" t="str">
        <f t="shared" si="131"/>
        <v>Match</v>
      </c>
      <c r="J1667" s="23" t="str">
        <f t="shared" si="132"/>
        <v>Match</v>
      </c>
      <c r="K1667" s="24">
        <f t="shared" si="133"/>
        <v>2.7</v>
      </c>
      <c r="L1667" s="24">
        <f t="shared" si="134"/>
        <v>0</v>
      </c>
    </row>
    <row r="1668" spans="1:12" ht="15" customHeight="1" x14ac:dyDescent="0.3">
      <c r="A1668" s="23" t="s">
        <v>14397</v>
      </c>
      <c r="B1668" s="23" t="s">
        <v>75</v>
      </c>
      <c r="C1668" s="39">
        <v>3499</v>
      </c>
      <c r="D1668" s="24">
        <v>10.5</v>
      </c>
      <c r="E1668" s="24">
        <v>1.89</v>
      </c>
      <c r="F1668" s="23">
        <f>COUNTIFS(mdr_rate_cleaned!$A$2:$A$10,B1668,mdr_rate_cleaned!$B$2:$B$10,"&lt;"&amp;C1668,mdr_rate_cleaned!$F$2:$F$10,"&gt;="&amp;C1668)</f>
        <v>1</v>
      </c>
      <c r="G1668" s="40">
        <f>SUMIFS(mdr_rate_cleaned!$G$2:$G$10,mdr_rate_cleaned!$A$2:$A$10,B1668,mdr_rate_cleaned!$B$2:$B$10,"&lt;"&amp;C1668,mdr_rate_cleaned!$F$2:$F$10,"&gt;="&amp;C1668)</f>
        <v>3.0000000000000001E-3</v>
      </c>
      <c r="H1668" s="24">
        <f t="shared" si="130"/>
        <v>10.5</v>
      </c>
      <c r="I1668" s="23" t="str">
        <f t="shared" si="131"/>
        <v>Match</v>
      </c>
      <c r="J1668" s="23" t="str">
        <f t="shared" si="132"/>
        <v>Match</v>
      </c>
      <c r="K1668" s="24">
        <f t="shared" si="133"/>
        <v>1.89</v>
      </c>
      <c r="L1668" s="24">
        <f t="shared" si="134"/>
        <v>0</v>
      </c>
    </row>
    <row r="1669" spans="1:12" ht="15" customHeight="1" x14ac:dyDescent="0.3">
      <c r="A1669" s="23" t="s">
        <v>14398</v>
      </c>
      <c r="B1669" s="23" t="s">
        <v>75</v>
      </c>
      <c r="C1669" s="39">
        <v>6498</v>
      </c>
      <c r="D1669" s="24">
        <v>19.489999999999998</v>
      </c>
      <c r="E1669" s="24">
        <v>3.51</v>
      </c>
      <c r="F1669" s="23">
        <f>COUNTIFS(mdr_rate_cleaned!$A$2:$A$10,B1669,mdr_rate_cleaned!$B$2:$B$10,"&lt;"&amp;C1669,mdr_rate_cleaned!$F$2:$F$10,"&gt;="&amp;C1669)</f>
        <v>1</v>
      </c>
      <c r="G1669" s="40">
        <f>SUMIFS(mdr_rate_cleaned!$G$2:$G$10,mdr_rate_cleaned!$A$2:$A$10,B1669,mdr_rate_cleaned!$B$2:$B$10,"&lt;"&amp;C1669,mdr_rate_cleaned!$F$2:$F$10,"&gt;="&amp;C1669)</f>
        <v>3.0000000000000001E-3</v>
      </c>
      <c r="H1669" s="24">
        <f t="shared" si="130"/>
        <v>19.489999999999998</v>
      </c>
      <c r="I1669" s="23" t="str">
        <f t="shared" si="131"/>
        <v>Match</v>
      </c>
      <c r="J1669" s="23" t="str">
        <f t="shared" si="132"/>
        <v>Match</v>
      </c>
      <c r="K1669" s="24">
        <f t="shared" si="133"/>
        <v>3.51</v>
      </c>
      <c r="L1669" s="24">
        <f t="shared" si="134"/>
        <v>0</v>
      </c>
    </row>
    <row r="1670" spans="1:12" ht="15" customHeight="1" x14ac:dyDescent="0.3">
      <c r="A1670" s="23" t="s">
        <v>14400</v>
      </c>
      <c r="B1670" s="23" t="s">
        <v>81</v>
      </c>
      <c r="C1670" s="39">
        <v>2848</v>
      </c>
      <c r="D1670" s="24">
        <v>34.18</v>
      </c>
      <c r="E1670" s="24">
        <v>6.15</v>
      </c>
      <c r="F1670" s="23">
        <f>COUNTIFS(mdr_rate_cleaned!$A$2:$A$10,B1670,mdr_rate_cleaned!$B$2:$B$10,"&lt;"&amp;C1670,mdr_rate_cleaned!$F$2:$F$10,"&gt;="&amp;C1670)</f>
        <v>1</v>
      </c>
      <c r="G1670" s="40">
        <f>SUMIFS(mdr_rate_cleaned!$G$2:$G$10,mdr_rate_cleaned!$A$2:$A$10,B1670,mdr_rate_cleaned!$B$2:$B$10,"&lt;"&amp;C1670,mdr_rate_cleaned!$F$2:$F$10,"&gt;="&amp;C1670)</f>
        <v>1.2E-2</v>
      </c>
      <c r="H1670" s="24">
        <f t="shared" si="130"/>
        <v>34.18</v>
      </c>
      <c r="I1670" s="23" t="str">
        <f t="shared" si="131"/>
        <v>Match</v>
      </c>
      <c r="J1670" s="23" t="str">
        <f t="shared" si="132"/>
        <v>Match</v>
      </c>
      <c r="K1670" s="24">
        <f t="shared" si="133"/>
        <v>6.15</v>
      </c>
      <c r="L1670" s="24">
        <f t="shared" si="134"/>
        <v>0</v>
      </c>
    </row>
    <row r="1671" spans="1:12" ht="15" customHeight="1" x14ac:dyDescent="0.3">
      <c r="A1671" s="23" t="s">
        <v>14401</v>
      </c>
      <c r="B1671" s="23" t="s">
        <v>75</v>
      </c>
      <c r="C1671" s="39">
        <v>4298</v>
      </c>
      <c r="D1671" s="24">
        <v>12.89</v>
      </c>
      <c r="E1671" s="24">
        <v>2.3199999999999998</v>
      </c>
      <c r="F1671" s="23">
        <f>COUNTIFS(mdr_rate_cleaned!$A$2:$A$10,B1671,mdr_rate_cleaned!$B$2:$B$10,"&lt;"&amp;C1671,mdr_rate_cleaned!$F$2:$F$10,"&gt;="&amp;C1671)</f>
        <v>1</v>
      </c>
      <c r="G1671" s="40">
        <f>SUMIFS(mdr_rate_cleaned!$G$2:$G$10,mdr_rate_cleaned!$A$2:$A$10,B1671,mdr_rate_cleaned!$B$2:$B$10,"&lt;"&amp;C1671,mdr_rate_cleaned!$F$2:$F$10,"&gt;="&amp;C1671)</f>
        <v>3.0000000000000001E-3</v>
      </c>
      <c r="H1671" s="24">
        <f t="shared" si="130"/>
        <v>12.89</v>
      </c>
      <c r="I1671" s="23" t="str">
        <f t="shared" si="131"/>
        <v>Match</v>
      </c>
      <c r="J1671" s="23" t="str">
        <f t="shared" si="132"/>
        <v>Match</v>
      </c>
      <c r="K1671" s="24">
        <f t="shared" si="133"/>
        <v>2.3199999999999998</v>
      </c>
      <c r="L1671" s="24">
        <f t="shared" si="134"/>
        <v>0</v>
      </c>
    </row>
    <row r="1672" spans="1:12" ht="15" customHeight="1" x14ac:dyDescent="0.3">
      <c r="A1672" s="23" t="s">
        <v>14402</v>
      </c>
      <c r="B1672" s="23" t="s">
        <v>79</v>
      </c>
      <c r="C1672" s="39">
        <v>1299</v>
      </c>
      <c r="D1672" s="24">
        <v>23.38</v>
      </c>
      <c r="E1672" s="24">
        <v>4.21</v>
      </c>
      <c r="F1672" s="23">
        <f>COUNTIFS(mdr_rate_cleaned!$A$2:$A$10,B1672,mdr_rate_cleaned!$B$2:$B$10,"&lt;"&amp;C1672,mdr_rate_cleaned!$F$2:$F$10,"&gt;="&amp;C1672)</f>
        <v>1</v>
      </c>
      <c r="G1672" s="40">
        <f>SUMIFS(mdr_rate_cleaned!$G$2:$G$10,mdr_rate_cleaned!$A$2:$A$10,B1672,mdr_rate_cleaned!$B$2:$B$10,"&lt;"&amp;C1672,mdr_rate_cleaned!$F$2:$F$10,"&gt;="&amp;C1672)</f>
        <v>1.8000000000000002E-2</v>
      </c>
      <c r="H1672" s="24">
        <f t="shared" si="130"/>
        <v>23.38</v>
      </c>
      <c r="I1672" s="23" t="str">
        <f t="shared" si="131"/>
        <v>Match</v>
      </c>
      <c r="J1672" s="23" t="str">
        <f t="shared" si="132"/>
        <v>Match</v>
      </c>
      <c r="K1672" s="24">
        <f t="shared" si="133"/>
        <v>4.21</v>
      </c>
      <c r="L1672" s="24">
        <f t="shared" si="134"/>
        <v>0</v>
      </c>
    </row>
    <row r="1673" spans="1:12" ht="15" customHeight="1" x14ac:dyDescent="0.3">
      <c r="A1673" s="23" t="s">
        <v>14403</v>
      </c>
      <c r="B1673" s="23" t="s">
        <v>75</v>
      </c>
      <c r="C1673" s="39">
        <v>349</v>
      </c>
      <c r="D1673" s="24">
        <v>0</v>
      </c>
      <c r="E1673" s="24">
        <v>0</v>
      </c>
      <c r="F1673" s="23">
        <f>COUNTIFS(mdr_rate_cleaned!$A$2:$A$10,B1673,mdr_rate_cleaned!$B$2:$B$10,"&lt;"&amp;C1673,mdr_rate_cleaned!$F$2:$F$10,"&gt;="&amp;C1673)</f>
        <v>1</v>
      </c>
      <c r="G1673" s="40">
        <f>SUMIFS(mdr_rate_cleaned!$G$2:$G$10,mdr_rate_cleaned!$A$2:$A$10,B1673,mdr_rate_cleaned!$B$2:$B$10,"&lt;"&amp;C1673,mdr_rate_cleaned!$F$2:$F$10,"&gt;="&amp;C1673)</f>
        <v>0</v>
      </c>
      <c r="H1673" s="24">
        <f t="shared" si="130"/>
        <v>0</v>
      </c>
      <c r="I1673" s="23" t="str">
        <f t="shared" si="131"/>
        <v>Match</v>
      </c>
      <c r="J1673" s="23" t="str">
        <f t="shared" si="132"/>
        <v>Match</v>
      </c>
      <c r="K1673" s="24">
        <f t="shared" si="133"/>
        <v>0</v>
      </c>
      <c r="L1673" s="24">
        <f t="shared" si="134"/>
        <v>0</v>
      </c>
    </row>
    <row r="1674" spans="1:12" ht="15" customHeight="1" x14ac:dyDescent="0.3">
      <c r="A1674" s="23" t="s">
        <v>14404</v>
      </c>
      <c r="B1674" s="23" t="s">
        <v>75</v>
      </c>
      <c r="C1674" s="39">
        <v>299</v>
      </c>
      <c r="D1674" s="24">
        <v>0</v>
      </c>
      <c r="E1674" s="24">
        <v>0</v>
      </c>
      <c r="F1674" s="23">
        <f>COUNTIFS(mdr_rate_cleaned!$A$2:$A$10,B1674,mdr_rate_cleaned!$B$2:$B$10,"&lt;"&amp;C1674,mdr_rate_cleaned!$F$2:$F$10,"&gt;="&amp;C1674)</f>
        <v>1</v>
      </c>
      <c r="G1674" s="40">
        <f>SUMIFS(mdr_rate_cleaned!$G$2:$G$10,mdr_rate_cleaned!$A$2:$A$10,B1674,mdr_rate_cleaned!$B$2:$B$10,"&lt;"&amp;C1674,mdr_rate_cleaned!$F$2:$F$10,"&gt;="&amp;C1674)</f>
        <v>0</v>
      </c>
      <c r="H1674" s="24">
        <f t="shared" si="130"/>
        <v>0</v>
      </c>
      <c r="I1674" s="23" t="str">
        <f t="shared" si="131"/>
        <v>Match</v>
      </c>
      <c r="J1674" s="23" t="str">
        <f t="shared" si="132"/>
        <v>Match</v>
      </c>
      <c r="K1674" s="24">
        <f t="shared" si="133"/>
        <v>0</v>
      </c>
      <c r="L1674" s="24">
        <f t="shared" si="134"/>
        <v>0</v>
      </c>
    </row>
    <row r="1675" spans="1:12" ht="15" customHeight="1" x14ac:dyDescent="0.3">
      <c r="A1675" s="23" t="s">
        <v>14406</v>
      </c>
      <c r="B1675" s="23" t="s">
        <v>75</v>
      </c>
      <c r="C1675" s="39">
        <v>999</v>
      </c>
      <c r="D1675" s="24">
        <v>0</v>
      </c>
      <c r="E1675" s="24">
        <v>0</v>
      </c>
      <c r="F1675" s="23">
        <f>COUNTIFS(mdr_rate_cleaned!$A$2:$A$10,B1675,mdr_rate_cleaned!$B$2:$B$10,"&lt;"&amp;C1675,mdr_rate_cleaned!$F$2:$F$10,"&gt;="&amp;C1675)</f>
        <v>1</v>
      </c>
      <c r="G1675" s="40">
        <f>SUMIFS(mdr_rate_cleaned!$G$2:$G$10,mdr_rate_cleaned!$A$2:$A$10,B1675,mdr_rate_cleaned!$B$2:$B$10,"&lt;"&amp;C1675,mdr_rate_cleaned!$F$2:$F$10,"&gt;="&amp;C1675)</f>
        <v>0</v>
      </c>
      <c r="H1675" s="24">
        <f t="shared" si="130"/>
        <v>0</v>
      </c>
      <c r="I1675" s="23" t="str">
        <f t="shared" si="131"/>
        <v>Match</v>
      </c>
      <c r="J1675" s="23" t="str">
        <f t="shared" si="132"/>
        <v>Match</v>
      </c>
      <c r="K1675" s="24">
        <f t="shared" si="133"/>
        <v>0</v>
      </c>
      <c r="L1675" s="24">
        <f t="shared" si="134"/>
        <v>0</v>
      </c>
    </row>
    <row r="1676" spans="1:12" ht="15" customHeight="1" x14ac:dyDescent="0.3">
      <c r="A1676" s="23" t="s">
        <v>14407</v>
      </c>
      <c r="B1676" s="23" t="s">
        <v>75</v>
      </c>
      <c r="C1676" s="39">
        <v>5298</v>
      </c>
      <c r="D1676" s="24">
        <v>15.89</v>
      </c>
      <c r="E1676" s="24">
        <v>2.86</v>
      </c>
      <c r="F1676" s="23">
        <f>COUNTIFS(mdr_rate_cleaned!$A$2:$A$10,B1676,mdr_rate_cleaned!$B$2:$B$10,"&lt;"&amp;C1676,mdr_rate_cleaned!$F$2:$F$10,"&gt;="&amp;C1676)</f>
        <v>1</v>
      </c>
      <c r="G1676" s="40">
        <f>SUMIFS(mdr_rate_cleaned!$G$2:$G$10,mdr_rate_cleaned!$A$2:$A$10,B1676,mdr_rate_cleaned!$B$2:$B$10,"&lt;"&amp;C1676,mdr_rate_cleaned!$F$2:$F$10,"&gt;="&amp;C1676)</f>
        <v>3.0000000000000001E-3</v>
      </c>
      <c r="H1676" s="24">
        <f t="shared" si="130"/>
        <v>15.89</v>
      </c>
      <c r="I1676" s="23" t="str">
        <f t="shared" si="131"/>
        <v>Match</v>
      </c>
      <c r="J1676" s="23" t="str">
        <f t="shared" si="132"/>
        <v>Match</v>
      </c>
      <c r="K1676" s="24">
        <f t="shared" si="133"/>
        <v>2.86</v>
      </c>
      <c r="L1676" s="24">
        <f t="shared" si="134"/>
        <v>0</v>
      </c>
    </row>
    <row r="1677" spans="1:12" ht="15" customHeight="1" x14ac:dyDescent="0.3">
      <c r="A1677" s="23" t="s">
        <v>14408</v>
      </c>
      <c r="B1677" s="23" t="s">
        <v>75</v>
      </c>
      <c r="C1677" s="39">
        <v>599</v>
      </c>
      <c r="D1677" s="24">
        <v>0</v>
      </c>
      <c r="E1677" s="24">
        <v>0</v>
      </c>
      <c r="F1677" s="23">
        <f>COUNTIFS(mdr_rate_cleaned!$A$2:$A$10,B1677,mdr_rate_cleaned!$B$2:$B$10,"&lt;"&amp;C1677,mdr_rate_cleaned!$F$2:$F$10,"&gt;="&amp;C1677)</f>
        <v>1</v>
      </c>
      <c r="G1677" s="40">
        <f>SUMIFS(mdr_rate_cleaned!$G$2:$G$10,mdr_rate_cleaned!$A$2:$A$10,B1677,mdr_rate_cleaned!$B$2:$B$10,"&lt;"&amp;C1677,mdr_rate_cleaned!$F$2:$F$10,"&gt;="&amp;C1677)</f>
        <v>0</v>
      </c>
      <c r="H1677" s="24">
        <f t="shared" si="130"/>
        <v>0</v>
      </c>
      <c r="I1677" s="23" t="str">
        <f t="shared" si="131"/>
        <v>Match</v>
      </c>
      <c r="J1677" s="23" t="str">
        <f t="shared" si="132"/>
        <v>Match</v>
      </c>
      <c r="K1677" s="24">
        <f t="shared" si="133"/>
        <v>0</v>
      </c>
      <c r="L1677" s="24">
        <f t="shared" si="134"/>
        <v>0</v>
      </c>
    </row>
    <row r="1678" spans="1:12" ht="15" customHeight="1" x14ac:dyDescent="0.3">
      <c r="A1678" s="23" t="s">
        <v>14409</v>
      </c>
      <c r="B1678" s="23" t="s">
        <v>75</v>
      </c>
      <c r="C1678" s="39">
        <v>7999</v>
      </c>
      <c r="D1678" s="24">
        <v>24</v>
      </c>
      <c r="E1678" s="24">
        <v>4.32</v>
      </c>
      <c r="F1678" s="23">
        <f>COUNTIFS(mdr_rate_cleaned!$A$2:$A$10,B1678,mdr_rate_cleaned!$B$2:$B$10,"&lt;"&amp;C1678,mdr_rate_cleaned!$F$2:$F$10,"&gt;="&amp;C1678)</f>
        <v>1</v>
      </c>
      <c r="G1678" s="40">
        <f>SUMIFS(mdr_rate_cleaned!$G$2:$G$10,mdr_rate_cleaned!$A$2:$A$10,B1678,mdr_rate_cleaned!$B$2:$B$10,"&lt;"&amp;C1678,mdr_rate_cleaned!$F$2:$F$10,"&gt;="&amp;C1678)</f>
        <v>3.0000000000000001E-3</v>
      </c>
      <c r="H1678" s="24">
        <f t="shared" si="130"/>
        <v>24</v>
      </c>
      <c r="I1678" s="23" t="str">
        <f t="shared" si="131"/>
        <v>Match</v>
      </c>
      <c r="J1678" s="23" t="str">
        <f t="shared" si="132"/>
        <v>Match</v>
      </c>
      <c r="K1678" s="24">
        <f t="shared" si="133"/>
        <v>4.32</v>
      </c>
      <c r="L1678" s="24">
        <f t="shared" si="134"/>
        <v>0</v>
      </c>
    </row>
    <row r="1679" spans="1:12" ht="15" customHeight="1" x14ac:dyDescent="0.3">
      <c r="A1679" s="23" t="s">
        <v>14410</v>
      </c>
      <c r="B1679" s="23" t="s">
        <v>75</v>
      </c>
      <c r="C1679" s="39">
        <v>1799</v>
      </c>
      <c r="D1679" s="24">
        <v>0</v>
      </c>
      <c r="E1679" s="24">
        <v>0</v>
      </c>
      <c r="F1679" s="23">
        <f>COUNTIFS(mdr_rate_cleaned!$A$2:$A$10,B1679,mdr_rate_cleaned!$B$2:$B$10,"&lt;"&amp;C1679,mdr_rate_cleaned!$F$2:$F$10,"&gt;="&amp;C1679)</f>
        <v>1</v>
      </c>
      <c r="G1679" s="40">
        <f>SUMIFS(mdr_rate_cleaned!$G$2:$G$10,mdr_rate_cleaned!$A$2:$A$10,B1679,mdr_rate_cleaned!$B$2:$B$10,"&lt;"&amp;C1679,mdr_rate_cleaned!$F$2:$F$10,"&gt;="&amp;C1679)</f>
        <v>0</v>
      </c>
      <c r="H1679" s="24">
        <f t="shared" si="130"/>
        <v>0</v>
      </c>
      <c r="I1679" s="23" t="str">
        <f t="shared" si="131"/>
        <v>Match</v>
      </c>
      <c r="J1679" s="23" t="str">
        <f t="shared" si="132"/>
        <v>Match</v>
      </c>
      <c r="K1679" s="24">
        <f t="shared" si="133"/>
        <v>0</v>
      </c>
      <c r="L1679" s="24">
        <f t="shared" si="134"/>
        <v>0</v>
      </c>
    </row>
    <row r="1680" spans="1:12" ht="15" customHeight="1" x14ac:dyDescent="0.3">
      <c r="A1680" s="23" t="s">
        <v>14411</v>
      </c>
      <c r="B1680" s="23" t="s">
        <v>75</v>
      </c>
      <c r="C1680" s="39">
        <v>2098</v>
      </c>
      <c r="D1680" s="24">
        <v>6.29</v>
      </c>
      <c r="E1680" s="24">
        <v>1.1299999999999999</v>
      </c>
      <c r="F1680" s="23">
        <f>COUNTIFS(mdr_rate_cleaned!$A$2:$A$10,B1680,mdr_rate_cleaned!$B$2:$B$10,"&lt;"&amp;C1680,mdr_rate_cleaned!$F$2:$F$10,"&gt;="&amp;C1680)</f>
        <v>1</v>
      </c>
      <c r="G1680" s="40">
        <f>SUMIFS(mdr_rate_cleaned!$G$2:$G$10,mdr_rate_cleaned!$A$2:$A$10,B1680,mdr_rate_cleaned!$B$2:$B$10,"&lt;"&amp;C1680,mdr_rate_cleaned!$F$2:$F$10,"&gt;="&amp;C1680)</f>
        <v>3.0000000000000001E-3</v>
      </c>
      <c r="H1680" s="24">
        <f t="shared" si="130"/>
        <v>6.29</v>
      </c>
      <c r="I1680" s="23" t="str">
        <f t="shared" si="131"/>
        <v>Match</v>
      </c>
      <c r="J1680" s="23" t="str">
        <f t="shared" si="132"/>
        <v>Match</v>
      </c>
      <c r="K1680" s="24">
        <f t="shared" si="133"/>
        <v>1.1299999999999999</v>
      </c>
      <c r="L1680" s="24">
        <f t="shared" si="134"/>
        <v>0</v>
      </c>
    </row>
    <row r="1681" spans="1:12" ht="15" customHeight="1" x14ac:dyDescent="0.3">
      <c r="A1681" s="23" t="s">
        <v>14412</v>
      </c>
      <c r="B1681" s="23" t="s">
        <v>75</v>
      </c>
      <c r="C1681" s="39">
        <v>5348</v>
      </c>
      <c r="D1681" s="24">
        <v>16.04</v>
      </c>
      <c r="E1681" s="24">
        <v>2.89</v>
      </c>
      <c r="F1681" s="23">
        <f>COUNTIFS(mdr_rate_cleaned!$A$2:$A$10,B1681,mdr_rate_cleaned!$B$2:$B$10,"&lt;"&amp;C1681,mdr_rate_cleaned!$F$2:$F$10,"&gt;="&amp;C1681)</f>
        <v>1</v>
      </c>
      <c r="G1681" s="40">
        <f>SUMIFS(mdr_rate_cleaned!$G$2:$G$10,mdr_rate_cleaned!$A$2:$A$10,B1681,mdr_rate_cleaned!$B$2:$B$10,"&lt;"&amp;C1681,mdr_rate_cleaned!$F$2:$F$10,"&gt;="&amp;C1681)</f>
        <v>3.0000000000000001E-3</v>
      </c>
      <c r="H1681" s="24">
        <f t="shared" si="130"/>
        <v>16.04</v>
      </c>
      <c r="I1681" s="23" t="str">
        <f t="shared" si="131"/>
        <v>Match</v>
      </c>
      <c r="J1681" s="23" t="str">
        <f t="shared" si="132"/>
        <v>Match</v>
      </c>
      <c r="K1681" s="24">
        <f t="shared" si="133"/>
        <v>2.89</v>
      </c>
      <c r="L1681" s="24">
        <f t="shared" si="134"/>
        <v>0</v>
      </c>
    </row>
    <row r="1682" spans="1:12" ht="15" customHeight="1" x14ac:dyDescent="0.3">
      <c r="A1682" s="23" t="s">
        <v>14413</v>
      </c>
      <c r="B1682" s="23" t="s">
        <v>77</v>
      </c>
      <c r="C1682" s="39">
        <v>599</v>
      </c>
      <c r="D1682" s="24">
        <v>11.38</v>
      </c>
      <c r="E1682" s="24">
        <v>2.0499999999999998</v>
      </c>
      <c r="F1682" s="23">
        <f>COUNTIFS(mdr_rate_cleaned!$A$2:$A$10,B1682,mdr_rate_cleaned!$B$2:$B$10,"&lt;"&amp;C1682,mdr_rate_cleaned!$F$2:$F$10,"&gt;="&amp;C1682)</f>
        <v>1</v>
      </c>
      <c r="G1682" s="40">
        <f>SUMIFS(mdr_rate_cleaned!$G$2:$G$10,mdr_rate_cleaned!$A$2:$A$10,B1682,mdr_rate_cleaned!$B$2:$B$10,"&lt;"&amp;C1682,mdr_rate_cleaned!$F$2:$F$10,"&gt;="&amp;C1682)</f>
        <v>1.9E-2</v>
      </c>
      <c r="H1682" s="24">
        <f t="shared" si="130"/>
        <v>11.38</v>
      </c>
      <c r="I1682" s="23" t="str">
        <f t="shared" si="131"/>
        <v>Match</v>
      </c>
      <c r="J1682" s="23" t="str">
        <f t="shared" si="132"/>
        <v>Match</v>
      </c>
      <c r="K1682" s="24">
        <f t="shared" si="133"/>
        <v>2.0499999999999998</v>
      </c>
      <c r="L1682" s="24">
        <f t="shared" si="134"/>
        <v>0</v>
      </c>
    </row>
    <row r="1683" spans="1:12" ht="15" customHeight="1" x14ac:dyDescent="0.3">
      <c r="A1683" s="23" t="s">
        <v>14414</v>
      </c>
      <c r="B1683" s="23" t="s">
        <v>75</v>
      </c>
      <c r="C1683" s="39">
        <v>1799</v>
      </c>
      <c r="D1683" s="24">
        <v>0</v>
      </c>
      <c r="E1683" s="24">
        <v>0</v>
      </c>
      <c r="F1683" s="23">
        <f>COUNTIFS(mdr_rate_cleaned!$A$2:$A$10,B1683,mdr_rate_cleaned!$B$2:$B$10,"&lt;"&amp;C1683,mdr_rate_cleaned!$F$2:$F$10,"&gt;="&amp;C1683)</f>
        <v>1</v>
      </c>
      <c r="G1683" s="40">
        <f>SUMIFS(mdr_rate_cleaned!$G$2:$G$10,mdr_rate_cleaned!$A$2:$A$10,B1683,mdr_rate_cleaned!$B$2:$B$10,"&lt;"&amp;C1683,mdr_rate_cleaned!$F$2:$F$10,"&gt;="&amp;C1683)</f>
        <v>0</v>
      </c>
      <c r="H1683" s="24">
        <f t="shared" si="130"/>
        <v>0</v>
      </c>
      <c r="I1683" s="23" t="str">
        <f t="shared" si="131"/>
        <v>Match</v>
      </c>
      <c r="J1683" s="23" t="str">
        <f t="shared" si="132"/>
        <v>Match</v>
      </c>
      <c r="K1683" s="24">
        <f t="shared" si="133"/>
        <v>0</v>
      </c>
      <c r="L1683" s="24">
        <f t="shared" si="134"/>
        <v>0</v>
      </c>
    </row>
    <row r="1684" spans="1:12" ht="15" customHeight="1" x14ac:dyDescent="0.3">
      <c r="A1684" s="23" t="s">
        <v>14415</v>
      </c>
      <c r="B1684" s="23" t="s">
        <v>79</v>
      </c>
      <c r="C1684" s="39">
        <v>5298</v>
      </c>
      <c r="D1684" s="24">
        <v>84.77</v>
      </c>
      <c r="E1684" s="24">
        <v>15.26</v>
      </c>
      <c r="F1684" s="23">
        <f>COUNTIFS(mdr_rate_cleaned!$A$2:$A$10,B1684,mdr_rate_cleaned!$B$2:$B$10,"&lt;"&amp;C1684,mdr_rate_cleaned!$F$2:$F$10,"&gt;="&amp;C1684)</f>
        <v>1</v>
      </c>
      <c r="G1684" s="40">
        <f>SUMIFS(mdr_rate_cleaned!$G$2:$G$10,mdr_rate_cleaned!$A$2:$A$10,B1684,mdr_rate_cleaned!$B$2:$B$10,"&lt;"&amp;C1684,mdr_rate_cleaned!$F$2:$F$10,"&gt;="&amp;C1684)</f>
        <v>1.6E-2</v>
      </c>
      <c r="H1684" s="24">
        <f t="shared" si="130"/>
        <v>84.77</v>
      </c>
      <c r="I1684" s="23" t="str">
        <f t="shared" si="131"/>
        <v>Match</v>
      </c>
      <c r="J1684" s="23" t="str">
        <f t="shared" si="132"/>
        <v>Match</v>
      </c>
      <c r="K1684" s="24">
        <f t="shared" si="133"/>
        <v>15.26</v>
      </c>
      <c r="L1684" s="24">
        <f t="shared" si="134"/>
        <v>0</v>
      </c>
    </row>
    <row r="1685" spans="1:12" ht="15" customHeight="1" x14ac:dyDescent="0.3">
      <c r="A1685" s="23" t="s">
        <v>14416</v>
      </c>
      <c r="B1685" s="23" t="s">
        <v>81</v>
      </c>
      <c r="C1685" s="39">
        <v>3098</v>
      </c>
      <c r="D1685" s="24">
        <v>37.18</v>
      </c>
      <c r="E1685" s="24">
        <v>6.69</v>
      </c>
      <c r="F1685" s="23">
        <f>COUNTIFS(mdr_rate_cleaned!$A$2:$A$10,B1685,mdr_rate_cleaned!$B$2:$B$10,"&lt;"&amp;C1685,mdr_rate_cleaned!$F$2:$F$10,"&gt;="&amp;C1685)</f>
        <v>1</v>
      </c>
      <c r="G1685" s="40">
        <f>SUMIFS(mdr_rate_cleaned!$G$2:$G$10,mdr_rate_cleaned!$A$2:$A$10,B1685,mdr_rate_cleaned!$B$2:$B$10,"&lt;"&amp;C1685,mdr_rate_cleaned!$F$2:$F$10,"&gt;="&amp;C1685)</f>
        <v>1.2E-2</v>
      </c>
      <c r="H1685" s="24">
        <f t="shared" si="130"/>
        <v>37.18</v>
      </c>
      <c r="I1685" s="23" t="str">
        <f t="shared" si="131"/>
        <v>Match</v>
      </c>
      <c r="J1685" s="23" t="str">
        <f t="shared" si="132"/>
        <v>Match</v>
      </c>
      <c r="K1685" s="24">
        <f t="shared" si="133"/>
        <v>6.69</v>
      </c>
      <c r="L1685" s="24">
        <f t="shared" si="134"/>
        <v>0</v>
      </c>
    </row>
    <row r="1686" spans="1:12" ht="15" customHeight="1" x14ac:dyDescent="0.3">
      <c r="A1686" s="23" t="s">
        <v>14417</v>
      </c>
      <c r="B1686" s="23" t="s">
        <v>79</v>
      </c>
      <c r="C1686" s="39">
        <v>3098</v>
      </c>
      <c r="D1686" s="24">
        <v>49.57</v>
      </c>
      <c r="E1686" s="24">
        <v>8.92</v>
      </c>
      <c r="F1686" s="23">
        <f>COUNTIFS(mdr_rate_cleaned!$A$2:$A$10,B1686,mdr_rate_cleaned!$B$2:$B$10,"&lt;"&amp;C1686,mdr_rate_cleaned!$F$2:$F$10,"&gt;="&amp;C1686)</f>
        <v>1</v>
      </c>
      <c r="G1686" s="40">
        <f>SUMIFS(mdr_rate_cleaned!$G$2:$G$10,mdr_rate_cleaned!$A$2:$A$10,B1686,mdr_rate_cleaned!$B$2:$B$10,"&lt;"&amp;C1686,mdr_rate_cleaned!$F$2:$F$10,"&gt;="&amp;C1686)</f>
        <v>1.6E-2</v>
      </c>
      <c r="H1686" s="24">
        <f t="shared" si="130"/>
        <v>49.57</v>
      </c>
      <c r="I1686" s="23" t="str">
        <f t="shared" si="131"/>
        <v>Match</v>
      </c>
      <c r="J1686" s="23" t="str">
        <f t="shared" si="132"/>
        <v>Match</v>
      </c>
      <c r="K1686" s="24">
        <f t="shared" si="133"/>
        <v>8.92</v>
      </c>
      <c r="L1686" s="24">
        <f t="shared" si="134"/>
        <v>0</v>
      </c>
    </row>
    <row r="1687" spans="1:12" ht="15" customHeight="1" x14ac:dyDescent="0.3">
      <c r="A1687" s="23" t="s">
        <v>14418</v>
      </c>
      <c r="B1687" s="23" t="s">
        <v>79</v>
      </c>
      <c r="C1687" s="39">
        <v>2499</v>
      </c>
      <c r="D1687" s="24">
        <v>39.979999999999997</v>
      </c>
      <c r="E1687" s="24">
        <v>7.2</v>
      </c>
      <c r="F1687" s="23">
        <f>COUNTIFS(mdr_rate_cleaned!$A$2:$A$10,B1687,mdr_rate_cleaned!$B$2:$B$10,"&lt;"&amp;C1687,mdr_rate_cleaned!$F$2:$F$10,"&gt;="&amp;C1687)</f>
        <v>1</v>
      </c>
      <c r="G1687" s="40">
        <f>SUMIFS(mdr_rate_cleaned!$G$2:$G$10,mdr_rate_cleaned!$A$2:$A$10,B1687,mdr_rate_cleaned!$B$2:$B$10,"&lt;"&amp;C1687,mdr_rate_cleaned!$F$2:$F$10,"&gt;="&amp;C1687)</f>
        <v>1.6E-2</v>
      </c>
      <c r="H1687" s="24">
        <f t="shared" si="130"/>
        <v>39.979999999999997</v>
      </c>
      <c r="I1687" s="23" t="str">
        <f t="shared" si="131"/>
        <v>Match</v>
      </c>
      <c r="J1687" s="23" t="str">
        <f t="shared" si="132"/>
        <v>Match</v>
      </c>
      <c r="K1687" s="24">
        <f t="shared" si="133"/>
        <v>7.2</v>
      </c>
      <c r="L1687" s="24">
        <f t="shared" si="134"/>
        <v>0</v>
      </c>
    </row>
    <row r="1688" spans="1:12" ht="15" customHeight="1" x14ac:dyDescent="0.3">
      <c r="A1688" s="23" t="s">
        <v>14420</v>
      </c>
      <c r="B1688" s="23" t="s">
        <v>75</v>
      </c>
      <c r="C1688" s="39">
        <v>2999</v>
      </c>
      <c r="D1688" s="24">
        <v>9</v>
      </c>
      <c r="E1688" s="24">
        <v>1.62</v>
      </c>
      <c r="F1688" s="23">
        <f>COUNTIFS(mdr_rate_cleaned!$A$2:$A$10,B1688,mdr_rate_cleaned!$B$2:$B$10,"&lt;"&amp;C1688,mdr_rate_cleaned!$F$2:$F$10,"&gt;="&amp;C1688)</f>
        <v>1</v>
      </c>
      <c r="G1688" s="40">
        <f>SUMIFS(mdr_rate_cleaned!$G$2:$G$10,mdr_rate_cleaned!$A$2:$A$10,B1688,mdr_rate_cleaned!$B$2:$B$10,"&lt;"&amp;C1688,mdr_rate_cleaned!$F$2:$F$10,"&gt;="&amp;C1688)</f>
        <v>3.0000000000000001E-3</v>
      </c>
      <c r="H1688" s="24">
        <f t="shared" si="130"/>
        <v>9</v>
      </c>
      <c r="I1688" s="23" t="str">
        <f t="shared" si="131"/>
        <v>Match</v>
      </c>
      <c r="J1688" s="23" t="str">
        <f t="shared" si="132"/>
        <v>Match</v>
      </c>
      <c r="K1688" s="24">
        <f t="shared" si="133"/>
        <v>1.62</v>
      </c>
      <c r="L1688" s="24">
        <f t="shared" si="134"/>
        <v>0</v>
      </c>
    </row>
    <row r="1689" spans="1:12" ht="15" customHeight="1" x14ac:dyDescent="0.3">
      <c r="A1689" s="23" t="s">
        <v>14421</v>
      </c>
      <c r="B1689" s="23" t="s">
        <v>79</v>
      </c>
      <c r="C1689" s="39">
        <v>299</v>
      </c>
      <c r="D1689" s="24">
        <v>5.38</v>
      </c>
      <c r="E1689" s="24">
        <v>0.97</v>
      </c>
      <c r="F1689" s="23">
        <f>COUNTIFS(mdr_rate_cleaned!$A$2:$A$10,B1689,mdr_rate_cleaned!$B$2:$B$10,"&lt;"&amp;C1689,mdr_rate_cleaned!$F$2:$F$10,"&gt;="&amp;C1689)</f>
        <v>1</v>
      </c>
      <c r="G1689" s="40">
        <f>SUMIFS(mdr_rate_cleaned!$G$2:$G$10,mdr_rate_cleaned!$A$2:$A$10,B1689,mdr_rate_cleaned!$B$2:$B$10,"&lt;"&amp;C1689,mdr_rate_cleaned!$F$2:$F$10,"&gt;="&amp;C1689)</f>
        <v>1.8000000000000002E-2</v>
      </c>
      <c r="H1689" s="24">
        <f t="shared" si="130"/>
        <v>5.38</v>
      </c>
      <c r="I1689" s="23" t="str">
        <f t="shared" si="131"/>
        <v>Match</v>
      </c>
      <c r="J1689" s="23" t="str">
        <f t="shared" si="132"/>
        <v>Match</v>
      </c>
      <c r="K1689" s="24">
        <f t="shared" si="133"/>
        <v>0.97</v>
      </c>
      <c r="L1689" s="24">
        <f t="shared" si="134"/>
        <v>0</v>
      </c>
    </row>
    <row r="1690" spans="1:12" ht="15" customHeight="1" x14ac:dyDescent="0.3">
      <c r="A1690" s="23" t="s">
        <v>14422</v>
      </c>
      <c r="B1690" s="23" t="s">
        <v>75</v>
      </c>
      <c r="C1690" s="39">
        <v>3298</v>
      </c>
      <c r="D1690" s="24">
        <v>9.89</v>
      </c>
      <c r="E1690" s="24">
        <v>1.78</v>
      </c>
      <c r="F1690" s="23">
        <f>COUNTIFS(mdr_rate_cleaned!$A$2:$A$10,B1690,mdr_rate_cleaned!$B$2:$B$10,"&lt;"&amp;C1690,mdr_rate_cleaned!$F$2:$F$10,"&gt;="&amp;C1690)</f>
        <v>1</v>
      </c>
      <c r="G1690" s="40">
        <f>SUMIFS(mdr_rate_cleaned!$G$2:$G$10,mdr_rate_cleaned!$A$2:$A$10,B1690,mdr_rate_cleaned!$B$2:$B$10,"&lt;"&amp;C1690,mdr_rate_cleaned!$F$2:$F$10,"&gt;="&amp;C1690)</f>
        <v>3.0000000000000001E-3</v>
      </c>
      <c r="H1690" s="24">
        <f t="shared" si="130"/>
        <v>9.89</v>
      </c>
      <c r="I1690" s="23" t="str">
        <f t="shared" si="131"/>
        <v>Match</v>
      </c>
      <c r="J1690" s="23" t="str">
        <f t="shared" si="132"/>
        <v>Match</v>
      </c>
      <c r="K1690" s="24">
        <f t="shared" si="133"/>
        <v>1.78</v>
      </c>
      <c r="L1690" s="24">
        <f t="shared" si="134"/>
        <v>0</v>
      </c>
    </row>
    <row r="1691" spans="1:12" ht="15" customHeight="1" x14ac:dyDescent="0.3">
      <c r="A1691" s="23" t="s">
        <v>14423</v>
      </c>
      <c r="B1691" s="23" t="s">
        <v>77</v>
      </c>
      <c r="C1691" s="39">
        <v>2499</v>
      </c>
      <c r="D1691" s="24">
        <v>59.98</v>
      </c>
      <c r="E1691" s="24">
        <v>10.8</v>
      </c>
      <c r="F1691" s="23">
        <f>COUNTIFS(mdr_rate_cleaned!$A$2:$A$10,B1691,mdr_rate_cleaned!$B$2:$B$10,"&lt;"&amp;C1691,mdr_rate_cleaned!$F$2:$F$10,"&gt;="&amp;C1691)</f>
        <v>1</v>
      </c>
      <c r="G1691" s="40">
        <f>SUMIFS(mdr_rate_cleaned!$G$2:$G$10,mdr_rate_cleaned!$A$2:$A$10,B1691,mdr_rate_cleaned!$B$2:$B$10,"&lt;"&amp;C1691,mdr_rate_cleaned!$F$2:$F$10,"&gt;="&amp;C1691)</f>
        <v>1.7000000000000001E-2</v>
      </c>
      <c r="H1691" s="24">
        <f t="shared" si="130"/>
        <v>42.48</v>
      </c>
      <c r="I1691" s="23" t="str">
        <f t="shared" si="131"/>
        <v>Differs</v>
      </c>
      <c r="J1691" s="23" t="str">
        <f t="shared" si="132"/>
        <v>Match</v>
      </c>
      <c r="K1691" s="24">
        <f t="shared" si="133"/>
        <v>7.65</v>
      </c>
      <c r="L1691" s="24">
        <f t="shared" si="134"/>
        <v>20.65</v>
      </c>
    </row>
    <row r="1692" spans="1:12" ht="15" customHeight="1" x14ac:dyDescent="0.3">
      <c r="A1692" s="23" t="s">
        <v>14424</v>
      </c>
      <c r="B1692" s="23" t="s">
        <v>79</v>
      </c>
      <c r="C1692" s="39">
        <v>2499</v>
      </c>
      <c r="D1692" s="24">
        <v>39.979999999999997</v>
      </c>
      <c r="E1692" s="24">
        <v>7.2</v>
      </c>
      <c r="F1692" s="23">
        <f>COUNTIFS(mdr_rate_cleaned!$A$2:$A$10,B1692,mdr_rate_cleaned!$B$2:$B$10,"&lt;"&amp;C1692,mdr_rate_cleaned!$F$2:$F$10,"&gt;="&amp;C1692)</f>
        <v>1</v>
      </c>
      <c r="G1692" s="40">
        <f>SUMIFS(mdr_rate_cleaned!$G$2:$G$10,mdr_rate_cleaned!$A$2:$A$10,B1692,mdr_rate_cleaned!$B$2:$B$10,"&lt;"&amp;C1692,mdr_rate_cleaned!$F$2:$F$10,"&gt;="&amp;C1692)</f>
        <v>1.6E-2</v>
      </c>
      <c r="H1692" s="24">
        <f t="shared" si="130"/>
        <v>39.979999999999997</v>
      </c>
      <c r="I1692" s="23" t="str">
        <f t="shared" si="131"/>
        <v>Match</v>
      </c>
      <c r="J1692" s="23" t="str">
        <f t="shared" si="132"/>
        <v>Match</v>
      </c>
      <c r="K1692" s="24">
        <f t="shared" si="133"/>
        <v>7.2</v>
      </c>
      <c r="L1692" s="24">
        <f t="shared" si="134"/>
        <v>0</v>
      </c>
    </row>
    <row r="1693" spans="1:12" ht="15" customHeight="1" x14ac:dyDescent="0.3">
      <c r="A1693" s="23" t="s">
        <v>14425</v>
      </c>
      <c r="B1693" s="23" t="s">
        <v>75</v>
      </c>
      <c r="C1693" s="39">
        <v>1299</v>
      </c>
      <c r="D1693" s="24">
        <v>0</v>
      </c>
      <c r="E1693" s="24">
        <v>0</v>
      </c>
      <c r="F1693" s="23">
        <f>COUNTIFS(mdr_rate_cleaned!$A$2:$A$10,B1693,mdr_rate_cleaned!$B$2:$B$10,"&lt;"&amp;C1693,mdr_rate_cleaned!$F$2:$F$10,"&gt;="&amp;C1693)</f>
        <v>1</v>
      </c>
      <c r="G1693" s="40">
        <f>SUMIFS(mdr_rate_cleaned!$G$2:$G$10,mdr_rate_cleaned!$A$2:$A$10,B1693,mdr_rate_cleaned!$B$2:$B$10,"&lt;"&amp;C1693,mdr_rate_cleaned!$F$2:$F$10,"&gt;="&amp;C1693)</f>
        <v>0</v>
      </c>
      <c r="H1693" s="24">
        <f t="shared" si="130"/>
        <v>0</v>
      </c>
      <c r="I1693" s="23" t="str">
        <f t="shared" si="131"/>
        <v>Match</v>
      </c>
      <c r="J1693" s="23" t="str">
        <f t="shared" si="132"/>
        <v>Match</v>
      </c>
      <c r="K1693" s="24">
        <f t="shared" si="133"/>
        <v>0</v>
      </c>
      <c r="L1693" s="24">
        <f t="shared" si="134"/>
        <v>0</v>
      </c>
    </row>
    <row r="1694" spans="1:12" ht="15" customHeight="1" x14ac:dyDescent="0.3">
      <c r="A1694" s="23" t="s">
        <v>14426</v>
      </c>
      <c r="B1694" s="23" t="s">
        <v>77</v>
      </c>
      <c r="C1694" s="39">
        <v>3997</v>
      </c>
      <c r="D1694" s="24">
        <v>67.95</v>
      </c>
      <c r="E1694" s="24">
        <v>12.23</v>
      </c>
      <c r="F1694" s="23">
        <f>COUNTIFS(mdr_rate_cleaned!$A$2:$A$10,B1694,mdr_rate_cleaned!$B$2:$B$10,"&lt;"&amp;C1694,mdr_rate_cleaned!$F$2:$F$10,"&gt;="&amp;C1694)</f>
        <v>1</v>
      </c>
      <c r="G1694" s="40">
        <f>SUMIFS(mdr_rate_cleaned!$G$2:$G$10,mdr_rate_cleaned!$A$2:$A$10,B1694,mdr_rate_cleaned!$B$2:$B$10,"&lt;"&amp;C1694,mdr_rate_cleaned!$F$2:$F$10,"&gt;="&amp;C1694)</f>
        <v>1.7000000000000001E-2</v>
      </c>
      <c r="H1694" s="24">
        <f t="shared" si="130"/>
        <v>67.95</v>
      </c>
      <c r="I1694" s="23" t="str">
        <f t="shared" si="131"/>
        <v>Match</v>
      </c>
      <c r="J1694" s="23" t="str">
        <f t="shared" si="132"/>
        <v>Match</v>
      </c>
      <c r="K1694" s="24">
        <f t="shared" si="133"/>
        <v>12.23</v>
      </c>
      <c r="L1694" s="24">
        <f t="shared" si="134"/>
        <v>0</v>
      </c>
    </row>
    <row r="1695" spans="1:12" ht="15" customHeight="1" x14ac:dyDescent="0.3">
      <c r="A1695" s="23" t="s">
        <v>14427</v>
      </c>
      <c r="B1695" s="23" t="s">
        <v>75</v>
      </c>
      <c r="C1695" s="39">
        <v>349</v>
      </c>
      <c r="D1695" s="24">
        <v>0</v>
      </c>
      <c r="E1695" s="24">
        <v>0</v>
      </c>
      <c r="F1695" s="23">
        <f>COUNTIFS(mdr_rate_cleaned!$A$2:$A$10,B1695,mdr_rate_cleaned!$B$2:$B$10,"&lt;"&amp;C1695,mdr_rate_cleaned!$F$2:$F$10,"&gt;="&amp;C1695)</f>
        <v>1</v>
      </c>
      <c r="G1695" s="40">
        <f>SUMIFS(mdr_rate_cleaned!$G$2:$G$10,mdr_rate_cleaned!$A$2:$A$10,B1695,mdr_rate_cleaned!$B$2:$B$10,"&lt;"&amp;C1695,mdr_rate_cleaned!$F$2:$F$10,"&gt;="&amp;C1695)</f>
        <v>0</v>
      </c>
      <c r="H1695" s="24">
        <f t="shared" si="130"/>
        <v>0</v>
      </c>
      <c r="I1695" s="23" t="str">
        <f t="shared" si="131"/>
        <v>Match</v>
      </c>
      <c r="J1695" s="23" t="str">
        <f t="shared" si="132"/>
        <v>Match</v>
      </c>
      <c r="K1695" s="24">
        <f t="shared" si="133"/>
        <v>0</v>
      </c>
      <c r="L1695" s="24">
        <f t="shared" si="134"/>
        <v>0</v>
      </c>
    </row>
    <row r="1696" spans="1:12" ht="15" customHeight="1" x14ac:dyDescent="0.3">
      <c r="A1696" s="23" t="s">
        <v>14428</v>
      </c>
      <c r="B1696" s="23" t="s">
        <v>75</v>
      </c>
      <c r="C1696" s="39">
        <v>4798</v>
      </c>
      <c r="D1696" s="24">
        <v>14.39</v>
      </c>
      <c r="E1696" s="24">
        <v>2.59</v>
      </c>
      <c r="F1696" s="23">
        <f>COUNTIFS(mdr_rate_cleaned!$A$2:$A$10,B1696,mdr_rate_cleaned!$B$2:$B$10,"&lt;"&amp;C1696,mdr_rate_cleaned!$F$2:$F$10,"&gt;="&amp;C1696)</f>
        <v>1</v>
      </c>
      <c r="G1696" s="40">
        <f>SUMIFS(mdr_rate_cleaned!$G$2:$G$10,mdr_rate_cleaned!$A$2:$A$10,B1696,mdr_rate_cleaned!$B$2:$B$10,"&lt;"&amp;C1696,mdr_rate_cleaned!$F$2:$F$10,"&gt;="&amp;C1696)</f>
        <v>3.0000000000000001E-3</v>
      </c>
      <c r="H1696" s="24">
        <f t="shared" si="130"/>
        <v>14.39</v>
      </c>
      <c r="I1696" s="23" t="str">
        <f t="shared" si="131"/>
        <v>Match</v>
      </c>
      <c r="J1696" s="23" t="str">
        <f t="shared" si="132"/>
        <v>Match</v>
      </c>
      <c r="K1696" s="24">
        <f t="shared" si="133"/>
        <v>2.59</v>
      </c>
      <c r="L1696" s="24">
        <f t="shared" si="134"/>
        <v>0</v>
      </c>
    </row>
    <row r="1697" spans="1:12" ht="15" customHeight="1" x14ac:dyDescent="0.3">
      <c r="A1697" s="23" t="s">
        <v>14429</v>
      </c>
      <c r="B1697" s="23" t="s">
        <v>75</v>
      </c>
      <c r="C1697" s="39">
        <v>1898</v>
      </c>
      <c r="D1697" s="24">
        <v>0</v>
      </c>
      <c r="E1697" s="24">
        <v>0</v>
      </c>
      <c r="F1697" s="23">
        <f>COUNTIFS(mdr_rate_cleaned!$A$2:$A$10,B1697,mdr_rate_cleaned!$B$2:$B$10,"&lt;"&amp;C1697,mdr_rate_cleaned!$F$2:$F$10,"&gt;="&amp;C1697)</f>
        <v>1</v>
      </c>
      <c r="G1697" s="40">
        <f>SUMIFS(mdr_rate_cleaned!$G$2:$G$10,mdr_rate_cleaned!$A$2:$A$10,B1697,mdr_rate_cleaned!$B$2:$B$10,"&lt;"&amp;C1697,mdr_rate_cleaned!$F$2:$F$10,"&gt;="&amp;C1697)</f>
        <v>0</v>
      </c>
      <c r="H1697" s="24">
        <f t="shared" si="130"/>
        <v>0</v>
      </c>
      <c r="I1697" s="23" t="str">
        <f t="shared" si="131"/>
        <v>Match</v>
      </c>
      <c r="J1697" s="23" t="str">
        <f t="shared" si="132"/>
        <v>Match</v>
      </c>
      <c r="K1697" s="24">
        <f t="shared" si="133"/>
        <v>0</v>
      </c>
      <c r="L1697" s="24">
        <f t="shared" si="134"/>
        <v>0</v>
      </c>
    </row>
    <row r="1698" spans="1:12" ht="15" customHeight="1" x14ac:dyDescent="0.3">
      <c r="A1698" s="23" t="s">
        <v>14430</v>
      </c>
      <c r="B1698" s="23" t="s">
        <v>79</v>
      </c>
      <c r="C1698" s="39">
        <v>948</v>
      </c>
      <c r="D1698" s="24">
        <v>17.059999999999999</v>
      </c>
      <c r="E1698" s="24">
        <v>3.07</v>
      </c>
      <c r="F1698" s="23">
        <f>COUNTIFS(mdr_rate_cleaned!$A$2:$A$10,B1698,mdr_rate_cleaned!$B$2:$B$10,"&lt;"&amp;C1698,mdr_rate_cleaned!$F$2:$F$10,"&gt;="&amp;C1698)</f>
        <v>1</v>
      </c>
      <c r="G1698" s="40">
        <f>SUMIFS(mdr_rate_cleaned!$G$2:$G$10,mdr_rate_cleaned!$A$2:$A$10,B1698,mdr_rate_cleaned!$B$2:$B$10,"&lt;"&amp;C1698,mdr_rate_cleaned!$F$2:$F$10,"&gt;="&amp;C1698)</f>
        <v>1.8000000000000002E-2</v>
      </c>
      <c r="H1698" s="24">
        <f t="shared" si="130"/>
        <v>17.059999999999999</v>
      </c>
      <c r="I1698" s="23" t="str">
        <f t="shared" si="131"/>
        <v>Match</v>
      </c>
      <c r="J1698" s="23" t="str">
        <f t="shared" si="132"/>
        <v>Match</v>
      </c>
      <c r="K1698" s="24">
        <f t="shared" si="133"/>
        <v>3.07</v>
      </c>
      <c r="L1698" s="24">
        <f t="shared" si="134"/>
        <v>0</v>
      </c>
    </row>
    <row r="1699" spans="1:12" ht="15" customHeight="1" x14ac:dyDescent="0.3">
      <c r="A1699" s="23" t="s">
        <v>14431</v>
      </c>
      <c r="B1699" s="23" t="s">
        <v>75</v>
      </c>
      <c r="C1699" s="39">
        <v>3499</v>
      </c>
      <c r="D1699" s="24">
        <v>10.5</v>
      </c>
      <c r="E1699" s="24">
        <v>1.89</v>
      </c>
      <c r="F1699" s="23">
        <f>COUNTIFS(mdr_rate_cleaned!$A$2:$A$10,B1699,mdr_rate_cleaned!$B$2:$B$10,"&lt;"&amp;C1699,mdr_rate_cleaned!$F$2:$F$10,"&gt;="&amp;C1699)</f>
        <v>1</v>
      </c>
      <c r="G1699" s="40">
        <f>SUMIFS(mdr_rate_cleaned!$G$2:$G$10,mdr_rate_cleaned!$A$2:$A$10,B1699,mdr_rate_cleaned!$B$2:$B$10,"&lt;"&amp;C1699,mdr_rate_cleaned!$F$2:$F$10,"&gt;="&amp;C1699)</f>
        <v>3.0000000000000001E-3</v>
      </c>
      <c r="H1699" s="24">
        <f t="shared" si="130"/>
        <v>10.5</v>
      </c>
      <c r="I1699" s="23" t="str">
        <f t="shared" si="131"/>
        <v>Match</v>
      </c>
      <c r="J1699" s="23" t="str">
        <f t="shared" si="132"/>
        <v>Match</v>
      </c>
      <c r="K1699" s="24">
        <f t="shared" si="133"/>
        <v>1.89</v>
      </c>
      <c r="L1699" s="24">
        <f t="shared" si="134"/>
        <v>0</v>
      </c>
    </row>
    <row r="1700" spans="1:12" ht="15" customHeight="1" x14ac:dyDescent="0.3">
      <c r="A1700" s="23" t="s">
        <v>14433</v>
      </c>
      <c r="B1700" s="23" t="s">
        <v>75</v>
      </c>
      <c r="C1700" s="39">
        <v>4999</v>
      </c>
      <c r="D1700" s="24">
        <v>15</v>
      </c>
      <c r="E1700" s="24">
        <v>2.7</v>
      </c>
      <c r="F1700" s="23">
        <f>COUNTIFS(mdr_rate_cleaned!$A$2:$A$10,B1700,mdr_rate_cleaned!$B$2:$B$10,"&lt;"&amp;C1700,mdr_rate_cleaned!$F$2:$F$10,"&gt;="&amp;C1700)</f>
        <v>1</v>
      </c>
      <c r="G1700" s="40">
        <f>SUMIFS(mdr_rate_cleaned!$G$2:$G$10,mdr_rate_cleaned!$A$2:$A$10,B1700,mdr_rate_cleaned!$B$2:$B$10,"&lt;"&amp;C1700,mdr_rate_cleaned!$F$2:$F$10,"&gt;="&amp;C1700)</f>
        <v>3.0000000000000001E-3</v>
      </c>
      <c r="H1700" s="24">
        <f t="shared" si="130"/>
        <v>15</v>
      </c>
      <c r="I1700" s="23" t="str">
        <f t="shared" si="131"/>
        <v>Match</v>
      </c>
      <c r="J1700" s="23" t="str">
        <f t="shared" si="132"/>
        <v>Match</v>
      </c>
      <c r="K1700" s="24">
        <f t="shared" si="133"/>
        <v>2.7</v>
      </c>
      <c r="L1700" s="24">
        <f t="shared" si="134"/>
        <v>0</v>
      </c>
    </row>
    <row r="1701" spans="1:12" ht="15" customHeight="1" x14ac:dyDescent="0.3">
      <c r="A1701" s="23" t="s">
        <v>14435</v>
      </c>
      <c r="B1701" s="23" t="s">
        <v>75</v>
      </c>
      <c r="C1701" s="39">
        <v>4397</v>
      </c>
      <c r="D1701" s="24">
        <v>13.19</v>
      </c>
      <c r="E1701" s="24">
        <v>2.37</v>
      </c>
      <c r="F1701" s="23">
        <f>COUNTIFS(mdr_rate_cleaned!$A$2:$A$10,B1701,mdr_rate_cleaned!$B$2:$B$10,"&lt;"&amp;C1701,mdr_rate_cleaned!$F$2:$F$10,"&gt;="&amp;C1701)</f>
        <v>1</v>
      </c>
      <c r="G1701" s="40">
        <f>SUMIFS(mdr_rate_cleaned!$G$2:$G$10,mdr_rate_cleaned!$A$2:$A$10,B1701,mdr_rate_cleaned!$B$2:$B$10,"&lt;"&amp;C1701,mdr_rate_cleaned!$F$2:$F$10,"&gt;="&amp;C1701)</f>
        <v>3.0000000000000001E-3</v>
      </c>
      <c r="H1701" s="24">
        <f t="shared" si="130"/>
        <v>13.19</v>
      </c>
      <c r="I1701" s="23" t="str">
        <f t="shared" si="131"/>
        <v>Match</v>
      </c>
      <c r="J1701" s="23" t="str">
        <f t="shared" si="132"/>
        <v>Match</v>
      </c>
      <c r="K1701" s="24">
        <f t="shared" si="133"/>
        <v>2.37</v>
      </c>
      <c r="L1701" s="24">
        <f t="shared" si="134"/>
        <v>0</v>
      </c>
    </row>
    <row r="1702" spans="1:12" ht="15" customHeight="1" x14ac:dyDescent="0.3">
      <c r="A1702" s="23" t="s">
        <v>14437</v>
      </c>
      <c r="B1702" s="23" t="s">
        <v>75</v>
      </c>
      <c r="C1702" s="39">
        <v>2398</v>
      </c>
      <c r="D1702" s="24">
        <v>7.19</v>
      </c>
      <c r="E1702" s="24">
        <v>1.29</v>
      </c>
      <c r="F1702" s="23">
        <f>COUNTIFS(mdr_rate_cleaned!$A$2:$A$10,B1702,mdr_rate_cleaned!$B$2:$B$10,"&lt;"&amp;C1702,mdr_rate_cleaned!$F$2:$F$10,"&gt;="&amp;C1702)</f>
        <v>1</v>
      </c>
      <c r="G1702" s="40">
        <f>SUMIFS(mdr_rate_cleaned!$G$2:$G$10,mdr_rate_cleaned!$A$2:$A$10,B1702,mdr_rate_cleaned!$B$2:$B$10,"&lt;"&amp;C1702,mdr_rate_cleaned!$F$2:$F$10,"&gt;="&amp;C1702)</f>
        <v>3.0000000000000001E-3</v>
      </c>
      <c r="H1702" s="24">
        <f t="shared" si="130"/>
        <v>7.19</v>
      </c>
      <c r="I1702" s="23" t="str">
        <f t="shared" si="131"/>
        <v>Match</v>
      </c>
      <c r="J1702" s="23" t="str">
        <f t="shared" si="132"/>
        <v>Match</v>
      </c>
      <c r="K1702" s="24">
        <f t="shared" si="133"/>
        <v>1.29</v>
      </c>
      <c r="L1702" s="24">
        <f t="shared" si="134"/>
        <v>0</v>
      </c>
    </row>
    <row r="1703" spans="1:12" ht="15" customHeight="1" x14ac:dyDescent="0.3">
      <c r="A1703" s="23" t="s">
        <v>14438</v>
      </c>
      <c r="B1703" s="23" t="s">
        <v>75</v>
      </c>
      <c r="C1703" s="39">
        <v>3098</v>
      </c>
      <c r="D1703" s="24">
        <v>9.2899999999999991</v>
      </c>
      <c r="E1703" s="24">
        <v>1.67</v>
      </c>
      <c r="F1703" s="23">
        <f>COUNTIFS(mdr_rate_cleaned!$A$2:$A$10,B1703,mdr_rate_cleaned!$B$2:$B$10,"&lt;"&amp;C1703,mdr_rate_cleaned!$F$2:$F$10,"&gt;="&amp;C1703)</f>
        <v>1</v>
      </c>
      <c r="G1703" s="40">
        <f>SUMIFS(mdr_rate_cleaned!$G$2:$G$10,mdr_rate_cleaned!$A$2:$A$10,B1703,mdr_rate_cleaned!$B$2:$B$10,"&lt;"&amp;C1703,mdr_rate_cleaned!$F$2:$F$10,"&gt;="&amp;C1703)</f>
        <v>3.0000000000000001E-3</v>
      </c>
      <c r="H1703" s="24">
        <f t="shared" si="130"/>
        <v>9.2899999999999991</v>
      </c>
      <c r="I1703" s="23" t="str">
        <f t="shared" si="131"/>
        <v>Match</v>
      </c>
      <c r="J1703" s="23" t="str">
        <f t="shared" si="132"/>
        <v>Match</v>
      </c>
      <c r="K1703" s="24">
        <f t="shared" si="133"/>
        <v>1.67</v>
      </c>
      <c r="L1703" s="24">
        <f t="shared" si="134"/>
        <v>0</v>
      </c>
    </row>
    <row r="1704" spans="1:12" ht="15" customHeight="1" x14ac:dyDescent="0.3">
      <c r="A1704" s="23" t="s">
        <v>14440</v>
      </c>
      <c r="B1704" s="23" t="s">
        <v>81</v>
      </c>
      <c r="C1704" s="39">
        <v>499</v>
      </c>
      <c r="D1704" s="24">
        <v>7.49</v>
      </c>
      <c r="E1704" s="24">
        <v>1.35</v>
      </c>
      <c r="F1704" s="23">
        <f>COUNTIFS(mdr_rate_cleaned!$A$2:$A$10,B1704,mdr_rate_cleaned!$B$2:$B$10,"&lt;"&amp;C1704,mdr_rate_cleaned!$F$2:$F$10,"&gt;="&amp;C1704)</f>
        <v>1</v>
      </c>
      <c r="G1704" s="40">
        <f>SUMIFS(mdr_rate_cleaned!$G$2:$G$10,mdr_rate_cleaned!$A$2:$A$10,B1704,mdr_rate_cleaned!$B$2:$B$10,"&lt;"&amp;C1704,mdr_rate_cleaned!$F$2:$F$10,"&gt;="&amp;C1704)</f>
        <v>1.4999999999999999E-2</v>
      </c>
      <c r="H1704" s="24">
        <f t="shared" si="130"/>
        <v>7.49</v>
      </c>
      <c r="I1704" s="23" t="str">
        <f t="shared" si="131"/>
        <v>Match</v>
      </c>
      <c r="J1704" s="23" t="str">
        <f t="shared" si="132"/>
        <v>Match</v>
      </c>
      <c r="K1704" s="24">
        <f t="shared" si="133"/>
        <v>1.35</v>
      </c>
      <c r="L1704" s="24">
        <f t="shared" si="134"/>
        <v>0</v>
      </c>
    </row>
    <row r="1705" spans="1:12" ht="15" customHeight="1" x14ac:dyDescent="0.3">
      <c r="A1705" s="23" t="s">
        <v>14441</v>
      </c>
      <c r="B1705" s="23" t="s">
        <v>75</v>
      </c>
      <c r="C1705" s="39">
        <v>1598</v>
      </c>
      <c r="D1705" s="24">
        <v>0</v>
      </c>
      <c r="E1705" s="24">
        <v>0</v>
      </c>
      <c r="F1705" s="23">
        <f>COUNTIFS(mdr_rate_cleaned!$A$2:$A$10,B1705,mdr_rate_cleaned!$B$2:$B$10,"&lt;"&amp;C1705,mdr_rate_cleaned!$F$2:$F$10,"&gt;="&amp;C1705)</f>
        <v>1</v>
      </c>
      <c r="G1705" s="40">
        <f>SUMIFS(mdr_rate_cleaned!$G$2:$G$10,mdr_rate_cleaned!$A$2:$A$10,B1705,mdr_rate_cleaned!$B$2:$B$10,"&lt;"&amp;C1705,mdr_rate_cleaned!$F$2:$F$10,"&gt;="&amp;C1705)</f>
        <v>0</v>
      </c>
      <c r="H1705" s="24">
        <f t="shared" si="130"/>
        <v>0</v>
      </c>
      <c r="I1705" s="23" t="str">
        <f t="shared" si="131"/>
        <v>Match</v>
      </c>
      <c r="J1705" s="23" t="str">
        <f t="shared" si="132"/>
        <v>Match</v>
      </c>
      <c r="K1705" s="24">
        <f t="shared" si="133"/>
        <v>0</v>
      </c>
      <c r="L1705" s="24">
        <f t="shared" si="134"/>
        <v>0</v>
      </c>
    </row>
    <row r="1706" spans="1:12" ht="15" customHeight="1" x14ac:dyDescent="0.3">
      <c r="A1706" s="23" t="s">
        <v>14442</v>
      </c>
      <c r="B1706" s="23" t="s">
        <v>75</v>
      </c>
      <c r="C1706" s="39">
        <v>1598</v>
      </c>
      <c r="D1706" s="24">
        <v>0</v>
      </c>
      <c r="E1706" s="24">
        <v>0</v>
      </c>
      <c r="F1706" s="23">
        <f>COUNTIFS(mdr_rate_cleaned!$A$2:$A$10,B1706,mdr_rate_cleaned!$B$2:$B$10,"&lt;"&amp;C1706,mdr_rate_cleaned!$F$2:$F$10,"&gt;="&amp;C1706)</f>
        <v>1</v>
      </c>
      <c r="G1706" s="40">
        <f>SUMIFS(mdr_rate_cleaned!$G$2:$G$10,mdr_rate_cleaned!$A$2:$A$10,B1706,mdr_rate_cleaned!$B$2:$B$10,"&lt;"&amp;C1706,mdr_rate_cleaned!$F$2:$F$10,"&gt;="&amp;C1706)</f>
        <v>0</v>
      </c>
      <c r="H1706" s="24">
        <f t="shared" si="130"/>
        <v>0</v>
      </c>
      <c r="I1706" s="23" t="str">
        <f t="shared" si="131"/>
        <v>Match</v>
      </c>
      <c r="J1706" s="23" t="str">
        <f t="shared" si="132"/>
        <v>Match</v>
      </c>
      <c r="K1706" s="24">
        <f t="shared" si="133"/>
        <v>0</v>
      </c>
      <c r="L1706" s="24">
        <f t="shared" si="134"/>
        <v>0</v>
      </c>
    </row>
    <row r="1707" spans="1:12" ht="15" customHeight="1" x14ac:dyDescent="0.3">
      <c r="A1707" s="23" t="s">
        <v>14443</v>
      </c>
      <c r="B1707" s="23" t="s">
        <v>79</v>
      </c>
      <c r="C1707" s="39">
        <v>2147</v>
      </c>
      <c r="D1707" s="24">
        <v>34.35</v>
      </c>
      <c r="E1707" s="24">
        <v>6.18</v>
      </c>
      <c r="F1707" s="23">
        <f>COUNTIFS(mdr_rate_cleaned!$A$2:$A$10,B1707,mdr_rate_cleaned!$B$2:$B$10,"&lt;"&amp;C1707,mdr_rate_cleaned!$F$2:$F$10,"&gt;="&amp;C1707)</f>
        <v>1</v>
      </c>
      <c r="G1707" s="40">
        <f>SUMIFS(mdr_rate_cleaned!$G$2:$G$10,mdr_rate_cleaned!$A$2:$A$10,B1707,mdr_rate_cleaned!$B$2:$B$10,"&lt;"&amp;C1707,mdr_rate_cleaned!$F$2:$F$10,"&gt;="&amp;C1707)</f>
        <v>1.6E-2</v>
      </c>
      <c r="H1707" s="24">
        <f t="shared" si="130"/>
        <v>34.35</v>
      </c>
      <c r="I1707" s="23" t="str">
        <f t="shared" si="131"/>
        <v>Match</v>
      </c>
      <c r="J1707" s="23" t="str">
        <f t="shared" si="132"/>
        <v>Match</v>
      </c>
      <c r="K1707" s="24">
        <f t="shared" si="133"/>
        <v>6.18</v>
      </c>
      <c r="L1707" s="24">
        <f t="shared" si="134"/>
        <v>0</v>
      </c>
    </row>
    <row r="1708" spans="1:12" ht="15" customHeight="1" x14ac:dyDescent="0.3">
      <c r="A1708" s="23" t="s">
        <v>14444</v>
      </c>
      <c r="B1708" s="23" t="s">
        <v>75</v>
      </c>
      <c r="C1708" s="39">
        <v>3098</v>
      </c>
      <c r="D1708" s="24">
        <v>9.2899999999999991</v>
      </c>
      <c r="E1708" s="24">
        <v>1.67</v>
      </c>
      <c r="F1708" s="23">
        <f>COUNTIFS(mdr_rate_cleaned!$A$2:$A$10,B1708,mdr_rate_cleaned!$B$2:$B$10,"&lt;"&amp;C1708,mdr_rate_cleaned!$F$2:$F$10,"&gt;="&amp;C1708)</f>
        <v>1</v>
      </c>
      <c r="G1708" s="40">
        <f>SUMIFS(mdr_rate_cleaned!$G$2:$G$10,mdr_rate_cleaned!$A$2:$A$10,B1708,mdr_rate_cleaned!$B$2:$B$10,"&lt;"&amp;C1708,mdr_rate_cleaned!$F$2:$F$10,"&gt;="&amp;C1708)</f>
        <v>3.0000000000000001E-3</v>
      </c>
      <c r="H1708" s="24">
        <f t="shared" si="130"/>
        <v>9.2899999999999991</v>
      </c>
      <c r="I1708" s="23" t="str">
        <f t="shared" si="131"/>
        <v>Match</v>
      </c>
      <c r="J1708" s="23" t="str">
        <f t="shared" si="132"/>
        <v>Match</v>
      </c>
      <c r="K1708" s="24">
        <f t="shared" si="133"/>
        <v>1.67</v>
      </c>
      <c r="L1708" s="24">
        <f t="shared" si="134"/>
        <v>0</v>
      </c>
    </row>
    <row r="1709" spans="1:12" ht="15" customHeight="1" x14ac:dyDescent="0.3">
      <c r="A1709" s="23" t="s">
        <v>14445</v>
      </c>
      <c r="B1709" s="23" t="s">
        <v>75</v>
      </c>
      <c r="C1709" s="39">
        <v>349</v>
      </c>
      <c r="D1709" s="24">
        <v>0</v>
      </c>
      <c r="E1709" s="24">
        <v>0</v>
      </c>
      <c r="F1709" s="23">
        <f>COUNTIFS(mdr_rate_cleaned!$A$2:$A$10,B1709,mdr_rate_cleaned!$B$2:$B$10,"&lt;"&amp;C1709,mdr_rate_cleaned!$F$2:$F$10,"&gt;="&amp;C1709)</f>
        <v>1</v>
      </c>
      <c r="G1709" s="40">
        <f>SUMIFS(mdr_rate_cleaned!$G$2:$G$10,mdr_rate_cleaned!$A$2:$A$10,B1709,mdr_rate_cleaned!$B$2:$B$10,"&lt;"&amp;C1709,mdr_rate_cleaned!$F$2:$F$10,"&gt;="&amp;C1709)</f>
        <v>0</v>
      </c>
      <c r="H1709" s="24">
        <f t="shared" si="130"/>
        <v>0</v>
      </c>
      <c r="I1709" s="23" t="str">
        <f t="shared" si="131"/>
        <v>Match</v>
      </c>
      <c r="J1709" s="23" t="str">
        <f t="shared" si="132"/>
        <v>Match</v>
      </c>
      <c r="K1709" s="24">
        <f t="shared" si="133"/>
        <v>0</v>
      </c>
      <c r="L1709" s="24">
        <f t="shared" si="134"/>
        <v>0</v>
      </c>
    </row>
    <row r="1710" spans="1:12" ht="15" customHeight="1" x14ac:dyDescent="0.3">
      <c r="A1710" s="23" t="s">
        <v>14446</v>
      </c>
      <c r="B1710" s="23" t="s">
        <v>75</v>
      </c>
      <c r="C1710" s="39">
        <v>2798</v>
      </c>
      <c r="D1710" s="24">
        <v>8.39</v>
      </c>
      <c r="E1710" s="24">
        <v>1.51</v>
      </c>
      <c r="F1710" s="23">
        <f>COUNTIFS(mdr_rate_cleaned!$A$2:$A$10,B1710,mdr_rate_cleaned!$B$2:$B$10,"&lt;"&amp;C1710,mdr_rate_cleaned!$F$2:$F$10,"&gt;="&amp;C1710)</f>
        <v>1</v>
      </c>
      <c r="G1710" s="40">
        <f>SUMIFS(mdr_rate_cleaned!$G$2:$G$10,mdr_rate_cleaned!$A$2:$A$10,B1710,mdr_rate_cleaned!$B$2:$B$10,"&lt;"&amp;C1710,mdr_rate_cleaned!$F$2:$F$10,"&gt;="&amp;C1710)</f>
        <v>3.0000000000000001E-3</v>
      </c>
      <c r="H1710" s="24">
        <f t="shared" si="130"/>
        <v>8.39</v>
      </c>
      <c r="I1710" s="23" t="str">
        <f t="shared" si="131"/>
        <v>Match</v>
      </c>
      <c r="J1710" s="23" t="str">
        <f t="shared" si="132"/>
        <v>Match</v>
      </c>
      <c r="K1710" s="24">
        <f t="shared" si="133"/>
        <v>1.51</v>
      </c>
      <c r="L1710" s="24">
        <f t="shared" si="134"/>
        <v>0</v>
      </c>
    </row>
    <row r="1711" spans="1:12" ht="15" customHeight="1" x14ac:dyDescent="0.3">
      <c r="A1711" s="23" t="s">
        <v>14447</v>
      </c>
      <c r="B1711" s="23" t="s">
        <v>79</v>
      </c>
      <c r="C1711" s="39">
        <v>4999</v>
      </c>
      <c r="D1711" s="24">
        <v>79.98</v>
      </c>
      <c r="E1711" s="24">
        <v>14.4</v>
      </c>
      <c r="F1711" s="23">
        <f>COUNTIFS(mdr_rate_cleaned!$A$2:$A$10,B1711,mdr_rate_cleaned!$B$2:$B$10,"&lt;"&amp;C1711,mdr_rate_cleaned!$F$2:$F$10,"&gt;="&amp;C1711)</f>
        <v>1</v>
      </c>
      <c r="G1711" s="40">
        <f>SUMIFS(mdr_rate_cleaned!$G$2:$G$10,mdr_rate_cleaned!$A$2:$A$10,B1711,mdr_rate_cleaned!$B$2:$B$10,"&lt;"&amp;C1711,mdr_rate_cleaned!$F$2:$F$10,"&gt;="&amp;C1711)</f>
        <v>1.6E-2</v>
      </c>
      <c r="H1711" s="24">
        <f t="shared" si="130"/>
        <v>79.98</v>
      </c>
      <c r="I1711" s="23" t="str">
        <f t="shared" si="131"/>
        <v>Match</v>
      </c>
      <c r="J1711" s="23" t="str">
        <f t="shared" si="132"/>
        <v>Match</v>
      </c>
      <c r="K1711" s="24">
        <f t="shared" si="133"/>
        <v>14.4</v>
      </c>
      <c r="L1711" s="24">
        <f t="shared" si="134"/>
        <v>0</v>
      </c>
    </row>
    <row r="1712" spans="1:12" ht="15" customHeight="1" x14ac:dyDescent="0.3">
      <c r="A1712" s="23" t="s">
        <v>14448</v>
      </c>
      <c r="B1712" s="23" t="s">
        <v>75</v>
      </c>
      <c r="C1712" s="39">
        <v>3499</v>
      </c>
      <c r="D1712" s="24">
        <v>10.5</v>
      </c>
      <c r="E1712" s="24">
        <v>1.89</v>
      </c>
      <c r="F1712" s="23">
        <f>COUNTIFS(mdr_rate_cleaned!$A$2:$A$10,B1712,mdr_rate_cleaned!$B$2:$B$10,"&lt;"&amp;C1712,mdr_rate_cleaned!$F$2:$F$10,"&gt;="&amp;C1712)</f>
        <v>1</v>
      </c>
      <c r="G1712" s="40">
        <f>SUMIFS(mdr_rate_cleaned!$G$2:$G$10,mdr_rate_cleaned!$A$2:$A$10,B1712,mdr_rate_cleaned!$B$2:$B$10,"&lt;"&amp;C1712,mdr_rate_cleaned!$F$2:$F$10,"&gt;="&amp;C1712)</f>
        <v>3.0000000000000001E-3</v>
      </c>
      <c r="H1712" s="24">
        <f t="shared" si="130"/>
        <v>10.5</v>
      </c>
      <c r="I1712" s="23" t="str">
        <f t="shared" si="131"/>
        <v>Match</v>
      </c>
      <c r="J1712" s="23" t="str">
        <f t="shared" si="132"/>
        <v>Match</v>
      </c>
      <c r="K1712" s="24">
        <f t="shared" si="133"/>
        <v>1.89</v>
      </c>
      <c r="L1712" s="24">
        <f t="shared" si="134"/>
        <v>0</v>
      </c>
    </row>
    <row r="1713" spans="1:12" ht="15" customHeight="1" x14ac:dyDescent="0.3">
      <c r="A1713" s="23" t="s">
        <v>14449</v>
      </c>
      <c r="B1713" s="23" t="s">
        <v>81</v>
      </c>
      <c r="C1713" s="39">
        <v>2798</v>
      </c>
      <c r="D1713" s="24">
        <v>33.58</v>
      </c>
      <c r="E1713" s="24">
        <v>6.04</v>
      </c>
      <c r="F1713" s="23">
        <f>COUNTIFS(mdr_rate_cleaned!$A$2:$A$10,B1713,mdr_rate_cleaned!$B$2:$B$10,"&lt;"&amp;C1713,mdr_rate_cleaned!$F$2:$F$10,"&gt;="&amp;C1713)</f>
        <v>1</v>
      </c>
      <c r="G1713" s="40">
        <f>SUMIFS(mdr_rate_cleaned!$G$2:$G$10,mdr_rate_cleaned!$A$2:$A$10,B1713,mdr_rate_cleaned!$B$2:$B$10,"&lt;"&amp;C1713,mdr_rate_cleaned!$F$2:$F$10,"&gt;="&amp;C1713)</f>
        <v>1.2E-2</v>
      </c>
      <c r="H1713" s="24">
        <f t="shared" si="130"/>
        <v>33.58</v>
      </c>
      <c r="I1713" s="23" t="str">
        <f t="shared" si="131"/>
        <v>Match</v>
      </c>
      <c r="J1713" s="23" t="str">
        <f t="shared" si="132"/>
        <v>Match</v>
      </c>
      <c r="K1713" s="24">
        <f t="shared" si="133"/>
        <v>6.04</v>
      </c>
      <c r="L1713" s="24">
        <f t="shared" si="134"/>
        <v>0</v>
      </c>
    </row>
    <row r="1714" spans="1:12" ht="15" customHeight="1" x14ac:dyDescent="0.3">
      <c r="A1714" s="23" t="s">
        <v>14451</v>
      </c>
      <c r="B1714" s="23" t="s">
        <v>79</v>
      </c>
      <c r="C1714" s="39">
        <v>349</v>
      </c>
      <c r="D1714" s="24">
        <v>6.28</v>
      </c>
      <c r="E1714" s="24">
        <v>1.1299999999999999</v>
      </c>
      <c r="F1714" s="23">
        <f>COUNTIFS(mdr_rate_cleaned!$A$2:$A$10,B1714,mdr_rate_cleaned!$B$2:$B$10,"&lt;"&amp;C1714,mdr_rate_cleaned!$F$2:$F$10,"&gt;="&amp;C1714)</f>
        <v>1</v>
      </c>
      <c r="G1714" s="40">
        <f>SUMIFS(mdr_rate_cleaned!$G$2:$G$10,mdr_rate_cleaned!$A$2:$A$10,B1714,mdr_rate_cleaned!$B$2:$B$10,"&lt;"&amp;C1714,mdr_rate_cleaned!$F$2:$F$10,"&gt;="&amp;C1714)</f>
        <v>1.8000000000000002E-2</v>
      </c>
      <c r="H1714" s="24">
        <f t="shared" si="130"/>
        <v>6.28</v>
      </c>
      <c r="I1714" s="23" t="str">
        <f t="shared" si="131"/>
        <v>Match</v>
      </c>
      <c r="J1714" s="23" t="str">
        <f t="shared" si="132"/>
        <v>Match</v>
      </c>
      <c r="K1714" s="24">
        <f t="shared" si="133"/>
        <v>1.1299999999999999</v>
      </c>
      <c r="L1714" s="24">
        <f t="shared" si="134"/>
        <v>0</v>
      </c>
    </row>
    <row r="1715" spans="1:12" ht="15" customHeight="1" x14ac:dyDescent="0.3">
      <c r="A1715" s="23" t="s">
        <v>14452</v>
      </c>
      <c r="B1715" s="23" t="s">
        <v>77</v>
      </c>
      <c r="C1715" s="39">
        <v>7999</v>
      </c>
      <c r="D1715" s="24">
        <v>135.97999999999999</v>
      </c>
      <c r="E1715" s="24">
        <v>24.48</v>
      </c>
      <c r="F1715" s="23">
        <f>COUNTIFS(mdr_rate_cleaned!$A$2:$A$10,B1715,mdr_rate_cleaned!$B$2:$B$10,"&lt;"&amp;C1715,mdr_rate_cleaned!$F$2:$F$10,"&gt;="&amp;C1715)</f>
        <v>1</v>
      </c>
      <c r="G1715" s="40">
        <f>SUMIFS(mdr_rate_cleaned!$G$2:$G$10,mdr_rate_cleaned!$A$2:$A$10,B1715,mdr_rate_cleaned!$B$2:$B$10,"&lt;"&amp;C1715,mdr_rate_cleaned!$F$2:$F$10,"&gt;="&amp;C1715)</f>
        <v>1.7000000000000001E-2</v>
      </c>
      <c r="H1715" s="24">
        <f t="shared" si="130"/>
        <v>135.97999999999999</v>
      </c>
      <c r="I1715" s="23" t="str">
        <f t="shared" si="131"/>
        <v>Match</v>
      </c>
      <c r="J1715" s="23" t="str">
        <f t="shared" si="132"/>
        <v>Match</v>
      </c>
      <c r="K1715" s="24">
        <f t="shared" si="133"/>
        <v>24.48</v>
      </c>
      <c r="L1715" s="24">
        <f t="shared" si="134"/>
        <v>0</v>
      </c>
    </row>
    <row r="1716" spans="1:12" ht="15" customHeight="1" x14ac:dyDescent="0.3">
      <c r="A1716" s="23" t="s">
        <v>14453</v>
      </c>
      <c r="B1716" s="23" t="s">
        <v>77</v>
      </c>
      <c r="C1716" s="39">
        <v>1147</v>
      </c>
      <c r="D1716" s="24">
        <v>21.79</v>
      </c>
      <c r="E1716" s="24">
        <v>3.92</v>
      </c>
      <c r="F1716" s="23">
        <f>COUNTIFS(mdr_rate_cleaned!$A$2:$A$10,B1716,mdr_rate_cleaned!$B$2:$B$10,"&lt;"&amp;C1716,mdr_rate_cleaned!$F$2:$F$10,"&gt;="&amp;C1716)</f>
        <v>1</v>
      </c>
      <c r="G1716" s="40">
        <f>SUMIFS(mdr_rate_cleaned!$G$2:$G$10,mdr_rate_cleaned!$A$2:$A$10,B1716,mdr_rate_cleaned!$B$2:$B$10,"&lt;"&amp;C1716,mdr_rate_cleaned!$F$2:$F$10,"&gt;="&amp;C1716)</f>
        <v>1.9E-2</v>
      </c>
      <c r="H1716" s="24">
        <f t="shared" si="130"/>
        <v>21.79</v>
      </c>
      <c r="I1716" s="23" t="str">
        <f t="shared" si="131"/>
        <v>Match</v>
      </c>
      <c r="J1716" s="23" t="str">
        <f t="shared" si="132"/>
        <v>Match</v>
      </c>
      <c r="K1716" s="24">
        <f t="shared" si="133"/>
        <v>3.92</v>
      </c>
      <c r="L1716" s="24">
        <f t="shared" si="134"/>
        <v>0</v>
      </c>
    </row>
    <row r="1717" spans="1:12" ht="15" customHeight="1" x14ac:dyDescent="0.3">
      <c r="A1717" s="23" t="s">
        <v>14454</v>
      </c>
      <c r="B1717" s="23" t="s">
        <v>75</v>
      </c>
      <c r="C1717" s="39">
        <v>1798</v>
      </c>
      <c r="D1717" s="24">
        <v>0</v>
      </c>
      <c r="E1717" s="24">
        <v>0</v>
      </c>
      <c r="F1717" s="23">
        <f>COUNTIFS(mdr_rate_cleaned!$A$2:$A$10,B1717,mdr_rate_cleaned!$B$2:$B$10,"&lt;"&amp;C1717,mdr_rate_cleaned!$F$2:$F$10,"&gt;="&amp;C1717)</f>
        <v>1</v>
      </c>
      <c r="G1717" s="40">
        <f>SUMIFS(mdr_rate_cleaned!$G$2:$G$10,mdr_rate_cleaned!$A$2:$A$10,B1717,mdr_rate_cleaned!$B$2:$B$10,"&lt;"&amp;C1717,mdr_rate_cleaned!$F$2:$F$10,"&gt;="&amp;C1717)</f>
        <v>0</v>
      </c>
      <c r="H1717" s="24">
        <f t="shared" si="130"/>
        <v>0</v>
      </c>
      <c r="I1717" s="23" t="str">
        <f t="shared" si="131"/>
        <v>Match</v>
      </c>
      <c r="J1717" s="23" t="str">
        <f t="shared" si="132"/>
        <v>Match</v>
      </c>
      <c r="K1717" s="24">
        <f t="shared" si="133"/>
        <v>0</v>
      </c>
      <c r="L1717" s="24">
        <f t="shared" si="134"/>
        <v>0</v>
      </c>
    </row>
    <row r="1718" spans="1:12" ht="15" customHeight="1" x14ac:dyDescent="0.3">
      <c r="A1718" s="23" t="s">
        <v>14455</v>
      </c>
      <c r="B1718" s="23" t="s">
        <v>79</v>
      </c>
      <c r="C1718" s="39">
        <v>11297</v>
      </c>
      <c r="D1718" s="24">
        <v>180.75</v>
      </c>
      <c r="E1718" s="24">
        <v>32.54</v>
      </c>
      <c r="F1718" s="23">
        <f>COUNTIFS(mdr_rate_cleaned!$A$2:$A$10,B1718,mdr_rate_cleaned!$B$2:$B$10,"&lt;"&amp;C1718,mdr_rate_cleaned!$F$2:$F$10,"&gt;="&amp;C1718)</f>
        <v>1</v>
      </c>
      <c r="G1718" s="40">
        <f>SUMIFS(mdr_rate_cleaned!$G$2:$G$10,mdr_rate_cleaned!$A$2:$A$10,B1718,mdr_rate_cleaned!$B$2:$B$10,"&lt;"&amp;C1718,mdr_rate_cleaned!$F$2:$F$10,"&gt;="&amp;C1718)</f>
        <v>1.6E-2</v>
      </c>
      <c r="H1718" s="24">
        <f t="shared" si="130"/>
        <v>180.75</v>
      </c>
      <c r="I1718" s="23" t="str">
        <f t="shared" si="131"/>
        <v>Match</v>
      </c>
      <c r="J1718" s="23" t="str">
        <f t="shared" si="132"/>
        <v>Match</v>
      </c>
      <c r="K1718" s="24">
        <f t="shared" si="133"/>
        <v>32.54</v>
      </c>
      <c r="L1718" s="24">
        <f t="shared" si="134"/>
        <v>0</v>
      </c>
    </row>
    <row r="1719" spans="1:12" ht="15" customHeight="1" x14ac:dyDescent="0.3">
      <c r="A1719" s="23" t="s">
        <v>14456</v>
      </c>
      <c r="B1719" s="23" t="s">
        <v>75</v>
      </c>
      <c r="C1719" s="39">
        <v>10847</v>
      </c>
      <c r="D1719" s="24">
        <v>32.54</v>
      </c>
      <c r="E1719" s="24">
        <v>5.86</v>
      </c>
      <c r="F1719" s="23">
        <f>COUNTIFS(mdr_rate_cleaned!$A$2:$A$10,B1719,mdr_rate_cleaned!$B$2:$B$10,"&lt;"&amp;C1719,mdr_rate_cleaned!$F$2:$F$10,"&gt;="&amp;C1719)</f>
        <v>1</v>
      </c>
      <c r="G1719" s="40">
        <f>SUMIFS(mdr_rate_cleaned!$G$2:$G$10,mdr_rate_cleaned!$A$2:$A$10,B1719,mdr_rate_cleaned!$B$2:$B$10,"&lt;"&amp;C1719,mdr_rate_cleaned!$F$2:$F$10,"&gt;="&amp;C1719)</f>
        <v>3.0000000000000001E-3</v>
      </c>
      <c r="H1719" s="24">
        <f t="shared" si="130"/>
        <v>32.54</v>
      </c>
      <c r="I1719" s="23" t="str">
        <f t="shared" si="131"/>
        <v>Match</v>
      </c>
      <c r="J1719" s="23" t="str">
        <f t="shared" si="132"/>
        <v>Match</v>
      </c>
      <c r="K1719" s="24">
        <f t="shared" si="133"/>
        <v>5.86</v>
      </c>
      <c r="L1719" s="24">
        <f t="shared" si="134"/>
        <v>0</v>
      </c>
    </row>
    <row r="1720" spans="1:12" ht="15" customHeight="1" x14ac:dyDescent="0.3">
      <c r="A1720" s="23" t="s">
        <v>14457</v>
      </c>
      <c r="B1720" s="23" t="s">
        <v>79</v>
      </c>
      <c r="C1720" s="39">
        <v>799</v>
      </c>
      <c r="D1720" s="24">
        <v>14.38</v>
      </c>
      <c r="E1720" s="24">
        <v>2.59</v>
      </c>
      <c r="F1720" s="23">
        <f>COUNTIFS(mdr_rate_cleaned!$A$2:$A$10,B1720,mdr_rate_cleaned!$B$2:$B$10,"&lt;"&amp;C1720,mdr_rate_cleaned!$F$2:$F$10,"&gt;="&amp;C1720)</f>
        <v>1</v>
      </c>
      <c r="G1720" s="40">
        <f>SUMIFS(mdr_rate_cleaned!$G$2:$G$10,mdr_rate_cleaned!$A$2:$A$10,B1720,mdr_rate_cleaned!$B$2:$B$10,"&lt;"&amp;C1720,mdr_rate_cleaned!$F$2:$F$10,"&gt;="&amp;C1720)</f>
        <v>1.8000000000000002E-2</v>
      </c>
      <c r="H1720" s="24">
        <f t="shared" si="130"/>
        <v>14.38</v>
      </c>
      <c r="I1720" s="23" t="str">
        <f t="shared" si="131"/>
        <v>Match</v>
      </c>
      <c r="J1720" s="23" t="str">
        <f t="shared" si="132"/>
        <v>Match</v>
      </c>
      <c r="K1720" s="24">
        <f t="shared" si="133"/>
        <v>2.59</v>
      </c>
      <c r="L1720" s="24">
        <f t="shared" si="134"/>
        <v>0</v>
      </c>
    </row>
    <row r="1721" spans="1:12" ht="15" customHeight="1" x14ac:dyDescent="0.3">
      <c r="A1721" s="23" t="s">
        <v>14458</v>
      </c>
      <c r="B1721" s="23" t="s">
        <v>81</v>
      </c>
      <c r="C1721" s="39">
        <v>349</v>
      </c>
      <c r="D1721" s="24">
        <v>5.24</v>
      </c>
      <c r="E1721" s="24">
        <v>0.94</v>
      </c>
      <c r="F1721" s="23">
        <f>COUNTIFS(mdr_rate_cleaned!$A$2:$A$10,B1721,mdr_rate_cleaned!$B$2:$B$10,"&lt;"&amp;C1721,mdr_rate_cleaned!$F$2:$F$10,"&gt;="&amp;C1721)</f>
        <v>1</v>
      </c>
      <c r="G1721" s="40">
        <f>SUMIFS(mdr_rate_cleaned!$G$2:$G$10,mdr_rate_cleaned!$A$2:$A$10,B1721,mdr_rate_cleaned!$B$2:$B$10,"&lt;"&amp;C1721,mdr_rate_cleaned!$F$2:$F$10,"&gt;="&amp;C1721)</f>
        <v>1.4999999999999999E-2</v>
      </c>
      <c r="H1721" s="24">
        <f t="shared" si="130"/>
        <v>5.24</v>
      </c>
      <c r="I1721" s="23" t="str">
        <f t="shared" si="131"/>
        <v>Match</v>
      </c>
      <c r="J1721" s="23" t="str">
        <f t="shared" si="132"/>
        <v>Match</v>
      </c>
      <c r="K1721" s="24">
        <f t="shared" si="133"/>
        <v>0.94</v>
      </c>
      <c r="L1721" s="24">
        <f t="shared" si="134"/>
        <v>0</v>
      </c>
    </row>
    <row r="1722" spans="1:12" ht="15" customHeight="1" x14ac:dyDescent="0.3">
      <c r="A1722" s="23" t="s">
        <v>14459</v>
      </c>
      <c r="B1722" s="23" t="s">
        <v>75</v>
      </c>
      <c r="C1722" s="39">
        <v>1898</v>
      </c>
      <c r="D1722" s="24">
        <v>0</v>
      </c>
      <c r="E1722" s="24">
        <v>0</v>
      </c>
      <c r="F1722" s="23">
        <f>COUNTIFS(mdr_rate_cleaned!$A$2:$A$10,B1722,mdr_rate_cleaned!$B$2:$B$10,"&lt;"&amp;C1722,mdr_rate_cleaned!$F$2:$F$10,"&gt;="&amp;C1722)</f>
        <v>1</v>
      </c>
      <c r="G1722" s="40">
        <f>SUMIFS(mdr_rate_cleaned!$G$2:$G$10,mdr_rate_cleaned!$A$2:$A$10,B1722,mdr_rate_cleaned!$B$2:$B$10,"&lt;"&amp;C1722,mdr_rate_cleaned!$F$2:$F$10,"&gt;="&amp;C1722)</f>
        <v>0</v>
      </c>
      <c r="H1722" s="24">
        <f t="shared" si="130"/>
        <v>0</v>
      </c>
      <c r="I1722" s="23" t="str">
        <f t="shared" si="131"/>
        <v>Match</v>
      </c>
      <c r="J1722" s="23" t="str">
        <f t="shared" si="132"/>
        <v>Match</v>
      </c>
      <c r="K1722" s="24">
        <f t="shared" si="133"/>
        <v>0</v>
      </c>
      <c r="L1722" s="24">
        <f t="shared" si="134"/>
        <v>0</v>
      </c>
    </row>
    <row r="1723" spans="1:12" ht="15" customHeight="1" x14ac:dyDescent="0.3">
      <c r="A1723" s="23" t="s">
        <v>14460</v>
      </c>
      <c r="B1723" s="23" t="s">
        <v>77</v>
      </c>
      <c r="C1723" s="39">
        <v>18497</v>
      </c>
      <c r="D1723" s="24">
        <v>314.45</v>
      </c>
      <c r="E1723" s="24">
        <v>56.6</v>
      </c>
      <c r="F1723" s="23">
        <f>COUNTIFS(mdr_rate_cleaned!$A$2:$A$10,B1723,mdr_rate_cleaned!$B$2:$B$10,"&lt;"&amp;C1723,mdr_rate_cleaned!$F$2:$F$10,"&gt;="&amp;C1723)</f>
        <v>1</v>
      </c>
      <c r="G1723" s="40">
        <f>SUMIFS(mdr_rate_cleaned!$G$2:$G$10,mdr_rate_cleaned!$A$2:$A$10,B1723,mdr_rate_cleaned!$B$2:$B$10,"&lt;"&amp;C1723,mdr_rate_cleaned!$F$2:$F$10,"&gt;="&amp;C1723)</f>
        <v>1.7000000000000001E-2</v>
      </c>
      <c r="H1723" s="24">
        <f t="shared" si="130"/>
        <v>314.45</v>
      </c>
      <c r="I1723" s="23" t="str">
        <f t="shared" si="131"/>
        <v>Match</v>
      </c>
      <c r="J1723" s="23" t="str">
        <f t="shared" si="132"/>
        <v>Match</v>
      </c>
      <c r="K1723" s="24">
        <f t="shared" si="133"/>
        <v>56.6</v>
      </c>
      <c r="L1723" s="24">
        <f t="shared" si="134"/>
        <v>0</v>
      </c>
    </row>
    <row r="1724" spans="1:12" ht="15" customHeight="1" x14ac:dyDescent="0.3">
      <c r="A1724" s="23" t="s">
        <v>14461</v>
      </c>
      <c r="B1724" s="23" t="s">
        <v>81</v>
      </c>
      <c r="C1724" s="39">
        <v>2597</v>
      </c>
      <c r="D1724" s="24">
        <v>31.16</v>
      </c>
      <c r="E1724" s="24">
        <v>5.61</v>
      </c>
      <c r="F1724" s="23">
        <f>COUNTIFS(mdr_rate_cleaned!$A$2:$A$10,B1724,mdr_rate_cleaned!$B$2:$B$10,"&lt;"&amp;C1724,mdr_rate_cleaned!$F$2:$F$10,"&gt;="&amp;C1724)</f>
        <v>1</v>
      </c>
      <c r="G1724" s="40">
        <f>SUMIFS(mdr_rate_cleaned!$G$2:$G$10,mdr_rate_cleaned!$A$2:$A$10,B1724,mdr_rate_cleaned!$B$2:$B$10,"&lt;"&amp;C1724,mdr_rate_cleaned!$F$2:$F$10,"&gt;="&amp;C1724)</f>
        <v>1.2E-2</v>
      </c>
      <c r="H1724" s="24">
        <f t="shared" si="130"/>
        <v>31.16</v>
      </c>
      <c r="I1724" s="23" t="str">
        <f t="shared" si="131"/>
        <v>Match</v>
      </c>
      <c r="J1724" s="23" t="str">
        <f t="shared" si="132"/>
        <v>Match</v>
      </c>
      <c r="K1724" s="24">
        <f t="shared" si="133"/>
        <v>5.61</v>
      </c>
      <c r="L1724" s="24">
        <f t="shared" si="134"/>
        <v>0</v>
      </c>
    </row>
    <row r="1725" spans="1:12" ht="15" customHeight="1" x14ac:dyDescent="0.3">
      <c r="A1725" s="23" t="s">
        <v>14462</v>
      </c>
      <c r="B1725" s="23" t="s">
        <v>79</v>
      </c>
      <c r="C1725" s="39">
        <v>299</v>
      </c>
      <c r="D1725" s="24">
        <v>5.38</v>
      </c>
      <c r="E1725" s="24">
        <v>0.97</v>
      </c>
      <c r="F1725" s="23">
        <f>COUNTIFS(mdr_rate_cleaned!$A$2:$A$10,B1725,mdr_rate_cleaned!$B$2:$B$10,"&lt;"&amp;C1725,mdr_rate_cleaned!$F$2:$F$10,"&gt;="&amp;C1725)</f>
        <v>1</v>
      </c>
      <c r="G1725" s="40">
        <f>SUMIFS(mdr_rate_cleaned!$G$2:$G$10,mdr_rate_cleaned!$A$2:$A$10,B1725,mdr_rate_cleaned!$B$2:$B$10,"&lt;"&amp;C1725,mdr_rate_cleaned!$F$2:$F$10,"&gt;="&amp;C1725)</f>
        <v>1.8000000000000002E-2</v>
      </c>
      <c r="H1725" s="24">
        <f t="shared" si="130"/>
        <v>5.38</v>
      </c>
      <c r="I1725" s="23" t="str">
        <f t="shared" si="131"/>
        <v>Match</v>
      </c>
      <c r="J1725" s="23" t="str">
        <f t="shared" si="132"/>
        <v>Match</v>
      </c>
      <c r="K1725" s="24">
        <f t="shared" si="133"/>
        <v>0.97</v>
      </c>
      <c r="L1725" s="24">
        <f t="shared" si="134"/>
        <v>0</v>
      </c>
    </row>
    <row r="1726" spans="1:12" ht="15" customHeight="1" x14ac:dyDescent="0.3">
      <c r="A1726" s="23" t="s">
        <v>14463</v>
      </c>
      <c r="B1726" s="23" t="s">
        <v>75</v>
      </c>
      <c r="C1726" s="39">
        <v>3897</v>
      </c>
      <c r="D1726" s="24">
        <v>11.69</v>
      </c>
      <c r="E1726" s="24">
        <v>2.1</v>
      </c>
      <c r="F1726" s="23">
        <f>COUNTIFS(mdr_rate_cleaned!$A$2:$A$10,B1726,mdr_rate_cleaned!$B$2:$B$10,"&lt;"&amp;C1726,mdr_rate_cleaned!$F$2:$F$10,"&gt;="&amp;C1726)</f>
        <v>1</v>
      </c>
      <c r="G1726" s="40">
        <f>SUMIFS(mdr_rate_cleaned!$G$2:$G$10,mdr_rate_cleaned!$A$2:$A$10,B1726,mdr_rate_cleaned!$B$2:$B$10,"&lt;"&amp;C1726,mdr_rate_cleaned!$F$2:$F$10,"&gt;="&amp;C1726)</f>
        <v>3.0000000000000001E-3</v>
      </c>
      <c r="H1726" s="24">
        <f t="shared" si="130"/>
        <v>11.69</v>
      </c>
      <c r="I1726" s="23" t="str">
        <f t="shared" si="131"/>
        <v>Match</v>
      </c>
      <c r="J1726" s="23" t="str">
        <f t="shared" si="132"/>
        <v>Match</v>
      </c>
      <c r="K1726" s="24">
        <f t="shared" si="133"/>
        <v>2.1</v>
      </c>
      <c r="L1726" s="24">
        <f t="shared" si="134"/>
        <v>0</v>
      </c>
    </row>
    <row r="1727" spans="1:12" ht="15" customHeight="1" x14ac:dyDescent="0.3">
      <c r="A1727" s="23" t="s">
        <v>14465</v>
      </c>
      <c r="B1727" s="23" t="s">
        <v>79</v>
      </c>
      <c r="C1727" s="39">
        <v>1499</v>
      </c>
      <c r="D1727" s="24">
        <v>26.98</v>
      </c>
      <c r="E1727" s="24">
        <v>4.8600000000000003</v>
      </c>
      <c r="F1727" s="23">
        <f>COUNTIFS(mdr_rate_cleaned!$A$2:$A$10,B1727,mdr_rate_cleaned!$B$2:$B$10,"&lt;"&amp;C1727,mdr_rate_cleaned!$F$2:$F$10,"&gt;="&amp;C1727)</f>
        <v>1</v>
      </c>
      <c r="G1727" s="40">
        <f>SUMIFS(mdr_rate_cleaned!$G$2:$G$10,mdr_rate_cleaned!$A$2:$A$10,B1727,mdr_rate_cleaned!$B$2:$B$10,"&lt;"&amp;C1727,mdr_rate_cleaned!$F$2:$F$10,"&gt;="&amp;C1727)</f>
        <v>1.8000000000000002E-2</v>
      </c>
      <c r="H1727" s="24">
        <f t="shared" si="130"/>
        <v>26.98</v>
      </c>
      <c r="I1727" s="23" t="str">
        <f t="shared" si="131"/>
        <v>Match</v>
      </c>
      <c r="J1727" s="23" t="str">
        <f t="shared" si="132"/>
        <v>Match</v>
      </c>
      <c r="K1727" s="24">
        <f t="shared" si="133"/>
        <v>4.8600000000000003</v>
      </c>
      <c r="L1727" s="24">
        <f t="shared" si="134"/>
        <v>0</v>
      </c>
    </row>
    <row r="1728" spans="1:12" ht="15" customHeight="1" x14ac:dyDescent="0.3">
      <c r="A1728" s="23" t="s">
        <v>14466</v>
      </c>
      <c r="B1728" s="23" t="s">
        <v>75</v>
      </c>
      <c r="C1728" s="39">
        <v>799</v>
      </c>
      <c r="D1728" s="24">
        <v>0</v>
      </c>
      <c r="E1728" s="24">
        <v>0</v>
      </c>
      <c r="F1728" s="23">
        <f>COUNTIFS(mdr_rate_cleaned!$A$2:$A$10,B1728,mdr_rate_cleaned!$B$2:$B$10,"&lt;"&amp;C1728,mdr_rate_cleaned!$F$2:$F$10,"&gt;="&amp;C1728)</f>
        <v>1</v>
      </c>
      <c r="G1728" s="40">
        <f>SUMIFS(mdr_rate_cleaned!$G$2:$G$10,mdr_rate_cleaned!$A$2:$A$10,B1728,mdr_rate_cleaned!$B$2:$B$10,"&lt;"&amp;C1728,mdr_rate_cleaned!$F$2:$F$10,"&gt;="&amp;C1728)</f>
        <v>0</v>
      </c>
      <c r="H1728" s="24">
        <f t="shared" si="130"/>
        <v>0</v>
      </c>
      <c r="I1728" s="23" t="str">
        <f t="shared" si="131"/>
        <v>Match</v>
      </c>
      <c r="J1728" s="23" t="str">
        <f t="shared" si="132"/>
        <v>Match</v>
      </c>
      <c r="K1728" s="24">
        <f t="shared" si="133"/>
        <v>0</v>
      </c>
      <c r="L1728" s="24">
        <f t="shared" si="134"/>
        <v>0</v>
      </c>
    </row>
    <row r="1729" spans="1:12" ht="15" customHeight="1" x14ac:dyDescent="0.3">
      <c r="A1729" s="23" t="s">
        <v>14467</v>
      </c>
      <c r="B1729" s="23" t="s">
        <v>81</v>
      </c>
      <c r="C1729" s="39">
        <v>799</v>
      </c>
      <c r="D1729" s="24">
        <v>11.99</v>
      </c>
      <c r="E1729" s="24">
        <v>2.16</v>
      </c>
      <c r="F1729" s="23">
        <f>COUNTIFS(mdr_rate_cleaned!$A$2:$A$10,B1729,mdr_rate_cleaned!$B$2:$B$10,"&lt;"&amp;C1729,mdr_rate_cleaned!$F$2:$F$10,"&gt;="&amp;C1729)</f>
        <v>1</v>
      </c>
      <c r="G1729" s="40">
        <f>SUMIFS(mdr_rate_cleaned!$G$2:$G$10,mdr_rate_cleaned!$A$2:$A$10,B1729,mdr_rate_cleaned!$B$2:$B$10,"&lt;"&amp;C1729,mdr_rate_cleaned!$F$2:$F$10,"&gt;="&amp;C1729)</f>
        <v>1.4999999999999999E-2</v>
      </c>
      <c r="H1729" s="24">
        <f t="shared" si="130"/>
        <v>11.99</v>
      </c>
      <c r="I1729" s="23" t="str">
        <f t="shared" si="131"/>
        <v>Match</v>
      </c>
      <c r="J1729" s="23" t="str">
        <f t="shared" si="132"/>
        <v>Match</v>
      </c>
      <c r="K1729" s="24">
        <f t="shared" si="133"/>
        <v>2.16</v>
      </c>
      <c r="L1729" s="24">
        <f t="shared" si="134"/>
        <v>0</v>
      </c>
    </row>
    <row r="1730" spans="1:12" ht="15" customHeight="1" x14ac:dyDescent="0.3">
      <c r="A1730" s="23" t="s">
        <v>14468</v>
      </c>
      <c r="B1730" s="23" t="s">
        <v>81</v>
      </c>
      <c r="C1730" s="39">
        <v>999</v>
      </c>
      <c r="D1730" s="24">
        <v>14.99</v>
      </c>
      <c r="E1730" s="24">
        <v>2.7</v>
      </c>
      <c r="F1730" s="23">
        <f>COUNTIFS(mdr_rate_cleaned!$A$2:$A$10,B1730,mdr_rate_cleaned!$B$2:$B$10,"&lt;"&amp;C1730,mdr_rate_cleaned!$F$2:$F$10,"&gt;="&amp;C1730)</f>
        <v>1</v>
      </c>
      <c r="G1730" s="40">
        <f>SUMIFS(mdr_rate_cleaned!$G$2:$G$10,mdr_rate_cleaned!$A$2:$A$10,B1730,mdr_rate_cleaned!$B$2:$B$10,"&lt;"&amp;C1730,mdr_rate_cleaned!$F$2:$F$10,"&gt;="&amp;C1730)</f>
        <v>1.4999999999999999E-2</v>
      </c>
      <c r="H1730" s="24">
        <f t="shared" ref="H1730:H1793" si="135">ROUND(C1730*G1730,2)</f>
        <v>14.99</v>
      </c>
      <c r="I1730" s="23" t="str">
        <f t="shared" ref="I1730:I1793" si="136">IF(ROUND(D1730-H1730,2)=0,"Match","Differs")</f>
        <v>Match</v>
      </c>
      <c r="J1730" s="23" t="str">
        <f t="shared" ref="J1730:J1793" si="137">IF(ROUND(E1730-ROUND(D1730*0.18,2),2)=0,"Match","Differs")</f>
        <v>Match</v>
      </c>
      <c r="K1730" s="24">
        <f t="shared" ref="K1730:K1793" si="138">ROUND(H1730*0.18,2)</f>
        <v>2.7</v>
      </c>
      <c r="L1730" s="24">
        <f t="shared" ref="L1730:L1793" si="139">ROUND(D1730+E1730-H1730-K1730,2)</f>
        <v>0</v>
      </c>
    </row>
    <row r="1731" spans="1:12" ht="15" customHeight="1" x14ac:dyDescent="0.3">
      <c r="A1731" s="23" t="s">
        <v>14469</v>
      </c>
      <c r="B1731" s="23" t="s">
        <v>79</v>
      </c>
      <c r="C1731" s="39">
        <v>999</v>
      </c>
      <c r="D1731" s="24">
        <v>17.98</v>
      </c>
      <c r="E1731" s="24">
        <v>3.24</v>
      </c>
      <c r="F1731" s="23">
        <f>COUNTIFS(mdr_rate_cleaned!$A$2:$A$10,B1731,mdr_rate_cleaned!$B$2:$B$10,"&lt;"&amp;C1731,mdr_rate_cleaned!$F$2:$F$10,"&gt;="&amp;C1731)</f>
        <v>1</v>
      </c>
      <c r="G1731" s="40">
        <f>SUMIFS(mdr_rate_cleaned!$G$2:$G$10,mdr_rate_cleaned!$A$2:$A$10,B1731,mdr_rate_cleaned!$B$2:$B$10,"&lt;"&amp;C1731,mdr_rate_cleaned!$F$2:$F$10,"&gt;="&amp;C1731)</f>
        <v>1.8000000000000002E-2</v>
      </c>
      <c r="H1731" s="24">
        <f t="shared" si="135"/>
        <v>17.98</v>
      </c>
      <c r="I1731" s="23" t="str">
        <f t="shared" si="136"/>
        <v>Match</v>
      </c>
      <c r="J1731" s="23" t="str">
        <f t="shared" si="137"/>
        <v>Match</v>
      </c>
      <c r="K1731" s="24">
        <f t="shared" si="138"/>
        <v>3.24</v>
      </c>
      <c r="L1731" s="24">
        <f t="shared" si="139"/>
        <v>0</v>
      </c>
    </row>
    <row r="1732" spans="1:12" ht="15" customHeight="1" x14ac:dyDescent="0.3">
      <c r="A1732" s="23" t="s">
        <v>14470</v>
      </c>
      <c r="B1732" s="23" t="s">
        <v>75</v>
      </c>
      <c r="C1732" s="39">
        <v>599</v>
      </c>
      <c r="D1732" s="24">
        <v>0</v>
      </c>
      <c r="E1732" s="24">
        <v>0</v>
      </c>
      <c r="F1732" s="23">
        <f>COUNTIFS(mdr_rate_cleaned!$A$2:$A$10,B1732,mdr_rate_cleaned!$B$2:$B$10,"&lt;"&amp;C1732,mdr_rate_cleaned!$F$2:$F$10,"&gt;="&amp;C1732)</f>
        <v>1</v>
      </c>
      <c r="G1732" s="40">
        <f>SUMIFS(mdr_rate_cleaned!$G$2:$G$10,mdr_rate_cleaned!$A$2:$A$10,B1732,mdr_rate_cleaned!$B$2:$B$10,"&lt;"&amp;C1732,mdr_rate_cleaned!$F$2:$F$10,"&gt;="&amp;C1732)</f>
        <v>0</v>
      </c>
      <c r="H1732" s="24">
        <f t="shared" si="135"/>
        <v>0</v>
      </c>
      <c r="I1732" s="23" t="str">
        <f t="shared" si="136"/>
        <v>Match</v>
      </c>
      <c r="J1732" s="23" t="str">
        <f t="shared" si="137"/>
        <v>Match</v>
      </c>
      <c r="K1732" s="24">
        <f t="shared" si="138"/>
        <v>0</v>
      </c>
      <c r="L1732" s="24">
        <f t="shared" si="139"/>
        <v>0</v>
      </c>
    </row>
    <row r="1733" spans="1:12" ht="15" customHeight="1" x14ac:dyDescent="0.3">
      <c r="A1733" s="23" t="s">
        <v>14471</v>
      </c>
      <c r="B1733" s="23" t="s">
        <v>77</v>
      </c>
      <c r="C1733" s="39">
        <v>1897</v>
      </c>
      <c r="D1733" s="24">
        <v>36.04</v>
      </c>
      <c r="E1733" s="24">
        <v>6.49</v>
      </c>
      <c r="F1733" s="23">
        <f>COUNTIFS(mdr_rate_cleaned!$A$2:$A$10,B1733,mdr_rate_cleaned!$B$2:$B$10,"&lt;"&amp;C1733,mdr_rate_cleaned!$F$2:$F$10,"&gt;="&amp;C1733)</f>
        <v>1</v>
      </c>
      <c r="G1733" s="40">
        <f>SUMIFS(mdr_rate_cleaned!$G$2:$G$10,mdr_rate_cleaned!$A$2:$A$10,B1733,mdr_rate_cleaned!$B$2:$B$10,"&lt;"&amp;C1733,mdr_rate_cleaned!$F$2:$F$10,"&gt;="&amp;C1733)</f>
        <v>1.9E-2</v>
      </c>
      <c r="H1733" s="24">
        <f t="shared" si="135"/>
        <v>36.04</v>
      </c>
      <c r="I1733" s="23" t="str">
        <f t="shared" si="136"/>
        <v>Match</v>
      </c>
      <c r="J1733" s="23" t="str">
        <f t="shared" si="137"/>
        <v>Match</v>
      </c>
      <c r="K1733" s="24">
        <f t="shared" si="138"/>
        <v>6.49</v>
      </c>
      <c r="L1733" s="24">
        <f t="shared" si="139"/>
        <v>0</v>
      </c>
    </row>
    <row r="1734" spans="1:12" ht="15" customHeight="1" x14ac:dyDescent="0.3">
      <c r="A1734" s="23" t="s">
        <v>14472</v>
      </c>
      <c r="B1734" s="23" t="s">
        <v>81</v>
      </c>
      <c r="C1734" s="39">
        <v>999</v>
      </c>
      <c r="D1734" s="24">
        <v>14.99</v>
      </c>
      <c r="E1734" s="24">
        <v>2.7</v>
      </c>
      <c r="F1734" s="23">
        <f>COUNTIFS(mdr_rate_cleaned!$A$2:$A$10,B1734,mdr_rate_cleaned!$B$2:$B$10,"&lt;"&amp;C1734,mdr_rate_cleaned!$F$2:$F$10,"&gt;="&amp;C1734)</f>
        <v>1</v>
      </c>
      <c r="G1734" s="40">
        <f>SUMIFS(mdr_rate_cleaned!$G$2:$G$10,mdr_rate_cleaned!$A$2:$A$10,B1734,mdr_rate_cleaned!$B$2:$B$10,"&lt;"&amp;C1734,mdr_rate_cleaned!$F$2:$F$10,"&gt;="&amp;C1734)</f>
        <v>1.4999999999999999E-2</v>
      </c>
      <c r="H1734" s="24">
        <f t="shared" si="135"/>
        <v>14.99</v>
      </c>
      <c r="I1734" s="23" t="str">
        <f t="shared" si="136"/>
        <v>Match</v>
      </c>
      <c r="J1734" s="23" t="str">
        <f t="shared" si="137"/>
        <v>Match</v>
      </c>
      <c r="K1734" s="24">
        <f t="shared" si="138"/>
        <v>2.7</v>
      </c>
      <c r="L1734" s="24">
        <f t="shared" si="139"/>
        <v>0</v>
      </c>
    </row>
    <row r="1735" spans="1:12" ht="15" customHeight="1" x14ac:dyDescent="0.3">
      <c r="A1735" s="23" t="s">
        <v>14473</v>
      </c>
      <c r="B1735" s="23" t="s">
        <v>79</v>
      </c>
      <c r="C1735" s="39">
        <v>9798</v>
      </c>
      <c r="D1735" s="24">
        <v>156.77000000000001</v>
      </c>
      <c r="E1735" s="24">
        <v>28.22</v>
      </c>
      <c r="F1735" s="23">
        <f>COUNTIFS(mdr_rate_cleaned!$A$2:$A$10,B1735,mdr_rate_cleaned!$B$2:$B$10,"&lt;"&amp;C1735,mdr_rate_cleaned!$F$2:$F$10,"&gt;="&amp;C1735)</f>
        <v>1</v>
      </c>
      <c r="G1735" s="40">
        <f>SUMIFS(mdr_rate_cleaned!$G$2:$G$10,mdr_rate_cleaned!$A$2:$A$10,B1735,mdr_rate_cleaned!$B$2:$B$10,"&lt;"&amp;C1735,mdr_rate_cleaned!$F$2:$F$10,"&gt;="&amp;C1735)</f>
        <v>1.6E-2</v>
      </c>
      <c r="H1735" s="24">
        <f t="shared" si="135"/>
        <v>156.77000000000001</v>
      </c>
      <c r="I1735" s="23" t="str">
        <f t="shared" si="136"/>
        <v>Match</v>
      </c>
      <c r="J1735" s="23" t="str">
        <f t="shared" si="137"/>
        <v>Match</v>
      </c>
      <c r="K1735" s="24">
        <f t="shared" si="138"/>
        <v>28.22</v>
      </c>
      <c r="L1735" s="24">
        <f t="shared" si="139"/>
        <v>0</v>
      </c>
    </row>
    <row r="1736" spans="1:12" ht="15" customHeight="1" x14ac:dyDescent="0.3">
      <c r="A1736" s="23" t="s">
        <v>14474</v>
      </c>
      <c r="B1736" s="23" t="s">
        <v>81</v>
      </c>
      <c r="C1736" s="39">
        <v>4999</v>
      </c>
      <c r="D1736" s="24">
        <v>59.99</v>
      </c>
      <c r="E1736" s="24">
        <v>10.8</v>
      </c>
      <c r="F1736" s="23">
        <f>COUNTIFS(mdr_rate_cleaned!$A$2:$A$10,B1736,mdr_rate_cleaned!$B$2:$B$10,"&lt;"&amp;C1736,mdr_rate_cleaned!$F$2:$F$10,"&gt;="&amp;C1736)</f>
        <v>1</v>
      </c>
      <c r="G1736" s="40">
        <f>SUMIFS(mdr_rate_cleaned!$G$2:$G$10,mdr_rate_cleaned!$A$2:$A$10,B1736,mdr_rate_cleaned!$B$2:$B$10,"&lt;"&amp;C1736,mdr_rate_cleaned!$F$2:$F$10,"&gt;="&amp;C1736)</f>
        <v>1.2E-2</v>
      </c>
      <c r="H1736" s="24">
        <f t="shared" si="135"/>
        <v>59.99</v>
      </c>
      <c r="I1736" s="23" t="str">
        <f t="shared" si="136"/>
        <v>Match</v>
      </c>
      <c r="J1736" s="23" t="str">
        <f t="shared" si="137"/>
        <v>Match</v>
      </c>
      <c r="K1736" s="24">
        <f t="shared" si="138"/>
        <v>10.8</v>
      </c>
      <c r="L1736" s="24">
        <f t="shared" si="139"/>
        <v>0</v>
      </c>
    </row>
    <row r="1737" spans="1:12" ht="15" customHeight="1" x14ac:dyDescent="0.3">
      <c r="A1737" s="23" t="s">
        <v>14475</v>
      </c>
      <c r="B1737" s="23" t="s">
        <v>75</v>
      </c>
      <c r="C1737" s="39">
        <v>4298</v>
      </c>
      <c r="D1737" s="24">
        <v>12.89</v>
      </c>
      <c r="E1737" s="24">
        <v>2.3199999999999998</v>
      </c>
      <c r="F1737" s="23">
        <f>COUNTIFS(mdr_rate_cleaned!$A$2:$A$10,B1737,mdr_rate_cleaned!$B$2:$B$10,"&lt;"&amp;C1737,mdr_rate_cleaned!$F$2:$F$10,"&gt;="&amp;C1737)</f>
        <v>1</v>
      </c>
      <c r="G1737" s="40">
        <f>SUMIFS(mdr_rate_cleaned!$G$2:$G$10,mdr_rate_cleaned!$A$2:$A$10,B1737,mdr_rate_cleaned!$B$2:$B$10,"&lt;"&amp;C1737,mdr_rate_cleaned!$F$2:$F$10,"&gt;="&amp;C1737)</f>
        <v>3.0000000000000001E-3</v>
      </c>
      <c r="H1737" s="24">
        <f t="shared" si="135"/>
        <v>12.89</v>
      </c>
      <c r="I1737" s="23" t="str">
        <f t="shared" si="136"/>
        <v>Match</v>
      </c>
      <c r="J1737" s="23" t="str">
        <f t="shared" si="137"/>
        <v>Match</v>
      </c>
      <c r="K1737" s="24">
        <f t="shared" si="138"/>
        <v>2.3199999999999998</v>
      </c>
      <c r="L1737" s="24">
        <f t="shared" si="139"/>
        <v>0</v>
      </c>
    </row>
    <row r="1738" spans="1:12" ht="15" customHeight="1" x14ac:dyDescent="0.3">
      <c r="A1738" s="23" t="s">
        <v>14476</v>
      </c>
      <c r="B1738" s="23" t="s">
        <v>75</v>
      </c>
      <c r="C1738" s="39">
        <v>2499</v>
      </c>
      <c r="D1738" s="24">
        <v>7.5</v>
      </c>
      <c r="E1738" s="24">
        <v>1.35</v>
      </c>
      <c r="F1738" s="23">
        <f>COUNTIFS(mdr_rate_cleaned!$A$2:$A$10,B1738,mdr_rate_cleaned!$B$2:$B$10,"&lt;"&amp;C1738,mdr_rate_cleaned!$F$2:$F$10,"&gt;="&amp;C1738)</f>
        <v>1</v>
      </c>
      <c r="G1738" s="40">
        <f>SUMIFS(mdr_rate_cleaned!$G$2:$G$10,mdr_rate_cleaned!$A$2:$A$10,B1738,mdr_rate_cleaned!$B$2:$B$10,"&lt;"&amp;C1738,mdr_rate_cleaned!$F$2:$F$10,"&gt;="&amp;C1738)</f>
        <v>3.0000000000000001E-3</v>
      </c>
      <c r="H1738" s="24">
        <f t="shared" si="135"/>
        <v>7.5</v>
      </c>
      <c r="I1738" s="23" t="str">
        <f t="shared" si="136"/>
        <v>Match</v>
      </c>
      <c r="J1738" s="23" t="str">
        <f t="shared" si="137"/>
        <v>Match</v>
      </c>
      <c r="K1738" s="24">
        <f t="shared" si="138"/>
        <v>1.35</v>
      </c>
      <c r="L1738" s="24">
        <f t="shared" si="139"/>
        <v>0</v>
      </c>
    </row>
    <row r="1739" spans="1:12" ht="15" customHeight="1" x14ac:dyDescent="0.3">
      <c r="A1739" s="23" t="s">
        <v>14477</v>
      </c>
      <c r="B1739" s="23" t="s">
        <v>77</v>
      </c>
      <c r="C1739" s="39">
        <v>4298</v>
      </c>
      <c r="D1739" s="24">
        <v>73.069999999999993</v>
      </c>
      <c r="E1739" s="24">
        <v>13.15</v>
      </c>
      <c r="F1739" s="23">
        <f>COUNTIFS(mdr_rate_cleaned!$A$2:$A$10,B1739,mdr_rate_cleaned!$B$2:$B$10,"&lt;"&amp;C1739,mdr_rate_cleaned!$F$2:$F$10,"&gt;="&amp;C1739)</f>
        <v>1</v>
      </c>
      <c r="G1739" s="40">
        <f>SUMIFS(mdr_rate_cleaned!$G$2:$G$10,mdr_rate_cleaned!$A$2:$A$10,B1739,mdr_rate_cleaned!$B$2:$B$10,"&lt;"&amp;C1739,mdr_rate_cleaned!$F$2:$F$10,"&gt;="&amp;C1739)</f>
        <v>1.7000000000000001E-2</v>
      </c>
      <c r="H1739" s="24">
        <f t="shared" si="135"/>
        <v>73.069999999999993</v>
      </c>
      <c r="I1739" s="23" t="str">
        <f t="shared" si="136"/>
        <v>Match</v>
      </c>
      <c r="J1739" s="23" t="str">
        <f t="shared" si="137"/>
        <v>Match</v>
      </c>
      <c r="K1739" s="24">
        <f t="shared" si="138"/>
        <v>13.15</v>
      </c>
      <c r="L1739" s="24">
        <f t="shared" si="139"/>
        <v>0</v>
      </c>
    </row>
    <row r="1740" spans="1:12" ht="15" customHeight="1" x14ac:dyDescent="0.3">
      <c r="A1740" s="23" t="s">
        <v>14478</v>
      </c>
      <c r="B1740" s="23" t="s">
        <v>75</v>
      </c>
      <c r="C1740" s="39">
        <v>5598</v>
      </c>
      <c r="D1740" s="24">
        <v>16.79</v>
      </c>
      <c r="E1740" s="24">
        <v>3.02</v>
      </c>
      <c r="F1740" s="23">
        <f>COUNTIFS(mdr_rate_cleaned!$A$2:$A$10,B1740,mdr_rate_cleaned!$B$2:$B$10,"&lt;"&amp;C1740,mdr_rate_cleaned!$F$2:$F$10,"&gt;="&amp;C1740)</f>
        <v>1</v>
      </c>
      <c r="G1740" s="40">
        <f>SUMIFS(mdr_rate_cleaned!$G$2:$G$10,mdr_rate_cleaned!$A$2:$A$10,B1740,mdr_rate_cleaned!$B$2:$B$10,"&lt;"&amp;C1740,mdr_rate_cleaned!$F$2:$F$10,"&gt;="&amp;C1740)</f>
        <v>3.0000000000000001E-3</v>
      </c>
      <c r="H1740" s="24">
        <f t="shared" si="135"/>
        <v>16.79</v>
      </c>
      <c r="I1740" s="23" t="str">
        <f t="shared" si="136"/>
        <v>Match</v>
      </c>
      <c r="J1740" s="23" t="str">
        <f t="shared" si="137"/>
        <v>Match</v>
      </c>
      <c r="K1740" s="24">
        <f t="shared" si="138"/>
        <v>3.02</v>
      </c>
      <c r="L1740" s="24">
        <f t="shared" si="139"/>
        <v>0</v>
      </c>
    </row>
    <row r="1741" spans="1:12" ht="15" customHeight="1" x14ac:dyDescent="0.3">
      <c r="A1741" s="23" t="s">
        <v>14479</v>
      </c>
      <c r="B1741" s="23" t="s">
        <v>77</v>
      </c>
      <c r="C1741" s="39">
        <v>2398</v>
      </c>
      <c r="D1741" s="24">
        <v>40.770000000000003</v>
      </c>
      <c r="E1741" s="24">
        <v>7.34</v>
      </c>
      <c r="F1741" s="23">
        <f>COUNTIFS(mdr_rate_cleaned!$A$2:$A$10,B1741,mdr_rate_cleaned!$B$2:$B$10,"&lt;"&amp;C1741,mdr_rate_cleaned!$F$2:$F$10,"&gt;="&amp;C1741)</f>
        <v>1</v>
      </c>
      <c r="G1741" s="40">
        <f>SUMIFS(mdr_rate_cleaned!$G$2:$G$10,mdr_rate_cleaned!$A$2:$A$10,B1741,mdr_rate_cleaned!$B$2:$B$10,"&lt;"&amp;C1741,mdr_rate_cleaned!$F$2:$F$10,"&gt;="&amp;C1741)</f>
        <v>1.7000000000000001E-2</v>
      </c>
      <c r="H1741" s="24">
        <f t="shared" si="135"/>
        <v>40.770000000000003</v>
      </c>
      <c r="I1741" s="23" t="str">
        <f t="shared" si="136"/>
        <v>Match</v>
      </c>
      <c r="J1741" s="23" t="str">
        <f t="shared" si="137"/>
        <v>Match</v>
      </c>
      <c r="K1741" s="24">
        <f t="shared" si="138"/>
        <v>7.34</v>
      </c>
      <c r="L1741" s="24">
        <f t="shared" si="139"/>
        <v>0</v>
      </c>
    </row>
    <row r="1742" spans="1:12" ht="15" customHeight="1" x14ac:dyDescent="0.3">
      <c r="A1742" s="23" t="s">
        <v>14480</v>
      </c>
      <c r="B1742" s="23" t="s">
        <v>75</v>
      </c>
      <c r="C1742" s="39">
        <v>3098</v>
      </c>
      <c r="D1742" s="24">
        <v>9.2899999999999991</v>
      </c>
      <c r="E1742" s="24">
        <v>1.67</v>
      </c>
      <c r="F1742" s="23">
        <f>COUNTIFS(mdr_rate_cleaned!$A$2:$A$10,B1742,mdr_rate_cleaned!$B$2:$B$10,"&lt;"&amp;C1742,mdr_rate_cleaned!$F$2:$F$10,"&gt;="&amp;C1742)</f>
        <v>1</v>
      </c>
      <c r="G1742" s="40">
        <f>SUMIFS(mdr_rate_cleaned!$G$2:$G$10,mdr_rate_cleaned!$A$2:$A$10,B1742,mdr_rate_cleaned!$B$2:$B$10,"&lt;"&amp;C1742,mdr_rate_cleaned!$F$2:$F$10,"&gt;="&amp;C1742)</f>
        <v>3.0000000000000001E-3</v>
      </c>
      <c r="H1742" s="24">
        <f t="shared" si="135"/>
        <v>9.2899999999999991</v>
      </c>
      <c r="I1742" s="23" t="str">
        <f t="shared" si="136"/>
        <v>Match</v>
      </c>
      <c r="J1742" s="23" t="str">
        <f t="shared" si="137"/>
        <v>Match</v>
      </c>
      <c r="K1742" s="24">
        <f t="shared" si="138"/>
        <v>1.67</v>
      </c>
      <c r="L1742" s="24">
        <f t="shared" si="139"/>
        <v>0</v>
      </c>
    </row>
    <row r="1743" spans="1:12" ht="15" customHeight="1" x14ac:dyDescent="0.3">
      <c r="A1743" s="23" t="s">
        <v>14481</v>
      </c>
      <c r="B1743" s="23" t="s">
        <v>75</v>
      </c>
      <c r="C1743" s="39">
        <v>2598</v>
      </c>
      <c r="D1743" s="24">
        <v>7.79</v>
      </c>
      <c r="E1743" s="24">
        <v>1.4</v>
      </c>
      <c r="F1743" s="23">
        <f>COUNTIFS(mdr_rate_cleaned!$A$2:$A$10,B1743,mdr_rate_cleaned!$B$2:$B$10,"&lt;"&amp;C1743,mdr_rate_cleaned!$F$2:$F$10,"&gt;="&amp;C1743)</f>
        <v>1</v>
      </c>
      <c r="G1743" s="40">
        <f>SUMIFS(mdr_rate_cleaned!$G$2:$G$10,mdr_rate_cleaned!$A$2:$A$10,B1743,mdr_rate_cleaned!$B$2:$B$10,"&lt;"&amp;C1743,mdr_rate_cleaned!$F$2:$F$10,"&gt;="&amp;C1743)</f>
        <v>3.0000000000000001E-3</v>
      </c>
      <c r="H1743" s="24">
        <f t="shared" si="135"/>
        <v>7.79</v>
      </c>
      <c r="I1743" s="23" t="str">
        <f t="shared" si="136"/>
        <v>Match</v>
      </c>
      <c r="J1743" s="23" t="str">
        <f t="shared" si="137"/>
        <v>Match</v>
      </c>
      <c r="K1743" s="24">
        <f t="shared" si="138"/>
        <v>1.4</v>
      </c>
      <c r="L1743" s="24">
        <f t="shared" si="139"/>
        <v>0</v>
      </c>
    </row>
    <row r="1744" spans="1:12" ht="15" customHeight="1" x14ac:dyDescent="0.3">
      <c r="A1744" s="23" t="s">
        <v>14482</v>
      </c>
      <c r="B1744" s="23" t="s">
        <v>75</v>
      </c>
      <c r="C1744" s="39">
        <v>9498</v>
      </c>
      <c r="D1744" s="24">
        <v>28.49</v>
      </c>
      <c r="E1744" s="24">
        <v>5.13</v>
      </c>
      <c r="F1744" s="23">
        <f>COUNTIFS(mdr_rate_cleaned!$A$2:$A$10,B1744,mdr_rate_cleaned!$B$2:$B$10,"&lt;"&amp;C1744,mdr_rate_cleaned!$F$2:$F$10,"&gt;="&amp;C1744)</f>
        <v>1</v>
      </c>
      <c r="G1744" s="40">
        <f>SUMIFS(mdr_rate_cleaned!$G$2:$G$10,mdr_rate_cleaned!$A$2:$A$10,B1744,mdr_rate_cleaned!$B$2:$B$10,"&lt;"&amp;C1744,mdr_rate_cleaned!$F$2:$F$10,"&gt;="&amp;C1744)</f>
        <v>3.0000000000000001E-3</v>
      </c>
      <c r="H1744" s="24">
        <f t="shared" si="135"/>
        <v>28.49</v>
      </c>
      <c r="I1744" s="23" t="str">
        <f t="shared" si="136"/>
        <v>Match</v>
      </c>
      <c r="J1744" s="23" t="str">
        <f t="shared" si="137"/>
        <v>Match</v>
      </c>
      <c r="K1744" s="24">
        <f t="shared" si="138"/>
        <v>5.13</v>
      </c>
      <c r="L1744" s="24">
        <f t="shared" si="139"/>
        <v>0</v>
      </c>
    </row>
    <row r="1745" spans="1:12" ht="15" customHeight="1" x14ac:dyDescent="0.3">
      <c r="A1745" s="23" t="s">
        <v>14483</v>
      </c>
      <c r="B1745" s="23" t="s">
        <v>79</v>
      </c>
      <c r="C1745" s="39">
        <v>8348</v>
      </c>
      <c r="D1745" s="24">
        <v>133.57</v>
      </c>
      <c r="E1745" s="24">
        <v>24.04</v>
      </c>
      <c r="F1745" s="23">
        <f>COUNTIFS(mdr_rate_cleaned!$A$2:$A$10,B1745,mdr_rate_cleaned!$B$2:$B$10,"&lt;"&amp;C1745,mdr_rate_cleaned!$F$2:$F$10,"&gt;="&amp;C1745)</f>
        <v>1</v>
      </c>
      <c r="G1745" s="40">
        <f>SUMIFS(mdr_rate_cleaned!$G$2:$G$10,mdr_rate_cleaned!$A$2:$A$10,B1745,mdr_rate_cleaned!$B$2:$B$10,"&lt;"&amp;C1745,mdr_rate_cleaned!$F$2:$F$10,"&gt;="&amp;C1745)</f>
        <v>1.6E-2</v>
      </c>
      <c r="H1745" s="24">
        <f t="shared" si="135"/>
        <v>133.57</v>
      </c>
      <c r="I1745" s="23" t="str">
        <f t="shared" si="136"/>
        <v>Match</v>
      </c>
      <c r="J1745" s="23" t="str">
        <f t="shared" si="137"/>
        <v>Match</v>
      </c>
      <c r="K1745" s="24">
        <f t="shared" si="138"/>
        <v>24.04</v>
      </c>
      <c r="L1745" s="24">
        <f t="shared" si="139"/>
        <v>0</v>
      </c>
    </row>
    <row r="1746" spans="1:12" ht="15" customHeight="1" x14ac:dyDescent="0.3">
      <c r="A1746" s="23" t="s">
        <v>14484</v>
      </c>
      <c r="B1746" s="23" t="s">
        <v>79</v>
      </c>
      <c r="C1746" s="39">
        <v>1299</v>
      </c>
      <c r="D1746" s="24">
        <v>23.38</v>
      </c>
      <c r="E1746" s="24">
        <v>4.21</v>
      </c>
      <c r="F1746" s="23">
        <f>COUNTIFS(mdr_rate_cleaned!$A$2:$A$10,B1746,mdr_rate_cleaned!$B$2:$B$10,"&lt;"&amp;C1746,mdr_rate_cleaned!$F$2:$F$10,"&gt;="&amp;C1746)</f>
        <v>1</v>
      </c>
      <c r="G1746" s="40">
        <f>SUMIFS(mdr_rate_cleaned!$G$2:$G$10,mdr_rate_cleaned!$A$2:$A$10,B1746,mdr_rate_cleaned!$B$2:$B$10,"&lt;"&amp;C1746,mdr_rate_cleaned!$F$2:$F$10,"&gt;="&amp;C1746)</f>
        <v>1.8000000000000002E-2</v>
      </c>
      <c r="H1746" s="24">
        <f t="shared" si="135"/>
        <v>23.38</v>
      </c>
      <c r="I1746" s="23" t="str">
        <f t="shared" si="136"/>
        <v>Match</v>
      </c>
      <c r="J1746" s="23" t="str">
        <f t="shared" si="137"/>
        <v>Match</v>
      </c>
      <c r="K1746" s="24">
        <f t="shared" si="138"/>
        <v>4.21</v>
      </c>
      <c r="L1746" s="24">
        <f t="shared" si="139"/>
        <v>0</v>
      </c>
    </row>
    <row r="1747" spans="1:12" ht="15" customHeight="1" x14ac:dyDescent="0.3">
      <c r="A1747" s="23" t="s">
        <v>14485</v>
      </c>
      <c r="B1747" s="23" t="s">
        <v>77</v>
      </c>
      <c r="C1747" s="39">
        <v>1299</v>
      </c>
      <c r="D1747" s="24">
        <v>24.68</v>
      </c>
      <c r="E1747" s="24">
        <v>4.4400000000000004</v>
      </c>
      <c r="F1747" s="23">
        <f>COUNTIFS(mdr_rate_cleaned!$A$2:$A$10,B1747,mdr_rate_cleaned!$B$2:$B$10,"&lt;"&amp;C1747,mdr_rate_cleaned!$F$2:$F$10,"&gt;="&amp;C1747)</f>
        <v>1</v>
      </c>
      <c r="G1747" s="40">
        <f>SUMIFS(mdr_rate_cleaned!$G$2:$G$10,mdr_rate_cleaned!$A$2:$A$10,B1747,mdr_rate_cleaned!$B$2:$B$10,"&lt;"&amp;C1747,mdr_rate_cleaned!$F$2:$F$10,"&gt;="&amp;C1747)</f>
        <v>1.9E-2</v>
      </c>
      <c r="H1747" s="24">
        <f t="shared" si="135"/>
        <v>24.68</v>
      </c>
      <c r="I1747" s="23" t="str">
        <f t="shared" si="136"/>
        <v>Match</v>
      </c>
      <c r="J1747" s="23" t="str">
        <f t="shared" si="137"/>
        <v>Match</v>
      </c>
      <c r="K1747" s="24">
        <f t="shared" si="138"/>
        <v>4.4400000000000004</v>
      </c>
      <c r="L1747" s="24">
        <f t="shared" si="139"/>
        <v>0</v>
      </c>
    </row>
    <row r="1748" spans="1:12" ht="15" customHeight="1" x14ac:dyDescent="0.3">
      <c r="A1748" s="23" t="s">
        <v>14486</v>
      </c>
      <c r="B1748" s="23" t="s">
        <v>79</v>
      </c>
      <c r="C1748" s="39">
        <v>8097</v>
      </c>
      <c r="D1748" s="24">
        <v>129.55000000000001</v>
      </c>
      <c r="E1748" s="24">
        <v>23.32</v>
      </c>
      <c r="F1748" s="23">
        <f>COUNTIFS(mdr_rate_cleaned!$A$2:$A$10,B1748,mdr_rate_cleaned!$B$2:$B$10,"&lt;"&amp;C1748,mdr_rate_cleaned!$F$2:$F$10,"&gt;="&amp;C1748)</f>
        <v>1</v>
      </c>
      <c r="G1748" s="40">
        <f>SUMIFS(mdr_rate_cleaned!$G$2:$G$10,mdr_rate_cleaned!$A$2:$A$10,B1748,mdr_rate_cleaned!$B$2:$B$10,"&lt;"&amp;C1748,mdr_rate_cleaned!$F$2:$F$10,"&gt;="&amp;C1748)</f>
        <v>1.6E-2</v>
      </c>
      <c r="H1748" s="24">
        <f t="shared" si="135"/>
        <v>129.55000000000001</v>
      </c>
      <c r="I1748" s="23" t="str">
        <f t="shared" si="136"/>
        <v>Match</v>
      </c>
      <c r="J1748" s="23" t="str">
        <f t="shared" si="137"/>
        <v>Match</v>
      </c>
      <c r="K1748" s="24">
        <f t="shared" si="138"/>
        <v>23.32</v>
      </c>
      <c r="L1748" s="24">
        <f t="shared" si="139"/>
        <v>0</v>
      </c>
    </row>
    <row r="1749" spans="1:12" ht="15" customHeight="1" x14ac:dyDescent="0.3">
      <c r="A1749" s="23" t="s">
        <v>14487</v>
      </c>
      <c r="B1749" s="23" t="s">
        <v>75</v>
      </c>
      <c r="C1749" s="39">
        <v>2447</v>
      </c>
      <c r="D1749" s="24">
        <v>7.34</v>
      </c>
      <c r="E1749" s="24">
        <v>1.32</v>
      </c>
      <c r="F1749" s="23">
        <f>COUNTIFS(mdr_rate_cleaned!$A$2:$A$10,B1749,mdr_rate_cleaned!$B$2:$B$10,"&lt;"&amp;C1749,mdr_rate_cleaned!$F$2:$F$10,"&gt;="&amp;C1749)</f>
        <v>1</v>
      </c>
      <c r="G1749" s="40">
        <f>SUMIFS(mdr_rate_cleaned!$G$2:$G$10,mdr_rate_cleaned!$A$2:$A$10,B1749,mdr_rate_cleaned!$B$2:$B$10,"&lt;"&amp;C1749,mdr_rate_cleaned!$F$2:$F$10,"&gt;="&amp;C1749)</f>
        <v>3.0000000000000001E-3</v>
      </c>
      <c r="H1749" s="24">
        <f t="shared" si="135"/>
        <v>7.34</v>
      </c>
      <c r="I1749" s="23" t="str">
        <f t="shared" si="136"/>
        <v>Match</v>
      </c>
      <c r="J1749" s="23" t="str">
        <f t="shared" si="137"/>
        <v>Match</v>
      </c>
      <c r="K1749" s="24">
        <f t="shared" si="138"/>
        <v>1.32</v>
      </c>
      <c r="L1749" s="24">
        <f t="shared" si="139"/>
        <v>0</v>
      </c>
    </row>
    <row r="1750" spans="1:12" ht="15" customHeight="1" x14ac:dyDescent="0.3">
      <c r="A1750" s="23" t="s">
        <v>14488</v>
      </c>
      <c r="B1750" s="23" t="s">
        <v>79</v>
      </c>
      <c r="C1750" s="39">
        <v>11997</v>
      </c>
      <c r="D1750" s="24">
        <v>191.95</v>
      </c>
      <c r="E1750" s="24">
        <v>34.549999999999997</v>
      </c>
      <c r="F1750" s="23">
        <f>COUNTIFS(mdr_rate_cleaned!$A$2:$A$10,B1750,mdr_rate_cleaned!$B$2:$B$10,"&lt;"&amp;C1750,mdr_rate_cleaned!$F$2:$F$10,"&gt;="&amp;C1750)</f>
        <v>1</v>
      </c>
      <c r="G1750" s="40">
        <f>SUMIFS(mdr_rate_cleaned!$G$2:$G$10,mdr_rate_cleaned!$A$2:$A$10,B1750,mdr_rate_cleaned!$B$2:$B$10,"&lt;"&amp;C1750,mdr_rate_cleaned!$F$2:$F$10,"&gt;="&amp;C1750)</f>
        <v>1.6E-2</v>
      </c>
      <c r="H1750" s="24">
        <f t="shared" si="135"/>
        <v>191.95</v>
      </c>
      <c r="I1750" s="23" t="str">
        <f t="shared" si="136"/>
        <v>Match</v>
      </c>
      <c r="J1750" s="23" t="str">
        <f t="shared" si="137"/>
        <v>Match</v>
      </c>
      <c r="K1750" s="24">
        <f t="shared" si="138"/>
        <v>34.549999999999997</v>
      </c>
      <c r="L1750" s="24">
        <f t="shared" si="139"/>
        <v>0</v>
      </c>
    </row>
    <row r="1751" spans="1:12" ht="15" customHeight="1" x14ac:dyDescent="0.3">
      <c r="A1751" s="23" t="s">
        <v>14490</v>
      </c>
      <c r="B1751" s="23" t="s">
        <v>75</v>
      </c>
      <c r="C1751" s="39">
        <v>2999</v>
      </c>
      <c r="D1751" s="24">
        <v>9</v>
      </c>
      <c r="E1751" s="24">
        <v>1.62</v>
      </c>
      <c r="F1751" s="23">
        <f>COUNTIFS(mdr_rate_cleaned!$A$2:$A$10,B1751,mdr_rate_cleaned!$B$2:$B$10,"&lt;"&amp;C1751,mdr_rate_cleaned!$F$2:$F$10,"&gt;="&amp;C1751)</f>
        <v>1</v>
      </c>
      <c r="G1751" s="40">
        <f>SUMIFS(mdr_rate_cleaned!$G$2:$G$10,mdr_rate_cleaned!$A$2:$A$10,B1751,mdr_rate_cleaned!$B$2:$B$10,"&lt;"&amp;C1751,mdr_rate_cleaned!$F$2:$F$10,"&gt;="&amp;C1751)</f>
        <v>3.0000000000000001E-3</v>
      </c>
      <c r="H1751" s="24">
        <f t="shared" si="135"/>
        <v>9</v>
      </c>
      <c r="I1751" s="23" t="str">
        <f t="shared" si="136"/>
        <v>Match</v>
      </c>
      <c r="J1751" s="23" t="str">
        <f t="shared" si="137"/>
        <v>Match</v>
      </c>
      <c r="K1751" s="24">
        <f t="shared" si="138"/>
        <v>1.62</v>
      </c>
      <c r="L1751" s="24">
        <f t="shared" si="139"/>
        <v>0</v>
      </c>
    </row>
    <row r="1752" spans="1:12" ht="15" customHeight="1" x14ac:dyDescent="0.3">
      <c r="A1752" s="23" t="s">
        <v>14491</v>
      </c>
      <c r="B1752" s="23" t="s">
        <v>81</v>
      </c>
      <c r="C1752" s="39">
        <v>9498</v>
      </c>
      <c r="D1752" s="24">
        <v>113.98</v>
      </c>
      <c r="E1752" s="24">
        <v>20.52</v>
      </c>
      <c r="F1752" s="23">
        <f>COUNTIFS(mdr_rate_cleaned!$A$2:$A$10,B1752,mdr_rate_cleaned!$B$2:$B$10,"&lt;"&amp;C1752,mdr_rate_cleaned!$F$2:$F$10,"&gt;="&amp;C1752)</f>
        <v>1</v>
      </c>
      <c r="G1752" s="40">
        <f>SUMIFS(mdr_rate_cleaned!$G$2:$G$10,mdr_rate_cleaned!$A$2:$A$10,B1752,mdr_rate_cleaned!$B$2:$B$10,"&lt;"&amp;C1752,mdr_rate_cleaned!$F$2:$F$10,"&gt;="&amp;C1752)</f>
        <v>1.2E-2</v>
      </c>
      <c r="H1752" s="24">
        <f t="shared" si="135"/>
        <v>113.98</v>
      </c>
      <c r="I1752" s="23" t="str">
        <f t="shared" si="136"/>
        <v>Match</v>
      </c>
      <c r="J1752" s="23" t="str">
        <f t="shared" si="137"/>
        <v>Match</v>
      </c>
      <c r="K1752" s="24">
        <f t="shared" si="138"/>
        <v>20.52</v>
      </c>
      <c r="L1752" s="24">
        <f t="shared" si="139"/>
        <v>0</v>
      </c>
    </row>
    <row r="1753" spans="1:12" ht="15" customHeight="1" x14ac:dyDescent="0.3">
      <c r="A1753" s="23" t="s">
        <v>14492</v>
      </c>
      <c r="B1753" s="23" t="s">
        <v>75</v>
      </c>
      <c r="C1753" s="39">
        <v>599</v>
      </c>
      <c r="D1753" s="24">
        <v>0</v>
      </c>
      <c r="E1753" s="24">
        <v>0</v>
      </c>
      <c r="F1753" s="23">
        <f>COUNTIFS(mdr_rate_cleaned!$A$2:$A$10,B1753,mdr_rate_cleaned!$B$2:$B$10,"&lt;"&amp;C1753,mdr_rate_cleaned!$F$2:$F$10,"&gt;="&amp;C1753)</f>
        <v>1</v>
      </c>
      <c r="G1753" s="40">
        <f>SUMIFS(mdr_rate_cleaned!$G$2:$G$10,mdr_rate_cleaned!$A$2:$A$10,B1753,mdr_rate_cleaned!$B$2:$B$10,"&lt;"&amp;C1753,mdr_rate_cleaned!$F$2:$F$10,"&gt;="&amp;C1753)</f>
        <v>0</v>
      </c>
      <c r="H1753" s="24">
        <f t="shared" si="135"/>
        <v>0</v>
      </c>
      <c r="I1753" s="23" t="str">
        <f t="shared" si="136"/>
        <v>Match</v>
      </c>
      <c r="J1753" s="23" t="str">
        <f t="shared" si="137"/>
        <v>Match</v>
      </c>
      <c r="K1753" s="24">
        <f t="shared" si="138"/>
        <v>0</v>
      </c>
      <c r="L1753" s="24">
        <f t="shared" si="139"/>
        <v>0</v>
      </c>
    </row>
    <row r="1754" spans="1:12" ht="15" customHeight="1" x14ac:dyDescent="0.3">
      <c r="A1754" s="23" t="s">
        <v>14494</v>
      </c>
      <c r="B1754" s="23" t="s">
        <v>79</v>
      </c>
      <c r="C1754" s="39">
        <v>5298</v>
      </c>
      <c r="D1754" s="24">
        <v>84.77</v>
      </c>
      <c r="E1754" s="24">
        <v>15.26</v>
      </c>
      <c r="F1754" s="23">
        <f>COUNTIFS(mdr_rate_cleaned!$A$2:$A$10,B1754,mdr_rate_cleaned!$B$2:$B$10,"&lt;"&amp;C1754,mdr_rate_cleaned!$F$2:$F$10,"&gt;="&amp;C1754)</f>
        <v>1</v>
      </c>
      <c r="G1754" s="40">
        <f>SUMIFS(mdr_rate_cleaned!$G$2:$G$10,mdr_rate_cleaned!$A$2:$A$10,B1754,mdr_rate_cleaned!$B$2:$B$10,"&lt;"&amp;C1754,mdr_rate_cleaned!$F$2:$F$10,"&gt;="&amp;C1754)</f>
        <v>1.6E-2</v>
      </c>
      <c r="H1754" s="24">
        <f t="shared" si="135"/>
        <v>84.77</v>
      </c>
      <c r="I1754" s="23" t="str">
        <f t="shared" si="136"/>
        <v>Match</v>
      </c>
      <c r="J1754" s="23" t="str">
        <f t="shared" si="137"/>
        <v>Match</v>
      </c>
      <c r="K1754" s="24">
        <f t="shared" si="138"/>
        <v>15.26</v>
      </c>
      <c r="L1754" s="24">
        <f t="shared" si="139"/>
        <v>0</v>
      </c>
    </row>
    <row r="1755" spans="1:12" ht="15" customHeight="1" x14ac:dyDescent="0.3">
      <c r="A1755" s="23" t="s">
        <v>14495</v>
      </c>
      <c r="B1755" s="23" t="s">
        <v>75</v>
      </c>
      <c r="C1755" s="39">
        <v>1647</v>
      </c>
      <c r="D1755" s="24">
        <v>0</v>
      </c>
      <c r="E1755" s="24">
        <v>0</v>
      </c>
      <c r="F1755" s="23">
        <f>COUNTIFS(mdr_rate_cleaned!$A$2:$A$10,B1755,mdr_rate_cleaned!$B$2:$B$10,"&lt;"&amp;C1755,mdr_rate_cleaned!$F$2:$F$10,"&gt;="&amp;C1755)</f>
        <v>1</v>
      </c>
      <c r="G1755" s="40">
        <f>SUMIFS(mdr_rate_cleaned!$G$2:$G$10,mdr_rate_cleaned!$A$2:$A$10,B1755,mdr_rate_cleaned!$B$2:$B$10,"&lt;"&amp;C1755,mdr_rate_cleaned!$F$2:$F$10,"&gt;="&amp;C1755)</f>
        <v>0</v>
      </c>
      <c r="H1755" s="24">
        <f t="shared" si="135"/>
        <v>0</v>
      </c>
      <c r="I1755" s="23" t="str">
        <f t="shared" si="136"/>
        <v>Match</v>
      </c>
      <c r="J1755" s="23" t="str">
        <f t="shared" si="137"/>
        <v>Match</v>
      </c>
      <c r="K1755" s="24">
        <f t="shared" si="138"/>
        <v>0</v>
      </c>
      <c r="L1755" s="24">
        <f t="shared" si="139"/>
        <v>0</v>
      </c>
    </row>
    <row r="1756" spans="1:12" ht="15" customHeight="1" x14ac:dyDescent="0.3">
      <c r="A1756" s="23" t="s">
        <v>14497</v>
      </c>
      <c r="B1756" s="23" t="s">
        <v>79</v>
      </c>
      <c r="C1756" s="39">
        <v>1299</v>
      </c>
      <c r="D1756" s="24">
        <v>23.38</v>
      </c>
      <c r="E1756" s="24">
        <v>4.21</v>
      </c>
      <c r="F1756" s="23">
        <f>COUNTIFS(mdr_rate_cleaned!$A$2:$A$10,B1756,mdr_rate_cleaned!$B$2:$B$10,"&lt;"&amp;C1756,mdr_rate_cleaned!$F$2:$F$10,"&gt;="&amp;C1756)</f>
        <v>1</v>
      </c>
      <c r="G1756" s="40">
        <f>SUMIFS(mdr_rate_cleaned!$G$2:$G$10,mdr_rate_cleaned!$A$2:$A$10,B1756,mdr_rate_cleaned!$B$2:$B$10,"&lt;"&amp;C1756,mdr_rate_cleaned!$F$2:$F$10,"&gt;="&amp;C1756)</f>
        <v>1.8000000000000002E-2</v>
      </c>
      <c r="H1756" s="24">
        <f t="shared" si="135"/>
        <v>23.38</v>
      </c>
      <c r="I1756" s="23" t="str">
        <f t="shared" si="136"/>
        <v>Match</v>
      </c>
      <c r="J1756" s="23" t="str">
        <f t="shared" si="137"/>
        <v>Match</v>
      </c>
      <c r="K1756" s="24">
        <f t="shared" si="138"/>
        <v>4.21</v>
      </c>
      <c r="L1756" s="24">
        <f t="shared" si="139"/>
        <v>0</v>
      </c>
    </row>
    <row r="1757" spans="1:12" ht="15" customHeight="1" x14ac:dyDescent="0.3">
      <c r="A1757" s="23" t="s">
        <v>14498</v>
      </c>
      <c r="B1757" s="23" t="s">
        <v>75</v>
      </c>
      <c r="C1757" s="39">
        <v>9498</v>
      </c>
      <c r="D1757" s="24">
        <v>28.49</v>
      </c>
      <c r="E1757" s="24">
        <v>5.13</v>
      </c>
      <c r="F1757" s="23">
        <f>COUNTIFS(mdr_rate_cleaned!$A$2:$A$10,B1757,mdr_rate_cleaned!$B$2:$B$10,"&lt;"&amp;C1757,mdr_rate_cleaned!$F$2:$F$10,"&gt;="&amp;C1757)</f>
        <v>1</v>
      </c>
      <c r="G1757" s="40">
        <f>SUMIFS(mdr_rate_cleaned!$G$2:$G$10,mdr_rate_cleaned!$A$2:$A$10,B1757,mdr_rate_cleaned!$B$2:$B$10,"&lt;"&amp;C1757,mdr_rate_cleaned!$F$2:$F$10,"&gt;="&amp;C1757)</f>
        <v>3.0000000000000001E-3</v>
      </c>
      <c r="H1757" s="24">
        <f t="shared" si="135"/>
        <v>28.49</v>
      </c>
      <c r="I1757" s="23" t="str">
        <f t="shared" si="136"/>
        <v>Match</v>
      </c>
      <c r="J1757" s="23" t="str">
        <f t="shared" si="137"/>
        <v>Match</v>
      </c>
      <c r="K1757" s="24">
        <f t="shared" si="138"/>
        <v>5.13</v>
      </c>
      <c r="L1757" s="24">
        <f t="shared" si="139"/>
        <v>0</v>
      </c>
    </row>
    <row r="1758" spans="1:12" ht="15" customHeight="1" x14ac:dyDescent="0.3">
      <c r="A1758" s="23" t="s">
        <v>14499</v>
      </c>
      <c r="B1758" s="23" t="s">
        <v>79</v>
      </c>
      <c r="C1758" s="39">
        <v>3499</v>
      </c>
      <c r="D1758" s="24">
        <v>55.98</v>
      </c>
      <c r="E1758" s="24">
        <v>10.08</v>
      </c>
      <c r="F1758" s="23">
        <f>COUNTIFS(mdr_rate_cleaned!$A$2:$A$10,B1758,mdr_rate_cleaned!$B$2:$B$10,"&lt;"&amp;C1758,mdr_rate_cleaned!$F$2:$F$10,"&gt;="&amp;C1758)</f>
        <v>1</v>
      </c>
      <c r="G1758" s="40">
        <f>SUMIFS(mdr_rate_cleaned!$G$2:$G$10,mdr_rate_cleaned!$A$2:$A$10,B1758,mdr_rate_cleaned!$B$2:$B$10,"&lt;"&amp;C1758,mdr_rate_cleaned!$F$2:$F$10,"&gt;="&amp;C1758)</f>
        <v>1.6E-2</v>
      </c>
      <c r="H1758" s="24">
        <f t="shared" si="135"/>
        <v>55.98</v>
      </c>
      <c r="I1758" s="23" t="str">
        <f t="shared" si="136"/>
        <v>Match</v>
      </c>
      <c r="J1758" s="23" t="str">
        <f t="shared" si="137"/>
        <v>Match</v>
      </c>
      <c r="K1758" s="24">
        <f t="shared" si="138"/>
        <v>10.08</v>
      </c>
      <c r="L1758" s="24">
        <f t="shared" si="139"/>
        <v>0</v>
      </c>
    </row>
    <row r="1759" spans="1:12" ht="15" customHeight="1" x14ac:dyDescent="0.3">
      <c r="A1759" s="23" t="s">
        <v>14500</v>
      </c>
      <c r="B1759" s="23" t="s">
        <v>75</v>
      </c>
      <c r="C1759" s="39">
        <v>1499</v>
      </c>
      <c r="D1759" s="24">
        <v>0</v>
      </c>
      <c r="E1759" s="24">
        <v>0</v>
      </c>
      <c r="F1759" s="23">
        <f>COUNTIFS(mdr_rate_cleaned!$A$2:$A$10,B1759,mdr_rate_cleaned!$B$2:$B$10,"&lt;"&amp;C1759,mdr_rate_cleaned!$F$2:$F$10,"&gt;="&amp;C1759)</f>
        <v>1</v>
      </c>
      <c r="G1759" s="40">
        <f>SUMIFS(mdr_rate_cleaned!$G$2:$G$10,mdr_rate_cleaned!$A$2:$A$10,B1759,mdr_rate_cleaned!$B$2:$B$10,"&lt;"&amp;C1759,mdr_rate_cleaned!$F$2:$F$10,"&gt;="&amp;C1759)</f>
        <v>0</v>
      </c>
      <c r="H1759" s="24">
        <f t="shared" si="135"/>
        <v>0</v>
      </c>
      <c r="I1759" s="23" t="str">
        <f t="shared" si="136"/>
        <v>Match</v>
      </c>
      <c r="J1759" s="23" t="str">
        <f t="shared" si="137"/>
        <v>Match</v>
      </c>
      <c r="K1759" s="24">
        <f t="shared" si="138"/>
        <v>0</v>
      </c>
      <c r="L1759" s="24">
        <f t="shared" si="139"/>
        <v>0</v>
      </c>
    </row>
    <row r="1760" spans="1:12" ht="15" customHeight="1" x14ac:dyDescent="0.3">
      <c r="A1760" s="23" t="s">
        <v>14502</v>
      </c>
      <c r="B1760" s="23" t="s">
        <v>77</v>
      </c>
      <c r="C1760" s="39">
        <v>799</v>
      </c>
      <c r="D1760" s="24">
        <v>15.18</v>
      </c>
      <c r="E1760" s="24">
        <v>2.73</v>
      </c>
      <c r="F1760" s="23">
        <f>COUNTIFS(mdr_rate_cleaned!$A$2:$A$10,B1760,mdr_rate_cleaned!$B$2:$B$10,"&lt;"&amp;C1760,mdr_rate_cleaned!$F$2:$F$10,"&gt;="&amp;C1760)</f>
        <v>1</v>
      </c>
      <c r="G1760" s="40">
        <f>SUMIFS(mdr_rate_cleaned!$G$2:$G$10,mdr_rate_cleaned!$A$2:$A$10,B1760,mdr_rate_cleaned!$B$2:$B$10,"&lt;"&amp;C1760,mdr_rate_cleaned!$F$2:$F$10,"&gt;="&amp;C1760)</f>
        <v>1.9E-2</v>
      </c>
      <c r="H1760" s="24">
        <f t="shared" si="135"/>
        <v>15.18</v>
      </c>
      <c r="I1760" s="23" t="str">
        <f t="shared" si="136"/>
        <v>Match</v>
      </c>
      <c r="J1760" s="23" t="str">
        <f t="shared" si="137"/>
        <v>Match</v>
      </c>
      <c r="K1760" s="24">
        <f t="shared" si="138"/>
        <v>2.73</v>
      </c>
      <c r="L1760" s="24">
        <f t="shared" si="139"/>
        <v>0</v>
      </c>
    </row>
    <row r="1761" spans="1:12" ht="15" customHeight="1" x14ac:dyDescent="0.3">
      <c r="A1761" s="23" t="s">
        <v>14503</v>
      </c>
      <c r="B1761" s="23" t="s">
        <v>79</v>
      </c>
      <c r="C1761" s="39">
        <v>7999</v>
      </c>
      <c r="D1761" s="24">
        <v>127.98</v>
      </c>
      <c r="E1761" s="24">
        <v>23.04</v>
      </c>
      <c r="F1761" s="23">
        <f>COUNTIFS(mdr_rate_cleaned!$A$2:$A$10,B1761,mdr_rate_cleaned!$B$2:$B$10,"&lt;"&amp;C1761,mdr_rate_cleaned!$F$2:$F$10,"&gt;="&amp;C1761)</f>
        <v>1</v>
      </c>
      <c r="G1761" s="40">
        <f>SUMIFS(mdr_rate_cleaned!$G$2:$G$10,mdr_rate_cleaned!$A$2:$A$10,B1761,mdr_rate_cleaned!$B$2:$B$10,"&lt;"&amp;C1761,mdr_rate_cleaned!$F$2:$F$10,"&gt;="&amp;C1761)</f>
        <v>1.6E-2</v>
      </c>
      <c r="H1761" s="24">
        <f t="shared" si="135"/>
        <v>127.98</v>
      </c>
      <c r="I1761" s="23" t="str">
        <f t="shared" si="136"/>
        <v>Match</v>
      </c>
      <c r="J1761" s="23" t="str">
        <f t="shared" si="137"/>
        <v>Match</v>
      </c>
      <c r="K1761" s="24">
        <f t="shared" si="138"/>
        <v>23.04</v>
      </c>
      <c r="L1761" s="24">
        <f t="shared" si="139"/>
        <v>0</v>
      </c>
    </row>
    <row r="1762" spans="1:12" ht="15" customHeight="1" x14ac:dyDescent="0.3">
      <c r="A1762" s="23" t="s">
        <v>14504</v>
      </c>
      <c r="B1762" s="23" t="s">
        <v>75</v>
      </c>
      <c r="C1762" s="39">
        <v>7999</v>
      </c>
      <c r="D1762" s="24">
        <v>24</v>
      </c>
      <c r="E1762" s="24">
        <v>4.32</v>
      </c>
      <c r="F1762" s="23">
        <f>COUNTIFS(mdr_rate_cleaned!$A$2:$A$10,B1762,mdr_rate_cleaned!$B$2:$B$10,"&lt;"&amp;C1762,mdr_rate_cleaned!$F$2:$F$10,"&gt;="&amp;C1762)</f>
        <v>1</v>
      </c>
      <c r="G1762" s="40">
        <f>SUMIFS(mdr_rate_cleaned!$G$2:$G$10,mdr_rate_cleaned!$A$2:$A$10,B1762,mdr_rate_cleaned!$B$2:$B$10,"&lt;"&amp;C1762,mdr_rate_cleaned!$F$2:$F$10,"&gt;="&amp;C1762)</f>
        <v>3.0000000000000001E-3</v>
      </c>
      <c r="H1762" s="24">
        <f t="shared" si="135"/>
        <v>24</v>
      </c>
      <c r="I1762" s="23" t="str">
        <f t="shared" si="136"/>
        <v>Match</v>
      </c>
      <c r="J1762" s="23" t="str">
        <f t="shared" si="137"/>
        <v>Match</v>
      </c>
      <c r="K1762" s="24">
        <f t="shared" si="138"/>
        <v>4.32</v>
      </c>
      <c r="L1762" s="24">
        <f t="shared" si="139"/>
        <v>0</v>
      </c>
    </row>
    <row r="1763" spans="1:12" ht="15" customHeight="1" x14ac:dyDescent="0.3">
      <c r="A1763" s="23" t="s">
        <v>14505</v>
      </c>
      <c r="B1763" s="23" t="s">
        <v>75</v>
      </c>
      <c r="C1763" s="39">
        <v>8998</v>
      </c>
      <c r="D1763" s="24">
        <v>26.99</v>
      </c>
      <c r="E1763" s="24">
        <v>4.8600000000000003</v>
      </c>
      <c r="F1763" s="23">
        <f>COUNTIFS(mdr_rate_cleaned!$A$2:$A$10,B1763,mdr_rate_cleaned!$B$2:$B$10,"&lt;"&amp;C1763,mdr_rate_cleaned!$F$2:$F$10,"&gt;="&amp;C1763)</f>
        <v>1</v>
      </c>
      <c r="G1763" s="40">
        <f>SUMIFS(mdr_rate_cleaned!$G$2:$G$10,mdr_rate_cleaned!$A$2:$A$10,B1763,mdr_rate_cleaned!$B$2:$B$10,"&lt;"&amp;C1763,mdr_rate_cleaned!$F$2:$F$10,"&gt;="&amp;C1763)</f>
        <v>3.0000000000000001E-3</v>
      </c>
      <c r="H1763" s="24">
        <f t="shared" si="135"/>
        <v>26.99</v>
      </c>
      <c r="I1763" s="23" t="str">
        <f t="shared" si="136"/>
        <v>Match</v>
      </c>
      <c r="J1763" s="23" t="str">
        <f t="shared" si="137"/>
        <v>Match</v>
      </c>
      <c r="K1763" s="24">
        <f t="shared" si="138"/>
        <v>4.8600000000000003</v>
      </c>
      <c r="L1763" s="24">
        <f t="shared" si="139"/>
        <v>0</v>
      </c>
    </row>
    <row r="1764" spans="1:12" ht="15" customHeight="1" x14ac:dyDescent="0.3">
      <c r="A1764" s="23" t="s">
        <v>14506</v>
      </c>
      <c r="B1764" s="23" t="s">
        <v>75</v>
      </c>
      <c r="C1764" s="39">
        <v>2397</v>
      </c>
      <c r="D1764" s="24">
        <v>7.19</v>
      </c>
      <c r="E1764" s="24">
        <v>1.29</v>
      </c>
      <c r="F1764" s="23">
        <f>COUNTIFS(mdr_rate_cleaned!$A$2:$A$10,B1764,mdr_rate_cleaned!$B$2:$B$10,"&lt;"&amp;C1764,mdr_rate_cleaned!$F$2:$F$10,"&gt;="&amp;C1764)</f>
        <v>1</v>
      </c>
      <c r="G1764" s="40">
        <f>SUMIFS(mdr_rate_cleaned!$G$2:$G$10,mdr_rate_cleaned!$A$2:$A$10,B1764,mdr_rate_cleaned!$B$2:$B$10,"&lt;"&amp;C1764,mdr_rate_cleaned!$F$2:$F$10,"&gt;="&amp;C1764)</f>
        <v>3.0000000000000001E-3</v>
      </c>
      <c r="H1764" s="24">
        <f t="shared" si="135"/>
        <v>7.19</v>
      </c>
      <c r="I1764" s="23" t="str">
        <f t="shared" si="136"/>
        <v>Match</v>
      </c>
      <c r="J1764" s="23" t="str">
        <f t="shared" si="137"/>
        <v>Match</v>
      </c>
      <c r="K1764" s="24">
        <f t="shared" si="138"/>
        <v>1.29</v>
      </c>
      <c r="L1764" s="24">
        <f t="shared" si="139"/>
        <v>0</v>
      </c>
    </row>
    <row r="1765" spans="1:12" ht="15" customHeight="1" x14ac:dyDescent="0.3">
      <c r="A1765" s="23" t="s">
        <v>14507</v>
      </c>
      <c r="B1765" s="23" t="s">
        <v>75</v>
      </c>
      <c r="C1765" s="39">
        <v>4597</v>
      </c>
      <c r="D1765" s="24">
        <v>13.79</v>
      </c>
      <c r="E1765" s="24">
        <v>2.48</v>
      </c>
      <c r="F1765" s="23">
        <f>COUNTIFS(mdr_rate_cleaned!$A$2:$A$10,B1765,mdr_rate_cleaned!$B$2:$B$10,"&lt;"&amp;C1765,mdr_rate_cleaned!$F$2:$F$10,"&gt;="&amp;C1765)</f>
        <v>1</v>
      </c>
      <c r="G1765" s="40">
        <f>SUMIFS(mdr_rate_cleaned!$G$2:$G$10,mdr_rate_cleaned!$A$2:$A$10,B1765,mdr_rate_cleaned!$B$2:$B$10,"&lt;"&amp;C1765,mdr_rate_cleaned!$F$2:$F$10,"&gt;="&amp;C1765)</f>
        <v>3.0000000000000001E-3</v>
      </c>
      <c r="H1765" s="24">
        <f t="shared" si="135"/>
        <v>13.79</v>
      </c>
      <c r="I1765" s="23" t="str">
        <f t="shared" si="136"/>
        <v>Match</v>
      </c>
      <c r="J1765" s="23" t="str">
        <f t="shared" si="137"/>
        <v>Match</v>
      </c>
      <c r="K1765" s="24">
        <f t="shared" si="138"/>
        <v>2.48</v>
      </c>
      <c r="L1765" s="24">
        <f t="shared" si="139"/>
        <v>0</v>
      </c>
    </row>
    <row r="1766" spans="1:12" ht="15" customHeight="1" x14ac:dyDescent="0.3">
      <c r="A1766" s="23" t="s">
        <v>14508</v>
      </c>
      <c r="B1766" s="23" t="s">
        <v>81</v>
      </c>
      <c r="C1766" s="39">
        <v>1798</v>
      </c>
      <c r="D1766" s="24">
        <v>26.97</v>
      </c>
      <c r="E1766" s="24">
        <v>4.8499999999999996</v>
      </c>
      <c r="F1766" s="23">
        <f>COUNTIFS(mdr_rate_cleaned!$A$2:$A$10,B1766,mdr_rate_cleaned!$B$2:$B$10,"&lt;"&amp;C1766,mdr_rate_cleaned!$F$2:$F$10,"&gt;="&amp;C1766)</f>
        <v>1</v>
      </c>
      <c r="G1766" s="40">
        <f>SUMIFS(mdr_rate_cleaned!$G$2:$G$10,mdr_rate_cleaned!$A$2:$A$10,B1766,mdr_rate_cleaned!$B$2:$B$10,"&lt;"&amp;C1766,mdr_rate_cleaned!$F$2:$F$10,"&gt;="&amp;C1766)</f>
        <v>1.4999999999999999E-2</v>
      </c>
      <c r="H1766" s="24">
        <f t="shared" si="135"/>
        <v>26.97</v>
      </c>
      <c r="I1766" s="23" t="str">
        <f t="shared" si="136"/>
        <v>Match</v>
      </c>
      <c r="J1766" s="23" t="str">
        <f t="shared" si="137"/>
        <v>Match</v>
      </c>
      <c r="K1766" s="24">
        <f t="shared" si="138"/>
        <v>4.8499999999999996</v>
      </c>
      <c r="L1766" s="24">
        <f t="shared" si="139"/>
        <v>0</v>
      </c>
    </row>
    <row r="1767" spans="1:12" ht="15" customHeight="1" x14ac:dyDescent="0.3">
      <c r="A1767" s="23" t="s">
        <v>14509</v>
      </c>
      <c r="B1767" s="23" t="s">
        <v>75</v>
      </c>
      <c r="C1767" s="39">
        <v>799</v>
      </c>
      <c r="D1767" s="24">
        <v>0</v>
      </c>
      <c r="E1767" s="24">
        <v>0</v>
      </c>
      <c r="F1767" s="23">
        <f>COUNTIFS(mdr_rate_cleaned!$A$2:$A$10,B1767,mdr_rate_cleaned!$B$2:$B$10,"&lt;"&amp;C1767,mdr_rate_cleaned!$F$2:$F$10,"&gt;="&amp;C1767)</f>
        <v>1</v>
      </c>
      <c r="G1767" s="40">
        <f>SUMIFS(mdr_rate_cleaned!$G$2:$G$10,mdr_rate_cleaned!$A$2:$A$10,B1767,mdr_rate_cleaned!$B$2:$B$10,"&lt;"&amp;C1767,mdr_rate_cleaned!$F$2:$F$10,"&gt;="&amp;C1767)</f>
        <v>0</v>
      </c>
      <c r="H1767" s="24">
        <f t="shared" si="135"/>
        <v>0</v>
      </c>
      <c r="I1767" s="23" t="str">
        <f t="shared" si="136"/>
        <v>Match</v>
      </c>
      <c r="J1767" s="23" t="str">
        <f t="shared" si="137"/>
        <v>Match</v>
      </c>
      <c r="K1767" s="24">
        <f t="shared" si="138"/>
        <v>0</v>
      </c>
      <c r="L1767" s="24">
        <f t="shared" si="139"/>
        <v>0</v>
      </c>
    </row>
    <row r="1768" spans="1:12" ht="15" customHeight="1" x14ac:dyDescent="0.3">
      <c r="A1768" s="23" t="s">
        <v>14510</v>
      </c>
      <c r="B1768" s="23" t="s">
        <v>79</v>
      </c>
      <c r="C1768" s="39">
        <v>299</v>
      </c>
      <c r="D1768" s="24">
        <v>5.38</v>
      </c>
      <c r="E1768" s="24">
        <v>0.97</v>
      </c>
      <c r="F1768" s="23">
        <f>COUNTIFS(mdr_rate_cleaned!$A$2:$A$10,B1768,mdr_rate_cleaned!$B$2:$B$10,"&lt;"&amp;C1768,mdr_rate_cleaned!$F$2:$F$10,"&gt;="&amp;C1768)</f>
        <v>1</v>
      </c>
      <c r="G1768" s="40">
        <f>SUMIFS(mdr_rate_cleaned!$G$2:$G$10,mdr_rate_cleaned!$A$2:$A$10,B1768,mdr_rate_cleaned!$B$2:$B$10,"&lt;"&amp;C1768,mdr_rate_cleaned!$F$2:$F$10,"&gt;="&amp;C1768)</f>
        <v>1.8000000000000002E-2</v>
      </c>
      <c r="H1768" s="24">
        <f t="shared" si="135"/>
        <v>5.38</v>
      </c>
      <c r="I1768" s="23" t="str">
        <f t="shared" si="136"/>
        <v>Match</v>
      </c>
      <c r="J1768" s="23" t="str">
        <f t="shared" si="137"/>
        <v>Match</v>
      </c>
      <c r="K1768" s="24">
        <f t="shared" si="138"/>
        <v>0.97</v>
      </c>
      <c r="L1768" s="24">
        <f t="shared" si="139"/>
        <v>0</v>
      </c>
    </row>
    <row r="1769" spans="1:12" ht="15" customHeight="1" x14ac:dyDescent="0.3">
      <c r="A1769" s="23" t="s">
        <v>14511</v>
      </c>
      <c r="B1769" s="23" t="s">
        <v>77</v>
      </c>
      <c r="C1769" s="39">
        <v>349</v>
      </c>
      <c r="D1769" s="24">
        <v>6.63</v>
      </c>
      <c r="E1769" s="24">
        <v>1.19</v>
      </c>
      <c r="F1769" s="23">
        <f>COUNTIFS(mdr_rate_cleaned!$A$2:$A$10,B1769,mdr_rate_cleaned!$B$2:$B$10,"&lt;"&amp;C1769,mdr_rate_cleaned!$F$2:$F$10,"&gt;="&amp;C1769)</f>
        <v>1</v>
      </c>
      <c r="G1769" s="40">
        <f>SUMIFS(mdr_rate_cleaned!$G$2:$G$10,mdr_rate_cleaned!$A$2:$A$10,B1769,mdr_rate_cleaned!$B$2:$B$10,"&lt;"&amp;C1769,mdr_rate_cleaned!$F$2:$F$10,"&gt;="&amp;C1769)</f>
        <v>1.9E-2</v>
      </c>
      <c r="H1769" s="24">
        <f t="shared" si="135"/>
        <v>6.63</v>
      </c>
      <c r="I1769" s="23" t="str">
        <f t="shared" si="136"/>
        <v>Match</v>
      </c>
      <c r="J1769" s="23" t="str">
        <f t="shared" si="137"/>
        <v>Match</v>
      </c>
      <c r="K1769" s="24">
        <f t="shared" si="138"/>
        <v>1.19</v>
      </c>
      <c r="L1769" s="24">
        <f t="shared" si="139"/>
        <v>0</v>
      </c>
    </row>
    <row r="1770" spans="1:12" ht="15" customHeight="1" x14ac:dyDescent="0.3">
      <c r="A1770" s="23" t="s">
        <v>14512</v>
      </c>
      <c r="B1770" s="23" t="s">
        <v>75</v>
      </c>
      <c r="C1770" s="39">
        <v>5498</v>
      </c>
      <c r="D1770" s="24">
        <v>16.489999999999998</v>
      </c>
      <c r="E1770" s="24">
        <v>2.97</v>
      </c>
      <c r="F1770" s="23">
        <f>COUNTIFS(mdr_rate_cleaned!$A$2:$A$10,B1770,mdr_rate_cleaned!$B$2:$B$10,"&lt;"&amp;C1770,mdr_rate_cleaned!$F$2:$F$10,"&gt;="&amp;C1770)</f>
        <v>1</v>
      </c>
      <c r="G1770" s="40">
        <f>SUMIFS(mdr_rate_cleaned!$G$2:$G$10,mdr_rate_cleaned!$A$2:$A$10,B1770,mdr_rate_cleaned!$B$2:$B$10,"&lt;"&amp;C1770,mdr_rate_cleaned!$F$2:$F$10,"&gt;="&amp;C1770)</f>
        <v>3.0000000000000001E-3</v>
      </c>
      <c r="H1770" s="24">
        <f t="shared" si="135"/>
        <v>16.489999999999998</v>
      </c>
      <c r="I1770" s="23" t="str">
        <f t="shared" si="136"/>
        <v>Match</v>
      </c>
      <c r="J1770" s="23" t="str">
        <f t="shared" si="137"/>
        <v>Match</v>
      </c>
      <c r="K1770" s="24">
        <f t="shared" si="138"/>
        <v>2.97</v>
      </c>
      <c r="L1770" s="24">
        <f t="shared" si="139"/>
        <v>0</v>
      </c>
    </row>
    <row r="1771" spans="1:12" ht="15" customHeight="1" x14ac:dyDescent="0.3">
      <c r="A1771" s="23" t="s">
        <v>14513</v>
      </c>
      <c r="B1771" s="23" t="s">
        <v>75</v>
      </c>
      <c r="C1771" s="39">
        <v>4999</v>
      </c>
      <c r="D1771" s="24">
        <v>15</v>
      </c>
      <c r="E1771" s="24">
        <v>2.7</v>
      </c>
      <c r="F1771" s="23">
        <f>COUNTIFS(mdr_rate_cleaned!$A$2:$A$10,B1771,mdr_rate_cleaned!$B$2:$B$10,"&lt;"&amp;C1771,mdr_rate_cleaned!$F$2:$F$10,"&gt;="&amp;C1771)</f>
        <v>1</v>
      </c>
      <c r="G1771" s="40">
        <f>SUMIFS(mdr_rate_cleaned!$G$2:$G$10,mdr_rate_cleaned!$A$2:$A$10,B1771,mdr_rate_cleaned!$B$2:$B$10,"&lt;"&amp;C1771,mdr_rate_cleaned!$F$2:$F$10,"&gt;="&amp;C1771)</f>
        <v>3.0000000000000001E-3</v>
      </c>
      <c r="H1771" s="24">
        <f t="shared" si="135"/>
        <v>15</v>
      </c>
      <c r="I1771" s="23" t="str">
        <f t="shared" si="136"/>
        <v>Match</v>
      </c>
      <c r="J1771" s="23" t="str">
        <f t="shared" si="137"/>
        <v>Match</v>
      </c>
      <c r="K1771" s="24">
        <f t="shared" si="138"/>
        <v>2.7</v>
      </c>
      <c r="L1771" s="24">
        <f t="shared" si="139"/>
        <v>0</v>
      </c>
    </row>
    <row r="1772" spans="1:12" ht="15" customHeight="1" x14ac:dyDescent="0.3">
      <c r="A1772" s="23" t="s">
        <v>14514</v>
      </c>
      <c r="B1772" s="23" t="s">
        <v>75</v>
      </c>
      <c r="C1772" s="39">
        <v>299</v>
      </c>
      <c r="D1772" s="24">
        <v>0</v>
      </c>
      <c r="E1772" s="24">
        <v>0</v>
      </c>
      <c r="F1772" s="23">
        <f>COUNTIFS(mdr_rate_cleaned!$A$2:$A$10,B1772,mdr_rate_cleaned!$B$2:$B$10,"&lt;"&amp;C1772,mdr_rate_cleaned!$F$2:$F$10,"&gt;="&amp;C1772)</f>
        <v>1</v>
      </c>
      <c r="G1772" s="40">
        <f>SUMIFS(mdr_rate_cleaned!$G$2:$G$10,mdr_rate_cleaned!$A$2:$A$10,B1772,mdr_rate_cleaned!$B$2:$B$10,"&lt;"&amp;C1772,mdr_rate_cleaned!$F$2:$F$10,"&gt;="&amp;C1772)</f>
        <v>0</v>
      </c>
      <c r="H1772" s="24">
        <f t="shared" si="135"/>
        <v>0</v>
      </c>
      <c r="I1772" s="23" t="str">
        <f t="shared" si="136"/>
        <v>Match</v>
      </c>
      <c r="J1772" s="23" t="str">
        <f t="shared" si="137"/>
        <v>Match</v>
      </c>
      <c r="K1772" s="24">
        <f t="shared" si="138"/>
        <v>0</v>
      </c>
      <c r="L1772" s="24">
        <f t="shared" si="139"/>
        <v>0</v>
      </c>
    </row>
    <row r="1773" spans="1:12" ht="15" customHeight="1" x14ac:dyDescent="0.3">
      <c r="A1773" s="23" t="s">
        <v>14515</v>
      </c>
      <c r="B1773" s="23" t="s">
        <v>75</v>
      </c>
      <c r="C1773" s="39">
        <v>1798</v>
      </c>
      <c r="D1773" s="24">
        <v>0</v>
      </c>
      <c r="E1773" s="24">
        <v>0</v>
      </c>
      <c r="F1773" s="23">
        <f>COUNTIFS(mdr_rate_cleaned!$A$2:$A$10,B1773,mdr_rate_cleaned!$B$2:$B$10,"&lt;"&amp;C1773,mdr_rate_cleaned!$F$2:$F$10,"&gt;="&amp;C1773)</f>
        <v>1</v>
      </c>
      <c r="G1773" s="40">
        <f>SUMIFS(mdr_rate_cleaned!$G$2:$G$10,mdr_rate_cleaned!$A$2:$A$10,B1773,mdr_rate_cleaned!$B$2:$B$10,"&lt;"&amp;C1773,mdr_rate_cleaned!$F$2:$F$10,"&gt;="&amp;C1773)</f>
        <v>0</v>
      </c>
      <c r="H1773" s="24">
        <f t="shared" si="135"/>
        <v>0</v>
      </c>
      <c r="I1773" s="23" t="str">
        <f t="shared" si="136"/>
        <v>Match</v>
      </c>
      <c r="J1773" s="23" t="str">
        <f t="shared" si="137"/>
        <v>Match</v>
      </c>
      <c r="K1773" s="24">
        <f t="shared" si="138"/>
        <v>0</v>
      </c>
      <c r="L1773" s="24">
        <f t="shared" si="139"/>
        <v>0</v>
      </c>
    </row>
    <row r="1774" spans="1:12" ht="15" customHeight="1" x14ac:dyDescent="0.3">
      <c r="A1774" s="23" t="s">
        <v>14516</v>
      </c>
      <c r="B1774" s="23" t="s">
        <v>79</v>
      </c>
      <c r="C1774" s="39">
        <v>349</v>
      </c>
      <c r="D1774" s="24">
        <v>6.28</v>
      </c>
      <c r="E1774" s="24">
        <v>1.1299999999999999</v>
      </c>
      <c r="F1774" s="23">
        <f>COUNTIFS(mdr_rate_cleaned!$A$2:$A$10,B1774,mdr_rate_cleaned!$B$2:$B$10,"&lt;"&amp;C1774,mdr_rate_cleaned!$F$2:$F$10,"&gt;="&amp;C1774)</f>
        <v>1</v>
      </c>
      <c r="G1774" s="40">
        <f>SUMIFS(mdr_rate_cleaned!$G$2:$G$10,mdr_rate_cleaned!$A$2:$A$10,B1774,mdr_rate_cleaned!$B$2:$B$10,"&lt;"&amp;C1774,mdr_rate_cleaned!$F$2:$F$10,"&gt;="&amp;C1774)</f>
        <v>1.8000000000000002E-2</v>
      </c>
      <c r="H1774" s="24">
        <f t="shared" si="135"/>
        <v>6.28</v>
      </c>
      <c r="I1774" s="23" t="str">
        <f t="shared" si="136"/>
        <v>Match</v>
      </c>
      <c r="J1774" s="23" t="str">
        <f t="shared" si="137"/>
        <v>Match</v>
      </c>
      <c r="K1774" s="24">
        <f t="shared" si="138"/>
        <v>1.1299999999999999</v>
      </c>
      <c r="L1774" s="24">
        <f t="shared" si="139"/>
        <v>0</v>
      </c>
    </row>
    <row r="1775" spans="1:12" ht="15" customHeight="1" x14ac:dyDescent="0.3">
      <c r="A1775" s="23" t="s">
        <v>14518</v>
      </c>
      <c r="B1775" s="23" t="s">
        <v>75</v>
      </c>
      <c r="C1775" s="39">
        <v>4397</v>
      </c>
      <c r="D1775" s="24">
        <v>13.19</v>
      </c>
      <c r="E1775" s="24">
        <v>2.37</v>
      </c>
      <c r="F1775" s="23">
        <f>COUNTIFS(mdr_rate_cleaned!$A$2:$A$10,B1775,mdr_rate_cleaned!$B$2:$B$10,"&lt;"&amp;C1775,mdr_rate_cleaned!$F$2:$F$10,"&gt;="&amp;C1775)</f>
        <v>1</v>
      </c>
      <c r="G1775" s="40">
        <f>SUMIFS(mdr_rate_cleaned!$G$2:$G$10,mdr_rate_cleaned!$A$2:$A$10,B1775,mdr_rate_cleaned!$B$2:$B$10,"&lt;"&amp;C1775,mdr_rate_cleaned!$F$2:$F$10,"&gt;="&amp;C1775)</f>
        <v>3.0000000000000001E-3</v>
      </c>
      <c r="H1775" s="24">
        <f t="shared" si="135"/>
        <v>13.19</v>
      </c>
      <c r="I1775" s="23" t="str">
        <f t="shared" si="136"/>
        <v>Match</v>
      </c>
      <c r="J1775" s="23" t="str">
        <f t="shared" si="137"/>
        <v>Match</v>
      </c>
      <c r="K1775" s="24">
        <f t="shared" si="138"/>
        <v>2.37</v>
      </c>
      <c r="L1775" s="24">
        <f t="shared" si="139"/>
        <v>0</v>
      </c>
    </row>
    <row r="1776" spans="1:12" ht="15" customHeight="1" x14ac:dyDescent="0.3">
      <c r="A1776" s="23" t="s">
        <v>14519</v>
      </c>
      <c r="B1776" s="23" t="s">
        <v>75</v>
      </c>
      <c r="C1776" s="39">
        <v>599</v>
      </c>
      <c r="D1776" s="24">
        <v>0</v>
      </c>
      <c r="E1776" s="24">
        <v>0</v>
      </c>
      <c r="F1776" s="23">
        <f>COUNTIFS(mdr_rate_cleaned!$A$2:$A$10,B1776,mdr_rate_cleaned!$B$2:$B$10,"&lt;"&amp;C1776,mdr_rate_cleaned!$F$2:$F$10,"&gt;="&amp;C1776)</f>
        <v>1</v>
      </c>
      <c r="G1776" s="40">
        <f>SUMIFS(mdr_rate_cleaned!$G$2:$G$10,mdr_rate_cleaned!$A$2:$A$10,B1776,mdr_rate_cleaned!$B$2:$B$10,"&lt;"&amp;C1776,mdr_rate_cleaned!$F$2:$F$10,"&gt;="&amp;C1776)</f>
        <v>0</v>
      </c>
      <c r="H1776" s="24">
        <f t="shared" si="135"/>
        <v>0</v>
      </c>
      <c r="I1776" s="23" t="str">
        <f t="shared" si="136"/>
        <v>Match</v>
      </c>
      <c r="J1776" s="23" t="str">
        <f t="shared" si="137"/>
        <v>Match</v>
      </c>
      <c r="K1776" s="24">
        <f t="shared" si="138"/>
        <v>0</v>
      </c>
      <c r="L1776" s="24">
        <f t="shared" si="139"/>
        <v>0</v>
      </c>
    </row>
    <row r="1777" spans="1:12" ht="15" customHeight="1" x14ac:dyDescent="0.3">
      <c r="A1777" s="23" t="s">
        <v>14520</v>
      </c>
      <c r="B1777" s="23" t="s">
        <v>81</v>
      </c>
      <c r="C1777" s="39">
        <v>349</v>
      </c>
      <c r="D1777" s="24">
        <v>5.24</v>
      </c>
      <c r="E1777" s="24">
        <v>0.94</v>
      </c>
      <c r="F1777" s="23">
        <f>COUNTIFS(mdr_rate_cleaned!$A$2:$A$10,B1777,mdr_rate_cleaned!$B$2:$B$10,"&lt;"&amp;C1777,mdr_rate_cleaned!$F$2:$F$10,"&gt;="&amp;C1777)</f>
        <v>1</v>
      </c>
      <c r="G1777" s="40">
        <f>SUMIFS(mdr_rate_cleaned!$G$2:$G$10,mdr_rate_cleaned!$A$2:$A$10,B1777,mdr_rate_cleaned!$B$2:$B$10,"&lt;"&amp;C1777,mdr_rate_cleaned!$F$2:$F$10,"&gt;="&amp;C1777)</f>
        <v>1.4999999999999999E-2</v>
      </c>
      <c r="H1777" s="24">
        <f t="shared" si="135"/>
        <v>5.24</v>
      </c>
      <c r="I1777" s="23" t="str">
        <f t="shared" si="136"/>
        <v>Match</v>
      </c>
      <c r="J1777" s="23" t="str">
        <f t="shared" si="137"/>
        <v>Match</v>
      </c>
      <c r="K1777" s="24">
        <f t="shared" si="138"/>
        <v>0.94</v>
      </c>
      <c r="L1777" s="24">
        <f t="shared" si="139"/>
        <v>0</v>
      </c>
    </row>
    <row r="1778" spans="1:12" ht="15" customHeight="1" x14ac:dyDescent="0.3">
      <c r="A1778" s="23" t="s">
        <v>14521</v>
      </c>
      <c r="B1778" s="23" t="s">
        <v>75</v>
      </c>
      <c r="C1778" s="39">
        <v>2247</v>
      </c>
      <c r="D1778" s="24">
        <v>6.74</v>
      </c>
      <c r="E1778" s="24">
        <v>1.21</v>
      </c>
      <c r="F1778" s="23">
        <f>COUNTIFS(mdr_rate_cleaned!$A$2:$A$10,B1778,mdr_rate_cleaned!$B$2:$B$10,"&lt;"&amp;C1778,mdr_rate_cleaned!$F$2:$F$10,"&gt;="&amp;C1778)</f>
        <v>1</v>
      </c>
      <c r="G1778" s="40">
        <f>SUMIFS(mdr_rate_cleaned!$G$2:$G$10,mdr_rate_cleaned!$A$2:$A$10,B1778,mdr_rate_cleaned!$B$2:$B$10,"&lt;"&amp;C1778,mdr_rate_cleaned!$F$2:$F$10,"&gt;="&amp;C1778)</f>
        <v>3.0000000000000001E-3</v>
      </c>
      <c r="H1778" s="24">
        <f t="shared" si="135"/>
        <v>6.74</v>
      </c>
      <c r="I1778" s="23" t="str">
        <f t="shared" si="136"/>
        <v>Match</v>
      </c>
      <c r="J1778" s="23" t="str">
        <f t="shared" si="137"/>
        <v>Match</v>
      </c>
      <c r="K1778" s="24">
        <f t="shared" si="138"/>
        <v>1.21</v>
      </c>
      <c r="L1778" s="24">
        <f t="shared" si="139"/>
        <v>0</v>
      </c>
    </row>
    <row r="1779" spans="1:12" ht="15" customHeight="1" x14ac:dyDescent="0.3">
      <c r="A1779" s="23" t="s">
        <v>14522</v>
      </c>
      <c r="B1779" s="23" t="s">
        <v>79</v>
      </c>
      <c r="C1779" s="39">
        <v>349</v>
      </c>
      <c r="D1779" s="24">
        <v>6.28</v>
      </c>
      <c r="E1779" s="24">
        <v>1.1299999999999999</v>
      </c>
      <c r="F1779" s="23">
        <f>COUNTIFS(mdr_rate_cleaned!$A$2:$A$10,B1779,mdr_rate_cleaned!$B$2:$B$10,"&lt;"&amp;C1779,mdr_rate_cleaned!$F$2:$F$10,"&gt;="&amp;C1779)</f>
        <v>1</v>
      </c>
      <c r="G1779" s="40">
        <f>SUMIFS(mdr_rate_cleaned!$G$2:$G$10,mdr_rate_cleaned!$A$2:$A$10,B1779,mdr_rate_cleaned!$B$2:$B$10,"&lt;"&amp;C1779,mdr_rate_cleaned!$F$2:$F$10,"&gt;="&amp;C1779)</f>
        <v>1.8000000000000002E-2</v>
      </c>
      <c r="H1779" s="24">
        <f t="shared" si="135"/>
        <v>6.28</v>
      </c>
      <c r="I1779" s="23" t="str">
        <f t="shared" si="136"/>
        <v>Match</v>
      </c>
      <c r="J1779" s="23" t="str">
        <f t="shared" si="137"/>
        <v>Match</v>
      </c>
      <c r="K1779" s="24">
        <f t="shared" si="138"/>
        <v>1.1299999999999999</v>
      </c>
      <c r="L1779" s="24">
        <f t="shared" si="139"/>
        <v>0</v>
      </c>
    </row>
    <row r="1780" spans="1:12" ht="15" customHeight="1" x14ac:dyDescent="0.3">
      <c r="A1780" s="23" t="s">
        <v>14523</v>
      </c>
      <c r="B1780" s="23" t="s">
        <v>77</v>
      </c>
      <c r="C1780" s="39">
        <v>3498</v>
      </c>
      <c r="D1780" s="24">
        <v>59.47</v>
      </c>
      <c r="E1780" s="24">
        <v>10.7</v>
      </c>
      <c r="F1780" s="23">
        <f>COUNTIFS(mdr_rate_cleaned!$A$2:$A$10,B1780,mdr_rate_cleaned!$B$2:$B$10,"&lt;"&amp;C1780,mdr_rate_cleaned!$F$2:$F$10,"&gt;="&amp;C1780)</f>
        <v>1</v>
      </c>
      <c r="G1780" s="40">
        <f>SUMIFS(mdr_rate_cleaned!$G$2:$G$10,mdr_rate_cleaned!$A$2:$A$10,B1780,mdr_rate_cleaned!$B$2:$B$10,"&lt;"&amp;C1780,mdr_rate_cleaned!$F$2:$F$10,"&gt;="&amp;C1780)</f>
        <v>1.7000000000000001E-2</v>
      </c>
      <c r="H1780" s="24">
        <f t="shared" si="135"/>
        <v>59.47</v>
      </c>
      <c r="I1780" s="23" t="str">
        <f t="shared" si="136"/>
        <v>Match</v>
      </c>
      <c r="J1780" s="23" t="str">
        <f t="shared" si="137"/>
        <v>Match</v>
      </c>
      <c r="K1780" s="24">
        <f t="shared" si="138"/>
        <v>10.7</v>
      </c>
      <c r="L1780" s="24">
        <f t="shared" si="139"/>
        <v>0</v>
      </c>
    </row>
    <row r="1781" spans="1:12" ht="15" customHeight="1" x14ac:dyDescent="0.3">
      <c r="A1781" s="23" t="s">
        <v>14524</v>
      </c>
      <c r="B1781" s="23" t="s">
        <v>79</v>
      </c>
      <c r="C1781" s="39">
        <v>6498</v>
      </c>
      <c r="D1781" s="24">
        <v>103.97</v>
      </c>
      <c r="E1781" s="24">
        <v>18.71</v>
      </c>
      <c r="F1781" s="23">
        <f>COUNTIFS(mdr_rate_cleaned!$A$2:$A$10,B1781,mdr_rate_cleaned!$B$2:$B$10,"&lt;"&amp;C1781,mdr_rate_cleaned!$F$2:$F$10,"&gt;="&amp;C1781)</f>
        <v>1</v>
      </c>
      <c r="G1781" s="40">
        <f>SUMIFS(mdr_rate_cleaned!$G$2:$G$10,mdr_rate_cleaned!$A$2:$A$10,B1781,mdr_rate_cleaned!$B$2:$B$10,"&lt;"&amp;C1781,mdr_rate_cleaned!$F$2:$F$10,"&gt;="&amp;C1781)</f>
        <v>1.6E-2</v>
      </c>
      <c r="H1781" s="24">
        <f t="shared" si="135"/>
        <v>103.97</v>
      </c>
      <c r="I1781" s="23" t="str">
        <f t="shared" si="136"/>
        <v>Match</v>
      </c>
      <c r="J1781" s="23" t="str">
        <f t="shared" si="137"/>
        <v>Match</v>
      </c>
      <c r="K1781" s="24">
        <f t="shared" si="138"/>
        <v>18.71</v>
      </c>
      <c r="L1781" s="24">
        <f t="shared" si="139"/>
        <v>0</v>
      </c>
    </row>
    <row r="1782" spans="1:12" ht="15" customHeight="1" x14ac:dyDescent="0.3">
      <c r="A1782" s="23" t="s">
        <v>14525</v>
      </c>
      <c r="B1782" s="23" t="s">
        <v>79</v>
      </c>
      <c r="C1782" s="39">
        <v>1648</v>
      </c>
      <c r="D1782" s="24">
        <v>29.66</v>
      </c>
      <c r="E1782" s="24">
        <v>5.34</v>
      </c>
      <c r="F1782" s="23">
        <f>COUNTIFS(mdr_rate_cleaned!$A$2:$A$10,B1782,mdr_rate_cleaned!$B$2:$B$10,"&lt;"&amp;C1782,mdr_rate_cleaned!$F$2:$F$10,"&gt;="&amp;C1782)</f>
        <v>1</v>
      </c>
      <c r="G1782" s="40">
        <f>SUMIFS(mdr_rate_cleaned!$G$2:$G$10,mdr_rate_cleaned!$A$2:$A$10,B1782,mdr_rate_cleaned!$B$2:$B$10,"&lt;"&amp;C1782,mdr_rate_cleaned!$F$2:$F$10,"&gt;="&amp;C1782)</f>
        <v>1.8000000000000002E-2</v>
      </c>
      <c r="H1782" s="24">
        <f t="shared" si="135"/>
        <v>29.66</v>
      </c>
      <c r="I1782" s="23" t="str">
        <f t="shared" si="136"/>
        <v>Match</v>
      </c>
      <c r="J1782" s="23" t="str">
        <f t="shared" si="137"/>
        <v>Match</v>
      </c>
      <c r="K1782" s="24">
        <f t="shared" si="138"/>
        <v>5.34</v>
      </c>
      <c r="L1782" s="24">
        <f t="shared" si="139"/>
        <v>0</v>
      </c>
    </row>
    <row r="1783" spans="1:12" ht="15" customHeight="1" x14ac:dyDescent="0.3">
      <c r="A1783" s="23" t="s">
        <v>14526</v>
      </c>
      <c r="B1783" s="23" t="s">
        <v>75</v>
      </c>
      <c r="C1783" s="39">
        <v>1598</v>
      </c>
      <c r="D1783" s="24">
        <v>0</v>
      </c>
      <c r="E1783" s="24">
        <v>0</v>
      </c>
      <c r="F1783" s="23">
        <f>COUNTIFS(mdr_rate_cleaned!$A$2:$A$10,B1783,mdr_rate_cleaned!$B$2:$B$10,"&lt;"&amp;C1783,mdr_rate_cleaned!$F$2:$F$10,"&gt;="&amp;C1783)</f>
        <v>1</v>
      </c>
      <c r="G1783" s="40">
        <f>SUMIFS(mdr_rate_cleaned!$G$2:$G$10,mdr_rate_cleaned!$A$2:$A$10,B1783,mdr_rate_cleaned!$B$2:$B$10,"&lt;"&amp;C1783,mdr_rate_cleaned!$F$2:$F$10,"&gt;="&amp;C1783)</f>
        <v>0</v>
      </c>
      <c r="H1783" s="24">
        <f t="shared" si="135"/>
        <v>0</v>
      </c>
      <c r="I1783" s="23" t="str">
        <f t="shared" si="136"/>
        <v>Match</v>
      </c>
      <c r="J1783" s="23" t="str">
        <f t="shared" si="137"/>
        <v>Match</v>
      </c>
      <c r="K1783" s="24">
        <f t="shared" si="138"/>
        <v>0</v>
      </c>
      <c r="L1783" s="24">
        <f t="shared" si="139"/>
        <v>0</v>
      </c>
    </row>
    <row r="1784" spans="1:12" ht="15" customHeight="1" x14ac:dyDescent="0.3">
      <c r="A1784" s="23" t="s">
        <v>14527</v>
      </c>
      <c r="B1784" s="23" t="s">
        <v>75</v>
      </c>
      <c r="C1784" s="39">
        <v>1648</v>
      </c>
      <c r="D1784" s="24">
        <v>0</v>
      </c>
      <c r="E1784" s="24">
        <v>0</v>
      </c>
      <c r="F1784" s="23">
        <f>COUNTIFS(mdr_rate_cleaned!$A$2:$A$10,B1784,mdr_rate_cleaned!$B$2:$B$10,"&lt;"&amp;C1784,mdr_rate_cleaned!$F$2:$F$10,"&gt;="&amp;C1784)</f>
        <v>1</v>
      </c>
      <c r="G1784" s="40">
        <f>SUMIFS(mdr_rate_cleaned!$G$2:$G$10,mdr_rate_cleaned!$A$2:$A$10,B1784,mdr_rate_cleaned!$B$2:$B$10,"&lt;"&amp;C1784,mdr_rate_cleaned!$F$2:$F$10,"&gt;="&amp;C1784)</f>
        <v>0</v>
      </c>
      <c r="H1784" s="24">
        <f t="shared" si="135"/>
        <v>0</v>
      </c>
      <c r="I1784" s="23" t="str">
        <f t="shared" si="136"/>
        <v>Match</v>
      </c>
      <c r="J1784" s="23" t="str">
        <f t="shared" si="137"/>
        <v>Match</v>
      </c>
      <c r="K1784" s="24">
        <f t="shared" si="138"/>
        <v>0</v>
      </c>
      <c r="L1784" s="24">
        <f t="shared" si="139"/>
        <v>0</v>
      </c>
    </row>
    <row r="1785" spans="1:12" ht="15" customHeight="1" x14ac:dyDescent="0.3">
      <c r="A1785" s="23" t="s">
        <v>14528</v>
      </c>
      <c r="B1785" s="23" t="s">
        <v>75</v>
      </c>
      <c r="C1785" s="39">
        <v>499</v>
      </c>
      <c r="D1785" s="24">
        <v>0</v>
      </c>
      <c r="E1785" s="24">
        <v>0</v>
      </c>
      <c r="F1785" s="23">
        <f>COUNTIFS(mdr_rate_cleaned!$A$2:$A$10,B1785,mdr_rate_cleaned!$B$2:$B$10,"&lt;"&amp;C1785,mdr_rate_cleaned!$F$2:$F$10,"&gt;="&amp;C1785)</f>
        <v>1</v>
      </c>
      <c r="G1785" s="40">
        <f>SUMIFS(mdr_rate_cleaned!$G$2:$G$10,mdr_rate_cleaned!$A$2:$A$10,B1785,mdr_rate_cleaned!$B$2:$B$10,"&lt;"&amp;C1785,mdr_rate_cleaned!$F$2:$F$10,"&gt;="&amp;C1785)</f>
        <v>0</v>
      </c>
      <c r="H1785" s="24">
        <f t="shared" si="135"/>
        <v>0</v>
      </c>
      <c r="I1785" s="23" t="str">
        <f t="shared" si="136"/>
        <v>Match</v>
      </c>
      <c r="J1785" s="23" t="str">
        <f t="shared" si="137"/>
        <v>Match</v>
      </c>
      <c r="K1785" s="24">
        <f t="shared" si="138"/>
        <v>0</v>
      </c>
      <c r="L1785" s="24">
        <f t="shared" si="139"/>
        <v>0</v>
      </c>
    </row>
    <row r="1786" spans="1:12" ht="15" customHeight="1" x14ac:dyDescent="0.3">
      <c r="A1786" s="23" t="s">
        <v>14529</v>
      </c>
      <c r="B1786" s="23" t="s">
        <v>79</v>
      </c>
      <c r="C1786" s="39">
        <v>2499</v>
      </c>
      <c r="D1786" s="24">
        <v>39.979999999999997</v>
      </c>
      <c r="E1786" s="24">
        <v>7.2</v>
      </c>
      <c r="F1786" s="23">
        <f>COUNTIFS(mdr_rate_cleaned!$A$2:$A$10,B1786,mdr_rate_cleaned!$B$2:$B$10,"&lt;"&amp;C1786,mdr_rate_cleaned!$F$2:$F$10,"&gt;="&amp;C1786)</f>
        <v>1</v>
      </c>
      <c r="G1786" s="40">
        <f>SUMIFS(mdr_rate_cleaned!$G$2:$G$10,mdr_rate_cleaned!$A$2:$A$10,B1786,mdr_rate_cleaned!$B$2:$B$10,"&lt;"&amp;C1786,mdr_rate_cleaned!$F$2:$F$10,"&gt;="&amp;C1786)</f>
        <v>1.6E-2</v>
      </c>
      <c r="H1786" s="24">
        <f t="shared" si="135"/>
        <v>39.979999999999997</v>
      </c>
      <c r="I1786" s="23" t="str">
        <f t="shared" si="136"/>
        <v>Match</v>
      </c>
      <c r="J1786" s="23" t="str">
        <f t="shared" si="137"/>
        <v>Match</v>
      </c>
      <c r="K1786" s="24">
        <f t="shared" si="138"/>
        <v>7.2</v>
      </c>
      <c r="L1786" s="24">
        <f t="shared" si="139"/>
        <v>0</v>
      </c>
    </row>
    <row r="1787" spans="1:12" ht="15" customHeight="1" x14ac:dyDescent="0.3">
      <c r="A1787" s="23" t="s">
        <v>14530</v>
      </c>
      <c r="B1787" s="23" t="s">
        <v>75</v>
      </c>
      <c r="C1787" s="39">
        <v>499</v>
      </c>
      <c r="D1787" s="24">
        <v>0</v>
      </c>
      <c r="E1787" s="24">
        <v>0</v>
      </c>
      <c r="F1787" s="23">
        <f>COUNTIFS(mdr_rate_cleaned!$A$2:$A$10,B1787,mdr_rate_cleaned!$B$2:$B$10,"&lt;"&amp;C1787,mdr_rate_cleaned!$F$2:$F$10,"&gt;="&amp;C1787)</f>
        <v>1</v>
      </c>
      <c r="G1787" s="40">
        <f>SUMIFS(mdr_rate_cleaned!$G$2:$G$10,mdr_rate_cleaned!$A$2:$A$10,B1787,mdr_rate_cleaned!$B$2:$B$10,"&lt;"&amp;C1787,mdr_rate_cleaned!$F$2:$F$10,"&gt;="&amp;C1787)</f>
        <v>0</v>
      </c>
      <c r="H1787" s="24">
        <f t="shared" si="135"/>
        <v>0</v>
      </c>
      <c r="I1787" s="23" t="str">
        <f t="shared" si="136"/>
        <v>Match</v>
      </c>
      <c r="J1787" s="23" t="str">
        <f t="shared" si="137"/>
        <v>Match</v>
      </c>
      <c r="K1787" s="24">
        <f t="shared" si="138"/>
        <v>0</v>
      </c>
      <c r="L1787" s="24">
        <f t="shared" si="139"/>
        <v>0</v>
      </c>
    </row>
    <row r="1788" spans="1:12" ht="15" customHeight="1" x14ac:dyDescent="0.3">
      <c r="A1788" s="23" t="s">
        <v>14532</v>
      </c>
      <c r="B1788" s="23" t="s">
        <v>77</v>
      </c>
      <c r="C1788" s="39">
        <v>7297</v>
      </c>
      <c r="D1788" s="24">
        <v>124.05</v>
      </c>
      <c r="E1788" s="24">
        <v>22.33</v>
      </c>
      <c r="F1788" s="23">
        <f>COUNTIFS(mdr_rate_cleaned!$A$2:$A$10,B1788,mdr_rate_cleaned!$B$2:$B$10,"&lt;"&amp;C1788,mdr_rate_cleaned!$F$2:$F$10,"&gt;="&amp;C1788)</f>
        <v>1</v>
      </c>
      <c r="G1788" s="40">
        <f>SUMIFS(mdr_rate_cleaned!$G$2:$G$10,mdr_rate_cleaned!$A$2:$A$10,B1788,mdr_rate_cleaned!$B$2:$B$10,"&lt;"&amp;C1788,mdr_rate_cleaned!$F$2:$F$10,"&gt;="&amp;C1788)</f>
        <v>1.7000000000000001E-2</v>
      </c>
      <c r="H1788" s="24">
        <f t="shared" si="135"/>
        <v>124.05</v>
      </c>
      <c r="I1788" s="23" t="str">
        <f t="shared" si="136"/>
        <v>Match</v>
      </c>
      <c r="J1788" s="23" t="str">
        <f t="shared" si="137"/>
        <v>Match</v>
      </c>
      <c r="K1788" s="24">
        <f t="shared" si="138"/>
        <v>22.33</v>
      </c>
      <c r="L1788" s="24">
        <f t="shared" si="139"/>
        <v>0</v>
      </c>
    </row>
    <row r="1789" spans="1:12" ht="15" customHeight="1" x14ac:dyDescent="0.3">
      <c r="A1789" s="23" t="s">
        <v>14533</v>
      </c>
      <c r="B1789" s="23" t="s">
        <v>75</v>
      </c>
      <c r="C1789" s="39">
        <v>1799</v>
      </c>
      <c r="D1789" s="24">
        <v>0</v>
      </c>
      <c r="E1789" s="24">
        <v>0</v>
      </c>
      <c r="F1789" s="23">
        <f>COUNTIFS(mdr_rate_cleaned!$A$2:$A$10,B1789,mdr_rate_cleaned!$B$2:$B$10,"&lt;"&amp;C1789,mdr_rate_cleaned!$F$2:$F$10,"&gt;="&amp;C1789)</f>
        <v>1</v>
      </c>
      <c r="G1789" s="40">
        <f>SUMIFS(mdr_rate_cleaned!$G$2:$G$10,mdr_rate_cleaned!$A$2:$A$10,B1789,mdr_rate_cleaned!$B$2:$B$10,"&lt;"&amp;C1789,mdr_rate_cleaned!$F$2:$F$10,"&gt;="&amp;C1789)</f>
        <v>0</v>
      </c>
      <c r="H1789" s="24">
        <f t="shared" si="135"/>
        <v>0</v>
      </c>
      <c r="I1789" s="23" t="str">
        <f t="shared" si="136"/>
        <v>Match</v>
      </c>
      <c r="J1789" s="23" t="str">
        <f t="shared" si="137"/>
        <v>Match</v>
      </c>
      <c r="K1789" s="24">
        <f t="shared" si="138"/>
        <v>0</v>
      </c>
      <c r="L1789" s="24">
        <f t="shared" si="139"/>
        <v>0</v>
      </c>
    </row>
    <row r="1790" spans="1:12" ht="15" customHeight="1" x14ac:dyDescent="0.3">
      <c r="A1790" s="23" t="s">
        <v>14534</v>
      </c>
      <c r="B1790" s="23" t="s">
        <v>81</v>
      </c>
      <c r="C1790" s="39">
        <v>1799</v>
      </c>
      <c r="D1790" s="24">
        <v>26.99</v>
      </c>
      <c r="E1790" s="24">
        <v>4.8600000000000003</v>
      </c>
      <c r="F1790" s="23">
        <f>COUNTIFS(mdr_rate_cleaned!$A$2:$A$10,B1790,mdr_rate_cleaned!$B$2:$B$10,"&lt;"&amp;C1790,mdr_rate_cleaned!$F$2:$F$10,"&gt;="&amp;C1790)</f>
        <v>1</v>
      </c>
      <c r="G1790" s="40">
        <f>SUMIFS(mdr_rate_cleaned!$G$2:$G$10,mdr_rate_cleaned!$A$2:$A$10,B1790,mdr_rate_cleaned!$B$2:$B$10,"&lt;"&amp;C1790,mdr_rate_cleaned!$F$2:$F$10,"&gt;="&amp;C1790)</f>
        <v>1.4999999999999999E-2</v>
      </c>
      <c r="H1790" s="24">
        <f t="shared" si="135"/>
        <v>26.99</v>
      </c>
      <c r="I1790" s="23" t="str">
        <f t="shared" si="136"/>
        <v>Match</v>
      </c>
      <c r="J1790" s="23" t="str">
        <f t="shared" si="137"/>
        <v>Match</v>
      </c>
      <c r="K1790" s="24">
        <f t="shared" si="138"/>
        <v>4.8600000000000003</v>
      </c>
      <c r="L1790" s="24">
        <f t="shared" si="139"/>
        <v>0</v>
      </c>
    </row>
    <row r="1791" spans="1:12" ht="15" customHeight="1" x14ac:dyDescent="0.3">
      <c r="A1791" s="23" t="s">
        <v>14536</v>
      </c>
      <c r="B1791" s="23" t="s">
        <v>79</v>
      </c>
      <c r="C1791" s="39">
        <v>1299</v>
      </c>
      <c r="D1791" s="24">
        <v>23.38</v>
      </c>
      <c r="E1791" s="24">
        <v>4.21</v>
      </c>
      <c r="F1791" s="23">
        <f>COUNTIFS(mdr_rate_cleaned!$A$2:$A$10,B1791,mdr_rate_cleaned!$B$2:$B$10,"&lt;"&amp;C1791,mdr_rate_cleaned!$F$2:$F$10,"&gt;="&amp;C1791)</f>
        <v>1</v>
      </c>
      <c r="G1791" s="40">
        <f>SUMIFS(mdr_rate_cleaned!$G$2:$G$10,mdr_rate_cleaned!$A$2:$A$10,B1791,mdr_rate_cleaned!$B$2:$B$10,"&lt;"&amp;C1791,mdr_rate_cleaned!$F$2:$F$10,"&gt;="&amp;C1791)</f>
        <v>1.8000000000000002E-2</v>
      </c>
      <c r="H1791" s="24">
        <f t="shared" si="135"/>
        <v>23.38</v>
      </c>
      <c r="I1791" s="23" t="str">
        <f t="shared" si="136"/>
        <v>Match</v>
      </c>
      <c r="J1791" s="23" t="str">
        <f t="shared" si="137"/>
        <v>Match</v>
      </c>
      <c r="K1791" s="24">
        <f t="shared" si="138"/>
        <v>4.21</v>
      </c>
      <c r="L1791" s="24">
        <f t="shared" si="139"/>
        <v>0</v>
      </c>
    </row>
    <row r="1792" spans="1:12" ht="15" customHeight="1" x14ac:dyDescent="0.3">
      <c r="A1792" s="23" t="s">
        <v>14537</v>
      </c>
      <c r="B1792" s="23" t="s">
        <v>79</v>
      </c>
      <c r="C1792" s="39">
        <v>999</v>
      </c>
      <c r="D1792" s="24">
        <v>17.98</v>
      </c>
      <c r="E1792" s="24">
        <v>3.24</v>
      </c>
      <c r="F1792" s="23">
        <f>COUNTIFS(mdr_rate_cleaned!$A$2:$A$10,B1792,mdr_rate_cleaned!$B$2:$B$10,"&lt;"&amp;C1792,mdr_rate_cleaned!$F$2:$F$10,"&gt;="&amp;C1792)</f>
        <v>1</v>
      </c>
      <c r="G1792" s="40">
        <f>SUMIFS(mdr_rate_cleaned!$G$2:$G$10,mdr_rate_cleaned!$A$2:$A$10,B1792,mdr_rate_cleaned!$B$2:$B$10,"&lt;"&amp;C1792,mdr_rate_cleaned!$F$2:$F$10,"&gt;="&amp;C1792)</f>
        <v>1.8000000000000002E-2</v>
      </c>
      <c r="H1792" s="24">
        <f t="shared" si="135"/>
        <v>17.98</v>
      </c>
      <c r="I1792" s="23" t="str">
        <f t="shared" si="136"/>
        <v>Match</v>
      </c>
      <c r="J1792" s="23" t="str">
        <f t="shared" si="137"/>
        <v>Match</v>
      </c>
      <c r="K1792" s="24">
        <f t="shared" si="138"/>
        <v>3.24</v>
      </c>
      <c r="L1792" s="24">
        <f t="shared" si="139"/>
        <v>0</v>
      </c>
    </row>
    <row r="1793" spans="1:12" ht="15" customHeight="1" x14ac:dyDescent="0.3">
      <c r="A1793" s="23" t="s">
        <v>14538</v>
      </c>
      <c r="B1793" s="23" t="s">
        <v>79</v>
      </c>
      <c r="C1793" s="39">
        <v>5998</v>
      </c>
      <c r="D1793" s="24">
        <v>95.97</v>
      </c>
      <c r="E1793" s="24">
        <v>17.27</v>
      </c>
      <c r="F1793" s="23">
        <f>COUNTIFS(mdr_rate_cleaned!$A$2:$A$10,B1793,mdr_rate_cleaned!$B$2:$B$10,"&lt;"&amp;C1793,mdr_rate_cleaned!$F$2:$F$10,"&gt;="&amp;C1793)</f>
        <v>1</v>
      </c>
      <c r="G1793" s="40">
        <f>SUMIFS(mdr_rate_cleaned!$G$2:$G$10,mdr_rate_cleaned!$A$2:$A$10,B1793,mdr_rate_cleaned!$B$2:$B$10,"&lt;"&amp;C1793,mdr_rate_cleaned!$F$2:$F$10,"&gt;="&amp;C1793)</f>
        <v>1.6E-2</v>
      </c>
      <c r="H1793" s="24">
        <f t="shared" si="135"/>
        <v>95.97</v>
      </c>
      <c r="I1793" s="23" t="str">
        <f t="shared" si="136"/>
        <v>Match</v>
      </c>
      <c r="J1793" s="23" t="str">
        <f t="shared" si="137"/>
        <v>Match</v>
      </c>
      <c r="K1793" s="24">
        <f t="shared" si="138"/>
        <v>17.27</v>
      </c>
      <c r="L1793" s="24">
        <f t="shared" si="139"/>
        <v>0</v>
      </c>
    </row>
    <row r="1794" spans="1:12" ht="15" customHeight="1" x14ac:dyDescent="0.3">
      <c r="A1794" s="23" t="s">
        <v>14539</v>
      </c>
      <c r="B1794" s="23" t="s">
        <v>81</v>
      </c>
      <c r="C1794" s="39">
        <v>499</v>
      </c>
      <c r="D1794" s="24">
        <v>7.49</v>
      </c>
      <c r="E1794" s="24">
        <v>1.35</v>
      </c>
      <c r="F1794" s="23">
        <f>COUNTIFS(mdr_rate_cleaned!$A$2:$A$10,B1794,mdr_rate_cleaned!$B$2:$B$10,"&lt;"&amp;C1794,mdr_rate_cleaned!$F$2:$F$10,"&gt;="&amp;C1794)</f>
        <v>1</v>
      </c>
      <c r="G1794" s="40">
        <f>SUMIFS(mdr_rate_cleaned!$G$2:$G$10,mdr_rate_cleaned!$A$2:$A$10,B1794,mdr_rate_cleaned!$B$2:$B$10,"&lt;"&amp;C1794,mdr_rate_cleaned!$F$2:$F$10,"&gt;="&amp;C1794)</f>
        <v>1.4999999999999999E-2</v>
      </c>
      <c r="H1794" s="24">
        <f t="shared" ref="H1794:H1857" si="140">ROUND(C1794*G1794,2)</f>
        <v>7.49</v>
      </c>
      <c r="I1794" s="23" t="str">
        <f t="shared" ref="I1794:I1857" si="141">IF(ROUND(D1794-H1794,2)=0,"Match","Differs")</f>
        <v>Match</v>
      </c>
      <c r="J1794" s="23" t="str">
        <f t="shared" ref="J1794:J1857" si="142">IF(ROUND(E1794-ROUND(D1794*0.18,2),2)=0,"Match","Differs")</f>
        <v>Match</v>
      </c>
      <c r="K1794" s="24">
        <f t="shared" ref="K1794:K1857" si="143">ROUND(H1794*0.18,2)</f>
        <v>1.35</v>
      </c>
      <c r="L1794" s="24">
        <f t="shared" ref="L1794:L1857" si="144">ROUND(D1794+E1794-H1794-K1794,2)</f>
        <v>0</v>
      </c>
    </row>
    <row r="1795" spans="1:12" ht="15" customHeight="1" x14ac:dyDescent="0.3">
      <c r="A1795" s="23" t="s">
        <v>14540</v>
      </c>
      <c r="B1795" s="23" t="s">
        <v>75</v>
      </c>
      <c r="C1795" s="39">
        <v>3499</v>
      </c>
      <c r="D1795" s="24">
        <v>10.5</v>
      </c>
      <c r="E1795" s="24">
        <v>1.89</v>
      </c>
      <c r="F1795" s="23">
        <f>COUNTIFS(mdr_rate_cleaned!$A$2:$A$10,B1795,mdr_rate_cleaned!$B$2:$B$10,"&lt;"&amp;C1795,mdr_rate_cleaned!$F$2:$F$10,"&gt;="&amp;C1795)</f>
        <v>1</v>
      </c>
      <c r="G1795" s="40">
        <f>SUMIFS(mdr_rate_cleaned!$G$2:$G$10,mdr_rate_cleaned!$A$2:$A$10,B1795,mdr_rate_cleaned!$B$2:$B$10,"&lt;"&amp;C1795,mdr_rate_cleaned!$F$2:$F$10,"&gt;="&amp;C1795)</f>
        <v>3.0000000000000001E-3</v>
      </c>
      <c r="H1795" s="24">
        <f t="shared" si="140"/>
        <v>10.5</v>
      </c>
      <c r="I1795" s="23" t="str">
        <f t="shared" si="141"/>
        <v>Match</v>
      </c>
      <c r="J1795" s="23" t="str">
        <f t="shared" si="142"/>
        <v>Match</v>
      </c>
      <c r="K1795" s="24">
        <f t="shared" si="143"/>
        <v>1.89</v>
      </c>
      <c r="L1795" s="24">
        <f t="shared" si="144"/>
        <v>0</v>
      </c>
    </row>
    <row r="1796" spans="1:12" ht="15" customHeight="1" x14ac:dyDescent="0.3">
      <c r="A1796" s="23" t="s">
        <v>14542</v>
      </c>
      <c r="B1796" s="23" t="s">
        <v>75</v>
      </c>
      <c r="C1796" s="39">
        <v>6298</v>
      </c>
      <c r="D1796" s="24">
        <v>18.89</v>
      </c>
      <c r="E1796" s="24">
        <v>3.4</v>
      </c>
      <c r="F1796" s="23">
        <f>COUNTIFS(mdr_rate_cleaned!$A$2:$A$10,B1796,mdr_rate_cleaned!$B$2:$B$10,"&lt;"&amp;C1796,mdr_rate_cleaned!$F$2:$F$10,"&gt;="&amp;C1796)</f>
        <v>1</v>
      </c>
      <c r="G1796" s="40">
        <f>SUMIFS(mdr_rate_cleaned!$G$2:$G$10,mdr_rate_cleaned!$A$2:$A$10,B1796,mdr_rate_cleaned!$B$2:$B$10,"&lt;"&amp;C1796,mdr_rate_cleaned!$F$2:$F$10,"&gt;="&amp;C1796)</f>
        <v>3.0000000000000001E-3</v>
      </c>
      <c r="H1796" s="24">
        <f t="shared" si="140"/>
        <v>18.89</v>
      </c>
      <c r="I1796" s="23" t="str">
        <f t="shared" si="141"/>
        <v>Match</v>
      </c>
      <c r="J1796" s="23" t="str">
        <f t="shared" si="142"/>
        <v>Match</v>
      </c>
      <c r="K1796" s="24">
        <f t="shared" si="143"/>
        <v>3.4</v>
      </c>
      <c r="L1796" s="24">
        <f t="shared" si="144"/>
        <v>0</v>
      </c>
    </row>
    <row r="1797" spans="1:12" ht="15" customHeight="1" x14ac:dyDescent="0.3">
      <c r="A1797" s="23" t="s">
        <v>14543</v>
      </c>
      <c r="B1797" s="23" t="s">
        <v>75</v>
      </c>
      <c r="C1797" s="39">
        <v>4999</v>
      </c>
      <c r="D1797" s="24">
        <v>15</v>
      </c>
      <c r="E1797" s="24">
        <v>2.7</v>
      </c>
      <c r="F1797" s="23">
        <f>COUNTIFS(mdr_rate_cleaned!$A$2:$A$10,B1797,mdr_rate_cleaned!$B$2:$B$10,"&lt;"&amp;C1797,mdr_rate_cleaned!$F$2:$F$10,"&gt;="&amp;C1797)</f>
        <v>1</v>
      </c>
      <c r="G1797" s="40">
        <f>SUMIFS(mdr_rate_cleaned!$G$2:$G$10,mdr_rate_cleaned!$A$2:$A$10,B1797,mdr_rate_cleaned!$B$2:$B$10,"&lt;"&amp;C1797,mdr_rate_cleaned!$F$2:$F$10,"&gt;="&amp;C1797)</f>
        <v>3.0000000000000001E-3</v>
      </c>
      <c r="H1797" s="24">
        <f t="shared" si="140"/>
        <v>15</v>
      </c>
      <c r="I1797" s="23" t="str">
        <f t="shared" si="141"/>
        <v>Match</v>
      </c>
      <c r="J1797" s="23" t="str">
        <f t="shared" si="142"/>
        <v>Match</v>
      </c>
      <c r="K1797" s="24">
        <f t="shared" si="143"/>
        <v>2.7</v>
      </c>
      <c r="L1797" s="24">
        <f t="shared" si="144"/>
        <v>0</v>
      </c>
    </row>
    <row r="1798" spans="1:12" ht="15" customHeight="1" x14ac:dyDescent="0.3">
      <c r="A1798" s="23" t="s">
        <v>14544</v>
      </c>
      <c r="B1798" s="23" t="s">
        <v>79</v>
      </c>
      <c r="C1798" s="39">
        <v>4999</v>
      </c>
      <c r="D1798" s="24">
        <v>79.98</v>
      </c>
      <c r="E1798" s="24">
        <v>14.4</v>
      </c>
      <c r="F1798" s="23">
        <f>COUNTIFS(mdr_rate_cleaned!$A$2:$A$10,B1798,mdr_rate_cleaned!$B$2:$B$10,"&lt;"&amp;C1798,mdr_rate_cleaned!$F$2:$F$10,"&gt;="&amp;C1798)</f>
        <v>1</v>
      </c>
      <c r="G1798" s="40">
        <f>SUMIFS(mdr_rate_cleaned!$G$2:$G$10,mdr_rate_cleaned!$A$2:$A$10,B1798,mdr_rate_cleaned!$B$2:$B$10,"&lt;"&amp;C1798,mdr_rate_cleaned!$F$2:$F$10,"&gt;="&amp;C1798)</f>
        <v>1.6E-2</v>
      </c>
      <c r="H1798" s="24">
        <f t="shared" si="140"/>
        <v>79.98</v>
      </c>
      <c r="I1798" s="23" t="str">
        <f t="shared" si="141"/>
        <v>Match</v>
      </c>
      <c r="J1798" s="23" t="str">
        <f t="shared" si="142"/>
        <v>Match</v>
      </c>
      <c r="K1798" s="24">
        <f t="shared" si="143"/>
        <v>14.4</v>
      </c>
      <c r="L1798" s="24">
        <f t="shared" si="144"/>
        <v>0</v>
      </c>
    </row>
    <row r="1799" spans="1:12" ht="15" customHeight="1" x14ac:dyDescent="0.3">
      <c r="A1799" s="23" t="s">
        <v>14545</v>
      </c>
      <c r="B1799" s="23" t="s">
        <v>75</v>
      </c>
      <c r="C1799" s="39">
        <v>4999</v>
      </c>
      <c r="D1799" s="24">
        <v>15</v>
      </c>
      <c r="E1799" s="24">
        <v>2.7</v>
      </c>
      <c r="F1799" s="23">
        <f>COUNTIFS(mdr_rate_cleaned!$A$2:$A$10,B1799,mdr_rate_cleaned!$B$2:$B$10,"&lt;"&amp;C1799,mdr_rate_cleaned!$F$2:$F$10,"&gt;="&amp;C1799)</f>
        <v>1</v>
      </c>
      <c r="G1799" s="40">
        <f>SUMIFS(mdr_rate_cleaned!$G$2:$G$10,mdr_rate_cleaned!$A$2:$A$10,B1799,mdr_rate_cleaned!$B$2:$B$10,"&lt;"&amp;C1799,mdr_rate_cleaned!$F$2:$F$10,"&gt;="&amp;C1799)</f>
        <v>3.0000000000000001E-3</v>
      </c>
      <c r="H1799" s="24">
        <f t="shared" si="140"/>
        <v>15</v>
      </c>
      <c r="I1799" s="23" t="str">
        <f t="shared" si="141"/>
        <v>Match</v>
      </c>
      <c r="J1799" s="23" t="str">
        <f t="shared" si="142"/>
        <v>Match</v>
      </c>
      <c r="K1799" s="24">
        <f t="shared" si="143"/>
        <v>2.7</v>
      </c>
      <c r="L1799" s="24">
        <f t="shared" si="144"/>
        <v>0</v>
      </c>
    </row>
    <row r="1800" spans="1:12" ht="15" customHeight="1" x14ac:dyDescent="0.3">
      <c r="A1800" s="23" t="s">
        <v>14546</v>
      </c>
      <c r="B1800" s="23" t="s">
        <v>77</v>
      </c>
      <c r="C1800" s="39">
        <v>4298</v>
      </c>
      <c r="D1800" s="24">
        <v>73.069999999999993</v>
      </c>
      <c r="E1800" s="24">
        <v>13.15</v>
      </c>
      <c r="F1800" s="23">
        <f>COUNTIFS(mdr_rate_cleaned!$A$2:$A$10,B1800,mdr_rate_cleaned!$B$2:$B$10,"&lt;"&amp;C1800,mdr_rate_cleaned!$F$2:$F$10,"&gt;="&amp;C1800)</f>
        <v>1</v>
      </c>
      <c r="G1800" s="40">
        <f>SUMIFS(mdr_rate_cleaned!$G$2:$G$10,mdr_rate_cleaned!$A$2:$A$10,B1800,mdr_rate_cleaned!$B$2:$B$10,"&lt;"&amp;C1800,mdr_rate_cleaned!$F$2:$F$10,"&gt;="&amp;C1800)</f>
        <v>1.7000000000000001E-2</v>
      </c>
      <c r="H1800" s="24">
        <f t="shared" si="140"/>
        <v>73.069999999999993</v>
      </c>
      <c r="I1800" s="23" t="str">
        <f t="shared" si="141"/>
        <v>Match</v>
      </c>
      <c r="J1800" s="23" t="str">
        <f t="shared" si="142"/>
        <v>Match</v>
      </c>
      <c r="K1800" s="24">
        <f t="shared" si="143"/>
        <v>13.15</v>
      </c>
      <c r="L1800" s="24">
        <f t="shared" si="144"/>
        <v>0</v>
      </c>
    </row>
    <row r="1801" spans="1:12" ht="15" customHeight="1" x14ac:dyDescent="0.3">
      <c r="A1801" s="23" t="s">
        <v>14547</v>
      </c>
      <c r="B1801" s="23" t="s">
        <v>75</v>
      </c>
      <c r="C1801" s="39">
        <v>3499</v>
      </c>
      <c r="D1801" s="24">
        <v>10.5</v>
      </c>
      <c r="E1801" s="24">
        <v>1.89</v>
      </c>
      <c r="F1801" s="23">
        <f>COUNTIFS(mdr_rate_cleaned!$A$2:$A$10,B1801,mdr_rate_cleaned!$B$2:$B$10,"&lt;"&amp;C1801,mdr_rate_cleaned!$F$2:$F$10,"&gt;="&amp;C1801)</f>
        <v>1</v>
      </c>
      <c r="G1801" s="40">
        <f>SUMIFS(mdr_rate_cleaned!$G$2:$G$10,mdr_rate_cleaned!$A$2:$A$10,B1801,mdr_rate_cleaned!$B$2:$B$10,"&lt;"&amp;C1801,mdr_rate_cleaned!$F$2:$F$10,"&gt;="&amp;C1801)</f>
        <v>3.0000000000000001E-3</v>
      </c>
      <c r="H1801" s="24">
        <f t="shared" si="140"/>
        <v>10.5</v>
      </c>
      <c r="I1801" s="23" t="str">
        <f t="shared" si="141"/>
        <v>Match</v>
      </c>
      <c r="J1801" s="23" t="str">
        <f t="shared" si="142"/>
        <v>Match</v>
      </c>
      <c r="K1801" s="24">
        <f t="shared" si="143"/>
        <v>1.89</v>
      </c>
      <c r="L1801" s="24">
        <f t="shared" si="144"/>
        <v>0</v>
      </c>
    </row>
    <row r="1802" spans="1:12" ht="15" customHeight="1" x14ac:dyDescent="0.3">
      <c r="A1802" s="23" t="s">
        <v>14548</v>
      </c>
      <c r="B1802" s="23" t="s">
        <v>77</v>
      </c>
      <c r="C1802" s="39">
        <v>3597</v>
      </c>
      <c r="D1802" s="24">
        <v>61.15</v>
      </c>
      <c r="E1802" s="24">
        <v>11.01</v>
      </c>
      <c r="F1802" s="23">
        <f>COUNTIFS(mdr_rate_cleaned!$A$2:$A$10,B1802,mdr_rate_cleaned!$B$2:$B$10,"&lt;"&amp;C1802,mdr_rate_cleaned!$F$2:$F$10,"&gt;="&amp;C1802)</f>
        <v>1</v>
      </c>
      <c r="G1802" s="40">
        <f>SUMIFS(mdr_rate_cleaned!$G$2:$G$10,mdr_rate_cleaned!$A$2:$A$10,B1802,mdr_rate_cleaned!$B$2:$B$10,"&lt;"&amp;C1802,mdr_rate_cleaned!$F$2:$F$10,"&gt;="&amp;C1802)</f>
        <v>1.7000000000000001E-2</v>
      </c>
      <c r="H1802" s="24">
        <f t="shared" si="140"/>
        <v>61.15</v>
      </c>
      <c r="I1802" s="23" t="str">
        <f t="shared" si="141"/>
        <v>Match</v>
      </c>
      <c r="J1802" s="23" t="str">
        <f t="shared" si="142"/>
        <v>Match</v>
      </c>
      <c r="K1802" s="24">
        <f t="shared" si="143"/>
        <v>11.01</v>
      </c>
      <c r="L1802" s="24">
        <f t="shared" si="144"/>
        <v>0</v>
      </c>
    </row>
    <row r="1803" spans="1:12" ht="15" customHeight="1" x14ac:dyDescent="0.3">
      <c r="A1803" s="23" t="s">
        <v>14549</v>
      </c>
      <c r="B1803" s="23" t="s">
        <v>77</v>
      </c>
      <c r="C1803" s="39">
        <v>999</v>
      </c>
      <c r="D1803" s="24">
        <v>18.98</v>
      </c>
      <c r="E1803" s="24">
        <v>3.42</v>
      </c>
      <c r="F1803" s="23">
        <f>COUNTIFS(mdr_rate_cleaned!$A$2:$A$10,B1803,mdr_rate_cleaned!$B$2:$B$10,"&lt;"&amp;C1803,mdr_rate_cleaned!$F$2:$F$10,"&gt;="&amp;C1803)</f>
        <v>1</v>
      </c>
      <c r="G1803" s="40">
        <f>SUMIFS(mdr_rate_cleaned!$G$2:$G$10,mdr_rate_cleaned!$A$2:$A$10,B1803,mdr_rate_cleaned!$B$2:$B$10,"&lt;"&amp;C1803,mdr_rate_cleaned!$F$2:$F$10,"&gt;="&amp;C1803)</f>
        <v>1.9E-2</v>
      </c>
      <c r="H1803" s="24">
        <f t="shared" si="140"/>
        <v>18.98</v>
      </c>
      <c r="I1803" s="23" t="str">
        <f t="shared" si="141"/>
        <v>Match</v>
      </c>
      <c r="J1803" s="23" t="str">
        <f t="shared" si="142"/>
        <v>Match</v>
      </c>
      <c r="K1803" s="24">
        <f t="shared" si="143"/>
        <v>3.42</v>
      </c>
      <c r="L1803" s="24">
        <f t="shared" si="144"/>
        <v>0</v>
      </c>
    </row>
    <row r="1804" spans="1:12" ht="15" customHeight="1" x14ac:dyDescent="0.3">
      <c r="A1804" s="23" t="s">
        <v>14550</v>
      </c>
      <c r="B1804" s="23" t="s">
        <v>79</v>
      </c>
      <c r="C1804" s="39">
        <v>1799</v>
      </c>
      <c r="D1804" s="24">
        <v>32.380000000000003</v>
      </c>
      <c r="E1804" s="24">
        <v>5.83</v>
      </c>
      <c r="F1804" s="23">
        <f>COUNTIFS(mdr_rate_cleaned!$A$2:$A$10,B1804,mdr_rate_cleaned!$B$2:$B$10,"&lt;"&amp;C1804,mdr_rate_cleaned!$F$2:$F$10,"&gt;="&amp;C1804)</f>
        <v>1</v>
      </c>
      <c r="G1804" s="40">
        <f>SUMIFS(mdr_rate_cleaned!$G$2:$G$10,mdr_rate_cleaned!$A$2:$A$10,B1804,mdr_rate_cleaned!$B$2:$B$10,"&lt;"&amp;C1804,mdr_rate_cleaned!$F$2:$F$10,"&gt;="&amp;C1804)</f>
        <v>1.8000000000000002E-2</v>
      </c>
      <c r="H1804" s="24">
        <f t="shared" si="140"/>
        <v>32.380000000000003</v>
      </c>
      <c r="I1804" s="23" t="str">
        <f t="shared" si="141"/>
        <v>Match</v>
      </c>
      <c r="J1804" s="23" t="str">
        <f t="shared" si="142"/>
        <v>Match</v>
      </c>
      <c r="K1804" s="24">
        <f t="shared" si="143"/>
        <v>5.83</v>
      </c>
      <c r="L1804" s="24">
        <f t="shared" si="144"/>
        <v>0</v>
      </c>
    </row>
    <row r="1805" spans="1:12" ht="15" customHeight="1" x14ac:dyDescent="0.3">
      <c r="A1805" s="23" t="s">
        <v>14551</v>
      </c>
      <c r="B1805" s="23" t="s">
        <v>77</v>
      </c>
      <c r="C1805" s="39">
        <v>1799</v>
      </c>
      <c r="D1805" s="24">
        <v>34.18</v>
      </c>
      <c r="E1805" s="24">
        <v>6.15</v>
      </c>
      <c r="F1805" s="23">
        <f>COUNTIFS(mdr_rate_cleaned!$A$2:$A$10,B1805,mdr_rate_cleaned!$B$2:$B$10,"&lt;"&amp;C1805,mdr_rate_cleaned!$F$2:$F$10,"&gt;="&amp;C1805)</f>
        <v>1</v>
      </c>
      <c r="G1805" s="40">
        <f>SUMIFS(mdr_rate_cleaned!$G$2:$G$10,mdr_rate_cleaned!$A$2:$A$10,B1805,mdr_rate_cleaned!$B$2:$B$10,"&lt;"&amp;C1805,mdr_rate_cleaned!$F$2:$F$10,"&gt;="&amp;C1805)</f>
        <v>1.9E-2</v>
      </c>
      <c r="H1805" s="24">
        <f t="shared" si="140"/>
        <v>34.18</v>
      </c>
      <c r="I1805" s="23" t="str">
        <f t="shared" si="141"/>
        <v>Match</v>
      </c>
      <c r="J1805" s="23" t="str">
        <f t="shared" si="142"/>
        <v>Match</v>
      </c>
      <c r="K1805" s="24">
        <f t="shared" si="143"/>
        <v>6.15</v>
      </c>
      <c r="L1805" s="24">
        <f t="shared" si="144"/>
        <v>0</v>
      </c>
    </row>
    <row r="1806" spans="1:12" ht="15" customHeight="1" x14ac:dyDescent="0.3">
      <c r="A1806" s="23" t="s">
        <v>14552</v>
      </c>
      <c r="B1806" s="23" t="s">
        <v>75</v>
      </c>
      <c r="C1806" s="39">
        <v>5498</v>
      </c>
      <c r="D1806" s="24">
        <v>16.489999999999998</v>
      </c>
      <c r="E1806" s="24">
        <v>2.97</v>
      </c>
      <c r="F1806" s="23">
        <f>COUNTIFS(mdr_rate_cleaned!$A$2:$A$10,B1806,mdr_rate_cleaned!$B$2:$B$10,"&lt;"&amp;C1806,mdr_rate_cleaned!$F$2:$F$10,"&gt;="&amp;C1806)</f>
        <v>1</v>
      </c>
      <c r="G1806" s="40">
        <f>SUMIFS(mdr_rate_cleaned!$G$2:$G$10,mdr_rate_cleaned!$A$2:$A$10,B1806,mdr_rate_cleaned!$B$2:$B$10,"&lt;"&amp;C1806,mdr_rate_cleaned!$F$2:$F$10,"&gt;="&amp;C1806)</f>
        <v>3.0000000000000001E-3</v>
      </c>
      <c r="H1806" s="24">
        <f t="shared" si="140"/>
        <v>16.489999999999998</v>
      </c>
      <c r="I1806" s="23" t="str">
        <f t="shared" si="141"/>
        <v>Match</v>
      </c>
      <c r="J1806" s="23" t="str">
        <f t="shared" si="142"/>
        <v>Match</v>
      </c>
      <c r="K1806" s="24">
        <f t="shared" si="143"/>
        <v>2.97</v>
      </c>
      <c r="L1806" s="24">
        <f t="shared" si="144"/>
        <v>0</v>
      </c>
    </row>
    <row r="1807" spans="1:12" ht="15" customHeight="1" x14ac:dyDescent="0.3">
      <c r="A1807" s="23" t="s">
        <v>14553</v>
      </c>
      <c r="B1807" s="23" t="s">
        <v>75</v>
      </c>
      <c r="C1807" s="39">
        <v>7497</v>
      </c>
      <c r="D1807" s="24">
        <v>22.49</v>
      </c>
      <c r="E1807" s="24">
        <v>4.05</v>
      </c>
      <c r="F1807" s="23">
        <f>COUNTIFS(mdr_rate_cleaned!$A$2:$A$10,B1807,mdr_rate_cleaned!$B$2:$B$10,"&lt;"&amp;C1807,mdr_rate_cleaned!$F$2:$F$10,"&gt;="&amp;C1807)</f>
        <v>1</v>
      </c>
      <c r="G1807" s="40">
        <f>SUMIFS(mdr_rate_cleaned!$G$2:$G$10,mdr_rate_cleaned!$A$2:$A$10,B1807,mdr_rate_cleaned!$B$2:$B$10,"&lt;"&amp;C1807,mdr_rate_cleaned!$F$2:$F$10,"&gt;="&amp;C1807)</f>
        <v>3.0000000000000001E-3</v>
      </c>
      <c r="H1807" s="24">
        <f t="shared" si="140"/>
        <v>22.49</v>
      </c>
      <c r="I1807" s="23" t="str">
        <f t="shared" si="141"/>
        <v>Match</v>
      </c>
      <c r="J1807" s="23" t="str">
        <f t="shared" si="142"/>
        <v>Match</v>
      </c>
      <c r="K1807" s="24">
        <f t="shared" si="143"/>
        <v>4.05</v>
      </c>
      <c r="L1807" s="24">
        <f t="shared" si="144"/>
        <v>0</v>
      </c>
    </row>
    <row r="1808" spans="1:12" ht="15" customHeight="1" x14ac:dyDescent="0.3">
      <c r="A1808" s="23" t="s">
        <v>14555</v>
      </c>
      <c r="B1808" s="23" t="s">
        <v>77</v>
      </c>
      <c r="C1808" s="39">
        <v>1499</v>
      </c>
      <c r="D1808" s="24">
        <v>28.48</v>
      </c>
      <c r="E1808" s="24">
        <v>5.13</v>
      </c>
      <c r="F1808" s="23">
        <f>COUNTIFS(mdr_rate_cleaned!$A$2:$A$10,B1808,mdr_rate_cleaned!$B$2:$B$10,"&lt;"&amp;C1808,mdr_rate_cleaned!$F$2:$F$10,"&gt;="&amp;C1808)</f>
        <v>1</v>
      </c>
      <c r="G1808" s="40">
        <f>SUMIFS(mdr_rate_cleaned!$G$2:$G$10,mdr_rate_cleaned!$A$2:$A$10,B1808,mdr_rate_cleaned!$B$2:$B$10,"&lt;"&amp;C1808,mdr_rate_cleaned!$F$2:$F$10,"&gt;="&amp;C1808)</f>
        <v>1.9E-2</v>
      </c>
      <c r="H1808" s="24">
        <f t="shared" si="140"/>
        <v>28.48</v>
      </c>
      <c r="I1808" s="23" t="str">
        <f t="shared" si="141"/>
        <v>Match</v>
      </c>
      <c r="J1808" s="23" t="str">
        <f t="shared" si="142"/>
        <v>Match</v>
      </c>
      <c r="K1808" s="24">
        <f t="shared" si="143"/>
        <v>5.13</v>
      </c>
      <c r="L1808" s="24">
        <f t="shared" si="144"/>
        <v>0</v>
      </c>
    </row>
    <row r="1809" spans="1:12" ht="15" customHeight="1" x14ac:dyDescent="0.3">
      <c r="A1809" s="23" t="s">
        <v>14557</v>
      </c>
      <c r="B1809" s="23" t="s">
        <v>79</v>
      </c>
      <c r="C1809" s="39">
        <v>3499</v>
      </c>
      <c r="D1809" s="24">
        <v>55.98</v>
      </c>
      <c r="E1809" s="24">
        <v>10.08</v>
      </c>
      <c r="F1809" s="23">
        <f>COUNTIFS(mdr_rate_cleaned!$A$2:$A$10,B1809,mdr_rate_cleaned!$B$2:$B$10,"&lt;"&amp;C1809,mdr_rate_cleaned!$F$2:$F$10,"&gt;="&amp;C1809)</f>
        <v>1</v>
      </c>
      <c r="G1809" s="40">
        <f>SUMIFS(mdr_rate_cleaned!$G$2:$G$10,mdr_rate_cleaned!$A$2:$A$10,B1809,mdr_rate_cleaned!$B$2:$B$10,"&lt;"&amp;C1809,mdr_rate_cleaned!$F$2:$F$10,"&gt;="&amp;C1809)</f>
        <v>1.6E-2</v>
      </c>
      <c r="H1809" s="24">
        <f t="shared" si="140"/>
        <v>55.98</v>
      </c>
      <c r="I1809" s="23" t="str">
        <f t="shared" si="141"/>
        <v>Match</v>
      </c>
      <c r="J1809" s="23" t="str">
        <f t="shared" si="142"/>
        <v>Match</v>
      </c>
      <c r="K1809" s="24">
        <f t="shared" si="143"/>
        <v>10.08</v>
      </c>
      <c r="L1809" s="24">
        <f t="shared" si="144"/>
        <v>0</v>
      </c>
    </row>
    <row r="1810" spans="1:12" ht="15" customHeight="1" x14ac:dyDescent="0.3">
      <c r="A1810" s="23" t="s">
        <v>14558</v>
      </c>
      <c r="B1810" s="23" t="s">
        <v>79</v>
      </c>
      <c r="C1810" s="39">
        <v>2999</v>
      </c>
      <c r="D1810" s="24">
        <v>47.98</v>
      </c>
      <c r="E1810" s="24">
        <v>8.64</v>
      </c>
      <c r="F1810" s="23">
        <f>COUNTIFS(mdr_rate_cleaned!$A$2:$A$10,B1810,mdr_rate_cleaned!$B$2:$B$10,"&lt;"&amp;C1810,mdr_rate_cleaned!$F$2:$F$10,"&gt;="&amp;C1810)</f>
        <v>1</v>
      </c>
      <c r="G1810" s="40">
        <f>SUMIFS(mdr_rate_cleaned!$G$2:$G$10,mdr_rate_cleaned!$A$2:$A$10,B1810,mdr_rate_cleaned!$B$2:$B$10,"&lt;"&amp;C1810,mdr_rate_cleaned!$F$2:$F$10,"&gt;="&amp;C1810)</f>
        <v>1.6E-2</v>
      </c>
      <c r="H1810" s="24">
        <f t="shared" si="140"/>
        <v>47.98</v>
      </c>
      <c r="I1810" s="23" t="str">
        <f t="shared" si="141"/>
        <v>Match</v>
      </c>
      <c r="J1810" s="23" t="str">
        <f t="shared" si="142"/>
        <v>Match</v>
      </c>
      <c r="K1810" s="24">
        <f t="shared" si="143"/>
        <v>8.64</v>
      </c>
      <c r="L1810" s="24">
        <f t="shared" si="144"/>
        <v>0</v>
      </c>
    </row>
    <row r="1811" spans="1:12" ht="15" customHeight="1" x14ac:dyDescent="0.3">
      <c r="A1811" s="23" t="s">
        <v>14559</v>
      </c>
      <c r="B1811" s="23" t="s">
        <v>75</v>
      </c>
      <c r="C1811" s="39">
        <v>599</v>
      </c>
      <c r="D1811" s="24">
        <v>0</v>
      </c>
      <c r="E1811" s="24">
        <v>0</v>
      </c>
      <c r="F1811" s="23">
        <f>COUNTIFS(mdr_rate_cleaned!$A$2:$A$10,B1811,mdr_rate_cleaned!$B$2:$B$10,"&lt;"&amp;C1811,mdr_rate_cleaned!$F$2:$F$10,"&gt;="&amp;C1811)</f>
        <v>1</v>
      </c>
      <c r="G1811" s="40">
        <f>SUMIFS(mdr_rate_cleaned!$G$2:$G$10,mdr_rate_cleaned!$A$2:$A$10,B1811,mdr_rate_cleaned!$B$2:$B$10,"&lt;"&amp;C1811,mdr_rate_cleaned!$F$2:$F$10,"&gt;="&amp;C1811)</f>
        <v>0</v>
      </c>
      <c r="H1811" s="24">
        <f t="shared" si="140"/>
        <v>0</v>
      </c>
      <c r="I1811" s="23" t="str">
        <f t="shared" si="141"/>
        <v>Match</v>
      </c>
      <c r="J1811" s="23" t="str">
        <f t="shared" si="142"/>
        <v>Match</v>
      </c>
      <c r="K1811" s="24">
        <f t="shared" si="143"/>
        <v>0</v>
      </c>
      <c r="L1811" s="24">
        <f t="shared" si="144"/>
        <v>0</v>
      </c>
    </row>
    <row r="1812" spans="1:12" ht="15" customHeight="1" x14ac:dyDescent="0.3">
      <c r="A1812" s="23" t="s">
        <v>14560</v>
      </c>
      <c r="B1812" s="23" t="s">
        <v>75</v>
      </c>
      <c r="C1812" s="39">
        <v>799</v>
      </c>
      <c r="D1812" s="24">
        <v>0</v>
      </c>
      <c r="E1812" s="24">
        <v>0</v>
      </c>
      <c r="F1812" s="23">
        <f>COUNTIFS(mdr_rate_cleaned!$A$2:$A$10,B1812,mdr_rate_cleaned!$B$2:$B$10,"&lt;"&amp;C1812,mdr_rate_cleaned!$F$2:$F$10,"&gt;="&amp;C1812)</f>
        <v>1</v>
      </c>
      <c r="G1812" s="40">
        <f>SUMIFS(mdr_rate_cleaned!$G$2:$G$10,mdr_rate_cleaned!$A$2:$A$10,B1812,mdr_rate_cleaned!$B$2:$B$10,"&lt;"&amp;C1812,mdr_rate_cleaned!$F$2:$F$10,"&gt;="&amp;C1812)</f>
        <v>0</v>
      </c>
      <c r="H1812" s="24">
        <f t="shared" si="140"/>
        <v>0</v>
      </c>
      <c r="I1812" s="23" t="str">
        <f t="shared" si="141"/>
        <v>Match</v>
      </c>
      <c r="J1812" s="23" t="str">
        <f t="shared" si="142"/>
        <v>Match</v>
      </c>
      <c r="K1812" s="24">
        <f t="shared" si="143"/>
        <v>0</v>
      </c>
      <c r="L1812" s="24">
        <f t="shared" si="144"/>
        <v>0</v>
      </c>
    </row>
    <row r="1813" spans="1:12" ht="15" customHeight="1" x14ac:dyDescent="0.3">
      <c r="A1813" s="23" t="s">
        <v>14561</v>
      </c>
      <c r="B1813" s="23" t="s">
        <v>75</v>
      </c>
      <c r="C1813" s="39">
        <v>1148</v>
      </c>
      <c r="D1813" s="24">
        <v>0</v>
      </c>
      <c r="E1813" s="24">
        <v>0</v>
      </c>
      <c r="F1813" s="23">
        <f>COUNTIFS(mdr_rate_cleaned!$A$2:$A$10,B1813,mdr_rate_cleaned!$B$2:$B$10,"&lt;"&amp;C1813,mdr_rate_cleaned!$F$2:$F$10,"&gt;="&amp;C1813)</f>
        <v>1</v>
      </c>
      <c r="G1813" s="40">
        <f>SUMIFS(mdr_rate_cleaned!$G$2:$G$10,mdr_rate_cleaned!$A$2:$A$10,B1813,mdr_rate_cleaned!$B$2:$B$10,"&lt;"&amp;C1813,mdr_rate_cleaned!$F$2:$F$10,"&gt;="&amp;C1813)</f>
        <v>0</v>
      </c>
      <c r="H1813" s="24">
        <f t="shared" si="140"/>
        <v>0</v>
      </c>
      <c r="I1813" s="23" t="str">
        <f t="shared" si="141"/>
        <v>Match</v>
      </c>
      <c r="J1813" s="23" t="str">
        <f t="shared" si="142"/>
        <v>Match</v>
      </c>
      <c r="K1813" s="24">
        <f t="shared" si="143"/>
        <v>0</v>
      </c>
      <c r="L1813" s="24">
        <f t="shared" si="144"/>
        <v>0</v>
      </c>
    </row>
    <row r="1814" spans="1:12" ht="15" customHeight="1" x14ac:dyDescent="0.3">
      <c r="A1814" s="23" t="s">
        <v>14562</v>
      </c>
      <c r="B1814" s="23" t="s">
        <v>79</v>
      </c>
      <c r="C1814" s="39">
        <v>3597</v>
      </c>
      <c r="D1814" s="24">
        <v>57.55</v>
      </c>
      <c r="E1814" s="24">
        <v>10.36</v>
      </c>
      <c r="F1814" s="23">
        <f>COUNTIFS(mdr_rate_cleaned!$A$2:$A$10,B1814,mdr_rate_cleaned!$B$2:$B$10,"&lt;"&amp;C1814,mdr_rate_cleaned!$F$2:$F$10,"&gt;="&amp;C1814)</f>
        <v>1</v>
      </c>
      <c r="G1814" s="40">
        <f>SUMIFS(mdr_rate_cleaned!$G$2:$G$10,mdr_rate_cleaned!$A$2:$A$10,B1814,mdr_rate_cleaned!$B$2:$B$10,"&lt;"&amp;C1814,mdr_rate_cleaned!$F$2:$F$10,"&gt;="&amp;C1814)</f>
        <v>1.6E-2</v>
      </c>
      <c r="H1814" s="24">
        <f t="shared" si="140"/>
        <v>57.55</v>
      </c>
      <c r="I1814" s="23" t="str">
        <f t="shared" si="141"/>
        <v>Match</v>
      </c>
      <c r="J1814" s="23" t="str">
        <f t="shared" si="142"/>
        <v>Match</v>
      </c>
      <c r="K1814" s="24">
        <f t="shared" si="143"/>
        <v>10.36</v>
      </c>
      <c r="L1814" s="24">
        <f t="shared" si="144"/>
        <v>0</v>
      </c>
    </row>
    <row r="1815" spans="1:12" ht="15" customHeight="1" x14ac:dyDescent="0.3">
      <c r="A1815" s="23" t="s">
        <v>14563</v>
      </c>
      <c r="B1815" s="23" t="s">
        <v>77</v>
      </c>
      <c r="C1815" s="39">
        <v>1799</v>
      </c>
      <c r="D1815" s="24">
        <v>34.18</v>
      </c>
      <c r="E1815" s="24">
        <v>6.15</v>
      </c>
      <c r="F1815" s="23">
        <f>COUNTIFS(mdr_rate_cleaned!$A$2:$A$10,B1815,mdr_rate_cleaned!$B$2:$B$10,"&lt;"&amp;C1815,mdr_rate_cleaned!$F$2:$F$10,"&gt;="&amp;C1815)</f>
        <v>1</v>
      </c>
      <c r="G1815" s="40">
        <f>SUMIFS(mdr_rate_cleaned!$G$2:$G$10,mdr_rate_cleaned!$A$2:$A$10,B1815,mdr_rate_cleaned!$B$2:$B$10,"&lt;"&amp;C1815,mdr_rate_cleaned!$F$2:$F$10,"&gt;="&amp;C1815)</f>
        <v>1.9E-2</v>
      </c>
      <c r="H1815" s="24">
        <f t="shared" si="140"/>
        <v>34.18</v>
      </c>
      <c r="I1815" s="23" t="str">
        <f t="shared" si="141"/>
        <v>Match</v>
      </c>
      <c r="J1815" s="23" t="str">
        <f t="shared" si="142"/>
        <v>Match</v>
      </c>
      <c r="K1815" s="24">
        <f t="shared" si="143"/>
        <v>6.15</v>
      </c>
      <c r="L1815" s="24">
        <f t="shared" si="144"/>
        <v>0</v>
      </c>
    </row>
    <row r="1816" spans="1:12" ht="15" customHeight="1" x14ac:dyDescent="0.3">
      <c r="A1816" s="23" t="s">
        <v>14564</v>
      </c>
      <c r="B1816" s="23" t="s">
        <v>75</v>
      </c>
      <c r="C1816" s="39">
        <v>9798</v>
      </c>
      <c r="D1816" s="24">
        <v>29.39</v>
      </c>
      <c r="E1816" s="24">
        <v>5.29</v>
      </c>
      <c r="F1816" s="23">
        <f>COUNTIFS(mdr_rate_cleaned!$A$2:$A$10,B1816,mdr_rate_cleaned!$B$2:$B$10,"&lt;"&amp;C1816,mdr_rate_cleaned!$F$2:$F$10,"&gt;="&amp;C1816)</f>
        <v>1</v>
      </c>
      <c r="G1816" s="40">
        <f>SUMIFS(mdr_rate_cleaned!$G$2:$G$10,mdr_rate_cleaned!$A$2:$A$10,B1816,mdr_rate_cleaned!$B$2:$B$10,"&lt;"&amp;C1816,mdr_rate_cleaned!$F$2:$F$10,"&gt;="&amp;C1816)</f>
        <v>3.0000000000000001E-3</v>
      </c>
      <c r="H1816" s="24">
        <f t="shared" si="140"/>
        <v>29.39</v>
      </c>
      <c r="I1816" s="23" t="str">
        <f t="shared" si="141"/>
        <v>Match</v>
      </c>
      <c r="J1816" s="23" t="str">
        <f t="shared" si="142"/>
        <v>Match</v>
      </c>
      <c r="K1816" s="24">
        <f t="shared" si="143"/>
        <v>5.29</v>
      </c>
      <c r="L1816" s="24">
        <f t="shared" si="144"/>
        <v>0</v>
      </c>
    </row>
    <row r="1817" spans="1:12" ht="15" customHeight="1" x14ac:dyDescent="0.3">
      <c r="A1817" s="23" t="s">
        <v>14576</v>
      </c>
      <c r="B1817" s="23" t="s">
        <v>79</v>
      </c>
      <c r="C1817" s="39">
        <v>499</v>
      </c>
      <c r="D1817" s="24">
        <v>8.98</v>
      </c>
      <c r="E1817" s="24">
        <v>1.62</v>
      </c>
      <c r="F1817" s="23">
        <f>COUNTIFS(mdr_rate_cleaned!$A$2:$A$10,B1817,mdr_rate_cleaned!$B$2:$B$10,"&lt;"&amp;C1817,mdr_rate_cleaned!$F$2:$F$10,"&gt;="&amp;C1817)</f>
        <v>1</v>
      </c>
      <c r="G1817" s="40">
        <f>SUMIFS(mdr_rate_cleaned!$G$2:$G$10,mdr_rate_cleaned!$A$2:$A$10,B1817,mdr_rate_cleaned!$B$2:$B$10,"&lt;"&amp;C1817,mdr_rate_cleaned!$F$2:$F$10,"&gt;="&amp;C1817)</f>
        <v>1.8000000000000002E-2</v>
      </c>
      <c r="H1817" s="24">
        <f t="shared" si="140"/>
        <v>8.98</v>
      </c>
      <c r="I1817" s="23" t="str">
        <f t="shared" si="141"/>
        <v>Match</v>
      </c>
      <c r="J1817" s="23" t="str">
        <f t="shared" si="142"/>
        <v>Match</v>
      </c>
      <c r="K1817" s="24">
        <f t="shared" si="143"/>
        <v>1.62</v>
      </c>
      <c r="L1817" s="24">
        <f t="shared" si="144"/>
        <v>0</v>
      </c>
    </row>
    <row r="1818" spans="1:12" ht="15" customHeight="1" x14ac:dyDescent="0.3">
      <c r="A1818" s="23" t="s">
        <v>14577</v>
      </c>
      <c r="B1818" s="23" t="s">
        <v>75</v>
      </c>
      <c r="C1818" s="39">
        <v>2999</v>
      </c>
      <c r="D1818" s="24">
        <v>9</v>
      </c>
      <c r="E1818" s="24">
        <v>1.62</v>
      </c>
      <c r="F1818" s="23">
        <f>COUNTIFS(mdr_rate_cleaned!$A$2:$A$10,B1818,mdr_rate_cleaned!$B$2:$B$10,"&lt;"&amp;C1818,mdr_rate_cleaned!$F$2:$F$10,"&gt;="&amp;C1818)</f>
        <v>1</v>
      </c>
      <c r="G1818" s="40">
        <f>SUMIFS(mdr_rate_cleaned!$G$2:$G$10,mdr_rate_cleaned!$A$2:$A$10,B1818,mdr_rate_cleaned!$B$2:$B$10,"&lt;"&amp;C1818,mdr_rate_cleaned!$F$2:$F$10,"&gt;="&amp;C1818)</f>
        <v>3.0000000000000001E-3</v>
      </c>
      <c r="H1818" s="24">
        <f t="shared" si="140"/>
        <v>9</v>
      </c>
      <c r="I1818" s="23" t="str">
        <f t="shared" si="141"/>
        <v>Match</v>
      </c>
      <c r="J1818" s="23" t="str">
        <f t="shared" si="142"/>
        <v>Match</v>
      </c>
      <c r="K1818" s="24">
        <f t="shared" si="143"/>
        <v>1.62</v>
      </c>
      <c r="L1818" s="24">
        <f t="shared" si="144"/>
        <v>0</v>
      </c>
    </row>
    <row r="1819" spans="1:12" ht="15" customHeight="1" x14ac:dyDescent="0.3">
      <c r="A1819" s="23" t="s">
        <v>14578</v>
      </c>
      <c r="B1819" s="23" t="s">
        <v>75</v>
      </c>
      <c r="C1819" s="39">
        <v>599</v>
      </c>
      <c r="D1819" s="24">
        <v>0</v>
      </c>
      <c r="E1819" s="24">
        <v>0</v>
      </c>
      <c r="F1819" s="23">
        <f>COUNTIFS(mdr_rate_cleaned!$A$2:$A$10,B1819,mdr_rate_cleaned!$B$2:$B$10,"&lt;"&amp;C1819,mdr_rate_cleaned!$F$2:$F$10,"&gt;="&amp;C1819)</f>
        <v>1</v>
      </c>
      <c r="G1819" s="40">
        <f>SUMIFS(mdr_rate_cleaned!$G$2:$G$10,mdr_rate_cleaned!$A$2:$A$10,B1819,mdr_rate_cleaned!$B$2:$B$10,"&lt;"&amp;C1819,mdr_rate_cleaned!$F$2:$F$10,"&gt;="&amp;C1819)</f>
        <v>0</v>
      </c>
      <c r="H1819" s="24">
        <f t="shared" si="140"/>
        <v>0</v>
      </c>
      <c r="I1819" s="23" t="str">
        <f t="shared" si="141"/>
        <v>Match</v>
      </c>
      <c r="J1819" s="23" t="str">
        <f t="shared" si="142"/>
        <v>Match</v>
      </c>
      <c r="K1819" s="24">
        <f t="shared" si="143"/>
        <v>0</v>
      </c>
      <c r="L1819" s="24">
        <f t="shared" si="144"/>
        <v>0</v>
      </c>
    </row>
    <row r="1820" spans="1:12" ht="15" customHeight="1" x14ac:dyDescent="0.3">
      <c r="A1820" s="23" t="s">
        <v>14579</v>
      </c>
      <c r="B1820" s="23" t="s">
        <v>77</v>
      </c>
      <c r="C1820" s="39">
        <v>2499</v>
      </c>
      <c r="D1820" s="24">
        <v>42.48</v>
      </c>
      <c r="E1820" s="24">
        <v>7.65</v>
      </c>
      <c r="F1820" s="23">
        <f>COUNTIFS(mdr_rate_cleaned!$A$2:$A$10,B1820,mdr_rate_cleaned!$B$2:$B$10,"&lt;"&amp;C1820,mdr_rate_cleaned!$F$2:$F$10,"&gt;="&amp;C1820)</f>
        <v>1</v>
      </c>
      <c r="G1820" s="40">
        <f>SUMIFS(mdr_rate_cleaned!$G$2:$G$10,mdr_rate_cleaned!$A$2:$A$10,B1820,mdr_rate_cleaned!$B$2:$B$10,"&lt;"&amp;C1820,mdr_rate_cleaned!$F$2:$F$10,"&gt;="&amp;C1820)</f>
        <v>1.7000000000000001E-2</v>
      </c>
      <c r="H1820" s="24">
        <f t="shared" si="140"/>
        <v>42.48</v>
      </c>
      <c r="I1820" s="23" t="str">
        <f t="shared" si="141"/>
        <v>Match</v>
      </c>
      <c r="J1820" s="23" t="str">
        <f t="shared" si="142"/>
        <v>Match</v>
      </c>
      <c r="K1820" s="24">
        <f t="shared" si="143"/>
        <v>7.65</v>
      </c>
      <c r="L1820" s="24">
        <f t="shared" si="144"/>
        <v>0</v>
      </c>
    </row>
    <row r="1821" spans="1:12" ht="15" customHeight="1" x14ac:dyDescent="0.3">
      <c r="A1821" s="23" t="s">
        <v>14580</v>
      </c>
      <c r="B1821" s="23" t="s">
        <v>79</v>
      </c>
      <c r="C1821" s="39">
        <v>2798</v>
      </c>
      <c r="D1821" s="24">
        <v>44.77</v>
      </c>
      <c r="E1821" s="24">
        <v>8.06</v>
      </c>
      <c r="F1821" s="23">
        <f>COUNTIFS(mdr_rate_cleaned!$A$2:$A$10,B1821,mdr_rate_cleaned!$B$2:$B$10,"&lt;"&amp;C1821,mdr_rate_cleaned!$F$2:$F$10,"&gt;="&amp;C1821)</f>
        <v>1</v>
      </c>
      <c r="G1821" s="40">
        <f>SUMIFS(mdr_rate_cleaned!$G$2:$G$10,mdr_rate_cleaned!$A$2:$A$10,B1821,mdr_rate_cleaned!$B$2:$B$10,"&lt;"&amp;C1821,mdr_rate_cleaned!$F$2:$F$10,"&gt;="&amp;C1821)</f>
        <v>1.6E-2</v>
      </c>
      <c r="H1821" s="24">
        <f t="shared" si="140"/>
        <v>44.77</v>
      </c>
      <c r="I1821" s="23" t="str">
        <f t="shared" si="141"/>
        <v>Match</v>
      </c>
      <c r="J1821" s="23" t="str">
        <f t="shared" si="142"/>
        <v>Match</v>
      </c>
      <c r="K1821" s="24">
        <f t="shared" si="143"/>
        <v>8.06</v>
      </c>
      <c r="L1821" s="24">
        <f t="shared" si="144"/>
        <v>0</v>
      </c>
    </row>
    <row r="1822" spans="1:12" ht="15" customHeight="1" x14ac:dyDescent="0.3">
      <c r="A1822" s="23" t="s">
        <v>14581</v>
      </c>
      <c r="B1822" s="23" t="s">
        <v>79</v>
      </c>
      <c r="C1822" s="39">
        <v>9798</v>
      </c>
      <c r="D1822" s="24">
        <v>156.77000000000001</v>
      </c>
      <c r="E1822" s="24">
        <v>28.22</v>
      </c>
      <c r="F1822" s="23">
        <f>COUNTIFS(mdr_rate_cleaned!$A$2:$A$10,B1822,mdr_rate_cleaned!$B$2:$B$10,"&lt;"&amp;C1822,mdr_rate_cleaned!$F$2:$F$10,"&gt;="&amp;C1822)</f>
        <v>1</v>
      </c>
      <c r="G1822" s="40">
        <f>SUMIFS(mdr_rate_cleaned!$G$2:$G$10,mdr_rate_cleaned!$A$2:$A$10,B1822,mdr_rate_cleaned!$B$2:$B$10,"&lt;"&amp;C1822,mdr_rate_cleaned!$F$2:$F$10,"&gt;="&amp;C1822)</f>
        <v>1.6E-2</v>
      </c>
      <c r="H1822" s="24">
        <f t="shared" si="140"/>
        <v>156.77000000000001</v>
      </c>
      <c r="I1822" s="23" t="str">
        <f t="shared" si="141"/>
        <v>Match</v>
      </c>
      <c r="J1822" s="23" t="str">
        <f t="shared" si="142"/>
        <v>Match</v>
      </c>
      <c r="K1822" s="24">
        <f t="shared" si="143"/>
        <v>28.22</v>
      </c>
      <c r="L1822" s="24">
        <f t="shared" si="144"/>
        <v>0</v>
      </c>
    </row>
    <row r="1823" spans="1:12" ht="15" customHeight="1" x14ac:dyDescent="0.3">
      <c r="A1823" s="23" t="s">
        <v>14582</v>
      </c>
      <c r="B1823" s="23" t="s">
        <v>77</v>
      </c>
      <c r="C1823" s="39">
        <v>349</v>
      </c>
      <c r="D1823" s="24">
        <v>6.63</v>
      </c>
      <c r="E1823" s="24">
        <v>1.19</v>
      </c>
      <c r="F1823" s="23">
        <f>COUNTIFS(mdr_rate_cleaned!$A$2:$A$10,B1823,mdr_rate_cleaned!$B$2:$B$10,"&lt;"&amp;C1823,mdr_rate_cleaned!$F$2:$F$10,"&gt;="&amp;C1823)</f>
        <v>1</v>
      </c>
      <c r="G1823" s="40">
        <f>SUMIFS(mdr_rate_cleaned!$G$2:$G$10,mdr_rate_cleaned!$A$2:$A$10,B1823,mdr_rate_cleaned!$B$2:$B$10,"&lt;"&amp;C1823,mdr_rate_cleaned!$F$2:$F$10,"&gt;="&amp;C1823)</f>
        <v>1.9E-2</v>
      </c>
      <c r="H1823" s="24">
        <f t="shared" si="140"/>
        <v>6.63</v>
      </c>
      <c r="I1823" s="23" t="str">
        <f t="shared" si="141"/>
        <v>Match</v>
      </c>
      <c r="J1823" s="23" t="str">
        <f t="shared" si="142"/>
        <v>Match</v>
      </c>
      <c r="K1823" s="24">
        <f t="shared" si="143"/>
        <v>1.19</v>
      </c>
      <c r="L1823" s="24">
        <f t="shared" si="144"/>
        <v>0</v>
      </c>
    </row>
    <row r="1824" spans="1:12" ht="15" customHeight="1" x14ac:dyDescent="0.3">
      <c r="A1824" s="23" t="s">
        <v>14583</v>
      </c>
      <c r="B1824" s="23" t="s">
        <v>75</v>
      </c>
      <c r="C1824" s="39">
        <v>8798</v>
      </c>
      <c r="D1824" s="24">
        <v>26.39</v>
      </c>
      <c r="E1824" s="24">
        <v>4.75</v>
      </c>
      <c r="F1824" s="23">
        <f>COUNTIFS(mdr_rate_cleaned!$A$2:$A$10,B1824,mdr_rate_cleaned!$B$2:$B$10,"&lt;"&amp;C1824,mdr_rate_cleaned!$F$2:$F$10,"&gt;="&amp;C1824)</f>
        <v>1</v>
      </c>
      <c r="G1824" s="40">
        <f>SUMIFS(mdr_rate_cleaned!$G$2:$G$10,mdr_rate_cleaned!$A$2:$A$10,B1824,mdr_rate_cleaned!$B$2:$B$10,"&lt;"&amp;C1824,mdr_rate_cleaned!$F$2:$F$10,"&gt;="&amp;C1824)</f>
        <v>3.0000000000000001E-3</v>
      </c>
      <c r="H1824" s="24">
        <f t="shared" si="140"/>
        <v>26.39</v>
      </c>
      <c r="I1824" s="23" t="str">
        <f t="shared" si="141"/>
        <v>Match</v>
      </c>
      <c r="J1824" s="23" t="str">
        <f t="shared" si="142"/>
        <v>Match</v>
      </c>
      <c r="K1824" s="24">
        <f t="shared" si="143"/>
        <v>4.75</v>
      </c>
      <c r="L1824" s="24">
        <f t="shared" si="144"/>
        <v>0</v>
      </c>
    </row>
    <row r="1825" spans="1:12" ht="15" customHeight="1" x14ac:dyDescent="0.3">
      <c r="A1825" s="23" t="s">
        <v>14584</v>
      </c>
      <c r="B1825" s="23" t="s">
        <v>75</v>
      </c>
      <c r="C1825" s="39">
        <v>5598</v>
      </c>
      <c r="D1825" s="24">
        <v>16.79</v>
      </c>
      <c r="E1825" s="24">
        <v>3.02</v>
      </c>
      <c r="F1825" s="23">
        <f>COUNTIFS(mdr_rate_cleaned!$A$2:$A$10,B1825,mdr_rate_cleaned!$B$2:$B$10,"&lt;"&amp;C1825,mdr_rate_cleaned!$F$2:$F$10,"&gt;="&amp;C1825)</f>
        <v>1</v>
      </c>
      <c r="G1825" s="40">
        <f>SUMIFS(mdr_rate_cleaned!$G$2:$G$10,mdr_rate_cleaned!$A$2:$A$10,B1825,mdr_rate_cleaned!$B$2:$B$10,"&lt;"&amp;C1825,mdr_rate_cleaned!$F$2:$F$10,"&gt;="&amp;C1825)</f>
        <v>3.0000000000000001E-3</v>
      </c>
      <c r="H1825" s="24">
        <f t="shared" si="140"/>
        <v>16.79</v>
      </c>
      <c r="I1825" s="23" t="str">
        <f t="shared" si="141"/>
        <v>Match</v>
      </c>
      <c r="J1825" s="23" t="str">
        <f t="shared" si="142"/>
        <v>Match</v>
      </c>
      <c r="K1825" s="24">
        <f t="shared" si="143"/>
        <v>3.02</v>
      </c>
      <c r="L1825" s="24">
        <f t="shared" si="144"/>
        <v>0</v>
      </c>
    </row>
    <row r="1826" spans="1:12" ht="15" customHeight="1" x14ac:dyDescent="0.3">
      <c r="A1826" s="23" t="s">
        <v>14585</v>
      </c>
      <c r="B1826" s="23" t="s">
        <v>79</v>
      </c>
      <c r="C1826" s="39">
        <v>6997</v>
      </c>
      <c r="D1826" s="24">
        <v>111.95</v>
      </c>
      <c r="E1826" s="24">
        <v>20.149999999999999</v>
      </c>
      <c r="F1826" s="23">
        <f>COUNTIFS(mdr_rate_cleaned!$A$2:$A$10,B1826,mdr_rate_cleaned!$B$2:$B$10,"&lt;"&amp;C1826,mdr_rate_cleaned!$F$2:$F$10,"&gt;="&amp;C1826)</f>
        <v>1</v>
      </c>
      <c r="G1826" s="40">
        <f>SUMIFS(mdr_rate_cleaned!$G$2:$G$10,mdr_rate_cleaned!$A$2:$A$10,B1826,mdr_rate_cleaned!$B$2:$B$10,"&lt;"&amp;C1826,mdr_rate_cleaned!$F$2:$F$10,"&gt;="&amp;C1826)</f>
        <v>1.6E-2</v>
      </c>
      <c r="H1826" s="24">
        <f t="shared" si="140"/>
        <v>111.95</v>
      </c>
      <c r="I1826" s="23" t="str">
        <f t="shared" si="141"/>
        <v>Match</v>
      </c>
      <c r="J1826" s="23" t="str">
        <f t="shared" si="142"/>
        <v>Match</v>
      </c>
      <c r="K1826" s="24">
        <f t="shared" si="143"/>
        <v>20.149999999999999</v>
      </c>
      <c r="L1826" s="24">
        <f t="shared" si="144"/>
        <v>0</v>
      </c>
    </row>
    <row r="1827" spans="1:12" ht="15" customHeight="1" x14ac:dyDescent="0.3">
      <c r="A1827" s="23" t="s">
        <v>14586</v>
      </c>
      <c r="B1827" s="23" t="s">
        <v>79</v>
      </c>
      <c r="C1827" s="39">
        <v>7097</v>
      </c>
      <c r="D1827" s="24">
        <v>113.55</v>
      </c>
      <c r="E1827" s="24">
        <v>20.440000000000001</v>
      </c>
      <c r="F1827" s="23">
        <f>COUNTIFS(mdr_rate_cleaned!$A$2:$A$10,B1827,mdr_rate_cleaned!$B$2:$B$10,"&lt;"&amp;C1827,mdr_rate_cleaned!$F$2:$F$10,"&gt;="&amp;C1827)</f>
        <v>1</v>
      </c>
      <c r="G1827" s="40">
        <f>SUMIFS(mdr_rate_cleaned!$G$2:$G$10,mdr_rate_cleaned!$A$2:$A$10,B1827,mdr_rate_cleaned!$B$2:$B$10,"&lt;"&amp;C1827,mdr_rate_cleaned!$F$2:$F$10,"&gt;="&amp;C1827)</f>
        <v>1.6E-2</v>
      </c>
      <c r="H1827" s="24">
        <f t="shared" si="140"/>
        <v>113.55</v>
      </c>
      <c r="I1827" s="23" t="str">
        <f t="shared" si="141"/>
        <v>Match</v>
      </c>
      <c r="J1827" s="23" t="str">
        <f t="shared" si="142"/>
        <v>Match</v>
      </c>
      <c r="K1827" s="24">
        <f t="shared" si="143"/>
        <v>20.440000000000001</v>
      </c>
      <c r="L1827" s="24">
        <f t="shared" si="144"/>
        <v>0</v>
      </c>
    </row>
    <row r="1828" spans="1:12" ht="15" customHeight="1" x14ac:dyDescent="0.3">
      <c r="A1828" s="23" t="s">
        <v>14587</v>
      </c>
      <c r="B1828" s="23" t="s">
        <v>75</v>
      </c>
      <c r="C1828" s="39">
        <v>1499</v>
      </c>
      <c r="D1828" s="24">
        <v>0</v>
      </c>
      <c r="E1828" s="24">
        <v>0</v>
      </c>
      <c r="F1828" s="23">
        <f>COUNTIFS(mdr_rate_cleaned!$A$2:$A$10,B1828,mdr_rate_cleaned!$B$2:$B$10,"&lt;"&amp;C1828,mdr_rate_cleaned!$F$2:$F$10,"&gt;="&amp;C1828)</f>
        <v>1</v>
      </c>
      <c r="G1828" s="40">
        <f>SUMIFS(mdr_rate_cleaned!$G$2:$G$10,mdr_rate_cleaned!$A$2:$A$10,B1828,mdr_rate_cleaned!$B$2:$B$10,"&lt;"&amp;C1828,mdr_rate_cleaned!$F$2:$F$10,"&gt;="&amp;C1828)</f>
        <v>0</v>
      </c>
      <c r="H1828" s="24">
        <f t="shared" si="140"/>
        <v>0</v>
      </c>
      <c r="I1828" s="23" t="str">
        <f t="shared" si="141"/>
        <v>Match</v>
      </c>
      <c r="J1828" s="23" t="str">
        <f t="shared" si="142"/>
        <v>Match</v>
      </c>
      <c r="K1828" s="24">
        <f t="shared" si="143"/>
        <v>0</v>
      </c>
      <c r="L1828" s="24">
        <f t="shared" si="144"/>
        <v>0</v>
      </c>
    </row>
    <row r="1829" spans="1:12" ht="15" customHeight="1" x14ac:dyDescent="0.3">
      <c r="A1829" s="23" t="s">
        <v>14588</v>
      </c>
      <c r="B1829" s="23" t="s">
        <v>75</v>
      </c>
      <c r="C1829" s="39">
        <v>299</v>
      </c>
      <c r="D1829" s="24">
        <v>0</v>
      </c>
      <c r="E1829" s="24">
        <v>0</v>
      </c>
      <c r="F1829" s="23">
        <f>COUNTIFS(mdr_rate_cleaned!$A$2:$A$10,B1829,mdr_rate_cleaned!$B$2:$B$10,"&lt;"&amp;C1829,mdr_rate_cleaned!$F$2:$F$10,"&gt;="&amp;C1829)</f>
        <v>1</v>
      </c>
      <c r="G1829" s="40">
        <f>SUMIFS(mdr_rate_cleaned!$G$2:$G$10,mdr_rate_cleaned!$A$2:$A$10,B1829,mdr_rate_cleaned!$B$2:$B$10,"&lt;"&amp;C1829,mdr_rate_cleaned!$F$2:$F$10,"&gt;="&amp;C1829)</f>
        <v>0</v>
      </c>
      <c r="H1829" s="24">
        <f t="shared" si="140"/>
        <v>0</v>
      </c>
      <c r="I1829" s="23" t="str">
        <f t="shared" si="141"/>
        <v>Match</v>
      </c>
      <c r="J1829" s="23" t="str">
        <f t="shared" si="142"/>
        <v>Match</v>
      </c>
      <c r="K1829" s="24">
        <f t="shared" si="143"/>
        <v>0</v>
      </c>
      <c r="L1829" s="24">
        <f t="shared" si="144"/>
        <v>0</v>
      </c>
    </row>
    <row r="1830" spans="1:12" ht="15" customHeight="1" x14ac:dyDescent="0.3">
      <c r="A1830" s="23" t="s">
        <v>14589</v>
      </c>
      <c r="B1830" s="23" t="s">
        <v>77</v>
      </c>
      <c r="C1830" s="39">
        <v>8297</v>
      </c>
      <c r="D1830" s="24">
        <v>141.05000000000001</v>
      </c>
      <c r="E1830" s="24">
        <v>25.39</v>
      </c>
      <c r="F1830" s="23">
        <f>COUNTIFS(mdr_rate_cleaned!$A$2:$A$10,B1830,mdr_rate_cleaned!$B$2:$B$10,"&lt;"&amp;C1830,mdr_rate_cleaned!$F$2:$F$10,"&gt;="&amp;C1830)</f>
        <v>1</v>
      </c>
      <c r="G1830" s="40">
        <f>SUMIFS(mdr_rate_cleaned!$G$2:$G$10,mdr_rate_cleaned!$A$2:$A$10,B1830,mdr_rate_cleaned!$B$2:$B$10,"&lt;"&amp;C1830,mdr_rate_cleaned!$F$2:$F$10,"&gt;="&amp;C1830)</f>
        <v>1.7000000000000001E-2</v>
      </c>
      <c r="H1830" s="24">
        <f t="shared" si="140"/>
        <v>141.05000000000001</v>
      </c>
      <c r="I1830" s="23" t="str">
        <f t="shared" si="141"/>
        <v>Match</v>
      </c>
      <c r="J1830" s="23" t="str">
        <f t="shared" si="142"/>
        <v>Match</v>
      </c>
      <c r="K1830" s="24">
        <f t="shared" si="143"/>
        <v>25.39</v>
      </c>
      <c r="L1830" s="24">
        <f t="shared" si="144"/>
        <v>0</v>
      </c>
    </row>
    <row r="1831" spans="1:12" ht="15" customHeight="1" x14ac:dyDescent="0.3">
      <c r="A1831" s="23" t="s">
        <v>14590</v>
      </c>
      <c r="B1831" s="23" t="s">
        <v>75</v>
      </c>
      <c r="C1831" s="39">
        <v>7999</v>
      </c>
      <c r="D1831" s="24">
        <v>24</v>
      </c>
      <c r="E1831" s="24">
        <v>4.32</v>
      </c>
      <c r="F1831" s="23">
        <f>COUNTIFS(mdr_rate_cleaned!$A$2:$A$10,B1831,mdr_rate_cleaned!$B$2:$B$10,"&lt;"&amp;C1831,mdr_rate_cleaned!$F$2:$F$10,"&gt;="&amp;C1831)</f>
        <v>1</v>
      </c>
      <c r="G1831" s="40">
        <f>SUMIFS(mdr_rate_cleaned!$G$2:$G$10,mdr_rate_cleaned!$A$2:$A$10,B1831,mdr_rate_cleaned!$B$2:$B$10,"&lt;"&amp;C1831,mdr_rate_cleaned!$F$2:$F$10,"&gt;="&amp;C1831)</f>
        <v>3.0000000000000001E-3</v>
      </c>
      <c r="H1831" s="24">
        <f t="shared" si="140"/>
        <v>24</v>
      </c>
      <c r="I1831" s="23" t="str">
        <f t="shared" si="141"/>
        <v>Match</v>
      </c>
      <c r="J1831" s="23" t="str">
        <f t="shared" si="142"/>
        <v>Match</v>
      </c>
      <c r="K1831" s="24">
        <f t="shared" si="143"/>
        <v>4.32</v>
      </c>
      <c r="L1831" s="24">
        <f t="shared" si="144"/>
        <v>0</v>
      </c>
    </row>
    <row r="1832" spans="1:12" ht="15" customHeight="1" x14ac:dyDescent="0.3">
      <c r="A1832" s="23" t="s">
        <v>14591</v>
      </c>
      <c r="B1832" s="23" t="s">
        <v>79</v>
      </c>
      <c r="C1832" s="39">
        <v>1597</v>
      </c>
      <c r="D1832" s="24">
        <v>28.75</v>
      </c>
      <c r="E1832" s="24">
        <v>5.18</v>
      </c>
      <c r="F1832" s="23">
        <f>COUNTIFS(mdr_rate_cleaned!$A$2:$A$10,B1832,mdr_rate_cleaned!$B$2:$B$10,"&lt;"&amp;C1832,mdr_rate_cleaned!$F$2:$F$10,"&gt;="&amp;C1832)</f>
        <v>1</v>
      </c>
      <c r="G1832" s="40">
        <f>SUMIFS(mdr_rate_cleaned!$G$2:$G$10,mdr_rate_cleaned!$A$2:$A$10,B1832,mdr_rate_cleaned!$B$2:$B$10,"&lt;"&amp;C1832,mdr_rate_cleaned!$F$2:$F$10,"&gt;="&amp;C1832)</f>
        <v>1.8000000000000002E-2</v>
      </c>
      <c r="H1832" s="24">
        <f t="shared" si="140"/>
        <v>28.75</v>
      </c>
      <c r="I1832" s="23" t="str">
        <f t="shared" si="141"/>
        <v>Match</v>
      </c>
      <c r="J1832" s="23" t="str">
        <f t="shared" si="142"/>
        <v>Match</v>
      </c>
      <c r="K1832" s="24">
        <f t="shared" si="143"/>
        <v>5.18</v>
      </c>
      <c r="L1832" s="24">
        <f t="shared" si="144"/>
        <v>0</v>
      </c>
    </row>
    <row r="1833" spans="1:12" ht="15" customHeight="1" x14ac:dyDescent="0.3">
      <c r="A1833" s="23" t="s">
        <v>14592</v>
      </c>
      <c r="B1833" s="23" t="s">
        <v>75</v>
      </c>
      <c r="C1833" s="39">
        <v>1299</v>
      </c>
      <c r="D1833" s="24">
        <v>0</v>
      </c>
      <c r="E1833" s="24">
        <v>0</v>
      </c>
      <c r="F1833" s="23">
        <f>COUNTIFS(mdr_rate_cleaned!$A$2:$A$10,B1833,mdr_rate_cleaned!$B$2:$B$10,"&lt;"&amp;C1833,mdr_rate_cleaned!$F$2:$F$10,"&gt;="&amp;C1833)</f>
        <v>1</v>
      </c>
      <c r="G1833" s="40">
        <f>SUMIFS(mdr_rate_cleaned!$G$2:$G$10,mdr_rate_cleaned!$A$2:$A$10,B1833,mdr_rate_cleaned!$B$2:$B$10,"&lt;"&amp;C1833,mdr_rate_cleaned!$F$2:$F$10,"&gt;="&amp;C1833)</f>
        <v>0</v>
      </c>
      <c r="H1833" s="24">
        <f t="shared" si="140"/>
        <v>0</v>
      </c>
      <c r="I1833" s="23" t="str">
        <f t="shared" si="141"/>
        <v>Match</v>
      </c>
      <c r="J1833" s="23" t="str">
        <f t="shared" si="142"/>
        <v>Match</v>
      </c>
      <c r="K1833" s="24">
        <f t="shared" si="143"/>
        <v>0</v>
      </c>
      <c r="L1833" s="24">
        <f t="shared" si="144"/>
        <v>0</v>
      </c>
    </row>
    <row r="1834" spans="1:12" ht="15" customHeight="1" x14ac:dyDescent="0.3">
      <c r="A1834" s="23" t="s">
        <v>14593</v>
      </c>
      <c r="B1834" s="23" t="s">
        <v>75</v>
      </c>
      <c r="C1834" s="39">
        <v>3197</v>
      </c>
      <c r="D1834" s="24">
        <v>9.59</v>
      </c>
      <c r="E1834" s="24">
        <v>1.73</v>
      </c>
      <c r="F1834" s="23">
        <f>COUNTIFS(mdr_rate_cleaned!$A$2:$A$10,B1834,mdr_rate_cleaned!$B$2:$B$10,"&lt;"&amp;C1834,mdr_rate_cleaned!$F$2:$F$10,"&gt;="&amp;C1834)</f>
        <v>1</v>
      </c>
      <c r="G1834" s="40">
        <f>SUMIFS(mdr_rate_cleaned!$G$2:$G$10,mdr_rate_cleaned!$A$2:$A$10,B1834,mdr_rate_cleaned!$B$2:$B$10,"&lt;"&amp;C1834,mdr_rate_cleaned!$F$2:$F$10,"&gt;="&amp;C1834)</f>
        <v>3.0000000000000001E-3</v>
      </c>
      <c r="H1834" s="24">
        <f t="shared" si="140"/>
        <v>9.59</v>
      </c>
      <c r="I1834" s="23" t="str">
        <f t="shared" si="141"/>
        <v>Match</v>
      </c>
      <c r="J1834" s="23" t="str">
        <f t="shared" si="142"/>
        <v>Match</v>
      </c>
      <c r="K1834" s="24">
        <f t="shared" si="143"/>
        <v>1.73</v>
      </c>
      <c r="L1834" s="24">
        <f t="shared" si="144"/>
        <v>0</v>
      </c>
    </row>
    <row r="1835" spans="1:12" ht="15" customHeight="1" x14ac:dyDescent="0.3">
      <c r="A1835" s="23" t="s">
        <v>14594</v>
      </c>
      <c r="B1835" s="23" t="s">
        <v>79</v>
      </c>
      <c r="C1835" s="39">
        <v>2499</v>
      </c>
      <c r="D1835" s="24">
        <v>39.979999999999997</v>
      </c>
      <c r="E1835" s="24">
        <v>7.2</v>
      </c>
      <c r="F1835" s="23">
        <f>COUNTIFS(mdr_rate_cleaned!$A$2:$A$10,B1835,mdr_rate_cleaned!$B$2:$B$10,"&lt;"&amp;C1835,mdr_rate_cleaned!$F$2:$F$10,"&gt;="&amp;C1835)</f>
        <v>1</v>
      </c>
      <c r="G1835" s="40">
        <f>SUMIFS(mdr_rate_cleaned!$G$2:$G$10,mdr_rate_cleaned!$A$2:$A$10,B1835,mdr_rate_cleaned!$B$2:$B$10,"&lt;"&amp;C1835,mdr_rate_cleaned!$F$2:$F$10,"&gt;="&amp;C1835)</f>
        <v>1.6E-2</v>
      </c>
      <c r="H1835" s="24">
        <f t="shared" si="140"/>
        <v>39.979999999999997</v>
      </c>
      <c r="I1835" s="23" t="str">
        <f t="shared" si="141"/>
        <v>Match</v>
      </c>
      <c r="J1835" s="23" t="str">
        <f t="shared" si="142"/>
        <v>Match</v>
      </c>
      <c r="K1835" s="24">
        <f t="shared" si="143"/>
        <v>7.2</v>
      </c>
      <c r="L1835" s="24">
        <f t="shared" si="144"/>
        <v>0</v>
      </c>
    </row>
    <row r="1836" spans="1:12" ht="15" customHeight="1" x14ac:dyDescent="0.3">
      <c r="A1836" s="23" t="s">
        <v>14595</v>
      </c>
      <c r="B1836" s="23" t="s">
        <v>75</v>
      </c>
      <c r="C1836" s="39">
        <v>799</v>
      </c>
      <c r="D1836" s="24">
        <v>0</v>
      </c>
      <c r="E1836" s="24">
        <v>0</v>
      </c>
      <c r="F1836" s="23">
        <f>COUNTIFS(mdr_rate_cleaned!$A$2:$A$10,B1836,mdr_rate_cleaned!$B$2:$B$10,"&lt;"&amp;C1836,mdr_rate_cleaned!$F$2:$F$10,"&gt;="&amp;C1836)</f>
        <v>1</v>
      </c>
      <c r="G1836" s="40">
        <f>SUMIFS(mdr_rate_cleaned!$G$2:$G$10,mdr_rate_cleaned!$A$2:$A$10,B1836,mdr_rate_cleaned!$B$2:$B$10,"&lt;"&amp;C1836,mdr_rate_cleaned!$F$2:$F$10,"&gt;="&amp;C1836)</f>
        <v>0</v>
      </c>
      <c r="H1836" s="24">
        <f t="shared" si="140"/>
        <v>0</v>
      </c>
      <c r="I1836" s="23" t="str">
        <f t="shared" si="141"/>
        <v>Match</v>
      </c>
      <c r="J1836" s="23" t="str">
        <f t="shared" si="142"/>
        <v>Match</v>
      </c>
      <c r="K1836" s="24">
        <f t="shared" si="143"/>
        <v>0</v>
      </c>
      <c r="L1836" s="24">
        <f t="shared" si="144"/>
        <v>0</v>
      </c>
    </row>
    <row r="1837" spans="1:12" ht="15" customHeight="1" x14ac:dyDescent="0.3">
      <c r="A1837" s="23" t="s">
        <v>14596</v>
      </c>
      <c r="B1837" s="23" t="s">
        <v>75</v>
      </c>
      <c r="C1837" s="39">
        <v>2999</v>
      </c>
      <c r="D1837" s="24">
        <v>9</v>
      </c>
      <c r="E1837" s="24">
        <v>1.62</v>
      </c>
      <c r="F1837" s="23">
        <f>COUNTIFS(mdr_rate_cleaned!$A$2:$A$10,B1837,mdr_rate_cleaned!$B$2:$B$10,"&lt;"&amp;C1837,mdr_rate_cleaned!$F$2:$F$10,"&gt;="&amp;C1837)</f>
        <v>1</v>
      </c>
      <c r="G1837" s="40">
        <f>SUMIFS(mdr_rate_cleaned!$G$2:$G$10,mdr_rate_cleaned!$A$2:$A$10,B1837,mdr_rate_cleaned!$B$2:$B$10,"&lt;"&amp;C1837,mdr_rate_cleaned!$F$2:$F$10,"&gt;="&amp;C1837)</f>
        <v>3.0000000000000001E-3</v>
      </c>
      <c r="H1837" s="24">
        <f t="shared" si="140"/>
        <v>9</v>
      </c>
      <c r="I1837" s="23" t="str">
        <f t="shared" si="141"/>
        <v>Match</v>
      </c>
      <c r="J1837" s="23" t="str">
        <f t="shared" si="142"/>
        <v>Match</v>
      </c>
      <c r="K1837" s="24">
        <f t="shared" si="143"/>
        <v>1.62</v>
      </c>
      <c r="L1837" s="24">
        <f t="shared" si="144"/>
        <v>0</v>
      </c>
    </row>
    <row r="1838" spans="1:12" ht="15" customHeight="1" x14ac:dyDescent="0.3">
      <c r="A1838" s="23" t="s">
        <v>14598</v>
      </c>
      <c r="B1838" s="23" t="s">
        <v>79</v>
      </c>
      <c r="C1838" s="39">
        <v>8997</v>
      </c>
      <c r="D1838" s="24">
        <v>143.94999999999999</v>
      </c>
      <c r="E1838" s="24">
        <v>25.91</v>
      </c>
      <c r="F1838" s="23">
        <f>COUNTIFS(mdr_rate_cleaned!$A$2:$A$10,B1838,mdr_rate_cleaned!$B$2:$B$10,"&lt;"&amp;C1838,mdr_rate_cleaned!$F$2:$F$10,"&gt;="&amp;C1838)</f>
        <v>1</v>
      </c>
      <c r="G1838" s="40">
        <f>SUMIFS(mdr_rate_cleaned!$G$2:$G$10,mdr_rate_cleaned!$A$2:$A$10,B1838,mdr_rate_cleaned!$B$2:$B$10,"&lt;"&amp;C1838,mdr_rate_cleaned!$F$2:$F$10,"&gt;="&amp;C1838)</f>
        <v>1.6E-2</v>
      </c>
      <c r="H1838" s="24">
        <f t="shared" si="140"/>
        <v>143.94999999999999</v>
      </c>
      <c r="I1838" s="23" t="str">
        <f t="shared" si="141"/>
        <v>Match</v>
      </c>
      <c r="J1838" s="23" t="str">
        <f t="shared" si="142"/>
        <v>Match</v>
      </c>
      <c r="K1838" s="24">
        <f t="shared" si="143"/>
        <v>25.91</v>
      </c>
      <c r="L1838" s="24">
        <f t="shared" si="144"/>
        <v>0</v>
      </c>
    </row>
    <row r="1839" spans="1:12" ht="15" customHeight="1" x14ac:dyDescent="0.3">
      <c r="A1839" s="23" t="s">
        <v>14599</v>
      </c>
      <c r="B1839" s="23" t="s">
        <v>77</v>
      </c>
      <c r="C1839" s="39">
        <v>9497</v>
      </c>
      <c r="D1839" s="24">
        <v>161.44999999999999</v>
      </c>
      <c r="E1839" s="24">
        <v>29.06</v>
      </c>
      <c r="F1839" s="23">
        <f>COUNTIFS(mdr_rate_cleaned!$A$2:$A$10,B1839,mdr_rate_cleaned!$B$2:$B$10,"&lt;"&amp;C1839,mdr_rate_cleaned!$F$2:$F$10,"&gt;="&amp;C1839)</f>
        <v>1</v>
      </c>
      <c r="G1839" s="40">
        <f>SUMIFS(mdr_rate_cleaned!$G$2:$G$10,mdr_rate_cleaned!$A$2:$A$10,B1839,mdr_rate_cleaned!$B$2:$B$10,"&lt;"&amp;C1839,mdr_rate_cleaned!$F$2:$F$10,"&gt;="&amp;C1839)</f>
        <v>1.7000000000000001E-2</v>
      </c>
      <c r="H1839" s="24">
        <f t="shared" si="140"/>
        <v>161.44999999999999</v>
      </c>
      <c r="I1839" s="23" t="str">
        <f t="shared" si="141"/>
        <v>Match</v>
      </c>
      <c r="J1839" s="23" t="str">
        <f t="shared" si="142"/>
        <v>Match</v>
      </c>
      <c r="K1839" s="24">
        <f t="shared" si="143"/>
        <v>29.06</v>
      </c>
      <c r="L1839" s="24">
        <f t="shared" si="144"/>
        <v>0</v>
      </c>
    </row>
    <row r="1840" spans="1:12" ht="15" customHeight="1" x14ac:dyDescent="0.3">
      <c r="A1840" s="23" t="s">
        <v>14600</v>
      </c>
      <c r="B1840" s="23" t="s">
        <v>79</v>
      </c>
      <c r="C1840" s="39">
        <v>1648</v>
      </c>
      <c r="D1840" s="24">
        <v>29.66</v>
      </c>
      <c r="E1840" s="24">
        <v>5.34</v>
      </c>
      <c r="F1840" s="23">
        <f>COUNTIFS(mdr_rate_cleaned!$A$2:$A$10,B1840,mdr_rate_cleaned!$B$2:$B$10,"&lt;"&amp;C1840,mdr_rate_cleaned!$F$2:$F$10,"&gt;="&amp;C1840)</f>
        <v>1</v>
      </c>
      <c r="G1840" s="40">
        <f>SUMIFS(mdr_rate_cleaned!$G$2:$G$10,mdr_rate_cleaned!$A$2:$A$10,B1840,mdr_rate_cleaned!$B$2:$B$10,"&lt;"&amp;C1840,mdr_rate_cleaned!$F$2:$F$10,"&gt;="&amp;C1840)</f>
        <v>1.8000000000000002E-2</v>
      </c>
      <c r="H1840" s="24">
        <f t="shared" si="140"/>
        <v>29.66</v>
      </c>
      <c r="I1840" s="23" t="str">
        <f t="shared" si="141"/>
        <v>Match</v>
      </c>
      <c r="J1840" s="23" t="str">
        <f t="shared" si="142"/>
        <v>Match</v>
      </c>
      <c r="K1840" s="24">
        <f t="shared" si="143"/>
        <v>5.34</v>
      </c>
      <c r="L1840" s="24">
        <f t="shared" si="144"/>
        <v>0</v>
      </c>
    </row>
    <row r="1841" spans="1:12" ht="15" customHeight="1" x14ac:dyDescent="0.3">
      <c r="A1841" s="23" t="s">
        <v>14601</v>
      </c>
      <c r="B1841" s="23" t="s">
        <v>75</v>
      </c>
      <c r="C1841" s="39">
        <v>4797</v>
      </c>
      <c r="D1841" s="24">
        <v>14.39</v>
      </c>
      <c r="E1841" s="24">
        <v>2.59</v>
      </c>
      <c r="F1841" s="23">
        <f>COUNTIFS(mdr_rate_cleaned!$A$2:$A$10,B1841,mdr_rate_cleaned!$B$2:$B$10,"&lt;"&amp;C1841,mdr_rate_cleaned!$F$2:$F$10,"&gt;="&amp;C1841)</f>
        <v>1</v>
      </c>
      <c r="G1841" s="40">
        <f>SUMIFS(mdr_rate_cleaned!$G$2:$G$10,mdr_rate_cleaned!$A$2:$A$10,B1841,mdr_rate_cleaned!$B$2:$B$10,"&lt;"&amp;C1841,mdr_rate_cleaned!$F$2:$F$10,"&gt;="&amp;C1841)</f>
        <v>3.0000000000000001E-3</v>
      </c>
      <c r="H1841" s="24">
        <f t="shared" si="140"/>
        <v>14.39</v>
      </c>
      <c r="I1841" s="23" t="str">
        <f t="shared" si="141"/>
        <v>Match</v>
      </c>
      <c r="J1841" s="23" t="str">
        <f t="shared" si="142"/>
        <v>Match</v>
      </c>
      <c r="K1841" s="24">
        <f t="shared" si="143"/>
        <v>2.59</v>
      </c>
      <c r="L1841" s="24">
        <f t="shared" si="144"/>
        <v>0</v>
      </c>
    </row>
    <row r="1842" spans="1:12" ht="15" customHeight="1" x14ac:dyDescent="0.3">
      <c r="A1842" s="23" t="s">
        <v>14602</v>
      </c>
      <c r="B1842" s="23" t="s">
        <v>77</v>
      </c>
      <c r="C1842" s="39">
        <v>2499</v>
      </c>
      <c r="D1842" s="24">
        <v>42.48</v>
      </c>
      <c r="E1842" s="24">
        <v>7.65</v>
      </c>
      <c r="F1842" s="23">
        <f>COUNTIFS(mdr_rate_cleaned!$A$2:$A$10,B1842,mdr_rate_cleaned!$B$2:$B$10,"&lt;"&amp;C1842,mdr_rate_cleaned!$F$2:$F$10,"&gt;="&amp;C1842)</f>
        <v>1</v>
      </c>
      <c r="G1842" s="40">
        <f>SUMIFS(mdr_rate_cleaned!$G$2:$G$10,mdr_rate_cleaned!$A$2:$A$10,B1842,mdr_rate_cleaned!$B$2:$B$10,"&lt;"&amp;C1842,mdr_rate_cleaned!$F$2:$F$10,"&gt;="&amp;C1842)</f>
        <v>1.7000000000000001E-2</v>
      </c>
      <c r="H1842" s="24">
        <f t="shared" si="140"/>
        <v>42.48</v>
      </c>
      <c r="I1842" s="23" t="str">
        <f t="shared" si="141"/>
        <v>Match</v>
      </c>
      <c r="J1842" s="23" t="str">
        <f t="shared" si="142"/>
        <v>Match</v>
      </c>
      <c r="K1842" s="24">
        <f t="shared" si="143"/>
        <v>7.65</v>
      </c>
      <c r="L1842" s="24">
        <f t="shared" si="144"/>
        <v>0</v>
      </c>
    </row>
    <row r="1843" spans="1:12" ht="15" customHeight="1" x14ac:dyDescent="0.3">
      <c r="A1843" s="23" t="s">
        <v>14603</v>
      </c>
      <c r="B1843" s="23" t="s">
        <v>81</v>
      </c>
      <c r="C1843" s="39">
        <v>4999</v>
      </c>
      <c r="D1843" s="24">
        <v>59.99</v>
      </c>
      <c r="E1843" s="24">
        <v>10.8</v>
      </c>
      <c r="F1843" s="23">
        <f>COUNTIFS(mdr_rate_cleaned!$A$2:$A$10,B1843,mdr_rate_cleaned!$B$2:$B$10,"&lt;"&amp;C1843,mdr_rate_cleaned!$F$2:$F$10,"&gt;="&amp;C1843)</f>
        <v>1</v>
      </c>
      <c r="G1843" s="40">
        <f>SUMIFS(mdr_rate_cleaned!$G$2:$G$10,mdr_rate_cleaned!$A$2:$A$10,B1843,mdr_rate_cleaned!$B$2:$B$10,"&lt;"&amp;C1843,mdr_rate_cleaned!$F$2:$F$10,"&gt;="&amp;C1843)</f>
        <v>1.2E-2</v>
      </c>
      <c r="H1843" s="24">
        <f t="shared" si="140"/>
        <v>59.99</v>
      </c>
      <c r="I1843" s="23" t="str">
        <f t="shared" si="141"/>
        <v>Match</v>
      </c>
      <c r="J1843" s="23" t="str">
        <f t="shared" si="142"/>
        <v>Match</v>
      </c>
      <c r="K1843" s="24">
        <f t="shared" si="143"/>
        <v>10.8</v>
      </c>
      <c r="L1843" s="24">
        <f t="shared" si="144"/>
        <v>0</v>
      </c>
    </row>
    <row r="1844" spans="1:12" ht="15" customHeight="1" x14ac:dyDescent="0.3">
      <c r="A1844" s="23" t="s">
        <v>14604</v>
      </c>
      <c r="B1844" s="23" t="s">
        <v>75</v>
      </c>
      <c r="C1844" s="39">
        <v>5498</v>
      </c>
      <c r="D1844" s="24">
        <v>16.489999999999998</v>
      </c>
      <c r="E1844" s="24">
        <v>2.97</v>
      </c>
      <c r="F1844" s="23">
        <f>COUNTIFS(mdr_rate_cleaned!$A$2:$A$10,B1844,mdr_rate_cleaned!$B$2:$B$10,"&lt;"&amp;C1844,mdr_rate_cleaned!$F$2:$F$10,"&gt;="&amp;C1844)</f>
        <v>1</v>
      </c>
      <c r="G1844" s="40">
        <f>SUMIFS(mdr_rate_cleaned!$G$2:$G$10,mdr_rate_cleaned!$A$2:$A$10,B1844,mdr_rate_cleaned!$B$2:$B$10,"&lt;"&amp;C1844,mdr_rate_cleaned!$F$2:$F$10,"&gt;="&amp;C1844)</f>
        <v>3.0000000000000001E-3</v>
      </c>
      <c r="H1844" s="24">
        <f t="shared" si="140"/>
        <v>16.489999999999998</v>
      </c>
      <c r="I1844" s="23" t="str">
        <f t="shared" si="141"/>
        <v>Match</v>
      </c>
      <c r="J1844" s="23" t="str">
        <f t="shared" si="142"/>
        <v>Match</v>
      </c>
      <c r="K1844" s="24">
        <f t="shared" si="143"/>
        <v>2.97</v>
      </c>
      <c r="L1844" s="24">
        <f t="shared" si="144"/>
        <v>0</v>
      </c>
    </row>
    <row r="1845" spans="1:12" ht="15" customHeight="1" x14ac:dyDescent="0.3">
      <c r="A1845" s="23" t="s">
        <v>14605</v>
      </c>
      <c r="B1845" s="23" t="s">
        <v>75</v>
      </c>
      <c r="C1845" s="39">
        <v>1098</v>
      </c>
      <c r="D1845" s="24">
        <v>0</v>
      </c>
      <c r="E1845" s="24">
        <v>0</v>
      </c>
      <c r="F1845" s="23">
        <f>COUNTIFS(mdr_rate_cleaned!$A$2:$A$10,B1845,mdr_rate_cleaned!$B$2:$B$10,"&lt;"&amp;C1845,mdr_rate_cleaned!$F$2:$F$10,"&gt;="&amp;C1845)</f>
        <v>1</v>
      </c>
      <c r="G1845" s="40">
        <f>SUMIFS(mdr_rate_cleaned!$G$2:$G$10,mdr_rate_cleaned!$A$2:$A$10,B1845,mdr_rate_cleaned!$B$2:$B$10,"&lt;"&amp;C1845,mdr_rate_cleaned!$F$2:$F$10,"&gt;="&amp;C1845)</f>
        <v>0</v>
      </c>
      <c r="H1845" s="24">
        <f t="shared" si="140"/>
        <v>0</v>
      </c>
      <c r="I1845" s="23" t="str">
        <f t="shared" si="141"/>
        <v>Match</v>
      </c>
      <c r="J1845" s="23" t="str">
        <f t="shared" si="142"/>
        <v>Match</v>
      </c>
      <c r="K1845" s="24">
        <f t="shared" si="143"/>
        <v>0</v>
      </c>
      <c r="L1845" s="24">
        <f t="shared" si="144"/>
        <v>0</v>
      </c>
    </row>
    <row r="1846" spans="1:12" ht="15" customHeight="1" x14ac:dyDescent="0.3">
      <c r="A1846" s="23" t="s">
        <v>14606</v>
      </c>
      <c r="B1846" s="23" t="s">
        <v>79</v>
      </c>
      <c r="C1846" s="39">
        <v>7998</v>
      </c>
      <c r="D1846" s="24">
        <v>127.97</v>
      </c>
      <c r="E1846" s="24">
        <v>23.03</v>
      </c>
      <c r="F1846" s="23">
        <f>COUNTIFS(mdr_rate_cleaned!$A$2:$A$10,B1846,mdr_rate_cleaned!$B$2:$B$10,"&lt;"&amp;C1846,mdr_rate_cleaned!$F$2:$F$10,"&gt;="&amp;C1846)</f>
        <v>1</v>
      </c>
      <c r="G1846" s="40">
        <f>SUMIFS(mdr_rate_cleaned!$G$2:$G$10,mdr_rate_cleaned!$A$2:$A$10,B1846,mdr_rate_cleaned!$B$2:$B$10,"&lt;"&amp;C1846,mdr_rate_cleaned!$F$2:$F$10,"&gt;="&amp;C1846)</f>
        <v>1.6E-2</v>
      </c>
      <c r="H1846" s="24">
        <f t="shared" si="140"/>
        <v>127.97</v>
      </c>
      <c r="I1846" s="23" t="str">
        <f t="shared" si="141"/>
        <v>Match</v>
      </c>
      <c r="J1846" s="23" t="str">
        <f t="shared" si="142"/>
        <v>Match</v>
      </c>
      <c r="K1846" s="24">
        <f t="shared" si="143"/>
        <v>23.03</v>
      </c>
      <c r="L1846" s="24">
        <f t="shared" si="144"/>
        <v>0</v>
      </c>
    </row>
    <row r="1847" spans="1:12" ht="15" customHeight="1" x14ac:dyDescent="0.3">
      <c r="A1847" s="23" t="s">
        <v>14607</v>
      </c>
      <c r="B1847" s="23" t="s">
        <v>77</v>
      </c>
      <c r="C1847" s="39">
        <v>799</v>
      </c>
      <c r="D1847" s="24">
        <v>15.18</v>
      </c>
      <c r="E1847" s="24">
        <v>2.73</v>
      </c>
      <c r="F1847" s="23">
        <f>COUNTIFS(mdr_rate_cleaned!$A$2:$A$10,B1847,mdr_rate_cleaned!$B$2:$B$10,"&lt;"&amp;C1847,mdr_rate_cleaned!$F$2:$F$10,"&gt;="&amp;C1847)</f>
        <v>1</v>
      </c>
      <c r="G1847" s="40">
        <f>SUMIFS(mdr_rate_cleaned!$G$2:$G$10,mdr_rate_cleaned!$A$2:$A$10,B1847,mdr_rate_cleaned!$B$2:$B$10,"&lt;"&amp;C1847,mdr_rate_cleaned!$F$2:$F$10,"&gt;="&amp;C1847)</f>
        <v>1.9E-2</v>
      </c>
      <c r="H1847" s="24">
        <f t="shared" si="140"/>
        <v>15.18</v>
      </c>
      <c r="I1847" s="23" t="str">
        <f t="shared" si="141"/>
        <v>Match</v>
      </c>
      <c r="J1847" s="23" t="str">
        <f t="shared" si="142"/>
        <v>Match</v>
      </c>
      <c r="K1847" s="24">
        <f t="shared" si="143"/>
        <v>2.73</v>
      </c>
      <c r="L1847" s="24">
        <f t="shared" si="144"/>
        <v>0</v>
      </c>
    </row>
    <row r="1848" spans="1:12" ht="15" customHeight="1" x14ac:dyDescent="0.3">
      <c r="A1848" s="23" t="s">
        <v>14608</v>
      </c>
      <c r="B1848" s="23" t="s">
        <v>75</v>
      </c>
      <c r="C1848" s="39">
        <v>499</v>
      </c>
      <c r="D1848" s="24">
        <v>0</v>
      </c>
      <c r="E1848" s="24">
        <v>0</v>
      </c>
      <c r="F1848" s="23">
        <f>COUNTIFS(mdr_rate_cleaned!$A$2:$A$10,B1848,mdr_rate_cleaned!$B$2:$B$10,"&lt;"&amp;C1848,mdr_rate_cleaned!$F$2:$F$10,"&gt;="&amp;C1848)</f>
        <v>1</v>
      </c>
      <c r="G1848" s="40">
        <f>SUMIFS(mdr_rate_cleaned!$G$2:$G$10,mdr_rate_cleaned!$A$2:$A$10,B1848,mdr_rate_cleaned!$B$2:$B$10,"&lt;"&amp;C1848,mdr_rate_cleaned!$F$2:$F$10,"&gt;="&amp;C1848)</f>
        <v>0</v>
      </c>
      <c r="H1848" s="24">
        <f t="shared" si="140"/>
        <v>0</v>
      </c>
      <c r="I1848" s="23" t="str">
        <f t="shared" si="141"/>
        <v>Match</v>
      </c>
      <c r="J1848" s="23" t="str">
        <f t="shared" si="142"/>
        <v>Match</v>
      </c>
      <c r="K1848" s="24">
        <f t="shared" si="143"/>
        <v>0</v>
      </c>
      <c r="L1848" s="24">
        <f t="shared" si="144"/>
        <v>0</v>
      </c>
    </row>
    <row r="1849" spans="1:12" ht="15" customHeight="1" x14ac:dyDescent="0.3">
      <c r="A1849" s="23" t="s">
        <v>14610</v>
      </c>
      <c r="B1849" s="23" t="s">
        <v>79</v>
      </c>
      <c r="C1849" s="39">
        <v>3499</v>
      </c>
      <c r="D1849" s="24">
        <v>55.98</v>
      </c>
      <c r="E1849" s="24">
        <v>10.08</v>
      </c>
      <c r="F1849" s="23">
        <f>COUNTIFS(mdr_rate_cleaned!$A$2:$A$10,B1849,mdr_rate_cleaned!$B$2:$B$10,"&lt;"&amp;C1849,mdr_rate_cleaned!$F$2:$F$10,"&gt;="&amp;C1849)</f>
        <v>1</v>
      </c>
      <c r="G1849" s="40">
        <f>SUMIFS(mdr_rate_cleaned!$G$2:$G$10,mdr_rate_cleaned!$A$2:$A$10,B1849,mdr_rate_cleaned!$B$2:$B$10,"&lt;"&amp;C1849,mdr_rate_cleaned!$F$2:$F$10,"&gt;="&amp;C1849)</f>
        <v>1.6E-2</v>
      </c>
      <c r="H1849" s="24">
        <f t="shared" si="140"/>
        <v>55.98</v>
      </c>
      <c r="I1849" s="23" t="str">
        <f t="shared" si="141"/>
        <v>Match</v>
      </c>
      <c r="J1849" s="23" t="str">
        <f t="shared" si="142"/>
        <v>Match</v>
      </c>
      <c r="K1849" s="24">
        <f t="shared" si="143"/>
        <v>10.08</v>
      </c>
      <c r="L1849" s="24">
        <f t="shared" si="144"/>
        <v>0</v>
      </c>
    </row>
    <row r="1850" spans="1:12" ht="15" customHeight="1" x14ac:dyDescent="0.3">
      <c r="A1850" s="23" t="s">
        <v>14611</v>
      </c>
      <c r="B1850" s="23" t="s">
        <v>79</v>
      </c>
      <c r="C1850" s="39">
        <v>1098</v>
      </c>
      <c r="D1850" s="24">
        <v>19.760000000000002</v>
      </c>
      <c r="E1850" s="24">
        <v>3.56</v>
      </c>
      <c r="F1850" s="23">
        <f>COUNTIFS(mdr_rate_cleaned!$A$2:$A$10,B1850,mdr_rate_cleaned!$B$2:$B$10,"&lt;"&amp;C1850,mdr_rate_cleaned!$F$2:$F$10,"&gt;="&amp;C1850)</f>
        <v>1</v>
      </c>
      <c r="G1850" s="40">
        <f>SUMIFS(mdr_rate_cleaned!$G$2:$G$10,mdr_rate_cleaned!$A$2:$A$10,B1850,mdr_rate_cleaned!$B$2:$B$10,"&lt;"&amp;C1850,mdr_rate_cleaned!$F$2:$F$10,"&gt;="&amp;C1850)</f>
        <v>1.8000000000000002E-2</v>
      </c>
      <c r="H1850" s="24">
        <f t="shared" si="140"/>
        <v>19.760000000000002</v>
      </c>
      <c r="I1850" s="23" t="str">
        <f t="shared" si="141"/>
        <v>Match</v>
      </c>
      <c r="J1850" s="23" t="str">
        <f t="shared" si="142"/>
        <v>Match</v>
      </c>
      <c r="K1850" s="24">
        <f t="shared" si="143"/>
        <v>3.56</v>
      </c>
      <c r="L1850" s="24">
        <f t="shared" si="144"/>
        <v>0</v>
      </c>
    </row>
    <row r="1851" spans="1:12" ht="15" customHeight="1" x14ac:dyDescent="0.3">
      <c r="A1851" s="23" t="s">
        <v>14612</v>
      </c>
      <c r="B1851" s="23" t="s">
        <v>75</v>
      </c>
      <c r="C1851" s="39">
        <v>2499</v>
      </c>
      <c r="D1851" s="24">
        <v>7.5</v>
      </c>
      <c r="E1851" s="24">
        <v>1.35</v>
      </c>
      <c r="F1851" s="23">
        <f>COUNTIFS(mdr_rate_cleaned!$A$2:$A$10,B1851,mdr_rate_cleaned!$B$2:$B$10,"&lt;"&amp;C1851,mdr_rate_cleaned!$F$2:$F$10,"&gt;="&amp;C1851)</f>
        <v>1</v>
      </c>
      <c r="G1851" s="40">
        <f>SUMIFS(mdr_rate_cleaned!$G$2:$G$10,mdr_rate_cleaned!$A$2:$A$10,B1851,mdr_rate_cleaned!$B$2:$B$10,"&lt;"&amp;C1851,mdr_rate_cleaned!$F$2:$F$10,"&gt;="&amp;C1851)</f>
        <v>3.0000000000000001E-3</v>
      </c>
      <c r="H1851" s="24">
        <f t="shared" si="140"/>
        <v>7.5</v>
      </c>
      <c r="I1851" s="23" t="str">
        <f t="shared" si="141"/>
        <v>Match</v>
      </c>
      <c r="J1851" s="23" t="str">
        <f t="shared" si="142"/>
        <v>Match</v>
      </c>
      <c r="K1851" s="24">
        <f t="shared" si="143"/>
        <v>1.35</v>
      </c>
      <c r="L1851" s="24">
        <f t="shared" si="144"/>
        <v>0</v>
      </c>
    </row>
    <row r="1852" spans="1:12" ht="15" customHeight="1" x14ac:dyDescent="0.3">
      <c r="A1852" s="23" t="s">
        <v>14613</v>
      </c>
      <c r="B1852" s="23" t="s">
        <v>75</v>
      </c>
      <c r="C1852" s="39">
        <v>1347</v>
      </c>
      <c r="D1852" s="24">
        <v>0</v>
      </c>
      <c r="E1852" s="24">
        <v>0</v>
      </c>
      <c r="F1852" s="23">
        <f>COUNTIFS(mdr_rate_cleaned!$A$2:$A$10,B1852,mdr_rate_cleaned!$B$2:$B$10,"&lt;"&amp;C1852,mdr_rate_cleaned!$F$2:$F$10,"&gt;="&amp;C1852)</f>
        <v>1</v>
      </c>
      <c r="G1852" s="40">
        <f>SUMIFS(mdr_rate_cleaned!$G$2:$G$10,mdr_rate_cleaned!$A$2:$A$10,B1852,mdr_rate_cleaned!$B$2:$B$10,"&lt;"&amp;C1852,mdr_rate_cleaned!$F$2:$F$10,"&gt;="&amp;C1852)</f>
        <v>0</v>
      </c>
      <c r="H1852" s="24">
        <f t="shared" si="140"/>
        <v>0</v>
      </c>
      <c r="I1852" s="23" t="str">
        <f t="shared" si="141"/>
        <v>Match</v>
      </c>
      <c r="J1852" s="23" t="str">
        <f t="shared" si="142"/>
        <v>Match</v>
      </c>
      <c r="K1852" s="24">
        <f t="shared" si="143"/>
        <v>0</v>
      </c>
      <c r="L1852" s="24">
        <f t="shared" si="144"/>
        <v>0</v>
      </c>
    </row>
    <row r="1853" spans="1:12" ht="15" customHeight="1" x14ac:dyDescent="0.3">
      <c r="A1853" s="23" t="s">
        <v>14614</v>
      </c>
      <c r="B1853" s="23" t="s">
        <v>75</v>
      </c>
      <c r="C1853" s="39">
        <v>8348</v>
      </c>
      <c r="D1853" s="24">
        <v>25.04</v>
      </c>
      <c r="E1853" s="24">
        <v>4.51</v>
      </c>
      <c r="F1853" s="23">
        <f>COUNTIFS(mdr_rate_cleaned!$A$2:$A$10,B1853,mdr_rate_cleaned!$B$2:$B$10,"&lt;"&amp;C1853,mdr_rate_cleaned!$F$2:$F$10,"&gt;="&amp;C1853)</f>
        <v>1</v>
      </c>
      <c r="G1853" s="40">
        <f>SUMIFS(mdr_rate_cleaned!$G$2:$G$10,mdr_rate_cleaned!$A$2:$A$10,B1853,mdr_rate_cleaned!$B$2:$B$10,"&lt;"&amp;C1853,mdr_rate_cleaned!$F$2:$F$10,"&gt;="&amp;C1853)</f>
        <v>3.0000000000000001E-3</v>
      </c>
      <c r="H1853" s="24">
        <f t="shared" si="140"/>
        <v>25.04</v>
      </c>
      <c r="I1853" s="23" t="str">
        <f t="shared" si="141"/>
        <v>Match</v>
      </c>
      <c r="J1853" s="23" t="str">
        <f t="shared" si="142"/>
        <v>Match</v>
      </c>
      <c r="K1853" s="24">
        <f t="shared" si="143"/>
        <v>4.51</v>
      </c>
      <c r="L1853" s="24">
        <f t="shared" si="144"/>
        <v>0</v>
      </c>
    </row>
    <row r="1854" spans="1:12" ht="15" customHeight="1" x14ac:dyDescent="0.3">
      <c r="A1854" s="23" t="s">
        <v>14615</v>
      </c>
      <c r="B1854" s="23" t="s">
        <v>79</v>
      </c>
      <c r="C1854" s="39">
        <v>4597</v>
      </c>
      <c r="D1854" s="24">
        <v>73.55</v>
      </c>
      <c r="E1854" s="24">
        <v>13.24</v>
      </c>
      <c r="F1854" s="23">
        <f>COUNTIFS(mdr_rate_cleaned!$A$2:$A$10,B1854,mdr_rate_cleaned!$B$2:$B$10,"&lt;"&amp;C1854,mdr_rate_cleaned!$F$2:$F$10,"&gt;="&amp;C1854)</f>
        <v>1</v>
      </c>
      <c r="G1854" s="40">
        <f>SUMIFS(mdr_rate_cleaned!$G$2:$G$10,mdr_rate_cleaned!$A$2:$A$10,B1854,mdr_rate_cleaned!$B$2:$B$10,"&lt;"&amp;C1854,mdr_rate_cleaned!$F$2:$F$10,"&gt;="&amp;C1854)</f>
        <v>1.6E-2</v>
      </c>
      <c r="H1854" s="24">
        <f t="shared" si="140"/>
        <v>73.55</v>
      </c>
      <c r="I1854" s="23" t="str">
        <f t="shared" si="141"/>
        <v>Match</v>
      </c>
      <c r="J1854" s="23" t="str">
        <f t="shared" si="142"/>
        <v>Match</v>
      </c>
      <c r="K1854" s="24">
        <f t="shared" si="143"/>
        <v>13.24</v>
      </c>
      <c r="L1854" s="24">
        <f t="shared" si="144"/>
        <v>0</v>
      </c>
    </row>
    <row r="1855" spans="1:12" ht="15" customHeight="1" x14ac:dyDescent="0.3">
      <c r="A1855" s="23" t="s">
        <v>14617</v>
      </c>
      <c r="B1855" s="23" t="s">
        <v>75</v>
      </c>
      <c r="C1855" s="39">
        <v>349</v>
      </c>
      <c r="D1855" s="24">
        <v>0</v>
      </c>
      <c r="E1855" s="24">
        <v>0</v>
      </c>
      <c r="F1855" s="23">
        <f>COUNTIFS(mdr_rate_cleaned!$A$2:$A$10,B1855,mdr_rate_cleaned!$B$2:$B$10,"&lt;"&amp;C1855,mdr_rate_cleaned!$F$2:$F$10,"&gt;="&amp;C1855)</f>
        <v>1</v>
      </c>
      <c r="G1855" s="40">
        <f>SUMIFS(mdr_rate_cleaned!$G$2:$G$10,mdr_rate_cleaned!$A$2:$A$10,B1855,mdr_rate_cleaned!$B$2:$B$10,"&lt;"&amp;C1855,mdr_rate_cleaned!$F$2:$F$10,"&gt;="&amp;C1855)</f>
        <v>0</v>
      </c>
      <c r="H1855" s="24">
        <f t="shared" si="140"/>
        <v>0</v>
      </c>
      <c r="I1855" s="23" t="str">
        <f t="shared" si="141"/>
        <v>Match</v>
      </c>
      <c r="J1855" s="23" t="str">
        <f t="shared" si="142"/>
        <v>Match</v>
      </c>
      <c r="K1855" s="24">
        <f t="shared" si="143"/>
        <v>0</v>
      </c>
      <c r="L1855" s="24">
        <f t="shared" si="144"/>
        <v>0</v>
      </c>
    </row>
    <row r="1856" spans="1:12" ht="15" customHeight="1" x14ac:dyDescent="0.3">
      <c r="A1856" s="23" t="s">
        <v>14618</v>
      </c>
      <c r="B1856" s="23" t="s">
        <v>75</v>
      </c>
      <c r="C1856" s="39">
        <v>2499</v>
      </c>
      <c r="D1856" s="24">
        <v>7.5</v>
      </c>
      <c r="E1856" s="24">
        <v>1.35</v>
      </c>
      <c r="F1856" s="23">
        <f>COUNTIFS(mdr_rate_cleaned!$A$2:$A$10,B1856,mdr_rate_cleaned!$B$2:$B$10,"&lt;"&amp;C1856,mdr_rate_cleaned!$F$2:$F$10,"&gt;="&amp;C1856)</f>
        <v>1</v>
      </c>
      <c r="G1856" s="40">
        <f>SUMIFS(mdr_rate_cleaned!$G$2:$G$10,mdr_rate_cleaned!$A$2:$A$10,B1856,mdr_rate_cleaned!$B$2:$B$10,"&lt;"&amp;C1856,mdr_rate_cleaned!$F$2:$F$10,"&gt;="&amp;C1856)</f>
        <v>3.0000000000000001E-3</v>
      </c>
      <c r="H1856" s="24">
        <f t="shared" si="140"/>
        <v>7.5</v>
      </c>
      <c r="I1856" s="23" t="str">
        <f t="shared" si="141"/>
        <v>Match</v>
      </c>
      <c r="J1856" s="23" t="str">
        <f t="shared" si="142"/>
        <v>Match</v>
      </c>
      <c r="K1856" s="24">
        <f t="shared" si="143"/>
        <v>1.35</v>
      </c>
      <c r="L1856" s="24">
        <f t="shared" si="144"/>
        <v>0</v>
      </c>
    </row>
    <row r="1857" spans="1:12" ht="15" customHeight="1" x14ac:dyDescent="0.3">
      <c r="A1857" s="23" t="s">
        <v>14620</v>
      </c>
      <c r="B1857" s="23" t="s">
        <v>75</v>
      </c>
      <c r="C1857" s="39">
        <v>4999</v>
      </c>
      <c r="D1857" s="24">
        <v>15</v>
      </c>
      <c r="E1857" s="24">
        <v>2.7</v>
      </c>
      <c r="F1857" s="23">
        <f>COUNTIFS(mdr_rate_cleaned!$A$2:$A$10,B1857,mdr_rate_cleaned!$B$2:$B$10,"&lt;"&amp;C1857,mdr_rate_cleaned!$F$2:$F$10,"&gt;="&amp;C1857)</f>
        <v>1</v>
      </c>
      <c r="G1857" s="40">
        <f>SUMIFS(mdr_rate_cleaned!$G$2:$G$10,mdr_rate_cleaned!$A$2:$A$10,B1857,mdr_rate_cleaned!$B$2:$B$10,"&lt;"&amp;C1857,mdr_rate_cleaned!$F$2:$F$10,"&gt;="&amp;C1857)</f>
        <v>3.0000000000000001E-3</v>
      </c>
      <c r="H1857" s="24">
        <f t="shared" si="140"/>
        <v>15</v>
      </c>
      <c r="I1857" s="23" t="str">
        <f t="shared" si="141"/>
        <v>Match</v>
      </c>
      <c r="J1857" s="23" t="str">
        <f t="shared" si="142"/>
        <v>Match</v>
      </c>
      <c r="K1857" s="24">
        <f t="shared" si="143"/>
        <v>2.7</v>
      </c>
      <c r="L1857" s="24">
        <f t="shared" si="144"/>
        <v>0</v>
      </c>
    </row>
    <row r="1858" spans="1:12" ht="15" customHeight="1" x14ac:dyDescent="0.3">
      <c r="A1858" s="23" t="s">
        <v>14621</v>
      </c>
      <c r="B1858" s="23" t="s">
        <v>77</v>
      </c>
      <c r="C1858" s="39">
        <v>3598</v>
      </c>
      <c r="D1858" s="24">
        <v>61.17</v>
      </c>
      <c r="E1858" s="24">
        <v>11.01</v>
      </c>
      <c r="F1858" s="23">
        <f>COUNTIFS(mdr_rate_cleaned!$A$2:$A$10,B1858,mdr_rate_cleaned!$B$2:$B$10,"&lt;"&amp;C1858,mdr_rate_cleaned!$F$2:$F$10,"&gt;="&amp;C1858)</f>
        <v>1</v>
      </c>
      <c r="G1858" s="40">
        <f>SUMIFS(mdr_rate_cleaned!$G$2:$G$10,mdr_rate_cleaned!$A$2:$A$10,B1858,mdr_rate_cleaned!$B$2:$B$10,"&lt;"&amp;C1858,mdr_rate_cleaned!$F$2:$F$10,"&gt;="&amp;C1858)</f>
        <v>1.7000000000000001E-2</v>
      </c>
      <c r="H1858" s="24">
        <f t="shared" ref="H1858:H1921" si="145">ROUND(C1858*G1858,2)</f>
        <v>61.17</v>
      </c>
      <c r="I1858" s="23" t="str">
        <f t="shared" ref="I1858:I1921" si="146">IF(ROUND(D1858-H1858,2)=0,"Match","Differs")</f>
        <v>Match</v>
      </c>
      <c r="J1858" s="23" t="str">
        <f t="shared" ref="J1858:J1921" si="147">IF(ROUND(E1858-ROUND(D1858*0.18,2),2)=0,"Match","Differs")</f>
        <v>Match</v>
      </c>
      <c r="K1858" s="24">
        <f t="shared" ref="K1858:K1921" si="148">ROUND(H1858*0.18,2)</f>
        <v>11.01</v>
      </c>
      <c r="L1858" s="24">
        <f t="shared" ref="L1858:L1921" si="149">ROUND(D1858+E1858-H1858-K1858,2)</f>
        <v>0</v>
      </c>
    </row>
    <row r="1859" spans="1:12" ht="15" customHeight="1" x14ac:dyDescent="0.3">
      <c r="A1859" s="23" t="s">
        <v>14622</v>
      </c>
      <c r="B1859" s="23" t="s">
        <v>75</v>
      </c>
      <c r="C1859" s="39">
        <v>1799</v>
      </c>
      <c r="D1859" s="24">
        <v>0</v>
      </c>
      <c r="E1859" s="24">
        <v>0</v>
      </c>
      <c r="F1859" s="23">
        <f>COUNTIFS(mdr_rate_cleaned!$A$2:$A$10,B1859,mdr_rate_cleaned!$B$2:$B$10,"&lt;"&amp;C1859,mdr_rate_cleaned!$F$2:$F$10,"&gt;="&amp;C1859)</f>
        <v>1</v>
      </c>
      <c r="G1859" s="40">
        <f>SUMIFS(mdr_rate_cleaned!$G$2:$G$10,mdr_rate_cleaned!$A$2:$A$10,B1859,mdr_rate_cleaned!$B$2:$B$10,"&lt;"&amp;C1859,mdr_rate_cleaned!$F$2:$F$10,"&gt;="&amp;C1859)</f>
        <v>0</v>
      </c>
      <c r="H1859" s="24">
        <f t="shared" si="145"/>
        <v>0</v>
      </c>
      <c r="I1859" s="23" t="str">
        <f t="shared" si="146"/>
        <v>Match</v>
      </c>
      <c r="J1859" s="23" t="str">
        <f t="shared" si="147"/>
        <v>Match</v>
      </c>
      <c r="K1859" s="24">
        <f t="shared" si="148"/>
        <v>0</v>
      </c>
      <c r="L1859" s="24">
        <f t="shared" si="149"/>
        <v>0</v>
      </c>
    </row>
    <row r="1860" spans="1:12" ht="15" customHeight="1" x14ac:dyDescent="0.3">
      <c r="A1860" s="23" t="s">
        <v>14623</v>
      </c>
      <c r="B1860" s="23" t="s">
        <v>75</v>
      </c>
      <c r="C1860" s="39">
        <v>999</v>
      </c>
      <c r="D1860" s="24">
        <v>0</v>
      </c>
      <c r="E1860" s="24">
        <v>0</v>
      </c>
      <c r="F1860" s="23">
        <f>COUNTIFS(mdr_rate_cleaned!$A$2:$A$10,B1860,mdr_rate_cleaned!$B$2:$B$10,"&lt;"&amp;C1860,mdr_rate_cleaned!$F$2:$F$10,"&gt;="&amp;C1860)</f>
        <v>1</v>
      </c>
      <c r="G1860" s="40">
        <f>SUMIFS(mdr_rate_cleaned!$G$2:$G$10,mdr_rate_cleaned!$A$2:$A$10,B1860,mdr_rate_cleaned!$B$2:$B$10,"&lt;"&amp;C1860,mdr_rate_cleaned!$F$2:$F$10,"&gt;="&amp;C1860)</f>
        <v>0</v>
      </c>
      <c r="H1860" s="24">
        <f t="shared" si="145"/>
        <v>0</v>
      </c>
      <c r="I1860" s="23" t="str">
        <f t="shared" si="146"/>
        <v>Match</v>
      </c>
      <c r="J1860" s="23" t="str">
        <f t="shared" si="147"/>
        <v>Match</v>
      </c>
      <c r="K1860" s="24">
        <f t="shared" si="148"/>
        <v>0</v>
      </c>
      <c r="L1860" s="24">
        <f t="shared" si="149"/>
        <v>0</v>
      </c>
    </row>
    <row r="1861" spans="1:12" ht="15" customHeight="1" x14ac:dyDescent="0.3">
      <c r="A1861" s="23" t="s">
        <v>14624</v>
      </c>
      <c r="B1861" s="23" t="s">
        <v>79</v>
      </c>
      <c r="C1861" s="39">
        <v>4999</v>
      </c>
      <c r="D1861" s="24">
        <v>79.98</v>
      </c>
      <c r="E1861" s="24">
        <v>14.4</v>
      </c>
      <c r="F1861" s="23">
        <f>COUNTIFS(mdr_rate_cleaned!$A$2:$A$10,B1861,mdr_rate_cleaned!$B$2:$B$10,"&lt;"&amp;C1861,mdr_rate_cleaned!$F$2:$F$10,"&gt;="&amp;C1861)</f>
        <v>1</v>
      </c>
      <c r="G1861" s="40">
        <f>SUMIFS(mdr_rate_cleaned!$G$2:$G$10,mdr_rate_cleaned!$A$2:$A$10,B1861,mdr_rate_cleaned!$B$2:$B$10,"&lt;"&amp;C1861,mdr_rate_cleaned!$F$2:$F$10,"&gt;="&amp;C1861)</f>
        <v>1.6E-2</v>
      </c>
      <c r="H1861" s="24">
        <f t="shared" si="145"/>
        <v>79.98</v>
      </c>
      <c r="I1861" s="23" t="str">
        <f t="shared" si="146"/>
        <v>Match</v>
      </c>
      <c r="J1861" s="23" t="str">
        <f t="shared" si="147"/>
        <v>Match</v>
      </c>
      <c r="K1861" s="24">
        <f t="shared" si="148"/>
        <v>14.4</v>
      </c>
      <c r="L1861" s="24">
        <f t="shared" si="149"/>
        <v>0</v>
      </c>
    </row>
    <row r="1862" spans="1:12" ht="15" customHeight="1" x14ac:dyDescent="0.3">
      <c r="A1862" s="23" t="s">
        <v>14626</v>
      </c>
      <c r="B1862" s="23" t="s">
        <v>77</v>
      </c>
      <c r="C1862" s="39">
        <v>2999</v>
      </c>
      <c r="D1862" s="24">
        <v>50.98</v>
      </c>
      <c r="E1862" s="24">
        <v>9.18</v>
      </c>
      <c r="F1862" s="23">
        <f>COUNTIFS(mdr_rate_cleaned!$A$2:$A$10,B1862,mdr_rate_cleaned!$B$2:$B$10,"&lt;"&amp;C1862,mdr_rate_cleaned!$F$2:$F$10,"&gt;="&amp;C1862)</f>
        <v>1</v>
      </c>
      <c r="G1862" s="40">
        <f>SUMIFS(mdr_rate_cleaned!$G$2:$G$10,mdr_rate_cleaned!$A$2:$A$10,B1862,mdr_rate_cleaned!$B$2:$B$10,"&lt;"&amp;C1862,mdr_rate_cleaned!$F$2:$F$10,"&gt;="&amp;C1862)</f>
        <v>1.7000000000000001E-2</v>
      </c>
      <c r="H1862" s="24">
        <f t="shared" si="145"/>
        <v>50.98</v>
      </c>
      <c r="I1862" s="23" t="str">
        <f t="shared" si="146"/>
        <v>Match</v>
      </c>
      <c r="J1862" s="23" t="str">
        <f t="shared" si="147"/>
        <v>Match</v>
      </c>
      <c r="K1862" s="24">
        <f t="shared" si="148"/>
        <v>9.18</v>
      </c>
      <c r="L1862" s="24">
        <f t="shared" si="149"/>
        <v>0</v>
      </c>
    </row>
    <row r="1863" spans="1:12" ht="15" customHeight="1" x14ac:dyDescent="0.3">
      <c r="A1863" s="23" t="s">
        <v>14627</v>
      </c>
      <c r="B1863" s="23" t="s">
        <v>79</v>
      </c>
      <c r="C1863" s="39">
        <v>5997</v>
      </c>
      <c r="D1863" s="24">
        <v>95.95</v>
      </c>
      <c r="E1863" s="24">
        <v>17.27</v>
      </c>
      <c r="F1863" s="23">
        <f>COUNTIFS(mdr_rate_cleaned!$A$2:$A$10,B1863,mdr_rate_cleaned!$B$2:$B$10,"&lt;"&amp;C1863,mdr_rate_cleaned!$F$2:$F$10,"&gt;="&amp;C1863)</f>
        <v>1</v>
      </c>
      <c r="G1863" s="40">
        <f>SUMIFS(mdr_rate_cleaned!$G$2:$G$10,mdr_rate_cleaned!$A$2:$A$10,B1863,mdr_rate_cleaned!$B$2:$B$10,"&lt;"&amp;C1863,mdr_rate_cleaned!$F$2:$F$10,"&gt;="&amp;C1863)</f>
        <v>1.6E-2</v>
      </c>
      <c r="H1863" s="24">
        <f t="shared" si="145"/>
        <v>95.95</v>
      </c>
      <c r="I1863" s="23" t="str">
        <f t="shared" si="146"/>
        <v>Match</v>
      </c>
      <c r="J1863" s="23" t="str">
        <f t="shared" si="147"/>
        <v>Match</v>
      </c>
      <c r="K1863" s="24">
        <f t="shared" si="148"/>
        <v>17.27</v>
      </c>
      <c r="L1863" s="24">
        <f t="shared" si="149"/>
        <v>0</v>
      </c>
    </row>
    <row r="1864" spans="1:12" ht="15" customHeight="1" x14ac:dyDescent="0.3">
      <c r="A1864" s="23" t="s">
        <v>14628</v>
      </c>
      <c r="B1864" s="23" t="s">
        <v>79</v>
      </c>
      <c r="C1864" s="39">
        <v>6298</v>
      </c>
      <c r="D1864" s="24">
        <v>100.77</v>
      </c>
      <c r="E1864" s="24">
        <v>18.14</v>
      </c>
      <c r="F1864" s="23">
        <f>COUNTIFS(mdr_rate_cleaned!$A$2:$A$10,B1864,mdr_rate_cleaned!$B$2:$B$10,"&lt;"&amp;C1864,mdr_rate_cleaned!$F$2:$F$10,"&gt;="&amp;C1864)</f>
        <v>1</v>
      </c>
      <c r="G1864" s="40">
        <f>SUMIFS(mdr_rate_cleaned!$G$2:$G$10,mdr_rate_cleaned!$A$2:$A$10,B1864,mdr_rate_cleaned!$B$2:$B$10,"&lt;"&amp;C1864,mdr_rate_cleaned!$F$2:$F$10,"&gt;="&amp;C1864)</f>
        <v>1.6E-2</v>
      </c>
      <c r="H1864" s="24">
        <f t="shared" si="145"/>
        <v>100.77</v>
      </c>
      <c r="I1864" s="23" t="str">
        <f t="shared" si="146"/>
        <v>Match</v>
      </c>
      <c r="J1864" s="23" t="str">
        <f t="shared" si="147"/>
        <v>Match</v>
      </c>
      <c r="K1864" s="24">
        <f t="shared" si="148"/>
        <v>18.14</v>
      </c>
      <c r="L1864" s="24">
        <f t="shared" si="149"/>
        <v>0</v>
      </c>
    </row>
    <row r="1865" spans="1:12" ht="15" customHeight="1" x14ac:dyDescent="0.3">
      <c r="A1865" s="23" t="s">
        <v>14629</v>
      </c>
      <c r="B1865" s="23" t="s">
        <v>79</v>
      </c>
      <c r="C1865" s="39">
        <v>1298</v>
      </c>
      <c r="D1865" s="24">
        <v>23.36</v>
      </c>
      <c r="E1865" s="24">
        <v>4.2</v>
      </c>
      <c r="F1865" s="23">
        <f>COUNTIFS(mdr_rate_cleaned!$A$2:$A$10,B1865,mdr_rate_cleaned!$B$2:$B$10,"&lt;"&amp;C1865,mdr_rate_cleaned!$F$2:$F$10,"&gt;="&amp;C1865)</f>
        <v>1</v>
      </c>
      <c r="G1865" s="40">
        <f>SUMIFS(mdr_rate_cleaned!$G$2:$G$10,mdr_rate_cleaned!$A$2:$A$10,B1865,mdr_rate_cleaned!$B$2:$B$10,"&lt;"&amp;C1865,mdr_rate_cleaned!$F$2:$F$10,"&gt;="&amp;C1865)</f>
        <v>1.8000000000000002E-2</v>
      </c>
      <c r="H1865" s="24">
        <f t="shared" si="145"/>
        <v>23.36</v>
      </c>
      <c r="I1865" s="23" t="str">
        <f t="shared" si="146"/>
        <v>Match</v>
      </c>
      <c r="J1865" s="23" t="str">
        <f t="shared" si="147"/>
        <v>Match</v>
      </c>
      <c r="K1865" s="24">
        <f t="shared" si="148"/>
        <v>4.2</v>
      </c>
      <c r="L1865" s="24">
        <f t="shared" si="149"/>
        <v>0</v>
      </c>
    </row>
    <row r="1866" spans="1:12" ht="15" customHeight="1" x14ac:dyDescent="0.3">
      <c r="A1866" s="23" t="s">
        <v>14630</v>
      </c>
      <c r="B1866" s="23" t="s">
        <v>79</v>
      </c>
      <c r="C1866" s="39">
        <v>6997</v>
      </c>
      <c r="D1866" s="24">
        <v>111.95</v>
      </c>
      <c r="E1866" s="24">
        <v>20.149999999999999</v>
      </c>
      <c r="F1866" s="23">
        <f>COUNTIFS(mdr_rate_cleaned!$A$2:$A$10,B1866,mdr_rate_cleaned!$B$2:$B$10,"&lt;"&amp;C1866,mdr_rate_cleaned!$F$2:$F$10,"&gt;="&amp;C1866)</f>
        <v>1</v>
      </c>
      <c r="G1866" s="40">
        <f>SUMIFS(mdr_rate_cleaned!$G$2:$G$10,mdr_rate_cleaned!$A$2:$A$10,B1866,mdr_rate_cleaned!$B$2:$B$10,"&lt;"&amp;C1866,mdr_rate_cleaned!$F$2:$F$10,"&gt;="&amp;C1866)</f>
        <v>1.6E-2</v>
      </c>
      <c r="H1866" s="24">
        <f t="shared" si="145"/>
        <v>111.95</v>
      </c>
      <c r="I1866" s="23" t="str">
        <f t="shared" si="146"/>
        <v>Match</v>
      </c>
      <c r="J1866" s="23" t="str">
        <f t="shared" si="147"/>
        <v>Match</v>
      </c>
      <c r="K1866" s="24">
        <f t="shared" si="148"/>
        <v>20.149999999999999</v>
      </c>
      <c r="L1866" s="24">
        <f t="shared" si="149"/>
        <v>0</v>
      </c>
    </row>
    <row r="1867" spans="1:12" ht="15" customHeight="1" x14ac:dyDescent="0.3">
      <c r="A1867" s="23" t="s">
        <v>14631</v>
      </c>
      <c r="B1867" s="23" t="s">
        <v>79</v>
      </c>
      <c r="C1867" s="39">
        <v>3998</v>
      </c>
      <c r="D1867" s="24">
        <v>63.97</v>
      </c>
      <c r="E1867" s="24">
        <v>11.51</v>
      </c>
      <c r="F1867" s="23">
        <f>COUNTIFS(mdr_rate_cleaned!$A$2:$A$10,B1867,mdr_rate_cleaned!$B$2:$B$10,"&lt;"&amp;C1867,mdr_rate_cleaned!$F$2:$F$10,"&gt;="&amp;C1867)</f>
        <v>1</v>
      </c>
      <c r="G1867" s="40">
        <f>SUMIFS(mdr_rate_cleaned!$G$2:$G$10,mdr_rate_cleaned!$A$2:$A$10,B1867,mdr_rate_cleaned!$B$2:$B$10,"&lt;"&amp;C1867,mdr_rate_cleaned!$F$2:$F$10,"&gt;="&amp;C1867)</f>
        <v>1.6E-2</v>
      </c>
      <c r="H1867" s="24">
        <f t="shared" si="145"/>
        <v>63.97</v>
      </c>
      <c r="I1867" s="23" t="str">
        <f t="shared" si="146"/>
        <v>Match</v>
      </c>
      <c r="J1867" s="23" t="str">
        <f t="shared" si="147"/>
        <v>Match</v>
      </c>
      <c r="K1867" s="24">
        <f t="shared" si="148"/>
        <v>11.51</v>
      </c>
      <c r="L1867" s="24">
        <f t="shared" si="149"/>
        <v>0</v>
      </c>
    </row>
    <row r="1868" spans="1:12" ht="15" customHeight="1" x14ac:dyDescent="0.3">
      <c r="A1868" s="23" t="s">
        <v>14632</v>
      </c>
      <c r="B1868" s="23" t="s">
        <v>75</v>
      </c>
      <c r="C1868" s="39">
        <v>10998</v>
      </c>
      <c r="D1868" s="24">
        <v>32.99</v>
      </c>
      <c r="E1868" s="24">
        <v>5.94</v>
      </c>
      <c r="F1868" s="23">
        <f>COUNTIFS(mdr_rate_cleaned!$A$2:$A$10,B1868,mdr_rate_cleaned!$B$2:$B$10,"&lt;"&amp;C1868,mdr_rate_cleaned!$F$2:$F$10,"&gt;="&amp;C1868)</f>
        <v>1</v>
      </c>
      <c r="G1868" s="40">
        <f>SUMIFS(mdr_rate_cleaned!$G$2:$G$10,mdr_rate_cleaned!$A$2:$A$10,B1868,mdr_rate_cleaned!$B$2:$B$10,"&lt;"&amp;C1868,mdr_rate_cleaned!$F$2:$F$10,"&gt;="&amp;C1868)</f>
        <v>3.0000000000000001E-3</v>
      </c>
      <c r="H1868" s="24">
        <f t="shared" si="145"/>
        <v>32.99</v>
      </c>
      <c r="I1868" s="23" t="str">
        <f t="shared" si="146"/>
        <v>Match</v>
      </c>
      <c r="J1868" s="23" t="str">
        <f t="shared" si="147"/>
        <v>Match</v>
      </c>
      <c r="K1868" s="24">
        <f t="shared" si="148"/>
        <v>5.94</v>
      </c>
      <c r="L1868" s="24">
        <f t="shared" si="149"/>
        <v>0</v>
      </c>
    </row>
    <row r="1869" spans="1:12" ht="15" customHeight="1" x14ac:dyDescent="0.3">
      <c r="A1869" s="23" t="s">
        <v>14633</v>
      </c>
      <c r="B1869" s="23" t="s">
        <v>81</v>
      </c>
      <c r="C1869" s="39">
        <v>2499</v>
      </c>
      <c r="D1869" s="24">
        <v>29.99</v>
      </c>
      <c r="E1869" s="24">
        <v>5.4</v>
      </c>
      <c r="F1869" s="23">
        <f>COUNTIFS(mdr_rate_cleaned!$A$2:$A$10,B1869,mdr_rate_cleaned!$B$2:$B$10,"&lt;"&amp;C1869,mdr_rate_cleaned!$F$2:$F$10,"&gt;="&amp;C1869)</f>
        <v>1</v>
      </c>
      <c r="G1869" s="40">
        <f>SUMIFS(mdr_rate_cleaned!$G$2:$G$10,mdr_rate_cleaned!$A$2:$A$10,B1869,mdr_rate_cleaned!$B$2:$B$10,"&lt;"&amp;C1869,mdr_rate_cleaned!$F$2:$F$10,"&gt;="&amp;C1869)</f>
        <v>1.2E-2</v>
      </c>
      <c r="H1869" s="24">
        <f t="shared" si="145"/>
        <v>29.99</v>
      </c>
      <c r="I1869" s="23" t="str">
        <f t="shared" si="146"/>
        <v>Match</v>
      </c>
      <c r="J1869" s="23" t="str">
        <f t="shared" si="147"/>
        <v>Match</v>
      </c>
      <c r="K1869" s="24">
        <f t="shared" si="148"/>
        <v>5.4</v>
      </c>
      <c r="L1869" s="24">
        <f t="shared" si="149"/>
        <v>0</v>
      </c>
    </row>
    <row r="1870" spans="1:12" ht="15" customHeight="1" x14ac:dyDescent="0.3">
      <c r="A1870" s="23" t="s">
        <v>14634</v>
      </c>
      <c r="B1870" s="23" t="s">
        <v>75</v>
      </c>
      <c r="C1870" s="39">
        <v>5998</v>
      </c>
      <c r="D1870" s="24">
        <v>17.989999999999998</v>
      </c>
      <c r="E1870" s="24">
        <v>3.24</v>
      </c>
      <c r="F1870" s="23">
        <f>COUNTIFS(mdr_rate_cleaned!$A$2:$A$10,B1870,mdr_rate_cleaned!$B$2:$B$10,"&lt;"&amp;C1870,mdr_rate_cleaned!$F$2:$F$10,"&gt;="&amp;C1870)</f>
        <v>1</v>
      </c>
      <c r="G1870" s="40">
        <f>SUMIFS(mdr_rate_cleaned!$G$2:$G$10,mdr_rate_cleaned!$A$2:$A$10,B1870,mdr_rate_cleaned!$B$2:$B$10,"&lt;"&amp;C1870,mdr_rate_cleaned!$F$2:$F$10,"&gt;="&amp;C1870)</f>
        <v>3.0000000000000001E-3</v>
      </c>
      <c r="H1870" s="24">
        <f t="shared" si="145"/>
        <v>17.989999999999998</v>
      </c>
      <c r="I1870" s="23" t="str">
        <f t="shared" si="146"/>
        <v>Match</v>
      </c>
      <c r="J1870" s="23" t="str">
        <f t="shared" si="147"/>
        <v>Match</v>
      </c>
      <c r="K1870" s="24">
        <f t="shared" si="148"/>
        <v>3.24</v>
      </c>
      <c r="L1870" s="24">
        <f t="shared" si="149"/>
        <v>0</v>
      </c>
    </row>
    <row r="1871" spans="1:12" ht="15" customHeight="1" x14ac:dyDescent="0.3">
      <c r="A1871" s="23" t="s">
        <v>14635</v>
      </c>
      <c r="B1871" s="23" t="s">
        <v>75</v>
      </c>
      <c r="C1871" s="39">
        <v>5348</v>
      </c>
      <c r="D1871" s="24">
        <v>16.04</v>
      </c>
      <c r="E1871" s="24">
        <v>2.89</v>
      </c>
      <c r="F1871" s="23">
        <f>COUNTIFS(mdr_rate_cleaned!$A$2:$A$10,B1871,mdr_rate_cleaned!$B$2:$B$10,"&lt;"&amp;C1871,mdr_rate_cleaned!$F$2:$F$10,"&gt;="&amp;C1871)</f>
        <v>1</v>
      </c>
      <c r="G1871" s="40">
        <f>SUMIFS(mdr_rate_cleaned!$G$2:$G$10,mdr_rate_cleaned!$A$2:$A$10,B1871,mdr_rate_cleaned!$B$2:$B$10,"&lt;"&amp;C1871,mdr_rate_cleaned!$F$2:$F$10,"&gt;="&amp;C1871)</f>
        <v>3.0000000000000001E-3</v>
      </c>
      <c r="H1871" s="24">
        <f t="shared" si="145"/>
        <v>16.04</v>
      </c>
      <c r="I1871" s="23" t="str">
        <f t="shared" si="146"/>
        <v>Match</v>
      </c>
      <c r="J1871" s="23" t="str">
        <f t="shared" si="147"/>
        <v>Match</v>
      </c>
      <c r="K1871" s="24">
        <f t="shared" si="148"/>
        <v>2.89</v>
      </c>
      <c r="L1871" s="24">
        <f t="shared" si="149"/>
        <v>0</v>
      </c>
    </row>
    <row r="1872" spans="1:12" ht="15" customHeight="1" x14ac:dyDescent="0.3">
      <c r="A1872" s="23" t="s">
        <v>14636</v>
      </c>
      <c r="B1872" s="23" t="s">
        <v>75</v>
      </c>
      <c r="C1872" s="39">
        <v>5297</v>
      </c>
      <c r="D1872" s="24">
        <v>15.89</v>
      </c>
      <c r="E1872" s="24">
        <v>2.86</v>
      </c>
      <c r="F1872" s="23">
        <f>COUNTIFS(mdr_rate_cleaned!$A$2:$A$10,B1872,mdr_rate_cleaned!$B$2:$B$10,"&lt;"&amp;C1872,mdr_rate_cleaned!$F$2:$F$10,"&gt;="&amp;C1872)</f>
        <v>1</v>
      </c>
      <c r="G1872" s="40">
        <f>SUMIFS(mdr_rate_cleaned!$G$2:$G$10,mdr_rate_cleaned!$A$2:$A$10,B1872,mdr_rate_cleaned!$B$2:$B$10,"&lt;"&amp;C1872,mdr_rate_cleaned!$F$2:$F$10,"&gt;="&amp;C1872)</f>
        <v>3.0000000000000001E-3</v>
      </c>
      <c r="H1872" s="24">
        <f t="shared" si="145"/>
        <v>15.89</v>
      </c>
      <c r="I1872" s="23" t="str">
        <f t="shared" si="146"/>
        <v>Match</v>
      </c>
      <c r="J1872" s="23" t="str">
        <f t="shared" si="147"/>
        <v>Match</v>
      </c>
      <c r="K1872" s="24">
        <f t="shared" si="148"/>
        <v>2.86</v>
      </c>
      <c r="L1872" s="24">
        <f t="shared" si="149"/>
        <v>0</v>
      </c>
    </row>
    <row r="1873" spans="1:12" ht="15" customHeight="1" x14ac:dyDescent="0.3">
      <c r="A1873" s="23" t="s">
        <v>14637</v>
      </c>
      <c r="B1873" s="23" t="s">
        <v>79</v>
      </c>
      <c r="C1873" s="39">
        <v>7498</v>
      </c>
      <c r="D1873" s="24">
        <v>119.97</v>
      </c>
      <c r="E1873" s="24">
        <v>21.59</v>
      </c>
      <c r="F1873" s="23">
        <f>COUNTIFS(mdr_rate_cleaned!$A$2:$A$10,B1873,mdr_rate_cleaned!$B$2:$B$10,"&lt;"&amp;C1873,mdr_rate_cleaned!$F$2:$F$10,"&gt;="&amp;C1873)</f>
        <v>1</v>
      </c>
      <c r="G1873" s="40">
        <f>SUMIFS(mdr_rate_cleaned!$G$2:$G$10,mdr_rate_cleaned!$A$2:$A$10,B1873,mdr_rate_cleaned!$B$2:$B$10,"&lt;"&amp;C1873,mdr_rate_cleaned!$F$2:$F$10,"&gt;="&amp;C1873)</f>
        <v>1.6E-2</v>
      </c>
      <c r="H1873" s="24">
        <f t="shared" si="145"/>
        <v>119.97</v>
      </c>
      <c r="I1873" s="23" t="str">
        <f t="shared" si="146"/>
        <v>Match</v>
      </c>
      <c r="J1873" s="23" t="str">
        <f t="shared" si="147"/>
        <v>Match</v>
      </c>
      <c r="K1873" s="24">
        <f t="shared" si="148"/>
        <v>21.59</v>
      </c>
      <c r="L1873" s="24">
        <f t="shared" si="149"/>
        <v>0</v>
      </c>
    </row>
    <row r="1874" spans="1:12" ht="15" customHeight="1" x14ac:dyDescent="0.3">
      <c r="A1874" s="23" t="s">
        <v>14638</v>
      </c>
      <c r="B1874" s="23" t="s">
        <v>75</v>
      </c>
      <c r="C1874" s="39">
        <v>999</v>
      </c>
      <c r="D1874" s="24">
        <v>0</v>
      </c>
      <c r="E1874" s="24">
        <v>0</v>
      </c>
      <c r="F1874" s="23">
        <f>COUNTIFS(mdr_rate_cleaned!$A$2:$A$10,B1874,mdr_rate_cleaned!$B$2:$B$10,"&lt;"&amp;C1874,mdr_rate_cleaned!$F$2:$F$10,"&gt;="&amp;C1874)</f>
        <v>1</v>
      </c>
      <c r="G1874" s="40">
        <f>SUMIFS(mdr_rate_cleaned!$G$2:$G$10,mdr_rate_cleaned!$A$2:$A$10,B1874,mdr_rate_cleaned!$B$2:$B$10,"&lt;"&amp;C1874,mdr_rate_cleaned!$F$2:$F$10,"&gt;="&amp;C1874)</f>
        <v>0</v>
      </c>
      <c r="H1874" s="24">
        <f t="shared" si="145"/>
        <v>0</v>
      </c>
      <c r="I1874" s="23" t="str">
        <f t="shared" si="146"/>
        <v>Match</v>
      </c>
      <c r="J1874" s="23" t="str">
        <f t="shared" si="147"/>
        <v>Match</v>
      </c>
      <c r="K1874" s="24">
        <f t="shared" si="148"/>
        <v>0</v>
      </c>
      <c r="L1874" s="24">
        <f t="shared" si="149"/>
        <v>0</v>
      </c>
    </row>
    <row r="1875" spans="1:12" ht="15" customHeight="1" x14ac:dyDescent="0.3">
      <c r="A1875" s="23" t="s">
        <v>14639</v>
      </c>
      <c r="B1875" s="23" t="s">
        <v>79</v>
      </c>
      <c r="C1875" s="39">
        <v>2097</v>
      </c>
      <c r="D1875" s="24">
        <v>33.549999999999997</v>
      </c>
      <c r="E1875" s="24">
        <v>6.04</v>
      </c>
      <c r="F1875" s="23">
        <f>COUNTIFS(mdr_rate_cleaned!$A$2:$A$10,B1875,mdr_rate_cleaned!$B$2:$B$10,"&lt;"&amp;C1875,mdr_rate_cleaned!$F$2:$F$10,"&gt;="&amp;C1875)</f>
        <v>1</v>
      </c>
      <c r="G1875" s="40">
        <f>SUMIFS(mdr_rate_cleaned!$G$2:$G$10,mdr_rate_cleaned!$A$2:$A$10,B1875,mdr_rate_cleaned!$B$2:$B$10,"&lt;"&amp;C1875,mdr_rate_cleaned!$F$2:$F$10,"&gt;="&amp;C1875)</f>
        <v>1.6E-2</v>
      </c>
      <c r="H1875" s="24">
        <f t="shared" si="145"/>
        <v>33.549999999999997</v>
      </c>
      <c r="I1875" s="23" t="str">
        <f t="shared" si="146"/>
        <v>Match</v>
      </c>
      <c r="J1875" s="23" t="str">
        <f t="shared" si="147"/>
        <v>Match</v>
      </c>
      <c r="K1875" s="24">
        <f t="shared" si="148"/>
        <v>6.04</v>
      </c>
      <c r="L1875" s="24">
        <f t="shared" si="149"/>
        <v>0</v>
      </c>
    </row>
    <row r="1876" spans="1:12" ht="15" customHeight="1" x14ac:dyDescent="0.3">
      <c r="A1876" s="23" t="s">
        <v>14640</v>
      </c>
      <c r="B1876" s="23" t="s">
        <v>79</v>
      </c>
      <c r="C1876" s="39">
        <v>5998</v>
      </c>
      <c r="D1876" s="24">
        <v>95.97</v>
      </c>
      <c r="E1876" s="24">
        <v>17.27</v>
      </c>
      <c r="F1876" s="23">
        <f>COUNTIFS(mdr_rate_cleaned!$A$2:$A$10,B1876,mdr_rate_cleaned!$B$2:$B$10,"&lt;"&amp;C1876,mdr_rate_cleaned!$F$2:$F$10,"&gt;="&amp;C1876)</f>
        <v>1</v>
      </c>
      <c r="G1876" s="40">
        <f>SUMIFS(mdr_rate_cleaned!$G$2:$G$10,mdr_rate_cleaned!$A$2:$A$10,B1876,mdr_rate_cleaned!$B$2:$B$10,"&lt;"&amp;C1876,mdr_rate_cleaned!$F$2:$F$10,"&gt;="&amp;C1876)</f>
        <v>1.6E-2</v>
      </c>
      <c r="H1876" s="24">
        <f t="shared" si="145"/>
        <v>95.97</v>
      </c>
      <c r="I1876" s="23" t="str">
        <f t="shared" si="146"/>
        <v>Match</v>
      </c>
      <c r="J1876" s="23" t="str">
        <f t="shared" si="147"/>
        <v>Match</v>
      </c>
      <c r="K1876" s="24">
        <f t="shared" si="148"/>
        <v>17.27</v>
      </c>
      <c r="L1876" s="24">
        <f t="shared" si="149"/>
        <v>0</v>
      </c>
    </row>
    <row r="1877" spans="1:12" ht="15" customHeight="1" x14ac:dyDescent="0.3">
      <c r="A1877" s="23" t="s">
        <v>14641</v>
      </c>
      <c r="B1877" s="23" t="s">
        <v>75</v>
      </c>
      <c r="C1877" s="39">
        <v>299</v>
      </c>
      <c r="D1877" s="24">
        <v>0</v>
      </c>
      <c r="E1877" s="24">
        <v>0</v>
      </c>
      <c r="F1877" s="23">
        <f>COUNTIFS(mdr_rate_cleaned!$A$2:$A$10,B1877,mdr_rate_cleaned!$B$2:$B$10,"&lt;"&amp;C1877,mdr_rate_cleaned!$F$2:$F$10,"&gt;="&amp;C1877)</f>
        <v>1</v>
      </c>
      <c r="G1877" s="40">
        <f>SUMIFS(mdr_rate_cleaned!$G$2:$G$10,mdr_rate_cleaned!$A$2:$A$10,B1877,mdr_rate_cleaned!$B$2:$B$10,"&lt;"&amp;C1877,mdr_rate_cleaned!$F$2:$F$10,"&gt;="&amp;C1877)</f>
        <v>0</v>
      </c>
      <c r="H1877" s="24">
        <f t="shared" si="145"/>
        <v>0</v>
      </c>
      <c r="I1877" s="23" t="str">
        <f t="shared" si="146"/>
        <v>Match</v>
      </c>
      <c r="J1877" s="23" t="str">
        <f t="shared" si="147"/>
        <v>Match</v>
      </c>
      <c r="K1877" s="24">
        <f t="shared" si="148"/>
        <v>0</v>
      </c>
      <c r="L1877" s="24">
        <f t="shared" si="149"/>
        <v>0</v>
      </c>
    </row>
    <row r="1878" spans="1:12" ht="15" customHeight="1" x14ac:dyDescent="0.3">
      <c r="A1878" s="23" t="s">
        <v>14642</v>
      </c>
      <c r="B1878" s="23" t="s">
        <v>75</v>
      </c>
      <c r="C1878" s="39">
        <v>599</v>
      </c>
      <c r="D1878" s="24">
        <v>0</v>
      </c>
      <c r="E1878" s="24">
        <v>0</v>
      </c>
      <c r="F1878" s="23">
        <f>COUNTIFS(mdr_rate_cleaned!$A$2:$A$10,B1878,mdr_rate_cleaned!$B$2:$B$10,"&lt;"&amp;C1878,mdr_rate_cleaned!$F$2:$F$10,"&gt;="&amp;C1878)</f>
        <v>1</v>
      </c>
      <c r="G1878" s="40">
        <f>SUMIFS(mdr_rate_cleaned!$G$2:$G$10,mdr_rate_cleaned!$A$2:$A$10,B1878,mdr_rate_cleaned!$B$2:$B$10,"&lt;"&amp;C1878,mdr_rate_cleaned!$F$2:$F$10,"&gt;="&amp;C1878)</f>
        <v>0</v>
      </c>
      <c r="H1878" s="24">
        <f t="shared" si="145"/>
        <v>0</v>
      </c>
      <c r="I1878" s="23" t="str">
        <f t="shared" si="146"/>
        <v>Match</v>
      </c>
      <c r="J1878" s="23" t="str">
        <f t="shared" si="147"/>
        <v>Match</v>
      </c>
      <c r="K1878" s="24">
        <f t="shared" si="148"/>
        <v>0</v>
      </c>
      <c r="L1878" s="24">
        <f t="shared" si="149"/>
        <v>0</v>
      </c>
    </row>
    <row r="1879" spans="1:12" ht="15" customHeight="1" x14ac:dyDescent="0.3">
      <c r="A1879" s="23" t="s">
        <v>14643</v>
      </c>
      <c r="B1879" s="23" t="s">
        <v>77</v>
      </c>
      <c r="C1879" s="39">
        <v>9597</v>
      </c>
      <c r="D1879" s="24">
        <v>163.15</v>
      </c>
      <c r="E1879" s="24">
        <v>29.37</v>
      </c>
      <c r="F1879" s="23">
        <f>COUNTIFS(mdr_rate_cleaned!$A$2:$A$10,B1879,mdr_rate_cleaned!$B$2:$B$10,"&lt;"&amp;C1879,mdr_rate_cleaned!$F$2:$F$10,"&gt;="&amp;C1879)</f>
        <v>1</v>
      </c>
      <c r="G1879" s="40">
        <f>SUMIFS(mdr_rate_cleaned!$G$2:$G$10,mdr_rate_cleaned!$A$2:$A$10,B1879,mdr_rate_cleaned!$B$2:$B$10,"&lt;"&amp;C1879,mdr_rate_cleaned!$F$2:$F$10,"&gt;="&amp;C1879)</f>
        <v>1.7000000000000001E-2</v>
      </c>
      <c r="H1879" s="24">
        <f t="shared" si="145"/>
        <v>163.15</v>
      </c>
      <c r="I1879" s="23" t="str">
        <f t="shared" si="146"/>
        <v>Match</v>
      </c>
      <c r="J1879" s="23" t="str">
        <f t="shared" si="147"/>
        <v>Match</v>
      </c>
      <c r="K1879" s="24">
        <f t="shared" si="148"/>
        <v>29.37</v>
      </c>
      <c r="L1879" s="24">
        <f t="shared" si="149"/>
        <v>0</v>
      </c>
    </row>
    <row r="1880" spans="1:12" ht="15" customHeight="1" x14ac:dyDescent="0.3">
      <c r="A1880" s="23" t="s">
        <v>14644</v>
      </c>
      <c r="B1880" s="23" t="s">
        <v>79</v>
      </c>
      <c r="C1880" s="39">
        <v>1799</v>
      </c>
      <c r="D1880" s="24">
        <v>32.380000000000003</v>
      </c>
      <c r="E1880" s="24">
        <v>5.83</v>
      </c>
      <c r="F1880" s="23">
        <f>COUNTIFS(mdr_rate_cleaned!$A$2:$A$10,B1880,mdr_rate_cleaned!$B$2:$B$10,"&lt;"&amp;C1880,mdr_rate_cleaned!$F$2:$F$10,"&gt;="&amp;C1880)</f>
        <v>1</v>
      </c>
      <c r="G1880" s="40">
        <f>SUMIFS(mdr_rate_cleaned!$G$2:$G$10,mdr_rate_cleaned!$A$2:$A$10,B1880,mdr_rate_cleaned!$B$2:$B$10,"&lt;"&amp;C1880,mdr_rate_cleaned!$F$2:$F$10,"&gt;="&amp;C1880)</f>
        <v>1.8000000000000002E-2</v>
      </c>
      <c r="H1880" s="24">
        <f t="shared" si="145"/>
        <v>32.380000000000003</v>
      </c>
      <c r="I1880" s="23" t="str">
        <f t="shared" si="146"/>
        <v>Match</v>
      </c>
      <c r="J1880" s="23" t="str">
        <f t="shared" si="147"/>
        <v>Match</v>
      </c>
      <c r="K1880" s="24">
        <f t="shared" si="148"/>
        <v>5.83</v>
      </c>
      <c r="L1880" s="24">
        <f t="shared" si="149"/>
        <v>0</v>
      </c>
    </row>
    <row r="1881" spans="1:12" ht="15" customHeight="1" x14ac:dyDescent="0.3">
      <c r="A1881" s="23" t="s">
        <v>14645</v>
      </c>
      <c r="B1881" s="23" t="s">
        <v>75</v>
      </c>
      <c r="C1881" s="39">
        <v>349</v>
      </c>
      <c r="D1881" s="24">
        <v>0</v>
      </c>
      <c r="E1881" s="24">
        <v>0</v>
      </c>
      <c r="F1881" s="23">
        <f>COUNTIFS(mdr_rate_cleaned!$A$2:$A$10,B1881,mdr_rate_cleaned!$B$2:$B$10,"&lt;"&amp;C1881,mdr_rate_cleaned!$F$2:$F$10,"&gt;="&amp;C1881)</f>
        <v>1</v>
      </c>
      <c r="G1881" s="40">
        <f>SUMIFS(mdr_rate_cleaned!$G$2:$G$10,mdr_rate_cleaned!$A$2:$A$10,B1881,mdr_rate_cleaned!$B$2:$B$10,"&lt;"&amp;C1881,mdr_rate_cleaned!$F$2:$F$10,"&gt;="&amp;C1881)</f>
        <v>0</v>
      </c>
      <c r="H1881" s="24">
        <f t="shared" si="145"/>
        <v>0</v>
      </c>
      <c r="I1881" s="23" t="str">
        <f t="shared" si="146"/>
        <v>Match</v>
      </c>
      <c r="J1881" s="23" t="str">
        <f t="shared" si="147"/>
        <v>Match</v>
      </c>
      <c r="K1881" s="24">
        <f t="shared" si="148"/>
        <v>0</v>
      </c>
      <c r="L1881" s="24">
        <f t="shared" si="149"/>
        <v>0</v>
      </c>
    </row>
    <row r="1882" spans="1:12" ht="15" customHeight="1" x14ac:dyDescent="0.3">
      <c r="A1882" s="23" t="s">
        <v>14646</v>
      </c>
      <c r="B1882" s="23" t="s">
        <v>75</v>
      </c>
      <c r="C1882" s="39">
        <v>7498</v>
      </c>
      <c r="D1882" s="24">
        <v>22.49</v>
      </c>
      <c r="E1882" s="24">
        <v>4.05</v>
      </c>
      <c r="F1882" s="23">
        <f>COUNTIFS(mdr_rate_cleaned!$A$2:$A$10,B1882,mdr_rate_cleaned!$B$2:$B$10,"&lt;"&amp;C1882,mdr_rate_cleaned!$F$2:$F$10,"&gt;="&amp;C1882)</f>
        <v>1</v>
      </c>
      <c r="G1882" s="40">
        <f>SUMIFS(mdr_rate_cleaned!$G$2:$G$10,mdr_rate_cleaned!$A$2:$A$10,B1882,mdr_rate_cleaned!$B$2:$B$10,"&lt;"&amp;C1882,mdr_rate_cleaned!$F$2:$F$10,"&gt;="&amp;C1882)</f>
        <v>3.0000000000000001E-3</v>
      </c>
      <c r="H1882" s="24">
        <f t="shared" si="145"/>
        <v>22.49</v>
      </c>
      <c r="I1882" s="23" t="str">
        <f t="shared" si="146"/>
        <v>Match</v>
      </c>
      <c r="J1882" s="23" t="str">
        <f t="shared" si="147"/>
        <v>Match</v>
      </c>
      <c r="K1882" s="24">
        <f t="shared" si="148"/>
        <v>4.05</v>
      </c>
      <c r="L1882" s="24">
        <f t="shared" si="149"/>
        <v>0</v>
      </c>
    </row>
    <row r="1883" spans="1:12" ht="15" customHeight="1" x14ac:dyDescent="0.3">
      <c r="A1883" s="23" t="s">
        <v>14647</v>
      </c>
      <c r="B1883" s="23" t="s">
        <v>77</v>
      </c>
      <c r="C1883" s="39">
        <v>799</v>
      </c>
      <c r="D1883" s="24">
        <v>15.18</v>
      </c>
      <c r="E1883" s="24">
        <v>2.73</v>
      </c>
      <c r="F1883" s="23">
        <f>COUNTIFS(mdr_rate_cleaned!$A$2:$A$10,B1883,mdr_rate_cleaned!$B$2:$B$10,"&lt;"&amp;C1883,mdr_rate_cleaned!$F$2:$F$10,"&gt;="&amp;C1883)</f>
        <v>1</v>
      </c>
      <c r="G1883" s="40">
        <f>SUMIFS(mdr_rate_cleaned!$G$2:$G$10,mdr_rate_cleaned!$A$2:$A$10,B1883,mdr_rate_cleaned!$B$2:$B$10,"&lt;"&amp;C1883,mdr_rate_cleaned!$F$2:$F$10,"&gt;="&amp;C1883)</f>
        <v>1.9E-2</v>
      </c>
      <c r="H1883" s="24">
        <f t="shared" si="145"/>
        <v>15.18</v>
      </c>
      <c r="I1883" s="23" t="str">
        <f t="shared" si="146"/>
        <v>Match</v>
      </c>
      <c r="J1883" s="23" t="str">
        <f t="shared" si="147"/>
        <v>Match</v>
      </c>
      <c r="K1883" s="24">
        <f t="shared" si="148"/>
        <v>2.73</v>
      </c>
      <c r="L1883" s="24">
        <f t="shared" si="149"/>
        <v>0</v>
      </c>
    </row>
    <row r="1884" spans="1:12" ht="15" customHeight="1" x14ac:dyDescent="0.3">
      <c r="A1884" s="23" t="s">
        <v>14649</v>
      </c>
      <c r="B1884" s="23" t="s">
        <v>79</v>
      </c>
      <c r="C1884" s="39">
        <v>2999</v>
      </c>
      <c r="D1884" s="24">
        <v>47.98</v>
      </c>
      <c r="E1884" s="24">
        <v>8.64</v>
      </c>
      <c r="F1884" s="23">
        <f>COUNTIFS(mdr_rate_cleaned!$A$2:$A$10,B1884,mdr_rate_cleaned!$B$2:$B$10,"&lt;"&amp;C1884,mdr_rate_cleaned!$F$2:$F$10,"&gt;="&amp;C1884)</f>
        <v>1</v>
      </c>
      <c r="G1884" s="40">
        <f>SUMIFS(mdr_rate_cleaned!$G$2:$G$10,mdr_rate_cleaned!$A$2:$A$10,B1884,mdr_rate_cleaned!$B$2:$B$10,"&lt;"&amp;C1884,mdr_rate_cleaned!$F$2:$F$10,"&gt;="&amp;C1884)</f>
        <v>1.6E-2</v>
      </c>
      <c r="H1884" s="24">
        <f t="shared" si="145"/>
        <v>47.98</v>
      </c>
      <c r="I1884" s="23" t="str">
        <f t="shared" si="146"/>
        <v>Match</v>
      </c>
      <c r="J1884" s="23" t="str">
        <f t="shared" si="147"/>
        <v>Match</v>
      </c>
      <c r="K1884" s="24">
        <f t="shared" si="148"/>
        <v>8.64</v>
      </c>
      <c r="L1884" s="24">
        <f t="shared" si="149"/>
        <v>0</v>
      </c>
    </row>
    <row r="1885" spans="1:12" ht="15" customHeight="1" x14ac:dyDescent="0.3">
      <c r="A1885" s="23" t="s">
        <v>14651</v>
      </c>
      <c r="B1885" s="23" t="s">
        <v>75</v>
      </c>
      <c r="C1885" s="39">
        <v>299</v>
      </c>
      <c r="D1885" s="24">
        <v>0</v>
      </c>
      <c r="E1885" s="24">
        <v>0</v>
      </c>
      <c r="F1885" s="23">
        <f>COUNTIFS(mdr_rate_cleaned!$A$2:$A$10,B1885,mdr_rate_cleaned!$B$2:$B$10,"&lt;"&amp;C1885,mdr_rate_cleaned!$F$2:$F$10,"&gt;="&amp;C1885)</f>
        <v>1</v>
      </c>
      <c r="G1885" s="40">
        <f>SUMIFS(mdr_rate_cleaned!$G$2:$G$10,mdr_rate_cleaned!$A$2:$A$10,B1885,mdr_rate_cleaned!$B$2:$B$10,"&lt;"&amp;C1885,mdr_rate_cleaned!$F$2:$F$10,"&gt;="&amp;C1885)</f>
        <v>0</v>
      </c>
      <c r="H1885" s="24">
        <f t="shared" si="145"/>
        <v>0</v>
      </c>
      <c r="I1885" s="23" t="str">
        <f t="shared" si="146"/>
        <v>Match</v>
      </c>
      <c r="J1885" s="23" t="str">
        <f t="shared" si="147"/>
        <v>Match</v>
      </c>
      <c r="K1885" s="24">
        <f t="shared" si="148"/>
        <v>0</v>
      </c>
      <c r="L1885" s="24">
        <f t="shared" si="149"/>
        <v>0</v>
      </c>
    </row>
    <row r="1886" spans="1:12" ht="15" customHeight="1" x14ac:dyDescent="0.3">
      <c r="A1886" s="23" t="s">
        <v>14652</v>
      </c>
      <c r="B1886" s="23" t="s">
        <v>77</v>
      </c>
      <c r="C1886" s="39">
        <v>1299</v>
      </c>
      <c r="D1886" s="24">
        <v>24.68</v>
      </c>
      <c r="E1886" s="24">
        <v>4.4400000000000004</v>
      </c>
      <c r="F1886" s="23">
        <f>COUNTIFS(mdr_rate_cleaned!$A$2:$A$10,B1886,mdr_rate_cleaned!$B$2:$B$10,"&lt;"&amp;C1886,mdr_rate_cleaned!$F$2:$F$10,"&gt;="&amp;C1886)</f>
        <v>1</v>
      </c>
      <c r="G1886" s="40">
        <f>SUMIFS(mdr_rate_cleaned!$G$2:$G$10,mdr_rate_cleaned!$A$2:$A$10,B1886,mdr_rate_cleaned!$B$2:$B$10,"&lt;"&amp;C1886,mdr_rate_cleaned!$F$2:$F$10,"&gt;="&amp;C1886)</f>
        <v>1.9E-2</v>
      </c>
      <c r="H1886" s="24">
        <f t="shared" si="145"/>
        <v>24.68</v>
      </c>
      <c r="I1886" s="23" t="str">
        <f t="shared" si="146"/>
        <v>Match</v>
      </c>
      <c r="J1886" s="23" t="str">
        <f t="shared" si="147"/>
        <v>Match</v>
      </c>
      <c r="K1886" s="24">
        <f t="shared" si="148"/>
        <v>4.4400000000000004</v>
      </c>
      <c r="L1886" s="24">
        <f t="shared" si="149"/>
        <v>0</v>
      </c>
    </row>
    <row r="1887" spans="1:12" ht="15" customHeight="1" x14ac:dyDescent="0.3">
      <c r="A1887" s="23" t="s">
        <v>14653</v>
      </c>
      <c r="B1887" s="23" t="s">
        <v>79</v>
      </c>
      <c r="C1887" s="39">
        <v>499</v>
      </c>
      <c r="D1887" s="24">
        <v>8.98</v>
      </c>
      <c r="E1887" s="24">
        <v>1.62</v>
      </c>
      <c r="F1887" s="23">
        <f>COUNTIFS(mdr_rate_cleaned!$A$2:$A$10,B1887,mdr_rate_cleaned!$B$2:$B$10,"&lt;"&amp;C1887,mdr_rate_cleaned!$F$2:$F$10,"&gt;="&amp;C1887)</f>
        <v>1</v>
      </c>
      <c r="G1887" s="40">
        <f>SUMIFS(mdr_rate_cleaned!$G$2:$G$10,mdr_rate_cleaned!$A$2:$A$10,B1887,mdr_rate_cleaned!$B$2:$B$10,"&lt;"&amp;C1887,mdr_rate_cleaned!$F$2:$F$10,"&gt;="&amp;C1887)</f>
        <v>1.8000000000000002E-2</v>
      </c>
      <c r="H1887" s="24">
        <f t="shared" si="145"/>
        <v>8.98</v>
      </c>
      <c r="I1887" s="23" t="str">
        <f t="shared" si="146"/>
        <v>Match</v>
      </c>
      <c r="J1887" s="23" t="str">
        <f t="shared" si="147"/>
        <v>Match</v>
      </c>
      <c r="K1887" s="24">
        <f t="shared" si="148"/>
        <v>1.62</v>
      </c>
      <c r="L1887" s="24">
        <f t="shared" si="149"/>
        <v>0</v>
      </c>
    </row>
    <row r="1888" spans="1:12" ht="15" customHeight="1" x14ac:dyDescent="0.3">
      <c r="A1888" s="23" t="s">
        <v>14654</v>
      </c>
      <c r="B1888" s="23" t="s">
        <v>75</v>
      </c>
      <c r="C1888" s="39">
        <v>8097</v>
      </c>
      <c r="D1888" s="24">
        <v>24.29</v>
      </c>
      <c r="E1888" s="24">
        <v>4.37</v>
      </c>
      <c r="F1888" s="23">
        <f>COUNTIFS(mdr_rate_cleaned!$A$2:$A$10,B1888,mdr_rate_cleaned!$B$2:$B$10,"&lt;"&amp;C1888,mdr_rate_cleaned!$F$2:$F$10,"&gt;="&amp;C1888)</f>
        <v>1</v>
      </c>
      <c r="G1888" s="40">
        <f>SUMIFS(mdr_rate_cleaned!$G$2:$G$10,mdr_rate_cleaned!$A$2:$A$10,B1888,mdr_rate_cleaned!$B$2:$B$10,"&lt;"&amp;C1888,mdr_rate_cleaned!$F$2:$F$10,"&gt;="&amp;C1888)</f>
        <v>3.0000000000000001E-3</v>
      </c>
      <c r="H1888" s="24">
        <f t="shared" si="145"/>
        <v>24.29</v>
      </c>
      <c r="I1888" s="23" t="str">
        <f t="shared" si="146"/>
        <v>Match</v>
      </c>
      <c r="J1888" s="23" t="str">
        <f t="shared" si="147"/>
        <v>Match</v>
      </c>
      <c r="K1888" s="24">
        <f t="shared" si="148"/>
        <v>4.37</v>
      </c>
      <c r="L1888" s="24">
        <f t="shared" si="149"/>
        <v>0</v>
      </c>
    </row>
    <row r="1889" spans="1:12" ht="15" customHeight="1" x14ac:dyDescent="0.3">
      <c r="A1889" s="23" t="s">
        <v>14655</v>
      </c>
      <c r="B1889" s="23" t="s">
        <v>79</v>
      </c>
      <c r="C1889" s="39">
        <v>3298</v>
      </c>
      <c r="D1889" s="24">
        <v>52.77</v>
      </c>
      <c r="E1889" s="24">
        <v>9.5</v>
      </c>
      <c r="F1889" s="23">
        <f>COUNTIFS(mdr_rate_cleaned!$A$2:$A$10,B1889,mdr_rate_cleaned!$B$2:$B$10,"&lt;"&amp;C1889,mdr_rate_cleaned!$F$2:$F$10,"&gt;="&amp;C1889)</f>
        <v>1</v>
      </c>
      <c r="G1889" s="40">
        <f>SUMIFS(mdr_rate_cleaned!$G$2:$G$10,mdr_rate_cleaned!$A$2:$A$10,B1889,mdr_rate_cleaned!$B$2:$B$10,"&lt;"&amp;C1889,mdr_rate_cleaned!$F$2:$F$10,"&gt;="&amp;C1889)</f>
        <v>1.6E-2</v>
      </c>
      <c r="H1889" s="24">
        <f t="shared" si="145"/>
        <v>52.77</v>
      </c>
      <c r="I1889" s="23" t="str">
        <f t="shared" si="146"/>
        <v>Match</v>
      </c>
      <c r="J1889" s="23" t="str">
        <f t="shared" si="147"/>
        <v>Match</v>
      </c>
      <c r="K1889" s="24">
        <f t="shared" si="148"/>
        <v>9.5</v>
      </c>
      <c r="L1889" s="24">
        <f t="shared" si="149"/>
        <v>0</v>
      </c>
    </row>
    <row r="1890" spans="1:12" ht="15" customHeight="1" x14ac:dyDescent="0.3">
      <c r="A1890" s="23" t="s">
        <v>14656</v>
      </c>
      <c r="B1890" s="23" t="s">
        <v>79</v>
      </c>
      <c r="C1890" s="39">
        <v>2499</v>
      </c>
      <c r="D1890" s="24">
        <v>39.979999999999997</v>
      </c>
      <c r="E1890" s="24">
        <v>7.2</v>
      </c>
      <c r="F1890" s="23">
        <f>COUNTIFS(mdr_rate_cleaned!$A$2:$A$10,B1890,mdr_rate_cleaned!$B$2:$B$10,"&lt;"&amp;C1890,mdr_rate_cleaned!$F$2:$F$10,"&gt;="&amp;C1890)</f>
        <v>1</v>
      </c>
      <c r="G1890" s="40">
        <f>SUMIFS(mdr_rate_cleaned!$G$2:$G$10,mdr_rate_cleaned!$A$2:$A$10,B1890,mdr_rate_cleaned!$B$2:$B$10,"&lt;"&amp;C1890,mdr_rate_cleaned!$F$2:$F$10,"&gt;="&amp;C1890)</f>
        <v>1.6E-2</v>
      </c>
      <c r="H1890" s="24">
        <f t="shared" si="145"/>
        <v>39.979999999999997</v>
      </c>
      <c r="I1890" s="23" t="str">
        <f t="shared" si="146"/>
        <v>Match</v>
      </c>
      <c r="J1890" s="23" t="str">
        <f t="shared" si="147"/>
        <v>Match</v>
      </c>
      <c r="K1890" s="24">
        <f t="shared" si="148"/>
        <v>7.2</v>
      </c>
      <c r="L1890" s="24">
        <f t="shared" si="149"/>
        <v>0</v>
      </c>
    </row>
    <row r="1891" spans="1:12" ht="15" customHeight="1" x14ac:dyDescent="0.3">
      <c r="A1891" s="23" t="s">
        <v>14658</v>
      </c>
      <c r="B1891" s="23" t="s">
        <v>75</v>
      </c>
      <c r="C1891" s="39">
        <v>798</v>
      </c>
      <c r="D1891" s="24">
        <v>0</v>
      </c>
      <c r="E1891" s="24">
        <v>0</v>
      </c>
      <c r="F1891" s="23">
        <f>COUNTIFS(mdr_rate_cleaned!$A$2:$A$10,B1891,mdr_rate_cleaned!$B$2:$B$10,"&lt;"&amp;C1891,mdr_rate_cleaned!$F$2:$F$10,"&gt;="&amp;C1891)</f>
        <v>1</v>
      </c>
      <c r="G1891" s="40">
        <f>SUMIFS(mdr_rate_cleaned!$G$2:$G$10,mdr_rate_cleaned!$A$2:$A$10,B1891,mdr_rate_cleaned!$B$2:$B$10,"&lt;"&amp;C1891,mdr_rate_cleaned!$F$2:$F$10,"&gt;="&amp;C1891)</f>
        <v>0</v>
      </c>
      <c r="H1891" s="24">
        <f t="shared" si="145"/>
        <v>0</v>
      </c>
      <c r="I1891" s="23" t="str">
        <f t="shared" si="146"/>
        <v>Match</v>
      </c>
      <c r="J1891" s="23" t="str">
        <f t="shared" si="147"/>
        <v>Match</v>
      </c>
      <c r="K1891" s="24">
        <f t="shared" si="148"/>
        <v>0</v>
      </c>
      <c r="L1891" s="24">
        <f t="shared" si="149"/>
        <v>0</v>
      </c>
    </row>
    <row r="1892" spans="1:12" ht="15" customHeight="1" x14ac:dyDescent="0.3">
      <c r="A1892" s="23" t="s">
        <v>14659</v>
      </c>
      <c r="B1892" s="23" t="s">
        <v>75</v>
      </c>
      <c r="C1892" s="39">
        <v>499</v>
      </c>
      <c r="D1892" s="24">
        <v>0</v>
      </c>
      <c r="E1892" s="24">
        <v>0</v>
      </c>
      <c r="F1892" s="23">
        <f>COUNTIFS(mdr_rate_cleaned!$A$2:$A$10,B1892,mdr_rate_cleaned!$B$2:$B$10,"&lt;"&amp;C1892,mdr_rate_cleaned!$F$2:$F$10,"&gt;="&amp;C1892)</f>
        <v>1</v>
      </c>
      <c r="G1892" s="40">
        <f>SUMIFS(mdr_rate_cleaned!$G$2:$G$10,mdr_rate_cleaned!$A$2:$A$10,B1892,mdr_rate_cleaned!$B$2:$B$10,"&lt;"&amp;C1892,mdr_rate_cleaned!$F$2:$F$10,"&gt;="&amp;C1892)</f>
        <v>0</v>
      </c>
      <c r="H1892" s="24">
        <f t="shared" si="145"/>
        <v>0</v>
      </c>
      <c r="I1892" s="23" t="str">
        <f t="shared" si="146"/>
        <v>Match</v>
      </c>
      <c r="J1892" s="23" t="str">
        <f t="shared" si="147"/>
        <v>Match</v>
      </c>
      <c r="K1892" s="24">
        <f t="shared" si="148"/>
        <v>0</v>
      </c>
      <c r="L1892" s="24">
        <f t="shared" si="149"/>
        <v>0</v>
      </c>
    </row>
    <row r="1893" spans="1:12" ht="15" customHeight="1" x14ac:dyDescent="0.3">
      <c r="A1893" s="23" t="s">
        <v>14660</v>
      </c>
      <c r="B1893" s="23" t="s">
        <v>75</v>
      </c>
      <c r="C1893" s="39">
        <v>7498</v>
      </c>
      <c r="D1893" s="24">
        <v>22.49</v>
      </c>
      <c r="E1893" s="24">
        <v>4.05</v>
      </c>
      <c r="F1893" s="23">
        <f>COUNTIFS(mdr_rate_cleaned!$A$2:$A$10,B1893,mdr_rate_cleaned!$B$2:$B$10,"&lt;"&amp;C1893,mdr_rate_cleaned!$F$2:$F$10,"&gt;="&amp;C1893)</f>
        <v>1</v>
      </c>
      <c r="G1893" s="40">
        <f>SUMIFS(mdr_rate_cleaned!$G$2:$G$10,mdr_rate_cleaned!$A$2:$A$10,B1893,mdr_rate_cleaned!$B$2:$B$10,"&lt;"&amp;C1893,mdr_rate_cleaned!$F$2:$F$10,"&gt;="&amp;C1893)</f>
        <v>3.0000000000000001E-3</v>
      </c>
      <c r="H1893" s="24">
        <f t="shared" si="145"/>
        <v>22.49</v>
      </c>
      <c r="I1893" s="23" t="str">
        <f t="shared" si="146"/>
        <v>Match</v>
      </c>
      <c r="J1893" s="23" t="str">
        <f t="shared" si="147"/>
        <v>Match</v>
      </c>
      <c r="K1893" s="24">
        <f t="shared" si="148"/>
        <v>4.05</v>
      </c>
      <c r="L1893" s="24">
        <f t="shared" si="149"/>
        <v>0</v>
      </c>
    </row>
    <row r="1894" spans="1:12" ht="15" customHeight="1" x14ac:dyDescent="0.3">
      <c r="A1894" s="23" t="s">
        <v>14662</v>
      </c>
      <c r="B1894" s="23" t="s">
        <v>75</v>
      </c>
      <c r="C1894" s="39">
        <v>999</v>
      </c>
      <c r="D1894" s="24">
        <v>0</v>
      </c>
      <c r="E1894" s="24">
        <v>0</v>
      </c>
      <c r="F1894" s="23">
        <f>COUNTIFS(mdr_rate_cleaned!$A$2:$A$10,B1894,mdr_rate_cleaned!$B$2:$B$10,"&lt;"&amp;C1894,mdr_rate_cleaned!$F$2:$F$10,"&gt;="&amp;C1894)</f>
        <v>1</v>
      </c>
      <c r="G1894" s="40">
        <f>SUMIFS(mdr_rate_cleaned!$G$2:$G$10,mdr_rate_cleaned!$A$2:$A$10,B1894,mdr_rate_cleaned!$B$2:$B$10,"&lt;"&amp;C1894,mdr_rate_cleaned!$F$2:$F$10,"&gt;="&amp;C1894)</f>
        <v>0</v>
      </c>
      <c r="H1894" s="24">
        <f t="shared" si="145"/>
        <v>0</v>
      </c>
      <c r="I1894" s="23" t="str">
        <f t="shared" si="146"/>
        <v>Match</v>
      </c>
      <c r="J1894" s="23" t="str">
        <f t="shared" si="147"/>
        <v>Match</v>
      </c>
      <c r="K1894" s="24">
        <f t="shared" si="148"/>
        <v>0</v>
      </c>
      <c r="L1894" s="24">
        <f t="shared" si="149"/>
        <v>0</v>
      </c>
    </row>
    <row r="1895" spans="1:12" ht="15" customHeight="1" x14ac:dyDescent="0.3">
      <c r="A1895" s="23" t="s">
        <v>14664</v>
      </c>
      <c r="B1895" s="23" t="s">
        <v>79</v>
      </c>
      <c r="C1895" s="39">
        <v>5597</v>
      </c>
      <c r="D1895" s="24">
        <v>89.55</v>
      </c>
      <c r="E1895" s="24">
        <v>16.12</v>
      </c>
      <c r="F1895" s="23">
        <f>COUNTIFS(mdr_rate_cleaned!$A$2:$A$10,B1895,mdr_rate_cleaned!$B$2:$B$10,"&lt;"&amp;C1895,mdr_rate_cleaned!$F$2:$F$10,"&gt;="&amp;C1895)</f>
        <v>1</v>
      </c>
      <c r="G1895" s="40">
        <f>SUMIFS(mdr_rate_cleaned!$G$2:$G$10,mdr_rate_cleaned!$A$2:$A$10,B1895,mdr_rate_cleaned!$B$2:$B$10,"&lt;"&amp;C1895,mdr_rate_cleaned!$F$2:$F$10,"&gt;="&amp;C1895)</f>
        <v>1.6E-2</v>
      </c>
      <c r="H1895" s="24">
        <f t="shared" si="145"/>
        <v>89.55</v>
      </c>
      <c r="I1895" s="23" t="str">
        <f t="shared" si="146"/>
        <v>Match</v>
      </c>
      <c r="J1895" s="23" t="str">
        <f t="shared" si="147"/>
        <v>Match</v>
      </c>
      <c r="K1895" s="24">
        <f t="shared" si="148"/>
        <v>16.12</v>
      </c>
      <c r="L1895" s="24">
        <f t="shared" si="149"/>
        <v>0</v>
      </c>
    </row>
    <row r="1896" spans="1:12" ht="15" customHeight="1" x14ac:dyDescent="0.3">
      <c r="A1896" s="23" t="s">
        <v>14665</v>
      </c>
      <c r="B1896" s="23" t="s">
        <v>75</v>
      </c>
      <c r="C1896" s="39">
        <v>1499</v>
      </c>
      <c r="D1896" s="24">
        <v>0</v>
      </c>
      <c r="E1896" s="24">
        <v>0</v>
      </c>
      <c r="F1896" s="23">
        <f>COUNTIFS(mdr_rate_cleaned!$A$2:$A$10,B1896,mdr_rate_cleaned!$B$2:$B$10,"&lt;"&amp;C1896,mdr_rate_cleaned!$F$2:$F$10,"&gt;="&amp;C1896)</f>
        <v>1</v>
      </c>
      <c r="G1896" s="40">
        <f>SUMIFS(mdr_rate_cleaned!$G$2:$G$10,mdr_rate_cleaned!$A$2:$A$10,B1896,mdr_rate_cleaned!$B$2:$B$10,"&lt;"&amp;C1896,mdr_rate_cleaned!$F$2:$F$10,"&gt;="&amp;C1896)</f>
        <v>0</v>
      </c>
      <c r="H1896" s="24">
        <f t="shared" si="145"/>
        <v>0</v>
      </c>
      <c r="I1896" s="23" t="str">
        <f t="shared" si="146"/>
        <v>Match</v>
      </c>
      <c r="J1896" s="23" t="str">
        <f t="shared" si="147"/>
        <v>Match</v>
      </c>
      <c r="K1896" s="24">
        <f t="shared" si="148"/>
        <v>0</v>
      </c>
      <c r="L1896" s="24">
        <f t="shared" si="149"/>
        <v>0</v>
      </c>
    </row>
    <row r="1897" spans="1:12" ht="15" customHeight="1" x14ac:dyDescent="0.3">
      <c r="A1897" s="23" t="s">
        <v>14666</v>
      </c>
      <c r="B1897" s="23" t="s">
        <v>81</v>
      </c>
      <c r="C1897" s="39">
        <v>2499</v>
      </c>
      <c r="D1897" s="24">
        <v>29.99</v>
      </c>
      <c r="E1897" s="24">
        <v>5.4</v>
      </c>
      <c r="F1897" s="23">
        <f>COUNTIFS(mdr_rate_cleaned!$A$2:$A$10,B1897,mdr_rate_cleaned!$B$2:$B$10,"&lt;"&amp;C1897,mdr_rate_cleaned!$F$2:$F$10,"&gt;="&amp;C1897)</f>
        <v>1</v>
      </c>
      <c r="G1897" s="40">
        <f>SUMIFS(mdr_rate_cleaned!$G$2:$G$10,mdr_rate_cleaned!$A$2:$A$10,B1897,mdr_rate_cleaned!$B$2:$B$10,"&lt;"&amp;C1897,mdr_rate_cleaned!$F$2:$F$10,"&gt;="&amp;C1897)</f>
        <v>1.2E-2</v>
      </c>
      <c r="H1897" s="24">
        <f t="shared" si="145"/>
        <v>29.99</v>
      </c>
      <c r="I1897" s="23" t="str">
        <f t="shared" si="146"/>
        <v>Match</v>
      </c>
      <c r="J1897" s="23" t="str">
        <f t="shared" si="147"/>
        <v>Match</v>
      </c>
      <c r="K1897" s="24">
        <f t="shared" si="148"/>
        <v>5.4</v>
      </c>
      <c r="L1897" s="24">
        <f t="shared" si="149"/>
        <v>0</v>
      </c>
    </row>
    <row r="1898" spans="1:12" ht="15" customHeight="1" x14ac:dyDescent="0.3">
      <c r="A1898" s="23" t="s">
        <v>14667</v>
      </c>
      <c r="B1898" s="23" t="s">
        <v>75</v>
      </c>
      <c r="C1898" s="39">
        <v>1598</v>
      </c>
      <c r="D1898" s="24">
        <v>0</v>
      </c>
      <c r="E1898" s="24">
        <v>0</v>
      </c>
      <c r="F1898" s="23">
        <f>COUNTIFS(mdr_rate_cleaned!$A$2:$A$10,B1898,mdr_rate_cleaned!$B$2:$B$10,"&lt;"&amp;C1898,mdr_rate_cleaned!$F$2:$F$10,"&gt;="&amp;C1898)</f>
        <v>1</v>
      </c>
      <c r="G1898" s="40">
        <f>SUMIFS(mdr_rate_cleaned!$G$2:$G$10,mdr_rate_cleaned!$A$2:$A$10,B1898,mdr_rate_cleaned!$B$2:$B$10,"&lt;"&amp;C1898,mdr_rate_cleaned!$F$2:$F$10,"&gt;="&amp;C1898)</f>
        <v>0</v>
      </c>
      <c r="H1898" s="24">
        <f t="shared" si="145"/>
        <v>0</v>
      </c>
      <c r="I1898" s="23" t="str">
        <f t="shared" si="146"/>
        <v>Match</v>
      </c>
      <c r="J1898" s="23" t="str">
        <f t="shared" si="147"/>
        <v>Match</v>
      </c>
      <c r="K1898" s="24">
        <f t="shared" si="148"/>
        <v>0</v>
      </c>
      <c r="L1898" s="24">
        <f t="shared" si="149"/>
        <v>0</v>
      </c>
    </row>
    <row r="1899" spans="1:12" ht="15" customHeight="1" x14ac:dyDescent="0.3">
      <c r="A1899" s="23" t="s">
        <v>14668</v>
      </c>
      <c r="B1899" s="23" t="s">
        <v>81</v>
      </c>
      <c r="C1899" s="39">
        <v>7999</v>
      </c>
      <c r="D1899" s="24">
        <v>95.99</v>
      </c>
      <c r="E1899" s="24">
        <v>17.28</v>
      </c>
      <c r="F1899" s="23">
        <f>COUNTIFS(mdr_rate_cleaned!$A$2:$A$10,B1899,mdr_rate_cleaned!$B$2:$B$10,"&lt;"&amp;C1899,mdr_rate_cleaned!$F$2:$F$10,"&gt;="&amp;C1899)</f>
        <v>1</v>
      </c>
      <c r="G1899" s="40">
        <f>SUMIFS(mdr_rate_cleaned!$G$2:$G$10,mdr_rate_cleaned!$A$2:$A$10,B1899,mdr_rate_cleaned!$B$2:$B$10,"&lt;"&amp;C1899,mdr_rate_cleaned!$F$2:$F$10,"&gt;="&amp;C1899)</f>
        <v>1.2E-2</v>
      </c>
      <c r="H1899" s="24">
        <f t="shared" si="145"/>
        <v>95.99</v>
      </c>
      <c r="I1899" s="23" t="str">
        <f t="shared" si="146"/>
        <v>Match</v>
      </c>
      <c r="J1899" s="23" t="str">
        <f t="shared" si="147"/>
        <v>Match</v>
      </c>
      <c r="K1899" s="24">
        <f t="shared" si="148"/>
        <v>17.28</v>
      </c>
      <c r="L1899" s="24">
        <f t="shared" si="149"/>
        <v>0</v>
      </c>
    </row>
    <row r="1900" spans="1:12" ht="15" customHeight="1" x14ac:dyDescent="0.3">
      <c r="A1900" s="23" t="s">
        <v>14669</v>
      </c>
      <c r="B1900" s="23" t="s">
        <v>75</v>
      </c>
      <c r="C1900" s="39">
        <v>2848</v>
      </c>
      <c r="D1900" s="24">
        <v>8.5399999999999991</v>
      </c>
      <c r="E1900" s="24">
        <v>1.54</v>
      </c>
      <c r="F1900" s="23">
        <f>COUNTIFS(mdr_rate_cleaned!$A$2:$A$10,B1900,mdr_rate_cleaned!$B$2:$B$10,"&lt;"&amp;C1900,mdr_rate_cleaned!$F$2:$F$10,"&gt;="&amp;C1900)</f>
        <v>1</v>
      </c>
      <c r="G1900" s="40">
        <f>SUMIFS(mdr_rate_cleaned!$G$2:$G$10,mdr_rate_cleaned!$A$2:$A$10,B1900,mdr_rate_cleaned!$B$2:$B$10,"&lt;"&amp;C1900,mdr_rate_cleaned!$F$2:$F$10,"&gt;="&amp;C1900)</f>
        <v>3.0000000000000001E-3</v>
      </c>
      <c r="H1900" s="24">
        <f t="shared" si="145"/>
        <v>8.5399999999999991</v>
      </c>
      <c r="I1900" s="23" t="str">
        <f t="shared" si="146"/>
        <v>Match</v>
      </c>
      <c r="J1900" s="23" t="str">
        <f t="shared" si="147"/>
        <v>Match</v>
      </c>
      <c r="K1900" s="24">
        <f t="shared" si="148"/>
        <v>1.54</v>
      </c>
      <c r="L1900" s="24">
        <f t="shared" si="149"/>
        <v>0</v>
      </c>
    </row>
    <row r="1901" spans="1:12" ht="15" customHeight="1" x14ac:dyDescent="0.3">
      <c r="A1901" s="23" t="s">
        <v>14670</v>
      </c>
      <c r="B1901" s="23" t="s">
        <v>75</v>
      </c>
      <c r="C1901" s="39">
        <v>3348</v>
      </c>
      <c r="D1901" s="24">
        <v>10.039999999999999</v>
      </c>
      <c r="E1901" s="24">
        <v>1.81</v>
      </c>
      <c r="F1901" s="23">
        <f>COUNTIFS(mdr_rate_cleaned!$A$2:$A$10,B1901,mdr_rate_cleaned!$B$2:$B$10,"&lt;"&amp;C1901,mdr_rate_cleaned!$F$2:$F$10,"&gt;="&amp;C1901)</f>
        <v>1</v>
      </c>
      <c r="G1901" s="40">
        <f>SUMIFS(mdr_rate_cleaned!$G$2:$G$10,mdr_rate_cleaned!$A$2:$A$10,B1901,mdr_rate_cleaned!$B$2:$B$10,"&lt;"&amp;C1901,mdr_rate_cleaned!$F$2:$F$10,"&gt;="&amp;C1901)</f>
        <v>3.0000000000000001E-3</v>
      </c>
      <c r="H1901" s="24">
        <f t="shared" si="145"/>
        <v>10.039999999999999</v>
      </c>
      <c r="I1901" s="23" t="str">
        <f t="shared" si="146"/>
        <v>Match</v>
      </c>
      <c r="J1901" s="23" t="str">
        <f t="shared" si="147"/>
        <v>Match</v>
      </c>
      <c r="K1901" s="24">
        <f t="shared" si="148"/>
        <v>1.81</v>
      </c>
      <c r="L1901" s="24">
        <f t="shared" si="149"/>
        <v>0</v>
      </c>
    </row>
    <row r="1902" spans="1:12" ht="15" customHeight="1" x14ac:dyDescent="0.3">
      <c r="A1902" s="23" t="s">
        <v>14671</v>
      </c>
      <c r="B1902" s="23" t="s">
        <v>75</v>
      </c>
      <c r="C1902" s="39">
        <v>2647</v>
      </c>
      <c r="D1902" s="24">
        <v>7.94</v>
      </c>
      <c r="E1902" s="24">
        <v>1.43</v>
      </c>
      <c r="F1902" s="23">
        <f>COUNTIFS(mdr_rate_cleaned!$A$2:$A$10,B1902,mdr_rate_cleaned!$B$2:$B$10,"&lt;"&amp;C1902,mdr_rate_cleaned!$F$2:$F$10,"&gt;="&amp;C1902)</f>
        <v>1</v>
      </c>
      <c r="G1902" s="40">
        <f>SUMIFS(mdr_rate_cleaned!$G$2:$G$10,mdr_rate_cleaned!$A$2:$A$10,B1902,mdr_rate_cleaned!$B$2:$B$10,"&lt;"&amp;C1902,mdr_rate_cleaned!$F$2:$F$10,"&gt;="&amp;C1902)</f>
        <v>3.0000000000000001E-3</v>
      </c>
      <c r="H1902" s="24">
        <f t="shared" si="145"/>
        <v>7.94</v>
      </c>
      <c r="I1902" s="23" t="str">
        <f t="shared" si="146"/>
        <v>Match</v>
      </c>
      <c r="J1902" s="23" t="str">
        <f t="shared" si="147"/>
        <v>Match</v>
      </c>
      <c r="K1902" s="24">
        <f t="shared" si="148"/>
        <v>1.43</v>
      </c>
      <c r="L1902" s="24">
        <f t="shared" si="149"/>
        <v>0</v>
      </c>
    </row>
    <row r="1903" spans="1:12" ht="15" customHeight="1" x14ac:dyDescent="0.3">
      <c r="A1903" s="23" t="s">
        <v>14673</v>
      </c>
      <c r="B1903" s="23" t="s">
        <v>79</v>
      </c>
      <c r="C1903" s="39">
        <v>1299</v>
      </c>
      <c r="D1903" s="24">
        <v>23.38</v>
      </c>
      <c r="E1903" s="24">
        <v>4.21</v>
      </c>
      <c r="F1903" s="23">
        <f>COUNTIFS(mdr_rate_cleaned!$A$2:$A$10,B1903,mdr_rate_cleaned!$B$2:$B$10,"&lt;"&amp;C1903,mdr_rate_cleaned!$F$2:$F$10,"&gt;="&amp;C1903)</f>
        <v>1</v>
      </c>
      <c r="G1903" s="40">
        <f>SUMIFS(mdr_rate_cleaned!$G$2:$G$10,mdr_rate_cleaned!$A$2:$A$10,B1903,mdr_rate_cleaned!$B$2:$B$10,"&lt;"&amp;C1903,mdr_rate_cleaned!$F$2:$F$10,"&gt;="&amp;C1903)</f>
        <v>1.8000000000000002E-2</v>
      </c>
      <c r="H1903" s="24">
        <f t="shared" si="145"/>
        <v>23.38</v>
      </c>
      <c r="I1903" s="23" t="str">
        <f t="shared" si="146"/>
        <v>Match</v>
      </c>
      <c r="J1903" s="23" t="str">
        <f t="shared" si="147"/>
        <v>Match</v>
      </c>
      <c r="K1903" s="24">
        <f t="shared" si="148"/>
        <v>4.21</v>
      </c>
      <c r="L1903" s="24">
        <f t="shared" si="149"/>
        <v>0</v>
      </c>
    </row>
    <row r="1904" spans="1:12" ht="15" customHeight="1" x14ac:dyDescent="0.3">
      <c r="A1904" s="23" t="s">
        <v>14674</v>
      </c>
      <c r="B1904" s="23" t="s">
        <v>77</v>
      </c>
      <c r="C1904" s="39">
        <v>3897</v>
      </c>
      <c r="D1904" s="24">
        <v>66.25</v>
      </c>
      <c r="E1904" s="24">
        <v>11.93</v>
      </c>
      <c r="F1904" s="23">
        <f>COUNTIFS(mdr_rate_cleaned!$A$2:$A$10,B1904,mdr_rate_cleaned!$B$2:$B$10,"&lt;"&amp;C1904,mdr_rate_cleaned!$F$2:$F$10,"&gt;="&amp;C1904)</f>
        <v>1</v>
      </c>
      <c r="G1904" s="40">
        <f>SUMIFS(mdr_rate_cleaned!$G$2:$G$10,mdr_rate_cleaned!$A$2:$A$10,B1904,mdr_rate_cleaned!$B$2:$B$10,"&lt;"&amp;C1904,mdr_rate_cleaned!$F$2:$F$10,"&gt;="&amp;C1904)</f>
        <v>1.7000000000000001E-2</v>
      </c>
      <c r="H1904" s="24">
        <f t="shared" si="145"/>
        <v>66.25</v>
      </c>
      <c r="I1904" s="23" t="str">
        <f t="shared" si="146"/>
        <v>Match</v>
      </c>
      <c r="J1904" s="23" t="str">
        <f t="shared" si="147"/>
        <v>Match</v>
      </c>
      <c r="K1904" s="24">
        <f t="shared" si="148"/>
        <v>11.93</v>
      </c>
      <c r="L1904" s="24">
        <f t="shared" si="149"/>
        <v>0</v>
      </c>
    </row>
    <row r="1905" spans="1:12" ht="15" customHeight="1" x14ac:dyDescent="0.3">
      <c r="A1905" s="23" t="s">
        <v>14675</v>
      </c>
      <c r="B1905" s="23" t="s">
        <v>75</v>
      </c>
      <c r="C1905" s="39">
        <v>1499</v>
      </c>
      <c r="D1905" s="24">
        <v>0</v>
      </c>
      <c r="E1905" s="24">
        <v>0</v>
      </c>
      <c r="F1905" s="23">
        <f>COUNTIFS(mdr_rate_cleaned!$A$2:$A$10,B1905,mdr_rate_cleaned!$B$2:$B$10,"&lt;"&amp;C1905,mdr_rate_cleaned!$F$2:$F$10,"&gt;="&amp;C1905)</f>
        <v>1</v>
      </c>
      <c r="G1905" s="40">
        <f>SUMIFS(mdr_rate_cleaned!$G$2:$G$10,mdr_rate_cleaned!$A$2:$A$10,B1905,mdr_rate_cleaned!$B$2:$B$10,"&lt;"&amp;C1905,mdr_rate_cleaned!$F$2:$F$10,"&gt;="&amp;C1905)</f>
        <v>0</v>
      </c>
      <c r="H1905" s="24">
        <f t="shared" si="145"/>
        <v>0</v>
      </c>
      <c r="I1905" s="23" t="str">
        <f t="shared" si="146"/>
        <v>Match</v>
      </c>
      <c r="J1905" s="23" t="str">
        <f t="shared" si="147"/>
        <v>Match</v>
      </c>
      <c r="K1905" s="24">
        <f t="shared" si="148"/>
        <v>0</v>
      </c>
      <c r="L1905" s="24">
        <f t="shared" si="149"/>
        <v>0</v>
      </c>
    </row>
    <row r="1906" spans="1:12" ht="15" customHeight="1" x14ac:dyDescent="0.3">
      <c r="A1906" s="23" t="s">
        <v>14676</v>
      </c>
      <c r="B1906" s="23" t="s">
        <v>79</v>
      </c>
      <c r="C1906" s="39">
        <v>2097</v>
      </c>
      <c r="D1906" s="24">
        <v>33.549999999999997</v>
      </c>
      <c r="E1906" s="24">
        <v>6.04</v>
      </c>
      <c r="F1906" s="23">
        <f>COUNTIFS(mdr_rate_cleaned!$A$2:$A$10,B1906,mdr_rate_cleaned!$B$2:$B$10,"&lt;"&amp;C1906,mdr_rate_cleaned!$F$2:$F$10,"&gt;="&amp;C1906)</f>
        <v>1</v>
      </c>
      <c r="G1906" s="40">
        <f>SUMIFS(mdr_rate_cleaned!$G$2:$G$10,mdr_rate_cleaned!$A$2:$A$10,B1906,mdr_rate_cleaned!$B$2:$B$10,"&lt;"&amp;C1906,mdr_rate_cleaned!$F$2:$F$10,"&gt;="&amp;C1906)</f>
        <v>1.6E-2</v>
      </c>
      <c r="H1906" s="24">
        <f t="shared" si="145"/>
        <v>33.549999999999997</v>
      </c>
      <c r="I1906" s="23" t="str">
        <f t="shared" si="146"/>
        <v>Match</v>
      </c>
      <c r="J1906" s="23" t="str">
        <f t="shared" si="147"/>
        <v>Match</v>
      </c>
      <c r="K1906" s="24">
        <f t="shared" si="148"/>
        <v>6.04</v>
      </c>
      <c r="L1906" s="24">
        <f t="shared" si="149"/>
        <v>0</v>
      </c>
    </row>
    <row r="1907" spans="1:12" ht="15" customHeight="1" x14ac:dyDescent="0.3">
      <c r="A1907" s="23" t="s">
        <v>14678</v>
      </c>
      <c r="B1907" s="23" t="s">
        <v>75</v>
      </c>
      <c r="C1907" s="39">
        <v>3447</v>
      </c>
      <c r="D1907" s="24">
        <v>10.34</v>
      </c>
      <c r="E1907" s="24">
        <v>1.86</v>
      </c>
      <c r="F1907" s="23">
        <f>COUNTIFS(mdr_rate_cleaned!$A$2:$A$10,B1907,mdr_rate_cleaned!$B$2:$B$10,"&lt;"&amp;C1907,mdr_rate_cleaned!$F$2:$F$10,"&gt;="&amp;C1907)</f>
        <v>1</v>
      </c>
      <c r="G1907" s="40">
        <f>SUMIFS(mdr_rate_cleaned!$G$2:$G$10,mdr_rate_cleaned!$A$2:$A$10,B1907,mdr_rate_cleaned!$B$2:$B$10,"&lt;"&amp;C1907,mdr_rate_cleaned!$F$2:$F$10,"&gt;="&amp;C1907)</f>
        <v>3.0000000000000001E-3</v>
      </c>
      <c r="H1907" s="24">
        <f t="shared" si="145"/>
        <v>10.34</v>
      </c>
      <c r="I1907" s="23" t="str">
        <f t="shared" si="146"/>
        <v>Match</v>
      </c>
      <c r="J1907" s="23" t="str">
        <f t="shared" si="147"/>
        <v>Match</v>
      </c>
      <c r="K1907" s="24">
        <f t="shared" si="148"/>
        <v>1.86</v>
      </c>
      <c r="L1907" s="24">
        <f t="shared" si="149"/>
        <v>0</v>
      </c>
    </row>
    <row r="1908" spans="1:12" ht="15" customHeight="1" x14ac:dyDescent="0.3">
      <c r="A1908" s="23" t="s">
        <v>14679</v>
      </c>
      <c r="B1908" s="23" t="s">
        <v>75</v>
      </c>
      <c r="C1908" s="39">
        <v>599</v>
      </c>
      <c r="D1908" s="24">
        <v>0</v>
      </c>
      <c r="E1908" s="24">
        <v>0</v>
      </c>
      <c r="F1908" s="23">
        <f>COUNTIFS(mdr_rate_cleaned!$A$2:$A$10,B1908,mdr_rate_cleaned!$B$2:$B$10,"&lt;"&amp;C1908,mdr_rate_cleaned!$F$2:$F$10,"&gt;="&amp;C1908)</f>
        <v>1</v>
      </c>
      <c r="G1908" s="40">
        <f>SUMIFS(mdr_rate_cleaned!$G$2:$G$10,mdr_rate_cleaned!$A$2:$A$10,B1908,mdr_rate_cleaned!$B$2:$B$10,"&lt;"&amp;C1908,mdr_rate_cleaned!$F$2:$F$10,"&gt;="&amp;C1908)</f>
        <v>0</v>
      </c>
      <c r="H1908" s="24">
        <f t="shared" si="145"/>
        <v>0</v>
      </c>
      <c r="I1908" s="23" t="str">
        <f t="shared" si="146"/>
        <v>Match</v>
      </c>
      <c r="J1908" s="23" t="str">
        <f t="shared" si="147"/>
        <v>Match</v>
      </c>
      <c r="K1908" s="24">
        <f t="shared" si="148"/>
        <v>0</v>
      </c>
      <c r="L1908" s="24">
        <f t="shared" si="149"/>
        <v>0</v>
      </c>
    </row>
    <row r="1909" spans="1:12" ht="15" customHeight="1" x14ac:dyDescent="0.3">
      <c r="A1909" s="23" t="s">
        <v>14680</v>
      </c>
      <c r="B1909" s="23" t="s">
        <v>75</v>
      </c>
      <c r="C1909" s="39">
        <v>1499</v>
      </c>
      <c r="D1909" s="24">
        <v>0</v>
      </c>
      <c r="E1909" s="24">
        <v>0</v>
      </c>
      <c r="F1909" s="23">
        <f>COUNTIFS(mdr_rate_cleaned!$A$2:$A$10,B1909,mdr_rate_cleaned!$B$2:$B$10,"&lt;"&amp;C1909,mdr_rate_cleaned!$F$2:$F$10,"&gt;="&amp;C1909)</f>
        <v>1</v>
      </c>
      <c r="G1909" s="40">
        <f>SUMIFS(mdr_rate_cleaned!$G$2:$G$10,mdr_rate_cleaned!$A$2:$A$10,B1909,mdr_rate_cleaned!$B$2:$B$10,"&lt;"&amp;C1909,mdr_rate_cleaned!$F$2:$F$10,"&gt;="&amp;C1909)</f>
        <v>0</v>
      </c>
      <c r="H1909" s="24">
        <f t="shared" si="145"/>
        <v>0</v>
      </c>
      <c r="I1909" s="23" t="str">
        <f t="shared" si="146"/>
        <v>Match</v>
      </c>
      <c r="J1909" s="23" t="str">
        <f t="shared" si="147"/>
        <v>Match</v>
      </c>
      <c r="K1909" s="24">
        <f t="shared" si="148"/>
        <v>0</v>
      </c>
      <c r="L1909" s="24">
        <f t="shared" si="149"/>
        <v>0</v>
      </c>
    </row>
    <row r="1910" spans="1:12" ht="15" customHeight="1" x14ac:dyDescent="0.3">
      <c r="A1910" s="23" t="s">
        <v>14681</v>
      </c>
      <c r="B1910" s="23" t="s">
        <v>75</v>
      </c>
      <c r="C1910" s="39">
        <v>5798</v>
      </c>
      <c r="D1910" s="24">
        <v>17.39</v>
      </c>
      <c r="E1910" s="24">
        <v>3.13</v>
      </c>
      <c r="F1910" s="23">
        <f>COUNTIFS(mdr_rate_cleaned!$A$2:$A$10,B1910,mdr_rate_cleaned!$B$2:$B$10,"&lt;"&amp;C1910,mdr_rate_cleaned!$F$2:$F$10,"&gt;="&amp;C1910)</f>
        <v>1</v>
      </c>
      <c r="G1910" s="40">
        <f>SUMIFS(mdr_rate_cleaned!$G$2:$G$10,mdr_rate_cleaned!$A$2:$A$10,B1910,mdr_rate_cleaned!$B$2:$B$10,"&lt;"&amp;C1910,mdr_rate_cleaned!$F$2:$F$10,"&gt;="&amp;C1910)</f>
        <v>3.0000000000000001E-3</v>
      </c>
      <c r="H1910" s="24">
        <f t="shared" si="145"/>
        <v>17.39</v>
      </c>
      <c r="I1910" s="23" t="str">
        <f t="shared" si="146"/>
        <v>Match</v>
      </c>
      <c r="J1910" s="23" t="str">
        <f t="shared" si="147"/>
        <v>Match</v>
      </c>
      <c r="K1910" s="24">
        <f t="shared" si="148"/>
        <v>3.13</v>
      </c>
      <c r="L1910" s="24">
        <f t="shared" si="149"/>
        <v>0</v>
      </c>
    </row>
    <row r="1911" spans="1:12" ht="15" customHeight="1" x14ac:dyDescent="0.3">
      <c r="A1911" s="23" t="s">
        <v>14682</v>
      </c>
      <c r="B1911" s="23" t="s">
        <v>75</v>
      </c>
      <c r="C1911" s="39">
        <v>6147</v>
      </c>
      <c r="D1911" s="24">
        <v>18.440000000000001</v>
      </c>
      <c r="E1911" s="24">
        <v>3.32</v>
      </c>
      <c r="F1911" s="23">
        <f>COUNTIFS(mdr_rate_cleaned!$A$2:$A$10,B1911,mdr_rate_cleaned!$B$2:$B$10,"&lt;"&amp;C1911,mdr_rate_cleaned!$F$2:$F$10,"&gt;="&amp;C1911)</f>
        <v>1</v>
      </c>
      <c r="G1911" s="40">
        <f>SUMIFS(mdr_rate_cleaned!$G$2:$G$10,mdr_rate_cleaned!$A$2:$A$10,B1911,mdr_rate_cleaned!$B$2:$B$10,"&lt;"&amp;C1911,mdr_rate_cleaned!$F$2:$F$10,"&gt;="&amp;C1911)</f>
        <v>3.0000000000000001E-3</v>
      </c>
      <c r="H1911" s="24">
        <f t="shared" si="145"/>
        <v>18.440000000000001</v>
      </c>
      <c r="I1911" s="23" t="str">
        <f t="shared" si="146"/>
        <v>Match</v>
      </c>
      <c r="J1911" s="23" t="str">
        <f t="shared" si="147"/>
        <v>Match</v>
      </c>
      <c r="K1911" s="24">
        <f t="shared" si="148"/>
        <v>3.32</v>
      </c>
      <c r="L1911" s="24">
        <f t="shared" si="149"/>
        <v>0</v>
      </c>
    </row>
    <row r="1912" spans="1:12" ht="15" customHeight="1" x14ac:dyDescent="0.3">
      <c r="A1912" s="23" t="s">
        <v>14683</v>
      </c>
      <c r="B1912" s="23" t="s">
        <v>79</v>
      </c>
      <c r="C1912" s="39">
        <v>1499</v>
      </c>
      <c r="D1912" s="24">
        <v>26.98</v>
      </c>
      <c r="E1912" s="24">
        <v>4.8600000000000003</v>
      </c>
      <c r="F1912" s="23">
        <f>COUNTIFS(mdr_rate_cleaned!$A$2:$A$10,B1912,mdr_rate_cleaned!$B$2:$B$10,"&lt;"&amp;C1912,mdr_rate_cleaned!$F$2:$F$10,"&gt;="&amp;C1912)</f>
        <v>1</v>
      </c>
      <c r="G1912" s="40">
        <f>SUMIFS(mdr_rate_cleaned!$G$2:$G$10,mdr_rate_cleaned!$A$2:$A$10,B1912,mdr_rate_cleaned!$B$2:$B$10,"&lt;"&amp;C1912,mdr_rate_cleaned!$F$2:$F$10,"&gt;="&amp;C1912)</f>
        <v>1.8000000000000002E-2</v>
      </c>
      <c r="H1912" s="24">
        <f t="shared" si="145"/>
        <v>26.98</v>
      </c>
      <c r="I1912" s="23" t="str">
        <f t="shared" si="146"/>
        <v>Match</v>
      </c>
      <c r="J1912" s="23" t="str">
        <f t="shared" si="147"/>
        <v>Match</v>
      </c>
      <c r="K1912" s="24">
        <f t="shared" si="148"/>
        <v>4.8600000000000003</v>
      </c>
      <c r="L1912" s="24">
        <f t="shared" si="149"/>
        <v>0</v>
      </c>
    </row>
    <row r="1913" spans="1:12" ht="15" customHeight="1" x14ac:dyDescent="0.3">
      <c r="A1913" s="23" t="s">
        <v>14684</v>
      </c>
      <c r="B1913" s="23" t="s">
        <v>75</v>
      </c>
      <c r="C1913" s="39">
        <v>599</v>
      </c>
      <c r="D1913" s="24">
        <v>0</v>
      </c>
      <c r="E1913" s="24">
        <v>0</v>
      </c>
      <c r="F1913" s="23">
        <f>COUNTIFS(mdr_rate_cleaned!$A$2:$A$10,B1913,mdr_rate_cleaned!$B$2:$B$10,"&lt;"&amp;C1913,mdr_rate_cleaned!$F$2:$F$10,"&gt;="&amp;C1913)</f>
        <v>1</v>
      </c>
      <c r="G1913" s="40">
        <f>SUMIFS(mdr_rate_cleaned!$G$2:$G$10,mdr_rate_cleaned!$A$2:$A$10,B1913,mdr_rate_cleaned!$B$2:$B$10,"&lt;"&amp;C1913,mdr_rate_cleaned!$F$2:$F$10,"&gt;="&amp;C1913)</f>
        <v>0</v>
      </c>
      <c r="H1913" s="24">
        <f t="shared" si="145"/>
        <v>0</v>
      </c>
      <c r="I1913" s="23" t="str">
        <f t="shared" si="146"/>
        <v>Match</v>
      </c>
      <c r="J1913" s="23" t="str">
        <f t="shared" si="147"/>
        <v>Match</v>
      </c>
      <c r="K1913" s="24">
        <f t="shared" si="148"/>
        <v>0</v>
      </c>
      <c r="L1913" s="24">
        <f t="shared" si="149"/>
        <v>0</v>
      </c>
    </row>
    <row r="1914" spans="1:12" ht="15" customHeight="1" x14ac:dyDescent="0.3">
      <c r="A1914" s="23" t="s">
        <v>14685</v>
      </c>
      <c r="B1914" s="23" t="s">
        <v>79</v>
      </c>
      <c r="C1914" s="39">
        <v>5297</v>
      </c>
      <c r="D1914" s="24">
        <v>84.75</v>
      </c>
      <c r="E1914" s="24">
        <v>15.26</v>
      </c>
      <c r="F1914" s="23">
        <f>COUNTIFS(mdr_rate_cleaned!$A$2:$A$10,B1914,mdr_rate_cleaned!$B$2:$B$10,"&lt;"&amp;C1914,mdr_rate_cleaned!$F$2:$F$10,"&gt;="&amp;C1914)</f>
        <v>1</v>
      </c>
      <c r="G1914" s="40">
        <f>SUMIFS(mdr_rate_cleaned!$G$2:$G$10,mdr_rate_cleaned!$A$2:$A$10,B1914,mdr_rate_cleaned!$B$2:$B$10,"&lt;"&amp;C1914,mdr_rate_cleaned!$F$2:$F$10,"&gt;="&amp;C1914)</f>
        <v>1.6E-2</v>
      </c>
      <c r="H1914" s="24">
        <f t="shared" si="145"/>
        <v>84.75</v>
      </c>
      <c r="I1914" s="23" t="str">
        <f t="shared" si="146"/>
        <v>Match</v>
      </c>
      <c r="J1914" s="23" t="str">
        <f t="shared" si="147"/>
        <v>Match</v>
      </c>
      <c r="K1914" s="24">
        <f t="shared" si="148"/>
        <v>15.26</v>
      </c>
      <c r="L1914" s="24">
        <f t="shared" si="149"/>
        <v>0</v>
      </c>
    </row>
    <row r="1915" spans="1:12" ht="15" customHeight="1" x14ac:dyDescent="0.3">
      <c r="A1915" s="23" t="s">
        <v>14686</v>
      </c>
      <c r="B1915" s="23" t="s">
        <v>81</v>
      </c>
      <c r="C1915" s="39">
        <v>5498</v>
      </c>
      <c r="D1915" s="24">
        <v>65.98</v>
      </c>
      <c r="E1915" s="24">
        <v>11.88</v>
      </c>
      <c r="F1915" s="23">
        <f>COUNTIFS(mdr_rate_cleaned!$A$2:$A$10,B1915,mdr_rate_cleaned!$B$2:$B$10,"&lt;"&amp;C1915,mdr_rate_cleaned!$F$2:$F$10,"&gt;="&amp;C1915)</f>
        <v>1</v>
      </c>
      <c r="G1915" s="40">
        <f>SUMIFS(mdr_rate_cleaned!$G$2:$G$10,mdr_rate_cleaned!$A$2:$A$10,B1915,mdr_rate_cleaned!$B$2:$B$10,"&lt;"&amp;C1915,mdr_rate_cleaned!$F$2:$F$10,"&gt;="&amp;C1915)</f>
        <v>1.2E-2</v>
      </c>
      <c r="H1915" s="24">
        <f t="shared" si="145"/>
        <v>65.98</v>
      </c>
      <c r="I1915" s="23" t="str">
        <f t="shared" si="146"/>
        <v>Match</v>
      </c>
      <c r="J1915" s="23" t="str">
        <f t="shared" si="147"/>
        <v>Match</v>
      </c>
      <c r="K1915" s="24">
        <f t="shared" si="148"/>
        <v>11.88</v>
      </c>
      <c r="L1915" s="24">
        <f t="shared" si="149"/>
        <v>0</v>
      </c>
    </row>
    <row r="1916" spans="1:12" ht="15" customHeight="1" x14ac:dyDescent="0.3">
      <c r="A1916" s="23" t="s">
        <v>14687</v>
      </c>
      <c r="B1916" s="23" t="s">
        <v>75</v>
      </c>
      <c r="C1916" s="39">
        <v>898</v>
      </c>
      <c r="D1916" s="24">
        <v>2.69</v>
      </c>
      <c r="E1916" s="24">
        <v>0.48</v>
      </c>
      <c r="F1916" s="23">
        <f>COUNTIFS(mdr_rate_cleaned!$A$2:$A$10,B1916,mdr_rate_cleaned!$B$2:$B$10,"&lt;"&amp;C1916,mdr_rate_cleaned!$F$2:$F$10,"&gt;="&amp;C1916)</f>
        <v>1</v>
      </c>
      <c r="G1916" s="40">
        <f>SUMIFS(mdr_rate_cleaned!$G$2:$G$10,mdr_rate_cleaned!$A$2:$A$10,B1916,mdr_rate_cleaned!$B$2:$B$10,"&lt;"&amp;C1916,mdr_rate_cleaned!$F$2:$F$10,"&gt;="&amp;C1916)</f>
        <v>0</v>
      </c>
      <c r="H1916" s="24">
        <f t="shared" si="145"/>
        <v>0</v>
      </c>
      <c r="I1916" s="23" t="str">
        <f t="shared" si="146"/>
        <v>Differs</v>
      </c>
      <c r="J1916" s="23" t="str">
        <f t="shared" si="147"/>
        <v>Match</v>
      </c>
      <c r="K1916" s="24">
        <f t="shared" si="148"/>
        <v>0</v>
      </c>
      <c r="L1916" s="24">
        <f t="shared" si="149"/>
        <v>3.17</v>
      </c>
    </row>
    <row r="1917" spans="1:12" ht="15" customHeight="1" x14ac:dyDescent="0.3">
      <c r="A1917" s="23" t="s">
        <v>14689</v>
      </c>
      <c r="B1917" s="23" t="s">
        <v>81</v>
      </c>
      <c r="C1917" s="39">
        <v>5097</v>
      </c>
      <c r="D1917" s="24">
        <v>61.16</v>
      </c>
      <c r="E1917" s="24">
        <v>11.01</v>
      </c>
      <c r="F1917" s="23">
        <f>COUNTIFS(mdr_rate_cleaned!$A$2:$A$10,B1917,mdr_rate_cleaned!$B$2:$B$10,"&lt;"&amp;C1917,mdr_rate_cleaned!$F$2:$F$10,"&gt;="&amp;C1917)</f>
        <v>1</v>
      </c>
      <c r="G1917" s="40">
        <f>SUMIFS(mdr_rate_cleaned!$G$2:$G$10,mdr_rate_cleaned!$A$2:$A$10,B1917,mdr_rate_cleaned!$B$2:$B$10,"&lt;"&amp;C1917,mdr_rate_cleaned!$F$2:$F$10,"&gt;="&amp;C1917)</f>
        <v>1.2E-2</v>
      </c>
      <c r="H1917" s="24">
        <f t="shared" si="145"/>
        <v>61.16</v>
      </c>
      <c r="I1917" s="23" t="str">
        <f t="shared" si="146"/>
        <v>Match</v>
      </c>
      <c r="J1917" s="23" t="str">
        <f t="shared" si="147"/>
        <v>Match</v>
      </c>
      <c r="K1917" s="24">
        <f t="shared" si="148"/>
        <v>11.01</v>
      </c>
      <c r="L1917" s="24">
        <f t="shared" si="149"/>
        <v>0</v>
      </c>
    </row>
    <row r="1918" spans="1:12" ht="15" customHeight="1" x14ac:dyDescent="0.3">
      <c r="A1918" s="23" t="s">
        <v>14690</v>
      </c>
      <c r="B1918" s="23" t="s">
        <v>75</v>
      </c>
      <c r="C1918" s="39">
        <v>7999</v>
      </c>
      <c r="D1918" s="24">
        <v>24</v>
      </c>
      <c r="E1918" s="24">
        <v>4.32</v>
      </c>
      <c r="F1918" s="23">
        <f>COUNTIFS(mdr_rate_cleaned!$A$2:$A$10,B1918,mdr_rate_cleaned!$B$2:$B$10,"&lt;"&amp;C1918,mdr_rate_cleaned!$F$2:$F$10,"&gt;="&amp;C1918)</f>
        <v>1</v>
      </c>
      <c r="G1918" s="40">
        <f>SUMIFS(mdr_rate_cleaned!$G$2:$G$10,mdr_rate_cleaned!$A$2:$A$10,B1918,mdr_rate_cleaned!$B$2:$B$10,"&lt;"&amp;C1918,mdr_rate_cleaned!$F$2:$F$10,"&gt;="&amp;C1918)</f>
        <v>3.0000000000000001E-3</v>
      </c>
      <c r="H1918" s="24">
        <f t="shared" si="145"/>
        <v>24</v>
      </c>
      <c r="I1918" s="23" t="str">
        <f t="shared" si="146"/>
        <v>Match</v>
      </c>
      <c r="J1918" s="23" t="str">
        <f t="shared" si="147"/>
        <v>Match</v>
      </c>
      <c r="K1918" s="24">
        <f t="shared" si="148"/>
        <v>4.32</v>
      </c>
      <c r="L1918" s="24">
        <f t="shared" si="149"/>
        <v>0</v>
      </c>
    </row>
    <row r="1919" spans="1:12" ht="15" customHeight="1" x14ac:dyDescent="0.3">
      <c r="A1919" s="23" t="s">
        <v>14691</v>
      </c>
      <c r="B1919" s="23" t="s">
        <v>75</v>
      </c>
      <c r="C1919" s="39">
        <v>15998</v>
      </c>
      <c r="D1919" s="24">
        <v>47.99</v>
      </c>
      <c r="E1919" s="24">
        <v>8.64</v>
      </c>
      <c r="F1919" s="23">
        <f>COUNTIFS(mdr_rate_cleaned!$A$2:$A$10,B1919,mdr_rate_cleaned!$B$2:$B$10,"&lt;"&amp;C1919,mdr_rate_cleaned!$F$2:$F$10,"&gt;="&amp;C1919)</f>
        <v>1</v>
      </c>
      <c r="G1919" s="40">
        <f>SUMIFS(mdr_rate_cleaned!$G$2:$G$10,mdr_rate_cleaned!$A$2:$A$10,B1919,mdr_rate_cleaned!$B$2:$B$10,"&lt;"&amp;C1919,mdr_rate_cleaned!$F$2:$F$10,"&gt;="&amp;C1919)</f>
        <v>3.0000000000000001E-3</v>
      </c>
      <c r="H1919" s="24">
        <f t="shared" si="145"/>
        <v>47.99</v>
      </c>
      <c r="I1919" s="23" t="str">
        <f t="shared" si="146"/>
        <v>Match</v>
      </c>
      <c r="J1919" s="23" t="str">
        <f t="shared" si="147"/>
        <v>Match</v>
      </c>
      <c r="K1919" s="24">
        <f t="shared" si="148"/>
        <v>8.64</v>
      </c>
      <c r="L1919" s="24">
        <f t="shared" si="149"/>
        <v>0</v>
      </c>
    </row>
    <row r="1920" spans="1:12" ht="15" customHeight="1" x14ac:dyDescent="0.3">
      <c r="A1920" s="23" t="s">
        <v>14692</v>
      </c>
      <c r="B1920" s="23" t="s">
        <v>75</v>
      </c>
      <c r="C1920" s="39">
        <v>599</v>
      </c>
      <c r="D1920" s="24">
        <v>0</v>
      </c>
      <c r="E1920" s="24">
        <v>0</v>
      </c>
      <c r="F1920" s="23">
        <f>COUNTIFS(mdr_rate_cleaned!$A$2:$A$10,B1920,mdr_rate_cleaned!$B$2:$B$10,"&lt;"&amp;C1920,mdr_rate_cleaned!$F$2:$F$10,"&gt;="&amp;C1920)</f>
        <v>1</v>
      </c>
      <c r="G1920" s="40">
        <f>SUMIFS(mdr_rate_cleaned!$G$2:$G$10,mdr_rate_cleaned!$A$2:$A$10,B1920,mdr_rate_cleaned!$B$2:$B$10,"&lt;"&amp;C1920,mdr_rate_cleaned!$F$2:$F$10,"&gt;="&amp;C1920)</f>
        <v>0</v>
      </c>
      <c r="H1920" s="24">
        <f t="shared" si="145"/>
        <v>0</v>
      </c>
      <c r="I1920" s="23" t="str">
        <f t="shared" si="146"/>
        <v>Match</v>
      </c>
      <c r="J1920" s="23" t="str">
        <f t="shared" si="147"/>
        <v>Match</v>
      </c>
      <c r="K1920" s="24">
        <f t="shared" si="148"/>
        <v>0</v>
      </c>
      <c r="L1920" s="24">
        <f t="shared" si="149"/>
        <v>0</v>
      </c>
    </row>
    <row r="1921" spans="1:12" ht="15" customHeight="1" x14ac:dyDescent="0.3">
      <c r="A1921" s="23" t="s">
        <v>14693</v>
      </c>
      <c r="B1921" s="23" t="s">
        <v>81</v>
      </c>
      <c r="C1921" s="39">
        <v>8297</v>
      </c>
      <c r="D1921" s="24">
        <v>99.56</v>
      </c>
      <c r="E1921" s="24">
        <v>17.920000000000002</v>
      </c>
      <c r="F1921" s="23">
        <f>COUNTIFS(mdr_rate_cleaned!$A$2:$A$10,B1921,mdr_rate_cleaned!$B$2:$B$10,"&lt;"&amp;C1921,mdr_rate_cleaned!$F$2:$F$10,"&gt;="&amp;C1921)</f>
        <v>1</v>
      </c>
      <c r="G1921" s="40">
        <f>SUMIFS(mdr_rate_cleaned!$G$2:$G$10,mdr_rate_cleaned!$A$2:$A$10,B1921,mdr_rate_cleaned!$B$2:$B$10,"&lt;"&amp;C1921,mdr_rate_cleaned!$F$2:$F$10,"&gt;="&amp;C1921)</f>
        <v>1.2E-2</v>
      </c>
      <c r="H1921" s="24">
        <f t="shared" si="145"/>
        <v>99.56</v>
      </c>
      <c r="I1921" s="23" t="str">
        <f t="shared" si="146"/>
        <v>Match</v>
      </c>
      <c r="J1921" s="23" t="str">
        <f t="shared" si="147"/>
        <v>Match</v>
      </c>
      <c r="K1921" s="24">
        <f t="shared" si="148"/>
        <v>17.920000000000002</v>
      </c>
      <c r="L1921" s="24">
        <f t="shared" si="149"/>
        <v>0</v>
      </c>
    </row>
    <row r="1922" spans="1:12" ht="15" customHeight="1" x14ac:dyDescent="0.3">
      <c r="A1922" s="23" t="s">
        <v>14694</v>
      </c>
      <c r="B1922" s="23" t="s">
        <v>79</v>
      </c>
      <c r="C1922" s="39">
        <v>599</v>
      </c>
      <c r="D1922" s="24">
        <v>10.78</v>
      </c>
      <c r="E1922" s="24">
        <v>1.94</v>
      </c>
      <c r="F1922" s="23">
        <f>COUNTIFS(mdr_rate_cleaned!$A$2:$A$10,B1922,mdr_rate_cleaned!$B$2:$B$10,"&lt;"&amp;C1922,mdr_rate_cleaned!$F$2:$F$10,"&gt;="&amp;C1922)</f>
        <v>1</v>
      </c>
      <c r="G1922" s="40">
        <f>SUMIFS(mdr_rate_cleaned!$G$2:$G$10,mdr_rate_cleaned!$A$2:$A$10,B1922,mdr_rate_cleaned!$B$2:$B$10,"&lt;"&amp;C1922,mdr_rate_cleaned!$F$2:$F$10,"&gt;="&amp;C1922)</f>
        <v>1.8000000000000002E-2</v>
      </c>
      <c r="H1922" s="24">
        <f t="shared" ref="H1922:H1985" si="150">ROUND(C1922*G1922,2)</f>
        <v>10.78</v>
      </c>
      <c r="I1922" s="23" t="str">
        <f t="shared" ref="I1922:I1985" si="151">IF(ROUND(D1922-H1922,2)=0,"Match","Differs")</f>
        <v>Match</v>
      </c>
      <c r="J1922" s="23" t="str">
        <f t="shared" ref="J1922:J1985" si="152">IF(ROUND(E1922-ROUND(D1922*0.18,2),2)=0,"Match","Differs")</f>
        <v>Match</v>
      </c>
      <c r="K1922" s="24">
        <f t="shared" ref="K1922:K1985" si="153">ROUND(H1922*0.18,2)</f>
        <v>1.94</v>
      </c>
      <c r="L1922" s="24">
        <f t="shared" ref="L1922:L1985" si="154">ROUND(D1922+E1922-H1922-K1922,2)</f>
        <v>0</v>
      </c>
    </row>
    <row r="1923" spans="1:12" ht="15" customHeight="1" x14ac:dyDescent="0.3">
      <c r="A1923" s="23" t="s">
        <v>14695</v>
      </c>
      <c r="B1923" s="23" t="s">
        <v>79</v>
      </c>
      <c r="C1923" s="39">
        <v>2999</v>
      </c>
      <c r="D1923" s="24">
        <v>47.98</v>
      </c>
      <c r="E1923" s="24">
        <v>8.64</v>
      </c>
      <c r="F1923" s="23">
        <f>COUNTIFS(mdr_rate_cleaned!$A$2:$A$10,B1923,mdr_rate_cleaned!$B$2:$B$10,"&lt;"&amp;C1923,mdr_rate_cleaned!$F$2:$F$10,"&gt;="&amp;C1923)</f>
        <v>1</v>
      </c>
      <c r="G1923" s="40">
        <f>SUMIFS(mdr_rate_cleaned!$G$2:$G$10,mdr_rate_cleaned!$A$2:$A$10,B1923,mdr_rate_cleaned!$B$2:$B$10,"&lt;"&amp;C1923,mdr_rate_cleaned!$F$2:$F$10,"&gt;="&amp;C1923)</f>
        <v>1.6E-2</v>
      </c>
      <c r="H1923" s="24">
        <f t="shared" si="150"/>
        <v>47.98</v>
      </c>
      <c r="I1923" s="23" t="str">
        <f t="shared" si="151"/>
        <v>Match</v>
      </c>
      <c r="J1923" s="23" t="str">
        <f t="shared" si="152"/>
        <v>Match</v>
      </c>
      <c r="K1923" s="24">
        <f t="shared" si="153"/>
        <v>8.64</v>
      </c>
      <c r="L1923" s="24">
        <f t="shared" si="154"/>
        <v>0</v>
      </c>
    </row>
    <row r="1924" spans="1:12" ht="15" customHeight="1" x14ac:dyDescent="0.3">
      <c r="A1924" s="23" t="s">
        <v>14696</v>
      </c>
      <c r="B1924" s="23" t="s">
        <v>81</v>
      </c>
      <c r="C1924" s="39">
        <v>2499</v>
      </c>
      <c r="D1924" s="24">
        <v>29.99</v>
      </c>
      <c r="E1924" s="24">
        <v>5.4</v>
      </c>
      <c r="F1924" s="23">
        <f>COUNTIFS(mdr_rate_cleaned!$A$2:$A$10,B1924,mdr_rate_cleaned!$B$2:$B$10,"&lt;"&amp;C1924,mdr_rate_cleaned!$F$2:$F$10,"&gt;="&amp;C1924)</f>
        <v>1</v>
      </c>
      <c r="G1924" s="40">
        <f>SUMIFS(mdr_rate_cleaned!$G$2:$G$10,mdr_rate_cleaned!$A$2:$A$10,B1924,mdr_rate_cleaned!$B$2:$B$10,"&lt;"&amp;C1924,mdr_rate_cleaned!$F$2:$F$10,"&gt;="&amp;C1924)</f>
        <v>1.2E-2</v>
      </c>
      <c r="H1924" s="24">
        <f t="shared" si="150"/>
        <v>29.99</v>
      </c>
      <c r="I1924" s="23" t="str">
        <f t="shared" si="151"/>
        <v>Match</v>
      </c>
      <c r="J1924" s="23" t="str">
        <f t="shared" si="152"/>
        <v>Match</v>
      </c>
      <c r="K1924" s="24">
        <f t="shared" si="153"/>
        <v>5.4</v>
      </c>
      <c r="L1924" s="24">
        <f t="shared" si="154"/>
        <v>0</v>
      </c>
    </row>
    <row r="1925" spans="1:12" ht="15" customHeight="1" x14ac:dyDescent="0.3">
      <c r="A1925" s="23" t="s">
        <v>14697</v>
      </c>
      <c r="B1925" s="23" t="s">
        <v>79</v>
      </c>
      <c r="C1925" s="39">
        <v>1799</v>
      </c>
      <c r="D1925" s="24">
        <v>32.380000000000003</v>
      </c>
      <c r="E1925" s="24">
        <v>5.83</v>
      </c>
      <c r="F1925" s="23">
        <f>COUNTIFS(mdr_rate_cleaned!$A$2:$A$10,B1925,mdr_rate_cleaned!$B$2:$B$10,"&lt;"&amp;C1925,mdr_rate_cleaned!$F$2:$F$10,"&gt;="&amp;C1925)</f>
        <v>1</v>
      </c>
      <c r="G1925" s="40">
        <f>SUMIFS(mdr_rate_cleaned!$G$2:$G$10,mdr_rate_cleaned!$A$2:$A$10,B1925,mdr_rate_cleaned!$B$2:$B$10,"&lt;"&amp;C1925,mdr_rate_cleaned!$F$2:$F$10,"&gt;="&amp;C1925)</f>
        <v>1.8000000000000002E-2</v>
      </c>
      <c r="H1925" s="24">
        <f t="shared" si="150"/>
        <v>32.380000000000003</v>
      </c>
      <c r="I1925" s="23" t="str">
        <f t="shared" si="151"/>
        <v>Match</v>
      </c>
      <c r="J1925" s="23" t="str">
        <f t="shared" si="152"/>
        <v>Match</v>
      </c>
      <c r="K1925" s="24">
        <f t="shared" si="153"/>
        <v>5.83</v>
      </c>
      <c r="L1925" s="24">
        <f t="shared" si="154"/>
        <v>0</v>
      </c>
    </row>
    <row r="1926" spans="1:12" ht="15" customHeight="1" x14ac:dyDescent="0.3">
      <c r="A1926" s="23" t="s">
        <v>14698</v>
      </c>
      <c r="B1926" s="23" t="s">
        <v>75</v>
      </c>
      <c r="C1926" s="39">
        <v>2999</v>
      </c>
      <c r="D1926" s="24">
        <v>9</v>
      </c>
      <c r="E1926" s="24">
        <v>1.62</v>
      </c>
      <c r="F1926" s="23">
        <f>COUNTIFS(mdr_rate_cleaned!$A$2:$A$10,B1926,mdr_rate_cleaned!$B$2:$B$10,"&lt;"&amp;C1926,mdr_rate_cleaned!$F$2:$F$10,"&gt;="&amp;C1926)</f>
        <v>1</v>
      </c>
      <c r="G1926" s="40">
        <f>SUMIFS(mdr_rate_cleaned!$G$2:$G$10,mdr_rate_cleaned!$A$2:$A$10,B1926,mdr_rate_cleaned!$B$2:$B$10,"&lt;"&amp;C1926,mdr_rate_cleaned!$F$2:$F$10,"&gt;="&amp;C1926)</f>
        <v>3.0000000000000001E-3</v>
      </c>
      <c r="H1926" s="24">
        <f t="shared" si="150"/>
        <v>9</v>
      </c>
      <c r="I1926" s="23" t="str">
        <f t="shared" si="151"/>
        <v>Match</v>
      </c>
      <c r="J1926" s="23" t="str">
        <f t="shared" si="152"/>
        <v>Match</v>
      </c>
      <c r="K1926" s="24">
        <f t="shared" si="153"/>
        <v>1.62</v>
      </c>
      <c r="L1926" s="24">
        <f t="shared" si="154"/>
        <v>0</v>
      </c>
    </row>
    <row r="1927" spans="1:12" ht="15" customHeight="1" x14ac:dyDescent="0.3">
      <c r="A1927" s="23" t="s">
        <v>14699</v>
      </c>
      <c r="B1927" s="23" t="s">
        <v>75</v>
      </c>
      <c r="C1927" s="39">
        <v>2999</v>
      </c>
      <c r="D1927" s="24">
        <v>9</v>
      </c>
      <c r="E1927" s="24">
        <v>1.62</v>
      </c>
      <c r="F1927" s="23">
        <f>COUNTIFS(mdr_rate_cleaned!$A$2:$A$10,B1927,mdr_rate_cleaned!$B$2:$B$10,"&lt;"&amp;C1927,mdr_rate_cleaned!$F$2:$F$10,"&gt;="&amp;C1927)</f>
        <v>1</v>
      </c>
      <c r="G1927" s="40">
        <f>SUMIFS(mdr_rate_cleaned!$G$2:$G$10,mdr_rate_cleaned!$A$2:$A$10,B1927,mdr_rate_cleaned!$B$2:$B$10,"&lt;"&amp;C1927,mdr_rate_cleaned!$F$2:$F$10,"&gt;="&amp;C1927)</f>
        <v>3.0000000000000001E-3</v>
      </c>
      <c r="H1927" s="24">
        <f t="shared" si="150"/>
        <v>9</v>
      </c>
      <c r="I1927" s="23" t="str">
        <f t="shared" si="151"/>
        <v>Match</v>
      </c>
      <c r="J1927" s="23" t="str">
        <f t="shared" si="152"/>
        <v>Match</v>
      </c>
      <c r="K1927" s="24">
        <f t="shared" si="153"/>
        <v>1.62</v>
      </c>
      <c r="L1927" s="24">
        <f t="shared" si="154"/>
        <v>0</v>
      </c>
    </row>
    <row r="1928" spans="1:12" ht="15" customHeight="1" x14ac:dyDescent="0.3">
      <c r="A1928" s="23" t="s">
        <v>14701</v>
      </c>
      <c r="B1928" s="23" t="s">
        <v>77</v>
      </c>
      <c r="C1928" s="39">
        <v>349</v>
      </c>
      <c r="D1928" s="24">
        <v>6.63</v>
      </c>
      <c r="E1928" s="24">
        <v>1.19</v>
      </c>
      <c r="F1928" s="23">
        <f>COUNTIFS(mdr_rate_cleaned!$A$2:$A$10,B1928,mdr_rate_cleaned!$B$2:$B$10,"&lt;"&amp;C1928,mdr_rate_cleaned!$F$2:$F$10,"&gt;="&amp;C1928)</f>
        <v>1</v>
      </c>
      <c r="G1928" s="40">
        <f>SUMIFS(mdr_rate_cleaned!$G$2:$G$10,mdr_rate_cleaned!$A$2:$A$10,B1928,mdr_rate_cleaned!$B$2:$B$10,"&lt;"&amp;C1928,mdr_rate_cleaned!$F$2:$F$10,"&gt;="&amp;C1928)</f>
        <v>1.9E-2</v>
      </c>
      <c r="H1928" s="24">
        <f t="shared" si="150"/>
        <v>6.63</v>
      </c>
      <c r="I1928" s="23" t="str">
        <f t="shared" si="151"/>
        <v>Match</v>
      </c>
      <c r="J1928" s="23" t="str">
        <f t="shared" si="152"/>
        <v>Match</v>
      </c>
      <c r="K1928" s="24">
        <f t="shared" si="153"/>
        <v>1.19</v>
      </c>
      <c r="L1928" s="24">
        <f t="shared" si="154"/>
        <v>0</v>
      </c>
    </row>
    <row r="1929" spans="1:12" ht="15" customHeight="1" x14ac:dyDescent="0.3">
      <c r="A1929" s="23" t="s">
        <v>14702</v>
      </c>
      <c r="B1929" s="23" t="s">
        <v>75</v>
      </c>
      <c r="C1929" s="39">
        <v>599</v>
      </c>
      <c r="D1929" s="24">
        <v>0</v>
      </c>
      <c r="E1929" s="24">
        <v>0</v>
      </c>
      <c r="F1929" s="23">
        <f>COUNTIFS(mdr_rate_cleaned!$A$2:$A$10,B1929,mdr_rate_cleaned!$B$2:$B$10,"&lt;"&amp;C1929,mdr_rate_cleaned!$F$2:$F$10,"&gt;="&amp;C1929)</f>
        <v>1</v>
      </c>
      <c r="G1929" s="40">
        <f>SUMIFS(mdr_rate_cleaned!$G$2:$G$10,mdr_rate_cleaned!$A$2:$A$10,B1929,mdr_rate_cleaned!$B$2:$B$10,"&lt;"&amp;C1929,mdr_rate_cleaned!$F$2:$F$10,"&gt;="&amp;C1929)</f>
        <v>0</v>
      </c>
      <c r="H1929" s="24">
        <f t="shared" si="150"/>
        <v>0</v>
      </c>
      <c r="I1929" s="23" t="str">
        <f t="shared" si="151"/>
        <v>Match</v>
      </c>
      <c r="J1929" s="23" t="str">
        <f t="shared" si="152"/>
        <v>Match</v>
      </c>
      <c r="K1929" s="24">
        <f t="shared" si="153"/>
        <v>0</v>
      </c>
      <c r="L1929" s="24">
        <f t="shared" si="154"/>
        <v>0</v>
      </c>
    </row>
    <row r="1930" spans="1:12" ht="15" customHeight="1" x14ac:dyDescent="0.3">
      <c r="A1930" s="23" t="s">
        <v>14704</v>
      </c>
      <c r="B1930" s="23" t="s">
        <v>79</v>
      </c>
      <c r="C1930" s="39">
        <v>1498</v>
      </c>
      <c r="D1930" s="24">
        <v>26.96</v>
      </c>
      <c r="E1930" s="24">
        <v>4.8499999999999996</v>
      </c>
      <c r="F1930" s="23">
        <f>COUNTIFS(mdr_rate_cleaned!$A$2:$A$10,B1930,mdr_rate_cleaned!$B$2:$B$10,"&lt;"&amp;C1930,mdr_rate_cleaned!$F$2:$F$10,"&gt;="&amp;C1930)</f>
        <v>1</v>
      </c>
      <c r="G1930" s="40">
        <f>SUMIFS(mdr_rate_cleaned!$G$2:$G$10,mdr_rate_cleaned!$A$2:$A$10,B1930,mdr_rate_cleaned!$B$2:$B$10,"&lt;"&amp;C1930,mdr_rate_cleaned!$F$2:$F$10,"&gt;="&amp;C1930)</f>
        <v>1.8000000000000002E-2</v>
      </c>
      <c r="H1930" s="24">
        <f t="shared" si="150"/>
        <v>26.96</v>
      </c>
      <c r="I1930" s="23" t="str">
        <f t="shared" si="151"/>
        <v>Match</v>
      </c>
      <c r="J1930" s="23" t="str">
        <f t="shared" si="152"/>
        <v>Match</v>
      </c>
      <c r="K1930" s="24">
        <f t="shared" si="153"/>
        <v>4.8499999999999996</v>
      </c>
      <c r="L1930" s="24">
        <f t="shared" si="154"/>
        <v>0</v>
      </c>
    </row>
    <row r="1931" spans="1:12" ht="15" customHeight="1" x14ac:dyDescent="0.3">
      <c r="A1931" s="23" t="s">
        <v>14705</v>
      </c>
      <c r="B1931" s="23" t="s">
        <v>81</v>
      </c>
      <c r="C1931" s="39">
        <v>11097</v>
      </c>
      <c r="D1931" s="24">
        <v>99.87</v>
      </c>
      <c r="E1931" s="24">
        <v>17.98</v>
      </c>
      <c r="F1931" s="23">
        <f>COUNTIFS(mdr_rate_cleaned!$A$2:$A$10,B1931,mdr_rate_cleaned!$B$2:$B$10,"&lt;"&amp;C1931,mdr_rate_cleaned!$F$2:$F$10,"&gt;="&amp;C1931)</f>
        <v>1</v>
      </c>
      <c r="G1931" s="40">
        <f>SUMIFS(mdr_rate_cleaned!$G$2:$G$10,mdr_rate_cleaned!$A$2:$A$10,B1931,mdr_rate_cleaned!$B$2:$B$10,"&lt;"&amp;C1931,mdr_rate_cleaned!$F$2:$F$10,"&gt;="&amp;C1931)</f>
        <v>9.0000000000000011E-3</v>
      </c>
      <c r="H1931" s="24">
        <f t="shared" si="150"/>
        <v>99.87</v>
      </c>
      <c r="I1931" s="23" t="str">
        <f t="shared" si="151"/>
        <v>Match</v>
      </c>
      <c r="J1931" s="23" t="str">
        <f t="shared" si="152"/>
        <v>Match</v>
      </c>
      <c r="K1931" s="24">
        <f t="shared" si="153"/>
        <v>17.98</v>
      </c>
      <c r="L1931" s="24">
        <f t="shared" si="154"/>
        <v>0</v>
      </c>
    </row>
    <row r="1932" spans="1:12" ht="15" customHeight="1" x14ac:dyDescent="0.3">
      <c r="A1932" s="23" t="s">
        <v>14706</v>
      </c>
      <c r="B1932" s="23" t="s">
        <v>75</v>
      </c>
      <c r="C1932" s="39">
        <v>1298</v>
      </c>
      <c r="D1932" s="24">
        <v>0</v>
      </c>
      <c r="E1932" s="24">
        <v>0</v>
      </c>
      <c r="F1932" s="23">
        <f>COUNTIFS(mdr_rate_cleaned!$A$2:$A$10,B1932,mdr_rate_cleaned!$B$2:$B$10,"&lt;"&amp;C1932,mdr_rate_cleaned!$F$2:$F$10,"&gt;="&amp;C1932)</f>
        <v>1</v>
      </c>
      <c r="G1932" s="40">
        <f>SUMIFS(mdr_rate_cleaned!$G$2:$G$10,mdr_rate_cleaned!$A$2:$A$10,B1932,mdr_rate_cleaned!$B$2:$B$10,"&lt;"&amp;C1932,mdr_rate_cleaned!$F$2:$F$10,"&gt;="&amp;C1932)</f>
        <v>0</v>
      </c>
      <c r="H1932" s="24">
        <f t="shared" si="150"/>
        <v>0</v>
      </c>
      <c r="I1932" s="23" t="str">
        <f t="shared" si="151"/>
        <v>Match</v>
      </c>
      <c r="J1932" s="23" t="str">
        <f t="shared" si="152"/>
        <v>Match</v>
      </c>
      <c r="K1932" s="24">
        <f t="shared" si="153"/>
        <v>0</v>
      </c>
      <c r="L1932" s="24">
        <f t="shared" si="154"/>
        <v>0</v>
      </c>
    </row>
    <row r="1933" spans="1:12" ht="15" customHeight="1" x14ac:dyDescent="0.3">
      <c r="A1933" s="23" t="s">
        <v>14707</v>
      </c>
      <c r="B1933" s="23" t="s">
        <v>79</v>
      </c>
      <c r="C1933" s="39">
        <v>349</v>
      </c>
      <c r="D1933" s="24">
        <v>6.28</v>
      </c>
      <c r="E1933" s="24">
        <v>1.1299999999999999</v>
      </c>
      <c r="F1933" s="23">
        <f>COUNTIFS(mdr_rate_cleaned!$A$2:$A$10,B1933,mdr_rate_cleaned!$B$2:$B$10,"&lt;"&amp;C1933,mdr_rate_cleaned!$F$2:$F$10,"&gt;="&amp;C1933)</f>
        <v>1</v>
      </c>
      <c r="G1933" s="40">
        <f>SUMIFS(mdr_rate_cleaned!$G$2:$G$10,mdr_rate_cleaned!$A$2:$A$10,B1933,mdr_rate_cleaned!$B$2:$B$10,"&lt;"&amp;C1933,mdr_rate_cleaned!$F$2:$F$10,"&gt;="&amp;C1933)</f>
        <v>1.8000000000000002E-2</v>
      </c>
      <c r="H1933" s="24">
        <f t="shared" si="150"/>
        <v>6.28</v>
      </c>
      <c r="I1933" s="23" t="str">
        <f t="shared" si="151"/>
        <v>Match</v>
      </c>
      <c r="J1933" s="23" t="str">
        <f t="shared" si="152"/>
        <v>Match</v>
      </c>
      <c r="K1933" s="24">
        <f t="shared" si="153"/>
        <v>1.1299999999999999</v>
      </c>
      <c r="L1933" s="24">
        <f t="shared" si="154"/>
        <v>0</v>
      </c>
    </row>
    <row r="1934" spans="1:12" ht="15" customHeight="1" x14ac:dyDescent="0.3">
      <c r="A1934" s="23" t="s">
        <v>14708</v>
      </c>
      <c r="B1934" s="23" t="s">
        <v>75</v>
      </c>
      <c r="C1934" s="39">
        <v>3348</v>
      </c>
      <c r="D1934" s="24">
        <v>10.039999999999999</v>
      </c>
      <c r="E1934" s="24">
        <v>1.81</v>
      </c>
      <c r="F1934" s="23">
        <f>COUNTIFS(mdr_rate_cleaned!$A$2:$A$10,B1934,mdr_rate_cleaned!$B$2:$B$10,"&lt;"&amp;C1934,mdr_rate_cleaned!$F$2:$F$10,"&gt;="&amp;C1934)</f>
        <v>1</v>
      </c>
      <c r="G1934" s="40">
        <f>SUMIFS(mdr_rate_cleaned!$G$2:$G$10,mdr_rate_cleaned!$A$2:$A$10,B1934,mdr_rate_cleaned!$B$2:$B$10,"&lt;"&amp;C1934,mdr_rate_cleaned!$F$2:$F$10,"&gt;="&amp;C1934)</f>
        <v>3.0000000000000001E-3</v>
      </c>
      <c r="H1934" s="24">
        <f t="shared" si="150"/>
        <v>10.039999999999999</v>
      </c>
      <c r="I1934" s="23" t="str">
        <f t="shared" si="151"/>
        <v>Match</v>
      </c>
      <c r="J1934" s="23" t="str">
        <f t="shared" si="152"/>
        <v>Match</v>
      </c>
      <c r="K1934" s="24">
        <f t="shared" si="153"/>
        <v>1.81</v>
      </c>
      <c r="L1934" s="24">
        <f t="shared" si="154"/>
        <v>0</v>
      </c>
    </row>
    <row r="1935" spans="1:12" ht="15" customHeight="1" x14ac:dyDescent="0.3">
      <c r="A1935" s="23" t="s">
        <v>14709</v>
      </c>
      <c r="B1935" s="23" t="s">
        <v>79</v>
      </c>
      <c r="C1935" s="39">
        <v>999</v>
      </c>
      <c r="D1935" s="24">
        <v>17.98</v>
      </c>
      <c r="E1935" s="24">
        <v>3.24</v>
      </c>
      <c r="F1935" s="23">
        <f>COUNTIFS(mdr_rate_cleaned!$A$2:$A$10,B1935,mdr_rate_cleaned!$B$2:$B$10,"&lt;"&amp;C1935,mdr_rate_cleaned!$F$2:$F$10,"&gt;="&amp;C1935)</f>
        <v>1</v>
      </c>
      <c r="G1935" s="40">
        <f>SUMIFS(mdr_rate_cleaned!$G$2:$G$10,mdr_rate_cleaned!$A$2:$A$10,B1935,mdr_rate_cleaned!$B$2:$B$10,"&lt;"&amp;C1935,mdr_rate_cleaned!$F$2:$F$10,"&gt;="&amp;C1935)</f>
        <v>1.8000000000000002E-2</v>
      </c>
      <c r="H1935" s="24">
        <f t="shared" si="150"/>
        <v>17.98</v>
      </c>
      <c r="I1935" s="23" t="str">
        <f t="shared" si="151"/>
        <v>Match</v>
      </c>
      <c r="J1935" s="23" t="str">
        <f t="shared" si="152"/>
        <v>Match</v>
      </c>
      <c r="K1935" s="24">
        <f t="shared" si="153"/>
        <v>3.24</v>
      </c>
      <c r="L1935" s="24">
        <f t="shared" si="154"/>
        <v>0</v>
      </c>
    </row>
    <row r="1936" spans="1:12" ht="15" customHeight="1" x14ac:dyDescent="0.3">
      <c r="A1936" s="23" t="s">
        <v>14710</v>
      </c>
      <c r="B1936" s="23" t="s">
        <v>75</v>
      </c>
      <c r="C1936" s="39">
        <v>998</v>
      </c>
      <c r="D1936" s="24">
        <v>0</v>
      </c>
      <c r="E1936" s="24">
        <v>0</v>
      </c>
      <c r="F1936" s="23">
        <f>COUNTIFS(mdr_rate_cleaned!$A$2:$A$10,B1936,mdr_rate_cleaned!$B$2:$B$10,"&lt;"&amp;C1936,mdr_rate_cleaned!$F$2:$F$10,"&gt;="&amp;C1936)</f>
        <v>1</v>
      </c>
      <c r="G1936" s="40">
        <f>SUMIFS(mdr_rate_cleaned!$G$2:$G$10,mdr_rate_cleaned!$A$2:$A$10,B1936,mdr_rate_cleaned!$B$2:$B$10,"&lt;"&amp;C1936,mdr_rate_cleaned!$F$2:$F$10,"&gt;="&amp;C1936)</f>
        <v>0</v>
      </c>
      <c r="H1936" s="24">
        <f t="shared" si="150"/>
        <v>0</v>
      </c>
      <c r="I1936" s="23" t="str">
        <f t="shared" si="151"/>
        <v>Match</v>
      </c>
      <c r="J1936" s="23" t="str">
        <f t="shared" si="152"/>
        <v>Match</v>
      </c>
      <c r="K1936" s="24">
        <f t="shared" si="153"/>
        <v>0</v>
      </c>
      <c r="L1936" s="24">
        <f t="shared" si="154"/>
        <v>0</v>
      </c>
    </row>
    <row r="1937" spans="1:12" ht="15" customHeight="1" x14ac:dyDescent="0.3">
      <c r="A1937" s="23" t="s">
        <v>14711</v>
      </c>
      <c r="B1937" s="23" t="s">
        <v>75</v>
      </c>
      <c r="C1937" s="39">
        <v>5297</v>
      </c>
      <c r="D1937" s="24">
        <v>15.89</v>
      </c>
      <c r="E1937" s="24">
        <v>2.86</v>
      </c>
      <c r="F1937" s="23">
        <f>COUNTIFS(mdr_rate_cleaned!$A$2:$A$10,B1937,mdr_rate_cleaned!$B$2:$B$10,"&lt;"&amp;C1937,mdr_rate_cleaned!$F$2:$F$10,"&gt;="&amp;C1937)</f>
        <v>1</v>
      </c>
      <c r="G1937" s="40">
        <f>SUMIFS(mdr_rate_cleaned!$G$2:$G$10,mdr_rate_cleaned!$A$2:$A$10,B1937,mdr_rate_cleaned!$B$2:$B$10,"&lt;"&amp;C1937,mdr_rate_cleaned!$F$2:$F$10,"&gt;="&amp;C1937)</f>
        <v>3.0000000000000001E-3</v>
      </c>
      <c r="H1937" s="24">
        <f t="shared" si="150"/>
        <v>15.89</v>
      </c>
      <c r="I1937" s="23" t="str">
        <f t="shared" si="151"/>
        <v>Match</v>
      </c>
      <c r="J1937" s="23" t="str">
        <f t="shared" si="152"/>
        <v>Match</v>
      </c>
      <c r="K1937" s="24">
        <f t="shared" si="153"/>
        <v>2.86</v>
      </c>
      <c r="L1937" s="24">
        <f t="shared" si="154"/>
        <v>0</v>
      </c>
    </row>
    <row r="1938" spans="1:12" ht="15" customHeight="1" x14ac:dyDescent="0.3">
      <c r="A1938" s="23" t="s">
        <v>14712</v>
      </c>
      <c r="B1938" s="23" t="s">
        <v>77</v>
      </c>
      <c r="C1938" s="39">
        <v>1299</v>
      </c>
      <c r="D1938" s="24">
        <v>24.68</v>
      </c>
      <c r="E1938" s="24">
        <v>4.4400000000000004</v>
      </c>
      <c r="F1938" s="23">
        <f>COUNTIFS(mdr_rate_cleaned!$A$2:$A$10,B1938,mdr_rate_cleaned!$B$2:$B$10,"&lt;"&amp;C1938,mdr_rate_cleaned!$F$2:$F$10,"&gt;="&amp;C1938)</f>
        <v>1</v>
      </c>
      <c r="G1938" s="40">
        <f>SUMIFS(mdr_rate_cleaned!$G$2:$G$10,mdr_rate_cleaned!$A$2:$A$10,B1938,mdr_rate_cleaned!$B$2:$B$10,"&lt;"&amp;C1938,mdr_rate_cleaned!$F$2:$F$10,"&gt;="&amp;C1938)</f>
        <v>1.9E-2</v>
      </c>
      <c r="H1938" s="24">
        <f t="shared" si="150"/>
        <v>24.68</v>
      </c>
      <c r="I1938" s="23" t="str">
        <f t="shared" si="151"/>
        <v>Match</v>
      </c>
      <c r="J1938" s="23" t="str">
        <f t="shared" si="152"/>
        <v>Match</v>
      </c>
      <c r="K1938" s="24">
        <f t="shared" si="153"/>
        <v>4.4400000000000004</v>
      </c>
      <c r="L1938" s="24">
        <f t="shared" si="154"/>
        <v>0</v>
      </c>
    </row>
    <row r="1939" spans="1:12" ht="15" customHeight="1" x14ac:dyDescent="0.3">
      <c r="A1939" s="23" t="s">
        <v>14713</v>
      </c>
      <c r="B1939" s="23" t="s">
        <v>75</v>
      </c>
      <c r="C1939" s="39">
        <v>2999</v>
      </c>
      <c r="D1939" s="24">
        <v>9</v>
      </c>
      <c r="E1939" s="24">
        <v>1.62</v>
      </c>
      <c r="F1939" s="23">
        <f>COUNTIFS(mdr_rate_cleaned!$A$2:$A$10,B1939,mdr_rate_cleaned!$B$2:$B$10,"&lt;"&amp;C1939,mdr_rate_cleaned!$F$2:$F$10,"&gt;="&amp;C1939)</f>
        <v>1</v>
      </c>
      <c r="G1939" s="40">
        <f>SUMIFS(mdr_rate_cleaned!$G$2:$G$10,mdr_rate_cleaned!$A$2:$A$10,B1939,mdr_rate_cleaned!$B$2:$B$10,"&lt;"&amp;C1939,mdr_rate_cleaned!$F$2:$F$10,"&gt;="&amp;C1939)</f>
        <v>3.0000000000000001E-3</v>
      </c>
      <c r="H1939" s="24">
        <f t="shared" si="150"/>
        <v>9</v>
      </c>
      <c r="I1939" s="23" t="str">
        <f t="shared" si="151"/>
        <v>Match</v>
      </c>
      <c r="J1939" s="23" t="str">
        <f t="shared" si="152"/>
        <v>Match</v>
      </c>
      <c r="K1939" s="24">
        <f t="shared" si="153"/>
        <v>1.62</v>
      </c>
      <c r="L1939" s="24">
        <f t="shared" si="154"/>
        <v>0</v>
      </c>
    </row>
    <row r="1940" spans="1:12" ht="15" customHeight="1" x14ac:dyDescent="0.3">
      <c r="A1940" s="23" t="s">
        <v>14714</v>
      </c>
      <c r="B1940" s="23" t="s">
        <v>75</v>
      </c>
      <c r="C1940" s="39">
        <v>1299</v>
      </c>
      <c r="D1940" s="24">
        <v>0</v>
      </c>
      <c r="E1940" s="24">
        <v>0</v>
      </c>
      <c r="F1940" s="23">
        <f>COUNTIFS(mdr_rate_cleaned!$A$2:$A$10,B1940,mdr_rate_cleaned!$B$2:$B$10,"&lt;"&amp;C1940,mdr_rate_cleaned!$F$2:$F$10,"&gt;="&amp;C1940)</f>
        <v>1</v>
      </c>
      <c r="G1940" s="40">
        <f>SUMIFS(mdr_rate_cleaned!$G$2:$G$10,mdr_rate_cleaned!$A$2:$A$10,B1940,mdr_rate_cleaned!$B$2:$B$10,"&lt;"&amp;C1940,mdr_rate_cleaned!$F$2:$F$10,"&gt;="&amp;C1940)</f>
        <v>0</v>
      </c>
      <c r="H1940" s="24">
        <f t="shared" si="150"/>
        <v>0</v>
      </c>
      <c r="I1940" s="23" t="str">
        <f t="shared" si="151"/>
        <v>Match</v>
      </c>
      <c r="J1940" s="23" t="str">
        <f t="shared" si="152"/>
        <v>Match</v>
      </c>
      <c r="K1940" s="24">
        <f t="shared" si="153"/>
        <v>0</v>
      </c>
      <c r="L1940" s="24">
        <f t="shared" si="154"/>
        <v>0</v>
      </c>
    </row>
    <row r="1941" spans="1:12" ht="15" customHeight="1" x14ac:dyDescent="0.3">
      <c r="A1941" s="23" t="s">
        <v>14715</v>
      </c>
      <c r="B1941" s="23" t="s">
        <v>75</v>
      </c>
      <c r="C1941" s="39">
        <v>648</v>
      </c>
      <c r="D1941" s="24">
        <v>0</v>
      </c>
      <c r="E1941" s="24">
        <v>0</v>
      </c>
      <c r="F1941" s="23">
        <f>COUNTIFS(mdr_rate_cleaned!$A$2:$A$10,B1941,mdr_rate_cleaned!$B$2:$B$10,"&lt;"&amp;C1941,mdr_rate_cleaned!$F$2:$F$10,"&gt;="&amp;C1941)</f>
        <v>1</v>
      </c>
      <c r="G1941" s="40">
        <f>SUMIFS(mdr_rate_cleaned!$G$2:$G$10,mdr_rate_cleaned!$A$2:$A$10,B1941,mdr_rate_cleaned!$B$2:$B$10,"&lt;"&amp;C1941,mdr_rate_cleaned!$F$2:$F$10,"&gt;="&amp;C1941)</f>
        <v>0</v>
      </c>
      <c r="H1941" s="24">
        <f t="shared" si="150"/>
        <v>0</v>
      </c>
      <c r="I1941" s="23" t="str">
        <f t="shared" si="151"/>
        <v>Match</v>
      </c>
      <c r="J1941" s="23" t="str">
        <f t="shared" si="152"/>
        <v>Match</v>
      </c>
      <c r="K1941" s="24">
        <f t="shared" si="153"/>
        <v>0</v>
      </c>
      <c r="L1941" s="24">
        <f t="shared" si="154"/>
        <v>0</v>
      </c>
    </row>
    <row r="1942" spans="1:12" ht="15" customHeight="1" x14ac:dyDescent="0.3">
      <c r="A1942" s="23" t="s">
        <v>14716</v>
      </c>
      <c r="B1942" s="23" t="s">
        <v>79</v>
      </c>
      <c r="C1942" s="39">
        <v>2499</v>
      </c>
      <c r="D1942" s="24">
        <v>39.979999999999997</v>
      </c>
      <c r="E1942" s="24">
        <v>7.2</v>
      </c>
      <c r="F1942" s="23">
        <f>COUNTIFS(mdr_rate_cleaned!$A$2:$A$10,B1942,mdr_rate_cleaned!$B$2:$B$10,"&lt;"&amp;C1942,mdr_rate_cleaned!$F$2:$F$10,"&gt;="&amp;C1942)</f>
        <v>1</v>
      </c>
      <c r="G1942" s="40">
        <f>SUMIFS(mdr_rate_cleaned!$G$2:$G$10,mdr_rate_cleaned!$A$2:$A$10,B1942,mdr_rate_cleaned!$B$2:$B$10,"&lt;"&amp;C1942,mdr_rate_cleaned!$F$2:$F$10,"&gt;="&amp;C1942)</f>
        <v>1.6E-2</v>
      </c>
      <c r="H1942" s="24">
        <f t="shared" si="150"/>
        <v>39.979999999999997</v>
      </c>
      <c r="I1942" s="23" t="str">
        <f t="shared" si="151"/>
        <v>Match</v>
      </c>
      <c r="J1942" s="23" t="str">
        <f t="shared" si="152"/>
        <v>Match</v>
      </c>
      <c r="K1942" s="24">
        <f t="shared" si="153"/>
        <v>7.2</v>
      </c>
      <c r="L1942" s="24">
        <f t="shared" si="154"/>
        <v>0</v>
      </c>
    </row>
    <row r="1943" spans="1:12" ht="15" customHeight="1" x14ac:dyDescent="0.3">
      <c r="A1943" s="23" t="s">
        <v>14717</v>
      </c>
      <c r="B1943" s="23" t="s">
        <v>79</v>
      </c>
      <c r="C1943" s="39">
        <v>2999</v>
      </c>
      <c r="D1943" s="24">
        <v>47.98</v>
      </c>
      <c r="E1943" s="24">
        <v>8.64</v>
      </c>
      <c r="F1943" s="23">
        <f>COUNTIFS(mdr_rate_cleaned!$A$2:$A$10,B1943,mdr_rate_cleaned!$B$2:$B$10,"&lt;"&amp;C1943,mdr_rate_cleaned!$F$2:$F$10,"&gt;="&amp;C1943)</f>
        <v>1</v>
      </c>
      <c r="G1943" s="40">
        <f>SUMIFS(mdr_rate_cleaned!$G$2:$G$10,mdr_rate_cleaned!$A$2:$A$10,B1943,mdr_rate_cleaned!$B$2:$B$10,"&lt;"&amp;C1943,mdr_rate_cleaned!$F$2:$F$10,"&gt;="&amp;C1943)</f>
        <v>1.6E-2</v>
      </c>
      <c r="H1943" s="24">
        <f t="shared" si="150"/>
        <v>47.98</v>
      </c>
      <c r="I1943" s="23" t="str">
        <f t="shared" si="151"/>
        <v>Match</v>
      </c>
      <c r="J1943" s="23" t="str">
        <f t="shared" si="152"/>
        <v>Match</v>
      </c>
      <c r="K1943" s="24">
        <f t="shared" si="153"/>
        <v>8.64</v>
      </c>
      <c r="L1943" s="24">
        <f t="shared" si="154"/>
        <v>0</v>
      </c>
    </row>
    <row r="1944" spans="1:12" ht="15" customHeight="1" x14ac:dyDescent="0.3">
      <c r="A1944" s="23" t="s">
        <v>14718</v>
      </c>
      <c r="B1944" s="23" t="s">
        <v>75</v>
      </c>
      <c r="C1944" s="39">
        <v>349</v>
      </c>
      <c r="D1944" s="24">
        <v>0</v>
      </c>
      <c r="E1944" s="24">
        <v>0</v>
      </c>
      <c r="F1944" s="23">
        <f>COUNTIFS(mdr_rate_cleaned!$A$2:$A$10,B1944,mdr_rate_cleaned!$B$2:$B$10,"&lt;"&amp;C1944,mdr_rate_cleaned!$F$2:$F$10,"&gt;="&amp;C1944)</f>
        <v>1</v>
      </c>
      <c r="G1944" s="40">
        <f>SUMIFS(mdr_rate_cleaned!$G$2:$G$10,mdr_rate_cleaned!$A$2:$A$10,B1944,mdr_rate_cleaned!$B$2:$B$10,"&lt;"&amp;C1944,mdr_rate_cleaned!$F$2:$F$10,"&gt;="&amp;C1944)</f>
        <v>0</v>
      </c>
      <c r="H1944" s="24">
        <f t="shared" si="150"/>
        <v>0</v>
      </c>
      <c r="I1944" s="23" t="str">
        <f t="shared" si="151"/>
        <v>Match</v>
      </c>
      <c r="J1944" s="23" t="str">
        <f t="shared" si="152"/>
        <v>Match</v>
      </c>
      <c r="K1944" s="24">
        <f t="shared" si="153"/>
        <v>0</v>
      </c>
      <c r="L1944" s="24">
        <f t="shared" si="154"/>
        <v>0</v>
      </c>
    </row>
    <row r="1945" spans="1:12" ht="15" customHeight="1" x14ac:dyDescent="0.3">
      <c r="A1945" s="23" t="s">
        <v>14719</v>
      </c>
      <c r="B1945" s="23" t="s">
        <v>75</v>
      </c>
      <c r="C1945" s="39">
        <v>8348</v>
      </c>
      <c r="D1945" s="24">
        <v>25.04</v>
      </c>
      <c r="E1945" s="24">
        <v>4.51</v>
      </c>
      <c r="F1945" s="23">
        <f>COUNTIFS(mdr_rate_cleaned!$A$2:$A$10,B1945,mdr_rate_cleaned!$B$2:$B$10,"&lt;"&amp;C1945,mdr_rate_cleaned!$F$2:$F$10,"&gt;="&amp;C1945)</f>
        <v>1</v>
      </c>
      <c r="G1945" s="40">
        <f>SUMIFS(mdr_rate_cleaned!$G$2:$G$10,mdr_rate_cleaned!$A$2:$A$10,B1945,mdr_rate_cleaned!$B$2:$B$10,"&lt;"&amp;C1945,mdr_rate_cleaned!$F$2:$F$10,"&gt;="&amp;C1945)</f>
        <v>3.0000000000000001E-3</v>
      </c>
      <c r="H1945" s="24">
        <f t="shared" si="150"/>
        <v>25.04</v>
      </c>
      <c r="I1945" s="23" t="str">
        <f t="shared" si="151"/>
        <v>Match</v>
      </c>
      <c r="J1945" s="23" t="str">
        <f t="shared" si="152"/>
        <v>Match</v>
      </c>
      <c r="K1945" s="24">
        <f t="shared" si="153"/>
        <v>4.51</v>
      </c>
      <c r="L1945" s="24">
        <f t="shared" si="154"/>
        <v>0</v>
      </c>
    </row>
    <row r="1946" spans="1:12" ht="15" customHeight="1" x14ac:dyDescent="0.3">
      <c r="A1946" s="23" t="s">
        <v>14720</v>
      </c>
      <c r="B1946" s="23" t="s">
        <v>79</v>
      </c>
      <c r="C1946" s="39">
        <v>5697</v>
      </c>
      <c r="D1946" s="24">
        <v>91.15</v>
      </c>
      <c r="E1946" s="24">
        <v>16.41</v>
      </c>
      <c r="F1946" s="23">
        <f>COUNTIFS(mdr_rate_cleaned!$A$2:$A$10,B1946,mdr_rate_cleaned!$B$2:$B$10,"&lt;"&amp;C1946,mdr_rate_cleaned!$F$2:$F$10,"&gt;="&amp;C1946)</f>
        <v>1</v>
      </c>
      <c r="G1946" s="40">
        <f>SUMIFS(mdr_rate_cleaned!$G$2:$G$10,mdr_rate_cleaned!$A$2:$A$10,B1946,mdr_rate_cleaned!$B$2:$B$10,"&lt;"&amp;C1946,mdr_rate_cleaned!$F$2:$F$10,"&gt;="&amp;C1946)</f>
        <v>1.6E-2</v>
      </c>
      <c r="H1946" s="24">
        <f t="shared" si="150"/>
        <v>91.15</v>
      </c>
      <c r="I1946" s="23" t="str">
        <f t="shared" si="151"/>
        <v>Match</v>
      </c>
      <c r="J1946" s="23" t="str">
        <f t="shared" si="152"/>
        <v>Match</v>
      </c>
      <c r="K1946" s="24">
        <f t="shared" si="153"/>
        <v>16.41</v>
      </c>
      <c r="L1946" s="24">
        <f t="shared" si="154"/>
        <v>0</v>
      </c>
    </row>
    <row r="1947" spans="1:12" ht="15" customHeight="1" x14ac:dyDescent="0.3">
      <c r="A1947" s="23" t="s">
        <v>14721</v>
      </c>
      <c r="B1947" s="23" t="s">
        <v>77</v>
      </c>
      <c r="C1947" s="39">
        <v>1398</v>
      </c>
      <c r="D1947" s="24">
        <v>26.56</v>
      </c>
      <c r="E1947" s="24">
        <v>4.78</v>
      </c>
      <c r="F1947" s="23">
        <f>COUNTIFS(mdr_rate_cleaned!$A$2:$A$10,B1947,mdr_rate_cleaned!$B$2:$B$10,"&lt;"&amp;C1947,mdr_rate_cleaned!$F$2:$F$10,"&gt;="&amp;C1947)</f>
        <v>1</v>
      </c>
      <c r="G1947" s="40">
        <f>SUMIFS(mdr_rate_cleaned!$G$2:$G$10,mdr_rate_cleaned!$A$2:$A$10,B1947,mdr_rate_cleaned!$B$2:$B$10,"&lt;"&amp;C1947,mdr_rate_cleaned!$F$2:$F$10,"&gt;="&amp;C1947)</f>
        <v>1.9E-2</v>
      </c>
      <c r="H1947" s="24">
        <f t="shared" si="150"/>
        <v>26.56</v>
      </c>
      <c r="I1947" s="23" t="str">
        <f t="shared" si="151"/>
        <v>Match</v>
      </c>
      <c r="J1947" s="23" t="str">
        <f t="shared" si="152"/>
        <v>Match</v>
      </c>
      <c r="K1947" s="24">
        <f t="shared" si="153"/>
        <v>4.78</v>
      </c>
      <c r="L1947" s="24">
        <f t="shared" si="154"/>
        <v>0</v>
      </c>
    </row>
    <row r="1948" spans="1:12" ht="15" customHeight="1" x14ac:dyDescent="0.3">
      <c r="A1948" s="23" t="s">
        <v>14722</v>
      </c>
      <c r="B1948" s="23" t="s">
        <v>75</v>
      </c>
      <c r="C1948" s="39">
        <v>7999</v>
      </c>
      <c r="D1948" s="24">
        <v>24</v>
      </c>
      <c r="E1948" s="24">
        <v>4.32</v>
      </c>
      <c r="F1948" s="23">
        <f>COUNTIFS(mdr_rate_cleaned!$A$2:$A$10,B1948,mdr_rate_cleaned!$B$2:$B$10,"&lt;"&amp;C1948,mdr_rate_cleaned!$F$2:$F$10,"&gt;="&amp;C1948)</f>
        <v>1</v>
      </c>
      <c r="G1948" s="40">
        <f>SUMIFS(mdr_rate_cleaned!$G$2:$G$10,mdr_rate_cleaned!$A$2:$A$10,B1948,mdr_rate_cleaned!$B$2:$B$10,"&lt;"&amp;C1948,mdr_rate_cleaned!$F$2:$F$10,"&gt;="&amp;C1948)</f>
        <v>3.0000000000000001E-3</v>
      </c>
      <c r="H1948" s="24">
        <f t="shared" si="150"/>
        <v>24</v>
      </c>
      <c r="I1948" s="23" t="str">
        <f t="shared" si="151"/>
        <v>Match</v>
      </c>
      <c r="J1948" s="23" t="str">
        <f t="shared" si="152"/>
        <v>Match</v>
      </c>
      <c r="K1948" s="24">
        <f t="shared" si="153"/>
        <v>4.32</v>
      </c>
      <c r="L1948" s="24">
        <f t="shared" si="154"/>
        <v>0</v>
      </c>
    </row>
    <row r="1949" spans="1:12" ht="15" customHeight="1" x14ac:dyDescent="0.3">
      <c r="A1949" s="23" t="s">
        <v>14723</v>
      </c>
      <c r="B1949" s="23" t="s">
        <v>75</v>
      </c>
      <c r="C1949" s="39">
        <v>6647</v>
      </c>
      <c r="D1949" s="24">
        <v>19.940000000000001</v>
      </c>
      <c r="E1949" s="24">
        <v>3.59</v>
      </c>
      <c r="F1949" s="23">
        <f>COUNTIFS(mdr_rate_cleaned!$A$2:$A$10,B1949,mdr_rate_cleaned!$B$2:$B$10,"&lt;"&amp;C1949,mdr_rate_cleaned!$F$2:$F$10,"&gt;="&amp;C1949)</f>
        <v>1</v>
      </c>
      <c r="G1949" s="40">
        <f>SUMIFS(mdr_rate_cleaned!$G$2:$G$10,mdr_rate_cleaned!$A$2:$A$10,B1949,mdr_rate_cleaned!$B$2:$B$10,"&lt;"&amp;C1949,mdr_rate_cleaned!$F$2:$F$10,"&gt;="&amp;C1949)</f>
        <v>3.0000000000000001E-3</v>
      </c>
      <c r="H1949" s="24">
        <f t="shared" si="150"/>
        <v>19.940000000000001</v>
      </c>
      <c r="I1949" s="23" t="str">
        <f t="shared" si="151"/>
        <v>Match</v>
      </c>
      <c r="J1949" s="23" t="str">
        <f t="shared" si="152"/>
        <v>Match</v>
      </c>
      <c r="K1949" s="24">
        <f t="shared" si="153"/>
        <v>3.59</v>
      </c>
      <c r="L1949" s="24">
        <f t="shared" si="154"/>
        <v>0</v>
      </c>
    </row>
    <row r="1950" spans="1:12" ht="15" customHeight="1" x14ac:dyDescent="0.3">
      <c r="A1950" s="23" t="s">
        <v>14724</v>
      </c>
      <c r="B1950" s="23" t="s">
        <v>79</v>
      </c>
      <c r="C1950" s="39">
        <v>3498</v>
      </c>
      <c r="D1950" s="24">
        <v>55.97</v>
      </c>
      <c r="E1950" s="24">
        <v>10.07</v>
      </c>
      <c r="F1950" s="23">
        <f>COUNTIFS(mdr_rate_cleaned!$A$2:$A$10,B1950,mdr_rate_cleaned!$B$2:$B$10,"&lt;"&amp;C1950,mdr_rate_cleaned!$F$2:$F$10,"&gt;="&amp;C1950)</f>
        <v>1</v>
      </c>
      <c r="G1950" s="40">
        <f>SUMIFS(mdr_rate_cleaned!$G$2:$G$10,mdr_rate_cleaned!$A$2:$A$10,B1950,mdr_rate_cleaned!$B$2:$B$10,"&lt;"&amp;C1950,mdr_rate_cleaned!$F$2:$F$10,"&gt;="&amp;C1950)</f>
        <v>1.6E-2</v>
      </c>
      <c r="H1950" s="24">
        <f t="shared" si="150"/>
        <v>55.97</v>
      </c>
      <c r="I1950" s="23" t="str">
        <f t="shared" si="151"/>
        <v>Match</v>
      </c>
      <c r="J1950" s="23" t="str">
        <f t="shared" si="152"/>
        <v>Match</v>
      </c>
      <c r="K1950" s="24">
        <f t="shared" si="153"/>
        <v>10.07</v>
      </c>
      <c r="L1950" s="24">
        <f t="shared" si="154"/>
        <v>0</v>
      </c>
    </row>
    <row r="1951" spans="1:12" ht="15" customHeight="1" x14ac:dyDescent="0.3">
      <c r="A1951" s="23" t="s">
        <v>14725</v>
      </c>
      <c r="B1951" s="23" t="s">
        <v>75</v>
      </c>
      <c r="C1951" s="39">
        <v>3499</v>
      </c>
      <c r="D1951" s="24">
        <v>10.5</v>
      </c>
      <c r="E1951" s="24">
        <v>1.89</v>
      </c>
      <c r="F1951" s="23">
        <f>COUNTIFS(mdr_rate_cleaned!$A$2:$A$10,B1951,mdr_rate_cleaned!$B$2:$B$10,"&lt;"&amp;C1951,mdr_rate_cleaned!$F$2:$F$10,"&gt;="&amp;C1951)</f>
        <v>1</v>
      </c>
      <c r="G1951" s="40">
        <f>SUMIFS(mdr_rate_cleaned!$G$2:$G$10,mdr_rate_cleaned!$A$2:$A$10,B1951,mdr_rate_cleaned!$B$2:$B$10,"&lt;"&amp;C1951,mdr_rate_cleaned!$F$2:$F$10,"&gt;="&amp;C1951)</f>
        <v>3.0000000000000001E-3</v>
      </c>
      <c r="H1951" s="24">
        <f t="shared" si="150"/>
        <v>10.5</v>
      </c>
      <c r="I1951" s="23" t="str">
        <f t="shared" si="151"/>
        <v>Match</v>
      </c>
      <c r="J1951" s="23" t="str">
        <f t="shared" si="152"/>
        <v>Match</v>
      </c>
      <c r="K1951" s="24">
        <f t="shared" si="153"/>
        <v>1.89</v>
      </c>
      <c r="L1951" s="24">
        <f t="shared" si="154"/>
        <v>0</v>
      </c>
    </row>
    <row r="1952" spans="1:12" ht="15" customHeight="1" x14ac:dyDescent="0.3">
      <c r="A1952" s="23" t="s">
        <v>14727</v>
      </c>
      <c r="B1952" s="23" t="s">
        <v>81</v>
      </c>
      <c r="C1952" s="39">
        <v>799</v>
      </c>
      <c r="D1952" s="24">
        <v>11.99</v>
      </c>
      <c r="E1952" s="24">
        <v>2.16</v>
      </c>
      <c r="F1952" s="23">
        <f>COUNTIFS(mdr_rate_cleaned!$A$2:$A$10,B1952,mdr_rate_cleaned!$B$2:$B$10,"&lt;"&amp;C1952,mdr_rate_cleaned!$F$2:$F$10,"&gt;="&amp;C1952)</f>
        <v>1</v>
      </c>
      <c r="G1952" s="40">
        <f>SUMIFS(mdr_rate_cleaned!$G$2:$G$10,mdr_rate_cleaned!$A$2:$A$10,B1952,mdr_rate_cleaned!$B$2:$B$10,"&lt;"&amp;C1952,mdr_rate_cleaned!$F$2:$F$10,"&gt;="&amp;C1952)</f>
        <v>1.4999999999999999E-2</v>
      </c>
      <c r="H1952" s="24">
        <f t="shared" si="150"/>
        <v>11.99</v>
      </c>
      <c r="I1952" s="23" t="str">
        <f t="shared" si="151"/>
        <v>Match</v>
      </c>
      <c r="J1952" s="23" t="str">
        <f t="shared" si="152"/>
        <v>Match</v>
      </c>
      <c r="K1952" s="24">
        <f t="shared" si="153"/>
        <v>2.16</v>
      </c>
      <c r="L1952" s="24">
        <f t="shared" si="154"/>
        <v>0</v>
      </c>
    </row>
    <row r="1953" spans="1:12" ht="15" customHeight="1" x14ac:dyDescent="0.3">
      <c r="A1953" s="23" t="s">
        <v>14728</v>
      </c>
      <c r="B1953" s="23" t="s">
        <v>75</v>
      </c>
      <c r="C1953" s="39">
        <v>9498</v>
      </c>
      <c r="D1953" s="24">
        <v>28.49</v>
      </c>
      <c r="E1953" s="24">
        <v>5.13</v>
      </c>
      <c r="F1953" s="23">
        <f>COUNTIFS(mdr_rate_cleaned!$A$2:$A$10,B1953,mdr_rate_cleaned!$B$2:$B$10,"&lt;"&amp;C1953,mdr_rate_cleaned!$F$2:$F$10,"&gt;="&amp;C1953)</f>
        <v>1</v>
      </c>
      <c r="G1953" s="40">
        <f>SUMIFS(mdr_rate_cleaned!$G$2:$G$10,mdr_rate_cleaned!$A$2:$A$10,B1953,mdr_rate_cleaned!$B$2:$B$10,"&lt;"&amp;C1953,mdr_rate_cleaned!$F$2:$F$10,"&gt;="&amp;C1953)</f>
        <v>3.0000000000000001E-3</v>
      </c>
      <c r="H1953" s="24">
        <f t="shared" si="150"/>
        <v>28.49</v>
      </c>
      <c r="I1953" s="23" t="str">
        <f t="shared" si="151"/>
        <v>Match</v>
      </c>
      <c r="J1953" s="23" t="str">
        <f t="shared" si="152"/>
        <v>Match</v>
      </c>
      <c r="K1953" s="24">
        <f t="shared" si="153"/>
        <v>5.13</v>
      </c>
      <c r="L1953" s="24">
        <f t="shared" si="154"/>
        <v>0</v>
      </c>
    </row>
    <row r="1954" spans="1:12" ht="15" customHeight="1" x14ac:dyDescent="0.3">
      <c r="A1954" s="23" t="s">
        <v>14729</v>
      </c>
      <c r="B1954" s="23" t="s">
        <v>75</v>
      </c>
      <c r="C1954" s="39">
        <v>7999</v>
      </c>
      <c r="D1954" s="24">
        <v>24</v>
      </c>
      <c r="E1954" s="24">
        <v>4.32</v>
      </c>
      <c r="F1954" s="23">
        <f>COUNTIFS(mdr_rate_cleaned!$A$2:$A$10,B1954,mdr_rate_cleaned!$B$2:$B$10,"&lt;"&amp;C1954,mdr_rate_cleaned!$F$2:$F$10,"&gt;="&amp;C1954)</f>
        <v>1</v>
      </c>
      <c r="G1954" s="40">
        <f>SUMIFS(mdr_rate_cleaned!$G$2:$G$10,mdr_rate_cleaned!$A$2:$A$10,B1954,mdr_rate_cleaned!$B$2:$B$10,"&lt;"&amp;C1954,mdr_rate_cleaned!$F$2:$F$10,"&gt;="&amp;C1954)</f>
        <v>3.0000000000000001E-3</v>
      </c>
      <c r="H1954" s="24">
        <f t="shared" si="150"/>
        <v>24</v>
      </c>
      <c r="I1954" s="23" t="str">
        <f t="shared" si="151"/>
        <v>Match</v>
      </c>
      <c r="J1954" s="23" t="str">
        <f t="shared" si="152"/>
        <v>Match</v>
      </c>
      <c r="K1954" s="24">
        <f t="shared" si="153"/>
        <v>4.32</v>
      </c>
      <c r="L1954" s="24">
        <f t="shared" si="154"/>
        <v>0</v>
      </c>
    </row>
    <row r="1955" spans="1:12" ht="15" customHeight="1" x14ac:dyDescent="0.3">
      <c r="A1955" s="23" t="s">
        <v>14731</v>
      </c>
      <c r="B1955" s="23" t="s">
        <v>75</v>
      </c>
      <c r="C1955" s="39">
        <v>2499</v>
      </c>
      <c r="D1955" s="24">
        <v>7.5</v>
      </c>
      <c r="E1955" s="24">
        <v>1.35</v>
      </c>
      <c r="F1955" s="23">
        <f>COUNTIFS(mdr_rate_cleaned!$A$2:$A$10,B1955,mdr_rate_cleaned!$B$2:$B$10,"&lt;"&amp;C1955,mdr_rate_cleaned!$F$2:$F$10,"&gt;="&amp;C1955)</f>
        <v>1</v>
      </c>
      <c r="G1955" s="40">
        <f>SUMIFS(mdr_rate_cleaned!$G$2:$G$10,mdr_rate_cleaned!$A$2:$A$10,B1955,mdr_rate_cleaned!$B$2:$B$10,"&lt;"&amp;C1955,mdr_rate_cleaned!$F$2:$F$10,"&gt;="&amp;C1955)</f>
        <v>3.0000000000000001E-3</v>
      </c>
      <c r="H1955" s="24">
        <f t="shared" si="150"/>
        <v>7.5</v>
      </c>
      <c r="I1955" s="23" t="str">
        <f t="shared" si="151"/>
        <v>Match</v>
      </c>
      <c r="J1955" s="23" t="str">
        <f t="shared" si="152"/>
        <v>Match</v>
      </c>
      <c r="K1955" s="24">
        <f t="shared" si="153"/>
        <v>1.35</v>
      </c>
      <c r="L1955" s="24">
        <f t="shared" si="154"/>
        <v>0</v>
      </c>
    </row>
    <row r="1956" spans="1:12" ht="15" customHeight="1" x14ac:dyDescent="0.3">
      <c r="A1956" s="23" t="s">
        <v>14732</v>
      </c>
      <c r="B1956" s="23" t="s">
        <v>77</v>
      </c>
      <c r="C1956" s="39">
        <v>4999</v>
      </c>
      <c r="D1956" s="24">
        <v>84.98</v>
      </c>
      <c r="E1956" s="24">
        <v>15.3</v>
      </c>
      <c r="F1956" s="23">
        <f>COUNTIFS(mdr_rate_cleaned!$A$2:$A$10,B1956,mdr_rate_cleaned!$B$2:$B$10,"&lt;"&amp;C1956,mdr_rate_cleaned!$F$2:$F$10,"&gt;="&amp;C1956)</f>
        <v>1</v>
      </c>
      <c r="G1956" s="40">
        <f>SUMIFS(mdr_rate_cleaned!$G$2:$G$10,mdr_rate_cleaned!$A$2:$A$10,B1956,mdr_rate_cleaned!$B$2:$B$10,"&lt;"&amp;C1956,mdr_rate_cleaned!$F$2:$F$10,"&gt;="&amp;C1956)</f>
        <v>1.7000000000000001E-2</v>
      </c>
      <c r="H1956" s="24">
        <f t="shared" si="150"/>
        <v>84.98</v>
      </c>
      <c r="I1956" s="23" t="str">
        <f t="shared" si="151"/>
        <v>Match</v>
      </c>
      <c r="J1956" s="23" t="str">
        <f t="shared" si="152"/>
        <v>Match</v>
      </c>
      <c r="K1956" s="24">
        <f t="shared" si="153"/>
        <v>15.3</v>
      </c>
      <c r="L1956" s="24">
        <f t="shared" si="154"/>
        <v>0</v>
      </c>
    </row>
    <row r="1957" spans="1:12" ht="15" customHeight="1" x14ac:dyDescent="0.3">
      <c r="A1957" s="23" t="s">
        <v>14734</v>
      </c>
      <c r="B1957" s="23" t="s">
        <v>79</v>
      </c>
      <c r="C1957" s="39">
        <v>299</v>
      </c>
      <c r="D1957" s="24">
        <v>5.38</v>
      </c>
      <c r="E1957" s="24">
        <v>0.97</v>
      </c>
      <c r="F1957" s="23">
        <f>COUNTIFS(mdr_rate_cleaned!$A$2:$A$10,B1957,mdr_rate_cleaned!$B$2:$B$10,"&lt;"&amp;C1957,mdr_rate_cleaned!$F$2:$F$10,"&gt;="&amp;C1957)</f>
        <v>1</v>
      </c>
      <c r="G1957" s="40">
        <f>SUMIFS(mdr_rate_cleaned!$G$2:$G$10,mdr_rate_cleaned!$A$2:$A$10,B1957,mdr_rate_cleaned!$B$2:$B$10,"&lt;"&amp;C1957,mdr_rate_cleaned!$F$2:$F$10,"&gt;="&amp;C1957)</f>
        <v>1.8000000000000002E-2</v>
      </c>
      <c r="H1957" s="24">
        <f t="shared" si="150"/>
        <v>5.38</v>
      </c>
      <c r="I1957" s="23" t="str">
        <f t="shared" si="151"/>
        <v>Match</v>
      </c>
      <c r="J1957" s="23" t="str">
        <f t="shared" si="152"/>
        <v>Match</v>
      </c>
      <c r="K1957" s="24">
        <f t="shared" si="153"/>
        <v>0.97</v>
      </c>
      <c r="L1957" s="24">
        <f t="shared" si="154"/>
        <v>0</v>
      </c>
    </row>
    <row r="1958" spans="1:12" ht="15" customHeight="1" x14ac:dyDescent="0.3">
      <c r="A1958" s="23" t="s">
        <v>14735</v>
      </c>
      <c r="B1958" s="23" t="s">
        <v>81</v>
      </c>
      <c r="C1958" s="39">
        <v>798</v>
      </c>
      <c r="D1958" s="24">
        <v>11.97</v>
      </c>
      <c r="E1958" s="24">
        <v>2.15</v>
      </c>
      <c r="F1958" s="23">
        <f>COUNTIFS(mdr_rate_cleaned!$A$2:$A$10,B1958,mdr_rate_cleaned!$B$2:$B$10,"&lt;"&amp;C1958,mdr_rate_cleaned!$F$2:$F$10,"&gt;="&amp;C1958)</f>
        <v>1</v>
      </c>
      <c r="G1958" s="40">
        <f>SUMIFS(mdr_rate_cleaned!$G$2:$G$10,mdr_rate_cleaned!$A$2:$A$10,B1958,mdr_rate_cleaned!$B$2:$B$10,"&lt;"&amp;C1958,mdr_rate_cleaned!$F$2:$F$10,"&gt;="&amp;C1958)</f>
        <v>1.4999999999999999E-2</v>
      </c>
      <c r="H1958" s="24">
        <f t="shared" si="150"/>
        <v>11.97</v>
      </c>
      <c r="I1958" s="23" t="str">
        <f t="shared" si="151"/>
        <v>Match</v>
      </c>
      <c r="J1958" s="23" t="str">
        <f t="shared" si="152"/>
        <v>Match</v>
      </c>
      <c r="K1958" s="24">
        <f t="shared" si="153"/>
        <v>2.15</v>
      </c>
      <c r="L1958" s="24">
        <f t="shared" si="154"/>
        <v>0</v>
      </c>
    </row>
    <row r="1959" spans="1:12" ht="15" customHeight="1" x14ac:dyDescent="0.3">
      <c r="A1959" s="23" t="s">
        <v>14737</v>
      </c>
      <c r="B1959" s="23" t="s">
        <v>75</v>
      </c>
      <c r="C1959" s="39">
        <v>6297</v>
      </c>
      <c r="D1959" s="24">
        <v>18.89</v>
      </c>
      <c r="E1959" s="24">
        <v>3.4</v>
      </c>
      <c r="F1959" s="23">
        <f>COUNTIFS(mdr_rate_cleaned!$A$2:$A$10,B1959,mdr_rate_cleaned!$B$2:$B$10,"&lt;"&amp;C1959,mdr_rate_cleaned!$F$2:$F$10,"&gt;="&amp;C1959)</f>
        <v>1</v>
      </c>
      <c r="G1959" s="40">
        <f>SUMIFS(mdr_rate_cleaned!$G$2:$G$10,mdr_rate_cleaned!$A$2:$A$10,B1959,mdr_rate_cleaned!$B$2:$B$10,"&lt;"&amp;C1959,mdr_rate_cleaned!$F$2:$F$10,"&gt;="&amp;C1959)</f>
        <v>3.0000000000000001E-3</v>
      </c>
      <c r="H1959" s="24">
        <f t="shared" si="150"/>
        <v>18.89</v>
      </c>
      <c r="I1959" s="23" t="str">
        <f t="shared" si="151"/>
        <v>Match</v>
      </c>
      <c r="J1959" s="23" t="str">
        <f t="shared" si="152"/>
        <v>Match</v>
      </c>
      <c r="K1959" s="24">
        <f t="shared" si="153"/>
        <v>3.4</v>
      </c>
      <c r="L1959" s="24">
        <f t="shared" si="154"/>
        <v>0</v>
      </c>
    </row>
    <row r="1960" spans="1:12" ht="15" customHeight="1" x14ac:dyDescent="0.3">
      <c r="A1960" s="23" t="s">
        <v>14739</v>
      </c>
      <c r="B1960" s="23" t="s">
        <v>75</v>
      </c>
      <c r="C1960" s="39">
        <v>8498</v>
      </c>
      <c r="D1960" s="24">
        <v>25.49</v>
      </c>
      <c r="E1960" s="24">
        <v>4.59</v>
      </c>
      <c r="F1960" s="23">
        <f>COUNTIFS(mdr_rate_cleaned!$A$2:$A$10,B1960,mdr_rate_cleaned!$B$2:$B$10,"&lt;"&amp;C1960,mdr_rate_cleaned!$F$2:$F$10,"&gt;="&amp;C1960)</f>
        <v>1</v>
      </c>
      <c r="G1960" s="40">
        <f>SUMIFS(mdr_rate_cleaned!$G$2:$G$10,mdr_rate_cleaned!$A$2:$A$10,B1960,mdr_rate_cleaned!$B$2:$B$10,"&lt;"&amp;C1960,mdr_rate_cleaned!$F$2:$F$10,"&gt;="&amp;C1960)</f>
        <v>3.0000000000000001E-3</v>
      </c>
      <c r="H1960" s="24">
        <f t="shared" si="150"/>
        <v>25.49</v>
      </c>
      <c r="I1960" s="23" t="str">
        <f t="shared" si="151"/>
        <v>Match</v>
      </c>
      <c r="J1960" s="23" t="str">
        <f t="shared" si="152"/>
        <v>Match</v>
      </c>
      <c r="K1960" s="24">
        <f t="shared" si="153"/>
        <v>4.59</v>
      </c>
      <c r="L1960" s="24">
        <f t="shared" si="154"/>
        <v>0</v>
      </c>
    </row>
    <row r="1961" spans="1:12" ht="15" customHeight="1" x14ac:dyDescent="0.3">
      <c r="A1961" s="23" t="s">
        <v>14740</v>
      </c>
      <c r="B1961" s="23" t="s">
        <v>75</v>
      </c>
      <c r="C1961" s="39">
        <v>8597</v>
      </c>
      <c r="D1961" s="24">
        <v>25.79</v>
      </c>
      <c r="E1961" s="24">
        <v>4.6399999999999997</v>
      </c>
      <c r="F1961" s="23">
        <f>COUNTIFS(mdr_rate_cleaned!$A$2:$A$10,B1961,mdr_rate_cleaned!$B$2:$B$10,"&lt;"&amp;C1961,mdr_rate_cleaned!$F$2:$F$10,"&gt;="&amp;C1961)</f>
        <v>1</v>
      </c>
      <c r="G1961" s="40">
        <f>SUMIFS(mdr_rate_cleaned!$G$2:$G$10,mdr_rate_cleaned!$A$2:$A$10,B1961,mdr_rate_cleaned!$B$2:$B$10,"&lt;"&amp;C1961,mdr_rate_cleaned!$F$2:$F$10,"&gt;="&amp;C1961)</f>
        <v>3.0000000000000001E-3</v>
      </c>
      <c r="H1961" s="24">
        <f t="shared" si="150"/>
        <v>25.79</v>
      </c>
      <c r="I1961" s="23" t="str">
        <f t="shared" si="151"/>
        <v>Match</v>
      </c>
      <c r="J1961" s="23" t="str">
        <f t="shared" si="152"/>
        <v>Match</v>
      </c>
      <c r="K1961" s="24">
        <f t="shared" si="153"/>
        <v>4.6399999999999997</v>
      </c>
      <c r="L1961" s="24">
        <f t="shared" si="154"/>
        <v>0</v>
      </c>
    </row>
    <row r="1962" spans="1:12" ht="15" customHeight="1" x14ac:dyDescent="0.3">
      <c r="A1962" s="23" t="s">
        <v>14741</v>
      </c>
      <c r="B1962" s="23" t="s">
        <v>79</v>
      </c>
      <c r="C1962" s="39">
        <v>8798</v>
      </c>
      <c r="D1962" s="24">
        <v>140.77000000000001</v>
      </c>
      <c r="E1962" s="24">
        <v>25.34</v>
      </c>
      <c r="F1962" s="23">
        <f>COUNTIFS(mdr_rate_cleaned!$A$2:$A$10,B1962,mdr_rate_cleaned!$B$2:$B$10,"&lt;"&amp;C1962,mdr_rate_cleaned!$F$2:$F$10,"&gt;="&amp;C1962)</f>
        <v>1</v>
      </c>
      <c r="G1962" s="40">
        <f>SUMIFS(mdr_rate_cleaned!$G$2:$G$10,mdr_rate_cleaned!$A$2:$A$10,B1962,mdr_rate_cleaned!$B$2:$B$10,"&lt;"&amp;C1962,mdr_rate_cleaned!$F$2:$F$10,"&gt;="&amp;C1962)</f>
        <v>1.6E-2</v>
      </c>
      <c r="H1962" s="24">
        <f t="shared" si="150"/>
        <v>140.77000000000001</v>
      </c>
      <c r="I1962" s="23" t="str">
        <f t="shared" si="151"/>
        <v>Match</v>
      </c>
      <c r="J1962" s="23" t="str">
        <f t="shared" si="152"/>
        <v>Match</v>
      </c>
      <c r="K1962" s="24">
        <f t="shared" si="153"/>
        <v>25.34</v>
      </c>
      <c r="L1962" s="24">
        <f t="shared" si="154"/>
        <v>0</v>
      </c>
    </row>
    <row r="1963" spans="1:12" ht="15" customHeight="1" x14ac:dyDescent="0.3">
      <c r="A1963" s="23" t="s">
        <v>14742</v>
      </c>
      <c r="B1963" s="23" t="s">
        <v>75</v>
      </c>
      <c r="C1963" s="39">
        <v>1299</v>
      </c>
      <c r="D1963" s="24">
        <v>0</v>
      </c>
      <c r="E1963" s="24">
        <v>0</v>
      </c>
      <c r="F1963" s="23">
        <f>COUNTIFS(mdr_rate_cleaned!$A$2:$A$10,B1963,mdr_rate_cleaned!$B$2:$B$10,"&lt;"&amp;C1963,mdr_rate_cleaned!$F$2:$F$10,"&gt;="&amp;C1963)</f>
        <v>1</v>
      </c>
      <c r="G1963" s="40">
        <f>SUMIFS(mdr_rate_cleaned!$G$2:$G$10,mdr_rate_cleaned!$A$2:$A$10,B1963,mdr_rate_cleaned!$B$2:$B$10,"&lt;"&amp;C1963,mdr_rate_cleaned!$F$2:$F$10,"&gt;="&amp;C1963)</f>
        <v>0</v>
      </c>
      <c r="H1963" s="24">
        <f t="shared" si="150"/>
        <v>0</v>
      </c>
      <c r="I1963" s="23" t="str">
        <f t="shared" si="151"/>
        <v>Match</v>
      </c>
      <c r="J1963" s="23" t="str">
        <f t="shared" si="152"/>
        <v>Match</v>
      </c>
      <c r="K1963" s="24">
        <f t="shared" si="153"/>
        <v>0</v>
      </c>
      <c r="L1963" s="24">
        <f t="shared" si="154"/>
        <v>0</v>
      </c>
    </row>
    <row r="1964" spans="1:12" ht="15" customHeight="1" x14ac:dyDescent="0.3">
      <c r="A1964" s="23" t="s">
        <v>14743</v>
      </c>
      <c r="B1964" s="23" t="s">
        <v>75</v>
      </c>
      <c r="C1964" s="39">
        <v>2998</v>
      </c>
      <c r="D1964" s="24">
        <v>8.99</v>
      </c>
      <c r="E1964" s="24">
        <v>1.62</v>
      </c>
      <c r="F1964" s="23">
        <f>COUNTIFS(mdr_rate_cleaned!$A$2:$A$10,B1964,mdr_rate_cleaned!$B$2:$B$10,"&lt;"&amp;C1964,mdr_rate_cleaned!$F$2:$F$10,"&gt;="&amp;C1964)</f>
        <v>1</v>
      </c>
      <c r="G1964" s="40">
        <f>SUMIFS(mdr_rate_cleaned!$G$2:$G$10,mdr_rate_cleaned!$A$2:$A$10,B1964,mdr_rate_cleaned!$B$2:$B$10,"&lt;"&amp;C1964,mdr_rate_cleaned!$F$2:$F$10,"&gt;="&amp;C1964)</f>
        <v>3.0000000000000001E-3</v>
      </c>
      <c r="H1964" s="24">
        <f t="shared" si="150"/>
        <v>8.99</v>
      </c>
      <c r="I1964" s="23" t="str">
        <f t="shared" si="151"/>
        <v>Match</v>
      </c>
      <c r="J1964" s="23" t="str">
        <f t="shared" si="152"/>
        <v>Match</v>
      </c>
      <c r="K1964" s="24">
        <f t="shared" si="153"/>
        <v>1.62</v>
      </c>
      <c r="L1964" s="24">
        <f t="shared" si="154"/>
        <v>0</v>
      </c>
    </row>
    <row r="1965" spans="1:12" ht="15" customHeight="1" x14ac:dyDescent="0.3">
      <c r="A1965" s="23" t="s">
        <v>14744</v>
      </c>
      <c r="B1965" s="23" t="s">
        <v>75</v>
      </c>
      <c r="C1965" s="39">
        <v>8498</v>
      </c>
      <c r="D1965" s="24">
        <v>25.49</v>
      </c>
      <c r="E1965" s="24">
        <v>4.59</v>
      </c>
      <c r="F1965" s="23">
        <f>COUNTIFS(mdr_rate_cleaned!$A$2:$A$10,B1965,mdr_rate_cleaned!$B$2:$B$10,"&lt;"&amp;C1965,mdr_rate_cleaned!$F$2:$F$10,"&gt;="&amp;C1965)</f>
        <v>1</v>
      </c>
      <c r="G1965" s="40">
        <f>SUMIFS(mdr_rate_cleaned!$G$2:$G$10,mdr_rate_cleaned!$A$2:$A$10,B1965,mdr_rate_cleaned!$B$2:$B$10,"&lt;"&amp;C1965,mdr_rate_cleaned!$F$2:$F$10,"&gt;="&amp;C1965)</f>
        <v>3.0000000000000001E-3</v>
      </c>
      <c r="H1965" s="24">
        <f t="shared" si="150"/>
        <v>25.49</v>
      </c>
      <c r="I1965" s="23" t="str">
        <f t="shared" si="151"/>
        <v>Match</v>
      </c>
      <c r="J1965" s="23" t="str">
        <f t="shared" si="152"/>
        <v>Match</v>
      </c>
      <c r="K1965" s="24">
        <f t="shared" si="153"/>
        <v>4.59</v>
      </c>
      <c r="L1965" s="24">
        <f t="shared" si="154"/>
        <v>0</v>
      </c>
    </row>
    <row r="1966" spans="1:12" ht="15" customHeight="1" x14ac:dyDescent="0.3">
      <c r="A1966" s="23" t="s">
        <v>14745</v>
      </c>
      <c r="B1966" s="23" t="s">
        <v>75</v>
      </c>
      <c r="C1966" s="39">
        <v>1799</v>
      </c>
      <c r="D1966" s="24">
        <v>0</v>
      </c>
      <c r="E1966" s="24">
        <v>0</v>
      </c>
      <c r="F1966" s="23">
        <f>COUNTIFS(mdr_rate_cleaned!$A$2:$A$10,B1966,mdr_rate_cleaned!$B$2:$B$10,"&lt;"&amp;C1966,mdr_rate_cleaned!$F$2:$F$10,"&gt;="&amp;C1966)</f>
        <v>1</v>
      </c>
      <c r="G1966" s="40">
        <f>SUMIFS(mdr_rate_cleaned!$G$2:$G$10,mdr_rate_cleaned!$A$2:$A$10,B1966,mdr_rate_cleaned!$B$2:$B$10,"&lt;"&amp;C1966,mdr_rate_cleaned!$F$2:$F$10,"&gt;="&amp;C1966)</f>
        <v>0</v>
      </c>
      <c r="H1966" s="24">
        <f t="shared" si="150"/>
        <v>0</v>
      </c>
      <c r="I1966" s="23" t="str">
        <f t="shared" si="151"/>
        <v>Match</v>
      </c>
      <c r="J1966" s="23" t="str">
        <f t="shared" si="152"/>
        <v>Match</v>
      </c>
      <c r="K1966" s="24">
        <f t="shared" si="153"/>
        <v>0</v>
      </c>
      <c r="L1966" s="24">
        <f t="shared" si="154"/>
        <v>0</v>
      </c>
    </row>
    <row r="1967" spans="1:12" ht="15" customHeight="1" x14ac:dyDescent="0.3">
      <c r="A1967" s="23" t="s">
        <v>14746</v>
      </c>
      <c r="B1967" s="23" t="s">
        <v>75</v>
      </c>
      <c r="C1967" s="39">
        <v>2999</v>
      </c>
      <c r="D1967" s="24">
        <v>9</v>
      </c>
      <c r="E1967" s="24">
        <v>1.62</v>
      </c>
      <c r="F1967" s="23">
        <f>COUNTIFS(mdr_rate_cleaned!$A$2:$A$10,B1967,mdr_rate_cleaned!$B$2:$B$10,"&lt;"&amp;C1967,mdr_rate_cleaned!$F$2:$F$10,"&gt;="&amp;C1967)</f>
        <v>1</v>
      </c>
      <c r="G1967" s="40">
        <f>SUMIFS(mdr_rate_cleaned!$G$2:$G$10,mdr_rate_cleaned!$A$2:$A$10,B1967,mdr_rate_cleaned!$B$2:$B$10,"&lt;"&amp;C1967,mdr_rate_cleaned!$F$2:$F$10,"&gt;="&amp;C1967)</f>
        <v>3.0000000000000001E-3</v>
      </c>
      <c r="H1967" s="24">
        <f t="shared" si="150"/>
        <v>9</v>
      </c>
      <c r="I1967" s="23" t="str">
        <f t="shared" si="151"/>
        <v>Match</v>
      </c>
      <c r="J1967" s="23" t="str">
        <f t="shared" si="152"/>
        <v>Match</v>
      </c>
      <c r="K1967" s="24">
        <f t="shared" si="153"/>
        <v>1.62</v>
      </c>
      <c r="L1967" s="24">
        <f t="shared" si="154"/>
        <v>0</v>
      </c>
    </row>
    <row r="1968" spans="1:12" ht="15" customHeight="1" x14ac:dyDescent="0.3">
      <c r="A1968" s="23" t="s">
        <v>14747</v>
      </c>
      <c r="B1968" s="23" t="s">
        <v>75</v>
      </c>
      <c r="C1968" s="39">
        <v>999</v>
      </c>
      <c r="D1968" s="24">
        <v>0</v>
      </c>
      <c r="E1968" s="24">
        <v>0</v>
      </c>
      <c r="F1968" s="23">
        <f>COUNTIFS(mdr_rate_cleaned!$A$2:$A$10,B1968,mdr_rate_cleaned!$B$2:$B$10,"&lt;"&amp;C1968,mdr_rate_cleaned!$F$2:$F$10,"&gt;="&amp;C1968)</f>
        <v>1</v>
      </c>
      <c r="G1968" s="40">
        <f>SUMIFS(mdr_rate_cleaned!$G$2:$G$10,mdr_rate_cleaned!$A$2:$A$10,B1968,mdr_rate_cleaned!$B$2:$B$10,"&lt;"&amp;C1968,mdr_rate_cleaned!$F$2:$F$10,"&gt;="&amp;C1968)</f>
        <v>0</v>
      </c>
      <c r="H1968" s="24">
        <f t="shared" si="150"/>
        <v>0</v>
      </c>
      <c r="I1968" s="23" t="str">
        <f t="shared" si="151"/>
        <v>Match</v>
      </c>
      <c r="J1968" s="23" t="str">
        <f t="shared" si="152"/>
        <v>Match</v>
      </c>
      <c r="K1968" s="24">
        <f t="shared" si="153"/>
        <v>0</v>
      </c>
      <c r="L1968" s="24">
        <f t="shared" si="154"/>
        <v>0</v>
      </c>
    </row>
    <row r="1969" spans="1:12" ht="15" customHeight="1" x14ac:dyDescent="0.3">
      <c r="A1969" s="23" t="s">
        <v>14749</v>
      </c>
      <c r="B1969" s="23" t="s">
        <v>75</v>
      </c>
      <c r="C1969" s="39">
        <v>1299</v>
      </c>
      <c r="D1969" s="24">
        <v>0</v>
      </c>
      <c r="E1969" s="24">
        <v>0</v>
      </c>
      <c r="F1969" s="23">
        <f>COUNTIFS(mdr_rate_cleaned!$A$2:$A$10,B1969,mdr_rate_cleaned!$B$2:$B$10,"&lt;"&amp;C1969,mdr_rate_cleaned!$F$2:$F$10,"&gt;="&amp;C1969)</f>
        <v>1</v>
      </c>
      <c r="G1969" s="40">
        <f>SUMIFS(mdr_rate_cleaned!$G$2:$G$10,mdr_rate_cleaned!$A$2:$A$10,B1969,mdr_rate_cleaned!$B$2:$B$10,"&lt;"&amp;C1969,mdr_rate_cleaned!$F$2:$F$10,"&gt;="&amp;C1969)</f>
        <v>0</v>
      </c>
      <c r="H1969" s="24">
        <f t="shared" si="150"/>
        <v>0</v>
      </c>
      <c r="I1969" s="23" t="str">
        <f t="shared" si="151"/>
        <v>Match</v>
      </c>
      <c r="J1969" s="23" t="str">
        <f t="shared" si="152"/>
        <v>Match</v>
      </c>
      <c r="K1969" s="24">
        <f t="shared" si="153"/>
        <v>0</v>
      </c>
      <c r="L1969" s="24">
        <f t="shared" si="154"/>
        <v>0</v>
      </c>
    </row>
    <row r="1970" spans="1:12" ht="15" customHeight="1" x14ac:dyDescent="0.3">
      <c r="A1970" s="23" t="s">
        <v>14750</v>
      </c>
      <c r="B1970" s="23" t="s">
        <v>75</v>
      </c>
      <c r="C1970" s="39">
        <v>1499</v>
      </c>
      <c r="D1970" s="24">
        <v>0</v>
      </c>
      <c r="E1970" s="24">
        <v>0</v>
      </c>
      <c r="F1970" s="23">
        <f>COUNTIFS(mdr_rate_cleaned!$A$2:$A$10,B1970,mdr_rate_cleaned!$B$2:$B$10,"&lt;"&amp;C1970,mdr_rate_cleaned!$F$2:$F$10,"&gt;="&amp;C1970)</f>
        <v>1</v>
      </c>
      <c r="G1970" s="40">
        <f>SUMIFS(mdr_rate_cleaned!$G$2:$G$10,mdr_rate_cleaned!$A$2:$A$10,B1970,mdr_rate_cleaned!$B$2:$B$10,"&lt;"&amp;C1970,mdr_rate_cleaned!$F$2:$F$10,"&gt;="&amp;C1970)</f>
        <v>0</v>
      </c>
      <c r="H1970" s="24">
        <f t="shared" si="150"/>
        <v>0</v>
      </c>
      <c r="I1970" s="23" t="str">
        <f t="shared" si="151"/>
        <v>Match</v>
      </c>
      <c r="J1970" s="23" t="str">
        <f t="shared" si="152"/>
        <v>Match</v>
      </c>
      <c r="K1970" s="24">
        <f t="shared" si="153"/>
        <v>0</v>
      </c>
      <c r="L1970" s="24">
        <f t="shared" si="154"/>
        <v>0</v>
      </c>
    </row>
    <row r="1971" spans="1:12" ht="15" customHeight="1" x14ac:dyDescent="0.3">
      <c r="A1971" s="23" t="s">
        <v>14751</v>
      </c>
      <c r="B1971" s="23" t="s">
        <v>75</v>
      </c>
      <c r="C1971" s="39">
        <v>5498</v>
      </c>
      <c r="D1971" s="24">
        <v>16.489999999999998</v>
      </c>
      <c r="E1971" s="24">
        <v>2.97</v>
      </c>
      <c r="F1971" s="23">
        <f>COUNTIFS(mdr_rate_cleaned!$A$2:$A$10,B1971,mdr_rate_cleaned!$B$2:$B$10,"&lt;"&amp;C1971,mdr_rate_cleaned!$F$2:$F$10,"&gt;="&amp;C1971)</f>
        <v>1</v>
      </c>
      <c r="G1971" s="40">
        <f>SUMIFS(mdr_rate_cleaned!$G$2:$G$10,mdr_rate_cleaned!$A$2:$A$10,B1971,mdr_rate_cleaned!$B$2:$B$10,"&lt;"&amp;C1971,mdr_rate_cleaned!$F$2:$F$10,"&gt;="&amp;C1971)</f>
        <v>3.0000000000000001E-3</v>
      </c>
      <c r="H1971" s="24">
        <f t="shared" si="150"/>
        <v>16.489999999999998</v>
      </c>
      <c r="I1971" s="23" t="str">
        <f t="shared" si="151"/>
        <v>Match</v>
      </c>
      <c r="J1971" s="23" t="str">
        <f t="shared" si="152"/>
        <v>Match</v>
      </c>
      <c r="K1971" s="24">
        <f t="shared" si="153"/>
        <v>2.97</v>
      </c>
      <c r="L1971" s="24">
        <f t="shared" si="154"/>
        <v>0</v>
      </c>
    </row>
    <row r="1972" spans="1:12" ht="15" customHeight="1" x14ac:dyDescent="0.3">
      <c r="A1972" s="23" t="s">
        <v>14752</v>
      </c>
      <c r="B1972" s="23" t="s">
        <v>75</v>
      </c>
      <c r="C1972" s="39">
        <v>3298</v>
      </c>
      <c r="D1972" s="24">
        <v>9.89</v>
      </c>
      <c r="E1972" s="24">
        <v>1.78</v>
      </c>
      <c r="F1972" s="23">
        <f>COUNTIFS(mdr_rate_cleaned!$A$2:$A$10,B1972,mdr_rate_cleaned!$B$2:$B$10,"&lt;"&amp;C1972,mdr_rate_cleaned!$F$2:$F$10,"&gt;="&amp;C1972)</f>
        <v>1</v>
      </c>
      <c r="G1972" s="40">
        <f>SUMIFS(mdr_rate_cleaned!$G$2:$G$10,mdr_rate_cleaned!$A$2:$A$10,B1972,mdr_rate_cleaned!$B$2:$B$10,"&lt;"&amp;C1972,mdr_rate_cleaned!$F$2:$F$10,"&gt;="&amp;C1972)</f>
        <v>3.0000000000000001E-3</v>
      </c>
      <c r="H1972" s="24">
        <f t="shared" si="150"/>
        <v>9.89</v>
      </c>
      <c r="I1972" s="23" t="str">
        <f t="shared" si="151"/>
        <v>Match</v>
      </c>
      <c r="J1972" s="23" t="str">
        <f t="shared" si="152"/>
        <v>Match</v>
      </c>
      <c r="K1972" s="24">
        <f t="shared" si="153"/>
        <v>1.78</v>
      </c>
      <c r="L1972" s="24">
        <f t="shared" si="154"/>
        <v>0</v>
      </c>
    </row>
    <row r="1973" spans="1:12" ht="15" customHeight="1" x14ac:dyDescent="0.3">
      <c r="A1973" s="23" t="s">
        <v>14753</v>
      </c>
      <c r="B1973" s="23" t="s">
        <v>75</v>
      </c>
      <c r="C1973" s="39">
        <v>2998</v>
      </c>
      <c r="D1973" s="24">
        <v>8.99</v>
      </c>
      <c r="E1973" s="24">
        <v>1.62</v>
      </c>
      <c r="F1973" s="23">
        <f>COUNTIFS(mdr_rate_cleaned!$A$2:$A$10,B1973,mdr_rate_cleaned!$B$2:$B$10,"&lt;"&amp;C1973,mdr_rate_cleaned!$F$2:$F$10,"&gt;="&amp;C1973)</f>
        <v>1</v>
      </c>
      <c r="G1973" s="40">
        <f>SUMIFS(mdr_rate_cleaned!$G$2:$G$10,mdr_rate_cleaned!$A$2:$A$10,B1973,mdr_rate_cleaned!$B$2:$B$10,"&lt;"&amp;C1973,mdr_rate_cleaned!$F$2:$F$10,"&gt;="&amp;C1973)</f>
        <v>3.0000000000000001E-3</v>
      </c>
      <c r="H1973" s="24">
        <f t="shared" si="150"/>
        <v>8.99</v>
      </c>
      <c r="I1973" s="23" t="str">
        <f t="shared" si="151"/>
        <v>Match</v>
      </c>
      <c r="J1973" s="23" t="str">
        <f t="shared" si="152"/>
        <v>Match</v>
      </c>
      <c r="K1973" s="24">
        <f t="shared" si="153"/>
        <v>1.62</v>
      </c>
      <c r="L1973" s="24">
        <f t="shared" si="154"/>
        <v>0</v>
      </c>
    </row>
    <row r="1974" spans="1:12" ht="15" customHeight="1" x14ac:dyDescent="0.3">
      <c r="A1974" s="23" t="s">
        <v>14755</v>
      </c>
      <c r="B1974" s="23" t="s">
        <v>79</v>
      </c>
      <c r="C1974" s="39">
        <v>499</v>
      </c>
      <c r="D1974" s="24">
        <v>8.98</v>
      </c>
      <c r="E1974" s="24">
        <v>1.62</v>
      </c>
      <c r="F1974" s="23">
        <f>COUNTIFS(mdr_rate_cleaned!$A$2:$A$10,B1974,mdr_rate_cleaned!$B$2:$B$10,"&lt;"&amp;C1974,mdr_rate_cleaned!$F$2:$F$10,"&gt;="&amp;C1974)</f>
        <v>1</v>
      </c>
      <c r="G1974" s="40">
        <f>SUMIFS(mdr_rate_cleaned!$G$2:$G$10,mdr_rate_cleaned!$A$2:$A$10,B1974,mdr_rate_cleaned!$B$2:$B$10,"&lt;"&amp;C1974,mdr_rate_cleaned!$F$2:$F$10,"&gt;="&amp;C1974)</f>
        <v>1.8000000000000002E-2</v>
      </c>
      <c r="H1974" s="24">
        <f t="shared" si="150"/>
        <v>8.98</v>
      </c>
      <c r="I1974" s="23" t="str">
        <f t="shared" si="151"/>
        <v>Match</v>
      </c>
      <c r="J1974" s="23" t="str">
        <f t="shared" si="152"/>
        <v>Match</v>
      </c>
      <c r="K1974" s="24">
        <f t="shared" si="153"/>
        <v>1.62</v>
      </c>
      <c r="L1974" s="24">
        <f t="shared" si="154"/>
        <v>0</v>
      </c>
    </row>
    <row r="1975" spans="1:12" ht="15" customHeight="1" x14ac:dyDescent="0.3">
      <c r="A1975" s="23" t="s">
        <v>14756</v>
      </c>
      <c r="B1975" s="23" t="s">
        <v>79</v>
      </c>
      <c r="C1975" s="39">
        <v>4999</v>
      </c>
      <c r="D1975" s="24">
        <v>79.98</v>
      </c>
      <c r="E1975" s="24">
        <v>14.4</v>
      </c>
      <c r="F1975" s="23">
        <f>COUNTIFS(mdr_rate_cleaned!$A$2:$A$10,B1975,mdr_rate_cleaned!$B$2:$B$10,"&lt;"&amp;C1975,mdr_rate_cleaned!$F$2:$F$10,"&gt;="&amp;C1975)</f>
        <v>1</v>
      </c>
      <c r="G1975" s="40">
        <f>SUMIFS(mdr_rate_cleaned!$G$2:$G$10,mdr_rate_cleaned!$A$2:$A$10,B1975,mdr_rate_cleaned!$B$2:$B$10,"&lt;"&amp;C1975,mdr_rate_cleaned!$F$2:$F$10,"&gt;="&amp;C1975)</f>
        <v>1.6E-2</v>
      </c>
      <c r="H1975" s="24">
        <f t="shared" si="150"/>
        <v>79.98</v>
      </c>
      <c r="I1975" s="23" t="str">
        <f t="shared" si="151"/>
        <v>Match</v>
      </c>
      <c r="J1975" s="23" t="str">
        <f t="shared" si="152"/>
        <v>Match</v>
      </c>
      <c r="K1975" s="24">
        <f t="shared" si="153"/>
        <v>14.4</v>
      </c>
      <c r="L1975" s="24">
        <f t="shared" si="154"/>
        <v>0</v>
      </c>
    </row>
    <row r="1976" spans="1:12" ht="15" customHeight="1" x14ac:dyDescent="0.3">
      <c r="A1976" s="23" t="s">
        <v>14757</v>
      </c>
      <c r="B1976" s="23" t="s">
        <v>81</v>
      </c>
      <c r="C1976" s="39">
        <v>2999</v>
      </c>
      <c r="D1976" s="24">
        <v>35.99</v>
      </c>
      <c r="E1976" s="24">
        <v>6.48</v>
      </c>
      <c r="F1976" s="23">
        <f>COUNTIFS(mdr_rate_cleaned!$A$2:$A$10,B1976,mdr_rate_cleaned!$B$2:$B$10,"&lt;"&amp;C1976,mdr_rate_cleaned!$F$2:$F$10,"&gt;="&amp;C1976)</f>
        <v>1</v>
      </c>
      <c r="G1976" s="40">
        <f>SUMIFS(mdr_rate_cleaned!$G$2:$G$10,mdr_rate_cleaned!$A$2:$A$10,B1976,mdr_rate_cleaned!$B$2:$B$10,"&lt;"&amp;C1976,mdr_rate_cleaned!$F$2:$F$10,"&gt;="&amp;C1976)</f>
        <v>1.2E-2</v>
      </c>
      <c r="H1976" s="24">
        <f t="shared" si="150"/>
        <v>35.99</v>
      </c>
      <c r="I1976" s="23" t="str">
        <f t="shared" si="151"/>
        <v>Match</v>
      </c>
      <c r="J1976" s="23" t="str">
        <f t="shared" si="152"/>
        <v>Match</v>
      </c>
      <c r="K1976" s="24">
        <f t="shared" si="153"/>
        <v>6.48</v>
      </c>
      <c r="L1976" s="24">
        <f t="shared" si="154"/>
        <v>0</v>
      </c>
    </row>
    <row r="1977" spans="1:12" ht="15" customHeight="1" x14ac:dyDescent="0.3">
      <c r="A1977" s="23" t="s">
        <v>14758</v>
      </c>
      <c r="B1977" s="23" t="s">
        <v>75</v>
      </c>
      <c r="C1977" s="39">
        <v>4298</v>
      </c>
      <c r="D1977" s="24">
        <v>12.89</v>
      </c>
      <c r="E1977" s="24">
        <v>2.3199999999999998</v>
      </c>
      <c r="F1977" s="23">
        <f>COUNTIFS(mdr_rate_cleaned!$A$2:$A$10,B1977,mdr_rate_cleaned!$B$2:$B$10,"&lt;"&amp;C1977,mdr_rate_cleaned!$F$2:$F$10,"&gt;="&amp;C1977)</f>
        <v>1</v>
      </c>
      <c r="G1977" s="40">
        <f>SUMIFS(mdr_rate_cleaned!$G$2:$G$10,mdr_rate_cleaned!$A$2:$A$10,B1977,mdr_rate_cleaned!$B$2:$B$10,"&lt;"&amp;C1977,mdr_rate_cleaned!$F$2:$F$10,"&gt;="&amp;C1977)</f>
        <v>3.0000000000000001E-3</v>
      </c>
      <c r="H1977" s="24">
        <f t="shared" si="150"/>
        <v>12.89</v>
      </c>
      <c r="I1977" s="23" t="str">
        <f t="shared" si="151"/>
        <v>Match</v>
      </c>
      <c r="J1977" s="23" t="str">
        <f t="shared" si="152"/>
        <v>Match</v>
      </c>
      <c r="K1977" s="24">
        <f t="shared" si="153"/>
        <v>2.3199999999999998</v>
      </c>
      <c r="L1977" s="24">
        <f t="shared" si="154"/>
        <v>0</v>
      </c>
    </row>
    <row r="1978" spans="1:12" ht="15" customHeight="1" x14ac:dyDescent="0.3">
      <c r="A1978" s="23" t="s">
        <v>14760</v>
      </c>
      <c r="B1978" s="23" t="s">
        <v>79</v>
      </c>
      <c r="C1978" s="39">
        <v>1997</v>
      </c>
      <c r="D1978" s="24">
        <v>35.950000000000003</v>
      </c>
      <c r="E1978" s="24">
        <v>6.47</v>
      </c>
      <c r="F1978" s="23">
        <f>COUNTIFS(mdr_rate_cleaned!$A$2:$A$10,B1978,mdr_rate_cleaned!$B$2:$B$10,"&lt;"&amp;C1978,mdr_rate_cleaned!$F$2:$F$10,"&gt;="&amp;C1978)</f>
        <v>1</v>
      </c>
      <c r="G1978" s="40">
        <f>SUMIFS(mdr_rate_cleaned!$G$2:$G$10,mdr_rate_cleaned!$A$2:$A$10,B1978,mdr_rate_cleaned!$B$2:$B$10,"&lt;"&amp;C1978,mdr_rate_cleaned!$F$2:$F$10,"&gt;="&amp;C1978)</f>
        <v>1.8000000000000002E-2</v>
      </c>
      <c r="H1978" s="24">
        <f t="shared" si="150"/>
        <v>35.950000000000003</v>
      </c>
      <c r="I1978" s="23" t="str">
        <f t="shared" si="151"/>
        <v>Match</v>
      </c>
      <c r="J1978" s="23" t="str">
        <f t="shared" si="152"/>
        <v>Match</v>
      </c>
      <c r="K1978" s="24">
        <f t="shared" si="153"/>
        <v>6.47</v>
      </c>
      <c r="L1978" s="24">
        <f t="shared" si="154"/>
        <v>0</v>
      </c>
    </row>
    <row r="1979" spans="1:12" ht="15" customHeight="1" x14ac:dyDescent="0.3">
      <c r="A1979" s="23" t="s">
        <v>14761</v>
      </c>
      <c r="B1979" s="23" t="s">
        <v>81</v>
      </c>
      <c r="C1979" s="39">
        <v>5998</v>
      </c>
      <c r="D1979" s="24">
        <v>71.98</v>
      </c>
      <c r="E1979" s="24">
        <v>12.96</v>
      </c>
      <c r="F1979" s="23">
        <f>COUNTIFS(mdr_rate_cleaned!$A$2:$A$10,B1979,mdr_rate_cleaned!$B$2:$B$10,"&lt;"&amp;C1979,mdr_rate_cleaned!$F$2:$F$10,"&gt;="&amp;C1979)</f>
        <v>1</v>
      </c>
      <c r="G1979" s="40">
        <f>SUMIFS(mdr_rate_cleaned!$G$2:$G$10,mdr_rate_cleaned!$A$2:$A$10,B1979,mdr_rate_cleaned!$B$2:$B$10,"&lt;"&amp;C1979,mdr_rate_cleaned!$F$2:$F$10,"&gt;="&amp;C1979)</f>
        <v>1.2E-2</v>
      </c>
      <c r="H1979" s="24">
        <f t="shared" si="150"/>
        <v>71.98</v>
      </c>
      <c r="I1979" s="23" t="str">
        <f t="shared" si="151"/>
        <v>Match</v>
      </c>
      <c r="J1979" s="23" t="str">
        <f t="shared" si="152"/>
        <v>Match</v>
      </c>
      <c r="K1979" s="24">
        <f t="shared" si="153"/>
        <v>12.96</v>
      </c>
      <c r="L1979" s="24">
        <f t="shared" si="154"/>
        <v>0</v>
      </c>
    </row>
    <row r="1980" spans="1:12" ht="15" customHeight="1" x14ac:dyDescent="0.3">
      <c r="A1980" s="23" t="s">
        <v>14762</v>
      </c>
      <c r="B1980" s="23" t="s">
        <v>75</v>
      </c>
      <c r="C1980" s="39">
        <v>8797</v>
      </c>
      <c r="D1980" s="24">
        <v>26.39</v>
      </c>
      <c r="E1980" s="24">
        <v>4.75</v>
      </c>
      <c r="F1980" s="23">
        <f>COUNTIFS(mdr_rate_cleaned!$A$2:$A$10,B1980,mdr_rate_cleaned!$B$2:$B$10,"&lt;"&amp;C1980,mdr_rate_cleaned!$F$2:$F$10,"&gt;="&amp;C1980)</f>
        <v>1</v>
      </c>
      <c r="G1980" s="40">
        <f>SUMIFS(mdr_rate_cleaned!$G$2:$G$10,mdr_rate_cleaned!$A$2:$A$10,B1980,mdr_rate_cleaned!$B$2:$B$10,"&lt;"&amp;C1980,mdr_rate_cleaned!$F$2:$F$10,"&gt;="&amp;C1980)</f>
        <v>3.0000000000000001E-3</v>
      </c>
      <c r="H1980" s="24">
        <f t="shared" si="150"/>
        <v>26.39</v>
      </c>
      <c r="I1980" s="23" t="str">
        <f t="shared" si="151"/>
        <v>Match</v>
      </c>
      <c r="J1980" s="23" t="str">
        <f t="shared" si="152"/>
        <v>Match</v>
      </c>
      <c r="K1980" s="24">
        <f t="shared" si="153"/>
        <v>4.75</v>
      </c>
      <c r="L1980" s="24">
        <f t="shared" si="154"/>
        <v>0</v>
      </c>
    </row>
    <row r="1981" spans="1:12" ht="15" customHeight="1" x14ac:dyDescent="0.3">
      <c r="A1981" s="23" t="s">
        <v>14763</v>
      </c>
      <c r="B1981" s="23" t="s">
        <v>75</v>
      </c>
      <c r="C1981" s="39">
        <v>499</v>
      </c>
      <c r="D1981" s="24">
        <v>0</v>
      </c>
      <c r="E1981" s="24">
        <v>0</v>
      </c>
      <c r="F1981" s="23">
        <f>COUNTIFS(mdr_rate_cleaned!$A$2:$A$10,B1981,mdr_rate_cleaned!$B$2:$B$10,"&lt;"&amp;C1981,mdr_rate_cleaned!$F$2:$F$10,"&gt;="&amp;C1981)</f>
        <v>1</v>
      </c>
      <c r="G1981" s="40">
        <f>SUMIFS(mdr_rate_cleaned!$G$2:$G$10,mdr_rate_cleaned!$A$2:$A$10,B1981,mdr_rate_cleaned!$B$2:$B$10,"&lt;"&amp;C1981,mdr_rate_cleaned!$F$2:$F$10,"&gt;="&amp;C1981)</f>
        <v>0</v>
      </c>
      <c r="H1981" s="24">
        <f t="shared" si="150"/>
        <v>0</v>
      </c>
      <c r="I1981" s="23" t="str">
        <f t="shared" si="151"/>
        <v>Match</v>
      </c>
      <c r="J1981" s="23" t="str">
        <f t="shared" si="152"/>
        <v>Match</v>
      </c>
      <c r="K1981" s="24">
        <f t="shared" si="153"/>
        <v>0</v>
      </c>
      <c r="L1981" s="24">
        <f t="shared" si="154"/>
        <v>0</v>
      </c>
    </row>
    <row r="1982" spans="1:12" ht="15" customHeight="1" x14ac:dyDescent="0.3">
      <c r="A1982" s="23" t="s">
        <v>14764</v>
      </c>
      <c r="B1982" s="23" t="s">
        <v>75</v>
      </c>
      <c r="C1982" s="39">
        <v>1499</v>
      </c>
      <c r="D1982" s="24">
        <v>0</v>
      </c>
      <c r="E1982" s="24">
        <v>0</v>
      </c>
      <c r="F1982" s="23">
        <f>COUNTIFS(mdr_rate_cleaned!$A$2:$A$10,B1982,mdr_rate_cleaned!$B$2:$B$10,"&lt;"&amp;C1982,mdr_rate_cleaned!$F$2:$F$10,"&gt;="&amp;C1982)</f>
        <v>1</v>
      </c>
      <c r="G1982" s="40">
        <f>SUMIFS(mdr_rate_cleaned!$G$2:$G$10,mdr_rate_cleaned!$A$2:$A$10,B1982,mdr_rate_cleaned!$B$2:$B$10,"&lt;"&amp;C1982,mdr_rate_cleaned!$F$2:$F$10,"&gt;="&amp;C1982)</f>
        <v>0</v>
      </c>
      <c r="H1982" s="24">
        <f t="shared" si="150"/>
        <v>0</v>
      </c>
      <c r="I1982" s="23" t="str">
        <f t="shared" si="151"/>
        <v>Match</v>
      </c>
      <c r="J1982" s="23" t="str">
        <f t="shared" si="152"/>
        <v>Match</v>
      </c>
      <c r="K1982" s="24">
        <f t="shared" si="153"/>
        <v>0</v>
      </c>
      <c r="L1982" s="24">
        <f t="shared" si="154"/>
        <v>0</v>
      </c>
    </row>
    <row r="1983" spans="1:12" ht="15" customHeight="1" x14ac:dyDescent="0.3">
      <c r="A1983" s="23" t="s">
        <v>14765</v>
      </c>
      <c r="B1983" s="23" t="s">
        <v>75</v>
      </c>
      <c r="C1983" s="39">
        <v>499</v>
      </c>
      <c r="D1983" s="24">
        <v>0</v>
      </c>
      <c r="E1983" s="24">
        <v>0</v>
      </c>
      <c r="F1983" s="23">
        <f>COUNTIFS(mdr_rate_cleaned!$A$2:$A$10,B1983,mdr_rate_cleaned!$B$2:$B$10,"&lt;"&amp;C1983,mdr_rate_cleaned!$F$2:$F$10,"&gt;="&amp;C1983)</f>
        <v>1</v>
      </c>
      <c r="G1983" s="40">
        <f>SUMIFS(mdr_rate_cleaned!$G$2:$G$10,mdr_rate_cleaned!$A$2:$A$10,B1983,mdr_rate_cleaned!$B$2:$B$10,"&lt;"&amp;C1983,mdr_rate_cleaned!$F$2:$F$10,"&gt;="&amp;C1983)</f>
        <v>0</v>
      </c>
      <c r="H1983" s="24">
        <f t="shared" si="150"/>
        <v>0</v>
      </c>
      <c r="I1983" s="23" t="str">
        <f t="shared" si="151"/>
        <v>Match</v>
      </c>
      <c r="J1983" s="23" t="str">
        <f t="shared" si="152"/>
        <v>Match</v>
      </c>
      <c r="K1983" s="24">
        <f t="shared" si="153"/>
        <v>0</v>
      </c>
      <c r="L1983" s="24">
        <f t="shared" si="154"/>
        <v>0</v>
      </c>
    </row>
    <row r="1984" spans="1:12" ht="15" customHeight="1" x14ac:dyDescent="0.3">
      <c r="A1984" s="23" t="s">
        <v>14766</v>
      </c>
      <c r="B1984" s="23" t="s">
        <v>75</v>
      </c>
      <c r="C1984" s="39">
        <v>5298</v>
      </c>
      <c r="D1984" s="24">
        <v>15.89</v>
      </c>
      <c r="E1984" s="24">
        <v>2.86</v>
      </c>
      <c r="F1984" s="23">
        <f>COUNTIFS(mdr_rate_cleaned!$A$2:$A$10,B1984,mdr_rate_cleaned!$B$2:$B$10,"&lt;"&amp;C1984,mdr_rate_cleaned!$F$2:$F$10,"&gt;="&amp;C1984)</f>
        <v>1</v>
      </c>
      <c r="G1984" s="40">
        <f>SUMIFS(mdr_rate_cleaned!$G$2:$G$10,mdr_rate_cleaned!$A$2:$A$10,B1984,mdr_rate_cleaned!$B$2:$B$10,"&lt;"&amp;C1984,mdr_rate_cleaned!$F$2:$F$10,"&gt;="&amp;C1984)</f>
        <v>3.0000000000000001E-3</v>
      </c>
      <c r="H1984" s="24">
        <f t="shared" si="150"/>
        <v>15.89</v>
      </c>
      <c r="I1984" s="23" t="str">
        <f t="shared" si="151"/>
        <v>Match</v>
      </c>
      <c r="J1984" s="23" t="str">
        <f t="shared" si="152"/>
        <v>Match</v>
      </c>
      <c r="K1984" s="24">
        <f t="shared" si="153"/>
        <v>2.86</v>
      </c>
      <c r="L1984" s="24">
        <f t="shared" si="154"/>
        <v>0</v>
      </c>
    </row>
    <row r="1985" spans="1:12" ht="15" customHeight="1" x14ac:dyDescent="0.3">
      <c r="A1985" s="23" t="s">
        <v>14767</v>
      </c>
      <c r="B1985" s="23" t="s">
        <v>79</v>
      </c>
      <c r="C1985" s="39">
        <v>299</v>
      </c>
      <c r="D1985" s="24">
        <v>5.38</v>
      </c>
      <c r="E1985" s="24">
        <v>0.97</v>
      </c>
      <c r="F1985" s="23">
        <f>COUNTIFS(mdr_rate_cleaned!$A$2:$A$10,B1985,mdr_rate_cleaned!$B$2:$B$10,"&lt;"&amp;C1985,mdr_rate_cleaned!$F$2:$F$10,"&gt;="&amp;C1985)</f>
        <v>1</v>
      </c>
      <c r="G1985" s="40">
        <f>SUMIFS(mdr_rate_cleaned!$G$2:$G$10,mdr_rate_cleaned!$A$2:$A$10,B1985,mdr_rate_cleaned!$B$2:$B$10,"&lt;"&amp;C1985,mdr_rate_cleaned!$F$2:$F$10,"&gt;="&amp;C1985)</f>
        <v>1.8000000000000002E-2</v>
      </c>
      <c r="H1985" s="24">
        <f t="shared" si="150"/>
        <v>5.38</v>
      </c>
      <c r="I1985" s="23" t="str">
        <f t="shared" si="151"/>
        <v>Match</v>
      </c>
      <c r="J1985" s="23" t="str">
        <f t="shared" si="152"/>
        <v>Match</v>
      </c>
      <c r="K1985" s="24">
        <f t="shared" si="153"/>
        <v>0.97</v>
      </c>
      <c r="L1985" s="24">
        <f t="shared" si="154"/>
        <v>0</v>
      </c>
    </row>
    <row r="1986" spans="1:12" ht="15" customHeight="1" x14ac:dyDescent="0.3">
      <c r="A1986" s="23" t="s">
        <v>14768</v>
      </c>
      <c r="B1986" s="23" t="s">
        <v>75</v>
      </c>
      <c r="C1986" s="39">
        <v>999</v>
      </c>
      <c r="D1986" s="24">
        <v>0</v>
      </c>
      <c r="E1986" s="24">
        <v>0</v>
      </c>
      <c r="F1986" s="23">
        <f>COUNTIFS(mdr_rate_cleaned!$A$2:$A$10,B1986,mdr_rate_cleaned!$B$2:$B$10,"&lt;"&amp;C1986,mdr_rate_cleaned!$F$2:$F$10,"&gt;="&amp;C1986)</f>
        <v>1</v>
      </c>
      <c r="G1986" s="40">
        <f>SUMIFS(mdr_rate_cleaned!$G$2:$G$10,mdr_rate_cleaned!$A$2:$A$10,B1986,mdr_rate_cleaned!$B$2:$B$10,"&lt;"&amp;C1986,mdr_rate_cleaned!$F$2:$F$10,"&gt;="&amp;C1986)</f>
        <v>0</v>
      </c>
      <c r="H1986" s="24">
        <f t="shared" ref="H1986:H2049" si="155">ROUND(C1986*G1986,2)</f>
        <v>0</v>
      </c>
      <c r="I1986" s="23" t="str">
        <f t="shared" ref="I1986:I2049" si="156">IF(ROUND(D1986-H1986,2)=0,"Match","Differs")</f>
        <v>Match</v>
      </c>
      <c r="J1986" s="23" t="str">
        <f t="shared" ref="J1986:J2049" si="157">IF(ROUND(E1986-ROUND(D1986*0.18,2),2)=0,"Match","Differs")</f>
        <v>Match</v>
      </c>
      <c r="K1986" s="24">
        <f t="shared" ref="K1986:K2049" si="158">ROUND(H1986*0.18,2)</f>
        <v>0</v>
      </c>
      <c r="L1986" s="24">
        <f t="shared" ref="L1986:L2049" si="159">ROUND(D1986+E1986-H1986-K1986,2)</f>
        <v>0</v>
      </c>
    </row>
    <row r="1987" spans="1:12" ht="15" customHeight="1" x14ac:dyDescent="0.3">
      <c r="A1987" s="23" t="s">
        <v>14769</v>
      </c>
      <c r="B1987" s="23" t="s">
        <v>77</v>
      </c>
      <c r="C1987" s="39">
        <v>299</v>
      </c>
      <c r="D1987" s="24">
        <v>5.68</v>
      </c>
      <c r="E1987" s="24">
        <v>1.02</v>
      </c>
      <c r="F1987" s="23">
        <f>COUNTIFS(mdr_rate_cleaned!$A$2:$A$10,B1987,mdr_rate_cleaned!$B$2:$B$10,"&lt;"&amp;C1987,mdr_rate_cleaned!$F$2:$F$10,"&gt;="&amp;C1987)</f>
        <v>1</v>
      </c>
      <c r="G1987" s="40">
        <f>SUMIFS(mdr_rate_cleaned!$G$2:$G$10,mdr_rate_cleaned!$A$2:$A$10,B1987,mdr_rate_cleaned!$B$2:$B$10,"&lt;"&amp;C1987,mdr_rate_cleaned!$F$2:$F$10,"&gt;="&amp;C1987)</f>
        <v>1.9E-2</v>
      </c>
      <c r="H1987" s="24">
        <f t="shared" si="155"/>
        <v>5.68</v>
      </c>
      <c r="I1987" s="23" t="str">
        <f t="shared" si="156"/>
        <v>Match</v>
      </c>
      <c r="J1987" s="23" t="str">
        <f t="shared" si="157"/>
        <v>Match</v>
      </c>
      <c r="K1987" s="24">
        <f t="shared" si="158"/>
        <v>1.02</v>
      </c>
      <c r="L1987" s="24">
        <f t="shared" si="159"/>
        <v>0</v>
      </c>
    </row>
    <row r="1988" spans="1:12" ht="15" customHeight="1" x14ac:dyDescent="0.3">
      <c r="A1988" s="23" t="s">
        <v>14770</v>
      </c>
      <c r="B1988" s="23" t="s">
        <v>75</v>
      </c>
      <c r="C1988" s="39">
        <v>299</v>
      </c>
      <c r="D1988" s="24">
        <v>0</v>
      </c>
      <c r="E1988" s="24">
        <v>0</v>
      </c>
      <c r="F1988" s="23">
        <f>COUNTIFS(mdr_rate_cleaned!$A$2:$A$10,B1988,mdr_rate_cleaned!$B$2:$B$10,"&lt;"&amp;C1988,mdr_rate_cleaned!$F$2:$F$10,"&gt;="&amp;C1988)</f>
        <v>1</v>
      </c>
      <c r="G1988" s="40">
        <f>SUMIFS(mdr_rate_cleaned!$G$2:$G$10,mdr_rate_cleaned!$A$2:$A$10,B1988,mdr_rate_cleaned!$B$2:$B$10,"&lt;"&amp;C1988,mdr_rate_cleaned!$F$2:$F$10,"&gt;="&amp;C1988)</f>
        <v>0</v>
      </c>
      <c r="H1988" s="24">
        <f t="shared" si="155"/>
        <v>0</v>
      </c>
      <c r="I1988" s="23" t="str">
        <f t="shared" si="156"/>
        <v>Match</v>
      </c>
      <c r="J1988" s="23" t="str">
        <f t="shared" si="157"/>
        <v>Match</v>
      </c>
      <c r="K1988" s="24">
        <f t="shared" si="158"/>
        <v>0</v>
      </c>
      <c r="L1988" s="24">
        <f t="shared" si="159"/>
        <v>0</v>
      </c>
    </row>
    <row r="1989" spans="1:12" ht="15" customHeight="1" x14ac:dyDescent="0.3">
      <c r="A1989" s="23" t="s">
        <v>14771</v>
      </c>
      <c r="B1989" s="23" t="s">
        <v>75</v>
      </c>
      <c r="C1989" s="39">
        <v>349</v>
      </c>
      <c r="D1989" s="24">
        <v>0</v>
      </c>
      <c r="E1989" s="24">
        <v>0</v>
      </c>
      <c r="F1989" s="23">
        <f>COUNTIFS(mdr_rate_cleaned!$A$2:$A$10,B1989,mdr_rate_cleaned!$B$2:$B$10,"&lt;"&amp;C1989,mdr_rate_cleaned!$F$2:$F$10,"&gt;="&amp;C1989)</f>
        <v>1</v>
      </c>
      <c r="G1989" s="40">
        <f>SUMIFS(mdr_rate_cleaned!$G$2:$G$10,mdr_rate_cleaned!$A$2:$A$10,B1989,mdr_rate_cleaned!$B$2:$B$10,"&lt;"&amp;C1989,mdr_rate_cleaned!$F$2:$F$10,"&gt;="&amp;C1989)</f>
        <v>0</v>
      </c>
      <c r="H1989" s="24">
        <f t="shared" si="155"/>
        <v>0</v>
      </c>
      <c r="I1989" s="23" t="str">
        <f t="shared" si="156"/>
        <v>Match</v>
      </c>
      <c r="J1989" s="23" t="str">
        <f t="shared" si="157"/>
        <v>Match</v>
      </c>
      <c r="K1989" s="24">
        <f t="shared" si="158"/>
        <v>0</v>
      </c>
      <c r="L1989" s="24">
        <f t="shared" si="159"/>
        <v>0</v>
      </c>
    </row>
    <row r="1990" spans="1:12" ht="15" customHeight="1" x14ac:dyDescent="0.3">
      <c r="A1990" s="23" t="s">
        <v>14772</v>
      </c>
      <c r="B1990" s="23" t="s">
        <v>75</v>
      </c>
      <c r="C1990" s="39">
        <v>3499</v>
      </c>
      <c r="D1990" s="24">
        <v>10.5</v>
      </c>
      <c r="E1990" s="24">
        <v>1.89</v>
      </c>
      <c r="F1990" s="23">
        <f>COUNTIFS(mdr_rate_cleaned!$A$2:$A$10,B1990,mdr_rate_cleaned!$B$2:$B$10,"&lt;"&amp;C1990,mdr_rate_cleaned!$F$2:$F$10,"&gt;="&amp;C1990)</f>
        <v>1</v>
      </c>
      <c r="G1990" s="40">
        <f>SUMIFS(mdr_rate_cleaned!$G$2:$G$10,mdr_rate_cleaned!$A$2:$A$10,B1990,mdr_rate_cleaned!$B$2:$B$10,"&lt;"&amp;C1990,mdr_rate_cleaned!$F$2:$F$10,"&gt;="&amp;C1990)</f>
        <v>3.0000000000000001E-3</v>
      </c>
      <c r="H1990" s="24">
        <f t="shared" si="155"/>
        <v>10.5</v>
      </c>
      <c r="I1990" s="23" t="str">
        <f t="shared" si="156"/>
        <v>Match</v>
      </c>
      <c r="J1990" s="23" t="str">
        <f t="shared" si="157"/>
        <v>Match</v>
      </c>
      <c r="K1990" s="24">
        <f t="shared" si="158"/>
        <v>1.89</v>
      </c>
      <c r="L1990" s="24">
        <f t="shared" si="159"/>
        <v>0</v>
      </c>
    </row>
    <row r="1991" spans="1:12" ht="15" customHeight="1" x14ac:dyDescent="0.3">
      <c r="A1991" s="23" t="s">
        <v>14773</v>
      </c>
      <c r="B1991" s="23" t="s">
        <v>77</v>
      </c>
      <c r="C1991" s="39">
        <v>6497</v>
      </c>
      <c r="D1991" s="24">
        <v>110.45</v>
      </c>
      <c r="E1991" s="24">
        <v>19.88</v>
      </c>
      <c r="F1991" s="23">
        <f>COUNTIFS(mdr_rate_cleaned!$A$2:$A$10,B1991,mdr_rate_cleaned!$B$2:$B$10,"&lt;"&amp;C1991,mdr_rate_cleaned!$F$2:$F$10,"&gt;="&amp;C1991)</f>
        <v>1</v>
      </c>
      <c r="G1991" s="40">
        <f>SUMIFS(mdr_rate_cleaned!$G$2:$G$10,mdr_rate_cleaned!$A$2:$A$10,B1991,mdr_rate_cleaned!$B$2:$B$10,"&lt;"&amp;C1991,mdr_rate_cleaned!$F$2:$F$10,"&gt;="&amp;C1991)</f>
        <v>1.7000000000000001E-2</v>
      </c>
      <c r="H1991" s="24">
        <f t="shared" si="155"/>
        <v>110.45</v>
      </c>
      <c r="I1991" s="23" t="str">
        <f t="shared" si="156"/>
        <v>Match</v>
      </c>
      <c r="J1991" s="23" t="str">
        <f t="shared" si="157"/>
        <v>Match</v>
      </c>
      <c r="K1991" s="24">
        <f t="shared" si="158"/>
        <v>19.88</v>
      </c>
      <c r="L1991" s="24">
        <f t="shared" si="159"/>
        <v>0</v>
      </c>
    </row>
    <row r="1992" spans="1:12" ht="15" customHeight="1" x14ac:dyDescent="0.3">
      <c r="A1992" s="23" t="s">
        <v>14775</v>
      </c>
      <c r="B1992" s="23" t="s">
        <v>79</v>
      </c>
      <c r="C1992" s="39">
        <v>3798</v>
      </c>
      <c r="D1992" s="24">
        <v>60.77</v>
      </c>
      <c r="E1992" s="24">
        <v>10.94</v>
      </c>
      <c r="F1992" s="23">
        <f>COUNTIFS(mdr_rate_cleaned!$A$2:$A$10,B1992,mdr_rate_cleaned!$B$2:$B$10,"&lt;"&amp;C1992,mdr_rate_cleaned!$F$2:$F$10,"&gt;="&amp;C1992)</f>
        <v>1</v>
      </c>
      <c r="G1992" s="40">
        <f>SUMIFS(mdr_rate_cleaned!$G$2:$G$10,mdr_rate_cleaned!$A$2:$A$10,B1992,mdr_rate_cleaned!$B$2:$B$10,"&lt;"&amp;C1992,mdr_rate_cleaned!$F$2:$F$10,"&gt;="&amp;C1992)</f>
        <v>1.6E-2</v>
      </c>
      <c r="H1992" s="24">
        <f t="shared" si="155"/>
        <v>60.77</v>
      </c>
      <c r="I1992" s="23" t="str">
        <f t="shared" si="156"/>
        <v>Match</v>
      </c>
      <c r="J1992" s="23" t="str">
        <f t="shared" si="157"/>
        <v>Match</v>
      </c>
      <c r="K1992" s="24">
        <f t="shared" si="158"/>
        <v>10.94</v>
      </c>
      <c r="L1992" s="24">
        <f t="shared" si="159"/>
        <v>0</v>
      </c>
    </row>
    <row r="1993" spans="1:12" ht="15" customHeight="1" x14ac:dyDescent="0.3">
      <c r="A1993" s="23" t="s">
        <v>14776</v>
      </c>
      <c r="B1993" s="23" t="s">
        <v>77</v>
      </c>
      <c r="C1993" s="39">
        <v>798</v>
      </c>
      <c r="D1993" s="24">
        <v>15.16</v>
      </c>
      <c r="E1993" s="24">
        <v>2.73</v>
      </c>
      <c r="F1993" s="23">
        <f>COUNTIFS(mdr_rate_cleaned!$A$2:$A$10,B1993,mdr_rate_cleaned!$B$2:$B$10,"&lt;"&amp;C1993,mdr_rate_cleaned!$F$2:$F$10,"&gt;="&amp;C1993)</f>
        <v>1</v>
      </c>
      <c r="G1993" s="40">
        <f>SUMIFS(mdr_rate_cleaned!$G$2:$G$10,mdr_rate_cleaned!$A$2:$A$10,B1993,mdr_rate_cleaned!$B$2:$B$10,"&lt;"&amp;C1993,mdr_rate_cleaned!$F$2:$F$10,"&gt;="&amp;C1993)</f>
        <v>1.9E-2</v>
      </c>
      <c r="H1993" s="24">
        <f t="shared" si="155"/>
        <v>15.16</v>
      </c>
      <c r="I1993" s="23" t="str">
        <f t="shared" si="156"/>
        <v>Match</v>
      </c>
      <c r="J1993" s="23" t="str">
        <f t="shared" si="157"/>
        <v>Match</v>
      </c>
      <c r="K1993" s="24">
        <f t="shared" si="158"/>
        <v>2.73</v>
      </c>
      <c r="L1993" s="24">
        <f t="shared" si="159"/>
        <v>0</v>
      </c>
    </row>
    <row r="1994" spans="1:12" ht="15" customHeight="1" x14ac:dyDescent="0.3">
      <c r="A1994" s="23" t="s">
        <v>14777</v>
      </c>
      <c r="B1994" s="23" t="s">
        <v>75</v>
      </c>
      <c r="C1994" s="39">
        <v>599</v>
      </c>
      <c r="D1994" s="24">
        <v>0</v>
      </c>
      <c r="E1994" s="24">
        <v>0</v>
      </c>
      <c r="F1994" s="23">
        <f>COUNTIFS(mdr_rate_cleaned!$A$2:$A$10,B1994,mdr_rate_cleaned!$B$2:$B$10,"&lt;"&amp;C1994,mdr_rate_cleaned!$F$2:$F$10,"&gt;="&amp;C1994)</f>
        <v>1</v>
      </c>
      <c r="G1994" s="40">
        <f>SUMIFS(mdr_rate_cleaned!$G$2:$G$10,mdr_rate_cleaned!$A$2:$A$10,B1994,mdr_rate_cleaned!$B$2:$B$10,"&lt;"&amp;C1994,mdr_rate_cleaned!$F$2:$F$10,"&gt;="&amp;C1994)</f>
        <v>0</v>
      </c>
      <c r="H1994" s="24">
        <f t="shared" si="155"/>
        <v>0</v>
      </c>
      <c r="I1994" s="23" t="str">
        <f t="shared" si="156"/>
        <v>Match</v>
      </c>
      <c r="J1994" s="23" t="str">
        <f t="shared" si="157"/>
        <v>Match</v>
      </c>
      <c r="K1994" s="24">
        <f t="shared" si="158"/>
        <v>0</v>
      </c>
      <c r="L1994" s="24">
        <f t="shared" si="159"/>
        <v>0</v>
      </c>
    </row>
    <row r="1995" spans="1:12" ht="15" customHeight="1" x14ac:dyDescent="0.3">
      <c r="A1995" s="23" t="s">
        <v>14778</v>
      </c>
      <c r="B1995" s="23" t="s">
        <v>79</v>
      </c>
      <c r="C1995" s="39">
        <v>13297</v>
      </c>
      <c r="D1995" s="24">
        <v>212.75</v>
      </c>
      <c r="E1995" s="24">
        <v>38.299999999999997</v>
      </c>
      <c r="F1995" s="23">
        <f>COUNTIFS(mdr_rate_cleaned!$A$2:$A$10,B1995,mdr_rate_cleaned!$B$2:$B$10,"&lt;"&amp;C1995,mdr_rate_cleaned!$F$2:$F$10,"&gt;="&amp;C1995)</f>
        <v>1</v>
      </c>
      <c r="G1995" s="40">
        <f>SUMIFS(mdr_rate_cleaned!$G$2:$G$10,mdr_rate_cleaned!$A$2:$A$10,B1995,mdr_rate_cleaned!$B$2:$B$10,"&lt;"&amp;C1995,mdr_rate_cleaned!$F$2:$F$10,"&gt;="&amp;C1995)</f>
        <v>1.6E-2</v>
      </c>
      <c r="H1995" s="24">
        <f t="shared" si="155"/>
        <v>212.75</v>
      </c>
      <c r="I1995" s="23" t="str">
        <f t="shared" si="156"/>
        <v>Match</v>
      </c>
      <c r="J1995" s="23" t="str">
        <f t="shared" si="157"/>
        <v>Match</v>
      </c>
      <c r="K1995" s="24">
        <f t="shared" si="158"/>
        <v>38.299999999999997</v>
      </c>
      <c r="L1995" s="24">
        <f t="shared" si="159"/>
        <v>0</v>
      </c>
    </row>
    <row r="1996" spans="1:12" ht="15" customHeight="1" x14ac:dyDescent="0.3">
      <c r="A1996" s="23" t="s">
        <v>14779</v>
      </c>
      <c r="B1996" s="23" t="s">
        <v>81</v>
      </c>
      <c r="C1996" s="39">
        <v>1799</v>
      </c>
      <c r="D1996" s="24">
        <v>26.99</v>
      </c>
      <c r="E1996" s="24">
        <v>4.8600000000000003</v>
      </c>
      <c r="F1996" s="23">
        <f>COUNTIFS(mdr_rate_cleaned!$A$2:$A$10,B1996,mdr_rate_cleaned!$B$2:$B$10,"&lt;"&amp;C1996,mdr_rate_cleaned!$F$2:$F$10,"&gt;="&amp;C1996)</f>
        <v>1</v>
      </c>
      <c r="G1996" s="40">
        <f>SUMIFS(mdr_rate_cleaned!$G$2:$G$10,mdr_rate_cleaned!$A$2:$A$10,B1996,mdr_rate_cleaned!$B$2:$B$10,"&lt;"&amp;C1996,mdr_rate_cleaned!$F$2:$F$10,"&gt;="&amp;C1996)</f>
        <v>1.4999999999999999E-2</v>
      </c>
      <c r="H1996" s="24">
        <f t="shared" si="155"/>
        <v>26.99</v>
      </c>
      <c r="I1996" s="23" t="str">
        <f t="shared" si="156"/>
        <v>Match</v>
      </c>
      <c r="J1996" s="23" t="str">
        <f t="shared" si="157"/>
        <v>Match</v>
      </c>
      <c r="K1996" s="24">
        <f t="shared" si="158"/>
        <v>4.8600000000000003</v>
      </c>
      <c r="L1996" s="24">
        <f t="shared" si="159"/>
        <v>0</v>
      </c>
    </row>
    <row r="1997" spans="1:12" ht="15" customHeight="1" x14ac:dyDescent="0.3">
      <c r="A1997" s="23" t="s">
        <v>14780</v>
      </c>
      <c r="B1997" s="23" t="s">
        <v>75</v>
      </c>
      <c r="C1997" s="39">
        <v>1799</v>
      </c>
      <c r="D1997" s="24">
        <v>0</v>
      </c>
      <c r="E1997" s="24">
        <v>0</v>
      </c>
      <c r="F1997" s="23">
        <f>COUNTIFS(mdr_rate_cleaned!$A$2:$A$10,B1997,mdr_rate_cleaned!$B$2:$B$10,"&lt;"&amp;C1997,mdr_rate_cleaned!$F$2:$F$10,"&gt;="&amp;C1997)</f>
        <v>1</v>
      </c>
      <c r="G1997" s="40">
        <f>SUMIFS(mdr_rate_cleaned!$G$2:$G$10,mdr_rate_cleaned!$A$2:$A$10,B1997,mdr_rate_cleaned!$B$2:$B$10,"&lt;"&amp;C1997,mdr_rate_cleaned!$F$2:$F$10,"&gt;="&amp;C1997)</f>
        <v>0</v>
      </c>
      <c r="H1997" s="24">
        <f t="shared" si="155"/>
        <v>0</v>
      </c>
      <c r="I1997" s="23" t="str">
        <f t="shared" si="156"/>
        <v>Match</v>
      </c>
      <c r="J1997" s="23" t="str">
        <f t="shared" si="157"/>
        <v>Match</v>
      </c>
      <c r="K1997" s="24">
        <f t="shared" si="158"/>
        <v>0</v>
      </c>
      <c r="L1997" s="24">
        <f t="shared" si="159"/>
        <v>0</v>
      </c>
    </row>
    <row r="1998" spans="1:12" ht="15" customHeight="1" x14ac:dyDescent="0.3">
      <c r="A1998" s="23" t="s">
        <v>14781</v>
      </c>
      <c r="B1998" s="23" t="s">
        <v>81</v>
      </c>
      <c r="C1998" s="39">
        <v>299</v>
      </c>
      <c r="D1998" s="24">
        <v>4.49</v>
      </c>
      <c r="E1998" s="24">
        <v>0.81</v>
      </c>
      <c r="F1998" s="23">
        <f>COUNTIFS(mdr_rate_cleaned!$A$2:$A$10,B1998,mdr_rate_cleaned!$B$2:$B$10,"&lt;"&amp;C1998,mdr_rate_cleaned!$F$2:$F$10,"&gt;="&amp;C1998)</f>
        <v>1</v>
      </c>
      <c r="G1998" s="40">
        <f>SUMIFS(mdr_rate_cleaned!$G$2:$G$10,mdr_rate_cleaned!$A$2:$A$10,B1998,mdr_rate_cleaned!$B$2:$B$10,"&lt;"&amp;C1998,mdr_rate_cleaned!$F$2:$F$10,"&gt;="&amp;C1998)</f>
        <v>1.4999999999999999E-2</v>
      </c>
      <c r="H1998" s="24">
        <f t="shared" si="155"/>
        <v>4.49</v>
      </c>
      <c r="I1998" s="23" t="str">
        <f t="shared" si="156"/>
        <v>Match</v>
      </c>
      <c r="J1998" s="23" t="str">
        <f t="shared" si="157"/>
        <v>Match</v>
      </c>
      <c r="K1998" s="24">
        <f t="shared" si="158"/>
        <v>0.81</v>
      </c>
      <c r="L1998" s="24">
        <f t="shared" si="159"/>
        <v>0</v>
      </c>
    </row>
    <row r="1999" spans="1:12" ht="15" customHeight="1" x14ac:dyDescent="0.3">
      <c r="A1999" s="23" t="s">
        <v>14782</v>
      </c>
      <c r="B1999" s="23" t="s">
        <v>77</v>
      </c>
      <c r="C1999" s="39">
        <v>599</v>
      </c>
      <c r="D1999" s="24">
        <v>11.38</v>
      </c>
      <c r="E1999" s="24">
        <v>2.0499999999999998</v>
      </c>
      <c r="F1999" s="23">
        <f>COUNTIFS(mdr_rate_cleaned!$A$2:$A$10,B1999,mdr_rate_cleaned!$B$2:$B$10,"&lt;"&amp;C1999,mdr_rate_cleaned!$F$2:$F$10,"&gt;="&amp;C1999)</f>
        <v>1</v>
      </c>
      <c r="G1999" s="40">
        <f>SUMIFS(mdr_rate_cleaned!$G$2:$G$10,mdr_rate_cleaned!$A$2:$A$10,B1999,mdr_rate_cleaned!$B$2:$B$10,"&lt;"&amp;C1999,mdr_rate_cleaned!$F$2:$F$10,"&gt;="&amp;C1999)</f>
        <v>1.9E-2</v>
      </c>
      <c r="H1999" s="24">
        <f t="shared" si="155"/>
        <v>11.38</v>
      </c>
      <c r="I1999" s="23" t="str">
        <f t="shared" si="156"/>
        <v>Match</v>
      </c>
      <c r="J1999" s="23" t="str">
        <f t="shared" si="157"/>
        <v>Match</v>
      </c>
      <c r="K1999" s="24">
        <f t="shared" si="158"/>
        <v>2.0499999999999998</v>
      </c>
      <c r="L1999" s="24">
        <f t="shared" si="159"/>
        <v>0</v>
      </c>
    </row>
    <row r="2000" spans="1:12" ht="15" customHeight="1" x14ac:dyDescent="0.3">
      <c r="A2000" s="23" t="s">
        <v>14783</v>
      </c>
      <c r="B2000" s="23" t="s">
        <v>79</v>
      </c>
      <c r="C2000" s="39">
        <v>4999</v>
      </c>
      <c r="D2000" s="24">
        <v>79.98</v>
      </c>
      <c r="E2000" s="24">
        <v>14.4</v>
      </c>
      <c r="F2000" s="23">
        <f>COUNTIFS(mdr_rate_cleaned!$A$2:$A$10,B2000,mdr_rate_cleaned!$B$2:$B$10,"&lt;"&amp;C2000,mdr_rate_cleaned!$F$2:$F$10,"&gt;="&amp;C2000)</f>
        <v>1</v>
      </c>
      <c r="G2000" s="40">
        <f>SUMIFS(mdr_rate_cleaned!$G$2:$G$10,mdr_rate_cleaned!$A$2:$A$10,B2000,mdr_rate_cleaned!$B$2:$B$10,"&lt;"&amp;C2000,mdr_rate_cleaned!$F$2:$F$10,"&gt;="&amp;C2000)</f>
        <v>1.6E-2</v>
      </c>
      <c r="H2000" s="24">
        <f t="shared" si="155"/>
        <v>79.98</v>
      </c>
      <c r="I2000" s="23" t="str">
        <f t="shared" si="156"/>
        <v>Match</v>
      </c>
      <c r="J2000" s="23" t="str">
        <f t="shared" si="157"/>
        <v>Match</v>
      </c>
      <c r="K2000" s="24">
        <f t="shared" si="158"/>
        <v>14.4</v>
      </c>
      <c r="L2000" s="24">
        <f t="shared" si="159"/>
        <v>0</v>
      </c>
    </row>
    <row r="2001" spans="1:12" ht="15" customHeight="1" x14ac:dyDescent="0.3">
      <c r="A2001" s="23" t="s">
        <v>14784</v>
      </c>
      <c r="B2001" s="23" t="s">
        <v>75</v>
      </c>
      <c r="C2001" s="39">
        <v>4999</v>
      </c>
      <c r="D2001" s="24">
        <v>15</v>
      </c>
      <c r="E2001" s="24">
        <v>2.7</v>
      </c>
      <c r="F2001" s="23">
        <f>COUNTIFS(mdr_rate_cleaned!$A$2:$A$10,B2001,mdr_rate_cleaned!$B$2:$B$10,"&lt;"&amp;C2001,mdr_rate_cleaned!$F$2:$F$10,"&gt;="&amp;C2001)</f>
        <v>1</v>
      </c>
      <c r="G2001" s="40">
        <f>SUMIFS(mdr_rate_cleaned!$G$2:$G$10,mdr_rate_cleaned!$A$2:$A$10,B2001,mdr_rate_cleaned!$B$2:$B$10,"&lt;"&amp;C2001,mdr_rate_cleaned!$F$2:$F$10,"&gt;="&amp;C2001)</f>
        <v>3.0000000000000001E-3</v>
      </c>
      <c r="H2001" s="24">
        <f t="shared" si="155"/>
        <v>15</v>
      </c>
      <c r="I2001" s="23" t="str">
        <f t="shared" si="156"/>
        <v>Match</v>
      </c>
      <c r="J2001" s="23" t="str">
        <f t="shared" si="157"/>
        <v>Match</v>
      </c>
      <c r="K2001" s="24">
        <f t="shared" si="158"/>
        <v>2.7</v>
      </c>
      <c r="L2001" s="24">
        <f t="shared" si="159"/>
        <v>0</v>
      </c>
    </row>
    <row r="2002" spans="1:12" ht="15" customHeight="1" x14ac:dyDescent="0.3">
      <c r="A2002" s="23" t="s">
        <v>14785</v>
      </c>
      <c r="B2002" s="23" t="s">
        <v>75</v>
      </c>
      <c r="C2002" s="39">
        <v>1598</v>
      </c>
      <c r="D2002" s="24">
        <v>0</v>
      </c>
      <c r="E2002" s="24">
        <v>0</v>
      </c>
      <c r="F2002" s="23">
        <f>COUNTIFS(mdr_rate_cleaned!$A$2:$A$10,B2002,mdr_rate_cleaned!$B$2:$B$10,"&lt;"&amp;C2002,mdr_rate_cleaned!$F$2:$F$10,"&gt;="&amp;C2002)</f>
        <v>1</v>
      </c>
      <c r="G2002" s="40">
        <f>SUMIFS(mdr_rate_cleaned!$G$2:$G$10,mdr_rate_cleaned!$A$2:$A$10,B2002,mdr_rate_cleaned!$B$2:$B$10,"&lt;"&amp;C2002,mdr_rate_cleaned!$F$2:$F$10,"&gt;="&amp;C2002)</f>
        <v>0</v>
      </c>
      <c r="H2002" s="24">
        <f t="shared" si="155"/>
        <v>0</v>
      </c>
      <c r="I2002" s="23" t="str">
        <f t="shared" si="156"/>
        <v>Match</v>
      </c>
      <c r="J2002" s="23" t="str">
        <f t="shared" si="157"/>
        <v>Match</v>
      </c>
      <c r="K2002" s="24">
        <f t="shared" si="158"/>
        <v>0</v>
      </c>
      <c r="L2002" s="24">
        <f t="shared" si="159"/>
        <v>0</v>
      </c>
    </row>
    <row r="2003" spans="1:12" ht="15" customHeight="1" x14ac:dyDescent="0.3">
      <c r="A2003" s="23" t="s">
        <v>14786</v>
      </c>
      <c r="B2003" s="23" t="s">
        <v>75</v>
      </c>
      <c r="C2003" s="39">
        <v>1299</v>
      </c>
      <c r="D2003" s="24">
        <v>0</v>
      </c>
      <c r="E2003" s="24">
        <v>0</v>
      </c>
      <c r="F2003" s="23">
        <f>COUNTIFS(mdr_rate_cleaned!$A$2:$A$10,B2003,mdr_rate_cleaned!$B$2:$B$10,"&lt;"&amp;C2003,mdr_rate_cleaned!$F$2:$F$10,"&gt;="&amp;C2003)</f>
        <v>1</v>
      </c>
      <c r="G2003" s="40">
        <f>SUMIFS(mdr_rate_cleaned!$G$2:$G$10,mdr_rate_cleaned!$A$2:$A$10,B2003,mdr_rate_cleaned!$B$2:$B$10,"&lt;"&amp;C2003,mdr_rate_cleaned!$F$2:$F$10,"&gt;="&amp;C2003)</f>
        <v>0</v>
      </c>
      <c r="H2003" s="24">
        <f t="shared" si="155"/>
        <v>0</v>
      </c>
      <c r="I2003" s="23" t="str">
        <f t="shared" si="156"/>
        <v>Match</v>
      </c>
      <c r="J2003" s="23" t="str">
        <f t="shared" si="157"/>
        <v>Match</v>
      </c>
      <c r="K2003" s="24">
        <f t="shared" si="158"/>
        <v>0</v>
      </c>
      <c r="L2003" s="24">
        <f t="shared" si="159"/>
        <v>0</v>
      </c>
    </row>
    <row r="2004" spans="1:12" ht="15" customHeight="1" x14ac:dyDescent="0.3">
      <c r="A2004" s="23" t="s">
        <v>14787</v>
      </c>
      <c r="B2004" s="23" t="s">
        <v>79</v>
      </c>
      <c r="C2004" s="39">
        <v>1798</v>
      </c>
      <c r="D2004" s="24">
        <v>32.36</v>
      </c>
      <c r="E2004" s="24">
        <v>5.82</v>
      </c>
      <c r="F2004" s="23">
        <f>COUNTIFS(mdr_rate_cleaned!$A$2:$A$10,B2004,mdr_rate_cleaned!$B$2:$B$10,"&lt;"&amp;C2004,mdr_rate_cleaned!$F$2:$F$10,"&gt;="&amp;C2004)</f>
        <v>1</v>
      </c>
      <c r="G2004" s="40">
        <f>SUMIFS(mdr_rate_cleaned!$G$2:$G$10,mdr_rate_cleaned!$A$2:$A$10,B2004,mdr_rate_cleaned!$B$2:$B$10,"&lt;"&amp;C2004,mdr_rate_cleaned!$F$2:$F$10,"&gt;="&amp;C2004)</f>
        <v>1.8000000000000002E-2</v>
      </c>
      <c r="H2004" s="24">
        <f t="shared" si="155"/>
        <v>32.36</v>
      </c>
      <c r="I2004" s="23" t="str">
        <f t="shared" si="156"/>
        <v>Match</v>
      </c>
      <c r="J2004" s="23" t="str">
        <f t="shared" si="157"/>
        <v>Match</v>
      </c>
      <c r="K2004" s="24">
        <f t="shared" si="158"/>
        <v>5.82</v>
      </c>
      <c r="L2004" s="24">
        <f t="shared" si="159"/>
        <v>0</v>
      </c>
    </row>
    <row r="2005" spans="1:12" ht="15" customHeight="1" x14ac:dyDescent="0.3">
      <c r="A2005" s="23" t="s">
        <v>14789</v>
      </c>
      <c r="B2005" s="23" t="s">
        <v>79</v>
      </c>
      <c r="C2005" s="39">
        <v>3597</v>
      </c>
      <c r="D2005" s="24">
        <v>57.55</v>
      </c>
      <c r="E2005" s="24">
        <v>10.36</v>
      </c>
      <c r="F2005" s="23">
        <f>COUNTIFS(mdr_rate_cleaned!$A$2:$A$10,B2005,mdr_rate_cleaned!$B$2:$B$10,"&lt;"&amp;C2005,mdr_rate_cleaned!$F$2:$F$10,"&gt;="&amp;C2005)</f>
        <v>1</v>
      </c>
      <c r="G2005" s="40">
        <f>SUMIFS(mdr_rate_cleaned!$G$2:$G$10,mdr_rate_cleaned!$A$2:$A$10,B2005,mdr_rate_cleaned!$B$2:$B$10,"&lt;"&amp;C2005,mdr_rate_cleaned!$F$2:$F$10,"&gt;="&amp;C2005)</f>
        <v>1.6E-2</v>
      </c>
      <c r="H2005" s="24">
        <f t="shared" si="155"/>
        <v>57.55</v>
      </c>
      <c r="I2005" s="23" t="str">
        <f t="shared" si="156"/>
        <v>Match</v>
      </c>
      <c r="J2005" s="23" t="str">
        <f t="shared" si="157"/>
        <v>Match</v>
      </c>
      <c r="K2005" s="24">
        <f t="shared" si="158"/>
        <v>10.36</v>
      </c>
      <c r="L2005" s="24">
        <f t="shared" si="159"/>
        <v>0</v>
      </c>
    </row>
    <row r="2006" spans="1:12" ht="15" customHeight="1" x14ac:dyDescent="0.3">
      <c r="A2006" s="23" t="s">
        <v>14791</v>
      </c>
      <c r="B2006" s="23" t="s">
        <v>79</v>
      </c>
      <c r="C2006" s="39">
        <v>7999</v>
      </c>
      <c r="D2006" s="24">
        <v>127.98</v>
      </c>
      <c r="E2006" s="24">
        <v>23.04</v>
      </c>
      <c r="F2006" s="23">
        <f>COUNTIFS(mdr_rate_cleaned!$A$2:$A$10,B2006,mdr_rate_cleaned!$B$2:$B$10,"&lt;"&amp;C2006,mdr_rate_cleaned!$F$2:$F$10,"&gt;="&amp;C2006)</f>
        <v>1</v>
      </c>
      <c r="G2006" s="40">
        <f>SUMIFS(mdr_rate_cleaned!$G$2:$G$10,mdr_rate_cleaned!$A$2:$A$10,B2006,mdr_rate_cleaned!$B$2:$B$10,"&lt;"&amp;C2006,mdr_rate_cleaned!$F$2:$F$10,"&gt;="&amp;C2006)</f>
        <v>1.6E-2</v>
      </c>
      <c r="H2006" s="24">
        <f t="shared" si="155"/>
        <v>127.98</v>
      </c>
      <c r="I2006" s="23" t="str">
        <f t="shared" si="156"/>
        <v>Match</v>
      </c>
      <c r="J2006" s="23" t="str">
        <f t="shared" si="157"/>
        <v>Match</v>
      </c>
      <c r="K2006" s="24">
        <f t="shared" si="158"/>
        <v>23.04</v>
      </c>
      <c r="L2006" s="24">
        <f t="shared" si="159"/>
        <v>0</v>
      </c>
    </row>
    <row r="2007" spans="1:12" ht="15" customHeight="1" x14ac:dyDescent="0.3">
      <c r="A2007" s="23" t="s">
        <v>14792</v>
      </c>
      <c r="B2007" s="23" t="s">
        <v>75</v>
      </c>
      <c r="C2007" s="39">
        <v>999</v>
      </c>
      <c r="D2007" s="24">
        <v>0</v>
      </c>
      <c r="E2007" s="24">
        <v>0</v>
      </c>
      <c r="F2007" s="23">
        <f>COUNTIFS(mdr_rate_cleaned!$A$2:$A$10,B2007,mdr_rate_cleaned!$B$2:$B$10,"&lt;"&amp;C2007,mdr_rate_cleaned!$F$2:$F$10,"&gt;="&amp;C2007)</f>
        <v>1</v>
      </c>
      <c r="G2007" s="40">
        <f>SUMIFS(mdr_rate_cleaned!$G$2:$G$10,mdr_rate_cleaned!$A$2:$A$10,B2007,mdr_rate_cleaned!$B$2:$B$10,"&lt;"&amp;C2007,mdr_rate_cleaned!$F$2:$F$10,"&gt;="&amp;C2007)</f>
        <v>0</v>
      </c>
      <c r="H2007" s="24">
        <f t="shared" si="155"/>
        <v>0</v>
      </c>
      <c r="I2007" s="23" t="str">
        <f t="shared" si="156"/>
        <v>Match</v>
      </c>
      <c r="J2007" s="23" t="str">
        <f t="shared" si="157"/>
        <v>Match</v>
      </c>
      <c r="K2007" s="24">
        <f t="shared" si="158"/>
        <v>0</v>
      </c>
      <c r="L2007" s="24">
        <f t="shared" si="159"/>
        <v>0</v>
      </c>
    </row>
    <row r="2008" spans="1:12" ht="15" customHeight="1" x14ac:dyDescent="0.3">
      <c r="A2008" s="23" t="s">
        <v>14794</v>
      </c>
      <c r="B2008" s="23" t="s">
        <v>77</v>
      </c>
      <c r="C2008" s="39">
        <v>3499</v>
      </c>
      <c r="D2008" s="24">
        <v>59.48</v>
      </c>
      <c r="E2008" s="24">
        <v>10.71</v>
      </c>
      <c r="F2008" s="23">
        <f>COUNTIFS(mdr_rate_cleaned!$A$2:$A$10,B2008,mdr_rate_cleaned!$B$2:$B$10,"&lt;"&amp;C2008,mdr_rate_cleaned!$F$2:$F$10,"&gt;="&amp;C2008)</f>
        <v>1</v>
      </c>
      <c r="G2008" s="40">
        <f>SUMIFS(mdr_rate_cleaned!$G$2:$G$10,mdr_rate_cleaned!$A$2:$A$10,B2008,mdr_rate_cleaned!$B$2:$B$10,"&lt;"&amp;C2008,mdr_rate_cleaned!$F$2:$F$10,"&gt;="&amp;C2008)</f>
        <v>1.7000000000000001E-2</v>
      </c>
      <c r="H2008" s="24">
        <f t="shared" si="155"/>
        <v>59.48</v>
      </c>
      <c r="I2008" s="23" t="str">
        <f t="shared" si="156"/>
        <v>Match</v>
      </c>
      <c r="J2008" s="23" t="str">
        <f t="shared" si="157"/>
        <v>Match</v>
      </c>
      <c r="K2008" s="24">
        <f t="shared" si="158"/>
        <v>10.71</v>
      </c>
      <c r="L2008" s="24">
        <f t="shared" si="159"/>
        <v>0</v>
      </c>
    </row>
    <row r="2009" spans="1:12" ht="15" customHeight="1" x14ac:dyDescent="0.3">
      <c r="A2009" s="23" t="s">
        <v>14796</v>
      </c>
      <c r="B2009" s="23" t="s">
        <v>79</v>
      </c>
      <c r="C2009" s="39">
        <v>3848</v>
      </c>
      <c r="D2009" s="24">
        <v>61.57</v>
      </c>
      <c r="E2009" s="24">
        <v>11.08</v>
      </c>
      <c r="F2009" s="23">
        <f>COUNTIFS(mdr_rate_cleaned!$A$2:$A$10,B2009,mdr_rate_cleaned!$B$2:$B$10,"&lt;"&amp;C2009,mdr_rate_cleaned!$F$2:$F$10,"&gt;="&amp;C2009)</f>
        <v>1</v>
      </c>
      <c r="G2009" s="40">
        <f>SUMIFS(mdr_rate_cleaned!$G$2:$G$10,mdr_rate_cleaned!$A$2:$A$10,B2009,mdr_rate_cleaned!$B$2:$B$10,"&lt;"&amp;C2009,mdr_rate_cleaned!$F$2:$F$10,"&gt;="&amp;C2009)</f>
        <v>1.6E-2</v>
      </c>
      <c r="H2009" s="24">
        <f t="shared" si="155"/>
        <v>61.57</v>
      </c>
      <c r="I2009" s="23" t="str">
        <f t="shared" si="156"/>
        <v>Match</v>
      </c>
      <c r="J2009" s="23" t="str">
        <f t="shared" si="157"/>
        <v>Match</v>
      </c>
      <c r="K2009" s="24">
        <f t="shared" si="158"/>
        <v>11.08</v>
      </c>
      <c r="L2009" s="24">
        <f t="shared" si="159"/>
        <v>0</v>
      </c>
    </row>
    <row r="2010" spans="1:12" ht="15" customHeight="1" x14ac:dyDescent="0.3">
      <c r="A2010" s="23" t="s">
        <v>14797</v>
      </c>
      <c r="B2010" s="23" t="s">
        <v>75</v>
      </c>
      <c r="C2010" s="39">
        <v>2999</v>
      </c>
      <c r="D2010" s="24">
        <v>9</v>
      </c>
      <c r="E2010" s="24">
        <v>1.62</v>
      </c>
      <c r="F2010" s="23">
        <f>COUNTIFS(mdr_rate_cleaned!$A$2:$A$10,B2010,mdr_rate_cleaned!$B$2:$B$10,"&lt;"&amp;C2010,mdr_rate_cleaned!$F$2:$F$10,"&gt;="&amp;C2010)</f>
        <v>1</v>
      </c>
      <c r="G2010" s="40">
        <f>SUMIFS(mdr_rate_cleaned!$G$2:$G$10,mdr_rate_cleaned!$A$2:$A$10,B2010,mdr_rate_cleaned!$B$2:$B$10,"&lt;"&amp;C2010,mdr_rate_cleaned!$F$2:$F$10,"&gt;="&amp;C2010)</f>
        <v>3.0000000000000001E-3</v>
      </c>
      <c r="H2010" s="24">
        <f t="shared" si="155"/>
        <v>9</v>
      </c>
      <c r="I2010" s="23" t="str">
        <f t="shared" si="156"/>
        <v>Match</v>
      </c>
      <c r="J2010" s="23" t="str">
        <f t="shared" si="157"/>
        <v>Match</v>
      </c>
      <c r="K2010" s="24">
        <f t="shared" si="158"/>
        <v>1.62</v>
      </c>
      <c r="L2010" s="24">
        <f t="shared" si="159"/>
        <v>0</v>
      </c>
    </row>
    <row r="2011" spans="1:12" ht="15" customHeight="1" x14ac:dyDescent="0.3">
      <c r="A2011" s="23" t="s">
        <v>14799</v>
      </c>
      <c r="B2011" s="23" t="s">
        <v>79</v>
      </c>
      <c r="C2011" s="39">
        <v>6397</v>
      </c>
      <c r="D2011" s="24">
        <v>102.35</v>
      </c>
      <c r="E2011" s="24">
        <v>18.420000000000002</v>
      </c>
      <c r="F2011" s="23">
        <f>COUNTIFS(mdr_rate_cleaned!$A$2:$A$10,B2011,mdr_rate_cleaned!$B$2:$B$10,"&lt;"&amp;C2011,mdr_rate_cleaned!$F$2:$F$10,"&gt;="&amp;C2011)</f>
        <v>1</v>
      </c>
      <c r="G2011" s="40">
        <f>SUMIFS(mdr_rate_cleaned!$G$2:$G$10,mdr_rate_cleaned!$A$2:$A$10,B2011,mdr_rate_cleaned!$B$2:$B$10,"&lt;"&amp;C2011,mdr_rate_cleaned!$F$2:$F$10,"&gt;="&amp;C2011)</f>
        <v>1.6E-2</v>
      </c>
      <c r="H2011" s="24">
        <f t="shared" si="155"/>
        <v>102.35</v>
      </c>
      <c r="I2011" s="23" t="str">
        <f t="shared" si="156"/>
        <v>Match</v>
      </c>
      <c r="J2011" s="23" t="str">
        <f t="shared" si="157"/>
        <v>Match</v>
      </c>
      <c r="K2011" s="24">
        <f t="shared" si="158"/>
        <v>18.420000000000002</v>
      </c>
      <c r="L2011" s="24">
        <f t="shared" si="159"/>
        <v>0</v>
      </c>
    </row>
    <row r="2012" spans="1:12" ht="15" customHeight="1" x14ac:dyDescent="0.3">
      <c r="A2012" s="23" t="s">
        <v>14800</v>
      </c>
      <c r="B2012" s="23" t="s">
        <v>79</v>
      </c>
      <c r="C2012" s="39">
        <v>2499</v>
      </c>
      <c r="D2012" s="24">
        <v>39.979999999999997</v>
      </c>
      <c r="E2012" s="24">
        <v>7.2</v>
      </c>
      <c r="F2012" s="23">
        <f>COUNTIFS(mdr_rate_cleaned!$A$2:$A$10,B2012,mdr_rate_cleaned!$B$2:$B$10,"&lt;"&amp;C2012,mdr_rate_cleaned!$F$2:$F$10,"&gt;="&amp;C2012)</f>
        <v>1</v>
      </c>
      <c r="G2012" s="40">
        <f>SUMIFS(mdr_rate_cleaned!$G$2:$G$10,mdr_rate_cleaned!$A$2:$A$10,B2012,mdr_rate_cleaned!$B$2:$B$10,"&lt;"&amp;C2012,mdr_rate_cleaned!$F$2:$F$10,"&gt;="&amp;C2012)</f>
        <v>1.6E-2</v>
      </c>
      <c r="H2012" s="24">
        <f t="shared" si="155"/>
        <v>39.979999999999997</v>
      </c>
      <c r="I2012" s="23" t="str">
        <f t="shared" si="156"/>
        <v>Match</v>
      </c>
      <c r="J2012" s="23" t="str">
        <f t="shared" si="157"/>
        <v>Match</v>
      </c>
      <c r="K2012" s="24">
        <f t="shared" si="158"/>
        <v>7.2</v>
      </c>
      <c r="L2012" s="24">
        <f t="shared" si="159"/>
        <v>0</v>
      </c>
    </row>
    <row r="2013" spans="1:12" ht="15" customHeight="1" x14ac:dyDescent="0.3">
      <c r="A2013" s="23" t="s">
        <v>14801</v>
      </c>
      <c r="B2013" s="23" t="s">
        <v>79</v>
      </c>
      <c r="C2013" s="39">
        <v>3298</v>
      </c>
      <c r="D2013" s="24">
        <v>52.77</v>
      </c>
      <c r="E2013" s="24">
        <v>9.5</v>
      </c>
      <c r="F2013" s="23">
        <f>COUNTIFS(mdr_rate_cleaned!$A$2:$A$10,B2013,mdr_rate_cleaned!$B$2:$B$10,"&lt;"&amp;C2013,mdr_rate_cleaned!$F$2:$F$10,"&gt;="&amp;C2013)</f>
        <v>1</v>
      </c>
      <c r="G2013" s="40">
        <f>SUMIFS(mdr_rate_cleaned!$G$2:$G$10,mdr_rate_cleaned!$A$2:$A$10,B2013,mdr_rate_cleaned!$B$2:$B$10,"&lt;"&amp;C2013,mdr_rate_cleaned!$F$2:$F$10,"&gt;="&amp;C2013)</f>
        <v>1.6E-2</v>
      </c>
      <c r="H2013" s="24">
        <f t="shared" si="155"/>
        <v>52.77</v>
      </c>
      <c r="I2013" s="23" t="str">
        <f t="shared" si="156"/>
        <v>Match</v>
      </c>
      <c r="J2013" s="23" t="str">
        <f t="shared" si="157"/>
        <v>Match</v>
      </c>
      <c r="K2013" s="24">
        <f t="shared" si="158"/>
        <v>9.5</v>
      </c>
      <c r="L2013" s="24">
        <f t="shared" si="159"/>
        <v>0</v>
      </c>
    </row>
    <row r="2014" spans="1:12" ht="15" customHeight="1" x14ac:dyDescent="0.3">
      <c r="A2014" s="23" t="s">
        <v>14802</v>
      </c>
      <c r="B2014" s="23" t="s">
        <v>79</v>
      </c>
      <c r="C2014" s="39">
        <v>5097</v>
      </c>
      <c r="D2014" s="24">
        <v>81.55</v>
      </c>
      <c r="E2014" s="24">
        <v>14.68</v>
      </c>
      <c r="F2014" s="23">
        <f>COUNTIFS(mdr_rate_cleaned!$A$2:$A$10,B2014,mdr_rate_cleaned!$B$2:$B$10,"&lt;"&amp;C2014,mdr_rate_cleaned!$F$2:$F$10,"&gt;="&amp;C2014)</f>
        <v>1</v>
      </c>
      <c r="G2014" s="40">
        <f>SUMIFS(mdr_rate_cleaned!$G$2:$G$10,mdr_rate_cleaned!$A$2:$A$10,B2014,mdr_rate_cleaned!$B$2:$B$10,"&lt;"&amp;C2014,mdr_rate_cleaned!$F$2:$F$10,"&gt;="&amp;C2014)</f>
        <v>1.6E-2</v>
      </c>
      <c r="H2014" s="24">
        <f t="shared" si="155"/>
        <v>81.55</v>
      </c>
      <c r="I2014" s="23" t="str">
        <f t="shared" si="156"/>
        <v>Match</v>
      </c>
      <c r="J2014" s="23" t="str">
        <f t="shared" si="157"/>
        <v>Match</v>
      </c>
      <c r="K2014" s="24">
        <f t="shared" si="158"/>
        <v>14.68</v>
      </c>
      <c r="L2014" s="24">
        <f t="shared" si="159"/>
        <v>0</v>
      </c>
    </row>
    <row r="2015" spans="1:12" ht="15" customHeight="1" x14ac:dyDescent="0.3">
      <c r="A2015" s="23" t="s">
        <v>14803</v>
      </c>
      <c r="B2015" s="23" t="s">
        <v>75</v>
      </c>
      <c r="C2015" s="39">
        <v>349</v>
      </c>
      <c r="D2015" s="24">
        <v>0</v>
      </c>
      <c r="E2015" s="24">
        <v>0</v>
      </c>
      <c r="F2015" s="23">
        <f>COUNTIFS(mdr_rate_cleaned!$A$2:$A$10,B2015,mdr_rate_cleaned!$B$2:$B$10,"&lt;"&amp;C2015,mdr_rate_cleaned!$F$2:$F$10,"&gt;="&amp;C2015)</f>
        <v>1</v>
      </c>
      <c r="G2015" s="40">
        <f>SUMIFS(mdr_rate_cleaned!$G$2:$G$10,mdr_rate_cleaned!$A$2:$A$10,B2015,mdr_rate_cleaned!$B$2:$B$10,"&lt;"&amp;C2015,mdr_rate_cleaned!$F$2:$F$10,"&gt;="&amp;C2015)</f>
        <v>0</v>
      </c>
      <c r="H2015" s="24">
        <f t="shared" si="155"/>
        <v>0</v>
      </c>
      <c r="I2015" s="23" t="str">
        <f t="shared" si="156"/>
        <v>Match</v>
      </c>
      <c r="J2015" s="23" t="str">
        <f t="shared" si="157"/>
        <v>Match</v>
      </c>
      <c r="K2015" s="24">
        <f t="shared" si="158"/>
        <v>0</v>
      </c>
      <c r="L2015" s="24">
        <f t="shared" si="159"/>
        <v>0</v>
      </c>
    </row>
    <row r="2016" spans="1:12" ht="15" customHeight="1" x14ac:dyDescent="0.3">
      <c r="A2016" s="23" t="s">
        <v>14804</v>
      </c>
      <c r="B2016" s="23" t="s">
        <v>75</v>
      </c>
      <c r="C2016" s="39">
        <v>1499</v>
      </c>
      <c r="D2016" s="24">
        <v>0</v>
      </c>
      <c r="E2016" s="24">
        <v>0</v>
      </c>
      <c r="F2016" s="23">
        <f>COUNTIFS(mdr_rate_cleaned!$A$2:$A$10,B2016,mdr_rate_cleaned!$B$2:$B$10,"&lt;"&amp;C2016,mdr_rate_cleaned!$F$2:$F$10,"&gt;="&amp;C2016)</f>
        <v>1</v>
      </c>
      <c r="G2016" s="40">
        <f>SUMIFS(mdr_rate_cleaned!$G$2:$G$10,mdr_rate_cleaned!$A$2:$A$10,B2016,mdr_rate_cleaned!$B$2:$B$10,"&lt;"&amp;C2016,mdr_rate_cleaned!$F$2:$F$10,"&gt;="&amp;C2016)</f>
        <v>0</v>
      </c>
      <c r="H2016" s="24">
        <f t="shared" si="155"/>
        <v>0</v>
      </c>
      <c r="I2016" s="23" t="str">
        <f t="shared" si="156"/>
        <v>Match</v>
      </c>
      <c r="J2016" s="23" t="str">
        <f t="shared" si="157"/>
        <v>Match</v>
      </c>
      <c r="K2016" s="24">
        <f t="shared" si="158"/>
        <v>0</v>
      </c>
      <c r="L2016" s="24">
        <f t="shared" si="159"/>
        <v>0</v>
      </c>
    </row>
    <row r="2017" spans="1:12" ht="15" customHeight="1" x14ac:dyDescent="0.3">
      <c r="A2017" s="23" t="s">
        <v>14806</v>
      </c>
      <c r="B2017" s="23" t="s">
        <v>79</v>
      </c>
      <c r="C2017" s="39">
        <v>598</v>
      </c>
      <c r="D2017" s="24">
        <v>10.76</v>
      </c>
      <c r="E2017" s="24">
        <v>1.94</v>
      </c>
      <c r="F2017" s="23">
        <f>COUNTIFS(mdr_rate_cleaned!$A$2:$A$10,B2017,mdr_rate_cleaned!$B$2:$B$10,"&lt;"&amp;C2017,mdr_rate_cleaned!$F$2:$F$10,"&gt;="&amp;C2017)</f>
        <v>1</v>
      </c>
      <c r="G2017" s="40">
        <f>SUMIFS(mdr_rate_cleaned!$G$2:$G$10,mdr_rate_cleaned!$A$2:$A$10,B2017,mdr_rate_cleaned!$B$2:$B$10,"&lt;"&amp;C2017,mdr_rate_cleaned!$F$2:$F$10,"&gt;="&amp;C2017)</f>
        <v>1.8000000000000002E-2</v>
      </c>
      <c r="H2017" s="24">
        <f t="shared" si="155"/>
        <v>10.76</v>
      </c>
      <c r="I2017" s="23" t="str">
        <f t="shared" si="156"/>
        <v>Match</v>
      </c>
      <c r="J2017" s="23" t="str">
        <f t="shared" si="157"/>
        <v>Match</v>
      </c>
      <c r="K2017" s="24">
        <f t="shared" si="158"/>
        <v>1.94</v>
      </c>
      <c r="L2017" s="24">
        <f t="shared" si="159"/>
        <v>0</v>
      </c>
    </row>
    <row r="2018" spans="1:12" ht="15" customHeight="1" x14ac:dyDescent="0.3">
      <c r="A2018" s="23" t="s">
        <v>14807</v>
      </c>
      <c r="B2018" s="23" t="s">
        <v>75</v>
      </c>
      <c r="C2018" s="39">
        <v>299</v>
      </c>
      <c r="D2018" s="24">
        <v>0</v>
      </c>
      <c r="E2018" s="24">
        <v>0</v>
      </c>
      <c r="F2018" s="23">
        <f>COUNTIFS(mdr_rate_cleaned!$A$2:$A$10,B2018,mdr_rate_cleaned!$B$2:$B$10,"&lt;"&amp;C2018,mdr_rate_cleaned!$F$2:$F$10,"&gt;="&amp;C2018)</f>
        <v>1</v>
      </c>
      <c r="G2018" s="40">
        <f>SUMIFS(mdr_rate_cleaned!$G$2:$G$10,mdr_rate_cleaned!$A$2:$A$10,B2018,mdr_rate_cleaned!$B$2:$B$10,"&lt;"&amp;C2018,mdr_rate_cleaned!$F$2:$F$10,"&gt;="&amp;C2018)</f>
        <v>0</v>
      </c>
      <c r="H2018" s="24">
        <f t="shared" si="155"/>
        <v>0</v>
      </c>
      <c r="I2018" s="23" t="str">
        <f t="shared" si="156"/>
        <v>Match</v>
      </c>
      <c r="J2018" s="23" t="str">
        <f t="shared" si="157"/>
        <v>Match</v>
      </c>
      <c r="K2018" s="24">
        <f t="shared" si="158"/>
        <v>0</v>
      </c>
      <c r="L2018" s="24">
        <f t="shared" si="159"/>
        <v>0</v>
      </c>
    </row>
    <row r="2019" spans="1:12" ht="15" customHeight="1" x14ac:dyDescent="0.3">
      <c r="A2019" s="23" t="s">
        <v>14808</v>
      </c>
      <c r="B2019" s="23" t="s">
        <v>79</v>
      </c>
      <c r="C2019" s="39">
        <v>2998</v>
      </c>
      <c r="D2019" s="24">
        <v>47.97</v>
      </c>
      <c r="E2019" s="24">
        <v>8.6300000000000008</v>
      </c>
      <c r="F2019" s="23">
        <f>COUNTIFS(mdr_rate_cleaned!$A$2:$A$10,B2019,mdr_rate_cleaned!$B$2:$B$10,"&lt;"&amp;C2019,mdr_rate_cleaned!$F$2:$F$10,"&gt;="&amp;C2019)</f>
        <v>1</v>
      </c>
      <c r="G2019" s="40">
        <f>SUMIFS(mdr_rate_cleaned!$G$2:$G$10,mdr_rate_cleaned!$A$2:$A$10,B2019,mdr_rate_cleaned!$B$2:$B$10,"&lt;"&amp;C2019,mdr_rate_cleaned!$F$2:$F$10,"&gt;="&amp;C2019)</f>
        <v>1.6E-2</v>
      </c>
      <c r="H2019" s="24">
        <f t="shared" si="155"/>
        <v>47.97</v>
      </c>
      <c r="I2019" s="23" t="str">
        <f t="shared" si="156"/>
        <v>Match</v>
      </c>
      <c r="J2019" s="23" t="str">
        <f t="shared" si="157"/>
        <v>Match</v>
      </c>
      <c r="K2019" s="24">
        <f t="shared" si="158"/>
        <v>8.6300000000000008</v>
      </c>
      <c r="L2019" s="24">
        <f t="shared" si="159"/>
        <v>0</v>
      </c>
    </row>
    <row r="2020" spans="1:12" ht="15" customHeight="1" x14ac:dyDescent="0.3">
      <c r="A2020" s="23" t="s">
        <v>14809</v>
      </c>
      <c r="B2020" s="23" t="s">
        <v>79</v>
      </c>
      <c r="C2020" s="39">
        <v>349</v>
      </c>
      <c r="D2020" s="24">
        <v>6.28</v>
      </c>
      <c r="E2020" s="24">
        <v>1.1299999999999999</v>
      </c>
      <c r="F2020" s="23">
        <f>COUNTIFS(mdr_rate_cleaned!$A$2:$A$10,B2020,mdr_rate_cleaned!$B$2:$B$10,"&lt;"&amp;C2020,mdr_rate_cleaned!$F$2:$F$10,"&gt;="&amp;C2020)</f>
        <v>1</v>
      </c>
      <c r="G2020" s="40">
        <f>SUMIFS(mdr_rate_cleaned!$G$2:$G$10,mdr_rate_cleaned!$A$2:$A$10,B2020,mdr_rate_cleaned!$B$2:$B$10,"&lt;"&amp;C2020,mdr_rate_cleaned!$F$2:$F$10,"&gt;="&amp;C2020)</f>
        <v>1.8000000000000002E-2</v>
      </c>
      <c r="H2020" s="24">
        <f t="shared" si="155"/>
        <v>6.28</v>
      </c>
      <c r="I2020" s="23" t="str">
        <f t="shared" si="156"/>
        <v>Match</v>
      </c>
      <c r="J2020" s="23" t="str">
        <f t="shared" si="157"/>
        <v>Match</v>
      </c>
      <c r="K2020" s="24">
        <f t="shared" si="158"/>
        <v>1.1299999999999999</v>
      </c>
      <c r="L2020" s="24">
        <f t="shared" si="159"/>
        <v>0</v>
      </c>
    </row>
    <row r="2021" spans="1:12" ht="15" customHeight="1" x14ac:dyDescent="0.3">
      <c r="A2021" s="23" t="s">
        <v>14811</v>
      </c>
      <c r="B2021" s="23" t="s">
        <v>75</v>
      </c>
      <c r="C2021" s="39">
        <v>2498</v>
      </c>
      <c r="D2021" s="24">
        <v>7.49</v>
      </c>
      <c r="E2021" s="24">
        <v>1.35</v>
      </c>
      <c r="F2021" s="23">
        <f>COUNTIFS(mdr_rate_cleaned!$A$2:$A$10,B2021,mdr_rate_cleaned!$B$2:$B$10,"&lt;"&amp;C2021,mdr_rate_cleaned!$F$2:$F$10,"&gt;="&amp;C2021)</f>
        <v>1</v>
      </c>
      <c r="G2021" s="40">
        <f>SUMIFS(mdr_rate_cleaned!$G$2:$G$10,mdr_rate_cleaned!$A$2:$A$10,B2021,mdr_rate_cleaned!$B$2:$B$10,"&lt;"&amp;C2021,mdr_rate_cleaned!$F$2:$F$10,"&gt;="&amp;C2021)</f>
        <v>3.0000000000000001E-3</v>
      </c>
      <c r="H2021" s="24">
        <f t="shared" si="155"/>
        <v>7.49</v>
      </c>
      <c r="I2021" s="23" t="str">
        <f t="shared" si="156"/>
        <v>Match</v>
      </c>
      <c r="J2021" s="23" t="str">
        <f t="shared" si="157"/>
        <v>Match</v>
      </c>
      <c r="K2021" s="24">
        <f t="shared" si="158"/>
        <v>1.35</v>
      </c>
      <c r="L2021" s="24">
        <f t="shared" si="159"/>
        <v>0</v>
      </c>
    </row>
    <row r="2022" spans="1:12" ht="15" customHeight="1" x14ac:dyDescent="0.3">
      <c r="A2022" s="23" t="s">
        <v>14824</v>
      </c>
      <c r="B2022" s="23" t="s">
        <v>75</v>
      </c>
      <c r="C2022" s="39">
        <v>349</v>
      </c>
      <c r="D2022" s="24">
        <v>0</v>
      </c>
      <c r="E2022" s="24">
        <v>0</v>
      </c>
      <c r="F2022" s="23">
        <f>COUNTIFS(mdr_rate_cleaned!$A$2:$A$10,B2022,mdr_rate_cleaned!$B$2:$B$10,"&lt;"&amp;C2022,mdr_rate_cleaned!$F$2:$F$10,"&gt;="&amp;C2022)</f>
        <v>1</v>
      </c>
      <c r="G2022" s="40">
        <f>SUMIFS(mdr_rate_cleaned!$G$2:$G$10,mdr_rate_cleaned!$A$2:$A$10,B2022,mdr_rate_cleaned!$B$2:$B$10,"&lt;"&amp;C2022,mdr_rate_cleaned!$F$2:$F$10,"&gt;="&amp;C2022)</f>
        <v>0</v>
      </c>
      <c r="H2022" s="24">
        <f t="shared" si="155"/>
        <v>0</v>
      </c>
      <c r="I2022" s="23" t="str">
        <f t="shared" si="156"/>
        <v>Match</v>
      </c>
      <c r="J2022" s="23" t="str">
        <f t="shared" si="157"/>
        <v>Match</v>
      </c>
      <c r="K2022" s="24">
        <f t="shared" si="158"/>
        <v>0</v>
      </c>
      <c r="L2022" s="24">
        <f t="shared" si="159"/>
        <v>0</v>
      </c>
    </row>
    <row r="2023" spans="1:12" ht="15" customHeight="1" x14ac:dyDescent="0.3">
      <c r="A2023" s="23" t="s">
        <v>14825</v>
      </c>
      <c r="B2023" s="23" t="s">
        <v>77</v>
      </c>
      <c r="C2023" s="39">
        <v>2999</v>
      </c>
      <c r="D2023" s="24">
        <v>50.98</v>
      </c>
      <c r="E2023" s="24">
        <v>9.18</v>
      </c>
      <c r="F2023" s="23">
        <f>COUNTIFS(mdr_rate_cleaned!$A$2:$A$10,B2023,mdr_rate_cleaned!$B$2:$B$10,"&lt;"&amp;C2023,mdr_rate_cleaned!$F$2:$F$10,"&gt;="&amp;C2023)</f>
        <v>1</v>
      </c>
      <c r="G2023" s="40">
        <f>SUMIFS(mdr_rate_cleaned!$G$2:$G$10,mdr_rate_cleaned!$A$2:$A$10,B2023,mdr_rate_cleaned!$B$2:$B$10,"&lt;"&amp;C2023,mdr_rate_cleaned!$F$2:$F$10,"&gt;="&amp;C2023)</f>
        <v>1.7000000000000001E-2</v>
      </c>
      <c r="H2023" s="24">
        <f t="shared" si="155"/>
        <v>50.98</v>
      </c>
      <c r="I2023" s="23" t="str">
        <f t="shared" si="156"/>
        <v>Match</v>
      </c>
      <c r="J2023" s="23" t="str">
        <f t="shared" si="157"/>
        <v>Match</v>
      </c>
      <c r="K2023" s="24">
        <f t="shared" si="158"/>
        <v>9.18</v>
      </c>
      <c r="L2023" s="24">
        <f t="shared" si="159"/>
        <v>0</v>
      </c>
    </row>
    <row r="2024" spans="1:12" ht="15" customHeight="1" x14ac:dyDescent="0.3">
      <c r="A2024" s="23" t="s">
        <v>14827</v>
      </c>
      <c r="B2024" s="23" t="s">
        <v>75</v>
      </c>
      <c r="C2024" s="39">
        <v>4298</v>
      </c>
      <c r="D2024" s="24">
        <v>12.89</v>
      </c>
      <c r="E2024" s="24">
        <v>2.3199999999999998</v>
      </c>
      <c r="F2024" s="23">
        <f>COUNTIFS(mdr_rate_cleaned!$A$2:$A$10,B2024,mdr_rate_cleaned!$B$2:$B$10,"&lt;"&amp;C2024,mdr_rate_cleaned!$F$2:$F$10,"&gt;="&amp;C2024)</f>
        <v>1</v>
      </c>
      <c r="G2024" s="40">
        <f>SUMIFS(mdr_rate_cleaned!$G$2:$G$10,mdr_rate_cleaned!$A$2:$A$10,B2024,mdr_rate_cleaned!$B$2:$B$10,"&lt;"&amp;C2024,mdr_rate_cleaned!$F$2:$F$10,"&gt;="&amp;C2024)</f>
        <v>3.0000000000000001E-3</v>
      </c>
      <c r="H2024" s="24">
        <f t="shared" si="155"/>
        <v>12.89</v>
      </c>
      <c r="I2024" s="23" t="str">
        <f t="shared" si="156"/>
        <v>Match</v>
      </c>
      <c r="J2024" s="23" t="str">
        <f t="shared" si="157"/>
        <v>Match</v>
      </c>
      <c r="K2024" s="24">
        <f t="shared" si="158"/>
        <v>2.3199999999999998</v>
      </c>
      <c r="L2024" s="24">
        <f t="shared" si="159"/>
        <v>0</v>
      </c>
    </row>
    <row r="2025" spans="1:12" ht="15" customHeight="1" x14ac:dyDescent="0.3">
      <c r="A2025" s="23" t="s">
        <v>14828</v>
      </c>
      <c r="B2025" s="23" t="s">
        <v>77</v>
      </c>
      <c r="C2025" s="39">
        <v>3598</v>
      </c>
      <c r="D2025" s="24">
        <v>61.17</v>
      </c>
      <c r="E2025" s="24">
        <v>11.01</v>
      </c>
      <c r="F2025" s="23">
        <f>COUNTIFS(mdr_rate_cleaned!$A$2:$A$10,B2025,mdr_rate_cleaned!$B$2:$B$10,"&lt;"&amp;C2025,mdr_rate_cleaned!$F$2:$F$10,"&gt;="&amp;C2025)</f>
        <v>1</v>
      </c>
      <c r="G2025" s="40">
        <f>SUMIFS(mdr_rate_cleaned!$G$2:$G$10,mdr_rate_cleaned!$A$2:$A$10,B2025,mdr_rate_cleaned!$B$2:$B$10,"&lt;"&amp;C2025,mdr_rate_cleaned!$F$2:$F$10,"&gt;="&amp;C2025)</f>
        <v>1.7000000000000001E-2</v>
      </c>
      <c r="H2025" s="24">
        <f t="shared" si="155"/>
        <v>61.17</v>
      </c>
      <c r="I2025" s="23" t="str">
        <f t="shared" si="156"/>
        <v>Match</v>
      </c>
      <c r="J2025" s="23" t="str">
        <f t="shared" si="157"/>
        <v>Match</v>
      </c>
      <c r="K2025" s="24">
        <f t="shared" si="158"/>
        <v>11.01</v>
      </c>
      <c r="L2025" s="24">
        <f t="shared" si="159"/>
        <v>0</v>
      </c>
    </row>
    <row r="2026" spans="1:12" ht="15" customHeight="1" x14ac:dyDescent="0.3">
      <c r="A2026" s="23" t="s">
        <v>14829</v>
      </c>
      <c r="B2026" s="23" t="s">
        <v>79</v>
      </c>
      <c r="C2026" s="39">
        <v>1098</v>
      </c>
      <c r="D2026" s="24">
        <v>19.760000000000002</v>
      </c>
      <c r="E2026" s="24">
        <v>3.56</v>
      </c>
      <c r="F2026" s="23">
        <f>COUNTIFS(mdr_rate_cleaned!$A$2:$A$10,B2026,mdr_rate_cleaned!$B$2:$B$10,"&lt;"&amp;C2026,mdr_rate_cleaned!$F$2:$F$10,"&gt;="&amp;C2026)</f>
        <v>1</v>
      </c>
      <c r="G2026" s="40">
        <f>SUMIFS(mdr_rate_cleaned!$G$2:$G$10,mdr_rate_cleaned!$A$2:$A$10,B2026,mdr_rate_cleaned!$B$2:$B$10,"&lt;"&amp;C2026,mdr_rate_cleaned!$F$2:$F$10,"&gt;="&amp;C2026)</f>
        <v>1.8000000000000002E-2</v>
      </c>
      <c r="H2026" s="24">
        <f t="shared" si="155"/>
        <v>19.760000000000002</v>
      </c>
      <c r="I2026" s="23" t="str">
        <f t="shared" si="156"/>
        <v>Match</v>
      </c>
      <c r="J2026" s="23" t="str">
        <f t="shared" si="157"/>
        <v>Match</v>
      </c>
      <c r="K2026" s="24">
        <f t="shared" si="158"/>
        <v>3.56</v>
      </c>
      <c r="L2026" s="24">
        <f t="shared" si="159"/>
        <v>0</v>
      </c>
    </row>
    <row r="2027" spans="1:12" ht="15" customHeight="1" x14ac:dyDescent="0.3">
      <c r="A2027" s="23" t="s">
        <v>14830</v>
      </c>
      <c r="B2027" s="23" t="s">
        <v>75</v>
      </c>
      <c r="C2027" s="39">
        <v>299</v>
      </c>
      <c r="D2027" s="24">
        <v>0</v>
      </c>
      <c r="E2027" s="24">
        <v>0</v>
      </c>
      <c r="F2027" s="23">
        <f>COUNTIFS(mdr_rate_cleaned!$A$2:$A$10,B2027,mdr_rate_cleaned!$B$2:$B$10,"&lt;"&amp;C2027,mdr_rate_cleaned!$F$2:$F$10,"&gt;="&amp;C2027)</f>
        <v>1</v>
      </c>
      <c r="G2027" s="40">
        <f>SUMIFS(mdr_rate_cleaned!$G$2:$G$10,mdr_rate_cleaned!$A$2:$A$10,B2027,mdr_rate_cleaned!$B$2:$B$10,"&lt;"&amp;C2027,mdr_rate_cleaned!$F$2:$F$10,"&gt;="&amp;C2027)</f>
        <v>0</v>
      </c>
      <c r="H2027" s="24">
        <f t="shared" si="155"/>
        <v>0</v>
      </c>
      <c r="I2027" s="23" t="str">
        <f t="shared" si="156"/>
        <v>Match</v>
      </c>
      <c r="J2027" s="23" t="str">
        <f t="shared" si="157"/>
        <v>Match</v>
      </c>
      <c r="K2027" s="24">
        <f t="shared" si="158"/>
        <v>0</v>
      </c>
      <c r="L2027" s="24">
        <f t="shared" si="159"/>
        <v>0</v>
      </c>
    </row>
    <row r="2028" spans="1:12" ht="15" customHeight="1" x14ac:dyDescent="0.3">
      <c r="A2028" s="23" t="s">
        <v>14831</v>
      </c>
      <c r="B2028" s="23" t="s">
        <v>79</v>
      </c>
      <c r="C2028" s="39">
        <v>5497</v>
      </c>
      <c r="D2028" s="24">
        <v>87.95</v>
      </c>
      <c r="E2028" s="24">
        <v>15.83</v>
      </c>
      <c r="F2028" s="23">
        <f>COUNTIFS(mdr_rate_cleaned!$A$2:$A$10,B2028,mdr_rate_cleaned!$B$2:$B$10,"&lt;"&amp;C2028,mdr_rate_cleaned!$F$2:$F$10,"&gt;="&amp;C2028)</f>
        <v>1</v>
      </c>
      <c r="G2028" s="40">
        <f>SUMIFS(mdr_rate_cleaned!$G$2:$G$10,mdr_rate_cleaned!$A$2:$A$10,B2028,mdr_rate_cleaned!$B$2:$B$10,"&lt;"&amp;C2028,mdr_rate_cleaned!$F$2:$F$10,"&gt;="&amp;C2028)</f>
        <v>1.6E-2</v>
      </c>
      <c r="H2028" s="24">
        <f t="shared" si="155"/>
        <v>87.95</v>
      </c>
      <c r="I2028" s="23" t="str">
        <f t="shared" si="156"/>
        <v>Match</v>
      </c>
      <c r="J2028" s="23" t="str">
        <f t="shared" si="157"/>
        <v>Match</v>
      </c>
      <c r="K2028" s="24">
        <f t="shared" si="158"/>
        <v>15.83</v>
      </c>
      <c r="L2028" s="24">
        <f t="shared" si="159"/>
        <v>0</v>
      </c>
    </row>
    <row r="2029" spans="1:12" ht="15" customHeight="1" x14ac:dyDescent="0.3">
      <c r="A2029" s="23" t="s">
        <v>14832</v>
      </c>
      <c r="B2029" s="23" t="s">
        <v>75</v>
      </c>
      <c r="C2029" s="39">
        <v>3798</v>
      </c>
      <c r="D2029" s="24">
        <v>11.39</v>
      </c>
      <c r="E2029" s="24">
        <v>2.0499999999999998</v>
      </c>
      <c r="F2029" s="23">
        <f>COUNTIFS(mdr_rate_cleaned!$A$2:$A$10,B2029,mdr_rate_cleaned!$B$2:$B$10,"&lt;"&amp;C2029,mdr_rate_cleaned!$F$2:$F$10,"&gt;="&amp;C2029)</f>
        <v>1</v>
      </c>
      <c r="G2029" s="40">
        <f>SUMIFS(mdr_rate_cleaned!$G$2:$G$10,mdr_rate_cleaned!$A$2:$A$10,B2029,mdr_rate_cleaned!$B$2:$B$10,"&lt;"&amp;C2029,mdr_rate_cleaned!$F$2:$F$10,"&gt;="&amp;C2029)</f>
        <v>3.0000000000000001E-3</v>
      </c>
      <c r="H2029" s="24">
        <f t="shared" si="155"/>
        <v>11.39</v>
      </c>
      <c r="I2029" s="23" t="str">
        <f t="shared" si="156"/>
        <v>Match</v>
      </c>
      <c r="J2029" s="23" t="str">
        <f t="shared" si="157"/>
        <v>Match</v>
      </c>
      <c r="K2029" s="24">
        <f t="shared" si="158"/>
        <v>2.0499999999999998</v>
      </c>
      <c r="L2029" s="24">
        <f t="shared" si="159"/>
        <v>0</v>
      </c>
    </row>
    <row r="2030" spans="1:12" ht="15" customHeight="1" x14ac:dyDescent="0.3">
      <c r="A2030" s="23" t="s">
        <v>14833</v>
      </c>
      <c r="B2030" s="23" t="s">
        <v>75</v>
      </c>
      <c r="C2030" s="39">
        <v>9847</v>
      </c>
      <c r="D2030" s="24">
        <v>29.54</v>
      </c>
      <c r="E2030" s="24">
        <v>5.32</v>
      </c>
      <c r="F2030" s="23">
        <f>COUNTIFS(mdr_rate_cleaned!$A$2:$A$10,B2030,mdr_rate_cleaned!$B$2:$B$10,"&lt;"&amp;C2030,mdr_rate_cleaned!$F$2:$F$10,"&gt;="&amp;C2030)</f>
        <v>1</v>
      </c>
      <c r="G2030" s="40">
        <f>SUMIFS(mdr_rate_cleaned!$G$2:$G$10,mdr_rate_cleaned!$A$2:$A$10,B2030,mdr_rate_cleaned!$B$2:$B$10,"&lt;"&amp;C2030,mdr_rate_cleaned!$F$2:$F$10,"&gt;="&amp;C2030)</f>
        <v>3.0000000000000001E-3</v>
      </c>
      <c r="H2030" s="24">
        <f t="shared" si="155"/>
        <v>29.54</v>
      </c>
      <c r="I2030" s="23" t="str">
        <f t="shared" si="156"/>
        <v>Match</v>
      </c>
      <c r="J2030" s="23" t="str">
        <f t="shared" si="157"/>
        <v>Match</v>
      </c>
      <c r="K2030" s="24">
        <f t="shared" si="158"/>
        <v>5.32</v>
      </c>
      <c r="L2030" s="24">
        <f t="shared" si="159"/>
        <v>0</v>
      </c>
    </row>
    <row r="2031" spans="1:12" ht="15" customHeight="1" x14ac:dyDescent="0.3">
      <c r="A2031" s="23" t="s">
        <v>14835</v>
      </c>
      <c r="B2031" s="23" t="s">
        <v>81</v>
      </c>
      <c r="C2031" s="39">
        <v>1299</v>
      </c>
      <c r="D2031" s="24">
        <v>19.489999999999998</v>
      </c>
      <c r="E2031" s="24">
        <v>3.51</v>
      </c>
      <c r="F2031" s="23">
        <f>COUNTIFS(mdr_rate_cleaned!$A$2:$A$10,B2031,mdr_rate_cleaned!$B$2:$B$10,"&lt;"&amp;C2031,mdr_rate_cleaned!$F$2:$F$10,"&gt;="&amp;C2031)</f>
        <v>1</v>
      </c>
      <c r="G2031" s="40">
        <f>SUMIFS(mdr_rate_cleaned!$G$2:$G$10,mdr_rate_cleaned!$A$2:$A$10,B2031,mdr_rate_cleaned!$B$2:$B$10,"&lt;"&amp;C2031,mdr_rate_cleaned!$F$2:$F$10,"&gt;="&amp;C2031)</f>
        <v>1.4999999999999999E-2</v>
      </c>
      <c r="H2031" s="24">
        <f t="shared" si="155"/>
        <v>19.489999999999998</v>
      </c>
      <c r="I2031" s="23" t="str">
        <f t="shared" si="156"/>
        <v>Match</v>
      </c>
      <c r="J2031" s="23" t="str">
        <f t="shared" si="157"/>
        <v>Match</v>
      </c>
      <c r="K2031" s="24">
        <f t="shared" si="158"/>
        <v>3.51</v>
      </c>
      <c r="L2031" s="24">
        <f t="shared" si="159"/>
        <v>0</v>
      </c>
    </row>
    <row r="2032" spans="1:12" ht="15" customHeight="1" x14ac:dyDescent="0.3">
      <c r="A2032" s="23" t="s">
        <v>14836</v>
      </c>
      <c r="B2032" s="23" t="s">
        <v>79</v>
      </c>
      <c r="C2032" s="39">
        <v>2998</v>
      </c>
      <c r="D2032" s="24">
        <v>47.97</v>
      </c>
      <c r="E2032" s="24">
        <v>8.6300000000000008</v>
      </c>
      <c r="F2032" s="23">
        <f>COUNTIFS(mdr_rate_cleaned!$A$2:$A$10,B2032,mdr_rate_cleaned!$B$2:$B$10,"&lt;"&amp;C2032,mdr_rate_cleaned!$F$2:$F$10,"&gt;="&amp;C2032)</f>
        <v>1</v>
      </c>
      <c r="G2032" s="40">
        <f>SUMIFS(mdr_rate_cleaned!$G$2:$G$10,mdr_rate_cleaned!$A$2:$A$10,B2032,mdr_rate_cleaned!$B$2:$B$10,"&lt;"&amp;C2032,mdr_rate_cleaned!$F$2:$F$10,"&gt;="&amp;C2032)</f>
        <v>1.6E-2</v>
      </c>
      <c r="H2032" s="24">
        <f t="shared" si="155"/>
        <v>47.97</v>
      </c>
      <c r="I2032" s="23" t="str">
        <f t="shared" si="156"/>
        <v>Match</v>
      </c>
      <c r="J2032" s="23" t="str">
        <f t="shared" si="157"/>
        <v>Match</v>
      </c>
      <c r="K2032" s="24">
        <f t="shared" si="158"/>
        <v>8.6300000000000008</v>
      </c>
      <c r="L2032" s="24">
        <f t="shared" si="159"/>
        <v>0</v>
      </c>
    </row>
    <row r="2033" spans="1:12" ht="15" customHeight="1" x14ac:dyDescent="0.3">
      <c r="A2033" s="23" t="s">
        <v>14837</v>
      </c>
      <c r="B2033" s="23" t="s">
        <v>75</v>
      </c>
      <c r="C2033" s="39">
        <v>3298</v>
      </c>
      <c r="D2033" s="24">
        <v>9.89</v>
      </c>
      <c r="E2033" s="24">
        <v>1.78</v>
      </c>
      <c r="F2033" s="23">
        <f>COUNTIFS(mdr_rate_cleaned!$A$2:$A$10,B2033,mdr_rate_cleaned!$B$2:$B$10,"&lt;"&amp;C2033,mdr_rate_cleaned!$F$2:$F$10,"&gt;="&amp;C2033)</f>
        <v>1</v>
      </c>
      <c r="G2033" s="40">
        <f>SUMIFS(mdr_rate_cleaned!$G$2:$G$10,mdr_rate_cleaned!$A$2:$A$10,B2033,mdr_rate_cleaned!$B$2:$B$10,"&lt;"&amp;C2033,mdr_rate_cleaned!$F$2:$F$10,"&gt;="&amp;C2033)</f>
        <v>3.0000000000000001E-3</v>
      </c>
      <c r="H2033" s="24">
        <f t="shared" si="155"/>
        <v>9.89</v>
      </c>
      <c r="I2033" s="23" t="str">
        <f t="shared" si="156"/>
        <v>Match</v>
      </c>
      <c r="J2033" s="23" t="str">
        <f t="shared" si="157"/>
        <v>Match</v>
      </c>
      <c r="K2033" s="24">
        <f t="shared" si="158"/>
        <v>1.78</v>
      </c>
      <c r="L2033" s="24">
        <f t="shared" si="159"/>
        <v>0</v>
      </c>
    </row>
    <row r="2034" spans="1:12" ht="15" customHeight="1" x14ac:dyDescent="0.3">
      <c r="A2034" s="23" t="s">
        <v>14839</v>
      </c>
      <c r="B2034" s="23" t="s">
        <v>75</v>
      </c>
      <c r="C2034" s="39">
        <v>2998</v>
      </c>
      <c r="D2034" s="24">
        <v>8.99</v>
      </c>
      <c r="E2034" s="24">
        <v>1.62</v>
      </c>
      <c r="F2034" s="23">
        <f>COUNTIFS(mdr_rate_cleaned!$A$2:$A$10,B2034,mdr_rate_cleaned!$B$2:$B$10,"&lt;"&amp;C2034,mdr_rate_cleaned!$F$2:$F$10,"&gt;="&amp;C2034)</f>
        <v>1</v>
      </c>
      <c r="G2034" s="40">
        <f>SUMIFS(mdr_rate_cleaned!$G$2:$G$10,mdr_rate_cleaned!$A$2:$A$10,B2034,mdr_rate_cleaned!$B$2:$B$10,"&lt;"&amp;C2034,mdr_rate_cleaned!$F$2:$F$10,"&gt;="&amp;C2034)</f>
        <v>3.0000000000000001E-3</v>
      </c>
      <c r="H2034" s="24">
        <f t="shared" si="155"/>
        <v>8.99</v>
      </c>
      <c r="I2034" s="23" t="str">
        <f t="shared" si="156"/>
        <v>Match</v>
      </c>
      <c r="J2034" s="23" t="str">
        <f t="shared" si="157"/>
        <v>Match</v>
      </c>
      <c r="K2034" s="24">
        <f t="shared" si="158"/>
        <v>1.62</v>
      </c>
      <c r="L2034" s="24">
        <f t="shared" si="159"/>
        <v>0</v>
      </c>
    </row>
    <row r="2035" spans="1:12" ht="15" customHeight="1" x14ac:dyDescent="0.3">
      <c r="A2035" s="23" t="s">
        <v>14840</v>
      </c>
      <c r="B2035" s="23" t="s">
        <v>77</v>
      </c>
      <c r="C2035" s="39">
        <v>3498</v>
      </c>
      <c r="D2035" s="24">
        <v>59.47</v>
      </c>
      <c r="E2035" s="24">
        <v>10.7</v>
      </c>
      <c r="F2035" s="23">
        <f>COUNTIFS(mdr_rate_cleaned!$A$2:$A$10,B2035,mdr_rate_cleaned!$B$2:$B$10,"&lt;"&amp;C2035,mdr_rate_cleaned!$F$2:$F$10,"&gt;="&amp;C2035)</f>
        <v>1</v>
      </c>
      <c r="G2035" s="40">
        <f>SUMIFS(mdr_rate_cleaned!$G$2:$G$10,mdr_rate_cleaned!$A$2:$A$10,B2035,mdr_rate_cleaned!$B$2:$B$10,"&lt;"&amp;C2035,mdr_rate_cleaned!$F$2:$F$10,"&gt;="&amp;C2035)</f>
        <v>1.7000000000000001E-2</v>
      </c>
      <c r="H2035" s="24">
        <f t="shared" si="155"/>
        <v>59.47</v>
      </c>
      <c r="I2035" s="23" t="str">
        <f t="shared" si="156"/>
        <v>Match</v>
      </c>
      <c r="J2035" s="23" t="str">
        <f t="shared" si="157"/>
        <v>Match</v>
      </c>
      <c r="K2035" s="24">
        <f t="shared" si="158"/>
        <v>10.7</v>
      </c>
      <c r="L2035" s="24">
        <f t="shared" si="159"/>
        <v>0</v>
      </c>
    </row>
    <row r="2036" spans="1:12" ht="15" customHeight="1" x14ac:dyDescent="0.3">
      <c r="A2036" s="23" t="s">
        <v>14841</v>
      </c>
      <c r="B2036" s="23" t="s">
        <v>75</v>
      </c>
      <c r="C2036" s="39">
        <v>1799</v>
      </c>
      <c r="D2036" s="24">
        <v>0</v>
      </c>
      <c r="E2036" s="24">
        <v>0</v>
      </c>
      <c r="F2036" s="23">
        <f>COUNTIFS(mdr_rate_cleaned!$A$2:$A$10,B2036,mdr_rate_cleaned!$B$2:$B$10,"&lt;"&amp;C2036,mdr_rate_cleaned!$F$2:$F$10,"&gt;="&amp;C2036)</f>
        <v>1</v>
      </c>
      <c r="G2036" s="40">
        <f>SUMIFS(mdr_rate_cleaned!$G$2:$G$10,mdr_rate_cleaned!$A$2:$A$10,B2036,mdr_rate_cleaned!$B$2:$B$10,"&lt;"&amp;C2036,mdr_rate_cleaned!$F$2:$F$10,"&gt;="&amp;C2036)</f>
        <v>0</v>
      </c>
      <c r="H2036" s="24">
        <f t="shared" si="155"/>
        <v>0</v>
      </c>
      <c r="I2036" s="23" t="str">
        <f t="shared" si="156"/>
        <v>Match</v>
      </c>
      <c r="J2036" s="23" t="str">
        <f t="shared" si="157"/>
        <v>Match</v>
      </c>
      <c r="K2036" s="24">
        <f t="shared" si="158"/>
        <v>0</v>
      </c>
      <c r="L2036" s="24">
        <f t="shared" si="159"/>
        <v>0</v>
      </c>
    </row>
    <row r="2037" spans="1:12" ht="15" customHeight="1" x14ac:dyDescent="0.3">
      <c r="A2037" s="23" t="s">
        <v>14842</v>
      </c>
      <c r="B2037" s="23" t="s">
        <v>75</v>
      </c>
      <c r="C2037" s="39">
        <v>1499</v>
      </c>
      <c r="D2037" s="24">
        <v>0</v>
      </c>
      <c r="E2037" s="24">
        <v>0</v>
      </c>
      <c r="F2037" s="23">
        <f>COUNTIFS(mdr_rate_cleaned!$A$2:$A$10,B2037,mdr_rate_cleaned!$B$2:$B$10,"&lt;"&amp;C2037,mdr_rate_cleaned!$F$2:$F$10,"&gt;="&amp;C2037)</f>
        <v>1</v>
      </c>
      <c r="G2037" s="40">
        <f>SUMIFS(mdr_rate_cleaned!$G$2:$G$10,mdr_rate_cleaned!$A$2:$A$10,B2037,mdr_rate_cleaned!$B$2:$B$10,"&lt;"&amp;C2037,mdr_rate_cleaned!$F$2:$F$10,"&gt;="&amp;C2037)</f>
        <v>0</v>
      </c>
      <c r="H2037" s="24">
        <f t="shared" si="155"/>
        <v>0</v>
      </c>
      <c r="I2037" s="23" t="str">
        <f t="shared" si="156"/>
        <v>Match</v>
      </c>
      <c r="J2037" s="23" t="str">
        <f t="shared" si="157"/>
        <v>Match</v>
      </c>
      <c r="K2037" s="24">
        <f t="shared" si="158"/>
        <v>0</v>
      </c>
      <c r="L2037" s="24">
        <f t="shared" si="159"/>
        <v>0</v>
      </c>
    </row>
    <row r="2038" spans="1:12" ht="15" customHeight="1" x14ac:dyDescent="0.3">
      <c r="A2038" s="23" t="s">
        <v>14843</v>
      </c>
      <c r="B2038" s="23" t="s">
        <v>79</v>
      </c>
      <c r="C2038" s="39">
        <v>1298</v>
      </c>
      <c r="D2038" s="24">
        <v>23.36</v>
      </c>
      <c r="E2038" s="24">
        <v>4.2</v>
      </c>
      <c r="F2038" s="23">
        <f>COUNTIFS(mdr_rate_cleaned!$A$2:$A$10,B2038,mdr_rate_cleaned!$B$2:$B$10,"&lt;"&amp;C2038,mdr_rate_cleaned!$F$2:$F$10,"&gt;="&amp;C2038)</f>
        <v>1</v>
      </c>
      <c r="G2038" s="40">
        <f>SUMIFS(mdr_rate_cleaned!$G$2:$G$10,mdr_rate_cleaned!$A$2:$A$10,B2038,mdr_rate_cleaned!$B$2:$B$10,"&lt;"&amp;C2038,mdr_rate_cleaned!$F$2:$F$10,"&gt;="&amp;C2038)</f>
        <v>1.8000000000000002E-2</v>
      </c>
      <c r="H2038" s="24">
        <f t="shared" si="155"/>
        <v>23.36</v>
      </c>
      <c r="I2038" s="23" t="str">
        <f t="shared" si="156"/>
        <v>Match</v>
      </c>
      <c r="J2038" s="23" t="str">
        <f t="shared" si="157"/>
        <v>Match</v>
      </c>
      <c r="K2038" s="24">
        <f t="shared" si="158"/>
        <v>4.2</v>
      </c>
      <c r="L2038" s="24">
        <f t="shared" si="159"/>
        <v>0</v>
      </c>
    </row>
    <row r="2039" spans="1:12" ht="15" customHeight="1" x14ac:dyDescent="0.3">
      <c r="A2039" s="23" t="s">
        <v>14844</v>
      </c>
      <c r="B2039" s="23" t="s">
        <v>81</v>
      </c>
      <c r="C2039" s="39">
        <v>1299</v>
      </c>
      <c r="D2039" s="24">
        <v>19.489999999999998</v>
      </c>
      <c r="E2039" s="24">
        <v>3.51</v>
      </c>
      <c r="F2039" s="23">
        <f>COUNTIFS(mdr_rate_cleaned!$A$2:$A$10,B2039,mdr_rate_cleaned!$B$2:$B$10,"&lt;"&amp;C2039,mdr_rate_cleaned!$F$2:$F$10,"&gt;="&amp;C2039)</f>
        <v>1</v>
      </c>
      <c r="G2039" s="40">
        <f>SUMIFS(mdr_rate_cleaned!$G$2:$G$10,mdr_rate_cleaned!$A$2:$A$10,B2039,mdr_rate_cleaned!$B$2:$B$10,"&lt;"&amp;C2039,mdr_rate_cleaned!$F$2:$F$10,"&gt;="&amp;C2039)</f>
        <v>1.4999999999999999E-2</v>
      </c>
      <c r="H2039" s="24">
        <f t="shared" si="155"/>
        <v>19.489999999999998</v>
      </c>
      <c r="I2039" s="23" t="str">
        <f t="shared" si="156"/>
        <v>Match</v>
      </c>
      <c r="J2039" s="23" t="str">
        <f t="shared" si="157"/>
        <v>Match</v>
      </c>
      <c r="K2039" s="24">
        <f t="shared" si="158"/>
        <v>3.51</v>
      </c>
      <c r="L2039" s="24">
        <f t="shared" si="159"/>
        <v>0</v>
      </c>
    </row>
    <row r="2040" spans="1:12" ht="15" customHeight="1" x14ac:dyDescent="0.3">
      <c r="A2040" s="23" t="s">
        <v>14845</v>
      </c>
      <c r="B2040" s="23" t="s">
        <v>79</v>
      </c>
      <c r="C2040" s="39">
        <v>5847</v>
      </c>
      <c r="D2040" s="24">
        <v>93.55</v>
      </c>
      <c r="E2040" s="24">
        <v>16.84</v>
      </c>
      <c r="F2040" s="23">
        <f>COUNTIFS(mdr_rate_cleaned!$A$2:$A$10,B2040,mdr_rate_cleaned!$B$2:$B$10,"&lt;"&amp;C2040,mdr_rate_cleaned!$F$2:$F$10,"&gt;="&amp;C2040)</f>
        <v>1</v>
      </c>
      <c r="G2040" s="40">
        <f>SUMIFS(mdr_rate_cleaned!$G$2:$G$10,mdr_rate_cleaned!$A$2:$A$10,B2040,mdr_rate_cleaned!$B$2:$B$10,"&lt;"&amp;C2040,mdr_rate_cleaned!$F$2:$F$10,"&gt;="&amp;C2040)</f>
        <v>1.6E-2</v>
      </c>
      <c r="H2040" s="24">
        <f t="shared" si="155"/>
        <v>93.55</v>
      </c>
      <c r="I2040" s="23" t="str">
        <f t="shared" si="156"/>
        <v>Match</v>
      </c>
      <c r="J2040" s="23" t="str">
        <f t="shared" si="157"/>
        <v>Match</v>
      </c>
      <c r="K2040" s="24">
        <f t="shared" si="158"/>
        <v>16.84</v>
      </c>
      <c r="L2040" s="24">
        <f t="shared" si="159"/>
        <v>0</v>
      </c>
    </row>
    <row r="2041" spans="1:12" ht="15" customHeight="1" x14ac:dyDescent="0.3">
      <c r="A2041" s="23" t="s">
        <v>14847</v>
      </c>
      <c r="B2041" s="23" t="s">
        <v>75</v>
      </c>
      <c r="C2041" s="39">
        <v>2597</v>
      </c>
      <c r="D2041" s="24">
        <v>7.79</v>
      </c>
      <c r="E2041" s="24">
        <v>1.4</v>
      </c>
      <c r="F2041" s="23">
        <f>COUNTIFS(mdr_rate_cleaned!$A$2:$A$10,B2041,mdr_rate_cleaned!$B$2:$B$10,"&lt;"&amp;C2041,mdr_rate_cleaned!$F$2:$F$10,"&gt;="&amp;C2041)</f>
        <v>1</v>
      </c>
      <c r="G2041" s="40">
        <f>SUMIFS(mdr_rate_cleaned!$G$2:$G$10,mdr_rate_cleaned!$A$2:$A$10,B2041,mdr_rate_cleaned!$B$2:$B$10,"&lt;"&amp;C2041,mdr_rate_cleaned!$F$2:$F$10,"&gt;="&amp;C2041)</f>
        <v>3.0000000000000001E-3</v>
      </c>
      <c r="H2041" s="24">
        <f t="shared" si="155"/>
        <v>7.79</v>
      </c>
      <c r="I2041" s="23" t="str">
        <f t="shared" si="156"/>
        <v>Match</v>
      </c>
      <c r="J2041" s="23" t="str">
        <f t="shared" si="157"/>
        <v>Match</v>
      </c>
      <c r="K2041" s="24">
        <f t="shared" si="158"/>
        <v>1.4</v>
      </c>
      <c r="L2041" s="24">
        <f t="shared" si="159"/>
        <v>0</v>
      </c>
    </row>
    <row r="2042" spans="1:12" ht="15" customHeight="1" x14ac:dyDescent="0.3">
      <c r="A2042" s="23" t="s">
        <v>14849</v>
      </c>
      <c r="B2042" s="23" t="s">
        <v>75</v>
      </c>
      <c r="C2042" s="39">
        <v>1499</v>
      </c>
      <c r="D2042" s="24">
        <v>0</v>
      </c>
      <c r="E2042" s="24">
        <v>0</v>
      </c>
      <c r="F2042" s="23">
        <f>COUNTIFS(mdr_rate_cleaned!$A$2:$A$10,B2042,mdr_rate_cleaned!$B$2:$B$10,"&lt;"&amp;C2042,mdr_rate_cleaned!$F$2:$F$10,"&gt;="&amp;C2042)</f>
        <v>1</v>
      </c>
      <c r="G2042" s="40">
        <f>SUMIFS(mdr_rate_cleaned!$G$2:$G$10,mdr_rate_cleaned!$A$2:$A$10,B2042,mdr_rate_cleaned!$B$2:$B$10,"&lt;"&amp;C2042,mdr_rate_cleaned!$F$2:$F$10,"&gt;="&amp;C2042)</f>
        <v>0</v>
      </c>
      <c r="H2042" s="24">
        <f t="shared" si="155"/>
        <v>0</v>
      </c>
      <c r="I2042" s="23" t="str">
        <f t="shared" si="156"/>
        <v>Match</v>
      </c>
      <c r="J2042" s="23" t="str">
        <f t="shared" si="157"/>
        <v>Match</v>
      </c>
      <c r="K2042" s="24">
        <f t="shared" si="158"/>
        <v>0</v>
      </c>
      <c r="L2042" s="24">
        <f t="shared" si="159"/>
        <v>0</v>
      </c>
    </row>
    <row r="2043" spans="1:12" ht="15" customHeight="1" x14ac:dyDescent="0.3">
      <c r="A2043" s="23" t="s">
        <v>14850</v>
      </c>
      <c r="B2043" s="23" t="s">
        <v>79</v>
      </c>
      <c r="C2043" s="39">
        <v>2848</v>
      </c>
      <c r="D2043" s="24">
        <v>45.57</v>
      </c>
      <c r="E2043" s="24">
        <v>8.1999999999999993</v>
      </c>
      <c r="F2043" s="23">
        <f>COUNTIFS(mdr_rate_cleaned!$A$2:$A$10,B2043,mdr_rate_cleaned!$B$2:$B$10,"&lt;"&amp;C2043,mdr_rate_cleaned!$F$2:$F$10,"&gt;="&amp;C2043)</f>
        <v>1</v>
      </c>
      <c r="G2043" s="40">
        <f>SUMIFS(mdr_rate_cleaned!$G$2:$G$10,mdr_rate_cleaned!$A$2:$A$10,B2043,mdr_rate_cleaned!$B$2:$B$10,"&lt;"&amp;C2043,mdr_rate_cleaned!$F$2:$F$10,"&gt;="&amp;C2043)</f>
        <v>1.6E-2</v>
      </c>
      <c r="H2043" s="24">
        <f t="shared" si="155"/>
        <v>45.57</v>
      </c>
      <c r="I2043" s="23" t="str">
        <f t="shared" si="156"/>
        <v>Match</v>
      </c>
      <c r="J2043" s="23" t="str">
        <f t="shared" si="157"/>
        <v>Match</v>
      </c>
      <c r="K2043" s="24">
        <f t="shared" si="158"/>
        <v>8.1999999999999993</v>
      </c>
      <c r="L2043" s="24">
        <f t="shared" si="159"/>
        <v>0</v>
      </c>
    </row>
    <row r="2044" spans="1:12" ht="15" customHeight="1" x14ac:dyDescent="0.3">
      <c r="A2044" s="23" t="s">
        <v>14851</v>
      </c>
      <c r="B2044" s="23" t="s">
        <v>75</v>
      </c>
      <c r="C2044" s="39">
        <v>299</v>
      </c>
      <c r="D2044" s="24">
        <v>0</v>
      </c>
      <c r="E2044" s="24">
        <v>0</v>
      </c>
      <c r="F2044" s="23">
        <f>COUNTIFS(mdr_rate_cleaned!$A$2:$A$10,B2044,mdr_rate_cleaned!$B$2:$B$10,"&lt;"&amp;C2044,mdr_rate_cleaned!$F$2:$F$10,"&gt;="&amp;C2044)</f>
        <v>1</v>
      </c>
      <c r="G2044" s="40">
        <f>SUMIFS(mdr_rate_cleaned!$G$2:$G$10,mdr_rate_cleaned!$A$2:$A$10,B2044,mdr_rate_cleaned!$B$2:$B$10,"&lt;"&amp;C2044,mdr_rate_cleaned!$F$2:$F$10,"&gt;="&amp;C2044)</f>
        <v>0</v>
      </c>
      <c r="H2044" s="24">
        <f t="shared" si="155"/>
        <v>0</v>
      </c>
      <c r="I2044" s="23" t="str">
        <f t="shared" si="156"/>
        <v>Match</v>
      </c>
      <c r="J2044" s="23" t="str">
        <f t="shared" si="157"/>
        <v>Match</v>
      </c>
      <c r="K2044" s="24">
        <f t="shared" si="158"/>
        <v>0</v>
      </c>
      <c r="L2044" s="24">
        <f t="shared" si="159"/>
        <v>0</v>
      </c>
    </row>
    <row r="2045" spans="1:12" ht="15" customHeight="1" x14ac:dyDescent="0.3">
      <c r="A2045" s="23" t="s">
        <v>14852</v>
      </c>
      <c r="B2045" s="23" t="s">
        <v>79</v>
      </c>
      <c r="C2045" s="39">
        <v>499</v>
      </c>
      <c r="D2045" s="24">
        <v>8.98</v>
      </c>
      <c r="E2045" s="24">
        <v>1.62</v>
      </c>
      <c r="F2045" s="23">
        <f>COUNTIFS(mdr_rate_cleaned!$A$2:$A$10,B2045,mdr_rate_cleaned!$B$2:$B$10,"&lt;"&amp;C2045,mdr_rate_cleaned!$F$2:$F$10,"&gt;="&amp;C2045)</f>
        <v>1</v>
      </c>
      <c r="G2045" s="40">
        <f>SUMIFS(mdr_rate_cleaned!$G$2:$G$10,mdr_rate_cleaned!$A$2:$A$10,B2045,mdr_rate_cleaned!$B$2:$B$10,"&lt;"&amp;C2045,mdr_rate_cleaned!$F$2:$F$10,"&gt;="&amp;C2045)</f>
        <v>1.8000000000000002E-2</v>
      </c>
      <c r="H2045" s="24">
        <f t="shared" si="155"/>
        <v>8.98</v>
      </c>
      <c r="I2045" s="23" t="str">
        <f t="shared" si="156"/>
        <v>Match</v>
      </c>
      <c r="J2045" s="23" t="str">
        <f t="shared" si="157"/>
        <v>Match</v>
      </c>
      <c r="K2045" s="24">
        <f t="shared" si="158"/>
        <v>1.62</v>
      </c>
      <c r="L2045" s="24">
        <f t="shared" si="159"/>
        <v>0</v>
      </c>
    </row>
    <row r="2046" spans="1:12" ht="15" customHeight="1" x14ac:dyDescent="0.3">
      <c r="A2046" s="23" t="s">
        <v>14853</v>
      </c>
      <c r="B2046" s="23" t="s">
        <v>75</v>
      </c>
      <c r="C2046" s="39">
        <v>599</v>
      </c>
      <c r="D2046" s="24">
        <v>0</v>
      </c>
      <c r="E2046" s="24">
        <v>0</v>
      </c>
      <c r="F2046" s="23">
        <f>COUNTIFS(mdr_rate_cleaned!$A$2:$A$10,B2046,mdr_rate_cleaned!$B$2:$B$10,"&lt;"&amp;C2046,mdr_rate_cleaned!$F$2:$F$10,"&gt;="&amp;C2046)</f>
        <v>1</v>
      </c>
      <c r="G2046" s="40">
        <f>SUMIFS(mdr_rate_cleaned!$G$2:$G$10,mdr_rate_cleaned!$A$2:$A$10,B2046,mdr_rate_cleaned!$B$2:$B$10,"&lt;"&amp;C2046,mdr_rate_cleaned!$F$2:$F$10,"&gt;="&amp;C2046)</f>
        <v>0</v>
      </c>
      <c r="H2046" s="24">
        <f t="shared" si="155"/>
        <v>0</v>
      </c>
      <c r="I2046" s="23" t="str">
        <f t="shared" si="156"/>
        <v>Match</v>
      </c>
      <c r="J2046" s="23" t="str">
        <f t="shared" si="157"/>
        <v>Match</v>
      </c>
      <c r="K2046" s="24">
        <f t="shared" si="158"/>
        <v>0</v>
      </c>
      <c r="L2046" s="24">
        <f t="shared" si="159"/>
        <v>0</v>
      </c>
    </row>
    <row r="2047" spans="1:12" ht="15" customHeight="1" x14ac:dyDescent="0.3">
      <c r="A2047" s="23" t="s">
        <v>14854</v>
      </c>
      <c r="B2047" s="23" t="s">
        <v>75</v>
      </c>
      <c r="C2047" s="39">
        <v>5298</v>
      </c>
      <c r="D2047" s="24">
        <v>15.89</v>
      </c>
      <c r="E2047" s="24">
        <v>2.86</v>
      </c>
      <c r="F2047" s="23">
        <f>COUNTIFS(mdr_rate_cleaned!$A$2:$A$10,B2047,mdr_rate_cleaned!$B$2:$B$10,"&lt;"&amp;C2047,mdr_rate_cleaned!$F$2:$F$10,"&gt;="&amp;C2047)</f>
        <v>1</v>
      </c>
      <c r="G2047" s="40">
        <f>SUMIFS(mdr_rate_cleaned!$G$2:$G$10,mdr_rate_cleaned!$A$2:$A$10,B2047,mdr_rate_cleaned!$B$2:$B$10,"&lt;"&amp;C2047,mdr_rate_cleaned!$F$2:$F$10,"&gt;="&amp;C2047)</f>
        <v>3.0000000000000001E-3</v>
      </c>
      <c r="H2047" s="24">
        <f t="shared" si="155"/>
        <v>15.89</v>
      </c>
      <c r="I2047" s="23" t="str">
        <f t="shared" si="156"/>
        <v>Match</v>
      </c>
      <c r="J2047" s="23" t="str">
        <f t="shared" si="157"/>
        <v>Match</v>
      </c>
      <c r="K2047" s="24">
        <f t="shared" si="158"/>
        <v>2.86</v>
      </c>
      <c r="L2047" s="24">
        <f t="shared" si="159"/>
        <v>0</v>
      </c>
    </row>
    <row r="2048" spans="1:12" ht="15" customHeight="1" x14ac:dyDescent="0.3">
      <c r="A2048" s="23" t="s">
        <v>14855</v>
      </c>
      <c r="B2048" s="23" t="s">
        <v>75</v>
      </c>
      <c r="C2048" s="39">
        <v>2798</v>
      </c>
      <c r="D2048" s="24">
        <v>8.39</v>
      </c>
      <c r="E2048" s="24">
        <v>1.51</v>
      </c>
      <c r="F2048" s="23">
        <f>COUNTIFS(mdr_rate_cleaned!$A$2:$A$10,B2048,mdr_rate_cleaned!$B$2:$B$10,"&lt;"&amp;C2048,mdr_rate_cleaned!$F$2:$F$10,"&gt;="&amp;C2048)</f>
        <v>1</v>
      </c>
      <c r="G2048" s="40">
        <f>SUMIFS(mdr_rate_cleaned!$G$2:$G$10,mdr_rate_cleaned!$A$2:$A$10,B2048,mdr_rate_cleaned!$B$2:$B$10,"&lt;"&amp;C2048,mdr_rate_cleaned!$F$2:$F$10,"&gt;="&amp;C2048)</f>
        <v>3.0000000000000001E-3</v>
      </c>
      <c r="H2048" s="24">
        <f t="shared" si="155"/>
        <v>8.39</v>
      </c>
      <c r="I2048" s="23" t="str">
        <f t="shared" si="156"/>
        <v>Match</v>
      </c>
      <c r="J2048" s="23" t="str">
        <f t="shared" si="157"/>
        <v>Match</v>
      </c>
      <c r="K2048" s="24">
        <f t="shared" si="158"/>
        <v>1.51</v>
      </c>
      <c r="L2048" s="24">
        <f t="shared" si="159"/>
        <v>0</v>
      </c>
    </row>
    <row r="2049" spans="1:12" ht="15" customHeight="1" x14ac:dyDescent="0.3">
      <c r="A2049" s="23" t="s">
        <v>14856</v>
      </c>
      <c r="B2049" s="23" t="s">
        <v>75</v>
      </c>
      <c r="C2049" s="39">
        <v>499</v>
      </c>
      <c r="D2049" s="24">
        <v>1.5</v>
      </c>
      <c r="E2049" s="24">
        <v>0.27</v>
      </c>
      <c r="F2049" s="23">
        <f>COUNTIFS(mdr_rate_cleaned!$A$2:$A$10,B2049,mdr_rate_cleaned!$B$2:$B$10,"&lt;"&amp;C2049,mdr_rate_cleaned!$F$2:$F$10,"&gt;="&amp;C2049)</f>
        <v>1</v>
      </c>
      <c r="G2049" s="40">
        <f>SUMIFS(mdr_rate_cleaned!$G$2:$G$10,mdr_rate_cleaned!$A$2:$A$10,B2049,mdr_rate_cleaned!$B$2:$B$10,"&lt;"&amp;C2049,mdr_rate_cleaned!$F$2:$F$10,"&gt;="&amp;C2049)</f>
        <v>0</v>
      </c>
      <c r="H2049" s="24">
        <f t="shared" si="155"/>
        <v>0</v>
      </c>
      <c r="I2049" s="23" t="str">
        <f t="shared" si="156"/>
        <v>Differs</v>
      </c>
      <c r="J2049" s="23" t="str">
        <f t="shared" si="157"/>
        <v>Match</v>
      </c>
      <c r="K2049" s="24">
        <f t="shared" si="158"/>
        <v>0</v>
      </c>
      <c r="L2049" s="24">
        <f t="shared" si="159"/>
        <v>1.77</v>
      </c>
    </row>
    <row r="2050" spans="1:12" ht="15" customHeight="1" x14ac:dyDescent="0.3">
      <c r="A2050" s="23" t="s">
        <v>14857</v>
      </c>
      <c r="B2050" s="23" t="s">
        <v>75</v>
      </c>
      <c r="C2050" s="39">
        <v>8998</v>
      </c>
      <c r="D2050" s="24">
        <v>26.99</v>
      </c>
      <c r="E2050" s="24">
        <v>4.8600000000000003</v>
      </c>
      <c r="F2050" s="23">
        <f>COUNTIFS(mdr_rate_cleaned!$A$2:$A$10,B2050,mdr_rate_cleaned!$B$2:$B$10,"&lt;"&amp;C2050,mdr_rate_cleaned!$F$2:$F$10,"&gt;="&amp;C2050)</f>
        <v>1</v>
      </c>
      <c r="G2050" s="40">
        <f>SUMIFS(mdr_rate_cleaned!$G$2:$G$10,mdr_rate_cleaned!$A$2:$A$10,B2050,mdr_rate_cleaned!$B$2:$B$10,"&lt;"&amp;C2050,mdr_rate_cleaned!$F$2:$F$10,"&gt;="&amp;C2050)</f>
        <v>3.0000000000000001E-3</v>
      </c>
      <c r="H2050" s="24">
        <f t="shared" ref="H2050:H2113" si="160">ROUND(C2050*G2050,2)</f>
        <v>26.99</v>
      </c>
      <c r="I2050" s="23" t="str">
        <f t="shared" ref="I2050:I2113" si="161">IF(ROUND(D2050-H2050,2)=0,"Match","Differs")</f>
        <v>Match</v>
      </c>
      <c r="J2050" s="23" t="str">
        <f t="shared" ref="J2050:J2113" si="162">IF(ROUND(E2050-ROUND(D2050*0.18,2),2)=0,"Match","Differs")</f>
        <v>Match</v>
      </c>
      <c r="K2050" s="24">
        <f t="shared" ref="K2050:K2113" si="163">ROUND(H2050*0.18,2)</f>
        <v>4.8600000000000003</v>
      </c>
      <c r="L2050" s="24">
        <f t="shared" ref="L2050:L2113" si="164">ROUND(D2050+E2050-H2050-K2050,2)</f>
        <v>0</v>
      </c>
    </row>
    <row r="2051" spans="1:12" ht="15" customHeight="1" x14ac:dyDescent="0.3">
      <c r="A2051" s="23" t="s">
        <v>14858</v>
      </c>
      <c r="B2051" s="23" t="s">
        <v>75</v>
      </c>
      <c r="C2051" s="39">
        <v>2098</v>
      </c>
      <c r="D2051" s="24">
        <v>6.29</v>
      </c>
      <c r="E2051" s="24">
        <v>1.1299999999999999</v>
      </c>
      <c r="F2051" s="23">
        <f>COUNTIFS(mdr_rate_cleaned!$A$2:$A$10,B2051,mdr_rate_cleaned!$B$2:$B$10,"&lt;"&amp;C2051,mdr_rate_cleaned!$F$2:$F$10,"&gt;="&amp;C2051)</f>
        <v>1</v>
      </c>
      <c r="G2051" s="40">
        <f>SUMIFS(mdr_rate_cleaned!$G$2:$G$10,mdr_rate_cleaned!$A$2:$A$10,B2051,mdr_rate_cleaned!$B$2:$B$10,"&lt;"&amp;C2051,mdr_rate_cleaned!$F$2:$F$10,"&gt;="&amp;C2051)</f>
        <v>3.0000000000000001E-3</v>
      </c>
      <c r="H2051" s="24">
        <f t="shared" si="160"/>
        <v>6.29</v>
      </c>
      <c r="I2051" s="23" t="str">
        <f t="shared" si="161"/>
        <v>Match</v>
      </c>
      <c r="J2051" s="23" t="str">
        <f t="shared" si="162"/>
        <v>Match</v>
      </c>
      <c r="K2051" s="24">
        <f t="shared" si="163"/>
        <v>1.1299999999999999</v>
      </c>
      <c r="L2051" s="24">
        <f t="shared" si="164"/>
        <v>0</v>
      </c>
    </row>
    <row r="2052" spans="1:12" ht="15" customHeight="1" x14ac:dyDescent="0.3">
      <c r="A2052" s="23" t="s">
        <v>14859</v>
      </c>
      <c r="B2052" s="23" t="s">
        <v>75</v>
      </c>
      <c r="C2052" s="39">
        <v>1799</v>
      </c>
      <c r="D2052" s="24">
        <v>0</v>
      </c>
      <c r="E2052" s="24">
        <v>0</v>
      </c>
      <c r="F2052" s="23">
        <f>COUNTIFS(mdr_rate_cleaned!$A$2:$A$10,B2052,mdr_rate_cleaned!$B$2:$B$10,"&lt;"&amp;C2052,mdr_rate_cleaned!$F$2:$F$10,"&gt;="&amp;C2052)</f>
        <v>1</v>
      </c>
      <c r="G2052" s="40">
        <f>SUMIFS(mdr_rate_cleaned!$G$2:$G$10,mdr_rate_cleaned!$A$2:$A$10,B2052,mdr_rate_cleaned!$B$2:$B$10,"&lt;"&amp;C2052,mdr_rate_cleaned!$F$2:$F$10,"&gt;="&amp;C2052)</f>
        <v>0</v>
      </c>
      <c r="H2052" s="24">
        <f t="shared" si="160"/>
        <v>0</v>
      </c>
      <c r="I2052" s="23" t="str">
        <f t="shared" si="161"/>
        <v>Match</v>
      </c>
      <c r="J2052" s="23" t="str">
        <f t="shared" si="162"/>
        <v>Match</v>
      </c>
      <c r="K2052" s="24">
        <f t="shared" si="163"/>
        <v>0</v>
      </c>
      <c r="L2052" s="24">
        <f t="shared" si="164"/>
        <v>0</v>
      </c>
    </row>
    <row r="2053" spans="1:12" ht="15" customHeight="1" x14ac:dyDescent="0.3">
      <c r="A2053" s="23" t="s">
        <v>14860</v>
      </c>
      <c r="B2053" s="23" t="s">
        <v>79</v>
      </c>
      <c r="C2053" s="39">
        <v>999</v>
      </c>
      <c r="D2053" s="24">
        <v>17.98</v>
      </c>
      <c r="E2053" s="24">
        <v>3.24</v>
      </c>
      <c r="F2053" s="23">
        <f>COUNTIFS(mdr_rate_cleaned!$A$2:$A$10,B2053,mdr_rate_cleaned!$B$2:$B$10,"&lt;"&amp;C2053,mdr_rate_cleaned!$F$2:$F$10,"&gt;="&amp;C2053)</f>
        <v>1</v>
      </c>
      <c r="G2053" s="40">
        <f>SUMIFS(mdr_rate_cleaned!$G$2:$G$10,mdr_rate_cleaned!$A$2:$A$10,B2053,mdr_rate_cleaned!$B$2:$B$10,"&lt;"&amp;C2053,mdr_rate_cleaned!$F$2:$F$10,"&gt;="&amp;C2053)</f>
        <v>1.8000000000000002E-2</v>
      </c>
      <c r="H2053" s="24">
        <f t="shared" si="160"/>
        <v>17.98</v>
      </c>
      <c r="I2053" s="23" t="str">
        <f t="shared" si="161"/>
        <v>Match</v>
      </c>
      <c r="J2053" s="23" t="str">
        <f t="shared" si="162"/>
        <v>Match</v>
      </c>
      <c r="K2053" s="24">
        <f t="shared" si="163"/>
        <v>3.24</v>
      </c>
      <c r="L2053" s="24">
        <f t="shared" si="164"/>
        <v>0</v>
      </c>
    </row>
    <row r="2054" spans="1:12" ht="15" customHeight="1" x14ac:dyDescent="0.3">
      <c r="A2054" s="23" t="s">
        <v>14861</v>
      </c>
      <c r="B2054" s="23" t="s">
        <v>79</v>
      </c>
      <c r="C2054" s="39">
        <v>5998</v>
      </c>
      <c r="D2054" s="24">
        <v>95.97</v>
      </c>
      <c r="E2054" s="24">
        <v>17.27</v>
      </c>
      <c r="F2054" s="23">
        <f>COUNTIFS(mdr_rate_cleaned!$A$2:$A$10,B2054,mdr_rate_cleaned!$B$2:$B$10,"&lt;"&amp;C2054,mdr_rate_cleaned!$F$2:$F$10,"&gt;="&amp;C2054)</f>
        <v>1</v>
      </c>
      <c r="G2054" s="40">
        <f>SUMIFS(mdr_rate_cleaned!$G$2:$G$10,mdr_rate_cleaned!$A$2:$A$10,B2054,mdr_rate_cleaned!$B$2:$B$10,"&lt;"&amp;C2054,mdr_rate_cleaned!$F$2:$F$10,"&gt;="&amp;C2054)</f>
        <v>1.6E-2</v>
      </c>
      <c r="H2054" s="24">
        <f t="shared" si="160"/>
        <v>95.97</v>
      </c>
      <c r="I2054" s="23" t="str">
        <f t="shared" si="161"/>
        <v>Match</v>
      </c>
      <c r="J2054" s="23" t="str">
        <f t="shared" si="162"/>
        <v>Match</v>
      </c>
      <c r="K2054" s="24">
        <f t="shared" si="163"/>
        <v>17.27</v>
      </c>
      <c r="L2054" s="24">
        <f t="shared" si="164"/>
        <v>0</v>
      </c>
    </row>
    <row r="2055" spans="1:12" ht="15" customHeight="1" x14ac:dyDescent="0.3">
      <c r="A2055" s="23" t="s">
        <v>14862</v>
      </c>
      <c r="B2055" s="23" t="s">
        <v>75</v>
      </c>
      <c r="C2055" s="39">
        <v>8348</v>
      </c>
      <c r="D2055" s="24">
        <v>25.04</v>
      </c>
      <c r="E2055" s="24">
        <v>4.51</v>
      </c>
      <c r="F2055" s="23">
        <f>COUNTIFS(mdr_rate_cleaned!$A$2:$A$10,B2055,mdr_rate_cleaned!$B$2:$B$10,"&lt;"&amp;C2055,mdr_rate_cleaned!$F$2:$F$10,"&gt;="&amp;C2055)</f>
        <v>1</v>
      </c>
      <c r="G2055" s="40">
        <f>SUMIFS(mdr_rate_cleaned!$G$2:$G$10,mdr_rate_cleaned!$A$2:$A$10,B2055,mdr_rate_cleaned!$B$2:$B$10,"&lt;"&amp;C2055,mdr_rate_cleaned!$F$2:$F$10,"&gt;="&amp;C2055)</f>
        <v>3.0000000000000001E-3</v>
      </c>
      <c r="H2055" s="24">
        <f t="shared" si="160"/>
        <v>25.04</v>
      </c>
      <c r="I2055" s="23" t="str">
        <f t="shared" si="161"/>
        <v>Match</v>
      </c>
      <c r="J2055" s="23" t="str">
        <f t="shared" si="162"/>
        <v>Match</v>
      </c>
      <c r="K2055" s="24">
        <f t="shared" si="163"/>
        <v>4.51</v>
      </c>
      <c r="L2055" s="24">
        <f t="shared" si="164"/>
        <v>0</v>
      </c>
    </row>
    <row r="2056" spans="1:12" ht="15" customHeight="1" x14ac:dyDescent="0.3">
      <c r="A2056" s="23" t="s">
        <v>14863</v>
      </c>
      <c r="B2056" s="23" t="s">
        <v>75</v>
      </c>
      <c r="C2056" s="39">
        <v>8997</v>
      </c>
      <c r="D2056" s="24">
        <v>26.99</v>
      </c>
      <c r="E2056" s="24">
        <v>4.8600000000000003</v>
      </c>
      <c r="F2056" s="23">
        <f>COUNTIFS(mdr_rate_cleaned!$A$2:$A$10,B2056,mdr_rate_cleaned!$B$2:$B$10,"&lt;"&amp;C2056,mdr_rate_cleaned!$F$2:$F$10,"&gt;="&amp;C2056)</f>
        <v>1</v>
      </c>
      <c r="G2056" s="40">
        <f>SUMIFS(mdr_rate_cleaned!$G$2:$G$10,mdr_rate_cleaned!$A$2:$A$10,B2056,mdr_rate_cleaned!$B$2:$B$10,"&lt;"&amp;C2056,mdr_rate_cleaned!$F$2:$F$10,"&gt;="&amp;C2056)</f>
        <v>3.0000000000000001E-3</v>
      </c>
      <c r="H2056" s="24">
        <f t="shared" si="160"/>
        <v>26.99</v>
      </c>
      <c r="I2056" s="23" t="str">
        <f t="shared" si="161"/>
        <v>Match</v>
      </c>
      <c r="J2056" s="23" t="str">
        <f t="shared" si="162"/>
        <v>Match</v>
      </c>
      <c r="K2056" s="24">
        <f t="shared" si="163"/>
        <v>4.8600000000000003</v>
      </c>
      <c r="L2056" s="24">
        <f t="shared" si="164"/>
        <v>0</v>
      </c>
    </row>
    <row r="2057" spans="1:12" ht="15" customHeight="1" x14ac:dyDescent="0.3">
      <c r="A2057" s="23" t="s">
        <v>14865</v>
      </c>
      <c r="B2057" s="23" t="s">
        <v>79</v>
      </c>
      <c r="C2057" s="39">
        <v>5597</v>
      </c>
      <c r="D2057" s="24">
        <v>89.55</v>
      </c>
      <c r="E2057" s="24">
        <v>16.12</v>
      </c>
      <c r="F2057" s="23">
        <f>COUNTIFS(mdr_rate_cleaned!$A$2:$A$10,B2057,mdr_rate_cleaned!$B$2:$B$10,"&lt;"&amp;C2057,mdr_rate_cleaned!$F$2:$F$10,"&gt;="&amp;C2057)</f>
        <v>1</v>
      </c>
      <c r="G2057" s="40">
        <f>SUMIFS(mdr_rate_cleaned!$G$2:$G$10,mdr_rate_cleaned!$A$2:$A$10,B2057,mdr_rate_cleaned!$B$2:$B$10,"&lt;"&amp;C2057,mdr_rate_cleaned!$F$2:$F$10,"&gt;="&amp;C2057)</f>
        <v>1.6E-2</v>
      </c>
      <c r="H2057" s="24">
        <f t="shared" si="160"/>
        <v>89.55</v>
      </c>
      <c r="I2057" s="23" t="str">
        <f t="shared" si="161"/>
        <v>Match</v>
      </c>
      <c r="J2057" s="23" t="str">
        <f t="shared" si="162"/>
        <v>Match</v>
      </c>
      <c r="K2057" s="24">
        <f t="shared" si="163"/>
        <v>16.12</v>
      </c>
      <c r="L2057" s="24">
        <f t="shared" si="164"/>
        <v>0</v>
      </c>
    </row>
    <row r="2058" spans="1:12" ht="15" customHeight="1" x14ac:dyDescent="0.3">
      <c r="A2058" s="23" t="s">
        <v>14866</v>
      </c>
      <c r="B2058" s="23" t="s">
        <v>75</v>
      </c>
      <c r="C2058" s="39">
        <v>11097</v>
      </c>
      <c r="D2058" s="24">
        <v>33.29</v>
      </c>
      <c r="E2058" s="24">
        <v>5.99</v>
      </c>
      <c r="F2058" s="23">
        <f>COUNTIFS(mdr_rate_cleaned!$A$2:$A$10,B2058,mdr_rate_cleaned!$B$2:$B$10,"&lt;"&amp;C2058,mdr_rate_cleaned!$F$2:$F$10,"&gt;="&amp;C2058)</f>
        <v>1</v>
      </c>
      <c r="G2058" s="40">
        <f>SUMIFS(mdr_rate_cleaned!$G$2:$G$10,mdr_rate_cleaned!$A$2:$A$10,B2058,mdr_rate_cleaned!$B$2:$B$10,"&lt;"&amp;C2058,mdr_rate_cleaned!$F$2:$F$10,"&gt;="&amp;C2058)</f>
        <v>3.0000000000000001E-3</v>
      </c>
      <c r="H2058" s="24">
        <f t="shared" si="160"/>
        <v>33.29</v>
      </c>
      <c r="I2058" s="23" t="str">
        <f t="shared" si="161"/>
        <v>Match</v>
      </c>
      <c r="J2058" s="23" t="str">
        <f t="shared" si="162"/>
        <v>Match</v>
      </c>
      <c r="K2058" s="24">
        <f t="shared" si="163"/>
        <v>5.99</v>
      </c>
      <c r="L2058" s="24">
        <f t="shared" si="164"/>
        <v>0</v>
      </c>
    </row>
    <row r="2059" spans="1:12" ht="15" customHeight="1" x14ac:dyDescent="0.3">
      <c r="A2059" s="23" t="s">
        <v>14867</v>
      </c>
      <c r="B2059" s="23" t="s">
        <v>79</v>
      </c>
      <c r="C2059" s="39">
        <v>1799</v>
      </c>
      <c r="D2059" s="24">
        <v>32.380000000000003</v>
      </c>
      <c r="E2059" s="24">
        <v>5.83</v>
      </c>
      <c r="F2059" s="23">
        <f>COUNTIFS(mdr_rate_cleaned!$A$2:$A$10,B2059,mdr_rate_cleaned!$B$2:$B$10,"&lt;"&amp;C2059,mdr_rate_cleaned!$F$2:$F$10,"&gt;="&amp;C2059)</f>
        <v>1</v>
      </c>
      <c r="G2059" s="40">
        <f>SUMIFS(mdr_rate_cleaned!$G$2:$G$10,mdr_rate_cleaned!$A$2:$A$10,B2059,mdr_rate_cleaned!$B$2:$B$10,"&lt;"&amp;C2059,mdr_rate_cleaned!$F$2:$F$10,"&gt;="&amp;C2059)</f>
        <v>1.8000000000000002E-2</v>
      </c>
      <c r="H2059" s="24">
        <f t="shared" si="160"/>
        <v>32.380000000000003</v>
      </c>
      <c r="I2059" s="23" t="str">
        <f t="shared" si="161"/>
        <v>Match</v>
      </c>
      <c r="J2059" s="23" t="str">
        <f t="shared" si="162"/>
        <v>Match</v>
      </c>
      <c r="K2059" s="24">
        <f t="shared" si="163"/>
        <v>5.83</v>
      </c>
      <c r="L2059" s="24">
        <f t="shared" si="164"/>
        <v>0</v>
      </c>
    </row>
    <row r="2060" spans="1:12" ht="15" customHeight="1" x14ac:dyDescent="0.3">
      <c r="A2060" s="23" t="s">
        <v>14868</v>
      </c>
      <c r="B2060" s="23" t="s">
        <v>75</v>
      </c>
      <c r="C2060" s="39">
        <v>1799</v>
      </c>
      <c r="D2060" s="24">
        <v>0</v>
      </c>
      <c r="E2060" s="24">
        <v>0</v>
      </c>
      <c r="F2060" s="23">
        <f>COUNTIFS(mdr_rate_cleaned!$A$2:$A$10,B2060,mdr_rate_cleaned!$B$2:$B$10,"&lt;"&amp;C2060,mdr_rate_cleaned!$F$2:$F$10,"&gt;="&amp;C2060)</f>
        <v>1</v>
      </c>
      <c r="G2060" s="40">
        <f>SUMIFS(mdr_rate_cleaned!$G$2:$G$10,mdr_rate_cleaned!$A$2:$A$10,B2060,mdr_rate_cleaned!$B$2:$B$10,"&lt;"&amp;C2060,mdr_rate_cleaned!$F$2:$F$10,"&gt;="&amp;C2060)</f>
        <v>0</v>
      </c>
      <c r="H2060" s="24">
        <f t="shared" si="160"/>
        <v>0</v>
      </c>
      <c r="I2060" s="23" t="str">
        <f t="shared" si="161"/>
        <v>Match</v>
      </c>
      <c r="J2060" s="23" t="str">
        <f t="shared" si="162"/>
        <v>Match</v>
      </c>
      <c r="K2060" s="24">
        <f t="shared" si="163"/>
        <v>0</v>
      </c>
      <c r="L2060" s="24">
        <f t="shared" si="164"/>
        <v>0</v>
      </c>
    </row>
    <row r="2061" spans="1:12" ht="15" customHeight="1" x14ac:dyDescent="0.3">
      <c r="A2061" s="23" t="s">
        <v>14869</v>
      </c>
      <c r="B2061" s="23" t="s">
        <v>75</v>
      </c>
      <c r="C2061" s="39">
        <v>2499</v>
      </c>
      <c r="D2061" s="24">
        <v>7.5</v>
      </c>
      <c r="E2061" s="24">
        <v>1.35</v>
      </c>
      <c r="F2061" s="23">
        <f>COUNTIFS(mdr_rate_cleaned!$A$2:$A$10,B2061,mdr_rate_cleaned!$B$2:$B$10,"&lt;"&amp;C2061,mdr_rate_cleaned!$F$2:$F$10,"&gt;="&amp;C2061)</f>
        <v>1</v>
      </c>
      <c r="G2061" s="40">
        <f>SUMIFS(mdr_rate_cleaned!$G$2:$G$10,mdr_rate_cleaned!$A$2:$A$10,B2061,mdr_rate_cleaned!$B$2:$B$10,"&lt;"&amp;C2061,mdr_rate_cleaned!$F$2:$F$10,"&gt;="&amp;C2061)</f>
        <v>3.0000000000000001E-3</v>
      </c>
      <c r="H2061" s="24">
        <f t="shared" si="160"/>
        <v>7.5</v>
      </c>
      <c r="I2061" s="23" t="str">
        <f t="shared" si="161"/>
        <v>Match</v>
      </c>
      <c r="J2061" s="23" t="str">
        <f t="shared" si="162"/>
        <v>Match</v>
      </c>
      <c r="K2061" s="24">
        <f t="shared" si="163"/>
        <v>1.35</v>
      </c>
      <c r="L2061" s="24">
        <f t="shared" si="164"/>
        <v>0</v>
      </c>
    </row>
    <row r="2062" spans="1:12" ht="15" customHeight="1" x14ac:dyDescent="0.3">
      <c r="A2062" s="23" t="s">
        <v>14870</v>
      </c>
      <c r="B2062" s="23" t="s">
        <v>75</v>
      </c>
      <c r="C2062" s="39">
        <v>349</v>
      </c>
      <c r="D2062" s="24">
        <v>0</v>
      </c>
      <c r="E2062" s="24">
        <v>0</v>
      </c>
      <c r="F2062" s="23">
        <f>COUNTIFS(mdr_rate_cleaned!$A$2:$A$10,B2062,mdr_rate_cleaned!$B$2:$B$10,"&lt;"&amp;C2062,mdr_rate_cleaned!$F$2:$F$10,"&gt;="&amp;C2062)</f>
        <v>1</v>
      </c>
      <c r="G2062" s="40">
        <f>SUMIFS(mdr_rate_cleaned!$G$2:$G$10,mdr_rate_cleaned!$A$2:$A$10,B2062,mdr_rate_cleaned!$B$2:$B$10,"&lt;"&amp;C2062,mdr_rate_cleaned!$F$2:$F$10,"&gt;="&amp;C2062)</f>
        <v>0</v>
      </c>
      <c r="H2062" s="24">
        <f t="shared" si="160"/>
        <v>0</v>
      </c>
      <c r="I2062" s="23" t="str">
        <f t="shared" si="161"/>
        <v>Match</v>
      </c>
      <c r="J2062" s="23" t="str">
        <f t="shared" si="162"/>
        <v>Match</v>
      </c>
      <c r="K2062" s="24">
        <f t="shared" si="163"/>
        <v>0</v>
      </c>
      <c r="L2062" s="24">
        <f t="shared" si="164"/>
        <v>0</v>
      </c>
    </row>
    <row r="2063" spans="1:12" ht="15" customHeight="1" x14ac:dyDescent="0.3">
      <c r="A2063" s="23" t="s">
        <v>14871</v>
      </c>
      <c r="B2063" s="23" t="s">
        <v>75</v>
      </c>
      <c r="C2063" s="39">
        <v>1499</v>
      </c>
      <c r="D2063" s="24">
        <v>0</v>
      </c>
      <c r="E2063" s="24">
        <v>0</v>
      </c>
      <c r="F2063" s="23">
        <f>COUNTIFS(mdr_rate_cleaned!$A$2:$A$10,B2063,mdr_rate_cleaned!$B$2:$B$10,"&lt;"&amp;C2063,mdr_rate_cleaned!$F$2:$F$10,"&gt;="&amp;C2063)</f>
        <v>1</v>
      </c>
      <c r="G2063" s="40">
        <f>SUMIFS(mdr_rate_cleaned!$G$2:$G$10,mdr_rate_cleaned!$A$2:$A$10,B2063,mdr_rate_cleaned!$B$2:$B$10,"&lt;"&amp;C2063,mdr_rate_cleaned!$F$2:$F$10,"&gt;="&amp;C2063)</f>
        <v>0</v>
      </c>
      <c r="H2063" s="24">
        <f t="shared" si="160"/>
        <v>0</v>
      </c>
      <c r="I2063" s="23" t="str">
        <f t="shared" si="161"/>
        <v>Match</v>
      </c>
      <c r="J2063" s="23" t="str">
        <f t="shared" si="162"/>
        <v>Match</v>
      </c>
      <c r="K2063" s="24">
        <f t="shared" si="163"/>
        <v>0</v>
      </c>
      <c r="L2063" s="24">
        <f t="shared" si="164"/>
        <v>0</v>
      </c>
    </row>
    <row r="2064" spans="1:12" ht="15" customHeight="1" x14ac:dyDescent="0.3">
      <c r="A2064" s="23" t="s">
        <v>14872</v>
      </c>
      <c r="B2064" s="23" t="s">
        <v>75</v>
      </c>
      <c r="C2064" s="39">
        <v>2499</v>
      </c>
      <c r="D2064" s="24">
        <v>7.5</v>
      </c>
      <c r="E2064" s="24">
        <v>1.35</v>
      </c>
      <c r="F2064" s="23">
        <f>COUNTIFS(mdr_rate_cleaned!$A$2:$A$10,B2064,mdr_rate_cleaned!$B$2:$B$10,"&lt;"&amp;C2064,mdr_rate_cleaned!$F$2:$F$10,"&gt;="&amp;C2064)</f>
        <v>1</v>
      </c>
      <c r="G2064" s="40">
        <f>SUMIFS(mdr_rate_cleaned!$G$2:$G$10,mdr_rate_cleaned!$A$2:$A$10,B2064,mdr_rate_cleaned!$B$2:$B$10,"&lt;"&amp;C2064,mdr_rate_cleaned!$F$2:$F$10,"&gt;="&amp;C2064)</f>
        <v>3.0000000000000001E-3</v>
      </c>
      <c r="H2064" s="24">
        <f t="shared" si="160"/>
        <v>7.5</v>
      </c>
      <c r="I2064" s="23" t="str">
        <f t="shared" si="161"/>
        <v>Match</v>
      </c>
      <c r="J2064" s="23" t="str">
        <f t="shared" si="162"/>
        <v>Match</v>
      </c>
      <c r="K2064" s="24">
        <f t="shared" si="163"/>
        <v>1.35</v>
      </c>
      <c r="L2064" s="24">
        <f t="shared" si="164"/>
        <v>0</v>
      </c>
    </row>
    <row r="2065" spans="1:12" ht="15" customHeight="1" x14ac:dyDescent="0.3">
      <c r="A2065" s="23" t="s">
        <v>14873</v>
      </c>
      <c r="B2065" s="23" t="s">
        <v>75</v>
      </c>
      <c r="C2065" s="39">
        <v>7999</v>
      </c>
      <c r="D2065" s="24">
        <v>24</v>
      </c>
      <c r="E2065" s="24">
        <v>4.32</v>
      </c>
      <c r="F2065" s="23">
        <f>COUNTIFS(mdr_rate_cleaned!$A$2:$A$10,B2065,mdr_rate_cleaned!$B$2:$B$10,"&lt;"&amp;C2065,mdr_rate_cleaned!$F$2:$F$10,"&gt;="&amp;C2065)</f>
        <v>1</v>
      </c>
      <c r="G2065" s="40">
        <f>SUMIFS(mdr_rate_cleaned!$G$2:$G$10,mdr_rate_cleaned!$A$2:$A$10,B2065,mdr_rate_cleaned!$B$2:$B$10,"&lt;"&amp;C2065,mdr_rate_cleaned!$F$2:$F$10,"&gt;="&amp;C2065)</f>
        <v>3.0000000000000001E-3</v>
      </c>
      <c r="H2065" s="24">
        <f t="shared" si="160"/>
        <v>24</v>
      </c>
      <c r="I2065" s="23" t="str">
        <f t="shared" si="161"/>
        <v>Match</v>
      </c>
      <c r="J2065" s="23" t="str">
        <f t="shared" si="162"/>
        <v>Match</v>
      </c>
      <c r="K2065" s="24">
        <f t="shared" si="163"/>
        <v>4.32</v>
      </c>
      <c r="L2065" s="24">
        <f t="shared" si="164"/>
        <v>0</v>
      </c>
    </row>
    <row r="2066" spans="1:12" ht="15" customHeight="1" x14ac:dyDescent="0.3">
      <c r="A2066" s="23" t="s">
        <v>14875</v>
      </c>
      <c r="B2066" s="23" t="s">
        <v>81</v>
      </c>
      <c r="C2066" s="39">
        <v>1799</v>
      </c>
      <c r="D2066" s="24">
        <v>26.99</v>
      </c>
      <c r="E2066" s="24">
        <v>4.8600000000000003</v>
      </c>
      <c r="F2066" s="23">
        <f>COUNTIFS(mdr_rate_cleaned!$A$2:$A$10,B2066,mdr_rate_cleaned!$B$2:$B$10,"&lt;"&amp;C2066,mdr_rate_cleaned!$F$2:$F$10,"&gt;="&amp;C2066)</f>
        <v>1</v>
      </c>
      <c r="G2066" s="40">
        <f>SUMIFS(mdr_rate_cleaned!$G$2:$G$10,mdr_rate_cleaned!$A$2:$A$10,B2066,mdr_rate_cleaned!$B$2:$B$10,"&lt;"&amp;C2066,mdr_rate_cleaned!$F$2:$F$10,"&gt;="&amp;C2066)</f>
        <v>1.4999999999999999E-2</v>
      </c>
      <c r="H2066" s="24">
        <f t="shared" si="160"/>
        <v>26.99</v>
      </c>
      <c r="I2066" s="23" t="str">
        <f t="shared" si="161"/>
        <v>Match</v>
      </c>
      <c r="J2066" s="23" t="str">
        <f t="shared" si="162"/>
        <v>Match</v>
      </c>
      <c r="K2066" s="24">
        <f t="shared" si="163"/>
        <v>4.8600000000000003</v>
      </c>
      <c r="L2066" s="24">
        <f t="shared" si="164"/>
        <v>0</v>
      </c>
    </row>
    <row r="2067" spans="1:12" ht="15" customHeight="1" x14ac:dyDescent="0.3">
      <c r="A2067" s="23" t="s">
        <v>14876</v>
      </c>
      <c r="B2067" s="23" t="s">
        <v>75</v>
      </c>
      <c r="C2067" s="39">
        <v>1299</v>
      </c>
      <c r="D2067" s="24">
        <v>0</v>
      </c>
      <c r="E2067" s="24">
        <v>0</v>
      </c>
      <c r="F2067" s="23">
        <f>COUNTIFS(mdr_rate_cleaned!$A$2:$A$10,B2067,mdr_rate_cleaned!$B$2:$B$10,"&lt;"&amp;C2067,mdr_rate_cleaned!$F$2:$F$10,"&gt;="&amp;C2067)</f>
        <v>1</v>
      </c>
      <c r="G2067" s="40">
        <f>SUMIFS(mdr_rate_cleaned!$G$2:$G$10,mdr_rate_cleaned!$A$2:$A$10,B2067,mdr_rate_cleaned!$B$2:$B$10,"&lt;"&amp;C2067,mdr_rate_cleaned!$F$2:$F$10,"&gt;="&amp;C2067)</f>
        <v>0</v>
      </c>
      <c r="H2067" s="24">
        <f t="shared" si="160"/>
        <v>0</v>
      </c>
      <c r="I2067" s="23" t="str">
        <f t="shared" si="161"/>
        <v>Match</v>
      </c>
      <c r="J2067" s="23" t="str">
        <f t="shared" si="162"/>
        <v>Match</v>
      </c>
      <c r="K2067" s="24">
        <f t="shared" si="163"/>
        <v>0</v>
      </c>
      <c r="L2067" s="24">
        <f t="shared" si="164"/>
        <v>0</v>
      </c>
    </row>
    <row r="2068" spans="1:12" ht="15" customHeight="1" x14ac:dyDescent="0.3">
      <c r="A2068" s="23" t="s">
        <v>14878</v>
      </c>
      <c r="B2068" s="23" t="s">
        <v>79</v>
      </c>
      <c r="C2068" s="39">
        <v>299</v>
      </c>
      <c r="D2068" s="24">
        <v>5.38</v>
      </c>
      <c r="E2068" s="24">
        <v>0.97</v>
      </c>
      <c r="F2068" s="23">
        <f>COUNTIFS(mdr_rate_cleaned!$A$2:$A$10,B2068,mdr_rate_cleaned!$B$2:$B$10,"&lt;"&amp;C2068,mdr_rate_cleaned!$F$2:$F$10,"&gt;="&amp;C2068)</f>
        <v>1</v>
      </c>
      <c r="G2068" s="40">
        <f>SUMIFS(mdr_rate_cleaned!$G$2:$G$10,mdr_rate_cleaned!$A$2:$A$10,B2068,mdr_rate_cleaned!$B$2:$B$10,"&lt;"&amp;C2068,mdr_rate_cleaned!$F$2:$F$10,"&gt;="&amp;C2068)</f>
        <v>1.8000000000000002E-2</v>
      </c>
      <c r="H2068" s="24">
        <f t="shared" si="160"/>
        <v>5.38</v>
      </c>
      <c r="I2068" s="23" t="str">
        <f t="shared" si="161"/>
        <v>Match</v>
      </c>
      <c r="J2068" s="23" t="str">
        <f t="shared" si="162"/>
        <v>Match</v>
      </c>
      <c r="K2068" s="24">
        <f t="shared" si="163"/>
        <v>0.97</v>
      </c>
      <c r="L2068" s="24">
        <f t="shared" si="164"/>
        <v>0</v>
      </c>
    </row>
    <row r="2069" spans="1:12" ht="15" customHeight="1" x14ac:dyDescent="0.3">
      <c r="A2069" s="23" t="s">
        <v>14879</v>
      </c>
      <c r="B2069" s="23" t="s">
        <v>75</v>
      </c>
      <c r="C2069" s="39">
        <v>3499</v>
      </c>
      <c r="D2069" s="24">
        <v>10.5</v>
      </c>
      <c r="E2069" s="24">
        <v>1.89</v>
      </c>
      <c r="F2069" s="23">
        <f>COUNTIFS(mdr_rate_cleaned!$A$2:$A$10,B2069,mdr_rate_cleaned!$B$2:$B$10,"&lt;"&amp;C2069,mdr_rate_cleaned!$F$2:$F$10,"&gt;="&amp;C2069)</f>
        <v>1</v>
      </c>
      <c r="G2069" s="40">
        <f>SUMIFS(mdr_rate_cleaned!$G$2:$G$10,mdr_rate_cleaned!$A$2:$A$10,B2069,mdr_rate_cleaned!$B$2:$B$10,"&lt;"&amp;C2069,mdr_rate_cleaned!$F$2:$F$10,"&gt;="&amp;C2069)</f>
        <v>3.0000000000000001E-3</v>
      </c>
      <c r="H2069" s="24">
        <f t="shared" si="160"/>
        <v>10.5</v>
      </c>
      <c r="I2069" s="23" t="str">
        <f t="shared" si="161"/>
        <v>Match</v>
      </c>
      <c r="J2069" s="23" t="str">
        <f t="shared" si="162"/>
        <v>Match</v>
      </c>
      <c r="K2069" s="24">
        <f t="shared" si="163"/>
        <v>1.89</v>
      </c>
      <c r="L2069" s="24">
        <f t="shared" si="164"/>
        <v>0</v>
      </c>
    </row>
    <row r="2070" spans="1:12" ht="15" customHeight="1" x14ac:dyDescent="0.3">
      <c r="A2070" s="23" t="s">
        <v>14881</v>
      </c>
      <c r="B2070" s="23" t="s">
        <v>79</v>
      </c>
      <c r="C2070" s="39">
        <v>3298</v>
      </c>
      <c r="D2070" s="24">
        <v>52.77</v>
      </c>
      <c r="E2070" s="24">
        <v>9.5</v>
      </c>
      <c r="F2070" s="23">
        <f>COUNTIFS(mdr_rate_cleaned!$A$2:$A$10,B2070,mdr_rate_cleaned!$B$2:$B$10,"&lt;"&amp;C2070,mdr_rate_cleaned!$F$2:$F$10,"&gt;="&amp;C2070)</f>
        <v>1</v>
      </c>
      <c r="G2070" s="40">
        <f>SUMIFS(mdr_rate_cleaned!$G$2:$G$10,mdr_rate_cleaned!$A$2:$A$10,B2070,mdr_rate_cleaned!$B$2:$B$10,"&lt;"&amp;C2070,mdr_rate_cleaned!$F$2:$F$10,"&gt;="&amp;C2070)</f>
        <v>1.6E-2</v>
      </c>
      <c r="H2070" s="24">
        <f t="shared" si="160"/>
        <v>52.77</v>
      </c>
      <c r="I2070" s="23" t="str">
        <f t="shared" si="161"/>
        <v>Match</v>
      </c>
      <c r="J2070" s="23" t="str">
        <f t="shared" si="162"/>
        <v>Match</v>
      </c>
      <c r="K2070" s="24">
        <f t="shared" si="163"/>
        <v>9.5</v>
      </c>
      <c r="L2070" s="24">
        <f t="shared" si="164"/>
        <v>0</v>
      </c>
    </row>
    <row r="2071" spans="1:12" ht="15" customHeight="1" x14ac:dyDescent="0.3">
      <c r="A2071" s="23" t="s">
        <v>14883</v>
      </c>
      <c r="B2071" s="23" t="s">
        <v>75</v>
      </c>
      <c r="C2071" s="39">
        <v>4999</v>
      </c>
      <c r="D2071" s="24">
        <v>15</v>
      </c>
      <c r="E2071" s="24">
        <v>2.7</v>
      </c>
      <c r="F2071" s="23">
        <f>COUNTIFS(mdr_rate_cleaned!$A$2:$A$10,B2071,mdr_rate_cleaned!$B$2:$B$10,"&lt;"&amp;C2071,mdr_rate_cleaned!$F$2:$F$10,"&gt;="&amp;C2071)</f>
        <v>1</v>
      </c>
      <c r="G2071" s="40">
        <f>SUMIFS(mdr_rate_cleaned!$G$2:$G$10,mdr_rate_cleaned!$A$2:$A$10,B2071,mdr_rate_cleaned!$B$2:$B$10,"&lt;"&amp;C2071,mdr_rate_cleaned!$F$2:$F$10,"&gt;="&amp;C2071)</f>
        <v>3.0000000000000001E-3</v>
      </c>
      <c r="H2071" s="24">
        <f t="shared" si="160"/>
        <v>15</v>
      </c>
      <c r="I2071" s="23" t="str">
        <f t="shared" si="161"/>
        <v>Match</v>
      </c>
      <c r="J2071" s="23" t="str">
        <f t="shared" si="162"/>
        <v>Match</v>
      </c>
      <c r="K2071" s="24">
        <f t="shared" si="163"/>
        <v>2.7</v>
      </c>
      <c r="L2071" s="24">
        <f t="shared" si="164"/>
        <v>0</v>
      </c>
    </row>
    <row r="2072" spans="1:12" ht="15" customHeight="1" x14ac:dyDescent="0.3">
      <c r="A2072" s="23" t="s">
        <v>14885</v>
      </c>
      <c r="B2072" s="23" t="s">
        <v>75</v>
      </c>
      <c r="C2072" s="39">
        <v>4999</v>
      </c>
      <c r="D2072" s="24">
        <v>15</v>
      </c>
      <c r="E2072" s="24">
        <v>2.7</v>
      </c>
      <c r="F2072" s="23">
        <f>COUNTIFS(mdr_rate_cleaned!$A$2:$A$10,B2072,mdr_rate_cleaned!$B$2:$B$10,"&lt;"&amp;C2072,mdr_rate_cleaned!$F$2:$F$10,"&gt;="&amp;C2072)</f>
        <v>1</v>
      </c>
      <c r="G2072" s="40">
        <f>SUMIFS(mdr_rate_cleaned!$G$2:$G$10,mdr_rate_cleaned!$A$2:$A$10,B2072,mdr_rate_cleaned!$B$2:$B$10,"&lt;"&amp;C2072,mdr_rate_cleaned!$F$2:$F$10,"&gt;="&amp;C2072)</f>
        <v>3.0000000000000001E-3</v>
      </c>
      <c r="H2072" s="24">
        <f t="shared" si="160"/>
        <v>15</v>
      </c>
      <c r="I2072" s="23" t="str">
        <f t="shared" si="161"/>
        <v>Match</v>
      </c>
      <c r="J2072" s="23" t="str">
        <f t="shared" si="162"/>
        <v>Match</v>
      </c>
      <c r="K2072" s="24">
        <f t="shared" si="163"/>
        <v>2.7</v>
      </c>
      <c r="L2072" s="24">
        <f t="shared" si="164"/>
        <v>0</v>
      </c>
    </row>
    <row r="2073" spans="1:12" ht="15" customHeight="1" x14ac:dyDescent="0.3">
      <c r="A2073" s="23" t="s">
        <v>14886</v>
      </c>
      <c r="B2073" s="23" t="s">
        <v>79</v>
      </c>
      <c r="C2073" s="39">
        <v>349</v>
      </c>
      <c r="D2073" s="24">
        <v>6.28</v>
      </c>
      <c r="E2073" s="24">
        <v>1.1299999999999999</v>
      </c>
      <c r="F2073" s="23">
        <f>COUNTIFS(mdr_rate_cleaned!$A$2:$A$10,B2073,mdr_rate_cleaned!$B$2:$B$10,"&lt;"&amp;C2073,mdr_rate_cleaned!$F$2:$F$10,"&gt;="&amp;C2073)</f>
        <v>1</v>
      </c>
      <c r="G2073" s="40">
        <f>SUMIFS(mdr_rate_cleaned!$G$2:$G$10,mdr_rate_cleaned!$A$2:$A$10,B2073,mdr_rate_cleaned!$B$2:$B$10,"&lt;"&amp;C2073,mdr_rate_cleaned!$F$2:$F$10,"&gt;="&amp;C2073)</f>
        <v>1.8000000000000002E-2</v>
      </c>
      <c r="H2073" s="24">
        <f t="shared" si="160"/>
        <v>6.28</v>
      </c>
      <c r="I2073" s="23" t="str">
        <f t="shared" si="161"/>
        <v>Match</v>
      </c>
      <c r="J2073" s="23" t="str">
        <f t="shared" si="162"/>
        <v>Match</v>
      </c>
      <c r="K2073" s="24">
        <f t="shared" si="163"/>
        <v>1.1299999999999999</v>
      </c>
      <c r="L2073" s="24">
        <f t="shared" si="164"/>
        <v>0</v>
      </c>
    </row>
    <row r="2074" spans="1:12" ht="15" customHeight="1" x14ac:dyDescent="0.3">
      <c r="A2074" s="23" t="s">
        <v>14887</v>
      </c>
      <c r="B2074" s="23" t="s">
        <v>75</v>
      </c>
      <c r="C2074" s="39">
        <v>799</v>
      </c>
      <c r="D2074" s="24">
        <v>0</v>
      </c>
      <c r="E2074" s="24">
        <v>0</v>
      </c>
      <c r="F2074" s="23">
        <f>COUNTIFS(mdr_rate_cleaned!$A$2:$A$10,B2074,mdr_rate_cleaned!$B$2:$B$10,"&lt;"&amp;C2074,mdr_rate_cleaned!$F$2:$F$10,"&gt;="&amp;C2074)</f>
        <v>1</v>
      </c>
      <c r="G2074" s="40">
        <f>SUMIFS(mdr_rate_cleaned!$G$2:$G$10,mdr_rate_cleaned!$A$2:$A$10,B2074,mdr_rate_cleaned!$B$2:$B$10,"&lt;"&amp;C2074,mdr_rate_cleaned!$F$2:$F$10,"&gt;="&amp;C2074)</f>
        <v>0</v>
      </c>
      <c r="H2074" s="24">
        <f t="shared" si="160"/>
        <v>0</v>
      </c>
      <c r="I2074" s="23" t="str">
        <f t="shared" si="161"/>
        <v>Match</v>
      </c>
      <c r="J2074" s="23" t="str">
        <f t="shared" si="162"/>
        <v>Match</v>
      </c>
      <c r="K2074" s="24">
        <f t="shared" si="163"/>
        <v>0</v>
      </c>
      <c r="L2074" s="24">
        <f t="shared" si="164"/>
        <v>0</v>
      </c>
    </row>
    <row r="2075" spans="1:12" ht="15" customHeight="1" x14ac:dyDescent="0.3">
      <c r="A2075" s="23" t="s">
        <v>14888</v>
      </c>
      <c r="B2075" s="23" t="s">
        <v>75</v>
      </c>
      <c r="C2075" s="39">
        <v>599</v>
      </c>
      <c r="D2075" s="24">
        <v>0</v>
      </c>
      <c r="E2075" s="24">
        <v>0</v>
      </c>
      <c r="F2075" s="23">
        <f>COUNTIFS(mdr_rate_cleaned!$A$2:$A$10,B2075,mdr_rate_cleaned!$B$2:$B$10,"&lt;"&amp;C2075,mdr_rate_cleaned!$F$2:$F$10,"&gt;="&amp;C2075)</f>
        <v>1</v>
      </c>
      <c r="G2075" s="40">
        <f>SUMIFS(mdr_rate_cleaned!$G$2:$G$10,mdr_rate_cleaned!$A$2:$A$10,B2075,mdr_rate_cleaned!$B$2:$B$10,"&lt;"&amp;C2075,mdr_rate_cleaned!$F$2:$F$10,"&gt;="&amp;C2075)</f>
        <v>0</v>
      </c>
      <c r="H2075" s="24">
        <f t="shared" si="160"/>
        <v>0</v>
      </c>
      <c r="I2075" s="23" t="str">
        <f t="shared" si="161"/>
        <v>Match</v>
      </c>
      <c r="J2075" s="23" t="str">
        <f t="shared" si="162"/>
        <v>Match</v>
      </c>
      <c r="K2075" s="24">
        <f t="shared" si="163"/>
        <v>0</v>
      </c>
      <c r="L2075" s="24">
        <f t="shared" si="164"/>
        <v>0</v>
      </c>
    </row>
    <row r="2076" spans="1:12" ht="15" customHeight="1" x14ac:dyDescent="0.3">
      <c r="A2076" s="23" t="s">
        <v>14889</v>
      </c>
      <c r="B2076" s="23" t="s">
        <v>79</v>
      </c>
      <c r="C2076" s="39">
        <v>499</v>
      </c>
      <c r="D2076" s="24">
        <v>8.98</v>
      </c>
      <c r="E2076" s="24">
        <v>1.62</v>
      </c>
      <c r="F2076" s="23">
        <f>COUNTIFS(mdr_rate_cleaned!$A$2:$A$10,B2076,mdr_rate_cleaned!$B$2:$B$10,"&lt;"&amp;C2076,mdr_rate_cleaned!$F$2:$F$10,"&gt;="&amp;C2076)</f>
        <v>1</v>
      </c>
      <c r="G2076" s="40">
        <f>SUMIFS(mdr_rate_cleaned!$G$2:$G$10,mdr_rate_cleaned!$A$2:$A$10,B2076,mdr_rate_cleaned!$B$2:$B$10,"&lt;"&amp;C2076,mdr_rate_cleaned!$F$2:$F$10,"&gt;="&amp;C2076)</f>
        <v>1.8000000000000002E-2</v>
      </c>
      <c r="H2076" s="24">
        <f t="shared" si="160"/>
        <v>8.98</v>
      </c>
      <c r="I2076" s="23" t="str">
        <f t="shared" si="161"/>
        <v>Match</v>
      </c>
      <c r="J2076" s="23" t="str">
        <f t="shared" si="162"/>
        <v>Match</v>
      </c>
      <c r="K2076" s="24">
        <f t="shared" si="163"/>
        <v>1.62</v>
      </c>
      <c r="L2076" s="24">
        <f t="shared" si="164"/>
        <v>0</v>
      </c>
    </row>
    <row r="2077" spans="1:12" ht="15" customHeight="1" x14ac:dyDescent="0.3">
      <c r="A2077" s="23" t="s">
        <v>14891</v>
      </c>
      <c r="B2077" s="23" t="s">
        <v>79</v>
      </c>
      <c r="C2077" s="39">
        <v>299</v>
      </c>
      <c r="D2077" s="24">
        <v>5.38</v>
      </c>
      <c r="E2077" s="24">
        <v>0.97</v>
      </c>
      <c r="F2077" s="23">
        <f>COUNTIFS(mdr_rate_cleaned!$A$2:$A$10,B2077,mdr_rate_cleaned!$B$2:$B$10,"&lt;"&amp;C2077,mdr_rate_cleaned!$F$2:$F$10,"&gt;="&amp;C2077)</f>
        <v>1</v>
      </c>
      <c r="G2077" s="40">
        <f>SUMIFS(mdr_rate_cleaned!$G$2:$G$10,mdr_rate_cleaned!$A$2:$A$10,B2077,mdr_rate_cleaned!$B$2:$B$10,"&lt;"&amp;C2077,mdr_rate_cleaned!$F$2:$F$10,"&gt;="&amp;C2077)</f>
        <v>1.8000000000000002E-2</v>
      </c>
      <c r="H2077" s="24">
        <f t="shared" si="160"/>
        <v>5.38</v>
      </c>
      <c r="I2077" s="23" t="str">
        <f t="shared" si="161"/>
        <v>Match</v>
      </c>
      <c r="J2077" s="23" t="str">
        <f t="shared" si="162"/>
        <v>Match</v>
      </c>
      <c r="K2077" s="24">
        <f t="shared" si="163"/>
        <v>0.97</v>
      </c>
      <c r="L2077" s="24">
        <f t="shared" si="164"/>
        <v>0</v>
      </c>
    </row>
    <row r="2078" spans="1:12" ht="15" customHeight="1" x14ac:dyDescent="0.3">
      <c r="A2078" s="23" t="s">
        <v>14892</v>
      </c>
      <c r="B2078" s="23" t="s">
        <v>75</v>
      </c>
      <c r="C2078" s="39">
        <v>1848</v>
      </c>
      <c r="D2078" s="24">
        <v>0</v>
      </c>
      <c r="E2078" s="24">
        <v>0</v>
      </c>
      <c r="F2078" s="23">
        <f>COUNTIFS(mdr_rate_cleaned!$A$2:$A$10,B2078,mdr_rate_cleaned!$B$2:$B$10,"&lt;"&amp;C2078,mdr_rate_cleaned!$F$2:$F$10,"&gt;="&amp;C2078)</f>
        <v>1</v>
      </c>
      <c r="G2078" s="40">
        <f>SUMIFS(mdr_rate_cleaned!$G$2:$G$10,mdr_rate_cleaned!$A$2:$A$10,B2078,mdr_rate_cleaned!$B$2:$B$10,"&lt;"&amp;C2078,mdr_rate_cleaned!$F$2:$F$10,"&gt;="&amp;C2078)</f>
        <v>0</v>
      </c>
      <c r="H2078" s="24">
        <f t="shared" si="160"/>
        <v>0</v>
      </c>
      <c r="I2078" s="23" t="str">
        <f t="shared" si="161"/>
        <v>Match</v>
      </c>
      <c r="J2078" s="23" t="str">
        <f t="shared" si="162"/>
        <v>Match</v>
      </c>
      <c r="K2078" s="24">
        <f t="shared" si="163"/>
        <v>0</v>
      </c>
      <c r="L2078" s="24">
        <f t="shared" si="164"/>
        <v>0</v>
      </c>
    </row>
    <row r="2079" spans="1:12" ht="15" customHeight="1" x14ac:dyDescent="0.3">
      <c r="A2079" s="23" t="s">
        <v>14893</v>
      </c>
      <c r="B2079" s="23" t="s">
        <v>79</v>
      </c>
      <c r="C2079" s="39">
        <v>2398</v>
      </c>
      <c r="D2079" s="24">
        <v>38.369999999999997</v>
      </c>
      <c r="E2079" s="24">
        <v>6.91</v>
      </c>
      <c r="F2079" s="23">
        <f>COUNTIFS(mdr_rate_cleaned!$A$2:$A$10,B2079,mdr_rate_cleaned!$B$2:$B$10,"&lt;"&amp;C2079,mdr_rate_cleaned!$F$2:$F$10,"&gt;="&amp;C2079)</f>
        <v>1</v>
      </c>
      <c r="G2079" s="40">
        <f>SUMIFS(mdr_rate_cleaned!$G$2:$G$10,mdr_rate_cleaned!$A$2:$A$10,B2079,mdr_rate_cleaned!$B$2:$B$10,"&lt;"&amp;C2079,mdr_rate_cleaned!$F$2:$F$10,"&gt;="&amp;C2079)</f>
        <v>1.6E-2</v>
      </c>
      <c r="H2079" s="24">
        <f t="shared" si="160"/>
        <v>38.369999999999997</v>
      </c>
      <c r="I2079" s="23" t="str">
        <f t="shared" si="161"/>
        <v>Match</v>
      </c>
      <c r="J2079" s="23" t="str">
        <f t="shared" si="162"/>
        <v>Match</v>
      </c>
      <c r="K2079" s="24">
        <f t="shared" si="163"/>
        <v>6.91</v>
      </c>
      <c r="L2079" s="24">
        <f t="shared" si="164"/>
        <v>0</v>
      </c>
    </row>
    <row r="2080" spans="1:12" ht="15" customHeight="1" x14ac:dyDescent="0.3">
      <c r="A2080" s="23" t="s">
        <v>14895</v>
      </c>
      <c r="B2080" s="23" t="s">
        <v>75</v>
      </c>
      <c r="C2080" s="39">
        <v>5998</v>
      </c>
      <c r="D2080" s="24">
        <v>17.989999999999998</v>
      </c>
      <c r="E2080" s="24">
        <v>3.24</v>
      </c>
      <c r="F2080" s="23">
        <f>COUNTIFS(mdr_rate_cleaned!$A$2:$A$10,B2080,mdr_rate_cleaned!$B$2:$B$10,"&lt;"&amp;C2080,mdr_rate_cleaned!$F$2:$F$10,"&gt;="&amp;C2080)</f>
        <v>1</v>
      </c>
      <c r="G2080" s="40">
        <f>SUMIFS(mdr_rate_cleaned!$G$2:$G$10,mdr_rate_cleaned!$A$2:$A$10,B2080,mdr_rate_cleaned!$B$2:$B$10,"&lt;"&amp;C2080,mdr_rate_cleaned!$F$2:$F$10,"&gt;="&amp;C2080)</f>
        <v>3.0000000000000001E-3</v>
      </c>
      <c r="H2080" s="24">
        <f t="shared" si="160"/>
        <v>17.989999999999998</v>
      </c>
      <c r="I2080" s="23" t="str">
        <f t="shared" si="161"/>
        <v>Match</v>
      </c>
      <c r="J2080" s="23" t="str">
        <f t="shared" si="162"/>
        <v>Match</v>
      </c>
      <c r="K2080" s="24">
        <f t="shared" si="163"/>
        <v>3.24</v>
      </c>
      <c r="L2080" s="24">
        <f t="shared" si="164"/>
        <v>0</v>
      </c>
    </row>
    <row r="2081" spans="1:12" ht="15" customHeight="1" x14ac:dyDescent="0.3">
      <c r="A2081" s="23" t="s">
        <v>14896</v>
      </c>
      <c r="B2081" s="23" t="s">
        <v>75</v>
      </c>
      <c r="C2081" s="39">
        <v>999</v>
      </c>
      <c r="D2081" s="24">
        <v>0</v>
      </c>
      <c r="E2081" s="24">
        <v>0</v>
      </c>
      <c r="F2081" s="23">
        <f>COUNTIFS(mdr_rate_cleaned!$A$2:$A$10,B2081,mdr_rate_cleaned!$B$2:$B$10,"&lt;"&amp;C2081,mdr_rate_cleaned!$F$2:$F$10,"&gt;="&amp;C2081)</f>
        <v>1</v>
      </c>
      <c r="G2081" s="40">
        <f>SUMIFS(mdr_rate_cleaned!$G$2:$G$10,mdr_rate_cleaned!$A$2:$A$10,B2081,mdr_rate_cleaned!$B$2:$B$10,"&lt;"&amp;C2081,mdr_rate_cleaned!$F$2:$F$10,"&gt;="&amp;C2081)</f>
        <v>0</v>
      </c>
      <c r="H2081" s="24">
        <f t="shared" si="160"/>
        <v>0</v>
      </c>
      <c r="I2081" s="23" t="str">
        <f t="shared" si="161"/>
        <v>Match</v>
      </c>
      <c r="J2081" s="23" t="str">
        <f t="shared" si="162"/>
        <v>Match</v>
      </c>
      <c r="K2081" s="24">
        <f t="shared" si="163"/>
        <v>0</v>
      </c>
      <c r="L2081" s="24">
        <f t="shared" si="164"/>
        <v>0</v>
      </c>
    </row>
    <row r="2082" spans="1:12" ht="15" customHeight="1" x14ac:dyDescent="0.3">
      <c r="A2082" s="23" t="s">
        <v>14897</v>
      </c>
      <c r="B2082" s="23" t="s">
        <v>77</v>
      </c>
      <c r="C2082" s="39">
        <v>2298</v>
      </c>
      <c r="D2082" s="24">
        <v>39.07</v>
      </c>
      <c r="E2082" s="24">
        <v>7.03</v>
      </c>
      <c r="F2082" s="23">
        <f>COUNTIFS(mdr_rate_cleaned!$A$2:$A$10,B2082,mdr_rate_cleaned!$B$2:$B$10,"&lt;"&amp;C2082,mdr_rate_cleaned!$F$2:$F$10,"&gt;="&amp;C2082)</f>
        <v>1</v>
      </c>
      <c r="G2082" s="40">
        <f>SUMIFS(mdr_rate_cleaned!$G$2:$G$10,mdr_rate_cleaned!$A$2:$A$10,B2082,mdr_rate_cleaned!$B$2:$B$10,"&lt;"&amp;C2082,mdr_rate_cleaned!$F$2:$F$10,"&gt;="&amp;C2082)</f>
        <v>1.7000000000000001E-2</v>
      </c>
      <c r="H2082" s="24">
        <f t="shared" si="160"/>
        <v>39.07</v>
      </c>
      <c r="I2082" s="23" t="str">
        <f t="shared" si="161"/>
        <v>Match</v>
      </c>
      <c r="J2082" s="23" t="str">
        <f t="shared" si="162"/>
        <v>Match</v>
      </c>
      <c r="K2082" s="24">
        <f t="shared" si="163"/>
        <v>7.03</v>
      </c>
      <c r="L2082" s="24">
        <f t="shared" si="164"/>
        <v>0</v>
      </c>
    </row>
    <row r="2083" spans="1:12" ht="15" customHeight="1" x14ac:dyDescent="0.3">
      <c r="A2083" s="23" t="s">
        <v>14898</v>
      </c>
      <c r="B2083" s="23" t="s">
        <v>79</v>
      </c>
      <c r="C2083" s="39">
        <v>7999</v>
      </c>
      <c r="D2083" s="24">
        <v>127.98</v>
      </c>
      <c r="E2083" s="24">
        <v>23.04</v>
      </c>
      <c r="F2083" s="23">
        <f>COUNTIFS(mdr_rate_cleaned!$A$2:$A$10,B2083,mdr_rate_cleaned!$B$2:$B$10,"&lt;"&amp;C2083,mdr_rate_cleaned!$F$2:$F$10,"&gt;="&amp;C2083)</f>
        <v>1</v>
      </c>
      <c r="G2083" s="40">
        <f>SUMIFS(mdr_rate_cleaned!$G$2:$G$10,mdr_rate_cleaned!$A$2:$A$10,B2083,mdr_rate_cleaned!$B$2:$B$10,"&lt;"&amp;C2083,mdr_rate_cleaned!$F$2:$F$10,"&gt;="&amp;C2083)</f>
        <v>1.6E-2</v>
      </c>
      <c r="H2083" s="24">
        <f t="shared" si="160"/>
        <v>127.98</v>
      </c>
      <c r="I2083" s="23" t="str">
        <f t="shared" si="161"/>
        <v>Match</v>
      </c>
      <c r="J2083" s="23" t="str">
        <f t="shared" si="162"/>
        <v>Match</v>
      </c>
      <c r="K2083" s="24">
        <f t="shared" si="163"/>
        <v>23.04</v>
      </c>
      <c r="L2083" s="24">
        <f t="shared" si="164"/>
        <v>0</v>
      </c>
    </row>
    <row r="2084" spans="1:12" ht="15" customHeight="1" x14ac:dyDescent="0.3">
      <c r="A2084" s="23" t="s">
        <v>14900</v>
      </c>
      <c r="B2084" s="23" t="s">
        <v>79</v>
      </c>
      <c r="C2084" s="39">
        <v>3098</v>
      </c>
      <c r="D2084" s="24">
        <v>49.57</v>
      </c>
      <c r="E2084" s="24">
        <v>8.92</v>
      </c>
      <c r="F2084" s="23">
        <f>COUNTIFS(mdr_rate_cleaned!$A$2:$A$10,B2084,mdr_rate_cleaned!$B$2:$B$10,"&lt;"&amp;C2084,mdr_rate_cleaned!$F$2:$F$10,"&gt;="&amp;C2084)</f>
        <v>1</v>
      </c>
      <c r="G2084" s="40">
        <f>SUMIFS(mdr_rate_cleaned!$G$2:$G$10,mdr_rate_cleaned!$A$2:$A$10,B2084,mdr_rate_cleaned!$B$2:$B$10,"&lt;"&amp;C2084,mdr_rate_cleaned!$F$2:$F$10,"&gt;="&amp;C2084)</f>
        <v>1.6E-2</v>
      </c>
      <c r="H2084" s="24">
        <f t="shared" si="160"/>
        <v>49.57</v>
      </c>
      <c r="I2084" s="23" t="str">
        <f t="shared" si="161"/>
        <v>Match</v>
      </c>
      <c r="J2084" s="23" t="str">
        <f t="shared" si="162"/>
        <v>Match</v>
      </c>
      <c r="K2084" s="24">
        <f t="shared" si="163"/>
        <v>8.92</v>
      </c>
      <c r="L2084" s="24">
        <f t="shared" si="164"/>
        <v>0</v>
      </c>
    </row>
    <row r="2085" spans="1:12" ht="15" customHeight="1" x14ac:dyDescent="0.3">
      <c r="A2085" s="23" t="s">
        <v>14901</v>
      </c>
      <c r="B2085" s="23" t="s">
        <v>79</v>
      </c>
      <c r="C2085" s="39">
        <v>3397</v>
      </c>
      <c r="D2085" s="24">
        <v>54.35</v>
      </c>
      <c r="E2085" s="24">
        <v>9.7799999999999994</v>
      </c>
      <c r="F2085" s="23">
        <f>COUNTIFS(mdr_rate_cleaned!$A$2:$A$10,B2085,mdr_rate_cleaned!$B$2:$B$10,"&lt;"&amp;C2085,mdr_rate_cleaned!$F$2:$F$10,"&gt;="&amp;C2085)</f>
        <v>1</v>
      </c>
      <c r="G2085" s="40">
        <f>SUMIFS(mdr_rate_cleaned!$G$2:$G$10,mdr_rate_cleaned!$A$2:$A$10,B2085,mdr_rate_cleaned!$B$2:$B$10,"&lt;"&amp;C2085,mdr_rate_cleaned!$F$2:$F$10,"&gt;="&amp;C2085)</f>
        <v>1.6E-2</v>
      </c>
      <c r="H2085" s="24">
        <f t="shared" si="160"/>
        <v>54.35</v>
      </c>
      <c r="I2085" s="23" t="str">
        <f t="shared" si="161"/>
        <v>Match</v>
      </c>
      <c r="J2085" s="23" t="str">
        <f t="shared" si="162"/>
        <v>Match</v>
      </c>
      <c r="K2085" s="24">
        <f t="shared" si="163"/>
        <v>9.7799999999999994</v>
      </c>
      <c r="L2085" s="24">
        <f t="shared" si="164"/>
        <v>0</v>
      </c>
    </row>
    <row r="2086" spans="1:12" ht="15" customHeight="1" x14ac:dyDescent="0.3">
      <c r="A2086" s="23" t="s">
        <v>14902</v>
      </c>
      <c r="B2086" s="23" t="s">
        <v>79</v>
      </c>
      <c r="C2086" s="39">
        <v>1298</v>
      </c>
      <c r="D2086" s="24">
        <v>23.36</v>
      </c>
      <c r="E2086" s="24">
        <v>4.2</v>
      </c>
      <c r="F2086" s="23">
        <f>COUNTIFS(mdr_rate_cleaned!$A$2:$A$10,B2086,mdr_rate_cleaned!$B$2:$B$10,"&lt;"&amp;C2086,mdr_rate_cleaned!$F$2:$F$10,"&gt;="&amp;C2086)</f>
        <v>1</v>
      </c>
      <c r="G2086" s="40">
        <f>SUMIFS(mdr_rate_cleaned!$G$2:$G$10,mdr_rate_cleaned!$A$2:$A$10,B2086,mdr_rate_cleaned!$B$2:$B$10,"&lt;"&amp;C2086,mdr_rate_cleaned!$F$2:$F$10,"&gt;="&amp;C2086)</f>
        <v>1.8000000000000002E-2</v>
      </c>
      <c r="H2086" s="24">
        <f t="shared" si="160"/>
        <v>23.36</v>
      </c>
      <c r="I2086" s="23" t="str">
        <f t="shared" si="161"/>
        <v>Match</v>
      </c>
      <c r="J2086" s="23" t="str">
        <f t="shared" si="162"/>
        <v>Match</v>
      </c>
      <c r="K2086" s="24">
        <f t="shared" si="163"/>
        <v>4.2</v>
      </c>
      <c r="L2086" s="24">
        <f t="shared" si="164"/>
        <v>0</v>
      </c>
    </row>
    <row r="2087" spans="1:12" ht="15" customHeight="1" x14ac:dyDescent="0.3">
      <c r="A2087" s="23" t="s">
        <v>14903</v>
      </c>
      <c r="B2087" s="23" t="s">
        <v>77</v>
      </c>
      <c r="C2087" s="39">
        <v>1299</v>
      </c>
      <c r="D2087" s="24">
        <v>24.68</v>
      </c>
      <c r="E2087" s="24">
        <v>4.4400000000000004</v>
      </c>
      <c r="F2087" s="23">
        <f>COUNTIFS(mdr_rate_cleaned!$A$2:$A$10,B2087,mdr_rate_cleaned!$B$2:$B$10,"&lt;"&amp;C2087,mdr_rate_cleaned!$F$2:$F$10,"&gt;="&amp;C2087)</f>
        <v>1</v>
      </c>
      <c r="G2087" s="40">
        <f>SUMIFS(mdr_rate_cleaned!$G$2:$G$10,mdr_rate_cleaned!$A$2:$A$10,B2087,mdr_rate_cleaned!$B$2:$B$10,"&lt;"&amp;C2087,mdr_rate_cleaned!$F$2:$F$10,"&gt;="&amp;C2087)</f>
        <v>1.9E-2</v>
      </c>
      <c r="H2087" s="24">
        <f t="shared" si="160"/>
        <v>24.68</v>
      </c>
      <c r="I2087" s="23" t="str">
        <f t="shared" si="161"/>
        <v>Match</v>
      </c>
      <c r="J2087" s="23" t="str">
        <f t="shared" si="162"/>
        <v>Match</v>
      </c>
      <c r="K2087" s="24">
        <f t="shared" si="163"/>
        <v>4.4400000000000004</v>
      </c>
      <c r="L2087" s="24">
        <f t="shared" si="164"/>
        <v>0</v>
      </c>
    </row>
    <row r="2088" spans="1:12" ht="15" customHeight="1" x14ac:dyDescent="0.3">
      <c r="A2088" s="23" t="s">
        <v>14904</v>
      </c>
      <c r="B2088" s="23" t="s">
        <v>79</v>
      </c>
      <c r="C2088" s="39">
        <v>2999</v>
      </c>
      <c r="D2088" s="24">
        <v>47.98</v>
      </c>
      <c r="E2088" s="24">
        <v>8.64</v>
      </c>
      <c r="F2088" s="23">
        <f>COUNTIFS(mdr_rate_cleaned!$A$2:$A$10,B2088,mdr_rate_cleaned!$B$2:$B$10,"&lt;"&amp;C2088,mdr_rate_cleaned!$F$2:$F$10,"&gt;="&amp;C2088)</f>
        <v>1</v>
      </c>
      <c r="G2088" s="40">
        <f>SUMIFS(mdr_rate_cleaned!$G$2:$G$10,mdr_rate_cleaned!$A$2:$A$10,B2088,mdr_rate_cleaned!$B$2:$B$10,"&lt;"&amp;C2088,mdr_rate_cleaned!$F$2:$F$10,"&gt;="&amp;C2088)</f>
        <v>1.6E-2</v>
      </c>
      <c r="H2088" s="24">
        <f t="shared" si="160"/>
        <v>47.98</v>
      </c>
      <c r="I2088" s="23" t="str">
        <f t="shared" si="161"/>
        <v>Match</v>
      </c>
      <c r="J2088" s="23" t="str">
        <f t="shared" si="162"/>
        <v>Match</v>
      </c>
      <c r="K2088" s="24">
        <f t="shared" si="163"/>
        <v>8.64</v>
      </c>
      <c r="L2088" s="24">
        <f t="shared" si="164"/>
        <v>0</v>
      </c>
    </row>
    <row r="2089" spans="1:12" ht="15" customHeight="1" x14ac:dyDescent="0.3">
      <c r="A2089" s="23" t="s">
        <v>14905</v>
      </c>
      <c r="B2089" s="23" t="s">
        <v>75</v>
      </c>
      <c r="C2089" s="39">
        <v>8798</v>
      </c>
      <c r="D2089" s="24">
        <v>26.39</v>
      </c>
      <c r="E2089" s="24">
        <v>4.75</v>
      </c>
      <c r="F2089" s="23">
        <f>COUNTIFS(mdr_rate_cleaned!$A$2:$A$10,B2089,mdr_rate_cleaned!$B$2:$B$10,"&lt;"&amp;C2089,mdr_rate_cleaned!$F$2:$F$10,"&gt;="&amp;C2089)</f>
        <v>1</v>
      </c>
      <c r="G2089" s="40">
        <f>SUMIFS(mdr_rate_cleaned!$G$2:$G$10,mdr_rate_cleaned!$A$2:$A$10,B2089,mdr_rate_cleaned!$B$2:$B$10,"&lt;"&amp;C2089,mdr_rate_cleaned!$F$2:$F$10,"&gt;="&amp;C2089)</f>
        <v>3.0000000000000001E-3</v>
      </c>
      <c r="H2089" s="24">
        <f t="shared" si="160"/>
        <v>26.39</v>
      </c>
      <c r="I2089" s="23" t="str">
        <f t="shared" si="161"/>
        <v>Match</v>
      </c>
      <c r="J2089" s="23" t="str">
        <f t="shared" si="162"/>
        <v>Match</v>
      </c>
      <c r="K2089" s="24">
        <f t="shared" si="163"/>
        <v>4.75</v>
      </c>
      <c r="L2089" s="24">
        <f t="shared" si="164"/>
        <v>0</v>
      </c>
    </row>
    <row r="2090" spans="1:12" ht="15" customHeight="1" x14ac:dyDescent="0.3">
      <c r="A2090" s="23" t="s">
        <v>14906</v>
      </c>
      <c r="B2090" s="23" t="s">
        <v>77</v>
      </c>
      <c r="C2090" s="39">
        <v>999</v>
      </c>
      <c r="D2090" s="24">
        <v>18.98</v>
      </c>
      <c r="E2090" s="24">
        <v>3.42</v>
      </c>
      <c r="F2090" s="23">
        <f>COUNTIFS(mdr_rate_cleaned!$A$2:$A$10,B2090,mdr_rate_cleaned!$B$2:$B$10,"&lt;"&amp;C2090,mdr_rate_cleaned!$F$2:$F$10,"&gt;="&amp;C2090)</f>
        <v>1</v>
      </c>
      <c r="G2090" s="40">
        <f>SUMIFS(mdr_rate_cleaned!$G$2:$G$10,mdr_rate_cleaned!$A$2:$A$10,B2090,mdr_rate_cleaned!$B$2:$B$10,"&lt;"&amp;C2090,mdr_rate_cleaned!$F$2:$F$10,"&gt;="&amp;C2090)</f>
        <v>1.9E-2</v>
      </c>
      <c r="H2090" s="24">
        <f t="shared" si="160"/>
        <v>18.98</v>
      </c>
      <c r="I2090" s="23" t="str">
        <f t="shared" si="161"/>
        <v>Match</v>
      </c>
      <c r="J2090" s="23" t="str">
        <f t="shared" si="162"/>
        <v>Match</v>
      </c>
      <c r="K2090" s="24">
        <f t="shared" si="163"/>
        <v>3.42</v>
      </c>
      <c r="L2090" s="24">
        <f t="shared" si="164"/>
        <v>0</v>
      </c>
    </row>
    <row r="2091" spans="1:12" ht="15" customHeight="1" x14ac:dyDescent="0.3">
      <c r="A2091" s="23" t="s">
        <v>14907</v>
      </c>
      <c r="B2091" s="23" t="s">
        <v>75</v>
      </c>
      <c r="C2091" s="39">
        <v>999</v>
      </c>
      <c r="D2091" s="24">
        <v>0</v>
      </c>
      <c r="E2091" s="24">
        <v>0</v>
      </c>
      <c r="F2091" s="23">
        <f>COUNTIFS(mdr_rate_cleaned!$A$2:$A$10,B2091,mdr_rate_cleaned!$B$2:$B$10,"&lt;"&amp;C2091,mdr_rate_cleaned!$F$2:$F$10,"&gt;="&amp;C2091)</f>
        <v>1</v>
      </c>
      <c r="G2091" s="40">
        <f>SUMIFS(mdr_rate_cleaned!$G$2:$G$10,mdr_rate_cleaned!$A$2:$A$10,B2091,mdr_rate_cleaned!$B$2:$B$10,"&lt;"&amp;C2091,mdr_rate_cleaned!$F$2:$F$10,"&gt;="&amp;C2091)</f>
        <v>0</v>
      </c>
      <c r="H2091" s="24">
        <f t="shared" si="160"/>
        <v>0</v>
      </c>
      <c r="I2091" s="23" t="str">
        <f t="shared" si="161"/>
        <v>Match</v>
      </c>
      <c r="J2091" s="23" t="str">
        <f t="shared" si="162"/>
        <v>Match</v>
      </c>
      <c r="K2091" s="24">
        <f t="shared" si="163"/>
        <v>0</v>
      </c>
      <c r="L2091" s="24">
        <f t="shared" si="164"/>
        <v>0</v>
      </c>
    </row>
    <row r="2092" spans="1:12" ht="15" customHeight="1" x14ac:dyDescent="0.3">
      <c r="A2092" s="23" t="s">
        <v>14908</v>
      </c>
      <c r="B2092" s="23" t="s">
        <v>75</v>
      </c>
      <c r="C2092" s="39">
        <v>7999</v>
      </c>
      <c r="D2092" s="24">
        <v>24</v>
      </c>
      <c r="E2092" s="24">
        <v>4.32</v>
      </c>
      <c r="F2092" s="23">
        <f>COUNTIFS(mdr_rate_cleaned!$A$2:$A$10,B2092,mdr_rate_cleaned!$B$2:$B$10,"&lt;"&amp;C2092,mdr_rate_cleaned!$F$2:$F$10,"&gt;="&amp;C2092)</f>
        <v>1</v>
      </c>
      <c r="G2092" s="40">
        <f>SUMIFS(mdr_rate_cleaned!$G$2:$G$10,mdr_rate_cleaned!$A$2:$A$10,B2092,mdr_rate_cleaned!$B$2:$B$10,"&lt;"&amp;C2092,mdr_rate_cleaned!$F$2:$F$10,"&gt;="&amp;C2092)</f>
        <v>3.0000000000000001E-3</v>
      </c>
      <c r="H2092" s="24">
        <f t="shared" si="160"/>
        <v>24</v>
      </c>
      <c r="I2092" s="23" t="str">
        <f t="shared" si="161"/>
        <v>Match</v>
      </c>
      <c r="J2092" s="23" t="str">
        <f t="shared" si="162"/>
        <v>Match</v>
      </c>
      <c r="K2092" s="24">
        <f t="shared" si="163"/>
        <v>4.32</v>
      </c>
      <c r="L2092" s="24">
        <f t="shared" si="164"/>
        <v>0</v>
      </c>
    </row>
    <row r="2093" spans="1:12" ht="15" customHeight="1" x14ac:dyDescent="0.3">
      <c r="A2093" s="23" t="s">
        <v>14909</v>
      </c>
      <c r="B2093" s="23" t="s">
        <v>77</v>
      </c>
      <c r="C2093" s="39">
        <v>848</v>
      </c>
      <c r="D2093" s="24">
        <v>16.11</v>
      </c>
      <c r="E2093" s="24">
        <v>2.9</v>
      </c>
      <c r="F2093" s="23">
        <f>COUNTIFS(mdr_rate_cleaned!$A$2:$A$10,B2093,mdr_rate_cleaned!$B$2:$B$10,"&lt;"&amp;C2093,mdr_rate_cleaned!$F$2:$F$10,"&gt;="&amp;C2093)</f>
        <v>1</v>
      </c>
      <c r="G2093" s="40">
        <f>SUMIFS(mdr_rate_cleaned!$G$2:$G$10,mdr_rate_cleaned!$A$2:$A$10,B2093,mdr_rate_cleaned!$B$2:$B$10,"&lt;"&amp;C2093,mdr_rate_cleaned!$F$2:$F$10,"&gt;="&amp;C2093)</f>
        <v>1.9E-2</v>
      </c>
      <c r="H2093" s="24">
        <f t="shared" si="160"/>
        <v>16.11</v>
      </c>
      <c r="I2093" s="23" t="str">
        <f t="shared" si="161"/>
        <v>Match</v>
      </c>
      <c r="J2093" s="23" t="str">
        <f t="shared" si="162"/>
        <v>Match</v>
      </c>
      <c r="K2093" s="24">
        <f t="shared" si="163"/>
        <v>2.9</v>
      </c>
      <c r="L2093" s="24">
        <f t="shared" si="164"/>
        <v>0</v>
      </c>
    </row>
    <row r="2094" spans="1:12" ht="15" customHeight="1" x14ac:dyDescent="0.3">
      <c r="A2094" s="23" t="s">
        <v>14910</v>
      </c>
      <c r="B2094" s="23" t="s">
        <v>75</v>
      </c>
      <c r="C2094" s="39">
        <v>5897</v>
      </c>
      <c r="D2094" s="24">
        <v>17.690000000000001</v>
      </c>
      <c r="E2094" s="24">
        <v>3.18</v>
      </c>
      <c r="F2094" s="23">
        <f>COUNTIFS(mdr_rate_cleaned!$A$2:$A$10,B2094,mdr_rate_cleaned!$B$2:$B$10,"&lt;"&amp;C2094,mdr_rate_cleaned!$F$2:$F$10,"&gt;="&amp;C2094)</f>
        <v>1</v>
      </c>
      <c r="G2094" s="40">
        <f>SUMIFS(mdr_rate_cleaned!$G$2:$G$10,mdr_rate_cleaned!$A$2:$A$10,B2094,mdr_rate_cleaned!$B$2:$B$10,"&lt;"&amp;C2094,mdr_rate_cleaned!$F$2:$F$10,"&gt;="&amp;C2094)</f>
        <v>3.0000000000000001E-3</v>
      </c>
      <c r="H2094" s="24">
        <f t="shared" si="160"/>
        <v>17.690000000000001</v>
      </c>
      <c r="I2094" s="23" t="str">
        <f t="shared" si="161"/>
        <v>Match</v>
      </c>
      <c r="J2094" s="23" t="str">
        <f t="shared" si="162"/>
        <v>Match</v>
      </c>
      <c r="K2094" s="24">
        <f t="shared" si="163"/>
        <v>3.18</v>
      </c>
      <c r="L2094" s="24">
        <f t="shared" si="164"/>
        <v>0</v>
      </c>
    </row>
    <row r="2095" spans="1:12" ht="15" customHeight="1" x14ac:dyDescent="0.3">
      <c r="A2095" s="23" t="s">
        <v>14911</v>
      </c>
      <c r="B2095" s="23" t="s">
        <v>77</v>
      </c>
      <c r="C2095" s="39">
        <v>1198</v>
      </c>
      <c r="D2095" s="24">
        <v>22.76</v>
      </c>
      <c r="E2095" s="24">
        <v>4.0999999999999996</v>
      </c>
      <c r="F2095" s="23">
        <f>COUNTIFS(mdr_rate_cleaned!$A$2:$A$10,B2095,mdr_rate_cleaned!$B$2:$B$10,"&lt;"&amp;C2095,mdr_rate_cleaned!$F$2:$F$10,"&gt;="&amp;C2095)</f>
        <v>1</v>
      </c>
      <c r="G2095" s="40">
        <f>SUMIFS(mdr_rate_cleaned!$G$2:$G$10,mdr_rate_cleaned!$A$2:$A$10,B2095,mdr_rate_cleaned!$B$2:$B$10,"&lt;"&amp;C2095,mdr_rate_cleaned!$F$2:$F$10,"&gt;="&amp;C2095)</f>
        <v>1.9E-2</v>
      </c>
      <c r="H2095" s="24">
        <f t="shared" si="160"/>
        <v>22.76</v>
      </c>
      <c r="I2095" s="23" t="str">
        <f t="shared" si="161"/>
        <v>Match</v>
      </c>
      <c r="J2095" s="23" t="str">
        <f t="shared" si="162"/>
        <v>Match</v>
      </c>
      <c r="K2095" s="24">
        <f t="shared" si="163"/>
        <v>4.0999999999999996</v>
      </c>
      <c r="L2095" s="24">
        <f t="shared" si="164"/>
        <v>0</v>
      </c>
    </row>
    <row r="2096" spans="1:12" ht="15" customHeight="1" x14ac:dyDescent="0.3">
      <c r="A2096" s="23" t="s">
        <v>14912</v>
      </c>
      <c r="B2096" s="23" t="s">
        <v>77</v>
      </c>
      <c r="C2096" s="39">
        <v>17797</v>
      </c>
      <c r="D2096" s="24">
        <v>302.55</v>
      </c>
      <c r="E2096" s="24">
        <v>54.46</v>
      </c>
      <c r="F2096" s="23">
        <f>COUNTIFS(mdr_rate_cleaned!$A$2:$A$10,B2096,mdr_rate_cleaned!$B$2:$B$10,"&lt;"&amp;C2096,mdr_rate_cleaned!$F$2:$F$10,"&gt;="&amp;C2096)</f>
        <v>1</v>
      </c>
      <c r="G2096" s="40">
        <f>SUMIFS(mdr_rate_cleaned!$G$2:$G$10,mdr_rate_cleaned!$A$2:$A$10,B2096,mdr_rate_cleaned!$B$2:$B$10,"&lt;"&amp;C2096,mdr_rate_cleaned!$F$2:$F$10,"&gt;="&amp;C2096)</f>
        <v>1.7000000000000001E-2</v>
      </c>
      <c r="H2096" s="24">
        <f t="shared" si="160"/>
        <v>302.55</v>
      </c>
      <c r="I2096" s="23" t="str">
        <f t="shared" si="161"/>
        <v>Match</v>
      </c>
      <c r="J2096" s="23" t="str">
        <f t="shared" si="162"/>
        <v>Match</v>
      </c>
      <c r="K2096" s="24">
        <f t="shared" si="163"/>
        <v>54.46</v>
      </c>
      <c r="L2096" s="24">
        <f t="shared" si="164"/>
        <v>0</v>
      </c>
    </row>
    <row r="2097" spans="1:12" ht="15" customHeight="1" x14ac:dyDescent="0.3">
      <c r="A2097" s="23" t="s">
        <v>14913</v>
      </c>
      <c r="B2097" s="23" t="s">
        <v>79</v>
      </c>
      <c r="C2097" s="39">
        <v>2197</v>
      </c>
      <c r="D2097" s="24">
        <v>35.15</v>
      </c>
      <c r="E2097" s="24">
        <v>6.33</v>
      </c>
      <c r="F2097" s="23">
        <f>COUNTIFS(mdr_rate_cleaned!$A$2:$A$10,B2097,mdr_rate_cleaned!$B$2:$B$10,"&lt;"&amp;C2097,mdr_rate_cleaned!$F$2:$F$10,"&gt;="&amp;C2097)</f>
        <v>1</v>
      </c>
      <c r="G2097" s="40">
        <f>SUMIFS(mdr_rate_cleaned!$G$2:$G$10,mdr_rate_cleaned!$A$2:$A$10,B2097,mdr_rate_cleaned!$B$2:$B$10,"&lt;"&amp;C2097,mdr_rate_cleaned!$F$2:$F$10,"&gt;="&amp;C2097)</f>
        <v>1.6E-2</v>
      </c>
      <c r="H2097" s="24">
        <f t="shared" si="160"/>
        <v>35.15</v>
      </c>
      <c r="I2097" s="23" t="str">
        <f t="shared" si="161"/>
        <v>Match</v>
      </c>
      <c r="J2097" s="23" t="str">
        <f t="shared" si="162"/>
        <v>Match</v>
      </c>
      <c r="K2097" s="24">
        <f t="shared" si="163"/>
        <v>6.33</v>
      </c>
      <c r="L2097" s="24">
        <f t="shared" si="164"/>
        <v>0</v>
      </c>
    </row>
    <row r="2098" spans="1:12" ht="15" customHeight="1" x14ac:dyDescent="0.3">
      <c r="A2098" s="23" t="s">
        <v>14914</v>
      </c>
      <c r="B2098" s="23" t="s">
        <v>81</v>
      </c>
      <c r="C2098" s="39">
        <v>4999</v>
      </c>
      <c r="D2098" s="24">
        <v>59.99</v>
      </c>
      <c r="E2098" s="24">
        <v>10.8</v>
      </c>
      <c r="F2098" s="23">
        <f>COUNTIFS(mdr_rate_cleaned!$A$2:$A$10,B2098,mdr_rate_cleaned!$B$2:$B$10,"&lt;"&amp;C2098,mdr_rate_cleaned!$F$2:$F$10,"&gt;="&amp;C2098)</f>
        <v>1</v>
      </c>
      <c r="G2098" s="40">
        <f>SUMIFS(mdr_rate_cleaned!$G$2:$G$10,mdr_rate_cleaned!$A$2:$A$10,B2098,mdr_rate_cleaned!$B$2:$B$10,"&lt;"&amp;C2098,mdr_rate_cleaned!$F$2:$F$10,"&gt;="&amp;C2098)</f>
        <v>1.2E-2</v>
      </c>
      <c r="H2098" s="24">
        <f t="shared" si="160"/>
        <v>59.99</v>
      </c>
      <c r="I2098" s="23" t="str">
        <f t="shared" si="161"/>
        <v>Match</v>
      </c>
      <c r="J2098" s="23" t="str">
        <f t="shared" si="162"/>
        <v>Match</v>
      </c>
      <c r="K2098" s="24">
        <f t="shared" si="163"/>
        <v>10.8</v>
      </c>
      <c r="L2098" s="24">
        <f t="shared" si="164"/>
        <v>0</v>
      </c>
    </row>
    <row r="2099" spans="1:12" ht="15" customHeight="1" x14ac:dyDescent="0.3">
      <c r="A2099" s="23" t="s">
        <v>14915</v>
      </c>
      <c r="B2099" s="23" t="s">
        <v>79</v>
      </c>
      <c r="C2099" s="39">
        <v>1299</v>
      </c>
      <c r="D2099" s="24">
        <v>23.38</v>
      </c>
      <c r="E2099" s="24">
        <v>4.21</v>
      </c>
      <c r="F2099" s="23">
        <f>COUNTIFS(mdr_rate_cleaned!$A$2:$A$10,B2099,mdr_rate_cleaned!$B$2:$B$10,"&lt;"&amp;C2099,mdr_rate_cleaned!$F$2:$F$10,"&gt;="&amp;C2099)</f>
        <v>1</v>
      </c>
      <c r="G2099" s="40">
        <f>SUMIFS(mdr_rate_cleaned!$G$2:$G$10,mdr_rate_cleaned!$A$2:$A$10,B2099,mdr_rate_cleaned!$B$2:$B$10,"&lt;"&amp;C2099,mdr_rate_cleaned!$F$2:$F$10,"&gt;="&amp;C2099)</f>
        <v>1.8000000000000002E-2</v>
      </c>
      <c r="H2099" s="24">
        <f t="shared" si="160"/>
        <v>23.38</v>
      </c>
      <c r="I2099" s="23" t="str">
        <f t="shared" si="161"/>
        <v>Match</v>
      </c>
      <c r="J2099" s="23" t="str">
        <f t="shared" si="162"/>
        <v>Match</v>
      </c>
      <c r="K2099" s="24">
        <f t="shared" si="163"/>
        <v>4.21</v>
      </c>
      <c r="L2099" s="24">
        <f t="shared" si="164"/>
        <v>0</v>
      </c>
    </row>
    <row r="2100" spans="1:12" ht="15" customHeight="1" x14ac:dyDescent="0.3">
      <c r="A2100" s="23" t="s">
        <v>14916</v>
      </c>
      <c r="B2100" s="23" t="s">
        <v>77</v>
      </c>
      <c r="C2100" s="39">
        <v>8598</v>
      </c>
      <c r="D2100" s="24">
        <v>146.16999999999999</v>
      </c>
      <c r="E2100" s="24">
        <v>26.31</v>
      </c>
      <c r="F2100" s="23">
        <f>COUNTIFS(mdr_rate_cleaned!$A$2:$A$10,B2100,mdr_rate_cleaned!$B$2:$B$10,"&lt;"&amp;C2100,mdr_rate_cleaned!$F$2:$F$10,"&gt;="&amp;C2100)</f>
        <v>1</v>
      </c>
      <c r="G2100" s="40">
        <f>SUMIFS(mdr_rate_cleaned!$G$2:$G$10,mdr_rate_cleaned!$A$2:$A$10,B2100,mdr_rate_cleaned!$B$2:$B$10,"&lt;"&amp;C2100,mdr_rate_cleaned!$F$2:$F$10,"&gt;="&amp;C2100)</f>
        <v>1.7000000000000001E-2</v>
      </c>
      <c r="H2100" s="24">
        <f t="shared" si="160"/>
        <v>146.16999999999999</v>
      </c>
      <c r="I2100" s="23" t="str">
        <f t="shared" si="161"/>
        <v>Match</v>
      </c>
      <c r="J2100" s="23" t="str">
        <f t="shared" si="162"/>
        <v>Match</v>
      </c>
      <c r="K2100" s="24">
        <f t="shared" si="163"/>
        <v>26.31</v>
      </c>
      <c r="L2100" s="24">
        <f t="shared" si="164"/>
        <v>0</v>
      </c>
    </row>
    <row r="2101" spans="1:12" ht="15" customHeight="1" x14ac:dyDescent="0.3">
      <c r="A2101" s="23" t="s">
        <v>14917</v>
      </c>
      <c r="B2101" s="23" t="s">
        <v>81</v>
      </c>
      <c r="C2101" s="39">
        <v>1947</v>
      </c>
      <c r="D2101" s="24">
        <v>29.21</v>
      </c>
      <c r="E2101" s="24">
        <v>5.26</v>
      </c>
      <c r="F2101" s="23">
        <f>COUNTIFS(mdr_rate_cleaned!$A$2:$A$10,B2101,mdr_rate_cleaned!$B$2:$B$10,"&lt;"&amp;C2101,mdr_rate_cleaned!$F$2:$F$10,"&gt;="&amp;C2101)</f>
        <v>1</v>
      </c>
      <c r="G2101" s="40">
        <f>SUMIFS(mdr_rate_cleaned!$G$2:$G$10,mdr_rate_cleaned!$A$2:$A$10,B2101,mdr_rate_cleaned!$B$2:$B$10,"&lt;"&amp;C2101,mdr_rate_cleaned!$F$2:$F$10,"&gt;="&amp;C2101)</f>
        <v>1.4999999999999999E-2</v>
      </c>
      <c r="H2101" s="24">
        <f t="shared" si="160"/>
        <v>29.21</v>
      </c>
      <c r="I2101" s="23" t="str">
        <f t="shared" si="161"/>
        <v>Match</v>
      </c>
      <c r="J2101" s="23" t="str">
        <f t="shared" si="162"/>
        <v>Match</v>
      </c>
      <c r="K2101" s="24">
        <f t="shared" si="163"/>
        <v>5.26</v>
      </c>
      <c r="L2101" s="24">
        <f t="shared" si="164"/>
        <v>0</v>
      </c>
    </row>
    <row r="2102" spans="1:12" ht="15" customHeight="1" x14ac:dyDescent="0.3">
      <c r="A2102" s="23" t="s">
        <v>14918</v>
      </c>
      <c r="B2102" s="23" t="s">
        <v>75</v>
      </c>
      <c r="C2102" s="39">
        <v>6997</v>
      </c>
      <c r="D2102" s="24">
        <v>20.99</v>
      </c>
      <c r="E2102" s="24">
        <v>3.78</v>
      </c>
      <c r="F2102" s="23">
        <f>COUNTIFS(mdr_rate_cleaned!$A$2:$A$10,B2102,mdr_rate_cleaned!$B$2:$B$10,"&lt;"&amp;C2102,mdr_rate_cleaned!$F$2:$F$10,"&gt;="&amp;C2102)</f>
        <v>1</v>
      </c>
      <c r="G2102" s="40">
        <f>SUMIFS(mdr_rate_cleaned!$G$2:$G$10,mdr_rate_cleaned!$A$2:$A$10,B2102,mdr_rate_cleaned!$B$2:$B$10,"&lt;"&amp;C2102,mdr_rate_cleaned!$F$2:$F$10,"&gt;="&amp;C2102)</f>
        <v>3.0000000000000001E-3</v>
      </c>
      <c r="H2102" s="24">
        <f t="shared" si="160"/>
        <v>20.99</v>
      </c>
      <c r="I2102" s="23" t="str">
        <f t="shared" si="161"/>
        <v>Match</v>
      </c>
      <c r="J2102" s="23" t="str">
        <f t="shared" si="162"/>
        <v>Match</v>
      </c>
      <c r="K2102" s="24">
        <f t="shared" si="163"/>
        <v>3.78</v>
      </c>
      <c r="L2102" s="24">
        <f t="shared" si="164"/>
        <v>0</v>
      </c>
    </row>
    <row r="2103" spans="1:12" ht="15" customHeight="1" x14ac:dyDescent="0.3">
      <c r="A2103" s="23" t="s">
        <v>14919</v>
      </c>
      <c r="B2103" s="23" t="s">
        <v>79</v>
      </c>
      <c r="C2103" s="39">
        <v>299</v>
      </c>
      <c r="D2103" s="24">
        <v>5.38</v>
      </c>
      <c r="E2103" s="24">
        <v>0.97</v>
      </c>
      <c r="F2103" s="23">
        <f>COUNTIFS(mdr_rate_cleaned!$A$2:$A$10,B2103,mdr_rate_cleaned!$B$2:$B$10,"&lt;"&amp;C2103,mdr_rate_cleaned!$F$2:$F$10,"&gt;="&amp;C2103)</f>
        <v>1</v>
      </c>
      <c r="G2103" s="40">
        <f>SUMIFS(mdr_rate_cleaned!$G$2:$G$10,mdr_rate_cleaned!$A$2:$A$10,B2103,mdr_rate_cleaned!$B$2:$B$10,"&lt;"&amp;C2103,mdr_rate_cleaned!$F$2:$F$10,"&gt;="&amp;C2103)</f>
        <v>1.8000000000000002E-2</v>
      </c>
      <c r="H2103" s="24">
        <f t="shared" si="160"/>
        <v>5.38</v>
      </c>
      <c r="I2103" s="23" t="str">
        <f t="shared" si="161"/>
        <v>Match</v>
      </c>
      <c r="J2103" s="23" t="str">
        <f t="shared" si="162"/>
        <v>Match</v>
      </c>
      <c r="K2103" s="24">
        <f t="shared" si="163"/>
        <v>0.97</v>
      </c>
      <c r="L2103" s="24">
        <f t="shared" si="164"/>
        <v>0</v>
      </c>
    </row>
    <row r="2104" spans="1:12" ht="15" customHeight="1" x14ac:dyDescent="0.3">
      <c r="A2104" s="23" t="s">
        <v>14920</v>
      </c>
      <c r="B2104" s="23" t="s">
        <v>77</v>
      </c>
      <c r="C2104" s="39">
        <v>499</v>
      </c>
      <c r="D2104" s="24">
        <v>9.48</v>
      </c>
      <c r="E2104" s="24">
        <v>1.71</v>
      </c>
      <c r="F2104" s="23">
        <f>COUNTIFS(mdr_rate_cleaned!$A$2:$A$10,B2104,mdr_rate_cleaned!$B$2:$B$10,"&lt;"&amp;C2104,mdr_rate_cleaned!$F$2:$F$10,"&gt;="&amp;C2104)</f>
        <v>1</v>
      </c>
      <c r="G2104" s="40">
        <f>SUMIFS(mdr_rate_cleaned!$G$2:$G$10,mdr_rate_cleaned!$A$2:$A$10,B2104,mdr_rate_cleaned!$B$2:$B$10,"&lt;"&amp;C2104,mdr_rate_cleaned!$F$2:$F$10,"&gt;="&amp;C2104)</f>
        <v>1.9E-2</v>
      </c>
      <c r="H2104" s="24">
        <f t="shared" si="160"/>
        <v>9.48</v>
      </c>
      <c r="I2104" s="23" t="str">
        <f t="shared" si="161"/>
        <v>Match</v>
      </c>
      <c r="J2104" s="23" t="str">
        <f t="shared" si="162"/>
        <v>Match</v>
      </c>
      <c r="K2104" s="24">
        <f t="shared" si="163"/>
        <v>1.71</v>
      </c>
      <c r="L2104" s="24">
        <f t="shared" si="164"/>
        <v>0</v>
      </c>
    </row>
    <row r="2105" spans="1:12" ht="15" customHeight="1" x14ac:dyDescent="0.3">
      <c r="A2105" s="23" t="s">
        <v>14921</v>
      </c>
      <c r="B2105" s="23" t="s">
        <v>77</v>
      </c>
      <c r="C2105" s="39">
        <v>299</v>
      </c>
      <c r="D2105" s="24">
        <v>5.68</v>
      </c>
      <c r="E2105" s="24">
        <v>1.02</v>
      </c>
      <c r="F2105" s="23">
        <f>COUNTIFS(mdr_rate_cleaned!$A$2:$A$10,B2105,mdr_rate_cleaned!$B$2:$B$10,"&lt;"&amp;C2105,mdr_rate_cleaned!$F$2:$F$10,"&gt;="&amp;C2105)</f>
        <v>1</v>
      </c>
      <c r="G2105" s="40">
        <f>SUMIFS(mdr_rate_cleaned!$G$2:$G$10,mdr_rate_cleaned!$A$2:$A$10,B2105,mdr_rate_cleaned!$B$2:$B$10,"&lt;"&amp;C2105,mdr_rate_cleaned!$F$2:$F$10,"&gt;="&amp;C2105)</f>
        <v>1.9E-2</v>
      </c>
      <c r="H2105" s="24">
        <f t="shared" si="160"/>
        <v>5.68</v>
      </c>
      <c r="I2105" s="23" t="str">
        <f t="shared" si="161"/>
        <v>Match</v>
      </c>
      <c r="J2105" s="23" t="str">
        <f t="shared" si="162"/>
        <v>Match</v>
      </c>
      <c r="K2105" s="24">
        <f t="shared" si="163"/>
        <v>1.02</v>
      </c>
      <c r="L2105" s="24">
        <f t="shared" si="164"/>
        <v>0</v>
      </c>
    </row>
    <row r="2106" spans="1:12" ht="15" customHeight="1" x14ac:dyDescent="0.3">
      <c r="A2106" s="23" t="s">
        <v>14922</v>
      </c>
      <c r="B2106" s="23" t="s">
        <v>75</v>
      </c>
      <c r="C2106" s="39">
        <v>1499</v>
      </c>
      <c r="D2106" s="24">
        <v>0</v>
      </c>
      <c r="E2106" s="24">
        <v>0</v>
      </c>
      <c r="F2106" s="23">
        <f>COUNTIFS(mdr_rate_cleaned!$A$2:$A$10,B2106,mdr_rate_cleaned!$B$2:$B$10,"&lt;"&amp;C2106,mdr_rate_cleaned!$F$2:$F$10,"&gt;="&amp;C2106)</f>
        <v>1</v>
      </c>
      <c r="G2106" s="40">
        <f>SUMIFS(mdr_rate_cleaned!$G$2:$G$10,mdr_rate_cleaned!$A$2:$A$10,B2106,mdr_rate_cleaned!$B$2:$B$10,"&lt;"&amp;C2106,mdr_rate_cleaned!$F$2:$F$10,"&gt;="&amp;C2106)</f>
        <v>0</v>
      </c>
      <c r="H2106" s="24">
        <f t="shared" si="160"/>
        <v>0</v>
      </c>
      <c r="I2106" s="23" t="str">
        <f t="shared" si="161"/>
        <v>Match</v>
      </c>
      <c r="J2106" s="23" t="str">
        <f t="shared" si="162"/>
        <v>Match</v>
      </c>
      <c r="K2106" s="24">
        <f t="shared" si="163"/>
        <v>0</v>
      </c>
      <c r="L2106" s="24">
        <f t="shared" si="164"/>
        <v>0</v>
      </c>
    </row>
    <row r="2107" spans="1:12" ht="15" customHeight="1" x14ac:dyDescent="0.3">
      <c r="A2107" s="23" t="s">
        <v>14923</v>
      </c>
      <c r="B2107" s="23" t="s">
        <v>75</v>
      </c>
      <c r="C2107" s="39">
        <v>6097</v>
      </c>
      <c r="D2107" s="24">
        <v>18.29</v>
      </c>
      <c r="E2107" s="24">
        <v>3.29</v>
      </c>
      <c r="F2107" s="23">
        <f>COUNTIFS(mdr_rate_cleaned!$A$2:$A$10,B2107,mdr_rate_cleaned!$B$2:$B$10,"&lt;"&amp;C2107,mdr_rate_cleaned!$F$2:$F$10,"&gt;="&amp;C2107)</f>
        <v>1</v>
      </c>
      <c r="G2107" s="40">
        <f>SUMIFS(mdr_rate_cleaned!$G$2:$G$10,mdr_rate_cleaned!$A$2:$A$10,B2107,mdr_rate_cleaned!$B$2:$B$10,"&lt;"&amp;C2107,mdr_rate_cleaned!$F$2:$F$10,"&gt;="&amp;C2107)</f>
        <v>3.0000000000000001E-3</v>
      </c>
      <c r="H2107" s="24">
        <f t="shared" si="160"/>
        <v>18.29</v>
      </c>
      <c r="I2107" s="23" t="str">
        <f t="shared" si="161"/>
        <v>Match</v>
      </c>
      <c r="J2107" s="23" t="str">
        <f t="shared" si="162"/>
        <v>Match</v>
      </c>
      <c r="K2107" s="24">
        <f t="shared" si="163"/>
        <v>3.29</v>
      </c>
      <c r="L2107" s="24">
        <f t="shared" si="164"/>
        <v>0</v>
      </c>
    </row>
    <row r="2108" spans="1:12" ht="15" customHeight="1" x14ac:dyDescent="0.3">
      <c r="A2108" s="23" t="s">
        <v>14924</v>
      </c>
      <c r="B2108" s="23" t="s">
        <v>75</v>
      </c>
      <c r="C2108" s="39">
        <v>1499</v>
      </c>
      <c r="D2108" s="24">
        <v>0</v>
      </c>
      <c r="E2108" s="24">
        <v>0</v>
      </c>
      <c r="F2108" s="23">
        <f>COUNTIFS(mdr_rate_cleaned!$A$2:$A$10,B2108,mdr_rate_cleaned!$B$2:$B$10,"&lt;"&amp;C2108,mdr_rate_cleaned!$F$2:$F$10,"&gt;="&amp;C2108)</f>
        <v>1</v>
      </c>
      <c r="G2108" s="40">
        <f>SUMIFS(mdr_rate_cleaned!$G$2:$G$10,mdr_rate_cleaned!$A$2:$A$10,B2108,mdr_rate_cleaned!$B$2:$B$10,"&lt;"&amp;C2108,mdr_rate_cleaned!$F$2:$F$10,"&gt;="&amp;C2108)</f>
        <v>0</v>
      </c>
      <c r="H2108" s="24">
        <f t="shared" si="160"/>
        <v>0</v>
      </c>
      <c r="I2108" s="23" t="str">
        <f t="shared" si="161"/>
        <v>Match</v>
      </c>
      <c r="J2108" s="23" t="str">
        <f t="shared" si="162"/>
        <v>Match</v>
      </c>
      <c r="K2108" s="24">
        <f t="shared" si="163"/>
        <v>0</v>
      </c>
      <c r="L2108" s="24">
        <f t="shared" si="164"/>
        <v>0</v>
      </c>
    </row>
    <row r="2109" spans="1:12" ht="15" customHeight="1" x14ac:dyDescent="0.3">
      <c r="A2109" s="23" t="s">
        <v>14925</v>
      </c>
      <c r="B2109" s="23" t="s">
        <v>79</v>
      </c>
      <c r="C2109" s="39">
        <v>3897</v>
      </c>
      <c r="D2109" s="24">
        <v>62.35</v>
      </c>
      <c r="E2109" s="24">
        <v>11.22</v>
      </c>
      <c r="F2109" s="23">
        <f>COUNTIFS(mdr_rate_cleaned!$A$2:$A$10,B2109,mdr_rate_cleaned!$B$2:$B$10,"&lt;"&amp;C2109,mdr_rate_cleaned!$F$2:$F$10,"&gt;="&amp;C2109)</f>
        <v>1</v>
      </c>
      <c r="G2109" s="40">
        <f>SUMIFS(mdr_rate_cleaned!$G$2:$G$10,mdr_rate_cleaned!$A$2:$A$10,B2109,mdr_rate_cleaned!$B$2:$B$10,"&lt;"&amp;C2109,mdr_rate_cleaned!$F$2:$F$10,"&gt;="&amp;C2109)</f>
        <v>1.6E-2</v>
      </c>
      <c r="H2109" s="24">
        <f t="shared" si="160"/>
        <v>62.35</v>
      </c>
      <c r="I2109" s="23" t="str">
        <f t="shared" si="161"/>
        <v>Match</v>
      </c>
      <c r="J2109" s="23" t="str">
        <f t="shared" si="162"/>
        <v>Match</v>
      </c>
      <c r="K2109" s="24">
        <f t="shared" si="163"/>
        <v>11.22</v>
      </c>
      <c r="L2109" s="24">
        <f t="shared" si="164"/>
        <v>0</v>
      </c>
    </row>
    <row r="2110" spans="1:12" ht="15" customHeight="1" x14ac:dyDescent="0.3">
      <c r="A2110" s="23" t="s">
        <v>14926</v>
      </c>
      <c r="B2110" s="23" t="s">
        <v>77</v>
      </c>
      <c r="C2110" s="39">
        <v>3499</v>
      </c>
      <c r="D2110" s="24">
        <v>59.48</v>
      </c>
      <c r="E2110" s="24">
        <v>10.71</v>
      </c>
      <c r="F2110" s="23">
        <f>COUNTIFS(mdr_rate_cleaned!$A$2:$A$10,B2110,mdr_rate_cleaned!$B$2:$B$10,"&lt;"&amp;C2110,mdr_rate_cleaned!$F$2:$F$10,"&gt;="&amp;C2110)</f>
        <v>1</v>
      </c>
      <c r="G2110" s="40">
        <f>SUMIFS(mdr_rate_cleaned!$G$2:$G$10,mdr_rate_cleaned!$A$2:$A$10,B2110,mdr_rate_cleaned!$B$2:$B$10,"&lt;"&amp;C2110,mdr_rate_cleaned!$F$2:$F$10,"&gt;="&amp;C2110)</f>
        <v>1.7000000000000001E-2</v>
      </c>
      <c r="H2110" s="24">
        <f t="shared" si="160"/>
        <v>59.48</v>
      </c>
      <c r="I2110" s="23" t="str">
        <f t="shared" si="161"/>
        <v>Match</v>
      </c>
      <c r="J2110" s="23" t="str">
        <f t="shared" si="162"/>
        <v>Match</v>
      </c>
      <c r="K2110" s="24">
        <f t="shared" si="163"/>
        <v>10.71</v>
      </c>
      <c r="L2110" s="24">
        <f t="shared" si="164"/>
        <v>0</v>
      </c>
    </row>
    <row r="2111" spans="1:12" ht="15" customHeight="1" x14ac:dyDescent="0.3">
      <c r="A2111" s="23" t="s">
        <v>14927</v>
      </c>
      <c r="B2111" s="23" t="s">
        <v>77</v>
      </c>
      <c r="C2111" s="39">
        <v>999</v>
      </c>
      <c r="D2111" s="24">
        <v>18.98</v>
      </c>
      <c r="E2111" s="24">
        <v>3.42</v>
      </c>
      <c r="F2111" s="23">
        <f>COUNTIFS(mdr_rate_cleaned!$A$2:$A$10,B2111,mdr_rate_cleaned!$B$2:$B$10,"&lt;"&amp;C2111,mdr_rate_cleaned!$F$2:$F$10,"&gt;="&amp;C2111)</f>
        <v>1</v>
      </c>
      <c r="G2111" s="40">
        <f>SUMIFS(mdr_rate_cleaned!$G$2:$G$10,mdr_rate_cleaned!$A$2:$A$10,B2111,mdr_rate_cleaned!$B$2:$B$10,"&lt;"&amp;C2111,mdr_rate_cleaned!$F$2:$F$10,"&gt;="&amp;C2111)</f>
        <v>1.9E-2</v>
      </c>
      <c r="H2111" s="24">
        <f t="shared" si="160"/>
        <v>18.98</v>
      </c>
      <c r="I2111" s="23" t="str">
        <f t="shared" si="161"/>
        <v>Match</v>
      </c>
      <c r="J2111" s="23" t="str">
        <f t="shared" si="162"/>
        <v>Match</v>
      </c>
      <c r="K2111" s="24">
        <f t="shared" si="163"/>
        <v>3.42</v>
      </c>
      <c r="L2111" s="24">
        <f t="shared" si="164"/>
        <v>0</v>
      </c>
    </row>
    <row r="2112" spans="1:12" ht="15" customHeight="1" x14ac:dyDescent="0.3">
      <c r="A2112" s="23" t="s">
        <v>14929</v>
      </c>
      <c r="B2112" s="23" t="s">
        <v>79</v>
      </c>
      <c r="C2112" s="39">
        <v>4999</v>
      </c>
      <c r="D2112" s="24">
        <v>79.98</v>
      </c>
      <c r="E2112" s="24">
        <v>14.4</v>
      </c>
      <c r="F2112" s="23">
        <f>COUNTIFS(mdr_rate_cleaned!$A$2:$A$10,B2112,mdr_rate_cleaned!$B$2:$B$10,"&lt;"&amp;C2112,mdr_rate_cleaned!$F$2:$F$10,"&gt;="&amp;C2112)</f>
        <v>1</v>
      </c>
      <c r="G2112" s="40">
        <f>SUMIFS(mdr_rate_cleaned!$G$2:$G$10,mdr_rate_cleaned!$A$2:$A$10,B2112,mdr_rate_cleaned!$B$2:$B$10,"&lt;"&amp;C2112,mdr_rate_cleaned!$F$2:$F$10,"&gt;="&amp;C2112)</f>
        <v>1.6E-2</v>
      </c>
      <c r="H2112" s="24">
        <f t="shared" si="160"/>
        <v>79.98</v>
      </c>
      <c r="I2112" s="23" t="str">
        <f t="shared" si="161"/>
        <v>Match</v>
      </c>
      <c r="J2112" s="23" t="str">
        <f t="shared" si="162"/>
        <v>Match</v>
      </c>
      <c r="K2112" s="24">
        <f t="shared" si="163"/>
        <v>14.4</v>
      </c>
      <c r="L2112" s="24">
        <f t="shared" si="164"/>
        <v>0</v>
      </c>
    </row>
    <row r="2113" spans="1:12" ht="15" customHeight="1" x14ac:dyDescent="0.3">
      <c r="A2113" s="23" t="s">
        <v>14930</v>
      </c>
      <c r="B2113" s="23" t="s">
        <v>77</v>
      </c>
      <c r="C2113" s="39">
        <v>5998</v>
      </c>
      <c r="D2113" s="24">
        <v>101.97</v>
      </c>
      <c r="E2113" s="24">
        <v>18.350000000000001</v>
      </c>
      <c r="F2113" s="23">
        <f>COUNTIFS(mdr_rate_cleaned!$A$2:$A$10,B2113,mdr_rate_cleaned!$B$2:$B$10,"&lt;"&amp;C2113,mdr_rate_cleaned!$F$2:$F$10,"&gt;="&amp;C2113)</f>
        <v>1</v>
      </c>
      <c r="G2113" s="40">
        <f>SUMIFS(mdr_rate_cleaned!$G$2:$G$10,mdr_rate_cleaned!$A$2:$A$10,B2113,mdr_rate_cleaned!$B$2:$B$10,"&lt;"&amp;C2113,mdr_rate_cleaned!$F$2:$F$10,"&gt;="&amp;C2113)</f>
        <v>1.7000000000000001E-2</v>
      </c>
      <c r="H2113" s="24">
        <f t="shared" si="160"/>
        <v>101.97</v>
      </c>
      <c r="I2113" s="23" t="str">
        <f t="shared" si="161"/>
        <v>Match</v>
      </c>
      <c r="J2113" s="23" t="str">
        <f t="shared" si="162"/>
        <v>Match</v>
      </c>
      <c r="K2113" s="24">
        <f t="shared" si="163"/>
        <v>18.350000000000001</v>
      </c>
      <c r="L2113" s="24">
        <f t="shared" si="164"/>
        <v>0</v>
      </c>
    </row>
    <row r="2114" spans="1:12" ht="15" customHeight="1" x14ac:dyDescent="0.3">
      <c r="A2114" s="23" t="s">
        <v>14931</v>
      </c>
      <c r="B2114" s="23" t="s">
        <v>77</v>
      </c>
      <c r="C2114" s="39">
        <v>6298</v>
      </c>
      <c r="D2114" s="24">
        <v>107.07</v>
      </c>
      <c r="E2114" s="24">
        <v>19.27</v>
      </c>
      <c r="F2114" s="23">
        <f>COUNTIFS(mdr_rate_cleaned!$A$2:$A$10,B2114,mdr_rate_cleaned!$B$2:$B$10,"&lt;"&amp;C2114,mdr_rate_cleaned!$F$2:$F$10,"&gt;="&amp;C2114)</f>
        <v>1</v>
      </c>
      <c r="G2114" s="40">
        <f>SUMIFS(mdr_rate_cleaned!$G$2:$G$10,mdr_rate_cleaned!$A$2:$A$10,B2114,mdr_rate_cleaned!$B$2:$B$10,"&lt;"&amp;C2114,mdr_rate_cleaned!$F$2:$F$10,"&gt;="&amp;C2114)</f>
        <v>1.7000000000000001E-2</v>
      </c>
      <c r="H2114" s="24">
        <f t="shared" ref="H2114:H2177" si="165">ROUND(C2114*G2114,2)</f>
        <v>107.07</v>
      </c>
      <c r="I2114" s="23" t="str">
        <f t="shared" ref="I2114:I2177" si="166">IF(ROUND(D2114-H2114,2)=0,"Match","Differs")</f>
        <v>Match</v>
      </c>
      <c r="J2114" s="23" t="str">
        <f t="shared" ref="J2114:J2177" si="167">IF(ROUND(E2114-ROUND(D2114*0.18,2),2)=0,"Match","Differs")</f>
        <v>Match</v>
      </c>
      <c r="K2114" s="24">
        <f t="shared" ref="K2114:K2177" si="168">ROUND(H2114*0.18,2)</f>
        <v>19.27</v>
      </c>
      <c r="L2114" s="24">
        <f t="shared" ref="L2114:L2177" si="169">ROUND(D2114+E2114-H2114-K2114,2)</f>
        <v>0</v>
      </c>
    </row>
    <row r="2115" spans="1:12" ht="15" customHeight="1" x14ac:dyDescent="0.3">
      <c r="A2115" s="23" t="s">
        <v>14933</v>
      </c>
      <c r="B2115" s="23" t="s">
        <v>75</v>
      </c>
      <c r="C2115" s="39">
        <v>599</v>
      </c>
      <c r="D2115" s="24">
        <v>0</v>
      </c>
      <c r="E2115" s="24">
        <v>0</v>
      </c>
      <c r="F2115" s="23">
        <f>COUNTIFS(mdr_rate_cleaned!$A$2:$A$10,B2115,mdr_rate_cleaned!$B$2:$B$10,"&lt;"&amp;C2115,mdr_rate_cleaned!$F$2:$F$10,"&gt;="&amp;C2115)</f>
        <v>1</v>
      </c>
      <c r="G2115" s="40">
        <f>SUMIFS(mdr_rate_cleaned!$G$2:$G$10,mdr_rate_cleaned!$A$2:$A$10,B2115,mdr_rate_cleaned!$B$2:$B$10,"&lt;"&amp;C2115,mdr_rate_cleaned!$F$2:$F$10,"&gt;="&amp;C2115)</f>
        <v>0</v>
      </c>
      <c r="H2115" s="24">
        <f t="shared" si="165"/>
        <v>0</v>
      </c>
      <c r="I2115" s="23" t="str">
        <f t="shared" si="166"/>
        <v>Match</v>
      </c>
      <c r="J2115" s="23" t="str">
        <f t="shared" si="167"/>
        <v>Match</v>
      </c>
      <c r="K2115" s="24">
        <f t="shared" si="168"/>
        <v>0</v>
      </c>
      <c r="L2115" s="24">
        <f t="shared" si="169"/>
        <v>0</v>
      </c>
    </row>
    <row r="2116" spans="1:12" ht="15" customHeight="1" x14ac:dyDescent="0.3">
      <c r="A2116" s="23" t="s">
        <v>14934</v>
      </c>
      <c r="B2116" s="23" t="s">
        <v>75</v>
      </c>
      <c r="C2116" s="39">
        <v>3298</v>
      </c>
      <c r="D2116" s="24">
        <v>9.89</v>
      </c>
      <c r="E2116" s="24">
        <v>1.78</v>
      </c>
      <c r="F2116" s="23">
        <f>COUNTIFS(mdr_rate_cleaned!$A$2:$A$10,B2116,mdr_rate_cleaned!$B$2:$B$10,"&lt;"&amp;C2116,mdr_rate_cleaned!$F$2:$F$10,"&gt;="&amp;C2116)</f>
        <v>1</v>
      </c>
      <c r="G2116" s="40">
        <f>SUMIFS(mdr_rate_cleaned!$G$2:$G$10,mdr_rate_cleaned!$A$2:$A$10,B2116,mdr_rate_cleaned!$B$2:$B$10,"&lt;"&amp;C2116,mdr_rate_cleaned!$F$2:$F$10,"&gt;="&amp;C2116)</f>
        <v>3.0000000000000001E-3</v>
      </c>
      <c r="H2116" s="24">
        <f t="shared" si="165"/>
        <v>9.89</v>
      </c>
      <c r="I2116" s="23" t="str">
        <f t="shared" si="166"/>
        <v>Match</v>
      </c>
      <c r="J2116" s="23" t="str">
        <f t="shared" si="167"/>
        <v>Match</v>
      </c>
      <c r="K2116" s="24">
        <f t="shared" si="168"/>
        <v>1.78</v>
      </c>
      <c r="L2116" s="24">
        <f t="shared" si="169"/>
        <v>0</v>
      </c>
    </row>
    <row r="2117" spans="1:12" ht="15" customHeight="1" x14ac:dyDescent="0.3">
      <c r="A2117" s="23" t="s">
        <v>14936</v>
      </c>
      <c r="B2117" s="23" t="s">
        <v>77</v>
      </c>
      <c r="C2117" s="39">
        <v>4999</v>
      </c>
      <c r="D2117" s="24">
        <v>84.98</v>
      </c>
      <c r="E2117" s="24">
        <v>15.3</v>
      </c>
      <c r="F2117" s="23">
        <f>COUNTIFS(mdr_rate_cleaned!$A$2:$A$10,B2117,mdr_rate_cleaned!$B$2:$B$10,"&lt;"&amp;C2117,mdr_rate_cleaned!$F$2:$F$10,"&gt;="&amp;C2117)</f>
        <v>1</v>
      </c>
      <c r="G2117" s="40">
        <f>SUMIFS(mdr_rate_cleaned!$G$2:$G$10,mdr_rate_cleaned!$A$2:$A$10,B2117,mdr_rate_cleaned!$B$2:$B$10,"&lt;"&amp;C2117,mdr_rate_cleaned!$F$2:$F$10,"&gt;="&amp;C2117)</f>
        <v>1.7000000000000001E-2</v>
      </c>
      <c r="H2117" s="24">
        <f t="shared" si="165"/>
        <v>84.98</v>
      </c>
      <c r="I2117" s="23" t="str">
        <f t="shared" si="166"/>
        <v>Match</v>
      </c>
      <c r="J2117" s="23" t="str">
        <f t="shared" si="167"/>
        <v>Match</v>
      </c>
      <c r="K2117" s="24">
        <f t="shared" si="168"/>
        <v>15.3</v>
      </c>
      <c r="L2117" s="24">
        <f t="shared" si="169"/>
        <v>0</v>
      </c>
    </row>
    <row r="2118" spans="1:12" ht="15" customHeight="1" x14ac:dyDescent="0.3">
      <c r="A2118" s="23" t="s">
        <v>14937</v>
      </c>
      <c r="B2118" s="23" t="s">
        <v>75</v>
      </c>
      <c r="C2118" s="39">
        <v>2398</v>
      </c>
      <c r="D2118" s="24">
        <v>7.19</v>
      </c>
      <c r="E2118" s="24">
        <v>1.29</v>
      </c>
      <c r="F2118" s="23">
        <f>COUNTIFS(mdr_rate_cleaned!$A$2:$A$10,B2118,mdr_rate_cleaned!$B$2:$B$10,"&lt;"&amp;C2118,mdr_rate_cleaned!$F$2:$F$10,"&gt;="&amp;C2118)</f>
        <v>1</v>
      </c>
      <c r="G2118" s="40">
        <f>SUMIFS(mdr_rate_cleaned!$G$2:$G$10,mdr_rate_cleaned!$A$2:$A$10,B2118,mdr_rate_cleaned!$B$2:$B$10,"&lt;"&amp;C2118,mdr_rate_cleaned!$F$2:$F$10,"&gt;="&amp;C2118)</f>
        <v>3.0000000000000001E-3</v>
      </c>
      <c r="H2118" s="24">
        <f t="shared" si="165"/>
        <v>7.19</v>
      </c>
      <c r="I2118" s="23" t="str">
        <f t="shared" si="166"/>
        <v>Match</v>
      </c>
      <c r="J2118" s="23" t="str">
        <f t="shared" si="167"/>
        <v>Match</v>
      </c>
      <c r="K2118" s="24">
        <f t="shared" si="168"/>
        <v>1.29</v>
      </c>
      <c r="L2118" s="24">
        <f t="shared" si="169"/>
        <v>0</v>
      </c>
    </row>
    <row r="2119" spans="1:12" ht="15" customHeight="1" x14ac:dyDescent="0.3">
      <c r="A2119" s="23" t="s">
        <v>14939</v>
      </c>
      <c r="B2119" s="23" t="s">
        <v>77</v>
      </c>
      <c r="C2119" s="39">
        <v>1799</v>
      </c>
      <c r="D2119" s="24">
        <v>34.18</v>
      </c>
      <c r="E2119" s="24">
        <v>6.15</v>
      </c>
      <c r="F2119" s="23">
        <f>COUNTIFS(mdr_rate_cleaned!$A$2:$A$10,B2119,mdr_rate_cleaned!$B$2:$B$10,"&lt;"&amp;C2119,mdr_rate_cleaned!$F$2:$F$10,"&gt;="&amp;C2119)</f>
        <v>1</v>
      </c>
      <c r="G2119" s="40">
        <f>SUMIFS(mdr_rate_cleaned!$G$2:$G$10,mdr_rate_cleaned!$A$2:$A$10,B2119,mdr_rate_cleaned!$B$2:$B$10,"&lt;"&amp;C2119,mdr_rate_cleaned!$F$2:$F$10,"&gt;="&amp;C2119)</f>
        <v>1.9E-2</v>
      </c>
      <c r="H2119" s="24">
        <f t="shared" si="165"/>
        <v>34.18</v>
      </c>
      <c r="I2119" s="23" t="str">
        <f t="shared" si="166"/>
        <v>Match</v>
      </c>
      <c r="J2119" s="23" t="str">
        <f t="shared" si="167"/>
        <v>Match</v>
      </c>
      <c r="K2119" s="24">
        <f t="shared" si="168"/>
        <v>6.15</v>
      </c>
      <c r="L2119" s="24">
        <f t="shared" si="169"/>
        <v>0</v>
      </c>
    </row>
    <row r="2120" spans="1:12" ht="15" customHeight="1" x14ac:dyDescent="0.3">
      <c r="A2120" s="23" t="s">
        <v>14940</v>
      </c>
      <c r="B2120" s="23" t="s">
        <v>79</v>
      </c>
      <c r="C2120" s="39">
        <v>12998</v>
      </c>
      <c r="D2120" s="24">
        <v>207.97</v>
      </c>
      <c r="E2120" s="24">
        <v>37.43</v>
      </c>
      <c r="F2120" s="23">
        <f>COUNTIFS(mdr_rate_cleaned!$A$2:$A$10,B2120,mdr_rate_cleaned!$B$2:$B$10,"&lt;"&amp;C2120,mdr_rate_cleaned!$F$2:$F$10,"&gt;="&amp;C2120)</f>
        <v>1</v>
      </c>
      <c r="G2120" s="40">
        <f>SUMIFS(mdr_rate_cleaned!$G$2:$G$10,mdr_rate_cleaned!$A$2:$A$10,B2120,mdr_rate_cleaned!$B$2:$B$10,"&lt;"&amp;C2120,mdr_rate_cleaned!$F$2:$F$10,"&gt;="&amp;C2120)</f>
        <v>1.6E-2</v>
      </c>
      <c r="H2120" s="24">
        <f t="shared" si="165"/>
        <v>207.97</v>
      </c>
      <c r="I2120" s="23" t="str">
        <f t="shared" si="166"/>
        <v>Match</v>
      </c>
      <c r="J2120" s="23" t="str">
        <f t="shared" si="167"/>
        <v>Match</v>
      </c>
      <c r="K2120" s="24">
        <f t="shared" si="168"/>
        <v>37.43</v>
      </c>
      <c r="L2120" s="24">
        <f t="shared" si="169"/>
        <v>0</v>
      </c>
    </row>
    <row r="2121" spans="1:12" ht="15" customHeight="1" x14ac:dyDescent="0.3">
      <c r="A2121" s="23" t="s">
        <v>14941</v>
      </c>
      <c r="B2121" s="23" t="s">
        <v>75</v>
      </c>
      <c r="C2121" s="39">
        <v>2499</v>
      </c>
      <c r="D2121" s="24">
        <v>7.5</v>
      </c>
      <c r="E2121" s="24">
        <v>1.35</v>
      </c>
      <c r="F2121" s="23">
        <f>COUNTIFS(mdr_rate_cleaned!$A$2:$A$10,B2121,mdr_rate_cleaned!$B$2:$B$10,"&lt;"&amp;C2121,mdr_rate_cleaned!$F$2:$F$10,"&gt;="&amp;C2121)</f>
        <v>1</v>
      </c>
      <c r="G2121" s="40">
        <f>SUMIFS(mdr_rate_cleaned!$G$2:$G$10,mdr_rate_cleaned!$A$2:$A$10,B2121,mdr_rate_cleaned!$B$2:$B$10,"&lt;"&amp;C2121,mdr_rate_cleaned!$F$2:$F$10,"&gt;="&amp;C2121)</f>
        <v>3.0000000000000001E-3</v>
      </c>
      <c r="H2121" s="24">
        <f t="shared" si="165"/>
        <v>7.5</v>
      </c>
      <c r="I2121" s="23" t="str">
        <f t="shared" si="166"/>
        <v>Match</v>
      </c>
      <c r="J2121" s="23" t="str">
        <f t="shared" si="167"/>
        <v>Match</v>
      </c>
      <c r="K2121" s="24">
        <f t="shared" si="168"/>
        <v>1.35</v>
      </c>
      <c r="L2121" s="24">
        <f t="shared" si="169"/>
        <v>0</v>
      </c>
    </row>
    <row r="2122" spans="1:12" ht="15" customHeight="1" x14ac:dyDescent="0.3">
      <c r="A2122" s="23" t="s">
        <v>14943</v>
      </c>
      <c r="B2122" s="23" t="s">
        <v>77</v>
      </c>
      <c r="C2122" s="39">
        <v>1499</v>
      </c>
      <c r="D2122" s="24">
        <v>28.48</v>
      </c>
      <c r="E2122" s="24">
        <v>5.13</v>
      </c>
      <c r="F2122" s="23">
        <f>COUNTIFS(mdr_rate_cleaned!$A$2:$A$10,B2122,mdr_rate_cleaned!$B$2:$B$10,"&lt;"&amp;C2122,mdr_rate_cleaned!$F$2:$F$10,"&gt;="&amp;C2122)</f>
        <v>1</v>
      </c>
      <c r="G2122" s="40">
        <f>SUMIFS(mdr_rate_cleaned!$G$2:$G$10,mdr_rate_cleaned!$A$2:$A$10,B2122,mdr_rate_cleaned!$B$2:$B$10,"&lt;"&amp;C2122,mdr_rate_cleaned!$F$2:$F$10,"&gt;="&amp;C2122)</f>
        <v>1.9E-2</v>
      </c>
      <c r="H2122" s="24">
        <f t="shared" si="165"/>
        <v>28.48</v>
      </c>
      <c r="I2122" s="23" t="str">
        <f t="shared" si="166"/>
        <v>Match</v>
      </c>
      <c r="J2122" s="23" t="str">
        <f t="shared" si="167"/>
        <v>Match</v>
      </c>
      <c r="K2122" s="24">
        <f t="shared" si="168"/>
        <v>5.13</v>
      </c>
      <c r="L2122" s="24">
        <f t="shared" si="169"/>
        <v>0</v>
      </c>
    </row>
    <row r="2123" spans="1:12" ht="15" customHeight="1" x14ac:dyDescent="0.3">
      <c r="A2123" s="23" t="s">
        <v>14944</v>
      </c>
      <c r="B2123" s="23" t="s">
        <v>77</v>
      </c>
      <c r="C2123" s="39">
        <v>2999</v>
      </c>
      <c r="D2123" s="24">
        <v>50.98</v>
      </c>
      <c r="E2123" s="24">
        <v>9.18</v>
      </c>
      <c r="F2123" s="23">
        <f>COUNTIFS(mdr_rate_cleaned!$A$2:$A$10,B2123,mdr_rate_cleaned!$B$2:$B$10,"&lt;"&amp;C2123,mdr_rate_cleaned!$F$2:$F$10,"&gt;="&amp;C2123)</f>
        <v>1</v>
      </c>
      <c r="G2123" s="40">
        <f>SUMIFS(mdr_rate_cleaned!$G$2:$G$10,mdr_rate_cleaned!$A$2:$A$10,B2123,mdr_rate_cleaned!$B$2:$B$10,"&lt;"&amp;C2123,mdr_rate_cleaned!$F$2:$F$10,"&gt;="&amp;C2123)</f>
        <v>1.7000000000000001E-2</v>
      </c>
      <c r="H2123" s="24">
        <f t="shared" si="165"/>
        <v>50.98</v>
      </c>
      <c r="I2123" s="23" t="str">
        <f t="shared" si="166"/>
        <v>Match</v>
      </c>
      <c r="J2123" s="23" t="str">
        <f t="shared" si="167"/>
        <v>Match</v>
      </c>
      <c r="K2123" s="24">
        <f t="shared" si="168"/>
        <v>9.18</v>
      </c>
      <c r="L2123" s="24">
        <f t="shared" si="169"/>
        <v>0</v>
      </c>
    </row>
    <row r="2124" spans="1:12" ht="15" customHeight="1" x14ac:dyDescent="0.3">
      <c r="A2124" s="23" t="s">
        <v>14945</v>
      </c>
      <c r="B2124" s="23" t="s">
        <v>79</v>
      </c>
      <c r="C2124" s="39">
        <v>499</v>
      </c>
      <c r="D2124" s="24">
        <v>8.98</v>
      </c>
      <c r="E2124" s="24">
        <v>1.62</v>
      </c>
      <c r="F2124" s="23">
        <f>COUNTIFS(mdr_rate_cleaned!$A$2:$A$10,B2124,mdr_rate_cleaned!$B$2:$B$10,"&lt;"&amp;C2124,mdr_rate_cleaned!$F$2:$F$10,"&gt;="&amp;C2124)</f>
        <v>1</v>
      </c>
      <c r="G2124" s="40">
        <f>SUMIFS(mdr_rate_cleaned!$G$2:$G$10,mdr_rate_cleaned!$A$2:$A$10,B2124,mdr_rate_cleaned!$B$2:$B$10,"&lt;"&amp;C2124,mdr_rate_cleaned!$F$2:$F$10,"&gt;="&amp;C2124)</f>
        <v>1.8000000000000002E-2</v>
      </c>
      <c r="H2124" s="24">
        <f t="shared" si="165"/>
        <v>8.98</v>
      </c>
      <c r="I2124" s="23" t="str">
        <f t="shared" si="166"/>
        <v>Match</v>
      </c>
      <c r="J2124" s="23" t="str">
        <f t="shared" si="167"/>
        <v>Match</v>
      </c>
      <c r="K2124" s="24">
        <f t="shared" si="168"/>
        <v>1.62</v>
      </c>
      <c r="L2124" s="24">
        <f t="shared" si="169"/>
        <v>0</v>
      </c>
    </row>
    <row r="2125" spans="1:12" ht="15" customHeight="1" x14ac:dyDescent="0.3">
      <c r="A2125" s="23" t="s">
        <v>14946</v>
      </c>
      <c r="B2125" s="23" t="s">
        <v>75</v>
      </c>
      <c r="C2125" s="39">
        <v>848</v>
      </c>
      <c r="D2125" s="24">
        <v>0</v>
      </c>
      <c r="E2125" s="24">
        <v>0</v>
      </c>
      <c r="F2125" s="23">
        <f>COUNTIFS(mdr_rate_cleaned!$A$2:$A$10,B2125,mdr_rate_cleaned!$B$2:$B$10,"&lt;"&amp;C2125,mdr_rate_cleaned!$F$2:$F$10,"&gt;="&amp;C2125)</f>
        <v>1</v>
      </c>
      <c r="G2125" s="40">
        <f>SUMIFS(mdr_rate_cleaned!$G$2:$G$10,mdr_rate_cleaned!$A$2:$A$10,B2125,mdr_rate_cleaned!$B$2:$B$10,"&lt;"&amp;C2125,mdr_rate_cleaned!$F$2:$F$10,"&gt;="&amp;C2125)</f>
        <v>0</v>
      </c>
      <c r="H2125" s="24">
        <f t="shared" si="165"/>
        <v>0</v>
      </c>
      <c r="I2125" s="23" t="str">
        <f t="shared" si="166"/>
        <v>Match</v>
      </c>
      <c r="J2125" s="23" t="str">
        <f t="shared" si="167"/>
        <v>Match</v>
      </c>
      <c r="K2125" s="24">
        <f t="shared" si="168"/>
        <v>0</v>
      </c>
      <c r="L2125" s="24">
        <f t="shared" si="169"/>
        <v>0</v>
      </c>
    </row>
    <row r="2126" spans="1:12" ht="15" customHeight="1" x14ac:dyDescent="0.3">
      <c r="A2126" s="23" t="s">
        <v>14948</v>
      </c>
      <c r="B2126" s="23" t="s">
        <v>79</v>
      </c>
      <c r="C2126" s="39">
        <v>6998</v>
      </c>
      <c r="D2126" s="24">
        <v>111.97</v>
      </c>
      <c r="E2126" s="24">
        <v>20.149999999999999</v>
      </c>
      <c r="F2126" s="23">
        <f>COUNTIFS(mdr_rate_cleaned!$A$2:$A$10,B2126,mdr_rate_cleaned!$B$2:$B$10,"&lt;"&amp;C2126,mdr_rate_cleaned!$F$2:$F$10,"&gt;="&amp;C2126)</f>
        <v>1</v>
      </c>
      <c r="G2126" s="40">
        <f>SUMIFS(mdr_rate_cleaned!$G$2:$G$10,mdr_rate_cleaned!$A$2:$A$10,B2126,mdr_rate_cleaned!$B$2:$B$10,"&lt;"&amp;C2126,mdr_rate_cleaned!$F$2:$F$10,"&gt;="&amp;C2126)</f>
        <v>1.6E-2</v>
      </c>
      <c r="H2126" s="24">
        <f t="shared" si="165"/>
        <v>111.97</v>
      </c>
      <c r="I2126" s="23" t="str">
        <f t="shared" si="166"/>
        <v>Match</v>
      </c>
      <c r="J2126" s="23" t="str">
        <f t="shared" si="167"/>
        <v>Match</v>
      </c>
      <c r="K2126" s="24">
        <f t="shared" si="168"/>
        <v>20.149999999999999</v>
      </c>
      <c r="L2126" s="24">
        <f t="shared" si="169"/>
        <v>0</v>
      </c>
    </row>
    <row r="2127" spans="1:12" ht="15" customHeight="1" x14ac:dyDescent="0.3">
      <c r="A2127" s="23" t="s">
        <v>14950</v>
      </c>
      <c r="B2127" s="23" t="s">
        <v>75</v>
      </c>
      <c r="C2127" s="39">
        <v>2498</v>
      </c>
      <c r="D2127" s="24">
        <v>7.49</v>
      </c>
      <c r="E2127" s="24">
        <v>1.35</v>
      </c>
      <c r="F2127" s="23">
        <f>COUNTIFS(mdr_rate_cleaned!$A$2:$A$10,B2127,mdr_rate_cleaned!$B$2:$B$10,"&lt;"&amp;C2127,mdr_rate_cleaned!$F$2:$F$10,"&gt;="&amp;C2127)</f>
        <v>1</v>
      </c>
      <c r="G2127" s="40">
        <f>SUMIFS(mdr_rate_cleaned!$G$2:$G$10,mdr_rate_cleaned!$A$2:$A$10,B2127,mdr_rate_cleaned!$B$2:$B$10,"&lt;"&amp;C2127,mdr_rate_cleaned!$F$2:$F$10,"&gt;="&amp;C2127)</f>
        <v>3.0000000000000001E-3</v>
      </c>
      <c r="H2127" s="24">
        <f t="shared" si="165"/>
        <v>7.49</v>
      </c>
      <c r="I2127" s="23" t="str">
        <f t="shared" si="166"/>
        <v>Match</v>
      </c>
      <c r="J2127" s="23" t="str">
        <f t="shared" si="167"/>
        <v>Match</v>
      </c>
      <c r="K2127" s="24">
        <f t="shared" si="168"/>
        <v>1.35</v>
      </c>
      <c r="L2127" s="24">
        <f t="shared" si="169"/>
        <v>0</v>
      </c>
    </row>
    <row r="2128" spans="1:12" ht="15" customHeight="1" x14ac:dyDescent="0.3">
      <c r="A2128" s="23" t="s">
        <v>14951</v>
      </c>
      <c r="B2128" s="23" t="s">
        <v>75</v>
      </c>
      <c r="C2128" s="39">
        <v>1299</v>
      </c>
      <c r="D2128" s="24">
        <v>0</v>
      </c>
      <c r="E2128" s="24">
        <v>0</v>
      </c>
      <c r="F2128" s="23">
        <f>COUNTIFS(mdr_rate_cleaned!$A$2:$A$10,B2128,mdr_rate_cleaned!$B$2:$B$10,"&lt;"&amp;C2128,mdr_rate_cleaned!$F$2:$F$10,"&gt;="&amp;C2128)</f>
        <v>1</v>
      </c>
      <c r="G2128" s="40">
        <f>SUMIFS(mdr_rate_cleaned!$G$2:$G$10,mdr_rate_cleaned!$A$2:$A$10,B2128,mdr_rate_cleaned!$B$2:$B$10,"&lt;"&amp;C2128,mdr_rate_cleaned!$F$2:$F$10,"&gt;="&amp;C2128)</f>
        <v>0</v>
      </c>
      <c r="H2128" s="24">
        <f t="shared" si="165"/>
        <v>0</v>
      </c>
      <c r="I2128" s="23" t="str">
        <f t="shared" si="166"/>
        <v>Match</v>
      </c>
      <c r="J2128" s="23" t="str">
        <f t="shared" si="167"/>
        <v>Match</v>
      </c>
      <c r="K2128" s="24">
        <f t="shared" si="168"/>
        <v>0</v>
      </c>
      <c r="L2128" s="24">
        <f t="shared" si="169"/>
        <v>0</v>
      </c>
    </row>
    <row r="2129" spans="1:12" ht="15" customHeight="1" x14ac:dyDescent="0.3">
      <c r="A2129" s="23" t="s">
        <v>14952</v>
      </c>
      <c r="B2129" s="23" t="s">
        <v>79</v>
      </c>
      <c r="C2129" s="39">
        <v>12497</v>
      </c>
      <c r="D2129" s="24">
        <v>199.95</v>
      </c>
      <c r="E2129" s="24">
        <v>35.99</v>
      </c>
      <c r="F2129" s="23">
        <f>COUNTIFS(mdr_rate_cleaned!$A$2:$A$10,B2129,mdr_rate_cleaned!$B$2:$B$10,"&lt;"&amp;C2129,mdr_rate_cleaned!$F$2:$F$10,"&gt;="&amp;C2129)</f>
        <v>1</v>
      </c>
      <c r="G2129" s="40">
        <f>SUMIFS(mdr_rate_cleaned!$G$2:$G$10,mdr_rate_cleaned!$A$2:$A$10,B2129,mdr_rate_cleaned!$B$2:$B$10,"&lt;"&amp;C2129,mdr_rate_cleaned!$F$2:$F$10,"&gt;="&amp;C2129)</f>
        <v>1.6E-2</v>
      </c>
      <c r="H2129" s="24">
        <f t="shared" si="165"/>
        <v>199.95</v>
      </c>
      <c r="I2129" s="23" t="str">
        <f t="shared" si="166"/>
        <v>Match</v>
      </c>
      <c r="J2129" s="23" t="str">
        <f t="shared" si="167"/>
        <v>Match</v>
      </c>
      <c r="K2129" s="24">
        <f t="shared" si="168"/>
        <v>35.99</v>
      </c>
      <c r="L2129" s="24">
        <f t="shared" si="169"/>
        <v>0</v>
      </c>
    </row>
    <row r="2130" spans="1:12" ht="15" customHeight="1" x14ac:dyDescent="0.3">
      <c r="A2130" s="23" t="s">
        <v>14954</v>
      </c>
      <c r="B2130" s="23" t="s">
        <v>75</v>
      </c>
      <c r="C2130" s="39">
        <v>5998</v>
      </c>
      <c r="D2130" s="24">
        <v>17.989999999999998</v>
      </c>
      <c r="E2130" s="24">
        <v>3.24</v>
      </c>
      <c r="F2130" s="23">
        <f>COUNTIFS(mdr_rate_cleaned!$A$2:$A$10,B2130,mdr_rate_cleaned!$B$2:$B$10,"&lt;"&amp;C2130,mdr_rate_cleaned!$F$2:$F$10,"&gt;="&amp;C2130)</f>
        <v>1</v>
      </c>
      <c r="G2130" s="40">
        <f>SUMIFS(mdr_rate_cleaned!$G$2:$G$10,mdr_rate_cleaned!$A$2:$A$10,B2130,mdr_rate_cleaned!$B$2:$B$10,"&lt;"&amp;C2130,mdr_rate_cleaned!$F$2:$F$10,"&gt;="&amp;C2130)</f>
        <v>3.0000000000000001E-3</v>
      </c>
      <c r="H2130" s="24">
        <f t="shared" si="165"/>
        <v>17.989999999999998</v>
      </c>
      <c r="I2130" s="23" t="str">
        <f t="shared" si="166"/>
        <v>Match</v>
      </c>
      <c r="J2130" s="23" t="str">
        <f t="shared" si="167"/>
        <v>Match</v>
      </c>
      <c r="K2130" s="24">
        <f t="shared" si="168"/>
        <v>3.24</v>
      </c>
      <c r="L2130" s="24">
        <f t="shared" si="169"/>
        <v>0</v>
      </c>
    </row>
    <row r="2131" spans="1:12" ht="15" customHeight="1" x14ac:dyDescent="0.3">
      <c r="A2131" s="23" t="s">
        <v>14956</v>
      </c>
      <c r="B2131" s="23" t="s">
        <v>81</v>
      </c>
      <c r="C2131" s="39">
        <v>499</v>
      </c>
      <c r="D2131" s="24">
        <v>7.49</v>
      </c>
      <c r="E2131" s="24">
        <v>1.35</v>
      </c>
      <c r="F2131" s="23">
        <f>COUNTIFS(mdr_rate_cleaned!$A$2:$A$10,B2131,mdr_rate_cleaned!$B$2:$B$10,"&lt;"&amp;C2131,mdr_rate_cleaned!$F$2:$F$10,"&gt;="&amp;C2131)</f>
        <v>1</v>
      </c>
      <c r="G2131" s="40">
        <f>SUMIFS(mdr_rate_cleaned!$G$2:$G$10,mdr_rate_cleaned!$A$2:$A$10,B2131,mdr_rate_cleaned!$B$2:$B$10,"&lt;"&amp;C2131,mdr_rate_cleaned!$F$2:$F$10,"&gt;="&amp;C2131)</f>
        <v>1.4999999999999999E-2</v>
      </c>
      <c r="H2131" s="24">
        <f t="shared" si="165"/>
        <v>7.49</v>
      </c>
      <c r="I2131" s="23" t="str">
        <f t="shared" si="166"/>
        <v>Match</v>
      </c>
      <c r="J2131" s="23" t="str">
        <f t="shared" si="167"/>
        <v>Match</v>
      </c>
      <c r="K2131" s="24">
        <f t="shared" si="168"/>
        <v>1.35</v>
      </c>
      <c r="L2131" s="24">
        <f t="shared" si="169"/>
        <v>0</v>
      </c>
    </row>
    <row r="2132" spans="1:12" ht="15" customHeight="1" x14ac:dyDescent="0.3">
      <c r="A2132" s="23" t="s">
        <v>14957</v>
      </c>
      <c r="B2132" s="23" t="s">
        <v>79</v>
      </c>
      <c r="C2132" s="39">
        <v>2999</v>
      </c>
      <c r="D2132" s="24">
        <v>47.98</v>
      </c>
      <c r="E2132" s="24">
        <v>8.64</v>
      </c>
      <c r="F2132" s="23">
        <f>COUNTIFS(mdr_rate_cleaned!$A$2:$A$10,B2132,mdr_rate_cleaned!$B$2:$B$10,"&lt;"&amp;C2132,mdr_rate_cleaned!$F$2:$F$10,"&gt;="&amp;C2132)</f>
        <v>1</v>
      </c>
      <c r="G2132" s="40">
        <f>SUMIFS(mdr_rate_cleaned!$G$2:$G$10,mdr_rate_cleaned!$A$2:$A$10,B2132,mdr_rate_cleaned!$B$2:$B$10,"&lt;"&amp;C2132,mdr_rate_cleaned!$F$2:$F$10,"&gt;="&amp;C2132)</f>
        <v>1.6E-2</v>
      </c>
      <c r="H2132" s="24">
        <f t="shared" si="165"/>
        <v>47.98</v>
      </c>
      <c r="I2132" s="23" t="str">
        <f t="shared" si="166"/>
        <v>Match</v>
      </c>
      <c r="J2132" s="23" t="str">
        <f t="shared" si="167"/>
        <v>Match</v>
      </c>
      <c r="K2132" s="24">
        <f t="shared" si="168"/>
        <v>8.64</v>
      </c>
      <c r="L2132" s="24">
        <f t="shared" si="169"/>
        <v>0</v>
      </c>
    </row>
    <row r="2133" spans="1:12" ht="15" customHeight="1" x14ac:dyDescent="0.3">
      <c r="A2133" s="23" t="s">
        <v>14958</v>
      </c>
      <c r="B2133" s="23" t="s">
        <v>75</v>
      </c>
      <c r="C2133" s="39">
        <v>299</v>
      </c>
      <c r="D2133" s="24">
        <v>0.9</v>
      </c>
      <c r="E2133" s="24">
        <v>0.16</v>
      </c>
      <c r="F2133" s="23">
        <f>COUNTIFS(mdr_rate_cleaned!$A$2:$A$10,B2133,mdr_rate_cleaned!$B$2:$B$10,"&lt;"&amp;C2133,mdr_rate_cleaned!$F$2:$F$10,"&gt;="&amp;C2133)</f>
        <v>1</v>
      </c>
      <c r="G2133" s="40">
        <f>SUMIFS(mdr_rate_cleaned!$G$2:$G$10,mdr_rate_cleaned!$A$2:$A$10,B2133,mdr_rate_cleaned!$B$2:$B$10,"&lt;"&amp;C2133,mdr_rate_cleaned!$F$2:$F$10,"&gt;="&amp;C2133)</f>
        <v>0</v>
      </c>
      <c r="H2133" s="24">
        <f t="shared" si="165"/>
        <v>0</v>
      </c>
      <c r="I2133" s="23" t="str">
        <f t="shared" si="166"/>
        <v>Differs</v>
      </c>
      <c r="J2133" s="23" t="str">
        <f t="shared" si="167"/>
        <v>Match</v>
      </c>
      <c r="K2133" s="24">
        <f t="shared" si="168"/>
        <v>0</v>
      </c>
      <c r="L2133" s="24">
        <f t="shared" si="169"/>
        <v>1.06</v>
      </c>
    </row>
    <row r="2134" spans="1:12" ht="15" customHeight="1" x14ac:dyDescent="0.3">
      <c r="A2134" s="23" t="s">
        <v>14959</v>
      </c>
      <c r="B2134" s="23" t="s">
        <v>75</v>
      </c>
      <c r="C2134" s="39">
        <v>4999</v>
      </c>
      <c r="D2134" s="24">
        <v>15</v>
      </c>
      <c r="E2134" s="24">
        <v>2.7</v>
      </c>
      <c r="F2134" s="23">
        <f>COUNTIFS(mdr_rate_cleaned!$A$2:$A$10,B2134,mdr_rate_cleaned!$B$2:$B$10,"&lt;"&amp;C2134,mdr_rate_cleaned!$F$2:$F$10,"&gt;="&amp;C2134)</f>
        <v>1</v>
      </c>
      <c r="G2134" s="40">
        <f>SUMIFS(mdr_rate_cleaned!$G$2:$G$10,mdr_rate_cleaned!$A$2:$A$10,B2134,mdr_rate_cleaned!$B$2:$B$10,"&lt;"&amp;C2134,mdr_rate_cleaned!$F$2:$F$10,"&gt;="&amp;C2134)</f>
        <v>3.0000000000000001E-3</v>
      </c>
      <c r="H2134" s="24">
        <f t="shared" si="165"/>
        <v>15</v>
      </c>
      <c r="I2134" s="23" t="str">
        <f t="shared" si="166"/>
        <v>Match</v>
      </c>
      <c r="J2134" s="23" t="str">
        <f t="shared" si="167"/>
        <v>Match</v>
      </c>
      <c r="K2134" s="24">
        <f t="shared" si="168"/>
        <v>2.7</v>
      </c>
      <c r="L2134" s="24">
        <f t="shared" si="169"/>
        <v>0</v>
      </c>
    </row>
    <row r="2135" spans="1:12" ht="15" customHeight="1" x14ac:dyDescent="0.3">
      <c r="A2135" s="23" t="s">
        <v>14960</v>
      </c>
      <c r="B2135" s="23" t="s">
        <v>75</v>
      </c>
      <c r="C2135" s="39">
        <v>349</v>
      </c>
      <c r="D2135" s="24">
        <v>0</v>
      </c>
      <c r="E2135" s="24">
        <v>0</v>
      </c>
      <c r="F2135" s="23">
        <f>COUNTIFS(mdr_rate_cleaned!$A$2:$A$10,B2135,mdr_rate_cleaned!$B$2:$B$10,"&lt;"&amp;C2135,mdr_rate_cleaned!$F$2:$F$10,"&gt;="&amp;C2135)</f>
        <v>1</v>
      </c>
      <c r="G2135" s="40">
        <f>SUMIFS(mdr_rate_cleaned!$G$2:$G$10,mdr_rate_cleaned!$A$2:$A$10,B2135,mdr_rate_cleaned!$B$2:$B$10,"&lt;"&amp;C2135,mdr_rate_cleaned!$F$2:$F$10,"&gt;="&amp;C2135)</f>
        <v>0</v>
      </c>
      <c r="H2135" s="24">
        <f t="shared" si="165"/>
        <v>0</v>
      </c>
      <c r="I2135" s="23" t="str">
        <f t="shared" si="166"/>
        <v>Match</v>
      </c>
      <c r="J2135" s="23" t="str">
        <f t="shared" si="167"/>
        <v>Match</v>
      </c>
      <c r="K2135" s="24">
        <f t="shared" si="168"/>
        <v>0</v>
      </c>
      <c r="L2135" s="24">
        <f t="shared" si="169"/>
        <v>0</v>
      </c>
    </row>
    <row r="2136" spans="1:12" ht="15" customHeight="1" x14ac:dyDescent="0.3">
      <c r="A2136" s="23" t="s">
        <v>14961</v>
      </c>
      <c r="B2136" s="23" t="s">
        <v>75</v>
      </c>
      <c r="C2136" s="39">
        <v>3499</v>
      </c>
      <c r="D2136" s="24">
        <v>10.5</v>
      </c>
      <c r="E2136" s="24">
        <v>1.89</v>
      </c>
      <c r="F2136" s="23">
        <f>COUNTIFS(mdr_rate_cleaned!$A$2:$A$10,B2136,mdr_rate_cleaned!$B$2:$B$10,"&lt;"&amp;C2136,mdr_rate_cleaned!$F$2:$F$10,"&gt;="&amp;C2136)</f>
        <v>1</v>
      </c>
      <c r="G2136" s="40">
        <f>SUMIFS(mdr_rate_cleaned!$G$2:$G$10,mdr_rate_cleaned!$A$2:$A$10,B2136,mdr_rate_cleaned!$B$2:$B$10,"&lt;"&amp;C2136,mdr_rate_cleaned!$F$2:$F$10,"&gt;="&amp;C2136)</f>
        <v>3.0000000000000001E-3</v>
      </c>
      <c r="H2136" s="24">
        <f t="shared" si="165"/>
        <v>10.5</v>
      </c>
      <c r="I2136" s="23" t="str">
        <f t="shared" si="166"/>
        <v>Match</v>
      </c>
      <c r="J2136" s="23" t="str">
        <f t="shared" si="167"/>
        <v>Match</v>
      </c>
      <c r="K2136" s="24">
        <f t="shared" si="168"/>
        <v>1.89</v>
      </c>
      <c r="L2136" s="24">
        <f t="shared" si="169"/>
        <v>0</v>
      </c>
    </row>
    <row r="2137" spans="1:12" ht="15" customHeight="1" x14ac:dyDescent="0.3">
      <c r="A2137" s="23" t="s">
        <v>14962</v>
      </c>
      <c r="B2137" s="23" t="s">
        <v>81</v>
      </c>
      <c r="C2137" s="39">
        <v>999</v>
      </c>
      <c r="D2137" s="24">
        <v>14.99</v>
      </c>
      <c r="E2137" s="24">
        <v>2.7</v>
      </c>
      <c r="F2137" s="23">
        <f>COUNTIFS(mdr_rate_cleaned!$A$2:$A$10,B2137,mdr_rate_cleaned!$B$2:$B$10,"&lt;"&amp;C2137,mdr_rate_cleaned!$F$2:$F$10,"&gt;="&amp;C2137)</f>
        <v>1</v>
      </c>
      <c r="G2137" s="40">
        <f>SUMIFS(mdr_rate_cleaned!$G$2:$G$10,mdr_rate_cleaned!$A$2:$A$10,B2137,mdr_rate_cleaned!$B$2:$B$10,"&lt;"&amp;C2137,mdr_rate_cleaned!$F$2:$F$10,"&gt;="&amp;C2137)</f>
        <v>1.4999999999999999E-2</v>
      </c>
      <c r="H2137" s="24">
        <f t="shared" si="165"/>
        <v>14.99</v>
      </c>
      <c r="I2137" s="23" t="str">
        <f t="shared" si="166"/>
        <v>Match</v>
      </c>
      <c r="J2137" s="23" t="str">
        <f t="shared" si="167"/>
        <v>Match</v>
      </c>
      <c r="K2137" s="24">
        <f t="shared" si="168"/>
        <v>2.7</v>
      </c>
      <c r="L2137" s="24">
        <f t="shared" si="169"/>
        <v>0</v>
      </c>
    </row>
    <row r="2138" spans="1:12" ht="15" customHeight="1" x14ac:dyDescent="0.3">
      <c r="A2138" s="23" t="s">
        <v>14963</v>
      </c>
      <c r="B2138" s="23" t="s">
        <v>75</v>
      </c>
      <c r="C2138" s="39">
        <v>7999</v>
      </c>
      <c r="D2138" s="24">
        <v>24</v>
      </c>
      <c r="E2138" s="24">
        <v>4.32</v>
      </c>
      <c r="F2138" s="23">
        <f>COUNTIFS(mdr_rate_cleaned!$A$2:$A$10,B2138,mdr_rate_cleaned!$B$2:$B$10,"&lt;"&amp;C2138,mdr_rate_cleaned!$F$2:$F$10,"&gt;="&amp;C2138)</f>
        <v>1</v>
      </c>
      <c r="G2138" s="40">
        <f>SUMIFS(mdr_rate_cleaned!$G$2:$G$10,mdr_rate_cleaned!$A$2:$A$10,B2138,mdr_rate_cleaned!$B$2:$B$10,"&lt;"&amp;C2138,mdr_rate_cleaned!$F$2:$F$10,"&gt;="&amp;C2138)</f>
        <v>3.0000000000000001E-3</v>
      </c>
      <c r="H2138" s="24">
        <f t="shared" si="165"/>
        <v>24</v>
      </c>
      <c r="I2138" s="23" t="str">
        <f t="shared" si="166"/>
        <v>Match</v>
      </c>
      <c r="J2138" s="23" t="str">
        <f t="shared" si="167"/>
        <v>Match</v>
      </c>
      <c r="K2138" s="24">
        <f t="shared" si="168"/>
        <v>4.32</v>
      </c>
      <c r="L2138" s="24">
        <f t="shared" si="169"/>
        <v>0</v>
      </c>
    </row>
    <row r="2139" spans="1:12" ht="15" customHeight="1" x14ac:dyDescent="0.3">
      <c r="A2139" s="23" t="s">
        <v>14964</v>
      </c>
      <c r="B2139" s="23" t="s">
        <v>75</v>
      </c>
      <c r="C2139" s="39">
        <v>5998</v>
      </c>
      <c r="D2139" s="24">
        <v>17.989999999999998</v>
      </c>
      <c r="E2139" s="24">
        <v>3.24</v>
      </c>
      <c r="F2139" s="23">
        <f>COUNTIFS(mdr_rate_cleaned!$A$2:$A$10,B2139,mdr_rate_cleaned!$B$2:$B$10,"&lt;"&amp;C2139,mdr_rate_cleaned!$F$2:$F$10,"&gt;="&amp;C2139)</f>
        <v>1</v>
      </c>
      <c r="G2139" s="40">
        <f>SUMIFS(mdr_rate_cleaned!$G$2:$G$10,mdr_rate_cleaned!$A$2:$A$10,B2139,mdr_rate_cleaned!$B$2:$B$10,"&lt;"&amp;C2139,mdr_rate_cleaned!$F$2:$F$10,"&gt;="&amp;C2139)</f>
        <v>3.0000000000000001E-3</v>
      </c>
      <c r="H2139" s="24">
        <f t="shared" si="165"/>
        <v>17.989999999999998</v>
      </c>
      <c r="I2139" s="23" t="str">
        <f t="shared" si="166"/>
        <v>Match</v>
      </c>
      <c r="J2139" s="23" t="str">
        <f t="shared" si="167"/>
        <v>Match</v>
      </c>
      <c r="K2139" s="24">
        <f t="shared" si="168"/>
        <v>3.24</v>
      </c>
      <c r="L2139" s="24">
        <f t="shared" si="169"/>
        <v>0</v>
      </c>
    </row>
    <row r="2140" spans="1:12" ht="15" customHeight="1" x14ac:dyDescent="0.3">
      <c r="A2140" s="23" t="s">
        <v>14965</v>
      </c>
      <c r="B2140" s="23" t="s">
        <v>79</v>
      </c>
      <c r="C2140" s="39">
        <v>2098</v>
      </c>
      <c r="D2140" s="24">
        <v>33.57</v>
      </c>
      <c r="E2140" s="24">
        <v>6.04</v>
      </c>
      <c r="F2140" s="23">
        <f>COUNTIFS(mdr_rate_cleaned!$A$2:$A$10,B2140,mdr_rate_cleaned!$B$2:$B$10,"&lt;"&amp;C2140,mdr_rate_cleaned!$F$2:$F$10,"&gt;="&amp;C2140)</f>
        <v>1</v>
      </c>
      <c r="G2140" s="40">
        <f>SUMIFS(mdr_rate_cleaned!$G$2:$G$10,mdr_rate_cleaned!$A$2:$A$10,B2140,mdr_rate_cleaned!$B$2:$B$10,"&lt;"&amp;C2140,mdr_rate_cleaned!$F$2:$F$10,"&gt;="&amp;C2140)</f>
        <v>1.6E-2</v>
      </c>
      <c r="H2140" s="24">
        <f t="shared" si="165"/>
        <v>33.57</v>
      </c>
      <c r="I2140" s="23" t="str">
        <f t="shared" si="166"/>
        <v>Match</v>
      </c>
      <c r="J2140" s="23" t="str">
        <f t="shared" si="167"/>
        <v>Match</v>
      </c>
      <c r="K2140" s="24">
        <f t="shared" si="168"/>
        <v>6.04</v>
      </c>
      <c r="L2140" s="24">
        <f t="shared" si="169"/>
        <v>0</v>
      </c>
    </row>
    <row r="2141" spans="1:12" ht="15" customHeight="1" x14ac:dyDescent="0.3">
      <c r="A2141" s="23" t="s">
        <v>14966</v>
      </c>
      <c r="B2141" s="23" t="s">
        <v>79</v>
      </c>
      <c r="C2141" s="39">
        <v>3797</v>
      </c>
      <c r="D2141" s="24">
        <v>60.75</v>
      </c>
      <c r="E2141" s="24">
        <v>10.94</v>
      </c>
      <c r="F2141" s="23">
        <f>COUNTIFS(mdr_rate_cleaned!$A$2:$A$10,B2141,mdr_rate_cleaned!$B$2:$B$10,"&lt;"&amp;C2141,mdr_rate_cleaned!$F$2:$F$10,"&gt;="&amp;C2141)</f>
        <v>1</v>
      </c>
      <c r="G2141" s="40">
        <f>SUMIFS(mdr_rate_cleaned!$G$2:$G$10,mdr_rate_cleaned!$A$2:$A$10,B2141,mdr_rate_cleaned!$B$2:$B$10,"&lt;"&amp;C2141,mdr_rate_cleaned!$F$2:$F$10,"&gt;="&amp;C2141)</f>
        <v>1.6E-2</v>
      </c>
      <c r="H2141" s="24">
        <f t="shared" si="165"/>
        <v>60.75</v>
      </c>
      <c r="I2141" s="23" t="str">
        <f t="shared" si="166"/>
        <v>Match</v>
      </c>
      <c r="J2141" s="23" t="str">
        <f t="shared" si="167"/>
        <v>Match</v>
      </c>
      <c r="K2141" s="24">
        <f t="shared" si="168"/>
        <v>10.94</v>
      </c>
      <c r="L2141" s="24">
        <f t="shared" si="169"/>
        <v>0</v>
      </c>
    </row>
    <row r="2142" spans="1:12" ht="15" customHeight="1" x14ac:dyDescent="0.3">
      <c r="A2142" s="23" t="s">
        <v>14967</v>
      </c>
      <c r="B2142" s="23" t="s">
        <v>75</v>
      </c>
      <c r="C2142" s="39">
        <v>1499</v>
      </c>
      <c r="D2142" s="24">
        <v>0</v>
      </c>
      <c r="E2142" s="24">
        <v>0</v>
      </c>
      <c r="F2142" s="23">
        <f>COUNTIFS(mdr_rate_cleaned!$A$2:$A$10,B2142,mdr_rate_cleaned!$B$2:$B$10,"&lt;"&amp;C2142,mdr_rate_cleaned!$F$2:$F$10,"&gt;="&amp;C2142)</f>
        <v>1</v>
      </c>
      <c r="G2142" s="40">
        <f>SUMIFS(mdr_rate_cleaned!$G$2:$G$10,mdr_rate_cleaned!$A$2:$A$10,B2142,mdr_rate_cleaned!$B$2:$B$10,"&lt;"&amp;C2142,mdr_rate_cleaned!$F$2:$F$10,"&gt;="&amp;C2142)</f>
        <v>0</v>
      </c>
      <c r="H2142" s="24">
        <f t="shared" si="165"/>
        <v>0</v>
      </c>
      <c r="I2142" s="23" t="str">
        <f t="shared" si="166"/>
        <v>Match</v>
      </c>
      <c r="J2142" s="23" t="str">
        <f t="shared" si="167"/>
        <v>Match</v>
      </c>
      <c r="K2142" s="24">
        <f t="shared" si="168"/>
        <v>0</v>
      </c>
      <c r="L2142" s="24">
        <f t="shared" si="169"/>
        <v>0</v>
      </c>
    </row>
    <row r="2143" spans="1:12" ht="15" customHeight="1" x14ac:dyDescent="0.3">
      <c r="A2143" s="23" t="s">
        <v>14968</v>
      </c>
      <c r="B2143" s="23" t="s">
        <v>79</v>
      </c>
      <c r="C2143" s="39">
        <v>8298</v>
      </c>
      <c r="D2143" s="24">
        <v>132.77000000000001</v>
      </c>
      <c r="E2143" s="24">
        <v>23.9</v>
      </c>
      <c r="F2143" s="23">
        <f>COUNTIFS(mdr_rate_cleaned!$A$2:$A$10,B2143,mdr_rate_cleaned!$B$2:$B$10,"&lt;"&amp;C2143,mdr_rate_cleaned!$F$2:$F$10,"&gt;="&amp;C2143)</f>
        <v>1</v>
      </c>
      <c r="G2143" s="40">
        <f>SUMIFS(mdr_rate_cleaned!$G$2:$G$10,mdr_rate_cleaned!$A$2:$A$10,B2143,mdr_rate_cleaned!$B$2:$B$10,"&lt;"&amp;C2143,mdr_rate_cleaned!$F$2:$F$10,"&gt;="&amp;C2143)</f>
        <v>1.6E-2</v>
      </c>
      <c r="H2143" s="24">
        <f t="shared" si="165"/>
        <v>132.77000000000001</v>
      </c>
      <c r="I2143" s="23" t="str">
        <f t="shared" si="166"/>
        <v>Match</v>
      </c>
      <c r="J2143" s="23" t="str">
        <f t="shared" si="167"/>
        <v>Match</v>
      </c>
      <c r="K2143" s="24">
        <f t="shared" si="168"/>
        <v>23.9</v>
      </c>
      <c r="L2143" s="24">
        <f t="shared" si="169"/>
        <v>0</v>
      </c>
    </row>
    <row r="2144" spans="1:12" ht="15" customHeight="1" x14ac:dyDescent="0.3">
      <c r="A2144" s="23" t="s">
        <v>14969</v>
      </c>
      <c r="B2144" s="23" t="s">
        <v>81</v>
      </c>
      <c r="C2144" s="39">
        <v>2097</v>
      </c>
      <c r="D2144" s="24">
        <v>25.16</v>
      </c>
      <c r="E2144" s="24">
        <v>4.53</v>
      </c>
      <c r="F2144" s="23">
        <f>COUNTIFS(mdr_rate_cleaned!$A$2:$A$10,B2144,mdr_rate_cleaned!$B$2:$B$10,"&lt;"&amp;C2144,mdr_rate_cleaned!$F$2:$F$10,"&gt;="&amp;C2144)</f>
        <v>1</v>
      </c>
      <c r="G2144" s="40">
        <f>SUMIFS(mdr_rate_cleaned!$G$2:$G$10,mdr_rate_cleaned!$A$2:$A$10,B2144,mdr_rate_cleaned!$B$2:$B$10,"&lt;"&amp;C2144,mdr_rate_cleaned!$F$2:$F$10,"&gt;="&amp;C2144)</f>
        <v>1.2E-2</v>
      </c>
      <c r="H2144" s="24">
        <f t="shared" si="165"/>
        <v>25.16</v>
      </c>
      <c r="I2144" s="23" t="str">
        <f t="shared" si="166"/>
        <v>Match</v>
      </c>
      <c r="J2144" s="23" t="str">
        <f t="shared" si="167"/>
        <v>Match</v>
      </c>
      <c r="K2144" s="24">
        <f t="shared" si="168"/>
        <v>4.53</v>
      </c>
      <c r="L2144" s="24">
        <f t="shared" si="169"/>
        <v>0</v>
      </c>
    </row>
    <row r="2145" spans="1:12" ht="15" customHeight="1" x14ac:dyDescent="0.3">
      <c r="A2145" s="23" t="s">
        <v>14970</v>
      </c>
      <c r="B2145" s="23" t="s">
        <v>79</v>
      </c>
      <c r="C2145" s="39">
        <v>4999</v>
      </c>
      <c r="D2145" s="24">
        <v>79.98</v>
      </c>
      <c r="E2145" s="24">
        <v>14.4</v>
      </c>
      <c r="F2145" s="23">
        <f>COUNTIFS(mdr_rate_cleaned!$A$2:$A$10,B2145,mdr_rate_cleaned!$B$2:$B$10,"&lt;"&amp;C2145,mdr_rate_cleaned!$F$2:$F$10,"&gt;="&amp;C2145)</f>
        <v>1</v>
      </c>
      <c r="G2145" s="40">
        <f>SUMIFS(mdr_rate_cleaned!$G$2:$G$10,mdr_rate_cleaned!$A$2:$A$10,B2145,mdr_rate_cleaned!$B$2:$B$10,"&lt;"&amp;C2145,mdr_rate_cleaned!$F$2:$F$10,"&gt;="&amp;C2145)</f>
        <v>1.6E-2</v>
      </c>
      <c r="H2145" s="24">
        <f t="shared" si="165"/>
        <v>79.98</v>
      </c>
      <c r="I2145" s="23" t="str">
        <f t="shared" si="166"/>
        <v>Match</v>
      </c>
      <c r="J2145" s="23" t="str">
        <f t="shared" si="167"/>
        <v>Match</v>
      </c>
      <c r="K2145" s="24">
        <f t="shared" si="168"/>
        <v>14.4</v>
      </c>
      <c r="L2145" s="24">
        <f t="shared" si="169"/>
        <v>0</v>
      </c>
    </row>
    <row r="2146" spans="1:12" ht="15" customHeight="1" x14ac:dyDescent="0.3">
      <c r="A2146" s="23" t="s">
        <v>14971</v>
      </c>
      <c r="B2146" s="23" t="s">
        <v>79</v>
      </c>
      <c r="C2146" s="39">
        <v>1299</v>
      </c>
      <c r="D2146" s="24">
        <v>23.38</v>
      </c>
      <c r="E2146" s="24">
        <v>4.21</v>
      </c>
      <c r="F2146" s="23">
        <f>COUNTIFS(mdr_rate_cleaned!$A$2:$A$10,B2146,mdr_rate_cleaned!$B$2:$B$10,"&lt;"&amp;C2146,mdr_rate_cleaned!$F$2:$F$10,"&gt;="&amp;C2146)</f>
        <v>1</v>
      </c>
      <c r="G2146" s="40">
        <f>SUMIFS(mdr_rate_cleaned!$G$2:$G$10,mdr_rate_cleaned!$A$2:$A$10,B2146,mdr_rate_cleaned!$B$2:$B$10,"&lt;"&amp;C2146,mdr_rate_cleaned!$F$2:$F$10,"&gt;="&amp;C2146)</f>
        <v>1.8000000000000002E-2</v>
      </c>
      <c r="H2146" s="24">
        <f t="shared" si="165"/>
        <v>23.38</v>
      </c>
      <c r="I2146" s="23" t="str">
        <f t="shared" si="166"/>
        <v>Match</v>
      </c>
      <c r="J2146" s="23" t="str">
        <f t="shared" si="167"/>
        <v>Match</v>
      </c>
      <c r="K2146" s="24">
        <f t="shared" si="168"/>
        <v>4.21</v>
      </c>
      <c r="L2146" s="24">
        <f t="shared" si="169"/>
        <v>0</v>
      </c>
    </row>
    <row r="2147" spans="1:12" ht="15" customHeight="1" x14ac:dyDescent="0.3">
      <c r="A2147" s="23" t="s">
        <v>14972</v>
      </c>
      <c r="B2147" s="23" t="s">
        <v>75</v>
      </c>
      <c r="C2147" s="39">
        <v>2499</v>
      </c>
      <c r="D2147" s="24">
        <v>7.5</v>
      </c>
      <c r="E2147" s="24">
        <v>1.35</v>
      </c>
      <c r="F2147" s="23">
        <f>COUNTIFS(mdr_rate_cleaned!$A$2:$A$10,B2147,mdr_rate_cleaned!$B$2:$B$10,"&lt;"&amp;C2147,mdr_rate_cleaned!$F$2:$F$10,"&gt;="&amp;C2147)</f>
        <v>1</v>
      </c>
      <c r="G2147" s="40">
        <f>SUMIFS(mdr_rate_cleaned!$G$2:$G$10,mdr_rate_cleaned!$A$2:$A$10,B2147,mdr_rate_cleaned!$B$2:$B$10,"&lt;"&amp;C2147,mdr_rate_cleaned!$F$2:$F$10,"&gt;="&amp;C2147)</f>
        <v>3.0000000000000001E-3</v>
      </c>
      <c r="H2147" s="24">
        <f t="shared" si="165"/>
        <v>7.5</v>
      </c>
      <c r="I2147" s="23" t="str">
        <f t="shared" si="166"/>
        <v>Match</v>
      </c>
      <c r="J2147" s="23" t="str">
        <f t="shared" si="167"/>
        <v>Match</v>
      </c>
      <c r="K2147" s="24">
        <f t="shared" si="168"/>
        <v>1.35</v>
      </c>
      <c r="L2147" s="24">
        <f t="shared" si="169"/>
        <v>0</v>
      </c>
    </row>
    <row r="2148" spans="1:12" ht="15" customHeight="1" x14ac:dyDescent="0.3">
      <c r="A2148" s="23" t="s">
        <v>14973</v>
      </c>
      <c r="B2148" s="23" t="s">
        <v>79</v>
      </c>
      <c r="C2148" s="39">
        <v>3499</v>
      </c>
      <c r="D2148" s="24">
        <v>55.98</v>
      </c>
      <c r="E2148" s="24">
        <v>10.08</v>
      </c>
      <c r="F2148" s="23">
        <f>COUNTIFS(mdr_rate_cleaned!$A$2:$A$10,B2148,mdr_rate_cleaned!$B$2:$B$10,"&lt;"&amp;C2148,mdr_rate_cleaned!$F$2:$F$10,"&gt;="&amp;C2148)</f>
        <v>1</v>
      </c>
      <c r="G2148" s="40">
        <f>SUMIFS(mdr_rate_cleaned!$G$2:$G$10,mdr_rate_cleaned!$A$2:$A$10,B2148,mdr_rate_cleaned!$B$2:$B$10,"&lt;"&amp;C2148,mdr_rate_cleaned!$F$2:$F$10,"&gt;="&amp;C2148)</f>
        <v>1.6E-2</v>
      </c>
      <c r="H2148" s="24">
        <f t="shared" si="165"/>
        <v>55.98</v>
      </c>
      <c r="I2148" s="23" t="str">
        <f t="shared" si="166"/>
        <v>Match</v>
      </c>
      <c r="J2148" s="23" t="str">
        <f t="shared" si="167"/>
        <v>Match</v>
      </c>
      <c r="K2148" s="24">
        <f t="shared" si="168"/>
        <v>10.08</v>
      </c>
      <c r="L2148" s="24">
        <f t="shared" si="169"/>
        <v>0</v>
      </c>
    </row>
    <row r="2149" spans="1:12" ht="15" customHeight="1" x14ac:dyDescent="0.3">
      <c r="A2149" s="23" t="s">
        <v>14974</v>
      </c>
      <c r="B2149" s="23" t="s">
        <v>79</v>
      </c>
      <c r="C2149" s="39">
        <v>7597</v>
      </c>
      <c r="D2149" s="24">
        <v>121.55</v>
      </c>
      <c r="E2149" s="24">
        <v>21.88</v>
      </c>
      <c r="F2149" s="23">
        <f>COUNTIFS(mdr_rate_cleaned!$A$2:$A$10,B2149,mdr_rate_cleaned!$B$2:$B$10,"&lt;"&amp;C2149,mdr_rate_cleaned!$F$2:$F$10,"&gt;="&amp;C2149)</f>
        <v>1</v>
      </c>
      <c r="G2149" s="40">
        <f>SUMIFS(mdr_rate_cleaned!$G$2:$G$10,mdr_rate_cleaned!$A$2:$A$10,B2149,mdr_rate_cleaned!$B$2:$B$10,"&lt;"&amp;C2149,mdr_rate_cleaned!$F$2:$F$10,"&gt;="&amp;C2149)</f>
        <v>1.6E-2</v>
      </c>
      <c r="H2149" s="24">
        <f t="shared" si="165"/>
        <v>121.55</v>
      </c>
      <c r="I2149" s="23" t="str">
        <f t="shared" si="166"/>
        <v>Match</v>
      </c>
      <c r="J2149" s="23" t="str">
        <f t="shared" si="167"/>
        <v>Match</v>
      </c>
      <c r="K2149" s="24">
        <f t="shared" si="168"/>
        <v>21.88</v>
      </c>
      <c r="L2149" s="24">
        <f t="shared" si="169"/>
        <v>0</v>
      </c>
    </row>
    <row r="2150" spans="1:12" ht="15" customHeight="1" x14ac:dyDescent="0.3">
      <c r="A2150" s="23" t="s">
        <v>14975</v>
      </c>
      <c r="B2150" s="23" t="s">
        <v>75</v>
      </c>
      <c r="C2150" s="39">
        <v>1098</v>
      </c>
      <c r="D2150" s="24">
        <v>0</v>
      </c>
      <c r="E2150" s="24">
        <v>0</v>
      </c>
      <c r="F2150" s="23">
        <f>COUNTIFS(mdr_rate_cleaned!$A$2:$A$10,B2150,mdr_rate_cleaned!$B$2:$B$10,"&lt;"&amp;C2150,mdr_rate_cleaned!$F$2:$F$10,"&gt;="&amp;C2150)</f>
        <v>1</v>
      </c>
      <c r="G2150" s="40">
        <f>SUMIFS(mdr_rate_cleaned!$G$2:$G$10,mdr_rate_cleaned!$A$2:$A$10,B2150,mdr_rate_cleaned!$B$2:$B$10,"&lt;"&amp;C2150,mdr_rate_cleaned!$F$2:$F$10,"&gt;="&amp;C2150)</f>
        <v>0</v>
      </c>
      <c r="H2150" s="24">
        <f t="shared" si="165"/>
        <v>0</v>
      </c>
      <c r="I2150" s="23" t="str">
        <f t="shared" si="166"/>
        <v>Match</v>
      </c>
      <c r="J2150" s="23" t="str">
        <f t="shared" si="167"/>
        <v>Match</v>
      </c>
      <c r="K2150" s="24">
        <f t="shared" si="168"/>
        <v>0</v>
      </c>
      <c r="L2150" s="24">
        <f t="shared" si="169"/>
        <v>0</v>
      </c>
    </row>
    <row r="2151" spans="1:12" ht="15" customHeight="1" x14ac:dyDescent="0.3">
      <c r="A2151" s="23" t="s">
        <v>14977</v>
      </c>
      <c r="B2151" s="23" t="s">
        <v>79</v>
      </c>
      <c r="C2151" s="39">
        <v>8998</v>
      </c>
      <c r="D2151" s="24">
        <v>143.97</v>
      </c>
      <c r="E2151" s="24">
        <v>25.91</v>
      </c>
      <c r="F2151" s="23">
        <f>COUNTIFS(mdr_rate_cleaned!$A$2:$A$10,B2151,mdr_rate_cleaned!$B$2:$B$10,"&lt;"&amp;C2151,mdr_rate_cleaned!$F$2:$F$10,"&gt;="&amp;C2151)</f>
        <v>1</v>
      </c>
      <c r="G2151" s="40">
        <f>SUMIFS(mdr_rate_cleaned!$G$2:$G$10,mdr_rate_cleaned!$A$2:$A$10,B2151,mdr_rate_cleaned!$B$2:$B$10,"&lt;"&amp;C2151,mdr_rate_cleaned!$F$2:$F$10,"&gt;="&amp;C2151)</f>
        <v>1.6E-2</v>
      </c>
      <c r="H2151" s="24">
        <f t="shared" si="165"/>
        <v>143.97</v>
      </c>
      <c r="I2151" s="23" t="str">
        <f t="shared" si="166"/>
        <v>Match</v>
      </c>
      <c r="J2151" s="23" t="str">
        <f t="shared" si="167"/>
        <v>Match</v>
      </c>
      <c r="K2151" s="24">
        <f t="shared" si="168"/>
        <v>25.91</v>
      </c>
      <c r="L2151" s="24">
        <f t="shared" si="169"/>
        <v>0</v>
      </c>
    </row>
    <row r="2152" spans="1:12" ht="15" customHeight="1" x14ac:dyDescent="0.3">
      <c r="A2152" s="23" t="s">
        <v>14978</v>
      </c>
      <c r="B2152" s="23" t="s">
        <v>81</v>
      </c>
      <c r="C2152" s="39">
        <v>4998</v>
      </c>
      <c r="D2152" s="24">
        <v>59.98</v>
      </c>
      <c r="E2152" s="24">
        <v>10.8</v>
      </c>
      <c r="F2152" s="23">
        <f>COUNTIFS(mdr_rate_cleaned!$A$2:$A$10,B2152,mdr_rate_cleaned!$B$2:$B$10,"&lt;"&amp;C2152,mdr_rate_cleaned!$F$2:$F$10,"&gt;="&amp;C2152)</f>
        <v>1</v>
      </c>
      <c r="G2152" s="40">
        <f>SUMIFS(mdr_rate_cleaned!$G$2:$G$10,mdr_rate_cleaned!$A$2:$A$10,B2152,mdr_rate_cleaned!$B$2:$B$10,"&lt;"&amp;C2152,mdr_rate_cleaned!$F$2:$F$10,"&gt;="&amp;C2152)</f>
        <v>1.2E-2</v>
      </c>
      <c r="H2152" s="24">
        <f t="shared" si="165"/>
        <v>59.98</v>
      </c>
      <c r="I2152" s="23" t="str">
        <f t="shared" si="166"/>
        <v>Match</v>
      </c>
      <c r="J2152" s="23" t="str">
        <f t="shared" si="167"/>
        <v>Match</v>
      </c>
      <c r="K2152" s="24">
        <f t="shared" si="168"/>
        <v>10.8</v>
      </c>
      <c r="L2152" s="24">
        <f t="shared" si="169"/>
        <v>0</v>
      </c>
    </row>
    <row r="2153" spans="1:12" ht="15" customHeight="1" x14ac:dyDescent="0.3">
      <c r="A2153" s="23" t="s">
        <v>14979</v>
      </c>
      <c r="B2153" s="23" t="s">
        <v>79</v>
      </c>
      <c r="C2153" s="39">
        <v>299</v>
      </c>
      <c r="D2153" s="24">
        <v>5.38</v>
      </c>
      <c r="E2153" s="24">
        <v>0.97</v>
      </c>
      <c r="F2153" s="23">
        <f>COUNTIFS(mdr_rate_cleaned!$A$2:$A$10,B2153,mdr_rate_cleaned!$B$2:$B$10,"&lt;"&amp;C2153,mdr_rate_cleaned!$F$2:$F$10,"&gt;="&amp;C2153)</f>
        <v>1</v>
      </c>
      <c r="G2153" s="40">
        <f>SUMIFS(mdr_rate_cleaned!$G$2:$G$10,mdr_rate_cleaned!$A$2:$A$10,B2153,mdr_rate_cleaned!$B$2:$B$10,"&lt;"&amp;C2153,mdr_rate_cleaned!$F$2:$F$10,"&gt;="&amp;C2153)</f>
        <v>1.8000000000000002E-2</v>
      </c>
      <c r="H2153" s="24">
        <f t="shared" si="165"/>
        <v>5.38</v>
      </c>
      <c r="I2153" s="23" t="str">
        <f t="shared" si="166"/>
        <v>Match</v>
      </c>
      <c r="J2153" s="23" t="str">
        <f t="shared" si="167"/>
        <v>Match</v>
      </c>
      <c r="K2153" s="24">
        <f t="shared" si="168"/>
        <v>0.97</v>
      </c>
      <c r="L2153" s="24">
        <f t="shared" si="169"/>
        <v>0</v>
      </c>
    </row>
    <row r="2154" spans="1:12" ht="15" customHeight="1" x14ac:dyDescent="0.3">
      <c r="A2154" s="23" t="s">
        <v>14980</v>
      </c>
      <c r="B2154" s="23" t="s">
        <v>79</v>
      </c>
      <c r="C2154" s="39">
        <v>8298</v>
      </c>
      <c r="D2154" s="24">
        <v>132.77000000000001</v>
      </c>
      <c r="E2154" s="24">
        <v>23.9</v>
      </c>
      <c r="F2154" s="23">
        <f>COUNTIFS(mdr_rate_cleaned!$A$2:$A$10,B2154,mdr_rate_cleaned!$B$2:$B$10,"&lt;"&amp;C2154,mdr_rate_cleaned!$F$2:$F$10,"&gt;="&amp;C2154)</f>
        <v>1</v>
      </c>
      <c r="G2154" s="40">
        <f>SUMIFS(mdr_rate_cleaned!$G$2:$G$10,mdr_rate_cleaned!$A$2:$A$10,B2154,mdr_rate_cleaned!$B$2:$B$10,"&lt;"&amp;C2154,mdr_rate_cleaned!$F$2:$F$10,"&gt;="&amp;C2154)</f>
        <v>1.6E-2</v>
      </c>
      <c r="H2154" s="24">
        <f t="shared" si="165"/>
        <v>132.77000000000001</v>
      </c>
      <c r="I2154" s="23" t="str">
        <f t="shared" si="166"/>
        <v>Match</v>
      </c>
      <c r="J2154" s="23" t="str">
        <f t="shared" si="167"/>
        <v>Match</v>
      </c>
      <c r="K2154" s="24">
        <f t="shared" si="168"/>
        <v>23.9</v>
      </c>
      <c r="L2154" s="24">
        <f t="shared" si="169"/>
        <v>0</v>
      </c>
    </row>
    <row r="2155" spans="1:12" ht="15" customHeight="1" x14ac:dyDescent="0.3">
      <c r="A2155" s="23" t="s">
        <v>14981</v>
      </c>
      <c r="B2155" s="23" t="s">
        <v>75</v>
      </c>
      <c r="C2155" s="39">
        <v>2499</v>
      </c>
      <c r="D2155" s="24">
        <v>7.5</v>
      </c>
      <c r="E2155" s="24">
        <v>1.35</v>
      </c>
      <c r="F2155" s="23">
        <f>COUNTIFS(mdr_rate_cleaned!$A$2:$A$10,B2155,mdr_rate_cleaned!$B$2:$B$10,"&lt;"&amp;C2155,mdr_rate_cleaned!$F$2:$F$10,"&gt;="&amp;C2155)</f>
        <v>1</v>
      </c>
      <c r="G2155" s="40">
        <f>SUMIFS(mdr_rate_cleaned!$G$2:$G$10,mdr_rate_cleaned!$A$2:$A$10,B2155,mdr_rate_cleaned!$B$2:$B$10,"&lt;"&amp;C2155,mdr_rate_cleaned!$F$2:$F$10,"&gt;="&amp;C2155)</f>
        <v>3.0000000000000001E-3</v>
      </c>
      <c r="H2155" s="24">
        <f t="shared" si="165"/>
        <v>7.5</v>
      </c>
      <c r="I2155" s="23" t="str">
        <f t="shared" si="166"/>
        <v>Match</v>
      </c>
      <c r="J2155" s="23" t="str">
        <f t="shared" si="167"/>
        <v>Match</v>
      </c>
      <c r="K2155" s="24">
        <f t="shared" si="168"/>
        <v>1.35</v>
      </c>
      <c r="L2155" s="24">
        <f t="shared" si="169"/>
        <v>0</v>
      </c>
    </row>
    <row r="2156" spans="1:12" ht="15" customHeight="1" x14ac:dyDescent="0.3">
      <c r="A2156" s="23" t="s">
        <v>14983</v>
      </c>
      <c r="B2156" s="23" t="s">
        <v>75</v>
      </c>
      <c r="C2156" s="39">
        <v>898</v>
      </c>
      <c r="D2156" s="24">
        <v>0</v>
      </c>
      <c r="E2156" s="24">
        <v>0</v>
      </c>
      <c r="F2156" s="23">
        <f>COUNTIFS(mdr_rate_cleaned!$A$2:$A$10,B2156,mdr_rate_cleaned!$B$2:$B$10,"&lt;"&amp;C2156,mdr_rate_cleaned!$F$2:$F$10,"&gt;="&amp;C2156)</f>
        <v>1</v>
      </c>
      <c r="G2156" s="40">
        <f>SUMIFS(mdr_rate_cleaned!$G$2:$G$10,mdr_rate_cleaned!$A$2:$A$10,B2156,mdr_rate_cleaned!$B$2:$B$10,"&lt;"&amp;C2156,mdr_rate_cleaned!$F$2:$F$10,"&gt;="&amp;C2156)</f>
        <v>0</v>
      </c>
      <c r="H2156" s="24">
        <f t="shared" si="165"/>
        <v>0</v>
      </c>
      <c r="I2156" s="23" t="str">
        <f t="shared" si="166"/>
        <v>Match</v>
      </c>
      <c r="J2156" s="23" t="str">
        <f t="shared" si="167"/>
        <v>Match</v>
      </c>
      <c r="K2156" s="24">
        <f t="shared" si="168"/>
        <v>0</v>
      </c>
      <c r="L2156" s="24">
        <f t="shared" si="169"/>
        <v>0</v>
      </c>
    </row>
    <row r="2157" spans="1:12" ht="15" customHeight="1" x14ac:dyDescent="0.3">
      <c r="A2157" s="23" t="s">
        <v>14985</v>
      </c>
      <c r="B2157" s="23" t="s">
        <v>75</v>
      </c>
      <c r="C2157" s="39">
        <v>2297</v>
      </c>
      <c r="D2157" s="24">
        <v>6.89</v>
      </c>
      <c r="E2157" s="24">
        <v>1.24</v>
      </c>
      <c r="F2157" s="23">
        <f>COUNTIFS(mdr_rate_cleaned!$A$2:$A$10,B2157,mdr_rate_cleaned!$B$2:$B$10,"&lt;"&amp;C2157,mdr_rate_cleaned!$F$2:$F$10,"&gt;="&amp;C2157)</f>
        <v>1</v>
      </c>
      <c r="G2157" s="40">
        <f>SUMIFS(mdr_rate_cleaned!$G$2:$G$10,mdr_rate_cleaned!$A$2:$A$10,B2157,mdr_rate_cleaned!$B$2:$B$10,"&lt;"&amp;C2157,mdr_rate_cleaned!$F$2:$F$10,"&gt;="&amp;C2157)</f>
        <v>3.0000000000000001E-3</v>
      </c>
      <c r="H2157" s="24">
        <f t="shared" si="165"/>
        <v>6.89</v>
      </c>
      <c r="I2157" s="23" t="str">
        <f t="shared" si="166"/>
        <v>Match</v>
      </c>
      <c r="J2157" s="23" t="str">
        <f t="shared" si="167"/>
        <v>Match</v>
      </c>
      <c r="K2157" s="24">
        <f t="shared" si="168"/>
        <v>1.24</v>
      </c>
      <c r="L2157" s="24">
        <f t="shared" si="169"/>
        <v>0</v>
      </c>
    </row>
    <row r="2158" spans="1:12" ht="15" customHeight="1" x14ac:dyDescent="0.3">
      <c r="A2158" s="23" t="s">
        <v>14986</v>
      </c>
      <c r="B2158" s="23" t="s">
        <v>79</v>
      </c>
      <c r="C2158" s="39">
        <v>1598</v>
      </c>
      <c r="D2158" s="24">
        <v>28.76</v>
      </c>
      <c r="E2158" s="24">
        <v>5.18</v>
      </c>
      <c r="F2158" s="23">
        <f>COUNTIFS(mdr_rate_cleaned!$A$2:$A$10,B2158,mdr_rate_cleaned!$B$2:$B$10,"&lt;"&amp;C2158,mdr_rate_cleaned!$F$2:$F$10,"&gt;="&amp;C2158)</f>
        <v>1</v>
      </c>
      <c r="G2158" s="40">
        <f>SUMIFS(mdr_rate_cleaned!$G$2:$G$10,mdr_rate_cleaned!$A$2:$A$10,B2158,mdr_rate_cleaned!$B$2:$B$10,"&lt;"&amp;C2158,mdr_rate_cleaned!$F$2:$F$10,"&gt;="&amp;C2158)</f>
        <v>1.8000000000000002E-2</v>
      </c>
      <c r="H2158" s="24">
        <f t="shared" si="165"/>
        <v>28.76</v>
      </c>
      <c r="I2158" s="23" t="str">
        <f t="shared" si="166"/>
        <v>Match</v>
      </c>
      <c r="J2158" s="23" t="str">
        <f t="shared" si="167"/>
        <v>Match</v>
      </c>
      <c r="K2158" s="24">
        <f t="shared" si="168"/>
        <v>5.18</v>
      </c>
      <c r="L2158" s="24">
        <f t="shared" si="169"/>
        <v>0</v>
      </c>
    </row>
    <row r="2159" spans="1:12" ht="15" customHeight="1" x14ac:dyDescent="0.3">
      <c r="A2159" s="23" t="s">
        <v>14988</v>
      </c>
      <c r="B2159" s="23" t="s">
        <v>79</v>
      </c>
      <c r="C2159" s="39">
        <v>2098</v>
      </c>
      <c r="D2159" s="24">
        <v>33.57</v>
      </c>
      <c r="E2159" s="24">
        <v>6.04</v>
      </c>
      <c r="F2159" s="23">
        <f>COUNTIFS(mdr_rate_cleaned!$A$2:$A$10,B2159,mdr_rate_cleaned!$B$2:$B$10,"&lt;"&amp;C2159,mdr_rate_cleaned!$F$2:$F$10,"&gt;="&amp;C2159)</f>
        <v>1</v>
      </c>
      <c r="G2159" s="40">
        <f>SUMIFS(mdr_rate_cleaned!$G$2:$G$10,mdr_rate_cleaned!$A$2:$A$10,B2159,mdr_rate_cleaned!$B$2:$B$10,"&lt;"&amp;C2159,mdr_rate_cleaned!$F$2:$F$10,"&gt;="&amp;C2159)</f>
        <v>1.6E-2</v>
      </c>
      <c r="H2159" s="24">
        <f t="shared" si="165"/>
        <v>33.57</v>
      </c>
      <c r="I2159" s="23" t="str">
        <f t="shared" si="166"/>
        <v>Match</v>
      </c>
      <c r="J2159" s="23" t="str">
        <f t="shared" si="167"/>
        <v>Match</v>
      </c>
      <c r="K2159" s="24">
        <f t="shared" si="168"/>
        <v>6.04</v>
      </c>
      <c r="L2159" s="24">
        <f t="shared" si="169"/>
        <v>0</v>
      </c>
    </row>
    <row r="2160" spans="1:12" ht="15" customHeight="1" x14ac:dyDescent="0.3">
      <c r="A2160" s="23" t="s">
        <v>14989</v>
      </c>
      <c r="B2160" s="23" t="s">
        <v>75</v>
      </c>
      <c r="C2160" s="39">
        <v>5297</v>
      </c>
      <c r="D2160" s="24">
        <v>15.89</v>
      </c>
      <c r="E2160" s="24">
        <v>2.86</v>
      </c>
      <c r="F2160" s="23">
        <f>COUNTIFS(mdr_rate_cleaned!$A$2:$A$10,B2160,mdr_rate_cleaned!$B$2:$B$10,"&lt;"&amp;C2160,mdr_rate_cleaned!$F$2:$F$10,"&gt;="&amp;C2160)</f>
        <v>1</v>
      </c>
      <c r="G2160" s="40">
        <f>SUMIFS(mdr_rate_cleaned!$G$2:$G$10,mdr_rate_cleaned!$A$2:$A$10,B2160,mdr_rate_cleaned!$B$2:$B$10,"&lt;"&amp;C2160,mdr_rate_cleaned!$F$2:$F$10,"&gt;="&amp;C2160)</f>
        <v>3.0000000000000001E-3</v>
      </c>
      <c r="H2160" s="24">
        <f t="shared" si="165"/>
        <v>15.89</v>
      </c>
      <c r="I2160" s="23" t="str">
        <f t="shared" si="166"/>
        <v>Match</v>
      </c>
      <c r="J2160" s="23" t="str">
        <f t="shared" si="167"/>
        <v>Match</v>
      </c>
      <c r="K2160" s="24">
        <f t="shared" si="168"/>
        <v>2.86</v>
      </c>
      <c r="L2160" s="24">
        <f t="shared" si="169"/>
        <v>0</v>
      </c>
    </row>
    <row r="2161" spans="1:12" ht="15" customHeight="1" x14ac:dyDescent="0.3">
      <c r="A2161" s="23" t="s">
        <v>14990</v>
      </c>
      <c r="B2161" s="23" t="s">
        <v>81</v>
      </c>
      <c r="C2161" s="39">
        <v>1499</v>
      </c>
      <c r="D2161" s="24">
        <v>22.49</v>
      </c>
      <c r="E2161" s="24">
        <v>4.05</v>
      </c>
      <c r="F2161" s="23">
        <f>COUNTIFS(mdr_rate_cleaned!$A$2:$A$10,B2161,mdr_rate_cleaned!$B$2:$B$10,"&lt;"&amp;C2161,mdr_rate_cleaned!$F$2:$F$10,"&gt;="&amp;C2161)</f>
        <v>1</v>
      </c>
      <c r="G2161" s="40">
        <f>SUMIFS(mdr_rate_cleaned!$G$2:$G$10,mdr_rate_cleaned!$A$2:$A$10,B2161,mdr_rate_cleaned!$B$2:$B$10,"&lt;"&amp;C2161,mdr_rate_cleaned!$F$2:$F$10,"&gt;="&amp;C2161)</f>
        <v>1.4999999999999999E-2</v>
      </c>
      <c r="H2161" s="24">
        <f t="shared" si="165"/>
        <v>22.49</v>
      </c>
      <c r="I2161" s="23" t="str">
        <f t="shared" si="166"/>
        <v>Match</v>
      </c>
      <c r="J2161" s="23" t="str">
        <f t="shared" si="167"/>
        <v>Match</v>
      </c>
      <c r="K2161" s="24">
        <f t="shared" si="168"/>
        <v>4.05</v>
      </c>
      <c r="L2161" s="24">
        <f t="shared" si="169"/>
        <v>0</v>
      </c>
    </row>
    <row r="2162" spans="1:12" ht="15" customHeight="1" x14ac:dyDescent="0.3">
      <c r="A2162" s="23" t="s">
        <v>14991</v>
      </c>
      <c r="B2162" s="23" t="s">
        <v>79</v>
      </c>
      <c r="C2162" s="39">
        <v>10147</v>
      </c>
      <c r="D2162" s="24">
        <v>162.35</v>
      </c>
      <c r="E2162" s="24">
        <v>29.22</v>
      </c>
      <c r="F2162" s="23">
        <f>COUNTIFS(mdr_rate_cleaned!$A$2:$A$10,B2162,mdr_rate_cleaned!$B$2:$B$10,"&lt;"&amp;C2162,mdr_rate_cleaned!$F$2:$F$10,"&gt;="&amp;C2162)</f>
        <v>1</v>
      </c>
      <c r="G2162" s="40">
        <f>SUMIFS(mdr_rate_cleaned!$G$2:$G$10,mdr_rate_cleaned!$A$2:$A$10,B2162,mdr_rate_cleaned!$B$2:$B$10,"&lt;"&amp;C2162,mdr_rate_cleaned!$F$2:$F$10,"&gt;="&amp;C2162)</f>
        <v>1.6E-2</v>
      </c>
      <c r="H2162" s="24">
        <f t="shared" si="165"/>
        <v>162.35</v>
      </c>
      <c r="I2162" s="23" t="str">
        <f t="shared" si="166"/>
        <v>Match</v>
      </c>
      <c r="J2162" s="23" t="str">
        <f t="shared" si="167"/>
        <v>Match</v>
      </c>
      <c r="K2162" s="24">
        <f t="shared" si="168"/>
        <v>29.22</v>
      </c>
      <c r="L2162" s="24">
        <f t="shared" si="169"/>
        <v>0</v>
      </c>
    </row>
    <row r="2163" spans="1:12" ht="15" customHeight="1" x14ac:dyDescent="0.3">
      <c r="A2163" s="23" t="s">
        <v>14992</v>
      </c>
      <c r="B2163" s="23" t="s">
        <v>75</v>
      </c>
      <c r="C2163" s="39">
        <v>2499</v>
      </c>
      <c r="D2163" s="24">
        <v>7.5</v>
      </c>
      <c r="E2163" s="24">
        <v>1.35</v>
      </c>
      <c r="F2163" s="23">
        <f>COUNTIFS(mdr_rate_cleaned!$A$2:$A$10,B2163,mdr_rate_cleaned!$B$2:$B$10,"&lt;"&amp;C2163,mdr_rate_cleaned!$F$2:$F$10,"&gt;="&amp;C2163)</f>
        <v>1</v>
      </c>
      <c r="G2163" s="40">
        <f>SUMIFS(mdr_rate_cleaned!$G$2:$G$10,mdr_rate_cleaned!$A$2:$A$10,B2163,mdr_rate_cleaned!$B$2:$B$10,"&lt;"&amp;C2163,mdr_rate_cleaned!$F$2:$F$10,"&gt;="&amp;C2163)</f>
        <v>3.0000000000000001E-3</v>
      </c>
      <c r="H2163" s="24">
        <f t="shared" si="165"/>
        <v>7.5</v>
      </c>
      <c r="I2163" s="23" t="str">
        <f t="shared" si="166"/>
        <v>Match</v>
      </c>
      <c r="J2163" s="23" t="str">
        <f t="shared" si="167"/>
        <v>Match</v>
      </c>
      <c r="K2163" s="24">
        <f t="shared" si="168"/>
        <v>1.35</v>
      </c>
      <c r="L2163" s="24">
        <f t="shared" si="169"/>
        <v>0</v>
      </c>
    </row>
    <row r="2164" spans="1:12" ht="15" customHeight="1" x14ac:dyDescent="0.3">
      <c r="A2164" s="23" t="s">
        <v>14993</v>
      </c>
      <c r="B2164" s="23" t="s">
        <v>79</v>
      </c>
      <c r="C2164" s="39">
        <v>1098</v>
      </c>
      <c r="D2164" s="24">
        <v>19.760000000000002</v>
      </c>
      <c r="E2164" s="24">
        <v>3.56</v>
      </c>
      <c r="F2164" s="23">
        <f>COUNTIFS(mdr_rate_cleaned!$A$2:$A$10,B2164,mdr_rate_cleaned!$B$2:$B$10,"&lt;"&amp;C2164,mdr_rate_cleaned!$F$2:$F$10,"&gt;="&amp;C2164)</f>
        <v>1</v>
      </c>
      <c r="G2164" s="40">
        <f>SUMIFS(mdr_rate_cleaned!$G$2:$G$10,mdr_rate_cleaned!$A$2:$A$10,B2164,mdr_rate_cleaned!$B$2:$B$10,"&lt;"&amp;C2164,mdr_rate_cleaned!$F$2:$F$10,"&gt;="&amp;C2164)</f>
        <v>1.8000000000000002E-2</v>
      </c>
      <c r="H2164" s="24">
        <f t="shared" si="165"/>
        <v>19.760000000000002</v>
      </c>
      <c r="I2164" s="23" t="str">
        <f t="shared" si="166"/>
        <v>Match</v>
      </c>
      <c r="J2164" s="23" t="str">
        <f t="shared" si="167"/>
        <v>Match</v>
      </c>
      <c r="K2164" s="24">
        <f t="shared" si="168"/>
        <v>3.56</v>
      </c>
      <c r="L2164" s="24">
        <f t="shared" si="169"/>
        <v>0</v>
      </c>
    </row>
    <row r="2165" spans="1:12" ht="15" customHeight="1" x14ac:dyDescent="0.3">
      <c r="A2165" s="23" t="s">
        <v>14994</v>
      </c>
      <c r="B2165" s="23" t="s">
        <v>77</v>
      </c>
      <c r="C2165" s="39">
        <v>4298</v>
      </c>
      <c r="D2165" s="24">
        <v>73.069999999999993</v>
      </c>
      <c r="E2165" s="24">
        <v>13.15</v>
      </c>
      <c r="F2165" s="23">
        <f>COUNTIFS(mdr_rate_cleaned!$A$2:$A$10,B2165,mdr_rate_cleaned!$B$2:$B$10,"&lt;"&amp;C2165,mdr_rate_cleaned!$F$2:$F$10,"&gt;="&amp;C2165)</f>
        <v>1</v>
      </c>
      <c r="G2165" s="40">
        <f>SUMIFS(mdr_rate_cleaned!$G$2:$G$10,mdr_rate_cleaned!$A$2:$A$10,B2165,mdr_rate_cleaned!$B$2:$B$10,"&lt;"&amp;C2165,mdr_rate_cleaned!$F$2:$F$10,"&gt;="&amp;C2165)</f>
        <v>1.7000000000000001E-2</v>
      </c>
      <c r="H2165" s="24">
        <f t="shared" si="165"/>
        <v>73.069999999999993</v>
      </c>
      <c r="I2165" s="23" t="str">
        <f t="shared" si="166"/>
        <v>Match</v>
      </c>
      <c r="J2165" s="23" t="str">
        <f t="shared" si="167"/>
        <v>Match</v>
      </c>
      <c r="K2165" s="24">
        <f t="shared" si="168"/>
        <v>13.15</v>
      </c>
      <c r="L2165" s="24">
        <f t="shared" si="169"/>
        <v>0</v>
      </c>
    </row>
    <row r="2166" spans="1:12" ht="15" customHeight="1" x14ac:dyDescent="0.3">
      <c r="A2166" s="23" t="s">
        <v>14995</v>
      </c>
      <c r="B2166" s="23" t="s">
        <v>79</v>
      </c>
      <c r="C2166" s="39">
        <v>3499</v>
      </c>
      <c r="D2166" s="24">
        <v>55.98</v>
      </c>
      <c r="E2166" s="24">
        <v>10.08</v>
      </c>
      <c r="F2166" s="23">
        <f>COUNTIFS(mdr_rate_cleaned!$A$2:$A$10,B2166,mdr_rate_cleaned!$B$2:$B$10,"&lt;"&amp;C2166,mdr_rate_cleaned!$F$2:$F$10,"&gt;="&amp;C2166)</f>
        <v>1</v>
      </c>
      <c r="G2166" s="40">
        <f>SUMIFS(mdr_rate_cleaned!$G$2:$G$10,mdr_rate_cleaned!$A$2:$A$10,B2166,mdr_rate_cleaned!$B$2:$B$10,"&lt;"&amp;C2166,mdr_rate_cleaned!$F$2:$F$10,"&gt;="&amp;C2166)</f>
        <v>1.6E-2</v>
      </c>
      <c r="H2166" s="24">
        <f t="shared" si="165"/>
        <v>55.98</v>
      </c>
      <c r="I2166" s="23" t="str">
        <f t="shared" si="166"/>
        <v>Match</v>
      </c>
      <c r="J2166" s="23" t="str">
        <f t="shared" si="167"/>
        <v>Match</v>
      </c>
      <c r="K2166" s="24">
        <f t="shared" si="168"/>
        <v>10.08</v>
      </c>
      <c r="L2166" s="24">
        <f t="shared" si="169"/>
        <v>0</v>
      </c>
    </row>
    <row r="2167" spans="1:12" ht="15" customHeight="1" x14ac:dyDescent="0.3">
      <c r="A2167" s="23" t="s">
        <v>14996</v>
      </c>
      <c r="B2167" s="23" t="s">
        <v>79</v>
      </c>
      <c r="C2167" s="39">
        <v>11497</v>
      </c>
      <c r="D2167" s="24">
        <v>183.95</v>
      </c>
      <c r="E2167" s="24">
        <v>33.11</v>
      </c>
      <c r="F2167" s="23">
        <f>COUNTIFS(mdr_rate_cleaned!$A$2:$A$10,B2167,mdr_rate_cleaned!$B$2:$B$10,"&lt;"&amp;C2167,mdr_rate_cleaned!$F$2:$F$10,"&gt;="&amp;C2167)</f>
        <v>1</v>
      </c>
      <c r="G2167" s="40">
        <f>SUMIFS(mdr_rate_cleaned!$G$2:$G$10,mdr_rate_cleaned!$A$2:$A$10,B2167,mdr_rate_cleaned!$B$2:$B$10,"&lt;"&amp;C2167,mdr_rate_cleaned!$F$2:$F$10,"&gt;="&amp;C2167)</f>
        <v>1.6E-2</v>
      </c>
      <c r="H2167" s="24">
        <f t="shared" si="165"/>
        <v>183.95</v>
      </c>
      <c r="I2167" s="23" t="str">
        <f t="shared" si="166"/>
        <v>Match</v>
      </c>
      <c r="J2167" s="23" t="str">
        <f t="shared" si="167"/>
        <v>Match</v>
      </c>
      <c r="K2167" s="24">
        <f t="shared" si="168"/>
        <v>33.11</v>
      </c>
      <c r="L2167" s="24">
        <f t="shared" si="169"/>
        <v>0</v>
      </c>
    </row>
    <row r="2168" spans="1:12" ht="15" customHeight="1" x14ac:dyDescent="0.3">
      <c r="A2168" s="23" t="s">
        <v>14998</v>
      </c>
      <c r="B2168" s="23" t="s">
        <v>79</v>
      </c>
      <c r="C2168" s="39">
        <v>3298</v>
      </c>
      <c r="D2168" s="24">
        <v>52.77</v>
      </c>
      <c r="E2168" s="24">
        <v>9.5</v>
      </c>
      <c r="F2168" s="23">
        <f>COUNTIFS(mdr_rate_cleaned!$A$2:$A$10,B2168,mdr_rate_cleaned!$B$2:$B$10,"&lt;"&amp;C2168,mdr_rate_cleaned!$F$2:$F$10,"&gt;="&amp;C2168)</f>
        <v>1</v>
      </c>
      <c r="G2168" s="40">
        <f>SUMIFS(mdr_rate_cleaned!$G$2:$G$10,mdr_rate_cleaned!$A$2:$A$10,B2168,mdr_rate_cleaned!$B$2:$B$10,"&lt;"&amp;C2168,mdr_rate_cleaned!$F$2:$F$10,"&gt;="&amp;C2168)</f>
        <v>1.6E-2</v>
      </c>
      <c r="H2168" s="24">
        <f t="shared" si="165"/>
        <v>52.77</v>
      </c>
      <c r="I2168" s="23" t="str">
        <f t="shared" si="166"/>
        <v>Match</v>
      </c>
      <c r="J2168" s="23" t="str">
        <f t="shared" si="167"/>
        <v>Match</v>
      </c>
      <c r="K2168" s="24">
        <f t="shared" si="168"/>
        <v>9.5</v>
      </c>
      <c r="L2168" s="24">
        <f t="shared" si="169"/>
        <v>0</v>
      </c>
    </row>
    <row r="2169" spans="1:12" ht="15" customHeight="1" x14ac:dyDescent="0.3">
      <c r="A2169" s="23" t="s">
        <v>14999</v>
      </c>
      <c r="B2169" s="23" t="s">
        <v>75</v>
      </c>
      <c r="C2169" s="39">
        <v>499</v>
      </c>
      <c r="D2169" s="24">
        <v>0</v>
      </c>
      <c r="E2169" s="24">
        <v>0</v>
      </c>
      <c r="F2169" s="23">
        <f>COUNTIFS(mdr_rate_cleaned!$A$2:$A$10,B2169,mdr_rate_cleaned!$B$2:$B$10,"&lt;"&amp;C2169,mdr_rate_cleaned!$F$2:$F$10,"&gt;="&amp;C2169)</f>
        <v>1</v>
      </c>
      <c r="G2169" s="40">
        <f>SUMIFS(mdr_rate_cleaned!$G$2:$G$10,mdr_rate_cleaned!$A$2:$A$10,B2169,mdr_rate_cleaned!$B$2:$B$10,"&lt;"&amp;C2169,mdr_rate_cleaned!$F$2:$F$10,"&gt;="&amp;C2169)</f>
        <v>0</v>
      </c>
      <c r="H2169" s="24">
        <f t="shared" si="165"/>
        <v>0</v>
      </c>
      <c r="I2169" s="23" t="str">
        <f t="shared" si="166"/>
        <v>Match</v>
      </c>
      <c r="J2169" s="23" t="str">
        <f t="shared" si="167"/>
        <v>Match</v>
      </c>
      <c r="K2169" s="24">
        <f t="shared" si="168"/>
        <v>0</v>
      </c>
      <c r="L2169" s="24">
        <f t="shared" si="169"/>
        <v>0</v>
      </c>
    </row>
    <row r="2170" spans="1:12" ht="15" customHeight="1" x14ac:dyDescent="0.3">
      <c r="A2170" s="23" t="s">
        <v>15000</v>
      </c>
      <c r="B2170" s="23" t="s">
        <v>75</v>
      </c>
      <c r="C2170" s="39">
        <v>499</v>
      </c>
      <c r="D2170" s="24">
        <v>0</v>
      </c>
      <c r="E2170" s="24">
        <v>0</v>
      </c>
      <c r="F2170" s="23">
        <f>COUNTIFS(mdr_rate_cleaned!$A$2:$A$10,B2170,mdr_rate_cleaned!$B$2:$B$10,"&lt;"&amp;C2170,mdr_rate_cleaned!$F$2:$F$10,"&gt;="&amp;C2170)</f>
        <v>1</v>
      </c>
      <c r="G2170" s="40">
        <f>SUMIFS(mdr_rate_cleaned!$G$2:$G$10,mdr_rate_cleaned!$A$2:$A$10,B2170,mdr_rate_cleaned!$B$2:$B$10,"&lt;"&amp;C2170,mdr_rate_cleaned!$F$2:$F$10,"&gt;="&amp;C2170)</f>
        <v>0</v>
      </c>
      <c r="H2170" s="24">
        <f t="shared" si="165"/>
        <v>0</v>
      </c>
      <c r="I2170" s="23" t="str">
        <f t="shared" si="166"/>
        <v>Match</v>
      </c>
      <c r="J2170" s="23" t="str">
        <f t="shared" si="167"/>
        <v>Match</v>
      </c>
      <c r="K2170" s="24">
        <f t="shared" si="168"/>
        <v>0</v>
      </c>
      <c r="L2170" s="24">
        <f t="shared" si="169"/>
        <v>0</v>
      </c>
    </row>
    <row r="2171" spans="1:12" ht="15" customHeight="1" x14ac:dyDescent="0.3">
      <c r="A2171" s="23" t="s">
        <v>15001</v>
      </c>
      <c r="B2171" s="23" t="s">
        <v>75</v>
      </c>
      <c r="C2171" s="39">
        <v>6147</v>
      </c>
      <c r="D2171" s="24">
        <v>18.440000000000001</v>
      </c>
      <c r="E2171" s="24">
        <v>3.32</v>
      </c>
      <c r="F2171" s="23">
        <f>COUNTIFS(mdr_rate_cleaned!$A$2:$A$10,B2171,mdr_rate_cleaned!$B$2:$B$10,"&lt;"&amp;C2171,mdr_rate_cleaned!$F$2:$F$10,"&gt;="&amp;C2171)</f>
        <v>1</v>
      </c>
      <c r="G2171" s="40">
        <f>SUMIFS(mdr_rate_cleaned!$G$2:$G$10,mdr_rate_cleaned!$A$2:$A$10,B2171,mdr_rate_cleaned!$B$2:$B$10,"&lt;"&amp;C2171,mdr_rate_cleaned!$F$2:$F$10,"&gt;="&amp;C2171)</f>
        <v>3.0000000000000001E-3</v>
      </c>
      <c r="H2171" s="24">
        <f t="shared" si="165"/>
        <v>18.440000000000001</v>
      </c>
      <c r="I2171" s="23" t="str">
        <f t="shared" si="166"/>
        <v>Match</v>
      </c>
      <c r="J2171" s="23" t="str">
        <f t="shared" si="167"/>
        <v>Match</v>
      </c>
      <c r="K2171" s="24">
        <f t="shared" si="168"/>
        <v>3.32</v>
      </c>
      <c r="L2171" s="24">
        <f t="shared" si="169"/>
        <v>0</v>
      </c>
    </row>
    <row r="2172" spans="1:12" ht="15" customHeight="1" x14ac:dyDescent="0.3">
      <c r="A2172" s="23" t="s">
        <v>15002</v>
      </c>
      <c r="B2172" s="23" t="s">
        <v>75</v>
      </c>
      <c r="C2172" s="39">
        <v>11498</v>
      </c>
      <c r="D2172" s="24">
        <v>34.49</v>
      </c>
      <c r="E2172" s="24">
        <v>6.21</v>
      </c>
      <c r="F2172" s="23">
        <f>COUNTIFS(mdr_rate_cleaned!$A$2:$A$10,B2172,mdr_rate_cleaned!$B$2:$B$10,"&lt;"&amp;C2172,mdr_rate_cleaned!$F$2:$F$10,"&gt;="&amp;C2172)</f>
        <v>1</v>
      </c>
      <c r="G2172" s="40">
        <f>SUMIFS(mdr_rate_cleaned!$G$2:$G$10,mdr_rate_cleaned!$A$2:$A$10,B2172,mdr_rate_cleaned!$B$2:$B$10,"&lt;"&amp;C2172,mdr_rate_cleaned!$F$2:$F$10,"&gt;="&amp;C2172)</f>
        <v>3.0000000000000001E-3</v>
      </c>
      <c r="H2172" s="24">
        <f t="shared" si="165"/>
        <v>34.49</v>
      </c>
      <c r="I2172" s="23" t="str">
        <f t="shared" si="166"/>
        <v>Match</v>
      </c>
      <c r="J2172" s="23" t="str">
        <f t="shared" si="167"/>
        <v>Match</v>
      </c>
      <c r="K2172" s="24">
        <f t="shared" si="168"/>
        <v>6.21</v>
      </c>
      <c r="L2172" s="24">
        <f t="shared" si="169"/>
        <v>0</v>
      </c>
    </row>
    <row r="2173" spans="1:12" ht="15" customHeight="1" x14ac:dyDescent="0.3">
      <c r="A2173" s="23" t="s">
        <v>15003</v>
      </c>
      <c r="B2173" s="23" t="s">
        <v>75</v>
      </c>
      <c r="C2173" s="39">
        <v>799</v>
      </c>
      <c r="D2173" s="24">
        <v>0</v>
      </c>
      <c r="E2173" s="24">
        <v>0</v>
      </c>
      <c r="F2173" s="23">
        <f>COUNTIFS(mdr_rate_cleaned!$A$2:$A$10,B2173,mdr_rate_cleaned!$B$2:$B$10,"&lt;"&amp;C2173,mdr_rate_cleaned!$F$2:$F$10,"&gt;="&amp;C2173)</f>
        <v>1</v>
      </c>
      <c r="G2173" s="40">
        <f>SUMIFS(mdr_rate_cleaned!$G$2:$G$10,mdr_rate_cleaned!$A$2:$A$10,B2173,mdr_rate_cleaned!$B$2:$B$10,"&lt;"&amp;C2173,mdr_rate_cleaned!$F$2:$F$10,"&gt;="&amp;C2173)</f>
        <v>0</v>
      </c>
      <c r="H2173" s="24">
        <f t="shared" si="165"/>
        <v>0</v>
      </c>
      <c r="I2173" s="23" t="str">
        <f t="shared" si="166"/>
        <v>Match</v>
      </c>
      <c r="J2173" s="23" t="str">
        <f t="shared" si="167"/>
        <v>Match</v>
      </c>
      <c r="K2173" s="24">
        <f t="shared" si="168"/>
        <v>0</v>
      </c>
      <c r="L2173" s="24">
        <f t="shared" si="169"/>
        <v>0</v>
      </c>
    </row>
    <row r="2174" spans="1:12" ht="15" customHeight="1" x14ac:dyDescent="0.3">
      <c r="A2174" s="23" t="s">
        <v>15004</v>
      </c>
      <c r="B2174" s="23" t="s">
        <v>75</v>
      </c>
      <c r="C2174" s="39">
        <v>299</v>
      </c>
      <c r="D2174" s="24">
        <v>0</v>
      </c>
      <c r="E2174" s="24">
        <v>0</v>
      </c>
      <c r="F2174" s="23">
        <f>COUNTIFS(mdr_rate_cleaned!$A$2:$A$10,B2174,mdr_rate_cleaned!$B$2:$B$10,"&lt;"&amp;C2174,mdr_rate_cleaned!$F$2:$F$10,"&gt;="&amp;C2174)</f>
        <v>1</v>
      </c>
      <c r="G2174" s="40">
        <f>SUMIFS(mdr_rate_cleaned!$G$2:$G$10,mdr_rate_cleaned!$A$2:$A$10,B2174,mdr_rate_cleaned!$B$2:$B$10,"&lt;"&amp;C2174,mdr_rate_cleaned!$F$2:$F$10,"&gt;="&amp;C2174)</f>
        <v>0</v>
      </c>
      <c r="H2174" s="24">
        <f t="shared" si="165"/>
        <v>0</v>
      </c>
      <c r="I2174" s="23" t="str">
        <f t="shared" si="166"/>
        <v>Match</v>
      </c>
      <c r="J2174" s="23" t="str">
        <f t="shared" si="167"/>
        <v>Match</v>
      </c>
      <c r="K2174" s="24">
        <f t="shared" si="168"/>
        <v>0</v>
      </c>
      <c r="L2174" s="24">
        <f t="shared" si="169"/>
        <v>0</v>
      </c>
    </row>
    <row r="2175" spans="1:12" ht="15" customHeight="1" x14ac:dyDescent="0.3">
      <c r="A2175" s="23" t="s">
        <v>15005</v>
      </c>
      <c r="B2175" s="23" t="s">
        <v>75</v>
      </c>
      <c r="C2175" s="39">
        <v>3499</v>
      </c>
      <c r="D2175" s="24">
        <v>10.5</v>
      </c>
      <c r="E2175" s="24">
        <v>1.89</v>
      </c>
      <c r="F2175" s="23">
        <f>COUNTIFS(mdr_rate_cleaned!$A$2:$A$10,B2175,mdr_rate_cleaned!$B$2:$B$10,"&lt;"&amp;C2175,mdr_rate_cleaned!$F$2:$F$10,"&gt;="&amp;C2175)</f>
        <v>1</v>
      </c>
      <c r="G2175" s="40">
        <f>SUMIFS(mdr_rate_cleaned!$G$2:$G$10,mdr_rate_cleaned!$A$2:$A$10,B2175,mdr_rate_cleaned!$B$2:$B$10,"&lt;"&amp;C2175,mdr_rate_cleaned!$F$2:$F$10,"&gt;="&amp;C2175)</f>
        <v>3.0000000000000001E-3</v>
      </c>
      <c r="H2175" s="24">
        <f t="shared" si="165"/>
        <v>10.5</v>
      </c>
      <c r="I2175" s="23" t="str">
        <f t="shared" si="166"/>
        <v>Match</v>
      </c>
      <c r="J2175" s="23" t="str">
        <f t="shared" si="167"/>
        <v>Match</v>
      </c>
      <c r="K2175" s="24">
        <f t="shared" si="168"/>
        <v>1.89</v>
      </c>
      <c r="L2175" s="24">
        <f t="shared" si="169"/>
        <v>0</v>
      </c>
    </row>
    <row r="2176" spans="1:12" ht="15" customHeight="1" x14ac:dyDescent="0.3">
      <c r="A2176" s="23" t="s">
        <v>15006</v>
      </c>
      <c r="B2176" s="23" t="s">
        <v>75</v>
      </c>
      <c r="C2176" s="39">
        <v>1299</v>
      </c>
      <c r="D2176" s="24">
        <v>0</v>
      </c>
      <c r="E2176" s="24">
        <v>0</v>
      </c>
      <c r="F2176" s="23">
        <f>COUNTIFS(mdr_rate_cleaned!$A$2:$A$10,B2176,mdr_rate_cleaned!$B$2:$B$10,"&lt;"&amp;C2176,mdr_rate_cleaned!$F$2:$F$10,"&gt;="&amp;C2176)</f>
        <v>1</v>
      </c>
      <c r="G2176" s="40">
        <f>SUMIFS(mdr_rate_cleaned!$G$2:$G$10,mdr_rate_cleaned!$A$2:$A$10,B2176,mdr_rate_cleaned!$B$2:$B$10,"&lt;"&amp;C2176,mdr_rate_cleaned!$F$2:$F$10,"&gt;="&amp;C2176)</f>
        <v>0</v>
      </c>
      <c r="H2176" s="24">
        <f t="shared" si="165"/>
        <v>0</v>
      </c>
      <c r="I2176" s="23" t="str">
        <f t="shared" si="166"/>
        <v>Match</v>
      </c>
      <c r="J2176" s="23" t="str">
        <f t="shared" si="167"/>
        <v>Match</v>
      </c>
      <c r="K2176" s="24">
        <f t="shared" si="168"/>
        <v>0</v>
      </c>
      <c r="L2176" s="24">
        <f t="shared" si="169"/>
        <v>0</v>
      </c>
    </row>
    <row r="2177" spans="1:12" ht="15" customHeight="1" x14ac:dyDescent="0.3">
      <c r="A2177" s="23" t="s">
        <v>15008</v>
      </c>
      <c r="B2177" s="23" t="s">
        <v>77</v>
      </c>
      <c r="C2177" s="39">
        <v>1798</v>
      </c>
      <c r="D2177" s="24">
        <v>34.159999999999997</v>
      </c>
      <c r="E2177" s="24">
        <v>6.15</v>
      </c>
      <c r="F2177" s="23">
        <f>COUNTIFS(mdr_rate_cleaned!$A$2:$A$10,B2177,mdr_rate_cleaned!$B$2:$B$10,"&lt;"&amp;C2177,mdr_rate_cleaned!$F$2:$F$10,"&gt;="&amp;C2177)</f>
        <v>1</v>
      </c>
      <c r="G2177" s="40">
        <f>SUMIFS(mdr_rate_cleaned!$G$2:$G$10,mdr_rate_cleaned!$A$2:$A$10,B2177,mdr_rate_cleaned!$B$2:$B$10,"&lt;"&amp;C2177,mdr_rate_cleaned!$F$2:$F$10,"&gt;="&amp;C2177)</f>
        <v>1.9E-2</v>
      </c>
      <c r="H2177" s="24">
        <f t="shared" si="165"/>
        <v>34.159999999999997</v>
      </c>
      <c r="I2177" s="23" t="str">
        <f t="shared" si="166"/>
        <v>Match</v>
      </c>
      <c r="J2177" s="23" t="str">
        <f t="shared" si="167"/>
        <v>Match</v>
      </c>
      <c r="K2177" s="24">
        <f t="shared" si="168"/>
        <v>6.15</v>
      </c>
      <c r="L2177" s="24">
        <f t="shared" si="169"/>
        <v>0</v>
      </c>
    </row>
    <row r="2178" spans="1:12" ht="15" customHeight="1" x14ac:dyDescent="0.3">
      <c r="A2178" s="23" t="s">
        <v>15010</v>
      </c>
      <c r="B2178" s="23" t="s">
        <v>81</v>
      </c>
      <c r="C2178" s="39">
        <v>1799</v>
      </c>
      <c r="D2178" s="24">
        <v>26.99</v>
      </c>
      <c r="E2178" s="24">
        <v>4.8600000000000003</v>
      </c>
      <c r="F2178" s="23">
        <f>COUNTIFS(mdr_rate_cleaned!$A$2:$A$10,B2178,mdr_rate_cleaned!$B$2:$B$10,"&lt;"&amp;C2178,mdr_rate_cleaned!$F$2:$F$10,"&gt;="&amp;C2178)</f>
        <v>1</v>
      </c>
      <c r="G2178" s="40">
        <f>SUMIFS(mdr_rate_cleaned!$G$2:$G$10,mdr_rate_cleaned!$A$2:$A$10,B2178,mdr_rate_cleaned!$B$2:$B$10,"&lt;"&amp;C2178,mdr_rate_cleaned!$F$2:$F$10,"&gt;="&amp;C2178)</f>
        <v>1.4999999999999999E-2</v>
      </c>
      <c r="H2178" s="24">
        <f t="shared" ref="H2178:H2241" si="170">ROUND(C2178*G2178,2)</f>
        <v>26.99</v>
      </c>
      <c r="I2178" s="23" t="str">
        <f t="shared" ref="I2178:I2241" si="171">IF(ROUND(D2178-H2178,2)=0,"Match","Differs")</f>
        <v>Match</v>
      </c>
      <c r="J2178" s="23" t="str">
        <f t="shared" ref="J2178:J2241" si="172">IF(ROUND(E2178-ROUND(D2178*0.18,2),2)=0,"Match","Differs")</f>
        <v>Match</v>
      </c>
      <c r="K2178" s="24">
        <f t="shared" ref="K2178:K2241" si="173">ROUND(H2178*0.18,2)</f>
        <v>4.8600000000000003</v>
      </c>
      <c r="L2178" s="24">
        <f t="shared" ref="L2178:L2241" si="174">ROUND(D2178+E2178-H2178-K2178,2)</f>
        <v>0</v>
      </c>
    </row>
    <row r="2179" spans="1:12" ht="15" customHeight="1" x14ac:dyDescent="0.3">
      <c r="A2179" s="23" t="s">
        <v>15011</v>
      </c>
      <c r="B2179" s="23" t="s">
        <v>79</v>
      </c>
      <c r="C2179" s="39">
        <v>2499</v>
      </c>
      <c r="D2179" s="24">
        <v>39.979999999999997</v>
      </c>
      <c r="E2179" s="24">
        <v>7.2</v>
      </c>
      <c r="F2179" s="23">
        <f>COUNTIFS(mdr_rate_cleaned!$A$2:$A$10,B2179,mdr_rate_cleaned!$B$2:$B$10,"&lt;"&amp;C2179,mdr_rate_cleaned!$F$2:$F$10,"&gt;="&amp;C2179)</f>
        <v>1</v>
      </c>
      <c r="G2179" s="40">
        <f>SUMIFS(mdr_rate_cleaned!$G$2:$G$10,mdr_rate_cleaned!$A$2:$A$10,B2179,mdr_rate_cleaned!$B$2:$B$10,"&lt;"&amp;C2179,mdr_rate_cleaned!$F$2:$F$10,"&gt;="&amp;C2179)</f>
        <v>1.6E-2</v>
      </c>
      <c r="H2179" s="24">
        <f t="shared" si="170"/>
        <v>39.979999999999997</v>
      </c>
      <c r="I2179" s="23" t="str">
        <f t="shared" si="171"/>
        <v>Match</v>
      </c>
      <c r="J2179" s="23" t="str">
        <f t="shared" si="172"/>
        <v>Match</v>
      </c>
      <c r="K2179" s="24">
        <f t="shared" si="173"/>
        <v>7.2</v>
      </c>
      <c r="L2179" s="24">
        <f t="shared" si="174"/>
        <v>0</v>
      </c>
    </row>
    <row r="2180" spans="1:12" ht="15" customHeight="1" x14ac:dyDescent="0.3">
      <c r="A2180" s="23" t="s">
        <v>15013</v>
      </c>
      <c r="B2180" s="23" t="s">
        <v>77</v>
      </c>
      <c r="C2180" s="39">
        <v>2499</v>
      </c>
      <c r="D2180" s="24">
        <v>42.48</v>
      </c>
      <c r="E2180" s="24">
        <v>7.65</v>
      </c>
      <c r="F2180" s="23">
        <f>COUNTIFS(mdr_rate_cleaned!$A$2:$A$10,B2180,mdr_rate_cleaned!$B$2:$B$10,"&lt;"&amp;C2180,mdr_rate_cleaned!$F$2:$F$10,"&gt;="&amp;C2180)</f>
        <v>1</v>
      </c>
      <c r="G2180" s="40">
        <f>SUMIFS(mdr_rate_cleaned!$G$2:$G$10,mdr_rate_cleaned!$A$2:$A$10,B2180,mdr_rate_cleaned!$B$2:$B$10,"&lt;"&amp;C2180,mdr_rate_cleaned!$F$2:$F$10,"&gt;="&amp;C2180)</f>
        <v>1.7000000000000001E-2</v>
      </c>
      <c r="H2180" s="24">
        <f t="shared" si="170"/>
        <v>42.48</v>
      </c>
      <c r="I2180" s="23" t="str">
        <f t="shared" si="171"/>
        <v>Match</v>
      </c>
      <c r="J2180" s="23" t="str">
        <f t="shared" si="172"/>
        <v>Match</v>
      </c>
      <c r="K2180" s="24">
        <f t="shared" si="173"/>
        <v>7.65</v>
      </c>
      <c r="L2180" s="24">
        <f t="shared" si="174"/>
        <v>0</v>
      </c>
    </row>
    <row r="2181" spans="1:12" ht="15" customHeight="1" x14ac:dyDescent="0.3">
      <c r="A2181" s="23" t="s">
        <v>15014</v>
      </c>
      <c r="B2181" s="23" t="s">
        <v>75</v>
      </c>
      <c r="C2181" s="39">
        <v>4999</v>
      </c>
      <c r="D2181" s="24">
        <v>15</v>
      </c>
      <c r="E2181" s="24">
        <v>2.7</v>
      </c>
      <c r="F2181" s="23">
        <f>COUNTIFS(mdr_rate_cleaned!$A$2:$A$10,B2181,mdr_rate_cleaned!$B$2:$B$10,"&lt;"&amp;C2181,mdr_rate_cleaned!$F$2:$F$10,"&gt;="&amp;C2181)</f>
        <v>1</v>
      </c>
      <c r="G2181" s="40">
        <f>SUMIFS(mdr_rate_cleaned!$G$2:$G$10,mdr_rate_cleaned!$A$2:$A$10,B2181,mdr_rate_cleaned!$B$2:$B$10,"&lt;"&amp;C2181,mdr_rate_cleaned!$F$2:$F$10,"&gt;="&amp;C2181)</f>
        <v>3.0000000000000001E-3</v>
      </c>
      <c r="H2181" s="24">
        <f t="shared" si="170"/>
        <v>15</v>
      </c>
      <c r="I2181" s="23" t="str">
        <f t="shared" si="171"/>
        <v>Match</v>
      </c>
      <c r="J2181" s="23" t="str">
        <f t="shared" si="172"/>
        <v>Match</v>
      </c>
      <c r="K2181" s="24">
        <f t="shared" si="173"/>
        <v>2.7</v>
      </c>
      <c r="L2181" s="24">
        <f t="shared" si="174"/>
        <v>0</v>
      </c>
    </row>
    <row r="2182" spans="1:12" ht="15" customHeight="1" x14ac:dyDescent="0.3">
      <c r="A2182" s="23" t="s">
        <v>15015</v>
      </c>
      <c r="B2182" s="23" t="s">
        <v>75</v>
      </c>
      <c r="C2182" s="39">
        <v>7999</v>
      </c>
      <c r="D2182" s="24">
        <v>24</v>
      </c>
      <c r="E2182" s="24">
        <v>4.32</v>
      </c>
      <c r="F2182" s="23">
        <f>COUNTIFS(mdr_rate_cleaned!$A$2:$A$10,B2182,mdr_rate_cleaned!$B$2:$B$10,"&lt;"&amp;C2182,mdr_rate_cleaned!$F$2:$F$10,"&gt;="&amp;C2182)</f>
        <v>1</v>
      </c>
      <c r="G2182" s="40">
        <f>SUMIFS(mdr_rate_cleaned!$G$2:$G$10,mdr_rate_cleaned!$A$2:$A$10,B2182,mdr_rate_cleaned!$B$2:$B$10,"&lt;"&amp;C2182,mdr_rate_cleaned!$F$2:$F$10,"&gt;="&amp;C2182)</f>
        <v>3.0000000000000001E-3</v>
      </c>
      <c r="H2182" s="24">
        <f t="shared" si="170"/>
        <v>24</v>
      </c>
      <c r="I2182" s="23" t="str">
        <f t="shared" si="171"/>
        <v>Match</v>
      </c>
      <c r="J2182" s="23" t="str">
        <f t="shared" si="172"/>
        <v>Match</v>
      </c>
      <c r="K2182" s="24">
        <f t="shared" si="173"/>
        <v>4.32</v>
      </c>
      <c r="L2182" s="24">
        <f t="shared" si="174"/>
        <v>0</v>
      </c>
    </row>
    <row r="2183" spans="1:12" ht="15" customHeight="1" x14ac:dyDescent="0.3">
      <c r="A2183" s="23" t="s">
        <v>15016</v>
      </c>
      <c r="B2183" s="23" t="s">
        <v>75</v>
      </c>
      <c r="C2183" s="39">
        <v>4397</v>
      </c>
      <c r="D2183" s="24">
        <v>13.19</v>
      </c>
      <c r="E2183" s="24">
        <v>2.37</v>
      </c>
      <c r="F2183" s="23">
        <f>COUNTIFS(mdr_rate_cleaned!$A$2:$A$10,B2183,mdr_rate_cleaned!$B$2:$B$10,"&lt;"&amp;C2183,mdr_rate_cleaned!$F$2:$F$10,"&gt;="&amp;C2183)</f>
        <v>1</v>
      </c>
      <c r="G2183" s="40">
        <f>SUMIFS(mdr_rate_cleaned!$G$2:$G$10,mdr_rate_cleaned!$A$2:$A$10,B2183,mdr_rate_cleaned!$B$2:$B$10,"&lt;"&amp;C2183,mdr_rate_cleaned!$F$2:$F$10,"&gt;="&amp;C2183)</f>
        <v>3.0000000000000001E-3</v>
      </c>
      <c r="H2183" s="24">
        <f t="shared" si="170"/>
        <v>13.19</v>
      </c>
      <c r="I2183" s="23" t="str">
        <f t="shared" si="171"/>
        <v>Match</v>
      </c>
      <c r="J2183" s="23" t="str">
        <f t="shared" si="172"/>
        <v>Match</v>
      </c>
      <c r="K2183" s="24">
        <f t="shared" si="173"/>
        <v>2.37</v>
      </c>
      <c r="L2183" s="24">
        <f t="shared" si="174"/>
        <v>0</v>
      </c>
    </row>
    <row r="2184" spans="1:12" ht="15" customHeight="1" x14ac:dyDescent="0.3">
      <c r="A2184" s="23" t="s">
        <v>15017</v>
      </c>
      <c r="B2184" s="23" t="s">
        <v>75</v>
      </c>
      <c r="C2184" s="39">
        <v>4297</v>
      </c>
      <c r="D2184" s="24">
        <v>12.89</v>
      </c>
      <c r="E2184" s="24">
        <v>2.3199999999999998</v>
      </c>
      <c r="F2184" s="23">
        <f>COUNTIFS(mdr_rate_cleaned!$A$2:$A$10,B2184,mdr_rate_cleaned!$B$2:$B$10,"&lt;"&amp;C2184,mdr_rate_cleaned!$F$2:$F$10,"&gt;="&amp;C2184)</f>
        <v>1</v>
      </c>
      <c r="G2184" s="40">
        <f>SUMIFS(mdr_rate_cleaned!$G$2:$G$10,mdr_rate_cleaned!$A$2:$A$10,B2184,mdr_rate_cleaned!$B$2:$B$10,"&lt;"&amp;C2184,mdr_rate_cleaned!$F$2:$F$10,"&gt;="&amp;C2184)</f>
        <v>3.0000000000000001E-3</v>
      </c>
      <c r="H2184" s="24">
        <f t="shared" si="170"/>
        <v>12.89</v>
      </c>
      <c r="I2184" s="23" t="str">
        <f t="shared" si="171"/>
        <v>Match</v>
      </c>
      <c r="J2184" s="23" t="str">
        <f t="shared" si="172"/>
        <v>Match</v>
      </c>
      <c r="K2184" s="24">
        <f t="shared" si="173"/>
        <v>2.3199999999999998</v>
      </c>
      <c r="L2184" s="24">
        <f t="shared" si="174"/>
        <v>0</v>
      </c>
    </row>
    <row r="2185" spans="1:12" ht="15" customHeight="1" x14ac:dyDescent="0.3">
      <c r="A2185" s="23" t="s">
        <v>15018</v>
      </c>
      <c r="B2185" s="23" t="s">
        <v>77</v>
      </c>
      <c r="C2185" s="39">
        <v>7999</v>
      </c>
      <c r="D2185" s="24">
        <v>135.97999999999999</v>
      </c>
      <c r="E2185" s="24">
        <v>24.48</v>
      </c>
      <c r="F2185" s="23">
        <f>COUNTIFS(mdr_rate_cleaned!$A$2:$A$10,B2185,mdr_rate_cleaned!$B$2:$B$10,"&lt;"&amp;C2185,mdr_rate_cleaned!$F$2:$F$10,"&gt;="&amp;C2185)</f>
        <v>1</v>
      </c>
      <c r="G2185" s="40">
        <f>SUMIFS(mdr_rate_cleaned!$G$2:$G$10,mdr_rate_cleaned!$A$2:$A$10,B2185,mdr_rate_cleaned!$B$2:$B$10,"&lt;"&amp;C2185,mdr_rate_cleaned!$F$2:$F$10,"&gt;="&amp;C2185)</f>
        <v>1.7000000000000001E-2</v>
      </c>
      <c r="H2185" s="24">
        <f t="shared" si="170"/>
        <v>135.97999999999999</v>
      </c>
      <c r="I2185" s="23" t="str">
        <f t="shared" si="171"/>
        <v>Match</v>
      </c>
      <c r="J2185" s="23" t="str">
        <f t="shared" si="172"/>
        <v>Match</v>
      </c>
      <c r="K2185" s="24">
        <f t="shared" si="173"/>
        <v>24.48</v>
      </c>
      <c r="L2185" s="24">
        <f t="shared" si="174"/>
        <v>0</v>
      </c>
    </row>
    <row r="2186" spans="1:12" ht="15" customHeight="1" x14ac:dyDescent="0.3">
      <c r="A2186" s="23" t="s">
        <v>15019</v>
      </c>
      <c r="B2186" s="23" t="s">
        <v>79</v>
      </c>
      <c r="C2186" s="39">
        <v>7297</v>
      </c>
      <c r="D2186" s="24">
        <v>116.75</v>
      </c>
      <c r="E2186" s="24">
        <v>21.02</v>
      </c>
      <c r="F2186" s="23">
        <f>COUNTIFS(mdr_rate_cleaned!$A$2:$A$10,B2186,mdr_rate_cleaned!$B$2:$B$10,"&lt;"&amp;C2186,mdr_rate_cleaned!$F$2:$F$10,"&gt;="&amp;C2186)</f>
        <v>1</v>
      </c>
      <c r="G2186" s="40">
        <f>SUMIFS(mdr_rate_cleaned!$G$2:$G$10,mdr_rate_cleaned!$A$2:$A$10,B2186,mdr_rate_cleaned!$B$2:$B$10,"&lt;"&amp;C2186,mdr_rate_cleaned!$F$2:$F$10,"&gt;="&amp;C2186)</f>
        <v>1.6E-2</v>
      </c>
      <c r="H2186" s="24">
        <f t="shared" si="170"/>
        <v>116.75</v>
      </c>
      <c r="I2186" s="23" t="str">
        <f t="shared" si="171"/>
        <v>Match</v>
      </c>
      <c r="J2186" s="23" t="str">
        <f t="shared" si="172"/>
        <v>Match</v>
      </c>
      <c r="K2186" s="24">
        <f t="shared" si="173"/>
        <v>21.02</v>
      </c>
      <c r="L2186" s="24">
        <f t="shared" si="174"/>
        <v>0</v>
      </c>
    </row>
    <row r="2187" spans="1:12" ht="15" customHeight="1" x14ac:dyDescent="0.3">
      <c r="A2187" s="23" t="s">
        <v>15020</v>
      </c>
      <c r="B2187" s="23" t="s">
        <v>75</v>
      </c>
      <c r="C2187" s="39">
        <v>12998</v>
      </c>
      <c r="D2187" s="24">
        <v>38.99</v>
      </c>
      <c r="E2187" s="24">
        <v>7.02</v>
      </c>
      <c r="F2187" s="23">
        <f>COUNTIFS(mdr_rate_cleaned!$A$2:$A$10,B2187,mdr_rate_cleaned!$B$2:$B$10,"&lt;"&amp;C2187,mdr_rate_cleaned!$F$2:$F$10,"&gt;="&amp;C2187)</f>
        <v>1</v>
      </c>
      <c r="G2187" s="40">
        <f>SUMIFS(mdr_rate_cleaned!$G$2:$G$10,mdr_rate_cleaned!$A$2:$A$10,B2187,mdr_rate_cleaned!$B$2:$B$10,"&lt;"&amp;C2187,mdr_rate_cleaned!$F$2:$F$10,"&gt;="&amp;C2187)</f>
        <v>3.0000000000000001E-3</v>
      </c>
      <c r="H2187" s="24">
        <f t="shared" si="170"/>
        <v>38.99</v>
      </c>
      <c r="I2187" s="23" t="str">
        <f t="shared" si="171"/>
        <v>Match</v>
      </c>
      <c r="J2187" s="23" t="str">
        <f t="shared" si="172"/>
        <v>Match</v>
      </c>
      <c r="K2187" s="24">
        <f t="shared" si="173"/>
        <v>7.02</v>
      </c>
      <c r="L2187" s="24">
        <f t="shared" si="174"/>
        <v>0</v>
      </c>
    </row>
    <row r="2188" spans="1:12" ht="15" customHeight="1" x14ac:dyDescent="0.3">
      <c r="A2188" s="23" t="s">
        <v>15021</v>
      </c>
      <c r="B2188" s="23" t="s">
        <v>75</v>
      </c>
      <c r="C2188" s="39">
        <v>7999</v>
      </c>
      <c r="D2188" s="24">
        <v>24</v>
      </c>
      <c r="E2188" s="24">
        <v>4.32</v>
      </c>
      <c r="F2188" s="23">
        <f>COUNTIFS(mdr_rate_cleaned!$A$2:$A$10,B2188,mdr_rate_cleaned!$B$2:$B$10,"&lt;"&amp;C2188,mdr_rate_cleaned!$F$2:$F$10,"&gt;="&amp;C2188)</f>
        <v>1</v>
      </c>
      <c r="G2188" s="40">
        <f>SUMIFS(mdr_rate_cleaned!$G$2:$G$10,mdr_rate_cleaned!$A$2:$A$10,B2188,mdr_rate_cleaned!$B$2:$B$10,"&lt;"&amp;C2188,mdr_rate_cleaned!$F$2:$F$10,"&gt;="&amp;C2188)</f>
        <v>3.0000000000000001E-3</v>
      </c>
      <c r="H2188" s="24">
        <f t="shared" si="170"/>
        <v>24</v>
      </c>
      <c r="I2188" s="23" t="str">
        <f t="shared" si="171"/>
        <v>Match</v>
      </c>
      <c r="J2188" s="23" t="str">
        <f t="shared" si="172"/>
        <v>Match</v>
      </c>
      <c r="K2188" s="24">
        <f t="shared" si="173"/>
        <v>4.32</v>
      </c>
      <c r="L2188" s="24">
        <f t="shared" si="174"/>
        <v>0</v>
      </c>
    </row>
    <row r="2189" spans="1:12" ht="15" customHeight="1" x14ac:dyDescent="0.3">
      <c r="A2189" s="23" t="s">
        <v>15022</v>
      </c>
      <c r="B2189" s="23" t="s">
        <v>79</v>
      </c>
      <c r="C2189" s="39">
        <v>499</v>
      </c>
      <c r="D2189" s="24">
        <v>8.98</v>
      </c>
      <c r="E2189" s="24">
        <v>1.62</v>
      </c>
      <c r="F2189" s="23">
        <f>COUNTIFS(mdr_rate_cleaned!$A$2:$A$10,B2189,mdr_rate_cleaned!$B$2:$B$10,"&lt;"&amp;C2189,mdr_rate_cleaned!$F$2:$F$10,"&gt;="&amp;C2189)</f>
        <v>1</v>
      </c>
      <c r="G2189" s="40">
        <f>SUMIFS(mdr_rate_cleaned!$G$2:$G$10,mdr_rate_cleaned!$A$2:$A$10,B2189,mdr_rate_cleaned!$B$2:$B$10,"&lt;"&amp;C2189,mdr_rate_cleaned!$F$2:$F$10,"&gt;="&amp;C2189)</f>
        <v>1.8000000000000002E-2</v>
      </c>
      <c r="H2189" s="24">
        <f t="shared" si="170"/>
        <v>8.98</v>
      </c>
      <c r="I2189" s="23" t="str">
        <f t="shared" si="171"/>
        <v>Match</v>
      </c>
      <c r="J2189" s="23" t="str">
        <f t="shared" si="172"/>
        <v>Match</v>
      </c>
      <c r="K2189" s="24">
        <f t="shared" si="173"/>
        <v>1.62</v>
      </c>
      <c r="L2189" s="24">
        <f t="shared" si="174"/>
        <v>0</v>
      </c>
    </row>
    <row r="2190" spans="1:12" ht="15" customHeight="1" x14ac:dyDescent="0.3">
      <c r="A2190" s="23" t="s">
        <v>15023</v>
      </c>
      <c r="B2190" s="23" t="s">
        <v>75</v>
      </c>
      <c r="C2190" s="39">
        <v>5298</v>
      </c>
      <c r="D2190" s="24">
        <v>15.89</v>
      </c>
      <c r="E2190" s="24">
        <v>2.86</v>
      </c>
      <c r="F2190" s="23">
        <f>COUNTIFS(mdr_rate_cleaned!$A$2:$A$10,B2190,mdr_rate_cleaned!$B$2:$B$10,"&lt;"&amp;C2190,mdr_rate_cleaned!$F$2:$F$10,"&gt;="&amp;C2190)</f>
        <v>1</v>
      </c>
      <c r="G2190" s="40">
        <f>SUMIFS(mdr_rate_cleaned!$G$2:$G$10,mdr_rate_cleaned!$A$2:$A$10,B2190,mdr_rate_cleaned!$B$2:$B$10,"&lt;"&amp;C2190,mdr_rate_cleaned!$F$2:$F$10,"&gt;="&amp;C2190)</f>
        <v>3.0000000000000001E-3</v>
      </c>
      <c r="H2190" s="24">
        <f t="shared" si="170"/>
        <v>15.89</v>
      </c>
      <c r="I2190" s="23" t="str">
        <f t="shared" si="171"/>
        <v>Match</v>
      </c>
      <c r="J2190" s="23" t="str">
        <f t="shared" si="172"/>
        <v>Match</v>
      </c>
      <c r="K2190" s="24">
        <f t="shared" si="173"/>
        <v>2.86</v>
      </c>
      <c r="L2190" s="24">
        <f t="shared" si="174"/>
        <v>0</v>
      </c>
    </row>
    <row r="2191" spans="1:12" ht="15" customHeight="1" x14ac:dyDescent="0.3">
      <c r="A2191" s="23" t="s">
        <v>15025</v>
      </c>
      <c r="B2191" s="23" t="s">
        <v>81</v>
      </c>
      <c r="C2191" s="39">
        <v>499</v>
      </c>
      <c r="D2191" s="24">
        <v>7.49</v>
      </c>
      <c r="E2191" s="24">
        <v>1.35</v>
      </c>
      <c r="F2191" s="23">
        <f>COUNTIFS(mdr_rate_cleaned!$A$2:$A$10,B2191,mdr_rate_cleaned!$B$2:$B$10,"&lt;"&amp;C2191,mdr_rate_cleaned!$F$2:$F$10,"&gt;="&amp;C2191)</f>
        <v>1</v>
      </c>
      <c r="G2191" s="40">
        <f>SUMIFS(mdr_rate_cleaned!$G$2:$G$10,mdr_rate_cleaned!$A$2:$A$10,B2191,mdr_rate_cleaned!$B$2:$B$10,"&lt;"&amp;C2191,mdr_rate_cleaned!$F$2:$F$10,"&gt;="&amp;C2191)</f>
        <v>1.4999999999999999E-2</v>
      </c>
      <c r="H2191" s="24">
        <f t="shared" si="170"/>
        <v>7.49</v>
      </c>
      <c r="I2191" s="23" t="str">
        <f t="shared" si="171"/>
        <v>Match</v>
      </c>
      <c r="J2191" s="23" t="str">
        <f t="shared" si="172"/>
        <v>Match</v>
      </c>
      <c r="K2191" s="24">
        <f t="shared" si="173"/>
        <v>1.35</v>
      </c>
      <c r="L2191" s="24">
        <f t="shared" si="174"/>
        <v>0</v>
      </c>
    </row>
    <row r="2192" spans="1:12" ht="15" customHeight="1" x14ac:dyDescent="0.3">
      <c r="A2192" s="23" t="s">
        <v>15026</v>
      </c>
      <c r="B2192" s="23" t="s">
        <v>77</v>
      </c>
      <c r="C2192" s="39">
        <v>848</v>
      </c>
      <c r="D2192" s="24">
        <v>16.11</v>
      </c>
      <c r="E2192" s="24">
        <v>2.9</v>
      </c>
      <c r="F2192" s="23">
        <f>COUNTIFS(mdr_rate_cleaned!$A$2:$A$10,B2192,mdr_rate_cleaned!$B$2:$B$10,"&lt;"&amp;C2192,mdr_rate_cleaned!$F$2:$F$10,"&gt;="&amp;C2192)</f>
        <v>1</v>
      </c>
      <c r="G2192" s="40">
        <f>SUMIFS(mdr_rate_cleaned!$G$2:$G$10,mdr_rate_cleaned!$A$2:$A$10,B2192,mdr_rate_cleaned!$B$2:$B$10,"&lt;"&amp;C2192,mdr_rate_cleaned!$F$2:$F$10,"&gt;="&amp;C2192)</f>
        <v>1.9E-2</v>
      </c>
      <c r="H2192" s="24">
        <f t="shared" si="170"/>
        <v>16.11</v>
      </c>
      <c r="I2192" s="23" t="str">
        <f t="shared" si="171"/>
        <v>Match</v>
      </c>
      <c r="J2192" s="23" t="str">
        <f t="shared" si="172"/>
        <v>Match</v>
      </c>
      <c r="K2192" s="24">
        <f t="shared" si="173"/>
        <v>2.9</v>
      </c>
      <c r="L2192" s="24">
        <f t="shared" si="174"/>
        <v>0</v>
      </c>
    </row>
    <row r="2193" spans="1:12" ht="15" customHeight="1" x14ac:dyDescent="0.3">
      <c r="A2193" s="23" t="s">
        <v>15028</v>
      </c>
      <c r="B2193" s="23" t="s">
        <v>75</v>
      </c>
      <c r="C2193" s="39">
        <v>799</v>
      </c>
      <c r="D2193" s="24">
        <v>0</v>
      </c>
      <c r="E2193" s="24">
        <v>0</v>
      </c>
      <c r="F2193" s="23">
        <f>COUNTIFS(mdr_rate_cleaned!$A$2:$A$10,B2193,mdr_rate_cleaned!$B$2:$B$10,"&lt;"&amp;C2193,mdr_rate_cleaned!$F$2:$F$10,"&gt;="&amp;C2193)</f>
        <v>1</v>
      </c>
      <c r="G2193" s="40">
        <f>SUMIFS(mdr_rate_cleaned!$G$2:$G$10,mdr_rate_cleaned!$A$2:$A$10,B2193,mdr_rate_cleaned!$B$2:$B$10,"&lt;"&amp;C2193,mdr_rate_cleaned!$F$2:$F$10,"&gt;="&amp;C2193)</f>
        <v>0</v>
      </c>
      <c r="H2193" s="24">
        <f t="shared" si="170"/>
        <v>0</v>
      </c>
      <c r="I2193" s="23" t="str">
        <f t="shared" si="171"/>
        <v>Match</v>
      </c>
      <c r="J2193" s="23" t="str">
        <f t="shared" si="172"/>
        <v>Match</v>
      </c>
      <c r="K2193" s="24">
        <f t="shared" si="173"/>
        <v>0</v>
      </c>
      <c r="L2193" s="24">
        <f t="shared" si="174"/>
        <v>0</v>
      </c>
    </row>
    <row r="2194" spans="1:12" ht="15" customHeight="1" x14ac:dyDescent="0.3">
      <c r="A2194" s="23" t="s">
        <v>15030</v>
      </c>
      <c r="B2194" s="23" t="s">
        <v>75</v>
      </c>
      <c r="C2194" s="39">
        <v>11498</v>
      </c>
      <c r="D2194" s="24">
        <v>34.49</v>
      </c>
      <c r="E2194" s="24">
        <v>6.21</v>
      </c>
      <c r="F2194" s="23">
        <f>COUNTIFS(mdr_rate_cleaned!$A$2:$A$10,B2194,mdr_rate_cleaned!$B$2:$B$10,"&lt;"&amp;C2194,mdr_rate_cleaned!$F$2:$F$10,"&gt;="&amp;C2194)</f>
        <v>1</v>
      </c>
      <c r="G2194" s="40">
        <f>SUMIFS(mdr_rate_cleaned!$G$2:$G$10,mdr_rate_cleaned!$A$2:$A$10,B2194,mdr_rate_cleaned!$B$2:$B$10,"&lt;"&amp;C2194,mdr_rate_cleaned!$F$2:$F$10,"&gt;="&amp;C2194)</f>
        <v>3.0000000000000001E-3</v>
      </c>
      <c r="H2194" s="24">
        <f t="shared" si="170"/>
        <v>34.49</v>
      </c>
      <c r="I2194" s="23" t="str">
        <f t="shared" si="171"/>
        <v>Match</v>
      </c>
      <c r="J2194" s="23" t="str">
        <f t="shared" si="172"/>
        <v>Match</v>
      </c>
      <c r="K2194" s="24">
        <f t="shared" si="173"/>
        <v>6.21</v>
      </c>
      <c r="L2194" s="24">
        <f t="shared" si="174"/>
        <v>0</v>
      </c>
    </row>
    <row r="2195" spans="1:12" ht="15" customHeight="1" x14ac:dyDescent="0.3">
      <c r="A2195" s="23" t="s">
        <v>15031</v>
      </c>
      <c r="B2195" s="23" t="s">
        <v>79</v>
      </c>
      <c r="C2195" s="39">
        <v>599</v>
      </c>
      <c r="D2195" s="24">
        <v>10.78</v>
      </c>
      <c r="E2195" s="24">
        <v>1.94</v>
      </c>
      <c r="F2195" s="23">
        <f>COUNTIFS(mdr_rate_cleaned!$A$2:$A$10,B2195,mdr_rate_cleaned!$B$2:$B$10,"&lt;"&amp;C2195,mdr_rate_cleaned!$F$2:$F$10,"&gt;="&amp;C2195)</f>
        <v>1</v>
      </c>
      <c r="G2195" s="40">
        <f>SUMIFS(mdr_rate_cleaned!$G$2:$G$10,mdr_rate_cleaned!$A$2:$A$10,B2195,mdr_rate_cleaned!$B$2:$B$10,"&lt;"&amp;C2195,mdr_rate_cleaned!$F$2:$F$10,"&gt;="&amp;C2195)</f>
        <v>1.8000000000000002E-2</v>
      </c>
      <c r="H2195" s="24">
        <f t="shared" si="170"/>
        <v>10.78</v>
      </c>
      <c r="I2195" s="23" t="str">
        <f t="shared" si="171"/>
        <v>Match</v>
      </c>
      <c r="J2195" s="23" t="str">
        <f t="shared" si="172"/>
        <v>Match</v>
      </c>
      <c r="K2195" s="24">
        <f t="shared" si="173"/>
        <v>1.94</v>
      </c>
      <c r="L2195" s="24">
        <f t="shared" si="174"/>
        <v>0</v>
      </c>
    </row>
    <row r="2196" spans="1:12" ht="15" customHeight="1" x14ac:dyDescent="0.3">
      <c r="A2196" s="23" t="s">
        <v>15042</v>
      </c>
      <c r="B2196" s="23" t="s">
        <v>79</v>
      </c>
      <c r="C2196" s="39">
        <v>999</v>
      </c>
      <c r="D2196" s="24">
        <v>17.98</v>
      </c>
      <c r="E2196" s="24">
        <v>3.24</v>
      </c>
      <c r="F2196" s="23">
        <f>COUNTIFS(mdr_rate_cleaned!$A$2:$A$10,B2196,mdr_rate_cleaned!$B$2:$B$10,"&lt;"&amp;C2196,mdr_rate_cleaned!$F$2:$F$10,"&gt;="&amp;C2196)</f>
        <v>1</v>
      </c>
      <c r="G2196" s="40">
        <f>SUMIFS(mdr_rate_cleaned!$G$2:$G$10,mdr_rate_cleaned!$A$2:$A$10,B2196,mdr_rate_cleaned!$B$2:$B$10,"&lt;"&amp;C2196,mdr_rate_cleaned!$F$2:$F$10,"&gt;="&amp;C2196)</f>
        <v>1.8000000000000002E-2</v>
      </c>
      <c r="H2196" s="24">
        <f t="shared" si="170"/>
        <v>17.98</v>
      </c>
      <c r="I2196" s="23" t="str">
        <f t="shared" si="171"/>
        <v>Match</v>
      </c>
      <c r="J2196" s="23" t="str">
        <f t="shared" si="172"/>
        <v>Match</v>
      </c>
      <c r="K2196" s="24">
        <f t="shared" si="173"/>
        <v>3.24</v>
      </c>
      <c r="L2196" s="24">
        <f t="shared" si="174"/>
        <v>0</v>
      </c>
    </row>
    <row r="2197" spans="1:12" ht="15" customHeight="1" x14ac:dyDescent="0.3">
      <c r="A2197" s="23" t="s">
        <v>15044</v>
      </c>
      <c r="B2197" s="23" t="s">
        <v>77</v>
      </c>
      <c r="C2197" s="39">
        <v>349</v>
      </c>
      <c r="D2197" s="24">
        <v>6.63</v>
      </c>
      <c r="E2197" s="24">
        <v>1.19</v>
      </c>
      <c r="F2197" s="23">
        <f>COUNTIFS(mdr_rate_cleaned!$A$2:$A$10,B2197,mdr_rate_cleaned!$B$2:$B$10,"&lt;"&amp;C2197,mdr_rate_cleaned!$F$2:$F$10,"&gt;="&amp;C2197)</f>
        <v>1</v>
      </c>
      <c r="G2197" s="40">
        <f>SUMIFS(mdr_rate_cleaned!$G$2:$G$10,mdr_rate_cleaned!$A$2:$A$10,B2197,mdr_rate_cleaned!$B$2:$B$10,"&lt;"&amp;C2197,mdr_rate_cleaned!$F$2:$F$10,"&gt;="&amp;C2197)</f>
        <v>1.9E-2</v>
      </c>
      <c r="H2197" s="24">
        <f t="shared" si="170"/>
        <v>6.63</v>
      </c>
      <c r="I2197" s="23" t="str">
        <f t="shared" si="171"/>
        <v>Match</v>
      </c>
      <c r="J2197" s="23" t="str">
        <f t="shared" si="172"/>
        <v>Match</v>
      </c>
      <c r="K2197" s="24">
        <f t="shared" si="173"/>
        <v>1.19</v>
      </c>
      <c r="L2197" s="24">
        <f t="shared" si="174"/>
        <v>0</v>
      </c>
    </row>
    <row r="2198" spans="1:12" ht="15" customHeight="1" x14ac:dyDescent="0.3">
      <c r="A2198" s="23" t="s">
        <v>15045</v>
      </c>
      <c r="B2198" s="23" t="s">
        <v>75</v>
      </c>
      <c r="C2198" s="39">
        <v>2999</v>
      </c>
      <c r="D2198" s="24">
        <v>9</v>
      </c>
      <c r="E2198" s="24">
        <v>1.62</v>
      </c>
      <c r="F2198" s="23">
        <f>COUNTIFS(mdr_rate_cleaned!$A$2:$A$10,B2198,mdr_rate_cleaned!$B$2:$B$10,"&lt;"&amp;C2198,mdr_rate_cleaned!$F$2:$F$10,"&gt;="&amp;C2198)</f>
        <v>1</v>
      </c>
      <c r="G2198" s="40">
        <f>SUMIFS(mdr_rate_cleaned!$G$2:$G$10,mdr_rate_cleaned!$A$2:$A$10,B2198,mdr_rate_cleaned!$B$2:$B$10,"&lt;"&amp;C2198,mdr_rate_cleaned!$F$2:$F$10,"&gt;="&amp;C2198)</f>
        <v>3.0000000000000001E-3</v>
      </c>
      <c r="H2198" s="24">
        <f t="shared" si="170"/>
        <v>9</v>
      </c>
      <c r="I2198" s="23" t="str">
        <f t="shared" si="171"/>
        <v>Match</v>
      </c>
      <c r="J2198" s="23" t="str">
        <f t="shared" si="172"/>
        <v>Match</v>
      </c>
      <c r="K2198" s="24">
        <f t="shared" si="173"/>
        <v>1.62</v>
      </c>
      <c r="L2198" s="24">
        <f t="shared" si="174"/>
        <v>0</v>
      </c>
    </row>
    <row r="2199" spans="1:12" ht="15" customHeight="1" x14ac:dyDescent="0.3">
      <c r="A2199" s="23" t="s">
        <v>15047</v>
      </c>
      <c r="B2199" s="23" t="s">
        <v>75</v>
      </c>
      <c r="C2199" s="39">
        <v>999</v>
      </c>
      <c r="D2199" s="24">
        <v>0</v>
      </c>
      <c r="E2199" s="24">
        <v>0</v>
      </c>
      <c r="F2199" s="23">
        <f>COUNTIFS(mdr_rate_cleaned!$A$2:$A$10,B2199,mdr_rate_cleaned!$B$2:$B$10,"&lt;"&amp;C2199,mdr_rate_cleaned!$F$2:$F$10,"&gt;="&amp;C2199)</f>
        <v>1</v>
      </c>
      <c r="G2199" s="40">
        <f>SUMIFS(mdr_rate_cleaned!$G$2:$G$10,mdr_rate_cleaned!$A$2:$A$10,B2199,mdr_rate_cleaned!$B$2:$B$10,"&lt;"&amp;C2199,mdr_rate_cleaned!$F$2:$F$10,"&gt;="&amp;C2199)</f>
        <v>0</v>
      </c>
      <c r="H2199" s="24">
        <f t="shared" si="170"/>
        <v>0</v>
      </c>
      <c r="I2199" s="23" t="str">
        <f t="shared" si="171"/>
        <v>Match</v>
      </c>
      <c r="J2199" s="23" t="str">
        <f t="shared" si="172"/>
        <v>Match</v>
      </c>
      <c r="K2199" s="24">
        <f t="shared" si="173"/>
        <v>0</v>
      </c>
      <c r="L2199" s="24">
        <f t="shared" si="174"/>
        <v>0</v>
      </c>
    </row>
    <row r="2200" spans="1:12" ht="15" customHeight="1" x14ac:dyDescent="0.3">
      <c r="A2200" s="23" t="s">
        <v>15049</v>
      </c>
      <c r="B2200" s="23" t="s">
        <v>75</v>
      </c>
      <c r="C2200" s="39">
        <v>3097</v>
      </c>
      <c r="D2200" s="24">
        <v>9.2899999999999991</v>
      </c>
      <c r="E2200" s="24">
        <v>1.67</v>
      </c>
      <c r="F2200" s="23">
        <f>COUNTIFS(mdr_rate_cleaned!$A$2:$A$10,B2200,mdr_rate_cleaned!$B$2:$B$10,"&lt;"&amp;C2200,mdr_rate_cleaned!$F$2:$F$10,"&gt;="&amp;C2200)</f>
        <v>1</v>
      </c>
      <c r="G2200" s="40">
        <f>SUMIFS(mdr_rate_cleaned!$G$2:$G$10,mdr_rate_cleaned!$A$2:$A$10,B2200,mdr_rate_cleaned!$B$2:$B$10,"&lt;"&amp;C2200,mdr_rate_cleaned!$F$2:$F$10,"&gt;="&amp;C2200)</f>
        <v>3.0000000000000001E-3</v>
      </c>
      <c r="H2200" s="24">
        <f t="shared" si="170"/>
        <v>9.2899999999999991</v>
      </c>
      <c r="I2200" s="23" t="str">
        <f t="shared" si="171"/>
        <v>Match</v>
      </c>
      <c r="J2200" s="23" t="str">
        <f t="shared" si="172"/>
        <v>Match</v>
      </c>
      <c r="K2200" s="24">
        <f t="shared" si="173"/>
        <v>1.67</v>
      </c>
      <c r="L2200" s="24">
        <f t="shared" si="174"/>
        <v>0</v>
      </c>
    </row>
    <row r="2201" spans="1:12" ht="15" customHeight="1" x14ac:dyDescent="0.3">
      <c r="A2201" s="23" t="s">
        <v>15050</v>
      </c>
      <c r="B2201" s="23" t="s">
        <v>75</v>
      </c>
      <c r="C2201" s="39">
        <v>7999</v>
      </c>
      <c r="D2201" s="24">
        <v>24</v>
      </c>
      <c r="E2201" s="24">
        <v>4.32</v>
      </c>
      <c r="F2201" s="23">
        <f>COUNTIFS(mdr_rate_cleaned!$A$2:$A$10,B2201,mdr_rate_cleaned!$B$2:$B$10,"&lt;"&amp;C2201,mdr_rate_cleaned!$F$2:$F$10,"&gt;="&amp;C2201)</f>
        <v>1</v>
      </c>
      <c r="G2201" s="40">
        <f>SUMIFS(mdr_rate_cleaned!$G$2:$G$10,mdr_rate_cleaned!$A$2:$A$10,B2201,mdr_rate_cleaned!$B$2:$B$10,"&lt;"&amp;C2201,mdr_rate_cleaned!$F$2:$F$10,"&gt;="&amp;C2201)</f>
        <v>3.0000000000000001E-3</v>
      </c>
      <c r="H2201" s="24">
        <f t="shared" si="170"/>
        <v>24</v>
      </c>
      <c r="I2201" s="23" t="str">
        <f t="shared" si="171"/>
        <v>Match</v>
      </c>
      <c r="J2201" s="23" t="str">
        <f t="shared" si="172"/>
        <v>Match</v>
      </c>
      <c r="K2201" s="24">
        <f t="shared" si="173"/>
        <v>4.32</v>
      </c>
      <c r="L2201" s="24">
        <f t="shared" si="174"/>
        <v>0</v>
      </c>
    </row>
    <row r="2202" spans="1:12" ht="15" customHeight="1" x14ac:dyDescent="0.3">
      <c r="A2202" s="23" t="s">
        <v>15051</v>
      </c>
      <c r="B2202" s="23" t="s">
        <v>75</v>
      </c>
      <c r="C2202" s="39">
        <v>15997</v>
      </c>
      <c r="D2202" s="24">
        <v>47.99</v>
      </c>
      <c r="E2202" s="24">
        <v>8.64</v>
      </c>
      <c r="F2202" s="23">
        <f>COUNTIFS(mdr_rate_cleaned!$A$2:$A$10,B2202,mdr_rate_cleaned!$B$2:$B$10,"&lt;"&amp;C2202,mdr_rate_cleaned!$F$2:$F$10,"&gt;="&amp;C2202)</f>
        <v>1</v>
      </c>
      <c r="G2202" s="40">
        <f>SUMIFS(mdr_rate_cleaned!$G$2:$G$10,mdr_rate_cleaned!$A$2:$A$10,B2202,mdr_rate_cleaned!$B$2:$B$10,"&lt;"&amp;C2202,mdr_rate_cleaned!$F$2:$F$10,"&gt;="&amp;C2202)</f>
        <v>3.0000000000000001E-3</v>
      </c>
      <c r="H2202" s="24">
        <f t="shared" si="170"/>
        <v>47.99</v>
      </c>
      <c r="I2202" s="23" t="str">
        <f t="shared" si="171"/>
        <v>Match</v>
      </c>
      <c r="J2202" s="23" t="str">
        <f t="shared" si="172"/>
        <v>Match</v>
      </c>
      <c r="K2202" s="24">
        <f t="shared" si="173"/>
        <v>8.64</v>
      </c>
      <c r="L2202" s="24">
        <f t="shared" si="174"/>
        <v>0</v>
      </c>
    </row>
    <row r="2203" spans="1:12" ht="15" customHeight="1" x14ac:dyDescent="0.3">
      <c r="A2203" s="23" t="s">
        <v>15052</v>
      </c>
      <c r="B2203" s="23" t="s">
        <v>79</v>
      </c>
      <c r="C2203" s="39">
        <v>8797</v>
      </c>
      <c r="D2203" s="24">
        <v>140.75</v>
      </c>
      <c r="E2203" s="24">
        <v>25.34</v>
      </c>
      <c r="F2203" s="23">
        <f>COUNTIFS(mdr_rate_cleaned!$A$2:$A$10,B2203,mdr_rate_cleaned!$B$2:$B$10,"&lt;"&amp;C2203,mdr_rate_cleaned!$F$2:$F$10,"&gt;="&amp;C2203)</f>
        <v>1</v>
      </c>
      <c r="G2203" s="40">
        <f>SUMIFS(mdr_rate_cleaned!$G$2:$G$10,mdr_rate_cleaned!$A$2:$A$10,B2203,mdr_rate_cleaned!$B$2:$B$10,"&lt;"&amp;C2203,mdr_rate_cleaned!$F$2:$F$10,"&gt;="&amp;C2203)</f>
        <v>1.6E-2</v>
      </c>
      <c r="H2203" s="24">
        <f t="shared" si="170"/>
        <v>140.75</v>
      </c>
      <c r="I2203" s="23" t="str">
        <f t="shared" si="171"/>
        <v>Match</v>
      </c>
      <c r="J2203" s="23" t="str">
        <f t="shared" si="172"/>
        <v>Match</v>
      </c>
      <c r="K2203" s="24">
        <f t="shared" si="173"/>
        <v>25.34</v>
      </c>
      <c r="L2203" s="24">
        <f t="shared" si="174"/>
        <v>0</v>
      </c>
    </row>
    <row r="2204" spans="1:12" ht="15" customHeight="1" x14ac:dyDescent="0.3">
      <c r="A2204" s="23" t="s">
        <v>15054</v>
      </c>
      <c r="B2204" s="23" t="s">
        <v>75</v>
      </c>
      <c r="C2204" s="39">
        <v>2498</v>
      </c>
      <c r="D2204" s="24">
        <v>7.49</v>
      </c>
      <c r="E2204" s="24">
        <v>1.35</v>
      </c>
      <c r="F2204" s="23">
        <f>COUNTIFS(mdr_rate_cleaned!$A$2:$A$10,B2204,mdr_rate_cleaned!$B$2:$B$10,"&lt;"&amp;C2204,mdr_rate_cleaned!$F$2:$F$10,"&gt;="&amp;C2204)</f>
        <v>1</v>
      </c>
      <c r="G2204" s="40">
        <f>SUMIFS(mdr_rate_cleaned!$G$2:$G$10,mdr_rate_cleaned!$A$2:$A$10,B2204,mdr_rate_cleaned!$B$2:$B$10,"&lt;"&amp;C2204,mdr_rate_cleaned!$F$2:$F$10,"&gt;="&amp;C2204)</f>
        <v>3.0000000000000001E-3</v>
      </c>
      <c r="H2204" s="24">
        <f t="shared" si="170"/>
        <v>7.49</v>
      </c>
      <c r="I2204" s="23" t="str">
        <f t="shared" si="171"/>
        <v>Match</v>
      </c>
      <c r="J2204" s="23" t="str">
        <f t="shared" si="172"/>
        <v>Match</v>
      </c>
      <c r="K2204" s="24">
        <f t="shared" si="173"/>
        <v>1.35</v>
      </c>
      <c r="L2204" s="24">
        <f t="shared" si="174"/>
        <v>0</v>
      </c>
    </row>
    <row r="2205" spans="1:12" ht="15" customHeight="1" x14ac:dyDescent="0.3">
      <c r="A2205" s="23" t="s">
        <v>15055</v>
      </c>
      <c r="B2205" s="23" t="s">
        <v>79</v>
      </c>
      <c r="C2205" s="39">
        <v>2298</v>
      </c>
      <c r="D2205" s="24">
        <v>36.770000000000003</v>
      </c>
      <c r="E2205" s="24">
        <v>6.62</v>
      </c>
      <c r="F2205" s="23">
        <f>COUNTIFS(mdr_rate_cleaned!$A$2:$A$10,B2205,mdr_rate_cleaned!$B$2:$B$10,"&lt;"&amp;C2205,mdr_rate_cleaned!$F$2:$F$10,"&gt;="&amp;C2205)</f>
        <v>1</v>
      </c>
      <c r="G2205" s="40">
        <f>SUMIFS(mdr_rate_cleaned!$G$2:$G$10,mdr_rate_cleaned!$A$2:$A$10,B2205,mdr_rate_cleaned!$B$2:$B$10,"&lt;"&amp;C2205,mdr_rate_cleaned!$F$2:$F$10,"&gt;="&amp;C2205)</f>
        <v>1.6E-2</v>
      </c>
      <c r="H2205" s="24">
        <f t="shared" si="170"/>
        <v>36.770000000000003</v>
      </c>
      <c r="I2205" s="23" t="str">
        <f t="shared" si="171"/>
        <v>Match</v>
      </c>
      <c r="J2205" s="23" t="str">
        <f t="shared" si="172"/>
        <v>Match</v>
      </c>
      <c r="K2205" s="24">
        <f t="shared" si="173"/>
        <v>6.62</v>
      </c>
      <c r="L2205" s="24">
        <f t="shared" si="174"/>
        <v>0</v>
      </c>
    </row>
    <row r="2206" spans="1:12" ht="15" customHeight="1" x14ac:dyDescent="0.3">
      <c r="A2206" s="23" t="s">
        <v>15056</v>
      </c>
      <c r="B2206" s="23" t="s">
        <v>75</v>
      </c>
      <c r="C2206" s="39">
        <v>4798</v>
      </c>
      <c r="D2206" s="24">
        <v>14.39</v>
      </c>
      <c r="E2206" s="24">
        <v>2.59</v>
      </c>
      <c r="F2206" s="23">
        <f>COUNTIFS(mdr_rate_cleaned!$A$2:$A$10,B2206,mdr_rate_cleaned!$B$2:$B$10,"&lt;"&amp;C2206,mdr_rate_cleaned!$F$2:$F$10,"&gt;="&amp;C2206)</f>
        <v>1</v>
      </c>
      <c r="G2206" s="40">
        <f>SUMIFS(mdr_rate_cleaned!$G$2:$G$10,mdr_rate_cleaned!$A$2:$A$10,B2206,mdr_rate_cleaned!$B$2:$B$10,"&lt;"&amp;C2206,mdr_rate_cleaned!$F$2:$F$10,"&gt;="&amp;C2206)</f>
        <v>3.0000000000000001E-3</v>
      </c>
      <c r="H2206" s="24">
        <f t="shared" si="170"/>
        <v>14.39</v>
      </c>
      <c r="I2206" s="23" t="str">
        <f t="shared" si="171"/>
        <v>Match</v>
      </c>
      <c r="J2206" s="23" t="str">
        <f t="shared" si="172"/>
        <v>Match</v>
      </c>
      <c r="K2206" s="24">
        <f t="shared" si="173"/>
        <v>2.59</v>
      </c>
      <c r="L2206" s="24">
        <f t="shared" si="174"/>
        <v>0</v>
      </c>
    </row>
    <row r="2207" spans="1:12" ht="15" customHeight="1" x14ac:dyDescent="0.3">
      <c r="A2207" s="23" t="s">
        <v>15057</v>
      </c>
      <c r="B2207" s="23" t="s">
        <v>75</v>
      </c>
      <c r="C2207" s="39">
        <v>3098</v>
      </c>
      <c r="D2207" s="24">
        <v>9.2899999999999991</v>
      </c>
      <c r="E2207" s="24">
        <v>1.67</v>
      </c>
      <c r="F2207" s="23">
        <f>COUNTIFS(mdr_rate_cleaned!$A$2:$A$10,B2207,mdr_rate_cleaned!$B$2:$B$10,"&lt;"&amp;C2207,mdr_rate_cleaned!$F$2:$F$10,"&gt;="&amp;C2207)</f>
        <v>1</v>
      </c>
      <c r="G2207" s="40">
        <f>SUMIFS(mdr_rate_cleaned!$G$2:$G$10,mdr_rate_cleaned!$A$2:$A$10,B2207,mdr_rate_cleaned!$B$2:$B$10,"&lt;"&amp;C2207,mdr_rate_cleaned!$F$2:$F$10,"&gt;="&amp;C2207)</f>
        <v>3.0000000000000001E-3</v>
      </c>
      <c r="H2207" s="24">
        <f t="shared" si="170"/>
        <v>9.2899999999999991</v>
      </c>
      <c r="I2207" s="23" t="str">
        <f t="shared" si="171"/>
        <v>Match</v>
      </c>
      <c r="J2207" s="23" t="str">
        <f t="shared" si="172"/>
        <v>Match</v>
      </c>
      <c r="K2207" s="24">
        <f t="shared" si="173"/>
        <v>1.67</v>
      </c>
      <c r="L2207" s="24">
        <f t="shared" si="174"/>
        <v>0</v>
      </c>
    </row>
    <row r="2208" spans="1:12" ht="15" customHeight="1" x14ac:dyDescent="0.3">
      <c r="A2208" s="23" t="s">
        <v>15058</v>
      </c>
      <c r="B2208" s="23" t="s">
        <v>75</v>
      </c>
      <c r="C2208" s="39">
        <v>599</v>
      </c>
      <c r="D2208" s="24">
        <v>1.8</v>
      </c>
      <c r="E2208" s="24">
        <v>0.32</v>
      </c>
      <c r="F2208" s="23">
        <f>COUNTIFS(mdr_rate_cleaned!$A$2:$A$10,B2208,mdr_rate_cleaned!$B$2:$B$10,"&lt;"&amp;C2208,mdr_rate_cleaned!$F$2:$F$10,"&gt;="&amp;C2208)</f>
        <v>1</v>
      </c>
      <c r="G2208" s="40">
        <f>SUMIFS(mdr_rate_cleaned!$G$2:$G$10,mdr_rate_cleaned!$A$2:$A$10,B2208,mdr_rate_cleaned!$B$2:$B$10,"&lt;"&amp;C2208,mdr_rate_cleaned!$F$2:$F$10,"&gt;="&amp;C2208)</f>
        <v>0</v>
      </c>
      <c r="H2208" s="24">
        <f t="shared" si="170"/>
        <v>0</v>
      </c>
      <c r="I2208" s="23" t="str">
        <f t="shared" si="171"/>
        <v>Differs</v>
      </c>
      <c r="J2208" s="23" t="str">
        <f t="shared" si="172"/>
        <v>Match</v>
      </c>
      <c r="K2208" s="24">
        <f t="shared" si="173"/>
        <v>0</v>
      </c>
      <c r="L2208" s="24">
        <f t="shared" si="174"/>
        <v>2.12</v>
      </c>
    </row>
    <row r="2209" spans="1:12" ht="15" customHeight="1" x14ac:dyDescent="0.3">
      <c r="A2209" s="23" t="s">
        <v>15059</v>
      </c>
      <c r="B2209" s="23" t="s">
        <v>75</v>
      </c>
      <c r="C2209" s="39">
        <v>1299</v>
      </c>
      <c r="D2209" s="24">
        <v>0</v>
      </c>
      <c r="E2209" s="24">
        <v>0</v>
      </c>
      <c r="F2209" s="23">
        <f>COUNTIFS(mdr_rate_cleaned!$A$2:$A$10,B2209,mdr_rate_cleaned!$B$2:$B$10,"&lt;"&amp;C2209,mdr_rate_cleaned!$F$2:$F$10,"&gt;="&amp;C2209)</f>
        <v>1</v>
      </c>
      <c r="G2209" s="40">
        <f>SUMIFS(mdr_rate_cleaned!$G$2:$G$10,mdr_rate_cleaned!$A$2:$A$10,B2209,mdr_rate_cleaned!$B$2:$B$10,"&lt;"&amp;C2209,mdr_rate_cleaned!$F$2:$F$10,"&gt;="&amp;C2209)</f>
        <v>0</v>
      </c>
      <c r="H2209" s="24">
        <f t="shared" si="170"/>
        <v>0</v>
      </c>
      <c r="I2209" s="23" t="str">
        <f t="shared" si="171"/>
        <v>Match</v>
      </c>
      <c r="J2209" s="23" t="str">
        <f t="shared" si="172"/>
        <v>Match</v>
      </c>
      <c r="K2209" s="24">
        <f t="shared" si="173"/>
        <v>0</v>
      </c>
      <c r="L2209" s="24">
        <f t="shared" si="174"/>
        <v>0</v>
      </c>
    </row>
    <row r="2210" spans="1:12" ht="15" customHeight="1" x14ac:dyDescent="0.3">
      <c r="A2210" s="23" t="s">
        <v>15060</v>
      </c>
      <c r="B2210" s="23" t="s">
        <v>79</v>
      </c>
      <c r="C2210" s="39">
        <v>2499</v>
      </c>
      <c r="D2210" s="24">
        <v>39.979999999999997</v>
      </c>
      <c r="E2210" s="24">
        <v>7.2</v>
      </c>
      <c r="F2210" s="23">
        <f>COUNTIFS(mdr_rate_cleaned!$A$2:$A$10,B2210,mdr_rate_cleaned!$B$2:$B$10,"&lt;"&amp;C2210,mdr_rate_cleaned!$F$2:$F$10,"&gt;="&amp;C2210)</f>
        <v>1</v>
      </c>
      <c r="G2210" s="40">
        <f>SUMIFS(mdr_rate_cleaned!$G$2:$G$10,mdr_rate_cleaned!$A$2:$A$10,B2210,mdr_rate_cleaned!$B$2:$B$10,"&lt;"&amp;C2210,mdr_rate_cleaned!$F$2:$F$10,"&gt;="&amp;C2210)</f>
        <v>1.6E-2</v>
      </c>
      <c r="H2210" s="24">
        <f t="shared" si="170"/>
        <v>39.979999999999997</v>
      </c>
      <c r="I2210" s="23" t="str">
        <f t="shared" si="171"/>
        <v>Match</v>
      </c>
      <c r="J2210" s="23" t="str">
        <f t="shared" si="172"/>
        <v>Match</v>
      </c>
      <c r="K2210" s="24">
        <f t="shared" si="173"/>
        <v>7.2</v>
      </c>
      <c r="L2210" s="24">
        <f t="shared" si="174"/>
        <v>0</v>
      </c>
    </row>
    <row r="2211" spans="1:12" ht="15" customHeight="1" x14ac:dyDescent="0.3">
      <c r="A2211" s="23" t="s">
        <v>15061</v>
      </c>
      <c r="B2211" s="23" t="s">
        <v>75</v>
      </c>
      <c r="C2211" s="39">
        <v>3647</v>
      </c>
      <c r="D2211" s="24">
        <v>10.94</v>
      </c>
      <c r="E2211" s="24">
        <v>1.97</v>
      </c>
      <c r="F2211" s="23">
        <f>COUNTIFS(mdr_rate_cleaned!$A$2:$A$10,B2211,mdr_rate_cleaned!$B$2:$B$10,"&lt;"&amp;C2211,mdr_rate_cleaned!$F$2:$F$10,"&gt;="&amp;C2211)</f>
        <v>1</v>
      </c>
      <c r="G2211" s="40">
        <f>SUMIFS(mdr_rate_cleaned!$G$2:$G$10,mdr_rate_cleaned!$A$2:$A$10,B2211,mdr_rate_cleaned!$B$2:$B$10,"&lt;"&amp;C2211,mdr_rate_cleaned!$F$2:$F$10,"&gt;="&amp;C2211)</f>
        <v>3.0000000000000001E-3</v>
      </c>
      <c r="H2211" s="24">
        <f t="shared" si="170"/>
        <v>10.94</v>
      </c>
      <c r="I2211" s="23" t="str">
        <f t="shared" si="171"/>
        <v>Match</v>
      </c>
      <c r="J2211" s="23" t="str">
        <f t="shared" si="172"/>
        <v>Match</v>
      </c>
      <c r="K2211" s="24">
        <f t="shared" si="173"/>
        <v>1.97</v>
      </c>
      <c r="L2211" s="24">
        <f t="shared" si="174"/>
        <v>0</v>
      </c>
    </row>
    <row r="2212" spans="1:12" ht="15" customHeight="1" x14ac:dyDescent="0.3">
      <c r="A2212" s="23" t="s">
        <v>15062</v>
      </c>
      <c r="B2212" s="23" t="s">
        <v>79</v>
      </c>
      <c r="C2212" s="39">
        <v>1799</v>
      </c>
      <c r="D2212" s="24">
        <v>32.380000000000003</v>
      </c>
      <c r="E2212" s="24">
        <v>5.83</v>
      </c>
      <c r="F2212" s="23">
        <f>COUNTIFS(mdr_rate_cleaned!$A$2:$A$10,B2212,mdr_rate_cleaned!$B$2:$B$10,"&lt;"&amp;C2212,mdr_rate_cleaned!$F$2:$F$10,"&gt;="&amp;C2212)</f>
        <v>1</v>
      </c>
      <c r="G2212" s="40">
        <f>SUMIFS(mdr_rate_cleaned!$G$2:$G$10,mdr_rate_cleaned!$A$2:$A$10,B2212,mdr_rate_cleaned!$B$2:$B$10,"&lt;"&amp;C2212,mdr_rate_cleaned!$F$2:$F$10,"&gt;="&amp;C2212)</f>
        <v>1.8000000000000002E-2</v>
      </c>
      <c r="H2212" s="24">
        <f t="shared" si="170"/>
        <v>32.380000000000003</v>
      </c>
      <c r="I2212" s="23" t="str">
        <f t="shared" si="171"/>
        <v>Match</v>
      </c>
      <c r="J2212" s="23" t="str">
        <f t="shared" si="172"/>
        <v>Match</v>
      </c>
      <c r="K2212" s="24">
        <f t="shared" si="173"/>
        <v>5.83</v>
      </c>
      <c r="L2212" s="24">
        <f t="shared" si="174"/>
        <v>0</v>
      </c>
    </row>
    <row r="2213" spans="1:12" ht="15" customHeight="1" x14ac:dyDescent="0.3">
      <c r="A2213" s="23" t="s">
        <v>15064</v>
      </c>
      <c r="B2213" s="23" t="s">
        <v>75</v>
      </c>
      <c r="C2213" s="39">
        <v>4298</v>
      </c>
      <c r="D2213" s="24">
        <v>12.89</v>
      </c>
      <c r="E2213" s="24">
        <v>2.3199999999999998</v>
      </c>
      <c r="F2213" s="23">
        <f>COUNTIFS(mdr_rate_cleaned!$A$2:$A$10,B2213,mdr_rate_cleaned!$B$2:$B$10,"&lt;"&amp;C2213,mdr_rate_cleaned!$F$2:$F$10,"&gt;="&amp;C2213)</f>
        <v>1</v>
      </c>
      <c r="G2213" s="40">
        <f>SUMIFS(mdr_rate_cleaned!$G$2:$G$10,mdr_rate_cleaned!$A$2:$A$10,B2213,mdr_rate_cleaned!$B$2:$B$10,"&lt;"&amp;C2213,mdr_rate_cleaned!$F$2:$F$10,"&gt;="&amp;C2213)</f>
        <v>3.0000000000000001E-3</v>
      </c>
      <c r="H2213" s="24">
        <f t="shared" si="170"/>
        <v>12.89</v>
      </c>
      <c r="I2213" s="23" t="str">
        <f t="shared" si="171"/>
        <v>Match</v>
      </c>
      <c r="J2213" s="23" t="str">
        <f t="shared" si="172"/>
        <v>Match</v>
      </c>
      <c r="K2213" s="24">
        <f t="shared" si="173"/>
        <v>2.3199999999999998</v>
      </c>
      <c r="L2213" s="24">
        <f t="shared" si="174"/>
        <v>0</v>
      </c>
    </row>
    <row r="2214" spans="1:12" ht="15" customHeight="1" x14ac:dyDescent="0.3">
      <c r="A2214" s="23" t="s">
        <v>15065</v>
      </c>
      <c r="B2214" s="23" t="s">
        <v>79</v>
      </c>
      <c r="C2214" s="39">
        <v>2148</v>
      </c>
      <c r="D2214" s="24">
        <v>34.369999999999997</v>
      </c>
      <c r="E2214" s="24">
        <v>6.19</v>
      </c>
      <c r="F2214" s="23">
        <f>COUNTIFS(mdr_rate_cleaned!$A$2:$A$10,B2214,mdr_rate_cleaned!$B$2:$B$10,"&lt;"&amp;C2214,mdr_rate_cleaned!$F$2:$F$10,"&gt;="&amp;C2214)</f>
        <v>1</v>
      </c>
      <c r="G2214" s="40">
        <f>SUMIFS(mdr_rate_cleaned!$G$2:$G$10,mdr_rate_cleaned!$A$2:$A$10,B2214,mdr_rate_cleaned!$B$2:$B$10,"&lt;"&amp;C2214,mdr_rate_cleaned!$F$2:$F$10,"&gt;="&amp;C2214)</f>
        <v>1.6E-2</v>
      </c>
      <c r="H2214" s="24">
        <f t="shared" si="170"/>
        <v>34.369999999999997</v>
      </c>
      <c r="I2214" s="23" t="str">
        <f t="shared" si="171"/>
        <v>Match</v>
      </c>
      <c r="J2214" s="23" t="str">
        <f t="shared" si="172"/>
        <v>Match</v>
      </c>
      <c r="K2214" s="24">
        <f t="shared" si="173"/>
        <v>6.19</v>
      </c>
      <c r="L2214" s="24">
        <f t="shared" si="174"/>
        <v>0</v>
      </c>
    </row>
    <row r="2215" spans="1:12" ht="15" customHeight="1" x14ac:dyDescent="0.3">
      <c r="A2215" s="23" t="s">
        <v>15066</v>
      </c>
      <c r="B2215" s="23" t="s">
        <v>75</v>
      </c>
      <c r="C2215" s="39">
        <v>7999</v>
      </c>
      <c r="D2215" s="24">
        <v>24</v>
      </c>
      <c r="E2215" s="24">
        <v>4.32</v>
      </c>
      <c r="F2215" s="23">
        <f>COUNTIFS(mdr_rate_cleaned!$A$2:$A$10,B2215,mdr_rate_cleaned!$B$2:$B$10,"&lt;"&amp;C2215,mdr_rate_cleaned!$F$2:$F$10,"&gt;="&amp;C2215)</f>
        <v>1</v>
      </c>
      <c r="G2215" s="40">
        <f>SUMIFS(mdr_rate_cleaned!$G$2:$G$10,mdr_rate_cleaned!$A$2:$A$10,B2215,mdr_rate_cleaned!$B$2:$B$10,"&lt;"&amp;C2215,mdr_rate_cleaned!$F$2:$F$10,"&gt;="&amp;C2215)</f>
        <v>3.0000000000000001E-3</v>
      </c>
      <c r="H2215" s="24">
        <f t="shared" si="170"/>
        <v>24</v>
      </c>
      <c r="I2215" s="23" t="str">
        <f t="shared" si="171"/>
        <v>Match</v>
      </c>
      <c r="J2215" s="23" t="str">
        <f t="shared" si="172"/>
        <v>Match</v>
      </c>
      <c r="K2215" s="24">
        <f t="shared" si="173"/>
        <v>4.32</v>
      </c>
      <c r="L2215" s="24">
        <f t="shared" si="174"/>
        <v>0</v>
      </c>
    </row>
    <row r="2216" spans="1:12" ht="15" customHeight="1" x14ac:dyDescent="0.3">
      <c r="A2216" s="23" t="s">
        <v>15067</v>
      </c>
      <c r="B2216" s="23" t="s">
        <v>75</v>
      </c>
      <c r="C2216" s="39">
        <v>3499</v>
      </c>
      <c r="D2216" s="24">
        <v>10.5</v>
      </c>
      <c r="E2216" s="24">
        <v>1.89</v>
      </c>
      <c r="F2216" s="23">
        <f>COUNTIFS(mdr_rate_cleaned!$A$2:$A$10,B2216,mdr_rate_cleaned!$B$2:$B$10,"&lt;"&amp;C2216,mdr_rate_cleaned!$F$2:$F$10,"&gt;="&amp;C2216)</f>
        <v>1</v>
      </c>
      <c r="G2216" s="40">
        <f>SUMIFS(mdr_rate_cleaned!$G$2:$G$10,mdr_rate_cleaned!$A$2:$A$10,B2216,mdr_rate_cleaned!$B$2:$B$10,"&lt;"&amp;C2216,mdr_rate_cleaned!$F$2:$F$10,"&gt;="&amp;C2216)</f>
        <v>3.0000000000000001E-3</v>
      </c>
      <c r="H2216" s="24">
        <f t="shared" si="170"/>
        <v>10.5</v>
      </c>
      <c r="I2216" s="23" t="str">
        <f t="shared" si="171"/>
        <v>Match</v>
      </c>
      <c r="J2216" s="23" t="str">
        <f t="shared" si="172"/>
        <v>Match</v>
      </c>
      <c r="K2216" s="24">
        <f t="shared" si="173"/>
        <v>1.89</v>
      </c>
      <c r="L2216" s="24">
        <f t="shared" si="174"/>
        <v>0</v>
      </c>
    </row>
    <row r="2217" spans="1:12" ht="15" customHeight="1" x14ac:dyDescent="0.3">
      <c r="A2217" s="23" t="s">
        <v>15068</v>
      </c>
      <c r="B2217" s="23" t="s">
        <v>75</v>
      </c>
      <c r="C2217" s="39">
        <v>4798</v>
      </c>
      <c r="D2217" s="24">
        <v>14.39</v>
      </c>
      <c r="E2217" s="24">
        <v>2.59</v>
      </c>
      <c r="F2217" s="23">
        <f>COUNTIFS(mdr_rate_cleaned!$A$2:$A$10,B2217,mdr_rate_cleaned!$B$2:$B$10,"&lt;"&amp;C2217,mdr_rate_cleaned!$F$2:$F$10,"&gt;="&amp;C2217)</f>
        <v>1</v>
      </c>
      <c r="G2217" s="40">
        <f>SUMIFS(mdr_rate_cleaned!$G$2:$G$10,mdr_rate_cleaned!$A$2:$A$10,B2217,mdr_rate_cleaned!$B$2:$B$10,"&lt;"&amp;C2217,mdr_rate_cleaned!$F$2:$F$10,"&gt;="&amp;C2217)</f>
        <v>3.0000000000000001E-3</v>
      </c>
      <c r="H2217" s="24">
        <f t="shared" si="170"/>
        <v>14.39</v>
      </c>
      <c r="I2217" s="23" t="str">
        <f t="shared" si="171"/>
        <v>Match</v>
      </c>
      <c r="J2217" s="23" t="str">
        <f t="shared" si="172"/>
        <v>Match</v>
      </c>
      <c r="K2217" s="24">
        <f t="shared" si="173"/>
        <v>2.59</v>
      </c>
      <c r="L2217" s="24">
        <f t="shared" si="174"/>
        <v>0</v>
      </c>
    </row>
    <row r="2218" spans="1:12" ht="15" customHeight="1" x14ac:dyDescent="0.3">
      <c r="A2218" s="23" t="s">
        <v>15069</v>
      </c>
      <c r="B2218" s="23" t="s">
        <v>75</v>
      </c>
      <c r="C2218" s="39">
        <v>7998</v>
      </c>
      <c r="D2218" s="24">
        <v>23.99</v>
      </c>
      <c r="E2218" s="24">
        <v>4.32</v>
      </c>
      <c r="F2218" s="23">
        <f>COUNTIFS(mdr_rate_cleaned!$A$2:$A$10,B2218,mdr_rate_cleaned!$B$2:$B$10,"&lt;"&amp;C2218,mdr_rate_cleaned!$F$2:$F$10,"&gt;="&amp;C2218)</f>
        <v>1</v>
      </c>
      <c r="G2218" s="40">
        <f>SUMIFS(mdr_rate_cleaned!$G$2:$G$10,mdr_rate_cleaned!$A$2:$A$10,B2218,mdr_rate_cleaned!$B$2:$B$10,"&lt;"&amp;C2218,mdr_rate_cleaned!$F$2:$F$10,"&gt;="&amp;C2218)</f>
        <v>3.0000000000000001E-3</v>
      </c>
      <c r="H2218" s="24">
        <f t="shared" si="170"/>
        <v>23.99</v>
      </c>
      <c r="I2218" s="23" t="str">
        <f t="shared" si="171"/>
        <v>Match</v>
      </c>
      <c r="J2218" s="23" t="str">
        <f t="shared" si="172"/>
        <v>Match</v>
      </c>
      <c r="K2218" s="24">
        <f t="shared" si="173"/>
        <v>4.32</v>
      </c>
      <c r="L2218" s="24">
        <f t="shared" si="174"/>
        <v>0</v>
      </c>
    </row>
    <row r="2219" spans="1:12" ht="15" customHeight="1" x14ac:dyDescent="0.3">
      <c r="A2219" s="23" t="s">
        <v>15071</v>
      </c>
      <c r="B2219" s="23" t="s">
        <v>75</v>
      </c>
      <c r="C2219" s="39">
        <v>2498</v>
      </c>
      <c r="D2219" s="24">
        <v>7.49</v>
      </c>
      <c r="E2219" s="24">
        <v>1.35</v>
      </c>
      <c r="F2219" s="23">
        <f>COUNTIFS(mdr_rate_cleaned!$A$2:$A$10,B2219,mdr_rate_cleaned!$B$2:$B$10,"&lt;"&amp;C2219,mdr_rate_cleaned!$F$2:$F$10,"&gt;="&amp;C2219)</f>
        <v>1</v>
      </c>
      <c r="G2219" s="40">
        <f>SUMIFS(mdr_rate_cleaned!$G$2:$G$10,mdr_rate_cleaned!$A$2:$A$10,B2219,mdr_rate_cleaned!$B$2:$B$10,"&lt;"&amp;C2219,mdr_rate_cleaned!$F$2:$F$10,"&gt;="&amp;C2219)</f>
        <v>3.0000000000000001E-3</v>
      </c>
      <c r="H2219" s="24">
        <f t="shared" si="170"/>
        <v>7.49</v>
      </c>
      <c r="I2219" s="23" t="str">
        <f t="shared" si="171"/>
        <v>Match</v>
      </c>
      <c r="J2219" s="23" t="str">
        <f t="shared" si="172"/>
        <v>Match</v>
      </c>
      <c r="K2219" s="24">
        <f t="shared" si="173"/>
        <v>1.35</v>
      </c>
      <c r="L2219" s="24">
        <f t="shared" si="174"/>
        <v>0</v>
      </c>
    </row>
    <row r="2220" spans="1:12" ht="15" customHeight="1" x14ac:dyDescent="0.3">
      <c r="A2220" s="23" t="s">
        <v>15072</v>
      </c>
      <c r="B2220" s="23" t="s">
        <v>75</v>
      </c>
      <c r="C2220" s="39">
        <v>7999</v>
      </c>
      <c r="D2220" s="24">
        <v>24</v>
      </c>
      <c r="E2220" s="24">
        <v>4.32</v>
      </c>
      <c r="F2220" s="23">
        <f>COUNTIFS(mdr_rate_cleaned!$A$2:$A$10,B2220,mdr_rate_cleaned!$B$2:$B$10,"&lt;"&amp;C2220,mdr_rate_cleaned!$F$2:$F$10,"&gt;="&amp;C2220)</f>
        <v>1</v>
      </c>
      <c r="G2220" s="40">
        <f>SUMIFS(mdr_rate_cleaned!$G$2:$G$10,mdr_rate_cleaned!$A$2:$A$10,B2220,mdr_rate_cleaned!$B$2:$B$10,"&lt;"&amp;C2220,mdr_rate_cleaned!$F$2:$F$10,"&gt;="&amp;C2220)</f>
        <v>3.0000000000000001E-3</v>
      </c>
      <c r="H2220" s="24">
        <f t="shared" si="170"/>
        <v>24</v>
      </c>
      <c r="I2220" s="23" t="str">
        <f t="shared" si="171"/>
        <v>Match</v>
      </c>
      <c r="J2220" s="23" t="str">
        <f t="shared" si="172"/>
        <v>Match</v>
      </c>
      <c r="K2220" s="24">
        <f t="shared" si="173"/>
        <v>4.32</v>
      </c>
      <c r="L2220" s="24">
        <f t="shared" si="174"/>
        <v>0</v>
      </c>
    </row>
    <row r="2221" spans="1:12" ht="15" customHeight="1" x14ac:dyDescent="0.3">
      <c r="A2221" s="23" t="s">
        <v>15073</v>
      </c>
      <c r="B2221" s="23" t="s">
        <v>75</v>
      </c>
      <c r="C2221" s="39">
        <v>6297</v>
      </c>
      <c r="D2221" s="24">
        <v>18.89</v>
      </c>
      <c r="E2221" s="24">
        <v>3.4</v>
      </c>
      <c r="F2221" s="23">
        <f>COUNTIFS(mdr_rate_cleaned!$A$2:$A$10,B2221,mdr_rate_cleaned!$B$2:$B$10,"&lt;"&amp;C2221,mdr_rate_cleaned!$F$2:$F$10,"&gt;="&amp;C2221)</f>
        <v>1</v>
      </c>
      <c r="G2221" s="40">
        <f>SUMIFS(mdr_rate_cleaned!$G$2:$G$10,mdr_rate_cleaned!$A$2:$A$10,B2221,mdr_rate_cleaned!$B$2:$B$10,"&lt;"&amp;C2221,mdr_rate_cleaned!$F$2:$F$10,"&gt;="&amp;C2221)</f>
        <v>3.0000000000000001E-3</v>
      </c>
      <c r="H2221" s="24">
        <f t="shared" si="170"/>
        <v>18.89</v>
      </c>
      <c r="I2221" s="23" t="str">
        <f t="shared" si="171"/>
        <v>Match</v>
      </c>
      <c r="J2221" s="23" t="str">
        <f t="shared" si="172"/>
        <v>Match</v>
      </c>
      <c r="K2221" s="24">
        <f t="shared" si="173"/>
        <v>3.4</v>
      </c>
      <c r="L2221" s="24">
        <f t="shared" si="174"/>
        <v>0</v>
      </c>
    </row>
    <row r="2222" spans="1:12" ht="15" customHeight="1" x14ac:dyDescent="0.3">
      <c r="A2222" s="23" t="s">
        <v>15074</v>
      </c>
      <c r="B2222" s="23" t="s">
        <v>75</v>
      </c>
      <c r="C2222" s="39">
        <v>2999</v>
      </c>
      <c r="D2222" s="24">
        <v>9</v>
      </c>
      <c r="E2222" s="24">
        <v>1.62</v>
      </c>
      <c r="F2222" s="23">
        <f>COUNTIFS(mdr_rate_cleaned!$A$2:$A$10,B2222,mdr_rate_cleaned!$B$2:$B$10,"&lt;"&amp;C2222,mdr_rate_cleaned!$F$2:$F$10,"&gt;="&amp;C2222)</f>
        <v>1</v>
      </c>
      <c r="G2222" s="40">
        <f>SUMIFS(mdr_rate_cleaned!$G$2:$G$10,mdr_rate_cleaned!$A$2:$A$10,B2222,mdr_rate_cleaned!$B$2:$B$10,"&lt;"&amp;C2222,mdr_rate_cleaned!$F$2:$F$10,"&gt;="&amp;C2222)</f>
        <v>3.0000000000000001E-3</v>
      </c>
      <c r="H2222" s="24">
        <f t="shared" si="170"/>
        <v>9</v>
      </c>
      <c r="I2222" s="23" t="str">
        <f t="shared" si="171"/>
        <v>Match</v>
      </c>
      <c r="J2222" s="23" t="str">
        <f t="shared" si="172"/>
        <v>Match</v>
      </c>
      <c r="K2222" s="24">
        <f t="shared" si="173"/>
        <v>1.62</v>
      </c>
      <c r="L2222" s="24">
        <f t="shared" si="174"/>
        <v>0</v>
      </c>
    </row>
    <row r="2223" spans="1:12" ht="15" customHeight="1" x14ac:dyDescent="0.3">
      <c r="A2223" s="23" t="s">
        <v>15075</v>
      </c>
      <c r="B2223" s="23" t="s">
        <v>75</v>
      </c>
      <c r="C2223" s="39">
        <v>2850</v>
      </c>
      <c r="D2223" s="24">
        <v>8.5500000000000007</v>
      </c>
      <c r="E2223" s="24">
        <v>1.54</v>
      </c>
      <c r="F2223" s="23">
        <f>COUNTIFS(mdr_rate_cleaned!$A$2:$A$10,B2223,mdr_rate_cleaned!$B$2:$B$10,"&lt;"&amp;C2223,mdr_rate_cleaned!$F$2:$F$10,"&gt;="&amp;C2223)</f>
        <v>1</v>
      </c>
      <c r="G2223" s="40">
        <f>SUMIFS(mdr_rate_cleaned!$G$2:$G$10,mdr_rate_cleaned!$A$2:$A$10,B2223,mdr_rate_cleaned!$B$2:$B$10,"&lt;"&amp;C2223,mdr_rate_cleaned!$F$2:$F$10,"&gt;="&amp;C2223)</f>
        <v>3.0000000000000001E-3</v>
      </c>
      <c r="H2223" s="24">
        <f t="shared" si="170"/>
        <v>8.5500000000000007</v>
      </c>
      <c r="I2223" s="23" t="str">
        <f t="shared" si="171"/>
        <v>Match</v>
      </c>
      <c r="J2223" s="23" t="str">
        <f t="shared" si="172"/>
        <v>Match</v>
      </c>
      <c r="K2223" s="24">
        <f t="shared" si="173"/>
        <v>1.54</v>
      </c>
      <c r="L2223" s="24">
        <f t="shared" si="174"/>
        <v>0</v>
      </c>
    </row>
    <row r="2224" spans="1:12" ht="15" customHeight="1" x14ac:dyDescent="0.3">
      <c r="A2224" s="23" t="s">
        <v>15076</v>
      </c>
      <c r="B2224" s="23" t="s">
        <v>75</v>
      </c>
      <c r="C2224" s="39">
        <v>4998</v>
      </c>
      <c r="D2224" s="24">
        <v>14.99</v>
      </c>
      <c r="E2224" s="24">
        <v>2.7</v>
      </c>
      <c r="F2224" s="23">
        <f>COUNTIFS(mdr_rate_cleaned!$A$2:$A$10,B2224,mdr_rate_cleaned!$B$2:$B$10,"&lt;"&amp;C2224,mdr_rate_cleaned!$F$2:$F$10,"&gt;="&amp;C2224)</f>
        <v>1</v>
      </c>
      <c r="G2224" s="40">
        <f>SUMIFS(mdr_rate_cleaned!$G$2:$G$10,mdr_rate_cleaned!$A$2:$A$10,B2224,mdr_rate_cleaned!$B$2:$B$10,"&lt;"&amp;C2224,mdr_rate_cleaned!$F$2:$F$10,"&gt;="&amp;C2224)</f>
        <v>3.0000000000000001E-3</v>
      </c>
      <c r="H2224" s="24">
        <f t="shared" si="170"/>
        <v>14.99</v>
      </c>
      <c r="I2224" s="23" t="str">
        <f t="shared" si="171"/>
        <v>Match</v>
      </c>
      <c r="J2224" s="23" t="str">
        <f t="shared" si="172"/>
        <v>Match</v>
      </c>
      <c r="K2224" s="24">
        <f t="shared" si="173"/>
        <v>2.7</v>
      </c>
      <c r="L2224" s="24">
        <f t="shared" si="174"/>
        <v>0</v>
      </c>
    </row>
    <row r="2225" spans="1:12" ht="15" customHeight="1" x14ac:dyDescent="0.3">
      <c r="A2225" s="23" t="s">
        <v>15077</v>
      </c>
      <c r="B2225" s="23" t="s">
        <v>75</v>
      </c>
      <c r="C2225" s="39">
        <v>3499</v>
      </c>
      <c r="D2225" s="24">
        <v>10.5</v>
      </c>
      <c r="E2225" s="24">
        <v>1.89</v>
      </c>
      <c r="F2225" s="23">
        <f>COUNTIFS(mdr_rate_cleaned!$A$2:$A$10,B2225,mdr_rate_cleaned!$B$2:$B$10,"&lt;"&amp;C2225,mdr_rate_cleaned!$F$2:$F$10,"&gt;="&amp;C2225)</f>
        <v>1</v>
      </c>
      <c r="G2225" s="40">
        <f>SUMIFS(mdr_rate_cleaned!$G$2:$G$10,mdr_rate_cleaned!$A$2:$A$10,B2225,mdr_rate_cleaned!$B$2:$B$10,"&lt;"&amp;C2225,mdr_rate_cleaned!$F$2:$F$10,"&gt;="&amp;C2225)</f>
        <v>3.0000000000000001E-3</v>
      </c>
      <c r="H2225" s="24">
        <f t="shared" si="170"/>
        <v>10.5</v>
      </c>
      <c r="I2225" s="23" t="str">
        <f t="shared" si="171"/>
        <v>Match</v>
      </c>
      <c r="J2225" s="23" t="str">
        <f t="shared" si="172"/>
        <v>Match</v>
      </c>
      <c r="K2225" s="24">
        <f t="shared" si="173"/>
        <v>1.89</v>
      </c>
      <c r="L2225" s="24">
        <f t="shared" si="174"/>
        <v>0</v>
      </c>
    </row>
    <row r="2226" spans="1:12" ht="15" customHeight="1" x14ac:dyDescent="0.3">
      <c r="A2226" s="23" t="s">
        <v>15078</v>
      </c>
      <c r="B2226" s="23" t="s">
        <v>75</v>
      </c>
      <c r="C2226" s="39">
        <v>4798</v>
      </c>
      <c r="D2226" s="24">
        <v>14.39</v>
      </c>
      <c r="E2226" s="24">
        <v>2.59</v>
      </c>
      <c r="F2226" s="23">
        <f>COUNTIFS(mdr_rate_cleaned!$A$2:$A$10,B2226,mdr_rate_cleaned!$B$2:$B$10,"&lt;"&amp;C2226,mdr_rate_cleaned!$F$2:$F$10,"&gt;="&amp;C2226)</f>
        <v>1</v>
      </c>
      <c r="G2226" s="40">
        <f>SUMIFS(mdr_rate_cleaned!$G$2:$G$10,mdr_rate_cleaned!$A$2:$A$10,B2226,mdr_rate_cleaned!$B$2:$B$10,"&lt;"&amp;C2226,mdr_rate_cleaned!$F$2:$F$10,"&gt;="&amp;C2226)</f>
        <v>3.0000000000000001E-3</v>
      </c>
      <c r="H2226" s="24">
        <f t="shared" si="170"/>
        <v>14.39</v>
      </c>
      <c r="I2226" s="23" t="str">
        <f t="shared" si="171"/>
        <v>Match</v>
      </c>
      <c r="J2226" s="23" t="str">
        <f t="shared" si="172"/>
        <v>Match</v>
      </c>
      <c r="K2226" s="24">
        <f t="shared" si="173"/>
        <v>2.59</v>
      </c>
      <c r="L2226" s="24">
        <f t="shared" si="174"/>
        <v>0</v>
      </c>
    </row>
    <row r="2227" spans="1:12" ht="15" customHeight="1" x14ac:dyDescent="0.3">
      <c r="A2227" s="23" t="s">
        <v>15079</v>
      </c>
      <c r="B2227" s="23" t="s">
        <v>75</v>
      </c>
      <c r="C2227" s="39">
        <v>1299</v>
      </c>
      <c r="D2227" s="24">
        <v>0</v>
      </c>
      <c r="E2227" s="24">
        <v>0</v>
      </c>
      <c r="F2227" s="23">
        <f>COUNTIFS(mdr_rate_cleaned!$A$2:$A$10,B2227,mdr_rate_cleaned!$B$2:$B$10,"&lt;"&amp;C2227,mdr_rate_cleaned!$F$2:$F$10,"&gt;="&amp;C2227)</f>
        <v>1</v>
      </c>
      <c r="G2227" s="40">
        <f>SUMIFS(mdr_rate_cleaned!$G$2:$G$10,mdr_rate_cleaned!$A$2:$A$10,B2227,mdr_rate_cleaned!$B$2:$B$10,"&lt;"&amp;C2227,mdr_rate_cleaned!$F$2:$F$10,"&gt;="&amp;C2227)</f>
        <v>0</v>
      </c>
      <c r="H2227" s="24">
        <f t="shared" si="170"/>
        <v>0</v>
      </c>
      <c r="I2227" s="23" t="str">
        <f t="shared" si="171"/>
        <v>Match</v>
      </c>
      <c r="J2227" s="23" t="str">
        <f t="shared" si="172"/>
        <v>Match</v>
      </c>
      <c r="K2227" s="24">
        <f t="shared" si="173"/>
        <v>0</v>
      </c>
      <c r="L2227" s="24">
        <f t="shared" si="174"/>
        <v>0</v>
      </c>
    </row>
    <row r="2228" spans="1:12" ht="15" customHeight="1" x14ac:dyDescent="0.3">
      <c r="A2228" s="23" t="s">
        <v>15080</v>
      </c>
      <c r="B2228" s="23" t="s">
        <v>75</v>
      </c>
      <c r="C2228" s="39">
        <v>349</v>
      </c>
      <c r="D2228" s="24">
        <v>0</v>
      </c>
      <c r="E2228" s="24">
        <v>0</v>
      </c>
      <c r="F2228" s="23">
        <f>COUNTIFS(mdr_rate_cleaned!$A$2:$A$10,B2228,mdr_rate_cleaned!$B$2:$B$10,"&lt;"&amp;C2228,mdr_rate_cleaned!$F$2:$F$10,"&gt;="&amp;C2228)</f>
        <v>1</v>
      </c>
      <c r="G2228" s="40">
        <f>SUMIFS(mdr_rate_cleaned!$G$2:$G$10,mdr_rate_cleaned!$A$2:$A$10,B2228,mdr_rate_cleaned!$B$2:$B$10,"&lt;"&amp;C2228,mdr_rate_cleaned!$F$2:$F$10,"&gt;="&amp;C2228)</f>
        <v>0</v>
      </c>
      <c r="H2228" s="24">
        <f t="shared" si="170"/>
        <v>0</v>
      </c>
      <c r="I2228" s="23" t="str">
        <f t="shared" si="171"/>
        <v>Match</v>
      </c>
      <c r="J2228" s="23" t="str">
        <f t="shared" si="172"/>
        <v>Match</v>
      </c>
      <c r="K2228" s="24">
        <f t="shared" si="173"/>
        <v>0</v>
      </c>
      <c r="L2228" s="24">
        <f t="shared" si="174"/>
        <v>0</v>
      </c>
    </row>
    <row r="2229" spans="1:12" ht="15" customHeight="1" x14ac:dyDescent="0.3">
      <c r="A2229" s="23" t="s">
        <v>15081</v>
      </c>
      <c r="B2229" s="23" t="s">
        <v>79</v>
      </c>
      <c r="C2229" s="39">
        <v>9097</v>
      </c>
      <c r="D2229" s="24">
        <v>145.55000000000001</v>
      </c>
      <c r="E2229" s="24">
        <v>26.2</v>
      </c>
      <c r="F2229" s="23">
        <f>COUNTIFS(mdr_rate_cleaned!$A$2:$A$10,B2229,mdr_rate_cleaned!$B$2:$B$10,"&lt;"&amp;C2229,mdr_rate_cleaned!$F$2:$F$10,"&gt;="&amp;C2229)</f>
        <v>1</v>
      </c>
      <c r="G2229" s="40">
        <f>SUMIFS(mdr_rate_cleaned!$G$2:$G$10,mdr_rate_cleaned!$A$2:$A$10,B2229,mdr_rate_cleaned!$B$2:$B$10,"&lt;"&amp;C2229,mdr_rate_cleaned!$F$2:$F$10,"&gt;="&amp;C2229)</f>
        <v>1.6E-2</v>
      </c>
      <c r="H2229" s="24">
        <f t="shared" si="170"/>
        <v>145.55000000000001</v>
      </c>
      <c r="I2229" s="23" t="str">
        <f t="shared" si="171"/>
        <v>Match</v>
      </c>
      <c r="J2229" s="23" t="str">
        <f t="shared" si="172"/>
        <v>Match</v>
      </c>
      <c r="K2229" s="24">
        <f t="shared" si="173"/>
        <v>26.2</v>
      </c>
      <c r="L2229" s="24">
        <f t="shared" si="174"/>
        <v>0</v>
      </c>
    </row>
    <row r="2230" spans="1:12" ht="15" customHeight="1" x14ac:dyDescent="0.3">
      <c r="A2230" s="23" t="s">
        <v>15082</v>
      </c>
      <c r="B2230" s="23" t="s">
        <v>75</v>
      </c>
      <c r="C2230" s="39">
        <v>7497</v>
      </c>
      <c r="D2230" s="24">
        <v>22.49</v>
      </c>
      <c r="E2230" s="24">
        <v>4.05</v>
      </c>
      <c r="F2230" s="23">
        <f>COUNTIFS(mdr_rate_cleaned!$A$2:$A$10,B2230,mdr_rate_cleaned!$B$2:$B$10,"&lt;"&amp;C2230,mdr_rate_cleaned!$F$2:$F$10,"&gt;="&amp;C2230)</f>
        <v>1</v>
      </c>
      <c r="G2230" s="40">
        <f>SUMIFS(mdr_rate_cleaned!$G$2:$G$10,mdr_rate_cleaned!$A$2:$A$10,B2230,mdr_rate_cleaned!$B$2:$B$10,"&lt;"&amp;C2230,mdr_rate_cleaned!$F$2:$F$10,"&gt;="&amp;C2230)</f>
        <v>3.0000000000000001E-3</v>
      </c>
      <c r="H2230" s="24">
        <f t="shared" si="170"/>
        <v>22.49</v>
      </c>
      <c r="I2230" s="23" t="str">
        <f t="shared" si="171"/>
        <v>Match</v>
      </c>
      <c r="J2230" s="23" t="str">
        <f t="shared" si="172"/>
        <v>Match</v>
      </c>
      <c r="K2230" s="24">
        <f t="shared" si="173"/>
        <v>4.05</v>
      </c>
      <c r="L2230" s="24">
        <f t="shared" si="174"/>
        <v>0</v>
      </c>
    </row>
    <row r="2231" spans="1:12" ht="15" customHeight="1" x14ac:dyDescent="0.3">
      <c r="A2231" s="23" t="s">
        <v>15083</v>
      </c>
      <c r="B2231" s="23" t="s">
        <v>75</v>
      </c>
      <c r="C2231" s="39">
        <v>799</v>
      </c>
      <c r="D2231" s="24">
        <v>0</v>
      </c>
      <c r="E2231" s="24">
        <v>0</v>
      </c>
      <c r="F2231" s="23">
        <f>COUNTIFS(mdr_rate_cleaned!$A$2:$A$10,B2231,mdr_rate_cleaned!$B$2:$B$10,"&lt;"&amp;C2231,mdr_rate_cleaned!$F$2:$F$10,"&gt;="&amp;C2231)</f>
        <v>1</v>
      </c>
      <c r="G2231" s="40">
        <f>SUMIFS(mdr_rate_cleaned!$G$2:$G$10,mdr_rate_cleaned!$A$2:$A$10,B2231,mdr_rate_cleaned!$B$2:$B$10,"&lt;"&amp;C2231,mdr_rate_cleaned!$F$2:$F$10,"&gt;="&amp;C2231)</f>
        <v>0</v>
      </c>
      <c r="H2231" s="24">
        <f t="shared" si="170"/>
        <v>0</v>
      </c>
      <c r="I2231" s="23" t="str">
        <f t="shared" si="171"/>
        <v>Match</v>
      </c>
      <c r="J2231" s="23" t="str">
        <f t="shared" si="172"/>
        <v>Match</v>
      </c>
      <c r="K2231" s="24">
        <f t="shared" si="173"/>
        <v>0</v>
      </c>
      <c r="L2231" s="24">
        <f t="shared" si="174"/>
        <v>0</v>
      </c>
    </row>
    <row r="2232" spans="1:12" ht="15" customHeight="1" x14ac:dyDescent="0.3">
      <c r="A2232" s="23" t="s">
        <v>15084</v>
      </c>
      <c r="B2232" s="23" t="s">
        <v>79</v>
      </c>
      <c r="C2232" s="39">
        <v>7999</v>
      </c>
      <c r="D2232" s="24">
        <v>127.98</v>
      </c>
      <c r="E2232" s="24">
        <v>23.04</v>
      </c>
      <c r="F2232" s="23">
        <f>COUNTIFS(mdr_rate_cleaned!$A$2:$A$10,B2232,mdr_rate_cleaned!$B$2:$B$10,"&lt;"&amp;C2232,mdr_rate_cleaned!$F$2:$F$10,"&gt;="&amp;C2232)</f>
        <v>1</v>
      </c>
      <c r="G2232" s="40">
        <f>SUMIFS(mdr_rate_cleaned!$G$2:$G$10,mdr_rate_cleaned!$A$2:$A$10,B2232,mdr_rate_cleaned!$B$2:$B$10,"&lt;"&amp;C2232,mdr_rate_cleaned!$F$2:$F$10,"&gt;="&amp;C2232)</f>
        <v>1.6E-2</v>
      </c>
      <c r="H2232" s="24">
        <f t="shared" si="170"/>
        <v>127.98</v>
      </c>
      <c r="I2232" s="23" t="str">
        <f t="shared" si="171"/>
        <v>Match</v>
      </c>
      <c r="J2232" s="23" t="str">
        <f t="shared" si="172"/>
        <v>Match</v>
      </c>
      <c r="K2232" s="24">
        <f t="shared" si="173"/>
        <v>23.04</v>
      </c>
      <c r="L2232" s="24">
        <f t="shared" si="174"/>
        <v>0</v>
      </c>
    </row>
    <row r="2233" spans="1:12" ht="15" customHeight="1" x14ac:dyDescent="0.3">
      <c r="A2233" s="23" t="s">
        <v>15086</v>
      </c>
      <c r="B2233" s="23" t="s">
        <v>75</v>
      </c>
      <c r="C2233" s="39">
        <v>12998</v>
      </c>
      <c r="D2233" s="24">
        <v>38.99</v>
      </c>
      <c r="E2233" s="24">
        <v>7.02</v>
      </c>
      <c r="F2233" s="23">
        <f>COUNTIFS(mdr_rate_cleaned!$A$2:$A$10,B2233,mdr_rate_cleaned!$B$2:$B$10,"&lt;"&amp;C2233,mdr_rate_cleaned!$F$2:$F$10,"&gt;="&amp;C2233)</f>
        <v>1</v>
      </c>
      <c r="G2233" s="40">
        <f>SUMIFS(mdr_rate_cleaned!$G$2:$G$10,mdr_rate_cleaned!$A$2:$A$10,B2233,mdr_rate_cleaned!$B$2:$B$10,"&lt;"&amp;C2233,mdr_rate_cleaned!$F$2:$F$10,"&gt;="&amp;C2233)</f>
        <v>3.0000000000000001E-3</v>
      </c>
      <c r="H2233" s="24">
        <f t="shared" si="170"/>
        <v>38.99</v>
      </c>
      <c r="I2233" s="23" t="str">
        <f t="shared" si="171"/>
        <v>Match</v>
      </c>
      <c r="J2233" s="23" t="str">
        <f t="shared" si="172"/>
        <v>Match</v>
      </c>
      <c r="K2233" s="24">
        <f t="shared" si="173"/>
        <v>7.02</v>
      </c>
      <c r="L2233" s="24">
        <f t="shared" si="174"/>
        <v>0</v>
      </c>
    </row>
    <row r="2234" spans="1:12" ht="15" customHeight="1" x14ac:dyDescent="0.3">
      <c r="A2234" s="23" t="s">
        <v>15087</v>
      </c>
      <c r="B2234" s="23" t="s">
        <v>77</v>
      </c>
      <c r="C2234" s="39">
        <v>8897</v>
      </c>
      <c r="D2234" s="24">
        <v>151.25</v>
      </c>
      <c r="E2234" s="24">
        <v>27.23</v>
      </c>
      <c r="F2234" s="23">
        <f>COUNTIFS(mdr_rate_cleaned!$A$2:$A$10,B2234,mdr_rate_cleaned!$B$2:$B$10,"&lt;"&amp;C2234,mdr_rate_cleaned!$F$2:$F$10,"&gt;="&amp;C2234)</f>
        <v>1</v>
      </c>
      <c r="G2234" s="40">
        <f>SUMIFS(mdr_rate_cleaned!$G$2:$G$10,mdr_rate_cleaned!$A$2:$A$10,B2234,mdr_rate_cleaned!$B$2:$B$10,"&lt;"&amp;C2234,mdr_rate_cleaned!$F$2:$F$10,"&gt;="&amp;C2234)</f>
        <v>1.7000000000000001E-2</v>
      </c>
      <c r="H2234" s="24">
        <f t="shared" si="170"/>
        <v>151.25</v>
      </c>
      <c r="I2234" s="23" t="str">
        <f t="shared" si="171"/>
        <v>Match</v>
      </c>
      <c r="J2234" s="23" t="str">
        <f t="shared" si="172"/>
        <v>Match</v>
      </c>
      <c r="K2234" s="24">
        <f t="shared" si="173"/>
        <v>27.23</v>
      </c>
      <c r="L2234" s="24">
        <f t="shared" si="174"/>
        <v>0</v>
      </c>
    </row>
    <row r="2235" spans="1:12" ht="15" customHeight="1" x14ac:dyDescent="0.3">
      <c r="A2235" s="23" t="s">
        <v>15088</v>
      </c>
      <c r="B2235" s="23" t="s">
        <v>75</v>
      </c>
      <c r="C2235" s="39">
        <v>2597</v>
      </c>
      <c r="D2235" s="24">
        <v>7.79</v>
      </c>
      <c r="E2235" s="24">
        <v>1.4</v>
      </c>
      <c r="F2235" s="23">
        <f>COUNTIFS(mdr_rate_cleaned!$A$2:$A$10,B2235,mdr_rate_cleaned!$B$2:$B$10,"&lt;"&amp;C2235,mdr_rate_cleaned!$F$2:$F$10,"&gt;="&amp;C2235)</f>
        <v>1</v>
      </c>
      <c r="G2235" s="40">
        <f>SUMIFS(mdr_rate_cleaned!$G$2:$G$10,mdr_rate_cleaned!$A$2:$A$10,B2235,mdr_rate_cleaned!$B$2:$B$10,"&lt;"&amp;C2235,mdr_rate_cleaned!$F$2:$F$10,"&gt;="&amp;C2235)</f>
        <v>3.0000000000000001E-3</v>
      </c>
      <c r="H2235" s="24">
        <f t="shared" si="170"/>
        <v>7.79</v>
      </c>
      <c r="I2235" s="23" t="str">
        <f t="shared" si="171"/>
        <v>Match</v>
      </c>
      <c r="J2235" s="23" t="str">
        <f t="shared" si="172"/>
        <v>Match</v>
      </c>
      <c r="K2235" s="24">
        <f t="shared" si="173"/>
        <v>1.4</v>
      </c>
      <c r="L2235" s="24">
        <f t="shared" si="174"/>
        <v>0</v>
      </c>
    </row>
    <row r="2236" spans="1:12" ht="15" customHeight="1" x14ac:dyDescent="0.3">
      <c r="A2236" s="23" t="s">
        <v>15089</v>
      </c>
      <c r="B2236" s="23" t="s">
        <v>75</v>
      </c>
      <c r="C2236" s="39">
        <v>9997</v>
      </c>
      <c r="D2236" s="24">
        <v>29.99</v>
      </c>
      <c r="E2236" s="24">
        <v>5.4</v>
      </c>
      <c r="F2236" s="23">
        <f>COUNTIFS(mdr_rate_cleaned!$A$2:$A$10,B2236,mdr_rate_cleaned!$B$2:$B$10,"&lt;"&amp;C2236,mdr_rate_cleaned!$F$2:$F$10,"&gt;="&amp;C2236)</f>
        <v>1</v>
      </c>
      <c r="G2236" s="40">
        <f>SUMIFS(mdr_rate_cleaned!$G$2:$G$10,mdr_rate_cleaned!$A$2:$A$10,B2236,mdr_rate_cleaned!$B$2:$B$10,"&lt;"&amp;C2236,mdr_rate_cleaned!$F$2:$F$10,"&gt;="&amp;C2236)</f>
        <v>3.0000000000000001E-3</v>
      </c>
      <c r="H2236" s="24">
        <f t="shared" si="170"/>
        <v>29.99</v>
      </c>
      <c r="I2236" s="23" t="str">
        <f t="shared" si="171"/>
        <v>Match</v>
      </c>
      <c r="J2236" s="23" t="str">
        <f t="shared" si="172"/>
        <v>Match</v>
      </c>
      <c r="K2236" s="24">
        <f t="shared" si="173"/>
        <v>5.4</v>
      </c>
      <c r="L2236" s="24">
        <f t="shared" si="174"/>
        <v>0</v>
      </c>
    </row>
    <row r="2237" spans="1:12" ht="15" customHeight="1" x14ac:dyDescent="0.3">
      <c r="A2237" s="23" t="s">
        <v>15090</v>
      </c>
      <c r="B2237" s="23" t="s">
        <v>75</v>
      </c>
      <c r="C2237" s="39">
        <v>7999</v>
      </c>
      <c r="D2237" s="24">
        <v>24</v>
      </c>
      <c r="E2237" s="24">
        <v>4.32</v>
      </c>
      <c r="F2237" s="23">
        <f>COUNTIFS(mdr_rate_cleaned!$A$2:$A$10,B2237,mdr_rate_cleaned!$B$2:$B$10,"&lt;"&amp;C2237,mdr_rate_cleaned!$F$2:$F$10,"&gt;="&amp;C2237)</f>
        <v>1</v>
      </c>
      <c r="G2237" s="40">
        <f>SUMIFS(mdr_rate_cleaned!$G$2:$G$10,mdr_rate_cleaned!$A$2:$A$10,B2237,mdr_rate_cleaned!$B$2:$B$10,"&lt;"&amp;C2237,mdr_rate_cleaned!$F$2:$F$10,"&gt;="&amp;C2237)</f>
        <v>3.0000000000000001E-3</v>
      </c>
      <c r="H2237" s="24">
        <f t="shared" si="170"/>
        <v>24</v>
      </c>
      <c r="I2237" s="23" t="str">
        <f t="shared" si="171"/>
        <v>Match</v>
      </c>
      <c r="J2237" s="23" t="str">
        <f t="shared" si="172"/>
        <v>Match</v>
      </c>
      <c r="K2237" s="24">
        <f t="shared" si="173"/>
        <v>4.32</v>
      </c>
      <c r="L2237" s="24">
        <f t="shared" si="174"/>
        <v>0</v>
      </c>
    </row>
    <row r="2238" spans="1:12" ht="15" customHeight="1" x14ac:dyDescent="0.3">
      <c r="A2238" s="23" t="s">
        <v>15091</v>
      </c>
      <c r="B2238" s="23" t="s">
        <v>75</v>
      </c>
      <c r="C2238" s="39">
        <v>4298</v>
      </c>
      <c r="D2238" s="24">
        <v>12.89</v>
      </c>
      <c r="E2238" s="24">
        <v>2.3199999999999998</v>
      </c>
      <c r="F2238" s="23">
        <f>COUNTIFS(mdr_rate_cleaned!$A$2:$A$10,B2238,mdr_rate_cleaned!$B$2:$B$10,"&lt;"&amp;C2238,mdr_rate_cleaned!$F$2:$F$10,"&gt;="&amp;C2238)</f>
        <v>1</v>
      </c>
      <c r="G2238" s="40">
        <f>SUMIFS(mdr_rate_cleaned!$G$2:$G$10,mdr_rate_cleaned!$A$2:$A$10,B2238,mdr_rate_cleaned!$B$2:$B$10,"&lt;"&amp;C2238,mdr_rate_cleaned!$F$2:$F$10,"&gt;="&amp;C2238)</f>
        <v>3.0000000000000001E-3</v>
      </c>
      <c r="H2238" s="24">
        <f t="shared" si="170"/>
        <v>12.89</v>
      </c>
      <c r="I2238" s="23" t="str">
        <f t="shared" si="171"/>
        <v>Match</v>
      </c>
      <c r="J2238" s="23" t="str">
        <f t="shared" si="172"/>
        <v>Match</v>
      </c>
      <c r="K2238" s="24">
        <f t="shared" si="173"/>
        <v>2.3199999999999998</v>
      </c>
      <c r="L2238" s="24">
        <f t="shared" si="174"/>
        <v>0</v>
      </c>
    </row>
    <row r="2239" spans="1:12" ht="15" customHeight="1" x14ac:dyDescent="0.3">
      <c r="A2239" s="23" t="s">
        <v>15092</v>
      </c>
      <c r="B2239" s="23" t="s">
        <v>75</v>
      </c>
      <c r="C2239" s="39">
        <v>349</v>
      </c>
      <c r="D2239" s="24">
        <v>0</v>
      </c>
      <c r="E2239" s="24">
        <v>0</v>
      </c>
      <c r="F2239" s="23">
        <f>COUNTIFS(mdr_rate_cleaned!$A$2:$A$10,B2239,mdr_rate_cleaned!$B$2:$B$10,"&lt;"&amp;C2239,mdr_rate_cleaned!$F$2:$F$10,"&gt;="&amp;C2239)</f>
        <v>1</v>
      </c>
      <c r="G2239" s="40">
        <f>SUMIFS(mdr_rate_cleaned!$G$2:$G$10,mdr_rate_cleaned!$A$2:$A$10,B2239,mdr_rate_cleaned!$B$2:$B$10,"&lt;"&amp;C2239,mdr_rate_cleaned!$F$2:$F$10,"&gt;="&amp;C2239)</f>
        <v>0</v>
      </c>
      <c r="H2239" s="24">
        <f t="shared" si="170"/>
        <v>0</v>
      </c>
      <c r="I2239" s="23" t="str">
        <f t="shared" si="171"/>
        <v>Match</v>
      </c>
      <c r="J2239" s="23" t="str">
        <f t="shared" si="172"/>
        <v>Match</v>
      </c>
      <c r="K2239" s="24">
        <f t="shared" si="173"/>
        <v>0</v>
      </c>
      <c r="L2239" s="24">
        <f t="shared" si="174"/>
        <v>0</v>
      </c>
    </row>
    <row r="2240" spans="1:12" ht="15" customHeight="1" x14ac:dyDescent="0.3">
      <c r="A2240" s="23" t="s">
        <v>15093</v>
      </c>
      <c r="B2240" s="23" t="s">
        <v>79</v>
      </c>
      <c r="C2240" s="39">
        <v>3397</v>
      </c>
      <c r="D2240" s="24">
        <v>54.35</v>
      </c>
      <c r="E2240" s="24">
        <v>9.7799999999999994</v>
      </c>
      <c r="F2240" s="23">
        <f>COUNTIFS(mdr_rate_cleaned!$A$2:$A$10,B2240,mdr_rate_cleaned!$B$2:$B$10,"&lt;"&amp;C2240,mdr_rate_cleaned!$F$2:$F$10,"&gt;="&amp;C2240)</f>
        <v>1</v>
      </c>
      <c r="G2240" s="40">
        <f>SUMIFS(mdr_rate_cleaned!$G$2:$G$10,mdr_rate_cleaned!$A$2:$A$10,B2240,mdr_rate_cleaned!$B$2:$B$10,"&lt;"&amp;C2240,mdr_rate_cleaned!$F$2:$F$10,"&gt;="&amp;C2240)</f>
        <v>1.6E-2</v>
      </c>
      <c r="H2240" s="24">
        <f t="shared" si="170"/>
        <v>54.35</v>
      </c>
      <c r="I2240" s="23" t="str">
        <f t="shared" si="171"/>
        <v>Match</v>
      </c>
      <c r="J2240" s="23" t="str">
        <f t="shared" si="172"/>
        <v>Match</v>
      </c>
      <c r="K2240" s="24">
        <f t="shared" si="173"/>
        <v>9.7799999999999994</v>
      </c>
      <c r="L2240" s="24">
        <f t="shared" si="174"/>
        <v>0</v>
      </c>
    </row>
    <row r="2241" spans="1:12" ht="15" customHeight="1" x14ac:dyDescent="0.3">
      <c r="A2241" s="23" t="s">
        <v>15094</v>
      </c>
      <c r="B2241" s="23" t="s">
        <v>75</v>
      </c>
      <c r="C2241" s="39">
        <v>2499</v>
      </c>
      <c r="D2241" s="24">
        <v>7.5</v>
      </c>
      <c r="E2241" s="24">
        <v>1.35</v>
      </c>
      <c r="F2241" s="23">
        <f>COUNTIFS(mdr_rate_cleaned!$A$2:$A$10,B2241,mdr_rate_cleaned!$B$2:$B$10,"&lt;"&amp;C2241,mdr_rate_cleaned!$F$2:$F$10,"&gt;="&amp;C2241)</f>
        <v>1</v>
      </c>
      <c r="G2241" s="40">
        <f>SUMIFS(mdr_rate_cleaned!$G$2:$G$10,mdr_rate_cleaned!$A$2:$A$10,B2241,mdr_rate_cleaned!$B$2:$B$10,"&lt;"&amp;C2241,mdr_rate_cleaned!$F$2:$F$10,"&gt;="&amp;C2241)</f>
        <v>3.0000000000000001E-3</v>
      </c>
      <c r="H2241" s="24">
        <f t="shared" si="170"/>
        <v>7.5</v>
      </c>
      <c r="I2241" s="23" t="str">
        <f t="shared" si="171"/>
        <v>Match</v>
      </c>
      <c r="J2241" s="23" t="str">
        <f t="shared" si="172"/>
        <v>Match</v>
      </c>
      <c r="K2241" s="24">
        <f t="shared" si="173"/>
        <v>1.35</v>
      </c>
      <c r="L2241" s="24">
        <f t="shared" si="174"/>
        <v>0</v>
      </c>
    </row>
    <row r="2242" spans="1:12" ht="15" customHeight="1" x14ac:dyDescent="0.3">
      <c r="A2242" s="23" t="s">
        <v>15095</v>
      </c>
      <c r="B2242" s="23" t="s">
        <v>75</v>
      </c>
      <c r="C2242" s="39">
        <v>2598</v>
      </c>
      <c r="D2242" s="24">
        <v>7.79</v>
      </c>
      <c r="E2242" s="24">
        <v>1.4</v>
      </c>
      <c r="F2242" s="23">
        <f>COUNTIFS(mdr_rate_cleaned!$A$2:$A$10,B2242,mdr_rate_cleaned!$B$2:$B$10,"&lt;"&amp;C2242,mdr_rate_cleaned!$F$2:$F$10,"&gt;="&amp;C2242)</f>
        <v>1</v>
      </c>
      <c r="G2242" s="40">
        <f>SUMIFS(mdr_rate_cleaned!$G$2:$G$10,mdr_rate_cleaned!$A$2:$A$10,B2242,mdr_rate_cleaned!$B$2:$B$10,"&lt;"&amp;C2242,mdr_rate_cleaned!$F$2:$F$10,"&gt;="&amp;C2242)</f>
        <v>3.0000000000000001E-3</v>
      </c>
      <c r="H2242" s="24">
        <f t="shared" ref="H2242:H2305" si="175">ROUND(C2242*G2242,2)</f>
        <v>7.79</v>
      </c>
      <c r="I2242" s="23" t="str">
        <f t="shared" ref="I2242:I2305" si="176">IF(ROUND(D2242-H2242,2)=0,"Match","Differs")</f>
        <v>Match</v>
      </c>
      <c r="J2242" s="23" t="str">
        <f t="shared" ref="J2242:J2305" si="177">IF(ROUND(E2242-ROUND(D2242*0.18,2),2)=0,"Match","Differs")</f>
        <v>Match</v>
      </c>
      <c r="K2242" s="24">
        <f t="shared" ref="K2242:K2305" si="178">ROUND(H2242*0.18,2)</f>
        <v>1.4</v>
      </c>
      <c r="L2242" s="24">
        <f t="shared" ref="L2242:L2305" si="179">ROUND(D2242+E2242-H2242-K2242,2)</f>
        <v>0</v>
      </c>
    </row>
    <row r="2243" spans="1:12" ht="15" customHeight="1" x14ac:dyDescent="0.3">
      <c r="A2243" s="23" t="s">
        <v>15096</v>
      </c>
      <c r="B2243" s="23" t="s">
        <v>81</v>
      </c>
      <c r="C2243" s="39">
        <v>2499</v>
      </c>
      <c r="D2243" s="24">
        <v>29.99</v>
      </c>
      <c r="E2243" s="24">
        <v>5.4</v>
      </c>
      <c r="F2243" s="23">
        <f>COUNTIFS(mdr_rate_cleaned!$A$2:$A$10,B2243,mdr_rate_cleaned!$B$2:$B$10,"&lt;"&amp;C2243,mdr_rate_cleaned!$F$2:$F$10,"&gt;="&amp;C2243)</f>
        <v>1</v>
      </c>
      <c r="G2243" s="40">
        <f>SUMIFS(mdr_rate_cleaned!$G$2:$G$10,mdr_rate_cleaned!$A$2:$A$10,B2243,mdr_rate_cleaned!$B$2:$B$10,"&lt;"&amp;C2243,mdr_rate_cleaned!$F$2:$F$10,"&gt;="&amp;C2243)</f>
        <v>1.2E-2</v>
      </c>
      <c r="H2243" s="24">
        <f t="shared" si="175"/>
        <v>29.99</v>
      </c>
      <c r="I2243" s="23" t="str">
        <f t="shared" si="176"/>
        <v>Match</v>
      </c>
      <c r="J2243" s="23" t="str">
        <f t="shared" si="177"/>
        <v>Match</v>
      </c>
      <c r="K2243" s="24">
        <f t="shared" si="178"/>
        <v>5.4</v>
      </c>
      <c r="L2243" s="24">
        <f t="shared" si="179"/>
        <v>0</v>
      </c>
    </row>
    <row r="2244" spans="1:12" ht="15" customHeight="1" x14ac:dyDescent="0.3">
      <c r="A2244" s="23" t="s">
        <v>15097</v>
      </c>
      <c r="B2244" s="23" t="s">
        <v>75</v>
      </c>
      <c r="C2244" s="39">
        <v>2797</v>
      </c>
      <c r="D2244" s="24">
        <v>8.39</v>
      </c>
      <c r="E2244" s="24">
        <v>1.51</v>
      </c>
      <c r="F2244" s="23">
        <f>COUNTIFS(mdr_rate_cleaned!$A$2:$A$10,B2244,mdr_rate_cleaned!$B$2:$B$10,"&lt;"&amp;C2244,mdr_rate_cleaned!$F$2:$F$10,"&gt;="&amp;C2244)</f>
        <v>1</v>
      </c>
      <c r="G2244" s="40">
        <f>SUMIFS(mdr_rate_cleaned!$G$2:$G$10,mdr_rate_cleaned!$A$2:$A$10,B2244,mdr_rate_cleaned!$B$2:$B$10,"&lt;"&amp;C2244,mdr_rate_cleaned!$F$2:$F$10,"&gt;="&amp;C2244)</f>
        <v>3.0000000000000001E-3</v>
      </c>
      <c r="H2244" s="24">
        <f t="shared" si="175"/>
        <v>8.39</v>
      </c>
      <c r="I2244" s="23" t="str">
        <f t="shared" si="176"/>
        <v>Match</v>
      </c>
      <c r="J2244" s="23" t="str">
        <f t="shared" si="177"/>
        <v>Match</v>
      </c>
      <c r="K2244" s="24">
        <f t="shared" si="178"/>
        <v>1.51</v>
      </c>
      <c r="L2244" s="24">
        <f t="shared" si="179"/>
        <v>0</v>
      </c>
    </row>
    <row r="2245" spans="1:12" ht="15" customHeight="1" x14ac:dyDescent="0.3">
      <c r="A2245" s="23" t="s">
        <v>15098</v>
      </c>
      <c r="B2245" s="23" t="s">
        <v>75</v>
      </c>
      <c r="C2245" s="39">
        <v>3298</v>
      </c>
      <c r="D2245" s="24">
        <v>9.89</v>
      </c>
      <c r="E2245" s="24">
        <v>1.78</v>
      </c>
      <c r="F2245" s="23">
        <f>COUNTIFS(mdr_rate_cleaned!$A$2:$A$10,B2245,mdr_rate_cleaned!$B$2:$B$10,"&lt;"&amp;C2245,mdr_rate_cleaned!$F$2:$F$10,"&gt;="&amp;C2245)</f>
        <v>1</v>
      </c>
      <c r="G2245" s="40">
        <f>SUMIFS(mdr_rate_cleaned!$G$2:$G$10,mdr_rate_cleaned!$A$2:$A$10,B2245,mdr_rate_cleaned!$B$2:$B$10,"&lt;"&amp;C2245,mdr_rate_cleaned!$F$2:$F$10,"&gt;="&amp;C2245)</f>
        <v>3.0000000000000001E-3</v>
      </c>
      <c r="H2245" s="24">
        <f t="shared" si="175"/>
        <v>9.89</v>
      </c>
      <c r="I2245" s="23" t="str">
        <f t="shared" si="176"/>
        <v>Match</v>
      </c>
      <c r="J2245" s="23" t="str">
        <f t="shared" si="177"/>
        <v>Match</v>
      </c>
      <c r="K2245" s="24">
        <f t="shared" si="178"/>
        <v>1.78</v>
      </c>
      <c r="L2245" s="24">
        <f t="shared" si="179"/>
        <v>0</v>
      </c>
    </row>
    <row r="2246" spans="1:12" ht="15" customHeight="1" x14ac:dyDescent="0.3">
      <c r="A2246" s="23" t="s">
        <v>15099</v>
      </c>
      <c r="B2246" s="23" t="s">
        <v>75</v>
      </c>
      <c r="C2246" s="39">
        <v>2499</v>
      </c>
      <c r="D2246" s="24">
        <v>7.5</v>
      </c>
      <c r="E2246" s="24">
        <v>1.35</v>
      </c>
      <c r="F2246" s="23">
        <f>COUNTIFS(mdr_rate_cleaned!$A$2:$A$10,B2246,mdr_rate_cleaned!$B$2:$B$10,"&lt;"&amp;C2246,mdr_rate_cleaned!$F$2:$F$10,"&gt;="&amp;C2246)</f>
        <v>1</v>
      </c>
      <c r="G2246" s="40">
        <f>SUMIFS(mdr_rate_cleaned!$G$2:$G$10,mdr_rate_cleaned!$A$2:$A$10,B2246,mdr_rate_cleaned!$B$2:$B$10,"&lt;"&amp;C2246,mdr_rate_cleaned!$F$2:$F$10,"&gt;="&amp;C2246)</f>
        <v>3.0000000000000001E-3</v>
      </c>
      <c r="H2246" s="24">
        <f t="shared" si="175"/>
        <v>7.5</v>
      </c>
      <c r="I2246" s="23" t="str">
        <f t="shared" si="176"/>
        <v>Match</v>
      </c>
      <c r="J2246" s="23" t="str">
        <f t="shared" si="177"/>
        <v>Match</v>
      </c>
      <c r="K2246" s="24">
        <f t="shared" si="178"/>
        <v>1.35</v>
      </c>
      <c r="L2246" s="24">
        <f t="shared" si="179"/>
        <v>0</v>
      </c>
    </row>
    <row r="2247" spans="1:12" ht="15" customHeight="1" x14ac:dyDescent="0.3">
      <c r="A2247" s="23" t="s">
        <v>15101</v>
      </c>
      <c r="B2247" s="23" t="s">
        <v>79</v>
      </c>
      <c r="C2247" s="39">
        <v>1598</v>
      </c>
      <c r="D2247" s="24">
        <v>28.76</v>
      </c>
      <c r="E2247" s="24">
        <v>5.18</v>
      </c>
      <c r="F2247" s="23">
        <f>COUNTIFS(mdr_rate_cleaned!$A$2:$A$10,B2247,mdr_rate_cleaned!$B$2:$B$10,"&lt;"&amp;C2247,mdr_rate_cleaned!$F$2:$F$10,"&gt;="&amp;C2247)</f>
        <v>1</v>
      </c>
      <c r="G2247" s="40">
        <f>SUMIFS(mdr_rate_cleaned!$G$2:$G$10,mdr_rate_cleaned!$A$2:$A$10,B2247,mdr_rate_cleaned!$B$2:$B$10,"&lt;"&amp;C2247,mdr_rate_cleaned!$F$2:$F$10,"&gt;="&amp;C2247)</f>
        <v>1.8000000000000002E-2</v>
      </c>
      <c r="H2247" s="24">
        <f t="shared" si="175"/>
        <v>28.76</v>
      </c>
      <c r="I2247" s="23" t="str">
        <f t="shared" si="176"/>
        <v>Match</v>
      </c>
      <c r="J2247" s="23" t="str">
        <f t="shared" si="177"/>
        <v>Match</v>
      </c>
      <c r="K2247" s="24">
        <f t="shared" si="178"/>
        <v>5.18</v>
      </c>
      <c r="L2247" s="24">
        <f t="shared" si="179"/>
        <v>0</v>
      </c>
    </row>
    <row r="2248" spans="1:12" ht="15" customHeight="1" x14ac:dyDescent="0.3">
      <c r="A2248" s="23" t="s">
        <v>15102</v>
      </c>
      <c r="B2248" s="23" t="s">
        <v>75</v>
      </c>
      <c r="C2248" s="39">
        <v>3348</v>
      </c>
      <c r="D2248" s="24">
        <v>10.039999999999999</v>
      </c>
      <c r="E2248" s="24">
        <v>1.81</v>
      </c>
      <c r="F2248" s="23">
        <f>COUNTIFS(mdr_rate_cleaned!$A$2:$A$10,B2248,mdr_rate_cleaned!$B$2:$B$10,"&lt;"&amp;C2248,mdr_rate_cleaned!$F$2:$F$10,"&gt;="&amp;C2248)</f>
        <v>1</v>
      </c>
      <c r="G2248" s="40">
        <f>SUMIFS(mdr_rate_cleaned!$G$2:$G$10,mdr_rate_cleaned!$A$2:$A$10,B2248,mdr_rate_cleaned!$B$2:$B$10,"&lt;"&amp;C2248,mdr_rate_cleaned!$F$2:$F$10,"&gt;="&amp;C2248)</f>
        <v>3.0000000000000001E-3</v>
      </c>
      <c r="H2248" s="24">
        <f t="shared" si="175"/>
        <v>10.039999999999999</v>
      </c>
      <c r="I2248" s="23" t="str">
        <f t="shared" si="176"/>
        <v>Match</v>
      </c>
      <c r="J2248" s="23" t="str">
        <f t="shared" si="177"/>
        <v>Match</v>
      </c>
      <c r="K2248" s="24">
        <f t="shared" si="178"/>
        <v>1.81</v>
      </c>
      <c r="L2248" s="24">
        <f t="shared" si="179"/>
        <v>0</v>
      </c>
    </row>
    <row r="2249" spans="1:12" ht="15" customHeight="1" x14ac:dyDescent="0.3">
      <c r="A2249" s="23" t="s">
        <v>15104</v>
      </c>
      <c r="B2249" s="23" t="s">
        <v>77</v>
      </c>
      <c r="C2249" s="39">
        <v>3499</v>
      </c>
      <c r="D2249" s="24">
        <v>59.48</v>
      </c>
      <c r="E2249" s="24">
        <v>10.71</v>
      </c>
      <c r="F2249" s="23">
        <f>COUNTIFS(mdr_rate_cleaned!$A$2:$A$10,B2249,mdr_rate_cleaned!$B$2:$B$10,"&lt;"&amp;C2249,mdr_rate_cleaned!$F$2:$F$10,"&gt;="&amp;C2249)</f>
        <v>1</v>
      </c>
      <c r="G2249" s="40">
        <f>SUMIFS(mdr_rate_cleaned!$G$2:$G$10,mdr_rate_cleaned!$A$2:$A$10,B2249,mdr_rate_cleaned!$B$2:$B$10,"&lt;"&amp;C2249,mdr_rate_cleaned!$F$2:$F$10,"&gt;="&amp;C2249)</f>
        <v>1.7000000000000001E-2</v>
      </c>
      <c r="H2249" s="24">
        <f t="shared" si="175"/>
        <v>59.48</v>
      </c>
      <c r="I2249" s="23" t="str">
        <f t="shared" si="176"/>
        <v>Match</v>
      </c>
      <c r="J2249" s="23" t="str">
        <f t="shared" si="177"/>
        <v>Match</v>
      </c>
      <c r="K2249" s="24">
        <f t="shared" si="178"/>
        <v>10.71</v>
      </c>
      <c r="L2249" s="24">
        <f t="shared" si="179"/>
        <v>0</v>
      </c>
    </row>
    <row r="2250" spans="1:12" ht="15" customHeight="1" x14ac:dyDescent="0.3">
      <c r="A2250" s="23" t="s">
        <v>15106</v>
      </c>
      <c r="B2250" s="23" t="s">
        <v>75</v>
      </c>
      <c r="C2250" s="39">
        <v>848</v>
      </c>
      <c r="D2250" s="24">
        <v>0</v>
      </c>
      <c r="E2250" s="24">
        <v>0</v>
      </c>
      <c r="F2250" s="23">
        <f>COUNTIFS(mdr_rate_cleaned!$A$2:$A$10,B2250,mdr_rate_cleaned!$B$2:$B$10,"&lt;"&amp;C2250,mdr_rate_cleaned!$F$2:$F$10,"&gt;="&amp;C2250)</f>
        <v>1</v>
      </c>
      <c r="G2250" s="40">
        <f>SUMIFS(mdr_rate_cleaned!$G$2:$G$10,mdr_rate_cleaned!$A$2:$A$10,B2250,mdr_rate_cleaned!$B$2:$B$10,"&lt;"&amp;C2250,mdr_rate_cleaned!$F$2:$F$10,"&gt;="&amp;C2250)</f>
        <v>0</v>
      </c>
      <c r="H2250" s="24">
        <f t="shared" si="175"/>
        <v>0</v>
      </c>
      <c r="I2250" s="23" t="str">
        <f t="shared" si="176"/>
        <v>Match</v>
      </c>
      <c r="J2250" s="23" t="str">
        <f t="shared" si="177"/>
        <v>Match</v>
      </c>
      <c r="K2250" s="24">
        <f t="shared" si="178"/>
        <v>0</v>
      </c>
      <c r="L2250" s="24">
        <f t="shared" si="179"/>
        <v>0</v>
      </c>
    </row>
    <row r="2251" spans="1:12" ht="15" customHeight="1" x14ac:dyDescent="0.3">
      <c r="A2251" s="23" t="s">
        <v>15107</v>
      </c>
      <c r="B2251" s="23" t="s">
        <v>75</v>
      </c>
      <c r="C2251" s="39">
        <v>11797</v>
      </c>
      <c r="D2251" s="24">
        <v>35.39</v>
      </c>
      <c r="E2251" s="24">
        <v>6.37</v>
      </c>
      <c r="F2251" s="23">
        <f>COUNTIFS(mdr_rate_cleaned!$A$2:$A$10,B2251,mdr_rate_cleaned!$B$2:$B$10,"&lt;"&amp;C2251,mdr_rate_cleaned!$F$2:$F$10,"&gt;="&amp;C2251)</f>
        <v>1</v>
      </c>
      <c r="G2251" s="40">
        <f>SUMIFS(mdr_rate_cleaned!$G$2:$G$10,mdr_rate_cleaned!$A$2:$A$10,B2251,mdr_rate_cleaned!$B$2:$B$10,"&lt;"&amp;C2251,mdr_rate_cleaned!$F$2:$F$10,"&gt;="&amp;C2251)</f>
        <v>3.0000000000000001E-3</v>
      </c>
      <c r="H2251" s="24">
        <f t="shared" si="175"/>
        <v>35.39</v>
      </c>
      <c r="I2251" s="23" t="str">
        <f t="shared" si="176"/>
        <v>Match</v>
      </c>
      <c r="J2251" s="23" t="str">
        <f t="shared" si="177"/>
        <v>Match</v>
      </c>
      <c r="K2251" s="24">
        <f t="shared" si="178"/>
        <v>6.37</v>
      </c>
      <c r="L2251" s="24">
        <f t="shared" si="179"/>
        <v>0</v>
      </c>
    </row>
    <row r="2252" spans="1:12" ht="15" customHeight="1" x14ac:dyDescent="0.3">
      <c r="A2252" s="23" t="s">
        <v>15108</v>
      </c>
      <c r="B2252" s="23" t="s">
        <v>79</v>
      </c>
      <c r="C2252" s="39">
        <v>1499</v>
      </c>
      <c r="D2252" s="24">
        <v>26.98</v>
      </c>
      <c r="E2252" s="24">
        <v>4.8600000000000003</v>
      </c>
      <c r="F2252" s="23">
        <f>COUNTIFS(mdr_rate_cleaned!$A$2:$A$10,B2252,mdr_rate_cleaned!$B$2:$B$10,"&lt;"&amp;C2252,mdr_rate_cleaned!$F$2:$F$10,"&gt;="&amp;C2252)</f>
        <v>1</v>
      </c>
      <c r="G2252" s="40">
        <f>SUMIFS(mdr_rate_cleaned!$G$2:$G$10,mdr_rate_cleaned!$A$2:$A$10,B2252,mdr_rate_cleaned!$B$2:$B$10,"&lt;"&amp;C2252,mdr_rate_cleaned!$F$2:$F$10,"&gt;="&amp;C2252)</f>
        <v>1.8000000000000002E-2</v>
      </c>
      <c r="H2252" s="24">
        <f t="shared" si="175"/>
        <v>26.98</v>
      </c>
      <c r="I2252" s="23" t="str">
        <f t="shared" si="176"/>
        <v>Match</v>
      </c>
      <c r="J2252" s="23" t="str">
        <f t="shared" si="177"/>
        <v>Match</v>
      </c>
      <c r="K2252" s="24">
        <f t="shared" si="178"/>
        <v>4.8600000000000003</v>
      </c>
      <c r="L2252" s="24">
        <f t="shared" si="179"/>
        <v>0</v>
      </c>
    </row>
    <row r="2253" spans="1:12" ht="15" customHeight="1" x14ac:dyDescent="0.3">
      <c r="A2253" s="23" t="s">
        <v>15110</v>
      </c>
      <c r="B2253" s="23" t="s">
        <v>79</v>
      </c>
      <c r="C2253" s="39">
        <v>3499</v>
      </c>
      <c r="D2253" s="24">
        <v>55.98</v>
      </c>
      <c r="E2253" s="24">
        <v>10.08</v>
      </c>
      <c r="F2253" s="23">
        <f>COUNTIFS(mdr_rate_cleaned!$A$2:$A$10,B2253,mdr_rate_cleaned!$B$2:$B$10,"&lt;"&amp;C2253,mdr_rate_cleaned!$F$2:$F$10,"&gt;="&amp;C2253)</f>
        <v>1</v>
      </c>
      <c r="G2253" s="40">
        <f>SUMIFS(mdr_rate_cleaned!$G$2:$G$10,mdr_rate_cleaned!$A$2:$A$10,B2253,mdr_rate_cleaned!$B$2:$B$10,"&lt;"&amp;C2253,mdr_rate_cleaned!$F$2:$F$10,"&gt;="&amp;C2253)</f>
        <v>1.6E-2</v>
      </c>
      <c r="H2253" s="24">
        <f t="shared" si="175"/>
        <v>55.98</v>
      </c>
      <c r="I2253" s="23" t="str">
        <f t="shared" si="176"/>
        <v>Match</v>
      </c>
      <c r="J2253" s="23" t="str">
        <f t="shared" si="177"/>
        <v>Match</v>
      </c>
      <c r="K2253" s="24">
        <f t="shared" si="178"/>
        <v>10.08</v>
      </c>
      <c r="L2253" s="24">
        <f t="shared" si="179"/>
        <v>0</v>
      </c>
    </row>
    <row r="2254" spans="1:12" ht="15" customHeight="1" x14ac:dyDescent="0.3">
      <c r="A2254" s="23" t="s">
        <v>15111</v>
      </c>
      <c r="B2254" s="23" t="s">
        <v>79</v>
      </c>
      <c r="C2254" s="39">
        <v>1348</v>
      </c>
      <c r="D2254" s="24">
        <v>24.26</v>
      </c>
      <c r="E2254" s="24">
        <v>4.37</v>
      </c>
      <c r="F2254" s="23">
        <f>COUNTIFS(mdr_rate_cleaned!$A$2:$A$10,B2254,mdr_rate_cleaned!$B$2:$B$10,"&lt;"&amp;C2254,mdr_rate_cleaned!$F$2:$F$10,"&gt;="&amp;C2254)</f>
        <v>1</v>
      </c>
      <c r="G2254" s="40">
        <f>SUMIFS(mdr_rate_cleaned!$G$2:$G$10,mdr_rate_cleaned!$A$2:$A$10,B2254,mdr_rate_cleaned!$B$2:$B$10,"&lt;"&amp;C2254,mdr_rate_cleaned!$F$2:$F$10,"&gt;="&amp;C2254)</f>
        <v>1.8000000000000002E-2</v>
      </c>
      <c r="H2254" s="24">
        <f t="shared" si="175"/>
        <v>24.26</v>
      </c>
      <c r="I2254" s="23" t="str">
        <f t="shared" si="176"/>
        <v>Match</v>
      </c>
      <c r="J2254" s="23" t="str">
        <f t="shared" si="177"/>
        <v>Match</v>
      </c>
      <c r="K2254" s="24">
        <f t="shared" si="178"/>
        <v>4.37</v>
      </c>
      <c r="L2254" s="24">
        <f t="shared" si="179"/>
        <v>0</v>
      </c>
    </row>
    <row r="2255" spans="1:12" ht="15" customHeight="1" x14ac:dyDescent="0.3">
      <c r="A2255" s="23" t="s">
        <v>15112</v>
      </c>
      <c r="B2255" s="23" t="s">
        <v>79</v>
      </c>
      <c r="C2255" s="39">
        <v>3848</v>
      </c>
      <c r="D2255" s="24">
        <v>61.57</v>
      </c>
      <c r="E2255" s="24">
        <v>11.08</v>
      </c>
      <c r="F2255" s="23">
        <f>COUNTIFS(mdr_rate_cleaned!$A$2:$A$10,B2255,mdr_rate_cleaned!$B$2:$B$10,"&lt;"&amp;C2255,mdr_rate_cleaned!$F$2:$F$10,"&gt;="&amp;C2255)</f>
        <v>1</v>
      </c>
      <c r="G2255" s="40">
        <f>SUMIFS(mdr_rate_cleaned!$G$2:$G$10,mdr_rate_cleaned!$A$2:$A$10,B2255,mdr_rate_cleaned!$B$2:$B$10,"&lt;"&amp;C2255,mdr_rate_cleaned!$F$2:$F$10,"&gt;="&amp;C2255)</f>
        <v>1.6E-2</v>
      </c>
      <c r="H2255" s="24">
        <f t="shared" si="175"/>
        <v>61.57</v>
      </c>
      <c r="I2255" s="23" t="str">
        <f t="shared" si="176"/>
        <v>Match</v>
      </c>
      <c r="J2255" s="23" t="str">
        <f t="shared" si="177"/>
        <v>Match</v>
      </c>
      <c r="K2255" s="24">
        <f t="shared" si="178"/>
        <v>11.08</v>
      </c>
      <c r="L2255" s="24">
        <f t="shared" si="179"/>
        <v>0</v>
      </c>
    </row>
    <row r="2256" spans="1:12" ht="15" customHeight="1" x14ac:dyDescent="0.3">
      <c r="A2256" s="23" t="s">
        <v>15114</v>
      </c>
      <c r="B2256" s="23" t="s">
        <v>75</v>
      </c>
      <c r="C2256" s="39">
        <v>1098</v>
      </c>
      <c r="D2256" s="24">
        <v>0</v>
      </c>
      <c r="E2256" s="24">
        <v>0</v>
      </c>
      <c r="F2256" s="23">
        <f>COUNTIFS(mdr_rate_cleaned!$A$2:$A$10,B2256,mdr_rate_cleaned!$B$2:$B$10,"&lt;"&amp;C2256,mdr_rate_cleaned!$F$2:$F$10,"&gt;="&amp;C2256)</f>
        <v>1</v>
      </c>
      <c r="G2256" s="40">
        <f>SUMIFS(mdr_rate_cleaned!$G$2:$G$10,mdr_rate_cleaned!$A$2:$A$10,B2256,mdr_rate_cleaned!$B$2:$B$10,"&lt;"&amp;C2256,mdr_rate_cleaned!$F$2:$F$10,"&gt;="&amp;C2256)</f>
        <v>0</v>
      </c>
      <c r="H2256" s="24">
        <f t="shared" si="175"/>
        <v>0</v>
      </c>
      <c r="I2256" s="23" t="str">
        <f t="shared" si="176"/>
        <v>Match</v>
      </c>
      <c r="J2256" s="23" t="str">
        <f t="shared" si="177"/>
        <v>Match</v>
      </c>
      <c r="K2256" s="24">
        <f t="shared" si="178"/>
        <v>0</v>
      </c>
      <c r="L2256" s="24">
        <f t="shared" si="179"/>
        <v>0</v>
      </c>
    </row>
    <row r="2257" spans="1:12" ht="15" customHeight="1" x14ac:dyDescent="0.3">
      <c r="A2257" s="23" t="s">
        <v>15115</v>
      </c>
      <c r="B2257" s="23" t="s">
        <v>75</v>
      </c>
      <c r="C2257" s="39">
        <v>1098</v>
      </c>
      <c r="D2257" s="24">
        <v>0</v>
      </c>
      <c r="E2257" s="24">
        <v>0</v>
      </c>
      <c r="F2257" s="23">
        <f>COUNTIFS(mdr_rate_cleaned!$A$2:$A$10,B2257,mdr_rate_cleaned!$B$2:$B$10,"&lt;"&amp;C2257,mdr_rate_cleaned!$F$2:$F$10,"&gt;="&amp;C2257)</f>
        <v>1</v>
      </c>
      <c r="G2257" s="40">
        <f>SUMIFS(mdr_rate_cleaned!$G$2:$G$10,mdr_rate_cleaned!$A$2:$A$10,B2257,mdr_rate_cleaned!$B$2:$B$10,"&lt;"&amp;C2257,mdr_rate_cleaned!$F$2:$F$10,"&gt;="&amp;C2257)</f>
        <v>0</v>
      </c>
      <c r="H2257" s="24">
        <f t="shared" si="175"/>
        <v>0</v>
      </c>
      <c r="I2257" s="23" t="str">
        <f t="shared" si="176"/>
        <v>Match</v>
      </c>
      <c r="J2257" s="23" t="str">
        <f t="shared" si="177"/>
        <v>Match</v>
      </c>
      <c r="K2257" s="24">
        <f t="shared" si="178"/>
        <v>0</v>
      </c>
      <c r="L2257" s="24">
        <f t="shared" si="179"/>
        <v>0</v>
      </c>
    </row>
    <row r="2258" spans="1:12" ht="15" customHeight="1" x14ac:dyDescent="0.3">
      <c r="A2258" s="23" t="s">
        <v>15116</v>
      </c>
      <c r="B2258" s="23" t="s">
        <v>75</v>
      </c>
      <c r="C2258" s="39">
        <v>1499</v>
      </c>
      <c r="D2258" s="24">
        <v>0</v>
      </c>
      <c r="E2258" s="24">
        <v>0</v>
      </c>
      <c r="F2258" s="23">
        <f>COUNTIFS(mdr_rate_cleaned!$A$2:$A$10,B2258,mdr_rate_cleaned!$B$2:$B$10,"&lt;"&amp;C2258,mdr_rate_cleaned!$F$2:$F$10,"&gt;="&amp;C2258)</f>
        <v>1</v>
      </c>
      <c r="G2258" s="40">
        <f>SUMIFS(mdr_rate_cleaned!$G$2:$G$10,mdr_rate_cleaned!$A$2:$A$10,B2258,mdr_rate_cleaned!$B$2:$B$10,"&lt;"&amp;C2258,mdr_rate_cleaned!$F$2:$F$10,"&gt;="&amp;C2258)</f>
        <v>0</v>
      </c>
      <c r="H2258" s="24">
        <f t="shared" si="175"/>
        <v>0</v>
      </c>
      <c r="I2258" s="23" t="str">
        <f t="shared" si="176"/>
        <v>Match</v>
      </c>
      <c r="J2258" s="23" t="str">
        <f t="shared" si="177"/>
        <v>Match</v>
      </c>
      <c r="K2258" s="24">
        <f t="shared" si="178"/>
        <v>0</v>
      </c>
      <c r="L2258" s="24">
        <f t="shared" si="179"/>
        <v>0</v>
      </c>
    </row>
    <row r="2259" spans="1:12" ht="15" customHeight="1" x14ac:dyDescent="0.3">
      <c r="A2259" s="23" t="s">
        <v>15117</v>
      </c>
      <c r="B2259" s="23" t="s">
        <v>75</v>
      </c>
      <c r="C2259" s="39">
        <v>799</v>
      </c>
      <c r="D2259" s="24">
        <v>0</v>
      </c>
      <c r="E2259" s="24">
        <v>0</v>
      </c>
      <c r="F2259" s="23">
        <f>COUNTIFS(mdr_rate_cleaned!$A$2:$A$10,B2259,mdr_rate_cleaned!$B$2:$B$10,"&lt;"&amp;C2259,mdr_rate_cleaned!$F$2:$F$10,"&gt;="&amp;C2259)</f>
        <v>1</v>
      </c>
      <c r="G2259" s="40">
        <f>SUMIFS(mdr_rate_cleaned!$G$2:$G$10,mdr_rate_cleaned!$A$2:$A$10,B2259,mdr_rate_cleaned!$B$2:$B$10,"&lt;"&amp;C2259,mdr_rate_cleaned!$F$2:$F$10,"&gt;="&amp;C2259)</f>
        <v>0</v>
      </c>
      <c r="H2259" s="24">
        <f t="shared" si="175"/>
        <v>0</v>
      </c>
      <c r="I2259" s="23" t="str">
        <f t="shared" si="176"/>
        <v>Match</v>
      </c>
      <c r="J2259" s="23" t="str">
        <f t="shared" si="177"/>
        <v>Match</v>
      </c>
      <c r="K2259" s="24">
        <f t="shared" si="178"/>
        <v>0</v>
      </c>
      <c r="L2259" s="24">
        <f t="shared" si="179"/>
        <v>0</v>
      </c>
    </row>
    <row r="2260" spans="1:12" ht="15" customHeight="1" x14ac:dyDescent="0.3">
      <c r="A2260" s="23" t="s">
        <v>15118</v>
      </c>
      <c r="B2260" s="23" t="s">
        <v>75</v>
      </c>
      <c r="C2260" s="39">
        <v>1998</v>
      </c>
      <c r="D2260" s="24">
        <v>0</v>
      </c>
      <c r="E2260" s="24">
        <v>0</v>
      </c>
      <c r="F2260" s="23">
        <f>COUNTIFS(mdr_rate_cleaned!$A$2:$A$10,B2260,mdr_rate_cleaned!$B$2:$B$10,"&lt;"&amp;C2260,mdr_rate_cleaned!$F$2:$F$10,"&gt;="&amp;C2260)</f>
        <v>1</v>
      </c>
      <c r="G2260" s="40">
        <f>SUMIFS(mdr_rate_cleaned!$G$2:$G$10,mdr_rate_cleaned!$A$2:$A$10,B2260,mdr_rate_cleaned!$B$2:$B$10,"&lt;"&amp;C2260,mdr_rate_cleaned!$F$2:$F$10,"&gt;="&amp;C2260)</f>
        <v>0</v>
      </c>
      <c r="H2260" s="24">
        <f t="shared" si="175"/>
        <v>0</v>
      </c>
      <c r="I2260" s="23" t="str">
        <f t="shared" si="176"/>
        <v>Match</v>
      </c>
      <c r="J2260" s="23" t="str">
        <f t="shared" si="177"/>
        <v>Match</v>
      </c>
      <c r="K2260" s="24">
        <f t="shared" si="178"/>
        <v>0</v>
      </c>
      <c r="L2260" s="24">
        <f t="shared" si="179"/>
        <v>0</v>
      </c>
    </row>
    <row r="2261" spans="1:12" ht="15" customHeight="1" x14ac:dyDescent="0.3">
      <c r="A2261" s="23" t="s">
        <v>15119</v>
      </c>
      <c r="B2261" s="23" t="s">
        <v>75</v>
      </c>
      <c r="C2261" s="39">
        <v>9798</v>
      </c>
      <c r="D2261" s="24">
        <v>29.39</v>
      </c>
      <c r="E2261" s="24">
        <v>5.29</v>
      </c>
      <c r="F2261" s="23">
        <f>COUNTIFS(mdr_rate_cleaned!$A$2:$A$10,B2261,mdr_rate_cleaned!$B$2:$B$10,"&lt;"&amp;C2261,mdr_rate_cleaned!$F$2:$F$10,"&gt;="&amp;C2261)</f>
        <v>1</v>
      </c>
      <c r="G2261" s="40">
        <f>SUMIFS(mdr_rate_cleaned!$G$2:$G$10,mdr_rate_cleaned!$A$2:$A$10,B2261,mdr_rate_cleaned!$B$2:$B$10,"&lt;"&amp;C2261,mdr_rate_cleaned!$F$2:$F$10,"&gt;="&amp;C2261)</f>
        <v>3.0000000000000001E-3</v>
      </c>
      <c r="H2261" s="24">
        <f t="shared" si="175"/>
        <v>29.39</v>
      </c>
      <c r="I2261" s="23" t="str">
        <f t="shared" si="176"/>
        <v>Match</v>
      </c>
      <c r="J2261" s="23" t="str">
        <f t="shared" si="177"/>
        <v>Match</v>
      </c>
      <c r="K2261" s="24">
        <f t="shared" si="178"/>
        <v>5.29</v>
      </c>
      <c r="L2261" s="24">
        <f t="shared" si="179"/>
        <v>0</v>
      </c>
    </row>
    <row r="2262" spans="1:12" ht="15" customHeight="1" x14ac:dyDescent="0.3">
      <c r="A2262" s="23" t="s">
        <v>15120</v>
      </c>
      <c r="B2262" s="23" t="s">
        <v>75</v>
      </c>
      <c r="C2262" s="39">
        <v>2999</v>
      </c>
      <c r="D2262" s="24">
        <v>9</v>
      </c>
      <c r="E2262" s="24">
        <v>1.62</v>
      </c>
      <c r="F2262" s="23">
        <f>COUNTIFS(mdr_rate_cleaned!$A$2:$A$10,B2262,mdr_rate_cleaned!$B$2:$B$10,"&lt;"&amp;C2262,mdr_rate_cleaned!$F$2:$F$10,"&gt;="&amp;C2262)</f>
        <v>1</v>
      </c>
      <c r="G2262" s="40">
        <f>SUMIFS(mdr_rate_cleaned!$G$2:$G$10,mdr_rate_cleaned!$A$2:$A$10,B2262,mdr_rate_cleaned!$B$2:$B$10,"&lt;"&amp;C2262,mdr_rate_cleaned!$F$2:$F$10,"&gt;="&amp;C2262)</f>
        <v>3.0000000000000001E-3</v>
      </c>
      <c r="H2262" s="24">
        <f t="shared" si="175"/>
        <v>9</v>
      </c>
      <c r="I2262" s="23" t="str">
        <f t="shared" si="176"/>
        <v>Match</v>
      </c>
      <c r="J2262" s="23" t="str">
        <f t="shared" si="177"/>
        <v>Match</v>
      </c>
      <c r="K2262" s="24">
        <f t="shared" si="178"/>
        <v>1.62</v>
      </c>
      <c r="L2262" s="24">
        <f t="shared" si="179"/>
        <v>0</v>
      </c>
    </row>
    <row r="2263" spans="1:12" ht="15" customHeight="1" x14ac:dyDescent="0.3">
      <c r="A2263" s="23" t="s">
        <v>15121</v>
      </c>
      <c r="B2263" s="23" t="s">
        <v>81</v>
      </c>
      <c r="C2263" s="39">
        <v>299</v>
      </c>
      <c r="D2263" s="24">
        <v>4.49</v>
      </c>
      <c r="E2263" s="24">
        <v>0.81</v>
      </c>
      <c r="F2263" s="23">
        <f>COUNTIFS(mdr_rate_cleaned!$A$2:$A$10,B2263,mdr_rate_cleaned!$B$2:$B$10,"&lt;"&amp;C2263,mdr_rate_cleaned!$F$2:$F$10,"&gt;="&amp;C2263)</f>
        <v>1</v>
      </c>
      <c r="G2263" s="40">
        <f>SUMIFS(mdr_rate_cleaned!$G$2:$G$10,mdr_rate_cleaned!$A$2:$A$10,B2263,mdr_rate_cleaned!$B$2:$B$10,"&lt;"&amp;C2263,mdr_rate_cleaned!$F$2:$F$10,"&gt;="&amp;C2263)</f>
        <v>1.4999999999999999E-2</v>
      </c>
      <c r="H2263" s="24">
        <f t="shared" si="175"/>
        <v>4.49</v>
      </c>
      <c r="I2263" s="23" t="str">
        <f t="shared" si="176"/>
        <v>Match</v>
      </c>
      <c r="J2263" s="23" t="str">
        <f t="shared" si="177"/>
        <v>Match</v>
      </c>
      <c r="K2263" s="24">
        <f t="shared" si="178"/>
        <v>0.81</v>
      </c>
      <c r="L2263" s="24">
        <f t="shared" si="179"/>
        <v>0</v>
      </c>
    </row>
    <row r="2264" spans="1:12" ht="15" customHeight="1" x14ac:dyDescent="0.3">
      <c r="A2264" s="23" t="s">
        <v>15122</v>
      </c>
      <c r="B2264" s="23" t="s">
        <v>79</v>
      </c>
      <c r="C2264" s="39">
        <v>2098</v>
      </c>
      <c r="D2264" s="24">
        <v>33.57</v>
      </c>
      <c r="E2264" s="24">
        <v>6.04</v>
      </c>
      <c r="F2264" s="23">
        <f>COUNTIFS(mdr_rate_cleaned!$A$2:$A$10,B2264,mdr_rate_cleaned!$B$2:$B$10,"&lt;"&amp;C2264,mdr_rate_cleaned!$F$2:$F$10,"&gt;="&amp;C2264)</f>
        <v>1</v>
      </c>
      <c r="G2264" s="40">
        <f>SUMIFS(mdr_rate_cleaned!$G$2:$G$10,mdr_rate_cleaned!$A$2:$A$10,B2264,mdr_rate_cleaned!$B$2:$B$10,"&lt;"&amp;C2264,mdr_rate_cleaned!$F$2:$F$10,"&gt;="&amp;C2264)</f>
        <v>1.6E-2</v>
      </c>
      <c r="H2264" s="24">
        <f t="shared" si="175"/>
        <v>33.57</v>
      </c>
      <c r="I2264" s="23" t="str">
        <f t="shared" si="176"/>
        <v>Match</v>
      </c>
      <c r="J2264" s="23" t="str">
        <f t="shared" si="177"/>
        <v>Match</v>
      </c>
      <c r="K2264" s="24">
        <f t="shared" si="178"/>
        <v>6.04</v>
      </c>
      <c r="L2264" s="24">
        <f t="shared" si="179"/>
        <v>0</v>
      </c>
    </row>
    <row r="2265" spans="1:12" ht="15" customHeight="1" x14ac:dyDescent="0.3">
      <c r="A2265" s="23" t="s">
        <v>15123</v>
      </c>
      <c r="B2265" s="23" t="s">
        <v>77</v>
      </c>
      <c r="C2265" s="39">
        <v>499</v>
      </c>
      <c r="D2265" s="24">
        <v>9.48</v>
      </c>
      <c r="E2265" s="24">
        <v>1.71</v>
      </c>
      <c r="F2265" s="23">
        <f>COUNTIFS(mdr_rate_cleaned!$A$2:$A$10,B2265,mdr_rate_cleaned!$B$2:$B$10,"&lt;"&amp;C2265,mdr_rate_cleaned!$F$2:$F$10,"&gt;="&amp;C2265)</f>
        <v>1</v>
      </c>
      <c r="G2265" s="40">
        <f>SUMIFS(mdr_rate_cleaned!$G$2:$G$10,mdr_rate_cleaned!$A$2:$A$10,B2265,mdr_rate_cleaned!$B$2:$B$10,"&lt;"&amp;C2265,mdr_rate_cleaned!$F$2:$F$10,"&gt;="&amp;C2265)</f>
        <v>1.9E-2</v>
      </c>
      <c r="H2265" s="24">
        <f t="shared" si="175"/>
        <v>9.48</v>
      </c>
      <c r="I2265" s="23" t="str">
        <f t="shared" si="176"/>
        <v>Match</v>
      </c>
      <c r="J2265" s="23" t="str">
        <f t="shared" si="177"/>
        <v>Match</v>
      </c>
      <c r="K2265" s="24">
        <f t="shared" si="178"/>
        <v>1.71</v>
      </c>
      <c r="L2265" s="24">
        <f t="shared" si="179"/>
        <v>0</v>
      </c>
    </row>
    <row r="2266" spans="1:12" ht="15" customHeight="1" x14ac:dyDescent="0.3">
      <c r="A2266" s="23" t="s">
        <v>15125</v>
      </c>
      <c r="B2266" s="23" t="s">
        <v>75</v>
      </c>
      <c r="C2266" s="39">
        <v>1098</v>
      </c>
      <c r="D2266" s="24">
        <v>0</v>
      </c>
      <c r="E2266" s="24">
        <v>0</v>
      </c>
      <c r="F2266" s="23">
        <f>COUNTIFS(mdr_rate_cleaned!$A$2:$A$10,B2266,mdr_rate_cleaned!$B$2:$B$10,"&lt;"&amp;C2266,mdr_rate_cleaned!$F$2:$F$10,"&gt;="&amp;C2266)</f>
        <v>1</v>
      </c>
      <c r="G2266" s="40">
        <f>SUMIFS(mdr_rate_cleaned!$G$2:$G$10,mdr_rate_cleaned!$A$2:$A$10,B2266,mdr_rate_cleaned!$B$2:$B$10,"&lt;"&amp;C2266,mdr_rate_cleaned!$F$2:$F$10,"&gt;="&amp;C2266)</f>
        <v>0</v>
      </c>
      <c r="H2266" s="24">
        <f t="shared" si="175"/>
        <v>0</v>
      </c>
      <c r="I2266" s="23" t="str">
        <f t="shared" si="176"/>
        <v>Match</v>
      </c>
      <c r="J2266" s="23" t="str">
        <f t="shared" si="177"/>
        <v>Match</v>
      </c>
      <c r="K2266" s="24">
        <f t="shared" si="178"/>
        <v>0</v>
      </c>
      <c r="L2266" s="24">
        <f t="shared" si="179"/>
        <v>0</v>
      </c>
    </row>
    <row r="2267" spans="1:12" ht="15" customHeight="1" x14ac:dyDescent="0.3">
      <c r="A2267" s="23" t="s">
        <v>15126</v>
      </c>
      <c r="B2267" s="23" t="s">
        <v>75</v>
      </c>
      <c r="C2267" s="39">
        <v>1799</v>
      </c>
      <c r="D2267" s="24">
        <v>0</v>
      </c>
      <c r="E2267" s="24">
        <v>0</v>
      </c>
      <c r="F2267" s="23">
        <f>COUNTIFS(mdr_rate_cleaned!$A$2:$A$10,B2267,mdr_rate_cleaned!$B$2:$B$10,"&lt;"&amp;C2267,mdr_rate_cleaned!$F$2:$F$10,"&gt;="&amp;C2267)</f>
        <v>1</v>
      </c>
      <c r="G2267" s="40">
        <f>SUMIFS(mdr_rate_cleaned!$G$2:$G$10,mdr_rate_cleaned!$A$2:$A$10,B2267,mdr_rate_cleaned!$B$2:$B$10,"&lt;"&amp;C2267,mdr_rate_cleaned!$F$2:$F$10,"&gt;="&amp;C2267)</f>
        <v>0</v>
      </c>
      <c r="H2267" s="24">
        <f t="shared" si="175"/>
        <v>0</v>
      </c>
      <c r="I2267" s="23" t="str">
        <f t="shared" si="176"/>
        <v>Match</v>
      </c>
      <c r="J2267" s="23" t="str">
        <f t="shared" si="177"/>
        <v>Match</v>
      </c>
      <c r="K2267" s="24">
        <f t="shared" si="178"/>
        <v>0</v>
      </c>
      <c r="L2267" s="24">
        <f t="shared" si="179"/>
        <v>0</v>
      </c>
    </row>
    <row r="2268" spans="1:12" ht="15" customHeight="1" x14ac:dyDescent="0.3">
      <c r="A2268" s="23" t="s">
        <v>15127</v>
      </c>
      <c r="B2268" s="23" t="s">
        <v>79</v>
      </c>
      <c r="C2268" s="39">
        <v>1299</v>
      </c>
      <c r="D2268" s="24">
        <v>23.38</v>
      </c>
      <c r="E2268" s="24">
        <v>4.21</v>
      </c>
      <c r="F2268" s="23">
        <f>COUNTIFS(mdr_rate_cleaned!$A$2:$A$10,B2268,mdr_rate_cleaned!$B$2:$B$10,"&lt;"&amp;C2268,mdr_rate_cleaned!$F$2:$F$10,"&gt;="&amp;C2268)</f>
        <v>1</v>
      </c>
      <c r="G2268" s="40">
        <f>SUMIFS(mdr_rate_cleaned!$G$2:$G$10,mdr_rate_cleaned!$A$2:$A$10,B2268,mdr_rate_cleaned!$B$2:$B$10,"&lt;"&amp;C2268,mdr_rate_cleaned!$F$2:$F$10,"&gt;="&amp;C2268)</f>
        <v>1.8000000000000002E-2</v>
      </c>
      <c r="H2268" s="24">
        <f t="shared" si="175"/>
        <v>23.38</v>
      </c>
      <c r="I2268" s="23" t="str">
        <f t="shared" si="176"/>
        <v>Match</v>
      </c>
      <c r="J2268" s="23" t="str">
        <f t="shared" si="177"/>
        <v>Match</v>
      </c>
      <c r="K2268" s="24">
        <f t="shared" si="178"/>
        <v>4.21</v>
      </c>
      <c r="L2268" s="24">
        <f t="shared" si="179"/>
        <v>0</v>
      </c>
    </row>
    <row r="2269" spans="1:12" ht="15" customHeight="1" x14ac:dyDescent="0.3">
      <c r="A2269" s="23" t="s">
        <v>15128</v>
      </c>
      <c r="B2269" s="23" t="s">
        <v>75</v>
      </c>
      <c r="C2269" s="39">
        <v>1299</v>
      </c>
      <c r="D2269" s="24">
        <v>0</v>
      </c>
      <c r="E2269" s="24">
        <v>0</v>
      </c>
      <c r="F2269" s="23">
        <f>COUNTIFS(mdr_rate_cleaned!$A$2:$A$10,B2269,mdr_rate_cleaned!$B$2:$B$10,"&lt;"&amp;C2269,mdr_rate_cleaned!$F$2:$F$10,"&gt;="&amp;C2269)</f>
        <v>1</v>
      </c>
      <c r="G2269" s="40">
        <f>SUMIFS(mdr_rate_cleaned!$G$2:$G$10,mdr_rate_cleaned!$A$2:$A$10,B2269,mdr_rate_cleaned!$B$2:$B$10,"&lt;"&amp;C2269,mdr_rate_cleaned!$F$2:$F$10,"&gt;="&amp;C2269)</f>
        <v>0</v>
      </c>
      <c r="H2269" s="24">
        <f t="shared" si="175"/>
        <v>0</v>
      </c>
      <c r="I2269" s="23" t="str">
        <f t="shared" si="176"/>
        <v>Match</v>
      </c>
      <c r="J2269" s="23" t="str">
        <f t="shared" si="177"/>
        <v>Match</v>
      </c>
      <c r="K2269" s="24">
        <f t="shared" si="178"/>
        <v>0</v>
      </c>
      <c r="L2269" s="24">
        <f t="shared" si="179"/>
        <v>0</v>
      </c>
    </row>
    <row r="2270" spans="1:12" ht="15" customHeight="1" x14ac:dyDescent="0.3">
      <c r="A2270" s="23" t="s">
        <v>15129</v>
      </c>
      <c r="B2270" s="23" t="s">
        <v>77</v>
      </c>
      <c r="C2270" s="39">
        <v>599</v>
      </c>
      <c r="D2270" s="24">
        <v>11.38</v>
      </c>
      <c r="E2270" s="24">
        <v>2.0499999999999998</v>
      </c>
      <c r="F2270" s="23">
        <f>COUNTIFS(mdr_rate_cleaned!$A$2:$A$10,B2270,mdr_rate_cleaned!$B$2:$B$10,"&lt;"&amp;C2270,mdr_rate_cleaned!$F$2:$F$10,"&gt;="&amp;C2270)</f>
        <v>1</v>
      </c>
      <c r="G2270" s="40">
        <f>SUMIFS(mdr_rate_cleaned!$G$2:$G$10,mdr_rate_cleaned!$A$2:$A$10,B2270,mdr_rate_cleaned!$B$2:$B$10,"&lt;"&amp;C2270,mdr_rate_cleaned!$F$2:$F$10,"&gt;="&amp;C2270)</f>
        <v>1.9E-2</v>
      </c>
      <c r="H2270" s="24">
        <f t="shared" si="175"/>
        <v>11.38</v>
      </c>
      <c r="I2270" s="23" t="str">
        <f t="shared" si="176"/>
        <v>Match</v>
      </c>
      <c r="J2270" s="23" t="str">
        <f t="shared" si="177"/>
        <v>Match</v>
      </c>
      <c r="K2270" s="24">
        <f t="shared" si="178"/>
        <v>2.0499999999999998</v>
      </c>
      <c r="L2270" s="24">
        <f t="shared" si="179"/>
        <v>0</v>
      </c>
    </row>
    <row r="2271" spans="1:12" ht="15" customHeight="1" x14ac:dyDescent="0.3">
      <c r="A2271" s="23" t="s">
        <v>15130</v>
      </c>
      <c r="B2271" s="23" t="s">
        <v>75</v>
      </c>
      <c r="C2271" s="39">
        <v>299</v>
      </c>
      <c r="D2271" s="24">
        <v>0</v>
      </c>
      <c r="E2271" s="24">
        <v>0</v>
      </c>
      <c r="F2271" s="23">
        <f>COUNTIFS(mdr_rate_cleaned!$A$2:$A$10,B2271,mdr_rate_cleaned!$B$2:$B$10,"&lt;"&amp;C2271,mdr_rate_cleaned!$F$2:$F$10,"&gt;="&amp;C2271)</f>
        <v>1</v>
      </c>
      <c r="G2271" s="40">
        <f>SUMIFS(mdr_rate_cleaned!$G$2:$G$10,mdr_rate_cleaned!$A$2:$A$10,B2271,mdr_rate_cleaned!$B$2:$B$10,"&lt;"&amp;C2271,mdr_rate_cleaned!$F$2:$F$10,"&gt;="&amp;C2271)</f>
        <v>0</v>
      </c>
      <c r="H2271" s="24">
        <f t="shared" si="175"/>
        <v>0</v>
      </c>
      <c r="I2271" s="23" t="str">
        <f t="shared" si="176"/>
        <v>Match</v>
      </c>
      <c r="J2271" s="23" t="str">
        <f t="shared" si="177"/>
        <v>Match</v>
      </c>
      <c r="K2271" s="24">
        <f t="shared" si="178"/>
        <v>0</v>
      </c>
      <c r="L2271" s="24">
        <f t="shared" si="179"/>
        <v>0</v>
      </c>
    </row>
    <row r="2272" spans="1:12" ht="15" customHeight="1" x14ac:dyDescent="0.3">
      <c r="A2272" s="23" t="s">
        <v>15131</v>
      </c>
      <c r="B2272" s="23" t="s">
        <v>75</v>
      </c>
      <c r="C2272" s="39">
        <v>999</v>
      </c>
      <c r="D2272" s="24">
        <v>0</v>
      </c>
      <c r="E2272" s="24">
        <v>0</v>
      </c>
      <c r="F2272" s="23">
        <f>COUNTIFS(mdr_rate_cleaned!$A$2:$A$10,B2272,mdr_rate_cleaned!$B$2:$B$10,"&lt;"&amp;C2272,mdr_rate_cleaned!$F$2:$F$10,"&gt;="&amp;C2272)</f>
        <v>1</v>
      </c>
      <c r="G2272" s="40">
        <f>SUMIFS(mdr_rate_cleaned!$G$2:$G$10,mdr_rate_cleaned!$A$2:$A$10,B2272,mdr_rate_cleaned!$B$2:$B$10,"&lt;"&amp;C2272,mdr_rate_cleaned!$F$2:$F$10,"&gt;="&amp;C2272)</f>
        <v>0</v>
      </c>
      <c r="H2272" s="24">
        <f t="shared" si="175"/>
        <v>0</v>
      </c>
      <c r="I2272" s="23" t="str">
        <f t="shared" si="176"/>
        <v>Match</v>
      </c>
      <c r="J2272" s="23" t="str">
        <f t="shared" si="177"/>
        <v>Match</v>
      </c>
      <c r="K2272" s="24">
        <f t="shared" si="178"/>
        <v>0</v>
      </c>
      <c r="L2272" s="24">
        <f t="shared" si="179"/>
        <v>0</v>
      </c>
    </row>
    <row r="2273" spans="1:12" ht="15" customHeight="1" x14ac:dyDescent="0.3">
      <c r="A2273" s="23" t="s">
        <v>15132</v>
      </c>
      <c r="B2273" s="23" t="s">
        <v>75</v>
      </c>
      <c r="C2273" s="39">
        <v>499</v>
      </c>
      <c r="D2273" s="24">
        <v>0</v>
      </c>
      <c r="E2273" s="24">
        <v>0</v>
      </c>
      <c r="F2273" s="23">
        <f>COUNTIFS(mdr_rate_cleaned!$A$2:$A$10,B2273,mdr_rate_cleaned!$B$2:$B$10,"&lt;"&amp;C2273,mdr_rate_cleaned!$F$2:$F$10,"&gt;="&amp;C2273)</f>
        <v>1</v>
      </c>
      <c r="G2273" s="40">
        <f>SUMIFS(mdr_rate_cleaned!$G$2:$G$10,mdr_rate_cleaned!$A$2:$A$10,B2273,mdr_rate_cleaned!$B$2:$B$10,"&lt;"&amp;C2273,mdr_rate_cleaned!$F$2:$F$10,"&gt;="&amp;C2273)</f>
        <v>0</v>
      </c>
      <c r="H2273" s="24">
        <f t="shared" si="175"/>
        <v>0</v>
      </c>
      <c r="I2273" s="23" t="str">
        <f t="shared" si="176"/>
        <v>Match</v>
      </c>
      <c r="J2273" s="23" t="str">
        <f t="shared" si="177"/>
        <v>Match</v>
      </c>
      <c r="K2273" s="24">
        <f t="shared" si="178"/>
        <v>0</v>
      </c>
      <c r="L2273" s="24">
        <f t="shared" si="179"/>
        <v>0</v>
      </c>
    </row>
    <row r="2274" spans="1:12" ht="15" customHeight="1" x14ac:dyDescent="0.3">
      <c r="A2274" s="23" t="s">
        <v>15133</v>
      </c>
      <c r="B2274" s="23" t="s">
        <v>81</v>
      </c>
      <c r="C2274" s="39">
        <v>1798</v>
      </c>
      <c r="D2274" s="24">
        <v>26.97</v>
      </c>
      <c r="E2274" s="24">
        <v>4.8499999999999996</v>
      </c>
      <c r="F2274" s="23">
        <f>COUNTIFS(mdr_rate_cleaned!$A$2:$A$10,B2274,mdr_rate_cleaned!$B$2:$B$10,"&lt;"&amp;C2274,mdr_rate_cleaned!$F$2:$F$10,"&gt;="&amp;C2274)</f>
        <v>1</v>
      </c>
      <c r="G2274" s="40">
        <f>SUMIFS(mdr_rate_cleaned!$G$2:$G$10,mdr_rate_cleaned!$A$2:$A$10,B2274,mdr_rate_cleaned!$B$2:$B$10,"&lt;"&amp;C2274,mdr_rate_cleaned!$F$2:$F$10,"&gt;="&amp;C2274)</f>
        <v>1.4999999999999999E-2</v>
      </c>
      <c r="H2274" s="24">
        <f t="shared" si="175"/>
        <v>26.97</v>
      </c>
      <c r="I2274" s="23" t="str">
        <f t="shared" si="176"/>
        <v>Match</v>
      </c>
      <c r="J2274" s="23" t="str">
        <f t="shared" si="177"/>
        <v>Match</v>
      </c>
      <c r="K2274" s="24">
        <f t="shared" si="178"/>
        <v>4.8499999999999996</v>
      </c>
      <c r="L2274" s="24">
        <f t="shared" si="179"/>
        <v>0</v>
      </c>
    </row>
    <row r="2275" spans="1:12" ht="15" customHeight="1" x14ac:dyDescent="0.3">
      <c r="A2275" s="23" t="s">
        <v>15135</v>
      </c>
      <c r="B2275" s="23" t="s">
        <v>75</v>
      </c>
      <c r="C2275" s="39">
        <v>1299</v>
      </c>
      <c r="D2275" s="24">
        <v>0</v>
      </c>
      <c r="E2275" s="24">
        <v>0</v>
      </c>
      <c r="F2275" s="23">
        <f>COUNTIFS(mdr_rate_cleaned!$A$2:$A$10,B2275,mdr_rate_cleaned!$B$2:$B$10,"&lt;"&amp;C2275,mdr_rate_cleaned!$F$2:$F$10,"&gt;="&amp;C2275)</f>
        <v>1</v>
      </c>
      <c r="G2275" s="40">
        <f>SUMIFS(mdr_rate_cleaned!$G$2:$G$10,mdr_rate_cleaned!$A$2:$A$10,B2275,mdr_rate_cleaned!$B$2:$B$10,"&lt;"&amp;C2275,mdr_rate_cleaned!$F$2:$F$10,"&gt;="&amp;C2275)</f>
        <v>0</v>
      </c>
      <c r="H2275" s="24">
        <f t="shared" si="175"/>
        <v>0</v>
      </c>
      <c r="I2275" s="23" t="str">
        <f t="shared" si="176"/>
        <v>Match</v>
      </c>
      <c r="J2275" s="23" t="str">
        <f t="shared" si="177"/>
        <v>Match</v>
      </c>
      <c r="K2275" s="24">
        <f t="shared" si="178"/>
        <v>0</v>
      </c>
      <c r="L2275" s="24">
        <f t="shared" si="179"/>
        <v>0</v>
      </c>
    </row>
    <row r="2276" spans="1:12" ht="15" customHeight="1" x14ac:dyDescent="0.3">
      <c r="A2276" s="23" t="s">
        <v>15136</v>
      </c>
      <c r="B2276" s="23" t="s">
        <v>81</v>
      </c>
      <c r="C2276" s="39">
        <v>1799</v>
      </c>
      <c r="D2276" s="24">
        <v>26.99</v>
      </c>
      <c r="E2276" s="24">
        <v>4.8600000000000003</v>
      </c>
      <c r="F2276" s="23">
        <f>COUNTIFS(mdr_rate_cleaned!$A$2:$A$10,B2276,mdr_rate_cleaned!$B$2:$B$10,"&lt;"&amp;C2276,mdr_rate_cleaned!$F$2:$F$10,"&gt;="&amp;C2276)</f>
        <v>1</v>
      </c>
      <c r="G2276" s="40">
        <f>SUMIFS(mdr_rate_cleaned!$G$2:$G$10,mdr_rate_cleaned!$A$2:$A$10,B2276,mdr_rate_cleaned!$B$2:$B$10,"&lt;"&amp;C2276,mdr_rate_cleaned!$F$2:$F$10,"&gt;="&amp;C2276)</f>
        <v>1.4999999999999999E-2</v>
      </c>
      <c r="H2276" s="24">
        <f t="shared" si="175"/>
        <v>26.99</v>
      </c>
      <c r="I2276" s="23" t="str">
        <f t="shared" si="176"/>
        <v>Match</v>
      </c>
      <c r="J2276" s="23" t="str">
        <f t="shared" si="177"/>
        <v>Match</v>
      </c>
      <c r="K2276" s="24">
        <f t="shared" si="178"/>
        <v>4.8600000000000003</v>
      </c>
      <c r="L2276" s="24">
        <f t="shared" si="179"/>
        <v>0</v>
      </c>
    </row>
    <row r="2277" spans="1:12" ht="15" customHeight="1" x14ac:dyDescent="0.3">
      <c r="A2277" s="23" t="s">
        <v>15137</v>
      </c>
      <c r="B2277" s="23" t="s">
        <v>75</v>
      </c>
      <c r="C2277" s="39">
        <v>1299</v>
      </c>
      <c r="D2277" s="24">
        <v>0</v>
      </c>
      <c r="E2277" s="24">
        <v>0</v>
      </c>
      <c r="F2277" s="23">
        <f>COUNTIFS(mdr_rate_cleaned!$A$2:$A$10,B2277,mdr_rate_cleaned!$B$2:$B$10,"&lt;"&amp;C2277,mdr_rate_cleaned!$F$2:$F$10,"&gt;="&amp;C2277)</f>
        <v>1</v>
      </c>
      <c r="G2277" s="40">
        <f>SUMIFS(mdr_rate_cleaned!$G$2:$G$10,mdr_rate_cleaned!$A$2:$A$10,B2277,mdr_rate_cleaned!$B$2:$B$10,"&lt;"&amp;C2277,mdr_rate_cleaned!$F$2:$F$10,"&gt;="&amp;C2277)</f>
        <v>0</v>
      </c>
      <c r="H2277" s="24">
        <f t="shared" si="175"/>
        <v>0</v>
      </c>
      <c r="I2277" s="23" t="str">
        <f t="shared" si="176"/>
        <v>Match</v>
      </c>
      <c r="J2277" s="23" t="str">
        <f t="shared" si="177"/>
        <v>Match</v>
      </c>
      <c r="K2277" s="24">
        <f t="shared" si="178"/>
        <v>0</v>
      </c>
      <c r="L2277" s="24">
        <f t="shared" si="179"/>
        <v>0</v>
      </c>
    </row>
    <row r="2278" spans="1:12" ht="15" customHeight="1" x14ac:dyDescent="0.3">
      <c r="A2278" s="23" t="s">
        <v>15139</v>
      </c>
      <c r="B2278" s="23" t="s">
        <v>75</v>
      </c>
      <c r="C2278" s="39">
        <v>3499</v>
      </c>
      <c r="D2278" s="24">
        <v>10.5</v>
      </c>
      <c r="E2278" s="24">
        <v>1.89</v>
      </c>
      <c r="F2278" s="23">
        <f>COUNTIFS(mdr_rate_cleaned!$A$2:$A$10,B2278,mdr_rate_cleaned!$B$2:$B$10,"&lt;"&amp;C2278,mdr_rate_cleaned!$F$2:$F$10,"&gt;="&amp;C2278)</f>
        <v>1</v>
      </c>
      <c r="G2278" s="40">
        <f>SUMIFS(mdr_rate_cleaned!$G$2:$G$10,mdr_rate_cleaned!$A$2:$A$10,B2278,mdr_rate_cleaned!$B$2:$B$10,"&lt;"&amp;C2278,mdr_rate_cleaned!$F$2:$F$10,"&gt;="&amp;C2278)</f>
        <v>3.0000000000000001E-3</v>
      </c>
      <c r="H2278" s="24">
        <f t="shared" si="175"/>
        <v>10.5</v>
      </c>
      <c r="I2278" s="23" t="str">
        <f t="shared" si="176"/>
        <v>Match</v>
      </c>
      <c r="J2278" s="23" t="str">
        <f t="shared" si="177"/>
        <v>Match</v>
      </c>
      <c r="K2278" s="24">
        <f t="shared" si="178"/>
        <v>1.89</v>
      </c>
      <c r="L2278" s="24">
        <f t="shared" si="179"/>
        <v>0</v>
      </c>
    </row>
    <row r="2279" spans="1:12" ht="15" customHeight="1" x14ac:dyDescent="0.3">
      <c r="A2279" s="23" t="s">
        <v>15140</v>
      </c>
      <c r="B2279" s="23" t="s">
        <v>75</v>
      </c>
      <c r="C2279" s="39">
        <v>599</v>
      </c>
      <c r="D2279" s="24">
        <v>1.8</v>
      </c>
      <c r="E2279" s="24">
        <v>0.32</v>
      </c>
      <c r="F2279" s="23">
        <f>COUNTIFS(mdr_rate_cleaned!$A$2:$A$10,B2279,mdr_rate_cleaned!$B$2:$B$10,"&lt;"&amp;C2279,mdr_rate_cleaned!$F$2:$F$10,"&gt;="&amp;C2279)</f>
        <v>1</v>
      </c>
      <c r="G2279" s="40">
        <f>SUMIFS(mdr_rate_cleaned!$G$2:$G$10,mdr_rate_cleaned!$A$2:$A$10,B2279,mdr_rate_cleaned!$B$2:$B$10,"&lt;"&amp;C2279,mdr_rate_cleaned!$F$2:$F$10,"&gt;="&amp;C2279)</f>
        <v>0</v>
      </c>
      <c r="H2279" s="24">
        <f t="shared" si="175"/>
        <v>0</v>
      </c>
      <c r="I2279" s="23" t="str">
        <f t="shared" si="176"/>
        <v>Differs</v>
      </c>
      <c r="J2279" s="23" t="str">
        <f t="shared" si="177"/>
        <v>Match</v>
      </c>
      <c r="K2279" s="24">
        <f t="shared" si="178"/>
        <v>0</v>
      </c>
      <c r="L2279" s="24">
        <f t="shared" si="179"/>
        <v>2.12</v>
      </c>
    </row>
    <row r="2280" spans="1:12" ht="15" customHeight="1" x14ac:dyDescent="0.3">
      <c r="A2280" s="23" t="s">
        <v>15141</v>
      </c>
      <c r="B2280" s="23" t="s">
        <v>77</v>
      </c>
      <c r="C2280" s="39">
        <v>2499</v>
      </c>
      <c r="D2280" s="24">
        <v>42.48</v>
      </c>
      <c r="E2280" s="24">
        <v>7.65</v>
      </c>
      <c r="F2280" s="23">
        <f>COUNTIFS(mdr_rate_cleaned!$A$2:$A$10,B2280,mdr_rate_cleaned!$B$2:$B$10,"&lt;"&amp;C2280,mdr_rate_cleaned!$F$2:$F$10,"&gt;="&amp;C2280)</f>
        <v>1</v>
      </c>
      <c r="G2280" s="40">
        <f>SUMIFS(mdr_rate_cleaned!$G$2:$G$10,mdr_rate_cleaned!$A$2:$A$10,B2280,mdr_rate_cleaned!$B$2:$B$10,"&lt;"&amp;C2280,mdr_rate_cleaned!$F$2:$F$10,"&gt;="&amp;C2280)</f>
        <v>1.7000000000000001E-2</v>
      </c>
      <c r="H2280" s="24">
        <f t="shared" si="175"/>
        <v>42.48</v>
      </c>
      <c r="I2280" s="23" t="str">
        <f t="shared" si="176"/>
        <v>Match</v>
      </c>
      <c r="J2280" s="23" t="str">
        <f t="shared" si="177"/>
        <v>Match</v>
      </c>
      <c r="K2280" s="24">
        <f t="shared" si="178"/>
        <v>7.65</v>
      </c>
      <c r="L2280" s="24">
        <f t="shared" si="179"/>
        <v>0</v>
      </c>
    </row>
    <row r="2281" spans="1:12" ht="15" customHeight="1" x14ac:dyDescent="0.3">
      <c r="A2281" s="23" t="s">
        <v>15142</v>
      </c>
      <c r="B2281" s="23" t="s">
        <v>79</v>
      </c>
      <c r="C2281" s="39">
        <v>1298</v>
      </c>
      <c r="D2281" s="24">
        <v>23.36</v>
      </c>
      <c r="E2281" s="24">
        <v>4.2</v>
      </c>
      <c r="F2281" s="23">
        <f>COUNTIFS(mdr_rate_cleaned!$A$2:$A$10,B2281,mdr_rate_cleaned!$B$2:$B$10,"&lt;"&amp;C2281,mdr_rate_cleaned!$F$2:$F$10,"&gt;="&amp;C2281)</f>
        <v>1</v>
      </c>
      <c r="G2281" s="40">
        <f>SUMIFS(mdr_rate_cleaned!$G$2:$G$10,mdr_rate_cleaned!$A$2:$A$10,B2281,mdr_rate_cleaned!$B$2:$B$10,"&lt;"&amp;C2281,mdr_rate_cleaned!$F$2:$F$10,"&gt;="&amp;C2281)</f>
        <v>1.8000000000000002E-2</v>
      </c>
      <c r="H2281" s="24">
        <f t="shared" si="175"/>
        <v>23.36</v>
      </c>
      <c r="I2281" s="23" t="str">
        <f t="shared" si="176"/>
        <v>Match</v>
      </c>
      <c r="J2281" s="23" t="str">
        <f t="shared" si="177"/>
        <v>Match</v>
      </c>
      <c r="K2281" s="24">
        <f t="shared" si="178"/>
        <v>4.2</v>
      </c>
      <c r="L2281" s="24">
        <f t="shared" si="179"/>
        <v>0</v>
      </c>
    </row>
    <row r="2282" spans="1:12" ht="15" customHeight="1" x14ac:dyDescent="0.3">
      <c r="A2282" s="23" t="s">
        <v>15143</v>
      </c>
      <c r="B2282" s="23" t="s">
        <v>75</v>
      </c>
      <c r="C2282" s="39">
        <v>6097</v>
      </c>
      <c r="D2282" s="24">
        <v>18.29</v>
      </c>
      <c r="E2282" s="24">
        <v>3.29</v>
      </c>
      <c r="F2282" s="23">
        <f>COUNTIFS(mdr_rate_cleaned!$A$2:$A$10,B2282,mdr_rate_cleaned!$B$2:$B$10,"&lt;"&amp;C2282,mdr_rate_cleaned!$F$2:$F$10,"&gt;="&amp;C2282)</f>
        <v>1</v>
      </c>
      <c r="G2282" s="40">
        <f>SUMIFS(mdr_rate_cleaned!$G$2:$G$10,mdr_rate_cleaned!$A$2:$A$10,B2282,mdr_rate_cleaned!$B$2:$B$10,"&lt;"&amp;C2282,mdr_rate_cleaned!$F$2:$F$10,"&gt;="&amp;C2282)</f>
        <v>3.0000000000000001E-3</v>
      </c>
      <c r="H2282" s="24">
        <f t="shared" si="175"/>
        <v>18.29</v>
      </c>
      <c r="I2282" s="23" t="str">
        <f t="shared" si="176"/>
        <v>Match</v>
      </c>
      <c r="J2282" s="23" t="str">
        <f t="shared" si="177"/>
        <v>Match</v>
      </c>
      <c r="K2282" s="24">
        <f t="shared" si="178"/>
        <v>3.29</v>
      </c>
      <c r="L2282" s="24">
        <f t="shared" si="179"/>
        <v>0</v>
      </c>
    </row>
    <row r="2283" spans="1:12" ht="15" customHeight="1" x14ac:dyDescent="0.3">
      <c r="A2283" s="23" t="s">
        <v>15144</v>
      </c>
      <c r="B2283" s="23" t="s">
        <v>75</v>
      </c>
      <c r="C2283" s="39">
        <v>5897</v>
      </c>
      <c r="D2283" s="24">
        <v>17.690000000000001</v>
      </c>
      <c r="E2283" s="24">
        <v>3.18</v>
      </c>
      <c r="F2283" s="23">
        <f>COUNTIFS(mdr_rate_cleaned!$A$2:$A$10,B2283,mdr_rate_cleaned!$B$2:$B$10,"&lt;"&amp;C2283,mdr_rate_cleaned!$F$2:$F$10,"&gt;="&amp;C2283)</f>
        <v>1</v>
      </c>
      <c r="G2283" s="40">
        <f>SUMIFS(mdr_rate_cleaned!$G$2:$G$10,mdr_rate_cleaned!$A$2:$A$10,B2283,mdr_rate_cleaned!$B$2:$B$10,"&lt;"&amp;C2283,mdr_rate_cleaned!$F$2:$F$10,"&gt;="&amp;C2283)</f>
        <v>3.0000000000000001E-3</v>
      </c>
      <c r="H2283" s="24">
        <f t="shared" si="175"/>
        <v>17.690000000000001</v>
      </c>
      <c r="I2283" s="23" t="str">
        <f t="shared" si="176"/>
        <v>Match</v>
      </c>
      <c r="J2283" s="23" t="str">
        <f t="shared" si="177"/>
        <v>Match</v>
      </c>
      <c r="K2283" s="24">
        <f t="shared" si="178"/>
        <v>3.18</v>
      </c>
      <c r="L2283" s="24">
        <f t="shared" si="179"/>
        <v>0</v>
      </c>
    </row>
    <row r="2284" spans="1:12" ht="15" customHeight="1" x14ac:dyDescent="0.3">
      <c r="A2284" s="23" t="s">
        <v>15145</v>
      </c>
      <c r="B2284" s="23" t="s">
        <v>79</v>
      </c>
      <c r="C2284" s="39">
        <v>4999</v>
      </c>
      <c r="D2284" s="24">
        <v>79.98</v>
      </c>
      <c r="E2284" s="24">
        <v>14.4</v>
      </c>
      <c r="F2284" s="23">
        <f>COUNTIFS(mdr_rate_cleaned!$A$2:$A$10,B2284,mdr_rate_cleaned!$B$2:$B$10,"&lt;"&amp;C2284,mdr_rate_cleaned!$F$2:$F$10,"&gt;="&amp;C2284)</f>
        <v>1</v>
      </c>
      <c r="G2284" s="40">
        <f>SUMIFS(mdr_rate_cleaned!$G$2:$G$10,mdr_rate_cleaned!$A$2:$A$10,B2284,mdr_rate_cleaned!$B$2:$B$10,"&lt;"&amp;C2284,mdr_rate_cleaned!$F$2:$F$10,"&gt;="&amp;C2284)</f>
        <v>1.6E-2</v>
      </c>
      <c r="H2284" s="24">
        <f t="shared" si="175"/>
        <v>79.98</v>
      </c>
      <c r="I2284" s="23" t="str">
        <f t="shared" si="176"/>
        <v>Match</v>
      </c>
      <c r="J2284" s="23" t="str">
        <f t="shared" si="177"/>
        <v>Match</v>
      </c>
      <c r="K2284" s="24">
        <f t="shared" si="178"/>
        <v>14.4</v>
      </c>
      <c r="L2284" s="24">
        <f t="shared" si="179"/>
        <v>0</v>
      </c>
    </row>
    <row r="2285" spans="1:12" ht="15" customHeight="1" x14ac:dyDescent="0.3">
      <c r="A2285" s="23" t="s">
        <v>15146</v>
      </c>
      <c r="B2285" s="23" t="s">
        <v>75</v>
      </c>
      <c r="C2285" s="39">
        <v>2148</v>
      </c>
      <c r="D2285" s="24">
        <v>6.44</v>
      </c>
      <c r="E2285" s="24">
        <v>1.1599999999999999</v>
      </c>
      <c r="F2285" s="23">
        <f>COUNTIFS(mdr_rate_cleaned!$A$2:$A$10,B2285,mdr_rate_cleaned!$B$2:$B$10,"&lt;"&amp;C2285,mdr_rate_cleaned!$F$2:$F$10,"&gt;="&amp;C2285)</f>
        <v>1</v>
      </c>
      <c r="G2285" s="40">
        <f>SUMIFS(mdr_rate_cleaned!$G$2:$G$10,mdr_rate_cleaned!$A$2:$A$10,B2285,mdr_rate_cleaned!$B$2:$B$10,"&lt;"&amp;C2285,mdr_rate_cleaned!$F$2:$F$10,"&gt;="&amp;C2285)</f>
        <v>3.0000000000000001E-3</v>
      </c>
      <c r="H2285" s="24">
        <f t="shared" si="175"/>
        <v>6.44</v>
      </c>
      <c r="I2285" s="23" t="str">
        <f t="shared" si="176"/>
        <v>Match</v>
      </c>
      <c r="J2285" s="23" t="str">
        <f t="shared" si="177"/>
        <v>Match</v>
      </c>
      <c r="K2285" s="24">
        <f t="shared" si="178"/>
        <v>1.1599999999999999</v>
      </c>
      <c r="L2285" s="24">
        <f t="shared" si="179"/>
        <v>0</v>
      </c>
    </row>
    <row r="2286" spans="1:12" ht="15" customHeight="1" x14ac:dyDescent="0.3">
      <c r="A2286" s="23" t="s">
        <v>15148</v>
      </c>
      <c r="B2286" s="23" t="s">
        <v>75</v>
      </c>
      <c r="C2286" s="39">
        <v>4999</v>
      </c>
      <c r="D2286" s="24">
        <v>15</v>
      </c>
      <c r="E2286" s="24">
        <v>2.7</v>
      </c>
      <c r="F2286" s="23">
        <f>COUNTIFS(mdr_rate_cleaned!$A$2:$A$10,B2286,mdr_rate_cleaned!$B$2:$B$10,"&lt;"&amp;C2286,mdr_rate_cleaned!$F$2:$F$10,"&gt;="&amp;C2286)</f>
        <v>1</v>
      </c>
      <c r="G2286" s="40">
        <f>SUMIFS(mdr_rate_cleaned!$G$2:$G$10,mdr_rate_cleaned!$A$2:$A$10,B2286,mdr_rate_cleaned!$B$2:$B$10,"&lt;"&amp;C2286,mdr_rate_cleaned!$F$2:$F$10,"&gt;="&amp;C2286)</f>
        <v>3.0000000000000001E-3</v>
      </c>
      <c r="H2286" s="24">
        <f t="shared" si="175"/>
        <v>15</v>
      </c>
      <c r="I2286" s="23" t="str">
        <f t="shared" si="176"/>
        <v>Match</v>
      </c>
      <c r="J2286" s="23" t="str">
        <f t="shared" si="177"/>
        <v>Match</v>
      </c>
      <c r="K2286" s="24">
        <f t="shared" si="178"/>
        <v>2.7</v>
      </c>
      <c r="L2286" s="24">
        <f t="shared" si="179"/>
        <v>0</v>
      </c>
    </row>
    <row r="2287" spans="1:12" ht="15" customHeight="1" x14ac:dyDescent="0.3">
      <c r="A2287" s="23" t="s">
        <v>15149</v>
      </c>
      <c r="B2287" s="23" t="s">
        <v>75</v>
      </c>
      <c r="C2287" s="39">
        <v>5797</v>
      </c>
      <c r="D2287" s="24">
        <v>17.39</v>
      </c>
      <c r="E2287" s="24">
        <v>3.13</v>
      </c>
      <c r="F2287" s="23">
        <f>COUNTIFS(mdr_rate_cleaned!$A$2:$A$10,B2287,mdr_rate_cleaned!$B$2:$B$10,"&lt;"&amp;C2287,mdr_rate_cleaned!$F$2:$F$10,"&gt;="&amp;C2287)</f>
        <v>1</v>
      </c>
      <c r="G2287" s="40">
        <f>SUMIFS(mdr_rate_cleaned!$G$2:$G$10,mdr_rate_cleaned!$A$2:$A$10,B2287,mdr_rate_cleaned!$B$2:$B$10,"&lt;"&amp;C2287,mdr_rate_cleaned!$F$2:$F$10,"&gt;="&amp;C2287)</f>
        <v>3.0000000000000001E-3</v>
      </c>
      <c r="H2287" s="24">
        <f t="shared" si="175"/>
        <v>17.39</v>
      </c>
      <c r="I2287" s="23" t="str">
        <f t="shared" si="176"/>
        <v>Match</v>
      </c>
      <c r="J2287" s="23" t="str">
        <f t="shared" si="177"/>
        <v>Match</v>
      </c>
      <c r="K2287" s="24">
        <f t="shared" si="178"/>
        <v>3.13</v>
      </c>
      <c r="L2287" s="24">
        <f t="shared" si="179"/>
        <v>0</v>
      </c>
    </row>
    <row r="2288" spans="1:12" ht="15" customHeight="1" x14ac:dyDescent="0.3">
      <c r="A2288" s="23" t="s">
        <v>15151</v>
      </c>
      <c r="B2288" s="23" t="s">
        <v>77</v>
      </c>
      <c r="C2288" s="39">
        <v>8348</v>
      </c>
      <c r="D2288" s="24">
        <v>141.91999999999999</v>
      </c>
      <c r="E2288" s="24">
        <v>25.55</v>
      </c>
      <c r="F2288" s="23">
        <f>COUNTIFS(mdr_rate_cleaned!$A$2:$A$10,B2288,mdr_rate_cleaned!$B$2:$B$10,"&lt;"&amp;C2288,mdr_rate_cleaned!$F$2:$F$10,"&gt;="&amp;C2288)</f>
        <v>1</v>
      </c>
      <c r="G2288" s="40">
        <f>SUMIFS(mdr_rate_cleaned!$G$2:$G$10,mdr_rate_cleaned!$A$2:$A$10,B2288,mdr_rate_cleaned!$B$2:$B$10,"&lt;"&amp;C2288,mdr_rate_cleaned!$F$2:$F$10,"&gt;="&amp;C2288)</f>
        <v>1.7000000000000001E-2</v>
      </c>
      <c r="H2288" s="24">
        <f t="shared" si="175"/>
        <v>141.91999999999999</v>
      </c>
      <c r="I2288" s="23" t="str">
        <f t="shared" si="176"/>
        <v>Match</v>
      </c>
      <c r="J2288" s="23" t="str">
        <f t="shared" si="177"/>
        <v>Match</v>
      </c>
      <c r="K2288" s="24">
        <f t="shared" si="178"/>
        <v>25.55</v>
      </c>
      <c r="L2288" s="24">
        <f t="shared" si="179"/>
        <v>0</v>
      </c>
    </row>
    <row r="2289" spans="1:12" ht="15" customHeight="1" x14ac:dyDescent="0.3">
      <c r="A2289" s="23" t="s">
        <v>15152</v>
      </c>
      <c r="B2289" s="23" t="s">
        <v>75</v>
      </c>
      <c r="C2289" s="39">
        <v>5498</v>
      </c>
      <c r="D2289" s="24">
        <v>16.489999999999998</v>
      </c>
      <c r="E2289" s="24">
        <v>2.97</v>
      </c>
      <c r="F2289" s="23">
        <f>COUNTIFS(mdr_rate_cleaned!$A$2:$A$10,B2289,mdr_rate_cleaned!$B$2:$B$10,"&lt;"&amp;C2289,mdr_rate_cleaned!$F$2:$F$10,"&gt;="&amp;C2289)</f>
        <v>1</v>
      </c>
      <c r="G2289" s="40">
        <f>SUMIFS(mdr_rate_cleaned!$G$2:$G$10,mdr_rate_cleaned!$A$2:$A$10,B2289,mdr_rate_cleaned!$B$2:$B$10,"&lt;"&amp;C2289,mdr_rate_cleaned!$F$2:$F$10,"&gt;="&amp;C2289)</f>
        <v>3.0000000000000001E-3</v>
      </c>
      <c r="H2289" s="24">
        <f t="shared" si="175"/>
        <v>16.489999999999998</v>
      </c>
      <c r="I2289" s="23" t="str">
        <f t="shared" si="176"/>
        <v>Match</v>
      </c>
      <c r="J2289" s="23" t="str">
        <f t="shared" si="177"/>
        <v>Match</v>
      </c>
      <c r="K2289" s="24">
        <f t="shared" si="178"/>
        <v>2.97</v>
      </c>
      <c r="L2289" s="24">
        <f t="shared" si="179"/>
        <v>0</v>
      </c>
    </row>
    <row r="2290" spans="1:12" ht="15" customHeight="1" x14ac:dyDescent="0.3">
      <c r="A2290" s="23" t="s">
        <v>15153</v>
      </c>
      <c r="B2290" s="23" t="s">
        <v>75</v>
      </c>
      <c r="C2290" s="39">
        <v>9998</v>
      </c>
      <c r="D2290" s="24">
        <v>29.99</v>
      </c>
      <c r="E2290" s="24">
        <v>5.4</v>
      </c>
      <c r="F2290" s="23">
        <f>COUNTIFS(mdr_rate_cleaned!$A$2:$A$10,B2290,mdr_rate_cleaned!$B$2:$B$10,"&lt;"&amp;C2290,mdr_rate_cleaned!$F$2:$F$10,"&gt;="&amp;C2290)</f>
        <v>1</v>
      </c>
      <c r="G2290" s="40">
        <f>SUMIFS(mdr_rate_cleaned!$G$2:$G$10,mdr_rate_cleaned!$A$2:$A$10,B2290,mdr_rate_cleaned!$B$2:$B$10,"&lt;"&amp;C2290,mdr_rate_cleaned!$F$2:$F$10,"&gt;="&amp;C2290)</f>
        <v>3.0000000000000001E-3</v>
      </c>
      <c r="H2290" s="24">
        <f t="shared" si="175"/>
        <v>29.99</v>
      </c>
      <c r="I2290" s="23" t="str">
        <f t="shared" si="176"/>
        <v>Match</v>
      </c>
      <c r="J2290" s="23" t="str">
        <f t="shared" si="177"/>
        <v>Match</v>
      </c>
      <c r="K2290" s="24">
        <f t="shared" si="178"/>
        <v>5.4</v>
      </c>
      <c r="L2290" s="24">
        <f t="shared" si="179"/>
        <v>0</v>
      </c>
    </row>
    <row r="2291" spans="1:12" ht="15" customHeight="1" x14ac:dyDescent="0.3">
      <c r="A2291" s="23" t="s">
        <v>15155</v>
      </c>
      <c r="B2291" s="23" t="s">
        <v>75</v>
      </c>
      <c r="C2291" s="39">
        <v>2999</v>
      </c>
      <c r="D2291" s="24">
        <v>9</v>
      </c>
      <c r="E2291" s="24">
        <v>1.62</v>
      </c>
      <c r="F2291" s="23">
        <f>COUNTIFS(mdr_rate_cleaned!$A$2:$A$10,B2291,mdr_rate_cleaned!$B$2:$B$10,"&lt;"&amp;C2291,mdr_rate_cleaned!$F$2:$F$10,"&gt;="&amp;C2291)</f>
        <v>1</v>
      </c>
      <c r="G2291" s="40">
        <f>SUMIFS(mdr_rate_cleaned!$G$2:$G$10,mdr_rate_cleaned!$A$2:$A$10,B2291,mdr_rate_cleaned!$B$2:$B$10,"&lt;"&amp;C2291,mdr_rate_cleaned!$F$2:$F$10,"&gt;="&amp;C2291)</f>
        <v>3.0000000000000001E-3</v>
      </c>
      <c r="H2291" s="24">
        <f t="shared" si="175"/>
        <v>9</v>
      </c>
      <c r="I2291" s="23" t="str">
        <f t="shared" si="176"/>
        <v>Match</v>
      </c>
      <c r="J2291" s="23" t="str">
        <f t="shared" si="177"/>
        <v>Match</v>
      </c>
      <c r="K2291" s="24">
        <f t="shared" si="178"/>
        <v>1.62</v>
      </c>
      <c r="L2291" s="24">
        <f t="shared" si="179"/>
        <v>0</v>
      </c>
    </row>
    <row r="2292" spans="1:12" ht="15" customHeight="1" x14ac:dyDescent="0.3">
      <c r="A2292" s="23" t="s">
        <v>15157</v>
      </c>
      <c r="B2292" s="23" t="s">
        <v>75</v>
      </c>
      <c r="C2292" s="39">
        <v>1799</v>
      </c>
      <c r="D2292" s="24">
        <v>0</v>
      </c>
      <c r="E2292" s="24">
        <v>0</v>
      </c>
      <c r="F2292" s="23">
        <f>COUNTIFS(mdr_rate_cleaned!$A$2:$A$10,B2292,mdr_rate_cleaned!$B$2:$B$10,"&lt;"&amp;C2292,mdr_rate_cleaned!$F$2:$F$10,"&gt;="&amp;C2292)</f>
        <v>1</v>
      </c>
      <c r="G2292" s="40">
        <f>SUMIFS(mdr_rate_cleaned!$G$2:$G$10,mdr_rate_cleaned!$A$2:$A$10,B2292,mdr_rate_cleaned!$B$2:$B$10,"&lt;"&amp;C2292,mdr_rate_cleaned!$F$2:$F$10,"&gt;="&amp;C2292)</f>
        <v>0</v>
      </c>
      <c r="H2292" s="24">
        <f t="shared" si="175"/>
        <v>0</v>
      </c>
      <c r="I2292" s="23" t="str">
        <f t="shared" si="176"/>
        <v>Match</v>
      </c>
      <c r="J2292" s="23" t="str">
        <f t="shared" si="177"/>
        <v>Match</v>
      </c>
      <c r="K2292" s="24">
        <f t="shared" si="178"/>
        <v>0</v>
      </c>
      <c r="L2292" s="24">
        <f t="shared" si="179"/>
        <v>0</v>
      </c>
    </row>
    <row r="2293" spans="1:12" ht="15" customHeight="1" x14ac:dyDescent="0.3">
      <c r="A2293" s="23" t="s">
        <v>15158</v>
      </c>
      <c r="B2293" s="23" t="s">
        <v>75</v>
      </c>
      <c r="C2293" s="39">
        <v>2499</v>
      </c>
      <c r="D2293" s="24">
        <v>7.5</v>
      </c>
      <c r="E2293" s="24">
        <v>1.35</v>
      </c>
      <c r="F2293" s="23">
        <f>COUNTIFS(mdr_rate_cleaned!$A$2:$A$10,B2293,mdr_rate_cleaned!$B$2:$B$10,"&lt;"&amp;C2293,mdr_rate_cleaned!$F$2:$F$10,"&gt;="&amp;C2293)</f>
        <v>1</v>
      </c>
      <c r="G2293" s="40">
        <f>SUMIFS(mdr_rate_cleaned!$G$2:$G$10,mdr_rate_cleaned!$A$2:$A$10,B2293,mdr_rate_cleaned!$B$2:$B$10,"&lt;"&amp;C2293,mdr_rate_cleaned!$F$2:$F$10,"&gt;="&amp;C2293)</f>
        <v>3.0000000000000001E-3</v>
      </c>
      <c r="H2293" s="24">
        <f t="shared" si="175"/>
        <v>7.5</v>
      </c>
      <c r="I2293" s="23" t="str">
        <f t="shared" si="176"/>
        <v>Match</v>
      </c>
      <c r="J2293" s="23" t="str">
        <f t="shared" si="177"/>
        <v>Match</v>
      </c>
      <c r="K2293" s="24">
        <f t="shared" si="178"/>
        <v>1.35</v>
      </c>
      <c r="L2293" s="24">
        <f t="shared" si="179"/>
        <v>0</v>
      </c>
    </row>
    <row r="2294" spans="1:12" ht="15" customHeight="1" x14ac:dyDescent="0.3">
      <c r="A2294" s="23" t="s">
        <v>15159</v>
      </c>
      <c r="B2294" s="23" t="s">
        <v>77</v>
      </c>
      <c r="C2294" s="39">
        <v>4097</v>
      </c>
      <c r="D2294" s="24">
        <v>69.650000000000006</v>
      </c>
      <c r="E2294" s="24">
        <v>12.54</v>
      </c>
      <c r="F2294" s="23">
        <f>COUNTIFS(mdr_rate_cleaned!$A$2:$A$10,B2294,mdr_rate_cleaned!$B$2:$B$10,"&lt;"&amp;C2294,mdr_rate_cleaned!$F$2:$F$10,"&gt;="&amp;C2294)</f>
        <v>1</v>
      </c>
      <c r="G2294" s="40">
        <f>SUMIFS(mdr_rate_cleaned!$G$2:$G$10,mdr_rate_cleaned!$A$2:$A$10,B2294,mdr_rate_cleaned!$B$2:$B$10,"&lt;"&amp;C2294,mdr_rate_cleaned!$F$2:$F$10,"&gt;="&amp;C2294)</f>
        <v>1.7000000000000001E-2</v>
      </c>
      <c r="H2294" s="24">
        <f t="shared" si="175"/>
        <v>69.650000000000006</v>
      </c>
      <c r="I2294" s="23" t="str">
        <f t="shared" si="176"/>
        <v>Match</v>
      </c>
      <c r="J2294" s="23" t="str">
        <f t="shared" si="177"/>
        <v>Match</v>
      </c>
      <c r="K2294" s="24">
        <f t="shared" si="178"/>
        <v>12.54</v>
      </c>
      <c r="L2294" s="24">
        <f t="shared" si="179"/>
        <v>0</v>
      </c>
    </row>
    <row r="2295" spans="1:12" ht="15" customHeight="1" x14ac:dyDescent="0.3">
      <c r="A2295" s="23" t="s">
        <v>15160</v>
      </c>
      <c r="B2295" s="23" t="s">
        <v>79</v>
      </c>
      <c r="C2295" s="39">
        <v>2098</v>
      </c>
      <c r="D2295" s="24">
        <v>33.57</v>
      </c>
      <c r="E2295" s="24">
        <v>6.04</v>
      </c>
      <c r="F2295" s="23">
        <f>COUNTIFS(mdr_rate_cleaned!$A$2:$A$10,B2295,mdr_rate_cleaned!$B$2:$B$10,"&lt;"&amp;C2295,mdr_rate_cleaned!$F$2:$F$10,"&gt;="&amp;C2295)</f>
        <v>1</v>
      </c>
      <c r="G2295" s="40">
        <f>SUMIFS(mdr_rate_cleaned!$G$2:$G$10,mdr_rate_cleaned!$A$2:$A$10,B2295,mdr_rate_cleaned!$B$2:$B$10,"&lt;"&amp;C2295,mdr_rate_cleaned!$F$2:$F$10,"&gt;="&amp;C2295)</f>
        <v>1.6E-2</v>
      </c>
      <c r="H2295" s="24">
        <f t="shared" si="175"/>
        <v>33.57</v>
      </c>
      <c r="I2295" s="23" t="str">
        <f t="shared" si="176"/>
        <v>Match</v>
      </c>
      <c r="J2295" s="23" t="str">
        <f t="shared" si="177"/>
        <v>Match</v>
      </c>
      <c r="K2295" s="24">
        <f t="shared" si="178"/>
        <v>6.04</v>
      </c>
      <c r="L2295" s="24">
        <f t="shared" si="179"/>
        <v>0</v>
      </c>
    </row>
    <row r="2296" spans="1:12" ht="15" customHeight="1" x14ac:dyDescent="0.3">
      <c r="A2296" s="23" t="s">
        <v>15161</v>
      </c>
      <c r="B2296" s="23" t="s">
        <v>75</v>
      </c>
      <c r="C2296" s="39">
        <v>2848</v>
      </c>
      <c r="D2296" s="24">
        <v>8.5399999999999991</v>
      </c>
      <c r="E2296" s="24">
        <v>1.54</v>
      </c>
      <c r="F2296" s="23">
        <f>COUNTIFS(mdr_rate_cleaned!$A$2:$A$10,B2296,mdr_rate_cleaned!$B$2:$B$10,"&lt;"&amp;C2296,mdr_rate_cleaned!$F$2:$F$10,"&gt;="&amp;C2296)</f>
        <v>1</v>
      </c>
      <c r="G2296" s="40">
        <f>SUMIFS(mdr_rate_cleaned!$G$2:$G$10,mdr_rate_cleaned!$A$2:$A$10,B2296,mdr_rate_cleaned!$B$2:$B$10,"&lt;"&amp;C2296,mdr_rate_cleaned!$F$2:$F$10,"&gt;="&amp;C2296)</f>
        <v>3.0000000000000001E-3</v>
      </c>
      <c r="H2296" s="24">
        <f t="shared" si="175"/>
        <v>8.5399999999999991</v>
      </c>
      <c r="I2296" s="23" t="str">
        <f t="shared" si="176"/>
        <v>Match</v>
      </c>
      <c r="J2296" s="23" t="str">
        <f t="shared" si="177"/>
        <v>Match</v>
      </c>
      <c r="K2296" s="24">
        <f t="shared" si="178"/>
        <v>1.54</v>
      </c>
      <c r="L2296" s="24">
        <f t="shared" si="179"/>
        <v>0</v>
      </c>
    </row>
    <row r="2297" spans="1:12" ht="15" customHeight="1" x14ac:dyDescent="0.3">
      <c r="A2297" s="23" t="s">
        <v>15163</v>
      </c>
      <c r="B2297" s="23" t="s">
        <v>81</v>
      </c>
      <c r="C2297" s="39">
        <v>9297</v>
      </c>
      <c r="D2297" s="24">
        <v>111.56</v>
      </c>
      <c r="E2297" s="24">
        <v>20.079999999999998</v>
      </c>
      <c r="F2297" s="23">
        <f>COUNTIFS(mdr_rate_cleaned!$A$2:$A$10,B2297,mdr_rate_cleaned!$B$2:$B$10,"&lt;"&amp;C2297,mdr_rate_cleaned!$F$2:$F$10,"&gt;="&amp;C2297)</f>
        <v>1</v>
      </c>
      <c r="G2297" s="40">
        <f>SUMIFS(mdr_rate_cleaned!$G$2:$G$10,mdr_rate_cleaned!$A$2:$A$10,B2297,mdr_rate_cleaned!$B$2:$B$10,"&lt;"&amp;C2297,mdr_rate_cleaned!$F$2:$F$10,"&gt;="&amp;C2297)</f>
        <v>1.2E-2</v>
      </c>
      <c r="H2297" s="24">
        <f t="shared" si="175"/>
        <v>111.56</v>
      </c>
      <c r="I2297" s="23" t="str">
        <f t="shared" si="176"/>
        <v>Match</v>
      </c>
      <c r="J2297" s="23" t="str">
        <f t="shared" si="177"/>
        <v>Match</v>
      </c>
      <c r="K2297" s="24">
        <f t="shared" si="178"/>
        <v>20.079999999999998</v>
      </c>
      <c r="L2297" s="24">
        <f t="shared" si="179"/>
        <v>0</v>
      </c>
    </row>
    <row r="2298" spans="1:12" ht="15" customHeight="1" x14ac:dyDescent="0.3">
      <c r="A2298" s="23" t="s">
        <v>15164</v>
      </c>
      <c r="B2298" s="23" t="s">
        <v>75</v>
      </c>
      <c r="C2298" s="39">
        <v>349</v>
      </c>
      <c r="D2298" s="24">
        <v>0</v>
      </c>
      <c r="E2298" s="24">
        <v>0</v>
      </c>
      <c r="F2298" s="23">
        <f>COUNTIFS(mdr_rate_cleaned!$A$2:$A$10,B2298,mdr_rate_cleaned!$B$2:$B$10,"&lt;"&amp;C2298,mdr_rate_cleaned!$F$2:$F$10,"&gt;="&amp;C2298)</f>
        <v>1</v>
      </c>
      <c r="G2298" s="40">
        <f>SUMIFS(mdr_rate_cleaned!$G$2:$G$10,mdr_rate_cleaned!$A$2:$A$10,B2298,mdr_rate_cleaned!$B$2:$B$10,"&lt;"&amp;C2298,mdr_rate_cleaned!$F$2:$F$10,"&gt;="&amp;C2298)</f>
        <v>0</v>
      </c>
      <c r="H2298" s="24">
        <f t="shared" si="175"/>
        <v>0</v>
      </c>
      <c r="I2298" s="23" t="str">
        <f t="shared" si="176"/>
        <v>Match</v>
      </c>
      <c r="J2298" s="23" t="str">
        <f t="shared" si="177"/>
        <v>Match</v>
      </c>
      <c r="K2298" s="24">
        <f t="shared" si="178"/>
        <v>0</v>
      </c>
      <c r="L2298" s="24">
        <f t="shared" si="179"/>
        <v>0</v>
      </c>
    </row>
    <row r="2299" spans="1:12" ht="15" customHeight="1" x14ac:dyDescent="0.3">
      <c r="A2299" s="23" t="s">
        <v>15165</v>
      </c>
      <c r="B2299" s="23" t="s">
        <v>75</v>
      </c>
      <c r="C2299" s="39">
        <v>2499</v>
      </c>
      <c r="D2299" s="24">
        <v>7.5</v>
      </c>
      <c r="E2299" s="24">
        <v>1.35</v>
      </c>
      <c r="F2299" s="23">
        <f>COUNTIFS(mdr_rate_cleaned!$A$2:$A$10,B2299,mdr_rate_cleaned!$B$2:$B$10,"&lt;"&amp;C2299,mdr_rate_cleaned!$F$2:$F$10,"&gt;="&amp;C2299)</f>
        <v>1</v>
      </c>
      <c r="G2299" s="40">
        <f>SUMIFS(mdr_rate_cleaned!$G$2:$G$10,mdr_rate_cleaned!$A$2:$A$10,B2299,mdr_rate_cleaned!$B$2:$B$10,"&lt;"&amp;C2299,mdr_rate_cleaned!$F$2:$F$10,"&gt;="&amp;C2299)</f>
        <v>3.0000000000000001E-3</v>
      </c>
      <c r="H2299" s="24">
        <f t="shared" si="175"/>
        <v>7.5</v>
      </c>
      <c r="I2299" s="23" t="str">
        <f t="shared" si="176"/>
        <v>Match</v>
      </c>
      <c r="J2299" s="23" t="str">
        <f t="shared" si="177"/>
        <v>Match</v>
      </c>
      <c r="K2299" s="24">
        <f t="shared" si="178"/>
        <v>1.35</v>
      </c>
      <c r="L2299" s="24">
        <f t="shared" si="179"/>
        <v>0</v>
      </c>
    </row>
    <row r="2300" spans="1:12" ht="15" customHeight="1" x14ac:dyDescent="0.3">
      <c r="A2300" s="23" t="s">
        <v>15166</v>
      </c>
      <c r="B2300" s="23" t="s">
        <v>75</v>
      </c>
      <c r="C2300" s="39">
        <v>1499</v>
      </c>
      <c r="D2300" s="24">
        <v>0</v>
      </c>
      <c r="E2300" s="24">
        <v>0</v>
      </c>
      <c r="F2300" s="23">
        <f>COUNTIFS(mdr_rate_cleaned!$A$2:$A$10,B2300,mdr_rate_cleaned!$B$2:$B$10,"&lt;"&amp;C2300,mdr_rate_cleaned!$F$2:$F$10,"&gt;="&amp;C2300)</f>
        <v>1</v>
      </c>
      <c r="G2300" s="40">
        <f>SUMIFS(mdr_rate_cleaned!$G$2:$G$10,mdr_rate_cleaned!$A$2:$A$10,B2300,mdr_rate_cleaned!$B$2:$B$10,"&lt;"&amp;C2300,mdr_rate_cleaned!$F$2:$F$10,"&gt;="&amp;C2300)</f>
        <v>0</v>
      </c>
      <c r="H2300" s="24">
        <f t="shared" si="175"/>
        <v>0</v>
      </c>
      <c r="I2300" s="23" t="str">
        <f t="shared" si="176"/>
        <v>Match</v>
      </c>
      <c r="J2300" s="23" t="str">
        <f t="shared" si="177"/>
        <v>Match</v>
      </c>
      <c r="K2300" s="24">
        <f t="shared" si="178"/>
        <v>0</v>
      </c>
      <c r="L2300" s="24">
        <f t="shared" si="179"/>
        <v>0</v>
      </c>
    </row>
    <row r="2301" spans="1:12" ht="15" customHeight="1" x14ac:dyDescent="0.3">
      <c r="A2301" s="23" t="s">
        <v>15167</v>
      </c>
      <c r="B2301" s="23" t="s">
        <v>75</v>
      </c>
      <c r="C2301" s="39">
        <v>6798</v>
      </c>
      <c r="D2301" s="24">
        <v>20.39</v>
      </c>
      <c r="E2301" s="24">
        <v>3.67</v>
      </c>
      <c r="F2301" s="23">
        <f>COUNTIFS(mdr_rate_cleaned!$A$2:$A$10,B2301,mdr_rate_cleaned!$B$2:$B$10,"&lt;"&amp;C2301,mdr_rate_cleaned!$F$2:$F$10,"&gt;="&amp;C2301)</f>
        <v>1</v>
      </c>
      <c r="G2301" s="40">
        <f>SUMIFS(mdr_rate_cleaned!$G$2:$G$10,mdr_rate_cleaned!$A$2:$A$10,B2301,mdr_rate_cleaned!$B$2:$B$10,"&lt;"&amp;C2301,mdr_rate_cleaned!$F$2:$F$10,"&gt;="&amp;C2301)</f>
        <v>3.0000000000000001E-3</v>
      </c>
      <c r="H2301" s="24">
        <f t="shared" si="175"/>
        <v>20.39</v>
      </c>
      <c r="I2301" s="23" t="str">
        <f t="shared" si="176"/>
        <v>Match</v>
      </c>
      <c r="J2301" s="23" t="str">
        <f t="shared" si="177"/>
        <v>Match</v>
      </c>
      <c r="K2301" s="24">
        <f t="shared" si="178"/>
        <v>3.67</v>
      </c>
      <c r="L2301" s="24">
        <f t="shared" si="179"/>
        <v>0</v>
      </c>
    </row>
    <row r="2302" spans="1:12" ht="15" customHeight="1" x14ac:dyDescent="0.3">
      <c r="A2302" s="23" t="s">
        <v>15168</v>
      </c>
      <c r="B2302" s="23" t="s">
        <v>79</v>
      </c>
      <c r="C2302" s="39">
        <v>999</v>
      </c>
      <c r="D2302" s="24">
        <v>17.98</v>
      </c>
      <c r="E2302" s="24">
        <v>3.24</v>
      </c>
      <c r="F2302" s="23">
        <f>COUNTIFS(mdr_rate_cleaned!$A$2:$A$10,B2302,mdr_rate_cleaned!$B$2:$B$10,"&lt;"&amp;C2302,mdr_rate_cleaned!$F$2:$F$10,"&gt;="&amp;C2302)</f>
        <v>1</v>
      </c>
      <c r="G2302" s="40">
        <f>SUMIFS(mdr_rate_cleaned!$G$2:$G$10,mdr_rate_cleaned!$A$2:$A$10,B2302,mdr_rate_cleaned!$B$2:$B$10,"&lt;"&amp;C2302,mdr_rate_cleaned!$F$2:$F$10,"&gt;="&amp;C2302)</f>
        <v>1.8000000000000002E-2</v>
      </c>
      <c r="H2302" s="24">
        <f t="shared" si="175"/>
        <v>17.98</v>
      </c>
      <c r="I2302" s="23" t="str">
        <f t="shared" si="176"/>
        <v>Match</v>
      </c>
      <c r="J2302" s="23" t="str">
        <f t="shared" si="177"/>
        <v>Match</v>
      </c>
      <c r="K2302" s="24">
        <f t="shared" si="178"/>
        <v>3.24</v>
      </c>
      <c r="L2302" s="24">
        <f t="shared" si="179"/>
        <v>0</v>
      </c>
    </row>
    <row r="2303" spans="1:12" ht="15" customHeight="1" x14ac:dyDescent="0.3">
      <c r="A2303" s="23" t="s">
        <v>15169</v>
      </c>
      <c r="B2303" s="23" t="s">
        <v>75</v>
      </c>
      <c r="C2303" s="39">
        <v>7999</v>
      </c>
      <c r="D2303" s="24">
        <v>24</v>
      </c>
      <c r="E2303" s="24">
        <v>4.32</v>
      </c>
      <c r="F2303" s="23">
        <f>COUNTIFS(mdr_rate_cleaned!$A$2:$A$10,B2303,mdr_rate_cleaned!$B$2:$B$10,"&lt;"&amp;C2303,mdr_rate_cleaned!$F$2:$F$10,"&gt;="&amp;C2303)</f>
        <v>1</v>
      </c>
      <c r="G2303" s="40">
        <f>SUMIFS(mdr_rate_cleaned!$G$2:$G$10,mdr_rate_cleaned!$A$2:$A$10,B2303,mdr_rate_cleaned!$B$2:$B$10,"&lt;"&amp;C2303,mdr_rate_cleaned!$F$2:$F$10,"&gt;="&amp;C2303)</f>
        <v>3.0000000000000001E-3</v>
      </c>
      <c r="H2303" s="24">
        <f t="shared" si="175"/>
        <v>24</v>
      </c>
      <c r="I2303" s="23" t="str">
        <f t="shared" si="176"/>
        <v>Match</v>
      </c>
      <c r="J2303" s="23" t="str">
        <f t="shared" si="177"/>
        <v>Match</v>
      </c>
      <c r="K2303" s="24">
        <f t="shared" si="178"/>
        <v>4.32</v>
      </c>
      <c r="L2303" s="24">
        <f t="shared" si="179"/>
        <v>0</v>
      </c>
    </row>
    <row r="2304" spans="1:12" ht="15" customHeight="1" x14ac:dyDescent="0.3">
      <c r="A2304" s="23" t="s">
        <v>15170</v>
      </c>
      <c r="B2304" s="23" t="s">
        <v>75</v>
      </c>
      <c r="C2304" s="39">
        <v>1848</v>
      </c>
      <c r="D2304" s="24">
        <v>0</v>
      </c>
      <c r="E2304" s="24">
        <v>0</v>
      </c>
      <c r="F2304" s="23">
        <f>COUNTIFS(mdr_rate_cleaned!$A$2:$A$10,B2304,mdr_rate_cleaned!$B$2:$B$10,"&lt;"&amp;C2304,mdr_rate_cleaned!$F$2:$F$10,"&gt;="&amp;C2304)</f>
        <v>1</v>
      </c>
      <c r="G2304" s="40">
        <f>SUMIFS(mdr_rate_cleaned!$G$2:$G$10,mdr_rate_cleaned!$A$2:$A$10,B2304,mdr_rate_cleaned!$B$2:$B$10,"&lt;"&amp;C2304,mdr_rate_cleaned!$F$2:$F$10,"&gt;="&amp;C2304)</f>
        <v>0</v>
      </c>
      <c r="H2304" s="24">
        <f t="shared" si="175"/>
        <v>0</v>
      </c>
      <c r="I2304" s="23" t="str">
        <f t="shared" si="176"/>
        <v>Match</v>
      </c>
      <c r="J2304" s="23" t="str">
        <f t="shared" si="177"/>
        <v>Match</v>
      </c>
      <c r="K2304" s="24">
        <f t="shared" si="178"/>
        <v>0</v>
      </c>
      <c r="L2304" s="24">
        <f t="shared" si="179"/>
        <v>0</v>
      </c>
    </row>
    <row r="2305" spans="1:12" ht="15" customHeight="1" x14ac:dyDescent="0.3">
      <c r="A2305" s="23" t="s">
        <v>15171</v>
      </c>
      <c r="B2305" s="23" t="s">
        <v>79</v>
      </c>
      <c r="C2305" s="39">
        <v>4298</v>
      </c>
      <c r="D2305" s="24">
        <v>68.77</v>
      </c>
      <c r="E2305" s="24">
        <v>12.38</v>
      </c>
      <c r="F2305" s="23">
        <f>COUNTIFS(mdr_rate_cleaned!$A$2:$A$10,B2305,mdr_rate_cleaned!$B$2:$B$10,"&lt;"&amp;C2305,mdr_rate_cleaned!$F$2:$F$10,"&gt;="&amp;C2305)</f>
        <v>1</v>
      </c>
      <c r="G2305" s="40">
        <f>SUMIFS(mdr_rate_cleaned!$G$2:$G$10,mdr_rate_cleaned!$A$2:$A$10,B2305,mdr_rate_cleaned!$B$2:$B$10,"&lt;"&amp;C2305,mdr_rate_cleaned!$F$2:$F$10,"&gt;="&amp;C2305)</f>
        <v>1.6E-2</v>
      </c>
      <c r="H2305" s="24">
        <f t="shared" si="175"/>
        <v>68.77</v>
      </c>
      <c r="I2305" s="23" t="str">
        <f t="shared" si="176"/>
        <v>Match</v>
      </c>
      <c r="J2305" s="23" t="str">
        <f t="shared" si="177"/>
        <v>Match</v>
      </c>
      <c r="K2305" s="24">
        <f t="shared" si="178"/>
        <v>12.38</v>
      </c>
      <c r="L2305" s="24">
        <f t="shared" si="179"/>
        <v>0</v>
      </c>
    </row>
    <row r="2306" spans="1:12" ht="15" customHeight="1" x14ac:dyDescent="0.3">
      <c r="A2306" s="23" t="s">
        <v>15172</v>
      </c>
      <c r="B2306" s="23" t="s">
        <v>79</v>
      </c>
      <c r="C2306" s="39">
        <v>5297</v>
      </c>
      <c r="D2306" s="24">
        <v>84.75</v>
      </c>
      <c r="E2306" s="24">
        <v>15.26</v>
      </c>
      <c r="F2306" s="23">
        <f>COUNTIFS(mdr_rate_cleaned!$A$2:$A$10,B2306,mdr_rate_cleaned!$B$2:$B$10,"&lt;"&amp;C2306,mdr_rate_cleaned!$F$2:$F$10,"&gt;="&amp;C2306)</f>
        <v>1</v>
      </c>
      <c r="G2306" s="40">
        <f>SUMIFS(mdr_rate_cleaned!$G$2:$G$10,mdr_rate_cleaned!$A$2:$A$10,B2306,mdr_rate_cleaned!$B$2:$B$10,"&lt;"&amp;C2306,mdr_rate_cleaned!$F$2:$F$10,"&gt;="&amp;C2306)</f>
        <v>1.6E-2</v>
      </c>
      <c r="H2306" s="24">
        <f t="shared" ref="H2306:H2369" si="180">ROUND(C2306*G2306,2)</f>
        <v>84.75</v>
      </c>
      <c r="I2306" s="23" t="str">
        <f t="shared" ref="I2306:I2369" si="181">IF(ROUND(D2306-H2306,2)=0,"Match","Differs")</f>
        <v>Match</v>
      </c>
      <c r="J2306" s="23" t="str">
        <f t="shared" ref="J2306:J2369" si="182">IF(ROUND(E2306-ROUND(D2306*0.18,2),2)=0,"Match","Differs")</f>
        <v>Match</v>
      </c>
      <c r="K2306" s="24">
        <f t="shared" ref="K2306:K2369" si="183">ROUND(H2306*0.18,2)</f>
        <v>15.26</v>
      </c>
      <c r="L2306" s="24">
        <f t="shared" ref="L2306:L2369" si="184">ROUND(D2306+E2306-H2306-K2306,2)</f>
        <v>0</v>
      </c>
    </row>
    <row r="2307" spans="1:12" ht="15" customHeight="1" x14ac:dyDescent="0.3">
      <c r="A2307" s="23" t="s">
        <v>15173</v>
      </c>
      <c r="B2307" s="23" t="s">
        <v>79</v>
      </c>
      <c r="C2307" s="39">
        <v>599</v>
      </c>
      <c r="D2307" s="24">
        <v>10.78</v>
      </c>
      <c r="E2307" s="24">
        <v>1.94</v>
      </c>
      <c r="F2307" s="23">
        <f>COUNTIFS(mdr_rate_cleaned!$A$2:$A$10,B2307,mdr_rate_cleaned!$B$2:$B$10,"&lt;"&amp;C2307,mdr_rate_cleaned!$F$2:$F$10,"&gt;="&amp;C2307)</f>
        <v>1</v>
      </c>
      <c r="G2307" s="40">
        <f>SUMIFS(mdr_rate_cleaned!$G$2:$G$10,mdr_rate_cleaned!$A$2:$A$10,B2307,mdr_rate_cleaned!$B$2:$B$10,"&lt;"&amp;C2307,mdr_rate_cleaned!$F$2:$F$10,"&gt;="&amp;C2307)</f>
        <v>1.8000000000000002E-2</v>
      </c>
      <c r="H2307" s="24">
        <f t="shared" si="180"/>
        <v>10.78</v>
      </c>
      <c r="I2307" s="23" t="str">
        <f t="shared" si="181"/>
        <v>Match</v>
      </c>
      <c r="J2307" s="23" t="str">
        <f t="shared" si="182"/>
        <v>Match</v>
      </c>
      <c r="K2307" s="24">
        <f t="shared" si="183"/>
        <v>1.94</v>
      </c>
      <c r="L2307" s="24">
        <f t="shared" si="184"/>
        <v>0</v>
      </c>
    </row>
    <row r="2308" spans="1:12" ht="15" customHeight="1" x14ac:dyDescent="0.3">
      <c r="A2308" s="23" t="s">
        <v>15175</v>
      </c>
      <c r="B2308" s="23" t="s">
        <v>75</v>
      </c>
      <c r="C2308" s="39">
        <v>349</v>
      </c>
      <c r="D2308" s="24">
        <v>0</v>
      </c>
      <c r="E2308" s="24">
        <v>0</v>
      </c>
      <c r="F2308" s="23">
        <f>COUNTIFS(mdr_rate_cleaned!$A$2:$A$10,B2308,mdr_rate_cleaned!$B$2:$B$10,"&lt;"&amp;C2308,mdr_rate_cleaned!$F$2:$F$10,"&gt;="&amp;C2308)</f>
        <v>1</v>
      </c>
      <c r="G2308" s="40">
        <f>SUMIFS(mdr_rate_cleaned!$G$2:$G$10,mdr_rate_cleaned!$A$2:$A$10,B2308,mdr_rate_cleaned!$B$2:$B$10,"&lt;"&amp;C2308,mdr_rate_cleaned!$F$2:$F$10,"&gt;="&amp;C2308)</f>
        <v>0</v>
      </c>
      <c r="H2308" s="24">
        <f t="shared" si="180"/>
        <v>0</v>
      </c>
      <c r="I2308" s="23" t="str">
        <f t="shared" si="181"/>
        <v>Match</v>
      </c>
      <c r="J2308" s="23" t="str">
        <f t="shared" si="182"/>
        <v>Match</v>
      </c>
      <c r="K2308" s="24">
        <f t="shared" si="183"/>
        <v>0</v>
      </c>
      <c r="L2308" s="24">
        <f t="shared" si="184"/>
        <v>0</v>
      </c>
    </row>
    <row r="2309" spans="1:12" ht="15" customHeight="1" x14ac:dyDescent="0.3">
      <c r="A2309" s="23" t="s">
        <v>15176</v>
      </c>
      <c r="B2309" s="23" t="s">
        <v>75</v>
      </c>
      <c r="C2309" s="39">
        <v>898</v>
      </c>
      <c r="D2309" s="24">
        <v>0</v>
      </c>
      <c r="E2309" s="24">
        <v>0</v>
      </c>
      <c r="F2309" s="23">
        <f>COUNTIFS(mdr_rate_cleaned!$A$2:$A$10,B2309,mdr_rate_cleaned!$B$2:$B$10,"&lt;"&amp;C2309,mdr_rate_cleaned!$F$2:$F$10,"&gt;="&amp;C2309)</f>
        <v>1</v>
      </c>
      <c r="G2309" s="40">
        <f>SUMIFS(mdr_rate_cleaned!$G$2:$G$10,mdr_rate_cleaned!$A$2:$A$10,B2309,mdr_rate_cleaned!$B$2:$B$10,"&lt;"&amp;C2309,mdr_rate_cleaned!$F$2:$F$10,"&gt;="&amp;C2309)</f>
        <v>0</v>
      </c>
      <c r="H2309" s="24">
        <f t="shared" si="180"/>
        <v>0</v>
      </c>
      <c r="I2309" s="23" t="str">
        <f t="shared" si="181"/>
        <v>Match</v>
      </c>
      <c r="J2309" s="23" t="str">
        <f t="shared" si="182"/>
        <v>Match</v>
      </c>
      <c r="K2309" s="24">
        <f t="shared" si="183"/>
        <v>0</v>
      </c>
      <c r="L2309" s="24">
        <f t="shared" si="184"/>
        <v>0</v>
      </c>
    </row>
    <row r="2310" spans="1:12" ht="15" customHeight="1" x14ac:dyDescent="0.3">
      <c r="A2310" s="23" t="s">
        <v>15177</v>
      </c>
      <c r="B2310" s="23" t="s">
        <v>79</v>
      </c>
      <c r="C2310" s="39">
        <v>499</v>
      </c>
      <c r="D2310" s="24">
        <v>8.98</v>
      </c>
      <c r="E2310" s="24">
        <v>1.62</v>
      </c>
      <c r="F2310" s="23">
        <f>COUNTIFS(mdr_rate_cleaned!$A$2:$A$10,B2310,mdr_rate_cleaned!$B$2:$B$10,"&lt;"&amp;C2310,mdr_rate_cleaned!$F$2:$F$10,"&gt;="&amp;C2310)</f>
        <v>1</v>
      </c>
      <c r="G2310" s="40">
        <f>SUMIFS(mdr_rate_cleaned!$G$2:$G$10,mdr_rate_cleaned!$A$2:$A$10,B2310,mdr_rate_cleaned!$B$2:$B$10,"&lt;"&amp;C2310,mdr_rate_cleaned!$F$2:$F$10,"&gt;="&amp;C2310)</f>
        <v>1.8000000000000002E-2</v>
      </c>
      <c r="H2310" s="24">
        <f t="shared" si="180"/>
        <v>8.98</v>
      </c>
      <c r="I2310" s="23" t="str">
        <f t="shared" si="181"/>
        <v>Match</v>
      </c>
      <c r="J2310" s="23" t="str">
        <f t="shared" si="182"/>
        <v>Match</v>
      </c>
      <c r="K2310" s="24">
        <f t="shared" si="183"/>
        <v>1.62</v>
      </c>
      <c r="L2310" s="24">
        <f t="shared" si="184"/>
        <v>0</v>
      </c>
    </row>
    <row r="2311" spans="1:12" ht="15" customHeight="1" x14ac:dyDescent="0.3">
      <c r="A2311" s="23" t="s">
        <v>15179</v>
      </c>
      <c r="B2311" s="23" t="s">
        <v>75</v>
      </c>
      <c r="C2311" s="39">
        <v>6498</v>
      </c>
      <c r="D2311" s="24">
        <v>19.489999999999998</v>
      </c>
      <c r="E2311" s="24">
        <v>3.51</v>
      </c>
      <c r="F2311" s="23">
        <f>COUNTIFS(mdr_rate_cleaned!$A$2:$A$10,B2311,mdr_rate_cleaned!$B$2:$B$10,"&lt;"&amp;C2311,mdr_rate_cleaned!$F$2:$F$10,"&gt;="&amp;C2311)</f>
        <v>1</v>
      </c>
      <c r="G2311" s="40">
        <f>SUMIFS(mdr_rate_cleaned!$G$2:$G$10,mdr_rate_cleaned!$A$2:$A$10,B2311,mdr_rate_cleaned!$B$2:$B$10,"&lt;"&amp;C2311,mdr_rate_cleaned!$F$2:$F$10,"&gt;="&amp;C2311)</f>
        <v>3.0000000000000001E-3</v>
      </c>
      <c r="H2311" s="24">
        <f t="shared" si="180"/>
        <v>19.489999999999998</v>
      </c>
      <c r="I2311" s="23" t="str">
        <f t="shared" si="181"/>
        <v>Match</v>
      </c>
      <c r="J2311" s="23" t="str">
        <f t="shared" si="182"/>
        <v>Match</v>
      </c>
      <c r="K2311" s="24">
        <f t="shared" si="183"/>
        <v>3.51</v>
      </c>
      <c r="L2311" s="24">
        <f t="shared" si="184"/>
        <v>0</v>
      </c>
    </row>
    <row r="2312" spans="1:12" ht="15" customHeight="1" x14ac:dyDescent="0.3">
      <c r="A2312" s="23" t="s">
        <v>15180</v>
      </c>
      <c r="B2312" s="23" t="s">
        <v>75</v>
      </c>
      <c r="C2312" s="39">
        <v>4097</v>
      </c>
      <c r="D2312" s="24">
        <v>12.29</v>
      </c>
      <c r="E2312" s="24">
        <v>2.21</v>
      </c>
      <c r="F2312" s="23">
        <f>COUNTIFS(mdr_rate_cleaned!$A$2:$A$10,B2312,mdr_rate_cleaned!$B$2:$B$10,"&lt;"&amp;C2312,mdr_rate_cleaned!$F$2:$F$10,"&gt;="&amp;C2312)</f>
        <v>1</v>
      </c>
      <c r="G2312" s="40">
        <f>SUMIFS(mdr_rate_cleaned!$G$2:$G$10,mdr_rate_cleaned!$A$2:$A$10,B2312,mdr_rate_cleaned!$B$2:$B$10,"&lt;"&amp;C2312,mdr_rate_cleaned!$F$2:$F$10,"&gt;="&amp;C2312)</f>
        <v>3.0000000000000001E-3</v>
      </c>
      <c r="H2312" s="24">
        <f t="shared" si="180"/>
        <v>12.29</v>
      </c>
      <c r="I2312" s="23" t="str">
        <f t="shared" si="181"/>
        <v>Match</v>
      </c>
      <c r="J2312" s="23" t="str">
        <f t="shared" si="182"/>
        <v>Match</v>
      </c>
      <c r="K2312" s="24">
        <f t="shared" si="183"/>
        <v>2.21</v>
      </c>
      <c r="L2312" s="24">
        <f t="shared" si="184"/>
        <v>0</v>
      </c>
    </row>
    <row r="2313" spans="1:12" ht="15" customHeight="1" x14ac:dyDescent="0.3">
      <c r="A2313" s="23" t="s">
        <v>15181</v>
      </c>
      <c r="B2313" s="23" t="s">
        <v>81</v>
      </c>
      <c r="C2313" s="39">
        <v>9297</v>
      </c>
      <c r="D2313" s="24">
        <v>111.56</v>
      </c>
      <c r="E2313" s="24">
        <v>20.079999999999998</v>
      </c>
      <c r="F2313" s="23">
        <f>COUNTIFS(mdr_rate_cleaned!$A$2:$A$10,B2313,mdr_rate_cleaned!$B$2:$B$10,"&lt;"&amp;C2313,mdr_rate_cleaned!$F$2:$F$10,"&gt;="&amp;C2313)</f>
        <v>1</v>
      </c>
      <c r="G2313" s="40">
        <f>SUMIFS(mdr_rate_cleaned!$G$2:$G$10,mdr_rate_cleaned!$A$2:$A$10,B2313,mdr_rate_cleaned!$B$2:$B$10,"&lt;"&amp;C2313,mdr_rate_cleaned!$F$2:$F$10,"&gt;="&amp;C2313)</f>
        <v>1.2E-2</v>
      </c>
      <c r="H2313" s="24">
        <f t="shared" si="180"/>
        <v>111.56</v>
      </c>
      <c r="I2313" s="23" t="str">
        <f t="shared" si="181"/>
        <v>Match</v>
      </c>
      <c r="J2313" s="23" t="str">
        <f t="shared" si="182"/>
        <v>Match</v>
      </c>
      <c r="K2313" s="24">
        <f t="shared" si="183"/>
        <v>20.079999999999998</v>
      </c>
      <c r="L2313" s="24">
        <f t="shared" si="184"/>
        <v>0</v>
      </c>
    </row>
    <row r="2314" spans="1:12" ht="15" customHeight="1" x14ac:dyDescent="0.3">
      <c r="A2314" s="23" t="s">
        <v>15182</v>
      </c>
      <c r="B2314" s="23" t="s">
        <v>79</v>
      </c>
      <c r="C2314" s="39">
        <v>3097</v>
      </c>
      <c r="D2314" s="24">
        <v>49.55</v>
      </c>
      <c r="E2314" s="24">
        <v>8.92</v>
      </c>
      <c r="F2314" s="23">
        <f>COUNTIFS(mdr_rate_cleaned!$A$2:$A$10,B2314,mdr_rate_cleaned!$B$2:$B$10,"&lt;"&amp;C2314,mdr_rate_cleaned!$F$2:$F$10,"&gt;="&amp;C2314)</f>
        <v>1</v>
      </c>
      <c r="G2314" s="40">
        <f>SUMIFS(mdr_rate_cleaned!$G$2:$G$10,mdr_rate_cleaned!$A$2:$A$10,B2314,mdr_rate_cleaned!$B$2:$B$10,"&lt;"&amp;C2314,mdr_rate_cleaned!$F$2:$F$10,"&gt;="&amp;C2314)</f>
        <v>1.6E-2</v>
      </c>
      <c r="H2314" s="24">
        <f t="shared" si="180"/>
        <v>49.55</v>
      </c>
      <c r="I2314" s="23" t="str">
        <f t="shared" si="181"/>
        <v>Match</v>
      </c>
      <c r="J2314" s="23" t="str">
        <f t="shared" si="182"/>
        <v>Match</v>
      </c>
      <c r="K2314" s="24">
        <f t="shared" si="183"/>
        <v>8.92</v>
      </c>
      <c r="L2314" s="24">
        <f t="shared" si="184"/>
        <v>0</v>
      </c>
    </row>
    <row r="2315" spans="1:12" ht="15" customHeight="1" x14ac:dyDescent="0.3">
      <c r="A2315" s="23" t="s">
        <v>15183</v>
      </c>
      <c r="B2315" s="23" t="s">
        <v>75</v>
      </c>
      <c r="C2315" s="39">
        <v>299</v>
      </c>
      <c r="D2315" s="24">
        <v>0</v>
      </c>
      <c r="E2315" s="24">
        <v>0</v>
      </c>
      <c r="F2315" s="23">
        <f>COUNTIFS(mdr_rate_cleaned!$A$2:$A$10,B2315,mdr_rate_cleaned!$B$2:$B$10,"&lt;"&amp;C2315,mdr_rate_cleaned!$F$2:$F$10,"&gt;="&amp;C2315)</f>
        <v>1</v>
      </c>
      <c r="G2315" s="40">
        <f>SUMIFS(mdr_rate_cleaned!$G$2:$G$10,mdr_rate_cleaned!$A$2:$A$10,B2315,mdr_rate_cleaned!$B$2:$B$10,"&lt;"&amp;C2315,mdr_rate_cleaned!$F$2:$F$10,"&gt;="&amp;C2315)</f>
        <v>0</v>
      </c>
      <c r="H2315" s="24">
        <f t="shared" si="180"/>
        <v>0</v>
      </c>
      <c r="I2315" s="23" t="str">
        <f t="shared" si="181"/>
        <v>Match</v>
      </c>
      <c r="J2315" s="23" t="str">
        <f t="shared" si="182"/>
        <v>Match</v>
      </c>
      <c r="K2315" s="24">
        <f t="shared" si="183"/>
        <v>0</v>
      </c>
      <c r="L2315" s="24">
        <f t="shared" si="184"/>
        <v>0</v>
      </c>
    </row>
    <row r="2316" spans="1:12" ht="15" customHeight="1" x14ac:dyDescent="0.3">
      <c r="A2316" s="23" t="s">
        <v>15184</v>
      </c>
      <c r="B2316" s="23" t="s">
        <v>75</v>
      </c>
      <c r="C2316" s="39">
        <v>499</v>
      </c>
      <c r="D2316" s="24">
        <v>0</v>
      </c>
      <c r="E2316" s="24">
        <v>0</v>
      </c>
      <c r="F2316" s="23">
        <f>COUNTIFS(mdr_rate_cleaned!$A$2:$A$10,B2316,mdr_rate_cleaned!$B$2:$B$10,"&lt;"&amp;C2316,mdr_rate_cleaned!$F$2:$F$10,"&gt;="&amp;C2316)</f>
        <v>1</v>
      </c>
      <c r="G2316" s="40">
        <f>SUMIFS(mdr_rate_cleaned!$G$2:$G$10,mdr_rate_cleaned!$A$2:$A$10,B2316,mdr_rate_cleaned!$B$2:$B$10,"&lt;"&amp;C2316,mdr_rate_cleaned!$F$2:$F$10,"&gt;="&amp;C2316)</f>
        <v>0</v>
      </c>
      <c r="H2316" s="24">
        <f t="shared" si="180"/>
        <v>0</v>
      </c>
      <c r="I2316" s="23" t="str">
        <f t="shared" si="181"/>
        <v>Match</v>
      </c>
      <c r="J2316" s="23" t="str">
        <f t="shared" si="182"/>
        <v>Match</v>
      </c>
      <c r="K2316" s="24">
        <f t="shared" si="183"/>
        <v>0</v>
      </c>
      <c r="L2316" s="24">
        <f t="shared" si="184"/>
        <v>0</v>
      </c>
    </row>
    <row r="2317" spans="1:12" ht="15" customHeight="1" x14ac:dyDescent="0.3">
      <c r="A2317" s="23" t="s">
        <v>15185</v>
      </c>
      <c r="B2317" s="23" t="s">
        <v>75</v>
      </c>
      <c r="C2317" s="39">
        <v>1499</v>
      </c>
      <c r="D2317" s="24">
        <v>0</v>
      </c>
      <c r="E2317" s="24">
        <v>0</v>
      </c>
      <c r="F2317" s="23">
        <f>COUNTIFS(mdr_rate_cleaned!$A$2:$A$10,B2317,mdr_rate_cleaned!$B$2:$B$10,"&lt;"&amp;C2317,mdr_rate_cleaned!$F$2:$F$10,"&gt;="&amp;C2317)</f>
        <v>1</v>
      </c>
      <c r="G2317" s="40">
        <f>SUMIFS(mdr_rate_cleaned!$G$2:$G$10,mdr_rate_cleaned!$A$2:$A$10,B2317,mdr_rate_cleaned!$B$2:$B$10,"&lt;"&amp;C2317,mdr_rate_cleaned!$F$2:$F$10,"&gt;="&amp;C2317)</f>
        <v>0</v>
      </c>
      <c r="H2317" s="24">
        <f t="shared" si="180"/>
        <v>0</v>
      </c>
      <c r="I2317" s="23" t="str">
        <f t="shared" si="181"/>
        <v>Match</v>
      </c>
      <c r="J2317" s="23" t="str">
        <f t="shared" si="182"/>
        <v>Match</v>
      </c>
      <c r="K2317" s="24">
        <f t="shared" si="183"/>
        <v>0</v>
      </c>
      <c r="L2317" s="24">
        <f t="shared" si="184"/>
        <v>0</v>
      </c>
    </row>
    <row r="2318" spans="1:12" ht="15" customHeight="1" x14ac:dyDescent="0.3">
      <c r="A2318" s="23" t="s">
        <v>15186</v>
      </c>
      <c r="B2318" s="23" t="s">
        <v>77</v>
      </c>
      <c r="C2318" s="39">
        <v>499</v>
      </c>
      <c r="D2318" s="24">
        <v>9.48</v>
      </c>
      <c r="E2318" s="24">
        <v>1.71</v>
      </c>
      <c r="F2318" s="23">
        <f>COUNTIFS(mdr_rate_cleaned!$A$2:$A$10,B2318,mdr_rate_cleaned!$B$2:$B$10,"&lt;"&amp;C2318,mdr_rate_cleaned!$F$2:$F$10,"&gt;="&amp;C2318)</f>
        <v>1</v>
      </c>
      <c r="G2318" s="40">
        <f>SUMIFS(mdr_rate_cleaned!$G$2:$G$10,mdr_rate_cleaned!$A$2:$A$10,B2318,mdr_rate_cleaned!$B$2:$B$10,"&lt;"&amp;C2318,mdr_rate_cleaned!$F$2:$F$10,"&gt;="&amp;C2318)</f>
        <v>1.9E-2</v>
      </c>
      <c r="H2318" s="24">
        <f t="shared" si="180"/>
        <v>9.48</v>
      </c>
      <c r="I2318" s="23" t="str">
        <f t="shared" si="181"/>
        <v>Match</v>
      </c>
      <c r="J2318" s="23" t="str">
        <f t="shared" si="182"/>
        <v>Match</v>
      </c>
      <c r="K2318" s="24">
        <f t="shared" si="183"/>
        <v>1.71</v>
      </c>
      <c r="L2318" s="24">
        <f t="shared" si="184"/>
        <v>0</v>
      </c>
    </row>
    <row r="2319" spans="1:12" ht="15" customHeight="1" x14ac:dyDescent="0.3">
      <c r="A2319" s="23" t="s">
        <v>15187</v>
      </c>
      <c r="B2319" s="23" t="s">
        <v>79</v>
      </c>
      <c r="C2319" s="39">
        <v>10997</v>
      </c>
      <c r="D2319" s="24">
        <v>175.95</v>
      </c>
      <c r="E2319" s="24">
        <v>31.67</v>
      </c>
      <c r="F2319" s="23">
        <f>COUNTIFS(mdr_rate_cleaned!$A$2:$A$10,B2319,mdr_rate_cleaned!$B$2:$B$10,"&lt;"&amp;C2319,mdr_rate_cleaned!$F$2:$F$10,"&gt;="&amp;C2319)</f>
        <v>1</v>
      </c>
      <c r="G2319" s="40">
        <f>SUMIFS(mdr_rate_cleaned!$G$2:$G$10,mdr_rate_cleaned!$A$2:$A$10,B2319,mdr_rate_cleaned!$B$2:$B$10,"&lt;"&amp;C2319,mdr_rate_cleaned!$F$2:$F$10,"&gt;="&amp;C2319)</f>
        <v>1.6E-2</v>
      </c>
      <c r="H2319" s="24">
        <f t="shared" si="180"/>
        <v>175.95</v>
      </c>
      <c r="I2319" s="23" t="str">
        <f t="shared" si="181"/>
        <v>Match</v>
      </c>
      <c r="J2319" s="23" t="str">
        <f t="shared" si="182"/>
        <v>Match</v>
      </c>
      <c r="K2319" s="24">
        <f t="shared" si="183"/>
        <v>31.67</v>
      </c>
      <c r="L2319" s="24">
        <f t="shared" si="184"/>
        <v>0</v>
      </c>
    </row>
    <row r="2320" spans="1:12" ht="15" customHeight="1" x14ac:dyDescent="0.3">
      <c r="A2320" s="23" t="s">
        <v>15188</v>
      </c>
      <c r="B2320" s="23" t="s">
        <v>75</v>
      </c>
      <c r="C2320" s="39">
        <v>7999</v>
      </c>
      <c r="D2320" s="24">
        <v>24</v>
      </c>
      <c r="E2320" s="24">
        <v>4.32</v>
      </c>
      <c r="F2320" s="23">
        <f>COUNTIFS(mdr_rate_cleaned!$A$2:$A$10,B2320,mdr_rate_cleaned!$B$2:$B$10,"&lt;"&amp;C2320,mdr_rate_cleaned!$F$2:$F$10,"&gt;="&amp;C2320)</f>
        <v>1</v>
      </c>
      <c r="G2320" s="40">
        <f>SUMIFS(mdr_rate_cleaned!$G$2:$G$10,mdr_rate_cleaned!$A$2:$A$10,B2320,mdr_rate_cleaned!$B$2:$B$10,"&lt;"&amp;C2320,mdr_rate_cleaned!$F$2:$F$10,"&gt;="&amp;C2320)</f>
        <v>3.0000000000000001E-3</v>
      </c>
      <c r="H2320" s="24">
        <f t="shared" si="180"/>
        <v>24</v>
      </c>
      <c r="I2320" s="23" t="str">
        <f t="shared" si="181"/>
        <v>Match</v>
      </c>
      <c r="J2320" s="23" t="str">
        <f t="shared" si="182"/>
        <v>Match</v>
      </c>
      <c r="K2320" s="24">
        <f t="shared" si="183"/>
        <v>4.32</v>
      </c>
      <c r="L2320" s="24">
        <f t="shared" si="184"/>
        <v>0</v>
      </c>
    </row>
    <row r="2321" spans="1:12" ht="15" customHeight="1" x14ac:dyDescent="0.3">
      <c r="A2321" s="23" t="s">
        <v>15189</v>
      </c>
      <c r="B2321" s="23" t="s">
        <v>81</v>
      </c>
      <c r="C2321" s="39">
        <v>1098</v>
      </c>
      <c r="D2321" s="24">
        <v>16.47</v>
      </c>
      <c r="E2321" s="24">
        <v>2.96</v>
      </c>
      <c r="F2321" s="23">
        <f>COUNTIFS(mdr_rate_cleaned!$A$2:$A$10,B2321,mdr_rate_cleaned!$B$2:$B$10,"&lt;"&amp;C2321,mdr_rate_cleaned!$F$2:$F$10,"&gt;="&amp;C2321)</f>
        <v>1</v>
      </c>
      <c r="G2321" s="40">
        <f>SUMIFS(mdr_rate_cleaned!$G$2:$G$10,mdr_rate_cleaned!$A$2:$A$10,B2321,mdr_rate_cleaned!$B$2:$B$10,"&lt;"&amp;C2321,mdr_rate_cleaned!$F$2:$F$10,"&gt;="&amp;C2321)</f>
        <v>1.4999999999999999E-2</v>
      </c>
      <c r="H2321" s="24">
        <f t="shared" si="180"/>
        <v>16.47</v>
      </c>
      <c r="I2321" s="23" t="str">
        <f t="shared" si="181"/>
        <v>Match</v>
      </c>
      <c r="J2321" s="23" t="str">
        <f t="shared" si="182"/>
        <v>Match</v>
      </c>
      <c r="K2321" s="24">
        <f t="shared" si="183"/>
        <v>2.96</v>
      </c>
      <c r="L2321" s="24">
        <f t="shared" si="184"/>
        <v>0</v>
      </c>
    </row>
    <row r="2322" spans="1:12" ht="15" customHeight="1" x14ac:dyDescent="0.3">
      <c r="A2322" s="23" t="s">
        <v>15190</v>
      </c>
      <c r="B2322" s="23" t="s">
        <v>77</v>
      </c>
      <c r="C2322" s="39">
        <v>7999</v>
      </c>
      <c r="D2322" s="24">
        <v>135.97999999999999</v>
      </c>
      <c r="E2322" s="24">
        <v>24.48</v>
      </c>
      <c r="F2322" s="23">
        <f>COUNTIFS(mdr_rate_cleaned!$A$2:$A$10,B2322,mdr_rate_cleaned!$B$2:$B$10,"&lt;"&amp;C2322,mdr_rate_cleaned!$F$2:$F$10,"&gt;="&amp;C2322)</f>
        <v>1</v>
      </c>
      <c r="G2322" s="40">
        <f>SUMIFS(mdr_rate_cleaned!$G$2:$G$10,mdr_rate_cleaned!$A$2:$A$10,B2322,mdr_rate_cleaned!$B$2:$B$10,"&lt;"&amp;C2322,mdr_rate_cleaned!$F$2:$F$10,"&gt;="&amp;C2322)</f>
        <v>1.7000000000000001E-2</v>
      </c>
      <c r="H2322" s="24">
        <f t="shared" si="180"/>
        <v>135.97999999999999</v>
      </c>
      <c r="I2322" s="23" t="str">
        <f t="shared" si="181"/>
        <v>Match</v>
      </c>
      <c r="J2322" s="23" t="str">
        <f t="shared" si="182"/>
        <v>Match</v>
      </c>
      <c r="K2322" s="24">
        <f t="shared" si="183"/>
        <v>24.48</v>
      </c>
      <c r="L2322" s="24">
        <f t="shared" si="184"/>
        <v>0</v>
      </c>
    </row>
    <row r="2323" spans="1:12" ht="15" customHeight="1" x14ac:dyDescent="0.3">
      <c r="A2323" s="23" t="s">
        <v>15192</v>
      </c>
      <c r="B2323" s="23" t="s">
        <v>77</v>
      </c>
      <c r="C2323" s="39">
        <v>499</v>
      </c>
      <c r="D2323" s="24">
        <v>9.48</v>
      </c>
      <c r="E2323" s="24">
        <v>1.71</v>
      </c>
      <c r="F2323" s="23">
        <f>COUNTIFS(mdr_rate_cleaned!$A$2:$A$10,B2323,mdr_rate_cleaned!$B$2:$B$10,"&lt;"&amp;C2323,mdr_rate_cleaned!$F$2:$F$10,"&gt;="&amp;C2323)</f>
        <v>1</v>
      </c>
      <c r="G2323" s="40">
        <f>SUMIFS(mdr_rate_cleaned!$G$2:$G$10,mdr_rate_cleaned!$A$2:$A$10,B2323,mdr_rate_cleaned!$B$2:$B$10,"&lt;"&amp;C2323,mdr_rate_cleaned!$F$2:$F$10,"&gt;="&amp;C2323)</f>
        <v>1.9E-2</v>
      </c>
      <c r="H2323" s="24">
        <f t="shared" si="180"/>
        <v>9.48</v>
      </c>
      <c r="I2323" s="23" t="str">
        <f t="shared" si="181"/>
        <v>Match</v>
      </c>
      <c r="J2323" s="23" t="str">
        <f t="shared" si="182"/>
        <v>Match</v>
      </c>
      <c r="K2323" s="24">
        <f t="shared" si="183"/>
        <v>1.71</v>
      </c>
      <c r="L2323" s="24">
        <f t="shared" si="184"/>
        <v>0</v>
      </c>
    </row>
    <row r="2324" spans="1:12" ht="15" customHeight="1" x14ac:dyDescent="0.3">
      <c r="A2324" s="23" t="s">
        <v>15194</v>
      </c>
      <c r="B2324" s="23" t="s">
        <v>81</v>
      </c>
      <c r="C2324" s="39">
        <v>2499</v>
      </c>
      <c r="D2324" s="24">
        <v>29.99</v>
      </c>
      <c r="E2324" s="24">
        <v>5.4</v>
      </c>
      <c r="F2324" s="23">
        <f>COUNTIFS(mdr_rate_cleaned!$A$2:$A$10,B2324,mdr_rate_cleaned!$B$2:$B$10,"&lt;"&amp;C2324,mdr_rate_cleaned!$F$2:$F$10,"&gt;="&amp;C2324)</f>
        <v>1</v>
      </c>
      <c r="G2324" s="40">
        <f>SUMIFS(mdr_rate_cleaned!$G$2:$G$10,mdr_rate_cleaned!$A$2:$A$10,B2324,mdr_rate_cleaned!$B$2:$B$10,"&lt;"&amp;C2324,mdr_rate_cleaned!$F$2:$F$10,"&gt;="&amp;C2324)</f>
        <v>1.2E-2</v>
      </c>
      <c r="H2324" s="24">
        <f t="shared" si="180"/>
        <v>29.99</v>
      </c>
      <c r="I2324" s="23" t="str">
        <f t="shared" si="181"/>
        <v>Match</v>
      </c>
      <c r="J2324" s="23" t="str">
        <f t="shared" si="182"/>
        <v>Match</v>
      </c>
      <c r="K2324" s="24">
        <f t="shared" si="183"/>
        <v>5.4</v>
      </c>
      <c r="L2324" s="24">
        <f t="shared" si="184"/>
        <v>0</v>
      </c>
    </row>
    <row r="2325" spans="1:12" ht="15" customHeight="1" x14ac:dyDescent="0.3">
      <c r="A2325" s="23" t="s">
        <v>15195</v>
      </c>
      <c r="B2325" s="23" t="s">
        <v>81</v>
      </c>
      <c r="C2325" s="39">
        <v>1398</v>
      </c>
      <c r="D2325" s="24">
        <v>20.97</v>
      </c>
      <c r="E2325" s="24">
        <v>3.77</v>
      </c>
      <c r="F2325" s="23">
        <f>COUNTIFS(mdr_rate_cleaned!$A$2:$A$10,B2325,mdr_rate_cleaned!$B$2:$B$10,"&lt;"&amp;C2325,mdr_rate_cleaned!$F$2:$F$10,"&gt;="&amp;C2325)</f>
        <v>1</v>
      </c>
      <c r="G2325" s="40">
        <f>SUMIFS(mdr_rate_cleaned!$G$2:$G$10,mdr_rate_cleaned!$A$2:$A$10,B2325,mdr_rate_cleaned!$B$2:$B$10,"&lt;"&amp;C2325,mdr_rate_cleaned!$F$2:$F$10,"&gt;="&amp;C2325)</f>
        <v>1.4999999999999999E-2</v>
      </c>
      <c r="H2325" s="24">
        <f t="shared" si="180"/>
        <v>20.97</v>
      </c>
      <c r="I2325" s="23" t="str">
        <f t="shared" si="181"/>
        <v>Match</v>
      </c>
      <c r="J2325" s="23" t="str">
        <f t="shared" si="182"/>
        <v>Match</v>
      </c>
      <c r="K2325" s="24">
        <f t="shared" si="183"/>
        <v>3.77</v>
      </c>
      <c r="L2325" s="24">
        <f t="shared" si="184"/>
        <v>0</v>
      </c>
    </row>
    <row r="2326" spans="1:12" ht="15" customHeight="1" x14ac:dyDescent="0.3">
      <c r="A2326" s="23" t="s">
        <v>15196</v>
      </c>
      <c r="B2326" s="23" t="s">
        <v>79</v>
      </c>
      <c r="C2326" s="39">
        <v>10847</v>
      </c>
      <c r="D2326" s="24">
        <v>173.55</v>
      </c>
      <c r="E2326" s="24">
        <v>31.24</v>
      </c>
      <c r="F2326" s="23">
        <f>COUNTIFS(mdr_rate_cleaned!$A$2:$A$10,B2326,mdr_rate_cleaned!$B$2:$B$10,"&lt;"&amp;C2326,mdr_rate_cleaned!$F$2:$F$10,"&gt;="&amp;C2326)</f>
        <v>1</v>
      </c>
      <c r="G2326" s="40">
        <f>SUMIFS(mdr_rate_cleaned!$G$2:$G$10,mdr_rate_cleaned!$A$2:$A$10,B2326,mdr_rate_cleaned!$B$2:$B$10,"&lt;"&amp;C2326,mdr_rate_cleaned!$F$2:$F$10,"&gt;="&amp;C2326)</f>
        <v>1.6E-2</v>
      </c>
      <c r="H2326" s="24">
        <f t="shared" si="180"/>
        <v>173.55</v>
      </c>
      <c r="I2326" s="23" t="str">
        <f t="shared" si="181"/>
        <v>Match</v>
      </c>
      <c r="J2326" s="23" t="str">
        <f t="shared" si="182"/>
        <v>Match</v>
      </c>
      <c r="K2326" s="24">
        <f t="shared" si="183"/>
        <v>31.24</v>
      </c>
      <c r="L2326" s="24">
        <f t="shared" si="184"/>
        <v>0</v>
      </c>
    </row>
    <row r="2327" spans="1:12" ht="15" customHeight="1" x14ac:dyDescent="0.3">
      <c r="A2327" s="23" t="s">
        <v>15197</v>
      </c>
      <c r="B2327" s="23" t="s">
        <v>79</v>
      </c>
      <c r="C2327" s="39">
        <v>7999</v>
      </c>
      <c r="D2327" s="24">
        <v>127.98</v>
      </c>
      <c r="E2327" s="24">
        <v>23.04</v>
      </c>
      <c r="F2327" s="23">
        <f>COUNTIFS(mdr_rate_cleaned!$A$2:$A$10,B2327,mdr_rate_cleaned!$B$2:$B$10,"&lt;"&amp;C2327,mdr_rate_cleaned!$F$2:$F$10,"&gt;="&amp;C2327)</f>
        <v>1</v>
      </c>
      <c r="G2327" s="40">
        <f>SUMIFS(mdr_rate_cleaned!$G$2:$G$10,mdr_rate_cleaned!$A$2:$A$10,B2327,mdr_rate_cleaned!$B$2:$B$10,"&lt;"&amp;C2327,mdr_rate_cleaned!$F$2:$F$10,"&gt;="&amp;C2327)</f>
        <v>1.6E-2</v>
      </c>
      <c r="H2327" s="24">
        <f t="shared" si="180"/>
        <v>127.98</v>
      </c>
      <c r="I2327" s="23" t="str">
        <f t="shared" si="181"/>
        <v>Match</v>
      </c>
      <c r="J2327" s="23" t="str">
        <f t="shared" si="182"/>
        <v>Match</v>
      </c>
      <c r="K2327" s="24">
        <f t="shared" si="183"/>
        <v>23.04</v>
      </c>
      <c r="L2327" s="24">
        <f t="shared" si="184"/>
        <v>0</v>
      </c>
    </row>
    <row r="2328" spans="1:12" ht="15" customHeight="1" x14ac:dyDescent="0.3">
      <c r="A2328" s="23" t="s">
        <v>15198</v>
      </c>
      <c r="B2328" s="23" t="s">
        <v>75</v>
      </c>
      <c r="C2328" s="39">
        <v>349</v>
      </c>
      <c r="D2328" s="24">
        <v>0</v>
      </c>
      <c r="E2328" s="24">
        <v>0</v>
      </c>
      <c r="F2328" s="23">
        <f>COUNTIFS(mdr_rate_cleaned!$A$2:$A$10,B2328,mdr_rate_cleaned!$B$2:$B$10,"&lt;"&amp;C2328,mdr_rate_cleaned!$F$2:$F$10,"&gt;="&amp;C2328)</f>
        <v>1</v>
      </c>
      <c r="G2328" s="40">
        <f>SUMIFS(mdr_rate_cleaned!$G$2:$G$10,mdr_rate_cleaned!$A$2:$A$10,B2328,mdr_rate_cleaned!$B$2:$B$10,"&lt;"&amp;C2328,mdr_rate_cleaned!$F$2:$F$10,"&gt;="&amp;C2328)</f>
        <v>0</v>
      </c>
      <c r="H2328" s="24">
        <f t="shared" si="180"/>
        <v>0</v>
      </c>
      <c r="I2328" s="23" t="str">
        <f t="shared" si="181"/>
        <v>Match</v>
      </c>
      <c r="J2328" s="23" t="str">
        <f t="shared" si="182"/>
        <v>Match</v>
      </c>
      <c r="K2328" s="24">
        <f t="shared" si="183"/>
        <v>0</v>
      </c>
      <c r="L2328" s="24">
        <f t="shared" si="184"/>
        <v>0</v>
      </c>
    </row>
    <row r="2329" spans="1:12" ht="15" customHeight="1" x14ac:dyDescent="0.3">
      <c r="A2329" s="23" t="s">
        <v>15199</v>
      </c>
      <c r="B2329" s="23" t="s">
        <v>75</v>
      </c>
      <c r="C2329" s="39">
        <v>299</v>
      </c>
      <c r="D2329" s="24">
        <v>0</v>
      </c>
      <c r="E2329" s="24">
        <v>0</v>
      </c>
      <c r="F2329" s="23">
        <f>COUNTIFS(mdr_rate_cleaned!$A$2:$A$10,B2329,mdr_rate_cleaned!$B$2:$B$10,"&lt;"&amp;C2329,mdr_rate_cleaned!$F$2:$F$10,"&gt;="&amp;C2329)</f>
        <v>1</v>
      </c>
      <c r="G2329" s="40">
        <f>SUMIFS(mdr_rate_cleaned!$G$2:$G$10,mdr_rate_cleaned!$A$2:$A$10,B2329,mdr_rate_cleaned!$B$2:$B$10,"&lt;"&amp;C2329,mdr_rate_cleaned!$F$2:$F$10,"&gt;="&amp;C2329)</f>
        <v>0</v>
      </c>
      <c r="H2329" s="24">
        <f t="shared" si="180"/>
        <v>0</v>
      </c>
      <c r="I2329" s="23" t="str">
        <f t="shared" si="181"/>
        <v>Match</v>
      </c>
      <c r="J2329" s="23" t="str">
        <f t="shared" si="182"/>
        <v>Match</v>
      </c>
      <c r="K2329" s="24">
        <f t="shared" si="183"/>
        <v>0</v>
      </c>
      <c r="L2329" s="24">
        <f t="shared" si="184"/>
        <v>0</v>
      </c>
    </row>
    <row r="2330" spans="1:12" ht="15" customHeight="1" x14ac:dyDescent="0.3">
      <c r="A2330" s="23" t="s">
        <v>15201</v>
      </c>
      <c r="B2330" s="23" t="s">
        <v>75</v>
      </c>
      <c r="C2330" s="39">
        <v>999</v>
      </c>
      <c r="D2330" s="24">
        <v>0</v>
      </c>
      <c r="E2330" s="24">
        <v>0</v>
      </c>
      <c r="F2330" s="23">
        <f>COUNTIFS(mdr_rate_cleaned!$A$2:$A$10,B2330,mdr_rate_cleaned!$B$2:$B$10,"&lt;"&amp;C2330,mdr_rate_cleaned!$F$2:$F$10,"&gt;="&amp;C2330)</f>
        <v>1</v>
      </c>
      <c r="G2330" s="40">
        <f>SUMIFS(mdr_rate_cleaned!$G$2:$G$10,mdr_rate_cleaned!$A$2:$A$10,B2330,mdr_rate_cleaned!$B$2:$B$10,"&lt;"&amp;C2330,mdr_rate_cleaned!$F$2:$F$10,"&gt;="&amp;C2330)</f>
        <v>0</v>
      </c>
      <c r="H2330" s="24">
        <f t="shared" si="180"/>
        <v>0</v>
      </c>
      <c r="I2330" s="23" t="str">
        <f t="shared" si="181"/>
        <v>Match</v>
      </c>
      <c r="J2330" s="23" t="str">
        <f t="shared" si="182"/>
        <v>Match</v>
      </c>
      <c r="K2330" s="24">
        <f t="shared" si="183"/>
        <v>0</v>
      </c>
      <c r="L2330" s="24">
        <f t="shared" si="184"/>
        <v>0</v>
      </c>
    </row>
    <row r="2331" spans="1:12" ht="15" customHeight="1" x14ac:dyDescent="0.3">
      <c r="A2331" s="23" t="s">
        <v>15202</v>
      </c>
      <c r="B2331" s="23" t="s">
        <v>81</v>
      </c>
      <c r="C2331" s="39">
        <v>2498</v>
      </c>
      <c r="D2331" s="24">
        <v>29.98</v>
      </c>
      <c r="E2331" s="24">
        <v>5.4</v>
      </c>
      <c r="F2331" s="23">
        <f>COUNTIFS(mdr_rate_cleaned!$A$2:$A$10,B2331,mdr_rate_cleaned!$B$2:$B$10,"&lt;"&amp;C2331,mdr_rate_cleaned!$F$2:$F$10,"&gt;="&amp;C2331)</f>
        <v>1</v>
      </c>
      <c r="G2331" s="40">
        <f>SUMIFS(mdr_rate_cleaned!$G$2:$G$10,mdr_rate_cleaned!$A$2:$A$10,B2331,mdr_rate_cleaned!$B$2:$B$10,"&lt;"&amp;C2331,mdr_rate_cleaned!$F$2:$F$10,"&gt;="&amp;C2331)</f>
        <v>1.2E-2</v>
      </c>
      <c r="H2331" s="24">
        <f t="shared" si="180"/>
        <v>29.98</v>
      </c>
      <c r="I2331" s="23" t="str">
        <f t="shared" si="181"/>
        <v>Match</v>
      </c>
      <c r="J2331" s="23" t="str">
        <f t="shared" si="182"/>
        <v>Match</v>
      </c>
      <c r="K2331" s="24">
        <f t="shared" si="183"/>
        <v>5.4</v>
      </c>
      <c r="L2331" s="24">
        <f t="shared" si="184"/>
        <v>0</v>
      </c>
    </row>
    <row r="2332" spans="1:12" ht="15" customHeight="1" x14ac:dyDescent="0.3">
      <c r="A2332" s="23" t="s">
        <v>15203</v>
      </c>
      <c r="B2332" s="23" t="s">
        <v>75</v>
      </c>
      <c r="C2332" s="39">
        <v>499</v>
      </c>
      <c r="D2332" s="24">
        <v>0</v>
      </c>
      <c r="E2332" s="24">
        <v>0</v>
      </c>
      <c r="F2332" s="23">
        <f>COUNTIFS(mdr_rate_cleaned!$A$2:$A$10,B2332,mdr_rate_cleaned!$B$2:$B$10,"&lt;"&amp;C2332,mdr_rate_cleaned!$F$2:$F$10,"&gt;="&amp;C2332)</f>
        <v>1</v>
      </c>
      <c r="G2332" s="40">
        <f>SUMIFS(mdr_rate_cleaned!$G$2:$G$10,mdr_rate_cleaned!$A$2:$A$10,B2332,mdr_rate_cleaned!$B$2:$B$10,"&lt;"&amp;C2332,mdr_rate_cleaned!$F$2:$F$10,"&gt;="&amp;C2332)</f>
        <v>0</v>
      </c>
      <c r="H2332" s="24">
        <f t="shared" si="180"/>
        <v>0</v>
      </c>
      <c r="I2332" s="23" t="str">
        <f t="shared" si="181"/>
        <v>Match</v>
      </c>
      <c r="J2332" s="23" t="str">
        <f t="shared" si="182"/>
        <v>Match</v>
      </c>
      <c r="K2332" s="24">
        <f t="shared" si="183"/>
        <v>0</v>
      </c>
      <c r="L2332" s="24">
        <f t="shared" si="184"/>
        <v>0</v>
      </c>
    </row>
    <row r="2333" spans="1:12" ht="15" customHeight="1" x14ac:dyDescent="0.3">
      <c r="A2333" s="23" t="s">
        <v>15204</v>
      </c>
      <c r="B2333" s="23" t="s">
        <v>75</v>
      </c>
      <c r="C2333" s="39">
        <v>6797</v>
      </c>
      <c r="D2333" s="24">
        <v>20.39</v>
      </c>
      <c r="E2333" s="24">
        <v>3.67</v>
      </c>
      <c r="F2333" s="23">
        <f>COUNTIFS(mdr_rate_cleaned!$A$2:$A$10,B2333,mdr_rate_cleaned!$B$2:$B$10,"&lt;"&amp;C2333,mdr_rate_cleaned!$F$2:$F$10,"&gt;="&amp;C2333)</f>
        <v>1</v>
      </c>
      <c r="G2333" s="40">
        <f>SUMIFS(mdr_rate_cleaned!$G$2:$G$10,mdr_rate_cleaned!$A$2:$A$10,B2333,mdr_rate_cleaned!$B$2:$B$10,"&lt;"&amp;C2333,mdr_rate_cleaned!$F$2:$F$10,"&gt;="&amp;C2333)</f>
        <v>3.0000000000000001E-3</v>
      </c>
      <c r="H2333" s="24">
        <f t="shared" si="180"/>
        <v>20.39</v>
      </c>
      <c r="I2333" s="23" t="str">
        <f t="shared" si="181"/>
        <v>Match</v>
      </c>
      <c r="J2333" s="23" t="str">
        <f t="shared" si="182"/>
        <v>Match</v>
      </c>
      <c r="K2333" s="24">
        <f t="shared" si="183"/>
        <v>3.67</v>
      </c>
      <c r="L2333" s="24">
        <f t="shared" si="184"/>
        <v>0</v>
      </c>
    </row>
    <row r="2334" spans="1:12" ht="15" customHeight="1" x14ac:dyDescent="0.3">
      <c r="A2334" s="23" t="s">
        <v>15205</v>
      </c>
      <c r="B2334" s="23" t="s">
        <v>79</v>
      </c>
      <c r="C2334" s="39">
        <v>6297</v>
      </c>
      <c r="D2334" s="24">
        <v>100.75</v>
      </c>
      <c r="E2334" s="24">
        <v>18.14</v>
      </c>
      <c r="F2334" s="23">
        <f>COUNTIFS(mdr_rate_cleaned!$A$2:$A$10,B2334,mdr_rate_cleaned!$B$2:$B$10,"&lt;"&amp;C2334,mdr_rate_cleaned!$F$2:$F$10,"&gt;="&amp;C2334)</f>
        <v>1</v>
      </c>
      <c r="G2334" s="40">
        <f>SUMIFS(mdr_rate_cleaned!$G$2:$G$10,mdr_rate_cleaned!$A$2:$A$10,B2334,mdr_rate_cleaned!$B$2:$B$10,"&lt;"&amp;C2334,mdr_rate_cleaned!$F$2:$F$10,"&gt;="&amp;C2334)</f>
        <v>1.6E-2</v>
      </c>
      <c r="H2334" s="24">
        <f t="shared" si="180"/>
        <v>100.75</v>
      </c>
      <c r="I2334" s="23" t="str">
        <f t="shared" si="181"/>
        <v>Match</v>
      </c>
      <c r="J2334" s="23" t="str">
        <f t="shared" si="182"/>
        <v>Match</v>
      </c>
      <c r="K2334" s="24">
        <f t="shared" si="183"/>
        <v>18.14</v>
      </c>
      <c r="L2334" s="24">
        <f t="shared" si="184"/>
        <v>0</v>
      </c>
    </row>
    <row r="2335" spans="1:12" ht="15" customHeight="1" x14ac:dyDescent="0.3">
      <c r="A2335" s="23" t="s">
        <v>15206</v>
      </c>
      <c r="B2335" s="23" t="s">
        <v>75</v>
      </c>
      <c r="C2335" s="39">
        <v>2999</v>
      </c>
      <c r="D2335" s="24">
        <v>9</v>
      </c>
      <c r="E2335" s="24">
        <v>1.62</v>
      </c>
      <c r="F2335" s="23">
        <f>COUNTIFS(mdr_rate_cleaned!$A$2:$A$10,B2335,mdr_rate_cleaned!$B$2:$B$10,"&lt;"&amp;C2335,mdr_rate_cleaned!$F$2:$F$10,"&gt;="&amp;C2335)</f>
        <v>1</v>
      </c>
      <c r="G2335" s="40">
        <f>SUMIFS(mdr_rate_cleaned!$G$2:$G$10,mdr_rate_cleaned!$A$2:$A$10,B2335,mdr_rate_cleaned!$B$2:$B$10,"&lt;"&amp;C2335,mdr_rate_cleaned!$F$2:$F$10,"&gt;="&amp;C2335)</f>
        <v>3.0000000000000001E-3</v>
      </c>
      <c r="H2335" s="24">
        <f t="shared" si="180"/>
        <v>9</v>
      </c>
      <c r="I2335" s="23" t="str">
        <f t="shared" si="181"/>
        <v>Match</v>
      </c>
      <c r="J2335" s="23" t="str">
        <f t="shared" si="182"/>
        <v>Match</v>
      </c>
      <c r="K2335" s="24">
        <f t="shared" si="183"/>
        <v>1.62</v>
      </c>
      <c r="L2335" s="24">
        <f t="shared" si="184"/>
        <v>0</v>
      </c>
    </row>
    <row r="2336" spans="1:12" ht="15" customHeight="1" x14ac:dyDescent="0.3">
      <c r="A2336" s="23" t="s">
        <v>15207</v>
      </c>
      <c r="B2336" s="23" t="s">
        <v>79</v>
      </c>
      <c r="C2336" s="39">
        <v>349</v>
      </c>
      <c r="D2336" s="24">
        <v>6.28</v>
      </c>
      <c r="E2336" s="24">
        <v>1.1299999999999999</v>
      </c>
      <c r="F2336" s="23">
        <f>COUNTIFS(mdr_rate_cleaned!$A$2:$A$10,B2336,mdr_rate_cleaned!$B$2:$B$10,"&lt;"&amp;C2336,mdr_rate_cleaned!$F$2:$F$10,"&gt;="&amp;C2336)</f>
        <v>1</v>
      </c>
      <c r="G2336" s="40">
        <f>SUMIFS(mdr_rate_cleaned!$G$2:$G$10,mdr_rate_cleaned!$A$2:$A$10,B2336,mdr_rate_cleaned!$B$2:$B$10,"&lt;"&amp;C2336,mdr_rate_cleaned!$F$2:$F$10,"&gt;="&amp;C2336)</f>
        <v>1.8000000000000002E-2</v>
      </c>
      <c r="H2336" s="24">
        <f t="shared" si="180"/>
        <v>6.28</v>
      </c>
      <c r="I2336" s="23" t="str">
        <f t="shared" si="181"/>
        <v>Match</v>
      </c>
      <c r="J2336" s="23" t="str">
        <f t="shared" si="182"/>
        <v>Match</v>
      </c>
      <c r="K2336" s="24">
        <f t="shared" si="183"/>
        <v>1.1299999999999999</v>
      </c>
      <c r="L2336" s="24">
        <f t="shared" si="184"/>
        <v>0</v>
      </c>
    </row>
    <row r="2337" spans="1:12" ht="15" customHeight="1" x14ac:dyDescent="0.3">
      <c r="A2337" s="23" t="s">
        <v>15208</v>
      </c>
      <c r="B2337" s="23" t="s">
        <v>75</v>
      </c>
      <c r="C2337" s="39">
        <v>7999</v>
      </c>
      <c r="D2337" s="24">
        <v>24</v>
      </c>
      <c r="E2337" s="24">
        <v>4.32</v>
      </c>
      <c r="F2337" s="23">
        <f>COUNTIFS(mdr_rate_cleaned!$A$2:$A$10,B2337,mdr_rate_cleaned!$B$2:$B$10,"&lt;"&amp;C2337,mdr_rate_cleaned!$F$2:$F$10,"&gt;="&amp;C2337)</f>
        <v>1</v>
      </c>
      <c r="G2337" s="40">
        <f>SUMIFS(mdr_rate_cleaned!$G$2:$G$10,mdr_rate_cleaned!$A$2:$A$10,B2337,mdr_rate_cleaned!$B$2:$B$10,"&lt;"&amp;C2337,mdr_rate_cleaned!$F$2:$F$10,"&gt;="&amp;C2337)</f>
        <v>3.0000000000000001E-3</v>
      </c>
      <c r="H2337" s="24">
        <f t="shared" si="180"/>
        <v>24</v>
      </c>
      <c r="I2337" s="23" t="str">
        <f t="shared" si="181"/>
        <v>Match</v>
      </c>
      <c r="J2337" s="23" t="str">
        <f t="shared" si="182"/>
        <v>Match</v>
      </c>
      <c r="K2337" s="24">
        <f t="shared" si="183"/>
        <v>4.32</v>
      </c>
      <c r="L2337" s="24">
        <f t="shared" si="184"/>
        <v>0</v>
      </c>
    </row>
    <row r="2338" spans="1:12" ht="15" customHeight="1" x14ac:dyDescent="0.3">
      <c r="A2338" s="23" t="s">
        <v>15209</v>
      </c>
      <c r="B2338" s="23" t="s">
        <v>81</v>
      </c>
      <c r="C2338" s="39">
        <v>4498</v>
      </c>
      <c r="D2338" s="24">
        <v>53.98</v>
      </c>
      <c r="E2338" s="24">
        <v>9.7200000000000006</v>
      </c>
      <c r="F2338" s="23">
        <f>COUNTIFS(mdr_rate_cleaned!$A$2:$A$10,B2338,mdr_rate_cleaned!$B$2:$B$10,"&lt;"&amp;C2338,mdr_rate_cleaned!$F$2:$F$10,"&gt;="&amp;C2338)</f>
        <v>1</v>
      </c>
      <c r="G2338" s="40">
        <f>SUMIFS(mdr_rate_cleaned!$G$2:$G$10,mdr_rate_cleaned!$A$2:$A$10,B2338,mdr_rate_cleaned!$B$2:$B$10,"&lt;"&amp;C2338,mdr_rate_cleaned!$F$2:$F$10,"&gt;="&amp;C2338)</f>
        <v>1.2E-2</v>
      </c>
      <c r="H2338" s="24">
        <f t="shared" si="180"/>
        <v>53.98</v>
      </c>
      <c r="I2338" s="23" t="str">
        <f t="shared" si="181"/>
        <v>Match</v>
      </c>
      <c r="J2338" s="23" t="str">
        <f t="shared" si="182"/>
        <v>Match</v>
      </c>
      <c r="K2338" s="24">
        <f t="shared" si="183"/>
        <v>9.7200000000000006</v>
      </c>
      <c r="L2338" s="24">
        <f t="shared" si="184"/>
        <v>0</v>
      </c>
    </row>
    <row r="2339" spans="1:12" ht="15" customHeight="1" x14ac:dyDescent="0.3">
      <c r="A2339" s="23" t="s">
        <v>15210</v>
      </c>
      <c r="B2339" s="23" t="s">
        <v>79</v>
      </c>
      <c r="C2339" s="39">
        <v>499</v>
      </c>
      <c r="D2339" s="24">
        <v>8.98</v>
      </c>
      <c r="E2339" s="24">
        <v>1.62</v>
      </c>
      <c r="F2339" s="23">
        <f>COUNTIFS(mdr_rate_cleaned!$A$2:$A$10,B2339,mdr_rate_cleaned!$B$2:$B$10,"&lt;"&amp;C2339,mdr_rate_cleaned!$F$2:$F$10,"&gt;="&amp;C2339)</f>
        <v>1</v>
      </c>
      <c r="G2339" s="40">
        <f>SUMIFS(mdr_rate_cleaned!$G$2:$G$10,mdr_rate_cleaned!$A$2:$A$10,B2339,mdr_rate_cleaned!$B$2:$B$10,"&lt;"&amp;C2339,mdr_rate_cleaned!$F$2:$F$10,"&gt;="&amp;C2339)</f>
        <v>1.8000000000000002E-2</v>
      </c>
      <c r="H2339" s="24">
        <f t="shared" si="180"/>
        <v>8.98</v>
      </c>
      <c r="I2339" s="23" t="str">
        <f t="shared" si="181"/>
        <v>Match</v>
      </c>
      <c r="J2339" s="23" t="str">
        <f t="shared" si="182"/>
        <v>Match</v>
      </c>
      <c r="K2339" s="24">
        <f t="shared" si="183"/>
        <v>1.62</v>
      </c>
      <c r="L2339" s="24">
        <f t="shared" si="184"/>
        <v>0</v>
      </c>
    </row>
    <row r="2340" spans="1:12" ht="15" customHeight="1" x14ac:dyDescent="0.3">
      <c r="A2340" s="23" t="s">
        <v>15211</v>
      </c>
      <c r="B2340" s="23" t="s">
        <v>77</v>
      </c>
      <c r="C2340" s="39">
        <v>2598</v>
      </c>
      <c r="D2340" s="24">
        <v>44.17</v>
      </c>
      <c r="E2340" s="24">
        <v>7.95</v>
      </c>
      <c r="F2340" s="23">
        <f>COUNTIFS(mdr_rate_cleaned!$A$2:$A$10,B2340,mdr_rate_cleaned!$B$2:$B$10,"&lt;"&amp;C2340,mdr_rate_cleaned!$F$2:$F$10,"&gt;="&amp;C2340)</f>
        <v>1</v>
      </c>
      <c r="G2340" s="40">
        <f>SUMIFS(mdr_rate_cleaned!$G$2:$G$10,mdr_rate_cleaned!$A$2:$A$10,B2340,mdr_rate_cleaned!$B$2:$B$10,"&lt;"&amp;C2340,mdr_rate_cleaned!$F$2:$F$10,"&gt;="&amp;C2340)</f>
        <v>1.7000000000000001E-2</v>
      </c>
      <c r="H2340" s="24">
        <f t="shared" si="180"/>
        <v>44.17</v>
      </c>
      <c r="I2340" s="23" t="str">
        <f t="shared" si="181"/>
        <v>Match</v>
      </c>
      <c r="J2340" s="23" t="str">
        <f t="shared" si="182"/>
        <v>Match</v>
      </c>
      <c r="K2340" s="24">
        <f t="shared" si="183"/>
        <v>7.95</v>
      </c>
      <c r="L2340" s="24">
        <f t="shared" si="184"/>
        <v>0</v>
      </c>
    </row>
    <row r="2341" spans="1:12" ht="15" customHeight="1" x14ac:dyDescent="0.3">
      <c r="A2341" s="23" t="s">
        <v>15212</v>
      </c>
      <c r="B2341" s="23" t="s">
        <v>81</v>
      </c>
      <c r="C2341" s="39">
        <v>7999</v>
      </c>
      <c r="D2341" s="24">
        <v>95.99</v>
      </c>
      <c r="E2341" s="24">
        <v>17.28</v>
      </c>
      <c r="F2341" s="23">
        <f>COUNTIFS(mdr_rate_cleaned!$A$2:$A$10,B2341,mdr_rate_cleaned!$B$2:$B$10,"&lt;"&amp;C2341,mdr_rate_cleaned!$F$2:$F$10,"&gt;="&amp;C2341)</f>
        <v>1</v>
      </c>
      <c r="G2341" s="40">
        <f>SUMIFS(mdr_rate_cleaned!$G$2:$G$10,mdr_rate_cleaned!$A$2:$A$10,B2341,mdr_rate_cleaned!$B$2:$B$10,"&lt;"&amp;C2341,mdr_rate_cleaned!$F$2:$F$10,"&gt;="&amp;C2341)</f>
        <v>1.2E-2</v>
      </c>
      <c r="H2341" s="24">
        <f t="shared" si="180"/>
        <v>95.99</v>
      </c>
      <c r="I2341" s="23" t="str">
        <f t="shared" si="181"/>
        <v>Match</v>
      </c>
      <c r="J2341" s="23" t="str">
        <f t="shared" si="182"/>
        <v>Match</v>
      </c>
      <c r="K2341" s="24">
        <f t="shared" si="183"/>
        <v>17.28</v>
      </c>
      <c r="L2341" s="24">
        <f t="shared" si="184"/>
        <v>0</v>
      </c>
    </row>
    <row r="2342" spans="1:12" ht="15" customHeight="1" x14ac:dyDescent="0.3">
      <c r="A2342" s="23" t="s">
        <v>15213</v>
      </c>
      <c r="B2342" s="23" t="s">
        <v>77</v>
      </c>
      <c r="C2342" s="39">
        <v>299</v>
      </c>
      <c r="D2342" s="24">
        <v>5.68</v>
      </c>
      <c r="E2342" s="24">
        <v>1.02</v>
      </c>
      <c r="F2342" s="23">
        <f>COUNTIFS(mdr_rate_cleaned!$A$2:$A$10,B2342,mdr_rate_cleaned!$B$2:$B$10,"&lt;"&amp;C2342,mdr_rate_cleaned!$F$2:$F$10,"&gt;="&amp;C2342)</f>
        <v>1</v>
      </c>
      <c r="G2342" s="40">
        <f>SUMIFS(mdr_rate_cleaned!$G$2:$G$10,mdr_rate_cleaned!$A$2:$A$10,B2342,mdr_rate_cleaned!$B$2:$B$10,"&lt;"&amp;C2342,mdr_rate_cleaned!$F$2:$F$10,"&gt;="&amp;C2342)</f>
        <v>1.9E-2</v>
      </c>
      <c r="H2342" s="24">
        <f t="shared" si="180"/>
        <v>5.68</v>
      </c>
      <c r="I2342" s="23" t="str">
        <f t="shared" si="181"/>
        <v>Match</v>
      </c>
      <c r="J2342" s="23" t="str">
        <f t="shared" si="182"/>
        <v>Match</v>
      </c>
      <c r="K2342" s="24">
        <f t="shared" si="183"/>
        <v>1.02</v>
      </c>
      <c r="L2342" s="24">
        <f t="shared" si="184"/>
        <v>0</v>
      </c>
    </row>
    <row r="2343" spans="1:12" ht="15" customHeight="1" x14ac:dyDescent="0.3">
      <c r="A2343" s="23" t="s">
        <v>15215</v>
      </c>
      <c r="B2343" s="23" t="s">
        <v>75</v>
      </c>
      <c r="C2343" s="39">
        <v>7297</v>
      </c>
      <c r="D2343" s="24">
        <v>21.89</v>
      </c>
      <c r="E2343" s="24">
        <v>3.94</v>
      </c>
      <c r="F2343" s="23">
        <f>COUNTIFS(mdr_rate_cleaned!$A$2:$A$10,B2343,mdr_rate_cleaned!$B$2:$B$10,"&lt;"&amp;C2343,mdr_rate_cleaned!$F$2:$F$10,"&gt;="&amp;C2343)</f>
        <v>1</v>
      </c>
      <c r="G2343" s="40">
        <f>SUMIFS(mdr_rate_cleaned!$G$2:$G$10,mdr_rate_cleaned!$A$2:$A$10,B2343,mdr_rate_cleaned!$B$2:$B$10,"&lt;"&amp;C2343,mdr_rate_cleaned!$F$2:$F$10,"&gt;="&amp;C2343)</f>
        <v>3.0000000000000001E-3</v>
      </c>
      <c r="H2343" s="24">
        <f t="shared" si="180"/>
        <v>21.89</v>
      </c>
      <c r="I2343" s="23" t="str">
        <f t="shared" si="181"/>
        <v>Match</v>
      </c>
      <c r="J2343" s="23" t="str">
        <f t="shared" si="182"/>
        <v>Match</v>
      </c>
      <c r="K2343" s="24">
        <f t="shared" si="183"/>
        <v>3.94</v>
      </c>
      <c r="L2343" s="24">
        <f t="shared" si="184"/>
        <v>0</v>
      </c>
    </row>
    <row r="2344" spans="1:12" ht="15" customHeight="1" x14ac:dyDescent="0.3">
      <c r="A2344" s="23" t="s">
        <v>15216</v>
      </c>
      <c r="B2344" s="23" t="s">
        <v>81</v>
      </c>
      <c r="C2344" s="39">
        <v>8998</v>
      </c>
      <c r="D2344" s="24">
        <v>107.98</v>
      </c>
      <c r="E2344" s="24">
        <v>19.440000000000001</v>
      </c>
      <c r="F2344" s="23">
        <f>COUNTIFS(mdr_rate_cleaned!$A$2:$A$10,B2344,mdr_rate_cleaned!$B$2:$B$10,"&lt;"&amp;C2344,mdr_rate_cleaned!$F$2:$F$10,"&gt;="&amp;C2344)</f>
        <v>1</v>
      </c>
      <c r="G2344" s="40">
        <f>SUMIFS(mdr_rate_cleaned!$G$2:$G$10,mdr_rate_cleaned!$A$2:$A$10,B2344,mdr_rate_cleaned!$B$2:$B$10,"&lt;"&amp;C2344,mdr_rate_cleaned!$F$2:$F$10,"&gt;="&amp;C2344)</f>
        <v>1.2E-2</v>
      </c>
      <c r="H2344" s="24">
        <f t="shared" si="180"/>
        <v>107.98</v>
      </c>
      <c r="I2344" s="23" t="str">
        <f t="shared" si="181"/>
        <v>Match</v>
      </c>
      <c r="J2344" s="23" t="str">
        <f t="shared" si="182"/>
        <v>Match</v>
      </c>
      <c r="K2344" s="24">
        <f t="shared" si="183"/>
        <v>19.440000000000001</v>
      </c>
      <c r="L2344" s="24">
        <f t="shared" si="184"/>
        <v>0</v>
      </c>
    </row>
    <row r="2345" spans="1:12" ht="15" customHeight="1" x14ac:dyDescent="0.3">
      <c r="A2345" s="23" t="s">
        <v>15217</v>
      </c>
      <c r="B2345" s="23" t="s">
        <v>79</v>
      </c>
      <c r="C2345" s="39">
        <v>1299</v>
      </c>
      <c r="D2345" s="24">
        <v>23.38</v>
      </c>
      <c r="E2345" s="24">
        <v>4.21</v>
      </c>
      <c r="F2345" s="23">
        <f>COUNTIFS(mdr_rate_cleaned!$A$2:$A$10,B2345,mdr_rate_cleaned!$B$2:$B$10,"&lt;"&amp;C2345,mdr_rate_cleaned!$F$2:$F$10,"&gt;="&amp;C2345)</f>
        <v>1</v>
      </c>
      <c r="G2345" s="40">
        <f>SUMIFS(mdr_rate_cleaned!$G$2:$G$10,mdr_rate_cleaned!$A$2:$A$10,B2345,mdr_rate_cleaned!$B$2:$B$10,"&lt;"&amp;C2345,mdr_rate_cleaned!$F$2:$F$10,"&gt;="&amp;C2345)</f>
        <v>1.8000000000000002E-2</v>
      </c>
      <c r="H2345" s="24">
        <f t="shared" si="180"/>
        <v>23.38</v>
      </c>
      <c r="I2345" s="23" t="str">
        <f t="shared" si="181"/>
        <v>Match</v>
      </c>
      <c r="J2345" s="23" t="str">
        <f t="shared" si="182"/>
        <v>Match</v>
      </c>
      <c r="K2345" s="24">
        <f t="shared" si="183"/>
        <v>4.21</v>
      </c>
      <c r="L2345" s="24">
        <f t="shared" si="184"/>
        <v>0</v>
      </c>
    </row>
    <row r="2346" spans="1:12" ht="15" customHeight="1" x14ac:dyDescent="0.3">
      <c r="A2346" s="23" t="s">
        <v>15219</v>
      </c>
      <c r="B2346" s="23" t="s">
        <v>75</v>
      </c>
      <c r="C2346" s="39">
        <v>4999</v>
      </c>
      <c r="D2346" s="24">
        <v>15</v>
      </c>
      <c r="E2346" s="24">
        <v>2.7</v>
      </c>
      <c r="F2346" s="23">
        <f>COUNTIFS(mdr_rate_cleaned!$A$2:$A$10,B2346,mdr_rate_cleaned!$B$2:$B$10,"&lt;"&amp;C2346,mdr_rate_cleaned!$F$2:$F$10,"&gt;="&amp;C2346)</f>
        <v>1</v>
      </c>
      <c r="G2346" s="40">
        <f>SUMIFS(mdr_rate_cleaned!$G$2:$G$10,mdr_rate_cleaned!$A$2:$A$10,B2346,mdr_rate_cleaned!$B$2:$B$10,"&lt;"&amp;C2346,mdr_rate_cleaned!$F$2:$F$10,"&gt;="&amp;C2346)</f>
        <v>3.0000000000000001E-3</v>
      </c>
      <c r="H2346" s="24">
        <f t="shared" si="180"/>
        <v>15</v>
      </c>
      <c r="I2346" s="23" t="str">
        <f t="shared" si="181"/>
        <v>Match</v>
      </c>
      <c r="J2346" s="23" t="str">
        <f t="shared" si="182"/>
        <v>Match</v>
      </c>
      <c r="K2346" s="24">
        <f t="shared" si="183"/>
        <v>2.7</v>
      </c>
      <c r="L2346" s="24">
        <f t="shared" si="184"/>
        <v>0</v>
      </c>
    </row>
    <row r="2347" spans="1:12" ht="15" customHeight="1" x14ac:dyDescent="0.3">
      <c r="A2347" s="23" t="s">
        <v>15220</v>
      </c>
      <c r="B2347" s="23" t="s">
        <v>79</v>
      </c>
      <c r="C2347" s="39">
        <v>7999</v>
      </c>
      <c r="D2347" s="24">
        <v>127.98</v>
      </c>
      <c r="E2347" s="24">
        <v>23.04</v>
      </c>
      <c r="F2347" s="23">
        <f>COUNTIFS(mdr_rate_cleaned!$A$2:$A$10,B2347,mdr_rate_cleaned!$B$2:$B$10,"&lt;"&amp;C2347,mdr_rate_cleaned!$F$2:$F$10,"&gt;="&amp;C2347)</f>
        <v>1</v>
      </c>
      <c r="G2347" s="40">
        <f>SUMIFS(mdr_rate_cleaned!$G$2:$G$10,mdr_rate_cleaned!$A$2:$A$10,B2347,mdr_rate_cleaned!$B$2:$B$10,"&lt;"&amp;C2347,mdr_rate_cleaned!$F$2:$F$10,"&gt;="&amp;C2347)</f>
        <v>1.6E-2</v>
      </c>
      <c r="H2347" s="24">
        <f t="shared" si="180"/>
        <v>127.98</v>
      </c>
      <c r="I2347" s="23" t="str">
        <f t="shared" si="181"/>
        <v>Match</v>
      </c>
      <c r="J2347" s="23" t="str">
        <f t="shared" si="182"/>
        <v>Match</v>
      </c>
      <c r="K2347" s="24">
        <f t="shared" si="183"/>
        <v>23.04</v>
      </c>
      <c r="L2347" s="24">
        <f t="shared" si="184"/>
        <v>0</v>
      </c>
    </row>
    <row r="2348" spans="1:12" ht="15" customHeight="1" x14ac:dyDescent="0.3">
      <c r="A2348" s="23" t="s">
        <v>15221</v>
      </c>
      <c r="B2348" s="23" t="s">
        <v>79</v>
      </c>
      <c r="C2348" s="39">
        <v>2098</v>
      </c>
      <c r="D2348" s="24">
        <v>33.57</v>
      </c>
      <c r="E2348" s="24">
        <v>6.04</v>
      </c>
      <c r="F2348" s="23">
        <f>COUNTIFS(mdr_rate_cleaned!$A$2:$A$10,B2348,mdr_rate_cleaned!$B$2:$B$10,"&lt;"&amp;C2348,mdr_rate_cleaned!$F$2:$F$10,"&gt;="&amp;C2348)</f>
        <v>1</v>
      </c>
      <c r="G2348" s="40">
        <f>SUMIFS(mdr_rate_cleaned!$G$2:$G$10,mdr_rate_cleaned!$A$2:$A$10,B2348,mdr_rate_cleaned!$B$2:$B$10,"&lt;"&amp;C2348,mdr_rate_cleaned!$F$2:$F$10,"&gt;="&amp;C2348)</f>
        <v>1.6E-2</v>
      </c>
      <c r="H2348" s="24">
        <f t="shared" si="180"/>
        <v>33.57</v>
      </c>
      <c r="I2348" s="23" t="str">
        <f t="shared" si="181"/>
        <v>Match</v>
      </c>
      <c r="J2348" s="23" t="str">
        <f t="shared" si="182"/>
        <v>Match</v>
      </c>
      <c r="K2348" s="24">
        <f t="shared" si="183"/>
        <v>6.04</v>
      </c>
      <c r="L2348" s="24">
        <f t="shared" si="184"/>
        <v>0</v>
      </c>
    </row>
    <row r="2349" spans="1:12" ht="15" customHeight="1" x14ac:dyDescent="0.3">
      <c r="A2349" s="23" t="s">
        <v>15222</v>
      </c>
      <c r="B2349" s="23" t="s">
        <v>75</v>
      </c>
      <c r="C2349" s="39">
        <v>9797</v>
      </c>
      <c r="D2349" s="24">
        <v>29.39</v>
      </c>
      <c r="E2349" s="24">
        <v>5.29</v>
      </c>
      <c r="F2349" s="23">
        <f>COUNTIFS(mdr_rate_cleaned!$A$2:$A$10,B2349,mdr_rate_cleaned!$B$2:$B$10,"&lt;"&amp;C2349,mdr_rate_cleaned!$F$2:$F$10,"&gt;="&amp;C2349)</f>
        <v>1</v>
      </c>
      <c r="G2349" s="40">
        <f>SUMIFS(mdr_rate_cleaned!$G$2:$G$10,mdr_rate_cleaned!$A$2:$A$10,B2349,mdr_rate_cleaned!$B$2:$B$10,"&lt;"&amp;C2349,mdr_rate_cleaned!$F$2:$F$10,"&gt;="&amp;C2349)</f>
        <v>3.0000000000000001E-3</v>
      </c>
      <c r="H2349" s="24">
        <f t="shared" si="180"/>
        <v>29.39</v>
      </c>
      <c r="I2349" s="23" t="str">
        <f t="shared" si="181"/>
        <v>Match</v>
      </c>
      <c r="J2349" s="23" t="str">
        <f t="shared" si="182"/>
        <v>Match</v>
      </c>
      <c r="K2349" s="24">
        <f t="shared" si="183"/>
        <v>5.29</v>
      </c>
      <c r="L2349" s="24">
        <f t="shared" si="184"/>
        <v>0</v>
      </c>
    </row>
    <row r="2350" spans="1:12" ht="15" customHeight="1" x14ac:dyDescent="0.3">
      <c r="A2350" s="23" t="s">
        <v>15223</v>
      </c>
      <c r="B2350" s="23" t="s">
        <v>75</v>
      </c>
      <c r="C2350" s="39">
        <v>799</v>
      </c>
      <c r="D2350" s="24">
        <v>0</v>
      </c>
      <c r="E2350" s="24">
        <v>0</v>
      </c>
      <c r="F2350" s="23">
        <f>COUNTIFS(mdr_rate_cleaned!$A$2:$A$10,B2350,mdr_rate_cleaned!$B$2:$B$10,"&lt;"&amp;C2350,mdr_rate_cleaned!$F$2:$F$10,"&gt;="&amp;C2350)</f>
        <v>1</v>
      </c>
      <c r="G2350" s="40">
        <f>SUMIFS(mdr_rate_cleaned!$G$2:$G$10,mdr_rate_cleaned!$A$2:$A$10,B2350,mdr_rate_cleaned!$B$2:$B$10,"&lt;"&amp;C2350,mdr_rate_cleaned!$F$2:$F$10,"&gt;="&amp;C2350)</f>
        <v>0</v>
      </c>
      <c r="H2350" s="24">
        <f t="shared" si="180"/>
        <v>0</v>
      </c>
      <c r="I2350" s="23" t="str">
        <f t="shared" si="181"/>
        <v>Match</v>
      </c>
      <c r="J2350" s="23" t="str">
        <f t="shared" si="182"/>
        <v>Match</v>
      </c>
      <c r="K2350" s="24">
        <f t="shared" si="183"/>
        <v>0</v>
      </c>
      <c r="L2350" s="24">
        <f t="shared" si="184"/>
        <v>0</v>
      </c>
    </row>
    <row r="2351" spans="1:12" ht="15" customHeight="1" x14ac:dyDescent="0.3">
      <c r="A2351" s="23" t="s">
        <v>15224</v>
      </c>
      <c r="B2351" s="23" t="s">
        <v>75</v>
      </c>
      <c r="C2351" s="39">
        <v>2998</v>
      </c>
      <c r="D2351" s="24">
        <v>8.99</v>
      </c>
      <c r="E2351" s="24">
        <v>1.62</v>
      </c>
      <c r="F2351" s="23">
        <f>COUNTIFS(mdr_rate_cleaned!$A$2:$A$10,B2351,mdr_rate_cleaned!$B$2:$B$10,"&lt;"&amp;C2351,mdr_rate_cleaned!$F$2:$F$10,"&gt;="&amp;C2351)</f>
        <v>1</v>
      </c>
      <c r="G2351" s="40">
        <f>SUMIFS(mdr_rate_cleaned!$G$2:$G$10,mdr_rate_cleaned!$A$2:$A$10,B2351,mdr_rate_cleaned!$B$2:$B$10,"&lt;"&amp;C2351,mdr_rate_cleaned!$F$2:$F$10,"&gt;="&amp;C2351)</f>
        <v>3.0000000000000001E-3</v>
      </c>
      <c r="H2351" s="24">
        <f t="shared" si="180"/>
        <v>8.99</v>
      </c>
      <c r="I2351" s="23" t="str">
        <f t="shared" si="181"/>
        <v>Match</v>
      </c>
      <c r="J2351" s="23" t="str">
        <f t="shared" si="182"/>
        <v>Match</v>
      </c>
      <c r="K2351" s="24">
        <f t="shared" si="183"/>
        <v>1.62</v>
      </c>
      <c r="L2351" s="24">
        <f t="shared" si="184"/>
        <v>0</v>
      </c>
    </row>
    <row r="2352" spans="1:12" ht="15" customHeight="1" x14ac:dyDescent="0.3">
      <c r="A2352" s="23" t="s">
        <v>15225</v>
      </c>
      <c r="B2352" s="23" t="s">
        <v>77</v>
      </c>
      <c r="C2352" s="39">
        <v>4798</v>
      </c>
      <c r="D2352" s="24">
        <v>81.569999999999993</v>
      </c>
      <c r="E2352" s="24">
        <v>14.68</v>
      </c>
      <c r="F2352" s="23">
        <f>COUNTIFS(mdr_rate_cleaned!$A$2:$A$10,B2352,mdr_rate_cleaned!$B$2:$B$10,"&lt;"&amp;C2352,mdr_rate_cleaned!$F$2:$F$10,"&gt;="&amp;C2352)</f>
        <v>1</v>
      </c>
      <c r="G2352" s="40">
        <f>SUMIFS(mdr_rate_cleaned!$G$2:$G$10,mdr_rate_cleaned!$A$2:$A$10,B2352,mdr_rate_cleaned!$B$2:$B$10,"&lt;"&amp;C2352,mdr_rate_cleaned!$F$2:$F$10,"&gt;="&amp;C2352)</f>
        <v>1.7000000000000001E-2</v>
      </c>
      <c r="H2352" s="24">
        <f t="shared" si="180"/>
        <v>81.569999999999993</v>
      </c>
      <c r="I2352" s="23" t="str">
        <f t="shared" si="181"/>
        <v>Match</v>
      </c>
      <c r="J2352" s="23" t="str">
        <f t="shared" si="182"/>
        <v>Match</v>
      </c>
      <c r="K2352" s="24">
        <f t="shared" si="183"/>
        <v>14.68</v>
      </c>
      <c r="L2352" s="24">
        <f t="shared" si="184"/>
        <v>0</v>
      </c>
    </row>
    <row r="2353" spans="1:12" ht="15" customHeight="1" x14ac:dyDescent="0.3">
      <c r="A2353" s="23" t="s">
        <v>15227</v>
      </c>
      <c r="B2353" s="23" t="s">
        <v>75</v>
      </c>
      <c r="C2353" s="39">
        <v>12097</v>
      </c>
      <c r="D2353" s="24">
        <v>36.29</v>
      </c>
      <c r="E2353" s="24">
        <v>6.53</v>
      </c>
      <c r="F2353" s="23">
        <f>COUNTIFS(mdr_rate_cleaned!$A$2:$A$10,B2353,mdr_rate_cleaned!$B$2:$B$10,"&lt;"&amp;C2353,mdr_rate_cleaned!$F$2:$F$10,"&gt;="&amp;C2353)</f>
        <v>1</v>
      </c>
      <c r="G2353" s="40">
        <f>SUMIFS(mdr_rate_cleaned!$G$2:$G$10,mdr_rate_cleaned!$A$2:$A$10,B2353,mdr_rate_cleaned!$B$2:$B$10,"&lt;"&amp;C2353,mdr_rate_cleaned!$F$2:$F$10,"&gt;="&amp;C2353)</f>
        <v>3.0000000000000001E-3</v>
      </c>
      <c r="H2353" s="24">
        <f t="shared" si="180"/>
        <v>36.29</v>
      </c>
      <c r="I2353" s="23" t="str">
        <f t="shared" si="181"/>
        <v>Match</v>
      </c>
      <c r="J2353" s="23" t="str">
        <f t="shared" si="182"/>
        <v>Match</v>
      </c>
      <c r="K2353" s="24">
        <f t="shared" si="183"/>
        <v>6.53</v>
      </c>
      <c r="L2353" s="24">
        <f t="shared" si="184"/>
        <v>0</v>
      </c>
    </row>
    <row r="2354" spans="1:12" ht="15" customHeight="1" x14ac:dyDescent="0.3">
      <c r="A2354" s="23" t="s">
        <v>15228</v>
      </c>
      <c r="B2354" s="23" t="s">
        <v>77</v>
      </c>
      <c r="C2354" s="39">
        <v>3798</v>
      </c>
      <c r="D2354" s="24">
        <v>64.569999999999993</v>
      </c>
      <c r="E2354" s="24">
        <v>11.62</v>
      </c>
      <c r="F2354" s="23">
        <f>COUNTIFS(mdr_rate_cleaned!$A$2:$A$10,B2354,mdr_rate_cleaned!$B$2:$B$10,"&lt;"&amp;C2354,mdr_rate_cleaned!$F$2:$F$10,"&gt;="&amp;C2354)</f>
        <v>1</v>
      </c>
      <c r="G2354" s="40">
        <f>SUMIFS(mdr_rate_cleaned!$G$2:$G$10,mdr_rate_cleaned!$A$2:$A$10,B2354,mdr_rate_cleaned!$B$2:$B$10,"&lt;"&amp;C2354,mdr_rate_cleaned!$F$2:$F$10,"&gt;="&amp;C2354)</f>
        <v>1.7000000000000001E-2</v>
      </c>
      <c r="H2354" s="24">
        <f t="shared" si="180"/>
        <v>64.569999999999993</v>
      </c>
      <c r="I2354" s="23" t="str">
        <f t="shared" si="181"/>
        <v>Match</v>
      </c>
      <c r="J2354" s="23" t="str">
        <f t="shared" si="182"/>
        <v>Match</v>
      </c>
      <c r="K2354" s="24">
        <f t="shared" si="183"/>
        <v>11.62</v>
      </c>
      <c r="L2354" s="24">
        <f t="shared" si="184"/>
        <v>0</v>
      </c>
    </row>
    <row r="2355" spans="1:12" ht="15" customHeight="1" x14ac:dyDescent="0.3">
      <c r="A2355" s="23" t="s">
        <v>15230</v>
      </c>
      <c r="B2355" s="23" t="s">
        <v>75</v>
      </c>
      <c r="C2355" s="39">
        <v>2798</v>
      </c>
      <c r="D2355" s="24">
        <v>8.39</v>
      </c>
      <c r="E2355" s="24">
        <v>1.51</v>
      </c>
      <c r="F2355" s="23">
        <f>COUNTIFS(mdr_rate_cleaned!$A$2:$A$10,B2355,mdr_rate_cleaned!$B$2:$B$10,"&lt;"&amp;C2355,mdr_rate_cleaned!$F$2:$F$10,"&gt;="&amp;C2355)</f>
        <v>1</v>
      </c>
      <c r="G2355" s="40">
        <f>SUMIFS(mdr_rate_cleaned!$G$2:$G$10,mdr_rate_cleaned!$A$2:$A$10,B2355,mdr_rate_cleaned!$B$2:$B$10,"&lt;"&amp;C2355,mdr_rate_cleaned!$F$2:$F$10,"&gt;="&amp;C2355)</f>
        <v>3.0000000000000001E-3</v>
      </c>
      <c r="H2355" s="24">
        <f t="shared" si="180"/>
        <v>8.39</v>
      </c>
      <c r="I2355" s="23" t="str">
        <f t="shared" si="181"/>
        <v>Match</v>
      </c>
      <c r="J2355" s="23" t="str">
        <f t="shared" si="182"/>
        <v>Match</v>
      </c>
      <c r="K2355" s="24">
        <f t="shared" si="183"/>
        <v>1.51</v>
      </c>
      <c r="L2355" s="24">
        <f t="shared" si="184"/>
        <v>0</v>
      </c>
    </row>
    <row r="2356" spans="1:12" ht="15" customHeight="1" x14ac:dyDescent="0.3">
      <c r="A2356" s="23" t="s">
        <v>15231</v>
      </c>
      <c r="B2356" s="23" t="s">
        <v>75</v>
      </c>
      <c r="C2356" s="39">
        <v>2499</v>
      </c>
      <c r="D2356" s="24">
        <v>7.5</v>
      </c>
      <c r="E2356" s="24">
        <v>1.35</v>
      </c>
      <c r="F2356" s="23">
        <f>COUNTIFS(mdr_rate_cleaned!$A$2:$A$10,B2356,mdr_rate_cleaned!$B$2:$B$10,"&lt;"&amp;C2356,mdr_rate_cleaned!$F$2:$F$10,"&gt;="&amp;C2356)</f>
        <v>1</v>
      </c>
      <c r="G2356" s="40">
        <f>SUMIFS(mdr_rate_cleaned!$G$2:$G$10,mdr_rate_cleaned!$A$2:$A$10,B2356,mdr_rate_cleaned!$B$2:$B$10,"&lt;"&amp;C2356,mdr_rate_cleaned!$F$2:$F$10,"&gt;="&amp;C2356)</f>
        <v>3.0000000000000001E-3</v>
      </c>
      <c r="H2356" s="24">
        <f t="shared" si="180"/>
        <v>7.5</v>
      </c>
      <c r="I2356" s="23" t="str">
        <f t="shared" si="181"/>
        <v>Match</v>
      </c>
      <c r="J2356" s="23" t="str">
        <f t="shared" si="182"/>
        <v>Match</v>
      </c>
      <c r="K2356" s="24">
        <f t="shared" si="183"/>
        <v>1.35</v>
      </c>
      <c r="L2356" s="24">
        <f t="shared" si="184"/>
        <v>0</v>
      </c>
    </row>
    <row r="2357" spans="1:12" ht="15" customHeight="1" x14ac:dyDescent="0.3">
      <c r="A2357" s="23" t="s">
        <v>15232</v>
      </c>
      <c r="B2357" s="23" t="s">
        <v>75</v>
      </c>
      <c r="C2357" s="39">
        <v>7999</v>
      </c>
      <c r="D2357" s="24">
        <v>24</v>
      </c>
      <c r="E2357" s="24">
        <v>4.32</v>
      </c>
      <c r="F2357" s="23">
        <f>COUNTIFS(mdr_rate_cleaned!$A$2:$A$10,B2357,mdr_rate_cleaned!$B$2:$B$10,"&lt;"&amp;C2357,mdr_rate_cleaned!$F$2:$F$10,"&gt;="&amp;C2357)</f>
        <v>1</v>
      </c>
      <c r="G2357" s="40">
        <f>SUMIFS(mdr_rate_cleaned!$G$2:$G$10,mdr_rate_cleaned!$A$2:$A$10,B2357,mdr_rate_cleaned!$B$2:$B$10,"&lt;"&amp;C2357,mdr_rate_cleaned!$F$2:$F$10,"&gt;="&amp;C2357)</f>
        <v>3.0000000000000001E-3</v>
      </c>
      <c r="H2357" s="24">
        <f t="shared" si="180"/>
        <v>24</v>
      </c>
      <c r="I2357" s="23" t="str">
        <f t="shared" si="181"/>
        <v>Match</v>
      </c>
      <c r="J2357" s="23" t="str">
        <f t="shared" si="182"/>
        <v>Match</v>
      </c>
      <c r="K2357" s="24">
        <f t="shared" si="183"/>
        <v>4.32</v>
      </c>
      <c r="L2357" s="24">
        <f t="shared" si="184"/>
        <v>0</v>
      </c>
    </row>
    <row r="2358" spans="1:12" ht="15" customHeight="1" x14ac:dyDescent="0.3">
      <c r="A2358" s="23" t="s">
        <v>15234</v>
      </c>
      <c r="B2358" s="23" t="s">
        <v>79</v>
      </c>
      <c r="C2358" s="39">
        <v>10297</v>
      </c>
      <c r="D2358" s="24">
        <v>164.75</v>
      </c>
      <c r="E2358" s="24">
        <v>29.66</v>
      </c>
      <c r="F2358" s="23">
        <f>COUNTIFS(mdr_rate_cleaned!$A$2:$A$10,B2358,mdr_rate_cleaned!$B$2:$B$10,"&lt;"&amp;C2358,mdr_rate_cleaned!$F$2:$F$10,"&gt;="&amp;C2358)</f>
        <v>1</v>
      </c>
      <c r="G2358" s="40">
        <f>SUMIFS(mdr_rate_cleaned!$G$2:$G$10,mdr_rate_cleaned!$A$2:$A$10,B2358,mdr_rate_cleaned!$B$2:$B$10,"&lt;"&amp;C2358,mdr_rate_cleaned!$F$2:$F$10,"&gt;="&amp;C2358)</f>
        <v>1.6E-2</v>
      </c>
      <c r="H2358" s="24">
        <f t="shared" si="180"/>
        <v>164.75</v>
      </c>
      <c r="I2358" s="23" t="str">
        <f t="shared" si="181"/>
        <v>Match</v>
      </c>
      <c r="J2358" s="23" t="str">
        <f t="shared" si="182"/>
        <v>Match</v>
      </c>
      <c r="K2358" s="24">
        <f t="shared" si="183"/>
        <v>29.66</v>
      </c>
      <c r="L2358" s="24">
        <f t="shared" si="184"/>
        <v>0</v>
      </c>
    </row>
    <row r="2359" spans="1:12" ht="15" customHeight="1" x14ac:dyDescent="0.3">
      <c r="A2359" s="23" t="s">
        <v>15235</v>
      </c>
      <c r="B2359" s="23" t="s">
        <v>77</v>
      </c>
      <c r="C2359" s="39">
        <v>499</v>
      </c>
      <c r="D2359" s="24">
        <v>9.48</v>
      </c>
      <c r="E2359" s="24">
        <v>1.71</v>
      </c>
      <c r="F2359" s="23">
        <f>COUNTIFS(mdr_rate_cleaned!$A$2:$A$10,B2359,mdr_rate_cleaned!$B$2:$B$10,"&lt;"&amp;C2359,mdr_rate_cleaned!$F$2:$F$10,"&gt;="&amp;C2359)</f>
        <v>1</v>
      </c>
      <c r="G2359" s="40">
        <f>SUMIFS(mdr_rate_cleaned!$G$2:$G$10,mdr_rate_cleaned!$A$2:$A$10,B2359,mdr_rate_cleaned!$B$2:$B$10,"&lt;"&amp;C2359,mdr_rate_cleaned!$F$2:$F$10,"&gt;="&amp;C2359)</f>
        <v>1.9E-2</v>
      </c>
      <c r="H2359" s="24">
        <f t="shared" si="180"/>
        <v>9.48</v>
      </c>
      <c r="I2359" s="23" t="str">
        <f t="shared" si="181"/>
        <v>Match</v>
      </c>
      <c r="J2359" s="23" t="str">
        <f t="shared" si="182"/>
        <v>Match</v>
      </c>
      <c r="K2359" s="24">
        <f t="shared" si="183"/>
        <v>1.71</v>
      </c>
      <c r="L2359" s="24">
        <f t="shared" si="184"/>
        <v>0</v>
      </c>
    </row>
    <row r="2360" spans="1:12" ht="15" customHeight="1" x14ac:dyDescent="0.3">
      <c r="A2360" s="23" t="s">
        <v>15237</v>
      </c>
      <c r="B2360" s="23" t="s">
        <v>75</v>
      </c>
      <c r="C2360" s="39">
        <v>2848</v>
      </c>
      <c r="D2360" s="24">
        <v>8.5399999999999991</v>
      </c>
      <c r="E2360" s="24">
        <v>1.54</v>
      </c>
      <c r="F2360" s="23">
        <f>COUNTIFS(mdr_rate_cleaned!$A$2:$A$10,B2360,mdr_rate_cleaned!$B$2:$B$10,"&lt;"&amp;C2360,mdr_rate_cleaned!$F$2:$F$10,"&gt;="&amp;C2360)</f>
        <v>1</v>
      </c>
      <c r="G2360" s="40">
        <f>SUMIFS(mdr_rate_cleaned!$G$2:$G$10,mdr_rate_cleaned!$A$2:$A$10,B2360,mdr_rate_cleaned!$B$2:$B$10,"&lt;"&amp;C2360,mdr_rate_cleaned!$F$2:$F$10,"&gt;="&amp;C2360)</f>
        <v>3.0000000000000001E-3</v>
      </c>
      <c r="H2360" s="24">
        <f t="shared" si="180"/>
        <v>8.5399999999999991</v>
      </c>
      <c r="I2360" s="23" t="str">
        <f t="shared" si="181"/>
        <v>Match</v>
      </c>
      <c r="J2360" s="23" t="str">
        <f t="shared" si="182"/>
        <v>Match</v>
      </c>
      <c r="K2360" s="24">
        <f t="shared" si="183"/>
        <v>1.54</v>
      </c>
      <c r="L2360" s="24">
        <f t="shared" si="184"/>
        <v>0</v>
      </c>
    </row>
    <row r="2361" spans="1:12" ht="15" customHeight="1" x14ac:dyDescent="0.3">
      <c r="A2361" s="23" t="s">
        <v>15238</v>
      </c>
      <c r="B2361" s="23" t="s">
        <v>75</v>
      </c>
      <c r="C2361" s="39">
        <v>499</v>
      </c>
      <c r="D2361" s="24">
        <v>0</v>
      </c>
      <c r="E2361" s="24">
        <v>0</v>
      </c>
      <c r="F2361" s="23">
        <f>COUNTIFS(mdr_rate_cleaned!$A$2:$A$10,B2361,mdr_rate_cleaned!$B$2:$B$10,"&lt;"&amp;C2361,mdr_rate_cleaned!$F$2:$F$10,"&gt;="&amp;C2361)</f>
        <v>1</v>
      </c>
      <c r="G2361" s="40">
        <f>SUMIFS(mdr_rate_cleaned!$G$2:$G$10,mdr_rate_cleaned!$A$2:$A$10,B2361,mdr_rate_cleaned!$B$2:$B$10,"&lt;"&amp;C2361,mdr_rate_cleaned!$F$2:$F$10,"&gt;="&amp;C2361)</f>
        <v>0</v>
      </c>
      <c r="H2361" s="24">
        <f t="shared" si="180"/>
        <v>0</v>
      </c>
      <c r="I2361" s="23" t="str">
        <f t="shared" si="181"/>
        <v>Match</v>
      </c>
      <c r="J2361" s="23" t="str">
        <f t="shared" si="182"/>
        <v>Match</v>
      </c>
      <c r="K2361" s="24">
        <f t="shared" si="183"/>
        <v>0</v>
      </c>
      <c r="L2361" s="24">
        <f t="shared" si="184"/>
        <v>0</v>
      </c>
    </row>
    <row r="2362" spans="1:12" ht="15" customHeight="1" x14ac:dyDescent="0.3">
      <c r="A2362" s="23" t="s">
        <v>15239</v>
      </c>
      <c r="B2362" s="23" t="s">
        <v>79</v>
      </c>
      <c r="C2362" s="39">
        <v>4999</v>
      </c>
      <c r="D2362" s="24">
        <v>79.98</v>
      </c>
      <c r="E2362" s="24">
        <v>14.4</v>
      </c>
      <c r="F2362" s="23">
        <f>COUNTIFS(mdr_rate_cleaned!$A$2:$A$10,B2362,mdr_rate_cleaned!$B$2:$B$10,"&lt;"&amp;C2362,mdr_rate_cleaned!$F$2:$F$10,"&gt;="&amp;C2362)</f>
        <v>1</v>
      </c>
      <c r="G2362" s="40">
        <f>SUMIFS(mdr_rate_cleaned!$G$2:$G$10,mdr_rate_cleaned!$A$2:$A$10,B2362,mdr_rate_cleaned!$B$2:$B$10,"&lt;"&amp;C2362,mdr_rate_cleaned!$F$2:$F$10,"&gt;="&amp;C2362)</f>
        <v>1.6E-2</v>
      </c>
      <c r="H2362" s="24">
        <f t="shared" si="180"/>
        <v>79.98</v>
      </c>
      <c r="I2362" s="23" t="str">
        <f t="shared" si="181"/>
        <v>Match</v>
      </c>
      <c r="J2362" s="23" t="str">
        <f t="shared" si="182"/>
        <v>Match</v>
      </c>
      <c r="K2362" s="24">
        <f t="shared" si="183"/>
        <v>14.4</v>
      </c>
      <c r="L2362" s="24">
        <f t="shared" si="184"/>
        <v>0</v>
      </c>
    </row>
    <row r="2363" spans="1:12" ht="15" customHeight="1" x14ac:dyDescent="0.3">
      <c r="A2363" s="23" t="s">
        <v>15240</v>
      </c>
      <c r="B2363" s="23" t="s">
        <v>79</v>
      </c>
      <c r="C2363" s="39">
        <v>3998</v>
      </c>
      <c r="D2363" s="24">
        <v>63.97</v>
      </c>
      <c r="E2363" s="24">
        <v>11.51</v>
      </c>
      <c r="F2363" s="23">
        <f>COUNTIFS(mdr_rate_cleaned!$A$2:$A$10,B2363,mdr_rate_cleaned!$B$2:$B$10,"&lt;"&amp;C2363,mdr_rate_cleaned!$F$2:$F$10,"&gt;="&amp;C2363)</f>
        <v>1</v>
      </c>
      <c r="G2363" s="40">
        <f>SUMIFS(mdr_rate_cleaned!$G$2:$G$10,mdr_rate_cleaned!$A$2:$A$10,B2363,mdr_rate_cleaned!$B$2:$B$10,"&lt;"&amp;C2363,mdr_rate_cleaned!$F$2:$F$10,"&gt;="&amp;C2363)</f>
        <v>1.6E-2</v>
      </c>
      <c r="H2363" s="24">
        <f t="shared" si="180"/>
        <v>63.97</v>
      </c>
      <c r="I2363" s="23" t="str">
        <f t="shared" si="181"/>
        <v>Match</v>
      </c>
      <c r="J2363" s="23" t="str">
        <f t="shared" si="182"/>
        <v>Match</v>
      </c>
      <c r="K2363" s="24">
        <f t="shared" si="183"/>
        <v>11.51</v>
      </c>
      <c r="L2363" s="24">
        <f t="shared" si="184"/>
        <v>0</v>
      </c>
    </row>
    <row r="2364" spans="1:12" ht="15" customHeight="1" x14ac:dyDescent="0.3">
      <c r="A2364" s="23" t="s">
        <v>15241</v>
      </c>
      <c r="B2364" s="23" t="s">
        <v>75</v>
      </c>
      <c r="C2364" s="39">
        <v>1799</v>
      </c>
      <c r="D2364" s="24">
        <v>0</v>
      </c>
      <c r="E2364" s="24">
        <v>0</v>
      </c>
      <c r="F2364" s="23">
        <f>COUNTIFS(mdr_rate_cleaned!$A$2:$A$10,B2364,mdr_rate_cleaned!$B$2:$B$10,"&lt;"&amp;C2364,mdr_rate_cleaned!$F$2:$F$10,"&gt;="&amp;C2364)</f>
        <v>1</v>
      </c>
      <c r="G2364" s="40">
        <f>SUMIFS(mdr_rate_cleaned!$G$2:$G$10,mdr_rate_cleaned!$A$2:$A$10,B2364,mdr_rate_cleaned!$B$2:$B$10,"&lt;"&amp;C2364,mdr_rate_cleaned!$F$2:$F$10,"&gt;="&amp;C2364)</f>
        <v>0</v>
      </c>
      <c r="H2364" s="24">
        <f t="shared" si="180"/>
        <v>0</v>
      </c>
      <c r="I2364" s="23" t="str">
        <f t="shared" si="181"/>
        <v>Match</v>
      </c>
      <c r="J2364" s="23" t="str">
        <f t="shared" si="182"/>
        <v>Match</v>
      </c>
      <c r="K2364" s="24">
        <f t="shared" si="183"/>
        <v>0</v>
      </c>
      <c r="L2364" s="24">
        <f t="shared" si="184"/>
        <v>0</v>
      </c>
    </row>
    <row r="2365" spans="1:12" ht="15" customHeight="1" x14ac:dyDescent="0.3">
      <c r="A2365" s="23" t="s">
        <v>15242</v>
      </c>
      <c r="B2365" s="23" t="s">
        <v>75</v>
      </c>
      <c r="C2365" s="39">
        <v>6798</v>
      </c>
      <c r="D2365" s="24">
        <v>20.39</v>
      </c>
      <c r="E2365" s="24">
        <v>3.67</v>
      </c>
      <c r="F2365" s="23">
        <f>COUNTIFS(mdr_rate_cleaned!$A$2:$A$10,B2365,mdr_rate_cleaned!$B$2:$B$10,"&lt;"&amp;C2365,mdr_rate_cleaned!$F$2:$F$10,"&gt;="&amp;C2365)</f>
        <v>1</v>
      </c>
      <c r="G2365" s="40">
        <f>SUMIFS(mdr_rate_cleaned!$G$2:$G$10,mdr_rate_cleaned!$A$2:$A$10,B2365,mdr_rate_cleaned!$B$2:$B$10,"&lt;"&amp;C2365,mdr_rate_cleaned!$F$2:$F$10,"&gt;="&amp;C2365)</f>
        <v>3.0000000000000001E-3</v>
      </c>
      <c r="H2365" s="24">
        <f t="shared" si="180"/>
        <v>20.39</v>
      </c>
      <c r="I2365" s="23" t="str">
        <f t="shared" si="181"/>
        <v>Match</v>
      </c>
      <c r="J2365" s="23" t="str">
        <f t="shared" si="182"/>
        <v>Match</v>
      </c>
      <c r="K2365" s="24">
        <f t="shared" si="183"/>
        <v>3.67</v>
      </c>
      <c r="L2365" s="24">
        <f t="shared" si="184"/>
        <v>0</v>
      </c>
    </row>
    <row r="2366" spans="1:12" ht="15" customHeight="1" x14ac:dyDescent="0.3">
      <c r="A2366" s="23" t="s">
        <v>15243</v>
      </c>
      <c r="B2366" s="23" t="s">
        <v>79</v>
      </c>
      <c r="C2366" s="39">
        <v>7999</v>
      </c>
      <c r="D2366" s="24">
        <v>127.98</v>
      </c>
      <c r="E2366" s="24">
        <v>23.04</v>
      </c>
      <c r="F2366" s="23">
        <f>COUNTIFS(mdr_rate_cleaned!$A$2:$A$10,B2366,mdr_rate_cleaned!$B$2:$B$10,"&lt;"&amp;C2366,mdr_rate_cleaned!$F$2:$F$10,"&gt;="&amp;C2366)</f>
        <v>1</v>
      </c>
      <c r="G2366" s="40">
        <f>SUMIFS(mdr_rate_cleaned!$G$2:$G$10,mdr_rate_cleaned!$A$2:$A$10,B2366,mdr_rate_cleaned!$B$2:$B$10,"&lt;"&amp;C2366,mdr_rate_cleaned!$F$2:$F$10,"&gt;="&amp;C2366)</f>
        <v>1.6E-2</v>
      </c>
      <c r="H2366" s="24">
        <f t="shared" si="180"/>
        <v>127.98</v>
      </c>
      <c r="I2366" s="23" t="str">
        <f t="shared" si="181"/>
        <v>Match</v>
      </c>
      <c r="J2366" s="23" t="str">
        <f t="shared" si="182"/>
        <v>Match</v>
      </c>
      <c r="K2366" s="24">
        <f t="shared" si="183"/>
        <v>23.04</v>
      </c>
      <c r="L2366" s="24">
        <f t="shared" si="184"/>
        <v>0</v>
      </c>
    </row>
    <row r="2367" spans="1:12" ht="15" customHeight="1" x14ac:dyDescent="0.3">
      <c r="A2367" s="23" t="s">
        <v>15244</v>
      </c>
      <c r="B2367" s="23" t="s">
        <v>79</v>
      </c>
      <c r="C2367" s="39">
        <v>2999</v>
      </c>
      <c r="D2367" s="24">
        <v>47.98</v>
      </c>
      <c r="E2367" s="24">
        <v>8.64</v>
      </c>
      <c r="F2367" s="23">
        <f>COUNTIFS(mdr_rate_cleaned!$A$2:$A$10,B2367,mdr_rate_cleaned!$B$2:$B$10,"&lt;"&amp;C2367,mdr_rate_cleaned!$F$2:$F$10,"&gt;="&amp;C2367)</f>
        <v>1</v>
      </c>
      <c r="G2367" s="40">
        <f>SUMIFS(mdr_rate_cleaned!$G$2:$G$10,mdr_rate_cleaned!$A$2:$A$10,B2367,mdr_rate_cleaned!$B$2:$B$10,"&lt;"&amp;C2367,mdr_rate_cleaned!$F$2:$F$10,"&gt;="&amp;C2367)</f>
        <v>1.6E-2</v>
      </c>
      <c r="H2367" s="24">
        <f t="shared" si="180"/>
        <v>47.98</v>
      </c>
      <c r="I2367" s="23" t="str">
        <f t="shared" si="181"/>
        <v>Match</v>
      </c>
      <c r="J2367" s="23" t="str">
        <f t="shared" si="182"/>
        <v>Match</v>
      </c>
      <c r="K2367" s="24">
        <f t="shared" si="183"/>
        <v>8.64</v>
      </c>
      <c r="L2367" s="24">
        <f t="shared" si="184"/>
        <v>0</v>
      </c>
    </row>
    <row r="2368" spans="1:12" ht="15" customHeight="1" x14ac:dyDescent="0.3">
      <c r="A2368" s="23" t="s">
        <v>15246</v>
      </c>
      <c r="B2368" s="23" t="s">
        <v>75</v>
      </c>
      <c r="C2368" s="39">
        <v>3097</v>
      </c>
      <c r="D2368" s="24">
        <v>9.2899999999999991</v>
      </c>
      <c r="E2368" s="24">
        <v>1.67</v>
      </c>
      <c r="F2368" s="23">
        <f>COUNTIFS(mdr_rate_cleaned!$A$2:$A$10,B2368,mdr_rate_cleaned!$B$2:$B$10,"&lt;"&amp;C2368,mdr_rate_cleaned!$F$2:$F$10,"&gt;="&amp;C2368)</f>
        <v>1</v>
      </c>
      <c r="G2368" s="40">
        <f>SUMIFS(mdr_rate_cleaned!$G$2:$G$10,mdr_rate_cleaned!$A$2:$A$10,B2368,mdr_rate_cleaned!$B$2:$B$10,"&lt;"&amp;C2368,mdr_rate_cleaned!$F$2:$F$10,"&gt;="&amp;C2368)</f>
        <v>3.0000000000000001E-3</v>
      </c>
      <c r="H2368" s="24">
        <f t="shared" si="180"/>
        <v>9.2899999999999991</v>
      </c>
      <c r="I2368" s="23" t="str">
        <f t="shared" si="181"/>
        <v>Match</v>
      </c>
      <c r="J2368" s="23" t="str">
        <f t="shared" si="182"/>
        <v>Match</v>
      </c>
      <c r="K2368" s="24">
        <f t="shared" si="183"/>
        <v>1.67</v>
      </c>
      <c r="L2368" s="24">
        <f t="shared" si="184"/>
        <v>0</v>
      </c>
    </row>
    <row r="2369" spans="1:12" ht="15" customHeight="1" x14ac:dyDescent="0.3">
      <c r="A2369" s="23" t="s">
        <v>15247</v>
      </c>
      <c r="B2369" s="23" t="s">
        <v>77</v>
      </c>
      <c r="C2369" s="39">
        <v>299</v>
      </c>
      <c r="D2369" s="24">
        <v>5.68</v>
      </c>
      <c r="E2369" s="24">
        <v>1.02</v>
      </c>
      <c r="F2369" s="23">
        <f>COUNTIFS(mdr_rate_cleaned!$A$2:$A$10,B2369,mdr_rate_cleaned!$B$2:$B$10,"&lt;"&amp;C2369,mdr_rate_cleaned!$F$2:$F$10,"&gt;="&amp;C2369)</f>
        <v>1</v>
      </c>
      <c r="G2369" s="40">
        <f>SUMIFS(mdr_rate_cleaned!$G$2:$G$10,mdr_rate_cleaned!$A$2:$A$10,B2369,mdr_rate_cleaned!$B$2:$B$10,"&lt;"&amp;C2369,mdr_rate_cleaned!$F$2:$F$10,"&gt;="&amp;C2369)</f>
        <v>1.9E-2</v>
      </c>
      <c r="H2369" s="24">
        <f t="shared" si="180"/>
        <v>5.68</v>
      </c>
      <c r="I2369" s="23" t="str">
        <f t="shared" si="181"/>
        <v>Match</v>
      </c>
      <c r="J2369" s="23" t="str">
        <f t="shared" si="182"/>
        <v>Match</v>
      </c>
      <c r="K2369" s="24">
        <f t="shared" si="183"/>
        <v>1.02</v>
      </c>
      <c r="L2369" s="24">
        <f t="shared" si="184"/>
        <v>0</v>
      </c>
    </row>
    <row r="2370" spans="1:12" ht="15" customHeight="1" x14ac:dyDescent="0.3">
      <c r="A2370" s="23" t="s">
        <v>15248</v>
      </c>
      <c r="B2370" s="23" t="s">
        <v>79</v>
      </c>
      <c r="C2370" s="39">
        <v>999</v>
      </c>
      <c r="D2370" s="24">
        <v>17.98</v>
      </c>
      <c r="E2370" s="24">
        <v>3.24</v>
      </c>
      <c r="F2370" s="23">
        <f>COUNTIFS(mdr_rate_cleaned!$A$2:$A$10,B2370,mdr_rate_cleaned!$B$2:$B$10,"&lt;"&amp;C2370,mdr_rate_cleaned!$F$2:$F$10,"&gt;="&amp;C2370)</f>
        <v>1</v>
      </c>
      <c r="G2370" s="40">
        <f>SUMIFS(mdr_rate_cleaned!$G$2:$G$10,mdr_rate_cleaned!$A$2:$A$10,B2370,mdr_rate_cleaned!$B$2:$B$10,"&lt;"&amp;C2370,mdr_rate_cleaned!$F$2:$F$10,"&gt;="&amp;C2370)</f>
        <v>1.8000000000000002E-2</v>
      </c>
      <c r="H2370" s="24">
        <f t="shared" ref="H2370:H2433" si="185">ROUND(C2370*G2370,2)</f>
        <v>17.98</v>
      </c>
      <c r="I2370" s="23" t="str">
        <f t="shared" ref="I2370:I2433" si="186">IF(ROUND(D2370-H2370,2)=0,"Match","Differs")</f>
        <v>Match</v>
      </c>
      <c r="J2370" s="23" t="str">
        <f t="shared" ref="J2370:J2433" si="187">IF(ROUND(E2370-ROUND(D2370*0.18,2),2)=0,"Match","Differs")</f>
        <v>Match</v>
      </c>
      <c r="K2370" s="24">
        <f t="shared" ref="K2370:K2433" si="188">ROUND(H2370*0.18,2)</f>
        <v>3.24</v>
      </c>
      <c r="L2370" s="24">
        <f t="shared" ref="L2370:L2433" si="189">ROUND(D2370+E2370-H2370-K2370,2)</f>
        <v>0</v>
      </c>
    </row>
    <row r="2371" spans="1:12" ht="15" customHeight="1" x14ac:dyDescent="0.3">
      <c r="A2371" s="23" t="s">
        <v>15249</v>
      </c>
      <c r="B2371" s="23" t="s">
        <v>79</v>
      </c>
      <c r="C2371" s="39">
        <v>3997</v>
      </c>
      <c r="D2371" s="24">
        <v>63.95</v>
      </c>
      <c r="E2371" s="24">
        <v>11.51</v>
      </c>
      <c r="F2371" s="23">
        <f>COUNTIFS(mdr_rate_cleaned!$A$2:$A$10,B2371,mdr_rate_cleaned!$B$2:$B$10,"&lt;"&amp;C2371,mdr_rate_cleaned!$F$2:$F$10,"&gt;="&amp;C2371)</f>
        <v>1</v>
      </c>
      <c r="G2371" s="40">
        <f>SUMIFS(mdr_rate_cleaned!$G$2:$G$10,mdr_rate_cleaned!$A$2:$A$10,B2371,mdr_rate_cleaned!$B$2:$B$10,"&lt;"&amp;C2371,mdr_rate_cleaned!$F$2:$F$10,"&gt;="&amp;C2371)</f>
        <v>1.6E-2</v>
      </c>
      <c r="H2371" s="24">
        <f t="shared" si="185"/>
        <v>63.95</v>
      </c>
      <c r="I2371" s="23" t="str">
        <f t="shared" si="186"/>
        <v>Match</v>
      </c>
      <c r="J2371" s="23" t="str">
        <f t="shared" si="187"/>
        <v>Match</v>
      </c>
      <c r="K2371" s="24">
        <f t="shared" si="188"/>
        <v>11.51</v>
      </c>
      <c r="L2371" s="24">
        <f t="shared" si="189"/>
        <v>0</v>
      </c>
    </row>
    <row r="2372" spans="1:12" ht="15" customHeight="1" x14ac:dyDescent="0.3">
      <c r="A2372" s="23" t="s">
        <v>15250</v>
      </c>
      <c r="B2372" s="23" t="s">
        <v>75</v>
      </c>
      <c r="C2372" s="39">
        <v>898</v>
      </c>
      <c r="D2372" s="24">
        <v>0</v>
      </c>
      <c r="E2372" s="24">
        <v>0</v>
      </c>
      <c r="F2372" s="23">
        <f>COUNTIFS(mdr_rate_cleaned!$A$2:$A$10,B2372,mdr_rate_cleaned!$B$2:$B$10,"&lt;"&amp;C2372,mdr_rate_cleaned!$F$2:$F$10,"&gt;="&amp;C2372)</f>
        <v>1</v>
      </c>
      <c r="G2372" s="40">
        <f>SUMIFS(mdr_rate_cleaned!$G$2:$G$10,mdr_rate_cleaned!$A$2:$A$10,B2372,mdr_rate_cleaned!$B$2:$B$10,"&lt;"&amp;C2372,mdr_rate_cleaned!$F$2:$F$10,"&gt;="&amp;C2372)</f>
        <v>0</v>
      </c>
      <c r="H2372" s="24">
        <f t="shared" si="185"/>
        <v>0</v>
      </c>
      <c r="I2372" s="23" t="str">
        <f t="shared" si="186"/>
        <v>Match</v>
      </c>
      <c r="J2372" s="23" t="str">
        <f t="shared" si="187"/>
        <v>Match</v>
      </c>
      <c r="K2372" s="24">
        <f t="shared" si="188"/>
        <v>0</v>
      </c>
      <c r="L2372" s="24">
        <f t="shared" si="189"/>
        <v>0</v>
      </c>
    </row>
    <row r="2373" spans="1:12" ht="15" customHeight="1" x14ac:dyDescent="0.3">
      <c r="A2373" s="23" t="s">
        <v>15251</v>
      </c>
      <c r="B2373" s="23" t="s">
        <v>75</v>
      </c>
      <c r="C2373" s="39">
        <v>4998</v>
      </c>
      <c r="D2373" s="24">
        <v>14.99</v>
      </c>
      <c r="E2373" s="24">
        <v>2.7</v>
      </c>
      <c r="F2373" s="23">
        <f>COUNTIFS(mdr_rate_cleaned!$A$2:$A$10,B2373,mdr_rate_cleaned!$B$2:$B$10,"&lt;"&amp;C2373,mdr_rate_cleaned!$F$2:$F$10,"&gt;="&amp;C2373)</f>
        <v>1</v>
      </c>
      <c r="G2373" s="40">
        <f>SUMIFS(mdr_rate_cleaned!$G$2:$G$10,mdr_rate_cleaned!$A$2:$A$10,B2373,mdr_rate_cleaned!$B$2:$B$10,"&lt;"&amp;C2373,mdr_rate_cleaned!$F$2:$F$10,"&gt;="&amp;C2373)</f>
        <v>3.0000000000000001E-3</v>
      </c>
      <c r="H2373" s="24">
        <f t="shared" si="185"/>
        <v>14.99</v>
      </c>
      <c r="I2373" s="23" t="str">
        <f t="shared" si="186"/>
        <v>Match</v>
      </c>
      <c r="J2373" s="23" t="str">
        <f t="shared" si="187"/>
        <v>Match</v>
      </c>
      <c r="K2373" s="24">
        <f t="shared" si="188"/>
        <v>2.7</v>
      </c>
      <c r="L2373" s="24">
        <f t="shared" si="189"/>
        <v>0</v>
      </c>
    </row>
    <row r="2374" spans="1:12" ht="15" customHeight="1" x14ac:dyDescent="0.3">
      <c r="A2374" s="23" t="s">
        <v>15252</v>
      </c>
      <c r="B2374" s="23" t="s">
        <v>75</v>
      </c>
      <c r="C2374" s="39">
        <v>2999</v>
      </c>
      <c r="D2374" s="24">
        <v>9</v>
      </c>
      <c r="E2374" s="24">
        <v>1.62</v>
      </c>
      <c r="F2374" s="23">
        <f>COUNTIFS(mdr_rate_cleaned!$A$2:$A$10,B2374,mdr_rate_cleaned!$B$2:$B$10,"&lt;"&amp;C2374,mdr_rate_cleaned!$F$2:$F$10,"&gt;="&amp;C2374)</f>
        <v>1</v>
      </c>
      <c r="G2374" s="40">
        <f>SUMIFS(mdr_rate_cleaned!$G$2:$G$10,mdr_rate_cleaned!$A$2:$A$10,B2374,mdr_rate_cleaned!$B$2:$B$10,"&lt;"&amp;C2374,mdr_rate_cleaned!$F$2:$F$10,"&gt;="&amp;C2374)</f>
        <v>3.0000000000000001E-3</v>
      </c>
      <c r="H2374" s="24">
        <f t="shared" si="185"/>
        <v>9</v>
      </c>
      <c r="I2374" s="23" t="str">
        <f t="shared" si="186"/>
        <v>Match</v>
      </c>
      <c r="J2374" s="23" t="str">
        <f t="shared" si="187"/>
        <v>Match</v>
      </c>
      <c r="K2374" s="24">
        <f t="shared" si="188"/>
        <v>1.62</v>
      </c>
      <c r="L2374" s="24">
        <f t="shared" si="189"/>
        <v>0</v>
      </c>
    </row>
    <row r="2375" spans="1:12" ht="15" customHeight="1" x14ac:dyDescent="0.3">
      <c r="A2375" s="23" t="s">
        <v>15253</v>
      </c>
      <c r="B2375" s="23" t="s">
        <v>79</v>
      </c>
      <c r="C2375" s="39">
        <v>3499</v>
      </c>
      <c r="D2375" s="24">
        <v>55.98</v>
      </c>
      <c r="E2375" s="24">
        <v>10.08</v>
      </c>
      <c r="F2375" s="23">
        <f>COUNTIFS(mdr_rate_cleaned!$A$2:$A$10,B2375,mdr_rate_cleaned!$B$2:$B$10,"&lt;"&amp;C2375,mdr_rate_cleaned!$F$2:$F$10,"&gt;="&amp;C2375)</f>
        <v>1</v>
      </c>
      <c r="G2375" s="40">
        <f>SUMIFS(mdr_rate_cleaned!$G$2:$G$10,mdr_rate_cleaned!$A$2:$A$10,B2375,mdr_rate_cleaned!$B$2:$B$10,"&lt;"&amp;C2375,mdr_rate_cleaned!$F$2:$F$10,"&gt;="&amp;C2375)</f>
        <v>1.6E-2</v>
      </c>
      <c r="H2375" s="24">
        <f t="shared" si="185"/>
        <v>55.98</v>
      </c>
      <c r="I2375" s="23" t="str">
        <f t="shared" si="186"/>
        <v>Match</v>
      </c>
      <c r="J2375" s="23" t="str">
        <f t="shared" si="187"/>
        <v>Match</v>
      </c>
      <c r="K2375" s="24">
        <f t="shared" si="188"/>
        <v>10.08</v>
      </c>
      <c r="L2375" s="24">
        <f t="shared" si="189"/>
        <v>0</v>
      </c>
    </row>
    <row r="2376" spans="1:12" ht="15" customHeight="1" x14ac:dyDescent="0.3">
      <c r="A2376" s="23" t="s">
        <v>15254</v>
      </c>
      <c r="B2376" s="23" t="s">
        <v>79</v>
      </c>
      <c r="C2376" s="39">
        <v>1499</v>
      </c>
      <c r="D2376" s="24">
        <v>26.98</v>
      </c>
      <c r="E2376" s="24">
        <v>4.8600000000000003</v>
      </c>
      <c r="F2376" s="23">
        <f>COUNTIFS(mdr_rate_cleaned!$A$2:$A$10,B2376,mdr_rate_cleaned!$B$2:$B$10,"&lt;"&amp;C2376,mdr_rate_cleaned!$F$2:$F$10,"&gt;="&amp;C2376)</f>
        <v>1</v>
      </c>
      <c r="G2376" s="40">
        <f>SUMIFS(mdr_rate_cleaned!$G$2:$G$10,mdr_rate_cleaned!$A$2:$A$10,B2376,mdr_rate_cleaned!$B$2:$B$10,"&lt;"&amp;C2376,mdr_rate_cleaned!$F$2:$F$10,"&gt;="&amp;C2376)</f>
        <v>1.8000000000000002E-2</v>
      </c>
      <c r="H2376" s="24">
        <f t="shared" si="185"/>
        <v>26.98</v>
      </c>
      <c r="I2376" s="23" t="str">
        <f t="shared" si="186"/>
        <v>Match</v>
      </c>
      <c r="J2376" s="23" t="str">
        <f t="shared" si="187"/>
        <v>Match</v>
      </c>
      <c r="K2376" s="24">
        <f t="shared" si="188"/>
        <v>4.8600000000000003</v>
      </c>
      <c r="L2376" s="24">
        <f t="shared" si="189"/>
        <v>0</v>
      </c>
    </row>
    <row r="2377" spans="1:12" ht="15" customHeight="1" x14ac:dyDescent="0.3">
      <c r="A2377" s="23" t="s">
        <v>15255</v>
      </c>
      <c r="B2377" s="23" t="s">
        <v>79</v>
      </c>
      <c r="C2377" s="39">
        <v>7498</v>
      </c>
      <c r="D2377" s="24">
        <v>119.97</v>
      </c>
      <c r="E2377" s="24">
        <v>21.59</v>
      </c>
      <c r="F2377" s="23">
        <f>COUNTIFS(mdr_rate_cleaned!$A$2:$A$10,B2377,mdr_rate_cleaned!$B$2:$B$10,"&lt;"&amp;C2377,mdr_rate_cleaned!$F$2:$F$10,"&gt;="&amp;C2377)</f>
        <v>1</v>
      </c>
      <c r="G2377" s="40">
        <f>SUMIFS(mdr_rate_cleaned!$G$2:$G$10,mdr_rate_cleaned!$A$2:$A$10,B2377,mdr_rate_cleaned!$B$2:$B$10,"&lt;"&amp;C2377,mdr_rate_cleaned!$F$2:$F$10,"&gt;="&amp;C2377)</f>
        <v>1.6E-2</v>
      </c>
      <c r="H2377" s="24">
        <f t="shared" si="185"/>
        <v>119.97</v>
      </c>
      <c r="I2377" s="23" t="str">
        <f t="shared" si="186"/>
        <v>Match</v>
      </c>
      <c r="J2377" s="23" t="str">
        <f t="shared" si="187"/>
        <v>Match</v>
      </c>
      <c r="K2377" s="24">
        <f t="shared" si="188"/>
        <v>21.59</v>
      </c>
      <c r="L2377" s="24">
        <f t="shared" si="189"/>
        <v>0</v>
      </c>
    </row>
    <row r="2378" spans="1:12" ht="15" customHeight="1" x14ac:dyDescent="0.3">
      <c r="A2378" s="23" t="s">
        <v>15256</v>
      </c>
      <c r="B2378" s="23" t="s">
        <v>79</v>
      </c>
      <c r="C2378" s="39">
        <v>3897</v>
      </c>
      <c r="D2378" s="24">
        <v>62.35</v>
      </c>
      <c r="E2378" s="24">
        <v>11.22</v>
      </c>
      <c r="F2378" s="23">
        <f>COUNTIFS(mdr_rate_cleaned!$A$2:$A$10,B2378,mdr_rate_cleaned!$B$2:$B$10,"&lt;"&amp;C2378,mdr_rate_cleaned!$F$2:$F$10,"&gt;="&amp;C2378)</f>
        <v>1</v>
      </c>
      <c r="G2378" s="40">
        <f>SUMIFS(mdr_rate_cleaned!$G$2:$G$10,mdr_rate_cleaned!$A$2:$A$10,B2378,mdr_rate_cleaned!$B$2:$B$10,"&lt;"&amp;C2378,mdr_rate_cleaned!$F$2:$F$10,"&gt;="&amp;C2378)</f>
        <v>1.6E-2</v>
      </c>
      <c r="H2378" s="24">
        <f t="shared" si="185"/>
        <v>62.35</v>
      </c>
      <c r="I2378" s="23" t="str">
        <f t="shared" si="186"/>
        <v>Match</v>
      </c>
      <c r="J2378" s="23" t="str">
        <f t="shared" si="187"/>
        <v>Match</v>
      </c>
      <c r="K2378" s="24">
        <f t="shared" si="188"/>
        <v>11.22</v>
      </c>
      <c r="L2378" s="24">
        <f t="shared" si="189"/>
        <v>0</v>
      </c>
    </row>
    <row r="2379" spans="1:12" ht="15" customHeight="1" x14ac:dyDescent="0.3">
      <c r="A2379" s="23" t="s">
        <v>15258</v>
      </c>
      <c r="B2379" s="23" t="s">
        <v>75</v>
      </c>
      <c r="C2379" s="39">
        <v>7999</v>
      </c>
      <c r="D2379" s="24">
        <v>24</v>
      </c>
      <c r="E2379" s="24">
        <v>4.32</v>
      </c>
      <c r="F2379" s="23">
        <f>COUNTIFS(mdr_rate_cleaned!$A$2:$A$10,B2379,mdr_rate_cleaned!$B$2:$B$10,"&lt;"&amp;C2379,mdr_rate_cleaned!$F$2:$F$10,"&gt;="&amp;C2379)</f>
        <v>1</v>
      </c>
      <c r="G2379" s="40">
        <f>SUMIFS(mdr_rate_cleaned!$G$2:$G$10,mdr_rate_cleaned!$A$2:$A$10,B2379,mdr_rate_cleaned!$B$2:$B$10,"&lt;"&amp;C2379,mdr_rate_cleaned!$F$2:$F$10,"&gt;="&amp;C2379)</f>
        <v>3.0000000000000001E-3</v>
      </c>
      <c r="H2379" s="24">
        <f t="shared" si="185"/>
        <v>24</v>
      </c>
      <c r="I2379" s="23" t="str">
        <f t="shared" si="186"/>
        <v>Match</v>
      </c>
      <c r="J2379" s="23" t="str">
        <f t="shared" si="187"/>
        <v>Match</v>
      </c>
      <c r="K2379" s="24">
        <f t="shared" si="188"/>
        <v>4.32</v>
      </c>
      <c r="L2379" s="24">
        <f t="shared" si="189"/>
        <v>0</v>
      </c>
    </row>
    <row r="2380" spans="1:12" ht="15" customHeight="1" x14ac:dyDescent="0.3">
      <c r="A2380" s="23" t="s">
        <v>15259</v>
      </c>
      <c r="B2380" s="23" t="s">
        <v>81</v>
      </c>
      <c r="C2380" s="39">
        <v>299</v>
      </c>
      <c r="D2380" s="24">
        <v>4.49</v>
      </c>
      <c r="E2380" s="24">
        <v>0.81</v>
      </c>
      <c r="F2380" s="23">
        <f>COUNTIFS(mdr_rate_cleaned!$A$2:$A$10,B2380,mdr_rate_cleaned!$B$2:$B$10,"&lt;"&amp;C2380,mdr_rate_cleaned!$F$2:$F$10,"&gt;="&amp;C2380)</f>
        <v>1</v>
      </c>
      <c r="G2380" s="40">
        <f>SUMIFS(mdr_rate_cleaned!$G$2:$G$10,mdr_rate_cleaned!$A$2:$A$10,B2380,mdr_rate_cleaned!$B$2:$B$10,"&lt;"&amp;C2380,mdr_rate_cleaned!$F$2:$F$10,"&gt;="&amp;C2380)</f>
        <v>1.4999999999999999E-2</v>
      </c>
      <c r="H2380" s="24">
        <f t="shared" si="185"/>
        <v>4.49</v>
      </c>
      <c r="I2380" s="23" t="str">
        <f t="shared" si="186"/>
        <v>Match</v>
      </c>
      <c r="J2380" s="23" t="str">
        <f t="shared" si="187"/>
        <v>Match</v>
      </c>
      <c r="K2380" s="24">
        <f t="shared" si="188"/>
        <v>0.81</v>
      </c>
      <c r="L2380" s="24">
        <f t="shared" si="189"/>
        <v>0</v>
      </c>
    </row>
    <row r="2381" spans="1:12" ht="15" customHeight="1" x14ac:dyDescent="0.3">
      <c r="A2381" s="23" t="s">
        <v>15260</v>
      </c>
      <c r="B2381" s="23" t="s">
        <v>77</v>
      </c>
      <c r="C2381" s="39">
        <v>10998</v>
      </c>
      <c r="D2381" s="24">
        <v>186.97</v>
      </c>
      <c r="E2381" s="24">
        <v>33.65</v>
      </c>
      <c r="F2381" s="23">
        <f>COUNTIFS(mdr_rate_cleaned!$A$2:$A$10,B2381,mdr_rate_cleaned!$B$2:$B$10,"&lt;"&amp;C2381,mdr_rate_cleaned!$F$2:$F$10,"&gt;="&amp;C2381)</f>
        <v>1</v>
      </c>
      <c r="G2381" s="40">
        <f>SUMIFS(mdr_rate_cleaned!$G$2:$G$10,mdr_rate_cleaned!$A$2:$A$10,B2381,mdr_rate_cleaned!$B$2:$B$10,"&lt;"&amp;C2381,mdr_rate_cleaned!$F$2:$F$10,"&gt;="&amp;C2381)</f>
        <v>1.7000000000000001E-2</v>
      </c>
      <c r="H2381" s="24">
        <f t="shared" si="185"/>
        <v>186.97</v>
      </c>
      <c r="I2381" s="23" t="str">
        <f t="shared" si="186"/>
        <v>Match</v>
      </c>
      <c r="J2381" s="23" t="str">
        <f t="shared" si="187"/>
        <v>Match</v>
      </c>
      <c r="K2381" s="24">
        <f t="shared" si="188"/>
        <v>33.65</v>
      </c>
      <c r="L2381" s="24">
        <f t="shared" si="189"/>
        <v>0</v>
      </c>
    </row>
    <row r="2382" spans="1:12" ht="15" customHeight="1" x14ac:dyDescent="0.3">
      <c r="A2382" s="23" t="s">
        <v>15261</v>
      </c>
      <c r="B2382" s="23" t="s">
        <v>79</v>
      </c>
      <c r="C2382" s="39">
        <v>4999</v>
      </c>
      <c r="D2382" s="24">
        <v>79.98</v>
      </c>
      <c r="E2382" s="24">
        <v>14.4</v>
      </c>
      <c r="F2382" s="23">
        <f>COUNTIFS(mdr_rate_cleaned!$A$2:$A$10,B2382,mdr_rate_cleaned!$B$2:$B$10,"&lt;"&amp;C2382,mdr_rate_cleaned!$F$2:$F$10,"&gt;="&amp;C2382)</f>
        <v>1</v>
      </c>
      <c r="G2382" s="40">
        <f>SUMIFS(mdr_rate_cleaned!$G$2:$G$10,mdr_rate_cleaned!$A$2:$A$10,B2382,mdr_rate_cleaned!$B$2:$B$10,"&lt;"&amp;C2382,mdr_rate_cleaned!$F$2:$F$10,"&gt;="&amp;C2382)</f>
        <v>1.6E-2</v>
      </c>
      <c r="H2382" s="24">
        <f t="shared" si="185"/>
        <v>79.98</v>
      </c>
      <c r="I2382" s="23" t="str">
        <f t="shared" si="186"/>
        <v>Match</v>
      </c>
      <c r="J2382" s="23" t="str">
        <f t="shared" si="187"/>
        <v>Match</v>
      </c>
      <c r="K2382" s="24">
        <f t="shared" si="188"/>
        <v>14.4</v>
      </c>
      <c r="L2382" s="24">
        <f t="shared" si="189"/>
        <v>0</v>
      </c>
    </row>
    <row r="2383" spans="1:12" ht="15" customHeight="1" x14ac:dyDescent="0.3">
      <c r="A2383" s="23" t="s">
        <v>15263</v>
      </c>
      <c r="B2383" s="23" t="s">
        <v>79</v>
      </c>
      <c r="C2383" s="39">
        <v>5298</v>
      </c>
      <c r="D2383" s="24">
        <v>84.77</v>
      </c>
      <c r="E2383" s="24">
        <v>15.26</v>
      </c>
      <c r="F2383" s="23">
        <f>COUNTIFS(mdr_rate_cleaned!$A$2:$A$10,B2383,mdr_rate_cleaned!$B$2:$B$10,"&lt;"&amp;C2383,mdr_rate_cleaned!$F$2:$F$10,"&gt;="&amp;C2383)</f>
        <v>1</v>
      </c>
      <c r="G2383" s="40">
        <f>SUMIFS(mdr_rate_cleaned!$G$2:$G$10,mdr_rate_cleaned!$A$2:$A$10,B2383,mdr_rate_cleaned!$B$2:$B$10,"&lt;"&amp;C2383,mdr_rate_cleaned!$F$2:$F$10,"&gt;="&amp;C2383)</f>
        <v>1.6E-2</v>
      </c>
      <c r="H2383" s="24">
        <f t="shared" si="185"/>
        <v>84.77</v>
      </c>
      <c r="I2383" s="23" t="str">
        <f t="shared" si="186"/>
        <v>Match</v>
      </c>
      <c r="J2383" s="23" t="str">
        <f t="shared" si="187"/>
        <v>Match</v>
      </c>
      <c r="K2383" s="24">
        <f t="shared" si="188"/>
        <v>15.26</v>
      </c>
      <c r="L2383" s="24">
        <f t="shared" si="189"/>
        <v>0</v>
      </c>
    </row>
    <row r="2384" spans="1:12" ht="15" customHeight="1" x14ac:dyDescent="0.3">
      <c r="A2384" s="23" t="s">
        <v>15264</v>
      </c>
      <c r="B2384" s="23" t="s">
        <v>75</v>
      </c>
      <c r="C2384" s="39">
        <v>1499</v>
      </c>
      <c r="D2384" s="24">
        <v>0</v>
      </c>
      <c r="E2384" s="24">
        <v>0</v>
      </c>
      <c r="F2384" s="23">
        <f>COUNTIFS(mdr_rate_cleaned!$A$2:$A$10,B2384,mdr_rate_cleaned!$B$2:$B$10,"&lt;"&amp;C2384,mdr_rate_cleaned!$F$2:$F$10,"&gt;="&amp;C2384)</f>
        <v>1</v>
      </c>
      <c r="G2384" s="40">
        <f>SUMIFS(mdr_rate_cleaned!$G$2:$G$10,mdr_rate_cleaned!$A$2:$A$10,B2384,mdr_rate_cleaned!$B$2:$B$10,"&lt;"&amp;C2384,mdr_rate_cleaned!$F$2:$F$10,"&gt;="&amp;C2384)</f>
        <v>0</v>
      </c>
      <c r="H2384" s="24">
        <f t="shared" si="185"/>
        <v>0</v>
      </c>
      <c r="I2384" s="23" t="str">
        <f t="shared" si="186"/>
        <v>Match</v>
      </c>
      <c r="J2384" s="23" t="str">
        <f t="shared" si="187"/>
        <v>Match</v>
      </c>
      <c r="K2384" s="24">
        <f t="shared" si="188"/>
        <v>0</v>
      </c>
      <c r="L2384" s="24">
        <f t="shared" si="189"/>
        <v>0</v>
      </c>
    </row>
    <row r="2385" spans="1:12" ht="15" customHeight="1" x14ac:dyDescent="0.3">
      <c r="A2385" s="23" t="s">
        <v>15265</v>
      </c>
      <c r="B2385" s="23" t="s">
        <v>75</v>
      </c>
      <c r="C2385" s="39">
        <v>2998</v>
      </c>
      <c r="D2385" s="24">
        <v>8.99</v>
      </c>
      <c r="E2385" s="24">
        <v>1.62</v>
      </c>
      <c r="F2385" s="23">
        <f>COUNTIFS(mdr_rate_cleaned!$A$2:$A$10,B2385,mdr_rate_cleaned!$B$2:$B$10,"&lt;"&amp;C2385,mdr_rate_cleaned!$F$2:$F$10,"&gt;="&amp;C2385)</f>
        <v>1</v>
      </c>
      <c r="G2385" s="40">
        <f>SUMIFS(mdr_rate_cleaned!$G$2:$G$10,mdr_rate_cleaned!$A$2:$A$10,B2385,mdr_rate_cleaned!$B$2:$B$10,"&lt;"&amp;C2385,mdr_rate_cleaned!$F$2:$F$10,"&gt;="&amp;C2385)</f>
        <v>3.0000000000000001E-3</v>
      </c>
      <c r="H2385" s="24">
        <f t="shared" si="185"/>
        <v>8.99</v>
      </c>
      <c r="I2385" s="23" t="str">
        <f t="shared" si="186"/>
        <v>Match</v>
      </c>
      <c r="J2385" s="23" t="str">
        <f t="shared" si="187"/>
        <v>Match</v>
      </c>
      <c r="K2385" s="24">
        <f t="shared" si="188"/>
        <v>1.62</v>
      </c>
      <c r="L2385" s="24">
        <f t="shared" si="189"/>
        <v>0</v>
      </c>
    </row>
    <row r="2386" spans="1:12" ht="15" customHeight="1" x14ac:dyDescent="0.3">
      <c r="A2386" s="23" t="s">
        <v>15266</v>
      </c>
      <c r="B2386" s="23" t="s">
        <v>79</v>
      </c>
      <c r="C2386" s="39">
        <v>4999</v>
      </c>
      <c r="D2386" s="24">
        <v>79.98</v>
      </c>
      <c r="E2386" s="24">
        <v>14.4</v>
      </c>
      <c r="F2386" s="23">
        <f>COUNTIFS(mdr_rate_cleaned!$A$2:$A$10,B2386,mdr_rate_cleaned!$B$2:$B$10,"&lt;"&amp;C2386,mdr_rate_cleaned!$F$2:$F$10,"&gt;="&amp;C2386)</f>
        <v>1</v>
      </c>
      <c r="G2386" s="40">
        <f>SUMIFS(mdr_rate_cleaned!$G$2:$G$10,mdr_rate_cleaned!$A$2:$A$10,B2386,mdr_rate_cleaned!$B$2:$B$10,"&lt;"&amp;C2386,mdr_rate_cleaned!$F$2:$F$10,"&gt;="&amp;C2386)</f>
        <v>1.6E-2</v>
      </c>
      <c r="H2386" s="24">
        <f t="shared" si="185"/>
        <v>79.98</v>
      </c>
      <c r="I2386" s="23" t="str">
        <f t="shared" si="186"/>
        <v>Match</v>
      </c>
      <c r="J2386" s="23" t="str">
        <f t="shared" si="187"/>
        <v>Match</v>
      </c>
      <c r="K2386" s="24">
        <f t="shared" si="188"/>
        <v>14.4</v>
      </c>
      <c r="L2386" s="24">
        <f t="shared" si="189"/>
        <v>0</v>
      </c>
    </row>
    <row r="2387" spans="1:12" ht="15" customHeight="1" x14ac:dyDescent="0.3">
      <c r="A2387" s="23" t="s">
        <v>15267</v>
      </c>
      <c r="B2387" s="23" t="s">
        <v>75</v>
      </c>
      <c r="C2387" s="39">
        <v>599</v>
      </c>
      <c r="D2387" s="24">
        <v>1.8</v>
      </c>
      <c r="E2387" s="24">
        <v>0.32</v>
      </c>
      <c r="F2387" s="23">
        <f>COUNTIFS(mdr_rate_cleaned!$A$2:$A$10,B2387,mdr_rate_cleaned!$B$2:$B$10,"&lt;"&amp;C2387,mdr_rate_cleaned!$F$2:$F$10,"&gt;="&amp;C2387)</f>
        <v>1</v>
      </c>
      <c r="G2387" s="40">
        <f>SUMIFS(mdr_rate_cleaned!$G$2:$G$10,mdr_rate_cleaned!$A$2:$A$10,B2387,mdr_rate_cleaned!$B$2:$B$10,"&lt;"&amp;C2387,mdr_rate_cleaned!$F$2:$F$10,"&gt;="&amp;C2387)</f>
        <v>0</v>
      </c>
      <c r="H2387" s="24">
        <f t="shared" si="185"/>
        <v>0</v>
      </c>
      <c r="I2387" s="23" t="str">
        <f t="shared" si="186"/>
        <v>Differs</v>
      </c>
      <c r="J2387" s="23" t="str">
        <f t="shared" si="187"/>
        <v>Match</v>
      </c>
      <c r="K2387" s="24">
        <f t="shared" si="188"/>
        <v>0</v>
      </c>
      <c r="L2387" s="24">
        <f t="shared" si="189"/>
        <v>2.12</v>
      </c>
    </row>
    <row r="2388" spans="1:12" ht="15" customHeight="1" x14ac:dyDescent="0.3">
      <c r="A2388" s="23" t="s">
        <v>15268</v>
      </c>
      <c r="B2388" s="23" t="s">
        <v>75</v>
      </c>
      <c r="C2388" s="39">
        <v>5498</v>
      </c>
      <c r="D2388" s="24">
        <v>16.489999999999998</v>
      </c>
      <c r="E2388" s="24">
        <v>2.97</v>
      </c>
      <c r="F2388" s="23">
        <f>COUNTIFS(mdr_rate_cleaned!$A$2:$A$10,B2388,mdr_rate_cleaned!$B$2:$B$10,"&lt;"&amp;C2388,mdr_rate_cleaned!$F$2:$F$10,"&gt;="&amp;C2388)</f>
        <v>1</v>
      </c>
      <c r="G2388" s="40">
        <f>SUMIFS(mdr_rate_cleaned!$G$2:$G$10,mdr_rate_cleaned!$A$2:$A$10,B2388,mdr_rate_cleaned!$B$2:$B$10,"&lt;"&amp;C2388,mdr_rate_cleaned!$F$2:$F$10,"&gt;="&amp;C2388)</f>
        <v>3.0000000000000001E-3</v>
      </c>
      <c r="H2388" s="24">
        <f t="shared" si="185"/>
        <v>16.489999999999998</v>
      </c>
      <c r="I2388" s="23" t="str">
        <f t="shared" si="186"/>
        <v>Match</v>
      </c>
      <c r="J2388" s="23" t="str">
        <f t="shared" si="187"/>
        <v>Match</v>
      </c>
      <c r="K2388" s="24">
        <f t="shared" si="188"/>
        <v>2.97</v>
      </c>
      <c r="L2388" s="24">
        <f t="shared" si="189"/>
        <v>0</v>
      </c>
    </row>
    <row r="2389" spans="1:12" ht="15" customHeight="1" x14ac:dyDescent="0.3">
      <c r="A2389" s="23" t="s">
        <v>15269</v>
      </c>
      <c r="B2389" s="23" t="s">
        <v>77</v>
      </c>
      <c r="C2389" s="39">
        <v>349</v>
      </c>
      <c r="D2389" s="24">
        <v>6.63</v>
      </c>
      <c r="E2389" s="24">
        <v>1.19</v>
      </c>
      <c r="F2389" s="23">
        <f>COUNTIFS(mdr_rate_cleaned!$A$2:$A$10,B2389,mdr_rate_cleaned!$B$2:$B$10,"&lt;"&amp;C2389,mdr_rate_cleaned!$F$2:$F$10,"&gt;="&amp;C2389)</f>
        <v>1</v>
      </c>
      <c r="G2389" s="40">
        <f>SUMIFS(mdr_rate_cleaned!$G$2:$G$10,mdr_rate_cleaned!$A$2:$A$10,B2389,mdr_rate_cleaned!$B$2:$B$10,"&lt;"&amp;C2389,mdr_rate_cleaned!$F$2:$F$10,"&gt;="&amp;C2389)</f>
        <v>1.9E-2</v>
      </c>
      <c r="H2389" s="24">
        <f t="shared" si="185"/>
        <v>6.63</v>
      </c>
      <c r="I2389" s="23" t="str">
        <f t="shared" si="186"/>
        <v>Match</v>
      </c>
      <c r="J2389" s="23" t="str">
        <f t="shared" si="187"/>
        <v>Match</v>
      </c>
      <c r="K2389" s="24">
        <f t="shared" si="188"/>
        <v>1.19</v>
      </c>
      <c r="L2389" s="24">
        <f t="shared" si="189"/>
        <v>0</v>
      </c>
    </row>
    <row r="2390" spans="1:12" ht="15" customHeight="1" x14ac:dyDescent="0.3">
      <c r="A2390" s="23" t="s">
        <v>15271</v>
      </c>
      <c r="B2390" s="23" t="s">
        <v>75</v>
      </c>
      <c r="C2390" s="39">
        <v>8297</v>
      </c>
      <c r="D2390" s="24">
        <v>24.89</v>
      </c>
      <c r="E2390" s="24">
        <v>4.4800000000000004</v>
      </c>
      <c r="F2390" s="23">
        <f>COUNTIFS(mdr_rate_cleaned!$A$2:$A$10,B2390,mdr_rate_cleaned!$B$2:$B$10,"&lt;"&amp;C2390,mdr_rate_cleaned!$F$2:$F$10,"&gt;="&amp;C2390)</f>
        <v>1</v>
      </c>
      <c r="G2390" s="40">
        <f>SUMIFS(mdr_rate_cleaned!$G$2:$G$10,mdr_rate_cleaned!$A$2:$A$10,B2390,mdr_rate_cleaned!$B$2:$B$10,"&lt;"&amp;C2390,mdr_rate_cleaned!$F$2:$F$10,"&gt;="&amp;C2390)</f>
        <v>3.0000000000000001E-3</v>
      </c>
      <c r="H2390" s="24">
        <f t="shared" si="185"/>
        <v>24.89</v>
      </c>
      <c r="I2390" s="23" t="str">
        <f t="shared" si="186"/>
        <v>Match</v>
      </c>
      <c r="J2390" s="23" t="str">
        <f t="shared" si="187"/>
        <v>Match</v>
      </c>
      <c r="K2390" s="24">
        <f t="shared" si="188"/>
        <v>4.4800000000000004</v>
      </c>
      <c r="L2390" s="24">
        <f t="shared" si="189"/>
        <v>0</v>
      </c>
    </row>
    <row r="2391" spans="1:12" ht="15" customHeight="1" x14ac:dyDescent="0.3">
      <c r="A2391" s="23" t="s">
        <v>15272</v>
      </c>
      <c r="B2391" s="23" t="s">
        <v>75</v>
      </c>
      <c r="C2391" s="39">
        <v>499</v>
      </c>
      <c r="D2391" s="24">
        <v>0</v>
      </c>
      <c r="E2391" s="24">
        <v>0</v>
      </c>
      <c r="F2391" s="23">
        <f>COUNTIFS(mdr_rate_cleaned!$A$2:$A$10,B2391,mdr_rate_cleaned!$B$2:$B$10,"&lt;"&amp;C2391,mdr_rate_cleaned!$F$2:$F$10,"&gt;="&amp;C2391)</f>
        <v>1</v>
      </c>
      <c r="G2391" s="40">
        <f>SUMIFS(mdr_rate_cleaned!$G$2:$G$10,mdr_rate_cleaned!$A$2:$A$10,B2391,mdr_rate_cleaned!$B$2:$B$10,"&lt;"&amp;C2391,mdr_rate_cleaned!$F$2:$F$10,"&gt;="&amp;C2391)</f>
        <v>0</v>
      </c>
      <c r="H2391" s="24">
        <f t="shared" si="185"/>
        <v>0</v>
      </c>
      <c r="I2391" s="23" t="str">
        <f t="shared" si="186"/>
        <v>Match</v>
      </c>
      <c r="J2391" s="23" t="str">
        <f t="shared" si="187"/>
        <v>Match</v>
      </c>
      <c r="K2391" s="24">
        <f t="shared" si="188"/>
        <v>0</v>
      </c>
      <c r="L2391" s="24">
        <f t="shared" si="189"/>
        <v>0</v>
      </c>
    </row>
    <row r="2392" spans="1:12" ht="15" customHeight="1" x14ac:dyDescent="0.3">
      <c r="A2392" s="23" t="s">
        <v>15273</v>
      </c>
      <c r="B2392" s="23" t="s">
        <v>79</v>
      </c>
      <c r="C2392" s="39">
        <v>10497</v>
      </c>
      <c r="D2392" s="24">
        <v>167.95</v>
      </c>
      <c r="E2392" s="24">
        <v>30.23</v>
      </c>
      <c r="F2392" s="23">
        <f>COUNTIFS(mdr_rate_cleaned!$A$2:$A$10,B2392,mdr_rate_cleaned!$B$2:$B$10,"&lt;"&amp;C2392,mdr_rate_cleaned!$F$2:$F$10,"&gt;="&amp;C2392)</f>
        <v>1</v>
      </c>
      <c r="G2392" s="40">
        <f>SUMIFS(mdr_rate_cleaned!$G$2:$G$10,mdr_rate_cleaned!$A$2:$A$10,B2392,mdr_rate_cleaned!$B$2:$B$10,"&lt;"&amp;C2392,mdr_rate_cleaned!$F$2:$F$10,"&gt;="&amp;C2392)</f>
        <v>1.6E-2</v>
      </c>
      <c r="H2392" s="24">
        <f t="shared" si="185"/>
        <v>167.95</v>
      </c>
      <c r="I2392" s="23" t="str">
        <f t="shared" si="186"/>
        <v>Match</v>
      </c>
      <c r="J2392" s="23" t="str">
        <f t="shared" si="187"/>
        <v>Match</v>
      </c>
      <c r="K2392" s="24">
        <f t="shared" si="188"/>
        <v>30.23</v>
      </c>
      <c r="L2392" s="24">
        <f t="shared" si="189"/>
        <v>0</v>
      </c>
    </row>
    <row r="2393" spans="1:12" ht="15" customHeight="1" x14ac:dyDescent="0.3">
      <c r="A2393" s="23" t="s">
        <v>15274</v>
      </c>
      <c r="B2393" s="23" t="s">
        <v>75</v>
      </c>
      <c r="C2393" s="39">
        <v>2499</v>
      </c>
      <c r="D2393" s="24">
        <v>7.5</v>
      </c>
      <c r="E2393" s="24">
        <v>1.35</v>
      </c>
      <c r="F2393" s="23">
        <f>COUNTIFS(mdr_rate_cleaned!$A$2:$A$10,B2393,mdr_rate_cleaned!$B$2:$B$10,"&lt;"&amp;C2393,mdr_rate_cleaned!$F$2:$F$10,"&gt;="&amp;C2393)</f>
        <v>1</v>
      </c>
      <c r="G2393" s="40">
        <f>SUMIFS(mdr_rate_cleaned!$G$2:$G$10,mdr_rate_cleaned!$A$2:$A$10,B2393,mdr_rate_cleaned!$B$2:$B$10,"&lt;"&amp;C2393,mdr_rate_cleaned!$F$2:$F$10,"&gt;="&amp;C2393)</f>
        <v>3.0000000000000001E-3</v>
      </c>
      <c r="H2393" s="24">
        <f t="shared" si="185"/>
        <v>7.5</v>
      </c>
      <c r="I2393" s="23" t="str">
        <f t="shared" si="186"/>
        <v>Match</v>
      </c>
      <c r="J2393" s="23" t="str">
        <f t="shared" si="187"/>
        <v>Match</v>
      </c>
      <c r="K2393" s="24">
        <f t="shared" si="188"/>
        <v>1.35</v>
      </c>
      <c r="L2393" s="24">
        <f t="shared" si="189"/>
        <v>0</v>
      </c>
    </row>
    <row r="2394" spans="1:12" ht="15" customHeight="1" x14ac:dyDescent="0.3">
      <c r="A2394" s="23" t="s">
        <v>15275</v>
      </c>
      <c r="B2394" s="23" t="s">
        <v>77</v>
      </c>
      <c r="C2394" s="39">
        <v>3299</v>
      </c>
      <c r="D2394" s="24">
        <v>56.08</v>
      </c>
      <c r="E2394" s="24">
        <v>10.09</v>
      </c>
      <c r="F2394" s="23">
        <f>COUNTIFS(mdr_rate_cleaned!$A$2:$A$10,B2394,mdr_rate_cleaned!$B$2:$B$10,"&lt;"&amp;C2394,mdr_rate_cleaned!$F$2:$F$10,"&gt;="&amp;C2394)</f>
        <v>1</v>
      </c>
      <c r="G2394" s="40">
        <f>SUMIFS(mdr_rate_cleaned!$G$2:$G$10,mdr_rate_cleaned!$A$2:$A$10,B2394,mdr_rate_cleaned!$B$2:$B$10,"&lt;"&amp;C2394,mdr_rate_cleaned!$F$2:$F$10,"&gt;="&amp;C2394)</f>
        <v>1.7000000000000001E-2</v>
      </c>
      <c r="H2394" s="24">
        <f t="shared" si="185"/>
        <v>56.08</v>
      </c>
      <c r="I2394" s="23" t="str">
        <f t="shared" si="186"/>
        <v>Match</v>
      </c>
      <c r="J2394" s="23" t="str">
        <f t="shared" si="187"/>
        <v>Match</v>
      </c>
      <c r="K2394" s="24">
        <f t="shared" si="188"/>
        <v>10.09</v>
      </c>
      <c r="L2394" s="24">
        <f t="shared" si="189"/>
        <v>0</v>
      </c>
    </row>
    <row r="2395" spans="1:12" ht="15" customHeight="1" x14ac:dyDescent="0.3">
      <c r="A2395" s="23" t="s">
        <v>15276</v>
      </c>
      <c r="B2395" s="23" t="s">
        <v>79</v>
      </c>
      <c r="C2395" s="39">
        <v>5998</v>
      </c>
      <c r="D2395" s="24">
        <v>95.97</v>
      </c>
      <c r="E2395" s="24">
        <v>17.27</v>
      </c>
      <c r="F2395" s="23">
        <f>COUNTIFS(mdr_rate_cleaned!$A$2:$A$10,B2395,mdr_rate_cleaned!$B$2:$B$10,"&lt;"&amp;C2395,mdr_rate_cleaned!$F$2:$F$10,"&gt;="&amp;C2395)</f>
        <v>1</v>
      </c>
      <c r="G2395" s="40">
        <f>SUMIFS(mdr_rate_cleaned!$G$2:$G$10,mdr_rate_cleaned!$A$2:$A$10,B2395,mdr_rate_cleaned!$B$2:$B$10,"&lt;"&amp;C2395,mdr_rate_cleaned!$F$2:$F$10,"&gt;="&amp;C2395)</f>
        <v>1.6E-2</v>
      </c>
      <c r="H2395" s="24">
        <f t="shared" si="185"/>
        <v>95.97</v>
      </c>
      <c r="I2395" s="23" t="str">
        <f t="shared" si="186"/>
        <v>Match</v>
      </c>
      <c r="J2395" s="23" t="str">
        <f t="shared" si="187"/>
        <v>Match</v>
      </c>
      <c r="K2395" s="24">
        <f t="shared" si="188"/>
        <v>17.27</v>
      </c>
      <c r="L2395" s="24">
        <f t="shared" si="189"/>
        <v>0</v>
      </c>
    </row>
    <row r="2396" spans="1:12" ht="15" customHeight="1" x14ac:dyDescent="0.3">
      <c r="A2396" s="23" t="s">
        <v>15277</v>
      </c>
      <c r="B2396" s="23" t="s">
        <v>75</v>
      </c>
      <c r="C2396" s="39">
        <v>799</v>
      </c>
      <c r="D2396" s="24">
        <v>0</v>
      </c>
      <c r="E2396" s="24">
        <v>0</v>
      </c>
      <c r="F2396" s="23">
        <f>COUNTIFS(mdr_rate_cleaned!$A$2:$A$10,B2396,mdr_rate_cleaned!$B$2:$B$10,"&lt;"&amp;C2396,mdr_rate_cleaned!$F$2:$F$10,"&gt;="&amp;C2396)</f>
        <v>1</v>
      </c>
      <c r="G2396" s="40">
        <f>SUMIFS(mdr_rate_cleaned!$G$2:$G$10,mdr_rate_cleaned!$A$2:$A$10,B2396,mdr_rate_cleaned!$B$2:$B$10,"&lt;"&amp;C2396,mdr_rate_cleaned!$F$2:$F$10,"&gt;="&amp;C2396)</f>
        <v>0</v>
      </c>
      <c r="H2396" s="24">
        <f t="shared" si="185"/>
        <v>0</v>
      </c>
      <c r="I2396" s="23" t="str">
        <f t="shared" si="186"/>
        <v>Match</v>
      </c>
      <c r="J2396" s="23" t="str">
        <f t="shared" si="187"/>
        <v>Match</v>
      </c>
      <c r="K2396" s="24">
        <f t="shared" si="188"/>
        <v>0</v>
      </c>
      <c r="L2396" s="24">
        <f t="shared" si="189"/>
        <v>0</v>
      </c>
    </row>
    <row r="2397" spans="1:12" ht="15" customHeight="1" x14ac:dyDescent="0.3">
      <c r="A2397" s="23" t="s">
        <v>15278</v>
      </c>
      <c r="B2397" s="23" t="s">
        <v>75</v>
      </c>
      <c r="C2397" s="39">
        <v>799</v>
      </c>
      <c r="D2397" s="24">
        <v>0</v>
      </c>
      <c r="E2397" s="24">
        <v>0</v>
      </c>
      <c r="F2397" s="23">
        <f>COUNTIFS(mdr_rate_cleaned!$A$2:$A$10,B2397,mdr_rate_cleaned!$B$2:$B$10,"&lt;"&amp;C2397,mdr_rate_cleaned!$F$2:$F$10,"&gt;="&amp;C2397)</f>
        <v>1</v>
      </c>
      <c r="G2397" s="40">
        <f>SUMIFS(mdr_rate_cleaned!$G$2:$G$10,mdr_rate_cleaned!$A$2:$A$10,B2397,mdr_rate_cleaned!$B$2:$B$10,"&lt;"&amp;C2397,mdr_rate_cleaned!$F$2:$F$10,"&gt;="&amp;C2397)</f>
        <v>0</v>
      </c>
      <c r="H2397" s="24">
        <f t="shared" si="185"/>
        <v>0</v>
      </c>
      <c r="I2397" s="23" t="str">
        <f t="shared" si="186"/>
        <v>Match</v>
      </c>
      <c r="J2397" s="23" t="str">
        <f t="shared" si="187"/>
        <v>Match</v>
      </c>
      <c r="K2397" s="24">
        <f t="shared" si="188"/>
        <v>0</v>
      </c>
      <c r="L2397" s="24">
        <f t="shared" si="189"/>
        <v>0</v>
      </c>
    </row>
    <row r="2398" spans="1:12" ht="15" customHeight="1" x14ac:dyDescent="0.3">
      <c r="A2398" s="23" t="s">
        <v>15279</v>
      </c>
      <c r="B2398" s="23" t="s">
        <v>77</v>
      </c>
      <c r="C2398" s="39">
        <v>1298</v>
      </c>
      <c r="D2398" s="24">
        <v>24.66</v>
      </c>
      <c r="E2398" s="24">
        <v>4.4400000000000004</v>
      </c>
      <c r="F2398" s="23">
        <f>COUNTIFS(mdr_rate_cleaned!$A$2:$A$10,B2398,mdr_rate_cleaned!$B$2:$B$10,"&lt;"&amp;C2398,mdr_rate_cleaned!$F$2:$F$10,"&gt;="&amp;C2398)</f>
        <v>1</v>
      </c>
      <c r="G2398" s="40">
        <f>SUMIFS(mdr_rate_cleaned!$G$2:$G$10,mdr_rate_cleaned!$A$2:$A$10,B2398,mdr_rate_cleaned!$B$2:$B$10,"&lt;"&amp;C2398,mdr_rate_cleaned!$F$2:$F$10,"&gt;="&amp;C2398)</f>
        <v>1.9E-2</v>
      </c>
      <c r="H2398" s="24">
        <f t="shared" si="185"/>
        <v>24.66</v>
      </c>
      <c r="I2398" s="23" t="str">
        <f t="shared" si="186"/>
        <v>Match</v>
      </c>
      <c r="J2398" s="23" t="str">
        <f t="shared" si="187"/>
        <v>Match</v>
      </c>
      <c r="K2398" s="24">
        <f t="shared" si="188"/>
        <v>4.4400000000000004</v>
      </c>
      <c r="L2398" s="24">
        <f t="shared" si="189"/>
        <v>0</v>
      </c>
    </row>
    <row r="2399" spans="1:12" ht="15" customHeight="1" x14ac:dyDescent="0.3">
      <c r="A2399" s="23" t="s">
        <v>15281</v>
      </c>
      <c r="B2399" s="23" t="s">
        <v>75</v>
      </c>
      <c r="C2399" s="39">
        <v>999</v>
      </c>
      <c r="D2399" s="24">
        <v>0</v>
      </c>
      <c r="E2399" s="24">
        <v>0</v>
      </c>
      <c r="F2399" s="23">
        <f>COUNTIFS(mdr_rate_cleaned!$A$2:$A$10,B2399,mdr_rate_cleaned!$B$2:$B$10,"&lt;"&amp;C2399,mdr_rate_cleaned!$F$2:$F$10,"&gt;="&amp;C2399)</f>
        <v>1</v>
      </c>
      <c r="G2399" s="40">
        <f>SUMIFS(mdr_rate_cleaned!$G$2:$G$10,mdr_rate_cleaned!$A$2:$A$10,B2399,mdr_rate_cleaned!$B$2:$B$10,"&lt;"&amp;C2399,mdr_rate_cleaned!$F$2:$F$10,"&gt;="&amp;C2399)</f>
        <v>0</v>
      </c>
      <c r="H2399" s="24">
        <f t="shared" si="185"/>
        <v>0</v>
      </c>
      <c r="I2399" s="23" t="str">
        <f t="shared" si="186"/>
        <v>Match</v>
      </c>
      <c r="J2399" s="23" t="str">
        <f t="shared" si="187"/>
        <v>Match</v>
      </c>
      <c r="K2399" s="24">
        <f t="shared" si="188"/>
        <v>0</v>
      </c>
      <c r="L2399" s="24">
        <f t="shared" si="189"/>
        <v>0</v>
      </c>
    </row>
    <row r="2400" spans="1:12" ht="15" customHeight="1" x14ac:dyDescent="0.3">
      <c r="A2400" s="23" t="s">
        <v>15282</v>
      </c>
      <c r="B2400" s="23" t="s">
        <v>75</v>
      </c>
      <c r="C2400" s="39">
        <v>599</v>
      </c>
      <c r="D2400" s="24">
        <v>0</v>
      </c>
      <c r="E2400" s="24">
        <v>0</v>
      </c>
      <c r="F2400" s="23">
        <f>COUNTIFS(mdr_rate_cleaned!$A$2:$A$10,B2400,mdr_rate_cleaned!$B$2:$B$10,"&lt;"&amp;C2400,mdr_rate_cleaned!$F$2:$F$10,"&gt;="&amp;C2400)</f>
        <v>1</v>
      </c>
      <c r="G2400" s="40">
        <f>SUMIFS(mdr_rate_cleaned!$G$2:$G$10,mdr_rate_cleaned!$A$2:$A$10,B2400,mdr_rate_cleaned!$B$2:$B$10,"&lt;"&amp;C2400,mdr_rate_cleaned!$F$2:$F$10,"&gt;="&amp;C2400)</f>
        <v>0</v>
      </c>
      <c r="H2400" s="24">
        <f t="shared" si="185"/>
        <v>0</v>
      </c>
      <c r="I2400" s="23" t="str">
        <f t="shared" si="186"/>
        <v>Match</v>
      </c>
      <c r="J2400" s="23" t="str">
        <f t="shared" si="187"/>
        <v>Match</v>
      </c>
      <c r="K2400" s="24">
        <f t="shared" si="188"/>
        <v>0</v>
      </c>
      <c r="L2400" s="24">
        <f t="shared" si="189"/>
        <v>0</v>
      </c>
    </row>
    <row r="2401" spans="1:12" ht="15" customHeight="1" x14ac:dyDescent="0.3">
      <c r="A2401" s="23" t="s">
        <v>15283</v>
      </c>
      <c r="B2401" s="23" t="s">
        <v>77</v>
      </c>
      <c r="C2401" s="39">
        <v>4999</v>
      </c>
      <c r="D2401" s="24">
        <v>84.98</v>
      </c>
      <c r="E2401" s="24">
        <v>15.3</v>
      </c>
      <c r="F2401" s="23">
        <f>COUNTIFS(mdr_rate_cleaned!$A$2:$A$10,B2401,mdr_rate_cleaned!$B$2:$B$10,"&lt;"&amp;C2401,mdr_rate_cleaned!$F$2:$F$10,"&gt;="&amp;C2401)</f>
        <v>1</v>
      </c>
      <c r="G2401" s="40">
        <f>SUMIFS(mdr_rate_cleaned!$G$2:$G$10,mdr_rate_cleaned!$A$2:$A$10,B2401,mdr_rate_cleaned!$B$2:$B$10,"&lt;"&amp;C2401,mdr_rate_cleaned!$F$2:$F$10,"&gt;="&amp;C2401)</f>
        <v>1.7000000000000001E-2</v>
      </c>
      <c r="H2401" s="24">
        <f t="shared" si="185"/>
        <v>84.98</v>
      </c>
      <c r="I2401" s="23" t="str">
        <f t="shared" si="186"/>
        <v>Match</v>
      </c>
      <c r="J2401" s="23" t="str">
        <f t="shared" si="187"/>
        <v>Match</v>
      </c>
      <c r="K2401" s="24">
        <f t="shared" si="188"/>
        <v>15.3</v>
      </c>
      <c r="L2401" s="24">
        <f t="shared" si="189"/>
        <v>0</v>
      </c>
    </row>
    <row r="2402" spans="1:12" ht="15" customHeight="1" x14ac:dyDescent="0.3">
      <c r="A2402" s="23" t="s">
        <v>15284</v>
      </c>
      <c r="B2402" s="23" t="s">
        <v>79</v>
      </c>
      <c r="C2402" s="39">
        <v>6998</v>
      </c>
      <c r="D2402" s="24">
        <v>111.97</v>
      </c>
      <c r="E2402" s="24">
        <v>20.149999999999999</v>
      </c>
      <c r="F2402" s="23">
        <f>COUNTIFS(mdr_rate_cleaned!$A$2:$A$10,B2402,mdr_rate_cleaned!$B$2:$B$10,"&lt;"&amp;C2402,mdr_rate_cleaned!$F$2:$F$10,"&gt;="&amp;C2402)</f>
        <v>1</v>
      </c>
      <c r="G2402" s="40">
        <f>SUMIFS(mdr_rate_cleaned!$G$2:$G$10,mdr_rate_cleaned!$A$2:$A$10,B2402,mdr_rate_cleaned!$B$2:$B$10,"&lt;"&amp;C2402,mdr_rate_cleaned!$F$2:$F$10,"&gt;="&amp;C2402)</f>
        <v>1.6E-2</v>
      </c>
      <c r="H2402" s="24">
        <f t="shared" si="185"/>
        <v>111.97</v>
      </c>
      <c r="I2402" s="23" t="str">
        <f t="shared" si="186"/>
        <v>Match</v>
      </c>
      <c r="J2402" s="23" t="str">
        <f t="shared" si="187"/>
        <v>Match</v>
      </c>
      <c r="K2402" s="24">
        <f t="shared" si="188"/>
        <v>20.149999999999999</v>
      </c>
      <c r="L2402" s="24">
        <f t="shared" si="189"/>
        <v>0</v>
      </c>
    </row>
    <row r="2403" spans="1:12" ht="15" customHeight="1" x14ac:dyDescent="0.3">
      <c r="A2403" s="23" t="s">
        <v>15285</v>
      </c>
      <c r="B2403" s="23" t="s">
        <v>75</v>
      </c>
      <c r="C2403" s="39">
        <v>4999</v>
      </c>
      <c r="D2403" s="24">
        <v>15</v>
      </c>
      <c r="E2403" s="24">
        <v>2.7</v>
      </c>
      <c r="F2403" s="23">
        <f>COUNTIFS(mdr_rate_cleaned!$A$2:$A$10,B2403,mdr_rate_cleaned!$B$2:$B$10,"&lt;"&amp;C2403,mdr_rate_cleaned!$F$2:$F$10,"&gt;="&amp;C2403)</f>
        <v>1</v>
      </c>
      <c r="G2403" s="40">
        <f>SUMIFS(mdr_rate_cleaned!$G$2:$G$10,mdr_rate_cleaned!$A$2:$A$10,B2403,mdr_rate_cleaned!$B$2:$B$10,"&lt;"&amp;C2403,mdr_rate_cleaned!$F$2:$F$10,"&gt;="&amp;C2403)</f>
        <v>3.0000000000000001E-3</v>
      </c>
      <c r="H2403" s="24">
        <f t="shared" si="185"/>
        <v>15</v>
      </c>
      <c r="I2403" s="23" t="str">
        <f t="shared" si="186"/>
        <v>Match</v>
      </c>
      <c r="J2403" s="23" t="str">
        <f t="shared" si="187"/>
        <v>Match</v>
      </c>
      <c r="K2403" s="24">
        <f t="shared" si="188"/>
        <v>2.7</v>
      </c>
      <c r="L2403" s="24">
        <f t="shared" si="189"/>
        <v>0</v>
      </c>
    </row>
    <row r="2404" spans="1:12" ht="15" customHeight="1" x14ac:dyDescent="0.3">
      <c r="A2404" s="23" t="s">
        <v>15286</v>
      </c>
      <c r="B2404" s="23" t="s">
        <v>75</v>
      </c>
      <c r="C2404" s="39">
        <v>2999</v>
      </c>
      <c r="D2404" s="24">
        <v>9</v>
      </c>
      <c r="E2404" s="24">
        <v>1.62</v>
      </c>
      <c r="F2404" s="23">
        <f>COUNTIFS(mdr_rate_cleaned!$A$2:$A$10,B2404,mdr_rate_cleaned!$B$2:$B$10,"&lt;"&amp;C2404,mdr_rate_cleaned!$F$2:$F$10,"&gt;="&amp;C2404)</f>
        <v>1</v>
      </c>
      <c r="G2404" s="40">
        <f>SUMIFS(mdr_rate_cleaned!$G$2:$G$10,mdr_rate_cleaned!$A$2:$A$10,B2404,mdr_rate_cleaned!$B$2:$B$10,"&lt;"&amp;C2404,mdr_rate_cleaned!$F$2:$F$10,"&gt;="&amp;C2404)</f>
        <v>3.0000000000000001E-3</v>
      </c>
      <c r="H2404" s="24">
        <f t="shared" si="185"/>
        <v>9</v>
      </c>
      <c r="I2404" s="23" t="str">
        <f t="shared" si="186"/>
        <v>Match</v>
      </c>
      <c r="J2404" s="23" t="str">
        <f t="shared" si="187"/>
        <v>Match</v>
      </c>
      <c r="K2404" s="24">
        <f t="shared" si="188"/>
        <v>1.62</v>
      </c>
      <c r="L2404" s="24">
        <f t="shared" si="189"/>
        <v>0</v>
      </c>
    </row>
    <row r="2405" spans="1:12" ht="15" customHeight="1" x14ac:dyDescent="0.3">
      <c r="A2405" s="23" t="s">
        <v>15287</v>
      </c>
      <c r="B2405" s="23" t="s">
        <v>75</v>
      </c>
      <c r="C2405" s="39">
        <v>2147</v>
      </c>
      <c r="D2405" s="24">
        <v>6.44</v>
      </c>
      <c r="E2405" s="24">
        <v>1.1599999999999999</v>
      </c>
      <c r="F2405" s="23">
        <f>COUNTIFS(mdr_rate_cleaned!$A$2:$A$10,B2405,mdr_rate_cleaned!$B$2:$B$10,"&lt;"&amp;C2405,mdr_rate_cleaned!$F$2:$F$10,"&gt;="&amp;C2405)</f>
        <v>1</v>
      </c>
      <c r="G2405" s="40">
        <f>SUMIFS(mdr_rate_cleaned!$G$2:$G$10,mdr_rate_cleaned!$A$2:$A$10,B2405,mdr_rate_cleaned!$B$2:$B$10,"&lt;"&amp;C2405,mdr_rate_cleaned!$F$2:$F$10,"&gt;="&amp;C2405)</f>
        <v>3.0000000000000001E-3</v>
      </c>
      <c r="H2405" s="24">
        <f t="shared" si="185"/>
        <v>6.44</v>
      </c>
      <c r="I2405" s="23" t="str">
        <f t="shared" si="186"/>
        <v>Match</v>
      </c>
      <c r="J2405" s="23" t="str">
        <f t="shared" si="187"/>
        <v>Match</v>
      </c>
      <c r="K2405" s="24">
        <f t="shared" si="188"/>
        <v>1.1599999999999999</v>
      </c>
      <c r="L2405" s="24">
        <f t="shared" si="189"/>
        <v>0</v>
      </c>
    </row>
    <row r="2406" spans="1:12" ht="15" customHeight="1" x14ac:dyDescent="0.3">
      <c r="A2406" s="23" t="s">
        <v>15288</v>
      </c>
      <c r="B2406" s="23" t="s">
        <v>75</v>
      </c>
      <c r="C2406" s="39">
        <v>4897</v>
      </c>
      <c r="D2406" s="24">
        <v>14.69</v>
      </c>
      <c r="E2406" s="24">
        <v>2.64</v>
      </c>
      <c r="F2406" s="23">
        <f>COUNTIFS(mdr_rate_cleaned!$A$2:$A$10,B2406,mdr_rate_cleaned!$B$2:$B$10,"&lt;"&amp;C2406,mdr_rate_cleaned!$F$2:$F$10,"&gt;="&amp;C2406)</f>
        <v>1</v>
      </c>
      <c r="G2406" s="40">
        <f>SUMIFS(mdr_rate_cleaned!$G$2:$G$10,mdr_rate_cleaned!$A$2:$A$10,B2406,mdr_rate_cleaned!$B$2:$B$10,"&lt;"&amp;C2406,mdr_rate_cleaned!$F$2:$F$10,"&gt;="&amp;C2406)</f>
        <v>3.0000000000000001E-3</v>
      </c>
      <c r="H2406" s="24">
        <f t="shared" si="185"/>
        <v>14.69</v>
      </c>
      <c r="I2406" s="23" t="str">
        <f t="shared" si="186"/>
        <v>Match</v>
      </c>
      <c r="J2406" s="23" t="str">
        <f t="shared" si="187"/>
        <v>Match</v>
      </c>
      <c r="K2406" s="24">
        <f t="shared" si="188"/>
        <v>2.64</v>
      </c>
      <c r="L2406" s="24">
        <f t="shared" si="189"/>
        <v>0</v>
      </c>
    </row>
    <row r="2407" spans="1:12" ht="15" customHeight="1" x14ac:dyDescent="0.3">
      <c r="A2407" s="23" t="s">
        <v>15289</v>
      </c>
      <c r="B2407" s="23" t="s">
        <v>79</v>
      </c>
      <c r="C2407" s="39">
        <v>4999</v>
      </c>
      <c r="D2407" s="24">
        <v>79.98</v>
      </c>
      <c r="E2407" s="24">
        <v>14.4</v>
      </c>
      <c r="F2407" s="23">
        <f>COUNTIFS(mdr_rate_cleaned!$A$2:$A$10,B2407,mdr_rate_cleaned!$B$2:$B$10,"&lt;"&amp;C2407,mdr_rate_cleaned!$F$2:$F$10,"&gt;="&amp;C2407)</f>
        <v>1</v>
      </c>
      <c r="G2407" s="40">
        <f>SUMIFS(mdr_rate_cleaned!$G$2:$G$10,mdr_rate_cleaned!$A$2:$A$10,B2407,mdr_rate_cleaned!$B$2:$B$10,"&lt;"&amp;C2407,mdr_rate_cleaned!$F$2:$F$10,"&gt;="&amp;C2407)</f>
        <v>1.6E-2</v>
      </c>
      <c r="H2407" s="24">
        <f t="shared" si="185"/>
        <v>79.98</v>
      </c>
      <c r="I2407" s="23" t="str">
        <f t="shared" si="186"/>
        <v>Match</v>
      </c>
      <c r="J2407" s="23" t="str">
        <f t="shared" si="187"/>
        <v>Match</v>
      </c>
      <c r="K2407" s="24">
        <f t="shared" si="188"/>
        <v>14.4</v>
      </c>
      <c r="L2407" s="24">
        <f t="shared" si="189"/>
        <v>0</v>
      </c>
    </row>
    <row r="2408" spans="1:12" ht="15" customHeight="1" x14ac:dyDescent="0.3">
      <c r="A2408" s="23" t="s">
        <v>15301</v>
      </c>
      <c r="B2408" s="23" t="s">
        <v>79</v>
      </c>
      <c r="C2408" s="39">
        <v>9498</v>
      </c>
      <c r="D2408" s="24">
        <v>151.97</v>
      </c>
      <c r="E2408" s="24">
        <v>27.35</v>
      </c>
      <c r="F2408" s="23">
        <f>COUNTIFS(mdr_rate_cleaned!$A$2:$A$10,B2408,mdr_rate_cleaned!$B$2:$B$10,"&lt;"&amp;C2408,mdr_rate_cleaned!$F$2:$F$10,"&gt;="&amp;C2408)</f>
        <v>1</v>
      </c>
      <c r="G2408" s="40">
        <f>SUMIFS(mdr_rate_cleaned!$G$2:$G$10,mdr_rate_cleaned!$A$2:$A$10,B2408,mdr_rate_cleaned!$B$2:$B$10,"&lt;"&amp;C2408,mdr_rate_cleaned!$F$2:$F$10,"&gt;="&amp;C2408)</f>
        <v>1.6E-2</v>
      </c>
      <c r="H2408" s="24">
        <f t="shared" si="185"/>
        <v>151.97</v>
      </c>
      <c r="I2408" s="23" t="str">
        <f t="shared" si="186"/>
        <v>Match</v>
      </c>
      <c r="J2408" s="23" t="str">
        <f t="shared" si="187"/>
        <v>Match</v>
      </c>
      <c r="K2408" s="24">
        <f t="shared" si="188"/>
        <v>27.35</v>
      </c>
      <c r="L2408" s="24">
        <f t="shared" si="189"/>
        <v>0</v>
      </c>
    </row>
    <row r="2409" spans="1:12" ht="15" customHeight="1" x14ac:dyDescent="0.3">
      <c r="A2409" s="23" t="s">
        <v>15302</v>
      </c>
      <c r="B2409" s="23" t="s">
        <v>75</v>
      </c>
      <c r="C2409" s="39">
        <v>1799</v>
      </c>
      <c r="D2409" s="24">
        <v>0</v>
      </c>
      <c r="E2409" s="24">
        <v>0</v>
      </c>
      <c r="F2409" s="23">
        <f>COUNTIFS(mdr_rate_cleaned!$A$2:$A$10,B2409,mdr_rate_cleaned!$B$2:$B$10,"&lt;"&amp;C2409,mdr_rate_cleaned!$F$2:$F$10,"&gt;="&amp;C2409)</f>
        <v>1</v>
      </c>
      <c r="G2409" s="40">
        <f>SUMIFS(mdr_rate_cleaned!$G$2:$G$10,mdr_rate_cleaned!$A$2:$A$10,B2409,mdr_rate_cleaned!$B$2:$B$10,"&lt;"&amp;C2409,mdr_rate_cleaned!$F$2:$F$10,"&gt;="&amp;C2409)</f>
        <v>0</v>
      </c>
      <c r="H2409" s="24">
        <f t="shared" si="185"/>
        <v>0</v>
      </c>
      <c r="I2409" s="23" t="str">
        <f t="shared" si="186"/>
        <v>Match</v>
      </c>
      <c r="J2409" s="23" t="str">
        <f t="shared" si="187"/>
        <v>Match</v>
      </c>
      <c r="K2409" s="24">
        <f t="shared" si="188"/>
        <v>0</v>
      </c>
      <c r="L2409" s="24">
        <f t="shared" si="189"/>
        <v>0</v>
      </c>
    </row>
    <row r="2410" spans="1:12" ht="15" customHeight="1" x14ac:dyDescent="0.3">
      <c r="A2410" s="23" t="s">
        <v>15303</v>
      </c>
      <c r="B2410" s="23" t="s">
        <v>77</v>
      </c>
      <c r="C2410" s="39">
        <v>599</v>
      </c>
      <c r="D2410" s="24">
        <v>11.38</v>
      </c>
      <c r="E2410" s="24">
        <v>2.0499999999999998</v>
      </c>
      <c r="F2410" s="23">
        <f>COUNTIFS(mdr_rate_cleaned!$A$2:$A$10,B2410,mdr_rate_cleaned!$B$2:$B$10,"&lt;"&amp;C2410,mdr_rate_cleaned!$F$2:$F$10,"&gt;="&amp;C2410)</f>
        <v>1</v>
      </c>
      <c r="G2410" s="40">
        <f>SUMIFS(mdr_rate_cleaned!$G$2:$G$10,mdr_rate_cleaned!$A$2:$A$10,B2410,mdr_rate_cleaned!$B$2:$B$10,"&lt;"&amp;C2410,mdr_rate_cleaned!$F$2:$F$10,"&gt;="&amp;C2410)</f>
        <v>1.9E-2</v>
      </c>
      <c r="H2410" s="24">
        <f t="shared" si="185"/>
        <v>11.38</v>
      </c>
      <c r="I2410" s="23" t="str">
        <f t="shared" si="186"/>
        <v>Match</v>
      </c>
      <c r="J2410" s="23" t="str">
        <f t="shared" si="187"/>
        <v>Match</v>
      </c>
      <c r="K2410" s="24">
        <f t="shared" si="188"/>
        <v>2.0499999999999998</v>
      </c>
      <c r="L2410" s="24">
        <f t="shared" si="189"/>
        <v>0</v>
      </c>
    </row>
    <row r="2411" spans="1:12" ht="15" customHeight="1" x14ac:dyDescent="0.3">
      <c r="A2411" s="23" t="s">
        <v>15305</v>
      </c>
      <c r="B2411" s="23" t="s">
        <v>81</v>
      </c>
      <c r="C2411" s="39">
        <v>4999</v>
      </c>
      <c r="D2411" s="24">
        <v>59.99</v>
      </c>
      <c r="E2411" s="24">
        <v>10.8</v>
      </c>
      <c r="F2411" s="23">
        <f>COUNTIFS(mdr_rate_cleaned!$A$2:$A$10,B2411,mdr_rate_cleaned!$B$2:$B$10,"&lt;"&amp;C2411,mdr_rate_cleaned!$F$2:$F$10,"&gt;="&amp;C2411)</f>
        <v>1</v>
      </c>
      <c r="G2411" s="40">
        <f>SUMIFS(mdr_rate_cleaned!$G$2:$G$10,mdr_rate_cleaned!$A$2:$A$10,B2411,mdr_rate_cleaned!$B$2:$B$10,"&lt;"&amp;C2411,mdr_rate_cleaned!$F$2:$F$10,"&gt;="&amp;C2411)</f>
        <v>1.2E-2</v>
      </c>
      <c r="H2411" s="24">
        <f t="shared" si="185"/>
        <v>59.99</v>
      </c>
      <c r="I2411" s="23" t="str">
        <f t="shared" si="186"/>
        <v>Match</v>
      </c>
      <c r="J2411" s="23" t="str">
        <f t="shared" si="187"/>
        <v>Match</v>
      </c>
      <c r="K2411" s="24">
        <f t="shared" si="188"/>
        <v>10.8</v>
      </c>
      <c r="L2411" s="24">
        <f t="shared" si="189"/>
        <v>0</v>
      </c>
    </row>
    <row r="2412" spans="1:12" ht="15" customHeight="1" x14ac:dyDescent="0.3">
      <c r="A2412" s="23" t="s">
        <v>15306</v>
      </c>
      <c r="B2412" s="23" t="s">
        <v>75</v>
      </c>
      <c r="C2412" s="39">
        <v>3848</v>
      </c>
      <c r="D2412" s="24">
        <v>11.54</v>
      </c>
      <c r="E2412" s="24">
        <v>2.08</v>
      </c>
      <c r="F2412" s="23">
        <f>COUNTIFS(mdr_rate_cleaned!$A$2:$A$10,B2412,mdr_rate_cleaned!$B$2:$B$10,"&lt;"&amp;C2412,mdr_rate_cleaned!$F$2:$F$10,"&gt;="&amp;C2412)</f>
        <v>1</v>
      </c>
      <c r="G2412" s="40">
        <f>SUMIFS(mdr_rate_cleaned!$G$2:$G$10,mdr_rate_cleaned!$A$2:$A$10,B2412,mdr_rate_cleaned!$B$2:$B$10,"&lt;"&amp;C2412,mdr_rate_cleaned!$F$2:$F$10,"&gt;="&amp;C2412)</f>
        <v>3.0000000000000001E-3</v>
      </c>
      <c r="H2412" s="24">
        <f t="shared" si="185"/>
        <v>11.54</v>
      </c>
      <c r="I2412" s="23" t="str">
        <f t="shared" si="186"/>
        <v>Match</v>
      </c>
      <c r="J2412" s="23" t="str">
        <f t="shared" si="187"/>
        <v>Match</v>
      </c>
      <c r="K2412" s="24">
        <f t="shared" si="188"/>
        <v>2.08</v>
      </c>
      <c r="L2412" s="24">
        <f t="shared" si="189"/>
        <v>0</v>
      </c>
    </row>
    <row r="2413" spans="1:12" ht="15" customHeight="1" x14ac:dyDescent="0.3">
      <c r="A2413" s="23" t="s">
        <v>15307</v>
      </c>
      <c r="B2413" s="23" t="s">
        <v>75</v>
      </c>
      <c r="C2413" s="39">
        <v>599</v>
      </c>
      <c r="D2413" s="24">
        <v>0</v>
      </c>
      <c r="E2413" s="24">
        <v>0</v>
      </c>
      <c r="F2413" s="23">
        <f>COUNTIFS(mdr_rate_cleaned!$A$2:$A$10,B2413,mdr_rate_cleaned!$B$2:$B$10,"&lt;"&amp;C2413,mdr_rate_cleaned!$F$2:$F$10,"&gt;="&amp;C2413)</f>
        <v>1</v>
      </c>
      <c r="G2413" s="40">
        <f>SUMIFS(mdr_rate_cleaned!$G$2:$G$10,mdr_rate_cleaned!$A$2:$A$10,B2413,mdr_rate_cleaned!$B$2:$B$10,"&lt;"&amp;C2413,mdr_rate_cleaned!$F$2:$F$10,"&gt;="&amp;C2413)</f>
        <v>0</v>
      </c>
      <c r="H2413" s="24">
        <f t="shared" si="185"/>
        <v>0</v>
      </c>
      <c r="I2413" s="23" t="str">
        <f t="shared" si="186"/>
        <v>Match</v>
      </c>
      <c r="J2413" s="23" t="str">
        <f t="shared" si="187"/>
        <v>Match</v>
      </c>
      <c r="K2413" s="24">
        <f t="shared" si="188"/>
        <v>0</v>
      </c>
      <c r="L2413" s="24">
        <f t="shared" si="189"/>
        <v>0</v>
      </c>
    </row>
    <row r="2414" spans="1:12" ht="15" customHeight="1" x14ac:dyDescent="0.3">
      <c r="A2414" s="23" t="s">
        <v>15309</v>
      </c>
      <c r="B2414" s="23" t="s">
        <v>79</v>
      </c>
      <c r="C2414" s="39">
        <v>7999</v>
      </c>
      <c r="D2414" s="24">
        <v>127.98</v>
      </c>
      <c r="E2414" s="24">
        <v>23.04</v>
      </c>
      <c r="F2414" s="23">
        <f>COUNTIFS(mdr_rate_cleaned!$A$2:$A$10,B2414,mdr_rate_cleaned!$B$2:$B$10,"&lt;"&amp;C2414,mdr_rate_cleaned!$F$2:$F$10,"&gt;="&amp;C2414)</f>
        <v>1</v>
      </c>
      <c r="G2414" s="40">
        <f>SUMIFS(mdr_rate_cleaned!$G$2:$G$10,mdr_rate_cleaned!$A$2:$A$10,B2414,mdr_rate_cleaned!$B$2:$B$10,"&lt;"&amp;C2414,mdr_rate_cleaned!$F$2:$F$10,"&gt;="&amp;C2414)</f>
        <v>1.6E-2</v>
      </c>
      <c r="H2414" s="24">
        <f t="shared" si="185"/>
        <v>127.98</v>
      </c>
      <c r="I2414" s="23" t="str">
        <f t="shared" si="186"/>
        <v>Match</v>
      </c>
      <c r="J2414" s="23" t="str">
        <f t="shared" si="187"/>
        <v>Match</v>
      </c>
      <c r="K2414" s="24">
        <f t="shared" si="188"/>
        <v>23.04</v>
      </c>
      <c r="L2414" s="24">
        <f t="shared" si="189"/>
        <v>0</v>
      </c>
    </row>
    <row r="2415" spans="1:12" ht="15" customHeight="1" x14ac:dyDescent="0.3">
      <c r="A2415" s="23" t="s">
        <v>15311</v>
      </c>
      <c r="B2415" s="23" t="s">
        <v>75</v>
      </c>
      <c r="C2415" s="39">
        <v>8498</v>
      </c>
      <c r="D2415" s="24">
        <v>25.49</v>
      </c>
      <c r="E2415" s="24">
        <v>4.59</v>
      </c>
      <c r="F2415" s="23">
        <f>COUNTIFS(mdr_rate_cleaned!$A$2:$A$10,B2415,mdr_rate_cleaned!$B$2:$B$10,"&lt;"&amp;C2415,mdr_rate_cleaned!$F$2:$F$10,"&gt;="&amp;C2415)</f>
        <v>1</v>
      </c>
      <c r="G2415" s="40">
        <f>SUMIFS(mdr_rate_cleaned!$G$2:$G$10,mdr_rate_cleaned!$A$2:$A$10,B2415,mdr_rate_cleaned!$B$2:$B$10,"&lt;"&amp;C2415,mdr_rate_cleaned!$F$2:$F$10,"&gt;="&amp;C2415)</f>
        <v>3.0000000000000001E-3</v>
      </c>
      <c r="H2415" s="24">
        <f t="shared" si="185"/>
        <v>25.49</v>
      </c>
      <c r="I2415" s="23" t="str">
        <f t="shared" si="186"/>
        <v>Match</v>
      </c>
      <c r="J2415" s="23" t="str">
        <f t="shared" si="187"/>
        <v>Match</v>
      </c>
      <c r="K2415" s="24">
        <f t="shared" si="188"/>
        <v>4.59</v>
      </c>
      <c r="L2415" s="24">
        <f t="shared" si="189"/>
        <v>0</v>
      </c>
    </row>
    <row r="2416" spans="1:12" ht="15" customHeight="1" x14ac:dyDescent="0.3">
      <c r="A2416" s="23" t="s">
        <v>15312</v>
      </c>
      <c r="B2416" s="23" t="s">
        <v>77</v>
      </c>
      <c r="C2416" s="39">
        <v>10498</v>
      </c>
      <c r="D2416" s="24">
        <v>178.47</v>
      </c>
      <c r="E2416" s="24">
        <v>32.119999999999997</v>
      </c>
      <c r="F2416" s="23">
        <f>COUNTIFS(mdr_rate_cleaned!$A$2:$A$10,B2416,mdr_rate_cleaned!$B$2:$B$10,"&lt;"&amp;C2416,mdr_rate_cleaned!$F$2:$F$10,"&gt;="&amp;C2416)</f>
        <v>1</v>
      </c>
      <c r="G2416" s="40">
        <f>SUMIFS(mdr_rate_cleaned!$G$2:$G$10,mdr_rate_cleaned!$A$2:$A$10,B2416,mdr_rate_cleaned!$B$2:$B$10,"&lt;"&amp;C2416,mdr_rate_cleaned!$F$2:$F$10,"&gt;="&amp;C2416)</f>
        <v>1.7000000000000001E-2</v>
      </c>
      <c r="H2416" s="24">
        <f t="shared" si="185"/>
        <v>178.47</v>
      </c>
      <c r="I2416" s="23" t="str">
        <f t="shared" si="186"/>
        <v>Match</v>
      </c>
      <c r="J2416" s="23" t="str">
        <f t="shared" si="187"/>
        <v>Match</v>
      </c>
      <c r="K2416" s="24">
        <f t="shared" si="188"/>
        <v>32.119999999999997</v>
      </c>
      <c r="L2416" s="24">
        <f t="shared" si="189"/>
        <v>0</v>
      </c>
    </row>
    <row r="2417" spans="1:12" ht="15" customHeight="1" x14ac:dyDescent="0.3">
      <c r="A2417" s="23" t="s">
        <v>15313</v>
      </c>
      <c r="B2417" s="23" t="s">
        <v>79</v>
      </c>
      <c r="C2417" s="39">
        <v>4999</v>
      </c>
      <c r="D2417" s="24">
        <v>79.98</v>
      </c>
      <c r="E2417" s="24">
        <v>14.4</v>
      </c>
      <c r="F2417" s="23">
        <f>COUNTIFS(mdr_rate_cleaned!$A$2:$A$10,B2417,mdr_rate_cleaned!$B$2:$B$10,"&lt;"&amp;C2417,mdr_rate_cleaned!$F$2:$F$10,"&gt;="&amp;C2417)</f>
        <v>1</v>
      </c>
      <c r="G2417" s="40">
        <f>SUMIFS(mdr_rate_cleaned!$G$2:$G$10,mdr_rate_cleaned!$A$2:$A$10,B2417,mdr_rate_cleaned!$B$2:$B$10,"&lt;"&amp;C2417,mdr_rate_cleaned!$F$2:$F$10,"&gt;="&amp;C2417)</f>
        <v>1.6E-2</v>
      </c>
      <c r="H2417" s="24">
        <f t="shared" si="185"/>
        <v>79.98</v>
      </c>
      <c r="I2417" s="23" t="str">
        <f t="shared" si="186"/>
        <v>Match</v>
      </c>
      <c r="J2417" s="23" t="str">
        <f t="shared" si="187"/>
        <v>Match</v>
      </c>
      <c r="K2417" s="24">
        <f t="shared" si="188"/>
        <v>14.4</v>
      </c>
      <c r="L2417" s="24">
        <f t="shared" si="189"/>
        <v>0</v>
      </c>
    </row>
    <row r="2418" spans="1:12" ht="15" customHeight="1" x14ac:dyDescent="0.3">
      <c r="A2418" s="23" t="s">
        <v>15315</v>
      </c>
      <c r="B2418" s="23" t="s">
        <v>77</v>
      </c>
      <c r="C2418" s="39">
        <v>1898</v>
      </c>
      <c r="D2418" s="24">
        <v>36.06</v>
      </c>
      <c r="E2418" s="24">
        <v>6.49</v>
      </c>
      <c r="F2418" s="23">
        <f>COUNTIFS(mdr_rate_cleaned!$A$2:$A$10,B2418,mdr_rate_cleaned!$B$2:$B$10,"&lt;"&amp;C2418,mdr_rate_cleaned!$F$2:$F$10,"&gt;="&amp;C2418)</f>
        <v>1</v>
      </c>
      <c r="G2418" s="40">
        <f>SUMIFS(mdr_rate_cleaned!$G$2:$G$10,mdr_rate_cleaned!$A$2:$A$10,B2418,mdr_rate_cleaned!$B$2:$B$10,"&lt;"&amp;C2418,mdr_rate_cleaned!$F$2:$F$10,"&gt;="&amp;C2418)</f>
        <v>1.9E-2</v>
      </c>
      <c r="H2418" s="24">
        <f t="shared" si="185"/>
        <v>36.06</v>
      </c>
      <c r="I2418" s="23" t="str">
        <f t="shared" si="186"/>
        <v>Match</v>
      </c>
      <c r="J2418" s="23" t="str">
        <f t="shared" si="187"/>
        <v>Match</v>
      </c>
      <c r="K2418" s="24">
        <f t="shared" si="188"/>
        <v>6.49</v>
      </c>
      <c r="L2418" s="24">
        <f t="shared" si="189"/>
        <v>0</v>
      </c>
    </row>
    <row r="2419" spans="1:12" ht="15" customHeight="1" x14ac:dyDescent="0.3">
      <c r="A2419" s="23" t="s">
        <v>15317</v>
      </c>
      <c r="B2419" s="23" t="s">
        <v>75</v>
      </c>
      <c r="C2419" s="39">
        <v>1499</v>
      </c>
      <c r="D2419" s="24">
        <v>0</v>
      </c>
      <c r="E2419" s="24">
        <v>0</v>
      </c>
      <c r="F2419" s="23">
        <f>COUNTIFS(mdr_rate_cleaned!$A$2:$A$10,B2419,mdr_rate_cleaned!$B$2:$B$10,"&lt;"&amp;C2419,mdr_rate_cleaned!$F$2:$F$10,"&gt;="&amp;C2419)</f>
        <v>1</v>
      </c>
      <c r="G2419" s="40">
        <f>SUMIFS(mdr_rate_cleaned!$G$2:$G$10,mdr_rate_cleaned!$A$2:$A$10,B2419,mdr_rate_cleaned!$B$2:$B$10,"&lt;"&amp;C2419,mdr_rate_cleaned!$F$2:$F$10,"&gt;="&amp;C2419)</f>
        <v>0</v>
      </c>
      <c r="H2419" s="24">
        <f t="shared" si="185"/>
        <v>0</v>
      </c>
      <c r="I2419" s="23" t="str">
        <f t="shared" si="186"/>
        <v>Match</v>
      </c>
      <c r="J2419" s="23" t="str">
        <f t="shared" si="187"/>
        <v>Match</v>
      </c>
      <c r="K2419" s="24">
        <f t="shared" si="188"/>
        <v>0</v>
      </c>
      <c r="L2419" s="24">
        <f t="shared" si="189"/>
        <v>0</v>
      </c>
    </row>
    <row r="2420" spans="1:12" ht="15" customHeight="1" x14ac:dyDescent="0.3">
      <c r="A2420" s="23" t="s">
        <v>15319</v>
      </c>
      <c r="B2420" s="23" t="s">
        <v>75</v>
      </c>
      <c r="C2420" s="39">
        <v>798</v>
      </c>
      <c r="D2420" s="24">
        <v>0</v>
      </c>
      <c r="E2420" s="24">
        <v>0</v>
      </c>
      <c r="F2420" s="23">
        <f>COUNTIFS(mdr_rate_cleaned!$A$2:$A$10,B2420,mdr_rate_cleaned!$B$2:$B$10,"&lt;"&amp;C2420,mdr_rate_cleaned!$F$2:$F$10,"&gt;="&amp;C2420)</f>
        <v>1</v>
      </c>
      <c r="G2420" s="40">
        <f>SUMIFS(mdr_rate_cleaned!$G$2:$G$10,mdr_rate_cleaned!$A$2:$A$10,B2420,mdr_rate_cleaned!$B$2:$B$10,"&lt;"&amp;C2420,mdr_rate_cleaned!$F$2:$F$10,"&gt;="&amp;C2420)</f>
        <v>0</v>
      </c>
      <c r="H2420" s="24">
        <f t="shared" si="185"/>
        <v>0</v>
      </c>
      <c r="I2420" s="23" t="str">
        <f t="shared" si="186"/>
        <v>Match</v>
      </c>
      <c r="J2420" s="23" t="str">
        <f t="shared" si="187"/>
        <v>Match</v>
      </c>
      <c r="K2420" s="24">
        <f t="shared" si="188"/>
        <v>0</v>
      </c>
      <c r="L2420" s="24">
        <f t="shared" si="189"/>
        <v>0</v>
      </c>
    </row>
    <row r="2421" spans="1:12" ht="15" customHeight="1" x14ac:dyDescent="0.3">
      <c r="A2421" s="23" t="s">
        <v>15320</v>
      </c>
      <c r="B2421" s="23" t="s">
        <v>75</v>
      </c>
      <c r="C2421" s="39">
        <v>5997</v>
      </c>
      <c r="D2421" s="24">
        <v>17.989999999999998</v>
      </c>
      <c r="E2421" s="24">
        <v>3.24</v>
      </c>
      <c r="F2421" s="23">
        <f>COUNTIFS(mdr_rate_cleaned!$A$2:$A$10,B2421,mdr_rate_cleaned!$B$2:$B$10,"&lt;"&amp;C2421,mdr_rate_cleaned!$F$2:$F$10,"&gt;="&amp;C2421)</f>
        <v>1</v>
      </c>
      <c r="G2421" s="40">
        <f>SUMIFS(mdr_rate_cleaned!$G$2:$G$10,mdr_rate_cleaned!$A$2:$A$10,B2421,mdr_rate_cleaned!$B$2:$B$10,"&lt;"&amp;C2421,mdr_rate_cleaned!$F$2:$F$10,"&gt;="&amp;C2421)</f>
        <v>3.0000000000000001E-3</v>
      </c>
      <c r="H2421" s="24">
        <f t="shared" si="185"/>
        <v>17.989999999999998</v>
      </c>
      <c r="I2421" s="23" t="str">
        <f t="shared" si="186"/>
        <v>Match</v>
      </c>
      <c r="J2421" s="23" t="str">
        <f t="shared" si="187"/>
        <v>Match</v>
      </c>
      <c r="K2421" s="24">
        <f t="shared" si="188"/>
        <v>3.24</v>
      </c>
      <c r="L2421" s="24">
        <f t="shared" si="189"/>
        <v>0</v>
      </c>
    </row>
    <row r="2422" spans="1:12" ht="15" customHeight="1" x14ac:dyDescent="0.3">
      <c r="A2422" s="23" t="s">
        <v>15321</v>
      </c>
      <c r="B2422" s="23" t="s">
        <v>75</v>
      </c>
      <c r="C2422" s="39">
        <v>4297</v>
      </c>
      <c r="D2422" s="24">
        <v>12.89</v>
      </c>
      <c r="E2422" s="24">
        <v>2.3199999999999998</v>
      </c>
      <c r="F2422" s="23">
        <f>COUNTIFS(mdr_rate_cleaned!$A$2:$A$10,B2422,mdr_rate_cleaned!$B$2:$B$10,"&lt;"&amp;C2422,mdr_rate_cleaned!$F$2:$F$10,"&gt;="&amp;C2422)</f>
        <v>1</v>
      </c>
      <c r="G2422" s="40">
        <f>SUMIFS(mdr_rate_cleaned!$G$2:$G$10,mdr_rate_cleaned!$A$2:$A$10,B2422,mdr_rate_cleaned!$B$2:$B$10,"&lt;"&amp;C2422,mdr_rate_cleaned!$F$2:$F$10,"&gt;="&amp;C2422)</f>
        <v>3.0000000000000001E-3</v>
      </c>
      <c r="H2422" s="24">
        <f t="shared" si="185"/>
        <v>12.89</v>
      </c>
      <c r="I2422" s="23" t="str">
        <f t="shared" si="186"/>
        <v>Match</v>
      </c>
      <c r="J2422" s="23" t="str">
        <f t="shared" si="187"/>
        <v>Match</v>
      </c>
      <c r="K2422" s="24">
        <f t="shared" si="188"/>
        <v>2.3199999999999998</v>
      </c>
      <c r="L2422" s="24">
        <f t="shared" si="189"/>
        <v>0</v>
      </c>
    </row>
    <row r="2423" spans="1:12" ht="15" customHeight="1" x14ac:dyDescent="0.3">
      <c r="A2423" s="23" t="s">
        <v>15322</v>
      </c>
      <c r="B2423" s="23" t="s">
        <v>79</v>
      </c>
      <c r="C2423" s="39">
        <v>8797</v>
      </c>
      <c r="D2423" s="24">
        <v>140.75</v>
      </c>
      <c r="E2423" s="24">
        <v>25.34</v>
      </c>
      <c r="F2423" s="23">
        <f>COUNTIFS(mdr_rate_cleaned!$A$2:$A$10,B2423,mdr_rate_cleaned!$B$2:$B$10,"&lt;"&amp;C2423,mdr_rate_cleaned!$F$2:$F$10,"&gt;="&amp;C2423)</f>
        <v>1</v>
      </c>
      <c r="G2423" s="40">
        <f>SUMIFS(mdr_rate_cleaned!$G$2:$G$10,mdr_rate_cleaned!$A$2:$A$10,B2423,mdr_rate_cleaned!$B$2:$B$10,"&lt;"&amp;C2423,mdr_rate_cleaned!$F$2:$F$10,"&gt;="&amp;C2423)</f>
        <v>1.6E-2</v>
      </c>
      <c r="H2423" s="24">
        <f t="shared" si="185"/>
        <v>140.75</v>
      </c>
      <c r="I2423" s="23" t="str">
        <f t="shared" si="186"/>
        <v>Match</v>
      </c>
      <c r="J2423" s="23" t="str">
        <f t="shared" si="187"/>
        <v>Match</v>
      </c>
      <c r="K2423" s="24">
        <f t="shared" si="188"/>
        <v>25.34</v>
      </c>
      <c r="L2423" s="24">
        <f t="shared" si="189"/>
        <v>0</v>
      </c>
    </row>
    <row r="2424" spans="1:12" ht="15" customHeight="1" x14ac:dyDescent="0.3">
      <c r="A2424" s="23" t="s">
        <v>15323</v>
      </c>
      <c r="B2424" s="23" t="s">
        <v>75</v>
      </c>
      <c r="C2424" s="39">
        <v>3897</v>
      </c>
      <c r="D2424" s="24">
        <v>11.69</v>
      </c>
      <c r="E2424" s="24">
        <v>2.1</v>
      </c>
      <c r="F2424" s="23">
        <f>COUNTIFS(mdr_rate_cleaned!$A$2:$A$10,B2424,mdr_rate_cleaned!$B$2:$B$10,"&lt;"&amp;C2424,mdr_rate_cleaned!$F$2:$F$10,"&gt;="&amp;C2424)</f>
        <v>1</v>
      </c>
      <c r="G2424" s="40">
        <f>SUMIFS(mdr_rate_cleaned!$G$2:$G$10,mdr_rate_cleaned!$A$2:$A$10,B2424,mdr_rate_cleaned!$B$2:$B$10,"&lt;"&amp;C2424,mdr_rate_cleaned!$F$2:$F$10,"&gt;="&amp;C2424)</f>
        <v>3.0000000000000001E-3</v>
      </c>
      <c r="H2424" s="24">
        <f t="shared" si="185"/>
        <v>11.69</v>
      </c>
      <c r="I2424" s="23" t="str">
        <f t="shared" si="186"/>
        <v>Match</v>
      </c>
      <c r="J2424" s="23" t="str">
        <f t="shared" si="187"/>
        <v>Match</v>
      </c>
      <c r="K2424" s="24">
        <f t="shared" si="188"/>
        <v>2.1</v>
      </c>
      <c r="L2424" s="24">
        <f t="shared" si="189"/>
        <v>0</v>
      </c>
    </row>
    <row r="2425" spans="1:12" ht="15" customHeight="1" x14ac:dyDescent="0.3">
      <c r="A2425" s="23" t="s">
        <v>15324</v>
      </c>
      <c r="B2425" s="23" t="s">
        <v>75</v>
      </c>
      <c r="C2425" s="39">
        <v>1799</v>
      </c>
      <c r="D2425" s="24">
        <v>0</v>
      </c>
      <c r="E2425" s="24">
        <v>0</v>
      </c>
      <c r="F2425" s="23">
        <f>COUNTIFS(mdr_rate_cleaned!$A$2:$A$10,B2425,mdr_rate_cleaned!$B$2:$B$10,"&lt;"&amp;C2425,mdr_rate_cleaned!$F$2:$F$10,"&gt;="&amp;C2425)</f>
        <v>1</v>
      </c>
      <c r="G2425" s="40">
        <f>SUMIFS(mdr_rate_cleaned!$G$2:$G$10,mdr_rate_cleaned!$A$2:$A$10,B2425,mdr_rate_cleaned!$B$2:$B$10,"&lt;"&amp;C2425,mdr_rate_cleaned!$F$2:$F$10,"&gt;="&amp;C2425)</f>
        <v>0</v>
      </c>
      <c r="H2425" s="24">
        <f t="shared" si="185"/>
        <v>0</v>
      </c>
      <c r="I2425" s="23" t="str">
        <f t="shared" si="186"/>
        <v>Match</v>
      </c>
      <c r="J2425" s="23" t="str">
        <f t="shared" si="187"/>
        <v>Match</v>
      </c>
      <c r="K2425" s="24">
        <f t="shared" si="188"/>
        <v>0</v>
      </c>
      <c r="L2425" s="24">
        <f t="shared" si="189"/>
        <v>0</v>
      </c>
    </row>
    <row r="2426" spans="1:12" ht="15" customHeight="1" x14ac:dyDescent="0.3">
      <c r="A2426" s="23" t="s">
        <v>15325</v>
      </c>
      <c r="B2426" s="23" t="s">
        <v>75</v>
      </c>
      <c r="C2426" s="39">
        <v>10297</v>
      </c>
      <c r="D2426" s="24">
        <v>30.89</v>
      </c>
      <c r="E2426" s="24">
        <v>5.56</v>
      </c>
      <c r="F2426" s="23">
        <f>COUNTIFS(mdr_rate_cleaned!$A$2:$A$10,B2426,mdr_rate_cleaned!$B$2:$B$10,"&lt;"&amp;C2426,mdr_rate_cleaned!$F$2:$F$10,"&gt;="&amp;C2426)</f>
        <v>1</v>
      </c>
      <c r="G2426" s="40">
        <f>SUMIFS(mdr_rate_cleaned!$G$2:$G$10,mdr_rate_cleaned!$A$2:$A$10,B2426,mdr_rate_cleaned!$B$2:$B$10,"&lt;"&amp;C2426,mdr_rate_cleaned!$F$2:$F$10,"&gt;="&amp;C2426)</f>
        <v>3.0000000000000001E-3</v>
      </c>
      <c r="H2426" s="24">
        <f t="shared" si="185"/>
        <v>30.89</v>
      </c>
      <c r="I2426" s="23" t="str">
        <f t="shared" si="186"/>
        <v>Match</v>
      </c>
      <c r="J2426" s="23" t="str">
        <f t="shared" si="187"/>
        <v>Match</v>
      </c>
      <c r="K2426" s="24">
        <f t="shared" si="188"/>
        <v>5.56</v>
      </c>
      <c r="L2426" s="24">
        <f t="shared" si="189"/>
        <v>0</v>
      </c>
    </row>
    <row r="2427" spans="1:12" ht="15" customHeight="1" x14ac:dyDescent="0.3">
      <c r="A2427" s="23" t="s">
        <v>15326</v>
      </c>
      <c r="B2427" s="23" t="s">
        <v>75</v>
      </c>
      <c r="C2427" s="39">
        <v>1799</v>
      </c>
      <c r="D2427" s="24">
        <v>0</v>
      </c>
      <c r="E2427" s="24">
        <v>0</v>
      </c>
      <c r="F2427" s="23">
        <f>COUNTIFS(mdr_rate_cleaned!$A$2:$A$10,B2427,mdr_rate_cleaned!$B$2:$B$10,"&lt;"&amp;C2427,mdr_rate_cleaned!$F$2:$F$10,"&gt;="&amp;C2427)</f>
        <v>1</v>
      </c>
      <c r="G2427" s="40">
        <f>SUMIFS(mdr_rate_cleaned!$G$2:$G$10,mdr_rate_cleaned!$A$2:$A$10,B2427,mdr_rate_cleaned!$B$2:$B$10,"&lt;"&amp;C2427,mdr_rate_cleaned!$F$2:$F$10,"&gt;="&amp;C2427)</f>
        <v>0</v>
      </c>
      <c r="H2427" s="24">
        <f t="shared" si="185"/>
        <v>0</v>
      </c>
      <c r="I2427" s="23" t="str">
        <f t="shared" si="186"/>
        <v>Match</v>
      </c>
      <c r="J2427" s="23" t="str">
        <f t="shared" si="187"/>
        <v>Match</v>
      </c>
      <c r="K2427" s="24">
        <f t="shared" si="188"/>
        <v>0</v>
      </c>
      <c r="L2427" s="24">
        <f t="shared" si="189"/>
        <v>0</v>
      </c>
    </row>
    <row r="2428" spans="1:12" ht="15" customHeight="1" x14ac:dyDescent="0.3">
      <c r="A2428" s="23" t="s">
        <v>15327</v>
      </c>
      <c r="B2428" s="23" t="s">
        <v>79</v>
      </c>
      <c r="C2428" s="39">
        <v>3499</v>
      </c>
      <c r="D2428" s="24">
        <v>55.98</v>
      </c>
      <c r="E2428" s="24">
        <v>10.08</v>
      </c>
      <c r="F2428" s="23">
        <f>COUNTIFS(mdr_rate_cleaned!$A$2:$A$10,B2428,mdr_rate_cleaned!$B$2:$B$10,"&lt;"&amp;C2428,mdr_rate_cleaned!$F$2:$F$10,"&gt;="&amp;C2428)</f>
        <v>1</v>
      </c>
      <c r="G2428" s="40">
        <f>SUMIFS(mdr_rate_cleaned!$G$2:$G$10,mdr_rate_cleaned!$A$2:$A$10,B2428,mdr_rate_cleaned!$B$2:$B$10,"&lt;"&amp;C2428,mdr_rate_cleaned!$F$2:$F$10,"&gt;="&amp;C2428)</f>
        <v>1.6E-2</v>
      </c>
      <c r="H2428" s="24">
        <f t="shared" si="185"/>
        <v>55.98</v>
      </c>
      <c r="I2428" s="23" t="str">
        <f t="shared" si="186"/>
        <v>Match</v>
      </c>
      <c r="J2428" s="23" t="str">
        <f t="shared" si="187"/>
        <v>Match</v>
      </c>
      <c r="K2428" s="24">
        <f t="shared" si="188"/>
        <v>10.08</v>
      </c>
      <c r="L2428" s="24">
        <f t="shared" si="189"/>
        <v>0</v>
      </c>
    </row>
    <row r="2429" spans="1:12" ht="15" customHeight="1" x14ac:dyDescent="0.3">
      <c r="A2429" s="23" t="s">
        <v>15328</v>
      </c>
      <c r="B2429" s="23" t="s">
        <v>75</v>
      </c>
      <c r="C2429" s="39">
        <v>799</v>
      </c>
      <c r="D2429" s="24">
        <v>0</v>
      </c>
      <c r="E2429" s="24">
        <v>0</v>
      </c>
      <c r="F2429" s="23">
        <f>COUNTIFS(mdr_rate_cleaned!$A$2:$A$10,B2429,mdr_rate_cleaned!$B$2:$B$10,"&lt;"&amp;C2429,mdr_rate_cleaned!$F$2:$F$10,"&gt;="&amp;C2429)</f>
        <v>1</v>
      </c>
      <c r="G2429" s="40">
        <f>SUMIFS(mdr_rate_cleaned!$G$2:$G$10,mdr_rate_cleaned!$A$2:$A$10,B2429,mdr_rate_cleaned!$B$2:$B$10,"&lt;"&amp;C2429,mdr_rate_cleaned!$F$2:$F$10,"&gt;="&amp;C2429)</f>
        <v>0</v>
      </c>
      <c r="H2429" s="24">
        <f t="shared" si="185"/>
        <v>0</v>
      </c>
      <c r="I2429" s="23" t="str">
        <f t="shared" si="186"/>
        <v>Match</v>
      </c>
      <c r="J2429" s="23" t="str">
        <f t="shared" si="187"/>
        <v>Match</v>
      </c>
      <c r="K2429" s="24">
        <f t="shared" si="188"/>
        <v>0</v>
      </c>
      <c r="L2429" s="24">
        <f t="shared" si="189"/>
        <v>0</v>
      </c>
    </row>
    <row r="2430" spans="1:12" ht="15" customHeight="1" x14ac:dyDescent="0.3">
      <c r="A2430" s="23" t="s">
        <v>15329</v>
      </c>
      <c r="B2430" s="23" t="s">
        <v>79</v>
      </c>
      <c r="C2430" s="39">
        <v>3498</v>
      </c>
      <c r="D2430" s="24">
        <v>55.97</v>
      </c>
      <c r="E2430" s="24">
        <v>10.07</v>
      </c>
      <c r="F2430" s="23">
        <f>COUNTIFS(mdr_rate_cleaned!$A$2:$A$10,B2430,mdr_rate_cleaned!$B$2:$B$10,"&lt;"&amp;C2430,mdr_rate_cleaned!$F$2:$F$10,"&gt;="&amp;C2430)</f>
        <v>1</v>
      </c>
      <c r="G2430" s="40">
        <f>SUMIFS(mdr_rate_cleaned!$G$2:$G$10,mdr_rate_cleaned!$A$2:$A$10,B2430,mdr_rate_cleaned!$B$2:$B$10,"&lt;"&amp;C2430,mdr_rate_cleaned!$F$2:$F$10,"&gt;="&amp;C2430)</f>
        <v>1.6E-2</v>
      </c>
      <c r="H2430" s="24">
        <f t="shared" si="185"/>
        <v>55.97</v>
      </c>
      <c r="I2430" s="23" t="str">
        <f t="shared" si="186"/>
        <v>Match</v>
      </c>
      <c r="J2430" s="23" t="str">
        <f t="shared" si="187"/>
        <v>Match</v>
      </c>
      <c r="K2430" s="24">
        <f t="shared" si="188"/>
        <v>10.07</v>
      </c>
      <c r="L2430" s="24">
        <f t="shared" si="189"/>
        <v>0</v>
      </c>
    </row>
    <row r="2431" spans="1:12" ht="15" customHeight="1" x14ac:dyDescent="0.3">
      <c r="A2431" s="23" t="s">
        <v>15330</v>
      </c>
      <c r="B2431" s="23" t="s">
        <v>75</v>
      </c>
      <c r="C2431" s="39">
        <v>349</v>
      </c>
      <c r="D2431" s="24">
        <v>0</v>
      </c>
      <c r="E2431" s="24">
        <v>0</v>
      </c>
      <c r="F2431" s="23">
        <f>COUNTIFS(mdr_rate_cleaned!$A$2:$A$10,B2431,mdr_rate_cleaned!$B$2:$B$10,"&lt;"&amp;C2431,mdr_rate_cleaned!$F$2:$F$10,"&gt;="&amp;C2431)</f>
        <v>1</v>
      </c>
      <c r="G2431" s="40">
        <f>SUMIFS(mdr_rate_cleaned!$G$2:$G$10,mdr_rate_cleaned!$A$2:$A$10,B2431,mdr_rate_cleaned!$B$2:$B$10,"&lt;"&amp;C2431,mdr_rate_cleaned!$F$2:$F$10,"&gt;="&amp;C2431)</f>
        <v>0</v>
      </c>
      <c r="H2431" s="24">
        <f t="shared" si="185"/>
        <v>0</v>
      </c>
      <c r="I2431" s="23" t="str">
        <f t="shared" si="186"/>
        <v>Match</v>
      </c>
      <c r="J2431" s="23" t="str">
        <f t="shared" si="187"/>
        <v>Match</v>
      </c>
      <c r="K2431" s="24">
        <f t="shared" si="188"/>
        <v>0</v>
      </c>
      <c r="L2431" s="24">
        <f t="shared" si="189"/>
        <v>0</v>
      </c>
    </row>
    <row r="2432" spans="1:12" ht="15" customHeight="1" x14ac:dyDescent="0.3">
      <c r="A2432" s="23" t="s">
        <v>15332</v>
      </c>
      <c r="B2432" s="23" t="s">
        <v>75</v>
      </c>
      <c r="C2432" s="39">
        <v>499</v>
      </c>
      <c r="D2432" s="24">
        <v>0</v>
      </c>
      <c r="E2432" s="24">
        <v>0</v>
      </c>
      <c r="F2432" s="23">
        <f>COUNTIFS(mdr_rate_cleaned!$A$2:$A$10,B2432,mdr_rate_cleaned!$B$2:$B$10,"&lt;"&amp;C2432,mdr_rate_cleaned!$F$2:$F$10,"&gt;="&amp;C2432)</f>
        <v>1</v>
      </c>
      <c r="G2432" s="40">
        <f>SUMIFS(mdr_rate_cleaned!$G$2:$G$10,mdr_rate_cleaned!$A$2:$A$10,B2432,mdr_rate_cleaned!$B$2:$B$10,"&lt;"&amp;C2432,mdr_rate_cleaned!$F$2:$F$10,"&gt;="&amp;C2432)</f>
        <v>0</v>
      </c>
      <c r="H2432" s="24">
        <f t="shared" si="185"/>
        <v>0</v>
      </c>
      <c r="I2432" s="23" t="str">
        <f t="shared" si="186"/>
        <v>Match</v>
      </c>
      <c r="J2432" s="23" t="str">
        <f t="shared" si="187"/>
        <v>Match</v>
      </c>
      <c r="K2432" s="24">
        <f t="shared" si="188"/>
        <v>0</v>
      </c>
      <c r="L2432" s="24">
        <f t="shared" si="189"/>
        <v>0</v>
      </c>
    </row>
    <row r="2433" spans="1:12" ht="15" customHeight="1" x14ac:dyDescent="0.3">
      <c r="A2433" s="23" t="s">
        <v>15333</v>
      </c>
      <c r="B2433" s="23" t="s">
        <v>77</v>
      </c>
      <c r="C2433" s="39">
        <v>5998</v>
      </c>
      <c r="D2433" s="24">
        <v>101.97</v>
      </c>
      <c r="E2433" s="24">
        <v>18.350000000000001</v>
      </c>
      <c r="F2433" s="23">
        <f>COUNTIFS(mdr_rate_cleaned!$A$2:$A$10,B2433,mdr_rate_cleaned!$B$2:$B$10,"&lt;"&amp;C2433,mdr_rate_cleaned!$F$2:$F$10,"&gt;="&amp;C2433)</f>
        <v>1</v>
      </c>
      <c r="G2433" s="40">
        <f>SUMIFS(mdr_rate_cleaned!$G$2:$G$10,mdr_rate_cleaned!$A$2:$A$10,B2433,mdr_rate_cleaned!$B$2:$B$10,"&lt;"&amp;C2433,mdr_rate_cleaned!$F$2:$F$10,"&gt;="&amp;C2433)</f>
        <v>1.7000000000000001E-2</v>
      </c>
      <c r="H2433" s="24">
        <f t="shared" si="185"/>
        <v>101.97</v>
      </c>
      <c r="I2433" s="23" t="str">
        <f t="shared" si="186"/>
        <v>Match</v>
      </c>
      <c r="J2433" s="23" t="str">
        <f t="shared" si="187"/>
        <v>Match</v>
      </c>
      <c r="K2433" s="24">
        <f t="shared" si="188"/>
        <v>18.350000000000001</v>
      </c>
      <c r="L2433" s="24">
        <f t="shared" si="189"/>
        <v>0</v>
      </c>
    </row>
    <row r="2434" spans="1:12" ht="15" customHeight="1" x14ac:dyDescent="0.3">
      <c r="A2434" s="23" t="s">
        <v>15334</v>
      </c>
      <c r="B2434" s="23" t="s">
        <v>77</v>
      </c>
      <c r="C2434" s="39">
        <v>4999</v>
      </c>
      <c r="D2434" s="24">
        <v>84.98</v>
      </c>
      <c r="E2434" s="24">
        <v>15.3</v>
      </c>
      <c r="F2434" s="23">
        <f>COUNTIFS(mdr_rate_cleaned!$A$2:$A$10,B2434,mdr_rate_cleaned!$B$2:$B$10,"&lt;"&amp;C2434,mdr_rate_cleaned!$F$2:$F$10,"&gt;="&amp;C2434)</f>
        <v>1</v>
      </c>
      <c r="G2434" s="40">
        <f>SUMIFS(mdr_rate_cleaned!$G$2:$G$10,mdr_rate_cleaned!$A$2:$A$10,B2434,mdr_rate_cleaned!$B$2:$B$10,"&lt;"&amp;C2434,mdr_rate_cleaned!$F$2:$F$10,"&gt;="&amp;C2434)</f>
        <v>1.7000000000000001E-2</v>
      </c>
      <c r="H2434" s="24">
        <f t="shared" ref="H2434:H2497" si="190">ROUND(C2434*G2434,2)</f>
        <v>84.98</v>
      </c>
      <c r="I2434" s="23" t="str">
        <f t="shared" ref="I2434:I2497" si="191">IF(ROUND(D2434-H2434,2)=0,"Match","Differs")</f>
        <v>Match</v>
      </c>
      <c r="J2434" s="23" t="str">
        <f t="shared" ref="J2434:J2497" si="192">IF(ROUND(E2434-ROUND(D2434*0.18,2),2)=0,"Match","Differs")</f>
        <v>Match</v>
      </c>
      <c r="K2434" s="24">
        <f t="shared" ref="K2434:K2497" si="193">ROUND(H2434*0.18,2)</f>
        <v>15.3</v>
      </c>
      <c r="L2434" s="24">
        <f t="shared" ref="L2434:L2497" si="194">ROUND(D2434+E2434-H2434-K2434,2)</f>
        <v>0</v>
      </c>
    </row>
    <row r="2435" spans="1:12" ht="15" customHeight="1" x14ac:dyDescent="0.3">
      <c r="A2435" s="23" t="s">
        <v>15335</v>
      </c>
      <c r="B2435" s="23" t="s">
        <v>75</v>
      </c>
      <c r="C2435" s="39">
        <v>4999</v>
      </c>
      <c r="D2435" s="24">
        <v>15</v>
      </c>
      <c r="E2435" s="24">
        <v>2.7</v>
      </c>
      <c r="F2435" s="23">
        <f>COUNTIFS(mdr_rate_cleaned!$A$2:$A$10,B2435,mdr_rate_cleaned!$B$2:$B$10,"&lt;"&amp;C2435,mdr_rate_cleaned!$F$2:$F$10,"&gt;="&amp;C2435)</f>
        <v>1</v>
      </c>
      <c r="G2435" s="40">
        <f>SUMIFS(mdr_rate_cleaned!$G$2:$G$10,mdr_rate_cleaned!$A$2:$A$10,B2435,mdr_rate_cleaned!$B$2:$B$10,"&lt;"&amp;C2435,mdr_rate_cleaned!$F$2:$F$10,"&gt;="&amp;C2435)</f>
        <v>3.0000000000000001E-3</v>
      </c>
      <c r="H2435" s="24">
        <f t="shared" si="190"/>
        <v>15</v>
      </c>
      <c r="I2435" s="23" t="str">
        <f t="shared" si="191"/>
        <v>Match</v>
      </c>
      <c r="J2435" s="23" t="str">
        <f t="shared" si="192"/>
        <v>Match</v>
      </c>
      <c r="K2435" s="24">
        <f t="shared" si="193"/>
        <v>2.7</v>
      </c>
      <c r="L2435" s="24">
        <f t="shared" si="194"/>
        <v>0</v>
      </c>
    </row>
    <row r="2436" spans="1:12" ht="15" customHeight="1" x14ac:dyDescent="0.3">
      <c r="A2436" s="23" t="s">
        <v>15336</v>
      </c>
      <c r="B2436" s="23" t="s">
        <v>75</v>
      </c>
      <c r="C2436" s="39">
        <v>6797</v>
      </c>
      <c r="D2436" s="24">
        <v>20.39</v>
      </c>
      <c r="E2436" s="24">
        <v>3.67</v>
      </c>
      <c r="F2436" s="23">
        <f>COUNTIFS(mdr_rate_cleaned!$A$2:$A$10,B2436,mdr_rate_cleaned!$B$2:$B$10,"&lt;"&amp;C2436,mdr_rate_cleaned!$F$2:$F$10,"&gt;="&amp;C2436)</f>
        <v>1</v>
      </c>
      <c r="G2436" s="40">
        <f>SUMIFS(mdr_rate_cleaned!$G$2:$G$10,mdr_rate_cleaned!$A$2:$A$10,B2436,mdr_rate_cleaned!$B$2:$B$10,"&lt;"&amp;C2436,mdr_rate_cleaned!$F$2:$F$10,"&gt;="&amp;C2436)</f>
        <v>3.0000000000000001E-3</v>
      </c>
      <c r="H2436" s="24">
        <f t="shared" si="190"/>
        <v>20.39</v>
      </c>
      <c r="I2436" s="23" t="str">
        <f t="shared" si="191"/>
        <v>Match</v>
      </c>
      <c r="J2436" s="23" t="str">
        <f t="shared" si="192"/>
        <v>Match</v>
      </c>
      <c r="K2436" s="24">
        <f t="shared" si="193"/>
        <v>3.67</v>
      </c>
      <c r="L2436" s="24">
        <f t="shared" si="194"/>
        <v>0</v>
      </c>
    </row>
    <row r="2437" spans="1:12" ht="15" customHeight="1" x14ac:dyDescent="0.3">
      <c r="A2437" s="23" t="s">
        <v>15337</v>
      </c>
      <c r="B2437" s="23" t="s">
        <v>75</v>
      </c>
      <c r="C2437" s="39">
        <v>4999</v>
      </c>
      <c r="D2437" s="24">
        <v>15</v>
      </c>
      <c r="E2437" s="24">
        <v>2.7</v>
      </c>
      <c r="F2437" s="23">
        <f>COUNTIFS(mdr_rate_cleaned!$A$2:$A$10,B2437,mdr_rate_cleaned!$B$2:$B$10,"&lt;"&amp;C2437,mdr_rate_cleaned!$F$2:$F$10,"&gt;="&amp;C2437)</f>
        <v>1</v>
      </c>
      <c r="G2437" s="40">
        <f>SUMIFS(mdr_rate_cleaned!$G$2:$G$10,mdr_rate_cleaned!$A$2:$A$10,B2437,mdr_rate_cleaned!$B$2:$B$10,"&lt;"&amp;C2437,mdr_rate_cleaned!$F$2:$F$10,"&gt;="&amp;C2437)</f>
        <v>3.0000000000000001E-3</v>
      </c>
      <c r="H2437" s="24">
        <f t="shared" si="190"/>
        <v>15</v>
      </c>
      <c r="I2437" s="23" t="str">
        <f t="shared" si="191"/>
        <v>Match</v>
      </c>
      <c r="J2437" s="23" t="str">
        <f t="shared" si="192"/>
        <v>Match</v>
      </c>
      <c r="K2437" s="24">
        <f t="shared" si="193"/>
        <v>2.7</v>
      </c>
      <c r="L2437" s="24">
        <f t="shared" si="194"/>
        <v>0</v>
      </c>
    </row>
    <row r="2438" spans="1:12" ht="15" customHeight="1" x14ac:dyDescent="0.3">
      <c r="A2438" s="23" t="s">
        <v>15338</v>
      </c>
      <c r="B2438" s="23" t="s">
        <v>75</v>
      </c>
      <c r="C2438" s="39">
        <v>1799</v>
      </c>
      <c r="D2438" s="24">
        <v>0</v>
      </c>
      <c r="E2438" s="24">
        <v>0</v>
      </c>
      <c r="F2438" s="23">
        <f>COUNTIFS(mdr_rate_cleaned!$A$2:$A$10,B2438,mdr_rate_cleaned!$B$2:$B$10,"&lt;"&amp;C2438,mdr_rate_cleaned!$F$2:$F$10,"&gt;="&amp;C2438)</f>
        <v>1</v>
      </c>
      <c r="G2438" s="40">
        <f>SUMIFS(mdr_rate_cleaned!$G$2:$G$10,mdr_rate_cleaned!$A$2:$A$10,B2438,mdr_rate_cleaned!$B$2:$B$10,"&lt;"&amp;C2438,mdr_rate_cleaned!$F$2:$F$10,"&gt;="&amp;C2438)</f>
        <v>0</v>
      </c>
      <c r="H2438" s="24">
        <f t="shared" si="190"/>
        <v>0</v>
      </c>
      <c r="I2438" s="23" t="str">
        <f t="shared" si="191"/>
        <v>Match</v>
      </c>
      <c r="J2438" s="23" t="str">
        <f t="shared" si="192"/>
        <v>Match</v>
      </c>
      <c r="K2438" s="24">
        <f t="shared" si="193"/>
        <v>0</v>
      </c>
      <c r="L2438" s="24">
        <f t="shared" si="194"/>
        <v>0</v>
      </c>
    </row>
    <row r="2439" spans="1:12" ht="15" customHeight="1" x14ac:dyDescent="0.3">
      <c r="A2439" s="23" t="s">
        <v>15339</v>
      </c>
      <c r="B2439" s="23" t="s">
        <v>75</v>
      </c>
      <c r="C2439" s="39">
        <v>14997</v>
      </c>
      <c r="D2439" s="24">
        <v>44.99</v>
      </c>
      <c r="E2439" s="24">
        <v>8.1</v>
      </c>
      <c r="F2439" s="23">
        <f>COUNTIFS(mdr_rate_cleaned!$A$2:$A$10,B2439,mdr_rate_cleaned!$B$2:$B$10,"&lt;"&amp;C2439,mdr_rate_cleaned!$F$2:$F$10,"&gt;="&amp;C2439)</f>
        <v>1</v>
      </c>
      <c r="G2439" s="40">
        <f>SUMIFS(mdr_rate_cleaned!$G$2:$G$10,mdr_rate_cleaned!$A$2:$A$10,B2439,mdr_rate_cleaned!$B$2:$B$10,"&lt;"&amp;C2439,mdr_rate_cleaned!$F$2:$F$10,"&gt;="&amp;C2439)</f>
        <v>3.0000000000000001E-3</v>
      </c>
      <c r="H2439" s="24">
        <f t="shared" si="190"/>
        <v>44.99</v>
      </c>
      <c r="I2439" s="23" t="str">
        <f t="shared" si="191"/>
        <v>Match</v>
      </c>
      <c r="J2439" s="23" t="str">
        <f t="shared" si="192"/>
        <v>Match</v>
      </c>
      <c r="K2439" s="24">
        <f t="shared" si="193"/>
        <v>8.1</v>
      </c>
      <c r="L2439" s="24">
        <f t="shared" si="194"/>
        <v>0</v>
      </c>
    </row>
    <row r="2440" spans="1:12" ht="15" customHeight="1" x14ac:dyDescent="0.3">
      <c r="A2440" s="23" t="s">
        <v>15340</v>
      </c>
      <c r="B2440" s="23" t="s">
        <v>75</v>
      </c>
      <c r="C2440" s="39">
        <v>3397</v>
      </c>
      <c r="D2440" s="24">
        <v>10.19</v>
      </c>
      <c r="E2440" s="24">
        <v>1.83</v>
      </c>
      <c r="F2440" s="23">
        <f>COUNTIFS(mdr_rate_cleaned!$A$2:$A$10,B2440,mdr_rate_cleaned!$B$2:$B$10,"&lt;"&amp;C2440,mdr_rate_cleaned!$F$2:$F$10,"&gt;="&amp;C2440)</f>
        <v>1</v>
      </c>
      <c r="G2440" s="40">
        <f>SUMIFS(mdr_rate_cleaned!$G$2:$G$10,mdr_rate_cleaned!$A$2:$A$10,B2440,mdr_rate_cleaned!$B$2:$B$10,"&lt;"&amp;C2440,mdr_rate_cleaned!$F$2:$F$10,"&gt;="&amp;C2440)</f>
        <v>3.0000000000000001E-3</v>
      </c>
      <c r="H2440" s="24">
        <f t="shared" si="190"/>
        <v>10.19</v>
      </c>
      <c r="I2440" s="23" t="str">
        <f t="shared" si="191"/>
        <v>Match</v>
      </c>
      <c r="J2440" s="23" t="str">
        <f t="shared" si="192"/>
        <v>Match</v>
      </c>
      <c r="K2440" s="24">
        <f t="shared" si="193"/>
        <v>1.83</v>
      </c>
      <c r="L2440" s="24">
        <f t="shared" si="194"/>
        <v>0</v>
      </c>
    </row>
    <row r="2441" spans="1:12" ht="15" customHeight="1" x14ac:dyDescent="0.3">
      <c r="A2441" s="23" t="s">
        <v>15341</v>
      </c>
      <c r="B2441" s="23" t="s">
        <v>75</v>
      </c>
      <c r="C2441" s="39">
        <v>299</v>
      </c>
      <c r="D2441" s="24">
        <v>0</v>
      </c>
      <c r="E2441" s="24">
        <v>0</v>
      </c>
      <c r="F2441" s="23">
        <f>COUNTIFS(mdr_rate_cleaned!$A$2:$A$10,B2441,mdr_rate_cleaned!$B$2:$B$10,"&lt;"&amp;C2441,mdr_rate_cleaned!$F$2:$F$10,"&gt;="&amp;C2441)</f>
        <v>1</v>
      </c>
      <c r="G2441" s="40">
        <f>SUMIFS(mdr_rate_cleaned!$G$2:$G$10,mdr_rate_cleaned!$A$2:$A$10,B2441,mdr_rate_cleaned!$B$2:$B$10,"&lt;"&amp;C2441,mdr_rate_cleaned!$F$2:$F$10,"&gt;="&amp;C2441)</f>
        <v>0</v>
      </c>
      <c r="H2441" s="24">
        <f t="shared" si="190"/>
        <v>0</v>
      </c>
      <c r="I2441" s="23" t="str">
        <f t="shared" si="191"/>
        <v>Match</v>
      </c>
      <c r="J2441" s="23" t="str">
        <f t="shared" si="192"/>
        <v>Match</v>
      </c>
      <c r="K2441" s="24">
        <f t="shared" si="193"/>
        <v>0</v>
      </c>
      <c r="L2441" s="24">
        <f t="shared" si="194"/>
        <v>0</v>
      </c>
    </row>
    <row r="2442" spans="1:12" ht="15" customHeight="1" x14ac:dyDescent="0.3">
      <c r="A2442" s="23" t="s">
        <v>15342</v>
      </c>
      <c r="B2442" s="23" t="s">
        <v>75</v>
      </c>
      <c r="C2442" s="39">
        <v>999</v>
      </c>
      <c r="D2442" s="24">
        <v>0</v>
      </c>
      <c r="E2442" s="24">
        <v>0</v>
      </c>
      <c r="F2442" s="23">
        <f>COUNTIFS(mdr_rate_cleaned!$A$2:$A$10,B2442,mdr_rate_cleaned!$B$2:$B$10,"&lt;"&amp;C2442,mdr_rate_cleaned!$F$2:$F$10,"&gt;="&amp;C2442)</f>
        <v>1</v>
      </c>
      <c r="G2442" s="40">
        <f>SUMIFS(mdr_rate_cleaned!$G$2:$G$10,mdr_rate_cleaned!$A$2:$A$10,B2442,mdr_rate_cleaned!$B$2:$B$10,"&lt;"&amp;C2442,mdr_rate_cleaned!$F$2:$F$10,"&gt;="&amp;C2442)</f>
        <v>0</v>
      </c>
      <c r="H2442" s="24">
        <f t="shared" si="190"/>
        <v>0</v>
      </c>
      <c r="I2442" s="23" t="str">
        <f t="shared" si="191"/>
        <v>Match</v>
      </c>
      <c r="J2442" s="23" t="str">
        <f t="shared" si="192"/>
        <v>Match</v>
      </c>
      <c r="K2442" s="24">
        <f t="shared" si="193"/>
        <v>0</v>
      </c>
      <c r="L2442" s="24">
        <f t="shared" si="194"/>
        <v>0</v>
      </c>
    </row>
    <row r="2443" spans="1:12" ht="15" customHeight="1" x14ac:dyDescent="0.3">
      <c r="A2443" s="23" t="s">
        <v>15343</v>
      </c>
      <c r="B2443" s="23" t="s">
        <v>79</v>
      </c>
      <c r="C2443" s="39">
        <v>1848</v>
      </c>
      <c r="D2443" s="24">
        <v>33.26</v>
      </c>
      <c r="E2443" s="24">
        <v>5.99</v>
      </c>
      <c r="F2443" s="23">
        <f>COUNTIFS(mdr_rate_cleaned!$A$2:$A$10,B2443,mdr_rate_cleaned!$B$2:$B$10,"&lt;"&amp;C2443,mdr_rate_cleaned!$F$2:$F$10,"&gt;="&amp;C2443)</f>
        <v>1</v>
      </c>
      <c r="G2443" s="40">
        <f>SUMIFS(mdr_rate_cleaned!$G$2:$G$10,mdr_rate_cleaned!$A$2:$A$10,B2443,mdr_rate_cleaned!$B$2:$B$10,"&lt;"&amp;C2443,mdr_rate_cleaned!$F$2:$F$10,"&gt;="&amp;C2443)</f>
        <v>1.8000000000000002E-2</v>
      </c>
      <c r="H2443" s="24">
        <f t="shared" si="190"/>
        <v>33.26</v>
      </c>
      <c r="I2443" s="23" t="str">
        <f t="shared" si="191"/>
        <v>Match</v>
      </c>
      <c r="J2443" s="23" t="str">
        <f t="shared" si="192"/>
        <v>Match</v>
      </c>
      <c r="K2443" s="24">
        <f t="shared" si="193"/>
        <v>5.99</v>
      </c>
      <c r="L2443" s="24">
        <f t="shared" si="194"/>
        <v>0</v>
      </c>
    </row>
    <row r="2444" spans="1:12" ht="15" customHeight="1" x14ac:dyDescent="0.3">
      <c r="A2444" s="23" t="s">
        <v>15345</v>
      </c>
      <c r="B2444" s="23" t="s">
        <v>75</v>
      </c>
      <c r="C2444" s="39">
        <v>598</v>
      </c>
      <c r="D2444" s="24">
        <v>0</v>
      </c>
      <c r="E2444" s="24">
        <v>0</v>
      </c>
      <c r="F2444" s="23">
        <f>COUNTIFS(mdr_rate_cleaned!$A$2:$A$10,B2444,mdr_rate_cleaned!$B$2:$B$10,"&lt;"&amp;C2444,mdr_rate_cleaned!$F$2:$F$10,"&gt;="&amp;C2444)</f>
        <v>1</v>
      </c>
      <c r="G2444" s="40">
        <f>SUMIFS(mdr_rate_cleaned!$G$2:$G$10,mdr_rate_cleaned!$A$2:$A$10,B2444,mdr_rate_cleaned!$B$2:$B$10,"&lt;"&amp;C2444,mdr_rate_cleaned!$F$2:$F$10,"&gt;="&amp;C2444)</f>
        <v>0</v>
      </c>
      <c r="H2444" s="24">
        <f t="shared" si="190"/>
        <v>0</v>
      </c>
      <c r="I2444" s="23" t="str">
        <f t="shared" si="191"/>
        <v>Match</v>
      </c>
      <c r="J2444" s="23" t="str">
        <f t="shared" si="192"/>
        <v>Match</v>
      </c>
      <c r="K2444" s="24">
        <f t="shared" si="193"/>
        <v>0</v>
      </c>
      <c r="L2444" s="24">
        <f t="shared" si="194"/>
        <v>0</v>
      </c>
    </row>
    <row r="2445" spans="1:12" ht="15" customHeight="1" x14ac:dyDescent="0.3">
      <c r="A2445" s="23" t="s">
        <v>15346</v>
      </c>
      <c r="B2445" s="23" t="s">
        <v>79</v>
      </c>
      <c r="C2445" s="39">
        <v>2499</v>
      </c>
      <c r="D2445" s="24">
        <v>39.979999999999997</v>
      </c>
      <c r="E2445" s="24">
        <v>7.2</v>
      </c>
      <c r="F2445" s="23">
        <f>COUNTIFS(mdr_rate_cleaned!$A$2:$A$10,B2445,mdr_rate_cleaned!$B$2:$B$10,"&lt;"&amp;C2445,mdr_rate_cleaned!$F$2:$F$10,"&gt;="&amp;C2445)</f>
        <v>1</v>
      </c>
      <c r="G2445" s="40">
        <f>SUMIFS(mdr_rate_cleaned!$G$2:$G$10,mdr_rate_cleaned!$A$2:$A$10,B2445,mdr_rate_cleaned!$B$2:$B$10,"&lt;"&amp;C2445,mdr_rate_cleaned!$F$2:$F$10,"&gt;="&amp;C2445)</f>
        <v>1.6E-2</v>
      </c>
      <c r="H2445" s="24">
        <f t="shared" si="190"/>
        <v>39.979999999999997</v>
      </c>
      <c r="I2445" s="23" t="str">
        <f t="shared" si="191"/>
        <v>Match</v>
      </c>
      <c r="J2445" s="23" t="str">
        <f t="shared" si="192"/>
        <v>Match</v>
      </c>
      <c r="K2445" s="24">
        <f t="shared" si="193"/>
        <v>7.2</v>
      </c>
      <c r="L2445" s="24">
        <f t="shared" si="194"/>
        <v>0</v>
      </c>
    </row>
    <row r="2446" spans="1:12" ht="15" customHeight="1" x14ac:dyDescent="0.3">
      <c r="A2446" s="23" t="s">
        <v>15348</v>
      </c>
      <c r="B2446" s="23" t="s">
        <v>75</v>
      </c>
      <c r="C2446" s="39">
        <v>599</v>
      </c>
      <c r="D2446" s="24">
        <v>0</v>
      </c>
      <c r="E2446" s="24">
        <v>0</v>
      </c>
      <c r="F2446" s="23">
        <f>COUNTIFS(mdr_rate_cleaned!$A$2:$A$10,B2446,mdr_rate_cleaned!$B$2:$B$10,"&lt;"&amp;C2446,mdr_rate_cleaned!$F$2:$F$10,"&gt;="&amp;C2446)</f>
        <v>1</v>
      </c>
      <c r="G2446" s="40">
        <f>SUMIFS(mdr_rate_cleaned!$G$2:$G$10,mdr_rate_cleaned!$A$2:$A$10,B2446,mdr_rate_cleaned!$B$2:$B$10,"&lt;"&amp;C2446,mdr_rate_cleaned!$F$2:$F$10,"&gt;="&amp;C2446)</f>
        <v>0</v>
      </c>
      <c r="H2446" s="24">
        <f t="shared" si="190"/>
        <v>0</v>
      </c>
      <c r="I2446" s="23" t="str">
        <f t="shared" si="191"/>
        <v>Match</v>
      </c>
      <c r="J2446" s="23" t="str">
        <f t="shared" si="192"/>
        <v>Match</v>
      </c>
      <c r="K2446" s="24">
        <f t="shared" si="193"/>
        <v>0</v>
      </c>
      <c r="L2446" s="24">
        <f t="shared" si="194"/>
        <v>0</v>
      </c>
    </row>
    <row r="2447" spans="1:12" ht="15" customHeight="1" x14ac:dyDescent="0.3">
      <c r="A2447" s="23" t="s">
        <v>15349</v>
      </c>
      <c r="B2447" s="23" t="s">
        <v>75</v>
      </c>
      <c r="C2447" s="39">
        <v>6498</v>
      </c>
      <c r="D2447" s="24">
        <v>19.489999999999998</v>
      </c>
      <c r="E2447" s="24">
        <v>3.51</v>
      </c>
      <c r="F2447" s="23">
        <f>COUNTIFS(mdr_rate_cleaned!$A$2:$A$10,B2447,mdr_rate_cleaned!$B$2:$B$10,"&lt;"&amp;C2447,mdr_rate_cleaned!$F$2:$F$10,"&gt;="&amp;C2447)</f>
        <v>1</v>
      </c>
      <c r="G2447" s="40">
        <f>SUMIFS(mdr_rate_cleaned!$G$2:$G$10,mdr_rate_cleaned!$A$2:$A$10,B2447,mdr_rate_cleaned!$B$2:$B$10,"&lt;"&amp;C2447,mdr_rate_cleaned!$F$2:$F$10,"&gt;="&amp;C2447)</f>
        <v>3.0000000000000001E-3</v>
      </c>
      <c r="H2447" s="24">
        <f t="shared" si="190"/>
        <v>19.489999999999998</v>
      </c>
      <c r="I2447" s="23" t="str">
        <f t="shared" si="191"/>
        <v>Match</v>
      </c>
      <c r="J2447" s="23" t="str">
        <f t="shared" si="192"/>
        <v>Match</v>
      </c>
      <c r="K2447" s="24">
        <f t="shared" si="193"/>
        <v>3.51</v>
      </c>
      <c r="L2447" s="24">
        <f t="shared" si="194"/>
        <v>0</v>
      </c>
    </row>
    <row r="2448" spans="1:12" ht="15" customHeight="1" x14ac:dyDescent="0.3">
      <c r="A2448" s="23" t="s">
        <v>15350</v>
      </c>
      <c r="B2448" s="23" t="s">
        <v>75</v>
      </c>
      <c r="C2448" s="39">
        <v>1299</v>
      </c>
      <c r="D2448" s="24">
        <v>0</v>
      </c>
      <c r="E2448" s="24">
        <v>0</v>
      </c>
      <c r="F2448" s="23">
        <f>COUNTIFS(mdr_rate_cleaned!$A$2:$A$10,B2448,mdr_rate_cleaned!$B$2:$B$10,"&lt;"&amp;C2448,mdr_rate_cleaned!$F$2:$F$10,"&gt;="&amp;C2448)</f>
        <v>1</v>
      </c>
      <c r="G2448" s="40">
        <f>SUMIFS(mdr_rate_cleaned!$G$2:$G$10,mdr_rate_cleaned!$A$2:$A$10,B2448,mdr_rate_cleaned!$B$2:$B$10,"&lt;"&amp;C2448,mdr_rate_cleaned!$F$2:$F$10,"&gt;="&amp;C2448)</f>
        <v>0</v>
      </c>
      <c r="H2448" s="24">
        <f t="shared" si="190"/>
        <v>0</v>
      </c>
      <c r="I2448" s="23" t="str">
        <f t="shared" si="191"/>
        <v>Match</v>
      </c>
      <c r="J2448" s="23" t="str">
        <f t="shared" si="192"/>
        <v>Match</v>
      </c>
      <c r="K2448" s="24">
        <f t="shared" si="193"/>
        <v>0</v>
      </c>
      <c r="L2448" s="24">
        <f t="shared" si="194"/>
        <v>0</v>
      </c>
    </row>
    <row r="2449" spans="1:12" ht="15" customHeight="1" x14ac:dyDescent="0.3">
      <c r="A2449" s="23" t="s">
        <v>15351</v>
      </c>
      <c r="B2449" s="23" t="s">
        <v>77</v>
      </c>
      <c r="C2449" s="39">
        <v>2499</v>
      </c>
      <c r="D2449" s="24">
        <v>42.48</v>
      </c>
      <c r="E2449" s="24">
        <v>7.65</v>
      </c>
      <c r="F2449" s="23">
        <f>COUNTIFS(mdr_rate_cleaned!$A$2:$A$10,B2449,mdr_rate_cleaned!$B$2:$B$10,"&lt;"&amp;C2449,mdr_rate_cleaned!$F$2:$F$10,"&gt;="&amp;C2449)</f>
        <v>1</v>
      </c>
      <c r="G2449" s="40">
        <f>SUMIFS(mdr_rate_cleaned!$G$2:$G$10,mdr_rate_cleaned!$A$2:$A$10,B2449,mdr_rate_cleaned!$B$2:$B$10,"&lt;"&amp;C2449,mdr_rate_cleaned!$F$2:$F$10,"&gt;="&amp;C2449)</f>
        <v>1.7000000000000001E-2</v>
      </c>
      <c r="H2449" s="24">
        <f t="shared" si="190"/>
        <v>42.48</v>
      </c>
      <c r="I2449" s="23" t="str">
        <f t="shared" si="191"/>
        <v>Match</v>
      </c>
      <c r="J2449" s="23" t="str">
        <f t="shared" si="192"/>
        <v>Match</v>
      </c>
      <c r="K2449" s="24">
        <f t="shared" si="193"/>
        <v>7.65</v>
      </c>
      <c r="L2449" s="24">
        <f t="shared" si="194"/>
        <v>0</v>
      </c>
    </row>
    <row r="2450" spans="1:12" ht="15" customHeight="1" x14ac:dyDescent="0.3">
      <c r="A2450" s="23" t="s">
        <v>15352</v>
      </c>
      <c r="B2450" s="23" t="s">
        <v>81</v>
      </c>
      <c r="C2450" s="39">
        <v>499</v>
      </c>
      <c r="D2450" s="24">
        <v>7.49</v>
      </c>
      <c r="E2450" s="24">
        <v>1.35</v>
      </c>
      <c r="F2450" s="23">
        <f>COUNTIFS(mdr_rate_cleaned!$A$2:$A$10,B2450,mdr_rate_cleaned!$B$2:$B$10,"&lt;"&amp;C2450,mdr_rate_cleaned!$F$2:$F$10,"&gt;="&amp;C2450)</f>
        <v>1</v>
      </c>
      <c r="G2450" s="40">
        <f>SUMIFS(mdr_rate_cleaned!$G$2:$G$10,mdr_rate_cleaned!$A$2:$A$10,B2450,mdr_rate_cleaned!$B$2:$B$10,"&lt;"&amp;C2450,mdr_rate_cleaned!$F$2:$F$10,"&gt;="&amp;C2450)</f>
        <v>1.4999999999999999E-2</v>
      </c>
      <c r="H2450" s="24">
        <f t="shared" si="190"/>
        <v>7.49</v>
      </c>
      <c r="I2450" s="23" t="str">
        <f t="shared" si="191"/>
        <v>Match</v>
      </c>
      <c r="J2450" s="23" t="str">
        <f t="shared" si="192"/>
        <v>Match</v>
      </c>
      <c r="K2450" s="24">
        <f t="shared" si="193"/>
        <v>1.35</v>
      </c>
      <c r="L2450" s="24">
        <f t="shared" si="194"/>
        <v>0</v>
      </c>
    </row>
    <row r="2451" spans="1:12" ht="15" customHeight="1" x14ac:dyDescent="0.3">
      <c r="A2451" s="23" t="s">
        <v>15353</v>
      </c>
      <c r="B2451" s="23" t="s">
        <v>75</v>
      </c>
      <c r="C2451" s="39">
        <v>7999</v>
      </c>
      <c r="D2451" s="24">
        <v>24</v>
      </c>
      <c r="E2451" s="24">
        <v>4.32</v>
      </c>
      <c r="F2451" s="23">
        <f>COUNTIFS(mdr_rate_cleaned!$A$2:$A$10,B2451,mdr_rate_cleaned!$B$2:$B$10,"&lt;"&amp;C2451,mdr_rate_cleaned!$F$2:$F$10,"&gt;="&amp;C2451)</f>
        <v>1</v>
      </c>
      <c r="G2451" s="40">
        <f>SUMIFS(mdr_rate_cleaned!$G$2:$G$10,mdr_rate_cleaned!$A$2:$A$10,B2451,mdr_rate_cleaned!$B$2:$B$10,"&lt;"&amp;C2451,mdr_rate_cleaned!$F$2:$F$10,"&gt;="&amp;C2451)</f>
        <v>3.0000000000000001E-3</v>
      </c>
      <c r="H2451" s="24">
        <f t="shared" si="190"/>
        <v>24</v>
      </c>
      <c r="I2451" s="23" t="str">
        <f t="shared" si="191"/>
        <v>Match</v>
      </c>
      <c r="J2451" s="23" t="str">
        <f t="shared" si="192"/>
        <v>Match</v>
      </c>
      <c r="K2451" s="24">
        <f t="shared" si="193"/>
        <v>4.32</v>
      </c>
      <c r="L2451" s="24">
        <f t="shared" si="194"/>
        <v>0</v>
      </c>
    </row>
    <row r="2452" spans="1:12" ht="15" customHeight="1" x14ac:dyDescent="0.3">
      <c r="A2452" s="23" t="s">
        <v>15354</v>
      </c>
      <c r="B2452" s="23" t="s">
        <v>75</v>
      </c>
      <c r="C2452" s="39">
        <v>2499</v>
      </c>
      <c r="D2452" s="24">
        <v>7.5</v>
      </c>
      <c r="E2452" s="24">
        <v>1.35</v>
      </c>
      <c r="F2452" s="23">
        <f>COUNTIFS(mdr_rate_cleaned!$A$2:$A$10,B2452,mdr_rate_cleaned!$B$2:$B$10,"&lt;"&amp;C2452,mdr_rate_cleaned!$F$2:$F$10,"&gt;="&amp;C2452)</f>
        <v>1</v>
      </c>
      <c r="G2452" s="40">
        <f>SUMIFS(mdr_rate_cleaned!$G$2:$G$10,mdr_rate_cleaned!$A$2:$A$10,B2452,mdr_rate_cleaned!$B$2:$B$10,"&lt;"&amp;C2452,mdr_rate_cleaned!$F$2:$F$10,"&gt;="&amp;C2452)</f>
        <v>3.0000000000000001E-3</v>
      </c>
      <c r="H2452" s="24">
        <f t="shared" si="190"/>
        <v>7.5</v>
      </c>
      <c r="I2452" s="23" t="str">
        <f t="shared" si="191"/>
        <v>Match</v>
      </c>
      <c r="J2452" s="23" t="str">
        <f t="shared" si="192"/>
        <v>Match</v>
      </c>
      <c r="K2452" s="24">
        <f t="shared" si="193"/>
        <v>1.35</v>
      </c>
      <c r="L2452" s="24">
        <f t="shared" si="194"/>
        <v>0</v>
      </c>
    </row>
    <row r="2453" spans="1:12" ht="15" customHeight="1" x14ac:dyDescent="0.3">
      <c r="A2453" s="23" t="s">
        <v>15355</v>
      </c>
      <c r="B2453" s="23" t="s">
        <v>79</v>
      </c>
      <c r="C2453" s="39">
        <v>1798</v>
      </c>
      <c r="D2453" s="24">
        <v>32.36</v>
      </c>
      <c r="E2453" s="24">
        <v>5.82</v>
      </c>
      <c r="F2453" s="23">
        <f>COUNTIFS(mdr_rate_cleaned!$A$2:$A$10,B2453,mdr_rate_cleaned!$B$2:$B$10,"&lt;"&amp;C2453,mdr_rate_cleaned!$F$2:$F$10,"&gt;="&amp;C2453)</f>
        <v>1</v>
      </c>
      <c r="G2453" s="40">
        <f>SUMIFS(mdr_rate_cleaned!$G$2:$G$10,mdr_rate_cleaned!$A$2:$A$10,B2453,mdr_rate_cleaned!$B$2:$B$10,"&lt;"&amp;C2453,mdr_rate_cleaned!$F$2:$F$10,"&gt;="&amp;C2453)</f>
        <v>1.8000000000000002E-2</v>
      </c>
      <c r="H2453" s="24">
        <f t="shared" si="190"/>
        <v>32.36</v>
      </c>
      <c r="I2453" s="23" t="str">
        <f t="shared" si="191"/>
        <v>Match</v>
      </c>
      <c r="J2453" s="23" t="str">
        <f t="shared" si="192"/>
        <v>Match</v>
      </c>
      <c r="K2453" s="24">
        <f t="shared" si="193"/>
        <v>5.82</v>
      </c>
      <c r="L2453" s="24">
        <f t="shared" si="194"/>
        <v>0</v>
      </c>
    </row>
    <row r="2454" spans="1:12" ht="15" customHeight="1" x14ac:dyDescent="0.3">
      <c r="A2454" s="23" t="s">
        <v>15356</v>
      </c>
      <c r="B2454" s="23" t="s">
        <v>79</v>
      </c>
      <c r="C2454" s="39">
        <v>349</v>
      </c>
      <c r="D2454" s="24">
        <v>6.28</v>
      </c>
      <c r="E2454" s="24">
        <v>1.1299999999999999</v>
      </c>
      <c r="F2454" s="23">
        <f>COUNTIFS(mdr_rate_cleaned!$A$2:$A$10,B2454,mdr_rate_cleaned!$B$2:$B$10,"&lt;"&amp;C2454,mdr_rate_cleaned!$F$2:$F$10,"&gt;="&amp;C2454)</f>
        <v>1</v>
      </c>
      <c r="G2454" s="40">
        <f>SUMIFS(mdr_rate_cleaned!$G$2:$G$10,mdr_rate_cleaned!$A$2:$A$10,B2454,mdr_rate_cleaned!$B$2:$B$10,"&lt;"&amp;C2454,mdr_rate_cleaned!$F$2:$F$10,"&gt;="&amp;C2454)</f>
        <v>1.8000000000000002E-2</v>
      </c>
      <c r="H2454" s="24">
        <f t="shared" si="190"/>
        <v>6.28</v>
      </c>
      <c r="I2454" s="23" t="str">
        <f t="shared" si="191"/>
        <v>Match</v>
      </c>
      <c r="J2454" s="23" t="str">
        <f t="shared" si="192"/>
        <v>Match</v>
      </c>
      <c r="K2454" s="24">
        <f t="shared" si="193"/>
        <v>1.1299999999999999</v>
      </c>
      <c r="L2454" s="24">
        <f t="shared" si="194"/>
        <v>0</v>
      </c>
    </row>
    <row r="2455" spans="1:12" ht="15" customHeight="1" x14ac:dyDescent="0.3">
      <c r="A2455" s="23" t="s">
        <v>15357</v>
      </c>
      <c r="B2455" s="23" t="s">
        <v>75</v>
      </c>
      <c r="C2455" s="39">
        <v>7497</v>
      </c>
      <c r="D2455" s="24">
        <v>22.49</v>
      </c>
      <c r="E2455" s="24">
        <v>4.05</v>
      </c>
      <c r="F2455" s="23">
        <f>COUNTIFS(mdr_rate_cleaned!$A$2:$A$10,B2455,mdr_rate_cleaned!$B$2:$B$10,"&lt;"&amp;C2455,mdr_rate_cleaned!$F$2:$F$10,"&gt;="&amp;C2455)</f>
        <v>1</v>
      </c>
      <c r="G2455" s="40">
        <f>SUMIFS(mdr_rate_cleaned!$G$2:$G$10,mdr_rate_cleaned!$A$2:$A$10,B2455,mdr_rate_cleaned!$B$2:$B$10,"&lt;"&amp;C2455,mdr_rate_cleaned!$F$2:$F$10,"&gt;="&amp;C2455)</f>
        <v>3.0000000000000001E-3</v>
      </c>
      <c r="H2455" s="24">
        <f t="shared" si="190"/>
        <v>22.49</v>
      </c>
      <c r="I2455" s="23" t="str">
        <f t="shared" si="191"/>
        <v>Match</v>
      </c>
      <c r="J2455" s="23" t="str">
        <f t="shared" si="192"/>
        <v>Match</v>
      </c>
      <c r="K2455" s="24">
        <f t="shared" si="193"/>
        <v>4.05</v>
      </c>
      <c r="L2455" s="24">
        <f t="shared" si="194"/>
        <v>0</v>
      </c>
    </row>
    <row r="2456" spans="1:12" ht="15" customHeight="1" x14ac:dyDescent="0.3">
      <c r="A2456" s="23" t="s">
        <v>15358</v>
      </c>
      <c r="B2456" s="23" t="s">
        <v>79</v>
      </c>
      <c r="C2456" s="39">
        <v>3499</v>
      </c>
      <c r="D2456" s="24">
        <v>55.98</v>
      </c>
      <c r="E2456" s="24">
        <v>10.08</v>
      </c>
      <c r="F2456" s="23">
        <f>COUNTIFS(mdr_rate_cleaned!$A$2:$A$10,B2456,mdr_rate_cleaned!$B$2:$B$10,"&lt;"&amp;C2456,mdr_rate_cleaned!$F$2:$F$10,"&gt;="&amp;C2456)</f>
        <v>1</v>
      </c>
      <c r="G2456" s="40">
        <f>SUMIFS(mdr_rate_cleaned!$G$2:$G$10,mdr_rate_cleaned!$A$2:$A$10,B2456,mdr_rate_cleaned!$B$2:$B$10,"&lt;"&amp;C2456,mdr_rate_cleaned!$F$2:$F$10,"&gt;="&amp;C2456)</f>
        <v>1.6E-2</v>
      </c>
      <c r="H2456" s="24">
        <f t="shared" si="190"/>
        <v>55.98</v>
      </c>
      <c r="I2456" s="23" t="str">
        <f t="shared" si="191"/>
        <v>Match</v>
      </c>
      <c r="J2456" s="23" t="str">
        <f t="shared" si="192"/>
        <v>Match</v>
      </c>
      <c r="K2456" s="24">
        <f t="shared" si="193"/>
        <v>10.08</v>
      </c>
      <c r="L2456" s="24">
        <f t="shared" si="194"/>
        <v>0</v>
      </c>
    </row>
    <row r="2457" spans="1:12" ht="15" customHeight="1" x14ac:dyDescent="0.3">
      <c r="A2457" s="23" t="s">
        <v>15359</v>
      </c>
      <c r="B2457" s="23" t="s">
        <v>79</v>
      </c>
      <c r="C2457" s="39">
        <v>1799</v>
      </c>
      <c r="D2457" s="24">
        <v>32.380000000000003</v>
      </c>
      <c r="E2457" s="24">
        <v>5.83</v>
      </c>
      <c r="F2457" s="23">
        <f>COUNTIFS(mdr_rate_cleaned!$A$2:$A$10,B2457,mdr_rate_cleaned!$B$2:$B$10,"&lt;"&amp;C2457,mdr_rate_cleaned!$F$2:$F$10,"&gt;="&amp;C2457)</f>
        <v>1</v>
      </c>
      <c r="G2457" s="40">
        <f>SUMIFS(mdr_rate_cleaned!$G$2:$G$10,mdr_rate_cleaned!$A$2:$A$10,B2457,mdr_rate_cleaned!$B$2:$B$10,"&lt;"&amp;C2457,mdr_rate_cleaned!$F$2:$F$10,"&gt;="&amp;C2457)</f>
        <v>1.8000000000000002E-2</v>
      </c>
      <c r="H2457" s="24">
        <f t="shared" si="190"/>
        <v>32.380000000000003</v>
      </c>
      <c r="I2457" s="23" t="str">
        <f t="shared" si="191"/>
        <v>Match</v>
      </c>
      <c r="J2457" s="23" t="str">
        <f t="shared" si="192"/>
        <v>Match</v>
      </c>
      <c r="K2457" s="24">
        <f t="shared" si="193"/>
        <v>5.83</v>
      </c>
      <c r="L2457" s="24">
        <f t="shared" si="194"/>
        <v>0</v>
      </c>
    </row>
    <row r="2458" spans="1:12" ht="15" customHeight="1" x14ac:dyDescent="0.3">
      <c r="A2458" s="23" t="s">
        <v>15360</v>
      </c>
      <c r="B2458" s="23" t="s">
        <v>79</v>
      </c>
      <c r="C2458" s="39">
        <v>799</v>
      </c>
      <c r="D2458" s="24">
        <v>14.38</v>
      </c>
      <c r="E2458" s="24">
        <v>2.59</v>
      </c>
      <c r="F2458" s="23">
        <f>COUNTIFS(mdr_rate_cleaned!$A$2:$A$10,B2458,mdr_rate_cleaned!$B$2:$B$10,"&lt;"&amp;C2458,mdr_rate_cleaned!$F$2:$F$10,"&gt;="&amp;C2458)</f>
        <v>1</v>
      </c>
      <c r="G2458" s="40">
        <f>SUMIFS(mdr_rate_cleaned!$G$2:$G$10,mdr_rate_cleaned!$A$2:$A$10,B2458,mdr_rate_cleaned!$B$2:$B$10,"&lt;"&amp;C2458,mdr_rate_cleaned!$F$2:$F$10,"&gt;="&amp;C2458)</f>
        <v>1.8000000000000002E-2</v>
      </c>
      <c r="H2458" s="24">
        <f t="shared" si="190"/>
        <v>14.38</v>
      </c>
      <c r="I2458" s="23" t="str">
        <f t="shared" si="191"/>
        <v>Match</v>
      </c>
      <c r="J2458" s="23" t="str">
        <f t="shared" si="192"/>
        <v>Match</v>
      </c>
      <c r="K2458" s="24">
        <f t="shared" si="193"/>
        <v>2.59</v>
      </c>
      <c r="L2458" s="24">
        <f t="shared" si="194"/>
        <v>0</v>
      </c>
    </row>
    <row r="2459" spans="1:12" ht="15" customHeight="1" x14ac:dyDescent="0.3">
      <c r="A2459" s="23" t="s">
        <v>15361</v>
      </c>
      <c r="B2459" s="23" t="s">
        <v>75</v>
      </c>
      <c r="C2459" s="39">
        <v>499</v>
      </c>
      <c r="D2459" s="24">
        <v>0</v>
      </c>
      <c r="E2459" s="24">
        <v>0</v>
      </c>
      <c r="F2459" s="23">
        <f>COUNTIFS(mdr_rate_cleaned!$A$2:$A$10,B2459,mdr_rate_cleaned!$B$2:$B$10,"&lt;"&amp;C2459,mdr_rate_cleaned!$F$2:$F$10,"&gt;="&amp;C2459)</f>
        <v>1</v>
      </c>
      <c r="G2459" s="40">
        <f>SUMIFS(mdr_rate_cleaned!$G$2:$G$10,mdr_rate_cleaned!$A$2:$A$10,B2459,mdr_rate_cleaned!$B$2:$B$10,"&lt;"&amp;C2459,mdr_rate_cleaned!$F$2:$F$10,"&gt;="&amp;C2459)</f>
        <v>0</v>
      </c>
      <c r="H2459" s="24">
        <f t="shared" si="190"/>
        <v>0</v>
      </c>
      <c r="I2459" s="23" t="str">
        <f t="shared" si="191"/>
        <v>Match</v>
      </c>
      <c r="J2459" s="23" t="str">
        <f t="shared" si="192"/>
        <v>Match</v>
      </c>
      <c r="K2459" s="24">
        <f t="shared" si="193"/>
        <v>0</v>
      </c>
      <c r="L2459" s="24">
        <f t="shared" si="194"/>
        <v>0</v>
      </c>
    </row>
    <row r="2460" spans="1:12" ht="15" customHeight="1" x14ac:dyDescent="0.3">
      <c r="A2460" s="23" t="s">
        <v>15362</v>
      </c>
      <c r="B2460" s="23" t="s">
        <v>75</v>
      </c>
      <c r="C2460" s="39">
        <v>299</v>
      </c>
      <c r="D2460" s="24">
        <v>0</v>
      </c>
      <c r="E2460" s="24">
        <v>0</v>
      </c>
      <c r="F2460" s="23">
        <f>COUNTIFS(mdr_rate_cleaned!$A$2:$A$10,B2460,mdr_rate_cleaned!$B$2:$B$10,"&lt;"&amp;C2460,mdr_rate_cleaned!$F$2:$F$10,"&gt;="&amp;C2460)</f>
        <v>1</v>
      </c>
      <c r="G2460" s="40">
        <f>SUMIFS(mdr_rate_cleaned!$G$2:$G$10,mdr_rate_cleaned!$A$2:$A$10,B2460,mdr_rate_cleaned!$B$2:$B$10,"&lt;"&amp;C2460,mdr_rate_cleaned!$F$2:$F$10,"&gt;="&amp;C2460)</f>
        <v>0</v>
      </c>
      <c r="H2460" s="24">
        <f t="shared" si="190"/>
        <v>0</v>
      </c>
      <c r="I2460" s="23" t="str">
        <f t="shared" si="191"/>
        <v>Match</v>
      </c>
      <c r="J2460" s="23" t="str">
        <f t="shared" si="192"/>
        <v>Match</v>
      </c>
      <c r="K2460" s="24">
        <f t="shared" si="193"/>
        <v>0</v>
      </c>
      <c r="L2460" s="24">
        <f t="shared" si="194"/>
        <v>0</v>
      </c>
    </row>
    <row r="2461" spans="1:12" ht="15" customHeight="1" x14ac:dyDescent="0.3">
      <c r="A2461" s="23" t="s">
        <v>15364</v>
      </c>
      <c r="B2461" s="23" t="s">
        <v>75</v>
      </c>
      <c r="C2461" s="39">
        <v>798</v>
      </c>
      <c r="D2461" s="24">
        <v>0</v>
      </c>
      <c r="E2461" s="24">
        <v>0</v>
      </c>
      <c r="F2461" s="23">
        <f>COUNTIFS(mdr_rate_cleaned!$A$2:$A$10,B2461,mdr_rate_cleaned!$B$2:$B$10,"&lt;"&amp;C2461,mdr_rate_cleaned!$F$2:$F$10,"&gt;="&amp;C2461)</f>
        <v>1</v>
      </c>
      <c r="G2461" s="40">
        <f>SUMIFS(mdr_rate_cleaned!$G$2:$G$10,mdr_rate_cleaned!$A$2:$A$10,B2461,mdr_rate_cleaned!$B$2:$B$10,"&lt;"&amp;C2461,mdr_rate_cleaned!$F$2:$F$10,"&gt;="&amp;C2461)</f>
        <v>0</v>
      </c>
      <c r="H2461" s="24">
        <f t="shared" si="190"/>
        <v>0</v>
      </c>
      <c r="I2461" s="23" t="str">
        <f t="shared" si="191"/>
        <v>Match</v>
      </c>
      <c r="J2461" s="23" t="str">
        <f t="shared" si="192"/>
        <v>Match</v>
      </c>
      <c r="K2461" s="24">
        <f t="shared" si="193"/>
        <v>0</v>
      </c>
      <c r="L2461" s="24">
        <f t="shared" si="194"/>
        <v>0</v>
      </c>
    </row>
    <row r="2462" spans="1:12" ht="15" customHeight="1" x14ac:dyDescent="0.3">
      <c r="A2462" s="23" t="s">
        <v>15365</v>
      </c>
      <c r="B2462" s="23" t="s">
        <v>79</v>
      </c>
      <c r="C2462" s="39">
        <v>599</v>
      </c>
      <c r="D2462" s="24">
        <v>10.78</v>
      </c>
      <c r="E2462" s="24">
        <v>1.94</v>
      </c>
      <c r="F2462" s="23">
        <f>COUNTIFS(mdr_rate_cleaned!$A$2:$A$10,B2462,mdr_rate_cleaned!$B$2:$B$10,"&lt;"&amp;C2462,mdr_rate_cleaned!$F$2:$F$10,"&gt;="&amp;C2462)</f>
        <v>1</v>
      </c>
      <c r="G2462" s="40">
        <f>SUMIFS(mdr_rate_cleaned!$G$2:$G$10,mdr_rate_cleaned!$A$2:$A$10,B2462,mdr_rate_cleaned!$B$2:$B$10,"&lt;"&amp;C2462,mdr_rate_cleaned!$F$2:$F$10,"&gt;="&amp;C2462)</f>
        <v>1.8000000000000002E-2</v>
      </c>
      <c r="H2462" s="24">
        <f t="shared" si="190"/>
        <v>10.78</v>
      </c>
      <c r="I2462" s="23" t="str">
        <f t="shared" si="191"/>
        <v>Match</v>
      </c>
      <c r="J2462" s="23" t="str">
        <f t="shared" si="192"/>
        <v>Match</v>
      </c>
      <c r="K2462" s="24">
        <f t="shared" si="193"/>
        <v>1.94</v>
      </c>
      <c r="L2462" s="24">
        <f t="shared" si="194"/>
        <v>0</v>
      </c>
    </row>
    <row r="2463" spans="1:12" ht="15" customHeight="1" x14ac:dyDescent="0.3">
      <c r="A2463" s="23" t="s">
        <v>15366</v>
      </c>
      <c r="B2463" s="23" t="s">
        <v>75</v>
      </c>
      <c r="C2463" s="39">
        <v>3297</v>
      </c>
      <c r="D2463" s="24">
        <v>9.89</v>
      </c>
      <c r="E2463" s="24">
        <v>1.78</v>
      </c>
      <c r="F2463" s="23">
        <f>COUNTIFS(mdr_rate_cleaned!$A$2:$A$10,B2463,mdr_rate_cleaned!$B$2:$B$10,"&lt;"&amp;C2463,mdr_rate_cleaned!$F$2:$F$10,"&gt;="&amp;C2463)</f>
        <v>1</v>
      </c>
      <c r="G2463" s="40">
        <f>SUMIFS(mdr_rate_cleaned!$G$2:$G$10,mdr_rate_cleaned!$A$2:$A$10,B2463,mdr_rate_cleaned!$B$2:$B$10,"&lt;"&amp;C2463,mdr_rate_cleaned!$F$2:$F$10,"&gt;="&amp;C2463)</f>
        <v>3.0000000000000001E-3</v>
      </c>
      <c r="H2463" s="24">
        <f t="shared" si="190"/>
        <v>9.89</v>
      </c>
      <c r="I2463" s="23" t="str">
        <f t="shared" si="191"/>
        <v>Match</v>
      </c>
      <c r="J2463" s="23" t="str">
        <f t="shared" si="192"/>
        <v>Match</v>
      </c>
      <c r="K2463" s="24">
        <f t="shared" si="193"/>
        <v>1.78</v>
      </c>
      <c r="L2463" s="24">
        <f t="shared" si="194"/>
        <v>0</v>
      </c>
    </row>
    <row r="2464" spans="1:12" ht="15" customHeight="1" x14ac:dyDescent="0.3">
      <c r="A2464" s="23" t="s">
        <v>15367</v>
      </c>
      <c r="B2464" s="23" t="s">
        <v>75</v>
      </c>
      <c r="C2464" s="39">
        <v>6097</v>
      </c>
      <c r="D2464" s="24">
        <v>18.29</v>
      </c>
      <c r="E2464" s="24">
        <v>3.29</v>
      </c>
      <c r="F2464" s="23">
        <f>COUNTIFS(mdr_rate_cleaned!$A$2:$A$10,B2464,mdr_rate_cleaned!$B$2:$B$10,"&lt;"&amp;C2464,mdr_rate_cleaned!$F$2:$F$10,"&gt;="&amp;C2464)</f>
        <v>1</v>
      </c>
      <c r="G2464" s="40">
        <f>SUMIFS(mdr_rate_cleaned!$G$2:$G$10,mdr_rate_cleaned!$A$2:$A$10,B2464,mdr_rate_cleaned!$B$2:$B$10,"&lt;"&amp;C2464,mdr_rate_cleaned!$F$2:$F$10,"&gt;="&amp;C2464)</f>
        <v>3.0000000000000001E-3</v>
      </c>
      <c r="H2464" s="24">
        <f t="shared" si="190"/>
        <v>18.29</v>
      </c>
      <c r="I2464" s="23" t="str">
        <f t="shared" si="191"/>
        <v>Match</v>
      </c>
      <c r="J2464" s="23" t="str">
        <f t="shared" si="192"/>
        <v>Match</v>
      </c>
      <c r="K2464" s="24">
        <f t="shared" si="193"/>
        <v>3.29</v>
      </c>
      <c r="L2464" s="24">
        <f t="shared" si="194"/>
        <v>0</v>
      </c>
    </row>
    <row r="2465" spans="1:12" ht="15" customHeight="1" x14ac:dyDescent="0.3">
      <c r="A2465" s="23" t="s">
        <v>15368</v>
      </c>
      <c r="B2465" s="23" t="s">
        <v>75</v>
      </c>
      <c r="C2465" s="39">
        <v>1598</v>
      </c>
      <c r="D2465" s="24">
        <v>0</v>
      </c>
      <c r="E2465" s="24">
        <v>0</v>
      </c>
      <c r="F2465" s="23">
        <f>COUNTIFS(mdr_rate_cleaned!$A$2:$A$10,B2465,mdr_rate_cleaned!$B$2:$B$10,"&lt;"&amp;C2465,mdr_rate_cleaned!$F$2:$F$10,"&gt;="&amp;C2465)</f>
        <v>1</v>
      </c>
      <c r="G2465" s="40">
        <f>SUMIFS(mdr_rate_cleaned!$G$2:$G$10,mdr_rate_cleaned!$A$2:$A$10,B2465,mdr_rate_cleaned!$B$2:$B$10,"&lt;"&amp;C2465,mdr_rate_cleaned!$F$2:$F$10,"&gt;="&amp;C2465)</f>
        <v>0</v>
      </c>
      <c r="H2465" s="24">
        <f t="shared" si="190"/>
        <v>0</v>
      </c>
      <c r="I2465" s="23" t="str">
        <f t="shared" si="191"/>
        <v>Match</v>
      </c>
      <c r="J2465" s="23" t="str">
        <f t="shared" si="192"/>
        <v>Match</v>
      </c>
      <c r="K2465" s="24">
        <f t="shared" si="193"/>
        <v>0</v>
      </c>
      <c r="L2465" s="24">
        <f t="shared" si="194"/>
        <v>0</v>
      </c>
    </row>
    <row r="2466" spans="1:12" ht="15" customHeight="1" x14ac:dyDescent="0.3">
      <c r="A2466" s="23" t="s">
        <v>15370</v>
      </c>
      <c r="B2466" s="23" t="s">
        <v>79</v>
      </c>
      <c r="C2466" s="39">
        <v>1098</v>
      </c>
      <c r="D2466" s="24">
        <v>19.760000000000002</v>
      </c>
      <c r="E2466" s="24">
        <v>3.56</v>
      </c>
      <c r="F2466" s="23">
        <f>COUNTIFS(mdr_rate_cleaned!$A$2:$A$10,B2466,mdr_rate_cleaned!$B$2:$B$10,"&lt;"&amp;C2466,mdr_rate_cleaned!$F$2:$F$10,"&gt;="&amp;C2466)</f>
        <v>1</v>
      </c>
      <c r="G2466" s="40">
        <f>SUMIFS(mdr_rate_cleaned!$G$2:$G$10,mdr_rate_cleaned!$A$2:$A$10,B2466,mdr_rate_cleaned!$B$2:$B$10,"&lt;"&amp;C2466,mdr_rate_cleaned!$F$2:$F$10,"&gt;="&amp;C2466)</f>
        <v>1.8000000000000002E-2</v>
      </c>
      <c r="H2466" s="24">
        <f t="shared" si="190"/>
        <v>19.760000000000002</v>
      </c>
      <c r="I2466" s="23" t="str">
        <f t="shared" si="191"/>
        <v>Match</v>
      </c>
      <c r="J2466" s="23" t="str">
        <f t="shared" si="192"/>
        <v>Match</v>
      </c>
      <c r="K2466" s="24">
        <f t="shared" si="193"/>
        <v>3.56</v>
      </c>
      <c r="L2466" s="24">
        <f t="shared" si="194"/>
        <v>0</v>
      </c>
    </row>
    <row r="2467" spans="1:12" ht="15" customHeight="1" x14ac:dyDescent="0.3">
      <c r="A2467" s="23" t="s">
        <v>15371</v>
      </c>
      <c r="B2467" s="23" t="s">
        <v>79</v>
      </c>
      <c r="C2467" s="39">
        <v>799</v>
      </c>
      <c r="D2467" s="24">
        <v>14.38</v>
      </c>
      <c r="E2467" s="24">
        <v>2.59</v>
      </c>
      <c r="F2467" s="23">
        <f>COUNTIFS(mdr_rate_cleaned!$A$2:$A$10,B2467,mdr_rate_cleaned!$B$2:$B$10,"&lt;"&amp;C2467,mdr_rate_cleaned!$F$2:$F$10,"&gt;="&amp;C2467)</f>
        <v>1</v>
      </c>
      <c r="G2467" s="40">
        <f>SUMIFS(mdr_rate_cleaned!$G$2:$G$10,mdr_rate_cleaned!$A$2:$A$10,B2467,mdr_rate_cleaned!$B$2:$B$10,"&lt;"&amp;C2467,mdr_rate_cleaned!$F$2:$F$10,"&gt;="&amp;C2467)</f>
        <v>1.8000000000000002E-2</v>
      </c>
      <c r="H2467" s="24">
        <f t="shared" si="190"/>
        <v>14.38</v>
      </c>
      <c r="I2467" s="23" t="str">
        <f t="shared" si="191"/>
        <v>Match</v>
      </c>
      <c r="J2467" s="23" t="str">
        <f t="shared" si="192"/>
        <v>Match</v>
      </c>
      <c r="K2467" s="24">
        <f t="shared" si="193"/>
        <v>2.59</v>
      </c>
      <c r="L2467" s="24">
        <f t="shared" si="194"/>
        <v>0</v>
      </c>
    </row>
    <row r="2468" spans="1:12" ht="15" customHeight="1" x14ac:dyDescent="0.3">
      <c r="A2468" s="23" t="s">
        <v>15372</v>
      </c>
      <c r="B2468" s="23" t="s">
        <v>77</v>
      </c>
      <c r="C2468" s="39">
        <v>1098</v>
      </c>
      <c r="D2468" s="24">
        <v>20.86</v>
      </c>
      <c r="E2468" s="24">
        <v>3.75</v>
      </c>
      <c r="F2468" s="23">
        <f>COUNTIFS(mdr_rate_cleaned!$A$2:$A$10,B2468,mdr_rate_cleaned!$B$2:$B$10,"&lt;"&amp;C2468,mdr_rate_cleaned!$F$2:$F$10,"&gt;="&amp;C2468)</f>
        <v>1</v>
      </c>
      <c r="G2468" s="40">
        <f>SUMIFS(mdr_rate_cleaned!$G$2:$G$10,mdr_rate_cleaned!$A$2:$A$10,B2468,mdr_rate_cleaned!$B$2:$B$10,"&lt;"&amp;C2468,mdr_rate_cleaned!$F$2:$F$10,"&gt;="&amp;C2468)</f>
        <v>1.9E-2</v>
      </c>
      <c r="H2468" s="24">
        <f t="shared" si="190"/>
        <v>20.86</v>
      </c>
      <c r="I2468" s="23" t="str">
        <f t="shared" si="191"/>
        <v>Match</v>
      </c>
      <c r="J2468" s="23" t="str">
        <f t="shared" si="192"/>
        <v>Match</v>
      </c>
      <c r="K2468" s="24">
        <f t="shared" si="193"/>
        <v>3.75</v>
      </c>
      <c r="L2468" s="24">
        <f t="shared" si="194"/>
        <v>0</v>
      </c>
    </row>
    <row r="2469" spans="1:12" ht="15" customHeight="1" x14ac:dyDescent="0.3">
      <c r="A2469" s="23" t="s">
        <v>15373</v>
      </c>
      <c r="B2469" s="23" t="s">
        <v>75</v>
      </c>
      <c r="C2469" s="39">
        <v>3499</v>
      </c>
      <c r="D2469" s="24">
        <v>10.5</v>
      </c>
      <c r="E2469" s="24">
        <v>1.89</v>
      </c>
      <c r="F2469" s="23">
        <f>COUNTIFS(mdr_rate_cleaned!$A$2:$A$10,B2469,mdr_rate_cleaned!$B$2:$B$10,"&lt;"&amp;C2469,mdr_rate_cleaned!$F$2:$F$10,"&gt;="&amp;C2469)</f>
        <v>1</v>
      </c>
      <c r="G2469" s="40">
        <f>SUMIFS(mdr_rate_cleaned!$G$2:$G$10,mdr_rate_cleaned!$A$2:$A$10,B2469,mdr_rate_cleaned!$B$2:$B$10,"&lt;"&amp;C2469,mdr_rate_cleaned!$F$2:$F$10,"&gt;="&amp;C2469)</f>
        <v>3.0000000000000001E-3</v>
      </c>
      <c r="H2469" s="24">
        <f t="shared" si="190"/>
        <v>10.5</v>
      </c>
      <c r="I2469" s="23" t="str">
        <f t="shared" si="191"/>
        <v>Match</v>
      </c>
      <c r="J2469" s="23" t="str">
        <f t="shared" si="192"/>
        <v>Match</v>
      </c>
      <c r="K2469" s="24">
        <f t="shared" si="193"/>
        <v>1.89</v>
      </c>
      <c r="L2469" s="24">
        <f t="shared" si="194"/>
        <v>0</v>
      </c>
    </row>
    <row r="2470" spans="1:12" ht="15" customHeight="1" x14ac:dyDescent="0.3">
      <c r="A2470" s="23" t="s">
        <v>15374</v>
      </c>
      <c r="B2470" s="23" t="s">
        <v>81</v>
      </c>
      <c r="C2470" s="39">
        <v>2999</v>
      </c>
      <c r="D2470" s="24">
        <v>35.99</v>
      </c>
      <c r="E2470" s="24">
        <v>6.48</v>
      </c>
      <c r="F2470" s="23">
        <f>COUNTIFS(mdr_rate_cleaned!$A$2:$A$10,B2470,mdr_rate_cleaned!$B$2:$B$10,"&lt;"&amp;C2470,mdr_rate_cleaned!$F$2:$F$10,"&gt;="&amp;C2470)</f>
        <v>1</v>
      </c>
      <c r="G2470" s="40">
        <f>SUMIFS(mdr_rate_cleaned!$G$2:$G$10,mdr_rate_cleaned!$A$2:$A$10,B2470,mdr_rate_cleaned!$B$2:$B$10,"&lt;"&amp;C2470,mdr_rate_cleaned!$F$2:$F$10,"&gt;="&amp;C2470)</f>
        <v>1.2E-2</v>
      </c>
      <c r="H2470" s="24">
        <f t="shared" si="190"/>
        <v>35.99</v>
      </c>
      <c r="I2470" s="23" t="str">
        <f t="shared" si="191"/>
        <v>Match</v>
      </c>
      <c r="J2470" s="23" t="str">
        <f t="shared" si="192"/>
        <v>Match</v>
      </c>
      <c r="K2470" s="24">
        <f t="shared" si="193"/>
        <v>6.48</v>
      </c>
      <c r="L2470" s="24">
        <f t="shared" si="194"/>
        <v>0</v>
      </c>
    </row>
    <row r="2471" spans="1:12" ht="15" customHeight="1" x14ac:dyDescent="0.3">
      <c r="A2471" s="23" t="s">
        <v>15376</v>
      </c>
      <c r="B2471" s="23" t="s">
        <v>79</v>
      </c>
      <c r="C2471" s="39">
        <v>3797</v>
      </c>
      <c r="D2471" s="24">
        <v>60.75</v>
      </c>
      <c r="E2471" s="24">
        <v>10.94</v>
      </c>
      <c r="F2471" s="23">
        <f>COUNTIFS(mdr_rate_cleaned!$A$2:$A$10,B2471,mdr_rate_cleaned!$B$2:$B$10,"&lt;"&amp;C2471,mdr_rate_cleaned!$F$2:$F$10,"&gt;="&amp;C2471)</f>
        <v>1</v>
      </c>
      <c r="G2471" s="40">
        <f>SUMIFS(mdr_rate_cleaned!$G$2:$G$10,mdr_rate_cleaned!$A$2:$A$10,B2471,mdr_rate_cleaned!$B$2:$B$10,"&lt;"&amp;C2471,mdr_rate_cleaned!$F$2:$F$10,"&gt;="&amp;C2471)</f>
        <v>1.6E-2</v>
      </c>
      <c r="H2471" s="24">
        <f t="shared" si="190"/>
        <v>60.75</v>
      </c>
      <c r="I2471" s="23" t="str">
        <f t="shared" si="191"/>
        <v>Match</v>
      </c>
      <c r="J2471" s="23" t="str">
        <f t="shared" si="192"/>
        <v>Match</v>
      </c>
      <c r="K2471" s="24">
        <f t="shared" si="193"/>
        <v>10.94</v>
      </c>
      <c r="L2471" s="24">
        <f t="shared" si="194"/>
        <v>0</v>
      </c>
    </row>
    <row r="2472" spans="1:12" ht="15" customHeight="1" x14ac:dyDescent="0.3">
      <c r="A2472" s="23" t="s">
        <v>15377</v>
      </c>
      <c r="B2472" s="23" t="s">
        <v>75</v>
      </c>
      <c r="C2472" s="39">
        <v>1998</v>
      </c>
      <c r="D2472" s="24">
        <v>0</v>
      </c>
      <c r="E2472" s="24">
        <v>0</v>
      </c>
      <c r="F2472" s="23">
        <f>COUNTIFS(mdr_rate_cleaned!$A$2:$A$10,B2472,mdr_rate_cleaned!$B$2:$B$10,"&lt;"&amp;C2472,mdr_rate_cleaned!$F$2:$F$10,"&gt;="&amp;C2472)</f>
        <v>1</v>
      </c>
      <c r="G2472" s="40">
        <f>SUMIFS(mdr_rate_cleaned!$G$2:$G$10,mdr_rate_cleaned!$A$2:$A$10,B2472,mdr_rate_cleaned!$B$2:$B$10,"&lt;"&amp;C2472,mdr_rate_cleaned!$F$2:$F$10,"&gt;="&amp;C2472)</f>
        <v>0</v>
      </c>
      <c r="H2472" s="24">
        <f t="shared" si="190"/>
        <v>0</v>
      </c>
      <c r="I2472" s="23" t="str">
        <f t="shared" si="191"/>
        <v>Match</v>
      </c>
      <c r="J2472" s="23" t="str">
        <f t="shared" si="192"/>
        <v>Match</v>
      </c>
      <c r="K2472" s="24">
        <f t="shared" si="193"/>
        <v>0</v>
      </c>
      <c r="L2472" s="24">
        <f t="shared" si="194"/>
        <v>0</v>
      </c>
    </row>
    <row r="2473" spans="1:12" ht="15" customHeight="1" x14ac:dyDescent="0.3">
      <c r="A2473" s="23" t="s">
        <v>15379</v>
      </c>
      <c r="B2473" s="23" t="s">
        <v>75</v>
      </c>
      <c r="C2473" s="39">
        <v>2499</v>
      </c>
      <c r="D2473" s="24">
        <v>7.5</v>
      </c>
      <c r="E2473" s="24">
        <v>1.35</v>
      </c>
      <c r="F2473" s="23">
        <f>COUNTIFS(mdr_rate_cleaned!$A$2:$A$10,B2473,mdr_rate_cleaned!$B$2:$B$10,"&lt;"&amp;C2473,mdr_rate_cleaned!$F$2:$F$10,"&gt;="&amp;C2473)</f>
        <v>1</v>
      </c>
      <c r="G2473" s="40">
        <f>SUMIFS(mdr_rate_cleaned!$G$2:$G$10,mdr_rate_cleaned!$A$2:$A$10,B2473,mdr_rate_cleaned!$B$2:$B$10,"&lt;"&amp;C2473,mdr_rate_cleaned!$F$2:$F$10,"&gt;="&amp;C2473)</f>
        <v>3.0000000000000001E-3</v>
      </c>
      <c r="H2473" s="24">
        <f t="shared" si="190"/>
        <v>7.5</v>
      </c>
      <c r="I2473" s="23" t="str">
        <f t="shared" si="191"/>
        <v>Match</v>
      </c>
      <c r="J2473" s="23" t="str">
        <f t="shared" si="192"/>
        <v>Match</v>
      </c>
      <c r="K2473" s="24">
        <f t="shared" si="193"/>
        <v>1.35</v>
      </c>
      <c r="L2473" s="24">
        <f t="shared" si="194"/>
        <v>0</v>
      </c>
    </row>
    <row r="2474" spans="1:12" ht="15" customHeight="1" x14ac:dyDescent="0.3">
      <c r="A2474" s="23" t="s">
        <v>15380</v>
      </c>
      <c r="B2474" s="23" t="s">
        <v>79</v>
      </c>
      <c r="C2474" s="39">
        <v>799</v>
      </c>
      <c r="D2474" s="24">
        <v>14.38</v>
      </c>
      <c r="E2474" s="24">
        <v>2.59</v>
      </c>
      <c r="F2474" s="23">
        <f>COUNTIFS(mdr_rate_cleaned!$A$2:$A$10,B2474,mdr_rate_cleaned!$B$2:$B$10,"&lt;"&amp;C2474,mdr_rate_cleaned!$F$2:$F$10,"&gt;="&amp;C2474)</f>
        <v>1</v>
      </c>
      <c r="G2474" s="40">
        <f>SUMIFS(mdr_rate_cleaned!$G$2:$G$10,mdr_rate_cleaned!$A$2:$A$10,B2474,mdr_rate_cleaned!$B$2:$B$10,"&lt;"&amp;C2474,mdr_rate_cleaned!$F$2:$F$10,"&gt;="&amp;C2474)</f>
        <v>1.8000000000000002E-2</v>
      </c>
      <c r="H2474" s="24">
        <f t="shared" si="190"/>
        <v>14.38</v>
      </c>
      <c r="I2474" s="23" t="str">
        <f t="shared" si="191"/>
        <v>Match</v>
      </c>
      <c r="J2474" s="23" t="str">
        <f t="shared" si="192"/>
        <v>Match</v>
      </c>
      <c r="K2474" s="24">
        <f t="shared" si="193"/>
        <v>2.59</v>
      </c>
      <c r="L2474" s="24">
        <f t="shared" si="194"/>
        <v>0</v>
      </c>
    </row>
    <row r="2475" spans="1:12" ht="15" customHeight="1" x14ac:dyDescent="0.3">
      <c r="A2475" s="23" t="s">
        <v>15381</v>
      </c>
      <c r="B2475" s="23" t="s">
        <v>81</v>
      </c>
      <c r="C2475" s="39">
        <v>2999</v>
      </c>
      <c r="D2475" s="24">
        <v>35.99</v>
      </c>
      <c r="E2475" s="24">
        <v>6.48</v>
      </c>
      <c r="F2475" s="23">
        <f>COUNTIFS(mdr_rate_cleaned!$A$2:$A$10,B2475,mdr_rate_cleaned!$B$2:$B$10,"&lt;"&amp;C2475,mdr_rate_cleaned!$F$2:$F$10,"&gt;="&amp;C2475)</f>
        <v>1</v>
      </c>
      <c r="G2475" s="40">
        <f>SUMIFS(mdr_rate_cleaned!$G$2:$G$10,mdr_rate_cleaned!$A$2:$A$10,B2475,mdr_rate_cleaned!$B$2:$B$10,"&lt;"&amp;C2475,mdr_rate_cleaned!$F$2:$F$10,"&gt;="&amp;C2475)</f>
        <v>1.2E-2</v>
      </c>
      <c r="H2475" s="24">
        <f t="shared" si="190"/>
        <v>35.99</v>
      </c>
      <c r="I2475" s="23" t="str">
        <f t="shared" si="191"/>
        <v>Match</v>
      </c>
      <c r="J2475" s="23" t="str">
        <f t="shared" si="192"/>
        <v>Match</v>
      </c>
      <c r="K2475" s="24">
        <f t="shared" si="193"/>
        <v>6.48</v>
      </c>
      <c r="L2475" s="24">
        <f t="shared" si="194"/>
        <v>0</v>
      </c>
    </row>
    <row r="2476" spans="1:12" ht="15" customHeight="1" x14ac:dyDescent="0.3">
      <c r="A2476" s="23" t="s">
        <v>15382</v>
      </c>
      <c r="B2476" s="23" t="s">
        <v>79</v>
      </c>
      <c r="C2476" s="39">
        <v>999</v>
      </c>
      <c r="D2476" s="24">
        <v>17.98</v>
      </c>
      <c r="E2476" s="24">
        <v>3.24</v>
      </c>
      <c r="F2476" s="23">
        <f>COUNTIFS(mdr_rate_cleaned!$A$2:$A$10,B2476,mdr_rate_cleaned!$B$2:$B$10,"&lt;"&amp;C2476,mdr_rate_cleaned!$F$2:$F$10,"&gt;="&amp;C2476)</f>
        <v>1</v>
      </c>
      <c r="G2476" s="40">
        <f>SUMIFS(mdr_rate_cleaned!$G$2:$G$10,mdr_rate_cleaned!$A$2:$A$10,B2476,mdr_rate_cleaned!$B$2:$B$10,"&lt;"&amp;C2476,mdr_rate_cleaned!$F$2:$F$10,"&gt;="&amp;C2476)</f>
        <v>1.8000000000000002E-2</v>
      </c>
      <c r="H2476" s="24">
        <f t="shared" si="190"/>
        <v>17.98</v>
      </c>
      <c r="I2476" s="23" t="str">
        <f t="shared" si="191"/>
        <v>Match</v>
      </c>
      <c r="J2476" s="23" t="str">
        <f t="shared" si="192"/>
        <v>Match</v>
      </c>
      <c r="K2476" s="24">
        <f t="shared" si="193"/>
        <v>3.24</v>
      </c>
      <c r="L2476" s="24">
        <f t="shared" si="194"/>
        <v>0</v>
      </c>
    </row>
    <row r="2477" spans="1:12" ht="15" customHeight="1" x14ac:dyDescent="0.3">
      <c r="A2477" s="23" t="s">
        <v>15383</v>
      </c>
      <c r="B2477" s="23" t="s">
        <v>77</v>
      </c>
      <c r="C2477" s="39">
        <v>5297</v>
      </c>
      <c r="D2477" s="24">
        <v>90.05</v>
      </c>
      <c r="E2477" s="24">
        <v>16.21</v>
      </c>
      <c r="F2477" s="23">
        <f>COUNTIFS(mdr_rate_cleaned!$A$2:$A$10,B2477,mdr_rate_cleaned!$B$2:$B$10,"&lt;"&amp;C2477,mdr_rate_cleaned!$F$2:$F$10,"&gt;="&amp;C2477)</f>
        <v>1</v>
      </c>
      <c r="G2477" s="40">
        <f>SUMIFS(mdr_rate_cleaned!$G$2:$G$10,mdr_rate_cleaned!$A$2:$A$10,B2477,mdr_rate_cleaned!$B$2:$B$10,"&lt;"&amp;C2477,mdr_rate_cleaned!$F$2:$F$10,"&gt;="&amp;C2477)</f>
        <v>1.7000000000000001E-2</v>
      </c>
      <c r="H2477" s="24">
        <f t="shared" si="190"/>
        <v>90.05</v>
      </c>
      <c r="I2477" s="23" t="str">
        <f t="shared" si="191"/>
        <v>Match</v>
      </c>
      <c r="J2477" s="23" t="str">
        <f t="shared" si="192"/>
        <v>Match</v>
      </c>
      <c r="K2477" s="24">
        <f t="shared" si="193"/>
        <v>16.21</v>
      </c>
      <c r="L2477" s="24">
        <f t="shared" si="194"/>
        <v>0</v>
      </c>
    </row>
    <row r="2478" spans="1:12" ht="15" customHeight="1" x14ac:dyDescent="0.3">
      <c r="A2478" s="23" t="s">
        <v>15385</v>
      </c>
      <c r="B2478" s="23" t="s">
        <v>77</v>
      </c>
      <c r="C2478" s="39">
        <v>1299</v>
      </c>
      <c r="D2478" s="24">
        <v>24.68</v>
      </c>
      <c r="E2478" s="24">
        <v>4.4400000000000004</v>
      </c>
      <c r="F2478" s="23">
        <f>COUNTIFS(mdr_rate_cleaned!$A$2:$A$10,B2478,mdr_rate_cleaned!$B$2:$B$10,"&lt;"&amp;C2478,mdr_rate_cleaned!$F$2:$F$10,"&gt;="&amp;C2478)</f>
        <v>1</v>
      </c>
      <c r="G2478" s="40">
        <f>SUMIFS(mdr_rate_cleaned!$G$2:$G$10,mdr_rate_cleaned!$A$2:$A$10,B2478,mdr_rate_cleaned!$B$2:$B$10,"&lt;"&amp;C2478,mdr_rate_cleaned!$F$2:$F$10,"&gt;="&amp;C2478)</f>
        <v>1.9E-2</v>
      </c>
      <c r="H2478" s="24">
        <f t="shared" si="190"/>
        <v>24.68</v>
      </c>
      <c r="I2478" s="23" t="str">
        <f t="shared" si="191"/>
        <v>Match</v>
      </c>
      <c r="J2478" s="23" t="str">
        <f t="shared" si="192"/>
        <v>Match</v>
      </c>
      <c r="K2478" s="24">
        <f t="shared" si="193"/>
        <v>4.4400000000000004</v>
      </c>
      <c r="L2478" s="24">
        <f t="shared" si="194"/>
        <v>0</v>
      </c>
    </row>
    <row r="2479" spans="1:12" ht="15" customHeight="1" x14ac:dyDescent="0.3">
      <c r="A2479" s="23" t="s">
        <v>15386</v>
      </c>
      <c r="B2479" s="23" t="s">
        <v>75</v>
      </c>
      <c r="C2479" s="39">
        <v>5298</v>
      </c>
      <c r="D2479" s="24">
        <v>15.89</v>
      </c>
      <c r="E2479" s="24">
        <v>2.86</v>
      </c>
      <c r="F2479" s="23">
        <f>COUNTIFS(mdr_rate_cleaned!$A$2:$A$10,B2479,mdr_rate_cleaned!$B$2:$B$10,"&lt;"&amp;C2479,mdr_rate_cleaned!$F$2:$F$10,"&gt;="&amp;C2479)</f>
        <v>1</v>
      </c>
      <c r="G2479" s="40">
        <f>SUMIFS(mdr_rate_cleaned!$G$2:$G$10,mdr_rate_cleaned!$A$2:$A$10,B2479,mdr_rate_cleaned!$B$2:$B$10,"&lt;"&amp;C2479,mdr_rate_cleaned!$F$2:$F$10,"&gt;="&amp;C2479)</f>
        <v>3.0000000000000001E-3</v>
      </c>
      <c r="H2479" s="24">
        <f t="shared" si="190"/>
        <v>15.89</v>
      </c>
      <c r="I2479" s="23" t="str">
        <f t="shared" si="191"/>
        <v>Match</v>
      </c>
      <c r="J2479" s="23" t="str">
        <f t="shared" si="192"/>
        <v>Match</v>
      </c>
      <c r="K2479" s="24">
        <f t="shared" si="193"/>
        <v>2.86</v>
      </c>
      <c r="L2479" s="24">
        <f t="shared" si="194"/>
        <v>0</v>
      </c>
    </row>
    <row r="2480" spans="1:12" ht="15" customHeight="1" x14ac:dyDescent="0.3">
      <c r="A2480" s="23" t="s">
        <v>15388</v>
      </c>
      <c r="B2480" s="23" t="s">
        <v>79</v>
      </c>
      <c r="C2480" s="39">
        <v>3998</v>
      </c>
      <c r="D2480" s="24">
        <v>63.97</v>
      </c>
      <c r="E2480" s="24">
        <v>11.51</v>
      </c>
      <c r="F2480" s="23">
        <f>COUNTIFS(mdr_rate_cleaned!$A$2:$A$10,B2480,mdr_rate_cleaned!$B$2:$B$10,"&lt;"&amp;C2480,mdr_rate_cleaned!$F$2:$F$10,"&gt;="&amp;C2480)</f>
        <v>1</v>
      </c>
      <c r="G2480" s="40">
        <f>SUMIFS(mdr_rate_cleaned!$G$2:$G$10,mdr_rate_cleaned!$A$2:$A$10,B2480,mdr_rate_cleaned!$B$2:$B$10,"&lt;"&amp;C2480,mdr_rate_cleaned!$F$2:$F$10,"&gt;="&amp;C2480)</f>
        <v>1.6E-2</v>
      </c>
      <c r="H2480" s="24">
        <f t="shared" si="190"/>
        <v>63.97</v>
      </c>
      <c r="I2480" s="23" t="str">
        <f t="shared" si="191"/>
        <v>Match</v>
      </c>
      <c r="J2480" s="23" t="str">
        <f t="shared" si="192"/>
        <v>Match</v>
      </c>
      <c r="K2480" s="24">
        <f t="shared" si="193"/>
        <v>11.51</v>
      </c>
      <c r="L2480" s="24">
        <f t="shared" si="194"/>
        <v>0</v>
      </c>
    </row>
    <row r="2481" spans="1:12" ht="15" customHeight="1" x14ac:dyDescent="0.3">
      <c r="A2481" s="23" t="s">
        <v>15389</v>
      </c>
      <c r="B2481" s="23" t="s">
        <v>79</v>
      </c>
      <c r="C2481" s="39">
        <v>599</v>
      </c>
      <c r="D2481" s="24">
        <v>10.78</v>
      </c>
      <c r="E2481" s="24">
        <v>1.94</v>
      </c>
      <c r="F2481" s="23">
        <f>COUNTIFS(mdr_rate_cleaned!$A$2:$A$10,B2481,mdr_rate_cleaned!$B$2:$B$10,"&lt;"&amp;C2481,mdr_rate_cleaned!$F$2:$F$10,"&gt;="&amp;C2481)</f>
        <v>1</v>
      </c>
      <c r="G2481" s="40">
        <f>SUMIFS(mdr_rate_cleaned!$G$2:$G$10,mdr_rate_cleaned!$A$2:$A$10,B2481,mdr_rate_cleaned!$B$2:$B$10,"&lt;"&amp;C2481,mdr_rate_cleaned!$F$2:$F$10,"&gt;="&amp;C2481)</f>
        <v>1.8000000000000002E-2</v>
      </c>
      <c r="H2481" s="24">
        <f t="shared" si="190"/>
        <v>10.78</v>
      </c>
      <c r="I2481" s="23" t="str">
        <f t="shared" si="191"/>
        <v>Match</v>
      </c>
      <c r="J2481" s="23" t="str">
        <f t="shared" si="192"/>
        <v>Match</v>
      </c>
      <c r="K2481" s="24">
        <f t="shared" si="193"/>
        <v>1.94</v>
      </c>
      <c r="L2481" s="24">
        <f t="shared" si="194"/>
        <v>0</v>
      </c>
    </row>
    <row r="2482" spans="1:12" ht="15" customHeight="1" x14ac:dyDescent="0.3">
      <c r="A2482" s="23" t="s">
        <v>15390</v>
      </c>
      <c r="B2482" s="23" t="s">
        <v>77</v>
      </c>
      <c r="C2482" s="39">
        <v>299</v>
      </c>
      <c r="D2482" s="24">
        <v>5.68</v>
      </c>
      <c r="E2482" s="24">
        <v>1.02</v>
      </c>
      <c r="F2482" s="23">
        <f>COUNTIFS(mdr_rate_cleaned!$A$2:$A$10,B2482,mdr_rate_cleaned!$B$2:$B$10,"&lt;"&amp;C2482,mdr_rate_cleaned!$F$2:$F$10,"&gt;="&amp;C2482)</f>
        <v>1</v>
      </c>
      <c r="G2482" s="40">
        <f>SUMIFS(mdr_rate_cleaned!$G$2:$G$10,mdr_rate_cleaned!$A$2:$A$10,B2482,mdr_rate_cleaned!$B$2:$B$10,"&lt;"&amp;C2482,mdr_rate_cleaned!$F$2:$F$10,"&gt;="&amp;C2482)</f>
        <v>1.9E-2</v>
      </c>
      <c r="H2482" s="24">
        <f t="shared" si="190"/>
        <v>5.68</v>
      </c>
      <c r="I2482" s="23" t="str">
        <f t="shared" si="191"/>
        <v>Match</v>
      </c>
      <c r="J2482" s="23" t="str">
        <f t="shared" si="192"/>
        <v>Match</v>
      </c>
      <c r="K2482" s="24">
        <f t="shared" si="193"/>
        <v>1.02</v>
      </c>
      <c r="L2482" s="24">
        <f t="shared" si="194"/>
        <v>0</v>
      </c>
    </row>
    <row r="2483" spans="1:12" ht="15" customHeight="1" x14ac:dyDescent="0.3">
      <c r="A2483" s="23" t="s">
        <v>15391</v>
      </c>
      <c r="B2483" s="23" t="s">
        <v>79</v>
      </c>
      <c r="C2483" s="39">
        <v>2497</v>
      </c>
      <c r="D2483" s="24">
        <v>39.950000000000003</v>
      </c>
      <c r="E2483" s="24">
        <v>7.19</v>
      </c>
      <c r="F2483" s="23">
        <f>COUNTIFS(mdr_rate_cleaned!$A$2:$A$10,B2483,mdr_rate_cleaned!$B$2:$B$10,"&lt;"&amp;C2483,mdr_rate_cleaned!$F$2:$F$10,"&gt;="&amp;C2483)</f>
        <v>1</v>
      </c>
      <c r="G2483" s="40">
        <f>SUMIFS(mdr_rate_cleaned!$G$2:$G$10,mdr_rate_cleaned!$A$2:$A$10,B2483,mdr_rate_cleaned!$B$2:$B$10,"&lt;"&amp;C2483,mdr_rate_cleaned!$F$2:$F$10,"&gt;="&amp;C2483)</f>
        <v>1.6E-2</v>
      </c>
      <c r="H2483" s="24">
        <f t="shared" si="190"/>
        <v>39.950000000000003</v>
      </c>
      <c r="I2483" s="23" t="str">
        <f t="shared" si="191"/>
        <v>Match</v>
      </c>
      <c r="J2483" s="23" t="str">
        <f t="shared" si="192"/>
        <v>Match</v>
      </c>
      <c r="K2483" s="24">
        <f t="shared" si="193"/>
        <v>7.19</v>
      </c>
      <c r="L2483" s="24">
        <f t="shared" si="194"/>
        <v>0</v>
      </c>
    </row>
    <row r="2484" spans="1:12" ht="15" customHeight="1" x14ac:dyDescent="0.3">
      <c r="A2484" s="23" t="s">
        <v>15392</v>
      </c>
      <c r="B2484" s="23" t="s">
        <v>75</v>
      </c>
      <c r="C2484" s="39">
        <v>2848</v>
      </c>
      <c r="D2484" s="24">
        <v>8.5399999999999991</v>
      </c>
      <c r="E2484" s="24">
        <v>1.54</v>
      </c>
      <c r="F2484" s="23">
        <f>COUNTIFS(mdr_rate_cleaned!$A$2:$A$10,B2484,mdr_rate_cleaned!$B$2:$B$10,"&lt;"&amp;C2484,mdr_rate_cleaned!$F$2:$F$10,"&gt;="&amp;C2484)</f>
        <v>1</v>
      </c>
      <c r="G2484" s="40">
        <f>SUMIFS(mdr_rate_cleaned!$G$2:$G$10,mdr_rate_cleaned!$A$2:$A$10,B2484,mdr_rate_cleaned!$B$2:$B$10,"&lt;"&amp;C2484,mdr_rate_cleaned!$F$2:$F$10,"&gt;="&amp;C2484)</f>
        <v>3.0000000000000001E-3</v>
      </c>
      <c r="H2484" s="24">
        <f t="shared" si="190"/>
        <v>8.5399999999999991</v>
      </c>
      <c r="I2484" s="23" t="str">
        <f t="shared" si="191"/>
        <v>Match</v>
      </c>
      <c r="J2484" s="23" t="str">
        <f t="shared" si="192"/>
        <v>Match</v>
      </c>
      <c r="K2484" s="24">
        <f t="shared" si="193"/>
        <v>1.54</v>
      </c>
      <c r="L2484" s="24">
        <f t="shared" si="194"/>
        <v>0</v>
      </c>
    </row>
    <row r="2485" spans="1:12" ht="15" customHeight="1" x14ac:dyDescent="0.3">
      <c r="A2485" s="23" t="s">
        <v>15393</v>
      </c>
      <c r="B2485" s="23" t="s">
        <v>75</v>
      </c>
      <c r="C2485" s="39">
        <v>4097</v>
      </c>
      <c r="D2485" s="24">
        <v>12.29</v>
      </c>
      <c r="E2485" s="24">
        <v>2.21</v>
      </c>
      <c r="F2485" s="23">
        <f>COUNTIFS(mdr_rate_cleaned!$A$2:$A$10,B2485,mdr_rate_cleaned!$B$2:$B$10,"&lt;"&amp;C2485,mdr_rate_cleaned!$F$2:$F$10,"&gt;="&amp;C2485)</f>
        <v>1</v>
      </c>
      <c r="G2485" s="40">
        <f>SUMIFS(mdr_rate_cleaned!$G$2:$G$10,mdr_rate_cleaned!$A$2:$A$10,B2485,mdr_rate_cleaned!$B$2:$B$10,"&lt;"&amp;C2485,mdr_rate_cleaned!$F$2:$F$10,"&gt;="&amp;C2485)</f>
        <v>3.0000000000000001E-3</v>
      </c>
      <c r="H2485" s="24">
        <f t="shared" si="190"/>
        <v>12.29</v>
      </c>
      <c r="I2485" s="23" t="str">
        <f t="shared" si="191"/>
        <v>Match</v>
      </c>
      <c r="J2485" s="23" t="str">
        <f t="shared" si="192"/>
        <v>Match</v>
      </c>
      <c r="K2485" s="24">
        <f t="shared" si="193"/>
        <v>2.21</v>
      </c>
      <c r="L2485" s="24">
        <f t="shared" si="194"/>
        <v>0</v>
      </c>
    </row>
    <row r="2486" spans="1:12" ht="15" customHeight="1" x14ac:dyDescent="0.3">
      <c r="A2486" s="23" t="s">
        <v>15394</v>
      </c>
      <c r="B2486" s="23" t="s">
        <v>75</v>
      </c>
      <c r="C2486" s="39">
        <v>3147</v>
      </c>
      <c r="D2486" s="24">
        <v>9.44</v>
      </c>
      <c r="E2486" s="24">
        <v>1.7</v>
      </c>
      <c r="F2486" s="23">
        <f>COUNTIFS(mdr_rate_cleaned!$A$2:$A$10,B2486,mdr_rate_cleaned!$B$2:$B$10,"&lt;"&amp;C2486,mdr_rate_cleaned!$F$2:$F$10,"&gt;="&amp;C2486)</f>
        <v>1</v>
      </c>
      <c r="G2486" s="40">
        <f>SUMIFS(mdr_rate_cleaned!$G$2:$G$10,mdr_rate_cleaned!$A$2:$A$10,B2486,mdr_rate_cleaned!$B$2:$B$10,"&lt;"&amp;C2486,mdr_rate_cleaned!$F$2:$F$10,"&gt;="&amp;C2486)</f>
        <v>3.0000000000000001E-3</v>
      </c>
      <c r="H2486" s="24">
        <f t="shared" si="190"/>
        <v>9.44</v>
      </c>
      <c r="I2486" s="23" t="str">
        <f t="shared" si="191"/>
        <v>Match</v>
      </c>
      <c r="J2486" s="23" t="str">
        <f t="shared" si="192"/>
        <v>Match</v>
      </c>
      <c r="K2486" s="24">
        <f t="shared" si="193"/>
        <v>1.7</v>
      </c>
      <c r="L2486" s="24">
        <f t="shared" si="194"/>
        <v>0</v>
      </c>
    </row>
    <row r="2487" spans="1:12" ht="15" customHeight="1" x14ac:dyDescent="0.3">
      <c r="A2487" s="23" t="s">
        <v>15395</v>
      </c>
      <c r="B2487" s="23" t="s">
        <v>79</v>
      </c>
      <c r="C2487" s="39">
        <v>6997</v>
      </c>
      <c r="D2487" s="24">
        <v>111.95</v>
      </c>
      <c r="E2487" s="24">
        <v>20.149999999999999</v>
      </c>
      <c r="F2487" s="23">
        <f>COUNTIFS(mdr_rate_cleaned!$A$2:$A$10,B2487,mdr_rate_cleaned!$B$2:$B$10,"&lt;"&amp;C2487,mdr_rate_cleaned!$F$2:$F$10,"&gt;="&amp;C2487)</f>
        <v>1</v>
      </c>
      <c r="G2487" s="40">
        <f>SUMIFS(mdr_rate_cleaned!$G$2:$G$10,mdr_rate_cleaned!$A$2:$A$10,B2487,mdr_rate_cleaned!$B$2:$B$10,"&lt;"&amp;C2487,mdr_rate_cleaned!$F$2:$F$10,"&gt;="&amp;C2487)</f>
        <v>1.6E-2</v>
      </c>
      <c r="H2487" s="24">
        <f t="shared" si="190"/>
        <v>111.95</v>
      </c>
      <c r="I2487" s="23" t="str">
        <f t="shared" si="191"/>
        <v>Match</v>
      </c>
      <c r="J2487" s="23" t="str">
        <f t="shared" si="192"/>
        <v>Match</v>
      </c>
      <c r="K2487" s="24">
        <f t="shared" si="193"/>
        <v>20.149999999999999</v>
      </c>
      <c r="L2487" s="24">
        <f t="shared" si="194"/>
        <v>0</v>
      </c>
    </row>
    <row r="2488" spans="1:12" ht="15" customHeight="1" x14ac:dyDescent="0.3">
      <c r="A2488" s="23" t="s">
        <v>15397</v>
      </c>
      <c r="B2488" s="23" t="s">
        <v>75</v>
      </c>
      <c r="C2488" s="39">
        <v>1798</v>
      </c>
      <c r="D2488" s="24">
        <v>0</v>
      </c>
      <c r="E2488" s="24">
        <v>0</v>
      </c>
      <c r="F2488" s="23">
        <f>COUNTIFS(mdr_rate_cleaned!$A$2:$A$10,B2488,mdr_rate_cleaned!$B$2:$B$10,"&lt;"&amp;C2488,mdr_rate_cleaned!$F$2:$F$10,"&gt;="&amp;C2488)</f>
        <v>1</v>
      </c>
      <c r="G2488" s="40">
        <f>SUMIFS(mdr_rate_cleaned!$G$2:$G$10,mdr_rate_cleaned!$A$2:$A$10,B2488,mdr_rate_cleaned!$B$2:$B$10,"&lt;"&amp;C2488,mdr_rate_cleaned!$F$2:$F$10,"&gt;="&amp;C2488)</f>
        <v>0</v>
      </c>
      <c r="H2488" s="24">
        <f t="shared" si="190"/>
        <v>0</v>
      </c>
      <c r="I2488" s="23" t="str">
        <f t="shared" si="191"/>
        <v>Match</v>
      </c>
      <c r="J2488" s="23" t="str">
        <f t="shared" si="192"/>
        <v>Match</v>
      </c>
      <c r="K2488" s="24">
        <f t="shared" si="193"/>
        <v>0</v>
      </c>
      <c r="L2488" s="24">
        <f t="shared" si="194"/>
        <v>0</v>
      </c>
    </row>
    <row r="2489" spans="1:12" ht="15" customHeight="1" x14ac:dyDescent="0.3">
      <c r="A2489" s="23" t="s">
        <v>15399</v>
      </c>
      <c r="B2489" s="23" t="s">
        <v>81</v>
      </c>
      <c r="C2489" s="39">
        <v>1598</v>
      </c>
      <c r="D2489" s="24">
        <v>23.97</v>
      </c>
      <c r="E2489" s="24">
        <v>4.3099999999999996</v>
      </c>
      <c r="F2489" s="23">
        <f>COUNTIFS(mdr_rate_cleaned!$A$2:$A$10,B2489,mdr_rate_cleaned!$B$2:$B$10,"&lt;"&amp;C2489,mdr_rate_cleaned!$F$2:$F$10,"&gt;="&amp;C2489)</f>
        <v>1</v>
      </c>
      <c r="G2489" s="40">
        <f>SUMIFS(mdr_rate_cleaned!$G$2:$G$10,mdr_rate_cleaned!$A$2:$A$10,B2489,mdr_rate_cleaned!$B$2:$B$10,"&lt;"&amp;C2489,mdr_rate_cleaned!$F$2:$F$10,"&gt;="&amp;C2489)</f>
        <v>1.4999999999999999E-2</v>
      </c>
      <c r="H2489" s="24">
        <f t="shared" si="190"/>
        <v>23.97</v>
      </c>
      <c r="I2489" s="23" t="str">
        <f t="shared" si="191"/>
        <v>Match</v>
      </c>
      <c r="J2489" s="23" t="str">
        <f t="shared" si="192"/>
        <v>Match</v>
      </c>
      <c r="K2489" s="24">
        <f t="shared" si="193"/>
        <v>4.3099999999999996</v>
      </c>
      <c r="L2489" s="24">
        <f t="shared" si="194"/>
        <v>0</v>
      </c>
    </row>
    <row r="2490" spans="1:12" ht="15" customHeight="1" x14ac:dyDescent="0.3">
      <c r="A2490" s="23" t="s">
        <v>15400</v>
      </c>
      <c r="B2490" s="23" t="s">
        <v>75</v>
      </c>
      <c r="C2490" s="39">
        <v>4798</v>
      </c>
      <c r="D2490" s="24">
        <v>14.39</v>
      </c>
      <c r="E2490" s="24">
        <v>2.59</v>
      </c>
      <c r="F2490" s="23">
        <f>COUNTIFS(mdr_rate_cleaned!$A$2:$A$10,B2490,mdr_rate_cleaned!$B$2:$B$10,"&lt;"&amp;C2490,mdr_rate_cleaned!$F$2:$F$10,"&gt;="&amp;C2490)</f>
        <v>1</v>
      </c>
      <c r="G2490" s="40">
        <f>SUMIFS(mdr_rate_cleaned!$G$2:$G$10,mdr_rate_cleaned!$A$2:$A$10,B2490,mdr_rate_cleaned!$B$2:$B$10,"&lt;"&amp;C2490,mdr_rate_cleaned!$F$2:$F$10,"&gt;="&amp;C2490)</f>
        <v>3.0000000000000001E-3</v>
      </c>
      <c r="H2490" s="24">
        <f t="shared" si="190"/>
        <v>14.39</v>
      </c>
      <c r="I2490" s="23" t="str">
        <f t="shared" si="191"/>
        <v>Match</v>
      </c>
      <c r="J2490" s="23" t="str">
        <f t="shared" si="192"/>
        <v>Match</v>
      </c>
      <c r="K2490" s="24">
        <f t="shared" si="193"/>
        <v>2.59</v>
      </c>
      <c r="L2490" s="24">
        <f t="shared" si="194"/>
        <v>0</v>
      </c>
    </row>
    <row r="2491" spans="1:12" ht="15" customHeight="1" x14ac:dyDescent="0.3">
      <c r="A2491" s="23" t="s">
        <v>15401</v>
      </c>
      <c r="B2491" s="23" t="s">
        <v>79</v>
      </c>
      <c r="C2491" s="39">
        <v>6997</v>
      </c>
      <c r="D2491" s="24">
        <v>111.95</v>
      </c>
      <c r="E2491" s="24">
        <v>20.149999999999999</v>
      </c>
      <c r="F2491" s="23">
        <f>COUNTIFS(mdr_rate_cleaned!$A$2:$A$10,B2491,mdr_rate_cleaned!$B$2:$B$10,"&lt;"&amp;C2491,mdr_rate_cleaned!$F$2:$F$10,"&gt;="&amp;C2491)</f>
        <v>1</v>
      </c>
      <c r="G2491" s="40">
        <f>SUMIFS(mdr_rate_cleaned!$G$2:$G$10,mdr_rate_cleaned!$A$2:$A$10,B2491,mdr_rate_cleaned!$B$2:$B$10,"&lt;"&amp;C2491,mdr_rate_cleaned!$F$2:$F$10,"&gt;="&amp;C2491)</f>
        <v>1.6E-2</v>
      </c>
      <c r="H2491" s="24">
        <f t="shared" si="190"/>
        <v>111.95</v>
      </c>
      <c r="I2491" s="23" t="str">
        <f t="shared" si="191"/>
        <v>Match</v>
      </c>
      <c r="J2491" s="23" t="str">
        <f t="shared" si="192"/>
        <v>Match</v>
      </c>
      <c r="K2491" s="24">
        <f t="shared" si="193"/>
        <v>20.149999999999999</v>
      </c>
      <c r="L2491" s="24">
        <f t="shared" si="194"/>
        <v>0</v>
      </c>
    </row>
    <row r="2492" spans="1:12" ht="15" customHeight="1" x14ac:dyDescent="0.3">
      <c r="A2492" s="23" t="s">
        <v>15403</v>
      </c>
      <c r="B2492" s="23" t="s">
        <v>81</v>
      </c>
      <c r="C2492" s="39">
        <v>15998</v>
      </c>
      <c r="D2492" s="24">
        <v>143.97999999999999</v>
      </c>
      <c r="E2492" s="24">
        <v>25.92</v>
      </c>
      <c r="F2492" s="23">
        <f>COUNTIFS(mdr_rate_cleaned!$A$2:$A$10,B2492,mdr_rate_cleaned!$B$2:$B$10,"&lt;"&amp;C2492,mdr_rate_cleaned!$F$2:$F$10,"&gt;="&amp;C2492)</f>
        <v>1</v>
      </c>
      <c r="G2492" s="40">
        <f>SUMIFS(mdr_rate_cleaned!$G$2:$G$10,mdr_rate_cleaned!$A$2:$A$10,B2492,mdr_rate_cleaned!$B$2:$B$10,"&lt;"&amp;C2492,mdr_rate_cleaned!$F$2:$F$10,"&gt;="&amp;C2492)</f>
        <v>9.0000000000000011E-3</v>
      </c>
      <c r="H2492" s="24">
        <f t="shared" si="190"/>
        <v>143.97999999999999</v>
      </c>
      <c r="I2492" s="23" t="str">
        <f t="shared" si="191"/>
        <v>Match</v>
      </c>
      <c r="J2492" s="23" t="str">
        <f t="shared" si="192"/>
        <v>Match</v>
      </c>
      <c r="K2492" s="24">
        <f t="shared" si="193"/>
        <v>25.92</v>
      </c>
      <c r="L2492" s="24">
        <f t="shared" si="194"/>
        <v>0</v>
      </c>
    </row>
    <row r="2493" spans="1:12" ht="15" customHeight="1" x14ac:dyDescent="0.3">
      <c r="A2493" s="23" t="s">
        <v>15404</v>
      </c>
      <c r="B2493" s="23" t="s">
        <v>81</v>
      </c>
      <c r="C2493" s="39">
        <v>499</v>
      </c>
      <c r="D2493" s="24">
        <v>7.49</v>
      </c>
      <c r="E2493" s="24">
        <v>1.35</v>
      </c>
      <c r="F2493" s="23">
        <f>COUNTIFS(mdr_rate_cleaned!$A$2:$A$10,B2493,mdr_rate_cleaned!$B$2:$B$10,"&lt;"&amp;C2493,mdr_rate_cleaned!$F$2:$F$10,"&gt;="&amp;C2493)</f>
        <v>1</v>
      </c>
      <c r="G2493" s="40">
        <f>SUMIFS(mdr_rate_cleaned!$G$2:$G$10,mdr_rate_cleaned!$A$2:$A$10,B2493,mdr_rate_cleaned!$B$2:$B$10,"&lt;"&amp;C2493,mdr_rate_cleaned!$F$2:$F$10,"&gt;="&amp;C2493)</f>
        <v>1.4999999999999999E-2</v>
      </c>
      <c r="H2493" s="24">
        <f t="shared" si="190"/>
        <v>7.49</v>
      </c>
      <c r="I2493" s="23" t="str">
        <f t="shared" si="191"/>
        <v>Match</v>
      </c>
      <c r="J2493" s="23" t="str">
        <f t="shared" si="192"/>
        <v>Match</v>
      </c>
      <c r="K2493" s="24">
        <f t="shared" si="193"/>
        <v>1.35</v>
      </c>
      <c r="L2493" s="24">
        <f t="shared" si="194"/>
        <v>0</v>
      </c>
    </row>
    <row r="2494" spans="1:12" ht="15" customHeight="1" x14ac:dyDescent="0.3">
      <c r="A2494" s="23" t="s">
        <v>15406</v>
      </c>
      <c r="B2494" s="23" t="s">
        <v>81</v>
      </c>
      <c r="C2494" s="39">
        <v>1299</v>
      </c>
      <c r="D2494" s="24">
        <v>19.489999999999998</v>
      </c>
      <c r="E2494" s="24">
        <v>3.51</v>
      </c>
      <c r="F2494" s="23">
        <f>COUNTIFS(mdr_rate_cleaned!$A$2:$A$10,B2494,mdr_rate_cleaned!$B$2:$B$10,"&lt;"&amp;C2494,mdr_rate_cleaned!$F$2:$F$10,"&gt;="&amp;C2494)</f>
        <v>1</v>
      </c>
      <c r="G2494" s="40">
        <f>SUMIFS(mdr_rate_cleaned!$G$2:$G$10,mdr_rate_cleaned!$A$2:$A$10,B2494,mdr_rate_cleaned!$B$2:$B$10,"&lt;"&amp;C2494,mdr_rate_cleaned!$F$2:$F$10,"&gt;="&amp;C2494)</f>
        <v>1.4999999999999999E-2</v>
      </c>
      <c r="H2494" s="24">
        <f t="shared" si="190"/>
        <v>19.489999999999998</v>
      </c>
      <c r="I2494" s="23" t="str">
        <f t="shared" si="191"/>
        <v>Match</v>
      </c>
      <c r="J2494" s="23" t="str">
        <f t="shared" si="192"/>
        <v>Match</v>
      </c>
      <c r="K2494" s="24">
        <f t="shared" si="193"/>
        <v>3.51</v>
      </c>
      <c r="L2494" s="24">
        <f t="shared" si="194"/>
        <v>0</v>
      </c>
    </row>
    <row r="2495" spans="1:12" ht="15" customHeight="1" x14ac:dyDescent="0.3">
      <c r="A2495" s="23" t="s">
        <v>15407</v>
      </c>
      <c r="B2495" s="23" t="s">
        <v>75</v>
      </c>
      <c r="C2495" s="39">
        <v>2598</v>
      </c>
      <c r="D2495" s="24">
        <v>7.79</v>
      </c>
      <c r="E2495" s="24">
        <v>1.4</v>
      </c>
      <c r="F2495" s="23">
        <f>COUNTIFS(mdr_rate_cleaned!$A$2:$A$10,B2495,mdr_rate_cleaned!$B$2:$B$10,"&lt;"&amp;C2495,mdr_rate_cleaned!$F$2:$F$10,"&gt;="&amp;C2495)</f>
        <v>1</v>
      </c>
      <c r="G2495" s="40">
        <f>SUMIFS(mdr_rate_cleaned!$G$2:$G$10,mdr_rate_cleaned!$A$2:$A$10,B2495,mdr_rate_cleaned!$B$2:$B$10,"&lt;"&amp;C2495,mdr_rate_cleaned!$F$2:$F$10,"&gt;="&amp;C2495)</f>
        <v>3.0000000000000001E-3</v>
      </c>
      <c r="H2495" s="24">
        <f t="shared" si="190"/>
        <v>7.79</v>
      </c>
      <c r="I2495" s="23" t="str">
        <f t="shared" si="191"/>
        <v>Match</v>
      </c>
      <c r="J2495" s="23" t="str">
        <f t="shared" si="192"/>
        <v>Match</v>
      </c>
      <c r="K2495" s="24">
        <f t="shared" si="193"/>
        <v>1.4</v>
      </c>
      <c r="L2495" s="24">
        <f t="shared" si="194"/>
        <v>0</v>
      </c>
    </row>
    <row r="2496" spans="1:12" ht="15" customHeight="1" x14ac:dyDescent="0.3">
      <c r="A2496" s="23" t="s">
        <v>15408</v>
      </c>
      <c r="B2496" s="23" t="s">
        <v>81</v>
      </c>
      <c r="C2496" s="39">
        <v>1898</v>
      </c>
      <c r="D2496" s="24">
        <v>28.47</v>
      </c>
      <c r="E2496" s="24">
        <v>5.12</v>
      </c>
      <c r="F2496" s="23">
        <f>COUNTIFS(mdr_rate_cleaned!$A$2:$A$10,B2496,mdr_rate_cleaned!$B$2:$B$10,"&lt;"&amp;C2496,mdr_rate_cleaned!$F$2:$F$10,"&gt;="&amp;C2496)</f>
        <v>1</v>
      </c>
      <c r="G2496" s="40">
        <f>SUMIFS(mdr_rate_cleaned!$G$2:$G$10,mdr_rate_cleaned!$A$2:$A$10,B2496,mdr_rate_cleaned!$B$2:$B$10,"&lt;"&amp;C2496,mdr_rate_cleaned!$F$2:$F$10,"&gt;="&amp;C2496)</f>
        <v>1.4999999999999999E-2</v>
      </c>
      <c r="H2496" s="24">
        <f t="shared" si="190"/>
        <v>28.47</v>
      </c>
      <c r="I2496" s="23" t="str">
        <f t="shared" si="191"/>
        <v>Match</v>
      </c>
      <c r="J2496" s="23" t="str">
        <f t="shared" si="192"/>
        <v>Match</v>
      </c>
      <c r="K2496" s="24">
        <f t="shared" si="193"/>
        <v>5.12</v>
      </c>
      <c r="L2496" s="24">
        <f t="shared" si="194"/>
        <v>0</v>
      </c>
    </row>
    <row r="2497" spans="1:12" ht="15" customHeight="1" x14ac:dyDescent="0.3">
      <c r="A2497" s="23" t="s">
        <v>15409</v>
      </c>
      <c r="B2497" s="23" t="s">
        <v>75</v>
      </c>
      <c r="C2497" s="39">
        <v>3397</v>
      </c>
      <c r="D2497" s="24">
        <v>10.19</v>
      </c>
      <c r="E2497" s="24">
        <v>1.83</v>
      </c>
      <c r="F2497" s="23">
        <f>COUNTIFS(mdr_rate_cleaned!$A$2:$A$10,B2497,mdr_rate_cleaned!$B$2:$B$10,"&lt;"&amp;C2497,mdr_rate_cleaned!$F$2:$F$10,"&gt;="&amp;C2497)</f>
        <v>1</v>
      </c>
      <c r="G2497" s="40">
        <f>SUMIFS(mdr_rate_cleaned!$G$2:$G$10,mdr_rate_cleaned!$A$2:$A$10,B2497,mdr_rate_cleaned!$B$2:$B$10,"&lt;"&amp;C2497,mdr_rate_cleaned!$F$2:$F$10,"&gt;="&amp;C2497)</f>
        <v>3.0000000000000001E-3</v>
      </c>
      <c r="H2497" s="24">
        <f t="shared" si="190"/>
        <v>10.19</v>
      </c>
      <c r="I2497" s="23" t="str">
        <f t="shared" si="191"/>
        <v>Match</v>
      </c>
      <c r="J2497" s="23" t="str">
        <f t="shared" si="192"/>
        <v>Match</v>
      </c>
      <c r="K2497" s="24">
        <f t="shared" si="193"/>
        <v>1.83</v>
      </c>
      <c r="L2497" s="24">
        <f t="shared" si="194"/>
        <v>0</v>
      </c>
    </row>
    <row r="2498" spans="1:12" ht="15" customHeight="1" x14ac:dyDescent="0.3">
      <c r="A2498" s="23" t="s">
        <v>15410</v>
      </c>
      <c r="B2498" s="23" t="s">
        <v>77</v>
      </c>
      <c r="C2498" s="39">
        <v>7847</v>
      </c>
      <c r="D2498" s="24">
        <v>133.4</v>
      </c>
      <c r="E2498" s="24">
        <v>24.01</v>
      </c>
      <c r="F2498" s="23">
        <f>COUNTIFS(mdr_rate_cleaned!$A$2:$A$10,B2498,mdr_rate_cleaned!$B$2:$B$10,"&lt;"&amp;C2498,mdr_rate_cleaned!$F$2:$F$10,"&gt;="&amp;C2498)</f>
        <v>1</v>
      </c>
      <c r="G2498" s="40">
        <f>SUMIFS(mdr_rate_cleaned!$G$2:$G$10,mdr_rate_cleaned!$A$2:$A$10,B2498,mdr_rate_cleaned!$B$2:$B$10,"&lt;"&amp;C2498,mdr_rate_cleaned!$F$2:$F$10,"&gt;="&amp;C2498)</f>
        <v>1.7000000000000001E-2</v>
      </c>
      <c r="H2498" s="24">
        <f t="shared" ref="H2498:H2561" si="195">ROUND(C2498*G2498,2)</f>
        <v>133.4</v>
      </c>
      <c r="I2498" s="23" t="str">
        <f t="shared" ref="I2498:I2561" si="196">IF(ROUND(D2498-H2498,2)=0,"Match","Differs")</f>
        <v>Match</v>
      </c>
      <c r="J2498" s="23" t="str">
        <f t="shared" ref="J2498:J2561" si="197">IF(ROUND(E2498-ROUND(D2498*0.18,2),2)=0,"Match","Differs")</f>
        <v>Match</v>
      </c>
      <c r="K2498" s="24">
        <f t="shared" ref="K2498:K2561" si="198">ROUND(H2498*0.18,2)</f>
        <v>24.01</v>
      </c>
      <c r="L2498" s="24">
        <f t="shared" ref="L2498:L2561" si="199">ROUND(D2498+E2498-H2498-K2498,2)</f>
        <v>0</v>
      </c>
    </row>
    <row r="2499" spans="1:12" ht="15" customHeight="1" x14ac:dyDescent="0.3">
      <c r="A2499" s="23" t="s">
        <v>15411</v>
      </c>
      <c r="B2499" s="23" t="s">
        <v>75</v>
      </c>
      <c r="C2499" s="39">
        <v>4998</v>
      </c>
      <c r="D2499" s="24">
        <v>14.99</v>
      </c>
      <c r="E2499" s="24">
        <v>2.7</v>
      </c>
      <c r="F2499" s="23">
        <f>COUNTIFS(mdr_rate_cleaned!$A$2:$A$10,B2499,mdr_rate_cleaned!$B$2:$B$10,"&lt;"&amp;C2499,mdr_rate_cleaned!$F$2:$F$10,"&gt;="&amp;C2499)</f>
        <v>1</v>
      </c>
      <c r="G2499" s="40">
        <f>SUMIFS(mdr_rate_cleaned!$G$2:$G$10,mdr_rate_cleaned!$A$2:$A$10,B2499,mdr_rate_cleaned!$B$2:$B$10,"&lt;"&amp;C2499,mdr_rate_cleaned!$F$2:$F$10,"&gt;="&amp;C2499)</f>
        <v>3.0000000000000001E-3</v>
      </c>
      <c r="H2499" s="24">
        <f t="shared" si="195"/>
        <v>14.99</v>
      </c>
      <c r="I2499" s="23" t="str">
        <f t="shared" si="196"/>
        <v>Match</v>
      </c>
      <c r="J2499" s="23" t="str">
        <f t="shared" si="197"/>
        <v>Match</v>
      </c>
      <c r="K2499" s="24">
        <f t="shared" si="198"/>
        <v>2.7</v>
      </c>
      <c r="L2499" s="24">
        <f t="shared" si="199"/>
        <v>0</v>
      </c>
    </row>
    <row r="2500" spans="1:12" ht="15" customHeight="1" x14ac:dyDescent="0.3">
      <c r="A2500" s="23" t="s">
        <v>15412</v>
      </c>
      <c r="B2500" s="23" t="s">
        <v>77</v>
      </c>
      <c r="C2500" s="39">
        <v>8998</v>
      </c>
      <c r="D2500" s="24">
        <v>152.97</v>
      </c>
      <c r="E2500" s="24">
        <v>27.53</v>
      </c>
      <c r="F2500" s="23">
        <f>COUNTIFS(mdr_rate_cleaned!$A$2:$A$10,B2500,mdr_rate_cleaned!$B$2:$B$10,"&lt;"&amp;C2500,mdr_rate_cleaned!$F$2:$F$10,"&gt;="&amp;C2500)</f>
        <v>1</v>
      </c>
      <c r="G2500" s="40">
        <f>SUMIFS(mdr_rate_cleaned!$G$2:$G$10,mdr_rate_cleaned!$A$2:$A$10,B2500,mdr_rate_cleaned!$B$2:$B$10,"&lt;"&amp;C2500,mdr_rate_cleaned!$F$2:$F$10,"&gt;="&amp;C2500)</f>
        <v>1.7000000000000001E-2</v>
      </c>
      <c r="H2500" s="24">
        <f t="shared" si="195"/>
        <v>152.97</v>
      </c>
      <c r="I2500" s="23" t="str">
        <f t="shared" si="196"/>
        <v>Match</v>
      </c>
      <c r="J2500" s="23" t="str">
        <f t="shared" si="197"/>
        <v>Match</v>
      </c>
      <c r="K2500" s="24">
        <f t="shared" si="198"/>
        <v>27.53</v>
      </c>
      <c r="L2500" s="24">
        <f t="shared" si="199"/>
        <v>0</v>
      </c>
    </row>
    <row r="2501" spans="1:12" ht="15" customHeight="1" x14ac:dyDescent="0.3">
      <c r="A2501" s="23" t="s">
        <v>15413</v>
      </c>
      <c r="B2501" s="23" t="s">
        <v>75</v>
      </c>
      <c r="C2501" s="39">
        <v>999</v>
      </c>
      <c r="D2501" s="24">
        <v>0</v>
      </c>
      <c r="E2501" s="24">
        <v>0</v>
      </c>
      <c r="F2501" s="23">
        <f>COUNTIFS(mdr_rate_cleaned!$A$2:$A$10,B2501,mdr_rate_cleaned!$B$2:$B$10,"&lt;"&amp;C2501,mdr_rate_cleaned!$F$2:$F$10,"&gt;="&amp;C2501)</f>
        <v>1</v>
      </c>
      <c r="G2501" s="40">
        <f>SUMIFS(mdr_rate_cleaned!$G$2:$G$10,mdr_rate_cleaned!$A$2:$A$10,B2501,mdr_rate_cleaned!$B$2:$B$10,"&lt;"&amp;C2501,mdr_rate_cleaned!$F$2:$F$10,"&gt;="&amp;C2501)</f>
        <v>0</v>
      </c>
      <c r="H2501" s="24">
        <f t="shared" si="195"/>
        <v>0</v>
      </c>
      <c r="I2501" s="23" t="str">
        <f t="shared" si="196"/>
        <v>Match</v>
      </c>
      <c r="J2501" s="23" t="str">
        <f t="shared" si="197"/>
        <v>Match</v>
      </c>
      <c r="K2501" s="24">
        <f t="shared" si="198"/>
        <v>0</v>
      </c>
      <c r="L2501" s="24">
        <f t="shared" si="199"/>
        <v>0</v>
      </c>
    </row>
    <row r="2502" spans="1:12" ht="15" customHeight="1" x14ac:dyDescent="0.3">
      <c r="A2502" s="23" t="s">
        <v>15414</v>
      </c>
      <c r="B2502" s="23" t="s">
        <v>75</v>
      </c>
      <c r="C2502" s="39">
        <v>2999</v>
      </c>
      <c r="D2502" s="24">
        <v>9</v>
      </c>
      <c r="E2502" s="24">
        <v>1.62</v>
      </c>
      <c r="F2502" s="23">
        <f>COUNTIFS(mdr_rate_cleaned!$A$2:$A$10,B2502,mdr_rate_cleaned!$B$2:$B$10,"&lt;"&amp;C2502,mdr_rate_cleaned!$F$2:$F$10,"&gt;="&amp;C2502)</f>
        <v>1</v>
      </c>
      <c r="G2502" s="40">
        <f>SUMIFS(mdr_rate_cleaned!$G$2:$G$10,mdr_rate_cleaned!$A$2:$A$10,B2502,mdr_rate_cleaned!$B$2:$B$10,"&lt;"&amp;C2502,mdr_rate_cleaned!$F$2:$F$10,"&gt;="&amp;C2502)</f>
        <v>3.0000000000000001E-3</v>
      </c>
      <c r="H2502" s="24">
        <f t="shared" si="195"/>
        <v>9</v>
      </c>
      <c r="I2502" s="23" t="str">
        <f t="shared" si="196"/>
        <v>Match</v>
      </c>
      <c r="J2502" s="23" t="str">
        <f t="shared" si="197"/>
        <v>Match</v>
      </c>
      <c r="K2502" s="24">
        <f t="shared" si="198"/>
        <v>1.62</v>
      </c>
      <c r="L2502" s="24">
        <f t="shared" si="199"/>
        <v>0</v>
      </c>
    </row>
    <row r="2503" spans="1:12" ht="15" customHeight="1" x14ac:dyDescent="0.3">
      <c r="A2503" s="23" t="s">
        <v>15415</v>
      </c>
      <c r="B2503" s="23" t="s">
        <v>75</v>
      </c>
      <c r="C2503" s="39">
        <v>599</v>
      </c>
      <c r="D2503" s="24">
        <v>0</v>
      </c>
      <c r="E2503" s="24">
        <v>0</v>
      </c>
      <c r="F2503" s="23">
        <f>COUNTIFS(mdr_rate_cleaned!$A$2:$A$10,B2503,mdr_rate_cleaned!$B$2:$B$10,"&lt;"&amp;C2503,mdr_rate_cleaned!$F$2:$F$10,"&gt;="&amp;C2503)</f>
        <v>1</v>
      </c>
      <c r="G2503" s="40">
        <f>SUMIFS(mdr_rate_cleaned!$G$2:$G$10,mdr_rate_cleaned!$A$2:$A$10,B2503,mdr_rate_cleaned!$B$2:$B$10,"&lt;"&amp;C2503,mdr_rate_cleaned!$F$2:$F$10,"&gt;="&amp;C2503)</f>
        <v>0</v>
      </c>
      <c r="H2503" s="24">
        <f t="shared" si="195"/>
        <v>0</v>
      </c>
      <c r="I2503" s="23" t="str">
        <f t="shared" si="196"/>
        <v>Match</v>
      </c>
      <c r="J2503" s="23" t="str">
        <f t="shared" si="197"/>
        <v>Match</v>
      </c>
      <c r="K2503" s="24">
        <f t="shared" si="198"/>
        <v>0</v>
      </c>
      <c r="L2503" s="24">
        <f t="shared" si="199"/>
        <v>0</v>
      </c>
    </row>
    <row r="2504" spans="1:12" ht="15" customHeight="1" x14ac:dyDescent="0.3">
      <c r="A2504" s="23" t="s">
        <v>15416</v>
      </c>
      <c r="B2504" s="23" t="s">
        <v>77</v>
      </c>
      <c r="C2504" s="39">
        <v>2499</v>
      </c>
      <c r="D2504" s="24">
        <v>42.48</v>
      </c>
      <c r="E2504" s="24">
        <v>7.65</v>
      </c>
      <c r="F2504" s="23">
        <f>COUNTIFS(mdr_rate_cleaned!$A$2:$A$10,B2504,mdr_rate_cleaned!$B$2:$B$10,"&lt;"&amp;C2504,mdr_rate_cleaned!$F$2:$F$10,"&gt;="&amp;C2504)</f>
        <v>1</v>
      </c>
      <c r="G2504" s="40">
        <f>SUMIFS(mdr_rate_cleaned!$G$2:$G$10,mdr_rate_cleaned!$A$2:$A$10,B2504,mdr_rate_cleaned!$B$2:$B$10,"&lt;"&amp;C2504,mdr_rate_cleaned!$F$2:$F$10,"&gt;="&amp;C2504)</f>
        <v>1.7000000000000001E-2</v>
      </c>
      <c r="H2504" s="24">
        <f t="shared" si="195"/>
        <v>42.48</v>
      </c>
      <c r="I2504" s="23" t="str">
        <f t="shared" si="196"/>
        <v>Match</v>
      </c>
      <c r="J2504" s="23" t="str">
        <f t="shared" si="197"/>
        <v>Match</v>
      </c>
      <c r="K2504" s="24">
        <f t="shared" si="198"/>
        <v>7.65</v>
      </c>
      <c r="L2504" s="24">
        <f t="shared" si="199"/>
        <v>0</v>
      </c>
    </row>
    <row r="2505" spans="1:12" ht="15" customHeight="1" x14ac:dyDescent="0.3">
      <c r="A2505" s="23" t="s">
        <v>15417</v>
      </c>
      <c r="B2505" s="23" t="s">
        <v>75</v>
      </c>
      <c r="C2505" s="39">
        <v>2798</v>
      </c>
      <c r="D2505" s="24">
        <v>8.39</v>
      </c>
      <c r="E2505" s="24">
        <v>1.51</v>
      </c>
      <c r="F2505" s="23">
        <f>COUNTIFS(mdr_rate_cleaned!$A$2:$A$10,B2505,mdr_rate_cleaned!$B$2:$B$10,"&lt;"&amp;C2505,mdr_rate_cleaned!$F$2:$F$10,"&gt;="&amp;C2505)</f>
        <v>1</v>
      </c>
      <c r="G2505" s="40">
        <f>SUMIFS(mdr_rate_cleaned!$G$2:$G$10,mdr_rate_cleaned!$A$2:$A$10,B2505,mdr_rate_cleaned!$B$2:$B$10,"&lt;"&amp;C2505,mdr_rate_cleaned!$F$2:$F$10,"&gt;="&amp;C2505)</f>
        <v>3.0000000000000001E-3</v>
      </c>
      <c r="H2505" s="24">
        <f t="shared" si="195"/>
        <v>8.39</v>
      </c>
      <c r="I2505" s="23" t="str">
        <f t="shared" si="196"/>
        <v>Match</v>
      </c>
      <c r="J2505" s="23" t="str">
        <f t="shared" si="197"/>
        <v>Match</v>
      </c>
      <c r="K2505" s="24">
        <f t="shared" si="198"/>
        <v>1.51</v>
      </c>
      <c r="L2505" s="24">
        <f t="shared" si="199"/>
        <v>0</v>
      </c>
    </row>
    <row r="2506" spans="1:12" ht="15" customHeight="1" x14ac:dyDescent="0.3">
      <c r="A2506" s="23" t="s">
        <v>15418</v>
      </c>
      <c r="B2506" s="23" t="s">
        <v>75</v>
      </c>
      <c r="C2506" s="39">
        <v>1998</v>
      </c>
      <c r="D2506" s="24">
        <v>0</v>
      </c>
      <c r="E2506" s="24">
        <v>0</v>
      </c>
      <c r="F2506" s="23">
        <f>COUNTIFS(mdr_rate_cleaned!$A$2:$A$10,B2506,mdr_rate_cleaned!$B$2:$B$10,"&lt;"&amp;C2506,mdr_rate_cleaned!$F$2:$F$10,"&gt;="&amp;C2506)</f>
        <v>1</v>
      </c>
      <c r="G2506" s="40">
        <f>SUMIFS(mdr_rate_cleaned!$G$2:$G$10,mdr_rate_cleaned!$A$2:$A$10,B2506,mdr_rate_cleaned!$B$2:$B$10,"&lt;"&amp;C2506,mdr_rate_cleaned!$F$2:$F$10,"&gt;="&amp;C2506)</f>
        <v>0</v>
      </c>
      <c r="H2506" s="24">
        <f t="shared" si="195"/>
        <v>0</v>
      </c>
      <c r="I2506" s="23" t="str">
        <f t="shared" si="196"/>
        <v>Match</v>
      </c>
      <c r="J2506" s="23" t="str">
        <f t="shared" si="197"/>
        <v>Match</v>
      </c>
      <c r="K2506" s="24">
        <f t="shared" si="198"/>
        <v>0</v>
      </c>
      <c r="L2506" s="24">
        <f t="shared" si="199"/>
        <v>0</v>
      </c>
    </row>
    <row r="2507" spans="1:12" ht="15" customHeight="1" x14ac:dyDescent="0.3">
      <c r="A2507" s="23" t="s">
        <v>15419</v>
      </c>
      <c r="B2507" s="23" t="s">
        <v>75</v>
      </c>
      <c r="C2507" s="39">
        <v>499</v>
      </c>
      <c r="D2507" s="24">
        <v>1.5</v>
      </c>
      <c r="E2507" s="24">
        <v>0.27</v>
      </c>
      <c r="F2507" s="23">
        <f>COUNTIFS(mdr_rate_cleaned!$A$2:$A$10,B2507,mdr_rate_cleaned!$B$2:$B$10,"&lt;"&amp;C2507,mdr_rate_cleaned!$F$2:$F$10,"&gt;="&amp;C2507)</f>
        <v>1</v>
      </c>
      <c r="G2507" s="40">
        <f>SUMIFS(mdr_rate_cleaned!$G$2:$G$10,mdr_rate_cleaned!$A$2:$A$10,B2507,mdr_rate_cleaned!$B$2:$B$10,"&lt;"&amp;C2507,mdr_rate_cleaned!$F$2:$F$10,"&gt;="&amp;C2507)</f>
        <v>0</v>
      </c>
      <c r="H2507" s="24">
        <f t="shared" si="195"/>
        <v>0</v>
      </c>
      <c r="I2507" s="23" t="str">
        <f t="shared" si="196"/>
        <v>Differs</v>
      </c>
      <c r="J2507" s="23" t="str">
        <f t="shared" si="197"/>
        <v>Match</v>
      </c>
      <c r="K2507" s="24">
        <f t="shared" si="198"/>
        <v>0</v>
      </c>
      <c r="L2507" s="24">
        <f t="shared" si="199"/>
        <v>1.77</v>
      </c>
    </row>
    <row r="2508" spans="1:12" ht="15" customHeight="1" x14ac:dyDescent="0.3">
      <c r="A2508" s="23" t="s">
        <v>15420</v>
      </c>
      <c r="B2508" s="23" t="s">
        <v>77</v>
      </c>
      <c r="C2508" s="39">
        <v>2499</v>
      </c>
      <c r="D2508" s="24">
        <v>42.48</v>
      </c>
      <c r="E2508" s="24">
        <v>7.65</v>
      </c>
      <c r="F2508" s="23">
        <f>COUNTIFS(mdr_rate_cleaned!$A$2:$A$10,B2508,mdr_rate_cleaned!$B$2:$B$10,"&lt;"&amp;C2508,mdr_rate_cleaned!$F$2:$F$10,"&gt;="&amp;C2508)</f>
        <v>1</v>
      </c>
      <c r="G2508" s="40">
        <f>SUMIFS(mdr_rate_cleaned!$G$2:$G$10,mdr_rate_cleaned!$A$2:$A$10,B2508,mdr_rate_cleaned!$B$2:$B$10,"&lt;"&amp;C2508,mdr_rate_cleaned!$F$2:$F$10,"&gt;="&amp;C2508)</f>
        <v>1.7000000000000001E-2</v>
      </c>
      <c r="H2508" s="24">
        <f t="shared" si="195"/>
        <v>42.48</v>
      </c>
      <c r="I2508" s="23" t="str">
        <f t="shared" si="196"/>
        <v>Match</v>
      </c>
      <c r="J2508" s="23" t="str">
        <f t="shared" si="197"/>
        <v>Match</v>
      </c>
      <c r="K2508" s="24">
        <f t="shared" si="198"/>
        <v>7.65</v>
      </c>
      <c r="L2508" s="24">
        <f t="shared" si="199"/>
        <v>0</v>
      </c>
    </row>
    <row r="2509" spans="1:12" ht="15" customHeight="1" x14ac:dyDescent="0.3">
      <c r="A2509" s="23" t="s">
        <v>15421</v>
      </c>
      <c r="B2509" s="23" t="s">
        <v>75</v>
      </c>
      <c r="C2509" s="39">
        <v>3798</v>
      </c>
      <c r="D2509" s="24">
        <v>11.39</v>
      </c>
      <c r="E2509" s="24">
        <v>2.0499999999999998</v>
      </c>
      <c r="F2509" s="23">
        <f>COUNTIFS(mdr_rate_cleaned!$A$2:$A$10,B2509,mdr_rate_cleaned!$B$2:$B$10,"&lt;"&amp;C2509,mdr_rate_cleaned!$F$2:$F$10,"&gt;="&amp;C2509)</f>
        <v>1</v>
      </c>
      <c r="G2509" s="40">
        <f>SUMIFS(mdr_rate_cleaned!$G$2:$G$10,mdr_rate_cleaned!$A$2:$A$10,B2509,mdr_rate_cleaned!$B$2:$B$10,"&lt;"&amp;C2509,mdr_rate_cleaned!$F$2:$F$10,"&gt;="&amp;C2509)</f>
        <v>3.0000000000000001E-3</v>
      </c>
      <c r="H2509" s="24">
        <f t="shared" si="195"/>
        <v>11.39</v>
      </c>
      <c r="I2509" s="23" t="str">
        <f t="shared" si="196"/>
        <v>Match</v>
      </c>
      <c r="J2509" s="23" t="str">
        <f t="shared" si="197"/>
        <v>Match</v>
      </c>
      <c r="K2509" s="24">
        <f t="shared" si="198"/>
        <v>2.0499999999999998</v>
      </c>
      <c r="L2509" s="24">
        <f t="shared" si="199"/>
        <v>0</v>
      </c>
    </row>
    <row r="2510" spans="1:12" ht="15" customHeight="1" x14ac:dyDescent="0.3">
      <c r="A2510" s="23" t="s">
        <v>15422</v>
      </c>
      <c r="B2510" s="23" t="s">
        <v>75</v>
      </c>
      <c r="C2510" s="39">
        <v>9798</v>
      </c>
      <c r="D2510" s="24">
        <v>29.39</v>
      </c>
      <c r="E2510" s="24">
        <v>5.29</v>
      </c>
      <c r="F2510" s="23">
        <f>COUNTIFS(mdr_rate_cleaned!$A$2:$A$10,B2510,mdr_rate_cleaned!$B$2:$B$10,"&lt;"&amp;C2510,mdr_rate_cleaned!$F$2:$F$10,"&gt;="&amp;C2510)</f>
        <v>1</v>
      </c>
      <c r="G2510" s="40">
        <f>SUMIFS(mdr_rate_cleaned!$G$2:$G$10,mdr_rate_cleaned!$A$2:$A$10,B2510,mdr_rate_cleaned!$B$2:$B$10,"&lt;"&amp;C2510,mdr_rate_cleaned!$F$2:$F$10,"&gt;="&amp;C2510)</f>
        <v>3.0000000000000001E-3</v>
      </c>
      <c r="H2510" s="24">
        <f t="shared" si="195"/>
        <v>29.39</v>
      </c>
      <c r="I2510" s="23" t="str">
        <f t="shared" si="196"/>
        <v>Match</v>
      </c>
      <c r="J2510" s="23" t="str">
        <f t="shared" si="197"/>
        <v>Match</v>
      </c>
      <c r="K2510" s="24">
        <f t="shared" si="198"/>
        <v>5.29</v>
      </c>
      <c r="L2510" s="24">
        <f t="shared" si="199"/>
        <v>0</v>
      </c>
    </row>
    <row r="2511" spans="1:12" ht="15" customHeight="1" x14ac:dyDescent="0.3">
      <c r="A2511" s="23" t="s">
        <v>15423</v>
      </c>
      <c r="B2511" s="23" t="s">
        <v>75</v>
      </c>
      <c r="C2511" s="39">
        <v>4999</v>
      </c>
      <c r="D2511" s="24">
        <v>15</v>
      </c>
      <c r="E2511" s="24">
        <v>2.7</v>
      </c>
      <c r="F2511" s="23">
        <f>COUNTIFS(mdr_rate_cleaned!$A$2:$A$10,B2511,mdr_rate_cleaned!$B$2:$B$10,"&lt;"&amp;C2511,mdr_rate_cleaned!$F$2:$F$10,"&gt;="&amp;C2511)</f>
        <v>1</v>
      </c>
      <c r="G2511" s="40">
        <f>SUMIFS(mdr_rate_cleaned!$G$2:$G$10,mdr_rate_cleaned!$A$2:$A$10,B2511,mdr_rate_cleaned!$B$2:$B$10,"&lt;"&amp;C2511,mdr_rate_cleaned!$F$2:$F$10,"&gt;="&amp;C2511)</f>
        <v>3.0000000000000001E-3</v>
      </c>
      <c r="H2511" s="24">
        <f t="shared" si="195"/>
        <v>15</v>
      </c>
      <c r="I2511" s="23" t="str">
        <f t="shared" si="196"/>
        <v>Match</v>
      </c>
      <c r="J2511" s="23" t="str">
        <f t="shared" si="197"/>
        <v>Match</v>
      </c>
      <c r="K2511" s="24">
        <f t="shared" si="198"/>
        <v>2.7</v>
      </c>
      <c r="L2511" s="24">
        <f t="shared" si="199"/>
        <v>0</v>
      </c>
    </row>
    <row r="2512" spans="1:12" ht="15" customHeight="1" x14ac:dyDescent="0.3">
      <c r="A2512" s="23" t="s">
        <v>15424</v>
      </c>
      <c r="B2512" s="23" t="s">
        <v>75</v>
      </c>
      <c r="C2512" s="39">
        <v>499</v>
      </c>
      <c r="D2512" s="24">
        <v>0</v>
      </c>
      <c r="E2512" s="24">
        <v>0</v>
      </c>
      <c r="F2512" s="23">
        <f>COUNTIFS(mdr_rate_cleaned!$A$2:$A$10,B2512,mdr_rate_cleaned!$B$2:$B$10,"&lt;"&amp;C2512,mdr_rate_cleaned!$F$2:$F$10,"&gt;="&amp;C2512)</f>
        <v>1</v>
      </c>
      <c r="G2512" s="40">
        <f>SUMIFS(mdr_rate_cleaned!$G$2:$G$10,mdr_rate_cleaned!$A$2:$A$10,B2512,mdr_rate_cleaned!$B$2:$B$10,"&lt;"&amp;C2512,mdr_rate_cleaned!$F$2:$F$10,"&gt;="&amp;C2512)</f>
        <v>0</v>
      </c>
      <c r="H2512" s="24">
        <f t="shared" si="195"/>
        <v>0</v>
      </c>
      <c r="I2512" s="23" t="str">
        <f t="shared" si="196"/>
        <v>Match</v>
      </c>
      <c r="J2512" s="23" t="str">
        <f t="shared" si="197"/>
        <v>Match</v>
      </c>
      <c r="K2512" s="24">
        <f t="shared" si="198"/>
        <v>0</v>
      </c>
      <c r="L2512" s="24">
        <f t="shared" si="199"/>
        <v>0</v>
      </c>
    </row>
    <row r="2513" spans="1:12" ht="15" customHeight="1" x14ac:dyDescent="0.3">
      <c r="A2513" s="23" t="s">
        <v>15425</v>
      </c>
      <c r="B2513" s="23" t="s">
        <v>79</v>
      </c>
      <c r="C2513" s="39">
        <v>299</v>
      </c>
      <c r="D2513" s="24">
        <v>5.38</v>
      </c>
      <c r="E2513" s="24">
        <v>0.97</v>
      </c>
      <c r="F2513" s="23">
        <f>COUNTIFS(mdr_rate_cleaned!$A$2:$A$10,B2513,mdr_rate_cleaned!$B$2:$B$10,"&lt;"&amp;C2513,mdr_rate_cleaned!$F$2:$F$10,"&gt;="&amp;C2513)</f>
        <v>1</v>
      </c>
      <c r="G2513" s="40">
        <f>SUMIFS(mdr_rate_cleaned!$G$2:$G$10,mdr_rate_cleaned!$A$2:$A$10,B2513,mdr_rate_cleaned!$B$2:$B$10,"&lt;"&amp;C2513,mdr_rate_cleaned!$F$2:$F$10,"&gt;="&amp;C2513)</f>
        <v>1.8000000000000002E-2</v>
      </c>
      <c r="H2513" s="24">
        <f t="shared" si="195"/>
        <v>5.38</v>
      </c>
      <c r="I2513" s="23" t="str">
        <f t="shared" si="196"/>
        <v>Match</v>
      </c>
      <c r="J2513" s="23" t="str">
        <f t="shared" si="197"/>
        <v>Match</v>
      </c>
      <c r="K2513" s="24">
        <f t="shared" si="198"/>
        <v>0.97</v>
      </c>
      <c r="L2513" s="24">
        <f t="shared" si="199"/>
        <v>0</v>
      </c>
    </row>
    <row r="2514" spans="1:12" ht="15" customHeight="1" x14ac:dyDescent="0.3">
      <c r="A2514" s="23" t="s">
        <v>15426</v>
      </c>
      <c r="B2514" s="23" t="s">
        <v>75</v>
      </c>
      <c r="C2514" s="39">
        <v>1499</v>
      </c>
      <c r="D2514" s="24">
        <v>0</v>
      </c>
      <c r="E2514" s="24">
        <v>0</v>
      </c>
      <c r="F2514" s="23">
        <f>COUNTIFS(mdr_rate_cleaned!$A$2:$A$10,B2514,mdr_rate_cleaned!$B$2:$B$10,"&lt;"&amp;C2514,mdr_rate_cleaned!$F$2:$F$10,"&gt;="&amp;C2514)</f>
        <v>1</v>
      </c>
      <c r="G2514" s="40">
        <f>SUMIFS(mdr_rate_cleaned!$G$2:$G$10,mdr_rate_cleaned!$A$2:$A$10,B2514,mdr_rate_cleaned!$B$2:$B$10,"&lt;"&amp;C2514,mdr_rate_cleaned!$F$2:$F$10,"&gt;="&amp;C2514)</f>
        <v>0</v>
      </c>
      <c r="H2514" s="24">
        <f t="shared" si="195"/>
        <v>0</v>
      </c>
      <c r="I2514" s="23" t="str">
        <f t="shared" si="196"/>
        <v>Match</v>
      </c>
      <c r="J2514" s="23" t="str">
        <f t="shared" si="197"/>
        <v>Match</v>
      </c>
      <c r="K2514" s="24">
        <f t="shared" si="198"/>
        <v>0</v>
      </c>
      <c r="L2514" s="24">
        <f t="shared" si="199"/>
        <v>0</v>
      </c>
    </row>
    <row r="2515" spans="1:12" ht="15" customHeight="1" x14ac:dyDescent="0.3">
      <c r="A2515" s="23" t="s">
        <v>15427</v>
      </c>
      <c r="B2515" s="23" t="s">
        <v>75</v>
      </c>
      <c r="C2515" s="39">
        <v>2098</v>
      </c>
      <c r="D2515" s="24">
        <v>6.29</v>
      </c>
      <c r="E2515" s="24">
        <v>1.1299999999999999</v>
      </c>
      <c r="F2515" s="23">
        <f>COUNTIFS(mdr_rate_cleaned!$A$2:$A$10,B2515,mdr_rate_cleaned!$B$2:$B$10,"&lt;"&amp;C2515,mdr_rate_cleaned!$F$2:$F$10,"&gt;="&amp;C2515)</f>
        <v>1</v>
      </c>
      <c r="G2515" s="40">
        <f>SUMIFS(mdr_rate_cleaned!$G$2:$G$10,mdr_rate_cleaned!$A$2:$A$10,B2515,mdr_rate_cleaned!$B$2:$B$10,"&lt;"&amp;C2515,mdr_rate_cleaned!$F$2:$F$10,"&gt;="&amp;C2515)</f>
        <v>3.0000000000000001E-3</v>
      </c>
      <c r="H2515" s="24">
        <f t="shared" si="195"/>
        <v>6.29</v>
      </c>
      <c r="I2515" s="23" t="str">
        <f t="shared" si="196"/>
        <v>Match</v>
      </c>
      <c r="J2515" s="23" t="str">
        <f t="shared" si="197"/>
        <v>Match</v>
      </c>
      <c r="K2515" s="24">
        <f t="shared" si="198"/>
        <v>1.1299999999999999</v>
      </c>
      <c r="L2515" s="24">
        <f t="shared" si="199"/>
        <v>0</v>
      </c>
    </row>
    <row r="2516" spans="1:12" ht="15" customHeight="1" x14ac:dyDescent="0.3">
      <c r="A2516" s="23" t="s">
        <v>15428</v>
      </c>
      <c r="B2516" s="23" t="s">
        <v>81</v>
      </c>
      <c r="C2516" s="39">
        <v>3848</v>
      </c>
      <c r="D2516" s="24">
        <v>46.18</v>
      </c>
      <c r="E2516" s="24">
        <v>8.31</v>
      </c>
      <c r="F2516" s="23">
        <f>COUNTIFS(mdr_rate_cleaned!$A$2:$A$10,B2516,mdr_rate_cleaned!$B$2:$B$10,"&lt;"&amp;C2516,mdr_rate_cleaned!$F$2:$F$10,"&gt;="&amp;C2516)</f>
        <v>1</v>
      </c>
      <c r="G2516" s="40">
        <f>SUMIFS(mdr_rate_cleaned!$G$2:$G$10,mdr_rate_cleaned!$A$2:$A$10,B2516,mdr_rate_cleaned!$B$2:$B$10,"&lt;"&amp;C2516,mdr_rate_cleaned!$F$2:$F$10,"&gt;="&amp;C2516)</f>
        <v>1.2E-2</v>
      </c>
      <c r="H2516" s="24">
        <f t="shared" si="195"/>
        <v>46.18</v>
      </c>
      <c r="I2516" s="23" t="str">
        <f t="shared" si="196"/>
        <v>Match</v>
      </c>
      <c r="J2516" s="23" t="str">
        <f t="shared" si="197"/>
        <v>Match</v>
      </c>
      <c r="K2516" s="24">
        <f t="shared" si="198"/>
        <v>8.31</v>
      </c>
      <c r="L2516" s="24">
        <f t="shared" si="199"/>
        <v>0</v>
      </c>
    </row>
    <row r="2517" spans="1:12" ht="15" customHeight="1" x14ac:dyDescent="0.3">
      <c r="A2517" s="23" t="s">
        <v>15429</v>
      </c>
      <c r="B2517" s="23" t="s">
        <v>79</v>
      </c>
      <c r="C2517" s="39">
        <v>3798</v>
      </c>
      <c r="D2517" s="24">
        <v>60.77</v>
      </c>
      <c r="E2517" s="24">
        <v>10.94</v>
      </c>
      <c r="F2517" s="23">
        <f>COUNTIFS(mdr_rate_cleaned!$A$2:$A$10,B2517,mdr_rate_cleaned!$B$2:$B$10,"&lt;"&amp;C2517,mdr_rate_cleaned!$F$2:$F$10,"&gt;="&amp;C2517)</f>
        <v>1</v>
      </c>
      <c r="G2517" s="40">
        <f>SUMIFS(mdr_rate_cleaned!$G$2:$G$10,mdr_rate_cleaned!$A$2:$A$10,B2517,mdr_rate_cleaned!$B$2:$B$10,"&lt;"&amp;C2517,mdr_rate_cleaned!$F$2:$F$10,"&gt;="&amp;C2517)</f>
        <v>1.6E-2</v>
      </c>
      <c r="H2517" s="24">
        <f t="shared" si="195"/>
        <v>60.77</v>
      </c>
      <c r="I2517" s="23" t="str">
        <f t="shared" si="196"/>
        <v>Match</v>
      </c>
      <c r="J2517" s="23" t="str">
        <f t="shared" si="197"/>
        <v>Match</v>
      </c>
      <c r="K2517" s="24">
        <f t="shared" si="198"/>
        <v>10.94</v>
      </c>
      <c r="L2517" s="24">
        <f t="shared" si="199"/>
        <v>0</v>
      </c>
    </row>
    <row r="2518" spans="1:12" ht="15" customHeight="1" x14ac:dyDescent="0.3">
      <c r="A2518" s="23" t="s">
        <v>15430</v>
      </c>
      <c r="B2518" s="23" t="s">
        <v>75</v>
      </c>
      <c r="C2518" s="39">
        <v>1848</v>
      </c>
      <c r="D2518" s="24">
        <v>0</v>
      </c>
      <c r="E2518" s="24">
        <v>0</v>
      </c>
      <c r="F2518" s="23">
        <f>COUNTIFS(mdr_rate_cleaned!$A$2:$A$10,B2518,mdr_rate_cleaned!$B$2:$B$10,"&lt;"&amp;C2518,mdr_rate_cleaned!$F$2:$F$10,"&gt;="&amp;C2518)</f>
        <v>1</v>
      </c>
      <c r="G2518" s="40">
        <f>SUMIFS(mdr_rate_cleaned!$G$2:$G$10,mdr_rate_cleaned!$A$2:$A$10,B2518,mdr_rate_cleaned!$B$2:$B$10,"&lt;"&amp;C2518,mdr_rate_cleaned!$F$2:$F$10,"&gt;="&amp;C2518)</f>
        <v>0</v>
      </c>
      <c r="H2518" s="24">
        <f t="shared" si="195"/>
        <v>0</v>
      </c>
      <c r="I2518" s="23" t="str">
        <f t="shared" si="196"/>
        <v>Match</v>
      </c>
      <c r="J2518" s="23" t="str">
        <f t="shared" si="197"/>
        <v>Match</v>
      </c>
      <c r="K2518" s="24">
        <f t="shared" si="198"/>
        <v>0</v>
      </c>
      <c r="L2518" s="24">
        <f t="shared" si="199"/>
        <v>0</v>
      </c>
    </row>
    <row r="2519" spans="1:12" ht="15" customHeight="1" x14ac:dyDescent="0.3">
      <c r="A2519" s="23" t="s">
        <v>15431</v>
      </c>
      <c r="B2519" s="23" t="s">
        <v>79</v>
      </c>
      <c r="C2519" s="39">
        <v>1299</v>
      </c>
      <c r="D2519" s="24">
        <v>23.38</v>
      </c>
      <c r="E2519" s="24">
        <v>4.21</v>
      </c>
      <c r="F2519" s="23">
        <f>COUNTIFS(mdr_rate_cleaned!$A$2:$A$10,B2519,mdr_rate_cleaned!$B$2:$B$10,"&lt;"&amp;C2519,mdr_rate_cleaned!$F$2:$F$10,"&gt;="&amp;C2519)</f>
        <v>1</v>
      </c>
      <c r="G2519" s="40">
        <f>SUMIFS(mdr_rate_cleaned!$G$2:$G$10,mdr_rate_cleaned!$A$2:$A$10,B2519,mdr_rate_cleaned!$B$2:$B$10,"&lt;"&amp;C2519,mdr_rate_cleaned!$F$2:$F$10,"&gt;="&amp;C2519)</f>
        <v>1.8000000000000002E-2</v>
      </c>
      <c r="H2519" s="24">
        <f t="shared" si="195"/>
        <v>23.38</v>
      </c>
      <c r="I2519" s="23" t="str">
        <f t="shared" si="196"/>
        <v>Match</v>
      </c>
      <c r="J2519" s="23" t="str">
        <f t="shared" si="197"/>
        <v>Match</v>
      </c>
      <c r="K2519" s="24">
        <f t="shared" si="198"/>
        <v>4.21</v>
      </c>
      <c r="L2519" s="24">
        <f t="shared" si="199"/>
        <v>0</v>
      </c>
    </row>
    <row r="2520" spans="1:12" ht="15" customHeight="1" x14ac:dyDescent="0.3">
      <c r="A2520" s="23" t="s">
        <v>15432</v>
      </c>
      <c r="B2520" s="23" t="s">
        <v>79</v>
      </c>
      <c r="C2520" s="39">
        <v>1499</v>
      </c>
      <c r="D2520" s="24">
        <v>26.98</v>
      </c>
      <c r="E2520" s="24">
        <v>4.8600000000000003</v>
      </c>
      <c r="F2520" s="23">
        <f>COUNTIFS(mdr_rate_cleaned!$A$2:$A$10,B2520,mdr_rate_cleaned!$B$2:$B$10,"&lt;"&amp;C2520,mdr_rate_cleaned!$F$2:$F$10,"&gt;="&amp;C2520)</f>
        <v>1</v>
      </c>
      <c r="G2520" s="40">
        <f>SUMIFS(mdr_rate_cleaned!$G$2:$G$10,mdr_rate_cleaned!$A$2:$A$10,B2520,mdr_rate_cleaned!$B$2:$B$10,"&lt;"&amp;C2520,mdr_rate_cleaned!$F$2:$F$10,"&gt;="&amp;C2520)</f>
        <v>1.8000000000000002E-2</v>
      </c>
      <c r="H2520" s="24">
        <f t="shared" si="195"/>
        <v>26.98</v>
      </c>
      <c r="I2520" s="23" t="str">
        <f t="shared" si="196"/>
        <v>Match</v>
      </c>
      <c r="J2520" s="23" t="str">
        <f t="shared" si="197"/>
        <v>Match</v>
      </c>
      <c r="K2520" s="24">
        <f t="shared" si="198"/>
        <v>4.8600000000000003</v>
      </c>
      <c r="L2520" s="24">
        <f t="shared" si="199"/>
        <v>0</v>
      </c>
    </row>
    <row r="2521" spans="1:12" ht="15" customHeight="1" x14ac:dyDescent="0.3">
      <c r="A2521" s="23" t="s">
        <v>15433</v>
      </c>
      <c r="B2521" s="23" t="s">
        <v>75</v>
      </c>
      <c r="C2521" s="39">
        <v>2798</v>
      </c>
      <c r="D2521" s="24">
        <v>8.39</v>
      </c>
      <c r="E2521" s="24">
        <v>1.51</v>
      </c>
      <c r="F2521" s="23">
        <f>COUNTIFS(mdr_rate_cleaned!$A$2:$A$10,B2521,mdr_rate_cleaned!$B$2:$B$10,"&lt;"&amp;C2521,mdr_rate_cleaned!$F$2:$F$10,"&gt;="&amp;C2521)</f>
        <v>1</v>
      </c>
      <c r="G2521" s="40">
        <f>SUMIFS(mdr_rate_cleaned!$G$2:$G$10,mdr_rate_cleaned!$A$2:$A$10,B2521,mdr_rate_cleaned!$B$2:$B$10,"&lt;"&amp;C2521,mdr_rate_cleaned!$F$2:$F$10,"&gt;="&amp;C2521)</f>
        <v>3.0000000000000001E-3</v>
      </c>
      <c r="H2521" s="24">
        <f t="shared" si="195"/>
        <v>8.39</v>
      </c>
      <c r="I2521" s="23" t="str">
        <f t="shared" si="196"/>
        <v>Match</v>
      </c>
      <c r="J2521" s="23" t="str">
        <f t="shared" si="197"/>
        <v>Match</v>
      </c>
      <c r="K2521" s="24">
        <f t="shared" si="198"/>
        <v>1.51</v>
      </c>
      <c r="L2521" s="24">
        <f t="shared" si="199"/>
        <v>0</v>
      </c>
    </row>
    <row r="2522" spans="1:12" ht="15" customHeight="1" x14ac:dyDescent="0.3">
      <c r="A2522" s="23" t="s">
        <v>15434</v>
      </c>
      <c r="B2522" s="23" t="s">
        <v>77</v>
      </c>
      <c r="C2522" s="39">
        <v>4647</v>
      </c>
      <c r="D2522" s="24">
        <v>79</v>
      </c>
      <c r="E2522" s="24">
        <v>14.22</v>
      </c>
      <c r="F2522" s="23">
        <f>COUNTIFS(mdr_rate_cleaned!$A$2:$A$10,B2522,mdr_rate_cleaned!$B$2:$B$10,"&lt;"&amp;C2522,mdr_rate_cleaned!$F$2:$F$10,"&gt;="&amp;C2522)</f>
        <v>1</v>
      </c>
      <c r="G2522" s="40">
        <f>SUMIFS(mdr_rate_cleaned!$G$2:$G$10,mdr_rate_cleaned!$A$2:$A$10,B2522,mdr_rate_cleaned!$B$2:$B$10,"&lt;"&amp;C2522,mdr_rate_cleaned!$F$2:$F$10,"&gt;="&amp;C2522)</f>
        <v>1.7000000000000001E-2</v>
      </c>
      <c r="H2522" s="24">
        <f t="shared" si="195"/>
        <v>79</v>
      </c>
      <c r="I2522" s="23" t="str">
        <f t="shared" si="196"/>
        <v>Match</v>
      </c>
      <c r="J2522" s="23" t="str">
        <f t="shared" si="197"/>
        <v>Match</v>
      </c>
      <c r="K2522" s="24">
        <f t="shared" si="198"/>
        <v>14.22</v>
      </c>
      <c r="L2522" s="24">
        <f t="shared" si="199"/>
        <v>0</v>
      </c>
    </row>
    <row r="2523" spans="1:12" ht="15" customHeight="1" x14ac:dyDescent="0.3">
      <c r="A2523" s="23" t="s">
        <v>15435</v>
      </c>
      <c r="B2523" s="23" t="s">
        <v>79</v>
      </c>
      <c r="C2523" s="39">
        <v>3499</v>
      </c>
      <c r="D2523" s="24">
        <v>55.98</v>
      </c>
      <c r="E2523" s="24">
        <v>10.08</v>
      </c>
      <c r="F2523" s="23">
        <f>COUNTIFS(mdr_rate_cleaned!$A$2:$A$10,B2523,mdr_rate_cleaned!$B$2:$B$10,"&lt;"&amp;C2523,mdr_rate_cleaned!$F$2:$F$10,"&gt;="&amp;C2523)</f>
        <v>1</v>
      </c>
      <c r="G2523" s="40">
        <f>SUMIFS(mdr_rate_cleaned!$G$2:$G$10,mdr_rate_cleaned!$A$2:$A$10,B2523,mdr_rate_cleaned!$B$2:$B$10,"&lt;"&amp;C2523,mdr_rate_cleaned!$F$2:$F$10,"&gt;="&amp;C2523)</f>
        <v>1.6E-2</v>
      </c>
      <c r="H2523" s="24">
        <f t="shared" si="195"/>
        <v>55.98</v>
      </c>
      <c r="I2523" s="23" t="str">
        <f t="shared" si="196"/>
        <v>Match</v>
      </c>
      <c r="J2523" s="23" t="str">
        <f t="shared" si="197"/>
        <v>Match</v>
      </c>
      <c r="K2523" s="24">
        <f t="shared" si="198"/>
        <v>10.08</v>
      </c>
      <c r="L2523" s="24">
        <f t="shared" si="199"/>
        <v>0</v>
      </c>
    </row>
    <row r="2524" spans="1:12" ht="15" customHeight="1" x14ac:dyDescent="0.3">
      <c r="A2524" s="23" t="s">
        <v>15436</v>
      </c>
      <c r="B2524" s="23" t="s">
        <v>79</v>
      </c>
      <c r="C2524" s="39">
        <v>1098</v>
      </c>
      <c r="D2524" s="24">
        <v>19.760000000000002</v>
      </c>
      <c r="E2524" s="24">
        <v>3.56</v>
      </c>
      <c r="F2524" s="23">
        <f>COUNTIFS(mdr_rate_cleaned!$A$2:$A$10,B2524,mdr_rate_cleaned!$B$2:$B$10,"&lt;"&amp;C2524,mdr_rate_cleaned!$F$2:$F$10,"&gt;="&amp;C2524)</f>
        <v>1</v>
      </c>
      <c r="G2524" s="40">
        <f>SUMIFS(mdr_rate_cleaned!$G$2:$G$10,mdr_rate_cleaned!$A$2:$A$10,B2524,mdr_rate_cleaned!$B$2:$B$10,"&lt;"&amp;C2524,mdr_rate_cleaned!$F$2:$F$10,"&gt;="&amp;C2524)</f>
        <v>1.8000000000000002E-2</v>
      </c>
      <c r="H2524" s="24">
        <f t="shared" si="195"/>
        <v>19.760000000000002</v>
      </c>
      <c r="I2524" s="23" t="str">
        <f t="shared" si="196"/>
        <v>Match</v>
      </c>
      <c r="J2524" s="23" t="str">
        <f t="shared" si="197"/>
        <v>Match</v>
      </c>
      <c r="K2524" s="24">
        <f t="shared" si="198"/>
        <v>3.56</v>
      </c>
      <c r="L2524" s="24">
        <f t="shared" si="199"/>
        <v>0</v>
      </c>
    </row>
    <row r="2525" spans="1:12" ht="15" customHeight="1" x14ac:dyDescent="0.3">
      <c r="A2525" s="23" t="s">
        <v>15437</v>
      </c>
      <c r="B2525" s="23" t="s">
        <v>77</v>
      </c>
      <c r="C2525" s="39">
        <v>7498</v>
      </c>
      <c r="D2525" s="24">
        <v>127.47</v>
      </c>
      <c r="E2525" s="24">
        <v>22.94</v>
      </c>
      <c r="F2525" s="23">
        <f>COUNTIFS(mdr_rate_cleaned!$A$2:$A$10,B2525,mdr_rate_cleaned!$B$2:$B$10,"&lt;"&amp;C2525,mdr_rate_cleaned!$F$2:$F$10,"&gt;="&amp;C2525)</f>
        <v>1</v>
      </c>
      <c r="G2525" s="40">
        <f>SUMIFS(mdr_rate_cleaned!$G$2:$G$10,mdr_rate_cleaned!$A$2:$A$10,B2525,mdr_rate_cleaned!$B$2:$B$10,"&lt;"&amp;C2525,mdr_rate_cleaned!$F$2:$F$10,"&gt;="&amp;C2525)</f>
        <v>1.7000000000000001E-2</v>
      </c>
      <c r="H2525" s="24">
        <f t="shared" si="195"/>
        <v>127.47</v>
      </c>
      <c r="I2525" s="23" t="str">
        <f t="shared" si="196"/>
        <v>Match</v>
      </c>
      <c r="J2525" s="23" t="str">
        <f t="shared" si="197"/>
        <v>Match</v>
      </c>
      <c r="K2525" s="24">
        <f t="shared" si="198"/>
        <v>22.94</v>
      </c>
      <c r="L2525" s="24">
        <f t="shared" si="199"/>
        <v>0</v>
      </c>
    </row>
    <row r="2526" spans="1:12" ht="15" customHeight="1" x14ac:dyDescent="0.3">
      <c r="A2526" s="23" t="s">
        <v>15439</v>
      </c>
      <c r="B2526" s="23" t="s">
        <v>75</v>
      </c>
      <c r="C2526" s="39">
        <v>1799</v>
      </c>
      <c r="D2526" s="24">
        <v>0</v>
      </c>
      <c r="E2526" s="24">
        <v>0</v>
      </c>
      <c r="F2526" s="23">
        <f>COUNTIFS(mdr_rate_cleaned!$A$2:$A$10,B2526,mdr_rate_cleaned!$B$2:$B$10,"&lt;"&amp;C2526,mdr_rate_cleaned!$F$2:$F$10,"&gt;="&amp;C2526)</f>
        <v>1</v>
      </c>
      <c r="G2526" s="40">
        <f>SUMIFS(mdr_rate_cleaned!$G$2:$G$10,mdr_rate_cleaned!$A$2:$A$10,B2526,mdr_rate_cleaned!$B$2:$B$10,"&lt;"&amp;C2526,mdr_rate_cleaned!$F$2:$F$10,"&gt;="&amp;C2526)</f>
        <v>0</v>
      </c>
      <c r="H2526" s="24">
        <f t="shared" si="195"/>
        <v>0</v>
      </c>
      <c r="I2526" s="23" t="str">
        <f t="shared" si="196"/>
        <v>Match</v>
      </c>
      <c r="J2526" s="23" t="str">
        <f t="shared" si="197"/>
        <v>Match</v>
      </c>
      <c r="K2526" s="24">
        <f t="shared" si="198"/>
        <v>0</v>
      </c>
      <c r="L2526" s="24">
        <f t="shared" si="199"/>
        <v>0</v>
      </c>
    </row>
    <row r="2527" spans="1:12" ht="15" customHeight="1" x14ac:dyDescent="0.3">
      <c r="A2527" s="23" t="s">
        <v>15440</v>
      </c>
      <c r="B2527" s="23" t="s">
        <v>75</v>
      </c>
      <c r="C2527" s="39">
        <v>349</v>
      </c>
      <c r="D2527" s="24">
        <v>0</v>
      </c>
      <c r="E2527" s="24">
        <v>0</v>
      </c>
      <c r="F2527" s="23">
        <f>COUNTIFS(mdr_rate_cleaned!$A$2:$A$10,B2527,mdr_rate_cleaned!$B$2:$B$10,"&lt;"&amp;C2527,mdr_rate_cleaned!$F$2:$F$10,"&gt;="&amp;C2527)</f>
        <v>1</v>
      </c>
      <c r="G2527" s="40">
        <f>SUMIFS(mdr_rate_cleaned!$G$2:$G$10,mdr_rate_cleaned!$A$2:$A$10,B2527,mdr_rate_cleaned!$B$2:$B$10,"&lt;"&amp;C2527,mdr_rate_cleaned!$F$2:$F$10,"&gt;="&amp;C2527)</f>
        <v>0</v>
      </c>
      <c r="H2527" s="24">
        <f t="shared" si="195"/>
        <v>0</v>
      </c>
      <c r="I2527" s="23" t="str">
        <f t="shared" si="196"/>
        <v>Match</v>
      </c>
      <c r="J2527" s="23" t="str">
        <f t="shared" si="197"/>
        <v>Match</v>
      </c>
      <c r="K2527" s="24">
        <f t="shared" si="198"/>
        <v>0</v>
      </c>
      <c r="L2527" s="24">
        <f t="shared" si="199"/>
        <v>0</v>
      </c>
    </row>
    <row r="2528" spans="1:12" ht="15" customHeight="1" x14ac:dyDescent="0.3">
      <c r="A2528" s="23" t="s">
        <v>15441</v>
      </c>
      <c r="B2528" s="23" t="s">
        <v>75</v>
      </c>
      <c r="C2528" s="39">
        <v>6298</v>
      </c>
      <c r="D2528" s="24">
        <v>18.89</v>
      </c>
      <c r="E2528" s="24">
        <v>3.4</v>
      </c>
      <c r="F2528" s="23">
        <f>COUNTIFS(mdr_rate_cleaned!$A$2:$A$10,B2528,mdr_rate_cleaned!$B$2:$B$10,"&lt;"&amp;C2528,mdr_rate_cleaned!$F$2:$F$10,"&gt;="&amp;C2528)</f>
        <v>1</v>
      </c>
      <c r="G2528" s="40">
        <f>SUMIFS(mdr_rate_cleaned!$G$2:$G$10,mdr_rate_cleaned!$A$2:$A$10,B2528,mdr_rate_cleaned!$B$2:$B$10,"&lt;"&amp;C2528,mdr_rate_cleaned!$F$2:$F$10,"&gt;="&amp;C2528)</f>
        <v>3.0000000000000001E-3</v>
      </c>
      <c r="H2528" s="24">
        <f t="shared" si="195"/>
        <v>18.89</v>
      </c>
      <c r="I2528" s="23" t="str">
        <f t="shared" si="196"/>
        <v>Match</v>
      </c>
      <c r="J2528" s="23" t="str">
        <f t="shared" si="197"/>
        <v>Match</v>
      </c>
      <c r="K2528" s="24">
        <f t="shared" si="198"/>
        <v>3.4</v>
      </c>
      <c r="L2528" s="24">
        <f t="shared" si="199"/>
        <v>0</v>
      </c>
    </row>
    <row r="2529" spans="1:12" ht="15" customHeight="1" x14ac:dyDescent="0.3">
      <c r="A2529" s="23" t="s">
        <v>15442</v>
      </c>
      <c r="B2529" s="23" t="s">
        <v>75</v>
      </c>
      <c r="C2529" s="39">
        <v>3647</v>
      </c>
      <c r="D2529" s="24">
        <v>10.94</v>
      </c>
      <c r="E2529" s="24">
        <v>1.97</v>
      </c>
      <c r="F2529" s="23">
        <f>COUNTIFS(mdr_rate_cleaned!$A$2:$A$10,B2529,mdr_rate_cleaned!$B$2:$B$10,"&lt;"&amp;C2529,mdr_rate_cleaned!$F$2:$F$10,"&gt;="&amp;C2529)</f>
        <v>1</v>
      </c>
      <c r="G2529" s="40">
        <f>SUMIFS(mdr_rate_cleaned!$G$2:$G$10,mdr_rate_cleaned!$A$2:$A$10,B2529,mdr_rate_cleaned!$B$2:$B$10,"&lt;"&amp;C2529,mdr_rate_cleaned!$F$2:$F$10,"&gt;="&amp;C2529)</f>
        <v>3.0000000000000001E-3</v>
      </c>
      <c r="H2529" s="24">
        <f t="shared" si="195"/>
        <v>10.94</v>
      </c>
      <c r="I2529" s="23" t="str">
        <f t="shared" si="196"/>
        <v>Match</v>
      </c>
      <c r="J2529" s="23" t="str">
        <f t="shared" si="197"/>
        <v>Match</v>
      </c>
      <c r="K2529" s="24">
        <f t="shared" si="198"/>
        <v>1.97</v>
      </c>
      <c r="L2529" s="24">
        <f t="shared" si="199"/>
        <v>0</v>
      </c>
    </row>
    <row r="2530" spans="1:12" ht="15" customHeight="1" x14ac:dyDescent="0.3">
      <c r="A2530" s="23" t="s">
        <v>15443</v>
      </c>
      <c r="B2530" s="23" t="s">
        <v>75</v>
      </c>
      <c r="C2530" s="39">
        <v>1848</v>
      </c>
      <c r="D2530" s="24">
        <v>0</v>
      </c>
      <c r="E2530" s="24">
        <v>0</v>
      </c>
      <c r="F2530" s="23">
        <f>COUNTIFS(mdr_rate_cleaned!$A$2:$A$10,B2530,mdr_rate_cleaned!$B$2:$B$10,"&lt;"&amp;C2530,mdr_rate_cleaned!$F$2:$F$10,"&gt;="&amp;C2530)</f>
        <v>1</v>
      </c>
      <c r="G2530" s="40">
        <f>SUMIFS(mdr_rate_cleaned!$G$2:$G$10,mdr_rate_cleaned!$A$2:$A$10,B2530,mdr_rate_cleaned!$B$2:$B$10,"&lt;"&amp;C2530,mdr_rate_cleaned!$F$2:$F$10,"&gt;="&amp;C2530)</f>
        <v>0</v>
      </c>
      <c r="H2530" s="24">
        <f t="shared" si="195"/>
        <v>0</v>
      </c>
      <c r="I2530" s="23" t="str">
        <f t="shared" si="196"/>
        <v>Match</v>
      </c>
      <c r="J2530" s="23" t="str">
        <f t="shared" si="197"/>
        <v>Match</v>
      </c>
      <c r="K2530" s="24">
        <f t="shared" si="198"/>
        <v>0</v>
      </c>
      <c r="L2530" s="24">
        <f t="shared" si="199"/>
        <v>0</v>
      </c>
    </row>
    <row r="2531" spans="1:12" ht="15" customHeight="1" x14ac:dyDescent="0.3">
      <c r="A2531" s="23" t="s">
        <v>15444</v>
      </c>
      <c r="B2531" s="23" t="s">
        <v>75</v>
      </c>
      <c r="C2531" s="39">
        <v>299</v>
      </c>
      <c r="D2531" s="24">
        <v>0</v>
      </c>
      <c r="E2531" s="24">
        <v>0</v>
      </c>
      <c r="F2531" s="23">
        <f>COUNTIFS(mdr_rate_cleaned!$A$2:$A$10,B2531,mdr_rate_cleaned!$B$2:$B$10,"&lt;"&amp;C2531,mdr_rate_cleaned!$F$2:$F$10,"&gt;="&amp;C2531)</f>
        <v>1</v>
      </c>
      <c r="G2531" s="40">
        <f>SUMIFS(mdr_rate_cleaned!$G$2:$G$10,mdr_rate_cleaned!$A$2:$A$10,B2531,mdr_rate_cleaned!$B$2:$B$10,"&lt;"&amp;C2531,mdr_rate_cleaned!$F$2:$F$10,"&gt;="&amp;C2531)</f>
        <v>0</v>
      </c>
      <c r="H2531" s="24">
        <f t="shared" si="195"/>
        <v>0</v>
      </c>
      <c r="I2531" s="23" t="str">
        <f t="shared" si="196"/>
        <v>Match</v>
      </c>
      <c r="J2531" s="23" t="str">
        <f t="shared" si="197"/>
        <v>Match</v>
      </c>
      <c r="K2531" s="24">
        <f t="shared" si="198"/>
        <v>0</v>
      </c>
      <c r="L2531" s="24">
        <f t="shared" si="199"/>
        <v>0</v>
      </c>
    </row>
    <row r="2532" spans="1:12" ht="15" customHeight="1" x14ac:dyDescent="0.3">
      <c r="A2532" s="23" t="s">
        <v>15445</v>
      </c>
      <c r="B2532" s="23" t="s">
        <v>79</v>
      </c>
      <c r="C2532" s="39">
        <v>1898</v>
      </c>
      <c r="D2532" s="24">
        <v>34.159999999999997</v>
      </c>
      <c r="E2532" s="24">
        <v>6.15</v>
      </c>
      <c r="F2532" s="23">
        <f>COUNTIFS(mdr_rate_cleaned!$A$2:$A$10,B2532,mdr_rate_cleaned!$B$2:$B$10,"&lt;"&amp;C2532,mdr_rate_cleaned!$F$2:$F$10,"&gt;="&amp;C2532)</f>
        <v>1</v>
      </c>
      <c r="G2532" s="40">
        <f>SUMIFS(mdr_rate_cleaned!$G$2:$G$10,mdr_rate_cleaned!$A$2:$A$10,B2532,mdr_rate_cleaned!$B$2:$B$10,"&lt;"&amp;C2532,mdr_rate_cleaned!$F$2:$F$10,"&gt;="&amp;C2532)</f>
        <v>1.8000000000000002E-2</v>
      </c>
      <c r="H2532" s="24">
        <f t="shared" si="195"/>
        <v>34.159999999999997</v>
      </c>
      <c r="I2532" s="23" t="str">
        <f t="shared" si="196"/>
        <v>Match</v>
      </c>
      <c r="J2532" s="23" t="str">
        <f t="shared" si="197"/>
        <v>Match</v>
      </c>
      <c r="K2532" s="24">
        <f t="shared" si="198"/>
        <v>6.15</v>
      </c>
      <c r="L2532" s="24">
        <f t="shared" si="199"/>
        <v>0</v>
      </c>
    </row>
    <row r="2533" spans="1:12" ht="15" customHeight="1" x14ac:dyDescent="0.3">
      <c r="A2533" s="23" t="s">
        <v>15447</v>
      </c>
      <c r="B2533" s="23" t="s">
        <v>75</v>
      </c>
      <c r="C2533" s="39">
        <v>1299</v>
      </c>
      <c r="D2533" s="24">
        <v>0</v>
      </c>
      <c r="E2533" s="24">
        <v>0</v>
      </c>
      <c r="F2533" s="23">
        <f>COUNTIFS(mdr_rate_cleaned!$A$2:$A$10,B2533,mdr_rate_cleaned!$B$2:$B$10,"&lt;"&amp;C2533,mdr_rate_cleaned!$F$2:$F$10,"&gt;="&amp;C2533)</f>
        <v>1</v>
      </c>
      <c r="G2533" s="40">
        <f>SUMIFS(mdr_rate_cleaned!$G$2:$G$10,mdr_rate_cleaned!$A$2:$A$10,B2533,mdr_rate_cleaned!$B$2:$B$10,"&lt;"&amp;C2533,mdr_rate_cleaned!$F$2:$F$10,"&gt;="&amp;C2533)</f>
        <v>0</v>
      </c>
      <c r="H2533" s="24">
        <f t="shared" si="195"/>
        <v>0</v>
      </c>
      <c r="I2533" s="23" t="str">
        <f t="shared" si="196"/>
        <v>Match</v>
      </c>
      <c r="J2533" s="23" t="str">
        <f t="shared" si="197"/>
        <v>Match</v>
      </c>
      <c r="K2533" s="24">
        <f t="shared" si="198"/>
        <v>0</v>
      </c>
      <c r="L2533" s="24">
        <f t="shared" si="199"/>
        <v>0</v>
      </c>
    </row>
    <row r="2534" spans="1:12" ht="15" customHeight="1" x14ac:dyDescent="0.3">
      <c r="A2534" s="23" t="s">
        <v>15448</v>
      </c>
      <c r="B2534" s="23" t="s">
        <v>81</v>
      </c>
      <c r="C2534" s="39">
        <v>999</v>
      </c>
      <c r="D2534" s="24">
        <v>14.99</v>
      </c>
      <c r="E2534" s="24">
        <v>2.7</v>
      </c>
      <c r="F2534" s="23">
        <f>COUNTIFS(mdr_rate_cleaned!$A$2:$A$10,B2534,mdr_rate_cleaned!$B$2:$B$10,"&lt;"&amp;C2534,mdr_rate_cleaned!$F$2:$F$10,"&gt;="&amp;C2534)</f>
        <v>1</v>
      </c>
      <c r="G2534" s="40">
        <f>SUMIFS(mdr_rate_cleaned!$G$2:$G$10,mdr_rate_cleaned!$A$2:$A$10,B2534,mdr_rate_cleaned!$B$2:$B$10,"&lt;"&amp;C2534,mdr_rate_cleaned!$F$2:$F$10,"&gt;="&amp;C2534)</f>
        <v>1.4999999999999999E-2</v>
      </c>
      <c r="H2534" s="24">
        <f t="shared" si="195"/>
        <v>14.99</v>
      </c>
      <c r="I2534" s="23" t="str">
        <f t="shared" si="196"/>
        <v>Match</v>
      </c>
      <c r="J2534" s="23" t="str">
        <f t="shared" si="197"/>
        <v>Match</v>
      </c>
      <c r="K2534" s="24">
        <f t="shared" si="198"/>
        <v>2.7</v>
      </c>
      <c r="L2534" s="24">
        <f t="shared" si="199"/>
        <v>0</v>
      </c>
    </row>
    <row r="2535" spans="1:12" ht="15" customHeight="1" x14ac:dyDescent="0.3">
      <c r="A2535" s="23" t="s">
        <v>15449</v>
      </c>
      <c r="B2535" s="23" t="s">
        <v>77</v>
      </c>
      <c r="C2535" s="39">
        <v>6797</v>
      </c>
      <c r="D2535" s="24">
        <v>163.13</v>
      </c>
      <c r="E2535" s="24">
        <v>29.36</v>
      </c>
      <c r="F2535" s="23">
        <f>COUNTIFS(mdr_rate_cleaned!$A$2:$A$10,B2535,mdr_rate_cleaned!$B$2:$B$10,"&lt;"&amp;C2535,mdr_rate_cleaned!$F$2:$F$10,"&gt;="&amp;C2535)</f>
        <v>1</v>
      </c>
      <c r="G2535" s="40">
        <f>SUMIFS(mdr_rate_cleaned!$G$2:$G$10,mdr_rate_cleaned!$A$2:$A$10,B2535,mdr_rate_cleaned!$B$2:$B$10,"&lt;"&amp;C2535,mdr_rate_cleaned!$F$2:$F$10,"&gt;="&amp;C2535)</f>
        <v>1.7000000000000001E-2</v>
      </c>
      <c r="H2535" s="24">
        <f t="shared" si="195"/>
        <v>115.55</v>
      </c>
      <c r="I2535" s="23" t="str">
        <f t="shared" si="196"/>
        <v>Differs</v>
      </c>
      <c r="J2535" s="23" t="str">
        <f t="shared" si="197"/>
        <v>Match</v>
      </c>
      <c r="K2535" s="24">
        <f t="shared" si="198"/>
        <v>20.8</v>
      </c>
      <c r="L2535" s="24">
        <f t="shared" si="199"/>
        <v>56.14</v>
      </c>
    </row>
    <row r="2536" spans="1:12" ht="15" customHeight="1" x14ac:dyDescent="0.3">
      <c r="A2536" s="23" t="s">
        <v>15450</v>
      </c>
      <c r="B2536" s="23" t="s">
        <v>75</v>
      </c>
      <c r="C2536" s="39">
        <v>9798</v>
      </c>
      <c r="D2536" s="24">
        <v>29.39</v>
      </c>
      <c r="E2536" s="24">
        <v>5.29</v>
      </c>
      <c r="F2536" s="23">
        <f>COUNTIFS(mdr_rate_cleaned!$A$2:$A$10,B2536,mdr_rate_cleaned!$B$2:$B$10,"&lt;"&amp;C2536,mdr_rate_cleaned!$F$2:$F$10,"&gt;="&amp;C2536)</f>
        <v>1</v>
      </c>
      <c r="G2536" s="40">
        <f>SUMIFS(mdr_rate_cleaned!$G$2:$G$10,mdr_rate_cleaned!$A$2:$A$10,B2536,mdr_rate_cleaned!$B$2:$B$10,"&lt;"&amp;C2536,mdr_rate_cleaned!$F$2:$F$10,"&gt;="&amp;C2536)</f>
        <v>3.0000000000000001E-3</v>
      </c>
      <c r="H2536" s="24">
        <f t="shared" si="195"/>
        <v>29.39</v>
      </c>
      <c r="I2536" s="23" t="str">
        <f t="shared" si="196"/>
        <v>Match</v>
      </c>
      <c r="J2536" s="23" t="str">
        <f t="shared" si="197"/>
        <v>Match</v>
      </c>
      <c r="K2536" s="24">
        <f t="shared" si="198"/>
        <v>5.29</v>
      </c>
      <c r="L2536" s="24">
        <f t="shared" si="199"/>
        <v>0</v>
      </c>
    </row>
    <row r="2537" spans="1:12" ht="15" customHeight="1" x14ac:dyDescent="0.3">
      <c r="A2537" s="23" t="s">
        <v>15451</v>
      </c>
      <c r="B2537" s="23" t="s">
        <v>75</v>
      </c>
      <c r="C2537" s="39">
        <v>3998</v>
      </c>
      <c r="D2537" s="24">
        <v>11.99</v>
      </c>
      <c r="E2537" s="24">
        <v>2.16</v>
      </c>
      <c r="F2537" s="23">
        <f>COUNTIFS(mdr_rate_cleaned!$A$2:$A$10,B2537,mdr_rate_cleaned!$B$2:$B$10,"&lt;"&amp;C2537,mdr_rate_cleaned!$F$2:$F$10,"&gt;="&amp;C2537)</f>
        <v>1</v>
      </c>
      <c r="G2537" s="40">
        <f>SUMIFS(mdr_rate_cleaned!$G$2:$G$10,mdr_rate_cleaned!$A$2:$A$10,B2537,mdr_rate_cleaned!$B$2:$B$10,"&lt;"&amp;C2537,mdr_rate_cleaned!$F$2:$F$10,"&gt;="&amp;C2537)</f>
        <v>3.0000000000000001E-3</v>
      </c>
      <c r="H2537" s="24">
        <f t="shared" si="195"/>
        <v>11.99</v>
      </c>
      <c r="I2537" s="23" t="str">
        <f t="shared" si="196"/>
        <v>Match</v>
      </c>
      <c r="J2537" s="23" t="str">
        <f t="shared" si="197"/>
        <v>Match</v>
      </c>
      <c r="K2537" s="24">
        <f t="shared" si="198"/>
        <v>2.16</v>
      </c>
      <c r="L2537" s="24">
        <f t="shared" si="199"/>
        <v>0</v>
      </c>
    </row>
    <row r="2538" spans="1:12" ht="15" customHeight="1" x14ac:dyDescent="0.3">
      <c r="A2538" s="23" t="s">
        <v>15452</v>
      </c>
      <c r="B2538" s="23" t="s">
        <v>75</v>
      </c>
      <c r="C2538" s="39">
        <v>2499</v>
      </c>
      <c r="D2538" s="24">
        <v>7.5</v>
      </c>
      <c r="E2538" s="24">
        <v>1.35</v>
      </c>
      <c r="F2538" s="23">
        <f>COUNTIFS(mdr_rate_cleaned!$A$2:$A$10,B2538,mdr_rate_cleaned!$B$2:$B$10,"&lt;"&amp;C2538,mdr_rate_cleaned!$F$2:$F$10,"&gt;="&amp;C2538)</f>
        <v>1</v>
      </c>
      <c r="G2538" s="40">
        <f>SUMIFS(mdr_rate_cleaned!$G$2:$G$10,mdr_rate_cleaned!$A$2:$A$10,B2538,mdr_rate_cleaned!$B$2:$B$10,"&lt;"&amp;C2538,mdr_rate_cleaned!$F$2:$F$10,"&gt;="&amp;C2538)</f>
        <v>3.0000000000000001E-3</v>
      </c>
      <c r="H2538" s="24">
        <f t="shared" si="195"/>
        <v>7.5</v>
      </c>
      <c r="I2538" s="23" t="str">
        <f t="shared" si="196"/>
        <v>Match</v>
      </c>
      <c r="J2538" s="23" t="str">
        <f t="shared" si="197"/>
        <v>Match</v>
      </c>
      <c r="K2538" s="24">
        <f t="shared" si="198"/>
        <v>1.35</v>
      </c>
      <c r="L2538" s="24">
        <f t="shared" si="199"/>
        <v>0</v>
      </c>
    </row>
    <row r="2539" spans="1:12" ht="15" customHeight="1" x14ac:dyDescent="0.3">
      <c r="A2539" s="23" t="s">
        <v>15453</v>
      </c>
      <c r="B2539" s="23" t="s">
        <v>77</v>
      </c>
      <c r="C2539" s="39">
        <v>5498</v>
      </c>
      <c r="D2539" s="24">
        <v>93.47</v>
      </c>
      <c r="E2539" s="24">
        <v>16.82</v>
      </c>
      <c r="F2539" s="23">
        <f>COUNTIFS(mdr_rate_cleaned!$A$2:$A$10,B2539,mdr_rate_cleaned!$B$2:$B$10,"&lt;"&amp;C2539,mdr_rate_cleaned!$F$2:$F$10,"&gt;="&amp;C2539)</f>
        <v>1</v>
      </c>
      <c r="G2539" s="40">
        <f>SUMIFS(mdr_rate_cleaned!$G$2:$G$10,mdr_rate_cleaned!$A$2:$A$10,B2539,mdr_rate_cleaned!$B$2:$B$10,"&lt;"&amp;C2539,mdr_rate_cleaned!$F$2:$F$10,"&gt;="&amp;C2539)</f>
        <v>1.7000000000000001E-2</v>
      </c>
      <c r="H2539" s="24">
        <f t="shared" si="195"/>
        <v>93.47</v>
      </c>
      <c r="I2539" s="23" t="str">
        <f t="shared" si="196"/>
        <v>Match</v>
      </c>
      <c r="J2539" s="23" t="str">
        <f t="shared" si="197"/>
        <v>Match</v>
      </c>
      <c r="K2539" s="24">
        <f t="shared" si="198"/>
        <v>16.82</v>
      </c>
      <c r="L2539" s="24">
        <f t="shared" si="199"/>
        <v>0</v>
      </c>
    </row>
    <row r="2540" spans="1:12" ht="15" customHeight="1" x14ac:dyDescent="0.3">
      <c r="A2540" s="23" t="s">
        <v>15454</v>
      </c>
      <c r="B2540" s="23" t="s">
        <v>75</v>
      </c>
      <c r="C2540" s="39">
        <v>3998</v>
      </c>
      <c r="D2540" s="24">
        <v>11.99</v>
      </c>
      <c r="E2540" s="24">
        <v>2.16</v>
      </c>
      <c r="F2540" s="23">
        <f>COUNTIFS(mdr_rate_cleaned!$A$2:$A$10,B2540,mdr_rate_cleaned!$B$2:$B$10,"&lt;"&amp;C2540,mdr_rate_cleaned!$F$2:$F$10,"&gt;="&amp;C2540)</f>
        <v>1</v>
      </c>
      <c r="G2540" s="40">
        <f>SUMIFS(mdr_rate_cleaned!$G$2:$G$10,mdr_rate_cleaned!$A$2:$A$10,B2540,mdr_rate_cleaned!$B$2:$B$10,"&lt;"&amp;C2540,mdr_rate_cleaned!$F$2:$F$10,"&gt;="&amp;C2540)</f>
        <v>3.0000000000000001E-3</v>
      </c>
      <c r="H2540" s="24">
        <f t="shared" si="195"/>
        <v>11.99</v>
      </c>
      <c r="I2540" s="23" t="str">
        <f t="shared" si="196"/>
        <v>Match</v>
      </c>
      <c r="J2540" s="23" t="str">
        <f t="shared" si="197"/>
        <v>Match</v>
      </c>
      <c r="K2540" s="24">
        <f t="shared" si="198"/>
        <v>2.16</v>
      </c>
      <c r="L2540" s="24">
        <f t="shared" si="199"/>
        <v>0</v>
      </c>
    </row>
    <row r="2541" spans="1:12" ht="15" customHeight="1" x14ac:dyDescent="0.3">
      <c r="A2541" s="23" t="s">
        <v>15455</v>
      </c>
      <c r="B2541" s="23" t="s">
        <v>75</v>
      </c>
      <c r="C2541" s="39">
        <v>4999</v>
      </c>
      <c r="D2541" s="24">
        <v>15</v>
      </c>
      <c r="E2541" s="24">
        <v>2.7</v>
      </c>
      <c r="F2541" s="23">
        <f>COUNTIFS(mdr_rate_cleaned!$A$2:$A$10,B2541,mdr_rate_cleaned!$B$2:$B$10,"&lt;"&amp;C2541,mdr_rate_cleaned!$F$2:$F$10,"&gt;="&amp;C2541)</f>
        <v>1</v>
      </c>
      <c r="G2541" s="40">
        <f>SUMIFS(mdr_rate_cleaned!$G$2:$G$10,mdr_rate_cleaned!$A$2:$A$10,B2541,mdr_rate_cleaned!$B$2:$B$10,"&lt;"&amp;C2541,mdr_rate_cleaned!$F$2:$F$10,"&gt;="&amp;C2541)</f>
        <v>3.0000000000000001E-3</v>
      </c>
      <c r="H2541" s="24">
        <f t="shared" si="195"/>
        <v>15</v>
      </c>
      <c r="I2541" s="23" t="str">
        <f t="shared" si="196"/>
        <v>Match</v>
      </c>
      <c r="J2541" s="23" t="str">
        <f t="shared" si="197"/>
        <v>Match</v>
      </c>
      <c r="K2541" s="24">
        <f t="shared" si="198"/>
        <v>2.7</v>
      </c>
      <c r="L2541" s="24">
        <f t="shared" si="199"/>
        <v>0</v>
      </c>
    </row>
    <row r="2542" spans="1:12" ht="15" customHeight="1" x14ac:dyDescent="0.3">
      <c r="A2542" s="23" t="s">
        <v>15456</v>
      </c>
      <c r="B2542" s="23" t="s">
        <v>75</v>
      </c>
      <c r="C2542" s="39">
        <v>499</v>
      </c>
      <c r="D2542" s="24">
        <v>0</v>
      </c>
      <c r="E2542" s="24">
        <v>0</v>
      </c>
      <c r="F2542" s="23">
        <f>COUNTIFS(mdr_rate_cleaned!$A$2:$A$10,B2542,mdr_rate_cleaned!$B$2:$B$10,"&lt;"&amp;C2542,mdr_rate_cleaned!$F$2:$F$10,"&gt;="&amp;C2542)</f>
        <v>1</v>
      </c>
      <c r="G2542" s="40">
        <f>SUMIFS(mdr_rate_cleaned!$G$2:$G$10,mdr_rate_cleaned!$A$2:$A$10,B2542,mdr_rate_cleaned!$B$2:$B$10,"&lt;"&amp;C2542,mdr_rate_cleaned!$F$2:$F$10,"&gt;="&amp;C2542)</f>
        <v>0</v>
      </c>
      <c r="H2542" s="24">
        <f t="shared" si="195"/>
        <v>0</v>
      </c>
      <c r="I2542" s="23" t="str">
        <f t="shared" si="196"/>
        <v>Match</v>
      </c>
      <c r="J2542" s="23" t="str">
        <f t="shared" si="197"/>
        <v>Match</v>
      </c>
      <c r="K2542" s="24">
        <f t="shared" si="198"/>
        <v>0</v>
      </c>
      <c r="L2542" s="24">
        <f t="shared" si="199"/>
        <v>0</v>
      </c>
    </row>
    <row r="2543" spans="1:12" ht="15" customHeight="1" x14ac:dyDescent="0.3">
      <c r="A2543" s="23" t="s">
        <v>15457</v>
      </c>
      <c r="B2543" s="23" t="s">
        <v>77</v>
      </c>
      <c r="C2543" s="39">
        <v>1299</v>
      </c>
      <c r="D2543" s="24">
        <v>24.68</v>
      </c>
      <c r="E2543" s="24">
        <v>4.4400000000000004</v>
      </c>
      <c r="F2543" s="23">
        <f>COUNTIFS(mdr_rate_cleaned!$A$2:$A$10,B2543,mdr_rate_cleaned!$B$2:$B$10,"&lt;"&amp;C2543,mdr_rate_cleaned!$F$2:$F$10,"&gt;="&amp;C2543)</f>
        <v>1</v>
      </c>
      <c r="G2543" s="40">
        <f>SUMIFS(mdr_rate_cleaned!$G$2:$G$10,mdr_rate_cleaned!$A$2:$A$10,B2543,mdr_rate_cleaned!$B$2:$B$10,"&lt;"&amp;C2543,mdr_rate_cleaned!$F$2:$F$10,"&gt;="&amp;C2543)</f>
        <v>1.9E-2</v>
      </c>
      <c r="H2543" s="24">
        <f t="shared" si="195"/>
        <v>24.68</v>
      </c>
      <c r="I2543" s="23" t="str">
        <f t="shared" si="196"/>
        <v>Match</v>
      </c>
      <c r="J2543" s="23" t="str">
        <f t="shared" si="197"/>
        <v>Match</v>
      </c>
      <c r="K2543" s="24">
        <f t="shared" si="198"/>
        <v>4.4400000000000004</v>
      </c>
      <c r="L2543" s="24">
        <f t="shared" si="199"/>
        <v>0</v>
      </c>
    </row>
    <row r="2544" spans="1:12" ht="15" customHeight="1" x14ac:dyDescent="0.3">
      <c r="A2544" s="23" t="s">
        <v>15459</v>
      </c>
      <c r="B2544" s="23" t="s">
        <v>75</v>
      </c>
      <c r="C2544" s="39">
        <v>8798</v>
      </c>
      <c r="D2544" s="24">
        <v>26.39</v>
      </c>
      <c r="E2544" s="24">
        <v>4.75</v>
      </c>
      <c r="F2544" s="23">
        <f>COUNTIFS(mdr_rate_cleaned!$A$2:$A$10,B2544,mdr_rate_cleaned!$B$2:$B$10,"&lt;"&amp;C2544,mdr_rate_cleaned!$F$2:$F$10,"&gt;="&amp;C2544)</f>
        <v>1</v>
      </c>
      <c r="G2544" s="40">
        <f>SUMIFS(mdr_rate_cleaned!$G$2:$G$10,mdr_rate_cleaned!$A$2:$A$10,B2544,mdr_rate_cleaned!$B$2:$B$10,"&lt;"&amp;C2544,mdr_rate_cleaned!$F$2:$F$10,"&gt;="&amp;C2544)</f>
        <v>3.0000000000000001E-3</v>
      </c>
      <c r="H2544" s="24">
        <f t="shared" si="195"/>
        <v>26.39</v>
      </c>
      <c r="I2544" s="23" t="str">
        <f t="shared" si="196"/>
        <v>Match</v>
      </c>
      <c r="J2544" s="23" t="str">
        <f t="shared" si="197"/>
        <v>Match</v>
      </c>
      <c r="K2544" s="24">
        <f t="shared" si="198"/>
        <v>4.75</v>
      </c>
      <c r="L2544" s="24">
        <f t="shared" si="199"/>
        <v>0</v>
      </c>
    </row>
    <row r="2545" spans="1:12" ht="15" customHeight="1" x14ac:dyDescent="0.3">
      <c r="A2545" s="23" t="s">
        <v>15460</v>
      </c>
      <c r="B2545" s="23" t="s">
        <v>75</v>
      </c>
      <c r="C2545" s="39">
        <v>1198</v>
      </c>
      <c r="D2545" s="24">
        <v>0</v>
      </c>
      <c r="E2545" s="24">
        <v>0</v>
      </c>
      <c r="F2545" s="23">
        <f>COUNTIFS(mdr_rate_cleaned!$A$2:$A$10,B2545,mdr_rate_cleaned!$B$2:$B$10,"&lt;"&amp;C2545,mdr_rate_cleaned!$F$2:$F$10,"&gt;="&amp;C2545)</f>
        <v>1</v>
      </c>
      <c r="G2545" s="40">
        <f>SUMIFS(mdr_rate_cleaned!$G$2:$G$10,mdr_rate_cleaned!$A$2:$A$10,B2545,mdr_rate_cleaned!$B$2:$B$10,"&lt;"&amp;C2545,mdr_rate_cleaned!$F$2:$F$10,"&gt;="&amp;C2545)</f>
        <v>0</v>
      </c>
      <c r="H2545" s="24">
        <f t="shared" si="195"/>
        <v>0</v>
      </c>
      <c r="I2545" s="23" t="str">
        <f t="shared" si="196"/>
        <v>Match</v>
      </c>
      <c r="J2545" s="23" t="str">
        <f t="shared" si="197"/>
        <v>Match</v>
      </c>
      <c r="K2545" s="24">
        <f t="shared" si="198"/>
        <v>0</v>
      </c>
      <c r="L2545" s="24">
        <f t="shared" si="199"/>
        <v>0</v>
      </c>
    </row>
    <row r="2546" spans="1:12" ht="15" customHeight="1" x14ac:dyDescent="0.3">
      <c r="A2546" s="23" t="s">
        <v>15461</v>
      </c>
      <c r="B2546" s="23" t="s">
        <v>75</v>
      </c>
      <c r="C2546" s="39">
        <v>3298</v>
      </c>
      <c r="D2546" s="24">
        <v>9.89</v>
      </c>
      <c r="E2546" s="24">
        <v>1.78</v>
      </c>
      <c r="F2546" s="23">
        <f>COUNTIFS(mdr_rate_cleaned!$A$2:$A$10,B2546,mdr_rate_cleaned!$B$2:$B$10,"&lt;"&amp;C2546,mdr_rate_cleaned!$F$2:$F$10,"&gt;="&amp;C2546)</f>
        <v>1</v>
      </c>
      <c r="G2546" s="40">
        <f>SUMIFS(mdr_rate_cleaned!$G$2:$G$10,mdr_rate_cleaned!$A$2:$A$10,B2546,mdr_rate_cleaned!$B$2:$B$10,"&lt;"&amp;C2546,mdr_rate_cleaned!$F$2:$F$10,"&gt;="&amp;C2546)</f>
        <v>3.0000000000000001E-3</v>
      </c>
      <c r="H2546" s="24">
        <f t="shared" si="195"/>
        <v>9.89</v>
      </c>
      <c r="I2546" s="23" t="str">
        <f t="shared" si="196"/>
        <v>Match</v>
      </c>
      <c r="J2546" s="23" t="str">
        <f t="shared" si="197"/>
        <v>Match</v>
      </c>
      <c r="K2546" s="24">
        <f t="shared" si="198"/>
        <v>1.78</v>
      </c>
      <c r="L2546" s="24">
        <f t="shared" si="199"/>
        <v>0</v>
      </c>
    </row>
    <row r="2547" spans="1:12" ht="15" customHeight="1" x14ac:dyDescent="0.3">
      <c r="A2547" s="23" t="s">
        <v>15462</v>
      </c>
      <c r="B2547" s="23" t="s">
        <v>81</v>
      </c>
      <c r="C2547" s="39">
        <v>2499</v>
      </c>
      <c r="D2547" s="24">
        <v>29.99</v>
      </c>
      <c r="E2547" s="24">
        <v>5.4</v>
      </c>
      <c r="F2547" s="23">
        <f>COUNTIFS(mdr_rate_cleaned!$A$2:$A$10,B2547,mdr_rate_cleaned!$B$2:$B$10,"&lt;"&amp;C2547,mdr_rate_cleaned!$F$2:$F$10,"&gt;="&amp;C2547)</f>
        <v>1</v>
      </c>
      <c r="G2547" s="40">
        <f>SUMIFS(mdr_rate_cleaned!$G$2:$G$10,mdr_rate_cleaned!$A$2:$A$10,B2547,mdr_rate_cleaned!$B$2:$B$10,"&lt;"&amp;C2547,mdr_rate_cleaned!$F$2:$F$10,"&gt;="&amp;C2547)</f>
        <v>1.2E-2</v>
      </c>
      <c r="H2547" s="24">
        <f t="shared" si="195"/>
        <v>29.99</v>
      </c>
      <c r="I2547" s="23" t="str">
        <f t="shared" si="196"/>
        <v>Match</v>
      </c>
      <c r="J2547" s="23" t="str">
        <f t="shared" si="197"/>
        <v>Match</v>
      </c>
      <c r="K2547" s="24">
        <f t="shared" si="198"/>
        <v>5.4</v>
      </c>
      <c r="L2547" s="24">
        <f t="shared" si="199"/>
        <v>0</v>
      </c>
    </row>
    <row r="2548" spans="1:12" ht="15" customHeight="1" x14ac:dyDescent="0.3">
      <c r="A2548" s="23" t="s">
        <v>15463</v>
      </c>
      <c r="B2548" s="23" t="s">
        <v>75</v>
      </c>
      <c r="C2548" s="39">
        <v>5797</v>
      </c>
      <c r="D2548" s="24">
        <v>17.39</v>
      </c>
      <c r="E2548" s="24">
        <v>3.13</v>
      </c>
      <c r="F2548" s="23">
        <f>COUNTIFS(mdr_rate_cleaned!$A$2:$A$10,B2548,mdr_rate_cleaned!$B$2:$B$10,"&lt;"&amp;C2548,mdr_rate_cleaned!$F$2:$F$10,"&gt;="&amp;C2548)</f>
        <v>1</v>
      </c>
      <c r="G2548" s="40">
        <f>SUMIFS(mdr_rate_cleaned!$G$2:$G$10,mdr_rate_cleaned!$A$2:$A$10,B2548,mdr_rate_cleaned!$B$2:$B$10,"&lt;"&amp;C2548,mdr_rate_cleaned!$F$2:$F$10,"&gt;="&amp;C2548)</f>
        <v>3.0000000000000001E-3</v>
      </c>
      <c r="H2548" s="24">
        <f t="shared" si="195"/>
        <v>17.39</v>
      </c>
      <c r="I2548" s="23" t="str">
        <f t="shared" si="196"/>
        <v>Match</v>
      </c>
      <c r="J2548" s="23" t="str">
        <f t="shared" si="197"/>
        <v>Match</v>
      </c>
      <c r="K2548" s="24">
        <f t="shared" si="198"/>
        <v>3.13</v>
      </c>
      <c r="L2548" s="24">
        <f t="shared" si="199"/>
        <v>0</v>
      </c>
    </row>
    <row r="2549" spans="1:12" ht="15" customHeight="1" x14ac:dyDescent="0.3">
      <c r="A2549" s="23" t="s">
        <v>15464</v>
      </c>
      <c r="B2549" s="23" t="s">
        <v>75</v>
      </c>
      <c r="C2549" s="39">
        <v>6797</v>
      </c>
      <c r="D2549" s="24">
        <v>20.39</v>
      </c>
      <c r="E2549" s="24">
        <v>3.67</v>
      </c>
      <c r="F2549" s="23">
        <f>COUNTIFS(mdr_rate_cleaned!$A$2:$A$10,B2549,mdr_rate_cleaned!$B$2:$B$10,"&lt;"&amp;C2549,mdr_rate_cleaned!$F$2:$F$10,"&gt;="&amp;C2549)</f>
        <v>1</v>
      </c>
      <c r="G2549" s="40">
        <f>SUMIFS(mdr_rate_cleaned!$G$2:$G$10,mdr_rate_cleaned!$A$2:$A$10,B2549,mdr_rate_cleaned!$B$2:$B$10,"&lt;"&amp;C2549,mdr_rate_cleaned!$F$2:$F$10,"&gt;="&amp;C2549)</f>
        <v>3.0000000000000001E-3</v>
      </c>
      <c r="H2549" s="24">
        <f t="shared" si="195"/>
        <v>20.39</v>
      </c>
      <c r="I2549" s="23" t="str">
        <f t="shared" si="196"/>
        <v>Match</v>
      </c>
      <c r="J2549" s="23" t="str">
        <f t="shared" si="197"/>
        <v>Match</v>
      </c>
      <c r="K2549" s="24">
        <f t="shared" si="198"/>
        <v>3.67</v>
      </c>
      <c r="L2549" s="24">
        <f t="shared" si="199"/>
        <v>0</v>
      </c>
    </row>
    <row r="2550" spans="1:12" ht="15" customHeight="1" x14ac:dyDescent="0.3">
      <c r="A2550" s="23" t="s">
        <v>15466</v>
      </c>
      <c r="B2550" s="23" t="s">
        <v>75</v>
      </c>
      <c r="C2550" s="39">
        <v>799</v>
      </c>
      <c r="D2550" s="24">
        <v>0</v>
      </c>
      <c r="E2550" s="24">
        <v>0</v>
      </c>
      <c r="F2550" s="23">
        <f>COUNTIFS(mdr_rate_cleaned!$A$2:$A$10,B2550,mdr_rate_cleaned!$B$2:$B$10,"&lt;"&amp;C2550,mdr_rate_cleaned!$F$2:$F$10,"&gt;="&amp;C2550)</f>
        <v>1</v>
      </c>
      <c r="G2550" s="40">
        <f>SUMIFS(mdr_rate_cleaned!$G$2:$G$10,mdr_rate_cleaned!$A$2:$A$10,B2550,mdr_rate_cleaned!$B$2:$B$10,"&lt;"&amp;C2550,mdr_rate_cleaned!$F$2:$F$10,"&gt;="&amp;C2550)</f>
        <v>0</v>
      </c>
      <c r="H2550" s="24">
        <f t="shared" si="195"/>
        <v>0</v>
      </c>
      <c r="I2550" s="23" t="str">
        <f t="shared" si="196"/>
        <v>Match</v>
      </c>
      <c r="J2550" s="23" t="str">
        <f t="shared" si="197"/>
        <v>Match</v>
      </c>
      <c r="K2550" s="24">
        <f t="shared" si="198"/>
        <v>0</v>
      </c>
      <c r="L2550" s="24">
        <f t="shared" si="199"/>
        <v>0</v>
      </c>
    </row>
    <row r="2551" spans="1:12" ht="15" customHeight="1" x14ac:dyDescent="0.3">
      <c r="A2551" s="23" t="s">
        <v>15467</v>
      </c>
      <c r="B2551" s="23" t="s">
        <v>75</v>
      </c>
      <c r="C2551" s="39">
        <v>7999</v>
      </c>
      <c r="D2551" s="24">
        <v>24</v>
      </c>
      <c r="E2551" s="24">
        <v>4.32</v>
      </c>
      <c r="F2551" s="23">
        <f>COUNTIFS(mdr_rate_cleaned!$A$2:$A$10,B2551,mdr_rate_cleaned!$B$2:$B$10,"&lt;"&amp;C2551,mdr_rate_cleaned!$F$2:$F$10,"&gt;="&amp;C2551)</f>
        <v>1</v>
      </c>
      <c r="G2551" s="40">
        <f>SUMIFS(mdr_rate_cleaned!$G$2:$G$10,mdr_rate_cleaned!$A$2:$A$10,B2551,mdr_rate_cleaned!$B$2:$B$10,"&lt;"&amp;C2551,mdr_rate_cleaned!$F$2:$F$10,"&gt;="&amp;C2551)</f>
        <v>3.0000000000000001E-3</v>
      </c>
      <c r="H2551" s="24">
        <f t="shared" si="195"/>
        <v>24</v>
      </c>
      <c r="I2551" s="23" t="str">
        <f t="shared" si="196"/>
        <v>Match</v>
      </c>
      <c r="J2551" s="23" t="str">
        <f t="shared" si="197"/>
        <v>Match</v>
      </c>
      <c r="K2551" s="24">
        <f t="shared" si="198"/>
        <v>4.32</v>
      </c>
      <c r="L2551" s="24">
        <f t="shared" si="199"/>
        <v>0</v>
      </c>
    </row>
    <row r="2552" spans="1:12" ht="15" customHeight="1" x14ac:dyDescent="0.3">
      <c r="A2552" s="23" t="s">
        <v>15469</v>
      </c>
      <c r="B2552" s="23" t="s">
        <v>81</v>
      </c>
      <c r="C2552" s="39">
        <v>4147</v>
      </c>
      <c r="D2552" s="24">
        <v>49.76</v>
      </c>
      <c r="E2552" s="24">
        <v>8.9600000000000009</v>
      </c>
      <c r="F2552" s="23">
        <f>COUNTIFS(mdr_rate_cleaned!$A$2:$A$10,B2552,mdr_rate_cleaned!$B$2:$B$10,"&lt;"&amp;C2552,mdr_rate_cleaned!$F$2:$F$10,"&gt;="&amp;C2552)</f>
        <v>1</v>
      </c>
      <c r="G2552" s="40">
        <f>SUMIFS(mdr_rate_cleaned!$G$2:$G$10,mdr_rate_cleaned!$A$2:$A$10,B2552,mdr_rate_cleaned!$B$2:$B$10,"&lt;"&amp;C2552,mdr_rate_cleaned!$F$2:$F$10,"&gt;="&amp;C2552)</f>
        <v>1.2E-2</v>
      </c>
      <c r="H2552" s="24">
        <f t="shared" si="195"/>
        <v>49.76</v>
      </c>
      <c r="I2552" s="23" t="str">
        <f t="shared" si="196"/>
        <v>Match</v>
      </c>
      <c r="J2552" s="23" t="str">
        <f t="shared" si="197"/>
        <v>Match</v>
      </c>
      <c r="K2552" s="24">
        <f t="shared" si="198"/>
        <v>8.9600000000000009</v>
      </c>
      <c r="L2552" s="24">
        <f t="shared" si="199"/>
        <v>0</v>
      </c>
    </row>
    <row r="2553" spans="1:12" ht="15" customHeight="1" x14ac:dyDescent="0.3">
      <c r="A2553" s="23" t="s">
        <v>15470</v>
      </c>
      <c r="B2553" s="23" t="s">
        <v>75</v>
      </c>
      <c r="C2553" s="39">
        <v>2847</v>
      </c>
      <c r="D2553" s="24">
        <v>8.5399999999999991</v>
      </c>
      <c r="E2553" s="24">
        <v>1.54</v>
      </c>
      <c r="F2553" s="23">
        <f>COUNTIFS(mdr_rate_cleaned!$A$2:$A$10,B2553,mdr_rate_cleaned!$B$2:$B$10,"&lt;"&amp;C2553,mdr_rate_cleaned!$F$2:$F$10,"&gt;="&amp;C2553)</f>
        <v>1</v>
      </c>
      <c r="G2553" s="40">
        <f>SUMIFS(mdr_rate_cleaned!$G$2:$G$10,mdr_rate_cleaned!$A$2:$A$10,B2553,mdr_rate_cleaned!$B$2:$B$10,"&lt;"&amp;C2553,mdr_rate_cleaned!$F$2:$F$10,"&gt;="&amp;C2553)</f>
        <v>3.0000000000000001E-3</v>
      </c>
      <c r="H2553" s="24">
        <f t="shared" si="195"/>
        <v>8.5399999999999991</v>
      </c>
      <c r="I2553" s="23" t="str">
        <f t="shared" si="196"/>
        <v>Match</v>
      </c>
      <c r="J2553" s="23" t="str">
        <f t="shared" si="197"/>
        <v>Match</v>
      </c>
      <c r="K2553" s="24">
        <f t="shared" si="198"/>
        <v>1.54</v>
      </c>
      <c r="L2553" s="24">
        <f t="shared" si="199"/>
        <v>0</v>
      </c>
    </row>
    <row r="2554" spans="1:12" ht="15" customHeight="1" x14ac:dyDescent="0.3">
      <c r="A2554" s="23" t="s">
        <v>15471</v>
      </c>
      <c r="B2554" s="23" t="s">
        <v>79</v>
      </c>
      <c r="C2554" s="39">
        <v>2499</v>
      </c>
      <c r="D2554" s="24">
        <v>39.979999999999997</v>
      </c>
      <c r="E2554" s="24">
        <v>7.2</v>
      </c>
      <c r="F2554" s="23">
        <f>COUNTIFS(mdr_rate_cleaned!$A$2:$A$10,B2554,mdr_rate_cleaned!$B$2:$B$10,"&lt;"&amp;C2554,mdr_rate_cleaned!$F$2:$F$10,"&gt;="&amp;C2554)</f>
        <v>1</v>
      </c>
      <c r="G2554" s="40">
        <f>SUMIFS(mdr_rate_cleaned!$G$2:$G$10,mdr_rate_cleaned!$A$2:$A$10,B2554,mdr_rate_cleaned!$B$2:$B$10,"&lt;"&amp;C2554,mdr_rate_cleaned!$F$2:$F$10,"&gt;="&amp;C2554)</f>
        <v>1.6E-2</v>
      </c>
      <c r="H2554" s="24">
        <f t="shared" si="195"/>
        <v>39.979999999999997</v>
      </c>
      <c r="I2554" s="23" t="str">
        <f t="shared" si="196"/>
        <v>Match</v>
      </c>
      <c r="J2554" s="23" t="str">
        <f t="shared" si="197"/>
        <v>Match</v>
      </c>
      <c r="K2554" s="24">
        <f t="shared" si="198"/>
        <v>7.2</v>
      </c>
      <c r="L2554" s="24">
        <f t="shared" si="199"/>
        <v>0</v>
      </c>
    </row>
    <row r="2555" spans="1:12" ht="15" customHeight="1" x14ac:dyDescent="0.3">
      <c r="A2555" s="23" t="s">
        <v>15473</v>
      </c>
      <c r="B2555" s="23" t="s">
        <v>79</v>
      </c>
      <c r="C2555" s="39">
        <v>7999</v>
      </c>
      <c r="D2555" s="24">
        <v>127.98</v>
      </c>
      <c r="E2555" s="24">
        <v>23.04</v>
      </c>
      <c r="F2555" s="23">
        <f>COUNTIFS(mdr_rate_cleaned!$A$2:$A$10,B2555,mdr_rate_cleaned!$B$2:$B$10,"&lt;"&amp;C2555,mdr_rate_cleaned!$F$2:$F$10,"&gt;="&amp;C2555)</f>
        <v>1</v>
      </c>
      <c r="G2555" s="40">
        <f>SUMIFS(mdr_rate_cleaned!$G$2:$G$10,mdr_rate_cleaned!$A$2:$A$10,B2555,mdr_rate_cleaned!$B$2:$B$10,"&lt;"&amp;C2555,mdr_rate_cleaned!$F$2:$F$10,"&gt;="&amp;C2555)</f>
        <v>1.6E-2</v>
      </c>
      <c r="H2555" s="24">
        <f t="shared" si="195"/>
        <v>127.98</v>
      </c>
      <c r="I2555" s="23" t="str">
        <f t="shared" si="196"/>
        <v>Match</v>
      </c>
      <c r="J2555" s="23" t="str">
        <f t="shared" si="197"/>
        <v>Match</v>
      </c>
      <c r="K2555" s="24">
        <f t="shared" si="198"/>
        <v>23.04</v>
      </c>
      <c r="L2555" s="24">
        <f t="shared" si="199"/>
        <v>0</v>
      </c>
    </row>
    <row r="2556" spans="1:12" ht="15" customHeight="1" x14ac:dyDescent="0.3">
      <c r="A2556" s="23" t="s">
        <v>15474</v>
      </c>
      <c r="B2556" s="23" t="s">
        <v>75</v>
      </c>
      <c r="C2556" s="39">
        <v>999</v>
      </c>
      <c r="D2556" s="24">
        <v>0</v>
      </c>
      <c r="E2556" s="24">
        <v>0</v>
      </c>
      <c r="F2556" s="23">
        <f>COUNTIFS(mdr_rate_cleaned!$A$2:$A$10,B2556,mdr_rate_cleaned!$B$2:$B$10,"&lt;"&amp;C2556,mdr_rate_cleaned!$F$2:$F$10,"&gt;="&amp;C2556)</f>
        <v>1</v>
      </c>
      <c r="G2556" s="40">
        <f>SUMIFS(mdr_rate_cleaned!$G$2:$G$10,mdr_rate_cleaned!$A$2:$A$10,B2556,mdr_rate_cleaned!$B$2:$B$10,"&lt;"&amp;C2556,mdr_rate_cleaned!$F$2:$F$10,"&gt;="&amp;C2556)</f>
        <v>0</v>
      </c>
      <c r="H2556" s="24">
        <f t="shared" si="195"/>
        <v>0</v>
      </c>
      <c r="I2556" s="23" t="str">
        <f t="shared" si="196"/>
        <v>Match</v>
      </c>
      <c r="J2556" s="23" t="str">
        <f t="shared" si="197"/>
        <v>Match</v>
      </c>
      <c r="K2556" s="24">
        <f t="shared" si="198"/>
        <v>0</v>
      </c>
      <c r="L2556" s="24">
        <f t="shared" si="199"/>
        <v>0</v>
      </c>
    </row>
    <row r="2557" spans="1:12" ht="15" customHeight="1" x14ac:dyDescent="0.3">
      <c r="A2557" s="23" t="s">
        <v>15475</v>
      </c>
      <c r="B2557" s="23" t="s">
        <v>79</v>
      </c>
      <c r="C2557" s="39">
        <v>2499</v>
      </c>
      <c r="D2557" s="24">
        <v>39.979999999999997</v>
      </c>
      <c r="E2557" s="24">
        <v>7.2</v>
      </c>
      <c r="F2557" s="23">
        <f>COUNTIFS(mdr_rate_cleaned!$A$2:$A$10,B2557,mdr_rate_cleaned!$B$2:$B$10,"&lt;"&amp;C2557,mdr_rate_cleaned!$F$2:$F$10,"&gt;="&amp;C2557)</f>
        <v>1</v>
      </c>
      <c r="G2557" s="40">
        <f>SUMIFS(mdr_rate_cleaned!$G$2:$G$10,mdr_rate_cleaned!$A$2:$A$10,B2557,mdr_rate_cleaned!$B$2:$B$10,"&lt;"&amp;C2557,mdr_rate_cleaned!$F$2:$F$10,"&gt;="&amp;C2557)</f>
        <v>1.6E-2</v>
      </c>
      <c r="H2557" s="24">
        <f t="shared" si="195"/>
        <v>39.979999999999997</v>
      </c>
      <c r="I2557" s="23" t="str">
        <f t="shared" si="196"/>
        <v>Match</v>
      </c>
      <c r="J2557" s="23" t="str">
        <f t="shared" si="197"/>
        <v>Match</v>
      </c>
      <c r="K2557" s="24">
        <f t="shared" si="198"/>
        <v>7.2</v>
      </c>
      <c r="L2557" s="24">
        <f t="shared" si="199"/>
        <v>0</v>
      </c>
    </row>
    <row r="2558" spans="1:12" ht="15" customHeight="1" x14ac:dyDescent="0.3">
      <c r="A2558" s="23" t="s">
        <v>15476</v>
      </c>
      <c r="B2558" s="23" t="s">
        <v>79</v>
      </c>
      <c r="C2558" s="39">
        <v>1298</v>
      </c>
      <c r="D2558" s="24">
        <v>23.36</v>
      </c>
      <c r="E2558" s="24">
        <v>4.2</v>
      </c>
      <c r="F2558" s="23">
        <f>COUNTIFS(mdr_rate_cleaned!$A$2:$A$10,B2558,mdr_rate_cleaned!$B$2:$B$10,"&lt;"&amp;C2558,mdr_rate_cleaned!$F$2:$F$10,"&gt;="&amp;C2558)</f>
        <v>1</v>
      </c>
      <c r="G2558" s="40">
        <f>SUMIFS(mdr_rate_cleaned!$G$2:$G$10,mdr_rate_cleaned!$A$2:$A$10,B2558,mdr_rate_cleaned!$B$2:$B$10,"&lt;"&amp;C2558,mdr_rate_cleaned!$F$2:$F$10,"&gt;="&amp;C2558)</f>
        <v>1.8000000000000002E-2</v>
      </c>
      <c r="H2558" s="24">
        <f t="shared" si="195"/>
        <v>23.36</v>
      </c>
      <c r="I2558" s="23" t="str">
        <f t="shared" si="196"/>
        <v>Match</v>
      </c>
      <c r="J2558" s="23" t="str">
        <f t="shared" si="197"/>
        <v>Match</v>
      </c>
      <c r="K2558" s="24">
        <f t="shared" si="198"/>
        <v>4.2</v>
      </c>
      <c r="L2558" s="24">
        <f t="shared" si="199"/>
        <v>0</v>
      </c>
    </row>
    <row r="2559" spans="1:12" ht="15" customHeight="1" x14ac:dyDescent="0.3">
      <c r="A2559" s="23" t="s">
        <v>15477</v>
      </c>
      <c r="B2559" s="23" t="s">
        <v>79</v>
      </c>
      <c r="C2559" s="39">
        <v>1499</v>
      </c>
      <c r="D2559" s="24">
        <v>26.98</v>
      </c>
      <c r="E2559" s="24">
        <v>4.8600000000000003</v>
      </c>
      <c r="F2559" s="23">
        <f>COUNTIFS(mdr_rate_cleaned!$A$2:$A$10,B2559,mdr_rate_cleaned!$B$2:$B$10,"&lt;"&amp;C2559,mdr_rate_cleaned!$F$2:$F$10,"&gt;="&amp;C2559)</f>
        <v>1</v>
      </c>
      <c r="G2559" s="40">
        <f>SUMIFS(mdr_rate_cleaned!$G$2:$G$10,mdr_rate_cleaned!$A$2:$A$10,B2559,mdr_rate_cleaned!$B$2:$B$10,"&lt;"&amp;C2559,mdr_rate_cleaned!$F$2:$F$10,"&gt;="&amp;C2559)</f>
        <v>1.8000000000000002E-2</v>
      </c>
      <c r="H2559" s="24">
        <f t="shared" si="195"/>
        <v>26.98</v>
      </c>
      <c r="I2559" s="23" t="str">
        <f t="shared" si="196"/>
        <v>Match</v>
      </c>
      <c r="J2559" s="23" t="str">
        <f t="shared" si="197"/>
        <v>Match</v>
      </c>
      <c r="K2559" s="24">
        <f t="shared" si="198"/>
        <v>4.8600000000000003</v>
      </c>
      <c r="L2559" s="24">
        <f t="shared" si="199"/>
        <v>0</v>
      </c>
    </row>
    <row r="2560" spans="1:12" ht="15" customHeight="1" x14ac:dyDescent="0.3">
      <c r="A2560" s="23" t="s">
        <v>15478</v>
      </c>
      <c r="B2560" s="23" t="s">
        <v>79</v>
      </c>
      <c r="C2560" s="39">
        <v>499</v>
      </c>
      <c r="D2560" s="24">
        <v>8.98</v>
      </c>
      <c r="E2560" s="24">
        <v>1.62</v>
      </c>
      <c r="F2560" s="23">
        <f>COUNTIFS(mdr_rate_cleaned!$A$2:$A$10,B2560,mdr_rate_cleaned!$B$2:$B$10,"&lt;"&amp;C2560,mdr_rate_cleaned!$F$2:$F$10,"&gt;="&amp;C2560)</f>
        <v>1</v>
      </c>
      <c r="G2560" s="40">
        <f>SUMIFS(mdr_rate_cleaned!$G$2:$G$10,mdr_rate_cleaned!$A$2:$A$10,B2560,mdr_rate_cleaned!$B$2:$B$10,"&lt;"&amp;C2560,mdr_rate_cleaned!$F$2:$F$10,"&gt;="&amp;C2560)</f>
        <v>1.8000000000000002E-2</v>
      </c>
      <c r="H2560" s="24">
        <f t="shared" si="195"/>
        <v>8.98</v>
      </c>
      <c r="I2560" s="23" t="str">
        <f t="shared" si="196"/>
        <v>Match</v>
      </c>
      <c r="J2560" s="23" t="str">
        <f t="shared" si="197"/>
        <v>Match</v>
      </c>
      <c r="K2560" s="24">
        <f t="shared" si="198"/>
        <v>1.62</v>
      </c>
      <c r="L2560" s="24">
        <f t="shared" si="199"/>
        <v>0</v>
      </c>
    </row>
    <row r="2561" spans="1:12" ht="15" customHeight="1" x14ac:dyDescent="0.3">
      <c r="A2561" s="23" t="s">
        <v>15479</v>
      </c>
      <c r="B2561" s="23" t="s">
        <v>79</v>
      </c>
      <c r="C2561" s="39">
        <v>3499</v>
      </c>
      <c r="D2561" s="24">
        <v>55.98</v>
      </c>
      <c r="E2561" s="24">
        <v>10.08</v>
      </c>
      <c r="F2561" s="23">
        <f>COUNTIFS(mdr_rate_cleaned!$A$2:$A$10,B2561,mdr_rate_cleaned!$B$2:$B$10,"&lt;"&amp;C2561,mdr_rate_cleaned!$F$2:$F$10,"&gt;="&amp;C2561)</f>
        <v>1</v>
      </c>
      <c r="G2561" s="40">
        <f>SUMIFS(mdr_rate_cleaned!$G$2:$G$10,mdr_rate_cleaned!$A$2:$A$10,B2561,mdr_rate_cleaned!$B$2:$B$10,"&lt;"&amp;C2561,mdr_rate_cleaned!$F$2:$F$10,"&gt;="&amp;C2561)</f>
        <v>1.6E-2</v>
      </c>
      <c r="H2561" s="24">
        <f t="shared" si="195"/>
        <v>55.98</v>
      </c>
      <c r="I2561" s="23" t="str">
        <f t="shared" si="196"/>
        <v>Match</v>
      </c>
      <c r="J2561" s="23" t="str">
        <f t="shared" si="197"/>
        <v>Match</v>
      </c>
      <c r="K2561" s="24">
        <f t="shared" si="198"/>
        <v>10.08</v>
      </c>
      <c r="L2561" s="24">
        <f t="shared" si="199"/>
        <v>0</v>
      </c>
    </row>
    <row r="2562" spans="1:12" ht="15" customHeight="1" x14ac:dyDescent="0.3">
      <c r="A2562" s="23" t="s">
        <v>15480</v>
      </c>
      <c r="B2562" s="23" t="s">
        <v>77</v>
      </c>
      <c r="C2562" s="39">
        <v>499</v>
      </c>
      <c r="D2562" s="24">
        <v>9.48</v>
      </c>
      <c r="E2562" s="24">
        <v>1.71</v>
      </c>
      <c r="F2562" s="23">
        <f>COUNTIFS(mdr_rate_cleaned!$A$2:$A$10,B2562,mdr_rate_cleaned!$B$2:$B$10,"&lt;"&amp;C2562,mdr_rate_cleaned!$F$2:$F$10,"&gt;="&amp;C2562)</f>
        <v>1</v>
      </c>
      <c r="G2562" s="40">
        <f>SUMIFS(mdr_rate_cleaned!$G$2:$G$10,mdr_rate_cleaned!$A$2:$A$10,B2562,mdr_rate_cleaned!$B$2:$B$10,"&lt;"&amp;C2562,mdr_rate_cleaned!$F$2:$F$10,"&gt;="&amp;C2562)</f>
        <v>1.9E-2</v>
      </c>
      <c r="H2562" s="24">
        <f t="shared" ref="H2562:H2625" si="200">ROUND(C2562*G2562,2)</f>
        <v>9.48</v>
      </c>
      <c r="I2562" s="23" t="str">
        <f t="shared" ref="I2562:I2625" si="201">IF(ROUND(D2562-H2562,2)=0,"Match","Differs")</f>
        <v>Match</v>
      </c>
      <c r="J2562" s="23" t="str">
        <f t="shared" ref="J2562:J2625" si="202">IF(ROUND(E2562-ROUND(D2562*0.18,2),2)=0,"Match","Differs")</f>
        <v>Match</v>
      </c>
      <c r="K2562" s="24">
        <f t="shared" ref="K2562:K2625" si="203">ROUND(H2562*0.18,2)</f>
        <v>1.71</v>
      </c>
      <c r="L2562" s="24">
        <f t="shared" ref="L2562:L2625" si="204">ROUND(D2562+E2562-H2562-K2562,2)</f>
        <v>0</v>
      </c>
    </row>
    <row r="2563" spans="1:12" ht="15" customHeight="1" x14ac:dyDescent="0.3">
      <c r="A2563" s="23" t="s">
        <v>15481</v>
      </c>
      <c r="B2563" s="23" t="s">
        <v>75</v>
      </c>
      <c r="C2563" s="39">
        <v>299</v>
      </c>
      <c r="D2563" s="24">
        <v>0</v>
      </c>
      <c r="E2563" s="24">
        <v>0</v>
      </c>
      <c r="F2563" s="23">
        <f>COUNTIFS(mdr_rate_cleaned!$A$2:$A$10,B2563,mdr_rate_cleaned!$B$2:$B$10,"&lt;"&amp;C2563,mdr_rate_cleaned!$F$2:$F$10,"&gt;="&amp;C2563)</f>
        <v>1</v>
      </c>
      <c r="G2563" s="40">
        <f>SUMIFS(mdr_rate_cleaned!$G$2:$G$10,mdr_rate_cleaned!$A$2:$A$10,B2563,mdr_rate_cleaned!$B$2:$B$10,"&lt;"&amp;C2563,mdr_rate_cleaned!$F$2:$F$10,"&gt;="&amp;C2563)</f>
        <v>0</v>
      </c>
      <c r="H2563" s="24">
        <f t="shared" si="200"/>
        <v>0</v>
      </c>
      <c r="I2563" s="23" t="str">
        <f t="shared" si="201"/>
        <v>Match</v>
      </c>
      <c r="J2563" s="23" t="str">
        <f t="shared" si="202"/>
        <v>Match</v>
      </c>
      <c r="K2563" s="24">
        <f t="shared" si="203"/>
        <v>0</v>
      </c>
      <c r="L2563" s="24">
        <f t="shared" si="204"/>
        <v>0</v>
      </c>
    </row>
    <row r="2564" spans="1:12" ht="15" customHeight="1" x14ac:dyDescent="0.3">
      <c r="A2564" s="23" t="s">
        <v>15482</v>
      </c>
      <c r="B2564" s="23" t="s">
        <v>75</v>
      </c>
      <c r="C2564" s="39">
        <v>3297</v>
      </c>
      <c r="D2564" s="24">
        <v>9.89</v>
      </c>
      <c r="E2564" s="24">
        <v>1.78</v>
      </c>
      <c r="F2564" s="23">
        <f>COUNTIFS(mdr_rate_cleaned!$A$2:$A$10,B2564,mdr_rate_cleaned!$B$2:$B$10,"&lt;"&amp;C2564,mdr_rate_cleaned!$F$2:$F$10,"&gt;="&amp;C2564)</f>
        <v>1</v>
      </c>
      <c r="G2564" s="40">
        <f>SUMIFS(mdr_rate_cleaned!$G$2:$G$10,mdr_rate_cleaned!$A$2:$A$10,B2564,mdr_rate_cleaned!$B$2:$B$10,"&lt;"&amp;C2564,mdr_rate_cleaned!$F$2:$F$10,"&gt;="&amp;C2564)</f>
        <v>3.0000000000000001E-3</v>
      </c>
      <c r="H2564" s="24">
        <f t="shared" si="200"/>
        <v>9.89</v>
      </c>
      <c r="I2564" s="23" t="str">
        <f t="shared" si="201"/>
        <v>Match</v>
      </c>
      <c r="J2564" s="23" t="str">
        <f t="shared" si="202"/>
        <v>Match</v>
      </c>
      <c r="K2564" s="24">
        <f t="shared" si="203"/>
        <v>1.78</v>
      </c>
      <c r="L2564" s="24">
        <f t="shared" si="204"/>
        <v>0</v>
      </c>
    </row>
    <row r="2565" spans="1:12" ht="15" customHeight="1" x14ac:dyDescent="0.3">
      <c r="A2565" s="23" t="s">
        <v>15483</v>
      </c>
      <c r="B2565" s="23" t="s">
        <v>75</v>
      </c>
      <c r="C2565" s="39">
        <v>11498</v>
      </c>
      <c r="D2565" s="24">
        <v>34.49</v>
      </c>
      <c r="E2565" s="24">
        <v>6.21</v>
      </c>
      <c r="F2565" s="23">
        <f>COUNTIFS(mdr_rate_cleaned!$A$2:$A$10,B2565,mdr_rate_cleaned!$B$2:$B$10,"&lt;"&amp;C2565,mdr_rate_cleaned!$F$2:$F$10,"&gt;="&amp;C2565)</f>
        <v>1</v>
      </c>
      <c r="G2565" s="40">
        <f>SUMIFS(mdr_rate_cleaned!$G$2:$G$10,mdr_rate_cleaned!$A$2:$A$10,B2565,mdr_rate_cleaned!$B$2:$B$10,"&lt;"&amp;C2565,mdr_rate_cleaned!$F$2:$F$10,"&gt;="&amp;C2565)</f>
        <v>3.0000000000000001E-3</v>
      </c>
      <c r="H2565" s="24">
        <f t="shared" si="200"/>
        <v>34.49</v>
      </c>
      <c r="I2565" s="23" t="str">
        <f t="shared" si="201"/>
        <v>Match</v>
      </c>
      <c r="J2565" s="23" t="str">
        <f t="shared" si="202"/>
        <v>Match</v>
      </c>
      <c r="K2565" s="24">
        <f t="shared" si="203"/>
        <v>6.21</v>
      </c>
      <c r="L2565" s="24">
        <f t="shared" si="204"/>
        <v>0</v>
      </c>
    </row>
    <row r="2566" spans="1:12" ht="15" customHeight="1" x14ac:dyDescent="0.3">
      <c r="A2566" s="23" t="s">
        <v>15484</v>
      </c>
      <c r="B2566" s="23" t="s">
        <v>77</v>
      </c>
      <c r="C2566" s="39">
        <v>2497</v>
      </c>
      <c r="D2566" s="24">
        <v>42.45</v>
      </c>
      <c r="E2566" s="24">
        <v>7.64</v>
      </c>
      <c r="F2566" s="23">
        <f>COUNTIFS(mdr_rate_cleaned!$A$2:$A$10,B2566,mdr_rate_cleaned!$B$2:$B$10,"&lt;"&amp;C2566,mdr_rate_cleaned!$F$2:$F$10,"&gt;="&amp;C2566)</f>
        <v>1</v>
      </c>
      <c r="G2566" s="40">
        <f>SUMIFS(mdr_rate_cleaned!$G$2:$G$10,mdr_rate_cleaned!$A$2:$A$10,B2566,mdr_rate_cleaned!$B$2:$B$10,"&lt;"&amp;C2566,mdr_rate_cleaned!$F$2:$F$10,"&gt;="&amp;C2566)</f>
        <v>1.7000000000000001E-2</v>
      </c>
      <c r="H2566" s="24">
        <f t="shared" si="200"/>
        <v>42.45</v>
      </c>
      <c r="I2566" s="23" t="str">
        <f t="shared" si="201"/>
        <v>Match</v>
      </c>
      <c r="J2566" s="23" t="str">
        <f t="shared" si="202"/>
        <v>Match</v>
      </c>
      <c r="K2566" s="24">
        <f t="shared" si="203"/>
        <v>7.64</v>
      </c>
      <c r="L2566" s="24">
        <f t="shared" si="204"/>
        <v>0</v>
      </c>
    </row>
    <row r="2567" spans="1:12" ht="15" customHeight="1" x14ac:dyDescent="0.3">
      <c r="A2567" s="23" t="s">
        <v>15485</v>
      </c>
      <c r="B2567" s="23" t="s">
        <v>75</v>
      </c>
      <c r="C2567" s="39">
        <v>1798</v>
      </c>
      <c r="D2567" s="24">
        <v>0</v>
      </c>
      <c r="E2567" s="24">
        <v>0</v>
      </c>
      <c r="F2567" s="23">
        <f>COUNTIFS(mdr_rate_cleaned!$A$2:$A$10,B2567,mdr_rate_cleaned!$B$2:$B$10,"&lt;"&amp;C2567,mdr_rate_cleaned!$F$2:$F$10,"&gt;="&amp;C2567)</f>
        <v>1</v>
      </c>
      <c r="G2567" s="40">
        <f>SUMIFS(mdr_rate_cleaned!$G$2:$G$10,mdr_rate_cleaned!$A$2:$A$10,B2567,mdr_rate_cleaned!$B$2:$B$10,"&lt;"&amp;C2567,mdr_rate_cleaned!$F$2:$F$10,"&gt;="&amp;C2567)</f>
        <v>0</v>
      </c>
      <c r="H2567" s="24">
        <f t="shared" si="200"/>
        <v>0</v>
      </c>
      <c r="I2567" s="23" t="str">
        <f t="shared" si="201"/>
        <v>Match</v>
      </c>
      <c r="J2567" s="23" t="str">
        <f t="shared" si="202"/>
        <v>Match</v>
      </c>
      <c r="K2567" s="24">
        <f t="shared" si="203"/>
        <v>0</v>
      </c>
      <c r="L2567" s="24">
        <f t="shared" si="204"/>
        <v>0</v>
      </c>
    </row>
    <row r="2568" spans="1:12" ht="15" customHeight="1" x14ac:dyDescent="0.3">
      <c r="A2568" s="23" t="s">
        <v>15486</v>
      </c>
      <c r="B2568" s="23" t="s">
        <v>79</v>
      </c>
      <c r="C2568" s="39">
        <v>299</v>
      </c>
      <c r="D2568" s="24">
        <v>5.38</v>
      </c>
      <c r="E2568" s="24">
        <v>0.97</v>
      </c>
      <c r="F2568" s="23">
        <f>COUNTIFS(mdr_rate_cleaned!$A$2:$A$10,B2568,mdr_rate_cleaned!$B$2:$B$10,"&lt;"&amp;C2568,mdr_rate_cleaned!$F$2:$F$10,"&gt;="&amp;C2568)</f>
        <v>1</v>
      </c>
      <c r="G2568" s="40">
        <f>SUMIFS(mdr_rate_cleaned!$G$2:$G$10,mdr_rate_cleaned!$A$2:$A$10,B2568,mdr_rate_cleaned!$B$2:$B$10,"&lt;"&amp;C2568,mdr_rate_cleaned!$F$2:$F$10,"&gt;="&amp;C2568)</f>
        <v>1.8000000000000002E-2</v>
      </c>
      <c r="H2568" s="24">
        <f t="shared" si="200"/>
        <v>5.38</v>
      </c>
      <c r="I2568" s="23" t="str">
        <f t="shared" si="201"/>
        <v>Match</v>
      </c>
      <c r="J2568" s="23" t="str">
        <f t="shared" si="202"/>
        <v>Match</v>
      </c>
      <c r="K2568" s="24">
        <f t="shared" si="203"/>
        <v>0.97</v>
      </c>
      <c r="L2568" s="24">
        <f t="shared" si="204"/>
        <v>0</v>
      </c>
    </row>
    <row r="2569" spans="1:12" ht="15" customHeight="1" x14ac:dyDescent="0.3">
      <c r="A2569" s="23" t="s">
        <v>15487</v>
      </c>
      <c r="B2569" s="23" t="s">
        <v>75</v>
      </c>
      <c r="C2569" s="39">
        <v>8297</v>
      </c>
      <c r="D2569" s="24">
        <v>24.89</v>
      </c>
      <c r="E2569" s="24">
        <v>4.4800000000000004</v>
      </c>
      <c r="F2569" s="23">
        <f>COUNTIFS(mdr_rate_cleaned!$A$2:$A$10,B2569,mdr_rate_cleaned!$B$2:$B$10,"&lt;"&amp;C2569,mdr_rate_cleaned!$F$2:$F$10,"&gt;="&amp;C2569)</f>
        <v>1</v>
      </c>
      <c r="G2569" s="40">
        <f>SUMIFS(mdr_rate_cleaned!$G$2:$G$10,mdr_rate_cleaned!$A$2:$A$10,B2569,mdr_rate_cleaned!$B$2:$B$10,"&lt;"&amp;C2569,mdr_rate_cleaned!$F$2:$F$10,"&gt;="&amp;C2569)</f>
        <v>3.0000000000000001E-3</v>
      </c>
      <c r="H2569" s="24">
        <f t="shared" si="200"/>
        <v>24.89</v>
      </c>
      <c r="I2569" s="23" t="str">
        <f t="shared" si="201"/>
        <v>Match</v>
      </c>
      <c r="J2569" s="23" t="str">
        <f t="shared" si="202"/>
        <v>Match</v>
      </c>
      <c r="K2569" s="24">
        <f t="shared" si="203"/>
        <v>4.4800000000000004</v>
      </c>
      <c r="L2569" s="24">
        <f t="shared" si="204"/>
        <v>0</v>
      </c>
    </row>
    <row r="2570" spans="1:12" ht="15" customHeight="1" x14ac:dyDescent="0.3">
      <c r="A2570" s="23" t="s">
        <v>15488</v>
      </c>
      <c r="B2570" s="23" t="s">
        <v>79</v>
      </c>
      <c r="C2570" s="39">
        <v>8348</v>
      </c>
      <c r="D2570" s="24">
        <v>133.57</v>
      </c>
      <c r="E2570" s="24">
        <v>24.04</v>
      </c>
      <c r="F2570" s="23">
        <f>COUNTIFS(mdr_rate_cleaned!$A$2:$A$10,B2570,mdr_rate_cleaned!$B$2:$B$10,"&lt;"&amp;C2570,mdr_rate_cleaned!$F$2:$F$10,"&gt;="&amp;C2570)</f>
        <v>1</v>
      </c>
      <c r="G2570" s="40">
        <f>SUMIFS(mdr_rate_cleaned!$G$2:$G$10,mdr_rate_cleaned!$A$2:$A$10,B2570,mdr_rate_cleaned!$B$2:$B$10,"&lt;"&amp;C2570,mdr_rate_cleaned!$F$2:$F$10,"&gt;="&amp;C2570)</f>
        <v>1.6E-2</v>
      </c>
      <c r="H2570" s="24">
        <f t="shared" si="200"/>
        <v>133.57</v>
      </c>
      <c r="I2570" s="23" t="str">
        <f t="shared" si="201"/>
        <v>Match</v>
      </c>
      <c r="J2570" s="23" t="str">
        <f t="shared" si="202"/>
        <v>Match</v>
      </c>
      <c r="K2570" s="24">
        <f t="shared" si="203"/>
        <v>24.04</v>
      </c>
      <c r="L2570" s="24">
        <f t="shared" si="204"/>
        <v>0</v>
      </c>
    </row>
    <row r="2571" spans="1:12" ht="15" customHeight="1" x14ac:dyDescent="0.3">
      <c r="A2571" s="23" t="s">
        <v>15489</v>
      </c>
      <c r="B2571" s="23" t="s">
        <v>77</v>
      </c>
      <c r="C2571" s="39">
        <v>10498</v>
      </c>
      <c r="D2571" s="24">
        <v>178.47</v>
      </c>
      <c r="E2571" s="24">
        <v>32.119999999999997</v>
      </c>
      <c r="F2571" s="23">
        <f>COUNTIFS(mdr_rate_cleaned!$A$2:$A$10,B2571,mdr_rate_cleaned!$B$2:$B$10,"&lt;"&amp;C2571,mdr_rate_cleaned!$F$2:$F$10,"&gt;="&amp;C2571)</f>
        <v>1</v>
      </c>
      <c r="G2571" s="40">
        <f>SUMIFS(mdr_rate_cleaned!$G$2:$G$10,mdr_rate_cleaned!$A$2:$A$10,B2571,mdr_rate_cleaned!$B$2:$B$10,"&lt;"&amp;C2571,mdr_rate_cleaned!$F$2:$F$10,"&gt;="&amp;C2571)</f>
        <v>1.7000000000000001E-2</v>
      </c>
      <c r="H2571" s="24">
        <f t="shared" si="200"/>
        <v>178.47</v>
      </c>
      <c r="I2571" s="23" t="str">
        <f t="shared" si="201"/>
        <v>Match</v>
      </c>
      <c r="J2571" s="23" t="str">
        <f t="shared" si="202"/>
        <v>Match</v>
      </c>
      <c r="K2571" s="24">
        <f t="shared" si="203"/>
        <v>32.119999999999997</v>
      </c>
      <c r="L2571" s="24">
        <f t="shared" si="204"/>
        <v>0</v>
      </c>
    </row>
    <row r="2572" spans="1:12" ht="15" customHeight="1" x14ac:dyDescent="0.3">
      <c r="A2572" s="23" t="s">
        <v>15490</v>
      </c>
      <c r="B2572" s="23" t="s">
        <v>77</v>
      </c>
      <c r="C2572" s="39">
        <v>2098</v>
      </c>
      <c r="D2572" s="24">
        <v>35.67</v>
      </c>
      <c r="E2572" s="24">
        <v>6.42</v>
      </c>
      <c r="F2572" s="23">
        <f>COUNTIFS(mdr_rate_cleaned!$A$2:$A$10,B2572,mdr_rate_cleaned!$B$2:$B$10,"&lt;"&amp;C2572,mdr_rate_cleaned!$F$2:$F$10,"&gt;="&amp;C2572)</f>
        <v>1</v>
      </c>
      <c r="G2572" s="40">
        <f>SUMIFS(mdr_rate_cleaned!$G$2:$G$10,mdr_rate_cleaned!$A$2:$A$10,B2572,mdr_rate_cleaned!$B$2:$B$10,"&lt;"&amp;C2572,mdr_rate_cleaned!$F$2:$F$10,"&gt;="&amp;C2572)</f>
        <v>1.7000000000000001E-2</v>
      </c>
      <c r="H2572" s="24">
        <f t="shared" si="200"/>
        <v>35.67</v>
      </c>
      <c r="I2572" s="23" t="str">
        <f t="shared" si="201"/>
        <v>Match</v>
      </c>
      <c r="J2572" s="23" t="str">
        <f t="shared" si="202"/>
        <v>Match</v>
      </c>
      <c r="K2572" s="24">
        <f t="shared" si="203"/>
        <v>6.42</v>
      </c>
      <c r="L2572" s="24">
        <f t="shared" si="204"/>
        <v>0</v>
      </c>
    </row>
    <row r="2573" spans="1:12" ht="15" customHeight="1" x14ac:dyDescent="0.3">
      <c r="A2573" s="23" t="s">
        <v>15491</v>
      </c>
      <c r="B2573" s="23" t="s">
        <v>75</v>
      </c>
      <c r="C2573" s="39">
        <v>599</v>
      </c>
      <c r="D2573" s="24">
        <v>0</v>
      </c>
      <c r="E2573" s="24">
        <v>0</v>
      </c>
      <c r="F2573" s="23">
        <f>COUNTIFS(mdr_rate_cleaned!$A$2:$A$10,B2573,mdr_rate_cleaned!$B$2:$B$10,"&lt;"&amp;C2573,mdr_rate_cleaned!$F$2:$F$10,"&gt;="&amp;C2573)</f>
        <v>1</v>
      </c>
      <c r="G2573" s="40">
        <f>SUMIFS(mdr_rate_cleaned!$G$2:$G$10,mdr_rate_cleaned!$A$2:$A$10,B2573,mdr_rate_cleaned!$B$2:$B$10,"&lt;"&amp;C2573,mdr_rate_cleaned!$F$2:$F$10,"&gt;="&amp;C2573)</f>
        <v>0</v>
      </c>
      <c r="H2573" s="24">
        <f t="shared" si="200"/>
        <v>0</v>
      </c>
      <c r="I2573" s="23" t="str">
        <f t="shared" si="201"/>
        <v>Match</v>
      </c>
      <c r="J2573" s="23" t="str">
        <f t="shared" si="202"/>
        <v>Match</v>
      </c>
      <c r="K2573" s="24">
        <f t="shared" si="203"/>
        <v>0</v>
      </c>
      <c r="L2573" s="24">
        <f t="shared" si="204"/>
        <v>0</v>
      </c>
    </row>
    <row r="2574" spans="1:12" ht="15" customHeight="1" x14ac:dyDescent="0.3">
      <c r="A2574" s="23" t="s">
        <v>15493</v>
      </c>
      <c r="B2574" s="23" t="s">
        <v>77</v>
      </c>
      <c r="C2574" s="39">
        <v>7999</v>
      </c>
      <c r="D2574" s="24">
        <v>135.97999999999999</v>
      </c>
      <c r="E2574" s="24">
        <v>24.48</v>
      </c>
      <c r="F2574" s="23">
        <f>COUNTIFS(mdr_rate_cleaned!$A$2:$A$10,B2574,mdr_rate_cleaned!$B$2:$B$10,"&lt;"&amp;C2574,mdr_rate_cleaned!$F$2:$F$10,"&gt;="&amp;C2574)</f>
        <v>1</v>
      </c>
      <c r="G2574" s="40">
        <f>SUMIFS(mdr_rate_cleaned!$G$2:$G$10,mdr_rate_cleaned!$A$2:$A$10,B2574,mdr_rate_cleaned!$B$2:$B$10,"&lt;"&amp;C2574,mdr_rate_cleaned!$F$2:$F$10,"&gt;="&amp;C2574)</f>
        <v>1.7000000000000001E-2</v>
      </c>
      <c r="H2574" s="24">
        <f t="shared" si="200"/>
        <v>135.97999999999999</v>
      </c>
      <c r="I2574" s="23" t="str">
        <f t="shared" si="201"/>
        <v>Match</v>
      </c>
      <c r="J2574" s="23" t="str">
        <f t="shared" si="202"/>
        <v>Match</v>
      </c>
      <c r="K2574" s="24">
        <f t="shared" si="203"/>
        <v>24.48</v>
      </c>
      <c r="L2574" s="24">
        <f t="shared" si="204"/>
        <v>0</v>
      </c>
    </row>
    <row r="2575" spans="1:12" ht="15" customHeight="1" x14ac:dyDescent="0.3">
      <c r="A2575" s="23" t="s">
        <v>15494</v>
      </c>
      <c r="B2575" s="23" t="s">
        <v>81</v>
      </c>
      <c r="C2575" s="39">
        <v>3499</v>
      </c>
      <c r="D2575" s="24">
        <v>41.99</v>
      </c>
      <c r="E2575" s="24">
        <v>7.56</v>
      </c>
      <c r="F2575" s="23">
        <f>COUNTIFS(mdr_rate_cleaned!$A$2:$A$10,B2575,mdr_rate_cleaned!$B$2:$B$10,"&lt;"&amp;C2575,mdr_rate_cleaned!$F$2:$F$10,"&gt;="&amp;C2575)</f>
        <v>1</v>
      </c>
      <c r="G2575" s="40">
        <f>SUMIFS(mdr_rate_cleaned!$G$2:$G$10,mdr_rate_cleaned!$A$2:$A$10,B2575,mdr_rate_cleaned!$B$2:$B$10,"&lt;"&amp;C2575,mdr_rate_cleaned!$F$2:$F$10,"&gt;="&amp;C2575)</f>
        <v>1.2E-2</v>
      </c>
      <c r="H2575" s="24">
        <f t="shared" si="200"/>
        <v>41.99</v>
      </c>
      <c r="I2575" s="23" t="str">
        <f t="shared" si="201"/>
        <v>Match</v>
      </c>
      <c r="J2575" s="23" t="str">
        <f t="shared" si="202"/>
        <v>Match</v>
      </c>
      <c r="K2575" s="24">
        <f t="shared" si="203"/>
        <v>7.56</v>
      </c>
      <c r="L2575" s="24">
        <f t="shared" si="204"/>
        <v>0</v>
      </c>
    </row>
    <row r="2576" spans="1:12" ht="15" customHeight="1" x14ac:dyDescent="0.3">
      <c r="A2576" s="23" t="s">
        <v>15495</v>
      </c>
      <c r="B2576" s="23" t="s">
        <v>79</v>
      </c>
      <c r="C2576" s="39">
        <v>3499</v>
      </c>
      <c r="D2576" s="24">
        <v>55.98</v>
      </c>
      <c r="E2576" s="24">
        <v>10.08</v>
      </c>
      <c r="F2576" s="23">
        <f>COUNTIFS(mdr_rate_cleaned!$A$2:$A$10,B2576,mdr_rate_cleaned!$B$2:$B$10,"&lt;"&amp;C2576,mdr_rate_cleaned!$F$2:$F$10,"&gt;="&amp;C2576)</f>
        <v>1</v>
      </c>
      <c r="G2576" s="40">
        <f>SUMIFS(mdr_rate_cleaned!$G$2:$G$10,mdr_rate_cleaned!$A$2:$A$10,B2576,mdr_rate_cleaned!$B$2:$B$10,"&lt;"&amp;C2576,mdr_rate_cleaned!$F$2:$F$10,"&gt;="&amp;C2576)</f>
        <v>1.6E-2</v>
      </c>
      <c r="H2576" s="24">
        <f t="shared" si="200"/>
        <v>55.98</v>
      </c>
      <c r="I2576" s="23" t="str">
        <f t="shared" si="201"/>
        <v>Match</v>
      </c>
      <c r="J2576" s="23" t="str">
        <f t="shared" si="202"/>
        <v>Match</v>
      </c>
      <c r="K2576" s="24">
        <f t="shared" si="203"/>
        <v>10.08</v>
      </c>
      <c r="L2576" s="24">
        <f t="shared" si="204"/>
        <v>0</v>
      </c>
    </row>
    <row r="2577" spans="1:12" ht="15" customHeight="1" x14ac:dyDescent="0.3">
      <c r="A2577" s="23" t="s">
        <v>15496</v>
      </c>
      <c r="B2577" s="23" t="s">
        <v>79</v>
      </c>
      <c r="C2577" s="39">
        <v>1499</v>
      </c>
      <c r="D2577" s="24">
        <v>26.98</v>
      </c>
      <c r="E2577" s="24">
        <v>4.8600000000000003</v>
      </c>
      <c r="F2577" s="23">
        <f>COUNTIFS(mdr_rate_cleaned!$A$2:$A$10,B2577,mdr_rate_cleaned!$B$2:$B$10,"&lt;"&amp;C2577,mdr_rate_cleaned!$F$2:$F$10,"&gt;="&amp;C2577)</f>
        <v>1</v>
      </c>
      <c r="G2577" s="40">
        <f>SUMIFS(mdr_rate_cleaned!$G$2:$G$10,mdr_rate_cleaned!$A$2:$A$10,B2577,mdr_rate_cleaned!$B$2:$B$10,"&lt;"&amp;C2577,mdr_rate_cleaned!$F$2:$F$10,"&gt;="&amp;C2577)</f>
        <v>1.8000000000000002E-2</v>
      </c>
      <c r="H2577" s="24">
        <f t="shared" si="200"/>
        <v>26.98</v>
      </c>
      <c r="I2577" s="23" t="str">
        <f t="shared" si="201"/>
        <v>Match</v>
      </c>
      <c r="J2577" s="23" t="str">
        <f t="shared" si="202"/>
        <v>Match</v>
      </c>
      <c r="K2577" s="24">
        <f t="shared" si="203"/>
        <v>4.8600000000000003</v>
      </c>
      <c r="L2577" s="24">
        <f t="shared" si="204"/>
        <v>0</v>
      </c>
    </row>
    <row r="2578" spans="1:12" ht="15" customHeight="1" x14ac:dyDescent="0.3">
      <c r="A2578" s="23" t="s">
        <v>15497</v>
      </c>
      <c r="B2578" s="23" t="s">
        <v>75</v>
      </c>
      <c r="C2578" s="39">
        <v>499</v>
      </c>
      <c r="D2578" s="24">
        <v>0</v>
      </c>
      <c r="E2578" s="24">
        <v>0</v>
      </c>
      <c r="F2578" s="23">
        <f>COUNTIFS(mdr_rate_cleaned!$A$2:$A$10,B2578,mdr_rate_cleaned!$B$2:$B$10,"&lt;"&amp;C2578,mdr_rate_cleaned!$F$2:$F$10,"&gt;="&amp;C2578)</f>
        <v>1</v>
      </c>
      <c r="G2578" s="40">
        <f>SUMIFS(mdr_rate_cleaned!$G$2:$G$10,mdr_rate_cleaned!$A$2:$A$10,B2578,mdr_rate_cleaned!$B$2:$B$10,"&lt;"&amp;C2578,mdr_rate_cleaned!$F$2:$F$10,"&gt;="&amp;C2578)</f>
        <v>0</v>
      </c>
      <c r="H2578" s="24">
        <f t="shared" si="200"/>
        <v>0</v>
      </c>
      <c r="I2578" s="23" t="str">
        <f t="shared" si="201"/>
        <v>Match</v>
      </c>
      <c r="J2578" s="23" t="str">
        <f t="shared" si="202"/>
        <v>Match</v>
      </c>
      <c r="K2578" s="24">
        <f t="shared" si="203"/>
        <v>0</v>
      </c>
      <c r="L2578" s="24">
        <f t="shared" si="204"/>
        <v>0</v>
      </c>
    </row>
    <row r="2579" spans="1:12" ht="15" customHeight="1" x14ac:dyDescent="0.3">
      <c r="A2579" s="23" t="s">
        <v>15498</v>
      </c>
      <c r="B2579" s="23" t="s">
        <v>75</v>
      </c>
      <c r="C2579" s="39">
        <v>1098</v>
      </c>
      <c r="D2579" s="24">
        <v>0</v>
      </c>
      <c r="E2579" s="24">
        <v>0</v>
      </c>
      <c r="F2579" s="23">
        <f>COUNTIFS(mdr_rate_cleaned!$A$2:$A$10,B2579,mdr_rate_cleaned!$B$2:$B$10,"&lt;"&amp;C2579,mdr_rate_cleaned!$F$2:$F$10,"&gt;="&amp;C2579)</f>
        <v>1</v>
      </c>
      <c r="G2579" s="40">
        <f>SUMIFS(mdr_rate_cleaned!$G$2:$G$10,mdr_rate_cleaned!$A$2:$A$10,B2579,mdr_rate_cleaned!$B$2:$B$10,"&lt;"&amp;C2579,mdr_rate_cleaned!$F$2:$F$10,"&gt;="&amp;C2579)</f>
        <v>0</v>
      </c>
      <c r="H2579" s="24">
        <f t="shared" si="200"/>
        <v>0</v>
      </c>
      <c r="I2579" s="23" t="str">
        <f t="shared" si="201"/>
        <v>Match</v>
      </c>
      <c r="J2579" s="23" t="str">
        <f t="shared" si="202"/>
        <v>Match</v>
      </c>
      <c r="K2579" s="24">
        <f t="shared" si="203"/>
        <v>0</v>
      </c>
      <c r="L2579" s="24">
        <f t="shared" si="204"/>
        <v>0</v>
      </c>
    </row>
    <row r="2580" spans="1:12" ht="15" customHeight="1" x14ac:dyDescent="0.3">
      <c r="A2580" s="23" t="s">
        <v>15499</v>
      </c>
      <c r="B2580" s="23" t="s">
        <v>79</v>
      </c>
      <c r="C2580" s="39">
        <v>8997</v>
      </c>
      <c r="D2580" s="24">
        <v>143.94999999999999</v>
      </c>
      <c r="E2580" s="24">
        <v>25.91</v>
      </c>
      <c r="F2580" s="23">
        <f>COUNTIFS(mdr_rate_cleaned!$A$2:$A$10,B2580,mdr_rate_cleaned!$B$2:$B$10,"&lt;"&amp;C2580,mdr_rate_cleaned!$F$2:$F$10,"&gt;="&amp;C2580)</f>
        <v>1</v>
      </c>
      <c r="G2580" s="40">
        <f>SUMIFS(mdr_rate_cleaned!$G$2:$G$10,mdr_rate_cleaned!$A$2:$A$10,B2580,mdr_rate_cleaned!$B$2:$B$10,"&lt;"&amp;C2580,mdr_rate_cleaned!$F$2:$F$10,"&gt;="&amp;C2580)</f>
        <v>1.6E-2</v>
      </c>
      <c r="H2580" s="24">
        <f t="shared" si="200"/>
        <v>143.94999999999999</v>
      </c>
      <c r="I2580" s="23" t="str">
        <f t="shared" si="201"/>
        <v>Match</v>
      </c>
      <c r="J2580" s="23" t="str">
        <f t="shared" si="202"/>
        <v>Match</v>
      </c>
      <c r="K2580" s="24">
        <f t="shared" si="203"/>
        <v>25.91</v>
      </c>
      <c r="L2580" s="24">
        <f t="shared" si="204"/>
        <v>0</v>
      </c>
    </row>
    <row r="2581" spans="1:12" ht="15" customHeight="1" x14ac:dyDescent="0.3">
      <c r="A2581" s="23" t="s">
        <v>15500</v>
      </c>
      <c r="B2581" s="23" t="s">
        <v>79</v>
      </c>
      <c r="C2581" s="39">
        <v>5297</v>
      </c>
      <c r="D2581" s="24">
        <v>84.75</v>
      </c>
      <c r="E2581" s="24">
        <v>15.26</v>
      </c>
      <c r="F2581" s="23">
        <f>COUNTIFS(mdr_rate_cleaned!$A$2:$A$10,B2581,mdr_rate_cleaned!$B$2:$B$10,"&lt;"&amp;C2581,mdr_rate_cleaned!$F$2:$F$10,"&gt;="&amp;C2581)</f>
        <v>1</v>
      </c>
      <c r="G2581" s="40">
        <f>SUMIFS(mdr_rate_cleaned!$G$2:$G$10,mdr_rate_cleaned!$A$2:$A$10,B2581,mdr_rate_cleaned!$B$2:$B$10,"&lt;"&amp;C2581,mdr_rate_cleaned!$F$2:$F$10,"&gt;="&amp;C2581)</f>
        <v>1.6E-2</v>
      </c>
      <c r="H2581" s="24">
        <f t="shared" si="200"/>
        <v>84.75</v>
      </c>
      <c r="I2581" s="23" t="str">
        <f t="shared" si="201"/>
        <v>Match</v>
      </c>
      <c r="J2581" s="23" t="str">
        <f t="shared" si="202"/>
        <v>Match</v>
      </c>
      <c r="K2581" s="24">
        <f t="shared" si="203"/>
        <v>15.26</v>
      </c>
      <c r="L2581" s="24">
        <f t="shared" si="204"/>
        <v>0</v>
      </c>
    </row>
    <row r="2582" spans="1:12" ht="15" customHeight="1" x14ac:dyDescent="0.3">
      <c r="A2582" s="23" t="s">
        <v>15501</v>
      </c>
      <c r="B2582" s="23" t="s">
        <v>75</v>
      </c>
      <c r="C2582" s="39">
        <v>4999</v>
      </c>
      <c r="D2582" s="24">
        <v>15</v>
      </c>
      <c r="E2582" s="24">
        <v>2.7</v>
      </c>
      <c r="F2582" s="23">
        <f>COUNTIFS(mdr_rate_cleaned!$A$2:$A$10,B2582,mdr_rate_cleaned!$B$2:$B$10,"&lt;"&amp;C2582,mdr_rate_cleaned!$F$2:$F$10,"&gt;="&amp;C2582)</f>
        <v>1</v>
      </c>
      <c r="G2582" s="40">
        <f>SUMIFS(mdr_rate_cleaned!$G$2:$G$10,mdr_rate_cleaned!$A$2:$A$10,B2582,mdr_rate_cleaned!$B$2:$B$10,"&lt;"&amp;C2582,mdr_rate_cleaned!$F$2:$F$10,"&gt;="&amp;C2582)</f>
        <v>3.0000000000000001E-3</v>
      </c>
      <c r="H2582" s="24">
        <f t="shared" si="200"/>
        <v>15</v>
      </c>
      <c r="I2582" s="23" t="str">
        <f t="shared" si="201"/>
        <v>Match</v>
      </c>
      <c r="J2582" s="23" t="str">
        <f t="shared" si="202"/>
        <v>Match</v>
      </c>
      <c r="K2582" s="24">
        <f t="shared" si="203"/>
        <v>2.7</v>
      </c>
      <c r="L2582" s="24">
        <f t="shared" si="204"/>
        <v>0</v>
      </c>
    </row>
    <row r="2583" spans="1:12" ht="15" customHeight="1" x14ac:dyDescent="0.3">
      <c r="A2583" s="23" t="s">
        <v>15503</v>
      </c>
      <c r="B2583" s="23" t="s">
        <v>79</v>
      </c>
      <c r="C2583" s="39">
        <v>3097</v>
      </c>
      <c r="D2583" s="24">
        <v>49.55</v>
      </c>
      <c r="E2583" s="24">
        <v>8.92</v>
      </c>
      <c r="F2583" s="23">
        <f>COUNTIFS(mdr_rate_cleaned!$A$2:$A$10,B2583,mdr_rate_cleaned!$B$2:$B$10,"&lt;"&amp;C2583,mdr_rate_cleaned!$F$2:$F$10,"&gt;="&amp;C2583)</f>
        <v>1</v>
      </c>
      <c r="G2583" s="40">
        <f>SUMIFS(mdr_rate_cleaned!$G$2:$G$10,mdr_rate_cleaned!$A$2:$A$10,B2583,mdr_rate_cleaned!$B$2:$B$10,"&lt;"&amp;C2583,mdr_rate_cleaned!$F$2:$F$10,"&gt;="&amp;C2583)</f>
        <v>1.6E-2</v>
      </c>
      <c r="H2583" s="24">
        <f t="shared" si="200"/>
        <v>49.55</v>
      </c>
      <c r="I2583" s="23" t="str">
        <f t="shared" si="201"/>
        <v>Match</v>
      </c>
      <c r="J2583" s="23" t="str">
        <f t="shared" si="202"/>
        <v>Match</v>
      </c>
      <c r="K2583" s="24">
        <f t="shared" si="203"/>
        <v>8.92</v>
      </c>
      <c r="L2583" s="24">
        <f t="shared" si="204"/>
        <v>0</v>
      </c>
    </row>
    <row r="2584" spans="1:12" ht="15" customHeight="1" x14ac:dyDescent="0.3">
      <c r="A2584" s="23" t="s">
        <v>15504</v>
      </c>
      <c r="B2584" s="23" t="s">
        <v>75</v>
      </c>
      <c r="C2584" s="39">
        <v>3098</v>
      </c>
      <c r="D2584" s="24">
        <v>9.2899999999999991</v>
      </c>
      <c r="E2584" s="24">
        <v>1.67</v>
      </c>
      <c r="F2584" s="23">
        <f>COUNTIFS(mdr_rate_cleaned!$A$2:$A$10,B2584,mdr_rate_cleaned!$B$2:$B$10,"&lt;"&amp;C2584,mdr_rate_cleaned!$F$2:$F$10,"&gt;="&amp;C2584)</f>
        <v>1</v>
      </c>
      <c r="G2584" s="40">
        <f>SUMIFS(mdr_rate_cleaned!$G$2:$G$10,mdr_rate_cleaned!$A$2:$A$10,B2584,mdr_rate_cleaned!$B$2:$B$10,"&lt;"&amp;C2584,mdr_rate_cleaned!$F$2:$F$10,"&gt;="&amp;C2584)</f>
        <v>3.0000000000000001E-3</v>
      </c>
      <c r="H2584" s="24">
        <f t="shared" si="200"/>
        <v>9.2899999999999991</v>
      </c>
      <c r="I2584" s="23" t="str">
        <f t="shared" si="201"/>
        <v>Match</v>
      </c>
      <c r="J2584" s="23" t="str">
        <f t="shared" si="202"/>
        <v>Match</v>
      </c>
      <c r="K2584" s="24">
        <f t="shared" si="203"/>
        <v>1.67</v>
      </c>
      <c r="L2584" s="24">
        <f t="shared" si="204"/>
        <v>0</v>
      </c>
    </row>
    <row r="2585" spans="1:12" ht="15" customHeight="1" x14ac:dyDescent="0.3">
      <c r="A2585" s="23" t="s">
        <v>15505</v>
      </c>
      <c r="B2585" s="23" t="s">
        <v>75</v>
      </c>
      <c r="C2585" s="39">
        <v>2999</v>
      </c>
      <c r="D2585" s="24">
        <v>9</v>
      </c>
      <c r="E2585" s="24">
        <v>1.62</v>
      </c>
      <c r="F2585" s="23">
        <f>COUNTIFS(mdr_rate_cleaned!$A$2:$A$10,B2585,mdr_rate_cleaned!$B$2:$B$10,"&lt;"&amp;C2585,mdr_rate_cleaned!$F$2:$F$10,"&gt;="&amp;C2585)</f>
        <v>1</v>
      </c>
      <c r="G2585" s="40">
        <f>SUMIFS(mdr_rate_cleaned!$G$2:$G$10,mdr_rate_cleaned!$A$2:$A$10,B2585,mdr_rate_cleaned!$B$2:$B$10,"&lt;"&amp;C2585,mdr_rate_cleaned!$F$2:$F$10,"&gt;="&amp;C2585)</f>
        <v>3.0000000000000001E-3</v>
      </c>
      <c r="H2585" s="24">
        <f t="shared" si="200"/>
        <v>9</v>
      </c>
      <c r="I2585" s="23" t="str">
        <f t="shared" si="201"/>
        <v>Match</v>
      </c>
      <c r="J2585" s="23" t="str">
        <f t="shared" si="202"/>
        <v>Match</v>
      </c>
      <c r="K2585" s="24">
        <f t="shared" si="203"/>
        <v>1.62</v>
      </c>
      <c r="L2585" s="24">
        <f t="shared" si="204"/>
        <v>0</v>
      </c>
    </row>
    <row r="2586" spans="1:12" ht="15" customHeight="1" x14ac:dyDescent="0.3">
      <c r="A2586" s="23" t="s">
        <v>15506</v>
      </c>
      <c r="B2586" s="23" t="s">
        <v>75</v>
      </c>
      <c r="C2586" s="39">
        <v>499</v>
      </c>
      <c r="D2586" s="24">
        <v>0</v>
      </c>
      <c r="E2586" s="24">
        <v>0</v>
      </c>
      <c r="F2586" s="23">
        <f>COUNTIFS(mdr_rate_cleaned!$A$2:$A$10,B2586,mdr_rate_cleaned!$B$2:$B$10,"&lt;"&amp;C2586,mdr_rate_cleaned!$F$2:$F$10,"&gt;="&amp;C2586)</f>
        <v>1</v>
      </c>
      <c r="G2586" s="40">
        <f>SUMIFS(mdr_rate_cleaned!$G$2:$G$10,mdr_rate_cleaned!$A$2:$A$10,B2586,mdr_rate_cleaned!$B$2:$B$10,"&lt;"&amp;C2586,mdr_rate_cleaned!$F$2:$F$10,"&gt;="&amp;C2586)</f>
        <v>0</v>
      </c>
      <c r="H2586" s="24">
        <f t="shared" si="200"/>
        <v>0</v>
      </c>
      <c r="I2586" s="23" t="str">
        <f t="shared" si="201"/>
        <v>Match</v>
      </c>
      <c r="J2586" s="23" t="str">
        <f t="shared" si="202"/>
        <v>Match</v>
      </c>
      <c r="K2586" s="24">
        <f t="shared" si="203"/>
        <v>0</v>
      </c>
      <c r="L2586" s="24">
        <f t="shared" si="204"/>
        <v>0</v>
      </c>
    </row>
    <row r="2587" spans="1:12" ht="15" customHeight="1" x14ac:dyDescent="0.3">
      <c r="A2587" s="23" t="s">
        <v>15507</v>
      </c>
      <c r="B2587" s="23" t="s">
        <v>79</v>
      </c>
      <c r="C2587" s="39">
        <v>5097</v>
      </c>
      <c r="D2587" s="24">
        <v>81.55</v>
      </c>
      <c r="E2587" s="24">
        <v>14.68</v>
      </c>
      <c r="F2587" s="23">
        <f>COUNTIFS(mdr_rate_cleaned!$A$2:$A$10,B2587,mdr_rate_cleaned!$B$2:$B$10,"&lt;"&amp;C2587,mdr_rate_cleaned!$F$2:$F$10,"&gt;="&amp;C2587)</f>
        <v>1</v>
      </c>
      <c r="G2587" s="40">
        <f>SUMIFS(mdr_rate_cleaned!$G$2:$G$10,mdr_rate_cleaned!$A$2:$A$10,B2587,mdr_rate_cleaned!$B$2:$B$10,"&lt;"&amp;C2587,mdr_rate_cleaned!$F$2:$F$10,"&gt;="&amp;C2587)</f>
        <v>1.6E-2</v>
      </c>
      <c r="H2587" s="24">
        <f t="shared" si="200"/>
        <v>81.55</v>
      </c>
      <c r="I2587" s="23" t="str">
        <f t="shared" si="201"/>
        <v>Match</v>
      </c>
      <c r="J2587" s="23" t="str">
        <f t="shared" si="202"/>
        <v>Match</v>
      </c>
      <c r="K2587" s="24">
        <f t="shared" si="203"/>
        <v>14.68</v>
      </c>
      <c r="L2587" s="24">
        <f t="shared" si="204"/>
        <v>0</v>
      </c>
    </row>
    <row r="2588" spans="1:12" ht="15" customHeight="1" x14ac:dyDescent="0.3">
      <c r="A2588" s="23" t="s">
        <v>15508</v>
      </c>
      <c r="B2588" s="23" t="s">
        <v>81</v>
      </c>
      <c r="C2588" s="39">
        <v>349</v>
      </c>
      <c r="D2588" s="24">
        <v>5.24</v>
      </c>
      <c r="E2588" s="24">
        <v>0.94</v>
      </c>
      <c r="F2588" s="23">
        <f>COUNTIFS(mdr_rate_cleaned!$A$2:$A$10,B2588,mdr_rate_cleaned!$B$2:$B$10,"&lt;"&amp;C2588,mdr_rate_cleaned!$F$2:$F$10,"&gt;="&amp;C2588)</f>
        <v>1</v>
      </c>
      <c r="G2588" s="40">
        <f>SUMIFS(mdr_rate_cleaned!$G$2:$G$10,mdr_rate_cleaned!$A$2:$A$10,B2588,mdr_rate_cleaned!$B$2:$B$10,"&lt;"&amp;C2588,mdr_rate_cleaned!$F$2:$F$10,"&gt;="&amp;C2588)</f>
        <v>1.4999999999999999E-2</v>
      </c>
      <c r="H2588" s="24">
        <f t="shared" si="200"/>
        <v>5.24</v>
      </c>
      <c r="I2588" s="23" t="str">
        <f t="shared" si="201"/>
        <v>Match</v>
      </c>
      <c r="J2588" s="23" t="str">
        <f t="shared" si="202"/>
        <v>Match</v>
      </c>
      <c r="K2588" s="24">
        <f t="shared" si="203"/>
        <v>0.94</v>
      </c>
      <c r="L2588" s="24">
        <f t="shared" si="204"/>
        <v>0</v>
      </c>
    </row>
    <row r="2589" spans="1:12" ht="15" customHeight="1" x14ac:dyDescent="0.3">
      <c r="A2589" s="23" t="s">
        <v>15509</v>
      </c>
      <c r="B2589" s="23" t="s">
        <v>81</v>
      </c>
      <c r="C2589" s="39">
        <v>4999</v>
      </c>
      <c r="D2589" s="24">
        <v>59.99</v>
      </c>
      <c r="E2589" s="24">
        <v>10.8</v>
      </c>
      <c r="F2589" s="23">
        <f>COUNTIFS(mdr_rate_cleaned!$A$2:$A$10,B2589,mdr_rate_cleaned!$B$2:$B$10,"&lt;"&amp;C2589,mdr_rate_cleaned!$F$2:$F$10,"&gt;="&amp;C2589)</f>
        <v>1</v>
      </c>
      <c r="G2589" s="40">
        <f>SUMIFS(mdr_rate_cleaned!$G$2:$G$10,mdr_rate_cleaned!$A$2:$A$10,B2589,mdr_rate_cleaned!$B$2:$B$10,"&lt;"&amp;C2589,mdr_rate_cleaned!$F$2:$F$10,"&gt;="&amp;C2589)</f>
        <v>1.2E-2</v>
      </c>
      <c r="H2589" s="24">
        <f t="shared" si="200"/>
        <v>59.99</v>
      </c>
      <c r="I2589" s="23" t="str">
        <f t="shared" si="201"/>
        <v>Match</v>
      </c>
      <c r="J2589" s="23" t="str">
        <f t="shared" si="202"/>
        <v>Match</v>
      </c>
      <c r="K2589" s="24">
        <f t="shared" si="203"/>
        <v>10.8</v>
      </c>
      <c r="L2589" s="24">
        <f t="shared" si="204"/>
        <v>0</v>
      </c>
    </row>
    <row r="2590" spans="1:12" ht="15" customHeight="1" x14ac:dyDescent="0.3">
      <c r="A2590" s="23" t="s">
        <v>15510</v>
      </c>
      <c r="B2590" s="23" t="s">
        <v>75</v>
      </c>
      <c r="C2590" s="39">
        <v>1298</v>
      </c>
      <c r="D2590" s="24">
        <v>0</v>
      </c>
      <c r="E2590" s="24">
        <v>0</v>
      </c>
      <c r="F2590" s="23">
        <f>COUNTIFS(mdr_rate_cleaned!$A$2:$A$10,B2590,mdr_rate_cleaned!$B$2:$B$10,"&lt;"&amp;C2590,mdr_rate_cleaned!$F$2:$F$10,"&gt;="&amp;C2590)</f>
        <v>1</v>
      </c>
      <c r="G2590" s="40">
        <f>SUMIFS(mdr_rate_cleaned!$G$2:$G$10,mdr_rate_cleaned!$A$2:$A$10,B2590,mdr_rate_cleaned!$B$2:$B$10,"&lt;"&amp;C2590,mdr_rate_cleaned!$F$2:$F$10,"&gt;="&amp;C2590)</f>
        <v>0</v>
      </c>
      <c r="H2590" s="24">
        <f t="shared" si="200"/>
        <v>0</v>
      </c>
      <c r="I2590" s="23" t="str">
        <f t="shared" si="201"/>
        <v>Match</v>
      </c>
      <c r="J2590" s="23" t="str">
        <f t="shared" si="202"/>
        <v>Match</v>
      </c>
      <c r="K2590" s="24">
        <f t="shared" si="203"/>
        <v>0</v>
      </c>
      <c r="L2590" s="24">
        <f t="shared" si="204"/>
        <v>0</v>
      </c>
    </row>
    <row r="2591" spans="1:12" ht="15" customHeight="1" x14ac:dyDescent="0.3">
      <c r="A2591" s="23" t="s">
        <v>15511</v>
      </c>
      <c r="B2591" s="23" t="s">
        <v>75</v>
      </c>
      <c r="C2591" s="39">
        <v>3798</v>
      </c>
      <c r="D2591" s="24">
        <v>11.39</v>
      </c>
      <c r="E2591" s="24">
        <v>2.0499999999999998</v>
      </c>
      <c r="F2591" s="23">
        <f>COUNTIFS(mdr_rate_cleaned!$A$2:$A$10,B2591,mdr_rate_cleaned!$B$2:$B$10,"&lt;"&amp;C2591,mdr_rate_cleaned!$F$2:$F$10,"&gt;="&amp;C2591)</f>
        <v>1</v>
      </c>
      <c r="G2591" s="40">
        <f>SUMIFS(mdr_rate_cleaned!$G$2:$G$10,mdr_rate_cleaned!$A$2:$A$10,B2591,mdr_rate_cleaned!$B$2:$B$10,"&lt;"&amp;C2591,mdr_rate_cleaned!$F$2:$F$10,"&gt;="&amp;C2591)</f>
        <v>3.0000000000000001E-3</v>
      </c>
      <c r="H2591" s="24">
        <f t="shared" si="200"/>
        <v>11.39</v>
      </c>
      <c r="I2591" s="23" t="str">
        <f t="shared" si="201"/>
        <v>Match</v>
      </c>
      <c r="J2591" s="23" t="str">
        <f t="shared" si="202"/>
        <v>Match</v>
      </c>
      <c r="K2591" s="24">
        <f t="shared" si="203"/>
        <v>2.0499999999999998</v>
      </c>
      <c r="L2591" s="24">
        <f t="shared" si="204"/>
        <v>0</v>
      </c>
    </row>
    <row r="2592" spans="1:12" ht="15" customHeight="1" x14ac:dyDescent="0.3">
      <c r="A2592" s="23" t="s">
        <v>15512</v>
      </c>
      <c r="B2592" s="23" t="s">
        <v>75</v>
      </c>
      <c r="C2592" s="39">
        <v>7797</v>
      </c>
      <c r="D2592" s="24">
        <v>23.39</v>
      </c>
      <c r="E2592" s="24">
        <v>4.21</v>
      </c>
      <c r="F2592" s="23">
        <f>COUNTIFS(mdr_rate_cleaned!$A$2:$A$10,B2592,mdr_rate_cleaned!$B$2:$B$10,"&lt;"&amp;C2592,mdr_rate_cleaned!$F$2:$F$10,"&gt;="&amp;C2592)</f>
        <v>1</v>
      </c>
      <c r="G2592" s="40">
        <f>SUMIFS(mdr_rate_cleaned!$G$2:$G$10,mdr_rate_cleaned!$A$2:$A$10,B2592,mdr_rate_cleaned!$B$2:$B$10,"&lt;"&amp;C2592,mdr_rate_cleaned!$F$2:$F$10,"&gt;="&amp;C2592)</f>
        <v>3.0000000000000001E-3</v>
      </c>
      <c r="H2592" s="24">
        <f t="shared" si="200"/>
        <v>23.39</v>
      </c>
      <c r="I2592" s="23" t="str">
        <f t="shared" si="201"/>
        <v>Match</v>
      </c>
      <c r="J2592" s="23" t="str">
        <f t="shared" si="202"/>
        <v>Match</v>
      </c>
      <c r="K2592" s="24">
        <f t="shared" si="203"/>
        <v>4.21</v>
      </c>
      <c r="L2592" s="24">
        <f t="shared" si="204"/>
        <v>0</v>
      </c>
    </row>
    <row r="2593" spans="1:12" ht="15" customHeight="1" x14ac:dyDescent="0.3">
      <c r="A2593" s="23" t="s">
        <v>15514</v>
      </c>
      <c r="B2593" s="23" t="s">
        <v>75</v>
      </c>
      <c r="C2593" s="39">
        <v>4797</v>
      </c>
      <c r="D2593" s="24">
        <v>14.39</v>
      </c>
      <c r="E2593" s="24">
        <v>2.59</v>
      </c>
      <c r="F2593" s="23">
        <f>COUNTIFS(mdr_rate_cleaned!$A$2:$A$10,B2593,mdr_rate_cleaned!$B$2:$B$10,"&lt;"&amp;C2593,mdr_rate_cleaned!$F$2:$F$10,"&gt;="&amp;C2593)</f>
        <v>1</v>
      </c>
      <c r="G2593" s="40">
        <f>SUMIFS(mdr_rate_cleaned!$G$2:$G$10,mdr_rate_cleaned!$A$2:$A$10,B2593,mdr_rate_cleaned!$B$2:$B$10,"&lt;"&amp;C2593,mdr_rate_cleaned!$F$2:$F$10,"&gt;="&amp;C2593)</f>
        <v>3.0000000000000001E-3</v>
      </c>
      <c r="H2593" s="24">
        <f t="shared" si="200"/>
        <v>14.39</v>
      </c>
      <c r="I2593" s="23" t="str">
        <f t="shared" si="201"/>
        <v>Match</v>
      </c>
      <c r="J2593" s="23" t="str">
        <f t="shared" si="202"/>
        <v>Match</v>
      </c>
      <c r="K2593" s="24">
        <f t="shared" si="203"/>
        <v>2.59</v>
      </c>
      <c r="L2593" s="24">
        <f t="shared" si="204"/>
        <v>0</v>
      </c>
    </row>
    <row r="2594" spans="1:12" ht="15" customHeight="1" x14ac:dyDescent="0.3">
      <c r="A2594" s="23" t="s">
        <v>15515</v>
      </c>
      <c r="B2594" s="23" t="s">
        <v>79</v>
      </c>
      <c r="C2594" s="39">
        <v>3499</v>
      </c>
      <c r="D2594" s="24">
        <v>55.98</v>
      </c>
      <c r="E2594" s="24">
        <v>10.08</v>
      </c>
      <c r="F2594" s="23">
        <f>COUNTIFS(mdr_rate_cleaned!$A$2:$A$10,B2594,mdr_rate_cleaned!$B$2:$B$10,"&lt;"&amp;C2594,mdr_rate_cleaned!$F$2:$F$10,"&gt;="&amp;C2594)</f>
        <v>1</v>
      </c>
      <c r="G2594" s="40">
        <f>SUMIFS(mdr_rate_cleaned!$G$2:$G$10,mdr_rate_cleaned!$A$2:$A$10,B2594,mdr_rate_cleaned!$B$2:$B$10,"&lt;"&amp;C2594,mdr_rate_cleaned!$F$2:$F$10,"&gt;="&amp;C2594)</f>
        <v>1.6E-2</v>
      </c>
      <c r="H2594" s="24">
        <f t="shared" si="200"/>
        <v>55.98</v>
      </c>
      <c r="I2594" s="23" t="str">
        <f t="shared" si="201"/>
        <v>Match</v>
      </c>
      <c r="J2594" s="23" t="str">
        <f t="shared" si="202"/>
        <v>Match</v>
      </c>
      <c r="K2594" s="24">
        <f t="shared" si="203"/>
        <v>10.08</v>
      </c>
      <c r="L2594" s="24">
        <f t="shared" si="204"/>
        <v>0</v>
      </c>
    </row>
    <row r="2595" spans="1:12" ht="15" customHeight="1" x14ac:dyDescent="0.3">
      <c r="A2595" s="23" t="s">
        <v>15517</v>
      </c>
      <c r="B2595" s="23" t="s">
        <v>77</v>
      </c>
      <c r="C2595" s="39">
        <v>3597</v>
      </c>
      <c r="D2595" s="24">
        <v>61.15</v>
      </c>
      <c r="E2595" s="24">
        <v>11.01</v>
      </c>
      <c r="F2595" s="23">
        <f>COUNTIFS(mdr_rate_cleaned!$A$2:$A$10,B2595,mdr_rate_cleaned!$B$2:$B$10,"&lt;"&amp;C2595,mdr_rate_cleaned!$F$2:$F$10,"&gt;="&amp;C2595)</f>
        <v>1</v>
      </c>
      <c r="G2595" s="40">
        <f>SUMIFS(mdr_rate_cleaned!$G$2:$G$10,mdr_rate_cleaned!$A$2:$A$10,B2595,mdr_rate_cleaned!$B$2:$B$10,"&lt;"&amp;C2595,mdr_rate_cleaned!$F$2:$F$10,"&gt;="&amp;C2595)</f>
        <v>1.7000000000000001E-2</v>
      </c>
      <c r="H2595" s="24">
        <f t="shared" si="200"/>
        <v>61.15</v>
      </c>
      <c r="I2595" s="23" t="str">
        <f t="shared" si="201"/>
        <v>Match</v>
      </c>
      <c r="J2595" s="23" t="str">
        <f t="shared" si="202"/>
        <v>Match</v>
      </c>
      <c r="K2595" s="24">
        <f t="shared" si="203"/>
        <v>11.01</v>
      </c>
      <c r="L2595" s="24">
        <f t="shared" si="204"/>
        <v>0</v>
      </c>
    </row>
    <row r="2596" spans="1:12" ht="15" customHeight="1" x14ac:dyDescent="0.3">
      <c r="A2596" s="23" t="s">
        <v>15518</v>
      </c>
      <c r="B2596" s="23" t="s">
        <v>75</v>
      </c>
      <c r="C2596" s="39">
        <v>1799</v>
      </c>
      <c r="D2596" s="24">
        <v>0</v>
      </c>
      <c r="E2596" s="24">
        <v>0</v>
      </c>
      <c r="F2596" s="23">
        <f>COUNTIFS(mdr_rate_cleaned!$A$2:$A$10,B2596,mdr_rate_cleaned!$B$2:$B$10,"&lt;"&amp;C2596,mdr_rate_cleaned!$F$2:$F$10,"&gt;="&amp;C2596)</f>
        <v>1</v>
      </c>
      <c r="G2596" s="40">
        <f>SUMIFS(mdr_rate_cleaned!$G$2:$G$10,mdr_rate_cleaned!$A$2:$A$10,B2596,mdr_rate_cleaned!$B$2:$B$10,"&lt;"&amp;C2596,mdr_rate_cleaned!$F$2:$F$10,"&gt;="&amp;C2596)</f>
        <v>0</v>
      </c>
      <c r="H2596" s="24">
        <f t="shared" si="200"/>
        <v>0</v>
      </c>
      <c r="I2596" s="23" t="str">
        <f t="shared" si="201"/>
        <v>Match</v>
      </c>
      <c r="J2596" s="23" t="str">
        <f t="shared" si="202"/>
        <v>Match</v>
      </c>
      <c r="K2596" s="24">
        <f t="shared" si="203"/>
        <v>0</v>
      </c>
      <c r="L2596" s="24">
        <f t="shared" si="204"/>
        <v>0</v>
      </c>
    </row>
    <row r="2597" spans="1:12" ht="15" customHeight="1" x14ac:dyDescent="0.3">
      <c r="A2597" s="23" t="s">
        <v>15519</v>
      </c>
      <c r="B2597" s="23" t="s">
        <v>75</v>
      </c>
      <c r="C2597" s="39">
        <v>4098</v>
      </c>
      <c r="D2597" s="24">
        <v>12.29</v>
      </c>
      <c r="E2597" s="24">
        <v>2.21</v>
      </c>
      <c r="F2597" s="23">
        <f>COUNTIFS(mdr_rate_cleaned!$A$2:$A$10,B2597,mdr_rate_cleaned!$B$2:$B$10,"&lt;"&amp;C2597,mdr_rate_cleaned!$F$2:$F$10,"&gt;="&amp;C2597)</f>
        <v>1</v>
      </c>
      <c r="G2597" s="40">
        <f>SUMIFS(mdr_rate_cleaned!$G$2:$G$10,mdr_rate_cleaned!$A$2:$A$10,B2597,mdr_rate_cleaned!$B$2:$B$10,"&lt;"&amp;C2597,mdr_rate_cleaned!$F$2:$F$10,"&gt;="&amp;C2597)</f>
        <v>3.0000000000000001E-3</v>
      </c>
      <c r="H2597" s="24">
        <f t="shared" si="200"/>
        <v>12.29</v>
      </c>
      <c r="I2597" s="23" t="str">
        <f t="shared" si="201"/>
        <v>Match</v>
      </c>
      <c r="J2597" s="23" t="str">
        <f t="shared" si="202"/>
        <v>Match</v>
      </c>
      <c r="K2597" s="24">
        <f t="shared" si="203"/>
        <v>2.21</v>
      </c>
      <c r="L2597" s="24">
        <f t="shared" si="204"/>
        <v>0</v>
      </c>
    </row>
    <row r="2598" spans="1:12" ht="15" customHeight="1" x14ac:dyDescent="0.3">
      <c r="A2598" s="23" t="s">
        <v>15520</v>
      </c>
      <c r="B2598" s="23" t="s">
        <v>75</v>
      </c>
      <c r="C2598" s="39">
        <v>3297</v>
      </c>
      <c r="D2598" s="24">
        <v>9.89</v>
      </c>
      <c r="E2598" s="24">
        <v>1.78</v>
      </c>
      <c r="F2598" s="23">
        <f>COUNTIFS(mdr_rate_cleaned!$A$2:$A$10,B2598,mdr_rate_cleaned!$B$2:$B$10,"&lt;"&amp;C2598,mdr_rate_cleaned!$F$2:$F$10,"&gt;="&amp;C2598)</f>
        <v>1</v>
      </c>
      <c r="G2598" s="40">
        <f>SUMIFS(mdr_rate_cleaned!$G$2:$G$10,mdr_rate_cleaned!$A$2:$A$10,B2598,mdr_rate_cleaned!$B$2:$B$10,"&lt;"&amp;C2598,mdr_rate_cleaned!$F$2:$F$10,"&gt;="&amp;C2598)</f>
        <v>3.0000000000000001E-3</v>
      </c>
      <c r="H2598" s="24">
        <f t="shared" si="200"/>
        <v>9.89</v>
      </c>
      <c r="I2598" s="23" t="str">
        <f t="shared" si="201"/>
        <v>Match</v>
      </c>
      <c r="J2598" s="23" t="str">
        <f t="shared" si="202"/>
        <v>Match</v>
      </c>
      <c r="K2598" s="24">
        <f t="shared" si="203"/>
        <v>1.78</v>
      </c>
      <c r="L2598" s="24">
        <f t="shared" si="204"/>
        <v>0</v>
      </c>
    </row>
    <row r="2599" spans="1:12" ht="15" customHeight="1" x14ac:dyDescent="0.3">
      <c r="A2599" s="23" t="s">
        <v>15521</v>
      </c>
      <c r="B2599" s="23" t="s">
        <v>75</v>
      </c>
      <c r="C2599" s="39">
        <v>3998</v>
      </c>
      <c r="D2599" s="24">
        <v>11.99</v>
      </c>
      <c r="E2599" s="24">
        <v>2.16</v>
      </c>
      <c r="F2599" s="23">
        <f>COUNTIFS(mdr_rate_cleaned!$A$2:$A$10,B2599,mdr_rate_cleaned!$B$2:$B$10,"&lt;"&amp;C2599,mdr_rate_cleaned!$F$2:$F$10,"&gt;="&amp;C2599)</f>
        <v>1</v>
      </c>
      <c r="G2599" s="40">
        <f>SUMIFS(mdr_rate_cleaned!$G$2:$G$10,mdr_rate_cleaned!$A$2:$A$10,B2599,mdr_rate_cleaned!$B$2:$B$10,"&lt;"&amp;C2599,mdr_rate_cleaned!$F$2:$F$10,"&gt;="&amp;C2599)</f>
        <v>3.0000000000000001E-3</v>
      </c>
      <c r="H2599" s="24">
        <f t="shared" si="200"/>
        <v>11.99</v>
      </c>
      <c r="I2599" s="23" t="str">
        <f t="shared" si="201"/>
        <v>Match</v>
      </c>
      <c r="J2599" s="23" t="str">
        <f t="shared" si="202"/>
        <v>Match</v>
      </c>
      <c r="K2599" s="24">
        <f t="shared" si="203"/>
        <v>2.16</v>
      </c>
      <c r="L2599" s="24">
        <f t="shared" si="204"/>
        <v>0</v>
      </c>
    </row>
    <row r="2600" spans="1:12" ht="15" customHeight="1" x14ac:dyDescent="0.3">
      <c r="A2600" s="23" t="s">
        <v>15523</v>
      </c>
      <c r="B2600" s="23" t="s">
        <v>77</v>
      </c>
      <c r="C2600" s="39">
        <v>999</v>
      </c>
      <c r="D2600" s="24">
        <v>18.98</v>
      </c>
      <c r="E2600" s="24">
        <v>3.42</v>
      </c>
      <c r="F2600" s="23">
        <f>COUNTIFS(mdr_rate_cleaned!$A$2:$A$10,B2600,mdr_rate_cleaned!$B$2:$B$10,"&lt;"&amp;C2600,mdr_rate_cleaned!$F$2:$F$10,"&gt;="&amp;C2600)</f>
        <v>1</v>
      </c>
      <c r="G2600" s="40">
        <f>SUMIFS(mdr_rate_cleaned!$G$2:$G$10,mdr_rate_cleaned!$A$2:$A$10,B2600,mdr_rate_cleaned!$B$2:$B$10,"&lt;"&amp;C2600,mdr_rate_cleaned!$F$2:$F$10,"&gt;="&amp;C2600)</f>
        <v>1.9E-2</v>
      </c>
      <c r="H2600" s="24">
        <f t="shared" si="200"/>
        <v>18.98</v>
      </c>
      <c r="I2600" s="23" t="str">
        <f t="shared" si="201"/>
        <v>Match</v>
      </c>
      <c r="J2600" s="23" t="str">
        <f t="shared" si="202"/>
        <v>Match</v>
      </c>
      <c r="K2600" s="24">
        <f t="shared" si="203"/>
        <v>3.42</v>
      </c>
      <c r="L2600" s="24">
        <f t="shared" si="204"/>
        <v>0</v>
      </c>
    </row>
    <row r="2601" spans="1:12" ht="15" customHeight="1" x14ac:dyDescent="0.3">
      <c r="A2601" s="23" t="s">
        <v>15524</v>
      </c>
      <c r="B2601" s="23" t="s">
        <v>75</v>
      </c>
      <c r="C2601" s="39">
        <v>8797</v>
      </c>
      <c r="D2601" s="24">
        <v>26.39</v>
      </c>
      <c r="E2601" s="24">
        <v>4.75</v>
      </c>
      <c r="F2601" s="23">
        <f>COUNTIFS(mdr_rate_cleaned!$A$2:$A$10,B2601,mdr_rate_cleaned!$B$2:$B$10,"&lt;"&amp;C2601,mdr_rate_cleaned!$F$2:$F$10,"&gt;="&amp;C2601)</f>
        <v>1</v>
      </c>
      <c r="G2601" s="40">
        <f>SUMIFS(mdr_rate_cleaned!$G$2:$G$10,mdr_rate_cleaned!$A$2:$A$10,B2601,mdr_rate_cleaned!$B$2:$B$10,"&lt;"&amp;C2601,mdr_rate_cleaned!$F$2:$F$10,"&gt;="&amp;C2601)</f>
        <v>3.0000000000000001E-3</v>
      </c>
      <c r="H2601" s="24">
        <f t="shared" si="200"/>
        <v>26.39</v>
      </c>
      <c r="I2601" s="23" t="str">
        <f t="shared" si="201"/>
        <v>Match</v>
      </c>
      <c r="J2601" s="23" t="str">
        <f t="shared" si="202"/>
        <v>Match</v>
      </c>
      <c r="K2601" s="24">
        <f t="shared" si="203"/>
        <v>4.75</v>
      </c>
      <c r="L2601" s="24">
        <f t="shared" si="204"/>
        <v>0</v>
      </c>
    </row>
    <row r="2602" spans="1:12" ht="15" customHeight="1" x14ac:dyDescent="0.3">
      <c r="A2602" s="23" t="s">
        <v>15534</v>
      </c>
      <c r="B2602" s="23" t="s">
        <v>75</v>
      </c>
      <c r="C2602" s="39">
        <v>9497</v>
      </c>
      <c r="D2602" s="24">
        <v>28.49</v>
      </c>
      <c r="E2602" s="24">
        <v>5.13</v>
      </c>
      <c r="F2602" s="23">
        <f>COUNTIFS(mdr_rate_cleaned!$A$2:$A$10,B2602,mdr_rate_cleaned!$B$2:$B$10,"&lt;"&amp;C2602,mdr_rate_cleaned!$F$2:$F$10,"&gt;="&amp;C2602)</f>
        <v>1</v>
      </c>
      <c r="G2602" s="40">
        <f>SUMIFS(mdr_rate_cleaned!$G$2:$G$10,mdr_rate_cleaned!$A$2:$A$10,B2602,mdr_rate_cleaned!$B$2:$B$10,"&lt;"&amp;C2602,mdr_rate_cleaned!$F$2:$F$10,"&gt;="&amp;C2602)</f>
        <v>3.0000000000000001E-3</v>
      </c>
      <c r="H2602" s="24">
        <f t="shared" si="200"/>
        <v>28.49</v>
      </c>
      <c r="I2602" s="23" t="str">
        <f t="shared" si="201"/>
        <v>Match</v>
      </c>
      <c r="J2602" s="23" t="str">
        <f t="shared" si="202"/>
        <v>Match</v>
      </c>
      <c r="K2602" s="24">
        <f t="shared" si="203"/>
        <v>5.13</v>
      </c>
      <c r="L2602" s="24">
        <f t="shared" si="204"/>
        <v>0</v>
      </c>
    </row>
    <row r="2603" spans="1:12" ht="15" customHeight="1" x14ac:dyDescent="0.3">
      <c r="A2603" s="23" t="s">
        <v>15535</v>
      </c>
      <c r="B2603" s="23" t="s">
        <v>75</v>
      </c>
      <c r="C2603" s="39">
        <v>599</v>
      </c>
      <c r="D2603" s="24">
        <v>0</v>
      </c>
      <c r="E2603" s="24">
        <v>0</v>
      </c>
      <c r="F2603" s="23">
        <f>COUNTIFS(mdr_rate_cleaned!$A$2:$A$10,B2603,mdr_rate_cleaned!$B$2:$B$10,"&lt;"&amp;C2603,mdr_rate_cleaned!$F$2:$F$10,"&gt;="&amp;C2603)</f>
        <v>1</v>
      </c>
      <c r="G2603" s="40">
        <f>SUMIFS(mdr_rate_cleaned!$G$2:$G$10,mdr_rate_cleaned!$A$2:$A$10,B2603,mdr_rate_cleaned!$B$2:$B$10,"&lt;"&amp;C2603,mdr_rate_cleaned!$F$2:$F$10,"&gt;="&amp;C2603)</f>
        <v>0</v>
      </c>
      <c r="H2603" s="24">
        <f t="shared" si="200"/>
        <v>0</v>
      </c>
      <c r="I2603" s="23" t="str">
        <f t="shared" si="201"/>
        <v>Match</v>
      </c>
      <c r="J2603" s="23" t="str">
        <f t="shared" si="202"/>
        <v>Match</v>
      </c>
      <c r="K2603" s="24">
        <f t="shared" si="203"/>
        <v>0</v>
      </c>
      <c r="L2603" s="24">
        <f t="shared" si="204"/>
        <v>0</v>
      </c>
    </row>
    <row r="2604" spans="1:12" ht="15" customHeight="1" x14ac:dyDescent="0.3">
      <c r="A2604" s="23" t="s">
        <v>15536</v>
      </c>
      <c r="B2604" s="23" t="s">
        <v>75</v>
      </c>
      <c r="C2604" s="39">
        <v>10297</v>
      </c>
      <c r="D2604" s="24">
        <v>30.89</v>
      </c>
      <c r="E2604" s="24">
        <v>5.56</v>
      </c>
      <c r="F2604" s="23">
        <f>COUNTIFS(mdr_rate_cleaned!$A$2:$A$10,B2604,mdr_rate_cleaned!$B$2:$B$10,"&lt;"&amp;C2604,mdr_rate_cleaned!$F$2:$F$10,"&gt;="&amp;C2604)</f>
        <v>1</v>
      </c>
      <c r="G2604" s="40">
        <f>SUMIFS(mdr_rate_cleaned!$G$2:$G$10,mdr_rate_cleaned!$A$2:$A$10,B2604,mdr_rate_cleaned!$B$2:$B$10,"&lt;"&amp;C2604,mdr_rate_cleaned!$F$2:$F$10,"&gt;="&amp;C2604)</f>
        <v>3.0000000000000001E-3</v>
      </c>
      <c r="H2604" s="24">
        <f t="shared" si="200"/>
        <v>30.89</v>
      </c>
      <c r="I2604" s="23" t="str">
        <f t="shared" si="201"/>
        <v>Match</v>
      </c>
      <c r="J2604" s="23" t="str">
        <f t="shared" si="202"/>
        <v>Match</v>
      </c>
      <c r="K2604" s="24">
        <f t="shared" si="203"/>
        <v>5.56</v>
      </c>
      <c r="L2604" s="24">
        <f t="shared" si="204"/>
        <v>0</v>
      </c>
    </row>
    <row r="2605" spans="1:12" ht="15" customHeight="1" x14ac:dyDescent="0.3">
      <c r="A2605" s="23" t="s">
        <v>15537</v>
      </c>
      <c r="B2605" s="23" t="s">
        <v>75</v>
      </c>
      <c r="C2605" s="39">
        <v>2848</v>
      </c>
      <c r="D2605" s="24">
        <v>8.5399999999999991</v>
      </c>
      <c r="E2605" s="24">
        <v>1.54</v>
      </c>
      <c r="F2605" s="23">
        <f>COUNTIFS(mdr_rate_cleaned!$A$2:$A$10,B2605,mdr_rate_cleaned!$B$2:$B$10,"&lt;"&amp;C2605,mdr_rate_cleaned!$F$2:$F$10,"&gt;="&amp;C2605)</f>
        <v>1</v>
      </c>
      <c r="G2605" s="40">
        <f>SUMIFS(mdr_rate_cleaned!$G$2:$G$10,mdr_rate_cleaned!$A$2:$A$10,B2605,mdr_rate_cleaned!$B$2:$B$10,"&lt;"&amp;C2605,mdr_rate_cleaned!$F$2:$F$10,"&gt;="&amp;C2605)</f>
        <v>3.0000000000000001E-3</v>
      </c>
      <c r="H2605" s="24">
        <f t="shared" si="200"/>
        <v>8.5399999999999991</v>
      </c>
      <c r="I2605" s="23" t="str">
        <f t="shared" si="201"/>
        <v>Match</v>
      </c>
      <c r="J2605" s="23" t="str">
        <f t="shared" si="202"/>
        <v>Match</v>
      </c>
      <c r="K2605" s="24">
        <f t="shared" si="203"/>
        <v>1.54</v>
      </c>
      <c r="L2605" s="24">
        <f t="shared" si="204"/>
        <v>0</v>
      </c>
    </row>
    <row r="2606" spans="1:12" ht="15" customHeight="1" x14ac:dyDescent="0.3">
      <c r="A2606" s="23" t="s">
        <v>15538</v>
      </c>
      <c r="B2606" s="23" t="s">
        <v>75</v>
      </c>
      <c r="C2606" s="39">
        <v>5498</v>
      </c>
      <c r="D2606" s="24">
        <v>16.489999999999998</v>
      </c>
      <c r="E2606" s="24">
        <v>2.97</v>
      </c>
      <c r="F2606" s="23">
        <f>COUNTIFS(mdr_rate_cleaned!$A$2:$A$10,B2606,mdr_rate_cleaned!$B$2:$B$10,"&lt;"&amp;C2606,mdr_rate_cleaned!$F$2:$F$10,"&gt;="&amp;C2606)</f>
        <v>1</v>
      </c>
      <c r="G2606" s="40">
        <f>SUMIFS(mdr_rate_cleaned!$G$2:$G$10,mdr_rate_cleaned!$A$2:$A$10,B2606,mdr_rate_cleaned!$B$2:$B$10,"&lt;"&amp;C2606,mdr_rate_cleaned!$F$2:$F$10,"&gt;="&amp;C2606)</f>
        <v>3.0000000000000001E-3</v>
      </c>
      <c r="H2606" s="24">
        <f t="shared" si="200"/>
        <v>16.489999999999998</v>
      </c>
      <c r="I2606" s="23" t="str">
        <f t="shared" si="201"/>
        <v>Match</v>
      </c>
      <c r="J2606" s="23" t="str">
        <f t="shared" si="202"/>
        <v>Match</v>
      </c>
      <c r="K2606" s="24">
        <f t="shared" si="203"/>
        <v>2.97</v>
      </c>
      <c r="L2606" s="24">
        <f t="shared" si="204"/>
        <v>0</v>
      </c>
    </row>
    <row r="2607" spans="1:12" ht="15" customHeight="1" x14ac:dyDescent="0.3">
      <c r="A2607" s="23" t="s">
        <v>15539</v>
      </c>
      <c r="B2607" s="23" t="s">
        <v>75</v>
      </c>
      <c r="C2607" s="39">
        <v>4797</v>
      </c>
      <c r="D2607" s="24">
        <v>14.39</v>
      </c>
      <c r="E2607" s="24">
        <v>2.59</v>
      </c>
      <c r="F2607" s="23">
        <f>COUNTIFS(mdr_rate_cleaned!$A$2:$A$10,B2607,mdr_rate_cleaned!$B$2:$B$10,"&lt;"&amp;C2607,mdr_rate_cleaned!$F$2:$F$10,"&gt;="&amp;C2607)</f>
        <v>1</v>
      </c>
      <c r="G2607" s="40">
        <f>SUMIFS(mdr_rate_cleaned!$G$2:$G$10,mdr_rate_cleaned!$A$2:$A$10,B2607,mdr_rate_cleaned!$B$2:$B$10,"&lt;"&amp;C2607,mdr_rate_cleaned!$F$2:$F$10,"&gt;="&amp;C2607)</f>
        <v>3.0000000000000001E-3</v>
      </c>
      <c r="H2607" s="24">
        <f t="shared" si="200"/>
        <v>14.39</v>
      </c>
      <c r="I2607" s="23" t="str">
        <f t="shared" si="201"/>
        <v>Match</v>
      </c>
      <c r="J2607" s="23" t="str">
        <f t="shared" si="202"/>
        <v>Match</v>
      </c>
      <c r="K2607" s="24">
        <f t="shared" si="203"/>
        <v>2.59</v>
      </c>
      <c r="L2607" s="24">
        <f t="shared" si="204"/>
        <v>0</v>
      </c>
    </row>
    <row r="2608" spans="1:12" ht="15" customHeight="1" x14ac:dyDescent="0.3">
      <c r="A2608" s="23" t="s">
        <v>15541</v>
      </c>
      <c r="B2608" s="23" t="s">
        <v>79</v>
      </c>
      <c r="C2608" s="39">
        <v>1499</v>
      </c>
      <c r="D2608" s="24">
        <v>26.98</v>
      </c>
      <c r="E2608" s="24">
        <v>4.8600000000000003</v>
      </c>
      <c r="F2608" s="23">
        <f>COUNTIFS(mdr_rate_cleaned!$A$2:$A$10,B2608,mdr_rate_cleaned!$B$2:$B$10,"&lt;"&amp;C2608,mdr_rate_cleaned!$F$2:$F$10,"&gt;="&amp;C2608)</f>
        <v>1</v>
      </c>
      <c r="G2608" s="40">
        <f>SUMIFS(mdr_rate_cleaned!$G$2:$G$10,mdr_rate_cleaned!$A$2:$A$10,B2608,mdr_rate_cleaned!$B$2:$B$10,"&lt;"&amp;C2608,mdr_rate_cleaned!$F$2:$F$10,"&gt;="&amp;C2608)</f>
        <v>1.8000000000000002E-2</v>
      </c>
      <c r="H2608" s="24">
        <f t="shared" si="200"/>
        <v>26.98</v>
      </c>
      <c r="I2608" s="23" t="str">
        <f t="shared" si="201"/>
        <v>Match</v>
      </c>
      <c r="J2608" s="23" t="str">
        <f t="shared" si="202"/>
        <v>Match</v>
      </c>
      <c r="K2608" s="24">
        <f t="shared" si="203"/>
        <v>4.8600000000000003</v>
      </c>
      <c r="L2608" s="24">
        <f t="shared" si="204"/>
        <v>0</v>
      </c>
    </row>
    <row r="2609" spans="1:12" ht="15" customHeight="1" x14ac:dyDescent="0.3">
      <c r="A2609" s="23" t="s">
        <v>15542</v>
      </c>
      <c r="B2609" s="23" t="s">
        <v>75</v>
      </c>
      <c r="C2609" s="39">
        <v>999</v>
      </c>
      <c r="D2609" s="24">
        <v>0</v>
      </c>
      <c r="E2609" s="24">
        <v>0</v>
      </c>
      <c r="F2609" s="23">
        <f>COUNTIFS(mdr_rate_cleaned!$A$2:$A$10,B2609,mdr_rate_cleaned!$B$2:$B$10,"&lt;"&amp;C2609,mdr_rate_cleaned!$F$2:$F$10,"&gt;="&amp;C2609)</f>
        <v>1</v>
      </c>
      <c r="G2609" s="40">
        <f>SUMIFS(mdr_rate_cleaned!$G$2:$G$10,mdr_rate_cleaned!$A$2:$A$10,B2609,mdr_rate_cleaned!$B$2:$B$10,"&lt;"&amp;C2609,mdr_rate_cleaned!$F$2:$F$10,"&gt;="&amp;C2609)</f>
        <v>0</v>
      </c>
      <c r="H2609" s="24">
        <f t="shared" si="200"/>
        <v>0</v>
      </c>
      <c r="I2609" s="23" t="str">
        <f t="shared" si="201"/>
        <v>Match</v>
      </c>
      <c r="J2609" s="23" t="str">
        <f t="shared" si="202"/>
        <v>Match</v>
      </c>
      <c r="K2609" s="24">
        <f t="shared" si="203"/>
        <v>0</v>
      </c>
      <c r="L2609" s="24">
        <f t="shared" si="204"/>
        <v>0</v>
      </c>
    </row>
    <row r="2610" spans="1:12" ht="15" customHeight="1" x14ac:dyDescent="0.3">
      <c r="A2610" s="23" t="s">
        <v>15543</v>
      </c>
      <c r="B2610" s="23" t="s">
        <v>75</v>
      </c>
      <c r="C2610" s="39">
        <v>1799</v>
      </c>
      <c r="D2610" s="24">
        <v>0</v>
      </c>
      <c r="E2610" s="24">
        <v>0</v>
      </c>
      <c r="F2610" s="23">
        <f>COUNTIFS(mdr_rate_cleaned!$A$2:$A$10,B2610,mdr_rate_cleaned!$B$2:$B$10,"&lt;"&amp;C2610,mdr_rate_cleaned!$F$2:$F$10,"&gt;="&amp;C2610)</f>
        <v>1</v>
      </c>
      <c r="G2610" s="40">
        <f>SUMIFS(mdr_rate_cleaned!$G$2:$G$10,mdr_rate_cleaned!$A$2:$A$10,B2610,mdr_rate_cleaned!$B$2:$B$10,"&lt;"&amp;C2610,mdr_rate_cleaned!$F$2:$F$10,"&gt;="&amp;C2610)</f>
        <v>0</v>
      </c>
      <c r="H2610" s="24">
        <f t="shared" si="200"/>
        <v>0</v>
      </c>
      <c r="I2610" s="23" t="str">
        <f t="shared" si="201"/>
        <v>Match</v>
      </c>
      <c r="J2610" s="23" t="str">
        <f t="shared" si="202"/>
        <v>Match</v>
      </c>
      <c r="K2610" s="24">
        <f t="shared" si="203"/>
        <v>0</v>
      </c>
      <c r="L2610" s="24">
        <f t="shared" si="204"/>
        <v>0</v>
      </c>
    </row>
    <row r="2611" spans="1:12" ht="15" customHeight="1" x14ac:dyDescent="0.3">
      <c r="A2611" s="23" t="s">
        <v>15545</v>
      </c>
      <c r="B2611" s="23" t="s">
        <v>79</v>
      </c>
      <c r="C2611" s="39">
        <v>3798</v>
      </c>
      <c r="D2611" s="24">
        <v>60.77</v>
      </c>
      <c r="E2611" s="24">
        <v>10.94</v>
      </c>
      <c r="F2611" s="23">
        <f>COUNTIFS(mdr_rate_cleaned!$A$2:$A$10,B2611,mdr_rate_cleaned!$B$2:$B$10,"&lt;"&amp;C2611,mdr_rate_cleaned!$F$2:$F$10,"&gt;="&amp;C2611)</f>
        <v>1</v>
      </c>
      <c r="G2611" s="40">
        <f>SUMIFS(mdr_rate_cleaned!$G$2:$G$10,mdr_rate_cleaned!$A$2:$A$10,B2611,mdr_rate_cleaned!$B$2:$B$10,"&lt;"&amp;C2611,mdr_rate_cleaned!$F$2:$F$10,"&gt;="&amp;C2611)</f>
        <v>1.6E-2</v>
      </c>
      <c r="H2611" s="24">
        <f t="shared" si="200"/>
        <v>60.77</v>
      </c>
      <c r="I2611" s="23" t="str">
        <f t="shared" si="201"/>
        <v>Match</v>
      </c>
      <c r="J2611" s="23" t="str">
        <f t="shared" si="202"/>
        <v>Match</v>
      </c>
      <c r="K2611" s="24">
        <f t="shared" si="203"/>
        <v>10.94</v>
      </c>
      <c r="L2611" s="24">
        <f t="shared" si="204"/>
        <v>0</v>
      </c>
    </row>
    <row r="2612" spans="1:12" ht="15" customHeight="1" x14ac:dyDescent="0.3">
      <c r="A2612" s="23" t="s">
        <v>15546</v>
      </c>
      <c r="B2612" s="23" t="s">
        <v>75</v>
      </c>
      <c r="C2612" s="39">
        <v>4798</v>
      </c>
      <c r="D2612" s="24">
        <v>14.39</v>
      </c>
      <c r="E2612" s="24">
        <v>2.59</v>
      </c>
      <c r="F2612" s="23">
        <f>COUNTIFS(mdr_rate_cleaned!$A$2:$A$10,B2612,mdr_rate_cleaned!$B$2:$B$10,"&lt;"&amp;C2612,mdr_rate_cleaned!$F$2:$F$10,"&gt;="&amp;C2612)</f>
        <v>1</v>
      </c>
      <c r="G2612" s="40">
        <f>SUMIFS(mdr_rate_cleaned!$G$2:$G$10,mdr_rate_cleaned!$A$2:$A$10,B2612,mdr_rate_cleaned!$B$2:$B$10,"&lt;"&amp;C2612,mdr_rate_cleaned!$F$2:$F$10,"&gt;="&amp;C2612)</f>
        <v>3.0000000000000001E-3</v>
      </c>
      <c r="H2612" s="24">
        <f t="shared" si="200"/>
        <v>14.39</v>
      </c>
      <c r="I2612" s="23" t="str">
        <f t="shared" si="201"/>
        <v>Match</v>
      </c>
      <c r="J2612" s="23" t="str">
        <f t="shared" si="202"/>
        <v>Match</v>
      </c>
      <c r="K2612" s="24">
        <f t="shared" si="203"/>
        <v>2.59</v>
      </c>
      <c r="L2612" s="24">
        <f t="shared" si="204"/>
        <v>0</v>
      </c>
    </row>
    <row r="2613" spans="1:12" ht="15" customHeight="1" x14ac:dyDescent="0.3">
      <c r="A2613" s="23" t="s">
        <v>15547</v>
      </c>
      <c r="B2613" s="23" t="s">
        <v>81</v>
      </c>
      <c r="C2613" s="39">
        <v>4798</v>
      </c>
      <c r="D2613" s="24">
        <v>57.58</v>
      </c>
      <c r="E2613" s="24">
        <v>10.36</v>
      </c>
      <c r="F2613" s="23">
        <f>COUNTIFS(mdr_rate_cleaned!$A$2:$A$10,B2613,mdr_rate_cleaned!$B$2:$B$10,"&lt;"&amp;C2613,mdr_rate_cleaned!$F$2:$F$10,"&gt;="&amp;C2613)</f>
        <v>1</v>
      </c>
      <c r="G2613" s="40">
        <f>SUMIFS(mdr_rate_cleaned!$G$2:$G$10,mdr_rate_cleaned!$A$2:$A$10,B2613,mdr_rate_cleaned!$B$2:$B$10,"&lt;"&amp;C2613,mdr_rate_cleaned!$F$2:$F$10,"&gt;="&amp;C2613)</f>
        <v>1.2E-2</v>
      </c>
      <c r="H2613" s="24">
        <f t="shared" si="200"/>
        <v>57.58</v>
      </c>
      <c r="I2613" s="23" t="str">
        <f t="shared" si="201"/>
        <v>Match</v>
      </c>
      <c r="J2613" s="23" t="str">
        <f t="shared" si="202"/>
        <v>Match</v>
      </c>
      <c r="K2613" s="24">
        <f t="shared" si="203"/>
        <v>10.36</v>
      </c>
      <c r="L2613" s="24">
        <f t="shared" si="204"/>
        <v>0</v>
      </c>
    </row>
    <row r="2614" spans="1:12" ht="15" customHeight="1" x14ac:dyDescent="0.3">
      <c r="A2614" s="23" t="s">
        <v>15548</v>
      </c>
      <c r="B2614" s="23" t="s">
        <v>75</v>
      </c>
      <c r="C2614" s="39">
        <v>799</v>
      </c>
      <c r="D2614" s="24">
        <v>0</v>
      </c>
      <c r="E2614" s="24">
        <v>0</v>
      </c>
      <c r="F2614" s="23">
        <f>COUNTIFS(mdr_rate_cleaned!$A$2:$A$10,B2614,mdr_rate_cleaned!$B$2:$B$10,"&lt;"&amp;C2614,mdr_rate_cleaned!$F$2:$F$10,"&gt;="&amp;C2614)</f>
        <v>1</v>
      </c>
      <c r="G2614" s="40">
        <f>SUMIFS(mdr_rate_cleaned!$G$2:$G$10,mdr_rate_cleaned!$A$2:$A$10,B2614,mdr_rate_cleaned!$B$2:$B$10,"&lt;"&amp;C2614,mdr_rate_cleaned!$F$2:$F$10,"&gt;="&amp;C2614)</f>
        <v>0</v>
      </c>
      <c r="H2614" s="24">
        <f t="shared" si="200"/>
        <v>0</v>
      </c>
      <c r="I2614" s="23" t="str">
        <f t="shared" si="201"/>
        <v>Match</v>
      </c>
      <c r="J2614" s="23" t="str">
        <f t="shared" si="202"/>
        <v>Match</v>
      </c>
      <c r="K2614" s="24">
        <f t="shared" si="203"/>
        <v>0</v>
      </c>
      <c r="L2614" s="24">
        <f t="shared" si="204"/>
        <v>0</v>
      </c>
    </row>
    <row r="2615" spans="1:12" ht="15" customHeight="1" x14ac:dyDescent="0.3">
      <c r="A2615" s="23" t="s">
        <v>15549</v>
      </c>
      <c r="B2615" s="23" t="s">
        <v>79</v>
      </c>
      <c r="C2615" s="39">
        <v>8798</v>
      </c>
      <c r="D2615" s="24">
        <v>140.77000000000001</v>
      </c>
      <c r="E2615" s="24">
        <v>25.34</v>
      </c>
      <c r="F2615" s="23">
        <f>COUNTIFS(mdr_rate_cleaned!$A$2:$A$10,B2615,mdr_rate_cleaned!$B$2:$B$10,"&lt;"&amp;C2615,mdr_rate_cleaned!$F$2:$F$10,"&gt;="&amp;C2615)</f>
        <v>1</v>
      </c>
      <c r="G2615" s="40">
        <f>SUMIFS(mdr_rate_cleaned!$G$2:$G$10,mdr_rate_cleaned!$A$2:$A$10,B2615,mdr_rate_cleaned!$B$2:$B$10,"&lt;"&amp;C2615,mdr_rate_cleaned!$F$2:$F$10,"&gt;="&amp;C2615)</f>
        <v>1.6E-2</v>
      </c>
      <c r="H2615" s="24">
        <f t="shared" si="200"/>
        <v>140.77000000000001</v>
      </c>
      <c r="I2615" s="23" t="str">
        <f t="shared" si="201"/>
        <v>Match</v>
      </c>
      <c r="J2615" s="23" t="str">
        <f t="shared" si="202"/>
        <v>Match</v>
      </c>
      <c r="K2615" s="24">
        <f t="shared" si="203"/>
        <v>25.34</v>
      </c>
      <c r="L2615" s="24">
        <f t="shared" si="204"/>
        <v>0</v>
      </c>
    </row>
    <row r="2616" spans="1:12" ht="15" customHeight="1" x14ac:dyDescent="0.3">
      <c r="A2616" s="23" t="s">
        <v>15550</v>
      </c>
      <c r="B2616" s="23" t="s">
        <v>75</v>
      </c>
      <c r="C2616" s="39">
        <v>299</v>
      </c>
      <c r="D2616" s="24">
        <v>0</v>
      </c>
      <c r="E2616" s="24">
        <v>0</v>
      </c>
      <c r="F2616" s="23">
        <f>COUNTIFS(mdr_rate_cleaned!$A$2:$A$10,B2616,mdr_rate_cleaned!$B$2:$B$10,"&lt;"&amp;C2616,mdr_rate_cleaned!$F$2:$F$10,"&gt;="&amp;C2616)</f>
        <v>1</v>
      </c>
      <c r="G2616" s="40">
        <f>SUMIFS(mdr_rate_cleaned!$G$2:$G$10,mdr_rate_cleaned!$A$2:$A$10,B2616,mdr_rate_cleaned!$B$2:$B$10,"&lt;"&amp;C2616,mdr_rate_cleaned!$F$2:$F$10,"&gt;="&amp;C2616)</f>
        <v>0</v>
      </c>
      <c r="H2616" s="24">
        <f t="shared" si="200"/>
        <v>0</v>
      </c>
      <c r="I2616" s="23" t="str">
        <f t="shared" si="201"/>
        <v>Match</v>
      </c>
      <c r="J2616" s="23" t="str">
        <f t="shared" si="202"/>
        <v>Match</v>
      </c>
      <c r="K2616" s="24">
        <f t="shared" si="203"/>
        <v>0</v>
      </c>
      <c r="L2616" s="24">
        <f t="shared" si="204"/>
        <v>0</v>
      </c>
    </row>
    <row r="2617" spans="1:12" ht="15" customHeight="1" x14ac:dyDescent="0.3">
      <c r="A2617" s="23" t="s">
        <v>15552</v>
      </c>
      <c r="B2617" s="23" t="s">
        <v>75</v>
      </c>
      <c r="C2617" s="39">
        <v>599</v>
      </c>
      <c r="D2617" s="24">
        <v>0</v>
      </c>
      <c r="E2617" s="24">
        <v>0</v>
      </c>
      <c r="F2617" s="23">
        <f>COUNTIFS(mdr_rate_cleaned!$A$2:$A$10,B2617,mdr_rate_cleaned!$B$2:$B$10,"&lt;"&amp;C2617,mdr_rate_cleaned!$F$2:$F$10,"&gt;="&amp;C2617)</f>
        <v>1</v>
      </c>
      <c r="G2617" s="40">
        <f>SUMIFS(mdr_rate_cleaned!$G$2:$G$10,mdr_rate_cleaned!$A$2:$A$10,B2617,mdr_rate_cleaned!$B$2:$B$10,"&lt;"&amp;C2617,mdr_rate_cleaned!$F$2:$F$10,"&gt;="&amp;C2617)</f>
        <v>0</v>
      </c>
      <c r="H2617" s="24">
        <f t="shared" si="200"/>
        <v>0</v>
      </c>
      <c r="I2617" s="23" t="str">
        <f t="shared" si="201"/>
        <v>Match</v>
      </c>
      <c r="J2617" s="23" t="str">
        <f t="shared" si="202"/>
        <v>Match</v>
      </c>
      <c r="K2617" s="24">
        <f t="shared" si="203"/>
        <v>0</v>
      </c>
      <c r="L2617" s="24">
        <f t="shared" si="204"/>
        <v>0</v>
      </c>
    </row>
    <row r="2618" spans="1:12" ht="15" customHeight="1" x14ac:dyDescent="0.3">
      <c r="A2618" s="23" t="s">
        <v>15554</v>
      </c>
      <c r="B2618" s="23" t="s">
        <v>75</v>
      </c>
      <c r="C2618" s="39">
        <v>499</v>
      </c>
      <c r="D2618" s="24">
        <v>0</v>
      </c>
      <c r="E2618" s="24">
        <v>0</v>
      </c>
      <c r="F2618" s="23">
        <f>COUNTIFS(mdr_rate_cleaned!$A$2:$A$10,B2618,mdr_rate_cleaned!$B$2:$B$10,"&lt;"&amp;C2618,mdr_rate_cleaned!$F$2:$F$10,"&gt;="&amp;C2618)</f>
        <v>1</v>
      </c>
      <c r="G2618" s="40">
        <f>SUMIFS(mdr_rate_cleaned!$G$2:$G$10,mdr_rate_cleaned!$A$2:$A$10,B2618,mdr_rate_cleaned!$B$2:$B$10,"&lt;"&amp;C2618,mdr_rate_cleaned!$F$2:$F$10,"&gt;="&amp;C2618)</f>
        <v>0</v>
      </c>
      <c r="H2618" s="24">
        <f t="shared" si="200"/>
        <v>0</v>
      </c>
      <c r="I2618" s="23" t="str">
        <f t="shared" si="201"/>
        <v>Match</v>
      </c>
      <c r="J2618" s="23" t="str">
        <f t="shared" si="202"/>
        <v>Match</v>
      </c>
      <c r="K2618" s="24">
        <f t="shared" si="203"/>
        <v>0</v>
      </c>
      <c r="L2618" s="24">
        <f t="shared" si="204"/>
        <v>0</v>
      </c>
    </row>
    <row r="2619" spans="1:12" ht="15" customHeight="1" x14ac:dyDescent="0.3">
      <c r="A2619" s="23" t="s">
        <v>15555</v>
      </c>
      <c r="B2619" s="23" t="s">
        <v>79</v>
      </c>
      <c r="C2619" s="39">
        <v>4498</v>
      </c>
      <c r="D2619" s="24">
        <v>71.97</v>
      </c>
      <c r="E2619" s="24">
        <v>12.95</v>
      </c>
      <c r="F2619" s="23">
        <f>COUNTIFS(mdr_rate_cleaned!$A$2:$A$10,B2619,mdr_rate_cleaned!$B$2:$B$10,"&lt;"&amp;C2619,mdr_rate_cleaned!$F$2:$F$10,"&gt;="&amp;C2619)</f>
        <v>1</v>
      </c>
      <c r="G2619" s="40">
        <f>SUMIFS(mdr_rate_cleaned!$G$2:$G$10,mdr_rate_cleaned!$A$2:$A$10,B2619,mdr_rate_cleaned!$B$2:$B$10,"&lt;"&amp;C2619,mdr_rate_cleaned!$F$2:$F$10,"&gt;="&amp;C2619)</f>
        <v>1.6E-2</v>
      </c>
      <c r="H2619" s="24">
        <f t="shared" si="200"/>
        <v>71.97</v>
      </c>
      <c r="I2619" s="23" t="str">
        <f t="shared" si="201"/>
        <v>Match</v>
      </c>
      <c r="J2619" s="23" t="str">
        <f t="shared" si="202"/>
        <v>Match</v>
      </c>
      <c r="K2619" s="24">
        <f t="shared" si="203"/>
        <v>12.95</v>
      </c>
      <c r="L2619" s="24">
        <f t="shared" si="204"/>
        <v>0</v>
      </c>
    </row>
    <row r="2620" spans="1:12" ht="15" customHeight="1" x14ac:dyDescent="0.3">
      <c r="A2620" s="23" t="s">
        <v>15556</v>
      </c>
      <c r="B2620" s="23" t="s">
        <v>79</v>
      </c>
      <c r="C2620" s="39">
        <v>1799</v>
      </c>
      <c r="D2620" s="24">
        <v>32.380000000000003</v>
      </c>
      <c r="E2620" s="24">
        <v>5.83</v>
      </c>
      <c r="F2620" s="23">
        <f>COUNTIFS(mdr_rate_cleaned!$A$2:$A$10,B2620,mdr_rate_cleaned!$B$2:$B$10,"&lt;"&amp;C2620,mdr_rate_cleaned!$F$2:$F$10,"&gt;="&amp;C2620)</f>
        <v>1</v>
      </c>
      <c r="G2620" s="40">
        <f>SUMIFS(mdr_rate_cleaned!$G$2:$G$10,mdr_rate_cleaned!$A$2:$A$10,B2620,mdr_rate_cleaned!$B$2:$B$10,"&lt;"&amp;C2620,mdr_rate_cleaned!$F$2:$F$10,"&gt;="&amp;C2620)</f>
        <v>1.8000000000000002E-2</v>
      </c>
      <c r="H2620" s="24">
        <f t="shared" si="200"/>
        <v>32.380000000000003</v>
      </c>
      <c r="I2620" s="23" t="str">
        <f t="shared" si="201"/>
        <v>Match</v>
      </c>
      <c r="J2620" s="23" t="str">
        <f t="shared" si="202"/>
        <v>Match</v>
      </c>
      <c r="K2620" s="24">
        <f t="shared" si="203"/>
        <v>5.83</v>
      </c>
      <c r="L2620" s="24">
        <f t="shared" si="204"/>
        <v>0</v>
      </c>
    </row>
    <row r="2621" spans="1:12" ht="15" customHeight="1" x14ac:dyDescent="0.3">
      <c r="A2621" s="23" t="s">
        <v>15557</v>
      </c>
      <c r="B2621" s="23" t="s">
        <v>75</v>
      </c>
      <c r="C2621" s="39">
        <v>4999</v>
      </c>
      <c r="D2621" s="24">
        <v>15</v>
      </c>
      <c r="E2621" s="24">
        <v>2.7</v>
      </c>
      <c r="F2621" s="23">
        <f>COUNTIFS(mdr_rate_cleaned!$A$2:$A$10,B2621,mdr_rate_cleaned!$B$2:$B$10,"&lt;"&amp;C2621,mdr_rate_cleaned!$F$2:$F$10,"&gt;="&amp;C2621)</f>
        <v>1</v>
      </c>
      <c r="G2621" s="40">
        <f>SUMIFS(mdr_rate_cleaned!$G$2:$G$10,mdr_rate_cleaned!$A$2:$A$10,B2621,mdr_rate_cleaned!$B$2:$B$10,"&lt;"&amp;C2621,mdr_rate_cleaned!$F$2:$F$10,"&gt;="&amp;C2621)</f>
        <v>3.0000000000000001E-3</v>
      </c>
      <c r="H2621" s="24">
        <f t="shared" si="200"/>
        <v>15</v>
      </c>
      <c r="I2621" s="23" t="str">
        <f t="shared" si="201"/>
        <v>Match</v>
      </c>
      <c r="J2621" s="23" t="str">
        <f t="shared" si="202"/>
        <v>Match</v>
      </c>
      <c r="K2621" s="24">
        <f t="shared" si="203"/>
        <v>2.7</v>
      </c>
      <c r="L2621" s="24">
        <f t="shared" si="204"/>
        <v>0</v>
      </c>
    </row>
    <row r="2622" spans="1:12" ht="15" customHeight="1" x14ac:dyDescent="0.3">
      <c r="A2622" s="23" t="s">
        <v>15558</v>
      </c>
      <c r="B2622" s="23" t="s">
        <v>81</v>
      </c>
      <c r="C2622" s="39">
        <v>7999</v>
      </c>
      <c r="D2622" s="24">
        <v>95.99</v>
      </c>
      <c r="E2622" s="24">
        <v>17.28</v>
      </c>
      <c r="F2622" s="23">
        <f>COUNTIFS(mdr_rate_cleaned!$A$2:$A$10,B2622,mdr_rate_cleaned!$B$2:$B$10,"&lt;"&amp;C2622,mdr_rate_cleaned!$F$2:$F$10,"&gt;="&amp;C2622)</f>
        <v>1</v>
      </c>
      <c r="G2622" s="40">
        <f>SUMIFS(mdr_rate_cleaned!$G$2:$G$10,mdr_rate_cleaned!$A$2:$A$10,B2622,mdr_rate_cleaned!$B$2:$B$10,"&lt;"&amp;C2622,mdr_rate_cleaned!$F$2:$F$10,"&gt;="&amp;C2622)</f>
        <v>1.2E-2</v>
      </c>
      <c r="H2622" s="24">
        <f t="shared" si="200"/>
        <v>95.99</v>
      </c>
      <c r="I2622" s="23" t="str">
        <f t="shared" si="201"/>
        <v>Match</v>
      </c>
      <c r="J2622" s="23" t="str">
        <f t="shared" si="202"/>
        <v>Match</v>
      </c>
      <c r="K2622" s="24">
        <f t="shared" si="203"/>
        <v>17.28</v>
      </c>
      <c r="L2622" s="24">
        <f t="shared" si="204"/>
        <v>0</v>
      </c>
    </row>
    <row r="2623" spans="1:12" ht="15" customHeight="1" x14ac:dyDescent="0.3">
      <c r="A2623" s="23" t="s">
        <v>15559</v>
      </c>
      <c r="B2623" s="23" t="s">
        <v>79</v>
      </c>
      <c r="C2623" s="39">
        <v>1598</v>
      </c>
      <c r="D2623" s="24">
        <v>28.76</v>
      </c>
      <c r="E2623" s="24">
        <v>5.18</v>
      </c>
      <c r="F2623" s="23">
        <f>COUNTIFS(mdr_rate_cleaned!$A$2:$A$10,B2623,mdr_rate_cleaned!$B$2:$B$10,"&lt;"&amp;C2623,mdr_rate_cleaned!$F$2:$F$10,"&gt;="&amp;C2623)</f>
        <v>1</v>
      </c>
      <c r="G2623" s="40">
        <f>SUMIFS(mdr_rate_cleaned!$G$2:$G$10,mdr_rate_cleaned!$A$2:$A$10,B2623,mdr_rate_cleaned!$B$2:$B$10,"&lt;"&amp;C2623,mdr_rate_cleaned!$F$2:$F$10,"&gt;="&amp;C2623)</f>
        <v>1.8000000000000002E-2</v>
      </c>
      <c r="H2623" s="24">
        <f t="shared" si="200"/>
        <v>28.76</v>
      </c>
      <c r="I2623" s="23" t="str">
        <f t="shared" si="201"/>
        <v>Match</v>
      </c>
      <c r="J2623" s="23" t="str">
        <f t="shared" si="202"/>
        <v>Match</v>
      </c>
      <c r="K2623" s="24">
        <f t="shared" si="203"/>
        <v>5.18</v>
      </c>
      <c r="L2623" s="24">
        <f t="shared" si="204"/>
        <v>0</v>
      </c>
    </row>
    <row r="2624" spans="1:12" ht="15" customHeight="1" x14ac:dyDescent="0.3">
      <c r="A2624" s="23" t="s">
        <v>15560</v>
      </c>
      <c r="B2624" s="23" t="s">
        <v>79</v>
      </c>
      <c r="C2624" s="39">
        <v>2798</v>
      </c>
      <c r="D2624" s="24">
        <v>44.77</v>
      </c>
      <c r="E2624" s="24">
        <v>8.06</v>
      </c>
      <c r="F2624" s="23">
        <f>COUNTIFS(mdr_rate_cleaned!$A$2:$A$10,B2624,mdr_rate_cleaned!$B$2:$B$10,"&lt;"&amp;C2624,mdr_rate_cleaned!$F$2:$F$10,"&gt;="&amp;C2624)</f>
        <v>1</v>
      </c>
      <c r="G2624" s="40">
        <f>SUMIFS(mdr_rate_cleaned!$G$2:$G$10,mdr_rate_cleaned!$A$2:$A$10,B2624,mdr_rate_cleaned!$B$2:$B$10,"&lt;"&amp;C2624,mdr_rate_cleaned!$F$2:$F$10,"&gt;="&amp;C2624)</f>
        <v>1.6E-2</v>
      </c>
      <c r="H2624" s="24">
        <f t="shared" si="200"/>
        <v>44.77</v>
      </c>
      <c r="I2624" s="23" t="str">
        <f t="shared" si="201"/>
        <v>Match</v>
      </c>
      <c r="J2624" s="23" t="str">
        <f t="shared" si="202"/>
        <v>Match</v>
      </c>
      <c r="K2624" s="24">
        <f t="shared" si="203"/>
        <v>8.06</v>
      </c>
      <c r="L2624" s="24">
        <f t="shared" si="204"/>
        <v>0</v>
      </c>
    </row>
    <row r="2625" spans="1:12" ht="15" customHeight="1" x14ac:dyDescent="0.3">
      <c r="A2625" s="23" t="s">
        <v>15561</v>
      </c>
      <c r="B2625" s="23" t="s">
        <v>75</v>
      </c>
      <c r="C2625" s="39">
        <v>8697</v>
      </c>
      <c r="D2625" s="24">
        <v>26.09</v>
      </c>
      <c r="E2625" s="24">
        <v>4.7</v>
      </c>
      <c r="F2625" s="23">
        <f>COUNTIFS(mdr_rate_cleaned!$A$2:$A$10,B2625,mdr_rate_cleaned!$B$2:$B$10,"&lt;"&amp;C2625,mdr_rate_cleaned!$F$2:$F$10,"&gt;="&amp;C2625)</f>
        <v>1</v>
      </c>
      <c r="G2625" s="40">
        <f>SUMIFS(mdr_rate_cleaned!$G$2:$G$10,mdr_rate_cleaned!$A$2:$A$10,B2625,mdr_rate_cleaned!$B$2:$B$10,"&lt;"&amp;C2625,mdr_rate_cleaned!$F$2:$F$10,"&gt;="&amp;C2625)</f>
        <v>3.0000000000000001E-3</v>
      </c>
      <c r="H2625" s="24">
        <f t="shared" si="200"/>
        <v>26.09</v>
      </c>
      <c r="I2625" s="23" t="str">
        <f t="shared" si="201"/>
        <v>Match</v>
      </c>
      <c r="J2625" s="23" t="str">
        <f t="shared" si="202"/>
        <v>Match</v>
      </c>
      <c r="K2625" s="24">
        <f t="shared" si="203"/>
        <v>4.7</v>
      </c>
      <c r="L2625" s="24">
        <f t="shared" si="204"/>
        <v>0</v>
      </c>
    </row>
    <row r="2626" spans="1:12" ht="15" customHeight="1" x14ac:dyDescent="0.3">
      <c r="A2626" s="23" t="s">
        <v>15563</v>
      </c>
      <c r="B2626" s="23" t="s">
        <v>79</v>
      </c>
      <c r="C2626" s="39">
        <v>4999</v>
      </c>
      <c r="D2626" s="24">
        <v>79.98</v>
      </c>
      <c r="E2626" s="24">
        <v>14.4</v>
      </c>
      <c r="F2626" s="23">
        <f>COUNTIFS(mdr_rate_cleaned!$A$2:$A$10,B2626,mdr_rate_cleaned!$B$2:$B$10,"&lt;"&amp;C2626,mdr_rate_cleaned!$F$2:$F$10,"&gt;="&amp;C2626)</f>
        <v>1</v>
      </c>
      <c r="G2626" s="40">
        <f>SUMIFS(mdr_rate_cleaned!$G$2:$G$10,mdr_rate_cleaned!$A$2:$A$10,B2626,mdr_rate_cleaned!$B$2:$B$10,"&lt;"&amp;C2626,mdr_rate_cleaned!$F$2:$F$10,"&gt;="&amp;C2626)</f>
        <v>1.6E-2</v>
      </c>
      <c r="H2626" s="24">
        <f t="shared" ref="H2626:H2689" si="205">ROUND(C2626*G2626,2)</f>
        <v>79.98</v>
      </c>
      <c r="I2626" s="23" t="str">
        <f t="shared" ref="I2626:I2689" si="206">IF(ROUND(D2626-H2626,2)=0,"Match","Differs")</f>
        <v>Match</v>
      </c>
      <c r="J2626" s="23" t="str">
        <f t="shared" ref="J2626:J2689" si="207">IF(ROUND(E2626-ROUND(D2626*0.18,2),2)=0,"Match","Differs")</f>
        <v>Match</v>
      </c>
      <c r="K2626" s="24">
        <f t="shared" ref="K2626:K2689" si="208">ROUND(H2626*0.18,2)</f>
        <v>14.4</v>
      </c>
      <c r="L2626" s="24">
        <f t="shared" ref="L2626:L2689" si="209">ROUND(D2626+E2626-H2626-K2626,2)</f>
        <v>0</v>
      </c>
    </row>
    <row r="2627" spans="1:12" ht="15" customHeight="1" x14ac:dyDescent="0.3">
      <c r="A2627" s="23" t="s">
        <v>15564</v>
      </c>
      <c r="B2627" s="23" t="s">
        <v>75</v>
      </c>
      <c r="C2627" s="39">
        <v>9498</v>
      </c>
      <c r="D2627" s="24">
        <v>28.49</v>
      </c>
      <c r="E2627" s="24">
        <v>5.13</v>
      </c>
      <c r="F2627" s="23">
        <f>COUNTIFS(mdr_rate_cleaned!$A$2:$A$10,B2627,mdr_rate_cleaned!$B$2:$B$10,"&lt;"&amp;C2627,mdr_rate_cleaned!$F$2:$F$10,"&gt;="&amp;C2627)</f>
        <v>1</v>
      </c>
      <c r="G2627" s="40">
        <f>SUMIFS(mdr_rate_cleaned!$G$2:$G$10,mdr_rate_cleaned!$A$2:$A$10,B2627,mdr_rate_cleaned!$B$2:$B$10,"&lt;"&amp;C2627,mdr_rate_cleaned!$F$2:$F$10,"&gt;="&amp;C2627)</f>
        <v>3.0000000000000001E-3</v>
      </c>
      <c r="H2627" s="24">
        <f t="shared" si="205"/>
        <v>28.49</v>
      </c>
      <c r="I2627" s="23" t="str">
        <f t="shared" si="206"/>
        <v>Match</v>
      </c>
      <c r="J2627" s="23" t="str">
        <f t="shared" si="207"/>
        <v>Match</v>
      </c>
      <c r="K2627" s="24">
        <f t="shared" si="208"/>
        <v>5.13</v>
      </c>
      <c r="L2627" s="24">
        <f t="shared" si="209"/>
        <v>0</v>
      </c>
    </row>
    <row r="2628" spans="1:12" ht="15" customHeight="1" x14ac:dyDescent="0.3">
      <c r="A2628" s="23" t="s">
        <v>15565</v>
      </c>
      <c r="B2628" s="23" t="s">
        <v>75</v>
      </c>
      <c r="C2628" s="39">
        <v>3499</v>
      </c>
      <c r="D2628" s="24">
        <v>10.5</v>
      </c>
      <c r="E2628" s="24">
        <v>1.89</v>
      </c>
      <c r="F2628" s="23">
        <f>COUNTIFS(mdr_rate_cleaned!$A$2:$A$10,B2628,mdr_rate_cleaned!$B$2:$B$10,"&lt;"&amp;C2628,mdr_rate_cleaned!$F$2:$F$10,"&gt;="&amp;C2628)</f>
        <v>1</v>
      </c>
      <c r="G2628" s="40">
        <f>SUMIFS(mdr_rate_cleaned!$G$2:$G$10,mdr_rate_cleaned!$A$2:$A$10,B2628,mdr_rate_cleaned!$B$2:$B$10,"&lt;"&amp;C2628,mdr_rate_cleaned!$F$2:$F$10,"&gt;="&amp;C2628)</f>
        <v>3.0000000000000001E-3</v>
      </c>
      <c r="H2628" s="24">
        <f t="shared" si="205"/>
        <v>10.5</v>
      </c>
      <c r="I2628" s="23" t="str">
        <f t="shared" si="206"/>
        <v>Match</v>
      </c>
      <c r="J2628" s="23" t="str">
        <f t="shared" si="207"/>
        <v>Match</v>
      </c>
      <c r="K2628" s="24">
        <f t="shared" si="208"/>
        <v>1.89</v>
      </c>
      <c r="L2628" s="24">
        <f t="shared" si="209"/>
        <v>0</v>
      </c>
    </row>
    <row r="2629" spans="1:12" ht="15" customHeight="1" x14ac:dyDescent="0.3">
      <c r="A2629" s="23" t="s">
        <v>15566</v>
      </c>
      <c r="B2629" s="23" t="s">
        <v>75</v>
      </c>
      <c r="C2629" s="39">
        <v>7147</v>
      </c>
      <c r="D2629" s="24">
        <v>21.44</v>
      </c>
      <c r="E2629" s="24">
        <v>3.86</v>
      </c>
      <c r="F2629" s="23">
        <f>COUNTIFS(mdr_rate_cleaned!$A$2:$A$10,B2629,mdr_rate_cleaned!$B$2:$B$10,"&lt;"&amp;C2629,mdr_rate_cleaned!$F$2:$F$10,"&gt;="&amp;C2629)</f>
        <v>1</v>
      </c>
      <c r="G2629" s="40">
        <f>SUMIFS(mdr_rate_cleaned!$G$2:$G$10,mdr_rate_cleaned!$A$2:$A$10,B2629,mdr_rate_cleaned!$B$2:$B$10,"&lt;"&amp;C2629,mdr_rate_cleaned!$F$2:$F$10,"&gt;="&amp;C2629)</f>
        <v>3.0000000000000001E-3</v>
      </c>
      <c r="H2629" s="24">
        <f t="shared" si="205"/>
        <v>21.44</v>
      </c>
      <c r="I2629" s="23" t="str">
        <f t="shared" si="206"/>
        <v>Match</v>
      </c>
      <c r="J2629" s="23" t="str">
        <f t="shared" si="207"/>
        <v>Match</v>
      </c>
      <c r="K2629" s="24">
        <f t="shared" si="208"/>
        <v>3.86</v>
      </c>
      <c r="L2629" s="24">
        <f t="shared" si="209"/>
        <v>0</v>
      </c>
    </row>
    <row r="2630" spans="1:12" ht="15" customHeight="1" x14ac:dyDescent="0.3">
      <c r="A2630" s="23" t="s">
        <v>15567</v>
      </c>
      <c r="B2630" s="23" t="s">
        <v>75</v>
      </c>
      <c r="C2630" s="39">
        <v>3797</v>
      </c>
      <c r="D2630" s="24">
        <v>11.39</v>
      </c>
      <c r="E2630" s="24">
        <v>2.0499999999999998</v>
      </c>
      <c r="F2630" s="23">
        <f>COUNTIFS(mdr_rate_cleaned!$A$2:$A$10,B2630,mdr_rate_cleaned!$B$2:$B$10,"&lt;"&amp;C2630,mdr_rate_cleaned!$F$2:$F$10,"&gt;="&amp;C2630)</f>
        <v>1</v>
      </c>
      <c r="G2630" s="40">
        <f>SUMIFS(mdr_rate_cleaned!$G$2:$G$10,mdr_rate_cleaned!$A$2:$A$10,B2630,mdr_rate_cleaned!$B$2:$B$10,"&lt;"&amp;C2630,mdr_rate_cleaned!$F$2:$F$10,"&gt;="&amp;C2630)</f>
        <v>3.0000000000000001E-3</v>
      </c>
      <c r="H2630" s="24">
        <f t="shared" si="205"/>
        <v>11.39</v>
      </c>
      <c r="I2630" s="23" t="str">
        <f t="shared" si="206"/>
        <v>Match</v>
      </c>
      <c r="J2630" s="23" t="str">
        <f t="shared" si="207"/>
        <v>Match</v>
      </c>
      <c r="K2630" s="24">
        <f t="shared" si="208"/>
        <v>2.0499999999999998</v>
      </c>
      <c r="L2630" s="24">
        <f t="shared" si="209"/>
        <v>0</v>
      </c>
    </row>
    <row r="2631" spans="1:12" ht="15" customHeight="1" x14ac:dyDescent="0.3">
      <c r="A2631" s="23" t="s">
        <v>15568</v>
      </c>
      <c r="B2631" s="23" t="s">
        <v>75</v>
      </c>
      <c r="C2631" s="39">
        <v>599</v>
      </c>
      <c r="D2631" s="24">
        <v>0</v>
      </c>
      <c r="E2631" s="24">
        <v>0</v>
      </c>
      <c r="F2631" s="23">
        <f>COUNTIFS(mdr_rate_cleaned!$A$2:$A$10,B2631,mdr_rate_cleaned!$B$2:$B$10,"&lt;"&amp;C2631,mdr_rate_cleaned!$F$2:$F$10,"&gt;="&amp;C2631)</f>
        <v>1</v>
      </c>
      <c r="G2631" s="40">
        <f>SUMIFS(mdr_rate_cleaned!$G$2:$G$10,mdr_rate_cleaned!$A$2:$A$10,B2631,mdr_rate_cleaned!$B$2:$B$10,"&lt;"&amp;C2631,mdr_rate_cleaned!$F$2:$F$10,"&gt;="&amp;C2631)</f>
        <v>0</v>
      </c>
      <c r="H2631" s="24">
        <f t="shared" si="205"/>
        <v>0</v>
      </c>
      <c r="I2631" s="23" t="str">
        <f t="shared" si="206"/>
        <v>Match</v>
      </c>
      <c r="J2631" s="23" t="str">
        <f t="shared" si="207"/>
        <v>Match</v>
      </c>
      <c r="K2631" s="24">
        <f t="shared" si="208"/>
        <v>0</v>
      </c>
      <c r="L2631" s="24">
        <f t="shared" si="209"/>
        <v>0</v>
      </c>
    </row>
    <row r="2632" spans="1:12" ht="15" customHeight="1" x14ac:dyDescent="0.3">
      <c r="A2632" s="23" t="s">
        <v>15570</v>
      </c>
      <c r="B2632" s="23" t="s">
        <v>77</v>
      </c>
      <c r="C2632" s="39">
        <v>5498</v>
      </c>
      <c r="D2632" s="24">
        <v>93.47</v>
      </c>
      <c r="E2632" s="24">
        <v>16.82</v>
      </c>
      <c r="F2632" s="23">
        <f>COUNTIFS(mdr_rate_cleaned!$A$2:$A$10,B2632,mdr_rate_cleaned!$B$2:$B$10,"&lt;"&amp;C2632,mdr_rate_cleaned!$F$2:$F$10,"&gt;="&amp;C2632)</f>
        <v>1</v>
      </c>
      <c r="G2632" s="40">
        <f>SUMIFS(mdr_rate_cleaned!$G$2:$G$10,mdr_rate_cleaned!$A$2:$A$10,B2632,mdr_rate_cleaned!$B$2:$B$10,"&lt;"&amp;C2632,mdr_rate_cleaned!$F$2:$F$10,"&gt;="&amp;C2632)</f>
        <v>1.7000000000000001E-2</v>
      </c>
      <c r="H2632" s="24">
        <f t="shared" si="205"/>
        <v>93.47</v>
      </c>
      <c r="I2632" s="23" t="str">
        <f t="shared" si="206"/>
        <v>Match</v>
      </c>
      <c r="J2632" s="23" t="str">
        <f t="shared" si="207"/>
        <v>Match</v>
      </c>
      <c r="K2632" s="24">
        <f t="shared" si="208"/>
        <v>16.82</v>
      </c>
      <c r="L2632" s="24">
        <f t="shared" si="209"/>
        <v>0</v>
      </c>
    </row>
    <row r="2633" spans="1:12" ht="15" customHeight="1" x14ac:dyDescent="0.3">
      <c r="A2633" s="23" t="s">
        <v>15571</v>
      </c>
      <c r="B2633" s="23" t="s">
        <v>75</v>
      </c>
      <c r="C2633" s="39">
        <v>5498</v>
      </c>
      <c r="D2633" s="24">
        <v>16.489999999999998</v>
      </c>
      <c r="E2633" s="24">
        <v>2.97</v>
      </c>
      <c r="F2633" s="23">
        <f>COUNTIFS(mdr_rate_cleaned!$A$2:$A$10,B2633,mdr_rate_cleaned!$B$2:$B$10,"&lt;"&amp;C2633,mdr_rate_cleaned!$F$2:$F$10,"&gt;="&amp;C2633)</f>
        <v>1</v>
      </c>
      <c r="G2633" s="40">
        <f>SUMIFS(mdr_rate_cleaned!$G$2:$G$10,mdr_rate_cleaned!$A$2:$A$10,B2633,mdr_rate_cleaned!$B$2:$B$10,"&lt;"&amp;C2633,mdr_rate_cleaned!$F$2:$F$10,"&gt;="&amp;C2633)</f>
        <v>3.0000000000000001E-3</v>
      </c>
      <c r="H2633" s="24">
        <f t="shared" si="205"/>
        <v>16.489999999999998</v>
      </c>
      <c r="I2633" s="23" t="str">
        <f t="shared" si="206"/>
        <v>Match</v>
      </c>
      <c r="J2633" s="23" t="str">
        <f t="shared" si="207"/>
        <v>Match</v>
      </c>
      <c r="K2633" s="24">
        <f t="shared" si="208"/>
        <v>2.97</v>
      </c>
      <c r="L2633" s="24">
        <f t="shared" si="209"/>
        <v>0</v>
      </c>
    </row>
    <row r="2634" spans="1:12" ht="15" customHeight="1" x14ac:dyDescent="0.3">
      <c r="A2634" s="23" t="s">
        <v>15572</v>
      </c>
      <c r="B2634" s="23" t="s">
        <v>79</v>
      </c>
      <c r="C2634" s="39">
        <v>5998</v>
      </c>
      <c r="D2634" s="24">
        <v>95.97</v>
      </c>
      <c r="E2634" s="24">
        <v>17.27</v>
      </c>
      <c r="F2634" s="23">
        <f>COUNTIFS(mdr_rate_cleaned!$A$2:$A$10,B2634,mdr_rate_cleaned!$B$2:$B$10,"&lt;"&amp;C2634,mdr_rate_cleaned!$F$2:$F$10,"&gt;="&amp;C2634)</f>
        <v>1</v>
      </c>
      <c r="G2634" s="40">
        <f>SUMIFS(mdr_rate_cleaned!$G$2:$G$10,mdr_rate_cleaned!$A$2:$A$10,B2634,mdr_rate_cleaned!$B$2:$B$10,"&lt;"&amp;C2634,mdr_rate_cleaned!$F$2:$F$10,"&gt;="&amp;C2634)</f>
        <v>1.6E-2</v>
      </c>
      <c r="H2634" s="24">
        <f t="shared" si="205"/>
        <v>95.97</v>
      </c>
      <c r="I2634" s="23" t="str">
        <f t="shared" si="206"/>
        <v>Match</v>
      </c>
      <c r="J2634" s="23" t="str">
        <f t="shared" si="207"/>
        <v>Match</v>
      </c>
      <c r="K2634" s="24">
        <f t="shared" si="208"/>
        <v>17.27</v>
      </c>
      <c r="L2634" s="24">
        <f t="shared" si="209"/>
        <v>0</v>
      </c>
    </row>
    <row r="2635" spans="1:12" ht="15" customHeight="1" x14ac:dyDescent="0.3">
      <c r="A2635" s="23" t="s">
        <v>15573</v>
      </c>
      <c r="B2635" s="23" t="s">
        <v>79</v>
      </c>
      <c r="C2635" s="39">
        <v>3298</v>
      </c>
      <c r="D2635" s="24">
        <v>52.77</v>
      </c>
      <c r="E2635" s="24">
        <v>9.5</v>
      </c>
      <c r="F2635" s="23">
        <f>COUNTIFS(mdr_rate_cleaned!$A$2:$A$10,B2635,mdr_rate_cleaned!$B$2:$B$10,"&lt;"&amp;C2635,mdr_rate_cleaned!$F$2:$F$10,"&gt;="&amp;C2635)</f>
        <v>1</v>
      </c>
      <c r="G2635" s="40">
        <f>SUMIFS(mdr_rate_cleaned!$G$2:$G$10,mdr_rate_cleaned!$A$2:$A$10,B2635,mdr_rate_cleaned!$B$2:$B$10,"&lt;"&amp;C2635,mdr_rate_cleaned!$F$2:$F$10,"&gt;="&amp;C2635)</f>
        <v>1.6E-2</v>
      </c>
      <c r="H2635" s="24">
        <f t="shared" si="205"/>
        <v>52.77</v>
      </c>
      <c r="I2635" s="23" t="str">
        <f t="shared" si="206"/>
        <v>Match</v>
      </c>
      <c r="J2635" s="23" t="str">
        <f t="shared" si="207"/>
        <v>Match</v>
      </c>
      <c r="K2635" s="24">
        <f t="shared" si="208"/>
        <v>9.5</v>
      </c>
      <c r="L2635" s="24">
        <f t="shared" si="209"/>
        <v>0</v>
      </c>
    </row>
    <row r="2636" spans="1:12" ht="15" customHeight="1" x14ac:dyDescent="0.3">
      <c r="A2636" s="23" t="s">
        <v>15574</v>
      </c>
      <c r="B2636" s="23" t="s">
        <v>75</v>
      </c>
      <c r="C2636" s="39">
        <v>1997</v>
      </c>
      <c r="D2636" s="24">
        <v>0</v>
      </c>
      <c r="E2636" s="24">
        <v>0</v>
      </c>
      <c r="F2636" s="23">
        <f>COUNTIFS(mdr_rate_cleaned!$A$2:$A$10,B2636,mdr_rate_cleaned!$B$2:$B$10,"&lt;"&amp;C2636,mdr_rate_cleaned!$F$2:$F$10,"&gt;="&amp;C2636)</f>
        <v>1</v>
      </c>
      <c r="G2636" s="40">
        <f>SUMIFS(mdr_rate_cleaned!$G$2:$G$10,mdr_rate_cleaned!$A$2:$A$10,B2636,mdr_rate_cleaned!$B$2:$B$10,"&lt;"&amp;C2636,mdr_rate_cleaned!$F$2:$F$10,"&gt;="&amp;C2636)</f>
        <v>0</v>
      </c>
      <c r="H2636" s="24">
        <f t="shared" si="205"/>
        <v>0</v>
      </c>
      <c r="I2636" s="23" t="str">
        <f t="shared" si="206"/>
        <v>Match</v>
      </c>
      <c r="J2636" s="23" t="str">
        <f t="shared" si="207"/>
        <v>Match</v>
      </c>
      <c r="K2636" s="24">
        <f t="shared" si="208"/>
        <v>0</v>
      </c>
      <c r="L2636" s="24">
        <f t="shared" si="209"/>
        <v>0</v>
      </c>
    </row>
    <row r="2637" spans="1:12" ht="15" customHeight="1" x14ac:dyDescent="0.3">
      <c r="A2637" s="23" t="s">
        <v>15575</v>
      </c>
      <c r="B2637" s="23" t="s">
        <v>75</v>
      </c>
      <c r="C2637" s="39">
        <v>8847</v>
      </c>
      <c r="D2637" s="24">
        <v>26.54</v>
      </c>
      <c r="E2637" s="24">
        <v>4.78</v>
      </c>
      <c r="F2637" s="23">
        <f>COUNTIFS(mdr_rate_cleaned!$A$2:$A$10,B2637,mdr_rate_cleaned!$B$2:$B$10,"&lt;"&amp;C2637,mdr_rate_cleaned!$F$2:$F$10,"&gt;="&amp;C2637)</f>
        <v>1</v>
      </c>
      <c r="G2637" s="40">
        <f>SUMIFS(mdr_rate_cleaned!$G$2:$G$10,mdr_rate_cleaned!$A$2:$A$10,B2637,mdr_rate_cleaned!$B$2:$B$10,"&lt;"&amp;C2637,mdr_rate_cleaned!$F$2:$F$10,"&gt;="&amp;C2637)</f>
        <v>3.0000000000000001E-3</v>
      </c>
      <c r="H2637" s="24">
        <f t="shared" si="205"/>
        <v>26.54</v>
      </c>
      <c r="I2637" s="23" t="str">
        <f t="shared" si="206"/>
        <v>Match</v>
      </c>
      <c r="J2637" s="23" t="str">
        <f t="shared" si="207"/>
        <v>Match</v>
      </c>
      <c r="K2637" s="24">
        <f t="shared" si="208"/>
        <v>4.78</v>
      </c>
      <c r="L2637" s="24">
        <f t="shared" si="209"/>
        <v>0</v>
      </c>
    </row>
    <row r="2638" spans="1:12" ht="15" customHeight="1" x14ac:dyDescent="0.3">
      <c r="A2638" s="23" t="s">
        <v>15576</v>
      </c>
      <c r="B2638" s="23" t="s">
        <v>75</v>
      </c>
      <c r="C2638" s="39">
        <v>3499</v>
      </c>
      <c r="D2638" s="24">
        <v>10.5</v>
      </c>
      <c r="E2638" s="24">
        <v>1.89</v>
      </c>
      <c r="F2638" s="23">
        <f>COUNTIFS(mdr_rate_cleaned!$A$2:$A$10,B2638,mdr_rate_cleaned!$B$2:$B$10,"&lt;"&amp;C2638,mdr_rate_cleaned!$F$2:$F$10,"&gt;="&amp;C2638)</f>
        <v>1</v>
      </c>
      <c r="G2638" s="40">
        <f>SUMIFS(mdr_rate_cleaned!$G$2:$G$10,mdr_rate_cleaned!$A$2:$A$10,B2638,mdr_rate_cleaned!$B$2:$B$10,"&lt;"&amp;C2638,mdr_rate_cleaned!$F$2:$F$10,"&gt;="&amp;C2638)</f>
        <v>3.0000000000000001E-3</v>
      </c>
      <c r="H2638" s="24">
        <f t="shared" si="205"/>
        <v>10.5</v>
      </c>
      <c r="I2638" s="23" t="str">
        <f t="shared" si="206"/>
        <v>Match</v>
      </c>
      <c r="J2638" s="23" t="str">
        <f t="shared" si="207"/>
        <v>Match</v>
      </c>
      <c r="K2638" s="24">
        <f t="shared" si="208"/>
        <v>1.89</v>
      </c>
      <c r="L2638" s="24">
        <f t="shared" si="209"/>
        <v>0</v>
      </c>
    </row>
    <row r="2639" spans="1:12" ht="15" customHeight="1" x14ac:dyDescent="0.3">
      <c r="A2639" s="23" t="s">
        <v>15577</v>
      </c>
      <c r="B2639" s="23" t="s">
        <v>77</v>
      </c>
      <c r="C2639" s="39">
        <v>6297</v>
      </c>
      <c r="D2639" s="24">
        <v>107.05</v>
      </c>
      <c r="E2639" s="24">
        <v>19.27</v>
      </c>
      <c r="F2639" s="23">
        <f>COUNTIFS(mdr_rate_cleaned!$A$2:$A$10,B2639,mdr_rate_cleaned!$B$2:$B$10,"&lt;"&amp;C2639,mdr_rate_cleaned!$F$2:$F$10,"&gt;="&amp;C2639)</f>
        <v>1</v>
      </c>
      <c r="G2639" s="40">
        <f>SUMIFS(mdr_rate_cleaned!$G$2:$G$10,mdr_rate_cleaned!$A$2:$A$10,B2639,mdr_rate_cleaned!$B$2:$B$10,"&lt;"&amp;C2639,mdr_rate_cleaned!$F$2:$F$10,"&gt;="&amp;C2639)</f>
        <v>1.7000000000000001E-2</v>
      </c>
      <c r="H2639" s="24">
        <f t="shared" si="205"/>
        <v>107.05</v>
      </c>
      <c r="I2639" s="23" t="str">
        <f t="shared" si="206"/>
        <v>Match</v>
      </c>
      <c r="J2639" s="23" t="str">
        <f t="shared" si="207"/>
        <v>Match</v>
      </c>
      <c r="K2639" s="24">
        <f t="shared" si="208"/>
        <v>19.27</v>
      </c>
      <c r="L2639" s="24">
        <f t="shared" si="209"/>
        <v>0</v>
      </c>
    </row>
    <row r="2640" spans="1:12" ht="15" customHeight="1" x14ac:dyDescent="0.3">
      <c r="A2640" s="23" t="s">
        <v>15579</v>
      </c>
      <c r="B2640" s="23" t="s">
        <v>75</v>
      </c>
      <c r="C2640" s="39">
        <v>2298</v>
      </c>
      <c r="D2640" s="24">
        <v>6.89</v>
      </c>
      <c r="E2640" s="24">
        <v>1.24</v>
      </c>
      <c r="F2640" s="23">
        <f>COUNTIFS(mdr_rate_cleaned!$A$2:$A$10,B2640,mdr_rate_cleaned!$B$2:$B$10,"&lt;"&amp;C2640,mdr_rate_cleaned!$F$2:$F$10,"&gt;="&amp;C2640)</f>
        <v>1</v>
      </c>
      <c r="G2640" s="40">
        <f>SUMIFS(mdr_rate_cleaned!$G$2:$G$10,mdr_rate_cleaned!$A$2:$A$10,B2640,mdr_rate_cleaned!$B$2:$B$10,"&lt;"&amp;C2640,mdr_rate_cleaned!$F$2:$F$10,"&gt;="&amp;C2640)</f>
        <v>3.0000000000000001E-3</v>
      </c>
      <c r="H2640" s="24">
        <f t="shared" si="205"/>
        <v>6.89</v>
      </c>
      <c r="I2640" s="23" t="str">
        <f t="shared" si="206"/>
        <v>Match</v>
      </c>
      <c r="J2640" s="23" t="str">
        <f t="shared" si="207"/>
        <v>Match</v>
      </c>
      <c r="K2640" s="24">
        <f t="shared" si="208"/>
        <v>1.24</v>
      </c>
      <c r="L2640" s="24">
        <f t="shared" si="209"/>
        <v>0</v>
      </c>
    </row>
    <row r="2641" spans="1:12" ht="15" customHeight="1" x14ac:dyDescent="0.3">
      <c r="A2641" s="23" t="s">
        <v>15580</v>
      </c>
      <c r="B2641" s="23" t="s">
        <v>77</v>
      </c>
      <c r="C2641" s="39">
        <v>6597</v>
      </c>
      <c r="D2641" s="24">
        <v>112.15</v>
      </c>
      <c r="E2641" s="24">
        <v>20.190000000000001</v>
      </c>
      <c r="F2641" s="23">
        <f>COUNTIFS(mdr_rate_cleaned!$A$2:$A$10,B2641,mdr_rate_cleaned!$B$2:$B$10,"&lt;"&amp;C2641,mdr_rate_cleaned!$F$2:$F$10,"&gt;="&amp;C2641)</f>
        <v>1</v>
      </c>
      <c r="G2641" s="40">
        <f>SUMIFS(mdr_rate_cleaned!$G$2:$G$10,mdr_rate_cleaned!$A$2:$A$10,B2641,mdr_rate_cleaned!$B$2:$B$10,"&lt;"&amp;C2641,mdr_rate_cleaned!$F$2:$F$10,"&gt;="&amp;C2641)</f>
        <v>1.7000000000000001E-2</v>
      </c>
      <c r="H2641" s="24">
        <f t="shared" si="205"/>
        <v>112.15</v>
      </c>
      <c r="I2641" s="23" t="str">
        <f t="shared" si="206"/>
        <v>Match</v>
      </c>
      <c r="J2641" s="23" t="str">
        <f t="shared" si="207"/>
        <v>Match</v>
      </c>
      <c r="K2641" s="24">
        <f t="shared" si="208"/>
        <v>20.190000000000001</v>
      </c>
      <c r="L2641" s="24">
        <f t="shared" si="209"/>
        <v>0</v>
      </c>
    </row>
    <row r="2642" spans="1:12" ht="15" customHeight="1" x14ac:dyDescent="0.3">
      <c r="A2642" s="23" t="s">
        <v>15581</v>
      </c>
      <c r="B2642" s="23" t="s">
        <v>79</v>
      </c>
      <c r="C2642" s="39">
        <v>12297</v>
      </c>
      <c r="D2642" s="24">
        <v>196.75</v>
      </c>
      <c r="E2642" s="24">
        <v>35.42</v>
      </c>
      <c r="F2642" s="23">
        <f>COUNTIFS(mdr_rate_cleaned!$A$2:$A$10,B2642,mdr_rate_cleaned!$B$2:$B$10,"&lt;"&amp;C2642,mdr_rate_cleaned!$F$2:$F$10,"&gt;="&amp;C2642)</f>
        <v>1</v>
      </c>
      <c r="G2642" s="40">
        <f>SUMIFS(mdr_rate_cleaned!$G$2:$G$10,mdr_rate_cleaned!$A$2:$A$10,B2642,mdr_rate_cleaned!$B$2:$B$10,"&lt;"&amp;C2642,mdr_rate_cleaned!$F$2:$F$10,"&gt;="&amp;C2642)</f>
        <v>1.6E-2</v>
      </c>
      <c r="H2642" s="24">
        <f t="shared" si="205"/>
        <v>196.75</v>
      </c>
      <c r="I2642" s="23" t="str">
        <f t="shared" si="206"/>
        <v>Match</v>
      </c>
      <c r="J2642" s="23" t="str">
        <f t="shared" si="207"/>
        <v>Match</v>
      </c>
      <c r="K2642" s="24">
        <f t="shared" si="208"/>
        <v>35.42</v>
      </c>
      <c r="L2642" s="24">
        <f t="shared" si="209"/>
        <v>0</v>
      </c>
    </row>
    <row r="2643" spans="1:12" ht="15" customHeight="1" x14ac:dyDescent="0.3">
      <c r="A2643" s="23" t="s">
        <v>15582</v>
      </c>
      <c r="B2643" s="23" t="s">
        <v>75</v>
      </c>
      <c r="C2643" s="39">
        <v>299</v>
      </c>
      <c r="D2643" s="24">
        <v>0</v>
      </c>
      <c r="E2643" s="24">
        <v>0</v>
      </c>
      <c r="F2643" s="23">
        <f>COUNTIFS(mdr_rate_cleaned!$A$2:$A$10,B2643,mdr_rate_cleaned!$B$2:$B$10,"&lt;"&amp;C2643,mdr_rate_cleaned!$F$2:$F$10,"&gt;="&amp;C2643)</f>
        <v>1</v>
      </c>
      <c r="G2643" s="40">
        <f>SUMIFS(mdr_rate_cleaned!$G$2:$G$10,mdr_rate_cleaned!$A$2:$A$10,B2643,mdr_rate_cleaned!$B$2:$B$10,"&lt;"&amp;C2643,mdr_rate_cleaned!$F$2:$F$10,"&gt;="&amp;C2643)</f>
        <v>0</v>
      </c>
      <c r="H2643" s="24">
        <f t="shared" si="205"/>
        <v>0</v>
      </c>
      <c r="I2643" s="23" t="str">
        <f t="shared" si="206"/>
        <v>Match</v>
      </c>
      <c r="J2643" s="23" t="str">
        <f t="shared" si="207"/>
        <v>Match</v>
      </c>
      <c r="K2643" s="24">
        <f t="shared" si="208"/>
        <v>0</v>
      </c>
      <c r="L2643" s="24">
        <f t="shared" si="209"/>
        <v>0</v>
      </c>
    </row>
    <row r="2644" spans="1:12" ht="15" customHeight="1" x14ac:dyDescent="0.3">
      <c r="A2644" s="23" t="s">
        <v>15583</v>
      </c>
      <c r="B2644" s="23" t="s">
        <v>79</v>
      </c>
      <c r="C2644" s="39">
        <v>999</v>
      </c>
      <c r="D2644" s="24">
        <v>17.98</v>
      </c>
      <c r="E2644" s="24">
        <v>3.24</v>
      </c>
      <c r="F2644" s="23">
        <f>COUNTIFS(mdr_rate_cleaned!$A$2:$A$10,B2644,mdr_rate_cleaned!$B$2:$B$10,"&lt;"&amp;C2644,mdr_rate_cleaned!$F$2:$F$10,"&gt;="&amp;C2644)</f>
        <v>1</v>
      </c>
      <c r="G2644" s="40">
        <f>SUMIFS(mdr_rate_cleaned!$G$2:$G$10,mdr_rate_cleaned!$A$2:$A$10,B2644,mdr_rate_cleaned!$B$2:$B$10,"&lt;"&amp;C2644,mdr_rate_cleaned!$F$2:$F$10,"&gt;="&amp;C2644)</f>
        <v>1.8000000000000002E-2</v>
      </c>
      <c r="H2644" s="24">
        <f t="shared" si="205"/>
        <v>17.98</v>
      </c>
      <c r="I2644" s="23" t="str">
        <f t="shared" si="206"/>
        <v>Match</v>
      </c>
      <c r="J2644" s="23" t="str">
        <f t="shared" si="207"/>
        <v>Match</v>
      </c>
      <c r="K2644" s="24">
        <f t="shared" si="208"/>
        <v>3.24</v>
      </c>
      <c r="L2644" s="24">
        <f t="shared" si="209"/>
        <v>0</v>
      </c>
    </row>
    <row r="2645" spans="1:12" ht="15" customHeight="1" x14ac:dyDescent="0.3">
      <c r="A2645" s="23" t="s">
        <v>15584</v>
      </c>
      <c r="B2645" s="23" t="s">
        <v>75</v>
      </c>
      <c r="C2645" s="39">
        <v>3498</v>
      </c>
      <c r="D2645" s="24">
        <v>10.49</v>
      </c>
      <c r="E2645" s="24">
        <v>1.89</v>
      </c>
      <c r="F2645" s="23">
        <f>COUNTIFS(mdr_rate_cleaned!$A$2:$A$10,B2645,mdr_rate_cleaned!$B$2:$B$10,"&lt;"&amp;C2645,mdr_rate_cleaned!$F$2:$F$10,"&gt;="&amp;C2645)</f>
        <v>1</v>
      </c>
      <c r="G2645" s="40">
        <f>SUMIFS(mdr_rate_cleaned!$G$2:$G$10,mdr_rate_cleaned!$A$2:$A$10,B2645,mdr_rate_cleaned!$B$2:$B$10,"&lt;"&amp;C2645,mdr_rate_cleaned!$F$2:$F$10,"&gt;="&amp;C2645)</f>
        <v>3.0000000000000001E-3</v>
      </c>
      <c r="H2645" s="24">
        <f t="shared" si="205"/>
        <v>10.49</v>
      </c>
      <c r="I2645" s="23" t="str">
        <f t="shared" si="206"/>
        <v>Match</v>
      </c>
      <c r="J2645" s="23" t="str">
        <f t="shared" si="207"/>
        <v>Match</v>
      </c>
      <c r="K2645" s="24">
        <f t="shared" si="208"/>
        <v>1.89</v>
      </c>
      <c r="L2645" s="24">
        <f t="shared" si="209"/>
        <v>0</v>
      </c>
    </row>
    <row r="2646" spans="1:12" ht="15" customHeight="1" x14ac:dyDescent="0.3">
      <c r="A2646" s="23" t="s">
        <v>15585</v>
      </c>
      <c r="B2646" s="23" t="s">
        <v>81</v>
      </c>
      <c r="C2646" s="39">
        <v>1298</v>
      </c>
      <c r="D2646" s="24">
        <v>19.47</v>
      </c>
      <c r="E2646" s="24">
        <v>3.5</v>
      </c>
      <c r="F2646" s="23">
        <f>COUNTIFS(mdr_rate_cleaned!$A$2:$A$10,B2646,mdr_rate_cleaned!$B$2:$B$10,"&lt;"&amp;C2646,mdr_rate_cleaned!$F$2:$F$10,"&gt;="&amp;C2646)</f>
        <v>1</v>
      </c>
      <c r="G2646" s="40">
        <f>SUMIFS(mdr_rate_cleaned!$G$2:$G$10,mdr_rate_cleaned!$A$2:$A$10,B2646,mdr_rate_cleaned!$B$2:$B$10,"&lt;"&amp;C2646,mdr_rate_cleaned!$F$2:$F$10,"&gt;="&amp;C2646)</f>
        <v>1.4999999999999999E-2</v>
      </c>
      <c r="H2646" s="24">
        <f t="shared" si="205"/>
        <v>19.47</v>
      </c>
      <c r="I2646" s="23" t="str">
        <f t="shared" si="206"/>
        <v>Match</v>
      </c>
      <c r="J2646" s="23" t="str">
        <f t="shared" si="207"/>
        <v>Match</v>
      </c>
      <c r="K2646" s="24">
        <f t="shared" si="208"/>
        <v>3.5</v>
      </c>
      <c r="L2646" s="24">
        <f t="shared" si="209"/>
        <v>0</v>
      </c>
    </row>
    <row r="2647" spans="1:12" ht="15" customHeight="1" x14ac:dyDescent="0.3">
      <c r="A2647" s="23" t="s">
        <v>15586</v>
      </c>
      <c r="B2647" s="23" t="s">
        <v>79</v>
      </c>
      <c r="C2647" s="39">
        <v>1647</v>
      </c>
      <c r="D2647" s="24">
        <v>29.65</v>
      </c>
      <c r="E2647" s="24">
        <v>5.34</v>
      </c>
      <c r="F2647" s="23">
        <f>COUNTIFS(mdr_rate_cleaned!$A$2:$A$10,B2647,mdr_rate_cleaned!$B$2:$B$10,"&lt;"&amp;C2647,mdr_rate_cleaned!$F$2:$F$10,"&gt;="&amp;C2647)</f>
        <v>1</v>
      </c>
      <c r="G2647" s="40">
        <f>SUMIFS(mdr_rate_cleaned!$G$2:$G$10,mdr_rate_cleaned!$A$2:$A$10,B2647,mdr_rate_cleaned!$B$2:$B$10,"&lt;"&amp;C2647,mdr_rate_cleaned!$F$2:$F$10,"&gt;="&amp;C2647)</f>
        <v>1.8000000000000002E-2</v>
      </c>
      <c r="H2647" s="24">
        <f t="shared" si="205"/>
        <v>29.65</v>
      </c>
      <c r="I2647" s="23" t="str">
        <f t="shared" si="206"/>
        <v>Match</v>
      </c>
      <c r="J2647" s="23" t="str">
        <f t="shared" si="207"/>
        <v>Match</v>
      </c>
      <c r="K2647" s="24">
        <f t="shared" si="208"/>
        <v>5.34</v>
      </c>
      <c r="L2647" s="24">
        <f t="shared" si="209"/>
        <v>0</v>
      </c>
    </row>
    <row r="2648" spans="1:12" ht="15" customHeight="1" x14ac:dyDescent="0.3">
      <c r="A2648" s="23" t="s">
        <v>15587</v>
      </c>
      <c r="B2648" s="23" t="s">
        <v>79</v>
      </c>
      <c r="C2648" s="39">
        <v>8348</v>
      </c>
      <c r="D2648" s="24">
        <v>133.57</v>
      </c>
      <c r="E2648" s="24">
        <v>24.04</v>
      </c>
      <c r="F2648" s="23">
        <f>COUNTIFS(mdr_rate_cleaned!$A$2:$A$10,B2648,mdr_rate_cleaned!$B$2:$B$10,"&lt;"&amp;C2648,mdr_rate_cleaned!$F$2:$F$10,"&gt;="&amp;C2648)</f>
        <v>1</v>
      </c>
      <c r="G2648" s="40">
        <f>SUMIFS(mdr_rate_cleaned!$G$2:$G$10,mdr_rate_cleaned!$A$2:$A$10,B2648,mdr_rate_cleaned!$B$2:$B$10,"&lt;"&amp;C2648,mdr_rate_cleaned!$F$2:$F$10,"&gt;="&amp;C2648)</f>
        <v>1.6E-2</v>
      </c>
      <c r="H2648" s="24">
        <f t="shared" si="205"/>
        <v>133.57</v>
      </c>
      <c r="I2648" s="23" t="str">
        <f t="shared" si="206"/>
        <v>Match</v>
      </c>
      <c r="J2648" s="23" t="str">
        <f t="shared" si="207"/>
        <v>Match</v>
      </c>
      <c r="K2648" s="24">
        <f t="shared" si="208"/>
        <v>24.04</v>
      </c>
      <c r="L2648" s="24">
        <f t="shared" si="209"/>
        <v>0</v>
      </c>
    </row>
    <row r="2649" spans="1:12" ht="15" customHeight="1" x14ac:dyDescent="0.3">
      <c r="A2649" s="23" t="s">
        <v>15588</v>
      </c>
      <c r="B2649" s="23" t="s">
        <v>75</v>
      </c>
      <c r="C2649" s="39">
        <v>1299</v>
      </c>
      <c r="D2649" s="24">
        <v>0</v>
      </c>
      <c r="E2649" s="24">
        <v>0</v>
      </c>
      <c r="F2649" s="23">
        <f>COUNTIFS(mdr_rate_cleaned!$A$2:$A$10,B2649,mdr_rate_cleaned!$B$2:$B$10,"&lt;"&amp;C2649,mdr_rate_cleaned!$F$2:$F$10,"&gt;="&amp;C2649)</f>
        <v>1</v>
      </c>
      <c r="G2649" s="40">
        <f>SUMIFS(mdr_rate_cleaned!$G$2:$G$10,mdr_rate_cleaned!$A$2:$A$10,B2649,mdr_rate_cleaned!$B$2:$B$10,"&lt;"&amp;C2649,mdr_rate_cleaned!$F$2:$F$10,"&gt;="&amp;C2649)</f>
        <v>0</v>
      </c>
      <c r="H2649" s="24">
        <f t="shared" si="205"/>
        <v>0</v>
      </c>
      <c r="I2649" s="23" t="str">
        <f t="shared" si="206"/>
        <v>Match</v>
      </c>
      <c r="J2649" s="23" t="str">
        <f t="shared" si="207"/>
        <v>Match</v>
      </c>
      <c r="K2649" s="24">
        <f t="shared" si="208"/>
        <v>0</v>
      </c>
      <c r="L2649" s="24">
        <f t="shared" si="209"/>
        <v>0</v>
      </c>
    </row>
    <row r="2650" spans="1:12" ht="15" customHeight="1" x14ac:dyDescent="0.3">
      <c r="A2650" s="23" t="s">
        <v>15589</v>
      </c>
      <c r="B2650" s="23" t="s">
        <v>75</v>
      </c>
      <c r="C2650" s="39">
        <v>3497</v>
      </c>
      <c r="D2650" s="24">
        <v>10.49</v>
      </c>
      <c r="E2650" s="24">
        <v>1.89</v>
      </c>
      <c r="F2650" s="23">
        <f>COUNTIFS(mdr_rate_cleaned!$A$2:$A$10,B2650,mdr_rate_cleaned!$B$2:$B$10,"&lt;"&amp;C2650,mdr_rate_cleaned!$F$2:$F$10,"&gt;="&amp;C2650)</f>
        <v>1</v>
      </c>
      <c r="G2650" s="40">
        <f>SUMIFS(mdr_rate_cleaned!$G$2:$G$10,mdr_rate_cleaned!$A$2:$A$10,B2650,mdr_rate_cleaned!$B$2:$B$10,"&lt;"&amp;C2650,mdr_rate_cleaned!$F$2:$F$10,"&gt;="&amp;C2650)</f>
        <v>3.0000000000000001E-3</v>
      </c>
      <c r="H2650" s="24">
        <f t="shared" si="205"/>
        <v>10.49</v>
      </c>
      <c r="I2650" s="23" t="str">
        <f t="shared" si="206"/>
        <v>Match</v>
      </c>
      <c r="J2650" s="23" t="str">
        <f t="shared" si="207"/>
        <v>Match</v>
      </c>
      <c r="K2650" s="24">
        <f t="shared" si="208"/>
        <v>1.89</v>
      </c>
      <c r="L2650" s="24">
        <f t="shared" si="209"/>
        <v>0</v>
      </c>
    </row>
    <row r="2651" spans="1:12" ht="15" customHeight="1" x14ac:dyDescent="0.3">
      <c r="A2651" s="23" t="s">
        <v>15590</v>
      </c>
      <c r="B2651" s="23" t="s">
        <v>75</v>
      </c>
      <c r="C2651" s="39">
        <v>3798</v>
      </c>
      <c r="D2651" s="24">
        <v>11.39</v>
      </c>
      <c r="E2651" s="24">
        <v>2.0499999999999998</v>
      </c>
      <c r="F2651" s="23">
        <f>COUNTIFS(mdr_rate_cleaned!$A$2:$A$10,B2651,mdr_rate_cleaned!$B$2:$B$10,"&lt;"&amp;C2651,mdr_rate_cleaned!$F$2:$F$10,"&gt;="&amp;C2651)</f>
        <v>1</v>
      </c>
      <c r="G2651" s="40">
        <f>SUMIFS(mdr_rate_cleaned!$G$2:$G$10,mdr_rate_cleaned!$A$2:$A$10,B2651,mdr_rate_cleaned!$B$2:$B$10,"&lt;"&amp;C2651,mdr_rate_cleaned!$F$2:$F$10,"&gt;="&amp;C2651)</f>
        <v>3.0000000000000001E-3</v>
      </c>
      <c r="H2651" s="24">
        <f t="shared" si="205"/>
        <v>11.39</v>
      </c>
      <c r="I2651" s="23" t="str">
        <f t="shared" si="206"/>
        <v>Match</v>
      </c>
      <c r="J2651" s="23" t="str">
        <f t="shared" si="207"/>
        <v>Match</v>
      </c>
      <c r="K2651" s="24">
        <f t="shared" si="208"/>
        <v>2.0499999999999998</v>
      </c>
      <c r="L2651" s="24">
        <f t="shared" si="209"/>
        <v>0</v>
      </c>
    </row>
    <row r="2652" spans="1:12" ht="15" customHeight="1" x14ac:dyDescent="0.3">
      <c r="A2652" s="23" t="s">
        <v>15591</v>
      </c>
      <c r="B2652" s="23" t="s">
        <v>75</v>
      </c>
      <c r="C2652" s="39">
        <v>3499</v>
      </c>
      <c r="D2652" s="24">
        <v>10.5</v>
      </c>
      <c r="E2652" s="24">
        <v>1.89</v>
      </c>
      <c r="F2652" s="23">
        <f>COUNTIFS(mdr_rate_cleaned!$A$2:$A$10,B2652,mdr_rate_cleaned!$B$2:$B$10,"&lt;"&amp;C2652,mdr_rate_cleaned!$F$2:$F$10,"&gt;="&amp;C2652)</f>
        <v>1</v>
      </c>
      <c r="G2652" s="40">
        <f>SUMIFS(mdr_rate_cleaned!$G$2:$G$10,mdr_rate_cleaned!$A$2:$A$10,B2652,mdr_rate_cleaned!$B$2:$B$10,"&lt;"&amp;C2652,mdr_rate_cleaned!$F$2:$F$10,"&gt;="&amp;C2652)</f>
        <v>3.0000000000000001E-3</v>
      </c>
      <c r="H2652" s="24">
        <f t="shared" si="205"/>
        <v>10.5</v>
      </c>
      <c r="I2652" s="23" t="str">
        <f t="shared" si="206"/>
        <v>Match</v>
      </c>
      <c r="J2652" s="23" t="str">
        <f t="shared" si="207"/>
        <v>Match</v>
      </c>
      <c r="K2652" s="24">
        <f t="shared" si="208"/>
        <v>1.89</v>
      </c>
      <c r="L2652" s="24">
        <f t="shared" si="209"/>
        <v>0</v>
      </c>
    </row>
    <row r="2653" spans="1:12" ht="15" customHeight="1" x14ac:dyDescent="0.3">
      <c r="A2653" s="23" t="s">
        <v>15592</v>
      </c>
      <c r="B2653" s="23" t="s">
        <v>79</v>
      </c>
      <c r="C2653" s="39">
        <v>4798</v>
      </c>
      <c r="D2653" s="24">
        <v>76.77</v>
      </c>
      <c r="E2653" s="24">
        <v>13.82</v>
      </c>
      <c r="F2653" s="23">
        <f>COUNTIFS(mdr_rate_cleaned!$A$2:$A$10,B2653,mdr_rate_cleaned!$B$2:$B$10,"&lt;"&amp;C2653,mdr_rate_cleaned!$F$2:$F$10,"&gt;="&amp;C2653)</f>
        <v>1</v>
      </c>
      <c r="G2653" s="40">
        <f>SUMIFS(mdr_rate_cleaned!$G$2:$G$10,mdr_rate_cleaned!$A$2:$A$10,B2653,mdr_rate_cleaned!$B$2:$B$10,"&lt;"&amp;C2653,mdr_rate_cleaned!$F$2:$F$10,"&gt;="&amp;C2653)</f>
        <v>1.6E-2</v>
      </c>
      <c r="H2653" s="24">
        <f t="shared" si="205"/>
        <v>76.77</v>
      </c>
      <c r="I2653" s="23" t="str">
        <f t="shared" si="206"/>
        <v>Match</v>
      </c>
      <c r="J2653" s="23" t="str">
        <f t="shared" si="207"/>
        <v>Match</v>
      </c>
      <c r="K2653" s="24">
        <f t="shared" si="208"/>
        <v>13.82</v>
      </c>
      <c r="L2653" s="24">
        <f t="shared" si="209"/>
        <v>0</v>
      </c>
    </row>
    <row r="2654" spans="1:12" ht="15" customHeight="1" x14ac:dyDescent="0.3">
      <c r="A2654" s="23" t="s">
        <v>15593</v>
      </c>
      <c r="B2654" s="23" t="s">
        <v>77</v>
      </c>
      <c r="C2654" s="39">
        <v>7999</v>
      </c>
      <c r="D2654" s="24">
        <v>135.97999999999999</v>
      </c>
      <c r="E2654" s="24">
        <v>24.48</v>
      </c>
      <c r="F2654" s="23">
        <f>COUNTIFS(mdr_rate_cleaned!$A$2:$A$10,B2654,mdr_rate_cleaned!$B$2:$B$10,"&lt;"&amp;C2654,mdr_rate_cleaned!$F$2:$F$10,"&gt;="&amp;C2654)</f>
        <v>1</v>
      </c>
      <c r="G2654" s="40">
        <f>SUMIFS(mdr_rate_cleaned!$G$2:$G$10,mdr_rate_cleaned!$A$2:$A$10,B2654,mdr_rate_cleaned!$B$2:$B$10,"&lt;"&amp;C2654,mdr_rate_cleaned!$F$2:$F$10,"&gt;="&amp;C2654)</f>
        <v>1.7000000000000001E-2</v>
      </c>
      <c r="H2654" s="24">
        <f t="shared" si="205"/>
        <v>135.97999999999999</v>
      </c>
      <c r="I2654" s="23" t="str">
        <f t="shared" si="206"/>
        <v>Match</v>
      </c>
      <c r="J2654" s="23" t="str">
        <f t="shared" si="207"/>
        <v>Match</v>
      </c>
      <c r="K2654" s="24">
        <f t="shared" si="208"/>
        <v>24.48</v>
      </c>
      <c r="L2654" s="24">
        <f t="shared" si="209"/>
        <v>0</v>
      </c>
    </row>
    <row r="2655" spans="1:12" ht="15" customHeight="1" x14ac:dyDescent="0.3">
      <c r="A2655" s="23" t="s">
        <v>15594</v>
      </c>
      <c r="B2655" s="23" t="s">
        <v>79</v>
      </c>
      <c r="C2655" s="39">
        <v>999</v>
      </c>
      <c r="D2655" s="24">
        <v>17.98</v>
      </c>
      <c r="E2655" s="24">
        <v>3.24</v>
      </c>
      <c r="F2655" s="23">
        <f>COUNTIFS(mdr_rate_cleaned!$A$2:$A$10,B2655,mdr_rate_cleaned!$B$2:$B$10,"&lt;"&amp;C2655,mdr_rate_cleaned!$F$2:$F$10,"&gt;="&amp;C2655)</f>
        <v>1</v>
      </c>
      <c r="G2655" s="40">
        <f>SUMIFS(mdr_rate_cleaned!$G$2:$G$10,mdr_rate_cleaned!$A$2:$A$10,B2655,mdr_rate_cleaned!$B$2:$B$10,"&lt;"&amp;C2655,mdr_rate_cleaned!$F$2:$F$10,"&gt;="&amp;C2655)</f>
        <v>1.8000000000000002E-2</v>
      </c>
      <c r="H2655" s="24">
        <f t="shared" si="205"/>
        <v>17.98</v>
      </c>
      <c r="I2655" s="23" t="str">
        <f t="shared" si="206"/>
        <v>Match</v>
      </c>
      <c r="J2655" s="23" t="str">
        <f t="shared" si="207"/>
        <v>Match</v>
      </c>
      <c r="K2655" s="24">
        <f t="shared" si="208"/>
        <v>3.24</v>
      </c>
      <c r="L2655" s="24">
        <f t="shared" si="209"/>
        <v>0</v>
      </c>
    </row>
    <row r="2656" spans="1:12" ht="15" customHeight="1" x14ac:dyDescent="0.3">
      <c r="A2656" s="23" t="s">
        <v>15595</v>
      </c>
      <c r="B2656" s="23" t="s">
        <v>77</v>
      </c>
      <c r="C2656" s="39">
        <v>1799</v>
      </c>
      <c r="D2656" s="24">
        <v>34.18</v>
      </c>
      <c r="E2656" s="24">
        <v>6.15</v>
      </c>
      <c r="F2656" s="23">
        <f>COUNTIFS(mdr_rate_cleaned!$A$2:$A$10,B2656,mdr_rate_cleaned!$B$2:$B$10,"&lt;"&amp;C2656,mdr_rate_cleaned!$F$2:$F$10,"&gt;="&amp;C2656)</f>
        <v>1</v>
      </c>
      <c r="G2656" s="40">
        <f>SUMIFS(mdr_rate_cleaned!$G$2:$G$10,mdr_rate_cleaned!$A$2:$A$10,B2656,mdr_rate_cleaned!$B$2:$B$10,"&lt;"&amp;C2656,mdr_rate_cleaned!$F$2:$F$10,"&gt;="&amp;C2656)</f>
        <v>1.9E-2</v>
      </c>
      <c r="H2656" s="24">
        <f t="shared" si="205"/>
        <v>34.18</v>
      </c>
      <c r="I2656" s="23" t="str">
        <f t="shared" si="206"/>
        <v>Match</v>
      </c>
      <c r="J2656" s="23" t="str">
        <f t="shared" si="207"/>
        <v>Match</v>
      </c>
      <c r="K2656" s="24">
        <f t="shared" si="208"/>
        <v>6.15</v>
      </c>
      <c r="L2656" s="24">
        <f t="shared" si="209"/>
        <v>0</v>
      </c>
    </row>
    <row r="2657" spans="1:12" ht="15" customHeight="1" x14ac:dyDescent="0.3">
      <c r="A2657" s="23" t="s">
        <v>15596</v>
      </c>
      <c r="B2657" s="23" t="s">
        <v>81</v>
      </c>
      <c r="C2657" s="39">
        <v>3798</v>
      </c>
      <c r="D2657" s="24">
        <v>45.58</v>
      </c>
      <c r="E2657" s="24">
        <v>8.1999999999999993</v>
      </c>
      <c r="F2657" s="23">
        <f>COUNTIFS(mdr_rate_cleaned!$A$2:$A$10,B2657,mdr_rate_cleaned!$B$2:$B$10,"&lt;"&amp;C2657,mdr_rate_cleaned!$F$2:$F$10,"&gt;="&amp;C2657)</f>
        <v>1</v>
      </c>
      <c r="G2657" s="40">
        <f>SUMIFS(mdr_rate_cleaned!$G$2:$G$10,mdr_rate_cleaned!$A$2:$A$10,B2657,mdr_rate_cleaned!$B$2:$B$10,"&lt;"&amp;C2657,mdr_rate_cleaned!$F$2:$F$10,"&gt;="&amp;C2657)</f>
        <v>1.2E-2</v>
      </c>
      <c r="H2657" s="24">
        <f t="shared" si="205"/>
        <v>45.58</v>
      </c>
      <c r="I2657" s="23" t="str">
        <f t="shared" si="206"/>
        <v>Match</v>
      </c>
      <c r="J2657" s="23" t="str">
        <f t="shared" si="207"/>
        <v>Match</v>
      </c>
      <c r="K2657" s="24">
        <f t="shared" si="208"/>
        <v>8.1999999999999993</v>
      </c>
      <c r="L2657" s="24">
        <f t="shared" si="209"/>
        <v>0</v>
      </c>
    </row>
    <row r="2658" spans="1:12" ht="15" customHeight="1" x14ac:dyDescent="0.3">
      <c r="A2658" s="23" t="s">
        <v>15598</v>
      </c>
      <c r="B2658" s="23" t="s">
        <v>77</v>
      </c>
      <c r="C2658" s="39">
        <v>1299</v>
      </c>
      <c r="D2658" s="24">
        <v>24.68</v>
      </c>
      <c r="E2658" s="24">
        <v>4.4400000000000004</v>
      </c>
      <c r="F2658" s="23">
        <f>COUNTIFS(mdr_rate_cleaned!$A$2:$A$10,B2658,mdr_rate_cleaned!$B$2:$B$10,"&lt;"&amp;C2658,mdr_rate_cleaned!$F$2:$F$10,"&gt;="&amp;C2658)</f>
        <v>1</v>
      </c>
      <c r="G2658" s="40">
        <f>SUMIFS(mdr_rate_cleaned!$G$2:$G$10,mdr_rate_cleaned!$A$2:$A$10,B2658,mdr_rate_cleaned!$B$2:$B$10,"&lt;"&amp;C2658,mdr_rate_cleaned!$F$2:$F$10,"&gt;="&amp;C2658)</f>
        <v>1.9E-2</v>
      </c>
      <c r="H2658" s="24">
        <f t="shared" si="205"/>
        <v>24.68</v>
      </c>
      <c r="I2658" s="23" t="str">
        <f t="shared" si="206"/>
        <v>Match</v>
      </c>
      <c r="J2658" s="23" t="str">
        <f t="shared" si="207"/>
        <v>Match</v>
      </c>
      <c r="K2658" s="24">
        <f t="shared" si="208"/>
        <v>4.4400000000000004</v>
      </c>
      <c r="L2658" s="24">
        <f t="shared" si="209"/>
        <v>0</v>
      </c>
    </row>
    <row r="2659" spans="1:12" ht="15" customHeight="1" x14ac:dyDescent="0.3">
      <c r="A2659" s="23" t="s">
        <v>15599</v>
      </c>
      <c r="B2659" s="23" t="s">
        <v>75</v>
      </c>
      <c r="C2659" s="39">
        <v>9498</v>
      </c>
      <c r="D2659" s="24">
        <v>28.49</v>
      </c>
      <c r="E2659" s="24">
        <v>5.13</v>
      </c>
      <c r="F2659" s="23">
        <f>COUNTIFS(mdr_rate_cleaned!$A$2:$A$10,B2659,mdr_rate_cleaned!$B$2:$B$10,"&lt;"&amp;C2659,mdr_rate_cleaned!$F$2:$F$10,"&gt;="&amp;C2659)</f>
        <v>1</v>
      </c>
      <c r="G2659" s="40">
        <f>SUMIFS(mdr_rate_cleaned!$G$2:$G$10,mdr_rate_cleaned!$A$2:$A$10,B2659,mdr_rate_cleaned!$B$2:$B$10,"&lt;"&amp;C2659,mdr_rate_cleaned!$F$2:$F$10,"&gt;="&amp;C2659)</f>
        <v>3.0000000000000001E-3</v>
      </c>
      <c r="H2659" s="24">
        <f t="shared" si="205"/>
        <v>28.49</v>
      </c>
      <c r="I2659" s="23" t="str">
        <f t="shared" si="206"/>
        <v>Match</v>
      </c>
      <c r="J2659" s="23" t="str">
        <f t="shared" si="207"/>
        <v>Match</v>
      </c>
      <c r="K2659" s="24">
        <f t="shared" si="208"/>
        <v>5.13</v>
      </c>
      <c r="L2659" s="24">
        <f t="shared" si="209"/>
        <v>0</v>
      </c>
    </row>
    <row r="2660" spans="1:12" ht="15" customHeight="1" x14ac:dyDescent="0.3">
      <c r="A2660" s="23" t="s">
        <v>15600</v>
      </c>
      <c r="B2660" s="23" t="s">
        <v>79</v>
      </c>
      <c r="C2660" s="39">
        <v>4298</v>
      </c>
      <c r="D2660" s="24">
        <v>68.77</v>
      </c>
      <c r="E2660" s="24">
        <v>12.38</v>
      </c>
      <c r="F2660" s="23">
        <f>COUNTIFS(mdr_rate_cleaned!$A$2:$A$10,B2660,mdr_rate_cleaned!$B$2:$B$10,"&lt;"&amp;C2660,mdr_rate_cleaned!$F$2:$F$10,"&gt;="&amp;C2660)</f>
        <v>1</v>
      </c>
      <c r="G2660" s="40">
        <f>SUMIFS(mdr_rate_cleaned!$G$2:$G$10,mdr_rate_cleaned!$A$2:$A$10,B2660,mdr_rate_cleaned!$B$2:$B$10,"&lt;"&amp;C2660,mdr_rate_cleaned!$F$2:$F$10,"&gt;="&amp;C2660)</f>
        <v>1.6E-2</v>
      </c>
      <c r="H2660" s="24">
        <f t="shared" si="205"/>
        <v>68.77</v>
      </c>
      <c r="I2660" s="23" t="str">
        <f t="shared" si="206"/>
        <v>Match</v>
      </c>
      <c r="J2660" s="23" t="str">
        <f t="shared" si="207"/>
        <v>Match</v>
      </c>
      <c r="K2660" s="24">
        <f t="shared" si="208"/>
        <v>12.38</v>
      </c>
      <c r="L2660" s="24">
        <f t="shared" si="209"/>
        <v>0</v>
      </c>
    </row>
    <row r="2661" spans="1:12" ht="15" customHeight="1" x14ac:dyDescent="0.3">
      <c r="A2661" s="23" t="s">
        <v>15601</v>
      </c>
      <c r="B2661" s="23" t="s">
        <v>75</v>
      </c>
      <c r="C2661" s="39">
        <v>2499</v>
      </c>
      <c r="D2661" s="24">
        <v>7.5</v>
      </c>
      <c r="E2661" s="24">
        <v>1.35</v>
      </c>
      <c r="F2661" s="23">
        <f>COUNTIFS(mdr_rate_cleaned!$A$2:$A$10,B2661,mdr_rate_cleaned!$B$2:$B$10,"&lt;"&amp;C2661,mdr_rate_cleaned!$F$2:$F$10,"&gt;="&amp;C2661)</f>
        <v>1</v>
      </c>
      <c r="G2661" s="40">
        <f>SUMIFS(mdr_rate_cleaned!$G$2:$G$10,mdr_rate_cleaned!$A$2:$A$10,B2661,mdr_rate_cleaned!$B$2:$B$10,"&lt;"&amp;C2661,mdr_rate_cleaned!$F$2:$F$10,"&gt;="&amp;C2661)</f>
        <v>3.0000000000000001E-3</v>
      </c>
      <c r="H2661" s="24">
        <f t="shared" si="205"/>
        <v>7.5</v>
      </c>
      <c r="I2661" s="23" t="str">
        <f t="shared" si="206"/>
        <v>Match</v>
      </c>
      <c r="J2661" s="23" t="str">
        <f t="shared" si="207"/>
        <v>Match</v>
      </c>
      <c r="K2661" s="24">
        <f t="shared" si="208"/>
        <v>1.35</v>
      </c>
      <c r="L2661" s="24">
        <f t="shared" si="209"/>
        <v>0</v>
      </c>
    </row>
    <row r="2662" spans="1:12" ht="15" customHeight="1" x14ac:dyDescent="0.3">
      <c r="A2662" s="23" t="s">
        <v>15602</v>
      </c>
      <c r="B2662" s="23" t="s">
        <v>81</v>
      </c>
      <c r="C2662" s="39">
        <v>6797</v>
      </c>
      <c r="D2662" s="24">
        <v>81.56</v>
      </c>
      <c r="E2662" s="24">
        <v>14.68</v>
      </c>
      <c r="F2662" s="23">
        <f>COUNTIFS(mdr_rate_cleaned!$A$2:$A$10,B2662,mdr_rate_cleaned!$B$2:$B$10,"&lt;"&amp;C2662,mdr_rate_cleaned!$F$2:$F$10,"&gt;="&amp;C2662)</f>
        <v>1</v>
      </c>
      <c r="G2662" s="40">
        <f>SUMIFS(mdr_rate_cleaned!$G$2:$G$10,mdr_rate_cleaned!$A$2:$A$10,B2662,mdr_rate_cleaned!$B$2:$B$10,"&lt;"&amp;C2662,mdr_rate_cleaned!$F$2:$F$10,"&gt;="&amp;C2662)</f>
        <v>1.2E-2</v>
      </c>
      <c r="H2662" s="24">
        <f t="shared" si="205"/>
        <v>81.56</v>
      </c>
      <c r="I2662" s="23" t="str">
        <f t="shared" si="206"/>
        <v>Match</v>
      </c>
      <c r="J2662" s="23" t="str">
        <f t="shared" si="207"/>
        <v>Match</v>
      </c>
      <c r="K2662" s="24">
        <f t="shared" si="208"/>
        <v>14.68</v>
      </c>
      <c r="L2662" s="24">
        <f t="shared" si="209"/>
        <v>0</v>
      </c>
    </row>
    <row r="2663" spans="1:12" ht="15" customHeight="1" x14ac:dyDescent="0.3">
      <c r="A2663" s="23" t="s">
        <v>15603</v>
      </c>
      <c r="B2663" s="23" t="s">
        <v>79</v>
      </c>
      <c r="C2663" s="39">
        <v>299</v>
      </c>
      <c r="D2663" s="24">
        <v>5.38</v>
      </c>
      <c r="E2663" s="24">
        <v>0.97</v>
      </c>
      <c r="F2663" s="23">
        <f>COUNTIFS(mdr_rate_cleaned!$A$2:$A$10,B2663,mdr_rate_cleaned!$B$2:$B$10,"&lt;"&amp;C2663,mdr_rate_cleaned!$F$2:$F$10,"&gt;="&amp;C2663)</f>
        <v>1</v>
      </c>
      <c r="G2663" s="40">
        <f>SUMIFS(mdr_rate_cleaned!$G$2:$G$10,mdr_rate_cleaned!$A$2:$A$10,B2663,mdr_rate_cleaned!$B$2:$B$10,"&lt;"&amp;C2663,mdr_rate_cleaned!$F$2:$F$10,"&gt;="&amp;C2663)</f>
        <v>1.8000000000000002E-2</v>
      </c>
      <c r="H2663" s="24">
        <f t="shared" si="205"/>
        <v>5.38</v>
      </c>
      <c r="I2663" s="23" t="str">
        <f t="shared" si="206"/>
        <v>Match</v>
      </c>
      <c r="J2663" s="23" t="str">
        <f t="shared" si="207"/>
        <v>Match</v>
      </c>
      <c r="K2663" s="24">
        <f t="shared" si="208"/>
        <v>0.97</v>
      </c>
      <c r="L2663" s="24">
        <f t="shared" si="209"/>
        <v>0</v>
      </c>
    </row>
    <row r="2664" spans="1:12" ht="15" customHeight="1" x14ac:dyDescent="0.3">
      <c r="A2664" s="23" t="s">
        <v>15604</v>
      </c>
      <c r="B2664" s="23" t="s">
        <v>75</v>
      </c>
      <c r="C2664" s="39">
        <v>7998</v>
      </c>
      <c r="D2664" s="24">
        <v>23.99</v>
      </c>
      <c r="E2664" s="24">
        <v>4.32</v>
      </c>
      <c r="F2664" s="23">
        <f>COUNTIFS(mdr_rate_cleaned!$A$2:$A$10,B2664,mdr_rate_cleaned!$B$2:$B$10,"&lt;"&amp;C2664,mdr_rate_cleaned!$F$2:$F$10,"&gt;="&amp;C2664)</f>
        <v>1</v>
      </c>
      <c r="G2664" s="40">
        <f>SUMIFS(mdr_rate_cleaned!$G$2:$G$10,mdr_rate_cleaned!$A$2:$A$10,B2664,mdr_rate_cleaned!$B$2:$B$10,"&lt;"&amp;C2664,mdr_rate_cleaned!$F$2:$F$10,"&gt;="&amp;C2664)</f>
        <v>3.0000000000000001E-3</v>
      </c>
      <c r="H2664" s="24">
        <f t="shared" si="205"/>
        <v>23.99</v>
      </c>
      <c r="I2664" s="23" t="str">
        <f t="shared" si="206"/>
        <v>Match</v>
      </c>
      <c r="J2664" s="23" t="str">
        <f t="shared" si="207"/>
        <v>Match</v>
      </c>
      <c r="K2664" s="24">
        <f t="shared" si="208"/>
        <v>4.32</v>
      </c>
      <c r="L2664" s="24">
        <f t="shared" si="209"/>
        <v>0</v>
      </c>
    </row>
    <row r="2665" spans="1:12" ht="15" customHeight="1" x14ac:dyDescent="0.3">
      <c r="A2665" s="23" t="s">
        <v>15606</v>
      </c>
      <c r="B2665" s="23" t="s">
        <v>75</v>
      </c>
      <c r="C2665" s="39">
        <v>3598</v>
      </c>
      <c r="D2665" s="24">
        <v>10.79</v>
      </c>
      <c r="E2665" s="24">
        <v>1.94</v>
      </c>
      <c r="F2665" s="23">
        <f>COUNTIFS(mdr_rate_cleaned!$A$2:$A$10,B2665,mdr_rate_cleaned!$B$2:$B$10,"&lt;"&amp;C2665,mdr_rate_cleaned!$F$2:$F$10,"&gt;="&amp;C2665)</f>
        <v>1</v>
      </c>
      <c r="G2665" s="40">
        <f>SUMIFS(mdr_rate_cleaned!$G$2:$G$10,mdr_rate_cleaned!$A$2:$A$10,B2665,mdr_rate_cleaned!$B$2:$B$10,"&lt;"&amp;C2665,mdr_rate_cleaned!$F$2:$F$10,"&gt;="&amp;C2665)</f>
        <v>3.0000000000000001E-3</v>
      </c>
      <c r="H2665" s="24">
        <f t="shared" si="205"/>
        <v>10.79</v>
      </c>
      <c r="I2665" s="23" t="str">
        <f t="shared" si="206"/>
        <v>Match</v>
      </c>
      <c r="J2665" s="23" t="str">
        <f t="shared" si="207"/>
        <v>Match</v>
      </c>
      <c r="K2665" s="24">
        <f t="shared" si="208"/>
        <v>1.94</v>
      </c>
      <c r="L2665" s="24">
        <f t="shared" si="209"/>
        <v>0</v>
      </c>
    </row>
    <row r="2666" spans="1:12" ht="15" customHeight="1" x14ac:dyDescent="0.3">
      <c r="A2666" s="23" t="s">
        <v>15607</v>
      </c>
      <c r="B2666" s="23" t="s">
        <v>75</v>
      </c>
      <c r="C2666" s="39">
        <v>3499</v>
      </c>
      <c r="D2666" s="24">
        <v>10.5</v>
      </c>
      <c r="E2666" s="24">
        <v>1.89</v>
      </c>
      <c r="F2666" s="23">
        <f>COUNTIFS(mdr_rate_cleaned!$A$2:$A$10,B2666,mdr_rate_cleaned!$B$2:$B$10,"&lt;"&amp;C2666,mdr_rate_cleaned!$F$2:$F$10,"&gt;="&amp;C2666)</f>
        <v>1</v>
      </c>
      <c r="G2666" s="40">
        <f>SUMIFS(mdr_rate_cleaned!$G$2:$G$10,mdr_rate_cleaned!$A$2:$A$10,B2666,mdr_rate_cleaned!$B$2:$B$10,"&lt;"&amp;C2666,mdr_rate_cleaned!$F$2:$F$10,"&gt;="&amp;C2666)</f>
        <v>3.0000000000000001E-3</v>
      </c>
      <c r="H2666" s="24">
        <f t="shared" si="205"/>
        <v>10.5</v>
      </c>
      <c r="I2666" s="23" t="str">
        <f t="shared" si="206"/>
        <v>Match</v>
      </c>
      <c r="J2666" s="23" t="str">
        <f t="shared" si="207"/>
        <v>Match</v>
      </c>
      <c r="K2666" s="24">
        <f t="shared" si="208"/>
        <v>1.89</v>
      </c>
      <c r="L2666" s="24">
        <f t="shared" si="209"/>
        <v>0</v>
      </c>
    </row>
    <row r="2667" spans="1:12" ht="15" customHeight="1" x14ac:dyDescent="0.3">
      <c r="A2667" s="23" t="s">
        <v>15608</v>
      </c>
      <c r="B2667" s="23" t="s">
        <v>75</v>
      </c>
      <c r="C2667" s="39">
        <v>7097</v>
      </c>
      <c r="D2667" s="24">
        <v>21.29</v>
      </c>
      <c r="E2667" s="24">
        <v>3.83</v>
      </c>
      <c r="F2667" s="23">
        <f>COUNTIFS(mdr_rate_cleaned!$A$2:$A$10,B2667,mdr_rate_cleaned!$B$2:$B$10,"&lt;"&amp;C2667,mdr_rate_cleaned!$F$2:$F$10,"&gt;="&amp;C2667)</f>
        <v>1</v>
      </c>
      <c r="G2667" s="40">
        <f>SUMIFS(mdr_rate_cleaned!$G$2:$G$10,mdr_rate_cleaned!$A$2:$A$10,B2667,mdr_rate_cleaned!$B$2:$B$10,"&lt;"&amp;C2667,mdr_rate_cleaned!$F$2:$F$10,"&gt;="&amp;C2667)</f>
        <v>3.0000000000000001E-3</v>
      </c>
      <c r="H2667" s="24">
        <f t="shared" si="205"/>
        <v>21.29</v>
      </c>
      <c r="I2667" s="23" t="str">
        <f t="shared" si="206"/>
        <v>Match</v>
      </c>
      <c r="J2667" s="23" t="str">
        <f t="shared" si="207"/>
        <v>Match</v>
      </c>
      <c r="K2667" s="24">
        <f t="shared" si="208"/>
        <v>3.83</v>
      </c>
      <c r="L2667" s="24">
        <f t="shared" si="209"/>
        <v>0</v>
      </c>
    </row>
    <row r="2668" spans="1:12" ht="15" customHeight="1" x14ac:dyDescent="0.3">
      <c r="A2668" s="23" t="s">
        <v>15609</v>
      </c>
      <c r="B2668" s="23" t="s">
        <v>77</v>
      </c>
      <c r="C2668" s="39">
        <v>8597</v>
      </c>
      <c r="D2668" s="24">
        <v>146.15</v>
      </c>
      <c r="E2668" s="24">
        <v>26.31</v>
      </c>
      <c r="F2668" s="23">
        <f>COUNTIFS(mdr_rate_cleaned!$A$2:$A$10,B2668,mdr_rate_cleaned!$B$2:$B$10,"&lt;"&amp;C2668,mdr_rate_cleaned!$F$2:$F$10,"&gt;="&amp;C2668)</f>
        <v>1</v>
      </c>
      <c r="G2668" s="40">
        <f>SUMIFS(mdr_rate_cleaned!$G$2:$G$10,mdr_rate_cleaned!$A$2:$A$10,B2668,mdr_rate_cleaned!$B$2:$B$10,"&lt;"&amp;C2668,mdr_rate_cleaned!$F$2:$F$10,"&gt;="&amp;C2668)</f>
        <v>1.7000000000000001E-2</v>
      </c>
      <c r="H2668" s="24">
        <f t="shared" si="205"/>
        <v>146.15</v>
      </c>
      <c r="I2668" s="23" t="str">
        <f t="shared" si="206"/>
        <v>Match</v>
      </c>
      <c r="J2668" s="23" t="str">
        <f t="shared" si="207"/>
        <v>Match</v>
      </c>
      <c r="K2668" s="24">
        <f t="shared" si="208"/>
        <v>26.31</v>
      </c>
      <c r="L2668" s="24">
        <f t="shared" si="209"/>
        <v>0</v>
      </c>
    </row>
    <row r="2669" spans="1:12" ht="15" customHeight="1" x14ac:dyDescent="0.3">
      <c r="A2669" s="23" t="s">
        <v>15610</v>
      </c>
      <c r="B2669" s="23" t="s">
        <v>79</v>
      </c>
      <c r="C2669" s="39">
        <v>599</v>
      </c>
      <c r="D2669" s="24">
        <v>10.78</v>
      </c>
      <c r="E2669" s="24">
        <v>1.94</v>
      </c>
      <c r="F2669" s="23">
        <f>COUNTIFS(mdr_rate_cleaned!$A$2:$A$10,B2669,mdr_rate_cleaned!$B$2:$B$10,"&lt;"&amp;C2669,mdr_rate_cleaned!$F$2:$F$10,"&gt;="&amp;C2669)</f>
        <v>1</v>
      </c>
      <c r="G2669" s="40">
        <f>SUMIFS(mdr_rate_cleaned!$G$2:$G$10,mdr_rate_cleaned!$A$2:$A$10,B2669,mdr_rate_cleaned!$B$2:$B$10,"&lt;"&amp;C2669,mdr_rate_cleaned!$F$2:$F$10,"&gt;="&amp;C2669)</f>
        <v>1.8000000000000002E-2</v>
      </c>
      <c r="H2669" s="24">
        <f t="shared" si="205"/>
        <v>10.78</v>
      </c>
      <c r="I2669" s="23" t="str">
        <f t="shared" si="206"/>
        <v>Match</v>
      </c>
      <c r="J2669" s="23" t="str">
        <f t="shared" si="207"/>
        <v>Match</v>
      </c>
      <c r="K2669" s="24">
        <f t="shared" si="208"/>
        <v>1.94</v>
      </c>
      <c r="L2669" s="24">
        <f t="shared" si="209"/>
        <v>0</v>
      </c>
    </row>
    <row r="2670" spans="1:12" ht="15" customHeight="1" x14ac:dyDescent="0.3">
      <c r="A2670" s="23" t="s">
        <v>15611</v>
      </c>
      <c r="B2670" s="23" t="s">
        <v>79</v>
      </c>
      <c r="C2670" s="39">
        <v>7999</v>
      </c>
      <c r="D2670" s="24">
        <v>127.98</v>
      </c>
      <c r="E2670" s="24">
        <v>23.04</v>
      </c>
      <c r="F2670" s="23">
        <f>COUNTIFS(mdr_rate_cleaned!$A$2:$A$10,B2670,mdr_rate_cleaned!$B$2:$B$10,"&lt;"&amp;C2670,mdr_rate_cleaned!$F$2:$F$10,"&gt;="&amp;C2670)</f>
        <v>1</v>
      </c>
      <c r="G2670" s="40">
        <f>SUMIFS(mdr_rate_cleaned!$G$2:$G$10,mdr_rate_cleaned!$A$2:$A$10,B2670,mdr_rate_cleaned!$B$2:$B$10,"&lt;"&amp;C2670,mdr_rate_cleaned!$F$2:$F$10,"&gt;="&amp;C2670)</f>
        <v>1.6E-2</v>
      </c>
      <c r="H2670" s="24">
        <f t="shared" si="205"/>
        <v>127.98</v>
      </c>
      <c r="I2670" s="23" t="str">
        <f t="shared" si="206"/>
        <v>Match</v>
      </c>
      <c r="J2670" s="23" t="str">
        <f t="shared" si="207"/>
        <v>Match</v>
      </c>
      <c r="K2670" s="24">
        <f t="shared" si="208"/>
        <v>23.04</v>
      </c>
      <c r="L2670" s="24">
        <f t="shared" si="209"/>
        <v>0</v>
      </c>
    </row>
    <row r="2671" spans="1:12" ht="15" customHeight="1" x14ac:dyDescent="0.3">
      <c r="A2671" s="23" t="s">
        <v>15612</v>
      </c>
      <c r="B2671" s="23" t="s">
        <v>75</v>
      </c>
      <c r="C2671" s="39">
        <v>1499</v>
      </c>
      <c r="D2671" s="24">
        <v>0</v>
      </c>
      <c r="E2671" s="24">
        <v>0</v>
      </c>
      <c r="F2671" s="23">
        <f>COUNTIFS(mdr_rate_cleaned!$A$2:$A$10,B2671,mdr_rate_cleaned!$B$2:$B$10,"&lt;"&amp;C2671,mdr_rate_cleaned!$F$2:$F$10,"&gt;="&amp;C2671)</f>
        <v>1</v>
      </c>
      <c r="G2671" s="40">
        <f>SUMIFS(mdr_rate_cleaned!$G$2:$G$10,mdr_rate_cleaned!$A$2:$A$10,B2671,mdr_rate_cleaned!$B$2:$B$10,"&lt;"&amp;C2671,mdr_rate_cleaned!$F$2:$F$10,"&gt;="&amp;C2671)</f>
        <v>0</v>
      </c>
      <c r="H2671" s="24">
        <f t="shared" si="205"/>
        <v>0</v>
      </c>
      <c r="I2671" s="23" t="str">
        <f t="shared" si="206"/>
        <v>Match</v>
      </c>
      <c r="J2671" s="23" t="str">
        <f t="shared" si="207"/>
        <v>Match</v>
      </c>
      <c r="K2671" s="24">
        <f t="shared" si="208"/>
        <v>0</v>
      </c>
      <c r="L2671" s="24">
        <f t="shared" si="209"/>
        <v>0</v>
      </c>
    </row>
    <row r="2672" spans="1:12" ht="15" customHeight="1" x14ac:dyDescent="0.3">
      <c r="A2672" s="23" t="s">
        <v>15613</v>
      </c>
      <c r="B2672" s="23" t="s">
        <v>75</v>
      </c>
      <c r="C2672" s="39">
        <v>2999</v>
      </c>
      <c r="D2672" s="24">
        <v>9</v>
      </c>
      <c r="E2672" s="24">
        <v>1.62</v>
      </c>
      <c r="F2672" s="23">
        <f>COUNTIFS(mdr_rate_cleaned!$A$2:$A$10,B2672,mdr_rate_cleaned!$B$2:$B$10,"&lt;"&amp;C2672,mdr_rate_cleaned!$F$2:$F$10,"&gt;="&amp;C2672)</f>
        <v>1</v>
      </c>
      <c r="G2672" s="40">
        <f>SUMIFS(mdr_rate_cleaned!$G$2:$G$10,mdr_rate_cleaned!$A$2:$A$10,B2672,mdr_rate_cleaned!$B$2:$B$10,"&lt;"&amp;C2672,mdr_rate_cleaned!$F$2:$F$10,"&gt;="&amp;C2672)</f>
        <v>3.0000000000000001E-3</v>
      </c>
      <c r="H2672" s="24">
        <f t="shared" si="205"/>
        <v>9</v>
      </c>
      <c r="I2672" s="23" t="str">
        <f t="shared" si="206"/>
        <v>Match</v>
      </c>
      <c r="J2672" s="23" t="str">
        <f t="shared" si="207"/>
        <v>Match</v>
      </c>
      <c r="K2672" s="24">
        <f t="shared" si="208"/>
        <v>1.62</v>
      </c>
      <c r="L2672" s="24">
        <f t="shared" si="209"/>
        <v>0</v>
      </c>
    </row>
    <row r="2673" spans="1:12" ht="15" customHeight="1" x14ac:dyDescent="0.3">
      <c r="A2673" s="23" t="s">
        <v>15614</v>
      </c>
      <c r="B2673" s="23" t="s">
        <v>77</v>
      </c>
      <c r="C2673" s="39">
        <v>3798</v>
      </c>
      <c r="D2673" s="24">
        <v>64.569999999999993</v>
      </c>
      <c r="E2673" s="24">
        <v>11.62</v>
      </c>
      <c r="F2673" s="23">
        <f>COUNTIFS(mdr_rate_cleaned!$A$2:$A$10,B2673,mdr_rate_cleaned!$B$2:$B$10,"&lt;"&amp;C2673,mdr_rate_cleaned!$F$2:$F$10,"&gt;="&amp;C2673)</f>
        <v>1</v>
      </c>
      <c r="G2673" s="40">
        <f>SUMIFS(mdr_rate_cleaned!$G$2:$G$10,mdr_rate_cleaned!$A$2:$A$10,B2673,mdr_rate_cleaned!$B$2:$B$10,"&lt;"&amp;C2673,mdr_rate_cleaned!$F$2:$F$10,"&gt;="&amp;C2673)</f>
        <v>1.7000000000000001E-2</v>
      </c>
      <c r="H2673" s="24">
        <f t="shared" si="205"/>
        <v>64.569999999999993</v>
      </c>
      <c r="I2673" s="23" t="str">
        <f t="shared" si="206"/>
        <v>Match</v>
      </c>
      <c r="J2673" s="23" t="str">
        <f t="shared" si="207"/>
        <v>Match</v>
      </c>
      <c r="K2673" s="24">
        <f t="shared" si="208"/>
        <v>11.62</v>
      </c>
      <c r="L2673" s="24">
        <f t="shared" si="209"/>
        <v>0</v>
      </c>
    </row>
    <row r="2674" spans="1:12" ht="15" customHeight="1" x14ac:dyDescent="0.3">
      <c r="A2674" s="23" t="s">
        <v>15615</v>
      </c>
      <c r="B2674" s="23" t="s">
        <v>77</v>
      </c>
      <c r="C2674" s="39">
        <v>11097</v>
      </c>
      <c r="D2674" s="24">
        <v>188.65</v>
      </c>
      <c r="E2674" s="24">
        <v>33.96</v>
      </c>
      <c r="F2674" s="23">
        <f>COUNTIFS(mdr_rate_cleaned!$A$2:$A$10,B2674,mdr_rate_cleaned!$B$2:$B$10,"&lt;"&amp;C2674,mdr_rate_cleaned!$F$2:$F$10,"&gt;="&amp;C2674)</f>
        <v>1</v>
      </c>
      <c r="G2674" s="40">
        <f>SUMIFS(mdr_rate_cleaned!$G$2:$G$10,mdr_rate_cleaned!$A$2:$A$10,B2674,mdr_rate_cleaned!$B$2:$B$10,"&lt;"&amp;C2674,mdr_rate_cleaned!$F$2:$F$10,"&gt;="&amp;C2674)</f>
        <v>1.7000000000000001E-2</v>
      </c>
      <c r="H2674" s="24">
        <f t="shared" si="205"/>
        <v>188.65</v>
      </c>
      <c r="I2674" s="23" t="str">
        <f t="shared" si="206"/>
        <v>Match</v>
      </c>
      <c r="J2674" s="23" t="str">
        <f t="shared" si="207"/>
        <v>Match</v>
      </c>
      <c r="K2674" s="24">
        <f t="shared" si="208"/>
        <v>33.96</v>
      </c>
      <c r="L2674" s="24">
        <f t="shared" si="209"/>
        <v>0</v>
      </c>
    </row>
    <row r="2675" spans="1:12" ht="15" customHeight="1" x14ac:dyDescent="0.3">
      <c r="A2675" s="23" t="s">
        <v>15616</v>
      </c>
      <c r="B2675" s="23" t="s">
        <v>75</v>
      </c>
      <c r="C2675" s="39">
        <v>5598</v>
      </c>
      <c r="D2675" s="24">
        <v>16.79</v>
      </c>
      <c r="E2675" s="24">
        <v>3.02</v>
      </c>
      <c r="F2675" s="23">
        <f>COUNTIFS(mdr_rate_cleaned!$A$2:$A$10,B2675,mdr_rate_cleaned!$B$2:$B$10,"&lt;"&amp;C2675,mdr_rate_cleaned!$F$2:$F$10,"&gt;="&amp;C2675)</f>
        <v>1</v>
      </c>
      <c r="G2675" s="40">
        <f>SUMIFS(mdr_rate_cleaned!$G$2:$G$10,mdr_rate_cleaned!$A$2:$A$10,B2675,mdr_rate_cleaned!$B$2:$B$10,"&lt;"&amp;C2675,mdr_rate_cleaned!$F$2:$F$10,"&gt;="&amp;C2675)</f>
        <v>3.0000000000000001E-3</v>
      </c>
      <c r="H2675" s="24">
        <f t="shared" si="205"/>
        <v>16.79</v>
      </c>
      <c r="I2675" s="23" t="str">
        <f t="shared" si="206"/>
        <v>Match</v>
      </c>
      <c r="J2675" s="23" t="str">
        <f t="shared" si="207"/>
        <v>Match</v>
      </c>
      <c r="K2675" s="24">
        <f t="shared" si="208"/>
        <v>3.02</v>
      </c>
      <c r="L2675" s="24">
        <f t="shared" si="209"/>
        <v>0</v>
      </c>
    </row>
    <row r="2676" spans="1:12" ht="15" customHeight="1" x14ac:dyDescent="0.3">
      <c r="A2676" s="23" t="s">
        <v>15617</v>
      </c>
      <c r="B2676" s="23" t="s">
        <v>79</v>
      </c>
      <c r="C2676" s="39">
        <v>10498</v>
      </c>
      <c r="D2676" s="24">
        <v>167.97</v>
      </c>
      <c r="E2676" s="24">
        <v>30.23</v>
      </c>
      <c r="F2676" s="23">
        <f>COUNTIFS(mdr_rate_cleaned!$A$2:$A$10,B2676,mdr_rate_cleaned!$B$2:$B$10,"&lt;"&amp;C2676,mdr_rate_cleaned!$F$2:$F$10,"&gt;="&amp;C2676)</f>
        <v>1</v>
      </c>
      <c r="G2676" s="40">
        <f>SUMIFS(mdr_rate_cleaned!$G$2:$G$10,mdr_rate_cleaned!$A$2:$A$10,B2676,mdr_rate_cleaned!$B$2:$B$10,"&lt;"&amp;C2676,mdr_rate_cleaned!$F$2:$F$10,"&gt;="&amp;C2676)</f>
        <v>1.6E-2</v>
      </c>
      <c r="H2676" s="24">
        <f t="shared" si="205"/>
        <v>167.97</v>
      </c>
      <c r="I2676" s="23" t="str">
        <f t="shared" si="206"/>
        <v>Match</v>
      </c>
      <c r="J2676" s="23" t="str">
        <f t="shared" si="207"/>
        <v>Match</v>
      </c>
      <c r="K2676" s="24">
        <f t="shared" si="208"/>
        <v>30.23</v>
      </c>
      <c r="L2676" s="24">
        <f t="shared" si="209"/>
        <v>0</v>
      </c>
    </row>
    <row r="2677" spans="1:12" ht="15" customHeight="1" x14ac:dyDescent="0.3">
      <c r="A2677" s="23" t="s">
        <v>15618</v>
      </c>
      <c r="B2677" s="23" t="s">
        <v>75</v>
      </c>
      <c r="C2677" s="39">
        <v>349</v>
      </c>
      <c r="D2677" s="24">
        <v>0</v>
      </c>
      <c r="E2677" s="24">
        <v>0</v>
      </c>
      <c r="F2677" s="23">
        <f>COUNTIFS(mdr_rate_cleaned!$A$2:$A$10,B2677,mdr_rate_cleaned!$B$2:$B$10,"&lt;"&amp;C2677,mdr_rate_cleaned!$F$2:$F$10,"&gt;="&amp;C2677)</f>
        <v>1</v>
      </c>
      <c r="G2677" s="40">
        <f>SUMIFS(mdr_rate_cleaned!$G$2:$G$10,mdr_rate_cleaned!$A$2:$A$10,B2677,mdr_rate_cleaned!$B$2:$B$10,"&lt;"&amp;C2677,mdr_rate_cleaned!$F$2:$F$10,"&gt;="&amp;C2677)</f>
        <v>0</v>
      </c>
      <c r="H2677" s="24">
        <f t="shared" si="205"/>
        <v>0</v>
      </c>
      <c r="I2677" s="23" t="str">
        <f t="shared" si="206"/>
        <v>Match</v>
      </c>
      <c r="J2677" s="23" t="str">
        <f t="shared" si="207"/>
        <v>Match</v>
      </c>
      <c r="K2677" s="24">
        <f t="shared" si="208"/>
        <v>0</v>
      </c>
      <c r="L2677" s="24">
        <f t="shared" si="209"/>
        <v>0</v>
      </c>
    </row>
    <row r="2678" spans="1:12" ht="15" customHeight="1" x14ac:dyDescent="0.3">
      <c r="A2678" s="23" t="s">
        <v>15619</v>
      </c>
      <c r="B2678" s="23" t="s">
        <v>79</v>
      </c>
      <c r="C2678" s="39">
        <v>5097</v>
      </c>
      <c r="D2678" s="24">
        <v>81.55</v>
      </c>
      <c r="E2678" s="24">
        <v>14.68</v>
      </c>
      <c r="F2678" s="23">
        <f>COUNTIFS(mdr_rate_cleaned!$A$2:$A$10,B2678,mdr_rate_cleaned!$B$2:$B$10,"&lt;"&amp;C2678,mdr_rate_cleaned!$F$2:$F$10,"&gt;="&amp;C2678)</f>
        <v>1</v>
      </c>
      <c r="G2678" s="40">
        <f>SUMIFS(mdr_rate_cleaned!$G$2:$G$10,mdr_rate_cleaned!$A$2:$A$10,B2678,mdr_rate_cleaned!$B$2:$B$10,"&lt;"&amp;C2678,mdr_rate_cleaned!$F$2:$F$10,"&gt;="&amp;C2678)</f>
        <v>1.6E-2</v>
      </c>
      <c r="H2678" s="24">
        <f t="shared" si="205"/>
        <v>81.55</v>
      </c>
      <c r="I2678" s="23" t="str">
        <f t="shared" si="206"/>
        <v>Match</v>
      </c>
      <c r="J2678" s="23" t="str">
        <f t="shared" si="207"/>
        <v>Match</v>
      </c>
      <c r="K2678" s="24">
        <f t="shared" si="208"/>
        <v>14.68</v>
      </c>
      <c r="L2678" s="24">
        <f t="shared" si="209"/>
        <v>0</v>
      </c>
    </row>
    <row r="2679" spans="1:12" ht="15" customHeight="1" x14ac:dyDescent="0.3">
      <c r="A2679" s="23" t="s">
        <v>15621</v>
      </c>
      <c r="B2679" s="23" t="s">
        <v>75</v>
      </c>
      <c r="C2679" s="39">
        <v>299</v>
      </c>
      <c r="D2679" s="24">
        <v>0</v>
      </c>
      <c r="E2679" s="24">
        <v>0</v>
      </c>
      <c r="F2679" s="23">
        <f>COUNTIFS(mdr_rate_cleaned!$A$2:$A$10,B2679,mdr_rate_cleaned!$B$2:$B$10,"&lt;"&amp;C2679,mdr_rate_cleaned!$F$2:$F$10,"&gt;="&amp;C2679)</f>
        <v>1</v>
      </c>
      <c r="G2679" s="40">
        <f>SUMIFS(mdr_rate_cleaned!$G$2:$G$10,mdr_rate_cleaned!$A$2:$A$10,B2679,mdr_rate_cleaned!$B$2:$B$10,"&lt;"&amp;C2679,mdr_rate_cleaned!$F$2:$F$10,"&gt;="&amp;C2679)</f>
        <v>0</v>
      </c>
      <c r="H2679" s="24">
        <f t="shared" si="205"/>
        <v>0</v>
      </c>
      <c r="I2679" s="23" t="str">
        <f t="shared" si="206"/>
        <v>Match</v>
      </c>
      <c r="J2679" s="23" t="str">
        <f t="shared" si="207"/>
        <v>Match</v>
      </c>
      <c r="K2679" s="24">
        <f t="shared" si="208"/>
        <v>0</v>
      </c>
      <c r="L2679" s="24">
        <f t="shared" si="209"/>
        <v>0</v>
      </c>
    </row>
    <row r="2680" spans="1:12" ht="15" customHeight="1" x14ac:dyDescent="0.3">
      <c r="A2680" s="23" t="s">
        <v>15622</v>
      </c>
      <c r="B2680" s="23" t="s">
        <v>79</v>
      </c>
      <c r="C2680" s="39">
        <v>499</v>
      </c>
      <c r="D2680" s="24">
        <v>8.98</v>
      </c>
      <c r="E2680" s="24">
        <v>1.62</v>
      </c>
      <c r="F2680" s="23">
        <f>COUNTIFS(mdr_rate_cleaned!$A$2:$A$10,B2680,mdr_rate_cleaned!$B$2:$B$10,"&lt;"&amp;C2680,mdr_rate_cleaned!$F$2:$F$10,"&gt;="&amp;C2680)</f>
        <v>1</v>
      </c>
      <c r="G2680" s="40">
        <f>SUMIFS(mdr_rate_cleaned!$G$2:$G$10,mdr_rate_cleaned!$A$2:$A$10,B2680,mdr_rate_cleaned!$B$2:$B$10,"&lt;"&amp;C2680,mdr_rate_cleaned!$F$2:$F$10,"&gt;="&amp;C2680)</f>
        <v>1.8000000000000002E-2</v>
      </c>
      <c r="H2680" s="24">
        <f t="shared" si="205"/>
        <v>8.98</v>
      </c>
      <c r="I2680" s="23" t="str">
        <f t="shared" si="206"/>
        <v>Match</v>
      </c>
      <c r="J2680" s="23" t="str">
        <f t="shared" si="207"/>
        <v>Match</v>
      </c>
      <c r="K2680" s="24">
        <f t="shared" si="208"/>
        <v>1.62</v>
      </c>
      <c r="L2680" s="24">
        <f t="shared" si="209"/>
        <v>0</v>
      </c>
    </row>
    <row r="2681" spans="1:12" ht="15" customHeight="1" x14ac:dyDescent="0.3">
      <c r="A2681" s="23" t="s">
        <v>15623</v>
      </c>
      <c r="B2681" s="23" t="s">
        <v>75</v>
      </c>
      <c r="C2681" s="39">
        <v>4597</v>
      </c>
      <c r="D2681" s="24">
        <v>13.79</v>
      </c>
      <c r="E2681" s="24">
        <v>2.48</v>
      </c>
      <c r="F2681" s="23">
        <f>COUNTIFS(mdr_rate_cleaned!$A$2:$A$10,B2681,mdr_rate_cleaned!$B$2:$B$10,"&lt;"&amp;C2681,mdr_rate_cleaned!$F$2:$F$10,"&gt;="&amp;C2681)</f>
        <v>1</v>
      </c>
      <c r="G2681" s="40">
        <f>SUMIFS(mdr_rate_cleaned!$G$2:$G$10,mdr_rate_cleaned!$A$2:$A$10,B2681,mdr_rate_cleaned!$B$2:$B$10,"&lt;"&amp;C2681,mdr_rate_cleaned!$F$2:$F$10,"&gt;="&amp;C2681)</f>
        <v>3.0000000000000001E-3</v>
      </c>
      <c r="H2681" s="24">
        <f t="shared" si="205"/>
        <v>13.79</v>
      </c>
      <c r="I2681" s="23" t="str">
        <f t="shared" si="206"/>
        <v>Match</v>
      </c>
      <c r="J2681" s="23" t="str">
        <f t="shared" si="207"/>
        <v>Match</v>
      </c>
      <c r="K2681" s="24">
        <f t="shared" si="208"/>
        <v>2.48</v>
      </c>
      <c r="L2681" s="24">
        <f t="shared" si="209"/>
        <v>0</v>
      </c>
    </row>
    <row r="2682" spans="1:12" ht="15" customHeight="1" x14ac:dyDescent="0.3">
      <c r="A2682" s="23" t="s">
        <v>15624</v>
      </c>
      <c r="B2682" s="23" t="s">
        <v>77</v>
      </c>
      <c r="C2682" s="39">
        <v>7999</v>
      </c>
      <c r="D2682" s="24">
        <v>135.97999999999999</v>
      </c>
      <c r="E2682" s="24">
        <v>24.48</v>
      </c>
      <c r="F2682" s="23">
        <f>COUNTIFS(mdr_rate_cleaned!$A$2:$A$10,B2682,mdr_rate_cleaned!$B$2:$B$10,"&lt;"&amp;C2682,mdr_rate_cleaned!$F$2:$F$10,"&gt;="&amp;C2682)</f>
        <v>1</v>
      </c>
      <c r="G2682" s="40">
        <f>SUMIFS(mdr_rate_cleaned!$G$2:$G$10,mdr_rate_cleaned!$A$2:$A$10,B2682,mdr_rate_cleaned!$B$2:$B$10,"&lt;"&amp;C2682,mdr_rate_cleaned!$F$2:$F$10,"&gt;="&amp;C2682)</f>
        <v>1.7000000000000001E-2</v>
      </c>
      <c r="H2682" s="24">
        <f t="shared" si="205"/>
        <v>135.97999999999999</v>
      </c>
      <c r="I2682" s="23" t="str">
        <f t="shared" si="206"/>
        <v>Match</v>
      </c>
      <c r="J2682" s="23" t="str">
        <f t="shared" si="207"/>
        <v>Match</v>
      </c>
      <c r="K2682" s="24">
        <f t="shared" si="208"/>
        <v>24.48</v>
      </c>
      <c r="L2682" s="24">
        <f t="shared" si="209"/>
        <v>0</v>
      </c>
    </row>
    <row r="2683" spans="1:12" ht="15" customHeight="1" x14ac:dyDescent="0.3">
      <c r="A2683" s="23" t="s">
        <v>15626</v>
      </c>
      <c r="B2683" s="23" t="s">
        <v>79</v>
      </c>
      <c r="C2683" s="39">
        <v>9298</v>
      </c>
      <c r="D2683" s="24">
        <v>148.77000000000001</v>
      </c>
      <c r="E2683" s="24">
        <v>26.78</v>
      </c>
      <c r="F2683" s="23">
        <f>COUNTIFS(mdr_rate_cleaned!$A$2:$A$10,B2683,mdr_rate_cleaned!$B$2:$B$10,"&lt;"&amp;C2683,mdr_rate_cleaned!$F$2:$F$10,"&gt;="&amp;C2683)</f>
        <v>1</v>
      </c>
      <c r="G2683" s="40">
        <f>SUMIFS(mdr_rate_cleaned!$G$2:$G$10,mdr_rate_cleaned!$A$2:$A$10,B2683,mdr_rate_cleaned!$B$2:$B$10,"&lt;"&amp;C2683,mdr_rate_cleaned!$F$2:$F$10,"&gt;="&amp;C2683)</f>
        <v>1.6E-2</v>
      </c>
      <c r="H2683" s="24">
        <f t="shared" si="205"/>
        <v>148.77000000000001</v>
      </c>
      <c r="I2683" s="23" t="str">
        <f t="shared" si="206"/>
        <v>Match</v>
      </c>
      <c r="J2683" s="23" t="str">
        <f t="shared" si="207"/>
        <v>Match</v>
      </c>
      <c r="K2683" s="24">
        <f t="shared" si="208"/>
        <v>26.78</v>
      </c>
      <c r="L2683" s="24">
        <f t="shared" si="209"/>
        <v>0</v>
      </c>
    </row>
    <row r="2684" spans="1:12" ht="15" customHeight="1" x14ac:dyDescent="0.3">
      <c r="A2684" s="23" t="s">
        <v>15627</v>
      </c>
      <c r="B2684" s="23" t="s">
        <v>77</v>
      </c>
      <c r="C2684" s="39">
        <v>3498</v>
      </c>
      <c r="D2684" s="24">
        <v>59.47</v>
      </c>
      <c r="E2684" s="24">
        <v>10.7</v>
      </c>
      <c r="F2684" s="23">
        <f>COUNTIFS(mdr_rate_cleaned!$A$2:$A$10,B2684,mdr_rate_cleaned!$B$2:$B$10,"&lt;"&amp;C2684,mdr_rate_cleaned!$F$2:$F$10,"&gt;="&amp;C2684)</f>
        <v>1</v>
      </c>
      <c r="G2684" s="40">
        <f>SUMIFS(mdr_rate_cleaned!$G$2:$G$10,mdr_rate_cleaned!$A$2:$A$10,B2684,mdr_rate_cleaned!$B$2:$B$10,"&lt;"&amp;C2684,mdr_rate_cleaned!$F$2:$F$10,"&gt;="&amp;C2684)</f>
        <v>1.7000000000000001E-2</v>
      </c>
      <c r="H2684" s="24">
        <f t="shared" si="205"/>
        <v>59.47</v>
      </c>
      <c r="I2684" s="23" t="str">
        <f t="shared" si="206"/>
        <v>Match</v>
      </c>
      <c r="J2684" s="23" t="str">
        <f t="shared" si="207"/>
        <v>Match</v>
      </c>
      <c r="K2684" s="24">
        <f t="shared" si="208"/>
        <v>10.7</v>
      </c>
      <c r="L2684" s="24">
        <f t="shared" si="209"/>
        <v>0</v>
      </c>
    </row>
    <row r="2685" spans="1:12" ht="15" customHeight="1" x14ac:dyDescent="0.3">
      <c r="A2685" s="23" t="s">
        <v>15628</v>
      </c>
      <c r="B2685" s="23" t="s">
        <v>75</v>
      </c>
      <c r="C2685" s="39">
        <v>999</v>
      </c>
      <c r="D2685" s="24">
        <v>0</v>
      </c>
      <c r="E2685" s="24">
        <v>0</v>
      </c>
      <c r="F2685" s="23">
        <f>COUNTIFS(mdr_rate_cleaned!$A$2:$A$10,B2685,mdr_rate_cleaned!$B$2:$B$10,"&lt;"&amp;C2685,mdr_rate_cleaned!$F$2:$F$10,"&gt;="&amp;C2685)</f>
        <v>1</v>
      </c>
      <c r="G2685" s="40">
        <f>SUMIFS(mdr_rate_cleaned!$G$2:$G$10,mdr_rate_cleaned!$A$2:$A$10,B2685,mdr_rate_cleaned!$B$2:$B$10,"&lt;"&amp;C2685,mdr_rate_cleaned!$F$2:$F$10,"&gt;="&amp;C2685)</f>
        <v>0</v>
      </c>
      <c r="H2685" s="24">
        <f t="shared" si="205"/>
        <v>0</v>
      </c>
      <c r="I2685" s="23" t="str">
        <f t="shared" si="206"/>
        <v>Match</v>
      </c>
      <c r="J2685" s="23" t="str">
        <f t="shared" si="207"/>
        <v>Match</v>
      </c>
      <c r="K2685" s="24">
        <f t="shared" si="208"/>
        <v>0</v>
      </c>
      <c r="L2685" s="24">
        <f t="shared" si="209"/>
        <v>0</v>
      </c>
    </row>
    <row r="2686" spans="1:12" ht="15" customHeight="1" x14ac:dyDescent="0.3">
      <c r="A2686" s="23" t="s">
        <v>15630</v>
      </c>
      <c r="B2686" s="23" t="s">
        <v>79</v>
      </c>
      <c r="C2686" s="39">
        <v>2098</v>
      </c>
      <c r="D2686" s="24">
        <v>33.57</v>
      </c>
      <c r="E2686" s="24">
        <v>6.04</v>
      </c>
      <c r="F2686" s="23">
        <f>COUNTIFS(mdr_rate_cleaned!$A$2:$A$10,B2686,mdr_rate_cleaned!$B$2:$B$10,"&lt;"&amp;C2686,mdr_rate_cleaned!$F$2:$F$10,"&gt;="&amp;C2686)</f>
        <v>1</v>
      </c>
      <c r="G2686" s="40">
        <f>SUMIFS(mdr_rate_cleaned!$G$2:$G$10,mdr_rate_cleaned!$A$2:$A$10,B2686,mdr_rate_cleaned!$B$2:$B$10,"&lt;"&amp;C2686,mdr_rate_cleaned!$F$2:$F$10,"&gt;="&amp;C2686)</f>
        <v>1.6E-2</v>
      </c>
      <c r="H2686" s="24">
        <f t="shared" si="205"/>
        <v>33.57</v>
      </c>
      <c r="I2686" s="23" t="str">
        <f t="shared" si="206"/>
        <v>Match</v>
      </c>
      <c r="J2686" s="23" t="str">
        <f t="shared" si="207"/>
        <v>Match</v>
      </c>
      <c r="K2686" s="24">
        <f t="shared" si="208"/>
        <v>6.04</v>
      </c>
      <c r="L2686" s="24">
        <f t="shared" si="209"/>
        <v>0</v>
      </c>
    </row>
    <row r="2687" spans="1:12" ht="15" customHeight="1" x14ac:dyDescent="0.3">
      <c r="A2687" s="23" t="s">
        <v>15631</v>
      </c>
      <c r="B2687" s="23" t="s">
        <v>75</v>
      </c>
      <c r="C2687" s="39">
        <v>799</v>
      </c>
      <c r="D2687" s="24">
        <v>0</v>
      </c>
      <c r="E2687" s="24">
        <v>0</v>
      </c>
      <c r="F2687" s="23">
        <f>COUNTIFS(mdr_rate_cleaned!$A$2:$A$10,B2687,mdr_rate_cleaned!$B$2:$B$10,"&lt;"&amp;C2687,mdr_rate_cleaned!$F$2:$F$10,"&gt;="&amp;C2687)</f>
        <v>1</v>
      </c>
      <c r="G2687" s="40">
        <f>SUMIFS(mdr_rate_cleaned!$G$2:$G$10,mdr_rate_cleaned!$A$2:$A$10,B2687,mdr_rate_cleaned!$B$2:$B$10,"&lt;"&amp;C2687,mdr_rate_cleaned!$F$2:$F$10,"&gt;="&amp;C2687)</f>
        <v>0</v>
      </c>
      <c r="H2687" s="24">
        <f t="shared" si="205"/>
        <v>0</v>
      </c>
      <c r="I2687" s="23" t="str">
        <f t="shared" si="206"/>
        <v>Match</v>
      </c>
      <c r="J2687" s="23" t="str">
        <f t="shared" si="207"/>
        <v>Match</v>
      </c>
      <c r="K2687" s="24">
        <f t="shared" si="208"/>
        <v>0</v>
      </c>
      <c r="L2687" s="24">
        <f t="shared" si="209"/>
        <v>0</v>
      </c>
    </row>
    <row r="2688" spans="1:12" ht="15" customHeight="1" x14ac:dyDescent="0.3">
      <c r="A2688" s="23" t="s">
        <v>15632</v>
      </c>
      <c r="B2688" s="23" t="s">
        <v>75</v>
      </c>
      <c r="C2688" s="39">
        <v>3499</v>
      </c>
      <c r="D2688" s="24">
        <v>10.5</v>
      </c>
      <c r="E2688" s="24">
        <v>1.89</v>
      </c>
      <c r="F2688" s="23">
        <f>COUNTIFS(mdr_rate_cleaned!$A$2:$A$10,B2688,mdr_rate_cleaned!$B$2:$B$10,"&lt;"&amp;C2688,mdr_rate_cleaned!$F$2:$F$10,"&gt;="&amp;C2688)</f>
        <v>1</v>
      </c>
      <c r="G2688" s="40">
        <f>SUMIFS(mdr_rate_cleaned!$G$2:$G$10,mdr_rate_cleaned!$A$2:$A$10,B2688,mdr_rate_cleaned!$B$2:$B$10,"&lt;"&amp;C2688,mdr_rate_cleaned!$F$2:$F$10,"&gt;="&amp;C2688)</f>
        <v>3.0000000000000001E-3</v>
      </c>
      <c r="H2688" s="24">
        <f t="shared" si="205"/>
        <v>10.5</v>
      </c>
      <c r="I2688" s="23" t="str">
        <f t="shared" si="206"/>
        <v>Match</v>
      </c>
      <c r="J2688" s="23" t="str">
        <f t="shared" si="207"/>
        <v>Match</v>
      </c>
      <c r="K2688" s="24">
        <f t="shared" si="208"/>
        <v>1.89</v>
      </c>
      <c r="L2688" s="24">
        <f t="shared" si="209"/>
        <v>0</v>
      </c>
    </row>
    <row r="2689" spans="1:12" ht="15" customHeight="1" x14ac:dyDescent="0.3">
      <c r="A2689" s="23" t="s">
        <v>15633</v>
      </c>
      <c r="B2689" s="23" t="s">
        <v>75</v>
      </c>
      <c r="C2689" s="39">
        <v>799</v>
      </c>
      <c r="D2689" s="24">
        <v>0</v>
      </c>
      <c r="E2689" s="24">
        <v>0</v>
      </c>
      <c r="F2689" s="23">
        <f>COUNTIFS(mdr_rate_cleaned!$A$2:$A$10,B2689,mdr_rate_cleaned!$B$2:$B$10,"&lt;"&amp;C2689,mdr_rate_cleaned!$F$2:$F$10,"&gt;="&amp;C2689)</f>
        <v>1</v>
      </c>
      <c r="G2689" s="40">
        <f>SUMIFS(mdr_rate_cleaned!$G$2:$G$10,mdr_rate_cleaned!$A$2:$A$10,B2689,mdr_rate_cleaned!$B$2:$B$10,"&lt;"&amp;C2689,mdr_rate_cleaned!$F$2:$F$10,"&gt;="&amp;C2689)</f>
        <v>0</v>
      </c>
      <c r="H2689" s="24">
        <f t="shared" si="205"/>
        <v>0</v>
      </c>
      <c r="I2689" s="23" t="str">
        <f t="shared" si="206"/>
        <v>Match</v>
      </c>
      <c r="J2689" s="23" t="str">
        <f t="shared" si="207"/>
        <v>Match</v>
      </c>
      <c r="K2689" s="24">
        <f t="shared" si="208"/>
        <v>0</v>
      </c>
      <c r="L2689" s="24">
        <f t="shared" si="209"/>
        <v>0</v>
      </c>
    </row>
    <row r="2690" spans="1:12" ht="15" customHeight="1" x14ac:dyDescent="0.3">
      <c r="A2690" s="23" t="s">
        <v>15634</v>
      </c>
      <c r="B2690" s="23" t="s">
        <v>79</v>
      </c>
      <c r="C2690" s="39">
        <v>1147</v>
      </c>
      <c r="D2690" s="24">
        <v>20.65</v>
      </c>
      <c r="E2690" s="24">
        <v>3.72</v>
      </c>
      <c r="F2690" s="23">
        <f>COUNTIFS(mdr_rate_cleaned!$A$2:$A$10,B2690,mdr_rate_cleaned!$B$2:$B$10,"&lt;"&amp;C2690,mdr_rate_cleaned!$F$2:$F$10,"&gt;="&amp;C2690)</f>
        <v>1</v>
      </c>
      <c r="G2690" s="40">
        <f>SUMIFS(mdr_rate_cleaned!$G$2:$G$10,mdr_rate_cleaned!$A$2:$A$10,B2690,mdr_rate_cleaned!$B$2:$B$10,"&lt;"&amp;C2690,mdr_rate_cleaned!$F$2:$F$10,"&gt;="&amp;C2690)</f>
        <v>1.8000000000000002E-2</v>
      </c>
      <c r="H2690" s="24">
        <f t="shared" ref="H2690:H2753" si="210">ROUND(C2690*G2690,2)</f>
        <v>20.65</v>
      </c>
      <c r="I2690" s="23" t="str">
        <f t="shared" ref="I2690:I2753" si="211">IF(ROUND(D2690-H2690,2)=0,"Match","Differs")</f>
        <v>Match</v>
      </c>
      <c r="J2690" s="23" t="str">
        <f t="shared" ref="J2690:J2753" si="212">IF(ROUND(E2690-ROUND(D2690*0.18,2),2)=0,"Match","Differs")</f>
        <v>Match</v>
      </c>
      <c r="K2690" s="24">
        <f t="shared" ref="K2690:K2753" si="213">ROUND(H2690*0.18,2)</f>
        <v>3.72</v>
      </c>
      <c r="L2690" s="24">
        <f t="shared" ref="L2690:L2753" si="214">ROUND(D2690+E2690-H2690-K2690,2)</f>
        <v>0</v>
      </c>
    </row>
    <row r="2691" spans="1:12" ht="15" customHeight="1" x14ac:dyDescent="0.3">
      <c r="A2691" s="23" t="s">
        <v>15635</v>
      </c>
      <c r="B2691" s="23" t="s">
        <v>75</v>
      </c>
      <c r="C2691" s="39">
        <v>8797</v>
      </c>
      <c r="D2691" s="24">
        <v>26.39</v>
      </c>
      <c r="E2691" s="24">
        <v>4.75</v>
      </c>
      <c r="F2691" s="23">
        <f>COUNTIFS(mdr_rate_cleaned!$A$2:$A$10,B2691,mdr_rate_cleaned!$B$2:$B$10,"&lt;"&amp;C2691,mdr_rate_cleaned!$F$2:$F$10,"&gt;="&amp;C2691)</f>
        <v>1</v>
      </c>
      <c r="G2691" s="40">
        <f>SUMIFS(mdr_rate_cleaned!$G$2:$G$10,mdr_rate_cleaned!$A$2:$A$10,B2691,mdr_rate_cleaned!$B$2:$B$10,"&lt;"&amp;C2691,mdr_rate_cleaned!$F$2:$F$10,"&gt;="&amp;C2691)</f>
        <v>3.0000000000000001E-3</v>
      </c>
      <c r="H2691" s="24">
        <f t="shared" si="210"/>
        <v>26.39</v>
      </c>
      <c r="I2691" s="23" t="str">
        <f t="shared" si="211"/>
        <v>Match</v>
      </c>
      <c r="J2691" s="23" t="str">
        <f t="shared" si="212"/>
        <v>Match</v>
      </c>
      <c r="K2691" s="24">
        <f t="shared" si="213"/>
        <v>4.75</v>
      </c>
      <c r="L2691" s="24">
        <f t="shared" si="214"/>
        <v>0</v>
      </c>
    </row>
    <row r="2692" spans="1:12" ht="15" customHeight="1" x14ac:dyDescent="0.3">
      <c r="A2692" s="23" t="s">
        <v>15636</v>
      </c>
      <c r="B2692" s="23" t="s">
        <v>75</v>
      </c>
      <c r="C2692" s="39">
        <v>1598</v>
      </c>
      <c r="D2692" s="24">
        <v>0</v>
      </c>
      <c r="E2692" s="24">
        <v>0</v>
      </c>
      <c r="F2692" s="23">
        <f>COUNTIFS(mdr_rate_cleaned!$A$2:$A$10,B2692,mdr_rate_cleaned!$B$2:$B$10,"&lt;"&amp;C2692,mdr_rate_cleaned!$F$2:$F$10,"&gt;="&amp;C2692)</f>
        <v>1</v>
      </c>
      <c r="G2692" s="40">
        <f>SUMIFS(mdr_rate_cleaned!$G$2:$G$10,mdr_rate_cleaned!$A$2:$A$10,B2692,mdr_rate_cleaned!$B$2:$B$10,"&lt;"&amp;C2692,mdr_rate_cleaned!$F$2:$F$10,"&gt;="&amp;C2692)</f>
        <v>0</v>
      </c>
      <c r="H2692" s="24">
        <f t="shared" si="210"/>
        <v>0</v>
      </c>
      <c r="I2692" s="23" t="str">
        <f t="shared" si="211"/>
        <v>Match</v>
      </c>
      <c r="J2692" s="23" t="str">
        <f t="shared" si="212"/>
        <v>Match</v>
      </c>
      <c r="K2692" s="24">
        <f t="shared" si="213"/>
        <v>0</v>
      </c>
      <c r="L2692" s="24">
        <f t="shared" si="214"/>
        <v>0</v>
      </c>
    </row>
    <row r="2693" spans="1:12" ht="15" customHeight="1" x14ac:dyDescent="0.3">
      <c r="A2693" s="23" t="s">
        <v>15637</v>
      </c>
      <c r="B2693" s="23" t="s">
        <v>75</v>
      </c>
      <c r="C2693" s="39">
        <v>1499</v>
      </c>
      <c r="D2693" s="24">
        <v>0</v>
      </c>
      <c r="E2693" s="24">
        <v>0</v>
      </c>
      <c r="F2693" s="23">
        <f>COUNTIFS(mdr_rate_cleaned!$A$2:$A$10,B2693,mdr_rate_cleaned!$B$2:$B$10,"&lt;"&amp;C2693,mdr_rate_cleaned!$F$2:$F$10,"&gt;="&amp;C2693)</f>
        <v>1</v>
      </c>
      <c r="G2693" s="40">
        <f>SUMIFS(mdr_rate_cleaned!$G$2:$G$10,mdr_rate_cleaned!$A$2:$A$10,B2693,mdr_rate_cleaned!$B$2:$B$10,"&lt;"&amp;C2693,mdr_rate_cleaned!$F$2:$F$10,"&gt;="&amp;C2693)</f>
        <v>0</v>
      </c>
      <c r="H2693" s="24">
        <f t="shared" si="210"/>
        <v>0</v>
      </c>
      <c r="I2693" s="23" t="str">
        <f t="shared" si="211"/>
        <v>Match</v>
      </c>
      <c r="J2693" s="23" t="str">
        <f t="shared" si="212"/>
        <v>Match</v>
      </c>
      <c r="K2693" s="24">
        <f t="shared" si="213"/>
        <v>0</v>
      </c>
      <c r="L2693" s="24">
        <f t="shared" si="214"/>
        <v>0</v>
      </c>
    </row>
    <row r="2694" spans="1:12" ht="15" customHeight="1" x14ac:dyDescent="0.3">
      <c r="A2694" s="23" t="s">
        <v>15638</v>
      </c>
      <c r="B2694" s="23" t="s">
        <v>75</v>
      </c>
      <c r="C2694" s="39">
        <v>4999</v>
      </c>
      <c r="D2694" s="24">
        <v>15</v>
      </c>
      <c r="E2694" s="24">
        <v>2.7</v>
      </c>
      <c r="F2694" s="23">
        <f>COUNTIFS(mdr_rate_cleaned!$A$2:$A$10,B2694,mdr_rate_cleaned!$B$2:$B$10,"&lt;"&amp;C2694,mdr_rate_cleaned!$F$2:$F$10,"&gt;="&amp;C2694)</f>
        <v>1</v>
      </c>
      <c r="G2694" s="40">
        <f>SUMIFS(mdr_rate_cleaned!$G$2:$G$10,mdr_rate_cleaned!$A$2:$A$10,B2694,mdr_rate_cleaned!$B$2:$B$10,"&lt;"&amp;C2694,mdr_rate_cleaned!$F$2:$F$10,"&gt;="&amp;C2694)</f>
        <v>3.0000000000000001E-3</v>
      </c>
      <c r="H2694" s="24">
        <f t="shared" si="210"/>
        <v>15</v>
      </c>
      <c r="I2694" s="23" t="str">
        <f t="shared" si="211"/>
        <v>Match</v>
      </c>
      <c r="J2694" s="23" t="str">
        <f t="shared" si="212"/>
        <v>Match</v>
      </c>
      <c r="K2694" s="24">
        <f t="shared" si="213"/>
        <v>2.7</v>
      </c>
      <c r="L2694" s="24">
        <f t="shared" si="214"/>
        <v>0</v>
      </c>
    </row>
    <row r="2695" spans="1:12" ht="15" customHeight="1" x14ac:dyDescent="0.3">
      <c r="A2695" s="23" t="s">
        <v>15639</v>
      </c>
      <c r="B2695" s="23" t="s">
        <v>75</v>
      </c>
      <c r="C2695" s="39">
        <v>2398</v>
      </c>
      <c r="D2695" s="24">
        <v>7.19</v>
      </c>
      <c r="E2695" s="24">
        <v>1.29</v>
      </c>
      <c r="F2695" s="23">
        <f>COUNTIFS(mdr_rate_cleaned!$A$2:$A$10,B2695,mdr_rate_cleaned!$B$2:$B$10,"&lt;"&amp;C2695,mdr_rate_cleaned!$F$2:$F$10,"&gt;="&amp;C2695)</f>
        <v>1</v>
      </c>
      <c r="G2695" s="40">
        <f>SUMIFS(mdr_rate_cleaned!$G$2:$G$10,mdr_rate_cleaned!$A$2:$A$10,B2695,mdr_rate_cleaned!$B$2:$B$10,"&lt;"&amp;C2695,mdr_rate_cleaned!$F$2:$F$10,"&gt;="&amp;C2695)</f>
        <v>3.0000000000000001E-3</v>
      </c>
      <c r="H2695" s="24">
        <f t="shared" si="210"/>
        <v>7.19</v>
      </c>
      <c r="I2695" s="23" t="str">
        <f t="shared" si="211"/>
        <v>Match</v>
      </c>
      <c r="J2695" s="23" t="str">
        <f t="shared" si="212"/>
        <v>Match</v>
      </c>
      <c r="K2695" s="24">
        <f t="shared" si="213"/>
        <v>1.29</v>
      </c>
      <c r="L2695" s="24">
        <f t="shared" si="214"/>
        <v>0</v>
      </c>
    </row>
    <row r="2696" spans="1:12" ht="15" customHeight="1" x14ac:dyDescent="0.3">
      <c r="A2696" s="23" t="s">
        <v>15640</v>
      </c>
      <c r="B2696" s="23" t="s">
        <v>75</v>
      </c>
      <c r="C2696" s="39">
        <v>3499</v>
      </c>
      <c r="D2696" s="24">
        <v>10.5</v>
      </c>
      <c r="E2696" s="24">
        <v>1.89</v>
      </c>
      <c r="F2696" s="23">
        <f>COUNTIFS(mdr_rate_cleaned!$A$2:$A$10,B2696,mdr_rate_cleaned!$B$2:$B$10,"&lt;"&amp;C2696,mdr_rate_cleaned!$F$2:$F$10,"&gt;="&amp;C2696)</f>
        <v>1</v>
      </c>
      <c r="G2696" s="40">
        <f>SUMIFS(mdr_rate_cleaned!$G$2:$G$10,mdr_rate_cleaned!$A$2:$A$10,B2696,mdr_rate_cleaned!$B$2:$B$10,"&lt;"&amp;C2696,mdr_rate_cleaned!$F$2:$F$10,"&gt;="&amp;C2696)</f>
        <v>3.0000000000000001E-3</v>
      </c>
      <c r="H2696" s="24">
        <f t="shared" si="210"/>
        <v>10.5</v>
      </c>
      <c r="I2696" s="23" t="str">
        <f t="shared" si="211"/>
        <v>Match</v>
      </c>
      <c r="J2696" s="23" t="str">
        <f t="shared" si="212"/>
        <v>Match</v>
      </c>
      <c r="K2696" s="24">
        <f t="shared" si="213"/>
        <v>1.89</v>
      </c>
      <c r="L2696" s="24">
        <f t="shared" si="214"/>
        <v>0</v>
      </c>
    </row>
    <row r="2697" spans="1:12" ht="15" customHeight="1" x14ac:dyDescent="0.3">
      <c r="A2697" s="23" t="s">
        <v>15641</v>
      </c>
      <c r="B2697" s="23" t="s">
        <v>79</v>
      </c>
      <c r="C2697" s="39">
        <v>10497</v>
      </c>
      <c r="D2697" s="24">
        <v>167.95</v>
      </c>
      <c r="E2697" s="24">
        <v>30.23</v>
      </c>
      <c r="F2697" s="23">
        <f>COUNTIFS(mdr_rate_cleaned!$A$2:$A$10,B2697,mdr_rate_cleaned!$B$2:$B$10,"&lt;"&amp;C2697,mdr_rate_cleaned!$F$2:$F$10,"&gt;="&amp;C2697)</f>
        <v>1</v>
      </c>
      <c r="G2697" s="40">
        <f>SUMIFS(mdr_rate_cleaned!$G$2:$G$10,mdr_rate_cleaned!$A$2:$A$10,B2697,mdr_rate_cleaned!$B$2:$B$10,"&lt;"&amp;C2697,mdr_rate_cleaned!$F$2:$F$10,"&gt;="&amp;C2697)</f>
        <v>1.6E-2</v>
      </c>
      <c r="H2697" s="24">
        <f t="shared" si="210"/>
        <v>167.95</v>
      </c>
      <c r="I2697" s="23" t="str">
        <f t="shared" si="211"/>
        <v>Match</v>
      </c>
      <c r="J2697" s="23" t="str">
        <f t="shared" si="212"/>
        <v>Match</v>
      </c>
      <c r="K2697" s="24">
        <f t="shared" si="213"/>
        <v>30.23</v>
      </c>
      <c r="L2697" s="24">
        <f t="shared" si="214"/>
        <v>0</v>
      </c>
    </row>
    <row r="2698" spans="1:12" ht="15" customHeight="1" x14ac:dyDescent="0.3">
      <c r="A2698" s="23" t="s">
        <v>15642</v>
      </c>
      <c r="B2698" s="23" t="s">
        <v>75</v>
      </c>
      <c r="C2698" s="39">
        <v>3499</v>
      </c>
      <c r="D2698" s="24">
        <v>10.5</v>
      </c>
      <c r="E2698" s="24">
        <v>1.89</v>
      </c>
      <c r="F2698" s="23">
        <f>COUNTIFS(mdr_rate_cleaned!$A$2:$A$10,B2698,mdr_rate_cleaned!$B$2:$B$10,"&lt;"&amp;C2698,mdr_rate_cleaned!$F$2:$F$10,"&gt;="&amp;C2698)</f>
        <v>1</v>
      </c>
      <c r="G2698" s="40">
        <f>SUMIFS(mdr_rate_cleaned!$G$2:$G$10,mdr_rate_cleaned!$A$2:$A$10,B2698,mdr_rate_cleaned!$B$2:$B$10,"&lt;"&amp;C2698,mdr_rate_cleaned!$F$2:$F$10,"&gt;="&amp;C2698)</f>
        <v>3.0000000000000001E-3</v>
      </c>
      <c r="H2698" s="24">
        <f t="shared" si="210"/>
        <v>10.5</v>
      </c>
      <c r="I2698" s="23" t="str">
        <f t="shared" si="211"/>
        <v>Match</v>
      </c>
      <c r="J2698" s="23" t="str">
        <f t="shared" si="212"/>
        <v>Match</v>
      </c>
      <c r="K2698" s="24">
        <f t="shared" si="213"/>
        <v>1.89</v>
      </c>
      <c r="L2698" s="24">
        <f t="shared" si="214"/>
        <v>0</v>
      </c>
    </row>
    <row r="2699" spans="1:12" ht="15" customHeight="1" x14ac:dyDescent="0.3">
      <c r="A2699" s="23" t="s">
        <v>15643</v>
      </c>
      <c r="B2699" s="23" t="s">
        <v>79</v>
      </c>
      <c r="C2699" s="39">
        <v>1299</v>
      </c>
      <c r="D2699" s="24">
        <v>23.38</v>
      </c>
      <c r="E2699" s="24">
        <v>4.21</v>
      </c>
      <c r="F2699" s="23">
        <f>COUNTIFS(mdr_rate_cleaned!$A$2:$A$10,B2699,mdr_rate_cleaned!$B$2:$B$10,"&lt;"&amp;C2699,mdr_rate_cleaned!$F$2:$F$10,"&gt;="&amp;C2699)</f>
        <v>1</v>
      </c>
      <c r="G2699" s="40">
        <f>SUMIFS(mdr_rate_cleaned!$G$2:$G$10,mdr_rate_cleaned!$A$2:$A$10,B2699,mdr_rate_cleaned!$B$2:$B$10,"&lt;"&amp;C2699,mdr_rate_cleaned!$F$2:$F$10,"&gt;="&amp;C2699)</f>
        <v>1.8000000000000002E-2</v>
      </c>
      <c r="H2699" s="24">
        <f t="shared" si="210"/>
        <v>23.38</v>
      </c>
      <c r="I2699" s="23" t="str">
        <f t="shared" si="211"/>
        <v>Match</v>
      </c>
      <c r="J2699" s="23" t="str">
        <f t="shared" si="212"/>
        <v>Match</v>
      </c>
      <c r="K2699" s="24">
        <f t="shared" si="213"/>
        <v>4.21</v>
      </c>
      <c r="L2699" s="24">
        <f t="shared" si="214"/>
        <v>0</v>
      </c>
    </row>
    <row r="2700" spans="1:12" ht="15" customHeight="1" x14ac:dyDescent="0.3">
      <c r="A2700" s="23" t="s">
        <v>15644</v>
      </c>
      <c r="B2700" s="23" t="s">
        <v>75</v>
      </c>
      <c r="C2700" s="39">
        <v>799</v>
      </c>
      <c r="D2700" s="24">
        <v>2.4</v>
      </c>
      <c r="E2700" s="24">
        <v>0.43</v>
      </c>
      <c r="F2700" s="23">
        <f>COUNTIFS(mdr_rate_cleaned!$A$2:$A$10,B2700,mdr_rate_cleaned!$B$2:$B$10,"&lt;"&amp;C2700,mdr_rate_cleaned!$F$2:$F$10,"&gt;="&amp;C2700)</f>
        <v>1</v>
      </c>
      <c r="G2700" s="40">
        <f>SUMIFS(mdr_rate_cleaned!$G$2:$G$10,mdr_rate_cleaned!$A$2:$A$10,B2700,mdr_rate_cleaned!$B$2:$B$10,"&lt;"&amp;C2700,mdr_rate_cleaned!$F$2:$F$10,"&gt;="&amp;C2700)</f>
        <v>0</v>
      </c>
      <c r="H2700" s="24">
        <f t="shared" si="210"/>
        <v>0</v>
      </c>
      <c r="I2700" s="23" t="str">
        <f t="shared" si="211"/>
        <v>Differs</v>
      </c>
      <c r="J2700" s="23" t="str">
        <f t="shared" si="212"/>
        <v>Match</v>
      </c>
      <c r="K2700" s="24">
        <f t="shared" si="213"/>
        <v>0</v>
      </c>
      <c r="L2700" s="24">
        <f t="shared" si="214"/>
        <v>2.83</v>
      </c>
    </row>
    <row r="2701" spans="1:12" ht="15" customHeight="1" x14ac:dyDescent="0.3">
      <c r="A2701" s="23" t="s">
        <v>15645</v>
      </c>
      <c r="B2701" s="23" t="s">
        <v>81</v>
      </c>
      <c r="C2701" s="39">
        <v>499</v>
      </c>
      <c r="D2701" s="24">
        <v>7.49</v>
      </c>
      <c r="E2701" s="24">
        <v>1.35</v>
      </c>
      <c r="F2701" s="23">
        <f>COUNTIFS(mdr_rate_cleaned!$A$2:$A$10,B2701,mdr_rate_cleaned!$B$2:$B$10,"&lt;"&amp;C2701,mdr_rate_cleaned!$F$2:$F$10,"&gt;="&amp;C2701)</f>
        <v>1</v>
      </c>
      <c r="G2701" s="40">
        <f>SUMIFS(mdr_rate_cleaned!$G$2:$G$10,mdr_rate_cleaned!$A$2:$A$10,B2701,mdr_rate_cleaned!$B$2:$B$10,"&lt;"&amp;C2701,mdr_rate_cleaned!$F$2:$F$10,"&gt;="&amp;C2701)</f>
        <v>1.4999999999999999E-2</v>
      </c>
      <c r="H2701" s="24">
        <f t="shared" si="210"/>
        <v>7.49</v>
      </c>
      <c r="I2701" s="23" t="str">
        <f t="shared" si="211"/>
        <v>Match</v>
      </c>
      <c r="J2701" s="23" t="str">
        <f t="shared" si="212"/>
        <v>Match</v>
      </c>
      <c r="K2701" s="24">
        <f t="shared" si="213"/>
        <v>1.35</v>
      </c>
      <c r="L2701" s="24">
        <f t="shared" si="214"/>
        <v>0</v>
      </c>
    </row>
    <row r="2702" spans="1:12" ht="15" customHeight="1" x14ac:dyDescent="0.3">
      <c r="A2702" s="23" t="s">
        <v>15646</v>
      </c>
      <c r="B2702" s="23" t="s">
        <v>75</v>
      </c>
      <c r="C2702" s="39">
        <v>6998</v>
      </c>
      <c r="D2702" s="24">
        <v>20.99</v>
      </c>
      <c r="E2702" s="24">
        <v>3.78</v>
      </c>
      <c r="F2702" s="23">
        <f>COUNTIFS(mdr_rate_cleaned!$A$2:$A$10,B2702,mdr_rate_cleaned!$B$2:$B$10,"&lt;"&amp;C2702,mdr_rate_cleaned!$F$2:$F$10,"&gt;="&amp;C2702)</f>
        <v>1</v>
      </c>
      <c r="G2702" s="40">
        <f>SUMIFS(mdr_rate_cleaned!$G$2:$G$10,mdr_rate_cleaned!$A$2:$A$10,B2702,mdr_rate_cleaned!$B$2:$B$10,"&lt;"&amp;C2702,mdr_rate_cleaned!$F$2:$F$10,"&gt;="&amp;C2702)</f>
        <v>3.0000000000000001E-3</v>
      </c>
      <c r="H2702" s="24">
        <f t="shared" si="210"/>
        <v>20.99</v>
      </c>
      <c r="I2702" s="23" t="str">
        <f t="shared" si="211"/>
        <v>Match</v>
      </c>
      <c r="J2702" s="23" t="str">
        <f t="shared" si="212"/>
        <v>Match</v>
      </c>
      <c r="K2702" s="24">
        <f t="shared" si="213"/>
        <v>3.78</v>
      </c>
      <c r="L2702" s="24">
        <f t="shared" si="214"/>
        <v>0</v>
      </c>
    </row>
    <row r="2703" spans="1:12" ht="15" customHeight="1" x14ac:dyDescent="0.3">
      <c r="A2703" s="23" t="s">
        <v>15647</v>
      </c>
      <c r="B2703" s="23" t="s">
        <v>75</v>
      </c>
      <c r="C2703" s="39">
        <v>999</v>
      </c>
      <c r="D2703" s="24">
        <v>0</v>
      </c>
      <c r="E2703" s="24">
        <v>0</v>
      </c>
      <c r="F2703" s="23">
        <f>COUNTIFS(mdr_rate_cleaned!$A$2:$A$10,B2703,mdr_rate_cleaned!$B$2:$B$10,"&lt;"&amp;C2703,mdr_rate_cleaned!$F$2:$F$10,"&gt;="&amp;C2703)</f>
        <v>1</v>
      </c>
      <c r="G2703" s="40">
        <f>SUMIFS(mdr_rate_cleaned!$G$2:$G$10,mdr_rate_cleaned!$A$2:$A$10,B2703,mdr_rate_cleaned!$B$2:$B$10,"&lt;"&amp;C2703,mdr_rate_cleaned!$F$2:$F$10,"&gt;="&amp;C2703)</f>
        <v>0</v>
      </c>
      <c r="H2703" s="24">
        <f t="shared" si="210"/>
        <v>0</v>
      </c>
      <c r="I2703" s="23" t="str">
        <f t="shared" si="211"/>
        <v>Match</v>
      </c>
      <c r="J2703" s="23" t="str">
        <f t="shared" si="212"/>
        <v>Match</v>
      </c>
      <c r="K2703" s="24">
        <f t="shared" si="213"/>
        <v>0</v>
      </c>
      <c r="L2703" s="24">
        <f t="shared" si="214"/>
        <v>0</v>
      </c>
    </row>
    <row r="2704" spans="1:12" ht="15" customHeight="1" x14ac:dyDescent="0.3">
      <c r="A2704" s="23" t="s">
        <v>15648</v>
      </c>
      <c r="B2704" s="23" t="s">
        <v>75</v>
      </c>
      <c r="C2704" s="39">
        <v>499</v>
      </c>
      <c r="D2704" s="24">
        <v>0</v>
      </c>
      <c r="E2704" s="24">
        <v>0</v>
      </c>
      <c r="F2704" s="23">
        <f>COUNTIFS(mdr_rate_cleaned!$A$2:$A$10,B2704,mdr_rate_cleaned!$B$2:$B$10,"&lt;"&amp;C2704,mdr_rate_cleaned!$F$2:$F$10,"&gt;="&amp;C2704)</f>
        <v>1</v>
      </c>
      <c r="G2704" s="40">
        <f>SUMIFS(mdr_rate_cleaned!$G$2:$G$10,mdr_rate_cleaned!$A$2:$A$10,B2704,mdr_rate_cleaned!$B$2:$B$10,"&lt;"&amp;C2704,mdr_rate_cleaned!$F$2:$F$10,"&gt;="&amp;C2704)</f>
        <v>0</v>
      </c>
      <c r="H2704" s="24">
        <f t="shared" si="210"/>
        <v>0</v>
      </c>
      <c r="I2704" s="23" t="str">
        <f t="shared" si="211"/>
        <v>Match</v>
      </c>
      <c r="J2704" s="23" t="str">
        <f t="shared" si="212"/>
        <v>Match</v>
      </c>
      <c r="K2704" s="24">
        <f t="shared" si="213"/>
        <v>0</v>
      </c>
      <c r="L2704" s="24">
        <f t="shared" si="214"/>
        <v>0</v>
      </c>
    </row>
    <row r="2705" spans="1:12" ht="15" customHeight="1" x14ac:dyDescent="0.3">
      <c r="A2705" s="23" t="s">
        <v>15649</v>
      </c>
      <c r="B2705" s="23" t="s">
        <v>75</v>
      </c>
      <c r="C2705" s="39">
        <v>2499</v>
      </c>
      <c r="D2705" s="24">
        <v>7.5</v>
      </c>
      <c r="E2705" s="24">
        <v>1.35</v>
      </c>
      <c r="F2705" s="23">
        <f>COUNTIFS(mdr_rate_cleaned!$A$2:$A$10,B2705,mdr_rate_cleaned!$B$2:$B$10,"&lt;"&amp;C2705,mdr_rate_cleaned!$F$2:$F$10,"&gt;="&amp;C2705)</f>
        <v>1</v>
      </c>
      <c r="G2705" s="40">
        <f>SUMIFS(mdr_rate_cleaned!$G$2:$G$10,mdr_rate_cleaned!$A$2:$A$10,B2705,mdr_rate_cleaned!$B$2:$B$10,"&lt;"&amp;C2705,mdr_rate_cleaned!$F$2:$F$10,"&gt;="&amp;C2705)</f>
        <v>3.0000000000000001E-3</v>
      </c>
      <c r="H2705" s="24">
        <f t="shared" si="210"/>
        <v>7.5</v>
      </c>
      <c r="I2705" s="23" t="str">
        <f t="shared" si="211"/>
        <v>Match</v>
      </c>
      <c r="J2705" s="23" t="str">
        <f t="shared" si="212"/>
        <v>Match</v>
      </c>
      <c r="K2705" s="24">
        <f t="shared" si="213"/>
        <v>1.35</v>
      </c>
      <c r="L2705" s="24">
        <f t="shared" si="214"/>
        <v>0</v>
      </c>
    </row>
    <row r="2706" spans="1:12" ht="15" customHeight="1" x14ac:dyDescent="0.3">
      <c r="A2706" s="23" t="s">
        <v>15650</v>
      </c>
      <c r="B2706" s="23" t="s">
        <v>75</v>
      </c>
      <c r="C2706" s="39">
        <v>349</v>
      </c>
      <c r="D2706" s="24">
        <v>0</v>
      </c>
      <c r="E2706" s="24">
        <v>0</v>
      </c>
      <c r="F2706" s="23">
        <f>COUNTIFS(mdr_rate_cleaned!$A$2:$A$10,B2706,mdr_rate_cleaned!$B$2:$B$10,"&lt;"&amp;C2706,mdr_rate_cleaned!$F$2:$F$10,"&gt;="&amp;C2706)</f>
        <v>1</v>
      </c>
      <c r="G2706" s="40">
        <f>SUMIFS(mdr_rate_cleaned!$G$2:$G$10,mdr_rate_cleaned!$A$2:$A$10,B2706,mdr_rate_cleaned!$B$2:$B$10,"&lt;"&amp;C2706,mdr_rate_cleaned!$F$2:$F$10,"&gt;="&amp;C2706)</f>
        <v>0</v>
      </c>
      <c r="H2706" s="24">
        <f t="shared" si="210"/>
        <v>0</v>
      </c>
      <c r="I2706" s="23" t="str">
        <f t="shared" si="211"/>
        <v>Match</v>
      </c>
      <c r="J2706" s="23" t="str">
        <f t="shared" si="212"/>
        <v>Match</v>
      </c>
      <c r="K2706" s="24">
        <f t="shared" si="213"/>
        <v>0</v>
      </c>
      <c r="L2706" s="24">
        <f t="shared" si="214"/>
        <v>0</v>
      </c>
    </row>
    <row r="2707" spans="1:12" ht="15" customHeight="1" x14ac:dyDescent="0.3">
      <c r="A2707" s="23" t="s">
        <v>15651</v>
      </c>
      <c r="B2707" s="23" t="s">
        <v>79</v>
      </c>
      <c r="C2707" s="39">
        <v>598</v>
      </c>
      <c r="D2707" s="24">
        <v>10.76</v>
      </c>
      <c r="E2707" s="24">
        <v>1.94</v>
      </c>
      <c r="F2707" s="23">
        <f>COUNTIFS(mdr_rate_cleaned!$A$2:$A$10,B2707,mdr_rate_cleaned!$B$2:$B$10,"&lt;"&amp;C2707,mdr_rate_cleaned!$F$2:$F$10,"&gt;="&amp;C2707)</f>
        <v>1</v>
      </c>
      <c r="G2707" s="40">
        <f>SUMIFS(mdr_rate_cleaned!$G$2:$G$10,mdr_rate_cleaned!$A$2:$A$10,B2707,mdr_rate_cleaned!$B$2:$B$10,"&lt;"&amp;C2707,mdr_rate_cleaned!$F$2:$F$10,"&gt;="&amp;C2707)</f>
        <v>1.8000000000000002E-2</v>
      </c>
      <c r="H2707" s="24">
        <f t="shared" si="210"/>
        <v>10.76</v>
      </c>
      <c r="I2707" s="23" t="str">
        <f t="shared" si="211"/>
        <v>Match</v>
      </c>
      <c r="J2707" s="23" t="str">
        <f t="shared" si="212"/>
        <v>Match</v>
      </c>
      <c r="K2707" s="24">
        <f t="shared" si="213"/>
        <v>1.94</v>
      </c>
      <c r="L2707" s="24">
        <f t="shared" si="214"/>
        <v>0</v>
      </c>
    </row>
    <row r="2708" spans="1:12" ht="15" customHeight="1" x14ac:dyDescent="0.3">
      <c r="A2708" s="23" t="s">
        <v>15653</v>
      </c>
      <c r="B2708" s="23" t="s">
        <v>81</v>
      </c>
      <c r="C2708" s="39">
        <v>299</v>
      </c>
      <c r="D2708" s="24">
        <v>4.49</v>
      </c>
      <c r="E2708" s="24">
        <v>0.81</v>
      </c>
      <c r="F2708" s="23">
        <f>COUNTIFS(mdr_rate_cleaned!$A$2:$A$10,B2708,mdr_rate_cleaned!$B$2:$B$10,"&lt;"&amp;C2708,mdr_rate_cleaned!$F$2:$F$10,"&gt;="&amp;C2708)</f>
        <v>1</v>
      </c>
      <c r="G2708" s="40">
        <f>SUMIFS(mdr_rate_cleaned!$G$2:$G$10,mdr_rate_cleaned!$A$2:$A$10,B2708,mdr_rate_cleaned!$B$2:$B$10,"&lt;"&amp;C2708,mdr_rate_cleaned!$F$2:$F$10,"&gt;="&amp;C2708)</f>
        <v>1.4999999999999999E-2</v>
      </c>
      <c r="H2708" s="24">
        <f t="shared" si="210"/>
        <v>4.49</v>
      </c>
      <c r="I2708" s="23" t="str">
        <f t="shared" si="211"/>
        <v>Match</v>
      </c>
      <c r="J2708" s="23" t="str">
        <f t="shared" si="212"/>
        <v>Match</v>
      </c>
      <c r="K2708" s="24">
        <f t="shared" si="213"/>
        <v>0.81</v>
      </c>
      <c r="L2708" s="24">
        <f t="shared" si="214"/>
        <v>0</v>
      </c>
    </row>
    <row r="2709" spans="1:12" ht="15" customHeight="1" x14ac:dyDescent="0.3">
      <c r="A2709" s="23" t="s">
        <v>15655</v>
      </c>
      <c r="B2709" s="23" t="s">
        <v>75</v>
      </c>
      <c r="C2709" s="39">
        <v>299</v>
      </c>
      <c r="D2709" s="24">
        <v>0</v>
      </c>
      <c r="E2709" s="24">
        <v>0</v>
      </c>
      <c r="F2709" s="23">
        <f>COUNTIFS(mdr_rate_cleaned!$A$2:$A$10,B2709,mdr_rate_cleaned!$B$2:$B$10,"&lt;"&amp;C2709,mdr_rate_cleaned!$F$2:$F$10,"&gt;="&amp;C2709)</f>
        <v>1</v>
      </c>
      <c r="G2709" s="40">
        <f>SUMIFS(mdr_rate_cleaned!$G$2:$G$10,mdr_rate_cleaned!$A$2:$A$10,B2709,mdr_rate_cleaned!$B$2:$B$10,"&lt;"&amp;C2709,mdr_rate_cleaned!$F$2:$F$10,"&gt;="&amp;C2709)</f>
        <v>0</v>
      </c>
      <c r="H2709" s="24">
        <f t="shared" si="210"/>
        <v>0</v>
      </c>
      <c r="I2709" s="23" t="str">
        <f t="shared" si="211"/>
        <v>Match</v>
      </c>
      <c r="J2709" s="23" t="str">
        <f t="shared" si="212"/>
        <v>Match</v>
      </c>
      <c r="K2709" s="24">
        <f t="shared" si="213"/>
        <v>0</v>
      </c>
      <c r="L2709" s="24">
        <f t="shared" si="214"/>
        <v>0</v>
      </c>
    </row>
    <row r="2710" spans="1:12" ht="15" customHeight="1" x14ac:dyDescent="0.3">
      <c r="A2710" s="23" t="s">
        <v>15656</v>
      </c>
      <c r="B2710" s="23" t="s">
        <v>75</v>
      </c>
      <c r="C2710" s="39">
        <v>1299</v>
      </c>
      <c r="D2710" s="24">
        <v>0</v>
      </c>
      <c r="E2710" s="24">
        <v>0</v>
      </c>
      <c r="F2710" s="23">
        <f>COUNTIFS(mdr_rate_cleaned!$A$2:$A$10,B2710,mdr_rate_cleaned!$B$2:$B$10,"&lt;"&amp;C2710,mdr_rate_cleaned!$F$2:$F$10,"&gt;="&amp;C2710)</f>
        <v>1</v>
      </c>
      <c r="G2710" s="40">
        <f>SUMIFS(mdr_rate_cleaned!$G$2:$G$10,mdr_rate_cleaned!$A$2:$A$10,B2710,mdr_rate_cleaned!$B$2:$B$10,"&lt;"&amp;C2710,mdr_rate_cleaned!$F$2:$F$10,"&gt;="&amp;C2710)</f>
        <v>0</v>
      </c>
      <c r="H2710" s="24">
        <f t="shared" si="210"/>
        <v>0</v>
      </c>
      <c r="I2710" s="23" t="str">
        <f t="shared" si="211"/>
        <v>Match</v>
      </c>
      <c r="J2710" s="23" t="str">
        <f t="shared" si="212"/>
        <v>Match</v>
      </c>
      <c r="K2710" s="24">
        <f t="shared" si="213"/>
        <v>0</v>
      </c>
      <c r="L2710" s="24">
        <f t="shared" si="214"/>
        <v>0</v>
      </c>
    </row>
    <row r="2711" spans="1:12" ht="15" customHeight="1" x14ac:dyDescent="0.3">
      <c r="A2711" s="23" t="s">
        <v>15658</v>
      </c>
      <c r="B2711" s="23" t="s">
        <v>75</v>
      </c>
      <c r="C2711" s="39">
        <v>599</v>
      </c>
      <c r="D2711" s="24">
        <v>0</v>
      </c>
      <c r="E2711" s="24">
        <v>0</v>
      </c>
      <c r="F2711" s="23">
        <f>COUNTIFS(mdr_rate_cleaned!$A$2:$A$10,B2711,mdr_rate_cleaned!$B$2:$B$10,"&lt;"&amp;C2711,mdr_rate_cleaned!$F$2:$F$10,"&gt;="&amp;C2711)</f>
        <v>1</v>
      </c>
      <c r="G2711" s="40">
        <f>SUMIFS(mdr_rate_cleaned!$G$2:$G$10,mdr_rate_cleaned!$A$2:$A$10,B2711,mdr_rate_cleaned!$B$2:$B$10,"&lt;"&amp;C2711,mdr_rate_cleaned!$F$2:$F$10,"&gt;="&amp;C2711)</f>
        <v>0</v>
      </c>
      <c r="H2711" s="24">
        <f t="shared" si="210"/>
        <v>0</v>
      </c>
      <c r="I2711" s="23" t="str">
        <f t="shared" si="211"/>
        <v>Match</v>
      </c>
      <c r="J2711" s="23" t="str">
        <f t="shared" si="212"/>
        <v>Match</v>
      </c>
      <c r="K2711" s="24">
        <f t="shared" si="213"/>
        <v>0</v>
      </c>
      <c r="L2711" s="24">
        <f t="shared" si="214"/>
        <v>0</v>
      </c>
    </row>
    <row r="2712" spans="1:12" ht="15" customHeight="1" x14ac:dyDescent="0.3">
      <c r="A2712" s="23" t="s">
        <v>15659</v>
      </c>
      <c r="B2712" s="23" t="s">
        <v>79</v>
      </c>
      <c r="C2712" s="39">
        <v>13997</v>
      </c>
      <c r="D2712" s="24">
        <v>223.95</v>
      </c>
      <c r="E2712" s="24">
        <v>40.31</v>
      </c>
      <c r="F2712" s="23">
        <f>COUNTIFS(mdr_rate_cleaned!$A$2:$A$10,B2712,mdr_rate_cleaned!$B$2:$B$10,"&lt;"&amp;C2712,mdr_rate_cleaned!$F$2:$F$10,"&gt;="&amp;C2712)</f>
        <v>1</v>
      </c>
      <c r="G2712" s="40">
        <f>SUMIFS(mdr_rate_cleaned!$G$2:$G$10,mdr_rate_cleaned!$A$2:$A$10,B2712,mdr_rate_cleaned!$B$2:$B$10,"&lt;"&amp;C2712,mdr_rate_cleaned!$F$2:$F$10,"&gt;="&amp;C2712)</f>
        <v>1.6E-2</v>
      </c>
      <c r="H2712" s="24">
        <f t="shared" si="210"/>
        <v>223.95</v>
      </c>
      <c r="I2712" s="23" t="str">
        <f t="shared" si="211"/>
        <v>Match</v>
      </c>
      <c r="J2712" s="23" t="str">
        <f t="shared" si="212"/>
        <v>Match</v>
      </c>
      <c r="K2712" s="24">
        <f t="shared" si="213"/>
        <v>40.31</v>
      </c>
      <c r="L2712" s="24">
        <f t="shared" si="214"/>
        <v>0</v>
      </c>
    </row>
    <row r="2713" spans="1:12" ht="15" customHeight="1" x14ac:dyDescent="0.3">
      <c r="A2713" s="23" t="s">
        <v>15660</v>
      </c>
      <c r="B2713" s="23" t="s">
        <v>75</v>
      </c>
      <c r="C2713" s="39">
        <v>2098</v>
      </c>
      <c r="D2713" s="24">
        <v>6.29</v>
      </c>
      <c r="E2713" s="24">
        <v>1.1299999999999999</v>
      </c>
      <c r="F2713" s="23">
        <f>COUNTIFS(mdr_rate_cleaned!$A$2:$A$10,B2713,mdr_rate_cleaned!$B$2:$B$10,"&lt;"&amp;C2713,mdr_rate_cleaned!$F$2:$F$10,"&gt;="&amp;C2713)</f>
        <v>1</v>
      </c>
      <c r="G2713" s="40">
        <f>SUMIFS(mdr_rate_cleaned!$G$2:$G$10,mdr_rate_cleaned!$A$2:$A$10,B2713,mdr_rate_cleaned!$B$2:$B$10,"&lt;"&amp;C2713,mdr_rate_cleaned!$F$2:$F$10,"&gt;="&amp;C2713)</f>
        <v>3.0000000000000001E-3</v>
      </c>
      <c r="H2713" s="24">
        <f t="shared" si="210"/>
        <v>6.29</v>
      </c>
      <c r="I2713" s="23" t="str">
        <f t="shared" si="211"/>
        <v>Match</v>
      </c>
      <c r="J2713" s="23" t="str">
        <f t="shared" si="212"/>
        <v>Match</v>
      </c>
      <c r="K2713" s="24">
        <f t="shared" si="213"/>
        <v>1.1299999999999999</v>
      </c>
      <c r="L2713" s="24">
        <f t="shared" si="214"/>
        <v>0</v>
      </c>
    </row>
    <row r="2714" spans="1:12" ht="15" customHeight="1" x14ac:dyDescent="0.3">
      <c r="A2714" s="23" t="s">
        <v>15661</v>
      </c>
      <c r="B2714" s="23" t="s">
        <v>75</v>
      </c>
      <c r="C2714" s="39">
        <v>1799</v>
      </c>
      <c r="D2714" s="24">
        <v>0</v>
      </c>
      <c r="E2714" s="24">
        <v>0</v>
      </c>
      <c r="F2714" s="23">
        <f>COUNTIFS(mdr_rate_cleaned!$A$2:$A$10,B2714,mdr_rate_cleaned!$B$2:$B$10,"&lt;"&amp;C2714,mdr_rate_cleaned!$F$2:$F$10,"&gt;="&amp;C2714)</f>
        <v>1</v>
      </c>
      <c r="G2714" s="40">
        <f>SUMIFS(mdr_rate_cleaned!$G$2:$G$10,mdr_rate_cleaned!$A$2:$A$10,B2714,mdr_rate_cleaned!$B$2:$B$10,"&lt;"&amp;C2714,mdr_rate_cleaned!$F$2:$F$10,"&gt;="&amp;C2714)</f>
        <v>0</v>
      </c>
      <c r="H2714" s="24">
        <f t="shared" si="210"/>
        <v>0</v>
      </c>
      <c r="I2714" s="23" t="str">
        <f t="shared" si="211"/>
        <v>Match</v>
      </c>
      <c r="J2714" s="23" t="str">
        <f t="shared" si="212"/>
        <v>Match</v>
      </c>
      <c r="K2714" s="24">
        <f t="shared" si="213"/>
        <v>0</v>
      </c>
      <c r="L2714" s="24">
        <f t="shared" si="214"/>
        <v>0</v>
      </c>
    </row>
    <row r="2715" spans="1:12" ht="15" customHeight="1" x14ac:dyDescent="0.3">
      <c r="A2715" s="23" t="s">
        <v>15662</v>
      </c>
      <c r="B2715" s="23" t="s">
        <v>75</v>
      </c>
      <c r="C2715" s="39">
        <v>1299</v>
      </c>
      <c r="D2715" s="24">
        <v>0</v>
      </c>
      <c r="E2715" s="24">
        <v>0</v>
      </c>
      <c r="F2715" s="23">
        <f>COUNTIFS(mdr_rate_cleaned!$A$2:$A$10,B2715,mdr_rate_cleaned!$B$2:$B$10,"&lt;"&amp;C2715,mdr_rate_cleaned!$F$2:$F$10,"&gt;="&amp;C2715)</f>
        <v>1</v>
      </c>
      <c r="G2715" s="40">
        <f>SUMIFS(mdr_rate_cleaned!$G$2:$G$10,mdr_rate_cleaned!$A$2:$A$10,B2715,mdr_rate_cleaned!$B$2:$B$10,"&lt;"&amp;C2715,mdr_rate_cleaned!$F$2:$F$10,"&gt;="&amp;C2715)</f>
        <v>0</v>
      </c>
      <c r="H2715" s="24">
        <f t="shared" si="210"/>
        <v>0</v>
      </c>
      <c r="I2715" s="23" t="str">
        <f t="shared" si="211"/>
        <v>Match</v>
      </c>
      <c r="J2715" s="23" t="str">
        <f t="shared" si="212"/>
        <v>Match</v>
      </c>
      <c r="K2715" s="24">
        <f t="shared" si="213"/>
        <v>0</v>
      </c>
      <c r="L2715" s="24">
        <f t="shared" si="214"/>
        <v>0</v>
      </c>
    </row>
    <row r="2716" spans="1:12" ht="15" customHeight="1" x14ac:dyDescent="0.3">
      <c r="A2716" s="23" t="s">
        <v>15664</v>
      </c>
      <c r="B2716" s="23" t="s">
        <v>77</v>
      </c>
      <c r="C2716" s="39">
        <v>1499</v>
      </c>
      <c r="D2716" s="24">
        <v>28.48</v>
      </c>
      <c r="E2716" s="24">
        <v>5.13</v>
      </c>
      <c r="F2716" s="23">
        <f>COUNTIFS(mdr_rate_cleaned!$A$2:$A$10,B2716,mdr_rate_cleaned!$B$2:$B$10,"&lt;"&amp;C2716,mdr_rate_cleaned!$F$2:$F$10,"&gt;="&amp;C2716)</f>
        <v>1</v>
      </c>
      <c r="G2716" s="40">
        <f>SUMIFS(mdr_rate_cleaned!$G$2:$G$10,mdr_rate_cleaned!$A$2:$A$10,B2716,mdr_rate_cleaned!$B$2:$B$10,"&lt;"&amp;C2716,mdr_rate_cleaned!$F$2:$F$10,"&gt;="&amp;C2716)</f>
        <v>1.9E-2</v>
      </c>
      <c r="H2716" s="24">
        <f t="shared" si="210"/>
        <v>28.48</v>
      </c>
      <c r="I2716" s="23" t="str">
        <f t="shared" si="211"/>
        <v>Match</v>
      </c>
      <c r="J2716" s="23" t="str">
        <f t="shared" si="212"/>
        <v>Match</v>
      </c>
      <c r="K2716" s="24">
        <f t="shared" si="213"/>
        <v>5.13</v>
      </c>
      <c r="L2716" s="24">
        <f t="shared" si="214"/>
        <v>0</v>
      </c>
    </row>
    <row r="2717" spans="1:12" ht="15" customHeight="1" x14ac:dyDescent="0.3">
      <c r="A2717" s="23" t="s">
        <v>15665</v>
      </c>
      <c r="B2717" s="23" t="s">
        <v>75</v>
      </c>
      <c r="C2717" s="39">
        <v>1299</v>
      </c>
      <c r="D2717" s="24">
        <v>0</v>
      </c>
      <c r="E2717" s="24">
        <v>0</v>
      </c>
      <c r="F2717" s="23">
        <f>COUNTIFS(mdr_rate_cleaned!$A$2:$A$10,B2717,mdr_rate_cleaned!$B$2:$B$10,"&lt;"&amp;C2717,mdr_rate_cleaned!$F$2:$F$10,"&gt;="&amp;C2717)</f>
        <v>1</v>
      </c>
      <c r="G2717" s="40">
        <f>SUMIFS(mdr_rate_cleaned!$G$2:$G$10,mdr_rate_cleaned!$A$2:$A$10,B2717,mdr_rate_cleaned!$B$2:$B$10,"&lt;"&amp;C2717,mdr_rate_cleaned!$F$2:$F$10,"&gt;="&amp;C2717)</f>
        <v>0</v>
      </c>
      <c r="H2717" s="24">
        <f t="shared" si="210"/>
        <v>0</v>
      </c>
      <c r="I2717" s="23" t="str">
        <f t="shared" si="211"/>
        <v>Match</v>
      </c>
      <c r="J2717" s="23" t="str">
        <f t="shared" si="212"/>
        <v>Match</v>
      </c>
      <c r="K2717" s="24">
        <f t="shared" si="213"/>
        <v>0</v>
      </c>
      <c r="L2717" s="24">
        <f t="shared" si="214"/>
        <v>0</v>
      </c>
    </row>
    <row r="2718" spans="1:12" ht="15" customHeight="1" x14ac:dyDescent="0.3">
      <c r="A2718" s="23" t="s">
        <v>15666</v>
      </c>
      <c r="B2718" s="23" t="s">
        <v>77</v>
      </c>
      <c r="C2718" s="39">
        <v>299</v>
      </c>
      <c r="D2718" s="24">
        <v>5.68</v>
      </c>
      <c r="E2718" s="24">
        <v>1.02</v>
      </c>
      <c r="F2718" s="23">
        <f>COUNTIFS(mdr_rate_cleaned!$A$2:$A$10,B2718,mdr_rate_cleaned!$B$2:$B$10,"&lt;"&amp;C2718,mdr_rate_cleaned!$F$2:$F$10,"&gt;="&amp;C2718)</f>
        <v>1</v>
      </c>
      <c r="G2718" s="40">
        <f>SUMIFS(mdr_rate_cleaned!$G$2:$G$10,mdr_rate_cleaned!$A$2:$A$10,B2718,mdr_rate_cleaned!$B$2:$B$10,"&lt;"&amp;C2718,mdr_rate_cleaned!$F$2:$F$10,"&gt;="&amp;C2718)</f>
        <v>1.9E-2</v>
      </c>
      <c r="H2718" s="24">
        <f t="shared" si="210"/>
        <v>5.68</v>
      </c>
      <c r="I2718" s="23" t="str">
        <f t="shared" si="211"/>
        <v>Match</v>
      </c>
      <c r="J2718" s="23" t="str">
        <f t="shared" si="212"/>
        <v>Match</v>
      </c>
      <c r="K2718" s="24">
        <f t="shared" si="213"/>
        <v>1.02</v>
      </c>
      <c r="L2718" s="24">
        <f t="shared" si="214"/>
        <v>0</v>
      </c>
    </row>
    <row r="2719" spans="1:12" ht="15" customHeight="1" x14ac:dyDescent="0.3">
      <c r="A2719" s="23" t="s">
        <v>15667</v>
      </c>
      <c r="B2719" s="23" t="s">
        <v>81</v>
      </c>
      <c r="C2719" s="39">
        <v>3447</v>
      </c>
      <c r="D2719" s="24">
        <v>41.36</v>
      </c>
      <c r="E2719" s="24">
        <v>7.44</v>
      </c>
      <c r="F2719" s="23">
        <f>COUNTIFS(mdr_rate_cleaned!$A$2:$A$10,B2719,mdr_rate_cleaned!$B$2:$B$10,"&lt;"&amp;C2719,mdr_rate_cleaned!$F$2:$F$10,"&gt;="&amp;C2719)</f>
        <v>1</v>
      </c>
      <c r="G2719" s="40">
        <f>SUMIFS(mdr_rate_cleaned!$G$2:$G$10,mdr_rate_cleaned!$A$2:$A$10,B2719,mdr_rate_cleaned!$B$2:$B$10,"&lt;"&amp;C2719,mdr_rate_cleaned!$F$2:$F$10,"&gt;="&amp;C2719)</f>
        <v>1.2E-2</v>
      </c>
      <c r="H2719" s="24">
        <f t="shared" si="210"/>
        <v>41.36</v>
      </c>
      <c r="I2719" s="23" t="str">
        <f t="shared" si="211"/>
        <v>Match</v>
      </c>
      <c r="J2719" s="23" t="str">
        <f t="shared" si="212"/>
        <v>Match</v>
      </c>
      <c r="K2719" s="24">
        <f t="shared" si="213"/>
        <v>7.44</v>
      </c>
      <c r="L2719" s="24">
        <f t="shared" si="214"/>
        <v>0</v>
      </c>
    </row>
    <row r="2720" spans="1:12" ht="15" customHeight="1" x14ac:dyDescent="0.3">
      <c r="A2720" s="23" t="s">
        <v>15668</v>
      </c>
      <c r="B2720" s="23" t="s">
        <v>75</v>
      </c>
      <c r="C2720" s="39">
        <v>3498</v>
      </c>
      <c r="D2720" s="24">
        <v>10.49</v>
      </c>
      <c r="E2720" s="24">
        <v>1.89</v>
      </c>
      <c r="F2720" s="23">
        <f>COUNTIFS(mdr_rate_cleaned!$A$2:$A$10,B2720,mdr_rate_cleaned!$B$2:$B$10,"&lt;"&amp;C2720,mdr_rate_cleaned!$F$2:$F$10,"&gt;="&amp;C2720)</f>
        <v>1</v>
      </c>
      <c r="G2720" s="40">
        <f>SUMIFS(mdr_rate_cleaned!$G$2:$G$10,mdr_rate_cleaned!$A$2:$A$10,B2720,mdr_rate_cleaned!$B$2:$B$10,"&lt;"&amp;C2720,mdr_rate_cleaned!$F$2:$F$10,"&gt;="&amp;C2720)</f>
        <v>3.0000000000000001E-3</v>
      </c>
      <c r="H2720" s="24">
        <f t="shared" si="210"/>
        <v>10.49</v>
      </c>
      <c r="I2720" s="23" t="str">
        <f t="shared" si="211"/>
        <v>Match</v>
      </c>
      <c r="J2720" s="23" t="str">
        <f t="shared" si="212"/>
        <v>Match</v>
      </c>
      <c r="K2720" s="24">
        <f t="shared" si="213"/>
        <v>1.89</v>
      </c>
      <c r="L2720" s="24">
        <f t="shared" si="214"/>
        <v>0</v>
      </c>
    </row>
    <row r="2721" spans="1:12" ht="15" customHeight="1" x14ac:dyDescent="0.3">
      <c r="A2721" s="23" t="s">
        <v>15670</v>
      </c>
      <c r="B2721" s="23" t="s">
        <v>77</v>
      </c>
      <c r="C2721" s="39">
        <v>2999</v>
      </c>
      <c r="D2721" s="24">
        <v>71.98</v>
      </c>
      <c r="E2721" s="24">
        <v>12.96</v>
      </c>
      <c r="F2721" s="23">
        <f>COUNTIFS(mdr_rate_cleaned!$A$2:$A$10,B2721,mdr_rate_cleaned!$B$2:$B$10,"&lt;"&amp;C2721,mdr_rate_cleaned!$F$2:$F$10,"&gt;="&amp;C2721)</f>
        <v>1</v>
      </c>
      <c r="G2721" s="40">
        <f>SUMIFS(mdr_rate_cleaned!$G$2:$G$10,mdr_rate_cleaned!$A$2:$A$10,B2721,mdr_rate_cleaned!$B$2:$B$10,"&lt;"&amp;C2721,mdr_rate_cleaned!$F$2:$F$10,"&gt;="&amp;C2721)</f>
        <v>1.7000000000000001E-2</v>
      </c>
      <c r="H2721" s="24">
        <f t="shared" si="210"/>
        <v>50.98</v>
      </c>
      <c r="I2721" s="23" t="str">
        <f t="shared" si="211"/>
        <v>Differs</v>
      </c>
      <c r="J2721" s="23" t="str">
        <f t="shared" si="212"/>
        <v>Match</v>
      </c>
      <c r="K2721" s="24">
        <f t="shared" si="213"/>
        <v>9.18</v>
      </c>
      <c r="L2721" s="24">
        <f t="shared" si="214"/>
        <v>24.78</v>
      </c>
    </row>
    <row r="2722" spans="1:12" ht="15" customHeight="1" x14ac:dyDescent="0.3">
      <c r="A2722" s="23" t="s">
        <v>15671</v>
      </c>
      <c r="B2722" s="23" t="s">
        <v>75</v>
      </c>
      <c r="C2722" s="39">
        <v>2098</v>
      </c>
      <c r="D2722" s="24">
        <v>6.29</v>
      </c>
      <c r="E2722" s="24">
        <v>1.1299999999999999</v>
      </c>
      <c r="F2722" s="23">
        <f>COUNTIFS(mdr_rate_cleaned!$A$2:$A$10,B2722,mdr_rate_cleaned!$B$2:$B$10,"&lt;"&amp;C2722,mdr_rate_cleaned!$F$2:$F$10,"&gt;="&amp;C2722)</f>
        <v>1</v>
      </c>
      <c r="G2722" s="40">
        <f>SUMIFS(mdr_rate_cleaned!$G$2:$G$10,mdr_rate_cleaned!$A$2:$A$10,B2722,mdr_rate_cleaned!$B$2:$B$10,"&lt;"&amp;C2722,mdr_rate_cleaned!$F$2:$F$10,"&gt;="&amp;C2722)</f>
        <v>3.0000000000000001E-3</v>
      </c>
      <c r="H2722" s="24">
        <f t="shared" si="210"/>
        <v>6.29</v>
      </c>
      <c r="I2722" s="23" t="str">
        <f t="shared" si="211"/>
        <v>Match</v>
      </c>
      <c r="J2722" s="23" t="str">
        <f t="shared" si="212"/>
        <v>Match</v>
      </c>
      <c r="K2722" s="24">
        <f t="shared" si="213"/>
        <v>1.1299999999999999</v>
      </c>
      <c r="L2722" s="24">
        <f t="shared" si="214"/>
        <v>0</v>
      </c>
    </row>
    <row r="2723" spans="1:12" ht="15" customHeight="1" x14ac:dyDescent="0.3">
      <c r="A2723" s="23" t="s">
        <v>15673</v>
      </c>
      <c r="B2723" s="23" t="s">
        <v>75</v>
      </c>
      <c r="C2723" s="39">
        <v>9498</v>
      </c>
      <c r="D2723" s="24">
        <v>28.49</v>
      </c>
      <c r="E2723" s="24">
        <v>5.13</v>
      </c>
      <c r="F2723" s="23">
        <f>COUNTIFS(mdr_rate_cleaned!$A$2:$A$10,B2723,mdr_rate_cleaned!$B$2:$B$10,"&lt;"&amp;C2723,mdr_rate_cleaned!$F$2:$F$10,"&gt;="&amp;C2723)</f>
        <v>1</v>
      </c>
      <c r="G2723" s="40">
        <f>SUMIFS(mdr_rate_cleaned!$G$2:$G$10,mdr_rate_cleaned!$A$2:$A$10,B2723,mdr_rate_cleaned!$B$2:$B$10,"&lt;"&amp;C2723,mdr_rate_cleaned!$F$2:$F$10,"&gt;="&amp;C2723)</f>
        <v>3.0000000000000001E-3</v>
      </c>
      <c r="H2723" s="24">
        <f t="shared" si="210"/>
        <v>28.49</v>
      </c>
      <c r="I2723" s="23" t="str">
        <f t="shared" si="211"/>
        <v>Match</v>
      </c>
      <c r="J2723" s="23" t="str">
        <f t="shared" si="212"/>
        <v>Match</v>
      </c>
      <c r="K2723" s="24">
        <f t="shared" si="213"/>
        <v>5.13</v>
      </c>
      <c r="L2723" s="24">
        <f t="shared" si="214"/>
        <v>0</v>
      </c>
    </row>
    <row r="2724" spans="1:12" ht="15" customHeight="1" x14ac:dyDescent="0.3">
      <c r="A2724" s="23" t="s">
        <v>15674</v>
      </c>
      <c r="B2724" s="23" t="s">
        <v>75</v>
      </c>
      <c r="C2724" s="39">
        <v>1799</v>
      </c>
      <c r="D2724" s="24">
        <v>0</v>
      </c>
      <c r="E2724" s="24">
        <v>0</v>
      </c>
      <c r="F2724" s="23">
        <f>COUNTIFS(mdr_rate_cleaned!$A$2:$A$10,B2724,mdr_rate_cleaned!$B$2:$B$10,"&lt;"&amp;C2724,mdr_rate_cleaned!$F$2:$F$10,"&gt;="&amp;C2724)</f>
        <v>1</v>
      </c>
      <c r="G2724" s="40">
        <f>SUMIFS(mdr_rate_cleaned!$G$2:$G$10,mdr_rate_cleaned!$A$2:$A$10,B2724,mdr_rate_cleaned!$B$2:$B$10,"&lt;"&amp;C2724,mdr_rate_cleaned!$F$2:$F$10,"&gt;="&amp;C2724)</f>
        <v>0</v>
      </c>
      <c r="H2724" s="24">
        <f t="shared" si="210"/>
        <v>0</v>
      </c>
      <c r="I2724" s="23" t="str">
        <f t="shared" si="211"/>
        <v>Match</v>
      </c>
      <c r="J2724" s="23" t="str">
        <f t="shared" si="212"/>
        <v>Match</v>
      </c>
      <c r="K2724" s="24">
        <f t="shared" si="213"/>
        <v>0</v>
      </c>
      <c r="L2724" s="24">
        <f t="shared" si="214"/>
        <v>0</v>
      </c>
    </row>
    <row r="2725" spans="1:12" ht="15" customHeight="1" x14ac:dyDescent="0.3">
      <c r="A2725" s="23" t="s">
        <v>15675</v>
      </c>
      <c r="B2725" s="23" t="s">
        <v>75</v>
      </c>
      <c r="C2725" s="39">
        <v>1797</v>
      </c>
      <c r="D2725" s="24">
        <v>0</v>
      </c>
      <c r="E2725" s="24">
        <v>0</v>
      </c>
      <c r="F2725" s="23">
        <f>COUNTIFS(mdr_rate_cleaned!$A$2:$A$10,B2725,mdr_rate_cleaned!$B$2:$B$10,"&lt;"&amp;C2725,mdr_rate_cleaned!$F$2:$F$10,"&gt;="&amp;C2725)</f>
        <v>1</v>
      </c>
      <c r="G2725" s="40">
        <f>SUMIFS(mdr_rate_cleaned!$G$2:$G$10,mdr_rate_cleaned!$A$2:$A$10,B2725,mdr_rate_cleaned!$B$2:$B$10,"&lt;"&amp;C2725,mdr_rate_cleaned!$F$2:$F$10,"&gt;="&amp;C2725)</f>
        <v>0</v>
      </c>
      <c r="H2725" s="24">
        <f t="shared" si="210"/>
        <v>0</v>
      </c>
      <c r="I2725" s="23" t="str">
        <f t="shared" si="211"/>
        <v>Match</v>
      </c>
      <c r="J2725" s="23" t="str">
        <f t="shared" si="212"/>
        <v>Match</v>
      </c>
      <c r="K2725" s="24">
        <f t="shared" si="213"/>
        <v>0</v>
      </c>
      <c r="L2725" s="24">
        <f t="shared" si="214"/>
        <v>0</v>
      </c>
    </row>
    <row r="2726" spans="1:12" ht="15" customHeight="1" x14ac:dyDescent="0.3">
      <c r="A2726" s="23" t="s">
        <v>15676</v>
      </c>
      <c r="B2726" s="23" t="s">
        <v>79</v>
      </c>
      <c r="C2726" s="39">
        <v>5298</v>
      </c>
      <c r="D2726" s="24">
        <v>84.77</v>
      </c>
      <c r="E2726" s="24">
        <v>15.26</v>
      </c>
      <c r="F2726" s="23">
        <f>COUNTIFS(mdr_rate_cleaned!$A$2:$A$10,B2726,mdr_rate_cleaned!$B$2:$B$10,"&lt;"&amp;C2726,mdr_rate_cleaned!$F$2:$F$10,"&gt;="&amp;C2726)</f>
        <v>1</v>
      </c>
      <c r="G2726" s="40">
        <f>SUMIFS(mdr_rate_cleaned!$G$2:$G$10,mdr_rate_cleaned!$A$2:$A$10,B2726,mdr_rate_cleaned!$B$2:$B$10,"&lt;"&amp;C2726,mdr_rate_cleaned!$F$2:$F$10,"&gt;="&amp;C2726)</f>
        <v>1.6E-2</v>
      </c>
      <c r="H2726" s="24">
        <f t="shared" si="210"/>
        <v>84.77</v>
      </c>
      <c r="I2726" s="23" t="str">
        <f t="shared" si="211"/>
        <v>Match</v>
      </c>
      <c r="J2726" s="23" t="str">
        <f t="shared" si="212"/>
        <v>Match</v>
      </c>
      <c r="K2726" s="24">
        <f t="shared" si="213"/>
        <v>15.26</v>
      </c>
      <c r="L2726" s="24">
        <f t="shared" si="214"/>
        <v>0</v>
      </c>
    </row>
    <row r="2727" spans="1:12" ht="15" customHeight="1" x14ac:dyDescent="0.3">
      <c r="A2727" s="23" t="s">
        <v>15677</v>
      </c>
      <c r="B2727" s="23" t="s">
        <v>79</v>
      </c>
      <c r="C2727" s="39">
        <v>4597</v>
      </c>
      <c r="D2727" s="24">
        <v>73.55</v>
      </c>
      <c r="E2727" s="24">
        <v>13.24</v>
      </c>
      <c r="F2727" s="23">
        <f>COUNTIFS(mdr_rate_cleaned!$A$2:$A$10,B2727,mdr_rate_cleaned!$B$2:$B$10,"&lt;"&amp;C2727,mdr_rate_cleaned!$F$2:$F$10,"&gt;="&amp;C2727)</f>
        <v>1</v>
      </c>
      <c r="G2727" s="40">
        <f>SUMIFS(mdr_rate_cleaned!$G$2:$G$10,mdr_rate_cleaned!$A$2:$A$10,B2727,mdr_rate_cleaned!$B$2:$B$10,"&lt;"&amp;C2727,mdr_rate_cleaned!$F$2:$F$10,"&gt;="&amp;C2727)</f>
        <v>1.6E-2</v>
      </c>
      <c r="H2727" s="24">
        <f t="shared" si="210"/>
        <v>73.55</v>
      </c>
      <c r="I2727" s="23" t="str">
        <f t="shared" si="211"/>
        <v>Match</v>
      </c>
      <c r="J2727" s="23" t="str">
        <f t="shared" si="212"/>
        <v>Match</v>
      </c>
      <c r="K2727" s="24">
        <f t="shared" si="213"/>
        <v>13.24</v>
      </c>
      <c r="L2727" s="24">
        <f t="shared" si="214"/>
        <v>0</v>
      </c>
    </row>
    <row r="2728" spans="1:12" ht="15" customHeight="1" x14ac:dyDescent="0.3">
      <c r="A2728" s="23" t="s">
        <v>15678</v>
      </c>
      <c r="B2728" s="23" t="s">
        <v>79</v>
      </c>
      <c r="C2728" s="39">
        <v>999</v>
      </c>
      <c r="D2728" s="24">
        <v>17.98</v>
      </c>
      <c r="E2728" s="24">
        <v>3.24</v>
      </c>
      <c r="F2728" s="23">
        <f>COUNTIFS(mdr_rate_cleaned!$A$2:$A$10,B2728,mdr_rate_cleaned!$B$2:$B$10,"&lt;"&amp;C2728,mdr_rate_cleaned!$F$2:$F$10,"&gt;="&amp;C2728)</f>
        <v>1</v>
      </c>
      <c r="G2728" s="40">
        <f>SUMIFS(mdr_rate_cleaned!$G$2:$G$10,mdr_rate_cleaned!$A$2:$A$10,B2728,mdr_rate_cleaned!$B$2:$B$10,"&lt;"&amp;C2728,mdr_rate_cleaned!$F$2:$F$10,"&gt;="&amp;C2728)</f>
        <v>1.8000000000000002E-2</v>
      </c>
      <c r="H2728" s="24">
        <f t="shared" si="210"/>
        <v>17.98</v>
      </c>
      <c r="I2728" s="23" t="str">
        <f t="shared" si="211"/>
        <v>Match</v>
      </c>
      <c r="J2728" s="23" t="str">
        <f t="shared" si="212"/>
        <v>Match</v>
      </c>
      <c r="K2728" s="24">
        <f t="shared" si="213"/>
        <v>3.24</v>
      </c>
      <c r="L2728" s="24">
        <f t="shared" si="214"/>
        <v>0</v>
      </c>
    </row>
    <row r="2729" spans="1:12" ht="15" customHeight="1" x14ac:dyDescent="0.3">
      <c r="A2729" s="23" t="s">
        <v>15679</v>
      </c>
      <c r="B2729" s="23" t="s">
        <v>77</v>
      </c>
      <c r="C2729" s="39">
        <v>5348</v>
      </c>
      <c r="D2729" s="24">
        <v>90.92</v>
      </c>
      <c r="E2729" s="24">
        <v>16.37</v>
      </c>
      <c r="F2729" s="23">
        <f>COUNTIFS(mdr_rate_cleaned!$A$2:$A$10,B2729,mdr_rate_cleaned!$B$2:$B$10,"&lt;"&amp;C2729,mdr_rate_cleaned!$F$2:$F$10,"&gt;="&amp;C2729)</f>
        <v>1</v>
      </c>
      <c r="G2729" s="40">
        <f>SUMIFS(mdr_rate_cleaned!$G$2:$G$10,mdr_rate_cleaned!$A$2:$A$10,B2729,mdr_rate_cleaned!$B$2:$B$10,"&lt;"&amp;C2729,mdr_rate_cleaned!$F$2:$F$10,"&gt;="&amp;C2729)</f>
        <v>1.7000000000000001E-2</v>
      </c>
      <c r="H2729" s="24">
        <f t="shared" si="210"/>
        <v>90.92</v>
      </c>
      <c r="I2729" s="23" t="str">
        <f t="shared" si="211"/>
        <v>Match</v>
      </c>
      <c r="J2729" s="23" t="str">
        <f t="shared" si="212"/>
        <v>Match</v>
      </c>
      <c r="K2729" s="24">
        <f t="shared" si="213"/>
        <v>16.37</v>
      </c>
      <c r="L2729" s="24">
        <f t="shared" si="214"/>
        <v>0</v>
      </c>
    </row>
    <row r="2730" spans="1:12" ht="15" customHeight="1" x14ac:dyDescent="0.3">
      <c r="A2730" s="23" t="s">
        <v>15680</v>
      </c>
      <c r="B2730" s="23" t="s">
        <v>75</v>
      </c>
      <c r="C2730" s="39">
        <v>948</v>
      </c>
      <c r="D2730" s="24">
        <v>0</v>
      </c>
      <c r="E2730" s="24">
        <v>0</v>
      </c>
      <c r="F2730" s="23">
        <f>COUNTIFS(mdr_rate_cleaned!$A$2:$A$10,B2730,mdr_rate_cleaned!$B$2:$B$10,"&lt;"&amp;C2730,mdr_rate_cleaned!$F$2:$F$10,"&gt;="&amp;C2730)</f>
        <v>1</v>
      </c>
      <c r="G2730" s="40">
        <f>SUMIFS(mdr_rate_cleaned!$G$2:$G$10,mdr_rate_cleaned!$A$2:$A$10,B2730,mdr_rate_cleaned!$B$2:$B$10,"&lt;"&amp;C2730,mdr_rate_cleaned!$F$2:$F$10,"&gt;="&amp;C2730)</f>
        <v>0</v>
      </c>
      <c r="H2730" s="24">
        <f t="shared" si="210"/>
        <v>0</v>
      </c>
      <c r="I2730" s="23" t="str">
        <f t="shared" si="211"/>
        <v>Match</v>
      </c>
      <c r="J2730" s="23" t="str">
        <f t="shared" si="212"/>
        <v>Match</v>
      </c>
      <c r="K2730" s="24">
        <f t="shared" si="213"/>
        <v>0</v>
      </c>
      <c r="L2730" s="24">
        <f t="shared" si="214"/>
        <v>0</v>
      </c>
    </row>
    <row r="2731" spans="1:12" ht="15" customHeight="1" x14ac:dyDescent="0.3">
      <c r="A2731" s="23" t="s">
        <v>15681</v>
      </c>
      <c r="B2731" s="23" t="s">
        <v>75</v>
      </c>
      <c r="C2731" s="39">
        <v>2998</v>
      </c>
      <c r="D2731" s="24">
        <v>8.99</v>
      </c>
      <c r="E2731" s="24">
        <v>1.62</v>
      </c>
      <c r="F2731" s="23">
        <f>COUNTIFS(mdr_rate_cleaned!$A$2:$A$10,B2731,mdr_rate_cleaned!$B$2:$B$10,"&lt;"&amp;C2731,mdr_rate_cleaned!$F$2:$F$10,"&gt;="&amp;C2731)</f>
        <v>1</v>
      </c>
      <c r="G2731" s="40">
        <f>SUMIFS(mdr_rate_cleaned!$G$2:$G$10,mdr_rate_cleaned!$A$2:$A$10,B2731,mdr_rate_cleaned!$B$2:$B$10,"&lt;"&amp;C2731,mdr_rate_cleaned!$F$2:$F$10,"&gt;="&amp;C2731)</f>
        <v>3.0000000000000001E-3</v>
      </c>
      <c r="H2731" s="24">
        <f t="shared" si="210"/>
        <v>8.99</v>
      </c>
      <c r="I2731" s="23" t="str">
        <f t="shared" si="211"/>
        <v>Match</v>
      </c>
      <c r="J2731" s="23" t="str">
        <f t="shared" si="212"/>
        <v>Match</v>
      </c>
      <c r="K2731" s="24">
        <f t="shared" si="213"/>
        <v>1.62</v>
      </c>
      <c r="L2731" s="24">
        <f t="shared" si="214"/>
        <v>0</v>
      </c>
    </row>
    <row r="2732" spans="1:12" ht="15" customHeight="1" x14ac:dyDescent="0.3">
      <c r="A2732" s="23" t="s">
        <v>15682</v>
      </c>
      <c r="B2732" s="23" t="s">
        <v>77</v>
      </c>
      <c r="C2732" s="39">
        <v>2999</v>
      </c>
      <c r="D2732" s="24">
        <v>50.98</v>
      </c>
      <c r="E2732" s="24">
        <v>9.18</v>
      </c>
      <c r="F2732" s="23">
        <f>COUNTIFS(mdr_rate_cleaned!$A$2:$A$10,B2732,mdr_rate_cleaned!$B$2:$B$10,"&lt;"&amp;C2732,mdr_rate_cleaned!$F$2:$F$10,"&gt;="&amp;C2732)</f>
        <v>1</v>
      </c>
      <c r="G2732" s="40">
        <f>SUMIFS(mdr_rate_cleaned!$G$2:$G$10,mdr_rate_cleaned!$A$2:$A$10,B2732,mdr_rate_cleaned!$B$2:$B$10,"&lt;"&amp;C2732,mdr_rate_cleaned!$F$2:$F$10,"&gt;="&amp;C2732)</f>
        <v>1.7000000000000001E-2</v>
      </c>
      <c r="H2732" s="24">
        <f t="shared" si="210"/>
        <v>50.98</v>
      </c>
      <c r="I2732" s="23" t="str">
        <f t="shared" si="211"/>
        <v>Match</v>
      </c>
      <c r="J2732" s="23" t="str">
        <f t="shared" si="212"/>
        <v>Match</v>
      </c>
      <c r="K2732" s="24">
        <f t="shared" si="213"/>
        <v>9.18</v>
      </c>
      <c r="L2732" s="24">
        <f t="shared" si="214"/>
        <v>0</v>
      </c>
    </row>
    <row r="2733" spans="1:12" ht="15" customHeight="1" x14ac:dyDescent="0.3">
      <c r="A2733" s="23" t="s">
        <v>15683</v>
      </c>
      <c r="B2733" s="23" t="s">
        <v>75</v>
      </c>
      <c r="C2733" s="39">
        <v>3499</v>
      </c>
      <c r="D2733" s="24">
        <v>10.5</v>
      </c>
      <c r="E2733" s="24">
        <v>1.89</v>
      </c>
      <c r="F2733" s="23">
        <f>COUNTIFS(mdr_rate_cleaned!$A$2:$A$10,B2733,mdr_rate_cleaned!$B$2:$B$10,"&lt;"&amp;C2733,mdr_rate_cleaned!$F$2:$F$10,"&gt;="&amp;C2733)</f>
        <v>1</v>
      </c>
      <c r="G2733" s="40">
        <f>SUMIFS(mdr_rate_cleaned!$G$2:$G$10,mdr_rate_cleaned!$A$2:$A$10,B2733,mdr_rate_cleaned!$B$2:$B$10,"&lt;"&amp;C2733,mdr_rate_cleaned!$F$2:$F$10,"&gt;="&amp;C2733)</f>
        <v>3.0000000000000001E-3</v>
      </c>
      <c r="H2733" s="24">
        <f t="shared" si="210"/>
        <v>10.5</v>
      </c>
      <c r="I2733" s="23" t="str">
        <f t="shared" si="211"/>
        <v>Match</v>
      </c>
      <c r="J2733" s="23" t="str">
        <f t="shared" si="212"/>
        <v>Match</v>
      </c>
      <c r="K2733" s="24">
        <f t="shared" si="213"/>
        <v>1.89</v>
      </c>
      <c r="L2733" s="24">
        <f t="shared" si="214"/>
        <v>0</v>
      </c>
    </row>
    <row r="2734" spans="1:12" ht="15" customHeight="1" x14ac:dyDescent="0.3">
      <c r="A2734" s="23" t="s">
        <v>15684</v>
      </c>
      <c r="B2734" s="23" t="s">
        <v>79</v>
      </c>
      <c r="C2734" s="39">
        <v>349</v>
      </c>
      <c r="D2734" s="24">
        <v>6.28</v>
      </c>
      <c r="E2734" s="24">
        <v>1.1299999999999999</v>
      </c>
      <c r="F2734" s="23">
        <f>COUNTIFS(mdr_rate_cleaned!$A$2:$A$10,B2734,mdr_rate_cleaned!$B$2:$B$10,"&lt;"&amp;C2734,mdr_rate_cleaned!$F$2:$F$10,"&gt;="&amp;C2734)</f>
        <v>1</v>
      </c>
      <c r="G2734" s="40">
        <f>SUMIFS(mdr_rate_cleaned!$G$2:$G$10,mdr_rate_cleaned!$A$2:$A$10,B2734,mdr_rate_cleaned!$B$2:$B$10,"&lt;"&amp;C2734,mdr_rate_cleaned!$F$2:$F$10,"&gt;="&amp;C2734)</f>
        <v>1.8000000000000002E-2</v>
      </c>
      <c r="H2734" s="24">
        <f t="shared" si="210"/>
        <v>6.28</v>
      </c>
      <c r="I2734" s="23" t="str">
        <f t="shared" si="211"/>
        <v>Match</v>
      </c>
      <c r="J2734" s="23" t="str">
        <f t="shared" si="212"/>
        <v>Match</v>
      </c>
      <c r="K2734" s="24">
        <f t="shared" si="213"/>
        <v>1.1299999999999999</v>
      </c>
      <c r="L2734" s="24">
        <f t="shared" si="214"/>
        <v>0</v>
      </c>
    </row>
    <row r="2735" spans="1:12" ht="15" customHeight="1" x14ac:dyDescent="0.3">
      <c r="A2735" s="23" t="s">
        <v>15685</v>
      </c>
      <c r="B2735" s="23" t="s">
        <v>75</v>
      </c>
      <c r="C2735" s="39">
        <v>1799</v>
      </c>
      <c r="D2735" s="24">
        <v>0</v>
      </c>
      <c r="E2735" s="24">
        <v>0</v>
      </c>
      <c r="F2735" s="23">
        <f>COUNTIFS(mdr_rate_cleaned!$A$2:$A$10,B2735,mdr_rate_cleaned!$B$2:$B$10,"&lt;"&amp;C2735,mdr_rate_cleaned!$F$2:$F$10,"&gt;="&amp;C2735)</f>
        <v>1</v>
      </c>
      <c r="G2735" s="40">
        <f>SUMIFS(mdr_rate_cleaned!$G$2:$G$10,mdr_rate_cleaned!$A$2:$A$10,B2735,mdr_rate_cleaned!$B$2:$B$10,"&lt;"&amp;C2735,mdr_rate_cleaned!$F$2:$F$10,"&gt;="&amp;C2735)</f>
        <v>0</v>
      </c>
      <c r="H2735" s="24">
        <f t="shared" si="210"/>
        <v>0</v>
      </c>
      <c r="I2735" s="23" t="str">
        <f t="shared" si="211"/>
        <v>Match</v>
      </c>
      <c r="J2735" s="23" t="str">
        <f t="shared" si="212"/>
        <v>Match</v>
      </c>
      <c r="K2735" s="24">
        <f t="shared" si="213"/>
        <v>0</v>
      </c>
      <c r="L2735" s="24">
        <f t="shared" si="214"/>
        <v>0</v>
      </c>
    </row>
    <row r="2736" spans="1:12" ht="15" customHeight="1" x14ac:dyDescent="0.3">
      <c r="A2736" s="23" t="s">
        <v>15686</v>
      </c>
      <c r="B2736" s="23" t="s">
        <v>77</v>
      </c>
      <c r="C2736" s="39">
        <v>1798</v>
      </c>
      <c r="D2736" s="24">
        <v>34.159999999999997</v>
      </c>
      <c r="E2736" s="24">
        <v>6.15</v>
      </c>
      <c r="F2736" s="23">
        <f>COUNTIFS(mdr_rate_cleaned!$A$2:$A$10,B2736,mdr_rate_cleaned!$B$2:$B$10,"&lt;"&amp;C2736,mdr_rate_cleaned!$F$2:$F$10,"&gt;="&amp;C2736)</f>
        <v>1</v>
      </c>
      <c r="G2736" s="40">
        <f>SUMIFS(mdr_rate_cleaned!$G$2:$G$10,mdr_rate_cleaned!$A$2:$A$10,B2736,mdr_rate_cleaned!$B$2:$B$10,"&lt;"&amp;C2736,mdr_rate_cleaned!$F$2:$F$10,"&gt;="&amp;C2736)</f>
        <v>1.9E-2</v>
      </c>
      <c r="H2736" s="24">
        <f t="shared" si="210"/>
        <v>34.159999999999997</v>
      </c>
      <c r="I2736" s="23" t="str">
        <f t="shared" si="211"/>
        <v>Match</v>
      </c>
      <c r="J2736" s="23" t="str">
        <f t="shared" si="212"/>
        <v>Match</v>
      </c>
      <c r="K2736" s="24">
        <f t="shared" si="213"/>
        <v>6.15</v>
      </c>
      <c r="L2736" s="24">
        <f t="shared" si="214"/>
        <v>0</v>
      </c>
    </row>
    <row r="2737" spans="1:12" ht="15" customHeight="1" x14ac:dyDescent="0.3">
      <c r="A2737" s="23" t="s">
        <v>15687</v>
      </c>
      <c r="B2737" s="23" t="s">
        <v>75</v>
      </c>
      <c r="C2737" s="39">
        <v>349</v>
      </c>
      <c r="D2737" s="24">
        <v>0</v>
      </c>
      <c r="E2737" s="24">
        <v>0</v>
      </c>
      <c r="F2737" s="23">
        <f>COUNTIFS(mdr_rate_cleaned!$A$2:$A$10,B2737,mdr_rate_cleaned!$B$2:$B$10,"&lt;"&amp;C2737,mdr_rate_cleaned!$F$2:$F$10,"&gt;="&amp;C2737)</f>
        <v>1</v>
      </c>
      <c r="G2737" s="40">
        <f>SUMIFS(mdr_rate_cleaned!$G$2:$G$10,mdr_rate_cleaned!$A$2:$A$10,B2737,mdr_rate_cleaned!$B$2:$B$10,"&lt;"&amp;C2737,mdr_rate_cleaned!$F$2:$F$10,"&gt;="&amp;C2737)</f>
        <v>0</v>
      </c>
      <c r="H2737" s="24">
        <f t="shared" si="210"/>
        <v>0</v>
      </c>
      <c r="I2737" s="23" t="str">
        <f t="shared" si="211"/>
        <v>Match</v>
      </c>
      <c r="J2737" s="23" t="str">
        <f t="shared" si="212"/>
        <v>Match</v>
      </c>
      <c r="K2737" s="24">
        <f t="shared" si="213"/>
        <v>0</v>
      </c>
      <c r="L2737" s="24">
        <f t="shared" si="214"/>
        <v>0</v>
      </c>
    </row>
    <row r="2738" spans="1:12" ht="15" customHeight="1" x14ac:dyDescent="0.3">
      <c r="A2738" s="23" t="s">
        <v>15688</v>
      </c>
      <c r="B2738" s="23" t="s">
        <v>75</v>
      </c>
      <c r="C2738" s="39">
        <v>4999</v>
      </c>
      <c r="D2738" s="24">
        <v>15</v>
      </c>
      <c r="E2738" s="24">
        <v>2.7</v>
      </c>
      <c r="F2738" s="23">
        <f>COUNTIFS(mdr_rate_cleaned!$A$2:$A$10,B2738,mdr_rate_cleaned!$B$2:$B$10,"&lt;"&amp;C2738,mdr_rate_cleaned!$F$2:$F$10,"&gt;="&amp;C2738)</f>
        <v>1</v>
      </c>
      <c r="G2738" s="40">
        <f>SUMIFS(mdr_rate_cleaned!$G$2:$G$10,mdr_rate_cleaned!$A$2:$A$10,B2738,mdr_rate_cleaned!$B$2:$B$10,"&lt;"&amp;C2738,mdr_rate_cleaned!$F$2:$F$10,"&gt;="&amp;C2738)</f>
        <v>3.0000000000000001E-3</v>
      </c>
      <c r="H2738" s="24">
        <f t="shared" si="210"/>
        <v>15</v>
      </c>
      <c r="I2738" s="23" t="str">
        <f t="shared" si="211"/>
        <v>Match</v>
      </c>
      <c r="J2738" s="23" t="str">
        <f t="shared" si="212"/>
        <v>Match</v>
      </c>
      <c r="K2738" s="24">
        <f t="shared" si="213"/>
        <v>2.7</v>
      </c>
      <c r="L2738" s="24">
        <f t="shared" si="214"/>
        <v>0</v>
      </c>
    </row>
    <row r="2739" spans="1:12" ht="15" customHeight="1" x14ac:dyDescent="0.3">
      <c r="A2739" s="23" t="s">
        <v>15689</v>
      </c>
      <c r="B2739" s="23" t="s">
        <v>75</v>
      </c>
      <c r="C2739" s="39">
        <v>1799</v>
      </c>
      <c r="D2739" s="24">
        <v>0</v>
      </c>
      <c r="E2739" s="24">
        <v>0</v>
      </c>
      <c r="F2739" s="23">
        <f>COUNTIFS(mdr_rate_cleaned!$A$2:$A$10,B2739,mdr_rate_cleaned!$B$2:$B$10,"&lt;"&amp;C2739,mdr_rate_cleaned!$F$2:$F$10,"&gt;="&amp;C2739)</f>
        <v>1</v>
      </c>
      <c r="G2739" s="40">
        <f>SUMIFS(mdr_rate_cleaned!$G$2:$G$10,mdr_rate_cleaned!$A$2:$A$10,B2739,mdr_rate_cleaned!$B$2:$B$10,"&lt;"&amp;C2739,mdr_rate_cleaned!$F$2:$F$10,"&gt;="&amp;C2739)</f>
        <v>0</v>
      </c>
      <c r="H2739" s="24">
        <f t="shared" si="210"/>
        <v>0</v>
      </c>
      <c r="I2739" s="23" t="str">
        <f t="shared" si="211"/>
        <v>Match</v>
      </c>
      <c r="J2739" s="23" t="str">
        <f t="shared" si="212"/>
        <v>Match</v>
      </c>
      <c r="K2739" s="24">
        <f t="shared" si="213"/>
        <v>0</v>
      </c>
      <c r="L2739" s="24">
        <f t="shared" si="214"/>
        <v>0</v>
      </c>
    </row>
    <row r="2740" spans="1:12" ht="15" customHeight="1" x14ac:dyDescent="0.3">
      <c r="A2740" s="23" t="s">
        <v>15690</v>
      </c>
      <c r="B2740" s="23" t="s">
        <v>79</v>
      </c>
      <c r="C2740" s="39">
        <v>5998</v>
      </c>
      <c r="D2740" s="24">
        <v>95.97</v>
      </c>
      <c r="E2740" s="24">
        <v>17.27</v>
      </c>
      <c r="F2740" s="23">
        <f>COUNTIFS(mdr_rate_cleaned!$A$2:$A$10,B2740,mdr_rate_cleaned!$B$2:$B$10,"&lt;"&amp;C2740,mdr_rate_cleaned!$F$2:$F$10,"&gt;="&amp;C2740)</f>
        <v>1</v>
      </c>
      <c r="G2740" s="40">
        <f>SUMIFS(mdr_rate_cleaned!$G$2:$G$10,mdr_rate_cleaned!$A$2:$A$10,B2740,mdr_rate_cleaned!$B$2:$B$10,"&lt;"&amp;C2740,mdr_rate_cleaned!$F$2:$F$10,"&gt;="&amp;C2740)</f>
        <v>1.6E-2</v>
      </c>
      <c r="H2740" s="24">
        <f t="shared" si="210"/>
        <v>95.97</v>
      </c>
      <c r="I2740" s="23" t="str">
        <f t="shared" si="211"/>
        <v>Match</v>
      </c>
      <c r="J2740" s="23" t="str">
        <f t="shared" si="212"/>
        <v>Match</v>
      </c>
      <c r="K2740" s="24">
        <f t="shared" si="213"/>
        <v>17.27</v>
      </c>
      <c r="L2740" s="24">
        <f t="shared" si="214"/>
        <v>0</v>
      </c>
    </row>
    <row r="2741" spans="1:12" ht="15" customHeight="1" x14ac:dyDescent="0.3">
      <c r="A2741" s="23" t="s">
        <v>15691</v>
      </c>
      <c r="B2741" s="23" t="s">
        <v>75</v>
      </c>
      <c r="C2741" s="39">
        <v>799</v>
      </c>
      <c r="D2741" s="24">
        <v>0</v>
      </c>
      <c r="E2741" s="24">
        <v>0</v>
      </c>
      <c r="F2741" s="23">
        <f>COUNTIFS(mdr_rate_cleaned!$A$2:$A$10,B2741,mdr_rate_cleaned!$B$2:$B$10,"&lt;"&amp;C2741,mdr_rate_cleaned!$F$2:$F$10,"&gt;="&amp;C2741)</f>
        <v>1</v>
      </c>
      <c r="G2741" s="40">
        <f>SUMIFS(mdr_rate_cleaned!$G$2:$G$10,mdr_rate_cleaned!$A$2:$A$10,B2741,mdr_rate_cleaned!$B$2:$B$10,"&lt;"&amp;C2741,mdr_rate_cleaned!$F$2:$F$10,"&gt;="&amp;C2741)</f>
        <v>0</v>
      </c>
      <c r="H2741" s="24">
        <f t="shared" si="210"/>
        <v>0</v>
      </c>
      <c r="I2741" s="23" t="str">
        <f t="shared" si="211"/>
        <v>Match</v>
      </c>
      <c r="J2741" s="23" t="str">
        <f t="shared" si="212"/>
        <v>Match</v>
      </c>
      <c r="K2741" s="24">
        <f t="shared" si="213"/>
        <v>0</v>
      </c>
      <c r="L2741" s="24">
        <f t="shared" si="214"/>
        <v>0</v>
      </c>
    </row>
    <row r="2742" spans="1:12" ht="15" customHeight="1" x14ac:dyDescent="0.3">
      <c r="A2742" s="23" t="s">
        <v>15692</v>
      </c>
      <c r="B2742" s="23" t="s">
        <v>79</v>
      </c>
      <c r="C2742" s="39">
        <v>2499</v>
      </c>
      <c r="D2742" s="24">
        <v>39.979999999999997</v>
      </c>
      <c r="E2742" s="24">
        <v>7.2</v>
      </c>
      <c r="F2742" s="23">
        <f>COUNTIFS(mdr_rate_cleaned!$A$2:$A$10,B2742,mdr_rate_cleaned!$B$2:$B$10,"&lt;"&amp;C2742,mdr_rate_cleaned!$F$2:$F$10,"&gt;="&amp;C2742)</f>
        <v>1</v>
      </c>
      <c r="G2742" s="40">
        <f>SUMIFS(mdr_rate_cleaned!$G$2:$G$10,mdr_rate_cleaned!$A$2:$A$10,B2742,mdr_rate_cleaned!$B$2:$B$10,"&lt;"&amp;C2742,mdr_rate_cleaned!$F$2:$F$10,"&gt;="&amp;C2742)</f>
        <v>1.6E-2</v>
      </c>
      <c r="H2742" s="24">
        <f t="shared" si="210"/>
        <v>39.979999999999997</v>
      </c>
      <c r="I2742" s="23" t="str">
        <f t="shared" si="211"/>
        <v>Match</v>
      </c>
      <c r="J2742" s="23" t="str">
        <f t="shared" si="212"/>
        <v>Match</v>
      </c>
      <c r="K2742" s="24">
        <f t="shared" si="213"/>
        <v>7.2</v>
      </c>
      <c r="L2742" s="24">
        <f t="shared" si="214"/>
        <v>0</v>
      </c>
    </row>
    <row r="2743" spans="1:12" ht="15" customHeight="1" x14ac:dyDescent="0.3">
      <c r="A2743" s="23" t="s">
        <v>15694</v>
      </c>
      <c r="B2743" s="23" t="s">
        <v>79</v>
      </c>
      <c r="C2743" s="39">
        <v>3097</v>
      </c>
      <c r="D2743" s="24">
        <v>49.55</v>
      </c>
      <c r="E2743" s="24">
        <v>8.92</v>
      </c>
      <c r="F2743" s="23">
        <f>COUNTIFS(mdr_rate_cleaned!$A$2:$A$10,B2743,mdr_rate_cleaned!$B$2:$B$10,"&lt;"&amp;C2743,mdr_rate_cleaned!$F$2:$F$10,"&gt;="&amp;C2743)</f>
        <v>1</v>
      </c>
      <c r="G2743" s="40">
        <f>SUMIFS(mdr_rate_cleaned!$G$2:$G$10,mdr_rate_cleaned!$A$2:$A$10,B2743,mdr_rate_cleaned!$B$2:$B$10,"&lt;"&amp;C2743,mdr_rate_cleaned!$F$2:$F$10,"&gt;="&amp;C2743)</f>
        <v>1.6E-2</v>
      </c>
      <c r="H2743" s="24">
        <f t="shared" si="210"/>
        <v>49.55</v>
      </c>
      <c r="I2743" s="23" t="str">
        <f t="shared" si="211"/>
        <v>Match</v>
      </c>
      <c r="J2743" s="23" t="str">
        <f t="shared" si="212"/>
        <v>Match</v>
      </c>
      <c r="K2743" s="24">
        <f t="shared" si="213"/>
        <v>8.92</v>
      </c>
      <c r="L2743" s="24">
        <f t="shared" si="214"/>
        <v>0</v>
      </c>
    </row>
    <row r="2744" spans="1:12" ht="15" customHeight="1" x14ac:dyDescent="0.3">
      <c r="A2744" s="23" t="s">
        <v>15695</v>
      </c>
      <c r="B2744" s="23" t="s">
        <v>75</v>
      </c>
      <c r="C2744" s="39">
        <v>3598</v>
      </c>
      <c r="D2744" s="24">
        <v>10.79</v>
      </c>
      <c r="E2744" s="24">
        <v>1.94</v>
      </c>
      <c r="F2744" s="23">
        <f>COUNTIFS(mdr_rate_cleaned!$A$2:$A$10,B2744,mdr_rate_cleaned!$B$2:$B$10,"&lt;"&amp;C2744,mdr_rate_cleaned!$F$2:$F$10,"&gt;="&amp;C2744)</f>
        <v>1</v>
      </c>
      <c r="G2744" s="40">
        <f>SUMIFS(mdr_rate_cleaned!$G$2:$G$10,mdr_rate_cleaned!$A$2:$A$10,B2744,mdr_rate_cleaned!$B$2:$B$10,"&lt;"&amp;C2744,mdr_rate_cleaned!$F$2:$F$10,"&gt;="&amp;C2744)</f>
        <v>3.0000000000000001E-3</v>
      </c>
      <c r="H2744" s="24">
        <f t="shared" si="210"/>
        <v>10.79</v>
      </c>
      <c r="I2744" s="23" t="str">
        <f t="shared" si="211"/>
        <v>Match</v>
      </c>
      <c r="J2744" s="23" t="str">
        <f t="shared" si="212"/>
        <v>Match</v>
      </c>
      <c r="K2744" s="24">
        <f t="shared" si="213"/>
        <v>1.94</v>
      </c>
      <c r="L2744" s="24">
        <f t="shared" si="214"/>
        <v>0</v>
      </c>
    </row>
    <row r="2745" spans="1:12" ht="15" customHeight="1" x14ac:dyDescent="0.3">
      <c r="A2745" s="23" t="s">
        <v>15696</v>
      </c>
      <c r="B2745" s="23" t="s">
        <v>75</v>
      </c>
      <c r="C2745" s="39">
        <v>1499</v>
      </c>
      <c r="D2745" s="24">
        <v>0</v>
      </c>
      <c r="E2745" s="24">
        <v>0</v>
      </c>
      <c r="F2745" s="23">
        <f>COUNTIFS(mdr_rate_cleaned!$A$2:$A$10,B2745,mdr_rate_cleaned!$B$2:$B$10,"&lt;"&amp;C2745,mdr_rate_cleaned!$F$2:$F$10,"&gt;="&amp;C2745)</f>
        <v>1</v>
      </c>
      <c r="G2745" s="40">
        <f>SUMIFS(mdr_rate_cleaned!$G$2:$G$10,mdr_rate_cleaned!$A$2:$A$10,B2745,mdr_rate_cleaned!$B$2:$B$10,"&lt;"&amp;C2745,mdr_rate_cleaned!$F$2:$F$10,"&gt;="&amp;C2745)</f>
        <v>0</v>
      </c>
      <c r="H2745" s="24">
        <f t="shared" si="210"/>
        <v>0</v>
      </c>
      <c r="I2745" s="23" t="str">
        <f t="shared" si="211"/>
        <v>Match</v>
      </c>
      <c r="J2745" s="23" t="str">
        <f t="shared" si="212"/>
        <v>Match</v>
      </c>
      <c r="K2745" s="24">
        <f t="shared" si="213"/>
        <v>0</v>
      </c>
      <c r="L2745" s="24">
        <f t="shared" si="214"/>
        <v>0</v>
      </c>
    </row>
    <row r="2746" spans="1:12" ht="15" customHeight="1" x14ac:dyDescent="0.3">
      <c r="A2746" s="23" t="s">
        <v>15697</v>
      </c>
      <c r="B2746" s="23" t="s">
        <v>75</v>
      </c>
      <c r="C2746" s="39">
        <v>10998</v>
      </c>
      <c r="D2746" s="24">
        <v>32.99</v>
      </c>
      <c r="E2746" s="24">
        <v>5.94</v>
      </c>
      <c r="F2746" s="23">
        <f>COUNTIFS(mdr_rate_cleaned!$A$2:$A$10,B2746,mdr_rate_cleaned!$B$2:$B$10,"&lt;"&amp;C2746,mdr_rate_cleaned!$F$2:$F$10,"&gt;="&amp;C2746)</f>
        <v>1</v>
      </c>
      <c r="G2746" s="40">
        <f>SUMIFS(mdr_rate_cleaned!$G$2:$G$10,mdr_rate_cleaned!$A$2:$A$10,B2746,mdr_rate_cleaned!$B$2:$B$10,"&lt;"&amp;C2746,mdr_rate_cleaned!$F$2:$F$10,"&gt;="&amp;C2746)</f>
        <v>3.0000000000000001E-3</v>
      </c>
      <c r="H2746" s="24">
        <f t="shared" si="210"/>
        <v>32.99</v>
      </c>
      <c r="I2746" s="23" t="str">
        <f t="shared" si="211"/>
        <v>Match</v>
      </c>
      <c r="J2746" s="23" t="str">
        <f t="shared" si="212"/>
        <v>Match</v>
      </c>
      <c r="K2746" s="24">
        <f t="shared" si="213"/>
        <v>5.94</v>
      </c>
      <c r="L2746" s="24">
        <f t="shared" si="214"/>
        <v>0</v>
      </c>
    </row>
    <row r="2747" spans="1:12" ht="15" customHeight="1" x14ac:dyDescent="0.3">
      <c r="A2747" s="23" t="s">
        <v>15699</v>
      </c>
      <c r="B2747" s="23" t="s">
        <v>79</v>
      </c>
      <c r="C2747" s="39">
        <v>6297</v>
      </c>
      <c r="D2747" s="24">
        <v>100.75</v>
      </c>
      <c r="E2747" s="24">
        <v>18.14</v>
      </c>
      <c r="F2747" s="23">
        <f>COUNTIFS(mdr_rate_cleaned!$A$2:$A$10,B2747,mdr_rate_cleaned!$B$2:$B$10,"&lt;"&amp;C2747,mdr_rate_cleaned!$F$2:$F$10,"&gt;="&amp;C2747)</f>
        <v>1</v>
      </c>
      <c r="G2747" s="40">
        <f>SUMIFS(mdr_rate_cleaned!$G$2:$G$10,mdr_rate_cleaned!$A$2:$A$10,B2747,mdr_rate_cleaned!$B$2:$B$10,"&lt;"&amp;C2747,mdr_rate_cleaned!$F$2:$F$10,"&gt;="&amp;C2747)</f>
        <v>1.6E-2</v>
      </c>
      <c r="H2747" s="24">
        <f t="shared" si="210"/>
        <v>100.75</v>
      </c>
      <c r="I2747" s="23" t="str">
        <f t="shared" si="211"/>
        <v>Match</v>
      </c>
      <c r="J2747" s="23" t="str">
        <f t="shared" si="212"/>
        <v>Match</v>
      </c>
      <c r="K2747" s="24">
        <f t="shared" si="213"/>
        <v>18.14</v>
      </c>
      <c r="L2747" s="24">
        <f t="shared" si="214"/>
        <v>0</v>
      </c>
    </row>
    <row r="2748" spans="1:12" ht="15" customHeight="1" x14ac:dyDescent="0.3">
      <c r="A2748" s="23" t="s">
        <v>15700</v>
      </c>
      <c r="B2748" s="23" t="s">
        <v>75</v>
      </c>
      <c r="C2748" s="39">
        <v>6897</v>
      </c>
      <c r="D2748" s="24">
        <v>20.69</v>
      </c>
      <c r="E2748" s="24">
        <v>3.72</v>
      </c>
      <c r="F2748" s="23">
        <f>COUNTIFS(mdr_rate_cleaned!$A$2:$A$10,B2748,mdr_rate_cleaned!$B$2:$B$10,"&lt;"&amp;C2748,mdr_rate_cleaned!$F$2:$F$10,"&gt;="&amp;C2748)</f>
        <v>1</v>
      </c>
      <c r="G2748" s="40">
        <f>SUMIFS(mdr_rate_cleaned!$G$2:$G$10,mdr_rate_cleaned!$A$2:$A$10,B2748,mdr_rate_cleaned!$B$2:$B$10,"&lt;"&amp;C2748,mdr_rate_cleaned!$F$2:$F$10,"&gt;="&amp;C2748)</f>
        <v>3.0000000000000001E-3</v>
      </c>
      <c r="H2748" s="24">
        <f t="shared" si="210"/>
        <v>20.69</v>
      </c>
      <c r="I2748" s="23" t="str">
        <f t="shared" si="211"/>
        <v>Match</v>
      </c>
      <c r="J2748" s="23" t="str">
        <f t="shared" si="212"/>
        <v>Match</v>
      </c>
      <c r="K2748" s="24">
        <f t="shared" si="213"/>
        <v>3.72</v>
      </c>
      <c r="L2748" s="24">
        <f t="shared" si="214"/>
        <v>0</v>
      </c>
    </row>
    <row r="2749" spans="1:12" ht="15" customHeight="1" x14ac:dyDescent="0.3">
      <c r="A2749" s="23" t="s">
        <v>15701</v>
      </c>
      <c r="B2749" s="23" t="s">
        <v>79</v>
      </c>
      <c r="C2749" s="39">
        <v>2098</v>
      </c>
      <c r="D2749" s="24">
        <v>33.57</v>
      </c>
      <c r="E2749" s="24">
        <v>6.04</v>
      </c>
      <c r="F2749" s="23">
        <f>COUNTIFS(mdr_rate_cleaned!$A$2:$A$10,B2749,mdr_rate_cleaned!$B$2:$B$10,"&lt;"&amp;C2749,mdr_rate_cleaned!$F$2:$F$10,"&gt;="&amp;C2749)</f>
        <v>1</v>
      </c>
      <c r="G2749" s="40">
        <f>SUMIFS(mdr_rate_cleaned!$G$2:$G$10,mdr_rate_cleaned!$A$2:$A$10,B2749,mdr_rate_cleaned!$B$2:$B$10,"&lt;"&amp;C2749,mdr_rate_cleaned!$F$2:$F$10,"&gt;="&amp;C2749)</f>
        <v>1.6E-2</v>
      </c>
      <c r="H2749" s="24">
        <f t="shared" si="210"/>
        <v>33.57</v>
      </c>
      <c r="I2749" s="23" t="str">
        <f t="shared" si="211"/>
        <v>Match</v>
      </c>
      <c r="J2749" s="23" t="str">
        <f t="shared" si="212"/>
        <v>Match</v>
      </c>
      <c r="K2749" s="24">
        <f t="shared" si="213"/>
        <v>6.04</v>
      </c>
      <c r="L2749" s="24">
        <f t="shared" si="214"/>
        <v>0</v>
      </c>
    </row>
    <row r="2750" spans="1:12" ht="15" customHeight="1" x14ac:dyDescent="0.3">
      <c r="A2750" s="23" t="s">
        <v>15702</v>
      </c>
      <c r="B2750" s="23" t="s">
        <v>77</v>
      </c>
      <c r="C2750" s="39">
        <v>4999</v>
      </c>
      <c r="D2750" s="24">
        <v>84.98</v>
      </c>
      <c r="E2750" s="24">
        <v>15.3</v>
      </c>
      <c r="F2750" s="23">
        <f>COUNTIFS(mdr_rate_cleaned!$A$2:$A$10,B2750,mdr_rate_cleaned!$B$2:$B$10,"&lt;"&amp;C2750,mdr_rate_cleaned!$F$2:$F$10,"&gt;="&amp;C2750)</f>
        <v>1</v>
      </c>
      <c r="G2750" s="40">
        <f>SUMIFS(mdr_rate_cleaned!$G$2:$G$10,mdr_rate_cleaned!$A$2:$A$10,B2750,mdr_rate_cleaned!$B$2:$B$10,"&lt;"&amp;C2750,mdr_rate_cleaned!$F$2:$F$10,"&gt;="&amp;C2750)</f>
        <v>1.7000000000000001E-2</v>
      </c>
      <c r="H2750" s="24">
        <f t="shared" si="210"/>
        <v>84.98</v>
      </c>
      <c r="I2750" s="23" t="str">
        <f t="shared" si="211"/>
        <v>Match</v>
      </c>
      <c r="J2750" s="23" t="str">
        <f t="shared" si="212"/>
        <v>Match</v>
      </c>
      <c r="K2750" s="24">
        <f t="shared" si="213"/>
        <v>15.3</v>
      </c>
      <c r="L2750" s="24">
        <f t="shared" si="214"/>
        <v>0</v>
      </c>
    </row>
    <row r="2751" spans="1:12" ht="15" customHeight="1" x14ac:dyDescent="0.3">
      <c r="A2751" s="23" t="s">
        <v>15703</v>
      </c>
      <c r="B2751" s="23" t="s">
        <v>75</v>
      </c>
      <c r="C2751" s="39">
        <v>799</v>
      </c>
      <c r="D2751" s="24">
        <v>0</v>
      </c>
      <c r="E2751" s="24">
        <v>0</v>
      </c>
      <c r="F2751" s="23">
        <f>COUNTIFS(mdr_rate_cleaned!$A$2:$A$10,B2751,mdr_rate_cleaned!$B$2:$B$10,"&lt;"&amp;C2751,mdr_rate_cleaned!$F$2:$F$10,"&gt;="&amp;C2751)</f>
        <v>1</v>
      </c>
      <c r="G2751" s="40">
        <f>SUMIFS(mdr_rate_cleaned!$G$2:$G$10,mdr_rate_cleaned!$A$2:$A$10,B2751,mdr_rate_cleaned!$B$2:$B$10,"&lt;"&amp;C2751,mdr_rate_cleaned!$F$2:$F$10,"&gt;="&amp;C2751)</f>
        <v>0</v>
      </c>
      <c r="H2751" s="24">
        <f t="shared" si="210"/>
        <v>0</v>
      </c>
      <c r="I2751" s="23" t="str">
        <f t="shared" si="211"/>
        <v>Match</v>
      </c>
      <c r="J2751" s="23" t="str">
        <f t="shared" si="212"/>
        <v>Match</v>
      </c>
      <c r="K2751" s="24">
        <f t="shared" si="213"/>
        <v>0</v>
      </c>
      <c r="L2751" s="24">
        <f t="shared" si="214"/>
        <v>0</v>
      </c>
    </row>
    <row r="2752" spans="1:12" ht="15" customHeight="1" x14ac:dyDescent="0.3">
      <c r="A2752" s="23" t="s">
        <v>15704</v>
      </c>
      <c r="B2752" s="23" t="s">
        <v>75</v>
      </c>
      <c r="C2752" s="39">
        <v>3298</v>
      </c>
      <c r="D2752" s="24">
        <v>9.89</v>
      </c>
      <c r="E2752" s="24">
        <v>1.78</v>
      </c>
      <c r="F2752" s="23">
        <f>COUNTIFS(mdr_rate_cleaned!$A$2:$A$10,B2752,mdr_rate_cleaned!$B$2:$B$10,"&lt;"&amp;C2752,mdr_rate_cleaned!$F$2:$F$10,"&gt;="&amp;C2752)</f>
        <v>1</v>
      </c>
      <c r="G2752" s="40">
        <f>SUMIFS(mdr_rate_cleaned!$G$2:$G$10,mdr_rate_cleaned!$A$2:$A$10,B2752,mdr_rate_cleaned!$B$2:$B$10,"&lt;"&amp;C2752,mdr_rate_cleaned!$F$2:$F$10,"&gt;="&amp;C2752)</f>
        <v>3.0000000000000001E-3</v>
      </c>
      <c r="H2752" s="24">
        <f t="shared" si="210"/>
        <v>9.89</v>
      </c>
      <c r="I2752" s="23" t="str">
        <f t="shared" si="211"/>
        <v>Match</v>
      </c>
      <c r="J2752" s="23" t="str">
        <f t="shared" si="212"/>
        <v>Match</v>
      </c>
      <c r="K2752" s="24">
        <f t="shared" si="213"/>
        <v>1.78</v>
      </c>
      <c r="L2752" s="24">
        <f t="shared" si="214"/>
        <v>0</v>
      </c>
    </row>
    <row r="2753" spans="1:12" ht="15" customHeight="1" x14ac:dyDescent="0.3">
      <c r="A2753" s="23" t="s">
        <v>15705</v>
      </c>
      <c r="B2753" s="23" t="s">
        <v>79</v>
      </c>
      <c r="C2753" s="39">
        <v>2598</v>
      </c>
      <c r="D2753" s="24">
        <v>41.57</v>
      </c>
      <c r="E2753" s="24">
        <v>7.48</v>
      </c>
      <c r="F2753" s="23">
        <f>COUNTIFS(mdr_rate_cleaned!$A$2:$A$10,B2753,mdr_rate_cleaned!$B$2:$B$10,"&lt;"&amp;C2753,mdr_rate_cleaned!$F$2:$F$10,"&gt;="&amp;C2753)</f>
        <v>1</v>
      </c>
      <c r="G2753" s="40">
        <f>SUMIFS(mdr_rate_cleaned!$G$2:$G$10,mdr_rate_cleaned!$A$2:$A$10,B2753,mdr_rate_cleaned!$B$2:$B$10,"&lt;"&amp;C2753,mdr_rate_cleaned!$F$2:$F$10,"&gt;="&amp;C2753)</f>
        <v>1.6E-2</v>
      </c>
      <c r="H2753" s="24">
        <f t="shared" si="210"/>
        <v>41.57</v>
      </c>
      <c r="I2753" s="23" t="str">
        <f t="shared" si="211"/>
        <v>Match</v>
      </c>
      <c r="J2753" s="23" t="str">
        <f t="shared" si="212"/>
        <v>Match</v>
      </c>
      <c r="K2753" s="24">
        <f t="shared" si="213"/>
        <v>7.48</v>
      </c>
      <c r="L2753" s="24">
        <f t="shared" si="214"/>
        <v>0</v>
      </c>
    </row>
    <row r="2754" spans="1:12" ht="15" customHeight="1" x14ac:dyDescent="0.3">
      <c r="A2754" s="23" t="s">
        <v>15706</v>
      </c>
      <c r="B2754" s="23" t="s">
        <v>75</v>
      </c>
      <c r="C2754" s="39">
        <v>1299</v>
      </c>
      <c r="D2754" s="24">
        <v>0</v>
      </c>
      <c r="E2754" s="24">
        <v>0</v>
      </c>
      <c r="F2754" s="23">
        <f>COUNTIFS(mdr_rate_cleaned!$A$2:$A$10,B2754,mdr_rate_cleaned!$B$2:$B$10,"&lt;"&amp;C2754,mdr_rate_cleaned!$F$2:$F$10,"&gt;="&amp;C2754)</f>
        <v>1</v>
      </c>
      <c r="G2754" s="40">
        <f>SUMIFS(mdr_rate_cleaned!$G$2:$G$10,mdr_rate_cleaned!$A$2:$A$10,B2754,mdr_rate_cleaned!$B$2:$B$10,"&lt;"&amp;C2754,mdr_rate_cleaned!$F$2:$F$10,"&gt;="&amp;C2754)</f>
        <v>0</v>
      </c>
      <c r="H2754" s="24">
        <f t="shared" ref="H2754:H2817" si="215">ROUND(C2754*G2754,2)</f>
        <v>0</v>
      </c>
      <c r="I2754" s="23" t="str">
        <f t="shared" ref="I2754:I2817" si="216">IF(ROUND(D2754-H2754,2)=0,"Match","Differs")</f>
        <v>Match</v>
      </c>
      <c r="J2754" s="23" t="str">
        <f t="shared" ref="J2754:J2817" si="217">IF(ROUND(E2754-ROUND(D2754*0.18,2),2)=0,"Match","Differs")</f>
        <v>Match</v>
      </c>
      <c r="K2754" s="24">
        <f t="shared" ref="K2754:K2817" si="218">ROUND(H2754*0.18,2)</f>
        <v>0</v>
      </c>
      <c r="L2754" s="24">
        <f t="shared" ref="L2754:L2817" si="219">ROUND(D2754+E2754-H2754-K2754,2)</f>
        <v>0</v>
      </c>
    </row>
    <row r="2755" spans="1:12" ht="15" customHeight="1" x14ac:dyDescent="0.3">
      <c r="A2755" s="23" t="s">
        <v>15708</v>
      </c>
      <c r="B2755" s="23" t="s">
        <v>75</v>
      </c>
      <c r="C2755" s="39">
        <v>599</v>
      </c>
      <c r="D2755" s="24">
        <v>0</v>
      </c>
      <c r="E2755" s="24">
        <v>0</v>
      </c>
      <c r="F2755" s="23">
        <f>COUNTIFS(mdr_rate_cleaned!$A$2:$A$10,B2755,mdr_rate_cleaned!$B$2:$B$10,"&lt;"&amp;C2755,mdr_rate_cleaned!$F$2:$F$10,"&gt;="&amp;C2755)</f>
        <v>1</v>
      </c>
      <c r="G2755" s="40">
        <f>SUMIFS(mdr_rate_cleaned!$G$2:$G$10,mdr_rate_cleaned!$A$2:$A$10,B2755,mdr_rate_cleaned!$B$2:$B$10,"&lt;"&amp;C2755,mdr_rate_cleaned!$F$2:$F$10,"&gt;="&amp;C2755)</f>
        <v>0</v>
      </c>
      <c r="H2755" s="24">
        <f t="shared" si="215"/>
        <v>0</v>
      </c>
      <c r="I2755" s="23" t="str">
        <f t="shared" si="216"/>
        <v>Match</v>
      </c>
      <c r="J2755" s="23" t="str">
        <f t="shared" si="217"/>
        <v>Match</v>
      </c>
      <c r="K2755" s="24">
        <f t="shared" si="218"/>
        <v>0</v>
      </c>
      <c r="L2755" s="24">
        <f t="shared" si="219"/>
        <v>0</v>
      </c>
    </row>
    <row r="2756" spans="1:12" ht="15" customHeight="1" x14ac:dyDescent="0.3">
      <c r="A2756" s="23" t="s">
        <v>15710</v>
      </c>
      <c r="B2756" s="23" t="s">
        <v>75</v>
      </c>
      <c r="C2756" s="39">
        <v>499</v>
      </c>
      <c r="D2756" s="24">
        <v>0</v>
      </c>
      <c r="E2756" s="24">
        <v>0</v>
      </c>
      <c r="F2756" s="23">
        <f>COUNTIFS(mdr_rate_cleaned!$A$2:$A$10,B2756,mdr_rate_cleaned!$B$2:$B$10,"&lt;"&amp;C2756,mdr_rate_cleaned!$F$2:$F$10,"&gt;="&amp;C2756)</f>
        <v>1</v>
      </c>
      <c r="G2756" s="40">
        <f>SUMIFS(mdr_rate_cleaned!$G$2:$G$10,mdr_rate_cleaned!$A$2:$A$10,B2756,mdr_rate_cleaned!$B$2:$B$10,"&lt;"&amp;C2756,mdr_rate_cleaned!$F$2:$F$10,"&gt;="&amp;C2756)</f>
        <v>0</v>
      </c>
      <c r="H2756" s="24">
        <f t="shared" si="215"/>
        <v>0</v>
      </c>
      <c r="I2756" s="23" t="str">
        <f t="shared" si="216"/>
        <v>Match</v>
      </c>
      <c r="J2756" s="23" t="str">
        <f t="shared" si="217"/>
        <v>Match</v>
      </c>
      <c r="K2756" s="24">
        <f t="shared" si="218"/>
        <v>0</v>
      </c>
      <c r="L2756" s="24">
        <f t="shared" si="219"/>
        <v>0</v>
      </c>
    </row>
    <row r="2757" spans="1:12" ht="15" customHeight="1" x14ac:dyDescent="0.3">
      <c r="A2757" s="23" t="s">
        <v>15712</v>
      </c>
      <c r="B2757" s="23" t="s">
        <v>75</v>
      </c>
      <c r="C2757" s="39">
        <v>999</v>
      </c>
      <c r="D2757" s="24">
        <v>0</v>
      </c>
      <c r="E2757" s="24">
        <v>0</v>
      </c>
      <c r="F2757" s="23">
        <f>COUNTIFS(mdr_rate_cleaned!$A$2:$A$10,B2757,mdr_rate_cleaned!$B$2:$B$10,"&lt;"&amp;C2757,mdr_rate_cleaned!$F$2:$F$10,"&gt;="&amp;C2757)</f>
        <v>1</v>
      </c>
      <c r="G2757" s="40">
        <f>SUMIFS(mdr_rate_cleaned!$G$2:$G$10,mdr_rate_cleaned!$A$2:$A$10,B2757,mdr_rate_cleaned!$B$2:$B$10,"&lt;"&amp;C2757,mdr_rate_cleaned!$F$2:$F$10,"&gt;="&amp;C2757)</f>
        <v>0</v>
      </c>
      <c r="H2757" s="24">
        <f t="shared" si="215"/>
        <v>0</v>
      </c>
      <c r="I2757" s="23" t="str">
        <f t="shared" si="216"/>
        <v>Match</v>
      </c>
      <c r="J2757" s="23" t="str">
        <f t="shared" si="217"/>
        <v>Match</v>
      </c>
      <c r="K2757" s="24">
        <f t="shared" si="218"/>
        <v>0</v>
      </c>
      <c r="L2757" s="24">
        <f t="shared" si="219"/>
        <v>0</v>
      </c>
    </row>
    <row r="2758" spans="1:12" ht="15" customHeight="1" x14ac:dyDescent="0.3">
      <c r="A2758" s="23" t="s">
        <v>15714</v>
      </c>
      <c r="B2758" s="23" t="s">
        <v>75</v>
      </c>
      <c r="C2758" s="39">
        <v>2797</v>
      </c>
      <c r="D2758" s="24">
        <v>8.39</v>
      </c>
      <c r="E2758" s="24">
        <v>1.51</v>
      </c>
      <c r="F2758" s="23">
        <f>COUNTIFS(mdr_rate_cleaned!$A$2:$A$10,B2758,mdr_rate_cleaned!$B$2:$B$10,"&lt;"&amp;C2758,mdr_rate_cleaned!$F$2:$F$10,"&gt;="&amp;C2758)</f>
        <v>1</v>
      </c>
      <c r="G2758" s="40">
        <f>SUMIFS(mdr_rate_cleaned!$G$2:$G$10,mdr_rate_cleaned!$A$2:$A$10,B2758,mdr_rate_cleaned!$B$2:$B$10,"&lt;"&amp;C2758,mdr_rate_cleaned!$F$2:$F$10,"&gt;="&amp;C2758)</f>
        <v>3.0000000000000001E-3</v>
      </c>
      <c r="H2758" s="24">
        <f t="shared" si="215"/>
        <v>8.39</v>
      </c>
      <c r="I2758" s="23" t="str">
        <f t="shared" si="216"/>
        <v>Match</v>
      </c>
      <c r="J2758" s="23" t="str">
        <f t="shared" si="217"/>
        <v>Match</v>
      </c>
      <c r="K2758" s="24">
        <f t="shared" si="218"/>
        <v>1.51</v>
      </c>
      <c r="L2758" s="24">
        <f t="shared" si="219"/>
        <v>0</v>
      </c>
    </row>
    <row r="2759" spans="1:12" ht="15" customHeight="1" x14ac:dyDescent="0.3">
      <c r="A2759" s="23" t="s">
        <v>15715</v>
      </c>
      <c r="B2759" s="23" t="s">
        <v>77</v>
      </c>
      <c r="C2759" s="39">
        <v>2148</v>
      </c>
      <c r="D2759" s="24">
        <v>36.520000000000003</v>
      </c>
      <c r="E2759" s="24">
        <v>6.57</v>
      </c>
      <c r="F2759" s="23">
        <f>COUNTIFS(mdr_rate_cleaned!$A$2:$A$10,B2759,mdr_rate_cleaned!$B$2:$B$10,"&lt;"&amp;C2759,mdr_rate_cleaned!$F$2:$F$10,"&gt;="&amp;C2759)</f>
        <v>1</v>
      </c>
      <c r="G2759" s="40">
        <f>SUMIFS(mdr_rate_cleaned!$G$2:$G$10,mdr_rate_cleaned!$A$2:$A$10,B2759,mdr_rate_cleaned!$B$2:$B$10,"&lt;"&amp;C2759,mdr_rate_cleaned!$F$2:$F$10,"&gt;="&amp;C2759)</f>
        <v>1.7000000000000001E-2</v>
      </c>
      <c r="H2759" s="24">
        <f t="shared" si="215"/>
        <v>36.520000000000003</v>
      </c>
      <c r="I2759" s="23" t="str">
        <f t="shared" si="216"/>
        <v>Match</v>
      </c>
      <c r="J2759" s="23" t="str">
        <f t="shared" si="217"/>
        <v>Match</v>
      </c>
      <c r="K2759" s="24">
        <f t="shared" si="218"/>
        <v>6.57</v>
      </c>
      <c r="L2759" s="24">
        <f t="shared" si="219"/>
        <v>0</v>
      </c>
    </row>
    <row r="2760" spans="1:12" ht="15" customHeight="1" x14ac:dyDescent="0.3">
      <c r="A2760" s="23" t="s">
        <v>15716</v>
      </c>
      <c r="B2760" s="23" t="s">
        <v>79</v>
      </c>
      <c r="C2760" s="39">
        <v>799</v>
      </c>
      <c r="D2760" s="24">
        <v>14.38</v>
      </c>
      <c r="E2760" s="24">
        <v>2.59</v>
      </c>
      <c r="F2760" s="23">
        <f>COUNTIFS(mdr_rate_cleaned!$A$2:$A$10,B2760,mdr_rate_cleaned!$B$2:$B$10,"&lt;"&amp;C2760,mdr_rate_cleaned!$F$2:$F$10,"&gt;="&amp;C2760)</f>
        <v>1</v>
      </c>
      <c r="G2760" s="40">
        <f>SUMIFS(mdr_rate_cleaned!$G$2:$G$10,mdr_rate_cleaned!$A$2:$A$10,B2760,mdr_rate_cleaned!$B$2:$B$10,"&lt;"&amp;C2760,mdr_rate_cleaned!$F$2:$F$10,"&gt;="&amp;C2760)</f>
        <v>1.8000000000000002E-2</v>
      </c>
      <c r="H2760" s="24">
        <f t="shared" si="215"/>
        <v>14.38</v>
      </c>
      <c r="I2760" s="23" t="str">
        <f t="shared" si="216"/>
        <v>Match</v>
      </c>
      <c r="J2760" s="23" t="str">
        <f t="shared" si="217"/>
        <v>Match</v>
      </c>
      <c r="K2760" s="24">
        <f t="shared" si="218"/>
        <v>2.59</v>
      </c>
      <c r="L2760" s="24">
        <f t="shared" si="219"/>
        <v>0</v>
      </c>
    </row>
    <row r="2761" spans="1:12" ht="15" customHeight="1" x14ac:dyDescent="0.3">
      <c r="A2761" s="23" t="s">
        <v>15717</v>
      </c>
      <c r="B2761" s="23" t="s">
        <v>75</v>
      </c>
      <c r="C2761" s="39">
        <v>1798</v>
      </c>
      <c r="D2761" s="24">
        <v>0</v>
      </c>
      <c r="E2761" s="24">
        <v>0</v>
      </c>
      <c r="F2761" s="23">
        <f>COUNTIFS(mdr_rate_cleaned!$A$2:$A$10,B2761,mdr_rate_cleaned!$B$2:$B$10,"&lt;"&amp;C2761,mdr_rate_cleaned!$F$2:$F$10,"&gt;="&amp;C2761)</f>
        <v>1</v>
      </c>
      <c r="G2761" s="40">
        <f>SUMIFS(mdr_rate_cleaned!$G$2:$G$10,mdr_rate_cleaned!$A$2:$A$10,B2761,mdr_rate_cleaned!$B$2:$B$10,"&lt;"&amp;C2761,mdr_rate_cleaned!$F$2:$F$10,"&gt;="&amp;C2761)</f>
        <v>0</v>
      </c>
      <c r="H2761" s="24">
        <f t="shared" si="215"/>
        <v>0</v>
      </c>
      <c r="I2761" s="23" t="str">
        <f t="shared" si="216"/>
        <v>Match</v>
      </c>
      <c r="J2761" s="23" t="str">
        <f t="shared" si="217"/>
        <v>Match</v>
      </c>
      <c r="K2761" s="24">
        <f t="shared" si="218"/>
        <v>0</v>
      </c>
      <c r="L2761" s="24">
        <f t="shared" si="219"/>
        <v>0</v>
      </c>
    </row>
    <row r="2762" spans="1:12" ht="15" customHeight="1" x14ac:dyDescent="0.3">
      <c r="A2762" s="23" t="s">
        <v>15718</v>
      </c>
      <c r="B2762" s="23" t="s">
        <v>81</v>
      </c>
      <c r="C2762" s="39">
        <v>7999</v>
      </c>
      <c r="D2762" s="24">
        <v>95.99</v>
      </c>
      <c r="E2762" s="24">
        <v>17.28</v>
      </c>
      <c r="F2762" s="23">
        <f>COUNTIFS(mdr_rate_cleaned!$A$2:$A$10,B2762,mdr_rate_cleaned!$B$2:$B$10,"&lt;"&amp;C2762,mdr_rate_cleaned!$F$2:$F$10,"&gt;="&amp;C2762)</f>
        <v>1</v>
      </c>
      <c r="G2762" s="40">
        <f>SUMIFS(mdr_rate_cleaned!$G$2:$G$10,mdr_rate_cleaned!$A$2:$A$10,B2762,mdr_rate_cleaned!$B$2:$B$10,"&lt;"&amp;C2762,mdr_rate_cleaned!$F$2:$F$10,"&gt;="&amp;C2762)</f>
        <v>1.2E-2</v>
      </c>
      <c r="H2762" s="24">
        <f t="shared" si="215"/>
        <v>95.99</v>
      </c>
      <c r="I2762" s="23" t="str">
        <f t="shared" si="216"/>
        <v>Match</v>
      </c>
      <c r="J2762" s="23" t="str">
        <f t="shared" si="217"/>
        <v>Match</v>
      </c>
      <c r="K2762" s="24">
        <f t="shared" si="218"/>
        <v>17.28</v>
      </c>
      <c r="L2762" s="24">
        <f t="shared" si="219"/>
        <v>0</v>
      </c>
    </row>
    <row r="2763" spans="1:12" ht="15" customHeight="1" x14ac:dyDescent="0.3">
      <c r="A2763" s="23" t="s">
        <v>15719</v>
      </c>
      <c r="B2763" s="23" t="s">
        <v>75</v>
      </c>
      <c r="C2763" s="39">
        <v>7999</v>
      </c>
      <c r="D2763" s="24">
        <v>24</v>
      </c>
      <c r="E2763" s="24">
        <v>4.32</v>
      </c>
      <c r="F2763" s="23">
        <f>COUNTIFS(mdr_rate_cleaned!$A$2:$A$10,B2763,mdr_rate_cleaned!$B$2:$B$10,"&lt;"&amp;C2763,mdr_rate_cleaned!$F$2:$F$10,"&gt;="&amp;C2763)</f>
        <v>1</v>
      </c>
      <c r="G2763" s="40">
        <f>SUMIFS(mdr_rate_cleaned!$G$2:$G$10,mdr_rate_cleaned!$A$2:$A$10,B2763,mdr_rate_cleaned!$B$2:$B$10,"&lt;"&amp;C2763,mdr_rate_cleaned!$F$2:$F$10,"&gt;="&amp;C2763)</f>
        <v>3.0000000000000001E-3</v>
      </c>
      <c r="H2763" s="24">
        <f t="shared" si="215"/>
        <v>24</v>
      </c>
      <c r="I2763" s="23" t="str">
        <f t="shared" si="216"/>
        <v>Match</v>
      </c>
      <c r="J2763" s="23" t="str">
        <f t="shared" si="217"/>
        <v>Match</v>
      </c>
      <c r="K2763" s="24">
        <f t="shared" si="218"/>
        <v>4.32</v>
      </c>
      <c r="L2763" s="24">
        <f t="shared" si="219"/>
        <v>0</v>
      </c>
    </row>
    <row r="2764" spans="1:12" ht="15" customHeight="1" x14ac:dyDescent="0.3">
      <c r="A2764" s="23" t="s">
        <v>15720</v>
      </c>
      <c r="B2764" s="23" t="s">
        <v>75</v>
      </c>
      <c r="C2764" s="39">
        <v>799</v>
      </c>
      <c r="D2764" s="24">
        <v>0</v>
      </c>
      <c r="E2764" s="24">
        <v>0</v>
      </c>
      <c r="F2764" s="23">
        <f>COUNTIFS(mdr_rate_cleaned!$A$2:$A$10,B2764,mdr_rate_cleaned!$B$2:$B$10,"&lt;"&amp;C2764,mdr_rate_cleaned!$F$2:$F$10,"&gt;="&amp;C2764)</f>
        <v>1</v>
      </c>
      <c r="G2764" s="40">
        <f>SUMIFS(mdr_rate_cleaned!$G$2:$G$10,mdr_rate_cleaned!$A$2:$A$10,B2764,mdr_rate_cleaned!$B$2:$B$10,"&lt;"&amp;C2764,mdr_rate_cleaned!$F$2:$F$10,"&gt;="&amp;C2764)</f>
        <v>0</v>
      </c>
      <c r="H2764" s="24">
        <f t="shared" si="215"/>
        <v>0</v>
      </c>
      <c r="I2764" s="23" t="str">
        <f t="shared" si="216"/>
        <v>Match</v>
      </c>
      <c r="J2764" s="23" t="str">
        <f t="shared" si="217"/>
        <v>Match</v>
      </c>
      <c r="K2764" s="24">
        <f t="shared" si="218"/>
        <v>0</v>
      </c>
      <c r="L2764" s="24">
        <f t="shared" si="219"/>
        <v>0</v>
      </c>
    </row>
    <row r="2765" spans="1:12" ht="15" customHeight="1" x14ac:dyDescent="0.3">
      <c r="A2765" s="23" t="s">
        <v>15721</v>
      </c>
      <c r="B2765" s="23" t="s">
        <v>75</v>
      </c>
      <c r="C2765" s="39">
        <v>11847</v>
      </c>
      <c r="D2765" s="24">
        <v>35.54</v>
      </c>
      <c r="E2765" s="24">
        <v>6.4</v>
      </c>
      <c r="F2765" s="23">
        <f>COUNTIFS(mdr_rate_cleaned!$A$2:$A$10,B2765,mdr_rate_cleaned!$B$2:$B$10,"&lt;"&amp;C2765,mdr_rate_cleaned!$F$2:$F$10,"&gt;="&amp;C2765)</f>
        <v>1</v>
      </c>
      <c r="G2765" s="40">
        <f>SUMIFS(mdr_rate_cleaned!$G$2:$G$10,mdr_rate_cleaned!$A$2:$A$10,B2765,mdr_rate_cleaned!$B$2:$B$10,"&lt;"&amp;C2765,mdr_rate_cleaned!$F$2:$F$10,"&gt;="&amp;C2765)</f>
        <v>3.0000000000000001E-3</v>
      </c>
      <c r="H2765" s="24">
        <f t="shared" si="215"/>
        <v>35.54</v>
      </c>
      <c r="I2765" s="23" t="str">
        <f t="shared" si="216"/>
        <v>Match</v>
      </c>
      <c r="J2765" s="23" t="str">
        <f t="shared" si="217"/>
        <v>Match</v>
      </c>
      <c r="K2765" s="24">
        <f t="shared" si="218"/>
        <v>6.4</v>
      </c>
      <c r="L2765" s="24">
        <f t="shared" si="219"/>
        <v>0</v>
      </c>
    </row>
    <row r="2766" spans="1:12" ht="15" customHeight="1" x14ac:dyDescent="0.3">
      <c r="A2766" s="23" t="s">
        <v>15722</v>
      </c>
      <c r="B2766" s="23" t="s">
        <v>79</v>
      </c>
      <c r="C2766" s="39">
        <v>7998</v>
      </c>
      <c r="D2766" s="24">
        <v>127.97</v>
      </c>
      <c r="E2766" s="24">
        <v>23.03</v>
      </c>
      <c r="F2766" s="23">
        <f>COUNTIFS(mdr_rate_cleaned!$A$2:$A$10,B2766,mdr_rate_cleaned!$B$2:$B$10,"&lt;"&amp;C2766,mdr_rate_cleaned!$F$2:$F$10,"&gt;="&amp;C2766)</f>
        <v>1</v>
      </c>
      <c r="G2766" s="40">
        <f>SUMIFS(mdr_rate_cleaned!$G$2:$G$10,mdr_rate_cleaned!$A$2:$A$10,B2766,mdr_rate_cleaned!$B$2:$B$10,"&lt;"&amp;C2766,mdr_rate_cleaned!$F$2:$F$10,"&gt;="&amp;C2766)</f>
        <v>1.6E-2</v>
      </c>
      <c r="H2766" s="24">
        <f t="shared" si="215"/>
        <v>127.97</v>
      </c>
      <c r="I2766" s="23" t="str">
        <f t="shared" si="216"/>
        <v>Match</v>
      </c>
      <c r="J2766" s="23" t="str">
        <f t="shared" si="217"/>
        <v>Match</v>
      </c>
      <c r="K2766" s="24">
        <f t="shared" si="218"/>
        <v>23.03</v>
      </c>
      <c r="L2766" s="24">
        <f t="shared" si="219"/>
        <v>0</v>
      </c>
    </row>
    <row r="2767" spans="1:12" ht="15" customHeight="1" x14ac:dyDescent="0.3">
      <c r="A2767" s="23" t="s">
        <v>15723</v>
      </c>
      <c r="B2767" s="23" t="s">
        <v>77</v>
      </c>
      <c r="C2767" s="39">
        <v>1499</v>
      </c>
      <c r="D2767" s="24">
        <v>28.48</v>
      </c>
      <c r="E2767" s="24">
        <v>5.13</v>
      </c>
      <c r="F2767" s="23">
        <f>COUNTIFS(mdr_rate_cleaned!$A$2:$A$10,B2767,mdr_rate_cleaned!$B$2:$B$10,"&lt;"&amp;C2767,mdr_rate_cleaned!$F$2:$F$10,"&gt;="&amp;C2767)</f>
        <v>1</v>
      </c>
      <c r="G2767" s="40">
        <f>SUMIFS(mdr_rate_cleaned!$G$2:$G$10,mdr_rate_cleaned!$A$2:$A$10,B2767,mdr_rate_cleaned!$B$2:$B$10,"&lt;"&amp;C2767,mdr_rate_cleaned!$F$2:$F$10,"&gt;="&amp;C2767)</f>
        <v>1.9E-2</v>
      </c>
      <c r="H2767" s="24">
        <f t="shared" si="215"/>
        <v>28.48</v>
      </c>
      <c r="I2767" s="23" t="str">
        <f t="shared" si="216"/>
        <v>Match</v>
      </c>
      <c r="J2767" s="23" t="str">
        <f t="shared" si="217"/>
        <v>Match</v>
      </c>
      <c r="K2767" s="24">
        <f t="shared" si="218"/>
        <v>5.13</v>
      </c>
      <c r="L2767" s="24">
        <f t="shared" si="219"/>
        <v>0</v>
      </c>
    </row>
    <row r="2768" spans="1:12" ht="15" customHeight="1" x14ac:dyDescent="0.3">
      <c r="A2768" s="23" t="s">
        <v>15724</v>
      </c>
      <c r="B2768" s="23" t="s">
        <v>81</v>
      </c>
      <c r="C2768" s="39">
        <v>4999</v>
      </c>
      <c r="D2768" s="24">
        <v>59.99</v>
      </c>
      <c r="E2768" s="24">
        <v>10.8</v>
      </c>
      <c r="F2768" s="23">
        <f>COUNTIFS(mdr_rate_cleaned!$A$2:$A$10,B2768,mdr_rate_cleaned!$B$2:$B$10,"&lt;"&amp;C2768,mdr_rate_cleaned!$F$2:$F$10,"&gt;="&amp;C2768)</f>
        <v>1</v>
      </c>
      <c r="G2768" s="40">
        <f>SUMIFS(mdr_rate_cleaned!$G$2:$G$10,mdr_rate_cleaned!$A$2:$A$10,B2768,mdr_rate_cleaned!$B$2:$B$10,"&lt;"&amp;C2768,mdr_rate_cleaned!$F$2:$F$10,"&gt;="&amp;C2768)</f>
        <v>1.2E-2</v>
      </c>
      <c r="H2768" s="24">
        <f t="shared" si="215"/>
        <v>59.99</v>
      </c>
      <c r="I2768" s="23" t="str">
        <f t="shared" si="216"/>
        <v>Match</v>
      </c>
      <c r="J2768" s="23" t="str">
        <f t="shared" si="217"/>
        <v>Match</v>
      </c>
      <c r="K2768" s="24">
        <f t="shared" si="218"/>
        <v>10.8</v>
      </c>
      <c r="L2768" s="24">
        <f t="shared" si="219"/>
        <v>0</v>
      </c>
    </row>
    <row r="2769" spans="1:12" ht="15" customHeight="1" x14ac:dyDescent="0.3">
      <c r="A2769" s="23" t="s">
        <v>15725</v>
      </c>
      <c r="B2769" s="23" t="s">
        <v>75</v>
      </c>
      <c r="C2769" s="39">
        <v>1499</v>
      </c>
      <c r="D2769" s="24">
        <v>0</v>
      </c>
      <c r="E2769" s="24">
        <v>0</v>
      </c>
      <c r="F2769" s="23">
        <f>COUNTIFS(mdr_rate_cleaned!$A$2:$A$10,B2769,mdr_rate_cleaned!$B$2:$B$10,"&lt;"&amp;C2769,mdr_rate_cleaned!$F$2:$F$10,"&gt;="&amp;C2769)</f>
        <v>1</v>
      </c>
      <c r="G2769" s="40">
        <f>SUMIFS(mdr_rate_cleaned!$G$2:$G$10,mdr_rate_cleaned!$A$2:$A$10,B2769,mdr_rate_cleaned!$B$2:$B$10,"&lt;"&amp;C2769,mdr_rate_cleaned!$F$2:$F$10,"&gt;="&amp;C2769)</f>
        <v>0</v>
      </c>
      <c r="H2769" s="24">
        <f t="shared" si="215"/>
        <v>0</v>
      </c>
      <c r="I2769" s="23" t="str">
        <f t="shared" si="216"/>
        <v>Match</v>
      </c>
      <c r="J2769" s="23" t="str">
        <f t="shared" si="217"/>
        <v>Match</v>
      </c>
      <c r="K2769" s="24">
        <f t="shared" si="218"/>
        <v>0</v>
      </c>
      <c r="L2769" s="24">
        <f t="shared" si="219"/>
        <v>0</v>
      </c>
    </row>
    <row r="2770" spans="1:12" ht="15" customHeight="1" x14ac:dyDescent="0.3">
      <c r="A2770" s="23" t="s">
        <v>15726</v>
      </c>
      <c r="B2770" s="23" t="s">
        <v>75</v>
      </c>
      <c r="C2770" s="39">
        <v>499</v>
      </c>
      <c r="D2770" s="24">
        <v>0</v>
      </c>
      <c r="E2770" s="24">
        <v>0</v>
      </c>
      <c r="F2770" s="23">
        <f>COUNTIFS(mdr_rate_cleaned!$A$2:$A$10,B2770,mdr_rate_cleaned!$B$2:$B$10,"&lt;"&amp;C2770,mdr_rate_cleaned!$F$2:$F$10,"&gt;="&amp;C2770)</f>
        <v>1</v>
      </c>
      <c r="G2770" s="40">
        <f>SUMIFS(mdr_rate_cleaned!$G$2:$G$10,mdr_rate_cleaned!$A$2:$A$10,B2770,mdr_rate_cleaned!$B$2:$B$10,"&lt;"&amp;C2770,mdr_rate_cleaned!$F$2:$F$10,"&gt;="&amp;C2770)</f>
        <v>0</v>
      </c>
      <c r="H2770" s="24">
        <f t="shared" si="215"/>
        <v>0</v>
      </c>
      <c r="I2770" s="23" t="str">
        <f t="shared" si="216"/>
        <v>Match</v>
      </c>
      <c r="J2770" s="23" t="str">
        <f t="shared" si="217"/>
        <v>Match</v>
      </c>
      <c r="K2770" s="24">
        <f t="shared" si="218"/>
        <v>0</v>
      </c>
      <c r="L2770" s="24">
        <f t="shared" si="219"/>
        <v>0</v>
      </c>
    </row>
    <row r="2771" spans="1:12" ht="15" customHeight="1" x14ac:dyDescent="0.3">
      <c r="A2771" s="23" t="s">
        <v>15728</v>
      </c>
      <c r="B2771" s="23" t="s">
        <v>81</v>
      </c>
      <c r="C2771" s="39">
        <v>2347</v>
      </c>
      <c r="D2771" s="24">
        <v>28.16</v>
      </c>
      <c r="E2771" s="24">
        <v>5.07</v>
      </c>
      <c r="F2771" s="23">
        <f>COUNTIFS(mdr_rate_cleaned!$A$2:$A$10,B2771,mdr_rate_cleaned!$B$2:$B$10,"&lt;"&amp;C2771,mdr_rate_cleaned!$F$2:$F$10,"&gt;="&amp;C2771)</f>
        <v>1</v>
      </c>
      <c r="G2771" s="40">
        <f>SUMIFS(mdr_rate_cleaned!$G$2:$G$10,mdr_rate_cleaned!$A$2:$A$10,B2771,mdr_rate_cleaned!$B$2:$B$10,"&lt;"&amp;C2771,mdr_rate_cleaned!$F$2:$F$10,"&gt;="&amp;C2771)</f>
        <v>1.2E-2</v>
      </c>
      <c r="H2771" s="24">
        <f t="shared" si="215"/>
        <v>28.16</v>
      </c>
      <c r="I2771" s="23" t="str">
        <f t="shared" si="216"/>
        <v>Match</v>
      </c>
      <c r="J2771" s="23" t="str">
        <f t="shared" si="217"/>
        <v>Match</v>
      </c>
      <c r="K2771" s="24">
        <f t="shared" si="218"/>
        <v>5.07</v>
      </c>
      <c r="L2771" s="24">
        <f t="shared" si="219"/>
        <v>0</v>
      </c>
    </row>
    <row r="2772" spans="1:12" ht="15" customHeight="1" x14ac:dyDescent="0.3">
      <c r="A2772" s="23" t="s">
        <v>15729</v>
      </c>
      <c r="B2772" s="23" t="s">
        <v>77</v>
      </c>
      <c r="C2772" s="39">
        <v>799</v>
      </c>
      <c r="D2772" s="24">
        <v>15.18</v>
      </c>
      <c r="E2772" s="24">
        <v>2.73</v>
      </c>
      <c r="F2772" s="23">
        <f>COUNTIFS(mdr_rate_cleaned!$A$2:$A$10,B2772,mdr_rate_cleaned!$B$2:$B$10,"&lt;"&amp;C2772,mdr_rate_cleaned!$F$2:$F$10,"&gt;="&amp;C2772)</f>
        <v>1</v>
      </c>
      <c r="G2772" s="40">
        <f>SUMIFS(mdr_rate_cleaned!$G$2:$G$10,mdr_rate_cleaned!$A$2:$A$10,B2772,mdr_rate_cleaned!$B$2:$B$10,"&lt;"&amp;C2772,mdr_rate_cleaned!$F$2:$F$10,"&gt;="&amp;C2772)</f>
        <v>1.9E-2</v>
      </c>
      <c r="H2772" s="24">
        <f t="shared" si="215"/>
        <v>15.18</v>
      </c>
      <c r="I2772" s="23" t="str">
        <f t="shared" si="216"/>
        <v>Match</v>
      </c>
      <c r="J2772" s="23" t="str">
        <f t="shared" si="217"/>
        <v>Match</v>
      </c>
      <c r="K2772" s="24">
        <f t="shared" si="218"/>
        <v>2.73</v>
      </c>
      <c r="L2772" s="24">
        <f t="shared" si="219"/>
        <v>0</v>
      </c>
    </row>
    <row r="2773" spans="1:12" ht="15" customHeight="1" x14ac:dyDescent="0.3">
      <c r="A2773" s="23" t="s">
        <v>15730</v>
      </c>
      <c r="B2773" s="23" t="s">
        <v>77</v>
      </c>
      <c r="C2773" s="39">
        <v>799</v>
      </c>
      <c r="D2773" s="24">
        <v>15.18</v>
      </c>
      <c r="E2773" s="24">
        <v>2.73</v>
      </c>
      <c r="F2773" s="23">
        <f>COUNTIFS(mdr_rate_cleaned!$A$2:$A$10,B2773,mdr_rate_cleaned!$B$2:$B$10,"&lt;"&amp;C2773,mdr_rate_cleaned!$F$2:$F$10,"&gt;="&amp;C2773)</f>
        <v>1</v>
      </c>
      <c r="G2773" s="40">
        <f>SUMIFS(mdr_rate_cleaned!$G$2:$G$10,mdr_rate_cleaned!$A$2:$A$10,B2773,mdr_rate_cleaned!$B$2:$B$10,"&lt;"&amp;C2773,mdr_rate_cleaned!$F$2:$F$10,"&gt;="&amp;C2773)</f>
        <v>1.9E-2</v>
      </c>
      <c r="H2773" s="24">
        <f t="shared" si="215"/>
        <v>15.18</v>
      </c>
      <c r="I2773" s="23" t="str">
        <f t="shared" si="216"/>
        <v>Match</v>
      </c>
      <c r="J2773" s="23" t="str">
        <f t="shared" si="217"/>
        <v>Match</v>
      </c>
      <c r="K2773" s="24">
        <f t="shared" si="218"/>
        <v>2.73</v>
      </c>
      <c r="L2773" s="24">
        <f t="shared" si="219"/>
        <v>0</v>
      </c>
    </row>
    <row r="2774" spans="1:12" ht="15" customHeight="1" x14ac:dyDescent="0.3">
      <c r="A2774" s="23" t="s">
        <v>15731</v>
      </c>
      <c r="B2774" s="23" t="s">
        <v>79</v>
      </c>
      <c r="C2774" s="39">
        <v>5598</v>
      </c>
      <c r="D2774" s="24">
        <v>89.57</v>
      </c>
      <c r="E2774" s="24">
        <v>16.12</v>
      </c>
      <c r="F2774" s="23">
        <f>COUNTIFS(mdr_rate_cleaned!$A$2:$A$10,B2774,mdr_rate_cleaned!$B$2:$B$10,"&lt;"&amp;C2774,mdr_rate_cleaned!$F$2:$F$10,"&gt;="&amp;C2774)</f>
        <v>1</v>
      </c>
      <c r="G2774" s="40">
        <f>SUMIFS(mdr_rate_cleaned!$G$2:$G$10,mdr_rate_cleaned!$A$2:$A$10,B2774,mdr_rate_cleaned!$B$2:$B$10,"&lt;"&amp;C2774,mdr_rate_cleaned!$F$2:$F$10,"&gt;="&amp;C2774)</f>
        <v>1.6E-2</v>
      </c>
      <c r="H2774" s="24">
        <f t="shared" si="215"/>
        <v>89.57</v>
      </c>
      <c r="I2774" s="23" t="str">
        <f t="shared" si="216"/>
        <v>Match</v>
      </c>
      <c r="J2774" s="23" t="str">
        <f t="shared" si="217"/>
        <v>Match</v>
      </c>
      <c r="K2774" s="24">
        <f t="shared" si="218"/>
        <v>16.12</v>
      </c>
      <c r="L2774" s="24">
        <f t="shared" si="219"/>
        <v>0</v>
      </c>
    </row>
    <row r="2775" spans="1:12" ht="15" customHeight="1" x14ac:dyDescent="0.3">
      <c r="A2775" s="23" t="s">
        <v>15732</v>
      </c>
      <c r="B2775" s="23" t="s">
        <v>75</v>
      </c>
      <c r="C2775" s="39">
        <v>799</v>
      </c>
      <c r="D2775" s="24">
        <v>0</v>
      </c>
      <c r="E2775" s="24">
        <v>0</v>
      </c>
      <c r="F2775" s="23">
        <f>COUNTIFS(mdr_rate_cleaned!$A$2:$A$10,B2775,mdr_rate_cleaned!$B$2:$B$10,"&lt;"&amp;C2775,mdr_rate_cleaned!$F$2:$F$10,"&gt;="&amp;C2775)</f>
        <v>1</v>
      </c>
      <c r="G2775" s="40">
        <f>SUMIFS(mdr_rate_cleaned!$G$2:$G$10,mdr_rate_cleaned!$A$2:$A$10,B2775,mdr_rate_cleaned!$B$2:$B$10,"&lt;"&amp;C2775,mdr_rate_cleaned!$F$2:$F$10,"&gt;="&amp;C2775)</f>
        <v>0</v>
      </c>
      <c r="H2775" s="24">
        <f t="shared" si="215"/>
        <v>0</v>
      </c>
      <c r="I2775" s="23" t="str">
        <f t="shared" si="216"/>
        <v>Match</v>
      </c>
      <c r="J2775" s="23" t="str">
        <f t="shared" si="217"/>
        <v>Match</v>
      </c>
      <c r="K2775" s="24">
        <f t="shared" si="218"/>
        <v>0</v>
      </c>
      <c r="L2775" s="24">
        <f t="shared" si="219"/>
        <v>0</v>
      </c>
    </row>
    <row r="2776" spans="1:12" ht="15" customHeight="1" x14ac:dyDescent="0.3">
      <c r="A2776" s="23" t="s">
        <v>15733</v>
      </c>
      <c r="B2776" s="23" t="s">
        <v>79</v>
      </c>
      <c r="C2776" s="39">
        <v>1947</v>
      </c>
      <c r="D2776" s="24">
        <v>35.049999999999997</v>
      </c>
      <c r="E2776" s="24">
        <v>6.31</v>
      </c>
      <c r="F2776" s="23">
        <f>COUNTIFS(mdr_rate_cleaned!$A$2:$A$10,B2776,mdr_rate_cleaned!$B$2:$B$10,"&lt;"&amp;C2776,mdr_rate_cleaned!$F$2:$F$10,"&gt;="&amp;C2776)</f>
        <v>1</v>
      </c>
      <c r="G2776" s="40">
        <f>SUMIFS(mdr_rate_cleaned!$G$2:$G$10,mdr_rate_cleaned!$A$2:$A$10,B2776,mdr_rate_cleaned!$B$2:$B$10,"&lt;"&amp;C2776,mdr_rate_cleaned!$F$2:$F$10,"&gt;="&amp;C2776)</f>
        <v>1.8000000000000002E-2</v>
      </c>
      <c r="H2776" s="24">
        <f t="shared" si="215"/>
        <v>35.049999999999997</v>
      </c>
      <c r="I2776" s="23" t="str">
        <f t="shared" si="216"/>
        <v>Match</v>
      </c>
      <c r="J2776" s="23" t="str">
        <f t="shared" si="217"/>
        <v>Match</v>
      </c>
      <c r="K2776" s="24">
        <f t="shared" si="218"/>
        <v>6.31</v>
      </c>
      <c r="L2776" s="24">
        <f t="shared" si="219"/>
        <v>0</v>
      </c>
    </row>
    <row r="2777" spans="1:12" ht="15" customHeight="1" x14ac:dyDescent="0.3">
      <c r="A2777" s="23" t="s">
        <v>15734</v>
      </c>
      <c r="B2777" s="23" t="s">
        <v>79</v>
      </c>
      <c r="C2777" s="39">
        <v>9097</v>
      </c>
      <c r="D2777" s="24">
        <v>145.55000000000001</v>
      </c>
      <c r="E2777" s="24">
        <v>26.2</v>
      </c>
      <c r="F2777" s="23">
        <f>COUNTIFS(mdr_rate_cleaned!$A$2:$A$10,B2777,mdr_rate_cleaned!$B$2:$B$10,"&lt;"&amp;C2777,mdr_rate_cleaned!$F$2:$F$10,"&gt;="&amp;C2777)</f>
        <v>1</v>
      </c>
      <c r="G2777" s="40">
        <f>SUMIFS(mdr_rate_cleaned!$G$2:$G$10,mdr_rate_cleaned!$A$2:$A$10,B2777,mdr_rate_cleaned!$B$2:$B$10,"&lt;"&amp;C2777,mdr_rate_cleaned!$F$2:$F$10,"&gt;="&amp;C2777)</f>
        <v>1.6E-2</v>
      </c>
      <c r="H2777" s="24">
        <f t="shared" si="215"/>
        <v>145.55000000000001</v>
      </c>
      <c r="I2777" s="23" t="str">
        <f t="shared" si="216"/>
        <v>Match</v>
      </c>
      <c r="J2777" s="23" t="str">
        <f t="shared" si="217"/>
        <v>Match</v>
      </c>
      <c r="K2777" s="24">
        <f t="shared" si="218"/>
        <v>26.2</v>
      </c>
      <c r="L2777" s="24">
        <f t="shared" si="219"/>
        <v>0</v>
      </c>
    </row>
    <row r="2778" spans="1:12" ht="15" customHeight="1" x14ac:dyDescent="0.3">
      <c r="A2778" s="23" t="s">
        <v>15735</v>
      </c>
      <c r="B2778" s="23" t="s">
        <v>79</v>
      </c>
      <c r="C2778" s="39">
        <v>9498</v>
      </c>
      <c r="D2778" s="24">
        <v>151.97</v>
      </c>
      <c r="E2778" s="24">
        <v>27.35</v>
      </c>
      <c r="F2778" s="23">
        <f>COUNTIFS(mdr_rate_cleaned!$A$2:$A$10,B2778,mdr_rate_cleaned!$B$2:$B$10,"&lt;"&amp;C2778,mdr_rate_cleaned!$F$2:$F$10,"&gt;="&amp;C2778)</f>
        <v>1</v>
      </c>
      <c r="G2778" s="40">
        <f>SUMIFS(mdr_rate_cleaned!$G$2:$G$10,mdr_rate_cleaned!$A$2:$A$10,B2778,mdr_rate_cleaned!$B$2:$B$10,"&lt;"&amp;C2778,mdr_rate_cleaned!$F$2:$F$10,"&gt;="&amp;C2778)</f>
        <v>1.6E-2</v>
      </c>
      <c r="H2778" s="24">
        <f t="shared" si="215"/>
        <v>151.97</v>
      </c>
      <c r="I2778" s="23" t="str">
        <f t="shared" si="216"/>
        <v>Match</v>
      </c>
      <c r="J2778" s="23" t="str">
        <f t="shared" si="217"/>
        <v>Match</v>
      </c>
      <c r="K2778" s="24">
        <f t="shared" si="218"/>
        <v>27.35</v>
      </c>
      <c r="L2778" s="24">
        <f t="shared" si="219"/>
        <v>0</v>
      </c>
    </row>
    <row r="2779" spans="1:12" ht="15" customHeight="1" x14ac:dyDescent="0.3">
      <c r="A2779" s="23" t="s">
        <v>15736</v>
      </c>
      <c r="B2779" s="23" t="s">
        <v>75</v>
      </c>
      <c r="C2779" s="39">
        <v>4999</v>
      </c>
      <c r="D2779" s="24">
        <v>15</v>
      </c>
      <c r="E2779" s="24">
        <v>2.7</v>
      </c>
      <c r="F2779" s="23">
        <f>COUNTIFS(mdr_rate_cleaned!$A$2:$A$10,B2779,mdr_rate_cleaned!$B$2:$B$10,"&lt;"&amp;C2779,mdr_rate_cleaned!$F$2:$F$10,"&gt;="&amp;C2779)</f>
        <v>1</v>
      </c>
      <c r="G2779" s="40">
        <f>SUMIFS(mdr_rate_cleaned!$G$2:$G$10,mdr_rate_cleaned!$A$2:$A$10,B2779,mdr_rate_cleaned!$B$2:$B$10,"&lt;"&amp;C2779,mdr_rate_cleaned!$F$2:$F$10,"&gt;="&amp;C2779)</f>
        <v>3.0000000000000001E-3</v>
      </c>
      <c r="H2779" s="24">
        <f t="shared" si="215"/>
        <v>15</v>
      </c>
      <c r="I2779" s="23" t="str">
        <f t="shared" si="216"/>
        <v>Match</v>
      </c>
      <c r="J2779" s="23" t="str">
        <f t="shared" si="217"/>
        <v>Match</v>
      </c>
      <c r="K2779" s="24">
        <f t="shared" si="218"/>
        <v>2.7</v>
      </c>
      <c r="L2779" s="24">
        <f t="shared" si="219"/>
        <v>0</v>
      </c>
    </row>
    <row r="2780" spans="1:12" ht="15" customHeight="1" x14ac:dyDescent="0.3">
      <c r="A2780" s="23" t="s">
        <v>15737</v>
      </c>
      <c r="B2780" s="23" t="s">
        <v>75</v>
      </c>
      <c r="C2780" s="39">
        <v>5998</v>
      </c>
      <c r="D2780" s="24">
        <v>17.989999999999998</v>
      </c>
      <c r="E2780" s="24">
        <v>3.24</v>
      </c>
      <c r="F2780" s="23">
        <f>COUNTIFS(mdr_rate_cleaned!$A$2:$A$10,B2780,mdr_rate_cleaned!$B$2:$B$10,"&lt;"&amp;C2780,mdr_rate_cleaned!$F$2:$F$10,"&gt;="&amp;C2780)</f>
        <v>1</v>
      </c>
      <c r="G2780" s="40">
        <f>SUMIFS(mdr_rate_cleaned!$G$2:$G$10,mdr_rate_cleaned!$A$2:$A$10,B2780,mdr_rate_cleaned!$B$2:$B$10,"&lt;"&amp;C2780,mdr_rate_cleaned!$F$2:$F$10,"&gt;="&amp;C2780)</f>
        <v>3.0000000000000001E-3</v>
      </c>
      <c r="H2780" s="24">
        <f t="shared" si="215"/>
        <v>17.989999999999998</v>
      </c>
      <c r="I2780" s="23" t="str">
        <f t="shared" si="216"/>
        <v>Match</v>
      </c>
      <c r="J2780" s="23" t="str">
        <f t="shared" si="217"/>
        <v>Match</v>
      </c>
      <c r="K2780" s="24">
        <f t="shared" si="218"/>
        <v>3.24</v>
      </c>
      <c r="L2780" s="24">
        <f t="shared" si="219"/>
        <v>0</v>
      </c>
    </row>
    <row r="2781" spans="1:12" ht="15" customHeight="1" x14ac:dyDescent="0.3">
      <c r="A2781" s="23" t="s">
        <v>15738</v>
      </c>
      <c r="B2781" s="23" t="s">
        <v>75</v>
      </c>
      <c r="C2781" s="39">
        <v>1848</v>
      </c>
      <c r="D2781" s="24">
        <v>0</v>
      </c>
      <c r="E2781" s="24">
        <v>0</v>
      </c>
      <c r="F2781" s="23">
        <f>COUNTIFS(mdr_rate_cleaned!$A$2:$A$10,B2781,mdr_rate_cleaned!$B$2:$B$10,"&lt;"&amp;C2781,mdr_rate_cleaned!$F$2:$F$10,"&gt;="&amp;C2781)</f>
        <v>1</v>
      </c>
      <c r="G2781" s="40">
        <f>SUMIFS(mdr_rate_cleaned!$G$2:$G$10,mdr_rate_cleaned!$A$2:$A$10,B2781,mdr_rate_cleaned!$B$2:$B$10,"&lt;"&amp;C2781,mdr_rate_cleaned!$F$2:$F$10,"&gt;="&amp;C2781)</f>
        <v>0</v>
      </c>
      <c r="H2781" s="24">
        <f t="shared" si="215"/>
        <v>0</v>
      </c>
      <c r="I2781" s="23" t="str">
        <f t="shared" si="216"/>
        <v>Match</v>
      </c>
      <c r="J2781" s="23" t="str">
        <f t="shared" si="217"/>
        <v>Match</v>
      </c>
      <c r="K2781" s="24">
        <f t="shared" si="218"/>
        <v>0</v>
      </c>
      <c r="L2781" s="24">
        <f t="shared" si="219"/>
        <v>0</v>
      </c>
    </row>
    <row r="2782" spans="1:12" ht="15" customHeight="1" x14ac:dyDescent="0.3">
      <c r="A2782" s="23" t="s">
        <v>15739</v>
      </c>
      <c r="B2782" s="23" t="s">
        <v>75</v>
      </c>
      <c r="C2782" s="39">
        <v>3499</v>
      </c>
      <c r="D2782" s="24">
        <v>10.5</v>
      </c>
      <c r="E2782" s="24">
        <v>1.89</v>
      </c>
      <c r="F2782" s="23">
        <f>COUNTIFS(mdr_rate_cleaned!$A$2:$A$10,B2782,mdr_rate_cleaned!$B$2:$B$10,"&lt;"&amp;C2782,mdr_rate_cleaned!$F$2:$F$10,"&gt;="&amp;C2782)</f>
        <v>1</v>
      </c>
      <c r="G2782" s="40">
        <f>SUMIFS(mdr_rate_cleaned!$G$2:$G$10,mdr_rate_cleaned!$A$2:$A$10,B2782,mdr_rate_cleaned!$B$2:$B$10,"&lt;"&amp;C2782,mdr_rate_cleaned!$F$2:$F$10,"&gt;="&amp;C2782)</f>
        <v>3.0000000000000001E-3</v>
      </c>
      <c r="H2782" s="24">
        <f t="shared" si="215"/>
        <v>10.5</v>
      </c>
      <c r="I2782" s="23" t="str">
        <f t="shared" si="216"/>
        <v>Match</v>
      </c>
      <c r="J2782" s="23" t="str">
        <f t="shared" si="217"/>
        <v>Match</v>
      </c>
      <c r="K2782" s="24">
        <f t="shared" si="218"/>
        <v>1.89</v>
      </c>
      <c r="L2782" s="24">
        <f t="shared" si="219"/>
        <v>0</v>
      </c>
    </row>
    <row r="2783" spans="1:12" ht="15" customHeight="1" x14ac:dyDescent="0.3">
      <c r="A2783" s="23" t="s">
        <v>15740</v>
      </c>
      <c r="B2783" s="23" t="s">
        <v>75</v>
      </c>
      <c r="C2783" s="39">
        <v>1499</v>
      </c>
      <c r="D2783" s="24">
        <v>0</v>
      </c>
      <c r="E2783" s="24">
        <v>0</v>
      </c>
      <c r="F2783" s="23">
        <f>COUNTIFS(mdr_rate_cleaned!$A$2:$A$10,B2783,mdr_rate_cleaned!$B$2:$B$10,"&lt;"&amp;C2783,mdr_rate_cleaned!$F$2:$F$10,"&gt;="&amp;C2783)</f>
        <v>1</v>
      </c>
      <c r="G2783" s="40">
        <f>SUMIFS(mdr_rate_cleaned!$G$2:$G$10,mdr_rate_cleaned!$A$2:$A$10,B2783,mdr_rate_cleaned!$B$2:$B$10,"&lt;"&amp;C2783,mdr_rate_cleaned!$F$2:$F$10,"&gt;="&amp;C2783)</f>
        <v>0</v>
      </c>
      <c r="H2783" s="24">
        <f t="shared" si="215"/>
        <v>0</v>
      </c>
      <c r="I2783" s="23" t="str">
        <f t="shared" si="216"/>
        <v>Match</v>
      </c>
      <c r="J2783" s="23" t="str">
        <f t="shared" si="217"/>
        <v>Match</v>
      </c>
      <c r="K2783" s="24">
        <f t="shared" si="218"/>
        <v>0</v>
      </c>
      <c r="L2783" s="24">
        <f t="shared" si="219"/>
        <v>0</v>
      </c>
    </row>
    <row r="2784" spans="1:12" ht="15" customHeight="1" x14ac:dyDescent="0.3">
      <c r="A2784" s="23" t="s">
        <v>15741</v>
      </c>
      <c r="B2784" s="23" t="s">
        <v>79</v>
      </c>
      <c r="C2784" s="39">
        <v>4999</v>
      </c>
      <c r="D2784" s="24">
        <v>79.98</v>
      </c>
      <c r="E2784" s="24">
        <v>14.4</v>
      </c>
      <c r="F2784" s="23">
        <f>COUNTIFS(mdr_rate_cleaned!$A$2:$A$10,B2784,mdr_rate_cleaned!$B$2:$B$10,"&lt;"&amp;C2784,mdr_rate_cleaned!$F$2:$F$10,"&gt;="&amp;C2784)</f>
        <v>1</v>
      </c>
      <c r="G2784" s="40">
        <f>SUMIFS(mdr_rate_cleaned!$G$2:$G$10,mdr_rate_cleaned!$A$2:$A$10,B2784,mdr_rate_cleaned!$B$2:$B$10,"&lt;"&amp;C2784,mdr_rate_cleaned!$F$2:$F$10,"&gt;="&amp;C2784)</f>
        <v>1.6E-2</v>
      </c>
      <c r="H2784" s="24">
        <f t="shared" si="215"/>
        <v>79.98</v>
      </c>
      <c r="I2784" s="23" t="str">
        <f t="shared" si="216"/>
        <v>Match</v>
      </c>
      <c r="J2784" s="23" t="str">
        <f t="shared" si="217"/>
        <v>Match</v>
      </c>
      <c r="K2784" s="24">
        <f t="shared" si="218"/>
        <v>14.4</v>
      </c>
      <c r="L2784" s="24">
        <f t="shared" si="219"/>
        <v>0</v>
      </c>
    </row>
    <row r="2785" spans="1:12" ht="15" customHeight="1" x14ac:dyDescent="0.3">
      <c r="A2785" s="23" t="s">
        <v>15743</v>
      </c>
      <c r="B2785" s="23" t="s">
        <v>79</v>
      </c>
      <c r="C2785" s="39">
        <v>6797</v>
      </c>
      <c r="D2785" s="24">
        <v>108.75</v>
      </c>
      <c r="E2785" s="24">
        <v>19.579999999999998</v>
      </c>
      <c r="F2785" s="23">
        <f>COUNTIFS(mdr_rate_cleaned!$A$2:$A$10,B2785,mdr_rate_cleaned!$B$2:$B$10,"&lt;"&amp;C2785,mdr_rate_cleaned!$F$2:$F$10,"&gt;="&amp;C2785)</f>
        <v>1</v>
      </c>
      <c r="G2785" s="40">
        <f>SUMIFS(mdr_rate_cleaned!$G$2:$G$10,mdr_rate_cleaned!$A$2:$A$10,B2785,mdr_rate_cleaned!$B$2:$B$10,"&lt;"&amp;C2785,mdr_rate_cleaned!$F$2:$F$10,"&gt;="&amp;C2785)</f>
        <v>1.6E-2</v>
      </c>
      <c r="H2785" s="24">
        <f t="shared" si="215"/>
        <v>108.75</v>
      </c>
      <c r="I2785" s="23" t="str">
        <f t="shared" si="216"/>
        <v>Match</v>
      </c>
      <c r="J2785" s="23" t="str">
        <f t="shared" si="217"/>
        <v>Match</v>
      </c>
      <c r="K2785" s="24">
        <f t="shared" si="218"/>
        <v>19.579999999999998</v>
      </c>
      <c r="L2785" s="24">
        <f t="shared" si="219"/>
        <v>0</v>
      </c>
    </row>
    <row r="2786" spans="1:12" ht="15" customHeight="1" x14ac:dyDescent="0.3">
      <c r="A2786" s="23" t="s">
        <v>15744</v>
      </c>
      <c r="B2786" s="23" t="s">
        <v>75</v>
      </c>
      <c r="C2786" s="39">
        <v>3598</v>
      </c>
      <c r="D2786" s="24">
        <v>10.79</v>
      </c>
      <c r="E2786" s="24">
        <v>1.94</v>
      </c>
      <c r="F2786" s="23">
        <f>COUNTIFS(mdr_rate_cleaned!$A$2:$A$10,B2786,mdr_rate_cleaned!$B$2:$B$10,"&lt;"&amp;C2786,mdr_rate_cleaned!$F$2:$F$10,"&gt;="&amp;C2786)</f>
        <v>1</v>
      </c>
      <c r="G2786" s="40">
        <f>SUMIFS(mdr_rate_cleaned!$G$2:$G$10,mdr_rate_cleaned!$A$2:$A$10,B2786,mdr_rate_cleaned!$B$2:$B$10,"&lt;"&amp;C2786,mdr_rate_cleaned!$F$2:$F$10,"&gt;="&amp;C2786)</f>
        <v>3.0000000000000001E-3</v>
      </c>
      <c r="H2786" s="24">
        <f t="shared" si="215"/>
        <v>10.79</v>
      </c>
      <c r="I2786" s="23" t="str">
        <f t="shared" si="216"/>
        <v>Match</v>
      </c>
      <c r="J2786" s="23" t="str">
        <f t="shared" si="217"/>
        <v>Match</v>
      </c>
      <c r="K2786" s="24">
        <f t="shared" si="218"/>
        <v>1.94</v>
      </c>
      <c r="L2786" s="24">
        <f t="shared" si="219"/>
        <v>0</v>
      </c>
    </row>
    <row r="2787" spans="1:12" ht="15" customHeight="1" x14ac:dyDescent="0.3">
      <c r="A2787" s="23" t="s">
        <v>15745</v>
      </c>
      <c r="B2787" s="23" t="s">
        <v>75</v>
      </c>
      <c r="C2787" s="39">
        <v>1697</v>
      </c>
      <c r="D2787" s="24">
        <v>0</v>
      </c>
      <c r="E2787" s="24">
        <v>0</v>
      </c>
      <c r="F2787" s="23">
        <f>COUNTIFS(mdr_rate_cleaned!$A$2:$A$10,B2787,mdr_rate_cleaned!$B$2:$B$10,"&lt;"&amp;C2787,mdr_rate_cleaned!$F$2:$F$10,"&gt;="&amp;C2787)</f>
        <v>1</v>
      </c>
      <c r="G2787" s="40">
        <f>SUMIFS(mdr_rate_cleaned!$G$2:$G$10,mdr_rate_cleaned!$A$2:$A$10,B2787,mdr_rate_cleaned!$B$2:$B$10,"&lt;"&amp;C2787,mdr_rate_cleaned!$F$2:$F$10,"&gt;="&amp;C2787)</f>
        <v>0</v>
      </c>
      <c r="H2787" s="24">
        <f t="shared" si="215"/>
        <v>0</v>
      </c>
      <c r="I2787" s="23" t="str">
        <f t="shared" si="216"/>
        <v>Match</v>
      </c>
      <c r="J2787" s="23" t="str">
        <f t="shared" si="217"/>
        <v>Match</v>
      </c>
      <c r="K2787" s="24">
        <f t="shared" si="218"/>
        <v>0</v>
      </c>
      <c r="L2787" s="24">
        <f t="shared" si="219"/>
        <v>0</v>
      </c>
    </row>
    <row r="2788" spans="1:12" ht="15" customHeight="1" x14ac:dyDescent="0.3">
      <c r="A2788" s="23" t="s">
        <v>15747</v>
      </c>
      <c r="B2788" s="23" t="s">
        <v>81</v>
      </c>
      <c r="C2788" s="39">
        <v>5998</v>
      </c>
      <c r="D2788" s="24">
        <v>71.98</v>
      </c>
      <c r="E2788" s="24">
        <v>12.96</v>
      </c>
      <c r="F2788" s="23">
        <f>COUNTIFS(mdr_rate_cleaned!$A$2:$A$10,B2788,mdr_rate_cleaned!$B$2:$B$10,"&lt;"&amp;C2788,mdr_rate_cleaned!$F$2:$F$10,"&gt;="&amp;C2788)</f>
        <v>1</v>
      </c>
      <c r="G2788" s="40">
        <f>SUMIFS(mdr_rate_cleaned!$G$2:$G$10,mdr_rate_cleaned!$A$2:$A$10,B2788,mdr_rate_cleaned!$B$2:$B$10,"&lt;"&amp;C2788,mdr_rate_cleaned!$F$2:$F$10,"&gt;="&amp;C2788)</f>
        <v>1.2E-2</v>
      </c>
      <c r="H2788" s="24">
        <f t="shared" si="215"/>
        <v>71.98</v>
      </c>
      <c r="I2788" s="23" t="str">
        <f t="shared" si="216"/>
        <v>Match</v>
      </c>
      <c r="J2788" s="23" t="str">
        <f t="shared" si="217"/>
        <v>Match</v>
      </c>
      <c r="K2788" s="24">
        <f t="shared" si="218"/>
        <v>12.96</v>
      </c>
      <c r="L2788" s="24">
        <f t="shared" si="219"/>
        <v>0</v>
      </c>
    </row>
    <row r="2789" spans="1:12" ht="15" customHeight="1" x14ac:dyDescent="0.3">
      <c r="A2789" s="23" t="s">
        <v>15748</v>
      </c>
      <c r="B2789" s="23" t="s">
        <v>77</v>
      </c>
      <c r="C2789" s="39">
        <v>698</v>
      </c>
      <c r="D2789" s="24">
        <v>13.26</v>
      </c>
      <c r="E2789" s="24">
        <v>2.39</v>
      </c>
      <c r="F2789" s="23">
        <f>COUNTIFS(mdr_rate_cleaned!$A$2:$A$10,B2789,mdr_rate_cleaned!$B$2:$B$10,"&lt;"&amp;C2789,mdr_rate_cleaned!$F$2:$F$10,"&gt;="&amp;C2789)</f>
        <v>1</v>
      </c>
      <c r="G2789" s="40">
        <f>SUMIFS(mdr_rate_cleaned!$G$2:$G$10,mdr_rate_cleaned!$A$2:$A$10,B2789,mdr_rate_cleaned!$B$2:$B$10,"&lt;"&amp;C2789,mdr_rate_cleaned!$F$2:$F$10,"&gt;="&amp;C2789)</f>
        <v>1.9E-2</v>
      </c>
      <c r="H2789" s="24">
        <f t="shared" si="215"/>
        <v>13.26</v>
      </c>
      <c r="I2789" s="23" t="str">
        <f t="shared" si="216"/>
        <v>Match</v>
      </c>
      <c r="J2789" s="23" t="str">
        <f t="shared" si="217"/>
        <v>Match</v>
      </c>
      <c r="K2789" s="24">
        <f t="shared" si="218"/>
        <v>2.39</v>
      </c>
      <c r="L2789" s="24">
        <f t="shared" si="219"/>
        <v>0</v>
      </c>
    </row>
    <row r="2790" spans="1:12" ht="15" customHeight="1" x14ac:dyDescent="0.3">
      <c r="A2790" s="23" t="s">
        <v>15749</v>
      </c>
      <c r="B2790" s="23" t="s">
        <v>77</v>
      </c>
      <c r="C2790" s="39">
        <v>1499</v>
      </c>
      <c r="D2790" s="24">
        <v>28.48</v>
      </c>
      <c r="E2790" s="24">
        <v>5.13</v>
      </c>
      <c r="F2790" s="23">
        <f>COUNTIFS(mdr_rate_cleaned!$A$2:$A$10,B2790,mdr_rate_cleaned!$B$2:$B$10,"&lt;"&amp;C2790,mdr_rate_cleaned!$F$2:$F$10,"&gt;="&amp;C2790)</f>
        <v>1</v>
      </c>
      <c r="G2790" s="40">
        <f>SUMIFS(mdr_rate_cleaned!$G$2:$G$10,mdr_rate_cleaned!$A$2:$A$10,B2790,mdr_rate_cleaned!$B$2:$B$10,"&lt;"&amp;C2790,mdr_rate_cleaned!$F$2:$F$10,"&gt;="&amp;C2790)</f>
        <v>1.9E-2</v>
      </c>
      <c r="H2790" s="24">
        <f t="shared" si="215"/>
        <v>28.48</v>
      </c>
      <c r="I2790" s="23" t="str">
        <f t="shared" si="216"/>
        <v>Match</v>
      </c>
      <c r="J2790" s="23" t="str">
        <f t="shared" si="217"/>
        <v>Match</v>
      </c>
      <c r="K2790" s="24">
        <f t="shared" si="218"/>
        <v>5.13</v>
      </c>
      <c r="L2790" s="24">
        <f t="shared" si="219"/>
        <v>0</v>
      </c>
    </row>
    <row r="2791" spans="1:12" ht="15" customHeight="1" x14ac:dyDescent="0.3">
      <c r="A2791" s="23" t="s">
        <v>15750</v>
      </c>
      <c r="B2791" s="23" t="s">
        <v>75</v>
      </c>
      <c r="C2791" s="39">
        <v>1648</v>
      </c>
      <c r="D2791" s="24">
        <v>0</v>
      </c>
      <c r="E2791" s="24">
        <v>0</v>
      </c>
      <c r="F2791" s="23">
        <f>COUNTIFS(mdr_rate_cleaned!$A$2:$A$10,B2791,mdr_rate_cleaned!$B$2:$B$10,"&lt;"&amp;C2791,mdr_rate_cleaned!$F$2:$F$10,"&gt;="&amp;C2791)</f>
        <v>1</v>
      </c>
      <c r="G2791" s="40">
        <f>SUMIFS(mdr_rate_cleaned!$G$2:$G$10,mdr_rate_cleaned!$A$2:$A$10,B2791,mdr_rate_cleaned!$B$2:$B$10,"&lt;"&amp;C2791,mdr_rate_cleaned!$F$2:$F$10,"&gt;="&amp;C2791)</f>
        <v>0</v>
      </c>
      <c r="H2791" s="24">
        <f t="shared" si="215"/>
        <v>0</v>
      </c>
      <c r="I2791" s="23" t="str">
        <f t="shared" si="216"/>
        <v>Match</v>
      </c>
      <c r="J2791" s="23" t="str">
        <f t="shared" si="217"/>
        <v>Match</v>
      </c>
      <c r="K2791" s="24">
        <f t="shared" si="218"/>
        <v>0</v>
      </c>
      <c r="L2791" s="24">
        <f t="shared" si="219"/>
        <v>0</v>
      </c>
    </row>
    <row r="2792" spans="1:12" ht="15" customHeight="1" x14ac:dyDescent="0.3">
      <c r="A2792" s="23" t="s">
        <v>15764</v>
      </c>
      <c r="B2792" s="23" t="s">
        <v>75</v>
      </c>
      <c r="C2792" s="39">
        <v>1098</v>
      </c>
      <c r="D2792" s="24">
        <v>0</v>
      </c>
      <c r="E2792" s="24">
        <v>0</v>
      </c>
      <c r="F2792" s="23">
        <f>COUNTIFS(mdr_rate_cleaned!$A$2:$A$10,B2792,mdr_rate_cleaned!$B$2:$B$10,"&lt;"&amp;C2792,mdr_rate_cleaned!$F$2:$F$10,"&gt;="&amp;C2792)</f>
        <v>1</v>
      </c>
      <c r="G2792" s="40">
        <f>SUMIFS(mdr_rate_cleaned!$G$2:$G$10,mdr_rate_cleaned!$A$2:$A$10,B2792,mdr_rate_cleaned!$B$2:$B$10,"&lt;"&amp;C2792,mdr_rate_cleaned!$F$2:$F$10,"&gt;="&amp;C2792)</f>
        <v>0</v>
      </c>
      <c r="H2792" s="24">
        <f t="shared" si="215"/>
        <v>0</v>
      </c>
      <c r="I2792" s="23" t="str">
        <f t="shared" si="216"/>
        <v>Match</v>
      </c>
      <c r="J2792" s="23" t="str">
        <f t="shared" si="217"/>
        <v>Match</v>
      </c>
      <c r="K2792" s="24">
        <f t="shared" si="218"/>
        <v>0</v>
      </c>
      <c r="L2792" s="24">
        <f t="shared" si="219"/>
        <v>0</v>
      </c>
    </row>
    <row r="2793" spans="1:12" ht="15" customHeight="1" x14ac:dyDescent="0.3">
      <c r="A2793" s="23" t="s">
        <v>15766</v>
      </c>
      <c r="B2793" s="23" t="s">
        <v>75</v>
      </c>
      <c r="C2793" s="39">
        <v>349</v>
      </c>
      <c r="D2793" s="24">
        <v>0</v>
      </c>
      <c r="E2793" s="24">
        <v>0</v>
      </c>
      <c r="F2793" s="23">
        <f>COUNTIFS(mdr_rate_cleaned!$A$2:$A$10,B2793,mdr_rate_cleaned!$B$2:$B$10,"&lt;"&amp;C2793,mdr_rate_cleaned!$F$2:$F$10,"&gt;="&amp;C2793)</f>
        <v>1</v>
      </c>
      <c r="G2793" s="40">
        <f>SUMIFS(mdr_rate_cleaned!$G$2:$G$10,mdr_rate_cleaned!$A$2:$A$10,B2793,mdr_rate_cleaned!$B$2:$B$10,"&lt;"&amp;C2793,mdr_rate_cleaned!$F$2:$F$10,"&gt;="&amp;C2793)</f>
        <v>0</v>
      </c>
      <c r="H2793" s="24">
        <f t="shared" si="215"/>
        <v>0</v>
      </c>
      <c r="I2793" s="23" t="str">
        <f t="shared" si="216"/>
        <v>Match</v>
      </c>
      <c r="J2793" s="23" t="str">
        <f t="shared" si="217"/>
        <v>Match</v>
      </c>
      <c r="K2793" s="24">
        <f t="shared" si="218"/>
        <v>0</v>
      </c>
      <c r="L2793" s="24">
        <f t="shared" si="219"/>
        <v>0</v>
      </c>
    </row>
    <row r="2794" spans="1:12" ht="15" customHeight="1" x14ac:dyDescent="0.3">
      <c r="A2794" s="23" t="s">
        <v>15767</v>
      </c>
      <c r="B2794" s="23" t="s">
        <v>79</v>
      </c>
      <c r="C2794" s="39">
        <v>4298</v>
      </c>
      <c r="D2794" s="24">
        <v>68.77</v>
      </c>
      <c r="E2794" s="24">
        <v>12.38</v>
      </c>
      <c r="F2794" s="23">
        <f>COUNTIFS(mdr_rate_cleaned!$A$2:$A$10,B2794,mdr_rate_cleaned!$B$2:$B$10,"&lt;"&amp;C2794,mdr_rate_cleaned!$F$2:$F$10,"&gt;="&amp;C2794)</f>
        <v>1</v>
      </c>
      <c r="G2794" s="40">
        <f>SUMIFS(mdr_rate_cleaned!$G$2:$G$10,mdr_rate_cleaned!$A$2:$A$10,B2794,mdr_rate_cleaned!$B$2:$B$10,"&lt;"&amp;C2794,mdr_rate_cleaned!$F$2:$F$10,"&gt;="&amp;C2794)</f>
        <v>1.6E-2</v>
      </c>
      <c r="H2794" s="24">
        <f t="shared" si="215"/>
        <v>68.77</v>
      </c>
      <c r="I2794" s="23" t="str">
        <f t="shared" si="216"/>
        <v>Match</v>
      </c>
      <c r="J2794" s="23" t="str">
        <f t="shared" si="217"/>
        <v>Match</v>
      </c>
      <c r="K2794" s="24">
        <f t="shared" si="218"/>
        <v>12.38</v>
      </c>
      <c r="L2794" s="24">
        <f t="shared" si="219"/>
        <v>0</v>
      </c>
    </row>
    <row r="2795" spans="1:12" ht="15" customHeight="1" x14ac:dyDescent="0.3">
      <c r="A2795" s="23" t="s">
        <v>15768</v>
      </c>
      <c r="B2795" s="23" t="s">
        <v>77</v>
      </c>
      <c r="C2795" s="39">
        <v>1499</v>
      </c>
      <c r="D2795" s="24">
        <v>28.48</v>
      </c>
      <c r="E2795" s="24">
        <v>5.13</v>
      </c>
      <c r="F2795" s="23">
        <f>COUNTIFS(mdr_rate_cleaned!$A$2:$A$10,B2795,mdr_rate_cleaned!$B$2:$B$10,"&lt;"&amp;C2795,mdr_rate_cleaned!$F$2:$F$10,"&gt;="&amp;C2795)</f>
        <v>1</v>
      </c>
      <c r="G2795" s="40">
        <f>SUMIFS(mdr_rate_cleaned!$G$2:$G$10,mdr_rate_cleaned!$A$2:$A$10,B2795,mdr_rate_cleaned!$B$2:$B$10,"&lt;"&amp;C2795,mdr_rate_cleaned!$F$2:$F$10,"&gt;="&amp;C2795)</f>
        <v>1.9E-2</v>
      </c>
      <c r="H2795" s="24">
        <f t="shared" si="215"/>
        <v>28.48</v>
      </c>
      <c r="I2795" s="23" t="str">
        <f t="shared" si="216"/>
        <v>Match</v>
      </c>
      <c r="J2795" s="23" t="str">
        <f t="shared" si="217"/>
        <v>Match</v>
      </c>
      <c r="K2795" s="24">
        <f t="shared" si="218"/>
        <v>5.13</v>
      </c>
      <c r="L2795" s="24">
        <f t="shared" si="219"/>
        <v>0</v>
      </c>
    </row>
    <row r="2796" spans="1:12" ht="15" customHeight="1" x14ac:dyDescent="0.3">
      <c r="A2796" s="23" t="s">
        <v>15770</v>
      </c>
      <c r="B2796" s="23" t="s">
        <v>75</v>
      </c>
      <c r="C2796" s="39">
        <v>3998</v>
      </c>
      <c r="D2796" s="24">
        <v>11.99</v>
      </c>
      <c r="E2796" s="24">
        <v>2.16</v>
      </c>
      <c r="F2796" s="23">
        <f>COUNTIFS(mdr_rate_cleaned!$A$2:$A$10,B2796,mdr_rate_cleaned!$B$2:$B$10,"&lt;"&amp;C2796,mdr_rate_cleaned!$F$2:$F$10,"&gt;="&amp;C2796)</f>
        <v>1</v>
      </c>
      <c r="G2796" s="40">
        <f>SUMIFS(mdr_rate_cleaned!$G$2:$G$10,mdr_rate_cleaned!$A$2:$A$10,B2796,mdr_rate_cleaned!$B$2:$B$10,"&lt;"&amp;C2796,mdr_rate_cleaned!$F$2:$F$10,"&gt;="&amp;C2796)</f>
        <v>3.0000000000000001E-3</v>
      </c>
      <c r="H2796" s="24">
        <f t="shared" si="215"/>
        <v>11.99</v>
      </c>
      <c r="I2796" s="23" t="str">
        <f t="shared" si="216"/>
        <v>Match</v>
      </c>
      <c r="J2796" s="23" t="str">
        <f t="shared" si="217"/>
        <v>Match</v>
      </c>
      <c r="K2796" s="24">
        <f t="shared" si="218"/>
        <v>2.16</v>
      </c>
      <c r="L2796" s="24">
        <f t="shared" si="219"/>
        <v>0</v>
      </c>
    </row>
    <row r="2797" spans="1:12" ht="15" customHeight="1" x14ac:dyDescent="0.3">
      <c r="A2797" s="23" t="s">
        <v>15771</v>
      </c>
      <c r="B2797" s="23" t="s">
        <v>79</v>
      </c>
      <c r="C2797" s="39">
        <v>599</v>
      </c>
      <c r="D2797" s="24">
        <v>10.78</v>
      </c>
      <c r="E2797" s="24">
        <v>1.94</v>
      </c>
      <c r="F2797" s="23">
        <f>COUNTIFS(mdr_rate_cleaned!$A$2:$A$10,B2797,mdr_rate_cleaned!$B$2:$B$10,"&lt;"&amp;C2797,mdr_rate_cleaned!$F$2:$F$10,"&gt;="&amp;C2797)</f>
        <v>1</v>
      </c>
      <c r="G2797" s="40">
        <f>SUMIFS(mdr_rate_cleaned!$G$2:$G$10,mdr_rate_cleaned!$A$2:$A$10,B2797,mdr_rate_cleaned!$B$2:$B$10,"&lt;"&amp;C2797,mdr_rate_cleaned!$F$2:$F$10,"&gt;="&amp;C2797)</f>
        <v>1.8000000000000002E-2</v>
      </c>
      <c r="H2797" s="24">
        <f t="shared" si="215"/>
        <v>10.78</v>
      </c>
      <c r="I2797" s="23" t="str">
        <f t="shared" si="216"/>
        <v>Match</v>
      </c>
      <c r="J2797" s="23" t="str">
        <f t="shared" si="217"/>
        <v>Match</v>
      </c>
      <c r="K2797" s="24">
        <f t="shared" si="218"/>
        <v>1.94</v>
      </c>
      <c r="L2797" s="24">
        <f t="shared" si="219"/>
        <v>0</v>
      </c>
    </row>
    <row r="2798" spans="1:12" ht="15" customHeight="1" x14ac:dyDescent="0.3">
      <c r="A2798" s="23" t="s">
        <v>15772</v>
      </c>
      <c r="B2798" s="23" t="s">
        <v>75</v>
      </c>
      <c r="C2798" s="39">
        <v>599</v>
      </c>
      <c r="D2798" s="24">
        <v>0</v>
      </c>
      <c r="E2798" s="24">
        <v>0</v>
      </c>
      <c r="F2798" s="23">
        <f>COUNTIFS(mdr_rate_cleaned!$A$2:$A$10,B2798,mdr_rate_cleaned!$B$2:$B$10,"&lt;"&amp;C2798,mdr_rate_cleaned!$F$2:$F$10,"&gt;="&amp;C2798)</f>
        <v>1</v>
      </c>
      <c r="G2798" s="40">
        <f>SUMIFS(mdr_rate_cleaned!$G$2:$G$10,mdr_rate_cleaned!$A$2:$A$10,B2798,mdr_rate_cleaned!$B$2:$B$10,"&lt;"&amp;C2798,mdr_rate_cleaned!$F$2:$F$10,"&gt;="&amp;C2798)</f>
        <v>0</v>
      </c>
      <c r="H2798" s="24">
        <f t="shared" si="215"/>
        <v>0</v>
      </c>
      <c r="I2798" s="23" t="str">
        <f t="shared" si="216"/>
        <v>Match</v>
      </c>
      <c r="J2798" s="23" t="str">
        <f t="shared" si="217"/>
        <v>Match</v>
      </c>
      <c r="K2798" s="24">
        <f t="shared" si="218"/>
        <v>0</v>
      </c>
      <c r="L2798" s="24">
        <f t="shared" si="219"/>
        <v>0</v>
      </c>
    </row>
    <row r="2799" spans="1:12" ht="15" customHeight="1" x14ac:dyDescent="0.3">
      <c r="A2799" s="23" t="s">
        <v>15773</v>
      </c>
      <c r="B2799" s="23" t="s">
        <v>81</v>
      </c>
      <c r="C2799" s="39">
        <v>2798</v>
      </c>
      <c r="D2799" s="24">
        <v>33.58</v>
      </c>
      <c r="E2799" s="24">
        <v>6.04</v>
      </c>
      <c r="F2799" s="23">
        <f>COUNTIFS(mdr_rate_cleaned!$A$2:$A$10,B2799,mdr_rate_cleaned!$B$2:$B$10,"&lt;"&amp;C2799,mdr_rate_cleaned!$F$2:$F$10,"&gt;="&amp;C2799)</f>
        <v>1</v>
      </c>
      <c r="G2799" s="40">
        <f>SUMIFS(mdr_rate_cleaned!$G$2:$G$10,mdr_rate_cleaned!$A$2:$A$10,B2799,mdr_rate_cleaned!$B$2:$B$10,"&lt;"&amp;C2799,mdr_rate_cleaned!$F$2:$F$10,"&gt;="&amp;C2799)</f>
        <v>1.2E-2</v>
      </c>
      <c r="H2799" s="24">
        <f t="shared" si="215"/>
        <v>33.58</v>
      </c>
      <c r="I2799" s="23" t="str">
        <f t="shared" si="216"/>
        <v>Match</v>
      </c>
      <c r="J2799" s="23" t="str">
        <f t="shared" si="217"/>
        <v>Match</v>
      </c>
      <c r="K2799" s="24">
        <f t="shared" si="218"/>
        <v>6.04</v>
      </c>
      <c r="L2799" s="24">
        <f t="shared" si="219"/>
        <v>0</v>
      </c>
    </row>
    <row r="2800" spans="1:12" ht="15" customHeight="1" x14ac:dyDescent="0.3">
      <c r="A2800" s="23" t="s">
        <v>15775</v>
      </c>
      <c r="B2800" s="23" t="s">
        <v>75</v>
      </c>
      <c r="C2800" s="39">
        <v>349</v>
      </c>
      <c r="D2800" s="24">
        <v>0</v>
      </c>
      <c r="E2800" s="24">
        <v>0</v>
      </c>
      <c r="F2800" s="23">
        <f>COUNTIFS(mdr_rate_cleaned!$A$2:$A$10,B2800,mdr_rate_cleaned!$B$2:$B$10,"&lt;"&amp;C2800,mdr_rate_cleaned!$F$2:$F$10,"&gt;="&amp;C2800)</f>
        <v>1</v>
      </c>
      <c r="G2800" s="40">
        <f>SUMIFS(mdr_rate_cleaned!$G$2:$G$10,mdr_rate_cleaned!$A$2:$A$10,B2800,mdr_rate_cleaned!$B$2:$B$10,"&lt;"&amp;C2800,mdr_rate_cleaned!$F$2:$F$10,"&gt;="&amp;C2800)</f>
        <v>0</v>
      </c>
      <c r="H2800" s="24">
        <f t="shared" si="215"/>
        <v>0</v>
      </c>
      <c r="I2800" s="23" t="str">
        <f t="shared" si="216"/>
        <v>Match</v>
      </c>
      <c r="J2800" s="23" t="str">
        <f t="shared" si="217"/>
        <v>Match</v>
      </c>
      <c r="K2800" s="24">
        <f t="shared" si="218"/>
        <v>0</v>
      </c>
      <c r="L2800" s="24">
        <f t="shared" si="219"/>
        <v>0</v>
      </c>
    </row>
    <row r="2801" spans="1:12" ht="15" customHeight="1" x14ac:dyDescent="0.3">
      <c r="A2801" s="23" t="s">
        <v>15776</v>
      </c>
      <c r="B2801" s="23" t="s">
        <v>75</v>
      </c>
      <c r="C2801" s="39">
        <v>799</v>
      </c>
      <c r="D2801" s="24">
        <v>0</v>
      </c>
      <c r="E2801" s="24">
        <v>0</v>
      </c>
      <c r="F2801" s="23">
        <f>COUNTIFS(mdr_rate_cleaned!$A$2:$A$10,B2801,mdr_rate_cleaned!$B$2:$B$10,"&lt;"&amp;C2801,mdr_rate_cleaned!$F$2:$F$10,"&gt;="&amp;C2801)</f>
        <v>1</v>
      </c>
      <c r="G2801" s="40">
        <f>SUMIFS(mdr_rate_cleaned!$G$2:$G$10,mdr_rate_cleaned!$A$2:$A$10,B2801,mdr_rate_cleaned!$B$2:$B$10,"&lt;"&amp;C2801,mdr_rate_cleaned!$F$2:$F$10,"&gt;="&amp;C2801)</f>
        <v>0</v>
      </c>
      <c r="H2801" s="24">
        <f t="shared" si="215"/>
        <v>0</v>
      </c>
      <c r="I2801" s="23" t="str">
        <f t="shared" si="216"/>
        <v>Match</v>
      </c>
      <c r="J2801" s="23" t="str">
        <f t="shared" si="217"/>
        <v>Match</v>
      </c>
      <c r="K2801" s="24">
        <f t="shared" si="218"/>
        <v>0</v>
      </c>
      <c r="L2801" s="24">
        <f t="shared" si="219"/>
        <v>0</v>
      </c>
    </row>
    <row r="2802" spans="1:12" ht="15" customHeight="1" x14ac:dyDescent="0.3">
      <c r="A2802" s="23" t="s">
        <v>15777</v>
      </c>
      <c r="B2802" s="23" t="s">
        <v>75</v>
      </c>
      <c r="C2802" s="39">
        <v>2499</v>
      </c>
      <c r="D2802" s="24">
        <v>7.5</v>
      </c>
      <c r="E2802" s="24">
        <v>1.35</v>
      </c>
      <c r="F2802" s="23">
        <f>COUNTIFS(mdr_rate_cleaned!$A$2:$A$10,B2802,mdr_rate_cleaned!$B$2:$B$10,"&lt;"&amp;C2802,mdr_rate_cleaned!$F$2:$F$10,"&gt;="&amp;C2802)</f>
        <v>1</v>
      </c>
      <c r="G2802" s="40">
        <f>SUMIFS(mdr_rate_cleaned!$G$2:$G$10,mdr_rate_cleaned!$A$2:$A$10,B2802,mdr_rate_cleaned!$B$2:$B$10,"&lt;"&amp;C2802,mdr_rate_cleaned!$F$2:$F$10,"&gt;="&amp;C2802)</f>
        <v>3.0000000000000001E-3</v>
      </c>
      <c r="H2802" s="24">
        <f t="shared" si="215"/>
        <v>7.5</v>
      </c>
      <c r="I2802" s="23" t="str">
        <f t="shared" si="216"/>
        <v>Match</v>
      </c>
      <c r="J2802" s="23" t="str">
        <f t="shared" si="217"/>
        <v>Match</v>
      </c>
      <c r="K2802" s="24">
        <f t="shared" si="218"/>
        <v>1.35</v>
      </c>
      <c r="L2802" s="24">
        <f t="shared" si="219"/>
        <v>0</v>
      </c>
    </row>
    <row r="2803" spans="1:12" ht="15" customHeight="1" x14ac:dyDescent="0.3">
      <c r="A2803" s="23" t="s">
        <v>15778</v>
      </c>
      <c r="B2803" s="23" t="s">
        <v>79</v>
      </c>
      <c r="C2803" s="39">
        <v>1799</v>
      </c>
      <c r="D2803" s="24">
        <v>32.380000000000003</v>
      </c>
      <c r="E2803" s="24">
        <v>5.83</v>
      </c>
      <c r="F2803" s="23">
        <f>COUNTIFS(mdr_rate_cleaned!$A$2:$A$10,B2803,mdr_rate_cleaned!$B$2:$B$10,"&lt;"&amp;C2803,mdr_rate_cleaned!$F$2:$F$10,"&gt;="&amp;C2803)</f>
        <v>1</v>
      </c>
      <c r="G2803" s="40">
        <f>SUMIFS(mdr_rate_cleaned!$G$2:$G$10,mdr_rate_cleaned!$A$2:$A$10,B2803,mdr_rate_cleaned!$B$2:$B$10,"&lt;"&amp;C2803,mdr_rate_cleaned!$F$2:$F$10,"&gt;="&amp;C2803)</f>
        <v>1.8000000000000002E-2</v>
      </c>
      <c r="H2803" s="24">
        <f t="shared" si="215"/>
        <v>32.380000000000003</v>
      </c>
      <c r="I2803" s="23" t="str">
        <f t="shared" si="216"/>
        <v>Match</v>
      </c>
      <c r="J2803" s="23" t="str">
        <f t="shared" si="217"/>
        <v>Match</v>
      </c>
      <c r="K2803" s="24">
        <f t="shared" si="218"/>
        <v>5.83</v>
      </c>
      <c r="L2803" s="24">
        <f t="shared" si="219"/>
        <v>0</v>
      </c>
    </row>
    <row r="2804" spans="1:12" ht="15" customHeight="1" x14ac:dyDescent="0.3">
      <c r="A2804" s="23" t="s">
        <v>15779</v>
      </c>
      <c r="B2804" s="23" t="s">
        <v>79</v>
      </c>
      <c r="C2804" s="39">
        <v>999</v>
      </c>
      <c r="D2804" s="24">
        <v>17.98</v>
      </c>
      <c r="E2804" s="24">
        <v>3.24</v>
      </c>
      <c r="F2804" s="23">
        <f>COUNTIFS(mdr_rate_cleaned!$A$2:$A$10,B2804,mdr_rate_cleaned!$B$2:$B$10,"&lt;"&amp;C2804,mdr_rate_cleaned!$F$2:$F$10,"&gt;="&amp;C2804)</f>
        <v>1</v>
      </c>
      <c r="G2804" s="40">
        <f>SUMIFS(mdr_rate_cleaned!$G$2:$G$10,mdr_rate_cleaned!$A$2:$A$10,B2804,mdr_rate_cleaned!$B$2:$B$10,"&lt;"&amp;C2804,mdr_rate_cleaned!$F$2:$F$10,"&gt;="&amp;C2804)</f>
        <v>1.8000000000000002E-2</v>
      </c>
      <c r="H2804" s="24">
        <f t="shared" si="215"/>
        <v>17.98</v>
      </c>
      <c r="I2804" s="23" t="str">
        <f t="shared" si="216"/>
        <v>Match</v>
      </c>
      <c r="J2804" s="23" t="str">
        <f t="shared" si="217"/>
        <v>Match</v>
      </c>
      <c r="K2804" s="24">
        <f t="shared" si="218"/>
        <v>3.24</v>
      </c>
      <c r="L2804" s="24">
        <f t="shared" si="219"/>
        <v>0</v>
      </c>
    </row>
    <row r="2805" spans="1:12" ht="15" customHeight="1" x14ac:dyDescent="0.3">
      <c r="A2805" s="23" t="s">
        <v>15780</v>
      </c>
      <c r="B2805" s="23" t="s">
        <v>75</v>
      </c>
      <c r="C2805" s="39">
        <v>598</v>
      </c>
      <c r="D2805" s="24">
        <v>0</v>
      </c>
      <c r="E2805" s="24">
        <v>0</v>
      </c>
      <c r="F2805" s="23">
        <f>COUNTIFS(mdr_rate_cleaned!$A$2:$A$10,B2805,mdr_rate_cleaned!$B$2:$B$10,"&lt;"&amp;C2805,mdr_rate_cleaned!$F$2:$F$10,"&gt;="&amp;C2805)</f>
        <v>1</v>
      </c>
      <c r="G2805" s="40">
        <f>SUMIFS(mdr_rate_cleaned!$G$2:$G$10,mdr_rate_cleaned!$A$2:$A$10,B2805,mdr_rate_cleaned!$B$2:$B$10,"&lt;"&amp;C2805,mdr_rate_cleaned!$F$2:$F$10,"&gt;="&amp;C2805)</f>
        <v>0</v>
      </c>
      <c r="H2805" s="24">
        <f t="shared" si="215"/>
        <v>0</v>
      </c>
      <c r="I2805" s="23" t="str">
        <f t="shared" si="216"/>
        <v>Match</v>
      </c>
      <c r="J2805" s="23" t="str">
        <f t="shared" si="217"/>
        <v>Match</v>
      </c>
      <c r="K2805" s="24">
        <f t="shared" si="218"/>
        <v>0</v>
      </c>
      <c r="L2805" s="24">
        <f t="shared" si="219"/>
        <v>0</v>
      </c>
    </row>
    <row r="2806" spans="1:12" ht="15" customHeight="1" x14ac:dyDescent="0.3">
      <c r="A2806" s="23" t="s">
        <v>15781</v>
      </c>
      <c r="B2806" s="23" t="s">
        <v>75</v>
      </c>
      <c r="C2806" s="39">
        <v>1898</v>
      </c>
      <c r="D2806" s="24">
        <v>0</v>
      </c>
      <c r="E2806" s="24">
        <v>0</v>
      </c>
      <c r="F2806" s="23">
        <f>COUNTIFS(mdr_rate_cleaned!$A$2:$A$10,B2806,mdr_rate_cleaned!$B$2:$B$10,"&lt;"&amp;C2806,mdr_rate_cleaned!$F$2:$F$10,"&gt;="&amp;C2806)</f>
        <v>1</v>
      </c>
      <c r="G2806" s="40">
        <f>SUMIFS(mdr_rate_cleaned!$G$2:$G$10,mdr_rate_cleaned!$A$2:$A$10,B2806,mdr_rate_cleaned!$B$2:$B$10,"&lt;"&amp;C2806,mdr_rate_cleaned!$F$2:$F$10,"&gt;="&amp;C2806)</f>
        <v>0</v>
      </c>
      <c r="H2806" s="24">
        <f t="shared" si="215"/>
        <v>0</v>
      </c>
      <c r="I2806" s="23" t="str">
        <f t="shared" si="216"/>
        <v>Match</v>
      </c>
      <c r="J2806" s="23" t="str">
        <f t="shared" si="217"/>
        <v>Match</v>
      </c>
      <c r="K2806" s="24">
        <f t="shared" si="218"/>
        <v>0</v>
      </c>
      <c r="L2806" s="24">
        <f t="shared" si="219"/>
        <v>0</v>
      </c>
    </row>
    <row r="2807" spans="1:12" ht="15" customHeight="1" x14ac:dyDescent="0.3">
      <c r="A2807" s="23" t="s">
        <v>15782</v>
      </c>
      <c r="B2807" s="23" t="s">
        <v>79</v>
      </c>
      <c r="C2807" s="39">
        <v>2499</v>
      </c>
      <c r="D2807" s="24">
        <v>39.979999999999997</v>
      </c>
      <c r="E2807" s="24">
        <v>7.2</v>
      </c>
      <c r="F2807" s="23">
        <f>COUNTIFS(mdr_rate_cleaned!$A$2:$A$10,B2807,mdr_rate_cleaned!$B$2:$B$10,"&lt;"&amp;C2807,mdr_rate_cleaned!$F$2:$F$10,"&gt;="&amp;C2807)</f>
        <v>1</v>
      </c>
      <c r="G2807" s="40">
        <f>SUMIFS(mdr_rate_cleaned!$G$2:$G$10,mdr_rate_cleaned!$A$2:$A$10,B2807,mdr_rate_cleaned!$B$2:$B$10,"&lt;"&amp;C2807,mdr_rate_cleaned!$F$2:$F$10,"&gt;="&amp;C2807)</f>
        <v>1.6E-2</v>
      </c>
      <c r="H2807" s="24">
        <f t="shared" si="215"/>
        <v>39.979999999999997</v>
      </c>
      <c r="I2807" s="23" t="str">
        <f t="shared" si="216"/>
        <v>Match</v>
      </c>
      <c r="J2807" s="23" t="str">
        <f t="shared" si="217"/>
        <v>Match</v>
      </c>
      <c r="K2807" s="24">
        <f t="shared" si="218"/>
        <v>7.2</v>
      </c>
      <c r="L2807" s="24">
        <f t="shared" si="219"/>
        <v>0</v>
      </c>
    </row>
    <row r="2808" spans="1:12" ht="15" customHeight="1" x14ac:dyDescent="0.3">
      <c r="A2808" s="23" t="s">
        <v>15783</v>
      </c>
      <c r="B2808" s="23" t="s">
        <v>79</v>
      </c>
      <c r="C2808" s="39">
        <v>999</v>
      </c>
      <c r="D2808" s="24">
        <v>17.98</v>
      </c>
      <c r="E2808" s="24">
        <v>3.24</v>
      </c>
      <c r="F2808" s="23">
        <f>COUNTIFS(mdr_rate_cleaned!$A$2:$A$10,B2808,mdr_rate_cleaned!$B$2:$B$10,"&lt;"&amp;C2808,mdr_rate_cleaned!$F$2:$F$10,"&gt;="&amp;C2808)</f>
        <v>1</v>
      </c>
      <c r="G2808" s="40">
        <f>SUMIFS(mdr_rate_cleaned!$G$2:$G$10,mdr_rate_cleaned!$A$2:$A$10,B2808,mdr_rate_cleaned!$B$2:$B$10,"&lt;"&amp;C2808,mdr_rate_cleaned!$F$2:$F$10,"&gt;="&amp;C2808)</f>
        <v>1.8000000000000002E-2</v>
      </c>
      <c r="H2808" s="24">
        <f t="shared" si="215"/>
        <v>17.98</v>
      </c>
      <c r="I2808" s="23" t="str">
        <f t="shared" si="216"/>
        <v>Match</v>
      </c>
      <c r="J2808" s="23" t="str">
        <f t="shared" si="217"/>
        <v>Match</v>
      </c>
      <c r="K2808" s="24">
        <f t="shared" si="218"/>
        <v>3.24</v>
      </c>
      <c r="L2808" s="24">
        <f t="shared" si="219"/>
        <v>0</v>
      </c>
    </row>
    <row r="2809" spans="1:12" ht="15" customHeight="1" x14ac:dyDescent="0.3">
      <c r="A2809" s="23" t="s">
        <v>15784</v>
      </c>
      <c r="B2809" s="23" t="s">
        <v>77</v>
      </c>
      <c r="C2809" s="39">
        <v>6798</v>
      </c>
      <c r="D2809" s="24">
        <v>115.57</v>
      </c>
      <c r="E2809" s="24">
        <v>20.8</v>
      </c>
      <c r="F2809" s="23">
        <f>COUNTIFS(mdr_rate_cleaned!$A$2:$A$10,B2809,mdr_rate_cleaned!$B$2:$B$10,"&lt;"&amp;C2809,mdr_rate_cleaned!$F$2:$F$10,"&gt;="&amp;C2809)</f>
        <v>1</v>
      </c>
      <c r="G2809" s="40">
        <f>SUMIFS(mdr_rate_cleaned!$G$2:$G$10,mdr_rate_cleaned!$A$2:$A$10,B2809,mdr_rate_cleaned!$B$2:$B$10,"&lt;"&amp;C2809,mdr_rate_cleaned!$F$2:$F$10,"&gt;="&amp;C2809)</f>
        <v>1.7000000000000001E-2</v>
      </c>
      <c r="H2809" s="24">
        <f t="shared" si="215"/>
        <v>115.57</v>
      </c>
      <c r="I2809" s="23" t="str">
        <f t="shared" si="216"/>
        <v>Match</v>
      </c>
      <c r="J2809" s="23" t="str">
        <f t="shared" si="217"/>
        <v>Match</v>
      </c>
      <c r="K2809" s="24">
        <f t="shared" si="218"/>
        <v>20.8</v>
      </c>
      <c r="L2809" s="24">
        <f t="shared" si="219"/>
        <v>0</v>
      </c>
    </row>
    <row r="2810" spans="1:12" ht="15" customHeight="1" x14ac:dyDescent="0.3">
      <c r="A2810" s="23" t="s">
        <v>15785</v>
      </c>
      <c r="B2810" s="23" t="s">
        <v>79</v>
      </c>
      <c r="C2810" s="39">
        <v>2999</v>
      </c>
      <c r="D2810" s="24">
        <v>47.98</v>
      </c>
      <c r="E2810" s="24">
        <v>8.64</v>
      </c>
      <c r="F2810" s="23">
        <f>COUNTIFS(mdr_rate_cleaned!$A$2:$A$10,B2810,mdr_rate_cleaned!$B$2:$B$10,"&lt;"&amp;C2810,mdr_rate_cleaned!$F$2:$F$10,"&gt;="&amp;C2810)</f>
        <v>1</v>
      </c>
      <c r="G2810" s="40">
        <f>SUMIFS(mdr_rate_cleaned!$G$2:$G$10,mdr_rate_cleaned!$A$2:$A$10,B2810,mdr_rate_cleaned!$B$2:$B$10,"&lt;"&amp;C2810,mdr_rate_cleaned!$F$2:$F$10,"&gt;="&amp;C2810)</f>
        <v>1.6E-2</v>
      </c>
      <c r="H2810" s="24">
        <f t="shared" si="215"/>
        <v>47.98</v>
      </c>
      <c r="I2810" s="23" t="str">
        <f t="shared" si="216"/>
        <v>Match</v>
      </c>
      <c r="J2810" s="23" t="str">
        <f t="shared" si="217"/>
        <v>Match</v>
      </c>
      <c r="K2810" s="24">
        <f t="shared" si="218"/>
        <v>8.64</v>
      </c>
      <c r="L2810" s="24">
        <f t="shared" si="219"/>
        <v>0</v>
      </c>
    </row>
    <row r="2811" spans="1:12" ht="15" customHeight="1" x14ac:dyDescent="0.3">
      <c r="A2811" s="23" t="s">
        <v>15786</v>
      </c>
      <c r="B2811" s="23" t="s">
        <v>75</v>
      </c>
      <c r="C2811" s="39">
        <v>3647</v>
      </c>
      <c r="D2811" s="24">
        <v>10.94</v>
      </c>
      <c r="E2811" s="24">
        <v>1.97</v>
      </c>
      <c r="F2811" s="23">
        <f>COUNTIFS(mdr_rate_cleaned!$A$2:$A$10,B2811,mdr_rate_cleaned!$B$2:$B$10,"&lt;"&amp;C2811,mdr_rate_cleaned!$F$2:$F$10,"&gt;="&amp;C2811)</f>
        <v>1</v>
      </c>
      <c r="G2811" s="40">
        <f>SUMIFS(mdr_rate_cleaned!$G$2:$G$10,mdr_rate_cleaned!$A$2:$A$10,B2811,mdr_rate_cleaned!$B$2:$B$10,"&lt;"&amp;C2811,mdr_rate_cleaned!$F$2:$F$10,"&gt;="&amp;C2811)</f>
        <v>3.0000000000000001E-3</v>
      </c>
      <c r="H2811" s="24">
        <f t="shared" si="215"/>
        <v>10.94</v>
      </c>
      <c r="I2811" s="23" t="str">
        <f t="shared" si="216"/>
        <v>Match</v>
      </c>
      <c r="J2811" s="23" t="str">
        <f t="shared" si="217"/>
        <v>Match</v>
      </c>
      <c r="K2811" s="24">
        <f t="shared" si="218"/>
        <v>1.97</v>
      </c>
      <c r="L2811" s="24">
        <f t="shared" si="219"/>
        <v>0</v>
      </c>
    </row>
    <row r="2812" spans="1:12" ht="15" customHeight="1" x14ac:dyDescent="0.3">
      <c r="A2812" s="23" t="s">
        <v>15787</v>
      </c>
      <c r="B2812" s="23" t="s">
        <v>79</v>
      </c>
      <c r="C2812" s="39">
        <v>7597</v>
      </c>
      <c r="D2812" s="24">
        <v>121.55</v>
      </c>
      <c r="E2812" s="24">
        <v>21.88</v>
      </c>
      <c r="F2812" s="23">
        <f>COUNTIFS(mdr_rate_cleaned!$A$2:$A$10,B2812,mdr_rate_cleaned!$B$2:$B$10,"&lt;"&amp;C2812,mdr_rate_cleaned!$F$2:$F$10,"&gt;="&amp;C2812)</f>
        <v>1</v>
      </c>
      <c r="G2812" s="40">
        <f>SUMIFS(mdr_rate_cleaned!$G$2:$G$10,mdr_rate_cleaned!$A$2:$A$10,B2812,mdr_rate_cleaned!$B$2:$B$10,"&lt;"&amp;C2812,mdr_rate_cleaned!$F$2:$F$10,"&gt;="&amp;C2812)</f>
        <v>1.6E-2</v>
      </c>
      <c r="H2812" s="24">
        <f t="shared" si="215"/>
        <v>121.55</v>
      </c>
      <c r="I2812" s="23" t="str">
        <f t="shared" si="216"/>
        <v>Match</v>
      </c>
      <c r="J2812" s="23" t="str">
        <f t="shared" si="217"/>
        <v>Match</v>
      </c>
      <c r="K2812" s="24">
        <f t="shared" si="218"/>
        <v>21.88</v>
      </c>
      <c r="L2812" s="24">
        <f t="shared" si="219"/>
        <v>0</v>
      </c>
    </row>
    <row r="2813" spans="1:12" ht="15" customHeight="1" x14ac:dyDescent="0.3">
      <c r="A2813" s="23" t="s">
        <v>15788</v>
      </c>
      <c r="B2813" s="23" t="s">
        <v>75</v>
      </c>
      <c r="C2813" s="39">
        <v>898</v>
      </c>
      <c r="D2813" s="24">
        <v>0</v>
      </c>
      <c r="E2813" s="24">
        <v>0</v>
      </c>
      <c r="F2813" s="23">
        <f>COUNTIFS(mdr_rate_cleaned!$A$2:$A$10,B2813,mdr_rate_cleaned!$B$2:$B$10,"&lt;"&amp;C2813,mdr_rate_cleaned!$F$2:$F$10,"&gt;="&amp;C2813)</f>
        <v>1</v>
      </c>
      <c r="G2813" s="40">
        <f>SUMIFS(mdr_rate_cleaned!$G$2:$G$10,mdr_rate_cleaned!$A$2:$A$10,B2813,mdr_rate_cleaned!$B$2:$B$10,"&lt;"&amp;C2813,mdr_rate_cleaned!$F$2:$F$10,"&gt;="&amp;C2813)</f>
        <v>0</v>
      </c>
      <c r="H2813" s="24">
        <f t="shared" si="215"/>
        <v>0</v>
      </c>
      <c r="I2813" s="23" t="str">
        <f t="shared" si="216"/>
        <v>Match</v>
      </c>
      <c r="J2813" s="23" t="str">
        <f t="shared" si="217"/>
        <v>Match</v>
      </c>
      <c r="K2813" s="24">
        <f t="shared" si="218"/>
        <v>0</v>
      </c>
      <c r="L2813" s="24">
        <f t="shared" si="219"/>
        <v>0</v>
      </c>
    </row>
    <row r="2814" spans="1:12" ht="15" customHeight="1" x14ac:dyDescent="0.3">
      <c r="A2814" s="23" t="s">
        <v>15789</v>
      </c>
      <c r="B2814" s="23" t="s">
        <v>75</v>
      </c>
      <c r="C2814" s="39">
        <v>499</v>
      </c>
      <c r="D2814" s="24">
        <v>0</v>
      </c>
      <c r="E2814" s="24">
        <v>0</v>
      </c>
      <c r="F2814" s="23">
        <f>COUNTIFS(mdr_rate_cleaned!$A$2:$A$10,B2814,mdr_rate_cleaned!$B$2:$B$10,"&lt;"&amp;C2814,mdr_rate_cleaned!$F$2:$F$10,"&gt;="&amp;C2814)</f>
        <v>1</v>
      </c>
      <c r="G2814" s="40">
        <f>SUMIFS(mdr_rate_cleaned!$G$2:$G$10,mdr_rate_cleaned!$A$2:$A$10,B2814,mdr_rate_cleaned!$B$2:$B$10,"&lt;"&amp;C2814,mdr_rate_cleaned!$F$2:$F$10,"&gt;="&amp;C2814)</f>
        <v>0</v>
      </c>
      <c r="H2814" s="24">
        <f t="shared" si="215"/>
        <v>0</v>
      </c>
      <c r="I2814" s="23" t="str">
        <f t="shared" si="216"/>
        <v>Match</v>
      </c>
      <c r="J2814" s="23" t="str">
        <f t="shared" si="217"/>
        <v>Match</v>
      </c>
      <c r="K2814" s="24">
        <f t="shared" si="218"/>
        <v>0</v>
      </c>
      <c r="L2814" s="24">
        <f t="shared" si="219"/>
        <v>0</v>
      </c>
    </row>
    <row r="2815" spans="1:12" ht="15" customHeight="1" x14ac:dyDescent="0.3">
      <c r="A2815" s="23" t="s">
        <v>15790</v>
      </c>
      <c r="B2815" s="23" t="s">
        <v>75</v>
      </c>
      <c r="C2815" s="39">
        <v>7097</v>
      </c>
      <c r="D2815" s="24">
        <v>21.29</v>
      </c>
      <c r="E2815" s="24">
        <v>3.83</v>
      </c>
      <c r="F2815" s="23">
        <f>COUNTIFS(mdr_rate_cleaned!$A$2:$A$10,B2815,mdr_rate_cleaned!$B$2:$B$10,"&lt;"&amp;C2815,mdr_rate_cleaned!$F$2:$F$10,"&gt;="&amp;C2815)</f>
        <v>1</v>
      </c>
      <c r="G2815" s="40">
        <f>SUMIFS(mdr_rate_cleaned!$G$2:$G$10,mdr_rate_cleaned!$A$2:$A$10,B2815,mdr_rate_cleaned!$B$2:$B$10,"&lt;"&amp;C2815,mdr_rate_cleaned!$F$2:$F$10,"&gt;="&amp;C2815)</f>
        <v>3.0000000000000001E-3</v>
      </c>
      <c r="H2815" s="24">
        <f t="shared" si="215"/>
        <v>21.29</v>
      </c>
      <c r="I2815" s="23" t="str">
        <f t="shared" si="216"/>
        <v>Match</v>
      </c>
      <c r="J2815" s="23" t="str">
        <f t="shared" si="217"/>
        <v>Match</v>
      </c>
      <c r="K2815" s="24">
        <f t="shared" si="218"/>
        <v>3.83</v>
      </c>
      <c r="L2815" s="24">
        <f t="shared" si="219"/>
        <v>0</v>
      </c>
    </row>
    <row r="2816" spans="1:12" ht="15" customHeight="1" x14ac:dyDescent="0.3">
      <c r="A2816" s="23" t="s">
        <v>15791</v>
      </c>
      <c r="B2816" s="23" t="s">
        <v>75</v>
      </c>
      <c r="C2816" s="39">
        <v>349</v>
      </c>
      <c r="D2816" s="24">
        <v>0</v>
      </c>
      <c r="E2816" s="24">
        <v>0</v>
      </c>
      <c r="F2816" s="23">
        <f>COUNTIFS(mdr_rate_cleaned!$A$2:$A$10,B2816,mdr_rate_cleaned!$B$2:$B$10,"&lt;"&amp;C2816,mdr_rate_cleaned!$F$2:$F$10,"&gt;="&amp;C2816)</f>
        <v>1</v>
      </c>
      <c r="G2816" s="40">
        <f>SUMIFS(mdr_rate_cleaned!$G$2:$G$10,mdr_rate_cleaned!$A$2:$A$10,B2816,mdr_rate_cleaned!$B$2:$B$10,"&lt;"&amp;C2816,mdr_rate_cleaned!$F$2:$F$10,"&gt;="&amp;C2816)</f>
        <v>0</v>
      </c>
      <c r="H2816" s="24">
        <f t="shared" si="215"/>
        <v>0</v>
      </c>
      <c r="I2816" s="23" t="str">
        <f t="shared" si="216"/>
        <v>Match</v>
      </c>
      <c r="J2816" s="23" t="str">
        <f t="shared" si="217"/>
        <v>Match</v>
      </c>
      <c r="K2816" s="24">
        <f t="shared" si="218"/>
        <v>0</v>
      </c>
      <c r="L2816" s="24">
        <f t="shared" si="219"/>
        <v>0</v>
      </c>
    </row>
    <row r="2817" spans="1:12" ht="15" customHeight="1" x14ac:dyDescent="0.3">
      <c r="A2817" s="23" t="s">
        <v>15792</v>
      </c>
      <c r="B2817" s="23" t="s">
        <v>79</v>
      </c>
      <c r="C2817" s="39">
        <v>9298</v>
      </c>
      <c r="D2817" s="24">
        <v>148.77000000000001</v>
      </c>
      <c r="E2817" s="24">
        <v>26.78</v>
      </c>
      <c r="F2817" s="23">
        <f>COUNTIFS(mdr_rate_cleaned!$A$2:$A$10,B2817,mdr_rate_cleaned!$B$2:$B$10,"&lt;"&amp;C2817,mdr_rate_cleaned!$F$2:$F$10,"&gt;="&amp;C2817)</f>
        <v>1</v>
      </c>
      <c r="G2817" s="40">
        <f>SUMIFS(mdr_rate_cleaned!$G$2:$G$10,mdr_rate_cleaned!$A$2:$A$10,B2817,mdr_rate_cleaned!$B$2:$B$10,"&lt;"&amp;C2817,mdr_rate_cleaned!$F$2:$F$10,"&gt;="&amp;C2817)</f>
        <v>1.6E-2</v>
      </c>
      <c r="H2817" s="24">
        <f t="shared" si="215"/>
        <v>148.77000000000001</v>
      </c>
      <c r="I2817" s="23" t="str">
        <f t="shared" si="216"/>
        <v>Match</v>
      </c>
      <c r="J2817" s="23" t="str">
        <f t="shared" si="217"/>
        <v>Match</v>
      </c>
      <c r="K2817" s="24">
        <f t="shared" si="218"/>
        <v>26.78</v>
      </c>
      <c r="L2817" s="24">
        <f t="shared" si="219"/>
        <v>0</v>
      </c>
    </row>
    <row r="2818" spans="1:12" ht="15" customHeight="1" x14ac:dyDescent="0.3">
      <c r="A2818" s="23" t="s">
        <v>15793</v>
      </c>
      <c r="B2818" s="23" t="s">
        <v>75</v>
      </c>
      <c r="C2818" s="39">
        <v>11797</v>
      </c>
      <c r="D2818" s="24">
        <v>35.39</v>
      </c>
      <c r="E2818" s="24">
        <v>6.37</v>
      </c>
      <c r="F2818" s="23">
        <f>COUNTIFS(mdr_rate_cleaned!$A$2:$A$10,B2818,mdr_rate_cleaned!$B$2:$B$10,"&lt;"&amp;C2818,mdr_rate_cleaned!$F$2:$F$10,"&gt;="&amp;C2818)</f>
        <v>1</v>
      </c>
      <c r="G2818" s="40">
        <f>SUMIFS(mdr_rate_cleaned!$G$2:$G$10,mdr_rate_cleaned!$A$2:$A$10,B2818,mdr_rate_cleaned!$B$2:$B$10,"&lt;"&amp;C2818,mdr_rate_cleaned!$F$2:$F$10,"&gt;="&amp;C2818)</f>
        <v>3.0000000000000001E-3</v>
      </c>
      <c r="H2818" s="24">
        <f t="shared" ref="H2818:H2881" si="220">ROUND(C2818*G2818,2)</f>
        <v>35.39</v>
      </c>
      <c r="I2818" s="23" t="str">
        <f t="shared" ref="I2818:I2881" si="221">IF(ROUND(D2818-H2818,2)=0,"Match","Differs")</f>
        <v>Match</v>
      </c>
      <c r="J2818" s="23" t="str">
        <f t="shared" ref="J2818:J2881" si="222">IF(ROUND(E2818-ROUND(D2818*0.18,2),2)=0,"Match","Differs")</f>
        <v>Match</v>
      </c>
      <c r="K2818" s="24">
        <f t="shared" ref="K2818:K2881" si="223">ROUND(H2818*0.18,2)</f>
        <v>6.37</v>
      </c>
      <c r="L2818" s="24">
        <f t="shared" ref="L2818:L2881" si="224">ROUND(D2818+E2818-H2818-K2818,2)</f>
        <v>0</v>
      </c>
    </row>
    <row r="2819" spans="1:12" ht="15" customHeight="1" x14ac:dyDescent="0.3">
      <c r="A2819" s="23" t="s">
        <v>15794</v>
      </c>
      <c r="B2819" s="23" t="s">
        <v>79</v>
      </c>
      <c r="C2819" s="39">
        <v>2999</v>
      </c>
      <c r="D2819" s="24">
        <v>47.98</v>
      </c>
      <c r="E2819" s="24">
        <v>8.64</v>
      </c>
      <c r="F2819" s="23">
        <f>COUNTIFS(mdr_rate_cleaned!$A$2:$A$10,B2819,mdr_rate_cleaned!$B$2:$B$10,"&lt;"&amp;C2819,mdr_rate_cleaned!$F$2:$F$10,"&gt;="&amp;C2819)</f>
        <v>1</v>
      </c>
      <c r="G2819" s="40">
        <f>SUMIFS(mdr_rate_cleaned!$G$2:$G$10,mdr_rate_cleaned!$A$2:$A$10,B2819,mdr_rate_cleaned!$B$2:$B$10,"&lt;"&amp;C2819,mdr_rate_cleaned!$F$2:$F$10,"&gt;="&amp;C2819)</f>
        <v>1.6E-2</v>
      </c>
      <c r="H2819" s="24">
        <f t="shared" si="220"/>
        <v>47.98</v>
      </c>
      <c r="I2819" s="23" t="str">
        <f t="shared" si="221"/>
        <v>Match</v>
      </c>
      <c r="J2819" s="23" t="str">
        <f t="shared" si="222"/>
        <v>Match</v>
      </c>
      <c r="K2819" s="24">
        <f t="shared" si="223"/>
        <v>8.64</v>
      </c>
      <c r="L2819" s="24">
        <f t="shared" si="224"/>
        <v>0</v>
      </c>
    </row>
    <row r="2820" spans="1:12" ht="15" customHeight="1" x14ac:dyDescent="0.3">
      <c r="A2820" s="23" t="s">
        <v>15795</v>
      </c>
      <c r="B2820" s="23" t="s">
        <v>75</v>
      </c>
      <c r="C2820" s="39">
        <v>2598</v>
      </c>
      <c r="D2820" s="24">
        <v>7.79</v>
      </c>
      <c r="E2820" s="24">
        <v>1.4</v>
      </c>
      <c r="F2820" s="23">
        <f>COUNTIFS(mdr_rate_cleaned!$A$2:$A$10,B2820,mdr_rate_cleaned!$B$2:$B$10,"&lt;"&amp;C2820,mdr_rate_cleaned!$F$2:$F$10,"&gt;="&amp;C2820)</f>
        <v>1</v>
      </c>
      <c r="G2820" s="40">
        <f>SUMIFS(mdr_rate_cleaned!$G$2:$G$10,mdr_rate_cleaned!$A$2:$A$10,B2820,mdr_rate_cleaned!$B$2:$B$10,"&lt;"&amp;C2820,mdr_rate_cleaned!$F$2:$F$10,"&gt;="&amp;C2820)</f>
        <v>3.0000000000000001E-3</v>
      </c>
      <c r="H2820" s="24">
        <f t="shared" si="220"/>
        <v>7.79</v>
      </c>
      <c r="I2820" s="23" t="str">
        <f t="shared" si="221"/>
        <v>Match</v>
      </c>
      <c r="J2820" s="23" t="str">
        <f t="shared" si="222"/>
        <v>Match</v>
      </c>
      <c r="K2820" s="24">
        <f t="shared" si="223"/>
        <v>1.4</v>
      </c>
      <c r="L2820" s="24">
        <f t="shared" si="224"/>
        <v>0</v>
      </c>
    </row>
    <row r="2821" spans="1:12" ht="15" customHeight="1" x14ac:dyDescent="0.3">
      <c r="A2821" s="23" t="s">
        <v>15796</v>
      </c>
      <c r="B2821" s="23" t="s">
        <v>77</v>
      </c>
      <c r="C2821" s="39">
        <v>9797</v>
      </c>
      <c r="D2821" s="24">
        <v>166.55</v>
      </c>
      <c r="E2821" s="24">
        <v>29.98</v>
      </c>
      <c r="F2821" s="23">
        <f>COUNTIFS(mdr_rate_cleaned!$A$2:$A$10,B2821,mdr_rate_cleaned!$B$2:$B$10,"&lt;"&amp;C2821,mdr_rate_cleaned!$F$2:$F$10,"&gt;="&amp;C2821)</f>
        <v>1</v>
      </c>
      <c r="G2821" s="40">
        <f>SUMIFS(mdr_rate_cleaned!$G$2:$G$10,mdr_rate_cleaned!$A$2:$A$10,B2821,mdr_rate_cleaned!$B$2:$B$10,"&lt;"&amp;C2821,mdr_rate_cleaned!$F$2:$F$10,"&gt;="&amp;C2821)</f>
        <v>1.7000000000000001E-2</v>
      </c>
      <c r="H2821" s="24">
        <f t="shared" si="220"/>
        <v>166.55</v>
      </c>
      <c r="I2821" s="23" t="str">
        <f t="shared" si="221"/>
        <v>Match</v>
      </c>
      <c r="J2821" s="23" t="str">
        <f t="shared" si="222"/>
        <v>Match</v>
      </c>
      <c r="K2821" s="24">
        <f t="shared" si="223"/>
        <v>29.98</v>
      </c>
      <c r="L2821" s="24">
        <f t="shared" si="224"/>
        <v>0</v>
      </c>
    </row>
    <row r="2822" spans="1:12" ht="15" customHeight="1" x14ac:dyDescent="0.3">
      <c r="A2822" s="23" t="s">
        <v>15797</v>
      </c>
      <c r="B2822" s="23" t="s">
        <v>79</v>
      </c>
      <c r="C2822" s="39">
        <v>7999</v>
      </c>
      <c r="D2822" s="24">
        <v>127.98</v>
      </c>
      <c r="E2822" s="24">
        <v>23.04</v>
      </c>
      <c r="F2822" s="23">
        <f>COUNTIFS(mdr_rate_cleaned!$A$2:$A$10,B2822,mdr_rate_cleaned!$B$2:$B$10,"&lt;"&amp;C2822,mdr_rate_cleaned!$F$2:$F$10,"&gt;="&amp;C2822)</f>
        <v>1</v>
      </c>
      <c r="G2822" s="40">
        <f>SUMIFS(mdr_rate_cleaned!$G$2:$G$10,mdr_rate_cleaned!$A$2:$A$10,B2822,mdr_rate_cleaned!$B$2:$B$10,"&lt;"&amp;C2822,mdr_rate_cleaned!$F$2:$F$10,"&gt;="&amp;C2822)</f>
        <v>1.6E-2</v>
      </c>
      <c r="H2822" s="24">
        <f t="shared" si="220"/>
        <v>127.98</v>
      </c>
      <c r="I2822" s="23" t="str">
        <f t="shared" si="221"/>
        <v>Match</v>
      </c>
      <c r="J2822" s="23" t="str">
        <f t="shared" si="222"/>
        <v>Match</v>
      </c>
      <c r="K2822" s="24">
        <f t="shared" si="223"/>
        <v>23.04</v>
      </c>
      <c r="L2822" s="24">
        <f t="shared" si="224"/>
        <v>0</v>
      </c>
    </row>
    <row r="2823" spans="1:12" ht="15" customHeight="1" x14ac:dyDescent="0.3">
      <c r="A2823" s="23" t="s">
        <v>15798</v>
      </c>
      <c r="B2823" s="23" t="s">
        <v>77</v>
      </c>
      <c r="C2823" s="39">
        <v>3499</v>
      </c>
      <c r="D2823" s="24">
        <v>59.48</v>
      </c>
      <c r="E2823" s="24">
        <v>10.71</v>
      </c>
      <c r="F2823" s="23">
        <f>COUNTIFS(mdr_rate_cleaned!$A$2:$A$10,B2823,mdr_rate_cleaned!$B$2:$B$10,"&lt;"&amp;C2823,mdr_rate_cleaned!$F$2:$F$10,"&gt;="&amp;C2823)</f>
        <v>1</v>
      </c>
      <c r="G2823" s="40">
        <f>SUMIFS(mdr_rate_cleaned!$G$2:$G$10,mdr_rate_cleaned!$A$2:$A$10,B2823,mdr_rate_cleaned!$B$2:$B$10,"&lt;"&amp;C2823,mdr_rate_cleaned!$F$2:$F$10,"&gt;="&amp;C2823)</f>
        <v>1.7000000000000001E-2</v>
      </c>
      <c r="H2823" s="24">
        <f t="shared" si="220"/>
        <v>59.48</v>
      </c>
      <c r="I2823" s="23" t="str">
        <f t="shared" si="221"/>
        <v>Match</v>
      </c>
      <c r="J2823" s="23" t="str">
        <f t="shared" si="222"/>
        <v>Match</v>
      </c>
      <c r="K2823" s="24">
        <f t="shared" si="223"/>
        <v>10.71</v>
      </c>
      <c r="L2823" s="24">
        <f t="shared" si="224"/>
        <v>0</v>
      </c>
    </row>
    <row r="2824" spans="1:12" ht="15" customHeight="1" x14ac:dyDescent="0.3">
      <c r="A2824" s="23" t="s">
        <v>15799</v>
      </c>
      <c r="B2824" s="23" t="s">
        <v>75</v>
      </c>
      <c r="C2824" s="39">
        <v>7999</v>
      </c>
      <c r="D2824" s="24">
        <v>24</v>
      </c>
      <c r="E2824" s="24">
        <v>4.32</v>
      </c>
      <c r="F2824" s="23">
        <f>COUNTIFS(mdr_rate_cleaned!$A$2:$A$10,B2824,mdr_rate_cleaned!$B$2:$B$10,"&lt;"&amp;C2824,mdr_rate_cleaned!$F$2:$F$10,"&gt;="&amp;C2824)</f>
        <v>1</v>
      </c>
      <c r="G2824" s="40">
        <f>SUMIFS(mdr_rate_cleaned!$G$2:$G$10,mdr_rate_cleaned!$A$2:$A$10,B2824,mdr_rate_cleaned!$B$2:$B$10,"&lt;"&amp;C2824,mdr_rate_cleaned!$F$2:$F$10,"&gt;="&amp;C2824)</f>
        <v>3.0000000000000001E-3</v>
      </c>
      <c r="H2824" s="24">
        <f t="shared" si="220"/>
        <v>24</v>
      </c>
      <c r="I2824" s="23" t="str">
        <f t="shared" si="221"/>
        <v>Match</v>
      </c>
      <c r="J2824" s="23" t="str">
        <f t="shared" si="222"/>
        <v>Match</v>
      </c>
      <c r="K2824" s="24">
        <f t="shared" si="223"/>
        <v>4.32</v>
      </c>
      <c r="L2824" s="24">
        <f t="shared" si="224"/>
        <v>0</v>
      </c>
    </row>
    <row r="2825" spans="1:12" ht="15" customHeight="1" x14ac:dyDescent="0.3">
      <c r="A2825" s="23" t="s">
        <v>15800</v>
      </c>
      <c r="B2825" s="23" t="s">
        <v>79</v>
      </c>
      <c r="C2825" s="39">
        <v>3298</v>
      </c>
      <c r="D2825" s="24">
        <v>52.77</v>
      </c>
      <c r="E2825" s="24">
        <v>9.5</v>
      </c>
      <c r="F2825" s="23">
        <f>COUNTIFS(mdr_rate_cleaned!$A$2:$A$10,B2825,mdr_rate_cleaned!$B$2:$B$10,"&lt;"&amp;C2825,mdr_rate_cleaned!$F$2:$F$10,"&gt;="&amp;C2825)</f>
        <v>1</v>
      </c>
      <c r="G2825" s="40">
        <f>SUMIFS(mdr_rate_cleaned!$G$2:$G$10,mdr_rate_cleaned!$A$2:$A$10,B2825,mdr_rate_cleaned!$B$2:$B$10,"&lt;"&amp;C2825,mdr_rate_cleaned!$F$2:$F$10,"&gt;="&amp;C2825)</f>
        <v>1.6E-2</v>
      </c>
      <c r="H2825" s="24">
        <f t="shared" si="220"/>
        <v>52.77</v>
      </c>
      <c r="I2825" s="23" t="str">
        <f t="shared" si="221"/>
        <v>Match</v>
      </c>
      <c r="J2825" s="23" t="str">
        <f t="shared" si="222"/>
        <v>Match</v>
      </c>
      <c r="K2825" s="24">
        <f t="shared" si="223"/>
        <v>9.5</v>
      </c>
      <c r="L2825" s="24">
        <f t="shared" si="224"/>
        <v>0</v>
      </c>
    </row>
    <row r="2826" spans="1:12" ht="15" customHeight="1" x14ac:dyDescent="0.3">
      <c r="A2826" s="23" t="s">
        <v>15801</v>
      </c>
      <c r="B2826" s="23" t="s">
        <v>77</v>
      </c>
      <c r="C2826" s="39">
        <v>1299</v>
      </c>
      <c r="D2826" s="24">
        <v>24.68</v>
      </c>
      <c r="E2826" s="24">
        <v>4.4400000000000004</v>
      </c>
      <c r="F2826" s="23">
        <f>COUNTIFS(mdr_rate_cleaned!$A$2:$A$10,B2826,mdr_rate_cleaned!$B$2:$B$10,"&lt;"&amp;C2826,mdr_rate_cleaned!$F$2:$F$10,"&gt;="&amp;C2826)</f>
        <v>1</v>
      </c>
      <c r="G2826" s="40">
        <f>SUMIFS(mdr_rate_cleaned!$G$2:$G$10,mdr_rate_cleaned!$A$2:$A$10,B2826,mdr_rate_cleaned!$B$2:$B$10,"&lt;"&amp;C2826,mdr_rate_cleaned!$F$2:$F$10,"&gt;="&amp;C2826)</f>
        <v>1.9E-2</v>
      </c>
      <c r="H2826" s="24">
        <f t="shared" si="220"/>
        <v>24.68</v>
      </c>
      <c r="I2826" s="23" t="str">
        <f t="shared" si="221"/>
        <v>Match</v>
      </c>
      <c r="J2826" s="23" t="str">
        <f t="shared" si="222"/>
        <v>Match</v>
      </c>
      <c r="K2826" s="24">
        <f t="shared" si="223"/>
        <v>4.4400000000000004</v>
      </c>
      <c r="L2826" s="24">
        <f t="shared" si="224"/>
        <v>0</v>
      </c>
    </row>
    <row r="2827" spans="1:12" ht="15" customHeight="1" x14ac:dyDescent="0.3">
      <c r="A2827" s="23" t="s">
        <v>15802</v>
      </c>
      <c r="B2827" s="23" t="s">
        <v>75</v>
      </c>
      <c r="C2827" s="39">
        <v>599</v>
      </c>
      <c r="D2827" s="24">
        <v>0</v>
      </c>
      <c r="E2827" s="24">
        <v>0</v>
      </c>
      <c r="F2827" s="23">
        <f>COUNTIFS(mdr_rate_cleaned!$A$2:$A$10,B2827,mdr_rate_cleaned!$B$2:$B$10,"&lt;"&amp;C2827,mdr_rate_cleaned!$F$2:$F$10,"&gt;="&amp;C2827)</f>
        <v>1</v>
      </c>
      <c r="G2827" s="40">
        <f>SUMIFS(mdr_rate_cleaned!$G$2:$G$10,mdr_rate_cleaned!$A$2:$A$10,B2827,mdr_rate_cleaned!$B$2:$B$10,"&lt;"&amp;C2827,mdr_rate_cleaned!$F$2:$F$10,"&gt;="&amp;C2827)</f>
        <v>0</v>
      </c>
      <c r="H2827" s="24">
        <f t="shared" si="220"/>
        <v>0</v>
      </c>
      <c r="I2827" s="23" t="str">
        <f t="shared" si="221"/>
        <v>Match</v>
      </c>
      <c r="J2827" s="23" t="str">
        <f t="shared" si="222"/>
        <v>Match</v>
      </c>
      <c r="K2827" s="24">
        <f t="shared" si="223"/>
        <v>0</v>
      </c>
      <c r="L2827" s="24">
        <f t="shared" si="224"/>
        <v>0</v>
      </c>
    </row>
    <row r="2828" spans="1:12" ht="15" customHeight="1" x14ac:dyDescent="0.3">
      <c r="A2828" s="23" t="s">
        <v>15803</v>
      </c>
      <c r="B2828" s="23" t="s">
        <v>77</v>
      </c>
      <c r="C2828" s="39">
        <v>299</v>
      </c>
      <c r="D2828" s="24">
        <v>5.68</v>
      </c>
      <c r="E2828" s="24">
        <v>1.02</v>
      </c>
      <c r="F2828" s="23">
        <f>COUNTIFS(mdr_rate_cleaned!$A$2:$A$10,B2828,mdr_rate_cleaned!$B$2:$B$10,"&lt;"&amp;C2828,mdr_rate_cleaned!$F$2:$F$10,"&gt;="&amp;C2828)</f>
        <v>1</v>
      </c>
      <c r="G2828" s="40">
        <f>SUMIFS(mdr_rate_cleaned!$G$2:$G$10,mdr_rate_cleaned!$A$2:$A$10,B2828,mdr_rate_cleaned!$B$2:$B$10,"&lt;"&amp;C2828,mdr_rate_cleaned!$F$2:$F$10,"&gt;="&amp;C2828)</f>
        <v>1.9E-2</v>
      </c>
      <c r="H2828" s="24">
        <f t="shared" si="220"/>
        <v>5.68</v>
      </c>
      <c r="I2828" s="23" t="str">
        <f t="shared" si="221"/>
        <v>Match</v>
      </c>
      <c r="J2828" s="23" t="str">
        <f t="shared" si="222"/>
        <v>Match</v>
      </c>
      <c r="K2828" s="24">
        <f t="shared" si="223"/>
        <v>1.02</v>
      </c>
      <c r="L2828" s="24">
        <f t="shared" si="224"/>
        <v>0</v>
      </c>
    </row>
    <row r="2829" spans="1:12" ht="15" customHeight="1" x14ac:dyDescent="0.3">
      <c r="A2829" s="23" t="s">
        <v>15804</v>
      </c>
      <c r="B2829" s="23" t="s">
        <v>79</v>
      </c>
      <c r="C2829" s="39">
        <v>4497</v>
      </c>
      <c r="D2829" s="24">
        <v>71.95</v>
      </c>
      <c r="E2829" s="24">
        <v>12.95</v>
      </c>
      <c r="F2829" s="23">
        <f>COUNTIFS(mdr_rate_cleaned!$A$2:$A$10,B2829,mdr_rate_cleaned!$B$2:$B$10,"&lt;"&amp;C2829,mdr_rate_cleaned!$F$2:$F$10,"&gt;="&amp;C2829)</f>
        <v>1</v>
      </c>
      <c r="G2829" s="40">
        <f>SUMIFS(mdr_rate_cleaned!$G$2:$G$10,mdr_rate_cleaned!$A$2:$A$10,B2829,mdr_rate_cleaned!$B$2:$B$10,"&lt;"&amp;C2829,mdr_rate_cleaned!$F$2:$F$10,"&gt;="&amp;C2829)</f>
        <v>1.6E-2</v>
      </c>
      <c r="H2829" s="24">
        <f t="shared" si="220"/>
        <v>71.95</v>
      </c>
      <c r="I2829" s="23" t="str">
        <f t="shared" si="221"/>
        <v>Match</v>
      </c>
      <c r="J2829" s="23" t="str">
        <f t="shared" si="222"/>
        <v>Match</v>
      </c>
      <c r="K2829" s="24">
        <f t="shared" si="223"/>
        <v>12.95</v>
      </c>
      <c r="L2829" s="24">
        <f t="shared" si="224"/>
        <v>0</v>
      </c>
    </row>
    <row r="2830" spans="1:12" ht="15" customHeight="1" x14ac:dyDescent="0.3">
      <c r="A2830" s="23" t="s">
        <v>15805</v>
      </c>
      <c r="B2830" s="23" t="s">
        <v>77</v>
      </c>
      <c r="C2830" s="39">
        <v>2499</v>
      </c>
      <c r="D2830" s="24">
        <v>42.48</v>
      </c>
      <c r="E2830" s="24">
        <v>7.65</v>
      </c>
      <c r="F2830" s="23">
        <f>COUNTIFS(mdr_rate_cleaned!$A$2:$A$10,B2830,mdr_rate_cleaned!$B$2:$B$10,"&lt;"&amp;C2830,mdr_rate_cleaned!$F$2:$F$10,"&gt;="&amp;C2830)</f>
        <v>1</v>
      </c>
      <c r="G2830" s="40">
        <f>SUMIFS(mdr_rate_cleaned!$G$2:$G$10,mdr_rate_cleaned!$A$2:$A$10,B2830,mdr_rate_cleaned!$B$2:$B$10,"&lt;"&amp;C2830,mdr_rate_cleaned!$F$2:$F$10,"&gt;="&amp;C2830)</f>
        <v>1.7000000000000001E-2</v>
      </c>
      <c r="H2830" s="24">
        <f t="shared" si="220"/>
        <v>42.48</v>
      </c>
      <c r="I2830" s="23" t="str">
        <f t="shared" si="221"/>
        <v>Match</v>
      </c>
      <c r="J2830" s="23" t="str">
        <f t="shared" si="222"/>
        <v>Match</v>
      </c>
      <c r="K2830" s="24">
        <f t="shared" si="223"/>
        <v>7.65</v>
      </c>
      <c r="L2830" s="24">
        <f t="shared" si="224"/>
        <v>0</v>
      </c>
    </row>
    <row r="2831" spans="1:12" ht="15" customHeight="1" x14ac:dyDescent="0.3">
      <c r="A2831" s="23" t="s">
        <v>15806</v>
      </c>
      <c r="B2831" s="23" t="s">
        <v>75</v>
      </c>
      <c r="C2831" s="39">
        <v>9997</v>
      </c>
      <c r="D2831" s="24">
        <v>29.99</v>
      </c>
      <c r="E2831" s="24">
        <v>5.4</v>
      </c>
      <c r="F2831" s="23">
        <f>COUNTIFS(mdr_rate_cleaned!$A$2:$A$10,B2831,mdr_rate_cleaned!$B$2:$B$10,"&lt;"&amp;C2831,mdr_rate_cleaned!$F$2:$F$10,"&gt;="&amp;C2831)</f>
        <v>1</v>
      </c>
      <c r="G2831" s="40">
        <f>SUMIFS(mdr_rate_cleaned!$G$2:$G$10,mdr_rate_cleaned!$A$2:$A$10,B2831,mdr_rate_cleaned!$B$2:$B$10,"&lt;"&amp;C2831,mdr_rate_cleaned!$F$2:$F$10,"&gt;="&amp;C2831)</f>
        <v>3.0000000000000001E-3</v>
      </c>
      <c r="H2831" s="24">
        <f t="shared" si="220"/>
        <v>29.99</v>
      </c>
      <c r="I2831" s="23" t="str">
        <f t="shared" si="221"/>
        <v>Match</v>
      </c>
      <c r="J2831" s="23" t="str">
        <f t="shared" si="222"/>
        <v>Match</v>
      </c>
      <c r="K2831" s="24">
        <f t="shared" si="223"/>
        <v>5.4</v>
      </c>
      <c r="L2831" s="24">
        <f t="shared" si="224"/>
        <v>0</v>
      </c>
    </row>
    <row r="2832" spans="1:12" ht="15" customHeight="1" x14ac:dyDescent="0.3">
      <c r="A2832" s="23" t="s">
        <v>15807</v>
      </c>
      <c r="B2832" s="23" t="s">
        <v>75</v>
      </c>
      <c r="C2832" s="39">
        <v>799</v>
      </c>
      <c r="D2832" s="24">
        <v>0</v>
      </c>
      <c r="E2832" s="24">
        <v>0</v>
      </c>
      <c r="F2832" s="23">
        <f>COUNTIFS(mdr_rate_cleaned!$A$2:$A$10,B2832,mdr_rate_cleaned!$B$2:$B$10,"&lt;"&amp;C2832,mdr_rate_cleaned!$F$2:$F$10,"&gt;="&amp;C2832)</f>
        <v>1</v>
      </c>
      <c r="G2832" s="40">
        <f>SUMIFS(mdr_rate_cleaned!$G$2:$G$10,mdr_rate_cleaned!$A$2:$A$10,B2832,mdr_rate_cleaned!$B$2:$B$10,"&lt;"&amp;C2832,mdr_rate_cleaned!$F$2:$F$10,"&gt;="&amp;C2832)</f>
        <v>0</v>
      </c>
      <c r="H2832" s="24">
        <f t="shared" si="220"/>
        <v>0</v>
      </c>
      <c r="I2832" s="23" t="str">
        <f t="shared" si="221"/>
        <v>Match</v>
      </c>
      <c r="J2832" s="23" t="str">
        <f t="shared" si="222"/>
        <v>Match</v>
      </c>
      <c r="K2832" s="24">
        <f t="shared" si="223"/>
        <v>0</v>
      </c>
      <c r="L2832" s="24">
        <f t="shared" si="224"/>
        <v>0</v>
      </c>
    </row>
    <row r="2833" spans="1:12" ht="15" customHeight="1" x14ac:dyDescent="0.3">
      <c r="A2833" s="23" t="s">
        <v>15809</v>
      </c>
      <c r="B2833" s="23" t="s">
        <v>75</v>
      </c>
      <c r="C2833" s="39">
        <v>2598</v>
      </c>
      <c r="D2833" s="24">
        <v>7.79</v>
      </c>
      <c r="E2833" s="24">
        <v>1.4</v>
      </c>
      <c r="F2833" s="23">
        <f>COUNTIFS(mdr_rate_cleaned!$A$2:$A$10,B2833,mdr_rate_cleaned!$B$2:$B$10,"&lt;"&amp;C2833,mdr_rate_cleaned!$F$2:$F$10,"&gt;="&amp;C2833)</f>
        <v>1</v>
      </c>
      <c r="G2833" s="40">
        <f>SUMIFS(mdr_rate_cleaned!$G$2:$G$10,mdr_rate_cleaned!$A$2:$A$10,B2833,mdr_rate_cleaned!$B$2:$B$10,"&lt;"&amp;C2833,mdr_rate_cleaned!$F$2:$F$10,"&gt;="&amp;C2833)</f>
        <v>3.0000000000000001E-3</v>
      </c>
      <c r="H2833" s="24">
        <f t="shared" si="220"/>
        <v>7.79</v>
      </c>
      <c r="I2833" s="23" t="str">
        <f t="shared" si="221"/>
        <v>Match</v>
      </c>
      <c r="J2833" s="23" t="str">
        <f t="shared" si="222"/>
        <v>Match</v>
      </c>
      <c r="K2833" s="24">
        <f t="shared" si="223"/>
        <v>1.4</v>
      </c>
      <c r="L2833" s="24">
        <f t="shared" si="224"/>
        <v>0</v>
      </c>
    </row>
    <row r="2834" spans="1:12" ht="15" customHeight="1" x14ac:dyDescent="0.3">
      <c r="A2834" s="23" t="s">
        <v>15810</v>
      </c>
      <c r="B2834" s="23" t="s">
        <v>75</v>
      </c>
      <c r="C2834" s="39">
        <v>2499</v>
      </c>
      <c r="D2834" s="24">
        <v>7.5</v>
      </c>
      <c r="E2834" s="24">
        <v>1.35</v>
      </c>
      <c r="F2834" s="23">
        <f>COUNTIFS(mdr_rate_cleaned!$A$2:$A$10,B2834,mdr_rate_cleaned!$B$2:$B$10,"&lt;"&amp;C2834,mdr_rate_cleaned!$F$2:$F$10,"&gt;="&amp;C2834)</f>
        <v>1</v>
      </c>
      <c r="G2834" s="40">
        <f>SUMIFS(mdr_rate_cleaned!$G$2:$G$10,mdr_rate_cleaned!$A$2:$A$10,B2834,mdr_rate_cleaned!$B$2:$B$10,"&lt;"&amp;C2834,mdr_rate_cleaned!$F$2:$F$10,"&gt;="&amp;C2834)</f>
        <v>3.0000000000000001E-3</v>
      </c>
      <c r="H2834" s="24">
        <f t="shared" si="220"/>
        <v>7.5</v>
      </c>
      <c r="I2834" s="23" t="str">
        <f t="shared" si="221"/>
        <v>Match</v>
      </c>
      <c r="J2834" s="23" t="str">
        <f t="shared" si="222"/>
        <v>Match</v>
      </c>
      <c r="K2834" s="24">
        <f t="shared" si="223"/>
        <v>1.35</v>
      </c>
      <c r="L2834" s="24">
        <f t="shared" si="224"/>
        <v>0</v>
      </c>
    </row>
    <row r="2835" spans="1:12" ht="15" customHeight="1" x14ac:dyDescent="0.3">
      <c r="A2835" s="23" t="s">
        <v>15811</v>
      </c>
      <c r="B2835" s="23" t="s">
        <v>75</v>
      </c>
      <c r="C2835" s="39">
        <v>3598</v>
      </c>
      <c r="D2835" s="24">
        <v>10.79</v>
      </c>
      <c r="E2835" s="24">
        <v>1.94</v>
      </c>
      <c r="F2835" s="23">
        <f>COUNTIFS(mdr_rate_cleaned!$A$2:$A$10,B2835,mdr_rate_cleaned!$B$2:$B$10,"&lt;"&amp;C2835,mdr_rate_cleaned!$F$2:$F$10,"&gt;="&amp;C2835)</f>
        <v>1</v>
      </c>
      <c r="G2835" s="40">
        <f>SUMIFS(mdr_rate_cleaned!$G$2:$G$10,mdr_rate_cleaned!$A$2:$A$10,B2835,mdr_rate_cleaned!$B$2:$B$10,"&lt;"&amp;C2835,mdr_rate_cleaned!$F$2:$F$10,"&gt;="&amp;C2835)</f>
        <v>3.0000000000000001E-3</v>
      </c>
      <c r="H2835" s="24">
        <f t="shared" si="220"/>
        <v>10.79</v>
      </c>
      <c r="I2835" s="23" t="str">
        <f t="shared" si="221"/>
        <v>Match</v>
      </c>
      <c r="J2835" s="23" t="str">
        <f t="shared" si="222"/>
        <v>Match</v>
      </c>
      <c r="K2835" s="24">
        <f t="shared" si="223"/>
        <v>1.94</v>
      </c>
      <c r="L2835" s="24">
        <f t="shared" si="224"/>
        <v>0</v>
      </c>
    </row>
    <row r="2836" spans="1:12" ht="15" customHeight="1" x14ac:dyDescent="0.3">
      <c r="A2836" s="23" t="s">
        <v>15812</v>
      </c>
      <c r="B2836" s="23" t="s">
        <v>75</v>
      </c>
      <c r="C2836" s="39">
        <v>11597</v>
      </c>
      <c r="D2836" s="24">
        <v>34.79</v>
      </c>
      <c r="E2836" s="24">
        <v>6.26</v>
      </c>
      <c r="F2836" s="23">
        <f>COUNTIFS(mdr_rate_cleaned!$A$2:$A$10,B2836,mdr_rate_cleaned!$B$2:$B$10,"&lt;"&amp;C2836,mdr_rate_cleaned!$F$2:$F$10,"&gt;="&amp;C2836)</f>
        <v>1</v>
      </c>
      <c r="G2836" s="40">
        <f>SUMIFS(mdr_rate_cleaned!$G$2:$G$10,mdr_rate_cleaned!$A$2:$A$10,B2836,mdr_rate_cleaned!$B$2:$B$10,"&lt;"&amp;C2836,mdr_rate_cleaned!$F$2:$F$10,"&gt;="&amp;C2836)</f>
        <v>3.0000000000000001E-3</v>
      </c>
      <c r="H2836" s="24">
        <f t="shared" si="220"/>
        <v>34.79</v>
      </c>
      <c r="I2836" s="23" t="str">
        <f t="shared" si="221"/>
        <v>Match</v>
      </c>
      <c r="J2836" s="23" t="str">
        <f t="shared" si="222"/>
        <v>Match</v>
      </c>
      <c r="K2836" s="24">
        <f t="shared" si="223"/>
        <v>6.26</v>
      </c>
      <c r="L2836" s="24">
        <f t="shared" si="224"/>
        <v>0</v>
      </c>
    </row>
    <row r="2837" spans="1:12" ht="15" customHeight="1" x14ac:dyDescent="0.3">
      <c r="A2837" s="23" t="s">
        <v>15813</v>
      </c>
      <c r="B2837" s="23" t="s">
        <v>79</v>
      </c>
      <c r="C2837" s="39">
        <v>8498</v>
      </c>
      <c r="D2837" s="24">
        <v>135.97</v>
      </c>
      <c r="E2837" s="24">
        <v>24.47</v>
      </c>
      <c r="F2837" s="23">
        <f>COUNTIFS(mdr_rate_cleaned!$A$2:$A$10,B2837,mdr_rate_cleaned!$B$2:$B$10,"&lt;"&amp;C2837,mdr_rate_cleaned!$F$2:$F$10,"&gt;="&amp;C2837)</f>
        <v>1</v>
      </c>
      <c r="G2837" s="40">
        <f>SUMIFS(mdr_rate_cleaned!$G$2:$G$10,mdr_rate_cleaned!$A$2:$A$10,B2837,mdr_rate_cleaned!$B$2:$B$10,"&lt;"&amp;C2837,mdr_rate_cleaned!$F$2:$F$10,"&gt;="&amp;C2837)</f>
        <v>1.6E-2</v>
      </c>
      <c r="H2837" s="24">
        <f t="shared" si="220"/>
        <v>135.97</v>
      </c>
      <c r="I2837" s="23" t="str">
        <f t="shared" si="221"/>
        <v>Match</v>
      </c>
      <c r="J2837" s="23" t="str">
        <f t="shared" si="222"/>
        <v>Match</v>
      </c>
      <c r="K2837" s="24">
        <f t="shared" si="223"/>
        <v>24.47</v>
      </c>
      <c r="L2837" s="24">
        <f t="shared" si="224"/>
        <v>0</v>
      </c>
    </row>
    <row r="2838" spans="1:12" ht="15" customHeight="1" x14ac:dyDescent="0.3">
      <c r="A2838" s="23" t="s">
        <v>15814</v>
      </c>
      <c r="B2838" s="23" t="s">
        <v>77</v>
      </c>
      <c r="C2838" s="39">
        <v>4297</v>
      </c>
      <c r="D2838" s="24">
        <v>73.05</v>
      </c>
      <c r="E2838" s="24">
        <v>13.15</v>
      </c>
      <c r="F2838" s="23">
        <f>COUNTIFS(mdr_rate_cleaned!$A$2:$A$10,B2838,mdr_rate_cleaned!$B$2:$B$10,"&lt;"&amp;C2838,mdr_rate_cleaned!$F$2:$F$10,"&gt;="&amp;C2838)</f>
        <v>1</v>
      </c>
      <c r="G2838" s="40">
        <f>SUMIFS(mdr_rate_cleaned!$G$2:$G$10,mdr_rate_cleaned!$A$2:$A$10,B2838,mdr_rate_cleaned!$B$2:$B$10,"&lt;"&amp;C2838,mdr_rate_cleaned!$F$2:$F$10,"&gt;="&amp;C2838)</f>
        <v>1.7000000000000001E-2</v>
      </c>
      <c r="H2838" s="24">
        <f t="shared" si="220"/>
        <v>73.05</v>
      </c>
      <c r="I2838" s="23" t="str">
        <f t="shared" si="221"/>
        <v>Match</v>
      </c>
      <c r="J2838" s="23" t="str">
        <f t="shared" si="222"/>
        <v>Match</v>
      </c>
      <c r="K2838" s="24">
        <f t="shared" si="223"/>
        <v>13.15</v>
      </c>
      <c r="L2838" s="24">
        <f t="shared" si="224"/>
        <v>0</v>
      </c>
    </row>
    <row r="2839" spans="1:12" ht="15" customHeight="1" x14ac:dyDescent="0.3">
      <c r="A2839" s="23" t="s">
        <v>15815</v>
      </c>
      <c r="B2839" s="23" t="s">
        <v>79</v>
      </c>
      <c r="C2839" s="39">
        <v>999</v>
      </c>
      <c r="D2839" s="24">
        <v>17.98</v>
      </c>
      <c r="E2839" s="24">
        <v>3.24</v>
      </c>
      <c r="F2839" s="23">
        <f>COUNTIFS(mdr_rate_cleaned!$A$2:$A$10,B2839,mdr_rate_cleaned!$B$2:$B$10,"&lt;"&amp;C2839,mdr_rate_cleaned!$F$2:$F$10,"&gt;="&amp;C2839)</f>
        <v>1</v>
      </c>
      <c r="G2839" s="40">
        <f>SUMIFS(mdr_rate_cleaned!$G$2:$G$10,mdr_rate_cleaned!$A$2:$A$10,B2839,mdr_rate_cleaned!$B$2:$B$10,"&lt;"&amp;C2839,mdr_rate_cleaned!$F$2:$F$10,"&gt;="&amp;C2839)</f>
        <v>1.8000000000000002E-2</v>
      </c>
      <c r="H2839" s="24">
        <f t="shared" si="220"/>
        <v>17.98</v>
      </c>
      <c r="I2839" s="23" t="str">
        <f t="shared" si="221"/>
        <v>Match</v>
      </c>
      <c r="J2839" s="23" t="str">
        <f t="shared" si="222"/>
        <v>Match</v>
      </c>
      <c r="K2839" s="24">
        <f t="shared" si="223"/>
        <v>3.24</v>
      </c>
      <c r="L2839" s="24">
        <f t="shared" si="224"/>
        <v>0</v>
      </c>
    </row>
    <row r="2840" spans="1:12" ht="15" customHeight="1" x14ac:dyDescent="0.3">
      <c r="A2840" s="23" t="s">
        <v>15817</v>
      </c>
      <c r="B2840" s="23" t="s">
        <v>79</v>
      </c>
      <c r="C2840" s="39">
        <v>13497</v>
      </c>
      <c r="D2840" s="24">
        <v>215.95</v>
      </c>
      <c r="E2840" s="24">
        <v>38.869999999999997</v>
      </c>
      <c r="F2840" s="23">
        <f>COUNTIFS(mdr_rate_cleaned!$A$2:$A$10,B2840,mdr_rate_cleaned!$B$2:$B$10,"&lt;"&amp;C2840,mdr_rate_cleaned!$F$2:$F$10,"&gt;="&amp;C2840)</f>
        <v>1</v>
      </c>
      <c r="G2840" s="40">
        <f>SUMIFS(mdr_rate_cleaned!$G$2:$G$10,mdr_rate_cleaned!$A$2:$A$10,B2840,mdr_rate_cleaned!$B$2:$B$10,"&lt;"&amp;C2840,mdr_rate_cleaned!$F$2:$F$10,"&gt;="&amp;C2840)</f>
        <v>1.6E-2</v>
      </c>
      <c r="H2840" s="24">
        <f t="shared" si="220"/>
        <v>215.95</v>
      </c>
      <c r="I2840" s="23" t="str">
        <f t="shared" si="221"/>
        <v>Match</v>
      </c>
      <c r="J2840" s="23" t="str">
        <f t="shared" si="222"/>
        <v>Match</v>
      </c>
      <c r="K2840" s="24">
        <f t="shared" si="223"/>
        <v>38.869999999999997</v>
      </c>
      <c r="L2840" s="24">
        <f t="shared" si="224"/>
        <v>0</v>
      </c>
    </row>
    <row r="2841" spans="1:12" ht="15" customHeight="1" x14ac:dyDescent="0.3">
      <c r="A2841" s="23" t="s">
        <v>15818</v>
      </c>
      <c r="B2841" s="23" t="s">
        <v>75</v>
      </c>
      <c r="C2841" s="39">
        <v>2647</v>
      </c>
      <c r="D2841" s="24">
        <v>7.94</v>
      </c>
      <c r="E2841" s="24">
        <v>1.43</v>
      </c>
      <c r="F2841" s="23">
        <f>COUNTIFS(mdr_rate_cleaned!$A$2:$A$10,B2841,mdr_rate_cleaned!$B$2:$B$10,"&lt;"&amp;C2841,mdr_rate_cleaned!$F$2:$F$10,"&gt;="&amp;C2841)</f>
        <v>1</v>
      </c>
      <c r="G2841" s="40">
        <f>SUMIFS(mdr_rate_cleaned!$G$2:$G$10,mdr_rate_cleaned!$A$2:$A$10,B2841,mdr_rate_cleaned!$B$2:$B$10,"&lt;"&amp;C2841,mdr_rate_cleaned!$F$2:$F$10,"&gt;="&amp;C2841)</f>
        <v>3.0000000000000001E-3</v>
      </c>
      <c r="H2841" s="24">
        <f t="shared" si="220"/>
        <v>7.94</v>
      </c>
      <c r="I2841" s="23" t="str">
        <f t="shared" si="221"/>
        <v>Match</v>
      </c>
      <c r="J2841" s="23" t="str">
        <f t="shared" si="222"/>
        <v>Match</v>
      </c>
      <c r="K2841" s="24">
        <f t="shared" si="223"/>
        <v>1.43</v>
      </c>
      <c r="L2841" s="24">
        <f t="shared" si="224"/>
        <v>0</v>
      </c>
    </row>
    <row r="2842" spans="1:12" ht="15" customHeight="1" x14ac:dyDescent="0.3">
      <c r="A2842" s="23" t="s">
        <v>15819</v>
      </c>
      <c r="B2842" s="23" t="s">
        <v>77</v>
      </c>
      <c r="C2842" s="39">
        <v>349</v>
      </c>
      <c r="D2842" s="24">
        <v>6.63</v>
      </c>
      <c r="E2842" s="24">
        <v>1.19</v>
      </c>
      <c r="F2842" s="23">
        <f>COUNTIFS(mdr_rate_cleaned!$A$2:$A$10,B2842,mdr_rate_cleaned!$B$2:$B$10,"&lt;"&amp;C2842,mdr_rate_cleaned!$F$2:$F$10,"&gt;="&amp;C2842)</f>
        <v>1</v>
      </c>
      <c r="G2842" s="40">
        <f>SUMIFS(mdr_rate_cleaned!$G$2:$G$10,mdr_rate_cleaned!$A$2:$A$10,B2842,mdr_rate_cleaned!$B$2:$B$10,"&lt;"&amp;C2842,mdr_rate_cleaned!$F$2:$F$10,"&gt;="&amp;C2842)</f>
        <v>1.9E-2</v>
      </c>
      <c r="H2842" s="24">
        <f t="shared" si="220"/>
        <v>6.63</v>
      </c>
      <c r="I2842" s="23" t="str">
        <f t="shared" si="221"/>
        <v>Match</v>
      </c>
      <c r="J2842" s="23" t="str">
        <f t="shared" si="222"/>
        <v>Match</v>
      </c>
      <c r="K2842" s="24">
        <f t="shared" si="223"/>
        <v>1.19</v>
      </c>
      <c r="L2842" s="24">
        <f t="shared" si="224"/>
        <v>0</v>
      </c>
    </row>
    <row r="2843" spans="1:12" ht="15" customHeight="1" x14ac:dyDescent="0.3">
      <c r="A2843" s="23" t="s">
        <v>15820</v>
      </c>
      <c r="B2843" s="23" t="s">
        <v>75</v>
      </c>
      <c r="C2843" s="39">
        <v>2999</v>
      </c>
      <c r="D2843" s="24">
        <v>9</v>
      </c>
      <c r="E2843" s="24">
        <v>1.62</v>
      </c>
      <c r="F2843" s="23">
        <f>COUNTIFS(mdr_rate_cleaned!$A$2:$A$10,B2843,mdr_rate_cleaned!$B$2:$B$10,"&lt;"&amp;C2843,mdr_rate_cleaned!$F$2:$F$10,"&gt;="&amp;C2843)</f>
        <v>1</v>
      </c>
      <c r="G2843" s="40">
        <f>SUMIFS(mdr_rate_cleaned!$G$2:$G$10,mdr_rate_cleaned!$A$2:$A$10,B2843,mdr_rate_cleaned!$B$2:$B$10,"&lt;"&amp;C2843,mdr_rate_cleaned!$F$2:$F$10,"&gt;="&amp;C2843)</f>
        <v>3.0000000000000001E-3</v>
      </c>
      <c r="H2843" s="24">
        <f t="shared" si="220"/>
        <v>9</v>
      </c>
      <c r="I2843" s="23" t="str">
        <f t="shared" si="221"/>
        <v>Match</v>
      </c>
      <c r="J2843" s="23" t="str">
        <f t="shared" si="222"/>
        <v>Match</v>
      </c>
      <c r="K2843" s="24">
        <f t="shared" si="223"/>
        <v>1.62</v>
      </c>
      <c r="L2843" s="24">
        <f t="shared" si="224"/>
        <v>0</v>
      </c>
    </row>
    <row r="2844" spans="1:12" ht="15" customHeight="1" x14ac:dyDescent="0.3">
      <c r="A2844" s="23" t="s">
        <v>15821</v>
      </c>
      <c r="B2844" s="23" t="s">
        <v>79</v>
      </c>
      <c r="C2844" s="39">
        <v>1499</v>
      </c>
      <c r="D2844" s="24">
        <v>26.98</v>
      </c>
      <c r="E2844" s="24">
        <v>4.8600000000000003</v>
      </c>
      <c r="F2844" s="23">
        <f>COUNTIFS(mdr_rate_cleaned!$A$2:$A$10,B2844,mdr_rate_cleaned!$B$2:$B$10,"&lt;"&amp;C2844,mdr_rate_cleaned!$F$2:$F$10,"&gt;="&amp;C2844)</f>
        <v>1</v>
      </c>
      <c r="G2844" s="40">
        <f>SUMIFS(mdr_rate_cleaned!$G$2:$G$10,mdr_rate_cleaned!$A$2:$A$10,B2844,mdr_rate_cleaned!$B$2:$B$10,"&lt;"&amp;C2844,mdr_rate_cleaned!$F$2:$F$10,"&gt;="&amp;C2844)</f>
        <v>1.8000000000000002E-2</v>
      </c>
      <c r="H2844" s="24">
        <f t="shared" si="220"/>
        <v>26.98</v>
      </c>
      <c r="I2844" s="23" t="str">
        <f t="shared" si="221"/>
        <v>Match</v>
      </c>
      <c r="J2844" s="23" t="str">
        <f t="shared" si="222"/>
        <v>Match</v>
      </c>
      <c r="K2844" s="24">
        <f t="shared" si="223"/>
        <v>4.8600000000000003</v>
      </c>
      <c r="L2844" s="24">
        <f t="shared" si="224"/>
        <v>0</v>
      </c>
    </row>
    <row r="2845" spans="1:12" ht="15" customHeight="1" x14ac:dyDescent="0.3">
      <c r="A2845" s="23" t="s">
        <v>15822</v>
      </c>
      <c r="B2845" s="23" t="s">
        <v>75</v>
      </c>
      <c r="C2845" s="39">
        <v>5597</v>
      </c>
      <c r="D2845" s="24">
        <v>16.79</v>
      </c>
      <c r="E2845" s="24">
        <v>3.02</v>
      </c>
      <c r="F2845" s="23">
        <f>COUNTIFS(mdr_rate_cleaned!$A$2:$A$10,B2845,mdr_rate_cleaned!$B$2:$B$10,"&lt;"&amp;C2845,mdr_rate_cleaned!$F$2:$F$10,"&gt;="&amp;C2845)</f>
        <v>1</v>
      </c>
      <c r="G2845" s="40">
        <f>SUMIFS(mdr_rate_cleaned!$G$2:$G$10,mdr_rate_cleaned!$A$2:$A$10,B2845,mdr_rate_cleaned!$B$2:$B$10,"&lt;"&amp;C2845,mdr_rate_cleaned!$F$2:$F$10,"&gt;="&amp;C2845)</f>
        <v>3.0000000000000001E-3</v>
      </c>
      <c r="H2845" s="24">
        <f t="shared" si="220"/>
        <v>16.79</v>
      </c>
      <c r="I2845" s="23" t="str">
        <f t="shared" si="221"/>
        <v>Match</v>
      </c>
      <c r="J2845" s="23" t="str">
        <f t="shared" si="222"/>
        <v>Match</v>
      </c>
      <c r="K2845" s="24">
        <f t="shared" si="223"/>
        <v>3.02</v>
      </c>
      <c r="L2845" s="24">
        <f t="shared" si="224"/>
        <v>0</v>
      </c>
    </row>
    <row r="2846" spans="1:12" ht="15" customHeight="1" x14ac:dyDescent="0.3">
      <c r="A2846" s="23" t="s">
        <v>15823</v>
      </c>
      <c r="B2846" s="23" t="s">
        <v>75</v>
      </c>
      <c r="C2846" s="39">
        <v>5348</v>
      </c>
      <c r="D2846" s="24">
        <v>16.04</v>
      </c>
      <c r="E2846" s="24">
        <v>2.89</v>
      </c>
      <c r="F2846" s="23">
        <f>COUNTIFS(mdr_rate_cleaned!$A$2:$A$10,B2846,mdr_rate_cleaned!$B$2:$B$10,"&lt;"&amp;C2846,mdr_rate_cleaned!$F$2:$F$10,"&gt;="&amp;C2846)</f>
        <v>1</v>
      </c>
      <c r="G2846" s="40">
        <f>SUMIFS(mdr_rate_cleaned!$G$2:$G$10,mdr_rate_cleaned!$A$2:$A$10,B2846,mdr_rate_cleaned!$B$2:$B$10,"&lt;"&amp;C2846,mdr_rate_cleaned!$F$2:$F$10,"&gt;="&amp;C2846)</f>
        <v>3.0000000000000001E-3</v>
      </c>
      <c r="H2846" s="24">
        <f t="shared" si="220"/>
        <v>16.04</v>
      </c>
      <c r="I2846" s="23" t="str">
        <f t="shared" si="221"/>
        <v>Match</v>
      </c>
      <c r="J2846" s="23" t="str">
        <f t="shared" si="222"/>
        <v>Match</v>
      </c>
      <c r="K2846" s="24">
        <f t="shared" si="223"/>
        <v>2.89</v>
      </c>
      <c r="L2846" s="24">
        <f t="shared" si="224"/>
        <v>0</v>
      </c>
    </row>
    <row r="2847" spans="1:12" ht="15" customHeight="1" x14ac:dyDescent="0.3">
      <c r="A2847" s="23" t="s">
        <v>15824</v>
      </c>
      <c r="B2847" s="23" t="s">
        <v>79</v>
      </c>
      <c r="C2847" s="39">
        <v>1498</v>
      </c>
      <c r="D2847" s="24">
        <v>26.96</v>
      </c>
      <c r="E2847" s="24">
        <v>4.8499999999999996</v>
      </c>
      <c r="F2847" s="23">
        <f>COUNTIFS(mdr_rate_cleaned!$A$2:$A$10,B2847,mdr_rate_cleaned!$B$2:$B$10,"&lt;"&amp;C2847,mdr_rate_cleaned!$F$2:$F$10,"&gt;="&amp;C2847)</f>
        <v>1</v>
      </c>
      <c r="G2847" s="40">
        <f>SUMIFS(mdr_rate_cleaned!$G$2:$G$10,mdr_rate_cleaned!$A$2:$A$10,B2847,mdr_rate_cleaned!$B$2:$B$10,"&lt;"&amp;C2847,mdr_rate_cleaned!$F$2:$F$10,"&gt;="&amp;C2847)</f>
        <v>1.8000000000000002E-2</v>
      </c>
      <c r="H2847" s="24">
        <f t="shared" si="220"/>
        <v>26.96</v>
      </c>
      <c r="I2847" s="23" t="str">
        <f t="shared" si="221"/>
        <v>Match</v>
      </c>
      <c r="J2847" s="23" t="str">
        <f t="shared" si="222"/>
        <v>Match</v>
      </c>
      <c r="K2847" s="24">
        <f t="shared" si="223"/>
        <v>4.8499999999999996</v>
      </c>
      <c r="L2847" s="24">
        <f t="shared" si="224"/>
        <v>0</v>
      </c>
    </row>
    <row r="2848" spans="1:12" ht="15" customHeight="1" x14ac:dyDescent="0.3">
      <c r="A2848" s="23" t="s">
        <v>15825</v>
      </c>
      <c r="B2848" s="23" t="s">
        <v>79</v>
      </c>
      <c r="C2848" s="39">
        <v>1299</v>
      </c>
      <c r="D2848" s="24">
        <v>23.38</v>
      </c>
      <c r="E2848" s="24">
        <v>4.21</v>
      </c>
      <c r="F2848" s="23">
        <f>COUNTIFS(mdr_rate_cleaned!$A$2:$A$10,B2848,mdr_rate_cleaned!$B$2:$B$10,"&lt;"&amp;C2848,mdr_rate_cleaned!$F$2:$F$10,"&gt;="&amp;C2848)</f>
        <v>1</v>
      </c>
      <c r="G2848" s="40">
        <f>SUMIFS(mdr_rate_cleaned!$G$2:$G$10,mdr_rate_cleaned!$A$2:$A$10,B2848,mdr_rate_cleaned!$B$2:$B$10,"&lt;"&amp;C2848,mdr_rate_cleaned!$F$2:$F$10,"&gt;="&amp;C2848)</f>
        <v>1.8000000000000002E-2</v>
      </c>
      <c r="H2848" s="24">
        <f t="shared" si="220"/>
        <v>23.38</v>
      </c>
      <c r="I2848" s="23" t="str">
        <f t="shared" si="221"/>
        <v>Match</v>
      </c>
      <c r="J2848" s="23" t="str">
        <f t="shared" si="222"/>
        <v>Match</v>
      </c>
      <c r="K2848" s="24">
        <f t="shared" si="223"/>
        <v>4.21</v>
      </c>
      <c r="L2848" s="24">
        <f t="shared" si="224"/>
        <v>0</v>
      </c>
    </row>
    <row r="2849" spans="1:12" ht="15" customHeight="1" x14ac:dyDescent="0.3">
      <c r="A2849" s="23" t="s">
        <v>15826</v>
      </c>
      <c r="B2849" s="23" t="s">
        <v>75</v>
      </c>
      <c r="C2849" s="39">
        <v>2499</v>
      </c>
      <c r="D2849" s="24">
        <v>7.5</v>
      </c>
      <c r="E2849" s="24">
        <v>1.35</v>
      </c>
      <c r="F2849" s="23">
        <f>COUNTIFS(mdr_rate_cleaned!$A$2:$A$10,B2849,mdr_rate_cleaned!$B$2:$B$10,"&lt;"&amp;C2849,mdr_rate_cleaned!$F$2:$F$10,"&gt;="&amp;C2849)</f>
        <v>1</v>
      </c>
      <c r="G2849" s="40">
        <f>SUMIFS(mdr_rate_cleaned!$G$2:$G$10,mdr_rate_cleaned!$A$2:$A$10,B2849,mdr_rate_cleaned!$B$2:$B$10,"&lt;"&amp;C2849,mdr_rate_cleaned!$F$2:$F$10,"&gt;="&amp;C2849)</f>
        <v>3.0000000000000001E-3</v>
      </c>
      <c r="H2849" s="24">
        <f t="shared" si="220"/>
        <v>7.5</v>
      </c>
      <c r="I2849" s="23" t="str">
        <f t="shared" si="221"/>
        <v>Match</v>
      </c>
      <c r="J2849" s="23" t="str">
        <f t="shared" si="222"/>
        <v>Match</v>
      </c>
      <c r="K2849" s="24">
        <f t="shared" si="223"/>
        <v>1.35</v>
      </c>
      <c r="L2849" s="24">
        <f t="shared" si="224"/>
        <v>0</v>
      </c>
    </row>
    <row r="2850" spans="1:12" ht="15" customHeight="1" x14ac:dyDescent="0.3">
      <c r="A2850" s="23" t="s">
        <v>15827</v>
      </c>
      <c r="B2850" s="23" t="s">
        <v>75</v>
      </c>
      <c r="C2850" s="39">
        <v>499</v>
      </c>
      <c r="D2850" s="24">
        <v>0</v>
      </c>
      <c r="E2850" s="24">
        <v>0</v>
      </c>
      <c r="F2850" s="23">
        <f>COUNTIFS(mdr_rate_cleaned!$A$2:$A$10,B2850,mdr_rate_cleaned!$B$2:$B$10,"&lt;"&amp;C2850,mdr_rate_cleaned!$F$2:$F$10,"&gt;="&amp;C2850)</f>
        <v>1</v>
      </c>
      <c r="G2850" s="40">
        <f>SUMIFS(mdr_rate_cleaned!$G$2:$G$10,mdr_rate_cleaned!$A$2:$A$10,B2850,mdr_rate_cleaned!$B$2:$B$10,"&lt;"&amp;C2850,mdr_rate_cleaned!$F$2:$F$10,"&gt;="&amp;C2850)</f>
        <v>0</v>
      </c>
      <c r="H2850" s="24">
        <f t="shared" si="220"/>
        <v>0</v>
      </c>
      <c r="I2850" s="23" t="str">
        <f t="shared" si="221"/>
        <v>Match</v>
      </c>
      <c r="J2850" s="23" t="str">
        <f t="shared" si="222"/>
        <v>Match</v>
      </c>
      <c r="K2850" s="24">
        <f t="shared" si="223"/>
        <v>0</v>
      </c>
      <c r="L2850" s="24">
        <f t="shared" si="224"/>
        <v>0</v>
      </c>
    </row>
    <row r="2851" spans="1:12" ht="15" customHeight="1" x14ac:dyDescent="0.3">
      <c r="A2851" s="23" t="s">
        <v>15828</v>
      </c>
      <c r="B2851" s="23" t="s">
        <v>75</v>
      </c>
      <c r="C2851" s="39">
        <v>11498</v>
      </c>
      <c r="D2851" s="24">
        <v>34.49</v>
      </c>
      <c r="E2851" s="24">
        <v>6.21</v>
      </c>
      <c r="F2851" s="23">
        <f>COUNTIFS(mdr_rate_cleaned!$A$2:$A$10,B2851,mdr_rate_cleaned!$B$2:$B$10,"&lt;"&amp;C2851,mdr_rate_cleaned!$F$2:$F$10,"&gt;="&amp;C2851)</f>
        <v>1</v>
      </c>
      <c r="G2851" s="40">
        <f>SUMIFS(mdr_rate_cleaned!$G$2:$G$10,mdr_rate_cleaned!$A$2:$A$10,B2851,mdr_rate_cleaned!$B$2:$B$10,"&lt;"&amp;C2851,mdr_rate_cleaned!$F$2:$F$10,"&gt;="&amp;C2851)</f>
        <v>3.0000000000000001E-3</v>
      </c>
      <c r="H2851" s="24">
        <f t="shared" si="220"/>
        <v>34.49</v>
      </c>
      <c r="I2851" s="23" t="str">
        <f t="shared" si="221"/>
        <v>Match</v>
      </c>
      <c r="J2851" s="23" t="str">
        <f t="shared" si="222"/>
        <v>Match</v>
      </c>
      <c r="K2851" s="24">
        <f t="shared" si="223"/>
        <v>6.21</v>
      </c>
      <c r="L2851" s="24">
        <f t="shared" si="224"/>
        <v>0</v>
      </c>
    </row>
    <row r="2852" spans="1:12" ht="15" customHeight="1" x14ac:dyDescent="0.3">
      <c r="A2852" s="23" t="s">
        <v>15830</v>
      </c>
      <c r="B2852" s="23" t="s">
        <v>79</v>
      </c>
      <c r="C2852" s="39">
        <v>4999</v>
      </c>
      <c r="D2852" s="24">
        <v>79.98</v>
      </c>
      <c r="E2852" s="24">
        <v>14.4</v>
      </c>
      <c r="F2852" s="23">
        <f>COUNTIFS(mdr_rate_cleaned!$A$2:$A$10,B2852,mdr_rate_cleaned!$B$2:$B$10,"&lt;"&amp;C2852,mdr_rate_cleaned!$F$2:$F$10,"&gt;="&amp;C2852)</f>
        <v>1</v>
      </c>
      <c r="G2852" s="40">
        <f>SUMIFS(mdr_rate_cleaned!$G$2:$G$10,mdr_rate_cleaned!$A$2:$A$10,B2852,mdr_rate_cleaned!$B$2:$B$10,"&lt;"&amp;C2852,mdr_rate_cleaned!$F$2:$F$10,"&gt;="&amp;C2852)</f>
        <v>1.6E-2</v>
      </c>
      <c r="H2852" s="24">
        <f t="shared" si="220"/>
        <v>79.98</v>
      </c>
      <c r="I2852" s="23" t="str">
        <f t="shared" si="221"/>
        <v>Match</v>
      </c>
      <c r="J2852" s="23" t="str">
        <f t="shared" si="222"/>
        <v>Match</v>
      </c>
      <c r="K2852" s="24">
        <f t="shared" si="223"/>
        <v>14.4</v>
      </c>
      <c r="L2852" s="24">
        <f t="shared" si="224"/>
        <v>0</v>
      </c>
    </row>
    <row r="2853" spans="1:12" ht="15" customHeight="1" x14ac:dyDescent="0.3">
      <c r="A2853" s="23" t="s">
        <v>15831</v>
      </c>
      <c r="B2853" s="23" t="s">
        <v>75</v>
      </c>
      <c r="C2853" s="39">
        <v>799</v>
      </c>
      <c r="D2853" s="24">
        <v>0</v>
      </c>
      <c r="E2853" s="24">
        <v>0</v>
      </c>
      <c r="F2853" s="23">
        <f>COUNTIFS(mdr_rate_cleaned!$A$2:$A$10,B2853,mdr_rate_cleaned!$B$2:$B$10,"&lt;"&amp;C2853,mdr_rate_cleaned!$F$2:$F$10,"&gt;="&amp;C2853)</f>
        <v>1</v>
      </c>
      <c r="G2853" s="40">
        <f>SUMIFS(mdr_rate_cleaned!$G$2:$G$10,mdr_rate_cleaned!$A$2:$A$10,B2853,mdr_rate_cleaned!$B$2:$B$10,"&lt;"&amp;C2853,mdr_rate_cleaned!$F$2:$F$10,"&gt;="&amp;C2853)</f>
        <v>0</v>
      </c>
      <c r="H2853" s="24">
        <f t="shared" si="220"/>
        <v>0</v>
      </c>
      <c r="I2853" s="23" t="str">
        <f t="shared" si="221"/>
        <v>Match</v>
      </c>
      <c r="J2853" s="23" t="str">
        <f t="shared" si="222"/>
        <v>Match</v>
      </c>
      <c r="K2853" s="24">
        <f t="shared" si="223"/>
        <v>0</v>
      </c>
      <c r="L2853" s="24">
        <f t="shared" si="224"/>
        <v>0</v>
      </c>
    </row>
    <row r="2854" spans="1:12" ht="15" customHeight="1" x14ac:dyDescent="0.3">
      <c r="A2854" s="23" t="s">
        <v>15832</v>
      </c>
      <c r="B2854" s="23" t="s">
        <v>75</v>
      </c>
      <c r="C2854" s="39">
        <v>299</v>
      </c>
      <c r="D2854" s="24">
        <v>0</v>
      </c>
      <c r="E2854" s="24">
        <v>0</v>
      </c>
      <c r="F2854" s="23">
        <f>COUNTIFS(mdr_rate_cleaned!$A$2:$A$10,B2854,mdr_rate_cleaned!$B$2:$B$10,"&lt;"&amp;C2854,mdr_rate_cleaned!$F$2:$F$10,"&gt;="&amp;C2854)</f>
        <v>1</v>
      </c>
      <c r="G2854" s="40">
        <f>SUMIFS(mdr_rate_cleaned!$G$2:$G$10,mdr_rate_cleaned!$A$2:$A$10,B2854,mdr_rate_cleaned!$B$2:$B$10,"&lt;"&amp;C2854,mdr_rate_cleaned!$F$2:$F$10,"&gt;="&amp;C2854)</f>
        <v>0</v>
      </c>
      <c r="H2854" s="24">
        <f t="shared" si="220"/>
        <v>0</v>
      </c>
      <c r="I2854" s="23" t="str">
        <f t="shared" si="221"/>
        <v>Match</v>
      </c>
      <c r="J2854" s="23" t="str">
        <f t="shared" si="222"/>
        <v>Match</v>
      </c>
      <c r="K2854" s="24">
        <f t="shared" si="223"/>
        <v>0</v>
      </c>
      <c r="L2854" s="24">
        <f t="shared" si="224"/>
        <v>0</v>
      </c>
    </row>
    <row r="2855" spans="1:12" ht="15" customHeight="1" x14ac:dyDescent="0.3">
      <c r="A2855" s="23" t="s">
        <v>15833</v>
      </c>
      <c r="B2855" s="23" t="s">
        <v>79</v>
      </c>
      <c r="C2855" s="39">
        <v>1499</v>
      </c>
      <c r="D2855" s="24">
        <v>26.98</v>
      </c>
      <c r="E2855" s="24">
        <v>4.8600000000000003</v>
      </c>
      <c r="F2855" s="23">
        <f>COUNTIFS(mdr_rate_cleaned!$A$2:$A$10,B2855,mdr_rate_cleaned!$B$2:$B$10,"&lt;"&amp;C2855,mdr_rate_cleaned!$F$2:$F$10,"&gt;="&amp;C2855)</f>
        <v>1</v>
      </c>
      <c r="G2855" s="40">
        <f>SUMIFS(mdr_rate_cleaned!$G$2:$G$10,mdr_rate_cleaned!$A$2:$A$10,B2855,mdr_rate_cleaned!$B$2:$B$10,"&lt;"&amp;C2855,mdr_rate_cleaned!$F$2:$F$10,"&gt;="&amp;C2855)</f>
        <v>1.8000000000000002E-2</v>
      </c>
      <c r="H2855" s="24">
        <f t="shared" si="220"/>
        <v>26.98</v>
      </c>
      <c r="I2855" s="23" t="str">
        <f t="shared" si="221"/>
        <v>Match</v>
      </c>
      <c r="J2855" s="23" t="str">
        <f t="shared" si="222"/>
        <v>Match</v>
      </c>
      <c r="K2855" s="24">
        <f t="shared" si="223"/>
        <v>4.8600000000000003</v>
      </c>
      <c r="L2855" s="24">
        <f t="shared" si="224"/>
        <v>0</v>
      </c>
    </row>
    <row r="2856" spans="1:12" ht="15" customHeight="1" x14ac:dyDescent="0.3">
      <c r="A2856" s="23" t="s">
        <v>15834</v>
      </c>
      <c r="B2856" s="23" t="s">
        <v>75</v>
      </c>
      <c r="C2856" s="39">
        <v>5998</v>
      </c>
      <c r="D2856" s="24">
        <v>17.989999999999998</v>
      </c>
      <c r="E2856" s="24">
        <v>3.24</v>
      </c>
      <c r="F2856" s="23">
        <f>COUNTIFS(mdr_rate_cleaned!$A$2:$A$10,B2856,mdr_rate_cleaned!$B$2:$B$10,"&lt;"&amp;C2856,mdr_rate_cleaned!$F$2:$F$10,"&gt;="&amp;C2856)</f>
        <v>1</v>
      </c>
      <c r="G2856" s="40">
        <f>SUMIFS(mdr_rate_cleaned!$G$2:$G$10,mdr_rate_cleaned!$A$2:$A$10,B2856,mdr_rate_cleaned!$B$2:$B$10,"&lt;"&amp;C2856,mdr_rate_cleaned!$F$2:$F$10,"&gt;="&amp;C2856)</f>
        <v>3.0000000000000001E-3</v>
      </c>
      <c r="H2856" s="24">
        <f t="shared" si="220"/>
        <v>17.989999999999998</v>
      </c>
      <c r="I2856" s="23" t="str">
        <f t="shared" si="221"/>
        <v>Match</v>
      </c>
      <c r="J2856" s="23" t="str">
        <f t="shared" si="222"/>
        <v>Match</v>
      </c>
      <c r="K2856" s="24">
        <f t="shared" si="223"/>
        <v>3.24</v>
      </c>
      <c r="L2856" s="24">
        <f t="shared" si="224"/>
        <v>0</v>
      </c>
    </row>
    <row r="2857" spans="1:12" ht="15" customHeight="1" x14ac:dyDescent="0.3">
      <c r="A2857" s="23" t="s">
        <v>15835</v>
      </c>
      <c r="B2857" s="23" t="s">
        <v>79</v>
      </c>
      <c r="C2857" s="39">
        <v>4999</v>
      </c>
      <c r="D2857" s="24">
        <v>79.98</v>
      </c>
      <c r="E2857" s="24">
        <v>14.4</v>
      </c>
      <c r="F2857" s="23">
        <f>COUNTIFS(mdr_rate_cleaned!$A$2:$A$10,B2857,mdr_rate_cleaned!$B$2:$B$10,"&lt;"&amp;C2857,mdr_rate_cleaned!$F$2:$F$10,"&gt;="&amp;C2857)</f>
        <v>1</v>
      </c>
      <c r="G2857" s="40">
        <f>SUMIFS(mdr_rate_cleaned!$G$2:$G$10,mdr_rate_cleaned!$A$2:$A$10,B2857,mdr_rate_cleaned!$B$2:$B$10,"&lt;"&amp;C2857,mdr_rate_cleaned!$F$2:$F$10,"&gt;="&amp;C2857)</f>
        <v>1.6E-2</v>
      </c>
      <c r="H2857" s="24">
        <f t="shared" si="220"/>
        <v>79.98</v>
      </c>
      <c r="I2857" s="23" t="str">
        <f t="shared" si="221"/>
        <v>Match</v>
      </c>
      <c r="J2857" s="23" t="str">
        <f t="shared" si="222"/>
        <v>Match</v>
      </c>
      <c r="K2857" s="24">
        <f t="shared" si="223"/>
        <v>14.4</v>
      </c>
      <c r="L2857" s="24">
        <f t="shared" si="224"/>
        <v>0</v>
      </c>
    </row>
    <row r="2858" spans="1:12" ht="15" customHeight="1" x14ac:dyDescent="0.3">
      <c r="A2858" s="23" t="s">
        <v>15837</v>
      </c>
      <c r="B2858" s="23" t="s">
        <v>79</v>
      </c>
      <c r="C2858" s="39">
        <v>12998</v>
      </c>
      <c r="D2858" s="24">
        <v>207.97</v>
      </c>
      <c r="E2858" s="24">
        <v>37.43</v>
      </c>
      <c r="F2858" s="23">
        <f>COUNTIFS(mdr_rate_cleaned!$A$2:$A$10,B2858,mdr_rate_cleaned!$B$2:$B$10,"&lt;"&amp;C2858,mdr_rate_cleaned!$F$2:$F$10,"&gt;="&amp;C2858)</f>
        <v>1</v>
      </c>
      <c r="G2858" s="40">
        <f>SUMIFS(mdr_rate_cleaned!$G$2:$G$10,mdr_rate_cleaned!$A$2:$A$10,B2858,mdr_rate_cleaned!$B$2:$B$10,"&lt;"&amp;C2858,mdr_rate_cleaned!$F$2:$F$10,"&gt;="&amp;C2858)</f>
        <v>1.6E-2</v>
      </c>
      <c r="H2858" s="24">
        <f t="shared" si="220"/>
        <v>207.97</v>
      </c>
      <c r="I2858" s="23" t="str">
        <f t="shared" si="221"/>
        <v>Match</v>
      </c>
      <c r="J2858" s="23" t="str">
        <f t="shared" si="222"/>
        <v>Match</v>
      </c>
      <c r="K2858" s="24">
        <f t="shared" si="223"/>
        <v>37.43</v>
      </c>
      <c r="L2858" s="24">
        <f t="shared" si="224"/>
        <v>0</v>
      </c>
    </row>
    <row r="2859" spans="1:12" ht="15" customHeight="1" x14ac:dyDescent="0.3">
      <c r="A2859" s="23" t="s">
        <v>15838</v>
      </c>
      <c r="B2859" s="23" t="s">
        <v>77</v>
      </c>
      <c r="C2859" s="39">
        <v>4998</v>
      </c>
      <c r="D2859" s="24">
        <v>84.97</v>
      </c>
      <c r="E2859" s="24">
        <v>15.29</v>
      </c>
      <c r="F2859" s="23">
        <f>COUNTIFS(mdr_rate_cleaned!$A$2:$A$10,B2859,mdr_rate_cleaned!$B$2:$B$10,"&lt;"&amp;C2859,mdr_rate_cleaned!$F$2:$F$10,"&gt;="&amp;C2859)</f>
        <v>1</v>
      </c>
      <c r="G2859" s="40">
        <f>SUMIFS(mdr_rate_cleaned!$G$2:$G$10,mdr_rate_cleaned!$A$2:$A$10,B2859,mdr_rate_cleaned!$B$2:$B$10,"&lt;"&amp;C2859,mdr_rate_cleaned!$F$2:$F$10,"&gt;="&amp;C2859)</f>
        <v>1.7000000000000001E-2</v>
      </c>
      <c r="H2859" s="24">
        <f t="shared" si="220"/>
        <v>84.97</v>
      </c>
      <c r="I2859" s="23" t="str">
        <f t="shared" si="221"/>
        <v>Match</v>
      </c>
      <c r="J2859" s="23" t="str">
        <f t="shared" si="222"/>
        <v>Match</v>
      </c>
      <c r="K2859" s="24">
        <f t="shared" si="223"/>
        <v>15.29</v>
      </c>
      <c r="L2859" s="24">
        <f t="shared" si="224"/>
        <v>0</v>
      </c>
    </row>
    <row r="2860" spans="1:12" ht="15" customHeight="1" x14ac:dyDescent="0.3">
      <c r="A2860" s="23" t="s">
        <v>15839</v>
      </c>
      <c r="B2860" s="23" t="s">
        <v>75</v>
      </c>
      <c r="C2860" s="39">
        <v>499</v>
      </c>
      <c r="D2860" s="24">
        <v>0</v>
      </c>
      <c r="E2860" s="24">
        <v>0</v>
      </c>
      <c r="F2860" s="23">
        <f>COUNTIFS(mdr_rate_cleaned!$A$2:$A$10,B2860,mdr_rate_cleaned!$B$2:$B$10,"&lt;"&amp;C2860,mdr_rate_cleaned!$F$2:$F$10,"&gt;="&amp;C2860)</f>
        <v>1</v>
      </c>
      <c r="G2860" s="40">
        <f>SUMIFS(mdr_rate_cleaned!$G$2:$G$10,mdr_rate_cleaned!$A$2:$A$10,B2860,mdr_rate_cleaned!$B$2:$B$10,"&lt;"&amp;C2860,mdr_rate_cleaned!$F$2:$F$10,"&gt;="&amp;C2860)</f>
        <v>0</v>
      </c>
      <c r="H2860" s="24">
        <f t="shared" si="220"/>
        <v>0</v>
      </c>
      <c r="I2860" s="23" t="str">
        <f t="shared" si="221"/>
        <v>Match</v>
      </c>
      <c r="J2860" s="23" t="str">
        <f t="shared" si="222"/>
        <v>Match</v>
      </c>
      <c r="K2860" s="24">
        <f t="shared" si="223"/>
        <v>0</v>
      </c>
      <c r="L2860" s="24">
        <f t="shared" si="224"/>
        <v>0</v>
      </c>
    </row>
    <row r="2861" spans="1:12" ht="15" customHeight="1" x14ac:dyDescent="0.3">
      <c r="A2861" s="23" t="s">
        <v>15840</v>
      </c>
      <c r="B2861" s="23" t="s">
        <v>79</v>
      </c>
      <c r="C2861" s="39">
        <v>349</v>
      </c>
      <c r="D2861" s="24">
        <v>6.28</v>
      </c>
      <c r="E2861" s="24">
        <v>1.1299999999999999</v>
      </c>
      <c r="F2861" s="23">
        <f>COUNTIFS(mdr_rate_cleaned!$A$2:$A$10,B2861,mdr_rate_cleaned!$B$2:$B$10,"&lt;"&amp;C2861,mdr_rate_cleaned!$F$2:$F$10,"&gt;="&amp;C2861)</f>
        <v>1</v>
      </c>
      <c r="G2861" s="40">
        <f>SUMIFS(mdr_rate_cleaned!$G$2:$G$10,mdr_rate_cleaned!$A$2:$A$10,B2861,mdr_rate_cleaned!$B$2:$B$10,"&lt;"&amp;C2861,mdr_rate_cleaned!$F$2:$F$10,"&gt;="&amp;C2861)</f>
        <v>1.8000000000000002E-2</v>
      </c>
      <c r="H2861" s="24">
        <f t="shared" si="220"/>
        <v>6.28</v>
      </c>
      <c r="I2861" s="23" t="str">
        <f t="shared" si="221"/>
        <v>Match</v>
      </c>
      <c r="J2861" s="23" t="str">
        <f t="shared" si="222"/>
        <v>Match</v>
      </c>
      <c r="K2861" s="24">
        <f t="shared" si="223"/>
        <v>1.1299999999999999</v>
      </c>
      <c r="L2861" s="24">
        <f t="shared" si="224"/>
        <v>0</v>
      </c>
    </row>
    <row r="2862" spans="1:12" ht="15" customHeight="1" x14ac:dyDescent="0.3">
      <c r="A2862" s="23" t="s">
        <v>15841</v>
      </c>
      <c r="B2862" s="23" t="s">
        <v>79</v>
      </c>
      <c r="C2862" s="39">
        <v>2297</v>
      </c>
      <c r="D2862" s="24">
        <v>36.75</v>
      </c>
      <c r="E2862" s="24">
        <v>6.62</v>
      </c>
      <c r="F2862" s="23">
        <f>COUNTIFS(mdr_rate_cleaned!$A$2:$A$10,B2862,mdr_rate_cleaned!$B$2:$B$10,"&lt;"&amp;C2862,mdr_rate_cleaned!$F$2:$F$10,"&gt;="&amp;C2862)</f>
        <v>1</v>
      </c>
      <c r="G2862" s="40">
        <f>SUMIFS(mdr_rate_cleaned!$G$2:$G$10,mdr_rate_cleaned!$A$2:$A$10,B2862,mdr_rate_cleaned!$B$2:$B$10,"&lt;"&amp;C2862,mdr_rate_cleaned!$F$2:$F$10,"&gt;="&amp;C2862)</f>
        <v>1.6E-2</v>
      </c>
      <c r="H2862" s="24">
        <f t="shared" si="220"/>
        <v>36.75</v>
      </c>
      <c r="I2862" s="23" t="str">
        <f t="shared" si="221"/>
        <v>Match</v>
      </c>
      <c r="J2862" s="23" t="str">
        <f t="shared" si="222"/>
        <v>Match</v>
      </c>
      <c r="K2862" s="24">
        <f t="shared" si="223"/>
        <v>6.62</v>
      </c>
      <c r="L2862" s="24">
        <f t="shared" si="224"/>
        <v>0</v>
      </c>
    </row>
    <row r="2863" spans="1:12" ht="15" customHeight="1" x14ac:dyDescent="0.3">
      <c r="A2863" s="23" t="s">
        <v>15842</v>
      </c>
      <c r="B2863" s="23" t="s">
        <v>75</v>
      </c>
      <c r="C2863" s="39">
        <v>2098</v>
      </c>
      <c r="D2863" s="24">
        <v>6.29</v>
      </c>
      <c r="E2863" s="24">
        <v>1.1299999999999999</v>
      </c>
      <c r="F2863" s="23">
        <f>COUNTIFS(mdr_rate_cleaned!$A$2:$A$10,B2863,mdr_rate_cleaned!$B$2:$B$10,"&lt;"&amp;C2863,mdr_rate_cleaned!$F$2:$F$10,"&gt;="&amp;C2863)</f>
        <v>1</v>
      </c>
      <c r="G2863" s="40">
        <f>SUMIFS(mdr_rate_cleaned!$G$2:$G$10,mdr_rate_cleaned!$A$2:$A$10,B2863,mdr_rate_cleaned!$B$2:$B$10,"&lt;"&amp;C2863,mdr_rate_cleaned!$F$2:$F$10,"&gt;="&amp;C2863)</f>
        <v>3.0000000000000001E-3</v>
      </c>
      <c r="H2863" s="24">
        <f t="shared" si="220"/>
        <v>6.29</v>
      </c>
      <c r="I2863" s="23" t="str">
        <f t="shared" si="221"/>
        <v>Match</v>
      </c>
      <c r="J2863" s="23" t="str">
        <f t="shared" si="222"/>
        <v>Match</v>
      </c>
      <c r="K2863" s="24">
        <f t="shared" si="223"/>
        <v>1.1299999999999999</v>
      </c>
      <c r="L2863" s="24">
        <f t="shared" si="224"/>
        <v>0</v>
      </c>
    </row>
    <row r="2864" spans="1:12" ht="15" customHeight="1" x14ac:dyDescent="0.3">
      <c r="A2864" s="23" t="s">
        <v>15843</v>
      </c>
      <c r="B2864" s="23" t="s">
        <v>75</v>
      </c>
      <c r="C2864" s="39">
        <v>1799</v>
      </c>
      <c r="D2864" s="24">
        <v>0</v>
      </c>
      <c r="E2864" s="24">
        <v>0</v>
      </c>
      <c r="F2864" s="23">
        <f>COUNTIFS(mdr_rate_cleaned!$A$2:$A$10,B2864,mdr_rate_cleaned!$B$2:$B$10,"&lt;"&amp;C2864,mdr_rate_cleaned!$F$2:$F$10,"&gt;="&amp;C2864)</f>
        <v>1</v>
      </c>
      <c r="G2864" s="40">
        <f>SUMIFS(mdr_rate_cleaned!$G$2:$G$10,mdr_rate_cleaned!$A$2:$A$10,B2864,mdr_rate_cleaned!$B$2:$B$10,"&lt;"&amp;C2864,mdr_rate_cleaned!$F$2:$F$10,"&gt;="&amp;C2864)</f>
        <v>0</v>
      </c>
      <c r="H2864" s="24">
        <f t="shared" si="220"/>
        <v>0</v>
      </c>
      <c r="I2864" s="23" t="str">
        <f t="shared" si="221"/>
        <v>Match</v>
      </c>
      <c r="J2864" s="23" t="str">
        <f t="shared" si="222"/>
        <v>Match</v>
      </c>
      <c r="K2864" s="24">
        <f t="shared" si="223"/>
        <v>0</v>
      </c>
      <c r="L2864" s="24">
        <f t="shared" si="224"/>
        <v>0</v>
      </c>
    </row>
    <row r="2865" spans="1:12" ht="15" customHeight="1" x14ac:dyDescent="0.3">
      <c r="A2865" s="23" t="s">
        <v>15844</v>
      </c>
      <c r="B2865" s="23" t="s">
        <v>79</v>
      </c>
      <c r="C2865" s="39">
        <v>1499</v>
      </c>
      <c r="D2865" s="24">
        <v>26.98</v>
      </c>
      <c r="E2865" s="24">
        <v>4.8600000000000003</v>
      </c>
      <c r="F2865" s="23">
        <f>COUNTIFS(mdr_rate_cleaned!$A$2:$A$10,B2865,mdr_rate_cleaned!$B$2:$B$10,"&lt;"&amp;C2865,mdr_rate_cleaned!$F$2:$F$10,"&gt;="&amp;C2865)</f>
        <v>1</v>
      </c>
      <c r="G2865" s="40">
        <f>SUMIFS(mdr_rate_cleaned!$G$2:$G$10,mdr_rate_cleaned!$A$2:$A$10,B2865,mdr_rate_cleaned!$B$2:$B$10,"&lt;"&amp;C2865,mdr_rate_cleaned!$F$2:$F$10,"&gt;="&amp;C2865)</f>
        <v>1.8000000000000002E-2</v>
      </c>
      <c r="H2865" s="24">
        <f t="shared" si="220"/>
        <v>26.98</v>
      </c>
      <c r="I2865" s="23" t="str">
        <f t="shared" si="221"/>
        <v>Match</v>
      </c>
      <c r="J2865" s="23" t="str">
        <f t="shared" si="222"/>
        <v>Match</v>
      </c>
      <c r="K2865" s="24">
        <f t="shared" si="223"/>
        <v>4.8600000000000003</v>
      </c>
      <c r="L2865" s="24">
        <f t="shared" si="224"/>
        <v>0</v>
      </c>
    </row>
    <row r="2866" spans="1:12" ht="15" customHeight="1" x14ac:dyDescent="0.3">
      <c r="A2866" s="23" t="s">
        <v>15845</v>
      </c>
      <c r="B2866" s="23" t="s">
        <v>75</v>
      </c>
      <c r="C2866" s="39">
        <v>7999</v>
      </c>
      <c r="D2866" s="24">
        <v>24</v>
      </c>
      <c r="E2866" s="24">
        <v>4.32</v>
      </c>
      <c r="F2866" s="23">
        <f>COUNTIFS(mdr_rate_cleaned!$A$2:$A$10,B2866,mdr_rate_cleaned!$B$2:$B$10,"&lt;"&amp;C2866,mdr_rate_cleaned!$F$2:$F$10,"&gt;="&amp;C2866)</f>
        <v>1</v>
      </c>
      <c r="G2866" s="40">
        <f>SUMIFS(mdr_rate_cleaned!$G$2:$G$10,mdr_rate_cleaned!$A$2:$A$10,B2866,mdr_rate_cleaned!$B$2:$B$10,"&lt;"&amp;C2866,mdr_rate_cleaned!$F$2:$F$10,"&gt;="&amp;C2866)</f>
        <v>3.0000000000000001E-3</v>
      </c>
      <c r="H2866" s="24">
        <f t="shared" si="220"/>
        <v>24</v>
      </c>
      <c r="I2866" s="23" t="str">
        <f t="shared" si="221"/>
        <v>Match</v>
      </c>
      <c r="J2866" s="23" t="str">
        <f t="shared" si="222"/>
        <v>Match</v>
      </c>
      <c r="K2866" s="24">
        <f t="shared" si="223"/>
        <v>4.32</v>
      </c>
      <c r="L2866" s="24">
        <f t="shared" si="224"/>
        <v>0</v>
      </c>
    </row>
    <row r="2867" spans="1:12" ht="15" customHeight="1" x14ac:dyDescent="0.3">
      <c r="A2867" s="23" t="s">
        <v>15846</v>
      </c>
      <c r="B2867" s="23" t="s">
        <v>75</v>
      </c>
      <c r="C2867" s="39">
        <v>10147</v>
      </c>
      <c r="D2867" s="24">
        <v>30.44</v>
      </c>
      <c r="E2867" s="24">
        <v>5.48</v>
      </c>
      <c r="F2867" s="23">
        <f>COUNTIFS(mdr_rate_cleaned!$A$2:$A$10,B2867,mdr_rate_cleaned!$B$2:$B$10,"&lt;"&amp;C2867,mdr_rate_cleaned!$F$2:$F$10,"&gt;="&amp;C2867)</f>
        <v>1</v>
      </c>
      <c r="G2867" s="40">
        <f>SUMIFS(mdr_rate_cleaned!$G$2:$G$10,mdr_rate_cleaned!$A$2:$A$10,B2867,mdr_rate_cleaned!$B$2:$B$10,"&lt;"&amp;C2867,mdr_rate_cleaned!$F$2:$F$10,"&gt;="&amp;C2867)</f>
        <v>3.0000000000000001E-3</v>
      </c>
      <c r="H2867" s="24">
        <f t="shared" si="220"/>
        <v>30.44</v>
      </c>
      <c r="I2867" s="23" t="str">
        <f t="shared" si="221"/>
        <v>Match</v>
      </c>
      <c r="J2867" s="23" t="str">
        <f t="shared" si="222"/>
        <v>Match</v>
      </c>
      <c r="K2867" s="24">
        <f t="shared" si="223"/>
        <v>5.48</v>
      </c>
      <c r="L2867" s="24">
        <f t="shared" si="224"/>
        <v>0</v>
      </c>
    </row>
    <row r="2868" spans="1:12" ht="15" customHeight="1" x14ac:dyDescent="0.3">
      <c r="A2868" s="23" t="s">
        <v>15847</v>
      </c>
      <c r="B2868" s="23" t="s">
        <v>75</v>
      </c>
      <c r="C2868" s="39">
        <v>599</v>
      </c>
      <c r="D2868" s="24">
        <v>0</v>
      </c>
      <c r="E2868" s="24">
        <v>0</v>
      </c>
      <c r="F2868" s="23">
        <f>COUNTIFS(mdr_rate_cleaned!$A$2:$A$10,B2868,mdr_rate_cleaned!$B$2:$B$10,"&lt;"&amp;C2868,mdr_rate_cleaned!$F$2:$F$10,"&gt;="&amp;C2868)</f>
        <v>1</v>
      </c>
      <c r="G2868" s="40">
        <f>SUMIFS(mdr_rate_cleaned!$G$2:$G$10,mdr_rate_cleaned!$A$2:$A$10,B2868,mdr_rate_cleaned!$B$2:$B$10,"&lt;"&amp;C2868,mdr_rate_cleaned!$F$2:$F$10,"&gt;="&amp;C2868)</f>
        <v>0</v>
      </c>
      <c r="H2868" s="24">
        <f t="shared" si="220"/>
        <v>0</v>
      </c>
      <c r="I2868" s="23" t="str">
        <f t="shared" si="221"/>
        <v>Match</v>
      </c>
      <c r="J2868" s="23" t="str">
        <f t="shared" si="222"/>
        <v>Match</v>
      </c>
      <c r="K2868" s="24">
        <f t="shared" si="223"/>
        <v>0</v>
      </c>
      <c r="L2868" s="24">
        <f t="shared" si="224"/>
        <v>0</v>
      </c>
    </row>
    <row r="2869" spans="1:12" ht="15" customHeight="1" x14ac:dyDescent="0.3">
      <c r="A2869" s="23" t="s">
        <v>15848</v>
      </c>
      <c r="B2869" s="23" t="s">
        <v>77</v>
      </c>
      <c r="C2869" s="39">
        <v>4999</v>
      </c>
      <c r="D2869" s="24">
        <v>84.98</v>
      </c>
      <c r="E2869" s="24">
        <v>15.3</v>
      </c>
      <c r="F2869" s="23">
        <f>COUNTIFS(mdr_rate_cleaned!$A$2:$A$10,B2869,mdr_rate_cleaned!$B$2:$B$10,"&lt;"&amp;C2869,mdr_rate_cleaned!$F$2:$F$10,"&gt;="&amp;C2869)</f>
        <v>1</v>
      </c>
      <c r="G2869" s="40">
        <f>SUMIFS(mdr_rate_cleaned!$G$2:$G$10,mdr_rate_cleaned!$A$2:$A$10,B2869,mdr_rate_cleaned!$B$2:$B$10,"&lt;"&amp;C2869,mdr_rate_cleaned!$F$2:$F$10,"&gt;="&amp;C2869)</f>
        <v>1.7000000000000001E-2</v>
      </c>
      <c r="H2869" s="24">
        <f t="shared" si="220"/>
        <v>84.98</v>
      </c>
      <c r="I2869" s="23" t="str">
        <f t="shared" si="221"/>
        <v>Match</v>
      </c>
      <c r="J2869" s="23" t="str">
        <f t="shared" si="222"/>
        <v>Match</v>
      </c>
      <c r="K2869" s="24">
        <f t="shared" si="223"/>
        <v>15.3</v>
      </c>
      <c r="L2869" s="24">
        <f t="shared" si="224"/>
        <v>0</v>
      </c>
    </row>
    <row r="2870" spans="1:12" ht="15" customHeight="1" x14ac:dyDescent="0.3">
      <c r="A2870" s="23" t="s">
        <v>15849</v>
      </c>
      <c r="B2870" s="23" t="s">
        <v>81</v>
      </c>
      <c r="C2870" s="39">
        <v>499</v>
      </c>
      <c r="D2870" s="24">
        <v>7.49</v>
      </c>
      <c r="E2870" s="24">
        <v>1.35</v>
      </c>
      <c r="F2870" s="23">
        <f>COUNTIFS(mdr_rate_cleaned!$A$2:$A$10,B2870,mdr_rate_cleaned!$B$2:$B$10,"&lt;"&amp;C2870,mdr_rate_cleaned!$F$2:$F$10,"&gt;="&amp;C2870)</f>
        <v>1</v>
      </c>
      <c r="G2870" s="40">
        <f>SUMIFS(mdr_rate_cleaned!$G$2:$G$10,mdr_rate_cleaned!$A$2:$A$10,B2870,mdr_rate_cleaned!$B$2:$B$10,"&lt;"&amp;C2870,mdr_rate_cleaned!$F$2:$F$10,"&gt;="&amp;C2870)</f>
        <v>1.4999999999999999E-2</v>
      </c>
      <c r="H2870" s="24">
        <f t="shared" si="220"/>
        <v>7.49</v>
      </c>
      <c r="I2870" s="23" t="str">
        <f t="shared" si="221"/>
        <v>Match</v>
      </c>
      <c r="J2870" s="23" t="str">
        <f t="shared" si="222"/>
        <v>Match</v>
      </c>
      <c r="K2870" s="24">
        <f t="shared" si="223"/>
        <v>1.35</v>
      </c>
      <c r="L2870" s="24">
        <f t="shared" si="224"/>
        <v>0</v>
      </c>
    </row>
    <row r="2871" spans="1:12" ht="15" customHeight="1" x14ac:dyDescent="0.3">
      <c r="A2871" s="23" t="s">
        <v>15850</v>
      </c>
      <c r="B2871" s="23" t="s">
        <v>79</v>
      </c>
      <c r="C2871" s="39">
        <v>2647</v>
      </c>
      <c r="D2871" s="24">
        <v>42.35</v>
      </c>
      <c r="E2871" s="24">
        <v>7.62</v>
      </c>
      <c r="F2871" s="23">
        <f>COUNTIFS(mdr_rate_cleaned!$A$2:$A$10,B2871,mdr_rate_cleaned!$B$2:$B$10,"&lt;"&amp;C2871,mdr_rate_cleaned!$F$2:$F$10,"&gt;="&amp;C2871)</f>
        <v>1</v>
      </c>
      <c r="G2871" s="40">
        <f>SUMIFS(mdr_rate_cleaned!$G$2:$G$10,mdr_rate_cleaned!$A$2:$A$10,B2871,mdr_rate_cleaned!$B$2:$B$10,"&lt;"&amp;C2871,mdr_rate_cleaned!$F$2:$F$10,"&gt;="&amp;C2871)</f>
        <v>1.6E-2</v>
      </c>
      <c r="H2871" s="24">
        <f t="shared" si="220"/>
        <v>42.35</v>
      </c>
      <c r="I2871" s="23" t="str">
        <f t="shared" si="221"/>
        <v>Match</v>
      </c>
      <c r="J2871" s="23" t="str">
        <f t="shared" si="222"/>
        <v>Match</v>
      </c>
      <c r="K2871" s="24">
        <f t="shared" si="223"/>
        <v>7.62</v>
      </c>
      <c r="L2871" s="24">
        <f t="shared" si="224"/>
        <v>0</v>
      </c>
    </row>
    <row r="2872" spans="1:12" ht="15" customHeight="1" x14ac:dyDescent="0.3">
      <c r="A2872" s="23" t="s">
        <v>15851</v>
      </c>
      <c r="B2872" s="23" t="s">
        <v>79</v>
      </c>
      <c r="C2872" s="39">
        <v>4999</v>
      </c>
      <c r="D2872" s="24">
        <v>79.98</v>
      </c>
      <c r="E2872" s="24">
        <v>14.4</v>
      </c>
      <c r="F2872" s="23">
        <f>COUNTIFS(mdr_rate_cleaned!$A$2:$A$10,B2872,mdr_rate_cleaned!$B$2:$B$10,"&lt;"&amp;C2872,mdr_rate_cleaned!$F$2:$F$10,"&gt;="&amp;C2872)</f>
        <v>1</v>
      </c>
      <c r="G2872" s="40">
        <f>SUMIFS(mdr_rate_cleaned!$G$2:$G$10,mdr_rate_cleaned!$A$2:$A$10,B2872,mdr_rate_cleaned!$B$2:$B$10,"&lt;"&amp;C2872,mdr_rate_cleaned!$F$2:$F$10,"&gt;="&amp;C2872)</f>
        <v>1.6E-2</v>
      </c>
      <c r="H2872" s="24">
        <f t="shared" si="220"/>
        <v>79.98</v>
      </c>
      <c r="I2872" s="23" t="str">
        <f t="shared" si="221"/>
        <v>Match</v>
      </c>
      <c r="J2872" s="23" t="str">
        <f t="shared" si="222"/>
        <v>Match</v>
      </c>
      <c r="K2872" s="24">
        <f t="shared" si="223"/>
        <v>14.4</v>
      </c>
      <c r="L2872" s="24">
        <f t="shared" si="224"/>
        <v>0</v>
      </c>
    </row>
    <row r="2873" spans="1:12" ht="15" customHeight="1" x14ac:dyDescent="0.3">
      <c r="A2873" s="23" t="s">
        <v>15852</v>
      </c>
      <c r="B2873" s="23" t="s">
        <v>75</v>
      </c>
      <c r="C2873" s="39">
        <v>8998</v>
      </c>
      <c r="D2873" s="24">
        <v>26.99</v>
      </c>
      <c r="E2873" s="24">
        <v>4.8600000000000003</v>
      </c>
      <c r="F2873" s="23">
        <f>COUNTIFS(mdr_rate_cleaned!$A$2:$A$10,B2873,mdr_rate_cleaned!$B$2:$B$10,"&lt;"&amp;C2873,mdr_rate_cleaned!$F$2:$F$10,"&gt;="&amp;C2873)</f>
        <v>1</v>
      </c>
      <c r="G2873" s="40">
        <f>SUMIFS(mdr_rate_cleaned!$G$2:$G$10,mdr_rate_cleaned!$A$2:$A$10,B2873,mdr_rate_cleaned!$B$2:$B$10,"&lt;"&amp;C2873,mdr_rate_cleaned!$F$2:$F$10,"&gt;="&amp;C2873)</f>
        <v>3.0000000000000001E-3</v>
      </c>
      <c r="H2873" s="24">
        <f t="shared" si="220"/>
        <v>26.99</v>
      </c>
      <c r="I2873" s="23" t="str">
        <f t="shared" si="221"/>
        <v>Match</v>
      </c>
      <c r="J2873" s="23" t="str">
        <f t="shared" si="222"/>
        <v>Match</v>
      </c>
      <c r="K2873" s="24">
        <f t="shared" si="223"/>
        <v>4.8600000000000003</v>
      </c>
      <c r="L2873" s="24">
        <f t="shared" si="224"/>
        <v>0</v>
      </c>
    </row>
    <row r="2874" spans="1:12" ht="15" customHeight="1" x14ac:dyDescent="0.3">
      <c r="A2874" s="23" t="s">
        <v>15853</v>
      </c>
      <c r="B2874" s="23" t="s">
        <v>75</v>
      </c>
      <c r="C2874" s="39">
        <v>5598</v>
      </c>
      <c r="D2874" s="24">
        <v>16.79</v>
      </c>
      <c r="E2874" s="24">
        <v>3.02</v>
      </c>
      <c r="F2874" s="23">
        <f>COUNTIFS(mdr_rate_cleaned!$A$2:$A$10,B2874,mdr_rate_cleaned!$B$2:$B$10,"&lt;"&amp;C2874,mdr_rate_cleaned!$F$2:$F$10,"&gt;="&amp;C2874)</f>
        <v>1</v>
      </c>
      <c r="G2874" s="40">
        <f>SUMIFS(mdr_rate_cleaned!$G$2:$G$10,mdr_rate_cleaned!$A$2:$A$10,B2874,mdr_rate_cleaned!$B$2:$B$10,"&lt;"&amp;C2874,mdr_rate_cleaned!$F$2:$F$10,"&gt;="&amp;C2874)</f>
        <v>3.0000000000000001E-3</v>
      </c>
      <c r="H2874" s="24">
        <f t="shared" si="220"/>
        <v>16.79</v>
      </c>
      <c r="I2874" s="23" t="str">
        <f t="shared" si="221"/>
        <v>Match</v>
      </c>
      <c r="J2874" s="23" t="str">
        <f t="shared" si="222"/>
        <v>Match</v>
      </c>
      <c r="K2874" s="24">
        <f t="shared" si="223"/>
        <v>3.02</v>
      </c>
      <c r="L2874" s="24">
        <f t="shared" si="224"/>
        <v>0</v>
      </c>
    </row>
    <row r="2875" spans="1:12" ht="15" customHeight="1" x14ac:dyDescent="0.3">
      <c r="A2875" s="23" t="s">
        <v>15854</v>
      </c>
      <c r="B2875" s="23" t="s">
        <v>81</v>
      </c>
      <c r="C2875" s="39">
        <v>299</v>
      </c>
      <c r="D2875" s="24">
        <v>4.49</v>
      </c>
      <c r="E2875" s="24">
        <v>0.81</v>
      </c>
      <c r="F2875" s="23">
        <f>COUNTIFS(mdr_rate_cleaned!$A$2:$A$10,B2875,mdr_rate_cleaned!$B$2:$B$10,"&lt;"&amp;C2875,mdr_rate_cleaned!$F$2:$F$10,"&gt;="&amp;C2875)</f>
        <v>1</v>
      </c>
      <c r="G2875" s="40">
        <f>SUMIFS(mdr_rate_cleaned!$G$2:$G$10,mdr_rate_cleaned!$A$2:$A$10,B2875,mdr_rate_cleaned!$B$2:$B$10,"&lt;"&amp;C2875,mdr_rate_cleaned!$F$2:$F$10,"&gt;="&amp;C2875)</f>
        <v>1.4999999999999999E-2</v>
      </c>
      <c r="H2875" s="24">
        <f t="shared" si="220"/>
        <v>4.49</v>
      </c>
      <c r="I2875" s="23" t="str">
        <f t="shared" si="221"/>
        <v>Match</v>
      </c>
      <c r="J2875" s="23" t="str">
        <f t="shared" si="222"/>
        <v>Match</v>
      </c>
      <c r="K2875" s="24">
        <f t="shared" si="223"/>
        <v>0.81</v>
      </c>
      <c r="L2875" s="24">
        <f t="shared" si="224"/>
        <v>0</v>
      </c>
    </row>
    <row r="2876" spans="1:12" ht="15" customHeight="1" x14ac:dyDescent="0.3">
      <c r="A2876" s="23" t="s">
        <v>15855</v>
      </c>
      <c r="B2876" s="23" t="s">
        <v>79</v>
      </c>
      <c r="C2876" s="39">
        <v>5998</v>
      </c>
      <c r="D2876" s="24">
        <v>95.97</v>
      </c>
      <c r="E2876" s="24">
        <v>17.27</v>
      </c>
      <c r="F2876" s="23">
        <f>COUNTIFS(mdr_rate_cleaned!$A$2:$A$10,B2876,mdr_rate_cleaned!$B$2:$B$10,"&lt;"&amp;C2876,mdr_rate_cleaned!$F$2:$F$10,"&gt;="&amp;C2876)</f>
        <v>1</v>
      </c>
      <c r="G2876" s="40">
        <f>SUMIFS(mdr_rate_cleaned!$G$2:$G$10,mdr_rate_cleaned!$A$2:$A$10,B2876,mdr_rate_cleaned!$B$2:$B$10,"&lt;"&amp;C2876,mdr_rate_cleaned!$F$2:$F$10,"&gt;="&amp;C2876)</f>
        <v>1.6E-2</v>
      </c>
      <c r="H2876" s="24">
        <f t="shared" si="220"/>
        <v>95.97</v>
      </c>
      <c r="I2876" s="23" t="str">
        <f t="shared" si="221"/>
        <v>Match</v>
      </c>
      <c r="J2876" s="23" t="str">
        <f t="shared" si="222"/>
        <v>Match</v>
      </c>
      <c r="K2876" s="24">
        <f t="shared" si="223"/>
        <v>17.27</v>
      </c>
      <c r="L2876" s="24">
        <f t="shared" si="224"/>
        <v>0</v>
      </c>
    </row>
    <row r="2877" spans="1:12" ht="15" customHeight="1" x14ac:dyDescent="0.3">
      <c r="A2877" s="23" t="s">
        <v>15857</v>
      </c>
      <c r="B2877" s="23" t="s">
        <v>79</v>
      </c>
      <c r="C2877" s="39">
        <v>4298</v>
      </c>
      <c r="D2877" s="24">
        <v>68.77</v>
      </c>
      <c r="E2877" s="24">
        <v>12.38</v>
      </c>
      <c r="F2877" s="23">
        <f>COUNTIFS(mdr_rate_cleaned!$A$2:$A$10,B2877,mdr_rate_cleaned!$B$2:$B$10,"&lt;"&amp;C2877,mdr_rate_cleaned!$F$2:$F$10,"&gt;="&amp;C2877)</f>
        <v>1</v>
      </c>
      <c r="G2877" s="40">
        <f>SUMIFS(mdr_rate_cleaned!$G$2:$G$10,mdr_rate_cleaned!$A$2:$A$10,B2877,mdr_rate_cleaned!$B$2:$B$10,"&lt;"&amp;C2877,mdr_rate_cleaned!$F$2:$F$10,"&gt;="&amp;C2877)</f>
        <v>1.6E-2</v>
      </c>
      <c r="H2877" s="24">
        <f t="shared" si="220"/>
        <v>68.77</v>
      </c>
      <c r="I2877" s="23" t="str">
        <f t="shared" si="221"/>
        <v>Match</v>
      </c>
      <c r="J2877" s="23" t="str">
        <f t="shared" si="222"/>
        <v>Match</v>
      </c>
      <c r="K2877" s="24">
        <f t="shared" si="223"/>
        <v>12.38</v>
      </c>
      <c r="L2877" s="24">
        <f t="shared" si="224"/>
        <v>0</v>
      </c>
    </row>
    <row r="2878" spans="1:12" ht="15" customHeight="1" x14ac:dyDescent="0.3">
      <c r="A2878" s="23" t="s">
        <v>15858</v>
      </c>
      <c r="B2878" s="23" t="s">
        <v>75</v>
      </c>
      <c r="C2878" s="39">
        <v>999</v>
      </c>
      <c r="D2878" s="24">
        <v>0</v>
      </c>
      <c r="E2878" s="24">
        <v>0</v>
      </c>
      <c r="F2878" s="23">
        <f>COUNTIFS(mdr_rate_cleaned!$A$2:$A$10,B2878,mdr_rate_cleaned!$B$2:$B$10,"&lt;"&amp;C2878,mdr_rate_cleaned!$F$2:$F$10,"&gt;="&amp;C2878)</f>
        <v>1</v>
      </c>
      <c r="G2878" s="40">
        <f>SUMIFS(mdr_rate_cleaned!$G$2:$G$10,mdr_rate_cleaned!$A$2:$A$10,B2878,mdr_rate_cleaned!$B$2:$B$10,"&lt;"&amp;C2878,mdr_rate_cleaned!$F$2:$F$10,"&gt;="&amp;C2878)</f>
        <v>0</v>
      </c>
      <c r="H2878" s="24">
        <f t="shared" si="220"/>
        <v>0</v>
      </c>
      <c r="I2878" s="23" t="str">
        <f t="shared" si="221"/>
        <v>Match</v>
      </c>
      <c r="J2878" s="23" t="str">
        <f t="shared" si="222"/>
        <v>Match</v>
      </c>
      <c r="K2878" s="24">
        <f t="shared" si="223"/>
        <v>0</v>
      </c>
      <c r="L2878" s="24">
        <f t="shared" si="224"/>
        <v>0</v>
      </c>
    </row>
    <row r="2879" spans="1:12" ht="15" customHeight="1" x14ac:dyDescent="0.3">
      <c r="A2879" s="23" t="s">
        <v>15859</v>
      </c>
      <c r="B2879" s="23" t="s">
        <v>75</v>
      </c>
      <c r="C2879" s="39">
        <v>1299</v>
      </c>
      <c r="D2879" s="24">
        <v>0</v>
      </c>
      <c r="E2879" s="24">
        <v>0</v>
      </c>
      <c r="F2879" s="23">
        <f>COUNTIFS(mdr_rate_cleaned!$A$2:$A$10,B2879,mdr_rate_cleaned!$B$2:$B$10,"&lt;"&amp;C2879,mdr_rate_cleaned!$F$2:$F$10,"&gt;="&amp;C2879)</f>
        <v>1</v>
      </c>
      <c r="G2879" s="40">
        <f>SUMIFS(mdr_rate_cleaned!$G$2:$G$10,mdr_rate_cleaned!$A$2:$A$10,B2879,mdr_rate_cleaned!$B$2:$B$10,"&lt;"&amp;C2879,mdr_rate_cleaned!$F$2:$F$10,"&gt;="&amp;C2879)</f>
        <v>0</v>
      </c>
      <c r="H2879" s="24">
        <f t="shared" si="220"/>
        <v>0</v>
      </c>
      <c r="I2879" s="23" t="str">
        <f t="shared" si="221"/>
        <v>Match</v>
      </c>
      <c r="J2879" s="23" t="str">
        <f t="shared" si="222"/>
        <v>Match</v>
      </c>
      <c r="K2879" s="24">
        <f t="shared" si="223"/>
        <v>0</v>
      </c>
      <c r="L2879" s="24">
        <f t="shared" si="224"/>
        <v>0</v>
      </c>
    </row>
    <row r="2880" spans="1:12" ht="15" customHeight="1" x14ac:dyDescent="0.3">
      <c r="A2880" s="23" t="s">
        <v>15860</v>
      </c>
      <c r="B2880" s="23" t="s">
        <v>75</v>
      </c>
      <c r="C2880" s="39">
        <v>7999</v>
      </c>
      <c r="D2880" s="24">
        <v>24</v>
      </c>
      <c r="E2880" s="24">
        <v>4.32</v>
      </c>
      <c r="F2880" s="23">
        <f>COUNTIFS(mdr_rate_cleaned!$A$2:$A$10,B2880,mdr_rate_cleaned!$B$2:$B$10,"&lt;"&amp;C2880,mdr_rate_cleaned!$F$2:$F$10,"&gt;="&amp;C2880)</f>
        <v>1</v>
      </c>
      <c r="G2880" s="40">
        <f>SUMIFS(mdr_rate_cleaned!$G$2:$G$10,mdr_rate_cleaned!$A$2:$A$10,B2880,mdr_rate_cleaned!$B$2:$B$10,"&lt;"&amp;C2880,mdr_rate_cleaned!$F$2:$F$10,"&gt;="&amp;C2880)</f>
        <v>3.0000000000000001E-3</v>
      </c>
      <c r="H2880" s="24">
        <f t="shared" si="220"/>
        <v>24</v>
      </c>
      <c r="I2880" s="23" t="str">
        <f t="shared" si="221"/>
        <v>Match</v>
      </c>
      <c r="J2880" s="23" t="str">
        <f t="shared" si="222"/>
        <v>Match</v>
      </c>
      <c r="K2880" s="24">
        <f t="shared" si="223"/>
        <v>4.32</v>
      </c>
      <c r="L2880" s="24">
        <f t="shared" si="224"/>
        <v>0</v>
      </c>
    </row>
    <row r="2881" spans="1:12" ht="15" customHeight="1" x14ac:dyDescent="0.3">
      <c r="A2881" s="23" t="s">
        <v>15861</v>
      </c>
      <c r="B2881" s="23" t="s">
        <v>79</v>
      </c>
      <c r="C2881" s="39">
        <v>499</v>
      </c>
      <c r="D2881" s="24">
        <v>8.98</v>
      </c>
      <c r="E2881" s="24">
        <v>1.62</v>
      </c>
      <c r="F2881" s="23">
        <f>COUNTIFS(mdr_rate_cleaned!$A$2:$A$10,B2881,mdr_rate_cleaned!$B$2:$B$10,"&lt;"&amp;C2881,mdr_rate_cleaned!$F$2:$F$10,"&gt;="&amp;C2881)</f>
        <v>1</v>
      </c>
      <c r="G2881" s="40">
        <f>SUMIFS(mdr_rate_cleaned!$G$2:$G$10,mdr_rate_cleaned!$A$2:$A$10,B2881,mdr_rate_cleaned!$B$2:$B$10,"&lt;"&amp;C2881,mdr_rate_cleaned!$F$2:$F$10,"&gt;="&amp;C2881)</f>
        <v>1.8000000000000002E-2</v>
      </c>
      <c r="H2881" s="24">
        <f t="shared" si="220"/>
        <v>8.98</v>
      </c>
      <c r="I2881" s="23" t="str">
        <f t="shared" si="221"/>
        <v>Match</v>
      </c>
      <c r="J2881" s="23" t="str">
        <f t="shared" si="222"/>
        <v>Match</v>
      </c>
      <c r="K2881" s="24">
        <f t="shared" si="223"/>
        <v>1.62</v>
      </c>
      <c r="L2881" s="24">
        <f t="shared" si="224"/>
        <v>0</v>
      </c>
    </row>
    <row r="2882" spans="1:12" ht="15" customHeight="1" x14ac:dyDescent="0.3">
      <c r="A2882" s="23" t="s">
        <v>15863</v>
      </c>
      <c r="B2882" s="23" t="s">
        <v>75</v>
      </c>
      <c r="C2882" s="39">
        <v>4999</v>
      </c>
      <c r="D2882" s="24">
        <v>15</v>
      </c>
      <c r="E2882" s="24">
        <v>2.7</v>
      </c>
      <c r="F2882" s="23">
        <f>COUNTIFS(mdr_rate_cleaned!$A$2:$A$10,B2882,mdr_rate_cleaned!$B$2:$B$10,"&lt;"&amp;C2882,mdr_rate_cleaned!$F$2:$F$10,"&gt;="&amp;C2882)</f>
        <v>1</v>
      </c>
      <c r="G2882" s="40">
        <f>SUMIFS(mdr_rate_cleaned!$G$2:$G$10,mdr_rate_cleaned!$A$2:$A$10,B2882,mdr_rate_cleaned!$B$2:$B$10,"&lt;"&amp;C2882,mdr_rate_cleaned!$F$2:$F$10,"&gt;="&amp;C2882)</f>
        <v>3.0000000000000001E-3</v>
      </c>
      <c r="H2882" s="24">
        <f t="shared" ref="H2882:H2945" si="225">ROUND(C2882*G2882,2)</f>
        <v>15</v>
      </c>
      <c r="I2882" s="23" t="str">
        <f t="shared" ref="I2882:I2945" si="226">IF(ROUND(D2882-H2882,2)=0,"Match","Differs")</f>
        <v>Match</v>
      </c>
      <c r="J2882" s="23" t="str">
        <f t="shared" ref="J2882:J2945" si="227">IF(ROUND(E2882-ROUND(D2882*0.18,2),2)=0,"Match","Differs")</f>
        <v>Match</v>
      </c>
      <c r="K2882" s="24">
        <f t="shared" ref="K2882:K2945" si="228">ROUND(H2882*0.18,2)</f>
        <v>2.7</v>
      </c>
      <c r="L2882" s="24">
        <f t="shared" ref="L2882:L2945" si="229">ROUND(D2882+E2882-H2882-K2882,2)</f>
        <v>0</v>
      </c>
    </row>
    <row r="2883" spans="1:12" ht="15" customHeight="1" x14ac:dyDescent="0.3">
      <c r="A2883" s="23" t="s">
        <v>15864</v>
      </c>
      <c r="B2883" s="23" t="s">
        <v>75</v>
      </c>
      <c r="C2883" s="39">
        <v>299</v>
      </c>
      <c r="D2883" s="24">
        <v>0</v>
      </c>
      <c r="E2883" s="24">
        <v>0</v>
      </c>
      <c r="F2883" s="23">
        <f>COUNTIFS(mdr_rate_cleaned!$A$2:$A$10,B2883,mdr_rate_cleaned!$B$2:$B$10,"&lt;"&amp;C2883,mdr_rate_cleaned!$F$2:$F$10,"&gt;="&amp;C2883)</f>
        <v>1</v>
      </c>
      <c r="G2883" s="40">
        <f>SUMIFS(mdr_rate_cleaned!$G$2:$G$10,mdr_rate_cleaned!$A$2:$A$10,B2883,mdr_rate_cleaned!$B$2:$B$10,"&lt;"&amp;C2883,mdr_rate_cleaned!$F$2:$F$10,"&gt;="&amp;C2883)</f>
        <v>0</v>
      </c>
      <c r="H2883" s="24">
        <f t="shared" si="225"/>
        <v>0</v>
      </c>
      <c r="I2883" s="23" t="str">
        <f t="shared" si="226"/>
        <v>Match</v>
      </c>
      <c r="J2883" s="23" t="str">
        <f t="shared" si="227"/>
        <v>Match</v>
      </c>
      <c r="K2883" s="24">
        <f t="shared" si="228"/>
        <v>0</v>
      </c>
      <c r="L2883" s="24">
        <f t="shared" si="229"/>
        <v>0</v>
      </c>
    </row>
    <row r="2884" spans="1:12" ht="15" customHeight="1" x14ac:dyDescent="0.3">
      <c r="A2884" s="23" t="s">
        <v>15865</v>
      </c>
      <c r="B2884" s="23" t="s">
        <v>79</v>
      </c>
      <c r="C2884" s="39">
        <v>3499</v>
      </c>
      <c r="D2884" s="24">
        <v>55.98</v>
      </c>
      <c r="E2884" s="24">
        <v>10.08</v>
      </c>
      <c r="F2884" s="23">
        <f>COUNTIFS(mdr_rate_cleaned!$A$2:$A$10,B2884,mdr_rate_cleaned!$B$2:$B$10,"&lt;"&amp;C2884,mdr_rate_cleaned!$F$2:$F$10,"&gt;="&amp;C2884)</f>
        <v>1</v>
      </c>
      <c r="G2884" s="40">
        <f>SUMIFS(mdr_rate_cleaned!$G$2:$G$10,mdr_rate_cleaned!$A$2:$A$10,B2884,mdr_rate_cleaned!$B$2:$B$10,"&lt;"&amp;C2884,mdr_rate_cleaned!$F$2:$F$10,"&gt;="&amp;C2884)</f>
        <v>1.6E-2</v>
      </c>
      <c r="H2884" s="24">
        <f t="shared" si="225"/>
        <v>55.98</v>
      </c>
      <c r="I2884" s="23" t="str">
        <f t="shared" si="226"/>
        <v>Match</v>
      </c>
      <c r="J2884" s="23" t="str">
        <f t="shared" si="227"/>
        <v>Match</v>
      </c>
      <c r="K2884" s="24">
        <f t="shared" si="228"/>
        <v>10.08</v>
      </c>
      <c r="L2884" s="24">
        <f t="shared" si="229"/>
        <v>0</v>
      </c>
    </row>
    <row r="2885" spans="1:12" ht="15" customHeight="1" x14ac:dyDescent="0.3">
      <c r="A2885" s="23" t="s">
        <v>15866</v>
      </c>
      <c r="B2885" s="23" t="s">
        <v>75</v>
      </c>
      <c r="C2885" s="39">
        <v>2498</v>
      </c>
      <c r="D2885" s="24">
        <v>7.49</v>
      </c>
      <c r="E2885" s="24">
        <v>1.35</v>
      </c>
      <c r="F2885" s="23">
        <f>COUNTIFS(mdr_rate_cleaned!$A$2:$A$10,B2885,mdr_rate_cleaned!$B$2:$B$10,"&lt;"&amp;C2885,mdr_rate_cleaned!$F$2:$F$10,"&gt;="&amp;C2885)</f>
        <v>1</v>
      </c>
      <c r="G2885" s="40">
        <f>SUMIFS(mdr_rate_cleaned!$G$2:$G$10,mdr_rate_cleaned!$A$2:$A$10,B2885,mdr_rate_cleaned!$B$2:$B$10,"&lt;"&amp;C2885,mdr_rate_cleaned!$F$2:$F$10,"&gt;="&amp;C2885)</f>
        <v>3.0000000000000001E-3</v>
      </c>
      <c r="H2885" s="24">
        <f t="shared" si="225"/>
        <v>7.49</v>
      </c>
      <c r="I2885" s="23" t="str">
        <f t="shared" si="226"/>
        <v>Match</v>
      </c>
      <c r="J2885" s="23" t="str">
        <f t="shared" si="227"/>
        <v>Match</v>
      </c>
      <c r="K2885" s="24">
        <f t="shared" si="228"/>
        <v>1.35</v>
      </c>
      <c r="L2885" s="24">
        <f t="shared" si="229"/>
        <v>0</v>
      </c>
    </row>
    <row r="2886" spans="1:12" ht="15" customHeight="1" x14ac:dyDescent="0.3">
      <c r="A2886" s="23" t="s">
        <v>15868</v>
      </c>
      <c r="B2886" s="23" t="s">
        <v>75</v>
      </c>
      <c r="C2886" s="39">
        <v>1998</v>
      </c>
      <c r="D2886" s="24">
        <v>0</v>
      </c>
      <c r="E2886" s="24">
        <v>0</v>
      </c>
      <c r="F2886" s="23">
        <f>COUNTIFS(mdr_rate_cleaned!$A$2:$A$10,B2886,mdr_rate_cleaned!$B$2:$B$10,"&lt;"&amp;C2886,mdr_rate_cleaned!$F$2:$F$10,"&gt;="&amp;C2886)</f>
        <v>1</v>
      </c>
      <c r="G2886" s="40">
        <f>SUMIFS(mdr_rate_cleaned!$G$2:$G$10,mdr_rate_cleaned!$A$2:$A$10,B2886,mdr_rate_cleaned!$B$2:$B$10,"&lt;"&amp;C2886,mdr_rate_cleaned!$F$2:$F$10,"&gt;="&amp;C2886)</f>
        <v>0</v>
      </c>
      <c r="H2886" s="24">
        <f t="shared" si="225"/>
        <v>0</v>
      </c>
      <c r="I2886" s="23" t="str">
        <f t="shared" si="226"/>
        <v>Match</v>
      </c>
      <c r="J2886" s="23" t="str">
        <f t="shared" si="227"/>
        <v>Match</v>
      </c>
      <c r="K2886" s="24">
        <f t="shared" si="228"/>
        <v>0</v>
      </c>
      <c r="L2886" s="24">
        <f t="shared" si="229"/>
        <v>0</v>
      </c>
    </row>
    <row r="2887" spans="1:12" ht="15" customHeight="1" x14ac:dyDescent="0.3">
      <c r="A2887" s="23" t="s">
        <v>15869</v>
      </c>
      <c r="B2887" s="23" t="s">
        <v>75</v>
      </c>
      <c r="C2887" s="39">
        <v>299</v>
      </c>
      <c r="D2887" s="24">
        <v>0</v>
      </c>
      <c r="E2887" s="24">
        <v>0</v>
      </c>
      <c r="F2887" s="23">
        <f>COUNTIFS(mdr_rate_cleaned!$A$2:$A$10,B2887,mdr_rate_cleaned!$B$2:$B$10,"&lt;"&amp;C2887,mdr_rate_cleaned!$F$2:$F$10,"&gt;="&amp;C2887)</f>
        <v>1</v>
      </c>
      <c r="G2887" s="40">
        <f>SUMIFS(mdr_rate_cleaned!$G$2:$G$10,mdr_rate_cleaned!$A$2:$A$10,B2887,mdr_rate_cleaned!$B$2:$B$10,"&lt;"&amp;C2887,mdr_rate_cleaned!$F$2:$F$10,"&gt;="&amp;C2887)</f>
        <v>0</v>
      </c>
      <c r="H2887" s="24">
        <f t="shared" si="225"/>
        <v>0</v>
      </c>
      <c r="I2887" s="23" t="str">
        <f t="shared" si="226"/>
        <v>Match</v>
      </c>
      <c r="J2887" s="23" t="str">
        <f t="shared" si="227"/>
        <v>Match</v>
      </c>
      <c r="K2887" s="24">
        <f t="shared" si="228"/>
        <v>0</v>
      </c>
      <c r="L2887" s="24">
        <f t="shared" si="229"/>
        <v>0</v>
      </c>
    </row>
    <row r="2888" spans="1:12" ht="15" customHeight="1" x14ac:dyDescent="0.3">
      <c r="A2888" s="23" t="s">
        <v>15870</v>
      </c>
      <c r="B2888" s="23" t="s">
        <v>79</v>
      </c>
      <c r="C2888" s="39">
        <v>1799</v>
      </c>
      <c r="D2888" s="24">
        <v>32.380000000000003</v>
      </c>
      <c r="E2888" s="24">
        <v>5.83</v>
      </c>
      <c r="F2888" s="23">
        <f>COUNTIFS(mdr_rate_cleaned!$A$2:$A$10,B2888,mdr_rate_cleaned!$B$2:$B$10,"&lt;"&amp;C2888,mdr_rate_cleaned!$F$2:$F$10,"&gt;="&amp;C2888)</f>
        <v>1</v>
      </c>
      <c r="G2888" s="40">
        <f>SUMIFS(mdr_rate_cleaned!$G$2:$G$10,mdr_rate_cleaned!$A$2:$A$10,B2888,mdr_rate_cleaned!$B$2:$B$10,"&lt;"&amp;C2888,mdr_rate_cleaned!$F$2:$F$10,"&gt;="&amp;C2888)</f>
        <v>1.8000000000000002E-2</v>
      </c>
      <c r="H2888" s="24">
        <f t="shared" si="225"/>
        <v>32.380000000000003</v>
      </c>
      <c r="I2888" s="23" t="str">
        <f t="shared" si="226"/>
        <v>Match</v>
      </c>
      <c r="J2888" s="23" t="str">
        <f t="shared" si="227"/>
        <v>Match</v>
      </c>
      <c r="K2888" s="24">
        <f t="shared" si="228"/>
        <v>5.83</v>
      </c>
      <c r="L2888" s="24">
        <f t="shared" si="229"/>
        <v>0</v>
      </c>
    </row>
    <row r="2889" spans="1:12" ht="15" customHeight="1" x14ac:dyDescent="0.3">
      <c r="A2889" s="23" t="s">
        <v>15871</v>
      </c>
      <c r="B2889" s="23" t="s">
        <v>75</v>
      </c>
      <c r="C2889" s="39">
        <v>1299</v>
      </c>
      <c r="D2889" s="24">
        <v>0</v>
      </c>
      <c r="E2889" s="24">
        <v>0</v>
      </c>
      <c r="F2889" s="23">
        <f>COUNTIFS(mdr_rate_cleaned!$A$2:$A$10,B2889,mdr_rate_cleaned!$B$2:$B$10,"&lt;"&amp;C2889,mdr_rate_cleaned!$F$2:$F$10,"&gt;="&amp;C2889)</f>
        <v>1</v>
      </c>
      <c r="G2889" s="40">
        <f>SUMIFS(mdr_rate_cleaned!$G$2:$G$10,mdr_rate_cleaned!$A$2:$A$10,B2889,mdr_rate_cleaned!$B$2:$B$10,"&lt;"&amp;C2889,mdr_rate_cleaned!$F$2:$F$10,"&gt;="&amp;C2889)</f>
        <v>0</v>
      </c>
      <c r="H2889" s="24">
        <f t="shared" si="225"/>
        <v>0</v>
      </c>
      <c r="I2889" s="23" t="str">
        <f t="shared" si="226"/>
        <v>Match</v>
      </c>
      <c r="J2889" s="23" t="str">
        <f t="shared" si="227"/>
        <v>Match</v>
      </c>
      <c r="K2889" s="24">
        <f t="shared" si="228"/>
        <v>0</v>
      </c>
      <c r="L2889" s="24">
        <f t="shared" si="229"/>
        <v>0</v>
      </c>
    </row>
    <row r="2890" spans="1:12" ht="15" customHeight="1" x14ac:dyDescent="0.3">
      <c r="A2890" s="23" t="s">
        <v>15872</v>
      </c>
      <c r="B2890" s="23" t="s">
        <v>81</v>
      </c>
      <c r="C2890" s="39">
        <v>1799</v>
      </c>
      <c r="D2890" s="24">
        <v>26.99</v>
      </c>
      <c r="E2890" s="24">
        <v>4.8600000000000003</v>
      </c>
      <c r="F2890" s="23">
        <f>COUNTIFS(mdr_rate_cleaned!$A$2:$A$10,B2890,mdr_rate_cleaned!$B$2:$B$10,"&lt;"&amp;C2890,mdr_rate_cleaned!$F$2:$F$10,"&gt;="&amp;C2890)</f>
        <v>1</v>
      </c>
      <c r="G2890" s="40">
        <f>SUMIFS(mdr_rate_cleaned!$G$2:$G$10,mdr_rate_cleaned!$A$2:$A$10,B2890,mdr_rate_cleaned!$B$2:$B$10,"&lt;"&amp;C2890,mdr_rate_cleaned!$F$2:$F$10,"&gt;="&amp;C2890)</f>
        <v>1.4999999999999999E-2</v>
      </c>
      <c r="H2890" s="24">
        <f t="shared" si="225"/>
        <v>26.99</v>
      </c>
      <c r="I2890" s="23" t="str">
        <f t="shared" si="226"/>
        <v>Match</v>
      </c>
      <c r="J2890" s="23" t="str">
        <f t="shared" si="227"/>
        <v>Match</v>
      </c>
      <c r="K2890" s="24">
        <f t="shared" si="228"/>
        <v>4.8600000000000003</v>
      </c>
      <c r="L2890" s="24">
        <f t="shared" si="229"/>
        <v>0</v>
      </c>
    </row>
    <row r="2891" spans="1:12" ht="15" customHeight="1" x14ac:dyDescent="0.3">
      <c r="A2891" s="23" t="s">
        <v>15873</v>
      </c>
      <c r="B2891" s="23" t="s">
        <v>79</v>
      </c>
      <c r="C2891" s="39">
        <v>1749</v>
      </c>
      <c r="D2891" s="24">
        <v>31.48</v>
      </c>
      <c r="E2891" s="24">
        <v>5.67</v>
      </c>
      <c r="F2891" s="23">
        <f>COUNTIFS(mdr_rate_cleaned!$A$2:$A$10,B2891,mdr_rate_cleaned!$B$2:$B$10,"&lt;"&amp;C2891,mdr_rate_cleaned!$F$2:$F$10,"&gt;="&amp;C2891)</f>
        <v>1</v>
      </c>
      <c r="G2891" s="40">
        <f>SUMIFS(mdr_rate_cleaned!$G$2:$G$10,mdr_rate_cleaned!$A$2:$A$10,B2891,mdr_rate_cleaned!$B$2:$B$10,"&lt;"&amp;C2891,mdr_rate_cleaned!$F$2:$F$10,"&gt;="&amp;C2891)</f>
        <v>1.8000000000000002E-2</v>
      </c>
      <c r="H2891" s="24">
        <f t="shared" si="225"/>
        <v>31.48</v>
      </c>
      <c r="I2891" s="23" t="str">
        <f t="shared" si="226"/>
        <v>Match</v>
      </c>
      <c r="J2891" s="23" t="str">
        <f t="shared" si="227"/>
        <v>Match</v>
      </c>
      <c r="K2891" s="24">
        <f t="shared" si="228"/>
        <v>5.67</v>
      </c>
      <c r="L2891" s="24">
        <f t="shared" si="229"/>
        <v>0</v>
      </c>
    </row>
    <row r="2892" spans="1:12" ht="15" customHeight="1" x14ac:dyDescent="0.3">
      <c r="A2892" s="23" t="s">
        <v>15874</v>
      </c>
      <c r="B2892" s="23" t="s">
        <v>75</v>
      </c>
      <c r="C2892" s="39">
        <v>2499</v>
      </c>
      <c r="D2892" s="24">
        <v>7.5</v>
      </c>
      <c r="E2892" s="24">
        <v>1.35</v>
      </c>
      <c r="F2892" s="23">
        <f>COUNTIFS(mdr_rate_cleaned!$A$2:$A$10,B2892,mdr_rate_cleaned!$B$2:$B$10,"&lt;"&amp;C2892,mdr_rate_cleaned!$F$2:$F$10,"&gt;="&amp;C2892)</f>
        <v>1</v>
      </c>
      <c r="G2892" s="40">
        <f>SUMIFS(mdr_rate_cleaned!$G$2:$G$10,mdr_rate_cleaned!$A$2:$A$10,B2892,mdr_rate_cleaned!$B$2:$B$10,"&lt;"&amp;C2892,mdr_rate_cleaned!$F$2:$F$10,"&gt;="&amp;C2892)</f>
        <v>3.0000000000000001E-3</v>
      </c>
      <c r="H2892" s="24">
        <f t="shared" si="225"/>
        <v>7.5</v>
      </c>
      <c r="I2892" s="23" t="str">
        <f t="shared" si="226"/>
        <v>Match</v>
      </c>
      <c r="J2892" s="23" t="str">
        <f t="shared" si="227"/>
        <v>Match</v>
      </c>
      <c r="K2892" s="24">
        <f t="shared" si="228"/>
        <v>1.35</v>
      </c>
      <c r="L2892" s="24">
        <f t="shared" si="229"/>
        <v>0</v>
      </c>
    </row>
    <row r="2893" spans="1:12" ht="15" customHeight="1" x14ac:dyDescent="0.3">
      <c r="A2893" s="23" t="s">
        <v>15875</v>
      </c>
      <c r="B2893" s="23" t="s">
        <v>81</v>
      </c>
      <c r="C2893" s="39">
        <v>7999</v>
      </c>
      <c r="D2893" s="24">
        <v>95.99</v>
      </c>
      <c r="E2893" s="24">
        <v>17.28</v>
      </c>
      <c r="F2893" s="23">
        <f>COUNTIFS(mdr_rate_cleaned!$A$2:$A$10,B2893,mdr_rate_cleaned!$B$2:$B$10,"&lt;"&amp;C2893,mdr_rate_cleaned!$F$2:$F$10,"&gt;="&amp;C2893)</f>
        <v>1</v>
      </c>
      <c r="G2893" s="40">
        <f>SUMIFS(mdr_rate_cleaned!$G$2:$G$10,mdr_rate_cleaned!$A$2:$A$10,B2893,mdr_rate_cleaned!$B$2:$B$10,"&lt;"&amp;C2893,mdr_rate_cleaned!$F$2:$F$10,"&gt;="&amp;C2893)</f>
        <v>1.2E-2</v>
      </c>
      <c r="H2893" s="24">
        <f t="shared" si="225"/>
        <v>95.99</v>
      </c>
      <c r="I2893" s="23" t="str">
        <f t="shared" si="226"/>
        <v>Match</v>
      </c>
      <c r="J2893" s="23" t="str">
        <f t="shared" si="227"/>
        <v>Match</v>
      </c>
      <c r="K2893" s="24">
        <f t="shared" si="228"/>
        <v>17.28</v>
      </c>
      <c r="L2893" s="24">
        <f t="shared" si="229"/>
        <v>0</v>
      </c>
    </row>
    <row r="2894" spans="1:12" ht="15" customHeight="1" x14ac:dyDescent="0.3">
      <c r="A2894" s="23" t="s">
        <v>15876</v>
      </c>
      <c r="B2894" s="23" t="s">
        <v>75</v>
      </c>
      <c r="C2894" s="39">
        <v>948</v>
      </c>
      <c r="D2894" s="24">
        <v>0</v>
      </c>
      <c r="E2894" s="24">
        <v>0</v>
      </c>
      <c r="F2894" s="23">
        <f>COUNTIFS(mdr_rate_cleaned!$A$2:$A$10,B2894,mdr_rate_cleaned!$B$2:$B$10,"&lt;"&amp;C2894,mdr_rate_cleaned!$F$2:$F$10,"&gt;="&amp;C2894)</f>
        <v>1</v>
      </c>
      <c r="G2894" s="40">
        <f>SUMIFS(mdr_rate_cleaned!$G$2:$G$10,mdr_rate_cleaned!$A$2:$A$10,B2894,mdr_rate_cleaned!$B$2:$B$10,"&lt;"&amp;C2894,mdr_rate_cleaned!$F$2:$F$10,"&gt;="&amp;C2894)</f>
        <v>0</v>
      </c>
      <c r="H2894" s="24">
        <f t="shared" si="225"/>
        <v>0</v>
      </c>
      <c r="I2894" s="23" t="str">
        <f t="shared" si="226"/>
        <v>Match</v>
      </c>
      <c r="J2894" s="23" t="str">
        <f t="shared" si="227"/>
        <v>Match</v>
      </c>
      <c r="K2894" s="24">
        <f t="shared" si="228"/>
        <v>0</v>
      </c>
      <c r="L2894" s="24">
        <f t="shared" si="229"/>
        <v>0</v>
      </c>
    </row>
    <row r="2895" spans="1:12" ht="15" customHeight="1" x14ac:dyDescent="0.3">
      <c r="A2895" s="23" t="s">
        <v>15877</v>
      </c>
      <c r="B2895" s="23" t="s">
        <v>75</v>
      </c>
      <c r="C2895" s="39">
        <v>5597</v>
      </c>
      <c r="D2895" s="24">
        <v>16.79</v>
      </c>
      <c r="E2895" s="24">
        <v>3.02</v>
      </c>
      <c r="F2895" s="23">
        <f>COUNTIFS(mdr_rate_cleaned!$A$2:$A$10,B2895,mdr_rate_cleaned!$B$2:$B$10,"&lt;"&amp;C2895,mdr_rate_cleaned!$F$2:$F$10,"&gt;="&amp;C2895)</f>
        <v>1</v>
      </c>
      <c r="G2895" s="40">
        <f>SUMIFS(mdr_rate_cleaned!$G$2:$G$10,mdr_rate_cleaned!$A$2:$A$10,B2895,mdr_rate_cleaned!$B$2:$B$10,"&lt;"&amp;C2895,mdr_rate_cleaned!$F$2:$F$10,"&gt;="&amp;C2895)</f>
        <v>3.0000000000000001E-3</v>
      </c>
      <c r="H2895" s="24">
        <f t="shared" si="225"/>
        <v>16.79</v>
      </c>
      <c r="I2895" s="23" t="str">
        <f t="shared" si="226"/>
        <v>Match</v>
      </c>
      <c r="J2895" s="23" t="str">
        <f t="shared" si="227"/>
        <v>Match</v>
      </c>
      <c r="K2895" s="24">
        <f t="shared" si="228"/>
        <v>3.02</v>
      </c>
      <c r="L2895" s="24">
        <f t="shared" si="229"/>
        <v>0</v>
      </c>
    </row>
    <row r="2896" spans="1:12" ht="15" customHeight="1" x14ac:dyDescent="0.3">
      <c r="A2896" s="23" t="s">
        <v>15878</v>
      </c>
      <c r="B2896" s="23" t="s">
        <v>75</v>
      </c>
      <c r="C2896" s="39">
        <v>8498</v>
      </c>
      <c r="D2896" s="24">
        <v>25.49</v>
      </c>
      <c r="E2896" s="24">
        <v>4.59</v>
      </c>
      <c r="F2896" s="23">
        <f>COUNTIFS(mdr_rate_cleaned!$A$2:$A$10,B2896,mdr_rate_cleaned!$B$2:$B$10,"&lt;"&amp;C2896,mdr_rate_cleaned!$F$2:$F$10,"&gt;="&amp;C2896)</f>
        <v>1</v>
      </c>
      <c r="G2896" s="40">
        <f>SUMIFS(mdr_rate_cleaned!$G$2:$G$10,mdr_rate_cleaned!$A$2:$A$10,B2896,mdr_rate_cleaned!$B$2:$B$10,"&lt;"&amp;C2896,mdr_rate_cleaned!$F$2:$F$10,"&gt;="&amp;C2896)</f>
        <v>3.0000000000000001E-3</v>
      </c>
      <c r="H2896" s="24">
        <f t="shared" si="225"/>
        <v>25.49</v>
      </c>
      <c r="I2896" s="23" t="str">
        <f t="shared" si="226"/>
        <v>Match</v>
      </c>
      <c r="J2896" s="23" t="str">
        <f t="shared" si="227"/>
        <v>Match</v>
      </c>
      <c r="K2896" s="24">
        <f t="shared" si="228"/>
        <v>4.59</v>
      </c>
      <c r="L2896" s="24">
        <f t="shared" si="229"/>
        <v>0</v>
      </c>
    </row>
    <row r="2897" spans="1:12" ht="15" customHeight="1" x14ac:dyDescent="0.3">
      <c r="A2897" s="23" t="s">
        <v>15879</v>
      </c>
      <c r="B2897" s="23" t="s">
        <v>75</v>
      </c>
      <c r="C2897" s="39">
        <v>7999</v>
      </c>
      <c r="D2897" s="24">
        <v>24</v>
      </c>
      <c r="E2897" s="24">
        <v>4.32</v>
      </c>
      <c r="F2897" s="23">
        <f>COUNTIFS(mdr_rate_cleaned!$A$2:$A$10,B2897,mdr_rate_cleaned!$B$2:$B$10,"&lt;"&amp;C2897,mdr_rate_cleaned!$F$2:$F$10,"&gt;="&amp;C2897)</f>
        <v>1</v>
      </c>
      <c r="G2897" s="40">
        <f>SUMIFS(mdr_rate_cleaned!$G$2:$G$10,mdr_rate_cleaned!$A$2:$A$10,B2897,mdr_rate_cleaned!$B$2:$B$10,"&lt;"&amp;C2897,mdr_rate_cleaned!$F$2:$F$10,"&gt;="&amp;C2897)</f>
        <v>3.0000000000000001E-3</v>
      </c>
      <c r="H2897" s="24">
        <f t="shared" si="225"/>
        <v>24</v>
      </c>
      <c r="I2897" s="23" t="str">
        <f t="shared" si="226"/>
        <v>Match</v>
      </c>
      <c r="J2897" s="23" t="str">
        <f t="shared" si="227"/>
        <v>Match</v>
      </c>
      <c r="K2897" s="24">
        <f t="shared" si="228"/>
        <v>4.32</v>
      </c>
      <c r="L2897" s="24">
        <f t="shared" si="229"/>
        <v>0</v>
      </c>
    </row>
    <row r="2898" spans="1:12" ht="15" customHeight="1" x14ac:dyDescent="0.3">
      <c r="A2898" s="23" t="s">
        <v>15880</v>
      </c>
      <c r="B2898" s="23" t="s">
        <v>75</v>
      </c>
      <c r="C2898" s="39">
        <v>5097</v>
      </c>
      <c r="D2898" s="24">
        <v>15.29</v>
      </c>
      <c r="E2898" s="24">
        <v>2.75</v>
      </c>
      <c r="F2898" s="23">
        <f>COUNTIFS(mdr_rate_cleaned!$A$2:$A$10,B2898,mdr_rate_cleaned!$B$2:$B$10,"&lt;"&amp;C2898,mdr_rate_cleaned!$F$2:$F$10,"&gt;="&amp;C2898)</f>
        <v>1</v>
      </c>
      <c r="G2898" s="40">
        <f>SUMIFS(mdr_rate_cleaned!$G$2:$G$10,mdr_rate_cleaned!$A$2:$A$10,B2898,mdr_rate_cleaned!$B$2:$B$10,"&lt;"&amp;C2898,mdr_rate_cleaned!$F$2:$F$10,"&gt;="&amp;C2898)</f>
        <v>3.0000000000000001E-3</v>
      </c>
      <c r="H2898" s="24">
        <f t="shared" si="225"/>
        <v>15.29</v>
      </c>
      <c r="I2898" s="23" t="str">
        <f t="shared" si="226"/>
        <v>Match</v>
      </c>
      <c r="J2898" s="23" t="str">
        <f t="shared" si="227"/>
        <v>Match</v>
      </c>
      <c r="K2898" s="24">
        <f t="shared" si="228"/>
        <v>2.75</v>
      </c>
      <c r="L2898" s="24">
        <f t="shared" si="229"/>
        <v>0</v>
      </c>
    </row>
    <row r="2899" spans="1:12" ht="15" customHeight="1" x14ac:dyDescent="0.3">
      <c r="A2899" s="23" t="s">
        <v>15881</v>
      </c>
      <c r="B2899" s="23" t="s">
        <v>79</v>
      </c>
      <c r="C2899" s="39">
        <v>599</v>
      </c>
      <c r="D2899" s="24">
        <v>10.78</v>
      </c>
      <c r="E2899" s="24">
        <v>1.94</v>
      </c>
      <c r="F2899" s="23">
        <f>COUNTIFS(mdr_rate_cleaned!$A$2:$A$10,B2899,mdr_rate_cleaned!$B$2:$B$10,"&lt;"&amp;C2899,mdr_rate_cleaned!$F$2:$F$10,"&gt;="&amp;C2899)</f>
        <v>1</v>
      </c>
      <c r="G2899" s="40">
        <f>SUMIFS(mdr_rate_cleaned!$G$2:$G$10,mdr_rate_cleaned!$A$2:$A$10,B2899,mdr_rate_cleaned!$B$2:$B$10,"&lt;"&amp;C2899,mdr_rate_cleaned!$F$2:$F$10,"&gt;="&amp;C2899)</f>
        <v>1.8000000000000002E-2</v>
      </c>
      <c r="H2899" s="24">
        <f t="shared" si="225"/>
        <v>10.78</v>
      </c>
      <c r="I2899" s="23" t="str">
        <f t="shared" si="226"/>
        <v>Match</v>
      </c>
      <c r="J2899" s="23" t="str">
        <f t="shared" si="227"/>
        <v>Match</v>
      </c>
      <c r="K2899" s="24">
        <f t="shared" si="228"/>
        <v>1.94</v>
      </c>
      <c r="L2899" s="24">
        <f t="shared" si="229"/>
        <v>0</v>
      </c>
    </row>
    <row r="2900" spans="1:12" ht="15" customHeight="1" x14ac:dyDescent="0.3">
      <c r="A2900" s="23" t="s">
        <v>15882</v>
      </c>
      <c r="B2900" s="23" t="s">
        <v>79</v>
      </c>
      <c r="C2900" s="39">
        <v>4097</v>
      </c>
      <c r="D2900" s="24">
        <v>65.55</v>
      </c>
      <c r="E2900" s="24">
        <v>11.8</v>
      </c>
      <c r="F2900" s="23">
        <f>COUNTIFS(mdr_rate_cleaned!$A$2:$A$10,B2900,mdr_rate_cleaned!$B$2:$B$10,"&lt;"&amp;C2900,mdr_rate_cleaned!$F$2:$F$10,"&gt;="&amp;C2900)</f>
        <v>1</v>
      </c>
      <c r="G2900" s="40">
        <f>SUMIFS(mdr_rate_cleaned!$G$2:$G$10,mdr_rate_cleaned!$A$2:$A$10,B2900,mdr_rate_cleaned!$B$2:$B$10,"&lt;"&amp;C2900,mdr_rate_cleaned!$F$2:$F$10,"&gt;="&amp;C2900)</f>
        <v>1.6E-2</v>
      </c>
      <c r="H2900" s="24">
        <f t="shared" si="225"/>
        <v>65.55</v>
      </c>
      <c r="I2900" s="23" t="str">
        <f t="shared" si="226"/>
        <v>Match</v>
      </c>
      <c r="J2900" s="23" t="str">
        <f t="shared" si="227"/>
        <v>Match</v>
      </c>
      <c r="K2900" s="24">
        <f t="shared" si="228"/>
        <v>11.8</v>
      </c>
      <c r="L2900" s="24">
        <f t="shared" si="229"/>
        <v>0</v>
      </c>
    </row>
    <row r="2901" spans="1:12" ht="15" customHeight="1" x14ac:dyDescent="0.3">
      <c r="A2901" s="23" t="s">
        <v>15883</v>
      </c>
      <c r="B2901" s="23" t="s">
        <v>81</v>
      </c>
      <c r="C2901" s="39">
        <v>499</v>
      </c>
      <c r="D2901" s="24">
        <v>7.49</v>
      </c>
      <c r="E2901" s="24">
        <v>1.35</v>
      </c>
      <c r="F2901" s="23">
        <f>COUNTIFS(mdr_rate_cleaned!$A$2:$A$10,B2901,mdr_rate_cleaned!$B$2:$B$10,"&lt;"&amp;C2901,mdr_rate_cleaned!$F$2:$F$10,"&gt;="&amp;C2901)</f>
        <v>1</v>
      </c>
      <c r="G2901" s="40">
        <f>SUMIFS(mdr_rate_cleaned!$G$2:$G$10,mdr_rate_cleaned!$A$2:$A$10,B2901,mdr_rate_cleaned!$B$2:$B$10,"&lt;"&amp;C2901,mdr_rate_cleaned!$F$2:$F$10,"&gt;="&amp;C2901)</f>
        <v>1.4999999999999999E-2</v>
      </c>
      <c r="H2901" s="24">
        <f t="shared" si="225"/>
        <v>7.49</v>
      </c>
      <c r="I2901" s="23" t="str">
        <f t="shared" si="226"/>
        <v>Match</v>
      </c>
      <c r="J2901" s="23" t="str">
        <f t="shared" si="227"/>
        <v>Match</v>
      </c>
      <c r="K2901" s="24">
        <f t="shared" si="228"/>
        <v>1.35</v>
      </c>
      <c r="L2901" s="24">
        <f t="shared" si="229"/>
        <v>0</v>
      </c>
    </row>
    <row r="2902" spans="1:12" ht="15" customHeight="1" x14ac:dyDescent="0.3">
      <c r="A2902" s="23" t="s">
        <v>15884</v>
      </c>
      <c r="B2902" s="23" t="s">
        <v>77</v>
      </c>
      <c r="C2902" s="39">
        <v>13497</v>
      </c>
      <c r="D2902" s="24">
        <v>229.45</v>
      </c>
      <c r="E2902" s="24">
        <v>41.3</v>
      </c>
      <c r="F2902" s="23">
        <f>COUNTIFS(mdr_rate_cleaned!$A$2:$A$10,B2902,mdr_rate_cleaned!$B$2:$B$10,"&lt;"&amp;C2902,mdr_rate_cleaned!$F$2:$F$10,"&gt;="&amp;C2902)</f>
        <v>1</v>
      </c>
      <c r="G2902" s="40">
        <f>SUMIFS(mdr_rate_cleaned!$G$2:$G$10,mdr_rate_cleaned!$A$2:$A$10,B2902,mdr_rate_cleaned!$B$2:$B$10,"&lt;"&amp;C2902,mdr_rate_cleaned!$F$2:$F$10,"&gt;="&amp;C2902)</f>
        <v>1.7000000000000001E-2</v>
      </c>
      <c r="H2902" s="24">
        <f t="shared" si="225"/>
        <v>229.45</v>
      </c>
      <c r="I2902" s="23" t="str">
        <f t="shared" si="226"/>
        <v>Match</v>
      </c>
      <c r="J2902" s="23" t="str">
        <f t="shared" si="227"/>
        <v>Match</v>
      </c>
      <c r="K2902" s="24">
        <f t="shared" si="228"/>
        <v>41.3</v>
      </c>
      <c r="L2902" s="24">
        <f t="shared" si="229"/>
        <v>0</v>
      </c>
    </row>
    <row r="2903" spans="1:12" ht="15" customHeight="1" x14ac:dyDescent="0.3">
      <c r="A2903" s="23" t="s">
        <v>15885</v>
      </c>
      <c r="B2903" s="23" t="s">
        <v>81</v>
      </c>
      <c r="C2903" s="39">
        <v>8498</v>
      </c>
      <c r="D2903" s="24">
        <v>101.98</v>
      </c>
      <c r="E2903" s="24">
        <v>18.36</v>
      </c>
      <c r="F2903" s="23">
        <f>COUNTIFS(mdr_rate_cleaned!$A$2:$A$10,B2903,mdr_rate_cleaned!$B$2:$B$10,"&lt;"&amp;C2903,mdr_rate_cleaned!$F$2:$F$10,"&gt;="&amp;C2903)</f>
        <v>1</v>
      </c>
      <c r="G2903" s="40">
        <f>SUMIFS(mdr_rate_cleaned!$G$2:$G$10,mdr_rate_cleaned!$A$2:$A$10,B2903,mdr_rate_cleaned!$B$2:$B$10,"&lt;"&amp;C2903,mdr_rate_cleaned!$F$2:$F$10,"&gt;="&amp;C2903)</f>
        <v>1.2E-2</v>
      </c>
      <c r="H2903" s="24">
        <f t="shared" si="225"/>
        <v>101.98</v>
      </c>
      <c r="I2903" s="23" t="str">
        <f t="shared" si="226"/>
        <v>Match</v>
      </c>
      <c r="J2903" s="23" t="str">
        <f t="shared" si="227"/>
        <v>Match</v>
      </c>
      <c r="K2903" s="24">
        <f t="shared" si="228"/>
        <v>18.36</v>
      </c>
      <c r="L2903" s="24">
        <f t="shared" si="229"/>
        <v>0</v>
      </c>
    </row>
    <row r="2904" spans="1:12" ht="15" customHeight="1" x14ac:dyDescent="0.3">
      <c r="A2904" s="23" t="s">
        <v>15886</v>
      </c>
      <c r="B2904" s="23" t="s">
        <v>81</v>
      </c>
      <c r="C2904" s="39">
        <v>499</v>
      </c>
      <c r="D2904" s="24">
        <v>7.49</v>
      </c>
      <c r="E2904" s="24">
        <v>1.35</v>
      </c>
      <c r="F2904" s="23">
        <f>COUNTIFS(mdr_rate_cleaned!$A$2:$A$10,B2904,mdr_rate_cleaned!$B$2:$B$10,"&lt;"&amp;C2904,mdr_rate_cleaned!$F$2:$F$10,"&gt;="&amp;C2904)</f>
        <v>1</v>
      </c>
      <c r="G2904" s="40">
        <f>SUMIFS(mdr_rate_cleaned!$G$2:$G$10,mdr_rate_cleaned!$A$2:$A$10,B2904,mdr_rate_cleaned!$B$2:$B$10,"&lt;"&amp;C2904,mdr_rate_cleaned!$F$2:$F$10,"&gt;="&amp;C2904)</f>
        <v>1.4999999999999999E-2</v>
      </c>
      <c r="H2904" s="24">
        <f t="shared" si="225"/>
        <v>7.49</v>
      </c>
      <c r="I2904" s="23" t="str">
        <f t="shared" si="226"/>
        <v>Match</v>
      </c>
      <c r="J2904" s="23" t="str">
        <f t="shared" si="227"/>
        <v>Match</v>
      </c>
      <c r="K2904" s="24">
        <f t="shared" si="228"/>
        <v>1.35</v>
      </c>
      <c r="L2904" s="24">
        <f t="shared" si="229"/>
        <v>0</v>
      </c>
    </row>
    <row r="2905" spans="1:12" ht="15" customHeight="1" x14ac:dyDescent="0.3">
      <c r="A2905" s="23" t="s">
        <v>15887</v>
      </c>
      <c r="B2905" s="23" t="s">
        <v>75</v>
      </c>
      <c r="C2905" s="39">
        <v>1299</v>
      </c>
      <c r="D2905" s="24">
        <v>0</v>
      </c>
      <c r="E2905" s="24">
        <v>0</v>
      </c>
      <c r="F2905" s="23">
        <f>COUNTIFS(mdr_rate_cleaned!$A$2:$A$10,B2905,mdr_rate_cleaned!$B$2:$B$10,"&lt;"&amp;C2905,mdr_rate_cleaned!$F$2:$F$10,"&gt;="&amp;C2905)</f>
        <v>1</v>
      </c>
      <c r="G2905" s="40">
        <f>SUMIFS(mdr_rate_cleaned!$G$2:$G$10,mdr_rate_cleaned!$A$2:$A$10,B2905,mdr_rate_cleaned!$B$2:$B$10,"&lt;"&amp;C2905,mdr_rate_cleaned!$F$2:$F$10,"&gt;="&amp;C2905)</f>
        <v>0</v>
      </c>
      <c r="H2905" s="24">
        <f t="shared" si="225"/>
        <v>0</v>
      </c>
      <c r="I2905" s="23" t="str">
        <f t="shared" si="226"/>
        <v>Match</v>
      </c>
      <c r="J2905" s="23" t="str">
        <f t="shared" si="227"/>
        <v>Match</v>
      </c>
      <c r="K2905" s="24">
        <f t="shared" si="228"/>
        <v>0</v>
      </c>
      <c r="L2905" s="24">
        <f t="shared" si="229"/>
        <v>0</v>
      </c>
    </row>
    <row r="2906" spans="1:12" ht="15" customHeight="1" x14ac:dyDescent="0.3">
      <c r="A2906" s="23" t="s">
        <v>15888</v>
      </c>
      <c r="B2906" s="23" t="s">
        <v>79</v>
      </c>
      <c r="C2906" s="39">
        <v>1598</v>
      </c>
      <c r="D2906" s="24">
        <v>28.76</v>
      </c>
      <c r="E2906" s="24">
        <v>5.18</v>
      </c>
      <c r="F2906" s="23">
        <f>COUNTIFS(mdr_rate_cleaned!$A$2:$A$10,B2906,mdr_rate_cleaned!$B$2:$B$10,"&lt;"&amp;C2906,mdr_rate_cleaned!$F$2:$F$10,"&gt;="&amp;C2906)</f>
        <v>1</v>
      </c>
      <c r="G2906" s="40">
        <f>SUMIFS(mdr_rate_cleaned!$G$2:$G$10,mdr_rate_cleaned!$A$2:$A$10,B2906,mdr_rate_cleaned!$B$2:$B$10,"&lt;"&amp;C2906,mdr_rate_cleaned!$F$2:$F$10,"&gt;="&amp;C2906)</f>
        <v>1.8000000000000002E-2</v>
      </c>
      <c r="H2906" s="24">
        <f t="shared" si="225"/>
        <v>28.76</v>
      </c>
      <c r="I2906" s="23" t="str">
        <f t="shared" si="226"/>
        <v>Match</v>
      </c>
      <c r="J2906" s="23" t="str">
        <f t="shared" si="227"/>
        <v>Match</v>
      </c>
      <c r="K2906" s="24">
        <f t="shared" si="228"/>
        <v>5.18</v>
      </c>
      <c r="L2906" s="24">
        <f t="shared" si="229"/>
        <v>0</v>
      </c>
    </row>
    <row r="2907" spans="1:12" ht="15" customHeight="1" x14ac:dyDescent="0.3">
      <c r="A2907" s="23" t="s">
        <v>15889</v>
      </c>
      <c r="B2907" s="23" t="s">
        <v>77</v>
      </c>
      <c r="C2907" s="39">
        <v>499</v>
      </c>
      <c r="D2907" s="24">
        <v>9.48</v>
      </c>
      <c r="E2907" s="24">
        <v>1.71</v>
      </c>
      <c r="F2907" s="23">
        <f>COUNTIFS(mdr_rate_cleaned!$A$2:$A$10,B2907,mdr_rate_cleaned!$B$2:$B$10,"&lt;"&amp;C2907,mdr_rate_cleaned!$F$2:$F$10,"&gt;="&amp;C2907)</f>
        <v>1</v>
      </c>
      <c r="G2907" s="40">
        <f>SUMIFS(mdr_rate_cleaned!$G$2:$G$10,mdr_rate_cleaned!$A$2:$A$10,B2907,mdr_rate_cleaned!$B$2:$B$10,"&lt;"&amp;C2907,mdr_rate_cleaned!$F$2:$F$10,"&gt;="&amp;C2907)</f>
        <v>1.9E-2</v>
      </c>
      <c r="H2907" s="24">
        <f t="shared" si="225"/>
        <v>9.48</v>
      </c>
      <c r="I2907" s="23" t="str">
        <f t="shared" si="226"/>
        <v>Match</v>
      </c>
      <c r="J2907" s="23" t="str">
        <f t="shared" si="227"/>
        <v>Match</v>
      </c>
      <c r="K2907" s="24">
        <f t="shared" si="228"/>
        <v>1.71</v>
      </c>
      <c r="L2907" s="24">
        <f t="shared" si="229"/>
        <v>0</v>
      </c>
    </row>
    <row r="2908" spans="1:12" ht="15" customHeight="1" x14ac:dyDescent="0.3">
      <c r="A2908" s="23" t="s">
        <v>15890</v>
      </c>
      <c r="B2908" s="23" t="s">
        <v>77</v>
      </c>
      <c r="C2908" s="39">
        <v>1799</v>
      </c>
      <c r="D2908" s="24">
        <v>34.18</v>
      </c>
      <c r="E2908" s="24">
        <v>6.15</v>
      </c>
      <c r="F2908" s="23">
        <f>COUNTIFS(mdr_rate_cleaned!$A$2:$A$10,B2908,mdr_rate_cleaned!$B$2:$B$10,"&lt;"&amp;C2908,mdr_rate_cleaned!$F$2:$F$10,"&gt;="&amp;C2908)</f>
        <v>1</v>
      </c>
      <c r="G2908" s="40">
        <f>SUMIFS(mdr_rate_cleaned!$G$2:$G$10,mdr_rate_cleaned!$A$2:$A$10,B2908,mdr_rate_cleaned!$B$2:$B$10,"&lt;"&amp;C2908,mdr_rate_cleaned!$F$2:$F$10,"&gt;="&amp;C2908)</f>
        <v>1.9E-2</v>
      </c>
      <c r="H2908" s="24">
        <f t="shared" si="225"/>
        <v>34.18</v>
      </c>
      <c r="I2908" s="23" t="str">
        <f t="shared" si="226"/>
        <v>Match</v>
      </c>
      <c r="J2908" s="23" t="str">
        <f t="shared" si="227"/>
        <v>Match</v>
      </c>
      <c r="K2908" s="24">
        <f t="shared" si="228"/>
        <v>6.15</v>
      </c>
      <c r="L2908" s="24">
        <f t="shared" si="229"/>
        <v>0</v>
      </c>
    </row>
    <row r="2909" spans="1:12" ht="15" customHeight="1" x14ac:dyDescent="0.3">
      <c r="A2909" s="23" t="s">
        <v>15891</v>
      </c>
      <c r="B2909" s="23" t="s">
        <v>79</v>
      </c>
      <c r="C2909" s="39">
        <v>9797</v>
      </c>
      <c r="D2909" s="24">
        <v>156.75</v>
      </c>
      <c r="E2909" s="24">
        <v>28.22</v>
      </c>
      <c r="F2909" s="23">
        <f>COUNTIFS(mdr_rate_cleaned!$A$2:$A$10,B2909,mdr_rate_cleaned!$B$2:$B$10,"&lt;"&amp;C2909,mdr_rate_cleaned!$F$2:$F$10,"&gt;="&amp;C2909)</f>
        <v>1</v>
      </c>
      <c r="G2909" s="40">
        <f>SUMIFS(mdr_rate_cleaned!$G$2:$G$10,mdr_rate_cleaned!$A$2:$A$10,B2909,mdr_rate_cleaned!$B$2:$B$10,"&lt;"&amp;C2909,mdr_rate_cleaned!$F$2:$F$10,"&gt;="&amp;C2909)</f>
        <v>1.6E-2</v>
      </c>
      <c r="H2909" s="24">
        <f t="shared" si="225"/>
        <v>156.75</v>
      </c>
      <c r="I2909" s="23" t="str">
        <f t="shared" si="226"/>
        <v>Match</v>
      </c>
      <c r="J2909" s="23" t="str">
        <f t="shared" si="227"/>
        <v>Match</v>
      </c>
      <c r="K2909" s="24">
        <f t="shared" si="228"/>
        <v>28.22</v>
      </c>
      <c r="L2909" s="24">
        <f t="shared" si="229"/>
        <v>0</v>
      </c>
    </row>
    <row r="2910" spans="1:12" ht="15" customHeight="1" x14ac:dyDescent="0.3">
      <c r="A2910" s="23" t="s">
        <v>15892</v>
      </c>
      <c r="B2910" s="23" t="s">
        <v>75</v>
      </c>
      <c r="C2910" s="39">
        <v>3348</v>
      </c>
      <c r="D2910" s="24">
        <v>10.039999999999999</v>
      </c>
      <c r="E2910" s="24">
        <v>1.81</v>
      </c>
      <c r="F2910" s="23">
        <f>COUNTIFS(mdr_rate_cleaned!$A$2:$A$10,B2910,mdr_rate_cleaned!$B$2:$B$10,"&lt;"&amp;C2910,mdr_rate_cleaned!$F$2:$F$10,"&gt;="&amp;C2910)</f>
        <v>1</v>
      </c>
      <c r="G2910" s="40">
        <f>SUMIFS(mdr_rate_cleaned!$G$2:$G$10,mdr_rate_cleaned!$A$2:$A$10,B2910,mdr_rate_cleaned!$B$2:$B$10,"&lt;"&amp;C2910,mdr_rate_cleaned!$F$2:$F$10,"&gt;="&amp;C2910)</f>
        <v>3.0000000000000001E-3</v>
      </c>
      <c r="H2910" s="24">
        <f t="shared" si="225"/>
        <v>10.039999999999999</v>
      </c>
      <c r="I2910" s="23" t="str">
        <f t="shared" si="226"/>
        <v>Match</v>
      </c>
      <c r="J2910" s="23" t="str">
        <f t="shared" si="227"/>
        <v>Match</v>
      </c>
      <c r="K2910" s="24">
        <f t="shared" si="228"/>
        <v>1.81</v>
      </c>
      <c r="L2910" s="24">
        <f t="shared" si="229"/>
        <v>0</v>
      </c>
    </row>
    <row r="2911" spans="1:12" ht="15" customHeight="1" x14ac:dyDescent="0.3">
      <c r="A2911" s="23" t="s">
        <v>15894</v>
      </c>
      <c r="B2911" s="23" t="s">
        <v>75</v>
      </c>
      <c r="C2911" s="39">
        <v>1499</v>
      </c>
      <c r="D2911" s="24">
        <v>0</v>
      </c>
      <c r="E2911" s="24">
        <v>0</v>
      </c>
      <c r="F2911" s="23">
        <f>COUNTIFS(mdr_rate_cleaned!$A$2:$A$10,B2911,mdr_rate_cleaned!$B$2:$B$10,"&lt;"&amp;C2911,mdr_rate_cleaned!$F$2:$F$10,"&gt;="&amp;C2911)</f>
        <v>1</v>
      </c>
      <c r="G2911" s="40">
        <f>SUMIFS(mdr_rate_cleaned!$G$2:$G$10,mdr_rate_cleaned!$A$2:$A$10,B2911,mdr_rate_cleaned!$B$2:$B$10,"&lt;"&amp;C2911,mdr_rate_cleaned!$F$2:$F$10,"&gt;="&amp;C2911)</f>
        <v>0</v>
      </c>
      <c r="H2911" s="24">
        <f t="shared" si="225"/>
        <v>0</v>
      </c>
      <c r="I2911" s="23" t="str">
        <f t="shared" si="226"/>
        <v>Match</v>
      </c>
      <c r="J2911" s="23" t="str">
        <f t="shared" si="227"/>
        <v>Match</v>
      </c>
      <c r="K2911" s="24">
        <f t="shared" si="228"/>
        <v>0</v>
      </c>
      <c r="L2911" s="24">
        <f t="shared" si="229"/>
        <v>0</v>
      </c>
    </row>
    <row r="2912" spans="1:12" ht="15" customHeight="1" x14ac:dyDescent="0.3">
      <c r="A2912" s="23" t="s">
        <v>15895</v>
      </c>
      <c r="B2912" s="23" t="s">
        <v>79</v>
      </c>
      <c r="C2912" s="39">
        <v>4897</v>
      </c>
      <c r="D2912" s="24">
        <v>78.349999999999994</v>
      </c>
      <c r="E2912" s="24">
        <v>14.1</v>
      </c>
      <c r="F2912" s="23">
        <f>COUNTIFS(mdr_rate_cleaned!$A$2:$A$10,B2912,mdr_rate_cleaned!$B$2:$B$10,"&lt;"&amp;C2912,mdr_rate_cleaned!$F$2:$F$10,"&gt;="&amp;C2912)</f>
        <v>1</v>
      </c>
      <c r="G2912" s="40">
        <f>SUMIFS(mdr_rate_cleaned!$G$2:$G$10,mdr_rate_cleaned!$A$2:$A$10,B2912,mdr_rate_cleaned!$B$2:$B$10,"&lt;"&amp;C2912,mdr_rate_cleaned!$F$2:$F$10,"&gt;="&amp;C2912)</f>
        <v>1.6E-2</v>
      </c>
      <c r="H2912" s="24">
        <f t="shared" si="225"/>
        <v>78.349999999999994</v>
      </c>
      <c r="I2912" s="23" t="str">
        <f t="shared" si="226"/>
        <v>Match</v>
      </c>
      <c r="J2912" s="23" t="str">
        <f t="shared" si="227"/>
        <v>Match</v>
      </c>
      <c r="K2912" s="24">
        <f t="shared" si="228"/>
        <v>14.1</v>
      </c>
      <c r="L2912" s="24">
        <f t="shared" si="229"/>
        <v>0</v>
      </c>
    </row>
    <row r="2913" spans="1:12" ht="15" customHeight="1" x14ac:dyDescent="0.3">
      <c r="A2913" s="23" t="s">
        <v>15896</v>
      </c>
      <c r="B2913" s="23" t="s">
        <v>81</v>
      </c>
      <c r="C2913" s="39">
        <v>799</v>
      </c>
      <c r="D2913" s="24">
        <v>11.99</v>
      </c>
      <c r="E2913" s="24">
        <v>2.16</v>
      </c>
      <c r="F2913" s="23">
        <f>COUNTIFS(mdr_rate_cleaned!$A$2:$A$10,B2913,mdr_rate_cleaned!$B$2:$B$10,"&lt;"&amp;C2913,mdr_rate_cleaned!$F$2:$F$10,"&gt;="&amp;C2913)</f>
        <v>1</v>
      </c>
      <c r="G2913" s="40">
        <f>SUMIFS(mdr_rate_cleaned!$G$2:$G$10,mdr_rate_cleaned!$A$2:$A$10,B2913,mdr_rate_cleaned!$B$2:$B$10,"&lt;"&amp;C2913,mdr_rate_cleaned!$F$2:$F$10,"&gt;="&amp;C2913)</f>
        <v>1.4999999999999999E-2</v>
      </c>
      <c r="H2913" s="24">
        <f t="shared" si="225"/>
        <v>11.99</v>
      </c>
      <c r="I2913" s="23" t="str">
        <f t="shared" si="226"/>
        <v>Match</v>
      </c>
      <c r="J2913" s="23" t="str">
        <f t="shared" si="227"/>
        <v>Match</v>
      </c>
      <c r="K2913" s="24">
        <f t="shared" si="228"/>
        <v>2.16</v>
      </c>
      <c r="L2913" s="24">
        <f t="shared" si="229"/>
        <v>0</v>
      </c>
    </row>
    <row r="2914" spans="1:12" ht="15" customHeight="1" x14ac:dyDescent="0.3">
      <c r="A2914" s="23" t="s">
        <v>15897</v>
      </c>
      <c r="B2914" s="23" t="s">
        <v>79</v>
      </c>
      <c r="C2914" s="39">
        <v>5798</v>
      </c>
      <c r="D2914" s="24">
        <v>92.77</v>
      </c>
      <c r="E2914" s="24">
        <v>16.7</v>
      </c>
      <c r="F2914" s="23">
        <f>COUNTIFS(mdr_rate_cleaned!$A$2:$A$10,B2914,mdr_rate_cleaned!$B$2:$B$10,"&lt;"&amp;C2914,mdr_rate_cleaned!$F$2:$F$10,"&gt;="&amp;C2914)</f>
        <v>1</v>
      </c>
      <c r="G2914" s="40">
        <f>SUMIFS(mdr_rate_cleaned!$G$2:$G$10,mdr_rate_cleaned!$A$2:$A$10,B2914,mdr_rate_cleaned!$B$2:$B$10,"&lt;"&amp;C2914,mdr_rate_cleaned!$F$2:$F$10,"&gt;="&amp;C2914)</f>
        <v>1.6E-2</v>
      </c>
      <c r="H2914" s="24">
        <f t="shared" si="225"/>
        <v>92.77</v>
      </c>
      <c r="I2914" s="23" t="str">
        <f t="shared" si="226"/>
        <v>Match</v>
      </c>
      <c r="J2914" s="23" t="str">
        <f t="shared" si="227"/>
        <v>Match</v>
      </c>
      <c r="K2914" s="24">
        <f t="shared" si="228"/>
        <v>16.7</v>
      </c>
      <c r="L2914" s="24">
        <f t="shared" si="229"/>
        <v>0</v>
      </c>
    </row>
    <row r="2915" spans="1:12" ht="15" customHeight="1" x14ac:dyDescent="0.3">
      <c r="A2915" s="23" t="s">
        <v>15898</v>
      </c>
      <c r="B2915" s="23" t="s">
        <v>75</v>
      </c>
      <c r="C2915" s="39">
        <v>499</v>
      </c>
      <c r="D2915" s="24">
        <v>0</v>
      </c>
      <c r="E2915" s="24">
        <v>0</v>
      </c>
      <c r="F2915" s="23">
        <f>COUNTIFS(mdr_rate_cleaned!$A$2:$A$10,B2915,mdr_rate_cleaned!$B$2:$B$10,"&lt;"&amp;C2915,mdr_rate_cleaned!$F$2:$F$10,"&gt;="&amp;C2915)</f>
        <v>1</v>
      </c>
      <c r="G2915" s="40">
        <f>SUMIFS(mdr_rate_cleaned!$G$2:$G$10,mdr_rate_cleaned!$A$2:$A$10,B2915,mdr_rate_cleaned!$B$2:$B$10,"&lt;"&amp;C2915,mdr_rate_cleaned!$F$2:$F$10,"&gt;="&amp;C2915)</f>
        <v>0</v>
      </c>
      <c r="H2915" s="24">
        <f t="shared" si="225"/>
        <v>0</v>
      </c>
      <c r="I2915" s="23" t="str">
        <f t="shared" si="226"/>
        <v>Match</v>
      </c>
      <c r="J2915" s="23" t="str">
        <f t="shared" si="227"/>
        <v>Match</v>
      </c>
      <c r="K2915" s="24">
        <f t="shared" si="228"/>
        <v>0</v>
      </c>
      <c r="L2915" s="24">
        <f t="shared" si="229"/>
        <v>0</v>
      </c>
    </row>
    <row r="2916" spans="1:12" ht="15" customHeight="1" x14ac:dyDescent="0.3">
      <c r="A2916" s="23" t="s">
        <v>15899</v>
      </c>
      <c r="B2916" s="23" t="s">
        <v>79</v>
      </c>
      <c r="C2916" s="39">
        <v>2999</v>
      </c>
      <c r="D2916" s="24">
        <v>47.98</v>
      </c>
      <c r="E2916" s="24">
        <v>8.64</v>
      </c>
      <c r="F2916" s="23">
        <f>COUNTIFS(mdr_rate_cleaned!$A$2:$A$10,B2916,mdr_rate_cleaned!$B$2:$B$10,"&lt;"&amp;C2916,mdr_rate_cleaned!$F$2:$F$10,"&gt;="&amp;C2916)</f>
        <v>1</v>
      </c>
      <c r="G2916" s="40">
        <f>SUMIFS(mdr_rate_cleaned!$G$2:$G$10,mdr_rate_cleaned!$A$2:$A$10,B2916,mdr_rate_cleaned!$B$2:$B$10,"&lt;"&amp;C2916,mdr_rate_cleaned!$F$2:$F$10,"&gt;="&amp;C2916)</f>
        <v>1.6E-2</v>
      </c>
      <c r="H2916" s="24">
        <f t="shared" si="225"/>
        <v>47.98</v>
      </c>
      <c r="I2916" s="23" t="str">
        <f t="shared" si="226"/>
        <v>Match</v>
      </c>
      <c r="J2916" s="23" t="str">
        <f t="shared" si="227"/>
        <v>Match</v>
      </c>
      <c r="K2916" s="24">
        <f t="shared" si="228"/>
        <v>8.64</v>
      </c>
      <c r="L2916" s="24">
        <f t="shared" si="229"/>
        <v>0</v>
      </c>
    </row>
    <row r="2917" spans="1:12" ht="15" customHeight="1" x14ac:dyDescent="0.3">
      <c r="A2917" s="23" t="s">
        <v>15900</v>
      </c>
      <c r="B2917" s="23" t="s">
        <v>75</v>
      </c>
      <c r="C2917" s="39">
        <v>7999</v>
      </c>
      <c r="D2917" s="24">
        <v>24</v>
      </c>
      <c r="E2917" s="24">
        <v>4.32</v>
      </c>
      <c r="F2917" s="23">
        <f>COUNTIFS(mdr_rate_cleaned!$A$2:$A$10,B2917,mdr_rate_cleaned!$B$2:$B$10,"&lt;"&amp;C2917,mdr_rate_cleaned!$F$2:$F$10,"&gt;="&amp;C2917)</f>
        <v>1</v>
      </c>
      <c r="G2917" s="40">
        <f>SUMIFS(mdr_rate_cleaned!$G$2:$G$10,mdr_rate_cleaned!$A$2:$A$10,B2917,mdr_rate_cleaned!$B$2:$B$10,"&lt;"&amp;C2917,mdr_rate_cleaned!$F$2:$F$10,"&gt;="&amp;C2917)</f>
        <v>3.0000000000000001E-3</v>
      </c>
      <c r="H2917" s="24">
        <f t="shared" si="225"/>
        <v>24</v>
      </c>
      <c r="I2917" s="23" t="str">
        <f t="shared" si="226"/>
        <v>Match</v>
      </c>
      <c r="J2917" s="23" t="str">
        <f t="shared" si="227"/>
        <v>Match</v>
      </c>
      <c r="K2917" s="24">
        <f t="shared" si="228"/>
        <v>4.32</v>
      </c>
      <c r="L2917" s="24">
        <f t="shared" si="229"/>
        <v>0</v>
      </c>
    </row>
    <row r="2918" spans="1:12" ht="15" customHeight="1" x14ac:dyDescent="0.3">
      <c r="A2918" s="23" t="s">
        <v>15901</v>
      </c>
      <c r="B2918" s="23" t="s">
        <v>75</v>
      </c>
      <c r="C2918" s="39">
        <v>4098</v>
      </c>
      <c r="D2918" s="24">
        <v>12.29</v>
      </c>
      <c r="E2918" s="24">
        <v>2.21</v>
      </c>
      <c r="F2918" s="23">
        <f>COUNTIFS(mdr_rate_cleaned!$A$2:$A$10,B2918,mdr_rate_cleaned!$B$2:$B$10,"&lt;"&amp;C2918,mdr_rate_cleaned!$F$2:$F$10,"&gt;="&amp;C2918)</f>
        <v>1</v>
      </c>
      <c r="G2918" s="40">
        <f>SUMIFS(mdr_rate_cleaned!$G$2:$G$10,mdr_rate_cleaned!$A$2:$A$10,B2918,mdr_rate_cleaned!$B$2:$B$10,"&lt;"&amp;C2918,mdr_rate_cleaned!$F$2:$F$10,"&gt;="&amp;C2918)</f>
        <v>3.0000000000000001E-3</v>
      </c>
      <c r="H2918" s="24">
        <f t="shared" si="225"/>
        <v>12.29</v>
      </c>
      <c r="I2918" s="23" t="str">
        <f t="shared" si="226"/>
        <v>Match</v>
      </c>
      <c r="J2918" s="23" t="str">
        <f t="shared" si="227"/>
        <v>Match</v>
      </c>
      <c r="K2918" s="24">
        <f t="shared" si="228"/>
        <v>2.21</v>
      </c>
      <c r="L2918" s="24">
        <f t="shared" si="229"/>
        <v>0</v>
      </c>
    </row>
    <row r="2919" spans="1:12" ht="15" customHeight="1" x14ac:dyDescent="0.3">
      <c r="A2919" s="23" t="s">
        <v>15902</v>
      </c>
      <c r="B2919" s="23" t="s">
        <v>75</v>
      </c>
      <c r="C2919" s="39">
        <v>4647</v>
      </c>
      <c r="D2919" s="24">
        <v>13.94</v>
      </c>
      <c r="E2919" s="24">
        <v>2.5099999999999998</v>
      </c>
      <c r="F2919" s="23">
        <f>COUNTIFS(mdr_rate_cleaned!$A$2:$A$10,B2919,mdr_rate_cleaned!$B$2:$B$10,"&lt;"&amp;C2919,mdr_rate_cleaned!$F$2:$F$10,"&gt;="&amp;C2919)</f>
        <v>1</v>
      </c>
      <c r="G2919" s="40">
        <f>SUMIFS(mdr_rate_cleaned!$G$2:$G$10,mdr_rate_cleaned!$A$2:$A$10,B2919,mdr_rate_cleaned!$B$2:$B$10,"&lt;"&amp;C2919,mdr_rate_cleaned!$F$2:$F$10,"&gt;="&amp;C2919)</f>
        <v>3.0000000000000001E-3</v>
      </c>
      <c r="H2919" s="24">
        <f t="shared" si="225"/>
        <v>13.94</v>
      </c>
      <c r="I2919" s="23" t="str">
        <f t="shared" si="226"/>
        <v>Match</v>
      </c>
      <c r="J2919" s="23" t="str">
        <f t="shared" si="227"/>
        <v>Match</v>
      </c>
      <c r="K2919" s="24">
        <f t="shared" si="228"/>
        <v>2.5099999999999998</v>
      </c>
      <c r="L2919" s="24">
        <f t="shared" si="229"/>
        <v>0</v>
      </c>
    </row>
    <row r="2920" spans="1:12" ht="15" customHeight="1" x14ac:dyDescent="0.3">
      <c r="A2920" s="23" t="s">
        <v>15903</v>
      </c>
      <c r="B2920" s="23" t="s">
        <v>77</v>
      </c>
      <c r="C2920" s="39">
        <v>4798</v>
      </c>
      <c r="D2920" s="24">
        <v>81.569999999999993</v>
      </c>
      <c r="E2920" s="24">
        <v>14.68</v>
      </c>
      <c r="F2920" s="23">
        <f>COUNTIFS(mdr_rate_cleaned!$A$2:$A$10,B2920,mdr_rate_cleaned!$B$2:$B$10,"&lt;"&amp;C2920,mdr_rate_cleaned!$F$2:$F$10,"&gt;="&amp;C2920)</f>
        <v>1</v>
      </c>
      <c r="G2920" s="40">
        <f>SUMIFS(mdr_rate_cleaned!$G$2:$G$10,mdr_rate_cleaned!$A$2:$A$10,B2920,mdr_rate_cleaned!$B$2:$B$10,"&lt;"&amp;C2920,mdr_rate_cleaned!$F$2:$F$10,"&gt;="&amp;C2920)</f>
        <v>1.7000000000000001E-2</v>
      </c>
      <c r="H2920" s="24">
        <f t="shared" si="225"/>
        <v>81.569999999999993</v>
      </c>
      <c r="I2920" s="23" t="str">
        <f t="shared" si="226"/>
        <v>Match</v>
      </c>
      <c r="J2920" s="23" t="str">
        <f t="shared" si="227"/>
        <v>Match</v>
      </c>
      <c r="K2920" s="24">
        <f t="shared" si="228"/>
        <v>14.68</v>
      </c>
      <c r="L2920" s="24">
        <f t="shared" si="229"/>
        <v>0</v>
      </c>
    </row>
    <row r="2921" spans="1:12" ht="15" customHeight="1" x14ac:dyDescent="0.3">
      <c r="A2921" s="23" t="s">
        <v>15904</v>
      </c>
      <c r="B2921" s="23" t="s">
        <v>75</v>
      </c>
      <c r="C2921" s="39">
        <v>3498</v>
      </c>
      <c r="D2921" s="24">
        <v>10.49</v>
      </c>
      <c r="E2921" s="24">
        <v>1.89</v>
      </c>
      <c r="F2921" s="23">
        <f>COUNTIFS(mdr_rate_cleaned!$A$2:$A$10,B2921,mdr_rate_cleaned!$B$2:$B$10,"&lt;"&amp;C2921,mdr_rate_cleaned!$F$2:$F$10,"&gt;="&amp;C2921)</f>
        <v>1</v>
      </c>
      <c r="G2921" s="40">
        <f>SUMIFS(mdr_rate_cleaned!$G$2:$G$10,mdr_rate_cleaned!$A$2:$A$10,B2921,mdr_rate_cleaned!$B$2:$B$10,"&lt;"&amp;C2921,mdr_rate_cleaned!$F$2:$F$10,"&gt;="&amp;C2921)</f>
        <v>3.0000000000000001E-3</v>
      </c>
      <c r="H2921" s="24">
        <f t="shared" si="225"/>
        <v>10.49</v>
      </c>
      <c r="I2921" s="23" t="str">
        <f t="shared" si="226"/>
        <v>Match</v>
      </c>
      <c r="J2921" s="23" t="str">
        <f t="shared" si="227"/>
        <v>Match</v>
      </c>
      <c r="K2921" s="24">
        <f t="shared" si="228"/>
        <v>1.89</v>
      </c>
      <c r="L2921" s="24">
        <f t="shared" si="229"/>
        <v>0</v>
      </c>
    </row>
    <row r="2922" spans="1:12" ht="15" customHeight="1" x14ac:dyDescent="0.3">
      <c r="A2922" s="23" t="s">
        <v>15905</v>
      </c>
      <c r="B2922" s="23" t="s">
        <v>79</v>
      </c>
      <c r="C2922" s="39">
        <v>1299</v>
      </c>
      <c r="D2922" s="24">
        <v>23.38</v>
      </c>
      <c r="E2922" s="24">
        <v>4.21</v>
      </c>
      <c r="F2922" s="23">
        <f>COUNTIFS(mdr_rate_cleaned!$A$2:$A$10,B2922,mdr_rate_cleaned!$B$2:$B$10,"&lt;"&amp;C2922,mdr_rate_cleaned!$F$2:$F$10,"&gt;="&amp;C2922)</f>
        <v>1</v>
      </c>
      <c r="G2922" s="40">
        <f>SUMIFS(mdr_rate_cleaned!$G$2:$G$10,mdr_rate_cleaned!$A$2:$A$10,B2922,mdr_rate_cleaned!$B$2:$B$10,"&lt;"&amp;C2922,mdr_rate_cleaned!$F$2:$F$10,"&gt;="&amp;C2922)</f>
        <v>1.8000000000000002E-2</v>
      </c>
      <c r="H2922" s="24">
        <f t="shared" si="225"/>
        <v>23.38</v>
      </c>
      <c r="I2922" s="23" t="str">
        <f t="shared" si="226"/>
        <v>Match</v>
      </c>
      <c r="J2922" s="23" t="str">
        <f t="shared" si="227"/>
        <v>Match</v>
      </c>
      <c r="K2922" s="24">
        <f t="shared" si="228"/>
        <v>4.21</v>
      </c>
      <c r="L2922" s="24">
        <f t="shared" si="229"/>
        <v>0</v>
      </c>
    </row>
    <row r="2923" spans="1:12" ht="15" customHeight="1" x14ac:dyDescent="0.3">
      <c r="A2923" s="23" t="s">
        <v>15906</v>
      </c>
      <c r="B2923" s="23" t="s">
        <v>79</v>
      </c>
      <c r="C2923" s="39">
        <v>7999</v>
      </c>
      <c r="D2923" s="24">
        <v>127.98</v>
      </c>
      <c r="E2923" s="24">
        <v>23.04</v>
      </c>
      <c r="F2923" s="23">
        <f>COUNTIFS(mdr_rate_cleaned!$A$2:$A$10,B2923,mdr_rate_cleaned!$B$2:$B$10,"&lt;"&amp;C2923,mdr_rate_cleaned!$F$2:$F$10,"&gt;="&amp;C2923)</f>
        <v>1</v>
      </c>
      <c r="G2923" s="40">
        <f>SUMIFS(mdr_rate_cleaned!$G$2:$G$10,mdr_rate_cleaned!$A$2:$A$10,B2923,mdr_rate_cleaned!$B$2:$B$10,"&lt;"&amp;C2923,mdr_rate_cleaned!$F$2:$F$10,"&gt;="&amp;C2923)</f>
        <v>1.6E-2</v>
      </c>
      <c r="H2923" s="24">
        <f t="shared" si="225"/>
        <v>127.98</v>
      </c>
      <c r="I2923" s="23" t="str">
        <f t="shared" si="226"/>
        <v>Match</v>
      </c>
      <c r="J2923" s="23" t="str">
        <f t="shared" si="227"/>
        <v>Match</v>
      </c>
      <c r="K2923" s="24">
        <f t="shared" si="228"/>
        <v>23.04</v>
      </c>
      <c r="L2923" s="24">
        <f t="shared" si="229"/>
        <v>0</v>
      </c>
    </row>
    <row r="2924" spans="1:12" ht="15" customHeight="1" x14ac:dyDescent="0.3">
      <c r="A2924" s="23" t="s">
        <v>15908</v>
      </c>
      <c r="B2924" s="23" t="s">
        <v>75</v>
      </c>
      <c r="C2924" s="39">
        <v>599</v>
      </c>
      <c r="D2924" s="24">
        <v>0</v>
      </c>
      <c r="E2924" s="24">
        <v>0</v>
      </c>
      <c r="F2924" s="23">
        <f>COUNTIFS(mdr_rate_cleaned!$A$2:$A$10,B2924,mdr_rate_cleaned!$B$2:$B$10,"&lt;"&amp;C2924,mdr_rate_cleaned!$F$2:$F$10,"&gt;="&amp;C2924)</f>
        <v>1</v>
      </c>
      <c r="G2924" s="40">
        <f>SUMIFS(mdr_rate_cleaned!$G$2:$G$10,mdr_rate_cleaned!$A$2:$A$10,B2924,mdr_rate_cleaned!$B$2:$B$10,"&lt;"&amp;C2924,mdr_rate_cleaned!$F$2:$F$10,"&gt;="&amp;C2924)</f>
        <v>0</v>
      </c>
      <c r="H2924" s="24">
        <f t="shared" si="225"/>
        <v>0</v>
      </c>
      <c r="I2924" s="23" t="str">
        <f t="shared" si="226"/>
        <v>Match</v>
      </c>
      <c r="J2924" s="23" t="str">
        <f t="shared" si="227"/>
        <v>Match</v>
      </c>
      <c r="K2924" s="24">
        <f t="shared" si="228"/>
        <v>0</v>
      </c>
      <c r="L2924" s="24">
        <f t="shared" si="229"/>
        <v>0</v>
      </c>
    </row>
    <row r="2925" spans="1:12" ht="15" customHeight="1" x14ac:dyDescent="0.3">
      <c r="A2925" s="23" t="s">
        <v>15909</v>
      </c>
      <c r="B2925" s="23" t="s">
        <v>79</v>
      </c>
      <c r="C2925" s="39">
        <v>1498</v>
      </c>
      <c r="D2925" s="24">
        <v>26.96</v>
      </c>
      <c r="E2925" s="24">
        <v>4.8499999999999996</v>
      </c>
      <c r="F2925" s="23">
        <f>COUNTIFS(mdr_rate_cleaned!$A$2:$A$10,B2925,mdr_rate_cleaned!$B$2:$B$10,"&lt;"&amp;C2925,mdr_rate_cleaned!$F$2:$F$10,"&gt;="&amp;C2925)</f>
        <v>1</v>
      </c>
      <c r="G2925" s="40">
        <f>SUMIFS(mdr_rate_cleaned!$G$2:$G$10,mdr_rate_cleaned!$A$2:$A$10,B2925,mdr_rate_cleaned!$B$2:$B$10,"&lt;"&amp;C2925,mdr_rate_cleaned!$F$2:$F$10,"&gt;="&amp;C2925)</f>
        <v>1.8000000000000002E-2</v>
      </c>
      <c r="H2925" s="24">
        <f t="shared" si="225"/>
        <v>26.96</v>
      </c>
      <c r="I2925" s="23" t="str">
        <f t="shared" si="226"/>
        <v>Match</v>
      </c>
      <c r="J2925" s="23" t="str">
        <f t="shared" si="227"/>
        <v>Match</v>
      </c>
      <c r="K2925" s="24">
        <f t="shared" si="228"/>
        <v>4.8499999999999996</v>
      </c>
      <c r="L2925" s="24">
        <f t="shared" si="229"/>
        <v>0</v>
      </c>
    </row>
    <row r="2926" spans="1:12" ht="15" customHeight="1" x14ac:dyDescent="0.3">
      <c r="A2926" s="23" t="s">
        <v>15911</v>
      </c>
      <c r="B2926" s="23" t="s">
        <v>79</v>
      </c>
      <c r="C2926" s="39">
        <v>1499</v>
      </c>
      <c r="D2926" s="24">
        <v>26.98</v>
      </c>
      <c r="E2926" s="24">
        <v>4.8600000000000003</v>
      </c>
      <c r="F2926" s="23">
        <f>COUNTIFS(mdr_rate_cleaned!$A$2:$A$10,B2926,mdr_rate_cleaned!$B$2:$B$10,"&lt;"&amp;C2926,mdr_rate_cleaned!$F$2:$F$10,"&gt;="&amp;C2926)</f>
        <v>1</v>
      </c>
      <c r="G2926" s="40">
        <f>SUMIFS(mdr_rate_cleaned!$G$2:$G$10,mdr_rate_cleaned!$A$2:$A$10,B2926,mdr_rate_cleaned!$B$2:$B$10,"&lt;"&amp;C2926,mdr_rate_cleaned!$F$2:$F$10,"&gt;="&amp;C2926)</f>
        <v>1.8000000000000002E-2</v>
      </c>
      <c r="H2926" s="24">
        <f t="shared" si="225"/>
        <v>26.98</v>
      </c>
      <c r="I2926" s="23" t="str">
        <f t="shared" si="226"/>
        <v>Match</v>
      </c>
      <c r="J2926" s="23" t="str">
        <f t="shared" si="227"/>
        <v>Match</v>
      </c>
      <c r="K2926" s="24">
        <f t="shared" si="228"/>
        <v>4.8600000000000003</v>
      </c>
      <c r="L2926" s="24">
        <f t="shared" si="229"/>
        <v>0</v>
      </c>
    </row>
    <row r="2927" spans="1:12" ht="15" customHeight="1" x14ac:dyDescent="0.3">
      <c r="A2927" s="23" t="s">
        <v>15912</v>
      </c>
      <c r="B2927" s="23" t="s">
        <v>75</v>
      </c>
      <c r="C2927" s="39">
        <v>2397</v>
      </c>
      <c r="D2927" s="24">
        <v>7.19</v>
      </c>
      <c r="E2927" s="24">
        <v>1.29</v>
      </c>
      <c r="F2927" s="23">
        <f>COUNTIFS(mdr_rate_cleaned!$A$2:$A$10,B2927,mdr_rate_cleaned!$B$2:$B$10,"&lt;"&amp;C2927,mdr_rate_cleaned!$F$2:$F$10,"&gt;="&amp;C2927)</f>
        <v>1</v>
      </c>
      <c r="G2927" s="40">
        <f>SUMIFS(mdr_rate_cleaned!$G$2:$G$10,mdr_rate_cleaned!$A$2:$A$10,B2927,mdr_rate_cleaned!$B$2:$B$10,"&lt;"&amp;C2927,mdr_rate_cleaned!$F$2:$F$10,"&gt;="&amp;C2927)</f>
        <v>3.0000000000000001E-3</v>
      </c>
      <c r="H2927" s="24">
        <f t="shared" si="225"/>
        <v>7.19</v>
      </c>
      <c r="I2927" s="23" t="str">
        <f t="shared" si="226"/>
        <v>Match</v>
      </c>
      <c r="J2927" s="23" t="str">
        <f t="shared" si="227"/>
        <v>Match</v>
      </c>
      <c r="K2927" s="24">
        <f t="shared" si="228"/>
        <v>1.29</v>
      </c>
      <c r="L2927" s="24">
        <f t="shared" si="229"/>
        <v>0</v>
      </c>
    </row>
    <row r="2928" spans="1:12" ht="15" customHeight="1" x14ac:dyDescent="0.3">
      <c r="A2928" s="23" t="s">
        <v>15913</v>
      </c>
      <c r="B2928" s="23" t="s">
        <v>77</v>
      </c>
      <c r="C2928" s="39">
        <v>3499</v>
      </c>
      <c r="D2928" s="24">
        <v>59.48</v>
      </c>
      <c r="E2928" s="24">
        <v>10.71</v>
      </c>
      <c r="F2928" s="23">
        <f>COUNTIFS(mdr_rate_cleaned!$A$2:$A$10,B2928,mdr_rate_cleaned!$B$2:$B$10,"&lt;"&amp;C2928,mdr_rate_cleaned!$F$2:$F$10,"&gt;="&amp;C2928)</f>
        <v>1</v>
      </c>
      <c r="G2928" s="40">
        <f>SUMIFS(mdr_rate_cleaned!$G$2:$G$10,mdr_rate_cleaned!$A$2:$A$10,B2928,mdr_rate_cleaned!$B$2:$B$10,"&lt;"&amp;C2928,mdr_rate_cleaned!$F$2:$F$10,"&gt;="&amp;C2928)</f>
        <v>1.7000000000000001E-2</v>
      </c>
      <c r="H2928" s="24">
        <f t="shared" si="225"/>
        <v>59.48</v>
      </c>
      <c r="I2928" s="23" t="str">
        <f t="shared" si="226"/>
        <v>Match</v>
      </c>
      <c r="J2928" s="23" t="str">
        <f t="shared" si="227"/>
        <v>Match</v>
      </c>
      <c r="K2928" s="24">
        <f t="shared" si="228"/>
        <v>10.71</v>
      </c>
      <c r="L2928" s="24">
        <f t="shared" si="229"/>
        <v>0</v>
      </c>
    </row>
    <row r="2929" spans="1:12" ht="15" customHeight="1" x14ac:dyDescent="0.3">
      <c r="A2929" s="23" t="s">
        <v>15914</v>
      </c>
      <c r="B2929" s="23" t="s">
        <v>75</v>
      </c>
      <c r="C2929" s="39">
        <v>1799</v>
      </c>
      <c r="D2929" s="24">
        <v>0</v>
      </c>
      <c r="E2929" s="24">
        <v>0</v>
      </c>
      <c r="F2929" s="23">
        <f>COUNTIFS(mdr_rate_cleaned!$A$2:$A$10,B2929,mdr_rate_cleaned!$B$2:$B$10,"&lt;"&amp;C2929,mdr_rate_cleaned!$F$2:$F$10,"&gt;="&amp;C2929)</f>
        <v>1</v>
      </c>
      <c r="G2929" s="40">
        <f>SUMIFS(mdr_rate_cleaned!$G$2:$G$10,mdr_rate_cleaned!$A$2:$A$10,B2929,mdr_rate_cleaned!$B$2:$B$10,"&lt;"&amp;C2929,mdr_rate_cleaned!$F$2:$F$10,"&gt;="&amp;C2929)</f>
        <v>0</v>
      </c>
      <c r="H2929" s="24">
        <f t="shared" si="225"/>
        <v>0</v>
      </c>
      <c r="I2929" s="23" t="str">
        <f t="shared" si="226"/>
        <v>Match</v>
      </c>
      <c r="J2929" s="23" t="str">
        <f t="shared" si="227"/>
        <v>Match</v>
      </c>
      <c r="K2929" s="24">
        <f t="shared" si="228"/>
        <v>0</v>
      </c>
      <c r="L2929" s="24">
        <f t="shared" si="229"/>
        <v>0</v>
      </c>
    </row>
    <row r="2930" spans="1:12" ht="15" customHeight="1" x14ac:dyDescent="0.3">
      <c r="A2930" s="23" t="s">
        <v>15916</v>
      </c>
      <c r="B2930" s="23" t="s">
        <v>75</v>
      </c>
      <c r="C2930" s="39">
        <v>7999</v>
      </c>
      <c r="D2930" s="24">
        <v>24</v>
      </c>
      <c r="E2930" s="24">
        <v>4.32</v>
      </c>
      <c r="F2930" s="23">
        <f>COUNTIFS(mdr_rate_cleaned!$A$2:$A$10,B2930,mdr_rate_cleaned!$B$2:$B$10,"&lt;"&amp;C2930,mdr_rate_cleaned!$F$2:$F$10,"&gt;="&amp;C2930)</f>
        <v>1</v>
      </c>
      <c r="G2930" s="40">
        <f>SUMIFS(mdr_rate_cleaned!$G$2:$G$10,mdr_rate_cleaned!$A$2:$A$10,B2930,mdr_rate_cleaned!$B$2:$B$10,"&lt;"&amp;C2930,mdr_rate_cleaned!$F$2:$F$10,"&gt;="&amp;C2930)</f>
        <v>3.0000000000000001E-3</v>
      </c>
      <c r="H2930" s="24">
        <f t="shared" si="225"/>
        <v>24</v>
      </c>
      <c r="I2930" s="23" t="str">
        <f t="shared" si="226"/>
        <v>Match</v>
      </c>
      <c r="J2930" s="23" t="str">
        <f t="shared" si="227"/>
        <v>Match</v>
      </c>
      <c r="K2930" s="24">
        <f t="shared" si="228"/>
        <v>4.32</v>
      </c>
      <c r="L2930" s="24">
        <f t="shared" si="229"/>
        <v>0</v>
      </c>
    </row>
    <row r="2931" spans="1:12" ht="15" customHeight="1" x14ac:dyDescent="0.3">
      <c r="A2931" s="23" t="s">
        <v>15917</v>
      </c>
      <c r="B2931" s="23" t="s">
        <v>79</v>
      </c>
      <c r="C2931" s="39">
        <v>5298</v>
      </c>
      <c r="D2931" s="24">
        <v>84.77</v>
      </c>
      <c r="E2931" s="24">
        <v>15.26</v>
      </c>
      <c r="F2931" s="23">
        <f>COUNTIFS(mdr_rate_cleaned!$A$2:$A$10,B2931,mdr_rate_cleaned!$B$2:$B$10,"&lt;"&amp;C2931,mdr_rate_cleaned!$F$2:$F$10,"&gt;="&amp;C2931)</f>
        <v>1</v>
      </c>
      <c r="G2931" s="40">
        <f>SUMIFS(mdr_rate_cleaned!$G$2:$G$10,mdr_rate_cleaned!$A$2:$A$10,B2931,mdr_rate_cleaned!$B$2:$B$10,"&lt;"&amp;C2931,mdr_rate_cleaned!$F$2:$F$10,"&gt;="&amp;C2931)</f>
        <v>1.6E-2</v>
      </c>
      <c r="H2931" s="24">
        <f t="shared" si="225"/>
        <v>84.77</v>
      </c>
      <c r="I2931" s="23" t="str">
        <f t="shared" si="226"/>
        <v>Match</v>
      </c>
      <c r="J2931" s="23" t="str">
        <f t="shared" si="227"/>
        <v>Match</v>
      </c>
      <c r="K2931" s="24">
        <f t="shared" si="228"/>
        <v>15.26</v>
      </c>
      <c r="L2931" s="24">
        <f t="shared" si="229"/>
        <v>0</v>
      </c>
    </row>
    <row r="2932" spans="1:12" ht="15" customHeight="1" x14ac:dyDescent="0.3">
      <c r="A2932" s="23" t="s">
        <v>15918</v>
      </c>
      <c r="B2932" s="23" t="s">
        <v>75</v>
      </c>
      <c r="C2932" s="39">
        <v>1799</v>
      </c>
      <c r="D2932" s="24">
        <v>0</v>
      </c>
      <c r="E2932" s="24">
        <v>0</v>
      </c>
      <c r="F2932" s="23">
        <f>COUNTIFS(mdr_rate_cleaned!$A$2:$A$10,B2932,mdr_rate_cleaned!$B$2:$B$10,"&lt;"&amp;C2932,mdr_rate_cleaned!$F$2:$F$10,"&gt;="&amp;C2932)</f>
        <v>1</v>
      </c>
      <c r="G2932" s="40">
        <f>SUMIFS(mdr_rate_cleaned!$G$2:$G$10,mdr_rate_cleaned!$A$2:$A$10,B2932,mdr_rate_cleaned!$B$2:$B$10,"&lt;"&amp;C2932,mdr_rate_cleaned!$F$2:$F$10,"&gt;="&amp;C2932)</f>
        <v>0</v>
      </c>
      <c r="H2932" s="24">
        <f t="shared" si="225"/>
        <v>0</v>
      </c>
      <c r="I2932" s="23" t="str">
        <f t="shared" si="226"/>
        <v>Match</v>
      </c>
      <c r="J2932" s="23" t="str">
        <f t="shared" si="227"/>
        <v>Match</v>
      </c>
      <c r="K2932" s="24">
        <f t="shared" si="228"/>
        <v>0</v>
      </c>
      <c r="L2932" s="24">
        <f t="shared" si="229"/>
        <v>0</v>
      </c>
    </row>
    <row r="2933" spans="1:12" ht="15" customHeight="1" x14ac:dyDescent="0.3">
      <c r="A2933" s="23" t="s">
        <v>15920</v>
      </c>
      <c r="B2933" s="23" t="s">
        <v>81</v>
      </c>
      <c r="C2933" s="39">
        <v>6298</v>
      </c>
      <c r="D2933" s="24">
        <v>75.58</v>
      </c>
      <c r="E2933" s="24">
        <v>13.6</v>
      </c>
      <c r="F2933" s="23">
        <f>COUNTIFS(mdr_rate_cleaned!$A$2:$A$10,B2933,mdr_rate_cleaned!$B$2:$B$10,"&lt;"&amp;C2933,mdr_rate_cleaned!$F$2:$F$10,"&gt;="&amp;C2933)</f>
        <v>1</v>
      </c>
      <c r="G2933" s="40">
        <f>SUMIFS(mdr_rate_cleaned!$G$2:$G$10,mdr_rate_cleaned!$A$2:$A$10,B2933,mdr_rate_cleaned!$B$2:$B$10,"&lt;"&amp;C2933,mdr_rate_cleaned!$F$2:$F$10,"&gt;="&amp;C2933)</f>
        <v>1.2E-2</v>
      </c>
      <c r="H2933" s="24">
        <f t="shared" si="225"/>
        <v>75.58</v>
      </c>
      <c r="I2933" s="23" t="str">
        <f t="shared" si="226"/>
        <v>Match</v>
      </c>
      <c r="J2933" s="23" t="str">
        <f t="shared" si="227"/>
        <v>Match</v>
      </c>
      <c r="K2933" s="24">
        <f t="shared" si="228"/>
        <v>13.6</v>
      </c>
      <c r="L2933" s="24">
        <f t="shared" si="229"/>
        <v>0</v>
      </c>
    </row>
    <row r="2934" spans="1:12" ht="15" customHeight="1" x14ac:dyDescent="0.3">
      <c r="A2934" s="23" t="s">
        <v>15921</v>
      </c>
      <c r="B2934" s="23" t="s">
        <v>75</v>
      </c>
      <c r="C2934" s="39">
        <v>1947</v>
      </c>
      <c r="D2934" s="24">
        <v>0</v>
      </c>
      <c r="E2934" s="24">
        <v>0</v>
      </c>
      <c r="F2934" s="23">
        <f>COUNTIFS(mdr_rate_cleaned!$A$2:$A$10,B2934,mdr_rate_cleaned!$B$2:$B$10,"&lt;"&amp;C2934,mdr_rate_cleaned!$F$2:$F$10,"&gt;="&amp;C2934)</f>
        <v>1</v>
      </c>
      <c r="G2934" s="40">
        <f>SUMIFS(mdr_rate_cleaned!$G$2:$G$10,mdr_rate_cleaned!$A$2:$A$10,B2934,mdr_rate_cleaned!$B$2:$B$10,"&lt;"&amp;C2934,mdr_rate_cleaned!$F$2:$F$10,"&gt;="&amp;C2934)</f>
        <v>0</v>
      </c>
      <c r="H2934" s="24">
        <f t="shared" si="225"/>
        <v>0</v>
      </c>
      <c r="I2934" s="23" t="str">
        <f t="shared" si="226"/>
        <v>Match</v>
      </c>
      <c r="J2934" s="23" t="str">
        <f t="shared" si="227"/>
        <v>Match</v>
      </c>
      <c r="K2934" s="24">
        <f t="shared" si="228"/>
        <v>0</v>
      </c>
      <c r="L2934" s="24">
        <f t="shared" si="229"/>
        <v>0</v>
      </c>
    </row>
    <row r="2935" spans="1:12" ht="15" customHeight="1" x14ac:dyDescent="0.3">
      <c r="A2935" s="23" t="s">
        <v>15923</v>
      </c>
      <c r="B2935" s="23" t="s">
        <v>75</v>
      </c>
      <c r="C2935" s="39">
        <v>2999</v>
      </c>
      <c r="D2935" s="24">
        <v>9</v>
      </c>
      <c r="E2935" s="24">
        <v>1.62</v>
      </c>
      <c r="F2935" s="23">
        <f>COUNTIFS(mdr_rate_cleaned!$A$2:$A$10,B2935,mdr_rate_cleaned!$B$2:$B$10,"&lt;"&amp;C2935,mdr_rate_cleaned!$F$2:$F$10,"&gt;="&amp;C2935)</f>
        <v>1</v>
      </c>
      <c r="G2935" s="40">
        <f>SUMIFS(mdr_rate_cleaned!$G$2:$G$10,mdr_rate_cleaned!$A$2:$A$10,B2935,mdr_rate_cleaned!$B$2:$B$10,"&lt;"&amp;C2935,mdr_rate_cleaned!$F$2:$F$10,"&gt;="&amp;C2935)</f>
        <v>3.0000000000000001E-3</v>
      </c>
      <c r="H2935" s="24">
        <f t="shared" si="225"/>
        <v>9</v>
      </c>
      <c r="I2935" s="23" t="str">
        <f t="shared" si="226"/>
        <v>Match</v>
      </c>
      <c r="J2935" s="23" t="str">
        <f t="shared" si="227"/>
        <v>Match</v>
      </c>
      <c r="K2935" s="24">
        <f t="shared" si="228"/>
        <v>1.62</v>
      </c>
      <c r="L2935" s="24">
        <f t="shared" si="229"/>
        <v>0</v>
      </c>
    </row>
    <row r="2936" spans="1:12" ht="15" customHeight="1" x14ac:dyDescent="0.3">
      <c r="A2936" s="23" t="s">
        <v>15924</v>
      </c>
      <c r="B2936" s="23" t="s">
        <v>75</v>
      </c>
      <c r="C2936" s="39">
        <v>3798</v>
      </c>
      <c r="D2936" s="24">
        <v>11.39</v>
      </c>
      <c r="E2936" s="24">
        <v>2.0499999999999998</v>
      </c>
      <c r="F2936" s="23">
        <f>COUNTIFS(mdr_rate_cleaned!$A$2:$A$10,B2936,mdr_rate_cleaned!$B$2:$B$10,"&lt;"&amp;C2936,mdr_rate_cleaned!$F$2:$F$10,"&gt;="&amp;C2936)</f>
        <v>1</v>
      </c>
      <c r="G2936" s="40">
        <f>SUMIFS(mdr_rate_cleaned!$G$2:$G$10,mdr_rate_cleaned!$A$2:$A$10,B2936,mdr_rate_cleaned!$B$2:$B$10,"&lt;"&amp;C2936,mdr_rate_cleaned!$F$2:$F$10,"&gt;="&amp;C2936)</f>
        <v>3.0000000000000001E-3</v>
      </c>
      <c r="H2936" s="24">
        <f t="shared" si="225"/>
        <v>11.39</v>
      </c>
      <c r="I2936" s="23" t="str">
        <f t="shared" si="226"/>
        <v>Match</v>
      </c>
      <c r="J2936" s="23" t="str">
        <f t="shared" si="227"/>
        <v>Match</v>
      </c>
      <c r="K2936" s="24">
        <f t="shared" si="228"/>
        <v>2.0499999999999998</v>
      </c>
      <c r="L2936" s="24">
        <f t="shared" si="229"/>
        <v>0</v>
      </c>
    </row>
    <row r="2937" spans="1:12" ht="15" customHeight="1" x14ac:dyDescent="0.3">
      <c r="A2937" s="23" t="s">
        <v>15925</v>
      </c>
      <c r="B2937" s="23" t="s">
        <v>77</v>
      </c>
      <c r="C2937" s="39">
        <v>999</v>
      </c>
      <c r="D2937" s="24">
        <v>18.98</v>
      </c>
      <c r="E2937" s="24">
        <v>3.42</v>
      </c>
      <c r="F2937" s="23">
        <f>COUNTIFS(mdr_rate_cleaned!$A$2:$A$10,B2937,mdr_rate_cleaned!$B$2:$B$10,"&lt;"&amp;C2937,mdr_rate_cleaned!$F$2:$F$10,"&gt;="&amp;C2937)</f>
        <v>1</v>
      </c>
      <c r="G2937" s="40">
        <f>SUMIFS(mdr_rate_cleaned!$G$2:$G$10,mdr_rate_cleaned!$A$2:$A$10,B2937,mdr_rate_cleaned!$B$2:$B$10,"&lt;"&amp;C2937,mdr_rate_cleaned!$F$2:$F$10,"&gt;="&amp;C2937)</f>
        <v>1.9E-2</v>
      </c>
      <c r="H2937" s="24">
        <f t="shared" si="225"/>
        <v>18.98</v>
      </c>
      <c r="I2937" s="23" t="str">
        <f t="shared" si="226"/>
        <v>Match</v>
      </c>
      <c r="J2937" s="23" t="str">
        <f t="shared" si="227"/>
        <v>Match</v>
      </c>
      <c r="K2937" s="24">
        <f t="shared" si="228"/>
        <v>3.42</v>
      </c>
      <c r="L2937" s="24">
        <f t="shared" si="229"/>
        <v>0</v>
      </c>
    </row>
    <row r="2938" spans="1:12" ht="15" customHeight="1" x14ac:dyDescent="0.3">
      <c r="A2938" s="23" t="s">
        <v>15926</v>
      </c>
      <c r="B2938" s="23" t="s">
        <v>75</v>
      </c>
      <c r="C2938" s="39">
        <v>4498</v>
      </c>
      <c r="D2938" s="24">
        <v>13.49</v>
      </c>
      <c r="E2938" s="24">
        <v>2.4300000000000002</v>
      </c>
      <c r="F2938" s="23">
        <f>COUNTIFS(mdr_rate_cleaned!$A$2:$A$10,B2938,mdr_rate_cleaned!$B$2:$B$10,"&lt;"&amp;C2938,mdr_rate_cleaned!$F$2:$F$10,"&gt;="&amp;C2938)</f>
        <v>1</v>
      </c>
      <c r="G2938" s="40">
        <f>SUMIFS(mdr_rate_cleaned!$G$2:$G$10,mdr_rate_cleaned!$A$2:$A$10,B2938,mdr_rate_cleaned!$B$2:$B$10,"&lt;"&amp;C2938,mdr_rate_cleaned!$F$2:$F$10,"&gt;="&amp;C2938)</f>
        <v>3.0000000000000001E-3</v>
      </c>
      <c r="H2938" s="24">
        <f t="shared" si="225"/>
        <v>13.49</v>
      </c>
      <c r="I2938" s="23" t="str">
        <f t="shared" si="226"/>
        <v>Match</v>
      </c>
      <c r="J2938" s="23" t="str">
        <f t="shared" si="227"/>
        <v>Match</v>
      </c>
      <c r="K2938" s="24">
        <f t="shared" si="228"/>
        <v>2.4300000000000002</v>
      </c>
      <c r="L2938" s="24">
        <f t="shared" si="229"/>
        <v>0</v>
      </c>
    </row>
    <row r="2939" spans="1:12" ht="15" customHeight="1" x14ac:dyDescent="0.3">
      <c r="A2939" s="23" t="s">
        <v>15927</v>
      </c>
      <c r="B2939" s="23" t="s">
        <v>75</v>
      </c>
      <c r="C2939" s="39">
        <v>1299</v>
      </c>
      <c r="D2939" s="24">
        <v>0</v>
      </c>
      <c r="E2939" s="24">
        <v>0</v>
      </c>
      <c r="F2939" s="23">
        <f>COUNTIFS(mdr_rate_cleaned!$A$2:$A$10,B2939,mdr_rate_cleaned!$B$2:$B$10,"&lt;"&amp;C2939,mdr_rate_cleaned!$F$2:$F$10,"&gt;="&amp;C2939)</f>
        <v>1</v>
      </c>
      <c r="G2939" s="40">
        <f>SUMIFS(mdr_rate_cleaned!$G$2:$G$10,mdr_rate_cleaned!$A$2:$A$10,B2939,mdr_rate_cleaned!$B$2:$B$10,"&lt;"&amp;C2939,mdr_rate_cleaned!$F$2:$F$10,"&gt;="&amp;C2939)</f>
        <v>0</v>
      </c>
      <c r="H2939" s="24">
        <f t="shared" si="225"/>
        <v>0</v>
      </c>
      <c r="I2939" s="23" t="str">
        <f t="shared" si="226"/>
        <v>Match</v>
      </c>
      <c r="J2939" s="23" t="str">
        <f t="shared" si="227"/>
        <v>Match</v>
      </c>
      <c r="K2939" s="24">
        <f t="shared" si="228"/>
        <v>0</v>
      </c>
      <c r="L2939" s="24">
        <f t="shared" si="229"/>
        <v>0</v>
      </c>
    </row>
    <row r="2940" spans="1:12" ht="15" customHeight="1" x14ac:dyDescent="0.3">
      <c r="A2940" s="23" t="s">
        <v>15928</v>
      </c>
      <c r="B2940" s="23" t="s">
        <v>81</v>
      </c>
      <c r="C2940" s="39">
        <v>2597</v>
      </c>
      <c r="D2940" s="24">
        <v>31.16</v>
      </c>
      <c r="E2940" s="24">
        <v>5.61</v>
      </c>
      <c r="F2940" s="23">
        <f>COUNTIFS(mdr_rate_cleaned!$A$2:$A$10,B2940,mdr_rate_cleaned!$B$2:$B$10,"&lt;"&amp;C2940,mdr_rate_cleaned!$F$2:$F$10,"&gt;="&amp;C2940)</f>
        <v>1</v>
      </c>
      <c r="G2940" s="40">
        <f>SUMIFS(mdr_rate_cleaned!$G$2:$G$10,mdr_rate_cleaned!$A$2:$A$10,B2940,mdr_rate_cleaned!$B$2:$B$10,"&lt;"&amp;C2940,mdr_rate_cleaned!$F$2:$F$10,"&gt;="&amp;C2940)</f>
        <v>1.2E-2</v>
      </c>
      <c r="H2940" s="24">
        <f t="shared" si="225"/>
        <v>31.16</v>
      </c>
      <c r="I2940" s="23" t="str">
        <f t="shared" si="226"/>
        <v>Match</v>
      </c>
      <c r="J2940" s="23" t="str">
        <f t="shared" si="227"/>
        <v>Match</v>
      </c>
      <c r="K2940" s="24">
        <f t="shared" si="228"/>
        <v>5.61</v>
      </c>
      <c r="L2940" s="24">
        <f t="shared" si="229"/>
        <v>0</v>
      </c>
    </row>
    <row r="2941" spans="1:12" ht="15" customHeight="1" x14ac:dyDescent="0.3">
      <c r="A2941" s="23" t="s">
        <v>15929</v>
      </c>
      <c r="B2941" s="23" t="s">
        <v>75</v>
      </c>
      <c r="C2941" s="39">
        <v>7998</v>
      </c>
      <c r="D2941" s="24">
        <v>23.99</v>
      </c>
      <c r="E2941" s="24">
        <v>4.32</v>
      </c>
      <c r="F2941" s="23">
        <f>COUNTIFS(mdr_rate_cleaned!$A$2:$A$10,B2941,mdr_rate_cleaned!$B$2:$B$10,"&lt;"&amp;C2941,mdr_rate_cleaned!$F$2:$F$10,"&gt;="&amp;C2941)</f>
        <v>1</v>
      </c>
      <c r="G2941" s="40">
        <f>SUMIFS(mdr_rate_cleaned!$G$2:$G$10,mdr_rate_cleaned!$A$2:$A$10,B2941,mdr_rate_cleaned!$B$2:$B$10,"&lt;"&amp;C2941,mdr_rate_cleaned!$F$2:$F$10,"&gt;="&amp;C2941)</f>
        <v>3.0000000000000001E-3</v>
      </c>
      <c r="H2941" s="24">
        <f t="shared" si="225"/>
        <v>23.99</v>
      </c>
      <c r="I2941" s="23" t="str">
        <f t="shared" si="226"/>
        <v>Match</v>
      </c>
      <c r="J2941" s="23" t="str">
        <f t="shared" si="227"/>
        <v>Match</v>
      </c>
      <c r="K2941" s="24">
        <f t="shared" si="228"/>
        <v>4.32</v>
      </c>
      <c r="L2941" s="24">
        <f t="shared" si="229"/>
        <v>0</v>
      </c>
    </row>
    <row r="2942" spans="1:12" ht="15" customHeight="1" x14ac:dyDescent="0.3">
      <c r="A2942" s="23" t="s">
        <v>15931</v>
      </c>
      <c r="B2942" s="23" t="s">
        <v>75</v>
      </c>
      <c r="C2942" s="39">
        <v>7997</v>
      </c>
      <c r="D2942" s="24">
        <v>23.99</v>
      </c>
      <c r="E2942" s="24">
        <v>4.32</v>
      </c>
      <c r="F2942" s="23">
        <f>COUNTIFS(mdr_rate_cleaned!$A$2:$A$10,B2942,mdr_rate_cleaned!$B$2:$B$10,"&lt;"&amp;C2942,mdr_rate_cleaned!$F$2:$F$10,"&gt;="&amp;C2942)</f>
        <v>1</v>
      </c>
      <c r="G2942" s="40">
        <f>SUMIFS(mdr_rate_cleaned!$G$2:$G$10,mdr_rate_cleaned!$A$2:$A$10,B2942,mdr_rate_cleaned!$B$2:$B$10,"&lt;"&amp;C2942,mdr_rate_cleaned!$F$2:$F$10,"&gt;="&amp;C2942)</f>
        <v>3.0000000000000001E-3</v>
      </c>
      <c r="H2942" s="24">
        <f t="shared" si="225"/>
        <v>23.99</v>
      </c>
      <c r="I2942" s="23" t="str">
        <f t="shared" si="226"/>
        <v>Match</v>
      </c>
      <c r="J2942" s="23" t="str">
        <f t="shared" si="227"/>
        <v>Match</v>
      </c>
      <c r="K2942" s="24">
        <f t="shared" si="228"/>
        <v>4.32</v>
      </c>
      <c r="L2942" s="24">
        <f t="shared" si="229"/>
        <v>0</v>
      </c>
    </row>
    <row r="2943" spans="1:12" ht="15" customHeight="1" x14ac:dyDescent="0.3">
      <c r="A2943" s="23" t="s">
        <v>15932</v>
      </c>
      <c r="B2943" s="23" t="s">
        <v>75</v>
      </c>
      <c r="C2943" s="39">
        <v>1299</v>
      </c>
      <c r="D2943" s="24">
        <v>0</v>
      </c>
      <c r="E2943" s="24">
        <v>0</v>
      </c>
      <c r="F2943" s="23">
        <f>COUNTIFS(mdr_rate_cleaned!$A$2:$A$10,B2943,mdr_rate_cleaned!$B$2:$B$10,"&lt;"&amp;C2943,mdr_rate_cleaned!$F$2:$F$10,"&gt;="&amp;C2943)</f>
        <v>1</v>
      </c>
      <c r="G2943" s="40">
        <f>SUMIFS(mdr_rate_cleaned!$G$2:$G$10,mdr_rate_cleaned!$A$2:$A$10,B2943,mdr_rate_cleaned!$B$2:$B$10,"&lt;"&amp;C2943,mdr_rate_cleaned!$F$2:$F$10,"&gt;="&amp;C2943)</f>
        <v>0</v>
      </c>
      <c r="H2943" s="24">
        <f t="shared" si="225"/>
        <v>0</v>
      </c>
      <c r="I2943" s="23" t="str">
        <f t="shared" si="226"/>
        <v>Match</v>
      </c>
      <c r="J2943" s="23" t="str">
        <f t="shared" si="227"/>
        <v>Match</v>
      </c>
      <c r="K2943" s="24">
        <f t="shared" si="228"/>
        <v>0</v>
      </c>
      <c r="L2943" s="24">
        <f t="shared" si="229"/>
        <v>0</v>
      </c>
    </row>
    <row r="2944" spans="1:12" ht="15" customHeight="1" x14ac:dyDescent="0.3">
      <c r="A2944" s="23" t="s">
        <v>15933</v>
      </c>
      <c r="B2944" s="23" t="s">
        <v>75</v>
      </c>
      <c r="C2944" s="39">
        <v>1898</v>
      </c>
      <c r="D2944" s="24">
        <v>0</v>
      </c>
      <c r="E2944" s="24">
        <v>0</v>
      </c>
      <c r="F2944" s="23">
        <f>COUNTIFS(mdr_rate_cleaned!$A$2:$A$10,B2944,mdr_rate_cleaned!$B$2:$B$10,"&lt;"&amp;C2944,mdr_rate_cleaned!$F$2:$F$10,"&gt;="&amp;C2944)</f>
        <v>1</v>
      </c>
      <c r="G2944" s="40">
        <f>SUMIFS(mdr_rate_cleaned!$G$2:$G$10,mdr_rate_cleaned!$A$2:$A$10,B2944,mdr_rate_cleaned!$B$2:$B$10,"&lt;"&amp;C2944,mdr_rate_cleaned!$F$2:$F$10,"&gt;="&amp;C2944)</f>
        <v>0</v>
      </c>
      <c r="H2944" s="24">
        <f t="shared" si="225"/>
        <v>0</v>
      </c>
      <c r="I2944" s="23" t="str">
        <f t="shared" si="226"/>
        <v>Match</v>
      </c>
      <c r="J2944" s="23" t="str">
        <f t="shared" si="227"/>
        <v>Match</v>
      </c>
      <c r="K2944" s="24">
        <f t="shared" si="228"/>
        <v>0</v>
      </c>
      <c r="L2944" s="24">
        <f t="shared" si="229"/>
        <v>0</v>
      </c>
    </row>
    <row r="2945" spans="1:12" ht="15" customHeight="1" x14ac:dyDescent="0.3">
      <c r="A2945" s="23" t="s">
        <v>15934</v>
      </c>
      <c r="B2945" s="23" t="s">
        <v>75</v>
      </c>
      <c r="C2945" s="39">
        <v>1299</v>
      </c>
      <c r="D2945" s="24">
        <v>0</v>
      </c>
      <c r="E2945" s="24">
        <v>0</v>
      </c>
      <c r="F2945" s="23">
        <f>COUNTIFS(mdr_rate_cleaned!$A$2:$A$10,B2945,mdr_rate_cleaned!$B$2:$B$10,"&lt;"&amp;C2945,mdr_rate_cleaned!$F$2:$F$10,"&gt;="&amp;C2945)</f>
        <v>1</v>
      </c>
      <c r="G2945" s="40">
        <f>SUMIFS(mdr_rate_cleaned!$G$2:$G$10,mdr_rate_cleaned!$A$2:$A$10,B2945,mdr_rate_cleaned!$B$2:$B$10,"&lt;"&amp;C2945,mdr_rate_cleaned!$F$2:$F$10,"&gt;="&amp;C2945)</f>
        <v>0</v>
      </c>
      <c r="H2945" s="24">
        <f t="shared" si="225"/>
        <v>0</v>
      </c>
      <c r="I2945" s="23" t="str">
        <f t="shared" si="226"/>
        <v>Match</v>
      </c>
      <c r="J2945" s="23" t="str">
        <f t="shared" si="227"/>
        <v>Match</v>
      </c>
      <c r="K2945" s="24">
        <f t="shared" si="228"/>
        <v>0</v>
      </c>
      <c r="L2945" s="24">
        <f t="shared" si="229"/>
        <v>0</v>
      </c>
    </row>
    <row r="2946" spans="1:12" ht="15" customHeight="1" x14ac:dyDescent="0.3">
      <c r="A2946" s="23" t="s">
        <v>15936</v>
      </c>
      <c r="B2946" s="23" t="s">
        <v>79</v>
      </c>
      <c r="C2946" s="39">
        <v>1298</v>
      </c>
      <c r="D2946" s="24">
        <v>23.36</v>
      </c>
      <c r="E2946" s="24">
        <v>4.2</v>
      </c>
      <c r="F2946" s="23">
        <f>COUNTIFS(mdr_rate_cleaned!$A$2:$A$10,B2946,mdr_rate_cleaned!$B$2:$B$10,"&lt;"&amp;C2946,mdr_rate_cleaned!$F$2:$F$10,"&gt;="&amp;C2946)</f>
        <v>1</v>
      </c>
      <c r="G2946" s="40">
        <f>SUMIFS(mdr_rate_cleaned!$G$2:$G$10,mdr_rate_cleaned!$A$2:$A$10,B2946,mdr_rate_cleaned!$B$2:$B$10,"&lt;"&amp;C2946,mdr_rate_cleaned!$F$2:$F$10,"&gt;="&amp;C2946)</f>
        <v>1.8000000000000002E-2</v>
      </c>
      <c r="H2946" s="24">
        <f t="shared" ref="H2946:H3009" si="230">ROUND(C2946*G2946,2)</f>
        <v>23.36</v>
      </c>
      <c r="I2946" s="23" t="str">
        <f t="shared" ref="I2946:I3009" si="231">IF(ROUND(D2946-H2946,2)=0,"Match","Differs")</f>
        <v>Match</v>
      </c>
      <c r="J2946" s="23" t="str">
        <f t="shared" ref="J2946:J3009" si="232">IF(ROUND(E2946-ROUND(D2946*0.18,2),2)=0,"Match","Differs")</f>
        <v>Match</v>
      </c>
      <c r="K2946" s="24">
        <f t="shared" ref="K2946:K3009" si="233">ROUND(H2946*0.18,2)</f>
        <v>4.2</v>
      </c>
      <c r="L2946" s="24">
        <f t="shared" ref="L2946:L3009" si="234">ROUND(D2946+E2946-H2946-K2946,2)</f>
        <v>0</v>
      </c>
    </row>
    <row r="2947" spans="1:12" ht="15" customHeight="1" x14ac:dyDescent="0.3">
      <c r="A2947" s="23" t="s">
        <v>15937</v>
      </c>
      <c r="B2947" s="23" t="s">
        <v>75</v>
      </c>
      <c r="C2947" s="39">
        <v>3348</v>
      </c>
      <c r="D2947" s="24">
        <v>10.039999999999999</v>
      </c>
      <c r="E2947" s="24">
        <v>1.81</v>
      </c>
      <c r="F2947" s="23">
        <f>COUNTIFS(mdr_rate_cleaned!$A$2:$A$10,B2947,mdr_rate_cleaned!$B$2:$B$10,"&lt;"&amp;C2947,mdr_rate_cleaned!$F$2:$F$10,"&gt;="&amp;C2947)</f>
        <v>1</v>
      </c>
      <c r="G2947" s="40">
        <f>SUMIFS(mdr_rate_cleaned!$G$2:$G$10,mdr_rate_cleaned!$A$2:$A$10,B2947,mdr_rate_cleaned!$B$2:$B$10,"&lt;"&amp;C2947,mdr_rate_cleaned!$F$2:$F$10,"&gt;="&amp;C2947)</f>
        <v>3.0000000000000001E-3</v>
      </c>
      <c r="H2947" s="24">
        <f t="shared" si="230"/>
        <v>10.039999999999999</v>
      </c>
      <c r="I2947" s="23" t="str">
        <f t="shared" si="231"/>
        <v>Match</v>
      </c>
      <c r="J2947" s="23" t="str">
        <f t="shared" si="232"/>
        <v>Match</v>
      </c>
      <c r="K2947" s="24">
        <f t="shared" si="233"/>
        <v>1.81</v>
      </c>
      <c r="L2947" s="24">
        <f t="shared" si="234"/>
        <v>0</v>
      </c>
    </row>
    <row r="2948" spans="1:12" ht="15" customHeight="1" x14ac:dyDescent="0.3">
      <c r="A2948" s="23" t="s">
        <v>15938</v>
      </c>
      <c r="B2948" s="23" t="s">
        <v>79</v>
      </c>
      <c r="C2948" s="39">
        <v>5998</v>
      </c>
      <c r="D2948" s="24">
        <v>95.97</v>
      </c>
      <c r="E2948" s="24">
        <v>17.27</v>
      </c>
      <c r="F2948" s="23">
        <f>COUNTIFS(mdr_rate_cleaned!$A$2:$A$10,B2948,mdr_rate_cleaned!$B$2:$B$10,"&lt;"&amp;C2948,mdr_rate_cleaned!$F$2:$F$10,"&gt;="&amp;C2948)</f>
        <v>1</v>
      </c>
      <c r="G2948" s="40">
        <f>SUMIFS(mdr_rate_cleaned!$G$2:$G$10,mdr_rate_cleaned!$A$2:$A$10,B2948,mdr_rate_cleaned!$B$2:$B$10,"&lt;"&amp;C2948,mdr_rate_cleaned!$F$2:$F$10,"&gt;="&amp;C2948)</f>
        <v>1.6E-2</v>
      </c>
      <c r="H2948" s="24">
        <f t="shared" si="230"/>
        <v>95.97</v>
      </c>
      <c r="I2948" s="23" t="str">
        <f t="shared" si="231"/>
        <v>Match</v>
      </c>
      <c r="J2948" s="23" t="str">
        <f t="shared" si="232"/>
        <v>Match</v>
      </c>
      <c r="K2948" s="24">
        <f t="shared" si="233"/>
        <v>17.27</v>
      </c>
      <c r="L2948" s="24">
        <f t="shared" si="234"/>
        <v>0</v>
      </c>
    </row>
    <row r="2949" spans="1:12" ht="15" customHeight="1" x14ac:dyDescent="0.3">
      <c r="A2949" s="23" t="s">
        <v>15939</v>
      </c>
      <c r="B2949" s="23" t="s">
        <v>81</v>
      </c>
      <c r="C2949" s="39">
        <v>3098</v>
      </c>
      <c r="D2949" s="24">
        <v>37.18</v>
      </c>
      <c r="E2949" s="24">
        <v>6.69</v>
      </c>
      <c r="F2949" s="23">
        <f>COUNTIFS(mdr_rate_cleaned!$A$2:$A$10,B2949,mdr_rate_cleaned!$B$2:$B$10,"&lt;"&amp;C2949,mdr_rate_cleaned!$F$2:$F$10,"&gt;="&amp;C2949)</f>
        <v>1</v>
      </c>
      <c r="G2949" s="40">
        <f>SUMIFS(mdr_rate_cleaned!$G$2:$G$10,mdr_rate_cleaned!$A$2:$A$10,B2949,mdr_rate_cleaned!$B$2:$B$10,"&lt;"&amp;C2949,mdr_rate_cleaned!$F$2:$F$10,"&gt;="&amp;C2949)</f>
        <v>1.2E-2</v>
      </c>
      <c r="H2949" s="24">
        <f t="shared" si="230"/>
        <v>37.18</v>
      </c>
      <c r="I2949" s="23" t="str">
        <f t="shared" si="231"/>
        <v>Match</v>
      </c>
      <c r="J2949" s="23" t="str">
        <f t="shared" si="232"/>
        <v>Match</v>
      </c>
      <c r="K2949" s="24">
        <f t="shared" si="233"/>
        <v>6.69</v>
      </c>
      <c r="L2949" s="24">
        <f t="shared" si="234"/>
        <v>0</v>
      </c>
    </row>
    <row r="2950" spans="1:12" ht="15" customHeight="1" x14ac:dyDescent="0.3">
      <c r="A2950" s="23" t="s">
        <v>15940</v>
      </c>
      <c r="B2950" s="23" t="s">
        <v>79</v>
      </c>
      <c r="C2950" s="39">
        <v>11797</v>
      </c>
      <c r="D2950" s="24">
        <v>188.75</v>
      </c>
      <c r="E2950" s="24">
        <v>33.979999999999997</v>
      </c>
      <c r="F2950" s="23">
        <f>COUNTIFS(mdr_rate_cleaned!$A$2:$A$10,B2950,mdr_rate_cleaned!$B$2:$B$10,"&lt;"&amp;C2950,mdr_rate_cleaned!$F$2:$F$10,"&gt;="&amp;C2950)</f>
        <v>1</v>
      </c>
      <c r="G2950" s="40">
        <f>SUMIFS(mdr_rate_cleaned!$G$2:$G$10,mdr_rate_cleaned!$A$2:$A$10,B2950,mdr_rate_cleaned!$B$2:$B$10,"&lt;"&amp;C2950,mdr_rate_cleaned!$F$2:$F$10,"&gt;="&amp;C2950)</f>
        <v>1.6E-2</v>
      </c>
      <c r="H2950" s="24">
        <f t="shared" si="230"/>
        <v>188.75</v>
      </c>
      <c r="I2950" s="23" t="str">
        <f t="shared" si="231"/>
        <v>Match</v>
      </c>
      <c r="J2950" s="23" t="str">
        <f t="shared" si="232"/>
        <v>Match</v>
      </c>
      <c r="K2950" s="24">
        <f t="shared" si="233"/>
        <v>33.979999999999997</v>
      </c>
      <c r="L2950" s="24">
        <f t="shared" si="234"/>
        <v>0</v>
      </c>
    </row>
    <row r="2951" spans="1:12" ht="15" customHeight="1" x14ac:dyDescent="0.3">
      <c r="A2951" s="23" t="s">
        <v>15941</v>
      </c>
      <c r="B2951" s="23" t="s">
        <v>81</v>
      </c>
      <c r="C2951" s="39">
        <v>1848</v>
      </c>
      <c r="D2951" s="24">
        <v>27.72</v>
      </c>
      <c r="E2951" s="24">
        <v>4.99</v>
      </c>
      <c r="F2951" s="23">
        <f>COUNTIFS(mdr_rate_cleaned!$A$2:$A$10,B2951,mdr_rate_cleaned!$B$2:$B$10,"&lt;"&amp;C2951,mdr_rate_cleaned!$F$2:$F$10,"&gt;="&amp;C2951)</f>
        <v>1</v>
      </c>
      <c r="G2951" s="40">
        <f>SUMIFS(mdr_rate_cleaned!$G$2:$G$10,mdr_rate_cleaned!$A$2:$A$10,B2951,mdr_rate_cleaned!$B$2:$B$10,"&lt;"&amp;C2951,mdr_rate_cleaned!$F$2:$F$10,"&gt;="&amp;C2951)</f>
        <v>1.4999999999999999E-2</v>
      </c>
      <c r="H2951" s="24">
        <f t="shared" si="230"/>
        <v>27.72</v>
      </c>
      <c r="I2951" s="23" t="str">
        <f t="shared" si="231"/>
        <v>Match</v>
      </c>
      <c r="J2951" s="23" t="str">
        <f t="shared" si="232"/>
        <v>Match</v>
      </c>
      <c r="K2951" s="24">
        <f t="shared" si="233"/>
        <v>4.99</v>
      </c>
      <c r="L2951" s="24">
        <f t="shared" si="234"/>
        <v>0</v>
      </c>
    </row>
    <row r="2952" spans="1:12" ht="15" customHeight="1" x14ac:dyDescent="0.3">
      <c r="A2952" s="23" t="s">
        <v>15942</v>
      </c>
      <c r="B2952" s="23" t="s">
        <v>75</v>
      </c>
      <c r="C2952" s="39">
        <v>648</v>
      </c>
      <c r="D2952" s="24">
        <v>0</v>
      </c>
      <c r="E2952" s="24">
        <v>0</v>
      </c>
      <c r="F2952" s="23">
        <f>COUNTIFS(mdr_rate_cleaned!$A$2:$A$10,B2952,mdr_rate_cleaned!$B$2:$B$10,"&lt;"&amp;C2952,mdr_rate_cleaned!$F$2:$F$10,"&gt;="&amp;C2952)</f>
        <v>1</v>
      </c>
      <c r="G2952" s="40">
        <f>SUMIFS(mdr_rate_cleaned!$G$2:$G$10,mdr_rate_cleaned!$A$2:$A$10,B2952,mdr_rate_cleaned!$B$2:$B$10,"&lt;"&amp;C2952,mdr_rate_cleaned!$F$2:$F$10,"&gt;="&amp;C2952)</f>
        <v>0</v>
      </c>
      <c r="H2952" s="24">
        <f t="shared" si="230"/>
        <v>0</v>
      </c>
      <c r="I2952" s="23" t="str">
        <f t="shared" si="231"/>
        <v>Match</v>
      </c>
      <c r="J2952" s="23" t="str">
        <f t="shared" si="232"/>
        <v>Match</v>
      </c>
      <c r="K2952" s="24">
        <f t="shared" si="233"/>
        <v>0</v>
      </c>
      <c r="L2952" s="24">
        <f t="shared" si="234"/>
        <v>0</v>
      </c>
    </row>
    <row r="2953" spans="1:12" ht="15" customHeight="1" x14ac:dyDescent="0.3">
      <c r="A2953" s="23" t="s">
        <v>15943</v>
      </c>
      <c r="B2953" s="23" t="s">
        <v>77</v>
      </c>
      <c r="C2953" s="39">
        <v>999</v>
      </c>
      <c r="D2953" s="24">
        <v>18.98</v>
      </c>
      <c r="E2953" s="24">
        <v>3.42</v>
      </c>
      <c r="F2953" s="23">
        <f>COUNTIFS(mdr_rate_cleaned!$A$2:$A$10,B2953,mdr_rate_cleaned!$B$2:$B$10,"&lt;"&amp;C2953,mdr_rate_cleaned!$F$2:$F$10,"&gt;="&amp;C2953)</f>
        <v>1</v>
      </c>
      <c r="G2953" s="40">
        <f>SUMIFS(mdr_rate_cleaned!$G$2:$G$10,mdr_rate_cleaned!$A$2:$A$10,B2953,mdr_rate_cleaned!$B$2:$B$10,"&lt;"&amp;C2953,mdr_rate_cleaned!$F$2:$F$10,"&gt;="&amp;C2953)</f>
        <v>1.9E-2</v>
      </c>
      <c r="H2953" s="24">
        <f t="shared" si="230"/>
        <v>18.98</v>
      </c>
      <c r="I2953" s="23" t="str">
        <f t="shared" si="231"/>
        <v>Match</v>
      </c>
      <c r="J2953" s="23" t="str">
        <f t="shared" si="232"/>
        <v>Match</v>
      </c>
      <c r="K2953" s="24">
        <f t="shared" si="233"/>
        <v>3.42</v>
      </c>
      <c r="L2953" s="24">
        <f t="shared" si="234"/>
        <v>0</v>
      </c>
    </row>
    <row r="2954" spans="1:12" ht="15" customHeight="1" x14ac:dyDescent="0.3">
      <c r="A2954" s="23" t="s">
        <v>15945</v>
      </c>
      <c r="B2954" s="23" t="s">
        <v>75</v>
      </c>
      <c r="C2954" s="39">
        <v>5097</v>
      </c>
      <c r="D2954" s="24">
        <v>15.29</v>
      </c>
      <c r="E2954" s="24">
        <v>2.75</v>
      </c>
      <c r="F2954" s="23">
        <f>COUNTIFS(mdr_rate_cleaned!$A$2:$A$10,B2954,mdr_rate_cleaned!$B$2:$B$10,"&lt;"&amp;C2954,mdr_rate_cleaned!$F$2:$F$10,"&gt;="&amp;C2954)</f>
        <v>1</v>
      </c>
      <c r="G2954" s="40">
        <f>SUMIFS(mdr_rate_cleaned!$G$2:$G$10,mdr_rate_cleaned!$A$2:$A$10,B2954,mdr_rate_cleaned!$B$2:$B$10,"&lt;"&amp;C2954,mdr_rate_cleaned!$F$2:$F$10,"&gt;="&amp;C2954)</f>
        <v>3.0000000000000001E-3</v>
      </c>
      <c r="H2954" s="24">
        <f t="shared" si="230"/>
        <v>15.29</v>
      </c>
      <c r="I2954" s="23" t="str">
        <f t="shared" si="231"/>
        <v>Match</v>
      </c>
      <c r="J2954" s="23" t="str">
        <f t="shared" si="232"/>
        <v>Match</v>
      </c>
      <c r="K2954" s="24">
        <f t="shared" si="233"/>
        <v>2.75</v>
      </c>
      <c r="L2954" s="24">
        <f t="shared" si="234"/>
        <v>0</v>
      </c>
    </row>
    <row r="2955" spans="1:12" ht="15" customHeight="1" x14ac:dyDescent="0.3">
      <c r="A2955" s="23" t="s">
        <v>15946</v>
      </c>
      <c r="B2955" s="23" t="s">
        <v>75</v>
      </c>
      <c r="C2955" s="39">
        <v>1997</v>
      </c>
      <c r="D2955" s="24">
        <v>0</v>
      </c>
      <c r="E2955" s="24">
        <v>0</v>
      </c>
      <c r="F2955" s="23">
        <f>COUNTIFS(mdr_rate_cleaned!$A$2:$A$10,B2955,mdr_rate_cleaned!$B$2:$B$10,"&lt;"&amp;C2955,mdr_rate_cleaned!$F$2:$F$10,"&gt;="&amp;C2955)</f>
        <v>1</v>
      </c>
      <c r="G2955" s="40">
        <f>SUMIFS(mdr_rate_cleaned!$G$2:$G$10,mdr_rate_cleaned!$A$2:$A$10,B2955,mdr_rate_cleaned!$B$2:$B$10,"&lt;"&amp;C2955,mdr_rate_cleaned!$F$2:$F$10,"&gt;="&amp;C2955)</f>
        <v>0</v>
      </c>
      <c r="H2955" s="24">
        <f t="shared" si="230"/>
        <v>0</v>
      </c>
      <c r="I2955" s="23" t="str">
        <f t="shared" si="231"/>
        <v>Match</v>
      </c>
      <c r="J2955" s="23" t="str">
        <f t="shared" si="232"/>
        <v>Match</v>
      </c>
      <c r="K2955" s="24">
        <f t="shared" si="233"/>
        <v>0</v>
      </c>
      <c r="L2955" s="24">
        <f t="shared" si="234"/>
        <v>0</v>
      </c>
    </row>
    <row r="2956" spans="1:12" ht="15" customHeight="1" x14ac:dyDescent="0.3">
      <c r="A2956" s="23" t="s">
        <v>15947</v>
      </c>
      <c r="B2956" s="23" t="s">
        <v>75</v>
      </c>
      <c r="C2956" s="39">
        <v>2597</v>
      </c>
      <c r="D2956" s="24">
        <v>7.79</v>
      </c>
      <c r="E2956" s="24">
        <v>1.4</v>
      </c>
      <c r="F2956" s="23">
        <f>COUNTIFS(mdr_rate_cleaned!$A$2:$A$10,B2956,mdr_rate_cleaned!$B$2:$B$10,"&lt;"&amp;C2956,mdr_rate_cleaned!$F$2:$F$10,"&gt;="&amp;C2956)</f>
        <v>1</v>
      </c>
      <c r="G2956" s="40">
        <f>SUMIFS(mdr_rate_cleaned!$G$2:$G$10,mdr_rate_cleaned!$A$2:$A$10,B2956,mdr_rate_cleaned!$B$2:$B$10,"&lt;"&amp;C2956,mdr_rate_cleaned!$F$2:$F$10,"&gt;="&amp;C2956)</f>
        <v>3.0000000000000001E-3</v>
      </c>
      <c r="H2956" s="24">
        <f t="shared" si="230"/>
        <v>7.79</v>
      </c>
      <c r="I2956" s="23" t="str">
        <f t="shared" si="231"/>
        <v>Match</v>
      </c>
      <c r="J2956" s="23" t="str">
        <f t="shared" si="232"/>
        <v>Match</v>
      </c>
      <c r="K2956" s="24">
        <f t="shared" si="233"/>
        <v>1.4</v>
      </c>
      <c r="L2956" s="24">
        <f t="shared" si="234"/>
        <v>0</v>
      </c>
    </row>
    <row r="2957" spans="1:12" ht="15" customHeight="1" x14ac:dyDescent="0.3">
      <c r="A2957" s="23" t="s">
        <v>15949</v>
      </c>
      <c r="B2957" s="23" t="s">
        <v>75</v>
      </c>
      <c r="C2957" s="39">
        <v>5797</v>
      </c>
      <c r="D2957" s="24">
        <v>17.39</v>
      </c>
      <c r="E2957" s="24">
        <v>3.13</v>
      </c>
      <c r="F2957" s="23">
        <f>COUNTIFS(mdr_rate_cleaned!$A$2:$A$10,B2957,mdr_rate_cleaned!$B$2:$B$10,"&lt;"&amp;C2957,mdr_rate_cleaned!$F$2:$F$10,"&gt;="&amp;C2957)</f>
        <v>1</v>
      </c>
      <c r="G2957" s="40">
        <f>SUMIFS(mdr_rate_cleaned!$G$2:$G$10,mdr_rate_cleaned!$A$2:$A$10,B2957,mdr_rate_cleaned!$B$2:$B$10,"&lt;"&amp;C2957,mdr_rate_cleaned!$F$2:$F$10,"&gt;="&amp;C2957)</f>
        <v>3.0000000000000001E-3</v>
      </c>
      <c r="H2957" s="24">
        <f t="shared" si="230"/>
        <v>17.39</v>
      </c>
      <c r="I2957" s="23" t="str">
        <f t="shared" si="231"/>
        <v>Match</v>
      </c>
      <c r="J2957" s="23" t="str">
        <f t="shared" si="232"/>
        <v>Match</v>
      </c>
      <c r="K2957" s="24">
        <f t="shared" si="233"/>
        <v>3.13</v>
      </c>
      <c r="L2957" s="24">
        <f t="shared" si="234"/>
        <v>0</v>
      </c>
    </row>
    <row r="2958" spans="1:12" ht="15" customHeight="1" x14ac:dyDescent="0.3">
      <c r="A2958" s="23" t="s">
        <v>15954</v>
      </c>
      <c r="B2958" s="23" t="s">
        <v>81</v>
      </c>
      <c r="C2958" s="39">
        <v>7999</v>
      </c>
      <c r="D2958" s="24">
        <v>95.99</v>
      </c>
      <c r="E2958" s="24">
        <v>17.28</v>
      </c>
      <c r="F2958" s="23">
        <f>COUNTIFS(mdr_rate_cleaned!$A$2:$A$10,B2958,mdr_rate_cleaned!$B$2:$B$10,"&lt;"&amp;C2958,mdr_rate_cleaned!$F$2:$F$10,"&gt;="&amp;C2958)</f>
        <v>1</v>
      </c>
      <c r="G2958" s="40">
        <f>SUMIFS(mdr_rate_cleaned!$G$2:$G$10,mdr_rate_cleaned!$A$2:$A$10,B2958,mdr_rate_cleaned!$B$2:$B$10,"&lt;"&amp;C2958,mdr_rate_cleaned!$F$2:$F$10,"&gt;="&amp;C2958)</f>
        <v>1.2E-2</v>
      </c>
      <c r="H2958" s="24">
        <f t="shared" si="230"/>
        <v>95.99</v>
      </c>
      <c r="I2958" s="23" t="str">
        <f t="shared" si="231"/>
        <v>Match</v>
      </c>
      <c r="J2958" s="23" t="str">
        <f t="shared" si="232"/>
        <v>Match</v>
      </c>
      <c r="K2958" s="24">
        <f t="shared" si="233"/>
        <v>17.28</v>
      </c>
      <c r="L2958" s="24">
        <f t="shared" si="234"/>
        <v>0</v>
      </c>
    </row>
    <row r="2959" spans="1:12" ht="15" customHeight="1" x14ac:dyDescent="0.3">
      <c r="A2959" s="23" t="s">
        <v>15955</v>
      </c>
      <c r="B2959" s="23" t="s">
        <v>79</v>
      </c>
      <c r="C2959" s="39">
        <v>9998</v>
      </c>
      <c r="D2959" s="24">
        <v>159.97</v>
      </c>
      <c r="E2959" s="24">
        <v>28.79</v>
      </c>
      <c r="F2959" s="23">
        <f>COUNTIFS(mdr_rate_cleaned!$A$2:$A$10,B2959,mdr_rate_cleaned!$B$2:$B$10,"&lt;"&amp;C2959,mdr_rate_cleaned!$F$2:$F$10,"&gt;="&amp;C2959)</f>
        <v>1</v>
      </c>
      <c r="G2959" s="40">
        <f>SUMIFS(mdr_rate_cleaned!$G$2:$G$10,mdr_rate_cleaned!$A$2:$A$10,B2959,mdr_rate_cleaned!$B$2:$B$10,"&lt;"&amp;C2959,mdr_rate_cleaned!$F$2:$F$10,"&gt;="&amp;C2959)</f>
        <v>1.6E-2</v>
      </c>
      <c r="H2959" s="24">
        <f t="shared" si="230"/>
        <v>159.97</v>
      </c>
      <c r="I2959" s="23" t="str">
        <f t="shared" si="231"/>
        <v>Match</v>
      </c>
      <c r="J2959" s="23" t="str">
        <f t="shared" si="232"/>
        <v>Match</v>
      </c>
      <c r="K2959" s="24">
        <f t="shared" si="233"/>
        <v>28.79</v>
      </c>
      <c r="L2959" s="24">
        <f t="shared" si="234"/>
        <v>0</v>
      </c>
    </row>
    <row r="2960" spans="1:12" ht="15" customHeight="1" x14ac:dyDescent="0.3">
      <c r="A2960" s="23" t="s">
        <v>15957</v>
      </c>
      <c r="B2960" s="23" t="s">
        <v>79</v>
      </c>
      <c r="C2960" s="39">
        <v>1299</v>
      </c>
      <c r="D2960" s="24">
        <v>23.38</v>
      </c>
      <c r="E2960" s="24">
        <v>4.21</v>
      </c>
      <c r="F2960" s="23">
        <f>COUNTIFS(mdr_rate_cleaned!$A$2:$A$10,B2960,mdr_rate_cleaned!$B$2:$B$10,"&lt;"&amp;C2960,mdr_rate_cleaned!$F$2:$F$10,"&gt;="&amp;C2960)</f>
        <v>1</v>
      </c>
      <c r="G2960" s="40">
        <f>SUMIFS(mdr_rate_cleaned!$G$2:$G$10,mdr_rate_cleaned!$A$2:$A$10,B2960,mdr_rate_cleaned!$B$2:$B$10,"&lt;"&amp;C2960,mdr_rate_cleaned!$F$2:$F$10,"&gt;="&amp;C2960)</f>
        <v>1.8000000000000002E-2</v>
      </c>
      <c r="H2960" s="24">
        <f t="shared" si="230"/>
        <v>23.38</v>
      </c>
      <c r="I2960" s="23" t="str">
        <f t="shared" si="231"/>
        <v>Match</v>
      </c>
      <c r="J2960" s="23" t="str">
        <f t="shared" si="232"/>
        <v>Match</v>
      </c>
      <c r="K2960" s="24">
        <f t="shared" si="233"/>
        <v>4.21</v>
      </c>
      <c r="L2960" s="24">
        <f t="shared" si="234"/>
        <v>0</v>
      </c>
    </row>
    <row r="2961" spans="1:12" ht="15" customHeight="1" x14ac:dyDescent="0.3">
      <c r="A2961" s="23" t="s">
        <v>15958</v>
      </c>
      <c r="B2961" s="23" t="s">
        <v>79</v>
      </c>
      <c r="C2961" s="39">
        <v>1299</v>
      </c>
      <c r="D2961" s="24">
        <v>23.38</v>
      </c>
      <c r="E2961" s="24">
        <v>4.21</v>
      </c>
      <c r="F2961" s="23">
        <f>COUNTIFS(mdr_rate_cleaned!$A$2:$A$10,B2961,mdr_rate_cleaned!$B$2:$B$10,"&lt;"&amp;C2961,mdr_rate_cleaned!$F$2:$F$10,"&gt;="&amp;C2961)</f>
        <v>1</v>
      </c>
      <c r="G2961" s="40">
        <f>SUMIFS(mdr_rate_cleaned!$G$2:$G$10,mdr_rate_cleaned!$A$2:$A$10,B2961,mdr_rate_cleaned!$B$2:$B$10,"&lt;"&amp;C2961,mdr_rate_cleaned!$F$2:$F$10,"&gt;="&amp;C2961)</f>
        <v>1.8000000000000002E-2</v>
      </c>
      <c r="H2961" s="24">
        <f t="shared" si="230"/>
        <v>23.38</v>
      </c>
      <c r="I2961" s="23" t="str">
        <f t="shared" si="231"/>
        <v>Match</v>
      </c>
      <c r="J2961" s="23" t="str">
        <f t="shared" si="232"/>
        <v>Match</v>
      </c>
      <c r="K2961" s="24">
        <f t="shared" si="233"/>
        <v>4.21</v>
      </c>
      <c r="L2961" s="24">
        <f t="shared" si="234"/>
        <v>0</v>
      </c>
    </row>
    <row r="2962" spans="1:12" ht="15" customHeight="1" x14ac:dyDescent="0.3">
      <c r="A2962" s="23" t="s">
        <v>15959</v>
      </c>
      <c r="B2962" s="23" t="s">
        <v>79</v>
      </c>
      <c r="C2962" s="39">
        <v>8847</v>
      </c>
      <c r="D2962" s="24">
        <v>141.55000000000001</v>
      </c>
      <c r="E2962" s="24">
        <v>25.48</v>
      </c>
      <c r="F2962" s="23">
        <f>COUNTIFS(mdr_rate_cleaned!$A$2:$A$10,B2962,mdr_rate_cleaned!$B$2:$B$10,"&lt;"&amp;C2962,mdr_rate_cleaned!$F$2:$F$10,"&gt;="&amp;C2962)</f>
        <v>1</v>
      </c>
      <c r="G2962" s="40">
        <f>SUMIFS(mdr_rate_cleaned!$G$2:$G$10,mdr_rate_cleaned!$A$2:$A$10,B2962,mdr_rate_cleaned!$B$2:$B$10,"&lt;"&amp;C2962,mdr_rate_cleaned!$F$2:$F$10,"&gt;="&amp;C2962)</f>
        <v>1.6E-2</v>
      </c>
      <c r="H2962" s="24">
        <f t="shared" si="230"/>
        <v>141.55000000000001</v>
      </c>
      <c r="I2962" s="23" t="str">
        <f t="shared" si="231"/>
        <v>Match</v>
      </c>
      <c r="J2962" s="23" t="str">
        <f t="shared" si="232"/>
        <v>Match</v>
      </c>
      <c r="K2962" s="24">
        <f t="shared" si="233"/>
        <v>25.48</v>
      </c>
      <c r="L2962" s="24">
        <f t="shared" si="234"/>
        <v>0</v>
      </c>
    </row>
    <row r="2963" spans="1:12" ht="15" customHeight="1" x14ac:dyDescent="0.3">
      <c r="A2963" s="23" t="s">
        <v>15960</v>
      </c>
      <c r="B2963" s="23" t="s">
        <v>75</v>
      </c>
      <c r="C2963" s="39">
        <v>999</v>
      </c>
      <c r="D2963" s="24">
        <v>0</v>
      </c>
      <c r="E2963" s="24">
        <v>0</v>
      </c>
      <c r="F2963" s="23">
        <f>COUNTIFS(mdr_rate_cleaned!$A$2:$A$10,B2963,mdr_rate_cleaned!$B$2:$B$10,"&lt;"&amp;C2963,mdr_rate_cleaned!$F$2:$F$10,"&gt;="&amp;C2963)</f>
        <v>1</v>
      </c>
      <c r="G2963" s="40">
        <f>SUMIFS(mdr_rate_cleaned!$G$2:$G$10,mdr_rate_cleaned!$A$2:$A$10,B2963,mdr_rate_cleaned!$B$2:$B$10,"&lt;"&amp;C2963,mdr_rate_cleaned!$F$2:$F$10,"&gt;="&amp;C2963)</f>
        <v>0</v>
      </c>
      <c r="H2963" s="24">
        <f t="shared" si="230"/>
        <v>0</v>
      </c>
      <c r="I2963" s="23" t="str">
        <f t="shared" si="231"/>
        <v>Match</v>
      </c>
      <c r="J2963" s="23" t="str">
        <f t="shared" si="232"/>
        <v>Match</v>
      </c>
      <c r="K2963" s="24">
        <f t="shared" si="233"/>
        <v>0</v>
      </c>
      <c r="L2963" s="24">
        <f t="shared" si="234"/>
        <v>0</v>
      </c>
    </row>
    <row r="2964" spans="1:12" ht="15" customHeight="1" x14ac:dyDescent="0.3">
      <c r="A2964" s="23" t="s">
        <v>15961</v>
      </c>
      <c r="B2964" s="23" t="s">
        <v>77</v>
      </c>
      <c r="C2964" s="39">
        <v>7999</v>
      </c>
      <c r="D2964" s="24">
        <v>135.97999999999999</v>
      </c>
      <c r="E2964" s="24">
        <v>24.48</v>
      </c>
      <c r="F2964" s="23">
        <f>COUNTIFS(mdr_rate_cleaned!$A$2:$A$10,B2964,mdr_rate_cleaned!$B$2:$B$10,"&lt;"&amp;C2964,mdr_rate_cleaned!$F$2:$F$10,"&gt;="&amp;C2964)</f>
        <v>1</v>
      </c>
      <c r="G2964" s="40">
        <f>SUMIFS(mdr_rate_cleaned!$G$2:$G$10,mdr_rate_cleaned!$A$2:$A$10,B2964,mdr_rate_cleaned!$B$2:$B$10,"&lt;"&amp;C2964,mdr_rate_cleaned!$F$2:$F$10,"&gt;="&amp;C2964)</f>
        <v>1.7000000000000001E-2</v>
      </c>
      <c r="H2964" s="24">
        <f t="shared" si="230"/>
        <v>135.97999999999999</v>
      </c>
      <c r="I2964" s="23" t="str">
        <f t="shared" si="231"/>
        <v>Match</v>
      </c>
      <c r="J2964" s="23" t="str">
        <f t="shared" si="232"/>
        <v>Match</v>
      </c>
      <c r="K2964" s="24">
        <f t="shared" si="233"/>
        <v>24.48</v>
      </c>
      <c r="L2964" s="24">
        <f t="shared" si="234"/>
        <v>0</v>
      </c>
    </row>
    <row r="2965" spans="1:12" ht="15" customHeight="1" x14ac:dyDescent="0.3">
      <c r="A2965" s="23" t="s">
        <v>15963</v>
      </c>
      <c r="B2965" s="23" t="s">
        <v>75</v>
      </c>
      <c r="C2965" s="39">
        <v>3798</v>
      </c>
      <c r="D2965" s="24">
        <v>11.39</v>
      </c>
      <c r="E2965" s="24">
        <v>2.0499999999999998</v>
      </c>
      <c r="F2965" s="23">
        <f>COUNTIFS(mdr_rate_cleaned!$A$2:$A$10,B2965,mdr_rate_cleaned!$B$2:$B$10,"&lt;"&amp;C2965,mdr_rate_cleaned!$F$2:$F$10,"&gt;="&amp;C2965)</f>
        <v>1</v>
      </c>
      <c r="G2965" s="40">
        <f>SUMIFS(mdr_rate_cleaned!$G$2:$G$10,mdr_rate_cleaned!$A$2:$A$10,B2965,mdr_rate_cleaned!$B$2:$B$10,"&lt;"&amp;C2965,mdr_rate_cleaned!$F$2:$F$10,"&gt;="&amp;C2965)</f>
        <v>3.0000000000000001E-3</v>
      </c>
      <c r="H2965" s="24">
        <f t="shared" si="230"/>
        <v>11.39</v>
      </c>
      <c r="I2965" s="23" t="str">
        <f t="shared" si="231"/>
        <v>Match</v>
      </c>
      <c r="J2965" s="23" t="str">
        <f t="shared" si="232"/>
        <v>Match</v>
      </c>
      <c r="K2965" s="24">
        <f t="shared" si="233"/>
        <v>2.0499999999999998</v>
      </c>
      <c r="L2965" s="24">
        <f t="shared" si="234"/>
        <v>0</v>
      </c>
    </row>
    <row r="2966" spans="1:12" ht="15" customHeight="1" x14ac:dyDescent="0.3">
      <c r="A2966" s="23" t="s">
        <v>15964</v>
      </c>
      <c r="B2966" s="23" t="s">
        <v>79</v>
      </c>
      <c r="C2966" s="39">
        <v>3798</v>
      </c>
      <c r="D2966" s="24">
        <v>60.77</v>
      </c>
      <c r="E2966" s="24">
        <v>10.94</v>
      </c>
      <c r="F2966" s="23">
        <f>COUNTIFS(mdr_rate_cleaned!$A$2:$A$10,B2966,mdr_rate_cleaned!$B$2:$B$10,"&lt;"&amp;C2966,mdr_rate_cleaned!$F$2:$F$10,"&gt;="&amp;C2966)</f>
        <v>1</v>
      </c>
      <c r="G2966" s="40">
        <f>SUMIFS(mdr_rate_cleaned!$G$2:$G$10,mdr_rate_cleaned!$A$2:$A$10,B2966,mdr_rate_cleaned!$B$2:$B$10,"&lt;"&amp;C2966,mdr_rate_cleaned!$F$2:$F$10,"&gt;="&amp;C2966)</f>
        <v>1.6E-2</v>
      </c>
      <c r="H2966" s="24">
        <f t="shared" si="230"/>
        <v>60.77</v>
      </c>
      <c r="I2966" s="23" t="str">
        <f t="shared" si="231"/>
        <v>Match</v>
      </c>
      <c r="J2966" s="23" t="str">
        <f t="shared" si="232"/>
        <v>Match</v>
      </c>
      <c r="K2966" s="24">
        <f t="shared" si="233"/>
        <v>10.94</v>
      </c>
      <c r="L2966" s="24">
        <f t="shared" si="234"/>
        <v>0</v>
      </c>
    </row>
    <row r="2967" spans="1:12" ht="15" customHeight="1" x14ac:dyDescent="0.3">
      <c r="A2967" s="23" t="s">
        <v>15965</v>
      </c>
      <c r="B2967" s="23" t="s">
        <v>77</v>
      </c>
      <c r="C2967" s="39">
        <v>1397</v>
      </c>
      <c r="D2967" s="24">
        <v>26.54</v>
      </c>
      <c r="E2967" s="24">
        <v>4.78</v>
      </c>
      <c r="F2967" s="23">
        <f>COUNTIFS(mdr_rate_cleaned!$A$2:$A$10,B2967,mdr_rate_cleaned!$B$2:$B$10,"&lt;"&amp;C2967,mdr_rate_cleaned!$F$2:$F$10,"&gt;="&amp;C2967)</f>
        <v>1</v>
      </c>
      <c r="G2967" s="40">
        <f>SUMIFS(mdr_rate_cleaned!$G$2:$G$10,mdr_rate_cleaned!$A$2:$A$10,B2967,mdr_rate_cleaned!$B$2:$B$10,"&lt;"&amp;C2967,mdr_rate_cleaned!$F$2:$F$10,"&gt;="&amp;C2967)</f>
        <v>1.9E-2</v>
      </c>
      <c r="H2967" s="24">
        <f t="shared" si="230"/>
        <v>26.54</v>
      </c>
      <c r="I2967" s="23" t="str">
        <f t="shared" si="231"/>
        <v>Match</v>
      </c>
      <c r="J2967" s="23" t="str">
        <f t="shared" si="232"/>
        <v>Match</v>
      </c>
      <c r="K2967" s="24">
        <f t="shared" si="233"/>
        <v>4.78</v>
      </c>
      <c r="L2967" s="24">
        <f t="shared" si="234"/>
        <v>0</v>
      </c>
    </row>
    <row r="2968" spans="1:12" ht="15" customHeight="1" x14ac:dyDescent="0.3">
      <c r="A2968" s="23" t="s">
        <v>15966</v>
      </c>
      <c r="B2968" s="23" t="s">
        <v>75</v>
      </c>
      <c r="C2968" s="39">
        <v>299</v>
      </c>
      <c r="D2968" s="24">
        <v>0</v>
      </c>
      <c r="E2968" s="24">
        <v>0</v>
      </c>
      <c r="F2968" s="23">
        <f>COUNTIFS(mdr_rate_cleaned!$A$2:$A$10,B2968,mdr_rate_cleaned!$B$2:$B$10,"&lt;"&amp;C2968,mdr_rate_cleaned!$F$2:$F$10,"&gt;="&amp;C2968)</f>
        <v>1</v>
      </c>
      <c r="G2968" s="40">
        <f>SUMIFS(mdr_rate_cleaned!$G$2:$G$10,mdr_rate_cleaned!$A$2:$A$10,B2968,mdr_rate_cleaned!$B$2:$B$10,"&lt;"&amp;C2968,mdr_rate_cleaned!$F$2:$F$10,"&gt;="&amp;C2968)</f>
        <v>0</v>
      </c>
      <c r="H2968" s="24">
        <f t="shared" si="230"/>
        <v>0</v>
      </c>
      <c r="I2968" s="23" t="str">
        <f t="shared" si="231"/>
        <v>Match</v>
      </c>
      <c r="J2968" s="23" t="str">
        <f t="shared" si="232"/>
        <v>Match</v>
      </c>
      <c r="K2968" s="24">
        <f t="shared" si="233"/>
        <v>0</v>
      </c>
      <c r="L2968" s="24">
        <f t="shared" si="234"/>
        <v>0</v>
      </c>
    </row>
    <row r="2969" spans="1:12" ht="15" customHeight="1" x14ac:dyDescent="0.3">
      <c r="A2969" s="23" t="s">
        <v>15967</v>
      </c>
      <c r="B2969" s="23" t="s">
        <v>75</v>
      </c>
      <c r="C2969" s="39">
        <v>7999</v>
      </c>
      <c r="D2969" s="24">
        <v>24</v>
      </c>
      <c r="E2969" s="24">
        <v>4.32</v>
      </c>
      <c r="F2969" s="23">
        <f>COUNTIFS(mdr_rate_cleaned!$A$2:$A$10,B2969,mdr_rate_cleaned!$B$2:$B$10,"&lt;"&amp;C2969,mdr_rate_cleaned!$F$2:$F$10,"&gt;="&amp;C2969)</f>
        <v>1</v>
      </c>
      <c r="G2969" s="40">
        <f>SUMIFS(mdr_rate_cleaned!$G$2:$G$10,mdr_rate_cleaned!$A$2:$A$10,B2969,mdr_rate_cleaned!$B$2:$B$10,"&lt;"&amp;C2969,mdr_rate_cleaned!$F$2:$F$10,"&gt;="&amp;C2969)</f>
        <v>3.0000000000000001E-3</v>
      </c>
      <c r="H2969" s="24">
        <f t="shared" si="230"/>
        <v>24</v>
      </c>
      <c r="I2969" s="23" t="str">
        <f t="shared" si="231"/>
        <v>Match</v>
      </c>
      <c r="J2969" s="23" t="str">
        <f t="shared" si="232"/>
        <v>Match</v>
      </c>
      <c r="K2969" s="24">
        <f t="shared" si="233"/>
        <v>4.32</v>
      </c>
      <c r="L2969" s="24">
        <f t="shared" si="234"/>
        <v>0</v>
      </c>
    </row>
    <row r="2970" spans="1:12" ht="15" customHeight="1" x14ac:dyDescent="0.3">
      <c r="A2970" s="23" t="s">
        <v>15968</v>
      </c>
      <c r="B2970" s="23" t="s">
        <v>79</v>
      </c>
      <c r="C2970" s="39">
        <v>599</v>
      </c>
      <c r="D2970" s="24">
        <v>10.78</v>
      </c>
      <c r="E2970" s="24">
        <v>1.94</v>
      </c>
      <c r="F2970" s="23">
        <f>COUNTIFS(mdr_rate_cleaned!$A$2:$A$10,B2970,mdr_rate_cleaned!$B$2:$B$10,"&lt;"&amp;C2970,mdr_rate_cleaned!$F$2:$F$10,"&gt;="&amp;C2970)</f>
        <v>1</v>
      </c>
      <c r="G2970" s="40">
        <f>SUMIFS(mdr_rate_cleaned!$G$2:$G$10,mdr_rate_cleaned!$A$2:$A$10,B2970,mdr_rate_cleaned!$B$2:$B$10,"&lt;"&amp;C2970,mdr_rate_cleaned!$F$2:$F$10,"&gt;="&amp;C2970)</f>
        <v>1.8000000000000002E-2</v>
      </c>
      <c r="H2970" s="24">
        <f t="shared" si="230"/>
        <v>10.78</v>
      </c>
      <c r="I2970" s="23" t="str">
        <f t="shared" si="231"/>
        <v>Match</v>
      </c>
      <c r="J2970" s="23" t="str">
        <f t="shared" si="232"/>
        <v>Match</v>
      </c>
      <c r="K2970" s="24">
        <f t="shared" si="233"/>
        <v>1.94</v>
      </c>
      <c r="L2970" s="24">
        <f t="shared" si="234"/>
        <v>0</v>
      </c>
    </row>
    <row r="2971" spans="1:12" ht="15" customHeight="1" x14ac:dyDescent="0.3">
      <c r="A2971" s="23" t="s">
        <v>15969</v>
      </c>
      <c r="B2971" s="23" t="s">
        <v>77</v>
      </c>
      <c r="C2971" s="39">
        <v>7999</v>
      </c>
      <c r="D2971" s="24">
        <v>135.97999999999999</v>
      </c>
      <c r="E2971" s="24">
        <v>24.48</v>
      </c>
      <c r="F2971" s="23">
        <f>COUNTIFS(mdr_rate_cleaned!$A$2:$A$10,B2971,mdr_rate_cleaned!$B$2:$B$10,"&lt;"&amp;C2971,mdr_rate_cleaned!$F$2:$F$10,"&gt;="&amp;C2971)</f>
        <v>1</v>
      </c>
      <c r="G2971" s="40">
        <f>SUMIFS(mdr_rate_cleaned!$G$2:$G$10,mdr_rate_cleaned!$A$2:$A$10,B2971,mdr_rate_cleaned!$B$2:$B$10,"&lt;"&amp;C2971,mdr_rate_cleaned!$F$2:$F$10,"&gt;="&amp;C2971)</f>
        <v>1.7000000000000001E-2</v>
      </c>
      <c r="H2971" s="24">
        <f t="shared" si="230"/>
        <v>135.97999999999999</v>
      </c>
      <c r="I2971" s="23" t="str">
        <f t="shared" si="231"/>
        <v>Match</v>
      </c>
      <c r="J2971" s="23" t="str">
        <f t="shared" si="232"/>
        <v>Match</v>
      </c>
      <c r="K2971" s="24">
        <f t="shared" si="233"/>
        <v>24.48</v>
      </c>
      <c r="L2971" s="24">
        <f t="shared" si="234"/>
        <v>0</v>
      </c>
    </row>
    <row r="2972" spans="1:12" ht="15" customHeight="1" x14ac:dyDescent="0.3">
      <c r="A2972" s="23" t="s">
        <v>15970</v>
      </c>
      <c r="B2972" s="23" t="s">
        <v>79</v>
      </c>
      <c r="C2972" s="39">
        <v>5797</v>
      </c>
      <c r="D2972" s="24">
        <v>92.75</v>
      </c>
      <c r="E2972" s="24">
        <v>16.7</v>
      </c>
      <c r="F2972" s="23">
        <f>COUNTIFS(mdr_rate_cleaned!$A$2:$A$10,B2972,mdr_rate_cleaned!$B$2:$B$10,"&lt;"&amp;C2972,mdr_rate_cleaned!$F$2:$F$10,"&gt;="&amp;C2972)</f>
        <v>1</v>
      </c>
      <c r="G2972" s="40">
        <f>SUMIFS(mdr_rate_cleaned!$G$2:$G$10,mdr_rate_cleaned!$A$2:$A$10,B2972,mdr_rate_cleaned!$B$2:$B$10,"&lt;"&amp;C2972,mdr_rate_cleaned!$F$2:$F$10,"&gt;="&amp;C2972)</f>
        <v>1.6E-2</v>
      </c>
      <c r="H2972" s="24">
        <f t="shared" si="230"/>
        <v>92.75</v>
      </c>
      <c r="I2972" s="23" t="str">
        <f t="shared" si="231"/>
        <v>Match</v>
      </c>
      <c r="J2972" s="23" t="str">
        <f t="shared" si="232"/>
        <v>Match</v>
      </c>
      <c r="K2972" s="24">
        <f t="shared" si="233"/>
        <v>16.7</v>
      </c>
      <c r="L2972" s="24">
        <f t="shared" si="234"/>
        <v>0</v>
      </c>
    </row>
    <row r="2973" spans="1:12" ht="15" customHeight="1" x14ac:dyDescent="0.3">
      <c r="A2973" s="23" t="s">
        <v>15972</v>
      </c>
      <c r="B2973" s="23" t="s">
        <v>75</v>
      </c>
      <c r="C2973" s="39">
        <v>5297</v>
      </c>
      <c r="D2973" s="24">
        <v>15.89</v>
      </c>
      <c r="E2973" s="24">
        <v>2.86</v>
      </c>
      <c r="F2973" s="23">
        <f>COUNTIFS(mdr_rate_cleaned!$A$2:$A$10,B2973,mdr_rate_cleaned!$B$2:$B$10,"&lt;"&amp;C2973,mdr_rate_cleaned!$F$2:$F$10,"&gt;="&amp;C2973)</f>
        <v>1</v>
      </c>
      <c r="G2973" s="40">
        <f>SUMIFS(mdr_rate_cleaned!$G$2:$G$10,mdr_rate_cleaned!$A$2:$A$10,B2973,mdr_rate_cleaned!$B$2:$B$10,"&lt;"&amp;C2973,mdr_rate_cleaned!$F$2:$F$10,"&gt;="&amp;C2973)</f>
        <v>3.0000000000000001E-3</v>
      </c>
      <c r="H2973" s="24">
        <f t="shared" si="230"/>
        <v>15.89</v>
      </c>
      <c r="I2973" s="23" t="str">
        <f t="shared" si="231"/>
        <v>Match</v>
      </c>
      <c r="J2973" s="23" t="str">
        <f t="shared" si="232"/>
        <v>Match</v>
      </c>
      <c r="K2973" s="24">
        <f t="shared" si="233"/>
        <v>2.86</v>
      </c>
      <c r="L2973" s="24">
        <f t="shared" si="234"/>
        <v>0</v>
      </c>
    </row>
    <row r="2974" spans="1:12" ht="15" customHeight="1" x14ac:dyDescent="0.3">
      <c r="A2974" s="23" t="s">
        <v>15973</v>
      </c>
      <c r="B2974" s="23" t="s">
        <v>75</v>
      </c>
      <c r="C2974" s="39">
        <v>3298</v>
      </c>
      <c r="D2974" s="24">
        <v>9.89</v>
      </c>
      <c r="E2974" s="24">
        <v>1.78</v>
      </c>
      <c r="F2974" s="23">
        <f>COUNTIFS(mdr_rate_cleaned!$A$2:$A$10,B2974,mdr_rate_cleaned!$B$2:$B$10,"&lt;"&amp;C2974,mdr_rate_cleaned!$F$2:$F$10,"&gt;="&amp;C2974)</f>
        <v>1</v>
      </c>
      <c r="G2974" s="40">
        <f>SUMIFS(mdr_rate_cleaned!$G$2:$G$10,mdr_rate_cleaned!$A$2:$A$10,B2974,mdr_rate_cleaned!$B$2:$B$10,"&lt;"&amp;C2974,mdr_rate_cleaned!$F$2:$F$10,"&gt;="&amp;C2974)</f>
        <v>3.0000000000000001E-3</v>
      </c>
      <c r="H2974" s="24">
        <f t="shared" si="230"/>
        <v>9.89</v>
      </c>
      <c r="I2974" s="23" t="str">
        <f t="shared" si="231"/>
        <v>Match</v>
      </c>
      <c r="J2974" s="23" t="str">
        <f t="shared" si="232"/>
        <v>Match</v>
      </c>
      <c r="K2974" s="24">
        <f t="shared" si="233"/>
        <v>1.78</v>
      </c>
      <c r="L2974" s="24">
        <f t="shared" si="234"/>
        <v>0</v>
      </c>
    </row>
    <row r="2975" spans="1:12" ht="15" customHeight="1" x14ac:dyDescent="0.3">
      <c r="A2975" s="23" t="s">
        <v>15974</v>
      </c>
      <c r="B2975" s="23" t="s">
        <v>79</v>
      </c>
      <c r="C2975" s="39">
        <v>8298</v>
      </c>
      <c r="D2975" s="24">
        <v>132.77000000000001</v>
      </c>
      <c r="E2975" s="24">
        <v>23.9</v>
      </c>
      <c r="F2975" s="23">
        <f>COUNTIFS(mdr_rate_cleaned!$A$2:$A$10,B2975,mdr_rate_cleaned!$B$2:$B$10,"&lt;"&amp;C2975,mdr_rate_cleaned!$F$2:$F$10,"&gt;="&amp;C2975)</f>
        <v>1</v>
      </c>
      <c r="G2975" s="40">
        <f>SUMIFS(mdr_rate_cleaned!$G$2:$G$10,mdr_rate_cleaned!$A$2:$A$10,B2975,mdr_rate_cleaned!$B$2:$B$10,"&lt;"&amp;C2975,mdr_rate_cleaned!$F$2:$F$10,"&gt;="&amp;C2975)</f>
        <v>1.6E-2</v>
      </c>
      <c r="H2975" s="24">
        <f t="shared" si="230"/>
        <v>132.77000000000001</v>
      </c>
      <c r="I2975" s="23" t="str">
        <f t="shared" si="231"/>
        <v>Match</v>
      </c>
      <c r="J2975" s="23" t="str">
        <f t="shared" si="232"/>
        <v>Match</v>
      </c>
      <c r="K2975" s="24">
        <f t="shared" si="233"/>
        <v>23.9</v>
      </c>
      <c r="L2975" s="24">
        <f t="shared" si="234"/>
        <v>0</v>
      </c>
    </row>
    <row r="2976" spans="1:12" ht="15" customHeight="1" x14ac:dyDescent="0.3">
      <c r="A2976" s="23" t="s">
        <v>15975</v>
      </c>
      <c r="B2976" s="23" t="s">
        <v>79</v>
      </c>
      <c r="C2976" s="39">
        <v>7999</v>
      </c>
      <c r="D2976" s="24">
        <v>127.98</v>
      </c>
      <c r="E2976" s="24">
        <v>23.04</v>
      </c>
      <c r="F2976" s="23">
        <f>COUNTIFS(mdr_rate_cleaned!$A$2:$A$10,B2976,mdr_rate_cleaned!$B$2:$B$10,"&lt;"&amp;C2976,mdr_rate_cleaned!$F$2:$F$10,"&gt;="&amp;C2976)</f>
        <v>1</v>
      </c>
      <c r="G2976" s="40">
        <f>SUMIFS(mdr_rate_cleaned!$G$2:$G$10,mdr_rate_cleaned!$A$2:$A$10,B2976,mdr_rate_cleaned!$B$2:$B$10,"&lt;"&amp;C2976,mdr_rate_cleaned!$F$2:$F$10,"&gt;="&amp;C2976)</f>
        <v>1.6E-2</v>
      </c>
      <c r="H2976" s="24">
        <f t="shared" si="230"/>
        <v>127.98</v>
      </c>
      <c r="I2976" s="23" t="str">
        <f t="shared" si="231"/>
        <v>Match</v>
      </c>
      <c r="J2976" s="23" t="str">
        <f t="shared" si="232"/>
        <v>Match</v>
      </c>
      <c r="K2976" s="24">
        <f t="shared" si="233"/>
        <v>23.04</v>
      </c>
      <c r="L2976" s="24">
        <f t="shared" si="234"/>
        <v>0</v>
      </c>
    </row>
    <row r="2977" spans="1:12" ht="15" customHeight="1" x14ac:dyDescent="0.3">
      <c r="A2977" s="23" t="s">
        <v>15976</v>
      </c>
      <c r="B2977" s="23" t="s">
        <v>75</v>
      </c>
      <c r="C2977" s="39">
        <v>1298</v>
      </c>
      <c r="D2977" s="24">
        <v>0</v>
      </c>
      <c r="E2977" s="24">
        <v>0</v>
      </c>
      <c r="F2977" s="23">
        <f>COUNTIFS(mdr_rate_cleaned!$A$2:$A$10,B2977,mdr_rate_cleaned!$B$2:$B$10,"&lt;"&amp;C2977,mdr_rate_cleaned!$F$2:$F$10,"&gt;="&amp;C2977)</f>
        <v>1</v>
      </c>
      <c r="G2977" s="40">
        <f>SUMIFS(mdr_rate_cleaned!$G$2:$G$10,mdr_rate_cleaned!$A$2:$A$10,B2977,mdr_rate_cleaned!$B$2:$B$10,"&lt;"&amp;C2977,mdr_rate_cleaned!$F$2:$F$10,"&gt;="&amp;C2977)</f>
        <v>0</v>
      </c>
      <c r="H2977" s="24">
        <f t="shared" si="230"/>
        <v>0</v>
      </c>
      <c r="I2977" s="23" t="str">
        <f t="shared" si="231"/>
        <v>Match</v>
      </c>
      <c r="J2977" s="23" t="str">
        <f t="shared" si="232"/>
        <v>Match</v>
      </c>
      <c r="K2977" s="24">
        <f t="shared" si="233"/>
        <v>0</v>
      </c>
      <c r="L2977" s="24">
        <f t="shared" si="234"/>
        <v>0</v>
      </c>
    </row>
    <row r="2978" spans="1:12" ht="15" customHeight="1" x14ac:dyDescent="0.3">
      <c r="A2978" s="23" t="s">
        <v>15977</v>
      </c>
      <c r="B2978" s="23" t="s">
        <v>79</v>
      </c>
      <c r="C2978" s="39">
        <v>349</v>
      </c>
      <c r="D2978" s="24">
        <v>6.28</v>
      </c>
      <c r="E2978" s="24">
        <v>1.1299999999999999</v>
      </c>
      <c r="F2978" s="23">
        <f>COUNTIFS(mdr_rate_cleaned!$A$2:$A$10,B2978,mdr_rate_cleaned!$B$2:$B$10,"&lt;"&amp;C2978,mdr_rate_cleaned!$F$2:$F$10,"&gt;="&amp;C2978)</f>
        <v>1</v>
      </c>
      <c r="G2978" s="40">
        <f>SUMIFS(mdr_rate_cleaned!$G$2:$G$10,mdr_rate_cleaned!$A$2:$A$10,B2978,mdr_rate_cleaned!$B$2:$B$10,"&lt;"&amp;C2978,mdr_rate_cleaned!$F$2:$F$10,"&gt;="&amp;C2978)</f>
        <v>1.8000000000000002E-2</v>
      </c>
      <c r="H2978" s="24">
        <f t="shared" si="230"/>
        <v>6.28</v>
      </c>
      <c r="I2978" s="23" t="str">
        <f t="shared" si="231"/>
        <v>Match</v>
      </c>
      <c r="J2978" s="23" t="str">
        <f t="shared" si="232"/>
        <v>Match</v>
      </c>
      <c r="K2978" s="24">
        <f t="shared" si="233"/>
        <v>1.1299999999999999</v>
      </c>
      <c r="L2978" s="24">
        <f t="shared" si="234"/>
        <v>0</v>
      </c>
    </row>
    <row r="2979" spans="1:12" ht="15" customHeight="1" x14ac:dyDescent="0.3">
      <c r="A2979" s="23" t="s">
        <v>15978</v>
      </c>
      <c r="B2979" s="23" t="s">
        <v>79</v>
      </c>
      <c r="C2979" s="39">
        <v>6347</v>
      </c>
      <c r="D2979" s="24">
        <v>101.55</v>
      </c>
      <c r="E2979" s="24">
        <v>18.28</v>
      </c>
      <c r="F2979" s="23">
        <f>COUNTIFS(mdr_rate_cleaned!$A$2:$A$10,B2979,mdr_rate_cleaned!$B$2:$B$10,"&lt;"&amp;C2979,mdr_rate_cleaned!$F$2:$F$10,"&gt;="&amp;C2979)</f>
        <v>1</v>
      </c>
      <c r="G2979" s="40">
        <f>SUMIFS(mdr_rate_cleaned!$G$2:$G$10,mdr_rate_cleaned!$A$2:$A$10,B2979,mdr_rate_cleaned!$B$2:$B$10,"&lt;"&amp;C2979,mdr_rate_cleaned!$F$2:$F$10,"&gt;="&amp;C2979)</f>
        <v>1.6E-2</v>
      </c>
      <c r="H2979" s="24">
        <f t="shared" si="230"/>
        <v>101.55</v>
      </c>
      <c r="I2979" s="23" t="str">
        <f t="shared" si="231"/>
        <v>Match</v>
      </c>
      <c r="J2979" s="23" t="str">
        <f t="shared" si="232"/>
        <v>Match</v>
      </c>
      <c r="K2979" s="24">
        <f t="shared" si="233"/>
        <v>18.28</v>
      </c>
      <c r="L2979" s="24">
        <f t="shared" si="234"/>
        <v>0</v>
      </c>
    </row>
    <row r="2980" spans="1:12" ht="15" customHeight="1" x14ac:dyDescent="0.3">
      <c r="A2980" s="23" t="s">
        <v>15979</v>
      </c>
      <c r="B2980" s="23" t="s">
        <v>77</v>
      </c>
      <c r="C2980" s="39">
        <v>3499</v>
      </c>
      <c r="D2980" s="24">
        <v>59.48</v>
      </c>
      <c r="E2980" s="24">
        <v>10.71</v>
      </c>
      <c r="F2980" s="23">
        <f>COUNTIFS(mdr_rate_cleaned!$A$2:$A$10,B2980,mdr_rate_cleaned!$B$2:$B$10,"&lt;"&amp;C2980,mdr_rate_cleaned!$F$2:$F$10,"&gt;="&amp;C2980)</f>
        <v>1</v>
      </c>
      <c r="G2980" s="40">
        <f>SUMIFS(mdr_rate_cleaned!$G$2:$G$10,mdr_rate_cleaned!$A$2:$A$10,B2980,mdr_rate_cleaned!$B$2:$B$10,"&lt;"&amp;C2980,mdr_rate_cleaned!$F$2:$F$10,"&gt;="&amp;C2980)</f>
        <v>1.7000000000000001E-2</v>
      </c>
      <c r="H2980" s="24">
        <f t="shared" si="230"/>
        <v>59.48</v>
      </c>
      <c r="I2980" s="23" t="str">
        <f t="shared" si="231"/>
        <v>Match</v>
      </c>
      <c r="J2980" s="23" t="str">
        <f t="shared" si="232"/>
        <v>Match</v>
      </c>
      <c r="K2980" s="24">
        <f t="shared" si="233"/>
        <v>10.71</v>
      </c>
      <c r="L2980" s="24">
        <f t="shared" si="234"/>
        <v>0</v>
      </c>
    </row>
    <row r="2981" spans="1:12" ht="15" customHeight="1" x14ac:dyDescent="0.3">
      <c r="A2981" s="23" t="s">
        <v>15980</v>
      </c>
      <c r="B2981" s="23" t="s">
        <v>79</v>
      </c>
      <c r="C2981" s="39">
        <v>2649</v>
      </c>
      <c r="D2981" s="24">
        <v>42.38</v>
      </c>
      <c r="E2981" s="24">
        <v>7.63</v>
      </c>
      <c r="F2981" s="23">
        <f>COUNTIFS(mdr_rate_cleaned!$A$2:$A$10,B2981,mdr_rate_cleaned!$B$2:$B$10,"&lt;"&amp;C2981,mdr_rate_cleaned!$F$2:$F$10,"&gt;="&amp;C2981)</f>
        <v>1</v>
      </c>
      <c r="G2981" s="40">
        <f>SUMIFS(mdr_rate_cleaned!$G$2:$G$10,mdr_rate_cleaned!$A$2:$A$10,B2981,mdr_rate_cleaned!$B$2:$B$10,"&lt;"&amp;C2981,mdr_rate_cleaned!$F$2:$F$10,"&gt;="&amp;C2981)</f>
        <v>1.6E-2</v>
      </c>
      <c r="H2981" s="24">
        <f t="shared" si="230"/>
        <v>42.38</v>
      </c>
      <c r="I2981" s="23" t="str">
        <f t="shared" si="231"/>
        <v>Match</v>
      </c>
      <c r="J2981" s="23" t="str">
        <f t="shared" si="232"/>
        <v>Match</v>
      </c>
      <c r="K2981" s="24">
        <f t="shared" si="233"/>
        <v>7.63</v>
      </c>
      <c r="L2981" s="24">
        <f t="shared" si="234"/>
        <v>0</v>
      </c>
    </row>
    <row r="2982" spans="1:12" ht="15" customHeight="1" x14ac:dyDescent="0.3">
      <c r="A2982" s="23" t="s">
        <v>15981</v>
      </c>
      <c r="B2982" s="23" t="s">
        <v>79</v>
      </c>
      <c r="C2982" s="39">
        <v>5998</v>
      </c>
      <c r="D2982" s="24">
        <v>95.97</v>
      </c>
      <c r="E2982" s="24">
        <v>17.27</v>
      </c>
      <c r="F2982" s="23">
        <f>COUNTIFS(mdr_rate_cleaned!$A$2:$A$10,B2982,mdr_rate_cleaned!$B$2:$B$10,"&lt;"&amp;C2982,mdr_rate_cleaned!$F$2:$F$10,"&gt;="&amp;C2982)</f>
        <v>1</v>
      </c>
      <c r="G2982" s="40">
        <f>SUMIFS(mdr_rate_cleaned!$G$2:$G$10,mdr_rate_cleaned!$A$2:$A$10,B2982,mdr_rate_cleaned!$B$2:$B$10,"&lt;"&amp;C2982,mdr_rate_cleaned!$F$2:$F$10,"&gt;="&amp;C2982)</f>
        <v>1.6E-2</v>
      </c>
      <c r="H2982" s="24">
        <f t="shared" si="230"/>
        <v>95.97</v>
      </c>
      <c r="I2982" s="23" t="str">
        <f t="shared" si="231"/>
        <v>Match</v>
      </c>
      <c r="J2982" s="23" t="str">
        <f t="shared" si="232"/>
        <v>Match</v>
      </c>
      <c r="K2982" s="24">
        <f t="shared" si="233"/>
        <v>17.27</v>
      </c>
      <c r="L2982" s="24">
        <f t="shared" si="234"/>
        <v>0</v>
      </c>
    </row>
    <row r="2983" spans="1:12" ht="15" customHeight="1" x14ac:dyDescent="0.3">
      <c r="A2983" s="23" t="s">
        <v>15982</v>
      </c>
      <c r="B2983" s="23" t="s">
        <v>79</v>
      </c>
      <c r="C2983" s="39">
        <v>1299</v>
      </c>
      <c r="D2983" s="24">
        <v>23.38</v>
      </c>
      <c r="E2983" s="24">
        <v>4.21</v>
      </c>
      <c r="F2983" s="23">
        <f>COUNTIFS(mdr_rate_cleaned!$A$2:$A$10,B2983,mdr_rate_cleaned!$B$2:$B$10,"&lt;"&amp;C2983,mdr_rate_cleaned!$F$2:$F$10,"&gt;="&amp;C2983)</f>
        <v>1</v>
      </c>
      <c r="G2983" s="40">
        <f>SUMIFS(mdr_rate_cleaned!$G$2:$G$10,mdr_rate_cleaned!$A$2:$A$10,B2983,mdr_rate_cleaned!$B$2:$B$10,"&lt;"&amp;C2983,mdr_rate_cleaned!$F$2:$F$10,"&gt;="&amp;C2983)</f>
        <v>1.8000000000000002E-2</v>
      </c>
      <c r="H2983" s="24">
        <f t="shared" si="230"/>
        <v>23.38</v>
      </c>
      <c r="I2983" s="23" t="str">
        <f t="shared" si="231"/>
        <v>Match</v>
      </c>
      <c r="J2983" s="23" t="str">
        <f t="shared" si="232"/>
        <v>Match</v>
      </c>
      <c r="K2983" s="24">
        <f t="shared" si="233"/>
        <v>4.21</v>
      </c>
      <c r="L2983" s="24">
        <f t="shared" si="234"/>
        <v>0</v>
      </c>
    </row>
    <row r="2984" spans="1:12" ht="15" customHeight="1" x14ac:dyDescent="0.3">
      <c r="A2984" s="23" t="s">
        <v>15983</v>
      </c>
      <c r="B2984" s="23" t="s">
        <v>79</v>
      </c>
      <c r="C2984" s="39">
        <v>1499</v>
      </c>
      <c r="D2984" s="24">
        <v>26.98</v>
      </c>
      <c r="E2984" s="24">
        <v>4.8600000000000003</v>
      </c>
      <c r="F2984" s="23">
        <f>COUNTIFS(mdr_rate_cleaned!$A$2:$A$10,B2984,mdr_rate_cleaned!$B$2:$B$10,"&lt;"&amp;C2984,mdr_rate_cleaned!$F$2:$F$10,"&gt;="&amp;C2984)</f>
        <v>1</v>
      </c>
      <c r="G2984" s="40">
        <f>SUMIFS(mdr_rate_cleaned!$G$2:$G$10,mdr_rate_cleaned!$A$2:$A$10,B2984,mdr_rate_cleaned!$B$2:$B$10,"&lt;"&amp;C2984,mdr_rate_cleaned!$F$2:$F$10,"&gt;="&amp;C2984)</f>
        <v>1.8000000000000002E-2</v>
      </c>
      <c r="H2984" s="24">
        <f t="shared" si="230"/>
        <v>26.98</v>
      </c>
      <c r="I2984" s="23" t="str">
        <f t="shared" si="231"/>
        <v>Match</v>
      </c>
      <c r="J2984" s="23" t="str">
        <f t="shared" si="232"/>
        <v>Match</v>
      </c>
      <c r="K2984" s="24">
        <f t="shared" si="233"/>
        <v>4.8600000000000003</v>
      </c>
      <c r="L2984" s="24">
        <f t="shared" si="234"/>
        <v>0</v>
      </c>
    </row>
    <row r="2985" spans="1:12" ht="15" customHeight="1" x14ac:dyDescent="0.3">
      <c r="A2985" s="23" t="s">
        <v>15984</v>
      </c>
      <c r="B2985" s="23" t="s">
        <v>75</v>
      </c>
      <c r="C2985" s="39">
        <v>1647</v>
      </c>
      <c r="D2985" s="24">
        <v>0</v>
      </c>
      <c r="E2985" s="24">
        <v>0</v>
      </c>
      <c r="F2985" s="23">
        <f>COUNTIFS(mdr_rate_cleaned!$A$2:$A$10,B2985,mdr_rate_cleaned!$B$2:$B$10,"&lt;"&amp;C2985,mdr_rate_cleaned!$F$2:$F$10,"&gt;="&amp;C2985)</f>
        <v>1</v>
      </c>
      <c r="G2985" s="40">
        <f>SUMIFS(mdr_rate_cleaned!$G$2:$G$10,mdr_rate_cleaned!$A$2:$A$10,B2985,mdr_rate_cleaned!$B$2:$B$10,"&lt;"&amp;C2985,mdr_rate_cleaned!$F$2:$F$10,"&gt;="&amp;C2985)</f>
        <v>0</v>
      </c>
      <c r="H2985" s="24">
        <f t="shared" si="230"/>
        <v>0</v>
      </c>
      <c r="I2985" s="23" t="str">
        <f t="shared" si="231"/>
        <v>Match</v>
      </c>
      <c r="J2985" s="23" t="str">
        <f t="shared" si="232"/>
        <v>Match</v>
      </c>
      <c r="K2985" s="24">
        <f t="shared" si="233"/>
        <v>0</v>
      </c>
      <c r="L2985" s="24">
        <f t="shared" si="234"/>
        <v>0</v>
      </c>
    </row>
    <row r="2986" spans="1:12" ht="15" customHeight="1" x14ac:dyDescent="0.3">
      <c r="A2986" s="23" t="s">
        <v>15985</v>
      </c>
      <c r="B2986" s="23" t="s">
        <v>79</v>
      </c>
      <c r="C2986" s="39">
        <v>10797</v>
      </c>
      <c r="D2986" s="24">
        <v>172.75</v>
      </c>
      <c r="E2986" s="24">
        <v>31.1</v>
      </c>
      <c r="F2986" s="23">
        <f>COUNTIFS(mdr_rate_cleaned!$A$2:$A$10,B2986,mdr_rate_cleaned!$B$2:$B$10,"&lt;"&amp;C2986,mdr_rate_cleaned!$F$2:$F$10,"&gt;="&amp;C2986)</f>
        <v>1</v>
      </c>
      <c r="G2986" s="40">
        <f>SUMIFS(mdr_rate_cleaned!$G$2:$G$10,mdr_rate_cleaned!$A$2:$A$10,B2986,mdr_rate_cleaned!$B$2:$B$10,"&lt;"&amp;C2986,mdr_rate_cleaned!$F$2:$F$10,"&gt;="&amp;C2986)</f>
        <v>1.6E-2</v>
      </c>
      <c r="H2986" s="24">
        <f t="shared" si="230"/>
        <v>172.75</v>
      </c>
      <c r="I2986" s="23" t="str">
        <f t="shared" si="231"/>
        <v>Match</v>
      </c>
      <c r="J2986" s="23" t="str">
        <f t="shared" si="232"/>
        <v>Match</v>
      </c>
      <c r="K2986" s="24">
        <f t="shared" si="233"/>
        <v>31.1</v>
      </c>
      <c r="L2986" s="24">
        <f t="shared" si="234"/>
        <v>0</v>
      </c>
    </row>
    <row r="2987" spans="1:12" ht="15" customHeight="1" x14ac:dyDescent="0.3">
      <c r="A2987" s="23" t="s">
        <v>15986</v>
      </c>
      <c r="B2987" s="23" t="s">
        <v>77</v>
      </c>
      <c r="C2987" s="39">
        <v>7999</v>
      </c>
      <c r="D2987" s="24">
        <v>135.97999999999999</v>
      </c>
      <c r="E2987" s="24">
        <v>24.48</v>
      </c>
      <c r="F2987" s="23">
        <f>COUNTIFS(mdr_rate_cleaned!$A$2:$A$10,B2987,mdr_rate_cleaned!$B$2:$B$10,"&lt;"&amp;C2987,mdr_rate_cleaned!$F$2:$F$10,"&gt;="&amp;C2987)</f>
        <v>1</v>
      </c>
      <c r="G2987" s="40">
        <f>SUMIFS(mdr_rate_cleaned!$G$2:$G$10,mdr_rate_cleaned!$A$2:$A$10,B2987,mdr_rate_cleaned!$B$2:$B$10,"&lt;"&amp;C2987,mdr_rate_cleaned!$F$2:$F$10,"&gt;="&amp;C2987)</f>
        <v>1.7000000000000001E-2</v>
      </c>
      <c r="H2987" s="24">
        <f t="shared" si="230"/>
        <v>135.97999999999999</v>
      </c>
      <c r="I2987" s="23" t="str">
        <f t="shared" si="231"/>
        <v>Match</v>
      </c>
      <c r="J2987" s="23" t="str">
        <f t="shared" si="232"/>
        <v>Match</v>
      </c>
      <c r="K2987" s="24">
        <f t="shared" si="233"/>
        <v>24.48</v>
      </c>
      <c r="L2987" s="24">
        <f t="shared" si="234"/>
        <v>0</v>
      </c>
    </row>
    <row r="2988" spans="1:12" ht="15" customHeight="1" x14ac:dyDescent="0.3">
      <c r="A2988" s="23" t="s">
        <v>15987</v>
      </c>
      <c r="B2988" s="23" t="s">
        <v>75</v>
      </c>
      <c r="C2988" s="39">
        <v>648</v>
      </c>
      <c r="D2988" s="24">
        <v>0</v>
      </c>
      <c r="E2988" s="24">
        <v>0</v>
      </c>
      <c r="F2988" s="23">
        <f>COUNTIFS(mdr_rate_cleaned!$A$2:$A$10,B2988,mdr_rate_cleaned!$B$2:$B$10,"&lt;"&amp;C2988,mdr_rate_cleaned!$F$2:$F$10,"&gt;="&amp;C2988)</f>
        <v>1</v>
      </c>
      <c r="G2988" s="40">
        <f>SUMIFS(mdr_rate_cleaned!$G$2:$G$10,mdr_rate_cleaned!$A$2:$A$10,B2988,mdr_rate_cleaned!$B$2:$B$10,"&lt;"&amp;C2988,mdr_rate_cleaned!$F$2:$F$10,"&gt;="&amp;C2988)</f>
        <v>0</v>
      </c>
      <c r="H2988" s="24">
        <f t="shared" si="230"/>
        <v>0</v>
      </c>
      <c r="I2988" s="23" t="str">
        <f t="shared" si="231"/>
        <v>Match</v>
      </c>
      <c r="J2988" s="23" t="str">
        <f t="shared" si="232"/>
        <v>Match</v>
      </c>
      <c r="K2988" s="24">
        <f t="shared" si="233"/>
        <v>0</v>
      </c>
      <c r="L2988" s="24">
        <f t="shared" si="234"/>
        <v>0</v>
      </c>
    </row>
    <row r="2989" spans="1:12" ht="15" customHeight="1" x14ac:dyDescent="0.3">
      <c r="A2989" s="23" t="s">
        <v>15988</v>
      </c>
      <c r="B2989" s="23" t="s">
        <v>79</v>
      </c>
      <c r="C2989" s="39">
        <v>2298</v>
      </c>
      <c r="D2989" s="24">
        <v>36.770000000000003</v>
      </c>
      <c r="E2989" s="24">
        <v>6.62</v>
      </c>
      <c r="F2989" s="23">
        <f>COUNTIFS(mdr_rate_cleaned!$A$2:$A$10,B2989,mdr_rate_cleaned!$B$2:$B$10,"&lt;"&amp;C2989,mdr_rate_cleaned!$F$2:$F$10,"&gt;="&amp;C2989)</f>
        <v>1</v>
      </c>
      <c r="G2989" s="40">
        <f>SUMIFS(mdr_rate_cleaned!$G$2:$G$10,mdr_rate_cleaned!$A$2:$A$10,B2989,mdr_rate_cleaned!$B$2:$B$10,"&lt;"&amp;C2989,mdr_rate_cleaned!$F$2:$F$10,"&gt;="&amp;C2989)</f>
        <v>1.6E-2</v>
      </c>
      <c r="H2989" s="24">
        <f t="shared" si="230"/>
        <v>36.770000000000003</v>
      </c>
      <c r="I2989" s="23" t="str">
        <f t="shared" si="231"/>
        <v>Match</v>
      </c>
      <c r="J2989" s="23" t="str">
        <f t="shared" si="232"/>
        <v>Match</v>
      </c>
      <c r="K2989" s="24">
        <f t="shared" si="233"/>
        <v>6.62</v>
      </c>
      <c r="L2989" s="24">
        <f t="shared" si="234"/>
        <v>0</v>
      </c>
    </row>
    <row r="2990" spans="1:12" ht="15" customHeight="1" x14ac:dyDescent="0.3">
      <c r="A2990" s="23" t="s">
        <v>15989</v>
      </c>
      <c r="B2990" s="23" t="s">
        <v>75</v>
      </c>
      <c r="C2990" s="39">
        <v>2499</v>
      </c>
      <c r="D2990" s="24">
        <v>7.5</v>
      </c>
      <c r="E2990" s="24">
        <v>1.35</v>
      </c>
      <c r="F2990" s="23">
        <f>COUNTIFS(mdr_rate_cleaned!$A$2:$A$10,B2990,mdr_rate_cleaned!$B$2:$B$10,"&lt;"&amp;C2990,mdr_rate_cleaned!$F$2:$F$10,"&gt;="&amp;C2990)</f>
        <v>1</v>
      </c>
      <c r="G2990" s="40">
        <f>SUMIFS(mdr_rate_cleaned!$G$2:$G$10,mdr_rate_cleaned!$A$2:$A$10,B2990,mdr_rate_cleaned!$B$2:$B$10,"&lt;"&amp;C2990,mdr_rate_cleaned!$F$2:$F$10,"&gt;="&amp;C2990)</f>
        <v>3.0000000000000001E-3</v>
      </c>
      <c r="H2990" s="24">
        <f t="shared" si="230"/>
        <v>7.5</v>
      </c>
      <c r="I2990" s="23" t="str">
        <f t="shared" si="231"/>
        <v>Match</v>
      </c>
      <c r="J2990" s="23" t="str">
        <f t="shared" si="232"/>
        <v>Match</v>
      </c>
      <c r="K2990" s="24">
        <f t="shared" si="233"/>
        <v>1.35</v>
      </c>
      <c r="L2990" s="24">
        <f t="shared" si="234"/>
        <v>0</v>
      </c>
    </row>
    <row r="2991" spans="1:12" ht="15" customHeight="1" x14ac:dyDescent="0.3">
      <c r="A2991" s="23" t="s">
        <v>15990</v>
      </c>
      <c r="B2991" s="23" t="s">
        <v>75</v>
      </c>
      <c r="C2991" s="39">
        <v>8298</v>
      </c>
      <c r="D2991" s="24">
        <v>24.89</v>
      </c>
      <c r="E2991" s="24">
        <v>4.4800000000000004</v>
      </c>
      <c r="F2991" s="23">
        <f>COUNTIFS(mdr_rate_cleaned!$A$2:$A$10,B2991,mdr_rate_cleaned!$B$2:$B$10,"&lt;"&amp;C2991,mdr_rate_cleaned!$F$2:$F$10,"&gt;="&amp;C2991)</f>
        <v>1</v>
      </c>
      <c r="G2991" s="40">
        <f>SUMIFS(mdr_rate_cleaned!$G$2:$G$10,mdr_rate_cleaned!$A$2:$A$10,B2991,mdr_rate_cleaned!$B$2:$B$10,"&lt;"&amp;C2991,mdr_rate_cleaned!$F$2:$F$10,"&gt;="&amp;C2991)</f>
        <v>3.0000000000000001E-3</v>
      </c>
      <c r="H2991" s="24">
        <f t="shared" si="230"/>
        <v>24.89</v>
      </c>
      <c r="I2991" s="23" t="str">
        <f t="shared" si="231"/>
        <v>Match</v>
      </c>
      <c r="J2991" s="23" t="str">
        <f t="shared" si="232"/>
        <v>Match</v>
      </c>
      <c r="K2991" s="24">
        <f t="shared" si="233"/>
        <v>4.4800000000000004</v>
      </c>
      <c r="L2991" s="24">
        <f t="shared" si="234"/>
        <v>0</v>
      </c>
    </row>
    <row r="2992" spans="1:12" ht="15" customHeight="1" x14ac:dyDescent="0.3">
      <c r="A2992" s="23" t="s">
        <v>15991</v>
      </c>
      <c r="B2992" s="23" t="s">
        <v>75</v>
      </c>
      <c r="C2992" s="39">
        <v>1998</v>
      </c>
      <c r="D2992" s="24">
        <v>0</v>
      </c>
      <c r="E2992" s="24">
        <v>0</v>
      </c>
      <c r="F2992" s="23">
        <f>COUNTIFS(mdr_rate_cleaned!$A$2:$A$10,B2992,mdr_rate_cleaned!$B$2:$B$10,"&lt;"&amp;C2992,mdr_rate_cleaned!$F$2:$F$10,"&gt;="&amp;C2992)</f>
        <v>1</v>
      </c>
      <c r="G2992" s="40">
        <f>SUMIFS(mdr_rate_cleaned!$G$2:$G$10,mdr_rate_cleaned!$A$2:$A$10,B2992,mdr_rate_cleaned!$B$2:$B$10,"&lt;"&amp;C2992,mdr_rate_cleaned!$F$2:$F$10,"&gt;="&amp;C2992)</f>
        <v>0</v>
      </c>
      <c r="H2992" s="24">
        <f t="shared" si="230"/>
        <v>0</v>
      </c>
      <c r="I2992" s="23" t="str">
        <f t="shared" si="231"/>
        <v>Match</v>
      </c>
      <c r="J2992" s="23" t="str">
        <f t="shared" si="232"/>
        <v>Match</v>
      </c>
      <c r="K2992" s="24">
        <f t="shared" si="233"/>
        <v>0</v>
      </c>
      <c r="L2992" s="24">
        <f t="shared" si="234"/>
        <v>0</v>
      </c>
    </row>
    <row r="2993" spans="1:12" ht="15" customHeight="1" x14ac:dyDescent="0.3">
      <c r="A2993" s="23" t="s">
        <v>15992</v>
      </c>
      <c r="B2993" s="23" t="s">
        <v>77</v>
      </c>
      <c r="C2993" s="39">
        <v>499</v>
      </c>
      <c r="D2993" s="24">
        <v>9.48</v>
      </c>
      <c r="E2993" s="24">
        <v>1.71</v>
      </c>
      <c r="F2993" s="23">
        <f>COUNTIFS(mdr_rate_cleaned!$A$2:$A$10,B2993,mdr_rate_cleaned!$B$2:$B$10,"&lt;"&amp;C2993,mdr_rate_cleaned!$F$2:$F$10,"&gt;="&amp;C2993)</f>
        <v>1</v>
      </c>
      <c r="G2993" s="40">
        <f>SUMIFS(mdr_rate_cleaned!$G$2:$G$10,mdr_rate_cleaned!$A$2:$A$10,B2993,mdr_rate_cleaned!$B$2:$B$10,"&lt;"&amp;C2993,mdr_rate_cleaned!$F$2:$F$10,"&gt;="&amp;C2993)</f>
        <v>1.9E-2</v>
      </c>
      <c r="H2993" s="24">
        <f t="shared" si="230"/>
        <v>9.48</v>
      </c>
      <c r="I2993" s="23" t="str">
        <f t="shared" si="231"/>
        <v>Match</v>
      </c>
      <c r="J2993" s="23" t="str">
        <f t="shared" si="232"/>
        <v>Match</v>
      </c>
      <c r="K2993" s="24">
        <f t="shared" si="233"/>
        <v>1.71</v>
      </c>
      <c r="L2993" s="24">
        <f t="shared" si="234"/>
        <v>0</v>
      </c>
    </row>
    <row r="2994" spans="1:12" ht="15" customHeight="1" x14ac:dyDescent="0.3">
      <c r="A2994" s="23" t="s">
        <v>15993</v>
      </c>
      <c r="B2994" s="23" t="s">
        <v>77</v>
      </c>
      <c r="C2994" s="39">
        <v>499</v>
      </c>
      <c r="D2994" s="24">
        <v>9.48</v>
      </c>
      <c r="E2994" s="24">
        <v>1.71</v>
      </c>
      <c r="F2994" s="23">
        <f>COUNTIFS(mdr_rate_cleaned!$A$2:$A$10,B2994,mdr_rate_cleaned!$B$2:$B$10,"&lt;"&amp;C2994,mdr_rate_cleaned!$F$2:$F$10,"&gt;="&amp;C2994)</f>
        <v>1</v>
      </c>
      <c r="G2994" s="40">
        <f>SUMIFS(mdr_rate_cleaned!$G$2:$G$10,mdr_rate_cleaned!$A$2:$A$10,B2994,mdr_rate_cleaned!$B$2:$B$10,"&lt;"&amp;C2994,mdr_rate_cleaned!$F$2:$F$10,"&gt;="&amp;C2994)</f>
        <v>1.9E-2</v>
      </c>
      <c r="H2994" s="24">
        <f t="shared" si="230"/>
        <v>9.48</v>
      </c>
      <c r="I2994" s="23" t="str">
        <f t="shared" si="231"/>
        <v>Match</v>
      </c>
      <c r="J2994" s="23" t="str">
        <f t="shared" si="232"/>
        <v>Match</v>
      </c>
      <c r="K2994" s="24">
        <f t="shared" si="233"/>
        <v>1.71</v>
      </c>
      <c r="L2994" s="24">
        <f t="shared" si="234"/>
        <v>0</v>
      </c>
    </row>
    <row r="2995" spans="1:12" ht="15" customHeight="1" x14ac:dyDescent="0.3">
      <c r="A2995" s="23" t="s">
        <v>15994</v>
      </c>
      <c r="B2995" s="23" t="s">
        <v>75</v>
      </c>
      <c r="C2995" s="39">
        <v>698</v>
      </c>
      <c r="D2995" s="24">
        <v>0</v>
      </c>
      <c r="E2995" s="24">
        <v>0</v>
      </c>
      <c r="F2995" s="23">
        <f>COUNTIFS(mdr_rate_cleaned!$A$2:$A$10,B2995,mdr_rate_cleaned!$B$2:$B$10,"&lt;"&amp;C2995,mdr_rate_cleaned!$F$2:$F$10,"&gt;="&amp;C2995)</f>
        <v>1</v>
      </c>
      <c r="G2995" s="40">
        <f>SUMIFS(mdr_rate_cleaned!$G$2:$G$10,mdr_rate_cleaned!$A$2:$A$10,B2995,mdr_rate_cleaned!$B$2:$B$10,"&lt;"&amp;C2995,mdr_rate_cleaned!$F$2:$F$10,"&gt;="&amp;C2995)</f>
        <v>0</v>
      </c>
      <c r="H2995" s="24">
        <f t="shared" si="230"/>
        <v>0</v>
      </c>
      <c r="I2995" s="23" t="str">
        <f t="shared" si="231"/>
        <v>Match</v>
      </c>
      <c r="J2995" s="23" t="str">
        <f t="shared" si="232"/>
        <v>Match</v>
      </c>
      <c r="K2995" s="24">
        <f t="shared" si="233"/>
        <v>0</v>
      </c>
      <c r="L2995" s="24">
        <f t="shared" si="234"/>
        <v>0</v>
      </c>
    </row>
    <row r="2996" spans="1:12" ht="15" customHeight="1" x14ac:dyDescent="0.3">
      <c r="A2996" s="23" t="s">
        <v>15995</v>
      </c>
      <c r="B2996" s="23" t="s">
        <v>81</v>
      </c>
      <c r="C2996" s="39">
        <v>7999</v>
      </c>
      <c r="D2996" s="24">
        <v>95.99</v>
      </c>
      <c r="E2996" s="24">
        <v>17.28</v>
      </c>
      <c r="F2996" s="23">
        <f>COUNTIFS(mdr_rate_cleaned!$A$2:$A$10,B2996,mdr_rate_cleaned!$B$2:$B$10,"&lt;"&amp;C2996,mdr_rate_cleaned!$F$2:$F$10,"&gt;="&amp;C2996)</f>
        <v>1</v>
      </c>
      <c r="G2996" s="40">
        <f>SUMIFS(mdr_rate_cleaned!$G$2:$G$10,mdr_rate_cleaned!$A$2:$A$10,B2996,mdr_rate_cleaned!$B$2:$B$10,"&lt;"&amp;C2996,mdr_rate_cleaned!$F$2:$F$10,"&gt;="&amp;C2996)</f>
        <v>1.2E-2</v>
      </c>
      <c r="H2996" s="24">
        <f t="shared" si="230"/>
        <v>95.99</v>
      </c>
      <c r="I2996" s="23" t="str">
        <f t="shared" si="231"/>
        <v>Match</v>
      </c>
      <c r="J2996" s="23" t="str">
        <f t="shared" si="232"/>
        <v>Match</v>
      </c>
      <c r="K2996" s="24">
        <f t="shared" si="233"/>
        <v>17.28</v>
      </c>
      <c r="L2996" s="24">
        <f t="shared" si="234"/>
        <v>0</v>
      </c>
    </row>
    <row r="2997" spans="1:12" ht="15" customHeight="1" x14ac:dyDescent="0.3">
      <c r="A2997" s="23" t="s">
        <v>15996</v>
      </c>
      <c r="B2997" s="23" t="s">
        <v>81</v>
      </c>
      <c r="C2997" s="39">
        <v>4798</v>
      </c>
      <c r="D2997" s="24">
        <v>57.58</v>
      </c>
      <c r="E2997" s="24">
        <v>10.36</v>
      </c>
      <c r="F2997" s="23">
        <f>COUNTIFS(mdr_rate_cleaned!$A$2:$A$10,B2997,mdr_rate_cleaned!$B$2:$B$10,"&lt;"&amp;C2997,mdr_rate_cleaned!$F$2:$F$10,"&gt;="&amp;C2997)</f>
        <v>1</v>
      </c>
      <c r="G2997" s="40">
        <f>SUMIFS(mdr_rate_cleaned!$G$2:$G$10,mdr_rate_cleaned!$A$2:$A$10,B2997,mdr_rate_cleaned!$B$2:$B$10,"&lt;"&amp;C2997,mdr_rate_cleaned!$F$2:$F$10,"&gt;="&amp;C2997)</f>
        <v>1.2E-2</v>
      </c>
      <c r="H2997" s="24">
        <f t="shared" si="230"/>
        <v>57.58</v>
      </c>
      <c r="I2997" s="23" t="str">
        <f t="shared" si="231"/>
        <v>Match</v>
      </c>
      <c r="J2997" s="23" t="str">
        <f t="shared" si="232"/>
        <v>Match</v>
      </c>
      <c r="K2997" s="24">
        <f t="shared" si="233"/>
        <v>10.36</v>
      </c>
      <c r="L2997" s="24">
        <f t="shared" si="234"/>
        <v>0</v>
      </c>
    </row>
    <row r="2998" spans="1:12" ht="15" customHeight="1" x14ac:dyDescent="0.3">
      <c r="A2998" s="23" t="s">
        <v>15997</v>
      </c>
      <c r="B2998" s="23" t="s">
        <v>79</v>
      </c>
      <c r="C2998" s="39">
        <v>4497</v>
      </c>
      <c r="D2998" s="24">
        <v>71.95</v>
      </c>
      <c r="E2998" s="24">
        <v>12.95</v>
      </c>
      <c r="F2998" s="23">
        <f>COUNTIFS(mdr_rate_cleaned!$A$2:$A$10,B2998,mdr_rate_cleaned!$B$2:$B$10,"&lt;"&amp;C2998,mdr_rate_cleaned!$F$2:$F$10,"&gt;="&amp;C2998)</f>
        <v>1</v>
      </c>
      <c r="G2998" s="40">
        <f>SUMIFS(mdr_rate_cleaned!$G$2:$G$10,mdr_rate_cleaned!$A$2:$A$10,B2998,mdr_rate_cleaned!$B$2:$B$10,"&lt;"&amp;C2998,mdr_rate_cleaned!$F$2:$F$10,"&gt;="&amp;C2998)</f>
        <v>1.6E-2</v>
      </c>
      <c r="H2998" s="24">
        <f t="shared" si="230"/>
        <v>71.95</v>
      </c>
      <c r="I2998" s="23" t="str">
        <f t="shared" si="231"/>
        <v>Match</v>
      </c>
      <c r="J2998" s="23" t="str">
        <f t="shared" si="232"/>
        <v>Match</v>
      </c>
      <c r="K2998" s="24">
        <f t="shared" si="233"/>
        <v>12.95</v>
      </c>
      <c r="L2998" s="24">
        <f t="shared" si="234"/>
        <v>0</v>
      </c>
    </row>
    <row r="2999" spans="1:12" ht="15" customHeight="1" x14ac:dyDescent="0.3">
      <c r="A2999" s="23" t="s">
        <v>15998</v>
      </c>
      <c r="B2999" s="23" t="s">
        <v>75</v>
      </c>
      <c r="C2999" s="39">
        <v>1498</v>
      </c>
      <c r="D2999" s="24">
        <v>0</v>
      </c>
      <c r="E2999" s="24">
        <v>0</v>
      </c>
      <c r="F2999" s="23">
        <f>COUNTIFS(mdr_rate_cleaned!$A$2:$A$10,B2999,mdr_rate_cleaned!$B$2:$B$10,"&lt;"&amp;C2999,mdr_rate_cleaned!$F$2:$F$10,"&gt;="&amp;C2999)</f>
        <v>1</v>
      </c>
      <c r="G2999" s="40">
        <f>SUMIFS(mdr_rate_cleaned!$G$2:$G$10,mdr_rate_cleaned!$A$2:$A$10,B2999,mdr_rate_cleaned!$B$2:$B$10,"&lt;"&amp;C2999,mdr_rate_cleaned!$F$2:$F$10,"&gt;="&amp;C2999)</f>
        <v>0</v>
      </c>
      <c r="H2999" s="24">
        <f t="shared" si="230"/>
        <v>0</v>
      </c>
      <c r="I2999" s="23" t="str">
        <f t="shared" si="231"/>
        <v>Match</v>
      </c>
      <c r="J2999" s="23" t="str">
        <f t="shared" si="232"/>
        <v>Match</v>
      </c>
      <c r="K2999" s="24">
        <f t="shared" si="233"/>
        <v>0</v>
      </c>
      <c r="L2999" s="24">
        <f t="shared" si="234"/>
        <v>0</v>
      </c>
    </row>
    <row r="3000" spans="1:12" ht="15" customHeight="1" x14ac:dyDescent="0.3">
      <c r="A3000" s="23" t="s">
        <v>15999</v>
      </c>
      <c r="B3000" s="23" t="s">
        <v>75</v>
      </c>
      <c r="C3000" s="39">
        <v>1798</v>
      </c>
      <c r="D3000" s="24">
        <v>0</v>
      </c>
      <c r="E3000" s="24">
        <v>0</v>
      </c>
      <c r="F3000" s="23">
        <f>COUNTIFS(mdr_rate_cleaned!$A$2:$A$10,B3000,mdr_rate_cleaned!$B$2:$B$10,"&lt;"&amp;C3000,mdr_rate_cleaned!$F$2:$F$10,"&gt;="&amp;C3000)</f>
        <v>1</v>
      </c>
      <c r="G3000" s="40">
        <f>SUMIFS(mdr_rate_cleaned!$G$2:$G$10,mdr_rate_cleaned!$A$2:$A$10,B3000,mdr_rate_cleaned!$B$2:$B$10,"&lt;"&amp;C3000,mdr_rate_cleaned!$F$2:$F$10,"&gt;="&amp;C3000)</f>
        <v>0</v>
      </c>
      <c r="H3000" s="24">
        <f t="shared" si="230"/>
        <v>0</v>
      </c>
      <c r="I3000" s="23" t="str">
        <f t="shared" si="231"/>
        <v>Match</v>
      </c>
      <c r="J3000" s="23" t="str">
        <f t="shared" si="232"/>
        <v>Match</v>
      </c>
      <c r="K3000" s="24">
        <f t="shared" si="233"/>
        <v>0</v>
      </c>
      <c r="L3000" s="24">
        <f t="shared" si="234"/>
        <v>0</v>
      </c>
    </row>
    <row r="3001" spans="1:12" ht="15" customHeight="1" x14ac:dyDescent="0.3">
      <c r="A3001" s="23" t="s">
        <v>16000</v>
      </c>
      <c r="B3001" s="23" t="s">
        <v>79</v>
      </c>
      <c r="C3001" s="39">
        <v>4997</v>
      </c>
      <c r="D3001" s="24">
        <v>79.95</v>
      </c>
      <c r="E3001" s="24">
        <v>14.39</v>
      </c>
      <c r="F3001" s="23">
        <f>COUNTIFS(mdr_rate_cleaned!$A$2:$A$10,B3001,mdr_rate_cleaned!$B$2:$B$10,"&lt;"&amp;C3001,mdr_rate_cleaned!$F$2:$F$10,"&gt;="&amp;C3001)</f>
        <v>1</v>
      </c>
      <c r="G3001" s="40">
        <f>SUMIFS(mdr_rate_cleaned!$G$2:$G$10,mdr_rate_cleaned!$A$2:$A$10,B3001,mdr_rate_cleaned!$B$2:$B$10,"&lt;"&amp;C3001,mdr_rate_cleaned!$F$2:$F$10,"&gt;="&amp;C3001)</f>
        <v>1.6E-2</v>
      </c>
      <c r="H3001" s="24">
        <f t="shared" si="230"/>
        <v>79.95</v>
      </c>
      <c r="I3001" s="23" t="str">
        <f t="shared" si="231"/>
        <v>Match</v>
      </c>
      <c r="J3001" s="23" t="str">
        <f t="shared" si="232"/>
        <v>Match</v>
      </c>
      <c r="K3001" s="24">
        <f t="shared" si="233"/>
        <v>14.39</v>
      </c>
      <c r="L3001" s="24">
        <f t="shared" si="234"/>
        <v>0</v>
      </c>
    </row>
    <row r="3002" spans="1:12" ht="15" customHeight="1" x14ac:dyDescent="0.3">
      <c r="A3002" s="23" t="s">
        <v>16001</v>
      </c>
      <c r="B3002" s="23" t="s">
        <v>81</v>
      </c>
      <c r="C3002" s="39">
        <v>1499</v>
      </c>
      <c r="D3002" s="24">
        <v>22.49</v>
      </c>
      <c r="E3002" s="24">
        <v>4.05</v>
      </c>
      <c r="F3002" s="23">
        <f>COUNTIFS(mdr_rate_cleaned!$A$2:$A$10,B3002,mdr_rate_cleaned!$B$2:$B$10,"&lt;"&amp;C3002,mdr_rate_cleaned!$F$2:$F$10,"&gt;="&amp;C3002)</f>
        <v>1</v>
      </c>
      <c r="G3002" s="40">
        <f>SUMIFS(mdr_rate_cleaned!$G$2:$G$10,mdr_rate_cleaned!$A$2:$A$10,B3002,mdr_rate_cleaned!$B$2:$B$10,"&lt;"&amp;C3002,mdr_rate_cleaned!$F$2:$F$10,"&gt;="&amp;C3002)</f>
        <v>1.4999999999999999E-2</v>
      </c>
      <c r="H3002" s="24">
        <f t="shared" si="230"/>
        <v>22.49</v>
      </c>
      <c r="I3002" s="23" t="str">
        <f t="shared" si="231"/>
        <v>Match</v>
      </c>
      <c r="J3002" s="23" t="str">
        <f t="shared" si="232"/>
        <v>Match</v>
      </c>
      <c r="K3002" s="24">
        <f t="shared" si="233"/>
        <v>4.05</v>
      </c>
      <c r="L3002" s="24">
        <f t="shared" si="234"/>
        <v>0</v>
      </c>
    </row>
    <row r="3003" spans="1:12" ht="15" customHeight="1" x14ac:dyDescent="0.3">
      <c r="A3003" s="23" t="s">
        <v>16002</v>
      </c>
      <c r="B3003" s="23" t="s">
        <v>75</v>
      </c>
      <c r="C3003" s="39">
        <v>4297</v>
      </c>
      <c r="D3003" s="24">
        <v>12.89</v>
      </c>
      <c r="E3003" s="24">
        <v>2.3199999999999998</v>
      </c>
      <c r="F3003" s="23">
        <f>COUNTIFS(mdr_rate_cleaned!$A$2:$A$10,B3003,mdr_rate_cleaned!$B$2:$B$10,"&lt;"&amp;C3003,mdr_rate_cleaned!$F$2:$F$10,"&gt;="&amp;C3003)</f>
        <v>1</v>
      </c>
      <c r="G3003" s="40">
        <f>SUMIFS(mdr_rate_cleaned!$G$2:$G$10,mdr_rate_cleaned!$A$2:$A$10,B3003,mdr_rate_cleaned!$B$2:$B$10,"&lt;"&amp;C3003,mdr_rate_cleaned!$F$2:$F$10,"&gt;="&amp;C3003)</f>
        <v>3.0000000000000001E-3</v>
      </c>
      <c r="H3003" s="24">
        <f t="shared" si="230"/>
        <v>12.89</v>
      </c>
      <c r="I3003" s="23" t="str">
        <f t="shared" si="231"/>
        <v>Match</v>
      </c>
      <c r="J3003" s="23" t="str">
        <f t="shared" si="232"/>
        <v>Match</v>
      </c>
      <c r="K3003" s="24">
        <f t="shared" si="233"/>
        <v>2.3199999999999998</v>
      </c>
      <c r="L3003" s="24">
        <f t="shared" si="234"/>
        <v>0</v>
      </c>
    </row>
    <row r="3004" spans="1:12" ht="15" customHeight="1" x14ac:dyDescent="0.3">
      <c r="A3004" s="23" t="s">
        <v>16003</v>
      </c>
      <c r="B3004" s="23" t="s">
        <v>75</v>
      </c>
      <c r="C3004" s="39">
        <v>349</v>
      </c>
      <c r="D3004" s="24">
        <v>0</v>
      </c>
      <c r="E3004" s="24">
        <v>0</v>
      </c>
      <c r="F3004" s="23">
        <f>COUNTIFS(mdr_rate_cleaned!$A$2:$A$10,B3004,mdr_rate_cleaned!$B$2:$B$10,"&lt;"&amp;C3004,mdr_rate_cleaned!$F$2:$F$10,"&gt;="&amp;C3004)</f>
        <v>1</v>
      </c>
      <c r="G3004" s="40">
        <f>SUMIFS(mdr_rate_cleaned!$G$2:$G$10,mdr_rate_cleaned!$A$2:$A$10,B3004,mdr_rate_cleaned!$B$2:$B$10,"&lt;"&amp;C3004,mdr_rate_cleaned!$F$2:$F$10,"&gt;="&amp;C3004)</f>
        <v>0</v>
      </c>
      <c r="H3004" s="24">
        <f t="shared" si="230"/>
        <v>0</v>
      </c>
      <c r="I3004" s="23" t="str">
        <f t="shared" si="231"/>
        <v>Match</v>
      </c>
      <c r="J3004" s="23" t="str">
        <f t="shared" si="232"/>
        <v>Match</v>
      </c>
      <c r="K3004" s="24">
        <f t="shared" si="233"/>
        <v>0</v>
      </c>
      <c r="L3004" s="24">
        <f t="shared" si="234"/>
        <v>0</v>
      </c>
    </row>
    <row r="3005" spans="1:12" ht="15" customHeight="1" x14ac:dyDescent="0.3">
      <c r="A3005" s="23" t="s">
        <v>16004</v>
      </c>
      <c r="B3005" s="23" t="s">
        <v>77</v>
      </c>
      <c r="C3005" s="39">
        <v>3947</v>
      </c>
      <c r="D3005" s="24">
        <v>67.099999999999994</v>
      </c>
      <c r="E3005" s="24">
        <v>12.08</v>
      </c>
      <c r="F3005" s="23">
        <f>COUNTIFS(mdr_rate_cleaned!$A$2:$A$10,B3005,mdr_rate_cleaned!$B$2:$B$10,"&lt;"&amp;C3005,mdr_rate_cleaned!$F$2:$F$10,"&gt;="&amp;C3005)</f>
        <v>1</v>
      </c>
      <c r="G3005" s="40">
        <f>SUMIFS(mdr_rate_cleaned!$G$2:$G$10,mdr_rate_cleaned!$A$2:$A$10,B3005,mdr_rate_cleaned!$B$2:$B$10,"&lt;"&amp;C3005,mdr_rate_cleaned!$F$2:$F$10,"&gt;="&amp;C3005)</f>
        <v>1.7000000000000001E-2</v>
      </c>
      <c r="H3005" s="24">
        <f t="shared" si="230"/>
        <v>67.099999999999994</v>
      </c>
      <c r="I3005" s="23" t="str">
        <f t="shared" si="231"/>
        <v>Match</v>
      </c>
      <c r="J3005" s="23" t="str">
        <f t="shared" si="232"/>
        <v>Match</v>
      </c>
      <c r="K3005" s="24">
        <f t="shared" si="233"/>
        <v>12.08</v>
      </c>
      <c r="L3005" s="24">
        <f t="shared" si="234"/>
        <v>0</v>
      </c>
    </row>
    <row r="3006" spans="1:12" ht="15" customHeight="1" x14ac:dyDescent="0.3">
      <c r="A3006" s="23" t="s">
        <v>16005</v>
      </c>
      <c r="B3006" s="23" t="s">
        <v>75</v>
      </c>
      <c r="C3006" s="39">
        <v>4999</v>
      </c>
      <c r="D3006" s="24">
        <v>15</v>
      </c>
      <c r="E3006" s="24">
        <v>2.7</v>
      </c>
      <c r="F3006" s="23">
        <f>COUNTIFS(mdr_rate_cleaned!$A$2:$A$10,B3006,mdr_rate_cleaned!$B$2:$B$10,"&lt;"&amp;C3006,mdr_rate_cleaned!$F$2:$F$10,"&gt;="&amp;C3006)</f>
        <v>1</v>
      </c>
      <c r="G3006" s="40">
        <f>SUMIFS(mdr_rate_cleaned!$G$2:$G$10,mdr_rate_cleaned!$A$2:$A$10,B3006,mdr_rate_cleaned!$B$2:$B$10,"&lt;"&amp;C3006,mdr_rate_cleaned!$F$2:$F$10,"&gt;="&amp;C3006)</f>
        <v>3.0000000000000001E-3</v>
      </c>
      <c r="H3006" s="24">
        <f t="shared" si="230"/>
        <v>15</v>
      </c>
      <c r="I3006" s="23" t="str">
        <f t="shared" si="231"/>
        <v>Match</v>
      </c>
      <c r="J3006" s="23" t="str">
        <f t="shared" si="232"/>
        <v>Match</v>
      </c>
      <c r="K3006" s="24">
        <f t="shared" si="233"/>
        <v>2.7</v>
      </c>
      <c r="L3006" s="24">
        <f t="shared" si="234"/>
        <v>0</v>
      </c>
    </row>
    <row r="3007" spans="1:12" ht="15" customHeight="1" x14ac:dyDescent="0.3">
      <c r="A3007" s="23" t="s">
        <v>16006</v>
      </c>
      <c r="B3007" s="23" t="s">
        <v>75</v>
      </c>
      <c r="C3007" s="39">
        <v>3348</v>
      </c>
      <c r="D3007" s="24">
        <v>10.039999999999999</v>
      </c>
      <c r="E3007" s="24">
        <v>1.81</v>
      </c>
      <c r="F3007" s="23">
        <f>COUNTIFS(mdr_rate_cleaned!$A$2:$A$10,B3007,mdr_rate_cleaned!$B$2:$B$10,"&lt;"&amp;C3007,mdr_rate_cleaned!$F$2:$F$10,"&gt;="&amp;C3007)</f>
        <v>1</v>
      </c>
      <c r="G3007" s="40">
        <f>SUMIFS(mdr_rate_cleaned!$G$2:$G$10,mdr_rate_cleaned!$A$2:$A$10,B3007,mdr_rate_cleaned!$B$2:$B$10,"&lt;"&amp;C3007,mdr_rate_cleaned!$F$2:$F$10,"&gt;="&amp;C3007)</f>
        <v>3.0000000000000001E-3</v>
      </c>
      <c r="H3007" s="24">
        <f t="shared" si="230"/>
        <v>10.039999999999999</v>
      </c>
      <c r="I3007" s="23" t="str">
        <f t="shared" si="231"/>
        <v>Match</v>
      </c>
      <c r="J3007" s="23" t="str">
        <f t="shared" si="232"/>
        <v>Match</v>
      </c>
      <c r="K3007" s="24">
        <f t="shared" si="233"/>
        <v>1.81</v>
      </c>
      <c r="L3007" s="24">
        <f t="shared" si="234"/>
        <v>0</v>
      </c>
    </row>
    <row r="3008" spans="1:12" ht="15" customHeight="1" x14ac:dyDescent="0.3">
      <c r="A3008" s="23" t="s">
        <v>16007</v>
      </c>
      <c r="B3008" s="23" t="s">
        <v>77</v>
      </c>
      <c r="C3008" s="39">
        <v>7497</v>
      </c>
      <c r="D3008" s="24">
        <v>179.93</v>
      </c>
      <c r="E3008" s="24">
        <v>32.39</v>
      </c>
      <c r="F3008" s="23">
        <f>COUNTIFS(mdr_rate_cleaned!$A$2:$A$10,B3008,mdr_rate_cleaned!$B$2:$B$10,"&lt;"&amp;C3008,mdr_rate_cleaned!$F$2:$F$10,"&gt;="&amp;C3008)</f>
        <v>1</v>
      </c>
      <c r="G3008" s="40">
        <f>SUMIFS(mdr_rate_cleaned!$G$2:$G$10,mdr_rate_cleaned!$A$2:$A$10,B3008,mdr_rate_cleaned!$B$2:$B$10,"&lt;"&amp;C3008,mdr_rate_cleaned!$F$2:$F$10,"&gt;="&amp;C3008)</f>
        <v>1.7000000000000001E-2</v>
      </c>
      <c r="H3008" s="24">
        <f t="shared" si="230"/>
        <v>127.45</v>
      </c>
      <c r="I3008" s="23" t="str">
        <f t="shared" si="231"/>
        <v>Differs</v>
      </c>
      <c r="J3008" s="23" t="str">
        <f t="shared" si="232"/>
        <v>Match</v>
      </c>
      <c r="K3008" s="24">
        <f t="shared" si="233"/>
        <v>22.94</v>
      </c>
      <c r="L3008" s="24">
        <f t="shared" si="234"/>
        <v>61.93</v>
      </c>
    </row>
    <row r="3009" spans="1:12" ht="15" customHeight="1" x14ac:dyDescent="0.3">
      <c r="A3009" s="23" t="s">
        <v>16008</v>
      </c>
      <c r="B3009" s="23" t="s">
        <v>79</v>
      </c>
      <c r="C3009" s="39">
        <v>599</v>
      </c>
      <c r="D3009" s="24">
        <v>10.78</v>
      </c>
      <c r="E3009" s="24">
        <v>1.94</v>
      </c>
      <c r="F3009" s="23">
        <f>COUNTIFS(mdr_rate_cleaned!$A$2:$A$10,B3009,mdr_rate_cleaned!$B$2:$B$10,"&lt;"&amp;C3009,mdr_rate_cleaned!$F$2:$F$10,"&gt;="&amp;C3009)</f>
        <v>1</v>
      </c>
      <c r="G3009" s="40">
        <f>SUMIFS(mdr_rate_cleaned!$G$2:$G$10,mdr_rate_cleaned!$A$2:$A$10,B3009,mdr_rate_cleaned!$B$2:$B$10,"&lt;"&amp;C3009,mdr_rate_cleaned!$F$2:$F$10,"&gt;="&amp;C3009)</f>
        <v>1.8000000000000002E-2</v>
      </c>
      <c r="H3009" s="24">
        <f t="shared" si="230"/>
        <v>10.78</v>
      </c>
      <c r="I3009" s="23" t="str">
        <f t="shared" si="231"/>
        <v>Match</v>
      </c>
      <c r="J3009" s="23" t="str">
        <f t="shared" si="232"/>
        <v>Match</v>
      </c>
      <c r="K3009" s="24">
        <f t="shared" si="233"/>
        <v>1.94</v>
      </c>
      <c r="L3009" s="24">
        <f t="shared" si="234"/>
        <v>0</v>
      </c>
    </row>
    <row r="3010" spans="1:12" ht="15" customHeight="1" x14ac:dyDescent="0.3">
      <c r="A3010" s="23" t="s">
        <v>16009</v>
      </c>
      <c r="B3010" s="23" t="s">
        <v>75</v>
      </c>
      <c r="C3010" s="39">
        <v>2499</v>
      </c>
      <c r="D3010" s="24">
        <v>7.5</v>
      </c>
      <c r="E3010" s="24">
        <v>1.35</v>
      </c>
      <c r="F3010" s="23">
        <f>COUNTIFS(mdr_rate_cleaned!$A$2:$A$10,B3010,mdr_rate_cleaned!$B$2:$B$10,"&lt;"&amp;C3010,mdr_rate_cleaned!$F$2:$F$10,"&gt;="&amp;C3010)</f>
        <v>1</v>
      </c>
      <c r="G3010" s="40">
        <f>SUMIFS(mdr_rate_cleaned!$G$2:$G$10,mdr_rate_cleaned!$A$2:$A$10,B3010,mdr_rate_cleaned!$B$2:$B$10,"&lt;"&amp;C3010,mdr_rate_cleaned!$F$2:$F$10,"&gt;="&amp;C3010)</f>
        <v>3.0000000000000001E-3</v>
      </c>
      <c r="H3010" s="24">
        <f t="shared" ref="H3010:H3073" si="235">ROUND(C3010*G3010,2)</f>
        <v>7.5</v>
      </c>
      <c r="I3010" s="23" t="str">
        <f t="shared" ref="I3010:I3073" si="236">IF(ROUND(D3010-H3010,2)=0,"Match","Differs")</f>
        <v>Match</v>
      </c>
      <c r="J3010" s="23" t="str">
        <f t="shared" ref="J3010:J3073" si="237">IF(ROUND(E3010-ROUND(D3010*0.18,2),2)=0,"Match","Differs")</f>
        <v>Match</v>
      </c>
      <c r="K3010" s="24">
        <f t="shared" ref="K3010:K3073" si="238">ROUND(H3010*0.18,2)</f>
        <v>1.35</v>
      </c>
      <c r="L3010" s="24">
        <f t="shared" ref="L3010:L3073" si="239">ROUND(D3010+E3010-H3010-K3010,2)</f>
        <v>0</v>
      </c>
    </row>
    <row r="3011" spans="1:12" ht="15" customHeight="1" x14ac:dyDescent="0.3">
      <c r="A3011" s="23" t="s">
        <v>16011</v>
      </c>
      <c r="B3011" s="23" t="s">
        <v>75</v>
      </c>
      <c r="C3011" s="39">
        <v>5897</v>
      </c>
      <c r="D3011" s="24">
        <v>17.690000000000001</v>
      </c>
      <c r="E3011" s="24">
        <v>3.18</v>
      </c>
      <c r="F3011" s="23">
        <f>COUNTIFS(mdr_rate_cleaned!$A$2:$A$10,B3011,mdr_rate_cleaned!$B$2:$B$10,"&lt;"&amp;C3011,mdr_rate_cleaned!$F$2:$F$10,"&gt;="&amp;C3011)</f>
        <v>1</v>
      </c>
      <c r="G3011" s="40">
        <f>SUMIFS(mdr_rate_cleaned!$G$2:$G$10,mdr_rate_cleaned!$A$2:$A$10,B3011,mdr_rate_cleaned!$B$2:$B$10,"&lt;"&amp;C3011,mdr_rate_cleaned!$F$2:$F$10,"&gt;="&amp;C3011)</f>
        <v>3.0000000000000001E-3</v>
      </c>
      <c r="H3011" s="24">
        <f t="shared" si="235"/>
        <v>17.690000000000001</v>
      </c>
      <c r="I3011" s="23" t="str">
        <f t="shared" si="236"/>
        <v>Match</v>
      </c>
      <c r="J3011" s="23" t="str">
        <f t="shared" si="237"/>
        <v>Match</v>
      </c>
      <c r="K3011" s="24">
        <f t="shared" si="238"/>
        <v>3.18</v>
      </c>
      <c r="L3011" s="24">
        <f t="shared" si="239"/>
        <v>0</v>
      </c>
    </row>
    <row r="3012" spans="1:12" ht="15" customHeight="1" x14ac:dyDescent="0.3">
      <c r="A3012" s="23" t="s">
        <v>16013</v>
      </c>
      <c r="B3012" s="23" t="s">
        <v>75</v>
      </c>
      <c r="C3012" s="39">
        <v>6097</v>
      </c>
      <c r="D3012" s="24">
        <v>18.29</v>
      </c>
      <c r="E3012" s="24">
        <v>3.29</v>
      </c>
      <c r="F3012" s="23">
        <f>COUNTIFS(mdr_rate_cleaned!$A$2:$A$10,B3012,mdr_rate_cleaned!$B$2:$B$10,"&lt;"&amp;C3012,mdr_rate_cleaned!$F$2:$F$10,"&gt;="&amp;C3012)</f>
        <v>1</v>
      </c>
      <c r="G3012" s="40">
        <f>SUMIFS(mdr_rate_cleaned!$G$2:$G$10,mdr_rate_cleaned!$A$2:$A$10,B3012,mdr_rate_cleaned!$B$2:$B$10,"&lt;"&amp;C3012,mdr_rate_cleaned!$F$2:$F$10,"&gt;="&amp;C3012)</f>
        <v>3.0000000000000001E-3</v>
      </c>
      <c r="H3012" s="24">
        <f t="shared" si="235"/>
        <v>18.29</v>
      </c>
      <c r="I3012" s="23" t="str">
        <f t="shared" si="236"/>
        <v>Match</v>
      </c>
      <c r="J3012" s="23" t="str">
        <f t="shared" si="237"/>
        <v>Match</v>
      </c>
      <c r="K3012" s="24">
        <f t="shared" si="238"/>
        <v>3.29</v>
      </c>
      <c r="L3012" s="24">
        <f t="shared" si="239"/>
        <v>0</v>
      </c>
    </row>
    <row r="3013" spans="1:12" ht="15" customHeight="1" x14ac:dyDescent="0.3">
      <c r="A3013" s="23" t="s">
        <v>16014</v>
      </c>
      <c r="B3013" s="23" t="s">
        <v>79</v>
      </c>
      <c r="C3013" s="39">
        <v>1798</v>
      </c>
      <c r="D3013" s="24">
        <v>32.36</v>
      </c>
      <c r="E3013" s="24">
        <v>5.82</v>
      </c>
      <c r="F3013" s="23">
        <f>COUNTIFS(mdr_rate_cleaned!$A$2:$A$10,B3013,mdr_rate_cleaned!$B$2:$B$10,"&lt;"&amp;C3013,mdr_rate_cleaned!$F$2:$F$10,"&gt;="&amp;C3013)</f>
        <v>1</v>
      </c>
      <c r="G3013" s="40">
        <f>SUMIFS(mdr_rate_cleaned!$G$2:$G$10,mdr_rate_cleaned!$A$2:$A$10,B3013,mdr_rate_cleaned!$B$2:$B$10,"&lt;"&amp;C3013,mdr_rate_cleaned!$F$2:$F$10,"&gt;="&amp;C3013)</f>
        <v>1.8000000000000002E-2</v>
      </c>
      <c r="H3013" s="24">
        <f t="shared" si="235"/>
        <v>32.36</v>
      </c>
      <c r="I3013" s="23" t="str">
        <f t="shared" si="236"/>
        <v>Match</v>
      </c>
      <c r="J3013" s="23" t="str">
        <f t="shared" si="237"/>
        <v>Match</v>
      </c>
      <c r="K3013" s="24">
        <f t="shared" si="238"/>
        <v>5.82</v>
      </c>
      <c r="L3013" s="24">
        <f t="shared" si="239"/>
        <v>0</v>
      </c>
    </row>
    <row r="3014" spans="1:12" ht="15" customHeight="1" x14ac:dyDescent="0.3">
      <c r="A3014" s="23" t="s">
        <v>16015</v>
      </c>
      <c r="B3014" s="23" t="s">
        <v>79</v>
      </c>
      <c r="C3014" s="39">
        <v>799</v>
      </c>
      <c r="D3014" s="24">
        <v>14.38</v>
      </c>
      <c r="E3014" s="24">
        <v>2.59</v>
      </c>
      <c r="F3014" s="23">
        <f>COUNTIFS(mdr_rate_cleaned!$A$2:$A$10,B3014,mdr_rate_cleaned!$B$2:$B$10,"&lt;"&amp;C3014,mdr_rate_cleaned!$F$2:$F$10,"&gt;="&amp;C3014)</f>
        <v>1</v>
      </c>
      <c r="G3014" s="40">
        <f>SUMIFS(mdr_rate_cleaned!$G$2:$G$10,mdr_rate_cleaned!$A$2:$A$10,B3014,mdr_rate_cleaned!$B$2:$B$10,"&lt;"&amp;C3014,mdr_rate_cleaned!$F$2:$F$10,"&gt;="&amp;C3014)</f>
        <v>1.8000000000000002E-2</v>
      </c>
      <c r="H3014" s="24">
        <f t="shared" si="235"/>
        <v>14.38</v>
      </c>
      <c r="I3014" s="23" t="str">
        <f t="shared" si="236"/>
        <v>Match</v>
      </c>
      <c r="J3014" s="23" t="str">
        <f t="shared" si="237"/>
        <v>Match</v>
      </c>
      <c r="K3014" s="24">
        <f t="shared" si="238"/>
        <v>2.59</v>
      </c>
      <c r="L3014" s="24">
        <f t="shared" si="239"/>
        <v>0</v>
      </c>
    </row>
    <row r="3015" spans="1:12" ht="15" customHeight="1" x14ac:dyDescent="0.3">
      <c r="A3015" s="23" t="s">
        <v>16016</v>
      </c>
      <c r="B3015" s="23" t="s">
        <v>75</v>
      </c>
      <c r="C3015" s="39">
        <v>3098</v>
      </c>
      <c r="D3015" s="24">
        <v>9.2899999999999991</v>
      </c>
      <c r="E3015" s="24">
        <v>1.67</v>
      </c>
      <c r="F3015" s="23">
        <f>COUNTIFS(mdr_rate_cleaned!$A$2:$A$10,B3015,mdr_rate_cleaned!$B$2:$B$10,"&lt;"&amp;C3015,mdr_rate_cleaned!$F$2:$F$10,"&gt;="&amp;C3015)</f>
        <v>1</v>
      </c>
      <c r="G3015" s="40">
        <f>SUMIFS(mdr_rate_cleaned!$G$2:$G$10,mdr_rate_cleaned!$A$2:$A$10,B3015,mdr_rate_cleaned!$B$2:$B$10,"&lt;"&amp;C3015,mdr_rate_cleaned!$F$2:$F$10,"&gt;="&amp;C3015)</f>
        <v>3.0000000000000001E-3</v>
      </c>
      <c r="H3015" s="24">
        <f t="shared" si="235"/>
        <v>9.2899999999999991</v>
      </c>
      <c r="I3015" s="23" t="str">
        <f t="shared" si="236"/>
        <v>Match</v>
      </c>
      <c r="J3015" s="23" t="str">
        <f t="shared" si="237"/>
        <v>Match</v>
      </c>
      <c r="K3015" s="24">
        <f t="shared" si="238"/>
        <v>1.67</v>
      </c>
      <c r="L3015" s="24">
        <f t="shared" si="239"/>
        <v>0</v>
      </c>
    </row>
    <row r="3016" spans="1:12" ht="15" customHeight="1" x14ac:dyDescent="0.3">
      <c r="A3016" s="23" t="s">
        <v>16018</v>
      </c>
      <c r="B3016" s="23" t="s">
        <v>75</v>
      </c>
      <c r="C3016" s="39">
        <v>6498</v>
      </c>
      <c r="D3016" s="24">
        <v>19.489999999999998</v>
      </c>
      <c r="E3016" s="24">
        <v>3.51</v>
      </c>
      <c r="F3016" s="23">
        <f>COUNTIFS(mdr_rate_cleaned!$A$2:$A$10,B3016,mdr_rate_cleaned!$B$2:$B$10,"&lt;"&amp;C3016,mdr_rate_cleaned!$F$2:$F$10,"&gt;="&amp;C3016)</f>
        <v>1</v>
      </c>
      <c r="G3016" s="40">
        <f>SUMIFS(mdr_rate_cleaned!$G$2:$G$10,mdr_rate_cleaned!$A$2:$A$10,B3016,mdr_rate_cleaned!$B$2:$B$10,"&lt;"&amp;C3016,mdr_rate_cleaned!$F$2:$F$10,"&gt;="&amp;C3016)</f>
        <v>3.0000000000000001E-3</v>
      </c>
      <c r="H3016" s="24">
        <f t="shared" si="235"/>
        <v>19.489999999999998</v>
      </c>
      <c r="I3016" s="23" t="str">
        <f t="shared" si="236"/>
        <v>Match</v>
      </c>
      <c r="J3016" s="23" t="str">
        <f t="shared" si="237"/>
        <v>Match</v>
      </c>
      <c r="K3016" s="24">
        <f t="shared" si="238"/>
        <v>3.51</v>
      </c>
      <c r="L3016" s="24">
        <f t="shared" si="239"/>
        <v>0</v>
      </c>
    </row>
    <row r="3017" spans="1:12" ht="15" customHeight="1" x14ac:dyDescent="0.3">
      <c r="A3017" s="23" t="s">
        <v>16020</v>
      </c>
      <c r="B3017" s="23" t="s">
        <v>75</v>
      </c>
      <c r="C3017" s="39">
        <v>9797</v>
      </c>
      <c r="D3017" s="24">
        <v>29.39</v>
      </c>
      <c r="E3017" s="24">
        <v>5.29</v>
      </c>
      <c r="F3017" s="23">
        <f>COUNTIFS(mdr_rate_cleaned!$A$2:$A$10,B3017,mdr_rate_cleaned!$B$2:$B$10,"&lt;"&amp;C3017,mdr_rate_cleaned!$F$2:$F$10,"&gt;="&amp;C3017)</f>
        <v>1</v>
      </c>
      <c r="G3017" s="40">
        <f>SUMIFS(mdr_rate_cleaned!$G$2:$G$10,mdr_rate_cleaned!$A$2:$A$10,B3017,mdr_rate_cleaned!$B$2:$B$10,"&lt;"&amp;C3017,mdr_rate_cleaned!$F$2:$F$10,"&gt;="&amp;C3017)</f>
        <v>3.0000000000000001E-3</v>
      </c>
      <c r="H3017" s="24">
        <f t="shared" si="235"/>
        <v>29.39</v>
      </c>
      <c r="I3017" s="23" t="str">
        <f t="shared" si="236"/>
        <v>Match</v>
      </c>
      <c r="J3017" s="23" t="str">
        <f t="shared" si="237"/>
        <v>Match</v>
      </c>
      <c r="K3017" s="24">
        <f t="shared" si="238"/>
        <v>5.29</v>
      </c>
      <c r="L3017" s="24">
        <f t="shared" si="239"/>
        <v>0</v>
      </c>
    </row>
    <row r="3018" spans="1:12" ht="15" customHeight="1" x14ac:dyDescent="0.3">
      <c r="A3018" s="23" t="s">
        <v>16021</v>
      </c>
      <c r="B3018" s="23" t="s">
        <v>79</v>
      </c>
      <c r="C3018" s="39">
        <v>2499</v>
      </c>
      <c r="D3018" s="24">
        <v>39.979999999999997</v>
      </c>
      <c r="E3018" s="24">
        <v>7.2</v>
      </c>
      <c r="F3018" s="23">
        <f>COUNTIFS(mdr_rate_cleaned!$A$2:$A$10,B3018,mdr_rate_cleaned!$B$2:$B$10,"&lt;"&amp;C3018,mdr_rate_cleaned!$F$2:$F$10,"&gt;="&amp;C3018)</f>
        <v>1</v>
      </c>
      <c r="G3018" s="40">
        <f>SUMIFS(mdr_rate_cleaned!$G$2:$G$10,mdr_rate_cleaned!$A$2:$A$10,B3018,mdr_rate_cleaned!$B$2:$B$10,"&lt;"&amp;C3018,mdr_rate_cleaned!$F$2:$F$10,"&gt;="&amp;C3018)</f>
        <v>1.6E-2</v>
      </c>
      <c r="H3018" s="24">
        <f t="shared" si="235"/>
        <v>39.979999999999997</v>
      </c>
      <c r="I3018" s="23" t="str">
        <f t="shared" si="236"/>
        <v>Match</v>
      </c>
      <c r="J3018" s="23" t="str">
        <f t="shared" si="237"/>
        <v>Match</v>
      </c>
      <c r="K3018" s="24">
        <f t="shared" si="238"/>
        <v>7.2</v>
      </c>
      <c r="L3018" s="24">
        <f t="shared" si="239"/>
        <v>0</v>
      </c>
    </row>
    <row r="3019" spans="1:12" ht="15" customHeight="1" x14ac:dyDescent="0.3">
      <c r="A3019" s="23" t="s">
        <v>16022</v>
      </c>
      <c r="B3019" s="23" t="s">
        <v>79</v>
      </c>
      <c r="C3019" s="39">
        <v>4997</v>
      </c>
      <c r="D3019" s="24">
        <v>79.95</v>
      </c>
      <c r="E3019" s="24">
        <v>14.39</v>
      </c>
      <c r="F3019" s="23">
        <f>COUNTIFS(mdr_rate_cleaned!$A$2:$A$10,B3019,mdr_rate_cleaned!$B$2:$B$10,"&lt;"&amp;C3019,mdr_rate_cleaned!$F$2:$F$10,"&gt;="&amp;C3019)</f>
        <v>1</v>
      </c>
      <c r="G3019" s="40">
        <f>SUMIFS(mdr_rate_cleaned!$G$2:$G$10,mdr_rate_cleaned!$A$2:$A$10,B3019,mdr_rate_cleaned!$B$2:$B$10,"&lt;"&amp;C3019,mdr_rate_cleaned!$F$2:$F$10,"&gt;="&amp;C3019)</f>
        <v>1.6E-2</v>
      </c>
      <c r="H3019" s="24">
        <f t="shared" si="235"/>
        <v>79.95</v>
      </c>
      <c r="I3019" s="23" t="str">
        <f t="shared" si="236"/>
        <v>Match</v>
      </c>
      <c r="J3019" s="23" t="str">
        <f t="shared" si="237"/>
        <v>Match</v>
      </c>
      <c r="K3019" s="24">
        <f t="shared" si="238"/>
        <v>14.39</v>
      </c>
      <c r="L3019" s="24">
        <f t="shared" si="239"/>
        <v>0</v>
      </c>
    </row>
    <row r="3020" spans="1:12" ht="15" customHeight="1" x14ac:dyDescent="0.3">
      <c r="A3020" s="23" t="s">
        <v>16023</v>
      </c>
      <c r="B3020" s="23" t="s">
        <v>75</v>
      </c>
      <c r="C3020" s="39">
        <v>11498</v>
      </c>
      <c r="D3020" s="24">
        <v>34.49</v>
      </c>
      <c r="E3020" s="24">
        <v>6.21</v>
      </c>
      <c r="F3020" s="23">
        <f>COUNTIFS(mdr_rate_cleaned!$A$2:$A$10,B3020,mdr_rate_cleaned!$B$2:$B$10,"&lt;"&amp;C3020,mdr_rate_cleaned!$F$2:$F$10,"&gt;="&amp;C3020)</f>
        <v>1</v>
      </c>
      <c r="G3020" s="40">
        <f>SUMIFS(mdr_rate_cleaned!$G$2:$G$10,mdr_rate_cleaned!$A$2:$A$10,B3020,mdr_rate_cleaned!$B$2:$B$10,"&lt;"&amp;C3020,mdr_rate_cleaned!$F$2:$F$10,"&gt;="&amp;C3020)</f>
        <v>3.0000000000000001E-3</v>
      </c>
      <c r="H3020" s="24">
        <f t="shared" si="235"/>
        <v>34.49</v>
      </c>
      <c r="I3020" s="23" t="str">
        <f t="shared" si="236"/>
        <v>Match</v>
      </c>
      <c r="J3020" s="23" t="str">
        <f t="shared" si="237"/>
        <v>Match</v>
      </c>
      <c r="K3020" s="24">
        <f t="shared" si="238"/>
        <v>6.21</v>
      </c>
      <c r="L3020" s="24">
        <f t="shared" si="239"/>
        <v>0</v>
      </c>
    </row>
    <row r="3021" spans="1:12" ht="15" customHeight="1" x14ac:dyDescent="0.3">
      <c r="A3021" s="23" t="s">
        <v>16024</v>
      </c>
      <c r="B3021" s="23" t="s">
        <v>79</v>
      </c>
      <c r="C3021" s="39">
        <v>12998</v>
      </c>
      <c r="D3021" s="24">
        <v>207.97</v>
      </c>
      <c r="E3021" s="24">
        <v>37.43</v>
      </c>
      <c r="F3021" s="23">
        <f>COUNTIFS(mdr_rate_cleaned!$A$2:$A$10,B3021,mdr_rate_cleaned!$B$2:$B$10,"&lt;"&amp;C3021,mdr_rate_cleaned!$F$2:$F$10,"&gt;="&amp;C3021)</f>
        <v>1</v>
      </c>
      <c r="G3021" s="40">
        <f>SUMIFS(mdr_rate_cleaned!$G$2:$G$10,mdr_rate_cleaned!$A$2:$A$10,B3021,mdr_rate_cleaned!$B$2:$B$10,"&lt;"&amp;C3021,mdr_rate_cleaned!$F$2:$F$10,"&gt;="&amp;C3021)</f>
        <v>1.6E-2</v>
      </c>
      <c r="H3021" s="24">
        <f t="shared" si="235"/>
        <v>207.97</v>
      </c>
      <c r="I3021" s="23" t="str">
        <f t="shared" si="236"/>
        <v>Match</v>
      </c>
      <c r="J3021" s="23" t="str">
        <f t="shared" si="237"/>
        <v>Match</v>
      </c>
      <c r="K3021" s="24">
        <f t="shared" si="238"/>
        <v>37.43</v>
      </c>
      <c r="L3021" s="24">
        <f t="shared" si="239"/>
        <v>0</v>
      </c>
    </row>
    <row r="3022" spans="1:12" ht="15" customHeight="1" x14ac:dyDescent="0.3">
      <c r="A3022" s="23" t="s">
        <v>16025</v>
      </c>
      <c r="B3022" s="23" t="s">
        <v>75</v>
      </c>
      <c r="C3022" s="39">
        <v>1299</v>
      </c>
      <c r="D3022" s="24">
        <v>0</v>
      </c>
      <c r="E3022" s="24">
        <v>0</v>
      </c>
      <c r="F3022" s="23">
        <f>COUNTIFS(mdr_rate_cleaned!$A$2:$A$10,B3022,mdr_rate_cleaned!$B$2:$B$10,"&lt;"&amp;C3022,mdr_rate_cleaned!$F$2:$F$10,"&gt;="&amp;C3022)</f>
        <v>1</v>
      </c>
      <c r="G3022" s="40">
        <f>SUMIFS(mdr_rate_cleaned!$G$2:$G$10,mdr_rate_cleaned!$A$2:$A$10,B3022,mdr_rate_cleaned!$B$2:$B$10,"&lt;"&amp;C3022,mdr_rate_cleaned!$F$2:$F$10,"&gt;="&amp;C3022)</f>
        <v>0</v>
      </c>
      <c r="H3022" s="24">
        <f t="shared" si="235"/>
        <v>0</v>
      </c>
      <c r="I3022" s="23" t="str">
        <f t="shared" si="236"/>
        <v>Match</v>
      </c>
      <c r="J3022" s="23" t="str">
        <f t="shared" si="237"/>
        <v>Match</v>
      </c>
      <c r="K3022" s="24">
        <f t="shared" si="238"/>
        <v>0</v>
      </c>
      <c r="L3022" s="24">
        <f t="shared" si="239"/>
        <v>0</v>
      </c>
    </row>
    <row r="3023" spans="1:12" ht="15" customHeight="1" x14ac:dyDescent="0.3">
      <c r="A3023" s="23" t="s">
        <v>16026</v>
      </c>
      <c r="B3023" s="23" t="s">
        <v>75</v>
      </c>
      <c r="C3023" s="39">
        <v>799</v>
      </c>
      <c r="D3023" s="24">
        <v>0</v>
      </c>
      <c r="E3023" s="24">
        <v>0</v>
      </c>
      <c r="F3023" s="23">
        <f>COUNTIFS(mdr_rate_cleaned!$A$2:$A$10,B3023,mdr_rate_cleaned!$B$2:$B$10,"&lt;"&amp;C3023,mdr_rate_cleaned!$F$2:$F$10,"&gt;="&amp;C3023)</f>
        <v>1</v>
      </c>
      <c r="G3023" s="40">
        <f>SUMIFS(mdr_rate_cleaned!$G$2:$G$10,mdr_rate_cleaned!$A$2:$A$10,B3023,mdr_rate_cleaned!$B$2:$B$10,"&lt;"&amp;C3023,mdr_rate_cleaned!$F$2:$F$10,"&gt;="&amp;C3023)</f>
        <v>0</v>
      </c>
      <c r="H3023" s="24">
        <f t="shared" si="235"/>
        <v>0</v>
      </c>
      <c r="I3023" s="23" t="str">
        <f t="shared" si="236"/>
        <v>Match</v>
      </c>
      <c r="J3023" s="23" t="str">
        <f t="shared" si="237"/>
        <v>Match</v>
      </c>
      <c r="K3023" s="24">
        <f t="shared" si="238"/>
        <v>0</v>
      </c>
      <c r="L3023" s="24">
        <f t="shared" si="239"/>
        <v>0</v>
      </c>
    </row>
    <row r="3024" spans="1:12" ht="15" customHeight="1" x14ac:dyDescent="0.3">
      <c r="A3024" s="23" t="s">
        <v>16027</v>
      </c>
      <c r="B3024" s="23" t="s">
        <v>75</v>
      </c>
      <c r="C3024" s="39">
        <v>299</v>
      </c>
      <c r="D3024" s="24">
        <v>0</v>
      </c>
      <c r="E3024" s="24">
        <v>0</v>
      </c>
      <c r="F3024" s="23">
        <f>COUNTIFS(mdr_rate_cleaned!$A$2:$A$10,B3024,mdr_rate_cleaned!$B$2:$B$10,"&lt;"&amp;C3024,mdr_rate_cleaned!$F$2:$F$10,"&gt;="&amp;C3024)</f>
        <v>1</v>
      </c>
      <c r="G3024" s="40">
        <f>SUMIFS(mdr_rate_cleaned!$G$2:$G$10,mdr_rate_cleaned!$A$2:$A$10,B3024,mdr_rate_cleaned!$B$2:$B$10,"&lt;"&amp;C3024,mdr_rate_cleaned!$F$2:$F$10,"&gt;="&amp;C3024)</f>
        <v>0</v>
      </c>
      <c r="H3024" s="24">
        <f t="shared" si="235"/>
        <v>0</v>
      </c>
      <c r="I3024" s="23" t="str">
        <f t="shared" si="236"/>
        <v>Match</v>
      </c>
      <c r="J3024" s="23" t="str">
        <f t="shared" si="237"/>
        <v>Match</v>
      </c>
      <c r="K3024" s="24">
        <f t="shared" si="238"/>
        <v>0</v>
      </c>
      <c r="L3024" s="24">
        <f t="shared" si="239"/>
        <v>0</v>
      </c>
    </row>
    <row r="3025" spans="1:12" ht="15" customHeight="1" x14ac:dyDescent="0.3">
      <c r="A3025" s="23" t="s">
        <v>16028</v>
      </c>
      <c r="B3025" s="23" t="s">
        <v>81</v>
      </c>
      <c r="C3025" s="39">
        <v>2999</v>
      </c>
      <c r="D3025" s="24">
        <v>35.99</v>
      </c>
      <c r="E3025" s="24">
        <v>6.48</v>
      </c>
      <c r="F3025" s="23">
        <f>COUNTIFS(mdr_rate_cleaned!$A$2:$A$10,B3025,mdr_rate_cleaned!$B$2:$B$10,"&lt;"&amp;C3025,mdr_rate_cleaned!$F$2:$F$10,"&gt;="&amp;C3025)</f>
        <v>1</v>
      </c>
      <c r="G3025" s="40">
        <f>SUMIFS(mdr_rate_cleaned!$G$2:$G$10,mdr_rate_cleaned!$A$2:$A$10,B3025,mdr_rate_cleaned!$B$2:$B$10,"&lt;"&amp;C3025,mdr_rate_cleaned!$F$2:$F$10,"&gt;="&amp;C3025)</f>
        <v>1.2E-2</v>
      </c>
      <c r="H3025" s="24">
        <f t="shared" si="235"/>
        <v>35.99</v>
      </c>
      <c r="I3025" s="23" t="str">
        <f t="shared" si="236"/>
        <v>Match</v>
      </c>
      <c r="J3025" s="23" t="str">
        <f t="shared" si="237"/>
        <v>Match</v>
      </c>
      <c r="K3025" s="24">
        <f t="shared" si="238"/>
        <v>6.48</v>
      </c>
      <c r="L3025" s="24">
        <f t="shared" si="239"/>
        <v>0</v>
      </c>
    </row>
    <row r="3026" spans="1:12" ht="15" customHeight="1" x14ac:dyDescent="0.3">
      <c r="A3026" s="23" t="s">
        <v>16029</v>
      </c>
      <c r="B3026" s="23" t="s">
        <v>75</v>
      </c>
      <c r="C3026" s="39">
        <v>999</v>
      </c>
      <c r="D3026" s="24">
        <v>0</v>
      </c>
      <c r="E3026" s="24">
        <v>0</v>
      </c>
      <c r="F3026" s="23">
        <f>COUNTIFS(mdr_rate_cleaned!$A$2:$A$10,B3026,mdr_rate_cleaned!$B$2:$B$10,"&lt;"&amp;C3026,mdr_rate_cleaned!$F$2:$F$10,"&gt;="&amp;C3026)</f>
        <v>1</v>
      </c>
      <c r="G3026" s="40">
        <f>SUMIFS(mdr_rate_cleaned!$G$2:$G$10,mdr_rate_cleaned!$A$2:$A$10,B3026,mdr_rate_cleaned!$B$2:$B$10,"&lt;"&amp;C3026,mdr_rate_cleaned!$F$2:$F$10,"&gt;="&amp;C3026)</f>
        <v>0</v>
      </c>
      <c r="H3026" s="24">
        <f t="shared" si="235"/>
        <v>0</v>
      </c>
      <c r="I3026" s="23" t="str">
        <f t="shared" si="236"/>
        <v>Match</v>
      </c>
      <c r="J3026" s="23" t="str">
        <f t="shared" si="237"/>
        <v>Match</v>
      </c>
      <c r="K3026" s="24">
        <f t="shared" si="238"/>
        <v>0</v>
      </c>
      <c r="L3026" s="24">
        <f t="shared" si="239"/>
        <v>0</v>
      </c>
    </row>
    <row r="3027" spans="1:12" ht="15" customHeight="1" x14ac:dyDescent="0.3">
      <c r="A3027" s="23" t="s">
        <v>16030</v>
      </c>
      <c r="B3027" s="23" t="s">
        <v>75</v>
      </c>
      <c r="C3027" s="39">
        <v>8797</v>
      </c>
      <c r="D3027" s="24">
        <v>26.39</v>
      </c>
      <c r="E3027" s="24">
        <v>4.75</v>
      </c>
      <c r="F3027" s="23">
        <f>COUNTIFS(mdr_rate_cleaned!$A$2:$A$10,B3027,mdr_rate_cleaned!$B$2:$B$10,"&lt;"&amp;C3027,mdr_rate_cleaned!$F$2:$F$10,"&gt;="&amp;C3027)</f>
        <v>1</v>
      </c>
      <c r="G3027" s="40">
        <f>SUMIFS(mdr_rate_cleaned!$G$2:$G$10,mdr_rate_cleaned!$A$2:$A$10,B3027,mdr_rate_cleaned!$B$2:$B$10,"&lt;"&amp;C3027,mdr_rate_cleaned!$F$2:$F$10,"&gt;="&amp;C3027)</f>
        <v>3.0000000000000001E-3</v>
      </c>
      <c r="H3027" s="24">
        <f t="shared" si="235"/>
        <v>26.39</v>
      </c>
      <c r="I3027" s="23" t="str">
        <f t="shared" si="236"/>
        <v>Match</v>
      </c>
      <c r="J3027" s="23" t="str">
        <f t="shared" si="237"/>
        <v>Match</v>
      </c>
      <c r="K3027" s="24">
        <f t="shared" si="238"/>
        <v>4.75</v>
      </c>
      <c r="L3027" s="24">
        <f t="shared" si="239"/>
        <v>0</v>
      </c>
    </row>
    <row r="3028" spans="1:12" ht="15" customHeight="1" x14ac:dyDescent="0.3">
      <c r="A3028" s="23" t="s">
        <v>16031</v>
      </c>
      <c r="B3028" s="23" t="s">
        <v>79</v>
      </c>
      <c r="C3028" s="39">
        <v>1799</v>
      </c>
      <c r="D3028" s="24">
        <v>32.380000000000003</v>
      </c>
      <c r="E3028" s="24">
        <v>5.83</v>
      </c>
      <c r="F3028" s="23">
        <f>COUNTIFS(mdr_rate_cleaned!$A$2:$A$10,B3028,mdr_rate_cleaned!$B$2:$B$10,"&lt;"&amp;C3028,mdr_rate_cleaned!$F$2:$F$10,"&gt;="&amp;C3028)</f>
        <v>1</v>
      </c>
      <c r="G3028" s="40">
        <f>SUMIFS(mdr_rate_cleaned!$G$2:$G$10,mdr_rate_cleaned!$A$2:$A$10,B3028,mdr_rate_cleaned!$B$2:$B$10,"&lt;"&amp;C3028,mdr_rate_cleaned!$F$2:$F$10,"&gt;="&amp;C3028)</f>
        <v>1.8000000000000002E-2</v>
      </c>
      <c r="H3028" s="24">
        <f t="shared" si="235"/>
        <v>32.380000000000003</v>
      </c>
      <c r="I3028" s="23" t="str">
        <f t="shared" si="236"/>
        <v>Match</v>
      </c>
      <c r="J3028" s="23" t="str">
        <f t="shared" si="237"/>
        <v>Match</v>
      </c>
      <c r="K3028" s="24">
        <f t="shared" si="238"/>
        <v>5.83</v>
      </c>
      <c r="L3028" s="24">
        <f t="shared" si="239"/>
        <v>0</v>
      </c>
    </row>
    <row r="3029" spans="1:12" ht="15" customHeight="1" x14ac:dyDescent="0.3">
      <c r="A3029" s="23" t="s">
        <v>16032</v>
      </c>
      <c r="B3029" s="23" t="s">
        <v>79</v>
      </c>
      <c r="C3029" s="39">
        <v>349</v>
      </c>
      <c r="D3029" s="24">
        <v>6.28</v>
      </c>
      <c r="E3029" s="24">
        <v>1.1299999999999999</v>
      </c>
      <c r="F3029" s="23">
        <f>COUNTIFS(mdr_rate_cleaned!$A$2:$A$10,B3029,mdr_rate_cleaned!$B$2:$B$10,"&lt;"&amp;C3029,mdr_rate_cleaned!$F$2:$F$10,"&gt;="&amp;C3029)</f>
        <v>1</v>
      </c>
      <c r="G3029" s="40">
        <f>SUMIFS(mdr_rate_cleaned!$G$2:$G$10,mdr_rate_cleaned!$A$2:$A$10,B3029,mdr_rate_cleaned!$B$2:$B$10,"&lt;"&amp;C3029,mdr_rate_cleaned!$F$2:$F$10,"&gt;="&amp;C3029)</f>
        <v>1.8000000000000002E-2</v>
      </c>
      <c r="H3029" s="24">
        <f t="shared" si="235"/>
        <v>6.28</v>
      </c>
      <c r="I3029" s="23" t="str">
        <f t="shared" si="236"/>
        <v>Match</v>
      </c>
      <c r="J3029" s="23" t="str">
        <f t="shared" si="237"/>
        <v>Match</v>
      </c>
      <c r="K3029" s="24">
        <f t="shared" si="238"/>
        <v>1.1299999999999999</v>
      </c>
      <c r="L3029" s="24">
        <f t="shared" si="239"/>
        <v>0</v>
      </c>
    </row>
    <row r="3030" spans="1:12" ht="15" customHeight="1" x14ac:dyDescent="0.3">
      <c r="A3030" s="23" t="s">
        <v>16033</v>
      </c>
      <c r="B3030" s="23" t="s">
        <v>75</v>
      </c>
      <c r="C3030" s="39">
        <v>1799</v>
      </c>
      <c r="D3030" s="24">
        <v>0</v>
      </c>
      <c r="E3030" s="24">
        <v>0</v>
      </c>
      <c r="F3030" s="23">
        <f>COUNTIFS(mdr_rate_cleaned!$A$2:$A$10,B3030,mdr_rate_cleaned!$B$2:$B$10,"&lt;"&amp;C3030,mdr_rate_cleaned!$F$2:$F$10,"&gt;="&amp;C3030)</f>
        <v>1</v>
      </c>
      <c r="G3030" s="40">
        <f>SUMIFS(mdr_rate_cleaned!$G$2:$G$10,mdr_rate_cleaned!$A$2:$A$10,B3030,mdr_rate_cleaned!$B$2:$B$10,"&lt;"&amp;C3030,mdr_rate_cleaned!$F$2:$F$10,"&gt;="&amp;C3030)</f>
        <v>0</v>
      </c>
      <c r="H3030" s="24">
        <f t="shared" si="235"/>
        <v>0</v>
      </c>
      <c r="I3030" s="23" t="str">
        <f t="shared" si="236"/>
        <v>Match</v>
      </c>
      <c r="J3030" s="23" t="str">
        <f t="shared" si="237"/>
        <v>Match</v>
      </c>
      <c r="K3030" s="24">
        <f t="shared" si="238"/>
        <v>0</v>
      </c>
      <c r="L3030" s="24">
        <f t="shared" si="239"/>
        <v>0</v>
      </c>
    </row>
    <row r="3031" spans="1:12" ht="15" customHeight="1" x14ac:dyDescent="0.3">
      <c r="A3031" s="23" t="s">
        <v>16034</v>
      </c>
      <c r="B3031" s="23" t="s">
        <v>75</v>
      </c>
      <c r="C3031" s="39">
        <v>1647</v>
      </c>
      <c r="D3031" s="24">
        <v>0</v>
      </c>
      <c r="E3031" s="24">
        <v>0</v>
      </c>
      <c r="F3031" s="23">
        <f>COUNTIFS(mdr_rate_cleaned!$A$2:$A$10,B3031,mdr_rate_cleaned!$B$2:$B$10,"&lt;"&amp;C3031,mdr_rate_cleaned!$F$2:$F$10,"&gt;="&amp;C3031)</f>
        <v>1</v>
      </c>
      <c r="G3031" s="40">
        <f>SUMIFS(mdr_rate_cleaned!$G$2:$G$10,mdr_rate_cleaned!$A$2:$A$10,B3031,mdr_rate_cleaned!$B$2:$B$10,"&lt;"&amp;C3031,mdr_rate_cleaned!$F$2:$F$10,"&gt;="&amp;C3031)</f>
        <v>0</v>
      </c>
      <c r="H3031" s="24">
        <f t="shared" si="235"/>
        <v>0</v>
      </c>
      <c r="I3031" s="23" t="str">
        <f t="shared" si="236"/>
        <v>Match</v>
      </c>
      <c r="J3031" s="23" t="str">
        <f t="shared" si="237"/>
        <v>Match</v>
      </c>
      <c r="K3031" s="24">
        <f t="shared" si="238"/>
        <v>0</v>
      </c>
      <c r="L3031" s="24">
        <f t="shared" si="239"/>
        <v>0</v>
      </c>
    </row>
    <row r="3032" spans="1:12" ht="15" customHeight="1" x14ac:dyDescent="0.3">
      <c r="A3032" s="23" t="s">
        <v>16035</v>
      </c>
      <c r="B3032" s="23" t="s">
        <v>79</v>
      </c>
      <c r="C3032" s="39">
        <v>999</v>
      </c>
      <c r="D3032" s="24">
        <v>17.98</v>
      </c>
      <c r="E3032" s="24">
        <v>3.24</v>
      </c>
      <c r="F3032" s="23">
        <f>COUNTIFS(mdr_rate_cleaned!$A$2:$A$10,B3032,mdr_rate_cleaned!$B$2:$B$10,"&lt;"&amp;C3032,mdr_rate_cleaned!$F$2:$F$10,"&gt;="&amp;C3032)</f>
        <v>1</v>
      </c>
      <c r="G3032" s="40">
        <f>SUMIFS(mdr_rate_cleaned!$G$2:$G$10,mdr_rate_cleaned!$A$2:$A$10,B3032,mdr_rate_cleaned!$B$2:$B$10,"&lt;"&amp;C3032,mdr_rate_cleaned!$F$2:$F$10,"&gt;="&amp;C3032)</f>
        <v>1.8000000000000002E-2</v>
      </c>
      <c r="H3032" s="24">
        <f t="shared" si="235"/>
        <v>17.98</v>
      </c>
      <c r="I3032" s="23" t="str">
        <f t="shared" si="236"/>
        <v>Match</v>
      </c>
      <c r="J3032" s="23" t="str">
        <f t="shared" si="237"/>
        <v>Match</v>
      </c>
      <c r="K3032" s="24">
        <f t="shared" si="238"/>
        <v>3.24</v>
      </c>
      <c r="L3032" s="24">
        <f t="shared" si="239"/>
        <v>0</v>
      </c>
    </row>
    <row r="3033" spans="1:12" ht="15" customHeight="1" x14ac:dyDescent="0.3">
      <c r="A3033" s="23" t="s">
        <v>16036</v>
      </c>
      <c r="B3033" s="23" t="s">
        <v>79</v>
      </c>
      <c r="C3033" s="39">
        <v>1499</v>
      </c>
      <c r="D3033" s="24">
        <v>26.98</v>
      </c>
      <c r="E3033" s="24">
        <v>4.8600000000000003</v>
      </c>
      <c r="F3033" s="23">
        <f>COUNTIFS(mdr_rate_cleaned!$A$2:$A$10,B3033,mdr_rate_cleaned!$B$2:$B$10,"&lt;"&amp;C3033,mdr_rate_cleaned!$F$2:$F$10,"&gt;="&amp;C3033)</f>
        <v>1</v>
      </c>
      <c r="G3033" s="40">
        <f>SUMIFS(mdr_rate_cleaned!$G$2:$G$10,mdr_rate_cleaned!$A$2:$A$10,B3033,mdr_rate_cleaned!$B$2:$B$10,"&lt;"&amp;C3033,mdr_rate_cleaned!$F$2:$F$10,"&gt;="&amp;C3033)</f>
        <v>1.8000000000000002E-2</v>
      </c>
      <c r="H3033" s="24">
        <f t="shared" si="235"/>
        <v>26.98</v>
      </c>
      <c r="I3033" s="23" t="str">
        <f t="shared" si="236"/>
        <v>Match</v>
      </c>
      <c r="J3033" s="23" t="str">
        <f t="shared" si="237"/>
        <v>Match</v>
      </c>
      <c r="K3033" s="24">
        <f t="shared" si="238"/>
        <v>4.8600000000000003</v>
      </c>
      <c r="L3033" s="24">
        <f t="shared" si="239"/>
        <v>0</v>
      </c>
    </row>
    <row r="3034" spans="1:12" ht="15" customHeight="1" x14ac:dyDescent="0.3">
      <c r="A3034" s="23" t="s">
        <v>16038</v>
      </c>
      <c r="B3034" s="23" t="s">
        <v>75</v>
      </c>
      <c r="C3034" s="39">
        <v>2098</v>
      </c>
      <c r="D3034" s="24">
        <v>6.29</v>
      </c>
      <c r="E3034" s="24">
        <v>1.1299999999999999</v>
      </c>
      <c r="F3034" s="23">
        <f>COUNTIFS(mdr_rate_cleaned!$A$2:$A$10,B3034,mdr_rate_cleaned!$B$2:$B$10,"&lt;"&amp;C3034,mdr_rate_cleaned!$F$2:$F$10,"&gt;="&amp;C3034)</f>
        <v>1</v>
      </c>
      <c r="G3034" s="40">
        <f>SUMIFS(mdr_rate_cleaned!$G$2:$G$10,mdr_rate_cleaned!$A$2:$A$10,B3034,mdr_rate_cleaned!$B$2:$B$10,"&lt;"&amp;C3034,mdr_rate_cleaned!$F$2:$F$10,"&gt;="&amp;C3034)</f>
        <v>3.0000000000000001E-3</v>
      </c>
      <c r="H3034" s="24">
        <f t="shared" si="235"/>
        <v>6.29</v>
      </c>
      <c r="I3034" s="23" t="str">
        <f t="shared" si="236"/>
        <v>Match</v>
      </c>
      <c r="J3034" s="23" t="str">
        <f t="shared" si="237"/>
        <v>Match</v>
      </c>
      <c r="K3034" s="24">
        <f t="shared" si="238"/>
        <v>1.1299999999999999</v>
      </c>
      <c r="L3034" s="24">
        <f t="shared" si="239"/>
        <v>0</v>
      </c>
    </row>
    <row r="3035" spans="1:12" ht="15" customHeight="1" x14ac:dyDescent="0.3">
      <c r="A3035" s="23" t="s">
        <v>16039</v>
      </c>
      <c r="B3035" s="23" t="s">
        <v>79</v>
      </c>
      <c r="C3035" s="39">
        <v>2499</v>
      </c>
      <c r="D3035" s="24">
        <v>39.979999999999997</v>
      </c>
      <c r="E3035" s="24">
        <v>7.2</v>
      </c>
      <c r="F3035" s="23">
        <f>COUNTIFS(mdr_rate_cleaned!$A$2:$A$10,B3035,mdr_rate_cleaned!$B$2:$B$10,"&lt;"&amp;C3035,mdr_rate_cleaned!$F$2:$F$10,"&gt;="&amp;C3035)</f>
        <v>1</v>
      </c>
      <c r="G3035" s="40">
        <f>SUMIFS(mdr_rate_cleaned!$G$2:$G$10,mdr_rate_cleaned!$A$2:$A$10,B3035,mdr_rate_cleaned!$B$2:$B$10,"&lt;"&amp;C3035,mdr_rate_cleaned!$F$2:$F$10,"&gt;="&amp;C3035)</f>
        <v>1.6E-2</v>
      </c>
      <c r="H3035" s="24">
        <f t="shared" si="235"/>
        <v>39.979999999999997</v>
      </c>
      <c r="I3035" s="23" t="str">
        <f t="shared" si="236"/>
        <v>Match</v>
      </c>
      <c r="J3035" s="23" t="str">
        <f t="shared" si="237"/>
        <v>Match</v>
      </c>
      <c r="K3035" s="24">
        <f t="shared" si="238"/>
        <v>7.2</v>
      </c>
      <c r="L3035" s="24">
        <f t="shared" si="239"/>
        <v>0</v>
      </c>
    </row>
    <row r="3036" spans="1:12" ht="15" customHeight="1" x14ac:dyDescent="0.3">
      <c r="A3036" s="23" t="s">
        <v>16041</v>
      </c>
      <c r="B3036" s="23" t="s">
        <v>75</v>
      </c>
      <c r="C3036" s="39">
        <v>9298</v>
      </c>
      <c r="D3036" s="24">
        <v>27.89</v>
      </c>
      <c r="E3036" s="24">
        <v>5.0199999999999996</v>
      </c>
      <c r="F3036" s="23">
        <f>COUNTIFS(mdr_rate_cleaned!$A$2:$A$10,B3036,mdr_rate_cleaned!$B$2:$B$10,"&lt;"&amp;C3036,mdr_rate_cleaned!$F$2:$F$10,"&gt;="&amp;C3036)</f>
        <v>1</v>
      </c>
      <c r="G3036" s="40">
        <f>SUMIFS(mdr_rate_cleaned!$G$2:$G$10,mdr_rate_cleaned!$A$2:$A$10,B3036,mdr_rate_cleaned!$B$2:$B$10,"&lt;"&amp;C3036,mdr_rate_cleaned!$F$2:$F$10,"&gt;="&amp;C3036)</f>
        <v>3.0000000000000001E-3</v>
      </c>
      <c r="H3036" s="24">
        <f t="shared" si="235"/>
        <v>27.89</v>
      </c>
      <c r="I3036" s="23" t="str">
        <f t="shared" si="236"/>
        <v>Match</v>
      </c>
      <c r="J3036" s="23" t="str">
        <f t="shared" si="237"/>
        <v>Match</v>
      </c>
      <c r="K3036" s="24">
        <f t="shared" si="238"/>
        <v>5.0199999999999996</v>
      </c>
      <c r="L3036" s="24">
        <f t="shared" si="239"/>
        <v>0</v>
      </c>
    </row>
    <row r="3037" spans="1:12" ht="15" customHeight="1" x14ac:dyDescent="0.3">
      <c r="A3037" s="23" t="s">
        <v>16042</v>
      </c>
      <c r="B3037" s="23" t="s">
        <v>75</v>
      </c>
      <c r="C3037" s="39">
        <v>1598</v>
      </c>
      <c r="D3037" s="24">
        <v>0</v>
      </c>
      <c r="E3037" s="24">
        <v>0</v>
      </c>
      <c r="F3037" s="23">
        <f>COUNTIFS(mdr_rate_cleaned!$A$2:$A$10,B3037,mdr_rate_cleaned!$B$2:$B$10,"&lt;"&amp;C3037,mdr_rate_cleaned!$F$2:$F$10,"&gt;="&amp;C3037)</f>
        <v>1</v>
      </c>
      <c r="G3037" s="40">
        <f>SUMIFS(mdr_rate_cleaned!$G$2:$G$10,mdr_rate_cleaned!$A$2:$A$10,B3037,mdr_rate_cleaned!$B$2:$B$10,"&lt;"&amp;C3037,mdr_rate_cleaned!$F$2:$F$10,"&gt;="&amp;C3037)</f>
        <v>0</v>
      </c>
      <c r="H3037" s="24">
        <f t="shared" si="235"/>
        <v>0</v>
      </c>
      <c r="I3037" s="23" t="str">
        <f t="shared" si="236"/>
        <v>Match</v>
      </c>
      <c r="J3037" s="23" t="str">
        <f t="shared" si="237"/>
        <v>Match</v>
      </c>
      <c r="K3037" s="24">
        <f t="shared" si="238"/>
        <v>0</v>
      </c>
      <c r="L3037" s="24">
        <f t="shared" si="239"/>
        <v>0</v>
      </c>
    </row>
    <row r="3038" spans="1:12" ht="15" customHeight="1" x14ac:dyDescent="0.3">
      <c r="A3038" s="23" t="s">
        <v>16043</v>
      </c>
      <c r="B3038" s="23" t="s">
        <v>81</v>
      </c>
      <c r="C3038" s="39">
        <v>799</v>
      </c>
      <c r="D3038" s="24">
        <v>11.99</v>
      </c>
      <c r="E3038" s="24">
        <v>2.16</v>
      </c>
      <c r="F3038" s="23">
        <f>COUNTIFS(mdr_rate_cleaned!$A$2:$A$10,B3038,mdr_rate_cleaned!$B$2:$B$10,"&lt;"&amp;C3038,mdr_rate_cleaned!$F$2:$F$10,"&gt;="&amp;C3038)</f>
        <v>1</v>
      </c>
      <c r="G3038" s="40">
        <f>SUMIFS(mdr_rate_cleaned!$G$2:$G$10,mdr_rate_cleaned!$A$2:$A$10,B3038,mdr_rate_cleaned!$B$2:$B$10,"&lt;"&amp;C3038,mdr_rate_cleaned!$F$2:$F$10,"&gt;="&amp;C3038)</f>
        <v>1.4999999999999999E-2</v>
      </c>
      <c r="H3038" s="24">
        <f t="shared" si="235"/>
        <v>11.99</v>
      </c>
      <c r="I3038" s="23" t="str">
        <f t="shared" si="236"/>
        <v>Match</v>
      </c>
      <c r="J3038" s="23" t="str">
        <f t="shared" si="237"/>
        <v>Match</v>
      </c>
      <c r="K3038" s="24">
        <f t="shared" si="238"/>
        <v>2.16</v>
      </c>
      <c r="L3038" s="24">
        <f t="shared" si="239"/>
        <v>0</v>
      </c>
    </row>
    <row r="3039" spans="1:12" ht="15" customHeight="1" x14ac:dyDescent="0.3">
      <c r="A3039" s="23" t="s">
        <v>16044</v>
      </c>
      <c r="B3039" s="23" t="s">
        <v>75</v>
      </c>
      <c r="C3039" s="39">
        <v>599</v>
      </c>
      <c r="D3039" s="24">
        <v>0</v>
      </c>
      <c r="E3039" s="24">
        <v>0</v>
      </c>
      <c r="F3039" s="23">
        <f>COUNTIFS(mdr_rate_cleaned!$A$2:$A$10,B3039,mdr_rate_cleaned!$B$2:$B$10,"&lt;"&amp;C3039,mdr_rate_cleaned!$F$2:$F$10,"&gt;="&amp;C3039)</f>
        <v>1</v>
      </c>
      <c r="G3039" s="40">
        <f>SUMIFS(mdr_rate_cleaned!$G$2:$G$10,mdr_rate_cleaned!$A$2:$A$10,B3039,mdr_rate_cleaned!$B$2:$B$10,"&lt;"&amp;C3039,mdr_rate_cleaned!$F$2:$F$10,"&gt;="&amp;C3039)</f>
        <v>0</v>
      </c>
      <c r="H3039" s="24">
        <f t="shared" si="235"/>
        <v>0</v>
      </c>
      <c r="I3039" s="23" t="str">
        <f t="shared" si="236"/>
        <v>Match</v>
      </c>
      <c r="J3039" s="23" t="str">
        <f t="shared" si="237"/>
        <v>Match</v>
      </c>
      <c r="K3039" s="24">
        <f t="shared" si="238"/>
        <v>0</v>
      </c>
      <c r="L3039" s="24">
        <f t="shared" si="239"/>
        <v>0</v>
      </c>
    </row>
    <row r="3040" spans="1:12" ht="15" customHeight="1" x14ac:dyDescent="0.3">
      <c r="A3040" s="23" t="s">
        <v>16045</v>
      </c>
      <c r="B3040" s="23" t="s">
        <v>79</v>
      </c>
      <c r="C3040" s="39">
        <v>4298</v>
      </c>
      <c r="D3040" s="24">
        <v>68.77</v>
      </c>
      <c r="E3040" s="24">
        <v>12.38</v>
      </c>
      <c r="F3040" s="23">
        <f>COUNTIFS(mdr_rate_cleaned!$A$2:$A$10,B3040,mdr_rate_cleaned!$B$2:$B$10,"&lt;"&amp;C3040,mdr_rate_cleaned!$F$2:$F$10,"&gt;="&amp;C3040)</f>
        <v>1</v>
      </c>
      <c r="G3040" s="40">
        <f>SUMIFS(mdr_rate_cleaned!$G$2:$G$10,mdr_rate_cleaned!$A$2:$A$10,B3040,mdr_rate_cleaned!$B$2:$B$10,"&lt;"&amp;C3040,mdr_rate_cleaned!$F$2:$F$10,"&gt;="&amp;C3040)</f>
        <v>1.6E-2</v>
      </c>
      <c r="H3040" s="24">
        <f t="shared" si="235"/>
        <v>68.77</v>
      </c>
      <c r="I3040" s="23" t="str">
        <f t="shared" si="236"/>
        <v>Match</v>
      </c>
      <c r="J3040" s="23" t="str">
        <f t="shared" si="237"/>
        <v>Match</v>
      </c>
      <c r="K3040" s="24">
        <f t="shared" si="238"/>
        <v>12.38</v>
      </c>
      <c r="L3040" s="24">
        <f t="shared" si="239"/>
        <v>0</v>
      </c>
    </row>
    <row r="3041" spans="1:12" ht="15" customHeight="1" x14ac:dyDescent="0.3">
      <c r="A3041" s="23" t="s">
        <v>16046</v>
      </c>
      <c r="B3041" s="23" t="s">
        <v>75</v>
      </c>
      <c r="C3041" s="39">
        <v>1499</v>
      </c>
      <c r="D3041" s="24">
        <v>0</v>
      </c>
      <c r="E3041" s="24">
        <v>0</v>
      </c>
      <c r="F3041" s="23">
        <f>COUNTIFS(mdr_rate_cleaned!$A$2:$A$10,B3041,mdr_rate_cleaned!$B$2:$B$10,"&lt;"&amp;C3041,mdr_rate_cleaned!$F$2:$F$10,"&gt;="&amp;C3041)</f>
        <v>1</v>
      </c>
      <c r="G3041" s="40">
        <f>SUMIFS(mdr_rate_cleaned!$G$2:$G$10,mdr_rate_cleaned!$A$2:$A$10,B3041,mdr_rate_cleaned!$B$2:$B$10,"&lt;"&amp;C3041,mdr_rate_cleaned!$F$2:$F$10,"&gt;="&amp;C3041)</f>
        <v>0</v>
      </c>
      <c r="H3041" s="24">
        <f t="shared" si="235"/>
        <v>0</v>
      </c>
      <c r="I3041" s="23" t="str">
        <f t="shared" si="236"/>
        <v>Match</v>
      </c>
      <c r="J3041" s="23" t="str">
        <f t="shared" si="237"/>
        <v>Match</v>
      </c>
      <c r="K3041" s="24">
        <f t="shared" si="238"/>
        <v>0</v>
      </c>
      <c r="L3041" s="24">
        <f t="shared" si="239"/>
        <v>0</v>
      </c>
    </row>
    <row r="3042" spans="1:12" ht="15" customHeight="1" x14ac:dyDescent="0.3">
      <c r="A3042" s="23" t="s">
        <v>16047</v>
      </c>
      <c r="B3042" s="23" t="s">
        <v>81</v>
      </c>
      <c r="C3042" s="39">
        <v>5498</v>
      </c>
      <c r="D3042" s="24">
        <v>65.98</v>
      </c>
      <c r="E3042" s="24">
        <v>11.88</v>
      </c>
      <c r="F3042" s="23">
        <f>COUNTIFS(mdr_rate_cleaned!$A$2:$A$10,B3042,mdr_rate_cleaned!$B$2:$B$10,"&lt;"&amp;C3042,mdr_rate_cleaned!$F$2:$F$10,"&gt;="&amp;C3042)</f>
        <v>1</v>
      </c>
      <c r="G3042" s="40">
        <f>SUMIFS(mdr_rate_cleaned!$G$2:$G$10,mdr_rate_cleaned!$A$2:$A$10,B3042,mdr_rate_cleaned!$B$2:$B$10,"&lt;"&amp;C3042,mdr_rate_cleaned!$F$2:$F$10,"&gt;="&amp;C3042)</f>
        <v>1.2E-2</v>
      </c>
      <c r="H3042" s="24">
        <f t="shared" si="235"/>
        <v>65.98</v>
      </c>
      <c r="I3042" s="23" t="str">
        <f t="shared" si="236"/>
        <v>Match</v>
      </c>
      <c r="J3042" s="23" t="str">
        <f t="shared" si="237"/>
        <v>Match</v>
      </c>
      <c r="K3042" s="24">
        <f t="shared" si="238"/>
        <v>11.88</v>
      </c>
      <c r="L3042" s="24">
        <f t="shared" si="239"/>
        <v>0</v>
      </c>
    </row>
    <row r="3043" spans="1:12" ht="15" customHeight="1" x14ac:dyDescent="0.3">
      <c r="A3043" s="23" t="s">
        <v>16049</v>
      </c>
      <c r="B3043" s="23" t="s">
        <v>75</v>
      </c>
      <c r="C3043" s="39">
        <v>8498</v>
      </c>
      <c r="D3043" s="24">
        <v>25.49</v>
      </c>
      <c r="E3043" s="24">
        <v>4.59</v>
      </c>
      <c r="F3043" s="23">
        <f>COUNTIFS(mdr_rate_cleaned!$A$2:$A$10,B3043,mdr_rate_cleaned!$B$2:$B$10,"&lt;"&amp;C3043,mdr_rate_cleaned!$F$2:$F$10,"&gt;="&amp;C3043)</f>
        <v>1</v>
      </c>
      <c r="G3043" s="40">
        <f>SUMIFS(mdr_rate_cleaned!$G$2:$G$10,mdr_rate_cleaned!$A$2:$A$10,B3043,mdr_rate_cleaned!$B$2:$B$10,"&lt;"&amp;C3043,mdr_rate_cleaned!$F$2:$F$10,"&gt;="&amp;C3043)</f>
        <v>3.0000000000000001E-3</v>
      </c>
      <c r="H3043" s="24">
        <f t="shared" si="235"/>
        <v>25.49</v>
      </c>
      <c r="I3043" s="23" t="str">
        <f t="shared" si="236"/>
        <v>Match</v>
      </c>
      <c r="J3043" s="23" t="str">
        <f t="shared" si="237"/>
        <v>Match</v>
      </c>
      <c r="K3043" s="24">
        <f t="shared" si="238"/>
        <v>4.59</v>
      </c>
      <c r="L3043" s="24">
        <f t="shared" si="239"/>
        <v>0</v>
      </c>
    </row>
    <row r="3044" spans="1:12" ht="15" customHeight="1" x14ac:dyDescent="0.3">
      <c r="A3044" s="23" t="s">
        <v>16050</v>
      </c>
      <c r="B3044" s="23" t="s">
        <v>79</v>
      </c>
      <c r="C3044" s="39">
        <v>4197</v>
      </c>
      <c r="D3044" s="24">
        <v>67.150000000000006</v>
      </c>
      <c r="E3044" s="24">
        <v>12.09</v>
      </c>
      <c r="F3044" s="23">
        <f>COUNTIFS(mdr_rate_cleaned!$A$2:$A$10,B3044,mdr_rate_cleaned!$B$2:$B$10,"&lt;"&amp;C3044,mdr_rate_cleaned!$F$2:$F$10,"&gt;="&amp;C3044)</f>
        <v>1</v>
      </c>
      <c r="G3044" s="40">
        <f>SUMIFS(mdr_rate_cleaned!$G$2:$G$10,mdr_rate_cleaned!$A$2:$A$10,B3044,mdr_rate_cleaned!$B$2:$B$10,"&lt;"&amp;C3044,mdr_rate_cleaned!$F$2:$F$10,"&gt;="&amp;C3044)</f>
        <v>1.6E-2</v>
      </c>
      <c r="H3044" s="24">
        <f t="shared" si="235"/>
        <v>67.150000000000006</v>
      </c>
      <c r="I3044" s="23" t="str">
        <f t="shared" si="236"/>
        <v>Match</v>
      </c>
      <c r="J3044" s="23" t="str">
        <f t="shared" si="237"/>
        <v>Match</v>
      </c>
      <c r="K3044" s="24">
        <f t="shared" si="238"/>
        <v>12.09</v>
      </c>
      <c r="L3044" s="24">
        <f t="shared" si="239"/>
        <v>0</v>
      </c>
    </row>
    <row r="3045" spans="1:12" ht="15" customHeight="1" x14ac:dyDescent="0.3">
      <c r="A3045" s="23" t="s">
        <v>16051</v>
      </c>
      <c r="B3045" s="23" t="s">
        <v>81</v>
      </c>
      <c r="C3045" s="39">
        <v>299</v>
      </c>
      <c r="D3045" s="24">
        <v>4.49</v>
      </c>
      <c r="E3045" s="24">
        <v>0.81</v>
      </c>
      <c r="F3045" s="23">
        <f>COUNTIFS(mdr_rate_cleaned!$A$2:$A$10,B3045,mdr_rate_cleaned!$B$2:$B$10,"&lt;"&amp;C3045,mdr_rate_cleaned!$F$2:$F$10,"&gt;="&amp;C3045)</f>
        <v>1</v>
      </c>
      <c r="G3045" s="40">
        <f>SUMIFS(mdr_rate_cleaned!$G$2:$G$10,mdr_rate_cleaned!$A$2:$A$10,B3045,mdr_rate_cleaned!$B$2:$B$10,"&lt;"&amp;C3045,mdr_rate_cleaned!$F$2:$F$10,"&gt;="&amp;C3045)</f>
        <v>1.4999999999999999E-2</v>
      </c>
      <c r="H3045" s="24">
        <f t="shared" si="235"/>
        <v>4.49</v>
      </c>
      <c r="I3045" s="23" t="str">
        <f t="shared" si="236"/>
        <v>Match</v>
      </c>
      <c r="J3045" s="23" t="str">
        <f t="shared" si="237"/>
        <v>Match</v>
      </c>
      <c r="K3045" s="24">
        <f t="shared" si="238"/>
        <v>0.81</v>
      </c>
      <c r="L3045" s="24">
        <f t="shared" si="239"/>
        <v>0</v>
      </c>
    </row>
    <row r="3046" spans="1:12" ht="15" customHeight="1" x14ac:dyDescent="0.3">
      <c r="A3046" s="23" t="s">
        <v>16052</v>
      </c>
      <c r="B3046" s="23" t="s">
        <v>75</v>
      </c>
      <c r="C3046" s="39">
        <v>3499</v>
      </c>
      <c r="D3046" s="24">
        <v>10.5</v>
      </c>
      <c r="E3046" s="24">
        <v>1.89</v>
      </c>
      <c r="F3046" s="23">
        <f>COUNTIFS(mdr_rate_cleaned!$A$2:$A$10,B3046,mdr_rate_cleaned!$B$2:$B$10,"&lt;"&amp;C3046,mdr_rate_cleaned!$F$2:$F$10,"&gt;="&amp;C3046)</f>
        <v>1</v>
      </c>
      <c r="G3046" s="40">
        <f>SUMIFS(mdr_rate_cleaned!$G$2:$G$10,mdr_rate_cleaned!$A$2:$A$10,B3046,mdr_rate_cleaned!$B$2:$B$10,"&lt;"&amp;C3046,mdr_rate_cleaned!$F$2:$F$10,"&gt;="&amp;C3046)</f>
        <v>3.0000000000000001E-3</v>
      </c>
      <c r="H3046" s="24">
        <f t="shared" si="235"/>
        <v>10.5</v>
      </c>
      <c r="I3046" s="23" t="str">
        <f t="shared" si="236"/>
        <v>Match</v>
      </c>
      <c r="J3046" s="23" t="str">
        <f t="shared" si="237"/>
        <v>Match</v>
      </c>
      <c r="K3046" s="24">
        <f t="shared" si="238"/>
        <v>1.89</v>
      </c>
      <c r="L3046" s="24">
        <f t="shared" si="239"/>
        <v>0</v>
      </c>
    </row>
    <row r="3047" spans="1:12" ht="15" customHeight="1" x14ac:dyDescent="0.3">
      <c r="A3047" s="23" t="s">
        <v>16053</v>
      </c>
      <c r="B3047" s="23" t="s">
        <v>79</v>
      </c>
      <c r="C3047" s="39">
        <v>9497</v>
      </c>
      <c r="D3047" s="24">
        <v>151.94999999999999</v>
      </c>
      <c r="E3047" s="24">
        <v>27.35</v>
      </c>
      <c r="F3047" s="23">
        <f>COUNTIFS(mdr_rate_cleaned!$A$2:$A$10,B3047,mdr_rate_cleaned!$B$2:$B$10,"&lt;"&amp;C3047,mdr_rate_cleaned!$F$2:$F$10,"&gt;="&amp;C3047)</f>
        <v>1</v>
      </c>
      <c r="G3047" s="40">
        <f>SUMIFS(mdr_rate_cleaned!$G$2:$G$10,mdr_rate_cleaned!$A$2:$A$10,B3047,mdr_rate_cleaned!$B$2:$B$10,"&lt;"&amp;C3047,mdr_rate_cleaned!$F$2:$F$10,"&gt;="&amp;C3047)</f>
        <v>1.6E-2</v>
      </c>
      <c r="H3047" s="24">
        <f t="shared" si="235"/>
        <v>151.94999999999999</v>
      </c>
      <c r="I3047" s="23" t="str">
        <f t="shared" si="236"/>
        <v>Match</v>
      </c>
      <c r="J3047" s="23" t="str">
        <f t="shared" si="237"/>
        <v>Match</v>
      </c>
      <c r="K3047" s="24">
        <f t="shared" si="238"/>
        <v>27.35</v>
      </c>
      <c r="L3047" s="24">
        <f t="shared" si="239"/>
        <v>0</v>
      </c>
    </row>
    <row r="3048" spans="1:12" ht="15" customHeight="1" x14ac:dyDescent="0.3">
      <c r="A3048" s="23" t="s">
        <v>16055</v>
      </c>
      <c r="B3048" s="23" t="s">
        <v>79</v>
      </c>
      <c r="C3048" s="39">
        <v>3947</v>
      </c>
      <c r="D3048" s="24">
        <v>63.15</v>
      </c>
      <c r="E3048" s="24">
        <v>11.37</v>
      </c>
      <c r="F3048" s="23">
        <f>COUNTIFS(mdr_rate_cleaned!$A$2:$A$10,B3048,mdr_rate_cleaned!$B$2:$B$10,"&lt;"&amp;C3048,mdr_rate_cleaned!$F$2:$F$10,"&gt;="&amp;C3048)</f>
        <v>1</v>
      </c>
      <c r="G3048" s="40">
        <f>SUMIFS(mdr_rate_cleaned!$G$2:$G$10,mdr_rate_cleaned!$A$2:$A$10,B3048,mdr_rate_cleaned!$B$2:$B$10,"&lt;"&amp;C3048,mdr_rate_cleaned!$F$2:$F$10,"&gt;="&amp;C3048)</f>
        <v>1.6E-2</v>
      </c>
      <c r="H3048" s="24">
        <f t="shared" si="235"/>
        <v>63.15</v>
      </c>
      <c r="I3048" s="23" t="str">
        <f t="shared" si="236"/>
        <v>Match</v>
      </c>
      <c r="J3048" s="23" t="str">
        <f t="shared" si="237"/>
        <v>Match</v>
      </c>
      <c r="K3048" s="24">
        <f t="shared" si="238"/>
        <v>11.37</v>
      </c>
      <c r="L3048" s="24">
        <f t="shared" si="239"/>
        <v>0</v>
      </c>
    </row>
    <row r="3049" spans="1:12" ht="15" customHeight="1" x14ac:dyDescent="0.3">
      <c r="A3049" s="23" t="s">
        <v>16057</v>
      </c>
      <c r="B3049" s="23" t="s">
        <v>77</v>
      </c>
      <c r="C3049" s="39">
        <v>1298</v>
      </c>
      <c r="D3049" s="24">
        <v>24.66</v>
      </c>
      <c r="E3049" s="24">
        <v>4.4400000000000004</v>
      </c>
      <c r="F3049" s="23">
        <f>COUNTIFS(mdr_rate_cleaned!$A$2:$A$10,B3049,mdr_rate_cleaned!$B$2:$B$10,"&lt;"&amp;C3049,mdr_rate_cleaned!$F$2:$F$10,"&gt;="&amp;C3049)</f>
        <v>1</v>
      </c>
      <c r="G3049" s="40">
        <f>SUMIFS(mdr_rate_cleaned!$G$2:$G$10,mdr_rate_cleaned!$A$2:$A$10,B3049,mdr_rate_cleaned!$B$2:$B$10,"&lt;"&amp;C3049,mdr_rate_cleaned!$F$2:$F$10,"&gt;="&amp;C3049)</f>
        <v>1.9E-2</v>
      </c>
      <c r="H3049" s="24">
        <f t="shared" si="235"/>
        <v>24.66</v>
      </c>
      <c r="I3049" s="23" t="str">
        <f t="shared" si="236"/>
        <v>Match</v>
      </c>
      <c r="J3049" s="23" t="str">
        <f t="shared" si="237"/>
        <v>Match</v>
      </c>
      <c r="K3049" s="24">
        <f t="shared" si="238"/>
        <v>4.4400000000000004</v>
      </c>
      <c r="L3049" s="24">
        <f t="shared" si="239"/>
        <v>0</v>
      </c>
    </row>
    <row r="3050" spans="1:12" ht="15" customHeight="1" x14ac:dyDescent="0.3">
      <c r="A3050" s="23" t="s">
        <v>16059</v>
      </c>
      <c r="B3050" s="23" t="s">
        <v>77</v>
      </c>
      <c r="C3050" s="39">
        <v>7999</v>
      </c>
      <c r="D3050" s="24">
        <v>135.97999999999999</v>
      </c>
      <c r="E3050" s="24">
        <v>24.48</v>
      </c>
      <c r="F3050" s="23">
        <f>COUNTIFS(mdr_rate_cleaned!$A$2:$A$10,B3050,mdr_rate_cleaned!$B$2:$B$10,"&lt;"&amp;C3050,mdr_rate_cleaned!$F$2:$F$10,"&gt;="&amp;C3050)</f>
        <v>1</v>
      </c>
      <c r="G3050" s="40">
        <f>SUMIFS(mdr_rate_cleaned!$G$2:$G$10,mdr_rate_cleaned!$A$2:$A$10,B3050,mdr_rate_cleaned!$B$2:$B$10,"&lt;"&amp;C3050,mdr_rate_cleaned!$F$2:$F$10,"&gt;="&amp;C3050)</f>
        <v>1.7000000000000001E-2</v>
      </c>
      <c r="H3050" s="24">
        <f t="shared" si="235"/>
        <v>135.97999999999999</v>
      </c>
      <c r="I3050" s="23" t="str">
        <f t="shared" si="236"/>
        <v>Match</v>
      </c>
      <c r="J3050" s="23" t="str">
        <f t="shared" si="237"/>
        <v>Match</v>
      </c>
      <c r="K3050" s="24">
        <f t="shared" si="238"/>
        <v>24.48</v>
      </c>
      <c r="L3050" s="24">
        <f t="shared" si="239"/>
        <v>0</v>
      </c>
    </row>
    <row r="3051" spans="1:12" ht="15" customHeight="1" x14ac:dyDescent="0.3">
      <c r="A3051" s="23" t="s">
        <v>16061</v>
      </c>
      <c r="B3051" s="23" t="s">
        <v>75</v>
      </c>
      <c r="C3051" s="39">
        <v>4998</v>
      </c>
      <c r="D3051" s="24">
        <v>14.99</v>
      </c>
      <c r="E3051" s="24">
        <v>2.7</v>
      </c>
      <c r="F3051" s="23">
        <f>COUNTIFS(mdr_rate_cleaned!$A$2:$A$10,B3051,mdr_rate_cleaned!$B$2:$B$10,"&lt;"&amp;C3051,mdr_rate_cleaned!$F$2:$F$10,"&gt;="&amp;C3051)</f>
        <v>1</v>
      </c>
      <c r="G3051" s="40">
        <f>SUMIFS(mdr_rate_cleaned!$G$2:$G$10,mdr_rate_cleaned!$A$2:$A$10,B3051,mdr_rate_cleaned!$B$2:$B$10,"&lt;"&amp;C3051,mdr_rate_cleaned!$F$2:$F$10,"&gt;="&amp;C3051)</f>
        <v>3.0000000000000001E-3</v>
      </c>
      <c r="H3051" s="24">
        <f t="shared" si="235"/>
        <v>14.99</v>
      </c>
      <c r="I3051" s="23" t="str">
        <f t="shared" si="236"/>
        <v>Match</v>
      </c>
      <c r="J3051" s="23" t="str">
        <f t="shared" si="237"/>
        <v>Match</v>
      </c>
      <c r="K3051" s="24">
        <f t="shared" si="238"/>
        <v>2.7</v>
      </c>
      <c r="L3051" s="24">
        <f t="shared" si="239"/>
        <v>0</v>
      </c>
    </row>
    <row r="3052" spans="1:12" ht="15" customHeight="1" x14ac:dyDescent="0.3">
      <c r="A3052" s="23" t="s">
        <v>16063</v>
      </c>
      <c r="B3052" s="23" t="s">
        <v>75</v>
      </c>
      <c r="C3052" s="39">
        <v>1299</v>
      </c>
      <c r="D3052" s="24">
        <v>0</v>
      </c>
      <c r="E3052" s="24">
        <v>0</v>
      </c>
      <c r="F3052" s="23">
        <f>COUNTIFS(mdr_rate_cleaned!$A$2:$A$10,B3052,mdr_rate_cleaned!$B$2:$B$10,"&lt;"&amp;C3052,mdr_rate_cleaned!$F$2:$F$10,"&gt;="&amp;C3052)</f>
        <v>1</v>
      </c>
      <c r="G3052" s="40">
        <f>SUMIFS(mdr_rate_cleaned!$G$2:$G$10,mdr_rate_cleaned!$A$2:$A$10,B3052,mdr_rate_cleaned!$B$2:$B$10,"&lt;"&amp;C3052,mdr_rate_cleaned!$F$2:$F$10,"&gt;="&amp;C3052)</f>
        <v>0</v>
      </c>
      <c r="H3052" s="24">
        <f t="shared" si="235"/>
        <v>0</v>
      </c>
      <c r="I3052" s="23" t="str">
        <f t="shared" si="236"/>
        <v>Match</v>
      </c>
      <c r="J3052" s="23" t="str">
        <f t="shared" si="237"/>
        <v>Match</v>
      </c>
      <c r="K3052" s="24">
        <f t="shared" si="238"/>
        <v>0</v>
      </c>
      <c r="L3052" s="24">
        <f t="shared" si="239"/>
        <v>0</v>
      </c>
    </row>
    <row r="3053" spans="1:12" ht="15" customHeight="1" x14ac:dyDescent="0.3">
      <c r="A3053" s="23" t="s">
        <v>16064</v>
      </c>
      <c r="B3053" s="23" t="s">
        <v>75</v>
      </c>
      <c r="C3053" s="39">
        <v>648</v>
      </c>
      <c r="D3053" s="24">
        <v>0</v>
      </c>
      <c r="E3053" s="24">
        <v>0</v>
      </c>
      <c r="F3053" s="23">
        <f>COUNTIFS(mdr_rate_cleaned!$A$2:$A$10,B3053,mdr_rate_cleaned!$B$2:$B$10,"&lt;"&amp;C3053,mdr_rate_cleaned!$F$2:$F$10,"&gt;="&amp;C3053)</f>
        <v>1</v>
      </c>
      <c r="G3053" s="40">
        <f>SUMIFS(mdr_rate_cleaned!$G$2:$G$10,mdr_rate_cleaned!$A$2:$A$10,B3053,mdr_rate_cleaned!$B$2:$B$10,"&lt;"&amp;C3053,mdr_rate_cleaned!$F$2:$F$10,"&gt;="&amp;C3053)</f>
        <v>0</v>
      </c>
      <c r="H3053" s="24">
        <f t="shared" si="235"/>
        <v>0</v>
      </c>
      <c r="I3053" s="23" t="str">
        <f t="shared" si="236"/>
        <v>Match</v>
      </c>
      <c r="J3053" s="23" t="str">
        <f t="shared" si="237"/>
        <v>Match</v>
      </c>
      <c r="K3053" s="24">
        <f t="shared" si="238"/>
        <v>0</v>
      </c>
      <c r="L3053" s="24">
        <f t="shared" si="239"/>
        <v>0</v>
      </c>
    </row>
    <row r="3054" spans="1:12" ht="15" customHeight="1" x14ac:dyDescent="0.3">
      <c r="A3054" s="23" t="s">
        <v>16065</v>
      </c>
      <c r="B3054" s="23" t="s">
        <v>75</v>
      </c>
      <c r="C3054" s="39">
        <v>299</v>
      </c>
      <c r="D3054" s="24">
        <v>0</v>
      </c>
      <c r="E3054" s="24">
        <v>0</v>
      </c>
      <c r="F3054" s="23">
        <f>COUNTIFS(mdr_rate_cleaned!$A$2:$A$10,B3054,mdr_rate_cleaned!$B$2:$B$10,"&lt;"&amp;C3054,mdr_rate_cleaned!$F$2:$F$10,"&gt;="&amp;C3054)</f>
        <v>1</v>
      </c>
      <c r="G3054" s="40">
        <f>SUMIFS(mdr_rate_cleaned!$G$2:$G$10,mdr_rate_cleaned!$A$2:$A$10,B3054,mdr_rate_cleaned!$B$2:$B$10,"&lt;"&amp;C3054,mdr_rate_cleaned!$F$2:$F$10,"&gt;="&amp;C3054)</f>
        <v>0</v>
      </c>
      <c r="H3054" s="24">
        <f t="shared" si="235"/>
        <v>0</v>
      </c>
      <c r="I3054" s="23" t="str">
        <f t="shared" si="236"/>
        <v>Match</v>
      </c>
      <c r="J3054" s="23" t="str">
        <f t="shared" si="237"/>
        <v>Match</v>
      </c>
      <c r="K3054" s="24">
        <f t="shared" si="238"/>
        <v>0</v>
      </c>
      <c r="L3054" s="24">
        <f t="shared" si="239"/>
        <v>0</v>
      </c>
    </row>
    <row r="3055" spans="1:12" ht="15" customHeight="1" x14ac:dyDescent="0.3">
      <c r="A3055" s="23" t="s">
        <v>16066</v>
      </c>
      <c r="B3055" s="23" t="s">
        <v>77</v>
      </c>
      <c r="C3055" s="39">
        <v>599</v>
      </c>
      <c r="D3055" s="24">
        <v>11.38</v>
      </c>
      <c r="E3055" s="24">
        <v>2.0499999999999998</v>
      </c>
      <c r="F3055" s="23">
        <f>COUNTIFS(mdr_rate_cleaned!$A$2:$A$10,B3055,mdr_rate_cleaned!$B$2:$B$10,"&lt;"&amp;C3055,mdr_rate_cleaned!$F$2:$F$10,"&gt;="&amp;C3055)</f>
        <v>1</v>
      </c>
      <c r="G3055" s="40">
        <f>SUMIFS(mdr_rate_cleaned!$G$2:$G$10,mdr_rate_cleaned!$A$2:$A$10,B3055,mdr_rate_cleaned!$B$2:$B$10,"&lt;"&amp;C3055,mdr_rate_cleaned!$F$2:$F$10,"&gt;="&amp;C3055)</f>
        <v>1.9E-2</v>
      </c>
      <c r="H3055" s="24">
        <f t="shared" si="235"/>
        <v>11.38</v>
      </c>
      <c r="I3055" s="23" t="str">
        <f t="shared" si="236"/>
        <v>Match</v>
      </c>
      <c r="J3055" s="23" t="str">
        <f t="shared" si="237"/>
        <v>Match</v>
      </c>
      <c r="K3055" s="24">
        <f t="shared" si="238"/>
        <v>2.0499999999999998</v>
      </c>
      <c r="L3055" s="24">
        <f t="shared" si="239"/>
        <v>0</v>
      </c>
    </row>
    <row r="3056" spans="1:12" ht="15" customHeight="1" x14ac:dyDescent="0.3">
      <c r="A3056" s="23" t="s">
        <v>16068</v>
      </c>
      <c r="B3056" s="23" t="s">
        <v>81</v>
      </c>
      <c r="C3056" s="39">
        <v>1798</v>
      </c>
      <c r="D3056" s="24">
        <v>26.97</v>
      </c>
      <c r="E3056" s="24">
        <v>4.8499999999999996</v>
      </c>
      <c r="F3056" s="23">
        <f>COUNTIFS(mdr_rate_cleaned!$A$2:$A$10,B3056,mdr_rate_cleaned!$B$2:$B$10,"&lt;"&amp;C3056,mdr_rate_cleaned!$F$2:$F$10,"&gt;="&amp;C3056)</f>
        <v>1</v>
      </c>
      <c r="G3056" s="40">
        <f>SUMIFS(mdr_rate_cleaned!$G$2:$G$10,mdr_rate_cleaned!$A$2:$A$10,B3056,mdr_rate_cleaned!$B$2:$B$10,"&lt;"&amp;C3056,mdr_rate_cleaned!$F$2:$F$10,"&gt;="&amp;C3056)</f>
        <v>1.4999999999999999E-2</v>
      </c>
      <c r="H3056" s="24">
        <f t="shared" si="235"/>
        <v>26.97</v>
      </c>
      <c r="I3056" s="23" t="str">
        <f t="shared" si="236"/>
        <v>Match</v>
      </c>
      <c r="J3056" s="23" t="str">
        <f t="shared" si="237"/>
        <v>Match</v>
      </c>
      <c r="K3056" s="24">
        <f t="shared" si="238"/>
        <v>4.8499999999999996</v>
      </c>
      <c r="L3056" s="24">
        <f t="shared" si="239"/>
        <v>0</v>
      </c>
    </row>
    <row r="3057" spans="1:12" ht="15" customHeight="1" x14ac:dyDescent="0.3">
      <c r="A3057" s="23" t="s">
        <v>16069</v>
      </c>
      <c r="B3057" s="23" t="s">
        <v>75</v>
      </c>
      <c r="C3057" s="39">
        <v>6297</v>
      </c>
      <c r="D3057" s="24">
        <v>18.89</v>
      </c>
      <c r="E3057" s="24">
        <v>3.4</v>
      </c>
      <c r="F3057" s="23">
        <f>COUNTIFS(mdr_rate_cleaned!$A$2:$A$10,B3057,mdr_rate_cleaned!$B$2:$B$10,"&lt;"&amp;C3057,mdr_rate_cleaned!$F$2:$F$10,"&gt;="&amp;C3057)</f>
        <v>1</v>
      </c>
      <c r="G3057" s="40">
        <f>SUMIFS(mdr_rate_cleaned!$G$2:$G$10,mdr_rate_cleaned!$A$2:$A$10,B3057,mdr_rate_cleaned!$B$2:$B$10,"&lt;"&amp;C3057,mdr_rate_cleaned!$F$2:$F$10,"&gt;="&amp;C3057)</f>
        <v>3.0000000000000001E-3</v>
      </c>
      <c r="H3057" s="24">
        <f t="shared" si="235"/>
        <v>18.89</v>
      </c>
      <c r="I3057" s="23" t="str">
        <f t="shared" si="236"/>
        <v>Match</v>
      </c>
      <c r="J3057" s="23" t="str">
        <f t="shared" si="237"/>
        <v>Match</v>
      </c>
      <c r="K3057" s="24">
        <f t="shared" si="238"/>
        <v>3.4</v>
      </c>
      <c r="L3057" s="24">
        <f t="shared" si="239"/>
        <v>0</v>
      </c>
    </row>
    <row r="3058" spans="1:12" ht="15" customHeight="1" x14ac:dyDescent="0.3">
      <c r="A3058" s="23" t="s">
        <v>16070</v>
      </c>
      <c r="B3058" s="23" t="s">
        <v>79</v>
      </c>
      <c r="C3058" s="39">
        <v>5798</v>
      </c>
      <c r="D3058" s="24">
        <v>92.77</v>
      </c>
      <c r="E3058" s="24">
        <v>16.7</v>
      </c>
      <c r="F3058" s="23">
        <f>COUNTIFS(mdr_rate_cleaned!$A$2:$A$10,B3058,mdr_rate_cleaned!$B$2:$B$10,"&lt;"&amp;C3058,mdr_rate_cleaned!$F$2:$F$10,"&gt;="&amp;C3058)</f>
        <v>1</v>
      </c>
      <c r="G3058" s="40">
        <f>SUMIFS(mdr_rate_cleaned!$G$2:$G$10,mdr_rate_cleaned!$A$2:$A$10,B3058,mdr_rate_cleaned!$B$2:$B$10,"&lt;"&amp;C3058,mdr_rate_cleaned!$F$2:$F$10,"&gt;="&amp;C3058)</f>
        <v>1.6E-2</v>
      </c>
      <c r="H3058" s="24">
        <f t="shared" si="235"/>
        <v>92.77</v>
      </c>
      <c r="I3058" s="23" t="str">
        <f t="shared" si="236"/>
        <v>Match</v>
      </c>
      <c r="J3058" s="23" t="str">
        <f t="shared" si="237"/>
        <v>Match</v>
      </c>
      <c r="K3058" s="24">
        <f t="shared" si="238"/>
        <v>16.7</v>
      </c>
      <c r="L3058" s="24">
        <f t="shared" si="239"/>
        <v>0</v>
      </c>
    </row>
    <row r="3059" spans="1:12" ht="15" customHeight="1" x14ac:dyDescent="0.3">
      <c r="A3059" s="23" t="s">
        <v>16071</v>
      </c>
      <c r="B3059" s="23" t="s">
        <v>77</v>
      </c>
      <c r="C3059" s="39">
        <v>10097</v>
      </c>
      <c r="D3059" s="24">
        <v>171.65</v>
      </c>
      <c r="E3059" s="24">
        <v>30.9</v>
      </c>
      <c r="F3059" s="23">
        <f>COUNTIFS(mdr_rate_cleaned!$A$2:$A$10,B3059,mdr_rate_cleaned!$B$2:$B$10,"&lt;"&amp;C3059,mdr_rate_cleaned!$F$2:$F$10,"&gt;="&amp;C3059)</f>
        <v>1</v>
      </c>
      <c r="G3059" s="40">
        <f>SUMIFS(mdr_rate_cleaned!$G$2:$G$10,mdr_rate_cleaned!$A$2:$A$10,B3059,mdr_rate_cleaned!$B$2:$B$10,"&lt;"&amp;C3059,mdr_rate_cleaned!$F$2:$F$10,"&gt;="&amp;C3059)</f>
        <v>1.7000000000000001E-2</v>
      </c>
      <c r="H3059" s="24">
        <f t="shared" si="235"/>
        <v>171.65</v>
      </c>
      <c r="I3059" s="23" t="str">
        <f t="shared" si="236"/>
        <v>Match</v>
      </c>
      <c r="J3059" s="23" t="str">
        <f t="shared" si="237"/>
        <v>Match</v>
      </c>
      <c r="K3059" s="24">
        <f t="shared" si="238"/>
        <v>30.9</v>
      </c>
      <c r="L3059" s="24">
        <f t="shared" si="239"/>
        <v>0</v>
      </c>
    </row>
    <row r="3060" spans="1:12" ht="15" customHeight="1" x14ac:dyDescent="0.3">
      <c r="A3060" s="23" t="s">
        <v>16072</v>
      </c>
      <c r="B3060" s="23" t="s">
        <v>75</v>
      </c>
      <c r="C3060" s="39">
        <v>2999</v>
      </c>
      <c r="D3060" s="24">
        <v>9</v>
      </c>
      <c r="E3060" s="24">
        <v>1.62</v>
      </c>
      <c r="F3060" s="23">
        <f>COUNTIFS(mdr_rate_cleaned!$A$2:$A$10,B3060,mdr_rate_cleaned!$B$2:$B$10,"&lt;"&amp;C3060,mdr_rate_cleaned!$F$2:$F$10,"&gt;="&amp;C3060)</f>
        <v>1</v>
      </c>
      <c r="G3060" s="40">
        <f>SUMIFS(mdr_rate_cleaned!$G$2:$G$10,mdr_rate_cleaned!$A$2:$A$10,B3060,mdr_rate_cleaned!$B$2:$B$10,"&lt;"&amp;C3060,mdr_rate_cleaned!$F$2:$F$10,"&gt;="&amp;C3060)</f>
        <v>3.0000000000000001E-3</v>
      </c>
      <c r="H3060" s="24">
        <f t="shared" si="235"/>
        <v>9</v>
      </c>
      <c r="I3060" s="23" t="str">
        <f t="shared" si="236"/>
        <v>Match</v>
      </c>
      <c r="J3060" s="23" t="str">
        <f t="shared" si="237"/>
        <v>Match</v>
      </c>
      <c r="K3060" s="24">
        <f t="shared" si="238"/>
        <v>1.62</v>
      </c>
      <c r="L3060" s="24">
        <f t="shared" si="239"/>
        <v>0</v>
      </c>
    </row>
    <row r="3061" spans="1:12" ht="15" customHeight="1" x14ac:dyDescent="0.3">
      <c r="A3061" s="23" t="s">
        <v>16073</v>
      </c>
      <c r="B3061" s="23" t="s">
        <v>75</v>
      </c>
      <c r="C3061" s="39">
        <v>7498</v>
      </c>
      <c r="D3061" s="24">
        <v>22.49</v>
      </c>
      <c r="E3061" s="24">
        <v>4.05</v>
      </c>
      <c r="F3061" s="23">
        <f>COUNTIFS(mdr_rate_cleaned!$A$2:$A$10,B3061,mdr_rate_cleaned!$B$2:$B$10,"&lt;"&amp;C3061,mdr_rate_cleaned!$F$2:$F$10,"&gt;="&amp;C3061)</f>
        <v>1</v>
      </c>
      <c r="G3061" s="40">
        <f>SUMIFS(mdr_rate_cleaned!$G$2:$G$10,mdr_rate_cleaned!$A$2:$A$10,B3061,mdr_rate_cleaned!$B$2:$B$10,"&lt;"&amp;C3061,mdr_rate_cleaned!$F$2:$F$10,"&gt;="&amp;C3061)</f>
        <v>3.0000000000000001E-3</v>
      </c>
      <c r="H3061" s="24">
        <f t="shared" si="235"/>
        <v>22.49</v>
      </c>
      <c r="I3061" s="23" t="str">
        <f t="shared" si="236"/>
        <v>Match</v>
      </c>
      <c r="J3061" s="23" t="str">
        <f t="shared" si="237"/>
        <v>Match</v>
      </c>
      <c r="K3061" s="24">
        <f t="shared" si="238"/>
        <v>4.05</v>
      </c>
      <c r="L3061" s="24">
        <f t="shared" si="239"/>
        <v>0</v>
      </c>
    </row>
    <row r="3062" spans="1:12" ht="15" customHeight="1" x14ac:dyDescent="0.3">
      <c r="A3062" s="23" t="s">
        <v>16074</v>
      </c>
      <c r="B3062" s="23" t="s">
        <v>75</v>
      </c>
      <c r="C3062" s="39">
        <v>2298</v>
      </c>
      <c r="D3062" s="24">
        <v>6.89</v>
      </c>
      <c r="E3062" s="24">
        <v>1.24</v>
      </c>
      <c r="F3062" s="23">
        <f>COUNTIFS(mdr_rate_cleaned!$A$2:$A$10,B3062,mdr_rate_cleaned!$B$2:$B$10,"&lt;"&amp;C3062,mdr_rate_cleaned!$F$2:$F$10,"&gt;="&amp;C3062)</f>
        <v>1</v>
      </c>
      <c r="G3062" s="40">
        <f>SUMIFS(mdr_rate_cleaned!$G$2:$G$10,mdr_rate_cleaned!$A$2:$A$10,B3062,mdr_rate_cleaned!$B$2:$B$10,"&lt;"&amp;C3062,mdr_rate_cleaned!$F$2:$F$10,"&gt;="&amp;C3062)</f>
        <v>3.0000000000000001E-3</v>
      </c>
      <c r="H3062" s="24">
        <f t="shared" si="235"/>
        <v>6.89</v>
      </c>
      <c r="I3062" s="23" t="str">
        <f t="shared" si="236"/>
        <v>Match</v>
      </c>
      <c r="J3062" s="23" t="str">
        <f t="shared" si="237"/>
        <v>Match</v>
      </c>
      <c r="K3062" s="24">
        <f t="shared" si="238"/>
        <v>1.24</v>
      </c>
      <c r="L3062" s="24">
        <f t="shared" si="239"/>
        <v>0</v>
      </c>
    </row>
    <row r="3063" spans="1:12" ht="15" customHeight="1" x14ac:dyDescent="0.3">
      <c r="A3063" s="23" t="s">
        <v>16075</v>
      </c>
      <c r="B3063" s="23" t="s">
        <v>75</v>
      </c>
      <c r="C3063" s="39">
        <v>3298</v>
      </c>
      <c r="D3063" s="24">
        <v>9.89</v>
      </c>
      <c r="E3063" s="24">
        <v>1.78</v>
      </c>
      <c r="F3063" s="23">
        <f>COUNTIFS(mdr_rate_cleaned!$A$2:$A$10,B3063,mdr_rate_cleaned!$B$2:$B$10,"&lt;"&amp;C3063,mdr_rate_cleaned!$F$2:$F$10,"&gt;="&amp;C3063)</f>
        <v>1</v>
      </c>
      <c r="G3063" s="40">
        <f>SUMIFS(mdr_rate_cleaned!$G$2:$G$10,mdr_rate_cleaned!$A$2:$A$10,B3063,mdr_rate_cleaned!$B$2:$B$10,"&lt;"&amp;C3063,mdr_rate_cleaned!$F$2:$F$10,"&gt;="&amp;C3063)</f>
        <v>3.0000000000000001E-3</v>
      </c>
      <c r="H3063" s="24">
        <f t="shared" si="235"/>
        <v>9.89</v>
      </c>
      <c r="I3063" s="23" t="str">
        <f t="shared" si="236"/>
        <v>Match</v>
      </c>
      <c r="J3063" s="23" t="str">
        <f t="shared" si="237"/>
        <v>Match</v>
      </c>
      <c r="K3063" s="24">
        <f t="shared" si="238"/>
        <v>1.78</v>
      </c>
      <c r="L3063" s="24">
        <f t="shared" si="239"/>
        <v>0</v>
      </c>
    </row>
    <row r="3064" spans="1:12" ht="15" customHeight="1" x14ac:dyDescent="0.3">
      <c r="A3064" s="23" t="s">
        <v>16076</v>
      </c>
      <c r="B3064" s="23" t="s">
        <v>75</v>
      </c>
      <c r="C3064" s="39">
        <v>12998</v>
      </c>
      <c r="D3064" s="24">
        <v>38.99</v>
      </c>
      <c r="E3064" s="24">
        <v>7.02</v>
      </c>
      <c r="F3064" s="23">
        <f>COUNTIFS(mdr_rate_cleaned!$A$2:$A$10,B3064,mdr_rate_cleaned!$B$2:$B$10,"&lt;"&amp;C3064,mdr_rate_cleaned!$F$2:$F$10,"&gt;="&amp;C3064)</f>
        <v>1</v>
      </c>
      <c r="G3064" s="40">
        <f>SUMIFS(mdr_rate_cleaned!$G$2:$G$10,mdr_rate_cleaned!$A$2:$A$10,B3064,mdr_rate_cleaned!$B$2:$B$10,"&lt;"&amp;C3064,mdr_rate_cleaned!$F$2:$F$10,"&gt;="&amp;C3064)</f>
        <v>3.0000000000000001E-3</v>
      </c>
      <c r="H3064" s="24">
        <f t="shared" si="235"/>
        <v>38.99</v>
      </c>
      <c r="I3064" s="23" t="str">
        <f t="shared" si="236"/>
        <v>Match</v>
      </c>
      <c r="J3064" s="23" t="str">
        <f t="shared" si="237"/>
        <v>Match</v>
      </c>
      <c r="K3064" s="24">
        <f t="shared" si="238"/>
        <v>7.02</v>
      </c>
      <c r="L3064" s="24">
        <f t="shared" si="239"/>
        <v>0</v>
      </c>
    </row>
    <row r="3065" spans="1:12" ht="15" customHeight="1" x14ac:dyDescent="0.3">
      <c r="A3065" s="23" t="s">
        <v>16077</v>
      </c>
      <c r="B3065" s="23" t="s">
        <v>75</v>
      </c>
      <c r="C3065" s="39">
        <v>1299</v>
      </c>
      <c r="D3065" s="24">
        <v>0</v>
      </c>
      <c r="E3065" s="24">
        <v>0</v>
      </c>
      <c r="F3065" s="23">
        <f>COUNTIFS(mdr_rate_cleaned!$A$2:$A$10,B3065,mdr_rate_cleaned!$B$2:$B$10,"&lt;"&amp;C3065,mdr_rate_cleaned!$F$2:$F$10,"&gt;="&amp;C3065)</f>
        <v>1</v>
      </c>
      <c r="G3065" s="40">
        <f>SUMIFS(mdr_rate_cleaned!$G$2:$G$10,mdr_rate_cleaned!$A$2:$A$10,B3065,mdr_rate_cleaned!$B$2:$B$10,"&lt;"&amp;C3065,mdr_rate_cleaned!$F$2:$F$10,"&gt;="&amp;C3065)</f>
        <v>0</v>
      </c>
      <c r="H3065" s="24">
        <f t="shared" si="235"/>
        <v>0</v>
      </c>
      <c r="I3065" s="23" t="str">
        <f t="shared" si="236"/>
        <v>Match</v>
      </c>
      <c r="J3065" s="23" t="str">
        <f t="shared" si="237"/>
        <v>Match</v>
      </c>
      <c r="K3065" s="24">
        <f t="shared" si="238"/>
        <v>0</v>
      </c>
      <c r="L3065" s="24">
        <f t="shared" si="239"/>
        <v>0</v>
      </c>
    </row>
    <row r="3066" spans="1:12" ht="15" customHeight="1" x14ac:dyDescent="0.3">
      <c r="A3066" s="23" t="s">
        <v>16078</v>
      </c>
      <c r="B3066" s="23" t="s">
        <v>79</v>
      </c>
      <c r="C3066" s="39">
        <v>10997</v>
      </c>
      <c r="D3066" s="24">
        <v>175.95</v>
      </c>
      <c r="E3066" s="24">
        <v>31.67</v>
      </c>
      <c r="F3066" s="23">
        <f>COUNTIFS(mdr_rate_cleaned!$A$2:$A$10,B3066,mdr_rate_cleaned!$B$2:$B$10,"&lt;"&amp;C3066,mdr_rate_cleaned!$F$2:$F$10,"&gt;="&amp;C3066)</f>
        <v>1</v>
      </c>
      <c r="G3066" s="40">
        <f>SUMIFS(mdr_rate_cleaned!$G$2:$G$10,mdr_rate_cleaned!$A$2:$A$10,B3066,mdr_rate_cleaned!$B$2:$B$10,"&lt;"&amp;C3066,mdr_rate_cleaned!$F$2:$F$10,"&gt;="&amp;C3066)</f>
        <v>1.6E-2</v>
      </c>
      <c r="H3066" s="24">
        <f t="shared" si="235"/>
        <v>175.95</v>
      </c>
      <c r="I3066" s="23" t="str">
        <f t="shared" si="236"/>
        <v>Match</v>
      </c>
      <c r="J3066" s="23" t="str">
        <f t="shared" si="237"/>
        <v>Match</v>
      </c>
      <c r="K3066" s="24">
        <f t="shared" si="238"/>
        <v>31.67</v>
      </c>
      <c r="L3066" s="24">
        <f t="shared" si="239"/>
        <v>0</v>
      </c>
    </row>
    <row r="3067" spans="1:12" ht="15" customHeight="1" x14ac:dyDescent="0.3">
      <c r="A3067" s="23" t="s">
        <v>16079</v>
      </c>
      <c r="B3067" s="23" t="s">
        <v>79</v>
      </c>
      <c r="C3067" s="39">
        <v>4097</v>
      </c>
      <c r="D3067" s="24">
        <v>65.55</v>
      </c>
      <c r="E3067" s="24">
        <v>11.8</v>
      </c>
      <c r="F3067" s="23">
        <f>COUNTIFS(mdr_rate_cleaned!$A$2:$A$10,B3067,mdr_rate_cleaned!$B$2:$B$10,"&lt;"&amp;C3067,mdr_rate_cleaned!$F$2:$F$10,"&gt;="&amp;C3067)</f>
        <v>1</v>
      </c>
      <c r="G3067" s="40">
        <f>SUMIFS(mdr_rate_cleaned!$G$2:$G$10,mdr_rate_cleaned!$A$2:$A$10,B3067,mdr_rate_cleaned!$B$2:$B$10,"&lt;"&amp;C3067,mdr_rate_cleaned!$F$2:$F$10,"&gt;="&amp;C3067)</f>
        <v>1.6E-2</v>
      </c>
      <c r="H3067" s="24">
        <f t="shared" si="235"/>
        <v>65.55</v>
      </c>
      <c r="I3067" s="23" t="str">
        <f t="shared" si="236"/>
        <v>Match</v>
      </c>
      <c r="J3067" s="23" t="str">
        <f t="shared" si="237"/>
        <v>Match</v>
      </c>
      <c r="K3067" s="24">
        <f t="shared" si="238"/>
        <v>11.8</v>
      </c>
      <c r="L3067" s="24">
        <f t="shared" si="239"/>
        <v>0</v>
      </c>
    </row>
    <row r="3068" spans="1:12" ht="15" customHeight="1" x14ac:dyDescent="0.3">
      <c r="A3068" s="23" t="s">
        <v>16080</v>
      </c>
      <c r="B3068" s="23" t="s">
        <v>75</v>
      </c>
      <c r="C3068" s="39">
        <v>2499</v>
      </c>
      <c r="D3068" s="24">
        <v>7.5</v>
      </c>
      <c r="E3068" s="24">
        <v>1.35</v>
      </c>
      <c r="F3068" s="23">
        <f>COUNTIFS(mdr_rate_cleaned!$A$2:$A$10,B3068,mdr_rate_cleaned!$B$2:$B$10,"&lt;"&amp;C3068,mdr_rate_cleaned!$F$2:$F$10,"&gt;="&amp;C3068)</f>
        <v>1</v>
      </c>
      <c r="G3068" s="40">
        <f>SUMIFS(mdr_rate_cleaned!$G$2:$G$10,mdr_rate_cleaned!$A$2:$A$10,B3068,mdr_rate_cleaned!$B$2:$B$10,"&lt;"&amp;C3068,mdr_rate_cleaned!$F$2:$F$10,"&gt;="&amp;C3068)</f>
        <v>3.0000000000000001E-3</v>
      </c>
      <c r="H3068" s="24">
        <f t="shared" si="235"/>
        <v>7.5</v>
      </c>
      <c r="I3068" s="23" t="str">
        <f t="shared" si="236"/>
        <v>Match</v>
      </c>
      <c r="J3068" s="23" t="str">
        <f t="shared" si="237"/>
        <v>Match</v>
      </c>
      <c r="K3068" s="24">
        <f t="shared" si="238"/>
        <v>1.35</v>
      </c>
      <c r="L3068" s="24">
        <f t="shared" si="239"/>
        <v>0</v>
      </c>
    </row>
    <row r="3069" spans="1:12" ht="15" customHeight="1" x14ac:dyDescent="0.3">
      <c r="A3069" s="23" t="s">
        <v>16081</v>
      </c>
      <c r="B3069" s="23" t="s">
        <v>75</v>
      </c>
      <c r="C3069" s="39">
        <v>4998</v>
      </c>
      <c r="D3069" s="24">
        <v>14.99</v>
      </c>
      <c r="E3069" s="24">
        <v>2.7</v>
      </c>
      <c r="F3069" s="23">
        <f>COUNTIFS(mdr_rate_cleaned!$A$2:$A$10,B3069,mdr_rate_cleaned!$B$2:$B$10,"&lt;"&amp;C3069,mdr_rate_cleaned!$F$2:$F$10,"&gt;="&amp;C3069)</f>
        <v>1</v>
      </c>
      <c r="G3069" s="40">
        <f>SUMIFS(mdr_rate_cleaned!$G$2:$G$10,mdr_rate_cleaned!$A$2:$A$10,B3069,mdr_rate_cleaned!$B$2:$B$10,"&lt;"&amp;C3069,mdr_rate_cleaned!$F$2:$F$10,"&gt;="&amp;C3069)</f>
        <v>3.0000000000000001E-3</v>
      </c>
      <c r="H3069" s="24">
        <f t="shared" si="235"/>
        <v>14.99</v>
      </c>
      <c r="I3069" s="23" t="str">
        <f t="shared" si="236"/>
        <v>Match</v>
      </c>
      <c r="J3069" s="23" t="str">
        <f t="shared" si="237"/>
        <v>Match</v>
      </c>
      <c r="K3069" s="24">
        <f t="shared" si="238"/>
        <v>2.7</v>
      </c>
      <c r="L3069" s="24">
        <f t="shared" si="239"/>
        <v>0</v>
      </c>
    </row>
    <row r="3070" spans="1:12" ht="15" customHeight="1" x14ac:dyDescent="0.3">
      <c r="A3070" s="23" t="s">
        <v>16083</v>
      </c>
      <c r="B3070" s="23" t="s">
        <v>79</v>
      </c>
      <c r="C3070" s="39">
        <v>999</v>
      </c>
      <c r="D3070" s="24">
        <v>17.98</v>
      </c>
      <c r="E3070" s="24">
        <v>3.24</v>
      </c>
      <c r="F3070" s="23">
        <f>COUNTIFS(mdr_rate_cleaned!$A$2:$A$10,B3070,mdr_rate_cleaned!$B$2:$B$10,"&lt;"&amp;C3070,mdr_rate_cleaned!$F$2:$F$10,"&gt;="&amp;C3070)</f>
        <v>1</v>
      </c>
      <c r="G3070" s="40">
        <f>SUMIFS(mdr_rate_cleaned!$G$2:$G$10,mdr_rate_cleaned!$A$2:$A$10,B3070,mdr_rate_cleaned!$B$2:$B$10,"&lt;"&amp;C3070,mdr_rate_cleaned!$F$2:$F$10,"&gt;="&amp;C3070)</f>
        <v>1.8000000000000002E-2</v>
      </c>
      <c r="H3070" s="24">
        <f t="shared" si="235"/>
        <v>17.98</v>
      </c>
      <c r="I3070" s="23" t="str">
        <f t="shared" si="236"/>
        <v>Match</v>
      </c>
      <c r="J3070" s="23" t="str">
        <f t="shared" si="237"/>
        <v>Match</v>
      </c>
      <c r="K3070" s="24">
        <f t="shared" si="238"/>
        <v>3.24</v>
      </c>
      <c r="L3070" s="24">
        <f t="shared" si="239"/>
        <v>0</v>
      </c>
    </row>
    <row r="3071" spans="1:12" ht="15" customHeight="1" x14ac:dyDescent="0.3">
      <c r="A3071" s="23" t="s">
        <v>16084</v>
      </c>
      <c r="B3071" s="23" t="s">
        <v>75</v>
      </c>
      <c r="C3071" s="39">
        <v>7999</v>
      </c>
      <c r="D3071" s="24">
        <v>24</v>
      </c>
      <c r="E3071" s="24">
        <v>4.32</v>
      </c>
      <c r="F3071" s="23">
        <f>COUNTIFS(mdr_rate_cleaned!$A$2:$A$10,B3071,mdr_rate_cleaned!$B$2:$B$10,"&lt;"&amp;C3071,mdr_rate_cleaned!$F$2:$F$10,"&gt;="&amp;C3071)</f>
        <v>1</v>
      </c>
      <c r="G3071" s="40">
        <f>SUMIFS(mdr_rate_cleaned!$G$2:$G$10,mdr_rate_cleaned!$A$2:$A$10,B3071,mdr_rate_cleaned!$B$2:$B$10,"&lt;"&amp;C3071,mdr_rate_cleaned!$F$2:$F$10,"&gt;="&amp;C3071)</f>
        <v>3.0000000000000001E-3</v>
      </c>
      <c r="H3071" s="24">
        <f t="shared" si="235"/>
        <v>24</v>
      </c>
      <c r="I3071" s="23" t="str">
        <f t="shared" si="236"/>
        <v>Match</v>
      </c>
      <c r="J3071" s="23" t="str">
        <f t="shared" si="237"/>
        <v>Match</v>
      </c>
      <c r="K3071" s="24">
        <f t="shared" si="238"/>
        <v>4.32</v>
      </c>
      <c r="L3071" s="24">
        <f t="shared" si="239"/>
        <v>0</v>
      </c>
    </row>
    <row r="3072" spans="1:12" ht="15" customHeight="1" x14ac:dyDescent="0.3">
      <c r="A3072" s="23" t="s">
        <v>16085</v>
      </c>
      <c r="B3072" s="23" t="s">
        <v>75</v>
      </c>
      <c r="C3072" s="39">
        <v>1798</v>
      </c>
      <c r="D3072" s="24">
        <v>0</v>
      </c>
      <c r="E3072" s="24">
        <v>0</v>
      </c>
      <c r="F3072" s="23">
        <f>COUNTIFS(mdr_rate_cleaned!$A$2:$A$10,B3072,mdr_rate_cleaned!$B$2:$B$10,"&lt;"&amp;C3072,mdr_rate_cleaned!$F$2:$F$10,"&gt;="&amp;C3072)</f>
        <v>1</v>
      </c>
      <c r="G3072" s="40">
        <f>SUMIFS(mdr_rate_cleaned!$G$2:$G$10,mdr_rate_cleaned!$A$2:$A$10,B3072,mdr_rate_cleaned!$B$2:$B$10,"&lt;"&amp;C3072,mdr_rate_cleaned!$F$2:$F$10,"&gt;="&amp;C3072)</f>
        <v>0</v>
      </c>
      <c r="H3072" s="24">
        <f t="shared" si="235"/>
        <v>0</v>
      </c>
      <c r="I3072" s="23" t="str">
        <f t="shared" si="236"/>
        <v>Match</v>
      </c>
      <c r="J3072" s="23" t="str">
        <f t="shared" si="237"/>
        <v>Match</v>
      </c>
      <c r="K3072" s="24">
        <f t="shared" si="238"/>
        <v>0</v>
      </c>
      <c r="L3072" s="24">
        <f t="shared" si="239"/>
        <v>0</v>
      </c>
    </row>
    <row r="3073" spans="1:12" ht="15" customHeight="1" x14ac:dyDescent="0.3">
      <c r="A3073" s="23" t="s">
        <v>16086</v>
      </c>
      <c r="B3073" s="23" t="s">
        <v>75</v>
      </c>
      <c r="C3073" s="39">
        <v>1299</v>
      </c>
      <c r="D3073" s="24">
        <v>0</v>
      </c>
      <c r="E3073" s="24">
        <v>0</v>
      </c>
      <c r="F3073" s="23">
        <f>COUNTIFS(mdr_rate_cleaned!$A$2:$A$10,B3073,mdr_rate_cleaned!$B$2:$B$10,"&lt;"&amp;C3073,mdr_rate_cleaned!$F$2:$F$10,"&gt;="&amp;C3073)</f>
        <v>1</v>
      </c>
      <c r="G3073" s="40">
        <f>SUMIFS(mdr_rate_cleaned!$G$2:$G$10,mdr_rate_cleaned!$A$2:$A$10,B3073,mdr_rate_cleaned!$B$2:$B$10,"&lt;"&amp;C3073,mdr_rate_cleaned!$F$2:$F$10,"&gt;="&amp;C3073)</f>
        <v>0</v>
      </c>
      <c r="H3073" s="24">
        <f t="shared" si="235"/>
        <v>0</v>
      </c>
      <c r="I3073" s="23" t="str">
        <f t="shared" si="236"/>
        <v>Match</v>
      </c>
      <c r="J3073" s="23" t="str">
        <f t="shared" si="237"/>
        <v>Match</v>
      </c>
      <c r="K3073" s="24">
        <f t="shared" si="238"/>
        <v>0</v>
      </c>
      <c r="L3073" s="24">
        <f t="shared" si="239"/>
        <v>0</v>
      </c>
    </row>
    <row r="3074" spans="1:12" ht="15" customHeight="1" x14ac:dyDescent="0.3">
      <c r="A3074" s="23" t="s">
        <v>16088</v>
      </c>
      <c r="B3074" s="23" t="s">
        <v>79</v>
      </c>
      <c r="C3074" s="39">
        <v>3098</v>
      </c>
      <c r="D3074" s="24">
        <v>49.57</v>
      </c>
      <c r="E3074" s="24">
        <v>8.92</v>
      </c>
      <c r="F3074" s="23">
        <f>COUNTIFS(mdr_rate_cleaned!$A$2:$A$10,B3074,mdr_rate_cleaned!$B$2:$B$10,"&lt;"&amp;C3074,mdr_rate_cleaned!$F$2:$F$10,"&gt;="&amp;C3074)</f>
        <v>1</v>
      </c>
      <c r="G3074" s="40">
        <f>SUMIFS(mdr_rate_cleaned!$G$2:$G$10,mdr_rate_cleaned!$A$2:$A$10,B3074,mdr_rate_cleaned!$B$2:$B$10,"&lt;"&amp;C3074,mdr_rate_cleaned!$F$2:$F$10,"&gt;="&amp;C3074)</f>
        <v>1.6E-2</v>
      </c>
      <c r="H3074" s="24">
        <f t="shared" ref="H3074:H3137" si="240">ROUND(C3074*G3074,2)</f>
        <v>49.57</v>
      </c>
      <c r="I3074" s="23" t="str">
        <f t="shared" ref="I3074:I3137" si="241">IF(ROUND(D3074-H3074,2)=0,"Match","Differs")</f>
        <v>Match</v>
      </c>
      <c r="J3074" s="23" t="str">
        <f t="shared" ref="J3074:J3137" si="242">IF(ROUND(E3074-ROUND(D3074*0.18,2),2)=0,"Match","Differs")</f>
        <v>Match</v>
      </c>
      <c r="K3074" s="24">
        <f t="shared" ref="K3074:K3137" si="243">ROUND(H3074*0.18,2)</f>
        <v>8.92</v>
      </c>
      <c r="L3074" s="24">
        <f t="shared" ref="L3074:L3137" si="244">ROUND(D3074+E3074-H3074-K3074,2)</f>
        <v>0</v>
      </c>
    </row>
    <row r="3075" spans="1:12" ht="15" customHeight="1" x14ac:dyDescent="0.3">
      <c r="A3075" s="23" t="s">
        <v>16089</v>
      </c>
      <c r="B3075" s="23" t="s">
        <v>75</v>
      </c>
      <c r="C3075" s="39">
        <v>2499</v>
      </c>
      <c r="D3075" s="24">
        <v>7.5</v>
      </c>
      <c r="E3075" s="24">
        <v>1.35</v>
      </c>
      <c r="F3075" s="23">
        <f>COUNTIFS(mdr_rate_cleaned!$A$2:$A$10,B3075,mdr_rate_cleaned!$B$2:$B$10,"&lt;"&amp;C3075,mdr_rate_cleaned!$F$2:$F$10,"&gt;="&amp;C3075)</f>
        <v>1</v>
      </c>
      <c r="G3075" s="40">
        <f>SUMIFS(mdr_rate_cleaned!$G$2:$G$10,mdr_rate_cleaned!$A$2:$A$10,B3075,mdr_rate_cleaned!$B$2:$B$10,"&lt;"&amp;C3075,mdr_rate_cleaned!$F$2:$F$10,"&gt;="&amp;C3075)</f>
        <v>3.0000000000000001E-3</v>
      </c>
      <c r="H3075" s="24">
        <f t="shared" si="240"/>
        <v>7.5</v>
      </c>
      <c r="I3075" s="23" t="str">
        <f t="shared" si="241"/>
        <v>Match</v>
      </c>
      <c r="J3075" s="23" t="str">
        <f t="shared" si="242"/>
        <v>Match</v>
      </c>
      <c r="K3075" s="24">
        <f t="shared" si="243"/>
        <v>1.35</v>
      </c>
      <c r="L3075" s="24">
        <f t="shared" si="244"/>
        <v>0</v>
      </c>
    </row>
    <row r="3076" spans="1:12" ht="15" customHeight="1" x14ac:dyDescent="0.3">
      <c r="A3076" s="23" t="s">
        <v>16090</v>
      </c>
      <c r="B3076" s="23" t="s">
        <v>75</v>
      </c>
      <c r="C3076" s="39">
        <v>1799</v>
      </c>
      <c r="D3076" s="24">
        <v>0</v>
      </c>
      <c r="E3076" s="24">
        <v>0</v>
      </c>
      <c r="F3076" s="23">
        <f>COUNTIFS(mdr_rate_cleaned!$A$2:$A$10,B3076,mdr_rate_cleaned!$B$2:$B$10,"&lt;"&amp;C3076,mdr_rate_cleaned!$F$2:$F$10,"&gt;="&amp;C3076)</f>
        <v>1</v>
      </c>
      <c r="G3076" s="40">
        <f>SUMIFS(mdr_rate_cleaned!$G$2:$G$10,mdr_rate_cleaned!$A$2:$A$10,B3076,mdr_rate_cleaned!$B$2:$B$10,"&lt;"&amp;C3076,mdr_rate_cleaned!$F$2:$F$10,"&gt;="&amp;C3076)</f>
        <v>0</v>
      </c>
      <c r="H3076" s="24">
        <f t="shared" si="240"/>
        <v>0</v>
      </c>
      <c r="I3076" s="23" t="str">
        <f t="shared" si="241"/>
        <v>Match</v>
      </c>
      <c r="J3076" s="23" t="str">
        <f t="shared" si="242"/>
        <v>Match</v>
      </c>
      <c r="K3076" s="24">
        <f t="shared" si="243"/>
        <v>0</v>
      </c>
      <c r="L3076" s="24">
        <f t="shared" si="244"/>
        <v>0</v>
      </c>
    </row>
    <row r="3077" spans="1:12" ht="15" customHeight="1" x14ac:dyDescent="0.3">
      <c r="A3077" s="23" t="s">
        <v>16091</v>
      </c>
      <c r="B3077" s="23" t="s">
        <v>75</v>
      </c>
      <c r="C3077" s="39">
        <v>999</v>
      </c>
      <c r="D3077" s="24">
        <v>0</v>
      </c>
      <c r="E3077" s="24">
        <v>0</v>
      </c>
      <c r="F3077" s="23">
        <f>COUNTIFS(mdr_rate_cleaned!$A$2:$A$10,B3077,mdr_rate_cleaned!$B$2:$B$10,"&lt;"&amp;C3077,mdr_rate_cleaned!$F$2:$F$10,"&gt;="&amp;C3077)</f>
        <v>1</v>
      </c>
      <c r="G3077" s="40">
        <f>SUMIFS(mdr_rate_cleaned!$G$2:$G$10,mdr_rate_cleaned!$A$2:$A$10,B3077,mdr_rate_cleaned!$B$2:$B$10,"&lt;"&amp;C3077,mdr_rate_cleaned!$F$2:$F$10,"&gt;="&amp;C3077)</f>
        <v>0</v>
      </c>
      <c r="H3077" s="24">
        <f t="shared" si="240"/>
        <v>0</v>
      </c>
      <c r="I3077" s="23" t="str">
        <f t="shared" si="241"/>
        <v>Match</v>
      </c>
      <c r="J3077" s="23" t="str">
        <f t="shared" si="242"/>
        <v>Match</v>
      </c>
      <c r="K3077" s="24">
        <f t="shared" si="243"/>
        <v>0</v>
      </c>
      <c r="L3077" s="24">
        <f t="shared" si="244"/>
        <v>0</v>
      </c>
    </row>
    <row r="3078" spans="1:12" ht="15" customHeight="1" x14ac:dyDescent="0.3">
      <c r="A3078" s="23" t="s">
        <v>16092</v>
      </c>
      <c r="B3078" s="23" t="s">
        <v>79</v>
      </c>
      <c r="C3078" s="39">
        <v>4999</v>
      </c>
      <c r="D3078" s="24">
        <v>79.98</v>
      </c>
      <c r="E3078" s="24">
        <v>14.4</v>
      </c>
      <c r="F3078" s="23">
        <f>COUNTIFS(mdr_rate_cleaned!$A$2:$A$10,B3078,mdr_rate_cleaned!$B$2:$B$10,"&lt;"&amp;C3078,mdr_rate_cleaned!$F$2:$F$10,"&gt;="&amp;C3078)</f>
        <v>1</v>
      </c>
      <c r="G3078" s="40">
        <f>SUMIFS(mdr_rate_cleaned!$G$2:$G$10,mdr_rate_cleaned!$A$2:$A$10,B3078,mdr_rate_cleaned!$B$2:$B$10,"&lt;"&amp;C3078,mdr_rate_cleaned!$F$2:$F$10,"&gt;="&amp;C3078)</f>
        <v>1.6E-2</v>
      </c>
      <c r="H3078" s="24">
        <f t="shared" si="240"/>
        <v>79.98</v>
      </c>
      <c r="I3078" s="23" t="str">
        <f t="shared" si="241"/>
        <v>Match</v>
      </c>
      <c r="J3078" s="23" t="str">
        <f t="shared" si="242"/>
        <v>Match</v>
      </c>
      <c r="K3078" s="24">
        <f t="shared" si="243"/>
        <v>14.4</v>
      </c>
      <c r="L3078" s="24">
        <f t="shared" si="244"/>
        <v>0</v>
      </c>
    </row>
    <row r="3079" spans="1:12" ht="15" customHeight="1" x14ac:dyDescent="0.3">
      <c r="A3079" s="23" t="s">
        <v>16093</v>
      </c>
      <c r="B3079" s="23" t="s">
        <v>79</v>
      </c>
      <c r="C3079" s="39">
        <v>2848</v>
      </c>
      <c r="D3079" s="24">
        <v>45.57</v>
      </c>
      <c r="E3079" s="24">
        <v>8.1999999999999993</v>
      </c>
      <c r="F3079" s="23">
        <f>COUNTIFS(mdr_rate_cleaned!$A$2:$A$10,B3079,mdr_rate_cleaned!$B$2:$B$10,"&lt;"&amp;C3079,mdr_rate_cleaned!$F$2:$F$10,"&gt;="&amp;C3079)</f>
        <v>1</v>
      </c>
      <c r="G3079" s="40">
        <f>SUMIFS(mdr_rate_cleaned!$G$2:$G$10,mdr_rate_cleaned!$A$2:$A$10,B3079,mdr_rate_cleaned!$B$2:$B$10,"&lt;"&amp;C3079,mdr_rate_cleaned!$F$2:$F$10,"&gt;="&amp;C3079)</f>
        <v>1.6E-2</v>
      </c>
      <c r="H3079" s="24">
        <f t="shared" si="240"/>
        <v>45.57</v>
      </c>
      <c r="I3079" s="23" t="str">
        <f t="shared" si="241"/>
        <v>Match</v>
      </c>
      <c r="J3079" s="23" t="str">
        <f t="shared" si="242"/>
        <v>Match</v>
      </c>
      <c r="K3079" s="24">
        <f t="shared" si="243"/>
        <v>8.1999999999999993</v>
      </c>
      <c r="L3079" s="24">
        <f t="shared" si="244"/>
        <v>0</v>
      </c>
    </row>
    <row r="3080" spans="1:12" ht="15" customHeight="1" x14ac:dyDescent="0.3">
      <c r="A3080" s="23" t="s">
        <v>16094</v>
      </c>
      <c r="B3080" s="23" t="s">
        <v>75</v>
      </c>
      <c r="C3080" s="39">
        <v>4999</v>
      </c>
      <c r="D3080" s="24">
        <v>15</v>
      </c>
      <c r="E3080" s="24">
        <v>2.7</v>
      </c>
      <c r="F3080" s="23">
        <f>COUNTIFS(mdr_rate_cleaned!$A$2:$A$10,B3080,mdr_rate_cleaned!$B$2:$B$10,"&lt;"&amp;C3080,mdr_rate_cleaned!$F$2:$F$10,"&gt;="&amp;C3080)</f>
        <v>1</v>
      </c>
      <c r="G3080" s="40">
        <f>SUMIFS(mdr_rate_cleaned!$G$2:$G$10,mdr_rate_cleaned!$A$2:$A$10,B3080,mdr_rate_cleaned!$B$2:$B$10,"&lt;"&amp;C3080,mdr_rate_cleaned!$F$2:$F$10,"&gt;="&amp;C3080)</f>
        <v>3.0000000000000001E-3</v>
      </c>
      <c r="H3080" s="24">
        <f t="shared" si="240"/>
        <v>15</v>
      </c>
      <c r="I3080" s="23" t="str">
        <f t="shared" si="241"/>
        <v>Match</v>
      </c>
      <c r="J3080" s="23" t="str">
        <f t="shared" si="242"/>
        <v>Match</v>
      </c>
      <c r="K3080" s="24">
        <f t="shared" si="243"/>
        <v>2.7</v>
      </c>
      <c r="L3080" s="24">
        <f t="shared" si="244"/>
        <v>0</v>
      </c>
    </row>
    <row r="3081" spans="1:12" ht="15" customHeight="1" x14ac:dyDescent="0.3">
      <c r="A3081" s="23" t="s">
        <v>16095</v>
      </c>
      <c r="B3081" s="23" t="s">
        <v>79</v>
      </c>
      <c r="C3081" s="39">
        <v>499</v>
      </c>
      <c r="D3081" s="24">
        <v>8.98</v>
      </c>
      <c r="E3081" s="24">
        <v>1.62</v>
      </c>
      <c r="F3081" s="23">
        <f>COUNTIFS(mdr_rate_cleaned!$A$2:$A$10,B3081,mdr_rate_cleaned!$B$2:$B$10,"&lt;"&amp;C3081,mdr_rate_cleaned!$F$2:$F$10,"&gt;="&amp;C3081)</f>
        <v>1</v>
      </c>
      <c r="G3081" s="40">
        <f>SUMIFS(mdr_rate_cleaned!$G$2:$G$10,mdr_rate_cleaned!$A$2:$A$10,B3081,mdr_rate_cleaned!$B$2:$B$10,"&lt;"&amp;C3081,mdr_rate_cleaned!$F$2:$F$10,"&gt;="&amp;C3081)</f>
        <v>1.8000000000000002E-2</v>
      </c>
      <c r="H3081" s="24">
        <f t="shared" si="240"/>
        <v>8.98</v>
      </c>
      <c r="I3081" s="23" t="str">
        <f t="shared" si="241"/>
        <v>Match</v>
      </c>
      <c r="J3081" s="23" t="str">
        <f t="shared" si="242"/>
        <v>Match</v>
      </c>
      <c r="K3081" s="24">
        <f t="shared" si="243"/>
        <v>1.62</v>
      </c>
      <c r="L3081" s="24">
        <f t="shared" si="244"/>
        <v>0</v>
      </c>
    </row>
    <row r="3082" spans="1:12" ht="15" customHeight="1" x14ac:dyDescent="0.3">
      <c r="A3082" s="23" t="s">
        <v>16096</v>
      </c>
      <c r="B3082" s="23" t="s">
        <v>75</v>
      </c>
      <c r="C3082" s="39">
        <v>4597</v>
      </c>
      <c r="D3082" s="24">
        <v>13.79</v>
      </c>
      <c r="E3082" s="24">
        <v>2.48</v>
      </c>
      <c r="F3082" s="23">
        <f>COUNTIFS(mdr_rate_cleaned!$A$2:$A$10,B3082,mdr_rate_cleaned!$B$2:$B$10,"&lt;"&amp;C3082,mdr_rate_cleaned!$F$2:$F$10,"&gt;="&amp;C3082)</f>
        <v>1</v>
      </c>
      <c r="G3082" s="40">
        <f>SUMIFS(mdr_rate_cleaned!$G$2:$G$10,mdr_rate_cleaned!$A$2:$A$10,B3082,mdr_rate_cleaned!$B$2:$B$10,"&lt;"&amp;C3082,mdr_rate_cleaned!$F$2:$F$10,"&gt;="&amp;C3082)</f>
        <v>3.0000000000000001E-3</v>
      </c>
      <c r="H3082" s="24">
        <f t="shared" si="240"/>
        <v>13.79</v>
      </c>
      <c r="I3082" s="23" t="str">
        <f t="shared" si="241"/>
        <v>Match</v>
      </c>
      <c r="J3082" s="23" t="str">
        <f t="shared" si="242"/>
        <v>Match</v>
      </c>
      <c r="K3082" s="24">
        <f t="shared" si="243"/>
        <v>2.48</v>
      </c>
      <c r="L3082" s="24">
        <f t="shared" si="244"/>
        <v>0</v>
      </c>
    </row>
    <row r="3083" spans="1:12" ht="15" customHeight="1" x14ac:dyDescent="0.3">
      <c r="A3083" s="23" t="s">
        <v>16097</v>
      </c>
      <c r="B3083" s="23" t="s">
        <v>75</v>
      </c>
      <c r="C3083" s="39">
        <v>5498</v>
      </c>
      <c r="D3083" s="24">
        <v>16.489999999999998</v>
      </c>
      <c r="E3083" s="24">
        <v>2.97</v>
      </c>
      <c r="F3083" s="23">
        <f>COUNTIFS(mdr_rate_cleaned!$A$2:$A$10,B3083,mdr_rate_cleaned!$B$2:$B$10,"&lt;"&amp;C3083,mdr_rate_cleaned!$F$2:$F$10,"&gt;="&amp;C3083)</f>
        <v>1</v>
      </c>
      <c r="G3083" s="40">
        <f>SUMIFS(mdr_rate_cleaned!$G$2:$G$10,mdr_rate_cleaned!$A$2:$A$10,B3083,mdr_rate_cleaned!$B$2:$B$10,"&lt;"&amp;C3083,mdr_rate_cleaned!$F$2:$F$10,"&gt;="&amp;C3083)</f>
        <v>3.0000000000000001E-3</v>
      </c>
      <c r="H3083" s="24">
        <f t="shared" si="240"/>
        <v>16.489999999999998</v>
      </c>
      <c r="I3083" s="23" t="str">
        <f t="shared" si="241"/>
        <v>Match</v>
      </c>
      <c r="J3083" s="23" t="str">
        <f t="shared" si="242"/>
        <v>Match</v>
      </c>
      <c r="K3083" s="24">
        <f t="shared" si="243"/>
        <v>2.97</v>
      </c>
      <c r="L3083" s="24">
        <f t="shared" si="244"/>
        <v>0</v>
      </c>
    </row>
    <row r="3084" spans="1:12" ht="15" customHeight="1" x14ac:dyDescent="0.3">
      <c r="A3084" s="23" t="s">
        <v>16098</v>
      </c>
      <c r="B3084" s="23" t="s">
        <v>79</v>
      </c>
      <c r="C3084" s="39">
        <v>10597</v>
      </c>
      <c r="D3084" s="24">
        <v>169.55</v>
      </c>
      <c r="E3084" s="24">
        <v>30.52</v>
      </c>
      <c r="F3084" s="23">
        <f>COUNTIFS(mdr_rate_cleaned!$A$2:$A$10,B3084,mdr_rate_cleaned!$B$2:$B$10,"&lt;"&amp;C3084,mdr_rate_cleaned!$F$2:$F$10,"&gt;="&amp;C3084)</f>
        <v>1</v>
      </c>
      <c r="G3084" s="40">
        <f>SUMIFS(mdr_rate_cleaned!$G$2:$G$10,mdr_rate_cleaned!$A$2:$A$10,B3084,mdr_rate_cleaned!$B$2:$B$10,"&lt;"&amp;C3084,mdr_rate_cleaned!$F$2:$F$10,"&gt;="&amp;C3084)</f>
        <v>1.6E-2</v>
      </c>
      <c r="H3084" s="24">
        <f t="shared" si="240"/>
        <v>169.55</v>
      </c>
      <c r="I3084" s="23" t="str">
        <f t="shared" si="241"/>
        <v>Match</v>
      </c>
      <c r="J3084" s="23" t="str">
        <f t="shared" si="242"/>
        <v>Match</v>
      </c>
      <c r="K3084" s="24">
        <f t="shared" si="243"/>
        <v>30.52</v>
      </c>
      <c r="L3084" s="24">
        <f t="shared" si="244"/>
        <v>0</v>
      </c>
    </row>
    <row r="3085" spans="1:12" ht="15" customHeight="1" x14ac:dyDescent="0.3">
      <c r="A3085" s="23" t="s">
        <v>16099</v>
      </c>
      <c r="B3085" s="23" t="s">
        <v>75</v>
      </c>
      <c r="C3085" s="39">
        <v>1397</v>
      </c>
      <c r="D3085" s="24">
        <v>0</v>
      </c>
      <c r="E3085" s="24">
        <v>0</v>
      </c>
      <c r="F3085" s="23">
        <f>COUNTIFS(mdr_rate_cleaned!$A$2:$A$10,B3085,mdr_rate_cleaned!$B$2:$B$10,"&lt;"&amp;C3085,mdr_rate_cleaned!$F$2:$F$10,"&gt;="&amp;C3085)</f>
        <v>1</v>
      </c>
      <c r="G3085" s="40">
        <f>SUMIFS(mdr_rate_cleaned!$G$2:$G$10,mdr_rate_cleaned!$A$2:$A$10,B3085,mdr_rate_cleaned!$B$2:$B$10,"&lt;"&amp;C3085,mdr_rate_cleaned!$F$2:$F$10,"&gt;="&amp;C3085)</f>
        <v>0</v>
      </c>
      <c r="H3085" s="24">
        <f t="shared" si="240"/>
        <v>0</v>
      </c>
      <c r="I3085" s="23" t="str">
        <f t="shared" si="241"/>
        <v>Match</v>
      </c>
      <c r="J3085" s="23" t="str">
        <f t="shared" si="242"/>
        <v>Match</v>
      </c>
      <c r="K3085" s="24">
        <f t="shared" si="243"/>
        <v>0</v>
      </c>
      <c r="L3085" s="24">
        <f t="shared" si="244"/>
        <v>0</v>
      </c>
    </row>
    <row r="3086" spans="1:12" ht="15" customHeight="1" x14ac:dyDescent="0.3">
      <c r="A3086" s="23" t="s">
        <v>16100</v>
      </c>
      <c r="B3086" s="23" t="s">
        <v>79</v>
      </c>
      <c r="C3086" s="39">
        <v>4999</v>
      </c>
      <c r="D3086" s="24">
        <v>79.98</v>
      </c>
      <c r="E3086" s="24">
        <v>14.4</v>
      </c>
      <c r="F3086" s="23">
        <f>COUNTIFS(mdr_rate_cleaned!$A$2:$A$10,B3086,mdr_rate_cleaned!$B$2:$B$10,"&lt;"&amp;C3086,mdr_rate_cleaned!$F$2:$F$10,"&gt;="&amp;C3086)</f>
        <v>1</v>
      </c>
      <c r="G3086" s="40">
        <f>SUMIFS(mdr_rate_cleaned!$G$2:$G$10,mdr_rate_cleaned!$A$2:$A$10,B3086,mdr_rate_cleaned!$B$2:$B$10,"&lt;"&amp;C3086,mdr_rate_cleaned!$F$2:$F$10,"&gt;="&amp;C3086)</f>
        <v>1.6E-2</v>
      </c>
      <c r="H3086" s="24">
        <f t="shared" si="240"/>
        <v>79.98</v>
      </c>
      <c r="I3086" s="23" t="str">
        <f t="shared" si="241"/>
        <v>Match</v>
      </c>
      <c r="J3086" s="23" t="str">
        <f t="shared" si="242"/>
        <v>Match</v>
      </c>
      <c r="K3086" s="24">
        <f t="shared" si="243"/>
        <v>14.4</v>
      </c>
      <c r="L3086" s="24">
        <f t="shared" si="244"/>
        <v>0</v>
      </c>
    </row>
    <row r="3087" spans="1:12" ht="15" customHeight="1" x14ac:dyDescent="0.3">
      <c r="A3087" s="23" t="s">
        <v>16101</v>
      </c>
      <c r="B3087" s="23" t="s">
        <v>75</v>
      </c>
      <c r="C3087" s="39">
        <v>499</v>
      </c>
      <c r="D3087" s="24">
        <v>0</v>
      </c>
      <c r="E3087" s="24">
        <v>0</v>
      </c>
      <c r="F3087" s="23">
        <f>COUNTIFS(mdr_rate_cleaned!$A$2:$A$10,B3087,mdr_rate_cleaned!$B$2:$B$10,"&lt;"&amp;C3087,mdr_rate_cleaned!$F$2:$F$10,"&gt;="&amp;C3087)</f>
        <v>1</v>
      </c>
      <c r="G3087" s="40">
        <f>SUMIFS(mdr_rate_cleaned!$G$2:$G$10,mdr_rate_cleaned!$A$2:$A$10,B3087,mdr_rate_cleaned!$B$2:$B$10,"&lt;"&amp;C3087,mdr_rate_cleaned!$F$2:$F$10,"&gt;="&amp;C3087)</f>
        <v>0</v>
      </c>
      <c r="H3087" s="24">
        <f t="shared" si="240"/>
        <v>0</v>
      </c>
      <c r="I3087" s="23" t="str">
        <f t="shared" si="241"/>
        <v>Match</v>
      </c>
      <c r="J3087" s="23" t="str">
        <f t="shared" si="242"/>
        <v>Match</v>
      </c>
      <c r="K3087" s="24">
        <f t="shared" si="243"/>
        <v>0</v>
      </c>
      <c r="L3087" s="24">
        <f t="shared" si="244"/>
        <v>0</v>
      </c>
    </row>
    <row r="3088" spans="1:12" ht="15" customHeight="1" x14ac:dyDescent="0.3">
      <c r="A3088" s="23" t="s">
        <v>16103</v>
      </c>
      <c r="B3088" s="23" t="s">
        <v>75</v>
      </c>
      <c r="C3088" s="39">
        <v>1299</v>
      </c>
      <c r="D3088" s="24">
        <v>0</v>
      </c>
      <c r="E3088" s="24">
        <v>0</v>
      </c>
      <c r="F3088" s="23">
        <f>COUNTIFS(mdr_rate_cleaned!$A$2:$A$10,B3088,mdr_rate_cleaned!$B$2:$B$10,"&lt;"&amp;C3088,mdr_rate_cleaned!$F$2:$F$10,"&gt;="&amp;C3088)</f>
        <v>1</v>
      </c>
      <c r="G3088" s="40">
        <f>SUMIFS(mdr_rate_cleaned!$G$2:$G$10,mdr_rate_cleaned!$A$2:$A$10,B3088,mdr_rate_cleaned!$B$2:$B$10,"&lt;"&amp;C3088,mdr_rate_cleaned!$F$2:$F$10,"&gt;="&amp;C3088)</f>
        <v>0</v>
      </c>
      <c r="H3088" s="24">
        <f t="shared" si="240"/>
        <v>0</v>
      </c>
      <c r="I3088" s="23" t="str">
        <f t="shared" si="241"/>
        <v>Match</v>
      </c>
      <c r="J3088" s="23" t="str">
        <f t="shared" si="242"/>
        <v>Match</v>
      </c>
      <c r="K3088" s="24">
        <f t="shared" si="243"/>
        <v>0</v>
      </c>
      <c r="L3088" s="24">
        <f t="shared" si="244"/>
        <v>0</v>
      </c>
    </row>
    <row r="3089" spans="1:12" ht="15" customHeight="1" x14ac:dyDescent="0.3">
      <c r="A3089" s="23" t="s">
        <v>16104</v>
      </c>
      <c r="B3089" s="23" t="s">
        <v>79</v>
      </c>
      <c r="C3089" s="39">
        <v>4999</v>
      </c>
      <c r="D3089" s="24">
        <v>79.98</v>
      </c>
      <c r="E3089" s="24">
        <v>14.4</v>
      </c>
      <c r="F3089" s="23">
        <f>COUNTIFS(mdr_rate_cleaned!$A$2:$A$10,B3089,mdr_rate_cleaned!$B$2:$B$10,"&lt;"&amp;C3089,mdr_rate_cleaned!$F$2:$F$10,"&gt;="&amp;C3089)</f>
        <v>1</v>
      </c>
      <c r="G3089" s="40">
        <f>SUMIFS(mdr_rate_cleaned!$G$2:$G$10,mdr_rate_cleaned!$A$2:$A$10,B3089,mdr_rate_cleaned!$B$2:$B$10,"&lt;"&amp;C3089,mdr_rate_cleaned!$F$2:$F$10,"&gt;="&amp;C3089)</f>
        <v>1.6E-2</v>
      </c>
      <c r="H3089" s="24">
        <f t="shared" si="240"/>
        <v>79.98</v>
      </c>
      <c r="I3089" s="23" t="str">
        <f t="shared" si="241"/>
        <v>Match</v>
      </c>
      <c r="J3089" s="23" t="str">
        <f t="shared" si="242"/>
        <v>Match</v>
      </c>
      <c r="K3089" s="24">
        <f t="shared" si="243"/>
        <v>14.4</v>
      </c>
      <c r="L3089" s="24">
        <f t="shared" si="244"/>
        <v>0</v>
      </c>
    </row>
    <row r="3090" spans="1:12" ht="15" customHeight="1" x14ac:dyDescent="0.3">
      <c r="A3090" s="23" t="s">
        <v>16105</v>
      </c>
      <c r="B3090" s="23" t="s">
        <v>75</v>
      </c>
      <c r="C3090" s="39">
        <v>6497</v>
      </c>
      <c r="D3090" s="24">
        <v>19.489999999999998</v>
      </c>
      <c r="E3090" s="24">
        <v>3.51</v>
      </c>
      <c r="F3090" s="23">
        <f>COUNTIFS(mdr_rate_cleaned!$A$2:$A$10,B3090,mdr_rate_cleaned!$B$2:$B$10,"&lt;"&amp;C3090,mdr_rate_cleaned!$F$2:$F$10,"&gt;="&amp;C3090)</f>
        <v>1</v>
      </c>
      <c r="G3090" s="40">
        <f>SUMIFS(mdr_rate_cleaned!$G$2:$G$10,mdr_rate_cleaned!$A$2:$A$10,B3090,mdr_rate_cleaned!$B$2:$B$10,"&lt;"&amp;C3090,mdr_rate_cleaned!$F$2:$F$10,"&gt;="&amp;C3090)</f>
        <v>3.0000000000000001E-3</v>
      </c>
      <c r="H3090" s="24">
        <f t="shared" si="240"/>
        <v>19.489999999999998</v>
      </c>
      <c r="I3090" s="23" t="str">
        <f t="shared" si="241"/>
        <v>Match</v>
      </c>
      <c r="J3090" s="23" t="str">
        <f t="shared" si="242"/>
        <v>Match</v>
      </c>
      <c r="K3090" s="24">
        <f t="shared" si="243"/>
        <v>3.51</v>
      </c>
      <c r="L3090" s="24">
        <f t="shared" si="244"/>
        <v>0</v>
      </c>
    </row>
    <row r="3091" spans="1:12" ht="15" customHeight="1" x14ac:dyDescent="0.3">
      <c r="A3091" s="23" t="s">
        <v>16106</v>
      </c>
      <c r="B3091" s="23" t="s">
        <v>81</v>
      </c>
      <c r="C3091" s="39">
        <v>599</v>
      </c>
      <c r="D3091" s="24">
        <v>8.99</v>
      </c>
      <c r="E3091" s="24">
        <v>1.62</v>
      </c>
      <c r="F3091" s="23">
        <f>COUNTIFS(mdr_rate_cleaned!$A$2:$A$10,B3091,mdr_rate_cleaned!$B$2:$B$10,"&lt;"&amp;C3091,mdr_rate_cleaned!$F$2:$F$10,"&gt;="&amp;C3091)</f>
        <v>1</v>
      </c>
      <c r="G3091" s="40">
        <f>SUMIFS(mdr_rate_cleaned!$G$2:$G$10,mdr_rate_cleaned!$A$2:$A$10,B3091,mdr_rate_cleaned!$B$2:$B$10,"&lt;"&amp;C3091,mdr_rate_cleaned!$F$2:$F$10,"&gt;="&amp;C3091)</f>
        <v>1.4999999999999999E-2</v>
      </c>
      <c r="H3091" s="24">
        <f t="shared" si="240"/>
        <v>8.99</v>
      </c>
      <c r="I3091" s="23" t="str">
        <f t="shared" si="241"/>
        <v>Match</v>
      </c>
      <c r="J3091" s="23" t="str">
        <f t="shared" si="242"/>
        <v>Match</v>
      </c>
      <c r="K3091" s="24">
        <f t="shared" si="243"/>
        <v>1.62</v>
      </c>
      <c r="L3091" s="24">
        <f t="shared" si="244"/>
        <v>0</v>
      </c>
    </row>
    <row r="3092" spans="1:12" ht="15" customHeight="1" x14ac:dyDescent="0.3">
      <c r="A3092" s="23" t="s">
        <v>16107</v>
      </c>
      <c r="B3092" s="23" t="s">
        <v>81</v>
      </c>
      <c r="C3092" s="39">
        <v>3499</v>
      </c>
      <c r="D3092" s="24">
        <v>41.99</v>
      </c>
      <c r="E3092" s="24">
        <v>7.56</v>
      </c>
      <c r="F3092" s="23">
        <f>COUNTIFS(mdr_rate_cleaned!$A$2:$A$10,B3092,mdr_rate_cleaned!$B$2:$B$10,"&lt;"&amp;C3092,mdr_rate_cleaned!$F$2:$F$10,"&gt;="&amp;C3092)</f>
        <v>1</v>
      </c>
      <c r="G3092" s="40">
        <f>SUMIFS(mdr_rate_cleaned!$G$2:$G$10,mdr_rate_cleaned!$A$2:$A$10,B3092,mdr_rate_cleaned!$B$2:$B$10,"&lt;"&amp;C3092,mdr_rate_cleaned!$F$2:$F$10,"&gt;="&amp;C3092)</f>
        <v>1.2E-2</v>
      </c>
      <c r="H3092" s="24">
        <f t="shared" si="240"/>
        <v>41.99</v>
      </c>
      <c r="I3092" s="23" t="str">
        <f t="shared" si="241"/>
        <v>Match</v>
      </c>
      <c r="J3092" s="23" t="str">
        <f t="shared" si="242"/>
        <v>Match</v>
      </c>
      <c r="K3092" s="24">
        <f t="shared" si="243"/>
        <v>7.56</v>
      </c>
      <c r="L3092" s="24">
        <f t="shared" si="244"/>
        <v>0</v>
      </c>
    </row>
    <row r="3093" spans="1:12" ht="15" customHeight="1" x14ac:dyDescent="0.3">
      <c r="A3093" s="23" t="s">
        <v>16108</v>
      </c>
      <c r="B3093" s="23" t="s">
        <v>75</v>
      </c>
      <c r="C3093" s="39">
        <v>999</v>
      </c>
      <c r="D3093" s="24">
        <v>0</v>
      </c>
      <c r="E3093" s="24">
        <v>0</v>
      </c>
      <c r="F3093" s="23">
        <f>COUNTIFS(mdr_rate_cleaned!$A$2:$A$10,B3093,mdr_rate_cleaned!$B$2:$B$10,"&lt;"&amp;C3093,mdr_rate_cleaned!$F$2:$F$10,"&gt;="&amp;C3093)</f>
        <v>1</v>
      </c>
      <c r="G3093" s="40">
        <f>SUMIFS(mdr_rate_cleaned!$G$2:$G$10,mdr_rate_cleaned!$A$2:$A$10,B3093,mdr_rate_cleaned!$B$2:$B$10,"&lt;"&amp;C3093,mdr_rate_cleaned!$F$2:$F$10,"&gt;="&amp;C3093)</f>
        <v>0</v>
      </c>
      <c r="H3093" s="24">
        <f t="shared" si="240"/>
        <v>0</v>
      </c>
      <c r="I3093" s="23" t="str">
        <f t="shared" si="241"/>
        <v>Match</v>
      </c>
      <c r="J3093" s="23" t="str">
        <f t="shared" si="242"/>
        <v>Match</v>
      </c>
      <c r="K3093" s="24">
        <f t="shared" si="243"/>
        <v>0</v>
      </c>
      <c r="L3093" s="24">
        <f t="shared" si="244"/>
        <v>0</v>
      </c>
    </row>
    <row r="3094" spans="1:12" ht="15" customHeight="1" x14ac:dyDescent="0.3">
      <c r="A3094" s="23" t="s">
        <v>16110</v>
      </c>
      <c r="B3094" s="23" t="s">
        <v>75</v>
      </c>
      <c r="C3094" s="39">
        <v>2998</v>
      </c>
      <c r="D3094" s="24">
        <v>8.99</v>
      </c>
      <c r="E3094" s="24">
        <v>1.62</v>
      </c>
      <c r="F3094" s="23">
        <f>COUNTIFS(mdr_rate_cleaned!$A$2:$A$10,B3094,mdr_rate_cleaned!$B$2:$B$10,"&lt;"&amp;C3094,mdr_rate_cleaned!$F$2:$F$10,"&gt;="&amp;C3094)</f>
        <v>1</v>
      </c>
      <c r="G3094" s="40">
        <f>SUMIFS(mdr_rate_cleaned!$G$2:$G$10,mdr_rate_cleaned!$A$2:$A$10,B3094,mdr_rate_cleaned!$B$2:$B$10,"&lt;"&amp;C3094,mdr_rate_cleaned!$F$2:$F$10,"&gt;="&amp;C3094)</f>
        <v>3.0000000000000001E-3</v>
      </c>
      <c r="H3094" s="24">
        <f t="shared" si="240"/>
        <v>8.99</v>
      </c>
      <c r="I3094" s="23" t="str">
        <f t="shared" si="241"/>
        <v>Match</v>
      </c>
      <c r="J3094" s="23" t="str">
        <f t="shared" si="242"/>
        <v>Match</v>
      </c>
      <c r="K3094" s="24">
        <f t="shared" si="243"/>
        <v>1.62</v>
      </c>
      <c r="L3094" s="24">
        <f t="shared" si="244"/>
        <v>0</v>
      </c>
    </row>
    <row r="3095" spans="1:12" ht="15" customHeight="1" x14ac:dyDescent="0.3">
      <c r="A3095" s="23" t="s">
        <v>16111</v>
      </c>
      <c r="B3095" s="23" t="s">
        <v>75</v>
      </c>
      <c r="C3095" s="39">
        <v>1299</v>
      </c>
      <c r="D3095" s="24">
        <v>0</v>
      </c>
      <c r="E3095" s="24">
        <v>0</v>
      </c>
      <c r="F3095" s="23">
        <f>COUNTIFS(mdr_rate_cleaned!$A$2:$A$10,B3095,mdr_rate_cleaned!$B$2:$B$10,"&lt;"&amp;C3095,mdr_rate_cleaned!$F$2:$F$10,"&gt;="&amp;C3095)</f>
        <v>1</v>
      </c>
      <c r="G3095" s="40">
        <f>SUMIFS(mdr_rate_cleaned!$G$2:$G$10,mdr_rate_cleaned!$A$2:$A$10,B3095,mdr_rate_cleaned!$B$2:$B$10,"&lt;"&amp;C3095,mdr_rate_cleaned!$F$2:$F$10,"&gt;="&amp;C3095)</f>
        <v>0</v>
      </c>
      <c r="H3095" s="24">
        <f t="shared" si="240"/>
        <v>0</v>
      </c>
      <c r="I3095" s="23" t="str">
        <f t="shared" si="241"/>
        <v>Match</v>
      </c>
      <c r="J3095" s="23" t="str">
        <f t="shared" si="242"/>
        <v>Match</v>
      </c>
      <c r="K3095" s="24">
        <f t="shared" si="243"/>
        <v>0</v>
      </c>
      <c r="L3095" s="24">
        <f t="shared" si="244"/>
        <v>0</v>
      </c>
    </row>
    <row r="3096" spans="1:12" ht="15" customHeight="1" x14ac:dyDescent="0.3">
      <c r="A3096" s="23" t="s">
        <v>16112</v>
      </c>
      <c r="B3096" s="23" t="s">
        <v>75</v>
      </c>
      <c r="C3096" s="39">
        <v>4999</v>
      </c>
      <c r="D3096" s="24">
        <v>15</v>
      </c>
      <c r="E3096" s="24">
        <v>2.7</v>
      </c>
      <c r="F3096" s="23">
        <f>COUNTIFS(mdr_rate_cleaned!$A$2:$A$10,B3096,mdr_rate_cleaned!$B$2:$B$10,"&lt;"&amp;C3096,mdr_rate_cleaned!$F$2:$F$10,"&gt;="&amp;C3096)</f>
        <v>1</v>
      </c>
      <c r="G3096" s="40">
        <f>SUMIFS(mdr_rate_cleaned!$G$2:$G$10,mdr_rate_cleaned!$A$2:$A$10,B3096,mdr_rate_cleaned!$B$2:$B$10,"&lt;"&amp;C3096,mdr_rate_cleaned!$F$2:$F$10,"&gt;="&amp;C3096)</f>
        <v>3.0000000000000001E-3</v>
      </c>
      <c r="H3096" s="24">
        <f t="shared" si="240"/>
        <v>15</v>
      </c>
      <c r="I3096" s="23" t="str">
        <f t="shared" si="241"/>
        <v>Match</v>
      </c>
      <c r="J3096" s="23" t="str">
        <f t="shared" si="242"/>
        <v>Match</v>
      </c>
      <c r="K3096" s="24">
        <f t="shared" si="243"/>
        <v>2.7</v>
      </c>
      <c r="L3096" s="24">
        <f t="shared" si="244"/>
        <v>0</v>
      </c>
    </row>
    <row r="3097" spans="1:12" ht="15" customHeight="1" x14ac:dyDescent="0.3">
      <c r="A3097" s="23" t="s">
        <v>16114</v>
      </c>
      <c r="B3097" s="23" t="s">
        <v>79</v>
      </c>
      <c r="C3097" s="39">
        <v>4647</v>
      </c>
      <c r="D3097" s="24">
        <v>74.349999999999994</v>
      </c>
      <c r="E3097" s="24">
        <v>13.38</v>
      </c>
      <c r="F3097" s="23">
        <f>COUNTIFS(mdr_rate_cleaned!$A$2:$A$10,B3097,mdr_rate_cleaned!$B$2:$B$10,"&lt;"&amp;C3097,mdr_rate_cleaned!$F$2:$F$10,"&gt;="&amp;C3097)</f>
        <v>1</v>
      </c>
      <c r="G3097" s="40">
        <f>SUMIFS(mdr_rate_cleaned!$G$2:$G$10,mdr_rate_cleaned!$A$2:$A$10,B3097,mdr_rate_cleaned!$B$2:$B$10,"&lt;"&amp;C3097,mdr_rate_cleaned!$F$2:$F$10,"&gt;="&amp;C3097)</f>
        <v>1.6E-2</v>
      </c>
      <c r="H3097" s="24">
        <f t="shared" si="240"/>
        <v>74.349999999999994</v>
      </c>
      <c r="I3097" s="23" t="str">
        <f t="shared" si="241"/>
        <v>Match</v>
      </c>
      <c r="J3097" s="23" t="str">
        <f t="shared" si="242"/>
        <v>Match</v>
      </c>
      <c r="K3097" s="24">
        <f t="shared" si="243"/>
        <v>13.38</v>
      </c>
      <c r="L3097" s="24">
        <f t="shared" si="244"/>
        <v>0</v>
      </c>
    </row>
    <row r="3098" spans="1:12" ht="15" customHeight="1" x14ac:dyDescent="0.3">
      <c r="A3098" s="23" t="s">
        <v>16116</v>
      </c>
      <c r="B3098" s="23" t="s">
        <v>75</v>
      </c>
      <c r="C3098" s="39">
        <v>2499</v>
      </c>
      <c r="D3098" s="24">
        <v>7.5</v>
      </c>
      <c r="E3098" s="24">
        <v>1.35</v>
      </c>
      <c r="F3098" s="23">
        <f>COUNTIFS(mdr_rate_cleaned!$A$2:$A$10,B3098,mdr_rate_cleaned!$B$2:$B$10,"&lt;"&amp;C3098,mdr_rate_cleaned!$F$2:$F$10,"&gt;="&amp;C3098)</f>
        <v>1</v>
      </c>
      <c r="G3098" s="40">
        <f>SUMIFS(mdr_rate_cleaned!$G$2:$G$10,mdr_rate_cleaned!$A$2:$A$10,B3098,mdr_rate_cleaned!$B$2:$B$10,"&lt;"&amp;C3098,mdr_rate_cleaned!$F$2:$F$10,"&gt;="&amp;C3098)</f>
        <v>3.0000000000000001E-3</v>
      </c>
      <c r="H3098" s="24">
        <f t="shared" si="240"/>
        <v>7.5</v>
      </c>
      <c r="I3098" s="23" t="str">
        <f t="shared" si="241"/>
        <v>Match</v>
      </c>
      <c r="J3098" s="23" t="str">
        <f t="shared" si="242"/>
        <v>Match</v>
      </c>
      <c r="K3098" s="24">
        <f t="shared" si="243"/>
        <v>1.35</v>
      </c>
      <c r="L3098" s="24">
        <f t="shared" si="244"/>
        <v>0</v>
      </c>
    </row>
    <row r="3099" spans="1:12" ht="15" customHeight="1" x14ac:dyDescent="0.3">
      <c r="A3099" s="23" t="s">
        <v>16117</v>
      </c>
      <c r="B3099" s="23" t="s">
        <v>81</v>
      </c>
      <c r="C3099" s="39">
        <v>2999</v>
      </c>
      <c r="D3099" s="24">
        <v>35.99</v>
      </c>
      <c r="E3099" s="24">
        <v>6.48</v>
      </c>
      <c r="F3099" s="23">
        <f>COUNTIFS(mdr_rate_cleaned!$A$2:$A$10,B3099,mdr_rate_cleaned!$B$2:$B$10,"&lt;"&amp;C3099,mdr_rate_cleaned!$F$2:$F$10,"&gt;="&amp;C3099)</f>
        <v>1</v>
      </c>
      <c r="G3099" s="40">
        <f>SUMIFS(mdr_rate_cleaned!$G$2:$G$10,mdr_rate_cleaned!$A$2:$A$10,B3099,mdr_rate_cleaned!$B$2:$B$10,"&lt;"&amp;C3099,mdr_rate_cleaned!$F$2:$F$10,"&gt;="&amp;C3099)</f>
        <v>1.2E-2</v>
      </c>
      <c r="H3099" s="24">
        <f t="shared" si="240"/>
        <v>35.99</v>
      </c>
      <c r="I3099" s="23" t="str">
        <f t="shared" si="241"/>
        <v>Match</v>
      </c>
      <c r="J3099" s="23" t="str">
        <f t="shared" si="242"/>
        <v>Match</v>
      </c>
      <c r="K3099" s="24">
        <f t="shared" si="243"/>
        <v>6.48</v>
      </c>
      <c r="L3099" s="24">
        <f t="shared" si="244"/>
        <v>0</v>
      </c>
    </row>
    <row r="3100" spans="1:12" ht="15" customHeight="1" x14ac:dyDescent="0.3">
      <c r="A3100" s="23" t="s">
        <v>16118</v>
      </c>
      <c r="B3100" s="23" t="s">
        <v>79</v>
      </c>
      <c r="C3100" s="39">
        <v>799</v>
      </c>
      <c r="D3100" s="24">
        <v>14.38</v>
      </c>
      <c r="E3100" s="24">
        <v>2.59</v>
      </c>
      <c r="F3100" s="23">
        <f>COUNTIFS(mdr_rate_cleaned!$A$2:$A$10,B3100,mdr_rate_cleaned!$B$2:$B$10,"&lt;"&amp;C3100,mdr_rate_cleaned!$F$2:$F$10,"&gt;="&amp;C3100)</f>
        <v>1</v>
      </c>
      <c r="G3100" s="40">
        <f>SUMIFS(mdr_rate_cleaned!$G$2:$G$10,mdr_rate_cleaned!$A$2:$A$10,B3100,mdr_rate_cleaned!$B$2:$B$10,"&lt;"&amp;C3100,mdr_rate_cleaned!$F$2:$F$10,"&gt;="&amp;C3100)</f>
        <v>1.8000000000000002E-2</v>
      </c>
      <c r="H3100" s="24">
        <f t="shared" si="240"/>
        <v>14.38</v>
      </c>
      <c r="I3100" s="23" t="str">
        <f t="shared" si="241"/>
        <v>Match</v>
      </c>
      <c r="J3100" s="23" t="str">
        <f t="shared" si="242"/>
        <v>Match</v>
      </c>
      <c r="K3100" s="24">
        <f t="shared" si="243"/>
        <v>2.59</v>
      </c>
      <c r="L3100" s="24">
        <f t="shared" si="244"/>
        <v>0</v>
      </c>
    </row>
    <row r="3101" spans="1:12" ht="15" customHeight="1" x14ac:dyDescent="0.3">
      <c r="A3101" s="23" t="s">
        <v>16119</v>
      </c>
      <c r="B3101" s="23" t="s">
        <v>77</v>
      </c>
      <c r="C3101" s="39">
        <v>3499</v>
      </c>
      <c r="D3101" s="24">
        <v>59.48</v>
      </c>
      <c r="E3101" s="24">
        <v>10.71</v>
      </c>
      <c r="F3101" s="23">
        <f>COUNTIFS(mdr_rate_cleaned!$A$2:$A$10,B3101,mdr_rate_cleaned!$B$2:$B$10,"&lt;"&amp;C3101,mdr_rate_cleaned!$F$2:$F$10,"&gt;="&amp;C3101)</f>
        <v>1</v>
      </c>
      <c r="G3101" s="40">
        <f>SUMIFS(mdr_rate_cleaned!$G$2:$G$10,mdr_rate_cleaned!$A$2:$A$10,B3101,mdr_rate_cleaned!$B$2:$B$10,"&lt;"&amp;C3101,mdr_rate_cleaned!$F$2:$F$10,"&gt;="&amp;C3101)</f>
        <v>1.7000000000000001E-2</v>
      </c>
      <c r="H3101" s="24">
        <f t="shared" si="240"/>
        <v>59.48</v>
      </c>
      <c r="I3101" s="23" t="str">
        <f t="shared" si="241"/>
        <v>Match</v>
      </c>
      <c r="J3101" s="23" t="str">
        <f t="shared" si="242"/>
        <v>Match</v>
      </c>
      <c r="K3101" s="24">
        <f t="shared" si="243"/>
        <v>10.71</v>
      </c>
      <c r="L3101" s="24">
        <f t="shared" si="244"/>
        <v>0</v>
      </c>
    </row>
    <row r="3102" spans="1:12" ht="15" customHeight="1" x14ac:dyDescent="0.3">
      <c r="A3102" s="23" t="s">
        <v>16120</v>
      </c>
      <c r="B3102" s="23" t="s">
        <v>75</v>
      </c>
      <c r="C3102" s="39">
        <v>7999</v>
      </c>
      <c r="D3102" s="24">
        <v>24</v>
      </c>
      <c r="E3102" s="24">
        <v>4.32</v>
      </c>
      <c r="F3102" s="23">
        <f>COUNTIFS(mdr_rate_cleaned!$A$2:$A$10,B3102,mdr_rate_cleaned!$B$2:$B$10,"&lt;"&amp;C3102,mdr_rate_cleaned!$F$2:$F$10,"&gt;="&amp;C3102)</f>
        <v>1</v>
      </c>
      <c r="G3102" s="40">
        <f>SUMIFS(mdr_rate_cleaned!$G$2:$G$10,mdr_rate_cleaned!$A$2:$A$10,B3102,mdr_rate_cleaned!$B$2:$B$10,"&lt;"&amp;C3102,mdr_rate_cleaned!$F$2:$F$10,"&gt;="&amp;C3102)</f>
        <v>3.0000000000000001E-3</v>
      </c>
      <c r="H3102" s="24">
        <f t="shared" si="240"/>
        <v>24</v>
      </c>
      <c r="I3102" s="23" t="str">
        <f t="shared" si="241"/>
        <v>Match</v>
      </c>
      <c r="J3102" s="23" t="str">
        <f t="shared" si="242"/>
        <v>Match</v>
      </c>
      <c r="K3102" s="24">
        <f t="shared" si="243"/>
        <v>4.32</v>
      </c>
      <c r="L3102" s="24">
        <f t="shared" si="244"/>
        <v>0</v>
      </c>
    </row>
    <row r="3103" spans="1:12" ht="15" customHeight="1" x14ac:dyDescent="0.3">
      <c r="A3103" s="23" t="s">
        <v>16122</v>
      </c>
      <c r="B3103" s="23" t="s">
        <v>81</v>
      </c>
      <c r="C3103" s="39">
        <v>5297</v>
      </c>
      <c r="D3103" s="24">
        <v>63.56</v>
      </c>
      <c r="E3103" s="24">
        <v>11.44</v>
      </c>
      <c r="F3103" s="23">
        <f>COUNTIFS(mdr_rate_cleaned!$A$2:$A$10,B3103,mdr_rate_cleaned!$B$2:$B$10,"&lt;"&amp;C3103,mdr_rate_cleaned!$F$2:$F$10,"&gt;="&amp;C3103)</f>
        <v>1</v>
      </c>
      <c r="G3103" s="40">
        <f>SUMIFS(mdr_rate_cleaned!$G$2:$G$10,mdr_rate_cleaned!$A$2:$A$10,B3103,mdr_rate_cleaned!$B$2:$B$10,"&lt;"&amp;C3103,mdr_rate_cleaned!$F$2:$F$10,"&gt;="&amp;C3103)</f>
        <v>1.2E-2</v>
      </c>
      <c r="H3103" s="24">
        <f t="shared" si="240"/>
        <v>63.56</v>
      </c>
      <c r="I3103" s="23" t="str">
        <f t="shared" si="241"/>
        <v>Match</v>
      </c>
      <c r="J3103" s="23" t="str">
        <f t="shared" si="242"/>
        <v>Match</v>
      </c>
      <c r="K3103" s="24">
        <f t="shared" si="243"/>
        <v>11.44</v>
      </c>
      <c r="L3103" s="24">
        <f t="shared" si="244"/>
        <v>0</v>
      </c>
    </row>
    <row r="3104" spans="1:12" ht="15" customHeight="1" x14ac:dyDescent="0.3">
      <c r="A3104" s="23" t="s">
        <v>16123</v>
      </c>
      <c r="B3104" s="23" t="s">
        <v>77</v>
      </c>
      <c r="C3104" s="39">
        <v>4097</v>
      </c>
      <c r="D3104" s="24">
        <v>69.650000000000006</v>
      </c>
      <c r="E3104" s="24">
        <v>12.54</v>
      </c>
      <c r="F3104" s="23">
        <f>COUNTIFS(mdr_rate_cleaned!$A$2:$A$10,B3104,mdr_rate_cleaned!$B$2:$B$10,"&lt;"&amp;C3104,mdr_rate_cleaned!$F$2:$F$10,"&gt;="&amp;C3104)</f>
        <v>1</v>
      </c>
      <c r="G3104" s="40">
        <f>SUMIFS(mdr_rate_cleaned!$G$2:$G$10,mdr_rate_cleaned!$A$2:$A$10,B3104,mdr_rate_cleaned!$B$2:$B$10,"&lt;"&amp;C3104,mdr_rate_cleaned!$F$2:$F$10,"&gt;="&amp;C3104)</f>
        <v>1.7000000000000001E-2</v>
      </c>
      <c r="H3104" s="24">
        <f t="shared" si="240"/>
        <v>69.650000000000006</v>
      </c>
      <c r="I3104" s="23" t="str">
        <f t="shared" si="241"/>
        <v>Match</v>
      </c>
      <c r="J3104" s="23" t="str">
        <f t="shared" si="242"/>
        <v>Match</v>
      </c>
      <c r="K3104" s="24">
        <f t="shared" si="243"/>
        <v>12.54</v>
      </c>
      <c r="L3104" s="24">
        <f t="shared" si="244"/>
        <v>0</v>
      </c>
    </row>
    <row r="3105" spans="1:12" ht="15" customHeight="1" x14ac:dyDescent="0.3">
      <c r="A3105" s="23" t="s">
        <v>16124</v>
      </c>
      <c r="B3105" s="23" t="s">
        <v>75</v>
      </c>
      <c r="C3105" s="39">
        <v>3598</v>
      </c>
      <c r="D3105" s="24">
        <v>10.79</v>
      </c>
      <c r="E3105" s="24">
        <v>1.94</v>
      </c>
      <c r="F3105" s="23">
        <f>COUNTIFS(mdr_rate_cleaned!$A$2:$A$10,B3105,mdr_rate_cleaned!$B$2:$B$10,"&lt;"&amp;C3105,mdr_rate_cleaned!$F$2:$F$10,"&gt;="&amp;C3105)</f>
        <v>1</v>
      </c>
      <c r="G3105" s="40">
        <f>SUMIFS(mdr_rate_cleaned!$G$2:$G$10,mdr_rate_cleaned!$A$2:$A$10,B3105,mdr_rate_cleaned!$B$2:$B$10,"&lt;"&amp;C3105,mdr_rate_cleaned!$F$2:$F$10,"&gt;="&amp;C3105)</f>
        <v>3.0000000000000001E-3</v>
      </c>
      <c r="H3105" s="24">
        <f t="shared" si="240"/>
        <v>10.79</v>
      </c>
      <c r="I3105" s="23" t="str">
        <f t="shared" si="241"/>
        <v>Match</v>
      </c>
      <c r="J3105" s="23" t="str">
        <f t="shared" si="242"/>
        <v>Match</v>
      </c>
      <c r="K3105" s="24">
        <f t="shared" si="243"/>
        <v>1.94</v>
      </c>
      <c r="L3105" s="24">
        <f t="shared" si="244"/>
        <v>0</v>
      </c>
    </row>
    <row r="3106" spans="1:12" ht="15" customHeight="1" x14ac:dyDescent="0.3">
      <c r="A3106" s="23" t="s">
        <v>16125</v>
      </c>
      <c r="B3106" s="23" t="s">
        <v>75</v>
      </c>
      <c r="C3106" s="39">
        <v>3298</v>
      </c>
      <c r="D3106" s="24">
        <v>9.89</v>
      </c>
      <c r="E3106" s="24">
        <v>1.78</v>
      </c>
      <c r="F3106" s="23">
        <f>COUNTIFS(mdr_rate_cleaned!$A$2:$A$10,B3106,mdr_rate_cleaned!$B$2:$B$10,"&lt;"&amp;C3106,mdr_rate_cleaned!$F$2:$F$10,"&gt;="&amp;C3106)</f>
        <v>1</v>
      </c>
      <c r="G3106" s="40">
        <f>SUMIFS(mdr_rate_cleaned!$G$2:$G$10,mdr_rate_cleaned!$A$2:$A$10,B3106,mdr_rate_cleaned!$B$2:$B$10,"&lt;"&amp;C3106,mdr_rate_cleaned!$F$2:$F$10,"&gt;="&amp;C3106)</f>
        <v>3.0000000000000001E-3</v>
      </c>
      <c r="H3106" s="24">
        <f t="shared" si="240"/>
        <v>9.89</v>
      </c>
      <c r="I3106" s="23" t="str">
        <f t="shared" si="241"/>
        <v>Match</v>
      </c>
      <c r="J3106" s="23" t="str">
        <f t="shared" si="242"/>
        <v>Match</v>
      </c>
      <c r="K3106" s="24">
        <f t="shared" si="243"/>
        <v>1.78</v>
      </c>
      <c r="L3106" s="24">
        <f t="shared" si="244"/>
        <v>0</v>
      </c>
    </row>
    <row r="3107" spans="1:12" ht="15" customHeight="1" x14ac:dyDescent="0.3">
      <c r="A3107" s="23" t="s">
        <v>16126</v>
      </c>
      <c r="B3107" s="23" t="s">
        <v>75</v>
      </c>
      <c r="C3107" s="39">
        <v>9998</v>
      </c>
      <c r="D3107" s="24">
        <v>29.99</v>
      </c>
      <c r="E3107" s="24">
        <v>5.4</v>
      </c>
      <c r="F3107" s="23">
        <f>COUNTIFS(mdr_rate_cleaned!$A$2:$A$10,B3107,mdr_rate_cleaned!$B$2:$B$10,"&lt;"&amp;C3107,mdr_rate_cleaned!$F$2:$F$10,"&gt;="&amp;C3107)</f>
        <v>1</v>
      </c>
      <c r="G3107" s="40">
        <f>SUMIFS(mdr_rate_cleaned!$G$2:$G$10,mdr_rate_cleaned!$A$2:$A$10,B3107,mdr_rate_cleaned!$B$2:$B$10,"&lt;"&amp;C3107,mdr_rate_cleaned!$F$2:$F$10,"&gt;="&amp;C3107)</f>
        <v>3.0000000000000001E-3</v>
      </c>
      <c r="H3107" s="24">
        <f t="shared" si="240"/>
        <v>29.99</v>
      </c>
      <c r="I3107" s="23" t="str">
        <f t="shared" si="241"/>
        <v>Match</v>
      </c>
      <c r="J3107" s="23" t="str">
        <f t="shared" si="242"/>
        <v>Match</v>
      </c>
      <c r="K3107" s="24">
        <f t="shared" si="243"/>
        <v>5.4</v>
      </c>
      <c r="L3107" s="24">
        <f t="shared" si="244"/>
        <v>0</v>
      </c>
    </row>
    <row r="3108" spans="1:12" ht="15" customHeight="1" x14ac:dyDescent="0.3">
      <c r="A3108" s="23" t="s">
        <v>16127</v>
      </c>
      <c r="B3108" s="23" t="s">
        <v>81</v>
      </c>
      <c r="C3108" s="39">
        <v>2298</v>
      </c>
      <c r="D3108" s="24">
        <v>27.58</v>
      </c>
      <c r="E3108" s="24">
        <v>4.96</v>
      </c>
      <c r="F3108" s="23">
        <f>COUNTIFS(mdr_rate_cleaned!$A$2:$A$10,B3108,mdr_rate_cleaned!$B$2:$B$10,"&lt;"&amp;C3108,mdr_rate_cleaned!$F$2:$F$10,"&gt;="&amp;C3108)</f>
        <v>1</v>
      </c>
      <c r="G3108" s="40">
        <f>SUMIFS(mdr_rate_cleaned!$G$2:$G$10,mdr_rate_cleaned!$A$2:$A$10,B3108,mdr_rate_cleaned!$B$2:$B$10,"&lt;"&amp;C3108,mdr_rate_cleaned!$F$2:$F$10,"&gt;="&amp;C3108)</f>
        <v>1.2E-2</v>
      </c>
      <c r="H3108" s="24">
        <f t="shared" si="240"/>
        <v>27.58</v>
      </c>
      <c r="I3108" s="23" t="str">
        <f t="shared" si="241"/>
        <v>Match</v>
      </c>
      <c r="J3108" s="23" t="str">
        <f t="shared" si="242"/>
        <v>Match</v>
      </c>
      <c r="K3108" s="24">
        <f t="shared" si="243"/>
        <v>4.96</v>
      </c>
      <c r="L3108" s="24">
        <f t="shared" si="244"/>
        <v>0</v>
      </c>
    </row>
    <row r="3109" spans="1:12" ht="15" customHeight="1" x14ac:dyDescent="0.3">
      <c r="A3109" s="23" t="s">
        <v>16128</v>
      </c>
      <c r="B3109" s="23" t="s">
        <v>79</v>
      </c>
      <c r="C3109" s="39">
        <v>2499</v>
      </c>
      <c r="D3109" s="24">
        <v>39.979999999999997</v>
      </c>
      <c r="E3109" s="24">
        <v>7.2</v>
      </c>
      <c r="F3109" s="23">
        <f>COUNTIFS(mdr_rate_cleaned!$A$2:$A$10,B3109,mdr_rate_cleaned!$B$2:$B$10,"&lt;"&amp;C3109,mdr_rate_cleaned!$F$2:$F$10,"&gt;="&amp;C3109)</f>
        <v>1</v>
      </c>
      <c r="G3109" s="40">
        <f>SUMIFS(mdr_rate_cleaned!$G$2:$G$10,mdr_rate_cleaned!$A$2:$A$10,B3109,mdr_rate_cleaned!$B$2:$B$10,"&lt;"&amp;C3109,mdr_rate_cleaned!$F$2:$F$10,"&gt;="&amp;C3109)</f>
        <v>1.6E-2</v>
      </c>
      <c r="H3109" s="24">
        <f t="shared" si="240"/>
        <v>39.979999999999997</v>
      </c>
      <c r="I3109" s="23" t="str">
        <f t="shared" si="241"/>
        <v>Match</v>
      </c>
      <c r="J3109" s="23" t="str">
        <f t="shared" si="242"/>
        <v>Match</v>
      </c>
      <c r="K3109" s="24">
        <f t="shared" si="243"/>
        <v>7.2</v>
      </c>
      <c r="L3109" s="24">
        <f t="shared" si="244"/>
        <v>0</v>
      </c>
    </row>
    <row r="3110" spans="1:12" ht="15" customHeight="1" x14ac:dyDescent="0.3">
      <c r="A3110" s="23" t="s">
        <v>16130</v>
      </c>
      <c r="B3110" s="23" t="s">
        <v>79</v>
      </c>
      <c r="C3110" s="39">
        <v>1299</v>
      </c>
      <c r="D3110" s="24">
        <v>23.38</v>
      </c>
      <c r="E3110" s="24">
        <v>4.21</v>
      </c>
      <c r="F3110" s="23">
        <f>COUNTIFS(mdr_rate_cleaned!$A$2:$A$10,B3110,mdr_rate_cleaned!$B$2:$B$10,"&lt;"&amp;C3110,mdr_rate_cleaned!$F$2:$F$10,"&gt;="&amp;C3110)</f>
        <v>1</v>
      </c>
      <c r="G3110" s="40">
        <f>SUMIFS(mdr_rate_cleaned!$G$2:$G$10,mdr_rate_cleaned!$A$2:$A$10,B3110,mdr_rate_cleaned!$B$2:$B$10,"&lt;"&amp;C3110,mdr_rate_cleaned!$F$2:$F$10,"&gt;="&amp;C3110)</f>
        <v>1.8000000000000002E-2</v>
      </c>
      <c r="H3110" s="24">
        <f t="shared" si="240"/>
        <v>23.38</v>
      </c>
      <c r="I3110" s="23" t="str">
        <f t="shared" si="241"/>
        <v>Match</v>
      </c>
      <c r="J3110" s="23" t="str">
        <f t="shared" si="242"/>
        <v>Match</v>
      </c>
      <c r="K3110" s="24">
        <f t="shared" si="243"/>
        <v>4.21</v>
      </c>
      <c r="L3110" s="24">
        <f t="shared" si="244"/>
        <v>0</v>
      </c>
    </row>
    <row r="3111" spans="1:12" ht="15" customHeight="1" x14ac:dyDescent="0.3">
      <c r="A3111" s="23" t="s">
        <v>16131</v>
      </c>
      <c r="B3111" s="23" t="s">
        <v>79</v>
      </c>
      <c r="C3111" s="39">
        <v>6498</v>
      </c>
      <c r="D3111" s="24">
        <v>103.97</v>
      </c>
      <c r="E3111" s="24">
        <v>18.71</v>
      </c>
      <c r="F3111" s="23">
        <f>COUNTIFS(mdr_rate_cleaned!$A$2:$A$10,B3111,mdr_rate_cleaned!$B$2:$B$10,"&lt;"&amp;C3111,mdr_rate_cleaned!$F$2:$F$10,"&gt;="&amp;C3111)</f>
        <v>1</v>
      </c>
      <c r="G3111" s="40">
        <f>SUMIFS(mdr_rate_cleaned!$G$2:$G$10,mdr_rate_cleaned!$A$2:$A$10,B3111,mdr_rate_cleaned!$B$2:$B$10,"&lt;"&amp;C3111,mdr_rate_cleaned!$F$2:$F$10,"&gt;="&amp;C3111)</f>
        <v>1.6E-2</v>
      </c>
      <c r="H3111" s="24">
        <f t="shared" si="240"/>
        <v>103.97</v>
      </c>
      <c r="I3111" s="23" t="str">
        <f t="shared" si="241"/>
        <v>Match</v>
      </c>
      <c r="J3111" s="23" t="str">
        <f t="shared" si="242"/>
        <v>Match</v>
      </c>
      <c r="K3111" s="24">
        <f t="shared" si="243"/>
        <v>18.71</v>
      </c>
      <c r="L3111" s="24">
        <f t="shared" si="244"/>
        <v>0</v>
      </c>
    </row>
    <row r="3112" spans="1:12" ht="15" customHeight="1" x14ac:dyDescent="0.3">
      <c r="A3112" s="23" t="s">
        <v>16132</v>
      </c>
      <c r="B3112" s="23" t="s">
        <v>77</v>
      </c>
      <c r="C3112" s="39">
        <v>1499</v>
      </c>
      <c r="D3112" s="24">
        <v>28.48</v>
      </c>
      <c r="E3112" s="24">
        <v>5.13</v>
      </c>
      <c r="F3112" s="23">
        <f>COUNTIFS(mdr_rate_cleaned!$A$2:$A$10,B3112,mdr_rate_cleaned!$B$2:$B$10,"&lt;"&amp;C3112,mdr_rate_cleaned!$F$2:$F$10,"&gt;="&amp;C3112)</f>
        <v>1</v>
      </c>
      <c r="G3112" s="40">
        <f>SUMIFS(mdr_rate_cleaned!$G$2:$G$10,mdr_rate_cleaned!$A$2:$A$10,B3112,mdr_rate_cleaned!$B$2:$B$10,"&lt;"&amp;C3112,mdr_rate_cleaned!$F$2:$F$10,"&gt;="&amp;C3112)</f>
        <v>1.9E-2</v>
      </c>
      <c r="H3112" s="24">
        <f t="shared" si="240"/>
        <v>28.48</v>
      </c>
      <c r="I3112" s="23" t="str">
        <f t="shared" si="241"/>
        <v>Match</v>
      </c>
      <c r="J3112" s="23" t="str">
        <f t="shared" si="242"/>
        <v>Match</v>
      </c>
      <c r="K3112" s="24">
        <f t="shared" si="243"/>
        <v>5.13</v>
      </c>
      <c r="L3112" s="24">
        <f t="shared" si="244"/>
        <v>0</v>
      </c>
    </row>
    <row r="3113" spans="1:12" ht="15" customHeight="1" x14ac:dyDescent="0.3">
      <c r="A3113" s="23" t="s">
        <v>16133</v>
      </c>
      <c r="B3113" s="23" t="s">
        <v>79</v>
      </c>
      <c r="C3113" s="39">
        <v>7999</v>
      </c>
      <c r="D3113" s="24">
        <v>127.98</v>
      </c>
      <c r="E3113" s="24">
        <v>23.04</v>
      </c>
      <c r="F3113" s="23">
        <f>COUNTIFS(mdr_rate_cleaned!$A$2:$A$10,B3113,mdr_rate_cleaned!$B$2:$B$10,"&lt;"&amp;C3113,mdr_rate_cleaned!$F$2:$F$10,"&gt;="&amp;C3113)</f>
        <v>1</v>
      </c>
      <c r="G3113" s="40">
        <f>SUMIFS(mdr_rate_cleaned!$G$2:$G$10,mdr_rate_cleaned!$A$2:$A$10,B3113,mdr_rate_cleaned!$B$2:$B$10,"&lt;"&amp;C3113,mdr_rate_cleaned!$F$2:$F$10,"&gt;="&amp;C3113)</f>
        <v>1.6E-2</v>
      </c>
      <c r="H3113" s="24">
        <f t="shared" si="240"/>
        <v>127.98</v>
      </c>
      <c r="I3113" s="23" t="str">
        <f t="shared" si="241"/>
        <v>Match</v>
      </c>
      <c r="J3113" s="23" t="str">
        <f t="shared" si="242"/>
        <v>Match</v>
      </c>
      <c r="K3113" s="24">
        <f t="shared" si="243"/>
        <v>23.04</v>
      </c>
      <c r="L3113" s="24">
        <f t="shared" si="244"/>
        <v>0</v>
      </c>
    </row>
    <row r="3114" spans="1:12" ht="15" customHeight="1" x14ac:dyDescent="0.3">
      <c r="A3114" s="23" t="s">
        <v>16134</v>
      </c>
      <c r="B3114" s="23" t="s">
        <v>77</v>
      </c>
      <c r="C3114" s="39">
        <v>1499</v>
      </c>
      <c r="D3114" s="24">
        <v>28.48</v>
      </c>
      <c r="E3114" s="24">
        <v>5.13</v>
      </c>
      <c r="F3114" s="23">
        <f>COUNTIFS(mdr_rate_cleaned!$A$2:$A$10,B3114,mdr_rate_cleaned!$B$2:$B$10,"&lt;"&amp;C3114,mdr_rate_cleaned!$F$2:$F$10,"&gt;="&amp;C3114)</f>
        <v>1</v>
      </c>
      <c r="G3114" s="40">
        <f>SUMIFS(mdr_rate_cleaned!$G$2:$G$10,mdr_rate_cleaned!$A$2:$A$10,B3114,mdr_rate_cleaned!$B$2:$B$10,"&lt;"&amp;C3114,mdr_rate_cleaned!$F$2:$F$10,"&gt;="&amp;C3114)</f>
        <v>1.9E-2</v>
      </c>
      <c r="H3114" s="24">
        <f t="shared" si="240"/>
        <v>28.48</v>
      </c>
      <c r="I3114" s="23" t="str">
        <f t="shared" si="241"/>
        <v>Match</v>
      </c>
      <c r="J3114" s="23" t="str">
        <f t="shared" si="242"/>
        <v>Match</v>
      </c>
      <c r="K3114" s="24">
        <f t="shared" si="243"/>
        <v>5.13</v>
      </c>
      <c r="L3114" s="24">
        <f t="shared" si="244"/>
        <v>0</v>
      </c>
    </row>
    <row r="3115" spans="1:12" ht="15" customHeight="1" x14ac:dyDescent="0.3">
      <c r="A3115" s="23" t="s">
        <v>16135</v>
      </c>
      <c r="B3115" s="23" t="s">
        <v>77</v>
      </c>
      <c r="C3115" s="39">
        <v>3298</v>
      </c>
      <c r="D3115" s="24">
        <v>56.07</v>
      </c>
      <c r="E3115" s="24">
        <v>10.09</v>
      </c>
      <c r="F3115" s="23">
        <f>COUNTIFS(mdr_rate_cleaned!$A$2:$A$10,B3115,mdr_rate_cleaned!$B$2:$B$10,"&lt;"&amp;C3115,mdr_rate_cleaned!$F$2:$F$10,"&gt;="&amp;C3115)</f>
        <v>1</v>
      </c>
      <c r="G3115" s="40">
        <f>SUMIFS(mdr_rate_cleaned!$G$2:$G$10,mdr_rate_cleaned!$A$2:$A$10,B3115,mdr_rate_cleaned!$B$2:$B$10,"&lt;"&amp;C3115,mdr_rate_cleaned!$F$2:$F$10,"&gt;="&amp;C3115)</f>
        <v>1.7000000000000001E-2</v>
      </c>
      <c r="H3115" s="24">
        <f t="shared" si="240"/>
        <v>56.07</v>
      </c>
      <c r="I3115" s="23" t="str">
        <f t="shared" si="241"/>
        <v>Match</v>
      </c>
      <c r="J3115" s="23" t="str">
        <f t="shared" si="242"/>
        <v>Match</v>
      </c>
      <c r="K3115" s="24">
        <f t="shared" si="243"/>
        <v>10.09</v>
      </c>
      <c r="L3115" s="24">
        <f t="shared" si="244"/>
        <v>0</v>
      </c>
    </row>
    <row r="3116" spans="1:12" ht="15" customHeight="1" x14ac:dyDescent="0.3">
      <c r="A3116" s="23" t="s">
        <v>16136</v>
      </c>
      <c r="B3116" s="23" t="s">
        <v>79</v>
      </c>
      <c r="C3116" s="39">
        <v>1799</v>
      </c>
      <c r="D3116" s="24">
        <v>32.380000000000003</v>
      </c>
      <c r="E3116" s="24">
        <v>5.83</v>
      </c>
      <c r="F3116" s="23">
        <f>COUNTIFS(mdr_rate_cleaned!$A$2:$A$10,B3116,mdr_rate_cleaned!$B$2:$B$10,"&lt;"&amp;C3116,mdr_rate_cleaned!$F$2:$F$10,"&gt;="&amp;C3116)</f>
        <v>1</v>
      </c>
      <c r="G3116" s="40">
        <f>SUMIFS(mdr_rate_cleaned!$G$2:$G$10,mdr_rate_cleaned!$A$2:$A$10,B3116,mdr_rate_cleaned!$B$2:$B$10,"&lt;"&amp;C3116,mdr_rate_cleaned!$F$2:$F$10,"&gt;="&amp;C3116)</f>
        <v>1.8000000000000002E-2</v>
      </c>
      <c r="H3116" s="24">
        <f t="shared" si="240"/>
        <v>32.380000000000003</v>
      </c>
      <c r="I3116" s="23" t="str">
        <f t="shared" si="241"/>
        <v>Match</v>
      </c>
      <c r="J3116" s="23" t="str">
        <f t="shared" si="242"/>
        <v>Match</v>
      </c>
      <c r="K3116" s="24">
        <f t="shared" si="243"/>
        <v>5.83</v>
      </c>
      <c r="L3116" s="24">
        <f t="shared" si="244"/>
        <v>0</v>
      </c>
    </row>
    <row r="3117" spans="1:12" ht="15" customHeight="1" x14ac:dyDescent="0.3">
      <c r="A3117" s="23" t="s">
        <v>16137</v>
      </c>
      <c r="B3117" s="23" t="s">
        <v>75</v>
      </c>
      <c r="C3117" s="39">
        <v>1499</v>
      </c>
      <c r="D3117" s="24">
        <v>0</v>
      </c>
      <c r="E3117" s="24">
        <v>0</v>
      </c>
      <c r="F3117" s="23">
        <f>COUNTIFS(mdr_rate_cleaned!$A$2:$A$10,B3117,mdr_rate_cleaned!$B$2:$B$10,"&lt;"&amp;C3117,mdr_rate_cleaned!$F$2:$F$10,"&gt;="&amp;C3117)</f>
        <v>1</v>
      </c>
      <c r="G3117" s="40">
        <f>SUMIFS(mdr_rate_cleaned!$G$2:$G$10,mdr_rate_cleaned!$A$2:$A$10,B3117,mdr_rate_cleaned!$B$2:$B$10,"&lt;"&amp;C3117,mdr_rate_cleaned!$F$2:$F$10,"&gt;="&amp;C3117)</f>
        <v>0</v>
      </c>
      <c r="H3117" s="24">
        <f t="shared" si="240"/>
        <v>0</v>
      </c>
      <c r="I3117" s="23" t="str">
        <f t="shared" si="241"/>
        <v>Match</v>
      </c>
      <c r="J3117" s="23" t="str">
        <f t="shared" si="242"/>
        <v>Match</v>
      </c>
      <c r="K3117" s="24">
        <f t="shared" si="243"/>
        <v>0</v>
      </c>
      <c r="L3117" s="24">
        <f t="shared" si="244"/>
        <v>0</v>
      </c>
    </row>
    <row r="3118" spans="1:12" ht="15" customHeight="1" x14ac:dyDescent="0.3">
      <c r="A3118" s="23" t="s">
        <v>16138</v>
      </c>
      <c r="B3118" s="23" t="s">
        <v>75</v>
      </c>
      <c r="C3118" s="39">
        <v>349</v>
      </c>
      <c r="D3118" s="24">
        <v>0</v>
      </c>
      <c r="E3118" s="24">
        <v>0</v>
      </c>
      <c r="F3118" s="23">
        <f>COUNTIFS(mdr_rate_cleaned!$A$2:$A$10,B3118,mdr_rate_cleaned!$B$2:$B$10,"&lt;"&amp;C3118,mdr_rate_cleaned!$F$2:$F$10,"&gt;="&amp;C3118)</f>
        <v>1</v>
      </c>
      <c r="G3118" s="40">
        <f>SUMIFS(mdr_rate_cleaned!$G$2:$G$10,mdr_rate_cleaned!$A$2:$A$10,B3118,mdr_rate_cleaned!$B$2:$B$10,"&lt;"&amp;C3118,mdr_rate_cleaned!$F$2:$F$10,"&gt;="&amp;C3118)</f>
        <v>0</v>
      </c>
      <c r="H3118" s="24">
        <f t="shared" si="240"/>
        <v>0</v>
      </c>
      <c r="I3118" s="23" t="str">
        <f t="shared" si="241"/>
        <v>Match</v>
      </c>
      <c r="J3118" s="23" t="str">
        <f t="shared" si="242"/>
        <v>Match</v>
      </c>
      <c r="K3118" s="24">
        <f t="shared" si="243"/>
        <v>0</v>
      </c>
      <c r="L3118" s="24">
        <f t="shared" si="244"/>
        <v>0</v>
      </c>
    </row>
    <row r="3119" spans="1:12" ht="15" customHeight="1" x14ac:dyDescent="0.3">
      <c r="A3119" s="23" t="s">
        <v>16139</v>
      </c>
      <c r="B3119" s="23" t="s">
        <v>79</v>
      </c>
      <c r="C3119" s="39">
        <v>1298</v>
      </c>
      <c r="D3119" s="24">
        <v>23.36</v>
      </c>
      <c r="E3119" s="24">
        <v>4.2</v>
      </c>
      <c r="F3119" s="23">
        <f>COUNTIFS(mdr_rate_cleaned!$A$2:$A$10,B3119,mdr_rate_cleaned!$B$2:$B$10,"&lt;"&amp;C3119,mdr_rate_cleaned!$F$2:$F$10,"&gt;="&amp;C3119)</f>
        <v>1</v>
      </c>
      <c r="G3119" s="40">
        <f>SUMIFS(mdr_rate_cleaned!$G$2:$G$10,mdr_rate_cleaned!$A$2:$A$10,B3119,mdr_rate_cleaned!$B$2:$B$10,"&lt;"&amp;C3119,mdr_rate_cleaned!$F$2:$F$10,"&gt;="&amp;C3119)</f>
        <v>1.8000000000000002E-2</v>
      </c>
      <c r="H3119" s="24">
        <f t="shared" si="240"/>
        <v>23.36</v>
      </c>
      <c r="I3119" s="23" t="str">
        <f t="shared" si="241"/>
        <v>Match</v>
      </c>
      <c r="J3119" s="23" t="str">
        <f t="shared" si="242"/>
        <v>Match</v>
      </c>
      <c r="K3119" s="24">
        <f t="shared" si="243"/>
        <v>4.2</v>
      </c>
      <c r="L3119" s="24">
        <f t="shared" si="244"/>
        <v>0</v>
      </c>
    </row>
    <row r="3120" spans="1:12" ht="15" customHeight="1" x14ac:dyDescent="0.3">
      <c r="A3120" s="23" t="s">
        <v>16140</v>
      </c>
      <c r="B3120" s="23" t="s">
        <v>75</v>
      </c>
      <c r="C3120" s="39">
        <v>9998</v>
      </c>
      <c r="D3120" s="24">
        <v>29.99</v>
      </c>
      <c r="E3120" s="24">
        <v>5.4</v>
      </c>
      <c r="F3120" s="23">
        <f>COUNTIFS(mdr_rate_cleaned!$A$2:$A$10,B3120,mdr_rate_cleaned!$B$2:$B$10,"&lt;"&amp;C3120,mdr_rate_cleaned!$F$2:$F$10,"&gt;="&amp;C3120)</f>
        <v>1</v>
      </c>
      <c r="G3120" s="40">
        <f>SUMIFS(mdr_rate_cleaned!$G$2:$G$10,mdr_rate_cleaned!$A$2:$A$10,B3120,mdr_rate_cleaned!$B$2:$B$10,"&lt;"&amp;C3120,mdr_rate_cleaned!$F$2:$F$10,"&gt;="&amp;C3120)</f>
        <v>3.0000000000000001E-3</v>
      </c>
      <c r="H3120" s="24">
        <f t="shared" si="240"/>
        <v>29.99</v>
      </c>
      <c r="I3120" s="23" t="str">
        <f t="shared" si="241"/>
        <v>Match</v>
      </c>
      <c r="J3120" s="23" t="str">
        <f t="shared" si="242"/>
        <v>Match</v>
      </c>
      <c r="K3120" s="24">
        <f t="shared" si="243"/>
        <v>5.4</v>
      </c>
      <c r="L3120" s="24">
        <f t="shared" si="244"/>
        <v>0</v>
      </c>
    </row>
    <row r="3121" spans="1:12" ht="15" customHeight="1" x14ac:dyDescent="0.3">
      <c r="A3121" s="23" t="s">
        <v>16141</v>
      </c>
      <c r="B3121" s="23" t="s">
        <v>75</v>
      </c>
      <c r="C3121" s="39">
        <v>7999</v>
      </c>
      <c r="D3121" s="24">
        <v>24</v>
      </c>
      <c r="E3121" s="24">
        <v>4.32</v>
      </c>
      <c r="F3121" s="23">
        <f>COUNTIFS(mdr_rate_cleaned!$A$2:$A$10,B3121,mdr_rate_cleaned!$B$2:$B$10,"&lt;"&amp;C3121,mdr_rate_cleaned!$F$2:$F$10,"&gt;="&amp;C3121)</f>
        <v>1</v>
      </c>
      <c r="G3121" s="40">
        <f>SUMIFS(mdr_rate_cleaned!$G$2:$G$10,mdr_rate_cleaned!$A$2:$A$10,B3121,mdr_rate_cleaned!$B$2:$B$10,"&lt;"&amp;C3121,mdr_rate_cleaned!$F$2:$F$10,"&gt;="&amp;C3121)</f>
        <v>3.0000000000000001E-3</v>
      </c>
      <c r="H3121" s="24">
        <f t="shared" si="240"/>
        <v>24</v>
      </c>
      <c r="I3121" s="23" t="str">
        <f t="shared" si="241"/>
        <v>Match</v>
      </c>
      <c r="J3121" s="23" t="str">
        <f t="shared" si="242"/>
        <v>Match</v>
      </c>
      <c r="K3121" s="24">
        <f t="shared" si="243"/>
        <v>4.32</v>
      </c>
      <c r="L3121" s="24">
        <f t="shared" si="244"/>
        <v>0</v>
      </c>
    </row>
    <row r="3122" spans="1:12" ht="15" customHeight="1" x14ac:dyDescent="0.3">
      <c r="A3122" s="23" t="s">
        <v>16142</v>
      </c>
      <c r="B3122" s="23" t="s">
        <v>75</v>
      </c>
      <c r="C3122" s="39">
        <v>12998</v>
      </c>
      <c r="D3122" s="24">
        <v>38.99</v>
      </c>
      <c r="E3122" s="24">
        <v>7.02</v>
      </c>
      <c r="F3122" s="23">
        <f>COUNTIFS(mdr_rate_cleaned!$A$2:$A$10,B3122,mdr_rate_cleaned!$B$2:$B$10,"&lt;"&amp;C3122,mdr_rate_cleaned!$F$2:$F$10,"&gt;="&amp;C3122)</f>
        <v>1</v>
      </c>
      <c r="G3122" s="40">
        <f>SUMIFS(mdr_rate_cleaned!$G$2:$G$10,mdr_rate_cleaned!$A$2:$A$10,B3122,mdr_rate_cleaned!$B$2:$B$10,"&lt;"&amp;C3122,mdr_rate_cleaned!$F$2:$F$10,"&gt;="&amp;C3122)</f>
        <v>3.0000000000000001E-3</v>
      </c>
      <c r="H3122" s="24">
        <f t="shared" si="240"/>
        <v>38.99</v>
      </c>
      <c r="I3122" s="23" t="str">
        <f t="shared" si="241"/>
        <v>Match</v>
      </c>
      <c r="J3122" s="23" t="str">
        <f t="shared" si="242"/>
        <v>Match</v>
      </c>
      <c r="K3122" s="24">
        <f t="shared" si="243"/>
        <v>7.02</v>
      </c>
      <c r="L3122" s="24">
        <f t="shared" si="244"/>
        <v>0</v>
      </c>
    </row>
    <row r="3123" spans="1:12" ht="15" customHeight="1" x14ac:dyDescent="0.3">
      <c r="A3123" s="23" t="s">
        <v>16143</v>
      </c>
      <c r="B3123" s="23" t="s">
        <v>75</v>
      </c>
      <c r="C3123" s="39">
        <v>1998</v>
      </c>
      <c r="D3123" s="24">
        <v>0</v>
      </c>
      <c r="E3123" s="24">
        <v>0</v>
      </c>
      <c r="F3123" s="23">
        <f>COUNTIFS(mdr_rate_cleaned!$A$2:$A$10,B3123,mdr_rate_cleaned!$B$2:$B$10,"&lt;"&amp;C3123,mdr_rate_cleaned!$F$2:$F$10,"&gt;="&amp;C3123)</f>
        <v>1</v>
      </c>
      <c r="G3123" s="40">
        <f>SUMIFS(mdr_rate_cleaned!$G$2:$G$10,mdr_rate_cleaned!$A$2:$A$10,B3123,mdr_rate_cleaned!$B$2:$B$10,"&lt;"&amp;C3123,mdr_rate_cleaned!$F$2:$F$10,"&gt;="&amp;C3123)</f>
        <v>0</v>
      </c>
      <c r="H3123" s="24">
        <f t="shared" si="240"/>
        <v>0</v>
      </c>
      <c r="I3123" s="23" t="str">
        <f t="shared" si="241"/>
        <v>Match</v>
      </c>
      <c r="J3123" s="23" t="str">
        <f t="shared" si="242"/>
        <v>Match</v>
      </c>
      <c r="K3123" s="24">
        <f t="shared" si="243"/>
        <v>0</v>
      </c>
      <c r="L3123" s="24">
        <f t="shared" si="244"/>
        <v>0</v>
      </c>
    </row>
    <row r="3124" spans="1:12" ht="15" customHeight="1" x14ac:dyDescent="0.3">
      <c r="A3124" s="23" t="s">
        <v>16144</v>
      </c>
      <c r="B3124" s="23" t="s">
        <v>79</v>
      </c>
      <c r="C3124" s="39">
        <v>1298</v>
      </c>
      <c r="D3124" s="24">
        <v>23.36</v>
      </c>
      <c r="E3124" s="24">
        <v>4.2</v>
      </c>
      <c r="F3124" s="23">
        <f>COUNTIFS(mdr_rate_cleaned!$A$2:$A$10,B3124,mdr_rate_cleaned!$B$2:$B$10,"&lt;"&amp;C3124,mdr_rate_cleaned!$F$2:$F$10,"&gt;="&amp;C3124)</f>
        <v>1</v>
      </c>
      <c r="G3124" s="40">
        <f>SUMIFS(mdr_rate_cleaned!$G$2:$G$10,mdr_rate_cleaned!$A$2:$A$10,B3124,mdr_rate_cleaned!$B$2:$B$10,"&lt;"&amp;C3124,mdr_rate_cleaned!$F$2:$F$10,"&gt;="&amp;C3124)</f>
        <v>1.8000000000000002E-2</v>
      </c>
      <c r="H3124" s="24">
        <f t="shared" si="240"/>
        <v>23.36</v>
      </c>
      <c r="I3124" s="23" t="str">
        <f t="shared" si="241"/>
        <v>Match</v>
      </c>
      <c r="J3124" s="23" t="str">
        <f t="shared" si="242"/>
        <v>Match</v>
      </c>
      <c r="K3124" s="24">
        <f t="shared" si="243"/>
        <v>4.2</v>
      </c>
      <c r="L3124" s="24">
        <f t="shared" si="244"/>
        <v>0</v>
      </c>
    </row>
    <row r="3125" spans="1:12" ht="15" customHeight="1" x14ac:dyDescent="0.3">
      <c r="A3125" s="23" t="s">
        <v>16155</v>
      </c>
      <c r="B3125" s="23" t="s">
        <v>79</v>
      </c>
      <c r="C3125" s="39">
        <v>2098</v>
      </c>
      <c r="D3125" s="24">
        <v>33.57</v>
      </c>
      <c r="E3125" s="24">
        <v>6.04</v>
      </c>
      <c r="F3125" s="23">
        <f>COUNTIFS(mdr_rate_cleaned!$A$2:$A$10,B3125,mdr_rate_cleaned!$B$2:$B$10,"&lt;"&amp;C3125,mdr_rate_cleaned!$F$2:$F$10,"&gt;="&amp;C3125)</f>
        <v>1</v>
      </c>
      <c r="G3125" s="40">
        <f>SUMIFS(mdr_rate_cleaned!$G$2:$G$10,mdr_rate_cleaned!$A$2:$A$10,B3125,mdr_rate_cleaned!$B$2:$B$10,"&lt;"&amp;C3125,mdr_rate_cleaned!$F$2:$F$10,"&gt;="&amp;C3125)</f>
        <v>1.6E-2</v>
      </c>
      <c r="H3125" s="24">
        <f t="shared" si="240"/>
        <v>33.57</v>
      </c>
      <c r="I3125" s="23" t="str">
        <f t="shared" si="241"/>
        <v>Match</v>
      </c>
      <c r="J3125" s="23" t="str">
        <f t="shared" si="242"/>
        <v>Match</v>
      </c>
      <c r="K3125" s="24">
        <f t="shared" si="243"/>
        <v>6.04</v>
      </c>
      <c r="L3125" s="24">
        <f t="shared" si="244"/>
        <v>0</v>
      </c>
    </row>
    <row r="3126" spans="1:12" ht="15" customHeight="1" x14ac:dyDescent="0.3">
      <c r="A3126" s="23" t="s">
        <v>16156</v>
      </c>
      <c r="B3126" s="23" t="s">
        <v>75</v>
      </c>
      <c r="C3126" s="39">
        <v>1299</v>
      </c>
      <c r="D3126" s="24">
        <v>0</v>
      </c>
      <c r="E3126" s="24">
        <v>0</v>
      </c>
      <c r="F3126" s="23">
        <f>COUNTIFS(mdr_rate_cleaned!$A$2:$A$10,B3126,mdr_rate_cleaned!$B$2:$B$10,"&lt;"&amp;C3126,mdr_rate_cleaned!$F$2:$F$10,"&gt;="&amp;C3126)</f>
        <v>1</v>
      </c>
      <c r="G3126" s="40">
        <f>SUMIFS(mdr_rate_cleaned!$G$2:$G$10,mdr_rate_cleaned!$A$2:$A$10,B3126,mdr_rate_cleaned!$B$2:$B$10,"&lt;"&amp;C3126,mdr_rate_cleaned!$F$2:$F$10,"&gt;="&amp;C3126)</f>
        <v>0</v>
      </c>
      <c r="H3126" s="24">
        <f t="shared" si="240"/>
        <v>0</v>
      </c>
      <c r="I3126" s="23" t="str">
        <f t="shared" si="241"/>
        <v>Match</v>
      </c>
      <c r="J3126" s="23" t="str">
        <f t="shared" si="242"/>
        <v>Match</v>
      </c>
      <c r="K3126" s="24">
        <f t="shared" si="243"/>
        <v>0</v>
      </c>
      <c r="L3126" s="24">
        <f t="shared" si="244"/>
        <v>0</v>
      </c>
    </row>
    <row r="3127" spans="1:12" ht="15" customHeight="1" x14ac:dyDescent="0.3">
      <c r="A3127" s="23" t="s">
        <v>16157</v>
      </c>
      <c r="B3127" s="23" t="s">
        <v>77</v>
      </c>
      <c r="C3127" s="39">
        <v>3499</v>
      </c>
      <c r="D3127" s="24">
        <v>59.48</v>
      </c>
      <c r="E3127" s="24">
        <v>10.71</v>
      </c>
      <c r="F3127" s="23">
        <f>COUNTIFS(mdr_rate_cleaned!$A$2:$A$10,B3127,mdr_rate_cleaned!$B$2:$B$10,"&lt;"&amp;C3127,mdr_rate_cleaned!$F$2:$F$10,"&gt;="&amp;C3127)</f>
        <v>1</v>
      </c>
      <c r="G3127" s="40">
        <f>SUMIFS(mdr_rate_cleaned!$G$2:$G$10,mdr_rate_cleaned!$A$2:$A$10,B3127,mdr_rate_cleaned!$B$2:$B$10,"&lt;"&amp;C3127,mdr_rate_cleaned!$F$2:$F$10,"&gt;="&amp;C3127)</f>
        <v>1.7000000000000001E-2</v>
      </c>
      <c r="H3127" s="24">
        <f t="shared" si="240"/>
        <v>59.48</v>
      </c>
      <c r="I3127" s="23" t="str">
        <f t="shared" si="241"/>
        <v>Match</v>
      </c>
      <c r="J3127" s="23" t="str">
        <f t="shared" si="242"/>
        <v>Match</v>
      </c>
      <c r="K3127" s="24">
        <f t="shared" si="243"/>
        <v>10.71</v>
      </c>
      <c r="L3127" s="24">
        <f t="shared" si="244"/>
        <v>0</v>
      </c>
    </row>
    <row r="3128" spans="1:12" ht="15" customHeight="1" x14ac:dyDescent="0.3">
      <c r="A3128" s="23" t="s">
        <v>16158</v>
      </c>
      <c r="B3128" s="23" t="s">
        <v>79</v>
      </c>
      <c r="C3128" s="39">
        <v>3499</v>
      </c>
      <c r="D3128" s="24">
        <v>55.98</v>
      </c>
      <c r="E3128" s="24">
        <v>10.08</v>
      </c>
      <c r="F3128" s="23">
        <f>COUNTIFS(mdr_rate_cleaned!$A$2:$A$10,B3128,mdr_rate_cleaned!$B$2:$B$10,"&lt;"&amp;C3128,mdr_rate_cleaned!$F$2:$F$10,"&gt;="&amp;C3128)</f>
        <v>1</v>
      </c>
      <c r="G3128" s="40">
        <f>SUMIFS(mdr_rate_cleaned!$G$2:$G$10,mdr_rate_cleaned!$A$2:$A$10,B3128,mdr_rate_cleaned!$B$2:$B$10,"&lt;"&amp;C3128,mdr_rate_cleaned!$F$2:$F$10,"&gt;="&amp;C3128)</f>
        <v>1.6E-2</v>
      </c>
      <c r="H3128" s="24">
        <f t="shared" si="240"/>
        <v>55.98</v>
      </c>
      <c r="I3128" s="23" t="str">
        <f t="shared" si="241"/>
        <v>Match</v>
      </c>
      <c r="J3128" s="23" t="str">
        <f t="shared" si="242"/>
        <v>Match</v>
      </c>
      <c r="K3128" s="24">
        <f t="shared" si="243"/>
        <v>10.08</v>
      </c>
      <c r="L3128" s="24">
        <f t="shared" si="244"/>
        <v>0</v>
      </c>
    </row>
    <row r="3129" spans="1:12" ht="15" customHeight="1" x14ac:dyDescent="0.3">
      <c r="A3129" s="23" t="s">
        <v>16159</v>
      </c>
      <c r="B3129" s="23" t="s">
        <v>77</v>
      </c>
      <c r="C3129" s="39">
        <v>1848</v>
      </c>
      <c r="D3129" s="24">
        <v>35.11</v>
      </c>
      <c r="E3129" s="24">
        <v>6.32</v>
      </c>
      <c r="F3129" s="23">
        <f>COUNTIFS(mdr_rate_cleaned!$A$2:$A$10,B3129,mdr_rate_cleaned!$B$2:$B$10,"&lt;"&amp;C3129,mdr_rate_cleaned!$F$2:$F$10,"&gt;="&amp;C3129)</f>
        <v>1</v>
      </c>
      <c r="G3129" s="40">
        <f>SUMIFS(mdr_rate_cleaned!$G$2:$G$10,mdr_rate_cleaned!$A$2:$A$10,B3129,mdr_rate_cleaned!$B$2:$B$10,"&lt;"&amp;C3129,mdr_rate_cleaned!$F$2:$F$10,"&gt;="&amp;C3129)</f>
        <v>1.9E-2</v>
      </c>
      <c r="H3129" s="24">
        <f t="shared" si="240"/>
        <v>35.11</v>
      </c>
      <c r="I3129" s="23" t="str">
        <f t="shared" si="241"/>
        <v>Match</v>
      </c>
      <c r="J3129" s="23" t="str">
        <f t="shared" si="242"/>
        <v>Match</v>
      </c>
      <c r="K3129" s="24">
        <f t="shared" si="243"/>
        <v>6.32</v>
      </c>
      <c r="L3129" s="24">
        <f t="shared" si="244"/>
        <v>0</v>
      </c>
    </row>
    <row r="3130" spans="1:12" ht="15" customHeight="1" x14ac:dyDescent="0.3">
      <c r="A3130" s="23" t="s">
        <v>16161</v>
      </c>
      <c r="B3130" s="23" t="s">
        <v>79</v>
      </c>
      <c r="C3130" s="39">
        <v>2499</v>
      </c>
      <c r="D3130" s="24">
        <v>39.979999999999997</v>
      </c>
      <c r="E3130" s="24">
        <v>7.2</v>
      </c>
      <c r="F3130" s="23">
        <f>COUNTIFS(mdr_rate_cleaned!$A$2:$A$10,B3130,mdr_rate_cleaned!$B$2:$B$10,"&lt;"&amp;C3130,mdr_rate_cleaned!$F$2:$F$10,"&gt;="&amp;C3130)</f>
        <v>1</v>
      </c>
      <c r="G3130" s="40">
        <f>SUMIFS(mdr_rate_cleaned!$G$2:$G$10,mdr_rate_cleaned!$A$2:$A$10,B3130,mdr_rate_cleaned!$B$2:$B$10,"&lt;"&amp;C3130,mdr_rate_cleaned!$F$2:$F$10,"&gt;="&amp;C3130)</f>
        <v>1.6E-2</v>
      </c>
      <c r="H3130" s="24">
        <f t="shared" si="240"/>
        <v>39.979999999999997</v>
      </c>
      <c r="I3130" s="23" t="str">
        <f t="shared" si="241"/>
        <v>Match</v>
      </c>
      <c r="J3130" s="23" t="str">
        <f t="shared" si="242"/>
        <v>Match</v>
      </c>
      <c r="K3130" s="24">
        <f t="shared" si="243"/>
        <v>7.2</v>
      </c>
      <c r="L3130" s="24">
        <f t="shared" si="244"/>
        <v>0</v>
      </c>
    </row>
    <row r="3131" spans="1:12" ht="15" customHeight="1" x14ac:dyDescent="0.3">
      <c r="A3131" s="23" t="s">
        <v>16162</v>
      </c>
      <c r="B3131" s="23" t="s">
        <v>81</v>
      </c>
      <c r="C3131" s="39">
        <v>8998</v>
      </c>
      <c r="D3131" s="24">
        <v>107.98</v>
      </c>
      <c r="E3131" s="24">
        <v>19.440000000000001</v>
      </c>
      <c r="F3131" s="23">
        <f>COUNTIFS(mdr_rate_cleaned!$A$2:$A$10,B3131,mdr_rate_cleaned!$B$2:$B$10,"&lt;"&amp;C3131,mdr_rate_cleaned!$F$2:$F$10,"&gt;="&amp;C3131)</f>
        <v>1</v>
      </c>
      <c r="G3131" s="40">
        <f>SUMIFS(mdr_rate_cleaned!$G$2:$G$10,mdr_rate_cleaned!$A$2:$A$10,B3131,mdr_rate_cleaned!$B$2:$B$10,"&lt;"&amp;C3131,mdr_rate_cleaned!$F$2:$F$10,"&gt;="&amp;C3131)</f>
        <v>1.2E-2</v>
      </c>
      <c r="H3131" s="24">
        <f t="shared" si="240"/>
        <v>107.98</v>
      </c>
      <c r="I3131" s="23" t="str">
        <f t="shared" si="241"/>
        <v>Match</v>
      </c>
      <c r="J3131" s="23" t="str">
        <f t="shared" si="242"/>
        <v>Match</v>
      </c>
      <c r="K3131" s="24">
        <f t="shared" si="243"/>
        <v>19.440000000000001</v>
      </c>
      <c r="L3131" s="24">
        <f t="shared" si="244"/>
        <v>0</v>
      </c>
    </row>
    <row r="3132" spans="1:12" ht="15" customHeight="1" x14ac:dyDescent="0.3">
      <c r="A3132" s="23" t="s">
        <v>16164</v>
      </c>
      <c r="B3132" s="23" t="s">
        <v>79</v>
      </c>
      <c r="C3132" s="39">
        <v>4999</v>
      </c>
      <c r="D3132" s="24">
        <v>79.98</v>
      </c>
      <c r="E3132" s="24">
        <v>14.4</v>
      </c>
      <c r="F3132" s="23">
        <f>COUNTIFS(mdr_rate_cleaned!$A$2:$A$10,B3132,mdr_rate_cleaned!$B$2:$B$10,"&lt;"&amp;C3132,mdr_rate_cleaned!$F$2:$F$10,"&gt;="&amp;C3132)</f>
        <v>1</v>
      </c>
      <c r="G3132" s="40">
        <f>SUMIFS(mdr_rate_cleaned!$G$2:$G$10,mdr_rate_cleaned!$A$2:$A$10,B3132,mdr_rate_cleaned!$B$2:$B$10,"&lt;"&amp;C3132,mdr_rate_cleaned!$F$2:$F$10,"&gt;="&amp;C3132)</f>
        <v>1.6E-2</v>
      </c>
      <c r="H3132" s="24">
        <f t="shared" si="240"/>
        <v>79.98</v>
      </c>
      <c r="I3132" s="23" t="str">
        <f t="shared" si="241"/>
        <v>Match</v>
      </c>
      <c r="J3132" s="23" t="str">
        <f t="shared" si="242"/>
        <v>Match</v>
      </c>
      <c r="K3132" s="24">
        <f t="shared" si="243"/>
        <v>14.4</v>
      </c>
      <c r="L3132" s="24">
        <f t="shared" si="244"/>
        <v>0</v>
      </c>
    </row>
    <row r="3133" spans="1:12" ht="15" customHeight="1" x14ac:dyDescent="0.3">
      <c r="A3133" s="23" t="s">
        <v>16165</v>
      </c>
      <c r="B3133" s="23" t="s">
        <v>81</v>
      </c>
      <c r="C3133" s="39">
        <v>4197</v>
      </c>
      <c r="D3133" s="24">
        <v>50.36</v>
      </c>
      <c r="E3133" s="24">
        <v>9.06</v>
      </c>
      <c r="F3133" s="23">
        <f>COUNTIFS(mdr_rate_cleaned!$A$2:$A$10,B3133,mdr_rate_cleaned!$B$2:$B$10,"&lt;"&amp;C3133,mdr_rate_cleaned!$F$2:$F$10,"&gt;="&amp;C3133)</f>
        <v>1</v>
      </c>
      <c r="G3133" s="40">
        <f>SUMIFS(mdr_rate_cleaned!$G$2:$G$10,mdr_rate_cleaned!$A$2:$A$10,B3133,mdr_rate_cleaned!$B$2:$B$10,"&lt;"&amp;C3133,mdr_rate_cleaned!$F$2:$F$10,"&gt;="&amp;C3133)</f>
        <v>1.2E-2</v>
      </c>
      <c r="H3133" s="24">
        <f t="shared" si="240"/>
        <v>50.36</v>
      </c>
      <c r="I3133" s="23" t="str">
        <f t="shared" si="241"/>
        <v>Match</v>
      </c>
      <c r="J3133" s="23" t="str">
        <f t="shared" si="242"/>
        <v>Match</v>
      </c>
      <c r="K3133" s="24">
        <f t="shared" si="243"/>
        <v>9.06</v>
      </c>
      <c r="L3133" s="24">
        <f t="shared" si="244"/>
        <v>0</v>
      </c>
    </row>
    <row r="3134" spans="1:12" ht="15" customHeight="1" x14ac:dyDescent="0.3">
      <c r="A3134" s="23" t="s">
        <v>16166</v>
      </c>
      <c r="B3134" s="23" t="s">
        <v>79</v>
      </c>
      <c r="C3134" s="39">
        <v>3947</v>
      </c>
      <c r="D3134" s="24">
        <v>63.15</v>
      </c>
      <c r="E3134" s="24">
        <v>11.37</v>
      </c>
      <c r="F3134" s="23">
        <f>COUNTIFS(mdr_rate_cleaned!$A$2:$A$10,B3134,mdr_rate_cleaned!$B$2:$B$10,"&lt;"&amp;C3134,mdr_rate_cleaned!$F$2:$F$10,"&gt;="&amp;C3134)</f>
        <v>1</v>
      </c>
      <c r="G3134" s="40">
        <f>SUMIFS(mdr_rate_cleaned!$G$2:$G$10,mdr_rate_cleaned!$A$2:$A$10,B3134,mdr_rate_cleaned!$B$2:$B$10,"&lt;"&amp;C3134,mdr_rate_cleaned!$F$2:$F$10,"&gt;="&amp;C3134)</f>
        <v>1.6E-2</v>
      </c>
      <c r="H3134" s="24">
        <f t="shared" si="240"/>
        <v>63.15</v>
      </c>
      <c r="I3134" s="23" t="str">
        <f t="shared" si="241"/>
        <v>Match</v>
      </c>
      <c r="J3134" s="23" t="str">
        <f t="shared" si="242"/>
        <v>Match</v>
      </c>
      <c r="K3134" s="24">
        <f t="shared" si="243"/>
        <v>11.37</v>
      </c>
      <c r="L3134" s="24">
        <f t="shared" si="244"/>
        <v>0</v>
      </c>
    </row>
    <row r="3135" spans="1:12" ht="15" customHeight="1" x14ac:dyDescent="0.3">
      <c r="A3135" s="23" t="s">
        <v>16167</v>
      </c>
      <c r="B3135" s="23" t="s">
        <v>81</v>
      </c>
      <c r="C3135" s="39">
        <v>299</v>
      </c>
      <c r="D3135" s="24">
        <v>4.49</v>
      </c>
      <c r="E3135" s="24">
        <v>0.81</v>
      </c>
      <c r="F3135" s="23">
        <f>COUNTIFS(mdr_rate_cleaned!$A$2:$A$10,B3135,mdr_rate_cleaned!$B$2:$B$10,"&lt;"&amp;C3135,mdr_rate_cleaned!$F$2:$F$10,"&gt;="&amp;C3135)</f>
        <v>1</v>
      </c>
      <c r="G3135" s="40">
        <f>SUMIFS(mdr_rate_cleaned!$G$2:$G$10,mdr_rate_cleaned!$A$2:$A$10,B3135,mdr_rate_cleaned!$B$2:$B$10,"&lt;"&amp;C3135,mdr_rate_cleaned!$F$2:$F$10,"&gt;="&amp;C3135)</f>
        <v>1.4999999999999999E-2</v>
      </c>
      <c r="H3135" s="24">
        <f t="shared" si="240"/>
        <v>4.49</v>
      </c>
      <c r="I3135" s="23" t="str">
        <f t="shared" si="241"/>
        <v>Match</v>
      </c>
      <c r="J3135" s="23" t="str">
        <f t="shared" si="242"/>
        <v>Match</v>
      </c>
      <c r="K3135" s="24">
        <f t="shared" si="243"/>
        <v>0.81</v>
      </c>
      <c r="L3135" s="24">
        <f t="shared" si="244"/>
        <v>0</v>
      </c>
    </row>
    <row r="3136" spans="1:12" ht="15" customHeight="1" x14ac:dyDescent="0.3">
      <c r="A3136" s="23" t="s">
        <v>16168</v>
      </c>
      <c r="B3136" s="23" t="s">
        <v>79</v>
      </c>
      <c r="C3136" s="39">
        <v>2897</v>
      </c>
      <c r="D3136" s="24">
        <v>46.35</v>
      </c>
      <c r="E3136" s="24">
        <v>8.34</v>
      </c>
      <c r="F3136" s="23">
        <f>COUNTIFS(mdr_rate_cleaned!$A$2:$A$10,B3136,mdr_rate_cleaned!$B$2:$B$10,"&lt;"&amp;C3136,mdr_rate_cleaned!$F$2:$F$10,"&gt;="&amp;C3136)</f>
        <v>1</v>
      </c>
      <c r="G3136" s="40">
        <f>SUMIFS(mdr_rate_cleaned!$G$2:$G$10,mdr_rate_cleaned!$A$2:$A$10,B3136,mdr_rate_cleaned!$B$2:$B$10,"&lt;"&amp;C3136,mdr_rate_cleaned!$F$2:$F$10,"&gt;="&amp;C3136)</f>
        <v>1.6E-2</v>
      </c>
      <c r="H3136" s="24">
        <f t="shared" si="240"/>
        <v>46.35</v>
      </c>
      <c r="I3136" s="23" t="str">
        <f t="shared" si="241"/>
        <v>Match</v>
      </c>
      <c r="J3136" s="23" t="str">
        <f t="shared" si="242"/>
        <v>Match</v>
      </c>
      <c r="K3136" s="24">
        <f t="shared" si="243"/>
        <v>8.34</v>
      </c>
      <c r="L3136" s="24">
        <f t="shared" si="244"/>
        <v>0</v>
      </c>
    </row>
    <row r="3137" spans="1:12" ht="15" customHeight="1" x14ac:dyDescent="0.3">
      <c r="A3137" s="23" t="s">
        <v>16169</v>
      </c>
      <c r="B3137" s="23" t="s">
        <v>75</v>
      </c>
      <c r="C3137" s="39">
        <v>1648</v>
      </c>
      <c r="D3137" s="24">
        <v>0</v>
      </c>
      <c r="E3137" s="24">
        <v>0</v>
      </c>
      <c r="F3137" s="23">
        <f>COUNTIFS(mdr_rate_cleaned!$A$2:$A$10,B3137,mdr_rate_cleaned!$B$2:$B$10,"&lt;"&amp;C3137,mdr_rate_cleaned!$F$2:$F$10,"&gt;="&amp;C3137)</f>
        <v>1</v>
      </c>
      <c r="G3137" s="40">
        <f>SUMIFS(mdr_rate_cleaned!$G$2:$G$10,mdr_rate_cleaned!$A$2:$A$10,B3137,mdr_rate_cleaned!$B$2:$B$10,"&lt;"&amp;C3137,mdr_rate_cleaned!$F$2:$F$10,"&gt;="&amp;C3137)</f>
        <v>0</v>
      </c>
      <c r="H3137" s="24">
        <f t="shared" si="240"/>
        <v>0</v>
      </c>
      <c r="I3137" s="23" t="str">
        <f t="shared" si="241"/>
        <v>Match</v>
      </c>
      <c r="J3137" s="23" t="str">
        <f t="shared" si="242"/>
        <v>Match</v>
      </c>
      <c r="K3137" s="24">
        <f t="shared" si="243"/>
        <v>0</v>
      </c>
      <c r="L3137" s="24">
        <f t="shared" si="244"/>
        <v>0</v>
      </c>
    </row>
    <row r="3138" spans="1:12" ht="15" customHeight="1" x14ac:dyDescent="0.3">
      <c r="A3138" s="23" t="s">
        <v>16170</v>
      </c>
      <c r="B3138" s="23" t="s">
        <v>75</v>
      </c>
      <c r="C3138" s="39">
        <v>1499</v>
      </c>
      <c r="D3138" s="24">
        <v>0</v>
      </c>
      <c r="E3138" s="24">
        <v>0</v>
      </c>
      <c r="F3138" s="23">
        <f>COUNTIFS(mdr_rate_cleaned!$A$2:$A$10,B3138,mdr_rate_cleaned!$B$2:$B$10,"&lt;"&amp;C3138,mdr_rate_cleaned!$F$2:$F$10,"&gt;="&amp;C3138)</f>
        <v>1</v>
      </c>
      <c r="G3138" s="40">
        <f>SUMIFS(mdr_rate_cleaned!$G$2:$G$10,mdr_rate_cleaned!$A$2:$A$10,B3138,mdr_rate_cleaned!$B$2:$B$10,"&lt;"&amp;C3138,mdr_rate_cleaned!$F$2:$F$10,"&gt;="&amp;C3138)</f>
        <v>0</v>
      </c>
      <c r="H3138" s="24">
        <f t="shared" ref="H3138:H3201" si="245">ROUND(C3138*G3138,2)</f>
        <v>0</v>
      </c>
      <c r="I3138" s="23" t="str">
        <f t="shared" ref="I3138:I3201" si="246">IF(ROUND(D3138-H3138,2)=0,"Match","Differs")</f>
        <v>Match</v>
      </c>
      <c r="J3138" s="23" t="str">
        <f t="shared" ref="J3138:J3201" si="247">IF(ROUND(E3138-ROUND(D3138*0.18,2),2)=0,"Match","Differs")</f>
        <v>Match</v>
      </c>
      <c r="K3138" s="24">
        <f t="shared" ref="K3138:K3201" si="248">ROUND(H3138*0.18,2)</f>
        <v>0</v>
      </c>
      <c r="L3138" s="24">
        <f t="shared" ref="L3138:L3201" si="249">ROUND(D3138+E3138-H3138-K3138,2)</f>
        <v>0</v>
      </c>
    </row>
    <row r="3139" spans="1:12" ht="15" customHeight="1" x14ac:dyDescent="0.3">
      <c r="A3139" s="23" t="s">
        <v>16171</v>
      </c>
      <c r="B3139" s="23" t="s">
        <v>79</v>
      </c>
      <c r="C3139" s="39">
        <v>2848</v>
      </c>
      <c r="D3139" s="24">
        <v>45.57</v>
      </c>
      <c r="E3139" s="24">
        <v>8.1999999999999993</v>
      </c>
      <c r="F3139" s="23">
        <f>COUNTIFS(mdr_rate_cleaned!$A$2:$A$10,B3139,mdr_rate_cleaned!$B$2:$B$10,"&lt;"&amp;C3139,mdr_rate_cleaned!$F$2:$F$10,"&gt;="&amp;C3139)</f>
        <v>1</v>
      </c>
      <c r="G3139" s="40">
        <f>SUMIFS(mdr_rate_cleaned!$G$2:$G$10,mdr_rate_cleaned!$A$2:$A$10,B3139,mdr_rate_cleaned!$B$2:$B$10,"&lt;"&amp;C3139,mdr_rate_cleaned!$F$2:$F$10,"&gt;="&amp;C3139)</f>
        <v>1.6E-2</v>
      </c>
      <c r="H3139" s="24">
        <f t="shared" si="245"/>
        <v>45.57</v>
      </c>
      <c r="I3139" s="23" t="str">
        <f t="shared" si="246"/>
        <v>Match</v>
      </c>
      <c r="J3139" s="23" t="str">
        <f t="shared" si="247"/>
        <v>Match</v>
      </c>
      <c r="K3139" s="24">
        <f t="shared" si="248"/>
        <v>8.1999999999999993</v>
      </c>
      <c r="L3139" s="24">
        <f t="shared" si="249"/>
        <v>0</v>
      </c>
    </row>
    <row r="3140" spans="1:12" ht="15" customHeight="1" x14ac:dyDescent="0.3">
      <c r="A3140" s="23" t="s">
        <v>16172</v>
      </c>
      <c r="B3140" s="23" t="s">
        <v>81</v>
      </c>
      <c r="C3140" s="39">
        <v>2097</v>
      </c>
      <c r="D3140" s="24">
        <v>25.16</v>
      </c>
      <c r="E3140" s="24">
        <v>4.53</v>
      </c>
      <c r="F3140" s="23">
        <f>COUNTIFS(mdr_rate_cleaned!$A$2:$A$10,B3140,mdr_rate_cleaned!$B$2:$B$10,"&lt;"&amp;C3140,mdr_rate_cleaned!$F$2:$F$10,"&gt;="&amp;C3140)</f>
        <v>1</v>
      </c>
      <c r="G3140" s="40">
        <f>SUMIFS(mdr_rate_cleaned!$G$2:$G$10,mdr_rate_cleaned!$A$2:$A$10,B3140,mdr_rate_cleaned!$B$2:$B$10,"&lt;"&amp;C3140,mdr_rate_cleaned!$F$2:$F$10,"&gt;="&amp;C3140)</f>
        <v>1.2E-2</v>
      </c>
      <c r="H3140" s="24">
        <f t="shared" si="245"/>
        <v>25.16</v>
      </c>
      <c r="I3140" s="23" t="str">
        <f t="shared" si="246"/>
        <v>Match</v>
      </c>
      <c r="J3140" s="23" t="str">
        <f t="shared" si="247"/>
        <v>Match</v>
      </c>
      <c r="K3140" s="24">
        <f t="shared" si="248"/>
        <v>4.53</v>
      </c>
      <c r="L3140" s="24">
        <f t="shared" si="249"/>
        <v>0</v>
      </c>
    </row>
    <row r="3141" spans="1:12" ht="15" customHeight="1" x14ac:dyDescent="0.3">
      <c r="A3141" s="23" t="s">
        <v>16173</v>
      </c>
      <c r="B3141" s="23" t="s">
        <v>79</v>
      </c>
      <c r="C3141" s="39">
        <v>2999</v>
      </c>
      <c r="D3141" s="24">
        <v>47.98</v>
      </c>
      <c r="E3141" s="24">
        <v>8.64</v>
      </c>
      <c r="F3141" s="23">
        <f>COUNTIFS(mdr_rate_cleaned!$A$2:$A$10,B3141,mdr_rate_cleaned!$B$2:$B$10,"&lt;"&amp;C3141,mdr_rate_cleaned!$F$2:$F$10,"&gt;="&amp;C3141)</f>
        <v>1</v>
      </c>
      <c r="G3141" s="40">
        <f>SUMIFS(mdr_rate_cleaned!$G$2:$G$10,mdr_rate_cleaned!$A$2:$A$10,B3141,mdr_rate_cleaned!$B$2:$B$10,"&lt;"&amp;C3141,mdr_rate_cleaned!$F$2:$F$10,"&gt;="&amp;C3141)</f>
        <v>1.6E-2</v>
      </c>
      <c r="H3141" s="24">
        <f t="shared" si="245"/>
        <v>47.98</v>
      </c>
      <c r="I3141" s="23" t="str">
        <f t="shared" si="246"/>
        <v>Match</v>
      </c>
      <c r="J3141" s="23" t="str">
        <f t="shared" si="247"/>
        <v>Match</v>
      </c>
      <c r="K3141" s="24">
        <f t="shared" si="248"/>
        <v>8.64</v>
      </c>
      <c r="L3141" s="24">
        <f t="shared" si="249"/>
        <v>0</v>
      </c>
    </row>
    <row r="3142" spans="1:12" ht="15" customHeight="1" x14ac:dyDescent="0.3">
      <c r="A3142" s="23" t="s">
        <v>16174</v>
      </c>
      <c r="B3142" s="23" t="s">
        <v>75</v>
      </c>
      <c r="C3142" s="39">
        <v>5797</v>
      </c>
      <c r="D3142" s="24">
        <v>17.39</v>
      </c>
      <c r="E3142" s="24">
        <v>3.13</v>
      </c>
      <c r="F3142" s="23">
        <f>COUNTIFS(mdr_rate_cleaned!$A$2:$A$10,B3142,mdr_rate_cleaned!$B$2:$B$10,"&lt;"&amp;C3142,mdr_rate_cleaned!$F$2:$F$10,"&gt;="&amp;C3142)</f>
        <v>1</v>
      </c>
      <c r="G3142" s="40">
        <f>SUMIFS(mdr_rate_cleaned!$G$2:$G$10,mdr_rate_cleaned!$A$2:$A$10,B3142,mdr_rate_cleaned!$B$2:$B$10,"&lt;"&amp;C3142,mdr_rate_cleaned!$F$2:$F$10,"&gt;="&amp;C3142)</f>
        <v>3.0000000000000001E-3</v>
      </c>
      <c r="H3142" s="24">
        <f t="shared" si="245"/>
        <v>17.39</v>
      </c>
      <c r="I3142" s="23" t="str">
        <f t="shared" si="246"/>
        <v>Match</v>
      </c>
      <c r="J3142" s="23" t="str">
        <f t="shared" si="247"/>
        <v>Match</v>
      </c>
      <c r="K3142" s="24">
        <f t="shared" si="248"/>
        <v>3.13</v>
      </c>
      <c r="L3142" s="24">
        <f t="shared" si="249"/>
        <v>0</v>
      </c>
    </row>
    <row r="3143" spans="1:12" ht="15" customHeight="1" x14ac:dyDescent="0.3">
      <c r="A3143" s="23" t="s">
        <v>16175</v>
      </c>
      <c r="B3143" s="23" t="s">
        <v>75</v>
      </c>
      <c r="C3143" s="39">
        <v>1499</v>
      </c>
      <c r="D3143" s="24">
        <v>0</v>
      </c>
      <c r="E3143" s="24">
        <v>0</v>
      </c>
      <c r="F3143" s="23">
        <f>COUNTIFS(mdr_rate_cleaned!$A$2:$A$10,B3143,mdr_rate_cleaned!$B$2:$B$10,"&lt;"&amp;C3143,mdr_rate_cleaned!$F$2:$F$10,"&gt;="&amp;C3143)</f>
        <v>1</v>
      </c>
      <c r="G3143" s="40">
        <f>SUMIFS(mdr_rate_cleaned!$G$2:$G$10,mdr_rate_cleaned!$A$2:$A$10,B3143,mdr_rate_cleaned!$B$2:$B$10,"&lt;"&amp;C3143,mdr_rate_cleaned!$F$2:$F$10,"&gt;="&amp;C3143)</f>
        <v>0</v>
      </c>
      <c r="H3143" s="24">
        <f t="shared" si="245"/>
        <v>0</v>
      </c>
      <c r="I3143" s="23" t="str">
        <f t="shared" si="246"/>
        <v>Match</v>
      </c>
      <c r="J3143" s="23" t="str">
        <f t="shared" si="247"/>
        <v>Match</v>
      </c>
      <c r="K3143" s="24">
        <f t="shared" si="248"/>
        <v>0</v>
      </c>
      <c r="L3143" s="24">
        <f t="shared" si="249"/>
        <v>0</v>
      </c>
    </row>
    <row r="3144" spans="1:12" ht="15" customHeight="1" x14ac:dyDescent="0.3">
      <c r="A3144" s="23" t="s">
        <v>16176</v>
      </c>
      <c r="B3144" s="23" t="s">
        <v>75</v>
      </c>
      <c r="C3144" s="39">
        <v>10597</v>
      </c>
      <c r="D3144" s="24">
        <v>31.79</v>
      </c>
      <c r="E3144" s="24">
        <v>5.72</v>
      </c>
      <c r="F3144" s="23">
        <f>COUNTIFS(mdr_rate_cleaned!$A$2:$A$10,B3144,mdr_rate_cleaned!$B$2:$B$10,"&lt;"&amp;C3144,mdr_rate_cleaned!$F$2:$F$10,"&gt;="&amp;C3144)</f>
        <v>1</v>
      </c>
      <c r="G3144" s="40">
        <f>SUMIFS(mdr_rate_cleaned!$G$2:$G$10,mdr_rate_cleaned!$A$2:$A$10,B3144,mdr_rate_cleaned!$B$2:$B$10,"&lt;"&amp;C3144,mdr_rate_cleaned!$F$2:$F$10,"&gt;="&amp;C3144)</f>
        <v>3.0000000000000001E-3</v>
      </c>
      <c r="H3144" s="24">
        <f t="shared" si="245"/>
        <v>31.79</v>
      </c>
      <c r="I3144" s="23" t="str">
        <f t="shared" si="246"/>
        <v>Match</v>
      </c>
      <c r="J3144" s="23" t="str">
        <f t="shared" si="247"/>
        <v>Match</v>
      </c>
      <c r="K3144" s="24">
        <f t="shared" si="248"/>
        <v>5.72</v>
      </c>
      <c r="L3144" s="24">
        <f t="shared" si="249"/>
        <v>0</v>
      </c>
    </row>
    <row r="3145" spans="1:12" ht="15" customHeight="1" x14ac:dyDescent="0.3">
      <c r="A3145" s="23" t="s">
        <v>16177</v>
      </c>
      <c r="B3145" s="23" t="s">
        <v>75</v>
      </c>
      <c r="C3145" s="39">
        <v>2999</v>
      </c>
      <c r="D3145" s="24">
        <v>9</v>
      </c>
      <c r="E3145" s="24">
        <v>1.62</v>
      </c>
      <c r="F3145" s="23">
        <f>COUNTIFS(mdr_rate_cleaned!$A$2:$A$10,B3145,mdr_rate_cleaned!$B$2:$B$10,"&lt;"&amp;C3145,mdr_rate_cleaned!$F$2:$F$10,"&gt;="&amp;C3145)</f>
        <v>1</v>
      </c>
      <c r="G3145" s="40">
        <f>SUMIFS(mdr_rate_cleaned!$G$2:$G$10,mdr_rate_cleaned!$A$2:$A$10,B3145,mdr_rate_cleaned!$B$2:$B$10,"&lt;"&amp;C3145,mdr_rate_cleaned!$F$2:$F$10,"&gt;="&amp;C3145)</f>
        <v>3.0000000000000001E-3</v>
      </c>
      <c r="H3145" s="24">
        <f t="shared" si="245"/>
        <v>9</v>
      </c>
      <c r="I3145" s="23" t="str">
        <f t="shared" si="246"/>
        <v>Match</v>
      </c>
      <c r="J3145" s="23" t="str">
        <f t="shared" si="247"/>
        <v>Match</v>
      </c>
      <c r="K3145" s="24">
        <f t="shared" si="248"/>
        <v>1.62</v>
      </c>
      <c r="L3145" s="24">
        <f t="shared" si="249"/>
        <v>0</v>
      </c>
    </row>
    <row r="3146" spans="1:12" ht="15" customHeight="1" x14ac:dyDescent="0.3">
      <c r="A3146" s="23" t="s">
        <v>16178</v>
      </c>
      <c r="B3146" s="23" t="s">
        <v>75</v>
      </c>
      <c r="C3146" s="39">
        <v>4999</v>
      </c>
      <c r="D3146" s="24">
        <v>15</v>
      </c>
      <c r="E3146" s="24">
        <v>2.7</v>
      </c>
      <c r="F3146" s="23">
        <f>COUNTIFS(mdr_rate_cleaned!$A$2:$A$10,B3146,mdr_rate_cleaned!$B$2:$B$10,"&lt;"&amp;C3146,mdr_rate_cleaned!$F$2:$F$10,"&gt;="&amp;C3146)</f>
        <v>1</v>
      </c>
      <c r="G3146" s="40">
        <f>SUMIFS(mdr_rate_cleaned!$G$2:$G$10,mdr_rate_cleaned!$A$2:$A$10,B3146,mdr_rate_cleaned!$B$2:$B$10,"&lt;"&amp;C3146,mdr_rate_cleaned!$F$2:$F$10,"&gt;="&amp;C3146)</f>
        <v>3.0000000000000001E-3</v>
      </c>
      <c r="H3146" s="24">
        <f t="shared" si="245"/>
        <v>15</v>
      </c>
      <c r="I3146" s="23" t="str">
        <f t="shared" si="246"/>
        <v>Match</v>
      </c>
      <c r="J3146" s="23" t="str">
        <f t="shared" si="247"/>
        <v>Match</v>
      </c>
      <c r="K3146" s="24">
        <f t="shared" si="248"/>
        <v>2.7</v>
      </c>
      <c r="L3146" s="24">
        <f t="shared" si="249"/>
        <v>0</v>
      </c>
    </row>
    <row r="3147" spans="1:12" ht="15" customHeight="1" x14ac:dyDescent="0.3">
      <c r="A3147" s="23" t="s">
        <v>16179</v>
      </c>
      <c r="B3147" s="23" t="s">
        <v>79</v>
      </c>
      <c r="C3147" s="39">
        <v>1799</v>
      </c>
      <c r="D3147" s="24">
        <v>32.380000000000003</v>
      </c>
      <c r="E3147" s="24">
        <v>5.83</v>
      </c>
      <c r="F3147" s="23">
        <f>COUNTIFS(mdr_rate_cleaned!$A$2:$A$10,B3147,mdr_rate_cleaned!$B$2:$B$10,"&lt;"&amp;C3147,mdr_rate_cleaned!$F$2:$F$10,"&gt;="&amp;C3147)</f>
        <v>1</v>
      </c>
      <c r="G3147" s="40">
        <f>SUMIFS(mdr_rate_cleaned!$G$2:$G$10,mdr_rate_cleaned!$A$2:$A$10,B3147,mdr_rate_cleaned!$B$2:$B$10,"&lt;"&amp;C3147,mdr_rate_cleaned!$F$2:$F$10,"&gt;="&amp;C3147)</f>
        <v>1.8000000000000002E-2</v>
      </c>
      <c r="H3147" s="24">
        <f t="shared" si="245"/>
        <v>32.380000000000003</v>
      </c>
      <c r="I3147" s="23" t="str">
        <f t="shared" si="246"/>
        <v>Match</v>
      </c>
      <c r="J3147" s="23" t="str">
        <f t="shared" si="247"/>
        <v>Match</v>
      </c>
      <c r="K3147" s="24">
        <f t="shared" si="248"/>
        <v>5.83</v>
      </c>
      <c r="L3147" s="24">
        <f t="shared" si="249"/>
        <v>0</v>
      </c>
    </row>
    <row r="3148" spans="1:12" ht="15" customHeight="1" x14ac:dyDescent="0.3">
      <c r="A3148" s="23" t="s">
        <v>16181</v>
      </c>
      <c r="B3148" s="23" t="s">
        <v>75</v>
      </c>
      <c r="C3148" s="39">
        <v>3798</v>
      </c>
      <c r="D3148" s="24">
        <v>11.39</v>
      </c>
      <c r="E3148" s="24">
        <v>2.0499999999999998</v>
      </c>
      <c r="F3148" s="23">
        <f>COUNTIFS(mdr_rate_cleaned!$A$2:$A$10,B3148,mdr_rate_cleaned!$B$2:$B$10,"&lt;"&amp;C3148,mdr_rate_cleaned!$F$2:$F$10,"&gt;="&amp;C3148)</f>
        <v>1</v>
      </c>
      <c r="G3148" s="40">
        <f>SUMIFS(mdr_rate_cleaned!$G$2:$G$10,mdr_rate_cleaned!$A$2:$A$10,B3148,mdr_rate_cleaned!$B$2:$B$10,"&lt;"&amp;C3148,mdr_rate_cleaned!$F$2:$F$10,"&gt;="&amp;C3148)</f>
        <v>3.0000000000000001E-3</v>
      </c>
      <c r="H3148" s="24">
        <f t="shared" si="245"/>
        <v>11.39</v>
      </c>
      <c r="I3148" s="23" t="str">
        <f t="shared" si="246"/>
        <v>Match</v>
      </c>
      <c r="J3148" s="23" t="str">
        <f t="shared" si="247"/>
        <v>Match</v>
      </c>
      <c r="K3148" s="24">
        <f t="shared" si="248"/>
        <v>2.0499999999999998</v>
      </c>
      <c r="L3148" s="24">
        <f t="shared" si="249"/>
        <v>0</v>
      </c>
    </row>
    <row r="3149" spans="1:12" ht="15" customHeight="1" x14ac:dyDescent="0.3">
      <c r="A3149" s="23" t="s">
        <v>16182</v>
      </c>
      <c r="B3149" s="23" t="s">
        <v>75</v>
      </c>
      <c r="C3149" s="39">
        <v>299</v>
      </c>
      <c r="D3149" s="24">
        <v>0</v>
      </c>
      <c r="E3149" s="24">
        <v>0</v>
      </c>
      <c r="F3149" s="23">
        <f>COUNTIFS(mdr_rate_cleaned!$A$2:$A$10,B3149,mdr_rate_cleaned!$B$2:$B$10,"&lt;"&amp;C3149,mdr_rate_cleaned!$F$2:$F$10,"&gt;="&amp;C3149)</f>
        <v>1</v>
      </c>
      <c r="G3149" s="40">
        <f>SUMIFS(mdr_rate_cleaned!$G$2:$G$10,mdr_rate_cleaned!$A$2:$A$10,B3149,mdr_rate_cleaned!$B$2:$B$10,"&lt;"&amp;C3149,mdr_rate_cleaned!$F$2:$F$10,"&gt;="&amp;C3149)</f>
        <v>0</v>
      </c>
      <c r="H3149" s="24">
        <f t="shared" si="245"/>
        <v>0</v>
      </c>
      <c r="I3149" s="23" t="str">
        <f t="shared" si="246"/>
        <v>Match</v>
      </c>
      <c r="J3149" s="23" t="str">
        <f t="shared" si="247"/>
        <v>Match</v>
      </c>
      <c r="K3149" s="24">
        <f t="shared" si="248"/>
        <v>0</v>
      </c>
      <c r="L3149" s="24">
        <f t="shared" si="249"/>
        <v>0</v>
      </c>
    </row>
    <row r="3150" spans="1:12" ht="15" customHeight="1" x14ac:dyDescent="0.3">
      <c r="A3150" s="23" t="s">
        <v>16183</v>
      </c>
      <c r="B3150" s="23" t="s">
        <v>79</v>
      </c>
      <c r="C3150" s="39">
        <v>5798</v>
      </c>
      <c r="D3150" s="24">
        <v>92.77</v>
      </c>
      <c r="E3150" s="24">
        <v>16.7</v>
      </c>
      <c r="F3150" s="23">
        <f>COUNTIFS(mdr_rate_cleaned!$A$2:$A$10,B3150,mdr_rate_cleaned!$B$2:$B$10,"&lt;"&amp;C3150,mdr_rate_cleaned!$F$2:$F$10,"&gt;="&amp;C3150)</f>
        <v>1</v>
      </c>
      <c r="G3150" s="40">
        <f>SUMIFS(mdr_rate_cleaned!$G$2:$G$10,mdr_rate_cleaned!$A$2:$A$10,B3150,mdr_rate_cleaned!$B$2:$B$10,"&lt;"&amp;C3150,mdr_rate_cleaned!$F$2:$F$10,"&gt;="&amp;C3150)</f>
        <v>1.6E-2</v>
      </c>
      <c r="H3150" s="24">
        <f t="shared" si="245"/>
        <v>92.77</v>
      </c>
      <c r="I3150" s="23" t="str">
        <f t="shared" si="246"/>
        <v>Match</v>
      </c>
      <c r="J3150" s="23" t="str">
        <f t="shared" si="247"/>
        <v>Match</v>
      </c>
      <c r="K3150" s="24">
        <f t="shared" si="248"/>
        <v>16.7</v>
      </c>
      <c r="L3150" s="24">
        <f t="shared" si="249"/>
        <v>0</v>
      </c>
    </row>
    <row r="3151" spans="1:12" ht="15" customHeight="1" x14ac:dyDescent="0.3">
      <c r="A3151" s="23" t="s">
        <v>16184</v>
      </c>
      <c r="B3151" s="23" t="s">
        <v>77</v>
      </c>
      <c r="C3151" s="39">
        <v>599</v>
      </c>
      <c r="D3151" s="24">
        <v>11.38</v>
      </c>
      <c r="E3151" s="24">
        <v>2.0499999999999998</v>
      </c>
      <c r="F3151" s="23">
        <f>COUNTIFS(mdr_rate_cleaned!$A$2:$A$10,B3151,mdr_rate_cleaned!$B$2:$B$10,"&lt;"&amp;C3151,mdr_rate_cleaned!$F$2:$F$10,"&gt;="&amp;C3151)</f>
        <v>1</v>
      </c>
      <c r="G3151" s="40">
        <f>SUMIFS(mdr_rate_cleaned!$G$2:$G$10,mdr_rate_cleaned!$A$2:$A$10,B3151,mdr_rate_cleaned!$B$2:$B$10,"&lt;"&amp;C3151,mdr_rate_cleaned!$F$2:$F$10,"&gt;="&amp;C3151)</f>
        <v>1.9E-2</v>
      </c>
      <c r="H3151" s="24">
        <f t="shared" si="245"/>
        <v>11.38</v>
      </c>
      <c r="I3151" s="23" t="str">
        <f t="shared" si="246"/>
        <v>Match</v>
      </c>
      <c r="J3151" s="23" t="str">
        <f t="shared" si="247"/>
        <v>Match</v>
      </c>
      <c r="K3151" s="24">
        <f t="shared" si="248"/>
        <v>2.0499999999999998</v>
      </c>
      <c r="L3151" s="24">
        <f t="shared" si="249"/>
        <v>0</v>
      </c>
    </row>
    <row r="3152" spans="1:12" ht="15" customHeight="1" x14ac:dyDescent="0.3">
      <c r="A3152" s="23" t="s">
        <v>16185</v>
      </c>
      <c r="B3152" s="23" t="s">
        <v>79</v>
      </c>
      <c r="C3152" s="39">
        <v>599</v>
      </c>
      <c r="D3152" s="24">
        <v>10.78</v>
      </c>
      <c r="E3152" s="24">
        <v>1.94</v>
      </c>
      <c r="F3152" s="23">
        <f>COUNTIFS(mdr_rate_cleaned!$A$2:$A$10,B3152,mdr_rate_cleaned!$B$2:$B$10,"&lt;"&amp;C3152,mdr_rate_cleaned!$F$2:$F$10,"&gt;="&amp;C3152)</f>
        <v>1</v>
      </c>
      <c r="G3152" s="40">
        <f>SUMIFS(mdr_rate_cleaned!$G$2:$G$10,mdr_rate_cleaned!$A$2:$A$10,B3152,mdr_rate_cleaned!$B$2:$B$10,"&lt;"&amp;C3152,mdr_rate_cleaned!$F$2:$F$10,"&gt;="&amp;C3152)</f>
        <v>1.8000000000000002E-2</v>
      </c>
      <c r="H3152" s="24">
        <f t="shared" si="245"/>
        <v>10.78</v>
      </c>
      <c r="I3152" s="23" t="str">
        <f t="shared" si="246"/>
        <v>Match</v>
      </c>
      <c r="J3152" s="23" t="str">
        <f t="shared" si="247"/>
        <v>Match</v>
      </c>
      <c r="K3152" s="24">
        <f t="shared" si="248"/>
        <v>1.94</v>
      </c>
      <c r="L3152" s="24">
        <f t="shared" si="249"/>
        <v>0</v>
      </c>
    </row>
    <row r="3153" spans="1:12" ht="15" customHeight="1" x14ac:dyDescent="0.3">
      <c r="A3153" s="23" t="s">
        <v>16186</v>
      </c>
      <c r="B3153" s="23" t="s">
        <v>81</v>
      </c>
      <c r="C3153" s="39">
        <v>3848</v>
      </c>
      <c r="D3153" s="24">
        <v>46.18</v>
      </c>
      <c r="E3153" s="24">
        <v>8.31</v>
      </c>
      <c r="F3153" s="23">
        <f>COUNTIFS(mdr_rate_cleaned!$A$2:$A$10,B3153,mdr_rate_cleaned!$B$2:$B$10,"&lt;"&amp;C3153,mdr_rate_cleaned!$F$2:$F$10,"&gt;="&amp;C3153)</f>
        <v>1</v>
      </c>
      <c r="G3153" s="40">
        <f>SUMIFS(mdr_rate_cleaned!$G$2:$G$10,mdr_rate_cleaned!$A$2:$A$10,B3153,mdr_rate_cleaned!$B$2:$B$10,"&lt;"&amp;C3153,mdr_rate_cleaned!$F$2:$F$10,"&gt;="&amp;C3153)</f>
        <v>1.2E-2</v>
      </c>
      <c r="H3153" s="24">
        <f t="shared" si="245"/>
        <v>46.18</v>
      </c>
      <c r="I3153" s="23" t="str">
        <f t="shared" si="246"/>
        <v>Match</v>
      </c>
      <c r="J3153" s="23" t="str">
        <f t="shared" si="247"/>
        <v>Match</v>
      </c>
      <c r="K3153" s="24">
        <f t="shared" si="248"/>
        <v>8.31</v>
      </c>
      <c r="L3153" s="24">
        <f t="shared" si="249"/>
        <v>0</v>
      </c>
    </row>
    <row r="3154" spans="1:12" ht="15" customHeight="1" x14ac:dyDescent="0.3">
      <c r="A3154" s="23" t="s">
        <v>16187</v>
      </c>
      <c r="B3154" s="23" t="s">
        <v>75</v>
      </c>
      <c r="C3154" s="39">
        <v>6498</v>
      </c>
      <c r="D3154" s="24">
        <v>19.489999999999998</v>
      </c>
      <c r="E3154" s="24">
        <v>3.51</v>
      </c>
      <c r="F3154" s="23">
        <f>COUNTIFS(mdr_rate_cleaned!$A$2:$A$10,B3154,mdr_rate_cleaned!$B$2:$B$10,"&lt;"&amp;C3154,mdr_rate_cleaned!$F$2:$F$10,"&gt;="&amp;C3154)</f>
        <v>1</v>
      </c>
      <c r="G3154" s="40">
        <f>SUMIFS(mdr_rate_cleaned!$G$2:$G$10,mdr_rate_cleaned!$A$2:$A$10,B3154,mdr_rate_cleaned!$B$2:$B$10,"&lt;"&amp;C3154,mdr_rate_cleaned!$F$2:$F$10,"&gt;="&amp;C3154)</f>
        <v>3.0000000000000001E-3</v>
      </c>
      <c r="H3154" s="24">
        <f t="shared" si="245"/>
        <v>19.489999999999998</v>
      </c>
      <c r="I3154" s="23" t="str">
        <f t="shared" si="246"/>
        <v>Match</v>
      </c>
      <c r="J3154" s="23" t="str">
        <f t="shared" si="247"/>
        <v>Match</v>
      </c>
      <c r="K3154" s="24">
        <f t="shared" si="248"/>
        <v>3.51</v>
      </c>
      <c r="L3154" s="24">
        <f t="shared" si="249"/>
        <v>0</v>
      </c>
    </row>
    <row r="3155" spans="1:12" ht="15" customHeight="1" x14ac:dyDescent="0.3">
      <c r="A3155" s="23" t="s">
        <v>16188</v>
      </c>
      <c r="B3155" s="23" t="s">
        <v>79</v>
      </c>
      <c r="C3155" s="39">
        <v>4999</v>
      </c>
      <c r="D3155" s="24">
        <v>79.98</v>
      </c>
      <c r="E3155" s="24">
        <v>14.4</v>
      </c>
      <c r="F3155" s="23">
        <f>COUNTIFS(mdr_rate_cleaned!$A$2:$A$10,B3155,mdr_rate_cleaned!$B$2:$B$10,"&lt;"&amp;C3155,mdr_rate_cleaned!$F$2:$F$10,"&gt;="&amp;C3155)</f>
        <v>1</v>
      </c>
      <c r="G3155" s="40">
        <f>SUMIFS(mdr_rate_cleaned!$G$2:$G$10,mdr_rate_cleaned!$A$2:$A$10,B3155,mdr_rate_cleaned!$B$2:$B$10,"&lt;"&amp;C3155,mdr_rate_cleaned!$F$2:$F$10,"&gt;="&amp;C3155)</f>
        <v>1.6E-2</v>
      </c>
      <c r="H3155" s="24">
        <f t="shared" si="245"/>
        <v>79.98</v>
      </c>
      <c r="I3155" s="23" t="str">
        <f t="shared" si="246"/>
        <v>Match</v>
      </c>
      <c r="J3155" s="23" t="str">
        <f t="shared" si="247"/>
        <v>Match</v>
      </c>
      <c r="K3155" s="24">
        <f t="shared" si="248"/>
        <v>14.4</v>
      </c>
      <c r="L3155" s="24">
        <f t="shared" si="249"/>
        <v>0</v>
      </c>
    </row>
    <row r="3156" spans="1:12" ht="15" customHeight="1" x14ac:dyDescent="0.3">
      <c r="A3156" s="23" t="s">
        <v>16189</v>
      </c>
      <c r="B3156" s="23" t="s">
        <v>75</v>
      </c>
      <c r="C3156" s="39">
        <v>1799</v>
      </c>
      <c r="D3156" s="24">
        <v>0</v>
      </c>
      <c r="E3156" s="24">
        <v>0</v>
      </c>
      <c r="F3156" s="23">
        <f>COUNTIFS(mdr_rate_cleaned!$A$2:$A$10,B3156,mdr_rate_cleaned!$B$2:$B$10,"&lt;"&amp;C3156,mdr_rate_cleaned!$F$2:$F$10,"&gt;="&amp;C3156)</f>
        <v>1</v>
      </c>
      <c r="G3156" s="40">
        <f>SUMIFS(mdr_rate_cleaned!$G$2:$G$10,mdr_rate_cleaned!$A$2:$A$10,B3156,mdr_rate_cleaned!$B$2:$B$10,"&lt;"&amp;C3156,mdr_rate_cleaned!$F$2:$F$10,"&gt;="&amp;C3156)</f>
        <v>0</v>
      </c>
      <c r="H3156" s="24">
        <f t="shared" si="245"/>
        <v>0</v>
      </c>
      <c r="I3156" s="23" t="str">
        <f t="shared" si="246"/>
        <v>Match</v>
      </c>
      <c r="J3156" s="23" t="str">
        <f t="shared" si="247"/>
        <v>Match</v>
      </c>
      <c r="K3156" s="24">
        <f t="shared" si="248"/>
        <v>0</v>
      </c>
      <c r="L3156" s="24">
        <f t="shared" si="249"/>
        <v>0</v>
      </c>
    </row>
    <row r="3157" spans="1:12" ht="15" customHeight="1" x14ac:dyDescent="0.3">
      <c r="A3157" s="23" t="s">
        <v>16190</v>
      </c>
      <c r="B3157" s="23" t="s">
        <v>75</v>
      </c>
      <c r="C3157" s="39">
        <v>6147</v>
      </c>
      <c r="D3157" s="24">
        <v>18.440000000000001</v>
      </c>
      <c r="E3157" s="24">
        <v>3.32</v>
      </c>
      <c r="F3157" s="23">
        <f>COUNTIFS(mdr_rate_cleaned!$A$2:$A$10,B3157,mdr_rate_cleaned!$B$2:$B$10,"&lt;"&amp;C3157,mdr_rate_cleaned!$F$2:$F$10,"&gt;="&amp;C3157)</f>
        <v>1</v>
      </c>
      <c r="G3157" s="40">
        <f>SUMIFS(mdr_rate_cleaned!$G$2:$G$10,mdr_rate_cleaned!$A$2:$A$10,B3157,mdr_rate_cleaned!$B$2:$B$10,"&lt;"&amp;C3157,mdr_rate_cleaned!$F$2:$F$10,"&gt;="&amp;C3157)</f>
        <v>3.0000000000000001E-3</v>
      </c>
      <c r="H3157" s="24">
        <f t="shared" si="245"/>
        <v>18.440000000000001</v>
      </c>
      <c r="I3157" s="23" t="str">
        <f t="shared" si="246"/>
        <v>Match</v>
      </c>
      <c r="J3157" s="23" t="str">
        <f t="shared" si="247"/>
        <v>Match</v>
      </c>
      <c r="K3157" s="24">
        <f t="shared" si="248"/>
        <v>3.32</v>
      </c>
      <c r="L3157" s="24">
        <f t="shared" si="249"/>
        <v>0</v>
      </c>
    </row>
    <row r="3158" spans="1:12" ht="15" customHeight="1" x14ac:dyDescent="0.3">
      <c r="A3158" s="23" t="s">
        <v>16191</v>
      </c>
      <c r="B3158" s="23" t="s">
        <v>75</v>
      </c>
      <c r="C3158" s="39">
        <v>2999</v>
      </c>
      <c r="D3158" s="24">
        <v>9</v>
      </c>
      <c r="E3158" s="24">
        <v>1.62</v>
      </c>
      <c r="F3158" s="23">
        <f>COUNTIFS(mdr_rate_cleaned!$A$2:$A$10,B3158,mdr_rate_cleaned!$B$2:$B$10,"&lt;"&amp;C3158,mdr_rate_cleaned!$F$2:$F$10,"&gt;="&amp;C3158)</f>
        <v>1</v>
      </c>
      <c r="G3158" s="40">
        <f>SUMIFS(mdr_rate_cleaned!$G$2:$G$10,mdr_rate_cleaned!$A$2:$A$10,B3158,mdr_rate_cleaned!$B$2:$B$10,"&lt;"&amp;C3158,mdr_rate_cleaned!$F$2:$F$10,"&gt;="&amp;C3158)</f>
        <v>3.0000000000000001E-3</v>
      </c>
      <c r="H3158" s="24">
        <f t="shared" si="245"/>
        <v>9</v>
      </c>
      <c r="I3158" s="23" t="str">
        <f t="shared" si="246"/>
        <v>Match</v>
      </c>
      <c r="J3158" s="23" t="str">
        <f t="shared" si="247"/>
        <v>Match</v>
      </c>
      <c r="K3158" s="24">
        <f t="shared" si="248"/>
        <v>1.62</v>
      </c>
      <c r="L3158" s="24">
        <f t="shared" si="249"/>
        <v>0</v>
      </c>
    </row>
    <row r="3159" spans="1:12" ht="15" customHeight="1" x14ac:dyDescent="0.3">
      <c r="A3159" s="23" t="s">
        <v>16192</v>
      </c>
      <c r="B3159" s="23" t="s">
        <v>79</v>
      </c>
      <c r="C3159" s="39">
        <v>2098</v>
      </c>
      <c r="D3159" s="24">
        <v>33.57</v>
      </c>
      <c r="E3159" s="24">
        <v>6.04</v>
      </c>
      <c r="F3159" s="23">
        <f>COUNTIFS(mdr_rate_cleaned!$A$2:$A$10,B3159,mdr_rate_cleaned!$B$2:$B$10,"&lt;"&amp;C3159,mdr_rate_cleaned!$F$2:$F$10,"&gt;="&amp;C3159)</f>
        <v>1</v>
      </c>
      <c r="G3159" s="40">
        <f>SUMIFS(mdr_rate_cleaned!$G$2:$G$10,mdr_rate_cleaned!$A$2:$A$10,B3159,mdr_rate_cleaned!$B$2:$B$10,"&lt;"&amp;C3159,mdr_rate_cleaned!$F$2:$F$10,"&gt;="&amp;C3159)</f>
        <v>1.6E-2</v>
      </c>
      <c r="H3159" s="24">
        <f t="shared" si="245"/>
        <v>33.57</v>
      </c>
      <c r="I3159" s="23" t="str">
        <f t="shared" si="246"/>
        <v>Match</v>
      </c>
      <c r="J3159" s="23" t="str">
        <f t="shared" si="247"/>
        <v>Match</v>
      </c>
      <c r="K3159" s="24">
        <f t="shared" si="248"/>
        <v>6.04</v>
      </c>
      <c r="L3159" s="24">
        <f t="shared" si="249"/>
        <v>0</v>
      </c>
    </row>
    <row r="3160" spans="1:12" ht="15" customHeight="1" x14ac:dyDescent="0.3">
      <c r="A3160" s="23" t="s">
        <v>16193</v>
      </c>
      <c r="B3160" s="23" t="s">
        <v>79</v>
      </c>
      <c r="C3160" s="39">
        <v>698</v>
      </c>
      <c r="D3160" s="24">
        <v>12.56</v>
      </c>
      <c r="E3160" s="24">
        <v>2.2599999999999998</v>
      </c>
      <c r="F3160" s="23">
        <f>COUNTIFS(mdr_rate_cleaned!$A$2:$A$10,B3160,mdr_rate_cleaned!$B$2:$B$10,"&lt;"&amp;C3160,mdr_rate_cleaned!$F$2:$F$10,"&gt;="&amp;C3160)</f>
        <v>1</v>
      </c>
      <c r="G3160" s="40">
        <f>SUMIFS(mdr_rate_cleaned!$G$2:$G$10,mdr_rate_cleaned!$A$2:$A$10,B3160,mdr_rate_cleaned!$B$2:$B$10,"&lt;"&amp;C3160,mdr_rate_cleaned!$F$2:$F$10,"&gt;="&amp;C3160)</f>
        <v>1.8000000000000002E-2</v>
      </c>
      <c r="H3160" s="24">
        <f t="shared" si="245"/>
        <v>12.56</v>
      </c>
      <c r="I3160" s="23" t="str">
        <f t="shared" si="246"/>
        <v>Match</v>
      </c>
      <c r="J3160" s="23" t="str">
        <f t="shared" si="247"/>
        <v>Match</v>
      </c>
      <c r="K3160" s="24">
        <f t="shared" si="248"/>
        <v>2.2599999999999998</v>
      </c>
      <c r="L3160" s="24">
        <f t="shared" si="249"/>
        <v>0</v>
      </c>
    </row>
    <row r="3161" spans="1:12" ht="15" customHeight="1" x14ac:dyDescent="0.3">
      <c r="A3161" s="23" t="s">
        <v>16195</v>
      </c>
      <c r="B3161" s="23" t="s">
        <v>75</v>
      </c>
      <c r="C3161" s="39">
        <v>999</v>
      </c>
      <c r="D3161" s="24">
        <v>0</v>
      </c>
      <c r="E3161" s="24">
        <v>0</v>
      </c>
      <c r="F3161" s="23">
        <f>COUNTIFS(mdr_rate_cleaned!$A$2:$A$10,B3161,mdr_rate_cleaned!$B$2:$B$10,"&lt;"&amp;C3161,mdr_rate_cleaned!$F$2:$F$10,"&gt;="&amp;C3161)</f>
        <v>1</v>
      </c>
      <c r="G3161" s="40">
        <f>SUMIFS(mdr_rate_cleaned!$G$2:$G$10,mdr_rate_cleaned!$A$2:$A$10,B3161,mdr_rate_cleaned!$B$2:$B$10,"&lt;"&amp;C3161,mdr_rate_cleaned!$F$2:$F$10,"&gt;="&amp;C3161)</f>
        <v>0</v>
      </c>
      <c r="H3161" s="24">
        <f t="shared" si="245"/>
        <v>0</v>
      </c>
      <c r="I3161" s="23" t="str">
        <f t="shared" si="246"/>
        <v>Match</v>
      </c>
      <c r="J3161" s="23" t="str">
        <f t="shared" si="247"/>
        <v>Match</v>
      </c>
      <c r="K3161" s="24">
        <f t="shared" si="248"/>
        <v>0</v>
      </c>
      <c r="L3161" s="24">
        <f t="shared" si="249"/>
        <v>0</v>
      </c>
    </row>
    <row r="3162" spans="1:12" ht="15" customHeight="1" x14ac:dyDescent="0.3">
      <c r="A3162" s="23" t="s">
        <v>16196</v>
      </c>
      <c r="B3162" s="23" t="s">
        <v>75</v>
      </c>
      <c r="C3162" s="39">
        <v>7999</v>
      </c>
      <c r="D3162" s="24">
        <v>24</v>
      </c>
      <c r="E3162" s="24">
        <v>4.32</v>
      </c>
      <c r="F3162" s="23">
        <f>COUNTIFS(mdr_rate_cleaned!$A$2:$A$10,B3162,mdr_rate_cleaned!$B$2:$B$10,"&lt;"&amp;C3162,mdr_rate_cleaned!$F$2:$F$10,"&gt;="&amp;C3162)</f>
        <v>1</v>
      </c>
      <c r="G3162" s="40">
        <f>SUMIFS(mdr_rate_cleaned!$G$2:$G$10,mdr_rate_cleaned!$A$2:$A$10,B3162,mdr_rate_cleaned!$B$2:$B$10,"&lt;"&amp;C3162,mdr_rate_cleaned!$F$2:$F$10,"&gt;="&amp;C3162)</f>
        <v>3.0000000000000001E-3</v>
      </c>
      <c r="H3162" s="24">
        <f t="shared" si="245"/>
        <v>24</v>
      </c>
      <c r="I3162" s="23" t="str">
        <f t="shared" si="246"/>
        <v>Match</v>
      </c>
      <c r="J3162" s="23" t="str">
        <f t="shared" si="247"/>
        <v>Match</v>
      </c>
      <c r="K3162" s="24">
        <f t="shared" si="248"/>
        <v>4.32</v>
      </c>
      <c r="L3162" s="24">
        <f t="shared" si="249"/>
        <v>0</v>
      </c>
    </row>
    <row r="3163" spans="1:12" ht="15" customHeight="1" x14ac:dyDescent="0.3">
      <c r="A3163" s="23" t="s">
        <v>16197</v>
      </c>
      <c r="B3163" s="23" t="s">
        <v>75</v>
      </c>
      <c r="C3163" s="39">
        <v>1648</v>
      </c>
      <c r="D3163" s="24">
        <v>0</v>
      </c>
      <c r="E3163" s="24">
        <v>0</v>
      </c>
      <c r="F3163" s="23">
        <f>COUNTIFS(mdr_rate_cleaned!$A$2:$A$10,B3163,mdr_rate_cleaned!$B$2:$B$10,"&lt;"&amp;C3163,mdr_rate_cleaned!$F$2:$F$10,"&gt;="&amp;C3163)</f>
        <v>1</v>
      </c>
      <c r="G3163" s="40">
        <f>SUMIFS(mdr_rate_cleaned!$G$2:$G$10,mdr_rate_cleaned!$A$2:$A$10,B3163,mdr_rate_cleaned!$B$2:$B$10,"&lt;"&amp;C3163,mdr_rate_cleaned!$F$2:$F$10,"&gt;="&amp;C3163)</f>
        <v>0</v>
      </c>
      <c r="H3163" s="24">
        <f t="shared" si="245"/>
        <v>0</v>
      </c>
      <c r="I3163" s="23" t="str">
        <f t="shared" si="246"/>
        <v>Match</v>
      </c>
      <c r="J3163" s="23" t="str">
        <f t="shared" si="247"/>
        <v>Match</v>
      </c>
      <c r="K3163" s="24">
        <f t="shared" si="248"/>
        <v>0</v>
      </c>
      <c r="L3163" s="24">
        <f t="shared" si="249"/>
        <v>0</v>
      </c>
    </row>
    <row r="3164" spans="1:12" ht="15" customHeight="1" x14ac:dyDescent="0.3">
      <c r="A3164" s="23" t="s">
        <v>16198</v>
      </c>
      <c r="B3164" s="23" t="s">
        <v>77</v>
      </c>
      <c r="C3164" s="39">
        <v>4999</v>
      </c>
      <c r="D3164" s="24">
        <v>84.98</v>
      </c>
      <c r="E3164" s="24">
        <v>15.3</v>
      </c>
      <c r="F3164" s="23">
        <f>COUNTIFS(mdr_rate_cleaned!$A$2:$A$10,B3164,mdr_rate_cleaned!$B$2:$B$10,"&lt;"&amp;C3164,mdr_rate_cleaned!$F$2:$F$10,"&gt;="&amp;C3164)</f>
        <v>1</v>
      </c>
      <c r="G3164" s="40">
        <f>SUMIFS(mdr_rate_cleaned!$G$2:$G$10,mdr_rate_cleaned!$A$2:$A$10,B3164,mdr_rate_cleaned!$B$2:$B$10,"&lt;"&amp;C3164,mdr_rate_cleaned!$F$2:$F$10,"&gt;="&amp;C3164)</f>
        <v>1.7000000000000001E-2</v>
      </c>
      <c r="H3164" s="24">
        <f t="shared" si="245"/>
        <v>84.98</v>
      </c>
      <c r="I3164" s="23" t="str">
        <f t="shared" si="246"/>
        <v>Match</v>
      </c>
      <c r="J3164" s="23" t="str">
        <f t="shared" si="247"/>
        <v>Match</v>
      </c>
      <c r="K3164" s="24">
        <f t="shared" si="248"/>
        <v>15.3</v>
      </c>
      <c r="L3164" s="24">
        <f t="shared" si="249"/>
        <v>0</v>
      </c>
    </row>
    <row r="3165" spans="1:12" ht="15" customHeight="1" x14ac:dyDescent="0.3">
      <c r="A3165" s="23" t="s">
        <v>16199</v>
      </c>
      <c r="B3165" s="23" t="s">
        <v>79</v>
      </c>
      <c r="C3165" s="39">
        <v>4999</v>
      </c>
      <c r="D3165" s="24">
        <v>79.98</v>
      </c>
      <c r="E3165" s="24">
        <v>14.4</v>
      </c>
      <c r="F3165" s="23">
        <f>COUNTIFS(mdr_rate_cleaned!$A$2:$A$10,B3165,mdr_rate_cleaned!$B$2:$B$10,"&lt;"&amp;C3165,mdr_rate_cleaned!$F$2:$F$10,"&gt;="&amp;C3165)</f>
        <v>1</v>
      </c>
      <c r="G3165" s="40">
        <f>SUMIFS(mdr_rate_cleaned!$G$2:$G$10,mdr_rate_cleaned!$A$2:$A$10,B3165,mdr_rate_cleaned!$B$2:$B$10,"&lt;"&amp;C3165,mdr_rate_cleaned!$F$2:$F$10,"&gt;="&amp;C3165)</f>
        <v>1.6E-2</v>
      </c>
      <c r="H3165" s="24">
        <f t="shared" si="245"/>
        <v>79.98</v>
      </c>
      <c r="I3165" s="23" t="str">
        <f t="shared" si="246"/>
        <v>Match</v>
      </c>
      <c r="J3165" s="23" t="str">
        <f t="shared" si="247"/>
        <v>Match</v>
      </c>
      <c r="K3165" s="24">
        <f t="shared" si="248"/>
        <v>14.4</v>
      </c>
      <c r="L3165" s="24">
        <f t="shared" si="249"/>
        <v>0</v>
      </c>
    </row>
    <row r="3166" spans="1:12" ht="15" customHeight="1" x14ac:dyDescent="0.3">
      <c r="A3166" s="23" t="s">
        <v>16200</v>
      </c>
      <c r="B3166" s="23" t="s">
        <v>75</v>
      </c>
      <c r="C3166" s="39">
        <v>799</v>
      </c>
      <c r="D3166" s="24">
        <v>0</v>
      </c>
      <c r="E3166" s="24">
        <v>0</v>
      </c>
      <c r="F3166" s="23">
        <f>COUNTIFS(mdr_rate_cleaned!$A$2:$A$10,B3166,mdr_rate_cleaned!$B$2:$B$10,"&lt;"&amp;C3166,mdr_rate_cleaned!$F$2:$F$10,"&gt;="&amp;C3166)</f>
        <v>1</v>
      </c>
      <c r="G3166" s="40">
        <f>SUMIFS(mdr_rate_cleaned!$G$2:$G$10,mdr_rate_cleaned!$A$2:$A$10,B3166,mdr_rate_cleaned!$B$2:$B$10,"&lt;"&amp;C3166,mdr_rate_cleaned!$F$2:$F$10,"&gt;="&amp;C3166)</f>
        <v>0</v>
      </c>
      <c r="H3166" s="24">
        <f t="shared" si="245"/>
        <v>0</v>
      </c>
      <c r="I3166" s="23" t="str">
        <f t="shared" si="246"/>
        <v>Match</v>
      </c>
      <c r="J3166" s="23" t="str">
        <f t="shared" si="247"/>
        <v>Match</v>
      </c>
      <c r="K3166" s="24">
        <f t="shared" si="248"/>
        <v>0</v>
      </c>
      <c r="L3166" s="24">
        <f t="shared" si="249"/>
        <v>0</v>
      </c>
    </row>
    <row r="3167" spans="1:12" ht="15" customHeight="1" x14ac:dyDescent="0.3">
      <c r="A3167" s="23" t="s">
        <v>16201</v>
      </c>
      <c r="B3167" s="23" t="s">
        <v>75</v>
      </c>
      <c r="C3167" s="39">
        <v>2499</v>
      </c>
      <c r="D3167" s="24">
        <v>7.5</v>
      </c>
      <c r="E3167" s="24">
        <v>1.35</v>
      </c>
      <c r="F3167" s="23">
        <f>COUNTIFS(mdr_rate_cleaned!$A$2:$A$10,B3167,mdr_rate_cleaned!$B$2:$B$10,"&lt;"&amp;C3167,mdr_rate_cleaned!$F$2:$F$10,"&gt;="&amp;C3167)</f>
        <v>1</v>
      </c>
      <c r="G3167" s="40">
        <f>SUMIFS(mdr_rate_cleaned!$G$2:$G$10,mdr_rate_cleaned!$A$2:$A$10,B3167,mdr_rate_cleaned!$B$2:$B$10,"&lt;"&amp;C3167,mdr_rate_cleaned!$F$2:$F$10,"&gt;="&amp;C3167)</f>
        <v>3.0000000000000001E-3</v>
      </c>
      <c r="H3167" s="24">
        <f t="shared" si="245"/>
        <v>7.5</v>
      </c>
      <c r="I3167" s="23" t="str">
        <f t="shared" si="246"/>
        <v>Match</v>
      </c>
      <c r="J3167" s="23" t="str">
        <f t="shared" si="247"/>
        <v>Match</v>
      </c>
      <c r="K3167" s="24">
        <f t="shared" si="248"/>
        <v>1.35</v>
      </c>
      <c r="L3167" s="24">
        <f t="shared" si="249"/>
        <v>0</v>
      </c>
    </row>
    <row r="3168" spans="1:12" ht="15" customHeight="1" x14ac:dyDescent="0.3">
      <c r="A3168" s="23" t="s">
        <v>16202</v>
      </c>
      <c r="B3168" s="23" t="s">
        <v>81</v>
      </c>
      <c r="C3168" s="39">
        <v>2999</v>
      </c>
      <c r="D3168" s="24">
        <v>35.99</v>
      </c>
      <c r="E3168" s="24">
        <v>6.48</v>
      </c>
      <c r="F3168" s="23">
        <f>COUNTIFS(mdr_rate_cleaned!$A$2:$A$10,B3168,mdr_rate_cleaned!$B$2:$B$10,"&lt;"&amp;C3168,mdr_rate_cleaned!$F$2:$F$10,"&gt;="&amp;C3168)</f>
        <v>1</v>
      </c>
      <c r="G3168" s="40">
        <f>SUMIFS(mdr_rate_cleaned!$G$2:$G$10,mdr_rate_cleaned!$A$2:$A$10,B3168,mdr_rate_cleaned!$B$2:$B$10,"&lt;"&amp;C3168,mdr_rate_cleaned!$F$2:$F$10,"&gt;="&amp;C3168)</f>
        <v>1.2E-2</v>
      </c>
      <c r="H3168" s="24">
        <f t="shared" si="245"/>
        <v>35.99</v>
      </c>
      <c r="I3168" s="23" t="str">
        <f t="shared" si="246"/>
        <v>Match</v>
      </c>
      <c r="J3168" s="23" t="str">
        <f t="shared" si="247"/>
        <v>Match</v>
      </c>
      <c r="K3168" s="24">
        <f t="shared" si="248"/>
        <v>6.48</v>
      </c>
      <c r="L3168" s="24">
        <f t="shared" si="249"/>
        <v>0</v>
      </c>
    </row>
    <row r="3169" spans="1:12" ht="15" customHeight="1" x14ac:dyDescent="0.3">
      <c r="A3169" s="23" t="s">
        <v>16203</v>
      </c>
      <c r="B3169" s="23" t="s">
        <v>75</v>
      </c>
      <c r="C3169" s="39">
        <v>1299</v>
      </c>
      <c r="D3169" s="24">
        <v>0</v>
      </c>
      <c r="E3169" s="24">
        <v>0</v>
      </c>
      <c r="F3169" s="23">
        <f>COUNTIFS(mdr_rate_cleaned!$A$2:$A$10,B3169,mdr_rate_cleaned!$B$2:$B$10,"&lt;"&amp;C3169,mdr_rate_cleaned!$F$2:$F$10,"&gt;="&amp;C3169)</f>
        <v>1</v>
      </c>
      <c r="G3169" s="40">
        <f>SUMIFS(mdr_rate_cleaned!$G$2:$G$10,mdr_rate_cleaned!$A$2:$A$10,B3169,mdr_rate_cleaned!$B$2:$B$10,"&lt;"&amp;C3169,mdr_rate_cleaned!$F$2:$F$10,"&gt;="&amp;C3169)</f>
        <v>0</v>
      </c>
      <c r="H3169" s="24">
        <f t="shared" si="245"/>
        <v>0</v>
      </c>
      <c r="I3169" s="23" t="str">
        <f t="shared" si="246"/>
        <v>Match</v>
      </c>
      <c r="J3169" s="23" t="str">
        <f t="shared" si="247"/>
        <v>Match</v>
      </c>
      <c r="K3169" s="24">
        <f t="shared" si="248"/>
        <v>0</v>
      </c>
      <c r="L3169" s="24">
        <f t="shared" si="249"/>
        <v>0</v>
      </c>
    </row>
    <row r="3170" spans="1:12" ht="15" customHeight="1" x14ac:dyDescent="0.3">
      <c r="A3170" s="23" t="s">
        <v>16204</v>
      </c>
      <c r="B3170" s="23" t="s">
        <v>75</v>
      </c>
      <c r="C3170" s="39">
        <v>1799</v>
      </c>
      <c r="D3170" s="24">
        <v>0</v>
      </c>
      <c r="E3170" s="24">
        <v>0</v>
      </c>
      <c r="F3170" s="23">
        <f>COUNTIFS(mdr_rate_cleaned!$A$2:$A$10,B3170,mdr_rate_cleaned!$B$2:$B$10,"&lt;"&amp;C3170,mdr_rate_cleaned!$F$2:$F$10,"&gt;="&amp;C3170)</f>
        <v>1</v>
      </c>
      <c r="G3170" s="40">
        <f>SUMIFS(mdr_rate_cleaned!$G$2:$G$10,mdr_rate_cleaned!$A$2:$A$10,B3170,mdr_rate_cleaned!$B$2:$B$10,"&lt;"&amp;C3170,mdr_rate_cleaned!$F$2:$F$10,"&gt;="&amp;C3170)</f>
        <v>0</v>
      </c>
      <c r="H3170" s="24">
        <f t="shared" si="245"/>
        <v>0</v>
      </c>
      <c r="I3170" s="23" t="str">
        <f t="shared" si="246"/>
        <v>Match</v>
      </c>
      <c r="J3170" s="23" t="str">
        <f t="shared" si="247"/>
        <v>Match</v>
      </c>
      <c r="K3170" s="24">
        <f t="shared" si="248"/>
        <v>0</v>
      </c>
      <c r="L3170" s="24">
        <f t="shared" si="249"/>
        <v>0</v>
      </c>
    </row>
    <row r="3171" spans="1:12" ht="15" customHeight="1" x14ac:dyDescent="0.3">
      <c r="A3171" s="23" t="s">
        <v>16205</v>
      </c>
      <c r="B3171" s="23" t="s">
        <v>75</v>
      </c>
      <c r="C3171" s="39">
        <v>1499</v>
      </c>
      <c r="D3171" s="24">
        <v>0</v>
      </c>
      <c r="E3171" s="24">
        <v>0</v>
      </c>
      <c r="F3171" s="23">
        <f>COUNTIFS(mdr_rate_cleaned!$A$2:$A$10,B3171,mdr_rate_cleaned!$B$2:$B$10,"&lt;"&amp;C3171,mdr_rate_cleaned!$F$2:$F$10,"&gt;="&amp;C3171)</f>
        <v>1</v>
      </c>
      <c r="G3171" s="40">
        <f>SUMIFS(mdr_rate_cleaned!$G$2:$G$10,mdr_rate_cleaned!$A$2:$A$10,B3171,mdr_rate_cleaned!$B$2:$B$10,"&lt;"&amp;C3171,mdr_rate_cleaned!$F$2:$F$10,"&gt;="&amp;C3171)</f>
        <v>0</v>
      </c>
      <c r="H3171" s="24">
        <f t="shared" si="245"/>
        <v>0</v>
      </c>
      <c r="I3171" s="23" t="str">
        <f t="shared" si="246"/>
        <v>Match</v>
      </c>
      <c r="J3171" s="23" t="str">
        <f t="shared" si="247"/>
        <v>Match</v>
      </c>
      <c r="K3171" s="24">
        <f t="shared" si="248"/>
        <v>0</v>
      </c>
      <c r="L3171" s="24">
        <f t="shared" si="249"/>
        <v>0</v>
      </c>
    </row>
    <row r="3172" spans="1:12" ht="15" customHeight="1" x14ac:dyDescent="0.3">
      <c r="A3172" s="23" t="s">
        <v>16206</v>
      </c>
      <c r="B3172" s="23" t="s">
        <v>77</v>
      </c>
      <c r="C3172" s="39">
        <v>2298</v>
      </c>
      <c r="D3172" s="24">
        <v>39.07</v>
      </c>
      <c r="E3172" s="24">
        <v>7.03</v>
      </c>
      <c r="F3172" s="23">
        <f>COUNTIFS(mdr_rate_cleaned!$A$2:$A$10,B3172,mdr_rate_cleaned!$B$2:$B$10,"&lt;"&amp;C3172,mdr_rate_cleaned!$F$2:$F$10,"&gt;="&amp;C3172)</f>
        <v>1</v>
      </c>
      <c r="G3172" s="40">
        <f>SUMIFS(mdr_rate_cleaned!$G$2:$G$10,mdr_rate_cleaned!$A$2:$A$10,B3172,mdr_rate_cleaned!$B$2:$B$10,"&lt;"&amp;C3172,mdr_rate_cleaned!$F$2:$F$10,"&gt;="&amp;C3172)</f>
        <v>1.7000000000000001E-2</v>
      </c>
      <c r="H3172" s="24">
        <f t="shared" si="245"/>
        <v>39.07</v>
      </c>
      <c r="I3172" s="23" t="str">
        <f t="shared" si="246"/>
        <v>Match</v>
      </c>
      <c r="J3172" s="23" t="str">
        <f t="shared" si="247"/>
        <v>Match</v>
      </c>
      <c r="K3172" s="24">
        <f t="shared" si="248"/>
        <v>7.03</v>
      </c>
      <c r="L3172" s="24">
        <f t="shared" si="249"/>
        <v>0</v>
      </c>
    </row>
    <row r="3173" spans="1:12" ht="15" customHeight="1" x14ac:dyDescent="0.3">
      <c r="A3173" s="23" t="s">
        <v>16208</v>
      </c>
      <c r="B3173" s="23" t="s">
        <v>81</v>
      </c>
      <c r="C3173" s="39">
        <v>4098</v>
      </c>
      <c r="D3173" s="24">
        <v>49.18</v>
      </c>
      <c r="E3173" s="24">
        <v>8.85</v>
      </c>
      <c r="F3173" s="23">
        <f>COUNTIFS(mdr_rate_cleaned!$A$2:$A$10,B3173,mdr_rate_cleaned!$B$2:$B$10,"&lt;"&amp;C3173,mdr_rate_cleaned!$F$2:$F$10,"&gt;="&amp;C3173)</f>
        <v>1</v>
      </c>
      <c r="G3173" s="40">
        <f>SUMIFS(mdr_rate_cleaned!$G$2:$G$10,mdr_rate_cleaned!$A$2:$A$10,B3173,mdr_rate_cleaned!$B$2:$B$10,"&lt;"&amp;C3173,mdr_rate_cleaned!$F$2:$F$10,"&gt;="&amp;C3173)</f>
        <v>1.2E-2</v>
      </c>
      <c r="H3173" s="24">
        <f t="shared" si="245"/>
        <v>49.18</v>
      </c>
      <c r="I3173" s="23" t="str">
        <f t="shared" si="246"/>
        <v>Match</v>
      </c>
      <c r="J3173" s="23" t="str">
        <f t="shared" si="247"/>
        <v>Match</v>
      </c>
      <c r="K3173" s="24">
        <f t="shared" si="248"/>
        <v>8.85</v>
      </c>
      <c r="L3173" s="24">
        <f t="shared" si="249"/>
        <v>0</v>
      </c>
    </row>
    <row r="3174" spans="1:12" ht="15" customHeight="1" x14ac:dyDescent="0.3">
      <c r="A3174" s="23" t="s">
        <v>16210</v>
      </c>
      <c r="B3174" s="23" t="s">
        <v>75</v>
      </c>
      <c r="C3174" s="39">
        <v>2499</v>
      </c>
      <c r="D3174" s="24">
        <v>7.5</v>
      </c>
      <c r="E3174" s="24">
        <v>1.35</v>
      </c>
      <c r="F3174" s="23">
        <f>COUNTIFS(mdr_rate_cleaned!$A$2:$A$10,B3174,mdr_rate_cleaned!$B$2:$B$10,"&lt;"&amp;C3174,mdr_rate_cleaned!$F$2:$F$10,"&gt;="&amp;C3174)</f>
        <v>1</v>
      </c>
      <c r="G3174" s="40">
        <f>SUMIFS(mdr_rate_cleaned!$G$2:$G$10,mdr_rate_cleaned!$A$2:$A$10,B3174,mdr_rate_cleaned!$B$2:$B$10,"&lt;"&amp;C3174,mdr_rate_cleaned!$F$2:$F$10,"&gt;="&amp;C3174)</f>
        <v>3.0000000000000001E-3</v>
      </c>
      <c r="H3174" s="24">
        <f t="shared" si="245"/>
        <v>7.5</v>
      </c>
      <c r="I3174" s="23" t="str">
        <f t="shared" si="246"/>
        <v>Match</v>
      </c>
      <c r="J3174" s="23" t="str">
        <f t="shared" si="247"/>
        <v>Match</v>
      </c>
      <c r="K3174" s="24">
        <f t="shared" si="248"/>
        <v>1.35</v>
      </c>
      <c r="L3174" s="24">
        <f t="shared" si="249"/>
        <v>0</v>
      </c>
    </row>
    <row r="3175" spans="1:12" ht="15" customHeight="1" x14ac:dyDescent="0.3">
      <c r="A3175" s="23" t="s">
        <v>16211</v>
      </c>
      <c r="B3175" s="23" t="s">
        <v>75</v>
      </c>
      <c r="C3175" s="39">
        <v>3798</v>
      </c>
      <c r="D3175" s="24">
        <v>11.39</v>
      </c>
      <c r="E3175" s="24">
        <v>2.0499999999999998</v>
      </c>
      <c r="F3175" s="23">
        <f>COUNTIFS(mdr_rate_cleaned!$A$2:$A$10,B3175,mdr_rate_cleaned!$B$2:$B$10,"&lt;"&amp;C3175,mdr_rate_cleaned!$F$2:$F$10,"&gt;="&amp;C3175)</f>
        <v>1</v>
      </c>
      <c r="G3175" s="40">
        <f>SUMIFS(mdr_rate_cleaned!$G$2:$G$10,mdr_rate_cleaned!$A$2:$A$10,B3175,mdr_rate_cleaned!$B$2:$B$10,"&lt;"&amp;C3175,mdr_rate_cleaned!$F$2:$F$10,"&gt;="&amp;C3175)</f>
        <v>3.0000000000000001E-3</v>
      </c>
      <c r="H3175" s="24">
        <f t="shared" si="245"/>
        <v>11.39</v>
      </c>
      <c r="I3175" s="23" t="str">
        <f t="shared" si="246"/>
        <v>Match</v>
      </c>
      <c r="J3175" s="23" t="str">
        <f t="shared" si="247"/>
        <v>Match</v>
      </c>
      <c r="K3175" s="24">
        <f t="shared" si="248"/>
        <v>2.0499999999999998</v>
      </c>
      <c r="L3175" s="24">
        <f t="shared" si="249"/>
        <v>0</v>
      </c>
    </row>
    <row r="3176" spans="1:12" ht="15" customHeight="1" x14ac:dyDescent="0.3">
      <c r="A3176" s="23" t="s">
        <v>16212</v>
      </c>
      <c r="B3176" s="23" t="s">
        <v>79</v>
      </c>
      <c r="C3176" s="39">
        <v>2098</v>
      </c>
      <c r="D3176" s="24">
        <v>33.57</v>
      </c>
      <c r="E3176" s="24">
        <v>6.04</v>
      </c>
      <c r="F3176" s="23">
        <f>COUNTIFS(mdr_rate_cleaned!$A$2:$A$10,B3176,mdr_rate_cleaned!$B$2:$B$10,"&lt;"&amp;C3176,mdr_rate_cleaned!$F$2:$F$10,"&gt;="&amp;C3176)</f>
        <v>1</v>
      </c>
      <c r="G3176" s="40">
        <f>SUMIFS(mdr_rate_cleaned!$G$2:$G$10,mdr_rate_cleaned!$A$2:$A$10,B3176,mdr_rate_cleaned!$B$2:$B$10,"&lt;"&amp;C3176,mdr_rate_cleaned!$F$2:$F$10,"&gt;="&amp;C3176)</f>
        <v>1.6E-2</v>
      </c>
      <c r="H3176" s="24">
        <f t="shared" si="245"/>
        <v>33.57</v>
      </c>
      <c r="I3176" s="23" t="str">
        <f t="shared" si="246"/>
        <v>Match</v>
      </c>
      <c r="J3176" s="23" t="str">
        <f t="shared" si="247"/>
        <v>Match</v>
      </c>
      <c r="K3176" s="24">
        <f t="shared" si="248"/>
        <v>6.04</v>
      </c>
      <c r="L3176" s="24">
        <f t="shared" si="249"/>
        <v>0</v>
      </c>
    </row>
    <row r="3177" spans="1:12" ht="15" customHeight="1" x14ac:dyDescent="0.3">
      <c r="A3177" s="23" t="s">
        <v>16213</v>
      </c>
      <c r="B3177" s="23" t="s">
        <v>79</v>
      </c>
      <c r="C3177" s="39">
        <v>8598</v>
      </c>
      <c r="D3177" s="24">
        <v>137.57</v>
      </c>
      <c r="E3177" s="24">
        <v>24.76</v>
      </c>
      <c r="F3177" s="23">
        <f>COUNTIFS(mdr_rate_cleaned!$A$2:$A$10,B3177,mdr_rate_cleaned!$B$2:$B$10,"&lt;"&amp;C3177,mdr_rate_cleaned!$F$2:$F$10,"&gt;="&amp;C3177)</f>
        <v>1</v>
      </c>
      <c r="G3177" s="40">
        <f>SUMIFS(mdr_rate_cleaned!$G$2:$G$10,mdr_rate_cleaned!$A$2:$A$10,B3177,mdr_rate_cleaned!$B$2:$B$10,"&lt;"&amp;C3177,mdr_rate_cleaned!$F$2:$F$10,"&gt;="&amp;C3177)</f>
        <v>1.6E-2</v>
      </c>
      <c r="H3177" s="24">
        <f t="shared" si="245"/>
        <v>137.57</v>
      </c>
      <c r="I3177" s="23" t="str">
        <f t="shared" si="246"/>
        <v>Match</v>
      </c>
      <c r="J3177" s="23" t="str">
        <f t="shared" si="247"/>
        <v>Match</v>
      </c>
      <c r="K3177" s="24">
        <f t="shared" si="248"/>
        <v>24.76</v>
      </c>
      <c r="L3177" s="24">
        <f t="shared" si="249"/>
        <v>0</v>
      </c>
    </row>
    <row r="3178" spans="1:12" ht="15" customHeight="1" x14ac:dyDescent="0.3">
      <c r="A3178" s="23" t="s">
        <v>16214</v>
      </c>
      <c r="B3178" s="23" t="s">
        <v>79</v>
      </c>
      <c r="C3178" s="39">
        <v>1197</v>
      </c>
      <c r="D3178" s="24">
        <v>21.55</v>
      </c>
      <c r="E3178" s="24">
        <v>3.88</v>
      </c>
      <c r="F3178" s="23">
        <f>COUNTIFS(mdr_rate_cleaned!$A$2:$A$10,B3178,mdr_rate_cleaned!$B$2:$B$10,"&lt;"&amp;C3178,mdr_rate_cleaned!$F$2:$F$10,"&gt;="&amp;C3178)</f>
        <v>1</v>
      </c>
      <c r="G3178" s="40">
        <f>SUMIFS(mdr_rate_cleaned!$G$2:$G$10,mdr_rate_cleaned!$A$2:$A$10,B3178,mdr_rate_cleaned!$B$2:$B$10,"&lt;"&amp;C3178,mdr_rate_cleaned!$F$2:$F$10,"&gt;="&amp;C3178)</f>
        <v>1.8000000000000002E-2</v>
      </c>
      <c r="H3178" s="24">
        <f t="shared" si="245"/>
        <v>21.55</v>
      </c>
      <c r="I3178" s="23" t="str">
        <f t="shared" si="246"/>
        <v>Match</v>
      </c>
      <c r="J3178" s="23" t="str">
        <f t="shared" si="247"/>
        <v>Match</v>
      </c>
      <c r="K3178" s="24">
        <f t="shared" si="248"/>
        <v>3.88</v>
      </c>
      <c r="L3178" s="24">
        <f t="shared" si="249"/>
        <v>0</v>
      </c>
    </row>
    <row r="3179" spans="1:12" ht="15" customHeight="1" x14ac:dyDescent="0.3">
      <c r="A3179" s="23" t="s">
        <v>16215</v>
      </c>
      <c r="B3179" s="23" t="s">
        <v>75</v>
      </c>
      <c r="C3179" s="39">
        <v>4197</v>
      </c>
      <c r="D3179" s="24">
        <v>12.59</v>
      </c>
      <c r="E3179" s="24">
        <v>2.27</v>
      </c>
      <c r="F3179" s="23">
        <f>COUNTIFS(mdr_rate_cleaned!$A$2:$A$10,B3179,mdr_rate_cleaned!$B$2:$B$10,"&lt;"&amp;C3179,mdr_rate_cleaned!$F$2:$F$10,"&gt;="&amp;C3179)</f>
        <v>1</v>
      </c>
      <c r="G3179" s="40">
        <f>SUMIFS(mdr_rate_cleaned!$G$2:$G$10,mdr_rate_cleaned!$A$2:$A$10,B3179,mdr_rate_cleaned!$B$2:$B$10,"&lt;"&amp;C3179,mdr_rate_cleaned!$F$2:$F$10,"&gt;="&amp;C3179)</f>
        <v>3.0000000000000001E-3</v>
      </c>
      <c r="H3179" s="24">
        <f t="shared" si="245"/>
        <v>12.59</v>
      </c>
      <c r="I3179" s="23" t="str">
        <f t="shared" si="246"/>
        <v>Match</v>
      </c>
      <c r="J3179" s="23" t="str">
        <f t="shared" si="247"/>
        <v>Match</v>
      </c>
      <c r="K3179" s="24">
        <f t="shared" si="248"/>
        <v>2.27</v>
      </c>
      <c r="L3179" s="24">
        <f t="shared" si="249"/>
        <v>0</v>
      </c>
    </row>
    <row r="3180" spans="1:12" ht="15" customHeight="1" x14ac:dyDescent="0.3">
      <c r="A3180" s="23" t="s">
        <v>16217</v>
      </c>
      <c r="B3180" s="23" t="s">
        <v>81</v>
      </c>
      <c r="C3180" s="39">
        <v>3998</v>
      </c>
      <c r="D3180" s="24">
        <v>47.98</v>
      </c>
      <c r="E3180" s="24">
        <v>8.64</v>
      </c>
      <c r="F3180" s="23">
        <f>COUNTIFS(mdr_rate_cleaned!$A$2:$A$10,B3180,mdr_rate_cleaned!$B$2:$B$10,"&lt;"&amp;C3180,mdr_rate_cleaned!$F$2:$F$10,"&gt;="&amp;C3180)</f>
        <v>1</v>
      </c>
      <c r="G3180" s="40">
        <f>SUMIFS(mdr_rate_cleaned!$G$2:$G$10,mdr_rate_cleaned!$A$2:$A$10,B3180,mdr_rate_cleaned!$B$2:$B$10,"&lt;"&amp;C3180,mdr_rate_cleaned!$F$2:$F$10,"&gt;="&amp;C3180)</f>
        <v>1.2E-2</v>
      </c>
      <c r="H3180" s="24">
        <f t="shared" si="245"/>
        <v>47.98</v>
      </c>
      <c r="I3180" s="23" t="str">
        <f t="shared" si="246"/>
        <v>Match</v>
      </c>
      <c r="J3180" s="23" t="str">
        <f t="shared" si="247"/>
        <v>Match</v>
      </c>
      <c r="K3180" s="24">
        <f t="shared" si="248"/>
        <v>8.64</v>
      </c>
      <c r="L3180" s="24">
        <f t="shared" si="249"/>
        <v>0</v>
      </c>
    </row>
    <row r="3181" spans="1:12" ht="15" customHeight="1" x14ac:dyDescent="0.3">
      <c r="A3181" s="23" t="s">
        <v>16219</v>
      </c>
      <c r="B3181" s="23" t="s">
        <v>75</v>
      </c>
      <c r="C3181" s="39">
        <v>4797</v>
      </c>
      <c r="D3181" s="24">
        <v>14.39</v>
      </c>
      <c r="E3181" s="24">
        <v>2.59</v>
      </c>
      <c r="F3181" s="23">
        <f>COUNTIFS(mdr_rate_cleaned!$A$2:$A$10,B3181,mdr_rate_cleaned!$B$2:$B$10,"&lt;"&amp;C3181,mdr_rate_cleaned!$F$2:$F$10,"&gt;="&amp;C3181)</f>
        <v>1</v>
      </c>
      <c r="G3181" s="40">
        <f>SUMIFS(mdr_rate_cleaned!$G$2:$G$10,mdr_rate_cleaned!$A$2:$A$10,B3181,mdr_rate_cleaned!$B$2:$B$10,"&lt;"&amp;C3181,mdr_rate_cleaned!$F$2:$F$10,"&gt;="&amp;C3181)</f>
        <v>3.0000000000000001E-3</v>
      </c>
      <c r="H3181" s="24">
        <f t="shared" si="245"/>
        <v>14.39</v>
      </c>
      <c r="I3181" s="23" t="str">
        <f t="shared" si="246"/>
        <v>Match</v>
      </c>
      <c r="J3181" s="23" t="str">
        <f t="shared" si="247"/>
        <v>Match</v>
      </c>
      <c r="K3181" s="24">
        <f t="shared" si="248"/>
        <v>2.59</v>
      </c>
      <c r="L3181" s="24">
        <f t="shared" si="249"/>
        <v>0</v>
      </c>
    </row>
    <row r="3182" spans="1:12" ht="15" customHeight="1" x14ac:dyDescent="0.3">
      <c r="A3182" s="23" t="s">
        <v>16220</v>
      </c>
      <c r="B3182" s="23" t="s">
        <v>75</v>
      </c>
      <c r="C3182" s="39">
        <v>3098</v>
      </c>
      <c r="D3182" s="24">
        <v>9.2899999999999991</v>
      </c>
      <c r="E3182" s="24">
        <v>1.67</v>
      </c>
      <c r="F3182" s="23">
        <f>COUNTIFS(mdr_rate_cleaned!$A$2:$A$10,B3182,mdr_rate_cleaned!$B$2:$B$10,"&lt;"&amp;C3182,mdr_rate_cleaned!$F$2:$F$10,"&gt;="&amp;C3182)</f>
        <v>1</v>
      </c>
      <c r="G3182" s="40">
        <f>SUMIFS(mdr_rate_cleaned!$G$2:$G$10,mdr_rate_cleaned!$A$2:$A$10,B3182,mdr_rate_cleaned!$B$2:$B$10,"&lt;"&amp;C3182,mdr_rate_cleaned!$F$2:$F$10,"&gt;="&amp;C3182)</f>
        <v>3.0000000000000001E-3</v>
      </c>
      <c r="H3182" s="24">
        <f t="shared" si="245"/>
        <v>9.2899999999999991</v>
      </c>
      <c r="I3182" s="23" t="str">
        <f t="shared" si="246"/>
        <v>Match</v>
      </c>
      <c r="J3182" s="23" t="str">
        <f t="shared" si="247"/>
        <v>Match</v>
      </c>
      <c r="K3182" s="24">
        <f t="shared" si="248"/>
        <v>1.67</v>
      </c>
      <c r="L3182" s="24">
        <f t="shared" si="249"/>
        <v>0</v>
      </c>
    </row>
    <row r="3183" spans="1:12" ht="15" customHeight="1" x14ac:dyDescent="0.3">
      <c r="A3183" s="23" t="s">
        <v>16221</v>
      </c>
      <c r="B3183" s="23" t="s">
        <v>75</v>
      </c>
      <c r="C3183" s="39">
        <v>2499</v>
      </c>
      <c r="D3183" s="24">
        <v>7.5</v>
      </c>
      <c r="E3183" s="24">
        <v>1.35</v>
      </c>
      <c r="F3183" s="23">
        <f>COUNTIFS(mdr_rate_cleaned!$A$2:$A$10,B3183,mdr_rate_cleaned!$B$2:$B$10,"&lt;"&amp;C3183,mdr_rate_cleaned!$F$2:$F$10,"&gt;="&amp;C3183)</f>
        <v>1</v>
      </c>
      <c r="G3183" s="40">
        <f>SUMIFS(mdr_rate_cleaned!$G$2:$G$10,mdr_rate_cleaned!$A$2:$A$10,B3183,mdr_rate_cleaned!$B$2:$B$10,"&lt;"&amp;C3183,mdr_rate_cleaned!$F$2:$F$10,"&gt;="&amp;C3183)</f>
        <v>3.0000000000000001E-3</v>
      </c>
      <c r="H3183" s="24">
        <f t="shared" si="245"/>
        <v>7.5</v>
      </c>
      <c r="I3183" s="23" t="str">
        <f t="shared" si="246"/>
        <v>Match</v>
      </c>
      <c r="J3183" s="23" t="str">
        <f t="shared" si="247"/>
        <v>Match</v>
      </c>
      <c r="K3183" s="24">
        <f t="shared" si="248"/>
        <v>1.35</v>
      </c>
      <c r="L3183" s="24">
        <f t="shared" si="249"/>
        <v>0</v>
      </c>
    </row>
    <row r="3184" spans="1:12" ht="15" customHeight="1" x14ac:dyDescent="0.3">
      <c r="A3184" s="23" t="s">
        <v>16223</v>
      </c>
      <c r="B3184" s="23" t="s">
        <v>75</v>
      </c>
      <c r="C3184" s="39">
        <v>299</v>
      </c>
      <c r="D3184" s="24">
        <v>0</v>
      </c>
      <c r="E3184" s="24">
        <v>0</v>
      </c>
      <c r="F3184" s="23">
        <f>COUNTIFS(mdr_rate_cleaned!$A$2:$A$10,B3184,mdr_rate_cleaned!$B$2:$B$10,"&lt;"&amp;C3184,mdr_rate_cleaned!$F$2:$F$10,"&gt;="&amp;C3184)</f>
        <v>1</v>
      </c>
      <c r="G3184" s="40">
        <f>SUMIFS(mdr_rate_cleaned!$G$2:$G$10,mdr_rate_cleaned!$A$2:$A$10,B3184,mdr_rate_cleaned!$B$2:$B$10,"&lt;"&amp;C3184,mdr_rate_cleaned!$F$2:$F$10,"&gt;="&amp;C3184)</f>
        <v>0</v>
      </c>
      <c r="H3184" s="24">
        <f t="shared" si="245"/>
        <v>0</v>
      </c>
      <c r="I3184" s="23" t="str">
        <f t="shared" si="246"/>
        <v>Match</v>
      </c>
      <c r="J3184" s="23" t="str">
        <f t="shared" si="247"/>
        <v>Match</v>
      </c>
      <c r="K3184" s="24">
        <f t="shared" si="248"/>
        <v>0</v>
      </c>
      <c r="L3184" s="24">
        <f t="shared" si="249"/>
        <v>0</v>
      </c>
    </row>
    <row r="3185" spans="1:12" ht="15" customHeight="1" x14ac:dyDescent="0.3">
      <c r="A3185" s="23" t="s">
        <v>16224</v>
      </c>
      <c r="B3185" s="23" t="s">
        <v>79</v>
      </c>
      <c r="C3185" s="39">
        <v>349</v>
      </c>
      <c r="D3185" s="24">
        <v>6.28</v>
      </c>
      <c r="E3185" s="24">
        <v>1.1299999999999999</v>
      </c>
      <c r="F3185" s="23">
        <f>COUNTIFS(mdr_rate_cleaned!$A$2:$A$10,B3185,mdr_rate_cleaned!$B$2:$B$10,"&lt;"&amp;C3185,mdr_rate_cleaned!$F$2:$F$10,"&gt;="&amp;C3185)</f>
        <v>1</v>
      </c>
      <c r="G3185" s="40">
        <f>SUMIFS(mdr_rate_cleaned!$G$2:$G$10,mdr_rate_cleaned!$A$2:$A$10,B3185,mdr_rate_cleaned!$B$2:$B$10,"&lt;"&amp;C3185,mdr_rate_cleaned!$F$2:$F$10,"&gt;="&amp;C3185)</f>
        <v>1.8000000000000002E-2</v>
      </c>
      <c r="H3185" s="24">
        <f t="shared" si="245"/>
        <v>6.28</v>
      </c>
      <c r="I3185" s="23" t="str">
        <f t="shared" si="246"/>
        <v>Match</v>
      </c>
      <c r="J3185" s="23" t="str">
        <f t="shared" si="247"/>
        <v>Match</v>
      </c>
      <c r="K3185" s="24">
        <f t="shared" si="248"/>
        <v>1.1299999999999999</v>
      </c>
      <c r="L3185" s="24">
        <f t="shared" si="249"/>
        <v>0</v>
      </c>
    </row>
    <row r="3186" spans="1:12" ht="15" customHeight="1" x14ac:dyDescent="0.3">
      <c r="A3186" s="23" t="s">
        <v>16226</v>
      </c>
      <c r="B3186" s="23" t="s">
        <v>75</v>
      </c>
      <c r="C3186" s="39">
        <v>2999</v>
      </c>
      <c r="D3186" s="24">
        <v>9</v>
      </c>
      <c r="E3186" s="24">
        <v>1.62</v>
      </c>
      <c r="F3186" s="23">
        <f>COUNTIFS(mdr_rate_cleaned!$A$2:$A$10,B3186,mdr_rate_cleaned!$B$2:$B$10,"&lt;"&amp;C3186,mdr_rate_cleaned!$F$2:$F$10,"&gt;="&amp;C3186)</f>
        <v>1</v>
      </c>
      <c r="G3186" s="40">
        <f>SUMIFS(mdr_rate_cleaned!$G$2:$G$10,mdr_rate_cleaned!$A$2:$A$10,B3186,mdr_rate_cleaned!$B$2:$B$10,"&lt;"&amp;C3186,mdr_rate_cleaned!$F$2:$F$10,"&gt;="&amp;C3186)</f>
        <v>3.0000000000000001E-3</v>
      </c>
      <c r="H3186" s="24">
        <f t="shared" si="245"/>
        <v>9</v>
      </c>
      <c r="I3186" s="23" t="str">
        <f t="shared" si="246"/>
        <v>Match</v>
      </c>
      <c r="J3186" s="23" t="str">
        <f t="shared" si="247"/>
        <v>Match</v>
      </c>
      <c r="K3186" s="24">
        <f t="shared" si="248"/>
        <v>1.62</v>
      </c>
      <c r="L3186" s="24">
        <f t="shared" si="249"/>
        <v>0</v>
      </c>
    </row>
    <row r="3187" spans="1:12" ht="15" customHeight="1" x14ac:dyDescent="0.3">
      <c r="A3187" s="23" t="s">
        <v>16227</v>
      </c>
      <c r="B3187" s="23" t="s">
        <v>75</v>
      </c>
      <c r="C3187" s="39">
        <v>2999</v>
      </c>
      <c r="D3187" s="24">
        <v>9</v>
      </c>
      <c r="E3187" s="24">
        <v>1.62</v>
      </c>
      <c r="F3187" s="23">
        <f>COUNTIFS(mdr_rate_cleaned!$A$2:$A$10,B3187,mdr_rate_cleaned!$B$2:$B$10,"&lt;"&amp;C3187,mdr_rate_cleaned!$F$2:$F$10,"&gt;="&amp;C3187)</f>
        <v>1</v>
      </c>
      <c r="G3187" s="40">
        <f>SUMIFS(mdr_rate_cleaned!$G$2:$G$10,mdr_rate_cleaned!$A$2:$A$10,B3187,mdr_rate_cleaned!$B$2:$B$10,"&lt;"&amp;C3187,mdr_rate_cleaned!$F$2:$F$10,"&gt;="&amp;C3187)</f>
        <v>3.0000000000000001E-3</v>
      </c>
      <c r="H3187" s="24">
        <f t="shared" si="245"/>
        <v>9</v>
      </c>
      <c r="I3187" s="23" t="str">
        <f t="shared" si="246"/>
        <v>Match</v>
      </c>
      <c r="J3187" s="23" t="str">
        <f t="shared" si="247"/>
        <v>Match</v>
      </c>
      <c r="K3187" s="24">
        <f t="shared" si="248"/>
        <v>1.62</v>
      </c>
      <c r="L3187" s="24">
        <f t="shared" si="249"/>
        <v>0</v>
      </c>
    </row>
    <row r="3188" spans="1:12" ht="15" customHeight="1" x14ac:dyDescent="0.3">
      <c r="A3188" s="23" t="s">
        <v>16228</v>
      </c>
      <c r="B3188" s="23" t="s">
        <v>79</v>
      </c>
      <c r="C3188" s="39">
        <v>599</v>
      </c>
      <c r="D3188" s="24">
        <v>10.78</v>
      </c>
      <c r="E3188" s="24">
        <v>1.94</v>
      </c>
      <c r="F3188" s="23">
        <f>COUNTIFS(mdr_rate_cleaned!$A$2:$A$10,B3188,mdr_rate_cleaned!$B$2:$B$10,"&lt;"&amp;C3188,mdr_rate_cleaned!$F$2:$F$10,"&gt;="&amp;C3188)</f>
        <v>1</v>
      </c>
      <c r="G3188" s="40">
        <f>SUMIFS(mdr_rate_cleaned!$G$2:$G$10,mdr_rate_cleaned!$A$2:$A$10,B3188,mdr_rate_cleaned!$B$2:$B$10,"&lt;"&amp;C3188,mdr_rate_cleaned!$F$2:$F$10,"&gt;="&amp;C3188)</f>
        <v>1.8000000000000002E-2</v>
      </c>
      <c r="H3188" s="24">
        <f t="shared" si="245"/>
        <v>10.78</v>
      </c>
      <c r="I3188" s="23" t="str">
        <f t="shared" si="246"/>
        <v>Match</v>
      </c>
      <c r="J3188" s="23" t="str">
        <f t="shared" si="247"/>
        <v>Match</v>
      </c>
      <c r="K3188" s="24">
        <f t="shared" si="248"/>
        <v>1.94</v>
      </c>
      <c r="L3188" s="24">
        <f t="shared" si="249"/>
        <v>0</v>
      </c>
    </row>
    <row r="3189" spans="1:12" ht="15" customHeight="1" x14ac:dyDescent="0.3">
      <c r="A3189" s="23" t="s">
        <v>16229</v>
      </c>
      <c r="B3189" s="23" t="s">
        <v>79</v>
      </c>
      <c r="C3189" s="39">
        <v>2499</v>
      </c>
      <c r="D3189" s="24">
        <v>39.979999999999997</v>
      </c>
      <c r="E3189" s="24">
        <v>7.2</v>
      </c>
      <c r="F3189" s="23">
        <f>COUNTIFS(mdr_rate_cleaned!$A$2:$A$10,B3189,mdr_rate_cleaned!$B$2:$B$10,"&lt;"&amp;C3189,mdr_rate_cleaned!$F$2:$F$10,"&gt;="&amp;C3189)</f>
        <v>1</v>
      </c>
      <c r="G3189" s="40">
        <f>SUMIFS(mdr_rate_cleaned!$G$2:$G$10,mdr_rate_cleaned!$A$2:$A$10,B3189,mdr_rate_cleaned!$B$2:$B$10,"&lt;"&amp;C3189,mdr_rate_cleaned!$F$2:$F$10,"&gt;="&amp;C3189)</f>
        <v>1.6E-2</v>
      </c>
      <c r="H3189" s="24">
        <f t="shared" si="245"/>
        <v>39.979999999999997</v>
      </c>
      <c r="I3189" s="23" t="str">
        <f t="shared" si="246"/>
        <v>Match</v>
      </c>
      <c r="J3189" s="23" t="str">
        <f t="shared" si="247"/>
        <v>Match</v>
      </c>
      <c r="K3189" s="24">
        <f t="shared" si="248"/>
        <v>7.2</v>
      </c>
      <c r="L3189" s="24">
        <f t="shared" si="249"/>
        <v>0</v>
      </c>
    </row>
    <row r="3190" spans="1:12" ht="15" customHeight="1" x14ac:dyDescent="0.3">
      <c r="A3190" s="23" t="s">
        <v>16230</v>
      </c>
      <c r="B3190" s="23" t="s">
        <v>75</v>
      </c>
      <c r="C3190" s="39">
        <v>2499</v>
      </c>
      <c r="D3190" s="24">
        <v>7.5</v>
      </c>
      <c r="E3190" s="24">
        <v>1.35</v>
      </c>
      <c r="F3190" s="23">
        <f>COUNTIFS(mdr_rate_cleaned!$A$2:$A$10,B3190,mdr_rate_cleaned!$B$2:$B$10,"&lt;"&amp;C3190,mdr_rate_cleaned!$F$2:$F$10,"&gt;="&amp;C3190)</f>
        <v>1</v>
      </c>
      <c r="G3190" s="40">
        <f>SUMIFS(mdr_rate_cleaned!$G$2:$G$10,mdr_rate_cleaned!$A$2:$A$10,B3190,mdr_rate_cleaned!$B$2:$B$10,"&lt;"&amp;C3190,mdr_rate_cleaned!$F$2:$F$10,"&gt;="&amp;C3190)</f>
        <v>3.0000000000000001E-3</v>
      </c>
      <c r="H3190" s="24">
        <f t="shared" si="245"/>
        <v>7.5</v>
      </c>
      <c r="I3190" s="23" t="str">
        <f t="shared" si="246"/>
        <v>Match</v>
      </c>
      <c r="J3190" s="23" t="str">
        <f t="shared" si="247"/>
        <v>Match</v>
      </c>
      <c r="K3190" s="24">
        <f t="shared" si="248"/>
        <v>1.35</v>
      </c>
      <c r="L3190" s="24">
        <f t="shared" si="249"/>
        <v>0</v>
      </c>
    </row>
    <row r="3191" spans="1:12" ht="15" customHeight="1" x14ac:dyDescent="0.3">
      <c r="A3191" s="23" t="s">
        <v>16231</v>
      </c>
      <c r="B3191" s="23" t="s">
        <v>79</v>
      </c>
      <c r="C3191" s="39">
        <v>7097</v>
      </c>
      <c r="D3191" s="24">
        <v>113.55</v>
      </c>
      <c r="E3191" s="24">
        <v>20.440000000000001</v>
      </c>
      <c r="F3191" s="23">
        <f>COUNTIFS(mdr_rate_cleaned!$A$2:$A$10,B3191,mdr_rate_cleaned!$B$2:$B$10,"&lt;"&amp;C3191,mdr_rate_cleaned!$F$2:$F$10,"&gt;="&amp;C3191)</f>
        <v>1</v>
      </c>
      <c r="G3191" s="40">
        <f>SUMIFS(mdr_rate_cleaned!$G$2:$G$10,mdr_rate_cleaned!$A$2:$A$10,B3191,mdr_rate_cleaned!$B$2:$B$10,"&lt;"&amp;C3191,mdr_rate_cleaned!$F$2:$F$10,"&gt;="&amp;C3191)</f>
        <v>1.6E-2</v>
      </c>
      <c r="H3191" s="24">
        <f t="shared" si="245"/>
        <v>113.55</v>
      </c>
      <c r="I3191" s="23" t="str">
        <f t="shared" si="246"/>
        <v>Match</v>
      </c>
      <c r="J3191" s="23" t="str">
        <f t="shared" si="247"/>
        <v>Match</v>
      </c>
      <c r="K3191" s="24">
        <f t="shared" si="248"/>
        <v>20.440000000000001</v>
      </c>
      <c r="L3191" s="24">
        <f t="shared" si="249"/>
        <v>0</v>
      </c>
    </row>
    <row r="3192" spans="1:12" ht="15" customHeight="1" x14ac:dyDescent="0.3">
      <c r="A3192" s="23" t="s">
        <v>16232</v>
      </c>
      <c r="B3192" s="23" t="s">
        <v>79</v>
      </c>
      <c r="C3192" s="39">
        <v>5498</v>
      </c>
      <c r="D3192" s="24">
        <v>87.97</v>
      </c>
      <c r="E3192" s="24">
        <v>15.83</v>
      </c>
      <c r="F3192" s="23">
        <f>COUNTIFS(mdr_rate_cleaned!$A$2:$A$10,B3192,mdr_rate_cleaned!$B$2:$B$10,"&lt;"&amp;C3192,mdr_rate_cleaned!$F$2:$F$10,"&gt;="&amp;C3192)</f>
        <v>1</v>
      </c>
      <c r="G3192" s="40">
        <f>SUMIFS(mdr_rate_cleaned!$G$2:$G$10,mdr_rate_cleaned!$A$2:$A$10,B3192,mdr_rate_cleaned!$B$2:$B$10,"&lt;"&amp;C3192,mdr_rate_cleaned!$F$2:$F$10,"&gt;="&amp;C3192)</f>
        <v>1.6E-2</v>
      </c>
      <c r="H3192" s="24">
        <f t="shared" si="245"/>
        <v>87.97</v>
      </c>
      <c r="I3192" s="23" t="str">
        <f t="shared" si="246"/>
        <v>Match</v>
      </c>
      <c r="J3192" s="23" t="str">
        <f t="shared" si="247"/>
        <v>Match</v>
      </c>
      <c r="K3192" s="24">
        <f t="shared" si="248"/>
        <v>15.83</v>
      </c>
      <c r="L3192" s="24">
        <f t="shared" si="249"/>
        <v>0</v>
      </c>
    </row>
    <row r="3193" spans="1:12" ht="15" customHeight="1" x14ac:dyDescent="0.3">
      <c r="A3193" s="23" t="s">
        <v>16233</v>
      </c>
      <c r="B3193" s="23" t="s">
        <v>75</v>
      </c>
      <c r="C3193" s="39">
        <v>499</v>
      </c>
      <c r="D3193" s="24">
        <v>0</v>
      </c>
      <c r="E3193" s="24">
        <v>0</v>
      </c>
      <c r="F3193" s="23">
        <f>COUNTIFS(mdr_rate_cleaned!$A$2:$A$10,B3193,mdr_rate_cleaned!$B$2:$B$10,"&lt;"&amp;C3193,mdr_rate_cleaned!$F$2:$F$10,"&gt;="&amp;C3193)</f>
        <v>1</v>
      </c>
      <c r="G3193" s="40">
        <f>SUMIFS(mdr_rate_cleaned!$G$2:$G$10,mdr_rate_cleaned!$A$2:$A$10,B3193,mdr_rate_cleaned!$B$2:$B$10,"&lt;"&amp;C3193,mdr_rate_cleaned!$F$2:$F$10,"&gt;="&amp;C3193)</f>
        <v>0</v>
      </c>
      <c r="H3193" s="24">
        <f t="shared" si="245"/>
        <v>0</v>
      </c>
      <c r="I3193" s="23" t="str">
        <f t="shared" si="246"/>
        <v>Match</v>
      </c>
      <c r="J3193" s="23" t="str">
        <f t="shared" si="247"/>
        <v>Match</v>
      </c>
      <c r="K3193" s="24">
        <f t="shared" si="248"/>
        <v>0</v>
      </c>
      <c r="L3193" s="24">
        <f t="shared" si="249"/>
        <v>0</v>
      </c>
    </row>
    <row r="3194" spans="1:12" ht="15" customHeight="1" x14ac:dyDescent="0.3">
      <c r="A3194" s="23" t="s">
        <v>16234</v>
      </c>
      <c r="B3194" s="23" t="s">
        <v>79</v>
      </c>
      <c r="C3194" s="39">
        <v>599</v>
      </c>
      <c r="D3194" s="24">
        <v>10.78</v>
      </c>
      <c r="E3194" s="24">
        <v>1.94</v>
      </c>
      <c r="F3194" s="23">
        <f>COUNTIFS(mdr_rate_cleaned!$A$2:$A$10,B3194,mdr_rate_cleaned!$B$2:$B$10,"&lt;"&amp;C3194,mdr_rate_cleaned!$F$2:$F$10,"&gt;="&amp;C3194)</f>
        <v>1</v>
      </c>
      <c r="G3194" s="40">
        <f>SUMIFS(mdr_rate_cleaned!$G$2:$G$10,mdr_rate_cleaned!$A$2:$A$10,B3194,mdr_rate_cleaned!$B$2:$B$10,"&lt;"&amp;C3194,mdr_rate_cleaned!$F$2:$F$10,"&gt;="&amp;C3194)</f>
        <v>1.8000000000000002E-2</v>
      </c>
      <c r="H3194" s="24">
        <f t="shared" si="245"/>
        <v>10.78</v>
      </c>
      <c r="I3194" s="23" t="str">
        <f t="shared" si="246"/>
        <v>Match</v>
      </c>
      <c r="J3194" s="23" t="str">
        <f t="shared" si="247"/>
        <v>Match</v>
      </c>
      <c r="K3194" s="24">
        <f t="shared" si="248"/>
        <v>1.94</v>
      </c>
      <c r="L3194" s="24">
        <f t="shared" si="249"/>
        <v>0</v>
      </c>
    </row>
    <row r="3195" spans="1:12" ht="15" customHeight="1" x14ac:dyDescent="0.3">
      <c r="A3195" s="23" t="s">
        <v>16235</v>
      </c>
      <c r="B3195" s="23" t="s">
        <v>75</v>
      </c>
      <c r="C3195" s="39">
        <v>1398</v>
      </c>
      <c r="D3195" s="24">
        <v>0</v>
      </c>
      <c r="E3195" s="24">
        <v>0</v>
      </c>
      <c r="F3195" s="23">
        <f>COUNTIFS(mdr_rate_cleaned!$A$2:$A$10,B3195,mdr_rate_cleaned!$B$2:$B$10,"&lt;"&amp;C3195,mdr_rate_cleaned!$F$2:$F$10,"&gt;="&amp;C3195)</f>
        <v>1</v>
      </c>
      <c r="G3195" s="40">
        <f>SUMIFS(mdr_rate_cleaned!$G$2:$G$10,mdr_rate_cleaned!$A$2:$A$10,B3195,mdr_rate_cleaned!$B$2:$B$10,"&lt;"&amp;C3195,mdr_rate_cleaned!$F$2:$F$10,"&gt;="&amp;C3195)</f>
        <v>0</v>
      </c>
      <c r="H3195" s="24">
        <f t="shared" si="245"/>
        <v>0</v>
      </c>
      <c r="I3195" s="23" t="str">
        <f t="shared" si="246"/>
        <v>Match</v>
      </c>
      <c r="J3195" s="23" t="str">
        <f t="shared" si="247"/>
        <v>Match</v>
      </c>
      <c r="K3195" s="24">
        <f t="shared" si="248"/>
        <v>0</v>
      </c>
      <c r="L3195" s="24">
        <f t="shared" si="249"/>
        <v>0</v>
      </c>
    </row>
    <row r="3196" spans="1:12" ht="15" customHeight="1" x14ac:dyDescent="0.3">
      <c r="A3196" s="23" t="s">
        <v>16236</v>
      </c>
      <c r="B3196" s="23" t="s">
        <v>79</v>
      </c>
      <c r="C3196" s="39">
        <v>2999</v>
      </c>
      <c r="D3196" s="24">
        <v>47.98</v>
      </c>
      <c r="E3196" s="24">
        <v>8.64</v>
      </c>
      <c r="F3196" s="23">
        <f>COUNTIFS(mdr_rate_cleaned!$A$2:$A$10,B3196,mdr_rate_cleaned!$B$2:$B$10,"&lt;"&amp;C3196,mdr_rate_cleaned!$F$2:$F$10,"&gt;="&amp;C3196)</f>
        <v>1</v>
      </c>
      <c r="G3196" s="40">
        <f>SUMIFS(mdr_rate_cleaned!$G$2:$G$10,mdr_rate_cleaned!$A$2:$A$10,B3196,mdr_rate_cleaned!$B$2:$B$10,"&lt;"&amp;C3196,mdr_rate_cleaned!$F$2:$F$10,"&gt;="&amp;C3196)</f>
        <v>1.6E-2</v>
      </c>
      <c r="H3196" s="24">
        <f t="shared" si="245"/>
        <v>47.98</v>
      </c>
      <c r="I3196" s="23" t="str">
        <f t="shared" si="246"/>
        <v>Match</v>
      </c>
      <c r="J3196" s="23" t="str">
        <f t="shared" si="247"/>
        <v>Match</v>
      </c>
      <c r="K3196" s="24">
        <f t="shared" si="248"/>
        <v>8.64</v>
      </c>
      <c r="L3196" s="24">
        <f t="shared" si="249"/>
        <v>0</v>
      </c>
    </row>
    <row r="3197" spans="1:12" ht="15" customHeight="1" x14ac:dyDescent="0.3">
      <c r="A3197" s="23" t="s">
        <v>16237</v>
      </c>
      <c r="B3197" s="23" t="s">
        <v>79</v>
      </c>
      <c r="C3197" s="39">
        <v>3498</v>
      </c>
      <c r="D3197" s="24">
        <v>55.97</v>
      </c>
      <c r="E3197" s="24">
        <v>10.07</v>
      </c>
      <c r="F3197" s="23">
        <f>COUNTIFS(mdr_rate_cleaned!$A$2:$A$10,B3197,mdr_rate_cleaned!$B$2:$B$10,"&lt;"&amp;C3197,mdr_rate_cleaned!$F$2:$F$10,"&gt;="&amp;C3197)</f>
        <v>1</v>
      </c>
      <c r="G3197" s="40">
        <f>SUMIFS(mdr_rate_cleaned!$G$2:$G$10,mdr_rate_cleaned!$A$2:$A$10,B3197,mdr_rate_cleaned!$B$2:$B$10,"&lt;"&amp;C3197,mdr_rate_cleaned!$F$2:$F$10,"&gt;="&amp;C3197)</f>
        <v>1.6E-2</v>
      </c>
      <c r="H3197" s="24">
        <f t="shared" si="245"/>
        <v>55.97</v>
      </c>
      <c r="I3197" s="23" t="str">
        <f t="shared" si="246"/>
        <v>Match</v>
      </c>
      <c r="J3197" s="23" t="str">
        <f t="shared" si="247"/>
        <v>Match</v>
      </c>
      <c r="K3197" s="24">
        <f t="shared" si="248"/>
        <v>10.07</v>
      </c>
      <c r="L3197" s="24">
        <f t="shared" si="249"/>
        <v>0</v>
      </c>
    </row>
    <row r="3198" spans="1:12" ht="15" customHeight="1" x14ac:dyDescent="0.3">
      <c r="A3198" s="23" t="s">
        <v>16239</v>
      </c>
      <c r="B3198" s="23" t="s">
        <v>79</v>
      </c>
      <c r="C3198" s="39">
        <v>8597</v>
      </c>
      <c r="D3198" s="24">
        <v>137.55000000000001</v>
      </c>
      <c r="E3198" s="24">
        <v>24.76</v>
      </c>
      <c r="F3198" s="23">
        <f>COUNTIFS(mdr_rate_cleaned!$A$2:$A$10,B3198,mdr_rate_cleaned!$B$2:$B$10,"&lt;"&amp;C3198,mdr_rate_cleaned!$F$2:$F$10,"&gt;="&amp;C3198)</f>
        <v>1</v>
      </c>
      <c r="G3198" s="40">
        <f>SUMIFS(mdr_rate_cleaned!$G$2:$G$10,mdr_rate_cleaned!$A$2:$A$10,B3198,mdr_rate_cleaned!$B$2:$B$10,"&lt;"&amp;C3198,mdr_rate_cleaned!$F$2:$F$10,"&gt;="&amp;C3198)</f>
        <v>1.6E-2</v>
      </c>
      <c r="H3198" s="24">
        <f t="shared" si="245"/>
        <v>137.55000000000001</v>
      </c>
      <c r="I3198" s="23" t="str">
        <f t="shared" si="246"/>
        <v>Match</v>
      </c>
      <c r="J3198" s="23" t="str">
        <f t="shared" si="247"/>
        <v>Match</v>
      </c>
      <c r="K3198" s="24">
        <f t="shared" si="248"/>
        <v>24.76</v>
      </c>
      <c r="L3198" s="24">
        <f t="shared" si="249"/>
        <v>0</v>
      </c>
    </row>
    <row r="3199" spans="1:12" ht="15" customHeight="1" x14ac:dyDescent="0.3">
      <c r="A3199" s="23" t="s">
        <v>16240</v>
      </c>
      <c r="B3199" s="23" t="s">
        <v>75</v>
      </c>
      <c r="C3199" s="39">
        <v>2499</v>
      </c>
      <c r="D3199" s="24">
        <v>7.5</v>
      </c>
      <c r="E3199" s="24">
        <v>1.35</v>
      </c>
      <c r="F3199" s="23">
        <f>COUNTIFS(mdr_rate_cleaned!$A$2:$A$10,B3199,mdr_rate_cleaned!$B$2:$B$10,"&lt;"&amp;C3199,mdr_rate_cleaned!$F$2:$F$10,"&gt;="&amp;C3199)</f>
        <v>1</v>
      </c>
      <c r="G3199" s="40">
        <f>SUMIFS(mdr_rate_cleaned!$G$2:$G$10,mdr_rate_cleaned!$A$2:$A$10,B3199,mdr_rate_cleaned!$B$2:$B$10,"&lt;"&amp;C3199,mdr_rate_cleaned!$F$2:$F$10,"&gt;="&amp;C3199)</f>
        <v>3.0000000000000001E-3</v>
      </c>
      <c r="H3199" s="24">
        <f t="shared" si="245"/>
        <v>7.5</v>
      </c>
      <c r="I3199" s="23" t="str">
        <f t="shared" si="246"/>
        <v>Match</v>
      </c>
      <c r="J3199" s="23" t="str">
        <f t="shared" si="247"/>
        <v>Match</v>
      </c>
      <c r="K3199" s="24">
        <f t="shared" si="248"/>
        <v>1.35</v>
      </c>
      <c r="L3199" s="24">
        <f t="shared" si="249"/>
        <v>0</v>
      </c>
    </row>
    <row r="3200" spans="1:12" ht="15" customHeight="1" x14ac:dyDescent="0.3">
      <c r="A3200" s="23" t="s">
        <v>16241</v>
      </c>
      <c r="B3200" s="23" t="s">
        <v>75</v>
      </c>
      <c r="C3200" s="39">
        <v>4097</v>
      </c>
      <c r="D3200" s="24">
        <v>12.29</v>
      </c>
      <c r="E3200" s="24">
        <v>2.21</v>
      </c>
      <c r="F3200" s="23">
        <f>COUNTIFS(mdr_rate_cleaned!$A$2:$A$10,B3200,mdr_rate_cleaned!$B$2:$B$10,"&lt;"&amp;C3200,mdr_rate_cleaned!$F$2:$F$10,"&gt;="&amp;C3200)</f>
        <v>1</v>
      </c>
      <c r="G3200" s="40">
        <f>SUMIFS(mdr_rate_cleaned!$G$2:$G$10,mdr_rate_cleaned!$A$2:$A$10,B3200,mdr_rate_cleaned!$B$2:$B$10,"&lt;"&amp;C3200,mdr_rate_cleaned!$F$2:$F$10,"&gt;="&amp;C3200)</f>
        <v>3.0000000000000001E-3</v>
      </c>
      <c r="H3200" s="24">
        <f t="shared" si="245"/>
        <v>12.29</v>
      </c>
      <c r="I3200" s="23" t="str">
        <f t="shared" si="246"/>
        <v>Match</v>
      </c>
      <c r="J3200" s="23" t="str">
        <f t="shared" si="247"/>
        <v>Match</v>
      </c>
      <c r="K3200" s="24">
        <f t="shared" si="248"/>
        <v>2.21</v>
      </c>
      <c r="L3200" s="24">
        <f t="shared" si="249"/>
        <v>0</v>
      </c>
    </row>
    <row r="3201" spans="1:12" ht="15" customHeight="1" x14ac:dyDescent="0.3">
      <c r="A3201" s="23" t="s">
        <v>16243</v>
      </c>
      <c r="B3201" s="23" t="s">
        <v>81</v>
      </c>
      <c r="C3201" s="39">
        <v>1499</v>
      </c>
      <c r="D3201" s="24">
        <v>22.49</v>
      </c>
      <c r="E3201" s="24">
        <v>4.05</v>
      </c>
      <c r="F3201" s="23">
        <f>COUNTIFS(mdr_rate_cleaned!$A$2:$A$10,B3201,mdr_rate_cleaned!$B$2:$B$10,"&lt;"&amp;C3201,mdr_rate_cleaned!$F$2:$F$10,"&gt;="&amp;C3201)</f>
        <v>1</v>
      </c>
      <c r="G3201" s="40">
        <f>SUMIFS(mdr_rate_cleaned!$G$2:$G$10,mdr_rate_cleaned!$A$2:$A$10,B3201,mdr_rate_cleaned!$B$2:$B$10,"&lt;"&amp;C3201,mdr_rate_cleaned!$F$2:$F$10,"&gt;="&amp;C3201)</f>
        <v>1.4999999999999999E-2</v>
      </c>
      <c r="H3201" s="24">
        <f t="shared" si="245"/>
        <v>22.49</v>
      </c>
      <c r="I3201" s="23" t="str">
        <f t="shared" si="246"/>
        <v>Match</v>
      </c>
      <c r="J3201" s="23" t="str">
        <f t="shared" si="247"/>
        <v>Match</v>
      </c>
      <c r="K3201" s="24">
        <f t="shared" si="248"/>
        <v>4.05</v>
      </c>
      <c r="L3201" s="24">
        <f t="shared" si="249"/>
        <v>0</v>
      </c>
    </row>
    <row r="3202" spans="1:12" ht="15" customHeight="1" x14ac:dyDescent="0.3">
      <c r="A3202" s="23" t="s">
        <v>16244</v>
      </c>
      <c r="B3202" s="23" t="s">
        <v>79</v>
      </c>
      <c r="C3202" s="39">
        <v>3499</v>
      </c>
      <c r="D3202" s="24">
        <v>55.98</v>
      </c>
      <c r="E3202" s="24">
        <v>10.08</v>
      </c>
      <c r="F3202" s="23">
        <f>COUNTIFS(mdr_rate_cleaned!$A$2:$A$10,B3202,mdr_rate_cleaned!$B$2:$B$10,"&lt;"&amp;C3202,mdr_rate_cleaned!$F$2:$F$10,"&gt;="&amp;C3202)</f>
        <v>1</v>
      </c>
      <c r="G3202" s="40">
        <f>SUMIFS(mdr_rate_cleaned!$G$2:$G$10,mdr_rate_cleaned!$A$2:$A$10,B3202,mdr_rate_cleaned!$B$2:$B$10,"&lt;"&amp;C3202,mdr_rate_cleaned!$F$2:$F$10,"&gt;="&amp;C3202)</f>
        <v>1.6E-2</v>
      </c>
      <c r="H3202" s="24">
        <f t="shared" ref="H3202:H3265" si="250">ROUND(C3202*G3202,2)</f>
        <v>55.98</v>
      </c>
      <c r="I3202" s="23" t="str">
        <f t="shared" ref="I3202:I3265" si="251">IF(ROUND(D3202-H3202,2)=0,"Match","Differs")</f>
        <v>Match</v>
      </c>
      <c r="J3202" s="23" t="str">
        <f t="shared" ref="J3202:J3265" si="252">IF(ROUND(E3202-ROUND(D3202*0.18,2),2)=0,"Match","Differs")</f>
        <v>Match</v>
      </c>
      <c r="K3202" s="24">
        <f t="shared" ref="K3202:K3265" si="253">ROUND(H3202*0.18,2)</f>
        <v>10.08</v>
      </c>
      <c r="L3202" s="24">
        <f t="shared" ref="L3202:L3265" si="254">ROUND(D3202+E3202-H3202-K3202,2)</f>
        <v>0</v>
      </c>
    </row>
    <row r="3203" spans="1:12" ht="15" customHeight="1" x14ac:dyDescent="0.3">
      <c r="A3203" s="23" t="s">
        <v>16245</v>
      </c>
      <c r="B3203" s="23" t="s">
        <v>75</v>
      </c>
      <c r="C3203" s="39">
        <v>6798</v>
      </c>
      <c r="D3203" s="24">
        <v>20.39</v>
      </c>
      <c r="E3203" s="24">
        <v>3.67</v>
      </c>
      <c r="F3203" s="23">
        <f>COUNTIFS(mdr_rate_cleaned!$A$2:$A$10,B3203,mdr_rate_cleaned!$B$2:$B$10,"&lt;"&amp;C3203,mdr_rate_cleaned!$F$2:$F$10,"&gt;="&amp;C3203)</f>
        <v>1</v>
      </c>
      <c r="G3203" s="40">
        <f>SUMIFS(mdr_rate_cleaned!$G$2:$G$10,mdr_rate_cleaned!$A$2:$A$10,B3203,mdr_rate_cleaned!$B$2:$B$10,"&lt;"&amp;C3203,mdr_rate_cleaned!$F$2:$F$10,"&gt;="&amp;C3203)</f>
        <v>3.0000000000000001E-3</v>
      </c>
      <c r="H3203" s="24">
        <f t="shared" si="250"/>
        <v>20.39</v>
      </c>
      <c r="I3203" s="23" t="str">
        <f t="shared" si="251"/>
        <v>Match</v>
      </c>
      <c r="J3203" s="23" t="str">
        <f t="shared" si="252"/>
        <v>Match</v>
      </c>
      <c r="K3203" s="24">
        <f t="shared" si="253"/>
        <v>3.67</v>
      </c>
      <c r="L3203" s="24">
        <f t="shared" si="254"/>
        <v>0</v>
      </c>
    </row>
    <row r="3204" spans="1:12" ht="15" customHeight="1" x14ac:dyDescent="0.3">
      <c r="A3204" s="23" t="s">
        <v>16246</v>
      </c>
      <c r="B3204" s="23" t="s">
        <v>75</v>
      </c>
      <c r="C3204" s="39">
        <v>3697</v>
      </c>
      <c r="D3204" s="24">
        <v>11.09</v>
      </c>
      <c r="E3204" s="24">
        <v>2</v>
      </c>
      <c r="F3204" s="23">
        <f>COUNTIFS(mdr_rate_cleaned!$A$2:$A$10,B3204,mdr_rate_cleaned!$B$2:$B$10,"&lt;"&amp;C3204,mdr_rate_cleaned!$F$2:$F$10,"&gt;="&amp;C3204)</f>
        <v>1</v>
      </c>
      <c r="G3204" s="40">
        <f>SUMIFS(mdr_rate_cleaned!$G$2:$G$10,mdr_rate_cleaned!$A$2:$A$10,B3204,mdr_rate_cleaned!$B$2:$B$10,"&lt;"&amp;C3204,mdr_rate_cleaned!$F$2:$F$10,"&gt;="&amp;C3204)</f>
        <v>3.0000000000000001E-3</v>
      </c>
      <c r="H3204" s="24">
        <f t="shared" si="250"/>
        <v>11.09</v>
      </c>
      <c r="I3204" s="23" t="str">
        <f t="shared" si="251"/>
        <v>Match</v>
      </c>
      <c r="J3204" s="23" t="str">
        <f t="shared" si="252"/>
        <v>Match</v>
      </c>
      <c r="K3204" s="24">
        <f t="shared" si="253"/>
        <v>2</v>
      </c>
      <c r="L3204" s="24">
        <f t="shared" si="254"/>
        <v>0</v>
      </c>
    </row>
    <row r="3205" spans="1:12" ht="15" customHeight="1" x14ac:dyDescent="0.3">
      <c r="A3205" s="23" t="s">
        <v>16247</v>
      </c>
      <c r="B3205" s="23" t="s">
        <v>75</v>
      </c>
      <c r="C3205" s="39">
        <v>1348</v>
      </c>
      <c r="D3205" s="24">
        <v>0</v>
      </c>
      <c r="E3205" s="24">
        <v>0</v>
      </c>
      <c r="F3205" s="23">
        <f>COUNTIFS(mdr_rate_cleaned!$A$2:$A$10,B3205,mdr_rate_cleaned!$B$2:$B$10,"&lt;"&amp;C3205,mdr_rate_cleaned!$F$2:$F$10,"&gt;="&amp;C3205)</f>
        <v>1</v>
      </c>
      <c r="G3205" s="40">
        <f>SUMIFS(mdr_rate_cleaned!$G$2:$G$10,mdr_rate_cleaned!$A$2:$A$10,B3205,mdr_rate_cleaned!$B$2:$B$10,"&lt;"&amp;C3205,mdr_rate_cleaned!$F$2:$F$10,"&gt;="&amp;C3205)</f>
        <v>0</v>
      </c>
      <c r="H3205" s="24">
        <f t="shared" si="250"/>
        <v>0</v>
      </c>
      <c r="I3205" s="23" t="str">
        <f t="shared" si="251"/>
        <v>Match</v>
      </c>
      <c r="J3205" s="23" t="str">
        <f t="shared" si="252"/>
        <v>Match</v>
      </c>
      <c r="K3205" s="24">
        <f t="shared" si="253"/>
        <v>0</v>
      </c>
      <c r="L3205" s="24">
        <f t="shared" si="254"/>
        <v>0</v>
      </c>
    </row>
    <row r="3206" spans="1:12" ht="15" customHeight="1" x14ac:dyDescent="0.3">
      <c r="A3206" s="23" t="s">
        <v>16249</v>
      </c>
      <c r="B3206" s="23" t="s">
        <v>79</v>
      </c>
      <c r="C3206" s="39">
        <v>3297</v>
      </c>
      <c r="D3206" s="24">
        <v>52.75</v>
      </c>
      <c r="E3206" s="24">
        <v>9.5</v>
      </c>
      <c r="F3206" s="23">
        <f>COUNTIFS(mdr_rate_cleaned!$A$2:$A$10,B3206,mdr_rate_cleaned!$B$2:$B$10,"&lt;"&amp;C3206,mdr_rate_cleaned!$F$2:$F$10,"&gt;="&amp;C3206)</f>
        <v>1</v>
      </c>
      <c r="G3206" s="40">
        <f>SUMIFS(mdr_rate_cleaned!$G$2:$G$10,mdr_rate_cleaned!$A$2:$A$10,B3206,mdr_rate_cleaned!$B$2:$B$10,"&lt;"&amp;C3206,mdr_rate_cleaned!$F$2:$F$10,"&gt;="&amp;C3206)</f>
        <v>1.6E-2</v>
      </c>
      <c r="H3206" s="24">
        <f t="shared" si="250"/>
        <v>52.75</v>
      </c>
      <c r="I3206" s="23" t="str">
        <f t="shared" si="251"/>
        <v>Match</v>
      </c>
      <c r="J3206" s="23" t="str">
        <f t="shared" si="252"/>
        <v>Match</v>
      </c>
      <c r="K3206" s="24">
        <f t="shared" si="253"/>
        <v>9.5</v>
      </c>
      <c r="L3206" s="24">
        <f t="shared" si="254"/>
        <v>0</v>
      </c>
    </row>
    <row r="3207" spans="1:12" ht="15" customHeight="1" x14ac:dyDescent="0.3">
      <c r="A3207" s="23" t="s">
        <v>16250</v>
      </c>
      <c r="B3207" s="23" t="s">
        <v>75</v>
      </c>
      <c r="C3207" s="39">
        <v>4597</v>
      </c>
      <c r="D3207" s="24">
        <v>13.79</v>
      </c>
      <c r="E3207" s="24">
        <v>2.48</v>
      </c>
      <c r="F3207" s="23">
        <f>COUNTIFS(mdr_rate_cleaned!$A$2:$A$10,B3207,mdr_rate_cleaned!$B$2:$B$10,"&lt;"&amp;C3207,mdr_rate_cleaned!$F$2:$F$10,"&gt;="&amp;C3207)</f>
        <v>1</v>
      </c>
      <c r="G3207" s="40">
        <f>SUMIFS(mdr_rate_cleaned!$G$2:$G$10,mdr_rate_cleaned!$A$2:$A$10,B3207,mdr_rate_cleaned!$B$2:$B$10,"&lt;"&amp;C3207,mdr_rate_cleaned!$F$2:$F$10,"&gt;="&amp;C3207)</f>
        <v>3.0000000000000001E-3</v>
      </c>
      <c r="H3207" s="24">
        <f t="shared" si="250"/>
        <v>13.79</v>
      </c>
      <c r="I3207" s="23" t="str">
        <f t="shared" si="251"/>
        <v>Match</v>
      </c>
      <c r="J3207" s="23" t="str">
        <f t="shared" si="252"/>
        <v>Match</v>
      </c>
      <c r="K3207" s="24">
        <f t="shared" si="253"/>
        <v>2.48</v>
      </c>
      <c r="L3207" s="24">
        <f t="shared" si="254"/>
        <v>0</v>
      </c>
    </row>
    <row r="3208" spans="1:12" ht="15" customHeight="1" x14ac:dyDescent="0.3">
      <c r="A3208" s="23" t="s">
        <v>16251</v>
      </c>
      <c r="B3208" s="23" t="s">
        <v>75</v>
      </c>
      <c r="C3208" s="39">
        <v>3798</v>
      </c>
      <c r="D3208" s="24">
        <v>11.39</v>
      </c>
      <c r="E3208" s="24">
        <v>2.0499999999999998</v>
      </c>
      <c r="F3208" s="23">
        <f>COUNTIFS(mdr_rate_cleaned!$A$2:$A$10,B3208,mdr_rate_cleaned!$B$2:$B$10,"&lt;"&amp;C3208,mdr_rate_cleaned!$F$2:$F$10,"&gt;="&amp;C3208)</f>
        <v>1</v>
      </c>
      <c r="G3208" s="40">
        <f>SUMIFS(mdr_rate_cleaned!$G$2:$G$10,mdr_rate_cleaned!$A$2:$A$10,B3208,mdr_rate_cleaned!$B$2:$B$10,"&lt;"&amp;C3208,mdr_rate_cleaned!$F$2:$F$10,"&gt;="&amp;C3208)</f>
        <v>3.0000000000000001E-3</v>
      </c>
      <c r="H3208" s="24">
        <f t="shared" si="250"/>
        <v>11.39</v>
      </c>
      <c r="I3208" s="23" t="str">
        <f t="shared" si="251"/>
        <v>Match</v>
      </c>
      <c r="J3208" s="23" t="str">
        <f t="shared" si="252"/>
        <v>Match</v>
      </c>
      <c r="K3208" s="24">
        <f t="shared" si="253"/>
        <v>2.0499999999999998</v>
      </c>
      <c r="L3208" s="24">
        <f t="shared" si="254"/>
        <v>0</v>
      </c>
    </row>
    <row r="3209" spans="1:12" ht="15" customHeight="1" x14ac:dyDescent="0.3">
      <c r="A3209" s="23" t="s">
        <v>16253</v>
      </c>
      <c r="B3209" s="23" t="s">
        <v>81</v>
      </c>
      <c r="C3209" s="39">
        <v>5498</v>
      </c>
      <c r="D3209" s="24">
        <v>65.98</v>
      </c>
      <c r="E3209" s="24">
        <v>11.88</v>
      </c>
      <c r="F3209" s="23">
        <f>COUNTIFS(mdr_rate_cleaned!$A$2:$A$10,B3209,mdr_rate_cleaned!$B$2:$B$10,"&lt;"&amp;C3209,mdr_rate_cleaned!$F$2:$F$10,"&gt;="&amp;C3209)</f>
        <v>1</v>
      </c>
      <c r="G3209" s="40">
        <f>SUMIFS(mdr_rate_cleaned!$G$2:$G$10,mdr_rate_cleaned!$A$2:$A$10,B3209,mdr_rate_cleaned!$B$2:$B$10,"&lt;"&amp;C3209,mdr_rate_cleaned!$F$2:$F$10,"&gt;="&amp;C3209)</f>
        <v>1.2E-2</v>
      </c>
      <c r="H3209" s="24">
        <f t="shared" si="250"/>
        <v>65.98</v>
      </c>
      <c r="I3209" s="23" t="str">
        <f t="shared" si="251"/>
        <v>Match</v>
      </c>
      <c r="J3209" s="23" t="str">
        <f t="shared" si="252"/>
        <v>Match</v>
      </c>
      <c r="K3209" s="24">
        <f t="shared" si="253"/>
        <v>11.88</v>
      </c>
      <c r="L3209" s="24">
        <f t="shared" si="254"/>
        <v>0</v>
      </c>
    </row>
    <row r="3210" spans="1:12" ht="15" customHeight="1" x14ac:dyDescent="0.3">
      <c r="A3210" s="23" t="s">
        <v>16255</v>
      </c>
      <c r="B3210" s="23" t="s">
        <v>75</v>
      </c>
      <c r="C3210" s="39">
        <v>3499</v>
      </c>
      <c r="D3210" s="24">
        <v>10.5</v>
      </c>
      <c r="E3210" s="24">
        <v>1.89</v>
      </c>
      <c r="F3210" s="23">
        <f>COUNTIFS(mdr_rate_cleaned!$A$2:$A$10,B3210,mdr_rate_cleaned!$B$2:$B$10,"&lt;"&amp;C3210,mdr_rate_cleaned!$F$2:$F$10,"&gt;="&amp;C3210)</f>
        <v>1</v>
      </c>
      <c r="G3210" s="40">
        <f>SUMIFS(mdr_rate_cleaned!$G$2:$G$10,mdr_rate_cleaned!$A$2:$A$10,B3210,mdr_rate_cleaned!$B$2:$B$10,"&lt;"&amp;C3210,mdr_rate_cleaned!$F$2:$F$10,"&gt;="&amp;C3210)</f>
        <v>3.0000000000000001E-3</v>
      </c>
      <c r="H3210" s="24">
        <f t="shared" si="250"/>
        <v>10.5</v>
      </c>
      <c r="I3210" s="23" t="str">
        <f t="shared" si="251"/>
        <v>Match</v>
      </c>
      <c r="J3210" s="23" t="str">
        <f t="shared" si="252"/>
        <v>Match</v>
      </c>
      <c r="K3210" s="24">
        <f t="shared" si="253"/>
        <v>1.89</v>
      </c>
      <c r="L3210" s="24">
        <f t="shared" si="254"/>
        <v>0</v>
      </c>
    </row>
    <row r="3211" spans="1:12" ht="15" customHeight="1" x14ac:dyDescent="0.3">
      <c r="A3211" s="23" t="s">
        <v>16256</v>
      </c>
      <c r="B3211" s="23" t="s">
        <v>75</v>
      </c>
      <c r="C3211" s="39">
        <v>5597</v>
      </c>
      <c r="D3211" s="24">
        <v>16.79</v>
      </c>
      <c r="E3211" s="24">
        <v>3.02</v>
      </c>
      <c r="F3211" s="23">
        <f>COUNTIFS(mdr_rate_cleaned!$A$2:$A$10,B3211,mdr_rate_cleaned!$B$2:$B$10,"&lt;"&amp;C3211,mdr_rate_cleaned!$F$2:$F$10,"&gt;="&amp;C3211)</f>
        <v>1</v>
      </c>
      <c r="G3211" s="40">
        <f>SUMIFS(mdr_rate_cleaned!$G$2:$G$10,mdr_rate_cleaned!$A$2:$A$10,B3211,mdr_rate_cleaned!$B$2:$B$10,"&lt;"&amp;C3211,mdr_rate_cleaned!$F$2:$F$10,"&gt;="&amp;C3211)</f>
        <v>3.0000000000000001E-3</v>
      </c>
      <c r="H3211" s="24">
        <f t="shared" si="250"/>
        <v>16.79</v>
      </c>
      <c r="I3211" s="23" t="str">
        <f t="shared" si="251"/>
        <v>Match</v>
      </c>
      <c r="J3211" s="23" t="str">
        <f t="shared" si="252"/>
        <v>Match</v>
      </c>
      <c r="K3211" s="24">
        <f t="shared" si="253"/>
        <v>3.02</v>
      </c>
      <c r="L3211" s="24">
        <f t="shared" si="254"/>
        <v>0</v>
      </c>
    </row>
    <row r="3212" spans="1:12" ht="15" customHeight="1" x14ac:dyDescent="0.3">
      <c r="A3212" s="23" t="s">
        <v>16257</v>
      </c>
      <c r="B3212" s="23" t="s">
        <v>75</v>
      </c>
      <c r="C3212" s="39">
        <v>2598</v>
      </c>
      <c r="D3212" s="24">
        <v>7.79</v>
      </c>
      <c r="E3212" s="24">
        <v>1.4</v>
      </c>
      <c r="F3212" s="23">
        <f>COUNTIFS(mdr_rate_cleaned!$A$2:$A$10,B3212,mdr_rate_cleaned!$B$2:$B$10,"&lt;"&amp;C3212,mdr_rate_cleaned!$F$2:$F$10,"&gt;="&amp;C3212)</f>
        <v>1</v>
      </c>
      <c r="G3212" s="40">
        <f>SUMIFS(mdr_rate_cleaned!$G$2:$G$10,mdr_rate_cleaned!$A$2:$A$10,B3212,mdr_rate_cleaned!$B$2:$B$10,"&lt;"&amp;C3212,mdr_rate_cleaned!$F$2:$F$10,"&gt;="&amp;C3212)</f>
        <v>3.0000000000000001E-3</v>
      </c>
      <c r="H3212" s="24">
        <f t="shared" si="250"/>
        <v>7.79</v>
      </c>
      <c r="I3212" s="23" t="str">
        <f t="shared" si="251"/>
        <v>Match</v>
      </c>
      <c r="J3212" s="23" t="str">
        <f t="shared" si="252"/>
        <v>Match</v>
      </c>
      <c r="K3212" s="24">
        <f t="shared" si="253"/>
        <v>1.4</v>
      </c>
      <c r="L3212" s="24">
        <f t="shared" si="254"/>
        <v>0</v>
      </c>
    </row>
    <row r="3213" spans="1:12" ht="15" customHeight="1" x14ac:dyDescent="0.3">
      <c r="A3213" s="23" t="s">
        <v>16259</v>
      </c>
      <c r="B3213" s="23" t="s">
        <v>75</v>
      </c>
      <c r="C3213" s="39">
        <v>3499</v>
      </c>
      <c r="D3213" s="24">
        <v>10.5</v>
      </c>
      <c r="E3213" s="24">
        <v>1.89</v>
      </c>
      <c r="F3213" s="23">
        <f>COUNTIFS(mdr_rate_cleaned!$A$2:$A$10,B3213,mdr_rate_cleaned!$B$2:$B$10,"&lt;"&amp;C3213,mdr_rate_cleaned!$F$2:$F$10,"&gt;="&amp;C3213)</f>
        <v>1</v>
      </c>
      <c r="G3213" s="40">
        <f>SUMIFS(mdr_rate_cleaned!$G$2:$G$10,mdr_rate_cleaned!$A$2:$A$10,B3213,mdr_rate_cleaned!$B$2:$B$10,"&lt;"&amp;C3213,mdr_rate_cleaned!$F$2:$F$10,"&gt;="&amp;C3213)</f>
        <v>3.0000000000000001E-3</v>
      </c>
      <c r="H3213" s="24">
        <f t="shared" si="250"/>
        <v>10.5</v>
      </c>
      <c r="I3213" s="23" t="str">
        <f t="shared" si="251"/>
        <v>Match</v>
      </c>
      <c r="J3213" s="23" t="str">
        <f t="shared" si="252"/>
        <v>Match</v>
      </c>
      <c r="K3213" s="24">
        <f t="shared" si="253"/>
        <v>1.89</v>
      </c>
      <c r="L3213" s="24">
        <f t="shared" si="254"/>
        <v>0</v>
      </c>
    </row>
    <row r="3214" spans="1:12" ht="15" customHeight="1" x14ac:dyDescent="0.3">
      <c r="A3214" s="23" t="s">
        <v>16260</v>
      </c>
      <c r="B3214" s="23" t="s">
        <v>75</v>
      </c>
      <c r="C3214" s="39">
        <v>599</v>
      </c>
      <c r="D3214" s="24">
        <v>0</v>
      </c>
      <c r="E3214" s="24">
        <v>0</v>
      </c>
      <c r="F3214" s="23">
        <f>COUNTIFS(mdr_rate_cleaned!$A$2:$A$10,B3214,mdr_rate_cleaned!$B$2:$B$10,"&lt;"&amp;C3214,mdr_rate_cleaned!$F$2:$F$10,"&gt;="&amp;C3214)</f>
        <v>1</v>
      </c>
      <c r="G3214" s="40">
        <f>SUMIFS(mdr_rate_cleaned!$G$2:$G$10,mdr_rate_cleaned!$A$2:$A$10,B3214,mdr_rate_cleaned!$B$2:$B$10,"&lt;"&amp;C3214,mdr_rate_cleaned!$F$2:$F$10,"&gt;="&amp;C3214)</f>
        <v>0</v>
      </c>
      <c r="H3214" s="24">
        <f t="shared" si="250"/>
        <v>0</v>
      </c>
      <c r="I3214" s="23" t="str">
        <f t="shared" si="251"/>
        <v>Match</v>
      </c>
      <c r="J3214" s="23" t="str">
        <f t="shared" si="252"/>
        <v>Match</v>
      </c>
      <c r="K3214" s="24">
        <f t="shared" si="253"/>
        <v>0</v>
      </c>
      <c r="L3214" s="24">
        <f t="shared" si="254"/>
        <v>0</v>
      </c>
    </row>
    <row r="3215" spans="1:12" ht="15" customHeight="1" x14ac:dyDescent="0.3">
      <c r="A3215" s="23" t="s">
        <v>16261</v>
      </c>
      <c r="B3215" s="23" t="s">
        <v>79</v>
      </c>
      <c r="C3215" s="39">
        <v>11497</v>
      </c>
      <c r="D3215" s="24">
        <v>183.95</v>
      </c>
      <c r="E3215" s="24">
        <v>33.11</v>
      </c>
      <c r="F3215" s="23">
        <f>COUNTIFS(mdr_rate_cleaned!$A$2:$A$10,B3215,mdr_rate_cleaned!$B$2:$B$10,"&lt;"&amp;C3215,mdr_rate_cleaned!$F$2:$F$10,"&gt;="&amp;C3215)</f>
        <v>1</v>
      </c>
      <c r="G3215" s="40">
        <f>SUMIFS(mdr_rate_cleaned!$G$2:$G$10,mdr_rate_cleaned!$A$2:$A$10,B3215,mdr_rate_cleaned!$B$2:$B$10,"&lt;"&amp;C3215,mdr_rate_cleaned!$F$2:$F$10,"&gt;="&amp;C3215)</f>
        <v>1.6E-2</v>
      </c>
      <c r="H3215" s="24">
        <f t="shared" si="250"/>
        <v>183.95</v>
      </c>
      <c r="I3215" s="23" t="str">
        <f t="shared" si="251"/>
        <v>Match</v>
      </c>
      <c r="J3215" s="23" t="str">
        <f t="shared" si="252"/>
        <v>Match</v>
      </c>
      <c r="K3215" s="24">
        <f t="shared" si="253"/>
        <v>33.11</v>
      </c>
      <c r="L3215" s="24">
        <f t="shared" si="254"/>
        <v>0</v>
      </c>
    </row>
    <row r="3216" spans="1:12" ht="15" customHeight="1" x14ac:dyDescent="0.3">
      <c r="A3216" s="23" t="s">
        <v>16262</v>
      </c>
      <c r="B3216" s="23" t="s">
        <v>75</v>
      </c>
      <c r="C3216" s="39">
        <v>7999</v>
      </c>
      <c r="D3216" s="24">
        <v>24</v>
      </c>
      <c r="E3216" s="24">
        <v>4.32</v>
      </c>
      <c r="F3216" s="23">
        <f>COUNTIFS(mdr_rate_cleaned!$A$2:$A$10,B3216,mdr_rate_cleaned!$B$2:$B$10,"&lt;"&amp;C3216,mdr_rate_cleaned!$F$2:$F$10,"&gt;="&amp;C3216)</f>
        <v>1</v>
      </c>
      <c r="G3216" s="40">
        <f>SUMIFS(mdr_rate_cleaned!$G$2:$G$10,mdr_rate_cleaned!$A$2:$A$10,B3216,mdr_rate_cleaned!$B$2:$B$10,"&lt;"&amp;C3216,mdr_rate_cleaned!$F$2:$F$10,"&gt;="&amp;C3216)</f>
        <v>3.0000000000000001E-3</v>
      </c>
      <c r="H3216" s="24">
        <f t="shared" si="250"/>
        <v>24</v>
      </c>
      <c r="I3216" s="23" t="str">
        <f t="shared" si="251"/>
        <v>Match</v>
      </c>
      <c r="J3216" s="23" t="str">
        <f t="shared" si="252"/>
        <v>Match</v>
      </c>
      <c r="K3216" s="24">
        <f t="shared" si="253"/>
        <v>4.32</v>
      </c>
      <c r="L3216" s="24">
        <f t="shared" si="254"/>
        <v>0</v>
      </c>
    </row>
    <row r="3217" spans="1:12" ht="15" customHeight="1" x14ac:dyDescent="0.3">
      <c r="A3217" s="23" t="s">
        <v>16263</v>
      </c>
      <c r="B3217" s="23" t="s">
        <v>75</v>
      </c>
      <c r="C3217" s="39">
        <v>2999</v>
      </c>
      <c r="D3217" s="24">
        <v>9</v>
      </c>
      <c r="E3217" s="24">
        <v>1.62</v>
      </c>
      <c r="F3217" s="23">
        <f>COUNTIFS(mdr_rate_cleaned!$A$2:$A$10,B3217,mdr_rate_cleaned!$B$2:$B$10,"&lt;"&amp;C3217,mdr_rate_cleaned!$F$2:$F$10,"&gt;="&amp;C3217)</f>
        <v>1</v>
      </c>
      <c r="G3217" s="40">
        <f>SUMIFS(mdr_rate_cleaned!$G$2:$G$10,mdr_rate_cleaned!$A$2:$A$10,B3217,mdr_rate_cleaned!$B$2:$B$10,"&lt;"&amp;C3217,mdr_rate_cleaned!$F$2:$F$10,"&gt;="&amp;C3217)</f>
        <v>3.0000000000000001E-3</v>
      </c>
      <c r="H3217" s="24">
        <f t="shared" si="250"/>
        <v>9</v>
      </c>
      <c r="I3217" s="23" t="str">
        <f t="shared" si="251"/>
        <v>Match</v>
      </c>
      <c r="J3217" s="23" t="str">
        <f t="shared" si="252"/>
        <v>Match</v>
      </c>
      <c r="K3217" s="24">
        <f t="shared" si="253"/>
        <v>1.62</v>
      </c>
      <c r="L3217" s="24">
        <f t="shared" si="254"/>
        <v>0</v>
      </c>
    </row>
    <row r="3218" spans="1:12" ht="15" customHeight="1" x14ac:dyDescent="0.3">
      <c r="A3218" s="23" t="s">
        <v>16264</v>
      </c>
      <c r="B3218" s="23" t="s">
        <v>79</v>
      </c>
      <c r="C3218" s="39">
        <v>499</v>
      </c>
      <c r="D3218" s="24">
        <v>8.98</v>
      </c>
      <c r="E3218" s="24">
        <v>1.62</v>
      </c>
      <c r="F3218" s="23">
        <f>COUNTIFS(mdr_rate_cleaned!$A$2:$A$10,B3218,mdr_rate_cleaned!$B$2:$B$10,"&lt;"&amp;C3218,mdr_rate_cleaned!$F$2:$F$10,"&gt;="&amp;C3218)</f>
        <v>1</v>
      </c>
      <c r="G3218" s="40">
        <f>SUMIFS(mdr_rate_cleaned!$G$2:$G$10,mdr_rate_cleaned!$A$2:$A$10,B3218,mdr_rate_cleaned!$B$2:$B$10,"&lt;"&amp;C3218,mdr_rate_cleaned!$F$2:$F$10,"&gt;="&amp;C3218)</f>
        <v>1.8000000000000002E-2</v>
      </c>
      <c r="H3218" s="24">
        <f t="shared" si="250"/>
        <v>8.98</v>
      </c>
      <c r="I3218" s="23" t="str">
        <f t="shared" si="251"/>
        <v>Match</v>
      </c>
      <c r="J3218" s="23" t="str">
        <f t="shared" si="252"/>
        <v>Match</v>
      </c>
      <c r="K3218" s="24">
        <f t="shared" si="253"/>
        <v>1.62</v>
      </c>
      <c r="L3218" s="24">
        <f t="shared" si="254"/>
        <v>0</v>
      </c>
    </row>
    <row r="3219" spans="1:12" ht="15" customHeight="1" x14ac:dyDescent="0.3">
      <c r="A3219" s="23" t="s">
        <v>16265</v>
      </c>
      <c r="B3219" s="23" t="s">
        <v>79</v>
      </c>
      <c r="C3219" s="39">
        <v>898</v>
      </c>
      <c r="D3219" s="24">
        <v>16.16</v>
      </c>
      <c r="E3219" s="24">
        <v>2.91</v>
      </c>
      <c r="F3219" s="23">
        <f>COUNTIFS(mdr_rate_cleaned!$A$2:$A$10,B3219,mdr_rate_cleaned!$B$2:$B$10,"&lt;"&amp;C3219,mdr_rate_cleaned!$F$2:$F$10,"&gt;="&amp;C3219)</f>
        <v>1</v>
      </c>
      <c r="G3219" s="40">
        <f>SUMIFS(mdr_rate_cleaned!$G$2:$G$10,mdr_rate_cleaned!$A$2:$A$10,B3219,mdr_rate_cleaned!$B$2:$B$10,"&lt;"&amp;C3219,mdr_rate_cleaned!$F$2:$F$10,"&gt;="&amp;C3219)</f>
        <v>1.8000000000000002E-2</v>
      </c>
      <c r="H3219" s="24">
        <f t="shared" si="250"/>
        <v>16.16</v>
      </c>
      <c r="I3219" s="23" t="str">
        <f t="shared" si="251"/>
        <v>Match</v>
      </c>
      <c r="J3219" s="23" t="str">
        <f t="shared" si="252"/>
        <v>Match</v>
      </c>
      <c r="K3219" s="24">
        <f t="shared" si="253"/>
        <v>2.91</v>
      </c>
      <c r="L3219" s="24">
        <f t="shared" si="254"/>
        <v>0</v>
      </c>
    </row>
    <row r="3220" spans="1:12" ht="15" customHeight="1" x14ac:dyDescent="0.3">
      <c r="A3220" s="23" t="s">
        <v>16266</v>
      </c>
      <c r="B3220" s="23" t="s">
        <v>79</v>
      </c>
      <c r="C3220" s="39">
        <v>2798</v>
      </c>
      <c r="D3220" s="24">
        <v>44.77</v>
      </c>
      <c r="E3220" s="24">
        <v>8.06</v>
      </c>
      <c r="F3220" s="23">
        <f>COUNTIFS(mdr_rate_cleaned!$A$2:$A$10,B3220,mdr_rate_cleaned!$B$2:$B$10,"&lt;"&amp;C3220,mdr_rate_cleaned!$F$2:$F$10,"&gt;="&amp;C3220)</f>
        <v>1</v>
      </c>
      <c r="G3220" s="40">
        <f>SUMIFS(mdr_rate_cleaned!$G$2:$G$10,mdr_rate_cleaned!$A$2:$A$10,B3220,mdr_rate_cleaned!$B$2:$B$10,"&lt;"&amp;C3220,mdr_rate_cleaned!$F$2:$F$10,"&gt;="&amp;C3220)</f>
        <v>1.6E-2</v>
      </c>
      <c r="H3220" s="24">
        <f t="shared" si="250"/>
        <v>44.77</v>
      </c>
      <c r="I3220" s="23" t="str">
        <f t="shared" si="251"/>
        <v>Match</v>
      </c>
      <c r="J3220" s="23" t="str">
        <f t="shared" si="252"/>
        <v>Match</v>
      </c>
      <c r="K3220" s="24">
        <f t="shared" si="253"/>
        <v>8.06</v>
      </c>
      <c r="L3220" s="24">
        <f t="shared" si="254"/>
        <v>0</v>
      </c>
    </row>
    <row r="3221" spans="1:12" ht="15" customHeight="1" x14ac:dyDescent="0.3">
      <c r="A3221" s="23" t="s">
        <v>16268</v>
      </c>
      <c r="B3221" s="23" t="s">
        <v>75</v>
      </c>
      <c r="C3221" s="39">
        <v>6798</v>
      </c>
      <c r="D3221" s="24">
        <v>20.39</v>
      </c>
      <c r="E3221" s="24">
        <v>3.67</v>
      </c>
      <c r="F3221" s="23">
        <f>COUNTIFS(mdr_rate_cleaned!$A$2:$A$10,B3221,mdr_rate_cleaned!$B$2:$B$10,"&lt;"&amp;C3221,mdr_rate_cleaned!$F$2:$F$10,"&gt;="&amp;C3221)</f>
        <v>1</v>
      </c>
      <c r="G3221" s="40">
        <f>SUMIFS(mdr_rate_cleaned!$G$2:$G$10,mdr_rate_cleaned!$A$2:$A$10,B3221,mdr_rate_cleaned!$B$2:$B$10,"&lt;"&amp;C3221,mdr_rate_cleaned!$F$2:$F$10,"&gt;="&amp;C3221)</f>
        <v>3.0000000000000001E-3</v>
      </c>
      <c r="H3221" s="24">
        <f t="shared" si="250"/>
        <v>20.39</v>
      </c>
      <c r="I3221" s="23" t="str">
        <f t="shared" si="251"/>
        <v>Match</v>
      </c>
      <c r="J3221" s="23" t="str">
        <f t="shared" si="252"/>
        <v>Match</v>
      </c>
      <c r="K3221" s="24">
        <f t="shared" si="253"/>
        <v>3.67</v>
      </c>
      <c r="L3221" s="24">
        <f t="shared" si="254"/>
        <v>0</v>
      </c>
    </row>
    <row r="3222" spans="1:12" ht="15" customHeight="1" x14ac:dyDescent="0.3">
      <c r="A3222" s="23" t="s">
        <v>16269</v>
      </c>
      <c r="B3222" s="23" t="s">
        <v>75</v>
      </c>
      <c r="C3222" s="39">
        <v>5297</v>
      </c>
      <c r="D3222" s="24">
        <v>15.89</v>
      </c>
      <c r="E3222" s="24">
        <v>2.86</v>
      </c>
      <c r="F3222" s="23">
        <f>COUNTIFS(mdr_rate_cleaned!$A$2:$A$10,B3222,mdr_rate_cleaned!$B$2:$B$10,"&lt;"&amp;C3222,mdr_rate_cleaned!$F$2:$F$10,"&gt;="&amp;C3222)</f>
        <v>1</v>
      </c>
      <c r="G3222" s="40">
        <f>SUMIFS(mdr_rate_cleaned!$G$2:$G$10,mdr_rate_cleaned!$A$2:$A$10,B3222,mdr_rate_cleaned!$B$2:$B$10,"&lt;"&amp;C3222,mdr_rate_cleaned!$F$2:$F$10,"&gt;="&amp;C3222)</f>
        <v>3.0000000000000001E-3</v>
      </c>
      <c r="H3222" s="24">
        <f t="shared" si="250"/>
        <v>15.89</v>
      </c>
      <c r="I3222" s="23" t="str">
        <f t="shared" si="251"/>
        <v>Match</v>
      </c>
      <c r="J3222" s="23" t="str">
        <f t="shared" si="252"/>
        <v>Match</v>
      </c>
      <c r="K3222" s="24">
        <f t="shared" si="253"/>
        <v>2.86</v>
      </c>
      <c r="L3222" s="24">
        <f t="shared" si="254"/>
        <v>0</v>
      </c>
    </row>
    <row r="3223" spans="1:12" ht="15" customHeight="1" x14ac:dyDescent="0.3">
      <c r="A3223" s="23" t="s">
        <v>16270</v>
      </c>
      <c r="B3223" s="23" t="s">
        <v>75</v>
      </c>
      <c r="C3223" s="39">
        <v>7097</v>
      </c>
      <c r="D3223" s="24">
        <v>21.29</v>
      </c>
      <c r="E3223" s="24">
        <v>3.83</v>
      </c>
      <c r="F3223" s="23">
        <f>COUNTIFS(mdr_rate_cleaned!$A$2:$A$10,B3223,mdr_rate_cleaned!$B$2:$B$10,"&lt;"&amp;C3223,mdr_rate_cleaned!$F$2:$F$10,"&gt;="&amp;C3223)</f>
        <v>1</v>
      </c>
      <c r="G3223" s="40">
        <f>SUMIFS(mdr_rate_cleaned!$G$2:$G$10,mdr_rate_cleaned!$A$2:$A$10,B3223,mdr_rate_cleaned!$B$2:$B$10,"&lt;"&amp;C3223,mdr_rate_cleaned!$F$2:$F$10,"&gt;="&amp;C3223)</f>
        <v>3.0000000000000001E-3</v>
      </c>
      <c r="H3223" s="24">
        <f t="shared" si="250"/>
        <v>21.29</v>
      </c>
      <c r="I3223" s="23" t="str">
        <f t="shared" si="251"/>
        <v>Match</v>
      </c>
      <c r="J3223" s="23" t="str">
        <f t="shared" si="252"/>
        <v>Match</v>
      </c>
      <c r="K3223" s="24">
        <f t="shared" si="253"/>
        <v>3.83</v>
      </c>
      <c r="L3223" s="24">
        <f t="shared" si="254"/>
        <v>0</v>
      </c>
    </row>
    <row r="3224" spans="1:12" ht="15" customHeight="1" x14ac:dyDescent="0.3">
      <c r="A3224" s="23" t="s">
        <v>16271</v>
      </c>
      <c r="B3224" s="23" t="s">
        <v>79</v>
      </c>
      <c r="C3224" s="39">
        <v>3298</v>
      </c>
      <c r="D3224" s="24">
        <v>52.77</v>
      </c>
      <c r="E3224" s="24">
        <v>9.5</v>
      </c>
      <c r="F3224" s="23">
        <f>COUNTIFS(mdr_rate_cleaned!$A$2:$A$10,B3224,mdr_rate_cleaned!$B$2:$B$10,"&lt;"&amp;C3224,mdr_rate_cleaned!$F$2:$F$10,"&gt;="&amp;C3224)</f>
        <v>1</v>
      </c>
      <c r="G3224" s="40">
        <f>SUMIFS(mdr_rate_cleaned!$G$2:$G$10,mdr_rate_cleaned!$A$2:$A$10,B3224,mdr_rate_cleaned!$B$2:$B$10,"&lt;"&amp;C3224,mdr_rate_cleaned!$F$2:$F$10,"&gt;="&amp;C3224)</f>
        <v>1.6E-2</v>
      </c>
      <c r="H3224" s="24">
        <f t="shared" si="250"/>
        <v>52.77</v>
      </c>
      <c r="I3224" s="23" t="str">
        <f t="shared" si="251"/>
        <v>Match</v>
      </c>
      <c r="J3224" s="23" t="str">
        <f t="shared" si="252"/>
        <v>Match</v>
      </c>
      <c r="K3224" s="24">
        <f t="shared" si="253"/>
        <v>9.5</v>
      </c>
      <c r="L3224" s="24">
        <f t="shared" si="254"/>
        <v>0</v>
      </c>
    </row>
    <row r="3225" spans="1:12" ht="15" customHeight="1" x14ac:dyDescent="0.3">
      <c r="A3225" s="23" t="s">
        <v>16273</v>
      </c>
      <c r="B3225" s="23" t="s">
        <v>77</v>
      </c>
      <c r="C3225" s="39">
        <v>999</v>
      </c>
      <c r="D3225" s="24">
        <v>18.98</v>
      </c>
      <c r="E3225" s="24">
        <v>3.42</v>
      </c>
      <c r="F3225" s="23">
        <f>COUNTIFS(mdr_rate_cleaned!$A$2:$A$10,B3225,mdr_rate_cleaned!$B$2:$B$10,"&lt;"&amp;C3225,mdr_rate_cleaned!$F$2:$F$10,"&gt;="&amp;C3225)</f>
        <v>1</v>
      </c>
      <c r="G3225" s="40">
        <f>SUMIFS(mdr_rate_cleaned!$G$2:$G$10,mdr_rate_cleaned!$A$2:$A$10,B3225,mdr_rate_cleaned!$B$2:$B$10,"&lt;"&amp;C3225,mdr_rate_cleaned!$F$2:$F$10,"&gt;="&amp;C3225)</f>
        <v>1.9E-2</v>
      </c>
      <c r="H3225" s="24">
        <f t="shared" si="250"/>
        <v>18.98</v>
      </c>
      <c r="I3225" s="23" t="str">
        <f t="shared" si="251"/>
        <v>Match</v>
      </c>
      <c r="J3225" s="23" t="str">
        <f t="shared" si="252"/>
        <v>Match</v>
      </c>
      <c r="K3225" s="24">
        <f t="shared" si="253"/>
        <v>3.42</v>
      </c>
      <c r="L3225" s="24">
        <f t="shared" si="254"/>
        <v>0</v>
      </c>
    </row>
    <row r="3226" spans="1:12" ht="15" customHeight="1" x14ac:dyDescent="0.3">
      <c r="A3226" s="23" t="s">
        <v>16274</v>
      </c>
      <c r="B3226" s="23" t="s">
        <v>75</v>
      </c>
      <c r="C3226" s="39">
        <v>499</v>
      </c>
      <c r="D3226" s="24">
        <v>0</v>
      </c>
      <c r="E3226" s="24">
        <v>0</v>
      </c>
      <c r="F3226" s="23">
        <f>COUNTIFS(mdr_rate_cleaned!$A$2:$A$10,B3226,mdr_rate_cleaned!$B$2:$B$10,"&lt;"&amp;C3226,mdr_rate_cleaned!$F$2:$F$10,"&gt;="&amp;C3226)</f>
        <v>1</v>
      </c>
      <c r="G3226" s="40">
        <f>SUMIFS(mdr_rate_cleaned!$G$2:$G$10,mdr_rate_cleaned!$A$2:$A$10,B3226,mdr_rate_cleaned!$B$2:$B$10,"&lt;"&amp;C3226,mdr_rate_cleaned!$F$2:$F$10,"&gt;="&amp;C3226)</f>
        <v>0</v>
      </c>
      <c r="H3226" s="24">
        <f t="shared" si="250"/>
        <v>0</v>
      </c>
      <c r="I3226" s="23" t="str">
        <f t="shared" si="251"/>
        <v>Match</v>
      </c>
      <c r="J3226" s="23" t="str">
        <f t="shared" si="252"/>
        <v>Match</v>
      </c>
      <c r="K3226" s="24">
        <f t="shared" si="253"/>
        <v>0</v>
      </c>
      <c r="L3226" s="24">
        <f t="shared" si="254"/>
        <v>0</v>
      </c>
    </row>
    <row r="3227" spans="1:12" ht="15" customHeight="1" x14ac:dyDescent="0.3">
      <c r="A3227" s="23" t="s">
        <v>16275</v>
      </c>
      <c r="B3227" s="23" t="s">
        <v>77</v>
      </c>
      <c r="C3227" s="39">
        <v>1299</v>
      </c>
      <c r="D3227" s="24">
        <v>24.68</v>
      </c>
      <c r="E3227" s="24">
        <v>4.4400000000000004</v>
      </c>
      <c r="F3227" s="23">
        <f>COUNTIFS(mdr_rate_cleaned!$A$2:$A$10,B3227,mdr_rate_cleaned!$B$2:$B$10,"&lt;"&amp;C3227,mdr_rate_cleaned!$F$2:$F$10,"&gt;="&amp;C3227)</f>
        <v>1</v>
      </c>
      <c r="G3227" s="40">
        <f>SUMIFS(mdr_rate_cleaned!$G$2:$G$10,mdr_rate_cleaned!$A$2:$A$10,B3227,mdr_rate_cleaned!$B$2:$B$10,"&lt;"&amp;C3227,mdr_rate_cleaned!$F$2:$F$10,"&gt;="&amp;C3227)</f>
        <v>1.9E-2</v>
      </c>
      <c r="H3227" s="24">
        <f t="shared" si="250"/>
        <v>24.68</v>
      </c>
      <c r="I3227" s="23" t="str">
        <f t="shared" si="251"/>
        <v>Match</v>
      </c>
      <c r="J3227" s="23" t="str">
        <f t="shared" si="252"/>
        <v>Match</v>
      </c>
      <c r="K3227" s="24">
        <f t="shared" si="253"/>
        <v>4.4400000000000004</v>
      </c>
      <c r="L3227" s="24">
        <f t="shared" si="254"/>
        <v>0</v>
      </c>
    </row>
    <row r="3228" spans="1:12" ht="15" customHeight="1" x14ac:dyDescent="0.3">
      <c r="A3228" s="23" t="s">
        <v>16276</v>
      </c>
      <c r="B3228" s="23" t="s">
        <v>79</v>
      </c>
      <c r="C3228" s="39">
        <v>2097</v>
      </c>
      <c r="D3228" s="24">
        <v>33.549999999999997</v>
      </c>
      <c r="E3228" s="24">
        <v>6.04</v>
      </c>
      <c r="F3228" s="23">
        <f>COUNTIFS(mdr_rate_cleaned!$A$2:$A$10,B3228,mdr_rate_cleaned!$B$2:$B$10,"&lt;"&amp;C3228,mdr_rate_cleaned!$F$2:$F$10,"&gt;="&amp;C3228)</f>
        <v>1</v>
      </c>
      <c r="G3228" s="40">
        <f>SUMIFS(mdr_rate_cleaned!$G$2:$G$10,mdr_rate_cleaned!$A$2:$A$10,B3228,mdr_rate_cleaned!$B$2:$B$10,"&lt;"&amp;C3228,mdr_rate_cleaned!$F$2:$F$10,"&gt;="&amp;C3228)</f>
        <v>1.6E-2</v>
      </c>
      <c r="H3228" s="24">
        <f t="shared" si="250"/>
        <v>33.549999999999997</v>
      </c>
      <c r="I3228" s="23" t="str">
        <f t="shared" si="251"/>
        <v>Match</v>
      </c>
      <c r="J3228" s="23" t="str">
        <f t="shared" si="252"/>
        <v>Match</v>
      </c>
      <c r="K3228" s="24">
        <f t="shared" si="253"/>
        <v>6.04</v>
      </c>
      <c r="L3228" s="24">
        <f t="shared" si="254"/>
        <v>0</v>
      </c>
    </row>
    <row r="3229" spans="1:12" ht="15" customHeight="1" x14ac:dyDescent="0.3">
      <c r="A3229" s="23" t="s">
        <v>16277</v>
      </c>
      <c r="B3229" s="23" t="s">
        <v>79</v>
      </c>
      <c r="C3229" s="39">
        <v>2499</v>
      </c>
      <c r="D3229" s="24">
        <v>39.979999999999997</v>
      </c>
      <c r="E3229" s="24">
        <v>7.2</v>
      </c>
      <c r="F3229" s="23">
        <f>COUNTIFS(mdr_rate_cleaned!$A$2:$A$10,B3229,mdr_rate_cleaned!$B$2:$B$10,"&lt;"&amp;C3229,mdr_rate_cleaned!$F$2:$F$10,"&gt;="&amp;C3229)</f>
        <v>1</v>
      </c>
      <c r="G3229" s="40">
        <f>SUMIFS(mdr_rate_cleaned!$G$2:$G$10,mdr_rate_cleaned!$A$2:$A$10,B3229,mdr_rate_cleaned!$B$2:$B$10,"&lt;"&amp;C3229,mdr_rate_cleaned!$F$2:$F$10,"&gt;="&amp;C3229)</f>
        <v>1.6E-2</v>
      </c>
      <c r="H3229" s="24">
        <f t="shared" si="250"/>
        <v>39.979999999999997</v>
      </c>
      <c r="I3229" s="23" t="str">
        <f t="shared" si="251"/>
        <v>Match</v>
      </c>
      <c r="J3229" s="23" t="str">
        <f t="shared" si="252"/>
        <v>Match</v>
      </c>
      <c r="K3229" s="24">
        <f t="shared" si="253"/>
        <v>7.2</v>
      </c>
      <c r="L3229" s="24">
        <f t="shared" si="254"/>
        <v>0</v>
      </c>
    </row>
    <row r="3230" spans="1:12" ht="15" customHeight="1" x14ac:dyDescent="0.3">
      <c r="A3230" s="23" t="s">
        <v>16278</v>
      </c>
      <c r="B3230" s="23" t="s">
        <v>81</v>
      </c>
      <c r="C3230" s="39">
        <v>3498</v>
      </c>
      <c r="D3230" s="24">
        <v>41.98</v>
      </c>
      <c r="E3230" s="24">
        <v>7.56</v>
      </c>
      <c r="F3230" s="23">
        <f>COUNTIFS(mdr_rate_cleaned!$A$2:$A$10,B3230,mdr_rate_cleaned!$B$2:$B$10,"&lt;"&amp;C3230,mdr_rate_cleaned!$F$2:$F$10,"&gt;="&amp;C3230)</f>
        <v>1</v>
      </c>
      <c r="G3230" s="40">
        <f>SUMIFS(mdr_rate_cleaned!$G$2:$G$10,mdr_rate_cleaned!$A$2:$A$10,B3230,mdr_rate_cleaned!$B$2:$B$10,"&lt;"&amp;C3230,mdr_rate_cleaned!$F$2:$F$10,"&gt;="&amp;C3230)</f>
        <v>1.2E-2</v>
      </c>
      <c r="H3230" s="24">
        <f t="shared" si="250"/>
        <v>41.98</v>
      </c>
      <c r="I3230" s="23" t="str">
        <f t="shared" si="251"/>
        <v>Match</v>
      </c>
      <c r="J3230" s="23" t="str">
        <f t="shared" si="252"/>
        <v>Match</v>
      </c>
      <c r="K3230" s="24">
        <f t="shared" si="253"/>
        <v>7.56</v>
      </c>
      <c r="L3230" s="24">
        <f t="shared" si="254"/>
        <v>0</v>
      </c>
    </row>
    <row r="3231" spans="1:12" ht="15" customHeight="1" x14ac:dyDescent="0.3">
      <c r="A3231" s="23" t="s">
        <v>16279</v>
      </c>
      <c r="B3231" s="23" t="s">
        <v>75</v>
      </c>
      <c r="C3231" s="39">
        <v>599</v>
      </c>
      <c r="D3231" s="24">
        <v>0</v>
      </c>
      <c r="E3231" s="24">
        <v>0</v>
      </c>
      <c r="F3231" s="23">
        <f>COUNTIFS(mdr_rate_cleaned!$A$2:$A$10,B3231,mdr_rate_cleaned!$B$2:$B$10,"&lt;"&amp;C3231,mdr_rate_cleaned!$F$2:$F$10,"&gt;="&amp;C3231)</f>
        <v>1</v>
      </c>
      <c r="G3231" s="40">
        <f>SUMIFS(mdr_rate_cleaned!$G$2:$G$10,mdr_rate_cleaned!$A$2:$A$10,B3231,mdr_rate_cleaned!$B$2:$B$10,"&lt;"&amp;C3231,mdr_rate_cleaned!$F$2:$F$10,"&gt;="&amp;C3231)</f>
        <v>0</v>
      </c>
      <c r="H3231" s="24">
        <f t="shared" si="250"/>
        <v>0</v>
      </c>
      <c r="I3231" s="23" t="str">
        <f t="shared" si="251"/>
        <v>Match</v>
      </c>
      <c r="J3231" s="23" t="str">
        <f t="shared" si="252"/>
        <v>Match</v>
      </c>
      <c r="K3231" s="24">
        <f t="shared" si="253"/>
        <v>0</v>
      </c>
      <c r="L3231" s="24">
        <f t="shared" si="254"/>
        <v>0</v>
      </c>
    </row>
    <row r="3232" spans="1:12" ht="15" customHeight="1" x14ac:dyDescent="0.3">
      <c r="A3232" s="23" t="s">
        <v>16280</v>
      </c>
      <c r="B3232" s="23" t="s">
        <v>75</v>
      </c>
      <c r="C3232" s="39">
        <v>3597</v>
      </c>
      <c r="D3232" s="24">
        <v>10.79</v>
      </c>
      <c r="E3232" s="24">
        <v>1.94</v>
      </c>
      <c r="F3232" s="23">
        <f>COUNTIFS(mdr_rate_cleaned!$A$2:$A$10,B3232,mdr_rate_cleaned!$B$2:$B$10,"&lt;"&amp;C3232,mdr_rate_cleaned!$F$2:$F$10,"&gt;="&amp;C3232)</f>
        <v>1</v>
      </c>
      <c r="G3232" s="40">
        <f>SUMIFS(mdr_rate_cleaned!$G$2:$G$10,mdr_rate_cleaned!$A$2:$A$10,B3232,mdr_rate_cleaned!$B$2:$B$10,"&lt;"&amp;C3232,mdr_rate_cleaned!$F$2:$F$10,"&gt;="&amp;C3232)</f>
        <v>3.0000000000000001E-3</v>
      </c>
      <c r="H3232" s="24">
        <f t="shared" si="250"/>
        <v>10.79</v>
      </c>
      <c r="I3232" s="23" t="str">
        <f t="shared" si="251"/>
        <v>Match</v>
      </c>
      <c r="J3232" s="23" t="str">
        <f t="shared" si="252"/>
        <v>Match</v>
      </c>
      <c r="K3232" s="24">
        <f t="shared" si="253"/>
        <v>1.94</v>
      </c>
      <c r="L3232" s="24">
        <f t="shared" si="254"/>
        <v>0</v>
      </c>
    </row>
    <row r="3233" spans="1:12" ht="15" customHeight="1" x14ac:dyDescent="0.3">
      <c r="A3233" s="23" t="s">
        <v>16281</v>
      </c>
      <c r="B3233" s="23" t="s">
        <v>77</v>
      </c>
      <c r="C3233" s="39">
        <v>3298</v>
      </c>
      <c r="D3233" s="24">
        <v>56.07</v>
      </c>
      <c r="E3233" s="24">
        <v>10.09</v>
      </c>
      <c r="F3233" s="23">
        <f>COUNTIFS(mdr_rate_cleaned!$A$2:$A$10,B3233,mdr_rate_cleaned!$B$2:$B$10,"&lt;"&amp;C3233,mdr_rate_cleaned!$F$2:$F$10,"&gt;="&amp;C3233)</f>
        <v>1</v>
      </c>
      <c r="G3233" s="40">
        <f>SUMIFS(mdr_rate_cleaned!$G$2:$G$10,mdr_rate_cleaned!$A$2:$A$10,B3233,mdr_rate_cleaned!$B$2:$B$10,"&lt;"&amp;C3233,mdr_rate_cleaned!$F$2:$F$10,"&gt;="&amp;C3233)</f>
        <v>1.7000000000000001E-2</v>
      </c>
      <c r="H3233" s="24">
        <f t="shared" si="250"/>
        <v>56.07</v>
      </c>
      <c r="I3233" s="23" t="str">
        <f t="shared" si="251"/>
        <v>Match</v>
      </c>
      <c r="J3233" s="23" t="str">
        <f t="shared" si="252"/>
        <v>Match</v>
      </c>
      <c r="K3233" s="24">
        <f t="shared" si="253"/>
        <v>10.09</v>
      </c>
      <c r="L3233" s="24">
        <f t="shared" si="254"/>
        <v>0</v>
      </c>
    </row>
    <row r="3234" spans="1:12" ht="15" customHeight="1" x14ac:dyDescent="0.3">
      <c r="A3234" s="23" t="s">
        <v>16282</v>
      </c>
      <c r="B3234" s="23" t="s">
        <v>75</v>
      </c>
      <c r="C3234" s="39">
        <v>2499</v>
      </c>
      <c r="D3234" s="24">
        <v>7.5</v>
      </c>
      <c r="E3234" s="24">
        <v>1.35</v>
      </c>
      <c r="F3234" s="23">
        <f>COUNTIFS(mdr_rate_cleaned!$A$2:$A$10,B3234,mdr_rate_cleaned!$B$2:$B$10,"&lt;"&amp;C3234,mdr_rate_cleaned!$F$2:$F$10,"&gt;="&amp;C3234)</f>
        <v>1</v>
      </c>
      <c r="G3234" s="40">
        <f>SUMIFS(mdr_rate_cleaned!$G$2:$G$10,mdr_rate_cleaned!$A$2:$A$10,B3234,mdr_rate_cleaned!$B$2:$B$10,"&lt;"&amp;C3234,mdr_rate_cleaned!$F$2:$F$10,"&gt;="&amp;C3234)</f>
        <v>3.0000000000000001E-3</v>
      </c>
      <c r="H3234" s="24">
        <f t="shared" si="250"/>
        <v>7.5</v>
      </c>
      <c r="I3234" s="23" t="str">
        <f t="shared" si="251"/>
        <v>Match</v>
      </c>
      <c r="J3234" s="23" t="str">
        <f t="shared" si="252"/>
        <v>Match</v>
      </c>
      <c r="K3234" s="24">
        <f t="shared" si="253"/>
        <v>1.35</v>
      </c>
      <c r="L3234" s="24">
        <f t="shared" si="254"/>
        <v>0</v>
      </c>
    </row>
    <row r="3235" spans="1:12" ht="15" customHeight="1" x14ac:dyDescent="0.3">
      <c r="A3235" s="23" t="s">
        <v>16283</v>
      </c>
      <c r="B3235" s="23" t="s">
        <v>75</v>
      </c>
      <c r="C3235" s="39">
        <v>299</v>
      </c>
      <c r="D3235" s="24">
        <v>0</v>
      </c>
      <c r="E3235" s="24">
        <v>0</v>
      </c>
      <c r="F3235" s="23">
        <f>COUNTIFS(mdr_rate_cleaned!$A$2:$A$10,B3235,mdr_rate_cleaned!$B$2:$B$10,"&lt;"&amp;C3235,mdr_rate_cleaned!$F$2:$F$10,"&gt;="&amp;C3235)</f>
        <v>1</v>
      </c>
      <c r="G3235" s="40">
        <f>SUMIFS(mdr_rate_cleaned!$G$2:$G$10,mdr_rate_cleaned!$A$2:$A$10,B3235,mdr_rate_cleaned!$B$2:$B$10,"&lt;"&amp;C3235,mdr_rate_cleaned!$F$2:$F$10,"&gt;="&amp;C3235)</f>
        <v>0</v>
      </c>
      <c r="H3235" s="24">
        <f t="shared" si="250"/>
        <v>0</v>
      </c>
      <c r="I3235" s="23" t="str">
        <f t="shared" si="251"/>
        <v>Match</v>
      </c>
      <c r="J3235" s="23" t="str">
        <f t="shared" si="252"/>
        <v>Match</v>
      </c>
      <c r="K3235" s="24">
        <f t="shared" si="253"/>
        <v>0</v>
      </c>
      <c r="L3235" s="24">
        <f t="shared" si="254"/>
        <v>0</v>
      </c>
    </row>
    <row r="3236" spans="1:12" ht="15" customHeight="1" x14ac:dyDescent="0.3">
      <c r="A3236" s="23" t="s">
        <v>16284</v>
      </c>
      <c r="B3236" s="23" t="s">
        <v>75</v>
      </c>
      <c r="C3236" s="39">
        <v>599</v>
      </c>
      <c r="D3236" s="24">
        <v>0</v>
      </c>
      <c r="E3236" s="24">
        <v>0</v>
      </c>
      <c r="F3236" s="23">
        <f>COUNTIFS(mdr_rate_cleaned!$A$2:$A$10,B3236,mdr_rate_cleaned!$B$2:$B$10,"&lt;"&amp;C3236,mdr_rate_cleaned!$F$2:$F$10,"&gt;="&amp;C3236)</f>
        <v>1</v>
      </c>
      <c r="G3236" s="40">
        <f>SUMIFS(mdr_rate_cleaned!$G$2:$G$10,mdr_rate_cleaned!$A$2:$A$10,B3236,mdr_rate_cleaned!$B$2:$B$10,"&lt;"&amp;C3236,mdr_rate_cleaned!$F$2:$F$10,"&gt;="&amp;C3236)</f>
        <v>0</v>
      </c>
      <c r="H3236" s="24">
        <f t="shared" si="250"/>
        <v>0</v>
      </c>
      <c r="I3236" s="23" t="str">
        <f t="shared" si="251"/>
        <v>Match</v>
      </c>
      <c r="J3236" s="23" t="str">
        <f t="shared" si="252"/>
        <v>Match</v>
      </c>
      <c r="K3236" s="24">
        <f t="shared" si="253"/>
        <v>0</v>
      </c>
      <c r="L3236" s="24">
        <f t="shared" si="254"/>
        <v>0</v>
      </c>
    </row>
    <row r="3237" spans="1:12" ht="15" customHeight="1" x14ac:dyDescent="0.3">
      <c r="A3237" s="23" t="s">
        <v>16285</v>
      </c>
      <c r="B3237" s="23" t="s">
        <v>77</v>
      </c>
      <c r="C3237" s="39">
        <v>4098</v>
      </c>
      <c r="D3237" s="24">
        <v>69.67</v>
      </c>
      <c r="E3237" s="24">
        <v>12.54</v>
      </c>
      <c r="F3237" s="23">
        <f>COUNTIFS(mdr_rate_cleaned!$A$2:$A$10,B3237,mdr_rate_cleaned!$B$2:$B$10,"&lt;"&amp;C3237,mdr_rate_cleaned!$F$2:$F$10,"&gt;="&amp;C3237)</f>
        <v>1</v>
      </c>
      <c r="G3237" s="40">
        <f>SUMIFS(mdr_rate_cleaned!$G$2:$G$10,mdr_rate_cleaned!$A$2:$A$10,B3237,mdr_rate_cleaned!$B$2:$B$10,"&lt;"&amp;C3237,mdr_rate_cleaned!$F$2:$F$10,"&gt;="&amp;C3237)</f>
        <v>1.7000000000000001E-2</v>
      </c>
      <c r="H3237" s="24">
        <f t="shared" si="250"/>
        <v>69.67</v>
      </c>
      <c r="I3237" s="23" t="str">
        <f t="shared" si="251"/>
        <v>Match</v>
      </c>
      <c r="J3237" s="23" t="str">
        <f t="shared" si="252"/>
        <v>Match</v>
      </c>
      <c r="K3237" s="24">
        <f t="shared" si="253"/>
        <v>12.54</v>
      </c>
      <c r="L3237" s="24">
        <f t="shared" si="254"/>
        <v>0</v>
      </c>
    </row>
    <row r="3238" spans="1:12" ht="15" customHeight="1" x14ac:dyDescent="0.3">
      <c r="A3238" s="23" t="s">
        <v>16286</v>
      </c>
      <c r="B3238" s="23" t="s">
        <v>75</v>
      </c>
      <c r="C3238" s="39">
        <v>3998</v>
      </c>
      <c r="D3238" s="24">
        <v>11.99</v>
      </c>
      <c r="E3238" s="24">
        <v>2.16</v>
      </c>
      <c r="F3238" s="23">
        <f>COUNTIFS(mdr_rate_cleaned!$A$2:$A$10,B3238,mdr_rate_cleaned!$B$2:$B$10,"&lt;"&amp;C3238,mdr_rate_cleaned!$F$2:$F$10,"&gt;="&amp;C3238)</f>
        <v>1</v>
      </c>
      <c r="G3238" s="40">
        <f>SUMIFS(mdr_rate_cleaned!$G$2:$G$10,mdr_rate_cleaned!$A$2:$A$10,B3238,mdr_rate_cleaned!$B$2:$B$10,"&lt;"&amp;C3238,mdr_rate_cleaned!$F$2:$F$10,"&gt;="&amp;C3238)</f>
        <v>3.0000000000000001E-3</v>
      </c>
      <c r="H3238" s="24">
        <f t="shared" si="250"/>
        <v>11.99</v>
      </c>
      <c r="I3238" s="23" t="str">
        <f t="shared" si="251"/>
        <v>Match</v>
      </c>
      <c r="J3238" s="23" t="str">
        <f t="shared" si="252"/>
        <v>Match</v>
      </c>
      <c r="K3238" s="24">
        <f t="shared" si="253"/>
        <v>2.16</v>
      </c>
      <c r="L3238" s="24">
        <f t="shared" si="254"/>
        <v>0</v>
      </c>
    </row>
    <row r="3239" spans="1:12" ht="15" customHeight="1" x14ac:dyDescent="0.3">
      <c r="A3239" s="23" t="s">
        <v>16287</v>
      </c>
      <c r="B3239" s="23" t="s">
        <v>75</v>
      </c>
      <c r="C3239" s="39">
        <v>10998</v>
      </c>
      <c r="D3239" s="24">
        <v>32.99</v>
      </c>
      <c r="E3239" s="24">
        <v>5.94</v>
      </c>
      <c r="F3239" s="23">
        <f>COUNTIFS(mdr_rate_cleaned!$A$2:$A$10,B3239,mdr_rate_cleaned!$B$2:$B$10,"&lt;"&amp;C3239,mdr_rate_cleaned!$F$2:$F$10,"&gt;="&amp;C3239)</f>
        <v>1</v>
      </c>
      <c r="G3239" s="40">
        <f>SUMIFS(mdr_rate_cleaned!$G$2:$G$10,mdr_rate_cleaned!$A$2:$A$10,B3239,mdr_rate_cleaned!$B$2:$B$10,"&lt;"&amp;C3239,mdr_rate_cleaned!$F$2:$F$10,"&gt;="&amp;C3239)</f>
        <v>3.0000000000000001E-3</v>
      </c>
      <c r="H3239" s="24">
        <f t="shared" si="250"/>
        <v>32.99</v>
      </c>
      <c r="I3239" s="23" t="str">
        <f t="shared" si="251"/>
        <v>Match</v>
      </c>
      <c r="J3239" s="23" t="str">
        <f t="shared" si="252"/>
        <v>Match</v>
      </c>
      <c r="K3239" s="24">
        <f t="shared" si="253"/>
        <v>5.94</v>
      </c>
      <c r="L3239" s="24">
        <f t="shared" si="254"/>
        <v>0</v>
      </c>
    </row>
    <row r="3240" spans="1:12" ht="15" customHeight="1" x14ac:dyDescent="0.3">
      <c r="A3240" s="23" t="s">
        <v>16288</v>
      </c>
      <c r="B3240" s="23" t="s">
        <v>79</v>
      </c>
      <c r="C3240" s="39">
        <v>7999</v>
      </c>
      <c r="D3240" s="24">
        <v>127.98</v>
      </c>
      <c r="E3240" s="24">
        <v>23.04</v>
      </c>
      <c r="F3240" s="23">
        <f>COUNTIFS(mdr_rate_cleaned!$A$2:$A$10,B3240,mdr_rate_cleaned!$B$2:$B$10,"&lt;"&amp;C3240,mdr_rate_cleaned!$F$2:$F$10,"&gt;="&amp;C3240)</f>
        <v>1</v>
      </c>
      <c r="G3240" s="40">
        <f>SUMIFS(mdr_rate_cleaned!$G$2:$G$10,mdr_rate_cleaned!$A$2:$A$10,B3240,mdr_rate_cleaned!$B$2:$B$10,"&lt;"&amp;C3240,mdr_rate_cleaned!$F$2:$F$10,"&gt;="&amp;C3240)</f>
        <v>1.6E-2</v>
      </c>
      <c r="H3240" s="24">
        <f t="shared" si="250"/>
        <v>127.98</v>
      </c>
      <c r="I3240" s="23" t="str">
        <f t="shared" si="251"/>
        <v>Match</v>
      </c>
      <c r="J3240" s="23" t="str">
        <f t="shared" si="252"/>
        <v>Match</v>
      </c>
      <c r="K3240" s="24">
        <f t="shared" si="253"/>
        <v>23.04</v>
      </c>
      <c r="L3240" s="24">
        <f t="shared" si="254"/>
        <v>0</v>
      </c>
    </row>
    <row r="3241" spans="1:12" ht="15" customHeight="1" x14ac:dyDescent="0.3">
      <c r="A3241" s="23" t="s">
        <v>16289</v>
      </c>
      <c r="B3241" s="23" t="s">
        <v>75</v>
      </c>
      <c r="C3241" s="39">
        <v>4597</v>
      </c>
      <c r="D3241" s="24">
        <v>13.79</v>
      </c>
      <c r="E3241" s="24">
        <v>2.48</v>
      </c>
      <c r="F3241" s="23">
        <f>COUNTIFS(mdr_rate_cleaned!$A$2:$A$10,B3241,mdr_rate_cleaned!$B$2:$B$10,"&lt;"&amp;C3241,mdr_rate_cleaned!$F$2:$F$10,"&gt;="&amp;C3241)</f>
        <v>1</v>
      </c>
      <c r="G3241" s="40">
        <f>SUMIFS(mdr_rate_cleaned!$G$2:$G$10,mdr_rate_cleaned!$A$2:$A$10,B3241,mdr_rate_cleaned!$B$2:$B$10,"&lt;"&amp;C3241,mdr_rate_cleaned!$F$2:$F$10,"&gt;="&amp;C3241)</f>
        <v>3.0000000000000001E-3</v>
      </c>
      <c r="H3241" s="24">
        <f t="shared" si="250"/>
        <v>13.79</v>
      </c>
      <c r="I3241" s="23" t="str">
        <f t="shared" si="251"/>
        <v>Match</v>
      </c>
      <c r="J3241" s="23" t="str">
        <f t="shared" si="252"/>
        <v>Match</v>
      </c>
      <c r="K3241" s="24">
        <f t="shared" si="253"/>
        <v>2.48</v>
      </c>
      <c r="L3241" s="24">
        <f t="shared" si="254"/>
        <v>0</v>
      </c>
    </row>
    <row r="3242" spans="1:12" ht="15" customHeight="1" x14ac:dyDescent="0.3">
      <c r="A3242" s="23" t="s">
        <v>16290</v>
      </c>
      <c r="B3242" s="23" t="s">
        <v>75</v>
      </c>
      <c r="C3242" s="39">
        <v>499</v>
      </c>
      <c r="D3242" s="24">
        <v>0</v>
      </c>
      <c r="E3242" s="24">
        <v>0</v>
      </c>
      <c r="F3242" s="23">
        <f>COUNTIFS(mdr_rate_cleaned!$A$2:$A$10,B3242,mdr_rate_cleaned!$B$2:$B$10,"&lt;"&amp;C3242,mdr_rate_cleaned!$F$2:$F$10,"&gt;="&amp;C3242)</f>
        <v>1</v>
      </c>
      <c r="G3242" s="40">
        <f>SUMIFS(mdr_rate_cleaned!$G$2:$G$10,mdr_rate_cleaned!$A$2:$A$10,B3242,mdr_rate_cleaned!$B$2:$B$10,"&lt;"&amp;C3242,mdr_rate_cleaned!$F$2:$F$10,"&gt;="&amp;C3242)</f>
        <v>0</v>
      </c>
      <c r="H3242" s="24">
        <f t="shared" si="250"/>
        <v>0</v>
      </c>
      <c r="I3242" s="23" t="str">
        <f t="shared" si="251"/>
        <v>Match</v>
      </c>
      <c r="J3242" s="23" t="str">
        <f t="shared" si="252"/>
        <v>Match</v>
      </c>
      <c r="K3242" s="24">
        <f t="shared" si="253"/>
        <v>0</v>
      </c>
      <c r="L3242" s="24">
        <f t="shared" si="254"/>
        <v>0</v>
      </c>
    </row>
    <row r="3243" spans="1:12" ht="15" customHeight="1" x14ac:dyDescent="0.3">
      <c r="A3243" s="23" t="s">
        <v>16291</v>
      </c>
      <c r="B3243" s="23" t="s">
        <v>77</v>
      </c>
      <c r="C3243" s="39">
        <v>4998</v>
      </c>
      <c r="D3243" s="24">
        <v>84.97</v>
      </c>
      <c r="E3243" s="24">
        <v>15.29</v>
      </c>
      <c r="F3243" s="23">
        <f>COUNTIFS(mdr_rate_cleaned!$A$2:$A$10,B3243,mdr_rate_cleaned!$B$2:$B$10,"&lt;"&amp;C3243,mdr_rate_cleaned!$F$2:$F$10,"&gt;="&amp;C3243)</f>
        <v>1</v>
      </c>
      <c r="G3243" s="40">
        <f>SUMIFS(mdr_rate_cleaned!$G$2:$G$10,mdr_rate_cleaned!$A$2:$A$10,B3243,mdr_rate_cleaned!$B$2:$B$10,"&lt;"&amp;C3243,mdr_rate_cleaned!$F$2:$F$10,"&gt;="&amp;C3243)</f>
        <v>1.7000000000000001E-2</v>
      </c>
      <c r="H3243" s="24">
        <f t="shared" si="250"/>
        <v>84.97</v>
      </c>
      <c r="I3243" s="23" t="str">
        <f t="shared" si="251"/>
        <v>Match</v>
      </c>
      <c r="J3243" s="23" t="str">
        <f t="shared" si="252"/>
        <v>Match</v>
      </c>
      <c r="K3243" s="24">
        <f t="shared" si="253"/>
        <v>15.29</v>
      </c>
      <c r="L3243" s="24">
        <f t="shared" si="254"/>
        <v>0</v>
      </c>
    </row>
    <row r="3244" spans="1:12" ht="15" customHeight="1" x14ac:dyDescent="0.3">
      <c r="A3244" s="23" t="s">
        <v>16292</v>
      </c>
      <c r="B3244" s="23" t="s">
        <v>75</v>
      </c>
      <c r="C3244" s="39">
        <v>5998</v>
      </c>
      <c r="D3244" s="24">
        <v>17.989999999999998</v>
      </c>
      <c r="E3244" s="24">
        <v>3.24</v>
      </c>
      <c r="F3244" s="23">
        <f>COUNTIFS(mdr_rate_cleaned!$A$2:$A$10,B3244,mdr_rate_cleaned!$B$2:$B$10,"&lt;"&amp;C3244,mdr_rate_cleaned!$F$2:$F$10,"&gt;="&amp;C3244)</f>
        <v>1</v>
      </c>
      <c r="G3244" s="40">
        <f>SUMIFS(mdr_rate_cleaned!$G$2:$G$10,mdr_rate_cleaned!$A$2:$A$10,B3244,mdr_rate_cleaned!$B$2:$B$10,"&lt;"&amp;C3244,mdr_rate_cleaned!$F$2:$F$10,"&gt;="&amp;C3244)</f>
        <v>3.0000000000000001E-3</v>
      </c>
      <c r="H3244" s="24">
        <f t="shared" si="250"/>
        <v>17.989999999999998</v>
      </c>
      <c r="I3244" s="23" t="str">
        <f t="shared" si="251"/>
        <v>Match</v>
      </c>
      <c r="J3244" s="23" t="str">
        <f t="shared" si="252"/>
        <v>Match</v>
      </c>
      <c r="K3244" s="24">
        <f t="shared" si="253"/>
        <v>3.24</v>
      </c>
      <c r="L3244" s="24">
        <f t="shared" si="254"/>
        <v>0</v>
      </c>
    </row>
    <row r="3245" spans="1:12" ht="15" customHeight="1" x14ac:dyDescent="0.3">
      <c r="A3245" s="23" t="s">
        <v>16293</v>
      </c>
      <c r="B3245" s="23" t="s">
        <v>77</v>
      </c>
      <c r="C3245" s="39">
        <v>2999</v>
      </c>
      <c r="D3245" s="24">
        <v>71.98</v>
      </c>
      <c r="E3245" s="24">
        <v>12.96</v>
      </c>
      <c r="F3245" s="23">
        <f>COUNTIFS(mdr_rate_cleaned!$A$2:$A$10,B3245,mdr_rate_cleaned!$B$2:$B$10,"&lt;"&amp;C3245,mdr_rate_cleaned!$F$2:$F$10,"&gt;="&amp;C3245)</f>
        <v>1</v>
      </c>
      <c r="G3245" s="40">
        <f>SUMIFS(mdr_rate_cleaned!$G$2:$G$10,mdr_rate_cleaned!$A$2:$A$10,B3245,mdr_rate_cleaned!$B$2:$B$10,"&lt;"&amp;C3245,mdr_rate_cleaned!$F$2:$F$10,"&gt;="&amp;C3245)</f>
        <v>1.7000000000000001E-2</v>
      </c>
      <c r="H3245" s="24">
        <f t="shared" si="250"/>
        <v>50.98</v>
      </c>
      <c r="I3245" s="23" t="str">
        <f t="shared" si="251"/>
        <v>Differs</v>
      </c>
      <c r="J3245" s="23" t="str">
        <f t="shared" si="252"/>
        <v>Match</v>
      </c>
      <c r="K3245" s="24">
        <f t="shared" si="253"/>
        <v>9.18</v>
      </c>
      <c r="L3245" s="24">
        <f t="shared" si="254"/>
        <v>24.78</v>
      </c>
    </row>
    <row r="3246" spans="1:12" ht="15" customHeight="1" x14ac:dyDescent="0.3">
      <c r="A3246" s="23" t="s">
        <v>16294</v>
      </c>
      <c r="B3246" s="23" t="s">
        <v>77</v>
      </c>
      <c r="C3246" s="39">
        <v>3798</v>
      </c>
      <c r="D3246" s="24">
        <v>91.15</v>
      </c>
      <c r="E3246" s="24">
        <v>16.41</v>
      </c>
      <c r="F3246" s="23">
        <f>COUNTIFS(mdr_rate_cleaned!$A$2:$A$10,B3246,mdr_rate_cleaned!$B$2:$B$10,"&lt;"&amp;C3246,mdr_rate_cleaned!$F$2:$F$10,"&gt;="&amp;C3246)</f>
        <v>1</v>
      </c>
      <c r="G3246" s="40">
        <f>SUMIFS(mdr_rate_cleaned!$G$2:$G$10,mdr_rate_cleaned!$A$2:$A$10,B3246,mdr_rate_cleaned!$B$2:$B$10,"&lt;"&amp;C3246,mdr_rate_cleaned!$F$2:$F$10,"&gt;="&amp;C3246)</f>
        <v>1.7000000000000001E-2</v>
      </c>
      <c r="H3246" s="24">
        <f t="shared" si="250"/>
        <v>64.569999999999993</v>
      </c>
      <c r="I3246" s="23" t="str">
        <f t="shared" si="251"/>
        <v>Differs</v>
      </c>
      <c r="J3246" s="23" t="str">
        <f t="shared" si="252"/>
        <v>Match</v>
      </c>
      <c r="K3246" s="24">
        <f t="shared" si="253"/>
        <v>11.62</v>
      </c>
      <c r="L3246" s="24">
        <f t="shared" si="254"/>
        <v>31.37</v>
      </c>
    </row>
    <row r="3247" spans="1:12" ht="15" customHeight="1" x14ac:dyDescent="0.3">
      <c r="A3247" s="23" t="s">
        <v>16295</v>
      </c>
      <c r="B3247" s="23" t="s">
        <v>75</v>
      </c>
      <c r="C3247" s="39">
        <v>2999</v>
      </c>
      <c r="D3247" s="24">
        <v>9</v>
      </c>
      <c r="E3247" s="24">
        <v>1.62</v>
      </c>
      <c r="F3247" s="23">
        <f>COUNTIFS(mdr_rate_cleaned!$A$2:$A$10,B3247,mdr_rate_cleaned!$B$2:$B$10,"&lt;"&amp;C3247,mdr_rate_cleaned!$F$2:$F$10,"&gt;="&amp;C3247)</f>
        <v>1</v>
      </c>
      <c r="G3247" s="40">
        <f>SUMIFS(mdr_rate_cleaned!$G$2:$G$10,mdr_rate_cleaned!$A$2:$A$10,B3247,mdr_rate_cleaned!$B$2:$B$10,"&lt;"&amp;C3247,mdr_rate_cleaned!$F$2:$F$10,"&gt;="&amp;C3247)</f>
        <v>3.0000000000000001E-3</v>
      </c>
      <c r="H3247" s="24">
        <f t="shared" si="250"/>
        <v>9</v>
      </c>
      <c r="I3247" s="23" t="str">
        <f t="shared" si="251"/>
        <v>Match</v>
      </c>
      <c r="J3247" s="23" t="str">
        <f t="shared" si="252"/>
        <v>Match</v>
      </c>
      <c r="K3247" s="24">
        <f t="shared" si="253"/>
        <v>1.62</v>
      </c>
      <c r="L3247" s="24">
        <f t="shared" si="254"/>
        <v>0</v>
      </c>
    </row>
    <row r="3248" spans="1:12" ht="15" customHeight="1" x14ac:dyDescent="0.3">
      <c r="A3248" s="23" t="s">
        <v>16296</v>
      </c>
      <c r="B3248" s="23" t="s">
        <v>79</v>
      </c>
      <c r="C3248" s="39">
        <v>9297</v>
      </c>
      <c r="D3248" s="24">
        <v>148.75</v>
      </c>
      <c r="E3248" s="24">
        <v>26.78</v>
      </c>
      <c r="F3248" s="23">
        <f>COUNTIFS(mdr_rate_cleaned!$A$2:$A$10,B3248,mdr_rate_cleaned!$B$2:$B$10,"&lt;"&amp;C3248,mdr_rate_cleaned!$F$2:$F$10,"&gt;="&amp;C3248)</f>
        <v>1</v>
      </c>
      <c r="G3248" s="40">
        <f>SUMIFS(mdr_rate_cleaned!$G$2:$G$10,mdr_rate_cleaned!$A$2:$A$10,B3248,mdr_rate_cleaned!$B$2:$B$10,"&lt;"&amp;C3248,mdr_rate_cleaned!$F$2:$F$10,"&gt;="&amp;C3248)</f>
        <v>1.6E-2</v>
      </c>
      <c r="H3248" s="24">
        <f t="shared" si="250"/>
        <v>148.75</v>
      </c>
      <c r="I3248" s="23" t="str">
        <f t="shared" si="251"/>
        <v>Match</v>
      </c>
      <c r="J3248" s="23" t="str">
        <f t="shared" si="252"/>
        <v>Match</v>
      </c>
      <c r="K3248" s="24">
        <f t="shared" si="253"/>
        <v>26.78</v>
      </c>
      <c r="L3248" s="24">
        <f t="shared" si="254"/>
        <v>0</v>
      </c>
    </row>
    <row r="3249" spans="1:12" ht="15" customHeight="1" x14ac:dyDescent="0.3">
      <c r="A3249" s="23" t="s">
        <v>16297</v>
      </c>
      <c r="B3249" s="23" t="s">
        <v>79</v>
      </c>
      <c r="C3249" s="39">
        <v>8348</v>
      </c>
      <c r="D3249" s="24">
        <v>133.57</v>
      </c>
      <c r="E3249" s="24">
        <v>24.04</v>
      </c>
      <c r="F3249" s="23">
        <f>COUNTIFS(mdr_rate_cleaned!$A$2:$A$10,B3249,mdr_rate_cleaned!$B$2:$B$10,"&lt;"&amp;C3249,mdr_rate_cleaned!$F$2:$F$10,"&gt;="&amp;C3249)</f>
        <v>1</v>
      </c>
      <c r="G3249" s="40">
        <f>SUMIFS(mdr_rate_cleaned!$G$2:$G$10,mdr_rate_cleaned!$A$2:$A$10,B3249,mdr_rate_cleaned!$B$2:$B$10,"&lt;"&amp;C3249,mdr_rate_cleaned!$F$2:$F$10,"&gt;="&amp;C3249)</f>
        <v>1.6E-2</v>
      </c>
      <c r="H3249" s="24">
        <f t="shared" si="250"/>
        <v>133.57</v>
      </c>
      <c r="I3249" s="23" t="str">
        <f t="shared" si="251"/>
        <v>Match</v>
      </c>
      <c r="J3249" s="23" t="str">
        <f t="shared" si="252"/>
        <v>Match</v>
      </c>
      <c r="K3249" s="24">
        <f t="shared" si="253"/>
        <v>24.04</v>
      </c>
      <c r="L3249" s="24">
        <f t="shared" si="254"/>
        <v>0</v>
      </c>
    </row>
    <row r="3250" spans="1:12" ht="15" customHeight="1" x14ac:dyDescent="0.3">
      <c r="A3250" s="23" t="s">
        <v>16298</v>
      </c>
      <c r="B3250" s="23" t="s">
        <v>75</v>
      </c>
      <c r="C3250" s="39">
        <v>11497</v>
      </c>
      <c r="D3250" s="24">
        <v>34.49</v>
      </c>
      <c r="E3250" s="24">
        <v>6.21</v>
      </c>
      <c r="F3250" s="23">
        <f>COUNTIFS(mdr_rate_cleaned!$A$2:$A$10,B3250,mdr_rate_cleaned!$B$2:$B$10,"&lt;"&amp;C3250,mdr_rate_cleaned!$F$2:$F$10,"&gt;="&amp;C3250)</f>
        <v>1</v>
      </c>
      <c r="G3250" s="40">
        <f>SUMIFS(mdr_rate_cleaned!$G$2:$G$10,mdr_rate_cleaned!$A$2:$A$10,B3250,mdr_rate_cleaned!$B$2:$B$10,"&lt;"&amp;C3250,mdr_rate_cleaned!$F$2:$F$10,"&gt;="&amp;C3250)</f>
        <v>3.0000000000000001E-3</v>
      </c>
      <c r="H3250" s="24">
        <f t="shared" si="250"/>
        <v>34.49</v>
      </c>
      <c r="I3250" s="23" t="str">
        <f t="shared" si="251"/>
        <v>Match</v>
      </c>
      <c r="J3250" s="23" t="str">
        <f t="shared" si="252"/>
        <v>Match</v>
      </c>
      <c r="K3250" s="24">
        <f t="shared" si="253"/>
        <v>6.21</v>
      </c>
      <c r="L3250" s="24">
        <f t="shared" si="254"/>
        <v>0</v>
      </c>
    </row>
    <row r="3251" spans="1:12" ht="15" customHeight="1" x14ac:dyDescent="0.3">
      <c r="A3251" s="23" t="s">
        <v>16299</v>
      </c>
      <c r="B3251" s="23" t="s">
        <v>75</v>
      </c>
      <c r="C3251" s="39">
        <v>2499</v>
      </c>
      <c r="D3251" s="24">
        <v>7.5</v>
      </c>
      <c r="E3251" s="24">
        <v>1.35</v>
      </c>
      <c r="F3251" s="23">
        <f>COUNTIFS(mdr_rate_cleaned!$A$2:$A$10,B3251,mdr_rate_cleaned!$B$2:$B$10,"&lt;"&amp;C3251,mdr_rate_cleaned!$F$2:$F$10,"&gt;="&amp;C3251)</f>
        <v>1</v>
      </c>
      <c r="G3251" s="40">
        <f>SUMIFS(mdr_rate_cleaned!$G$2:$G$10,mdr_rate_cleaned!$A$2:$A$10,B3251,mdr_rate_cleaned!$B$2:$B$10,"&lt;"&amp;C3251,mdr_rate_cleaned!$F$2:$F$10,"&gt;="&amp;C3251)</f>
        <v>3.0000000000000001E-3</v>
      </c>
      <c r="H3251" s="24">
        <f t="shared" si="250"/>
        <v>7.5</v>
      </c>
      <c r="I3251" s="23" t="str">
        <f t="shared" si="251"/>
        <v>Match</v>
      </c>
      <c r="J3251" s="23" t="str">
        <f t="shared" si="252"/>
        <v>Match</v>
      </c>
      <c r="K3251" s="24">
        <f t="shared" si="253"/>
        <v>1.35</v>
      </c>
      <c r="L3251" s="24">
        <f t="shared" si="254"/>
        <v>0</v>
      </c>
    </row>
    <row r="3252" spans="1:12" ht="15" customHeight="1" x14ac:dyDescent="0.3">
      <c r="A3252" s="23" t="s">
        <v>16300</v>
      </c>
      <c r="B3252" s="23" t="s">
        <v>75</v>
      </c>
      <c r="C3252" s="39">
        <v>3499</v>
      </c>
      <c r="D3252" s="24">
        <v>10.5</v>
      </c>
      <c r="E3252" s="24">
        <v>1.89</v>
      </c>
      <c r="F3252" s="23">
        <f>COUNTIFS(mdr_rate_cleaned!$A$2:$A$10,B3252,mdr_rate_cleaned!$B$2:$B$10,"&lt;"&amp;C3252,mdr_rate_cleaned!$F$2:$F$10,"&gt;="&amp;C3252)</f>
        <v>1</v>
      </c>
      <c r="G3252" s="40">
        <f>SUMIFS(mdr_rate_cleaned!$G$2:$G$10,mdr_rate_cleaned!$A$2:$A$10,B3252,mdr_rate_cleaned!$B$2:$B$10,"&lt;"&amp;C3252,mdr_rate_cleaned!$F$2:$F$10,"&gt;="&amp;C3252)</f>
        <v>3.0000000000000001E-3</v>
      </c>
      <c r="H3252" s="24">
        <f t="shared" si="250"/>
        <v>10.5</v>
      </c>
      <c r="I3252" s="23" t="str">
        <f t="shared" si="251"/>
        <v>Match</v>
      </c>
      <c r="J3252" s="23" t="str">
        <f t="shared" si="252"/>
        <v>Match</v>
      </c>
      <c r="K3252" s="24">
        <f t="shared" si="253"/>
        <v>1.89</v>
      </c>
      <c r="L3252" s="24">
        <f t="shared" si="254"/>
        <v>0</v>
      </c>
    </row>
    <row r="3253" spans="1:12" ht="15" customHeight="1" x14ac:dyDescent="0.3">
      <c r="A3253" s="23" t="s">
        <v>16301</v>
      </c>
      <c r="B3253" s="23" t="s">
        <v>79</v>
      </c>
      <c r="C3253" s="39">
        <v>4999</v>
      </c>
      <c r="D3253" s="24">
        <v>79.98</v>
      </c>
      <c r="E3253" s="24">
        <v>14.4</v>
      </c>
      <c r="F3253" s="23">
        <f>COUNTIFS(mdr_rate_cleaned!$A$2:$A$10,B3253,mdr_rate_cleaned!$B$2:$B$10,"&lt;"&amp;C3253,mdr_rate_cleaned!$F$2:$F$10,"&gt;="&amp;C3253)</f>
        <v>1</v>
      </c>
      <c r="G3253" s="40">
        <f>SUMIFS(mdr_rate_cleaned!$G$2:$G$10,mdr_rate_cleaned!$A$2:$A$10,B3253,mdr_rate_cleaned!$B$2:$B$10,"&lt;"&amp;C3253,mdr_rate_cleaned!$F$2:$F$10,"&gt;="&amp;C3253)</f>
        <v>1.6E-2</v>
      </c>
      <c r="H3253" s="24">
        <f t="shared" si="250"/>
        <v>79.98</v>
      </c>
      <c r="I3253" s="23" t="str">
        <f t="shared" si="251"/>
        <v>Match</v>
      </c>
      <c r="J3253" s="23" t="str">
        <f t="shared" si="252"/>
        <v>Match</v>
      </c>
      <c r="K3253" s="24">
        <f t="shared" si="253"/>
        <v>14.4</v>
      </c>
      <c r="L3253" s="24">
        <f t="shared" si="254"/>
        <v>0</v>
      </c>
    </row>
    <row r="3254" spans="1:12" ht="15" customHeight="1" x14ac:dyDescent="0.3">
      <c r="A3254" s="23" t="s">
        <v>16303</v>
      </c>
      <c r="B3254" s="23" t="s">
        <v>75</v>
      </c>
      <c r="C3254" s="39">
        <v>4597</v>
      </c>
      <c r="D3254" s="24">
        <v>13.79</v>
      </c>
      <c r="E3254" s="24">
        <v>2.48</v>
      </c>
      <c r="F3254" s="23">
        <f>COUNTIFS(mdr_rate_cleaned!$A$2:$A$10,B3254,mdr_rate_cleaned!$B$2:$B$10,"&lt;"&amp;C3254,mdr_rate_cleaned!$F$2:$F$10,"&gt;="&amp;C3254)</f>
        <v>1</v>
      </c>
      <c r="G3254" s="40">
        <f>SUMIFS(mdr_rate_cleaned!$G$2:$G$10,mdr_rate_cleaned!$A$2:$A$10,B3254,mdr_rate_cleaned!$B$2:$B$10,"&lt;"&amp;C3254,mdr_rate_cleaned!$F$2:$F$10,"&gt;="&amp;C3254)</f>
        <v>3.0000000000000001E-3</v>
      </c>
      <c r="H3254" s="24">
        <f t="shared" si="250"/>
        <v>13.79</v>
      </c>
      <c r="I3254" s="23" t="str">
        <f t="shared" si="251"/>
        <v>Match</v>
      </c>
      <c r="J3254" s="23" t="str">
        <f t="shared" si="252"/>
        <v>Match</v>
      </c>
      <c r="K3254" s="24">
        <f t="shared" si="253"/>
        <v>2.48</v>
      </c>
      <c r="L3254" s="24">
        <f t="shared" si="254"/>
        <v>0</v>
      </c>
    </row>
    <row r="3255" spans="1:12" ht="15" customHeight="1" x14ac:dyDescent="0.3">
      <c r="A3255" s="23" t="s">
        <v>16304</v>
      </c>
      <c r="B3255" s="23" t="s">
        <v>75</v>
      </c>
      <c r="C3255" s="39">
        <v>1798</v>
      </c>
      <c r="D3255" s="24">
        <v>0</v>
      </c>
      <c r="E3255" s="24">
        <v>0</v>
      </c>
      <c r="F3255" s="23">
        <f>COUNTIFS(mdr_rate_cleaned!$A$2:$A$10,B3255,mdr_rate_cleaned!$B$2:$B$10,"&lt;"&amp;C3255,mdr_rate_cleaned!$F$2:$F$10,"&gt;="&amp;C3255)</f>
        <v>1</v>
      </c>
      <c r="G3255" s="40">
        <f>SUMIFS(mdr_rate_cleaned!$G$2:$G$10,mdr_rate_cleaned!$A$2:$A$10,B3255,mdr_rate_cleaned!$B$2:$B$10,"&lt;"&amp;C3255,mdr_rate_cleaned!$F$2:$F$10,"&gt;="&amp;C3255)</f>
        <v>0</v>
      </c>
      <c r="H3255" s="24">
        <f t="shared" si="250"/>
        <v>0</v>
      </c>
      <c r="I3255" s="23" t="str">
        <f t="shared" si="251"/>
        <v>Match</v>
      </c>
      <c r="J3255" s="23" t="str">
        <f t="shared" si="252"/>
        <v>Match</v>
      </c>
      <c r="K3255" s="24">
        <f t="shared" si="253"/>
        <v>0</v>
      </c>
      <c r="L3255" s="24">
        <f t="shared" si="254"/>
        <v>0</v>
      </c>
    </row>
    <row r="3256" spans="1:12" ht="15" customHeight="1" x14ac:dyDescent="0.3">
      <c r="A3256" s="23" t="s">
        <v>16305</v>
      </c>
      <c r="B3256" s="23" t="s">
        <v>75</v>
      </c>
      <c r="C3256" s="39">
        <v>1798</v>
      </c>
      <c r="D3256" s="24">
        <v>0</v>
      </c>
      <c r="E3256" s="24">
        <v>0</v>
      </c>
      <c r="F3256" s="23">
        <f>COUNTIFS(mdr_rate_cleaned!$A$2:$A$10,B3256,mdr_rate_cleaned!$B$2:$B$10,"&lt;"&amp;C3256,mdr_rate_cleaned!$F$2:$F$10,"&gt;="&amp;C3256)</f>
        <v>1</v>
      </c>
      <c r="G3256" s="40">
        <f>SUMIFS(mdr_rate_cleaned!$G$2:$G$10,mdr_rate_cleaned!$A$2:$A$10,B3256,mdr_rate_cleaned!$B$2:$B$10,"&lt;"&amp;C3256,mdr_rate_cleaned!$F$2:$F$10,"&gt;="&amp;C3256)</f>
        <v>0</v>
      </c>
      <c r="H3256" s="24">
        <f t="shared" si="250"/>
        <v>0</v>
      </c>
      <c r="I3256" s="23" t="str">
        <f t="shared" si="251"/>
        <v>Match</v>
      </c>
      <c r="J3256" s="23" t="str">
        <f t="shared" si="252"/>
        <v>Match</v>
      </c>
      <c r="K3256" s="24">
        <f t="shared" si="253"/>
        <v>0</v>
      </c>
      <c r="L3256" s="24">
        <f t="shared" si="254"/>
        <v>0</v>
      </c>
    </row>
    <row r="3257" spans="1:12" ht="15" customHeight="1" x14ac:dyDescent="0.3">
      <c r="A3257" s="23" t="s">
        <v>16306</v>
      </c>
      <c r="B3257" s="23" t="s">
        <v>79</v>
      </c>
      <c r="C3257" s="39">
        <v>13597</v>
      </c>
      <c r="D3257" s="24">
        <v>217.55</v>
      </c>
      <c r="E3257" s="24">
        <v>39.159999999999997</v>
      </c>
      <c r="F3257" s="23">
        <f>COUNTIFS(mdr_rate_cleaned!$A$2:$A$10,B3257,mdr_rate_cleaned!$B$2:$B$10,"&lt;"&amp;C3257,mdr_rate_cleaned!$F$2:$F$10,"&gt;="&amp;C3257)</f>
        <v>1</v>
      </c>
      <c r="G3257" s="40">
        <f>SUMIFS(mdr_rate_cleaned!$G$2:$G$10,mdr_rate_cleaned!$A$2:$A$10,B3257,mdr_rate_cleaned!$B$2:$B$10,"&lt;"&amp;C3257,mdr_rate_cleaned!$F$2:$F$10,"&gt;="&amp;C3257)</f>
        <v>1.6E-2</v>
      </c>
      <c r="H3257" s="24">
        <f t="shared" si="250"/>
        <v>217.55</v>
      </c>
      <c r="I3257" s="23" t="str">
        <f t="shared" si="251"/>
        <v>Match</v>
      </c>
      <c r="J3257" s="23" t="str">
        <f t="shared" si="252"/>
        <v>Match</v>
      </c>
      <c r="K3257" s="24">
        <f t="shared" si="253"/>
        <v>39.159999999999997</v>
      </c>
      <c r="L3257" s="24">
        <f t="shared" si="254"/>
        <v>0</v>
      </c>
    </row>
    <row r="3258" spans="1:12" ht="15" customHeight="1" x14ac:dyDescent="0.3">
      <c r="A3258" s="23" t="s">
        <v>16307</v>
      </c>
      <c r="B3258" s="23" t="s">
        <v>75</v>
      </c>
      <c r="C3258" s="39">
        <v>1299</v>
      </c>
      <c r="D3258" s="24">
        <v>0</v>
      </c>
      <c r="E3258" s="24">
        <v>0</v>
      </c>
      <c r="F3258" s="23">
        <f>COUNTIFS(mdr_rate_cleaned!$A$2:$A$10,B3258,mdr_rate_cleaned!$B$2:$B$10,"&lt;"&amp;C3258,mdr_rate_cleaned!$F$2:$F$10,"&gt;="&amp;C3258)</f>
        <v>1</v>
      </c>
      <c r="G3258" s="40">
        <f>SUMIFS(mdr_rate_cleaned!$G$2:$G$10,mdr_rate_cleaned!$A$2:$A$10,B3258,mdr_rate_cleaned!$B$2:$B$10,"&lt;"&amp;C3258,mdr_rate_cleaned!$F$2:$F$10,"&gt;="&amp;C3258)</f>
        <v>0</v>
      </c>
      <c r="H3258" s="24">
        <f t="shared" si="250"/>
        <v>0</v>
      </c>
      <c r="I3258" s="23" t="str">
        <f t="shared" si="251"/>
        <v>Match</v>
      </c>
      <c r="J3258" s="23" t="str">
        <f t="shared" si="252"/>
        <v>Match</v>
      </c>
      <c r="K3258" s="24">
        <f t="shared" si="253"/>
        <v>0</v>
      </c>
      <c r="L3258" s="24">
        <f t="shared" si="254"/>
        <v>0</v>
      </c>
    </row>
    <row r="3259" spans="1:12" ht="15" customHeight="1" x14ac:dyDescent="0.3">
      <c r="A3259" s="23" t="s">
        <v>16308</v>
      </c>
      <c r="B3259" s="23" t="s">
        <v>77</v>
      </c>
      <c r="C3259" s="39">
        <v>6797</v>
      </c>
      <c r="D3259" s="24">
        <v>115.55</v>
      </c>
      <c r="E3259" s="24">
        <v>20.8</v>
      </c>
      <c r="F3259" s="23">
        <f>COUNTIFS(mdr_rate_cleaned!$A$2:$A$10,B3259,mdr_rate_cleaned!$B$2:$B$10,"&lt;"&amp;C3259,mdr_rate_cleaned!$F$2:$F$10,"&gt;="&amp;C3259)</f>
        <v>1</v>
      </c>
      <c r="G3259" s="40">
        <f>SUMIFS(mdr_rate_cleaned!$G$2:$G$10,mdr_rate_cleaned!$A$2:$A$10,B3259,mdr_rate_cleaned!$B$2:$B$10,"&lt;"&amp;C3259,mdr_rate_cleaned!$F$2:$F$10,"&gt;="&amp;C3259)</f>
        <v>1.7000000000000001E-2</v>
      </c>
      <c r="H3259" s="24">
        <f t="shared" si="250"/>
        <v>115.55</v>
      </c>
      <c r="I3259" s="23" t="str">
        <f t="shared" si="251"/>
        <v>Match</v>
      </c>
      <c r="J3259" s="23" t="str">
        <f t="shared" si="252"/>
        <v>Match</v>
      </c>
      <c r="K3259" s="24">
        <f t="shared" si="253"/>
        <v>20.8</v>
      </c>
      <c r="L3259" s="24">
        <f t="shared" si="254"/>
        <v>0</v>
      </c>
    </row>
    <row r="3260" spans="1:12" ht="15" customHeight="1" x14ac:dyDescent="0.3">
      <c r="A3260" s="23" t="s">
        <v>16309</v>
      </c>
      <c r="B3260" s="23" t="s">
        <v>75</v>
      </c>
      <c r="C3260" s="39">
        <v>2999</v>
      </c>
      <c r="D3260" s="24">
        <v>9</v>
      </c>
      <c r="E3260" s="24">
        <v>1.62</v>
      </c>
      <c r="F3260" s="23">
        <f>COUNTIFS(mdr_rate_cleaned!$A$2:$A$10,B3260,mdr_rate_cleaned!$B$2:$B$10,"&lt;"&amp;C3260,mdr_rate_cleaned!$F$2:$F$10,"&gt;="&amp;C3260)</f>
        <v>1</v>
      </c>
      <c r="G3260" s="40">
        <f>SUMIFS(mdr_rate_cleaned!$G$2:$G$10,mdr_rate_cleaned!$A$2:$A$10,B3260,mdr_rate_cleaned!$B$2:$B$10,"&lt;"&amp;C3260,mdr_rate_cleaned!$F$2:$F$10,"&gt;="&amp;C3260)</f>
        <v>3.0000000000000001E-3</v>
      </c>
      <c r="H3260" s="24">
        <f t="shared" si="250"/>
        <v>9</v>
      </c>
      <c r="I3260" s="23" t="str">
        <f t="shared" si="251"/>
        <v>Match</v>
      </c>
      <c r="J3260" s="23" t="str">
        <f t="shared" si="252"/>
        <v>Match</v>
      </c>
      <c r="K3260" s="24">
        <f t="shared" si="253"/>
        <v>1.62</v>
      </c>
      <c r="L3260" s="24">
        <f t="shared" si="254"/>
        <v>0</v>
      </c>
    </row>
    <row r="3261" spans="1:12" ht="15" customHeight="1" x14ac:dyDescent="0.3">
      <c r="A3261" s="23" t="s">
        <v>16311</v>
      </c>
      <c r="B3261" s="23" t="s">
        <v>75</v>
      </c>
      <c r="C3261" s="39">
        <v>7999</v>
      </c>
      <c r="D3261" s="24">
        <v>24</v>
      </c>
      <c r="E3261" s="24">
        <v>4.32</v>
      </c>
      <c r="F3261" s="23">
        <f>COUNTIFS(mdr_rate_cleaned!$A$2:$A$10,B3261,mdr_rate_cleaned!$B$2:$B$10,"&lt;"&amp;C3261,mdr_rate_cleaned!$F$2:$F$10,"&gt;="&amp;C3261)</f>
        <v>1</v>
      </c>
      <c r="G3261" s="40">
        <f>SUMIFS(mdr_rate_cleaned!$G$2:$G$10,mdr_rate_cleaned!$A$2:$A$10,B3261,mdr_rate_cleaned!$B$2:$B$10,"&lt;"&amp;C3261,mdr_rate_cleaned!$F$2:$F$10,"&gt;="&amp;C3261)</f>
        <v>3.0000000000000001E-3</v>
      </c>
      <c r="H3261" s="24">
        <f t="shared" si="250"/>
        <v>24</v>
      </c>
      <c r="I3261" s="23" t="str">
        <f t="shared" si="251"/>
        <v>Match</v>
      </c>
      <c r="J3261" s="23" t="str">
        <f t="shared" si="252"/>
        <v>Match</v>
      </c>
      <c r="K3261" s="24">
        <f t="shared" si="253"/>
        <v>4.32</v>
      </c>
      <c r="L3261" s="24">
        <f t="shared" si="254"/>
        <v>0</v>
      </c>
    </row>
    <row r="3262" spans="1:12" ht="15" customHeight="1" x14ac:dyDescent="0.3">
      <c r="A3262" s="23" t="s">
        <v>16313</v>
      </c>
      <c r="B3262" s="23" t="s">
        <v>75</v>
      </c>
      <c r="C3262" s="39">
        <v>2798</v>
      </c>
      <c r="D3262" s="24">
        <v>8.39</v>
      </c>
      <c r="E3262" s="24">
        <v>1.51</v>
      </c>
      <c r="F3262" s="23">
        <f>COUNTIFS(mdr_rate_cleaned!$A$2:$A$10,B3262,mdr_rate_cleaned!$B$2:$B$10,"&lt;"&amp;C3262,mdr_rate_cleaned!$F$2:$F$10,"&gt;="&amp;C3262)</f>
        <v>1</v>
      </c>
      <c r="G3262" s="40">
        <f>SUMIFS(mdr_rate_cleaned!$G$2:$G$10,mdr_rate_cleaned!$A$2:$A$10,B3262,mdr_rate_cleaned!$B$2:$B$10,"&lt;"&amp;C3262,mdr_rate_cleaned!$F$2:$F$10,"&gt;="&amp;C3262)</f>
        <v>3.0000000000000001E-3</v>
      </c>
      <c r="H3262" s="24">
        <f t="shared" si="250"/>
        <v>8.39</v>
      </c>
      <c r="I3262" s="23" t="str">
        <f t="shared" si="251"/>
        <v>Match</v>
      </c>
      <c r="J3262" s="23" t="str">
        <f t="shared" si="252"/>
        <v>Match</v>
      </c>
      <c r="K3262" s="24">
        <f t="shared" si="253"/>
        <v>1.51</v>
      </c>
      <c r="L3262" s="24">
        <f t="shared" si="254"/>
        <v>0</v>
      </c>
    </row>
    <row r="3263" spans="1:12" ht="15" customHeight="1" x14ac:dyDescent="0.3">
      <c r="A3263" s="23" t="s">
        <v>16314</v>
      </c>
      <c r="B3263" s="23" t="s">
        <v>77</v>
      </c>
      <c r="C3263" s="39">
        <v>898</v>
      </c>
      <c r="D3263" s="24">
        <v>17.059999999999999</v>
      </c>
      <c r="E3263" s="24">
        <v>3.07</v>
      </c>
      <c r="F3263" s="23">
        <f>COUNTIFS(mdr_rate_cleaned!$A$2:$A$10,B3263,mdr_rate_cleaned!$B$2:$B$10,"&lt;"&amp;C3263,mdr_rate_cleaned!$F$2:$F$10,"&gt;="&amp;C3263)</f>
        <v>1</v>
      </c>
      <c r="G3263" s="40">
        <f>SUMIFS(mdr_rate_cleaned!$G$2:$G$10,mdr_rate_cleaned!$A$2:$A$10,B3263,mdr_rate_cleaned!$B$2:$B$10,"&lt;"&amp;C3263,mdr_rate_cleaned!$F$2:$F$10,"&gt;="&amp;C3263)</f>
        <v>1.9E-2</v>
      </c>
      <c r="H3263" s="24">
        <f t="shared" si="250"/>
        <v>17.059999999999999</v>
      </c>
      <c r="I3263" s="23" t="str">
        <f t="shared" si="251"/>
        <v>Match</v>
      </c>
      <c r="J3263" s="23" t="str">
        <f t="shared" si="252"/>
        <v>Match</v>
      </c>
      <c r="K3263" s="24">
        <f t="shared" si="253"/>
        <v>3.07</v>
      </c>
      <c r="L3263" s="24">
        <f t="shared" si="254"/>
        <v>0</v>
      </c>
    </row>
    <row r="3264" spans="1:12" ht="15" customHeight="1" x14ac:dyDescent="0.3">
      <c r="A3264" s="23" t="s">
        <v>16315</v>
      </c>
      <c r="B3264" s="23" t="s">
        <v>81</v>
      </c>
      <c r="C3264" s="39">
        <v>1098</v>
      </c>
      <c r="D3264" s="24">
        <v>16.47</v>
      </c>
      <c r="E3264" s="24">
        <v>2.96</v>
      </c>
      <c r="F3264" s="23">
        <f>COUNTIFS(mdr_rate_cleaned!$A$2:$A$10,B3264,mdr_rate_cleaned!$B$2:$B$10,"&lt;"&amp;C3264,mdr_rate_cleaned!$F$2:$F$10,"&gt;="&amp;C3264)</f>
        <v>1</v>
      </c>
      <c r="G3264" s="40">
        <f>SUMIFS(mdr_rate_cleaned!$G$2:$G$10,mdr_rate_cleaned!$A$2:$A$10,B3264,mdr_rate_cleaned!$B$2:$B$10,"&lt;"&amp;C3264,mdr_rate_cleaned!$F$2:$F$10,"&gt;="&amp;C3264)</f>
        <v>1.4999999999999999E-2</v>
      </c>
      <c r="H3264" s="24">
        <f t="shared" si="250"/>
        <v>16.47</v>
      </c>
      <c r="I3264" s="23" t="str">
        <f t="shared" si="251"/>
        <v>Match</v>
      </c>
      <c r="J3264" s="23" t="str">
        <f t="shared" si="252"/>
        <v>Match</v>
      </c>
      <c r="K3264" s="24">
        <f t="shared" si="253"/>
        <v>2.96</v>
      </c>
      <c r="L3264" s="24">
        <f t="shared" si="254"/>
        <v>0</v>
      </c>
    </row>
    <row r="3265" spans="1:12" ht="15" customHeight="1" x14ac:dyDescent="0.3">
      <c r="A3265" s="23" t="s">
        <v>16316</v>
      </c>
      <c r="B3265" s="23" t="s">
        <v>79</v>
      </c>
      <c r="C3265" s="39">
        <v>4999</v>
      </c>
      <c r="D3265" s="24">
        <v>79.98</v>
      </c>
      <c r="E3265" s="24">
        <v>14.4</v>
      </c>
      <c r="F3265" s="23">
        <f>COUNTIFS(mdr_rate_cleaned!$A$2:$A$10,B3265,mdr_rate_cleaned!$B$2:$B$10,"&lt;"&amp;C3265,mdr_rate_cleaned!$F$2:$F$10,"&gt;="&amp;C3265)</f>
        <v>1</v>
      </c>
      <c r="G3265" s="40">
        <f>SUMIFS(mdr_rate_cleaned!$G$2:$G$10,mdr_rate_cleaned!$A$2:$A$10,B3265,mdr_rate_cleaned!$B$2:$B$10,"&lt;"&amp;C3265,mdr_rate_cleaned!$F$2:$F$10,"&gt;="&amp;C3265)</f>
        <v>1.6E-2</v>
      </c>
      <c r="H3265" s="24">
        <f t="shared" si="250"/>
        <v>79.98</v>
      </c>
      <c r="I3265" s="23" t="str">
        <f t="shared" si="251"/>
        <v>Match</v>
      </c>
      <c r="J3265" s="23" t="str">
        <f t="shared" si="252"/>
        <v>Match</v>
      </c>
      <c r="K3265" s="24">
        <f t="shared" si="253"/>
        <v>14.4</v>
      </c>
      <c r="L3265" s="24">
        <f t="shared" si="254"/>
        <v>0</v>
      </c>
    </row>
    <row r="3266" spans="1:12" ht="15" customHeight="1" x14ac:dyDescent="0.3">
      <c r="A3266" s="23" t="s">
        <v>16318</v>
      </c>
      <c r="B3266" s="23" t="s">
        <v>75</v>
      </c>
      <c r="C3266" s="39">
        <v>1299</v>
      </c>
      <c r="D3266" s="24">
        <v>0</v>
      </c>
      <c r="E3266" s="24">
        <v>0</v>
      </c>
      <c r="F3266" s="23">
        <f>COUNTIFS(mdr_rate_cleaned!$A$2:$A$10,B3266,mdr_rate_cleaned!$B$2:$B$10,"&lt;"&amp;C3266,mdr_rate_cleaned!$F$2:$F$10,"&gt;="&amp;C3266)</f>
        <v>1</v>
      </c>
      <c r="G3266" s="40">
        <f>SUMIFS(mdr_rate_cleaned!$G$2:$G$10,mdr_rate_cleaned!$A$2:$A$10,B3266,mdr_rate_cleaned!$B$2:$B$10,"&lt;"&amp;C3266,mdr_rate_cleaned!$F$2:$F$10,"&gt;="&amp;C3266)</f>
        <v>0</v>
      </c>
      <c r="H3266" s="24">
        <f t="shared" ref="H3266:H3329" si="255">ROUND(C3266*G3266,2)</f>
        <v>0</v>
      </c>
      <c r="I3266" s="23" t="str">
        <f t="shared" ref="I3266:I3329" si="256">IF(ROUND(D3266-H3266,2)=0,"Match","Differs")</f>
        <v>Match</v>
      </c>
      <c r="J3266" s="23" t="str">
        <f t="shared" ref="J3266:J3329" si="257">IF(ROUND(E3266-ROUND(D3266*0.18,2),2)=0,"Match","Differs")</f>
        <v>Match</v>
      </c>
      <c r="K3266" s="24">
        <f t="shared" ref="K3266:K3329" si="258">ROUND(H3266*0.18,2)</f>
        <v>0</v>
      </c>
      <c r="L3266" s="24">
        <f t="shared" ref="L3266:L3329" si="259">ROUND(D3266+E3266-H3266-K3266,2)</f>
        <v>0</v>
      </c>
    </row>
    <row r="3267" spans="1:12" ht="15" customHeight="1" x14ac:dyDescent="0.3">
      <c r="A3267" s="23" t="s">
        <v>16320</v>
      </c>
      <c r="B3267" s="23" t="s">
        <v>79</v>
      </c>
      <c r="C3267" s="39">
        <v>4998</v>
      </c>
      <c r="D3267" s="24">
        <v>79.97</v>
      </c>
      <c r="E3267" s="24">
        <v>14.39</v>
      </c>
      <c r="F3267" s="23">
        <f>COUNTIFS(mdr_rate_cleaned!$A$2:$A$10,B3267,mdr_rate_cleaned!$B$2:$B$10,"&lt;"&amp;C3267,mdr_rate_cleaned!$F$2:$F$10,"&gt;="&amp;C3267)</f>
        <v>1</v>
      </c>
      <c r="G3267" s="40">
        <f>SUMIFS(mdr_rate_cleaned!$G$2:$G$10,mdr_rate_cleaned!$A$2:$A$10,B3267,mdr_rate_cleaned!$B$2:$B$10,"&lt;"&amp;C3267,mdr_rate_cleaned!$F$2:$F$10,"&gt;="&amp;C3267)</f>
        <v>1.6E-2</v>
      </c>
      <c r="H3267" s="24">
        <f t="shared" si="255"/>
        <v>79.97</v>
      </c>
      <c r="I3267" s="23" t="str">
        <f t="shared" si="256"/>
        <v>Match</v>
      </c>
      <c r="J3267" s="23" t="str">
        <f t="shared" si="257"/>
        <v>Match</v>
      </c>
      <c r="K3267" s="24">
        <f t="shared" si="258"/>
        <v>14.39</v>
      </c>
      <c r="L3267" s="24">
        <f t="shared" si="259"/>
        <v>0</v>
      </c>
    </row>
    <row r="3268" spans="1:12" ht="15" customHeight="1" x14ac:dyDescent="0.3">
      <c r="A3268" s="23" t="s">
        <v>16321</v>
      </c>
      <c r="B3268" s="23" t="s">
        <v>79</v>
      </c>
      <c r="C3268" s="39">
        <v>4798</v>
      </c>
      <c r="D3268" s="24">
        <v>76.77</v>
      </c>
      <c r="E3268" s="24">
        <v>13.82</v>
      </c>
      <c r="F3268" s="23">
        <f>COUNTIFS(mdr_rate_cleaned!$A$2:$A$10,B3268,mdr_rate_cleaned!$B$2:$B$10,"&lt;"&amp;C3268,mdr_rate_cleaned!$F$2:$F$10,"&gt;="&amp;C3268)</f>
        <v>1</v>
      </c>
      <c r="G3268" s="40">
        <f>SUMIFS(mdr_rate_cleaned!$G$2:$G$10,mdr_rate_cleaned!$A$2:$A$10,B3268,mdr_rate_cleaned!$B$2:$B$10,"&lt;"&amp;C3268,mdr_rate_cleaned!$F$2:$F$10,"&gt;="&amp;C3268)</f>
        <v>1.6E-2</v>
      </c>
      <c r="H3268" s="24">
        <f t="shared" si="255"/>
        <v>76.77</v>
      </c>
      <c r="I3268" s="23" t="str">
        <f t="shared" si="256"/>
        <v>Match</v>
      </c>
      <c r="J3268" s="23" t="str">
        <f t="shared" si="257"/>
        <v>Match</v>
      </c>
      <c r="K3268" s="24">
        <f t="shared" si="258"/>
        <v>13.82</v>
      </c>
      <c r="L3268" s="24">
        <f t="shared" si="259"/>
        <v>0</v>
      </c>
    </row>
    <row r="3269" spans="1:12" ht="15" customHeight="1" x14ac:dyDescent="0.3">
      <c r="A3269" s="23" t="s">
        <v>16322</v>
      </c>
      <c r="B3269" s="23" t="s">
        <v>77</v>
      </c>
      <c r="C3269" s="39">
        <v>698</v>
      </c>
      <c r="D3269" s="24">
        <v>13.26</v>
      </c>
      <c r="E3269" s="24">
        <v>2.39</v>
      </c>
      <c r="F3269" s="23">
        <f>COUNTIFS(mdr_rate_cleaned!$A$2:$A$10,B3269,mdr_rate_cleaned!$B$2:$B$10,"&lt;"&amp;C3269,mdr_rate_cleaned!$F$2:$F$10,"&gt;="&amp;C3269)</f>
        <v>1</v>
      </c>
      <c r="G3269" s="40">
        <f>SUMIFS(mdr_rate_cleaned!$G$2:$G$10,mdr_rate_cleaned!$A$2:$A$10,B3269,mdr_rate_cleaned!$B$2:$B$10,"&lt;"&amp;C3269,mdr_rate_cleaned!$F$2:$F$10,"&gt;="&amp;C3269)</f>
        <v>1.9E-2</v>
      </c>
      <c r="H3269" s="24">
        <f t="shared" si="255"/>
        <v>13.26</v>
      </c>
      <c r="I3269" s="23" t="str">
        <f t="shared" si="256"/>
        <v>Match</v>
      </c>
      <c r="J3269" s="23" t="str">
        <f t="shared" si="257"/>
        <v>Match</v>
      </c>
      <c r="K3269" s="24">
        <f t="shared" si="258"/>
        <v>2.39</v>
      </c>
      <c r="L3269" s="24">
        <f t="shared" si="259"/>
        <v>0</v>
      </c>
    </row>
    <row r="3270" spans="1:12" ht="15" customHeight="1" x14ac:dyDescent="0.3">
      <c r="A3270" s="23" t="s">
        <v>16323</v>
      </c>
      <c r="B3270" s="23" t="s">
        <v>81</v>
      </c>
      <c r="C3270" s="39">
        <v>349</v>
      </c>
      <c r="D3270" s="24">
        <v>5.24</v>
      </c>
      <c r="E3270" s="24">
        <v>0.94</v>
      </c>
      <c r="F3270" s="23">
        <f>COUNTIFS(mdr_rate_cleaned!$A$2:$A$10,B3270,mdr_rate_cleaned!$B$2:$B$10,"&lt;"&amp;C3270,mdr_rate_cleaned!$F$2:$F$10,"&gt;="&amp;C3270)</f>
        <v>1</v>
      </c>
      <c r="G3270" s="40">
        <f>SUMIFS(mdr_rate_cleaned!$G$2:$G$10,mdr_rate_cleaned!$A$2:$A$10,B3270,mdr_rate_cleaned!$B$2:$B$10,"&lt;"&amp;C3270,mdr_rate_cleaned!$F$2:$F$10,"&gt;="&amp;C3270)</f>
        <v>1.4999999999999999E-2</v>
      </c>
      <c r="H3270" s="24">
        <f t="shared" si="255"/>
        <v>5.24</v>
      </c>
      <c r="I3270" s="23" t="str">
        <f t="shared" si="256"/>
        <v>Match</v>
      </c>
      <c r="J3270" s="23" t="str">
        <f t="shared" si="257"/>
        <v>Match</v>
      </c>
      <c r="K3270" s="24">
        <f t="shared" si="258"/>
        <v>0.94</v>
      </c>
      <c r="L3270" s="24">
        <f t="shared" si="259"/>
        <v>0</v>
      </c>
    </row>
    <row r="3271" spans="1:12" ht="15" customHeight="1" x14ac:dyDescent="0.3">
      <c r="A3271" s="23" t="s">
        <v>16324</v>
      </c>
      <c r="B3271" s="23" t="s">
        <v>75</v>
      </c>
      <c r="C3271" s="39">
        <v>4498</v>
      </c>
      <c r="D3271" s="24">
        <v>13.49</v>
      </c>
      <c r="E3271" s="24">
        <v>2.4300000000000002</v>
      </c>
      <c r="F3271" s="23">
        <f>COUNTIFS(mdr_rate_cleaned!$A$2:$A$10,B3271,mdr_rate_cleaned!$B$2:$B$10,"&lt;"&amp;C3271,mdr_rate_cleaned!$F$2:$F$10,"&gt;="&amp;C3271)</f>
        <v>1</v>
      </c>
      <c r="G3271" s="40">
        <f>SUMIFS(mdr_rate_cleaned!$G$2:$G$10,mdr_rate_cleaned!$A$2:$A$10,B3271,mdr_rate_cleaned!$B$2:$B$10,"&lt;"&amp;C3271,mdr_rate_cleaned!$F$2:$F$10,"&gt;="&amp;C3271)</f>
        <v>3.0000000000000001E-3</v>
      </c>
      <c r="H3271" s="24">
        <f t="shared" si="255"/>
        <v>13.49</v>
      </c>
      <c r="I3271" s="23" t="str">
        <f t="shared" si="256"/>
        <v>Match</v>
      </c>
      <c r="J3271" s="23" t="str">
        <f t="shared" si="257"/>
        <v>Match</v>
      </c>
      <c r="K3271" s="24">
        <f t="shared" si="258"/>
        <v>2.4300000000000002</v>
      </c>
      <c r="L3271" s="24">
        <f t="shared" si="259"/>
        <v>0</v>
      </c>
    </row>
    <row r="3272" spans="1:12" ht="15" customHeight="1" x14ac:dyDescent="0.3">
      <c r="A3272" s="23" t="s">
        <v>16325</v>
      </c>
      <c r="B3272" s="23" t="s">
        <v>75</v>
      </c>
      <c r="C3272" s="39">
        <v>3797</v>
      </c>
      <c r="D3272" s="24">
        <v>11.39</v>
      </c>
      <c r="E3272" s="24">
        <v>2.0499999999999998</v>
      </c>
      <c r="F3272" s="23">
        <f>COUNTIFS(mdr_rate_cleaned!$A$2:$A$10,B3272,mdr_rate_cleaned!$B$2:$B$10,"&lt;"&amp;C3272,mdr_rate_cleaned!$F$2:$F$10,"&gt;="&amp;C3272)</f>
        <v>1</v>
      </c>
      <c r="G3272" s="40">
        <f>SUMIFS(mdr_rate_cleaned!$G$2:$G$10,mdr_rate_cleaned!$A$2:$A$10,B3272,mdr_rate_cleaned!$B$2:$B$10,"&lt;"&amp;C3272,mdr_rate_cleaned!$F$2:$F$10,"&gt;="&amp;C3272)</f>
        <v>3.0000000000000001E-3</v>
      </c>
      <c r="H3272" s="24">
        <f t="shared" si="255"/>
        <v>11.39</v>
      </c>
      <c r="I3272" s="23" t="str">
        <f t="shared" si="256"/>
        <v>Match</v>
      </c>
      <c r="J3272" s="23" t="str">
        <f t="shared" si="257"/>
        <v>Match</v>
      </c>
      <c r="K3272" s="24">
        <f t="shared" si="258"/>
        <v>2.0499999999999998</v>
      </c>
      <c r="L3272" s="24">
        <f t="shared" si="259"/>
        <v>0</v>
      </c>
    </row>
    <row r="3273" spans="1:12" ht="15" customHeight="1" x14ac:dyDescent="0.3">
      <c r="A3273" s="23" t="s">
        <v>16326</v>
      </c>
      <c r="B3273" s="23" t="s">
        <v>75</v>
      </c>
      <c r="C3273" s="39">
        <v>1998</v>
      </c>
      <c r="D3273" s="24">
        <v>0</v>
      </c>
      <c r="E3273" s="24">
        <v>0</v>
      </c>
      <c r="F3273" s="23">
        <f>COUNTIFS(mdr_rate_cleaned!$A$2:$A$10,B3273,mdr_rate_cleaned!$B$2:$B$10,"&lt;"&amp;C3273,mdr_rate_cleaned!$F$2:$F$10,"&gt;="&amp;C3273)</f>
        <v>1</v>
      </c>
      <c r="G3273" s="40">
        <f>SUMIFS(mdr_rate_cleaned!$G$2:$G$10,mdr_rate_cleaned!$A$2:$A$10,B3273,mdr_rate_cleaned!$B$2:$B$10,"&lt;"&amp;C3273,mdr_rate_cleaned!$F$2:$F$10,"&gt;="&amp;C3273)</f>
        <v>0</v>
      </c>
      <c r="H3273" s="24">
        <f t="shared" si="255"/>
        <v>0</v>
      </c>
      <c r="I3273" s="23" t="str">
        <f t="shared" si="256"/>
        <v>Match</v>
      </c>
      <c r="J3273" s="23" t="str">
        <f t="shared" si="257"/>
        <v>Match</v>
      </c>
      <c r="K3273" s="24">
        <f t="shared" si="258"/>
        <v>0</v>
      </c>
      <c r="L3273" s="24">
        <f t="shared" si="259"/>
        <v>0</v>
      </c>
    </row>
    <row r="3274" spans="1:12" ht="15" customHeight="1" x14ac:dyDescent="0.3">
      <c r="A3274" s="23" t="s">
        <v>16327</v>
      </c>
      <c r="B3274" s="23" t="s">
        <v>75</v>
      </c>
      <c r="C3274" s="39">
        <v>648</v>
      </c>
      <c r="D3274" s="24">
        <v>0</v>
      </c>
      <c r="E3274" s="24">
        <v>0</v>
      </c>
      <c r="F3274" s="23">
        <f>COUNTIFS(mdr_rate_cleaned!$A$2:$A$10,B3274,mdr_rate_cleaned!$B$2:$B$10,"&lt;"&amp;C3274,mdr_rate_cleaned!$F$2:$F$10,"&gt;="&amp;C3274)</f>
        <v>1</v>
      </c>
      <c r="G3274" s="40">
        <f>SUMIFS(mdr_rate_cleaned!$G$2:$G$10,mdr_rate_cleaned!$A$2:$A$10,B3274,mdr_rate_cleaned!$B$2:$B$10,"&lt;"&amp;C3274,mdr_rate_cleaned!$F$2:$F$10,"&gt;="&amp;C3274)</f>
        <v>0</v>
      </c>
      <c r="H3274" s="24">
        <f t="shared" si="255"/>
        <v>0</v>
      </c>
      <c r="I3274" s="23" t="str">
        <f t="shared" si="256"/>
        <v>Match</v>
      </c>
      <c r="J3274" s="23" t="str">
        <f t="shared" si="257"/>
        <v>Match</v>
      </c>
      <c r="K3274" s="24">
        <f t="shared" si="258"/>
        <v>0</v>
      </c>
      <c r="L3274" s="24">
        <f t="shared" si="259"/>
        <v>0</v>
      </c>
    </row>
    <row r="3275" spans="1:12" ht="15" customHeight="1" x14ac:dyDescent="0.3">
      <c r="A3275" s="23" t="s">
        <v>16328</v>
      </c>
      <c r="B3275" s="23" t="s">
        <v>79</v>
      </c>
      <c r="C3275" s="39">
        <v>5298</v>
      </c>
      <c r="D3275" s="24">
        <v>84.77</v>
      </c>
      <c r="E3275" s="24">
        <v>15.26</v>
      </c>
      <c r="F3275" s="23">
        <f>COUNTIFS(mdr_rate_cleaned!$A$2:$A$10,B3275,mdr_rate_cleaned!$B$2:$B$10,"&lt;"&amp;C3275,mdr_rate_cleaned!$F$2:$F$10,"&gt;="&amp;C3275)</f>
        <v>1</v>
      </c>
      <c r="G3275" s="40">
        <f>SUMIFS(mdr_rate_cleaned!$G$2:$G$10,mdr_rate_cleaned!$A$2:$A$10,B3275,mdr_rate_cleaned!$B$2:$B$10,"&lt;"&amp;C3275,mdr_rate_cleaned!$F$2:$F$10,"&gt;="&amp;C3275)</f>
        <v>1.6E-2</v>
      </c>
      <c r="H3275" s="24">
        <f t="shared" si="255"/>
        <v>84.77</v>
      </c>
      <c r="I3275" s="23" t="str">
        <f t="shared" si="256"/>
        <v>Match</v>
      </c>
      <c r="J3275" s="23" t="str">
        <f t="shared" si="257"/>
        <v>Match</v>
      </c>
      <c r="K3275" s="24">
        <f t="shared" si="258"/>
        <v>15.26</v>
      </c>
      <c r="L3275" s="24">
        <f t="shared" si="259"/>
        <v>0</v>
      </c>
    </row>
    <row r="3276" spans="1:12" ht="15" customHeight="1" x14ac:dyDescent="0.3">
      <c r="A3276" s="23" t="s">
        <v>16329</v>
      </c>
      <c r="B3276" s="23" t="s">
        <v>75</v>
      </c>
      <c r="C3276" s="39">
        <v>1299</v>
      </c>
      <c r="D3276" s="24">
        <v>0</v>
      </c>
      <c r="E3276" s="24">
        <v>0</v>
      </c>
      <c r="F3276" s="23">
        <f>COUNTIFS(mdr_rate_cleaned!$A$2:$A$10,B3276,mdr_rate_cleaned!$B$2:$B$10,"&lt;"&amp;C3276,mdr_rate_cleaned!$F$2:$F$10,"&gt;="&amp;C3276)</f>
        <v>1</v>
      </c>
      <c r="G3276" s="40">
        <f>SUMIFS(mdr_rate_cleaned!$G$2:$G$10,mdr_rate_cleaned!$A$2:$A$10,B3276,mdr_rate_cleaned!$B$2:$B$10,"&lt;"&amp;C3276,mdr_rate_cleaned!$F$2:$F$10,"&gt;="&amp;C3276)</f>
        <v>0</v>
      </c>
      <c r="H3276" s="24">
        <f t="shared" si="255"/>
        <v>0</v>
      </c>
      <c r="I3276" s="23" t="str">
        <f t="shared" si="256"/>
        <v>Match</v>
      </c>
      <c r="J3276" s="23" t="str">
        <f t="shared" si="257"/>
        <v>Match</v>
      </c>
      <c r="K3276" s="24">
        <f t="shared" si="258"/>
        <v>0</v>
      </c>
      <c r="L3276" s="24">
        <f t="shared" si="259"/>
        <v>0</v>
      </c>
    </row>
    <row r="3277" spans="1:12" ht="15" customHeight="1" x14ac:dyDescent="0.3">
      <c r="A3277" s="23" t="s">
        <v>16330</v>
      </c>
      <c r="B3277" s="23" t="s">
        <v>79</v>
      </c>
      <c r="C3277" s="39">
        <v>3147</v>
      </c>
      <c r="D3277" s="24">
        <v>50.35</v>
      </c>
      <c r="E3277" s="24">
        <v>9.06</v>
      </c>
      <c r="F3277" s="23">
        <f>COUNTIFS(mdr_rate_cleaned!$A$2:$A$10,B3277,mdr_rate_cleaned!$B$2:$B$10,"&lt;"&amp;C3277,mdr_rate_cleaned!$F$2:$F$10,"&gt;="&amp;C3277)</f>
        <v>1</v>
      </c>
      <c r="G3277" s="40">
        <f>SUMIFS(mdr_rate_cleaned!$G$2:$G$10,mdr_rate_cleaned!$A$2:$A$10,B3277,mdr_rate_cleaned!$B$2:$B$10,"&lt;"&amp;C3277,mdr_rate_cleaned!$F$2:$F$10,"&gt;="&amp;C3277)</f>
        <v>1.6E-2</v>
      </c>
      <c r="H3277" s="24">
        <f t="shared" si="255"/>
        <v>50.35</v>
      </c>
      <c r="I3277" s="23" t="str">
        <f t="shared" si="256"/>
        <v>Match</v>
      </c>
      <c r="J3277" s="23" t="str">
        <f t="shared" si="257"/>
        <v>Match</v>
      </c>
      <c r="K3277" s="24">
        <f t="shared" si="258"/>
        <v>9.06</v>
      </c>
      <c r="L3277" s="24">
        <f t="shared" si="259"/>
        <v>0</v>
      </c>
    </row>
    <row r="3278" spans="1:12" ht="15" customHeight="1" x14ac:dyDescent="0.3">
      <c r="A3278" s="23" t="s">
        <v>16331</v>
      </c>
      <c r="B3278" s="23" t="s">
        <v>81</v>
      </c>
      <c r="C3278" s="39">
        <v>3499</v>
      </c>
      <c r="D3278" s="24">
        <v>41.99</v>
      </c>
      <c r="E3278" s="24">
        <v>7.56</v>
      </c>
      <c r="F3278" s="23">
        <f>COUNTIFS(mdr_rate_cleaned!$A$2:$A$10,B3278,mdr_rate_cleaned!$B$2:$B$10,"&lt;"&amp;C3278,mdr_rate_cleaned!$F$2:$F$10,"&gt;="&amp;C3278)</f>
        <v>1</v>
      </c>
      <c r="G3278" s="40">
        <f>SUMIFS(mdr_rate_cleaned!$G$2:$G$10,mdr_rate_cleaned!$A$2:$A$10,B3278,mdr_rate_cleaned!$B$2:$B$10,"&lt;"&amp;C3278,mdr_rate_cleaned!$F$2:$F$10,"&gt;="&amp;C3278)</f>
        <v>1.2E-2</v>
      </c>
      <c r="H3278" s="24">
        <f t="shared" si="255"/>
        <v>41.99</v>
      </c>
      <c r="I3278" s="23" t="str">
        <f t="shared" si="256"/>
        <v>Match</v>
      </c>
      <c r="J3278" s="23" t="str">
        <f t="shared" si="257"/>
        <v>Match</v>
      </c>
      <c r="K3278" s="24">
        <f t="shared" si="258"/>
        <v>7.56</v>
      </c>
      <c r="L3278" s="24">
        <f t="shared" si="259"/>
        <v>0</v>
      </c>
    </row>
    <row r="3279" spans="1:12" ht="15" customHeight="1" x14ac:dyDescent="0.3">
      <c r="A3279" s="23" t="s">
        <v>16332</v>
      </c>
      <c r="B3279" s="23" t="s">
        <v>75</v>
      </c>
      <c r="C3279" s="39">
        <v>2499</v>
      </c>
      <c r="D3279" s="24">
        <v>7.5</v>
      </c>
      <c r="E3279" s="24">
        <v>1.35</v>
      </c>
      <c r="F3279" s="23">
        <f>COUNTIFS(mdr_rate_cleaned!$A$2:$A$10,B3279,mdr_rate_cleaned!$B$2:$B$10,"&lt;"&amp;C3279,mdr_rate_cleaned!$F$2:$F$10,"&gt;="&amp;C3279)</f>
        <v>1</v>
      </c>
      <c r="G3279" s="40">
        <f>SUMIFS(mdr_rate_cleaned!$G$2:$G$10,mdr_rate_cleaned!$A$2:$A$10,B3279,mdr_rate_cleaned!$B$2:$B$10,"&lt;"&amp;C3279,mdr_rate_cleaned!$F$2:$F$10,"&gt;="&amp;C3279)</f>
        <v>3.0000000000000001E-3</v>
      </c>
      <c r="H3279" s="24">
        <f t="shared" si="255"/>
        <v>7.5</v>
      </c>
      <c r="I3279" s="23" t="str">
        <f t="shared" si="256"/>
        <v>Match</v>
      </c>
      <c r="J3279" s="23" t="str">
        <f t="shared" si="257"/>
        <v>Match</v>
      </c>
      <c r="K3279" s="24">
        <f t="shared" si="258"/>
        <v>1.35</v>
      </c>
      <c r="L3279" s="24">
        <f t="shared" si="259"/>
        <v>0</v>
      </c>
    </row>
    <row r="3280" spans="1:12" ht="15" customHeight="1" x14ac:dyDescent="0.3">
      <c r="A3280" s="23" t="s">
        <v>16333</v>
      </c>
      <c r="B3280" s="23" t="s">
        <v>75</v>
      </c>
      <c r="C3280" s="39">
        <v>599</v>
      </c>
      <c r="D3280" s="24">
        <v>0</v>
      </c>
      <c r="E3280" s="24">
        <v>0</v>
      </c>
      <c r="F3280" s="23">
        <f>COUNTIFS(mdr_rate_cleaned!$A$2:$A$10,B3280,mdr_rate_cleaned!$B$2:$B$10,"&lt;"&amp;C3280,mdr_rate_cleaned!$F$2:$F$10,"&gt;="&amp;C3280)</f>
        <v>1</v>
      </c>
      <c r="G3280" s="40">
        <f>SUMIFS(mdr_rate_cleaned!$G$2:$G$10,mdr_rate_cleaned!$A$2:$A$10,B3280,mdr_rate_cleaned!$B$2:$B$10,"&lt;"&amp;C3280,mdr_rate_cleaned!$F$2:$F$10,"&gt;="&amp;C3280)</f>
        <v>0</v>
      </c>
      <c r="H3280" s="24">
        <f t="shared" si="255"/>
        <v>0</v>
      </c>
      <c r="I3280" s="23" t="str">
        <f t="shared" si="256"/>
        <v>Match</v>
      </c>
      <c r="J3280" s="23" t="str">
        <f t="shared" si="257"/>
        <v>Match</v>
      </c>
      <c r="K3280" s="24">
        <f t="shared" si="258"/>
        <v>0</v>
      </c>
      <c r="L3280" s="24">
        <f t="shared" si="259"/>
        <v>0</v>
      </c>
    </row>
    <row r="3281" spans="1:12" ht="15" customHeight="1" x14ac:dyDescent="0.3">
      <c r="A3281" s="23" t="s">
        <v>16334</v>
      </c>
      <c r="B3281" s="23" t="s">
        <v>75</v>
      </c>
      <c r="C3281" s="39">
        <v>6847</v>
      </c>
      <c r="D3281" s="24">
        <v>20.54</v>
      </c>
      <c r="E3281" s="24">
        <v>3.7</v>
      </c>
      <c r="F3281" s="23">
        <f>COUNTIFS(mdr_rate_cleaned!$A$2:$A$10,B3281,mdr_rate_cleaned!$B$2:$B$10,"&lt;"&amp;C3281,mdr_rate_cleaned!$F$2:$F$10,"&gt;="&amp;C3281)</f>
        <v>1</v>
      </c>
      <c r="G3281" s="40">
        <f>SUMIFS(mdr_rate_cleaned!$G$2:$G$10,mdr_rate_cleaned!$A$2:$A$10,B3281,mdr_rate_cleaned!$B$2:$B$10,"&lt;"&amp;C3281,mdr_rate_cleaned!$F$2:$F$10,"&gt;="&amp;C3281)</f>
        <v>3.0000000000000001E-3</v>
      </c>
      <c r="H3281" s="24">
        <f t="shared" si="255"/>
        <v>20.54</v>
      </c>
      <c r="I3281" s="23" t="str">
        <f t="shared" si="256"/>
        <v>Match</v>
      </c>
      <c r="J3281" s="23" t="str">
        <f t="shared" si="257"/>
        <v>Match</v>
      </c>
      <c r="K3281" s="24">
        <f t="shared" si="258"/>
        <v>3.7</v>
      </c>
      <c r="L3281" s="24">
        <f t="shared" si="259"/>
        <v>0</v>
      </c>
    </row>
    <row r="3282" spans="1:12" ht="15" customHeight="1" x14ac:dyDescent="0.3">
      <c r="A3282" s="23" t="s">
        <v>16335</v>
      </c>
      <c r="B3282" s="23" t="s">
        <v>75</v>
      </c>
      <c r="C3282" s="39">
        <v>2499</v>
      </c>
      <c r="D3282" s="24">
        <v>7.5</v>
      </c>
      <c r="E3282" s="24">
        <v>1.35</v>
      </c>
      <c r="F3282" s="23">
        <f>COUNTIFS(mdr_rate_cleaned!$A$2:$A$10,B3282,mdr_rate_cleaned!$B$2:$B$10,"&lt;"&amp;C3282,mdr_rate_cleaned!$F$2:$F$10,"&gt;="&amp;C3282)</f>
        <v>1</v>
      </c>
      <c r="G3282" s="40">
        <f>SUMIFS(mdr_rate_cleaned!$G$2:$G$10,mdr_rate_cleaned!$A$2:$A$10,B3282,mdr_rate_cleaned!$B$2:$B$10,"&lt;"&amp;C3282,mdr_rate_cleaned!$F$2:$F$10,"&gt;="&amp;C3282)</f>
        <v>3.0000000000000001E-3</v>
      </c>
      <c r="H3282" s="24">
        <f t="shared" si="255"/>
        <v>7.5</v>
      </c>
      <c r="I3282" s="23" t="str">
        <f t="shared" si="256"/>
        <v>Match</v>
      </c>
      <c r="J3282" s="23" t="str">
        <f t="shared" si="257"/>
        <v>Match</v>
      </c>
      <c r="K3282" s="24">
        <f t="shared" si="258"/>
        <v>1.35</v>
      </c>
      <c r="L3282" s="24">
        <f t="shared" si="259"/>
        <v>0</v>
      </c>
    </row>
    <row r="3283" spans="1:12" ht="15" customHeight="1" x14ac:dyDescent="0.3">
      <c r="A3283" s="23" t="s">
        <v>16336</v>
      </c>
      <c r="B3283" s="23" t="s">
        <v>75</v>
      </c>
      <c r="C3283" s="39">
        <v>3498</v>
      </c>
      <c r="D3283" s="24">
        <v>10.49</v>
      </c>
      <c r="E3283" s="24">
        <v>1.89</v>
      </c>
      <c r="F3283" s="23">
        <f>COUNTIFS(mdr_rate_cleaned!$A$2:$A$10,B3283,mdr_rate_cleaned!$B$2:$B$10,"&lt;"&amp;C3283,mdr_rate_cleaned!$F$2:$F$10,"&gt;="&amp;C3283)</f>
        <v>1</v>
      </c>
      <c r="G3283" s="40">
        <f>SUMIFS(mdr_rate_cleaned!$G$2:$G$10,mdr_rate_cleaned!$A$2:$A$10,B3283,mdr_rate_cleaned!$B$2:$B$10,"&lt;"&amp;C3283,mdr_rate_cleaned!$F$2:$F$10,"&gt;="&amp;C3283)</f>
        <v>3.0000000000000001E-3</v>
      </c>
      <c r="H3283" s="24">
        <f t="shared" si="255"/>
        <v>10.49</v>
      </c>
      <c r="I3283" s="23" t="str">
        <f t="shared" si="256"/>
        <v>Match</v>
      </c>
      <c r="J3283" s="23" t="str">
        <f t="shared" si="257"/>
        <v>Match</v>
      </c>
      <c r="K3283" s="24">
        <f t="shared" si="258"/>
        <v>1.89</v>
      </c>
      <c r="L3283" s="24">
        <f t="shared" si="259"/>
        <v>0</v>
      </c>
    </row>
    <row r="3284" spans="1:12" ht="15" customHeight="1" x14ac:dyDescent="0.3">
      <c r="A3284" s="23" t="s">
        <v>16337</v>
      </c>
      <c r="B3284" s="23" t="s">
        <v>79</v>
      </c>
      <c r="C3284" s="39">
        <v>4999</v>
      </c>
      <c r="D3284" s="24">
        <v>79.98</v>
      </c>
      <c r="E3284" s="24">
        <v>14.4</v>
      </c>
      <c r="F3284" s="23">
        <f>COUNTIFS(mdr_rate_cleaned!$A$2:$A$10,B3284,mdr_rate_cleaned!$B$2:$B$10,"&lt;"&amp;C3284,mdr_rate_cleaned!$F$2:$F$10,"&gt;="&amp;C3284)</f>
        <v>1</v>
      </c>
      <c r="G3284" s="40">
        <f>SUMIFS(mdr_rate_cleaned!$G$2:$G$10,mdr_rate_cleaned!$A$2:$A$10,B3284,mdr_rate_cleaned!$B$2:$B$10,"&lt;"&amp;C3284,mdr_rate_cleaned!$F$2:$F$10,"&gt;="&amp;C3284)</f>
        <v>1.6E-2</v>
      </c>
      <c r="H3284" s="24">
        <f t="shared" si="255"/>
        <v>79.98</v>
      </c>
      <c r="I3284" s="23" t="str">
        <f t="shared" si="256"/>
        <v>Match</v>
      </c>
      <c r="J3284" s="23" t="str">
        <f t="shared" si="257"/>
        <v>Match</v>
      </c>
      <c r="K3284" s="24">
        <f t="shared" si="258"/>
        <v>14.4</v>
      </c>
      <c r="L3284" s="24">
        <f t="shared" si="259"/>
        <v>0</v>
      </c>
    </row>
    <row r="3285" spans="1:12" ht="15" customHeight="1" x14ac:dyDescent="0.3">
      <c r="A3285" s="23" t="s">
        <v>16338</v>
      </c>
      <c r="B3285" s="23" t="s">
        <v>77</v>
      </c>
      <c r="C3285" s="39">
        <v>4498</v>
      </c>
      <c r="D3285" s="24">
        <v>76.47</v>
      </c>
      <c r="E3285" s="24">
        <v>13.76</v>
      </c>
      <c r="F3285" s="23">
        <f>COUNTIFS(mdr_rate_cleaned!$A$2:$A$10,B3285,mdr_rate_cleaned!$B$2:$B$10,"&lt;"&amp;C3285,mdr_rate_cleaned!$F$2:$F$10,"&gt;="&amp;C3285)</f>
        <v>1</v>
      </c>
      <c r="G3285" s="40">
        <f>SUMIFS(mdr_rate_cleaned!$G$2:$G$10,mdr_rate_cleaned!$A$2:$A$10,B3285,mdr_rate_cleaned!$B$2:$B$10,"&lt;"&amp;C3285,mdr_rate_cleaned!$F$2:$F$10,"&gt;="&amp;C3285)</f>
        <v>1.7000000000000001E-2</v>
      </c>
      <c r="H3285" s="24">
        <f t="shared" si="255"/>
        <v>76.47</v>
      </c>
      <c r="I3285" s="23" t="str">
        <f t="shared" si="256"/>
        <v>Match</v>
      </c>
      <c r="J3285" s="23" t="str">
        <f t="shared" si="257"/>
        <v>Match</v>
      </c>
      <c r="K3285" s="24">
        <f t="shared" si="258"/>
        <v>13.76</v>
      </c>
      <c r="L3285" s="24">
        <f t="shared" si="259"/>
        <v>0</v>
      </c>
    </row>
    <row r="3286" spans="1:12" ht="15" customHeight="1" x14ac:dyDescent="0.3">
      <c r="A3286" s="23" t="s">
        <v>16339</v>
      </c>
      <c r="B3286" s="23" t="s">
        <v>77</v>
      </c>
      <c r="C3286" s="39">
        <v>2398</v>
      </c>
      <c r="D3286" s="24">
        <v>40.770000000000003</v>
      </c>
      <c r="E3286" s="24">
        <v>7.34</v>
      </c>
      <c r="F3286" s="23">
        <f>COUNTIFS(mdr_rate_cleaned!$A$2:$A$10,B3286,mdr_rate_cleaned!$B$2:$B$10,"&lt;"&amp;C3286,mdr_rate_cleaned!$F$2:$F$10,"&gt;="&amp;C3286)</f>
        <v>1</v>
      </c>
      <c r="G3286" s="40">
        <f>SUMIFS(mdr_rate_cleaned!$G$2:$G$10,mdr_rate_cleaned!$A$2:$A$10,B3286,mdr_rate_cleaned!$B$2:$B$10,"&lt;"&amp;C3286,mdr_rate_cleaned!$F$2:$F$10,"&gt;="&amp;C3286)</f>
        <v>1.7000000000000001E-2</v>
      </c>
      <c r="H3286" s="24">
        <f t="shared" si="255"/>
        <v>40.770000000000003</v>
      </c>
      <c r="I3286" s="23" t="str">
        <f t="shared" si="256"/>
        <v>Match</v>
      </c>
      <c r="J3286" s="23" t="str">
        <f t="shared" si="257"/>
        <v>Match</v>
      </c>
      <c r="K3286" s="24">
        <f t="shared" si="258"/>
        <v>7.34</v>
      </c>
      <c r="L3286" s="24">
        <f t="shared" si="259"/>
        <v>0</v>
      </c>
    </row>
    <row r="3287" spans="1:12" ht="15" customHeight="1" x14ac:dyDescent="0.3">
      <c r="A3287" s="23" t="s">
        <v>16340</v>
      </c>
      <c r="B3287" s="23" t="s">
        <v>75</v>
      </c>
      <c r="C3287" s="39">
        <v>2499</v>
      </c>
      <c r="D3287" s="24">
        <v>7.5</v>
      </c>
      <c r="E3287" s="24">
        <v>1.35</v>
      </c>
      <c r="F3287" s="23">
        <f>COUNTIFS(mdr_rate_cleaned!$A$2:$A$10,B3287,mdr_rate_cleaned!$B$2:$B$10,"&lt;"&amp;C3287,mdr_rate_cleaned!$F$2:$F$10,"&gt;="&amp;C3287)</f>
        <v>1</v>
      </c>
      <c r="G3287" s="40">
        <f>SUMIFS(mdr_rate_cleaned!$G$2:$G$10,mdr_rate_cleaned!$A$2:$A$10,B3287,mdr_rate_cleaned!$B$2:$B$10,"&lt;"&amp;C3287,mdr_rate_cleaned!$F$2:$F$10,"&gt;="&amp;C3287)</f>
        <v>3.0000000000000001E-3</v>
      </c>
      <c r="H3287" s="24">
        <f t="shared" si="255"/>
        <v>7.5</v>
      </c>
      <c r="I3287" s="23" t="str">
        <f t="shared" si="256"/>
        <v>Match</v>
      </c>
      <c r="J3287" s="23" t="str">
        <f t="shared" si="257"/>
        <v>Match</v>
      </c>
      <c r="K3287" s="24">
        <f t="shared" si="258"/>
        <v>1.35</v>
      </c>
      <c r="L3287" s="24">
        <f t="shared" si="259"/>
        <v>0</v>
      </c>
    </row>
    <row r="3288" spans="1:12" ht="15" customHeight="1" x14ac:dyDescent="0.3">
      <c r="A3288" s="23" t="s">
        <v>16341</v>
      </c>
      <c r="B3288" s="23" t="s">
        <v>79</v>
      </c>
      <c r="C3288" s="39">
        <v>4999</v>
      </c>
      <c r="D3288" s="24">
        <v>79.98</v>
      </c>
      <c r="E3288" s="24">
        <v>14.4</v>
      </c>
      <c r="F3288" s="23">
        <f>COUNTIFS(mdr_rate_cleaned!$A$2:$A$10,B3288,mdr_rate_cleaned!$B$2:$B$10,"&lt;"&amp;C3288,mdr_rate_cleaned!$F$2:$F$10,"&gt;="&amp;C3288)</f>
        <v>1</v>
      </c>
      <c r="G3288" s="40">
        <f>SUMIFS(mdr_rate_cleaned!$G$2:$G$10,mdr_rate_cleaned!$A$2:$A$10,B3288,mdr_rate_cleaned!$B$2:$B$10,"&lt;"&amp;C3288,mdr_rate_cleaned!$F$2:$F$10,"&gt;="&amp;C3288)</f>
        <v>1.6E-2</v>
      </c>
      <c r="H3288" s="24">
        <f t="shared" si="255"/>
        <v>79.98</v>
      </c>
      <c r="I3288" s="23" t="str">
        <f t="shared" si="256"/>
        <v>Match</v>
      </c>
      <c r="J3288" s="23" t="str">
        <f t="shared" si="257"/>
        <v>Match</v>
      </c>
      <c r="K3288" s="24">
        <f t="shared" si="258"/>
        <v>14.4</v>
      </c>
      <c r="L3288" s="24">
        <f t="shared" si="259"/>
        <v>0</v>
      </c>
    </row>
    <row r="3289" spans="1:12" ht="15" customHeight="1" x14ac:dyDescent="0.3">
      <c r="A3289" s="23" t="s">
        <v>16342</v>
      </c>
      <c r="B3289" s="23" t="s">
        <v>79</v>
      </c>
      <c r="C3289" s="39">
        <v>3498</v>
      </c>
      <c r="D3289" s="24">
        <v>55.97</v>
      </c>
      <c r="E3289" s="24">
        <v>10.07</v>
      </c>
      <c r="F3289" s="23">
        <f>COUNTIFS(mdr_rate_cleaned!$A$2:$A$10,B3289,mdr_rate_cleaned!$B$2:$B$10,"&lt;"&amp;C3289,mdr_rate_cleaned!$F$2:$F$10,"&gt;="&amp;C3289)</f>
        <v>1</v>
      </c>
      <c r="G3289" s="40">
        <f>SUMIFS(mdr_rate_cleaned!$G$2:$G$10,mdr_rate_cleaned!$A$2:$A$10,B3289,mdr_rate_cleaned!$B$2:$B$10,"&lt;"&amp;C3289,mdr_rate_cleaned!$F$2:$F$10,"&gt;="&amp;C3289)</f>
        <v>1.6E-2</v>
      </c>
      <c r="H3289" s="24">
        <f t="shared" si="255"/>
        <v>55.97</v>
      </c>
      <c r="I3289" s="23" t="str">
        <f t="shared" si="256"/>
        <v>Match</v>
      </c>
      <c r="J3289" s="23" t="str">
        <f t="shared" si="257"/>
        <v>Match</v>
      </c>
      <c r="K3289" s="24">
        <f t="shared" si="258"/>
        <v>10.07</v>
      </c>
      <c r="L3289" s="24">
        <f t="shared" si="259"/>
        <v>0</v>
      </c>
    </row>
    <row r="3290" spans="1:12" ht="15" customHeight="1" x14ac:dyDescent="0.3">
      <c r="A3290" s="23" t="s">
        <v>16343</v>
      </c>
      <c r="B3290" s="23" t="s">
        <v>79</v>
      </c>
      <c r="C3290" s="39">
        <v>2999</v>
      </c>
      <c r="D3290" s="24">
        <v>47.98</v>
      </c>
      <c r="E3290" s="24">
        <v>8.64</v>
      </c>
      <c r="F3290" s="23">
        <f>COUNTIFS(mdr_rate_cleaned!$A$2:$A$10,B3290,mdr_rate_cleaned!$B$2:$B$10,"&lt;"&amp;C3290,mdr_rate_cleaned!$F$2:$F$10,"&gt;="&amp;C3290)</f>
        <v>1</v>
      </c>
      <c r="G3290" s="40">
        <f>SUMIFS(mdr_rate_cleaned!$G$2:$G$10,mdr_rate_cleaned!$A$2:$A$10,B3290,mdr_rate_cleaned!$B$2:$B$10,"&lt;"&amp;C3290,mdr_rate_cleaned!$F$2:$F$10,"&gt;="&amp;C3290)</f>
        <v>1.6E-2</v>
      </c>
      <c r="H3290" s="24">
        <f t="shared" si="255"/>
        <v>47.98</v>
      </c>
      <c r="I3290" s="23" t="str">
        <f t="shared" si="256"/>
        <v>Match</v>
      </c>
      <c r="J3290" s="23" t="str">
        <f t="shared" si="257"/>
        <v>Match</v>
      </c>
      <c r="K3290" s="24">
        <f t="shared" si="258"/>
        <v>8.64</v>
      </c>
      <c r="L3290" s="24">
        <f t="shared" si="259"/>
        <v>0</v>
      </c>
    </row>
    <row r="3291" spans="1:12" ht="15" customHeight="1" x14ac:dyDescent="0.3">
      <c r="A3291" s="23" t="s">
        <v>16345</v>
      </c>
      <c r="B3291" s="23" t="s">
        <v>75</v>
      </c>
      <c r="C3291" s="39">
        <v>3998</v>
      </c>
      <c r="D3291" s="24">
        <v>11.99</v>
      </c>
      <c r="E3291" s="24">
        <v>2.16</v>
      </c>
      <c r="F3291" s="23">
        <f>COUNTIFS(mdr_rate_cleaned!$A$2:$A$10,B3291,mdr_rate_cleaned!$B$2:$B$10,"&lt;"&amp;C3291,mdr_rate_cleaned!$F$2:$F$10,"&gt;="&amp;C3291)</f>
        <v>1</v>
      </c>
      <c r="G3291" s="40">
        <f>SUMIFS(mdr_rate_cleaned!$G$2:$G$10,mdr_rate_cleaned!$A$2:$A$10,B3291,mdr_rate_cleaned!$B$2:$B$10,"&lt;"&amp;C3291,mdr_rate_cleaned!$F$2:$F$10,"&gt;="&amp;C3291)</f>
        <v>3.0000000000000001E-3</v>
      </c>
      <c r="H3291" s="24">
        <f t="shared" si="255"/>
        <v>11.99</v>
      </c>
      <c r="I3291" s="23" t="str">
        <f t="shared" si="256"/>
        <v>Match</v>
      </c>
      <c r="J3291" s="23" t="str">
        <f t="shared" si="257"/>
        <v>Match</v>
      </c>
      <c r="K3291" s="24">
        <f t="shared" si="258"/>
        <v>2.16</v>
      </c>
      <c r="L3291" s="24">
        <f t="shared" si="259"/>
        <v>0</v>
      </c>
    </row>
    <row r="3292" spans="1:12" ht="15" customHeight="1" x14ac:dyDescent="0.3">
      <c r="A3292" s="23" t="s">
        <v>16346</v>
      </c>
      <c r="B3292" s="23" t="s">
        <v>75</v>
      </c>
      <c r="C3292" s="39">
        <v>2397</v>
      </c>
      <c r="D3292" s="24">
        <v>7.19</v>
      </c>
      <c r="E3292" s="24">
        <v>1.29</v>
      </c>
      <c r="F3292" s="23">
        <f>COUNTIFS(mdr_rate_cleaned!$A$2:$A$10,B3292,mdr_rate_cleaned!$B$2:$B$10,"&lt;"&amp;C3292,mdr_rate_cleaned!$F$2:$F$10,"&gt;="&amp;C3292)</f>
        <v>1</v>
      </c>
      <c r="G3292" s="40">
        <f>SUMIFS(mdr_rate_cleaned!$G$2:$G$10,mdr_rate_cleaned!$A$2:$A$10,B3292,mdr_rate_cleaned!$B$2:$B$10,"&lt;"&amp;C3292,mdr_rate_cleaned!$F$2:$F$10,"&gt;="&amp;C3292)</f>
        <v>3.0000000000000001E-3</v>
      </c>
      <c r="H3292" s="24">
        <f t="shared" si="255"/>
        <v>7.19</v>
      </c>
      <c r="I3292" s="23" t="str">
        <f t="shared" si="256"/>
        <v>Match</v>
      </c>
      <c r="J3292" s="23" t="str">
        <f t="shared" si="257"/>
        <v>Match</v>
      </c>
      <c r="K3292" s="24">
        <f t="shared" si="258"/>
        <v>1.29</v>
      </c>
      <c r="L3292" s="24">
        <f t="shared" si="259"/>
        <v>0</v>
      </c>
    </row>
    <row r="3293" spans="1:12" ht="15" customHeight="1" x14ac:dyDescent="0.3">
      <c r="A3293" s="23" t="s">
        <v>16347</v>
      </c>
      <c r="B3293" s="23" t="s">
        <v>81</v>
      </c>
      <c r="C3293" s="39">
        <v>2499</v>
      </c>
      <c r="D3293" s="24">
        <v>29.99</v>
      </c>
      <c r="E3293" s="24">
        <v>5.4</v>
      </c>
      <c r="F3293" s="23">
        <f>COUNTIFS(mdr_rate_cleaned!$A$2:$A$10,B3293,mdr_rate_cleaned!$B$2:$B$10,"&lt;"&amp;C3293,mdr_rate_cleaned!$F$2:$F$10,"&gt;="&amp;C3293)</f>
        <v>1</v>
      </c>
      <c r="G3293" s="40">
        <f>SUMIFS(mdr_rate_cleaned!$G$2:$G$10,mdr_rate_cleaned!$A$2:$A$10,B3293,mdr_rate_cleaned!$B$2:$B$10,"&lt;"&amp;C3293,mdr_rate_cleaned!$F$2:$F$10,"&gt;="&amp;C3293)</f>
        <v>1.2E-2</v>
      </c>
      <c r="H3293" s="24">
        <f t="shared" si="255"/>
        <v>29.99</v>
      </c>
      <c r="I3293" s="23" t="str">
        <f t="shared" si="256"/>
        <v>Match</v>
      </c>
      <c r="J3293" s="23" t="str">
        <f t="shared" si="257"/>
        <v>Match</v>
      </c>
      <c r="K3293" s="24">
        <f t="shared" si="258"/>
        <v>5.4</v>
      </c>
      <c r="L3293" s="24">
        <f t="shared" si="259"/>
        <v>0</v>
      </c>
    </row>
    <row r="3294" spans="1:12" ht="15" customHeight="1" x14ac:dyDescent="0.3">
      <c r="A3294" s="23" t="s">
        <v>16349</v>
      </c>
      <c r="B3294" s="23" t="s">
        <v>79</v>
      </c>
      <c r="C3294" s="39">
        <v>4999</v>
      </c>
      <c r="D3294" s="24">
        <v>79.98</v>
      </c>
      <c r="E3294" s="24">
        <v>14.4</v>
      </c>
      <c r="F3294" s="23">
        <f>COUNTIFS(mdr_rate_cleaned!$A$2:$A$10,B3294,mdr_rate_cleaned!$B$2:$B$10,"&lt;"&amp;C3294,mdr_rate_cleaned!$F$2:$F$10,"&gt;="&amp;C3294)</f>
        <v>1</v>
      </c>
      <c r="G3294" s="40">
        <f>SUMIFS(mdr_rate_cleaned!$G$2:$G$10,mdr_rate_cleaned!$A$2:$A$10,B3294,mdr_rate_cleaned!$B$2:$B$10,"&lt;"&amp;C3294,mdr_rate_cleaned!$F$2:$F$10,"&gt;="&amp;C3294)</f>
        <v>1.6E-2</v>
      </c>
      <c r="H3294" s="24">
        <f t="shared" si="255"/>
        <v>79.98</v>
      </c>
      <c r="I3294" s="23" t="str">
        <f t="shared" si="256"/>
        <v>Match</v>
      </c>
      <c r="J3294" s="23" t="str">
        <f t="shared" si="257"/>
        <v>Match</v>
      </c>
      <c r="K3294" s="24">
        <f t="shared" si="258"/>
        <v>14.4</v>
      </c>
      <c r="L3294" s="24">
        <f t="shared" si="259"/>
        <v>0</v>
      </c>
    </row>
    <row r="3295" spans="1:12" ht="15" customHeight="1" x14ac:dyDescent="0.3">
      <c r="A3295" s="23" t="s">
        <v>16350</v>
      </c>
      <c r="B3295" s="23" t="s">
        <v>75</v>
      </c>
      <c r="C3295" s="39">
        <v>6097</v>
      </c>
      <c r="D3295" s="24">
        <v>18.29</v>
      </c>
      <c r="E3295" s="24">
        <v>3.29</v>
      </c>
      <c r="F3295" s="23">
        <f>COUNTIFS(mdr_rate_cleaned!$A$2:$A$10,B3295,mdr_rate_cleaned!$B$2:$B$10,"&lt;"&amp;C3295,mdr_rate_cleaned!$F$2:$F$10,"&gt;="&amp;C3295)</f>
        <v>1</v>
      </c>
      <c r="G3295" s="40">
        <f>SUMIFS(mdr_rate_cleaned!$G$2:$G$10,mdr_rate_cleaned!$A$2:$A$10,B3295,mdr_rate_cleaned!$B$2:$B$10,"&lt;"&amp;C3295,mdr_rate_cleaned!$F$2:$F$10,"&gt;="&amp;C3295)</f>
        <v>3.0000000000000001E-3</v>
      </c>
      <c r="H3295" s="24">
        <f t="shared" si="255"/>
        <v>18.29</v>
      </c>
      <c r="I3295" s="23" t="str">
        <f t="shared" si="256"/>
        <v>Match</v>
      </c>
      <c r="J3295" s="23" t="str">
        <f t="shared" si="257"/>
        <v>Match</v>
      </c>
      <c r="K3295" s="24">
        <f t="shared" si="258"/>
        <v>3.29</v>
      </c>
      <c r="L3295" s="24">
        <f t="shared" si="259"/>
        <v>0</v>
      </c>
    </row>
    <row r="3296" spans="1:12" ht="15" customHeight="1" x14ac:dyDescent="0.3">
      <c r="A3296" s="23" t="s">
        <v>16360</v>
      </c>
      <c r="B3296" s="23" t="s">
        <v>75</v>
      </c>
      <c r="C3296" s="39">
        <v>1798</v>
      </c>
      <c r="D3296" s="24">
        <v>0</v>
      </c>
      <c r="E3296" s="24">
        <v>0</v>
      </c>
      <c r="F3296" s="23">
        <f>COUNTIFS(mdr_rate_cleaned!$A$2:$A$10,B3296,mdr_rate_cleaned!$B$2:$B$10,"&lt;"&amp;C3296,mdr_rate_cleaned!$F$2:$F$10,"&gt;="&amp;C3296)</f>
        <v>1</v>
      </c>
      <c r="G3296" s="40">
        <f>SUMIFS(mdr_rate_cleaned!$G$2:$G$10,mdr_rate_cleaned!$A$2:$A$10,B3296,mdr_rate_cleaned!$B$2:$B$10,"&lt;"&amp;C3296,mdr_rate_cleaned!$F$2:$F$10,"&gt;="&amp;C3296)</f>
        <v>0</v>
      </c>
      <c r="H3296" s="24">
        <f t="shared" si="255"/>
        <v>0</v>
      </c>
      <c r="I3296" s="23" t="str">
        <f t="shared" si="256"/>
        <v>Match</v>
      </c>
      <c r="J3296" s="23" t="str">
        <f t="shared" si="257"/>
        <v>Match</v>
      </c>
      <c r="K3296" s="24">
        <f t="shared" si="258"/>
        <v>0</v>
      </c>
      <c r="L3296" s="24">
        <f t="shared" si="259"/>
        <v>0</v>
      </c>
    </row>
    <row r="3297" spans="1:12" ht="15" customHeight="1" x14ac:dyDescent="0.3">
      <c r="A3297" s="23" t="s">
        <v>16361</v>
      </c>
      <c r="B3297" s="23" t="s">
        <v>79</v>
      </c>
      <c r="C3297" s="39">
        <v>1798</v>
      </c>
      <c r="D3297" s="24">
        <v>32.36</v>
      </c>
      <c r="E3297" s="24">
        <v>5.82</v>
      </c>
      <c r="F3297" s="23">
        <f>COUNTIFS(mdr_rate_cleaned!$A$2:$A$10,B3297,mdr_rate_cleaned!$B$2:$B$10,"&lt;"&amp;C3297,mdr_rate_cleaned!$F$2:$F$10,"&gt;="&amp;C3297)</f>
        <v>1</v>
      </c>
      <c r="G3297" s="40">
        <f>SUMIFS(mdr_rate_cleaned!$G$2:$G$10,mdr_rate_cleaned!$A$2:$A$10,B3297,mdr_rate_cleaned!$B$2:$B$10,"&lt;"&amp;C3297,mdr_rate_cleaned!$F$2:$F$10,"&gt;="&amp;C3297)</f>
        <v>1.8000000000000002E-2</v>
      </c>
      <c r="H3297" s="24">
        <f t="shared" si="255"/>
        <v>32.36</v>
      </c>
      <c r="I3297" s="23" t="str">
        <f t="shared" si="256"/>
        <v>Match</v>
      </c>
      <c r="J3297" s="23" t="str">
        <f t="shared" si="257"/>
        <v>Match</v>
      </c>
      <c r="K3297" s="24">
        <f t="shared" si="258"/>
        <v>5.82</v>
      </c>
      <c r="L3297" s="24">
        <f t="shared" si="259"/>
        <v>0</v>
      </c>
    </row>
    <row r="3298" spans="1:12" ht="15" customHeight="1" x14ac:dyDescent="0.3">
      <c r="A3298" s="23" t="s">
        <v>16363</v>
      </c>
      <c r="B3298" s="23" t="s">
        <v>77</v>
      </c>
      <c r="C3298" s="39">
        <v>599</v>
      </c>
      <c r="D3298" s="24">
        <v>11.38</v>
      </c>
      <c r="E3298" s="24">
        <v>2.0499999999999998</v>
      </c>
      <c r="F3298" s="23">
        <f>COUNTIFS(mdr_rate_cleaned!$A$2:$A$10,B3298,mdr_rate_cleaned!$B$2:$B$10,"&lt;"&amp;C3298,mdr_rate_cleaned!$F$2:$F$10,"&gt;="&amp;C3298)</f>
        <v>1</v>
      </c>
      <c r="G3298" s="40">
        <f>SUMIFS(mdr_rate_cleaned!$G$2:$G$10,mdr_rate_cleaned!$A$2:$A$10,B3298,mdr_rate_cleaned!$B$2:$B$10,"&lt;"&amp;C3298,mdr_rate_cleaned!$F$2:$F$10,"&gt;="&amp;C3298)</f>
        <v>1.9E-2</v>
      </c>
      <c r="H3298" s="24">
        <f t="shared" si="255"/>
        <v>11.38</v>
      </c>
      <c r="I3298" s="23" t="str">
        <f t="shared" si="256"/>
        <v>Match</v>
      </c>
      <c r="J3298" s="23" t="str">
        <f t="shared" si="257"/>
        <v>Match</v>
      </c>
      <c r="K3298" s="24">
        <f t="shared" si="258"/>
        <v>2.0499999999999998</v>
      </c>
      <c r="L3298" s="24">
        <f t="shared" si="259"/>
        <v>0</v>
      </c>
    </row>
    <row r="3299" spans="1:12" ht="15" customHeight="1" x14ac:dyDescent="0.3">
      <c r="A3299" s="23" t="s">
        <v>16364</v>
      </c>
      <c r="B3299" s="23" t="s">
        <v>75</v>
      </c>
      <c r="C3299" s="39">
        <v>1799</v>
      </c>
      <c r="D3299" s="24">
        <v>0</v>
      </c>
      <c r="E3299" s="24">
        <v>0</v>
      </c>
      <c r="F3299" s="23">
        <f>COUNTIFS(mdr_rate_cleaned!$A$2:$A$10,B3299,mdr_rate_cleaned!$B$2:$B$10,"&lt;"&amp;C3299,mdr_rate_cleaned!$F$2:$F$10,"&gt;="&amp;C3299)</f>
        <v>1</v>
      </c>
      <c r="G3299" s="40">
        <f>SUMIFS(mdr_rate_cleaned!$G$2:$G$10,mdr_rate_cleaned!$A$2:$A$10,B3299,mdr_rate_cleaned!$B$2:$B$10,"&lt;"&amp;C3299,mdr_rate_cleaned!$F$2:$F$10,"&gt;="&amp;C3299)</f>
        <v>0</v>
      </c>
      <c r="H3299" s="24">
        <f t="shared" si="255"/>
        <v>0</v>
      </c>
      <c r="I3299" s="23" t="str">
        <f t="shared" si="256"/>
        <v>Match</v>
      </c>
      <c r="J3299" s="23" t="str">
        <f t="shared" si="257"/>
        <v>Match</v>
      </c>
      <c r="K3299" s="24">
        <f t="shared" si="258"/>
        <v>0</v>
      </c>
      <c r="L3299" s="24">
        <f t="shared" si="259"/>
        <v>0</v>
      </c>
    </row>
    <row r="3300" spans="1:12" ht="15" customHeight="1" x14ac:dyDescent="0.3">
      <c r="A3300" s="23" t="s">
        <v>16365</v>
      </c>
      <c r="B3300" s="23" t="s">
        <v>75</v>
      </c>
      <c r="C3300" s="39">
        <v>3499</v>
      </c>
      <c r="D3300" s="24">
        <v>10.5</v>
      </c>
      <c r="E3300" s="24">
        <v>1.89</v>
      </c>
      <c r="F3300" s="23">
        <f>COUNTIFS(mdr_rate_cleaned!$A$2:$A$10,B3300,mdr_rate_cleaned!$B$2:$B$10,"&lt;"&amp;C3300,mdr_rate_cleaned!$F$2:$F$10,"&gt;="&amp;C3300)</f>
        <v>1</v>
      </c>
      <c r="G3300" s="40">
        <f>SUMIFS(mdr_rate_cleaned!$G$2:$G$10,mdr_rate_cleaned!$A$2:$A$10,B3300,mdr_rate_cleaned!$B$2:$B$10,"&lt;"&amp;C3300,mdr_rate_cleaned!$F$2:$F$10,"&gt;="&amp;C3300)</f>
        <v>3.0000000000000001E-3</v>
      </c>
      <c r="H3300" s="24">
        <f t="shared" si="255"/>
        <v>10.5</v>
      </c>
      <c r="I3300" s="23" t="str">
        <f t="shared" si="256"/>
        <v>Match</v>
      </c>
      <c r="J3300" s="23" t="str">
        <f t="shared" si="257"/>
        <v>Match</v>
      </c>
      <c r="K3300" s="24">
        <f t="shared" si="258"/>
        <v>1.89</v>
      </c>
      <c r="L3300" s="24">
        <f t="shared" si="259"/>
        <v>0</v>
      </c>
    </row>
    <row r="3301" spans="1:12" ht="15" customHeight="1" x14ac:dyDescent="0.3">
      <c r="A3301" s="23" t="s">
        <v>16366</v>
      </c>
      <c r="B3301" s="23" t="s">
        <v>77</v>
      </c>
      <c r="C3301" s="39">
        <v>1299</v>
      </c>
      <c r="D3301" s="24">
        <v>24.68</v>
      </c>
      <c r="E3301" s="24">
        <v>4.4400000000000004</v>
      </c>
      <c r="F3301" s="23">
        <f>COUNTIFS(mdr_rate_cleaned!$A$2:$A$10,B3301,mdr_rate_cleaned!$B$2:$B$10,"&lt;"&amp;C3301,mdr_rate_cleaned!$F$2:$F$10,"&gt;="&amp;C3301)</f>
        <v>1</v>
      </c>
      <c r="G3301" s="40">
        <f>SUMIFS(mdr_rate_cleaned!$G$2:$G$10,mdr_rate_cleaned!$A$2:$A$10,B3301,mdr_rate_cleaned!$B$2:$B$10,"&lt;"&amp;C3301,mdr_rate_cleaned!$F$2:$F$10,"&gt;="&amp;C3301)</f>
        <v>1.9E-2</v>
      </c>
      <c r="H3301" s="24">
        <f t="shared" si="255"/>
        <v>24.68</v>
      </c>
      <c r="I3301" s="23" t="str">
        <f t="shared" si="256"/>
        <v>Match</v>
      </c>
      <c r="J3301" s="23" t="str">
        <f t="shared" si="257"/>
        <v>Match</v>
      </c>
      <c r="K3301" s="24">
        <f t="shared" si="258"/>
        <v>4.4400000000000004</v>
      </c>
      <c r="L3301" s="24">
        <f t="shared" si="259"/>
        <v>0</v>
      </c>
    </row>
    <row r="3302" spans="1:12" ht="15" customHeight="1" x14ac:dyDescent="0.3">
      <c r="A3302" s="23" t="s">
        <v>16367</v>
      </c>
      <c r="B3302" s="23" t="s">
        <v>79</v>
      </c>
      <c r="C3302" s="39">
        <v>3597</v>
      </c>
      <c r="D3302" s="24">
        <v>57.55</v>
      </c>
      <c r="E3302" s="24">
        <v>10.36</v>
      </c>
      <c r="F3302" s="23">
        <f>COUNTIFS(mdr_rate_cleaned!$A$2:$A$10,B3302,mdr_rate_cleaned!$B$2:$B$10,"&lt;"&amp;C3302,mdr_rate_cleaned!$F$2:$F$10,"&gt;="&amp;C3302)</f>
        <v>1</v>
      </c>
      <c r="G3302" s="40">
        <f>SUMIFS(mdr_rate_cleaned!$G$2:$G$10,mdr_rate_cleaned!$A$2:$A$10,B3302,mdr_rate_cleaned!$B$2:$B$10,"&lt;"&amp;C3302,mdr_rate_cleaned!$F$2:$F$10,"&gt;="&amp;C3302)</f>
        <v>1.6E-2</v>
      </c>
      <c r="H3302" s="24">
        <f t="shared" si="255"/>
        <v>57.55</v>
      </c>
      <c r="I3302" s="23" t="str">
        <f t="shared" si="256"/>
        <v>Match</v>
      </c>
      <c r="J3302" s="23" t="str">
        <f t="shared" si="257"/>
        <v>Match</v>
      </c>
      <c r="K3302" s="24">
        <f t="shared" si="258"/>
        <v>10.36</v>
      </c>
      <c r="L3302" s="24">
        <f t="shared" si="259"/>
        <v>0</v>
      </c>
    </row>
    <row r="3303" spans="1:12" ht="15" customHeight="1" x14ac:dyDescent="0.3">
      <c r="A3303" s="23" t="s">
        <v>16368</v>
      </c>
      <c r="B3303" s="23" t="s">
        <v>79</v>
      </c>
      <c r="C3303" s="39">
        <v>299</v>
      </c>
      <c r="D3303" s="24">
        <v>5.38</v>
      </c>
      <c r="E3303" s="24">
        <v>0.97</v>
      </c>
      <c r="F3303" s="23">
        <f>COUNTIFS(mdr_rate_cleaned!$A$2:$A$10,B3303,mdr_rate_cleaned!$B$2:$B$10,"&lt;"&amp;C3303,mdr_rate_cleaned!$F$2:$F$10,"&gt;="&amp;C3303)</f>
        <v>1</v>
      </c>
      <c r="G3303" s="40">
        <f>SUMIFS(mdr_rate_cleaned!$G$2:$G$10,mdr_rate_cleaned!$A$2:$A$10,B3303,mdr_rate_cleaned!$B$2:$B$10,"&lt;"&amp;C3303,mdr_rate_cleaned!$F$2:$F$10,"&gt;="&amp;C3303)</f>
        <v>1.8000000000000002E-2</v>
      </c>
      <c r="H3303" s="24">
        <f t="shared" si="255"/>
        <v>5.38</v>
      </c>
      <c r="I3303" s="23" t="str">
        <f t="shared" si="256"/>
        <v>Match</v>
      </c>
      <c r="J3303" s="23" t="str">
        <f t="shared" si="257"/>
        <v>Match</v>
      </c>
      <c r="K3303" s="24">
        <f t="shared" si="258"/>
        <v>0.97</v>
      </c>
      <c r="L3303" s="24">
        <f t="shared" si="259"/>
        <v>0</v>
      </c>
    </row>
    <row r="3304" spans="1:12" ht="15" customHeight="1" x14ac:dyDescent="0.3">
      <c r="A3304" s="23" t="s">
        <v>16369</v>
      </c>
      <c r="B3304" s="23" t="s">
        <v>75</v>
      </c>
      <c r="C3304" s="39">
        <v>3098</v>
      </c>
      <c r="D3304" s="24">
        <v>9.2899999999999991</v>
      </c>
      <c r="E3304" s="24">
        <v>1.67</v>
      </c>
      <c r="F3304" s="23">
        <f>COUNTIFS(mdr_rate_cleaned!$A$2:$A$10,B3304,mdr_rate_cleaned!$B$2:$B$10,"&lt;"&amp;C3304,mdr_rate_cleaned!$F$2:$F$10,"&gt;="&amp;C3304)</f>
        <v>1</v>
      </c>
      <c r="G3304" s="40">
        <f>SUMIFS(mdr_rate_cleaned!$G$2:$G$10,mdr_rate_cleaned!$A$2:$A$10,B3304,mdr_rate_cleaned!$B$2:$B$10,"&lt;"&amp;C3304,mdr_rate_cleaned!$F$2:$F$10,"&gt;="&amp;C3304)</f>
        <v>3.0000000000000001E-3</v>
      </c>
      <c r="H3304" s="24">
        <f t="shared" si="255"/>
        <v>9.2899999999999991</v>
      </c>
      <c r="I3304" s="23" t="str">
        <f t="shared" si="256"/>
        <v>Match</v>
      </c>
      <c r="J3304" s="23" t="str">
        <f t="shared" si="257"/>
        <v>Match</v>
      </c>
      <c r="K3304" s="24">
        <f t="shared" si="258"/>
        <v>1.67</v>
      </c>
      <c r="L3304" s="24">
        <f t="shared" si="259"/>
        <v>0</v>
      </c>
    </row>
    <row r="3305" spans="1:12" ht="15" customHeight="1" x14ac:dyDescent="0.3">
      <c r="A3305" s="23" t="s">
        <v>16371</v>
      </c>
      <c r="B3305" s="23" t="s">
        <v>75</v>
      </c>
      <c r="C3305" s="39">
        <v>2999</v>
      </c>
      <c r="D3305" s="24">
        <v>9</v>
      </c>
      <c r="E3305" s="24">
        <v>1.62</v>
      </c>
      <c r="F3305" s="23">
        <f>COUNTIFS(mdr_rate_cleaned!$A$2:$A$10,B3305,mdr_rate_cleaned!$B$2:$B$10,"&lt;"&amp;C3305,mdr_rate_cleaned!$F$2:$F$10,"&gt;="&amp;C3305)</f>
        <v>1</v>
      </c>
      <c r="G3305" s="40">
        <f>SUMIFS(mdr_rate_cleaned!$G$2:$G$10,mdr_rate_cleaned!$A$2:$A$10,B3305,mdr_rate_cleaned!$B$2:$B$10,"&lt;"&amp;C3305,mdr_rate_cleaned!$F$2:$F$10,"&gt;="&amp;C3305)</f>
        <v>3.0000000000000001E-3</v>
      </c>
      <c r="H3305" s="24">
        <f t="shared" si="255"/>
        <v>9</v>
      </c>
      <c r="I3305" s="23" t="str">
        <f t="shared" si="256"/>
        <v>Match</v>
      </c>
      <c r="J3305" s="23" t="str">
        <f t="shared" si="257"/>
        <v>Match</v>
      </c>
      <c r="K3305" s="24">
        <f t="shared" si="258"/>
        <v>1.62</v>
      </c>
      <c r="L3305" s="24">
        <f t="shared" si="259"/>
        <v>0</v>
      </c>
    </row>
    <row r="3306" spans="1:12" ht="15" customHeight="1" x14ac:dyDescent="0.3">
      <c r="A3306" s="23" t="s">
        <v>16372</v>
      </c>
      <c r="B3306" s="23" t="s">
        <v>75</v>
      </c>
      <c r="C3306" s="39">
        <v>1798</v>
      </c>
      <c r="D3306" s="24">
        <v>0</v>
      </c>
      <c r="E3306" s="24">
        <v>0</v>
      </c>
      <c r="F3306" s="23">
        <f>COUNTIFS(mdr_rate_cleaned!$A$2:$A$10,B3306,mdr_rate_cleaned!$B$2:$B$10,"&lt;"&amp;C3306,mdr_rate_cleaned!$F$2:$F$10,"&gt;="&amp;C3306)</f>
        <v>1</v>
      </c>
      <c r="G3306" s="40">
        <f>SUMIFS(mdr_rate_cleaned!$G$2:$G$10,mdr_rate_cleaned!$A$2:$A$10,B3306,mdr_rate_cleaned!$B$2:$B$10,"&lt;"&amp;C3306,mdr_rate_cleaned!$F$2:$F$10,"&gt;="&amp;C3306)</f>
        <v>0</v>
      </c>
      <c r="H3306" s="24">
        <f t="shared" si="255"/>
        <v>0</v>
      </c>
      <c r="I3306" s="23" t="str">
        <f t="shared" si="256"/>
        <v>Match</v>
      </c>
      <c r="J3306" s="23" t="str">
        <f t="shared" si="257"/>
        <v>Match</v>
      </c>
      <c r="K3306" s="24">
        <f t="shared" si="258"/>
        <v>0</v>
      </c>
      <c r="L3306" s="24">
        <f t="shared" si="259"/>
        <v>0</v>
      </c>
    </row>
    <row r="3307" spans="1:12" ht="15" customHeight="1" x14ac:dyDescent="0.3">
      <c r="A3307" s="23" t="s">
        <v>16373</v>
      </c>
      <c r="B3307" s="23" t="s">
        <v>77</v>
      </c>
      <c r="C3307" s="39">
        <v>7999</v>
      </c>
      <c r="D3307" s="24">
        <v>135.97999999999999</v>
      </c>
      <c r="E3307" s="24">
        <v>24.48</v>
      </c>
      <c r="F3307" s="23">
        <f>COUNTIFS(mdr_rate_cleaned!$A$2:$A$10,B3307,mdr_rate_cleaned!$B$2:$B$10,"&lt;"&amp;C3307,mdr_rate_cleaned!$F$2:$F$10,"&gt;="&amp;C3307)</f>
        <v>1</v>
      </c>
      <c r="G3307" s="40">
        <f>SUMIFS(mdr_rate_cleaned!$G$2:$G$10,mdr_rate_cleaned!$A$2:$A$10,B3307,mdr_rate_cleaned!$B$2:$B$10,"&lt;"&amp;C3307,mdr_rate_cleaned!$F$2:$F$10,"&gt;="&amp;C3307)</f>
        <v>1.7000000000000001E-2</v>
      </c>
      <c r="H3307" s="24">
        <f t="shared" si="255"/>
        <v>135.97999999999999</v>
      </c>
      <c r="I3307" s="23" t="str">
        <f t="shared" si="256"/>
        <v>Match</v>
      </c>
      <c r="J3307" s="23" t="str">
        <f t="shared" si="257"/>
        <v>Match</v>
      </c>
      <c r="K3307" s="24">
        <f t="shared" si="258"/>
        <v>24.48</v>
      </c>
      <c r="L3307" s="24">
        <f t="shared" si="259"/>
        <v>0</v>
      </c>
    </row>
    <row r="3308" spans="1:12" ht="15" customHeight="1" x14ac:dyDescent="0.3">
      <c r="A3308" s="23" t="s">
        <v>16374</v>
      </c>
      <c r="B3308" s="23" t="s">
        <v>75</v>
      </c>
      <c r="C3308" s="39">
        <v>5097</v>
      </c>
      <c r="D3308" s="24">
        <v>15.29</v>
      </c>
      <c r="E3308" s="24">
        <v>2.75</v>
      </c>
      <c r="F3308" s="23">
        <f>COUNTIFS(mdr_rate_cleaned!$A$2:$A$10,B3308,mdr_rate_cleaned!$B$2:$B$10,"&lt;"&amp;C3308,mdr_rate_cleaned!$F$2:$F$10,"&gt;="&amp;C3308)</f>
        <v>1</v>
      </c>
      <c r="G3308" s="40">
        <f>SUMIFS(mdr_rate_cleaned!$G$2:$G$10,mdr_rate_cleaned!$A$2:$A$10,B3308,mdr_rate_cleaned!$B$2:$B$10,"&lt;"&amp;C3308,mdr_rate_cleaned!$F$2:$F$10,"&gt;="&amp;C3308)</f>
        <v>3.0000000000000001E-3</v>
      </c>
      <c r="H3308" s="24">
        <f t="shared" si="255"/>
        <v>15.29</v>
      </c>
      <c r="I3308" s="23" t="str">
        <f t="shared" si="256"/>
        <v>Match</v>
      </c>
      <c r="J3308" s="23" t="str">
        <f t="shared" si="257"/>
        <v>Match</v>
      </c>
      <c r="K3308" s="24">
        <f t="shared" si="258"/>
        <v>2.75</v>
      </c>
      <c r="L3308" s="24">
        <f t="shared" si="259"/>
        <v>0</v>
      </c>
    </row>
    <row r="3309" spans="1:12" ht="15" customHeight="1" x14ac:dyDescent="0.3">
      <c r="A3309" s="23" t="s">
        <v>16375</v>
      </c>
      <c r="B3309" s="23" t="s">
        <v>75</v>
      </c>
      <c r="C3309" s="39">
        <v>299</v>
      </c>
      <c r="D3309" s="24">
        <v>0</v>
      </c>
      <c r="E3309" s="24">
        <v>0</v>
      </c>
      <c r="F3309" s="23">
        <f>COUNTIFS(mdr_rate_cleaned!$A$2:$A$10,B3309,mdr_rate_cleaned!$B$2:$B$10,"&lt;"&amp;C3309,mdr_rate_cleaned!$F$2:$F$10,"&gt;="&amp;C3309)</f>
        <v>1</v>
      </c>
      <c r="G3309" s="40">
        <f>SUMIFS(mdr_rate_cleaned!$G$2:$G$10,mdr_rate_cleaned!$A$2:$A$10,B3309,mdr_rate_cleaned!$B$2:$B$10,"&lt;"&amp;C3309,mdr_rate_cleaned!$F$2:$F$10,"&gt;="&amp;C3309)</f>
        <v>0</v>
      </c>
      <c r="H3309" s="24">
        <f t="shared" si="255"/>
        <v>0</v>
      </c>
      <c r="I3309" s="23" t="str">
        <f t="shared" si="256"/>
        <v>Match</v>
      </c>
      <c r="J3309" s="23" t="str">
        <f t="shared" si="257"/>
        <v>Match</v>
      </c>
      <c r="K3309" s="24">
        <f t="shared" si="258"/>
        <v>0</v>
      </c>
      <c r="L3309" s="24">
        <f t="shared" si="259"/>
        <v>0</v>
      </c>
    </row>
    <row r="3310" spans="1:12" ht="15" customHeight="1" x14ac:dyDescent="0.3">
      <c r="A3310" s="23" t="s">
        <v>16376</v>
      </c>
      <c r="B3310" s="23" t="s">
        <v>77</v>
      </c>
      <c r="C3310" s="39">
        <v>349</v>
      </c>
      <c r="D3310" s="24">
        <v>6.63</v>
      </c>
      <c r="E3310" s="24">
        <v>1.19</v>
      </c>
      <c r="F3310" s="23">
        <f>COUNTIFS(mdr_rate_cleaned!$A$2:$A$10,B3310,mdr_rate_cleaned!$B$2:$B$10,"&lt;"&amp;C3310,mdr_rate_cleaned!$F$2:$F$10,"&gt;="&amp;C3310)</f>
        <v>1</v>
      </c>
      <c r="G3310" s="40">
        <f>SUMIFS(mdr_rate_cleaned!$G$2:$G$10,mdr_rate_cleaned!$A$2:$A$10,B3310,mdr_rate_cleaned!$B$2:$B$10,"&lt;"&amp;C3310,mdr_rate_cleaned!$F$2:$F$10,"&gt;="&amp;C3310)</f>
        <v>1.9E-2</v>
      </c>
      <c r="H3310" s="24">
        <f t="shared" si="255"/>
        <v>6.63</v>
      </c>
      <c r="I3310" s="23" t="str">
        <f t="shared" si="256"/>
        <v>Match</v>
      </c>
      <c r="J3310" s="23" t="str">
        <f t="shared" si="257"/>
        <v>Match</v>
      </c>
      <c r="K3310" s="24">
        <f t="shared" si="258"/>
        <v>1.19</v>
      </c>
      <c r="L3310" s="24">
        <f t="shared" si="259"/>
        <v>0</v>
      </c>
    </row>
    <row r="3311" spans="1:12" ht="15" customHeight="1" x14ac:dyDescent="0.3">
      <c r="A3311" s="23" t="s">
        <v>16377</v>
      </c>
      <c r="B3311" s="23" t="s">
        <v>75</v>
      </c>
      <c r="C3311" s="39">
        <v>8998</v>
      </c>
      <c r="D3311" s="24">
        <v>26.99</v>
      </c>
      <c r="E3311" s="24">
        <v>4.8600000000000003</v>
      </c>
      <c r="F3311" s="23">
        <f>COUNTIFS(mdr_rate_cleaned!$A$2:$A$10,B3311,mdr_rate_cleaned!$B$2:$B$10,"&lt;"&amp;C3311,mdr_rate_cleaned!$F$2:$F$10,"&gt;="&amp;C3311)</f>
        <v>1</v>
      </c>
      <c r="G3311" s="40">
        <f>SUMIFS(mdr_rate_cleaned!$G$2:$G$10,mdr_rate_cleaned!$A$2:$A$10,B3311,mdr_rate_cleaned!$B$2:$B$10,"&lt;"&amp;C3311,mdr_rate_cleaned!$F$2:$F$10,"&gt;="&amp;C3311)</f>
        <v>3.0000000000000001E-3</v>
      </c>
      <c r="H3311" s="24">
        <f t="shared" si="255"/>
        <v>26.99</v>
      </c>
      <c r="I3311" s="23" t="str">
        <f t="shared" si="256"/>
        <v>Match</v>
      </c>
      <c r="J3311" s="23" t="str">
        <f t="shared" si="257"/>
        <v>Match</v>
      </c>
      <c r="K3311" s="24">
        <f t="shared" si="258"/>
        <v>4.8600000000000003</v>
      </c>
      <c r="L3311" s="24">
        <f t="shared" si="259"/>
        <v>0</v>
      </c>
    </row>
    <row r="3312" spans="1:12" ht="15" customHeight="1" x14ac:dyDescent="0.3">
      <c r="A3312" s="23" t="s">
        <v>16378</v>
      </c>
      <c r="B3312" s="23" t="s">
        <v>81</v>
      </c>
      <c r="C3312" s="39">
        <v>5698</v>
      </c>
      <c r="D3312" s="24">
        <v>68.38</v>
      </c>
      <c r="E3312" s="24">
        <v>12.31</v>
      </c>
      <c r="F3312" s="23">
        <f>COUNTIFS(mdr_rate_cleaned!$A$2:$A$10,B3312,mdr_rate_cleaned!$B$2:$B$10,"&lt;"&amp;C3312,mdr_rate_cleaned!$F$2:$F$10,"&gt;="&amp;C3312)</f>
        <v>1</v>
      </c>
      <c r="G3312" s="40">
        <f>SUMIFS(mdr_rate_cleaned!$G$2:$G$10,mdr_rate_cleaned!$A$2:$A$10,B3312,mdr_rate_cleaned!$B$2:$B$10,"&lt;"&amp;C3312,mdr_rate_cleaned!$F$2:$F$10,"&gt;="&amp;C3312)</f>
        <v>1.2E-2</v>
      </c>
      <c r="H3312" s="24">
        <f t="shared" si="255"/>
        <v>68.38</v>
      </c>
      <c r="I3312" s="23" t="str">
        <f t="shared" si="256"/>
        <v>Match</v>
      </c>
      <c r="J3312" s="23" t="str">
        <f t="shared" si="257"/>
        <v>Match</v>
      </c>
      <c r="K3312" s="24">
        <f t="shared" si="258"/>
        <v>12.31</v>
      </c>
      <c r="L3312" s="24">
        <f t="shared" si="259"/>
        <v>0</v>
      </c>
    </row>
    <row r="3313" spans="1:12" ht="15" customHeight="1" x14ac:dyDescent="0.3">
      <c r="A3313" s="23" t="s">
        <v>16379</v>
      </c>
      <c r="B3313" s="23" t="s">
        <v>75</v>
      </c>
      <c r="C3313" s="39">
        <v>4999</v>
      </c>
      <c r="D3313" s="24">
        <v>15</v>
      </c>
      <c r="E3313" s="24">
        <v>2.7</v>
      </c>
      <c r="F3313" s="23">
        <f>COUNTIFS(mdr_rate_cleaned!$A$2:$A$10,B3313,mdr_rate_cleaned!$B$2:$B$10,"&lt;"&amp;C3313,mdr_rate_cleaned!$F$2:$F$10,"&gt;="&amp;C3313)</f>
        <v>1</v>
      </c>
      <c r="G3313" s="40">
        <f>SUMIFS(mdr_rate_cleaned!$G$2:$G$10,mdr_rate_cleaned!$A$2:$A$10,B3313,mdr_rate_cleaned!$B$2:$B$10,"&lt;"&amp;C3313,mdr_rate_cleaned!$F$2:$F$10,"&gt;="&amp;C3313)</f>
        <v>3.0000000000000001E-3</v>
      </c>
      <c r="H3313" s="24">
        <f t="shared" si="255"/>
        <v>15</v>
      </c>
      <c r="I3313" s="23" t="str">
        <f t="shared" si="256"/>
        <v>Match</v>
      </c>
      <c r="J3313" s="23" t="str">
        <f t="shared" si="257"/>
        <v>Match</v>
      </c>
      <c r="K3313" s="24">
        <f t="shared" si="258"/>
        <v>2.7</v>
      </c>
      <c r="L3313" s="24">
        <f t="shared" si="259"/>
        <v>0</v>
      </c>
    </row>
    <row r="3314" spans="1:12" ht="15" customHeight="1" x14ac:dyDescent="0.3">
      <c r="A3314" s="23" t="s">
        <v>16380</v>
      </c>
      <c r="B3314" s="23" t="s">
        <v>77</v>
      </c>
      <c r="C3314" s="39">
        <v>10147</v>
      </c>
      <c r="D3314" s="24">
        <v>243.53</v>
      </c>
      <c r="E3314" s="24">
        <v>43.84</v>
      </c>
      <c r="F3314" s="23">
        <f>COUNTIFS(mdr_rate_cleaned!$A$2:$A$10,B3314,mdr_rate_cleaned!$B$2:$B$10,"&lt;"&amp;C3314,mdr_rate_cleaned!$F$2:$F$10,"&gt;="&amp;C3314)</f>
        <v>1</v>
      </c>
      <c r="G3314" s="40">
        <f>SUMIFS(mdr_rate_cleaned!$G$2:$G$10,mdr_rate_cleaned!$A$2:$A$10,B3314,mdr_rate_cleaned!$B$2:$B$10,"&lt;"&amp;C3314,mdr_rate_cleaned!$F$2:$F$10,"&gt;="&amp;C3314)</f>
        <v>1.7000000000000001E-2</v>
      </c>
      <c r="H3314" s="24">
        <f t="shared" si="255"/>
        <v>172.5</v>
      </c>
      <c r="I3314" s="23" t="str">
        <f t="shared" si="256"/>
        <v>Differs</v>
      </c>
      <c r="J3314" s="23" t="str">
        <f t="shared" si="257"/>
        <v>Match</v>
      </c>
      <c r="K3314" s="24">
        <f t="shared" si="258"/>
        <v>31.05</v>
      </c>
      <c r="L3314" s="24">
        <f t="shared" si="259"/>
        <v>83.82</v>
      </c>
    </row>
    <row r="3315" spans="1:12" ht="15" customHeight="1" x14ac:dyDescent="0.3">
      <c r="A3315" s="23" t="s">
        <v>16381</v>
      </c>
      <c r="B3315" s="23" t="s">
        <v>75</v>
      </c>
      <c r="C3315" s="39">
        <v>2999</v>
      </c>
      <c r="D3315" s="24">
        <v>9</v>
      </c>
      <c r="E3315" s="24">
        <v>1.62</v>
      </c>
      <c r="F3315" s="23">
        <f>COUNTIFS(mdr_rate_cleaned!$A$2:$A$10,B3315,mdr_rate_cleaned!$B$2:$B$10,"&lt;"&amp;C3315,mdr_rate_cleaned!$F$2:$F$10,"&gt;="&amp;C3315)</f>
        <v>1</v>
      </c>
      <c r="G3315" s="40">
        <f>SUMIFS(mdr_rate_cleaned!$G$2:$G$10,mdr_rate_cleaned!$A$2:$A$10,B3315,mdr_rate_cleaned!$B$2:$B$10,"&lt;"&amp;C3315,mdr_rate_cleaned!$F$2:$F$10,"&gt;="&amp;C3315)</f>
        <v>3.0000000000000001E-3</v>
      </c>
      <c r="H3315" s="24">
        <f t="shared" si="255"/>
        <v>9</v>
      </c>
      <c r="I3315" s="23" t="str">
        <f t="shared" si="256"/>
        <v>Match</v>
      </c>
      <c r="J3315" s="23" t="str">
        <f t="shared" si="257"/>
        <v>Match</v>
      </c>
      <c r="K3315" s="24">
        <f t="shared" si="258"/>
        <v>1.62</v>
      </c>
      <c r="L3315" s="24">
        <f t="shared" si="259"/>
        <v>0</v>
      </c>
    </row>
    <row r="3316" spans="1:12" ht="15" customHeight="1" x14ac:dyDescent="0.3">
      <c r="A3316" s="23" t="s">
        <v>16382</v>
      </c>
      <c r="B3316" s="23" t="s">
        <v>75</v>
      </c>
      <c r="C3316" s="39">
        <v>998</v>
      </c>
      <c r="D3316" s="24">
        <v>0</v>
      </c>
      <c r="E3316" s="24">
        <v>0</v>
      </c>
      <c r="F3316" s="23">
        <f>COUNTIFS(mdr_rate_cleaned!$A$2:$A$10,B3316,mdr_rate_cleaned!$B$2:$B$10,"&lt;"&amp;C3316,mdr_rate_cleaned!$F$2:$F$10,"&gt;="&amp;C3316)</f>
        <v>1</v>
      </c>
      <c r="G3316" s="40">
        <f>SUMIFS(mdr_rate_cleaned!$G$2:$G$10,mdr_rate_cleaned!$A$2:$A$10,B3316,mdr_rate_cleaned!$B$2:$B$10,"&lt;"&amp;C3316,mdr_rate_cleaned!$F$2:$F$10,"&gt;="&amp;C3316)</f>
        <v>0</v>
      </c>
      <c r="H3316" s="24">
        <f t="shared" si="255"/>
        <v>0</v>
      </c>
      <c r="I3316" s="23" t="str">
        <f t="shared" si="256"/>
        <v>Match</v>
      </c>
      <c r="J3316" s="23" t="str">
        <f t="shared" si="257"/>
        <v>Match</v>
      </c>
      <c r="K3316" s="24">
        <f t="shared" si="258"/>
        <v>0</v>
      </c>
      <c r="L3316" s="24">
        <f t="shared" si="259"/>
        <v>0</v>
      </c>
    </row>
    <row r="3317" spans="1:12" ht="15" customHeight="1" x14ac:dyDescent="0.3">
      <c r="A3317" s="23" t="s">
        <v>16383</v>
      </c>
      <c r="B3317" s="23" t="s">
        <v>75</v>
      </c>
      <c r="C3317" s="39">
        <v>7297</v>
      </c>
      <c r="D3317" s="24">
        <v>21.89</v>
      </c>
      <c r="E3317" s="24">
        <v>3.94</v>
      </c>
      <c r="F3317" s="23">
        <f>COUNTIFS(mdr_rate_cleaned!$A$2:$A$10,B3317,mdr_rate_cleaned!$B$2:$B$10,"&lt;"&amp;C3317,mdr_rate_cleaned!$F$2:$F$10,"&gt;="&amp;C3317)</f>
        <v>1</v>
      </c>
      <c r="G3317" s="40">
        <f>SUMIFS(mdr_rate_cleaned!$G$2:$G$10,mdr_rate_cleaned!$A$2:$A$10,B3317,mdr_rate_cleaned!$B$2:$B$10,"&lt;"&amp;C3317,mdr_rate_cleaned!$F$2:$F$10,"&gt;="&amp;C3317)</f>
        <v>3.0000000000000001E-3</v>
      </c>
      <c r="H3317" s="24">
        <f t="shared" si="255"/>
        <v>21.89</v>
      </c>
      <c r="I3317" s="23" t="str">
        <f t="shared" si="256"/>
        <v>Match</v>
      </c>
      <c r="J3317" s="23" t="str">
        <f t="shared" si="257"/>
        <v>Match</v>
      </c>
      <c r="K3317" s="24">
        <f t="shared" si="258"/>
        <v>3.94</v>
      </c>
      <c r="L3317" s="24">
        <f t="shared" si="259"/>
        <v>0</v>
      </c>
    </row>
    <row r="3318" spans="1:12" ht="15" customHeight="1" x14ac:dyDescent="0.3">
      <c r="A3318" s="23" t="s">
        <v>16384</v>
      </c>
      <c r="B3318" s="23" t="s">
        <v>79</v>
      </c>
      <c r="C3318" s="39">
        <v>1998</v>
      </c>
      <c r="D3318" s="24">
        <v>35.96</v>
      </c>
      <c r="E3318" s="24">
        <v>6.47</v>
      </c>
      <c r="F3318" s="23">
        <f>COUNTIFS(mdr_rate_cleaned!$A$2:$A$10,B3318,mdr_rate_cleaned!$B$2:$B$10,"&lt;"&amp;C3318,mdr_rate_cleaned!$F$2:$F$10,"&gt;="&amp;C3318)</f>
        <v>1</v>
      </c>
      <c r="G3318" s="40">
        <f>SUMIFS(mdr_rate_cleaned!$G$2:$G$10,mdr_rate_cleaned!$A$2:$A$10,B3318,mdr_rate_cleaned!$B$2:$B$10,"&lt;"&amp;C3318,mdr_rate_cleaned!$F$2:$F$10,"&gt;="&amp;C3318)</f>
        <v>1.8000000000000002E-2</v>
      </c>
      <c r="H3318" s="24">
        <f t="shared" si="255"/>
        <v>35.96</v>
      </c>
      <c r="I3318" s="23" t="str">
        <f t="shared" si="256"/>
        <v>Match</v>
      </c>
      <c r="J3318" s="23" t="str">
        <f t="shared" si="257"/>
        <v>Match</v>
      </c>
      <c r="K3318" s="24">
        <f t="shared" si="258"/>
        <v>6.47</v>
      </c>
      <c r="L3318" s="24">
        <f t="shared" si="259"/>
        <v>0</v>
      </c>
    </row>
    <row r="3319" spans="1:12" ht="15" customHeight="1" x14ac:dyDescent="0.3">
      <c r="A3319" s="23" t="s">
        <v>16386</v>
      </c>
      <c r="B3319" s="23" t="s">
        <v>81</v>
      </c>
      <c r="C3319" s="39">
        <v>999</v>
      </c>
      <c r="D3319" s="24">
        <v>14.99</v>
      </c>
      <c r="E3319" s="24">
        <v>2.7</v>
      </c>
      <c r="F3319" s="23">
        <f>COUNTIFS(mdr_rate_cleaned!$A$2:$A$10,B3319,mdr_rate_cleaned!$B$2:$B$10,"&lt;"&amp;C3319,mdr_rate_cleaned!$F$2:$F$10,"&gt;="&amp;C3319)</f>
        <v>1</v>
      </c>
      <c r="G3319" s="40">
        <f>SUMIFS(mdr_rate_cleaned!$G$2:$G$10,mdr_rate_cleaned!$A$2:$A$10,B3319,mdr_rate_cleaned!$B$2:$B$10,"&lt;"&amp;C3319,mdr_rate_cleaned!$F$2:$F$10,"&gt;="&amp;C3319)</f>
        <v>1.4999999999999999E-2</v>
      </c>
      <c r="H3319" s="24">
        <f t="shared" si="255"/>
        <v>14.99</v>
      </c>
      <c r="I3319" s="23" t="str">
        <f t="shared" si="256"/>
        <v>Match</v>
      </c>
      <c r="J3319" s="23" t="str">
        <f t="shared" si="257"/>
        <v>Match</v>
      </c>
      <c r="K3319" s="24">
        <f t="shared" si="258"/>
        <v>2.7</v>
      </c>
      <c r="L3319" s="24">
        <f t="shared" si="259"/>
        <v>0</v>
      </c>
    </row>
    <row r="3320" spans="1:12" ht="15" customHeight="1" x14ac:dyDescent="0.3">
      <c r="A3320" s="23" t="s">
        <v>16387</v>
      </c>
      <c r="B3320" s="23" t="s">
        <v>79</v>
      </c>
      <c r="C3320" s="39">
        <v>7497</v>
      </c>
      <c r="D3320" s="24">
        <v>119.95</v>
      </c>
      <c r="E3320" s="24">
        <v>21.59</v>
      </c>
      <c r="F3320" s="23">
        <f>COUNTIFS(mdr_rate_cleaned!$A$2:$A$10,B3320,mdr_rate_cleaned!$B$2:$B$10,"&lt;"&amp;C3320,mdr_rate_cleaned!$F$2:$F$10,"&gt;="&amp;C3320)</f>
        <v>1</v>
      </c>
      <c r="G3320" s="40">
        <f>SUMIFS(mdr_rate_cleaned!$G$2:$G$10,mdr_rate_cleaned!$A$2:$A$10,B3320,mdr_rate_cleaned!$B$2:$B$10,"&lt;"&amp;C3320,mdr_rate_cleaned!$F$2:$F$10,"&gt;="&amp;C3320)</f>
        <v>1.6E-2</v>
      </c>
      <c r="H3320" s="24">
        <f t="shared" si="255"/>
        <v>119.95</v>
      </c>
      <c r="I3320" s="23" t="str">
        <f t="shared" si="256"/>
        <v>Match</v>
      </c>
      <c r="J3320" s="23" t="str">
        <f t="shared" si="257"/>
        <v>Match</v>
      </c>
      <c r="K3320" s="24">
        <f t="shared" si="258"/>
        <v>21.59</v>
      </c>
      <c r="L3320" s="24">
        <f t="shared" si="259"/>
        <v>0</v>
      </c>
    </row>
    <row r="3321" spans="1:12" ht="15" customHeight="1" x14ac:dyDescent="0.3">
      <c r="A3321" s="23" t="s">
        <v>16388</v>
      </c>
      <c r="B3321" s="23" t="s">
        <v>79</v>
      </c>
      <c r="C3321" s="39">
        <v>3998</v>
      </c>
      <c r="D3321" s="24">
        <v>63.97</v>
      </c>
      <c r="E3321" s="24">
        <v>11.51</v>
      </c>
      <c r="F3321" s="23">
        <f>COUNTIFS(mdr_rate_cleaned!$A$2:$A$10,B3321,mdr_rate_cleaned!$B$2:$B$10,"&lt;"&amp;C3321,mdr_rate_cleaned!$F$2:$F$10,"&gt;="&amp;C3321)</f>
        <v>1</v>
      </c>
      <c r="G3321" s="40">
        <f>SUMIFS(mdr_rate_cleaned!$G$2:$G$10,mdr_rate_cleaned!$A$2:$A$10,B3321,mdr_rate_cleaned!$B$2:$B$10,"&lt;"&amp;C3321,mdr_rate_cleaned!$F$2:$F$10,"&gt;="&amp;C3321)</f>
        <v>1.6E-2</v>
      </c>
      <c r="H3321" s="24">
        <f t="shared" si="255"/>
        <v>63.97</v>
      </c>
      <c r="I3321" s="23" t="str">
        <f t="shared" si="256"/>
        <v>Match</v>
      </c>
      <c r="J3321" s="23" t="str">
        <f t="shared" si="257"/>
        <v>Match</v>
      </c>
      <c r="K3321" s="24">
        <f t="shared" si="258"/>
        <v>11.51</v>
      </c>
      <c r="L3321" s="24">
        <f t="shared" si="259"/>
        <v>0</v>
      </c>
    </row>
    <row r="3322" spans="1:12" ht="15" customHeight="1" x14ac:dyDescent="0.3">
      <c r="A3322" s="23" t="s">
        <v>16389</v>
      </c>
      <c r="B3322" s="23" t="s">
        <v>79</v>
      </c>
      <c r="C3322" s="39">
        <v>7999</v>
      </c>
      <c r="D3322" s="24">
        <v>127.98</v>
      </c>
      <c r="E3322" s="24">
        <v>23.04</v>
      </c>
      <c r="F3322" s="23">
        <f>COUNTIFS(mdr_rate_cleaned!$A$2:$A$10,B3322,mdr_rate_cleaned!$B$2:$B$10,"&lt;"&amp;C3322,mdr_rate_cleaned!$F$2:$F$10,"&gt;="&amp;C3322)</f>
        <v>1</v>
      </c>
      <c r="G3322" s="40">
        <f>SUMIFS(mdr_rate_cleaned!$G$2:$G$10,mdr_rate_cleaned!$A$2:$A$10,B3322,mdr_rate_cleaned!$B$2:$B$10,"&lt;"&amp;C3322,mdr_rate_cleaned!$F$2:$F$10,"&gt;="&amp;C3322)</f>
        <v>1.6E-2</v>
      </c>
      <c r="H3322" s="24">
        <f t="shared" si="255"/>
        <v>127.98</v>
      </c>
      <c r="I3322" s="23" t="str">
        <f t="shared" si="256"/>
        <v>Match</v>
      </c>
      <c r="J3322" s="23" t="str">
        <f t="shared" si="257"/>
        <v>Match</v>
      </c>
      <c r="K3322" s="24">
        <f t="shared" si="258"/>
        <v>23.04</v>
      </c>
      <c r="L3322" s="24">
        <f t="shared" si="259"/>
        <v>0</v>
      </c>
    </row>
    <row r="3323" spans="1:12" ht="15" customHeight="1" x14ac:dyDescent="0.3">
      <c r="A3323" s="23" t="s">
        <v>16390</v>
      </c>
      <c r="B3323" s="23" t="s">
        <v>75</v>
      </c>
      <c r="C3323" s="39">
        <v>3397</v>
      </c>
      <c r="D3323" s="24">
        <v>10.19</v>
      </c>
      <c r="E3323" s="24">
        <v>1.83</v>
      </c>
      <c r="F3323" s="23">
        <f>COUNTIFS(mdr_rate_cleaned!$A$2:$A$10,B3323,mdr_rate_cleaned!$B$2:$B$10,"&lt;"&amp;C3323,mdr_rate_cleaned!$F$2:$F$10,"&gt;="&amp;C3323)</f>
        <v>1</v>
      </c>
      <c r="G3323" s="40">
        <f>SUMIFS(mdr_rate_cleaned!$G$2:$G$10,mdr_rate_cleaned!$A$2:$A$10,B3323,mdr_rate_cleaned!$B$2:$B$10,"&lt;"&amp;C3323,mdr_rate_cleaned!$F$2:$F$10,"&gt;="&amp;C3323)</f>
        <v>3.0000000000000001E-3</v>
      </c>
      <c r="H3323" s="24">
        <f t="shared" si="255"/>
        <v>10.19</v>
      </c>
      <c r="I3323" s="23" t="str">
        <f t="shared" si="256"/>
        <v>Match</v>
      </c>
      <c r="J3323" s="23" t="str">
        <f t="shared" si="257"/>
        <v>Match</v>
      </c>
      <c r="K3323" s="24">
        <f t="shared" si="258"/>
        <v>1.83</v>
      </c>
      <c r="L3323" s="24">
        <f t="shared" si="259"/>
        <v>0</v>
      </c>
    </row>
    <row r="3324" spans="1:12" ht="15" customHeight="1" x14ac:dyDescent="0.3">
      <c r="A3324" s="23" t="s">
        <v>16391</v>
      </c>
      <c r="B3324" s="23" t="s">
        <v>75</v>
      </c>
      <c r="C3324" s="39">
        <v>8997</v>
      </c>
      <c r="D3324" s="24">
        <v>26.99</v>
      </c>
      <c r="E3324" s="24">
        <v>4.8600000000000003</v>
      </c>
      <c r="F3324" s="23">
        <f>COUNTIFS(mdr_rate_cleaned!$A$2:$A$10,B3324,mdr_rate_cleaned!$B$2:$B$10,"&lt;"&amp;C3324,mdr_rate_cleaned!$F$2:$F$10,"&gt;="&amp;C3324)</f>
        <v>1</v>
      </c>
      <c r="G3324" s="40">
        <f>SUMIFS(mdr_rate_cleaned!$G$2:$G$10,mdr_rate_cleaned!$A$2:$A$10,B3324,mdr_rate_cleaned!$B$2:$B$10,"&lt;"&amp;C3324,mdr_rate_cleaned!$F$2:$F$10,"&gt;="&amp;C3324)</f>
        <v>3.0000000000000001E-3</v>
      </c>
      <c r="H3324" s="24">
        <f t="shared" si="255"/>
        <v>26.99</v>
      </c>
      <c r="I3324" s="23" t="str">
        <f t="shared" si="256"/>
        <v>Match</v>
      </c>
      <c r="J3324" s="23" t="str">
        <f t="shared" si="257"/>
        <v>Match</v>
      </c>
      <c r="K3324" s="24">
        <f t="shared" si="258"/>
        <v>4.8600000000000003</v>
      </c>
      <c r="L3324" s="24">
        <f t="shared" si="259"/>
        <v>0</v>
      </c>
    </row>
    <row r="3325" spans="1:12" ht="15" customHeight="1" x14ac:dyDescent="0.3">
      <c r="A3325" s="23" t="s">
        <v>16392</v>
      </c>
      <c r="B3325" s="23" t="s">
        <v>75</v>
      </c>
      <c r="C3325" s="39">
        <v>1198</v>
      </c>
      <c r="D3325" s="24">
        <v>0</v>
      </c>
      <c r="E3325" s="24">
        <v>0</v>
      </c>
      <c r="F3325" s="23">
        <f>COUNTIFS(mdr_rate_cleaned!$A$2:$A$10,B3325,mdr_rate_cleaned!$B$2:$B$10,"&lt;"&amp;C3325,mdr_rate_cleaned!$F$2:$F$10,"&gt;="&amp;C3325)</f>
        <v>1</v>
      </c>
      <c r="G3325" s="40">
        <f>SUMIFS(mdr_rate_cleaned!$G$2:$G$10,mdr_rate_cleaned!$A$2:$A$10,B3325,mdr_rate_cleaned!$B$2:$B$10,"&lt;"&amp;C3325,mdr_rate_cleaned!$F$2:$F$10,"&gt;="&amp;C3325)</f>
        <v>0</v>
      </c>
      <c r="H3325" s="24">
        <f t="shared" si="255"/>
        <v>0</v>
      </c>
      <c r="I3325" s="23" t="str">
        <f t="shared" si="256"/>
        <v>Match</v>
      </c>
      <c r="J3325" s="23" t="str">
        <f t="shared" si="257"/>
        <v>Match</v>
      </c>
      <c r="K3325" s="24">
        <f t="shared" si="258"/>
        <v>0</v>
      </c>
      <c r="L3325" s="24">
        <f t="shared" si="259"/>
        <v>0</v>
      </c>
    </row>
    <row r="3326" spans="1:12" ht="15" customHeight="1" x14ac:dyDescent="0.3">
      <c r="A3326" s="23" t="s">
        <v>16393</v>
      </c>
      <c r="B3326" s="23" t="s">
        <v>75</v>
      </c>
      <c r="C3326" s="39">
        <v>4498</v>
      </c>
      <c r="D3326" s="24">
        <v>13.49</v>
      </c>
      <c r="E3326" s="24">
        <v>2.4300000000000002</v>
      </c>
      <c r="F3326" s="23">
        <f>COUNTIFS(mdr_rate_cleaned!$A$2:$A$10,B3326,mdr_rate_cleaned!$B$2:$B$10,"&lt;"&amp;C3326,mdr_rate_cleaned!$F$2:$F$10,"&gt;="&amp;C3326)</f>
        <v>1</v>
      </c>
      <c r="G3326" s="40">
        <f>SUMIFS(mdr_rate_cleaned!$G$2:$G$10,mdr_rate_cleaned!$A$2:$A$10,B3326,mdr_rate_cleaned!$B$2:$B$10,"&lt;"&amp;C3326,mdr_rate_cleaned!$F$2:$F$10,"&gt;="&amp;C3326)</f>
        <v>3.0000000000000001E-3</v>
      </c>
      <c r="H3326" s="24">
        <f t="shared" si="255"/>
        <v>13.49</v>
      </c>
      <c r="I3326" s="23" t="str">
        <f t="shared" si="256"/>
        <v>Match</v>
      </c>
      <c r="J3326" s="23" t="str">
        <f t="shared" si="257"/>
        <v>Match</v>
      </c>
      <c r="K3326" s="24">
        <f t="shared" si="258"/>
        <v>2.4300000000000002</v>
      </c>
      <c r="L3326" s="24">
        <f t="shared" si="259"/>
        <v>0</v>
      </c>
    </row>
    <row r="3327" spans="1:12" ht="15" customHeight="1" x14ac:dyDescent="0.3">
      <c r="A3327" s="23" t="s">
        <v>16394</v>
      </c>
      <c r="B3327" s="23" t="s">
        <v>79</v>
      </c>
      <c r="C3327" s="39">
        <v>1799</v>
      </c>
      <c r="D3327" s="24">
        <v>32.380000000000003</v>
      </c>
      <c r="E3327" s="24">
        <v>5.83</v>
      </c>
      <c r="F3327" s="23">
        <f>COUNTIFS(mdr_rate_cleaned!$A$2:$A$10,B3327,mdr_rate_cleaned!$B$2:$B$10,"&lt;"&amp;C3327,mdr_rate_cleaned!$F$2:$F$10,"&gt;="&amp;C3327)</f>
        <v>1</v>
      </c>
      <c r="G3327" s="40">
        <f>SUMIFS(mdr_rate_cleaned!$G$2:$G$10,mdr_rate_cleaned!$A$2:$A$10,B3327,mdr_rate_cleaned!$B$2:$B$10,"&lt;"&amp;C3327,mdr_rate_cleaned!$F$2:$F$10,"&gt;="&amp;C3327)</f>
        <v>1.8000000000000002E-2</v>
      </c>
      <c r="H3327" s="24">
        <f t="shared" si="255"/>
        <v>32.380000000000003</v>
      </c>
      <c r="I3327" s="23" t="str">
        <f t="shared" si="256"/>
        <v>Match</v>
      </c>
      <c r="J3327" s="23" t="str">
        <f t="shared" si="257"/>
        <v>Match</v>
      </c>
      <c r="K3327" s="24">
        <f t="shared" si="258"/>
        <v>5.83</v>
      </c>
      <c r="L3327" s="24">
        <f t="shared" si="259"/>
        <v>0</v>
      </c>
    </row>
    <row r="3328" spans="1:12" ht="15" customHeight="1" x14ac:dyDescent="0.3">
      <c r="A3328" s="23" t="s">
        <v>16396</v>
      </c>
      <c r="B3328" s="23" t="s">
        <v>75</v>
      </c>
      <c r="C3328" s="39">
        <v>999</v>
      </c>
      <c r="D3328" s="24">
        <v>0</v>
      </c>
      <c r="E3328" s="24">
        <v>0</v>
      </c>
      <c r="F3328" s="23">
        <f>COUNTIFS(mdr_rate_cleaned!$A$2:$A$10,B3328,mdr_rate_cleaned!$B$2:$B$10,"&lt;"&amp;C3328,mdr_rate_cleaned!$F$2:$F$10,"&gt;="&amp;C3328)</f>
        <v>1</v>
      </c>
      <c r="G3328" s="40">
        <f>SUMIFS(mdr_rate_cleaned!$G$2:$G$10,mdr_rate_cleaned!$A$2:$A$10,B3328,mdr_rate_cleaned!$B$2:$B$10,"&lt;"&amp;C3328,mdr_rate_cleaned!$F$2:$F$10,"&gt;="&amp;C3328)</f>
        <v>0</v>
      </c>
      <c r="H3328" s="24">
        <f t="shared" si="255"/>
        <v>0</v>
      </c>
      <c r="I3328" s="23" t="str">
        <f t="shared" si="256"/>
        <v>Match</v>
      </c>
      <c r="J3328" s="23" t="str">
        <f t="shared" si="257"/>
        <v>Match</v>
      </c>
      <c r="K3328" s="24">
        <f t="shared" si="258"/>
        <v>0</v>
      </c>
      <c r="L3328" s="24">
        <f t="shared" si="259"/>
        <v>0</v>
      </c>
    </row>
    <row r="3329" spans="1:12" ht="15" customHeight="1" x14ac:dyDescent="0.3">
      <c r="A3329" s="23" t="s">
        <v>16397</v>
      </c>
      <c r="B3329" s="23" t="s">
        <v>79</v>
      </c>
      <c r="C3329" s="39">
        <v>4999</v>
      </c>
      <c r="D3329" s="24">
        <v>79.98</v>
      </c>
      <c r="E3329" s="24">
        <v>14.4</v>
      </c>
      <c r="F3329" s="23">
        <f>COUNTIFS(mdr_rate_cleaned!$A$2:$A$10,B3329,mdr_rate_cleaned!$B$2:$B$10,"&lt;"&amp;C3329,mdr_rate_cleaned!$F$2:$F$10,"&gt;="&amp;C3329)</f>
        <v>1</v>
      </c>
      <c r="G3329" s="40">
        <f>SUMIFS(mdr_rate_cleaned!$G$2:$G$10,mdr_rate_cleaned!$A$2:$A$10,B3329,mdr_rate_cleaned!$B$2:$B$10,"&lt;"&amp;C3329,mdr_rate_cleaned!$F$2:$F$10,"&gt;="&amp;C3329)</f>
        <v>1.6E-2</v>
      </c>
      <c r="H3329" s="24">
        <f t="shared" si="255"/>
        <v>79.98</v>
      </c>
      <c r="I3329" s="23" t="str">
        <f t="shared" si="256"/>
        <v>Match</v>
      </c>
      <c r="J3329" s="23" t="str">
        <f t="shared" si="257"/>
        <v>Match</v>
      </c>
      <c r="K3329" s="24">
        <f t="shared" si="258"/>
        <v>14.4</v>
      </c>
      <c r="L3329" s="24">
        <f t="shared" si="259"/>
        <v>0</v>
      </c>
    </row>
    <row r="3330" spans="1:12" ht="15" customHeight="1" x14ac:dyDescent="0.3">
      <c r="A3330" s="23" t="s">
        <v>16398</v>
      </c>
      <c r="B3330" s="23" t="s">
        <v>75</v>
      </c>
      <c r="C3330" s="39">
        <v>1499</v>
      </c>
      <c r="D3330" s="24">
        <v>0</v>
      </c>
      <c r="E3330" s="24">
        <v>0</v>
      </c>
      <c r="F3330" s="23">
        <f>COUNTIFS(mdr_rate_cleaned!$A$2:$A$10,B3330,mdr_rate_cleaned!$B$2:$B$10,"&lt;"&amp;C3330,mdr_rate_cleaned!$F$2:$F$10,"&gt;="&amp;C3330)</f>
        <v>1</v>
      </c>
      <c r="G3330" s="40">
        <f>SUMIFS(mdr_rate_cleaned!$G$2:$G$10,mdr_rate_cleaned!$A$2:$A$10,B3330,mdr_rate_cleaned!$B$2:$B$10,"&lt;"&amp;C3330,mdr_rate_cleaned!$F$2:$F$10,"&gt;="&amp;C3330)</f>
        <v>0</v>
      </c>
      <c r="H3330" s="24">
        <f t="shared" ref="H3330:H3393" si="260">ROUND(C3330*G3330,2)</f>
        <v>0</v>
      </c>
      <c r="I3330" s="23" t="str">
        <f t="shared" ref="I3330:I3393" si="261">IF(ROUND(D3330-H3330,2)=0,"Match","Differs")</f>
        <v>Match</v>
      </c>
      <c r="J3330" s="23" t="str">
        <f t="shared" ref="J3330:J3393" si="262">IF(ROUND(E3330-ROUND(D3330*0.18,2),2)=0,"Match","Differs")</f>
        <v>Match</v>
      </c>
      <c r="K3330" s="24">
        <f t="shared" ref="K3330:K3393" si="263">ROUND(H3330*0.18,2)</f>
        <v>0</v>
      </c>
      <c r="L3330" s="24">
        <f t="shared" ref="L3330:L3393" si="264">ROUND(D3330+E3330-H3330-K3330,2)</f>
        <v>0</v>
      </c>
    </row>
    <row r="3331" spans="1:12" ht="15" customHeight="1" x14ac:dyDescent="0.3">
      <c r="A3331" s="23" t="s">
        <v>16399</v>
      </c>
      <c r="B3331" s="23" t="s">
        <v>75</v>
      </c>
      <c r="C3331" s="39">
        <v>7999</v>
      </c>
      <c r="D3331" s="24">
        <v>24</v>
      </c>
      <c r="E3331" s="24">
        <v>4.32</v>
      </c>
      <c r="F3331" s="23">
        <f>COUNTIFS(mdr_rate_cleaned!$A$2:$A$10,B3331,mdr_rate_cleaned!$B$2:$B$10,"&lt;"&amp;C3331,mdr_rate_cleaned!$F$2:$F$10,"&gt;="&amp;C3331)</f>
        <v>1</v>
      </c>
      <c r="G3331" s="40">
        <f>SUMIFS(mdr_rate_cleaned!$G$2:$G$10,mdr_rate_cleaned!$A$2:$A$10,B3331,mdr_rate_cleaned!$B$2:$B$10,"&lt;"&amp;C3331,mdr_rate_cleaned!$F$2:$F$10,"&gt;="&amp;C3331)</f>
        <v>3.0000000000000001E-3</v>
      </c>
      <c r="H3331" s="24">
        <f t="shared" si="260"/>
        <v>24</v>
      </c>
      <c r="I3331" s="23" t="str">
        <f t="shared" si="261"/>
        <v>Match</v>
      </c>
      <c r="J3331" s="23" t="str">
        <f t="shared" si="262"/>
        <v>Match</v>
      </c>
      <c r="K3331" s="24">
        <f t="shared" si="263"/>
        <v>4.32</v>
      </c>
      <c r="L3331" s="24">
        <f t="shared" si="264"/>
        <v>0</v>
      </c>
    </row>
    <row r="3332" spans="1:12" ht="15" customHeight="1" x14ac:dyDescent="0.3">
      <c r="A3332" s="23" t="s">
        <v>16400</v>
      </c>
      <c r="B3332" s="23" t="s">
        <v>75</v>
      </c>
      <c r="C3332" s="39">
        <v>1499</v>
      </c>
      <c r="D3332" s="24">
        <v>0</v>
      </c>
      <c r="E3332" s="24">
        <v>0</v>
      </c>
      <c r="F3332" s="23">
        <f>COUNTIFS(mdr_rate_cleaned!$A$2:$A$10,B3332,mdr_rate_cleaned!$B$2:$B$10,"&lt;"&amp;C3332,mdr_rate_cleaned!$F$2:$F$10,"&gt;="&amp;C3332)</f>
        <v>1</v>
      </c>
      <c r="G3332" s="40">
        <f>SUMIFS(mdr_rate_cleaned!$G$2:$G$10,mdr_rate_cleaned!$A$2:$A$10,B3332,mdr_rate_cleaned!$B$2:$B$10,"&lt;"&amp;C3332,mdr_rate_cleaned!$F$2:$F$10,"&gt;="&amp;C3332)</f>
        <v>0</v>
      </c>
      <c r="H3332" s="24">
        <f t="shared" si="260"/>
        <v>0</v>
      </c>
      <c r="I3332" s="23" t="str">
        <f t="shared" si="261"/>
        <v>Match</v>
      </c>
      <c r="J3332" s="23" t="str">
        <f t="shared" si="262"/>
        <v>Match</v>
      </c>
      <c r="K3332" s="24">
        <f t="shared" si="263"/>
        <v>0</v>
      </c>
      <c r="L3332" s="24">
        <f t="shared" si="264"/>
        <v>0</v>
      </c>
    </row>
    <row r="3333" spans="1:12" ht="15" customHeight="1" x14ac:dyDescent="0.3">
      <c r="A3333" s="23" t="s">
        <v>16401</v>
      </c>
      <c r="B3333" s="23" t="s">
        <v>75</v>
      </c>
      <c r="C3333" s="39">
        <v>999</v>
      </c>
      <c r="D3333" s="24">
        <v>0</v>
      </c>
      <c r="E3333" s="24">
        <v>0</v>
      </c>
      <c r="F3333" s="23">
        <f>COUNTIFS(mdr_rate_cleaned!$A$2:$A$10,B3333,mdr_rate_cleaned!$B$2:$B$10,"&lt;"&amp;C3333,mdr_rate_cleaned!$F$2:$F$10,"&gt;="&amp;C3333)</f>
        <v>1</v>
      </c>
      <c r="G3333" s="40">
        <f>SUMIFS(mdr_rate_cleaned!$G$2:$G$10,mdr_rate_cleaned!$A$2:$A$10,B3333,mdr_rate_cleaned!$B$2:$B$10,"&lt;"&amp;C3333,mdr_rate_cleaned!$F$2:$F$10,"&gt;="&amp;C3333)</f>
        <v>0</v>
      </c>
      <c r="H3333" s="24">
        <f t="shared" si="260"/>
        <v>0</v>
      </c>
      <c r="I3333" s="23" t="str">
        <f t="shared" si="261"/>
        <v>Match</v>
      </c>
      <c r="J3333" s="23" t="str">
        <f t="shared" si="262"/>
        <v>Match</v>
      </c>
      <c r="K3333" s="24">
        <f t="shared" si="263"/>
        <v>0</v>
      </c>
      <c r="L3333" s="24">
        <f t="shared" si="264"/>
        <v>0</v>
      </c>
    </row>
    <row r="3334" spans="1:12" ht="15" customHeight="1" x14ac:dyDescent="0.3">
      <c r="A3334" s="23" t="s">
        <v>16402</v>
      </c>
      <c r="B3334" s="23" t="s">
        <v>79</v>
      </c>
      <c r="C3334" s="39">
        <v>6297</v>
      </c>
      <c r="D3334" s="24">
        <v>100.75</v>
      </c>
      <c r="E3334" s="24">
        <v>18.14</v>
      </c>
      <c r="F3334" s="23">
        <f>COUNTIFS(mdr_rate_cleaned!$A$2:$A$10,B3334,mdr_rate_cleaned!$B$2:$B$10,"&lt;"&amp;C3334,mdr_rate_cleaned!$F$2:$F$10,"&gt;="&amp;C3334)</f>
        <v>1</v>
      </c>
      <c r="G3334" s="40">
        <f>SUMIFS(mdr_rate_cleaned!$G$2:$G$10,mdr_rate_cleaned!$A$2:$A$10,B3334,mdr_rate_cleaned!$B$2:$B$10,"&lt;"&amp;C3334,mdr_rate_cleaned!$F$2:$F$10,"&gt;="&amp;C3334)</f>
        <v>1.6E-2</v>
      </c>
      <c r="H3334" s="24">
        <f t="shared" si="260"/>
        <v>100.75</v>
      </c>
      <c r="I3334" s="23" t="str">
        <f t="shared" si="261"/>
        <v>Match</v>
      </c>
      <c r="J3334" s="23" t="str">
        <f t="shared" si="262"/>
        <v>Match</v>
      </c>
      <c r="K3334" s="24">
        <f t="shared" si="263"/>
        <v>18.14</v>
      </c>
      <c r="L3334" s="24">
        <f t="shared" si="264"/>
        <v>0</v>
      </c>
    </row>
    <row r="3335" spans="1:12" ht="15" customHeight="1" x14ac:dyDescent="0.3">
      <c r="A3335" s="23" t="s">
        <v>16403</v>
      </c>
      <c r="B3335" s="23" t="s">
        <v>75</v>
      </c>
      <c r="C3335" s="39">
        <v>999</v>
      </c>
      <c r="D3335" s="24">
        <v>0</v>
      </c>
      <c r="E3335" s="24">
        <v>0</v>
      </c>
      <c r="F3335" s="23">
        <f>COUNTIFS(mdr_rate_cleaned!$A$2:$A$10,B3335,mdr_rate_cleaned!$B$2:$B$10,"&lt;"&amp;C3335,mdr_rate_cleaned!$F$2:$F$10,"&gt;="&amp;C3335)</f>
        <v>1</v>
      </c>
      <c r="G3335" s="40">
        <f>SUMIFS(mdr_rate_cleaned!$G$2:$G$10,mdr_rate_cleaned!$A$2:$A$10,B3335,mdr_rate_cleaned!$B$2:$B$10,"&lt;"&amp;C3335,mdr_rate_cleaned!$F$2:$F$10,"&gt;="&amp;C3335)</f>
        <v>0</v>
      </c>
      <c r="H3335" s="24">
        <f t="shared" si="260"/>
        <v>0</v>
      </c>
      <c r="I3335" s="23" t="str">
        <f t="shared" si="261"/>
        <v>Match</v>
      </c>
      <c r="J3335" s="23" t="str">
        <f t="shared" si="262"/>
        <v>Match</v>
      </c>
      <c r="K3335" s="24">
        <f t="shared" si="263"/>
        <v>0</v>
      </c>
      <c r="L3335" s="24">
        <f t="shared" si="264"/>
        <v>0</v>
      </c>
    </row>
    <row r="3336" spans="1:12" ht="15" customHeight="1" x14ac:dyDescent="0.3">
      <c r="A3336" s="23" t="s">
        <v>16404</v>
      </c>
      <c r="B3336" s="23" t="s">
        <v>81</v>
      </c>
      <c r="C3336" s="39">
        <v>799</v>
      </c>
      <c r="D3336" s="24">
        <v>11.99</v>
      </c>
      <c r="E3336" s="24">
        <v>2.16</v>
      </c>
      <c r="F3336" s="23">
        <f>COUNTIFS(mdr_rate_cleaned!$A$2:$A$10,B3336,mdr_rate_cleaned!$B$2:$B$10,"&lt;"&amp;C3336,mdr_rate_cleaned!$F$2:$F$10,"&gt;="&amp;C3336)</f>
        <v>1</v>
      </c>
      <c r="G3336" s="40">
        <f>SUMIFS(mdr_rate_cleaned!$G$2:$G$10,mdr_rate_cleaned!$A$2:$A$10,B3336,mdr_rate_cleaned!$B$2:$B$10,"&lt;"&amp;C3336,mdr_rate_cleaned!$F$2:$F$10,"&gt;="&amp;C3336)</f>
        <v>1.4999999999999999E-2</v>
      </c>
      <c r="H3336" s="24">
        <f t="shared" si="260"/>
        <v>11.99</v>
      </c>
      <c r="I3336" s="23" t="str">
        <f t="shared" si="261"/>
        <v>Match</v>
      </c>
      <c r="J3336" s="23" t="str">
        <f t="shared" si="262"/>
        <v>Match</v>
      </c>
      <c r="K3336" s="24">
        <f t="shared" si="263"/>
        <v>2.16</v>
      </c>
      <c r="L3336" s="24">
        <f t="shared" si="264"/>
        <v>0</v>
      </c>
    </row>
    <row r="3337" spans="1:12" ht="15" customHeight="1" x14ac:dyDescent="0.3">
      <c r="A3337" s="23" t="s">
        <v>16405</v>
      </c>
      <c r="B3337" s="23" t="s">
        <v>75</v>
      </c>
      <c r="C3337" s="39">
        <v>4498</v>
      </c>
      <c r="D3337" s="24">
        <v>13.49</v>
      </c>
      <c r="E3337" s="24">
        <v>2.4300000000000002</v>
      </c>
      <c r="F3337" s="23">
        <f>COUNTIFS(mdr_rate_cleaned!$A$2:$A$10,B3337,mdr_rate_cleaned!$B$2:$B$10,"&lt;"&amp;C3337,mdr_rate_cleaned!$F$2:$F$10,"&gt;="&amp;C3337)</f>
        <v>1</v>
      </c>
      <c r="G3337" s="40">
        <f>SUMIFS(mdr_rate_cleaned!$G$2:$G$10,mdr_rate_cleaned!$A$2:$A$10,B3337,mdr_rate_cleaned!$B$2:$B$10,"&lt;"&amp;C3337,mdr_rate_cleaned!$F$2:$F$10,"&gt;="&amp;C3337)</f>
        <v>3.0000000000000001E-3</v>
      </c>
      <c r="H3337" s="24">
        <f t="shared" si="260"/>
        <v>13.49</v>
      </c>
      <c r="I3337" s="23" t="str">
        <f t="shared" si="261"/>
        <v>Match</v>
      </c>
      <c r="J3337" s="23" t="str">
        <f t="shared" si="262"/>
        <v>Match</v>
      </c>
      <c r="K3337" s="24">
        <f t="shared" si="263"/>
        <v>2.4300000000000002</v>
      </c>
      <c r="L3337" s="24">
        <f t="shared" si="264"/>
        <v>0</v>
      </c>
    </row>
    <row r="3338" spans="1:12" ht="15" customHeight="1" x14ac:dyDescent="0.3">
      <c r="A3338" s="23" t="s">
        <v>16406</v>
      </c>
      <c r="B3338" s="23" t="s">
        <v>81</v>
      </c>
      <c r="C3338" s="39">
        <v>9497</v>
      </c>
      <c r="D3338" s="24">
        <v>113.96</v>
      </c>
      <c r="E3338" s="24">
        <v>20.51</v>
      </c>
      <c r="F3338" s="23">
        <f>COUNTIFS(mdr_rate_cleaned!$A$2:$A$10,B3338,mdr_rate_cleaned!$B$2:$B$10,"&lt;"&amp;C3338,mdr_rate_cleaned!$F$2:$F$10,"&gt;="&amp;C3338)</f>
        <v>1</v>
      </c>
      <c r="G3338" s="40">
        <f>SUMIFS(mdr_rate_cleaned!$G$2:$G$10,mdr_rate_cleaned!$A$2:$A$10,B3338,mdr_rate_cleaned!$B$2:$B$10,"&lt;"&amp;C3338,mdr_rate_cleaned!$F$2:$F$10,"&gt;="&amp;C3338)</f>
        <v>1.2E-2</v>
      </c>
      <c r="H3338" s="24">
        <f t="shared" si="260"/>
        <v>113.96</v>
      </c>
      <c r="I3338" s="23" t="str">
        <f t="shared" si="261"/>
        <v>Match</v>
      </c>
      <c r="J3338" s="23" t="str">
        <f t="shared" si="262"/>
        <v>Match</v>
      </c>
      <c r="K3338" s="24">
        <f t="shared" si="263"/>
        <v>20.51</v>
      </c>
      <c r="L3338" s="24">
        <f t="shared" si="264"/>
        <v>0</v>
      </c>
    </row>
    <row r="3339" spans="1:12" ht="15" customHeight="1" x14ac:dyDescent="0.3">
      <c r="A3339" s="23" t="s">
        <v>16407</v>
      </c>
      <c r="B3339" s="23" t="s">
        <v>77</v>
      </c>
      <c r="C3339" s="39">
        <v>5147</v>
      </c>
      <c r="D3339" s="24">
        <v>87.5</v>
      </c>
      <c r="E3339" s="24">
        <v>15.75</v>
      </c>
      <c r="F3339" s="23">
        <f>COUNTIFS(mdr_rate_cleaned!$A$2:$A$10,B3339,mdr_rate_cleaned!$B$2:$B$10,"&lt;"&amp;C3339,mdr_rate_cleaned!$F$2:$F$10,"&gt;="&amp;C3339)</f>
        <v>1</v>
      </c>
      <c r="G3339" s="40">
        <f>SUMIFS(mdr_rate_cleaned!$G$2:$G$10,mdr_rate_cleaned!$A$2:$A$10,B3339,mdr_rate_cleaned!$B$2:$B$10,"&lt;"&amp;C3339,mdr_rate_cleaned!$F$2:$F$10,"&gt;="&amp;C3339)</f>
        <v>1.7000000000000001E-2</v>
      </c>
      <c r="H3339" s="24">
        <f t="shared" si="260"/>
        <v>87.5</v>
      </c>
      <c r="I3339" s="23" t="str">
        <f t="shared" si="261"/>
        <v>Match</v>
      </c>
      <c r="J3339" s="23" t="str">
        <f t="shared" si="262"/>
        <v>Match</v>
      </c>
      <c r="K3339" s="24">
        <f t="shared" si="263"/>
        <v>15.75</v>
      </c>
      <c r="L3339" s="24">
        <f t="shared" si="264"/>
        <v>0</v>
      </c>
    </row>
    <row r="3340" spans="1:12" ht="15" customHeight="1" x14ac:dyDescent="0.3">
      <c r="A3340" s="23" t="s">
        <v>16408</v>
      </c>
      <c r="B3340" s="23" t="s">
        <v>79</v>
      </c>
      <c r="C3340" s="39">
        <v>3348</v>
      </c>
      <c r="D3340" s="24">
        <v>53.57</v>
      </c>
      <c r="E3340" s="24">
        <v>9.64</v>
      </c>
      <c r="F3340" s="23">
        <f>COUNTIFS(mdr_rate_cleaned!$A$2:$A$10,B3340,mdr_rate_cleaned!$B$2:$B$10,"&lt;"&amp;C3340,mdr_rate_cleaned!$F$2:$F$10,"&gt;="&amp;C3340)</f>
        <v>1</v>
      </c>
      <c r="G3340" s="40">
        <f>SUMIFS(mdr_rate_cleaned!$G$2:$G$10,mdr_rate_cleaned!$A$2:$A$10,B3340,mdr_rate_cleaned!$B$2:$B$10,"&lt;"&amp;C3340,mdr_rate_cleaned!$F$2:$F$10,"&gt;="&amp;C3340)</f>
        <v>1.6E-2</v>
      </c>
      <c r="H3340" s="24">
        <f t="shared" si="260"/>
        <v>53.57</v>
      </c>
      <c r="I3340" s="23" t="str">
        <f t="shared" si="261"/>
        <v>Match</v>
      </c>
      <c r="J3340" s="23" t="str">
        <f t="shared" si="262"/>
        <v>Match</v>
      </c>
      <c r="K3340" s="24">
        <f t="shared" si="263"/>
        <v>9.64</v>
      </c>
      <c r="L3340" s="24">
        <f t="shared" si="264"/>
        <v>0</v>
      </c>
    </row>
    <row r="3341" spans="1:12" ht="15" customHeight="1" x14ac:dyDescent="0.3">
      <c r="A3341" s="23" t="s">
        <v>16409</v>
      </c>
      <c r="B3341" s="23" t="s">
        <v>75</v>
      </c>
      <c r="C3341" s="39">
        <v>1848</v>
      </c>
      <c r="D3341" s="24">
        <v>0</v>
      </c>
      <c r="E3341" s="24">
        <v>0</v>
      </c>
      <c r="F3341" s="23">
        <f>COUNTIFS(mdr_rate_cleaned!$A$2:$A$10,B3341,mdr_rate_cleaned!$B$2:$B$10,"&lt;"&amp;C3341,mdr_rate_cleaned!$F$2:$F$10,"&gt;="&amp;C3341)</f>
        <v>1</v>
      </c>
      <c r="G3341" s="40">
        <f>SUMIFS(mdr_rate_cleaned!$G$2:$G$10,mdr_rate_cleaned!$A$2:$A$10,B3341,mdr_rate_cleaned!$B$2:$B$10,"&lt;"&amp;C3341,mdr_rate_cleaned!$F$2:$F$10,"&gt;="&amp;C3341)</f>
        <v>0</v>
      </c>
      <c r="H3341" s="24">
        <f t="shared" si="260"/>
        <v>0</v>
      </c>
      <c r="I3341" s="23" t="str">
        <f t="shared" si="261"/>
        <v>Match</v>
      </c>
      <c r="J3341" s="23" t="str">
        <f t="shared" si="262"/>
        <v>Match</v>
      </c>
      <c r="K3341" s="24">
        <f t="shared" si="263"/>
        <v>0</v>
      </c>
      <c r="L3341" s="24">
        <f t="shared" si="264"/>
        <v>0</v>
      </c>
    </row>
    <row r="3342" spans="1:12" ht="15" customHeight="1" x14ac:dyDescent="0.3">
      <c r="A3342" s="23" t="s">
        <v>16410</v>
      </c>
      <c r="B3342" s="23" t="s">
        <v>79</v>
      </c>
      <c r="C3342" s="39">
        <v>349</v>
      </c>
      <c r="D3342" s="24">
        <v>6.28</v>
      </c>
      <c r="E3342" s="24">
        <v>1.1299999999999999</v>
      </c>
      <c r="F3342" s="23">
        <f>COUNTIFS(mdr_rate_cleaned!$A$2:$A$10,B3342,mdr_rate_cleaned!$B$2:$B$10,"&lt;"&amp;C3342,mdr_rate_cleaned!$F$2:$F$10,"&gt;="&amp;C3342)</f>
        <v>1</v>
      </c>
      <c r="G3342" s="40">
        <f>SUMIFS(mdr_rate_cleaned!$G$2:$G$10,mdr_rate_cleaned!$A$2:$A$10,B3342,mdr_rate_cleaned!$B$2:$B$10,"&lt;"&amp;C3342,mdr_rate_cleaned!$F$2:$F$10,"&gt;="&amp;C3342)</f>
        <v>1.8000000000000002E-2</v>
      </c>
      <c r="H3342" s="24">
        <f t="shared" si="260"/>
        <v>6.28</v>
      </c>
      <c r="I3342" s="23" t="str">
        <f t="shared" si="261"/>
        <v>Match</v>
      </c>
      <c r="J3342" s="23" t="str">
        <f t="shared" si="262"/>
        <v>Match</v>
      </c>
      <c r="K3342" s="24">
        <f t="shared" si="263"/>
        <v>1.1299999999999999</v>
      </c>
      <c r="L3342" s="24">
        <f t="shared" si="264"/>
        <v>0</v>
      </c>
    </row>
    <row r="3343" spans="1:12" ht="15" customHeight="1" x14ac:dyDescent="0.3">
      <c r="A3343" s="23" t="s">
        <v>16411</v>
      </c>
      <c r="B3343" s="23" t="s">
        <v>75</v>
      </c>
      <c r="C3343" s="39">
        <v>2499</v>
      </c>
      <c r="D3343" s="24">
        <v>7.5</v>
      </c>
      <c r="E3343" s="24">
        <v>1.35</v>
      </c>
      <c r="F3343" s="23">
        <f>COUNTIFS(mdr_rate_cleaned!$A$2:$A$10,B3343,mdr_rate_cleaned!$B$2:$B$10,"&lt;"&amp;C3343,mdr_rate_cleaned!$F$2:$F$10,"&gt;="&amp;C3343)</f>
        <v>1</v>
      </c>
      <c r="G3343" s="40">
        <f>SUMIFS(mdr_rate_cleaned!$G$2:$G$10,mdr_rate_cleaned!$A$2:$A$10,B3343,mdr_rate_cleaned!$B$2:$B$10,"&lt;"&amp;C3343,mdr_rate_cleaned!$F$2:$F$10,"&gt;="&amp;C3343)</f>
        <v>3.0000000000000001E-3</v>
      </c>
      <c r="H3343" s="24">
        <f t="shared" si="260"/>
        <v>7.5</v>
      </c>
      <c r="I3343" s="23" t="str">
        <f t="shared" si="261"/>
        <v>Match</v>
      </c>
      <c r="J3343" s="23" t="str">
        <f t="shared" si="262"/>
        <v>Match</v>
      </c>
      <c r="K3343" s="24">
        <f t="shared" si="263"/>
        <v>1.35</v>
      </c>
      <c r="L3343" s="24">
        <f t="shared" si="264"/>
        <v>0</v>
      </c>
    </row>
    <row r="3344" spans="1:12" ht="15" customHeight="1" x14ac:dyDescent="0.3">
      <c r="A3344" s="23" t="s">
        <v>16412</v>
      </c>
      <c r="B3344" s="23" t="s">
        <v>79</v>
      </c>
      <c r="C3344" s="39">
        <v>349</v>
      </c>
      <c r="D3344" s="24">
        <v>6.28</v>
      </c>
      <c r="E3344" s="24">
        <v>1.1299999999999999</v>
      </c>
      <c r="F3344" s="23">
        <f>COUNTIFS(mdr_rate_cleaned!$A$2:$A$10,B3344,mdr_rate_cleaned!$B$2:$B$10,"&lt;"&amp;C3344,mdr_rate_cleaned!$F$2:$F$10,"&gt;="&amp;C3344)</f>
        <v>1</v>
      </c>
      <c r="G3344" s="40">
        <f>SUMIFS(mdr_rate_cleaned!$G$2:$G$10,mdr_rate_cleaned!$A$2:$A$10,B3344,mdr_rate_cleaned!$B$2:$B$10,"&lt;"&amp;C3344,mdr_rate_cleaned!$F$2:$F$10,"&gt;="&amp;C3344)</f>
        <v>1.8000000000000002E-2</v>
      </c>
      <c r="H3344" s="24">
        <f t="shared" si="260"/>
        <v>6.28</v>
      </c>
      <c r="I3344" s="23" t="str">
        <f t="shared" si="261"/>
        <v>Match</v>
      </c>
      <c r="J3344" s="23" t="str">
        <f t="shared" si="262"/>
        <v>Match</v>
      </c>
      <c r="K3344" s="24">
        <f t="shared" si="263"/>
        <v>1.1299999999999999</v>
      </c>
      <c r="L3344" s="24">
        <f t="shared" si="264"/>
        <v>0</v>
      </c>
    </row>
    <row r="3345" spans="1:12" ht="15" customHeight="1" x14ac:dyDescent="0.3">
      <c r="A3345" s="23" t="s">
        <v>16413</v>
      </c>
      <c r="B3345" s="23" t="s">
        <v>75</v>
      </c>
      <c r="C3345" s="39">
        <v>799</v>
      </c>
      <c r="D3345" s="24">
        <v>0</v>
      </c>
      <c r="E3345" s="24">
        <v>0</v>
      </c>
      <c r="F3345" s="23">
        <f>COUNTIFS(mdr_rate_cleaned!$A$2:$A$10,B3345,mdr_rate_cleaned!$B$2:$B$10,"&lt;"&amp;C3345,mdr_rate_cleaned!$F$2:$F$10,"&gt;="&amp;C3345)</f>
        <v>1</v>
      </c>
      <c r="G3345" s="40">
        <f>SUMIFS(mdr_rate_cleaned!$G$2:$G$10,mdr_rate_cleaned!$A$2:$A$10,B3345,mdr_rate_cleaned!$B$2:$B$10,"&lt;"&amp;C3345,mdr_rate_cleaned!$F$2:$F$10,"&gt;="&amp;C3345)</f>
        <v>0</v>
      </c>
      <c r="H3345" s="24">
        <f t="shared" si="260"/>
        <v>0</v>
      </c>
      <c r="I3345" s="23" t="str">
        <f t="shared" si="261"/>
        <v>Match</v>
      </c>
      <c r="J3345" s="23" t="str">
        <f t="shared" si="262"/>
        <v>Match</v>
      </c>
      <c r="K3345" s="24">
        <f t="shared" si="263"/>
        <v>0</v>
      </c>
      <c r="L3345" s="24">
        <f t="shared" si="264"/>
        <v>0</v>
      </c>
    </row>
    <row r="3346" spans="1:12" ht="15" customHeight="1" x14ac:dyDescent="0.3">
      <c r="A3346" s="23" t="s">
        <v>16414</v>
      </c>
      <c r="B3346" s="23" t="s">
        <v>75</v>
      </c>
      <c r="C3346" s="39">
        <v>3998</v>
      </c>
      <c r="D3346" s="24">
        <v>11.99</v>
      </c>
      <c r="E3346" s="24">
        <v>2.16</v>
      </c>
      <c r="F3346" s="23">
        <f>COUNTIFS(mdr_rate_cleaned!$A$2:$A$10,B3346,mdr_rate_cleaned!$B$2:$B$10,"&lt;"&amp;C3346,mdr_rate_cleaned!$F$2:$F$10,"&gt;="&amp;C3346)</f>
        <v>1</v>
      </c>
      <c r="G3346" s="40">
        <f>SUMIFS(mdr_rate_cleaned!$G$2:$G$10,mdr_rate_cleaned!$A$2:$A$10,B3346,mdr_rate_cleaned!$B$2:$B$10,"&lt;"&amp;C3346,mdr_rate_cleaned!$F$2:$F$10,"&gt;="&amp;C3346)</f>
        <v>3.0000000000000001E-3</v>
      </c>
      <c r="H3346" s="24">
        <f t="shared" si="260"/>
        <v>11.99</v>
      </c>
      <c r="I3346" s="23" t="str">
        <f t="shared" si="261"/>
        <v>Match</v>
      </c>
      <c r="J3346" s="23" t="str">
        <f t="shared" si="262"/>
        <v>Match</v>
      </c>
      <c r="K3346" s="24">
        <f t="shared" si="263"/>
        <v>2.16</v>
      </c>
      <c r="L3346" s="24">
        <f t="shared" si="264"/>
        <v>0</v>
      </c>
    </row>
    <row r="3347" spans="1:12" ht="15" customHeight="1" x14ac:dyDescent="0.3">
      <c r="A3347" s="23" t="s">
        <v>16415</v>
      </c>
      <c r="B3347" s="23" t="s">
        <v>81</v>
      </c>
      <c r="C3347" s="39">
        <v>9297</v>
      </c>
      <c r="D3347" s="24">
        <v>111.56</v>
      </c>
      <c r="E3347" s="24">
        <v>20.079999999999998</v>
      </c>
      <c r="F3347" s="23">
        <f>COUNTIFS(mdr_rate_cleaned!$A$2:$A$10,B3347,mdr_rate_cleaned!$B$2:$B$10,"&lt;"&amp;C3347,mdr_rate_cleaned!$F$2:$F$10,"&gt;="&amp;C3347)</f>
        <v>1</v>
      </c>
      <c r="G3347" s="40">
        <f>SUMIFS(mdr_rate_cleaned!$G$2:$G$10,mdr_rate_cleaned!$A$2:$A$10,B3347,mdr_rate_cleaned!$B$2:$B$10,"&lt;"&amp;C3347,mdr_rate_cleaned!$F$2:$F$10,"&gt;="&amp;C3347)</f>
        <v>1.2E-2</v>
      </c>
      <c r="H3347" s="24">
        <f t="shared" si="260"/>
        <v>111.56</v>
      </c>
      <c r="I3347" s="23" t="str">
        <f t="shared" si="261"/>
        <v>Match</v>
      </c>
      <c r="J3347" s="23" t="str">
        <f t="shared" si="262"/>
        <v>Match</v>
      </c>
      <c r="K3347" s="24">
        <f t="shared" si="263"/>
        <v>20.079999999999998</v>
      </c>
      <c r="L3347" s="24">
        <f t="shared" si="264"/>
        <v>0</v>
      </c>
    </row>
    <row r="3348" spans="1:12" ht="15" customHeight="1" x14ac:dyDescent="0.3">
      <c r="A3348" s="23" t="s">
        <v>16416</v>
      </c>
      <c r="B3348" s="23" t="s">
        <v>75</v>
      </c>
      <c r="C3348" s="39">
        <v>1499</v>
      </c>
      <c r="D3348" s="24">
        <v>0</v>
      </c>
      <c r="E3348" s="24">
        <v>0</v>
      </c>
      <c r="F3348" s="23">
        <f>COUNTIFS(mdr_rate_cleaned!$A$2:$A$10,B3348,mdr_rate_cleaned!$B$2:$B$10,"&lt;"&amp;C3348,mdr_rate_cleaned!$F$2:$F$10,"&gt;="&amp;C3348)</f>
        <v>1</v>
      </c>
      <c r="G3348" s="40">
        <f>SUMIFS(mdr_rate_cleaned!$G$2:$G$10,mdr_rate_cleaned!$A$2:$A$10,B3348,mdr_rate_cleaned!$B$2:$B$10,"&lt;"&amp;C3348,mdr_rate_cleaned!$F$2:$F$10,"&gt;="&amp;C3348)</f>
        <v>0</v>
      </c>
      <c r="H3348" s="24">
        <f t="shared" si="260"/>
        <v>0</v>
      </c>
      <c r="I3348" s="23" t="str">
        <f t="shared" si="261"/>
        <v>Match</v>
      </c>
      <c r="J3348" s="23" t="str">
        <f t="shared" si="262"/>
        <v>Match</v>
      </c>
      <c r="K3348" s="24">
        <f t="shared" si="263"/>
        <v>0</v>
      </c>
      <c r="L3348" s="24">
        <f t="shared" si="264"/>
        <v>0</v>
      </c>
    </row>
    <row r="3349" spans="1:12" ht="15" customHeight="1" x14ac:dyDescent="0.3">
      <c r="A3349" s="23" t="s">
        <v>16417</v>
      </c>
      <c r="B3349" s="23" t="s">
        <v>79</v>
      </c>
      <c r="C3349" s="39">
        <v>1598</v>
      </c>
      <c r="D3349" s="24">
        <v>28.76</v>
      </c>
      <c r="E3349" s="24">
        <v>5.18</v>
      </c>
      <c r="F3349" s="23">
        <f>COUNTIFS(mdr_rate_cleaned!$A$2:$A$10,B3349,mdr_rate_cleaned!$B$2:$B$10,"&lt;"&amp;C3349,mdr_rate_cleaned!$F$2:$F$10,"&gt;="&amp;C3349)</f>
        <v>1</v>
      </c>
      <c r="G3349" s="40">
        <f>SUMIFS(mdr_rate_cleaned!$G$2:$G$10,mdr_rate_cleaned!$A$2:$A$10,B3349,mdr_rate_cleaned!$B$2:$B$10,"&lt;"&amp;C3349,mdr_rate_cleaned!$F$2:$F$10,"&gt;="&amp;C3349)</f>
        <v>1.8000000000000002E-2</v>
      </c>
      <c r="H3349" s="24">
        <f t="shared" si="260"/>
        <v>28.76</v>
      </c>
      <c r="I3349" s="23" t="str">
        <f t="shared" si="261"/>
        <v>Match</v>
      </c>
      <c r="J3349" s="23" t="str">
        <f t="shared" si="262"/>
        <v>Match</v>
      </c>
      <c r="K3349" s="24">
        <f t="shared" si="263"/>
        <v>5.18</v>
      </c>
      <c r="L3349" s="24">
        <f t="shared" si="264"/>
        <v>0</v>
      </c>
    </row>
    <row r="3350" spans="1:12" ht="15" customHeight="1" x14ac:dyDescent="0.3">
      <c r="A3350" s="23" t="s">
        <v>16418</v>
      </c>
      <c r="B3350" s="23" t="s">
        <v>75</v>
      </c>
      <c r="C3350" s="39">
        <v>799</v>
      </c>
      <c r="D3350" s="24">
        <v>0</v>
      </c>
      <c r="E3350" s="24">
        <v>0</v>
      </c>
      <c r="F3350" s="23">
        <f>COUNTIFS(mdr_rate_cleaned!$A$2:$A$10,B3350,mdr_rate_cleaned!$B$2:$B$10,"&lt;"&amp;C3350,mdr_rate_cleaned!$F$2:$F$10,"&gt;="&amp;C3350)</f>
        <v>1</v>
      </c>
      <c r="G3350" s="40">
        <f>SUMIFS(mdr_rate_cleaned!$G$2:$G$10,mdr_rate_cleaned!$A$2:$A$10,B3350,mdr_rate_cleaned!$B$2:$B$10,"&lt;"&amp;C3350,mdr_rate_cleaned!$F$2:$F$10,"&gt;="&amp;C3350)</f>
        <v>0</v>
      </c>
      <c r="H3350" s="24">
        <f t="shared" si="260"/>
        <v>0</v>
      </c>
      <c r="I3350" s="23" t="str">
        <f t="shared" si="261"/>
        <v>Match</v>
      </c>
      <c r="J3350" s="23" t="str">
        <f t="shared" si="262"/>
        <v>Match</v>
      </c>
      <c r="K3350" s="24">
        <f t="shared" si="263"/>
        <v>0</v>
      </c>
      <c r="L3350" s="24">
        <f t="shared" si="264"/>
        <v>0</v>
      </c>
    </row>
    <row r="3351" spans="1:12" ht="15" customHeight="1" x14ac:dyDescent="0.3">
      <c r="A3351" s="23" t="s">
        <v>16419</v>
      </c>
      <c r="B3351" s="23" t="s">
        <v>75</v>
      </c>
      <c r="C3351" s="39">
        <v>3998</v>
      </c>
      <c r="D3351" s="24">
        <v>11.99</v>
      </c>
      <c r="E3351" s="24">
        <v>2.16</v>
      </c>
      <c r="F3351" s="23">
        <f>COUNTIFS(mdr_rate_cleaned!$A$2:$A$10,B3351,mdr_rate_cleaned!$B$2:$B$10,"&lt;"&amp;C3351,mdr_rate_cleaned!$F$2:$F$10,"&gt;="&amp;C3351)</f>
        <v>1</v>
      </c>
      <c r="G3351" s="40">
        <f>SUMIFS(mdr_rate_cleaned!$G$2:$G$10,mdr_rate_cleaned!$A$2:$A$10,B3351,mdr_rate_cleaned!$B$2:$B$10,"&lt;"&amp;C3351,mdr_rate_cleaned!$F$2:$F$10,"&gt;="&amp;C3351)</f>
        <v>3.0000000000000001E-3</v>
      </c>
      <c r="H3351" s="24">
        <f t="shared" si="260"/>
        <v>11.99</v>
      </c>
      <c r="I3351" s="23" t="str">
        <f t="shared" si="261"/>
        <v>Match</v>
      </c>
      <c r="J3351" s="23" t="str">
        <f t="shared" si="262"/>
        <v>Match</v>
      </c>
      <c r="K3351" s="24">
        <f t="shared" si="263"/>
        <v>2.16</v>
      </c>
      <c r="L3351" s="24">
        <f t="shared" si="264"/>
        <v>0</v>
      </c>
    </row>
    <row r="3352" spans="1:12" ht="15" customHeight="1" x14ac:dyDescent="0.3">
      <c r="A3352" s="23" t="s">
        <v>16420</v>
      </c>
      <c r="B3352" s="23" t="s">
        <v>75</v>
      </c>
      <c r="C3352" s="39">
        <v>2999</v>
      </c>
      <c r="D3352" s="24">
        <v>9</v>
      </c>
      <c r="E3352" s="24">
        <v>1.62</v>
      </c>
      <c r="F3352" s="23">
        <f>COUNTIFS(mdr_rate_cleaned!$A$2:$A$10,B3352,mdr_rate_cleaned!$B$2:$B$10,"&lt;"&amp;C3352,mdr_rate_cleaned!$F$2:$F$10,"&gt;="&amp;C3352)</f>
        <v>1</v>
      </c>
      <c r="G3352" s="40">
        <f>SUMIFS(mdr_rate_cleaned!$G$2:$G$10,mdr_rate_cleaned!$A$2:$A$10,B3352,mdr_rate_cleaned!$B$2:$B$10,"&lt;"&amp;C3352,mdr_rate_cleaned!$F$2:$F$10,"&gt;="&amp;C3352)</f>
        <v>3.0000000000000001E-3</v>
      </c>
      <c r="H3352" s="24">
        <f t="shared" si="260"/>
        <v>9</v>
      </c>
      <c r="I3352" s="23" t="str">
        <f t="shared" si="261"/>
        <v>Match</v>
      </c>
      <c r="J3352" s="23" t="str">
        <f t="shared" si="262"/>
        <v>Match</v>
      </c>
      <c r="K3352" s="24">
        <f t="shared" si="263"/>
        <v>1.62</v>
      </c>
      <c r="L3352" s="24">
        <f t="shared" si="264"/>
        <v>0</v>
      </c>
    </row>
    <row r="3353" spans="1:12" ht="15" customHeight="1" x14ac:dyDescent="0.3">
      <c r="A3353" s="23" t="s">
        <v>16421</v>
      </c>
      <c r="B3353" s="23" t="s">
        <v>75</v>
      </c>
      <c r="C3353" s="39">
        <v>9797</v>
      </c>
      <c r="D3353" s="24">
        <v>29.39</v>
      </c>
      <c r="E3353" s="24">
        <v>5.29</v>
      </c>
      <c r="F3353" s="23">
        <f>COUNTIFS(mdr_rate_cleaned!$A$2:$A$10,B3353,mdr_rate_cleaned!$B$2:$B$10,"&lt;"&amp;C3353,mdr_rate_cleaned!$F$2:$F$10,"&gt;="&amp;C3353)</f>
        <v>1</v>
      </c>
      <c r="G3353" s="40">
        <f>SUMIFS(mdr_rate_cleaned!$G$2:$G$10,mdr_rate_cleaned!$A$2:$A$10,B3353,mdr_rate_cleaned!$B$2:$B$10,"&lt;"&amp;C3353,mdr_rate_cleaned!$F$2:$F$10,"&gt;="&amp;C3353)</f>
        <v>3.0000000000000001E-3</v>
      </c>
      <c r="H3353" s="24">
        <f t="shared" si="260"/>
        <v>29.39</v>
      </c>
      <c r="I3353" s="23" t="str">
        <f t="shared" si="261"/>
        <v>Match</v>
      </c>
      <c r="J3353" s="23" t="str">
        <f t="shared" si="262"/>
        <v>Match</v>
      </c>
      <c r="K3353" s="24">
        <f t="shared" si="263"/>
        <v>5.29</v>
      </c>
      <c r="L3353" s="24">
        <f t="shared" si="264"/>
        <v>0</v>
      </c>
    </row>
    <row r="3354" spans="1:12" ht="15" customHeight="1" x14ac:dyDescent="0.3">
      <c r="A3354" s="23" t="s">
        <v>16422</v>
      </c>
      <c r="B3354" s="23" t="s">
        <v>75</v>
      </c>
      <c r="C3354" s="39">
        <v>5498</v>
      </c>
      <c r="D3354" s="24">
        <v>16.489999999999998</v>
      </c>
      <c r="E3354" s="24">
        <v>2.97</v>
      </c>
      <c r="F3354" s="23">
        <f>COUNTIFS(mdr_rate_cleaned!$A$2:$A$10,B3354,mdr_rate_cleaned!$B$2:$B$10,"&lt;"&amp;C3354,mdr_rate_cleaned!$F$2:$F$10,"&gt;="&amp;C3354)</f>
        <v>1</v>
      </c>
      <c r="G3354" s="40">
        <f>SUMIFS(mdr_rate_cleaned!$G$2:$G$10,mdr_rate_cleaned!$A$2:$A$10,B3354,mdr_rate_cleaned!$B$2:$B$10,"&lt;"&amp;C3354,mdr_rate_cleaned!$F$2:$F$10,"&gt;="&amp;C3354)</f>
        <v>3.0000000000000001E-3</v>
      </c>
      <c r="H3354" s="24">
        <f t="shared" si="260"/>
        <v>16.489999999999998</v>
      </c>
      <c r="I3354" s="23" t="str">
        <f t="shared" si="261"/>
        <v>Match</v>
      </c>
      <c r="J3354" s="23" t="str">
        <f t="shared" si="262"/>
        <v>Match</v>
      </c>
      <c r="K3354" s="24">
        <f t="shared" si="263"/>
        <v>2.97</v>
      </c>
      <c r="L3354" s="24">
        <f t="shared" si="264"/>
        <v>0</v>
      </c>
    </row>
    <row r="3355" spans="1:12" ht="15" customHeight="1" x14ac:dyDescent="0.3">
      <c r="A3355" s="23" t="s">
        <v>16424</v>
      </c>
      <c r="B3355" s="23" t="s">
        <v>79</v>
      </c>
      <c r="C3355" s="39">
        <v>5998</v>
      </c>
      <c r="D3355" s="24">
        <v>95.97</v>
      </c>
      <c r="E3355" s="24">
        <v>17.27</v>
      </c>
      <c r="F3355" s="23">
        <f>COUNTIFS(mdr_rate_cleaned!$A$2:$A$10,B3355,mdr_rate_cleaned!$B$2:$B$10,"&lt;"&amp;C3355,mdr_rate_cleaned!$F$2:$F$10,"&gt;="&amp;C3355)</f>
        <v>1</v>
      </c>
      <c r="G3355" s="40">
        <f>SUMIFS(mdr_rate_cleaned!$G$2:$G$10,mdr_rate_cleaned!$A$2:$A$10,B3355,mdr_rate_cleaned!$B$2:$B$10,"&lt;"&amp;C3355,mdr_rate_cleaned!$F$2:$F$10,"&gt;="&amp;C3355)</f>
        <v>1.6E-2</v>
      </c>
      <c r="H3355" s="24">
        <f t="shared" si="260"/>
        <v>95.97</v>
      </c>
      <c r="I3355" s="23" t="str">
        <f t="shared" si="261"/>
        <v>Match</v>
      </c>
      <c r="J3355" s="23" t="str">
        <f t="shared" si="262"/>
        <v>Match</v>
      </c>
      <c r="K3355" s="24">
        <f t="shared" si="263"/>
        <v>17.27</v>
      </c>
      <c r="L3355" s="24">
        <f t="shared" si="264"/>
        <v>0</v>
      </c>
    </row>
    <row r="3356" spans="1:12" ht="15" customHeight="1" x14ac:dyDescent="0.3">
      <c r="A3356" s="23" t="s">
        <v>16426</v>
      </c>
      <c r="B3356" s="23" t="s">
        <v>75</v>
      </c>
      <c r="C3356" s="39">
        <v>1299</v>
      </c>
      <c r="D3356" s="24">
        <v>0</v>
      </c>
      <c r="E3356" s="24">
        <v>0</v>
      </c>
      <c r="F3356" s="23">
        <f>COUNTIFS(mdr_rate_cleaned!$A$2:$A$10,B3356,mdr_rate_cleaned!$B$2:$B$10,"&lt;"&amp;C3356,mdr_rate_cleaned!$F$2:$F$10,"&gt;="&amp;C3356)</f>
        <v>1</v>
      </c>
      <c r="G3356" s="40">
        <f>SUMIFS(mdr_rate_cleaned!$G$2:$G$10,mdr_rate_cleaned!$A$2:$A$10,B3356,mdr_rate_cleaned!$B$2:$B$10,"&lt;"&amp;C3356,mdr_rate_cleaned!$F$2:$F$10,"&gt;="&amp;C3356)</f>
        <v>0</v>
      </c>
      <c r="H3356" s="24">
        <f t="shared" si="260"/>
        <v>0</v>
      </c>
      <c r="I3356" s="23" t="str">
        <f t="shared" si="261"/>
        <v>Match</v>
      </c>
      <c r="J3356" s="23" t="str">
        <f t="shared" si="262"/>
        <v>Match</v>
      </c>
      <c r="K3356" s="24">
        <f t="shared" si="263"/>
        <v>0</v>
      </c>
      <c r="L3356" s="24">
        <f t="shared" si="264"/>
        <v>0</v>
      </c>
    </row>
    <row r="3357" spans="1:12" ht="15" customHeight="1" x14ac:dyDescent="0.3">
      <c r="A3357" s="23" t="s">
        <v>16427</v>
      </c>
      <c r="B3357" s="23" t="s">
        <v>75</v>
      </c>
      <c r="C3357" s="39">
        <v>4798</v>
      </c>
      <c r="D3357" s="24">
        <v>14.39</v>
      </c>
      <c r="E3357" s="24">
        <v>2.59</v>
      </c>
      <c r="F3357" s="23">
        <f>COUNTIFS(mdr_rate_cleaned!$A$2:$A$10,B3357,mdr_rate_cleaned!$B$2:$B$10,"&lt;"&amp;C3357,mdr_rate_cleaned!$F$2:$F$10,"&gt;="&amp;C3357)</f>
        <v>1</v>
      </c>
      <c r="G3357" s="40">
        <f>SUMIFS(mdr_rate_cleaned!$G$2:$G$10,mdr_rate_cleaned!$A$2:$A$10,B3357,mdr_rate_cleaned!$B$2:$B$10,"&lt;"&amp;C3357,mdr_rate_cleaned!$F$2:$F$10,"&gt;="&amp;C3357)</f>
        <v>3.0000000000000001E-3</v>
      </c>
      <c r="H3357" s="24">
        <f t="shared" si="260"/>
        <v>14.39</v>
      </c>
      <c r="I3357" s="23" t="str">
        <f t="shared" si="261"/>
        <v>Match</v>
      </c>
      <c r="J3357" s="23" t="str">
        <f t="shared" si="262"/>
        <v>Match</v>
      </c>
      <c r="K3357" s="24">
        <f t="shared" si="263"/>
        <v>2.59</v>
      </c>
      <c r="L3357" s="24">
        <f t="shared" si="264"/>
        <v>0</v>
      </c>
    </row>
    <row r="3358" spans="1:12" ht="15" customHeight="1" x14ac:dyDescent="0.3">
      <c r="A3358" s="23" t="s">
        <v>16428</v>
      </c>
      <c r="B3358" s="23" t="s">
        <v>75</v>
      </c>
      <c r="C3358" s="39">
        <v>648</v>
      </c>
      <c r="D3358" s="24">
        <v>0</v>
      </c>
      <c r="E3358" s="24">
        <v>0</v>
      </c>
      <c r="F3358" s="23">
        <f>COUNTIFS(mdr_rate_cleaned!$A$2:$A$10,B3358,mdr_rate_cleaned!$B$2:$B$10,"&lt;"&amp;C3358,mdr_rate_cleaned!$F$2:$F$10,"&gt;="&amp;C3358)</f>
        <v>1</v>
      </c>
      <c r="G3358" s="40">
        <f>SUMIFS(mdr_rate_cleaned!$G$2:$G$10,mdr_rate_cleaned!$A$2:$A$10,B3358,mdr_rate_cleaned!$B$2:$B$10,"&lt;"&amp;C3358,mdr_rate_cleaned!$F$2:$F$10,"&gt;="&amp;C3358)</f>
        <v>0</v>
      </c>
      <c r="H3358" s="24">
        <f t="shared" si="260"/>
        <v>0</v>
      </c>
      <c r="I3358" s="23" t="str">
        <f t="shared" si="261"/>
        <v>Match</v>
      </c>
      <c r="J3358" s="23" t="str">
        <f t="shared" si="262"/>
        <v>Match</v>
      </c>
      <c r="K3358" s="24">
        <f t="shared" si="263"/>
        <v>0</v>
      </c>
      <c r="L3358" s="24">
        <f t="shared" si="264"/>
        <v>0</v>
      </c>
    </row>
    <row r="3359" spans="1:12" ht="15" customHeight="1" x14ac:dyDescent="0.3">
      <c r="A3359" s="23" t="s">
        <v>16429</v>
      </c>
      <c r="B3359" s="23" t="s">
        <v>79</v>
      </c>
      <c r="C3359" s="39">
        <v>1598</v>
      </c>
      <c r="D3359" s="24">
        <v>28.76</v>
      </c>
      <c r="E3359" s="24">
        <v>5.18</v>
      </c>
      <c r="F3359" s="23">
        <f>COUNTIFS(mdr_rate_cleaned!$A$2:$A$10,B3359,mdr_rate_cleaned!$B$2:$B$10,"&lt;"&amp;C3359,mdr_rate_cleaned!$F$2:$F$10,"&gt;="&amp;C3359)</f>
        <v>1</v>
      </c>
      <c r="G3359" s="40">
        <f>SUMIFS(mdr_rate_cleaned!$G$2:$G$10,mdr_rate_cleaned!$A$2:$A$10,B3359,mdr_rate_cleaned!$B$2:$B$10,"&lt;"&amp;C3359,mdr_rate_cleaned!$F$2:$F$10,"&gt;="&amp;C3359)</f>
        <v>1.8000000000000002E-2</v>
      </c>
      <c r="H3359" s="24">
        <f t="shared" si="260"/>
        <v>28.76</v>
      </c>
      <c r="I3359" s="23" t="str">
        <f t="shared" si="261"/>
        <v>Match</v>
      </c>
      <c r="J3359" s="23" t="str">
        <f t="shared" si="262"/>
        <v>Match</v>
      </c>
      <c r="K3359" s="24">
        <f t="shared" si="263"/>
        <v>5.18</v>
      </c>
      <c r="L3359" s="24">
        <f t="shared" si="264"/>
        <v>0</v>
      </c>
    </row>
    <row r="3360" spans="1:12" ht="15" customHeight="1" x14ac:dyDescent="0.3">
      <c r="A3360" s="23" t="s">
        <v>16430</v>
      </c>
      <c r="B3360" s="23" t="s">
        <v>75</v>
      </c>
      <c r="C3360" s="39">
        <v>999</v>
      </c>
      <c r="D3360" s="24">
        <v>0</v>
      </c>
      <c r="E3360" s="24">
        <v>0</v>
      </c>
      <c r="F3360" s="23">
        <f>COUNTIFS(mdr_rate_cleaned!$A$2:$A$10,B3360,mdr_rate_cleaned!$B$2:$B$10,"&lt;"&amp;C3360,mdr_rate_cleaned!$F$2:$F$10,"&gt;="&amp;C3360)</f>
        <v>1</v>
      </c>
      <c r="G3360" s="40">
        <f>SUMIFS(mdr_rate_cleaned!$G$2:$G$10,mdr_rate_cleaned!$A$2:$A$10,B3360,mdr_rate_cleaned!$B$2:$B$10,"&lt;"&amp;C3360,mdr_rate_cleaned!$F$2:$F$10,"&gt;="&amp;C3360)</f>
        <v>0</v>
      </c>
      <c r="H3360" s="24">
        <f t="shared" si="260"/>
        <v>0</v>
      </c>
      <c r="I3360" s="23" t="str">
        <f t="shared" si="261"/>
        <v>Match</v>
      </c>
      <c r="J3360" s="23" t="str">
        <f t="shared" si="262"/>
        <v>Match</v>
      </c>
      <c r="K3360" s="24">
        <f t="shared" si="263"/>
        <v>0</v>
      </c>
      <c r="L3360" s="24">
        <f t="shared" si="264"/>
        <v>0</v>
      </c>
    </row>
    <row r="3361" spans="1:12" ht="15" customHeight="1" x14ac:dyDescent="0.3">
      <c r="A3361" s="23" t="s">
        <v>16431</v>
      </c>
      <c r="B3361" s="23" t="s">
        <v>75</v>
      </c>
      <c r="C3361" s="39">
        <v>2999</v>
      </c>
      <c r="D3361" s="24">
        <v>9</v>
      </c>
      <c r="E3361" s="24">
        <v>1.62</v>
      </c>
      <c r="F3361" s="23">
        <f>COUNTIFS(mdr_rate_cleaned!$A$2:$A$10,B3361,mdr_rate_cleaned!$B$2:$B$10,"&lt;"&amp;C3361,mdr_rate_cleaned!$F$2:$F$10,"&gt;="&amp;C3361)</f>
        <v>1</v>
      </c>
      <c r="G3361" s="40">
        <f>SUMIFS(mdr_rate_cleaned!$G$2:$G$10,mdr_rate_cleaned!$A$2:$A$10,B3361,mdr_rate_cleaned!$B$2:$B$10,"&lt;"&amp;C3361,mdr_rate_cleaned!$F$2:$F$10,"&gt;="&amp;C3361)</f>
        <v>3.0000000000000001E-3</v>
      </c>
      <c r="H3361" s="24">
        <f t="shared" si="260"/>
        <v>9</v>
      </c>
      <c r="I3361" s="23" t="str">
        <f t="shared" si="261"/>
        <v>Match</v>
      </c>
      <c r="J3361" s="23" t="str">
        <f t="shared" si="262"/>
        <v>Match</v>
      </c>
      <c r="K3361" s="24">
        <f t="shared" si="263"/>
        <v>1.62</v>
      </c>
      <c r="L3361" s="24">
        <f t="shared" si="264"/>
        <v>0</v>
      </c>
    </row>
    <row r="3362" spans="1:12" ht="15" customHeight="1" x14ac:dyDescent="0.3">
      <c r="A3362" s="23" t="s">
        <v>16432</v>
      </c>
      <c r="B3362" s="23" t="s">
        <v>75</v>
      </c>
      <c r="C3362" s="39">
        <v>1898</v>
      </c>
      <c r="D3362" s="24">
        <v>0</v>
      </c>
      <c r="E3362" s="24">
        <v>0</v>
      </c>
      <c r="F3362" s="23">
        <f>COUNTIFS(mdr_rate_cleaned!$A$2:$A$10,B3362,mdr_rate_cleaned!$B$2:$B$10,"&lt;"&amp;C3362,mdr_rate_cleaned!$F$2:$F$10,"&gt;="&amp;C3362)</f>
        <v>1</v>
      </c>
      <c r="G3362" s="40">
        <f>SUMIFS(mdr_rate_cleaned!$G$2:$G$10,mdr_rate_cleaned!$A$2:$A$10,B3362,mdr_rate_cleaned!$B$2:$B$10,"&lt;"&amp;C3362,mdr_rate_cleaned!$F$2:$F$10,"&gt;="&amp;C3362)</f>
        <v>0</v>
      </c>
      <c r="H3362" s="24">
        <f t="shared" si="260"/>
        <v>0</v>
      </c>
      <c r="I3362" s="23" t="str">
        <f t="shared" si="261"/>
        <v>Match</v>
      </c>
      <c r="J3362" s="23" t="str">
        <f t="shared" si="262"/>
        <v>Match</v>
      </c>
      <c r="K3362" s="24">
        <f t="shared" si="263"/>
        <v>0</v>
      </c>
      <c r="L3362" s="24">
        <f t="shared" si="264"/>
        <v>0</v>
      </c>
    </row>
    <row r="3363" spans="1:12" ht="15" customHeight="1" x14ac:dyDescent="0.3">
      <c r="A3363" s="23" t="s">
        <v>16433</v>
      </c>
      <c r="B3363" s="23" t="s">
        <v>81</v>
      </c>
      <c r="C3363" s="39">
        <v>1499</v>
      </c>
      <c r="D3363" s="24">
        <v>22.49</v>
      </c>
      <c r="E3363" s="24">
        <v>4.05</v>
      </c>
      <c r="F3363" s="23">
        <f>COUNTIFS(mdr_rate_cleaned!$A$2:$A$10,B3363,mdr_rate_cleaned!$B$2:$B$10,"&lt;"&amp;C3363,mdr_rate_cleaned!$F$2:$F$10,"&gt;="&amp;C3363)</f>
        <v>1</v>
      </c>
      <c r="G3363" s="40">
        <f>SUMIFS(mdr_rate_cleaned!$G$2:$G$10,mdr_rate_cleaned!$A$2:$A$10,B3363,mdr_rate_cleaned!$B$2:$B$10,"&lt;"&amp;C3363,mdr_rate_cleaned!$F$2:$F$10,"&gt;="&amp;C3363)</f>
        <v>1.4999999999999999E-2</v>
      </c>
      <c r="H3363" s="24">
        <f t="shared" si="260"/>
        <v>22.49</v>
      </c>
      <c r="I3363" s="23" t="str">
        <f t="shared" si="261"/>
        <v>Match</v>
      </c>
      <c r="J3363" s="23" t="str">
        <f t="shared" si="262"/>
        <v>Match</v>
      </c>
      <c r="K3363" s="24">
        <f t="shared" si="263"/>
        <v>4.05</v>
      </c>
      <c r="L3363" s="24">
        <f t="shared" si="264"/>
        <v>0</v>
      </c>
    </row>
    <row r="3364" spans="1:12" ht="15" customHeight="1" x14ac:dyDescent="0.3">
      <c r="A3364" s="23" t="s">
        <v>16434</v>
      </c>
      <c r="B3364" s="23" t="s">
        <v>77</v>
      </c>
      <c r="C3364" s="39">
        <v>648</v>
      </c>
      <c r="D3364" s="24">
        <v>12.31</v>
      </c>
      <c r="E3364" s="24">
        <v>2.2200000000000002</v>
      </c>
      <c r="F3364" s="23">
        <f>COUNTIFS(mdr_rate_cleaned!$A$2:$A$10,B3364,mdr_rate_cleaned!$B$2:$B$10,"&lt;"&amp;C3364,mdr_rate_cleaned!$F$2:$F$10,"&gt;="&amp;C3364)</f>
        <v>1</v>
      </c>
      <c r="G3364" s="40">
        <f>SUMIFS(mdr_rate_cleaned!$G$2:$G$10,mdr_rate_cleaned!$A$2:$A$10,B3364,mdr_rate_cleaned!$B$2:$B$10,"&lt;"&amp;C3364,mdr_rate_cleaned!$F$2:$F$10,"&gt;="&amp;C3364)</f>
        <v>1.9E-2</v>
      </c>
      <c r="H3364" s="24">
        <f t="shared" si="260"/>
        <v>12.31</v>
      </c>
      <c r="I3364" s="23" t="str">
        <f t="shared" si="261"/>
        <v>Match</v>
      </c>
      <c r="J3364" s="23" t="str">
        <f t="shared" si="262"/>
        <v>Match</v>
      </c>
      <c r="K3364" s="24">
        <f t="shared" si="263"/>
        <v>2.2200000000000002</v>
      </c>
      <c r="L3364" s="24">
        <f t="shared" si="264"/>
        <v>0</v>
      </c>
    </row>
    <row r="3365" spans="1:12" ht="15" customHeight="1" x14ac:dyDescent="0.3">
      <c r="A3365" s="23" t="s">
        <v>16435</v>
      </c>
      <c r="B3365" s="23" t="s">
        <v>79</v>
      </c>
      <c r="C3365" s="39">
        <v>4797</v>
      </c>
      <c r="D3365" s="24">
        <v>76.75</v>
      </c>
      <c r="E3365" s="24">
        <v>13.82</v>
      </c>
      <c r="F3365" s="23">
        <f>COUNTIFS(mdr_rate_cleaned!$A$2:$A$10,B3365,mdr_rate_cleaned!$B$2:$B$10,"&lt;"&amp;C3365,mdr_rate_cleaned!$F$2:$F$10,"&gt;="&amp;C3365)</f>
        <v>1</v>
      </c>
      <c r="G3365" s="40">
        <f>SUMIFS(mdr_rate_cleaned!$G$2:$G$10,mdr_rate_cleaned!$A$2:$A$10,B3365,mdr_rate_cleaned!$B$2:$B$10,"&lt;"&amp;C3365,mdr_rate_cleaned!$F$2:$F$10,"&gt;="&amp;C3365)</f>
        <v>1.6E-2</v>
      </c>
      <c r="H3365" s="24">
        <f t="shared" si="260"/>
        <v>76.75</v>
      </c>
      <c r="I3365" s="23" t="str">
        <f t="shared" si="261"/>
        <v>Match</v>
      </c>
      <c r="J3365" s="23" t="str">
        <f t="shared" si="262"/>
        <v>Match</v>
      </c>
      <c r="K3365" s="24">
        <f t="shared" si="263"/>
        <v>13.82</v>
      </c>
      <c r="L3365" s="24">
        <f t="shared" si="264"/>
        <v>0</v>
      </c>
    </row>
    <row r="3366" spans="1:12" ht="15" customHeight="1" x14ac:dyDescent="0.3">
      <c r="A3366" s="23" t="s">
        <v>16436</v>
      </c>
      <c r="B3366" s="23" t="s">
        <v>79</v>
      </c>
      <c r="C3366" s="39">
        <v>3499</v>
      </c>
      <c r="D3366" s="24">
        <v>55.98</v>
      </c>
      <c r="E3366" s="24">
        <v>10.08</v>
      </c>
      <c r="F3366" s="23">
        <f>COUNTIFS(mdr_rate_cleaned!$A$2:$A$10,B3366,mdr_rate_cleaned!$B$2:$B$10,"&lt;"&amp;C3366,mdr_rate_cleaned!$F$2:$F$10,"&gt;="&amp;C3366)</f>
        <v>1</v>
      </c>
      <c r="G3366" s="40">
        <f>SUMIFS(mdr_rate_cleaned!$G$2:$G$10,mdr_rate_cleaned!$A$2:$A$10,B3366,mdr_rate_cleaned!$B$2:$B$10,"&lt;"&amp;C3366,mdr_rate_cleaned!$F$2:$F$10,"&gt;="&amp;C3366)</f>
        <v>1.6E-2</v>
      </c>
      <c r="H3366" s="24">
        <f t="shared" si="260"/>
        <v>55.98</v>
      </c>
      <c r="I3366" s="23" t="str">
        <f t="shared" si="261"/>
        <v>Match</v>
      </c>
      <c r="J3366" s="23" t="str">
        <f t="shared" si="262"/>
        <v>Match</v>
      </c>
      <c r="K3366" s="24">
        <f t="shared" si="263"/>
        <v>10.08</v>
      </c>
      <c r="L3366" s="24">
        <f t="shared" si="264"/>
        <v>0</v>
      </c>
    </row>
    <row r="3367" spans="1:12" ht="15" customHeight="1" x14ac:dyDescent="0.3">
      <c r="A3367" s="23" t="s">
        <v>16437</v>
      </c>
      <c r="B3367" s="23" t="s">
        <v>75</v>
      </c>
      <c r="C3367" s="39">
        <v>599</v>
      </c>
      <c r="D3367" s="24">
        <v>0</v>
      </c>
      <c r="E3367" s="24">
        <v>0</v>
      </c>
      <c r="F3367" s="23">
        <f>COUNTIFS(mdr_rate_cleaned!$A$2:$A$10,B3367,mdr_rate_cleaned!$B$2:$B$10,"&lt;"&amp;C3367,mdr_rate_cleaned!$F$2:$F$10,"&gt;="&amp;C3367)</f>
        <v>1</v>
      </c>
      <c r="G3367" s="40">
        <f>SUMIFS(mdr_rate_cleaned!$G$2:$G$10,mdr_rate_cleaned!$A$2:$A$10,B3367,mdr_rate_cleaned!$B$2:$B$10,"&lt;"&amp;C3367,mdr_rate_cleaned!$F$2:$F$10,"&gt;="&amp;C3367)</f>
        <v>0</v>
      </c>
      <c r="H3367" s="24">
        <f t="shared" si="260"/>
        <v>0</v>
      </c>
      <c r="I3367" s="23" t="str">
        <f t="shared" si="261"/>
        <v>Match</v>
      </c>
      <c r="J3367" s="23" t="str">
        <f t="shared" si="262"/>
        <v>Match</v>
      </c>
      <c r="K3367" s="24">
        <f t="shared" si="263"/>
        <v>0</v>
      </c>
      <c r="L3367" s="24">
        <f t="shared" si="264"/>
        <v>0</v>
      </c>
    </row>
    <row r="3368" spans="1:12" ht="15" customHeight="1" x14ac:dyDescent="0.3">
      <c r="A3368" s="23" t="s">
        <v>16438</v>
      </c>
      <c r="B3368" s="23" t="s">
        <v>75</v>
      </c>
      <c r="C3368" s="39">
        <v>1298</v>
      </c>
      <c r="D3368" s="24">
        <v>0</v>
      </c>
      <c r="E3368" s="24">
        <v>0</v>
      </c>
      <c r="F3368" s="23">
        <f>COUNTIFS(mdr_rate_cleaned!$A$2:$A$10,B3368,mdr_rate_cleaned!$B$2:$B$10,"&lt;"&amp;C3368,mdr_rate_cleaned!$F$2:$F$10,"&gt;="&amp;C3368)</f>
        <v>1</v>
      </c>
      <c r="G3368" s="40">
        <f>SUMIFS(mdr_rate_cleaned!$G$2:$G$10,mdr_rate_cleaned!$A$2:$A$10,B3368,mdr_rate_cleaned!$B$2:$B$10,"&lt;"&amp;C3368,mdr_rate_cleaned!$F$2:$F$10,"&gt;="&amp;C3368)</f>
        <v>0</v>
      </c>
      <c r="H3368" s="24">
        <f t="shared" si="260"/>
        <v>0</v>
      </c>
      <c r="I3368" s="23" t="str">
        <f t="shared" si="261"/>
        <v>Match</v>
      </c>
      <c r="J3368" s="23" t="str">
        <f t="shared" si="262"/>
        <v>Match</v>
      </c>
      <c r="K3368" s="24">
        <f t="shared" si="263"/>
        <v>0</v>
      </c>
      <c r="L3368" s="24">
        <f t="shared" si="264"/>
        <v>0</v>
      </c>
    </row>
    <row r="3369" spans="1:12" ht="15" customHeight="1" x14ac:dyDescent="0.3">
      <c r="A3369" s="23" t="s">
        <v>16439</v>
      </c>
      <c r="B3369" s="23" t="s">
        <v>79</v>
      </c>
      <c r="C3369" s="39">
        <v>2498</v>
      </c>
      <c r="D3369" s="24">
        <v>39.97</v>
      </c>
      <c r="E3369" s="24">
        <v>7.19</v>
      </c>
      <c r="F3369" s="23">
        <f>COUNTIFS(mdr_rate_cleaned!$A$2:$A$10,B3369,mdr_rate_cleaned!$B$2:$B$10,"&lt;"&amp;C3369,mdr_rate_cleaned!$F$2:$F$10,"&gt;="&amp;C3369)</f>
        <v>1</v>
      </c>
      <c r="G3369" s="40">
        <f>SUMIFS(mdr_rate_cleaned!$G$2:$G$10,mdr_rate_cleaned!$A$2:$A$10,B3369,mdr_rate_cleaned!$B$2:$B$10,"&lt;"&amp;C3369,mdr_rate_cleaned!$F$2:$F$10,"&gt;="&amp;C3369)</f>
        <v>1.6E-2</v>
      </c>
      <c r="H3369" s="24">
        <f t="shared" si="260"/>
        <v>39.97</v>
      </c>
      <c r="I3369" s="23" t="str">
        <f t="shared" si="261"/>
        <v>Match</v>
      </c>
      <c r="J3369" s="23" t="str">
        <f t="shared" si="262"/>
        <v>Match</v>
      </c>
      <c r="K3369" s="24">
        <f t="shared" si="263"/>
        <v>7.19</v>
      </c>
      <c r="L3369" s="24">
        <f t="shared" si="264"/>
        <v>0</v>
      </c>
    </row>
    <row r="3370" spans="1:12" ht="15" customHeight="1" x14ac:dyDescent="0.3">
      <c r="A3370" s="23" t="s">
        <v>16440</v>
      </c>
      <c r="B3370" s="23" t="s">
        <v>79</v>
      </c>
      <c r="C3370" s="39">
        <v>3499</v>
      </c>
      <c r="D3370" s="24">
        <v>55.98</v>
      </c>
      <c r="E3370" s="24">
        <v>10.08</v>
      </c>
      <c r="F3370" s="23">
        <f>COUNTIFS(mdr_rate_cleaned!$A$2:$A$10,B3370,mdr_rate_cleaned!$B$2:$B$10,"&lt;"&amp;C3370,mdr_rate_cleaned!$F$2:$F$10,"&gt;="&amp;C3370)</f>
        <v>1</v>
      </c>
      <c r="G3370" s="40">
        <f>SUMIFS(mdr_rate_cleaned!$G$2:$G$10,mdr_rate_cleaned!$A$2:$A$10,B3370,mdr_rate_cleaned!$B$2:$B$10,"&lt;"&amp;C3370,mdr_rate_cleaned!$F$2:$F$10,"&gt;="&amp;C3370)</f>
        <v>1.6E-2</v>
      </c>
      <c r="H3370" s="24">
        <f t="shared" si="260"/>
        <v>55.98</v>
      </c>
      <c r="I3370" s="23" t="str">
        <f t="shared" si="261"/>
        <v>Match</v>
      </c>
      <c r="J3370" s="23" t="str">
        <f t="shared" si="262"/>
        <v>Match</v>
      </c>
      <c r="K3370" s="24">
        <f t="shared" si="263"/>
        <v>10.08</v>
      </c>
      <c r="L3370" s="24">
        <f t="shared" si="264"/>
        <v>0</v>
      </c>
    </row>
    <row r="3371" spans="1:12" ht="15" customHeight="1" x14ac:dyDescent="0.3">
      <c r="A3371" s="23" t="s">
        <v>16441</v>
      </c>
      <c r="B3371" s="23" t="s">
        <v>79</v>
      </c>
      <c r="C3371" s="39">
        <v>5498</v>
      </c>
      <c r="D3371" s="24">
        <v>87.97</v>
      </c>
      <c r="E3371" s="24">
        <v>15.83</v>
      </c>
      <c r="F3371" s="23">
        <f>COUNTIFS(mdr_rate_cleaned!$A$2:$A$10,B3371,mdr_rate_cleaned!$B$2:$B$10,"&lt;"&amp;C3371,mdr_rate_cleaned!$F$2:$F$10,"&gt;="&amp;C3371)</f>
        <v>1</v>
      </c>
      <c r="G3371" s="40">
        <f>SUMIFS(mdr_rate_cleaned!$G$2:$G$10,mdr_rate_cleaned!$A$2:$A$10,B3371,mdr_rate_cleaned!$B$2:$B$10,"&lt;"&amp;C3371,mdr_rate_cleaned!$F$2:$F$10,"&gt;="&amp;C3371)</f>
        <v>1.6E-2</v>
      </c>
      <c r="H3371" s="24">
        <f t="shared" si="260"/>
        <v>87.97</v>
      </c>
      <c r="I3371" s="23" t="str">
        <f t="shared" si="261"/>
        <v>Match</v>
      </c>
      <c r="J3371" s="23" t="str">
        <f t="shared" si="262"/>
        <v>Match</v>
      </c>
      <c r="K3371" s="24">
        <f t="shared" si="263"/>
        <v>15.83</v>
      </c>
      <c r="L3371" s="24">
        <f t="shared" si="264"/>
        <v>0</v>
      </c>
    </row>
    <row r="3372" spans="1:12" ht="15" customHeight="1" x14ac:dyDescent="0.3">
      <c r="A3372" s="23" t="s">
        <v>16442</v>
      </c>
      <c r="B3372" s="23" t="s">
        <v>75</v>
      </c>
      <c r="C3372" s="39">
        <v>7097</v>
      </c>
      <c r="D3372" s="24">
        <v>21.29</v>
      </c>
      <c r="E3372" s="24">
        <v>3.83</v>
      </c>
      <c r="F3372" s="23">
        <f>COUNTIFS(mdr_rate_cleaned!$A$2:$A$10,B3372,mdr_rate_cleaned!$B$2:$B$10,"&lt;"&amp;C3372,mdr_rate_cleaned!$F$2:$F$10,"&gt;="&amp;C3372)</f>
        <v>1</v>
      </c>
      <c r="G3372" s="40">
        <f>SUMIFS(mdr_rate_cleaned!$G$2:$G$10,mdr_rate_cleaned!$A$2:$A$10,B3372,mdr_rate_cleaned!$B$2:$B$10,"&lt;"&amp;C3372,mdr_rate_cleaned!$F$2:$F$10,"&gt;="&amp;C3372)</f>
        <v>3.0000000000000001E-3</v>
      </c>
      <c r="H3372" s="24">
        <f t="shared" si="260"/>
        <v>21.29</v>
      </c>
      <c r="I3372" s="23" t="str">
        <f t="shared" si="261"/>
        <v>Match</v>
      </c>
      <c r="J3372" s="23" t="str">
        <f t="shared" si="262"/>
        <v>Match</v>
      </c>
      <c r="K3372" s="24">
        <f t="shared" si="263"/>
        <v>3.83</v>
      </c>
      <c r="L3372" s="24">
        <f t="shared" si="264"/>
        <v>0</v>
      </c>
    </row>
    <row r="3373" spans="1:12" ht="15" customHeight="1" x14ac:dyDescent="0.3">
      <c r="A3373" s="23" t="s">
        <v>16443</v>
      </c>
      <c r="B3373" s="23" t="s">
        <v>81</v>
      </c>
      <c r="C3373" s="39">
        <v>299</v>
      </c>
      <c r="D3373" s="24">
        <v>4.49</v>
      </c>
      <c r="E3373" s="24">
        <v>0.81</v>
      </c>
      <c r="F3373" s="23">
        <f>COUNTIFS(mdr_rate_cleaned!$A$2:$A$10,B3373,mdr_rate_cleaned!$B$2:$B$10,"&lt;"&amp;C3373,mdr_rate_cleaned!$F$2:$F$10,"&gt;="&amp;C3373)</f>
        <v>1</v>
      </c>
      <c r="G3373" s="40">
        <f>SUMIFS(mdr_rate_cleaned!$G$2:$G$10,mdr_rate_cleaned!$A$2:$A$10,B3373,mdr_rate_cleaned!$B$2:$B$10,"&lt;"&amp;C3373,mdr_rate_cleaned!$F$2:$F$10,"&gt;="&amp;C3373)</f>
        <v>1.4999999999999999E-2</v>
      </c>
      <c r="H3373" s="24">
        <f t="shared" si="260"/>
        <v>4.49</v>
      </c>
      <c r="I3373" s="23" t="str">
        <f t="shared" si="261"/>
        <v>Match</v>
      </c>
      <c r="J3373" s="23" t="str">
        <f t="shared" si="262"/>
        <v>Match</v>
      </c>
      <c r="K3373" s="24">
        <f t="shared" si="263"/>
        <v>0.81</v>
      </c>
      <c r="L3373" s="24">
        <f t="shared" si="264"/>
        <v>0</v>
      </c>
    </row>
    <row r="3374" spans="1:12" ht="15" customHeight="1" x14ac:dyDescent="0.3">
      <c r="A3374" s="23" t="s">
        <v>16445</v>
      </c>
      <c r="B3374" s="23" t="s">
        <v>75</v>
      </c>
      <c r="C3374" s="39">
        <v>2298</v>
      </c>
      <c r="D3374" s="24">
        <v>6.89</v>
      </c>
      <c r="E3374" s="24">
        <v>1.24</v>
      </c>
      <c r="F3374" s="23">
        <f>COUNTIFS(mdr_rate_cleaned!$A$2:$A$10,B3374,mdr_rate_cleaned!$B$2:$B$10,"&lt;"&amp;C3374,mdr_rate_cleaned!$F$2:$F$10,"&gt;="&amp;C3374)</f>
        <v>1</v>
      </c>
      <c r="G3374" s="40">
        <f>SUMIFS(mdr_rate_cleaned!$G$2:$G$10,mdr_rate_cleaned!$A$2:$A$10,B3374,mdr_rate_cleaned!$B$2:$B$10,"&lt;"&amp;C3374,mdr_rate_cleaned!$F$2:$F$10,"&gt;="&amp;C3374)</f>
        <v>3.0000000000000001E-3</v>
      </c>
      <c r="H3374" s="24">
        <f t="shared" si="260"/>
        <v>6.89</v>
      </c>
      <c r="I3374" s="23" t="str">
        <f t="shared" si="261"/>
        <v>Match</v>
      </c>
      <c r="J3374" s="23" t="str">
        <f t="shared" si="262"/>
        <v>Match</v>
      </c>
      <c r="K3374" s="24">
        <f t="shared" si="263"/>
        <v>1.24</v>
      </c>
      <c r="L3374" s="24">
        <f t="shared" si="264"/>
        <v>0</v>
      </c>
    </row>
    <row r="3375" spans="1:12" ht="15" customHeight="1" x14ac:dyDescent="0.3">
      <c r="A3375" s="23" t="s">
        <v>16447</v>
      </c>
      <c r="B3375" s="23" t="s">
        <v>75</v>
      </c>
      <c r="C3375" s="39">
        <v>599</v>
      </c>
      <c r="D3375" s="24">
        <v>0</v>
      </c>
      <c r="E3375" s="24">
        <v>0</v>
      </c>
      <c r="F3375" s="23">
        <f>COUNTIFS(mdr_rate_cleaned!$A$2:$A$10,B3375,mdr_rate_cleaned!$B$2:$B$10,"&lt;"&amp;C3375,mdr_rate_cleaned!$F$2:$F$10,"&gt;="&amp;C3375)</f>
        <v>1</v>
      </c>
      <c r="G3375" s="40">
        <f>SUMIFS(mdr_rate_cleaned!$G$2:$G$10,mdr_rate_cleaned!$A$2:$A$10,B3375,mdr_rate_cleaned!$B$2:$B$10,"&lt;"&amp;C3375,mdr_rate_cleaned!$F$2:$F$10,"&gt;="&amp;C3375)</f>
        <v>0</v>
      </c>
      <c r="H3375" s="24">
        <f t="shared" si="260"/>
        <v>0</v>
      </c>
      <c r="I3375" s="23" t="str">
        <f t="shared" si="261"/>
        <v>Match</v>
      </c>
      <c r="J3375" s="23" t="str">
        <f t="shared" si="262"/>
        <v>Match</v>
      </c>
      <c r="K3375" s="24">
        <f t="shared" si="263"/>
        <v>0</v>
      </c>
      <c r="L3375" s="24">
        <f t="shared" si="264"/>
        <v>0</v>
      </c>
    </row>
    <row r="3376" spans="1:12" ht="15" customHeight="1" x14ac:dyDescent="0.3">
      <c r="A3376" s="23" t="s">
        <v>16448</v>
      </c>
      <c r="B3376" s="23" t="s">
        <v>75</v>
      </c>
      <c r="C3376" s="39">
        <v>2999</v>
      </c>
      <c r="D3376" s="24">
        <v>9</v>
      </c>
      <c r="E3376" s="24">
        <v>1.62</v>
      </c>
      <c r="F3376" s="23">
        <f>COUNTIFS(mdr_rate_cleaned!$A$2:$A$10,B3376,mdr_rate_cleaned!$B$2:$B$10,"&lt;"&amp;C3376,mdr_rate_cleaned!$F$2:$F$10,"&gt;="&amp;C3376)</f>
        <v>1</v>
      </c>
      <c r="G3376" s="40">
        <f>SUMIFS(mdr_rate_cleaned!$G$2:$G$10,mdr_rate_cleaned!$A$2:$A$10,B3376,mdr_rate_cleaned!$B$2:$B$10,"&lt;"&amp;C3376,mdr_rate_cleaned!$F$2:$F$10,"&gt;="&amp;C3376)</f>
        <v>3.0000000000000001E-3</v>
      </c>
      <c r="H3376" s="24">
        <f t="shared" si="260"/>
        <v>9</v>
      </c>
      <c r="I3376" s="23" t="str">
        <f t="shared" si="261"/>
        <v>Match</v>
      </c>
      <c r="J3376" s="23" t="str">
        <f t="shared" si="262"/>
        <v>Match</v>
      </c>
      <c r="K3376" s="24">
        <f t="shared" si="263"/>
        <v>1.62</v>
      </c>
      <c r="L3376" s="24">
        <f t="shared" si="264"/>
        <v>0</v>
      </c>
    </row>
    <row r="3377" spans="1:12" ht="15" customHeight="1" x14ac:dyDescent="0.3">
      <c r="A3377" s="23" t="s">
        <v>16449</v>
      </c>
      <c r="B3377" s="23" t="s">
        <v>75</v>
      </c>
      <c r="C3377" s="39">
        <v>12998</v>
      </c>
      <c r="D3377" s="24">
        <v>38.99</v>
      </c>
      <c r="E3377" s="24">
        <v>7.02</v>
      </c>
      <c r="F3377" s="23">
        <f>COUNTIFS(mdr_rate_cleaned!$A$2:$A$10,B3377,mdr_rate_cleaned!$B$2:$B$10,"&lt;"&amp;C3377,mdr_rate_cleaned!$F$2:$F$10,"&gt;="&amp;C3377)</f>
        <v>1</v>
      </c>
      <c r="G3377" s="40">
        <f>SUMIFS(mdr_rate_cleaned!$G$2:$G$10,mdr_rate_cleaned!$A$2:$A$10,B3377,mdr_rate_cleaned!$B$2:$B$10,"&lt;"&amp;C3377,mdr_rate_cleaned!$F$2:$F$10,"&gt;="&amp;C3377)</f>
        <v>3.0000000000000001E-3</v>
      </c>
      <c r="H3377" s="24">
        <f t="shared" si="260"/>
        <v>38.99</v>
      </c>
      <c r="I3377" s="23" t="str">
        <f t="shared" si="261"/>
        <v>Match</v>
      </c>
      <c r="J3377" s="23" t="str">
        <f t="shared" si="262"/>
        <v>Match</v>
      </c>
      <c r="K3377" s="24">
        <f t="shared" si="263"/>
        <v>7.02</v>
      </c>
      <c r="L3377" s="24">
        <f t="shared" si="264"/>
        <v>0</v>
      </c>
    </row>
    <row r="3378" spans="1:12" ht="15" customHeight="1" x14ac:dyDescent="0.3">
      <c r="A3378" s="23" t="s">
        <v>16450</v>
      </c>
      <c r="B3378" s="23" t="s">
        <v>75</v>
      </c>
      <c r="C3378" s="39">
        <v>1598</v>
      </c>
      <c r="D3378" s="24">
        <v>0</v>
      </c>
      <c r="E3378" s="24">
        <v>0</v>
      </c>
      <c r="F3378" s="23">
        <f>COUNTIFS(mdr_rate_cleaned!$A$2:$A$10,B3378,mdr_rate_cleaned!$B$2:$B$10,"&lt;"&amp;C3378,mdr_rate_cleaned!$F$2:$F$10,"&gt;="&amp;C3378)</f>
        <v>1</v>
      </c>
      <c r="G3378" s="40">
        <f>SUMIFS(mdr_rate_cleaned!$G$2:$G$10,mdr_rate_cleaned!$A$2:$A$10,B3378,mdr_rate_cleaned!$B$2:$B$10,"&lt;"&amp;C3378,mdr_rate_cleaned!$F$2:$F$10,"&gt;="&amp;C3378)</f>
        <v>0</v>
      </c>
      <c r="H3378" s="24">
        <f t="shared" si="260"/>
        <v>0</v>
      </c>
      <c r="I3378" s="23" t="str">
        <f t="shared" si="261"/>
        <v>Match</v>
      </c>
      <c r="J3378" s="23" t="str">
        <f t="shared" si="262"/>
        <v>Match</v>
      </c>
      <c r="K3378" s="24">
        <f t="shared" si="263"/>
        <v>0</v>
      </c>
      <c r="L3378" s="24">
        <f t="shared" si="264"/>
        <v>0</v>
      </c>
    </row>
    <row r="3379" spans="1:12" ht="15" customHeight="1" x14ac:dyDescent="0.3">
      <c r="A3379" s="23" t="s">
        <v>16451</v>
      </c>
      <c r="B3379" s="23" t="s">
        <v>75</v>
      </c>
      <c r="C3379" s="39">
        <v>1799</v>
      </c>
      <c r="D3379" s="24">
        <v>0</v>
      </c>
      <c r="E3379" s="24">
        <v>0</v>
      </c>
      <c r="F3379" s="23">
        <f>COUNTIFS(mdr_rate_cleaned!$A$2:$A$10,B3379,mdr_rate_cleaned!$B$2:$B$10,"&lt;"&amp;C3379,mdr_rate_cleaned!$F$2:$F$10,"&gt;="&amp;C3379)</f>
        <v>1</v>
      </c>
      <c r="G3379" s="40">
        <f>SUMIFS(mdr_rate_cleaned!$G$2:$G$10,mdr_rate_cleaned!$A$2:$A$10,B3379,mdr_rate_cleaned!$B$2:$B$10,"&lt;"&amp;C3379,mdr_rate_cleaned!$F$2:$F$10,"&gt;="&amp;C3379)</f>
        <v>0</v>
      </c>
      <c r="H3379" s="24">
        <f t="shared" si="260"/>
        <v>0</v>
      </c>
      <c r="I3379" s="23" t="str">
        <f t="shared" si="261"/>
        <v>Match</v>
      </c>
      <c r="J3379" s="23" t="str">
        <f t="shared" si="262"/>
        <v>Match</v>
      </c>
      <c r="K3379" s="24">
        <f t="shared" si="263"/>
        <v>0</v>
      </c>
      <c r="L3379" s="24">
        <f t="shared" si="264"/>
        <v>0</v>
      </c>
    </row>
    <row r="3380" spans="1:12" ht="15" customHeight="1" x14ac:dyDescent="0.3">
      <c r="A3380" s="23" t="s">
        <v>16452</v>
      </c>
      <c r="B3380" s="23" t="s">
        <v>79</v>
      </c>
      <c r="C3380" s="39">
        <v>3499</v>
      </c>
      <c r="D3380" s="24">
        <v>55.98</v>
      </c>
      <c r="E3380" s="24">
        <v>10.08</v>
      </c>
      <c r="F3380" s="23">
        <f>COUNTIFS(mdr_rate_cleaned!$A$2:$A$10,B3380,mdr_rate_cleaned!$B$2:$B$10,"&lt;"&amp;C3380,mdr_rate_cleaned!$F$2:$F$10,"&gt;="&amp;C3380)</f>
        <v>1</v>
      </c>
      <c r="G3380" s="40">
        <f>SUMIFS(mdr_rate_cleaned!$G$2:$G$10,mdr_rate_cleaned!$A$2:$A$10,B3380,mdr_rate_cleaned!$B$2:$B$10,"&lt;"&amp;C3380,mdr_rate_cleaned!$F$2:$F$10,"&gt;="&amp;C3380)</f>
        <v>1.6E-2</v>
      </c>
      <c r="H3380" s="24">
        <f t="shared" si="260"/>
        <v>55.98</v>
      </c>
      <c r="I3380" s="23" t="str">
        <f t="shared" si="261"/>
        <v>Match</v>
      </c>
      <c r="J3380" s="23" t="str">
        <f t="shared" si="262"/>
        <v>Match</v>
      </c>
      <c r="K3380" s="24">
        <f t="shared" si="263"/>
        <v>10.08</v>
      </c>
      <c r="L3380" s="24">
        <f t="shared" si="264"/>
        <v>0</v>
      </c>
    </row>
    <row r="3381" spans="1:12" ht="15" customHeight="1" x14ac:dyDescent="0.3">
      <c r="A3381" s="23" t="s">
        <v>16453</v>
      </c>
      <c r="B3381" s="23" t="s">
        <v>77</v>
      </c>
      <c r="C3381" s="39">
        <v>999</v>
      </c>
      <c r="D3381" s="24">
        <v>18.98</v>
      </c>
      <c r="E3381" s="24">
        <v>3.42</v>
      </c>
      <c r="F3381" s="23">
        <f>COUNTIFS(mdr_rate_cleaned!$A$2:$A$10,B3381,mdr_rate_cleaned!$B$2:$B$10,"&lt;"&amp;C3381,mdr_rate_cleaned!$F$2:$F$10,"&gt;="&amp;C3381)</f>
        <v>1</v>
      </c>
      <c r="G3381" s="40">
        <f>SUMIFS(mdr_rate_cleaned!$G$2:$G$10,mdr_rate_cleaned!$A$2:$A$10,B3381,mdr_rate_cleaned!$B$2:$B$10,"&lt;"&amp;C3381,mdr_rate_cleaned!$F$2:$F$10,"&gt;="&amp;C3381)</f>
        <v>1.9E-2</v>
      </c>
      <c r="H3381" s="24">
        <f t="shared" si="260"/>
        <v>18.98</v>
      </c>
      <c r="I3381" s="23" t="str">
        <f t="shared" si="261"/>
        <v>Match</v>
      </c>
      <c r="J3381" s="23" t="str">
        <f t="shared" si="262"/>
        <v>Match</v>
      </c>
      <c r="K3381" s="24">
        <f t="shared" si="263"/>
        <v>3.42</v>
      </c>
      <c r="L3381" s="24">
        <f t="shared" si="264"/>
        <v>0</v>
      </c>
    </row>
    <row r="3382" spans="1:12" ht="15" customHeight="1" x14ac:dyDescent="0.3">
      <c r="A3382" s="23" t="s">
        <v>16454</v>
      </c>
      <c r="B3382" s="23" t="s">
        <v>75</v>
      </c>
      <c r="C3382" s="39">
        <v>4999</v>
      </c>
      <c r="D3382" s="24">
        <v>15</v>
      </c>
      <c r="E3382" s="24">
        <v>2.7</v>
      </c>
      <c r="F3382" s="23">
        <f>COUNTIFS(mdr_rate_cleaned!$A$2:$A$10,B3382,mdr_rate_cleaned!$B$2:$B$10,"&lt;"&amp;C3382,mdr_rate_cleaned!$F$2:$F$10,"&gt;="&amp;C3382)</f>
        <v>1</v>
      </c>
      <c r="G3382" s="40">
        <f>SUMIFS(mdr_rate_cleaned!$G$2:$G$10,mdr_rate_cleaned!$A$2:$A$10,B3382,mdr_rate_cleaned!$B$2:$B$10,"&lt;"&amp;C3382,mdr_rate_cleaned!$F$2:$F$10,"&gt;="&amp;C3382)</f>
        <v>3.0000000000000001E-3</v>
      </c>
      <c r="H3382" s="24">
        <f t="shared" si="260"/>
        <v>15</v>
      </c>
      <c r="I3382" s="23" t="str">
        <f t="shared" si="261"/>
        <v>Match</v>
      </c>
      <c r="J3382" s="23" t="str">
        <f t="shared" si="262"/>
        <v>Match</v>
      </c>
      <c r="K3382" s="24">
        <f t="shared" si="263"/>
        <v>2.7</v>
      </c>
      <c r="L3382" s="24">
        <f t="shared" si="264"/>
        <v>0</v>
      </c>
    </row>
    <row r="3383" spans="1:12" ht="15" customHeight="1" x14ac:dyDescent="0.3">
      <c r="A3383" s="23" t="s">
        <v>16455</v>
      </c>
      <c r="B3383" s="23" t="s">
        <v>75</v>
      </c>
      <c r="C3383" s="39">
        <v>3847</v>
      </c>
      <c r="D3383" s="24">
        <v>11.54</v>
      </c>
      <c r="E3383" s="24">
        <v>2.08</v>
      </c>
      <c r="F3383" s="23">
        <f>COUNTIFS(mdr_rate_cleaned!$A$2:$A$10,B3383,mdr_rate_cleaned!$B$2:$B$10,"&lt;"&amp;C3383,mdr_rate_cleaned!$F$2:$F$10,"&gt;="&amp;C3383)</f>
        <v>1</v>
      </c>
      <c r="G3383" s="40">
        <f>SUMIFS(mdr_rate_cleaned!$G$2:$G$10,mdr_rate_cleaned!$A$2:$A$10,B3383,mdr_rate_cleaned!$B$2:$B$10,"&lt;"&amp;C3383,mdr_rate_cleaned!$F$2:$F$10,"&gt;="&amp;C3383)</f>
        <v>3.0000000000000001E-3</v>
      </c>
      <c r="H3383" s="24">
        <f t="shared" si="260"/>
        <v>11.54</v>
      </c>
      <c r="I3383" s="23" t="str">
        <f t="shared" si="261"/>
        <v>Match</v>
      </c>
      <c r="J3383" s="23" t="str">
        <f t="shared" si="262"/>
        <v>Match</v>
      </c>
      <c r="K3383" s="24">
        <f t="shared" si="263"/>
        <v>2.08</v>
      </c>
      <c r="L3383" s="24">
        <f t="shared" si="264"/>
        <v>0</v>
      </c>
    </row>
    <row r="3384" spans="1:12" ht="15" customHeight="1" x14ac:dyDescent="0.3">
      <c r="A3384" s="23" t="s">
        <v>16457</v>
      </c>
      <c r="B3384" s="23" t="s">
        <v>79</v>
      </c>
      <c r="C3384" s="39">
        <v>1848</v>
      </c>
      <c r="D3384" s="24">
        <v>33.26</v>
      </c>
      <c r="E3384" s="24">
        <v>5.99</v>
      </c>
      <c r="F3384" s="23">
        <f>COUNTIFS(mdr_rate_cleaned!$A$2:$A$10,B3384,mdr_rate_cleaned!$B$2:$B$10,"&lt;"&amp;C3384,mdr_rate_cleaned!$F$2:$F$10,"&gt;="&amp;C3384)</f>
        <v>1</v>
      </c>
      <c r="G3384" s="40">
        <f>SUMIFS(mdr_rate_cleaned!$G$2:$G$10,mdr_rate_cleaned!$A$2:$A$10,B3384,mdr_rate_cleaned!$B$2:$B$10,"&lt;"&amp;C3384,mdr_rate_cleaned!$F$2:$F$10,"&gt;="&amp;C3384)</f>
        <v>1.8000000000000002E-2</v>
      </c>
      <c r="H3384" s="24">
        <f t="shared" si="260"/>
        <v>33.26</v>
      </c>
      <c r="I3384" s="23" t="str">
        <f t="shared" si="261"/>
        <v>Match</v>
      </c>
      <c r="J3384" s="23" t="str">
        <f t="shared" si="262"/>
        <v>Match</v>
      </c>
      <c r="K3384" s="24">
        <f t="shared" si="263"/>
        <v>5.99</v>
      </c>
      <c r="L3384" s="24">
        <f t="shared" si="264"/>
        <v>0</v>
      </c>
    </row>
    <row r="3385" spans="1:12" ht="15" customHeight="1" x14ac:dyDescent="0.3">
      <c r="A3385" s="23" t="s">
        <v>16458</v>
      </c>
      <c r="B3385" s="23" t="s">
        <v>77</v>
      </c>
      <c r="C3385" s="39">
        <v>999</v>
      </c>
      <c r="D3385" s="24">
        <v>18.98</v>
      </c>
      <c r="E3385" s="24">
        <v>3.42</v>
      </c>
      <c r="F3385" s="23">
        <f>COUNTIFS(mdr_rate_cleaned!$A$2:$A$10,B3385,mdr_rate_cleaned!$B$2:$B$10,"&lt;"&amp;C3385,mdr_rate_cleaned!$F$2:$F$10,"&gt;="&amp;C3385)</f>
        <v>1</v>
      </c>
      <c r="G3385" s="40">
        <f>SUMIFS(mdr_rate_cleaned!$G$2:$G$10,mdr_rate_cleaned!$A$2:$A$10,B3385,mdr_rate_cleaned!$B$2:$B$10,"&lt;"&amp;C3385,mdr_rate_cleaned!$F$2:$F$10,"&gt;="&amp;C3385)</f>
        <v>1.9E-2</v>
      </c>
      <c r="H3385" s="24">
        <f t="shared" si="260"/>
        <v>18.98</v>
      </c>
      <c r="I3385" s="23" t="str">
        <f t="shared" si="261"/>
        <v>Match</v>
      </c>
      <c r="J3385" s="23" t="str">
        <f t="shared" si="262"/>
        <v>Match</v>
      </c>
      <c r="K3385" s="24">
        <f t="shared" si="263"/>
        <v>3.42</v>
      </c>
      <c r="L3385" s="24">
        <f t="shared" si="264"/>
        <v>0</v>
      </c>
    </row>
    <row r="3386" spans="1:12" ht="15" customHeight="1" x14ac:dyDescent="0.3">
      <c r="A3386" s="23" t="s">
        <v>16459</v>
      </c>
      <c r="B3386" s="23" t="s">
        <v>75</v>
      </c>
      <c r="C3386" s="39">
        <v>599</v>
      </c>
      <c r="D3386" s="24">
        <v>0</v>
      </c>
      <c r="E3386" s="24">
        <v>0</v>
      </c>
      <c r="F3386" s="23">
        <f>COUNTIFS(mdr_rate_cleaned!$A$2:$A$10,B3386,mdr_rate_cleaned!$B$2:$B$10,"&lt;"&amp;C3386,mdr_rate_cleaned!$F$2:$F$10,"&gt;="&amp;C3386)</f>
        <v>1</v>
      </c>
      <c r="G3386" s="40">
        <f>SUMIFS(mdr_rate_cleaned!$G$2:$G$10,mdr_rate_cleaned!$A$2:$A$10,B3386,mdr_rate_cleaned!$B$2:$B$10,"&lt;"&amp;C3386,mdr_rate_cleaned!$F$2:$F$10,"&gt;="&amp;C3386)</f>
        <v>0</v>
      </c>
      <c r="H3386" s="24">
        <f t="shared" si="260"/>
        <v>0</v>
      </c>
      <c r="I3386" s="23" t="str">
        <f t="shared" si="261"/>
        <v>Match</v>
      </c>
      <c r="J3386" s="23" t="str">
        <f t="shared" si="262"/>
        <v>Match</v>
      </c>
      <c r="K3386" s="24">
        <f t="shared" si="263"/>
        <v>0</v>
      </c>
      <c r="L3386" s="24">
        <f t="shared" si="264"/>
        <v>0</v>
      </c>
    </row>
    <row r="3387" spans="1:12" ht="15" customHeight="1" x14ac:dyDescent="0.3">
      <c r="A3387" s="23" t="s">
        <v>16460</v>
      </c>
      <c r="B3387" s="23" t="s">
        <v>75</v>
      </c>
      <c r="C3387" s="39">
        <v>999</v>
      </c>
      <c r="D3387" s="24">
        <v>0</v>
      </c>
      <c r="E3387" s="24">
        <v>0</v>
      </c>
      <c r="F3387" s="23">
        <f>COUNTIFS(mdr_rate_cleaned!$A$2:$A$10,B3387,mdr_rate_cleaned!$B$2:$B$10,"&lt;"&amp;C3387,mdr_rate_cleaned!$F$2:$F$10,"&gt;="&amp;C3387)</f>
        <v>1</v>
      </c>
      <c r="G3387" s="40">
        <f>SUMIFS(mdr_rate_cleaned!$G$2:$G$10,mdr_rate_cleaned!$A$2:$A$10,B3387,mdr_rate_cleaned!$B$2:$B$10,"&lt;"&amp;C3387,mdr_rate_cleaned!$F$2:$F$10,"&gt;="&amp;C3387)</f>
        <v>0</v>
      </c>
      <c r="H3387" s="24">
        <f t="shared" si="260"/>
        <v>0</v>
      </c>
      <c r="I3387" s="23" t="str">
        <f t="shared" si="261"/>
        <v>Match</v>
      </c>
      <c r="J3387" s="23" t="str">
        <f t="shared" si="262"/>
        <v>Match</v>
      </c>
      <c r="K3387" s="24">
        <f t="shared" si="263"/>
        <v>0</v>
      </c>
      <c r="L3387" s="24">
        <f t="shared" si="264"/>
        <v>0</v>
      </c>
    </row>
    <row r="3388" spans="1:12" ht="15" customHeight="1" x14ac:dyDescent="0.3">
      <c r="A3388" s="23" t="s">
        <v>16461</v>
      </c>
      <c r="B3388" s="23" t="s">
        <v>75</v>
      </c>
      <c r="C3388" s="39">
        <v>1798</v>
      </c>
      <c r="D3388" s="24">
        <v>0</v>
      </c>
      <c r="E3388" s="24">
        <v>0</v>
      </c>
      <c r="F3388" s="23">
        <f>COUNTIFS(mdr_rate_cleaned!$A$2:$A$10,B3388,mdr_rate_cleaned!$B$2:$B$10,"&lt;"&amp;C3388,mdr_rate_cleaned!$F$2:$F$10,"&gt;="&amp;C3388)</f>
        <v>1</v>
      </c>
      <c r="G3388" s="40">
        <f>SUMIFS(mdr_rate_cleaned!$G$2:$G$10,mdr_rate_cleaned!$A$2:$A$10,B3388,mdr_rate_cleaned!$B$2:$B$10,"&lt;"&amp;C3388,mdr_rate_cleaned!$F$2:$F$10,"&gt;="&amp;C3388)</f>
        <v>0</v>
      </c>
      <c r="H3388" s="24">
        <f t="shared" si="260"/>
        <v>0</v>
      </c>
      <c r="I3388" s="23" t="str">
        <f t="shared" si="261"/>
        <v>Match</v>
      </c>
      <c r="J3388" s="23" t="str">
        <f t="shared" si="262"/>
        <v>Match</v>
      </c>
      <c r="K3388" s="24">
        <f t="shared" si="263"/>
        <v>0</v>
      </c>
      <c r="L3388" s="24">
        <f t="shared" si="264"/>
        <v>0</v>
      </c>
    </row>
    <row r="3389" spans="1:12" ht="15" customHeight="1" x14ac:dyDescent="0.3">
      <c r="A3389" s="23" t="s">
        <v>16462</v>
      </c>
      <c r="B3389" s="23" t="s">
        <v>75</v>
      </c>
      <c r="C3389" s="39">
        <v>1598</v>
      </c>
      <c r="D3389" s="24">
        <v>0</v>
      </c>
      <c r="E3389" s="24">
        <v>0</v>
      </c>
      <c r="F3389" s="23">
        <f>COUNTIFS(mdr_rate_cleaned!$A$2:$A$10,B3389,mdr_rate_cleaned!$B$2:$B$10,"&lt;"&amp;C3389,mdr_rate_cleaned!$F$2:$F$10,"&gt;="&amp;C3389)</f>
        <v>1</v>
      </c>
      <c r="G3389" s="40">
        <f>SUMIFS(mdr_rate_cleaned!$G$2:$G$10,mdr_rate_cleaned!$A$2:$A$10,B3389,mdr_rate_cleaned!$B$2:$B$10,"&lt;"&amp;C3389,mdr_rate_cleaned!$F$2:$F$10,"&gt;="&amp;C3389)</f>
        <v>0</v>
      </c>
      <c r="H3389" s="24">
        <f t="shared" si="260"/>
        <v>0</v>
      </c>
      <c r="I3389" s="23" t="str">
        <f t="shared" si="261"/>
        <v>Match</v>
      </c>
      <c r="J3389" s="23" t="str">
        <f t="shared" si="262"/>
        <v>Match</v>
      </c>
      <c r="K3389" s="24">
        <f t="shared" si="263"/>
        <v>0</v>
      </c>
      <c r="L3389" s="24">
        <f t="shared" si="264"/>
        <v>0</v>
      </c>
    </row>
    <row r="3390" spans="1:12" ht="15" customHeight="1" x14ac:dyDescent="0.3">
      <c r="A3390" s="23" t="s">
        <v>16463</v>
      </c>
      <c r="B3390" s="23" t="s">
        <v>75</v>
      </c>
      <c r="C3390" s="39">
        <v>15998</v>
      </c>
      <c r="D3390" s="24">
        <v>47.99</v>
      </c>
      <c r="E3390" s="24">
        <v>8.64</v>
      </c>
      <c r="F3390" s="23">
        <f>COUNTIFS(mdr_rate_cleaned!$A$2:$A$10,B3390,mdr_rate_cleaned!$B$2:$B$10,"&lt;"&amp;C3390,mdr_rate_cleaned!$F$2:$F$10,"&gt;="&amp;C3390)</f>
        <v>1</v>
      </c>
      <c r="G3390" s="40">
        <f>SUMIFS(mdr_rate_cleaned!$G$2:$G$10,mdr_rate_cleaned!$A$2:$A$10,B3390,mdr_rate_cleaned!$B$2:$B$10,"&lt;"&amp;C3390,mdr_rate_cleaned!$F$2:$F$10,"&gt;="&amp;C3390)</f>
        <v>3.0000000000000001E-3</v>
      </c>
      <c r="H3390" s="24">
        <f t="shared" si="260"/>
        <v>47.99</v>
      </c>
      <c r="I3390" s="23" t="str">
        <f t="shared" si="261"/>
        <v>Match</v>
      </c>
      <c r="J3390" s="23" t="str">
        <f t="shared" si="262"/>
        <v>Match</v>
      </c>
      <c r="K3390" s="24">
        <f t="shared" si="263"/>
        <v>8.64</v>
      </c>
      <c r="L3390" s="24">
        <f t="shared" si="264"/>
        <v>0</v>
      </c>
    </row>
    <row r="3391" spans="1:12" ht="15" customHeight="1" x14ac:dyDescent="0.3">
      <c r="A3391" s="23" t="s">
        <v>16464</v>
      </c>
      <c r="B3391" s="23" t="s">
        <v>79</v>
      </c>
      <c r="C3391" s="39">
        <v>8797</v>
      </c>
      <c r="D3391" s="24">
        <v>140.75</v>
      </c>
      <c r="E3391" s="24">
        <v>25.34</v>
      </c>
      <c r="F3391" s="23">
        <f>COUNTIFS(mdr_rate_cleaned!$A$2:$A$10,B3391,mdr_rate_cleaned!$B$2:$B$10,"&lt;"&amp;C3391,mdr_rate_cleaned!$F$2:$F$10,"&gt;="&amp;C3391)</f>
        <v>1</v>
      </c>
      <c r="G3391" s="40">
        <f>SUMIFS(mdr_rate_cleaned!$G$2:$G$10,mdr_rate_cleaned!$A$2:$A$10,B3391,mdr_rate_cleaned!$B$2:$B$10,"&lt;"&amp;C3391,mdr_rate_cleaned!$F$2:$F$10,"&gt;="&amp;C3391)</f>
        <v>1.6E-2</v>
      </c>
      <c r="H3391" s="24">
        <f t="shared" si="260"/>
        <v>140.75</v>
      </c>
      <c r="I3391" s="23" t="str">
        <f t="shared" si="261"/>
        <v>Match</v>
      </c>
      <c r="J3391" s="23" t="str">
        <f t="shared" si="262"/>
        <v>Match</v>
      </c>
      <c r="K3391" s="24">
        <f t="shared" si="263"/>
        <v>25.34</v>
      </c>
      <c r="L3391" s="24">
        <f t="shared" si="264"/>
        <v>0</v>
      </c>
    </row>
    <row r="3392" spans="1:12" ht="15" customHeight="1" x14ac:dyDescent="0.3">
      <c r="A3392" s="23" t="s">
        <v>16465</v>
      </c>
      <c r="B3392" s="23" t="s">
        <v>77</v>
      </c>
      <c r="C3392" s="39">
        <v>799</v>
      </c>
      <c r="D3392" s="24">
        <v>15.18</v>
      </c>
      <c r="E3392" s="24">
        <v>2.73</v>
      </c>
      <c r="F3392" s="23">
        <f>COUNTIFS(mdr_rate_cleaned!$A$2:$A$10,B3392,mdr_rate_cleaned!$B$2:$B$10,"&lt;"&amp;C3392,mdr_rate_cleaned!$F$2:$F$10,"&gt;="&amp;C3392)</f>
        <v>1</v>
      </c>
      <c r="G3392" s="40">
        <f>SUMIFS(mdr_rate_cleaned!$G$2:$G$10,mdr_rate_cleaned!$A$2:$A$10,B3392,mdr_rate_cleaned!$B$2:$B$10,"&lt;"&amp;C3392,mdr_rate_cleaned!$F$2:$F$10,"&gt;="&amp;C3392)</f>
        <v>1.9E-2</v>
      </c>
      <c r="H3392" s="24">
        <f t="shared" si="260"/>
        <v>15.18</v>
      </c>
      <c r="I3392" s="23" t="str">
        <f t="shared" si="261"/>
        <v>Match</v>
      </c>
      <c r="J3392" s="23" t="str">
        <f t="shared" si="262"/>
        <v>Match</v>
      </c>
      <c r="K3392" s="24">
        <f t="shared" si="263"/>
        <v>2.73</v>
      </c>
      <c r="L3392" s="24">
        <f t="shared" si="264"/>
        <v>0</v>
      </c>
    </row>
    <row r="3393" spans="1:12" ht="15" customHeight="1" x14ac:dyDescent="0.3">
      <c r="A3393" s="23" t="s">
        <v>16466</v>
      </c>
      <c r="B3393" s="23" t="s">
        <v>75</v>
      </c>
      <c r="C3393" s="39">
        <v>6298</v>
      </c>
      <c r="D3393" s="24">
        <v>18.89</v>
      </c>
      <c r="E3393" s="24">
        <v>3.4</v>
      </c>
      <c r="F3393" s="23">
        <f>COUNTIFS(mdr_rate_cleaned!$A$2:$A$10,B3393,mdr_rate_cleaned!$B$2:$B$10,"&lt;"&amp;C3393,mdr_rate_cleaned!$F$2:$F$10,"&gt;="&amp;C3393)</f>
        <v>1</v>
      </c>
      <c r="G3393" s="40">
        <f>SUMIFS(mdr_rate_cleaned!$G$2:$G$10,mdr_rate_cleaned!$A$2:$A$10,B3393,mdr_rate_cleaned!$B$2:$B$10,"&lt;"&amp;C3393,mdr_rate_cleaned!$F$2:$F$10,"&gt;="&amp;C3393)</f>
        <v>3.0000000000000001E-3</v>
      </c>
      <c r="H3393" s="24">
        <f t="shared" si="260"/>
        <v>18.89</v>
      </c>
      <c r="I3393" s="23" t="str">
        <f t="shared" si="261"/>
        <v>Match</v>
      </c>
      <c r="J3393" s="23" t="str">
        <f t="shared" si="262"/>
        <v>Match</v>
      </c>
      <c r="K3393" s="24">
        <f t="shared" si="263"/>
        <v>3.4</v>
      </c>
      <c r="L3393" s="24">
        <f t="shared" si="264"/>
        <v>0</v>
      </c>
    </row>
    <row r="3394" spans="1:12" ht="15" customHeight="1" x14ac:dyDescent="0.3">
      <c r="A3394" s="23" t="s">
        <v>16467</v>
      </c>
      <c r="B3394" s="23" t="s">
        <v>75</v>
      </c>
      <c r="C3394" s="39">
        <v>2697</v>
      </c>
      <c r="D3394" s="24">
        <v>8.09</v>
      </c>
      <c r="E3394" s="24">
        <v>1.46</v>
      </c>
      <c r="F3394" s="23">
        <f>COUNTIFS(mdr_rate_cleaned!$A$2:$A$10,B3394,mdr_rate_cleaned!$B$2:$B$10,"&lt;"&amp;C3394,mdr_rate_cleaned!$F$2:$F$10,"&gt;="&amp;C3394)</f>
        <v>1</v>
      </c>
      <c r="G3394" s="40">
        <f>SUMIFS(mdr_rate_cleaned!$G$2:$G$10,mdr_rate_cleaned!$A$2:$A$10,B3394,mdr_rate_cleaned!$B$2:$B$10,"&lt;"&amp;C3394,mdr_rate_cleaned!$F$2:$F$10,"&gt;="&amp;C3394)</f>
        <v>3.0000000000000001E-3</v>
      </c>
      <c r="H3394" s="24">
        <f t="shared" ref="H3394:H3457" si="265">ROUND(C3394*G3394,2)</f>
        <v>8.09</v>
      </c>
      <c r="I3394" s="23" t="str">
        <f t="shared" ref="I3394:I3457" si="266">IF(ROUND(D3394-H3394,2)=0,"Match","Differs")</f>
        <v>Match</v>
      </c>
      <c r="J3394" s="23" t="str">
        <f t="shared" ref="J3394:J3457" si="267">IF(ROUND(E3394-ROUND(D3394*0.18,2),2)=0,"Match","Differs")</f>
        <v>Match</v>
      </c>
      <c r="K3394" s="24">
        <f t="shared" ref="K3394:K3457" si="268">ROUND(H3394*0.18,2)</f>
        <v>1.46</v>
      </c>
      <c r="L3394" s="24">
        <f t="shared" ref="L3394:L3457" si="269">ROUND(D3394+E3394-H3394-K3394,2)</f>
        <v>0</v>
      </c>
    </row>
    <row r="3395" spans="1:12" ht="15" customHeight="1" x14ac:dyDescent="0.3">
      <c r="A3395" s="23" t="s">
        <v>16468</v>
      </c>
      <c r="B3395" s="23" t="s">
        <v>75</v>
      </c>
      <c r="C3395" s="39">
        <v>2098</v>
      </c>
      <c r="D3395" s="24">
        <v>6.29</v>
      </c>
      <c r="E3395" s="24">
        <v>1.1299999999999999</v>
      </c>
      <c r="F3395" s="23">
        <f>COUNTIFS(mdr_rate_cleaned!$A$2:$A$10,B3395,mdr_rate_cleaned!$B$2:$B$10,"&lt;"&amp;C3395,mdr_rate_cleaned!$F$2:$F$10,"&gt;="&amp;C3395)</f>
        <v>1</v>
      </c>
      <c r="G3395" s="40">
        <f>SUMIFS(mdr_rate_cleaned!$G$2:$G$10,mdr_rate_cleaned!$A$2:$A$10,B3395,mdr_rate_cleaned!$B$2:$B$10,"&lt;"&amp;C3395,mdr_rate_cleaned!$F$2:$F$10,"&gt;="&amp;C3395)</f>
        <v>3.0000000000000001E-3</v>
      </c>
      <c r="H3395" s="24">
        <f t="shared" si="265"/>
        <v>6.29</v>
      </c>
      <c r="I3395" s="23" t="str">
        <f t="shared" si="266"/>
        <v>Match</v>
      </c>
      <c r="J3395" s="23" t="str">
        <f t="shared" si="267"/>
        <v>Match</v>
      </c>
      <c r="K3395" s="24">
        <f t="shared" si="268"/>
        <v>1.1299999999999999</v>
      </c>
      <c r="L3395" s="24">
        <f t="shared" si="269"/>
        <v>0</v>
      </c>
    </row>
    <row r="3396" spans="1:12" ht="15" customHeight="1" x14ac:dyDescent="0.3">
      <c r="A3396" s="23" t="s">
        <v>16469</v>
      </c>
      <c r="B3396" s="23" t="s">
        <v>79</v>
      </c>
      <c r="C3396" s="39">
        <v>7297</v>
      </c>
      <c r="D3396" s="24">
        <v>116.75</v>
      </c>
      <c r="E3396" s="24">
        <v>21.02</v>
      </c>
      <c r="F3396" s="23">
        <f>COUNTIFS(mdr_rate_cleaned!$A$2:$A$10,B3396,mdr_rate_cleaned!$B$2:$B$10,"&lt;"&amp;C3396,mdr_rate_cleaned!$F$2:$F$10,"&gt;="&amp;C3396)</f>
        <v>1</v>
      </c>
      <c r="G3396" s="40">
        <f>SUMIFS(mdr_rate_cleaned!$G$2:$G$10,mdr_rate_cleaned!$A$2:$A$10,B3396,mdr_rate_cleaned!$B$2:$B$10,"&lt;"&amp;C3396,mdr_rate_cleaned!$F$2:$F$10,"&gt;="&amp;C3396)</f>
        <v>1.6E-2</v>
      </c>
      <c r="H3396" s="24">
        <f t="shared" si="265"/>
        <v>116.75</v>
      </c>
      <c r="I3396" s="23" t="str">
        <f t="shared" si="266"/>
        <v>Match</v>
      </c>
      <c r="J3396" s="23" t="str">
        <f t="shared" si="267"/>
        <v>Match</v>
      </c>
      <c r="K3396" s="24">
        <f t="shared" si="268"/>
        <v>21.02</v>
      </c>
      <c r="L3396" s="24">
        <f t="shared" si="269"/>
        <v>0</v>
      </c>
    </row>
    <row r="3397" spans="1:12" ht="15" customHeight="1" x14ac:dyDescent="0.3">
      <c r="A3397" s="23" t="s">
        <v>16470</v>
      </c>
      <c r="B3397" s="23" t="s">
        <v>75</v>
      </c>
      <c r="C3397" s="39">
        <v>3098</v>
      </c>
      <c r="D3397" s="24">
        <v>9.2899999999999991</v>
      </c>
      <c r="E3397" s="24">
        <v>1.67</v>
      </c>
      <c r="F3397" s="23">
        <f>COUNTIFS(mdr_rate_cleaned!$A$2:$A$10,B3397,mdr_rate_cleaned!$B$2:$B$10,"&lt;"&amp;C3397,mdr_rate_cleaned!$F$2:$F$10,"&gt;="&amp;C3397)</f>
        <v>1</v>
      </c>
      <c r="G3397" s="40">
        <f>SUMIFS(mdr_rate_cleaned!$G$2:$G$10,mdr_rate_cleaned!$A$2:$A$10,B3397,mdr_rate_cleaned!$B$2:$B$10,"&lt;"&amp;C3397,mdr_rate_cleaned!$F$2:$F$10,"&gt;="&amp;C3397)</f>
        <v>3.0000000000000001E-3</v>
      </c>
      <c r="H3397" s="24">
        <f t="shared" si="265"/>
        <v>9.2899999999999991</v>
      </c>
      <c r="I3397" s="23" t="str">
        <f t="shared" si="266"/>
        <v>Match</v>
      </c>
      <c r="J3397" s="23" t="str">
        <f t="shared" si="267"/>
        <v>Match</v>
      </c>
      <c r="K3397" s="24">
        <f t="shared" si="268"/>
        <v>1.67</v>
      </c>
      <c r="L3397" s="24">
        <f t="shared" si="269"/>
        <v>0</v>
      </c>
    </row>
    <row r="3398" spans="1:12" ht="15" customHeight="1" x14ac:dyDescent="0.3">
      <c r="A3398" s="23" t="s">
        <v>16471</v>
      </c>
      <c r="B3398" s="23" t="s">
        <v>75</v>
      </c>
      <c r="C3398" s="39">
        <v>1298</v>
      </c>
      <c r="D3398" s="24">
        <v>0</v>
      </c>
      <c r="E3398" s="24">
        <v>0</v>
      </c>
      <c r="F3398" s="23">
        <f>COUNTIFS(mdr_rate_cleaned!$A$2:$A$10,B3398,mdr_rate_cleaned!$B$2:$B$10,"&lt;"&amp;C3398,mdr_rate_cleaned!$F$2:$F$10,"&gt;="&amp;C3398)</f>
        <v>1</v>
      </c>
      <c r="G3398" s="40">
        <f>SUMIFS(mdr_rate_cleaned!$G$2:$G$10,mdr_rate_cleaned!$A$2:$A$10,B3398,mdr_rate_cleaned!$B$2:$B$10,"&lt;"&amp;C3398,mdr_rate_cleaned!$F$2:$F$10,"&gt;="&amp;C3398)</f>
        <v>0</v>
      </c>
      <c r="H3398" s="24">
        <f t="shared" si="265"/>
        <v>0</v>
      </c>
      <c r="I3398" s="23" t="str">
        <f t="shared" si="266"/>
        <v>Match</v>
      </c>
      <c r="J3398" s="23" t="str">
        <f t="shared" si="267"/>
        <v>Match</v>
      </c>
      <c r="K3398" s="24">
        <f t="shared" si="268"/>
        <v>0</v>
      </c>
      <c r="L3398" s="24">
        <f t="shared" si="269"/>
        <v>0</v>
      </c>
    </row>
    <row r="3399" spans="1:12" ht="15" customHeight="1" x14ac:dyDescent="0.3">
      <c r="A3399" s="23" t="s">
        <v>16472</v>
      </c>
      <c r="B3399" s="23" t="s">
        <v>75</v>
      </c>
      <c r="C3399" s="39">
        <v>2999</v>
      </c>
      <c r="D3399" s="24">
        <v>9</v>
      </c>
      <c r="E3399" s="24">
        <v>1.62</v>
      </c>
      <c r="F3399" s="23">
        <f>COUNTIFS(mdr_rate_cleaned!$A$2:$A$10,B3399,mdr_rate_cleaned!$B$2:$B$10,"&lt;"&amp;C3399,mdr_rate_cleaned!$F$2:$F$10,"&gt;="&amp;C3399)</f>
        <v>1</v>
      </c>
      <c r="G3399" s="40">
        <f>SUMIFS(mdr_rate_cleaned!$G$2:$G$10,mdr_rate_cleaned!$A$2:$A$10,B3399,mdr_rate_cleaned!$B$2:$B$10,"&lt;"&amp;C3399,mdr_rate_cleaned!$F$2:$F$10,"&gt;="&amp;C3399)</f>
        <v>3.0000000000000001E-3</v>
      </c>
      <c r="H3399" s="24">
        <f t="shared" si="265"/>
        <v>9</v>
      </c>
      <c r="I3399" s="23" t="str">
        <f t="shared" si="266"/>
        <v>Match</v>
      </c>
      <c r="J3399" s="23" t="str">
        <f t="shared" si="267"/>
        <v>Match</v>
      </c>
      <c r="K3399" s="24">
        <f t="shared" si="268"/>
        <v>1.62</v>
      </c>
      <c r="L3399" s="24">
        <f t="shared" si="269"/>
        <v>0</v>
      </c>
    </row>
    <row r="3400" spans="1:12" ht="15" customHeight="1" x14ac:dyDescent="0.3">
      <c r="A3400" s="23" t="s">
        <v>16473</v>
      </c>
      <c r="B3400" s="23" t="s">
        <v>75</v>
      </c>
      <c r="C3400" s="39">
        <v>2798</v>
      </c>
      <c r="D3400" s="24">
        <v>8.39</v>
      </c>
      <c r="E3400" s="24">
        <v>1.51</v>
      </c>
      <c r="F3400" s="23">
        <f>COUNTIFS(mdr_rate_cleaned!$A$2:$A$10,B3400,mdr_rate_cleaned!$B$2:$B$10,"&lt;"&amp;C3400,mdr_rate_cleaned!$F$2:$F$10,"&gt;="&amp;C3400)</f>
        <v>1</v>
      </c>
      <c r="G3400" s="40">
        <f>SUMIFS(mdr_rate_cleaned!$G$2:$G$10,mdr_rate_cleaned!$A$2:$A$10,B3400,mdr_rate_cleaned!$B$2:$B$10,"&lt;"&amp;C3400,mdr_rate_cleaned!$F$2:$F$10,"&gt;="&amp;C3400)</f>
        <v>3.0000000000000001E-3</v>
      </c>
      <c r="H3400" s="24">
        <f t="shared" si="265"/>
        <v>8.39</v>
      </c>
      <c r="I3400" s="23" t="str">
        <f t="shared" si="266"/>
        <v>Match</v>
      </c>
      <c r="J3400" s="23" t="str">
        <f t="shared" si="267"/>
        <v>Match</v>
      </c>
      <c r="K3400" s="24">
        <f t="shared" si="268"/>
        <v>1.51</v>
      </c>
      <c r="L3400" s="24">
        <f t="shared" si="269"/>
        <v>0</v>
      </c>
    </row>
    <row r="3401" spans="1:12" ht="15" customHeight="1" x14ac:dyDescent="0.3">
      <c r="A3401" s="23" t="s">
        <v>16474</v>
      </c>
      <c r="B3401" s="23" t="s">
        <v>75</v>
      </c>
      <c r="C3401" s="39">
        <v>4999</v>
      </c>
      <c r="D3401" s="24">
        <v>15</v>
      </c>
      <c r="E3401" s="24">
        <v>2.7</v>
      </c>
      <c r="F3401" s="23">
        <f>COUNTIFS(mdr_rate_cleaned!$A$2:$A$10,B3401,mdr_rate_cleaned!$B$2:$B$10,"&lt;"&amp;C3401,mdr_rate_cleaned!$F$2:$F$10,"&gt;="&amp;C3401)</f>
        <v>1</v>
      </c>
      <c r="G3401" s="40">
        <f>SUMIFS(mdr_rate_cleaned!$G$2:$G$10,mdr_rate_cleaned!$A$2:$A$10,B3401,mdr_rate_cleaned!$B$2:$B$10,"&lt;"&amp;C3401,mdr_rate_cleaned!$F$2:$F$10,"&gt;="&amp;C3401)</f>
        <v>3.0000000000000001E-3</v>
      </c>
      <c r="H3401" s="24">
        <f t="shared" si="265"/>
        <v>15</v>
      </c>
      <c r="I3401" s="23" t="str">
        <f t="shared" si="266"/>
        <v>Match</v>
      </c>
      <c r="J3401" s="23" t="str">
        <f t="shared" si="267"/>
        <v>Match</v>
      </c>
      <c r="K3401" s="24">
        <f t="shared" si="268"/>
        <v>2.7</v>
      </c>
      <c r="L3401" s="24">
        <f t="shared" si="269"/>
        <v>0</v>
      </c>
    </row>
    <row r="3402" spans="1:12" ht="15" customHeight="1" x14ac:dyDescent="0.3">
      <c r="A3402" s="23" t="s">
        <v>16475</v>
      </c>
      <c r="B3402" s="23" t="s">
        <v>75</v>
      </c>
      <c r="C3402" s="39">
        <v>7498</v>
      </c>
      <c r="D3402" s="24">
        <v>22.49</v>
      </c>
      <c r="E3402" s="24">
        <v>4.05</v>
      </c>
      <c r="F3402" s="23">
        <f>COUNTIFS(mdr_rate_cleaned!$A$2:$A$10,B3402,mdr_rate_cleaned!$B$2:$B$10,"&lt;"&amp;C3402,mdr_rate_cleaned!$F$2:$F$10,"&gt;="&amp;C3402)</f>
        <v>1</v>
      </c>
      <c r="G3402" s="40">
        <f>SUMIFS(mdr_rate_cleaned!$G$2:$G$10,mdr_rate_cleaned!$A$2:$A$10,B3402,mdr_rate_cleaned!$B$2:$B$10,"&lt;"&amp;C3402,mdr_rate_cleaned!$F$2:$F$10,"&gt;="&amp;C3402)</f>
        <v>3.0000000000000001E-3</v>
      </c>
      <c r="H3402" s="24">
        <f t="shared" si="265"/>
        <v>22.49</v>
      </c>
      <c r="I3402" s="23" t="str">
        <f t="shared" si="266"/>
        <v>Match</v>
      </c>
      <c r="J3402" s="23" t="str">
        <f t="shared" si="267"/>
        <v>Match</v>
      </c>
      <c r="K3402" s="24">
        <f t="shared" si="268"/>
        <v>4.05</v>
      </c>
      <c r="L3402" s="24">
        <f t="shared" si="269"/>
        <v>0</v>
      </c>
    </row>
    <row r="3403" spans="1:12" ht="15" customHeight="1" x14ac:dyDescent="0.3">
      <c r="A3403" s="23" t="s">
        <v>16476</v>
      </c>
      <c r="B3403" s="23" t="s">
        <v>77</v>
      </c>
      <c r="C3403" s="39">
        <v>499</v>
      </c>
      <c r="D3403" s="24">
        <v>9.48</v>
      </c>
      <c r="E3403" s="24">
        <v>1.71</v>
      </c>
      <c r="F3403" s="23">
        <f>COUNTIFS(mdr_rate_cleaned!$A$2:$A$10,B3403,mdr_rate_cleaned!$B$2:$B$10,"&lt;"&amp;C3403,mdr_rate_cleaned!$F$2:$F$10,"&gt;="&amp;C3403)</f>
        <v>1</v>
      </c>
      <c r="G3403" s="40">
        <f>SUMIFS(mdr_rate_cleaned!$G$2:$G$10,mdr_rate_cleaned!$A$2:$A$10,B3403,mdr_rate_cleaned!$B$2:$B$10,"&lt;"&amp;C3403,mdr_rate_cleaned!$F$2:$F$10,"&gt;="&amp;C3403)</f>
        <v>1.9E-2</v>
      </c>
      <c r="H3403" s="24">
        <f t="shared" si="265"/>
        <v>9.48</v>
      </c>
      <c r="I3403" s="23" t="str">
        <f t="shared" si="266"/>
        <v>Match</v>
      </c>
      <c r="J3403" s="23" t="str">
        <f t="shared" si="267"/>
        <v>Match</v>
      </c>
      <c r="K3403" s="24">
        <f t="shared" si="268"/>
        <v>1.71</v>
      </c>
      <c r="L3403" s="24">
        <f t="shared" si="269"/>
        <v>0</v>
      </c>
    </row>
    <row r="3404" spans="1:12" ht="15" customHeight="1" x14ac:dyDescent="0.3">
      <c r="A3404" s="23" t="s">
        <v>16477</v>
      </c>
      <c r="B3404" s="23" t="s">
        <v>75</v>
      </c>
      <c r="C3404" s="39">
        <v>6797</v>
      </c>
      <c r="D3404" s="24">
        <v>20.39</v>
      </c>
      <c r="E3404" s="24">
        <v>3.67</v>
      </c>
      <c r="F3404" s="23">
        <f>COUNTIFS(mdr_rate_cleaned!$A$2:$A$10,B3404,mdr_rate_cleaned!$B$2:$B$10,"&lt;"&amp;C3404,mdr_rate_cleaned!$F$2:$F$10,"&gt;="&amp;C3404)</f>
        <v>1</v>
      </c>
      <c r="G3404" s="40">
        <f>SUMIFS(mdr_rate_cleaned!$G$2:$G$10,mdr_rate_cleaned!$A$2:$A$10,B3404,mdr_rate_cleaned!$B$2:$B$10,"&lt;"&amp;C3404,mdr_rate_cleaned!$F$2:$F$10,"&gt;="&amp;C3404)</f>
        <v>3.0000000000000001E-3</v>
      </c>
      <c r="H3404" s="24">
        <f t="shared" si="265"/>
        <v>20.39</v>
      </c>
      <c r="I3404" s="23" t="str">
        <f t="shared" si="266"/>
        <v>Match</v>
      </c>
      <c r="J3404" s="23" t="str">
        <f t="shared" si="267"/>
        <v>Match</v>
      </c>
      <c r="K3404" s="24">
        <f t="shared" si="268"/>
        <v>3.67</v>
      </c>
      <c r="L3404" s="24">
        <f t="shared" si="269"/>
        <v>0</v>
      </c>
    </row>
    <row r="3405" spans="1:12" ht="15" customHeight="1" x14ac:dyDescent="0.3">
      <c r="A3405" s="23" t="s">
        <v>16478</v>
      </c>
      <c r="B3405" s="23" t="s">
        <v>75</v>
      </c>
      <c r="C3405" s="39">
        <v>799</v>
      </c>
      <c r="D3405" s="24">
        <v>0</v>
      </c>
      <c r="E3405" s="24">
        <v>0</v>
      </c>
      <c r="F3405" s="23">
        <f>COUNTIFS(mdr_rate_cleaned!$A$2:$A$10,B3405,mdr_rate_cleaned!$B$2:$B$10,"&lt;"&amp;C3405,mdr_rate_cleaned!$F$2:$F$10,"&gt;="&amp;C3405)</f>
        <v>1</v>
      </c>
      <c r="G3405" s="40">
        <f>SUMIFS(mdr_rate_cleaned!$G$2:$G$10,mdr_rate_cleaned!$A$2:$A$10,B3405,mdr_rate_cleaned!$B$2:$B$10,"&lt;"&amp;C3405,mdr_rate_cleaned!$F$2:$F$10,"&gt;="&amp;C3405)</f>
        <v>0</v>
      </c>
      <c r="H3405" s="24">
        <f t="shared" si="265"/>
        <v>0</v>
      </c>
      <c r="I3405" s="23" t="str">
        <f t="shared" si="266"/>
        <v>Match</v>
      </c>
      <c r="J3405" s="23" t="str">
        <f t="shared" si="267"/>
        <v>Match</v>
      </c>
      <c r="K3405" s="24">
        <f t="shared" si="268"/>
        <v>0</v>
      </c>
      <c r="L3405" s="24">
        <f t="shared" si="269"/>
        <v>0</v>
      </c>
    </row>
    <row r="3406" spans="1:12" ht="15" customHeight="1" x14ac:dyDescent="0.3">
      <c r="A3406" s="23" t="s">
        <v>16479</v>
      </c>
      <c r="B3406" s="23" t="s">
        <v>81</v>
      </c>
      <c r="C3406" s="39">
        <v>1499</v>
      </c>
      <c r="D3406" s="24">
        <v>22.49</v>
      </c>
      <c r="E3406" s="24">
        <v>4.05</v>
      </c>
      <c r="F3406" s="23">
        <f>COUNTIFS(mdr_rate_cleaned!$A$2:$A$10,B3406,mdr_rate_cleaned!$B$2:$B$10,"&lt;"&amp;C3406,mdr_rate_cleaned!$F$2:$F$10,"&gt;="&amp;C3406)</f>
        <v>1</v>
      </c>
      <c r="G3406" s="40">
        <f>SUMIFS(mdr_rate_cleaned!$G$2:$G$10,mdr_rate_cleaned!$A$2:$A$10,B3406,mdr_rate_cleaned!$B$2:$B$10,"&lt;"&amp;C3406,mdr_rate_cleaned!$F$2:$F$10,"&gt;="&amp;C3406)</f>
        <v>1.4999999999999999E-2</v>
      </c>
      <c r="H3406" s="24">
        <f t="shared" si="265"/>
        <v>22.49</v>
      </c>
      <c r="I3406" s="23" t="str">
        <f t="shared" si="266"/>
        <v>Match</v>
      </c>
      <c r="J3406" s="23" t="str">
        <f t="shared" si="267"/>
        <v>Match</v>
      </c>
      <c r="K3406" s="24">
        <f t="shared" si="268"/>
        <v>4.05</v>
      </c>
      <c r="L3406" s="24">
        <f t="shared" si="269"/>
        <v>0</v>
      </c>
    </row>
    <row r="3407" spans="1:12" ht="15" customHeight="1" x14ac:dyDescent="0.3">
      <c r="A3407" s="23" t="s">
        <v>16480</v>
      </c>
      <c r="B3407" s="23" t="s">
        <v>75</v>
      </c>
      <c r="C3407" s="39">
        <v>698</v>
      </c>
      <c r="D3407" s="24">
        <v>0</v>
      </c>
      <c r="E3407" s="24">
        <v>0</v>
      </c>
      <c r="F3407" s="23">
        <f>COUNTIFS(mdr_rate_cleaned!$A$2:$A$10,B3407,mdr_rate_cleaned!$B$2:$B$10,"&lt;"&amp;C3407,mdr_rate_cleaned!$F$2:$F$10,"&gt;="&amp;C3407)</f>
        <v>1</v>
      </c>
      <c r="G3407" s="40">
        <f>SUMIFS(mdr_rate_cleaned!$G$2:$G$10,mdr_rate_cleaned!$A$2:$A$10,B3407,mdr_rate_cleaned!$B$2:$B$10,"&lt;"&amp;C3407,mdr_rate_cleaned!$F$2:$F$10,"&gt;="&amp;C3407)</f>
        <v>0</v>
      </c>
      <c r="H3407" s="24">
        <f t="shared" si="265"/>
        <v>0</v>
      </c>
      <c r="I3407" s="23" t="str">
        <f t="shared" si="266"/>
        <v>Match</v>
      </c>
      <c r="J3407" s="23" t="str">
        <f t="shared" si="267"/>
        <v>Match</v>
      </c>
      <c r="K3407" s="24">
        <f t="shared" si="268"/>
        <v>0</v>
      </c>
      <c r="L3407" s="24">
        <f t="shared" si="269"/>
        <v>0</v>
      </c>
    </row>
    <row r="3408" spans="1:12" ht="15" customHeight="1" x14ac:dyDescent="0.3">
      <c r="A3408" s="23" t="s">
        <v>16481</v>
      </c>
      <c r="B3408" s="23" t="s">
        <v>79</v>
      </c>
      <c r="C3408" s="39">
        <v>1299</v>
      </c>
      <c r="D3408" s="24">
        <v>23.38</v>
      </c>
      <c r="E3408" s="24">
        <v>4.21</v>
      </c>
      <c r="F3408" s="23">
        <f>COUNTIFS(mdr_rate_cleaned!$A$2:$A$10,B3408,mdr_rate_cleaned!$B$2:$B$10,"&lt;"&amp;C3408,mdr_rate_cleaned!$F$2:$F$10,"&gt;="&amp;C3408)</f>
        <v>1</v>
      </c>
      <c r="G3408" s="40">
        <f>SUMIFS(mdr_rate_cleaned!$G$2:$G$10,mdr_rate_cleaned!$A$2:$A$10,B3408,mdr_rate_cleaned!$B$2:$B$10,"&lt;"&amp;C3408,mdr_rate_cleaned!$F$2:$F$10,"&gt;="&amp;C3408)</f>
        <v>1.8000000000000002E-2</v>
      </c>
      <c r="H3408" s="24">
        <f t="shared" si="265"/>
        <v>23.38</v>
      </c>
      <c r="I3408" s="23" t="str">
        <f t="shared" si="266"/>
        <v>Match</v>
      </c>
      <c r="J3408" s="23" t="str">
        <f t="shared" si="267"/>
        <v>Match</v>
      </c>
      <c r="K3408" s="24">
        <f t="shared" si="268"/>
        <v>4.21</v>
      </c>
      <c r="L3408" s="24">
        <f t="shared" si="269"/>
        <v>0</v>
      </c>
    </row>
    <row r="3409" spans="1:12" ht="15" customHeight="1" x14ac:dyDescent="0.3">
      <c r="A3409" s="23" t="s">
        <v>16482</v>
      </c>
      <c r="B3409" s="23" t="s">
        <v>75</v>
      </c>
      <c r="C3409" s="39">
        <v>7998</v>
      </c>
      <c r="D3409" s="24">
        <v>23.99</v>
      </c>
      <c r="E3409" s="24">
        <v>4.32</v>
      </c>
      <c r="F3409" s="23">
        <f>COUNTIFS(mdr_rate_cleaned!$A$2:$A$10,B3409,mdr_rate_cleaned!$B$2:$B$10,"&lt;"&amp;C3409,mdr_rate_cleaned!$F$2:$F$10,"&gt;="&amp;C3409)</f>
        <v>1</v>
      </c>
      <c r="G3409" s="40">
        <f>SUMIFS(mdr_rate_cleaned!$G$2:$G$10,mdr_rate_cleaned!$A$2:$A$10,B3409,mdr_rate_cleaned!$B$2:$B$10,"&lt;"&amp;C3409,mdr_rate_cleaned!$F$2:$F$10,"&gt;="&amp;C3409)</f>
        <v>3.0000000000000001E-3</v>
      </c>
      <c r="H3409" s="24">
        <f t="shared" si="265"/>
        <v>23.99</v>
      </c>
      <c r="I3409" s="23" t="str">
        <f t="shared" si="266"/>
        <v>Match</v>
      </c>
      <c r="J3409" s="23" t="str">
        <f t="shared" si="267"/>
        <v>Match</v>
      </c>
      <c r="K3409" s="24">
        <f t="shared" si="268"/>
        <v>4.32</v>
      </c>
      <c r="L3409" s="24">
        <f t="shared" si="269"/>
        <v>0</v>
      </c>
    </row>
    <row r="3410" spans="1:12" ht="15" customHeight="1" x14ac:dyDescent="0.3">
      <c r="A3410" s="23" t="s">
        <v>16484</v>
      </c>
      <c r="B3410" s="23" t="s">
        <v>79</v>
      </c>
      <c r="C3410" s="39">
        <v>1397</v>
      </c>
      <c r="D3410" s="24">
        <v>25.15</v>
      </c>
      <c r="E3410" s="24">
        <v>4.53</v>
      </c>
      <c r="F3410" s="23">
        <f>COUNTIFS(mdr_rate_cleaned!$A$2:$A$10,B3410,mdr_rate_cleaned!$B$2:$B$10,"&lt;"&amp;C3410,mdr_rate_cleaned!$F$2:$F$10,"&gt;="&amp;C3410)</f>
        <v>1</v>
      </c>
      <c r="G3410" s="40">
        <f>SUMIFS(mdr_rate_cleaned!$G$2:$G$10,mdr_rate_cleaned!$A$2:$A$10,B3410,mdr_rate_cleaned!$B$2:$B$10,"&lt;"&amp;C3410,mdr_rate_cleaned!$F$2:$F$10,"&gt;="&amp;C3410)</f>
        <v>1.8000000000000002E-2</v>
      </c>
      <c r="H3410" s="24">
        <f t="shared" si="265"/>
        <v>25.15</v>
      </c>
      <c r="I3410" s="23" t="str">
        <f t="shared" si="266"/>
        <v>Match</v>
      </c>
      <c r="J3410" s="23" t="str">
        <f t="shared" si="267"/>
        <v>Match</v>
      </c>
      <c r="K3410" s="24">
        <f t="shared" si="268"/>
        <v>4.53</v>
      </c>
      <c r="L3410" s="24">
        <f t="shared" si="269"/>
        <v>0</v>
      </c>
    </row>
    <row r="3411" spans="1:12" ht="15" customHeight="1" x14ac:dyDescent="0.3">
      <c r="A3411" s="23" t="s">
        <v>16486</v>
      </c>
      <c r="B3411" s="23" t="s">
        <v>77</v>
      </c>
      <c r="C3411" s="39">
        <v>299</v>
      </c>
      <c r="D3411" s="24">
        <v>5.68</v>
      </c>
      <c r="E3411" s="24">
        <v>1.02</v>
      </c>
      <c r="F3411" s="23">
        <f>COUNTIFS(mdr_rate_cleaned!$A$2:$A$10,B3411,mdr_rate_cleaned!$B$2:$B$10,"&lt;"&amp;C3411,mdr_rate_cleaned!$F$2:$F$10,"&gt;="&amp;C3411)</f>
        <v>1</v>
      </c>
      <c r="G3411" s="40">
        <f>SUMIFS(mdr_rate_cleaned!$G$2:$G$10,mdr_rate_cleaned!$A$2:$A$10,B3411,mdr_rate_cleaned!$B$2:$B$10,"&lt;"&amp;C3411,mdr_rate_cleaned!$F$2:$F$10,"&gt;="&amp;C3411)</f>
        <v>1.9E-2</v>
      </c>
      <c r="H3411" s="24">
        <f t="shared" si="265"/>
        <v>5.68</v>
      </c>
      <c r="I3411" s="23" t="str">
        <f t="shared" si="266"/>
        <v>Match</v>
      </c>
      <c r="J3411" s="23" t="str">
        <f t="shared" si="267"/>
        <v>Match</v>
      </c>
      <c r="K3411" s="24">
        <f t="shared" si="268"/>
        <v>1.02</v>
      </c>
      <c r="L3411" s="24">
        <f t="shared" si="269"/>
        <v>0</v>
      </c>
    </row>
    <row r="3412" spans="1:12" ht="15" customHeight="1" x14ac:dyDescent="0.3">
      <c r="A3412" s="23" t="s">
        <v>16487</v>
      </c>
      <c r="B3412" s="23" t="s">
        <v>75</v>
      </c>
      <c r="C3412" s="39">
        <v>2397</v>
      </c>
      <c r="D3412" s="24">
        <v>7.19</v>
      </c>
      <c r="E3412" s="24">
        <v>1.29</v>
      </c>
      <c r="F3412" s="23">
        <f>COUNTIFS(mdr_rate_cleaned!$A$2:$A$10,B3412,mdr_rate_cleaned!$B$2:$B$10,"&lt;"&amp;C3412,mdr_rate_cleaned!$F$2:$F$10,"&gt;="&amp;C3412)</f>
        <v>1</v>
      </c>
      <c r="G3412" s="40">
        <f>SUMIFS(mdr_rate_cleaned!$G$2:$G$10,mdr_rate_cleaned!$A$2:$A$10,B3412,mdr_rate_cleaned!$B$2:$B$10,"&lt;"&amp;C3412,mdr_rate_cleaned!$F$2:$F$10,"&gt;="&amp;C3412)</f>
        <v>3.0000000000000001E-3</v>
      </c>
      <c r="H3412" s="24">
        <f t="shared" si="265"/>
        <v>7.19</v>
      </c>
      <c r="I3412" s="23" t="str">
        <f t="shared" si="266"/>
        <v>Match</v>
      </c>
      <c r="J3412" s="23" t="str">
        <f t="shared" si="267"/>
        <v>Match</v>
      </c>
      <c r="K3412" s="24">
        <f t="shared" si="268"/>
        <v>1.29</v>
      </c>
      <c r="L3412" s="24">
        <f t="shared" si="269"/>
        <v>0</v>
      </c>
    </row>
    <row r="3413" spans="1:12" ht="15" customHeight="1" x14ac:dyDescent="0.3">
      <c r="A3413" s="23" t="s">
        <v>16488</v>
      </c>
      <c r="B3413" s="23" t="s">
        <v>77</v>
      </c>
      <c r="C3413" s="39">
        <v>2499</v>
      </c>
      <c r="D3413" s="24">
        <v>42.48</v>
      </c>
      <c r="E3413" s="24">
        <v>7.65</v>
      </c>
      <c r="F3413" s="23">
        <f>COUNTIFS(mdr_rate_cleaned!$A$2:$A$10,B3413,mdr_rate_cleaned!$B$2:$B$10,"&lt;"&amp;C3413,mdr_rate_cleaned!$F$2:$F$10,"&gt;="&amp;C3413)</f>
        <v>1</v>
      </c>
      <c r="G3413" s="40">
        <f>SUMIFS(mdr_rate_cleaned!$G$2:$G$10,mdr_rate_cleaned!$A$2:$A$10,B3413,mdr_rate_cleaned!$B$2:$B$10,"&lt;"&amp;C3413,mdr_rate_cleaned!$F$2:$F$10,"&gt;="&amp;C3413)</f>
        <v>1.7000000000000001E-2</v>
      </c>
      <c r="H3413" s="24">
        <f t="shared" si="265"/>
        <v>42.48</v>
      </c>
      <c r="I3413" s="23" t="str">
        <f t="shared" si="266"/>
        <v>Match</v>
      </c>
      <c r="J3413" s="23" t="str">
        <f t="shared" si="267"/>
        <v>Match</v>
      </c>
      <c r="K3413" s="24">
        <f t="shared" si="268"/>
        <v>7.65</v>
      </c>
      <c r="L3413" s="24">
        <f t="shared" si="269"/>
        <v>0</v>
      </c>
    </row>
    <row r="3414" spans="1:12" ht="15" customHeight="1" x14ac:dyDescent="0.3">
      <c r="A3414" s="23" t="s">
        <v>16489</v>
      </c>
      <c r="B3414" s="23" t="s">
        <v>77</v>
      </c>
      <c r="C3414" s="39">
        <v>1499</v>
      </c>
      <c r="D3414" s="24">
        <v>28.48</v>
      </c>
      <c r="E3414" s="24">
        <v>5.13</v>
      </c>
      <c r="F3414" s="23">
        <f>COUNTIFS(mdr_rate_cleaned!$A$2:$A$10,B3414,mdr_rate_cleaned!$B$2:$B$10,"&lt;"&amp;C3414,mdr_rate_cleaned!$F$2:$F$10,"&gt;="&amp;C3414)</f>
        <v>1</v>
      </c>
      <c r="G3414" s="40">
        <f>SUMIFS(mdr_rate_cleaned!$G$2:$G$10,mdr_rate_cleaned!$A$2:$A$10,B3414,mdr_rate_cleaned!$B$2:$B$10,"&lt;"&amp;C3414,mdr_rate_cleaned!$F$2:$F$10,"&gt;="&amp;C3414)</f>
        <v>1.9E-2</v>
      </c>
      <c r="H3414" s="24">
        <f t="shared" si="265"/>
        <v>28.48</v>
      </c>
      <c r="I3414" s="23" t="str">
        <f t="shared" si="266"/>
        <v>Match</v>
      </c>
      <c r="J3414" s="23" t="str">
        <f t="shared" si="267"/>
        <v>Match</v>
      </c>
      <c r="K3414" s="24">
        <f t="shared" si="268"/>
        <v>5.13</v>
      </c>
      <c r="L3414" s="24">
        <f t="shared" si="269"/>
        <v>0</v>
      </c>
    </row>
    <row r="3415" spans="1:12" ht="15" customHeight="1" x14ac:dyDescent="0.3">
      <c r="A3415" s="23" t="s">
        <v>16490</v>
      </c>
      <c r="B3415" s="23" t="s">
        <v>75</v>
      </c>
      <c r="C3415" s="39">
        <v>2998</v>
      </c>
      <c r="D3415" s="24">
        <v>8.99</v>
      </c>
      <c r="E3415" s="24">
        <v>1.62</v>
      </c>
      <c r="F3415" s="23">
        <f>COUNTIFS(mdr_rate_cleaned!$A$2:$A$10,B3415,mdr_rate_cleaned!$B$2:$B$10,"&lt;"&amp;C3415,mdr_rate_cleaned!$F$2:$F$10,"&gt;="&amp;C3415)</f>
        <v>1</v>
      </c>
      <c r="G3415" s="40">
        <f>SUMIFS(mdr_rate_cleaned!$G$2:$G$10,mdr_rate_cleaned!$A$2:$A$10,B3415,mdr_rate_cleaned!$B$2:$B$10,"&lt;"&amp;C3415,mdr_rate_cleaned!$F$2:$F$10,"&gt;="&amp;C3415)</f>
        <v>3.0000000000000001E-3</v>
      </c>
      <c r="H3415" s="24">
        <f t="shared" si="265"/>
        <v>8.99</v>
      </c>
      <c r="I3415" s="23" t="str">
        <f t="shared" si="266"/>
        <v>Match</v>
      </c>
      <c r="J3415" s="23" t="str">
        <f t="shared" si="267"/>
        <v>Match</v>
      </c>
      <c r="K3415" s="24">
        <f t="shared" si="268"/>
        <v>1.62</v>
      </c>
      <c r="L3415" s="24">
        <f t="shared" si="269"/>
        <v>0</v>
      </c>
    </row>
    <row r="3416" spans="1:12" ht="15" customHeight="1" x14ac:dyDescent="0.3">
      <c r="A3416" s="23" t="s">
        <v>16491</v>
      </c>
      <c r="B3416" s="23" t="s">
        <v>75</v>
      </c>
      <c r="C3416" s="39">
        <v>799</v>
      </c>
      <c r="D3416" s="24">
        <v>0</v>
      </c>
      <c r="E3416" s="24">
        <v>0</v>
      </c>
      <c r="F3416" s="23">
        <f>COUNTIFS(mdr_rate_cleaned!$A$2:$A$10,B3416,mdr_rate_cleaned!$B$2:$B$10,"&lt;"&amp;C3416,mdr_rate_cleaned!$F$2:$F$10,"&gt;="&amp;C3416)</f>
        <v>1</v>
      </c>
      <c r="G3416" s="40">
        <f>SUMIFS(mdr_rate_cleaned!$G$2:$G$10,mdr_rate_cleaned!$A$2:$A$10,B3416,mdr_rate_cleaned!$B$2:$B$10,"&lt;"&amp;C3416,mdr_rate_cleaned!$F$2:$F$10,"&gt;="&amp;C3416)</f>
        <v>0</v>
      </c>
      <c r="H3416" s="24">
        <f t="shared" si="265"/>
        <v>0</v>
      </c>
      <c r="I3416" s="23" t="str">
        <f t="shared" si="266"/>
        <v>Match</v>
      </c>
      <c r="J3416" s="23" t="str">
        <f t="shared" si="267"/>
        <v>Match</v>
      </c>
      <c r="K3416" s="24">
        <f t="shared" si="268"/>
        <v>0</v>
      </c>
      <c r="L3416" s="24">
        <f t="shared" si="269"/>
        <v>0</v>
      </c>
    </row>
    <row r="3417" spans="1:12" ht="15" customHeight="1" x14ac:dyDescent="0.3">
      <c r="A3417" s="23" t="s">
        <v>16492</v>
      </c>
      <c r="B3417" s="23" t="s">
        <v>75</v>
      </c>
      <c r="C3417" s="39">
        <v>798</v>
      </c>
      <c r="D3417" s="24">
        <v>0</v>
      </c>
      <c r="E3417" s="24">
        <v>0</v>
      </c>
      <c r="F3417" s="23">
        <f>COUNTIFS(mdr_rate_cleaned!$A$2:$A$10,B3417,mdr_rate_cleaned!$B$2:$B$10,"&lt;"&amp;C3417,mdr_rate_cleaned!$F$2:$F$10,"&gt;="&amp;C3417)</f>
        <v>1</v>
      </c>
      <c r="G3417" s="40">
        <f>SUMIFS(mdr_rate_cleaned!$G$2:$G$10,mdr_rate_cleaned!$A$2:$A$10,B3417,mdr_rate_cleaned!$B$2:$B$10,"&lt;"&amp;C3417,mdr_rate_cleaned!$F$2:$F$10,"&gt;="&amp;C3417)</f>
        <v>0</v>
      </c>
      <c r="H3417" s="24">
        <f t="shared" si="265"/>
        <v>0</v>
      </c>
      <c r="I3417" s="23" t="str">
        <f t="shared" si="266"/>
        <v>Match</v>
      </c>
      <c r="J3417" s="23" t="str">
        <f t="shared" si="267"/>
        <v>Match</v>
      </c>
      <c r="K3417" s="24">
        <f t="shared" si="268"/>
        <v>0</v>
      </c>
      <c r="L3417" s="24">
        <f t="shared" si="269"/>
        <v>0</v>
      </c>
    </row>
    <row r="3418" spans="1:12" ht="15" customHeight="1" x14ac:dyDescent="0.3">
      <c r="A3418" s="23" t="s">
        <v>16494</v>
      </c>
      <c r="B3418" s="23" t="s">
        <v>75</v>
      </c>
      <c r="C3418" s="39">
        <v>799</v>
      </c>
      <c r="D3418" s="24">
        <v>0</v>
      </c>
      <c r="E3418" s="24">
        <v>0</v>
      </c>
      <c r="F3418" s="23">
        <f>COUNTIFS(mdr_rate_cleaned!$A$2:$A$10,B3418,mdr_rate_cleaned!$B$2:$B$10,"&lt;"&amp;C3418,mdr_rate_cleaned!$F$2:$F$10,"&gt;="&amp;C3418)</f>
        <v>1</v>
      </c>
      <c r="G3418" s="40">
        <f>SUMIFS(mdr_rate_cleaned!$G$2:$G$10,mdr_rate_cleaned!$A$2:$A$10,B3418,mdr_rate_cleaned!$B$2:$B$10,"&lt;"&amp;C3418,mdr_rate_cleaned!$F$2:$F$10,"&gt;="&amp;C3418)</f>
        <v>0</v>
      </c>
      <c r="H3418" s="24">
        <f t="shared" si="265"/>
        <v>0</v>
      </c>
      <c r="I3418" s="23" t="str">
        <f t="shared" si="266"/>
        <v>Match</v>
      </c>
      <c r="J3418" s="23" t="str">
        <f t="shared" si="267"/>
        <v>Match</v>
      </c>
      <c r="K3418" s="24">
        <f t="shared" si="268"/>
        <v>0</v>
      </c>
      <c r="L3418" s="24">
        <f t="shared" si="269"/>
        <v>0</v>
      </c>
    </row>
    <row r="3419" spans="1:12" ht="15" customHeight="1" x14ac:dyDescent="0.3">
      <c r="A3419" s="23" t="s">
        <v>16495</v>
      </c>
      <c r="B3419" s="23" t="s">
        <v>77</v>
      </c>
      <c r="C3419" s="39">
        <v>1299</v>
      </c>
      <c r="D3419" s="24">
        <v>24.68</v>
      </c>
      <c r="E3419" s="24">
        <v>4.4400000000000004</v>
      </c>
      <c r="F3419" s="23">
        <f>COUNTIFS(mdr_rate_cleaned!$A$2:$A$10,B3419,mdr_rate_cleaned!$B$2:$B$10,"&lt;"&amp;C3419,mdr_rate_cleaned!$F$2:$F$10,"&gt;="&amp;C3419)</f>
        <v>1</v>
      </c>
      <c r="G3419" s="40">
        <f>SUMIFS(mdr_rate_cleaned!$G$2:$G$10,mdr_rate_cleaned!$A$2:$A$10,B3419,mdr_rate_cleaned!$B$2:$B$10,"&lt;"&amp;C3419,mdr_rate_cleaned!$F$2:$F$10,"&gt;="&amp;C3419)</f>
        <v>1.9E-2</v>
      </c>
      <c r="H3419" s="24">
        <f t="shared" si="265"/>
        <v>24.68</v>
      </c>
      <c r="I3419" s="23" t="str">
        <f t="shared" si="266"/>
        <v>Match</v>
      </c>
      <c r="J3419" s="23" t="str">
        <f t="shared" si="267"/>
        <v>Match</v>
      </c>
      <c r="K3419" s="24">
        <f t="shared" si="268"/>
        <v>4.4400000000000004</v>
      </c>
      <c r="L3419" s="24">
        <f t="shared" si="269"/>
        <v>0</v>
      </c>
    </row>
    <row r="3420" spans="1:12" ht="15" customHeight="1" x14ac:dyDescent="0.3">
      <c r="A3420" s="23" t="s">
        <v>16496</v>
      </c>
      <c r="B3420" s="23" t="s">
        <v>79</v>
      </c>
      <c r="C3420" s="39">
        <v>2998</v>
      </c>
      <c r="D3420" s="24">
        <v>47.97</v>
      </c>
      <c r="E3420" s="24">
        <v>8.6300000000000008</v>
      </c>
      <c r="F3420" s="23">
        <f>COUNTIFS(mdr_rate_cleaned!$A$2:$A$10,B3420,mdr_rate_cleaned!$B$2:$B$10,"&lt;"&amp;C3420,mdr_rate_cleaned!$F$2:$F$10,"&gt;="&amp;C3420)</f>
        <v>1</v>
      </c>
      <c r="G3420" s="40">
        <f>SUMIFS(mdr_rate_cleaned!$G$2:$G$10,mdr_rate_cleaned!$A$2:$A$10,B3420,mdr_rate_cleaned!$B$2:$B$10,"&lt;"&amp;C3420,mdr_rate_cleaned!$F$2:$F$10,"&gt;="&amp;C3420)</f>
        <v>1.6E-2</v>
      </c>
      <c r="H3420" s="24">
        <f t="shared" si="265"/>
        <v>47.97</v>
      </c>
      <c r="I3420" s="23" t="str">
        <f t="shared" si="266"/>
        <v>Match</v>
      </c>
      <c r="J3420" s="23" t="str">
        <f t="shared" si="267"/>
        <v>Match</v>
      </c>
      <c r="K3420" s="24">
        <f t="shared" si="268"/>
        <v>8.6300000000000008</v>
      </c>
      <c r="L3420" s="24">
        <f t="shared" si="269"/>
        <v>0</v>
      </c>
    </row>
    <row r="3421" spans="1:12" ht="15" customHeight="1" x14ac:dyDescent="0.3">
      <c r="A3421" s="23" t="s">
        <v>16497</v>
      </c>
      <c r="B3421" s="23" t="s">
        <v>79</v>
      </c>
      <c r="C3421" s="39">
        <v>349</v>
      </c>
      <c r="D3421" s="24">
        <v>6.28</v>
      </c>
      <c r="E3421" s="24">
        <v>1.1299999999999999</v>
      </c>
      <c r="F3421" s="23">
        <f>COUNTIFS(mdr_rate_cleaned!$A$2:$A$10,B3421,mdr_rate_cleaned!$B$2:$B$10,"&lt;"&amp;C3421,mdr_rate_cleaned!$F$2:$F$10,"&gt;="&amp;C3421)</f>
        <v>1</v>
      </c>
      <c r="G3421" s="40">
        <f>SUMIFS(mdr_rate_cleaned!$G$2:$G$10,mdr_rate_cleaned!$A$2:$A$10,B3421,mdr_rate_cleaned!$B$2:$B$10,"&lt;"&amp;C3421,mdr_rate_cleaned!$F$2:$F$10,"&gt;="&amp;C3421)</f>
        <v>1.8000000000000002E-2</v>
      </c>
      <c r="H3421" s="24">
        <f t="shared" si="265"/>
        <v>6.28</v>
      </c>
      <c r="I3421" s="23" t="str">
        <f t="shared" si="266"/>
        <v>Match</v>
      </c>
      <c r="J3421" s="23" t="str">
        <f t="shared" si="267"/>
        <v>Match</v>
      </c>
      <c r="K3421" s="24">
        <f t="shared" si="268"/>
        <v>1.1299999999999999</v>
      </c>
      <c r="L3421" s="24">
        <f t="shared" si="269"/>
        <v>0</v>
      </c>
    </row>
    <row r="3422" spans="1:12" ht="15" customHeight="1" x14ac:dyDescent="0.3">
      <c r="A3422" s="23" t="s">
        <v>16499</v>
      </c>
      <c r="B3422" s="23" t="s">
        <v>75</v>
      </c>
      <c r="C3422" s="39">
        <v>1299</v>
      </c>
      <c r="D3422" s="24">
        <v>0</v>
      </c>
      <c r="E3422" s="24">
        <v>0</v>
      </c>
      <c r="F3422" s="23">
        <f>COUNTIFS(mdr_rate_cleaned!$A$2:$A$10,B3422,mdr_rate_cleaned!$B$2:$B$10,"&lt;"&amp;C3422,mdr_rate_cleaned!$F$2:$F$10,"&gt;="&amp;C3422)</f>
        <v>1</v>
      </c>
      <c r="G3422" s="40">
        <f>SUMIFS(mdr_rate_cleaned!$G$2:$G$10,mdr_rate_cleaned!$A$2:$A$10,B3422,mdr_rate_cleaned!$B$2:$B$10,"&lt;"&amp;C3422,mdr_rate_cleaned!$F$2:$F$10,"&gt;="&amp;C3422)</f>
        <v>0</v>
      </c>
      <c r="H3422" s="24">
        <f t="shared" si="265"/>
        <v>0</v>
      </c>
      <c r="I3422" s="23" t="str">
        <f t="shared" si="266"/>
        <v>Match</v>
      </c>
      <c r="J3422" s="23" t="str">
        <f t="shared" si="267"/>
        <v>Match</v>
      </c>
      <c r="K3422" s="24">
        <f t="shared" si="268"/>
        <v>0</v>
      </c>
      <c r="L3422" s="24">
        <f t="shared" si="269"/>
        <v>0</v>
      </c>
    </row>
    <row r="3423" spans="1:12" ht="15" customHeight="1" x14ac:dyDescent="0.3">
      <c r="A3423" s="23" t="s">
        <v>16500</v>
      </c>
      <c r="B3423" s="23" t="s">
        <v>77</v>
      </c>
      <c r="C3423" s="39">
        <v>3097</v>
      </c>
      <c r="D3423" s="24">
        <v>52.65</v>
      </c>
      <c r="E3423" s="24">
        <v>9.48</v>
      </c>
      <c r="F3423" s="23">
        <f>COUNTIFS(mdr_rate_cleaned!$A$2:$A$10,B3423,mdr_rate_cleaned!$B$2:$B$10,"&lt;"&amp;C3423,mdr_rate_cleaned!$F$2:$F$10,"&gt;="&amp;C3423)</f>
        <v>1</v>
      </c>
      <c r="G3423" s="40">
        <f>SUMIFS(mdr_rate_cleaned!$G$2:$G$10,mdr_rate_cleaned!$A$2:$A$10,B3423,mdr_rate_cleaned!$B$2:$B$10,"&lt;"&amp;C3423,mdr_rate_cleaned!$F$2:$F$10,"&gt;="&amp;C3423)</f>
        <v>1.7000000000000001E-2</v>
      </c>
      <c r="H3423" s="24">
        <f t="shared" si="265"/>
        <v>52.65</v>
      </c>
      <c r="I3423" s="23" t="str">
        <f t="shared" si="266"/>
        <v>Match</v>
      </c>
      <c r="J3423" s="23" t="str">
        <f t="shared" si="267"/>
        <v>Match</v>
      </c>
      <c r="K3423" s="24">
        <f t="shared" si="268"/>
        <v>9.48</v>
      </c>
      <c r="L3423" s="24">
        <f t="shared" si="269"/>
        <v>0</v>
      </c>
    </row>
    <row r="3424" spans="1:12" ht="15" customHeight="1" x14ac:dyDescent="0.3">
      <c r="A3424" s="23" t="s">
        <v>16501</v>
      </c>
      <c r="B3424" s="23" t="s">
        <v>75</v>
      </c>
      <c r="C3424" s="39">
        <v>1098</v>
      </c>
      <c r="D3424" s="24">
        <v>0</v>
      </c>
      <c r="E3424" s="24">
        <v>0</v>
      </c>
      <c r="F3424" s="23">
        <f>COUNTIFS(mdr_rate_cleaned!$A$2:$A$10,B3424,mdr_rate_cleaned!$B$2:$B$10,"&lt;"&amp;C3424,mdr_rate_cleaned!$F$2:$F$10,"&gt;="&amp;C3424)</f>
        <v>1</v>
      </c>
      <c r="G3424" s="40">
        <f>SUMIFS(mdr_rate_cleaned!$G$2:$G$10,mdr_rate_cleaned!$A$2:$A$10,B3424,mdr_rate_cleaned!$B$2:$B$10,"&lt;"&amp;C3424,mdr_rate_cleaned!$F$2:$F$10,"&gt;="&amp;C3424)</f>
        <v>0</v>
      </c>
      <c r="H3424" s="24">
        <f t="shared" si="265"/>
        <v>0</v>
      </c>
      <c r="I3424" s="23" t="str">
        <f t="shared" si="266"/>
        <v>Match</v>
      </c>
      <c r="J3424" s="23" t="str">
        <f t="shared" si="267"/>
        <v>Match</v>
      </c>
      <c r="K3424" s="24">
        <f t="shared" si="268"/>
        <v>0</v>
      </c>
      <c r="L3424" s="24">
        <f t="shared" si="269"/>
        <v>0</v>
      </c>
    </row>
    <row r="3425" spans="1:12" ht="15" customHeight="1" x14ac:dyDescent="0.3">
      <c r="A3425" s="23" t="s">
        <v>16503</v>
      </c>
      <c r="B3425" s="23" t="s">
        <v>77</v>
      </c>
      <c r="C3425" s="39">
        <v>1298</v>
      </c>
      <c r="D3425" s="24">
        <v>24.66</v>
      </c>
      <c r="E3425" s="24">
        <v>4.4400000000000004</v>
      </c>
      <c r="F3425" s="23">
        <f>COUNTIFS(mdr_rate_cleaned!$A$2:$A$10,B3425,mdr_rate_cleaned!$B$2:$B$10,"&lt;"&amp;C3425,mdr_rate_cleaned!$F$2:$F$10,"&gt;="&amp;C3425)</f>
        <v>1</v>
      </c>
      <c r="G3425" s="40">
        <f>SUMIFS(mdr_rate_cleaned!$G$2:$G$10,mdr_rate_cleaned!$A$2:$A$10,B3425,mdr_rate_cleaned!$B$2:$B$10,"&lt;"&amp;C3425,mdr_rate_cleaned!$F$2:$F$10,"&gt;="&amp;C3425)</f>
        <v>1.9E-2</v>
      </c>
      <c r="H3425" s="24">
        <f t="shared" si="265"/>
        <v>24.66</v>
      </c>
      <c r="I3425" s="23" t="str">
        <f t="shared" si="266"/>
        <v>Match</v>
      </c>
      <c r="J3425" s="23" t="str">
        <f t="shared" si="267"/>
        <v>Match</v>
      </c>
      <c r="K3425" s="24">
        <f t="shared" si="268"/>
        <v>4.4400000000000004</v>
      </c>
      <c r="L3425" s="24">
        <f t="shared" si="269"/>
        <v>0</v>
      </c>
    </row>
    <row r="3426" spans="1:12" ht="15" customHeight="1" x14ac:dyDescent="0.3">
      <c r="A3426" s="23" t="s">
        <v>16504</v>
      </c>
      <c r="B3426" s="23" t="s">
        <v>79</v>
      </c>
      <c r="C3426" s="39">
        <v>1798</v>
      </c>
      <c r="D3426" s="24">
        <v>32.36</v>
      </c>
      <c r="E3426" s="24">
        <v>5.82</v>
      </c>
      <c r="F3426" s="23">
        <f>COUNTIFS(mdr_rate_cleaned!$A$2:$A$10,B3426,mdr_rate_cleaned!$B$2:$B$10,"&lt;"&amp;C3426,mdr_rate_cleaned!$F$2:$F$10,"&gt;="&amp;C3426)</f>
        <v>1</v>
      </c>
      <c r="G3426" s="40">
        <f>SUMIFS(mdr_rate_cleaned!$G$2:$G$10,mdr_rate_cleaned!$A$2:$A$10,B3426,mdr_rate_cleaned!$B$2:$B$10,"&lt;"&amp;C3426,mdr_rate_cleaned!$F$2:$F$10,"&gt;="&amp;C3426)</f>
        <v>1.8000000000000002E-2</v>
      </c>
      <c r="H3426" s="24">
        <f t="shared" si="265"/>
        <v>32.36</v>
      </c>
      <c r="I3426" s="23" t="str">
        <f t="shared" si="266"/>
        <v>Match</v>
      </c>
      <c r="J3426" s="23" t="str">
        <f t="shared" si="267"/>
        <v>Match</v>
      </c>
      <c r="K3426" s="24">
        <f t="shared" si="268"/>
        <v>5.82</v>
      </c>
      <c r="L3426" s="24">
        <f t="shared" si="269"/>
        <v>0</v>
      </c>
    </row>
    <row r="3427" spans="1:12" ht="15" customHeight="1" x14ac:dyDescent="0.3">
      <c r="A3427" s="23" t="s">
        <v>16505</v>
      </c>
      <c r="B3427" s="23" t="s">
        <v>75</v>
      </c>
      <c r="C3427" s="39">
        <v>10997</v>
      </c>
      <c r="D3427" s="24">
        <v>32.99</v>
      </c>
      <c r="E3427" s="24">
        <v>5.94</v>
      </c>
      <c r="F3427" s="23">
        <f>COUNTIFS(mdr_rate_cleaned!$A$2:$A$10,B3427,mdr_rate_cleaned!$B$2:$B$10,"&lt;"&amp;C3427,mdr_rate_cleaned!$F$2:$F$10,"&gt;="&amp;C3427)</f>
        <v>1</v>
      </c>
      <c r="G3427" s="40">
        <f>SUMIFS(mdr_rate_cleaned!$G$2:$G$10,mdr_rate_cleaned!$A$2:$A$10,B3427,mdr_rate_cleaned!$B$2:$B$10,"&lt;"&amp;C3427,mdr_rate_cleaned!$F$2:$F$10,"&gt;="&amp;C3427)</f>
        <v>3.0000000000000001E-3</v>
      </c>
      <c r="H3427" s="24">
        <f t="shared" si="265"/>
        <v>32.99</v>
      </c>
      <c r="I3427" s="23" t="str">
        <f t="shared" si="266"/>
        <v>Match</v>
      </c>
      <c r="J3427" s="23" t="str">
        <f t="shared" si="267"/>
        <v>Match</v>
      </c>
      <c r="K3427" s="24">
        <f t="shared" si="268"/>
        <v>5.94</v>
      </c>
      <c r="L3427" s="24">
        <f t="shared" si="269"/>
        <v>0</v>
      </c>
    </row>
    <row r="3428" spans="1:12" ht="15" customHeight="1" x14ac:dyDescent="0.3">
      <c r="A3428" s="23" t="s">
        <v>16506</v>
      </c>
      <c r="B3428" s="23" t="s">
        <v>75</v>
      </c>
      <c r="C3428" s="39">
        <v>1799</v>
      </c>
      <c r="D3428" s="24">
        <v>0</v>
      </c>
      <c r="E3428" s="24">
        <v>0</v>
      </c>
      <c r="F3428" s="23">
        <f>COUNTIFS(mdr_rate_cleaned!$A$2:$A$10,B3428,mdr_rate_cleaned!$B$2:$B$10,"&lt;"&amp;C3428,mdr_rate_cleaned!$F$2:$F$10,"&gt;="&amp;C3428)</f>
        <v>1</v>
      </c>
      <c r="G3428" s="40">
        <f>SUMIFS(mdr_rate_cleaned!$G$2:$G$10,mdr_rate_cleaned!$A$2:$A$10,B3428,mdr_rate_cleaned!$B$2:$B$10,"&lt;"&amp;C3428,mdr_rate_cleaned!$F$2:$F$10,"&gt;="&amp;C3428)</f>
        <v>0</v>
      </c>
      <c r="H3428" s="24">
        <f t="shared" si="265"/>
        <v>0</v>
      </c>
      <c r="I3428" s="23" t="str">
        <f t="shared" si="266"/>
        <v>Match</v>
      </c>
      <c r="J3428" s="23" t="str">
        <f t="shared" si="267"/>
        <v>Match</v>
      </c>
      <c r="K3428" s="24">
        <f t="shared" si="268"/>
        <v>0</v>
      </c>
      <c r="L3428" s="24">
        <f t="shared" si="269"/>
        <v>0</v>
      </c>
    </row>
    <row r="3429" spans="1:12" ht="15" customHeight="1" x14ac:dyDescent="0.3">
      <c r="A3429" s="23" t="s">
        <v>16508</v>
      </c>
      <c r="B3429" s="23" t="s">
        <v>79</v>
      </c>
      <c r="C3429" s="39">
        <v>5597</v>
      </c>
      <c r="D3429" s="24">
        <v>89.55</v>
      </c>
      <c r="E3429" s="24">
        <v>16.12</v>
      </c>
      <c r="F3429" s="23">
        <f>COUNTIFS(mdr_rate_cleaned!$A$2:$A$10,B3429,mdr_rate_cleaned!$B$2:$B$10,"&lt;"&amp;C3429,mdr_rate_cleaned!$F$2:$F$10,"&gt;="&amp;C3429)</f>
        <v>1</v>
      </c>
      <c r="G3429" s="40">
        <f>SUMIFS(mdr_rate_cleaned!$G$2:$G$10,mdr_rate_cleaned!$A$2:$A$10,B3429,mdr_rate_cleaned!$B$2:$B$10,"&lt;"&amp;C3429,mdr_rate_cleaned!$F$2:$F$10,"&gt;="&amp;C3429)</f>
        <v>1.6E-2</v>
      </c>
      <c r="H3429" s="24">
        <f t="shared" si="265"/>
        <v>89.55</v>
      </c>
      <c r="I3429" s="23" t="str">
        <f t="shared" si="266"/>
        <v>Match</v>
      </c>
      <c r="J3429" s="23" t="str">
        <f t="shared" si="267"/>
        <v>Match</v>
      </c>
      <c r="K3429" s="24">
        <f t="shared" si="268"/>
        <v>16.12</v>
      </c>
      <c r="L3429" s="24">
        <f t="shared" si="269"/>
        <v>0</v>
      </c>
    </row>
    <row r="3430" spans="1:12" ht="15" customHeight="1" x14ac:dyDescent="0.3">
      <c r="A3430" s="23" t="s">
        <v>16509</v>
      </c>
      <c r="B3430" s="23" t="s">
        <v>75</v>
      </c>
      <c r="C3430" s="39">
        <v>5998</v>
      </c>
      <c r="D3430" s="24">
        <v>17.989999999999998</v>
      </c>
      <c r="E3430" s="24">
        <v>3.24</v>
      </c>
      <c r="F3430" s="23">
        <f>COUNTIFS(mdr_rate_cleaned!$A$2:$A$10,B3430,mdr_rate_cleaned!$B$2:$B$10,"&lt;"&amp;C3430,mdr_rate_cleaned!$F$2:$F$10,"&gt;="&amp;C3430)</f>
        <v>1</v>
      </c>
      <c r="G3430" s="40">
        <f>SUMIFS(mdr_rate_cleaned!$G$2:$G$10,mdr_rate_cleaned!$A$2:$A$10,B3430,mdr_rate_cleaned!$B$2:$B$10,"&lt;"&amp;C3430,mdr_rate_cleaned!$F$2:$F$10,"&gt;="&amp;C3430)</f>
        <v>3.0000000000000001E-3</v>
      </c>
      <c r="H3430" s="24">
        <f t="shared" si="265"/>
        <v>17.989999999999998</v>
      </c>
      <c r="I3430" s="23" t="str">
        <f t="shared" si="266"/>
        <v>Match</v>
      </c>
      <c r="J3430" s="23" t="str">
        <f t="shared" si="267"/>
        <v>Match</v>
      </c>
      <c r="K3430" s="24">
        <f t="shared" si="268"/>
        <v>3.24</v>
      </c>
      <c r="L3430" s="24">
        <f t="shared" si="269"/>
        <v>0</v>
      </c>
    </row>
    <row r="3431" spans="1:12" ht="15" customHeight="1" x14ac:dyDescent="0.3">
      <c r="A3431" s="23" t="s">
        <v>16510</v>
      </c>
      <c r="B3431" s="23" t="s">
        <v>75</v>
      </c>
      <c r="C3431" s="39">
        <v>499</v>
      </c>
      <c r="D3431" s="24">
        <v>0</v>
      </c>
      <c r="E3431" s="24">
        <v>0</v>
      </c>
      <c r="F3431" s="23">
        <f>COUNTIFS(mdr_rate_cleaned!$A$2:$A$10,B3431,mdr_rate_cleaned!$B$2:$B$10,"&lt;"&amp;C3431,mdr_rate_cleaned!$F$2:$F$10,"&gt;="&amp;C3431)</f>
        <v>1</v>
      </c>
      <c r="G3431" s="40">
        <f>SUMIFS(mdr_rate_cleaned!$G$2:$G$10,mdr_rate_cleaned!$A$2:$A$10,B3431,mdr_rate_cleaned!$B$2:$B$10,"&lt;"&amp;C3431,mdr_rate_cleaned!$F$2:$F$10,"&gt;="&amp;C3431)</f>
        <v>0</v>
      </c>
      <c r="H3431" s="24">
        <f t="shared" si="265"/>
        <v>0</v>
      </c>
      <c r="I3431" s="23" t="str">
        <f t="shared" si="266"/>
        <v>Match</v>
      </c>
      <c r="J3431" s="23" t="str">
        <f t="shared" si="267"/>
        <v>Match</v>
      </c>
      <c r="K3431" s="24">
        <f t="shared" si="268"/>
        <v>0</v>
      </c>
      <c r="L3431" s="24">
        <f t="shared" si="269"/>
        <v>0</v>
      </c>
    </row>
    <row r="3432" spans="1:12" ht="15" customHeight="1" x14ac:dyDescent="0.3">
      <c r="A3432" s="23" t="s">
        <v>16511</v>
      </c>
      <c r="B3432" s="23" t="s">
        <v>81</v>
      </c>
      <c r="C3432" s="39">
        <v>999</v>
      </c>
      <c r="D3432" s="24">
        <v>14.99</v>
      </c>
      <c r="E3432" s="24">
        <v>2.7</v>
      </c>
      <c r="F3432" s="23">
        <f>COUNTIFS(mdr_rate_cleaned!$A$2:$A$10,B3432,mdr_rate_cleaned!$B$2:$B$10,"&lt;"&amp;C3432,mdr_rate_cleaned!$F$2:$F$10,"&gt;="&amp;C3432)</f>
        <v>1</v>
      </c>
      <c r="G3432" s="40">
        <f>SUMIFS(mdr_rate_cleaned!$G$2:$G$10,mdr_rate_cleaned!$A$2:$A$10,B3432,mdr_rate_cleaned!$B$2:$B$10,"&lt;"&amp;C3432,mdr_rate_cleaned!$F$2:$F$10,"&gt;="&amp;C3432)</f>
        <v>1.4999999999999999E-2</v>
      </c>
      <c r="H3432" s="24">
        <f t="shared" si="265"/>
        <v>14.99</v>
      </c>
      <c r="I3432" s="23" t="str">
        <f t="shared" si="266"/>
        <v>Match</v>
      </c>
      <c r="J3432" s="23" t="str">
        <f t="shared" si="267"/>
        <v>Match</v>
      </c>
      <c r="K3432" s="24">
        <f t="shared" si="268"/>
        <v>2.7</v>
      </c>
      <c r="L3432" s="24">
        <f t="shared" si="269"/>
        <v>0</v>
      </c>
    </row>
    <row r="3433" spans="1:12" ht="15" customHeight="1" x14ac:dyDescent="0.3">
      <c r="A3433" s="23" t="s">
        <v>16512</v>
      </c>
      <c r="B3433" s="23" t="s">
        <v>75</v>
      </c>
      <c r="C3433" s="39">
        <v>9097</v>
      </c>
      <c r="D3433" s="24">
        <v>27.29</v>
      </c>
      <c r="E3433" s="24">
        <v>4.91</v>
      </c>
      <c r="F3433" s="23">
        <f>COUNTIFS(mdr_rate_cleaned!$A$2:$A$10,B3433,mdr_rate_cleaned!$B$2:$B$10,"&lt;"&amp;C3433,mdr_rate_cleaned!$F$2:$F$10,"&gt;="&amp;C3433)</f>
        <v>1</v>
      </c>
      <c r="G3433" s="40">
        <f>SUMIFS(mdr_rate_cleaned!$G$2:$G$10,mdr_rate_cleaned!$A$2:$A$10,B3433,mdr_rate_cleaned!$B$2:$B$10,"&lt;"&amp;C3433,mdr_rate_cleaned!$F$2:$F$10,"&gt;="&amp;C3433)</f>
        <v>3.0000000000000001E-3</v>
      </c>
      <c r="H3433" s="24">
        <f t="shared" si="265"/>
        <v>27.29</v>
      </c>
      <c r="I3433" s="23" t="str">
        <f t="shared" si="266"/>
        <v>Match</v>
      </c>
      <c r="J3433" s="23" t="str">
        <f t="shared" si="267"/>
        <v>Match</v>
      </c>
      <c r="K3433" s="24">
        <f t="shared" si="268"/>
        <v>4.91</v>
      </c>
      <c r="L3433" s="24">
        <f t="shared" si="269"/>
        <v>0</v>
      </c>
    </row>
    <row r="3434" spans="1:12" ht="15" customHeight="1" x14ac:dyDescent="0.3">
      <c r="A3434" s="23" t="s">
        <v>16513</v>
      </c>
      <c r="B3434" s="23" t="s">
        <v>75</v>
      </c>
      <c r="C3434" s="39">
        <v>11997</v>
      </c>
      <c r="D3434" s="24">
        <v>35.99</v>
      </c>
      <c r="E3434" s="24">
        <v>6.48</v>
      </c>
      <c r="F3434" s="23">
        <f>COUNTIFS(mdr_rate_cleaned!$A$2:$A$10,B3434,mdr_rate_cleaned!$B$2:$B$10,"&lt;"&amp;C3434,mdr_rate_cleaned!$F$2:$F$10,"&gt;="&amp;C3434)</f>
        <v>1</v>
      </c>
      <c r="G3434" s="40">
        <f>SUMIFS(mdr_rate_cleaned!$G$2:$G$10,mdr_rate_cleaned!$A$2:$A$10,B3434,mdr_rate_cleaned!$B$2:$B$10,"&lt;"&amp;C3434,mdr_rate_cleaned!$F$2:$F$10,"&gt;="&amp;C3434)</f>
        <v>3.0000000000000001E-3</v>
      </c>
      <c r="H3434" s="24">
        <f t="shared" si="265"/>
        <v>35.99</v>
      </c>
      <c r="I3434" s="23" t="str">
        <f t="shared" si="266"/>
        <v>Match</v>
      </c>
      <c r="J3434" s="23" t="str">
        <f t="shared" si="267"/>
        <v>Match</v>
      </c>
      <c r="K3434" s="24">
        <f t="shared" si="268"/>
        <v>6.48</v>
      </c>
      <c r="L3434" s="24">
        <f t="shared" si="269"/>
        <v>0</v>
      </c>
    </row>
    <row r="3435" spans="1:12" ht="15" customHeight="1" x14ac:dyDescent="0.3">
      <c r="A3435" s="23" t="s">
        <v>16514</v>
      </c>
      <c r="B3435" s="23" t="s">
        <v>79</v>
      </c>
      <c r="C3435" s="39">
        <v>3147</v>
      </c>
      <c r="D3435" s="24">
        <v>50.35</v>
      </c>
      <c r="E3435" s="24">
        <v>9.06</v>
      </c>
      <c r="F3435" s="23">
        <f>COUNTIFS(mdr_rate_cleaned!$A$2:$A$10,B3435,mdr_rate_cleaned!$B$2:$B$10,"&lt;"&amp;C3435,mdr_rate_cleaned!$F$2:$F$10,"&gt;="&amp;C3435)</f>
        <v>1</v>
      </c>
      <c r="G3435" s="40">
        <f>SUMIFS(mdr_rate_cleaned!$G$2:$G$10,mdr_rate_cleaned!$A$2:$A$10,B3435,mdr_rate_cleaned!$B$2:$B$10,"&lt;"&amp;C3435,mdr_rate_cleaned!$F$2:$F$10,"&gt;="&amp;C3435)</f>
        <v>1.6E-2</v>
      </c>
      <c r="H3435" s="24">
        <f t="shared" si="265"/>
        <v>50.35</v>
      </c>
      <c r="I3435" s="23" t="str">
        <f t="shared" si="266"/>
        <v>Match</v>
      </c>
      <c r="J3435" s="23" t="str">
        <f t="shared" si="267"/>
        <v>Match</v>
      </c>
      <c r="K3435" s="24">
        <f t="shared" si="268"/>
        <v>9.06</v>
      </c>
      <c r="L3435" s="24">
        <f t="shared" si="269"/>
        <v>0</v>
      </c>
    </row>
    <row r="3436" spans="1:12" ht="15" customHeight="1" x14ac:dyDescent="0.3">
      <c r="A3436" s="23" t="s">
        <v>16515</v>
      </c>
      <c r="B3436" s="23" t="s">
        <v>75</v>
      </c>
      <c r="C3436" s="39">
        <v>349</v>
      </c>
      <c r="D3436" s="24">
        <v>0</v>
      </c>
      <c r="E3436" s="24">
        <v>0</v>
      </c>
      <c r="F3436" s="23">
        <f>COUNTIFS(mdr_rate_cleaned!$A$2:$A$10,B3436,mdr_rate_cleaned!$B$2:$B$10,"&lt;"&amp;C3436,mdr_rate_cleaned!$F$2:$F$10,"&gt;="&amp;C3436)</f>
        <v>1</v>
      </c>
      <c r="G3436" s="40">
        <f>SUMIFS(mdr_rate_cleaned!$G$2:$G$10,mdr_rate_cleaned!$A$2:$A$10,B3436,mdr_rate_cleaned!$B$2:$B$10,"&lt;"&amp;C3436,mdr_rate_cleaned!$F$2:$F$10,"&gt;="&amp;C3436)</f>
        <v>0</v>
      </c>
      <c r="H3436" s="24">
        <f t="shared" si="265"/>
        <v>0</v>
      </c>
      <c r="I3436" s="23" t="str">
        <f t="shared" si="266"/>
        <v>Match</v>
      </c>
      <c r="J3436" s="23" t="str">
        <f t="shared" si="267"/>
        <v>Match</v>
      </c>
      <c r="K3436" s="24">
        <f t="shared" si="268"/>
        <v>0</v>
      </c>
      <c r="L3436" s="24">
        <f t="shared" si="269"/>
        <v>0</v>
      </c>
    </row>
    <row r="3437" spans="1:12" ht="15" customHeight="1" x14ac:dyDescent="0.3">
      <c r="A3437" s="23" t="s">
        <v>16516</v>
      </c>
      <c r="B3437" s="23" t="s">
        <v>81</v>
      </c>
      <c r="C3437" s="39">
        <v>7999</v>
      </c>
      <c r="D3437" s="24">
        <v>95.99</v>
      </c>
      <c r="E3437" s="24">
        <v>17.28</v>
      </c>
      <c r="F3437" s="23">
        <f>COUNTIFS(mdr_rate_cleaned!$A$2:$A$10,B3437,mdr_rate_cleaned!$B$2:$B$10,"&lt;"&amp;C3437,mdr_rate_cleaned!$F$2:$F$10,"&gt;="&amp;C3437)</f>
        <v>1</v>
      </c>
      <c r="G3437" s="40">
        <f>SUMIFS(mdr_rate_cleaned!$G$2:$G$10,mdr_rate_cleaned!$A$2:$A$10,B3437,mdr_rate_cleaned!$B$2:$B$10,"&lt;"&amp;C3437,mdr_rate_cleaned!$F$2:$F$10,"&gt;="&amp;C3437)</f>
        <v>1.2E-2</v>
      </c>
      <c r="H3437" s="24">
        <f t="shared" si="265"/>
        <v>95.99</v>
      </c>
      <c r="I3437" s="23" t="str">
        <f t="shared" si="266"/>
        <v>Match</v>
      </c>
      <c r="J3437" s="23" t="str">
        <f t="shared" si="267"/>
        <v>Match</v>
      </c>
      <c r="K3437" s="24">
        <f t="shared" si="268"/>
        <v>17.28</v>
      </c>
      <c r="L3437" s="24">
        <f t="shared" si="269"/>
        <v>0</v>
      </c>
    </row>
    <row r="3438" spans="1:12" ht="15" customHeight="1" x14ac:dyDescent="0.3">
      <c r="A3438" s="23" t="s">
        <v>16517</v>
      </c>
      <c r="B3438" s="23" t="s">
        <v>75</v>
      </c>
      <c r="C3438" s="39">
        <v>4298</v>
      </c>
      <c r="D3438" s="24">
        <v>12.89</v>
      </c>
      <c r="E3438" s="24">
        <v>2.3199999999999998</v>
      </c>
      <c r="F3438" s="23">
        <f>COUNTIFS(mdr_rate_cleaned!$A$2:$A$10,B3438,mdr_rate_cleaned!$B$2:$B$10,"&lt;"&amp;C3438,mdr_rate_cleaned!$F$2:$F$10,"&gt;="&amp;C3438)</f>
        <v>1</v>
      </c>
      <c r="G3438" s="40">
        <f>SUMIFS(mdr_rate_cleaned!$G$2:$G$10,mdr_rate_cleaned!$A$2:$A$10,B3438,mdr_rate_cleaned!$B$2:$B$10,"&lt;"&amp;C3438,mdr_rate_cleaned!$F$2:$F$10,"&gt;="&amp;C3438)</f>
        <v>3.0000000000000001E-3</v>
      </c>
      <c r="H3438" s="24">
        <f t="shared" si="265"/>
        <v>12.89</v>
      </c>
      <c r="I3438" s="23" t="str">
        <f t="shared" si="266"/>
        <v>Match</v>
      </c>
      <c r="J3438" s="23" t="str">
        <f t="shared" si="267"/>
        <v>Match</v>
      </c>
      <c r="K3438" s="24">
        <f t="shared" si="268"/>
        <v>2.3199999999999998</v>
      </c>
      <c r="L3438" s="24">
        <f t="shared" si="269"/>
        <v>0</v>
      </c>
    </row>
    <row r="3439" spans="1:12" ht="15" customHeight="1" x14ac:dyDescent="0.3">
      <c r="A3439" s="23" t="s">
        <v>16518</v>
      </c>
      <c r="B3439" s="23" t="s">
        <v>79</v>
      </c>
      <c r="C3439" s="39">
        <v>1798</v>
      </c>
      <c r="D3439" s="24">
        <v>32.36</v>
      </c>
      <c r="E3439" s="24">
        <v>5.82</v>
      </c>
      <c r="F3439" s="23">
        <f>COUNTIFS(mdr_rate_cleaned!$A$2:$A$10,B3439,mdr_rate_cleaned!$B$2:$B$10,"&lt;"&amp;C3439,mdr_rate_cleaned!$F$2:$F$10,"&gt;="&amp;C3439)</f>
        <v>1</v>
      </c>
      <c r="G3439" s="40">
        <f>SUMIFS(mdr_rate_cleaned!$G$2:$G$10,mdr_rate_cleaned!$A$2:$A$10,B3439,mdr_rate_cleaned!$B$2:$B$10,"&lt;"&amp;C3439,mdr_rate_cleaned!$F$2:$F$10,"&gt;="&amp;C3439)</f>
        <v>1.8000000000000002E-2</v>
      </c>
      <c r="H3439" s="24">
        <f t="shared" si="265"/>
        <v>32.36</v>
      </c>
      <c r="I3439" s="23" t="str">
        <f t="shared" si="266"/>
        <v>Match</v>
      </c>
      <c r="J3439" s="23" t="str">
        <f t="shared" si="267"/>
        <v>Match</v>
      </c>
      <c r="K3439" s="24">
        <f t="shared" si="268"/>
        <v>5.82</v>
      </c>
      <c r="L3439" s="24">
        <f t="shared" si="269"/>
        <v>0</v>
      </c>
    </row>
    <row r="3440" spans="1:12" ht="15" customHeight="1" x14ac:dyDescent="0.3">
      <c r="A3440" s="23" t="s">
        <v>16519</v>
      </c>
      <c r="B3440" s="23" t="s">
        <v>75</v>
      </c>
      <c r="C3440" s="39">
        <v>999</v>
      </c>
      <c r="D3440" s="24">
        <v>0</v>
      </c>
      <c r="E3440" s="24">
        <v>0</v>
      </c>
      <c r="F3440" s="23">
        <f>COUNTIFS(mdr_rate_cleaned!$A$2:$A$10,B3440,mdr_rate_cleaned!$B$2:$B$10,"&lt;"&amp;C3440,mdr_rate_cleaned!$F$2:$F$10,"&gt;="&amp;C3440)</f>
        <v>1</v>
      </c>
      <c r="G3440" s="40">
        <f>SUMIFS(mdr_rate_cleaned!$G$2:$G$10,mdr_rate_cleaned!$A$2:$A$10,B3440,mdr_rate_cleaned!$B$2:$B$10,"&lt;"&amp;C3440,mdr_rate_cleaned!$F$2:$F$10,"&gt;="&amp;C3440)</f>
        <v>0</v>
      </c>
      <c r="H3440" s="24">
        <f t="shared" si="265"/>
        <v>0</v>
      </c>
      <c r="I3440" s="23" t="str">
        <f t="shared" si="266"/>
        <v>Match</v>
      </c>
      <c r="J3440" s="23" t="str">
        <f t="shared" si="267"/>
        <v>Match</v>
      </c>
      <c r="K3440" s="24">
        <f t="shared" si="268"/>
        <v>0</v>
      </c>
      <c r="L3440" s="24">
        <f t="shared" si="269"/>
        <v>0</v>
      </c>
    </row>
    <row r="3441" spans="1:12" ht="15" customHeight="1" x14ac:dyDescent="0.3">
      <c r="A3441" s="23" t="s">
        <v>16520</v>
      </c>
      <c r="B3441" s="23" t="s">
        <v>81</v>
      </c>
      <c r="C3441" s="39">
        <v>499</v>
      </c>
      <c r="D3441" s="24">
        <v>7.49</v>
      </c>
      <c r="E3441" s="24">
        <v>1.35</v>
      </c>
      <c r="F3441" s="23">
        <f>COUNTIFS(mdr_rate_cleaned!$A$2:$A$10,B3441,mdr_rate_cleaned!$B$2:$B$10,"&lt;"&amp;C3441,mdr_rate_cleaned!$F$2:$F$10,"&gt;="&amp;C3441)</f>
        <v>1</v>
      </c>
      <c r="G3441" s="40">
        <f>SUMIFS(mdr_rate_cleaned!$G$2:$G$10,mdr_rate_cleaned!$A$2:$A$10,B3441,mdr_rate_cleaned!$B$2:$B$10,"&lt;"&amp;C3441,mdr_rate_cleaned!$F$2:$F$10,"&gt;="&amp;C3441)</f>
        <v>1.4999999999999999E-2</v>
      </c>
      <c r="H3441" s="24">
        <f t="shared" si="265"/>
        <v>7.49</v>
      </c>
      <c r="I3441" s="23" t="str">
        <f t="shared" si="266"/>
        <v>Match</v>
      </c>
      <c r="J3441" s="23" t="str">
        <f t="shared" si="267"/>
        <v>Match</v>
      </c>
      <c r="K3441" s="24">
        <f t="shared" si="268"/>
        <v>1.35</v>
      </c>
      <c r="L3441" s="24">
        <f t="shared" si="269"/>
        <v>0</v>
      </c>
    </row>
    <row r="3442" spans="1:12" ht="15" customHeight="1" x14ac:dyDescent="0.3">
      <c r="A3442" s="23" t="s">
        <v>16521</v>
      </c>
      <c r="B3442" s="23" t="s">
        <v>77</v>
      </c>
      <c r="C3442" s="39">
        <v>4798</v>
      </c>
      <c r="D3442" s="24">
        <v>81.569999999999993</v>
      </c>
      <c r="E3442" s="24">
        <v>14.68</v>
      </c>
      <c r="F3442" s="23">
        <f>COUNTIFS(mdr_rate_cleaned!$A$2:$A$10,B3442,mdr_rate_cleaned!$B$2:$B$10,"&lt;"&amp;C3442,mdr_rate_cleaned!$F$2:$F$10,"&gt;="&amp;C3442)</f>
        <v>1</v>
      </c>
      <c r="G3442" s="40">
        <f>SUMIFS(mdr_rate_cleaned!$G$2:$G$10,mdr_rate_cleaned!$A$2:$A$10,B3442,mdr_rate_cleaned!$B$2:$B$10,"&lt;"&amp;C3442,mdr_rate_cleaned!$F$2:$F$10,"&gt;="&amp;C3442)</f>
        <v>1.7000000000000001E-2</v>
      </c>
      <c r="H3442" s="24">
        <f t="shared" si="265"/>
        <v>81.569999999999993</v>
      </c>
      <c r="I3442" s="23" t="str">
        <f t="shared" si="266"/>
        <v>Match</v>
      </c>
      <c r="J3442" s="23" t="str">
        <f t="shared" si="267"/>
        <v>Match</v>
      </c>
      <c r="K3442" s="24">
        <f t="shared" si="268"/>
        <v>14.68</v>
      </c>
      <c r="L3442" s="24">
        <f t="shared" si="269"/>
        <v>0</v>
      </c>
    </row>
    <row r="3443" spans="1:12" ht="15" customHeight="1" x14ac:dyDescent="0.3">
      <c r="A3443" s="23" t="s">
        <v>16522</v>
      </c>
      <c r="B3443" s="23" t="s">
        <v>75</v>
      </c>
      <c r="C3443" s="39">
        <v>1598</v>
      </c>
      <c r="D3443" s="24">
        <v>0</v>
      </c>
      <c r="E3443" s="24">
        <v>0</v>
      </c>
      <c r="F3443" s="23">
        <f>COUNTIFS(mdr_rate_cleaned!$A$2:$A$10,B3443,mdr_rate_cleaned!$B$2:$B$10,"&lt;"&amp;C3443,mdr_rate_cleaned!$F$2:$F$10,"&gt;="&amp;C3443)</f>
        <v>1</v>
      </c>
      <c r="G3443" s="40">
        <f>SUMIFS(mdr_rate_cleaned!$G$2:$G$10,mdr_rate_cleaned!$A$2:$A$10,B3443,mdr_rate_cleaned!$B$2:$B$10,"&lt;"&amp;C3443,mdr_rate_cleaned!$F$2:$F$10,"&gt;="&amp;C3443)</f>
        <v>0</v>
      </c>
      <c r="H3443" s="24">
        <f t="shared" si="265"/>
        <v>0</v>
      </c>
      <c r="I3443" s="23" t="str">
        <f t="shared" si="266"/>
        <v>Match</v>
      </c>
      <c r="J3443" s="23" t="str">
        <f t="shared" si="267"/>
        <v>Match</v>
      </c>
      <c r="K3443" s="24">
        <f t="shared" si="268"/>
        <v>0</v>
      </c>
      <c r="L3443" s="24">
        <f t="shared" si="269"/>
        <v>0</v>
      </c>
    </row>
    <row r="3444" spans="1:12" ht="15" customHeight="1" x14ac:dyDescent="0.3">
      <c r="A3444" s="23" t="s">
        <v>16523</v>
      </c>
      <c r="B3444" s="23" t="s">
        <v>77</v>
      </c>
      <c r="C3444" s="39">
        <v>799</v>
      </c>
      <c r="D3444" s="24">
        <v>15.18</v>
      </c>
      <c r="E3444" s="24">
        <v>2.73</v>
      </c>
      <c r="F3444" s="23">
        <f>COUNTIFS(mdr_rate_cleaned!$A$2:$A$10,B3444,mdr_rate_cleaned!$B$2:$B$10,"&lt;"&amp;C3444,mdr_rate_cleaned!$F$2:$F$10,"&gt;="&amp;C3444)</f>
        <v>1</v>
      </c>
      <c r="G3444" s="40">
        <f>SUMIFS(mdr_rate_cleaned!$G$2:$G$10,mdr_rate_cleaned!$A$2:$A$10,B3444,mdr_rate_cleaned!$B$2:$B$10,"&lt;"&amp;C3444,mdr_rate_cleaned!$F$2:$F$10,"&gt;="&amp;C3444)</f>
        <v>1.9E-2</v>
      </c>
      <c r="H3444" s="24">
        <f t="shared" si="265"/>
        <v>15.18</v>
      </c>
      <c r="I3444" s="23" t="str">
        <f t="shared" si="266"/>
        <v>Match</v>
      </c>
      <c r="J3444" s="23" t="str">
        <f t="shared" si="267"/>
        <v>Match</v>
      </c>
      <c r="K3444" s="24">
        <f t="shared" si="268"/>
        <v>2.73</v>
      </c>
      <c r="L3444" s="24">
        <f t="shared" si="269"/>
        <v>0</v>
      </c>
    </row>
    <row r="3445" spans="1:12" ht="15" customHeight="1" x14ac:dyDescent="0.3">
      <c r="A3445" s="23" t="s">
        <v>16524</v>
      </c>
      <c r="B3445" s="23" t="s">
        <v>77</v>
      </c>
      <c r="C3445" s="39">
        <v>999</v>
      </c>
      <c r="D3445" s="24">
        <v>18.98</v>
      </c>
      <c r="E3445" s="24">
        <v>3.42</v>
      </c>
      <c r="F3445" s="23">
        <f>COUNTIFS(mdr_rate_cleaned!$A$2:$A$10,B3445,mdr_rate_cleaned!$B$2:$B$10,"&lt;"&amp;C3445,mdr_rate_cleaned!$F$2:$F$10,"&gt;="&amp;C3445)</f>
        <v>1</v>
      </c>
      <c r="G3445" s="40">
        <f>SUMIFS(mdr_rate_cleaned!$G$2:$G$10,mdr_rate_cleaned!$A$2:$A$10,B3445,mdr_rate_cleaned!$B$2:$B$10,"&lt;"&amp;C3445,mdr_rate_cleaned!$F$2:$F$10,"&gt;="&amp;C3445)</f>
        <v>1.9E-2</v>
      </c>
      <c r="H3445" s="24">
        <f t="shared" si="265"/>
        <v>18.98</v>
      </c>
      <c r="I3445" s="23" t="str">
        <f t="shared" si="266"/>
        <v>Match</v>
      </c>
      <c r="J3445" s="23" t="str">
        <f t="shared" si="267"/>
        <v>Match</v>
      </c>
      <c r="K3445" s="24">
        <f t="shared" si="268"/>
        <v>3.42</v>
      </c>
      <c r="L3445" s="24">
        <f t="shared" si="269"/>
        <v>0</v>
      </c>
    </row>
    <row r="3446" spans="1:12" ht="15" customHeight="1" x14ac:dyDescent="0.3">
      <c r="A3446" s="23" t="s">
        <v>16525</v>
      </c>
      <c r="B3446" s="23" t="s">
        <v>77</v>
      </c>
      <c r="C3446" s="39">
        <v>5998</v>
      </c>
      <c r="D3446" s="24">
        <v>143.94999999999999</v>
      </c>
      <c r="E3446" s="24">
        <v>25.91</v>
      </c>
      <c r="F3446" s="23">
        <f>COUNTIFS(mdr_rate_cleaned!$A$2:$A$10,B3446,mdr_rate_cleaned!$B$2:$B$10,"&lt;"&amp;C3446,mdr_rate_cleaned!$F$2:$F$10,"&gt;="&amp;C3446)</f>
        <v>1</v>
      </c>
      <c r="G3446" s="40">
        <f>SUMIFS(mdr_rate_cleaned!$G$2:$G$10,mdr_rate_cleaned!$A$2:$A$10,B3446,mdr_rate_cleaned!$B$2:$B$10,"&lt;"&amp;C3446,mdr_rate_cleaned!$F$2:$F$10,"&gt;="&amp;C3446)</f>
        <v>1.7000000000000001E-2</v>
      </c>
      <c r="H3446" s="24">
        <f t="shared" si="265"/>
        <v>101.97</v>
      </c>
      <c r="I3446" s="23" t="str">
        <f t="shared" si="266"/>
        <v>Differs</v>
      </c>
      <c r="J3446" s="23" t="str">
        <f t="shared" si="267"/>
        <v>Match</v>
      </c>
      <c r="K3446" s="24">
        <f t="shared" si="268"/>
        <v>18.350000000000001</v>
      </c>
      <c r="L3446" s="24">
        <f t="shared" si="269"/>
        <v>49.54</v>
      </c>
    </row>
    <row r="3447" spans="1:12" ht="15" customHeight="1" x14ac:dyDescent="0.3">
      <c r="A3447" s="23" t="s">
        <v>16526</v>
      </c>
      <c r="B3447" s="23" t="s">
        <v>75</v>
      </c>
      <c r="C3447" s="39">
        <v>349</v>
      </c>
      <c r="D3447" s="24">
        <v>0</v>
      </c>
      <c r="E3447" s="24">
        <v>0</v>
      </c>
      <c r="F3447" s="23">
        <f>COUNTIFS(mdr_rate_cleaned!$A$2:$A$10,B3447,mdr_rate_cleaned!$B$2:$B$10,"&lt;"&amp;C3447,mdr_rate_cleaned!$F$2:$F$10,"&gt;="&amp;C3447)</f>
        <v>1</v>
      </c>
      <c r="G3447" s="40">
        <f>SUMIFS(mdr_rate_cleaned!$G$2:$G$10,mdr_rate_cleaned!$A$2:$A$10,B3447,mdr_rate_cleaned!$B$2:$B$10,"&lt;"&amp;C3447,mdr_rate_cleaned!$F$2:$F$10,"&gt;="&amp;C3447)</f>
        <v>0</v>
      </c>
      <c r="H3447" s="24">
        <f t="shared" si="265"/>
        <v>0</v>
      </c>
      <c r="I3447" s="23" t="str">
        <f t="shared" si="266"/>
        <v>Match</v>
      </c>
      <c r="J3447" s="23" t="str">
        <f t="shared" si="267"/>
        <v>Match</v>
      </c>
      <c r="K3447" s="24">
        <f t="shared" si="268"/>
        <v>0</v>
      </c>
      <c r="L3447" s="24">
        <f t="shared" si="269"/>
        <v>0</v>
      </c>
    </row>
    <row r="3448" spans="1:12" ht="15" customHeight="1" x14ac:dyDescent="0.3">
      <c r="A3448" s="23" t="s">
        <v>16527</v>
      </c>
      <c r="B3448" s="23" t="s">
        <v>75</v>
      </c>
      <c r="C3448" s="39">
        <v>599</v>
      </c>
      <c r="D3448" s="24">
        <v>0</v>
      </c>
      <c r="E3448" s="24">
        <v>0</v>
      </c>
      <c r="F3448" s="23">
        <f>COUNTIFS(mdr_rate_cleaned!$A$2:$A$10,B3448,mdr_rate_cleaned!$B$2:$B$10,"&lt;"&amp;C3448,mdr_rate_cleaned!$F$2:$F$10,"&gt;="&amp;C3448)</f>
        <v>1</v>
      </c>
      <c r="G3448" s="40">
        <f>SUMIFS(mdr_rate_cleaned!$G$2:$G$10,mdr_rate_cleaned!$A$2:$A$10,B3448,mdr_rate_cleaned!$B$2:$B$10,"&lt;"&amp;C3448,mdr_rate_cleaned!$F$2:$F$10,"&gt;="&amp;C3448)</f>
        <v>0</v>
      </c>
      <c r="H3448" s="24">
        <f t="shared" si="265"/>
        <v>0</v>
      </c>
      <c r="I3448" s="23" t="str">
        <f t="shared" si="266"/>
        <v>Match</v>
      </c>
      <c r="J3448" s="23" t="str">
        <f t="shared" si="267"/>
        <v>Match</v>
      </c>
      <c r="K3448" s="24">
        <f t="shared" si="268"/>
        <v>0</v>
      </c>
      <c r="L3448" s="24">
        <f t="shared" si="269"/>
        <v>0</v>
      </c>
    </row>
    <row r="3449" spans="1:12" ht="15" customHeight="1" x14ac:dyDescent="0.3">
      <c r="A3449" s="23" t="s">
        <v>16529</v>
      </c>
      <c r="B3449" s="23" t="s">
        <v>75</v>
      </c>
      <c r="C3449" s="39">
        <v>4999</v>
      </c>
      <c r="D3449" s="24">
        <v>15</v>
      </c>
      <c r="E3449" s="24">
        <v>2.7</v>
      </c>
      <c r="F3449" s="23">
        <f>COUNTIFS(mdr_rate_cleaned!$A$2:$A$10,B3449,mdr_rate_cleaned!$B$2:$B$10,"&lt;"&amp;C3449,mdr_rate_cleaned!$F$2:$F$10,"&gt;="&amp;C3449)</f>
        <v>1</v>
      </c>
      <c r="G3449" s="40">
        <f>SUMIFS(mdr_rate_cleaned!$G$2:$G$10,mdr_rate_cleaned!$A$2:$A$10,B3449,mdr_rate_cleaned!$B$2:$B$10,"&lt;"&amp;C3449,mdr_rate_cleaned!$F$2:$F$10,"&gt;="&amp;C3449)</f>
        <v>3.0000000000000001E-3</v>
      </c>
      <c r="H3449" s="24">
        <f t="shared" si="265"/>
        <v>15</v>
      </c>
      <c r="I3449" s="23" t="str">
        <f t="shared" si="266"/>
        <v>Match</v>
      </c>
      <c r="J3449" s="23" t="str">
        <f t="shared" si="267"/>
        <v>Match</v>
      </c>
      <c r="K3449" s="24">
        <f t="shared" si="268"/>
        <v>2.7</v>
      </c>
      <c r="L3449" s="24">
        <f t="shared" si="269"/>
        <v>0</v>
      </c>
    </row>
    <row r="3450" spans="1:12" ht="15" customHeight="1" x14ac:dyDescent="0.3">
      <c r="A3450" s="23" t="s">
        <v>16530</v>
      </c>
      <c r="B3450" s="23" t="s">
        <v>75</v>
      </c>
      <c r="C3450" s="39">
        <v>9298</v>
      </c>
      <c r="D3450" s="24">
        <v>27.89</v>
      </c>
      <c r="E3450" s="24">
        <v>5.0199999999999996</v>
      </c>
      <c r="F3450" s="23">
        <f>COUNTIFS(mdr_rate_cleaned!$A$2:$A$10,B3450,mdr_rate_cleaned!$B$2:$B$10,"&lt;"&amp;C3450,mdr_rate_cleaned!$F$2:$F$10,"&gt;="&amp;C3450)</f>
        <v>1</v>
      </c>
      <c r="G3450" s="40">
        <f>SUMIFS(mdr_rate_cleaned!$G$2:$G$10,mdr_rate_cleaned!$A$2:$A$10,B3450,mdr_rate_cleaned!$B$2:$B$10,"&lt;"&amp;C3450,mdr_rate_cleaned!$F$2:$F$10,"&gt;="&amp;C3450)</f>
        <v>3.0000000000000001E-3</v>
      </c>
      <c r="H3450" s="24">
        <f t="shared" si="265"/>
        <v>27.89</v>
      </c>
      <c r="I3450" s="23" t="str">
        <f t="shared" si="266"/>
        <v>Match</v>
      </c>
      <c r="J3450" s="23" t="str">
        <f t="shared" si="267"/>
        <v>Match</v>
      </c>
      <c r="K3450" s="24">
        <f t="shared" si="268"/>
        <v>5.0199999999999996</v>
      </c>
      <c r="L3450" s="24">
        <f t="shared" si="269"/>
        <v>0</v>
      </c>
    </row>
    <row r="3451" spans="1:12" ht="15" customHeight="1" x14ac:dyDescent="0.3">
      <c r="A3451" s="23" t="s">
        <v>16531</v>
      </c>
      <c r="B3451" s="23" t="s">
        <v>77</v>
      </c>
      <c r="C3451" s="39">
        <v>3499</v>
      </c>
      <c r="D3451" s="24">
        <v>59.48</v>
      </c>
      <c r="E3451" s="24">
        <v>10.71</v>
      </c>
      <c r="F3451" s="23">
        <f>COUNTIFS(mdr_rate_cleaned!$A$2:$A$10,B3451,mdr_rate_cleaned!$B$2:$B$10,"&lt;"&amp;C3451,mdr_rate_cleaned!$F$2:$F$10,"&gt;="&amp;C3451)</f>
        <v>1</v>
      </c>
      <c r="G3451" s="40">
        <f>SUMIFS(mdr_rate_cleaned!$G$2:$G$10,mdr_rate_cleaned!$A$2:$A$10,B3451,mdr_rate_cleaned!$B$2:$B$10,"&lt;"&amp;C3451,mdr_rate_cleaned!$F$2:$F$10,"&gt;="&amp;C3451)</f>
        <v>1.7000000000000001E-2</v>
      </c>
      <c r="H3451" s="24">
        <f t="shared" si="265"/>
        <v>59.48</v>
      </c>
      <c r="I3451" s="23" t="str">
        <f t="shared" si="266"/>
        <v>Match</v>
      </c>
      <c r="J3451" s="23" t="str">
        <f t="shared" si="267"/>
        <v>Match</v>
      </c>
      <c r="K3451" s="24">
        <f t="shared" si="268"/>
        <v>10.71</v>
      </c>
      <c r="L3451" s="24">
        <f t="shared" si="269"/>
        <v>0</v>
      </c>
    </row>
    <row r="3452" spans="1:12" ht="15" customHeight="1" x14ac:dyDescent="0.3">
      <c r="A3452" s="23" t="s">
        <v>16532</v>
      </c>
      <c r="B3452" s="23" t="s">
        <v>75</v>
      </c>
      <c r="C3452" s="39">
        <v>13597</v>
      </c>
      <c r="D3452" s="24">
        <v>40.79</v>
      </c>
      <c r="E3452" s="24">
        <v>7.34</v>
      </c>
      <c r="F3452" s="23">
        <f>COUNTIFS(mdr_rate_cleaned!$A$2:$A$10,B3452,mdr_rate_cleaned!$B$2:$B$10,"&lt;"&amp;C3452,mdr_rate_cleaned!$F$2:$F$10,"&gt;="&amp;C3452)</f>
        <v>1</v>
      </c>
      <c r="G3452" s="40">
        <f>SUMIFS(mdr_rate_cleaned!$G$2:$G$10,mdr_rate_cleaned!$A$2:$A$10,B3452,mdr_rate_cleaned!$B$2:$B$10,"&lt;"&amp;C3452,mdr_rate_cleaned!$F$2:$F$10,"&gt;="&amp;C3452)</f>
        <v>3.0000000000000001E-3</v>
      </c>
      <c r="H3452" s="24">
        <f t="shared" si="265"/>
        <v>40.79</v>
      </c>
      <c r="I3452" s="23" t="str">
        <f t="shared" si="266"/>
        <v>Match</v>
      </c>
      <c r="J3452" s="23" t="str">
        <f t="shared" si="267"/>
        <v>Match</v>
      </c>
      <c r="K3452" s="24">
        <f t="shared" si="268"/>
        <v>7.34</v>
      </c>
      <c r="L3452" s="24">
        <f t="shared" si="269"/>
        <v>0</v>
      </c>
    </row>
    <row r="3453" spans="1:12" ht="15" customHeight="1" x14ac:dyDescent="0.3">
      <c r="A3453" s="23" t="s">
        <v>16534</v>
      </c>
      <c r="B3453" s="23" t="s">
        <v>77</v>
      </c>
      <c r="C3453" s="39">
        <v>898</v>
      </c>
      <c r="D3453" s="24">
        <v>17.059999999999999</v>
      </c>
      <c r="E3453" s="24">
        <v>3.07</v>
      </c>
      <c r="F3453" s="23">
        <f>COUNTIFS(mdr_rate_cleaned!$A$2:$A$10,B3453,mdr_rate_cleaned!$B$2:$B$10,"&lt;"&amp;C3453,mdr_rate_cleaned!$F$2:$F$10,"&gt;="&amp;C3453)</f>
        <v>1</v>
      </c>
      <c r="G3453" s="40">
        <f>SUMIFS(mdr_rate_cleaned!$G$2:$G$10,mdr_rate_cleaned!$A$2:$A$10,B3453,mdr_rate_cleaned!$B$2:$B$10,"&lt;"&amp;C3453,mdr_rate_cleaned!$F$2:$F$10,"&gt;="&amp;C3453)</f>
        <v>1.9E-2</v>
      </c>
      <c r="H3453" s="24">
        <f t="shared" si="265"/>
        <v>17.059999999999999</v>
      </c>
      <c r="I3453" s="23" t="str">
        <f t="shared" si="266"/>
        <v>Match</v>
      </c>
      <c r="J3453" s="23" t="str">
        <f t="shared" si="267"/>
        <v>Match</v>
      </c>
      <c r="K3453" s="24">
        <f t="shared" si="268"/>
        <v>3.07</v>
      </c>
      <c r="L3453" s="24">
        <f t="shared" si="269"/>
        <v>0</v>
      </c>
    </row>
    <row r="3454" spans="1:12" ht="15" customHeight="1" x14ac:dyDescent="0.3">
      <c r="A3454" s="23" t="s">
        <v>16536</v>
      </c>
      <c r="B3454" s="23" t="s">
        <v>79</v>
      </c>
      <c r="C3454" s="39">
        <v>4999</v>
      </c>
      <c r="D3454" s="24">
        <v>79.98</v>
      </c>
      <c r="E3454" s="24">
        <v>14.4</v>
      </c>
      <c r="F3454" s="23">
        <f>COUNTIFS(mdr_rate_cleaned!$A$2:$A$10,B3454,mdr_rate_cleaned!$B$2:$B$10,"&lt;"&amp;C3454,mdr_rate_cleaned!$F$2:$F$10,"&gt;="&amp;C3454)</f>
        <v>1</v>
      </c>
      <c r="G3454" s="40">
        <f>SUMIFS(mdr_rate_cleaned!$G$2:$G$10,mdr_rate_cleaned!$A$2:$A$10,B3454,mdr_rate_cleaned!$B$2:$B$10,"&lt;"&amp;C3454,mdr_rate_cleaned!$F$2:$F$10,"&gt;="&amp;C3454)</f>
        <v>1.6E-2</v>
      </c>
      <c r="H3454" s="24">
        <f t="shared" si="265"/>
        <v>79.98</v>
      </c>
      <c r="I3454" s="23" t="str">
        <f t="shared" si="266"/>
        <v>Match</v>
      </c>
      <c r="J3454" s="23" t="str">
        <f t="shared" si="267"/>
        <v>Match</v>
      </c>
      <c r="K3454" s="24">
        <f t="shared" si="268"/>
        <v>14.4</v>
      </c>
      <c r="L3454" s="24">
        <f t="shared" si="269"/>
        <v>0</v>
      </c>
    </row>
    <row r="3455" spans="1:12" ht="15" customHeight="1" x14ac:dyDescent="0.3">
      <c r="A3455" s="23" t="s">
        <v>16537</v>
      </c>
      <c r="B3455" s="23" t="s">
        <v>75</v>
      </c>
      <c r="C3455" s="39">
        <v>1299</v>
      </c>
      <c r="D3455" s="24">
        <v>0</v>
      </c>
      <c r="E3455" s="24">
        <v>0</v>
      </c>
      <c r="F3455" s="23">
        <f>COUNTIFS(mdr_rate_cleaned!$A$2:$A$10,B3455,mdr_rate_cleaned!$B$2:$B$10,"&lt;"&amp;C3455,mdr_rate_cleaned!$F$2:$F$10,"&gt;="&amp;C3455)</f>
        <v>1</v>
      </c>
      <c r="G3455" s="40">
        <f>SUMIFS(mdr_rate_cleaned!$G$2:$G$10,mdr_rate_cleaned!$A$2:$A$10,B3455,mdr_rate_cleaned!$B$2:$B$10,"&lt;"&amp;C3455,mdr_rate_cleaned!$F$2:$F$10,"&gt;="&amp;C3455)</f>
        <v>0</v>
      </c>
      <c r="H3455" s="24">
        <f t="shared" si="265"/>
        <v>0</v>
      </c>
      <c r="I3455" s="23" t="str">
        <f t="shared" si="266"/>
        <v>Match</v>
      </c>
      <c r="J3455" s="23" t="str">
        <f t="shared" si="267"/>
        <v>Match</v>
      </c>
      <c r="K3455" s="24">
        <f t="shared" si="268"/>
        <v>0</v>
      </c>
      <c r="L3455" s="24">
        <f t="shared" si="269"/>
        <v>0</v>
      </c>
    </row>
    <row r="3456" spans="1:12" ht="15" customHeight="1" x14ac:dyDescent="0.3">
      <c r="A3456" s="23" t="s">
        <v>16538</v>
      </c>
      <c r="B3456" s="23" t="s">
        <v>75</v>
      </c>
      <c r="C3456" s="39">
        <v>1299</v>
      </c>
      <c r="D3456" s="24">
        <v>3.9</v>
      </c>
      <c r="E3456" s="24">
        <v>0.7</v>
      </c>
      <c r="F3456" s="23">
        <f>COUNTIFS(mdr_rate_cleaned!$A$2:$A$10,B3456,mdr_rate_cleaned!$B$2:$B$10,"&lt;"&amp;C3456,mdr_rate_cleaned!$F$2:$F$10,"&gt;="&amp;C3456)</f>
        <v>1</v>
      </c>
      <c r="G3456" s="40">
        <f>SUMIFS(mdr_rate_cleaned!$G$2:$G$10,mdr_rate_cleaned!$A$2:$A$10,B3456,mdr_rate_cleaned!$B$2:$B$10,"&lt;"&amp;C3456,mdr_rate_cleaned!$F$2:$F$10,"&gt;="&amp;C3456)</f>
        <v>0</v>
      </c>
      <c r="H3456" s="24">
        <f t="shared" si="265"/>
        <v>0</v>
      </c>
      <c r="I3456" s="23" t="str">
        <f t="shared" si="266"/>
        <v>Differs</v>
      </c>
      <c r="J3456" s="23" t="str">
        <f t="shared" si="267"/>
        <v>Match</v>
      </c>
      <c r="K3456" s="24">
        <f t="shared" si="268"/>
        <v>0</v>
      </c>
      <c r="L3456" s="24">
        <f t="shared" si="269"/>
        <v>4.5999999999999996</v>
      </c>
    </row>
    <row r="3457" spans="1:12" ht="15" customHeight="1" x14ac:dyDescent="0.3">
      <c r="A3457" s="23" t="s">
        <v>16539</v>
      </c>
      <c r="B3457" s="23" t="s">
        <v>81</v>
      </c>
      <c r="C3457" s="39">
        <v>5298</v>
      </c>
      <c r="D3457" s="24">
        <v>63.58</v>
      </c>
      <c r="E3457" s="24">
        <v>11.44</v>
      </c>
      <c r="F3457" s="23">
        <f>COUNTIFS(mdr_rate_cleaned!$A$2:$A$10,B3457,mdr_rate_cleaned!$B$2:$B$10,"&lt;"&amp;C3457,mdr_rate_cleaned!$F$2:$F$10,"&gt;="&amp;C3457)</f>
        <v>1</v>
      </c>
      <c r="G3457" s="40">
        <f>SUMIFS(mdr_rate_cleaned!$G$2:$G$10,mdr_rate_cleaned!$A$2:$A$10,B3457,mdr_rate_cleaned!$B$2:$B$10,"&lt;"&amp;C3457,mdr_rate_cleaned!$F$2:$F$10,"&gt;="&amp;C3457)</f>
        <v>1.2E-2</v>
      </c>
      <c r="H3457" s="24">
        <f t="shared" si="265"/>
        <v>63.58</v>
      </c>
      <c r="I3457" s="23" t="str">
        <f t="shared" si="266"/>
        <v>Match</v>
      </c>
      <c r="J3457" s="23" t="str">
        <f t="shared" si="267"/>
        <v>Match</v>
      </c>
      <c r="K3457" s="24">
        <f t="shared" si="268"/>
        <v>11.44</v>
      </c>
      <c r="L3457" s="24">
        <f t="shared" si="269"/>
        <v>0</v>
      </c>
    </row>
    <row r="3458" spans="1:12" ht="15" customHeight="1" x14ac:dyDescent="0.3">
      <c r="A3458" s="23" t="s">
        <v>16540</v>
      </c>
      <c r="B3458" s="23" t="s">
        <v>79</v>
      </c>
      <c r="C3458" s="39">
        <v>1098</v>
      </c>
      <c r="D3458" s="24">
        <v>19.760000000000002</v>
      </c>
      <c r="E3458" s="24">
        <v>3.56</v>
      </c>
      <c r="F3458" s="23">
        <f>COUNTIFS(mdr_rate_cleaned!$A$2:$A$10,B3458,mdr_rate_cleaned!$B$2:$B$10,"&lt;"&amp;C3458,mdr_rate_cleaned!$F$2:$F$10,"&gt;="&amp;C3458)</f>
        <v>1</v>
      </c>
      <c r="G3458" s="40">
        <f>SUMIFS(mdr_rate_cleaned!$G$2:$G$10,mdr_rate_cleaned!$A$2:$A$10,B3458,mdr_rate_cleaned!$B$2:$B$10,"&lt;"&amp;C3458,mdr_rate_cleaned!$F$2:$F$10,"&gt;="&amp;C3458)</f>
        <v>1.8000000000000002E-2</v>
      </c>
      <c r="H3458" s="24">
        <f t="shared" ref="H3458:H3521" si="270">ROUND(C3458*G3458,2)</f>
        <v>19.760000000000002</v>
      </c>
      <c r="I3458" s="23" t="str">
        <f t="shared" ref="I3458:I3521" si="271">IF(ROUND(D3458-H3458,2)=0,"Match","Differs")</f>
        <v>Match</v>
      </c>
      <c r="J3458" s="23" t="str">
        <f t="shared" ref="J3458:J3521" si="272">IF(ROUND(E3458-ROUND(D3458*0.18,2),2)=0,"Match","Differs")</f>
        <v>Match</v>
      </c>
      <c r="K3458" s="24">
        <f t="shared" ref="K3458:K3521" si="273">ROUND(H3458*0.18,2)</f>
        <v>3.56</v>
      </c>
      <c r="L3458" s="24">
        <f t="shared" ref="L3458:L3521" si="274">ROUND(D3458+E3458-H3458-K3458,2)</f>
        <v>0</v>
      </c>
    </row>
    <row r="3459" spans="1:12" ht="15" customHeight="1" x14ac:dyDescent="0.3">
      <c r="A3459" s="23" t="s">
        <v>16541</v>
      </c>
      <c r="B3459" s="23" t="s">
        <v>75</v>
      </c>
      <c r="C3459" s="39">
        <v>499</v>
      </c>
      <c r="D3459" s="24">
        <v>0</v>
      </c>
      <c r="E3459" s="24">
        <v>0</v>
      </c>
      <c r="F3459" s="23">
        <f>COUNTIFS(mdr_rate_cleaned!$A$2:$A$10,B3459,mdr_rate_cleaned!$B$2:$B$10,"&lt;"&amp;C3459,mdr_rate_cleaned!$F$2:$F$10,"&gt;="&amp;C3459)</f>
        <v>1</v>
      </c>
      <c r="G3459" s="40">
        <f>SUMIFS(mdr_rate_cleaned!$G$2:$G$10,mdr_rate_cleaned!$A$2:$A$10,B3459,mdr_rate_cleaned!$B$2:$B$10,"&lt;"&amp;C3459,mdr_rate_cleaned!$F$2:$F$10,"&gt;="&amp;C3459)</f>
        <v>0</v>
      </c>
      <c r="H3459" s="24">
        <f t="shared" si="270"/>
        <v>0</v>
      </c>
      <c r="I3459" s="23" t="str">
        <f t="shared" si="271"/>
        <v>Match</v>
      </c>
      <c r="J3459" s="23" t="str">
        <f t="shared" si="272"/>
        <v>Match</v>
      </c>
      <c r="K3459" s="24">
        <f t="shared" si="273"/>
        <v>0</v>
      </c>
      <c r="L3459" s="24">
        <f t="shared" si="274"/>
        <v>0</v>
      </c>
    </row>
    <row r="3460" spans="1:12" ht="15" customHeight="1" x14ac:dyDescent="0.3">
      <c r="A3460" s="23" t="s">
        <v>16542</v>
      </c>
      <c r="B3460" s="23" t="s">
        <v>75</v>
      </c>
      <c r="C3460" s="39">
        <v>6997</v>
      </c>
      <c r="D3460" s="24">
        <v>20.99</v>
      </c>
      <c r="E3460" s="24">
        <v>3.78</v>
      </c>
      <c r="F3460" s="23">
        <f>COUNTIFS(mdr_rate_cleaned!$A$2:$A$10,B3460,mdr_rate_cleaned!$B$2:$B$10,"&lt;"&amp;C3460,mdr_rate_cleaned!$F$2:$F$10,"&gt;="&amp;C3460)</f>
        <v>1</v>
      </c>
      <c r="G3460" s="40">
        <f>SUMIFS(mdr_rate_cleaned!$G$2:$G$10,mdr_rate_cleaned!$A$2:$A$10,B3460,mdr_rate_cleaned!$B$2:$B$10,"&lt;"&amp;C3460,mdr_rate_cleaned!$F$2:$F$10,"&gt;="&amp;C3460)</f>
        <v>3.0000000000000001E-3</v>
      </c>
      <c r="H3460" s="24">
        <f t="shared" si="270"/>
        <v>20.99</v>
      </c>
      <c r="I3460" s="23" t="str">
        <f t="shared" si="271"/>
        <v>Match</v>
      </c>
      <c r="J3460" s="23" t="str">
        <f t="shared" si="272"/>
        <v>Match</v>
      </c>
      <c r="K3460" s="24">
        <f t="shared" si="273"/>
        <v>3.78</v>
      </c>
      <c r="L3460" s="24">
        <f t="shared" si="274"/>
        <v>0</v>
      </c>
    </row>
    <row r="3461" spans="1:12" ht="15" customHeight="1" x14ac:dyDescent="0.3">
      <c r="A3461" s="23" t="s">
        <v>16543</v>
      </c>
      <c r="B3461" s="23" t="s">
        <v>75</v>
      </c>
      <c r="C3461" s="39">
        <v>4498</v>
      </c>
      <c r="D3461" s="24">
        <v>13.49</v>
      </c>
      <c r="E3461" s="24">
        <v>2.4300000000000002</v>
      </c>
      <c r="F3461" s="23">
        <f>COUNTIFS(mdr_rate_cleaned!$A$2:$A$10,B3461,mdr_rate_cleaned!$B$2:$B$10,"&lt;"&amp;C3461,mdr_rate_cleaned!$F$2:$F$10,"&gt;="&amp;C3461)</f>
        <v>1</v>
      </c>
      <c r="G3461" s="40">
        <f>SUMIFS(mdr_rate_cleaned!$G$2:$G$10,mdr_rate_cleaned!$A$2:$A$10,B3461,mdr_rate_cleaned!$B$2:$B$10,"&lt;"&amp;C3461,mdr_rate_cleaned!$F$2:$F$10,"&gt;="&amp;C3461)</f>
        <v>3.0000000000000001E-3</v>
      </c>
      <c r="H3461" s="24">
        <f t="shared" si="270"/>
        <v>13.49</v>
      </c>
      <c r="I3461" s="23" t="str">
        <f t="shared" si="271"/>
        <v>Match</v>
      </c>
      <c r="J3461" s="23" t="str">
        <f t="shared" si="272"/>
        <v>Match</v>
      </c>
      <c r="K3461" s="24">
        <f t="shared" si="273"/>
        <v>2.4300000000000002</v>
      </c>
      <c r="L3461" s="24">
        <f t="shared" si="274"/>
        <v>0</v>
      </c>
    </row>
    <row r="3462" spans="1:12" ht="15" customHeight="1" x14ac:dyDescent="0.3">
      <c r="A3462" s="23" t="s">
        <v>16545</v>
      </c>
      <c r="B3462" s="23" t="s">
        <v>79</v>
      </c>
      <c r="C3462" s="39">
        <v>8348</v>
      </c>
      <c r="D3462" s="24">
        <v>133.57</v>
      </c>
      <c r="E3462" s="24">
        <v>24.04</v>
      </c>
      <c r="F3462" s="23">
        <f>COUNTIFS(mdr_rate_cleaned!$A$2:$A$10,B3462,mdr_rate_cleaned!$B$2:$B$10,"&lt;"&amp;C3462,mdr_rate_cleaned!$F$2:$F$10,"&gt;="&amp;C3462)</f>
        <v>1</v>
      </c>
      <c r="G3462" s="40">
        <f>SUMIFS(mdr_rate_cleaned!$G$2:$G$10,mdr_rate_cleaned!$A$2:$A$10,B3462,mdr_rate_cleaned!$B$2:$B$10,"&lt;"&amp;C3462,mdr_rate_cleaned!$F$2:$F$10,"&gt;="&amp;C3462)</f>
        <v>1.6E-2</v>
      </c>
      <c r="H3462" s="24">
        <f t="shared" si="270"/>
        <v>133.57</v>
      </c>
      <c r="I3462" s="23" t="str">
        <f t="shared" si="271"/>
        <v>Match</v>
      </c>
      <c r="J3462" s="23" t="str">
        <f t="shared" si="272"/>
        <v>Match</v>
      </c>
      <c r="K3462" s="24">
        <f t="shared" si="273"/>
        <v>24.04</v>
      </c>
      <c r="L3462" s="24">
        <f t="shared" si="274"/>
        <v>0</v>
      </c>
    </row>
    <row r="3463" spans="1:12" ht="15" customHeight="1" x14ac:dyDescent="0.3">
      <c r="A3463" s="23" t="s">
        <v>16546</v>
      </c>
      <c r="B3463" s="23" t="s">
        <v>75</v>
      </c>
      <c r="C3463" s="39">
        <v>2798</v>
      </c>
      <c r="D3463" s="24">
        <v>8.39</v>
      </c>
      <c r="E3463" s="24">
        <v>1.51</v>
      </c>
      <c r="F3463" s="23">
        <f>COUNTIFS(mdr_rate_cleaned!$A$2:$A$10,B3463,mdr_rate_cleaned!$B$2:$B$10,"&lt;"&amp;C3463,mdr_rate_cleaned!$F$2:$F$10,"&gt;="&amp;C3463)</f>
        <v>1</v>
      </c>
      <c r="G3463" s="40">
        <f>SUMIFS(mdr_rate_cleaned!$G$2:$G$10,mdr_rate_cleaned!$A$2:$A$10,B3463,mdr_rate_cleaned!$B$2:$B$10,"&lt;"&amp;C3463,mdr_rate_cleaned!$F$2:$F$10,"&gt;="&amp;C3463)</f>
        <v>3.0000000000000001E-3</v>
      </c>
      <c r="H3463" s="24">
        <f t="shared" si="270"/>
        <v>8.39</v>
      </c>
      <c r="I3463" s="23" t="str">
        <f t="shared" si="271"/>
        <v>Match</v>
      </c>
      <c r="J3463" s="23" t="str">
        <f t="shared" si="272"/>
        <v>Match</v>
      </c>
      <c r="K3463" s="24">
        <f t="shared" si="273"/>
        <v>1.51</v>
      </c>
      <c r="L3463" s="24">
        <f t="shared" si="274"/>
        <v>0</v>
      </c>
    </row>
    <row r="3464" spans="1:12" ht="15" customHeight="1" x14ac:dyDescent="0.3">
      <c r="A3464" s="23" t="s">
        <v>16547</v>
      </c>
      <c r="B3464" s="23" t="s">
        <v>75</v>
      </c>
      <c r="C3464" s="39">
        <v>1499</v>
      </c>
      <c r="D3464" s="24">
        <v>0</v>
      </c>
      <c r="E3464" s="24">
        <v>0</v>
      </c>
      <c r="F3464" s="23">
        <f>COUNTIFS(mdr_rate_cleaned!$A$2:$A$10,B3464,mdr_rate_cleaned!$B$2:$B$10,"&lt;"&amp;C3464,mdr_rate_cleaned!$F$2:$F$10,"&gt;="&amp;C3464)</f>
        <v>1</v>
      </c>
      <c r="G3464" s="40">
        <f>SUMIFS(mdr_rate_cleaned!$G$2:$G$10,mdr_rate_cleaned!$A$2:$A$10,B3464,mdr_rate_cleaned!$B$2:$B$10,"&lt;"&amp;C3464,mdr_rate_cleaned!$F$2:$F$10,"&gt;="&amp;C3464)</f>
        <v>0</v>
      </c>
      <c r="H3464" s="24">
        <f t="shared" si="270"/>
        <v>0</v>
      </c>
      <c r="I3464" s="23" t="str">
        <f t="shared" si="271"/>
        <v>Match</v>
      </c>
      <c r="J3464" s="23" t="str">
        <f t="shared" si="272"/>
        <v>Match</v>
      </c>
      <c r="K3464" s="24">
        <f t="shared" si="273"/>
        <v>0</v>
      </c>
      <c r="L3464" s="24">
        <f t="shared" si="274"/>
        <v>0</v>
      </c>
    </row>
    <row r="3465" spans="1:12" ht="15" customHeight="1" x14ac:dyDescent="0.3">
      <c r="A3465" s="23" t="s">
        <v>16548</v>
      </c>
      <c r="B3465" s="23" t="s">
        <v>77</v>
      </c>
      <c r="C3465" s="39">
        <v>6798</v>
      </c>
      <c r="D3465" s="24">
        <v>115.57</v>
      </c>
      <c r="E3465" s="24">
        <v>20.8</v>
      </c>
      <c r="F3465" s="23">
        <f>COUNTIFS(mdr_rate_cleaned!$A$2:$A$10,B3465,mdr_rate_cleaned!$B$2:$B$10,"&lt;"&amp;C3465,mdr_rate_cleaned!$F$2:$F$10,"&gt;="&amp;C3465)</f>
        <v>1</v>
      </c>
      <c r="G3465" s="40">
        <f>SUMIFS(mdr_rate_cleaned!$G$2:$G$10,mdr_rate_cleaned!$A$2:$A$10,B3465,mdr_rate_cleaned!$B$2:$B$10,"&lt;"&amp;C3465,mdr_rate_cleaned!$F$2:$F$10,"&gt;="&amp;C3465)</f>
        <v>1.7000000000000001E-2</v>
      </c>
      <c r="H3465" s="24">
        <f t="shared" si="270"/>
        <v>115.57</v>
      </c>
      <c r="I3465" s="23" t="str">
        <f t="shared" si="271"/>
        <v>Match</v>
      </c>
      <c r="J3465" s="23" t="str">
        <f t="shared" si="272"/>
        <v>Match</v>
      </c>
      <c r="K3465" s="24">
        <f t="shared" si="273"/>
        <v>20.8</v>
      </c>
      <c r="L3465" s="24">
        <f t="shared" si="274"/>
        <v>0</v>
      </c>
    </row>
    <row r="3466" spans="1:12" ht="15" customHeight="1" x14ac:dyDescent="0.3">
      <c r="A3466" s="23" t="s">
        <v>16549</v>
      </c>
      <c r="B3466" s="23" t="s">
        <v>75</v>
      </c>
      <c r="C3466" s="39">
        <v>499</v>
      </c>
      <c r="D3466" s="24">
        <v>0</v>
      </c>
      <c r="E3466" s="24">
        <v>0</v>
      </c>
      <c r="F3466" s="23">
        <f>COUNTIFS(mdr_rate_cleaned!$A$2:$A$10,B3466,mdr_rate_cleaned!$B$2:$B$10,"&lt;"&amp;C3466,mdr_rate_cleaned!$F$2:$F$10,"&gt;="&amp;C3466)</f>
        <v>1</v>
      </c>
      <c r="G3466" s="40">
        <f>SUMIFS(mdr_rate_cleaned!$G$2:$G$10,mdr_rate_cleaned!$A$2:$A$10,B3466,mdr_rate_cleaned!$B$2:$B$10,"&lt;"&amp;C3466,mdr_rate_cleaned!$F$2:$F$10,"&gt;="&amp;C3466)</f>
        <v>0</v>
      </c>
      <c r="H3466" s="24">
        <f t="shared" si="270"/>
        <v>0</v>
      </c>
      <c r="I3466" s="23" t="str">
        <f t="shared" si="271"/>
        <v>Match</v>
      </c>
      <c r="J3466" s="23" t="str">
        <f t="shared" si="272"/>
        <v>Match</v>
      </c>
      <c r="K3466" s="24">
        <f t="shared" si="273"/>
        <v>0</v>
      </c>
      <c r="L3466" s="24">
        <f t="shared" si="274"/>
        <v>0</v>
      </c>
    </row>
    <row r="3467" spans="1:12" ht="15" customHeight="1" x14ac:dyDescent="0.3">
      <c r="A3467" s="23" t="s">
        <v>16550</v>
      </c>
      <c r="B3467" s="23" t="s">
        <v>79</v>
      </c>
      <c r="C3467" s="39">
        <v>6998</v>
      </c>
      <c r="D3467" s="24">
        <v>111.97</v>
      </c>
      <c r="E3467" s="24">
        <v>20.149999999999999</v>
      </c>
      <c r="F3467" s="23">
        <f>COUNTIFS(mdr_rate_cleaned!$A$2:$A$10,B3467,mdr_rate_cleaned!$B$2:$B$10,"&lt;"&amp;C3467,mdr_rate_cleaned!$F$2:$F$10,"&gt;="&amp;C3467)</f>
        <v>1</v>
      </c>
      <c r="G3467" s="40">
        <f>SUMIFS(mdr_rate_cleaned!$G$2:$G$10,mdr_rate_cleaned!$A$2:$A$10,B3467,mdr_rate_cleaned!$B$2:$B$10,"&lt;"&amp;C3467,mdr_rate_cleaned!$F$2:$F$10,"&gt;="&amp;C3467)</f>
        <v>1.6E-2</v>
      </c>
      <c r="H3467" s="24">
        <f t="shared" si="270"/>
        <v>111.97</v>
      </c>
      <c r="I3467" s="23" t="str">
        <f t="shared" si="271"/>
        <v>Match</v>
      </c>
      <c r="J3467" s="23" t="str">
        <f t="shared" si="272"/>
        <v>Match</v>
      </c>
      <c r="K3467" s="24">
        <f t="shared" si="273"/>
        <v>20.149999999999999</v>
      </c>
      <c r="L3467" s="24">
        <f t="shared" si="274"/>
        <v>0</v>
      </c>
    </row>
    <row r="3468" spans="1:12" ht="15" customHeight="1" x14ac:dyDescent="0.3">
      <c r="A3468" s="23" t="s">
        <v>16551</v>
      </c>
      <c r="B3468" s="23" t="s">
        <v>75</v>
      </c>
      <c r="C3468" s="39">
        <v>599</v>
      </c>
      <c r="D3468" s="24">
        <v>0</v>
      </c>
      <c r="E3468" s="24">
        <v>0</v>
      </c>
      <c r="F3468" s="23">
        <f>COUNTIFS(mdr_rate_cleaned!$A$2:$A$10,B3468,mdr_rate_cleaned!$B$2:$B$10,"&lt;"&amp;C3468,mdr_rate_cleaned!$F$2:$F$10,"&gt;="&amp;C3468)</f>
        <v>1</v>
      </c>
      <c r="G3468" s="40">
        <f>SUMIFS(mdr_rate_cleaned!$G$2:$G$10,mdr_rate_cleaned!$A$2:$A$10,B3468,mdr_rate_cleaned!$B$2:$B$10,"&lt;"&amp;C3468,mdr_rate_cleaned!$F$2:$F$10,"&gt;="&amp;C3468)</f>
        <v>0</v>
      </c>
      <c r="H3468" s="24">
        <f t="shared" si="270"/>
        <v>0</v>
      </c>
      <c r="I3468" s="23" t="str">
        <f t="shared" si="271"/>
        <v>Match</v>
      </c>
      <c r="J3468" s="23" t="str">
        <f t="shared" si="272"/>
        <v>Match</v>
      </c>
      <c r="K3468" s="24">
        <f t="shared" si="273"/>
        <v>0</v>
      </c>
      <c r="L3468" s="24">
        <f t="shared" si="274"/>
        <v>0</v>
      </c>
    </row>
    <row r="3469" spans="1:12" ht="15" customHeight="1" x14ac:dyDescent="0.3">
      <c r="A3469" s="23" t="s">
        <v>16552</v>
      </c>
      <c r="B3469" s="23" t="s">
        <v>79</v>
      </c>
      <c r="C3469" s="39">
        <v>3598</v>
      </c>
      <c r="D3469" s="24">
        <v>57.57</v>
      </c>
      <c r="E3469" s="24">
        <v>10.36</v>
      </c>
      <c r="F3469" s="23">
        <f>COUNTIFS(mdr_rate_cleaned!$A$2:$A$10,B3469,mdr_rate_cleaned!$B$2:$B$10,"&lt;"&amp;C3469,mdr_rate_cleaned!$F$2:$F$10,"&gt;="&amp;C3469)</f>
        <v>1</v>
      </c>
      <c r="G3469" s="40">
        <f>SUMIFS(mdr_rate_cleaned!$G$2:$G$10,mdr_rate_cleaned!$A$2:$A$10,B3469,mdr_rate_cleaned!$B$2:$B$10,"&lt;"&amp;C3469,mdr_rate_cleaned!$F$2:$F$10,"&gt;="&amp;C3469)</f>
        <v>1.6E-2</v>
      </c>
      <c r="H3469" s="24">
        <f t="shared" si="270"/>
        <v>57.57</v>
      </c>
      <c r="I3469" s="23" t="str">
        <f t="shared" si="271"/>
        <v>Match</v>
      </c>
      <c r="J3469" s="23" t="str">
        <f t="shared" si="272"/>
        <v>Match</v>
      </c>
      <c r="K3469" s="24">
        <f t="shared" si="273"/>
        <v>10.36</v>
      </c>
      <c r="L3469" s="24">
        <f t="shared" si="274"/>
        <v>0</v>
      </c>
    </row>
    <row r="3470" spans="1:12" ht="15" customHeight="1" x14ac:dyDescent="0.3">
      <c r="A3470" s="23" t="s">
        <v>16553</v>
      </c>
      <c r="B3470" s="23" t="s">
        <v>75</v>
      </c>
      <c r="C3470" s="39">
        <v>2098</v>
      </c>
      <c r="D3470" s="24">
        <v>6.29</v>
      </c>
      <c r="E3470" s="24">
        <v>1.1299999999999999</v>
      </c>
      <c r="F3470" s="23">
        <f>COUNTIFS(mdr_rate_cleaned!$A$2:$A$10,B3470,mdr_rate_cleaned!$B$2:$B$10,"&lt;"&amp;C3470,mdr_rate_cleaned!$F$2:$F$10,"&gt;="&amp;C3470)</f>
        <v>1</v>
      </c>
      <c r="G3470" s="40">
        <f>SUMIFS(mdr_rate_cleaned!$G$2:$G$10,mdr_rate_cleaned!$A$2:$A$10,B3470,mdr_rate_cleaned!$B$2:$B$10,"&lt;"&amp;C3470,mdr_rate_cleaned!$F$2:$F$10,"&gt;="&amp;C3470)</f>
        <v>3.0000000000000001E-3</v>
      </c>
      <c r="H3470" s="24">
        <f t="shared" si="270"/>
        <v>6.29</v>
      </c>
      <c r="I3470" s="23" t="str">
        <f t="shared" si="271"/>
        <v>Match</v>
      </c>
      <c r="J3470" s="23" t="str">
        <f t="shared" si="272"/>
        <v>Match</v>
      </c>
      <c r="K3470" s="24">
        <f t="shared" si="273"/>
        <v>1.1299999999999999</v>
      </c>
      <c r="L3470" s="24">
        <f t="shared" si="274"/>
        <v>0</v>
      </c>
    </row>
    <row r="3471" spans="1:12" ht="15" customHeight="1" x14ac:dyDescent="0.3">
      <c r="A3471" s="23" t="s">
        <v>16554</v>
      </c>
      <c r="B3471" s="23" t="s">
        <v>75</v>
      </c>
      <c r="C3471" s="39">
        <v>3498</v>
      </c>
      <c r="D3471" s="24">
        <v>10.49</v>
      </c>
      <c r="E3471" s="24">
        <v>1.89</v>
      </c>
      <c r="F3471" s="23">
        <f>COUNTIFS(mdr_rate_cleaned!$A$2:$A$10,B3471,mdr_rate_cleaned!$B$2:$B$10,"&lt;"&amp;C3471,mdr_rate_cleaned!$F$2:$F$10,"&gt;="&amp;C3471)</f>
        <v>1</v>
      </c>
      <c r="G3471" s="40">
        <f>SUMIFS(mdr_rate_cleaned!$G$2:$G$10,mdr_rate_cleaned!$A$2:$A$10,B3471,mdr_rate_cleaned!$B$2:$B$10,"&lt;"&amp;C3471,mdr_rate_cleaned!$F$2:$F$10,"&gt;="&amp;C3471)</f>
        <v>3.0000000000000001E-3</v>
      </c>
      <c r="H3471" s="24">
        <f t="shared" si="270"/>
        <v>10.49</v>
      </c>
      <c r="I3471" s="23" t="str">
        <f t="shared" si="271"/>
        <v>Match</v>
      </c>
      <c r="J3471" s="23" t="str">
        <f t="shared" si="272"/>
        <v>Match</v>
      </c>
      <c r="K3471" s="24">
        <f t="shared" si="273"/>
        <v>1.89</v>
      </c>
      <c r="L3471" s="24">
        <f t="shared" si="274"/>
        <v>0</v>
      </c>
    </row>
    <row r="3472" spans="1:12" ht="15" customHeight="1" x14ac:dyDescent="0.3">
      <c r="A3472" s="23" t="s">
        <v>16555</v>
      </c>
      <c r="B3472" s="23" t="s">
        <v>81</v>
      </c>
      <c r="C3472" s="39">
        <v>7999</v>
      </c>
      <c r="D3472" s="24">
        <v>95.99</v>
      </c>
      <c r="E3472" s="24">
        <v>17.28</v>
      </c>
      <c r="F3472" s="23">
        <f>COUNTIFS(mdr_rate_cleaned!$A$2:$A$10,B3472,mdr_rate_cleaned!$B$2:$B$10,"&lt;"&amp;C3472,mdr_rate_cleaned!$F$2:$F$10,"&gt;="&amp;C3472)</f>
        <v>1</v>
      </c>
      <c r="G3472" s="40">
        <f>SUMIFS(mdr_rate_cleaned!$G$2:$G$10,mdr_rate_cleaned!$A$2:$A$10,B3472,mdr_rate_cleaned!$B$2:$B$10,"&lt;"&amp;C3472,mdr_rate_cleaned!$F$2:$F$10,"&gt;="&amp;C3472)</f>
        <v>1.2E-2</v>
      </c>
      <c r="H3472" s="24">
        <f t="shared" si="270"/>
        <v>95.99</v>
      </c>
      <c r="I3472" s="23" t="str">
        <f t="shared" si="271"/>
        <v>Match</v>
      </c>
      <c r="J3472" s="23" t="str">
        <f t="shared" si="272"/>
        <v>Match</v>
      </c>
      <c r="K3472" s="24">
        <f t="shared" si="273"/>
        <v>17.28</v>
      </c>
      <c r="L3472" s="24">
        <f t="shared" si="274"/>
        <v>0</v>
      </c>
    </row>
    <row r="3473" spans="1:12" ht="15" customHeight="1" x14ac:dyDescent="0.3">
      <c r="A3473" s="23" t="s">
        <v>16556</v>
      </c>
      <c r="B3473" s="23" t="s">
        <v>75</v>
      </c>
      <c r="C3473" s="39">
        <v>349</v>
      </c>
      <c r="D3473" s="24">
        <v>0</v>
      </c>
      <c r="E3473" s="24">
        <v>0</v>
      </c>
      <c r="F3473" s="23">
        <f>COUNTIFS(mdr_rate_cleaned!$A$2:$A$10,B3473,mdr_rate_cleaned!$B$2:$B$10,"&lt;"&amp;C3473,mdr_rate_cleaned!$F$2:$F$10,"&gt;="&amp;C3473)</f>
        <v>1</v>
      </c>
      <c r="G3473" s="40">
        <f>SUMIFS(mdr_rate_cleaned!$G$2:$G$10,mdr_rate_cleaned!$A$2:$A$10,B3473,mdr_rate_cleaned!$B$2:$B$10,"&lt;"&amp;C3473,mdr_rate_cleaned!$F$2:$F$10,"&gt;="&amp;C3473)</f>
        <v>0</v>
      </c>
      <c r="H3473" s="24">
        <f t="shared" si="270"/>
        <v>0</v>
      </c>
      <c r="I3473" s="23" t="str">
        <f t="shared" si="271"/>
        <v>Match</v>
      </c>
      <c r="J3473" s="23" t="str">
        <f t="shared" si="272"/>
        <v>Match</v>
      </c>
      <c r="K3473" s="24">
        <f t="shared" si="273"/>
        <v>0</v>
      </c>
      <c r="L3473" s="24">
        <f t="shared" si="274"/>
        <v>0</v>
      </c>
    </row>
    <row r="3474" spans="1:12" ht="15" customHeight="1" x14ac:dyDescent="0.3">
      <c r="A3474" s="23" t="s">
        <v>16557</v>
      </c>
      <c r="B3474" s="23" t="s">
        <v>75</v>
      </c>
      <c r="C3474" s="39">
        <v>1499</v>
      </c>
      <c r="D3474" s="24">
        <v>0</v>
      </c>
      <c r="E3474" s="24">
        <v>0</v>
      </c>
      <c r="F3474" s="23">
        <f>COUNTIFS(mdr_rate_cleaned!$A$2:$A$10,B3474,mdr_rate_cleaned!$B$2:$B$10,"&lt;"&amp;C3474,mdr_rate_cleaned!$F$2:$F$10,"&gt;="&amp;C3474)</f>
        <v>1</v>
      </c>
      <c r="G3474" s="40">
        <f>SUMIFS(mdr_rate_cleaned!$G$2:$G$10,mdr_rate_cleaned!$A$2:$A$10,B3474,mdr_rate_cleaned!$B$2:$B$10,"&lt;"&amp;C3474,mdr_rate_cleaned!$F$2:$F$10,"&gt;="&amp;C3474)</f>
        <v>0</v>
      </c>
      <c r="H3474" s="24">
        <f t="shared" si="270"/>
        <v>0</v>
      </c>
      <c r="I3474" s="23" t="str">
        <f t="shared" si="271"/>
        <v>Match</v>
      </c>
      <c r="J3474" s="23" t="str">
        <f t="shared" si="272"/>
        <v>Match</v>
      </c>
      <c r="K3474" s="24">
        <f t="shared" si="273"/>
        <v>0</v>
      </c>
      <c r="L3474" s="24">
        <f t="shared" si="274"/>
        <v>0</v>
      </c>
    </row>
    <row r="3475" spans="1:12" ht="15" customHeight="1" x14ac:dyDescent="0.3">
      <c r="A3475" s="23" t="s">
        <v>16558</v>
      </c>
      <c r="B3475" s="23" t="s">
        <v>79</v>
      </c>
      <c r="C3475" s="39">
        <v>4498</v>
      </c>
      <c r="D3475" s="24">
        <v>71.97</v>
      </c>
      <c r="E3475" s="24">
        <v>12.95</v>
      </c>
      <c r="F3475" s="23">
        <f>COUNTIFS(mdr_rate_cleaned!$A$2:$A$10,B3475,mdr_rate_cleaned!$B$2:$B$10,"&lt;"&amp;C3475,mdr_rate_cleaned!$F$2:$F$10,"&gt;="&amp;C3475)</f>
        <v>1</v>
      </c>
      <c r="G3475" s="40">
        <f>SUMIFS(mdr_rate_cleaned!$G$2:$G$10,mdr_rate_cleaned!$A$2:$A$10,B3475,mdr_rate_cleaned!$B$2:$B$10,"&lt;"&amp;C3475,mdr_rate_cleaned!$F$2:$F$10,"&gt;="&amp;C3475)</f>
        <v>1.6E-2</v>
      </c>
      <c r="H3475" s="24">
        <f t="shared" si="270"/>
        <v>71.97</v>
      </c>
      <c r="I3475" s="23" t="str">
        <f t="shared" si="271"/>
        <v>Match</v>
      </c>
      <c r="J3475" s="23" t="str">
        <f t="shared" si="272"/>
        <v>Match</v>
      </c>
      <c r="K3475" s="24">
        <f t="shared" si="273"/>
        <v>12.95</v>
      </c>
      <c r="L3475" s="24">
        <f t="shared" si="274"/>
        <v>0</v>
      </c>
    </row>
    <row r="3476" spans="1:12" ht="15" customHeight="1" x14ac:dyDescent="0.3">
      <c r="A3476" s="23" t="s">
        <v>16560</v>
      </c>
      <c r="B3476" s="23" t="s">
        <v>81</v>
      </c>
      <c r="C3476" s="39">
        <v>4998</v>
      </c>
      <c r="D3476" s="24">
        <v>59.98</v>
      </c>
      <c r="E3476" s="24">
        <v>10.8</v>
      </c>
      <c r="F3476" s="23">
        <f>COUNTIFS(mdr_rate_cleaned!$A$2:$A$10,B3476,mdr_rate_cleaned!$B$2:$B$10,"&lt;"&amp;C3476,mdr_rate_cleaned!$F$2:$F$10,"&gt;="&amp;C3476)</f>
        <v>1</v>
      </c>
      <c r="G3476" s="40">
        <f>SUMIFS(mdr_rate_cleaned!$G$2:$G$10,mdr_rate_cleaned!$A$2:$A$10,B3476,mdr_rate_cleaned!$B$2:$B$10,"&lt;"&amp;C3476,mdr_rate_cleaned!$F$2:$F$10,"&gt;="&amp;C3476)</f>
        <v>1.2E-2</v>
      </c>
      <c r="H3476" s="24">
        <f t="shared" si="270"/>
        <v>59.98</v>
      </c>
      <c r="I3476" s="23" t="str">
        <f t="shared" si="271"/>
        <v>Match</v>
      </c>
      <c r="J3476" s="23" t="str">
        <f t="shared" si="272"/>
        <v>Match</v>
      </c>
      <c r="K3476" s="24">
        <f t="shared" si="273"/>
        <v>10.8</v>
      </c>
      <c r="L3476" s="24">
        <f t="shared" si="274"/>
        <v>0</v>
      </c>
    </row>
    <row r="3477" spans="1:12" ht="15" customHeight="1" x14ac:dyDescent="0.3">
      <c r="A3477" s="23" t="s">
        <v>16561</v>
      </c>
      <c r="B3477" s="23" t="s">
        <v>79</v>
      </c>
      <c r="C3477" s="39">
        <v>3098</v>
      </c>
      <c r="D3477" s="24">
        <v>49.57</v>
      </c>
      <c r="E3477" s="24">
        <v>8.92</v>
      </c>
      <c r="F3477" s="23">
        <f>COUNTIFS(mdr_rate_cleaned!$A$2:$A$10,B3477,mdr_rate_cleaned!$B$2:$B$10,"&lt;"&amp;C3477,mdr_rate_cleaned!$F$2:$F$10,"&gt;="&amp;C3477)</f>
        <v>1</v>
      </c>
      <c r="G3477" s="40">
        <f>SUMIFS(mdr_rate_cleaned!$G$2:$G$10,mdr_rate_cleaned!$A$2:$A$10,B3477,mdr_rate_cleaned!$B$2:$B$10,"&lt;"&amp;C3477,mdr_rate_cleaned!$F$2:$F$10,"&gt;="&amp;C3477)</f>
        <v>1.6E-2</v>
      </c>
      <c r="H3477" s="24">
        <f t="shared" si="270"/>
        <v>49.57</v>
      </c>
      <c r="I3477" s="23" t="str">
        <f t="shared" si="271"/>
        <v>Match</v>
      </c>
      <c r="J3477" s="23" t="str">
        <f t="shared" si="272"/>
        <v>Match</v>
      </c>
      <c r="K3477" s="24">
        <f t="shared" si="273"/>
        <v>8.92</v>
      </c>
      <c r="L3477" s="24">
        <f t="shared" si="274"/>
        <v>0</v>
      </c>
    </row>
    <row r="3478" spans="1:12" ht="15" customHeight="1" x14ac:dyDescent="0.3">
      <c r="A3478" s="23" t="s">
        <v>16562</v>
      </c>
      <c r="B3478" s="23" t="s">
        <v>75</v>
      </c>
      <c r="C3478" s="39">
        <v>7097</v>
      </c>
      <c r="D3478" s="24">
        <v>21.29</v>
      </c>
      <c r="E3478" s="24">
        <v>3.83</v>
      </c>
      <c r="F3478" s="23">
        <f>COUNTIFS(mdr_rate_cleaned!$A$2:$A$10,B3478,mdr_rate_cleaned!$B$2:$B$10,"&lt;"&amp;C3478,mdr_rate_cleaned!$F$2:$F$10,"&gt;="&amp;C3478)</f>
        <v>1</v>
      </c>
      <c r="G3478" s="40">
        <f>SUMIFS(mdr_rate_cleaned!$G$2:$G$10,mdr_rate_cleaned!$A$2:$A$10,B3478,mdr_rate_cleaned!$B$2:$B$10,"&lt;"&amp;C3478,mdr_rate_cleaned!$F$2:$F$10,"&gt;="&amp;C3478)</f>
        <v>3.0000000000000001E-3</v>
      </c>
      <c r="H3478" s="24">
        <f t="shared" si="270"/>
        <v>21.29</v>
      </c>
      <c r="I3478" s="23" t="str">
        <f t="shared" si="271"/>
        <v>Match</v>
      </c>
      <c r="J3478" s="23" t="str">
        <f t="shared" si="272"/>
        <v>Match</v>
      </c>
      <c r="K3478" s="24">
        <f t="shared" si="273"/>
        <v>3.83</v>
      </c>
      <c r="L3478" s="24">
        <f t="shared" si="274"/>
        <v>0</v>
      </c>
    </row>
    <row r="3479" spans="1:12" ht="15" customHeight="1" x14ac:dyDescent="0.3">
      <c r="A3479" s="23" t="s">
        <v>16563</v>
      </c>
      <c r="B3479" s="23" t="s">
        <v>75</v>
      </c>
      <c r="C3479" s="39">
        <v>7999</v>
      </c>
      <c r="D3479" s="24">
        <v>24</v>
      </c>
      <c r="E3479" s="24">
        <v>4.32</v>
      </c>
      <c r="F3479" s="23">
        <f>COUNTIFS(mdr_rate_cleaned!$A$2:$A$10,B3479,mdr_rate_cleaned!$B$2:$B$10,"&lt;"&amp;C3479,mdr_rate_cleaned!$F$2:$F$10,"&gt;="&amp;C3479)</f>
        <v>1</v>
      </c>
      <c r="G3479" s="40">
        <f>SUMIFS(mdr_rate_cleaned!$G$2:$G$10,mdr_rate_cleaned!$A$2:$A$10,B3479,mdr_rate_cleaned!$B$2:$B$10,"&lt;"&amp;C3479,mdr_rate_cleaned!$F$2:$F$10,"&gt;="&amp;C3479)</f>
        <v>3.0000000000000001E-3</v>
      </c>
      <c r="H3479" s="24">
        <f t="shared" si="270"/>
        <v>24</v>
      </c>
      <c r="I3479" s="23" t="str">
        <f t="shared" si="271"/>
        <v>Match</v>
      </c>
      <c r="J3479" s="23" t="str">
        <f t="shared" si="272"/>
        <v>Match</v>
      </c>
      <c r="K3479" s="24">
        <f t="shared" si="273"/>
        <v>4.32</v>
      </c>
      <c r="L3479" s="24">
        <f t="shared" si="274"/>
        <v>0</v>
      </c>
    </row>
    <row r="3480" spans="1:12" ht="15" customHeight="1" x14ac:dyDescent="0.3">
      <c r="A3480" s="23" t="s">
        <v>16564</v>
      </c>
      <c r="B3480" s="23" t="s">
        <v>75</v>
      </c>
      <c r="C3480" s="39">
        <v>2298</v>
      </c>
      <c r="D3480" s="24">
        <v>6.89</v>
      </c>
      <c r="E3480" s="24">
        <v>1.24</v>
      </c>
      <c r="F3480" s="23">
        <f>COUNTIFS(mdr_rate_cleaned!$A$2:$A$10,B3480,mdr_rate_cleaned!$B$2:$B$10,"&lt;"&amp;C3480,mdr_rate_cleaned!$F$2:$F$10,"&gt;="&amp;C3480)</f>
        <v>1</v>
      </c>
      <c r="G3480" s="40">
        <f>SUMIFS(mdr_rate_cleaned!$G$2:$G$10,mdr_rate_cleaned!$A$2:$A$10,B3480,mdr_rate_cleaned!$B$2:$B$10,"&lt;"&amp;C3480,mdr_rate_cleaned!$F$2:$F$10,"&gt;="&amp;C3480)</f>
        <v>3.0000000000000001E-3</v>
      </c>
      <c r="H3480" s="24">
        <f t="shared" si="270"/>
        <v>6.89</v>
      </c>
      <c r="I3480" s="23" t="str">
        <f t="shared" si="271"/>
        <v>Match</v>
      </c>
      <c r="J3480" s="23" t="str">
        <f t="shared" si="272"/>
        <v>Match</v>
      </c>
      <c r="K3480" s="24">
        <f t="shared" si="273"/>
        <v>1.24</v>
      </c>
      <c r="L3480" s="24">
        <f t="shared" si="274"/>
        <v>0</v>
      </c>
    </row>
    <row r="3481" spans="1:12" ht="15" customHeight="1" x14ac:dyDescent="0.3">
      <c r="A3481" s="23" t="s">
        <v>16565</v>
      </c>
      <c r="B3481" s="23" t="s">
        <v>75</v>
      </c>
      <c r="C3481" s="39">
        <v>2999</v>
      </c>
      <c r="D3481" s="24">
        <v>9</v>
      </c>
      <c r="E3481" s="24">
        <v>1.62</v>
      </c>
      <c r="F3481" s="23">
        <f>COUNTIFS(mdr_rate_cleaned!$A$2:$A$10,B3481,mdr_rate_cleaned!$B$2:$B$10,"&lt;"&amp;C3481,mdr_rate_cleaned!$F$2:$F$10,"&gt;="&amp;C3481)</f>
        <v>1</v>
      </c>
      <c r="G3481" s="40">
        <f>SUMIFS(mdr_rate_cleaned!$G$2:$G$10,mdr_rate_cleaned!$A$2:$A$10,B3481,mdr_rate_cleaned!$B$2:$B$10,"&lt;"&amp;C3481,mdr_rate_cleaned!$F$2:$F$10,"&gt;="&amp;C3481)</f>
        <v>3.0000000000000001E-3</v>
      </c>
      <c r="H3481" s="24">
        <f t="shared" si="270"/>
        <v>9</v>
      </c>
      <c r="I3481" s="23" t="str">
        <f t="shared" si="271"/>
        <v>Match</v>
      </c>
      <c r="J3481" s="23" t="str">
        <f t="shared" si="272"/>
        <v>Match</v>
      </c>
      <c r="K3481" s="24">
        <f t="shared" si="273"/>
        <v>1.62</v>
      </c>
      <c r="L3481" s="24">
        <f t="shared" si="274"/>
        <v>0</v>
      </c>
    </row>
    <row r="3482" spans="1:12" ht="15" customHeight="1" x14ac:dyDescent="0.3">
      <c r="A3482" s="23" t="s">
        <v>16566</v>
      </c>
      <c r="B3482" s="23" t="s">
        <v>75</v>
      </c>
      <c r="C3482" s="39">
        <v>599</v>
      </c>
      <c r="D3482" s="24">
        <v>0</v>
      </c>
      <c r="E3482" s="24">
        <v>0</v>
      </c>
      <c r="F3482" s="23">
        <f>COUNTIFS(mdr_rate_cleaned!$A$2:$A$10,B3482,mdr_rate_cleaned!$B$2:$B$10,"&lt;"&amp;C3482,mdr_rate_cleaned!$F$2:$F$10,"&gt;="&amp;C3482)</f>
        <v>1</v>
      </c>
      <c r="G3482" s="40">
        <f>SUMIFS(mdr_rate_cleaned!$G$2:$G$10,mdr_rate_cleaned!$A$2:$A$10,B3482,mdr_rate_cleaned!$B$2:$B$10,"&lt;"&amp;C3482,mdr_rate_cleaned!$F$2:$F$10,"&gt;="&amp;C3482)</f>
        <v>0</v>
      </c>
      <c r="H3482" s="24">
        <f t="shared" si="270"/>
        <v>0</v>
      </c>
      <c r="I3482" s="23" t="str">
        <f t="shared" si="271"/>
        <v>Match</v>
      </c>
      <c r="J3482" s="23" t="str">
        <f t="shared" si="272"/>
        <v>Match</v>
      </c>
      <c r="K3482" s="24">
        <f t="shared" si="273"/>
        <v>0</v>
      </c>
      <c r="L3482" s="24">
        <f t="shared" si="274"/>
        <v>0</v>
      </c>
    </row>
    <row r="3483" spans="1:12" ht="15" customHeight="1" x14ac:dyDescent="0.3">
      <c r="A3483" s="23" t="s">
        <v>16567</v>
      </c>
      <c r="B3483" s="23" t="s">
        <v>81</v>
      </c>
      <c r="C3483" s="39">
        <v>349</v>
      </c>
      <c r="D3483" s="24">
        <v>5.24</v>
      </c>
      <c r="E3483" s="24">
        <v>0.94</v>
      </c>
      <c r="F3483" s="23">
        <f>COUNTIFS(mdr_rate_cleaned!$A$2:$A$10,B3483,mdr_rate_cleaned!$B$2:$B$10,"&lt;"&amp;C3483,mdr_rate_cleaned!$F$2:$F$10,"&gt;="&amp;C3483)</f>
        <v>1</v>
      </c>
      <c r="G3483" s="40">
        <f>SUMIFS(mdr_rate_cleaned!$G$2:$G$10,mdr_rate_cleaned!$A$2:$A$10,B3483,mdr_rate_cleaned!$B$2:$B$10,"&lt;"&amp;C3483,mdr_rate_cleaned!$F$2:$F$10,"&gt;="&amp;C3483)</f>
        <v>1.4999999999999999E-2</v>
      </c>
      <c r="H3483" s="24">
        <f t="shared" si="270"/>
        <v>5.24</v>
      </c>
      <c r="I3483" s="23" t="str">
        <f t="shared" si="271"/>
        <v>Match</v>
      </c>
      <c r="J3483" s="23" t="str">
        <f t="shared" si="272"/>
        <v>Match</v>
      </c>
      <c r="K3483" s="24">
        <f t="shared" si="273"/>
        <v>0.94</v>
      </c>
      <c r="L3483" s="24">
        <f t="shared" si="274"/>
        <v>0</v>
      </c>
    </row>
    <row r="3484" spans="1:12" ht="15" customHeight="1" x14ac:dyDescent="0.3">
      <c r="A3484" s="23" t="s">
        <v>16568</v>
      </c>
      <c r="B3484" s="23" t="s">
        <v>75</v>
      </c>
      <c r="C3484" s="39">
        <v>9297</v>
      </c>
      <c r="D3484" s="24">
        <v>27.89</v>
      </c>
      <c r="E3484" s="24">
        <v>5.0199999999999996</v>
      </c>
      <c r="F3484" s="23">
        <f>COUNTIFS(mdr_rate_cleaned!$A$2:$A$10,B3484,mdr_rate_cleaned!$B$2:$B$10,"&lt;"&amp;C3484,mdr_rate_cleaned!$F$2:$F$10,"&gt;="&amp;C3484)</f>
        <v>1</v>
      </c>
      <c r="G3484" s="40">
        <f>SUMIFS(mdr_rate_cleaned!$G$2:$G$10,mdr_rate_cleaned!$A$2:$A$10,B3484,mdr_rate_cleaned!$B$2:$B$10,"&lt;"&amp;C3484,mdr_rate_cleaned!$F$2:$F$10,"&gt;="&amp;C3484)</f>
        <v>3.0000000000000001E-3</v>
      </c>
      <c r="H3484" s="24">
        <f t="shared" si="270"/>
        <v>27.89</v>
      </c>
      <c r="I3484" s="23" t="str">
        <f t="shared" si="271"/>
        <v>Match</v>
      </c>
      <c r="J3484" s="23" t="str">
        <f t="shared" si="272"/>
        <v>Match</v>
      </c>
      <c r="K3484" s="24">
        <f t="shared" si="273"/>
        <v>5.0199999999999996</v>
      </c>
      <c r="L3484" s="24">
        <f t="shared" si="274"/>
        <v>0</v>
      </c>
    </row>
    <row r="3485" spans="1:12" ht="15" customHeight="1" x14ac:dyDescent="0.3">
      <c r="A3485" s="23" t="s">
        <v>16580</v>
      </c>
      <c r="B3485" s="23" t="s">
        <v>75</v>
      </c>
      <c r="C3485" s="39">
        <v>5797</v>
      </c>
      <c r="D3485" s="24">
        <v>17.39</v>
      </c>
      <c r="E3485" s="24">
        <v>3.13</v>
      </c>
      <c r="F3485" s="23">
        <f>COUNTIFS(mdr_rate_cleaned!$A$2:$A$10,B3485,mdr_rate_cleaned!$B$2:$B$10,"&lt;"&amp;C3485,mdr_rate_cleaned!$F$2:$F$10,"&gt;="&amp;C3485)</f>
        <v>1</v>
      </c>
      <c r="G3485" s="40">
        <f>SUMIFS(mdr_rate_cleaned!$G$2:$G$10,mdr_rate_cleaned!$A$2:$A$10,B3485,mdr_rate_cleaned!$B$2:$B$10,"&lt;"&amp;C3485,mdr_rate_cleaned!$F$2:$F$10,"&gt;="&amp;C3485)</f>
        <v>3.0000000000000001E-3</v>
      </c>
      <c r="H3485" s="24">
        <f t="shared" si="270"/>
        <v>17.39</v>
      </c>
      <c r="I3485" s="23" t="str">
        <f t="shared" si="271"/>
        <v>Match</v>
      </c>
      <c r="J3485" s="23" t="str">
        <f t="shared" si="272"/>
        <v>Match</v>
      </c>
      <c r="K3485" s="24">
        <f t="shared" si="273"/>
        <v>3.13</v>
      </c>
      <c r="L3485" s="24">
        <f t="shared" si="274"/>
        <v>0</v>
      </c>
    </row>
    <row r="3486" spans="1:12" ht="15" customHeight="1" x14ac:dyDescent="0.3">
      <c r="A3486" s="23" t="s">
        <v>16581</v>
      </c>
      <c r="B3486" s="23" t="s">
        <v>75</v>
      </c>
      <c r="C3486" s="39">
        <v>2098</v>
      </c>
      <c r="D3486" s="24">
        <v>6.29</v>
      </c>
      <c r="E3486" s="24">
        <v>1.1299999999999999</v>
      </c>
      <c r="F3486" s="23">
        <f>COUNTIFS(mdr_rate_cleaned!$A$2:$A$10,B3486,mdr_rate_cleaned!$B$2:$B$10,"&lt;"&amp;C3486,mdr_rate_cleaned!$F$2:$F$10,"&gt;="&amp;C3486)</f>
        <v>1</v>
      </c>
      <c r="G3486" s="40">
        <f>SUMIFS(mdr_rate_cleaned!$G$2:$G$10,mdr_rate_cleaned!$A$2:$A$10,B3486,mdr_rate_cleaned!$B$2:$B$10,"&lt;"&amp;C3486,mdr_rate_cleaned!$F$2:$F$10,"&gt;="&amp;C3486)</f>
        <v>3.0000000000000001E-3</v>
      </c>
      <c r="H3486" s="24">
        <f t="shared" si="270"/>
        <v>6.29</v>
      </c>
      <c r="I3486" s="23" t="str">
        <f t="shared" si="271"/>
        <v>Match</v>
      </c>
      <c r="J3486" s="23" t="str">
        <f t="shared" si="272"/>
        <v>Match</v>
      </c>
      <c r="K3486" s="24">
        <f t="shared" si="273"/>
        <v>1.1299999999999999</v>
      </c>
      <c r="L3486" s="24">
        <f t="shared" si="274"/>
        <v>0</v>
      </c>
    </row>
    <row r="3487" spans="1:12" ht="15" customHeight="1" x14ac:dyDescent="0.3">
      <c r="A3487" s="23" t="s">
        <v>16582</v>
      </c>
      <c r="B3487" s="23" t="s">
        <v>81</v>
      </c>
      <c r="C3487" s="39">
        <v>6498</v>
      </c>
      <c r="D3487" s="24">
        <v>77.98</v>
      </c>
      <c r="E3487" s="24">
        <v>14.04</v>
      </c>
      <c r="F3487" s="23">
        <f>COUNTIFS(mdr_rate_cleaned!$A$2:$A$10,B3487,mdr_rate_cleaned!$B$2:$B$10,"&lt;"&amp;C3487,mdr_rate_cleaned!$F$2:$F$10,"&gt;="&amp;C3487)</f>
        <v>1</v>
      </c>
      <c r="G3487" s="40">
        <f>SUMIFS(mdr_rate_cleaned!$G$2:$G$10,mdr_rate_cleaned!$A$2:$A$10,B3487,mdr_rate_cleaned!$B$2:$B$10,"&lt;"&amp;C3487,mdr_rate_cleaned!$F$2:$F$10,"&gt;="&amp;C3487)</f>
        <v>1.2E-2</v>
      </c>
      <c r="H3487" s="24">
        <f t="shared" si="270"/>
        <v>77.98</v>
      </c>
      <c r="I3487" s="23" t="str">
        <f t="shared" si="271"/>
        <v>Match</v>
      </c>
      <c r="J3487" s="23" t="str">
        <f t="shared" si="272"/>
        <v>Match</v>
      </c>
      <c r="K3487" s="24">
        <f t="shared" si="273"/>
        <v>14.04</v>
      </c>
      <c r="L3487" s="24">
        <f t="shared" si="274"/>
        <v>0</v>
      </c>
    </row>
    <row r="3488" spans="1:12" ht="15" customHeight="1" x14ac:dyDescent="0.3">
      <c r="A3488" s="23" t="s">
        <v>16583</v>
      </c>
      <c r="B3488" s="23" t="s">
        <v>77</v>
      </c>
      <c r="C3488" s="39">
        <v>3499</v>
      </c>
      <c r="D3488" s="24">
        <v>59.48</v>
      </c>
      <c r="E3488" s="24">
        <v>10.71</v>
      </c>
      <c r="F3488" s="23">
        <f>COUNTIFS(mdr_rate_cleaned!$A$2:$A$10,B3488,mdr_rate_cleaned!$B$2:$B$10,"&lt;"&amp;C3488,mdr_rate_cleaned!$F$2:$F$10,"&gt;="&amp;C3488)</f>
        <v>1</v>
      </c>
      <c r="G3488" s="40">
        <f>SUMIFS(mdr_rate_cleaned!$G$2:$G$10,mdr_rate_cleaned!$A$2:$A$10,B3488,mdr_rate_cleaned!$B$2:$B$10,"&lt;"&amp;C3488,mdr_rate_cleaned!$F$2:$F$10,"&gt;="&amp;C3488)</f>
        <v>1.7000000000000001E-2</v>
      </c>
      <c r="H3488" s="24">
        <f t="shared" si="270"/>
        <v>59.48</v>
      </c>
      <c r="I3488" s="23" t="str">
        <f t="shared" si="271"/>
        <v>Match</v>
      </c>
      <c r="J3488" s="23" t="str">
        <f t="shared" si="272"/>
        <v>Match</v>
      </c>
      <c r="K3488" s="24">
        <f t="shared" si="273"/>
        <v>10.71</v>
      </c>
      <c r="L3488" s="24">
        <f t="shared" si="274"/>
        <v>0</v>
      </c>
    </row>
    <row r="3489" spans="1:12" ht="15" customHeight="1" x14ac:dyDescent="0.3">
      <c r="A3489" s="23" t="s">
        <v>16584</v>
      </c>
      <c r="B3489" s="23" t="s">
        <v>79</v>
      </c>
      <c r="C3489" s="39">
        <v>299</v>
      </c>
      <c r="D3489" s="24">
        <v>5.38</v>
      </c>
      <c r="E3489" s="24">
        <v>0.97</v>
      </c>
      <c r="F3489" s="23">
        <f>COUNTIFS(mdr_rate_cleaned!$A$2:$A$10,B3489,mdr_rate_cleaned!$B$2:$B$10,"&lt;"&amp;C3489,mdr_rate_cleaned!$F$2:$F$10,"&gt;="&amp;C3489)</f>
        <v>1</v>
      </c>
      <c r="G3489" s="40">
        <f>SUMIFS(mdr_rate_cleaned!$G$2:$G$10,mdr_rate_cleaned!$A$2:$A$10,B3489,mdr_rate_cleaned!$B$2:$B$10,"&lt;"&amp;C3489,mdr_rate_cleaned!$F$2:$F$10,"&gt;="&amp;C3489)</f>
        <v>1.8000000000000002E-2</v>
      </c>
      <c r="H3489" s="24">
        <f t="shared" si="270"/>
        <v>5.38</v>
      </c>
      <c r="I3489" s="23" t="str">
        <f t="shared" si="271"/>
        <v>Match</v>
      </c>
      <c r="J3489" s="23" t="str">
        <f t="shared" si="272"/>
        <v>Match</v>
      </c>
      <c r="K3489" s="24">
        <f t="shared" si="273"/>
        <v>0.97</v>
      </c>
      <c r="L3489" s="24">
        <f t="shared" si="274"/>
        <v>0</v>
      </c>
    </row>
    <row r="3490" spans="1:12" ht="15" customHeight="1" x14ac:dyDescent="0.3">
      <c r="A3490" s="23" t="s">
        <v>16585</v>
      </c>
      <c r="B3490" s="23" t="s">
        <v>75</v>
      </c>
      <c r="C3490" s="39">
        <v>999</v>
      </c>
      <c r="D3490" s="24">
        <v>0</v>
      </c>
      <c r="E3490" s="24">
        <v>0</v>
      </c>
      <c r="F3490" s="23">
        <f>COUNTIFS(mdr_rate_cleaned!$A$2:$A$10,B3490,mdr_rate_cleaned!$B$2:$B$10,"&lt;"&amp;C3490,mdr_rate_cleaned!$F$2:$F$10,"&gt;="&amp;C3490)</f>
        <v>1</v>
      </c>
      <c r="G3490" s="40">
        <f>SUMIFS(mdr_rate_cleaned!$G$2:$G$10,mdr_rate_cleaned!$A$2:$A$10,B3490,mdr_rate_cleaned!$B$2:$B$10,"&lt;"&amp;C3490,mdr_rate_cleaned!$F$2:$F$10,"&gt;="&amp;C3490)</f>
        <v>0</v>
      </c>
      <c r="H3490" s="24">
        <f t="shared" si="270"/>
        <v>0</v>
      </c>
      <c r="I3490" s="23" t="str">
        <f t="shared" si="271"/>
        <v>Match</v>
      </c>
      <c r="J3490" s="23" t="str">
        <f t="shared" si="272"/>
        <v>Match</v>
      </c>
      <c r="K3490" s="24">
        <f t="shared" si="273"/>
        <v>0</v>
      </c>
      <c r="L3490" s="24">
        <f t="shared" si="274"/>
        <v>0</v>
      </c>
    </row>
    <row r="3491" spans="1:12" ht="15" customHeight="1" x14ac:dyDescent="0.3">
      <c r="A3491" s="23" t="s">
        <v>16586</v>
      </c>
      <c r="B3491" s="23" t="s">
        <v>75</v>
      </c>
      <c r="C3491" s="39">
        <v>349</v>
      </c>
      <c r="D3491" s="24">
        <v>0</v>
      </c>
      <c r="E3491" s="24">
        <v>0</v>
      </c>
      <c r="F3491" s="23">
        <f>COUNTIFS(mdr_rate_cleaned!$A$2:$A$10,B3491,mdr_rate_cleaned!$B$2:$B$10,"&lt;"&amp;C3491,mdr_rate_cleaned!$F$2:$F$10,"&gt;="&amp;C3491)</f>
        <v>1</v>
      </c>
      <c r="G3491" s="40">
        <f>SUMIFS(mdr_rate_cleaned!$G$2:$G$10,mdr_rate_cleaned!$A$2:$A$10,B3491,mdr_rate_cleaned!$B$2:$B$10,"&lt;"&amp;C3491,mdr_rate_cleaned!$F$2:$F$10,"&gt;="&amp;C3491)</f>
        <v>0</v>
      </c>
      <c r="H3491" s="24">
        <f t="shared" si="270"/>
        <v>0</v>
      </c>
      <c r="I3491" s="23" t="str">
        <f t="shared" si="271"/>
        <v>Match</v>
      </c>
      <c r="J3491" s="23" t="str">
        <f t="shared" si="272"/>
        <v>Match</v>
      </c>
      <c r="K3491" s="24">
        <f t="shared" si="273"/>
        <v>0</v>
      </c>
      <c r="L3491" s="24">
        <f t="shared" si="274"/>
        <v>0</v>
      </c>
    </row>
    <row r="3492" spans="1:12" ht="15" customHeight="1" x14ac:dyDescent="0.3">
      <c r="A3492" s="23" t="s">
        <v>16587</v>
      </c>
      <c r="B3492" s="23" t="s">
        <v>75</v>
      </c>
      <c r="C3492" s="39">
        <v>2999</v>
      </c>
      <c r="D3492" s="24">
        <v>9</v>
      </c>
      <c r="E3492" s="24">
        <v>1.62</v>
      </c>
      <c r="F3492" s="23">
        <f>COUNTIFS(mdr_rate_cleaned!$A$2:$A$10,B3492,mdr_rate_cleaned!$B$2:$B$10,"&lt;"&amp;C3492,mdr_rate_cleaned!$F$2:$F$10,"&gt;="&amp;C3492)</f>
        <v>1</v>
      </c>
      <c r="G3492" s="40">
        <f>SUMIFS(mdr_rate_cleaned!$G$2:$G$10,mdr_rate_cleaned!$A$2:$A$10,B3492,mdr_rate_cleaned!$B$2:$B$10,"&lt;"&amp;C3492,mdr_rate_cleaned!$F$2:$F$10,"&gt;="&amp;C3492)</f>
        <v>3.0000000000000001E-3</v>
      </c>
      <c r="H3492" s="24">
        <f t="shared" si="270"/>
        <v>9</v>
      </c>
      <c r="I3492" s="23" t="str">
        <f t="shared" si="271"/>
        <v>Match</v>
      </c>
      <c r="J3492" s="23" t="str">
        <f t="shared" si="272"/>
        <v>Match</v>
      </c>
      <c r="K3492" s="24">
        <f t="shared" si="273"/>
        <v>1.62</v>
      </c>
      <c r="L3492" s="24">
        <f t="shared" si="274"/>
        <v>0</v>
      </c>
    </row>
    <row r="3493" spans="1:12" ht="15" customHeight="1" x14ac:dyDescent="0.3">
      <c r="A3493" s="23" t="s">
        <v>16588</v>
      </c>
      <c r="B3493" s="23" t="s">
        <v>75</v>
      </c>
      <c r="C3493" s="39">
        <v>1198</v>
      </c>
      <c r="D3493" s="24">
        <v>0</v>
      </c>
      <c r="E3493" s="24">
        <v>0</v>
      </c>
      <c r="F3493" s="23">
        <f>COUNTIFS(mdr_rate_cleaned!$A$2:$A$10,B3493,mdr_rate_cleaned!$B$2:$B$10,"&lt;"&amp;C3493,mdr_rate_cleaned!$F$2:$F$10,"&gt;="&amp;C3493)</f>
        <v>1</v>
      </c>
      <c r="G3493" s="40">
        <f>SUMIFS(mdr_rate_cleaned!$G$2:$G$10,mdr_rate_cleaned!$A$2:$A$10,B3493,mdr_rate_cleaned!$B$2:$B$10,"&lt;"&amp;C3493,mdr_rate_cleaned!$F$2:$F$10,"&gt;="&amp;C3493)</f>
        <v>0</v>
      </c>
      <c r="H3493" s="24">
        <f t="shared" si="270"/>
        <v>0</v>
      </c>
      <c r="I3493" s="23" t="str">
        <f t="shared" si="271"/>
        <v>Match</v>
      </c>
      <c r="J3493" s="23" t="str">
        <f t="shared" si="272"/>
        <v>Match</v>
      </c>
      <c r="K3493" s="24">
        <f t="shared" si="273"/>
        <v>0</v>
      </c>
      <c r="L3493" s="24">
        <f t="shared" si="274"/>
        <v>0</v>
      </c>
    </row>
    <row r="3494" spans="1:12" ht="15" customHeight="1" x14ac:dyDescent="0.3">
      <c r="A3494" s="23" t="s">
        <v>16589</v>
      </c>
      <c r="B3494" s="23" t="s">
        <v>75</v>
      </c>
      <c r="C3494" s="39">
        <v>3798</v>
      </c>
      <c r="D3494" s="24">
        <v>11.39</v>
      </c>
      <c r="E3494" s="24">
        <v>2.0499999999999998</v>
      </c>
      <c r="F3494" s="23">
        <f>COUNTIFS(mdr_rate_cleaned!$A$2:$A$10,B3494,mdr_rate_cleaned!$B$2:$B$10,"&lt;"&amp;C3494,mdr_rate_cleaned!$F$2:$F$10,"&gt;="&amp;C3494)</f>
        <v>1</v>
      </c>
      <c r="G3494" s="40">
        <f>SUMIFS(mdr_rate_cleaned!$G$2:$G$10,mdr_rate_cleaned!$A$2:$A$10,B3494,mdr_rate_cleaned!$B$2:$B$10,"&lt;"&amp;C3494,mdr_rate_cleaned!$F$2:$F$10,"&gt;="&amp;C3494)</f>
        <v>3.0000000000000001E-3</v>
      </c>
      <c r="H3494" s="24">
        <f t="shared" si="270"/>
        <v>11.39</v>
      </c>
      <c r="I3494" s="23" t="str">
        <f t="shared" si="271"/>
        <v>Match</v>
      </c>
      <c r="J3494" s="23" t="str">
        <f t="shared" si="272"/>
        <v>Match</v>
      </c>
      <c r="K3494" s="24">
        <f t="shared" si="273"/>
        <v>2.0499999999999998</v>
      </c>
      <c r="L3494" s="24">
        <f t="shared" si="274"/>
        <v>0</v>
      </c>
    </row>
    <row r="3495" spans="1:12" ht="15" customHeight="1" x14ac:dyDescent="0.3">
      <c r="A3495" s="23" t="s">
        <v>16590</v>
      </c>
      <c r="B3495" s="23" t="s">
        <v>75</v>
      </c>
      <c r="C3495" s="39">
        <v>7999</v>
      </c>
      <c r="D3495" s="24">
        <v>24</v>
      </c>
      <c r="E3495" s="24">
        <v>4.32</v>
      </c>
      <c r="F3495" s="23">
        <f>COUNTIFS(mdr_rate_cleaned!$A$2:$A$10,B3495,mdr_rate_cleaned!$B$2:$B$10,"&lt;"&amp;C3495,mdr_rate_cleaned!$F$2:$F$10,"&gt;="&amp;C3495)</f>
        <v>1</v>
      </c>
      <c r="G3495" s="40">
        <f>SUMIFS(mdr_rate_cleaned!$G$2:$G$10,mdr_rate_cleaned!$A$2:$A$10,B3495,mdr_rate_cleaned!$B$2:$B$10,"&lt;"&amp;C3495,mdr_rate_cleaned!$F$2:$F$10,"&gt;="&amp;C3495)</f>
        <v>3.0000000000000001E-3</v>
      </c>
      <c r="H3495" s="24">
        <f t="shared" si="270"/>
        <v>24</v>
      </c>
      <c r="I3495" s="23" t="str">
        <f t="shared" si="271"/>
        <v>Match</v>
      </c>
      <c r="J3495" s="23" t="str">
        <f t="shared" si="272"/>
        <v>Match</v>
      </c>
      <c r="K3495" s="24">
        <f t="shared" si="273"/>
        <v>4.32</v>
      </c>
      <c r="L3495" s="24">
        <f t="shared" si="274"/>
        <v>0</v>
      </c>
    </row>
    <row r="3496" spans="1:12" ht="15" customHeight="1" x14ac:dyDescent="0.3">
      <c r="A3496" s="23" t="s">
        <v>16591</v>
      </c>
      <c r="B3496" s="23" t="s">
        <v>75</v>
      </c>
      <c r="C3496" s="39">
        <v>2098</v>
      </c>
      <c r="D3496" s="24">
        <v>6.29</v>
      </c>
      <c r="E3496" s="24">
        <v>1.1299999999999999</v>
      </c>
      <c r="F3496" s="23">
        <f>COUNTIFS(mdr_rate_cleaned!$A$2:$A$10,B3496,mdr_rate_cleaned!$B$2:$B$10,"&lt;"&amp;C3496,mdr_rate_cleaned!$F$2:$F$10,"&gt;="&amp;C3496)</f>
        <v>1</v>
      </c>
      <c r="G3496" s="40">
        <f>SUMIFS(mdr_rate_cleaned!$G$2:$G$10,mdr_rate_cleaned!$A$2:$A$10,B3496,mdr_rate_cleaned!$B$2:$B$10,"&lt;"&amp;C3496,mdr_rate_cleaned!$F$2:$F$10,"&gt;="&amp;C3496)</f>
        <v>3.0000000000000001E-3</v>
      </c>
      <c r="H3496" s="24">
        <f t="shared" si="270"/>
        <v>6.29</v>
      </c>
      <c r="I3496" s="23" t="str">
        <f t="shared" si="271"/>
        <v>Match</v>
      </c>
      <c r="J3496" s="23" t="str">
        <f t="shared" si="272"/>
        <v>Match</v>
      </c>
      <c r="K3496" s="24">
        <f t="shared" si="273"/>
        <v>1.1299999999999999</v>
      </c>
      <c r="L3496" s="24">
        <f t="shared" si="274"/>
        <v>0</v>
      </c>
    </row>
    <row r="3497" spans="1:12" ht="15" customHeight="1" x14ac:dyDescent="0.3">
      <c r="A3497" s="23" t="s">
        <v>16592</v>
      </c>
      <c r="B3497" s="23" t="s">
        <v>75</v>
      </c>
      <c r="C3497" s="39">
        <v>3498</v>
      </c>
      <c r="D3497" s="24">
        <v>10.49</v>
      </c>
      <c r="E3497" s="24">
        <v>1.89</v>
      </c>
      <c r="F3497" s="23">
        <f>COUNTIFS(mdr_rate_cleaned!$A$2:$A$10,B3497,mdr_rate_cleaned!$B$2:$B$10,"&lt;"&amp;C3497,mdr_rate_cleaned!$F$2:$F$10,"&gt;="&amp;C3497)</f>
        <v>1</v>
      </c>
      <c r="G3497" s="40">
        <f>SUMIFS(mdr_rate_cleaned!$G$2:$G$10,mdr_rate_cleaned!$A$2:$A$10,B3497,mdr_rate_cleaned!$B$2:$B$10,"&lt;"&amp;C3497,mdr_rate_cleaned!$F$2:$F$10,"&gt;="&amp;C3497)</f>
        <v>3.0000000000000001E-3</v>
      </c>
      <c r="H3497" s="24">
        <f t="shared" si="270"/>
        <v>10.49</v>
      </c>
      <c r="I3497" s="23" t="str">
        <f t="shared" si="271"/>
        <v>Match</v>
      </c>
      <c r="J3497" s="23" t="str">
        <f t="shared" si="272"/>
        <v>Match</v>
      </c>
      <c r="K3497" s="24">
        <f t="shared" si="273"/>
        <v>1.89</v>
      </c>
      <c r="L3497" s="24">
        <f t="shared" si="274"/>
        <v>0</v>
      </c>
    </row>
    <row r="3498" spans="1:12" ht="15" customHeight="1" x14ac:dyDescent="0.3">
      <c r="A3498" s="23" t="s">
        <v>16593</v>
      </c>
      <c r="B3498" s="23" t="s">
        <v>75</v>
      </c>
      <c r="C3498" s="39">
        <v>7297</v>
      </c>
      <c r="D3498" s="24">
        <v>21.89</v>
      </c>
      <c r="E3498" s="24">
        <v>3.94</v>
      </c>
      <c r="F3498" s="23">
        <f>COUNTIFS(mdr_rate_cleaned!$A$2:$A$10,B3498,mdr_rate_cleaned!$B$2:$B$10,"&lt;"&amp;C3498,mdr_rate_cleaned!$F$2:$F$10,"&gt;="&amp;C3498)</f>
        <v>1</v>
      </c>
      <c r="G3498" s="40">
        <f>SUMIFS(mdr_rate_cleaned!$G$2:$G$10,mdr_rate_cleaned!$A$2:$A$10,B3498,mdr_rate_cleaned!$B$2:$B$10,"&lt;"&amp;C3498,mdr_rate_cleaned!$F$2:$F$10,"&gt;="&amp;C3498)</f>
        <v>3.0000000000000001E-3</v>
      </c>
      <c r="H3498" s="24">
        <f t="shared" si="270"/>
        <v>21.89</v>
      </c>
      <c r="I3498" s="23" t="str">
        <f t="shared" si="271"/>
        <v>Match</v>
      </c>
      <c r="J3498" s="23" t="str">
        <f t="shared" si="272"/>
        <v>Match</v>
      </c>
      <c r="K3498" s="24">
        <f t="shared" si="273"/>
        <v>3.94</v>
      </c>
      <c r="L3498" s="24">
        <f t="shared" si="274"/>
        <v>0</v>
      </c>
    </row>
    <row r="3499" spans="1:12" ht="15" customHeight="1" x14ac:dyDescent="0.3">
      <c r="A3499" s="23" t="s">
        <v>16595</v>
      </c>
      <c r="B3499" s="23" t="s">
        <v>75</v>
      </c>
      <c r="C3499" s="39">
        <v>4999</v>
      </c>
      <c r="D3499" s="24">
        <v>15</v>
      </c>
      <c r="E3499" s="24">
        <v>2.7</v>
      </c>
      <c r="F3499" s="23">
        <f>COUNTIFS(mdr_rate_cleaned!$A$2:$A$10,B3499,mdr_rate_cleaned!$B$2:$B$10,"&lt;"&amp;C3499,mdr_rate_cleaned!$F$2:$F$10,"&gt;="&amp;C3499)</f>
        <v>1</v>
      </c>
      <c r="G3499" s="40">
        <f>SUMIFS(mdr_rate_cleaned!$G$2:$G$10,mdr_rate_cleaned!$A$2:$A$10,B3499,mdr_rate_cleaned!$B$2:$B$10,"&lt;"&amp;C3499,mdr_rate_cleaned!$F$2:$F$10,"&gt;="&amp;C3499)</f>
        <v>3.0000000000000001E-3</v>
      </c>
      <c r="H3499" s="24">
        <f t="shared" si="270"/>
        <v>15</v>
      </c>
      <c r="I3499" s="23" t="str">
        <f t="shared" si="271"/>
        <v>Match</v>
      </c>
      <c r="J3499" s="23" t="str">
        <f t="shared" si="272"/>
        <v>Match</v>
      </c>
      <c r="K3499" s="24">
        <f t="shared" si="273"/>
        <v>2.7</v>
      </c>
      <c r="L3499" s="24">
        <f t="shared" si="274"/>
        <v>0</v>
      </c>
    </row>
    <row r="3500" spans="1:12" ht="15" customHeight="1" x14ac:dyDescent="0.3">
      <c r="A3500" s="23" t="s">
        <v>16596</v>
      </c>
      <c r="B3500" s="23" t="s">
        <v>79</v>
      </c>
      <c r="C3500" s="39">
        <v>4397</v>
      </c>
      <c r="D3500" s="24">
        <v>70.349999999999994</v>
      </c>
      <c r="E3500" s="24">
        <v>12.66</v>
      </c>
      <c r="F3500" s="23">
        <f>COUNTIFS(mdr_rate_cleaned!$A$2:$A$10,B3500,mdr_rate_cleaned!$B$2:$B$10,"&lt;"&amp;C3500,mdr_rate_cleaned!$F$2:$F$10,"&gt;="&amp;C3500)</f>
        <v>1</v>
      </c>
      <c r="G3500" s="40">
        <f>SUMIFS(mdr_rate_cleaned!$G$2:$G$10,mdr_rate_cleaned!$A$2:$A$10,B3500,mdr_rate_cleaned!$B$2:$B$10,"&lt;"&amp;C3500,mdr_rate_cleaned!$F$2:$F$10,"&gt;="&amp;C3500)</f>
        <v>1.6E-2</v>
      </c>
      <c r="H3500" s="24">
        <f t="shared" si="270"/>
        <v>70.349999999999994</v>
      </c>
      <c r="I3500" s="23" t="str">
        <f t="shared" si="271"/>
        <v>Match</v>
      </c>
      <c r="J3500" s="23" t="str">
        <f t="shared" si="272"/>
        <v>Match</v>
      </c>
      <c r="K3500" s="24">
        <f t="shared" si="273"/>
        <v>12.66</v>
      </c>
      <c r="L3500" s="24">
        <f t="shared" si="274"/>
        <v>0</v>
      </c>
    </row>
    <row r="3501" spans="1:12" ht="15" customHeight="1" x14ac:dyDescent="0.3">
      <c r="A3501" s="23" t="s">
        <v>16597</v>
      </c>
      <c r="B3501" s="23" t="s">
        <v>75</v>
      </c>
      <c r="C3501" s="39">
        <v>6498</v>
      </c>
      <c r="D3501" s="24">
        <v>19.489999999999998</v>
      </c>
      <c r="E3501" s="24">
        <v>3.51</v>
      </c>
      <c r="F3501" s="23">
        <f>COUNTIFS(mdr_rate_cleaned!$A$2:$A$10,B3501,mdr_rate_cleaned!$B$2:$B$10,"&lt;"&amp;C3501,mdr_rate_cleaned!$F$2:$F$10,"&gt;="&amp;C3501)</f>
        <v>1</v>
      </c>
      <c r="G3501" s="40">
        <f>SUMIFS(mdr_rate_cleaned!$G$2:$G$10,mdr_rate_cleaned!$A$2:$A$10,B3501,mdr_rate_cleaned!$B$2:$B$10,"&lt;"&amp;C3501,mdr_rate_cleaned!$F$2:$F$10,"&gt;="&amp;C3501)</f>
        <v>3.0000000000000001E-3</v>
      </c>
      <c r="H3501" s="24">
        <f t="shared" si="270"/>
        <v>19.489999999999998</v>
      </c>
      <c r="I3501" s="23" t="str">
        <f t="shared" si="271"/>
        <v>Match</v>
      </c>
      <c r="J3501" s="23" t="str">
        <f t="shared" si="272"/>
        <v>Match</v>
      </c>
      <c r="K3501" s="24">
        <f t="shared" si="273"/>
        <v>3.51</v>
      </c>
      <c r="L3501" s="24">
        <f t="shared" si="274"/>
        <v>0</v>
      </c>
    </row>
    <row r="3502" spans="1:12" ht="15" customHeight="1" x14ac:dyDescent="0.3">
      <c r="A3502" s="23" t="s">
        <v>16598</v>
      </c>
      <c r="B3502" s="23" t="s">
        <v>75</v>
      </c>
      <c r="C3502" s="39">
        <v>799</v>
      </c>
      <c r="D3502" s="24">
        <v>0</v>
      </c>
      <c r="E3502" s="24">
        <v>0</v>
      </c>
      <c r="F3502" s="23">
        <f>COUNTIFS(mdr_rate_cleaned!$A$2:$A$10,B3502,mdr_rate_cleaned!$B$2:$B$10,"&lt;"&amp;C3502,mdr_rate_cleaned!$F$2:$F$10,"&gt;="&amp;C3502)</f>
        <v>1</v>
      </c>
      <c r="G3502" s="40">
        <f>SUMIFS(mdr_rate_cleaned!$G$2:$G$10,mdr_rate_cleaned!$A$2:$A$10,B3502,mdr_rate_cleaned!$B$2:$B$10,"&lt;"&amp;C3502,mdr_rate_cleaned!$F$2:$F$10,"&gt;="&amp;C3502)</f>
        <v>0</v>
      </c>
      <c r="H3502" s="24">
        <f t="shared" si="270"/>
        <v>0</v>
      </c>
      <c r="I3502" s="23" t="str">
        <f t="shared" si="271"/>
        <v>Match</v>
      </c>
      <c r="J3502" s="23" t="str">
        <f t="shared" si="272"/>
        <v>Match</v>
      </c>
      <c r="K3502" s="24">
        <f t="shared" si="273"/>
        <v>0</v>
      </c>
      <c r="L3502" s="24">
        <f t="shared" si="274"/>
        <v>0</v>
      </c>
    </row>
    <row r="3503" spans="1:12" ht="15" customHeight="1" x14ac:dyDescent="0.3">
      <c r="A3503" s="23" t="s">
        <v>16599</v>
      </c>
      <c r="B3503" s="23" t="s">
        <v>75</v>
      </c>
      <c r="C3503" s="39">
        <v>599</v>
      </c>
      <c r="D3503" s="24">
        <v>0</v>
      </c>
      <c r="E3503" s="24">
        <v>0</v>
      </c>
      <c r="F3503" s="23">
        <f>COUNTIFS(mdr_rate_cleaned!$A$2:$A$10,B3503,mdr_rate_cleaned!$B$2:$B$10,"&lt;"&amp;C3503,mdr_rate_cleaned!$F$2:$F$10,"&gt;="&amp;C3503)</f>
        <v>1</v>
      </c>
      <c r="G3503" s="40">
        <f>SUMIFS(mdr_rate_cleaned!$G$2:$G$10,mdr_rate_cleaned!$A$2:$A$10,B3503,mdr_rate_cleaned!$B$2:$B$10,"&lt;"&amp;C3503,mdr_rate_cleaned!$F$2:$F$10,"&gt;="&amp;C3503)</f>
        <v>0</v>
      </c>
      <c r="H3503" s="24">
        <f t="shared" si="270"/>
        <v>0</v>
      </c>
      <c r="I3503" s="23" t="str">
        <f t="shared" si="271"/>
        <v>Match</v>
      </c>
      <c r="J3503" s="23" t="str">
        <f t="shared" si="272"/>
        <v>Match</v>
      </c>
      <c r="K3503" s="24">
        <f t="shared" si="273"/>
        <v>0</v>
      </c>
      <c r="L3503" s="24">
        <f t="shared" si="274"/>
        <v>0</v>
      </c>
    </row>
    <row r="3504" spans="1:12" ht="15" customHeight="1" x14ac:dyDescent="0.3">
      <c r="A3504" s="23" t="s">
        <v>16600</v>
      </c>
      <c r="B3504" s="23" t="s">
        <v>79</v>
      </c>
      <c r="C3504" s="39">
        <v>2098</v>
      </c>
      <c r="D3504" s="24">
        <v>33.57</v>
      </c>
      <c r="E3504" s="24">
        <v>6.04</v>
      </c>
      <c r="F3504" s="23">
        <f>COUNTIFS(mdr_rate_cleaned!$A$2:$A$10,B3504,mdr_rate_cleaned!$B$2:$B$10,"&lt;"&amp;C3504,mdr_rate_cleaned!$F$2:$F$10,"&gt;="&amp;C3504)</f>
        <v>1</v>
      </c>
      <c r="G3504" s="40">
        <f>SUMIFS(mdr_rate_cleaned!$G$2:$G$10,mdr_rate_cleaned!$A$2:$A$10,B3504,mdr_rate_cleaned!$B$2:$B$10,"&lt;"&amp;C3504,mdr_rate_cleaned!$F$2:$F$10,"&gt;="&amp;C3504)</f>
        <v>1.6E-2</v>
      </c>
      <c r="H3504" s="24">
        <f t="shared" si="270"/>
        <v>33.57</v>
      </c>
      <c r="I3504" s="23" t="str">
        <f t="shared" si="271"/>
        <v>Match</v>
      </c>
      <c r="J3504" s="23" t="str">
        <f t="shared" si="272"/>
        <v>Match</v>
      </c>
      <c r="K3504" s="24">
        <f t="shared" si="273"/>
        <v>6.04</v>
      </c>
      <c r="L3504" s="24">
        <f t="shared" si="274"/>
        <v>0</v>
      </c>
    </row>
    <row r="3505" spans="1:12" ht="15" customHeight="1" x14ac:dyDescent="0.3">
      <c r="A3505" s="23" t="s">
        <v>16601</v>
      </c>
      <c r="B3505" s="23" t="s">
        <v>79</v>
      </c>
      <c r="C3505" s="39">
        <v>4999</v>
      </c>
      <c r="D3505" s="24">
        <v>79.98</v>
      </c>
      <c r="E3505" s="24">
        <v>14.4</v>
      </c>
      <c r="F3505" s="23">
        <f>COUNTIFS(mdr_rate_cleaned!$A$2:$A$10,B3505,mdr_rate_cleaned!$B$2:$B$10,"&lt;"&amp;C3505,mdr_rate_cleaned!$F$2:$F$10,"&gt;="&amp;C3505)</f>
        <v>1</v>
      </c>
      <c r="G3505" s="40">
        <f>SUMIFS(mdr_rate_cleaned!$G$2:$G$10,mdr_rate_cleaned!$A$2:$A$10,B3505,mdr_rate_cleaned!$B$2:$B$10,"&lt;"&amp;C3505,mdr_rate_cleaned!$F$2:$F$10,"&gt;="&amp;C3505)</f>
        <v>1.6E-2</v>
      </c>
      <c r="H3505" s="24">
        <f t="shared" si="270"/>
        <v>79.98</v>
      </c>
      <c r="I3505" s="23" t="str">
        <f t="shared" si="271"/>
        <v>Match</v>
      </c>
      <c r="J3505" s="23" t="str">
        <f t="shared" si="272"/>
        <v>Match</v>
      </c>
      <c r="K3505" s="24">
        <f t="shared" si="273"/>
        <v>14.4</v>
      </c>
      <c r="L3505" s="24">
        <f t="shared" si="274"/>
        <v>0</v>
      </c>
    </row>
    <row r="3506" spans="1:12" ht="15" customHeight="1" x14ac:dyDescent="0.3">
      <c r="A3506" s="23" t="s">
        <v>16602</v>
      </c>
      <c r="B3506" s="23" t="s">
        <v>75</v>
      </c>
      <c r="C3506" s="39">
        <v>4999</v>
      </c>
      <c r="D3506" s="24">
        <v>15</v>
      </c>
      <c r="E3506" s="24">
        <v>2.7</v>
      </c>
      <c r="F3506" s="23">
        <f>COUNTIFS(mdr_rate_cleaned!$A$2:$A$10,B3506,mdr_rate_cleaned!$B$2:$B$10,"&lt;"&amp;C3506,mdr_rate_cleaned!$F$2:$F$10,"&gt;="&amp;C3506)</f>
        <v>1</v>
      </c>
      <c r="G3506" s="40">
        <f>SUMIFS(mdr_rate_cleaned!$G$2:$G$10,mdr_rate_cleaned!$A$2:$A$10,B3506,mdr_rate_cleaned!$B$2:$B$10,"&lt;"&amp;C3506,mdr_rate_cleaned!$F$2:$F$10,"&gt;="&amp;C3506)</f>
        <v>3.0000000000000001E-3</v>
      </c>
      <c r="H3506" s="24">
        <f t="shared" si="270"/>
        <v>15</v>
      </c>
      <c r="I3506" s="23" t="str">
        <f t="shared" si="271"/>
        <v>Match</v>
      </c>
      <c r="J3506" s="23" t="str">
        <f t="shared" si="272"/>
        <v>Match</v>
      </c>
      <c r="K3506" s="24">
        <f t="shared" si="273"/>
        <v>2.7</v>
      </c>
      <c r="L3506" s="24">
        <f t="shared" si="274"/>
        <v>0</v>
      </c>
    </row>
    <row r="3507" spans="1:12" ht="15" customHeight="1" x14ac:dyDescent="0.3">
      <c r="A3507" s="23" t="s">
        <v>16603</v>
      </c>
      <c r="B3507" s="23" t="s">
        <v>79</v>
      </c>
      <c r="C3507" s="39">
        <v>3597</v>
      </c>
      <c r="D3507" s="24">
        <v>57.55</v>
      </c>
      <c r="E3507" s="24">
        <v>10.36</v>
      </c>
      <c r="F3507" s="23">
        <f>COUNTIFS(mdr_rate_cleaned!$A$2:$A$10,B3507,mdr_rate_cleaned!$B$2:$B$10,"&lt;"&amp;C3507,mdr_rate_cleaned!$F$2:$F$10,"&gt;="&amp;C3507)</f>
        <v>1</v>
      </c>
      <c r="G3507" s="40">
        <f>SUMIFS(mdr_rate_cleaned!$G$2:$G$10,mdr_rate_cleaned!$A$2:$A$10,B3507,mdr_rate_cleaned!$B$2:$B$10,"&lt;"&amp;C3507,mdr_rate_cleaned!$F$2:$F$10,"&gt;="&amp;C3507)</f>
        <v>1.6E-2</v>
      </c>
      <c r="H3507" s="24">
        <f t="shared" si="270"/>
        <v>57.55</v>
      </c>
      <c r="I3507" s="23" t="str">
        <f t="shared" si="271"/>
        <v>Match</v>
      </c>
      <c r="J3507" s="23" t="str">
        <f t="shared" si="272"/>
        <v>Match</v>
      </c>
      <c r="K3507" s="24">
        <f t="shared" si="273"/>
        <v>10.36</v>
      </c>
      <c r="L3507" s="24">
        <f t="shared" si="274"/>
        <v>0</v>
      </c>
    </row>
    <row r="3508" spans="1:12" ht="15" customHeight="1" x14ac:dyDescent="0.3">
      <c r="A3508" s="23" t="s">
        <v>16605</v>
      </c>
      <c r="B3508" s="23" t="s">
        <v>77</v>
      </c>
      <c r="C3508" s="39">
        <v>2998</v>
      </c>
      <c r="D3508" s="24">
        <v>50.97</v>
      </c>
      <c r="E3508" s="24">
        <v>9.17</v>
      </c>
      <c r="F3508" s="23">
        <f>COUNTIFS(mdr_rate_cleaned!$A$2:$A$10,B3508,mdr_rate_cleaned!$B$2:$B$10,"&lt;"&amp;C3508,mdr_rate_cleaned!$F$2:$F$10,"&gt;="&amp;C3508)</f>
        <v>1</v>
      </c>
      <c r="G3508" s="40">
        <f>SUMIFS(mdr_rate_cleaned!$G$2:$G$10,mdr_rate_cleaned!$A$2:$A$10,B3508,mdr_rate_cleaned!$B$2:$B$10,"&lt;"&amp;C3508,mdr_rate_cleaned!$F$2:$F$10,"&gt;="&amp;C3508)</f>
        <v>1.7000000000000001E-2</v>
      </c>
      <c r="H3508" s="24">
        <f t="shared" si="270"/>
        <v>50.97</v>
      </c>
      <c r="I3508" s="23" t="str">
        <f t="shared" si="271"/>
        <v>Match</v>
      </c>
      <c r="J3508" s="23" t="str">
        <f t="shared" si="272"/>
        <v>Match</v>
      </c>
      <c r="K3508" s="24">
        <f t="shared" si="273"/>
        <v>9.17</v>
      </c>
      <c r="L3508" s="24">
        <f t="shared" si="274"/>
        <v>0</v>
      </c>
    </row>
    <row r="3509" spans="1:12" ht="15" customHeight="1" x14ac:dyDescent="0.3">
      <c r="A3509" s="23" t="s">
        <v>16606</v>
      </c>
      <c r="B3509" s="23" t="s">
        <v>75</v>
      </c>
      <c r="C3509" s="39">
        <v>3499</v>
      </c>
      <c r="D3509" s="24">
        <v>10.5</v>
      </c>
      <c r="E3509" s="24">
        <v>1.89</v>
      </c>
      <c r="F3509" s="23">
        <f>COUNTIFS(mdr_rate_cleaned!$A$2:$A$10,B3509,mdr_rate_cleaned!$B$2:$B$10,"&lt;"&amp;C3509,mdr_rate_cleaned!$F$2:$F$10,"&gt;="&amp;C3509)</f>
        <v>1</v>
      </c>
      <c r="G3509" s="40">
        <f>SUMIFS(mdr_rate_cleaned!$G$2:$G$10,mdr_rate_cleaned!$A$2:$A$10,B3509,mdr_rate_cleaned!$B$2:$B$10,"&lt;"&amp;C3509,mdr_rate_cleaned!$F$2:$F$10,"&gt;="&amp;C3509)</f>
        <v>3.0000000000000001E-3</v>
      </c>
      <c r="H3509" s="24">
        <f t="shared" si="270"/>
        <v>10.5</v>
      </c>
      <c r="I3509" s="23" t="str">
        <f t="shared" si="271"/>
        <v>Match</v>
      </c>
      <c r="J3509" s="23" t="str">
        <f t="shared" si="272"/>
        <v>Match</v>
      </c>
      <c r="K3509" s="24">
        <f t="shared" si="273"/>
        <v>1.89</v>
      </c>
      <c r="L3509" s="24">
        <f t="shared" si="274"/>
        <v>0</v>
      </c>
    </row>
    <row r="3510" spans="1:12" ht="15" customHeight="1" x14ac:dyDescent="0.3">
      <c r="A3510" s="23" t="s">
        <v>16607</v>
      </c>
      <c r="B3510" s="23" t="s">
        <v>79</v>
      </c>
      <c r="C3510" s="39">
        <v>4297</v>
      </c>
      <c r="D3510" s="24">
        <v>68.75</v>
      </c>
      <c r="E3510" s="24">
        <v>12.38</v>
      </c>
      <c r="F3510" s="23">
        <f>COUNTIFS(mdr_rate_cleaned!$A$2:$A$10,B3510,mdr_rate_cleaned!$B$2:$B$10,"&lt;"&amp;C3510,mdr_rate_cleaned!$F$2:$F$10,"&gt;="&amp;C3510)</f>
        <v>1</v>
      </c>
      <c r="G3510" s="40">
        <f>SUMIFS(mdr_rate_cleaned!$G$2:$G$10,mdr_rate_cleaned!$A$2:$A$10,B3510,mdr_rate_cleaned!$B$2:$B$10,"&lt;"&amp;C3510,mdr_rate_cleaned!$F$2:$F$10,"&gt;="&amp;C3510)</f>
        <v>1.6E-2</v>
      </c>
      <c r="H3510" s="24">
        <f t="shared" si="270"/>
        <v>68.75</v>
      </c>
      <c r="I3510" s="23" t="str">
        <f t="shared" si="271"/>
        <v>Match</v>
      </c>
      <c r="J3510" s="23" t="str">
        <f t="shared" si="272"/>
        <v>Match</v>
      </c>
      <c r="K3510" s="24">
        <f t="shared" si="273"/>
        <v>12.38</v>
      </c>
      <c r="L3510" s="24">
        <f t="shared" si="274"/>
        <v>0</v>
      </c>
    </row>
    <row r="3511" spans="1:12" ht="15" customHeight="1" x14ac:dyDescent="0.3">
      <c r="A3511" s="23" t="s">
        <v>16608</v>
      </c>
      <c r="B3511" s="23" t="s">
        <v>77</v>
      </c>
      <c r="C3511" s="39">
        <v>799</v>
      </c>
      <c r="D3511" s="24">
        <v>15.18</v>
      </c>
      <c r="E3511" s="24">
        <v>2.73</v>
      </c>
      <c r="F3511" s="23">
        <f>COUNTIFS(mdr_rate_cleaned!$A$2:$A$10,B3511,mdr_rate_cleaned!$B$2:$B$10,"&lt;"&amp;C3511,mdr_rate_cleaned!$F$2:$F$10,"&gt;="&amp;C3511)</f>
        <v>1</v>
      </c>
      <c r="G3511" s="40">
        <f>SUMIFS(mdr_rate_cleaned!$G$2:$G$10,mdr_rate_cleaned!$A$2:$A$10,B3511,mdr_rate_cleaned!$B$2:$B$10,"&lt;"&amp;C3511,mdr_rate_cleaned!$F$2:$F$10,"&gt;="&amp;C3511)</f>
        <v>1.9E-2</v>
      </c>
      <c r="H3511" s="24">
        <f t="shared" si="270"/>
        <v>15.18</v>
      </c>
      <c r="I3511" s="23" t="str">
        <f t="shared" si="271"/>
        <v>Match</v>
      </c>
      <c r="J3511" s="23" t="str">
        <f t="shared" si="272"/>
        <v>Match</v>
      </c>
      <c r="K3511" s="24">
        <f t="shared" si="273"/>
        <v>2.73</v>
      </c>
      <c r="L3511" s="24">
        <f t="shared" si="274"/>
        <v>0</v>
      </c>
    </row>
    <row r="3512" spans="1:12" ht="15" customHeight="1" x14ac:dyDescent="0.3">
      <c r="A3512" s="23" t="s">
        <v>16609</v>
      </c>
      <c r="B3512" s="23" t="s">
        <v>81</v>
      </c>
      <c r="C3512" s="39">
        <v>2298</v>
      </c>
      <c r="D3512" s="24">
        <v>27.58</v>
      </c>
      <c r="E3512" s="24">
        <v>4.96</v>
      </c>
      <c r="F3512" s="23">
        <f>COUNTIFS(mdr_rate_cleaned!$A$2:$A$10,B3512,mdr_rate_cleaned!$B$2:$B$10,"&lt;"&amp;C3512,mdr_rate_cleaned!$F$2:$F$10,"&gt;="&amp;C3512)</f>
        <v>1</v>
      </c>
      <c r="G3512" s="40">
        <f>SUMIFS(mdr_rate_cleaned!$G$2:$G$10,mdr_rate_cleaned!$A$2:$A$10,B3512,mdr_rate_cleaned!$B$2:$B$10,"&lt;"&amp;C3512,mdr_rate_cleaned!$F$2:$F$10,"&gt;="&amp;C3512)</f>
        <v>1.2E-2</v>
      </c>
      <c r="H3512" s="24">
        <f t="shared" si="270"/>
        <v>27.58</v>
      </c>
      <c r="I3512" s="23" t="str">
        <f t="shared" si="271"/>
        <v>Match</v>
      </c>
      <c r="J3512" s="23" t="str">
        <f t="shared" si="272"/>
        <v>Match</v>
      </c>
      <c r="K3512" s="24">
        <f t="shared" si="273"/>
        <v>4.96</v>
      </c>
      <c r="L3512" s="24">
        <f t="shared" si="274"/>
        <v>0</v>
      </c>
    </row>
    <row r="3513" spans="1:12" ht="15" customHeight="1" x14ac:dyDescent="0.3">
      <c r="A3513" s="23" t="s">
        <v>16610</v>
      </c>
      <c r="B3513" s="23" t="s">
        <v>75</v>
      </c>
      <c r="C3513" s="39">
        <v>5347</v>
      </c>
      <c r="D3513" s="24">
        <v>16.04</v>
      </c>
      <c r="E3513" s="24">
        <v>2.89</v>
      </c>
      <c r="F3513" s="23">
        <f>COUNTIFS(mdr_rate_cleaned!$A$2:$A$10,B3513,mdr_rate_cleaned!$B$2:$B$10,"&lt;"&amp;C3513,mdr_rate_cleaned!$F$2:$F$10,"&gt;="&amp;C3513)</f>
        <v>1</v>
      </c>
      <c r="G3513" s="40">
        <f>SUMIFS(mdr_rate_cleaned!$G$2:$G$10,mdr_rate_cleaned!$A$2:$A$10,B3513,mdr_rate_cleaned!$B$2:$B$10,"&lt;"&amp;C3513,mdr_rate_cleaned!$F$2:$F$10,"&gt;="&amp;C3513)</f>
        <v>3.0000000000000001E-3</v>
      </c>
      <c r="H3513" s="24">
        <f t="shared" si="270"/>
        <v>16.04</v>
      </c>
      <c r="I3513" s="23" t="str">
        <f t="shared" si="271"/>
        <v>Match</v>
      </c>
      <c r="J3513" s="23" t="str">
        <f t="shared" si="272"/>
        <v>Match</v>
      </c>
      <c r="K3513" s="24">
        <f t="shared" si="273"/>
        <v>2.89</v>
      </c>
      <c r="L3513" s="24">
        <f t="shared" si="274"/>
        <v>0</v>
      </c>
    </row>
    <row r="3514" spans="1:12" ht="15" customHeight="1" x14ac:dyDescent="0.3">
      <c r="A3514" s="23" t="s">
        <v>16611</v>
      </c>
      <c r="B3514" s="23" t="s">
        <v>79</v>
      </c>
      <c r="C3514" s="39">
        <v>3297</v>
      </c>
      <c r="D3514" s="24">
        <v>52.75</v>
      </c>
      <c r="E3514" s="24">
        <v>9.5</v>
      </c>
      <c r="F3514" s="23">
        <f>COUNTIFS(mdr_rate_cleaned!$A$2:$A$10,B3514,mdr_rate_cleaned!$B$2:$B$10,"&lt;"&amp;C3514,mdr_rate_cleaned!$F$2:$F$10,"&gt;="&amp;C3514)</f>
        <v>1</v>
      </c>
      <c r="G3514" s="40">
        <f>SUMIFS(mdr_rate_cleaned!$G$2:$G$10,mdr_rate_cleaned!$A$2:$A$10,B3514,mdr_rate_cleaned!$B$2:$B$10,"&lt;"&amp;C3514,mdr_rate_cleaned!$F$2:$F$10,"&gt;="&amp;C3514)</f>
        <v>1.6E-2</v>
      </c>
      <c r="H3514" s="24">
        <f t="shared" si="270"/>
        <v>52.75</v>
      </c>
      <c r="I3514" s="23" t="str">
        <f t="shared" si="271"/>
        <v>Match</v>
      </c>
      <c r="J3514" s="23" t="str">
        <f t="shared" si="272"/>
        <v>Match</v>
      </c>
      <c r="K3514" s="24">
        <f t="shared" si="273"/>
        <v>9.5</v>
      </c>
      <c r="L3514" s="24">
        <f t="shared" si="274"/>
        <v>0</v>
      </c>
    </row>
    <row r="3515" spans="1:12" ht="15" customHeight="1" x14ac:dyDescent="0.3">
      <c r="A3515" s="23" t="s">
        <v>16612</v>
      </c>
      <c r="B3515" s="23" t="s">
        <v>75</v>
      </c>
      <c r="C3515" s="39">
        <v>499</v>
      </c>
      <c r="D3515" s="24">
        <v>1.5</v>
      </c>
      <c r="E3515" s="24">
        <v>0.27</v>
      </c>
      <c r="F3515" s="23">
        <f>COUNTIFS(mdr_rate_cleaned!$A$2:$A$10,B3515,mdr_rate_cleaned!$B$2:$B$10,"&lt;"&amp;C3515,mdr_rate_cleaned!$F$2:$F$10,"&gt;="&amp;C3515)</f>
        <v>1</v>
      </c>
      <c r="G3515" s="40">
        <f>SUMIFS(mdr_rate_cleaned!$G$2:$G$10,mdr_rate_cleaned!$A$2:$A$10,B3515,mdr_rate_cleaned!$B$2:$B$10,"&lt;"&amp;C3515,mdr_rate_cleaned!$F$2:$F$10,"&gt;="&amp;C3515)</f>
        <v>0</v>
      </c>
      <c r="H3515" s="24">
        <f t="shared" si="270"/>
        <v>0</v>
      </c>
      <c r="I3515" s="23" t="str">
        <f t="shared" si="271"/>
        <v>Differs</v>
      </c>
      <c r="J3515" s="23" t="str">
        <f t="shared" si="272"/>
        <v>Match</v>
      </c>
      <c r="K3515" s="24">
        <f t="shared" si="273"/>
        <v>0</v>
      </c>
      <c r="L3515" s="24">
        <f t="shared" si="274"/>
        <v>1.77</v>
      </c>
    </row>
    <row r="3516" spans="1:12" ht="15" customHeight="1" x14ac:dyDescent="0.3">
      <c r="A3516" s="23" t="s">
        <v>16614</v>
      </c>
      <c r="B3516" s="23" t="s">
        <v>75</v>
      </c>
      <c r="C3516" s="39">
        <v>6797</v>
      </c>
      <c r="D3516" s="24">
        <v>20.39</v>
      </c>
      <c r="E3516" s="24">
        <v>3.67</v>
      </c>
      <c r="F3516" s="23">
        <f>COUNTIFS(mdr_rate_cleaned!$A$2:$A$10,B3516,mdr_rate_cleaned!$B$2:$B$10,"&lt;"&amp;C3516,mdr_rate_cleaned!$F$2:$F$10,"&gt;="&amp;C3516)</f>
        <v>1</v>
      </c>
      <c r="G3516" s="40">
        <f>SUMIFS(mdr_rate_cleaned!$G$2:$G$10,mdr_rate_cleaned!$A$2:$A$10,B3516,mdr_rate_cleaned!$B$2:$B$10,"&lt;"&amp;C3516,mdr_rate_cleaned!$F$2:$F$10,"&gt;="&amp;C3516)</f>
        <v>3.0000000000000001E-3</v>
      </c>
      <c r="H3516" s="24">
        <f t="shared" si="270"/>
        <v>20.39</v>
      </c>
      <c r="I3516" s="23" t="str">
        <f t="shared" si="271"/>
        <v>Match</v>
      </c>
      <c r="J3516" s="23" t="str">
        <f t="shared" si="272"/>
        <v>Match</v>
      </c>
      <c r="K3516" s="24">
        <f t="shared" si="273"/>
        <v>3.67</v>
      </c>
      <c r="L3516" s="24">
        <f t="shared" si="274"/>
        <v>0</v>
      </c>
    </row>
    <row r="3517" spans="1:12" ht="15" customHeight="1" x14ac:dyDescent="0.3">
      <c r="A3517" s="23" t="s">
        <v>16615</v>
      </c>
      <c r="B3517" s="23" t="s">
        <v>77</v>
      </c>
      <c r="C3517" s="39">
        <v>7999</v>
      </c>
      <c r="D3517" s="24">
        <v>135.97999999999999</v>
      </c>
      <c r="E3517" s="24">
        <v>24.48</v>
      </c>
      <c r="F3517" s="23">
        <f>COUNTIFS(mdr_rate_cleaned!$A$2:$A$10,B3517,mdr_rate_cleaned!$B$2:$B$10,"&lt;"&amp;C3517,mdr_rate_cleaned!$F$2:$F$10,"&gt;="&amp;C3517)</f>
        <v>1</v>
      </c>
      <c r="G3517" s="40">
        <f>SUMIFS(mdr_rate_cleaned!$G$2:$G$10,mdr_rate_cleaned!$A$2:$A$10,B3517,mdr_rate_cleaned!$B$2:$B$10,"&lt;"&amp;C3517,mdr_rate_cleaned!$F$2:$F$10,"&gt;="&amp;C3517)</f>
        <v>1.7000000000000001E-2</v>
      </c>
      <c r="H3517" s="24">
        <f t="shared" si="270"/>
        <v>135.97999999999999</v>
      </c>
      <c r="I3517" s="23" t="str">
        <f t="shared" si="271"/>
        <v>Match</v>
      </c>
      <c r="J3517" s="23" t="str">
        <f t="shared" si="272"/>
        <v>Match</v>
      </c>
      <c r="K3517" s="24">
        <f t="shared" si="273"/>
        <v>24.48</v>
      </c>
      <c r="L3517" s="24">
        <f t="shared" si="274"/>
        <v>0</v>
      </c>
    </row>
    <row r="3518" spans="1:12" ht="15" customHeight="1" x14ac:dyDescent="0.3">
      <c r="A3518" s="23" t="s">
        <v>16616</v>
      </c>
      <c r="B3518" s="23" t="s">
        <v>75</v>
      </c>
      <c r="C3518" s="39">
        <v>1299</v>
      </c>
      <c r="D3518" s="24">
        <v>0</v>
      </c>
      <c r="E3518" s="24">
        <v>0</v>
      </c>
      <c r="F3518" s="23">
        <f>COUNTIFS(mdr_rate_cleaned!$A$2:$A$10,B3518,mdr_rate_cleaned!$B$2:$B$10,"&lt;"&amp;C3518,mdr_rate_cleaned!$F$2:$F$10,"&gt;="&amp;C3518)</f>
        <v>1</v>
      </c>
      <c r="G3518" s="40">
        <f>SUMIFS(mdr_rate_cleaned!$G$2:$G$10,mdr_rate_cleaned!$A$2:$A$10,B3518,mdr_rate_cleaned!$B$2:$B$10,"&lt;"&amp;C3518,mdr_rate_cleaned!$F$2:$F$10,"&gt;="&amp;C3518)</f>
        <v>0</v>
      </c>
      <c r="H3518" s="24">
        <f t="shared" si="270"/>
        <v>0</v>
      </c>
      <c r="I3518" s="23" t="str">
        <f t="shared" si="271"/>
        <v>Match</v>
      </c>
      <c r="J3518" s="23" t="str">
        <f t="shared" si="272"/>
        <v>Match</v>
      </c>
      <c r="K3518" s="24">
        <f t="shared" si="273"/>
        <v>0</v>
      </c>
      <c r="L3518" s="24">
        <f t="shared" si="274"/>
        <v>0</v>
      </c>
    </row>
    <row r="3519" spans="1:12" ht="15" customHeight="1" x14ac:dyDescent="0.3">
      <c r="A3519" s="23" t="s">
        <v>16617</v>
      </c>
      <c r="B3519" s="23" t="s">
        <v>81</v>
      </c>
      <c r="C3519" s="39">
        <v>5998</v>
      </c>
      <c r="D3519" s="24">
        <v>71.98</v>
      </c>
      <c r="E3519" s="24">
        <v>12.96</v>
      </c>
      <c r="F3519" s="23">
        <f>COUNTIFS(mdr_rate_cleaned!$A$2:$A$10,B3519,mdr_rate_cleaned!$B$2:$B$10,"&lt;"&amp;C3519,mdr_rate_cleaned!$F$2:$F$10,"&gt;="&amp;C3519)</f>
        <v>1</v>
      </c>
      <c r="G3519" s="40">
        <f>SUMIFS(mdr_rate_cleaned!$G$2:$G$10,mdr_rate_cleaned!$A$2:$A$10,B3519,mdr_rate_cleaned!$B$2:$B$10,"&lt;"&amp;C3519,mdr_rate_cleaned!$F$2:$F$10,"&gt;="&amp;C3519)</f>
        <v>1.2E-2</v>
      </c>
      <c r="H3519" s="24">
        <f t="shared" si="270"/>
        <v>71.98</v>
      </c>
      <c r="I3519" s="23" t="str">
        <f t="shared" si="271"/>
        <v>Match</v>
      </c>
      <c r="J3519" s="23" t="str">
        <f t="shared" si="272"/>
        <v>Match</v>
      </c>
      <c r="K3519" s="24">
        <f t="shared" si="273"/>
        <v>12.96</v>
      </c>
      <c r="L3519" s="24">
        <f t="shared" si="274"/>
        <v>0</v>
      </c>
    </row>
    <row r="3520" spans="1:12" ht="15" customHeight="1" x14ac:dyDescent="0.3">
      <c r="A3520" s="23" t="s">
        <v>16618</v>
      </c>
      <c r="B3520" s="23" t="s">
        <v>75</v>
      </c>
      <c r="C3520" s="39">
        <v>598</v>
      </c>
      <c r="D3520" s="24">
        <v>0</v>
      </c>
      <c r="E3520" s="24">
        <v>0</v>
      </c>
      <c r="F3520" s="23">
        <f>COUNTIFS(mdr_rate_cleaned!$A$2:$A$10,B3520,mdr_rate_cleaned!$B$2:$B$10,"&lt;"&amp;C3520,mdr_rate_cleaned!$F$2:$F$10,"&gt;="&amp;C3520)</f>
        <v>1</v>
      </c>
      <c r="G3520" s="40">
        <f>SUMIFS(mdr_rate_cleaned!$G$2:$G$10,mdr_rate_cleaned!$A$2:$A$10,B3520,mdr_rate_cleaned!$B$2:$B$10,"&lt;"&amp;C3520,mdr_rate_cleaned!$F$2:$F$10,"&gt;="&amp;C3520)</f>
        <v>0</v>
      </c>
      <c r="H3520" s="24">
        <f t="shared" si="270"/>
        <v>0</v>
      </c>
      <c r="I3520" s="23" t="str">
        <f t="shared" si="271"/>
        <v>Match</v>
      </c>
      <c r="J3520" s="23" t="str">
        <f t="shared" si="272"/>
        <v>Match</v>
      </c>
      <c r="K3520" s="24">
        <f t="shared" si="273"/>
        <v>0</v>
      </c>
      <c r="L3520" s="24">
        <f t="shared" si="274"/>
        <v>0</v>
      </c>
    </row>
    <row r="3521" spans="1:12" ht="15" customHeight="1" x14ac:dyDescent="0.3">
      <c r="A3521" s="23" t="s">
        <v>16619</v>
      </c>
      <c r="B3521" s="23" t="s">
        <v>79</v>
      </c>
      <c r="C3521" s="39">
        <v>3298</v>
      </c>
      <c r="D3521" s="24">
        <v>52.77</v>
      </c>
      <c r="E3521" s="24">
        <v>9.5</v>
      </c>
      <c r="F3521" s="23">
        <f>COUNTIFS(mdr_rate_cleaned!$A$2:$A$10,B3521,mdr_rate_cleaned!$B$2:$B$10,"&lt;"&amp;C3521,mdr_rate_cleaned!$F$2:$F$10,"&gt;="&amp;C3521)</f>
        <v>1</v>
      </c>
      <c r="G3521" s="40">
        <f>SUMIFS(mdr_rate_cleaned!$G$2:$G$10,mdr_rate_cleaned!$A$2:$A$10,B3521,mdr_rate_cleaned!$B$2:$B$10,"&lt;"&amp;C3521,mdr_rate_cleaned!$F$2:$F$10,"&gt;="&amp;C3521)</f>
        <v>1.6E-2</v>
      </c>
      <c r="H3521" s="24">
        <f t="shared" si="270"/>
        <v>52.77</v>
      </c>
      <c r="I3521" s="23" t="str">
        <f t="shared" si="271"/>
        <v>Match</v>
      </c>
      <c r="J3521" s="23" t="str">
        <f t="shared" si="272"/>
        <v>Match</v>
      </c>
      <c r="K3521" s="24">
        <f t="shared" si="273"/>
        <v>9.5</v>
      </c>
      <c r="L3521" s="24">
        <f t="shared" si="274"/>
        <v>0</v>
      </c>
    </row>
    <row r="3522" spans="1:12" ht="15" customHeight="1" x14ac:dyDescent="0.3">
      <c r="A3522" s="23" t="s">
        <v>16621</v>
      </c>
      <c r="B3522" s="23" t="s">
        <v>81</v>
      </c>
      <c r="C3522" s="39">
        <v>949</v>
      </c>
      <c r="D3522" s="24">
        <v>14.24</v>
      </c>
      <c r="E3522" s="24">
        <v>2.56</v>
      </c>
      <c r="F3522" s="23">
        <f>COUNTIFS(mdr_rate_cleaned!$A$2:$A$10,B3522,mdr_rate_cleaned!$B$2:$B$10,"&lt;"&amp;C3522,mdr_rate_cleaned!$F$2:$F$10,"&gt;="&amp;C3522)</f>
        <v>1</v>
      </c>
      <c r="G3522" s="40">
        <f>SUMIFS(mdr_rate_cleaned!$G$2:$G$10,mdr_rate_cleaned!$A$2:$A$10,B3522,mdr_rate_cleaned!$B$2:$B$10,"&lt;"&amp;C3522,mdr_rate_cleaned!$F$2:$F$10,"&gt;="&amp;C3522)</f>
        <v>1.4999999999999999E-2</v>
      </c>
      <c r="H3522" s="24">
        <f t="shared" ref="H3522:H3585" si="275">ROUND(C3522*G3522,2)</f>
        <v>14.24</v>
      </c>
      <c r="I3522" s="23" t="str">
        <f t="shared" ref="I3522:I3585" si="276">IF(ROUND(D3522-H3522,2)=0,"Match","Differs")</f>
        <v>Match</v>
      </c>
      <c r="J3522" s="23" t="str">
        <f t="shared" ref="J3522:J3585" si="277">IF(ROUND(E3522-ROUND(D3522*0.18,2),2)=0,"Match","Differs")</f>
        <v>Match</v>
      </c>
      <c r="K3522" s="24">
        <f t="shared" ref="K3522:K3585" si="278">ROUND(H3522*0.18,2)</f>
        <v>2.56</v>
      </c>
      <c r="L3522" s="24">
        <f t="shared" ref="L3522:L3585" si="279">ROUND(D3522+E3522-H3522-K3522,2)</f>
        <v>0</v>
      </c>
    </row>
    <row r="3523" spans="1:12" ht="15" customHeight="1" x14ac:dyDescent="0.3">
      <c r="A3523" s="23" t="s">
        <v>16622</v>
      </c>
      <c r="B3523" s="23" t="s">
        <v>75</v>
      </c>
      <c r="C3523" s="39">
        <v>3499</v>
      </c>
      <c r="D3523" s="24">
        <v>10.5</v>
      </c>
      <c r="E3523" s="24">
        <v>1.89</v>
      </c>
      <c r="F3523" s="23">
        <f>COUNTIFS(mdr_rate_cleaned!$A$2:$A$10,B3523,mdr_rate_cleaned!$B$2:$B$10,"&lt;"&amp;C3523,mdr_rate_cleaned!$F$2:$F$10,"&gt;="&amp;C3523)</f>
        <v>1</v>
      </c>
      <c r="G3523" s="40">
        <f>SUMIFS(mdr_rate_cleaned!$G$2:$G$10,mdr_rate_cleaned!$A$2:$A$10,B3523,mdr_rate_cleaned!$B$2:$B$10,"&lt;"&amp;C3523,mdr_rate_cleaned!$F$2:$F$10,"&gt;="&amp;C3523)</f>
        <v>3.0000000000000001E-3</v>
      </c>
      <c r="H3523" s="24">
        <f t="shared" si="275"/>
        <v>10.5</v>
      </c>
      <c r="I3523" s="23" t="str">
        <f t="shared" si="276"/>
        <v>Match</v>
      </c>
      <c r="J3523" s="23" t="str">
        <f t="shared" si="277"/>
        <v>Match</v>
      </c>
      <c r="K3523" s="24">
        <f t="shared" si="278"/>
        <v>1.89</v>
      </c>
      <c r="L3523" s="24">
        <f t="shared" si="279"/>
        <v>0</v>
      </c>
    </row>
    <row r="3524" spans="1:12" ht="15" customHeight="1" x14ac:dyDescent="0.3">
      <c r="A3524" s="23" t="s">
        <v>16623</v>
      </c>
      <c r="B3524" s="23" t="s">
        <v>75</v>
      </c>
      <c r="C3524" s="39">
        <v>3498</v>
      </c>
      <c r="D3524" s="24">
        <v>10.49</v>
      </c>
      <c r="E3524" s="24">
        <v>1.89</v>
      </c>
      <c r="F3524" s="23">
        <f>COUNTIFS(mdr_rate_cleaned!$A$2:$A$10,B3524,mdr_rate_cleaned!$B$2:$B$10,"&lt;"&amp;C3524,mdr_rate_cleaned!$F$2:$F$10,"&gt;="&amp;C3524)</f>
        <v>1</v>
      </c>
      <c r="G3524" s="40">
        <f>SUMIFS(mdr_rate_cleaned!$G$2:$G$10,mdr_rate_cleaned!$A$2:$A$10,B3524,mdr_rate_cleaned!$B$2:$B$10,"&lt;"&amp;C3524,mdr_rate_cleaned!$F$2:$F$10,"&gt;="&amp;C3524)</f>
        <v>3.0000000000000001E-3</v>
      </c>
      <c r="H3524" s="24">
        <f t="shared" si="275"/>
        <v>10.49</v>
      </c>
      <c r="I3524" s="23" t="str">
        <f t="shared" si="276"/>
        <v>Match</v>
      </c>
      <c r="J3524" s="23" t="str">
        <f t="shared" si="277"/>
        <v>Match</v>
      </c>
      <c r="K3524" s="24">
        <f t="shared" si="278"/>
        <v>1.89</v>
      </c>
      <c r="L3524" s="24">
        <f t="shared" si="279"/>
        <v>0</v>
      </c>
    </row>
    <row r="3525" spans="1:12" ht="15" customHeight="1" x14ac:dyDescent="0.3">
      <c r="A3525" s="23" t="s">
        <v>16624</v>
      </c>
      <c r="B3525" s="23" t="s">
        <v>75</v>
      </c>
      <c r="C3525" s="39">
        <v>349</v>
      </c>
      <c r="D3525" s="24">
        <v>0</v>
      </c>
      <c r="E3525" s="24">
        <v>0</v>
      </c>
      <c r="F3525" s="23">
        <f>COUNTIFS(mdr_rate_cleaned!$A$2:$A$10,B3525,mdr_rate_cleaned!$B$2:$B$10,"&lt;"&amp;C3525,mdr_rate_cleaned!$F$2:$F$10,"&gt;="&amp;C3525)</f>
        <v>1</v>
      </c>
      <c r="G3525" s="40">
        <f>SUMIFS(mdr_rate_cleaned!$G$2:$G$10,mdr_rate_cleaned!$A$2:$A$10,B3525,mdr_rate_cleaned!$B$2:$B$10,"&lt;"&amp;C3525,mdr_rate_cleaned!$F$2:$F$10,"&gt;="&amp;C3525)</f>
        <v>0</v>
      </c>
      <c r="H3525" s="24">
        <f t="shared" si="275"/>
        <v>0</v>
      </c>
      <c r="I3525" s="23" t="str">
        <f t="shared" si="276"/>
        <v>Match</v>
      </c>
      <c r="J3525" s="23" t="str">
        <f t="shared" si="277"/>
        <v>Match</v>
      </c>
      <c r="K3525" s="24">
        <f t="shared" si="278"/>
        <v>0</v>
      </c>
      <c r="L3525" s="24">
        <f t="shared" si="279"/>
        <v>0</v>
      </c>
    </row>
    <row r="3526" spans="1:12" ht="15" customHeight="1" x14ac:dyDescent="0.3">
      <c r="A3526" s="23" t="s">
        <v>16625</v>
      </c>
      <c r="B3526" s="23" t="s">
        <v>75</v>
      </c>
      <c r="C3526" s="39">
        <v>499</v>
      </c>
      <c r="D3526" s="24">
        <v>0</v>
      </c>
      <c r="E3526" s="24">
        <v>0</v>
      </c>
      <c r="F3526" s="23">
        <f>COUNTIFS(mdr_rate_cleaned!$A$2:$A$10,B3526,mdr_rate_cleaned!$B$2:$B$10,"&lt;"&amp;C3526,mdr_rate_cleaned!$F$2:$F$10,"&gt;="&amp;C3526)</f>
        <v>1</v>
      </c>
      <c r="G3526" s="40">
        <f>SUMIFS(mdr_rate_cleaned!$G$2:$G$10,mdr_rate_cleaned!$A$2:$A$10,B3526,mdr_rate_cleaned!$B$2:$B$10,"&lt;"&amp;C3526,mdr_rate_cleaned!$F$2:$F$10,"&gt;="&amp;C3526)</f>
        <v>0</v>
      </c>
      <c r="H3526" s="24">
        <f t="shared" si="275"/>
        <v>0</v>
      </c>
      <c r="I3526" s="23" t="str">
        <f t="shared" si="276"/>
        <v>Match</v>
      </c>
      <c r="J3526" s="23" t="str">
        <f t="shared" si="277"/>
        <v>Match</v>
      </c>
      <c r="K3526" s="24">
        <f t="shared" si="278"/>
        <v>0</v>
      </c>
      <c r="L3526" s="24">
        <f t="shared" si="279"/>
        <v>0</v>
      </c>
    </row>
    <row r="3527" spans="1:12" ht="15" customHeight="1" x14ac:dyDescent="0.3">
      <c r="A3527" s="23" t="s">
        <v>16626</v>
      </c>
      <c r="B3527" s="23" t="s">
        <v>75</v>
      </c>
      <c r="C3527" s="39">
        <v>1298</v>
      </c>
      <c r="D3527" s="24">
        <v>0</v>
      </c>
      <c r="E3527" s="24">
        <v>0</v>
      </c>
      <c r="F3527" s="23">
        <f>COUNTIFS(mdr_rate_cleaned!$A$2:$A$10,B3527,mdr_rate_cleaned!$B$2:$B$10,"&lt;"&amp;C3527,mdr_rate_cleaned!$F$2:$F$10,"&gt;="&amp;C3527)</f>
        <v>1</v>
      </c>
      <c r="G3527" s="40">
        <f>SUMIFS(mdr_rate_cleaned!$G$2:$G$10,mdr_rate_cleaned!$A$2:$A$10,B3527,mdr_rate_cleaned!$B$2:$B$10,"&lt;"&amp;C3527,mdr_rate_cleaned!$F$2:$F$10,"&gt;="&amp;C3527)</f>
        <v>0</v>
      </c>
      <c r="H3527" s="24">
        <f t="shared" si="275"/>
        <v>0</v>
      </c>
      <c r="I3527" s="23" t="str">
        <f t="shared" si="276"/>
        <v>Match</v>
      </c>
      <c r="J3527" s="23" t="str">
        <f t="shared" si="277"/>
        <v>Match</v>
      </c>
      <c r="K3527" s="24">
        <f t="shared" si="278"/>
        <v>0</v>
      </c>
      <c r="L3527" s="24">
        <f t="shared" si="279"/>
        <v>0</v>
      </c>
    </row>
    <row r="3528" spans="1:12" ht="15" customHeight="1" x14ac:dyDescent="0.3">
      <c r="A3528" s="23" t="s">
        <v>16627</v>
      </c>
      <c r="B3528" s="23" t="s">
        <v>81</v>
      </c>
      <c r="C3528" s="39">
        <v>8797</v>
      </c>
      <c r="D3528" s="24">
        <v>105.56</v>
      </c>
      <c r="E3528" s="24">
        <v>19</v>
      </c>
      <c r="F3528" s="23">
        <f>COUNTIFS(mdr_rate_cleaned!$A$2:$A$10,B3528,mdr_rate_cleaned!$B$2:$B$10,"&lt;"&amp;C3528,mdr_rate_cleaned!$F$2:$F$10,"&gt;="&amp;C3528)</f>
        <v>1</v>
      </c>
      <c r="G3528" s="40">
        <f>SUMIFS(mdr_rate_cleaned!$G$2:$G$10,mdr_rate_cleaned!$A$2:$A$10,B3528,mdr_rate_cleaned!$B$2:$B$10,"&lt;"&amp;C3528,mdr_rate_cleaned!$F$2:$F$10,"&gt;="&amp;C3528)</f>
        <v>1.2E-2</v>
      </c>
      <c r="H3528" s="24">
        <f t="shared" si="275"/>
        <v>105.56</v>
      </c>
      <c r="I3528" s="23" t="str">
        <f t="shared" si="276"/>
        <v>Match</v>
      </c>
      <c r="J3528" s="23" t="str">
        <f t="shared" si="277"/>
        <v>Match</v>
      </c>
      <c r="K3528" s="24">
        <f t="shared" si="278"/>
        <v>19</v>
      </c>
      <c r="L3528" s="24">
        <f t="shared" si="279"/>
        <v>0</v>
      </c>
    </row>
    <row r="3529" spans="1:12" ht="15" customHeight="1" x14ac:dyDescent="0.3">
      <c r="A3529" s="23" t="s">
        <v>16628</v>
      </c>
      <c r="B3529" s="23" t="s">
        <v>81</v>
      </c>
      <c r="C3529" s="39">
        <v>999</v>
      </c>
      <c r="D3529" s="24">
        <v>14.99</v>
      </c>
      <c r="E3529" s="24">
        <v>2.7</v>
      </c>
      <c r="F3529" s="23">
        <f>COUNTIFS(mdr_rate_cleaned!$A$2:$A$10,B3529,mdr_rate_cleaned!$B$2:$B$10,"&lt;"&amp;C3529,mdr_rate_cleaned!$F$2:$F$10,"&gt;="&amp;C3529)</f>
        <v>1</v>
      </c>
      <c r="G3529" s="40">
        <f>SUMIFS(mdr_rate_cleaned!$G$2:$G$10,mdr_rate_cleaned!$A$2:$A$10,B3529,mdr_rate_cleaned!$B$2:$B$10,"&lt;"&amp;C3529,mdr_rate_cleaned!$F$2:$F$10,"&gt;="&amp;C3529)</f>
        <v>1.4999999999999999E-2</v>
      </c>
      <c r="H3529" s="24">
        <f t="shared" si="275"/>
        <v>14.99</v>
      </c>
      <c r="I3529" s="23" t="str">
        <f t="shared" si="276"/>
        <v>Match</v>
      </c>
      <c r="J3529" s="23" t="str">
        <f t="shared" si="277"/>
        <v>Match</v>
      </c>
      <c r="K3529" s="24">
        <f t="shared" si="278"/>
        <v>2.7</v>
      </c>
      <c r="L3529" s="24">
        <f t="shared" si="279"/>
        <v>0</v>
      </c>
    </row>
    <row r="3530" spans="1:12" ht="15" customHeight="1" x14ac:dyDescent="0.3">
      <c r="A3530" s="23" t="s">
        <v>16629</v>
      </c>
      <c r="B3530" s="23" t="s">
        <v>79</v>
      </c>
      <c r="C3530" s="39">
        <v>2098</v>
      </c>
      <c r="D3530" s="24">
        <v>33.57</v>
      </c>
      <c r="E3530" s="24">
        <v>6.04</v>
      </c>
      <c r="F3530" s="23">
        <f>COUNTIFS(mdr_rate_cleaned!$A$2:$A$10,B3530,mdr_rate_cleaned!$B$2:$B$10,"&lt;"&amp;C3530,mdr_rate_cleaned!$F$2:$F$10,"&gt;="&amp;C3530)</f>
        <v>1</v>
      </c>
      <c r="G3530" s="40">
        <f>SUMIFS(mdr_rate_cleaned!$G$2:$G$10,mdr_rate_cleaned!$A$2:$A$10,B3530,mdr_rate_cleaned!$B$2:$B$10,"&lt;"&amp;C3530,mdr_rate_cleaned!$F$2:$F$10,"&gt;="&amp;C3530)</f>
        <v>1.6E-2</v>
      </c>
      <c r="H3530" s="24">
        <f t="shared" si="275"/>
        <v>33.57</v>
      </c>
      <c r="I3530" s="23" t="str">
        <f t="shared" si="276"/>
        <v>Match</v>
      </c>
      <c r="J3530" s="23" t="str">
        <f t="shared" si="277"/>
        <v>Match</v>
      </c>
      <c r="K3530" s="24">
        <f t="shared" si="278"/>
        <v>6.04</v>
      </c>
      <c r="L3530" s="24">
        <f t="shared" si="279"/>
        <v>0</v>
      </c>
    </row>
    <row r="3531" spans="1:12" ht="15" customHeight="1" x14ac:dyDescent="0.3">
      <c r="A3531" s="23" t="s">
        <v>16630</v>
      </c>
      <c r="B3531" s="23" t="s">
        <v>75</v>
      </c>
      <c r="C3531" s="39">
        <v>1799</v>
      </c>
      <c r="D3531" s="24">
        <v>0</v>
      </c>
      <c r="E3531" s="24">
        <v>0</v>
      </c>
      <c r="F3531" s="23">
        <f>COUNTIFS(mdr_rate_cleaned!$A$2:$A$10,B3531,mdr_rate_cleaned!$B$2:$B$10,"&lt;"&amp;C3531,mdr_rate_cleaned!$F$2:$F$10,"&gt;="&amp;C3531)</f>
        <v>1</v>
      </c>
      <c r="G3531" s="40">
        <f>SUMIFS(mdr_rate_cleaned!$G$2:$G$10,mdr_rate_cleaned!$A$2:$A$10,B3531,mdr_rate_cleaned!$B$2:$B$10,"&lt;"&amp;C3531,mdr_rate_cleaned!$F$2:$F$10,"&gt;="&amp;C3531)</f>
        <v>0</v>
      </c>
      <c r="H3531" s="24">
        <f t="shared" si="275"/>
        <v>0</v>
      </c>
      <c r="I3531" s="23" t="str">
        <f t="shared" si="276"/>
        <v>Match</v>
      </c>
      <c r="J3531" s="23" t="str">
        <f t="shared" si="277"/>
        <v>Match</v>
      </c>
      <c r="K3531" s="24">
        <f t="shared" si="278"/>
        <v>0</v>
      </c>
      <c r="L3531" s="24">
        <f t="shared" si="279"/>
        <v>0</v>
      </c>
    </row>
    <row r="3532" spans="1:12" ht="15" customHeight="1" x14ac:dyDescent="0.3">
      <c r="A3532" s="23" t="s">
        <v>16632</v>
      </c>
      <c r="B3532" s="23" t="s">
        <v>75</v>
      </c>
      <c r="C3532" s="39">
        <v>1898</v>
      </c>
      <c r="D3532" s="24">
        <v>0</v>
      </c>
      <c r="E3532" s="24">
        <v>0</v>
      </c>
      <c r="F3532" s="23">
        <f>COUNTIFS(mdr_rate_cleaned!$A$2:$A$10,B3532,mdr_rate_cleaned!$B$2:$B$10,"&lt;"&amp;C3532,mdr_rate_cleaned!$F$2:$F$10,"&gt;="&amp;C3532)</f>
        <v>1</v>
      </c>
      <c r="G3532" s="40">
        <f>SUMIFS(mdr_rate_cleaned!$G$2:$G$10,mdr_rate_cleaned!$A$2:$A$10,B3532,mdr_rate_cleaned!$B$2:$B$10,"&lt;"&amp;C3532,mdr_rate_cleaned!$F$2:$F$10,"&gt;="&amp;C3532)</f>
        <v>0</v>
      </c>
      <c r="H3532" s="24">
        <f t="shared" si="275"/>
        <v>0</v>
      </c>
      <c r="I3532" s="23" t="str">
        <f t="shared" si="276"/>
        <v>Match</v>
      </c>
      <c r="J3532" s="23" t="str">
        <f t="shared" si="277"/>
        <v>Match</v>
      </c>
      <c r="K3532" s="24">
        <f t="shared" si="278"/>
        <v>0</v>
      </c>
      <c r="L3532" s="24">
        <f t="shared" si="279"/>
        <v>0</v>
      </c>
    </row>
    <row r="3533" spans="1:12" ht="15" customHeight="1" x14ac:dyDescent="0.3">
      <c r="A3533" s="23" t="s">
        <v>16633</v>
      </c>
      <c r="B3533" s="23" t="s">
        <v>79</v>
      </c>
      <c r="C3533" s="39">
        <v>1799</v>
      </c>
      <c r="D3533" s="24">
        <v>32.380000000000003</v>
      </c>
      <c r="E3533" s="24">
        <v>5.83</v>
      </c>
      <c r="F3533" s="23">
        <f>COUNTIFS(mdr_rate_cleaned!$A$2:$A$10,B3533,mdr_rate_cleaned!$B$2:$B$10,"&lt;"&amp;C3533,mdr_rate_cleaned!$F$2:$F$10,"&gt;="&amp;C3533)</f>
        <v>1</v>
      </c>
      <c r="G3533" s="40">
        <f>SUMIFS(mdr_rate_cleaned!$G$2:$G$10,mdr_rate_cleaned!$A$2:$A$10,B3533,mdr_rate_cleaned!$B$2:$B$10,"&lt;"&amp;C3533,mdr_rate_cleaned!$F$2:$F$10,"&gt;="&amp;C3533)</f>
        <v>1.8000000000000002E-2</v>
      </c>
      <c r="H3533" s="24">
        <f t="shared" si="275"/>
        <v>32.380000000000003</v>
      </c>
      <c r="I3533" s="23" t="str">
        <f t="shared" si="276"/>
        <v>Match</v>
      </c>
      <c r="J3533" s="23" t="str">
        <f t="shared" si="277"/>
        <v>Match</v>
      </c>
      <c r="K3533" s="24">
        <f t="shared" si="278"/>
        <v>5.83</v>
      </c>
      <c r="L3533" s="24">
        <f t="shared" si="279"/>
        <v>0</v>
      </c>
    </row>
    <row r="3534" spans="1:12" ht="15" customHeight="1" x14ac:dyDescent="0.3">
      <c r="A3534" s="23" t="s">
        <v>16634</v>
      </c>
      <c r="B3534" s="23" t="s">
        <v>79</v>
      </c>
      <c r="C3534" s="39">
        <v>499</v>
      </c>
      <c r="D3534" s="24">
        <v>8.98</v>
      </c>
      <c r="E3534" s="24">
        <v>1.62</v>
      </c>
      <c r="F3534" s="23">
        <f>COUNTIFS(mdr_rate_cleaned!$A$2:$A$10,B3534,mdr_rate_cleaned!$B$2:$B$10,"&lt;"&amp;C3534,mdr_rate_cleaned!$F$2:$F$10,"&gt;="&amp;C3534)</f>
        <v>1</v>
      </c>
      <c r="G3534" s="40">
        <f>SUMIFS(mdr_rate_cleaned!$G$2:$G$10,mdr_rate_cleaned!$A$2:$A$10,B3534,mdr_rate_cleaned!$B$2:$B$10,"&lt;"&amp;C3534,mdr_rate_cleaned!$F$2:$F$10,"&gt;="&amp;C3534)</f>
        <v>1.8000000000000002E-2</v>
      </c>
      <c r="H3534" s="24">
        <f t="shared" si="275"/>
        <v>8.98</v>
      </c>
      <c r="I3534" s="23" t="str">
        <f t="shared" si="276"/>
        <v>Match</v>
      </c>
      <c r="J3534" s="23" t="str">
        <f t="shared" si="277"/>
        <v>Match</v>
      </c>
      <c r="K3534" s="24">
        <f t="shared" si="278"/>
        <v>1.62</v>
      </c>
      <c r="L3534" s="24">
        <f t="shared" si="279"/>
        <v>0</v>
      </c>
    </row>
    <row r="3535" spans="1:12" ht="15" customHeight="1" x14ac:dyDescent="0.3">
      <c r="A3535" s="23" t="s">
        <v>16635</v>
      </c>
      <c r="B3535" s="23" t="s">
        <v>77</v>
      </c>
      <c r="C3535" s="39">
        <v>299</v>
      </c>
      <c r="D3535" s="24">
        <v>5.68</v>
      </c>
      <c r="E3535" s="24">
        <v>1.02</v>
      </c>
      <c r="F3535" s="23">
        <f>COUNTIFS(mdr_rate_cleaned!$A$2:$A$10,B3535,mdr_rate_cleaned!$B$2:$B$10,"&lt;"&amp;C3535,mdr_rate_cleaned!$F$2:$F$10,"&gt;="&amp;C3535)</f>
        <v>1</v>
      </c>
      <c r="G3535" s="40">
        <f>SUMIFS(mdr_rate_cleaned!$G$2:$G$10,mdr_rate_cleaned!$A$2:$A$10,B3535,mdr_rate_cleaned!$B$2:$B$10,"&lt;"&amp;C3535,mdr_rate_cleaned!$F$2:$F$10,"&gt;="&amp;C3535)</f>
        <v>1.9E-2</v>
      </c>
      <c r="H3535" s="24">
        <f t="shared" si="275"/>
        <v>5.68</v>
      </c>
      <c r="I3535" s="23" t="str">
        <f t="shared" si="276"/>
        <v>Match</v>
      </c>
      <c r="J3535" s="23" t="str">
        <f t="shared" si="277"/>
        <v>Match</v>
      </c>
      <c r="K3535" s="24">
        <f t="shared" si="278"/>
        <v>1.02</v>
      </c>
      <c r="L3535" s="24">
        <f t="shared" si="279"/>
        <v>0</v>
      </c>
    </row>
    <row r="3536" spans="1:12" ht="15" customHeight="1" x14ac:dyDescent="0.3">
      <c r="A3536" s="23" t="s">
        <v>16637</v>
      </c>
      <c r="B3536" s="23" t="s">
        <v>79</v>
      </c>
      <c r="C3536" s="39">
        <v>448</v>
      </c>
      <c r="D3536" s="24">
        <v>8.06</v>
      </c>
      <c r="E3536" s="24">
        <v>1.45</v>
      </c>
      <c r="F3536" s="23">
        <f>COUNTIFS(mdr_rate_cleaned!$A$2:$A$10,B3536,mdr_rate_cleaned!$B$2:$B$10,"&lt;"&amp;C3536,mdr_rate_cleaned!$F$2:$F$10,"&gt;="&amp;C3536)</f>
        <v>1</v>
      </c>
      <c r="G3536" s="40">
        <f>SUMIFS(mdr_rate_cleaned!$G$2:$G$10,mdr_rate_cleaned!$A$2:$A$10,B3536,mdr_rate_cleaned!$B$2:$B$10,"&lt;"&amp;C3536,mdr_rate_cleaned!$F$2:$F$10,"&gt;="&amp;C3536)</f>
        <v>1.8000000000000002E-2</v>
      </c>
      <c r="H3536" s="24">
        <f t="shared" si="275"/>
        <v>8.06</v>
      </c>
      <c r="I3536" s="23" t="str">
        <f t="shared" si="276"/>
        <v>Match</v>
      </c>
      <c r="J3536" s="23" t="str">
        <f t="shared" si="277"/>
        <v>Match</v>
      </c>
      <c r="K3536" s="24">
        <f t="shared" si="278"/>
        <v>1.45</v>
      </c>
      <c r="L3536" s="24">
        <f t="shared" si="279"/>
        <v>0</v>
      </c>
    </row>
    <row r="3537" spans="1:12" ht="15" customHeight="1" x14ac:dyDescent="0.3">
      <c r="A3537" s="23" t="s">
        <v>16639</v>
      </c>
      <c r="B3537" s="23" t="s">
        <v>79</v>
      </c>
      <c r="C3537" s="39">
        <v>8797</v>
      </c>
      <c r="D3537" s="24">
        <v>140.75</v>
      </c>
      <c r="E3537" s="24">
        <v>25.34</v>
      </c>
      <c r="F3537" s="23">
        <f>COUNTIFS(mdr_rate_cleaned!$A$2:$A$10,B3537,mdr_rate_cleaned!$B$2:$B$10,"&lt;"&amp;C3537,mdr_rate_cleaned!$F$2:$F$10,"&gt;="&amp;C3537)</f>
        <v>1</v>
      </c>
      <c r="G3537" s="40">
        <f>SUMIFS(mdr_rate_cleaned!$G$2:$G$10,mdr_rate_cleaned!$A$2:$A$10,B3537,mdr_rate_cleaned!$B$2:$B$10,"&lt;"&amp;C3537,mdr_rate_cleaned!$F$2:$F$10,"&gt;="&amp;C3537)</f>
        <v>1.6E-2</v>
      </c>
      <c r="H3537" s="24">
        <f t="shared" si="275"/>
        <v>140.75</v>
      </c>
      <c r="I3537" s="23" t="str">
        <f t="shared" si="276"/>
        <v>Match</v>
      </c>
      <c r="J3537" s="23" t="str">
        <f t="shared" si="277"/>
        <v>Match</v>
      </c>
      <c r="K3537" s="24">
        <f t="shared" si="278"/>
        <v>25.34</v>
      </c>
      <c r="L3537" s="24">
        <f t="shared" si="279"/>
        <v>0</v>
      </c>
    </row>
    <row r="3538" spans="1:12" ht="15" customHeight="1" x14ac:dyDescent="0.3">
      <c r="A3538" s="23" t="s">
        <v>16640</v>
      </c>
      <c r="B3538" s="23" t="s">
        <v>75</v>
      </c>
      <c r="C3538" s="39">
        <v>1799</v>
      </c>
      <c r="D3538" s="24">
        <v>0</v>
      </c>
      <c r="E3538" s="24">
        <v>0</v>
      </c>
      <c r="F3538" s="23">
        <f>COUNTIFS(mdr_rate_cleaned!$A$2:$A$10,B3538,mdr_rate_cleaned!$B$2:$B$10,"&lt;"&amp;C3538,mdr_rate_cleaned!$F$2:$F$10,"&gt;="&amp;C3538)</f>
        <v>1</v>
      </c>
      <c r="G3538" s="40">
        <f>SUMIFS(mdr_rate_cleaned!$G$2:$G$10,mdr_rate_cleaned!$A$2:$A$10,B3538,mdr_rate_cleaned!$B$2:$B$10,"&lt;"&amp;C3538,mdr_rate_cleaned!$F$2:$F$10,"&gt;="&amp;C3538)</f>
        <v>0</v>
      </c>
      <c r="H3538" s="24">
        <f t="shared" si="275"/>
        <v>0</v>
      </c>
      <c r="I3538" s="23" t="str">
        <f t="shared" si="276"/>
        <v>Match</v>
      </c>
      <c r="J3538" s="23" t="str">
        <f t="shared" si="277"/>
        <v>Match</v>
      </c>
      <c r="K3538" s="24">
        <f t="shared" si="278"/>
        <v>0</v>
      </c>
      <c r="L3538" s="24">
        <f t="shared" si="279"/>
        <v>0</v>
      </c>
    </row>
    <row r="3539" spans="1:12" ht="15" customHeight="1" x14ac:dyDescent="0.3">
      <c r="A3539" s="23" t="s">
        <v>16642</v>
      </c>
      <c r="B3539" s="23" t="s">
        <v>75</v>
      </c>
      <c r="C3539" s="39">
        <v>1499</v>
      </c>
      <c r="D3539" s="24">
        <v>0</v>
      </c>
      <c r="E3539" s="24">
        <v>0</v>
      </c>
      <c r="F3539" s="23">
        <f>COUNTIFS(mdr_rate_cleaned!$A$2:$A$10,B3539,mdr_rate_cleaned!$B$2:$B$10,"&lt;"&amp;C3539,mdr_rate_cleaned!$F$2:$F$10,"&gt;="&amp;C3539)</f>
        <v>1</v>
      </c>
      <c r="G3539" s="40">
        <f>SUMIFS(mdr_rate_cleaned!$G$2:$G$10,mdr_rate_cleaned!$A$2:$A$10,B3539,mdr_rate_cleaned!$B$2:$B$10,"&lt;"&amp;C3539,mdr_rate_cleaned!$F$2:$F$10,"&gt;="&amp;C3539)</f>
        <v>0</v>
      </c>
      <c r="H3539" s="24">
        <f t="shared" si="275"/>
        <v>0</v>
      </c>
      <c r="I3539" s="23" t="str">
        <f t="shared" si="276"/>
        <v>Match</v>
      </c>
      <c r="J3539" s="23" t="str">
        <f t="shared" si="277"/>
        <v>Match</v>
      </c>
      <c r="K3539" s="24">
        <f t="shared" si="278"/>
        <v>0</v>
      </c>
      <c r="L3539" s="24">
        <f t="shared" si="279"/>
        <v>0</v>
      </c>
    </row>
    <row r="3540" spans="1:12" ht="15" customHeight="1" x14ac:dyDescent="0.3">
      <c r="A3540" s="23" t="s">
        <v>16643</v>
      </c>
      <c r="B3540" s="23" t="s">
        <v>75</v>
      </c>
      <c r="C3540" s="39">
        <v>1799</v>
      </c>
      <c r="D3540" s="24">
        <v>0</v>
      </c>
      <c r="E3540" s="24">
        <v>0</v>
      </c>
      <c r="F3540" s="23">
        <f>COUNTIFS(mdr_rate_cleaned!$A$2:$A$10,B3540,mdr_rate_cleaned!$B$2:$B$10,"&lt;"&amp;C3540,mdr_rate_cleaned!$F$2:$F$10,"&gt;="&amp;C3540)</f>
        <v>1</v>
      </c>
      <c r="G3540" s="40">
        <f>SUMIFS(mdr_rate_cleaned!$G$2:$G$10,mdr_rate_cleaned!$A$2:$A$10,B3540,mdr_rate_cleaned!$B$2:$B$10,"&lt;"&amp;C3540,mdr_rate_cleaned!$F$2:$F$10,"&gt;="&amp;C3540)</f>
        <v>0</v>
      </c>
      <c r="H3540" s="24">
        <f t="shared" si="275"/>
        <v>0</v>
      </c>
      <c r="I3540" s="23" t="str">
        <f t="shared" si="276"/>
        <v>Match</v>
      </c>
      <c r="J3540" s="23" t="str">
        <f t="shared" si="277"/>
        <v>Match</v>
      </c>
      <c r="K3540" s="24">
        <f t="shared" si="278"/>
        <v>0</v>
      </c>
      <c r="L3540" s="24">
        <f t="shared" si="279"/>
        <v>0</v>
      </c>
    </row>
    <row r="3541" spans="1:12" ht="15" customHeight="1" x14ac:dyDescent="0.3">
      <c r="A3541" s="23" t="s">
        <v>16644</v>
      </c>
      <c r="B3541" s="23" t="s">
        <v>75</v>
      </c>
      <c r="C3541" s="39">
        <v>1498</v>
      </c>
      <c r="D3541" s="24">
        <v>0</v>
      </c>
      <c r="E3541" s="24">
        <v>0</v>
      </c>
      <c r="F3541" s="23">
        <f>COUNTIFS(mdr_rate_cleaned!$A$2:$A$10,B3541,mdr_rate_cleaned!$B$2:$B$10,"&lt;"&amp;C3541,mdr_rate_cleaned!$F$2:$F$10,"&gt;="&amp;C3541)</f>
        <v>1</v>
      </c>
      <c r="G3541" s="40">
        <f>SUMIFS(mdr_rate_cleaned!$G$2:$G$10,mdr_rate_cleaned!$A$2:$A$10,B3541,mdr_rate_cleaned!$B$2:$B$10,"&lt;"&amp;C3541,mdr_rate_cleaned!$F$2:$F$10,"&gt;="&amp;C3541)</f>
        <v>0</v>
      </c>
      <c r="H3541" s="24">
        <f t="shared" si="275"/>
        <v>0</v>
      </c>
      <c r="I3541" s="23" t="str">
        <f t="shared" si="276"/>
        <v>Match</v>
      </c>
      <c r="J3541" s="23" t="str">
        <f t="shared" si="277"/>
        <v>Match</v>
      </c>
      <c r="K3541" s="24">
        <f t="shared" si="278"/>
        <v>0</v>
      </c>
      <c r="L3541" s="24">
        <f t="shared" si="279"/>
        <v>0</v>
      </c>
    </row>
    <row r="3542" spans="1:12" ht="15" customHeight="1" x14ac:dyDescent="0.3">
      <c r="A3542" s="23" t="s">
        <v>16645</v>
      </c>
      <c r="B3542" s="23" t="s">
        <v>77</v>
      </c>
      <c r="C3542" s="39">
        <v>1499</v>
      </c>
      <c r="D3542" s="24">
        <v>28.48</v>
      </c>
      <c r="E3542" s="24">
        <v>5.13</v>
      </c>
      <c r="F3542" s="23">
        <f>COUNTIFS(mdr_rate_cleaned!$A$2:$A$10,B3542,mdr_rate_cleaned!$B$2:$B$10,"&lt;"&amp;C3542,mdr_rate_cleaned!$F$2:$F$10,"&gt;="&amp;C3542)</f>
        <v>1</v>
      </c>
      <c r="G3542" s="40">
        <f>SUMIFS(mdr_rate_cleaned!$G$2:$G$10,mdr_rate_cleaned!$A$2:$A$10,B3542,mdr_rate_cleaned!$B$2:$B$10,"&lt;"&amp;C3542,mdr_rate_cleaned!$F$2:$F$10,"&gt;="&amp;C3542)</f>
        <v>1.9E-2</v>
      </c>
      <c r="H3542" s="24">
        <f t="shared" si="275"/>
        <v>28.48</v>
      </c>
      <c r="I3542" s="23" t="str">
        <f t="shared" si="276"/>
        <v>Match</v>
      </c>
      <c r="J3542" s="23" t="str">
        <f t="shared" si="277"/>
        <v>Match</v>
      </c>
      <c r="K3542" s="24">
        <f t="shared" si="278"/>
        <v>5.13</v>
      </c>
      <c r="L3542" s="24">
        <f t="shared" si="279"/>
        <v>0</v>
      </c>
    </row>
    <row r="3543" spans="1:12" ht="15" customHeight="1" x14ac:dyDescent="0.3">
      <c r="A3543" s="23" t="s">
        <v>16646</v>
      </c>
      <c r="B3543" s="23" t="s">
        <v>79</v>
      </c>
      <c r="C3543" s="39">
        <v>6298</v>
      </c>
      <c r="D3543" s="24">
        <v>100.77</v>
      </c>
      <c r="E3543" s="24">
        <v>18.14</v>
      </c>
      <c r="F3543" s="23">
        <f>COUNTIFS(mdr_rate_cleaned!$A$2:$A$10,B3543,mdr_rate_cleaned!$B$2:$B$10,"&lt;"&amp;C3543,mdr_rate_cleaned!$F$2:$F$10,"&gt;="&amp;C3543)</f>
        <v>1</v>
      </c>
      <c r="G3543" s="40">
        <f>SUMIFS(mdr_rate_cleaned!$G$2:$G$10,mdr_rate_cleaned!$A$2:$A$10,B3543,mdr_rate_cleaned!$B$2:$B$10,"&lt;"&amp;C3543,mdr_rate_cleaned!$F$2:$F$10,"&gt;="&amp;C3543)</f>
        <v>1.6E-2</v>
      </c>
      <c r="H3543" s="24">
        <f t="shared" si="275"/>
        <v>100.77</v>
      </c>
      <c r="I3543" s="23" t="str">
        <f t="shared" si="276"/>
        <v>Match</v>
      </c>
      <c r="J3543" s="23" t="str">
        <f t="shared" si="277"/>
        <v>Match</v>
      </c>
      <c r="K3543" s="24">
        <f t="shared" si="278"/>
        <v>18.14</v>
      </c>
      <c r="L3543" s="24">
        <f t="shared" si="279"/>
        <v>0</v>
      </c>
    </row>
    <row r="3544" spans="1:12" ht="15" customHeight="1" x14ac:dyDescent="0.3">
      <c r="A3544" s="23" t="s">
        <v>16647</v>
      </c>
      <c r="B3544" s="23" t="s">
        <v>79</v>
      </c>
      <c r="C3544" s="39">
        <v>2798</v>
      </c>
      <c r="D3544" s="24">
        <v>44.77</v>
      </c>
      <c r="E3544" s="24">
        <v>8.06</v>
      </c>
      <c r="F3544" s="23">
        <f>COUNTIFS(mdr_rate_cleaned!$A$2:$A$10,B3544,mdr_rate_cleaned!$B$2:$B$10,"&lt;"&amp;C3544,mdr_rate_cleaned!$F$2:$F$10,"&gt;="&amp;C3544)</f>
        <v>1</v>
      </c>
      <c r="G3544" s="40">
        <f>SUMIFS(mdr_rate_cleaned!$G$2:$G$10,mdr_rate_cleaned!$A$2:$A$10,B3544,mdr_rate_cleaned!$B$2:$B$10,"&lt;"&amp;C3544,mdr_rate_cleaned!$F$2:$F$10,"&gt;="&amp;C3544)</f>
        <v>1.6E-2</v>
      </c>
      <c r="H3544" s="24">
        <f t="shared" si="275"/>
        <v>44.77</v>
      </c>
      <c r="I3544" s="23" t="str">
        <f t="shared" si="276"/>
        <v>Match</v>
      </c>
      <c r="J3544" s="23" t="str">
        <f t="shared" si="277"/>
        <v>Match</v>
      </c>
      <c r="K3544" s="24">
        <f t="shared" si="278"/>
        <v>8.06</v>
      </c>
      <c r="L3544" s="24">
        <f t="shared" si="279"/>
        <v>0</v>
      </c>
    </row>
    <row r="3545" spans="1:12" ht="15" customHeight="1" x14ac:dyDescent="0.3">
      <c r="A3545" s="23" t="s">
        <v>16648</v>
      </c>
      <c r="B3545" s="23" t="s">
        <v>75</v>
      </c>
      <c r="C3545" s="39">
        <v>2998</v>
      </c>
      <c r="D3545" s="24">
        <v>8.99</v>
      </c>
      <c r="E3545" s="24">
        <v>1.62</v>
      </c>
      <c r="F3545" s="23">
        <f>COUNTIFS(mdr_rate_cleaned!$A$2:$A$10,B3545,mdr_rate_cleaned!$B$2:$B$10,"&lt;"&amp;C3545,mdr_rate_cleaned!$F$2:$F$10,"&gt;="&amp;C3545)</f>
        <v>1</v>
      </c>
      <c r="G3545" s="40">
        <f>SUMIFS(mdr_rate_cleaned!$G$2:$G$10,mdr_rate_cleaned!$A$2:$A$10,B3545,mdr_rate_cleaned!$B$2:$B$10,"&lt;"&amp;C3545,mdr_rate_cleaned!$F$2:$F$10,"&gt;="&amp;C3545)</f>
        <v>3.0000000000000001E-3</v>
      </c>
      <c r="H3545" s="24">
        <f t="shared" si="275"/>
        <v>8.99</v>
      </c>
      <c r="I3545" s="23" t="str">
        <f t="shared" si="276"/>
        <v>Match</v>
      </c>
      <c r="J3545" s="23" t="str">
        <f t="shared" si="277"/>
        <v>Match</v>
      </c>
      <c r="K3545" s="24">
        <f t="shared" si="278"/>
        <v>1.62</v>
      </c>
      <c r="L3545" s="24">
        <f t="shared" si="279"/>
        <v>0</v>
      </c>
    </row>
    <row r="3546" spans="1:12" ht="15" customHeight="1" x14ac:dyDescent="0.3">
      <c r="A3546" s="23" t="s">
        <v>16649</v>
      </c>
      <c r="B3546" s="23" t="s">
        <v>75</v>
      </c>
      <c r="C3546" s="39">
        <v>499</v>
      </c>
      <c r="D3546" s="24">
        <v>0</v>
      </c>
      <c r="E3546" s="24">
        <v>0</v>
      </c>
      <c r="F3546" s="23">
        <f>COUNTIFS(mdr_rate_cleaned!$A$2:$A$10,B3546,mdr_rate_cleaned!$B$2:$B$10,"&lt;"&amp;C3546,mdr_rate_cleaned!$F$2:$F$10,"&gt;="&amp;C3546)</f>
        <v>1</v>
      </c>
      <c r="G3546" s="40">
        <f>SUMIFS(mdr_rate_cleaned!$G$2:$G$10,mdr_rate_cleaned!$A$2:$A$10,B3546,mdr_rate_cleaned!$B$2:$B$10,"&lt;"&amp;C3546,mdr_rate_cleaned!$F$2:$F$10,"&gt;="&amp;C3546)</f>
        <v>0</v>
      </c>
      <c r="H3546" s="24">
        <f t="shared" si="275"/>
        <v>0</v>
      </c>
      <c r="I3546" s="23" t="str">
        <f t="shared" si="276"/>
        <v>Match</v>
      </c>
      <c r="J3546" s="23" t="str">
        <f t="shared" si="277"/>
        <v>Match</v>
      </c>
      <c r="K3546" s="24">
        <f t="shared" si="278"/>
        <v>0</v>
      </c>
      <c r="L3546" s="24">
        <f t="shared" si="279"/>
        <v>0</v>
      </c>
    </row>
    <row r="3547" spans="1:12" ht="15" customHeight="1" x14ac:dyDescent="0.3">
      <c r="A3547" s="23" t="s">
        <v>16650</v>
      </c>
      <c r="B3547" s="23" t="s">
        <v>75</v>
      </c>
      <c r="C3547" s="39">
        <v>9498</v>
      </c>
      <c r="D3547" s="24">
        <v>28.49</v>
      </c>
      <c r="E3547" s="24">
        <v>5.13</v>
      </c>
      <c r="F3547" s="23">
        <f>COUNTIFS(mdr_rate_cleaned!$A$2:$A$10,B3547,mdr_rate_cleaned!$B$2:$B$10,"&lt;"&amp;C3547,mdr_rate_cleaned!$F$2:$F$10,"&gt;="&amp;C3547)</f>
        <v>1</v>
      </c>
      <c r="G3547" s="40">
        <f>SUMIFS(mdr_rate_cleaned!$G$2:$G$10,mdr_rate_cleaned!$A$2:$A$10,B3547,mdr_rate_cleaned!$B$2:$B$10,"&lt;"&amp;C3547,mdr_rate_cleaned!$F$2:$F$10,"&gt;="&amp;C3547)</f>
        <v>3.0000000000000001E-3</v>
      </c>
      <c r="H3547" s="24">
        <f t="shared" si="275"/>
        <v>28.49</v>
      </c>
      <c r="I3547" s="23" t="str">
        <f t="shared" si="276"/>
        <v>Match</v>
      </c>
      <c r="J3547" s="23" t="str">
        <f t="shared" si="277"/>
        <v>Match</v>
      </c>
      <c r="K3547" s="24">
        <f t="shared" si="278"/>
        <v>5.13</v>
      </c>
      <c r="L3547" s="24">
        <f t="shared" si="279"/>
        <v>0</v>
      </c>
    </row>
    <row r="3548" spans="1:12" ht="15" customHeight="1" x14ac:dyDescent="0.3">
      <c r="A3548" s="23" t="s">
        <v>16651</v>
      </c>
      <c r="B3548" s="23" t="s">
        <v>77</v>
      </c>
      <c r="C3548" s="39">
        <v>2499</v>
      </c>
      <c r="D3548" s="24">
        <v>42.48</v>
      </c>
      <c r="E3548" s="24">
        <v>7.65</v>
      </c>
      <c r="F3548" s="23">
        <f>COUNTIFS(mdr_rate_cleaned!$A$2:$A$10,B3548,mdr_rate_cleaned!$B$2:$B$10,"&lt;"&amp;C3548,mdr_rate_cleaned!$F$2:$F$10,"&gt;="&amp;C3548)</f>
        <v>1</v>
      </c>
      <c r="G3548" s="40">
        <f>SUMIFS(mdr_rate_cleaned!$G$2:$G$10,mdr_rate_cleaned!$A$2:$A$10,B3548,mdr_rate_cleaned!$B$2:$B$10,"&lt;"&amp;C3548,mdr_rate_cleaned!$F$2:$F$10,"&gt;="&amp;C3548)</f>
        <v>1.7000000000000001E-2</v>
      </c>
      <c r="H3548" s="24">
        <f t="shared" si="275"/>
        <v>42.48</v>
      </c>
      <c r="I3548" s="23" t="str">
        <f t="shared" si="276"/>
        <v>Match</v>
      </c>
      <c r="J3548" s="23" t="str">
        <f t="shared" si="277"/>
        <v>Match</v>
      </c>
      <c r="K3548" s="24">
        <f t="shared" si="278"/>
        <v>7.65</v>
      </c>
      <c r="L3548" s="24">
        <f t="shared" si="279"/>
        <v>0</v>
      </c>
    </row>
    <row r="3549" spans="1:12" ht="15" customHeight="1" x14ac:dyDescent="0.3">
      <c r="A3549" s="23" t="s">
        <v>16652</v>
      </c>
      <c r="B3549" s="23" t="s">
        <v>75</v>
      </c>
      <c r="C3549" s="39">
        <v>499</v>
      </c>
      <c r="D3549" s="24">
        <v>0</v>
      </c>
      <c r="E3549" s="24">
        <v>0</v>
      </c>
      <c r="F3549" s="23">
        <f>COUNTIFS(mdr_rate_cleaned!$A$2:$A$10,B3549,mdr_rate_cleaned!$B$2:$B$10,"&lt;"&amp;C3549,mdr_rate_cleaned!$F$2:$F$10,"&gt;="&amp;C3549)</f>
        <v>1</v>
      </c>
      <c r="G3549" s="40">
        <f>SUMIFS(mdr_rate_cleaned!$G$2:$G$10,mdr_rate_cleaned!$A$2:$A$10,B3549,mdr_rate_cleaned!$B$2:$B$10,"&lt;"&amp;C3549,mdr_rate_cleaned!$F$2:$F$10,"&gt;="&amp;C3549)</f>
        <v>0</v>
      </c>
      <c r="H3549" s="24">
        <f t="shared" si="275"/>
        <v>0</v>
      </c>
      <c r="I3549" s="23" t="str">
        <f t="shared" si="276"/>
        <v>Match</v>
      </c>
      <c r="J3549" s="23" t="str">
        <f t="shared" si="277"/>
        <v>Match</v>
      </c>
      <c r="K3549" s="24">
        <f t="shared" si="278"/>
        <v>0</v>
      </c>
      <c r="L3549" s="24">
        <f t="shared" si="279"/>
        <v>0</v>
      </c>
    </row>
    <row r="3550" spans="1:12" ht="15" customHeight="1" x14ac:dyDescent="0.3">
      <c r="A3550" s="23" t="s">
        <v>16654</v>
      </c>
      <c r="B3550" s="23" t="s">
        <v>79</v>
      </c>
      <c r="C3550" s="39">
        <v>2797</v>
      </c>
      <c r="D3550" s="24">
        <v>44.75</v>
      </c>
      <c r="E3550" s="24">
        <v>8.06</v>
      </c>
      <c r="F3550" s="23">
        <f>COUNTIFS(mdr_rate_cleaned!$A$2:$A$10,B3550,mdr_rate_cleaned!$B$2:$B$10,"&lt;"&amp;C3550,mdr_rate_cleaned!$F$2:$F$10,"&gt;="&amp;C3550)</f>
        <v>1</v>
      </c>
      <c r="G3550" s="40">
        <f>SUMIFS(mdr_rate_cleaned!$G$2:$G$10,mdr_rate_cleaned!$A$2:$A$10,B3550,mdr_rate_cleaned!$B$2:$B$10,"&lt;"&amp;C3550,mdr_rate_cleaned!$F$2:$F$10,"&gt;="&amp;C3550)</f>
        <v>1.6E-2</v>
      </c>
      <c r="H3550" s="24">
        <f t="shared" si="275"/>
        <v>44.75</v>
      </c>
      <c r="I3550" s="23" t="str">
        <f t="shared" si="276"/>
        <v>Match</v>
      </c>
      <c r="J3550" s="23" t="str">
        <f t="shared" si="277"/>
        <v>Match</v>
      </c>
      <c r="K3550" s="24">
        <f t="shared" si="278"/>
        <v>8.06</v>
      </c>
      <c r="L3550" s="24">
        <f t="shared" si="279"/>
        <v>0</v>
      </c>
    </row>
    <row r="3551" spans="1:12" ht="15" customHeight="1" x14ac:dyDescent="0.3">
      <c r="A3551" s="23" t="s">
        <v>16655</v>
      </c>
      <c r="B3551" s="23" t="s">
        <v>79</v>
      </c>
      <c r="C3551" s="39">
        <v>1799</v>
      </c>
      <c r="D3551" s="24">
        <v>32.380000000000003</v>
      </c>
      <c r="E3551" s="24">
        <v>5.83</v>
      </c>
      <c r="F3551" s="23">
        <f>COUNTIFS(mdr_rate_cleaned!$A$2:$A$10,B3551,mdr_rate_cleaned!$B$2:$B$10,"&lt;"&amp;C3551,mdr_rate_cleaned!$F$2:$F$10,"&gt;="&amp;C3551)</f>
        <v>1</v>
      </c>
      <c r="G3551" s="40">
        <f>SUMIFS(mdr_rate_cleaned!$G$2:$G$10,mdr_rate_cleaned!$A$2:$A$10,B3551,mdr_rate_cleaned!$B$2:$B$10,"&lt;"&amp;C3551,mdr_rate_cleaned!$F$2:$F$10,"&gt;="&amp;C3551)</f>
        <v>1.8000000000000002E-2</v>
      </c>
      <c r="H3551" s="24">
        <f t="shared" si="275"/>
        <v>32.380000000000003</v>
      </c>
      <c r="I3551" s="23" t="str">
        <f t="shared" si="276"/>
        <v>Match</v>
      </c>
      <c r="J3551" s="23" t="str">
        <f t="shared" si="277"/>
        <v>Match</v>
      </c>
      <c r="K3551" s="24">
        <f t="shared" si="278"/>
        <v>5.83</v>
      </c>
      <c r="L3551" s="24">
        <f t="shared" si="279"/>
        <v>0</v>
      </c>
    </row>
    <row r="3552" spans="1:12" ht="15" customHeight="1" x14ac:dyDescent="0.3">
      <c r="A3552" s="23" t="s">
        <v>16656</v>
      </c>
      <c r="B3552" s="23" t="s">
        <v>75</v>
      </c>
      <c r="C3552" s="39">
        <v>3499</v>
      </c>
      <c r="D3552" s="24">
        <v>10.5</v>
      </c>
      <c r="E3552" s="24">
        <v>1.89</v>
      </c>
      <c r="F3552" s="23">
        <f>COUNTIFS(mdr_rate_cleaned!$A$2:$A$10,B3552,mdr_rate_cleaned!$B$2:$B$10,"&lt;"&amp;C3552,mdr_rate_cleaned!$F$2:$F$10,"&gt;="&amp;C3552)</f>
        <v>1</v>
      </c>
      <c r="G3552" s="40">
        <f>SUMIFS(mdr_rate_cleaned!$G$2:$G$10,mdr_rate_cleaned!$A$2:$A$10,B3552,mdr_rate_cleaned!$B$2:$B$10,"&lt;"&amp;C3552,mdr_rate_cleaned!$F$2:$F$10,"&gt;="&amp;C3552)</f>
        <v>3.0000000000000001E-3</v>
      </c>
      <c r="H3552" s="24">
        <f t="shared" si="275"/>
        <v>10.5</v>
      </c>
      <c r="I3552" s="23" t="str">
        <f t="shared" si="276"/>
        <v>Match</v>
      </c>
      <c r="J3552" s="23" t="str">
        <f t="shared" si="277"/>
        <v>Match</v>
      </c>
      <c r="K3552" s="24">
        <f t="shared" si="278"/>
        <v>1.89</v>
      </c>
      <c r="L3552" s="24">
        <f t="shared" si="279"/>
        <v>0</v>
      </c>
    </row>
    <row r="3553" spans="1:12" ht="15" customHeight="1" x14ac:dyDescent="0.3">
      <c r="A3553" s="23" t="s">
        <v>16657</v>
      </c>
      <c r="B3553" s="23" t="s">
        <v>75</v>
      </c>
      <c r="C3553" s="39">
        <v>1299</v>
      </c>
      <c r="D3553" s="24">
        <v>0</v>
      </c>
      <c r="E3553" s="24">
        <v>0</v>
      </c>
      <c r="F3553" s="23">
        <f>COUNTIFS(mdr_rate_cleaned!$A$2:$A$10,B3553,mdr_rate_cleaned!$B$2:$B$10,"&lt;"&amp;C3553,mdr_rate_cleaned!$F$2:$F$10,"&gt;="&amp;C3553)</f>
        <v>1</v>
      </c>
      <c r="G3553" s="40">
        <f>SUMIFS(mdr_rate_cleaned!$G$2:$G$10,mdr_rate_cleaned!$A$2:$A$10,B3553,mdr_rate_cleaned!$B$2:$B$10,"&lt;"&amp;C3553,mdr_rate_cleaned!$F$2:$F$10,"&gt;="&amp;C3553)</f>
        <v>0</v>
      </c>
      <c r="H3553" s="24">
        <f t="shared" si="275"/>
        <v>0</v>
      </c>
      <c r="I3553" s="23" t="str">
        <f t="shared" si="276"/>
        <v>Match</v>
      </c>
      <c r="J3553" s="23" t="str">
        <f t="shared" si="277"/>
        <v>Match</v>
      </c>
      <c r="K3553" s="24">
        <f t="shared" si="278"/>
        <v>0</v>
      </c>
      <c r="L3553" s="24">
        <f t="shared" si="279"/>
        <v>0</v>
      </c>
    </row>
    <row r="3554" spans="1:12" ht="15" customHeight="1" x14ac:dyDescent="0.3">
      <c r="A3554" s="23" t="s">
        <v>16658</v>
      </c>
      <c r="B3554" s="23" t="s">
        <v>75</v>
      </c>
      <c r="C3554" s="39">
        <v>7997</v>
      </c>
      <c r="D3554" s="24">
        <v>23.99</v>
      </c>
      <c r="E3554" s="24">
        <v>4.32</v>
      </c>
      <c r="F3554" s="23">
        <f>COUNTIFS(mdr_rate_cleaned!$A$2:$A$10,B3554,mdr_rate_cleaned!$B$2:$B$10,"&lt;"&amp;C3554,mdr_rate_cleaned!$F$2:$F$10,"&gt;="&amp;C3554)</f>
        <v>1</v>
      </c>
      <c r="G3554" s="40">
        <f>SUMIFS(mdr_rate_cleaned!$G$2:$G$10,mdr_rate_cleaned!$A$2:$A$10,B3554,mdr_rate_cleaned!$B$2:$B$10,"&lt;"&amp;C3554,mdr_rate_cleaned!$F$2:$F$10,"&gt;="&amp;C3554)</f>
        <v>3.0000000000000001E-3</v>
      </c>
      <c r="H3554" s="24">
        <f t="shared" si="275"/>
        <v>23.99</v>
      </c>
      <c r="I3554" s="23" t="str">
        <f t="shared" si="276"/>
        <v>Match</v>
      </c>
      <c r="J3554" s="23" t="str">
        <f t="shared" si="277"/>
        <v>Match</v>
      </c>
      <c r="K3554" s="24">
        <f t="shared" si="278"/>
        <v>4.32</v>
      </c>
      <c r="L3554" s="24">
        <f t="shared" si="279"/>
        <v>0</v>
      </c>
    </row>
    <row r="3555" spans="1:12" ht="15" customHeight="1" x14ac:dyDescent="0.3">
      <c r="A3555" s="23" t="s">
        <v>16659</v>
      </c>
      <c r="B3555" s="23" t="s">
        <v>75</v>
      </c>
      <c r="C3555" s="39">
        <v>4797</v>
      </c>
      <c r="D3555" s="24">
        <v>14.39</v>
      </c>
      <c r="E3555" s="24">
        <v>2.59</v>
      </c>
      <c r="F3555" s="23">
        <f>COUNTIFS(mdr_rate_cleaned!$A$2:$A$10,B3555,mdr_rate_cleaned!$B$2:$B$10,"&lt;"&amp;C3555,mdr_rate_cleaned!$F$2:$F$10,"&gt;="&amp;C3555)</f>
        <v>1</v>
      </c>
      <c r="G3555" s="40">
        <f>SUMIFS(mdr_rate_cleaned!$G$2:$G$10,mdr_rate_cleaned!$A$2:$A$10,B3555,mdr_rate_cleaned!$B$2:$B$10,"&lt;"&amp;C3555,mdr_rate_cleaned!$F$2:$F$10,"&gt;="&amp;C3555)</f>
        <v>3.0000000000000001E-3</v>
      </c>
      <c r="H3555" s="24">
        <f t="shared" si="275"/>
        <v>14.39</v>
      </c>
      <c r="I3555" s="23" t="str">
        <f t="shared" si="276"/>
        <v>Match</v>
      </c>
      <c r="J3555" s="23" t="str">
        <f t="shared" si="277"/>
        <v>Match</v>
      </c>
      <c r="K3555" s="24">
        <f t="shared" si="278"/>
        <v>2.59</v>
      </c>
      <c r="L3555" s="24">
        <f t="shared" si="279"/>
        <v>0</v>
      </c>
    </row>
    <row r="3556" spans="1:12" ht="15" customHeight="1" x14ac:dyDescent="0.3">
      <c r="A3556" s="23" t="s">
        <v>16660</v>
      </c>
      <c r="B3556" s="23" t="s">
        <v>75</v>
      </c>
      <c r="C3556" s="39">
        <v>4797</v>
      </c>
      <c r="D3556" s="24">
        <v>14.39</v>
      </c>
      <c r="E3556" s="24">
        <v>2.59</v>
      </c>
      <c r="F3556" s="23">
        <f>COUNTIFS(mdr_rate_cleaned!$A$2:$A$10,B3556,mdr_rate_cleaned!$B$2:$B$10,"&lt;"&amp;C3556,mdr_rate_cleaned!$F$2:$F$10,"&gt;="&amp;C3556)</f>
        <v>1</v>
      </c>
      <c r="G3556" s="40">
        <f>SUMIFS(mdr_rate_cleaned!$G$2:$G$10,mdr_rate_cleaned!$A$2:$A$10,B3556,mdr_rate_cleaned!$B$2:$B$10,"&lt;"&amp;C3556,mdr_rate_cleaned!$F$2:$F$10,"&gt;="&amp;C3556)</f>
        <v>3.0000000000000001E-3</v>
      </c>
      <c r="H3556" s="24">
        <f t="shared" si="275"/>
        <v>14.39</v>
      </c>
      <c r="I3556" s="23" t="str">
        <f t="shared" si="276"/>
        <v>Match</v>
      </c>
      <c r="J3556" s="23" t="str">
        <f t="shared" si="277"/>
        <v>Match</v>
      </c>
      <c r="K3556" s="24">
        <f t="shared" si="278"/>
        <v>2.59</v>
      </c>
      <c r="L3556" s="24">
        <f t="shared" si="279"/>
        <v>0</v>
      </c>
    </row>
    <row r="3557" spans="1:12" ht="15" customHeight="1" x14ac:dyDescent="0.3">
      <c r="A3557" s="23" t="s">
        <v>16661</v>
      </c>
      <c r="B3557" s="23" t="s">
        <v>75</v>
      </c>
      <c r="C3557" s="39">
        <v>2098</v>
      </c>
      <c r="D3557" s="24">
        <v>6.29</v>
      </c>
      <c r="E3557" s="24">
        <v>1.1299999999999999</v>
      </c>
      <c r="F3557" s="23">
        <f>COUNTIFS(mdr_rate_cleaned!$A$2:$A$10,B3557,mdr_rate_cleaned!$B$2:$B$10,"&lt;"&amp;C3557,mdr_rate_cleaned!$F$2:$F$10,"&gt;="&amp;C3557)</f>
        <v>1</v>
      </c>
      <c r="G3557" s="40">
        <f>SUMIFS(mdr_rate_cleaned!$G$2:$G$10,mdr_rate_cleaned!$A$2:$A$10,B3557,mdr_rate_cleaned!$B$2:$B$10,"&lt;"&amp;C3557,mdr_rate_cleaned!$F$2:$F$10,"&gt;="&amp;C3557)</f>
        <v>3.0000000000000001E-3</v>
      </c>
      <c r="H3557" s="24">
        <f t="shared" si="275"/>
        <v>6.29</v>
      </c>
      <c r="I3557" s="23" t="str">
        <f t="shared" si="276"/>
        <v>Match</v>
      </c>
      <c r="J3557" s="23" t="str">
        <f t="shared" si="277"/>
        <v>Match</v>
      </c>
      <c r="K3557" s="24">
        <f t="shared" si="278"/>
        <v>1.1299999999999999</v>
      </c>
      <c r="L3557" s="24">
        <f t="shared" si="279"/>
        <v>0</v>
      </c>
    </row>
    <row r="3558" spans="1:12" ht="15" customHeight="1" x14ac:dyDescent="0.3">
      <c r="A3558" s="23" t="s">
        <v>16662</v>
      </c>
      <c r="B3558" s="23" t="s">
        <v>75</v>
      </c>
      <c r="C3558" s="39">
        <v>4999</v>
      </c>
      <c r="D3558" s="24">
        <v>15</v>
      </c>
      <c r="E3558" s="24">
        <v>2.7</v>
      </c>
      <c r="F3558" s="23">
        <f>COUNTIFS(mdr_rate_cleaned!$A$2:$A$10,B3558,mdr_rate_cleaned!$B$2:$B$10,"&lt;"&amp;C3558,mdr_rate_cleaned!$F$2:$F$10,"&gt;="&amp;C3558)</f>
        <v>1</v>
      </c>
      <c r="G3558" s="40">
        <f>SUMIFS(mdr_rate_cleaned!$G$2:$G$10,mdr_rate_cleaned!$A$2:$A$10,B3558,mdr_rate_cleaned!$B$2:$B$10,"&lt;"&amp;C3558,mdr_rate_cleaned!$F$2:$F$10,"&gt;="&amp;C3558)</f>
        <v>3.0000000000000001E-3</v>
      </c>
      <c r="H3558" s="24">
        <f t="shared" si="275"/>
        <v>15</v>
      </c>
      <c r="I3558" s="23" t="str">
        <f t="shared" si="276"/>
        <v>Match</v>
      </c>
      <c r="J3558" s="23" t="str">
        <f t="shared" si="277"/>
        <v>Match</v>
      </c>
      <c r="K3558" s="24">
        <f t="shared" si="278"/>
        <v>2.7</v>
      </c>
      <c r="L3558" s="24">
        <f t="shared" si="279"/>
        <v>0</v>
      </c>
    </row>
    <row r="3559" spans="1:12" ht="15" customHeight="1" x14ac:dyDescent="0.3">
      <c r="A3559" s="23" t="s">
        <v>16663</v>
      </c>
      <c r="B3559" s="23" t="s">
        <v>75</v>
      </c>
      <c r="C3559" s="39">
        <v>8348</v>
      </c>
      <c r="D3559" s="24">
        <v>25.04</v>
      </c>
      <c r="E3559" s="24">
        <v>4.51</v>
      </c>
      <c r="F3559" s="23">
        <f>COUNTIFS(mdr_rate_cleaned!$A$2:$A$10,B3559,mdr_rate_cleaned!$B$2:$B$10,"&lt;"&amp;C3559,mdr_rate_cleaned!$F$2:$F$10,"&gt;="&amp;C3559)</f>
        <v>1</v>
      </c>
      <c r="G3559" s="40">
        <f>SUMIFS(mdr_rate_cleaned!$G$2:$G$10,mdr_rate_cleaned!$A$2:$A$10,B3559,mdr_rate_cleaned!$B$2:$B$10,"&lt;"&amp;C3559,mdr_rate_cleaned!$F$2:$F$10,"&gt;="&amp;C3559)</f>
        <v>3.0000000000000001E-3</v>
      </c>
      <c r="H3559" s="24">
        <f t="shared" si="275"/>
        <v>25.04</v>
      </c>
      <c r="I3559" s="23" t="str">
        <f t="shared" si="276"/>
        <v>Match</v>
      </c>
      <c r="J3559" s="23" t="str">
        <f t="shared" si="277"/>
        <v>Match</v>
      </c>
      <c r="K3559" s="24">
        <f t="shared" si="278"/>
        <v>4.51</v>
      </c>
      <c r="L3559" s="24">
        <f t="shared" si="279"/>
        <v>0</v>
      </c>
    </row>
    <row r="3560" spans="1:12" ht="15" customHeight="1" x14ac:dyDescent="0.3">
      <c r="A3560" s="23" t="s">
        <v>16664</v>
      </c>
      <c r="B3560" s="23" t="s">
        <v>75</v>
      </c>
      <c r="C3560" s="39">
        <v>9897</v>
      </c>
      <c r="D3560" s="24">
        <v>29.69</v>
      </c>
      <c r="E3560" s="24">
        <v>5.34</v>
      </c>
      <c r="F3560" s="23">
        <f>COUNTIFS(mdr_rate_cleaned!$A$2:$A$10,B3560,mdr_rate_cleaned!$B$2:$B$10,"&lt;"&amp;C3560,mdr_rate_cleaned!$F$2:$F$10,"&gt;="&amp;C3560)</f>
        <v>1</v>
      </c>
      <c r="G3560" s="40">
        <f>SUMIFS(mdr_rate_cleaned!$G$2:$G$10,mdr_rate_cleaned!$A$2:$A$10,B3560,mdr_rate_cleaned!$B$2:$B$10,"&lt;"&amp;C3560,mdr_rate_cleaned!$F$2:$F$10,"&gt;="&amp;C3560)</f>
        <v>3.0000000000000001E-3</v>
      </c>
      <c r="H3560" s="24">
        <f t="shared" si="275"/>
        <v>29.69</v>
      </c>
      <c r="I3560" s="23" t="str">
        <f t="shared" si="276"/>
        <v>Match</v>
      </c>
      <c r="J3560" s="23" t="str">
        <f t="shared" si="277"/>
        <v>Match</v>
      </c>
      <c r="K3560" s="24">
        <f t="shared" si="278"/>
        <v>5.34</v>
      </c>
      <c r="L3560" s="24">
        <f t="shared" si="279"/>
        <v>0</v>
      </c>
    </row>
    <row r="3561" spans="1:12" ht="15" customHeight="1" x14ac:dyDescent="0.3">
      <c r="A3561" s="23" t="s">
        <v>16665</v>
      </c>
      <c r="B3561" s="23" t="s">
        <v>79</v>
      </c>
      <c r="C3561" s="39">
        <v>3298</v>
      </c>
      <c r="D3561" s="24">
        <v>52.77</v>
      </c>
      <c r="E3561" s="24">
        <v>9.5</v>
      </c>
      <c r="F3561" s="23">
        <f>COUNTIFS(mdr_rate_cleaned!$A$2:$A$10,B3561,mdr_rate_cleaned!$B$2:$B$10,"&lt;"&amp;C3561,mdr_rate_cleaned!$F$2:$F$10,"&gt;="&amp;C3561)</f>
        <v>1</v>
      </c>
      <c r="G3561" s="40">
        <f>SUMIFS(mdr_rate_cleaned!$G$2:$G$10,mdr_rate_cleaned!$A$2:$A$10,B3561,mdr_rate_cleaned!$B$2:$B$10,"&lt;"&amp;C3561,mdr_rate_cleaned!$F$2:$F$10,"&gt;="&amp;C3561)</f>
        <v>1.6E-2</v>
      </c>
      <c r="H3561" s="24">
        <f t="shared" si="275"/>
        <v>52.77</v>
      </c>
      <c r="I3561" s="23" t="str">
        <f t="shared" si="276"/>
        <v>Match</v>
      </c>
      <c r="J3561" s="23" t="str">
        <f t="shared" si="277"/>
        <v>Match</v>
      </c>
      <c r="K3561" s="24">
        <f t="shared" si="278"/>
        <v>9.5</v>
      </c>
      <c r="L3561" s="24">
        <f t="shared" si="279"/>
        <v>0</v>
      </c>
    </row>
    <row r="3562" spans="1:12" ht="15" customHeight="1" x14ac:dyDescent="0.3">
      <c r="A3562" s="23" t="s">
        <v>16666</v>
      </c>
      <c r="B3562" s="23" t="s">
        <v>79</v>
      </c>
      <c r="C3562" s="39">
        <v>3798</v>
      </c>
      <c r="D3562" s="24">
        <v>60.77</v>
      </c>
      <c r="E3562" s="24">
        <v>10.94</v>
      </c>
      <c r="F3562" s="23">
        <f>COUNTIFS(mdr_rate_cleaned!$A$2:$A$10,B3562,mdr_rate_cleaned!$B$2:$B$10,"&lt;"&amp;C3562,mdr_rate_cleaned!$F$2:$F$10,"&gt;="&amp;C3562)</f>
        <v>1</v>
      </c>
      <c r="G3562" s="40">
        <f>SUMIFS(mdr_rate_cleaned!$G$2:$G$10,mdr_rate_cleaned!$A$2:$A$10,B3562,mdr_rate_cleaned!$B$2:$B$10,"&lt;"&amp;C3562,mdr_rate_cleaned!$F$2:$F$10,"&gt;="&amp;C3562)</f>
        <v>1.6E-2</v>
      </c>
      <c r="H3562" s="24">
        <f t="shared" si="275"/>
        <v>60.77</v>
      </c>
      <c r="I3562" s="23" t="str">
        <f t="shared" si="276"/>
        <v>Match</v>
      </c>
      <c r="J3562" s="23" t="str">
        <f t="shared" si="277"/>
        <v>Match</v>
      </c>
      <c r="K3562" s="24">
        <f t="shared" si="278"/>
        <v>10.94</v>
      </c>
      <c r="L3562" s="24">
        <f t="shared" si="279"/>
        <v>0</v>
      </c>
    </row>
    <row r="3563" spans="1:12" ht="15" customHeight="1" x14ac:dyDescent="0.3">
      <c r="A3563" s="23" t="s">
        <v>16667</v>
      </c>
      <c r="B3563" s="23" t="s">
        <v>79</v>
      </c>
      <c r="C3563" s="39">
        <v>7999</v>
      </c>
      <c r="D3563" s="24">
        <v>127.98</v>
      </c>
      <c r="E3563" s="24">
        <v>23.04</v>
      </c>
      <c r="F3563" s="23">
        <f>COUNTIFS(mdr_rate_cleaned!$A$2:$A$10,B3563,mdr_rate_cleaned!$B$2:$B$10,"&lt;"&amp;C3563,mdr_rate_cleaned!$F$2:$F$10,"&gt;="&amp;C3563)</f>
        <v>1</v>
      </c>
      <c r="G3563" s="40">
        <f>SUMIFS(mdr_rate_cleaned!$G$2:$G$10,mdr_rate_cleaned!$A$2:$A$10,B3563,mdr_rate_cleaned!$B$2:$B$10,"&lt;"&amp;C3563,mdr_rate_cleaned!$F$2:$F$10,"&gt;="&amp;C3563)</f>
        <v>1.6E-2</v>
      </c>
      <c r="H3563" s="24">
        <f t="shared" si="275"/>
        <v>127.98</v>
      </c>
      <c r="I3563" s="23" t="str">
        <f t="shared" si="276"/>
        <v>Match</v>
      </c>
      <c r="J3563" s="23" t="str">
        <f t="shared" si="277"/>
        <v>Match</v>
      </c>
      <c r="K3563" s="24">
        <f t="shared" si="278"/>
        <v>23.04</v>
      </c>
      <c r="L3563" s="24">
        <f t="shared" si="279"/>
        <v>0</v>
      </c>
    </row>
    <row r="3564" spans="1:12" ht="15" customHeight="1" x14ac:dyDescent="0.3">
      <c r="A3564" s="23" t="s">
        <v>16668</v>
      </c>
      <c r="B3564" s="23" t="s">
        <v>81</v>
      </c>
      <c r="C3564" s="39">
        <v>1299</v>
      </c>
      <c r="D3564" s="24">
        <v>19.489999999999998</v>
      </c>
      <c r="E3564" s="24">
        <v>3.51</v>
      </c>
      <c r="F3564" s="23">
        <f>COUNTIFS(mdr_rate_cleaned!$A$2:$A$10,B3564,mdr_rate_cleaned!$B$2:$B$10,"&lt;"&amp;C3564,mdr_rate_cleaned!$F$2:$F$10,"&gt;="&amp;C3564)</f>
        <v>1</v>
      </c>
      <c r="G3564" s="40">
        <f>SUMIFS(mdr_rate_cleaned!$G$2:$G$10,mdr_rate_cleaned!$A$2:$A$10,B3564,mdr_rate_cleaned!$B$2:$B$10,"&lt;"&amp;C3564,mdr_rate_cleaned!$F$2:$F$10,"&gt;="&amp;C3564)</f>
        <v>1.4999999999999999E-2</v>
      </c>
      <c r="H3564" s="24">
        <f t="shared" si="275"/>
        <v>19.489999999999998</v>
      </c>
      <c r="I3564" s="23" t="str">
        <f t="shared" si="276"/>
        <v>Match</v>
      </c>
      <c r="J3564" s="23" t="str">
        <f t="shared" si="277"/>
        <v>Match</v>
      </c>
      <c r="K3564" s="24">
        <f t="shared" si="278"/>
        <v>3.51</v>
      </c>
      <c r="L3564" s="24">
        <f t="shared" si="279"/>
        <v>0</v>
      </c>
    </row>
    <row r="3565" spans="1:12" ht="15" customHeight="1" x14ac:dyDescent="0.3">
      <c r="A3565" s="23" t="s">
        <v>16669</v>
      </c>
      <c r="B3565" s="23" t="s">
        <v>75</v>
      </c>
      <c r="C3565" s="39">
        <v>799</v>
      </c>
      <c r="D3565" s="24">
        <v>0</v>
      </c>
      <c r="E3565" s="24">
        <v>0</v>
      </c>
      <c r="F3565" s="23">
        <f>COUNTIFS(mdr_rate_cleaned!$A$2:$A$10,B3565,mdr_rate_cleaned!$B$2:$B$10,"&lt;"&amp;C3565,mdr_rate_cleaned!$F$2:$F$10,"&gt;="&amp;C3565)</f>
        <v>1</v>
      </c>
      <c r="G3565" s="40">
        <f>SUMIFS(mdr_rate_cleaned!$G$2:$G$10,mdr_rate_cleaned!$A$2:$A$10,B3565,mdr_rate_cleaned!$B$2:$B$10,"&lt;"&amp;C3565,mdr_rate_cleaned!$F$2:$F$10,"&gt;="&amp;C3565)</f>
        <v>0</v>
      </c>
      <c r="H3565" s="24">
        <f t="shared" si="275"/>
        <v>0</v>
      </c>
      <c r="I3565" s="23" t="str">
        <f t="shared" si="276"/>
        <v>Match</v>
      </c>
      <c r="J3565" s="23" t="str">
        <f t="shared" si="277"/>
        <v>Match</v>
      </c>
      <c r="K3565" s="24">
        <f t="shared" si="278"/>
        <v>0</v>
      </c>
      <c r="L3565" s="24">
        <f t="shared" si="279"/>
        <v>0</v>
      </c>
    </row>
    <row r="3566" spans="1:12" ht="15" customHeight="1" x14ac:dyDescent="0.3">
      <c r="A3566" s="23" t="s">
        <v>16670</v>
      </c>
      <c r="B3566" s="23" t="s">
        <v>75</v>
      </c>
      <c r="C3566" s="39">
        <v>5298</v>
      </c>
      <c r="D3566" s="24">
        <v>15.89</v>
      </c>
      <c r="E3566" s="24">
        <v>2.86</v>
      </c>
      <c r="F3566" s="23">
        <f>COUNTIFS(mdr_rate_cleaned!$A$2:$A$10,B3566,mdr_rate_cleaned!$B$2:$B$10,"&lt;"&amp;C3566,mdr_rate_cleaned!$F$2:$F$10,"&gt;="&amp;C3566)</f>
        <v>1</v>
      </c>
      <c r="G3566" s="40">
        <f>SUMIFS(mdr_rate_cleaned!$G$2:$G$10,mdr_rate_cleaned!$A$2:$A$10,B3566,mdr_rate_cleaned!$B$2:$B$10,"&lt;"&amp;C3566,mdr_rate_cleaned!$F$2:$F$10,"&gt;="&amp;C3566)</f>
        <v>3.0000000000000001E-3</v>
      </c>
      <c r="H3566" s="24">
        <f t="shared" si="275"/>
        <v>15.89</v>
      </c>
      <c r="I3566" s="23" t="str">
        <f t="shared" si="276"/>
        <v>Match</v>
      </c>
      <c r="J3566" s="23" t="str">
        <f t="shared" si="277"/>
        <v>Match</v>
      </c>
      <c r="K3566" s="24">
        <f t="shared" si="278"/>
        <v>2.86</v>
      </c>
      <c r="L3566" s="24">
        <f t="shared" si="279"/>
        <v>0</v>
      </c>
    </row>
    <row r="3567" spans="1:12" ht="15" customHeight="1" x14ac:dyDescent="0.3">
      <c r="A3567" s="23" t="s">
        <v>16671</v>
      </c>
      <c r="B3567" s="23" t="s">
        <v>79</v>
      </c>
      <c r="C3567" s="39">
        <v>1499</v>
      </c>
      <c r="D3567" s="24">
        <v>26.98</v>
      </c>
      <c r="E3567" s="24">
        <v>4.8600000000000003</v>
      </c>
      <c r="F3567" s="23">
        <f>COUNTIFS(mdr_rate_cleaned!$A$2:$A$10,B3567,mdr_rate_cleaned!$B$2:$B$10,"&lt;"&amp;C3567,mdr_rate_cleaned!$F$2:$F$10,"&gt;="&amp;C3567)</f>
        <v>1</v>
      </c>
      <c r="G3567" s="40">
        <f>SUMIFS(mdr_rate_cleaned!$G$2:$G$10,mdr_rate_cleaned!$A$2:$A$10,B3567,mdr_rate_cleaned!$B$2:$B$10,"&lt;"&amp;C3567,mdr_rate_cleaned!$F$2:$F$10,"&gt;="&amp;C3567)</f>
        <v>1.8000000000000002E-2</v>
      </c>
      <c r="H3567" s="24">
        <f t="shared" si="275"/>
        <v>26.98</v>
      </c>
      <c r="I3567" s="23" t="str">
        <f t="shared" si="276"/>
        <v>Match</v>
      </c>
      <c r="J3567" s="23" t="str">
        <f t="shared" si="277"/>
        <v>Match</v>
      </c>
      <c r="K3567" s="24">
        <f t="shared" si="278"/>
        <v>4.8600000000000003</v>
      </c>
      <c r="L3567" s="24">
        <f t="shared" si="279"/>
        <v>0</v>
      </c>
    </row>
    <row r="3568" spans="1:12" ht="15" customHeight="1" x14ac:dyDescent="0.3">
      <c r="A3568" s="23" t="s">
        <v>16673</v>
      </c>
      <c r="B3568" s="23" t="s">
        <v>79</v>
      </c>
      <c r="C3568" s="39">
        <v>4397</v>
      </c>
      <c r="D3568" s="24">
        <v>70.349999999999994</v>
      </c>
      <c r="E3568" s="24">
        <v>12.66</v>
      </c>
      <c r="F3568" s="23">
        <f>COUNTIFS(mdr_rate_cleaned!$A$2:$A$10,B3568,mdr_rate_cleaned!$B$2:$B$10,"&lt;"&amp;C3568,mdr_rate_cleaned!$F$2:$F$10,"&gt;="&amp;C3568)</f>
        <v>1</v>
      </c>
      <c r="G3568" s="40">
        <f>SUMIFS(mdr_rate_cleaned!$G$2:$G$10,mdr_rate_cleaned!$A$2:$A$10,B3568,mdr_rate_cleaned!$B$2:$B$10,"&lt;"&amp;C3568,mdr_rate_cleaned!$F$2:$F$10,"&gt;="&amp;C3568)</f>
        <v>1.6E-2</v>
      </c>
      <c r="H3568" s="24">
        <f t="shared" si="275"/>
        <v>70.349999999999994</v>
      </c>
      <c r="I3568" s="23" t="str">
        <f t="shared" si="276"/>
        <v>Match</v>
      </c>
      <c r="J3568" s="23" t="str">
        <f t="shared" si="277"/>
        <v>Match</v>
      </c>
      <c r="K3568" s="24">
        <f t="shared" si="278"/>
        <v>12.66</v>
      </c>
      <c r="L3568" s="24">
        <f t="shared" si="279"/>
        <v>0</v>
      </c>
    </row>
    <row r="3569" spans="1:12" ht="15" customHeight="1" x14ac:dyDescent="0.3">
      <c r="A3569" s="23" t="s">
        <v>16674</v>
      </c>
      <c r="B3569" s="23" t="s">
        <v>75</v>
      </c>
      <c r="C3569" s="39">
        <v>2098</v>
      </c>
      <c r="D3569" s="24">
        <v>6.29</v>
      </c>
      <c r="E3569" s="24">
        <v>1.1299999999999999</v>
      </c>
      <c r="F3569" s="23">
        <f>COUNTIFS(mdr_rate_cleaned!$A$2:$A$10,B3569,mdr_rate_cleaned!$B$2:$B$10,"&lt;"&amp;C3569,mdr_rate_cleaned!$F$2:$F$10,"&gt;="&amp;C3569)</f>
        <v>1</v>
      </c>
      <c r="G3569" s="40">
        <f>SUMIFS(mdr_rate_cleaned!$G$2:$G$10,mdr_rate_cleaned!$A$2:$A$10,B3569,mdr_rate_cleaned!$B$2:$B$10,"&lt;"&amp;C3569,mdr_rate_cleaned!$F$2:$F$10,"&gt;="&amp;C3569)</f>
        <v>3.0000000000000001E-3</v>
      </c>
      <c r="H3569" s="24">
        <f t="shared" si="275"/>
        <v>6.29</v>
      </c>
      <c r="I3569" s="23" t="str">
        <f t="shared" si="276"/>
        <v>Match</v>
      </c>
      <c r="J3569" s="23" t="str">
        <f t="shared" si="277"/>
        <v>Match</v>
      </c>
      <c r="K3569" s="24">
        <f t="shared" si="278"/>
        <v>1.1299999999999999</v>
      </c>
      <c r="L3569" s="24">
        <f t="shared" si="279"/>
        <v>0</v>
      </c>
    </row>
    <row r="3570" spans="1:12" ht="15" customHeight="1" x14ac:dyDescent="0.3">
      <c r="A3570" s="23" t="s">
        <v>16675</v>
      </c>
      <c r="B3570" s="23" t="s">
        <v>75</v>
      </c>
      <c r="C3570" s="39">
        <v>4999</v>
      </c>
      <c r="D3570" s="24">
        <v>15</v>
      </c>
      <c r="E3570" s="24">
        <v>2.7</v>
      </c>
      <c r="F3570" s="23">
        <f>COUNTIFS(mdr_rate_cleaned!$A$2:$A$10,B3570,mdr_rate_cleaned!$B$2:$B$10,"&lt;"&amp;C3570,mdr_rate_cleaned!$F$2:$F$10,"&gt;="&amp;C3570)</f>
        <v>1</v>
      </c>
      <c r="G3570" s="40">
        <f>SUMIFS(mdr_rate_cleaned!$G$2:$G$10,mdr_rate_cleaned!$A$2:$A$10,B3570,mdr_rate_cleaned!$B$2:$B$10,"&lt;"&amp;C3570,mdr_rate_cleaned!$F$2:$F$10,"&gt;="&amp;C3570)</f>
        <v>3.0000000000000001E-3</v>
      </c>
      <c r="H3570" s="24">
        <f t="shared" si="275"/>
        <v>15</v>
      </c>
      <c r="I3570" s="23" t="str">
        <f t="shared" si="276"/>
        <v>Match</v>
      </c>
      <c r="J3570" s="23" t="str">
        <f t="shared" si="277"/>
        <v>Match</v>
      </c>
      <c r="K3570" s="24">
        <f t="shared" si="278"/>
        <v>2.7</v>
      </c>
      <c r="L3570" s="24">
        <f t="shared" si="279"/>
        <v>0</v>
      </c>
    </row>
    <row r="3571" spans="1:12" ht="15" customHeight="1" x14ac:dyDescent="0.3">
      <c r="A3571" s="23" t="s">
        <v>16676</v>
      </c>
      <c r="B3571" s="23" t="s">
        <v>77</v>
      </c>
      <c r="C3571" s="39">
        <v>999</v>
      </c>
      <c r="D3571" s="24">
        <v>18.98</v>
      </c>
      <c r="E3571" s="24">
        <v>3.42</v>
      </c>
      <c r="F3571" s="23">
        <f>COUNTIFS(mdr_rate_cleaned!$A$2:$A$10,B3571,mdr_rate_cleaned!$B$2:$B$10,"&lt;"&amp;C3571,mdr_rate_cleaned!$F$2:$F$10,"&gt;="&amp;C3571)</f>
        <v>1</v>
      </c>
      <c r="G3571" s="40">
        <f>SUMIFS(mdr_rate_cleaned!$G$2:$G$10,mdr_rate_cleaned!$A$2:$A$10,B3571,mdr_rate_cleaned!$B$2:$B$10,"&lt;"&amp;C3571,mdr_rate_cleaned!$F$2:$F$10,"&gt;="&amp;C3571)</f>
        <v>1.9E-2</v>
      </c>
      <c r="H3571" s="24">
        <f t="shared" si="275"/>
        <v>18.98</v>
      </c>
      <c r="I3571" s="23" t="str">
        <f t="shared" si="276"/>
        <v>Match</v>
      </c>
      <c r="J3571" s="23" t="str">
        <f t="shared" si="277"/>
        <v>Match</v>
      </c>
      <c r="K3571" s="24">
        <f t="shared" si="278"/>
        <v>3.42</v>
      </c>
      <c r="L3571" s="24">
        <f t="shared" si="279"/>
        <v>0</v>
      </c>
    </row>
    <row r="3572" spans="1:12" ht="15" customHeight="1" x14ac:dyDescent="0.3">
      <c r="A3572" s="23" t="s">
        <v>16677</v>
      </c>
      <c r="B3572" s="23" t="s">
        <v>77</v>
      </c>
      <c r="C3572" s="39">
        <v>349</v>
      </c>
      <c r="D3572" s="24">
        <v>6.63</v>
      </c>
      <c r="E3572" s="24">
        <v>1.19</v>
      </c>
      <c r="F3572" s="23">
        <f>COUNTIFS(mdr_rate_cleaned!$A$2:$A$10,B3572,mdr_rate_cleaned!$B$2:$B$10,"&lt;"&amp;C3572,mdr_rate_cleaned!$F$2:$F$10,"&gt;="&amp;C3572)</f>
        <v>1</v>
      </c>
      <c r="G3572" s="40">
        <f>SUMIFS(mdr_rate_cleaned!$G$2:$G$10,mdr_rate_cleaned!$A$2:$A$10,B3572,mdr_rate_cleaned!$B$2:$B$10,"&lt;"&amp;C3572,mdr_rate_cleaned!$F$2:$F$10,"&gt;="&amp;C3572)</f>
        <v>1.9E-2</v>
      </c>
      <c r="H3572" s="24">
        <f t="shared" si="275"/>
        <v>6.63</v>
      </c>
      <c r="I3572" s="23" t="str">
        <f t="shared" si="276"/>
        <v>Match</v>
      </c>
      <c r="J3572" s="23" t="str">
        <f t="shared" si="277"/>
        <v>Match</v>
      </c>
      <c r="K3572" s="24">
        <f t="shared" si="278"/>
        <v>1.19</v>
      </c>
      <c r="L3572" s="24">
        <f t="shared" si="279"/>
        <v>0</v>
      </c>
    </row>
    <row r="3573" spans="1:12" ht="15" customHeight="1" x14ac:dyDescent="0.3">
      <c r="A3573" s="23" t="s">
        <v>16678</v>
      </c>
      <c r="B3573" s="23" t="s">
        <v>75</v>
      </c>
      <c r="C3573" s="39">
        <v>2499</v>
      </c>
      <c r="D3573" s="24">
        <v>7.5</v>
      </c>
      <c r="E3573" s="24">
        <v>1.35</v>
      </c>
      <c r="F3573" s="23">
        <f>COUNTIFS(mdr_rate_cleaned!$A$2:$A$10,B3573,mdr_rate_cleaned!$B$2:$B$10,"&lt;"&amp;C3573,mdr_rate_cleaned!$F$2:$F$10,"&gt;="&amp;C3573)</f>
        <v>1</v>
      </c>
      <c r="G3573" s="40">
        <f>SUMIFS(mdr_rate_cleaned!$G$2:$G$10,mdr_rate_cleaned!$A$2:$A$10,B3573,mdr_rate_cleaned!$B$2:$B$10,"&lt;"&amp;C3573,mdr_rate_cleaned!$F$2:$F$10,"&gt;="&amp;C3573)</f>
        <v>3.0000000000000001E-3</v>
      </c>
      <c r="H3573" s="24">
        <f t="shared" si="275"/>
        <v>7.5</v>
      </c>
      <c r="I3573" s="23" t="str">
        <f t="shared" si="276"/>
        <v>Match</v>
      </c>
      <c r="J3573" s="23" t="str">
        <f t="shared" si="277"/>
        <v>Match</v>
      </c>
      <c r="K3573" s="24">
        <f t="shared" si="278"/>
        <v>1.35</v>
      </c>
      <c r="L3573" s="24">
        <f t="shared" si="279"/>
        <v>0</v>
      </c>
    </row>
    <row r="3574" spans="1:12" ht="15" customHeight="1" x14ac:dyDescent="0.3">
      <c r="A3574" s="23" t="s">
        <v>16680</v>
      </c>
      <c r="B3574" s="23" t="s">
        <v>77</v>
      </c>
      <c r="C3574" s="39">
        <v>1799</v>
      </c>
      <c r="D3574" s="24">
        <v>34.18</v>
      </c>
      <c r="E3574" s="24">
        <v>6.15</v>
      </c>
      <c r="F3574" s="23">
        <f>COUNTIFS(mdr_rate_cleaned!$A$2:$A$10,B3574,mdr_rate_cleaned!$B$2:$B$10,"&lt;"&amp;C3574,mdr_rate_cleaned!$F$2:$F$10,"&gt;="&amp;C3574)</f>
        <v>1</v>
      </c>
      <c r="G3574" s="40">
        <f>SUMIFS(mdr_rate_cleaned!$G$2:$G$10,mdr_rate_cleaned!$A$2:$A$10,B3574,mdr_rate_cleaned!$B$2:$B$10,"&lt;"&amp;C3574,mdr_rate_cleaned!$F$2:$F$10,"&gt;="&amp;C3574)</f>
        <v>1.9E-2</v>
      </c>
      <c r="H3574" s="24">
        <f t="shared" si="275"/>
        <v>34.18</v>
      </c>
      <c r="I3574" s="23" t="str">
        <f t="shared" si="276"/>
        <v>Match</v>
      </c>
      <c r="J3574" s="23" t="str">
        <f t="shared" si="277"/>
        <v>Match</v>
      </c>
      <c r="K3574" s="24">
        <f t="shared" si="278"/>
        <v>6.15</v>
      </c>
      <c r="L3574" s="24">
        <f t="shared" si="279"/>
        <v>0</v>
      </c>
    </row>
    <row r="3575" spans="1:12" ht="15" customHeight="1" x14ac:dyDescent="0.3">
      <c r="A3575" s="23" t="s">
        <v>16681</v>
      </c>
      <c r="B3575" s="23" t="s">
        <v>79</v>
      </c>
      <c r="C3575" s="39">
        <v>4998</v>
      </c>
      <c r="D3575" s="24">
        <v>79.97</v>
      </c>
      <c r="E3575" s="24">
        <v>14.39</v>
      </c>
      <c r="F3575" s="23">
        <f>COUNTIFS(mdr_rate_cleaned!$A$2:$A$10,B3575,mdr_rate_cleaned!$B$2:$B$10,"&lt;"&amp;C3575,mdr_rate_cleaned!$F$2:$F$10,"&gt;="&amp;C3575)</f>
        <v>1</v>
      </c>
      <c r="G3575" s="40">
        <f>SUMIFS(mdr_rate_cleaned!$G$2:$G$10,mdr_rate_cleaned!$A$2:$A$10,B3575,mdr_rate_cleaned!$B$2:$B$10,"&lt;"&amp;C3575,mdr_rate_cleaned!$F$2:$F$10,"&gt;="&amp;C3575)</f>
        <v>1.6E-2</v>
      </c>
      <c r="H3575" s="24">
        <f t="shared" si="275"/>
        <v>79.97</v>
      </c>
      <c r="I3575" s="23" t="str">
        <f t="shared" si="276"/>
        <v>Match</v>
      </c>
      <c r="J3575" s="23" t="str">
        <f t="shared" si="277"/>
        <v>Match</v>
      </c>
      <c r="K3575" s="24">
        <f t="shared" si="278"/>
        <v>14.39</v>
      </c>
      <c r="L3575" s="24">
        <f t="shared" si="279"/>
        <v>0</v>
      </c>
    </row>
    <row r="3576" spans="1:12" ht="15" customHeight="1" x14ac:dyDescent="0.3">
      <c r="A3576" s="23" t="s">
        <v>16682</v>
      </c>
      <c r="B3576" s="23" t="s">
        <v>75</v>
      </c>
      <c r="C3576" s="39">
        <v>7998</v>
      </c>
      <c r="D3576" s="24">
        <v>23.99</v>
      </c>
      <c r="E3576" s="24">
        <v>4.32</v>
      </c>
      <c r="F3576" s="23">
        <f>COUNTIFS(mdr_rate_cleaned!$A$2:$A$10,B3576,mdr_rate_cleaned!$B$2:$B$10,"&lt;"&amp;C3576,mdr_rate_cleaned!$F$2:$F$10,"&gt;="&amp;C3576)</f>
        <v>1</v>
      </c>
      <c r="G3576" s="40">
        <f>SUMIFS(mdr_rate_cleaned!$G$2:$G$10,mdr_rate_cleaned!$A$2:$A$10,B3576,mdr_rate_cleaned!$B$2:$B$10,"&lt;"&amp;C3576,mdr_rate_cleaned!$F$2:$F$10,"&gt;="&amp;C3576)</f>
        <v>3.0000000000000001E-3</v>
      </c>
      <c r="H3576" s="24">
        <f t="shared" si="275"/>
        <v>23.99</v>
      </c>
      <c r="I3576" s="23" t="str">
        <f t="shared" si="276"/>
        <v>Match</v>
      </c>
      <c r="J3576" s="23" t="str">
        <f t="shared" si="277"/>
        <v>Match</v>
      </c>
      <c r="K3576" s="24">
        <f t="shared" si="278"/>
        <v>4.32</v>
      </c>
      <c r="L3576" s="24">
        <f t="shared" si="279"/>
        <v>0</v>
      </c>
    </row>
    <row r="3577" spans="1:12" ht="15" customHeight="1" x14ac:dyDescent="0.3">
      <c r="A3577" s="23" t="s">
        <v>16683</v>
      </c>
      <c r="B3577" s="23" t="s">
        <v>75</v>
      </c>
      <c r="C3577" s="39">
        <v>299</v>
      </c>
      <c r="D3577" s="24">
        <v>0</v>
      </c>
      <c r="E3577" s="24">
        <v>0</v>
      </c>
      <c r="F3577" s="23">
        <f>COUNTIFS(mdr_rate_cleaned!$A$2:$A$10,B3577,mdr_rate_cleaned!$B$2:$B$10,"&lt;"&amp;C3577,mdr_rate_cleaned!$F$2:$F$10,"&gt;="&amp;C3577)</f>
        <v>1</v>
      </c>
      <c r="G3577" s="40">
        <f>SUMIFS(mdr_rate_cleaned!$G$2:$G$10,mdr_rate_cleaned!$A$2:$A$10,B3577,mdr_rate_cleaned!$B$2:$B$10,"&lt;"&amp;C3577,mdr_rate_cleaned!$F$2:$F$10,"&gt;="&amp;C3577)</f>
        <v>0</v>
      </c>
      <c r="H3577" s="24">
        <f t="shared" si="275"/>
        <v>0</v>
      </c>
      <c r="I3577" s="23" t="str">
        <f t="shared" si="276"/>
        <v>Match</v>
      </c>
      <c r="J3577" s="23" t="str">
        <f t="shared" si="277"/>
        <v>Match</v>
      </c>
      <c r="K3577" s="24">
        <f t="shared" si="278"/>
        <v>0</v>
      </c>
      <c r="L3577" s="24">
        <f t="shared" si="279"/>
        <v>0</v>
      </c>
    </row>
    <row r="3578" spans="1:12" ht="15" customHeight="1" x14ac:dyDescent="0.3">
      <c r="A3578" s="23" t="s">
        <v>16684</v>
      </c>
      <c r="B3578" s="23" t="s">
        <v>77</v>
      </c>
      <c r="C3578" s="39">
        <v>3499</v>
      </c>
      <c r="D3578" s="24">
        <v>59.48</v>
      </c>
      <c r="E3578" s="24">
        <v>10.71</v>
      </c>
      <c r="F3578" s="23">
        <f>COUNTIFS(mdr_rate_cleaned!$A$2:$A$10,B3578,mdr_rate_cleaned!$B$2:$B$10,"&lt;"&amp;C3578,mdr_rate_cleaned!$F$2:$F$10,"&gt;="&amp;C3578)</f>
        <v>1</v>
      </c>
      <c r="G3578" s="40">
        <f>SUMIFS(mdr_rate_cleaned!$G$2:$G$10,mdr_rate_cleaned!$A$2:$A$10,B3578,mdr_rate_cleaned!$B$2:$B$10,"&lt;"&amp;C3578,mdr_rate_cleaned!$F$2:$F$10,"&gt;="&amp;C3578)</f>
        <v>1.7000000000000001E-2</v>
      </c>
      <c r="H3578" s="24">
        <f t="shared" si="275"/>
        <v>59.48</v>
      </c>
      <c r="I3578" s="23" t="str">
        <f t="shared" si="276"/>
        <v>Match</v>
      </c>
      <c r="J3578" s="23" t="str">
        <f t="shared" si="277"/>
        <v>Match</v>
      </c>
      <c r="K3578" s="24">
        <f t="shared" si="278"/>
        <v>10.71</v>
      </c>
      <c r="L3578" s="24">
        <f t="shared" si="279"/>
        <v>0</v>
      </c>
    </row>
    <row r="3579" spans="1:12" ht="15" customHeight="1" x14ac:dyDescent="0.3">
      <c r="A3579" s="23" t="s">
        <v>16686</v>
      </c>
      <c r="B3579" s="23" t="s">
        <v>75</v>
      </c>
      <c r="C3579" s="39">
        <v>10097</v>
      </c>
      <c r="D3579" s="24">
        <v>30.29</v>
      </c>
      <c r="E3579" s="24">
        <v>5.45</v>
      </c>
      <c r="F3579" s="23">
        <f>COUNTIFS(mdr_rate_cleaned!$A$2:$A$10,B3579,mdr_rate_cleaned!$B$2:$B$10,"&lt;"&amp;C3579,mdr_rate_cleaned!$F$2:$F$10,"&gt;="&amp;C3579)</f>
        <v>1</v>
      </c>
      <c r="G3579" s="40">
        <f>SUMIFS(mdr_rate_cleaned!$G$2:$G$10,mdr_rate_cleaned!$A$2:$A$10,B3579,mdr_rate_cleaned!$B$2:$B$10,"&lt;"&amp;C3579,mdr_rate_cleaned!$F$2:$F$10,"&gt;="&amp;C3579)</f>
        <v>3.0000000000000001E-3</v>
      </c>
      <c r="H3579" s="24">
        <f t="shared" si="275"/>
        <v>30.29</v>
      </c>
      <c r="I3579" s="23" t="str">
        <f t="shared" si="276"/>
        <v>Match</v>
      </c>
      <c r="J3579" s="23" t="str">
        <f t="shared" si="277"/>
        <v>Match</v>
      </c>
      <c r="K3579" s="24">
        <f t="shared" si="278"/>
        <v>5.45</v>
      </c>
      <c r="L3579" s="24">
        <f t="shared" si="279"/>
        <v>0</v>
      </c>
    </row>
    <row r="3580" spans="1:12" ht="15" customHeight="1" x14ac:dyDescent="0.3">
      <c r="A3580" s="23" t="s">
        <v>16688</v>
      </c>
      <c r="B3580" s="23" t="s">
        <v>79</v>
      </c>
      <c r="C3580" s="39">
        <v>6497</v>
      </c>
      <c r="D3580" s="24">
        <v>103.95</v>
      </c>
      <c r="E3580" s="24">
        <v>18.71</v>
      </c>
      <c r="F3580" s="23">
        <f>COUNTIFS(mdr_rate_cleaned!$A$2:$A$10,B3580,mdr_rate_cleaned!$B$2:$B$10,"&lt;"&amp;C3580,mdr_rate_cleaned!$F$2:$F$10,"&gt;="&amp;C3580)</f>
        <v>1</v>
      </c>
      <c r="G3580" s="40">
        <f>SUMIFS(mdr_rate_cleaned!$G$2:$G$10,mdr_rate_cleaned!$A$2:$A$10,B3580,mdr_rate_cleaned!$B$2:$B$10,"&lt;"&amp;C3580,mdr_rate_cleaned!$F$2:$F$10,"&gt;="&amp;C3580)</f>
        <v>1.6E-2</v>
      </c>
      <c r="H3580" s="24">
        <f t="shared" si="275"/>
        <v>103.95</v>
      </c>
      <c r="I3580" s="23" t="str">
        <f t="shared" si="276"/>
        <v>Match</v>
      </c>
      <c r="J3580" s="23" t="str">
        <f t="shared" si="277"/>
        <v>Match</v>
      </c>
      <c r="K3580" s="24">
        <f t="shared" si="278"/>
        <v>18.71</v>
      </c>
      <c r="L3580" s="24">
        <f t="shared" si="279"/>
        <v>0</v>
      </c>
    </row>
    <row r="3581" spans="1:12" ht="15" customHeight="1" x14ac:dyDescent="0.3">
      <c r="A3581" s="23" t="s">
        <v>16689</v>
      </c>
      <c r="B3581" s="23" t="s">
        <v>75</v>
      </c>
      <c r="C3581" s="39">
        <v>3397</v>
      </c>
      <c r="D3581" s="24">
        <v>10.19</v>
      </c>
      <c r="E3581" s="24">
        <v>1.83</v>
      </c>
      <c r="F3581" s="23">
        <f>COUNTIFS(mdr_rate_cleaned!$A$2:$A$10,B3581,mdr_rate_cleaned!$B$2:$B$10,"&lt;"&amp;C3581,mdr_rate_cleaned!$F$2:$F$10,"&gt;="&amp;C3581)</f>
        <v>1</v>
      </c>
      <c r="G3581" s="40">
        <f>SUMIFS(mdr_rate_cleaned!$G$2:$G$10,mdr_rate_cleaned!$A$2:$A$10,B3581,mdr_rate_cleaned!$B$2:$B$10,"&lt;"&amp;C3581,mdr_rate_cleaned!$F$2:$F$10,"&gt;="&amp;C3581)</f>
        <v>3.0000000000000001E-3</v>
      </c>
      <c r="H3581" s="24">
        <f t="shared" si="275"/>
        <v>10.19</v>
      </c>
      <c r="I3581" s="23" t="str">
        <f t="shared" si="276"/>
        <v>Match</v>
      </c>
      <c r="J3581" s="23" t="str">
        <f t="shared" si="277"/>
        <v>Match</v>
      </c>
      <c r="K3581" s="24">
        <f t="shared" si="278"/>
        <v>1.83</v>
      </c>
      <c r="L3581" s="24">
        <f t="shared" si="279"/>
        <v>0</v>
      </c>
    </row>
    <row r="3582" spans="1:12" ht="15" customHeight="1" x14ac:dyDescent="0.3">
      <c r="A3582" s="23" t="s">
        <v>16690</v>
      </c>
      <c r="B3582" s="23" t="s">
        <v>81</v>
      </c>
      <c r="C3582" s="39">
        <v>1348</v>
      </c>
      <c r="D3582" s="24">
        <v>20.22</v>
      </c>
      <c r="E3582" s="24">
        <v>3.64</v>
      </c>
      <c r="F3582" s="23">
        <f>COUNTIFS(mdr_rate_cleaned!$A$2:$A$10,B3582,mdr_rate_cleaned!$B$2:$B$10,"&lt;"&amp;C3582,mdr_rate_cleaned!$F$2:$F$10,"&gt;="&amp;C3582)</f>
        <v>1</v>
      </c>
      <c r="G3582" s="40">
        <f>SUMIFS(mdr_rate_cleaned!$G$2:$G$10,mdr_rate_cleaned!$A$2:$A$10,B3582,mdr_rate_cleaned!$B$2:$B$10,"&lt;"&amp;C3582,mdr_rate_cleaned!$F$2:$F$10,"&gt;="&amp;C3582)</f>
        <v>1.4999999999999999E-2</v>
      </c>
      <c r="H3582" s="24">
        <f t="shared" si="275"/>
        <v>20.22</v>
      </c>
      <c r="I3582" s="23" t="str">
        <f t="shared" si="276"/>
        <v>Match</v>
      </c>
      <c r="J3582" s="23" t="str">
        <f t="shared" si="277"/>
        <v>Match</v>
      </c>
      <c r="K3582" s="24">
        <f t="shared" si="278"/>
        <v>3.64</v>
      </c>
      <c r="L3582" s="24">
        <f t="shared" si="279"/>
        <v>0</v>
      </c>
    </row>
    <row r="3583" spans="1:12" ht="15" customHeight="1" x14ac:dyDescent="0.3">
      <c r="A3583" s="23" t="s">
        <v>16691</v>
      </c>
      <c r="B3583" s="23" t="s">
        <v>75</v>
      </c>
      <c r="C3583" s="39">
        <v>1747</v>
      </c>
      <c r="D3583" s="24">
        <v>0</v>
      </c>
      <c r="E3583" s="24">
        <v>0</v>
      </c>
      <c r="F3583" s="23">
        <f>COUNTIFS(mdr_rate_cleaned!$A$2:$A$10,B3583,mdr_rate_cleaned!$B$2:$B$10,"&lt;"&amp;C3583,mdr_rate_cleaned!$F$2:$F$10,"&gt;="&amp;C3583)</f>
        <v>1</v>
      </c>
      <c r="G3583" s="40">
        <f>SUMIFS(mdr_rate_cleaned!$G$2:$G$10,mdr_rate_cleaned!$A$2:$A$10,B3583,mdr_rate_cleaned!$B$2:$B$10,"&lt;"&amp;C3583,mdr_rate_cleaned!$F$2:$F$10,"&gt;="&amp;C3583)</f>
        <v>0</v>
      </c>
      <c r="H3583" s="24">
        <f t="shared" si="275"/>
        <v>0</v>
      </c>
      <c r="I3583" s="23" t="str">
        <f t="shared" si="276"/>
        <v>Match</v>
      </c>
      <c r="J3583" s="23" t="str">
        <f t="shared" si="277"/>
        <v>Match</v>
      </c>
      <c r="K3583" s="24">
        <f t="shared" si="278"/>
        <v>0</v>
      </c>
      <c r="L3583" s="24">
        <f t="shared" si="279"/>
        <v>0</v>
      </c>
    </row>
    <row r="3584" spans="1:12" ht="15" customHeight="1" x14ac:dyDescent="0.3">
      <c r="A3584" s="23" t="s">
        <v>16693</v>
      </c>
      <c r="B3584" s="23" t="s">
        <v>81</v>
      </c>
      <c r="C3584" s="39">
        <v>349</v>
      </c>
      <c r="D3584" s="24">
        <v>5.24</v>
      </c>
      <c r="E3584" s="24">
        <v>0.94</v>
      </c>
      <c r="F3584" s="23">
        <f>COUNTIFS(mdr_rate_cleaned!$A$2:$A$10,B3584,mdr_rate_cleaned!$B$2:$B$10,"&lt;"&amp;C3584,mdr_rate_cleaned!$F$2:$F$10,"&gt;="&amp;C3584)</f>
        <v>1</v>
      </c>
      <c r="G3584" s="40">
        <f>SUMIFS(mdr_rate_cleaned!$G$2:$G$10,mdr_rate_cleaned!$A$2:$A$10,B3584,mdr_rate_cleaned!$B$2:$B$10,"&lt;"&amp;C3584,mdr_rate_cleaned!$F$2:$F$10,"&gt;="&amp;C3584)</f>
        <v>1.4999999999999999E-2</v>
      </c>
      <c r="H3584" s="24">
        <f t="shared" si="275"/>
        <v>5.24</v>
      </c>
      <c r="I3584" s="23" t="str">
        <f t="shared" si="276"/>
        <v>Match</v>
      </c>
      <c r="J3584" s="23" t="str">
        <f t="shared" si="277"/>
        <v>Match</v>
      </c>
      <c r="K3584" s="24">
        <f t="shared" si="278"/>
        <v>0.94</v>
      </c>
      <c r="L3584" s="24">
        <f t="shared" si="279"/>
        <v>0</v>
      </c>
    </row>
    <row r="3585" spans="1:12" ht="15" customHeight="1" x14ac:dyDescent="0.3">
      <c r="A3585" s="23" t="s">
        <v>16694</v>
      </c>
      <c r="B3585" s="23" t="s">
        <v>79</v>
      </c>
      <c r="C3585" s="39">
        <v>1499</v>
      </c>
      <c r="D3585" s="24">
        <v>26.98</v>
      </c>
      <c r="E3585" s="24">
        <v>4.8600000000000003</v>
      </c>
      <c r="F3585" s="23">
        <f>COUNTIFS(mdr_rate_cleaned!$A$2:$A$10,B3585,mdr_rate_cleaned!$B$2:$B$10,"&lt;"&amp;C3585,mdr_rate_cleaned!$F$2:$F$10,"&gt;="&amp;C3585)</f>
        <v>1</v>
      </c>
      <c r="G3585" s="40">
        <f>SUMIFS(mdr_rate_cleaned!$G$2:$G$10,mdr_rate_cleaned!$A$2:$A$10,B3585,mdr_rate_cleaned!$B$2:$B$10,"&lt;"&amp;C3585,mdr_rate_cleaned!$F$2:$F$10,"&gt;="&amp;C3585)</f>
        <v>1.8000000000000002E-2</v>
      </c>
      <c r="H3585" s="24">
        <f t="shared" si="275"/>
        <v>26.98</v>
      </c>
      <c r="I3585" s="23" t="str">
        <f t="shared" si="276"/>
        <v>Match</v>
      </c>
      <c r="J3585" s="23" t="str">
        <f t="shared" si="277"/>
        <v>Match</v>
      </c>
      <c r="K3585" s="24">
        <f t="shared" si="278"/>
        <v>4.8600000000000003</v>
      </c>
      <c r="L3585" s="24">
        <f t="shared" si="279"/>
        <v>0</v>
      </c>
    </row>
    <row r="3586" spans="1:12" ht="15" customHeight="1" x14ac:dyDescent="0.3">
      <c r="A3586" s="23" t="s">
        <v>16695</v>
      </c>
      <c r="B3586" s="23" t="s">
        <v>75</v>
      </c>
      <c r="C3586" s="39">
        <v>7998</v>
      </c>
      <c r="D3586" s="24">
        <v>23.99</v>
      </c>
      <c r="E3586" s="24">
        <v>4.32</v>
      </c>
      <c r="F3586" s="23">
        <f>COUNTIFS(mdr_rate_cleaned!$A$2:$A$10,B3586,mdr_rate_cleaned!$B$2:$B$10,"&lt;"&amp;C3586,mdr_rate_cleaned!$F$2:$F$10,"&gt;="&amp;C3586)</f>
        <v>1</v>
      </c>
      <c r="G3586" s="40">
        <f>SUMIFS(mdr_rate_cleaned!$G$2:$G$10,mdr_rate_cleaned!$A$2:$A$10,B3586,mdr_rate_cleaned!$B$2:$B$10,"&lt;"&amp;C3586,mdr_rate_cleaned!$F$2:$F$10,"&gt;="&amp;C3586)</f>
        <v>3.0000000000000001E-3</v>
      </c>
      <c r="H3586" s="24">
        <f t="shared" ref="H3586:H3649" si="280">ROUND(C3586*G3586,2)</f>
        <v>23.99</v>
      </c>
      <c r="I3586" s="23" t="str">
        <f t="shared" ref="I3586:I3649" si="281">IF(ROUND(D3586-H3586,2)=0,"Match","Differs")</f>
        <v>Match</v>
      </c>
      <c r="J3586" s="23" t="str">
        <f t="shared" ref="J3586:J3649" si="282">IF(ROUND(E3586-ROUND(D3586*0.18,2),2)=0,"Match","Differs")</f>
        <v>Match</v>
      </c>
      <c r="K3586" s="24">
        <f t="shared" ref="K3586:K3649" si="283">ROUND(H3586*0.18,2)</f>
        <v>4.32</v>
      </c>
      <c r="L3586" s="24">
        <f t="shared" ref="L3586:L3649" si="284">ROUND(D3586+E3586-H3586-K3586,2)</f>
        <v>0</v>
      </c>
    </row>
    <row r="3587" spans="1:12" ht="15" customHeight="1" x14ac:dyDescent="0.3">
      <c r="A3587" s="23" t="s">
        <v>16696</v>
      </c>
      <c r="B3587" s="23" t="s">
        <v>79</v>
      </c>
      <c r="C3587" s="39">
        <v>4298</v>
      </c>
      <c r="D3587" s="24">
        <v>68.77</v>
      </c>
      <c r="E3587" s="24">
        <v>12.38</v>
      </c>
      <c r="F3587" s="23">
        <f>COUNTIFS(mdr_rate_cleaned!$A$2:$A$10,B3587,mdr_rate_cleaned!$B$2:$B$10,"&lt;"&amp;C3587,mdr_rate_cleaned!$F$2:$F$10,"&gt;="&amp;C3587)</f>
        <v>1</v>
      </c>
      <c r="G3587" s="40">
        <f>SUMIFS(mdr_rate_cleaned!$G$2:$G$10,mdr_rate_cleaned!$A$2:$A$10,B3587,mdr_rate_cleaned!$B$2:$B$10,"&lt;"&amp;C3587,mdr_rate_cleaned!$F$2:$F$10,"&gt;="&amp;C3587)</f>
        <v>1.6E-2</v>
      </c>
      <c r="H3587" s="24">
        <f t="shared" si="280"/>
        <v>68.77</v>
      </c>
      <c r="I3587" s="23" t="str">
        <f t="shared" si="281"/>
        <v>Match</v>
      </c>
      <c r="J3587" s="23" t="str">
        <f t="shared" si="282"/>
        <v>Match</v>
      </c>
      <c r="K3587" s="24">
        <f t="shared" si="283"/>
        <v>12.38</v>
      </c>
      <c r="L3587" s="24">
        <f t="shared" si="284"/>
        <v>0</v>
      </c>
    </row>
    <row r="3588" spans="1:12" ht="15" customHeight="1" x14ac:dyDescent="0.3">
      <c r="A3588" s="23" t="s">
        <v>16697</v>
      </c>
      <c r="B3588" s="23" t="s">
        <v>77</v>
      </c>
      <c r="C3588" s="39">
        <v>6298</v>
      </c>
      <c r="D3588" s="24">
        <v>107.07</v>
      </c>
      <c r="E3588" s="24">
        <v>19.27</v>
      </c>
      <c r="F3588" s="23">
        <f>COUNTIFS(mdr_rate_cleaned!$A$2:$A$10,B3588,mdr_rate_cleaned!$B$2:$B$10,"&lt;"&amp;C3588,mdr_rate_cleaned!$F$2:$F$10,"&gt;="&amp;C3588)</f>
        <v>1</v>
      </c>
      <c r="G3588" s="40">
        <f>SUMIFS(mdr_rate_cleaned!$G$2:$G$10,mdr_rate_cleaned!$A$2:$A$10,B3588,mdr_rate_cleaned!$B$2:$B$10,"&lt;"&amp;C3588,mdr_rate_cleaned!$F$2:$F$10,"&gt;="&amp;C3588)</f>
        <v>1.7000000000000001E-2</v>
      </c>
      <c r="H3588" s="24">
        <f t="shared" si="280"/>
        <v>107.07</v>
      </c>
      <c r="I3588" s="23" t="str">
        <f t="shared" si="281"/>
        <v>Match</v>
      </c>
      <c r="J3588" s="23" t="str">
        <f t="shared" si="282"/>
        <v>Match</v>
      </c>
      <c r="K3588" s="24">
        <f t="shared" si="283"/>
        <v>19.27</v>
      </c>
      <c r="L3588" s="24">
        <f t="shared" si="284"/>
        <v>0</v>
      </c>
    </row>
    <row r="3589" spans="1:12" ht="15" customHeight="1" x14ac:dyDescent="0.3">
      <c r="A3589" s="23" t="s">
        <v>16698</v>
      </c>
      <c r="B3589" s="23" t="s">
        <v>75</v>
      </c>
      <c r="C3589" s="39">
        <v>1299</v>
      </c>
      <c r="D3589" s="24">
        <v>0</v>
      </c>
      <c r="E3589" s="24">
        <v>0</v>
      </c>
      <c r="F3589" s="23">
        <f>COUNTIFS(mdr_rate_cleaned!$A$2:$A$10,B3589,mdr_rate_cleaned!$B$2:$B$10,"&lt;"&amp;C3589,mdr_rate_cleaned!$F$2:$F$10,"&gt;="&amp;C3589)</f>
        <v>1</v>
      </c>
      <c r="G3589" s="40">
        <f>SUMIFS(mdr_rate_cleaned!$G$2:$G$10,mdr_rate_cleaned!$A$2:$A$10,B3589,mdr_rate_cleaned!$B$2:$B$10,"&lt;"&amp;C3589,mdr_rate_cleaned!$F$2:$F$10,"&gt;="&amp;C3589)</f>
        <v>0</v>
      </c>
      <c r="H3589" s="24">
        <f t="shared" si="280"/>
        <v>0</v>
      </c>
      <c r="I3589" s="23" t="str">
        <f t="shared" si="281"/>
        <v>Match</v>
      </c>
      <c r="J3589" s="23" t="str">
        <f t="shared" si="282"/>
        <v>Match</v>
      </c>
      <c r="K3589" s="24">
        <f t="shared" si="283"/>
        <v>0</v>
      </c>
      <c r="L3589" s="24">
        <f t="shared" si="284"/>
        <v>0</v>
      </c>
    </row>
    <row r="3590" spans="1:12" ht="15" customHeight="1" x14ac:dyDescent="0.3">
      <c r="A3590" s="23" t="s">
        <v>16699</v>
      </c>
      <c r="B3590" s="23" t="s">
        <v>75</v>
      </c>
      <c r="C3590" s="39">
        <v>3498</v>
      </c>
      <c r="D3590" s="24">
        <v>10.49</v>
      </c>
      <c r="E3590" s="24">
        <v>1.89</v>
      </c>
      <c r="F3590" s="23">
        <f>COUNTIFS(mdr_rate_cleaned!$A$2:$A$10,B3590,mdr_rate_cleaned!$B$2:$B$10,"&lt;"&amp;C3590,mdr_rate_cleaned!$F$2:$F$10,"&gt;="&amp;C3590)</f>
        <v>1</v>
      </c>
      <c r="G3590" s="40">
        <f>SUMIFS(mdr_rate_cleaned!$G$2:$G$10,mdr_rate_cleaned!$A$2:$A$10,B3590,mdr_rate_cleaned!$B$2:$B$10,"&lt;"&amp;C3590,mdr_rate_cleaned!$F$2:$F$10,"&gt;="&amp;C3590)</f>
        <v>3.0000000000000001E-3</v>
      </c>
      <c r="H3590" s="24">
        <f t="shared" si="280"/>
        <v>10.49</v>
      </c>
      <c r="I3590" s="23" t="str">
        <f t="shared" si="281"/>
        <v>Match</v>
      </c>
      <c r="J3590" s="23" t="str">
        <f t="shared" si="282"/>
        <v>Match</v>
      </c>
      <c r="K3590" s="24">
        <f t="shared" si="283"/>
        <v>1.89</v>
      </c>
      <c r="L3590" s="24">
        <f t="shared" si="284"/>
        <v>0</v>
      </c>
    </row>
    <row r="3591" spans="1:12" ht="15" customHeight="1" x14ac:dyDescent="0.3">
      <c r="A3591" s="23" t="s">
        <v>16700</v>
      </c>
      <c r="B3591" s="23" t="s">
        <v>81</v>
      </c>
      <c r="C3591" s="39">
        <v>1098</v>
      </c>
      <c r="D3591" s="24">
        <v>16.47</v>
      </c>
      <c r="E3591" s="24">
        <v>2.96</v>
      </c>
      <c r="F3591" s="23">
        <f>COUNTIFS(mdr_rate_cleaned!$A$2:$A$10,B3591,mdr_rate_cleaned!$B$2:$B$10,"&lt;"&amp;C3591,mdr_rate_cleaned!$F$2:$F$10,"&gt;="&amp;C3591)</f>
        <v>1</v>
      </c>
      <c r="G3591" s="40">
        <f>SUMIFS(mdr_rate_cleaned!$G$2:$G$10,mdr_rate_cleaned!$A$2:$A$10,B3591,mdr_rate_cleaned!$B$2:$B$10,"&lt;"&amp;C3591,mdr_rate_cleaned!$F$2:$F$10,"&gt;="&amp;C3591)</f>
        <v>1.4999999999999999E-2</v>
      </c>
      <c r="H3591" s="24">
        <f t="shared" si="280"/>
        <v>16.47</v>
      </c>
      <c r="I3591" s="23" t="str">
        <f t="shared" si="281"/>
        <v>Match</v>
      </c>
      <c r="J3591" s="23" t="str">
        <f t="shared" si="282"/>
        <v>Match</v>
      </c>
      <c r="K3591" s="24">
        <f t="shared" si="283"/>
        <v>2.96</v>
      </c>
      <c r="L3591" s="24">
        <f t="shared" si="284"/>
        <v>0</v>
      </c>
    </row>
    <row r="3592" spans="1:12" ht="15" customHeight="1" x14ac:dyDescent="0.3">
      <c r="A3592" s="23" t="s">
        <v>16701</v>
      </c>
      <c r="B3592" s="23" t="s">
        <v>79</v>
      </c>
      <c r="C3592" s="39">
        <v>2697</v>
      </c>
      <c r="D3592" s="24">
        <v>43.15</v>
      </c>
      <c r="E3592" s="24">
        <v>7.77</v>
      </c>
      <c r="F3592" s="23">
        <f>COUNTIFS(mdr_rate_cleaned!$A$2:$A$10,B3592,mdr_rate_cleaned!$B$2:$B$10,"&lt;"&amp;C3592,mdr_rate_cleaned!$F$2:$F$10,"&gt;="&amp;C3592)</f>
        <v>1</v>
      </c>
      <c r="G3592" s="40">
        <f>SUMIFS(mdr_rate_cleaned!$G$2:$G$10,mdr_rate_cleaned!$A$2:$A$10,B3592,mdr_rate_cleaned!$B$2:$B$10,"&lt;"&amp;C3592,mdr_rate_cleaned!$F$2:$F$10,"&gt;="&amp;C3592)</f>
        <v>1.6E-2</v>
      </c>
      <c r="H3592" s="24">
        <f t="shared" si="280"/>
        <v>43.15</v>
      </c>
      <c r="I3592" s="23" t="str">
        <f t="shared" si="281"/>
        <v>Match</v>
      </c>
      <c r="J3592" s="23" t="str">
        <f t="shared" si="282"/>
        <v>Match</v>
      </c>
      <c r="K3592" s="24">
        <f t="shared" si="283"/>
        <v>7.77</v>
      </c>
      <c r="L3592" s="24">
        <f t="shared" si="284"/>
        <v>0</v>
      </c>
    </row>
    <row r="3593" spans="1:12" ht="15" customHeight="1" x14ac:dyDescent="0.3">
      <c r="A3593" s="23" t="s">
        <v>16702</v>
      </c>
      <c r="B3593" s="23" t="s">
        <v>79</v>
      </c>
      <c r="C3593" s="39">
        <v>1299</v>
      </c>
      <c r="D3593" s="24">
        <v>23.38</v>
      </c>
      <c r="E3593" s="24">
        <v>4.21</v>
      </c>
      <c r="F3593" s="23">
        <f>COUNTIFS(mdr_rate_cleaned!$A$2:$A$10,B3593,mdr_rate_cleaned!$B$2:$B$10,"&lt;"&amp;C3593,mdr_rate_cleaned!$F$2:$F$10,"&gt;="&amp;C3593)</f>
        <v>1</v>
      </c>
      <c r="G3593" s="40">
        <f>SUMIFS(mdr_rate_cleaned!$G$2:$G$10,mdr_rate_cleaned!$A$2:$A$10,B3593,mdr_rate_cleaned!$B$2:$B$10,"&lt;"&amp;C3593,mdr_rate_cleaned!$F$2:$F$10,"&gt;="&amp;C3593)</f>
        <v>1.8000000000000002E-2</v>
      </c>
      <c r="H3593" s="24">
        <f t="shared" si="280"/>
        <v>23.38</v>
      </c>
      <c r="I3593" s="23" t="str">
        <f t="shared" si="281"/>
        <v>Match</v>
      </c>
      <c r="J3593" s="23" t="str">
        <f t="shared" si="282"/>
        <v>Match</v>
      </c>
      <c r="K3593" s="24">
        <f t="shared" si="283"/>
        <v>4.21</v>
      </c>
      <c r="L3593" s="24">
        <f t="shared" si="284"/>
        <v>0</v>
      </c>
    </row>
    <row r="3594" spans="1:12" ht="15" customHeight="1" x14ac:dyDescent="0.3">
      <c r="A3594" s="23" t="s">
        <v>16703</v>
      </c>
      <c r="B3594" s="23" t="s">
        <v>77</v>
      </c>
      <c r="C3594" s="39">
        <v>1798</v>
      </c>
      <c r="D3594" s="24">
        <v>34.159999999999997</v>
      </c>
      <c r="E3594" s="24">
        <v>6.15</v>
      </c>
      <c r="F3594" s="23">
        <f>COUNTIFS(mdr_rate_cleaned!$A$2:$A$10,B3594,mdr_rate_cleaned!$B$2:$B$10,"&lt;"&amp;C3594,mdr_rate_cleaned!$F$2:$F$10,"&gt;="&amp;C3594)</f>
        <v>1</v>
      </c>
      <c r="G3594" s="40">
        <f>SUMIFS(mdr_rate_cleaned!$G$2:$G$10,mdr_rate_cleaned!$A$2:$A$10,B3594,mdr_rate_cleaned!$B$2:$B$10,"&lt;"&amp;C3594,mdr_rate_cleaned!$F$2:$F$10,"&gt;="&amp;C3594)</f>
        <v>1.9E-2</v>
      </c>
      <c r="H3594" s="24">
        <f t="shared" si="280"/>
        <v>34.159999999999997</v>
      </c>
      <c r="I3594" s="23" t="str">
        <f t="shared" si="281"/>
        <v>Match</v>
      </c>
      <c r="J3594" s="23" t="str">
        <f t="shared" si="282"/>
        <v>Match</v>
      </c>
      <c r="K3594" s="24">
        <f t="shared" si="283"/>
        <v>6.15</v>
      </c>
      <c r="L3594" s="24">
        <f t="shared" si="284"/>
        <v>0</v>
      </c>
    </row>
    <row r="3595" spans="1:12" ht="15" customHeight="1" x14ac:dyDescent="0.3">
      <c r="A3595" s="23" t="s">
        <v>16704</v>
      </c>
      <c r="B3595" s="23" t="s">
        <v>75</v>
      </c>
      <c r="C3595" s="39">
        <v>2498</v>
      </c>
      <c r="D3595" s="24">
        <v>7.49</v>
      </c>
      <c r="E3595" s="24">
        <v>1.35</v>
      </c>
      <c r="F3595" s="23">
        <f>COUNTIFS(mdr_rate_cleaned!$A$2:$A$10,B3595,mdr_rate_cleaned!$B$2:$B$10,"&lt;"&amp;C3595,mdr_rate_cleaned!$F$2:$F$10,"&gt;="&amp;C3595)</f>
        <v>1</v>
      </c>
      <c r="G3595" s="40">
        <f>SUMIFS(mdr_rate_cleaned!$G$2:$G$10,mdr_rate_cleaned!$A$2:$A$10,B3595,mdr_rate_cleaned!$B$2:$B$10,"&lt;"&amp;C3595,mdr_rate_cleaned!$F$2:$F$10,"&gt;="&amp;C3595)</f>
        <v>3.0000000000000001E-3</v>
      </c>
      <c r="H3595" s="24">
        <f t="shared" si="280"/>
        <v>7.49</v>
      </c>
      <c r="I3595" s="23" t="str">
        <f t="shared" si="281"/>
        <v>Match</v>
      </c>
      <c r="J3595" s="23" t="str">
        <f t="shared" si="282"/>
        <v>Match</v>
      </c>
      <c r="K3595" s="24">
        <f t="shared" si="283"/>
        <v>1.35</v>
      </c>
      <c r="L3595" s="24">
        <f t="shared" si="284"/>
        <v>0</v>
      </c>
    </row>
    <row r="3596" spans="1:12" ht="15" customHeight="1" x14ac:dyDescent="0.3">
      <c r="A3596" s="23" t="s">
        <v>16705</v>
      </c>
      <c r="B3596" s="23" t="s">
        <v>75</v>
      </c>
      <c r="C3596" s="39">
        <v>6298</v>
      </c>
      <c r="D3596" s="24">
        <v>18.89</v>
      </c>
      <c r="E3596" s="24">
        <v>3.4</v>
      </c>
      <c r="F3596" s="23">
        <f>COUNTIFS(mdr_rate_cleaned!$A$2:$A$10,B3596,mdr_rate_cleaned!$B$2:$B$10,"&lt;"&amp;C3596,mdr_rate_cleaned!$F$2:$F$10,"&gt;="&amp;C3596)</f>
        <v>1</v>
      </c>
      <c r="G3596" s="40">
        <f>SUMIFS(mdr_rate_cleaned!$G$2:$G$10,mdr_rate_cleaned!$A$2:$A$10,B3596,mdr_rate_cleaned!$B$2:$B$10,"&lt;"&amp;C3596,mdr_rate_cleaned!$F$2:$F$10,"&gt;="&amp;C3596)</f>
        <v>3.0000000000000001E-3</v>
      </c>
      <c r="H3596" s="24">
        <f t="shared" si="280"/>
        <v>18.89</v>
      </c>
      <c r="I3596" s="23" t="str">
        <f t="shared" si="281"/>
        <v>Match</v>
      </c>
      <c r="J3596" s="23" t="str">
        <f t="shared" si="282"/>
        <v>Match</v>
      </c>
      <c r="K3596" s="24">
        <f t="shared" si="283"/>
        <v>3.4</v>
      </c>
      <c r="L3596" s="24">
        <f t="shared" si="284"/>
        <v>0</v>
      </c>
    </row>
    <row r="3597" spans="1:12" ht="15" customHeight="1" x14ac:dyDescent="0.3">
      <c r="A3597" s="23" t="s">
        <v>16706</v>
      </c>
      <c r="B3597" s="23" t="s">
        <v>77</v>
      </c>
      <c r="C3597" s="39">
        <v>2848</v>
      </c>
      <c r="D3597" s="24">
        <v>48.42</v>
      </c>
      <c r="E3597" s="24">
        <v>8.7200000000000006</v>
      </c>
      <c r="F3597" s="23">
        <f>COUNTIFS(mdr_rate_cleaned!$A$2:$A$10,B3597,mdr_rate_cleaned!$B$2:$B$10,"&lt;"&amp;C3597,mdr_rate_cleaned!$F$2:$F$10,"&gt;="&amp;C3597)</f>
        <v>1</v>
      </c>
      <c r="G3597" s="40">
        <f>SUMIFS(mdr_rate_cleaned!$G$2:$G$10,mdr_rate_cleaned!$A$2:$A$10,B3597,mdr_rate_cleaned!$B$2:$B$10,"&lt;"&amp;C3597,mdr_rate_cleaned!$F$2:$F$10,"&gt;="&amp;C3597)</f>
        <v>1.7000000000000001E-2</v>
      </c>
      <c r="H3597" s="24">
        <f t="shared" si="280"/>
        <v>48.42</v>
      </c>
      <c r="I3597" s="23" t="str">
        <f t="shared" si="281"/>
        <v>Match</v>
      </c>
      <c r="J3597" s="23" t="str">
        <f t="shared" si="282"/>
        <v>Match</v>
      </c>
      <c r="K3597" s="24">
        <f t="shared" si="283"/>
        <v>8.7200000000000006</v>
      </c>
      <c r="L3597" s="24">
        <f t="shared" si="284"/>
        <v>0</v>
      </c>
    </row>
    <row r="3598" spans="1:12" ht="15" customHeight="1" x14ac:dyDescent="0.3">
      <c r="A3598" s="23" t="s">
        <v>16707</v>
      </c>
      <c r="B3598" s="23" t="s">
        <v>75</v>
      </c>
      <c r="C3598" s="39">
        <v>599</v>
      </c>
      <c r="D3598" s="24">
        <v>0</v>
      </c>
      <c r="E3598" s="24">
        <v>0</v>
      </c>
      <c r="F3598" s="23">
        <f>COUNTIFS(mdr_rate_cleaned!$A$2:$A$10,B3598,mdr_rate_cleaned!$B$2:$B$10,"&lt;"&amp;C3598,mdr_rate_cleaned!$F$2:$F$10,"&gt;="&amp;C3598)</f>
        <v>1</v>
      </c>
      <c r="G3598" s="40">
        <f>SUMIFS(mdr_rate_cleaned!$G$2:$G$10,mdr_rate_cleaned!$A$2:$A$10,B3598,mdr_rate_cleaned!$B$2:$B$10,"&lt;"&amp;C3598,mdr_rate_cleaned!$F$2:$F$10,"&gt;="&amp;C3598)</f>
        <v>0</v>
      </c>
      <c r="H3598" s="24">
        <f t="shared" si="280"/>
        <v>0</v>
      </c>
      <c r="I3598" s="23" t="str">
        <f t="shared" si="281"/>
        <v>Match</v>
      </c>
      <c r="J3598" s="23" t="str">
        <f t="shared" si="282"/>
        <v>Match</v>
      </c>
      <c r="K3598" s="24">
        <f t="shared" si="283"/>
        <v>0</v>
      </c>
      <c r="L3598" s="24">
        <f t="shared" si="284"/>
        <v>0</v>
      </c>
    </row>
    <row r="3599" spans="1:12" ht="15" customHeight="1" x14ac:dyDescent="0.3">
      <c r="A3599" s="23" t="s">
        <v>16709</v>
      </c>
      <c r="B3599" s="23" t="s">
        <v>77</v>
      </c>
      <c r="C3599" s="39">
        <v>599</v>
      </c>
      <c r="D3599" s="24">
        <v>11.38</v>
      </c>
      <c r="E3599" s="24">
        <v>2.0499999999999998</v>
      </c>
      <c r="F3599" s="23">
        <f>COUNTIFS(mdr_rate_cleaned!$A$2:$A$10,B3599,mdr_rate_cleaned!$B$2:$B$10,"&lt;"&amp;C3599,mdr_rate_cleaned!$F$2:$F$10,"&gt;="&amp;C3599)</f>
        <v>1</v>
      </c>
      <c r="G3599" s="40">
        <f>SUMIFS(mdr_rate_cleaned!$G$2:$G$10,mdr_rate_cleaned!$A$2:$A$10,B3599,mdr_rate_cleaned!$B$2:$B$10,"&lt;"&amp;C3599,mdr_rate_cleaned!$F$2:$F$10,"&gt;="&amp;C3599)</f>
        <v>1.9E-2</v>
      </c>
      <c r="H3599" s="24">
        <f t="shared" si="280"/>
        <v>11.38</v>
      </c>
      <c r="I3599" s="23" t="str">
        <f t="shared" si="281"/>
        <v>Match</v>
      </c>
      <c r="J3599" s="23" t="str">
        <f t="shared" si="282"/>
        <v>Match</v>
      </c>
      <c r="K3599" s="24">
        <f t="shared" si="283"/>
        <v>2.0499999999999998</v>
      </c>
      <c r="L3599" s="24">
        <f t="shared" si="284"/>
        <v>0</v>
      </c>
    </row>
    <row r="3600" spans="1:12" ht="15" customHeight="1" x14ac:dyDescent="0.3">
      <c r="A3600" s="23" t="s">
        <v>16710</v>
      </c>
      <c r="B3600" s="23" t="s">
        <v>75</v>
      </c>
      <c r="C3600" s="39">
        <v>4797</v>
      </c>
      <c r="D3600" s="24">
        <v>14.39</v>
      </c>
      <c r="E3600" s="24">
        <v>2.59</v>
      </c>
      <c r="F3600" s="23">
        <f>COUNTIFS(mdr_rate_cleaned!$A$2:$A$10,B3600,mdr_rate_cleaned!$B$2:$B$10,"&lt;"&amp;C3600,mdr_rate_cleaned!$F$2:$F$10,"&gt;="&amp;C3600)</f>
        <v>1</v>
      </c>
      <c r="G3600" s="40">
        <f>SUMIFS(mdr_rate_cleaned!$G$2:$G$10,mdr_rate_cleaned!$A$2:$A$10,B3600,mdr_rate_cleaned!$B$2:$B$10,"&lt;"&amp;C3600,mdr_rate_cleaned!$F$2:$F$10,"&gt;="&amp;C3600)</f>
        <v>3.0000000000000001E-3</v>
      </c>
      <c r="H3600" s="24">
        <f t="shared" si="280"/>
        <v>14.39</v>
      </c>
      <c r="I3600" s="23" t="str">
        <f t="shared" si="281"/>
        <v>Match</v>
      </c>
      <c r="J3600" s="23" t="str">
        <f t="shared" si="282"/>
        <v>Match</v>
      </c>
      <c r="K3600" s="24">
        <f t="shared" si="283"/>
        <v>2.59</v>
      </c>
      <c r="L3600" s="24">
        <f t="shared" si="284"/>
        <v>0</v>
      </c>
    </row>
    <row r="3601" spans="1:12" ht="15" customHeight="1" x14ac:dyDescent="0.3">
      <c r="A3601" s="23" t="s">
        <v>16711</v>
      </c>
      <c r="B3601" s="23" t="s">
        <v>75</v>
      </c>
      <c r="C3601" s="39">
        <v>4298</v>
      </c>
      <c r="D3601" s="24">
        <v>12.89</v>
      </c>
      <c r="E3601" s="24">
        <v>2.3199999999999998</v>
      </c>
      <c r="F3601" s="23">
        <f>COUNTIFS(mdr_rate_cleaned!$A$2:$A$10,B3601,mdr_rate_cleaned!$B$2:$B$10,"&lt;"&amp;C3601,mdr_rate_cleaned!$F$2:$F$10,"&gt;="&amp;C3601)</f>
        <v>1</v>
      </c>
      <c r="G3601" s="40">
        <f>SUMIFS(mdr_rate_cleaned!$G$2:$G$10,mdr_rate_cleaned!$A$2:$A$10,B3601,mdr_rate_cleaned!$B$2:$B$10,"&lt;"&amp;C3601,mdr_rate_cleaned!$F$2:$F$10,"&gt;="&amp;C3601)</f>
        <v>3.0000000000000001E-3</v>
      </c>
      <c r="H3601" s="24">
        <f t="shared" si="280"/>
        <v>12.89</v>
      </c>
      <c r="I3601" s="23" t="str">
        <f t="shared" si="281"/>
        <v>Match</v>
      </c>
      <c r="J3601" s="23" t="str">
        <f t="shared" si="282"/>
        <v>Match</v>
      </c>
      <c r="K3601" s="24">
        <f t="shared" si="283"/>
        <v>2.3199999999999998</v>
      </c>
      <c r="L3601" s="24">
        <f t="shared" si="284"/>
        <v>0</v>
      </c>
    </row>
    <row r="3602" spans="1:12" ht="15" customHeight="1" x14ac:dyDescent="0.3">
      <c r="A3602" s="23" t="s">
        <v>16712</v>
      </c>
      <c r="B3602" s="23" t="s">
        <v>75</v>
      </c>
      <c r="C3602" s="39">
        <v>9597</v>
      </c>
      <c r="D3602" s="24">
        <v>28.79</v>
      </c>
      <c r="E3602" s="24">
        <v>5.18</v>
      </c>
      <c r="F3602" s="23">
        <f>COUNTIFS(mdr_rate_cleaned!$A$2:$A$10,B3602,mdr_rate_cleaned!$B$2:$B$10,"&lt;"&amp;C3602,mdr_rate_cleaned!$F$2:$F$10,"&gt;="&amp;C3602)</f>
        <v>1</v>
      </c>
      <c r="G3602" s="40">
        <f>SUMIFS(mdr_rate_cleaned!$G$2:$G$10,mdr_rate_cleaned!$A$2:$A$10,B3602,mdr_rate_cleaned!$B$2:$B$10,"&lt;"&amp;C3602,mdr_rate_cleaned!$F$2:$F$10,"&gt;="&amp;C3602)</f>
        <v>3.0000000000000001E-3</v>
      </c>
      <c r="H3602" s="24">
        <f t="shared" si="280"/>
        <v>28.79</v>
      </c>
      <c r="I3602" s="23" t="str">
        <f t="shared" si="281"/>
        <v>Match</v>
      </c>
      <c r="J3602" s="23" t="str">
        <f t="shared" si="282"/>
        <v>Match</v>
      </c>
      <c r="K3602" s="24">
        <f t="shared" si="283"/>
        <v>5.18</v>
      </c>
      <c r="L3602" s="24">
        <f t="shared" si="284"/>
        <v>0</v>
      </c>
    </row>
    <row r="3603" spans="1:12" ht="15" customHeight="1" x14ac:dyDescent="0.3">
      <c r="A3603" s="23" t="s">
        <v>16713</v>
      </c>
      <c r="B3603" s="23" t="s">
        <v>75</v>
      </c>
      <c r="C3603" s="39">
        <v>2999</v>
      </c>
      <c r="D3603" s="24">
        <v>9</v>
      </c>
      <c r="E3603" s="24">
        <v>1.62</v>
      </c>
      <c r="F3603" s="23">
        <f>COUNTIFS(mdr_rate_cleaned!$A$2:$A$10,B3603,mdr_rate_cleaned!$B$2:$B$10,"&lt;"&amp;C3603,mdr_rate_cleaned!$F$2:$F$10,"&gt;="&amp;C3603)</f>
        <v>1</v>
      </c>
      <c r="G3603" s="40">
        <f>SUMIFS(mdr_rate_cleaned!$G$2:$G$10,mdr_rate_cleaned!$A$2:$A$10,B3603,mdr_rate_cleaned!$B$2:$B$10,"&lt;"&amp;C3603,mdr_rate_cleaned!$F$2:$F$10,"&gt;="&amp;C3603)</f>
        <v>3.0000000000000001E-3</v>
      </c>
      <c r="H3603" s="24">
        <f t="shared" si="280"/>
        <v>9</v>
      </c>
      <c r="I3603" s="23" t="str">
        <f t="shared" si="281"/>
        <v>Match</v>
      </c>
      <c r="J3603" s="23" t="str">
        <f t="shared" si="282"/>
        <v>Match</v>
      </c>
      <c r="K3603" s="24">
        <f t="shared" si="283"/>
        <v>1.62</v>
      </c>
      <c r="L3603" s="24">
        <f t="shared" si="284"/>
        <v>0</v>
      </c>
    </row>
    <row r="3604" spans="1:12" ht="15" customHeight="1" x14ac:dyDescent="0.3">
      <c r="A3604" s="23" t="s">
        <v>16714</v>
      </c>
      <c r="B3604" s="23" t="s">
        <v>79</v>
      </c>
      <c r="C3604" s="39">
        <v>299</v>
      </c>
      <c r="D3604" s="24">
        <v>5.38</v>
      </c>
      <c r="E3604" s="24">
        <v>0.97</v>
      </c>
      <c r="F3604" s="23">
        <f>COUNTIFS(mdr_rate_cleaned!$A$2:$A$10,B3604,mdr_rate_cleaned!$B$2:$B$10,"&lt;"&amp;C3604,mdr_rate_cleaned!$F$2:$F$10,"&gt;="&amp;C3604)</f>
        <v>1</v>
      </c>
      <c r="G3604" s="40">
        <f>SUMIFS(mdr_rate_cleaned!$G$2:$G$10,mdr_rate_cleaned!$A$2:$A$10,B3604,mdr_rate_cleaned!$B$2:$B$10,"&lt;"&amp;C3604,mdr_rate_cleaned!$F$2:$F$10,"&gt;="&amp;C3604)</f>
        <v>1.8000000000000002E-2</v>
      </c>
      <c r="H3604" s="24">
        <f t="shared" si="280"/>
        <v>5.38</v>
      </c>
      <c r="I3604" s="23" t="str">
        <f t="shared" si="281"/>
        <v>Match</v>
      </c>
      <c r="J3604" s="23" t="str">
        <f t="shared" si="282"/>
        <v>Match</v>
      </c>
      <c r="K3604" s="24">
        <f t="shared" si="283"/>
        <v>0.97</v>
      </c>
      <c r="L3604" s="24">
        <f t="shared" si="284"/>
        <v>0</v>
      </c>
    </row>
    <row r="3605" spans="1:12" ht="15" customHeight="1" x14ac:dyDescent="0.3">
      <c r="A3605" s="23" t="s">
        <v>16715</v>
      </c>
      <c r="B3605" s="23" t="s">
        <v>79</v>
      </c>
      <c r="C3605" s="39">
        <v>499</v>
      </c>
      <c r="D3605" s="24">
        <v>8.98</v>
      </c>
      <c r="E3605" s="24">
        <v>1.62</v>
      </c>
      <c r="F3605" s="23">
        <f>COUNTIFS(mdr_rate_cleaned!$A$2:$A$10,B3605,mdr_rate_cleaned!$B$2:$B$10,"&lt;"&amp;C3605,mdr_rate_cleaned!$F$2:$F$10,"&gt;="&amp;C3605)</f>
        <v>1</v>
      </c>
      <c r="G3605" s="40">
        <f>SUMIFS(mdr_rate_cleaned!$G$2:$G$10,mdr_rate_cleaned!$A$2:$A$10,B3605,mdr_rate_cleaned!$B$2:$B$10,"&lt;"&amp;C3605,mdr_rate_cleaned!$F$2:$F$10,"&gt;="&amp;C3605)</f>
        <v>1.8000000000000002E-2</v>
      </c>
      <c r="H3605" s="24">
        <f t="shared" si="280"/>
        <v>8.98</v>
      </c>
      <c r="I3605" s="23" t="str">
        <f t="shared" si="281"/>
        <v>Match</v>
      </c>
      <c r="J3605" s="23" t="str">
        <f t="shared" si="282"/>
        <v>Match</v>
      </c>
      <c r="K3605" s="24">
        <f t="shared" si="283"/>
        <v>1.62</v>
      </c>
      <c r="L3605" s="24">
        <f t="shared" si="284"/>
        <v>0</v>
      </c>
    </row>
    <row r="3606" spans="1:12" ht="15" customHeight="1" x14ac:dyDescent="0.3">
      <c r="A3606" s="23" t="s">
        <v>16716</v>
      </c>
      <c r="B3606" s="23" t="s">
        <v>75</v>
      </c>
      <c r="C3606" s="39">
        <v>3499</v>
      </c>
      <c r="D3606" s="24">
        <v>10.5</v>
      </c>
      <c r="E3606" s="24">
        <v>1.89</v>
      </c>
      <c r="F3606" s="23">
        <f>COUNTIFS(mdr_rate_cleaned!$A$2:$A$10,B3606,mdr_rate_cleaned!$B$2:$B$10,"&lt;"&amp;C3606,mdr_rate_cleaned!$F$2:$F$10,"&gt;="&amp;C3606)</f>
        <v>1</v>
      </c>
      <c r="G3606" s="40">
        <f>SUMIFS(mdr_rate_cleaned!$G$2:$G$10,mdr_rate_cleaned!$A$2:$A$10,B3606,mdr_rate_cleaned!$B$2:$B$10,"&lt;"&amp;C3606,mdr_rate_cleaned!$F$2:$F$10,"&gt;="&amp;C3606)</f>
        <v>3.0000000000000001E-3</v>
      </c>
      <c r="H3606" s="24">
        <f t="shared" si="280"/>
        <v>10.5</v>
      </c>
      <c r="I3606" s="23" t="str">
        <f t="shared" si="281"/>
        <v>Match</v>
      </c>
      <c r="J3606" s="23" t="str">
        <f t="shared" si="282"/>
        <v>Match</v>
      </c>
      <c r="K3606" s="24">
        <f t="shared" si="283"/>
        <v>1.89</v>
      </c>
      <c r="L3606" s="24">
        <f t="shared" si="284"/>
        <v>0</v>
      </c>
    </row>
    <row r="3607" spans="1:12" ht="15" customHeight="1" x14ac:dyDescent="0.3">
      <c r="A3607" s="23" t="s">
        <v>16717</v>
      </c>
      <c r="B3607" s="23" t="s">
        <v>75</v>
      </c>
      <c r="C3607" s="39">
        <v>8647</v>
      </c>
      <c r="D3607" s="24">
        <v>25.94</v>
      </c>
      <c r="E3607" s="24">
        <v>4.67</v>
      </c>
      <c r="F3607" s="23">
        <f>COUNTIFS(mdr_rate_cleaned!$A$2:$A$10,B3607,mdr_rate_cleaned!$B$2:$B$10,"&lt;"&amp;C3607,mdr_rate_cleaned!$F$2:$F$10,"&gt;="&amp;C3607)</f>
        <v>1</v>
      </c>
      <c r="G3607" s="40">
        <f>SUMIFS(mdr_rate_cleaned!$G$2:$G$10,mdr_rate_cleaned!$A$2:$A$10,B3607,mdr_rate_cleaned!$B$2:$B$10,"&lt;"&amp;C3607,mdr_rate_cleaned!$F$2:$F$10,"&gt;="&amp;C3607)</f>
        <v>3.0000000000000001E-3</v>
      </c>
      <c r="H3607" s="24">
        <f t="shared" si="280"/>
        <v>25.94</v>
      </c>
      <c r="I3607" s="23" t="str">
        <f t="shared" si="281"/>
        <v>Match</v>
      </c>
      <c r="J3607" s="23" t="str">
        <f t="shared" si="282"/>
        <v>Match</v>
      </c>
      <c r="K3607" s="24">
        <f t="shared" si="283"/>
        <v>4.67</v>
      </c>
      <c r="L3607" s="24">
        <f t="shared" si="284"/>
        <v>0</v>
      </c>
    </row>
    <row r="3608" spans="1:12" ht="15" customHeight="1" x14ac:dyDescent="0.3">
      <c r="A3608" s="23" t="s">
        <v>16718</v>
      </c>
      <c r="B3608" s="23" t="s">
        <v>75</v>
      </c>
      <c r="C3608" s="39">
        <v>2097</v>
      </c>
      <c r="D3608" s="24">
        <v>6.29</v>
      </c>
      <c r="E3608" s="24">
        <v>1.1299999999999999</v>
      </c>
      <c r="F3608" s="23">
        <f>COUNTIFS(mdr_rate_cleaned!$A$2:$A$10,B3608,mdr_rate_cleaned!$B$2:$B$10,"&lt;"&amp;C3608,mdr_rate_cleaned!$F$2:$F$10,"&gt;="&amp;C3608)</f>
        <v>1</v>
      </c>
      <c r="G3608" s="40">
        <f>SUMIFS(mdr_rate_cleaned!$G$2:$G$10,mdr_rate_cleaned!$A$2:$A$10,B3608,mdr_rate_cleaned!$B$2:$B$10,"&lt;"&amp;C3608,mdr_rate_cleaned!$F$2:$F$10,"&gt;="&amp;C3608)</f>
        <v>3.0000000000000001E-3</v>
      </c>
      <c r="H3608" s="24">
        <f t="shared" si="280"/>
        <v>6.29</v>
      </c>
      <c r="I3608" s="23" t="str">
        <f t="shared" si="281"/>
        <v>Match</v>
      </c>
      <c r="J3608" s="23" t="str">
        <f t="shared" si="282"/>
        <v>Match</v>
      </c>
      <c r="K3608" s="24">
        <f t="shared" si="283"/>
        <v>1.1299999999999999</v>
      </c>
      <c r="L3608" s="24">
        <f t="shared" si="284"/>
        <v>0</v>
      </c>
    </row>
    <row r="3609" spans="1:12" ht="15" customHeight="1" x14ac:dyDescent="0.3">
      <c r="A3609" s="23" t="s">
        <v>16719</v>
      </c>
      <c r="B3609" s="23" t="s">
        <v>77</v>
      </c>
      <c r="C3609" s="39">
        <v>6297</v>
      </c>
      <c r="D3609" s="24">
        <v>151.13</v>
      </c>
      <c r="E3609" s="24">
        <v>27.2</v>
      </c>
      <c r="F3609" s="23">
        <f>COUNTIFS(mdr_rate_cleaned!$A$2:$A$10,B3609,mdr_rate_cleaned!$B$2:$B$10,"&lt;"&amp;C3609,mdr_rate_cleaned!$F$2:$F$10,"&gt;="&amp;C3609)</f>
        <v>1</v>
      </c>
      <c r="G3609" s="40">
        <f>SUMIFS(mdr_rate_cleaned!$G$2:$G$10,mdr_rate_cleaned!$A$2:$A$10,B3609,mdr_rate_cleaned!$B$2:$B$10,"&lt;"&amp;C3609,mdr_rate_cleaned!$F$2:$F$10,"&gt;="&amp;C3609)</f>
        <v>1.7000000000000001E-2</v>
      </c>
      <c r="H3609" s="24">
        <f t="shared" si="280"/>
        <v>107.05</v>
      </c>
      <c r="I3609" s="23" t="str">
        <f t="shared" si="281"/>
        <v>Differs</v>
      </c>
      <c r="J3609" s="23" t="str">
        <f t="shared" si="282"/>
        <v>Match</v>
      </c>
      <c r="K3609" s="24">
        <f t="shared" si="283"/>
        <v>19.27</v>
      </c>
      <c r="L3609" s="24">
        <f t="shared" si="284"/>
        <v>52.01</v>
      </c>
    </row>
    <row r="3610" spans="1:12" ht="15" customHeight="1" x14ac:dyDescent="0.3">
      <c r="A3610" s="23" t="s">
        <v>16721</v>
      </c>
      <c r="B3610" s="23" t="s">
        <v>79</v>
      </c>
      <c r="C3610" s="39">
        <v>848</v>
      </c>
      <c r="D3610" s="24">
        <v>15.26</v>
      </c>
      <c r="E3610" s="24">
        <v>2.75</v>
      </c>
      <c r="F3610" s="23">
        <f>COUNTIFS(mdr_rate_cleaned!$A$2:$A$10,B3610,mdr_rate_cleaned!$B$2:$B$10,"&lt;"&amp;C3610,mdr_rate_cleaned!$F$2:$F$10,"&gt;="&amp;C3610)</f>
        <v>1</v>
      </c>
      <c r="G3610" s="40">
        <f>SUMIFS(mdr_rate_cleaned!$G$2:$G$10,mdr_rate_cleaned!$A$2:$A$10,B3610,mdr_rate_cleaned!$B$2:$B$10,"&lt;"&amp;C3610,mdr_rate_cleaned!$F$2:$F$10,"&gt;="&amp;C3610)</f>
        <v>1.8000000000000002E-2</v>
      </c>
      <c r="H3610" s="24">
        <f t="shared" si="280"/>
        <v>15.26</v>
      </c>
      <c r="I3610" s="23" t="str">
        <f t="shared" si="281"/>
        <v>Match</v>
      </c>
      <c r="J3610" s="23" t="str">
        <f t="shared" si="282"/>
        <v>Match</v>
      </c>
      <c r="K3610" s="24">
        <f t="shared" si="283"/>
        <v>2.75</v>
      </c>
      <c r="L3610" s="24">
        <f t="shared" si="284"/>
        <v>0</v>
      </c>
    </row>
    <row r="3611" spans="1:12" ht="15" customHeight="1" x14ac:dyDescent="0.3">
      <c r="A3611" s="23" t="s">
        <v>16723</v>
      </c>
      <c r="B3611" s="23" t="s">
        <v>75</v>
      </c>
      <c r="C3611" s="39">
        <v>3499</v>
      </c>
      <c r="D3611" s="24">
        <v>10.5</v>
      </c>
      <c r="E3611" s="24">
        <v>1.89</v>
      </c>
      <c r="F3611" s="23">
        <f>COUNTIFS(mdr_rate_cleaned!$A$2:$A$10,B3611,mdr_rate_cleaned!$B$2:$B$10,"&lt;"&amp;C3611,mdr_rate_cleaned!$F$2:$F$10,"&gt;="&amp;C3611)</f>
        <v>1</v>
      </c>
      <c r="G3611" s="40">
        <f>SUMIFS(mdr_rate_cleaned!$G$2:$G$10,mdr_rate_cleaned!$A$2:$A$10,B3611,mdr_rate_cleaned!$B$2:$B$10,"&lt;"&amp;C3611,mdr_rate_cleaned!$F$2:$F$10,"&gt;="&amp;C3611)</f>
        <v>3.0000000000000001E-3</v>
      </c>
      <c r="H3611" s="24">
        <f t="shared" si="280"/>
        <v>10.5</v>
      </c>
      <c r="I3611" s="23" t="str">
        <f t="shared" si="281"/>
        <v>Match</v>
      </c>
      <c r="J3611" s="23" t="str">
        <f t="shared" si="282"/>
        <v>Match</v>
      </c>
      <c r="K3611" s="24">
        <f t="shared" si="283"/>
        <v>1.89</v>
      </c>
      <c r="L3611" s="24">
        <f t="shared" si="284"/>
        <v>0</v>
      </c>
    </row>
    <row r="3612" spans="1:12" ht="15" customHeight="1" x14ac:dyDescent="0.3">
      <c r="A3612" s="23" t="s">
        <v>16724</v>
      </c>
      <c r="B3612" s="23" t="s">
        <v>77</v>
      </c>
      <c r="C3612" s="39">
        <v>3348</v>
      </c>
      <c r="D3612" s="24">
        <v>56.92</v>
      </c>
      <c r="E3612" s="24">
        <v>10.25</v>
      </c>
      <c r="F3612" s="23">
        <f>COUNTIFS(mdr_rate_cleaned!$A$2:$A$10,B3612,mdr_rate_cleaned!$B$2:$B$10,"&lt;"&amp;C3612,mdr_rate_cleaned!$F$2:$F$10,"&gt;="&amp;C3612)</f>
        <v>1</v>
      </c>
      <c r="G3612" s="40">
        <f>SUMIFS(mdr_rate_cleaned!$G$2:$G$10,mdr_rate_cleaned!$A$2:$A$10,B3612,mdr_rate_cleaned!$B$2:$B$10,"&lt;"&amp;C3612,mdr_rate_cleaned!$F$2:$F$10,"&gt;="&amp;C3612)</f>
        <v>1.7000000000000001E-2</v>
      </c>
      <c r="H3612" s="24">
        <f t="shared" si="280"/>
        <v>56.92</v>
      </c>
      <c r="I3612" s="23" t="str">
        <f t="shared" si="281"/>
        <v>Match</v>
      </c>
      <c r="J3612" s="23" t="str">
        <f t="shared" si="282"/>
        <v>Match</v>
      </c>
      <c r="K3612" s="24">
        <f t="shared" si="283"/>
        <v>10.25</v>
      </c>
      <c r="L3612" s="24">
        <f t="shared" si="284"/>
        <v>0</v>
      </c>
    </row>
    <row r="3613" spans="1:12" ht="15" customHeight="1" x14ac:dyDescent="0.3">
      <c r="A3613" s="23" t="s">
        <v>16725</v>
      </c>
      <c r="B3613" s="23" t="s">
        <v>75</v>
      </c>
      <c r="C3613" s="39">
        <v>1898</v>
      </c>
      <c r="D3613" s="24">
        <v>0</v>
      </c>
      <c r="E3613" s="24">
        <v>0</v>
      </c>
      <c r="F3613" s="23">
        <f>COUNTIFS(mdr_rate_cleaned!$A$2:$A$10,B3613,mdr_rate_cleaned!$B$2:$B$10,"&lt;"&amp;C3613,mdr_rate_cleaned!$F$2:$F$10,"&gt;="&amp;C3613)</f>
        <v>1</v>
      </c>
      <c r="G3613" s="40">
        <f>SUMIFS(mdr_rate_cleaned!$G$2:$G$10,mdr_rate_cleaned!$A$2:$A$10,B3613,mdr_rate_cleaned!$B$2:$B$10,"&lt;"&amp;C3613,mdr_rate_cleaned!$F$2:$F$10,"&gt;="&amp;C3613)</f>
        <v>0</v>
      </c>
      <c r="H3613" s="24">
        <f t="shared" si="280"/>
        <v>0</v>
      </c>
      <c r="I3613" s="23" t="str">
        <f t="shared" si="281"/>
        <v>Match</v>
      </c>
      <c r="J3613" s="23" t="str">
        <f t="shared" si="282"/>
        <v>Match</v>
      </c>
      <c r="K3613" s="24">
        <f t="shared" si="283"/>
        <v>0</v>
      </c>
      <c r="L3613" s="24">
        <f t="shared" si="284"/>
        <v>0</v>
      </c>
    </row>
    <row r="3614" spans="1:12" ht="15" customHeight="1" x14ac:dyDescent="0.3">
      <c r="A3614" s="23" t="s">
        <v>16726</v>
      </c>
      <c r="B3614" s="23" t="s">
        <v>75</v>
      </c>
      <c r="C3614" s="39">
        <v>1148</v>
      </c>
      <c r="D3614" s="24">
        <v>0</v>
      </c>
      <c r="E3614" s="24">
        <v>0</v>
      </c>
      <c r="F3614" s="23">
        <f>COUNTIFS(mdr_rate_cleaned!$A$2:$A$10,B3614,mdr_rate_cleaned!$B$2:$B$10,"&lt;"&amp;C3614,mdr_rate_cleaned!$F$2:$F$10,"&gt;="&amp;C3614)</f>
        <v>1</v>
      </c>
      <c r="G3614" s="40">
        <f>SUMIFS(mdr_rate_cleaned!$G$2:$G$10,mdr_rate_cleaned!$A$2:$A$10,B3614,mdr_rate_cleaned!$B$2:$B$10,"&lt;"&amp;C3614,mdr_rate_cleaned!$F$2:$F$10,"&gt;="&amp;C3614)</f>
        <v>0</v>
      </c>
      <c r="H3614" s="24">
        <f t="shared" si="280"/>
        <v>0</v>
      </c>
      <c r="I3614" s="23" t="str">
        <f t="shared" si="281"/>
        <v>Match</v>
      </c>
      <c r="J3614" s="23" t="str">
        <f t="shared" si="282"/>
        <v>Match</v>
      </c>
      <c r="K3614" s="24">
        <f t="shared" si="283"/>
        <v>0</v>
      </c>
      <c r="L3614" s="24">
        <f t="shared" si="284"/>
        <v>0</v>
      </c>
    </row>
    <row r="3615" spans="1:12" ht="15" customHeight="1" x14ac:dyDescent="0.3">
      <c r="A3615" s="23" t="s">
        <v>16727</v>
      </c>
      <c r="B3615" s="23" t="s">
        <v>75</v>
      </c>
      <c r="C3615" s="39">
        <v>2447</v>
      </c>
      <c r="D3615" s="24">
        <v>7.34</v>
      </c>
      <c r="E3615" s="24">
        <v>1.32</v>
      </c>
      <c r="F3615" s="23">
        <f>COUNTIFS(mdr_rate_cleaned!$A$2:$A$10,B3615,mdr_rate_cleaned!$B$2:$B$10,"&lt;"&amp;C3615,mdr_rate_cleaned!$F$2:$F$10,"&gt;="&amp;C3615)</f>
        <v>1</v>
      </c>
      <c r="G3615" s="40">
        <f>SUMIFS(mdr_rate_cleaned!$G$2:$G$10,mdr_rate_cleaned!$A$2:$A$10,B3615,mdr_rate_cleaned!$B$2:$B$10,"&lt;"&amp;C3615,mdr_rate_cleaned!$F$2:$F$10,"&gt;="&amp;C3615)</f>
        <v>3.0000000000000001E-3</v>
      </c>
      <c r="H3615" s="24">
        <f t="shared" si="280"/>
        <v>7.34</v>
      </c>
      <c r="I3615" s="23" t="str">
        <f t="shared" si="281"/>
        <v>Match</v>
      </c>
      <c r="J3615" s="23" t="str">
        <f t="shared" si="282"/>
        <v>Match</v>
      </c>
      <c r="K3615" s="24">
        <f t="shared" si="283"/>
        <v>1.32</v>
      </c>
      <c r="L3615" s="24">
        <f t="shared" si="284"/>
        <v>0</v>
      </c>
    </row>
    <row r="3616" spans="1:12" ht="15" customHeight="1" x14ac:dyDescent="0.3">
      <c r="A3616" s="23" t="s">
        <v>16728</v>
      </c>
      <c r="B3616" s="23" t="s">
        <v>79</v>
      </c>
      <c r="C3616" s="39">
        <v>7999</v>
      </c>
      <c r="D3616" s="24">
        <v>127.98</v>
      </c>
      <c r="E3616" s="24">
        <v>23.04</v>
      </c>
      <c r="F3616" s="23">
        <f>COUNTIFS(mdr_rate_cleaned!$A$2:$A$10,B3616,mdr_rate_cleaned!$B$2:$B$10,"&lt;"&amp;C3616,mdr_rate_cleaned!$F$2:$F$10,"&gt;="&amp;C3616)</f>
        <v>1</v>
      </c>
      <c r="G3616" s="40">
        <f>SUMIFS(mdr_rate_cleaned!$G$2:$G$10,mdr_rate_cleaned!$A$2:$A$10,B3616,mdr_rate_cleaned!$B$2:$B$10,"&lt;"&amp;C3616,mdr_rate_cleaned!$F$2:$F$10,"&gt;="&amp;C3616)</f>
        <v>1.6E-2</v>
      </c>
      <c r="H3616" s="24">
        <f t="shared" si="280"/>
        <v>127.98</v>
      </c>
      <c r="I3616" s="23" t="str">
        <f t="shared" si="281"/>
        <v>Match</v>
      </c>
      <c r="J3616" s="23" t="str">
        <f t="shared" si="282"/>
        <v>Match</v>
      </c>
      <c r="K3616" s="24">
        <f t="shared" si="283"/>
        <v>23.04</v>
      </c>
      <c r="L3616" s="24">
        <f t="shared" si="284"/>
        <v>0</v>
      </c>
    </row>
    <row r="3617" spans="1:12" ht="15" customHeight="1" x14ac:dyDescent="0.3">
      <c r="A3617" s="23" t="s">
        <v>16729</v>
      </c>
      <c r="B3617" s="23" t="s">
        <v>75</v>
      </c>
      <c r="C3617" s="39">
        <v>3798</v>
      </c>
      <c r="D3617" s="24">
        <v>11.39</v>
      </c>
      <c r="E3617" s="24">
        <v>2.0499999999999998</v>
      </c>
      <c r="F3617" s="23">
        <f>COUNTIFS(mdr_rate_cleaned!$A$2:$A$10,B3617,mdr_rate_cleaned!$B$2:$B$10,"&lt;"&amp;C3617,mdr_rate_cleaned!$F$2:$F$10,"&gt;="&amp;C3617)</f>
        <v>1</v>
      </c>
      <c r="G3617" s="40">
        <f>SUMIFS(mdr_rate_cleaned!$G$2:$G$10,mdr_rate_cleaned!$A$2:$A$10,B3617,mdr_rate_cleaned!$B$2:$B$10,"&lt;"&amp;C3617,mdr_rate_cleaned!$F$2:$F$10,"&gt;="&amp;C3617)</f>
        <v>3.0000000000000001E-3</v>
      </c>
      <c r="H3617" s="24">
        <f t="shared" si="280"/>
        <v>11.39</v>
      </c>
      <c r="I3617" s="23" t="str">
        <f t="shared" si="281"/>
        <v>Match</v>
      </c>
      <c r="J3617" s="23" t="str">
        <f t="shared" si="282"/>
        <v>Match</v>
      </c>
      <c r="K3617" s="24">
        <f t="shared" si="283"/>
        <v>2.0499999999999998</v>
      </c>
      <c r="L3617" s="24">
        <f t="shared" si="284"/>
        <v>0</v>
      </c>
    </row>
    <row r="3618" spans="1:12" ht="15" customHeight="1" x14ac:dyDescent="0.3">
      <c r="A3618" s="23" t="s">
        <v>16730</v>
      </c>
      <c r="B3618" s="23" t="s">
        <v>75</v>
      </c>
      <c r="C3618" s="39">
        <v>5097</v>
      </c>
      <c r="D3618" s="24">
        <v>15.29</v>
      </c>
      <c r="E3618" s="24">
        <v>2.75</v>
      </c>
      <c r="F3618" s="23">
        <f>COUNTIFS(mdr_rate_cleaned!$A$2:$A$10,B3618,mdr_rate_cleaned!$B$2:$B$10,"&lt;"&amp;C3618,mdr_rate_cleaned!$F$2:$F$10,"&gt;="&amp;C3618)</f>
        <v>1</v>
      </c>
      <c r="G3618" s="40">
        <f>SUMIFS(mdr_rate_cleaned!$G$2:$G$10,mdr_rate_cleaned!$A$2:$A$10,B3618,mdr_rate_cleaned!$B$2:$B$10,"&lt;"&amp;C3618,mdr_rate_cleaned!$F$2:$F$10,"&gt;="&amp;C3618)</f>
        <v>3.0000000000000001E-3</v>
      </c>
      <c r="H3618" s="24">
        <f t="shared" si="280"/>
        <v>15.29</v>
      </c>
      <c r="I3618" s="23" t="str">
        <f t="shared" si="281"/>
        <v>Match</v>
      </c>
      <c r="J3618" s="23" t="str">
        <f t="shared" si="282"/>
        <v>Match</v>
      </c>
      <c r="K3618" s="24">
        <f t="shared" si="283"/>
        <v>2.75</v>
      </c>
      <c r="L3618" s="24">
        <f t="shared" si="284"/>
        <v>0</v>
      </c>
    </row>
    <row r="3619" spans="1:12" ht="15" customHeight="1" x14ac:dyDescent="0.3">
      <c r="A3619" s="23" t="s">
        <v>16731</v>
      </c>
      <c r="B3619" s="23" t="s">
        <v>79</v>
      </c>
      <c r="C3619" s="39">
        <v>1848</v>
      </c>
      <c r="D3619" s="24">
        <v>33.26</v>
      </c>
      <c r="E3619" s="24">
        <v>5.99</v>
      </c>
      <c r="F3619" s="23">
        <f>COUNTIFS(mdr_rate_cleaned!$A$2:$A$10,B3619,mdr_rate_cleaned!$B$2:$B$10,"&lt;"&amp;C3619,mdr_rate_cleaned!$F$2:$F$10,"&gt;="&amp;C3619)</f>
        <v>1</v>
      </c>
      <c r="G3619" s="40">
        <f>SUMIFS(mdr_rate_cleaned!$G$2:$G$10,mdr_rate_cleaned!$A$2:$A$10,B3619,mdr_rate_cleaned!$B$2:$B$10,"&lt;"&amp;C3619,mdr_rate_cleaned!$F$2:$F$10,"&gt;="&amp;C3619)</f>
        <v>1.8000000000000002E-2</v>
      </c>
      <c r="H3619" s="24">
        <f t="shared" si="280"/>
        <v>33.26</v>
      </c>
      <c r="I3619" s="23" t="str">
        <f t="shared" si="281"/>
        <v>Match</v>
      </c>
      <c r="J3619" s="23" t="str">
        <f t="shared" si="282"/>
        <v>Match</v>
      </c>
      <c r="K3619" s="24">
        <f t="shared" si="283"/>
        <v>5.99</v>
      </c>
      <c r="L3619" s="24">
        <f t="shared" si="284"/>
        <v>0</v>
      </c>
    </row>
    <row r="3620" spans="1:12" ht="15" customHeight="1" x14ac:dyDescent="0.3">
      <c r="A3620" s="23" t="s">
        <v>16732</v>
      </c>
      <c r="B3620" s="23" t="s">
        <v>75</v>
      </c>
      <c r="C3620" s="39">
        <v>349</v>
      </c>
      <c r="D3620" s="24">
        <v>0</v>
      </c>
      <c r="E3620" s="24">
        <v>0</v>
      </c>
      <c r="F3620" s="23">
        <f>COUNTIFS(mdr_rate_cleaned!$A$2:$A$10,B3620,mdr_rate_cleaned!$B$2:$B$10,"&lt;"&amp;C3620,mdr_rate_cleaned!$F$2:$F$10,"&gt;="&amp;C3620)</f>
        <v>1</v>
      </c>
      <c r="G3620" s="40">
        <f>SUMIFS(mdr_rate_cleaned!$G$2:$G$10,mdr_rate_cleaned!$A$2:$A$10,B3620,mdr_rate_cleaned!$B$2:$B$10,"&lt;"&amp;C3620,mdr_rate_cleaned!$F$2:$F$10,"&gt;="&amp;C3620)</f>
        <v>0</v>
      </c>
      <c r="H3620" s="24">
        <f t="shared" si="280"/>
        <v>0</v>
      </c>
      <c r="I3620" s="23" t="str">
        <f t="shared" si="281"/>
        <v>Match</v>
      </c>
      <c r="J3620" s="23" t="str">
        <f t="shared" si="282"/>
        <v>Match</v>
      </c>
      <c r="K3620" s="24">
        <f t="shared" si="283"/>
        <v>0</v>
      </c>
      <c r="L3620" s="24">
        <f t="shared" si="284"/>
        <v>0</v>
      </c>
    </row>
    <row r="3621" spans="1:12" ht="15" customHeight="1" x14ac:dyDescent="0.3">
      <c r="A3621" s="23" t="s">
        <v>16733</v>
      </c>
      <c r="B3621" s="23" t="s">
        <v>79</v>
      </c>
      <c r="C3621" s="39">
        <v>2298</v>
      </c>
      <c r="D3621" s="24">
        <v>36.770000000000003</v>
      </c>
      <c r="E3621" s="24">
        <v>6.62</v>
      </c>
      <c r="F3621" s="23">
        <f>COUNTIFS(mdr_rate_cleaned!$A$2:$A$10,B3621,mdr_rate_cleaned!$B$2:$B$10,"&lt;"&amp;C3621,mdr_rate_cleaned!$F$2:$F$10,"&gt;="&amp;C3621)</f>
        <v>1</v>
      </c>
      <c r="G3621" s="40">
        <f>SUMIFS(mdr_rate_cleaned!$G$2:$G$10,mdr_rate_cleaned!$A$2:$A$10,B3621,mdr_rate_cleaned!$B$2:$B$10,"&lt;"&amp;C3621,mdr_rate_cleaned!$F$2:$F$10,"&gt;="&amp;C3621)</f>
        <v>1.6E-2</v>
      </c>
      <c r="H3621" s="24">
        <f t="shared" si="280"/>
        <v>36.770000000000003</v>
      </c>
      <c r="I3621" s="23" t="str">
        <f t="shared" si="281"/>
        <v>Match</v>
      </c>
      <c r="J3621" s="23" t="str">
        <f t="shared" si="282"/>
        <v>Match</v>
      </c>
      <c r="K3621" s="24">
        <f t="shared" si="283"/>
        <v>6.62</v>
      </c>
      <c r="L3621" s="24">
        <f t="shared" si="284"/>
        <v>0</v>
      </c>
    </row>
    <row r="3622" spans="1:12" ht="15" customHeight="1" x14ac:dyDescent="0.3">
      <c r="A3622" s="23" t="s">
        <v>16734</v>
      </c>
      <c r="B3622" s="23" t="s">
        <v>75</v>
      </c>
      <c r="C3622" s="39">
        <v>349</v>
      </c>
      <c r="D3622" s="24">
        <v>0</v>
      </c>
      <c r="E3622" s="24">
        <v>0</v>
      </c>
      <c r="F3622" s="23">
        <f>COUNTIFS(mdr_rate_cleaned!$A$2:$A$10,B3622,mdr_rate_cleaned!$B$2:$B$10,"&lt;"&amp;C3622,mdr_rate_cleaned!$F$2:$F$10,"&gt;="&amp;C3622)</f>
        <v>1</v>
      </c>
      <c r="G3622" s="40">
        <f>SUMIFS(mdr_rate_cleaned!$G$2:$G$10,mdr_rate_cleaned!$A$2:$A$10,B3622,mdr_rate_cleaned!$B$2:$B$10,"&lt;"&amp;C3622,mdr_rate_cleaned!$F$2:$F$10,"&gt;="&amp;C3622)</f>
        <v>0</v>
      </c>
      <c r="H3622" s="24">
        <f t="shared" si="280"/>
        <v>0</v>
      </c>
      <c r="I3622" s="23" t="str">
        <f t="shared" si="281"/>
        <v>Match</v>
      </c>
      <c r="J3622" s="23" t="str">
        <f t="shared" si="282"/>
        <v>Match</v>
      </c>
      <c r="K3622" s="24">
        <f t="shared" si="283"/>
        <v>0</v>
      </c>
      <c r="L3622" s="24">
        <f t="shared" si="284"/>
        <v>0</v>
      </c>
    </row>
    <row r="3623" spans="1:12" ht="15" customHeight="1" x14ac:dyDescent="0.3">
      <c r="A3623" s="23" t="s">
        <v>16735</v>
      </c>
      <c r="B3623" s="23" t="s">
        <v>77</v>
      </c>
      <c r="C3623" s="39">
        <v>6498</v>
      </c>
      <c r="D3623" s="24">
        <v>110.47</v>
      </c>
      <c r="E3623" s="24">
        <v>19.88</v>
      </c>
      <c r="F3623" s="23">
        <f>COUNTIFS(mdr_rate_cleaned!$A$2:$A$10,B3623,mdr_rate_cleaned!$B$2:$B$10,"&lt;"&amp;C3623,mdr_rate_cleaned!$F$2:$F$10,"&gt;="&amp;C3623)</f>
        <v>1</v>
      </c>
      <c r="G3623" s="40">
        <f>SUMIFS(mdr_rate_cleaned!$G$2:$G$10,mdr_rate_cleaned!$A$2:$A$10,B3623,mdr_rate_cleaned!$B$2:$B$10,"&lt;"&amp;C3623,mdr_rate_cleaned!$F$2:$F$10,"&gt;="&amp;C3623)</f>
        <v>1.7000000000000001E-2</v>
      </c>
      <c r="H3623" s="24">
        <f t="shared" si="280"/>
        <v>110.47</v>
      </c>
      <c r="I3623" s="23" t="str">
        <f t="shared" si="281"/>
        <v>Match</v>
      </c>
      <c r="J3623" s="23" t="str">
        <f t="shared" si="282"/>
        <v>Match</v>
      </c>
      <c r="K3623" s="24">
        <f t="shared" si="283"/>
        <v>19.88</v>
      </c>
      <c r="L3623" s="24">
        <f t="shared" si="284"/>
        <v>0</v>
      </c>
    </row>
    <row r="3624" spans="1:12" ht="15" customHeight="1" x14ac:dyDescent="0.3">
      <c r="A3624" s="23" t="s">
        <v>16736</v>
      </c>
      <c r="B3624" s="23" t="s">
        <v>75</v>
      </c>
      <c r="C3624" s="39">
        <v>1299</v>
      </c>
      <c r="D3624" s="24">
        <v>0</v>
      </c>
      <c r="E3624" s="24">
        <v>0</v>
      </c>
      <c r="F3624" s="23">
        <f>COUNTIFS(mdr_rate_cleaned!$A$2:$A$10,B3624,mdr_rate_cleaned!$B$2:$B$10,"&lt;"&amp;C3624,mdr_rate_cleaned!$F$2:$F$10,"&gt;="&amp;C3624)</f>
        <v>1</v>
      </c>
      <c r="G3624" s="40">
        <f>SUMIFS(mdr_rate_cleaned!$G$2:$G$10,mdr_rate_cleaned!$A$2:$A$10,B3624,mdr_rate_cleaned!$B$2:$B$10,"&lt;"&amp;C3624,mdr_rate_cleaned!$F$2:$F$10,"&gt;="&amp;C3624)</f>
        <v>0</v>
      </c>
      <c r="H3624" s="24">
        <f t="shared" si="280"/>
        <v>0</v>
      </c>
      <c r="I3624" s="23" t="str">
        <f t="shared" si="281"/>
        <v>Match</v>
      </c>
      <c r="J3624" s="23" t="str">
        <f t="shared" si="282"/>
        <v>Match</v>
      </c>
      <c r="K3624" s="24">
        <f t="shared" si="283"/>
        <v>0</v>
      </c>
      <c r="L3624" s="24">
        <f t="shared" si="284"/>
        <v>0</v>
      </c>
    </row>
    <row r="3625" spans="1:12" ht="15" customHeight="1" x14ac:dyDescent="0.3">
      <c r="A3625" s="23" t="s">
        <v>16737</v>
      </c>
      <c r="B3625" s="23" t="s">
        <v>75</v>
      </c>
      <c r="C3625" s="39">
        <v>4298</v>
      </c>
      <c r="D3625" s="24">
        <v>12.89</v>
      </c>
      <c r="E3625" s="24">
        <v>2.3199999999999998</v>
      </c>
      <c r="F3625" s="23">
        <f>COUNTIFS(mdr_rate_cleaned!$A$2:$A$10,B3625,mdr_rate_cleaned!$B$2:$B$10,"&lt;"&amp;C3625,mdr_rate_cleaned!$F$2:$F$10,"&gt;="&amp;C3625)</f>
        <v>1</v>
      </c>
      <c r="G3625" s="40">
        <f>SUMIFS(mdr_rate_cleaned!$G$2:$G$10,mdr_rate_cleaned!$A$2:$A$10,B3625,mdr_rate_cleaned!$B$2:$B$10,"&lt;"&amp;C3625,mdr_rate_cleaned!$F$2:$F$10,"&gt;="&amp;C3625)</f>
        <v>3.0000000000000001E-3</v>
      </c>
      <c r="H3625" s="24">
        <f t="shared" si="280"/>
        <v>12.89</v>
      </c>
      <c r="I3625" s="23" t="str">
        <f t="shared" si="281"/>
        <v>Match</v>
      </c>
      <c r="J3625" s="23" t="str">
        <f t="shared" si="282"/>
        <v>Match</v>
      </c>
      <c r="K3625" s="24">
        <f t="shared" si="283"/>
        <v>2.3199999999999998</v>
      </c>
      <c r="L3625" s="24">
        <f t="shared" si="284"/>
        <v>0</v>
      </c>
    </row>
    <row r="3626" spans="1:12" ht="15" customHeight="1" x14ac:dyDescent="0.3">
      <c r="A3626" s="23" t="s">
        <v>16738</v>
      </c>
      <c r="B3626" s="23" t="s">
        <v>77</v>
      </c>
      <c r="C3626" s="39">
        <v>2798</v>
      </c>
      <c r="D3626" s="24">
        <v>47.57</v>
      </c>
      <c r="E3626" s="24">
        <v>8.56</v>
      </c>
      <c r="F3626" s="23">
        <f>COUNTIFS(mdr_rate_cleaned!$A$2:$A$10,B3626,mdr_rate_cleaned!$B$2:$B$10,"&lt;"&amp;C3626,mdr_rate_cleaned!$F$2:$F$10,"&gt;="&amp;C3626)</f>
        <v>1</v>
      </c>
      <c r="G3626" s="40">
        <f>SUMIFS(mdr_rate_cleaned!$G$2:$G$10,mdr_rate_cleaned!$A$2:$A$10,B3626,mdr_rate_cleaned!$B$2:$B$10,"&lt;"&amp;C3626,mdr_rate_cleaned!$F$2:$F$10,"&gt;="&amp;C3626)</f>
        <v>1.7000000000000001E-2</v>
      </c>
      <c r="H3626" s="24">
        <f t="shared" si="280"/>
        <v>47.57</v>
      </c>
      <c r="I3626" s="23" t="str">
        <f t="shared" si="281"/>
        <v>Match</v>
      </c>
      <c r="J3626" s="23" t="str">
        <f t="shared" si="282"/>
        <v>Match</v>
      </c>
      <c r="K3626" s="24">
        <f t="shared" si="283"/>
        <v>8.56</v>
      </c>
      <c r="L3626" s="24">
        <f t="shared" si="284"/>
        <v>0</v>
      </c>
    </row>
    <row r="3627" spans="1:12" ht="15" customHeight="1" x14ac:dyDescent="0.3">
      <c r="A3627" s="23" t="s">
        <v>16739</v>
      </c>
      <c r="B3627" s="23" t="s">
        <v>75</v>
      </c>
      <c r="C3627" s="39">
        <v>9847</v>
      </c>
      <c r="D3627" s="24">
        <v>29.54</v>
      </c>
      <c r="E3627" s="24">
        <v>5.32</v>
      </c>
      <c r="F3627" s="23">
        <f>COUNTIFS(mdr_rate_cleaned!$A$2:$A$10,B3627,mdr_rate_cleaned!$B$2:$B$10,"&lt;"&amp;C3627,mdr_rate_cleaned!$F$2:$F$10,"&gt;="&amp;C3627)</f>
        <v>1</v>
      </c>
      <c r="G3627" s="40">
        <f>SUMIFS(mdr_rate_cleaned!$G$2:$G$10,mdr_rate_cleaned!$A$2:$A$10,B3627,mdr_rate_cleaned!$B$2:$B$10,"&lt;"&amp;C3627,mdr_rate_cleaned!$F$2:$F$10,"&gt;="&amp;C3627)</f>
        <v>3.0000000000000001E-3</v>
      </c>
      <c r="H3627" s="24">
        <f t="shared" si="280"/>
        <v>29.54</v>
      </c>
      <c r="I3627" s="23" t="str">
        <f t="shared" si="281"/>
        <v>Match</v>
      </c>
      <c r="J3627" s="23" t="str">
        <f t="shared" si="282"/>
        <v>Match</v>
      </c>
      <c r="K3627" s="24">
        <f t="shared" si="283"/>
        <v>5.32</v>
      </c>
      <c r="L3627" s="24">
        <f t="shared" si="284"/>
        <v>0</v>
      </c>
    </row>
    <row r="3628" spans="1:12" ht="15" customHeight="1" x14ac:dyDescent="0.3">
      <c r="A3628" s="23" t="s">
        <v>16740</v>
      </c>
      <c r="B3628" s="23" t="s">
        <v>75</v>
      </c>
      <c r="C3628" s="39">
        <v>1499</v>
      </c>
      <c r="D3628" s="24">
        <v>0</v>
      </c>
      <c r="E3628" s="24">
        <v>0</v>
      </c>
      <c r="F3628" s="23">
        <f>COUNTIFS(mdr_rate_cleaned!$A$2:$A$10,B3628,mdr_rate_cleaned!$B$2:$B$10,"&lt;"&amp;C3628,mdr_rate_cleaned!$F$2:$F$10,"&gt;="&amp;C3628)</f>
        <v>1</v>
      </c>
      <c r="G3628" s="40">
        <f>SUMIFS(mdr_rate_cleaned!$G$2:$G$10,mdr_rate_cleaned!$A$2:$A$10,B3628,mdr_rate_cleaned!$B$2:$B$10,"&lt;"&amp;C3628,mdr_rate_cleaned!$F$2:$F$10,"&gt;="&amp;C3628)</f>
        <v>0</v>
      </c>
      <c r="H3628" s="24">
        <f t="shared" si="280"/>
        <v>0</v>
      </c>
      <c r="I3628" s="23" t="str">
        <f t="shared" si="281"/>
        <v>Match</v>
      </c>
      <c r="J3628" s="23" t="str">
        <f t="shared" si="282"/>
        <v>Match</v>
      </c>
      <c r="K3628" s="24">
        <f t="shared" si="283"/>
        <v>0</v>
      </c>
      <c r="L3628" s="24">
        <f t="shared" si="284"/>
        <v>0</v>
      </c>
    </row>
    <row r="3629" spans="1:12" ht="15" customHeight="1" x14ac:dyDescent="0.3">
      <c r="A3629" s="23" t="s">
        <v>16741</v>
      </c>
      <c r="B3629" s="23" t="s">
        <v>75</v>
      </c>
      <c r="C3629" s="39">
        <v>3847</v>
      </c>
      <c r="D3629" s="24">
        <v>11.54</v>
      </c>
      <c r="E3629" s="24">
        <v>2.08</v>
      </c>
      <c r="F3629" s="23">
        <f>COUNTIFS(mdr_rate_cleaned!$A$2:$A$10,B3629,mdr_rate_cleaned!$B$2:$B$10,"&lt;"&amp;C3629,mdr_rate_cleaned!$F$2:$F$10,"&gt;="&amp;C3629)</f>
        <v>1</v>
      </c>
      <c r="G3629" s="40">
        <f>SUMIFS(mdr_rate_cleaned!$G$2:$G$10,mdr_rate_cleaned!$A$2:$A$10,B3629,mdr_rate_cleaned!$B$2:$B$10,"&lt;"&amp;C3629,mdr_rate_cleaned!$F$2:$F$10,"&gt;="&amp;C3629)</f>
        <v>3.0000000000000001E-3</v>
      </c>
      <c r="H3629" s="24">
        <f t="shared" si="280"/>
        <v>11.54</v>
      </c>
      <c r="I3629" s="23" t="str">
        <f t="shared" si="281"/>
        <v>Match</v>
      </c>
      <c r="J3629" s="23" t="str">
        <f t="shared" si="282"/>
        <v>Match</v>
      </c>
      <c r="K3629" s="24">
        <f t="shared" si="283"/>
        <v>2.08</v>
      </c>
      <c r="L3629" s="24">
        <f t="shared" si="284"/>
        <v>0</v>
      </c>
    </row>
    <row r="3630" spans="1:12" ht="15" customHeight="1" x14ac:dyDescent="0.3">
      <c r="A3630" s="23" t="s">
        <v>16743</v>
      </c>
      <c r="B3630" s="23" t="s">
        <v>75</v>
      </c>
      <c r="C3630" s="39">
        <v>1799</v>
      </c>
      <c r="D3630" s="24">
        <v>0</v>
      </c>
      <c r="E3630" s="24">
        <v>0</v>
      </c>
      <c r="F3630" s="23">
        <f>COUNTIFS(mdr_rate_cleaned!$A$2:$A$10,B3630,mdr_rate_cleaned!$B$2:$B$10,"&lt;"&amp;C3630,mdr_rate_cleaned!$F$2:$F$10,"&gt;="&amp;C3630)</f>
        <v>1</v>
      </c>
      <c r="G3630" s="40">
        <f>SUMIFS(mdr_rate_cleaned!$G$2:$G$10,mdr_rate_cleaned!$A$2:$A$10,B3630,mdr_rate_cleaned!$B$2:$B$10,"&lt;"&amp;C3630,mdr_rate_cleaned!$F$2:$F$10,"&gt;="&amp;C3630)</f>
        <v>0</v>
      </c>
      <c r="H3630" s="24">
        <f t="shared" si="280"/>
        <v>0</v>
      </c>
      <c r="I3630" s="23" t="str">
        <f t="shared" si="281"/>
        <v>Match</v>
      </c>
      <c r="J3630" s="23" t="str">
        <f t="shared" si="282"/>
        <v>Match</v>
      </c>
      <c r="K3630" s="24">
        <f t="shared" si="283"/>
        <v>0</v>
      </c>
      <c r="L3630" s="24">
        <f t="shared" si="284"/>
        <v>0</v>
      </c>
    </row>
    <row r="3631" spans="1:12" ht="15" customHeight="1" x14ac:dyDescent="0.3">
      <c r="A3631" s="23" t="s">
        <v>16744</v>
      </c>
      <c r="B3631" s="23" t="s">
        <v>75</v>
      </c>
      <c r="C3631" s="39">
        <v>999</v>
      </c>
      <c r="D3631" s="24">
        <v>0</v>
      </c>
      <c r="E3631" s="24">
        <v>0</v>
      </c>
      <c r="F3631" s="23">
        <f>COUNTIFS(mdr_rate_cleaned!$A$2:$A$10,B3631,mdr_rate_cleaned!$B$2:$B$10,"&lt;"&amp;C3631,mdr_rate_cleaned!$F$2:$F$10,"&gt;="&amp;C3631)</f>
        <v>1</v>
      </c>
      <c r="G3631" s="40">
        <f>SUMIFS(mdr_rate_cleaned!$G$2:$G$10,mdr_rate_cleaned!$A$2:$A$10,B3631,mdr_rate_cleaned!$B$2:$B$10,"&lt;"&amp;C3631,mdr_rate_cleaned!$F$2:$F$10,"&gt;="&amp;C3631)</f>
        <v>0</v>
      </c>
      <c r="H3631" s="24">
        <f t="shared" si="280"/>
        <v>0</v>
      </c>
      <c r="I3631" s="23" t="str">
        <f t="shared" si="281"/>
        <v>Match</v>
      </c>
      <c r="J3631" s="23" t="str">
        <f t="shared" si="282"/>
        <v>Match</v>
      </c>
      <c r="K3631" s="24">
        <f t="shared" si="283"/>
        <v>0</v>
      </c>
      <c r="L3631" s="24">
        <f t="shared" si="284"/>
        <v>0</v>
      </c>
    </row>
    <row r="3632" spans="1:12" ht="15" customHeight="1" x14ac:dyDescent="0.3">
      <c r="A3632" s="23" t="s">
        <v>16745</v>
      </c>
      <c r="B3632" s="23" t="s">
        <v>75</v>
      </c>
      <c r="C3632" s="39">
        <v>1299</v>
      </c>
      <c r="D3632" s="24">
        <v>0</v>
      </c>
      <c r="E3632" s="24">
        <v>0</v>
      </c>
      <c r="F3632" s="23">
        <f>COUNTIFS(mdr_rate_cleaned!$A$2:$A$10,B3632,mdr_rate_cleaned!$B$2:$B$10,"&lt;"&amp;C3632,mdr_rate_cleaned!$F$2:$F$10,"&gt;="&amp;C3632)</f>
        <v>1</v>
      </c>
      <c r="G3632" s="40">
        <f>SUMIFS(mdr_rate_cleaned!$G$2:$G$10,mdr_rate_cleaned!$A$2:$A$10,B3632,mdr_rate_cleaned!$B$2:$B$10,"&lt;"&amp;C3632,mdr_rate_cleaned!$F$2:$F$10,"&gt;="&amp;C3632)</f>
        <v>0</v>
      </c>
      <c r="H3632" s="24">
        <f t="shared" si="280"/>
        <v>0</v>
      </c>
      <c r="I3632" s="23" t="str">
        <f t="shared" si="281"/>
        <v>Match</v>
      </c>
      <c r="J3632" s="23" t="str">
        <f t="shared" si="282"/>
        <v>Match</v>
      </c>
      <c r="K3632" s="24">
        <f t="shared" si="283"/>
        <v>0</v>
      </c>
      <c r="L3632" s="24">
        <f t="shared" si="284"/>
        <v>0</v>
      </c>
    </row>
    <row r="3633" spans="1:12" ht="15" customHeight="1" x14ac:dyDescent="0.3">
      <c r="A3633" s="23" t="s">
        <v>16747</v>
      </c>
      <c r="B3633" s="23" t="s">
        <v>75</v>
      </c>
      <c r="C3633" s="39">
        <v>3897</v>
      </c>
      <c r="D3633" s="24">
        <v>11.69</v>
      </c>
      <c r="E3633" s="24">
        <v>2.1</v>
      </c>
      <c r="F3633" s="23">
        <f>COUNTIFS(mdr_rate_cleaned!$A$2:$A$10,B3633,mdr_rate_cleaned!$B$2:$B$10,"&lt;"&amp;C3633,mdr_rate_cleaned!$F$2:$F$10,"&gt;="&amp;C3633)</f>
        <v>1</v>
      </c>
      <c r="G3633" s="40">
        <f>SUMIFS(mdr_rate_cleaned!$G$2:$G$10,mdr_rate_cleaned!$A$2:$A$10,B3633,mdr_rate_cleaned!$B$2:$B$10,"&lt;"&amp;C3633,mdr_rate_cleaned!$F$2:$F$10,"&gt;="&amp;C3633)</f>
        <v>3.0000000000000001E-3</v>
      </c>
      <c r="H3633" s="24">
        <f t="shared" si="280"/>
        <v>11.69</v>
      </c>
      <c r="I3633" s="23" t="str">
        <f t="shared" si="281"/>
        <v>Match</v>
      </c>
      <c r="J3633" s="23" t="str">
        <f t="shared" si="282"/>
        <v>Match</v>
      </c>
      <c r="K3633" s="24">
        <f t="shared" si="283"/>
        <v>2.1</v>
      </c>
      <c r="L3633" s="24">
        <f t="shared" si="284"/>
        <v>0</v>
      </c>
    </row>
    <row r="3634" spans="1:12" ht="15" customHeight="1" x14ac:dyDescent="0.3">
      <c r="A3634" s="23" t="s">
        <v>16748</v>
      </c>
      <c r="B3634" s="23" t="s">
        <v>77</v>
      </c>
      <c r="C3634" s="39">
        <v>1998</v>
      </c>
      <c r="D3634" s="24">
        <v>37.96</v>
      </c>
      <c r="E3634" s="24">
        <v>6.83</v>
      </c>
      <c r="F3634" s="23">
        <f>COUNTIFS(mdr_rate_cleaned!$A$2:$A$10,B3634,mdr_rate_cleaned!$B$2:$B$10,"&lt;"&amp;C3634,mdr_rate_cleaned!$F$2:$F$10,"&gt;="&amp;C3634)</f>
        <v>1</v>
      </c>
      <c r="G3634" s="40">
        <f>SUMIFS(mdr_rate_cleaned!$G$2:$G$10,mdr_rate_cleaned!$A$2:$A$10,B3634,mdr_rate_cleaned!$B$2:$B$10,"&lt;"&amp;C3634,mdr_rate_cleaned!$F$2:$F$10,"&gt;="&amp;C3634)</f>
        <v>1.9E-2</v>
      </c>
      <c r="H3634" s="24">
        <f t="shared" si="280"/>
        <v>37.96</v>
      </c>
      <c r="I3634" s="23" t="str">
        <f t="shared" si="281"/>
        <v>Match</v>
      </c>
      <c r="J3634" s="23" t="str">
        <f t="shared" si="282"/>
        <v>Match</v>
      </c>
      <c r="K3634" s="24">
        <f t="shared" si="283"/>
        <v>6.83</v>
      </c>
      <c r="L3634" s="24">
        <f t="shared" si="284"/>
        <v>0</v>
      </c>
    </row>
    <row r="3635" spans="1:12" ht="15" customHeight="1" x14ac:dyDescent="0.3">
      <c r="A3635" s="23" t="s">
        <v>16750</v>
      </c>
      <c r="B3635" s="23" t="s">
        <v>79</v>
      </c>
      <c r="C3635" s="39">
        <v>10498</v>
      </c>
      <c r="D3635" s="24">
        <v>167.97</v>
      </c>
      <c r="E3635" s="24">
        <v>30.23</v>
      </c>
      <c r="F3635" s="23">
        <f>COUNTIFS(mdr_rate_cleaned!$A$2:$A$10,B3635,mdr_rate_cleaned!$B$2:$B$10,"&lt;"&amp;C3635,mdr_rate_cleaned!$F$2:$F$10,"&gt;="&amp;C3635)</f>
        <v>1</v>
      </c>
      <c r="G3635" s="40">
        <f>SUMIFS(mdr_rate_cleaned!$G$2:$G$10,mdr_rate_cleaned!$A$2:$A$10,B3635,mdr_rate_cleaned!$B$2:$B$10,"&lt;"&amp;C3635,mdr_rate_cleaned!$F$2:$F$10,"&gt;="&amp;C3635)</f>
        <v>1.6E-2</v>
      </c>
      <c r="H3635" s="24">
        <f t="shared" si="280"/>
        <v>167.97</v>
      </c>
      <c r="I3635" s="23" t="str">
        <f t="shared" si="281"/>
        <v>Match</v>
      </c>
      <c r="J3635" s="23" t="str">
        <f t="shared" si="282"/>
        <v>Match</v>
      </c>
      <c r="K3635" s="24">
        <f t="shared" si="283"/>
        <v>30.23</v>
      </c>
      <c r="L3635" s="24">
        <f t="shared" si="284"/>
        <v>0</v>
      </c>
    </row>
    <row r="3636" spans="1:12" ht="15" customHeight="1" x14ac:dyDescent="0.3">
      <c r="A3636" s="23" t="s">
        <v>16751</v>
      </c>
      <c r="B3636" s="23" t="s">
        <v>79</v>
      </c>
      <c r="C3636" s="39">
        <v>3498</v>
      </c>
      <c r="D3636" s="24">
        <v>55.97</v>
      </c>
      <c r="E3636" s="24">
        <v>10.07</v>
      </c>
      <c r="F3636" s="23">
        <f>COUNTIFS(mdr_rate_cleaned!$A$2:$A$10,B3636,mdr_rate_cleaned!$B$2:$B$10,"&lt;"&amp;C3636,mdr_rate_cleaned!$F$2:$F$10,"&gt;="&amp;C3636)</f>
        <v>1</v>
      </c>
      <c r="G3636" s="40">
        <f>SUMIFS(mdr_rate_cleaned!$G$2:$G$10,mdr_rate_cleaned!$A$2:$A$10,B3636,mdr_rate_cleaned!$B$2:$B$10,"&lt;"&amp;C3636,mdr_rate_cleaned!$F$2:$F$10,"&gt;="&amp;C3636)</f>
        <v>1.6E-2</v>
      </c>
      <c r="H3636" s="24">
        <f t="shared" si="280"/>
        <v>55.97</v>
      </c>
      <c r="I3636" s="23" t="str">
        <f t="shared" si="281"/>
        <v>Match</v>
      </c>
      <c r="J3636" s="23" t="str">
        <f t="shared" si="282"/>
        <v>Match</v>
      </c>
      <c r="K3636" s="24">
        <f t="shared" si="283"/>
        <v>10.07</v>
      </c>
      <c r="L3636" s="24">
        <f t="shared" si="284"/>
        <v>0</v>
      </c>
    </row>
    <row r="3637" spans="1:12" ht="15" customHeight="1" x14ac:dyDescent="0.3">
      <c r="A3637" s="23" t="s">
        <v>16752</v>
      </c>
      <c r="B3637" s="23" t="s">
        <v>79</v>
      </c>
      <c r="C3637" s="39">
        <v>6297</v>
      </c>
      <c r="D3637" s="24">
        <v>100.75</v>
      </c>
      <c r="E3637" s="24">
        <v>18.14</v>
      </c>
      <c r="F3637" s="23">
        <f>COUNTIFS(mdr_rate_cleaned!$A$2:$A$10,B3637,mdr_rate_cleaned!$B$2:$B$10,"&lt;"&amp;C3637,mdr_rate_cleaned!$F$2:$F$10,"&gt;="&amp;C3637)</f>
        <v>1</v>
      </c>
      <c r="G3637" s="40">
        <f>SUMIFS(mdr_rate_cleaned!$G$2:$G$10,mdr_rate_cleaned!$A$2:$A$10,B3637,mdr_rate_cleaned!$B$2:$B$10,"&lt;"&amp;C3637,mdr_rate_cleaned!$F$2:$F$10,"&gt;="&amp;C3637)</f>
        <v>1.6E-2</v>
      </c>
      <c r="H3637" s="24">
        <f t="shared" si="280"/>
        <v>100.75</v>
      </c>
      <c r="I3637" s="23" t="str">
        <f t="shared" si="281"/>
        <v>Match</v>
      </c>
      <c r="J3637" s="23" t="str">
        <f t="shared" si="282"/>
        <v>Match</v>
      </c>
      <c r="K3637" s="24">
        <f t="shared" si="283"/>
        <v>18.14</v>
      </c>
      <c r="L3637" s="24">
        <f t="shared" si="284"/>
        <v>0</v>
      </c>
    </row>
    <row r="3638" spans="1:12" ht="15" customHeight="1" x14ac:dyDescent="0.3">
      <c r="A3638" s="23" t="s">
        <v>16753</v>
      </c>
      <c r="B3638" s="23" t="s">
        <v>81</v>
      </c>
      <c r="C3638" s="39">
        <v>3498</v>
      </c>
      <c r="D3638" s="24">
        <v>41.98</v>
      </c>
      <c r="E3638" s="24">
        <v>7.56</v>
      </c>
      <c r="F3638" s="23">
        <f>COUNTIFS(mdr_rate_cleaned!$A$2:$A$10,B3638,mdr_rate_cleaned!$B$2:$B$10,"&lt;"&amp;C3638,mdr_rate_cleaned!$F$2:$F$10,"&gt;="&amp;C3638)</f>
        <v>1</v>
      </c>
      <c r="G3638" s="40">
        <f>SUMIFS(mdr_rate_cleaned!$G$2:$G$10,mdr_rate_cleaned!$A$2:$A$10,B3638,mdr_rate_cleaned!$B$2:$B$10,"&lt;"&amp;C3638,mdr_rate_cleaned!$F$2:$F$10,"&gt;="&amp;C3638)</f>
        <v>1.2E-2</v>
      </c>
      <c r="H3638" s="24">
        <f t="shared" si="280"/>
        <v>41.98</v>
      </c>
      <c r="I3638" s="23" t="str">
        <f t="shared" si="281"/>
        <v>Match</v>
      </c>
      <c r="J3638" s="23" t="str">
        <f t="shared" si="282"/>
        <v>Match</v>
      </c>
      <c r="K3638" s="24">
        <f t="shared" si="283"/>
        <v>7.56</v>
      </c>
      <c r="L3638" s="24">
        <f t="shared" si="284"/>
        <v>0</v>
      </c>
    </row>
    <row r="3639" spans="1:12" ht="15" customHeight="1" x14ac:dyDescent="0.3">
      <c r="A3639" s="23" t="s">
        <v>16754</v>
      </c>
      <c r="B3639" s="23" t="s">
        <v>79</v>
      </c>
      <c r="C3639" s="39">
        <v>4798</v>
      </c>
      <c r="D3639" s="24">
        <v>76.77</v>
      </c>
      <c r="E3639" s="24">
        <v>13.82</v>
      </c>
      <c r="F3639" s="23">
        <f>COUNTIFS(mdr_rate_cleaned!$A$2:$A$10,B3639,mdr_rate_cleaned!$B$2:$B$10,"&lt;"&amp;C3639,mdr_rate_cleaned!$F$2:$F$10,"&gt;="&amp;C3639)</f>
        <v>1</v>
      </c>
      <c r="G3639" s="40">
        <f>SUMIFS(mdr_rate_cleaned!$G$2:$G$10,mdr_rate_cleaned!$A$2:$A$10,B3639,mdr_rate_cleaned!$B$2:$B$10,"&lt;"&amp;C3639,mdr_rate_cleaned!$F$2:$F$10,"&gt;="&amp;C3639)</f>
        <v>1.6E-2</v>
      </c>
      <c r="H3639" s="24">
        <f t="shared" si="280"/>
        <v>76.77</v>
      </c>
      <c r="I3639" s="23" t="str">
        <f t="shared" si="281"/>
        <v>Match</v>
      </c>
      <c r="J3639" s="23" t="str">
        <f t="shared" si="282"/>
        <v>Match</v>
      </c>
      <c r="K3639" s="24">
        <f t="shared" si="283"/>
        <v>13.82</v>
      </c>
      <c r="L3639" s="24">
        <f t="shared" si="284"/>
        <v>0</v>
      </c>
    </row>
    <row r="3640" spans="1:12" ht="15" customHeight="1" x14ac:dyDescent="0.3">
      <c r="A3640" s="23" t="s">
        <v>16755</v>
      </c>
      <c r="B3640" s="23" t="s">
        <v>79</v>
      </c>
      <c r="C3640" s="39">
        <v>1299</v>
      </c>
      <c r="D3640" s="24">
        <v>23.38</v>
      </c>
      <c r="E3640" s="24">
        <v>4.21</v>
      </c>
      <c r="F3640" s="23">
        <f>COUNTIFS(mdr_rate_cleaned!$A$2:$A$10,B3640,mdr_rate_cleaned!$B$2:$B$10,"&lt;"&amp;C3640,mdr_rate_cleaned!$F$2:$F$10,"&gt;="&amp;C3640)</f>
        <v>1</v>
      </c>
      <c r="G3640" s="40">
        <f>SUMIFS(mdr_rate_cleaned!$G$2:$G$10,mdr_rate_cleaned!$A$2:$A$10,B3640,mdr_rate_cleaned!$B$2:$B$10,"&lt;"&amp;C3640,mdr_rate_cleaned!$F$2:$F$10,"&gt;="&amp;C3640)</f>
        <v>1.8000000000000002E-2</v>
      </c>
      <c r="H3640" s="24">
        <f t="shared" si="280"/>
        <v>23.38</v>
      </c>
      <c r="I3640" s="23" t="str">
        <f t="shared" si="281"/>
        <v>Match</v>
      </c>
      <c r="J3640" s="23" t="str">
        <f t="shared" si="282"/>
        <v>Match</v>
      </c>
      <c r="K3640" s="24">
        <f t="shared" si="283"/>
        <v>4.21</v>
      </c>
      <c r="L3640" s="24">
        <f t="shared" si="284"/>
        <v>0</v>
      </c>
    </row>
    <row r="3641" spans="1:12" ht="15" customHeight="1" x14ac:dyDescent="0.3">
      <c r="A3641" s="23" t="s">
        <v>16757</v>
      </c>
      <c r="B3641" s="23" t="s">
        <v>75</v>
      </c>
      <c r="C3641" s="39">
        <v>2798</v>
      </c>
      <c r="D3641" s="24">
        <v>8.39</v>
      </c>
      <c r="E3641" s="24">
        <v>1.51</v>
      </c>
      <c r="F3641" s="23">
        <f>COUNTIFS(mdr_rate_cleaned!$A$2:$A$10,B3641,mdr_rate_cleaned!$B$2:$B$10,"&lt;"&amp;C3641,mdr_rate_cleaned!$F$2:$F$10,"&gt;="&amp;C3641)</f>
        <v>1</v>
      </c>
      <c r="G3641" s="40">
        <f>SUMIFS(mdr_rate_cleaned!$G$2:$G$10,mdr_rate_cleaned!$A$2:$A$10,B3641,mdr_rate_cleaned!$B$2:$B$10,"&lt;"&amp;C3641,mdr_rate_cleaned!$F$2:$F$10,"&gt;="&amp;C3641)</f>
        <v>3.0000000000000001E-3</v>
      </c>
      <c r="H3641" s="24">
        <f t="shared" si="280"/>
        <v>8.39</v>
      </c>
      <c r="I3641" s="23" t="str">
        <f t="shared" si="281"/>
        <v>Match</v>
      </c>
      <c r="J3641" s="23" t="str">
        <f t="shared" si="282"/>
        <v>Match</v>
      </c>
      <c r="K3641" s="24">
        <f t="shared" si="283"/>
        <v>1.51</v>
      </c>
      <c r="L3641" s="24">
        <f t="shared" si="284"/>
        <v>0</v>
      </c>
    </row>
    <row r="3642" spans="1:12" ht="15" customHeight="1" x14ac:dyDescent="0.3">
      <c r="A3642" s="23" t="s">
        <v>16758</v>
      </c>
      <c r="B3642" s="23" t="s">
        <v>75</v>
      </c>
      <c r="C3642" s="39">
        <v>799</v>
      </c>
      <c r="D3642" s="24">
        <v>0</v>
      </c>
      <c r="E3642" s="24">
        <v>0</v>
      </c>
      <c r="F3642" s="23">
        <f>COUNTIFS(mdr_rate_cleaned!$A$2:$A$10,B3642,mdr_rate_cleaned!$B$2:$B$10,"&lt;"&amp;C3642,mdr_rate_cleaned!$F$2:$F$10,"&gt;="&amp;C3642)</f>
        <v>1</v>
      </c>
      <c r="G3642" s="40">
        <f>SUMIFS(mdr_rate_cleaned!$G$2:$G$10,mdr_rate_cleaned!$A$2:$A$10,B3642,mdr_rate_cleaned!$B$2:$B$10,"&lt;"&amp;C3642,mdr_rate_cleaned!$F$2:$F$10,"&gt;="&amp;C3642)</f>
        <v>0</v>
      </c>
      <c r="H3642" s="24">
        <f t="shared" si="280"/>
        <v>0</v>
      </c>
      <c r="I3642" s="23" t="str">
        <f t="shared" si="281"/>
        <v>Match</v>
      </c>
      <c r="J3642" s="23" t="str">
        <f t="shared" si="282"/>
        <v>Match</v>
      </c>
      <c r="K3642" s="24">
        <f t="shared" si="283"/>
        <v>0</v>
      </c>
      <c r="L3642" s="24">
        <f t="shared" si="284"/>
        <v>0</v>
      </c>
    </row>
    <row r="3643" spans="1:12" ht="15" customHeight="1" x14ac:dyDescent="0.3">
      <c r="A3643" s="23" t="s">
        <v>16759</v>
      </c>
      <c r="B3643" s="23" t="s">
        <v>75</v>
      </c>
      <c r="C3643" s="39">
        <v>999</v>
      </c>
      <c r="D3643" s="24">
        <v>0</v>
      </c>
      <c r="E3643" s="24">
        <v>0</v>
      </c>
      <c r="F3643" s="23">
        <f>COUNTIFS(mdr_rate_cleaned!$A$2:$A$10,B3643,mdr_rate_cleaned!$B$2:$B$10,"&lt;"&amp;C3643,mdr_rate_cleaned!$F$2:$F$10,"&gt;="&amp;C3643)</f>
        <v>1</v>
      </c>
      <c r="G3643" s="40">
        <f>SUMIFS(mdr_rate_cleaned!$G$2:$G$10,mdr_rate_cleaned!$A$2:$A$10,B3643,mdr_rate_cleaned!$B$2:$B$10,"&lt;"&amp;C3643,mdr_rate_cleaned!$F$2:$F$10,"&gt;="&amp;C3643)</f>
        <v>0</v>
      </c>
      <c r="H3643" s="24">
        <f t="shared" si="280"/>
        <v>0</v>
      </c>
      <c r="I3643" s="23" t="str">
        <f t="shared" si="281"/>
        <v>Match</v>
      </c>
      <c r="J3643" s="23" t="str">
        <f t="shared" si="282"/>
        <v>Match</v>
      </c>
      <c r="K3643" s="24">
        <f t="shared" si="283"/>
        <v>0</v>
      </c>
      <c r="L3643" s="24">
        <f t="shared" si="284"/>
        <v>0</v>
      </c>
    </row>
    <row r="3644" spans="1:12" ht="15" customHeight="1" x14ac:dyDescent="0.3">
      <c r="A3644" s="23" t="s">
        <v>16760</v>
      </c>
      <c r="B3644" s="23" t="s">
        <v>79</v>
      </c>
      <c r="C3644" s="39">
        <v>349</v>
      </c>
      <c r="D3644" s="24">
        <v>6.28</v>
      </c>
      <c r="E3644" s="24">
        <v>1.1299999999999999</v>
      </c>
      <c r="F3644" s="23">
        <f>COUNTIFS(mdr_rate_cleaned!$A$2:$A$10,B3644,mdr_rate_cleaned!$B$2:$B$10,"&lt;"&amp;C3644,mdr_rate_cleaned!$F$2:$F$10,"&gt;="&amp;C3644)</f>
        <v>1</v>
      </c>
      <c r="G3644" s="40">
        <f>SUMIFS(mdr_rate_cleaned!$G$2:$G$10,mdr_rate_cleaned!$A$2:$A$10,B3644,mdr_rate_cleaned!$B$2:$B$10,"&lt;"&amp;C3644,mdr_rate_cleaned!$F$2:$F$10,"&gt;="&amp;C3644)</f>
        <v>1.8000000000000002E-2</v>
      </c>
      <c r="H3644" s="24">
        <f t="shared" si="280"/>
        <v>6.28</v>
      </c>
      <c r="I3644" s="23" t="str">
        <f t="shared" si="281"/>
        <v>Match</v>
      </c>
      <c r="J3644" s="23" t="str">
        <f t="shared" si="282"/>
        <v>Match</v>
      </c>
      <c r="K3644" s="24">
        <f t="shared" si="283"/>
        <v>1.1299999999999999</v>
      </c>
      <c r="L3644" s="24">
        <f t="shared" si="284"/>
        <v>0</v>
      </c>
    </row>
    <row r="3645" spans="1:12" ht="15" customHeight="1" x14ac:dyDescent="0.3">
      <c r="A3645" s="23" t="s">
        <v>16761</v>
      </c>
      <c r="B3645" s="23" t="s">
        <v>79</v>
      </c>
      <c r="C3645" s="39">
        <v>1799</v>
      </c>
      <c r="D3645" s="24">
        <v>32.380000000000003</v>
      </c>
      <c r="E3645" s="24">
        <v>5.83</v>
      </c>
      <c r="F3645" s="23">
        <f>COUNTIFS(mdr_rate_cleaned!$A$2:$A$10,B3645,mdr_rate_cleaned!$B$2:$B$10,"&lt;"&amp;C3645,mdr_rate_cleaned!$F$2:$F$10,"&gt;="&amp;C3645)</f>
        <v>1</v>
      </c>
      <c r="G3645" s="40">
        <f>SUMIFS(mdr_rate_cleaned!$G$2:$G$10,mdr_rate_cleaned!$A$2:$A$10,B3645,mdr_rate_cleaned!$B$2:$B$10,"&lt;"&amp;C3645,mdr_rate_cleaned!$F$2:$F$10,"&gt;="&amp;C3645)</f>
        <v>1.8000000000000002E-2</v>
      </c>
      <c r="H3645" s="24">
        <f t="shared" si="280"/>
        <v>32.380000000000003</v>
      </c>
      <c r="I3645" s="23" t="str">
        <f t="shared" si="281"/>
        <v>Match</v>
      </c>
      <c r="J3645" s="23" t="str">
        <f t="shared" si="282"/>
        <v>Match</v>
      </c>
      <c r="K3645" s="24">
        <f t="shared" si="283"/>
        <v>5.83</v>
      </c>
      <c r="L3645" s="24">
        <f t="shared" si="284"/>
        <v>0</v>
      </c>
    </row>
    <row r="3646" spans="1:12" ht="15" customHeight="1" x14ac:dyDescent="0.3">
      <c r="A3646" s="23" t="s">
        <v>16763</v>
      </c>
      <c r="B3646" s="23" t="s">
        <v>75</v>
      </c>
      <c r="C3646" s="39">
        <v>7999</v>
      </c>
      <c r="D3646" s="24">
        <v>24</v>
      </c>
      <c r="E3646" s="24">
        <v>4.32</v>
      </c>
      <c r="F3646" s="23">
        <f>COUNTIFS(mdr_rate_cleaned!$A$2:$A$10,B3646,mdr_rate_cleaned!$B$2:$B$10,"&lt;"&amp;C3646,mdr_rate_cleaned!$F$2:$F$10,"&gt;="&amp;C3646)</f>
        <v>1</v>
      </c>
      <c r="G3646" s="40">
        <f>SUMIFS(mdr_rate_cleaned!$G$2:$G$10,mdr_rate_cleaned!$A$2:$A$10,B3646,mdr_rate_cleaned!$B$2:$B$10,"&lt;"&amp;C3646,mdr_rate_cleaned!$F$2:$F$10,"&gt;="&amp;C3646)</f>
        <v>3.0000000000000001E-3</v>
      </c>
      <c r="H3646" s="24">
        <f t="shared" si="280"/>
        <v>24</v>
      </c>
      <c r="I3646" s="23" t="str">
        <f t="shared" si="281"/>
        <v>Match</v>
      </c>
      <c r="J3646" s="23" t="str">
        <f t="shared" si="282"/>
        <v>Match</v>
      </c>
      <c r="K3646" s="24">
        <f t="shared" si="283"/>
        <v>4.32</v>
      </c>
      <c r="L3646" s="24">
        <f t="shared" si="284"/>
        <v>0</v>
      </c>
    </row>
    <row r="3647" spans="1:12" ht="15" customHeight="1" x14ac:dyDescent="0.3">
      <c r="A3647" s="23" t="s">
        <v>16764</v>
      </c>
      <c r="B3647" s="23" t="s">
        <v>75</v>
      </c>
      <c r="C3647" s="39">
        <v>2597</v>
      </c>
      <c r="D3647" s="24">
        <v>7.79</v>
      </c>
      <c r="E3647" s="24">
        <v>1.4</v>
      </c>
      <c r="F3647" s="23">
        <f>COUNTIFS(mdr_rate_cleaned!$A$2:$A$10,B3647,mdr_rate_cleaned!$B$2:$B$10,"&lt;"&amp;C3647,mdr_rate_cleaned!$F$2:$F$10,"&gt;="&amp;C3647)</f>
        <v>1</v>
      </c>
      <c r="G3647" s="40">
        <f>SUMIFS(mdr_rate_cleaned!$G$2:$G$10,mdr_rate_cleaned!$A$2:$A$10,B3647,mdr_rate_cleaned!$B$2:$B$10,"&lt;"&amp;C3647,mdr_rate_cleaned!$F$2:$F$10,"&gt;="&amp;C3647)</f>
        <v>3.0000000000000001E-3</v>
      </c>
      <c r="H3647" s="24">
        <f t="shared" si="280"/>
        <v>7.79</v>
      </c>
      <c r="I3647" s="23" t="str">
        <f t="shared" si="281"/>
        <v>Match</v>
      </c>
      <c r="J3647" s="23" t="str">
        <f t="shared" si="282"/>
        <v>Match</v>
      </c>
      <c r="K3647" s="24">
        <f t="shared" si="283"/>
        <v>1.4</v>
      </c>
      <c r="L3647" s="24">
        <f t="shared" si="284"/>
        <v>0</v>
      </c>
    </row>
    <row r="3648" spans="1:12" ht="15" customHeight="1" x14ac:dyDescent="0.3">
      <c r="A3648" s="23" t="s">
        <v>16765</v>
      </c>
      <c r="B3648" s="23" t="s">
        <v>81</v>
      </c>
      <c r="C3648" s="39">
        <v>4498</v>
      </c>
      <c r="D3648" s="24">
        <v>53.98</v>
      </c>
      <c r="E3648" s="24">
        <v>9.7200000000000006</v>
      </c>
      <c r="F3648" s="23">
        <f>COUNTIFS(mdr_rate_cleaned!$A$2:$A$10,B3648,mdr_rate_cleaned!$B$2:$B$10,"&lt;"&amp;C3648,mdr_rate_cleaned!$F$2:$F$10,"&gt;="&amp;C3648)</f>
        <v>1</v>
      </c>
      <c r="G3648" s="40">
        <f>SUMIFS(mdr_rate_cleaned!$G$2:$G$10,mdr_rate_cleaned!$A$2:$A$10,B3648,mdr_rate_cleaned!$B$2:$B$10,"&lt;"&amp;C3648,mdr_rate_cleaned!$F$2:$F$10,"&gt;="&amp;C3648)</f>
        <v>1.2E-2</v>
      </c>
      <c r="H3648" s="24">
        <f t="shared" si="280"/>
        <v>53.98</v>
      </c>
      <c r="I3648" s="23" t="str">
        <f t="shared" si="281"/>
        <v>Match</v>
      </c>
      <c r="J3648" s="23" t="str">
        <f t="shared" si="282"/>
        <v>Match</v>
      </c>
      <c r="K3648" s="24">
        <f t="shared" si="283"/>
        <v>9.7200000000000006</v>
      </c>
      <c r="L3648" s="24">
        <f t="shared" si="284"/>
        <v>0</v>
      </c>
    </row>
    <row r="3649" spans="1:12" ht="15" customHeight="1" x14ac:dyDescent="0.3">
      <c r="A3649" s="23" t="s">
        <v>16766</v>
      </c>
      <c r="B3649" s="23" t="s">
        <v>79</v>
      </c>
      <c r="C3649" s="39">
        <v>2499</v>
      </c>
      <c r="D3649" s="24">
        <v>39.979999999999997</v>
      </c>
      <c r="E3649" s="24">
        <v>7.2</v>
      </c>
      <c r="F3649" s="23">
        <f>COUNTIFS(mdr_rate_cleaned!$A$2:$A$10,B3649,mdr_rate_cleaned!$B$2:$B$10,"&lt;"&amp;C3649,mdr_rate_cleaned!$F$2:$F$10,"&gt;="&amp;C3649)</f>
        <v>1</v>
      </c>
      <c r="G3649" s="40">
        <f>SUMIFS(mdr_rate_cleaned!$G$2:$G$10,mdr_rate_cleaned!$A$2:$A$10,B3649,mdr_rate_cleaned!$B$2:$B$10,"&lt;"&amp;C3649,mdr_rate_cleaned!$F$2:$F$10,"&gt;="&amp;C3649)</f>
        <v>1.6E-2</v>
      </c>
      <c r="H3649" s="24">
        <f t="shared" si="280"/>
        <v>39.979999999999997</v>
      </c>
      <c r="I3649" s="23" t="str">
        <f t="shared" si="281"/>
        <v>Match</v>
      </c>
      <c r="J3649" s="23" t="str">
        <f t="shared" si="282"/>
        <v>Match</v>
      </c>
      <c r="K3649" s="24">
        <f t="shared" si="283"/>
        <v>7.2</v>
      </c>
      <c r="L3649" s="24">
        <f t="shared" si="284"/>
        <v>0</v>
      </c>
    </row>
    <row r="3650" spans="1:12" ht="15" customHeight="1" x14ac:dyDescent="0.3">
      <c r="A3650" s="23" t="s">
        <v>16767</v>
      </c>
      <c r="B3650" s="23" t="s">
        <v>75</v>
      </c>
      <c r="C3650" s="39">
        <v>1799</v>
      </c>
      <c r="D3650" s="24">
        <v>0</v>
      </c>
      <c r="E3650" s="24">
        <v>0</v>
      </c>
      <c r="F3650" s="23">
        <f>COUNTIFS(mdr_rate_cleaned!$A$2:$A$10,B3650,mdr_rate_cleaned!$B$2:$B$10,"&lt;"&amp;C3650,mdr_rate_cleaned!$F$2:$F$10,"&gt;="&amp;C3650)</f>
        <v>1</v>
      </c>
      <c r="G3650" s="40">
        <f>SUMIFS(mdr_rate_cleaned!$G$2:$G$10,mdr_rate_cleaned!$A$2:$A$10,B3650,mdr_rate_cleaned!$B$2:$B$10,"&lt;"&amp;C3650,mdr_rate_cleaned!$F$2:$F$10,"&gt;="&amp;C3650)</f>
        <v>0</v>
      </c>
      <c r="H3650" s="24">
        <f t="shared" ref="H3650:H3713" si="285">ROUND(C3650*G3650,2)</f>
        <v>0</v>
      </c>
      <c r="I3650" s="23" t="str">
        <f t="shared" ref="I3650:I3713" si="286">IF(ROUND(D3650-H3650,2)=0,"Match","Differs")</f>
        <v>Match</v>
      </c>
      <c r="J3650" s="23" t="str">
        <f t="shared" ref="J3650:J3713" si="287">IF(ROUND(E3650-ROUND(D3650*0.18,2),2)=0,"Match","Differs")</f>
        <v>Match</v>
      </c>
      <c r="K3650" s="24">
        <f t="shared" ref="K3650:K3713" si="288">ROUND(H3650*0.18,2)</f>
        <v>0</v>
      </c>
      <c r="L3650" s="24">
        <f t="shared" ref="L3650:L3713" si="289">ROUND(D3650+E3650-H3650-K3650,2)</f>
        <v>0</v>
      </c>
    </row>
    <row r="3651" spans="1:12" ht="15" customHeight="1" x14ac:dyDescent="0.3">
      <c r="A3651" s="23" t="s">
        <v>16768</v>
      </c>
      <c r="B3651" s="23" t="s">
        <v>79</v>
      </c>
      <c r="C3651" s="39">
        <v>2499</v>
      </c>
      <c r="D3651" s="24">
        <v>39.979999999999997</v>
      </c>
      <c r="E3651" s="24">
        <v>7.2</v>
      </c>
      <c r="F3651" s="23">
        <f>COUNTIFS(mdr_rate_cleaned!$A$2:$A$10,B3651,mdr_rate_cleaned!$B$2:$B$10,"&lt;"&amp;C3651,mdr_rate_cleaned!$F$2:$F$10,"&gt;="&amp;C3651)</f>
        <v>1</v>
      </c>
      <c r="G3651" s="40">
        <f>SUMIFS(mdr_rate_cleaned!$G$2:$G$10,mdr_rate_cleaned!$A$2:$A$10,B3651,mdr_rate_cleaned!$B$2:$B$10,"&lt;"&amp;C3651,mdr_rate_cleaned!$F$2:$F$10,"&gt;="&amp;C3651)</f>
        <v>1.6E-2</v>
      </c>
      <c r="H3651" s="24">
        <f t="shared" si="285"/>
        <v>39.979999999999997</v>
      </c>
      <c r="I3651" s="23" t="str">
        <f t="shared" si="286"/>
        <v>Match</v>
      </c>
      <c r="J3651" s="23" t="str">
        <f t="shared" si="287"/>
        <v>Match</v>
      </c>
      <c r="K3651" s="24">
        <f t="shared" si="288"/>
        <v>7.2</v>
      </c>
      <c r="L3651" s="24">
        <f t="shared" si="289"/>
        <v>0</v>
      </c>
    </row>
    <row r="3652" spans="1:12" ht="15" customHeight="1" x14ac:dyDescent="0.3">
      <c r="A3652" s="23" t="s">
        <v>16769</v>
      </c>
      <c r="B3652" s="23" t="s">
        <v>79</v>
      </c>
      <c r="C3652" s="39">
        <v>4798</v>
      </c>
      <c r="D3652" s="24">
        <v>76.77</v>
      </c>
      <c r="E3652" s="24">
        <v>13.82</v>
      </c>
      <c r="F3652" s="23">
        <f>COUNTIFS(mdr_rate_cleaned!$A$2:$A$10,B3652,mdr_rate_cleaned!$B$2:$B$10,"&lt;"&amp;C3652,mdr_rate_cleaned!$F$2:$F$10,"&gt;="&amp;C3652)</f>
        <v>1</v>
      </c>
      <c r="G3652" s="40">
        <f>SUMIFS(mdr_rate_cleaned!$G$2:$G$10,mdr_rate_cleaned!$A$2:$A$10,B3652,mdr_rate_cleaned!$B$2:$B$10,"&lt;"&amp;C3652,mdr_rate_cleaned!$F$2:$F$10,"&gt;="&amp;C3652)</f>
        <v>1.6E-2</v>
      </c>
      <c r="H3652" s="24">
        <f t="shared" si="285"/>
        <v>76.77</v>
      </c>
      <c r="I3652" s="23" t="str">
        <f t="shared" si="286"/>
        <v>Match</v>
      </c>
      <c r="J3652" s="23" t="str">
        <f t="shared" si="287"/>
        <v>Match</v>
      </c>
      <c r="K3652" s="24">
        <f t="shared" si="288"/>
        <v>13.82</v>
      </c>
      <c r="L3652" s="24">
        <f t="shared" si="289"/>
        <v>0</v>
      </c>
    </row>
    <row r="3653" spans="1:12" ht="15" customHeight="1" x14ac:dyDescent="0.3">
      <c r="A3653" s="23" t="s">
        <v>16770</v>
      </c>
      <c r="B3653" s="23" t="s">
        <v>75</v>
      </c>
      <c r="C3653" s="39">
        <v>299</v>
      </c>
      <c r="D3653" s="24">
        <v>0</v>
      </c>
      <c r="E3653" s="24">
        <v>0</v>
      </c>
      <c r="F3653" s="23">
        <f>COUNTIFS(mdr_rate_cleaned!$A$2:$A$10,B3653,mdr_rate_cleaned!$B$2:$B$10,"&lt;"&amp;C3653,mdr_rate_cleaned!$F$2:$F$10,"&gt;="&amp;C3653)</f>
        <v>1</v>
      </c>
      <c r="G3653" s="40">
        <f>SUMIFS(mdr_rate_cleaned!$G$2:$G$10,mdr_rate_cleaned!$A$2:$A$10,B3653,mdr_rate_cleaned!$B$2:$B$10,"&lt;"&amp;C3653,mdr_rate_cleaned!$F$2:$F$10,"&gt;="&amp;C3653)</f>
        <v>0</v>
      </c>
      <c r="H3653" s="24">
        <f t="shared" si="285"/>
        <v>0</v>
      </c>
      <c r="I3653" s="23" t="str">
        <f t="shared" si="286"/>
        <v>Match</v>
      </c>
      <c r="J3653" s="23" t="str">
        <f t="shared" si="287"/>
        <v>Match</v>
      </c>
      <c r="K3653" s="24">
        <f t="shared" si="288"/>
        <v>0</v>
      </c>
      <c r="L3653" s="24">
        <f t="shared" si="289"/>
        <v>0</v>
      </c>
    </row>
    <row r="3654" spans="1:12" ht="15" customHeight="1" x14ac:dyDescent="0.3">
      <c r="A3654" s="23" t="s">
        <v>16771</v>
      </c>
      <c r="B3654" s="23" t="s">
        <v>75</v>
      </c>
      <c r="C3654" s="39">
        <v>1648</v>
      </c>
      <c r="D3654" s="24">
        <v>4.9400000000000004</v>
      </c>
      <c r="E3654" s="24">
        <v>0.89</v>
      </c>
      <c r="F3654" s="23">
        <f>COUNTIFS(mdr_rate_cleaned!$A$2:$A$10,B3654,mdr_rate_cleaned!$B$2:$B$10,"&lt;"&amp;C3654,mdr_rate_cleaned!$F$2:$F$10,"&gt;="&amp;C3654)</f>
        <v>1</v>
      </c>
      <c r="G3654" s="40">
        <f>SUMIFS(mdr_rate_cleaned!$G$2:$G$10,mdr_rate_cleaned!$A$2:$A$10,B3654,mdr_rate_cleaned!$B$2:$B$10,"&lt;"&amp;C3654,mdr_rate_cleaned!$F$2:$F$10,"&gt;="&amp;C3654)</f>
        <v>0</v>
      </c>
      <c r="H3654" s="24">
        <f t="shared" si="285"/>
        <v>0</v>
      </c>
      <c r="I3654" s="23" t="str">
        <f t="shared" si="286"/>
        <v>Differs</v>
      </c>
      <c r="J3654" s="23" t="str">
        <f t="shared" si="287"/>
        <v>Match</v>
      </c>
      <c r="K3654" s="24">
        <f t="shared" si="288"/>
        <v>0</v>
      </c>
      <c r="L3654" s="24">
        <f t="shared" si="289"/>
        <v>5.83</v>
      </c>
    </row>
    <row r="3655" spans="1:12" ht="15" customHeight="1" x14ac:dyDescent="0.3">
      <c r="A3655" s="23" t="s">
        <v>16773</v>
      </c>
      <c r="B3655" s="23" t="s">
        <v>79</v>
      </c>
      <c r="C3655" s="39">
        <v>4498</v>
      </c>
      <c r="D3655" s="24">
        <v>71.97</v>
      </c>
      <c r="E3655" s="24">
        <v>12.95</v>
      </c>
      <c r="F3655" s="23">
        <f>COUNTIFS(mdr_rate_cleaned!$A$2:$A$10,B3655,mdr_rate_cleaned!$B$2:$B$10,"&lt;"&amp;C3655,mdr_rate_cleaned!$F$2:$F$10,"&gt;="&amp;C3655)</f>
        <v>1</v>
      </c>
      <c r="G3655" s="40">
        <f>SUMIFS(mdr_rate_cleaned!$G$2:$G$10,mdr_rate_cleaned!$A$2:$A$10,B3655,mdr_rate_cleaned!$B$2:$B$10,"&lt;"&amp;C3655,mdr_rate_cleaned!$F$2:$F$10,"&gt;="&amp;C3655)</f>
        <v>1.6E-2</v>
      </c>
      <c r="H3655" s="24">
        <f t="shared" si="285"/>
        <v>71.97</v>
      </c>
      <c r="I3655" s="23" t="str">
        <f t="shared" si="286"/>
        <v>Match</v>
      </c>
      <c r="J3655" s="23" t="str">
        <f t="shared" si="287"/>
        <v>Match</v>
      </c>
      <c r="K3655" s="24">
        <f t="shared" si="288"/>
        <v>12.95</v>
      </c>
      <c r="L3655" s="24">
        <f t="shared" si="289"/>
        <v>0</v>
      </c>
    </row>
    <row r="3656" spans="1:12" ht="15" customHeight="1" x14ac:dyDescent="0.3">
      <c r="A3656" s="23" t="s">
        <v>16774</v>
      </c>
      <c r="B3656" s="23" t="s">
        <v>75</v>
      </c>
      <c r="C3656" s="39">
        <v>1998</v>
      </c>
      <c r="D3656" s="24">
        <v>0</v>
      </c>
      <c r="E3656" s="24">
        <v>0</v>
      </c>
      <c r="F3656" s="23">
        <f>COUNTIFS(mdr_rate_cleaned!$A$2:$A$10,B3656,mdr_rate_cleaned!$B$2:$B$10,"&lt;"&amp;C3656,mdr_rate_cleaned!$F$2:$F$10,"&gt;="&amp;C3656)</f>
        <v>1</v>
      </c>
      <c r="G3656" s="40">
        <f>SUMIFS(mdr_rate_cleaned!$G$2:$G$10,mdr_rate_cleaned!$A$2:$A$10,B3656,mdr_rate_cleaned!$B$2:$B$10,"&lt;"&amp;C3656,mdr_rate_cleaned!$F$2:$F$10,"&gt;="&amp;C3656)</f>
        <v>0</v>
      </c>
      <c r="H3656" s="24">
        <f t="shared" si="285"/>
        <v>0</v>
      </c>
      <c r="I3656" s="23" t="str">
        <f t="shared" si="286"/>
        <v>Match</v>
      </c>
      <c r="J3656" s="23" t="str">
        <f t="shared" si="287"/>
        <v>Match</v>
      </c>
      <c r="K3656" s="24">
        <f t="shared" si="288"/>
        <v>0</v>
      </c>
      <c r="L3656" s="24">
        <f t="shared" si="289"/>
        <v>0</v>
      </c>
    </row>
    <row r="3657" spans="1:12" ht="15" customHeight="1" x14ac:dyDescent="0.3">
      <c r="A3657" s="23" t="s">
        <v>16776</v>
      </c>
      <c r="B3657" s="23" t="s">
        <v>79</v>
      </c>
      <c r="C3657" s="39">
        <v>349</v>
      </c>
      <c r="D3657" s="24">
        <v>6.28</v>
      </c>
      <c r="E3657" s="24">
        <v>1.1299999999999999</v>
      </c>
      <c r="F3657" s="23">
        <f>COUNTIFS(mdr_rate_cleaned!$A$2:$A$10,B3657,mdr_rate_cleaned!$B$2:$B$10,"&lt;"&amp;C3657,mdr_rate_cleaned!$F$2:$F$10,"&gt;="&amp;C3657)</f>
        <v>1</v>
      </c>
      <c r="G3657" s="40">
        <f>SUMIFS(mdr_rate_cleaned!$G$2:$G$10,mdr_rate_cleaned!$A$2:$A$10,B3657,mdr_rate_cleaned!$B$2:$B$10,"&lt;"&amp;C3657,mdr_rate_cleaned!$F$2:$F$10,"&gt;="&amp;C3657)</f>
        <v>1.8000000000000002E-2</v>
      </c>
      <c r="H3657" s="24">
        <f t="shared" si="285"/>
        <v>6.28</v>
      </c>
      <c r="I3657" s="23" t="str">
        <f t="shared" si="286"/>
        <v>Match</v>
      </c>
      <c r="J3657" s="23" t="str">
        <f t="shared" si="287"/>
        <v>Match</v>
      </c>
      <c r="K3657" s="24">
        <f t="shared" si="288"/>
        <v>1.1299999999999999</v>
      </c>
      <c r="L3657" s="24">
        <f t="shared" si="289"/>
        <v>0</v>
      </c>
    </row>
    <row r="3658" spans="1:12" ht="15" customHeight="1" x14ac:dyDescent="0.3">
      <c r="A3658" s="23" t="s">
        <v>16778</v>
      </c>
      <c r="B3658" s="23" t="s">
        <v>79</v>
      </c>
      <c r="C3658" s="39">
        <v>4298</v>
      </c>
      <c r="D3658" s="24">
        <v>68.77</v>
      </c>
      <c r="E3658" s="24">
        <v>12.38</v>
      </c>
      <c r="F3658" s="23">
        <f>COUNTIFS(mdr_rate_cleaned!$A$2:$A$10,B3658,mdr_rate_cleaned!$B$2:$B$10,"&lt;"&amp;C3658,mdr_rate_cleaned!$F$2:$F$10,"&gt;="&amp;C3658)</f>
        <v>1</v>
      </c>
      <c r="G3658" s="40">
        <f>SUMIFS(mdr_rate_cleaned!$G$2:$G$10,mdr_rate_cleaned!$A$2:$A$10,B3658,mdr_rate_cleaned!$B$2:$B$10,"&lt;"&amp;C3658,mdr_rate_cleaned!$F$2:$F$10,"&gt;="&amp;C3658)</f>
        <v>1.6E-2</v>
      </c>
      <c r="H3658" s="24">
        <f t="shared" si="285"/>
        <v>68.77</v>
      </c>
      <c r="I3658" s="23" t="str">
        <f t="shared" si="286"/>
        <v>Match</v>
      </c>
      <c r="J3658" s="23" t="str">
        <f t="shared" si="287"/>
        <v>Match</v>
      </c>
      <c r="K3658" s="24">
        <f t="shared" si="288"/>
        <v>12.38</v>
      </c>
      <c r="L3658" s="24">
        <f t="shared" si="289"/>
        <v>0</v>
      </c>
    </row>
    <row r="3659" spans="1:12" ht="15" customHeight="1" x14ac:dyDescent="0.3">
      <c r="A3659" s="23" t="s">
        <v>16779</v>
      </c>
      <c r="B3659" s="23" t="s">
        <v>81</v>
      </c>
      <c r="C3659" s="39">
        <v>7847</v>
      </c>
      <c r="D3659" s="24">
        <v>94.16</v>
      </c>
      <c r="E3659" s="24">
        <v>16.95</v>
      </c>
      <c r="F3659" s="23">
        <f>COUNTIFS(mdr_rate_cleaned!$A$2:$A$10,B3659,mdr_rate_cleaned!$B$2:$B$10,"&lt;"&amp;C3659,mdr_rate_cleaned!$F$2:$F$10,"&gt;="&amp;C3659)</f>
        <v>1</v>
      </c>
      <c r="G3659" s="40">
        <f>SUMIFS(mdr_rate_cleaned!$G$2:$G$10,mdr_rate_cleaned!$A$2:$A$10,B3659,mdr_rate_cleaned!$B$2:$B$10,"&lt;"&amp;C3659,mdr_rate_cleaned!$F$2:$F$10,"&gt;="&amp;C3659)</f>
        <v>1.2E-2</v>
      </c>
      <c r="H3659" s="24">
        <f t="shared" si="285"/>
        <v>94.16</v>
      </c>
      <c r="I3659" s="23" t="str">
        <f t="shared" si="286"/>
        <v>Match</v>
      </c>
      <c r="J3659" s="23" t="str">
        <f t="shared" si="287"/>
        <v>Match</v>
      </c>
      <c r="K3659" s="24">
        <f t="shared" si="288"/>
        <v>16.95</v>
      </c>
      <c r="L3659" s="24">
        <f t="shared" si="289"/>
        <v>0</v>
      </c>
    </row>
    <row r="3660" spans="1:12" ht="15" customHeight="1" x14ac:dyDescent="0.3">
      <c r="A3660" s="23" t="s">
        <v>16781</v>
      </c>
      <c r="B3660" s="23" t="s">
        <v>75</v>
      </c>
      <c r="C3660" s="39">
        <v>3499</v>
      </c>
      <c r="D3660" s="24">
        <v>10.5</v>
      </c>
      <c r="E3660" s="24">
        <v>1.89</v>
      </c>
      <c r="F3660" s="23">
        <f>COUNTIFS(mdr_rate_cleaned!$A$2:$A$10,B3660,mdr_rate_cleaned!$B$2:$B$10,"&lt;"&amp;C3660,mdr_rate_cleaned!$F$2:$F$10,"&gt;="&amp;C3660)</f>
        <v>1</v>
      </c>
      <c r="G3660" s="40">
        <f>SUMIFS(mdr_rate_cleaned!$G$2:$G$10,mdr_rate_cleaned!$A$2:$A$10,B3660,mdr_rate_cleaned!$B$2:$B$10,"&lt;"&amp;C3660,mdr_rate_cleaned!$F$2:$F$10,"&gt;="&amp;C3660)</f>
        <v>3.0000000000000001E-3</v>
      </c>
      <c r="H3660" s="24">
        <f t="shared" si="285"/>
        <v>10.5</v>
      </c>
      <c r="I3660" s="23" t="str">
        <f t="shared" si="286"/>
        <v>Match</v>
      </c>
      <c r="J3660" s="23" t="str">
        <f t="shared" si="287"/>
        <v>Match</v>
      </c>
      <c r="K3660" s="24">
        <f t="shared" si="288"/>
        <v>1.89</v>
      </c>
      <c r="L3660" s="24">
        <f t="shared" si="289"/>
        <v>0</v>
      </c>
    </row>
    <row r="3661" spans="1:12" ht="15" customHeight="1" x14ac:dyDescent="0.3">
      <c r="A3661" s="23" t="s">
        <v>16782</v>
      </c>
      <c r="B3661" s="23" t="s">
        <v>75</v>
      </c>
      <c r="C3661" s="39">
        <v>499</v>
      </c>
      <c r="D3661" s="24">
        <v>0</v>
      </c>
      <c r="E3661" s="24">
        <v>0</v>
      </c>
      <c r="F3661" s="23">
        <f>COUNTIFS(mdr_rate_cleaned!$A$2:$A$10,B3661,mdr_rate_cleaned!$B$2:$B$10,"&lt;"&amp;C3661,mdr_rate_cleaned!$F$2:$F$10,"&gt;="&amp;C3661)</f>
        <v>1</v>
      </c>
      <c r="G3661" s="40">
        <f>SUMIFS(mdr_rate_cleaned!$G$2:$G$10,mdr_rate_cleaned!$A$2:$A$10,B3661,mdr_rate_cleaned!$B$2:$B$10,"&lt;"&amp;C3661,mdr_rate_cleaned!$F$2:$F$10,"&gt;="&amp;C3661)</f>
        <v>0</v>
      </c>
      <c r="H3661" s="24">
        <f t="shared" si="285"/>
        <v>0</v>
      </c>
      <c r="I3661" s="23" t="str">
        <f t="shared" si="286"/>
        <v>Match</v>
      </c>
      <c r="J3661" s="23" t="str">
        <f t="shared" si="287"/>
        <v>Match</v>
      </c>
      <c r="K3661" s="24">
        <f t="shared" si="288"/>
        <v>0</v>
      </c>
      <c r="L3661" s="24">
        <f t="shared" si="289"/>
        <v>0</v>
      </c>
    </row>
    <row r="3662" spans="1:12" ht="15" customHeight="1" x14ac:dyDescent="0.3">
      <c r="A3662" s="23" t="s">
        <v>16783</v>
      </c>
      <c r="B3662" s="23" t="s">
        <v>79</v>
      </c>
      <c r="C3662" s="39">
        <v>1299</v>
      </c>
      <c r="D3662" s="24">
        <v>23.38</v>
      </c>
      <c r="E3662" s="24">
        <v>4.21</v>
      </c>
      <c r="F3662" s="23">
        <f>COUNTIFS(mdr_rate_cleaned!$A$2:$A$10,B3662,mdr_rate_cleaned!$B$2:$B$10,"&lt;"&amp;C3662,mdr_rate_cleaned!$F$2:$F$10,"&gt;="&amp;C3662)</f>
        <v>1</v>
      </c>
      <c r="G3662" s="40">
        <f>SUMIFS(mdr_rate_cleaned!$G$2:$G$10,mdr_rate_cleaned!$A$2:$A$10,B3662,mdr_rate_cleaned!$B$2:$B$10,"&lt;"&amp;C3662,mdr_rate_cleaned!$F$2:$F$10,"&gt;="&amp;C3662)</f>
        <v>1.8000000000000002E-2</v>
      </c>
      <c r="H3662" s="24">
        <f t="shared" si="285"/>
        <v>23.38</v>
      </c>
      <c r="I3662" s="23" t="str">
        <f t="shared" si="286"/>
        <v>Match</v>
      </c>
      <c r="J3662" s="23" t="str">
        <f t="shared" si="287"/>
        <v>Match</v>
      </c>
      <c r="K3662" s="24">
        <f t="shared" si="288"/>
        <v>4.21</v>
      </c>
      <c r="L3662" s="24">
        <f t="shared" si="289"/>
        <v>0</v>
      </c>
    </row>
    <row r="3663" spans="1:12" ht="15" customHeight="1" x14ac:dyDescent="0.3">
      <c r="A3663" s="23" t="s">
        <v>16785</v>
      </c>
      <c r="B3663" s="23" t="s">
        <v>75</v>
      </c>
      <c r="C3663" s="39">
        <v>5348</v>
      </c>
      <c r="D3663" s="24">
        <v>16.04</v>
      </c>
      <c r="E3663" s="24">
        <v>2.89</v>
      </c>
      <c r="F3663" s="23">
        <f>COUNTIFS(mdr_rate_cleaned!$A$2:$A$10,B3663,mdr_rate_cleaned!$B$2:$B$10,"&lt;"&amp;C3663,mdr_rate_cleaned!$F$2:$F$10,"&gt;="&amp;C3663)</f>
        <v>1</v>
      </c>
      <c r="G3663" s="40">
        <f>SUMIFS(mdr_rate_cleaned!$G$2:$G$10,mdr_rate_cleaned!$A$2:$A$10,B3663,mdr_rate_cleaned!$B$2:$B$10,"&lt;"&amp;C3663,mdr_rate_cleaned!$F$2:$F$10,"&gt;="&amp;C3663)</f>
        <v>3.0000000000000001E-3</v>
      </c>
      <c r="H3663" s="24">
        <f t="shared" si="285"/>
        <v>16.04</v>
      </c>
      <c r="I3663" s="23" t="str">
        <f t="shared" si="286"/>
        <v>Match</v>
      </c>
      <c r="J3663" s="23" t="str">
        <f t="shared" si="287"/>
        <v>Match</v>
      </c>
      <c r="K3663" s="24">
        <f t="shared" si="288"/>
        <v>2.89</v>
      </c>
      <c r="L3663" s="24">
        <f t="shared" si="289"/>
        <v>0</v>
      </c>
    </row>
    <row r="3664" spans="1:12" ht="15" customHeight="1" x14ac:dyDescent="0.3">
      <c r="A3664" s="23" t="s">
        <v>16786</v>
      </c>
      <c r="B3664" s="23" t="s">
        <v>77</v>
      </c>
      <c r="C3664" s="39">
        <v>299</v>
      </c>
      <c r="D3664" s="24">
        <v>5.68</v>
      </c>
      <c r="E3664" s="24">
        <v>1.02</v>
      </c>
      <c r="F3664" s="23">
        <f>COUNTIFS(mdr_rate_cleaned!$A$2:$A$10,B3664,mdr_rate_cleaned!$B$2:$B$10,"&lt;"&amp;C3664,mdr_rate_cleaned!$F$2:$F$10,"&gt;="&amp;C3664)</f>
        <v>1</v>
      </c>
      <c r="G3664" s="40">
        <f>SUMIFS(mdr_rate_cleaned!$G$2:$G$10,mdr_rate_cleaned!$A$2:$A$10,B3664,mdr_rate_cleaned!$B$2:$B$10,"&lt;"&amp;C3664,mdr_rate_cleaned!$F$2:$F$10,"&gt;="&amp;C3664)</f>
        <v>1.9E-2</v>
      </c>
      <c r="H3664" s="24">
        <f t="shared" si="285"/>
        <v>5.68</v>
      </c>
      <c r="I3664" s="23" t="str">
        <f t="shared" si="286"/>
        <v>Match</v>
      </c>
      <c r="J3664" s="23" t="str">
        <f t="shared" si="287"/>
        <v>Match</v>
      </c>
      <c r="K3664" s="24">
        <f t="shared" si="288"/>
        <v>1.02</v>
      </c>
      <c r="L3664" s="24">
        <f t="shared" si="289"/>
        <v>0</v>
      </c>
    </row>
    <row r="3665" spans="1:12" ht="15" customHeight="1" x14ac:dyDescent="0.3">
      <c r="A3665" s="23" t="s">
        <v>16788</v>
      </c>
      <c r="B3665" s="23" t="s">
        <v>79</v>
      </c>
      <c r="C3665" s="39">
        <v>999</v>
      </c>
      <c r="D3665" s="24">
        <v>17.98</v>
      </c>
      <c r="E3665" s="24">
        <v>3.24</v>
      </c>
      <c r="F3665" s="23">
        <f>COUNTIFS(mdr_rate_cleaned!$A$2:$A$10,B3665,mdr_rate_cleaned!$B$2:$B$10,"&lt;"&amp;C3665,mdr_rate_cleaned!$F$2:$F$10,"&gt;="&amp;C3665)</f>
        <v>1</v>
      </c>
      <c r="G3665" s="40">
        <f>SUMIFS(mdr_rate_cleaned!$G$2:$G$10,mdr_rate_cleaned!$A$2:$A$10,B3665,mdr_rate_cleaned!$B$2:$B$10,"&lt;"&amp;C3665,mdr_rate_cleaned!$F$2:$F$10,"&gt;="&amp;C3665)</f>
        <v>1.8000000000000002E-2</v>
      </c>
      <c r="H3665" s="24">
        <f t="shared" si="285"/>
        <v>17.98</v>
      </c>
      <c r="I3665" s="23" t="str">
        <f t="shared" si="286"/>
        <v>Match</v>
      </c>
      <c r="J3665" s="23" t="str">
        <f t="shared" si="287"/>
        <v>Match</v>
      </c>
      <c r="K3665" s="24">
        <f t="shared" si="288"/>
        <v>3.24</v>
      </c>
      <c r="L3665" s="24">
        <f t="shared" si="289"/>
        <v>0</v>
      </c>
    </row>
    <row r="3666" spans="1:12" ht="15" customHeight="1" x14ac:dyDescent="0.3">
      <c r="A3666" s="23" t="s">
        <v>16789</v>
      </c>
      <c r="B3666" s="23" t="s">
        <v>75</v>
      </c>
      <c r="C3666" s="39">
        <v>3348</v>
      </c>
      <c r="D3666" s="24">
        <v>10.039999999999999</v>
      </c>
      <c r="E3666" s="24">
        <v>1.81</v>
      </c>
      <c r="F3666" s="23">
        <f>COUNTIFS(mdr_rate_cleaned!$A$2:$A$10,B3666,mdr_rate_cleaned!$B$2:$B$10,"&lt;"&amp;C3666,mdr_rate_cleaned!$F$2:$F$10,"&gt;="&amp;C3666)</f>
        <v>1</v>
      </c>
      <c r="G3666" s="40">
        <f>SUMIFS(mdr_rate_cleaned!$G$2:$G$10,mdr_rate_cleaned!$A$2:$A$10,B3666,mdr_rate_cleaned!$B$2:$B$10,"&lt;"&amp;C3666,mdr_rate_cleaned!$F$2:$F$10,"&gt;="&amp;C3666)</f>
        <v>3.0000000000000001E-3</v>
      </c>
      <c r="H3666" s="24">
        <f t="shared" si="285"/>
        <v>10.039999999999999</v>
      </c>
      <c r="I3666" s="23" t="str">
        <f t="shared" si="286"/>
        <v>Match</v>
      </c>
      <c r="J3666" s="23" t="str">
        <f t="shared" si="287"/>
        <v>Match</v>
      </c>
      <c r="K3666" s="24">
        <f t="shared" si="288"/>
        <v>1.81</v>
      </c>
      <c r="L3666" s="24">
        <f t="shared" si="289"/>
        <v>0</v>
      </c>
    </row>
    <row r="3667" spans="1:12" ht="15" customHeight="1" x14ac:dyDescent="0.3">
      <c r="A3667" s="23" t="s">
        <v>16790</v>
      </c>
      <c r="B3667" s="23" t="s">
        <v>81</v>
      </c>
      <c r="C3667" s="39">
        <v>2499</v>
      </c>
      <c r="D3667" s="24">
        <v>29.99</v>
      </c>
      <c r="E3667" s="24">
        <v>5.4</v>
      </c>
      <c r="F3667" s="23">
        <f>COUNTIFS(mdr_rate_cleaned!$A$2:$A$10,B3667,mdr_rate_cleaned!$B$2:$B$10,"&lt;"&amp;C3667,mdr_rate_cleaned!$F$2:$F$10,"&gt;="&amp;C3667)</f>
        <v>1</v>
      </c>
      <c r="G3667" s="40">
        <f>SUMIFS(mdr_rate_cleaned!$G$2:$G$10,mdr_rate_cleaned!$A$2:$A$10,B3667,mdr_rate_cleaned!$B$2:$B$10,"&lt;"&amp;C3667,mdr_rate_cleaned!$F$2:$F$10,"&gt;="&amp;C3667)</f>
        <v>1.2E-2</v>
      </c>
      <c r="H3667" s="24">
        <f t="shared" si="285"/>
        <v>29.99</v>
      </c>
      <c r="I3667" s="23" t="str">
        <f t="shared" si="286"/>
        <v>Match</v>
      </c>
      <c r="J3667" s="23" t="str">
        <f t="shared" si="287"/>
        <v>Match</v>
      </c>
      <c r="K3667" s="24">
        <f t="shared" si="288"/>
        <v>5.4</v>
      </c>
      <c r="L3667" s="24">
        <f t="shared" si="289"/>
        <v>0</v>
      </c>
    </row>
    <row r="3668" spans="1:12" ht="15" customHeight="1" x14ac:dyDescent="0.3">
      <c r="A3668" s="23" t="s">
        <v>16792</v>
      </c>
      <c r="B3668" s="23" t="s">
        <v>75</v>
      </c>
      <c r="C3668" s="39">
        <v>2999</v>
      </c>
      <c r="D3668" s="24">
        <v>9</v>
      </c>
      <c r="E3668" s="24">
        <v>1.62</v>
      </c>
      <c r="F3668" s="23">
        <f>COUNTIFS(mdr_rate_cleaned!$A$2:$A$10,B3668,mdr_rate_cleaned!$B$2:$B$10,"&lt;"&amp;C3668,mdr_rate_cleaned!$F$2:$F$10,"&gt;="&amp;C3668)</f>
        <v>1</v>
      </c>
      <c r="G3668" s="40">
        <f>SUMIFS(mdr_rate_cleaned!$G$2:$G$10,mdr_rate_cleaned!$A$2:$A$10,B3668,mdr_rate_cleaned!$B$2:$B$10,"&lt;"&amp;C3668,mdr_rate_cleaned!$F$2:$F$10,"&gt;="&amp;C3668)</f>
        <v>3.0000000000000001E-3</v>
      </c>
      <c r="H3668" s="24">
        <f t="shared" si="285"/>
        <v>9</v>
      </c>
      <c r="I3668" s="23" t="str">
        <f t="shared" si="286"/>
        <v>Match</v>
      </c>
      <c r="J3668" s="23" t="str">
        <f t="shared" si="287"/>
        <v>Match</v>
      </c>
      <c r="K3668" s="24">
        <f t="shared" si="288"/>
        <v>1.62</v>
      </c>
      <c r="L3668" s="24">
        <f t="shared" si="289"/>
        <v>0</v>
      </c>
    </row>
    <row r="3669" spans="1:12" ht="15" customHeight="1" x14ac:dyDescent="0.3">
      <c r="A3669" s="23" t="s">
        <v>16793</v>
      </c>
      <c r="B3669" s="23" t="s">
        <v>79</v>
      </c>
      <c r="C3669" s="39">
        <v>2298</v>
      </c>
      <c r="D3669" s="24">
        <v>36.770000000000003</v>
      </c>
      <c r="E3669" s="24">
        <v>6.62</v>
      </c>
      <c r="F3669" s="23">
        <f>COUNTIFS(mdr_rate_cleaned!$A$2:$A$10,B3669,mdr_rate_cleaned!$B$2:$B$10,"&lt;"&amp;C3669,mdr_rate_cleaned!$F$2:$F$10,"&gt;="&amp;C3669)</f>
        <v>1</v>
      </c>
      <c r="G3669" s="40">
        <f>SUMIFS(mdr_rate_cleaned!$G$2:$G$10,mdr_rate_cleaned!$A$2:$A$10,B3669,mdr_rate_cleaned!$B$2:$B$10,"&lt;"&amp;C3669,mdr_rate_cleaned!$F$2:$F$10,"&gt;="&amp;C3669)</f>
        <v>1.6E-2</v>
      </c>
      <c r="H3669" s="24">
        <f t="shared" si="285"/>
        <v>36.770000000000003</v>
      </c>
      <c r="I3669" s="23" t="str">
        <f t="shared" si="286"/>
        <v>Match</v>
      </c>
      <c r="J3669" s="23" t="str">
        <f t="shared" si="287"/>
        <v>Match</v>
      </c>
      <c r="K3669" s="24">
        <f t="shared" si="288"/>
        <v>6.62</v>
      </c>
      <c r="L3669" s="24">
        <f t="shared" si="289"/>
        <v>0</v>
      </c>
    </row>
    <row r="3670" spans="1:12" ht="15" customHeight="1" x14ac:dyDescent="0.3">
      <c r="A3670" s="23" t="s">
        <v>16794</v>
      </c>
      <c r="B3670" s="23" t="s">
        <v>81</v>
      </c>
      <c r="C3670" s="39">
        <v>3798</v>
      </c>
      <c r="D3670" s="24">
        <v>45.58</v>
      </c>
      <c r="E3670" s="24">
        <v>8.1999999999999993</v>
      </c>
      <c r="F3670" s="23">
        <f>COUNTIFS(mdr_rate_cleaned!$A$2:$A$10,B3670,mdr_rate_cleaned!$B$2:$B$10,"&lt;"&amp;C3670,mdr_rate_cleaned!$F$2:$F$10,"&gt;="&amp;C3670)</f>
        <v>1</v>
      </c>
      <c r="G3670" s="40">
        <f>SUMIFS(mdr_rate_cleaned!$G$2:$G$10,mdr_rate_cleaned!$A$2:$A$10,B3670,mdr_rate_cleaned!$B$2:$B$10,"&lt;"&amp;C3670,mdr_rate_cleaned!$F$2:$F$10,"&gt;="&amp;C3670)</f>
        <v>1.2E-2</v>
      </c>
      <c r="H3670" s="24">
        <f t="shared" si="285"/>
        <v>45.58</v>
      </c>
      <c r="I3670" s="23" t="str">
        <f t="shared" si="286"/>
        <v>Match</v>
      </c>
      <c r="J3670" s="23" t="str">
        <f t="shared" si="287"/>
        <v>Match</v>
      </c>
      <c r="K3670" s="24">
        <f t="shared" si="288"/>
        <v>8.1999999999999993</v>
      </c>
      <c r="L3670" s="24">
        <f t="shared" si="289"/>
        <v>0</v>
      </c>
    </row>
    <row r="3671" spans="1:12" ht="15" customHeight="1" x14ac:dyDescent="0.3">
      <c r="A3671" s="23" t="s">
        <v>16795</v>
      </c>
      <c r="B3671" s="23" t="s">
        <v>77</v>
      </c>
      <c r="C3671" s="39">
        <v>499</v>
      </c>
      <c r="D3671" s="24">
        <v>9.48</v>
      </c>
      <c r="E3671" s="24">
        <v>1.71</v>
      </c>
      <c r="F3671" s="23">
        <f>COUNTIFS(mdr_rate_cleaned!$A$2:$A$10,B3671,mdr_rate_cleaned!$B$2:$B$10,"&lt;"&amp;C3671,mdr_rate_cleaned!$F$2:$F$10,"&gt;="&amp;C3671)</f>
        <v>1</v>
      </c>
      <c r="G3671" s="40">
        <f>SUMIFS(mdr_rate_cleaned!$G$2:$G$10,mdr_rate_cleaned!$A$2:$A$10,B3671,mdr_rate_cleaned!$B$2:$B$10,"&lt;"&amp;C3671,mdr_rate_cleaned!$F$2:$F$10,"&gt;="&amp;C3671)</f>
        <v>1.9E-2</v>
      </c>
      <c r="H3671" s="24">
        <f t="shared" si="285"/>
        <v>9.48</v>
      </c>
      <c r="I3671" s="23" t="str">
        <f t="shared" si="286"/>
        <v>Match</v>
      </c>
      <c r="J3671" s="23" t="str">
        <f t="shared" si="287"/>
        <v>Match</v>
      </c>
      <c r="K3671" s="24">
        <f t="shared" si="288"/>
        <v>1.71</v>
      </c>
      <c r="L3671" s="24">
        <f t="shared" si="289"/>
        <v>0</v>
      </c>
    </row>
    <row r="3672" spans="1:12" ht="15" customHeight="1" x14ac:dyDescent="0.3">
      <c r="A3672" s="23" t="s">
        <v>16796</v>
      </c>
      <c r="B3672" s="23" t="s">
        <v>79</v>
      </c>
      <c r="C3672" s="39">
        <v>2999</v>
      </c>
      <c r="D3672" s="24">
        <v>47.98</v>
      </c>
      <c r="E3672" s="24">
        <v>8.64</v>
      </c>
      <c r="F3672" s="23">
        <f>COUNTIFS(mdr_rate_cleaned!$A$2:$A$10,B3672,mdr_rate_cleaned!$B$2:$B$10,"&lt;"&amp;C3672,mdr_rate_cleaned!$F$2:$F$10,"&gt;="&amp;C3672)</f>
        <v>1</v>
      </c>
      <c r="G3672" s="40">
        <f>SUMIFS(mdr_rate_cleaned!$G$2:$G$10,mdr_rate_cleaned!$A$2:$A$10,B3672,mdr_rate_cleaned!$B$2:$B$10,"&lt;"&amp;C3672,mdr_rate_cleaned!$F$2:$F$10,"&gt;="&amp;C3672)</f>
        <v>1.6E-2</v>
      </c>
      <c r="H3672" s="24">
        <f t="shared" si="285"/>
        <v>47.98</v>
      </c>
      <c r="I3672" s="23" t="str">
        <f t="shared" si="286"/>
        <v>Match</v>
      </c>
      <c r="J3672" s="23" t="str">
        <f t="shared" si="287"/>
        <v>Match</v>
      </c>
      <c r="K3672" s="24">
        <f t="shared" si="288"/>
        <v>8.64</v>
      </c>
      <c r="L3672" s="24">
        <f t="shared" si="289"/>
        <v>0</v>
      </c>
    </row>
    <row r="3673" spans="1:12" ht="15" customHeight="1" x14ac:dyDescent="0.3">
      <c r="A3673" s="23" t="s">
        <v>16797</v>
      </c>
      <c r="B3673" s="23" t="s">
        <v>75</v>
      </c>
      <c r="C3673" s="39">
        <v>2999</v>
      </c>
      <c r="D3673" s="24">
        <v>9</v>
      </c>
      <c r="E3673" s="24">
        <v>1.62</v>
      </c>
      <c r="F3673" s="23">
        <f>COUNTIFS(mdr_rate_cleaned!$A$2:$A$10,B3673,mdr_rate_cleaned!$B$2:$B$10,"&lt;"&amp;C3673,mdr_rate_cleaned!$F$2:$F$10,"&gt;="&amp;C3673)</f>
        <v>1</v>
      </c>
      <c r="G3673" s="40">
        <f>SUMIFS(mdr_rate_cleaned!$G$2:$G$10,mdr_rate_cleaned!$A$2:$A$10,B3673,mdr_rate_cleaned!$B$2:$B$10,"&lt;"&amp;C3673,mdr_rate_cleaned!$F$2:$F$10,"&gt;="&amp;C3673)</f>
        <v>3.0000000000000001E-3</v>
      </c>
      <c r="H3673" s="24">
        <f t="shared" si="285"/>
        <v>9</v>
      </c>
      <c r="I3673" s="23" t="str">
        <f t="shared" si="286"/>
        <v>Match</v>
      </c>
      <c r="J3673" s="23" t="str">
        <f t="shared" si="287"/>
        <v>Match</v>
      </c>
      <c r="K3673" s="24">
        <f t="shared" si="288"/>
        <v>1.62</v>
      </c>
      <c r="L3673" s="24">
        <f t="shared" si="289"/>
        <v>0</v>
      </c>
    </row>
    <row r="3674" spans="1:12" ht="15" customHeight="1" x14ac:dyDescent="0.3">
      <c r="A3674" s="23" t="s">
        <v>16798</v>
      </c>
      <c r="B3674" s="23" t="s">
        <v>75</v>
      </c>
      <c r="C3674" s="39">
        <v>798</v>
      </c>
      <c r="D3674" s="24">
        <v>0</v>
      </c>
      <c r="E3674" s="24">
        <v>0</v>
      </c>
      <c r="F3674" s="23">
        <f>COUNTIFS(mdr_rate_cleaned!$A$2:$A$10,B3674,mdr_rate_cleaned!$B$2:$B$10,"&lt;"&amp;C3674,mdr_rate_cleaned!$F$2:$F$10,"&gt;="&amp;C3674)</f>
        <v>1</v>
      </c>
      <c r="G3674" s="40">
        <f>SUMIFS(mdr_rate_cleaned!$G$2:$G$10,mdr_rate_cleaned!$A$2:$A$10,B3674,mdr_rate_cleaned!$B$2:$B$10,"&lt;"&amp;C3674,mdr_rate_cleaned!$F$2:$F$10,"&gt;="&amp;C3674)</f>
        <v>0</v>
      </c>
      <c r="H3674" s="24">
        <f t="shared" si="285"/>
        <v>0</v>
      </c>
      <c r="I3674" s="23" t="str">
        <f t="shared" si="286"/>
        <v>Match</v>
      </c>
      <c r="J3674" s="23" t="str">
        <f t="shared" si="287"/>
        <v>Match</v>
      </c>
      <c r="K3674" s="24">
        <f t="shared" si="288"/>
        <v>0</v>
      </c>
      <c r="L3674" s="24">
        <f t="shared" si="289"/>
        <v>0</v>
      </c>
    </row>
    <row r="3675" spans="1:12" ht="15" customHeight="1" x14ac:dyDescent="0.3">
      <c r="A3675" s="23" t="s">
        <v>16799</v>
      </c>
      <c r="B3675" s="23" t="s">
        <v>75</v>
      </c>
      <c r="C3675" s="39">
        <v>2499</v>
      </c>
      <c r="D3675" s="24">
        <v>7.5</v>
      </c>
      <c r="E3675" s="24">
        <v>1.35</v>
      </c>
      <c r="F3675" s="23">
        <f>COUNTIFS(mdr_rate_cleaned!$A$2:$A$10,B3675,mdr_rate_cleaned!$B$2:$B$10,"&lt;"&amp;C3675,mdr_rate_cleaned!$F$2:$F$10,"&gt;="&amp;C3675)</f>
        <v>1</v>
      </c>
      <c r="G3675" s="40">
        <f>SUMIFS(mdr_rate_cleaned!$G$2:$G$10,mdr_rate_cleaned!$A$2:$A$10,B3675,mdr_rate_cleaned!$B$2:$B$10,"&lt;"&amp;C3675,mdr_rate_cleaned!$F$2:$F$10,"&gt;="&amp;C3675)</f>
        <v>3.0000000000000001E-3</v>
      </c>
      <c r="H3675" s="24">
        <f t="shared" si="285"/>
        <v>7.5</v>
      </c>
      <c r="I3675" s="23" t="str">
        <f t="shared" si="286"/>
        <v>Match</v>
      </c>
      <c r="J3675" s="23" t="str">
        <f t="shared" si="287"/>
        <v>Match</v>
      </c>
      <c r="K3675" s="24">
        <f t="shared" si="288"/>
        <v>1.35</v>
      </c>
      <c r="L3675" s="24">
        <f t="shared" si="289"/>
        <v>0</v>
      </c>
    </row>
    <row r="3676" spans="1:12" ht="15" customHeight="1" x14ac:dyDescent="0.3">
      <c r="A3676" s="23" t="s">
        <v>16800</v>
      </c>
      <c r="B3676" s="23" t="s">
        <v>79</v>
      </c>
      <c r="C3676" s="39">
        <v>349</v>
      </c>
      <c r="D3676" s="24">
        <v>6.28</v>
      </c>
      <c r="E3676" s="24">
        <v>1.1299999999999999</v>
      </c>
      <c r="F3676" s="23">
        <f>COUNTIFS(mdr_rate_cleaned!$A$2:$A$10,B3676,mdr_rate_cleaned!$B$2:$B$10,"&lt;"&amp;C3676,mdr_rate_cleaned!$F$2:$F$10,"&gt;="&amp;C3676)</f>
        <v>1</v>
      </c>
      <c r="G3676" s="40">
        <f>SUMIFS(mdr_rate_cleaned!$G$2:$G$10,mdr_rate_cleaned!$A$2:$A$10,B3676,mdr_rate_cleaned!$B$2:$B$10,"&lt;"&amp;C3676,mdr_rate_cleaned!$F$2:$F$10,"&gt;="&amp;C3676)</f>
        <v>1.8000000000000002E-2</v>
      </c>
      <c r="H3676" s="24">
        <f t="shared" si="285"/>
        <v>6.28</v>
      </c>
      <c r="I3676" s="23" t="str">
        <f t="shared" si="286"/>
        <v>Match</v>
      </c>
      <c r="J3676" s="23" t="str">
        <f t="shared" si="287"/>
        <v>Match</v>
      </c>
      <c r="K3676" s="24">
        <f t="shared" si="288"/>
        <v>1.1299999999999999</v>
      </c>
      <c r="L3676" s="24">
        <f t="shared" si="289"/>
        <v>0</v>
      </c>
    </row>
    <row r="3677" spans="1:12" ht="15" customHeight="1" x14ac:dyDescent="0.3">
      <c r="A3677" s="23" t="s">
        <v>16801</v>
      </c>
      <c r="B3677" s="23" t="s">
        <v>79</v>
      </c>
      <c r="C3677" s="39">
        <v>5798</v>
      </c>
      <c r="D3677" s="24">
        <v>92.77</v>
      </c>
      <c r="E3677" s="24">
        <v>16.7</v>
      </c>
      <c r="F3677" s="23">
        <f>COUNTIFS(mdr_rate_cleaned!$A$2:$A$10,B3677,mdr_rate_cleaned!$B$2:$B$10,"&lt;"&amp;C3677,mdr_rate_cleaned!$F$2:$F$10,"&gt;="&amp;C3677)</f>
        <v>1</v>
      </c>
      <c r="G3677" s="40">
        <f>SUMIFS(mdr_rate_cleaned!$G$2:$G$10,mdr_rate_cleaned!$A$2:$A$10,B3677,mdr_rate_cleaned!$B$2:$B$10,"&lt;"&amp;C3677,mdr_rate_cleaned!$F$2:$F$10,"&gt;="&amp;C3677)</f>
        <v>1.6E-2</v>
      </c>
      <c r="H3677" s="24">
        <f t="shared" si="285"/>
        <v>92.77</v>
      </c>
      <c r="I3677" s="23" t="str">
        <f t="shared" si="286"/>
        <v>Match</v>
      </c>
      <c r="J3677" s="23" t="str">
        <f t="shared" si="287"/>
        <v>Match</v>
      </c>
      <c r="K3677" s="24">
        <f t="shared" si="288"/>
        <v>16.7</v>
      </c>
      <c r="L3677" s="24">
        <f t="shared" si="289"/>
        <v>0</v>
      </c>
    </row>
    <row r="3678" spans="1:12" ht="15" customHeight="1" x14ac:dyDescent="0.3">
      <c r="A3678" s="23" t="s">
        <v>16811</v>
      </c>
      <c r="B3678" s="23" t="s">
        <v>75</v>
      </c>
      <c r="C3678" s="39">
        <v>299</v>
      </c>
      <c r="D3678" s="24">
        <v>0</v>
      </c>
      <c r="E3678" s="24">
        <v>0</v>
      </c>
      <c r="F3678" s="23">
        <f>COUNTIFS(mdr_rate_cleaned!$A$2:$A$10,B3678,mdr_rate_cleaned!$B$2:$B$10,"&lt;"&amp;C3678,mdr_rate_cleaned!$F$2:$F$10,"&gt;="&amp;C3678)</f>
        <v>1</v>
      </c>
      <c r="G3678" s="40">
        <f>SUMIFS(mdr_rate_cleaned!$G$2:$G$10,mdr_rate_cleaned!$A$2:$A$10,B3678,mdr_rate_cleaned!$B$2:$B$10,"&lt;"&amp;C3678,mdr_rate_cleaned!$F$2:$F$10,"&gt;="&amp;C3678)</f>
        <v>0</v>
      </c>
      <c r="H3678" s="24">
        <f t="shared" si="285"/>
        <v>0</v>
      </c>
      <c r="I3678" s="23" t="str">
        <f t="shared" si="286"/>
        <v>Match</v>
      </c>
      <c r="J3678" s="23" t="str">
        <f t="shared" si="287"/>
        <v>Match</v>
      </c>
      <c r="K3678" s="24">
        <f t="shared" si="288"/>
        <v>0</v>
      </c>
      <c r="L3678" s="24">
        <f t="shared" si="289"/>
        <v>0</v>
      </c>
    </row>
    <row r="3679" spans="1:12" ht="15" customHeight="1" x14ac:dyDescent="0.3">
      <c r="A3679" s="23" t="s">
        <v>16812</v>
      </c>
      <c r="B3679" s="23" t="s">
        <v>75</v>
      </c>
      <c r="C3679" s="39">
        <v>4298</v>
      </c>
      <c r="D3679" s="24">
        <v>12.89</v>
      </c>
      <c r="E3679" s="24">
        <v>2.3199999999999998</v>
      </c>
      <c r="F3679" s="23">
        <f>COUNTIFS(mdr_rate_cleaned!$A$2:$A$10,B3679,mdr_rate_cleaned!$B$2:$B$10,"&lt;"&amp;C3679,mdr_rate_cleaned!$F$2:$F$10,"&gt;="&amp;C3679)</f>
        <v>1</v>
      </c>
      <c r="G3679" s="40">
        <f>SUMIFS(mdr_rate_cleaned!$G$2:$G$10,mdr_rate_cleaned!$A$2:$A$10,B3679,mdr_rate_cleaned!$B$2:$B$10,"&lt;"&amp;C3679,mdr_rate_cleaned!$F$2:$F$10,"&gt;="&amp;C3679)</f>
        <v>3.0000000000000001E-3</v>
      </c>
      <c r="H3679" s="24">
        <f t="shared" si="285"/>
        <v>12.89</v>
      </c>
      <c r="I3679" s="23" t="str">
        <f t="shared" si="286"/>
        <v>Match</v>
      </c>
      <c r="J3679" s="23" t="str">
        <f t="shared" si="287"/>
        <v>Match</v>
      </c>
      <c r="K3679" s="24">
        <f t="shared" si="288"/>
        <v>2.3199999999999998</v>
      </c>
      <c r="L3679" s="24">
        <f t="shared" si="289"/>
        <v>0</v>
      </c>
    </row>
    <row r="3680" spans="1:12" ht="15" customHeight="1" x14ac:dyDescent="0.3">
      <c r="A3680" s="23" t="s">
        <v>16813</v>
      </c>
      <c r="B3680" s="23" t="s">
        <v>79</v>
      </c>
      <c r="C3680" s="39">
        <v>4999</v>
      </c>
      <c r="D3680" s="24">
        <v>79.98</v>
      </c>
      <c r="E3680" s="24">
        <v>14.4</v>
      </c>
      <c r="F3680" s="23">
        <f>COUNTIFS(mdr_rate_cleaned!$A$2:$A$10,B3680,mdr_rate_cleaned!$B$2:$B$10,"&lt;"&amp;C3680,mdr_rate_cleaned!$F$2:$F$10,"&gt;="&amp;C3680)</f>
        <v>1</v>
      </c>
      <c r="G3680" s="40">
        <f>SUMIFS(mdr_rate_cleaned!$G$2:$G$10,mdr_rate_cleaned!$A$2:$A$10,B3680,mdr_rate_cleaned!$B$2:$B$10,"&lt;"&amp;C3680,mdr_rate_cleaned!$F$2:$F$10,"&gt;="&amp;C3680)</f>
        <v>1.6E-2</v>
      </c>
      <c r="H3680" s="24">
        <f t="shared" si="285"/>
        <v>79.98</v>
      </c>
      <c r="I3680" s="23" t="str">
        <f t="shared" si="286"/>
        <v>Match</v>
      </c>
      <c r="J3680" s="23" t="str">
        <f t="shared" si="287"/>
        <v>Match</v>
      </c>
      <c r="K3680" s="24">
        <f t="shared" si="288"/>
        <v>14.4</v>
      </c>
      <c r="L3680" s="24">
        <f t="shared" si="289"/>
        <v>0</v>
      </c>
    </row>
    <row r="3681" spans="1:12" ht="15" customHeight="1" x14ac:dyDescent="0.3">
      <c r="A3681" s="23" t="s">
        <v>16814</v>
      </c>
      <c r="B3681" s="23" t="s">
        <v>81</v>
      </c>
      <c r="C3681" s="39">
        <v>2598</v>
      </c>
      <c r="D3681" s="24">
        <v>31.18</v>
      </c>
      <c r="E3681" s="24">
        <v>5.61</v>
      </c>
      <c r="F3681" s="23">
        <f>COUNTIFS(mdr_rate_cleaned!$A$2:$A$10,B3681,mdr_rate_cleaned!$B$2:$B$10,"&lt;"&amp;C3681,mdr_rate_cleaned!$F$2:$F$10,"&gt;="&amp;C3681)</f>
        <v>1</v>
      </c>
      <c r="G3681" s="40">
        <f>SUMIFS(mdr_rate_cleaned!$G$2:$G$10,mdr_rate_cleaned!$A$2:$A$10,B3681,mdr_rate_cleaned!$B$2:$B$10,"&lt;"&amp;C3681,mdr_rate_cleaned!$F$2:$F$10,"&gt;="&amp;C3681)</f>
        <v>1.2E-2</v>
      </c>
      <c r="H3681" s="24">
        <f t="shared" si="285"/>
        <v>31.18</v>
      </c>
      <c r="I3681" s="23" t="str">
        <f t="shared" si="286"/>
        <v>Match</v>
      </c>
      <c r="J3681" s="23" t="str">
        <f t="shared" si="287"/>
        <v>Match</v>
      </c>
      <c r="K3681" s="24">
        <f t="shared" si="288"/>
        <v>5.61</v>
      </c>
      <c r="L3681" s="24">
        <f t="shared" si="289"/>
        <v>0</v>
      </c>
    </row>
    <row r="3682" spans="1:12" ht="15" customHeight="1" x14ac:dyDescent="0.3">
      <c r="A3682" s="23" t="s">
        <v>16815</v>
      </c>
      <c r="B3682" s="23" t="s">
        <v>77</v>
      </c>
      <c r="C3682" s="39">
        <v>1499</v>
      </c>
      <c r="D3682" s="24">
        <v>28.48</v>
      </c>
      <c r="E3682" s="24">
        <v>5.13</v>
      </c>
      <c r="F3682" s="23">
        <f>COUNTIFS(mdr_rate_cleaned!$A$2:$A$10,B3682,mdr_rate_cleaned!$B$2:$B$10,"&lt;"&amp;C3682,mdr_rate_cleaned!$F$2:$F$10,"&gt;="&amp;C3682)</f>
        <v>1</v>
      </c>
      <c r="G3682" s="40">
        <f>SUMIFS(mdr_rate_cleaned!$G$2:$G$10,mdr_rate_cleaned!$A$2:$A$10,B3682,mdr_rate_cleaned!$B$2:$B$10,"&lt;"&amp;C3682,mdr_rate_cleaned!$F$2:$F$10,"&gt;="&amp;C3682)</f>
        <v>1.9E-2</v>
      </c>
      <c r="H3682" s="24">
        <f t="shared" si="285"/>
        <v>28.48</v>
      </c>
      <c r="I3682" s="23" t="str">
        <f t="shared" si="286"/>
        <v>Match</v>
      </c>
      <c r="J3682" s="23" t="str">
        <f t="shared" si="287"/>
        <v>Match</v>
      </c>
      <c r="K3682" s="24">
        <f t="shared" si="288"/>
        <v>5.13</v>
      </c>
      <c r="L3682" s="24">
        <f t="shared" si="289"/>
        <v>0</v>
      </c>
    </row>
    <row r="3683" spans="1:12" ht="15" customHeight="1" x14ac:dyDescent="0.3">
      <c r="A3683" s="23" t="s">
        <v>16817</v>
      </c>
      <c r="B3683" s="23" t="s">
        <v>75</v>
      </c>
      <c r="C3683" s="39">
        <v>1298</v>
      </c>
      <c r="D3683" s="24">
        <v>0</v>
      </c>
      <c r="E3683" s="24">
        <v>0</v>
      </c>
      <c r="F3683" s="23">
        <f>COUNTIFS(mdr_rate_cleaned!$A$2:$A$10,B3683,mdr_rate_cleaned!$B$2:$B$10,"&lt;"&amp;C3683,mdr_rate_cleaned!$F$2:$F$10,"&gt;="&amp;C3683)</f>
        <v>1</v>
      </c>
      <c r="G3683" s="40">
        <f>SUMIFS(mdr_rate_cleaned!$G$2:$G$10,mdr_rate_cleaned!$A$2:$A$10,B3683,mdr_rate_cleaned!$B$2:$B$10,"&lt;"&amp;C3683,mdr_rate_cleaned!$F$2:$F$10,"&gt;="&amp;C3683)</f>
        <v>0</v>
      </c>
      <c r="H3683" s="24">
        <f t="shared" si="285"/>
        <v>0</v>
      </c>
      <c r="I3683" s="23" t="str">
        <f t="shared" si="286"/>
        <v>Match</v>
      </c>
      <c r="J3683" s="23" t="str">
        <f t="shared" si="287"/>
        <v>Match</v>
      </c>
      <c r="K3683" s="24">
        <f t="shared" si="288"/>
        <v>0</v>
      </c>
      <c r="L3683" s="24">
        <f t="shared" si="289"/>
        <v>0</v>
      </c>
    </row>
    <row r="3684" spans="1:12" ht="15" customHeight="1" x14ac:dyDescent="0.3">
      <c r="A3684" s="23" t="s">
        <v>16819</v>
      </c>
      <c r="B3684" s="23" t="s">
        <v>75</v>
      </c>
      <c r="C3684" s="39">
        <v>5598</v>
      </c>
      <c r="D3684" s="24">
        <v>16.79</v>
      </c>
      <c r="E3684" s="24">
        <v>3.02</v>
      </c>
      <c r="F3684" s="23">
        <f>COUNTIFS(mdr_rate_cleaned!$A$2:$A$10,B3684,mdr_rate_cleaned!$B$2:$B$10,"&lt;"&amp;C3684,mdr_rate_cleaned!$F$2:$F$10,"&gt;="&amp;C3684)</f>
        <v>1</v>
      </c>
      <c r="G3684" s="40">
        <f>SUMIFS(mdr_rate_cleaned!$G$2:$G$10,mdr_rate_cleaned!$A$2:$A$10,B3684,mdr_rate_cleaned!$B$2:$B$10,"&lt;"&amp;C3684,mdr_rate_cleaned!$F$2:$F$10,"&gt;="&amp;C3684)</f>
        <v>3.0000000000000001E-3</v>
      </c>
      <c r="H3684" s="24">
        <f t="shared" si="285"/>
        <v>16.79</v>
      </c>
      <c r="I3684" s="23" t="str">
        <f t="shared" si="286"/>
        <v>Match</v>
      </c>
      <c r="J3684" s="23" t="str">
        <f t="shared" si="287"/>
        <v>Match</v>
      </c>
      <c r="K3684" s="24">
        <f t="shared" si="288"/>
        <v>3.02</v>
      </c>
      <c r="L3684" s="24">
        <f t="shared" si="289"/>
        <v>0</v>
      </c>
    </row>
    <row r="3685" spans="1:12" ht="15" customHeight="1" x14ac:dyDescent="0.3">
      <c r="A3685" s="23" t="s">
        <v>16820</v>
      </c>
      <c r="B3685" s="23" t="s">
        <v>75</v>
      </c>
      <c r="C3685" s="39">
        <v>2999</v>
      </c>
      <c r="D3685" s="24">
        <v>9</v>
      </c>
      <c r="E3685" s="24">
        <v>1.62</v>
      </c>
      <c r="F3685" s="23">
        <f>COUNTIFS(mdr_rate_cleaned!$A$2:$A$10,B3685,mdr_rate_cleaned!$B$2:$B$10,"&lt;"&amp;C3685,mdr_rate_cleaned!$F$2:$F$10,"&gt;="&amp;C3685)</f>
        <v>1</v>
      </c>
      <c r="G3685" s="40">
        <f>SUMIFS(mdr_rate_cleaned!$G$2:$G$10,mdr_rate_cleaned!$A$2:$A$10,B3685,mdr_rate_cleaned!$B$2:$B$10,"&lt;"&amp;C3685,mdr_rate_cleaned!$F$2:$F$10,"&gt;="&amp;C3685)</f>
        <v>3.0000000000000001E-3</v>
      </c>
      <c r="H3685" s="24">
        <f t="shared" si="285"/>
        <v>9</v>
      </c>
      <c r="I3685" s="23" t="str">
        <f t="shared" si="286"/>
        <v>Match</v>
      </c>
      <c r="J3685" s="23" t="str">
        <f t="shared" si="287"/>
        <v>Match</v>
      </c>
      <c r="K3685" s="24">
        <f t="shared" si="288"/>
        <v>1.62</v>
      </c>
      <c r="L3685" s="24">
        <f t="shared" si="289"/>
        <v>0</v>
      </c>
    </row>
    <row r="3686" spans="1:12" ht="15" customHeight="1" x14ac:dyDescent="0.3">
      <c r="A3686" s="23" t="s">
        <v>16821</v>
      </c>
      <c r="B3686" s="23" t="s">
        <v>75</v>
      </c>
      <c r="C3686" s="39">
        <v>3097</v>
      </c>
      <c r="D3686" s="24">
        <v>9.2899999999999991</v>
      </c>
      <c r="E3686" s="24">
        <v>1.67</v>
      </c>
      <c r="F3686" s="23">
        <f>COUNTIFS(mdr_rate_cleaned!$A$2:$A$10,B3686,mdr_rate_cleaned!$B$2:$B$10,"&lt;"&amp;C3686,mdr_rate_cleaned!$F$2:$F$10,"&gt;="&amp;C3686)</f>
        <v>1</v>
      </c>
      <c r="G3686" s="40">
        <f>SUMIFS(mdr_rate_cleaned!$G$2:$G$10,mdr_rate_cleaned!$A$2:$A$10,B3686,mdr_rate_cleaned!$B$2:$B$10,"&lt;"&amp;C3686,mdr_rate_cleaned!$F$2:$F$10,"&gt;="&amp;C3686)</f>
        <v>3.0000000000000001E-3</v>
      </c>
      <c r="H3686" s="24">
        <f t="shared" si="285"/>
        <v>9.2899999999999991</v>
      </c>
      <c r="I3686" s="23" t="str">
        <f t="shared" si="286"/>
        <v>Match</v>
      </c>
      <c r="J3686" s="23" t="str">
        <f t="shared" si="287"/>
        <v>Match</v>
      </c>
      <c r="K3686" s="24">
        <f t="shared" si="288"/>
        <v>1.67</v>
      </c>
      <c r="L3686" s="24">
        <f t="shared" si="289"/>
        <v>0</v>
      </c>
    </row>
    <row r="3687" spans="1:12" ht="15" customHeight="1" x14ac:dyDescent="0.3">
      <c r="A3687" s="23" t="s">
        <v>16822</v>
      </c>
      <c r="B3687" s="23" t="s">
        <v>77</v>
      </c>
      <c r="C3687" s="39">
        <v>5298</v>
      </c>
      <c r="D3687" s="24">
        <v>127.15</v>
      </c>
      <c r="E3687" s="24">
        <v>22.89</v>
      </c>
      <c r="F3687" s="23">
        <f>COUNTIFS(mdr_rate_cleaned!$A$2:$A$10,B3687,mdr_rate_cleaned!$B$2:$B$10,"&lt;"&amp;C3687,mdr_rate_cleaned!$F$2:$F$10,"&gt;="&amp;C3687)</f>
        <v>1</v>
      </c>
      <c r="G3687" s="40">
        <f>SUMIFS(mdr_rate_cleaned!$G$2:$G$10,mdr_rate_cleaned!$A$2:$A$10,B3687,mdr_rate_cleaned!$B$2:$B$10,"&lt;"&amp;C3687,mdr_rate_cleaned!$F$2:$F$10,"&gt;="&amp;C3687)</f>
        <v>1.7000000000000001E-2</v>
      </c>
      <c r="H3687" s="24">
        <f t="shared" si="285"/>
        <v>90.07</v>
      </c>
      <c r="I3687" s="23" t="str">
        <f t="shared" si="286"/>
        <v>Differs</v>
      </c>
      <c r="J3687" s="23" t="str">
        <f t="shared" si="287"/>
        <v>Match</v>
      </c>
      <c r="K3687" s="24">
        <f t="shared" si="288"/>
        <v>16.21</v>
      </c>
      <c r="L3687" s="24">
        <f t="shared" si="289"/>
        <v>43.76</v>
      </c>
    </row>
    <row r="3688" spans="1:12" ht="15" customHeight="1" x14ac:dyDescent="0.3">
      <c r="A3688" s="23" t="s">
        <v>16823</v>
      </c>
      <c r="B3688" s="23" t="s">
        <v>75</v>
      </c>
      <c r="C3688" s="39">
        <v>11497</v>
      </c>
      <c r="D3688" s="24">
        <v>34.49</v>
      </c>
      <c r="E3688" s="24">
        <v>6.21</v>
      </c>
      <c r="F3688" s="23">
        <f>COUNTIFS(mdr_rate_cleaned!$A$2:$A$10,B3688,mdr_rate_cleaned!$B$2:$B$10,"&lt;"&amp;C3688,mdr_rate_cleaned!$F$2:$F$10,"&gt;="&amp;C3688)</f>
        <v>1</v>
      </c>
      <c r="G3688" s="40">
        <f>SUMIFS(mdr_rate_cleaned!$G$2:$G$10,mdr_rate_cleaned!$A$2:$A$10,B3688,mdr_rate_cleaned!$B$2:$B$10,"&lt;"&amp;C3688,mdr_rate_cleaned!$F$2:$F$10,"&gt;="&amp;C3688)</f>
        <v>3.0000000000000001E-3</v>
      </c>
      <c r="H3688" s="24">
        <f t="shared" si="285"/>
        <v>34.49</v>
      </c>
      <c r="I3688" s="23" t="str">
        <f t="shared" si="286"/>
        <v>Match</v>
      </c>
      <c r="J3688" s="23" t="str">
        <f t="shared" si="287"/>
        <v>Match</v>
      </c>
      <c r="K3688" s="24">
        <f t="shared" si="288"/>
        <v>6.21</v>
      </c>
      <c r="L3688" s="24">
        <f t="shared" si="289"/>
        <v>0</v>
      </c>
    </row>
    <row r="3689" spans="1:12" ht="15" customHeight="1" x14ac:dyDescent="0.3">
      <c r="A3689" s="23" t="s">
        <v>16824</v>
      </c>
      <c r="B3689" s="23" t="s">
        <v>75</v>
      </c>
      <c r="C3689" s="39">
        <v>2499</v>
      </c>
      <c r="D3689" s="24">
        <v>7.5</v>
      </c>
      <c r="E3689" s="24">
        <v>1.35</v>
      </c>
      <c r="F3689" s="23">
        <f>COUNTIFS(mdr_rate_cleaned!$A$2:$A$10,B3689,mdr_rate_cleaned!$B$2:$B$10,"&lt;"&amp;C3689,mdr_rate_cleaned!$F$2:$F$10,"&gt;="&amp;C3689)</f>
        <v>1</v>
      </c>
      <c r="G3689" s="40">
        <f>SUMIFS(mdr_rate_cleaned!$G$2:$G$10,mdr_rate_cleaned!$A$2:$A$10,B3689,mdr_rate_cleaned!$B$2:$B$10,"&lt;"&amp;C3689,mdr_rate_cleaned!$F$2:$F$10,"&gt;="&amp;C3689)</f>
        <v>3.0000000000000001E-3</v>
      </c>
      <c r="H3689" s="24">
        <f t="shared" si="285"/>
        <v>7.5</v>
      </c>
      <c r="I3689" s="23" t="str">
        <f t="shared" si="286"/>
        <v>Match</v>
      </c>
      <c r="J3689" s="23" t="str">
        <f t="shared" si="287"/>
        <v>Match</v>
      </c>
      <c r="K3689" s="24">
        <f t="shared" si="288"/>
        <v>1.35</v>
      </c>
      <c r="L3689" s="24">
        <f t="shared" si="289"/>
        <v>0</v>
      </c>
    </row>
    <row r="3690" spans="1:12" ht="15" customHeight="1" x14ac:dyDescent="0.3">
      <c r="A3690" s="23" t="s">
        <v>16826</v>
      </c>
      <c r="B3690" s="23" t="s">
        <v>75</v>
      </c>
      <c r="C3690" s="39">
        <v>8998</v>
      </c>
      <c r="D3690" s="24">
        <v>26.99</v>
      </c>
      <c r="E3690" s="24">
        <v>4.8600000000000003</v>
      </c>
      <c r="F3690" s="23">
        <f>COUNTIFS(mdr_rate_cleaned!$A$2:$A$10,B3690,mdr_rate_cleaned!$B$2:$B$10,"&lt;"&amp;C3690,mdr_rate_cleaned!$F$2:$F$10,"&gt;="&amp;C3690)</f>
        <v>1</v>
      </c>
      <c r="G3690" s="40">
        <f>SUMIFS(mdr_rate_cleaned!$G$2:$G$10,mdr_rate_cleaned!$A$2:$A$10,B3690,mdr_rate_cleaned!$B$2:$B$10,"&lt;"&amp;C3690,mdr_rate_cleaned!$F$2:$F$10,"&gt;="&amp;C3690)</f>
        <v>3.0000000000000001E-3</v>
      </c>
      <c r="H3690" s="24">
        <f t="shared" si="285"/>
        <v>26.99</v>
      </c>
      <c r="I3690" s="23" t="str">
        <f t="shared" si="286"/>
        <v>Match</v>
      </c>
      <c r="J3690" s="23" t="str">
        <f t="shared" si="287"/>
        <v>Match</v>
      </c>
      <c r="K3690" s="24">
        <f t="shared" si="288"/>
        <v>4.8600000000000003</v>
      </c>
      <c r="L3690" s="24">
        <f t="shared" si="289"/>
        <v>0</v>
      </c>
    </row>
    <row r="3691" spans="1:12" ht="15" customHeight="1" x14ac:dyDescent="0.3">
      <c r="A3691" s="23" t="s">
        <v>16827</v>
      </c>
      <c r="B3691" s="23" t="s">
        <v>75</v>
      </c>
      <c r="C3691" s="39">
        <v>349</v>
      </c>
      <c r="D3691" s="24">
        <v>0</v>
      </c>
      <c r="E3691" s="24">
        <v>0</v>
      </c>
      <c r="F3691" s="23">
        <f>COUNTIFS(mdr_rate_cleaned!$A$2:$A$10,B3691,mdr_rate_cleaned!$B$2:$B$10,"&lt;"&amp;C3691,mdr_rate_cleaned!$F$2:$F$10,"&gt;="&amp;C3691)</f>
        <v>1</v>
      </c>
      <c r="G3691" s="40">
        <f>SUMIFS(mdr_rate_cleaned!$G$2:$G$10,mdr_rate_cleaned!$A$2:$A$10,B3691,mdr_rate_cleaned!$B$2:$B$10,"&lt;"&amp;C3691,mdr_rate_cleaned!$F$2:$F$10,"&gt;="&amp;C3691)</f>
        <v>0</v>
      </c>
      <c r="H3691" s="24">
        <f t="shared" si="285"/>
        <v>0</v>
      </c>
      <c r="I3691" s="23" t="str">
        <f t="shared" si="286"/>
        <v>Match</v>
      </c>
      <c r="J3691" s="23" t="str">
        <f t="shared" si="287"/>
        <v>Match</v>
      </c>
      <c r="K3691" s="24">
        <f t="shared" si="288"/>
        <v>0</v>
      </c>
      <c r="L3691" s="24">
        <f t="shared" si="289"/>
        <v>0</v>
      </c>
    </row>
    <row r="3692" spans="1:12" ht="15" customHeight="1" x14ac:dyDescent="0.3">
      <c r="A3692" s="23" t="s">
        <v>16829</v>
      </c>
      <c r="B3692" s="23" t="s">
        <v>77</v>
      </c>
      <c r="C3692" s="39">
        <v>349</v>
      </c>
      <c r="D3692" s="24">
        <v>6.63</v>
      </c>
      <c r="E3692" s="24">
        <v>1.19</v>
      </c>
      <c r="F3692" s="23">
        <f>COUNTIFS(mdr_rate_cleaned!$A$2:$A$10,B3692,mdr_rate_cleaned!$B$2:$B$10,"&lt;"&amp;C3692,mdr_rate_cleaned!$F$2:$F$10,"&gt;="&amp;C3692)</f>
        <v>1</v>
      </c>
      <c r="G3692" s="40">
        <f>SUMIFS(mdr_rate_cleaned!$G$2:$G$10,mdr_rate_cleaned!$A$2:$A$10,B3692,mdr_rate_cleaned!$B$2:$B$10,"&lt;"&amp;C3692,mdr_rate_cleaned!$F$2:$F$10,"&gt;="&amp;C3692)</f>
        <v>1.9E-2</v>
      </c>
      <c r="H3692" s="24">
        <f t="shared" si="285"/>
        <v>6.63</v>
      </c>
      <c r="I3692" s="23" t="str">
        <f t="shared" si="286"/>
        <v>Match</v>
      </c>
      <c r="J3692" s="23" t="str">
        <f t="shared" si="287"/>
        <v>Match</v>
      </c>
      <c r="K3692" s="24">
        <f t="shared" si="288"/>
        <v>1.19</v>
      </c>
      <c r="L3692" s="24">
        <f t="shared" si="289"/>
        <v>0</v>
      </c>
    </row>
    <row r="3693" spans="1:12" ht="15" customHeight="1" x14ac:dyDescent="0.3">
      <c r="A3693" s="23" t="s">
        <v>16830</v>
      </c>
      <c r="B3693" s="23" t="s">
        <v>79</v>
      </c>
      <c r="C3693" s="39">
        <v>4999</v>
      </c>
      <c r="D3693" s="24">
        <v>79.98</v>
      </c>
      <c r="E3693" s="24">
        <v>14.4</v>
      </c>
      <c r="F3693" s="23">
        <f>COUNTIFS(mdr_rate_cleaned!$A$2:$A$10,B3693,mdr_rate_cleaned!$B$2:$B$10,"&lt;"&amp;C3693,mdr_rate_cleaned!$F$2:$F$10,"&gt;="&amp;C3693)</f>
        <v>1</v>
      </c>
      <c r="G3693" s="40">
        <f>SUMIFS(mdr_rate_cleaned!$G$2:$G$10,mdr_rate_cleaned!$A$2:$A$10,B3693,mdr_rate_cleaned!$B$2:$B$10,"&lt;"&amp;C3693,mdr_rate_cleaned!$F$2:$F$10,"&gt;="&amp;C3693)</f>
        <v>1.6E-2</v>
      </c>
      <c r="H3693" s="24">
        <f t="shared" si="285"/>
        <v>79.98</v>
      </c>
      <c r="I3693" s="23" t="str">
        <f t="shared" si="286"/>
        <v>Match</v>
      </c>
      <c r="J3693" s="23" t="str">
        <f t="shared" si="287"/>
        <v>Match</v>
      </c>
      <c r="K3693" s="24">
        <f t="shared" si="288"/>
        <v>14.4</v>
      </c>
      <c r="L3693" s="24">
        <f t="shared" si="289"/>
        <v>0</v>
      </c>
    </row>
    <row r="3694" spans="1:12" ht="15" customHeight="1" x14ac:dyDescent="0.3">
      <c r="A3694" s="23" t="s">
        <v>16831</v>
      </c>
      <c r="B3694" s="23" t="s">
        <v>75</v>
      </c>
      <c r="C3694" s="39">
        <v>4999</v>
      </c>
      <c r="D3694" s="24">
        <v>15</v>
      </c>
      <c r="E3694" s="24">
        <v>2.7</v>
      </c>
      <c r="F3694" s="23">
        <f>COUNTIFS(mdr_rate_cleaned!$A$2:$A$10,B3694,mdr_rate_cleaned!$B$2:$B$10,"&lt;"&amp;C3694,mdr_rate_cleaned!$F$2:$F$10,"&gt;="&amp;C3694)</f>
        <v>1</v>
      </c>
      <c r="G3694" s="40">
        <f>SUMIFS(mdr_rate_cleaned!$G$2:$G$10,mdr_rate_cleaned!$A$2:$A$10,B3694,mdr_rate_cleaned!$B$2:$B$10,"&lt;"&amp;C3694,mdr_rate_cleaned!$F$2:$F$10,"&gt;="&amp;C3694)</f>
        <v>3.0000000000000001E-3</v>
      </c>
      <c r="H3694" s="24">
        <f t="shared" si="285"/>
        <v>15</v>
      </c>
      <c r="I3694" s="23" t="str">
        <f t="shared" si="286"/>
        <v>Match</v>
      </c>
      <c r="J3694" s="23" t="str">
        <f t="shared" si="287"/>
        <v>Match</v>
      </c>
      <c r="K3694" s="24">
        <f t="shared" si="288"/>
        <v>2.7</v>
      </c>
      <c r="L3694" s="24">
        <f t="shared" si="289"/>
        <v>0</v>
      </c>
    </row>
    <row r="3695" spans="1:12" ht="15" customHeight="1" x14ac:dyDescent="0.3">
      <c r="A3695" s="23" t="s">
        <v>16832</v>
      </c>
      <c r="B3695" s="23" t="s">
        <v>75</v>
      </c>
      <c r="C3695" s="39">
        <v>9597</v>
      </c>
      <c r="D3695" s="24">
        <v>28.79</v>
      </c>
      <c r="E3695" s="24">
        <v>5.18</v>
      </c>
      <c r="F3695" s="23">
        <f>COUNTIFS(mdr_rate_cleaned!$A$2:$A$10,B3695,mdr_rate_cleaned!$B$2:$B$10,"&lt;"&amp;C3695,mdr_rate_cleaned!$F$2:$F$10,"&gt;="&amp;C3695)</f>
        <v>1</v>
      </c>
      <c r="G3695" s="40">
        <f>SUMIFS(mdr_rate_cleaned!$G$2:$G$10,mdr_rate_cleaned!$A$2:$A$10,B3695,mdr_rate_cleaned!$B$2:$B$10,"&lt;"&amp;C3695,mdr_rate_cleaned!$F$2:$F$10,"&gt;="&amp;C3695)</f>
        <v>3.0000000000000001E-3</v>
      </c>
      <c r="H3695" s="24">
        <f t="shared" si="285"/>
        <v>28.79</v>
      </c>
      <c r="I3695" s="23" t="str">
        <f t="shared" si="286"/>
        <v>Match</v>
      </c>
      <c r="J3695" s="23" t="str">
        <f t="shared" si="287"/>
        <v>Match</v>
      </c>
      <c r="K3695" s="24">
        <f t="shared" si="288"/>
        <v>5.18</v>
      </c>
      <c r="L3695" s="24">
        <f t="shared" si="289"/>
        <v>0</v>
      </c>
    </row>
    <row r="3696" spans="1:12" ht="15" customHeight="1" x14ac:dyDescent="0.3">
      <c r="A3696" s="23" t="s">
        <v>16834</v>
      </c>
      <c r="B3696" s="23" t="s">
        <v>79</v>
      </c>
      <c r="C3696" s="39">
        <v>8798</v>
      </c>
      <c r="D3696" s="24">
        <v>140.77000000000001</v>
      </c>
      <c r="E3696" s="24">
        <v>25.34</v>
      </c>
      <c r="F3696" s="23">
        <f>COUNTIFS(mdr_rate_cleaned!$A$2:$A$10,B3696,mdr_rate_cleaned!$B$2:$B$10,"&lt;"&amp;C3696,mdr_rate_cleaned!$F$2:$F$10,"&gt;="&amp;C3696)</f>
        <v>1</v>
      </c>
      <c r="G3696" s="40">
        <f>SUMIFS(mdr_rate_cleaned!$G$2:$G$10,mdr_rate_cleaned!$A$2:$A$10,B3696,mdr_rate_cleaned!$B$2:$B$10,"&lt;"&amp;C3696,mdr_rate_cleaned!$F$2:$F$10,"&gt;="&amp;C3696)</f>
        <v>1.6E-2</v>
      </c>
      <c r="H3696" s="24">
        <f t="shared" si="285"/>
        <v>140.77000000000001</v>
      </c>
      <c r="I3696" s="23" t="str">
        <f t="shared" si="286"/>
        <v>Match</v>
      </c>
      <c r="J3696" s="23" t="str">
        <f t="shared" si="287"/>
        <v>Match</v>
      </c>
      <c r="K3696" s="24">
        <f t="shared" si="288"/>
        <v>25.34</v>
      </c>
      <c r="L3696" s="24">
        <f t="shared" si="289"/>
        <v>0</v>
      </c>
    </row>
    <row r="3697" spans="1:12" ht="15" customHeight="1" x14ac:dyDescent="0.3">
      <c r="A3697" s="23" t="s">
        <v>16835</v>
      </c>
      <c r="B3697" s="23" t="s">
        <v>75</v>
      </c>
      <c r="C3697" s="39">
        <v>3499</v>
      </c>
      <c r="D3697" s="24">
        <v>10.5</v>
      </c>
      <c r="E3697" s="24">
        <v>1.89</v>
      </c>
      <c r="F3697" s="23">
        <f>COUNTIFS(mdr_rate_cleaned!$A$2:$A$10,B3697,mdr_rate_cleaned!$B$2:$B$10,"&lt;"&amp;C3697,mdr_rate_cleaned!$F$2:$F$10,"&gt;="&amp;C3697)</f>
        <v>1</v>
      </c>
      <c r="G3697" s="40">
        <f>SUMIFS(mdr_rate_cleaned!$G$2:$G$10,mdr_rate_cleaned!$A$2:$A$10,B3697,mdr_rate_cleaned!$B$2:$B$10,"&lt;"&amp;C3697,mdr_rate_cleaned!$F$2:$F$10,"&gt;="&amp;C3697)</f>
        <v>3.0000000000000001E-3</v>
      </c>
      <c r="H3697" s="24">
        <f t="shared" si="285"/>
        <v>10.5</v>
      </c>
      <c r="I3697" s="23" t="str">
        <f t="shared" si="286"/>
        <v>Match</v>
      </c>
      <c r="J3697" s="23" t="str">
        <f t="shared" si="287"/>
        <v>Match</v>
      </c>
      <c r="K3697" s="24">
        <f t="shared" si="288"/>
        <v>1.89</v>
      </c>
      <c r="L3697" s="24">
        <f t="shared" si="289"/>
        <v>0</v>
      </c>
    </row>
    <row r="3698" spans="1:12" ht="15" customHeight="1" x14ac:dyDescent="0.3">
      <c r="A3698" s="23" t="s">
        <v>16836</v>
      </c>
      <c r="B3698" s="23" t="s">
        <v>75</v>
      </c>
      <c r="C3698" s="39">
        <v>499</v>
      </c>
      <c r="D3698" s="24">
        <v>0</v>
      </c>
      <c r="E3698" s="24">
        <v>0</v>
      </c>
      <c r="F3698" s="23">
        <f>COUNTIFS(mdr_rate_cleaned!$A$2:$A$10,B3698,mdr_rate_cleaned!$B$2:$B$10,"&lt;"&amp;C3698,mdr_rate_cleaned!$F$2:$F$10,"&gt;="&amp;C3698)</f>
        <v>1</v>
      </c>
      <c r="G3698" s="40">
        <f>SUMIFS(mdr_rate_cleaned!$G$2:$G$10,mdr_rate_cleaned!$A$2:$A$10,B3698,mdr_rate_cleaned!$B$2:$B$10,"&lt;"&amp;C3698,mdr_rate_cleaned!$F$2:$F$10,"&gt;="&amp;C3698)</f>
        <v>0</v>
      </c>
      <c r="H3698" s="24">
        <f t="shared" si="285"/>
        <v>0</v>
      </c>
      <c r="I3698" s="23" t="str">
        <f t="shared" si="286"/>
        <v>Match</v>
      </c>
      <c r="J3698" s="23" t="str">
        <f t="shared" si="287"/>
        <v>Match</v>
      </c>
      <c r="K3698" s="24">
        <f t="shared" si="288"/>
        <v>0</v>
      </c>
      <c r="L3698" s="24">
        <f t="shared" si="289"/>
        <v>0</v>
      </c>
    </row>
    <row r="3699" spans="1:12" ht="15" customHeight="1" x14ac:dyDescent="0.3">
      <c r="A3699" s="23" t="s">
        <v>16837</v>
      </c>
      <c r="B3699" s="23" t="s">
        <v>75</v>
      </c>
      <c r="C3699" s="39">
        <v>2499</v>
      </c>
      <c r="D3699" s="24">
        <v>7.5</v>
      </c>
      <c r="E3699" s="24">
        <v>1.35</v>
      </c>
      <c r="F3699" s="23">
        <f>COUNTIFS(mdr_rate_cleaned!$A$2:$A$10,B3699,mdr_rate_cleaned!$B$2:$B$10,"&lt;"&amp;C3699,mdr_rate_cleaned!$F$2:$F$10,"&gt;="&amp;C3699)</f>
        <v>1</v>
      </c>
      <c r="G3699" s="40">
        <f>SUMIFS(mdr_rate_cleaned!$G$2:$G$10,mdr_rate_cleaned!$A$2:$A$10,B3699,mdr_rate_cleaned!$B$2:$B$10,"&lt;"&amp;C3699,mdr_rate_cleaned!$F$2:$F$10,"&gt;="&amp;C3699)</f>
        <v>3.0000000000000001E-3</v>
      </c>
      <c r="H3699" s="24">
        <f t="shared" si="285"/>
        <v>7.5</v>
      </c>
      <c r="I3699" s="23" t="str">
        <f t="shared" si="286"/>
        <v>Match</v>
      </c>
      <c r="J3699" s="23" t="str">
        <f t="shared" si="287"/>
        <v>Match</v>
      </c>
      <c r="K3699" s="24">
        <f t="shared" si="288"/>
        <v>1.35</v>
      </c>
      <c r="L3699" s="24">
        <f t="shared" si="289"/>
        <v>0</v>
      </c>
    </row>
    <row r="3700" spans="1:12" ht="15" customHeight="1" x14ac:dyDescent="0.3">
      <c r="A3700" s="23" t="s">
        <v>16838</v>
      </c>
      <c r="B3700" s="23" t="s">
        <v>81</v>
      </c>
      <c r="C3700" s="39">
        <v>4297</v>
      </c>
      <c r="D3700" s="24">
        <v>51.56</v>
      </c>
      <c r="E3700" s="24">
        <v>9.2799999999999994</v>
      </c>
      <c r="F3700" s="23">
        <f>COUNTIFS(mdr_rate_cleaned!$A$2:$A$10,B3700,mdr_rate_cleaned!$B$2:$B$10,"&lt;"&amp;C3700,mdr_rate_cleaned!$F$2:$F$10,"&gt;="&amp;C3700)</f>
        <v>1</v>
      </c>
      <c r="G3700" s="40">
        <f>SUMIFS(mdr_rate_cleaned!$G$2:$G$10,mdr_rate_cleaned!$A$2:$A$10,B3700,mdr_rate_cleaned!$B$2:$B$10,"&lt;"&amp;C3700,mdr_rate_cleaned!$F$2:$F$10,"&gt;="&amp;C3700)</f>
        <v>1.2E-2</v>
      </c>
      <c r="H3700" s="24">
        <f t="shared" si="285"/>
        <v>51.56</v>
      </c>
      <c r="I3700" s="23" t="str">
        <f t="shared" si="286"/>
        <v>Match</v>
      </c>
      <c r="J3700" s="23" t="str">
        <f t="shared" si="287"/>
        <v>Match</v>
      </c>
      <c r="K3700" s="24">
        <f t="shared" si="288"/>
        <v>9.2799999999999994</v>
      </c>
      <c r="L3700" s="24">
        <f t="shared" si="289"/>
        <v>0</v>
      </c>
    </row>
    <row r="3701" spans="1:12" ht="15" customHeight="1" x14ac:dyDescent="0.3">
      <c r="A3701" s="23" t="s">
        <v>16839</v>
      </c>
      <c r="B3701" s="23" t="s">
        <v>79</v>
      </c>
      <c r="C3701" s="39">
        <v>7999</v>
      </c>
      <c r="D3701" s="24">
        <v>127.98</v>
      </c>
      <c r="E3701" s="24">
        <v>23.04</v>
      </c>
      <c r="F3701" s="23">
        <f>COUNTIFS(mdr_rate_cleaned!$A$2:$A$10,B3701,mdr_rate_cleaned!$B$2:$B$10,"&lt;"&amp;C3701,mdr_rate_cleaned!$F$2:$F$10,"&gt;="&amp;C3701)</f>
        <v>1</v>
      </c>
      <c r="G3701" s="40">
        <f>SUMIFS(mdr_rate_cleaned!$G$2:$G$10,mdr_rate_cleaned!$A$2:$A$10,B3701,mdr_rate_cleaned!$B$2:$B$10,"&lt;"&amp;C3701,mdr_rate_cleaned!$F$2:$F$10,"&gt;="&amp;C3701)</f>
        <v>1.6E-2</v>
      </c>
      <c r="H3701" s="24">
        <f t="shared" si="285"/>
        <v>127.98</v>
      </c>
      <c r="I3701" s="23" t="str">
        <f t="shared" si="286"/>
        <v>Match</v>
      </c>
      <c r="J3701" s="23" t="str">
        <f t="shared" si="287"/>
        <v>Match</v>
      </c>
      <c r="K3701" s="24">
        <f t="shared" si="288"/>
        <v>23.04</v>
      </c>
      <c r="L3701" s="24">
        <f t="shared" si="289"/>
        <v>0</v>
      </c>
    </row>
    <row r="3702" spans="1:12" ht="15" customHeight="1" x14ac:dyDescent="0.3">
      <c r="A3702" s="23" t="s">
        <v>16840</v>
      </c>
      <c r="B3702" s="23" t="s">
        <v>79</v>
      </c>
      <c r="C3702" s="39">
        <v>2999</v>
      </c>
      <c r="D3702" s="24">
        <v>47.98</v>
      </c>
      <c r="E3702" s="24">
        <v>8.64</v>
      </c>
      <c r="F3702" s="23">
        <f>COUNTIFS(mdr_rate_cleaned!$A$2:$A$10,B3702,mdr_rate_cleaned!$B$2:$B$10,"&lt;"&amp;C3702,mdr_rate_cleaned!$F$2:$F$10,"&gt;="&amp;C3702)</f>
        <v>1</v>
      </c>
      <c r="G3702" s="40">
        <f>SUMIFS(mdr_rate_cleaned!$G$2:$G$10,mdr_rate_cleaned!$A$2:$A$10,B3702,mdr_rate_cleaned!$B$2:$B$10,"&lt;"&amp;C3702,mdr_rate_cleaned!$F$2:$F$10,"&gt;="&amp;C3702)</f>
        <v>1.6E-2</v>
      </c>
      <c r="H3702" s="24">
        <f t="shared" si="285"/>
        <v>47.98</v>
      </c>
      <c r="I3702" s="23" t="str">
        <f t="shared" si="286"/>
        <v>Match</v>
      </c>
      <c r="J3702" s="23" t="str">
        <f t="shared" si="287"/>
        <v>Match</v>
      </c>
      <c r="K3702" s="24">
        <f t="shared" si="288"/>
        <v>8.64</v>
      </c>
      <c r="L3702" s="24">
        <f t="shared" si="289"/>
        <v>0</v>
      </c>
    </row>
    <row r="3703" spans="1:12" ht="15" customHeight="1" x14ac:dyDescent="0.3">
      <c r="A3703" s="23" t="s">
        <v>16841</v>
      </c>
      <c r="B3703" s="23" t="s">
        <v>75</v>
      </c>
      <c r="C3703" s="39">
        <v>299</v>
      </c>
      <c r="D3703" s="24">
        <v>0</v>
      </c>
      <c r="E3703" s="24">
        <v>0</v>
      </c>
      <c r="F3703" s="23">
        <f>COUNTIFS(mdr_rate_cleaned!$A$2:$A$10,B3703,mdr_rate_cleaned!$B$2:$B$10,"&lt;"&amp;C3703,mdr_rate_cleaned!$F$2:$F$10,"&gt;="&amp;C3703)</f>
        <v>1</v>
      </c>
      <c r="G3703" s="40">
        <f>SUMIFS(mdr_rate_cleaned!$G$2:$G$10,mdr_rate_cleaned!$A$2:$A$10,B3703,mdr_rate_cleaned!$B$2:$B$10,"&lt;"&amp;C3703,mdr_rate_cleaned!$F$2:$F$10,"&gt;="&amp;C3703)</f>
        <v>0</v>
      </c>
      <c r="H3703" s="24">
        <f t="shared" si="285"/>
        <v>0</v>
      </c>
      <c r="I3703" s="23" t="str">
        <f t="shared" si="286"/>
        <v>Match</v>
      </c>
      <c r="J3703" s="23" t="str">
        <f t="shared" si="287"/>
        <v>Match</v>
      </c>
      <c r="K3703" s="24">
        <f t="shared" si="288"/>
        <v>0</v>
      </c>
      <c r="L3703" s="24">
        <f t="shared" si="289"/>
        <v>0</v>
      </c>
    </row>
    <row r="3704" spans="1:12" ht="15" customHeight="1" x14ac:dyDescent="0.3">
      <c r="A3704" s="23" t="s">
        <v>16842</v>
      </c>
      <c r="B3704" s="23" t="s">
        <v>75</v>
      </c>
      <c r="C3704" s="39">
        <v>4697</v>
      </c>
      <c r="D3704" s="24">
        <v>14.09</v>
      </c>
      <c r="E3704" s="24">
        <v>2.54</v>
      </c>
      <c r="F3704" s="23">
        <f>COUNTIFS(mdr_rate_cleaned!$A$2:$A$10,B3704,mdr_rate_cleaned!$B$2:$B$10,"&lt;"&amp;C3704,mdr_rate_cleaned!$F$2:$F$10,"&gt;="&amp;C3704)</f>
        <v>1</v>
      </c>
      <c r="G3704" s="40">
        <f>SUMIFS(mdr_rate_cleaned!$G$2:$G$10,mdr_rate_cleaned!$A$2:$A$10,B3704,mdr_rate_cleaned!$B$2:$B$10,"&lt;"&amp;C3704,mdr_rate_cleaned!$F$2:$F$10,"&gt;="&amp;C3704)</f>
        <v>3.0000000000000001E-3</v>
      </c>
      <c r="H3704" s="24">
        <f t="shared" si="285"/>
        <v>14.09</v>
      </c>
      <c r="I3704" s="23" t="str">
        <f t="shared" si="286"/>
        <v>Match</v>
      </c>
      <c r="J3704" s="23" t="str">
        <f t="shared" si="287"/>
        <v>Match</v>
      </c>
      <c r="K3704" s="24">
        <f t="shared" si="288"/>
        <v>2.54</v>
      </c>
      <c r="L3704" s="24">
        <f t="shared" si="289"/>
        <v>0</v>
      </c>
    </row>
    <row r="3705" spans="1:12" ht="15" customHeight="1" x14ac:dyDescent="0.3">
      <c r="A3705" s="23" t="s">
        <v>16843</v>
      </c>
      <c r="B3705" s="23" t="s">
        <v>75</v>
      </c>
      <c r="C3705" s="39">
        <v>299</v>
      </c>
      <c r="D3705" s="24">
        <v>0</v>
      </c>
      <c r="E3705" s="24">
        <v>0</v>
      </c>
      <c r="F3705" s="23">
        <f>COUNTIFS(mdr_rate_cleaned!$A$2:$A$10,B3705,mdr_rate_cleaned!$B$2:$B$10,"&lt;"&amp;C3705,mdr_rate_cleaned!$F$2:$F$10,"&gt;="&amp;C3705)</f>
        <v>1</v>
      </c>
      <c r="G3705" s="40">
        <f>SUMIFS(mdr_rate_cleaned!$G$2:$G$10,mdr_rate_cleaned!$A$2:$A$10,B3705,mdr_rate_cleaned!$B$2:$B$10,"&lt;"&amp;C3705,mdr_rate_cleaned!$F$2:$F$10,"&gt;="&amp;C3705)</f>
        <v>0</v>
      </c>
      <c r="H3705" s="24">
        <f t="shared" si="285"/>
        <v>0</v>
      </c>
      <c r="I3705" s="23" t="str">
        <f t="shared" si="286"/>
        <v>Match</v>
      </c>
      <c r="J3705" s="23" t="str">
        <f t="shared" si="287"/>
        <v>Match</v>
      </c>
      <c r="K3705" s="24">
        <f t="shared" si="288"/>
        <v>0</v>
      </c>
      <c r="L3705" s="24">
        <f t="shared" si="289"/>
        <v>0</v>
      </c>
    </row>
    <row r="3706" spans="1:12" ht="15" customHeight="1" x14ac:dyDescent="0.3">
      <c r="A3706" s="23" t="s">
        <v>16844</v>
      </c>
      <c r="B3706" s="23" t="s">
        <v>75</v>
      </c>
      <c r="C3706" s="39">
        <v>1499</v>
      </c>
      <c r="D3706" s="24">
        <v>0</v>
      </c>
      <c r="E3706" s="24">
        <v>0</v>
      </c>
      <c r="F3706" s="23">
        <f>COUNTIFS(mdr_rate_cleaned!$A$2:$A$10,B3706,mdr_rate_cleaned!$B$2:$B$10,"&lt;"&amp;C3706,mdr_rate_cleaned!$F$2:$F$10,"&gt;="&amp;C3706)</f>
        <v>1</v>
      </c>
      <c r="G3706" s="40">
        <f>SUMIFS(mdr_rate_cleaned!$G$2:$G$10,mdr_rate_cleaned!$A$2:$A$10,B3706,mdr_rate_cleaned!$B$2:$B$10,"&lt;"&amp;C3706,mdr_rate_cleaned!$F$2:$F$10,"&gt;="&amp;C3706)</f>
        <v>0</v>
      </c>
      <c r="H3706" s="24">
        <f t="shared" si="285"/>
        <v>0</v>
      </c>
      <c r="I3706" s="23" t="str">
        <f t="shared" si="286"/>
        <v>Match</v>
      </c>
      <c r="J3706" s="23" t="str">
        <f t="shared" si="287"/>
        <v>Match</v>
      </c>
      <c r="K3706" s="24">
        <f t="shared" si="288"/>
        <v>0</v>
      </c>
      <c r="L3706" s="24">
        <f t="shared" si="289"/>
        <v>0</v>
      </c>
    </row>
    <row r="3707" spans="1:12" ht="15" customHeight="1" x14ac:dyDescent="0.3">
      <c r="A3707" s="23" t="s">
        <v>16845</v>
      </c>
      <c r="B3707" s="23" t="s">
        <v>77</v>
      </c>
      <c r="C3707" s="39">
        <v>799</v>
      </c>
      <c r="D3707" s="24">
        <v>15.18</v>
      </c>
      <c r="E3707" s="24">
        <v>2.73</v>
      </c>
      <c r="F3707" s="23">
        <f>COUNTIFS(mdr_rate_cleaned!$A$2:$A$10,B3707,mdr_rate_cleaned!$B$2:$B$10,"&lt;"&amp;C3707,mdr_rate_cleaned!$F$2:$F$10,"&gt;="&amp;C3707)</f>
        <v>1</v>
      </c>
      <c r="G3707" s="40">
        <f>SUMIFS(mdr_rate_cleaned!$G$2:$G$10,mdr_rate_cleaned!$A$2:$A$10,B3707,mdr_rate_cleaned!$B$2:$B$10,"&lt;"&amp;C3707,mdr_rate_cleaned!$F$2:$F$10,"&gt;="&amp;C3707)</f>
        <v>1.9E-2</v>
      </c>
      <c r="H3707" s="24">
        <f t="shared" si="285"/>
        <v>15.18</v>
      </c>
      <c r="I3707" s="23" t="str">
        <f t="shared" si="286"/>
        <v>Match</v>
      </c>
      <c r="J3707" s="23" t="str">
        <f t="shared" si="287"/>
        <v>Match</v>
      </c>
      <c r="K3707" s="24">
        <f t="shared" si="288"/>
        <v>2.73</v>
      </c>
      <c r="L3707" s="24">
        <f t="shared" si="289"/>
        <v>0</v>
      </c>
    </row>
    <row r="3708" spans="1:12" ht="15" customHeight="1" x14ac:dyDescent="0.3">
      <c r="A3708" s="23" t="s">
        <v>16846</v>
      </c>
      <c r="B3708" s="23" t="s">
        <v>81</v>
      </c>
      <c r="C3708" s="39">
        <v>2999</v>
      </c>
      <c r="D3708" s="24">
        <v>35.99</v>
      </c>
      <c r="E3708" s="24">
        <v>6.48</v>
      </c>
      <c r="F3708" s="23">
        <f>COUNTIFS(mdr_rate_cleaned!$A$2:$A$10,B3708,mdr_rate_cleaned!$B$2:$B$10,"&lt;"&amp;C3708,mdr_rate_cleaned!$F$2:$F$10,"&gt;="&amp;C3708)</f>
        <v>1</v>
      </c>
      <c r="G3708" s="40">
        <f>SUMIFS(mdr_rate_cleaned!$G$2:$G$10,mdr_rate_cleaned!$A$2:$A$10,B3708,mdr_rate_cleaned!$B$2:$B$10,"&lt;"&amp;C3708,mdr_rate_cleaned!$F$2:$F$10,"&gt;="&amp;C3708)</f>
        <v>1.2E-2</v>
      </c>
      <c r="H3708" s="24">
        <f t="shared" si="285"/>
        <v>35.99</v>
      </c>
      <c r="I3708" s="23" t="str">
        <f t="shared" si="286"/>
        <v>Match</v>
      </c>
      <c r="J3708" s="23" t="str">
        <f t="shared" si="287"/>
        <v>Match</v>
      </c>
      <c r="K3708" s="24">
        <f t="shared" si="288"/>
        <v>6.48</v>
      </c>
      <c r="L3708" s="24">
        <f t="shared" si="289"/>
        <v>0</v>
      </c>
    </row>
    <row r="3709" spans="1:12" ht="15" customHeight="1" x14ac:dyDescent="0.3">
      <c r="A3709" s="23" t="s">
        <v>16847</v>
      </c>
      <c r="B3709" s="23" t="s">
        <v>75</v>
      </c>
      <c r="C3709" s="39">
        <v>3798</v>
      </c>
      <c r="D3709" s="24">
        <v>11.39</v>
      </c>
      <c r="E3709" s="24">
        <v>2.0499999999999998</v>
      </c>
      <c r="F3709" s="23">
        <f>COUNTIFS(mdr_rate_cleaned!$A$2:$A$10,B3709,mdr_rate_cleaned!$B$2:$B$10,"&lt;"&amp;C3709,mdr_rate_cleaned!$F$2:$F$10,"&gt;="&amp;C3709)</f>
        <v>1</v>
      </c>
      <c r="G3709" s="40">
        <f>SUMIFS(mdr_rate_cleaned!$G$2:$G$10,mdr_rate_cleaned!$A$2:$A$10,B3709,mdr_rate_cleaned!$B$2:$B$10,"&lt;"&amp;C3709,mdr_rate_cleaned!$F$2:$F$10,"&gt;="&amp;C3709)</f>
        <v>3.0000000000000001E-3</v>
      </c>
      <c r="H3709" s="24">
        <f t="shared" si="285"/>
        <v>11.39</v>
      </c>
      <c r="I3709" s="23" t="str">
        <f t="shared" si="286"/>
        <v>Match</v>
      </c>
      <c r="J3709" s="23" t="str">
        <f t="shared" si="287"/>
        <v>Match</v>
      </c>
      <c r="K3709" s="24">
        <f t="shared" si="288"/>
        <v>2.0499999999999998</v>
      </c>
      <c r="L3709" s="24">
        <f t="shared" si="289"/>
        <v>0</v>
      </c>
    </row>
    <row r="3710" spans="1:12" ht="15" customHeight="1" x14ac:dyDescent="0.3">
      <c r="A3710" s="23" t="s">
        <v>16848</v>
      </c>
      <c r="B3710" s="23" t="s">
        <v>75</v>
      </c>
      <c r="C3710" s="39">
        <v>2499</v>
      </c>
      <c r="D3710" s="24">
        <v>7.5</v>
      </c>
      <c r="E3710" s="24">
        <v>1.35</v>
      </c>
      <c r="F3710" s="23">
        <f>COUNTIFS(mdr_rate_cleaned!$A$2:$A$10,B3710,mdr_rate_cleaned!$B$2:$B$10,"&lt;"&amp;C3710,mdr_rate_cleaned!$F$2:$F$10,"&gt;="&amp;C3710)</f>
        <v>1</v>
      </c>
      <c r="G3710" s="40">
        <f>SUMIFS(mdr_rate_cleaned!$G$2:$G$10,mdr_rate_cleaned!$A$2:$A$10,B3710,mdr_rate_cleaned!$B$2:$B$10,"&lt;"&amp;C3710,mdr_rate_cleaned!$F$2:$F$10,"&gt;="&amp;C3710)</f>
        <v>3.0000000000000001E-3</v>
      </c>
      <c r="H3710" s="24">
        <f t="shared" si="285"/>
        <v>7.5</v>
      </c>
      <c r="I3710" s="23" t="str">
        <f t="shared" si="286"/>
        <v>Match</v>
      </c>
      <c r="J3710" s="23" t="str">
        <f t="shared" si="287"/>
        <v>Match</v>
      </c>
      <c r="K3710" s="24">
        <f t="shared" si="288"/>
        <v>1.35</v>
      </c>
      <c r="L3710" s="24">
        <f t="shared" si="289"/>
        <v>0</v>
      </c>
    </row>
    <row r="3711" spans="1:12" ht="15" customHeight="1" x14ac:dyDescent="0.3">
      <c r="A3711" s="23" t="s">
        <v>16849</v>
      </c>
      <c r="B3711" s="23" t="s">
        <v>75</v>
      </c>
      <c r="C3711" s="39">
        <v>3298</v>
      </c>
      <c r="D3711" s="24">
        <v>9.89</v>
      </c>
      <c r="E3711" s="24">
        <v>1.78</v>
      </c>
      <c r="F3711" s="23">
        <f>COUNTIFS(mdr_rate_cleaned!$A$2:$A$10,B3711,mdr_rate_cleaned!$B$2:$B$10,"&lt;"&amp;C3711,mdr_rate_cleaned!$F$2:$F$10,"&gt;="&amp;C3711)</f>
        <v>1</v>
      </c>
      <c r="G3711" s="40">
        <f>SUMIFS(mdr_rate_cleaned!$G$2:$G$10,mdr_rate_cleaned!$A$2:$A$10,B3711,mdr_rate_cleaned!$B$2:$B$10,"&lt;"&amp;C3711,mdr_rate_cleaned!$F$2:$F$10,"&gt;="&amp;C3711)</f>
        <v>3.0000000000000001E-3</v>
      </c>
      <c r="H3711" s="24">
        <f t="shared" si="285"/>
        <v>9.89</v>
      </c>
      <c r="I3711" s="23" t="str">
        <f t="shared" si="286"/>
        <v>Match</v>
      </c>
      <c r="J3711" s="23" t="str">
        <f t="shared" si="287"/>
        <v>Match</v>
      </c>
      <c r="K3711" s="24">
        <f t="shared" si="288"/>
        <v>1.78</v>
      </c>
      <c r="L3711" s="24">
        <f t="shared" si="289"/>
        <v>0</v>
      </c>
    </row>
    <row r="3712" spans="1:12" ht="15" customHeight="1" x14ac:dyDescent="0.3">
      <c r="A3712" s="23" t="s">
        <v>16850</v>
      </c>
      <c r="B3712" s="23" t="s">
        <v>79</v>
      </c>
      <c r="C3712" s="39">
        <v>2998</v>
      </c>
      <c r="D3712" s="24">
        <v>47.97</v>
      </c>
      <c r="E3712" s="24">
        <v>8.6300000000000008</v>
      </c>
      <c r="F3712" s="23">
        <f>COUNTIFS(mdr_rate_cleaned!$A$2:$A$10,B3712,mdr_rate_cleaned!$B$2:$B$10,"&lt;"&amp;C3712,mdr_rate_cleaned!$F$2:$F$10,"&gt;="&amp;C3712)</f>
        <v>1</v>
      </c>
      <c r="G3712" s="40">
        <f>SUMIFS(mdr_rate_cleaned!$G$2:$G$10,mdr_rate_cleaned!$A$2:$A$10,B3712,mdr_rate_cleaned!$B$2:$B$10,"&lt;"&amp;C3712,mdr_rate_cleaned!$F$2:$F$10,"&gt;="&amp;C3712)</f>
        <v>1.6E-2</v>
      </c>
      <c r="H3712" s="24">
        <f t="shared" si="285"/>
        <v>47.97</v>
      </c>
      <c r="I3712" s="23" t="str">
        <f t="shared" si="286"/>
        <v>Match</v>
      </c>
      <c r="J3712" s="23" t="str">
        <f t="shared" si="287"/>
        <v>Match</v>
      </c>
      <c r="K3712" s="24">
        <f t="shared" si="288"/>
        <v>8.6300000000000008</v>
      </c>
      <c r="L3712" s="24">
        <f t="shared" si="289"/>
        <v>0</v>
      </c>
    </row>
    <row r="3713" spans="1:12" ht="15" customHeight="1" x14ac:dyDescent="0.3">
      <c r="A3713" s="23" t="s">
        <v>16851</v>
      </c>
      <c r="B3713" s="23" t="s">
        <v>75</v>
      </c>
      <c r="C3713" s="39">
        <v>799</v>
      </c>
      <c r="D3713" s="24">
        <v>0</v>
      </c>
      <c r="E3713" s="24">
        <v>0</v>
      </c>
      <c r="F3713" s="23">
        <f>COUNTIFS(mdr_rate_cleaned!$A$2:$A$10,B3713,mdr_rate_cleaned!$B$2:$B$10,"&lt;"&amp;C3713,mdr_rate_cleaned!$F$2:$F$10,"&gt;="&amp;C3713)</f>
        <v>1</v>
      </c>
      <c r="G3713" s="40">
        <f>SUMIFS(mdr_rate_cleaned!$G$2:$G$10,mdr_rate_cleaned!$A$2:$A$10,B3713,mdr_rate_cleaned!$B$2:$B$10,"&lt;"&amp;C3713,mdr_rate_cleaned!$F$2:$F$10,"&gt;="&amp;C3713)</f>
        <v>0</v>
      </c>
      <c r="H3713" s="24">
        <f t="shared" si="285"/>
        <v>0</v>
      </c>
      <c r="I3713" s="23" t="str">
        <f t="shared" si="286"/>
        <v>Match</v>
      </c>
      <c r="J3713" s="23" t="str">
        <f t="shared" si="287"/>
        <v>Match</v>
      </c>
      <c r="K3713" s="24">
        <f t="shared" si="288"/>
        <v>0</v>
      </c>
      <c r="L3713" s="24">
        <f t="shared" si="289"/>
        <v>0</v>
      </c>
    </row>
    <row r="3714" spans="1:12" ht="15" customHeight="1" x14ac:dyDescent="0.3">
      <c r="A3714" s="23" t="s">
        <v>16852</v>
      </c>
      <c r="B3714" s="23" t="s">
        <v>75</v>
      </c>
      <c r="C3714" s="39">
        <v>1799</v>
      </c>
      <c r="D3714" s="24">
        <v>0</v>
      </c>
      <c r="E3714" s="24">
        <v>0</v>
      </c>
      <c r="F3714" s="23">
        <f>COUNTIFS(mdr_rate_cleaned!$A$2:$A$10,B3714,mdr_rate_cleaned!$B$2:$B$10,"&lt;"&amp;C3714,mdr_rate_cleaned!$F$2:$F$10,"&gt;="&amp;C3714)</f>
        <v>1</v>
      </c>
      <c r="G3714" s="40">
        <f>SUMIFS(mdr_rate_cleaned!$G$2:$G$10,mdr_rate_cleaned!$A$2:$A$10,B3714,mdr_rate_cleaned!$B$2:$B$10,"&lt;"&amp;C3714,mdr_rate_cleaned!$F$2:$F$10,"&gt;="&amp;C3714)</f>
        <v>0</v>
      </c>
      <c r="H3714" s="24">
        <f t="shared" ref="H3714:H3777" si="290">ROUND(C3714*G3714,2)</f>
        <v>0</v>
      </c>
      <c r="I3714" s="23" t="str">
        <f t="shared" ref="I3714:I3777" si="291">IF(ROUND(D3714-H3714,2)=0,"Match","Differs")</f>
        <v>Match</v>
      </c>
      <c r="J3714" s="23" t="str">
        <f t="shared" ref="J3714:J3777" si="292">IF(ROUND(E3714-ROUND(D3714*0.18,2),2)=0,"Match","Differs")</f>
        <v>Match</v>
      </c>
      <c r="K3714" s="24">
        <f t="shared" ref="K3714:K3777" si="293">ROUND(H3714*0.18,2)</f>
        <v>0</v>
      </c>
      <c r="L3714" s="24">
        <f t="shared" ref="L3714:L3777" si="294">ROUND(D3714+E3714-H3714-K3714,2)</f>
        <v>0</v>
      </c>
    </row>
    <row r="3715" spans="1:12" ht="15" customHeight="1" x14ac:dyDescent="0.3">
      <c r="A3715" s="23" t="s">
        <v>16853</v>
      </c>
      <c r="B3715" s="23" t="s">
        <v>79</v>
      </c>
      <c r="C3715" s="39">
        <v>4197</v>
      </c>
      <c r="D3715" s="24">
        <v>67.150000000000006</v>
      </c>
      <c r="E3715" s="24">
        <v>12.09</v>
      </c>
      <c r="F3715" s="23">
        <f>COUNTIFS(mdr_rate_cleaned!$A$2:$A$10,B3715,mdr_rate_cleaned!$B$2:$B$10,"&lt;"&amp;C3715,mdr_rate_cleaned!$F$2:$F$10,"&gt;="&amp;C3715)</f>
        <v>1</v>
      </c>
      <c r="G3715" s="40">
        <f>SUMIFS(mdr_rate_cleaned!$G$2:$G$10,mdr_rate_cleaned!$A$2:$A$10,B3715,mdr_rate_cleaned!$B$2:$B$10,"&lt;"&amp;C3715,mdr_rate_cleaned!$F$2:$F$10,"&gt;="&amp;C3715)</f>
        <v>1.6E-2</v>
      </c>
      <c r="H3715" s="24">
        <f t="shared" si="290"/>
        <v>67.150000000000006</v>
      </c>
      <c r="I3715" s="23" t="str">
        <f t="shared" si="291"/>
        <v>Match</v>
      </c>
      <c r="J3715" s="23" t="str">
        <f t="shared" si="292"/>
        <v>Match</v>
      </c>
      <c r="K3715" s="24">
        <f t="shared" si="293"/>
        <v>12.09</v>
      </c>
      <c r="L3715" s="24">
        <f t="shared" si="294"/>
        <v>0</v>
      </c>
    </row>
    <row r="3716" spans="1:12" ht="15" customHeight="1" x14ac:dyDescent="0.3">
      <c r="A3716" s="23" t="s">
        <v>16854</v>
      </c>
      <c r="B3716" s="23" t="s">
        <v>77</v>
      </c>
      <c r="C3716" s="39">
        <v>5798</v>
      </c>
      <c r="D3716" s="24">
        <v>98.57</v>
      </c>
      <c r="E3716" s="24">
        <v>17.739999999999998</v>
      </c>
      <c r="F3716" s="23">
        <f>COUNTIFS(mdr_rate_cleaned!$A$2:$A$10,B3716,mdr_rate_cleaned!$B$2:$B$10,"&lt;"&amp;C3716,mdr_rate_cleaned!$F$2:$F$10,"&gt;="&amp;C3716)</f>
        <v>1</v>
      </c>
      <c r="G3716" s="40">
        <f>SUMIFS(mdr_rate_cleaned!$G$2:$G$10,mdr_rate_cleaned!$A$2:$A$10,B3716,mdr_rate_cleaned!$B$2:$B$10,"&lt;"&amp;C3716,mdr_rate_cleaned!$F$2:$F$10,"&gt;="&amp;C3716)</f>
        <v>1.7000000000000001E-2</v>
      </c>
      <c r="H3716" s="24">
        <f t="shared" si="290"/>
        <v>98.57</v>
      </c>
      <c r="I3716" s="23" t="str">
        <f t="shared" si="291"/>
        <v>Match</v>
      </c>
      <c r="J3716" s="23" t="str">
        <f t="shared" si="292"/>
        <v>Match</v>
      </c>
      <c r="K3716" s="24">
        <f t="shared" si="293"/>
        <v>17.739999999999998</v>
      </c>
      <c r="L3716" s="24">
        <f t="shared" si="294"/>
        <v>0</v>
      </c>
    </row>
    <row r="3717" spans="1:12" ht="15" customHeight="1" x14ac:dyDescent="0.3">
      <c r="A3717" s="23" t="s">
        <v>16855</v>
      </c>
      <c r="B3717" s="23" t="s">
        <v>75</v>
      </c>
      <c r="C3717" s="39">
        <v>7999</v>
      </c>
      <c r="D3717" s="24">
        <v>24</v>
      </c>
      <c r="E3717" s="24">
        <v>4.32</v>
      </c>
      <c r="F3717" s="23">
        <f>COUNTIFS(mdr_rate_cleaned!$A$2:$A$10,B3717,mdr_rate_cleaned!$B$2:$B$10,"&lt;"&amp;C3717,mdr_rate_cleaned!$F$2:$F$10,"&gt;="&amp;C3717)</f>
        <v>1</v>
      </c>
      <c r="G3717" s="40">
        <f>SUMIFS(mdr_rate_cleaned!$G$2:$G$10,mdr_rate_cleaned!$A$2:$A$10,B3717,mdr_rate_cleaned!$B$2:$B$10,"&lt;"&amp;C3717,mdr_rate_cleaned!$F$2:$F$10,"&gt;="&amp;C3717)</f>
        <v>3.0000000000000001E-3</v>
      </c>
      <c r="H3717" s="24">
        <f t="shared" si="290"/>
        <v>24</v>
      </c>
      <c r="I3717" s="23" t="str">
        <f t="shared" si="291"/>
        <v>Match</v>
      </c>
      <c r="J3717" s="23" t="str">
        <f t="shared" si="292"/>
        <v>Match</v>
      </c>
      <c r="K3717" s="24">
        <f t="shared" si="293"/>
        <v>4.32</v>
      </c>
      <c r="L3717" s="24">
        <f t="shared" si="294"/>
        <v>0</v>
      </c>
    </row>
    <row r="3718" spans="1:12" ht="15" customHeight="1" x14ac:dyDescent="0.3">
      <c r="A3718" s="23" t="s">
        <v>16856</v>
      </c>
      <c r="B3718" s="23" t="s">
        <v>79</v>
      </c>
      <c r="C3718" s="39">
        <v>799</v>
      </c>
      <c r="D3718" s="24">
        <v>14.38</v>
      </c>
      <c r="E3718" s="24">
        <v>2.59</v>
      </c>
      <c r="F3718" s="23">
        <f>COUNTIFS(mdr_rate_cleaned!$A$2:$A$10,B3718,mdr_rate_cleaned!$B$2:$B$10,"&lt;"&amp;C3718,mdr_rate_cleaned!$F$2:$F$10,"&gt;="&amp;C3718)</f>
        <v>1</v>
      </c>
      <c r="G3718" s="40">
        <f>SUMIFS(mdr_rate_cleaned!$G$2:$G$10,mdr_rate_cleaned!$A$2:$A$10,B3718,mdr_rate_cleaned!$B$2:$B$10,"&lt;"&amp;C3718,mdr_rate_cleaned!$F$2:$F$10,"&gt;="&amp;C3718)</f>
        <v>1.8000000000000002E-2</v>
      </c>
      <c r="H3718" s="24">
        <f t="shared" si="290"/>
        <v>14.38</v>
      </c>
      <c r="I3718" s="23" t="str">
        <f t="shared" si="291"/>
        <v>Match</v>
      </c>
      <c r="J3718" s="23" t="str">
        <f t="shared" si="292"/>
        <v>Match</v>
      </c>
      <c r="K3718" s="24">
        <f t="shared" si="293"/>
        <v>2.59</v>
      </c>
      <c r="L3718" s="24">
        <f t="shared" si="294"/>
        <v>0</v>
      </c>
    </row>
    <row r="3719" spans="1:12" ht="15" customHeight="1" x14ac:dyDescent="0.3">
      <c r="A3719" s="23" t="s">
        <v>16858</v>
      </c>
      <c r="B3719" s="23" t="s">
        <v>75</v>
      </c>
      <c r="C3719" s="39">
        <v>3499</v>
      </c>
      <c r="D3719" s="24">
        <v>10.5</v>
      </c>
      <c r="E3719" s="24">
        <v>1.89</v>
      </c>
      <c r="F3719" s="23">
        <f>COUNTIFS(mdr_rate_cleaned!$A$2:$A$10,B3719,mdr_rate_cleaned!$B$2:$B$10,"&lt;"&amp;C3719,mdr_rate_cleaned!$F$2:$F$10,"&gt;="&amp;C3719)</f>
        <v>1</v>
      </c>
      <c r="G3719" s="40">
        <f>SUMIFS(mdr_rate_cleaned!$G$2:$G$10,mdr_rate_cleaned!$A$2:$A$10,B3719,mdr_rate_cleaned!$B$2:$B$10,"&lt;"&amp;C3719,mdr_rate_cleaned!$F$2:$F$10,"&gt;="&amp;C3719)</f>
        <v>3.0000000000000001E-3</v>
      </c>
      <c r="H3719" s="24">
        <f t="shared" si="290"/>
        <v>10.5</v>
      </c>
      <c r="I3719" s="23" t="str">
        <f t="shared" si="291"/>
        <v>Match</v>
      </c>
      <c r="J3719" s="23" t="str">
        <f t="shared" si="292"/>
        <v>Match</v>
      </c>
      <c r="K3719" s="24">
        <f t="shared" si="293"/>
        <v>1.89</v>
      </c>
      <c r="L3719" s="24">
        <f t="shared" si="294"/>
        <v>0</v>
      </c>
    </row>
    <row r="3720" spans="1:12" ht="15" customHeight="1" x14ac:dyDescent="0.3">
      <c r="A3720" s="23" t="s">
        <v>16859</v>
      </c>
      <c r="B3720" s="23" t="s">
        <v>75</v>
      </c>
      <c r="C3720" s="39">
        <v>4999</v>
      </c>
      <c r="D3720" s="24">
        <v>15</v>
      </c>
      <c r="E3720" s="24">
        <v>2.7</v>
      </c>
      <c r="F3720" s="23">
        <f>COUNTIFS(mdr_rate_cleaned!$A$2:$A$10,B3720,mdr_rate_cleaned!$B$2:$B$10,"&lt;"&amp;C3720,mdr_rate_cleaned!$F$2:$F$10,"&gt;="&amp;C3720)</f>
        <v>1</v>
      </c>
      <c r="G3720" s="40">
        <f>SUMIFS(mdr_rate_cleaned!$G$2:$G$10,mdr_rate_cleaned!$A$2:$A$10,B3720,mdr_rate_cleaned!$B$2:$B$10,"&lt;"&amp;C3720,mdr_rate_cleaned!$F$2:$F$10,"&gt;="&amp;C3720)</f>
        <v>3.0000000000000001E-3</v>
      </c>
      <c r="H3720" s="24">
        <f t="shared" si="290"/>
        <v>15</v>
      </c>
      <c r="I3720" s="23" t="str">
        <f t="shared" si="291"/>
        <v>Match</v>
      </c>
      <c r="J3720" s="23" t="str">
        <f t="shared" si="292"/>
        <v>Match</v>
      </c>
      <c r="K3720" s="24">
        <f t="shared" si="293"/>
        <v>2.7</v>
      </c>
      <c r="L3720" s="24">
        <f t="shared" si="294"/>
        <v>0</v>
      </c>
    </row>
    <row r="3721" spans="1:12" ht="15" customHeight="1" x14ac:dyDescent="0.3">
      <c r="A3721" s="23" t="s">
        <v>16860</v>
      </c>
      <c r="B3721" s="23" t="s">
        <v>79</v>
      </c>
      <c r="C3721" s="39">
        <v>7999</v>
      </c>
      <c r="D3721" s="24">
        <v>127.98</v>
      </c>
      <c r="E3721" s="24">
        <v>23.04</v>
      </c>
      <c r="F3721" s="23">
        <f>COUNTIFS(mdr_rate_cleaned!$A$2:$A$10,B3721,mdr_rate_cleaned!$B$2:$B$10,"&lt;"&amp;C3721,mdr_rate_cleaned!$F$2:$F$10,"&gt;="&amp;C3721)</f>
        <v>1</v>
      </c>
      <c r="G3721" s="40">
        <f>SUMIFS(mdr_rate_cleaned!$G$2:$G$10,mdr_rate_cleaned!$A$2:$A$10,B3721,mdr_rate_cleaned!$B$2:$B$10,"&lt;"&amp;C3721,mdr_rate_cleaned!$F$2:$F$10,"&gt;="&amp;C3721)</f>
        <v>1.6E-2</v>
      </c>
      <c r="H3721" s="24">
        <f t="shared" si="290"/>
        <v>127.98</v>
      </c>
      <c r="I3721" s="23" t="str">
        <f t="shared" si="291"/>
        <v>Match</v>
      </c>
      <c r="J3721" s="23" t="str">
        <f t="shared" si="292"/>
        <v>Match</v>
      </c>
      <c r="K3721" s="24">
        <f t="shared" si="293"/>
        <v>23.04</v>
      </c>
      <c r="L3721" s="24">
        <f t="shared" si="294"/>
        <v>0</v>
      </c>
    </row>
    <row r="3722" spans="1:12" ht="15" customHeight="1" x14ac:dyDescent="0.3">
      <c r="A3722" s="23" t="s">
        <v>16861</v>
      </c>
      <c r="B3722" s="23" t="s">
        <v>79</v>
      </c>
      <c r="C3722" s="39">
        <v>4498</v>
      </c>
      <c r="D3722" s="24">
        <v>71.97</v>
      </c>
      <c r="E3722" s="24">
        <v>12.95</v>
      </c>
      <c r="F3722" s="23">
        <f>COUNTIFS(mdr_rate_cleaned!$A$2:$A$10,B3722,mdr_rate_cleaned!$B$2:$B$10,"&lt;"&amp;C3722,mdr_rate_cleaned!$F$2:$F$10,"&gt;="&amp;C3722)</f>
        <v>1</v>
      </c>
      <c r="G3722" s="40">
        <f>SUMIFS(mdr_rate_cleaned!$G$2:$G$10,mdr_rate_cleaned!$A$2:$A$10,B3722,mdr_rate_cleaned!$B$2:$B$10,"&lt;"&amp;C3722,mdr_rate_cleaned!$F$2:$F$10,"&gt;="&amp;C3722)</f>
        <v>1.6E-2</v>
      </c>
      <c r="H3722" s="24">
        <f t="shared" si="290"/>
        <v>71.97</v>
      </c>
      <c r="I3722" s="23" t="str">
        <f t="shared" si="291"/>
        <v>Match</v>
      </c>
      <c r="J3722" s="23" t="str">
        <f t="shared" si="292"/>
        <v>Match</v>
      </c>
      <c r="K3722" s="24">
        <f t="shared" si="293"/>
        <v>12.95</v>
      </c>
      <c r="L3722" s="24">
        <f t="shared" si="294"/>
        <v>0</v>
      </c>
    </row>
    <row r="3723" spans="1:12" ht="15" customHeight="1" x14ac:dyDescent="0.3">
      <c r="A3723" s="23" t="s">
        <v>16862</v>
      </c>
      <c r="B3723" s="23" t="s">
        <v>75</v>
      </c>
      <c r="C3723" s="39">
        <v>999</v>
      </c>
      <c r="D3723" s="24">
        <v>0</v>
      </c>
      <c r="E3723" s="24">
        <v>0</v>
      </c>
      <c r="F3723" s="23">
        <f>COUNTIFS(mdr_rate_cleaned!$A$2:$A$10,B3723,mdr_rate_cleaned!$B$2:$B$10,"&lt;"&amp;C3723,mdr_rate_cleaned!$F$2:$F$10,"&gt;="&amp;C3723)</f>
        <v>1</v>
      </c>
      <c r="G3723" s="40">
        <f>SUMIFS(mdr_rate_cleaned!$G$2:$G$10,mdr_rate_cleaned!$A$2:$A$10,B3723,mdr_rate_cleaned!$B$2:$B$10,"&lt;"&amp;C3723,mdr_rate_cleaned!$F$2:$F$10,"&gt;="&amp;C3723)</f>
        <v>0</v>
      </c>
      <c r="H3723" s="24">
        <f t="shared" si="290"/>
        <v>0</v>
      </c>
      <c r="I3723" s="23" t="str">
        <f t="shared" si="291"/>
        <v>Match</v>
      </c>
      <c r="J3723" s="23" t="str">
        <f t="shared" si="292"/>
        <v>Match</v>
      </c>
      <c r="K3723" s="24">
        <f t="shared" si="293"/>
        <v>0</v>
      </c>
      <c r="L3723" s="24">
        <f t="shared" si="294"/>
        <v>0</v>
      </c>
    </row>
    <row r="3724" spans="1:12" ht="15" customHeight="1" x14ac:dyDescent="0.3">
      <c r="A3724" s="23" t="s">
        <v>16863</v>
      </c>
      <c r="B3724" s="23" t="s">
        <v>75</v>
      </c>
      <c r="C3724" s="39">
        <v>7999</v>
      </c>
      <c r="D3724" s="24">
        <v>24</v>
      </c>
      <c r="E3724" s="24">
        <v>4.32</v>
      </c>
      <c r="F3724" s="23">
        <f>COUNTIFS(mdr_rate_cleaned!$A$2:$A$10,B3724,mdr_rate_cleaned!$B$2:$B$10,"&lt;"&amp;C3724,mdr_rate_cleaned!$F$2:$F$10,"&gt;="&amp;C3724)</f>
        <v>1</v>
      </c>
      <c r="G3724" s="40">
        <f>SUMIFS(mdr_rate_cleaned!$G$2:$G$10,mdr_rate_cleaned!$A$2:$A$10,B3724,mdr_rate_cleaned!$B$2:$B$10,"&lt;"&amp;C3724,mdr_rate_cleaned!$F$2:$F$10,"&gt;="&amp;C3724)</f>
        <v>3.0000000000000001E-3</v>
      </c>
      <c r="H3724" s="24">
        <f t="shared" si="290"/>
        <v>24</v>
      </c>
      <c r="I3724" s="23" t="str">
        <f t="shared" si="291"/>
        <v>Match</v>
      </c>
      <c r="J3724" s="23" t="str">
        <f t="shared" si="292"/>
        <v>Match</v>
      </c>
      <c r="K3724" s="24">
        <f t="shared" si="293"/>
        <v>4.32</v>
      </c>
      <c r="L3724" s="24">
        <f t="shared" si="294"/>
        <v>0</v>
      </c>
    </row>
    <row r="3725" spans="1:12" ht="15" customHeight="1" x14ac:dyDescent="0.3">
      <c r="A3725" s="23" t="s">
        <v>16865</v>
      </c>
      <c r="B3725" s="23" t="s">
        <v>75</v>
      </c>
      <c r="C3725" s="39">
        <v>499</v>
      </c>
      <c r="D3725" s="24">
        <v>0</v>
      </c>
      <c r="E3725" s="24">
        <v>0</v>
      </c>
      <c r="F3725" s="23">
        <f>COUNTIFS(mdr_rate_cleaned!$A$2:$A$10,B3725,mdr_rate_cleaned!$B$2:$B$10,"&lt;"&amp;C3725,mdr_rate_cleaned!$F$2:$F$10,"&gt;="&amp;C3725)</f>
        <v>1</v>
      </c>
      <c r="G3725" s="40">
        <f>SUMIFS(mdr_rate_cleaned!$G$2:$G$10,mdr_rate_cleaned!$A$2:$A$10,B3725,mdr_rate_cleaned!$B$2:$B$10,"&lt;"&amp;C3725,mdr_rate_cleaned!$F$2:$F$10,"&gt;="&amp;C3725)</f>
        <v>0</v>
      </c>
      <c r="H3725" s="24">
        <f t="shared" si="290"/>
        <v>0</v>
      </c>
      <c r="I3725" s="23" t="str">
        <f t="shared" si="291"/>
        <v>Match</v>
      </c>
      <c r="J3725" s="23" t="str">
        <f t="shared" si="292"/>
        <v>Match</v>
      </c>
      <c r="K3725" s="24">
        <f t="shared" si="293"/>
        <v>0</v>
      </c>
      <c r="L3725" s="24">
        <f t="shared" si="294"/>
        <v>0</v>
      </c>
    </row>
    <row r="3726" spans="1:12" ht="15" customHeight="1" x14ac:dyDescent="0.3">
      <c r="A3726" s="23" t="s">
        <v>16866</v>
      </c>
      <c r="B3726" s="23" t="s">
        <v>75</v>
      </c>
      <c r="C3726" s="39">
        <v>4999</v>
      </c>
      <c r="D3726" s="24">
        <v>15</v>
      </c>
      <c r="E3726" s="24">
        <v>2.7</v>
      </c>
      <c r="F3726" s="23">
        <f>COUNTIFS(mdr_rate_cleaned!$A$2:$A$10,B3726,mdr_rate_cleaned!$B$2:$B$10,"&lt;"&amp;C3726,mdr_rate_cleaned!$F$2:$F$10,"&gt;="&amp;C3726)</f>
        <v>1</v>
      </c>
      <c r="G3726" s="40">
        <f>SUMIFS(mdr_rate_cleaned!$G$2:$G$10,mdr_rate_cleaned!$A$2:$A$10,B3726,mdr_rate_cleaned!$B$2:$B$10,"&lt;"&amp;C3726,mdr_rate_cleaned!$F$2:$F$10,"&gt;="&amp;C3726)</f>
        <v>3.0000000000000001E-3</v>
      </c>
      <c r="H3726" s="24">
        <f t="shared" si="290"/>
        <v>15</v>
      </c>
      <c r="I3726" s="23" t="str">
        <f t="shared" si="291"/>
        <v>Match</v>
      </c>
      <c r="J3726" s="23" t="str">
        <f t="shared" si="292"/>
        <v>Match</v>
      </c>
      <c r="K3726" s="24">
        <f t="shared" si="293"/>
        <v>2.7</v>
      </c>
      <c r="L3726" s="24">
        <f t="shared" si="294"/>
        <v>0</v>
      </c>
    </row>
    <row r="3727" spans="1:12" ht="15" customHeight="1" x14ac:dyDescent="0.3">
      <c r="A3727" s="23" t="s">
        <v>16867</v>
      </c>
      <c r="B3727" s="23" t="s">
        <v>79</v>
      </c>
      <c r="C3727" s="39">
        <v>7997</v>
      </c>
      <c r="D3727" s="24">
        <v>127.95</v>
      </c>
      <c r="E3727" s="24">
        <v>23.03</v>
      </c>
      <c r="F3727" s="23">
        <f>COUNTIFS(mdr_rate_cleaned!$A$2:$A$10,B3727,mdr_rate_cleaned!$B$2:$B$10,"&lt;"&amp;C3727,mdr_rate_cleaned!$F$2:$F$10,"&gt;="&amp;C3727)</f>
        <v>1</v>
      </c>
      <c r="G3727" s="40">
        <f>SUMIFS(mdr_rate_cleaned!$G$2:$G$10,mdr_rate_cleaned!$A$2:$A$10,B3727,mdr_rate_cleaned!$B$2:$B$10,"&lt;"&amp;C3727,mdr_rate_cleaned!$F$2:$F$10,"&gt;="&amp;C3727)</f>
        <v>1.6E-2</v>
      </c>
      <c r="H3727" s="24">
        <f t="shared" si="290"/>
        <v>127.95</v>
      </c>
      <c r="I3727" s="23" t="str">
        <f t="shared" si="291"/>
        <v>Match</v>
      </c>
      <c r="J3727" s="23" t="str">
        <f t="shared" si="292"/>
        <v>Match</v>
      </c>
      <c r="K3727" s="24">
        <f t="shared" si="293"/>
        <v>23.03</v>
      </c>
      <c r="L3727" s="24">
        <f t="shared" si="294"/>
        <v>0</v>
      </c>
    </row>
    <row r="3728" spans="1:12" ht="15" customHeight="1" x14ac:dyDescent="0.3">
      <c r="A3728" s="23" t="s">
        <v>16868</v>
      </c>
      <c r="B3728" s="23" t="s">
        <v>75</v>
      </c>
      <c r="C3728" s="39">
        <v>4897</v>
      </c>
      <c r="D3728" s="24">
        <v>14.69</v>
      </c>
      <c r="E3728" s="24">
        <v>2.64</v>
      </c>
      <c r="F3728" s="23">
        <f>COUNTIFS(mdr_rate_cleaned!$A$2:$A$10,B3728,mdr_rate_cleaned!$B$2:$B$10,"&lt;"&amp;C3728,mdr_rate_cleaned!$F$2:$F$10,"&gt;="&amp;C3728)</f>
        <v>1</v>
      </c>
      <c r="G3728" s="40">
        <f>SUMIFS(mdr_rate_cleaned!$G$2:$G$10,mdr_rate_cleaned!$A$2:$A$10,B3728,mdr_rate_cleaned!$B$2:$B$10,"&lt;"&amp;C3728,mdr_rate_cleaned!$F$2:$F$10,"&gt;="&amp;C3728)</f>
        <v>3.0000000000000001E-3</v>
      </c>
      <c r="H3728" s="24">
        <f t="shared" si="290"/>
        <v>14.69</v>
      </c>
      <c r="I3728" s="23" t="str">
        <f t="shared" si="291"/>
        <v>Match</v>
      </c>
      <c r="J3728" s="23" t="str">
        <f t="shared" si="292"/>
        <v>Match</v>
      </c>
      <c r="K3728" s="24">
        <f t="shared" si="293"/>
        <v>2.64</v>
      </c>
      <c r="L3728" s="24">
        <f t="shared" si="294"/>
        <v>0</v>
      </c>
    </row>
    <row r="3729" spans="1:12" ht="15" customHeight="1" x14ac:dyDescent="0.3">
      <c r="A3729" s="23" t="s">
        <v>16869</v>
      </c>
      <c r="B3729" s="23" t="s">
        <v>75</v>
      </c>
      <c r="C3729" s="39">
        <v>8348</v>
      </c>
      <c r="D3729" s="24">
        <v>25.04</v>
      </c>
      <c r="E3729" s="24">
        <v>4.51</v>
      </c>
      <c r="F3729" s="23">
        <f>COUNTIFS(mdr_rate_cleaned!$A$2:$A$10,B3729,mdr_rate_cleaned!$B$2:$B$10,"&lt;"&amp;C3729,mdr_rate_cleaned!$F$2:$F$10,"&gt;="&amp;C3729)</f>
        <v>1</v>
      </c>
      <c r="G3729" s="40">
        <f>SUMIFS(mdr_rate_cleaned!$G$2:$G$10,mdr_rate_cleaned!$A$2:$A$10,B3729,mdr_rate_cleaned!$B$2:$B$10,"&lt;"&amp;C3729,mdr_rate_cleaned!$F$2:$F$10,"&gt;="&amp;C3729)</f>
        <v>3.0000000000000001E-3</v>
      </c>
      <c r="H3729" s="24">
        <f t="shared" si="290"/>
        <v>25.04</v>
      </c>
      <c r="I3729" s="23" t="str">
        <f t="shared" si="291"/>
        <v>Match</v>
      </c>
      <c r="J3729" s="23" t="str">
        <f t="shared" si="292"/>
        <v>Match</v>
      </c>
      <c r="K3729" s="24">
        <f t="shared" si="293"/>
        <v>4.51</v>
      </c>
      <c r="L3729" s="24">
        <f t="shared" si="294"/>
        <v>0</v>
      </c>
    </row>
    <row r="3730" spans="1:12" ht="15" customHeight="1" x14ac:dyDescent="0.3">
      <c r="A3730" s="23" t="s">
        <v>16870</v>
      </c>
      <c r="B3730" s="23" t="s">
        <v>77</v>
      </c>
      <c r="C3730" s="39">
        <v>1499</v>
      </c>
      <c r="D3730" s="24">
        <v>28.48</v>
      </c>
      <c r="E3730" s="24">
        <v>5.13</v>
      </c>
      <c r="F3730" s="23">
        <f>COUNTIFS(mdr_rate_cleaned!$A$2:$A$10,B3730,mdr_rate_cleaned!$B$2:$B$10,"&lt;"&amp;C3730,mdr_rate_cleaned!$F$2:$F$10,"&gt;="&amp;C3730)</f>
        <v>1</v>
      </c>
      <c r="G3730" s="40">
        <f>SUMIFS(mdr_rate_cleaned!$G$2:$G$10,mdr_rate_cleaned!$A$2:$A$10,B3730,mdr_rate_cleaned!$B$2:$B$10,"&lt;"&amp;C3730,mdr_rate_cleaned!$F$2:$F$10,"&gt;="&amp;C3730)</f>
        <v>1.9E-2</v>
      </c>
      <c r="H3730" s="24">
        <f t="shared" si="290"/>
        <v>28.48</v>
      </c>
      <c r="I3730" s="23" t="str">
        <f t="shared" si="291"/>
        <v>Match</v>
      </c>
      <c r="J3730" s="23" t="str">
        <f t="shared" si="292"/>
        <v>Match</v>
      </c>
      <c r="K3730" s="24">
        <f t="shared" si="293"/>
        <v>5.13</v>
      </c>
      <c r="L3730" s="24">
        <f t="shared" si="294"/>
        <v>0</v>
      </c>
    </row>
    <row r="3731" spans="1:12" ht="15" customHeight="1" x14ac:dyDescent="0.3">
      <c r="A3731" s="23" t="s">
        <v>16871</v>
      </c>
      <c r="B3731" s="23" t="s">
        <v>81</v>
      </c>
      <c r="C3731" s="39">
        <v>349</v>
      </c>
      <c r="D3731" s="24">
        <v>5.24</v>
      </c>
      <c r="E3731" s="24">
        <v>0.94</v>
      </c>
      <c r="F3731" s="23">
        <f>COUNTIFS(mdr_rate_cleaned!$A$2:$A$10,B3731,mdr_rate_cleaned!$B$2:$B$10,"&lt;"&amp;C3731,mdr_rate_cleaned!$F$2:$F$10,"&gt;="&amp;C3731)</f>
        <v>1</v>
      </c>
      <c r="G3731" s="40">
        <f>SUMIFS(mdr_rate_cleaned!$G$2:$G$10,mdr_rate_cleaned!$A$2:$A$10,B3731,mdr_rate_cleaned!$B$2:$B$10,"&lt;"&amp;C3731,mdr_rate_cleaned!$F$2:$F$10,"&gt;="&amp;C3731)</f>
        <v>1.4999999999999999E-2</v>
      </c>
      <c r="H3731" s="24">
        <f t="shared" si="290"/>
        <v>5.24</v>
      </c>
      <c r="I3731" s="23" t="str">
        <f t="shared" si="291"/>
        <v>Match</v>
      </c>
      <c r="J3731" s="23" t="str">
        <f t="shared" si="292"/>
        <v>Match</v>
      </c>
      <c r="K3731" s="24">
        <f t="shared" si="293"/>
        <v>0.94</v>
      </c>
      <c r="L3731" s="24">
        <f t="shared" si="294"/>
        <v>0</v>
      </c>
    </row>
    <row r="3732" spans="1:12" ht="15" customHeight="1" x14ac:dyDescent="0.3">
      <c r="A3732" s="23" t="s">
        <v>16873</v>
      </c>
      <c r="B3732" s="23" t="s">
        <v>75</v>
      </c>
      <c r="C3732" s="39">
        <v>799</v>
      </c>
      <c r="D3732" s="24">
        <v>0</v>
      </c>
      <c r="E3732" s="24">
        <v>0</v>
      </c>
      <c r="F3732" s="23">
        <f>COUNTIFS(mdr_rate_cleaned!$A$2:$A$10,B3732,mdr_rate_cleaned!$B$2:$B$10,"&lt;"&amp;C3732,mdr_rate_cleaned!$F$2:$F$10,"&gt;="&amp;C3732)</f>
        <v>1</v>
      </c>
      <c r="G3732" s="40">
        <f>SUMIFS(mdr_rate_cleaned!$G$2:$G$10,mdr_rate_cleaned!$A$2:$A$10,B3732,mdr_rate_cleaned!$B$2:$B$10,"&lt;"&amp;C3732,mdr_rate_cleaned!$F$2:$F$10,"&gt;="&amp;C3732)</f>
        <v>0</v>
      </c>
      <c r="H3732" s="24">
        <f t="shared" si="290"/>
        <v>0</v>
      </c>
      <c r="I3732" s="23" t="str">
        <f t="shared" si="291"/>
        <v>Match</v>
      </c>
      <c r="J3732" s="23" t="str">
        <f t="shared" si="292"/>
        <v>Match</v>
      </c>
      <c r="K3732" s="24">
        <f t="shared" si="293"/>
        <v>0</v>
      </c>
      <c r="L3732" s="24">
        <f t="shared" si="294"/>
        <v>0</v>
      </c>
    </row>
    <row r="3733" spans="1:12" ht="15" customHeight="1" x14ac:dyDescent="0.3">
      <c r="A3733" s="23" t="s">
        <v>16874</v>
      </c>
      <c r="B3733" s="23" t="s">
        <v>75</v>
      </c>
      <c r="C3733" s="39">
        <v>599</v>
      </c>
      <c r="D3733" s="24">
        <v>0</v>
      </c>
      <c r="E3733" s="24">
        <v>0</v>
      </c>
      <c r="F3733" s="23">
        <f>COUNTIFS(mdr_rate_cleaned!$A$2:$A$10,B3733,mdr_rate_cleaned!$B$2:$B$10,"&lt;"&amp;C3733,mdr_rate_cleaned!$F$2:$F$10,"&gt;="&amp;C3733)</f>
        <v>1</v>
      </c>
      <c r="G3733" s="40">
        <f>SUMIFS(mdr_rate_cleaned!$G$2:$G$10,mdr_rate_cleaned!$A$2:$A$10,B3733,mdr_rate_cleaned!$B$2:$B$10,"&lt;"&amp;C3733,mdr_rate_cleaned!$F$2:$F$10,"&gt;="&amp;C3733)</f>
        <v>0</v>
      </c>
      <c r="H3733" s="24">
        <f t="shared" si="290"/>
        <v>0</v>
      </c>
      <c r="I3733" s="23" t="str">
        <f t="shared" si="291"/>
        <v>Match</v>
      </c>
      <c r="J3733" s="23" t="str">
        <f t="shared" si="292"/>
        <v>Match</v>
      </c>
      <c r="K3733" s="24">
        <f t="shared" si="293"/>
        <v>0</v>
      </c>
      <c r="L3733" s="24">
        <f t="shared" si="294"/>
        <v>0</v>
      </c>
    </row>
    <row r="3734" spans="1:12" ht="15" customHeight="1" x14ac:dyDescent="0.3">
      <c r="A3734" s="23" t="s">
        <v>16876</v>
      </c>
      <c r="B3734" s="23" t="s">
        <v>77</v>
      </c>
      <c r="C3734" s="39">
        <v>799</v>
      </c>
      <c r="D3734" s="24">
        <v>15.18</v>
      </c>
      <c r="E3734" s="24">
        <v>2.73</v>
      </c>
      <c r="F3734" s="23">
        <f>COUNTIFS(mdr_rate_cleaned!$A$2:$A$10,B3734,mdr_rate_cleaned!$B$2:$B$10,"&lt;"&amp;C3734,mdr_rate_cleaned!$F$2:$F$10,"&gt;="&amp;C3734)</f>
        <v>1</v>
      </c>
      <c r="G3734" s="40">
        <f>SUMIFS(mdr_rate_cleaned!$G$2:$G$10,mdr_rate_cleaned!$A$2:$A$10,B3734,mdr_rate_cleaned!$B$2:$B$10,"&lt;"&amp;C3734,mdr_rate_cleaned!$F$2:$F$10,"&gt;="&amp;C3734)</f>
        <v>1.9E-2</v>
      </c>
      <c r="H3734" s="24">
        <f t="shared" si="290"/>
        <v>15.18</v>
      </c>
      <c r="I3734" s="23" t="str">
        <f t="shared" si="291"/>
        <v>Match</v>
      </c>
      <c r="J3734" s="23" t="str">
        <f t="shared" si="292"/>
        <v>Match</v>
      </c>
      <c r="K3734" s="24">
        <f t="shared" si="293"/>
        <v>2.73</v>
      </c>
      <c r="L3734" s="24">
        <f t="shared" si="294"/>
        <v>0</v>
      </c>
    </row>
    <row r="3735" spans="1:12" ht="15" customHeight="1" x14ac:dyDescent="0.3">
      <c r="A3735" s="23" t="s">
        <v>16877</v>
      </c>
      <c r="B3735" s="23" t="s">
        <v>81</v>
      </c>
      <c r="C3735" s="39">
        <v>10597</v>
      </c>
      <c r="D3735" s="24">
        <v>95.37</v>
      </c>
      <c r="E3735" s="24">
        <v>17.170000000000002</v>
      </c>
      <c r="F3735" s="23">
        <f>COUNTIFS(mdr_rate_cleaned!$A$2:$A$10,B3735,mdr_rate_cleaned!$B$2:$B$10,"&lt;"&amp;C3735,mdr_rate_cleaned!$F$2:$F$10,"&gt;="&amp;C3735)</f>
        <v>1</v>
      </c>
      <c r="G3735" s="40">
        <f>SUMIFS(mdr_rate_cleaned!$G$2:$G$10,mdr_rate_cleaned!$A$2:$A$10,B3735,mdr_rate_cleaned!$B$2:$B$10,"&lt;"&amp;C3735,mdr_rate_cleaned!$F$2:$F$10,"&gt;="&amp;C3735)</f>
        <v>9.0000000000000011E-3</v>
      </c>
      <c r="H3735" s="24">
        <f t="shared" si="290"/>
        <v>95.37</v>
      </c>
      <c r="I3735" s="23" t="str">
        <f t="shared" si="291"/>
        <v>Match</v>
      </c>
      <c r="J3735" s="23" t="str">
        <f t="shared" si="292"/>
        <v>Match</v>
      </c>
      <c r="K3735" s="24">
        <f t="shared" si="293"/>
        <v>17.170000000000002</v>
      </c>
      <c r="L3735" s="24">
        <f t="shared" si="294"/>
        <v>0</v>
      </c>
    </row>
    <row r="3736" spans="1:12" ht="15" customHeight="1" x14ac:dyDescent="0.3">
      <c r="A3736" s="23" t="s">
        <v>16878</v>
      </c>
      <c r="B3736" s="23" t="s">
        <v>77</v>
      </c>
      <c r="C3736" s="39">
        <v>999</v>
      </c>
      <c r="D3736" s="24">
        <v>18.98</v>
      </c>
      <c r="E3736" s="24">
        <v>3.42</v>
      </c>
      <c r="F3736" s="23">
        <f>COUNTIFS(mdr_rate_cleaned!$A$2:$A$10,B3736,mdr_rate_cleaned!$B$2:$B$10,"&lt;"&amp;C3736,mdr_rate_cleaned!$F$2:$F$10,"&gt;="&amp;C3736)</f>
        <v>1</v>
      </c>
      <c r="G3736" s="40">
        <f>SUMIFS(mdr_rate_cleaned!$G$2:$G$10,mdr_rate_cleaned!$A$2:$A$10,B3736,mdr_rate_cleaned!$B$2:$B$10,"&lt;"&amp;C3736,mdr_rate_cleaned!$F$2:$F$10,"&gt;="&amp;C3736)</f>
        <v>1.9E-2</v>
      </c>
      <c r="H3736" s="24">
        <f t="shared" si="290"/>
        <v>18.98</v>
      </c>
      <c r="I3736" s="23" t="str">
        <f t="shared" si="291"/>
        <v>Match</v>
      </c>
      <c r="J3736" s="23" t="str">
        <f t="shared" si="292"/>
        <v>Match</v>
      </c>
      <c r="K3736" s="24">
        <f t="shared" si="293"/>
        <v>3.42</v>
      </c>
      <c r="L3736" s="24">
        <f t="shared" si="294"/>
        <v>0</v>
      </c>
    </row>
    <row r="3737" spans="1:12" ht="15" customHeight="1" x14ac:dyDescent="0.3">
      <c r="A3737" s="23" t="s">
        <v>16879</v>
      </c>
      <c r="B3737" s="23" t="s">
        <v>79</v>
      </c>
      <c r="C3737" s="39">
        <v>9597</v>
      </c>
      <c r="D3737" s="24">
        <v>153.55000000000001</v>
      </c>
      <c r="E3737" s="24">
        <v>27.64</v>
      </c>
      <c r="F3737" s="23">
        <f>COUNTIFS(mdr_rate_cleaned!$A$2:$A$10,B3737,mdr_rate_cleaned!$B$2:$B$10,"&lt;"&amp;C3737,mdr_rate_cleaned!$F$2:$F$10,"&gt;="&amp;C3737)</f>
        <v>1</v>
      </c>
      <c r="G3737" s="40">
        <f>SUMIFS(mdr_rate_cleaned!$G$2:$G$10,mdr_rate_cleaned!$A$2:$A$10,B3737,mdr_rate_cleaned!$B$2:$B$10,"&lt;"&amp;C3737,mdr_rate_cleaned!$F$2:$F$10,"&gt;="&amp;C3737)</f>
        <v>1.6E-2</v>
      </c>
      <c r="H3737" s="24">
        <f t="shared" si="290"/>
        <v>153.55000000000001</v>
      </c>
      <c r="I3737" s="23" t="str">
        <f t="shared" si="291"/>
        <v>Match</v>
      </c>
      <c r="J3737" s="23" t="str">
        <f t="shared" si="292"/>
        <v>Match</v>
      </c>
      <c r="K3737" s="24">
        <f t="shared" si="293"/>
        <v>27.64</v>
      </c>
      <c r="L3737" s="24">
        <f t="shared" si="294"/>
        <v>0</v>
      </c>
    </row>
    <row r="3738" spans="1:12" ht="15" customHeight="1" x14ac:dyDescent="0.3">
      <c r="A3738" s="23" t="s">
        <v>16880</v>
      </c>
      <c r="B3738" s="23" t="s">
        <v>75</v>
      </c>
      <c r="C3738" s="39">
        <v>798</v>
      </c>
      <c r="D3738" s="24">
        <v>0</v>
      </c>
      <c r="E3738" s="24">
        <v>0</v>
      </c>
      <c r="F3738" s="23">
        <f>COUNTIFS(mdr_rate_cleaned!$A$2:$A$10,B3738,mdr_rate_cleaned!$B$2:$B$10,"&lt;"&amp;C3738,mdr_rate_cleaned!$F$2:$F$10,"&gt;="&amp;C3738)</f>
        <v>1</v>
      </c>
      <c r="G3738" s="40">
        <f>SUMIFS(mdr_rate_cleaned!$G$2:$G$10,mdr_rate_cleaned!$A$2:$A$10,B3738,mdr_rate_cleaned!$B$2:$B$10,"&lt;"&amp;C3738,mdr_rate_cleaned!$F$2:$F$10,"&gt;="&amp;C3738)</f>
        <v>0</v>
      </c>
      <c r="H3738" s="24">
        <f t="shared" si="290"/>
        <v>0</v>
      </c>
      <c r="I3738" s="23" t="str">
        <f t="shared" si="291"/>
        <v>Match</v>
      </c>
      <c r="J3738" s="23" t="str">
        <f t="shared" si="292"/>
        <v>Match</v>
      </c>
      <c r="K3738" s="24">
        <f t="shared" si="293"/>
        <v>0</v>
      </c>
      <c r="L3738" s="24">
        <f t="shared" si="294"/>
        <v>0</v>
      </c>
    </row>
    <row r="3739" spans="1:12" ht="15" customHeight="1" x14ac:dyDescent="0.3">
      <c r="A3739" s="23" t="s">
        <v>16882</v>
      </c>
      <c r="B3739" s="23" t="s">
        <v>77</v>
      </c>
      <c r="C3739" s="39">
        <v>8348</v>
      </c>
      <c r="D3739" s="24">
        <v>141.91999999999999</v>
      </c>
      <c r="E3739" s="24">
        <v>25.55</v>
      </c>
      <c r="F3739" s="23">
        <f>COUNTIFS(mdr_rate_cleaned!$A$2:$A$10,B3739,mdr_rate_cleaned!$B$2:$B$10,"&lt;"&amp;C3739,mdr_rate_cleaned!$F$2:$F$10,"&gt;="&amp;C3739)</f>
        <v>1</v>
      </c>
      <c r="G3739" s="40">
        <f>SUMIFS(mdr_rate_cleaned!$G$2:$G$10,mdr_rate_cleaned!$A$2:$A$10,B3739,mdr_rate_cleaned!$B$2:$B$10,"&lt;"&amp;C3739,mdr_rate_cleaned!$F$2:$F$10,"&gt;="&amp;C3739)</f>
        <v>1.7000000000000001E-2</v>
      </c>
      <c r="H3739" s="24">
        <f t="shared" si="290"/>
        <v>141.91999999999999</v>
      </c>
      <c r="I3739" s="23" t="str">
        <f t="shared" si="291"/>
        <v>Match</v>
      </c>
      <c r="J3739" s="23" t="str">
        <f t="shared" si="292"/>
        <v>Match</v>
      </c>
      <c r="K3739" s="24">
        <f t="shared" si="293"/>
        <v>25.55</v>
      </c>
      <c r="L3739" s="24">
        <f t="shared" si="294"/>
        <v>0</v>
      </c>
    </row>
    <row r="3740" spans="1:12" ht="15" customHeight="1" x14ac:dyDescent="0.3">
      <c r="A3740" s="23" t="s">
        <v>16883</v>
      </c>
      <c r="B3740" s="23" t="s">
        <v>75</v>
      </c>
      <c r="C3740" s="39">
        <v>4097</v>
      </c>
      <c r="D3740" s="24">
        <v>12.29</v>
      </c>
      <c r="E3740" s="24">
        <v>2.21</v>
      </c>
      <c r="F3740" s="23">
        <f>COUNTIFS(mdr_rate_cleaned!$A$2:$A$10,B3740,mdr_rate_cleaned!$B$2:$B$10,"&lt;"&amp;C3740,mdr_rate_cleaned!$F$2:$F$10,"&gt;="&amp;C3740)</f>
        <v>1</v>
      </c>
      <c r="G3740" s="40">
        <f>SUMIFS(mdr_rate_cleaned!$G$2:$G$10,mdr_rate_cleaned!$A$2:$A$10,B3740,mdr_rate_cleaned!$B$2:$B$10,"&lt;"&amp;C3740,mdr_rate_cleaned!$F$2:$F$10,"&gt;="&amp;C3740)</f>
        <v>3.0000000000000001E-3</v>
      </c>
      <c r="H3740" s="24">
        <f t="shared" si="290"/>
        <v>12.29</v>
      </c>
      <c r="I3740" s="23" t="str">
        <f t="shared" si="291"/>
        <v>Match</v>
      </c>
      <c r="J3740" s="23" t="str">
        <f t="shared" si="292"/>
        <v>Match</v>
      </c>
      <c r="K3740" s="24">
        <f t="shared" si="293"/>
        <v>2.21</v>
      </c>
      <c r="L3740" s="24">
        <f t="shared" si="294"/>
        <v>0</v>
      </c>
    </row>
    <row r="3741" spans="1:12" ht="15" customHeight="1" x14ac:dyDescent="0.3">
      <c r="A3741" s="23" t="s">
        <v>16884</v>
      </c>
      <c r="B3741" s="23" t="s">
        <v>81</v>
      </c>
      <c r="C3741" s="39">
        <v>1798</v>
      </c>
      <c r="D3741" s="24">
        <v>26.97</v>
      </c>
      <c r="E3741" s="24">
        <v>4.8499999999999996</v>
      </c>
      <c r="F3741" s="23">
        <f>COUNTIFS(mdr_rate_cleaned!$A$2:$A$10,B3741,mdr_rate_cleaned!$B$2:$B$10,"&lt;"&amp;C3741,mdr_rate_cleaned!$F$2:$F$10,"&gt;="&amp;C3741)</f>
        <v>1</v>
      </c>
      <c r="G3741" s="40">
        <f>SUMIFS(mdr_rate_cleaned!$G$2:$G$10,mdr_rate_cleaned!$A$2:$A$10,B3741,mdr_rate_cleaned!$B$2:$B$10,"&lt;"&amp;C3741,mdr_rate_cleaned!$F$2:$F$10,"&gt;="&amp;C3741)</f>
        <v>1.4999999999999999E-2</v>
      </c>
      <c r="H3741" s="24">
        <f t="shared" si="290"/>
        <v>26.97</v>
      </c>
      <c r="I3741" s="23" t="str">
        <f t="shared" si="291"/>
        <v>Match</v>
      </c>
      <c r="J3741" s="23" t="str">
        <f t="shared" si="292"/>
        <v>Match</v>
      </c>
      <c r="K3741" s="24">
        <f t="shared" si="293"/>
        <v>4.8499999999999996</v>
      </c>
      <c r="L3741" s="24">
        <f t="shared" si="294"/>
        <v>0</v>
      </c>
    </row>
    <row r="3742" spans="1:12" ht="15" customHeight="1" x14ac:dyDescent="0.3">
      <c r="A3742" s="23" t="s">
        <v>16886</v>
      </c>
      <c r="B3742" s="23" t="s">
        <v>79</v>
      </c>
      <c r="C3742" s="39">
        <v>3499</v>
      </c>
      <c r="D3742" s="24">
        <v>55.98</v>
      </c>
      <c r="E3742" s="24">
        <v>10.08</v>
      </c>
      <c r="F3742" s="23">
        <f>COUNTIFS(mdr_rate_cleaned!$A$2:$A$10,B3742,mdr_rate_cleaned!$B$2:$B$10,"&lt;"&amp;C3742,mdr_rate_cleaned!$F$2:$F$10,"&gt;="&amp;C3742)</f>
        <v>1</v>
      </c>
      <c r="G3742" s="40">
        <f>SUMIFS(mdr_rate_cleaned!$G$2:$G$10,mdr_rate_cleaned!$A$2:$A$10,B3742,mdr_rate_cleaned!$B$2:$B$10,"&lt;"&amp;C3742,mdr_rate_cleaned!$F$2:$F$10,"&gt;="&amp;C3742)</f>
        <v>1.6E-2</v>
      </c>
      <c r="H3742" s="24">
        <f t="shared" si="290"/>
        <v>55.98</v>
      </c>
      <c r="I3742" s="23" t="str">
        <f t="shared" si="291"/>
        <v>Match</v>
      </c>
      <c r="J3742" s="23" t="str">
        <f t="shared" si="292"/>
        <v>Match</v>
      </c>
      <c r="K3742" s="24">
        <f t="shared" si="293"/>
        <v>10.08</v>
      </c>
      <c r="L3742" s="24">
        <f t="shared" si="294"/>
        <v>0</v>
      </c>
    </row>
    <row r="3743" spans="1:12" ht="15" customHeight="1" x14ac:dyDescent="0.3">
      <c r="A3743" s="23" t="s">
        <v>16887</v>
      </c>
      <c r="B3743" s="23" t="s">
        <v>79</v>
      </c>
      <c r="C3743" s="39">
        <v>499</v>
      </c>
      <c r="D3743" s="24">
        <v>8.98</v>
      </c>
      <c r="E3743" s="24">
        <v>1.62</v>
      </c>
      <c r="F3743" s="23">
        <f>COUNTIFS(mdr_rate_cleaned!$A$2:$A$10,B3743,mdr_rate_cleaned!$B$2:$B$10,"&lt;"&amp;C3743,mdr_rate_cleaned!$F$2:$F$10,"&gt;="&amp;C3743)</f>
        <v>1</v>
      </c>
      <c r="G3743" s="40">
        <f>SUMIFS(mdr_rate_cleaned!$G$2:$G$10,mdr_rate_cleaned!$A$2:$A$10,B3743,mdr_rate_cleaned!$B$2:$B$10,"&lt;"&amp;C3743,mdr_rate_cleaned!$F$2:$F$10,"&gt;="&amp;C3743)</f>
        <v>1.8000000000000002E-2</v>
      </c>
      <c r="H3743" s="24">
        <f t="shared" si="290"/>
        <v>8.98</v>
      </c>
      <c r="I3743" s="23" t="str">
        <f t="shared" si="291"/>
        <v>Match</v>
      </c>
      <c r="J3743" s="23" t="str">
        <f t="shared" si="292"/>
        <v>Match</v>
      </c>
      <c r="K3743" s="24">
        <f t="shared" si="293"/>
        <v>1.62</v>
      </c>
      <c r="L3743" s="24">
        <f t="shared" si="294"/>
        <v>0</v>
      </c>
    </row>
    <row r="3744" spans="1:12" ht="15" customHeight="1" x14ac:dyDescent="0.3">
      <c r="A3744" s="23" t="s">
        <v>16888</v>
      </c>
      <c r="B3744" s="23" t="s">
        <v>75</v>
      </c>
      <c r="C3744" s="39">
        <v>2398</v>
      </c>
      <c r="D3744" s="24">
        <v>7.19</v>
      </c>
      <c r="E3744" s="24">
        <v>1.29</v>
      </c>
      <c r="F3744" s="23">
        <f>COUNTIFS(mdr_rate_cleaned!$A$2:$A$10,B3744,mdr_rate_cleaned!$B$2:$B$10,"&lt;"&amp;C3744,mdr_rate_cleaned!$F$2:$F$10,"&gt;="&amp;C3744)</f>
        <v>1</v>
      </c>
      <c r="G3744" s="40">
        <f>SUMIFS(mdr_rate_cleaned!$G$2:$G$10,mdr_rate_cleaned!$A$2:$A$10,B3744,mdr_rate_cleaned!$B$2:$B$10,"&lt;"&amp;C3744,mdr_rate_cleaned!$F$2:$F$10,"&gt;="&amp;C3744)</f>
        <v>3.0000000000000001E-3</v>
      </c>
      <c r="H3744" s="24">
        <f t="shared" si="290"/>
        <v>7.19</v>
      </c>
      <c r="I3744" s="23" t="str">
        <f t="shared" si="291"/>
        <v>Match</v>
      </c>
      <c r="J3744" s="23" t="str">
        <f t="shared" si="292"/>
        <v>Match</v>
      </c>
      <c r="K3744" s="24">
        <f t="shared" si="293"/>
        <v>1.29</v>
      </c>
      <c r="L3744" s="24">
        <f t="shared" si="294"/>
        <v>0</v>
      </c>
    </row>
    <row r="3745" spans="1:12" ht="15" customHeight="1" x14ac:dyDescent="0.3">
      <c r="A3745" s="23" t="s">
        <v>16889</v>
      </c>
      <c r="B3745" s="23" t="s">
        <v>75</v>
      </c>
      <c r="C3745" s="39">
        <v>299</v>
      </c>
      <c r="D3745" s="24">
        <v>0</v>
      </c>
      <c r="E3745" s="24">
        <v>0</v>
      </c>
      <c r="F3745" s="23">
        <f>COUNTIFS(mdr_rate_cleaned!$A$2:$A$10,B3745,mdr_rate_cleaned!$B$2:$B$10,"&lt;"&amp;C3745,mdr_rate_cleaned!$F$2:$F$10,"&gt;="&amp;C3745)</f>
        <v>1</v>
      </c>
      <c r="G3745" s="40">
        <f>SUMIFS(mdr_rate_cleaned!$G$2:$G$10,mdr_rate_cleaned!$A$2:$A$10,B3745,mdr_rate_cleaned!$B$2:$B$10,"&lt;"&amp;C3745,mdr_rate_cleaned!$F$2:$F$10,"&gt;="&amp;C3745)</f>
        <v>0</v>
      </c>
      <c r="H3745" s="24">
        <f t="shared" si="290"/>
        <v>0</v>
      </c>
      <c r="I3745" s="23" t="str">
        <f t="shared" si="291"/>
        <v>Match</v>
      </c>
      <c r="J3745" s="23" t="str">
        <f t="shared" si="292"/>
        <v>Match</v>
      </c>
      <c r="K3745" s="24">
        <f t="shared" si="293"/>
        <v>0</v>
      </c>
      <c r="L3745" s="24">
        <f t="shared" si="294"/>
        <v>0</v>
      </c>
    </row>
    <row r="3746" spans="1:12" ht="15" customHeight="1" x14ac:dyDescent="0.3">
      <c r="A3746" s="23" t="s">
        <v>16890</v>
      </c>
      <c r="B3746" s="23" t="s">
        <v>75</v>
      </c>
      <c r="C3746" s="39">
        <v>1897</v>
      </c>
      <c r="D3746" s="24">
        <v>0</v>
      </c>
      <c r="E3746" s="24">
        <v>0</v>
      </c>
      <c r="F3746" s="23">
        <f>COUNTIFS(mdr_rate_cleaned!$A$2:$A$10,B3746,mdr_rate_cleaned!$B$2:$B$10,"&lt;"&amp;C3746,mdr_rate_cleaned!$F$2:$F$10,"&gt;="&amp;C3746)</f>
        <v>1</v>
      </c>
      <c r="G3746" s="40">
        <f>SUMIFS(mdr_rate_cleaned!$G$2:$G$10,mdr_rate_cleaned!$A$2:$A$10,B3746,mdr_rate_cleaned!$B$2:$B$10,"&lt;"&amp;C3746,mdr_rate_cleaned!$F$2:$F$10,"&gt;="&amp;C3746)</f>
        <v>0</v>
      </c>
      <c r="H3746" s="24">
        <f t="shared" si="290"/>
        <v>0</v>
      </c>
      <c r="I3746" s="23" t="str">
        <f t="shared" si="291"/>
        <v>Match</v>
      </c>
      <c r="J3746" s="23" t="str">
        <f t="shared" si="292"/>
        <v>Match</v>
      </c>
      <c r="K3746" s="24">
        <f t="shared" si="293"/>
        <v>0</v>
      </c>
      <c r="L3746" s="24">
        <f t="shared" si="294"/>
        <v>0</v>
      </c>
    </row>
    <row r="3747" spans="1:12" ht="15" customHeight="1" x14ac:dyDescent="0.3">
      <c r="A3747" s="23" t="s">
        <v>16891</v>
      </c>
      <c r="B3747" s="23" t="s">
        <v>75</v>
      </c>
      <c r="C3747" s="39">
        <v>3598</v>
      </c>
      <c r="D3747" s="24">
        <v>10.79</v>
      </c>
      <c r="E3747" s="24">
        <v>1.94</v>
      </c>
      <c r="F3747" s="23">
        <f>COUNTIFS(mdr_rate_cleaned!$A$2:$A$10,B3747,mdr_rate_cleaned!$B$2:$B$10,"&lt;"&amp;C3747,mdr_rate_cleaned!$F$2:$F$10,"&gt;="&amp;C3747)</f>
        <v>1</v>
      </c>
      <c r="G3747" s="40">
        <f>SUMIFS(mdr_rate_cleaned!$G$2:$G$10,mdr_rate_cleaned!$A$2:$A$10,B3747,mdr_rate_cleaned!$B$2:$B$10,"&lt;"&amp;C3747,mdr_rate_cleaned!$F$2:$F$10,"&gt;="&amp;C3747)</f>
        <v>3.0000000000000001E-3</v>
      </c>
      <c r="H3747" s="24">
        <f t="shared" si="290"/>
        <v>10.79</v>
      </c>
      <c r="I3747" s="23" t="str">
        <f t="shared" si="291"/>
        <v>Match</v>
      </c>
      <c r="J3747" s="23" t="str">
        <f t="shared" si="292"/>
        <v>Match</v>
      </c>
      <c r="K3747" s="24">
        <f t="shared" si="293"/>
        <v>1.94</v>
      </c>
      <c r="L3747" s="24">
        <f t="shared" si="294"/>
        <v>0</v>
      </c>
    </row>
    <row r="3748" spans="1:12" ht="15" customHeight="1" x14ac:dyDescent="0.3">
      <c r="A3748" s="23" t="s">
        <v>16892</v>
      </c>
      <c r="B3748" s="23" t="s">
        <v>81</v>
      </c>
      <c r="C3748" s="39">
        <v>1697</v>
      </c>
      <c r="D3748" s="24">
        <v>25.46</v>
      </c>
      <c r="E3748" s="24">
        <v>4.58</v>
      </c>
      <c r="F3748" s="23">
        <f>COUNTIFS(mdr_rate_cleaned!$A$2:$A$10,B3748,mdr_rate_cleaned!$B$2:$B$10,"&lt;"&amp;C3748,mdr_rate_cleaned!$F$2:$F$10,"&gt;="&amp;C3748)</f>
        <v>1</v>
      </c>
      <c r="G3748" s="40">
        <f>SUMIFS(mdr_rate_cleaned!$G$2:$G$10,mdr_rate_cleaned!$A$2:$A$10,B3748,mdr_rate_cleaned!$B$2:$B$10,"&lt;"&amp;C3748,mdr_rate_cleaned!$F$2:$F$10,"&gt;="&amp;C3748)</f>
        <v>1.4999999999999999E-2</v>
      </c>
      <c r="H3748" s="24">
        <f t="shared" si="290"/>
        <v>25.46</v>
      </c>
      <c r="I3748" s="23" t="str">
        <f t="shared" si="291"/>
        <v>Match</v>
      </c>
      <c r="J3748" s="23" t="str">
        <f t="shared" si="292"/>
        <v>Match</v>
      </c>
      <c r="K3748" s="24">
        <f t="shared" si="293"/>
        <v>4.58</v>
      </c>
      <c r="L3748" s="24">
        <f t="shared" si="294"/>
        <v>0</v>
      </c>
    </row>
    <row r="3749" spans="1:12" ht="15" customHeight="1" x14ac:dyDescent="0.3">
      <c r="A3749" s="23" t="s">
        <v>16893</v>
      </c>
      <c r="B3749" s="23" t="s">
        <v>77</v>
      </c>
      <c r="C3749" s="39">
        <v>1598</v>
      </c>
      <c r="D3749" s="24">
        <v>30.36</v>
      </c>
      <c r="E3749" s="24">
        <v>5.46</v>
      </c>
      <c r="F3749" s="23">
        <f>COUNTIFS(mdr_rate_cleaned!$A$2:$A$10,B3749,mdr_rate_cleaned!$B$2:$B$10,"&lt;"&amp;C3749,mdr_rate_cleaned!$F$2:$F$10,"&gt;="&amp;C3749)</f>
        <v>1</v>
      </c>
      <c r="G3749" s="40">
        <f>SUMIFS(mdr_rate_cleaned!$G$2:$G$10,mdr_rate_cleaned!$A$2:$A$10,B3749,mdr_rate_cleaned!$B$2:$B$10,"&lt;"&amp;C3749,mdr_rate_cleaned!$F$2:$F$10,"&gt;="&amp;C3749)</f>
        <v>1.9E-2</v>
      </c>
      <c r="H3749" s="24">
        <f t="shared" si="290"/>
        <v>30.36</v>
      </c>
      <c r="I3749" s="23" t="str">
        <f t="shared" si="291"/>
        <v>Match</v>
      </c>
      <c r="J3749" s="23" t="str">
        <f t="shared" si="292"/>
        <v>Match</v>
      </c>
      <c r="K3749" s="24">
        <f t="shared" si="293"/>
        <v>5.46</v>
      </c>
      <c r="L3749" s="24">
        <f t="shared" si="294"/>
        <v>0</v>
      </c>
    </row>
    <row r="3750" spans="1:12" ht="15" customHeight="1" x14ac:dyDescent="0.3">
      <c r="A3750" s="23" t="s">
        <v>16894</v>
      </c>
      <c r="B3750" s="23" t="s">
        <v>79</v>
      </c>
      <c r="C3750" s="39">
        <v>3498</v>
      </c>
      <c r="D3750" s="24">
        <v>55.97</v>
      </c>
      <c r="E3750" s="24">
        <v>10.07</v>
      </c>
      <c r="F3750" s="23">
        <f>COUNTIFS(mdr_rate_cleaned!$A$2:$A$10,B3750,mdr_rate_cleaned!$B$2:$B$10,"&lt;"&amp;C3750,mdr_rate_cleaned!$F$2:$F$10,"&gt;="&amp;C3750)</f>
        <v>1</v>
      </c>
      <c r="G3750" s="40">
        <f>SUMIFS(mdr_rate_cleaned!$G$2:$G$10,mdr_rate_cleaned!$A$2:$A$10,B3750,mdr_rate_cleaned!$B$2:$B$10,"&lt;"&amp;C3750,mdr_rate_cleaned!$F$2:$F$10,"&gt;="&amp;C3750)</f>
        <v>1.6E-2</v>
      </c>
      <c r="H3750" s="24">
        <f t="shared" si="290"/>
        <v>55.97</v>
      </c>
      <c r="I3750" s="23" t="str">
        <f t="shared" si="291"/>
        <v>Match</v>
      </c>
      <c r="J3750" s="23" t="str">
        <f t="shared" si="292"/>
        <v>Match</v>
      </c>
      <c r="K3750" s="24">
        <f t="shared" si="293"/>
        <v>10.07</v>
      </c>
      <c r="L3750" s="24">
        <f t="shared" si="294"/>
        <v>0</v>
      </c>
    </row>
    <row r="3751" spans="1:12" ht="15" customHeight="1" x14ac:dyDescent="0.3">
      <c r="A3751" s="23" t="s">
        <v>16896</v>
      </c>
      <c r="B3751" s="23" t="s">
        <v>77</v>
      </c>
      <c r="C3751" s="39">
        <v>6397</v>
      </c>
      <c r="D3751" s="24">
        <v>108.75</v>
      </c>
      <c r="E3751" s="24">
        <v>19.579999999999998</v>
      </c>
      <c r="F3751" s="23">
        <f>COUNTIFS(mdr_rate_cleaned!$A$2:$A$10,B3751,mdr_rate_cleaned!$B$2:$B$10,"&lt;"&amp;C3751,mdr_rate_cleaned!$F$2:$F$10,"&gt;="&amp;C3751)</f>
        <v>1</v>
      </c>
      <c r="G3751" s="40">
        <f>SUMIFS(mdr_rate_cleaned!$G$2:$G$10,mdr_rate_cleaned!$A$2:$A$10,B3751,mdr_rate_cleaned!$B$2:$B$10,"&lt;"&amp;C3751,mdr_rate_cleaned!$F$2:$F$10,"&gt;="&amp;C3751)</f>
        <v>1.7000000000000001E-2</v>
      </c>
      <c r="H3751" s="24">
        <f t="shared" si="290"/>
        <v>108.75</v>
      </c>
      <c r="I3751" s="23" t="str">
        <f t="shared" si="291"/>
        <v>Match</v>
      </c>
      <c r="J3751" s="23" t="str">
        <f t="shared" si="292"/>
        <v>Match</v>
      </c>
      <c r="K3751" s="24">
        <f t="shared" si="293"/>
        <v>19.579999999999998</v>
      </c>
      <c r="L3751" s="24">
        <f t="shared" si="294"/>
        <v>0</v>
      </c>
    </row>
    <row r="3752" spans="1:12" ht="15" customHeight="1" x14ac:dyDescent="0.3">
      <c r="A3752" s="23" t="s">
        <v>16897</v>
      </c>
      <c r="B3752" s="23" t="s">
        <v>75</v>
      </c>
      <c r="C3752" s="39">
        <v>999</v>
      </c>
      <c r="D3752" s="24">
        <v>0</v>
      </c>
      <c r="E3752" s="24">
        <v>0</v>
      </c>
      <c r="F3752" s="23">
        <f>COUNTIFS(mdr_rate_cleaned!$A$2:$A$10,B3752,mdr_rate_cleaned!$B$2:$B$10,"&lt;"&amp;C3752,mdr_rate_cleaned!$F$2:$F$10,"&gt;="&amp;C3752)</f>
        <v>1</v>
      </c>
      <c r="G3752" s="40">
        <f>SUMIFS(mdr_rate_cleaned!$G$2:$G$10,mdr_rate_cleaned!$A$2:$A$10,B3752,mdr_rate_cleaned!$B$2:$B$10,"&lt;"&amp;C3752,mdr_rate_cleaned!$F$2:$F$10,"&gt;="&amp;C3752)</f>
        <v>0</v>
      </c>
      <c r="H3752" s="24">
        <f t="shared" si="290"/>
        <v>0</v>
      </c>
      <c r="I3752" s="23" t="str">
        <f t="shared" si="291"/>
        <v>Match</v>
      </c>
      <c r="J3752" s="23" t="str">
        <f t="shared" si="292"/>
        <v>Match</v>
      </c>
      <c r="K3752" s="24">
        <f t="shared" si="293"/>
        <v>0</v>
      </c>
      <c r="L3752" s="24">
        <f t="shared" si="294"/>
        <v>0</v>
      </c>
    </row>
    <row r="3753" spans="1:12" ht="15" customHeight="1" x14ac:dyDescent="0.3">
      <c r="A3753" s="23" t="s">
        <v>16898</v>
      </c>
      <c r="B3753" s="23" t="s">
        <v>79</v>
      </c>
      <c r="C3753" s="39">
        <v>299</v>
      </c>
      <c r="D3753" s="24">
        <v>5.38</v>
      </c>
      <c r="E3753" s="24">
        <v>0.97</v>
      </c>
      <c r="F3753" s="23">
        <f>COUNTIFS(mdr_rate_cleaned!$A$2:$A$10,B3753,mdr_rate_cleaned!$B$2:$B$10,"&lt;"&amp;C3753,mdr_rate_cleaned!$F$2:$F$10,"&gt;="&amp;C3753)</f>
        <v>1</v>
      </c>
      <c r="G3753" s="40">
        <f>SUMIFS(mdr_rate_cleaned!$G$2:$G$10,mdr_rate_cleaned!$A$2:$A$10,B3753,mdr_rate_cleaned!$B$2:$B$10,"&lt;"&amp;C3753,mdr_rate_cleaned!$F$2:$F$10,"&gt;="&amp;C3753)</f>
        <v>1.8000000000000002E-2</v>
      </c>
      <c r="H3753" s="24">
        <f t="shared" si="290"/>
        <v>5.38</v>
      </c>
      <c r="I3753" s="23" t="str">
        <f t="shared" si="291"/>
        <v>Match</v>
      </c>
      <c r="J3753" s="23" t="str">
        <f t="shared" si="292"/>
        <v>Match</v>
      </c>
      <c r="K3753" s="24">
        <f t="shared" si="293"/>
        <v>0.97</v>
      </c>
      <c r="L3753" s="24">
        <f t="shared" si="294"/>
        <v>0</v>
      </c>
    </row>
    <row r="3754" spans="1:12" ht="15" customHeight="1" x14ac:dyDescent="0.3">
      <c r="A3754" s="23" t="s">
        <v>16900</v>
      </c>
      <c r="B3754" s="23" t="s">
        <v>75</v>
      </c>
      <c r="C3754" s="39">
        <v>7999</v>
      </c>
      <c r="D3754" s="24">
        <v>24</v>
      </c>
      <c r="E3754" s="24">
        <v>4.32</v>
      </c>
      <c r="F3754" s="23">
        <f>COUNTIFS(mdr_rate_cleaned!$A$2:$A$10,B3754,mdr_rate_cleaned!$B$2:$B$10,"&lt;"&amp;C3754,mdr_rate_cleaned!$F$2:$F$10,"&gt;="&amp;C3754)</f>
        <v>1</v>
      </c>
      <c r="G3754" s="40">
        <f>SUMIFS(mdr_rate_cleaned!$G$2:$G$10,mdr_rate_cleaned!$A$2:$A$10,B3754,mdr_rate_cleaned!$B$2:$B$10,"&lt;"&amp;C3754,mdr_rate_cleaned!$F$2:$F$10,"&gt;="&amp;C3754)</f>
        <v>3.0000000000000001E-3</v>
      </c>
      <c r="H3754" s="24">
        <f t="shared" si="290"/>
        <v>24</v>
      </c>
      <c r="I3754" s="23" t="str">
        <f t="shared" si="291"/>
        <v>Match</v>
      </c>
      <c r="J3754" s="23" t="str">
        <f t="shared" si="292"/>
        <v>Match</v>
      </c>
      <c r="K3754" s="24">
        <f t="shared" si="293"/>
        <v>4.32</v>
      </c>
      <c r="L3754" s="24">
        <f t="shared" si="294"/>
        <v>0</v>
      </c>
    </row>
    <row r="3755" spans="1:12" ht="15" customHeight="1" x14ac:dyDescent="0.3">
      <c r="A3755" s="23" t="s">
        <v>16901</v>
      </c>
      <c r="B3755" s="23" t="s">
        <v>75</v>
      </c>
      <c r="C3755" s="39">
        <v>4999</v>
      </c>
      <c r="D3755" s="24">
        <v>15</v>
      </c>
      <c r="E3755" s="24">
        <v>2.7</v>
      </c>
      <c r="F3755" s="23">
        <f>COUNTIFS(mdr_rate_cleaned!$A$2:$A$10,B3755,mdr_rate_cleaned!$B$2:$B$10,"&lt;"&amp;C3755,mdr_rate_cleaned!$F$2:$F$10,"&gt;="&amp;C3755)</f>
        <v>1</v>
      </c>
      <c r="G3755" s="40">
        <f>SUMIFS(mdr_rate_cleaned!$G$2:$G$10,mdr_rate_cleaned!$A$2:$A$10,B3755,mdr_rate_cleaned!$B$2:$B$10,"&lt;"&amp;C3755,mdr_rate_cleaned!$F$2:$F$10,"&gt;="&amp;C3755)</f>
        <v>3.0000000000000001E-3</v>
      </c>
      <c r="H3755" s="24">
        <f t="shared" si="290"/>
        <v>15</v>
      </c>
      <c r="I3755" s="23" t="str">
        <f t="shared" si="291"/>
        <v>Match</v>
      </c>
      <c r="J3755" s="23" t="str">
        <f t="shared" si="292"/>
        <v>Match</v>
      </c>
      <c r="K3755" s="24">
        <f t="shared" si="293"/>
        <v>2.7</v>
      </c>
      <c r="L3755" s="24">
        <f t="shared" si="294"/>
        <v>0</v>
      </c>
    </row>
    <row r="3756" spans="1:12" ht="15" customHeight="1" x14ac:dyDescent="0.3">
      <c r="A3756" s="23" t="s">
        <v>16902</v>
      </c>
      <c r="B3756" s="23" t="s">
        <v>75</v>
      </c>
      <c r="C3756" s="39">
        <v>299</v>
      </c>
      <c r="D3756" s="24">
        <v>0</v>
      </c>
      <c r="E3756" s="24">
        <v>0</v>
      </c>
      <c r="F3756" s="23">
        <f>COUNTIFS(mdr_rate_cleaned!$A$2:$A$10,B3756,mdr_rate_cleaned!$B$2:$B$10,"&lt;"&amp;C3756,mdr_rate_cleaned!$F$2:$F$10,"&gt;="&amp;C3756)</f>
        <v>1</v>
      </c>
      <c r="G3756" s="40">
        <f>SUMIFS(mdr_rate_cleaned!$G$2:$G$10,mdr_rate_cleaned!$A$2:$A$10,B3756,mdr_rate_cleaned!$B$2:$B$10,"&lt;"&amp;C3756,mdr_rate_cleaned!$F$2:$F$10,"&gt;="&amp;C3756)</f>
        <v>0</v>
      </c>
      <c r="H3756" s="24">
        <f t="shared" si="290"/>
        <v>0</v>
      </c>
      <c r="I3756" s="23" t="str">
        <f t="shared" si="291"/>
        <v>Match</v>
      </c>
      <c r="J3756" s="23" t="str">
        <f t="shared" si="292"/>
        <v>Match</v>
      </c>
      <c r="K3756" s="24">
        <f t="shared" si="293"/>
        <v>0</v>
      </c>
      <c r="L3756" s="24">
        <f t="shared" si="294"/>
        <v>0</v>
      </c>
    </row>
    <row r="3757" spans="1:12" ht="15" customHeight="1" x14ac:dyDescent="0.3">
      <c r="A3757" s="23" t="s">
        <v>16903</v>
      </c>
      <c r="B3757" s="23" t="s">
        <v>75</v>
      </c>
      <c r="C3757" s="39">
        <v>3498</v>
      </c>
      <c r="D3757" s="24">
        <v>10.49</v>
      </c>
      <c r="E3757" s="24">
        <v>1.89</v>
      </c>
      <c r="F3757" s="23">
        <f>COUNTIFS(mdr_rate_cleaned!$A$2:$A$10,B3757,mdr_rate_cleaned!$B$2:$B$10,"&lt;"&amp;C3757,mdr_rate_cleaned!$F$2:$F$10,"&gt;="&amp;C3757)</f>
        <v>1</v>
      </c>
      <c r="G3757" s="40">
        <f>SUMIFS(mdr_rate_cleaned!$G$2:$G$10,mdr_rate_cleaned!$A$2:$A$10,B3757,mdr_rate_cleaned!$B$2:$B$10,"&lt;"&amp;C3757,mdr_rate_cleaned!$F$2:$F$10,"&gt;="&amp;C3757)</f>
        <v>3.0000000000000001E-3</v>
      </c>
      <c r="H3757" s="24">
        <f t="shared" si="290"/>
        <v>10.49</v>
      </c>
      <c r="I3757" s="23" t="str">
        <f t="shared" si="291"/>
        <v>Match</v>
      </c>
      <c r="J3757" s="23" t="str">
        <f t="shared" si="292"/>
        <v>Match</v>
      </c>
      <c r="K3757" s="24">
        <f t="shared" si="293"/>
        <v>1.89</v>
      </c>
      <c r="L3757" s="24">
        <f t="shared" si="294"/>
        <v>0</v>
      </c>
    </row>
    <row r="3758" spans="1:12" ht="15" customHeight="1" x14ac:dyDescent="0.3">
      <c r="A3758" s="23" t="s">
        <v>16904</v>
      </c>
      <c r="B3758" s="23" t="s">
        <v>79</v>
      </c>
      <c r="C3758" s="39">
        <v>2298</v>
      </c>
      <c r="D3758" s="24">
        <v>36.770000000000003</v>
      </c>
      <c r="E3758" s="24">
        <v>6.62</v>
      </c>
      <c r="F3758" s="23">
        <f>COUNTIFS(mdr_rate_cleaned!$A$2:$A$10,B3758,mdr_rate_cleaned!$B$2:$B$10,"&lt;"&amp;C3758,mdr_rate_cleaned!$F$2:$F$10,"&gt;="&amp;C3758)</f>
        <v>1</v>
      </c>
      <c r="G3758" s="40">
        <f>SUMIFS(mdr_rate_cleaned!$G$2:$G$10,mdr_rate_cleaned!$A$2:$A$10,B3758,mdr_rate_cleaned!$B$2:$B$10,"&lt;"&amp;C3758,mdr_rate_cleaned!$F$2:$F$10,"&gt;="&amp;C3758)</f>
        <v>1.6E-2</v>
      </c>
      <c r="H3758" s="24">
        <f t="shared" si="290"/>
        <v>36.770000000000003</v>
      </c>
      <c r="I3758" s="23" t="str">
        <f t="shared" si="291"/>
        <v>Match</v>
      </c>
      <c r="J3758" s="23" t="str">
        <f t="shared" si="292"/>
        <v>Match</v>
      </c>
      <c r="K3758" s="24">
        <f t="shared" si="293"/>
        <v>6.62</v>
      </c>
      <c r="L3758" s="24">
        <f t="shared" si="294"/>
        <v>0</v>
      </c>
    </row>
    <row r="3759" spans="1:12" ht="15" customHeight="1" x14ac:dyDescent="0.3">
      <c r="A3759" s="23" t="s">
        <v>16905</v>
      </c>
      <c r="B3759" s="23" t="s">
        <v>75</v>
      </c>
      <c r="C3759" s="39">
        <v>2999</v>
      </c>
      <c r="D3759" s="24">
        <v>9</v>
      </c>
      <c r="E3759" s="24">
        <v>1.62</v>
      </c>
      <c r="F3759" s="23">
        <f>COUNTIFS(mdr_rate_cleaned!$A$2:$A$10,B3759,mdr_rate_cleaned!$B$2:$B$10,"&lt;"&amp;C3759,mdr_rate_cleaned!$F$2:$F$10,"&gt;="&amp;C3759)</f>
        <v>1</v>
      </c>
      <c r="G3759" s="40">
        <f>SUMIFS(mdr_rate_cleaned!$G$2:$G$10,mdr_rate_cleaned!$A$2:$A$10,B3759,mdr_rate_cleaned!$B$2:$B$10,"&lt;"&amp;C3759,mdr_rate_cleaned!$F$2:$F$10,"&gt;="&amp;C3759)</f>
        <v>3.0000000000000001E-3</v>
      </c>
      <c r="H3759" s="24">
        <f t="shared" si="290"/>
        <v>9</v>
      </c>
      <c r="I3759" s="23" t="str">
        <f t="shared" si="291"/>
        <v>Match</v>
      </c>
      <c r="J3759" s="23" t="str">
        <f t="shared" si="292"/>
        <v>Match</v>
      </c>
      <c r="K3759" s="24">
        <f t="shared" si="293"/>
        <v>1.62</v>
      </c>
      <c r="L3759" s="24">
        <f t="shared" si="294"/>
        <v>0</v>
      </c>
    </row>
    <row r="3760" spans="1:12" ht="15" customHeight="1" x14ac:dyDescent="0.3">
      <c r="A3760" s="23" t="s">
        <v>16906</v>
      </c>
      <c r="B3760" s="23" t="s">
        <v>77</v>
      </c>
      <c r="C3760" s="39">
        <v>799</v>
      </c>
      <c r="D3760" s="24">
        <v>15.18</v>
      </c>
      <c r="E3760" s="24">
        <v>2.73</v>
      </c>
      <c r="F3760" s="23">
        <f>COUNTIFS(mdr_rate_cleaned!$A$2:$A$10,B3760,mdr_rate_cleaned!$B$2:$B$10,"&lt;"&amp;C3760,mdr_rate_cleaned!$F$2:$F$10,"&gt;="&amp;C3760)</f>
        <v>1</v>
      </c>
      <c r="G3760" s="40">
        <f>SUMIFS(mdr_rate_cleaned!$G$2:$G$10,mdr_rate_cleaned!$A$2:$A$10,B3760,mdr_rate_cleaned!$B$2:$B$10,"&lt;"&amp;C3760,mdr_rate_cleaned!$F$2:$F$10,"&gt;="&amp;C3760)</f>
        <v>1.9E-2</v>
      </c>
      <c r="H3760" s="24">
        <f t="shared" si="290"/>
        <v>15.18</v>
      </c>
      <c r="I3760" s="23" t="str">
        <f t="shared" si="291"/>
        <v>Match</v>
      </c>
      <c r="J3760" s="23" t="str">
        <f t="shared" si="292"/>
        <v>Match</v>
      </c>
      <c r="K3760" s="24">
        <f t="shared" si="293"/>
        <v>2.73</v>
      </c>
      <c r="L3760" s="24">
        <f t="shared" si="294"/>
        <v>0</v>
      </c>
    </row>
    <row r="3761" spans="1:12" ht="15" customHeight="1" x14ac:dyDescent="0.3">
      <c r="A3761" s="23" t="s">
        <v>16908</v>
      </c>
      <c r="B3761" s="23" t="s">
        <v>75</v>
      </c>
      <c r="C3761" s="39">
        <v>1648</v>
      </c>
      <c r="D3761" s="24">
        <v>0</v>
      </c>
      <c r="E3761" s="24">
        <v>0</v>
      </c>
      <c r="F3761" s="23">
        <f>COUNTIFS(mdr_rate_cleaned!$A$2:$A$10,B3761,mdr_rate_cleaned!$B$2:$B$10,"&lt;"&amp;C3761,mdr_rate_cleaned!$F$2:$F$10,"&gt;="&amp;C3761)</f>
        <v>1</v>
      </c>
      <c r="G3761" s="40">
        <f>SUMIFS(mdr_rate_cleaned!$G$2:$G$10,mdr_rate_cleaned!$A$2:$A$10,B3761,mdr_rate_cleaned!$B$2:$B$10,"&lt;"&amp;C3761,mdr_rate_cleaned!$F$2:$F$10,"&gt;="&amp;C3761)</f>
        <v>0</v>
      </c>
      <c r="H3761" s="24">
        <f t="shared" si="290"/>
        <v>0</v>
      </c>
      <c r="I3761" s="23" t="str">
        <f t="shared" si="291"/>
        <v>Match</v>
      </c>
      <c r="J3761" s="23" t="str">
        <f t="shared" si="292"/>
        <v>Match</v>
      </c>
      <c r="K3761" s="24">
        <f t="shared" si="293"/>
        <v>0</v>
      </c>
      <c r="L3761" s="24">
        <f t="shared" si="294"/>
        <v>0</v>
      </c>
    </row>
    <row r="3762" spans="1:12" ht="15" customHeight="1" x14ac:dyDescent="0.3">
      <c r="A3762" s="23" t="s">
        <v>16909</v>
      </c>
      <c r="B3762" s="23" t="s">
        <v>75</v>
      </c>
      <c r="C3762" s="39">
        <v>3597</v>
      </c>
      <c r="D3762" s="24">
        <v>10.79</v>
      </c>
      <c r="E3762" s="24">
        <v>1.94</v>
      </c>
      <c r="F3762" s="23">
        <f>COUNTIFS(mdr_rate_cleaned!$A$2:$A$10,B3762,mdr_rate_cleaned!$B$2:$B$10,"&lt;"&amp;C3762,mdr_rate_cleaned!$F$2:$F$10,"&gt;="&amp;C3762)</f>
        <v>1</v>
      </c>
      <c r="G3762" s="40">
        <f>SUMIFS(mdr_rate_cleaned!$G$2:$G$10,mdr_rate_cleaned!$A$2:$A$10,B3762,mdr_rate_cleaned!$B$2:$B$10,"&lt;"&amp;C3762,mdr_rate_cleaned!$F$2:$F$10,"&gt;="&amp;C3762)</f>
        <v>3.0000000000000001E-3</v>
      </c>
      <c r="H3762" s="24">
        <f t="shared" si="290"/>
        <v>10.79</v>
      </c>
      <c r="I3762" s="23" t="str">
        <f t="shared" si="291"/>
        <v>Match</v>
      </c>
      <c r="J3762" s="23" t="str">
        <f t="shared" si="292"/>
        <v>Match</v>
      </c>
      <c r="K3762" s="24">
        <f t="shared" si="293"/>
        <v>1.94</v>
      </c>
      <c r="L3762" s="24">
        <f t="shared" si="294"/>
        <v>0</v>
      </c>
    </row>
    <row r="3763" spans="1:12" ht="15" customHeight="1" x14ac:dyDescent="0.3">
      <c r="A3763" s="23" t="s">
        <v>16911</v>
      </c>
      <c r="B3763" s="23" t="s">
        <v>77</v>
      </c>
      <c r="C3763" s="39">
        <v>5598</v>
      </c>
      <c r="D3763" s="24">
        <v>95.17</v>
      </c>
      <c r="E3763" s="24">
        <v>17.13</v>
      </c>
      <c r="F3763" s="23">
        <f>COUNTIFS(mdr_rate_cleaned!$A$2:$A$10,B3763,mdr_rate_cleaned!$B$2:$B$10,"&lt;"&amp;C3763,mdr_rate_cleaned!$F$2:$F$10,"&gt;="&amp;C3763)</f>
        <v>1</v>
      </c>
      <c r="G3763" s="40">
        <f>SUMIFS(mdr_rate_cleaned!$G$2:$G$10,mdr_rate_cleaned!$A$2:$A$10,B3763,mdr_rate_cleaned!$B$2:$B$10,"&lt;"&amp;C3763,mdr_rate_cleaned!$F$2:$F$10,"&gt;="&amp;C3763)</f>
        <v>1.7000000000000001E-2</v>
      </c>
      <c r="H3763" s="24">
        <f t="shared" si="290"/>
        <v>95.17</v>
      </c>
      <c r="I3763" s="23" t="str">
        <f t="shared" si="291"/>
        <v>Match</v>
      </c>
      <c r="J3763" s="23" t="str">
        <f t="shared" si="292"/>
        <v>Match</v>
      </c>
      <c r="K3763" s="24">
        <f t="shared" si="293"/>
        <v>17.13</v>
      </c>
      <c r="L3763" s="24">
        <f t="shared" si="294"/>
        <v>0</v>
      </c>
    </row>
    <row r="3764" spans="1:12" ht="15" customHeight="1" x14ac:dyDescent="0.3">
      <c r="A3764" s="23" t="s">
        <v>16912</v>
      </c>
      <c r="B3764" s="23" t="s">
        <v>75</v>
      </c>
      <c r="C3764" s="39">
        <v>3298</v>
      </c>
      <c r="D3764" s="24">
        <v>9.89</v>
      </c>
      <c r="E3764" s="24">
        <v>1.78</v>
      </c>
      <c r="F3764" s="23">
        <f>COUNTIFS(mdr_rate_cleaned!$A$2:$A$10,B3764,mdr_rate_cleaned!$B$2:$B$10,"&lt;"&amp;C3764,mdr_rate_cleaned!$F$2:$F$10,"&gt;="&amp;C3764)</f>
        <v>1</v>
      </c>
      <c r="G3764" s="40">
        <f>SUMIFS(mdr_rate_cleaned!$G$2:$G$10,mdr_rate_cleaned!$A$2:$A$10,B3764,mdr_rate_cleaned!$B$2:$B$10,"&lt;"&amp;C3764,mdr_rate_cleaned!$F$2:$F$10,"&gt;="&amp;C3764)</f>
        <v>3.0000000000000001E-3</v>
      </c>
      <c r="H3764" s="24">
        <f t="shared" si="290"/>
        <v>9.89</v>
      </c>
      <c r="I3764" s="23" t="str">
        <f t="shared" si="291"/>
        <v>Match</v>
      </c>
      <c r="J3764" s="23" t="str">
        <f t="shared" si="292"/>
        <v>Match</v>
      </c>
      <c r="K3764" s="24">
        <f t="shared" si="293"/>
        <v>1.78</v>
      </c>
      <c r="L3764" s="24">
        <f t="shared" si="294"/>
        <v>0</v>
      </c>
    </row>
    <row r="3765" spans="1:12" ht="15" customHeight="1" x14ac:dyDescent="0.3">
      <c r="A3765" s="23" t="s">
        <v>16913</v>
      </c>
      <c r="B3765" s="23" t="s">
        <v>75</v>
      </c>
      <c r="C3765" s="39">
        <v>6797</v>
      </c>
      <c r="D3765" s="24">
        <v>20.39</v>
      </c>
      <c r="E3765" s="24">
        <v>3.67</v>
      </c>
      <c r="F3765" s="23">
        <f>COUNTIFS(mdr_rate_cleaned!$A$2:$A$10,B3765,mdr_rate_cleaned!$B$2:$B$10,"&lt;"&amp;C3765,mdr_rate_cleaned!$F$2:$F$10,"&gt;="&amp;C3765)</f>
        <v>1</v>
      </c>
      <c r="G3765" s="40">
        <f>SUMIFS(mdr_rate_cleaned!$G$2:$G$10,mdr_rate_cleaned!$A$2:$A$10,B3765,mdr_rate_cleaned!$B$2:$B$10,"&lt;"&amp;C3765,mdr_rate_cleaned!$F$2:$F$10,"&gt;="&amp;C3765)</f>
        <v>3.0000000000000001E-3</v>
      </c>
      <c r="H3765" s="24">
        <f t="shared" si="290"/>
        <v>20.39</v>
      </c>
      <c r="I3765" s="23" t="str">
        <f t="shared" si="291"/>
        <v>Match</v>
      </c>
      <c r="J3765" s="23" t="str">
        <f t="shared" si="292"/>
        <v>Match</v>
      </c>
      <c r="K3765" s="24">
        <f t="shared" si="293"/>
        <v>3.67</v>
      </c>
      <c r="L3765" s="24">
        <f t="shared" si="294"/>
        <v>0</v>
      </c>
    </row>
    <row r="3766" spans="1:12" ht="15" customHeight="1" x14ac:dyDescent="0.3">
      <c r="A3766" s="23" t="s">
        <v>16914</v>
      </c>
      <c r="B3766" s="23" t="s">
        <v>75</v>
      </c>
      <c r="C3766" s="39">
        <v>1148</v>
      </c>
      <c r="D3766" s="24">
        <v>0</v>
      </c>
      <c r="E3766" s="24">
        <v>0</v>
      </c>
      <c r="F3766" s="23">
        <f>COUNTIFS(mdr_rate_cleaned!$A$2:$A$10,B3766,mdr_rate_cleaned!$B$2:$B$10,"&lt;"&amp;C3766,mdr_rate_cleaned!$F$2:$F$10,"&gt;="&amp;C3766)</f>
        <v>1</v>
      </c>
      <c r="G3766" s="40">
        <f>SUMIFS(mdr_rate_cleaned!$G$2:$G$10,mdr_rate_cleaned!$A$2:$A$10,B3766,mdr_rate_cleaned!$B$2:$B$10,"&lt;"&amp;C3766,mdr_rate_cleaned!$F$2:$F$10,"&gt;="&amp;C3766)</f>
        <v>0</v>
      </c>
      <c r="H3766" s="24">
        <f t="shared" si="290"/>
        <v>0</v>
      </c>
      <c r="I3766" s="23" t="str">
        <f t="shared" si="291"/>
        <v>Match</v>
      </c>
      <c r="J3766" s="23" t="str">
        <f t="shared" si="292"/>
        <v>Match</v>
      </c>
      <c r="K3766" s="24">
        <f t="shared" si="293"/>
        <v>0</v>
      </c>
      <c r="L3766" s="24">
        <f t="shared" si="294"/>
        <v>0</v>
      </c>
    </row>
    <row r="3767" spans="1:12" ht="15" customHeight="1" x14ac:dyDescent="0.3">
      <c r="A3767" s="23" t="s">
        <v>16915</v>
      </c>
      <c r="B3767" s="23" t="s">
        <v>79</v>
      </c>
      <c r="C3767" s="39">
        <v>7498</v>
      </c>
      <c r="D3767" s="24">
        <v>119.97</v>
      </c>
      <c r="E3767" s="24">
        <v>21.59</v>
      </c>
      <c r="F3767" s="23">
        <f>COUNTIFS(mdr_rate_cleaned!$A$2:$A$10,B3767,mdr_rate_cleaned!$B$2:$B$10,"&lt;"&amp;C3767,mdr_rate_cleaned!$F$2:$F$10,"&gt;="&amp;C3767)</f>
        <v>1</v>
      </c>
      <c r="G3767" s="40">
        <f>SUMIFS(mdr_rate_cleaned!$G$2:$G$10,mdr_rate_cleaned!$A$2:$A$10,B3767,mdr_rate_cleaned!$B$2:$B$10,"&lt;"&amp;C3767,mdr_rate_cleaned!$F$2:$F$10,"&gt;="&amp;C3767)</f>
        <v>1.6E-2</v>
      </c>
      <c r="H3767" s="24">
        <f t="shared" si="290"/>
        <v>119.97</v>
      </c>
      <c r="I3767" s="23" t="str">
        <f t="shared" si="291"/>
        <v>Match</v>
      </c>
      <c r="J3767" s="23" t="str">
        <f t="shared" si="292"/>
        <v>Match</v>
      </c>
      <c r="K3767" s="24">
        <f t="shared" si="293"/>
        <v>21.59</v>
      </c>
      <c r="L3767" s="24">
        <f t="shared" si="294"/>
        <v>0</v>
      </c>
    </row>
    <row r="3768" spans="1:12" ht="15" customHeight="1" x14ac:dyDescent="0.3">
      <c r="A3768" s="23" t="s">
        <v>16916</v>
      </c>
      <c r="B3768" s="23" t="s">
        <v>81</v>
      </c>
      <c r="C3768" s="39">
        <v>1298</v>
      </c>
      <c r="D3768" s="24">
        <v>19.47</v>
      </c>
      <c r="E3768" s="24">
        <v>3.5</v>
      </c>
      <c r="F3768" s="23">
        <f>COUNTIFS(mdr_rate_cleaned!$A$2:$A$10,B3768,mdr_rate_cleaned!$B$2:$B$10,"&lt;"&amp;C3768,mdr_rate_cleaned!$F$2:$F$10,"&gt;="&amp;C3768)</f>
        <v>1</v>
      </c>
      <c r="G3768" s="40">
        <f>SUMIFS(mdr_rate_cleaned!$G$2:$G$10,mdr_rate_cleaned!$A$2:$A$10,B3768,mdr_rate_cleaned!$B$2:$B$10,"&lt;"&amp;C3768,mdr_rate_cleaned!$F$2:$F$10,"&gt;="&amp;C3768)</f>
        <v>1.4999999999999999E-2</v>
      </c>
      <c r="H3768" s="24">
        <f t="shared" si="290"/>
        <v>19.47</v>
      </c>
      <c r="I3768" s="23" t="str">
        <f t="shared" si="291"/>
        <v>Match</v>
      </c>
      <c r="J3768" s="23" t="str">
        <f t="shared" si="292"/>
        <v>Match</v>
      </c>
      <c r="K3768" s="24">
        <f t="shared" si="293"/>
        <v>3.5</v>
      </c>
      <c r="L3768" s="24">
        <f t="shared" si="294"/>
        <v>0</v>
      </c>
    </row>
    <row r="3769" spans="1:12" ht="15" customHeight="1" x14ac:dyDescent="0.3">
      <c r="A3769" s="23" t="s">
        <v>16917</v>
      </c>
      <c r="B3769" s="23" t="s">
        <v>75</v>
      </c>
      <c r="C3769" s="39">
        <v>4999</v>
      </c>
      <c r="D3769" s="24">
        <v>15</v>
      </c>
      <c r="E3769" s="24">
        <v>2.7</v>
      </c>
      <c r="F3769" s="23">
        <f>COUNTIFS(mdr_rate_cleaned!$A$2:$A$10,B3769,mdr_rate_cleaned!$B$2:$B$10,"&lt;"&amp;C3769,mdr_rate_cleaned!$F$2:$F$10,"&gt;="&amp;C3769)</f>
        <v>1</v>
      </c>
      <c r="G3769" s="40">
        <f>SUMIFS(mdr_rate_cleaned!$G$2:$G$10,mdr_rate_cleaned!$A$2:$A$10,B3769,mdr_rate_cleaned!$B$2:$B$10,"&lt;"&amp;C3769,mdr_rate_cleaned!$F$2:$F$10,"&gt;="&amp;C3769)</f>
        <v>3.0000000000000001E-3</v>
      </c>
      <c r="H3769" s="24">
        <f t="shared" si="290"/>
        <v>15</v>
      </c>
      <c r="I3769" s="23" t="str">
        <f t="shared" si="291"/>
        <v>Match</v>
      </c>
      <c r="J3769" s="23" t="str">
        <f t="shared" si="292"/>
        <v>Match</v>
      </c>
      <c r="K3769" s="24">
        <f t="shared" si="293"/>
        <v>2.7</v>
      </c>
      <c r="L3769" s="24">
        <f t="shared" si="294"/>
        <v>0</v>
      </c>
    </row>
    <row r="3770" spans="1:12" ht="15" customHeight="1" x14ac:dyDescent="0.3">
      <c r="A3770" s="23" t="s">
        <v>16918</v>
      </c>
      <c r="B3770" s="23" t="s">
        <v>75</v>
      </c>
      <c r="C3770" s="39">
        <v>1499</v>
      </c>
      <c r="D3770" s="24">
        <v>0</v>
      </c>
      <c r="E3770" s="24">
        <v>0</v>
      </c>
      <c r="F3770" s="23">
        <f>COUNTIFS(mdr_rate_cleaned!$A$2:$A$10,B3770,mdr_rate_cleaned!$B$2:$B$10,"&lt;"&amp;C3770,mdr_rate_cleaned!$F$2:$F$10,"&gt;="&amp;C3770)</f>
        <v>1</v>
      </c>
      <c r="G3770" s="40">
        <f>SUMIFS(mdr_rate_cleaned!$G$2:$G$10,mdr_rate_cleaned!$A$2:$A$10,B3770,mdr_rate_cleaned!$B$2:$B$10,"&lt;"&amp;C3770,mdr_rate_cleaned!$F$2:$F$10,"&gt;="&amp;C3770)</f>
        <v>0</v>
      </c>
      <c r="H3770" s="24">
        <f t="shared" si="290"/>
        <v>0</v>
      </c>
      <c r="I3770" s="23" t="str">
        <f t="shared" si="291"/>
        <v>Match</v>
      </c>
      <c r="J3770" s="23" t="str">
        <f t="shared" si="292"/>
        <v>Match</v>
      </c>
      <c r="K3770" s="24">
        <f t="shared" si="293"/>
        <v>0</v>
      </c>
      <c r="L3770" s="24">
        <f t="shared" si="294"/>
        <v>0</v>
      </c>
    </row>
    <row r="3771" spans="1:12" ht="15" customHeight="1" x14ac:dyDescent="0.3">
      <c r="A3771" s="23" t="s">
        <v>16919</v>
      </c>
      <c r="B3771" s="23" t="s">
        <v>79</v>
      </c>
      <c r="C3771" s="39">
        <v>3499</v>
      </c>
      <c r="D3771" s="24">
        <v>55.98</v>
      </c>
      <c r="E3771" s="24">
        <v>10.08</v>
      </c>
      <c r="F3771" s="23">
        <f>COUNTIFS(mdr_rate_cleaned!$A$2:$A$10,B3771,mdr_rate_cleaned!$B$2:$B$10,"&lt;"&amp;C3771,mdr_rate_cleaned!$F$2:$F$10,"&gt;="&amp;C3771)</f>
        <v>1</v>
      </c>
      <c r="G3771" s="40">
        <f>SUMIFS(mdr_rate_cleaned!$G$2:$G$10,mdr_rate_cleaned!$A$2:$A$10,B3771,mdr_rate_cleaned!$B$2:$B$10,"&lt;"&amp;C3771,mdr_rate_cleaned!$F$2:$F$10,"&gt;="&amp;C3771)</f>
        <v>1.6E-2</v>
      </c>
      <c r="H3771" s="24">
        <f t="shared" si="290"/>
        <v>55.98</v>
      </c>
      <c r="I3771" s="23" t="str">
        <f t="shared" si="291"/>
        <v>Match</v>
      </c>
      <c r="J3771" s="23" t="str">
        <f t="shared" si="292"/>
        <v>Match</v>
      </c>
      <c r="K3771" s="24">
        <f t="shared" si="293"/>
        <v>10.08</v>
      </c>
      <c r="L3771" s="24">
        <f t="shared" si="294"/>
        <v>0</v>
      </c>
    </row>
    <row r="3772" spans="1:12" ht="15" customHeight="1" x14ac:dyDescent="0.3">
      <c r="A3772" s="23" t="s">
        <v>16921</v>
      </c>
      <c r="B3772" s="23" t="s">
        <v>79</v>
      </c>
      <c r="C3772" s="39">
        <v>5097</v>
      </c>
      <c r="D3772" s="24">
        <v>81.55</v>
      </c>
      <c r="E3772" s="24">
        <v>14.68</v>
      </c>
      <c r="F3772" s="23">
        <f>COUNTIFS(mdr_rate_cleaned!$A$2:$A$10,B3772,mdr_rate_cleaned!$B$2:$B$10,"&lt;"&amp;C3772,mdr_rate_cleaned!$F$2:$F$10,"&gt;="&amp;C3772)</f>
        <v>1</v>
      </c>
      <c r="G3772" s="40">
        <f>SUMIFS(mdr_rate_cleaned!$G$2:$G$10,mdr_rate_cleaned!$A$2:$A$10,B3772,mdr_rate_cleaned!$B$2:$B$10,"&lt;"&amp;C3772,mdr_rate_cleaned!$F$2:$F$10,"&gt;="&amp;C3772)</f>
        <v>1.6E-2</v>
      </c>
      <c r="H3772" s="24">
        <f t="shared" si="290"/>
        <v>81.55</v>
      </c>
      <c r="I3772" s="23" t="str">
        <f t="shared" si="291"/>
        <v>Match</v>
      </c>
      <c r="J3772" s="23" t="str">
        <f t="shared" si="292"/>
        <v>Match</v>
      </c>
      <c r="K3772" s="24">
        <f t="shared" si="293"/>
        <v>14.68</v>
      </c>
      <c r="L3772" s="24">
        <f t="shared" si="294"/>
        <v>0</v>
      </c>
    </row>
    <row r="3773" spans="1:12" ht="15" customHeight="1" x14ac:dyDescent="0.3">
      <c r="A3773" s="23" t="s">
        <v>16922</v>
      </c>
      <c r="B3773" s="23" t="s">
        <v>75</v>
      </c>
      <c r="C3773" s="39">
        <v>5298</v>
      </c>
      <c r="D3773" s="24">
        <v>15.89</v>
      </c>
      <c r="E3773" s="24">
        <v>2.86</v>
      </c>
      <c r="F3773" s="23">
        <f>COUNTIFS(mdr_rate_cleaned!$A$2:$A$10,B3773,mdr_rate_cleaned!$B$2:$B$10,"&lt;"&amp;C3773,mdr_rate_cleaned!$F$2:$F$10,"&gt;="&amp;C3773)</f>
        <v>1</v>
      </c>
      <c r="G3773" s="40">
        <f>SUMIFS(mdr_rate_cleaned!$G$2:$G$10,mdr_rate_cleaned!$A$2:$A$10,B3773,mdr_rate_cleaned!$B$2:$B$10,"&lt;"&amp;C3773,mdr_rate_cleaned!$F$2:$F$10,"&gt;="&amp;C3773)</f>
        <v>3.0000000000000001E-3</v>
      </c>
      <c r="H3773" s="24">
        <f t="shared" si="290"/>
        <v>15.89</v>
      </c>
      <c r="I3773" s="23" t="str">
        <f t="shared" si="291"/>
        <v>Match</v>
      </c>
      <c r="J3773" s="23" t="str">
        <f t="shared" si="292"/>
        <v>Match</v>
      </c>
      <c r="K3773" s="24">
        <f t="shared" si="293"/>
        <v>2.86</v>
      </c>
      <c r="L3773" s="24">
        <f t="shared" si="294"/>
        <v>0</v>
      </c>
    </row>
    <row r="3774" spans="1:12" ht="15" customHeight="1" x14ac:dyDescent="0.3">
      <c r="A3774" s="23" t="s">
        <v>16923</v>
      </c>
      <c r="B3774" s="23" t="s">
        <v>77</v>
      </c>
      <c r="C3774" s="39">
        <v>4147</v>
      </c>
      <c r="D3774" s="24">
        <v>70.5</v>
      </c>
      <c r="E3774" s="24">
        <v>12.69</v>
      </c>
      <c r="F3774" s="23">
        <f>COUNTIFS(mdr_rate_cleaned!$A$2:$A$10,B3774,mdr_rate_cleaned!$B$2:$B$10,"&lt;"&amp;C3774,mdr_rate_cleaned!$F$2:$F$10,"&gt;="&amp;C3774)</f>
        <v>1</v>
      </c>
      <c r="G3774" s="40">
        <f>SUMIFS(mdr_rate_cleaned!$G$2:$G$10,mdr_rate_cleaned!$A$2:$A$10,B3774,mdr_rate_cleaned!$B$2:$B$10,"&lt;"&amp;C3774,mdr_rate_cleaned!$F$2:$F$10,"&gt;="&amp;C3774)</f>
        <v>1.7000000000000001E-2</v>
      </c>
      <c r="H3774" s="24">
        <f t="shared" si="290"/>
        <v>70.5</v>
      </c>
      <c r="I3774" s="23" t="str">
        <f t="shared" si="291"/>
        <v>Match</v>
      </c>
      <c r="J3774" s="23" t="str">
        <f t="shared" si="292"/>
        <v>Match</v>
      </c>
      <c r="K3774" s="24">
        <f t="shared" si="293"/>
        <v>12.69</v>
      </c>
      <c r="L3774" s="24">
        <f t="shared" si="294"/>
        <v>0</v>
      </c>
    </row>
    <row r="3775" spans="1:12" ht="15" customHeight="1" x14ac:dyDescent="0.3">
      <c r="A3775" s="23" t="s">
        <v>16924</v>
      </c>
      <c r="B3775" s="23" t="s">
        <v>75</v>
      </c>
      <c r="C3775" s="39">
        <v>10998</v>
      </c>
      <c r="D3775" s="24">
        <v>32.99</v>
      </c>
      <c r="E3775" s="24">
        <v>5.94</v>
      </c>
      <c r="F3775" s="23">
        <f>COUNTIFS(mdr_rate_cleaned!$A$2:$A$10,B3775,mdr_rate_cleaned!$B$2:$B$10,"&lt;"&amp;C3775,mdr_rate_cleaned!$F$2:$F$10,"&gt;="&amp;C3775)</f>
        <v>1</v>
      </c>
      <c r="G3775" s="40">
        <f>SUMIFS(mdr_rate_cleaned!$G$2:$G$10,mdr_rate_cleaned!$A$2:$A$10,B3775,mdr_rate_cleaned!$B$2:$B$10,"&lt;"&amp;C3775,mdr_rate_cleaned!$F$2:$F$10,"&gt;="&amp;C3775)</f>
        <v>3.0000000000000001E-3</v>
      </c>
      <c r="H3775" s="24">
        <f t="shared" si="290"/>
        <v>32.99</v>
      </c>
      <c r="I3775" s="23" t="str">
        <f t="shared" si="291"/>
        <v>Match</v>
      </c>
      <c r="J3775" s="23" t="str">
        <f t="shared" si="292"/>
        <v>Match</v>
      </c>
      <c r="K3775" s="24">
        <f t="shared" si="293"/>
        <v>5.94</v>
      </c>
      <c r="L3775" s="24">
        <f t="shared" si="294"/>
        <v>0</v>
      </c>
    </row>
    <row r="3776" spans="1:12" ht="15" customHeight="1" x14ac:dyDescent="0.3">
      <c r="A3776" s="23" t="s">
        <v>16925</v>
      </c>
      <c r="B3776" s="23" t="s">
        <v>75</v>
      </c>
      <c r="C3776" s="39">
        <v>499</v>
      </c>
      <c r="D3776" s="24">
        <v>0</v>
      </c>
      <c r="E3776" s="24">
        <v>0</v>
      </c>
      <c r="F3776" s="23">
        <f>COUNTIFS(mdr_rate_cleaned!$A$2:$A$10,B3776,mdr_rate_cleaned!$B$2:$B$10,"&lt;"&amp;C3776,mdr_rate_cleaned!$F$2:$F$10,"&gt;="&amp;C3776)</f>
        <v>1</v>
      </c>
      <c r="G3776" s="40">
        <f>SUMIFS(mdr_rate_cleaned!$G$2:$G$10,mdr_rate_cleaned!$A$2:$A$10,B3776,mdr_rate_cleaned!$B$2:$B$10,"&lt;"&amp;C3776,mdr_rate_cleaned!$F$2:$F$10,"&gt;="&amp;C3776)</f>
        <v>0</v>
      </c>
      <c r="H3776" s="24">
        <f t="shared" si="290"/>
        <v>0</v>
      </c>
      <c r="I3776" s="23" t="str">
        <f t="shared" si="291"/>
        <v>Match</v>
      </c>
      <c r="J3776" s="23" t="str">
        <f t="shared" si="292"/>
        <v>Match</v>
      </c>
      <c r="K3776" s="24">
        <f t="shared" si="293"/>
        <v>0</v>
      </c>
      <c r="L3776" s="24">
        <f t="shared" si="294"/>
        <v>0</v>
      </c>
    </row>
    <row r="3777" spans="1:12" ht="15" customHeight="1" x14ac:dyDescent="0.3">
      <c r="A3777" s="23" t="s">
        <v>16926</v>
      </c>
      <c r="B3777" s="23" t="s">
        <v>79</v>
      </c>
      <c r="C3777" s="39">
        <v>2499</v>
      </c>
      <c r="D3777" s="24">
        <v>39.979999999999997</v>
      </c>
      <c r="E3777" s="24">
        <v>7.2</v>
      </c>
      <c r="F3777" s="23">
        <f>COUNTIFS(mdr_rate_cleaned!$A$2:$A$10,B3777,mdr_rate_cleaned!$B$2:$B$10,"&lt;"&amp;C3777,mdr_rate_cleaned!$F$2:$F$10,"&gt;="&amp;C3777)</f>
        <v>1</v>
      </c>
      <c r="G3777" s="40">
        <f>SUMIFS(mdr_rate_cleaned!$G$2:$G$10,mdr_rate_cleaned!$A$2:$A$10,B3777,mdr_rate_cleaned!$B$2:$B$10,"&lt;"&amp;C3777,mdr_rate_cleaned!$F$2:$F$10,"&gt;="&amp;C3777)</f>
        <v>1.6E-2</v>
      </c>
      <c r="H3777" s="24">
        <f t="shared" si="290"/>
        <v>39.979999999999997</v>
      </c>
      <c r="I3777" s="23" t="str">
        <f t="shared" si="291"/>
        <v>Match</v>
      </c>
      <c r="J3777" s="23" t="str">
        <f t="shared" si="292"/>
        <v>Match</v>
      </c>
      <c r="K3777" s="24">
        <f t="shared" si="293"/>
        <v>7.2</v>
      </c>
      <c r="L3777" s="24">
        <f t="shared" si="294"/>
        <v>0</v>
      </c>
    </row>
    <row r="3778" spans="1:12" ht="15" customHeight="1" x14ac:dyDescent="0.3">
      <c r="A3778" s="23" t="s">
        <v>16928</v>
      </c>
      <c r="B3778" s="23" t="s">
        <v>81</v>
      </c>
      <c r="C3778" s="39">
        <v>3499</v>
      </c>
      <c r="D3778" s="24">
        <v>41.99</v>
      </c>
      <c r="E3778" s="24">
        <v>7.56</v>
      </c>
      <c r="F3778" s="23">
        <f>COUNTIFS(mdr_rate_cleaned!$A$2:$A$10,B3778,mdr_rate_cleaned!$B$2:$B$10,"&lt;"&amp;C3778,mdr_rate_cleaned!$F$2:$F$10,"&gt;="&amp;C3778)</f>
        <v>1</v>
      </c>
      <c r="G3778" s="40">
        <f>SUMIFS(mdr_rate_cleaned!$G$2:$G$10,mdr_rate_cleaned!$A$2:$A$10,B3778,mdr_rate_cleaned!$B$2:$B$10,"&lt;"&amp;C3778,mdr_rate_cleaned!$F$2:$F$10,"&gt;="&amp;C3778)</f>
        <v>1.2E-2</v>
      </c>
      <c r="H3778" s="24">
        <f t="shared" ref="H3778:H3841" si="295">ROUND(C3778*G3778,2)</f>
        <v>41.99</v>
      </c>
      <c r="I3778" s="23" t="str">
        <f t="shared" ref="I3778:I3841" si="296">IF(ROUND(D3778-H3778,2)=0,"Match","Differs")</f>
        <v>Match</v>
      </c>
      <c r="J3778" s="23" t="str">
        <f t="shared" ref="J3778:J3841" si="297">IF(ROUND(E3778-ROUND(D3778*0.18,2),2)=0,"Match","Differs")</f>
        <v>Match</v>
      </c>
      <c r="K3778" s="24">
        <f t="shared" ref="K3778:K3841" si="298">ROUND(H3778*0.18,2)</f>
        <v>7.56</v>
      </c>
      <c r="L3778" s="24">
        <f t="shared" ref="L3778:L3841" si="299">ROUND(D3778+E3778-H3778-K3778,2)</f>
        <v>0</v>
      </c>
    </row>
    <row r="3779" spans="1:12" ht="15" customHeight="1" x14ac:dyDescent="0.3">
      <c r="A3779" s="23" t="s">
        <v>16929</v>
      </c>
      <c r="B3779" s="23" t="s">
        <v>79</v>
      </c>
      <c r="C3779" s="39">
        <v>2298</v>
      </c>
      <c r="D3779" s="24">
        <v>36.770000000000003</v>
      </c>
      <c r="E3779" s="24">
        <v>6.62</v>
      </c>
      <c r="F3779" s="23">
        <f>COUNTIFS(mdr_rate_cleaned!$A$2:$A$10,B3779,mdr_rate_cleaned!$B$2:$B$10,"&lt;"&amp;C3779,mdr_rate_cleaned!$F$2:$F$10,"&gt;="&amp;C3779)</f>
        <v>1</v>
      </c>
      <c r="G3779" s="40">
        <f>SUMIFS(mdr_rate_cleaned!$G$2:$G$10,mdr_rate_cleaned!$A$2:$A$10,B3779,mdr_rate_cleaned!$B$2:$B$10,"&lt;"&amp;C3779,mdr_rate_cleaned!$F$2:$F$10,"&gt;="&amp;C3779)</f>
        <v>1.6E-2</v>
      </c>
      <c r="H3779" s="24">
        <f t="shared" si="295"/>
        <v>36.770000000000003</v>
      </c>
      <c r="I3779" s="23" t="str">
        <f t="shared" si="296"/>
        <v>Match</v>
      </c>
      <c r="J3779" s="23" t="str">
        <f t="shared" si="297"/>
        <v>Match</v>
      </c>
      <c r="K3779" s="24">
        <f t="shared" si="298"/>
        <v>6.62</v>
      </c>
      <c r="L3779" s="24">
        <f t="shared" si="299"/>
        <v>0</v>
      </c>
    </row>
    <row r="3780" spans="1:12" ht="15" customHeight="1" x14ac:dyDescent="0.3">
      <c r="A3780" s="23" t="s">
        <v>16930</v>
      </c>
      <c r="B3780" s="23" t="s">
        <v>75</v>
      </c>
      <c r="C3780" s="39">
        <v>499</v>
      </c>
      <c r="D3780" s="24">
        <v>0</v>
      </c>
      <c r="E3780" s="24">
        <v>0</v>
      </c>
      <c r="F3780" s="23">
        <f>COUNTIFS(mdr_rate_cleaned!$A$2:$A$10,B3780,mdr_rate_cleaned!$B$2:$B$10,"&lt;"&amp;C3780,mdr_rate_cleaned!$F$2:$F$10,"&gt;="&amp;C3780)</f>
        <v>1</v>
      </c>
      <c r="G3780" s="40">
        <f>SUMIFS(mdr_rate_cleaned!$G$2:$G$10,mdr_rate_cleaned!$A$2:$A$10,B3780,mdr_rate_cleaned!$B$2:$B$10,"&lt;"&amp;C3780,mdr_rate_cleaned!$F$2:$F$10,"&gt;="&amp;C3780)</f>
        <v>0</v>
      </c>
      <c r="H3780" s="24">
        <f t="shared" si="295"/>
        <v>0</v>
      </c>
      <c r="I3780" s="23" t="str">
        <f t="shared" si="296"/>
        <v>Match</v>
      </c>
      <c r="J3780" s="23" t="str">
        <f t="shared" si="297"/>
        <v>Match</v>
      </c>
      <c r="K3780" s="24">
        <f t="shared" si="298"/>
        <v>0</v>
      </c>
      <c r="L3780" s="24">
        <f t="shared" si="299"/>
        <v>0</v>
      </c>
    </row>
    <row r="3781" spans="1:12" ht="15" customHeight="1" x14ac:dyDescent="0.3">
      <c r="A3781" s="23" t="s">
        <v>16931</v>
      </c>
      <c r="B3781" s="23" t="s">
        <v>81</v>
      </c>
      <c r="C3781" s="39">
        <v>7297</v>
      </c>
      <c r="D3781" s="24">
        <v>87.56</v>
      </c>
      <c r="E3781" s="24">
        <v>15.76</v>
      </c>
      <c r="F3781" s="23">
        <f>COUNTIFS(mdr_rate_cleaned!$A$2:$A$10,B3781,mdr_rate_cleaned!$B$2:$B$10,"&lt;"&amp;C3781,mdr_rate_cleaned!$F$2:$F$10,"&gt;="&amp;C3781)</f>
        <v>1</v>
      </c>
      <c r="G3781" s="40">
        <f>SUMIFS(mdr_rate_cleaned!$G$2:$G$10,mdr_rate_cleaned!$A$2:$A$10,B3781,mdr_rate_cleaned!$B$2:$B$10,"&lt;"&amp;C3781,mdr_rate_cleaned!$F$2:$F$10,"&gt;="&amp;C3781)</f>
        <v>1.2E-2</v>
      </c>
      <c r="H3781" s="24">
        <f t="shared" si="295"/>
        <v>87.56</v>
      </c>
      <c r="I3781" s="23" t="str">
        <f t="shared" si="296"/>
        <v>Match</v>
      </c>
      <c r="J3781" s="23" t="str">
        <f t="shared" si="297"/>
        <v>Match</v>
      </c>
      <c r="K3781" s="24">
        <f t="shared" si="298"/>
        <v>15.76</v>
      </c>
      <c r="L3781" s="24">
        <f t="shared" si="299"/>
        <v>0</v>
      </c>
    </row>
    <row r="3782" spans="1:12" ht="15" customHeight="1" x14ac:dyDescent="0.3">
      <c r="A3782" s="23" t="s">
        <v>16932</v>
      </c>
      <c r="B3782" s="23" t="s">
        <v>75</v>
      </c>
      <c r="C3782" s="39">
        <v>2098</v>
      </c>
      <c r="D3782" s="24">
        <v>6.29</v>
      </c>
      <c r="E3782" s="24">
        <v>1.1299999999999999</v>
      </c>
      <c r="F3782" s="23">
        <f>COUNTIFS(mdr_rate_cleaned!$A$2:$A$10,B3782,mdr_rate_cleaned!$B$2:$B$10,"&lt;"&amp;C3782,mdr_rate_cleaned!$F$2:$F$10,"&gt;="&amp;C3782)</f>
        <v>1</v>
      </c>
      <c r="G3782" s="40">
        <f>SUMIFS(mdr_rate_cleaned!$G$2:$G$10,mdr_rate_cleaned!$A$2:$A$10,B3782,mdr_rate_cleaned!$B$2:$B$10,"&lt;"&amp;C3782,mdr_rate_cleaned!$F$2:$F$10,"&gt;="&amp;C3782)</f>
        <v>3.0000000000000001E-3</v>
      </c>
      <c r="H3782" s="24">
        <f t="shared" si="295"/>
        <v>6.29</v>
      </c>
      <c r="I3782" s="23" t="str">
        <f t="shared" si="296"/>
        <v>Match</v>
      </c>
      <c r="J3782" s="23" t="str">
        <f t="shared" si="297"/>
        <v>Match</v>
      </c>
      <c r="K3782" s="24">
        <f t="shared" si="298"/>
        <v>1.1299999999999999</v>
      </c>
      <c r="L3782" s="24">
        <f t="shared" si="299"/>
        <v>0</v>
      </c>
    </row>
    <row r="3783" spans="1:12" ht="15" customHeight="1" x14ac:dyDescent="0.3">
      <c r="A3783" s="23" t="s">
        <v>16933</v>
      </c>
      <c r="B3783" s="23" t="s">
        <v>75</v>
      </c>
      <c r="C3783" s="39">
        <v>2499</v>
      </c>
      <c r="D3783" s="24">
        <v>7.5</v>
      </c>
      <c r="E3783" s="24">
        <v>1.35</v>
      </c>
      <c r="F3783" s="23">
        <f>COUNTIFS(mdr_rate_cleaned!$A$2:$A$10,B3783,mdr_rate_cleaned!$B$2:$B$10,"&lt;"&amp;C3783,mdr_rate_cleaned!$F$2:$F$10,"&gt;="&amp;C3783)</f>
        <v>1</v>
      </c>
      <c r="G3783" s="40">
        <f>SUMIFS(mdr_rate_cleaned!$G$2:$G$10,mdr_rate_cleaned!$A$2:$A$10,B3783,mdr_rate_cleaned!$B$2:$B$10,"&lt;"&amp;C3783,mdr_rate_cleaned!$F$2:$F$10,"&gt;="&amp;C3783)</f>
        <v>3.0000000000000001E-3</v>
      </c>
      <c r="H3783" s="24">
        <f t="shared" si="295"/>
        <v>7.5</v>
      </c>
      <c r="I3783" s="23" t="str">
        <f t="shared" si="296"/>
        <v>Match</v>
      </c>
      <c r="J3783" s="23" t="str">
        <f t="shared" si="297"/>
        <v>Match</v>
      </c>
      <c r="K3783" s="24">
        <f t="shared" si="298"/>
        <v>1.35</v>
      </c>
      <c r="L3783" s="24">
        <f t="shared" si="299"/>
        <v>0</v>
      </c>
    </row>
    <row r="3784" spans="1:12" ht="15" customHeight="1" x14ac:dyDescent="0.3">
      <c r="A3784" s="23" t="s">
        <v>16934</v>
      </c>
      <c r="B3784" s="23" t="s">
        <v>79</v>
      </c>
      <c r="C3784" s="39">
        <v>599</v>
      </c>
      <c r="D3784" s="24">
        <v>10.78</v>
      </c>
      <c r="E3784" s="24">
        <v>1.94</v>
      </c>
      <c r="F3784" s="23">
        <f>COUNTIFS(mdr_rate_cleaned!$A$2:$A$10,B3784,mdr_rate_cleaned!$B$2:$B$10,"&lt;"&amp;C3784,mdr_rate_cleaned!$F$2:$F$10,"&gt;="&amp;C3784)</f>
        <v>1</v>
      </c>
      <c r="G3784" s="40">
        <f>SUMIFS(mdr_rate_cleaned!$G$2:$G$10,mdr_rate_cleaned!$A$2:$A$10,B3784,mdr_rate_cleaned!$B$2:$B$10,"&lt;"&amp;C3784,mdr_rate_cleaned!$F$2:$F$10,"&gt;="&amp;C3784)</f>
        <v>1.8000000000000002E-2</v>
      </c>
      <c r="H3784" s="24">
        <f t="shared" si="295"/>
        <v>10.78</v>
      </c>
      <c r="I3784" s="23" t="str">
        <f t="shared" si="296"/>
        <v>Match</v>
      </c>
      <c r="J3784" s="23" t="str">
        <f t="shared" si="297"/>
        <v>Match</v>
      </c>
      <c r="K3784" s="24">
        <f t="shared" si="298"/>
        <v>1.94</v>
      </c>
      <c r="L3784" s="24">
        <f t="shared" si="299"/>
        <v>0</v>
      </c>
    </row>
    <row r="3785" spans="1:12" ht="15" customHeight="1" x14ac:dyDescent="0.3">
      <c r="A3785" s="23" t="s">
        <v>16935</v>
      </c>
      <c r="B3785" s="23" t="s">
        <v>79</v>
      </c>
      <c r="C3785" s="39">
        <v>4098</v>
      </c>
      <c r="D3785" s="24">
        <v>65.569999999999993</v>
      </c>
      <c r="E3785" s="24">
        <v>11.8</v>
      </c>
      <c r="F3785" s="23">
        <f>COUNTIFS(mdr_rate_cleaned!$A$2:$A$10,B3785,mdr_rate_cleaned!$B$2:$B$10,"&lt;"&amp;C3785,mdr_rate_cleaned!$F$2:$F$10,"&gt;="&amp;C3785)</f>
        <v>1</v>
      </c>
      <c r="G3785" s="40">
        <f>SUMIFS(mdr_rate_cleaned!$G$2:$G$10,mdr_rate_cleaned!$A$2:$A$10,B3785,mdr_rate_cleaned!$B$2:$B$10,"&lt;"&amp;C3785,mdr_rate_cleaned!$F$2:$F$10,"&gt;="&amp;C3785)</f>
        <v>1.6E-2</v>
      </c>
      <c r="H3785" s="24">
        <f t="shared" si="295"/>
        <v>65.569999999999993</v>
      </c>
      <c r="I3785" s="23" t="str">
        <f t="shared" si="296"/>
        <v>Match</v>
      </c>
      <c r="J3785" s="23" t="str">
        <f t="shared" si="297"/>
        <v>Match</v>
      </c>
      <c r="K3785" s="24">
        <f t="shared" si="298"/>
        <v>11.8</v>
      </c>
      <c r="L3785" s="24">
        <f t="shared" si="299"/>
        <v>0</v>
      </c>
    </row>
    <row r="3786" spans="1:12" ht="15" customHeight="1" x14ac:dyDescent="0.3">
      <c r="A3786" s="23" t="s">
        <v>16936</v>
      </c>
      <c r="B3786" s="23" t="s">
        <v>75</v>
      </c>
      <c r="C3786" s="39">
        <v>3297</v>
      </c>
      <c r="D3786" s="24">
        <v>9.89</v>
      </c>
      <c r="E3786" s="24">
        <v>1.78</v>
      </c>
      <c r="F3786" s="23">
        <f>COUNTIFS(mdr_rate_cleaned!$A$2:$A$10,B3786,mdr_rate_cleaned!$B$2:$B$10,"&lt;"&amp;C3786,mdr_rate_cleaned!$F$2:$F$10,"&gt;="&amp;C3786)</f>
        <v>1</v>
      </c>
      <c r="G3786" s="40">
        <f>SUMIFS(mdr_rate_cleaned!$G$2:$G$10,mdr_rate_cleaned!$A$2:$A$10,B3786,mdr_rate_cleaned!$B$2:$B$10,"&lt;"&amp;C3786,mdr_rate_cleaned!$F$2:$F$10,"&gt;="&amp;C3786)</f>
        <v>3.0000000000000001E-3</v>
      </c>
      <c r="H3786" s="24">
        <f t="shared" si="295"/>
        <v>9.89</v>
      </c>
      <c r="I3786" s="23" t="str">
        <f t="shared" si="296"/>
        <v>Match</v>
      </c>
      <c r="J3786" s="23" t="str">
        <f t="shared" si="297"/>
        <v>Match</v>
      </c>
      <c r="K3786" s="24">
        <f t="shared" si="298"/>
        <v>1.78</v>
      </c>
      <c r="L3786" s="24">
        <f t="shared" si="299"/>
        <v>0</v>
      </c>
    </row>
    <row r="3787" spans="1:12" ht="15" customHeight="1" x14ac:dyDescent="0.3">
      <c r="A3787" s="23" t="s">
        <v>16937</v>
      </c>
      <c r="B3787" s="23" t="s">
        <v>79</v>
      </c>
      <c r="C3787" s="39">
        <v>299</v>
      </c>
      <c r="D3787" s="24">
        <v>5.38</v>
      </c>
      <c r="E3787" s="24">
        <v>0.97</v>
      </c>
      <c r="F3787" s="23">
        <f>COUNTIFS(mdr_rate_cleaned!$A$2:$A$10,B3787,mdr_rate_cleaned!$B$2:$B$10,"&lt;"&amp;C3787,mdr_rate_cleaned!$F$2:$F$10,"&gt;="&amp;C3787)</f>
        <v>1</v>
      </c>
      <c r="G3787" s="40">
        <f>SUMIFS(mdr_rate_cleaned!$G$2:$G$10,mdr_rate_cleaned!$A$2:$A$10,B3787,mdr_rate_cleaned!$B$2:$B$10,"&lt;"&amp;C3787,mdr_rate_cleaned!$F$2:$F$10,"&gt;="&amp;C3787)</f>
        <v>1.8000000000000002E-2</v>
      </c>
      <c r="H3787" s="24">
        <f t="shared" si="295"/>
        <v>5.38</v>
      </c>
      <c r="I3787" s="23" t="str">
        <f t="shared" si="296"/>
        <v>Match</v>
      </c>
      <c r="J3787" s="23" t="str">
        <f t="shared" si="297"/>
        <v>Match</v>
      </c>
      <c r="K3787" s="24">
        <f t="shared" si="298"/>
        <v>0.97</v>
      </c>
      <c r="L3787" s="24">
        <f t="shared" si="299"/>
        <v>0</v>
      </c>
    </row>
    <row r="3788" spans="1:12" ht="15" customHeight="1" x14ac:dyDescent="0.3">
      <c r="A3788" s="23" t="s">
        <v>16938</v>
      </c>
      <c r="B3788" s="23" t="s">
        <v>75</v>
      </c>
      <c r="C3788" s="39">
        <v>499</v>
      </c>
      <c r="D3788" s="24">
        <v>0</v>
      </c>
      <c r="E3788" s="24">
        <v>0</v>
      </c>
      <c r="F3788" s="23">
        <f>COUNTIFS(mdr_rate_cleaned!$A$2:$A$10,B3788,mdr_rate_cleaned!$B$2:$B$10,"&lt;"&amp;C3788,mdr_rate_cleaned!$F$2:$F$10,"&gt;="&amp;C3788)</f>
        <v>1</v>
      </c>
      <c r="G3788" s="40">
        <f>SUMIFS(mdr_rate_cleaned!$G$2:$G$10,mdr_rate_cleaned!$A$2:$A$10,B3788,mdr_rate_cleaned!$B$2:$B$10,"&lt;"&amp;C3788,mdr_rate_cleaned!$F$2:$F$10,"&gt;="&amp;C3788)</f>
        <v>0</v>
      </c>
      <c r="H3788" s="24">
        <f t="shared" si="295"/>
        <v>0</v>
      </c>
      <c r="I3788" s="23" t="str">
        <f t="shared" si="296"/>
        <v>Match</v>
      </c>
      <c r="J3788" s="23" t="str">
        <f t="shared" si="297"/>
        <v>Match</v>
      </c>
      <c r="K3788" s="24">
        <f t="shared" si="298"/>
        <v>0</v>
      </c>
      <c r="L3788" s="24">
        <f t="shared" si="299"/>
        <v>0</v>
      </c>
    </row>
    <row r="3789" spans="1:12" ht="15" customHeight="1" x14ac:dyDescent="0.3">
      <c r="A3789" s="23" t="s">
        <v>16939</v>
      </c>
      <c r="B3789" s="23" t="s">
        <v>75</v>
      </c>
      <c r="C3789" s="39">
        <v>2999</v>
      </c>
      <c r="D3789" s="24">
        <v>9</v>
      </c>
      <c r="E3789" s="24">
        <v>1.62</v>
      </c>
      <c r="F3789" s="23">
        <f>COUNTIFS(mdr_rate_cleaned!$A$2:$A$10,B3789,mdr_rate_cleaned!$B$2:$B$10,"&lt;"&amp;C3789,mdr_rate_cleaned!$F$2:$F$10,"&gt;="&amp;C3789)</f>
        <v>1</v>
      </c>
      <c r="G3789" s="40">
        <f>SUMIFS(mdr_rate_cleaned!$G$2:$G$10,mdr_rate_cleaned!$A$2:$A$10,B3789,mdr_rate_cleaned!$B$2:$B$10,"&lt;"&amp;C3789,mdr_rate_cleaned!$F$2:$F$10,"&gt;="&amp;C3789)</f>
        <v>3.0000000000000001E-3</v>
      </c>
      <c r="H3789" s="24">
        <f t="shared" si="295"/>
        <v>9</v>
      </c>
      <c r="I3789" s="23" t="str">
        <f t="shared" si="296"/>
        <v>Match</v>
      </c>
      <c r="J3789" s="23" t="str">
        <f t="shared" si="297"/>
        <v>Match</v>
      </c>
      <c r="K3789" s="24">
        <f t="shared" si="298"/>
        <v>1.62</v>
      </c>
      <c r="L3789" s="24">
        <f t="shared" si="299"/>
        <v>0</v>
      </c>
    </row>
    <row r="3790" spans="1:12" ht="15" customHeight="1" x14ac:dyDescent="0.3">
      <c r="A3790" s="23" t="s">
        <v>16940</v>
      </c>
      <c r="B3790" s="23" t="s">
        <v>75</v>
      </c>
      <c r="C3790" s="39">
        <v>8598</v>
      </c>
      <c r="D3790" s="24">
        <v>25.79</v>
      </c>
      <c r="E3790" s="24">
        <v>4.6399999999999997</v>
      </c>
      <c r="F3790" s="23">
        <f>COUNTIFS(mdr_rate_cleaned!$A$2:$A$10,B3790,mdr_rate_cleaned!$B$2:$B$10,"&lt;"&amp;C3790,mdr_rate_cleaned!$F$2:$F$10,"&gt;="&amp;C3790)</f>
        <v>1</v>
      </c>
      <c r="G3790" s="40">
        <f>SUMIFS(mdr_rate_cleaned!$G$2:$G$10,mdr_rate_cleaned!$A$2:$A$10,B3790,mdr_rate_cleaned!$B$2:$B$10,"&lt;"&amp;C3790,mdr_rate_cleaned!$F$2:$F$10,"&gt;="&amp;C3790)</f>
        <v>3.0000000000000001E-3</v>
      </c>
      <c r="H3790" s="24">
        <f t="shared" si="295"/>
        <v>25.79</v>
      </c>
      <c r="I3790" s="23" t="str">
        <f t="shared" si="296"/>
        <v>Match</v>
      </c>
      <c r="J3790" s="23" t="str">
        <f t="shared" si="297"/>
        <v>Match</v>
      </c>
      <c r="K3790" s="24">
        <f t="shared" si="298"/>
        <v>4.6399999999999997</v>
      </c>
      <c r="L3790" s="24">
        <f t="shared" si="299"/>
        <v>0</v>
      </c>
    </row>
    <row r="3791" spans="1:12" ht="15" customHeight="1" x14ac:dyDescent="0.3">
      <c r="A3791" s="23" t="s">
        <v>16941</v>
      </c>
      <c r="B3791" s="23" t="s">
        <v>75</v>
      </c>
      <c r="C3791" s="39">
        <v>9998</v>
      </c>
      <c r="D3791" s="24">
        <v>29.99</v>
      </c>
      <c r="E3791" s="24">
        <v>5.4</v>
      </c>
      <c r="F3791" s="23">
        <f>COUNTIFS(mdr_rate_cleaned!$A$2:$A$10,B3791,mdr_rate_cleaned!$B$2:$B$10,"&lt;"&amp;C3791,mdr_rate_cleaned!$F$2:$F$10,"&gt;="&amp;C3791)</f>
        <v>1</v>
      </c>
      <c r="G3791" s="40">
        <f>SUMIFS(mdr_rate_cleaned!$G$2:$G$10,mdr_rate_cleaned!$A$2:$A$10,B3791,mdr_rate_cleaned!$B$2:$B$10,"&lt;"&amp;C3791,mdr_rate_cleaned!$F$2:$F$10,"&gt;="&amp;C3791)</f>
        <v>3.0000000000000001E-3</v>
      </c>
      <c r="H3791" s="24">
        <f t="shared" si="295"/>
        <v>29.99</v>
      </c>
      <c r="I3791" s="23" t="str">
        <f t="shared" si="296"/>
        <v>Match</v>
      </c>
      <c r="J3791" s="23" t="str">
        <f t="shared" si="297"/>
        <v>Match</v>
      </c>
      <c r="K3791" s="24">
        <f t="shared" si="298"/>
        <v>5.4</v>
      </c>
      <c r="L3791" s="24">
        <f t="shared" si="299"/>
        <v>0</v>
      </c>
    </row>
    <row r="3792" spans="1:12" ht="15" customHeight="1" x14ac:dyDescent="0.3">
      <c r="A3792" s="23" t="s">
        <v>16942</v>
      </c>
      <c r="B3792" s="23" t="s">
        <v>75</v>
      </c>
      <c r="C3792" s="39">
        <v>4999</v>
      </c>
      <c r="D3792" s="24">
        <v>15</v>
      </c>
      <c r="E3792" s="24">
        <v>2.7</v>
      </c>
      <c r="F3792" s="23">
        <f>COUNTIFS(mdr_rate_cleaned!$A$2:$A$10,B3792,mdr_rate_cleaned!$B$2:$B$10,"&lt;"&amp;C3792,mdr_rate_cleaned!$F$2:$F$10,"&gt;="&amp;C3792)</f>
        <v>1</v>
      </c>
      <c r="G3792" s="40">
        <f>SUMIFS(mdr_rate_cleaned!$G$2:$G$10,mdr_rate_cleaned!$A$2:$A$10,B3792,mdr_rate_cleaned!$B$2:$B$10,"&lt;"&amp;C3792,mdr_rate_cleaned!$F$2:$F$10,"&gt;="&amp;C3792)</f>
        <v>3.0000000000000001E-3</v>
      </c>
      <c r="H3792" s="24">
        <f t="shared" si="295"/>
        <v>15</v>
      </c>
      <c r="I3792" s="23" t="str">
        <f t="shared" si="296"/>
        <v>Match</v>
      </c>
      <c r="J3792" s="23" t="str">
        <f t="shared" si="297"/>
        <v>Match</v>
      </c>
      <c r="K3792" s="24">
        <f t="shared" si="298"/>
        <v>2.7</v>
      </c>
      <c r="L3792" s="24">
        <f t="shared" si="299"/>
        <v>0</v>
      </c>
    </row>
    <row r="3793" spans="1:12" ht="15" customHeight="1" x14ac:dyDescent="0.3">
      <c r="A3793" s="23" t="s">
        <v>16943</v>
      </c>
      <c r="B3793" s="23" t="s">
        <v>79</v>
      </c>
      <c r="C3793" s="39">
        <v>3798</v>
      </c>
      <c r="D3793" s="24">
        <v>60.77</v>
      </c>
      <c r="E3793" s="24">
        <v>10.94</v>
      </c>
      <c r="F3793" s="23">
        <f>COUNTIFS(mdr_rate_cleaned!$A$2:$A$10,B3793,mdr_rate_cleaned!$B$2:$B$10,"&lt;"&amp;C3793,mdr_rate_cleaned!$F$2:$F$10,"&gt;="&amp;C3793)</f>
        <v>1</v>
      </c>
      <c r="G3793" s="40">
        <f>SUMIFS(mdr_rate_cleaned!$G$2:$G$10,mdr_rate_cleaned!$A$2:$A$10,B3793,mdr_rate_cleaned!$B$2:$B$10,"&lt;"&amp;C3793,mdr_rate_cleaned!$F$2:$F$10,"&gt;="&amp;C3793)</f>
        <v>1.6E-2</v>
      </c>
      <c r="H3793" s="24">
        <f t="shared" si="295"/>
        <v>60.77</v>
      </c>
      <c r="I3793" s="23" t="str">
        <f t="shared" si="296"/>
        <v>Match</v>
      </c>
      <c r="J3793" s="23" t="str">
        <f t="shared" si="297"/>
        <v>Match</v>
      </c>
      <c r="K3793" s="24">
        <f t="shared" si="298"/>
        <v>10.94</v>
      </c>
      <c r="L3793" s="24">
        <f t="shared" si="299"/>
        <v>0</v>
      </c>
    </row>
    <row r="3794" spans="1:12" ht="15" customHeight="1" x14ac:dyDescent="0.3">
      <c r="A3794" s="23" t="s">
        <v>16945</v>
      </c>
      <c r="B3794" s="23" t="s">
        <v>75</v>
      </c>
      <c r="C3794" s="39">
        <v>1499</v>
      </c>
      <c r="D3794" s="24">
        <v>0</v>
      </c>
      <c r="E3794" s="24">
        <v>0</v>
      </c>
      <c r="F3794" s="23">
        <f>COUNTIFS(mdr_rate_cleaned!$A$2:$A$10,B3794,mdr_rate_cleaned!$B$2:$B$10,"&lt;"&amp;C3794,mdr_rate_cleaned!$F$2:$F$10,"&gt;="&amp;C3794)</f>
        <v>1</v>
      </c>
      <c r="G3794" s="40">
        <f>SUMIFS(mdr_rate_cleaned!$G$2:$G$10,mdr_rate_cleaned!$A$2:$A$10,B3794,mdr_rate_cleaned!$B$2:$B$10,"&lt;"&amp;C3794,mdr_rate_cleaned!$F$2:$F$10,"&gt;="&amp;C3794)</f>
        <v>0</v>
      </c>
      <c r="H3794" s="24">
        <f t="shared" si="295"/>
        <v>0</v>
      </c>
      <c r="I3794" s="23" t="str">
        <f t="shared" si="296"/>
        <v>Match</v>
      </c>
      <c r="J3794" s="23" t="str">
        <f t="shared" si="297"/>
        <v>Match</v>
      </c>
      <c r="K3794" s="24">
        <f t="shared" si="298"/>
        <v>0</v>
      </c>
      <c r="L3794" s="24">
        <f t="shared" si="299"/>
        <v>0</v>
      </c>
    </row>
    <row r="3795" spans="1:12" ht="15" customHeight="1" x14ac:dyDescent="0.3">
      <c r="A3795" s="23" t="s">
        <v>16947</v>
      </c>
      <c r="B3795" s="23" t="s">
        <v>79</v>
      </c>
      <c r="C3795" s="39">
        <v>999</v>
      </c>
      <c r="D3795" s="24">
        <v>17.98</v>
      </c>
      <c r="E3795" s="24">
        <v>3.24</v>
      </c>
      <c r="F3795" s="23">
        <f>COUNTIFS(mdr_rate_cleaned!$A$2:$A$10,B3795,mdr_rate_cleaned!$B$2:$B$10,"&lt;"&amp;C3795,mdr_rate_cleaned!$F$2:$F$10,"&gt;="&amp;C3795)</f>
        <v>1</v>
      </c>
      <c r="G3795" s="40">
        <f>SUMIFS(mdr_rate_cleaned!$G$2:$G$10,mdr_rate_cleaned!$A$2:$A$10,B3795,mdr_rate_cleaned!$B$2:$B$10,"&lt;"&amp;C3795,mdr_rate_cleaned!$F$2:$F$10,"&gt;="&amp;C3795)</f>
        <v>1.8000000000000002E-2</v>
      </c>
      <c r="H3795" s="24">
        <f t="shared" si="295"/>
        <v>17.98</v>
      </c>
      <c r="I3795" s="23" t="str">
        <f t="shared" si="296"/>
        <v>Match</v>
      </c>
      <c r="J3795" s="23" t="str">
        <f t="shared" si="297"/>
        <v>Match</v>
      </c>
      <c r="K3795" s="24">
        <f t="shared" si="298"/>
        <v>3.24</v>
      </c>
      <c r="L3795" s="24">
        <f t="shared" si="299"/>
        <v>0</v>
      </c>
    </row>
    <row r="3796" spans="1:12" ht="15" customHeight="1" x14ac:dyDescent="0.3">
      <c r="A3796" s="23" t="s">
        <v>16948</v>
      </c>
      <c r="B3796" s="23" t="s">
        <v>81</v>
      </c>
      <c r="C3796" s="39">
        <v>1299</v>
      </c>
      <c r="D3796" s="24">
        <v>19.489999999999998</v>
      </c>
      <c r="E3796" s="24">
        <v>3.51</v>
      </c>
      <c r="F3796" s="23">
        <f>COUNTIFS(mdr_rate_cleaned!$A$2:$A$10,B3796,mdr_rate_cleaned!$B$2:$B$10,"&lt;"&amp;C3796,mdr_rate_cleaned!$F$2:$F$10,"&gt;="&amp;C3796)</f>
        <v>1</v>
      </c>
      <c r="G3796" s="40">
        <f>SUMIFS(mdr_rate_cleaned!$G$2:$G$10,mdr_rate_cleaned!$A$2:$A$10,B3796,mdr_rate_cleaned!$B$2:$B$10,"&lt;"&amp;C3796,mdr_rate_cleaned!$F$2:$F$10,"&gt;="&amp;C3796)</f>
        <v>1.4999999999999999E-2</v>
      </c>
      <c r="H3796" s="24">
        <f t="shared" si="295"/>
        <v>19.489999999999998</v>
      </c>
      <c r="I3796" s="23" t="str">
        <f t="shared" si="296"/>
        <v>Match</v>
      </c>
      <c r="J3796" s="23" t="str">
        <f t="shared" si="297"/>
        <v>Match</v>
      </c>
      <c r="K3796" s="24">
        <f t="shared" si="298"/>
        <v>3.51</v>
      </c>
      <c r="L3796" s="24">
        <f t="shared" si="299"/>
        <v>0</v>
      </c>
    </row>
    <row r="3797" spans="1:12" ht="15" customHeight="1" x14ac:dyDescent="0.3">
      <c r="A3797" s="23" t="s">
        <v>16950</v>
      </c>
      <c r="B3797" s="23" t="s">
        <v>79</v>
      </c>
      <c r="C3797" s="39">
        <v>3098</v>
      </c>
      <c r="D3797" s="24">
        <v>49.57</v>
      </c>
      <c r="E3797" s="24">
        <v>8.92</v>
      </c>
      <c r="F3797" s="23">
        <f>COUNTIFS(mdr_rate_cleaned!$A$2:$A$10,B3797,mdr_rate_cleaned!$B$2:$B$10,"&lt;"&amp;C3797,mdr_rate_cleaned!$F$2:$F$10,"&gt;="&amp;C3797)</f>
        <v>1</v>
      </c>
      <c r="G3797" s="40">
        <f>SUMIFS(mdr_rate_cleaned!$G$2:$G$10,mdr_rate_cleaned!$A$2:$A$10,B3797,mdr_rate_cleaned!$B$2:$B$10,"&lt;"&amp;C3797,mdr_rate_cleaned!$F$2:$F$10,"&gt;="&amp;C3797)</f>
        <v>1.6E-2</v>
      </c>
      <c r="H3797" s="24">
        <f t="shared" si="295"/>
        <v>49.57</v>
      </c>
      <c r="I3797" s="23" t="str">
        <f t="shared" si="296"/>
        <v>Match</v>
      </c>
      <c r="J3797" s="23" t="str">
        <f t="shared" si="297"/>
        <v>Match</v>
      </c>
      <c r="K3797" s="24">
        <f t="shared" si="298"/>
        <v>8.92</v>
      </c>
      <c r="L3797" s="24">
        <f t="shared" si="299"/>
        <v>0</v>
      </c>
    </row>
    <row r="3798" spans="1:12" ht="15" customHeight="1" x14ac:dyDescent="0.3">
      <c r="A3798" s="23" t="s">
        <v>16951</v>
      </c>
      <c r="B3798" s="23" t="s">
        <v>75</v>
      </c>
      <c r="C3798" s="39">
        <v>10998</v>
      </c>
      <c r="D3798" s="24">
        <v>32.99</v>
      </c>
      <c r="E3798" s="24">
        <v>5.94</v>
      </c>
      <c r="F3798" s="23">
        <f>COUNTIFS(mdr_rate_cleaned!$A$2:$A$10,B3798,mdr_rate_cleaned!$B$2:$B$10,"&lt;"&amp;C3798,mdr_rate_cleaned!$F$2:$F$10,"&gt;="&amp;C3798)</f>
        <v>1</v>
      </c>
      <c r="G3798" s="40">
        <f>SUMIFS(mdr_rate_cleaned!$G$2:$G$10,mdr_rate_cleaned!$A$2:$A$10,B3798,mdr_rate_cleaned!$B$2:$B$10,"&lt;"&amp;C3798,mdr_rate_cleaned!$F$2:$F$10,"&gt;="&amp;C3798)</f>
        <v>3.0000000000000001E-3</v>
      </c>
      <c r="H3798" s="24">
        <f t="shared" si="295"/>
        <v>32.99</v>
      </c>
      <c r="I3798" s="23" t="str">
        <f t="shared" si="296"/>
        <v>Match</v>
      </c>
      <c r="J3798" s="23" t="str">
        <f t="shared" si="297"/>
        <v>Match</v>
      </c>
      <c r="K3798" s="24">
        <f t="shared" si="298"/>
        <v>5.94</v>
      </c>
      <c r="L3798" s="24">
        <f t="shared" si="299"/>
        <v>0</v>
      </c>
    </row>
    <row r="3799" spans="1:12" ht="15" customHeight="1" x14ac:dyDescent="0.3">
      <c r="A3799" s="23" t="s">
        <v>16953</v>
      </c>
      <c r="B3799" s="23" t="s">
        <v>79</v>
      </c>
      <c r="C3799" s="39">
        <v>1598</v>
      </c>
      <c r="D3799" s="24">
        <v>28.76</v>
      </c>
      <c r="E3799" s="24">
        <v>5.18</v>
      </c>
      <c r="F3799" s="23">
        <f>COUNTIFS(mdr_rate_cleaned!$A$2:$A$10,B3799,mdr_rate_cleaned!$B$2:$B$10,"&lt;"&amp;C3799,mdr_rate_cleaned!$F$2:$F$10,"&gt;="&amp;C3799)</f>
        <v>1</v>
      </c>
      <c r="G3799" s="40">
        <f>SUMIFS(mdr_rate_cleaned!$G$2:$G$10,mdr_rate_cleaned!$A$2:$A$10,B3799,mdr_rate_cleaned!$B$2:$B$10,"&lt;"&amp;C3799,mdr_rate_cleaned!$F$2:$F$10,"&gt;="&amp;C3799)</f>
        <v>1.8000000000000002E-2</v>
      </c>
      <c r="H3799" s="24">
        <f t="shared" si="295"/>
        <v>28.76</v>
      </c>
      <c r="I3799" s="23" t="str">
        <f t="shared" si="296"/>
        <v>Match</v>
      </c>
      <c r="J3799" s="23" t="str">
        <f t="shared" si="297"/>
        <v>Match</v>
      </c>
      <c r="K3799" s="24">
        <f t="shared" si="298"/>
        <v>5.18</v>
      </c>
      <c r="L3799" s="24">
        <f t="shared" si="299"/>
        <v>0</v>
      </c>
    </row>
    <row r="3800" spans="1:12" ht="15" customHeight="1" x14ac:dyDescent="0.3">
      <c r="A3800" s="23" t="s">
        <v>16955</v>
      </c>
      <c r="B3800" s="23" t="s">
        <v>75</v>
      </c>
      <c r="C3800" s="39">
        <v>7999</v>
      </c>
      <c r="D3800" s="24">
        <v>24</v>
      </c>
      <c r="E3800" s="24">
        <v>4.32</v>
      </c>
      <c r="F3800" s="23">
        <f>COUNTIFS(mdr_rate_cleaned!$A$2:$A$10,B3800,mdr_rate_cleaned!$B$2:$B$10,"&lt;"&amp;C3800,mdr_rate_cleaned!$F$2:$F$10,"&gt;="&amp;C3800)</f>
        <v>1</v>
      </c>
      <c r="G3800" s="40">
        <f>SUMIFS(mdr_rate_cleaned!$G$2:$G$10,mdr_rate_cleaned!$A$2:$A$10,B3800,mdr_rate_cleaned!$B$2:$B$10,"&lt;"&amp;C3800,mdr_rate_cleaned!$F$2:$F$10,"&gt;="&amp;C3800)</f>
        <v>3.0000000000000001E-3</v>
      </c>
      <c r="H3800" s="24">
        <f t="shared" si="295"/>
        <v>24</v>
      </c>
      <c r="I3800" s="23" t="str">
        <f t="shared" si="296"/>
        <v>Match</v>
      </c>
      <c r="J3800" s="23" t="str">
        <f t="shared" si="297"/>
        <v>Match</v>
      </c>
      <c r="K3800" s="24">
        <f t="shared" si="298"/>
        <v>4.32</v>
      </c>
      <c r="L3800" s="24">
        <f t="shared" si="299"/>
        <v>0</v>
      </c>
    </row>
    <row r="3801" spans="1:12" ht="15" customHeight="1" x14ac:dyDescent="0.3">
      <c r="A3801" s="23" t="s">
        <v>16956</v>
      </c>
      <c r="B3801" s="23" t="s">
        <v>75</v>
      </c>
      <c r="C3801" s="39">
        <v>4999</v>
      </c>
      <c r="D3801" s="24">
        <v>15</v>
      </c>
      <c r="E3801" s="24">
        <v>2.7</v>
      </c>
      <c r="F3801" s="23">
        <f>COUNTIFS(mdr_rate_cleaned!$A$2:$A$10,B3801,mdr_rate_cleaned!$B$2:$B$10,"&lt;"&amp;C3801,mdr_rate_cleaned!$F$2:$F$10,"&gt;="&amp;C3801)</f>
        <v>1</v>
      </c>
      <c r="G3801" s="40">
        <f>SUMIFS(mdr_rate_cleaned!$G$2:$G$10,mdr_rate_cleaned!$A$2:$A$10,B3801,mdr_rate_cleaned!$B$2:$B$10,"&lt;"&amp;C3801,mdr_rate_cleaned!$F$2:$F$10,"&gt;="&amp;C3801)</f>
        <v>3.0000000000000001E-3</v>
      </c>
      <c r="H3801" s="24">
        <f t="shared" si="295"/>
        <v>15</v>
      </c>
      <c r="I3801" s="23" t="str">
        <f t="shared" si="296"/>
        <v>Match</v>
      </c>
      <c r="J3801" s="23" t="str">
        <f t="shared" si="297"/>
        <v>Match</v>
      </c>
      <c r="K3801" s="24">
        <f t="shared" si="298"/>
        <v>2.7</v>
      </c>
      <c r="L3801" s="24">
        <f t="shared" si="299"/>
        <v>0</v>
      </c>
    </row>
    <row r="3802" spans="1:12" ht="15" customHeight="1" x14ac:dyDescent="0.3">
      <c r="A3802" s="23" t="s">
        <v>16957</v>
      </c>
      <c r="B3802" s="23" t="s">
        <v>75</v>
      </c>
      <c r="C3802" s="39">
        <v>7999</v>
      </c>
      <c r="D3802" s="24">
        <v>24</v>
      </c>
      <c r="E3802" s="24">
        <v>4.32</v>
      </c>
      <c r="F3802" s="23">
        <f>COUNTIFS(mdr_rate_cleaned!$A$2:$A$10,B3802,mdr_rate_cleaned!$B$2:$B$10,"&lt;"&amp;C3802,mdr_rate_cleaned!$F$2:$F$10,"&gt;="&amp;C3802)</f>
        <v>1</v>
      </c>
      <c r="G3802" s="40">
        <f>SUMIFS(mdr_rate_cleaned!$G$2:$G$10,mdr_rate_cleaned!$A$2:$A$10,B3802,mdr_rate_cleaned!$B$2:$B$10,"&lt;"&amp;C3802,mdr_rate_cleaned!$F$2:$F$10,"&gt;="&amp;C3802)</f>
        <v>3.0000000000000001E-3</v>
      </c>
      <c r="H3802" s="24">
        <f t="shared" si="295"/>
        <v>24</v>
      </c>
      <c r="I3802" s="23" t="str">
        <f t="shared" si="296"/>
        <v>Match</v>
      </c>
      <c r="J3802" s="23" t="str">
        <f t="shared" si="297"/>
        <v>Match</v>
      </c>
      <c r="K3802" s="24">
        <f t="shared" si="298"/>
        <v>4.32</v>
      </c>
      <c r="L3802" s="24">
        <f t="shared" si="299"/>
        <v>0</v>
      </c>
    </row>
    <row r="3803" spans="1:12" ht="15" customHeight="1" x14ac:dyDescent="0.3">
      <c r="A3803" s="23" t="s">
        <v>16958</v>
      </c>
      <c r="B3803" s="23" t="s">
        <v>81</v>
      </c>
      <c r="C3803" s="39">
        <v>10998</v>
      </c>
      <c r="D3803" s="24">
        <v>98.98</v>
      </c>
      <c r="E3803" s="24">
        <v>17.82</v>
      </c>
      <c r="F3803" s="23">
        <f>COUNTIFS(mdr_rate_cleaned!$A$2:$A$10,B3803,mdr_rate_cleaned!$B$2:$B$10,"&lt;"&amp;C3803,mdr_rate_cleaned!$F$2:$F$10,"&gt;="&amp;C3803)</f>
        <v>1</v>
      </c>
      <c r="G3803" s="40">
        <f>SUMIFS(mdr_rate_cleaned!$G$2:$G$10,mdr_rate_cleaned!$A$2:$A$10,B3803,mdr_rate_cleaned!$B$2:$B$10,"&lt;"&amp;C3803,mdr_rate_cleaned!$F$2:$F$10,"&gt;="&amp;C3803)</f>
        <v>9.0000000000000011E-3</v>
      </c>
      <c r="H3803" s="24">
        <f t="shared" si="295"/>
        <v>98.98</v>
      </c>
      <c r="I3803" s="23" t="str">
        <f t="shared" si="296"/>
        <v>Match</v>
      </c>
      <c r="J3803" s="23" t="str">
        <f t="shared" si="297"/>
        <v>Match</v>
      </c>
      <c r="K3803" s="24">
        <f t="shared" si="298"/>
        <v>17.82</v>
      </c>
      <c r="L3803" s="24">
        <f t="shared" si="299"/>
        <v>0</v>
      </c>
    </row>
    <row r="3804" spans="1:12" ht="15" customHeight="1" x14ac:dyDescent="0.3">
      <c r="A3804" s="23" t="s">
        <v>16959</v>
      </c>
      <c r="B3804" s="23" t="s">
        <v>75</v>
      </c>
      <c r="C3804" s="39">
        <v>8497</v>
      </c>
      <c r="D3804" s="24">
        <v>25.49</v>
      </c>
      <c r="E3804" s="24">
        <v>4.59</v>
      </c>
      <c r="F3804" s="23">
        <f>COUNTIFS(mdr_rate_cleaned!$A$2:$A$10,B3804,mdr_rate_cleaned!$B$2:$B$10,"&lt;"&amp;C3804,mdr_rate_cleaned!$F$2:$F$10,"&gt;="&amp;C3804)</f>
        <v>1</v>
      </c>
      <c r="G3804" s="40">
        <f>SUMIFS(mdr_rate_cleaned!$G$2:$G$10,mdr_rate_cleaned!$A$2:$A$10,B3804,mdr_rate_cleaned!$B$2:$B$10,"&lt;"&amp;C3804,mdr_rate_cleaned!$F$2:$F$10,"&gt;="&amp;C3804)</f>
        <v>3.0000000000000001E-3</v>
      </c>
      <c r="H3804" s="24">
        <f t="shared" si="295"/>
        <v>25.49</v>
      </c>
      <c r="I3804" s="23" t="str">
        <f t="shared" si="296"/>
        <v>Match</v>
      </c>
      <c r="J3804" s="23" t="str">
        <f t="shared" si="297"/>
        <v>Match</v>
      </c>
      <c r="K3804" s="24">
        <f t="shared" si="298"/>
        <v>4.59</v>
      </c>
      <c r="L3804" s="24">
        <f t="shared" si="299"/>
        <v>0</v>
      </c>
    </row>
    <row r="3805" spans="1:12" ht="15" customHeight="1" x14ac:dyDescent="0.3">
      <c r="A3805" s="23" t="s">
        <v>16960</v>
      </c>
      <c r="B3805" s="23" t="s">
        <v>79</v>
      </c>
      <c r="C3805" s="39">
        <v>8498</v>
      </c>
      <c r="D3805" s="24">
        <v>135.97</v>
      </c>
      <c r="E3805" s="24">
        <v>24.47</v>
      </c>
      <c r="F3805" s="23">
        <f>COUNTIFS(mdr_rate_cleaned!$A$2:$A$10,B3805,mdr_rate_cleaned!$B$2:$B$10,"&lt;"&amp;C3805,mdr_rate_cleaned!$F$2:$F$10,"&gt;="&amp;C3805)</f>
        <v>1</v>
      </c>
      <c r="G3805" s="40">
        <f>SUMIFS(mdr_rate_cleaned!$G$2:$G$10,mdr_rate_cleaned!$A$2:$A$10,B3805,mdr_rate_cleaned!$B$2:$B$10,"&lt;"&amp;C3805,mdr_rate_cleaned!$F$2:$F$10,"&gt;="&amp;C3805)</f>
        <v>1.6E-2</v>
      </c>
      <c r="H3805" s="24">
        <f t="shared" si="295"/>
        <v>135.97</v>
      </c>
      <c r="I3805" s="23" t="str">
        <f t="shared" si="296"/>
        <v>Match</v>
      </c>
      <c r="J3805" s="23" t="str">
        <f t="shared" si="297"/>
        <v>Match</v>
      </c>
      <c r="K3805" s="24">
        <f t="shared" si="298"/>
        <v>24.47</v>
      </c>
      <c r="L3805" s="24">
        <f t="shared" si="299"/>
        <v>0</v>
      </c>
    </row>
    <row r="3806" spans="1:12" ht="15" customHeight="1" x14ac:dyDescent="0.3">
      <c r="A3806" s="23" t="s">
        <v>16961</v>
      </c>
      <c r="B3806" s="23" t="s">
        <v>75</v>
      </c>
      <c r="C3806" s="39">
        <v>299</v>
      </c>
      <c r="D3806" s="24">
        <v>0</v>
      </c>
      <c r="E3806" s="24">
        <v>0</v>
      </c>
      <c r="F3806" s="23">
        <f>COUNTIFS(mdr_rate_cleaned!$A$2:$A$10,B3806,mdr_rate_cleaned!$B$2:$B$10,"&lt;"&amp;C3806,mdr_rate_cleaned!$F$2:$F$10,"&gt;="&amp;C3806)</f>
        <v>1</v>
      </c>
      <c r="G3806" s="40">
        <f>SUMIFS(mdr_rate_cleaned!$G$2:$G$10,mdr_rate_cleaned!$A$2:$A$10,B3806,mdr_rate_cleaned!$B$2:$B$10,"&lt;"&amp;C3806,mdr_rate_cleaned!$F$2:$F$10,"&gt;="&amp;C3806)</f>
        <v>0</v>
      </c>
      <c r="H3806" s="24">
        <f t="shared" si="295"/>
        <v>0</v>
      </c>
      <c r="I3806" s="23" t="str">
        <f t="shared" si="296"/>
        <v>Match</v>
      </c>
      <c r="J3806" s="23" t="str">
        <f t="shared" si="297"/>
        <v>Match</v>
      </c>
      <c r="K3806" s="24">
        <f t="shared" si="298"/>
        <v>0</v>
      </c>
      <c r="L3806" s="24">
        <f t="shared" si="299"/>
        <v>0</v>
      </c>
    </row>
    <row r="3807" spans="1:12" ht="15" customHeight="1" x14ac:dyDescent="0.3">
      <c r="A3807" s="23" t="s">
        <v>16963</v>
      </c>
      <c r="B3807" s="23" t="s">
        <v>79</v>
      </c>
      <c r="C3807" s="39">
        <v>3897</v>
      </c>
      <c r="D3807" s="24">
        <v>62.35</v>
      </c>
      <c r="E3807" s="24">
        <v>11.22</v>
      </c>
      <c r="F3807" s="23">
        <f>COUNTIFS(mdr_rate_cleaned!$A$2:$A$10,B3807,mdr_rate_cleaned!$B$2:$B$10,"&lt;"&amp;C3807,mdr_rate_cleaned!$F$2:$F$10,"&gt;="&amp;C3807)</f>
        <v>1</v>
      </c>
      <c r="G3807" s="40">
        <f>SUMIFS(mdr_rate_cleaned!$G$2:$G$10,mdr_rate_cleaned!$A$2:$A$10,B3807,mdr_rate_cleaned!$B$2:$B$10,"&lt;"&amp;C3807,mdr_rate_cleaned!$F$2:$F$10,"&gt;="&amp;C3807)</f>
        <v>1.6E-2</v>
      </c>
      <c r="H3807" s="24">
        <f t="shared" si="295"/>
        <v>62.35</v>
      </c>
      <c r="I3807" s="23" t="str">
        <f t="shared" si="296"/>
        <v>Match</v>
      </c>
      <c r="J3807" s="23" t="str">
        <f t="shared" si="297"/>
        <v>Match</v>
      </c>
      <c r="K3807" s="24">
        <f t="shared" si="298"/>
        <v>11.22</v>
      </c>
      <c r="L3807" s="24">
        <f t="shared" si="299"/>
        <v>0</v>
      </c>
    </row>
    <row r="3808" spans="1:12" ht="15" customHeight="1" x14ac:dyDescent="0.3">
      <c r="A3808" s="23" t="s">
        <v>16964</v>
      </c>
      <c r="B3808" s="23" t="s">
        <v>75</v>
      </c>
      <c r="C3808" s="39">
        <v>1799</v>
      </c>
      <c r="D3808" s="24">
        <v>0</v>
      </c>
      <c r="E3808" s="24">
        <v>0</v>
      </c>
      <c r="F3808" s="23">
        <f>COUNTIFS(mdr_rate_cleaned!$A$2:$A$10,B3808,mdr_rate_cleaned!$B$2:$B$10,"&lt;"&amp;C3808,mdr_rate_cleaned!$F$2:$F$10,"&gt;="&amp;C3808)</f>
        <v>1</v>
      </c>
      <c r="G3808" s="40">
        <f>SUMIFS(mdr_rate_cleaned!$G$2:$G$10,mdr_rate_cleaned!$A$2:$A$10,B3808,mdr_rate_cleaned!$B$2:$B$10,"&lt;"&amp;C3808,mdr_rate_cleaned!$F$2:$F$10,"&gt;="&amp;C3808)</f>
        <v>0</v>
      </c>
      <c r="H3808" s="24">
        <f t="shared" si="295"/>
        <v>0</v>
      </c>
      <c r="I3808" s="23" t="str">
        <f t="shared" si="296"/>
        <v>Match</v>
      </c>
      <c r="J3808" s="23" t="str">
        <f t="shared" si="297"/>
        <v>Match</v>
      </c>
      <c r="K3808" s="24">
        <f t="shared" si="298"/>
        <v>0</v>
      </c>
      <c r="L3808" s="24">
        <f t="shared" si="299"/>
        <v>0</v>
      </c>
    </row>
    <row r="3809" spans="1:12" ht="15" customHeight="1" x14ac:dyDescent="0.3">
      <c r="A3809" s="23" t="s">
        <v>16965</v>
      </c>
      <c r="B3809" s="23" t="s">
        <v>75</v>
      </c>
      <c r="C3809" s="39">
        <v>349</v>
      </c>
      <c r="D3809" s="24">
        <v>0</v>
      </c>
      <c r="E3809" s="24">
        <v>0</v>
      </c>
      <c r="F3809" s="23">
        <f>COUNTIFS(mdr_rate_cleaned!$A$2:$A$10,B3809,mdr_rate_cleaned!$B$2:$B$10,"&lt;"&amp;C3809,mdr_rate_cleaned!$F$2:$F$10,"&gt;="&amp;C3809)</f>
        <v>1</v>
      </c>
      <c r="G3809" s="40">
        <f>SUMIFS(mdr_rate_cleaned!$G$2:$G$10,mdr_rate_cleaned!$A$2:$A$10,B3809,mdr_rate_cleaned!$B$2:$B$10,"&lt;"&amp;C3809,mdr_rate_cleaned!$F$2:$F$10,"&gt;="&amp;C3809)</f>
        <v>0</v>
      </c>
      <c r="H3809" s="24">
        <f t="shared" si="295"/>
        <v>0</v>
      </c>
      <c r="I3809" s="23" t="str">
        <f t="shared" si="296"/>
        <v>Match</v>
      </c>
      <c r="J3809" s="23" t="str">
        <f t="shared" si="297"/>
        <v>Match</v>
      </c>
      <c r="K3809" s="24">
        <f t="shared" si="298"/>
        <v>0</v>
      </c>
      <c r="L3809" s="24">
        <f t="shared" si="299"/>
        <v>0</v>
      </c>
    </row>
    <row r="3810" spans="1:12" ht="15" customHeight="1" x14ac:dyDescent="0.3">
      <c r="A3810" s="23" t="s">
        <v>16966</v>
      </c>
      <c r="B3810" s="23" t="s">
        <v>75</v>
      </c>
      <c r="C3810" s="39">
        <v>4298</v>
      </c>
      <c r="D3810" s="24">
        <v>12.89</v>
      </c>
      <c r="E3810" s="24">
        <v>2.3199999999999998</v>
      </c>
      <c r="F3810" s="23">
        <f>COUNTIFS(mdr_rate_cleaned!$A$2:$A$10,B3810,mdr_rate_cleaned!$B$2:$B$10,"&lt;"&amp;C3810,mdr_rate_cleaned!$F$2:$F$10,"&gt;="&amp;C3810)</f>
        <v>1</v>
      </c>
      <c r="G3810" s="40">
        <f>SUMIFS(mdr_rate_cleaned!$G$2:$G$10,mdr_rate_cleaned!$A$2:$A$10,B3810,mdr_rate_cleaned!$B$2:$B$10,"&lt;"&amp;C3810,mdr_rate_cleaned!$F$2:$F$10,"&gt;="&amp;C3810)</f>
        <v>3.0000000000000001E-3</v>
      </c>
      <c r="H3810" s="24">
        <f t="shared" si="295"/>
        <v>12.89</v>
      </c>
      <c r="I3810" s="23" t="str">
        <f t="shared" si="296"/>
        <v>Match</v>
      </c>
      <c r="J3810" s="23" t="str">
        <f t="shared" si="297"/>
        <v>Match</v>
      </c>
      <c r="K3810" s="24">
        <f t="shared" si="298"/>
        <v>2.3199999999999998</v>
      </c>
      <c r="L3810" s="24">
        <f t="shared" si="299"/>
        <v>0</v>
      </c>
    </row>
    <row r="3811" spans="1:12" ht="15" customHeight="1" x14ac:dyDescent="0.3">
      <c r="A3811" s="23" t="s">
        <v>16968</v>
      </c>
      <c r="B3811" s="23" t="s">
        <v>79</v>
      </c>
      <c r="C3811" s="39">
        <v>299</v>
      </c>
      <c r="D3811" s="24">
        <v>5.38</v>
      </c>
      <c r="E3811" s="24">
        <v>0.97</v>
      </c>
      <c r="F3811" s="23">
        <f>COUNTIFS(mdr_rate_cleaned!$A$2:$A$10,B3811,mdr_rate_cleaned!$B$2:$B$10,"&lt;"&amp;C3811,mdr_rate_cleaned!$F$2:$F$10,"&gt;="&amp;C3811)</f>
        <v>1</v>
      </c>
      <c r="G3811" s="40">
        <f>SUMIFS(mdr_rate_cleaned!$G$2:$G$10,mdr_rate_cleaned!$A$2:$A$10,B3811,mdr_rate_cleaned!$B$2:$B$10,"&lt;"&amp;C3811,mdr_rate_cleaned!$F$2:$F$10,"&gt;="&amp;C3811)</f>
        <v>1.8000000000000002E-2</v>
      </c>
      <c r="H3811" s="24">
        <f t="shared" si="295"/>
        <v>5.38</v>
      </c>
      <c r="I3811" s="23" t="str">
        <f t="shared" si="296"/>
        <v>Match</v>
      </c>
      <c r="J3811" s="23" t="str">
        <f t="shared" si="297"/>
        <v>Match</v>
      </c>
      <c r="K3811" s="24">
        <f t="shared" si="298"/>
        <v>0.97</v>
      </c>
      <c r="L3811" s="24">
        <f t="shared" si="299"/>
        <v>0</v>
      </c>
    </row>
    <row r="3812" spans="1:12" ht="15" customHeight="1" x14ac:dyDescent="0.3">
      <c r="A3812" s="23" t="s">
        <v>16970</v>
      </c>
      <c r="B3812" s="23" t="s">
        <v>81</v>
      </c>
      <c r="C3812" s="39">
        <v>8998</v>
      </c>
      <c r="D3812" s="24">
        <v>107.98</v>
      </c>
      <c r="E3812" s="24">
        <v>19.440000000000001</v>
      </c>
      <c r="F3812" s="23">
        <f>COUNTIFS(mdr_rate_cleaned!$A$2:$A$10,B3812,mdr_rate_cleaned!$B$2:$B$10,"&lt;"&amp;C3812,mdr_rate_cleaned!$F$2:$F$10,"&gt;="&amp;C3812)</f>
        <v>1</v>
      </c>
      <c r="G3812" s="40">
        <f>SUMIFS(mdr_rate_cleaned!$G$2:$G$10,mdr_rate_cleaned!$A$2:$A$10,B3812,mdr_rate_cleaned!$B$2:$B$10,"&lt;"&amp;C3812,mdr_rate_cleaned!$F$2:$F$10,"&gt;="&amp;C3812)</f>
        <v>1.2E-2</v>
      </c>
      <c r="H3812" s="24">
        <f t="shared" si="295"/>
        <v>107.98</v>
      </c>
      <c r="I3812" s="23" t="str">
        <f t="shared" si="296"/>
        <v>Match</v>
      </c>
      <c r="J3812" s="23" t="str">
        <f t="shared" si="297"/>
        <v>Match</v>
      </c>
      <c r="K3812" s="24">
        <f t="shared" si="298"/>
        <v>19.440000000000001</v>
      </c>
      <c r="L3812" s="24">
        <f t="shared" si="299"/>
        <v>0</v>
      </c>
    </row>
    <row r="3813" spans="1:12" ht="15" customHeight="1" x14ac:dyDescent="0.3">
      <c r="A3813" s="23" t="s">
        <v>16971</v>
      </c>
      <c r="B3813" s="23" t="s">
        <v>75</v>
      </c>
      <c r="C3813" s="39">
        <v>4999</v>
      </c>
      <c r="D3813" s="24">
        <v>15</v>
      </c>
      <c r="E3813" s="24">
        <v>2.7</v>
      </c>
      <c r="F3813" s="23">
        <f>COUNTIFS(mdr_rate_cleaned!$A$2:$A$10,B3813,mdr_rate_cleaned!$B$2:$B$10,"&lt;"&amp;C3813,mdr_rate_cleaned!$F$2:$F$10,"&gt;="&amp;C3813)</f>
        <v>1</v>
      </c>
      <c r="G3813" s="40">
        <f>SUMIFS(mdr_rate_cleaned!$G$2:$G$10,mdr_rate_cleaned!$A$2:$A$10,B3813,mdr_rate_cleaned!$B$2:$B$10,"&lt;"&amp;C3813,mdr_rate_cleaned!$F$2:$F$10,"&gt;="&amp;C3813)</f>
        <v>3.0000000000000001E-3</v>
      </c>
      <c r="H3813" s="24">
        <f t="shared" si="295"/>
        <v>15</v>
      </c>
      <c r="I3813" s="23" t="str">
        <f t="shared" si="296"/>
        <v>Match</v>
      </c>
      <c r="J3813" s="23" t="str">
        <f t="shared" si="297"/>
        <v>Match</v>
      </c>
      <c r="K3813" s="24">
        <f t="shared" si="298"/>
        <v>2.7</v>
      </c>
      <c r="L3813" s="24">
        <f t="shared" si="299"/>
        <v>0</v>
      </c>
    </row>
    <row r="3814" spans="1:12" ht="15" customHeight="1" x14ac:dyDescent="0.3">
      <c r="A3814" s="23" t="s">
        <v>16972</v>
      </c>
      <c r="B3814" s="23" t="s">
        <v>79</v>
      </c>
      <c r="C3814" s="39">
        <v>848</v>
      </c>
      <c r="D3814" s="24">
        <v>15.26</v>
      </c>
      <c r="E3814" s="24">
        <v>2.75</v>
      </c>
      <c r="F3814" s="23">
        <f>COUNTIFS(mdr_rate_cleaned!$A$2:$A$10,B3814,mdr_rate_cleaned!$B$2:$B$10,"&lt;"&amp;C3814,mdr_rate_cleaned!$F$2:$F$10,"&gt;="&amp;C3814)</f>
        <v>1</v>
      </c>
      <c r="G3814" s="40">
        <f>SUMIFS(mdr_rate_cleaned!$G$2:$G$10,mdr_rate_cleaned!$A$2:$A$10,B3814,mdr_rate_cleaned!$B$2:$B$10,"&lt;"&amp;C3814,mdr_rate_cleaned!$F$2:$F$10,"&gt;="&amp;C3814)</f>
        <v>1.8000000000000002E-2</v>
      </c>
      <c r="H3814" s="24">
        <f t="shared" si="295"/>
        <v>15.26</v>
      </c>
      <c r="I3814" s="23" t="str">
        <f t="shared" si="296"/>
        <v>Match</v>
      </c>
      <c r="J3814" s="23" t="str">
        <f t="shared" si="297"/>
        <v>Match</v>
      </c>
      <c r="K3814" s="24">
        <f t="shared" si="298"/>
        <v>2.75</v>
      </c>
      <c r="L3814" s="24">
        <f t="shared" si="299"/>
        <v>0</v>
      </c>
    </row>
    <row r="3815" spans="1:12" ht="15" customHeight="1" x14ac:dyDescent="0.3">
      <c r="A3815" s="23" t="s">
        <v>16973</v>
      </c>
      <c r="B3815" s="23" t="s">
        <v>75</v>
      </c>
      <c r="C3815" s="39">
        <v>2098</v>
      </c>
      <c r="D3815" s="24">
        <v>6.29</v>
      </c>
      <c r="E3815" s="24">
        <v>1.1299999999999999</v>
      </c>
      <c r="F3815" s="23">
        <f>COUNTIFS(mdr_rate_cleaned!$A$2:$A$10,B3815,mdr_rate_cleaned!$B$2:$B$10,"&lt;"&amp;C3815,mdr_rate_cleaned!$F$2:$F$10,"&gt;="&amp;C3815)</f>
        <v>1</v>
      </c>
      <c r="G3815" s="40">
        <f>SUMIFS(mdr_rate_cleaned!$G$2:$G$10,mdr_rate_cleaned!$A$2:$A$10,B3815,mdr_rate_cleaned!$B$2:$B$10,"&lt;"&amp;C3815,mdr_rate_cleaned!$F$2:$F$10,"&gt;="&amp;C3815)</f>
        <v>3.0000000000000001E-3</v>
      </c>
      <c r="H3815" s="24">
        <f t="shared" si="295"/>
        <v>6.29</v>
      </c>
      <c r="I3815" s="23" t="str">
        <f t="shared" si="296"/>
        <v>Match</v>
      </c>
      <c r="J3815" s="23" t="str">
        <f t="shared" si="297"/>
        <v>Match</v>
      </c>
      <c r="K3815" s="24">
        <f t="shared" si="298"/>
        <v>1.1299999999999999</v>
      </c>
      <c r="L3815" s="24">
        <f t="shared" si="299"/>
        <v>0</v>
      </c>
    </row>
    <row r="3816" spans="1:12" ht="15" customHeight="1" x14ac:dyDescent="0.3">
      <c r="A3816" s="23" t="s">
        <v>16974</v>
      </c>
      <c r="B3816" s="23" t="s">
        <v>75</v>
      </c>
      <c r="C3816" s="39">
        <v>11498</v>
      </c>
      <c r="D3816" s="24">
        <v>34.49</v>
      </c>
      <c r="E3816" s="24">
        <v>6.21</v>
      </c>
      <c r="F3816" s="23">
        <f>COUNTIFS(mdr_rate_cleaned!$A$2:$A$10,B3816,mdr_rate_cleaned!$B$2:$B$10,"&lt;"&amp;C3816,mdr_rate_cleaned!$F$2:$F$10,"&gt;="&amp;C3816)</f>
        <v>1</v>
      </c>
      <c r="G3816" s="40">
        <f>SUMIFS(mdr_rate_cleaned!$G$2:$G$10,mdr_rate_cleaned!$A$2:$A$10,B3816,mdr_rate_cleaned!$B$2:$B$10,"&lt;"&amp;C3816,mdr_rate_cleaned!$F$2:$F$10,"&gt;="&amp;C3816)</f>
        <v>3.0000000000000001E-3</v>
      </c>
      <c r="H3816" s="24">
        <f t="shared" si="295"/>
        <v>34.49</v>
      </c>
      <c r="I3816" s="23" t="str">
        <f t="shared" si="296"/>
        <v>Match</v>
      </c>
      <c r="J3816" s="23" t="str">
        <f t="shared" si="297"/>
        <v>Match</v>
      </c>
      <c r="K3816" s="24">
        <f t="shared" si="298"/>
        <v>6.21</v>
      </c>
      <c r="L3816" s="24">
        <f t="shared" si="299"/>
        <v>0</v>
      </c>
    </row>
    <row r="3817" spans="1:12" ht="15" customHeight="1" x14ac:dyDescent="0.3">
      <c r="A3817" s="23" t="s">
        <v>16975</v>
      </c>
      <c r="B3817" s="23" t="s">
        <v>79</v>
      </c>
      <c r="C3817" s="39">
        <v>2798</v>
      </c>
      <c r="D3817" s="24">
        <v>44.77</v>
      </c>
      <c r="E3817" s="24">
        <v>8.06</v>
      </c>
      <c r="F3817" s="23">
        <f>COUNTIFS(mdr_rate_cleaned!$A$2:$A$10,B3817,mdr_rate_cleaned!$B$2:$B$10,"&lt;"&amp;C3817,mdr_rate_cleaned!$F$2:$F$10,"&gt;="&amp;C3817)</f>
        <v>1</v>
      </c>
      <c r="G3817" s="40">
        <f>SUMIFS(mdr_rate_cleaned!$G$2:$G$10,mdr_rate_cleaned!$A$2:$A$10,B3817,mdr_rate_cleaned!$B$2:$B$10,"&lt;"&amp;C3817,mdr_rate_cleaned!$F$2:$F$10,"&gt;="&amp;C3817)</f>
        <v>1.6E-2</v>
      </c>
      <c r="H3817" s="24">
        <f t="shared" si="295"/>
        <v>44.77</v>
      </c>
      <c r="I3817" s="23" t="str">
        <f t="shared" si="296"/>
        <v>Match</v>
      </c>
      <c r="J3817" s="23" t="str">
        <f t="shared" si="297"/>
        <v>Match</v>
      </c>
      <c r="K3817" s="24">
        <f t="shared" si="298"/>
        <v>8.06</v>
      </c>
      <c r="L3817" s="24">
        <f t="shared" si="299"/>
        <v>0</v>
      </c>
    </row>
    <row r="3818" spans="1:12" ht="15" customHeight="1" x14ac:dyDescent="0.3">
      <c r="A3818" s="23" t="s">
        <v>16976</v>
      </c>
      <c r="B3818" s="23" t="s">
        <v>79</v>
      </c>
      <c r="C3818" s="39">
        <v>8998</v>
      </c>
      <c r="D3818" s="24">
        <v>143.97</v>
      </c>
      <c r="E3818" s="24">
        <v>25.91</v>
      </c>
      <c r="F3818" s="23">
        <f>COUNTIFS(mdr_rate_cleaned!$A$2:$A$10,B3818,mdr_rate_cleaned!$B$2:$B$10,"&lt;"&amp;C3818,mdr_rate_cleaned!$F$2:$F$10,"&gt;="&amp;C3818)</f>
        <v>1</v>
      </c>
      <c r="G3818" s="40">
        <f>SUMIFS(mdr_rate_cleaned!$G$2:$G$10,mdr_rate_cleaned!$A$2:$A$10,B3818,mdr_rate_cleaned!$B$2:$B$10,"&lt;"&amp;C3818,mdr_rate_cleaned!$F$2:$F$10,"&gt;="&amp;C3818)</f>
        <v>1.6E-2</v>
      </c>
      <c r="H3818" s="24">
        <f t="shared" si="295"/>
        <v>143.97</v>
      </c>
      <c r="I3818" s="23" t="str">
        <f t="shared" si="296"/>
        <v>Match</v>
      </c>
      <c r="J3818" s="23" t="str">
        <f t="shared" si="297"/>
        <v>Match</v>
      </c>
      <c r="K3818" s="24">
        <f t="shared" si="298"/>
        <v>25.91</v>
      </c>
      <c r="L3818" s="24">
        <f t="shared" si="299"/>
        <v>0</v>
      </c>
    </row>
    <row r="3819" spans="1:12" ht="15" customHeight="1" x14ac:dyDescent="0.3">
      <c r="A3819" s="23" t="s">
        <v>16977</v>
      </c>
      <c r="B3819" s="23" t="s">
        <v>75</v>
      </c>
      <c r="C3819" s="39">
        <v>9298</v>
      </c>
      <c r="D3819" s="24">
        <v>27.89</v>
      </c>
      <c r="E3819" s="24">
        <v>5.0199999999999996</v>
      </c>
      <c r="F3819" s="23">
        <f>COUNTIFS(mdr_rate_cleaned!$A$2:$A$10,B3819,mdr_rate_cleaned!$B$2:$B$10,"&lt;"&amp;C3819,mdr_rate_cleaned!$F$2:$F$10,"&gt;="&amp;C3819)</f>
        <v>1</v>
      </c>
      <c r="G3819" s="40">
        <f>SUMIFS(mdr_rate_cleaned!$G$2:$G$10,mdr_rate_cleaned!$A$2:$A$10,B3819,mdr_rate_cleaned!$B$2:$B$10,"&lt;"&amp;C3819,mdr_rate_cleaned!$F$2:$F$10,"&gt;="&amp;C3819)</f>
        <v>3.0000000000000001E-3</v>
      </c>
      <c r="H3819" s="24">
        <f t="shared" si="295"/>
        <v>27.89</v>
      </c>
      <c r="I3819" s="23" t="str">
        <f t="shared" si="296"/>
        <v>Match</v>
      </c>
      <c r="J3819" s="23" t="str">
        <f t="shared" si="297"/>
        <v>Match</v>
      </c>
      <c r="K3819" s="24">
        <f t="shared" si="298"/>
        <v>5.0199999999999996</v>
      </c>
      <c r="L3819" s="24">
        <f t="shared" si="299"/>
        <v>0</v>
      </c>
    </row>
    <row r="3820" spans="1:12" ht="15" customHeight="1" x14ac:dyDescent="0.3">
      <c r="A3820" s="23" t="s">
        <v>16978</v>
      </c>
      <c r="B3820" s="23" t="s">
        <v>75</v>
      </c>
      <c r="C3820" s="39">
        <v>1499</v>
      </c>
      <c r="D3820" s="24">
        <v>0</v>
      </c>
      <c r="E3820" s="24">
        <v>0</v>
      </c>
      <c r="F3820" s="23">
        <f>COUNTIFS(mdr_rate_cleaned!$A$2:$A$10,B3820,mdr_rate_cleaned!$B$2:$B$10,"&lt;"&amp;C3820,mdr_rate_cleaned!$F$2:$F$10,"&gt;="&amp;C3820)</f>
        <v>1</v>
      </c>
      <c r="G3820" s="40">
        <f>SUMIFS(mdr_rate_cleaned!$G$2:$G$10,mdr_rate_cleaned!$A$2:$A$10,B3820,mdr_rate_cleaned!$B$2:$B$10,"&lt;"&amp;C3820,mdr_rate_cleaned!$F$2:$F$10,"&gt;="&amp;C3820)</f>
        <v>0</v>
      </c>
      <c r="H3820" s="24">
        <f t="shared" si="295"/>
        <v>0</v>
      </c>
      <c r="I3820" s="23" t="str">
        <f t="shared" si="296"/>
        <v>Match</v>
      </c>
      <c r="J3820" s="23" t="str">
        <f t="shared" si="297"/>
        <v>Match</v>
      </c>
      <c r="K3820" s="24">
        <f t="shared" si="298"/>
        <v>0</v>
      </c>
      <c r="L3820" s="24">
        <f t="shared" si="299"/>
        <v>0</v>
      </c>
    </row>
    <row r="3821" spans="1:12" ht="15" customHeight="1" x14ac:dyDescent="0.3">
      <c r="A3821" s="23" t="s">
        <v>16979</v>
      </c>
      <c r="B3821" s="23" t="s">
        <v>79</v>
      </c>
      <c r="C3821" s="39">
        <v>1598</v>
      </c>
      <c r="D3821" s="24">
        <v>28.76</v>
      </c>
      <c r="E3821" s="24">
        <v>5.18</v>
      </c>
      <c r="F3821" s="23">
        <f>COUNTIFS(mdr_rate_cleaned!$A$2:$A$10,B3821,mdr_rate_cleaned!$B$2:$B$10,"&lt;"&amp;C3821,mdr_rate_cleaned!$F$2:$F$10,"&gt;="&amp;C3821)</f>
        <v>1</v>
      </c>
      <c r="G3821" s="40">
        <f>SUMIFS(mdr_rate_cleaned!$G$2:$G$10,mdr_rate_cleaned!$A$2:$A$10,B3821,mdr_rate_cleaned!$B$2:$B$10,"&lt;"&amp;C3821,mdr_rate_cleaned!$F$2:$F$10,"&gt;="&amp;C3821)</f>
        <v>1.8000000000000002E-2</v>
      </c>
      <c r="H3821" s="24">
        <f t="shared" si="295"/>
        <v>28.76</v>
      </c>
      <c r="I3821" s="23" t="str">
        <f t="shared" si="296"/>
        <v>Match</v>
      </c>
      <c r="J3821" s="23" t="str">
        <f t="shared" si="297"/>
        <v>Match</v>
      </c>
      <c r="K3821" s="24">
        <f t="shared" si="298"/>
        <v>5.18</v>
      </c>
      <c r="L3821" s="24">
        <f t="shared" si="299"/>
        <v>0</v>
      </c>
    </row>
    <row r="3822" spans="1:12" ht="15" customHeight="1" x14ac:dyDescent="0.3">
      <c r="A3822" s="23" t="s">
        <v>16980</v>
      </c>
      <c r="B3822" s="23" t="s">
        <v>75</v>
      </c>
      <c r="C3822" s="39">
        <v>7999</v>
      </c>
      <c r="D3822" s="24">
        <v>24</v>
      </c>
      <c r="E3822" s="24">
        <v>4.32</v>
      </c>
      <c r="F3822" s="23">
        <f>COUNTIFS(mdr_rate_cleaned!$A$2:$A$10,B3822,mdr_rate_cleaned!$B$2:$B$10,"&lt;"&amp;C3822,mdr_rate_cleaned!$F$2:$F$10,"&gt;="&amp;C3822)</f>
        <v>1</v>
      </c>
      <c r="G3822" s="40">
        <f>SUMIFS(mdr_rate_cleaned!$G$2:$G$10,mdr_rate_cleaned!$A$2:$A$10,B3822,mdr_rate_cleaned!$B$2:$B$10,"&lt;"&amp;C3822,mdr_rate_cleaned!$F$2:$F$10,"&gt;="&amp;C3822)</f>
        <v>3.0000000000000001E-3</v>
      </c>
      <c r="H3822" s="24">
        <f t="shared" si="295"/>
        <v>24</v>
      </c>
      <c r="I3822" s="23" t="str">
        <f t="shared" si="296"/>
        <v>Match</v>
      </c>
      <c r="J3822" s="23" t="str">
        <f t="shared" si="297"/>
        <v>Match</v>
      </c>
      <c r="K3822" s="24">
        <f t="shared" si="298"/>
        <v>4.32</v>
      </c>
      <c r="L3822" s="24">
        <f t="shared" si="299"/>
        <v>0</v>
      </c>
    </row>
    <row r="3823" spans="1:12" ht="15" customHeight="1" x14ac:dyDescent="0.3">
      <c r="A3823" s="23" t="s">
        <v>16981</v>
      </c>
      <c r="B3823" s="23" t="s">
        <v>75</v>
      </c>
      <c r="C3823" s="39">
        <v>1647</v>
      </c>
      <c r="D3823" s="24">
        <v>0</v>
      </c>
      <c r="E3823" s="24">
        <v>0</v>
      </c>
      <c r="F3823" s="23">
        <f>COUNTIFS(mdr_rate_cleaned!$A$2:$A$10,B3823,mdr_rate_cleaned!$B$2:$B$10,"&lt;"&amp;C3823,mdr_rate_cleaned!$F$2:$F$10,"&gt;="&amp;C3823)</f>
        <v>1</v>
      </c>
      <c r="G3823" s="40">
        <f>SUMIFS(mdr_rate_cleaned!$G$2:$G$10,mdr_rate_cleaned!$A$2:$A$10,B3823,mdr_rate_cleaned!$B$2:$B$10,"&lt;"&amp;C3823,mdr_rate_cleaned!$F$2:$F$10,"&gt;="&amp;C3823)</f>
        <v>0</v>
      </c>
      <c r="H3823" s="24">
        <f t="shared" si="295"/>
        <v>0</v>
      </c>
      <c r="I3823" s="23" t="str">
        <f t="shared" si="296"/>
        <v>Match</v>
      </c>
      <c r="J3823" s="23" t="str">
        <f t="shared" si="297"/>
        <v>Match</v>
      </c>
      <c r="K3823" s="24">
        <f t="shared" si="298"/>
        <v>0</v>
      </c>
      <c r="L3823" s="24">
        <f t="shared" si="299"/>
        <v>0</v>
      </c>
    </row>
    <row r="3824" spans="1:12" ht="15" customHeight="1" x14ac:dyDescent="0.3">
      <c r="A3824" s="23" t="s">
        <v>16982</v>
      </c>
      <c r="B3824" s="23" t="s">
        <v>75</v>
      </c>
      <c r="C3824" s="39">
        <v>2797</v>
      </c>
      <c r="D3824" s="24">
        <v>8.39</v>
      </c>
      <c r="E3824" s="24">
        <v>1.51</v>
      </c>
      <c r="F3824" s="23">
        <f>COUNTIFS(mdr_rate_cleaned!$A$2:$A$10,B3824,mdr_rate_cleaned!$B$2:$B$10,"&lt;"&amp;C3824,mdr_rate_cleaned!$F$2:$F$10,"&gt;="&amp;C3824)</f>
        <v>1</v>
      </c>
      <c r="G3824" s="40">
        <f>SUMIFS(mdr_rate_cleaned!$G$2:$G$10,mdr_rate_cleaned!$A$2:$A$10,B3824,mdr_rate_cleaned!$B$2:$B$10,"&lt;"&amp;C3824,mdr_rate_cleaned!$F$2:$F$10,"&gt;="&amp;C3824)</f>
        <v>3.0000000000000001E-3</v>
      </c>
      <c r="H3824" s="24">
        <f t="shared" si="295"/>
        <v>8.39</v>
      </c>
      <c r="I3824" s="23" t="str">
        <f t="shared" si="296"/>
        <v>Match</v>
      </c>
      <c r="J3824" s="23" t="str">
        <f t="shared" si="297"/>
        <v>Match</v>
      </c>
      <c r="K3824" s="24">
        <f t="shared" si="298"/>
        <v>1.51</v>
      </c>
      <c r="L3824" s="24">
        <f t="shared" si="299"/>
        <v>0</v>
      </c>
    </row>
    <row r="3825" spans="1:12" ht="15" customHeight="1" x14ac:dyDescent="0.3">
      <c r="A3825" s="23" t="s">
        <v>16983</v>
      </c>
      <c r="B3825" s="23" t="s">
        <v>75</v>
      </c>
      <c r="C3825" s="39">
        <v>1499</v>
      </c>
      <c r="D3825" s="24">
        <v>0</v>
      </c>
      <c r="E3825" s="24">
        <v>0</v>
      </c>
      <c r="F3825" s="23">
        <f>COUNTIFS(mdr_rate_cleaned!$A$2:$A$10,B3825,mdr_rate_cleaned!$B$2:$B$10,"&lt;"&amp;C3825,mdr_rate_cleaned!$F$2:$F$10,"&gt;="&amp;C3825)</f>
        <v>1</v>
      </c>
      <c r="G3825" s="40">
        <f>SUMIFS(mdr_rate_cleaned!$G$2:$G$10,mdr_rate_cleaned!$A$2:$A$10,B3825,mdr_rate_cleaned!$B$2:$B$10,"&lt;"&amp;C3825,mdr_rate_cleaned!$F$2:$F$10,"&gt;="&amp;C3825)</f>
        <v>0</v>
      </c>
      <c r="H3825" s="24">
        <f t="shared" si="295"/>
        <v>0</v>
      </c>
      <c r="I3825" s="23" t="str">
        <f t="shared" si="296"/>
        <v>Match</v>
      </c>
      <c r="J3825" s="23" t="str">
        <f t="shared" si="297"/>
        <v>Match</v>
      </c>
      <c r="K3825" s="24">
        <f t="shared" si="298"/>
        <v>0</v>
      </c>
      <c r="L3825" s="24">
        <f t="shared" si="299"/>
        <v>0</v>
      </c>
    </row>
    <row r="3826" spans="1:12" ht="15" customHeight="1" x14ac:dyDescent="0.3">
      <c r="A3826" s="23" t="s">
        <v>16984</v>
      </c>
      <c r="B3826" s="23" t="s">
        <v>75</v>
      </c>
      <c r="C3826" s="39">
        <v>1499</v>
      </c>
      <c r="D3826" s="24">
        <v>0</v>
      </c>
      <c r="E3826" s="24">
        <v>0</v>
      </c>
      <c r="F3826" s="23">
        <f>COUNTIFS(mdr_rate_cleaned!$A$2:$A$10,B3826,mdr_rate_cleaned!$B$2:$B$10,"&lt;"&amp;C3826,mdr_rate_cleaned!$F$2:$F$10,"&gt;="&amp;C3826)</f>
        <v>1</v>
      </c>
      <c r="G3826" s="40">
        <f>SUMIFS(mdr_rate_cleaned!$G$2:$G$10,mdr_rate_cleaned!$A$2:$A$10,B3826,mdr_rate_cleaned!$B$2:$B$10,"&lt;"&amp;C3826,mdr_rate_cleaned!$F$2:$F$10,"&gt;="&amp;C3826)</f>
        <v>0</v>
      </c>
      <c r="H3826" s="24">
        <f t="shared" si="295"/>
        <v>0</v>
      </c>
      <c r="I3826" s="23" t="str">
        <f t="shared" si="296"/>
        <v>Match</v>
      </c>
      <c r="J3826" s="23" t="str">
        <f t="shared" si="297"/>
        <v>Match</v>
      </c>
      <c r="K3826" s="24">
        <f t="shared" si="298"/>
        <v>0</v>
      </c>
      <c r="L3826" s="24">
        <f t="shared" si="299"/>
        <v>0</v>
      </c>
    </row>
    <row r="3827" spans="1:12" ht="15" customHeight="1" x14ac:dyDescent="0.3">
      <c r="A3827" s="23" t="s">
        <v>16986</v>
      </c>
      <c r="B3827" s="23" t="s">
        <v>75</v>
      </c>
      <c r="C3827" s="39">
        <v>8597</v>
      </c>
      <c r="D3827" s="24">
        <v>25.79</v>
      </c>
      <c r="E3827" s="24">
        <v>4.6399999999999997</v>
      </c>
      <c r="F3827" s="23">
        <f>COUNTIFS(mdr_rate_cleaned!$A$2:$A$10,B3827,mdr_rate_cleaned!$B$2:$B$10,"&lt;"&amp;C3827,mdr_rate_cleaned!$F$2:$F$10,"&gt;="&amp;C3827)</f>
        <v>1</v>
      </c>
      <c r="G3827" s="40">
        <f>SUMIFS(mdr_rate_cleaned!$G$2:$G$10,mdr_rate_cleaned!$A$2:$A$10,B3827,mdr_rate_cleaned!$B$2:$B$10,"&lt;"&amp;C3827,mdr_rate_cleaned!$F$2:$F$10,"&gt;="&amp;C3827)</f>
        <v>3.0000000000000001E-3</v>
      </c>
      <c r="H3827" s="24">
        <f t="shared" si="295"/>
        <v>25.79</v>
      </c>
      <c r="I3827" s="23" t="str">
        <f t="shared" si="296"/>
        <v>Match</v>
      </c>
      <c r="J3827" s="23" t="str">
        <f t="shared" si="297"/>
        <v>Match</v>
      </c>
      <c r="K3827" s="24">
        <f t="shared" si="298"/>
        <v>4.6399999999999997</v>
      </c>
      <c r="L3827" s="24">
        <f t="shared" si="299"/>
        <v>0</v>
      </c>
    </row>
    <row r="3828" spans="1:12" ht="15" customHeight="1" x14ac:dyDescent="0.3">
      <c r="A3828" s="23" t="s">
        <v>16987</v>
      </c>
      <c r="B3828" s="23" t="s">
        <v>75</v>
      </c>
      <c r="C3828" s="39">
        <v>1299</v>
      </c>
      <c r="D3828" s="24">
        <v>0</v>
      </c>
      <c r="E3828" s="24">
        <v>0</v>
      </c>
      <c r="F3828" s="23">
        <f>COUNTIFS(mdr_rate_cleaned!$A$2:$A$10,B3828,mdr_rate_cleaned!$B$2:$B$10,"&lt;"&amp;C3828,mdr_rate_cleaned!$F$2:$F$10,"&gt;="&amp;C3828)</f>
        <v>1</v>
      </c>
      <c r="G3828" s="40">
        <f>SUMIFS(mdr_rate_cleaned!$G$2:$G$10,mdr_rate_cleaned!$A$2:$A$10,B3828,mdr_rate_cleaned!$B$2:$B$10,"&lt;"&amp;C3828,mdr_rate_cleaned!$F$2:$F$10,"&gt;="&amp;C3828)</f>
        <v>0</v>
      </c>
      <c r="H3828" s="24">
        <f t="shared" si="295"/>
        <v>0</v>
      </c>
      <c r="I3828" s="23" t="str">
        <f t="shared" si="296"/>
        <v>Match</v>
      </c>
      <c r="J3828" s="23" t="str">
        <f t="shared" si="297"/>
        <v>Match</v>
      </c>
      <c r="K3828" s="24">
        <f t="shared" si="298"/>
        <v>0</v>
      </c>
      <c r="L3828" s="24">
        <f t="shared" si="299"/>
        <v>0</v>
      </c>
    </row>
    <row r="3829" spans="1:12" ht="15" customHeight="1" x14ac:dyDescent="0.3">
      <c r="A3829" s="23" t="s">
        <v>16988</v>
      </c>
      <c r="B3829" s="23" t="s">
        <v>79</v>
      </c>
      <c r="C3829" s="39">
        <v>2297</v>
      </c>
      <c r="D3829" s="24">
        <v>36.75</v>
      </c>
      <c r="E3829" s="24">
        <v>6.62</v>
      </c>
      <c r="F3829" s="23">
        <f>COUNTIFS(mdr_rate_cleaned!$A$2:$A$10,B3829,mdr_rate_cleaned!$B$2:$B$10,"&lt;"&amp;C3829,mdr_rate_cleaned!$F$2:$F$10,"&gt;="&amp;C3829)</f>
        <v>1</v>
      </c>
      <c r="G3829" s="40">
        <f>SUMIFS(mdr_rate_cleaned!$G$2:$G$10,mdr_rate_cleaned!$A$2:$A$10,B3829,mdr_rate_cleaned!$B$2:$B$10,"&lt;"&amp;C3829,mdr_rate_cleaned!$F$2:$F$10,"&gt;="&amp;C3829)</f>
        <v>1.6E-2</v>
      </c>
      <c r="H3829" s="24">
        <f t="shared" si="295"/>
        <v>36.75</v>
      </c>
      <c r="I3829" s="23" t="str">
        <f t="shared" si="296"/>
        <v>Match</v>
      </c>
      <c r="J3829" s="23" t="str">
        <f t="shared" si="297"/>
        <v>Match</v>
      </c>
      <c r="K3829" s="24">
        <f t="shared" si="298"/>
        <v>6.62</v>
      </c>
      <c r="L3829" s="24">
        <f t="shared" si="299"/>
        <v>0</v>
      </c>
    </row>
    <row r="3830" spans="1:12" ht="15" customHeight="1" x14ac:dyDescent="0.3">
      <c r="A3830" s="23" t="s">
        <v>16990</v>
      </c>
      <c r="B3830" s="23" t="s">
        <v>81</v>
      </c>
      <c r="C3830" s="39">
        <v>1598</v>
      </c>
      <c r="D3830" s="24">
        <v>23.97</v>
      </c>
      <c r="E3830" s="24">
        <v>4.3099999999999996</v>
      </c>
      <c r="F3830" s="23">
        <f>COUNTIFS(mdr_rate_cleaned!$A$2:$A$10,B3830,mdr_rate_cleaned!$B$2:$B$10,"&lt;"&amp;C3830,mdr_rate_cleaned!$F$2:$F$10,"&gt;="&amp;C3830)</f>
        <v>1</v>
      </c>
      <c r="G3830" s="40">
        <f>SUMIFS(mdr_rate_cleaned!$G$2:$G$10,mdr_rate_cleaned!$A$2:$A$10,B3830,mdr_rate_cleaned!$B$2:$B$10,"&lt;"&amp;C3830,mdr_rate_cleaned!$F$2:$F$10,"&gt;="&amp;C3830)</f>
        <v>1.4999999999999999E-2</v>
      </c>
      <c r="H3830" s="24">
        <f t="shared" si="295"/>
        <v>23.97</v>
      </c>
      <c r="I3830" s="23" t="str">
        <f t="shared" si="296"/>
        <v>Match</v>
      </c>
      <c r="J3830" s="23" t="str">
        <f t="shared" si="297"/>
        <v>Match</v>
      </c>
      <c r="K3830" s="24">
        <f t="shared" si="298"/>
        <v>4.3099999999999996</v>
      </c>
      <c r="L3830" s="24">
        <f t="shared" si="299"/>
        <v>0</v>
      </c>
    </row>
    <row r="3831" spans="1:12" ht="15" customHeight="1" x14ac:dyDescent="0.3">
      <c r="A3831" s="23" t="s">
        <v>16992</v>
      </c>
      <c r="B3831" s="23" t="s">
        <v>79</v>
      </c>
      <c r="C3831" s="39">
        <v>1799</v>
      </c>
      <c r="D3831" s="24">
        <v>32.380000000000003</v>
      </c>
      <c r="E3831" s="24">
        <v>5.83</v>
      </c>
      <c r="F3831" s="23">
        <f>COUNTIFS(mdr_rate_cleaned!$A$2:$A$10,B3831,mdr_rate_cleaned!$B$2:$B$10,"&lt;"&amp;C3831,mdr_rate_cleaned!$F$2:$F$10,"&gt;="&amp;C3831)</f>
        <v>1</v>
      </c>
      <c r="G3831" s="40">
        <f>SUMIFS(mdr_rate_cleaned!$G$2:$G$10,mdr_rate_cleaned!$A$2:$A$10,B3831,mdr_rate_cleaned!$B$2:$B$10,"&lt;"&amp;C3831,mdr_rate_cleaned!$F$2:$F$10,"&gt;="&amp;C3831)</f>
        <v>1.8000000000000002E-2</v>
      </c>
      <c r="H3831" s="24">
        <f t="shared" si="295"/>
        <v>32.380000000000003</v>
      </c>
      <c r="I3831" s="23" t="str">
        <f t="shared" si="296"/>
        <v>Match</v>
      </c>
      <c r="J3831" s="23" t="str">
        <f t="shared" si="297"/>
        <v>Match</v>
      </c>
      <c r="K3831" s="24">
        <f t="shared" si="298"/>
        <v>5.83</v>
      </c>
      <c r="L3831" s="24">
        <f t="shared" si="299"/>
        <v>0</v>
      </c>
    </row>
    <row r="3832" spans="1:12" ht="15" customHeight="1" x14ac:dyDescent="0.3">
      <c r="A3832" s="23" t="s">
        <v>16993</v>
      </c>
      <c r="B3832" s="23" t="s">
        <v>75</v>
      </c>
      <c r="C3832" s="39">
        <v>5298</v>
      </c>
      <c r="D3832" s="24">
        <v>15.89</v>
      </c>
      <c r="E3832" s="24">
        <v>2.86</v>
      </c>
      <c r="F3832" s="23">
        <f>COUNTIFS(mdr_rate_cleaned!$A$2:$A$10,B3832,mdr_rate_cleaned!$B$2:$B$10,"&lt;"&amp;C3832,mdr_rate_cleaned!$F$2:$F$10,"&gt;="&amp;C3832)</f>
        <v>1</v>
      </c>
      <c r="G3832" s="40">
        <f>SUMIFS(mdr_rate_cleaned!$G$2:$G$10,mdr_rate_cleaned!$A$2:$A$10,B3832,mdr_rate_cleaned!$B$2:$B$10,"&lt;"&amp;C3832,mdr_rate_cleaned!$F$2:$F$10,"&gt;="&amp;C3832)</f>
        <v>3.0000000000000001E-3</v>
      </c>
      <c r="H3832" s="24">
        <f t="shared" si="295"/>
        <v>15.89</v>
      </c>
      <c r="I3832" s="23" t="str">
        <f t="shared" si="296"/>
        <v>Match</v>
      </c>
      <c r="J3832" s="23" t="str">
        <f t="shared" si="297"/>
        <v>Match</v>
      </c>
      <c r="K3832" s="24">
        <f t="shared" si="298"/>
        <v>2.86</v>
      </c>
      <c r="L3832" s="24">
        <f t="shared" si="299"/>
        <v>0</v>
      </c>
    </row>
    <row r="3833" spans="1:12" ht="15" customHeight="1" x14ac:dyDescent="0.3">
      <c r="A3833" s="23" t="s">
        <v>16994</v>
      </c>
      <c r="B3833" s="23" t="s">
        <v>81</v>
      </c>
      <c r="C3833" s="39">
        <v>2298</v>
      </c>
      <c r="D3833" s="24">
        <v>27.58</v>
      </c>
      <c r="E3833" s="24">
        <v>4.96</v>
      </c>
      <c r="F3833" s="23">
        <f>COUNTIFS(mdr_rate_cleaned!$A$2:$A$10,B3833,mdr_rate_cleaned!$B$2:$B$10,"&lt;"&amp;C3833,mdr_rate_cleaned!$F$2:$F$10,"&gt;="&amp;C3833)</f>
        <v>1</v>
      </c>
      <c r="G3833" s="40">
        <f>SUMIFS(mdr_rate_cleaned!$G$2:$G$10,mdr_rate_cleaned!$A$2:$A$10,B3833,mdr_rate_cleaned!$B$2:$B$10,"&lt;"&amp;C3833,mdr_rate_cleaned!$F$2:$F$10,"&gt;="&amp;C3833)</f>
        <v>1.2E-2</v>
      </c>
      <c r="H3833" s="24">
        <f t="shared" si="295"/>
        <v>27.58</v>
      </c>
      <c r="I3833" s="23" t="str">
        <f t="shared" si="296"/>
        <v>Match</v>
      </c>
      <c r="J3833" s="23" t="str">
        <f t="shared" si="297"/>
        <v>Match</v>
      </c>
      <c r="K3833" s="24">
        <f t="shared" si="298"/>
        <v>4.96</v>
      </c>
      <c r="L3833" s="24">
        <f t="shared" si="299"/>
        <v>0</v>
      </c>
    </row>
    <row r="3834" spans="1:12" ht="15" customHeight="1" x14ac:dyDescent="0.3">
      <c r="A3834" s="23" t="s">
        <v>16995</v>
      </c>
      <c r="B3834" s="23" t="s">
        <v>77</v>
      </c>
      <c r="C3834" s="39">
        <v>599</v>
      </c>
      <c r="D3834" s="24">
        <v>11.38</v>
      </c>
      <c r="E3834" s="24">
        <v>2.0499999999999998</v>
      </c>
      <c r="F3834" s="23">
        <f>COUNTIFS(mdr_rate_cleaned!$A$2:$A$10,B3834,mdr_rate_cleaned!$B$2:$B$10,"&lt;"&amp;C3834,mdr_rate_cleaned!$F$2:$F$10,"&gt;="&amp;C3834)</f>
        <v>1</v>
      </c>
      <c r="G3834" s="40">
        <f>SUMIFS(mdr_rate_cleaned!$G$2:$G$10,mdr_rate_cleaned!$A$2:$A$10,B3834,mdr_rate_cleaned!$B$2:$B$10,"&lt;"&amp;C3834,mdr_rate_cleaned!$F$2:$F$10,"&gt;="&amp;C3834)</f>
        <v>1.9E-2</v>
      </c>
      <c r="H3834" s="24">
        <f t="shared" si="295"/>
        <v>11.38</v>
      </c>
      <c r="I3834" s="23" t="str">
        <f t="shared" si="296"/>
        <v>Match</v>
      </c>
      <c r="J3834" s="23" t="str">
        <f t="shared" si="297"/>
        <v>Match</v>
      </c>
      <c r="K3834" s="24">
        <f t="shared" si="298"/>
        <v>2.0499999999999998</v>
      </c>
      <c r="L3834" s="24">
        <f t="shared" si="299"/>
        <v>0</v>
      </c>
    </row>
    <row r="3835" spans="1:12" ht="15" customHeight="1" x14ac:dyDescent="0.3">
      <c r="A3835" s="23" t="s">
        <v>16996</v>
      </c>
      <c r="B3835" s="23" t="s">
        <v>79</v>
      </c>
      <c r="C3835" s="39">
        <v>999</v>
      </c>
      <c r="D3835" s="24">
        <v>17.98</v>
      </c>
      <c r="E3835" s="24">
        <v>3.24</v>
      </c>
      <c r="F3835" s="23">
        <f>COUNTIFS(mdr_rate_cleaned!$A$2:$A$10,B3835,mdr_rate_cleaned!$B$2:$B$10,"&lt;"&amp;C3835,mdr_rate_cleaned!$F$2:$F$10,"&gt;="&amp;C3835)</f>
        <v>1</v>
      </c>
      <c r="G3835" s="40">
        <f>SUMIFS(mdr_rate_cleaned!$G$2:$G$10,mdr_rate_cleaned!$A$2:$A$10,B3835,mdr_rate_cleaned!$B$2:$B$10,"&lt;"&amp;C3835,mdr_rate_cleaned!$F$2:$F$10,"&gt;="&amp;C3835)</f>
        <v>1.8000000000000002E-2</v>
      </c>
      <c r="H3835" s="24">
        <f t="shared" si="295"/>
        <v>17.98</v>
      </c>
      <c r="I3835" s="23" t="str">
        <f t="shared" si="296"/>
        <v>Match</v>
      </c>
      <c r="J3835" s="23" t="str">
        <f t="shared" si="297"/>
        <v>Match</v>
      </c>
      <c r="K3835" s="24">
        <f t="shared" si="298"/>
        <v>3.24</v>
      </c>
      <c r="L3835" s="24">
        <f t="shared" si="299"/>
        <v>0</v>
      </c>
    </row>
    <row r="3836" spans="1:12" ht="15" customHeight="1" x14ac:dyDescent="0.3">
      <c r="A3836" s="23" t="s">
        <v>16997</v>
      </c>
      <c r="B3836" s="23" t="s">
        <v>75</v>
      </c>
      <c r="C3836" s="39">
        <v>1398</v>
      </c>
      <c r="D3836" s="24">
        <v>0</v>
      </c>
      <c r="E3836" s="24">
        <v>0</v>
      </c>
      <c r="F3836" s="23">
        <f>COUNTIFS(mdr_rate_cleaned!$A$2:$A$10,B3836,mdr_rate_cleaned!$B$2:$B$10,"&lt;"&amp;C3836,mdr_rate_cleaned!$F$2:$F$10,"&gt;="&amp;C3836)</f>
        <v>1</v>
      </c>
      <c r="G3836" s="40">
        <f>SUMIFS(mdr_rate_cleaned!$G$2:$G$10,mdr_rate_cleaned!$A$2:$A$10,B3836,mdr_rate_cleaned!$B$2:$B$10,"&lt;"&amp;C3836,mdr_rate_cleaned!$F$2:$F$10,"&gt;="&amp;C3836)</f>
        <v>0</v>
      </c>
      <c r="H3836" s="24">
        <f t="shared" si="295"/>
        <v>0</v>
      </c>
      <c r="I3836" s="23" t="str">
        <f t="shared" si="296"/>
        <v>Match</v>
      </c>
      <c r="J3836" s="23" t="str">
        <f t="shared" si="297"/>
        <v>Match</v>
      </c>
      <c r="K3836" s="24">
        <f t="shared" si="298"/>
        <v>0</v>
      </c>
      <c r="L3836" s="24">
        <f t="shared" si="299"/>
        <v>0</v>
      </c>
    </row>
    <row r="3837" spans="1:12" ht="15" customHeight="1" x14ac:dyDescent="0.3">
      <c r="A3837" s="23" t="s">
        <v>16998</v>
      </c>
      <c r="B3837" s="23" t="s">
        <v>77</v>
      </c>
      <c r="C3837" s="39">
        <v>499</v>
      </c>
      <c r="D3837" s="24">
        <v>9.48</v>
      </c>
      <c r="E3837" s="24">
        <v>1.71</v>
      </c>
      <c r="F3837" s="23">
        <f>COUNTIFS(mdr_rate_cleaned!$A$2:$A$10,B3837,mdr_rate_cleaned!$B$2:$B$10,"&lt;"&amp;C3837,mdr_rate_cleaned!$F$2:$F$10,"&gt;="&amp;C3837)</f>
        <v>1</v>
      </c>
      <c r="G3837" s="40">
        <f>SUMIFS(mdr_rate_cleaned!$G$2:$G$10,mdr_rate_cleaned!$A$2:$A$10,B3837,mdr_rate_cleaned!$B$2:$B$10,"&lt;"&amp;C3837,mdr_rate_cleaned!$F$2:$F$10,"&gt;="&amp;C3837)</f>
        <v>1.9E-2</v>
      </c>
      <c r="H3837" s="24">
        <f t="shared" si="295"/>
        <v>9.48</v>
      </c>
      <c r="I3837" s="23" t="str">
        <f t="shared" si="296"/>
        <v>Match</v>
      </c>
      <c r="J3837" s="23" t="str">
        <f t="shared" si="297"/>
        <v>Match</v>
      </c>
      <c r="K3837" s="24">
        <f t="shared" si="298"/>
        <v>1.71</v>
      </c>
      <c r="L3837" s="24">
        <f t="shared" si="299"/>
        <v>0</v>
      </c>
    </row>
    <row r="3838" spans="1:12" ht="15" customHeight="1" x14ac:dyDescent="0.3">
      <c r="A3838" s="23" t="s">
        <v>16999</v>
      </c>
      <c r="B3838" s="23" t="s">
        <v>75</v>
      </c>
      <c r="C3838" s="39">
        <v>799</v>
      </c>
      <c r="D3838" s="24">
        <v>0</v>
      </c>
      <c r="E3838" s="24">
        <v>0</v>
      </c>
      <c r="F3838" s="23">
        <f>COUNTIFS(mdr_rate_cleaned!$A$2:$A$10,B3838,mdr_rate_cleaned!$B$2:$B$10,"&lt;"&amp;C3838,mdr_rate_cleaned!$F$2:$F$10,"&gt;="&amp;C3838)</f>
        <v>1</v>
      </c>
      <c r="G3838" s="40">
        <f>SUMIFS(mdr_rate_cleaned!$G$2:$G$10,mdr_rate_cleaned!$A$2:$A$10,B3838,mdr_rate_cleaned!$B$2:$B$10,"&lt;"&amp;C3838,mdr_rate_cleaned!$F$2:$F$10,"&gt;="&amp;C3838)</f>
        <v>0</v>
      </c>
      <c r="H3838" s="24">
        <f t="shared" si="295"/>
        <v>0</v>
      </c>
      <c r="I3838" s="23" t="str">
        <f t="shared" si="296"/>
        <v>Match</v>
      </c>
      <c r="J3838" s="23" t="str">
        <f t="shared" si="297"/>
        <v>Match</v>
      </c>
      <c r="K3838" s="24">
        <f t="shared" si="298"/>
        <v>0</v>
      </c>
      <c r="L3838" s="24">
        <f t="shared" si="299"/>
        <v>0</v>
      </c>
    </row>
    <row r="3839" spans="1:12" ht="15" customHeight="1" x14ac:dyDescent="0.3">
      <c r="A3839" s="23" t="s">
        <v>17000</v>
      </c>
      <c r="B3839" s="23" t="s">
        <v>77</v>
      </c>
      <c r="C3839" s="39">
        <v>6498</v>
      </c>
      <c r="D3839" s="24">
        <v>110.47</v>
      </c>
      <c r="E3839" s="24">
        <v>19.88</v>
      </c>
      <c r="F3839" s="23">
        <f>COUNTIFS(mdr_rate_cleaned!$A$2:$A$10,B3839,mdr_rate_cleaned!$B$2:$B$10,"&lt;"&amp;C3839,mdr_rate_cleaned!$F$2:$F$10,"&gt;="&amp;C3839)</f>
        <v>1</v>
      </c>
      <c r="G3839" s="40">
        <f>SUMIFS(mdr_rate_cleaned!$G$2:$G$10,mdr_rate_cleaned!$A$2:$A$10,B3839,mdr_rate_cleaned!$B$2:$B$10,"&lt;"&amp;C3839,mdr_rate_cleaned!$F$2:$F$10,"&gt;="&amp;C3839)</f>
        <v>1.7000000000000001E-2</v>
      </c>
      <c r="H3839" s="24">
        <f t="shared" si="295"/>
        <v>110.47</v>
      </c>
      <c r="I3839" s="23" t="str">
        <f t="shared" si="296"/>
        <v>Match</v>
      </c>
      <c r="J3839" s="23" t="str">
        <f t="shared" si="297"/>
        <v>Match</v>
      </c>
      <c r="K3839" s="24">
        <f t="shared" si="298"/>
        <v>19.88</v>
      </c>
      <c r="L3839" s="24">
        <f t="shared" si="299"/>
        <v>0</v>
      </c>
    </row>
    <row r="3840" spans="1:12" ht="15" customHeight="1" x14ac:dyDescent="0.3">
      <c r="A3840" s="23" t="s">
        <v>17001</v>
      </c>
      <c r="B3840" s="23" t="s">
        <v>75</v>
      </c>
      <c r="C3840" s="39">
        <v>4797</v>
      </c>
      <c r="D3840" s="24">
        <v>14.39</v>
      </c>
      <c r="E3840" s="24">
        <v>2.59</v>
      </c>
      <c r="F3840" s="23">
        <f>COUNTIFS(mdr_rate_cleaned!$A$2:$A$10,B3840,mdr_rate_cleaned!$B$2:$B$10,"&lt;"&amp;C3840,mdr_rate_cleaned!$F$2:$F$10,"&gt;="&amp;C3840)</f>
        <v>1</v>
      </c>
      <c r="G3840" s="40">
        <f>SUMIFS(mdr_rate_cleaned!$G$2:$G$10,mdr_rate_cleaned!$A$2:$A$10,B3840,mdr_rate_cleaned!$B$2:$B$10,"&lt;"&amp;C3840,mdr_rate_cleaned!$F$2:$F$10,"&gt;="&amp;C3840)</f>
        <v>3.0000000000000001E-3</v>
      </c>
      <c r="H3840" s="24">
        <f t="shared" si="295"/>
        <v>14.39</v>
      </c>
      <c r="I3840" s="23" t="str">
        <f t="shared" si="296"/>
        <v>Match</v>
      </c>
      <c r="J3840" s="23" t="str">
        <f t="shared" si="297"/>
        <v>Match</v>
      </c>
      <c r="K3840" s="24">
        <f t="shared" si="298"/>
        <v>2.59</v>
      </c>
      <c r="L3840" s="24">
        <f t="shared" si="299"/>
        <v>0</v>
      </c>
    </row>
    <row r="3841" spans="1:12" ht="15" customHeight="1" x14ac:dyDescent="0.3">
      <c r="A3841" s="23" t="s">
        <v>17002</v>
      </c>
      <c r="B3841" s="23" t="s">
        <v>75</v>
      </c>
      <c r="C3841" s="39">
        <v>1799</v>
      </c>
      <c r="D3841" s="24">
        <v>0</v>
      </c>
      <c r="E3841" s="24">
        <v>0</v>
      </c>
      <c r="F3841" s="23">
        <f>COUNTIFS(mdr_rate_cleaned!$A$2:$A$10,B3841,mdr_rate_cleaned!$B$2:$B$10,"&lt;"&amp;C3841,mdr_rate_cleaned!$F$2:$F$10,"&gt;="&amp;C3841)</f>
        <v>1</v>
      </c>
      <c r="G3841" s="40">
        <f>SUMIFS(mdr_rate_cleaned!$G$2:$G$10,mdr_rate_cleaned!$A$2:$A$10,B3841,mdr_rate_cleaned!$B$2:$B$10,"&lt;"&amp;C3841,mdr_rate_cleaned!$F$2:$F$10,"&gt;="&amp;C3841)</f>
        <v>0</v>
      </c>
      <c r="H3841" s="24">
        <f t="shared" si="295"/>
        <v>0</v>
      </c>
      <c r="I3841" s="23" t="str">
        <f t="shared" si="296"/>
        <v>Match</v>
      </c>
      <c r="J3841" s="23" t="str">
        <f t="shared" si="297"/>
        <v>Match</v>
      </c>
      <c r="K3841" s="24">
        <f t="shared" si="298"/>
        <v>0</v>
      </c>
      <c r="L3841" s="24">
        <f t="shared" si="299"/>
        <v>0</v>
      </c>
    </row>
    <row r="3842" spans="1:12" ht="15" customHeight="1" x14ac:dyDescent="0.3">
      <c r="A3842" s="23" t="s">
        <v>17003</v>
      </c>
      <c r="B3842" s="23" t="s">
        <v>75</v>
      </c>
      <c r="C3842" s="39">
        <v>4498</v>
      </c>
      <c r="D3842" s="24">
        <v>13.49</v>
      </c>
      <c r="E3842" s="24">
        <v>2.4300000000000002</v>
      </c>
      <c r="F3842" s="23">
        <f>COUNTIFS(mdr_rate_cleaned!$A$2:$A$10,B3842,mdr_rate_cleaned!$B$2:$B$10,"&lt;"&amp;C3842,mdr_rate_cleaned!$F$2:$F$10,"&gt;="&amp;C3842)</f>
        <v>1</v>
      </c>
      <c r="G3842" s="40">
        <f>SUMIFS(mdr_rate_cleaned!$G$2:$G$10,mdr_rate_cleaned!$A$2:$A$10,B3842,mdr_rate_cleaned!$B$2:$B$10,"&lt;"&amp;C3842,mdr_rate_cleaned!$F$2:$F$10,"&gt;="&amp;C3842)</f>
        <v>3.0000000000000001E-3</v>
      </c>
      <c r="H3842" s="24">
        <f t="shared" ref="H3842:H3905" si="300">ROUND(C3842*G3842,2)</f>
        <v>13.49</v>
      </c>
      <c r="I3842" s="23" t="str">
        <f t="shared" ref="I3842:I3905" si="301">IF(ROUND(D3842-H3842,2)=0,"Match","Differs")</f>
        <v>Match</v>
      </c>
      <c r="J3842" s="23" t="str">
        <f t="shared" ref="J3842:J3905" si="302">IF(ROUND(E3842-ROUND(D3842*0.18,2),2)=0,"Match","Differs")</f>
        <v>Match</v>
      </c>
      <c r="K3842" s="24">
        <f t="shared" ref="K3842:K3905" si="303">ROUND(H3842*0.18,2)</f>
        <v>2.4300000000000002</v>
      </c>
      <c r="L3842" s="24">
        <f t="shared" ref="L3842:L3905" si="304">ROUND(D3842+E3842-H3842-K3842,2)</f>
        <v>0</v>
      </c>
    </row>
    <row r="3843" spans="1:12" ht="15" customHeight="1" x14ac:dyDescent="0.3">
      <c r="A3843" s="23" t="s">
        <v>17004</v>
      </c>
      <c r="B3843" s="23" t="s">
        <v>81</v>
      </c>
      <c r="C3843" s="39">
        <v>1898</v>
      </c>
      <c r="D3843" s="24">
        <v>28.47</v>
      </c>
      <c r="E3843" s="24">
        <v>5.12</v>
      </c>
      <c r="F3843" s="23">
        <f>COUNTIFS(mdr_rate_cleaned!$A$2:$A$10,B3843,mdr_rate_cleaned!$B$2:$B$10,"&lt;"&amp;C3843,mdr_rate_cleaned!$F$2:$F$10,"&gt;="&amp;C3843)</f>
        <v>1</v>
      </c>
      <c r="G3843" s="40">
        <f>SUMIFS(mdr_rate_cleaned!$G$2:$G$10,mdr_rate_cleaned!$A$2:$A$10,B3843,mdr_rate_cleaned!$B$2:$B$10,"&lt;"&amp;C3843,mdr_rate_cleaned!$F$2:$F$10,"&gt;="&amp;C3843)</f>
        <v>1.4999999999999999E-2</v>
      </c>
      <c r="H3843" s="24">
        <f t="shared" si="300"/>
        <v>28.47</v>
      </c>
      <c r="I3843" s="23" t="str">
        <f t="shared" si="301"/>
        <v>Match</v>
      </c>
      <c r="J3843" s="23" t="str">
        <f t="shared" si="302"/>
        <v>Match</v>
      </c>
      <c r="K3843" s="24">
        <f t="shared" si="303"/>
        <v>5.12</v>
      </c>
      <c r="L3843" s="24">
        <f t="shared" si="304"/>
        <v>0</v>
      </c>
    </row>
    <row r="3844" spans="1:12" ht="15" customHeight="1" x14ac:dyDescent="0.3">
      <c r="A3844" s="23" t="s">
        <v>17005</v>
      </c>
      <c r="B3844" s="23" t="s">
        <v>77</v>
      </c>
      <c r="C3844" s="39">
        <v>6498</v>
      </c>
      <c r="D3844" s="24">
        <v>110.47</v>
      </c>
      <c r="E3844" s="24">
        <v>19.88</v>
      </c>
      <c r="F3844" s="23">
        <f>COUNTIFS(mdr_rate_cleaned!$A$2:$A$10,B3844,mdr_rate_cleaned!$B$2:$B$10,"&lt;"&amp;C3844,mdr_rate_cleaned!$F$2:$F$10,"&gt;="&amp;C3844)</f>
        <v>1</v>
      </c>
      <c r="G3844" s="40">
        <f>SUMIFS(mdr_rate_cleaned!$G$2:$G$10,mdr_rate_cleaned!$A$2:$A$10,B3844,mdr_rate_cleaned!$B$2:$B$10,"&lt;"&amp;C3844,mdr_rate_cleaned!$F$2:$F$10,"&gt;="&amp;C3844)</f>
        <v>1.7000000000000001E-2</v>
      </c>
      <c r="H3844" s="24">
        <f t="shared" si="300"/>
        <v>110.47</v>
      </c>
      <c r="I3844" s="23" t="str">
        <f t="shared" si="301"/>
        <v>Match</v>
      </c>
      <c r="J3844" s="23" t="str">
        <f t="shared" si="302"/>
        <v>Match</v>
      </c>
      <c r="K3844" s="24">
        <f t="shared" si="303"/>
        <v>19.88</v>
      </c>
      <c r="L3844" s="24">
        <f t="shared" si="304"/>
        <v>0</v>
      </c>
    </row>
    <row r="3845" spans="1:12" ht="15" customHeight="1" x14ac:dyDescent="0.3">
      <c r="A3845" s="23" t="s">
        <v>17006</v>
      </c>
      <c r="B3845" s="23" t="s">
        <v>75</v>
      </c>
      <c r="C3845" s="39">
        <v>2499</v>
      </c>
      <c r="D3845" s="24">
        <v>7.5</v>
      </c>
      <c r="E3845" s="24">
        <v>1.35</v>
      </c>
      <c r="F3845" s="23">
        <f>COUNTIFS(mdr_rate_cleaned!$A$2:$A$10,B3845,mdr_rate_cleaned!$B$2:$B$10,"&lt;"&amp;C3845,mdr_rate_cleaned!$F$2:$F$10,"&gt;="&amp;C3845)</f>
        <v>1</v>
      </c>
      <c r="G3845" s="40">
        <f>SUMIFS(mdr_rate_cleaned!$G$2:$G$10,mdr_rate_cleaned!$A$2:$A$10,B3845,mdr_rate_cleaned!$B$2:$B$10,"&lt;"&amp;C3845,mdr_rate_cleaned!$F$2:$F$10,"&gt;="&amp;C3845)</f>
        <v>3.0000000000000001E-3</v>
      </c>
      <c r="H3845" s="24">
        <f t="shared" si="300"/>
        <v>7.5</v>
      </c>
      <c r="I3845" s="23" t="str">
        <f t="shared" si="301"/>
        <v>Match</v>
      </c>
      <c r="J3845" s="23" t="str">
        <f t="shared" si="302"/>
        <v>Match</v>
      </c>
      <c r="K3845" s="24">
        <f t="shared" si="303"/>
        <v>1.35</v>
      </c>
      <c r="L3845" s="24">
        <f t="shared" si="304"/>
        <v>0</v>
      </c>
    </row>
    <row r="3846" spans="1:12" ht="15" customHeight="1" x14ac:dyDescent="0.3">
      <c r="A3846" s="23" t="s">
        <v>17008</v>
      </c>
      <c r="B3846" s="23" t="s">
        <v>75</v>
      </c>
      <c r="C3846" s="39">
        <v>299</v>
      </c>
      <c r="D3846" s="24">
        <v>0</v>
      </c>
      <c r="E3846" s="24">
        <v>0</v>
      </c>
      <c r="F3846" s="23">
        <f>COUNTIFS(mdr_rate_cleaned!$A$2:$A$10,B3846,mdr_rate_cleaned!$B$2:$B$10,"&lt;"&amp;C3846,mdr_rate_cleaned!$F$2:$F$10,"&gt;="&amp;C3846)</f>
        <v>1</v>
      </c>
      <c r="G3846" s="40">
        <f>SUMIFS(mdr_rate_cleaned!$G$2:$G$10,mdr_rate_cleaned!$A$2:$A$10,B3846,mdr_rate_cleaned!$B$2:$B$10,"&lt;"&amp;C3846,mdr_rate_cleaned!$F$2:$F$10,"&gt;="&amp;C3846)</f>
        <v>0</v>
      </c>
      <c r="H3846" s="24">
        <f t="shared" si="300"/>
        <v>0</v>
      </c>
      <c r="I3846" s="23" t="str">
        <f t="shared" si="301"/>
        <v>Match</v>
      </c>
      <c r="J3846" s="23" t="str">
        <f t="shared" si="302"/>
        <v>Match</v>
      </c>
      <c r="K3846" s="24">
        <f t="shared" si="303"/>
        <v>0</v>
      </c>
      <c r="L3846" s="24">
        <f t="shared" si="304"/>
        <v>0</v>
      </c>
    </row>
    <row r="3847" spans="1:12" ht="15" customHeight="1" x14ac:dyDescent="0.3">
      <c r="A3847" s="23" t="s">
        <v>17009</v>
      </c>
      <c r="B3847" s="23" t="s">
        <v>75</v>
      </c>
      <c r="C3847" s="39">
        <v>599</v>
      </c>
      <c r="D3847" s="24">
        <v>0</v>
      </c>
      <c r="E3847" s="24">
        <v>0</v>
      </c>
      <c r="F3847" s="23">
        <f>COUNTIFS(mdr_rate_cleaned!$A$2:$A$10,B3847,mdr_rate_cleaned!$B$2:$B$10,"&lt;"&amp;C3847,mdr_rate_cleaned!$F$2:$F$10,"&gt;="&amp;C3847)</f>
        <v>1</v>
      </c>
      <c r="G3847" s="40">
        <f>SUMIFS(mdr_rate_cleaned!$G$2:$G$10,mdr_rate_cleaned!$A$2:$A$10,B3847,mdr_rate_cleaned!$B$2:$B$10,"&lt;"&amp;C3847,mdr_rate_cleaned!$F$2:$F$10,"&gt;="&amp;C3847)</f>
        <v>0</v>
      </c>
      <c r="H3847" s="24">
        <f t="shared" si="300"/>
        <v>0</v>
      </c>
      <c r="I3847" s="23" t="str">
        <f t="shared" si="301"/>
        <v>Match</v>
      </c>
      <c r="J3847" s="23" t="str">
        <f t="shared" si="302"/>
        <v>Match</v>
      </c>
      <c r="K3847" s="24">
        <f t="shared" si="303"/>
        <v>0</v>
      </c>
      <c r="L3847" s="24">
        <f t="shared" si="304"/>
        <v>0</v>
      </c>
    </row>
    <row r="3848" spans="1:12" ht="15" customHeight="1" x14ac:dyDescent="0.3">
      <c r="A3848" s="23" t="s">
        <v>17010</v>
      </c>
      <c r="B3848" s="23" t="s">
        <v>75</v>
      </c>
      <c r="C3848" s="39">
        <v>3499</v>
      </c>
      <c r="D3848" s="24">
        <v>10.5</v>
      </c>
      <c r="E3848" s="24">
        <v>1.89</v>
      </c>
      <c r="F3848" s="23">
        <f>COUNTIFS(mdr_rate_cleaned!$A$2:$A$10,B3848,mdr_rate_cleaned!$B$2:$B$10,"&lt;"&amp;C3848,mdr_rate_cleaned!$F$2:$F$10,"&gt;="&amp;C3848)</f>
        <v>1</v>
      </c>
      <c r="G3848" s="40">
        <f>SUMIFS(mdr_rate_cleaned!$G$2:$G$10,mdr_rate_cleaned!$A$2:$A$10,B3848,mdr_rate_cleaned!$B$2:$B$10,"&lt;"&amp;C3848,mdr_rate_cleaned!$F$2:$F$10,"&gt;="&amp;C3848)</f>
        <v>3.0000000000000001E-3</v>
      </c>
      <c r="H3848" s="24">
        <f t="shared" si="300"/>
        <v>10.5</v>
      </c>
      <c r="I3848" s="23" t="str">
        <f t="shared" si="301"/>
        <v>Match</v>
      </c>
      <c r="J3848" s="23" t="str">
        <f t="shared" si="302"/>
        <v>Match</v>
      </c>
      <c r="K3848" s="24">
        <f t="shared" si="303"/>
        <v>1.89</v>
      </c>
      <c r="L3848" s="24">
        <f t="shared" si="304"/>
        <v>0</v>
      </c>
    </row>
    <row r="3849" spans="1:12" ht="15" customHeight="1" x14ac:dyDescent="0.3">
      <c r="A3849" s="23" t="s">
        <v>17011</v>
      </c>
      <c r="B3849" s="23" t="s">
        <v>79</v>
      </c>
      <c r="C3849" s="39">
        <v>1499</v>
      </c>
      <c r="D3849" s="24">
        <v>26.98</v>
      </c>
      <c r="E3849" s="24">
        <v>4.8600000000000003</v>
      </c>
      <c r="F3849" s="23">
        <f>COUNTIFS(mdr_rate_cleaned!$A$2:$A$10,B3849,mdr_rate_cleaned!$B$2:$B$10,"&lt;"&amp;C3849,mdr_rate_cleaned!$F$2:$F$10,"&gt;="&amp;C3849)</f>
        <v>1</v>
      </c>
      <c r="G3849" s="40">
        <f>SUMIFS(mdr_rate_cleaned!$G$2:$G$10,mdr_rate_cleaned!$A$2:$A$10,B3849,mdr_rate_cleaned!$B$2:$B$10,"&lt;"&amp;C3849,mdr_rate_cleaned!$F$2:$F$10,"&gt;="&amp;C3849)</f>
        <v>1.8000000000000002E-2</v>
      </c>
      <c r="H3849" s="24">
        <f t="shared" si="300"/>
        <v>26.98</v>
      </c>
      <c r="I3849" s="23" t="str">
        <f t="shared" si="301"/>
        <v>Match</v>
      </c>
      <c r="J3849" s="23" t="str">
        <f t="shared" si="302"/>
        <v>Match</v>
      </c>
      <c r="K3849" s="24">
        <f t="shared" si="303"/>
        <v>4.8600000000000003</v>
      </c>
      <c r="L3849" s="24">
        <f t="shared" si="304"/>
        <v>0</v>
      </c>
    </row>
    <row r="3850" spans="1:12" ht="15" customHeight="1" x14ac:dyDescent="0.3">
      <c r="A3850" s="23" t="s">
        <v>17013</v>
      </c>
      <c r="B3850" s="23" t="s">
        <v>79</v>
      </c>
      <c r="C3850" s="39">
        <v>3097</v>
      </c>
      <c r="D3850" s="24">
        <v>49.55</v>
      </c>
      <c r="E3850" s="24">
        <v>8.92</v>
      </c>
      <c r="F3850" s="23">
        <f>COUNTIFS(mdr_rate_cleaned!$A$2:$A$10,B3850,mdr_rate_cleaned!$B$2:$B$10,"&lt;"&amp;C3850,mdr_rate_cleaned!$F$2:$F$10,"&gt;="&amp;C3850)</f>
        <v>1</v>
      </c>
      <c r="G3850" s="40">
        <f>SUMIFS(mdr_rate_cleaned!$G$2:$G$10,mdr_rate_cleaned!$A$2:$A$10,B3850,mdr_rate_cleaned!$B$2:$B$10,"&lt;"&amp;C3850,mdr_rate_cleaned!$F$2:$F$10,"&gt;="&amp;C3850)</f>
        <v>1.6E-2</v>
      </c>
      <c r="H3850" s="24">
        <f t="shared" si="300"/>
        <v>49.55</v>
      </c>
      <c r="I3850" s="23" t="str">
        <f t="shared" si="301"/>
        <v>Match</v>
      </c>
      <c r="J3850" s="23" t="str">
        <f t="shared" si="302"/>
        <v>Match</v>
      </c>
      <c r="K3850" s="24">
        <f t="shared" si="303"/>
        <v>8.92</v>
      </c>
      <c r="L3850" s="24">
        <f t="shared" si="304"/>
        <v>0</v>
      </c>
    </row>
    <row r="3851" spans="1:12" ht="15" customHeight="1" x14ac:dyDescent="0.3">
      <c r="A3851" s="23" t="s">
        <v>17025</v>
      </c>
      <c r="B3851" s="23" t="s">
        <v>79</v>
      </c>
      <c r="C3851" s="39">
        <v>3847</v>
      </c>
      <c r="D3851" s="24">
        <v>61.55</v>
      </c>
      <c r="E3851" s="24">
        <v>11.08</v>
      </c>
      <c r="F3851" s="23">
        <f>COUNTIFS(mdr_rate_cleaned!$A$2:$A$10,B3851,mdr_rate_cleaned!$B$2:$B$10,"&lt;"&amp;C3851,mdr_rate_cleaned!$F$2:$F$10,"&gt;="&amp;C3851)</f>
        <v>1</v>
      </c>
      <c r="G3851" s="40">
        <f>SUMIFS(mdr_rate_cleaned!$G$2:$G$10,mdr_rate_cleaned!$A$2:$A$10,B3851,mdr_rate_cleaned!$B$2:$B$10,"&lt;"&amp;C3851,mdr_rate_cleaned!$F$2:$F$10,"&gt;="&amp;C3851)</f>
        <v>1.6E-2</v>
      </c>
      <c r="H3851" s="24">
        <f t="shared" si="300"/>
        <v>61.55</v>
      </c>
      <c r="I3851" s="23" t="str">
        <f t="shared" si="301"/>
        <v>Match</v>
      </c>
      <c r="J3851" s="23" t="str">
        <f t="shared" si="302"/>
        <v>Match</v>
      </c>
      <c r="K3851" s="24">
        <f t="shared" si="303"/>
        <v>11.08</v>
      </c>
      <c r="L3851" s="24">
        <f t="shared" si="304"/>
        <v>0</v>
      </c>
    </row>
    <row r="3852" spans="1:12" ht="15" customHeight="1" x14ac:dyDescent="0.3">
      <c r="A3852" s="23" t="s">
        <v>17026</v>
      </c>
      <c r="B3852" s="23" t="s">
        <v>75</v>
      </c>
      <c r="C3852" s="39">
        <v>8498</v>
      </c>
      <c r="D3852" s="24">
        <v>25.49</v>
      </c>
      <c r="E3852" s="24">
        <v>4.59</v>
      </c>
      <c r="F3852" s="23">
        <f>COUNTIFS(mdr_rate_cleaned!$A$2:$A$10,B3852,mdr_rate_cleaned!$B$2:$B$10,"&lt;"&amp;C3852,mdr_rate_cleaned!$F$2:$F$10,"&gt;="&amp;C3852)</f>
        <v>1</v>
      </c>
      <c r="G3852" s="40">
        <f>SUMIFS(mdr_rate_cleaned!$G$2:$G$10,mdr_rate_cleaned!$A$2:$A$10,B3852,mdr_rate_cleaned!$B$2:$B$10,"&lt;"&amp;C3852,mdr_rate_cleaned!$F$2:$F$10,"&gt;="&amp;C3852)</f>
        <v>3.0000000000000001E-3</v>
      </c>
      <c r="H3852" s="24">
        <f t="shared" si="300"/>
        <v>25.49</v>
      </c>
      <c r="I3852" s="23" t="str">
        <f t="shared" si="301"/>
        <v>Match</v>
      </c>
      <c r="J3852" s="23" t="str">
        <f t="shared" si="302"/>
        <v>Match</v>
      </c>
      <c r="K3852" s="24">
        <f t="shared" si="303"/>
        <v>4.59</v>
      </c>
      <c r="L3852" s="24">
        <f t="shared" si="304"/>
        <v>0</v>
      </c>
    </row>
    <row r="3853" spans="1:12" ht="15" customHeight="1" x14ac:dyDescent="0.3">
      <c r="A3853" s="23" t="s">
        <v>17027</v>
      </c>
      <c r="B3853" s="23" t="s">
        <v>79</v>
      </c>
      <c r="C3853" s="39">
        <v>2499</v>
      </c>
      <c r="D3853" s="24">
        <v>39.979999999999997</v>
      </c>
      <c r="E3853" s="24">
        <v>7.2</v>
      </c>
      <c r="F3853" s="23">
        <f>COUNTIFS(mdr_rate_cleaned!$A$2:$A$10,B3853,mdr_rate_cleaned!$B$2:$B$10,"&lt;"&amp;C3853,mdr_rate_cleaned!$F$2:$F$10,"&gt;="&amp;C3853)</f>
        <v>1</v>
      </c>
      <c r="G3853" s="40">
        <f>SUMIFS(mdr_rate_cleaned!$G$2:$G$10,mdr_rate_cleaned!$A$2:$A$10,B3853,mdr_rate_cleaned!$B$2:$B$10,"&lt;"&amp;C3853,mdr_rate_cleaned!$F$2:$F$10,"&gt;="&amp;C3853)</f>
        <v>1.6E-2</v>
      </c>
      <c r="H3853" s="24">
        <f t="shared" si="300"/>
        <v>39.979999999999997</v>
      </c>
      <c r="I3853" s="23" t="str">
        <f t="shared" si="301"/>
        <v>Match</v>
      </c>
      <c r="J3853" s="23" t="str">
        <f t="shared" si="302"/>
        <v>Match</v>
      </c>
      <c r="K3853" s="24">
        <f t="shared" si="303"/>
        <v>7.2</v>
      </c>
      <c r="L3853" s="24">
        <f t="shared" si="304"/>
        <v>0</v>
      </c>
    </row>
    <row r="3854" spans="1:12" ht="15" customHeight="1" x14ac:dyDescent="0.3">
      <c r="A3854" s="23" t="s">
        <v>17028</v>
      </c>
      <c r="B3854" s="23" t="s">
        <v>75</v>
      </c>
      <c r="C3854" s="39">
        <v>7999</v>
      </c>
      <c r="D3854" s="24">
        <v>24</v>
      </c>
      <c r="E3854" s="24">
        <v>4.32</v>
      </c>
      <c r="F3854" s="23">
        <f>COUNTIFS(mdr_rate_cleaned!$A$2:$A$10,B3854,mdr_rate_cleaned!$B$2:$B$10,"&lt;"&amp;C3854,mdr_rate_cleaned!$F$2:$F$10,"&gt;="&amp;C3854)</f>
        <v>1</v>
      </c>
      <c r="G3854" s="40">
        <f>SUMIFS(mdr_rate_cleaned!$G$2:$G$10,mdr_rate_cleaned!$A$2:$A$10,B3854,mdr_rate_cleaned!$B$2:$B$10,"&lt;"&amp;C3854,mdr_rate_cleaned!$F$2:$F$10,"&gt;="&amp;C3854)</f>
        <v>3.0000000000000001E-3</v>
      </c>
      <c r="H3854" s="24">
        <f t="shared" si="300"/>
        <v>24</v>
      </c>
      <c r="I3854" s="23" t="str">
        <f t="shared" si="301"/>
        <v>Match</v>
      </c>
      <c r="J3854" s="23" t="str">
        <f t="shared" si="302"/>
        <v>Match</v>
      </c>
      <c r="K3854" s="24">
        <f t="shared" si="303"/>
        <v>4.32</v>
      </c>
      <c r="L3854" s="24">
        <f t="shared" si="304"/>
        <v>0</v>
      </c>
    </row>
    <row r="3855" spans="1:12" ht="15" customHeight="1" x14ac:dyDescent="0.3">
      <c r="A3855" s="23" t="s">
        <v>17029</v>
      </c>
      <c r="B3855" s="23" t="s">
        <v>79</v>
      </c>
      <c r="C3855" s="39">
        <v>1299</v>
      </c>
      <c r="D3855" s="24">
        <v>23.38</v>
      </c>
      <c r="E3855" s="24">
        <v>4.21</v>
      </c>
      <c r="F3855" s="23">
        <f>COUNTIFS(mdr_rate_cleaned!$A$2:$A$10,B3855,mdr_rate_cleaned!$B$2:$B$10,"&lt;"&amp;C3855,mdr_rate_cleaned!$F$2:$F$10,"&gt;="&amp;C3855)</f>
        <v>1</v>
      </c>
      <c r="G3855" s="40">
        <f>SUMIFS(mdr_rate_cleaned!$G$2:$G$10,mdr_rate_cleaned!$A$2:$A$10,B3855,mdr_rate_cleaned!$B$2:$B$10,"&lt;"&amp;C3855,mdr_rate_cleaned!$F$2:$F$10,"&gt;="&amp;C3855)</f>
        <v>1.8000000000000002E-2</v>
      </c>
      <c r="H3855" s="24">
        <f t="shared" si="300"/>
        <v>23.38</v>
      </c>
      <c r="I3855" s="23" t="str">
        <f t="shared" si="301"/>
        <v>Match</v>
      </c>
      <c r="J3855" s="23" t="str">
        <f t="shared" si="302"/>
        <v>Match</v>
      </c>
      <c r="K3855" s="24">
        <f t="shared" si="303"/>
        <v>4.21</v>
      </c>
      <c r="L3855" s="24">
        <f t="shared" si="304"/>
        <v>0</v>
      </c>
    </row>
    <row r="3856" spans="1:12" ht="15" customHeight="1" x14ac:dyDescent="0.3">
      <c r="A3856" s="23" t="s">
        <v>17030</v>
      </c>
      <c r="B3856" s="23" t="s">
        <v>75</v>
      </c>
      <c r="C3856" s="39">
        <v>5298</v>
      </c>
      <c r="D3856" s="24">
        <v>15.89</v>
      </c>
      <c r="E3856" s="24">
        <v>2.86</v>
      </c>
      <c r="F3856" s="23">
        <f>COUNTIFS(mdr_rate_cleaned!$A$2:$A$10,B3856,mdr_rate_cleaned!$B$2:$B$10,"&lt;"&amp;C3856,mdr_rate_cleaned!$F$2:$F$10,"&gt;="&amp;C3856)</f>
        <v>1</v>
      </c>
      <c r="G3856" s="40">
        <f>SUMIFS(mdr_rate_cleaned!$G$2:$G$10,mdr_rate_cleaned!$A$2:$A$10,B3856,mdr_rate_cleaned!$B$2:$B$10,"&lt;"&amp;C3856,mdr_rate_cleaned!$F$2:$F$10,"&gt;="&amp;C3856)</f>
        <v>3.0000000000000001E-3</v>
      </c>
      <c r="H3856" s="24">
        <f t="shared" si="300"/>
        <v>15.89</v>
      </c>
      <c r="I3856" s="23" t="str">
        <f t="shared" si="301"/>
        <v>Match</v>
      </c>
      <c r="J3856" s="23" t="str">
        <f t="shared" si="302"/>
        <v>Match</v>
      </c>
      <c r="K3856" s="24">
        <f t="shared" si="303"/>
        <v>2.86</v>
      </c>
      <c r="L3856" s="24">
        <f t="shared" si="304"/>
        <v>0</v>
      </c>
    </row>
    <row r="3857" spans="1:12" ht="15" customHeight="1" x14ac:dyDescent="0.3">
      <c r="A3857" s="23" t="s">
        <v>17032</v>
      </c>
      <c r="B3857" s="23" t="s">
        <v>79</v>
      </c>
      <c r="C3857" s="39">
        <v>799</v>
      </c>
      <c r="D3857" s="24">
        <v>14.38</v>
      </c>
      <c r="E3857" s="24">
        <v>2.59</v>
      </c>
      <c r="F3857" s="23">
        <f>COUNTIFS(mdr_rate_cleaned!$A$2:$A$10,B3857,mdr_rate_cleaned!$B$2:$B$10,"&lt;"&amp;C3857,mdr_rate_cleaned!$F$2:$F$10,"&gt;="&amp;C3857)</f>
        <v>1</v>
      </c>
      <c r="G3857" s="40">
        <f>SUMIFS(mdr_rate_cleaned!$G$2:$G$10,mdr_rate_cleaned!$A$2:$A$10,B3857,mdr_rate_cleaned!$B$2:$B$10,"&lt;"&amp;C3857,mdr_rate_cleaned!$F$2:$F$10,"&gt;="&amp;C3857)</f>
        <v>1.8000000000000002E-2</v>
      </c>
      <c r="H3857" s="24">
        <f t="shared" si="300"/>
        <v>14.38</v>
      </c>
      <c r="I3857" s="23" t="str">
        <f t="shared" si="301"/>
        <v>Match</v>
      </c>
      <c r="J3857" s="23" t="str">
        <f t="shared" si="302"/>
        <v>Match</v>
      </c>
      <c r="K3857" s="24">
        <f t="shared" si="303"/>
        <v>2.59</v>
      </c>
      <c r="L3857" s="24">
        <f t="shared" si="304"/>
        <v>0</v>
      </c>
    </row>
    <row r="3858" spans="1:12" ht="15" customHeight="1" x14ac:dyDescent="0.3">
      <c r="A3858" s="23" t="s">
        <v>17033</v>
      </c>
      <c r="B3858" s="23" t="s">
        <v>75</v>
      </c>
      <c r="C3858" s="39">
        <v>999</v>
      </c>
      <c r="D3858" s="24">
        <v>0</v>
      </c>
      <c r="E3858" s="24">
        <v>0</v>
      </c>
      <c r="F3858" s="23">
        <f>COUNTIFS(mdr_rate_cleaned!$A$2:$A$10,B3858,mdr_rate_cleaned!$B$2:$B$10,"&lt;"&amp;C3858,mdr_rate_cleaned!$F$2:$F$10,"&gt;="&amp;C3858)</f>
        <v>1</v>
      </c>
      <c r="G3858" s="40">
        <f>SUMIFS(mdr_rate_cleaned!$G$2:$G$10,mdr_rate_cleaned!$A$2:$A$10,B3858,mdr_rate_cleaned!$B$2:$B$10,"&lt;"&amp;C3858,mdr_rate_cleaned!$F$2:$F$10,"&gt;="&amp;C3858)</f>
        <v>0</v>
      </c>
      <c r="H3858" s="24">
        <f t="shared" si="300"/>
        <v>0</v>
      </c>
      <c r="I3858" s="23" t="str">
        <f t="shared" si="301"/>
        <v>Match</v>
      </c>
      <c r="J3858" s="23" t="str">
        <f t="shared" si="302"/>
        <v>Match</v>
      </c>
      <c r="K3858" s="24">
        <f t="shared" si="303"/>
        <v>0</v>
      </c>
      <c r="L3858" s="24">
        <f t="shared" si="304"/>
        <v>0</v>
      </c>
    </row>
    <row r="3859" spans="1:12" ht="15" customHeight="1" x14ac:dyDescent="0.3">
      <c r="A3859" s="23" t="s">
        <v>17035</v>
      </c>
      <c r="B3859" s="23" t="s">
        <v>75</v>
      </c>
      <c r="C3859" s="39">
        <v>3499</v>
      </c>
      <c r="D3859" s="24">
        <v>10.5</v>
      </c>
      <c r="E3859" s="24">
        <v>1.89</v>
      </c>
      <c r="F3859" s="23">
        <f>COUNTIFS(mdr_rate_cleaned!$A$2:$A$10,B3859,mdr_rate_cleaned!$B$2:$B$10,"&lt;"&amp;C3859,mdr_rate_cleaned!$F$2:$F$10,"&gt;="&amp;C3859)</f>
        <v>1</v>
      </c>
      <c r="G3859" s="40">
        <f>SUMIFS(mdr_rate_cleaned!$G$2:$G$10,mdr_rate_cleaned!$A$2:$A$10,B3859,mdr_rate_cleaned!$B$2:$B$10,"&lt;"&amp;C3859,mdr_rate_cleaned!$F$2:$F$10,"&gt;="&amp;C3859)</f>
        <v>3.0000000000000001E-3</v>
      </c>
      <c r="H3859" s="24">
        <f t="shared" si="300"/>
        <v>10.5</v>
      </c>
      <c r="I3859" s="23" t="str">
        <f t="shared" si="301"/>
        <v>Match</v>
      </c>
      <c r="J3859" s="23" t="str">
        <f t="shared" si="302"/>
        <v>Match</v>
      </c>
      <c r="K3859" s="24">
        <f t="shared" si="303"/>
        <v>1.89</v>
      </c>
      <c r="L3859" s="24">
        <f t="shared" si="304"/>
        <v>0</v>
      </c>
    </row>
    <row r="3860" spans="1:12" ht="15" customHeight="1" x14ac:dyDescent="0.3">
      <c r="A3860" s="23" t="s">
        <v>17036</v>
      </c>
      <c r="B3860" s="23" t="s">
        <v>75</v>
      </c>
      <c r="C3860" s="39">
        <v>4897</v>
      </c>
      <c r="D3860" s="24">
        <v>14.69</v>
      </c>
      <c r="E3860" s="24">
        <v>2.64</v>
      </c>
      <c r="F3860" s="23">
        <f>COUNTIFS(mdr_rate_cleaned!$A$2:$A$10,B3860,mdr_rate_cleaned!$B$2:$B$10,"&lt;"&amp;C3860,mdr_rate_cleaned!$F$2:$F$10,"&gt;="&amp;C3860)</f>
        <v>1</v>
      </c>
      <c r="G3860" s="40">
        <f>SUMIFS(mdr_rate_cleaned!$G$2:$G$10,mdr_rate_cleaned!$A$2:$A$10,B3860,mdr_rate_cleaned!$B$2:$B$10,"&lt;"&amp;C3860,mdr_rate_cleaned!$F$2:$F$10,"&gt;="&amp;C3860)</f>
        <v>3.0000000000000001E-3</v>
      </c>
      <c r="H3860" s="24">
        <f t="shared" si="300"/>
        <v>14.69</v>
      </c>
      <c r="I3860" s="23" t="str">
        <f t="shared" si="301"/>
        <v>Match</v>
      </c>
      <c r="J3860" s="23" t="str">
        <f t="shared" si="302"/>
        <v>Match</v>
      </c>
      <c r="K3860" s="24">
        <f t="shared" si="303"/>
        <v>2.64</v>
      </c>
      <c r="L3860" s="24">
        <f t="shared" si="304"/>
        <v>0</v>
      </c>
    </row>
    <row r="3861" spans="1:12" ht="15" customHeight="1" x14ac:dyDescent="0.3">
      <c r="A3861" s="23" t="s">
        <v>17037</v>
      </c>
      <c r="B3861" s="23" t="s">
        <v>75</v>
      </c>
      <c r="C3861" s="39">
        <v>5647</v>
      </c>
      <c r="D3861" s="24">
        <v>16.940000000000001</v>
      </c>
      <c r="E3861" s="24">
        <v>3.05</v>
      </c>
      <c r="F3861" s="23">
        <f>COUNTIFS(mdr_rate_cleaned!$A$2:$A$10,B3861,mdr_rate_cleaned!$B$2:$B$10,"&lt;"&amp;C3861,mdr_rate_cleaned!$F$2:$F$10,"&gt;="&amp;C3861)</f>
        <v>1</v>
      </c>
      <c r="G3861" s="40">
        <f>SUMIFS(mdr_rate_cleaned!$G$2:$G$10,mdr_rate_cleaned!$A$2:$A$10,B3861,mdr_rate_cleaned!$B$2:$B$10,"&lt;"&amp;C3861,mdr_rate_cleaned!$F$2:$F$10,"&gt;="&amp;C3861)</f>
        <v>3.0000000000000001E-3</v>
      </c>
      <c r="H3861" s="24">
        <f t="shared" si="300"/>
        <v>16.940000000000001</v>
      </c>
      <c r="I3861" s="23" t="str">
        <f t="shared" si="301"/>
        <v>Match</v>
      </c>
      <c r="J3861" s="23" t="str">
        <f t="shared" si="302"/>
        <v>Match</v>
      </c>
      <c r="K3861" s="24">
        <f t="shared" si="303"/>
        <v>3.05</v>
      </c>
      <c r="L3861" s="24">
        <f t="shared" si="304"/>
        <v>0</v>
      </c>
    </row>
    <row r="3862" spans="1:12" ht="15" customHeight="1" x14ac:dyDescent="0.3">
      <c r="A3862" s="23" t="s">
        <v>17039</v>
      </c>
      <c r="B3862" s="23" t="s">
        <v>75</v>
      </c>
      <c r="C3862" s="39">
        <v>499</v>
      </c>
      <c r="D3862" s="24">
        <v>0</v>
      </c>
      <c r="E3862" s="24">
        <v>0</v>
      </c>
      <c r="F3862" s="23">
        <f>COUNTIFS(mdr_rate_cleaned!$A$2:$A$10,B3862,mdr_rate_cleaned!$B$2:$B$10,"&lt;"&amp;C3862,mdr_rate_cleaned!$F$2:$F$10,"&gt;="&amp;C3862)</f>
        <v>1</v>
      </c>
      <c r="G3862" s="40">
        <f>SUMIFS(mdr_rate_cleaned!$G$2:$G$10,mdr_rate_cleaned!$A$2:$A$10,B3862,mdr_rate_cleaned!$B$2:$B$10,"&lt;"&amp;C3862,mdr_rate_cleaned!$F$2:$F$10,"&gt;="&amp;C3862)</f>
        <v>0</v>
      </c>
      <c r="H3862" s="24">
        <f t="shared" si="300"/>
        <v>0</v>
      </c>
      <c r="I3862" s="23" t="str">
        <f t="shared" si="301"/>
        <v>Match</v>
      </c>
      <c r="J3862" s="23" t="str">
        <f t="shared" si="302"/>
        <v>Match</v>
      </c>
      <c r="K3862" s="24">
        <f t="shared" si="303"/>
        <v>0</v>
      </c>
      <c r="L3862" s="24">
        <f t="shared" si="304"/>
        <v>0</v>
      </c>
    </row>
    <row r="3863" spans="1:12" ht="15" customHeight="1" x14ac:dyDescent="0.3">
      <c r="A3863" s="23" t="s">
        <v>17040</v>
      </c>
      <c r="B3863" s="23" t="s">
        <v>75</v>
      </c>
      <c r="C3863" s="39">
        <v>2298</v>
      </c>
      <c r="D3863" s="24">
        <v>6.89</v>
      </c>
      <c r="E3863" s="24">
        <v>1.24</v>
      </c>
      <c r="F3863" s="23">
        <f>COUNTIFS(mdr_rate_cleaned!$A$2:$A$10,B3863,mdr_rate_cleaned!$B$2:$B$10,"&lt;"&amp;C3863,mdr_rate_cleaned!$F$2:$F$10,"&gt;="&amp;C3863)</f>
        <v>1</v>
      </c>
      <c r="G3863" s="40">
        <f>SUMIFS(mdr_rate_cleaned!$G$2:$G$10,mdr_rate_cleaned!$A$2:$A$10,B3863,mdr_rate_cleaned!$B$2:$B$10,"&lt;"&amp;C3863,mdr_rate_cleaned!$F$2:$F$10,"&gt;="&amp;C3863)</f>
        <v>3.0000000000000001E-3</v>
      </c>
      <c r="H3863" s="24">
        <f t="shared" si="300"/>
        <v>6.89</v>
      </c>
      <c r="I3863" s="23" t="str">
        <f t="shared" si="301"/>
        <v>Match</v>
      </c>
      <c r="J3863" s="23" t="str">
        <f t="shared" si="302"/>
        <v>Match</v>
      </c>
      <c r="K3863" s="24">
        <f t="shared" si="303"/>
        <v>1.24</v>
      </c>
      <c r="L3863" s="24">
        <f t="shared" si="304"/>
        <v>0</v>
      </c>
    </row>
    <row r="3864" spans="1:12" ht="15" customHeight="1" x14ac:dyDescent="0.3">
      <c r="A3864" s="23" t="s">
        <v>17041</v>
      </c>
      <c r="B3864" s="23" t="s">
        <v>81</v>
      </c>
      <c r="C3864" s="39">
        <v>8598</v>
      </c>
      <c r="D3864" s="24">
        <v>103.18</v>
      </c>
      <c r="E3864" s="24">
        <v>18.57</v>
      </c>
      <c r="F3864" s="23">
        <f>COUNTIFS(mdr_rate_cleaned!$A$2:$A$10,B3864,mdr_rate_cleaned!$B$2:$B$10,"&lt;"&amp;C3864,mdr_rate_cleaned!$F$2:$F$10,"&gt;="&amp;C3864)</f>
        <v>1</v>
      </c>
      <c r="G3864" s="40">
        <f>SUMIFS(mdr_rate_cleaned!$G$2:$G$10,mdr_rate_cleaned!$A$2:$A$10,B3864,mdr_rate_cleaned!$B$2:$B$10,"&lt;"&amp;C3864,mdr_rate_cleaned!$F$2:$F$10,"&gt;="&amp;C3864)</f>
        <v>1.2E-2</v>
      </c>
      <c r="H3864" s="24">
        <f t="shared" si="300"/>
        <v>103.18</v>
      </c>
      <c r="I3864" s="23" t="str">
        <f t="shared" si="301"/>
        <v>Match</v>
      </c>
      <c r="J3864" s="23" t="str">
        <f t="shared" si="302"/>
        <v>Match</v>
      </c>
      <c r="K3864" s="24">
        <f t="shared" si="303"/>
        <v>18.57</v>
      </c>
      <c r="L3864" s="24">
        <f t="shared" si="304"/>
        <v>0</v>
      </c>
    </row>
    <row r="3865" spans="1:12" ht="15" customHeight="1" x14ac:dyDescent="0.3">
      <c r="A3865" s="23" t="s">
        <v>17042</v>
      </c>
      <c r="B3865" s="23" t="s">
        <v>75</v>
      </c>
      <c r="C3865" s="39">
        <v>2999</v>
      </c>
      <c r="D3865" s="24">
        <v>9</v>
      </c>
      <c r="E3865" s="24">
        <v>1.62</v>
      </c>
      <c r="F3865" s="23">
        <f>COUNTIFS(mdr_rate_cleaned!$A$2:$A$10,B3865,mdr_rate_cleaned!$B$2:$B$10,"&lt;"&amp;C3865,mdr_rate_cleaned!$F$2:$F$10,"&gt;="&amp;C3865)</f>
        <v>1</v>
      </c>
      <c r="G3865" s="40">
        <f>SUMIFS(mdr_rate_cleaned!$G$2:$G$10,mdr_rate_cleaned!$A$2:$A$10,B3865,mdr_rate_cleaned!$B$2:$B$10,"&lt;"&amp;C3865,mdr_rate_cleaned!$F$2:$F$10,"&gt;="&amp;C3865)</f>
        <v>3.0000000000000001E-3</v>
      </c>
      <c r="H3865" s="24">
        <f t="shared" si="300"/>
        <v>9</v>
      </c>
      <c r="I3865" s="23" t="str">
        <f t="shared" si="301"/>
        <v>Match</v>
      </c>
      <c r="J3865" s="23" t="str">
        <f t="shared" si="302"/>
        <v>Match</v>
      </c>
      <c r="K3865" s="24">
        <f t="shared" si="303"/>
        <v>1.62</v>
      </c>
      <c r="L3865" s="24">
        <f t="shared" si="304"/>
        <v>0</v>
      </c>
    </row>
    <row r="3866" spans="1:12" ht="15" customHeight="1" x14ac:dyDescent="0.3">
      <c r="A3866" s="23" t="s">
        <v>17044</v>
      </c>
      <c r="B3866" s="23" t="s">
        <v>79</v>
      </c>
      <c r="C3866" s="39">
        <v>4797</v>
      </c>
      <c r="D3866" s="24">
        <v>76.75</v>
      </c>
      <c r="E3866" s="24">
        <v>13.82</v>
      </c>
      <c r="F3866" s="23">
        <f>COUNTIFS(mdr_rate_cleaned!$A$2:$A$10,B3866,mdr_rate_cleaned!$B$2:$B$10,"&lt;"&amp;C3866,mdr_rate_cleaned!$F$2:$F$10,"&gt;="&amp;C3866)</f>
        <v>1</v>
      </c>
      <c r="G3866" s="40">
        <f>SUMIFS(mdr_rate_cleaned!$G$2:$G$10,mdr_rate_cleaned!$A$2:$A$10,B3866,mdr_rate_cleaned!$B$2:$B$10,"&lt;"&amp;C3866,mdr_rate_cleaned!$F$2:$F$10,"&gt;="&amp;C3866)</f>
        <v>1.6E-2</v>
      </c>
      <c r="H3866" s="24">
        <f t="shared" si="300"/>
        <v>76.75</v>
      </c>
      <c r="I3866" s="23" t="str">
        <f t="shared" si="301"/>
        <v>Match</v>
      </c>
      <c r="J3866" s="23" t="str">
        <f t="shared" si="302"/>
        <v>Match</v>
      </c>
      <c r="K3866" s="24">
        <f t="shared" si="303"/>
        <v>13.82</v>
      </c>
      <c r="L3866" s="24">
        <f t="shared" si="304"/>
        <v>0</v>
      </c>
    </row>
    <row r="3867" spans="1:12" ht="15" customHeight="1" x14ac:dyDescent="0.3">
      <c r="A3867" s="23" t="s">
        <v>17045</v>
      </c>
      <c r="B3867" s="23" t="s">
        <v>75</v>
      </c>
      <c r="C3867" s="39">
        <v>2298</v>
      </c>
      <c r="D3867" s="24">
        <v>6.89</v>
      </c>
      <c r="E3867" s="24">
        <v>1.24</v>
      </c>
      <c r="F3867" s="23">
        <f>COUNTIFS(mdr_rate_cleaned!$A$2:$A$10,B3867,mdr_rate_cleaned!$B$2:$B$10,"&lt;"&amp;C3867,mdr_rate_cleaned!$F$2:$F$10,"&gt;="&amp;C3867)</f>
        <v>1</v>
      </c>
      <c r="G3867" s="40">
        <f>SUMIFS(mdr_rate_cleaned!$G$2:$G$10,mdr_rate_cleaned!$A$2:$A$10,B3867,mdr_rate_cleaned!$B$2:$B$10,"&lt;"&amp;C3867,mdr_rate_cleaned!$F$2:$F$10,"&gt;="&amp;C3867)</f>
        <v>3.0000000000000001E-3</v>
      </c>
      <c r="H3867" s="24">
        <f t="shared" si="300"/>
        <v>6.89</v>
      </c>
      <c r="I3867" s="23" t="str">
        <f t="shared" si="301"/>
        <v>Match</v>
      </c>
      <c r="J3867" s="23" t="str">
        <f t="shared" si="302"/>
        <v>Match</v>
      </c>
      <c r="K3867" s="24">
        <f t="shared" si="303"/>
        <v>1.24</v>
      </c>
      <c r="L3867" s="24">
        <f t="shared" si="304"/>
        <v>0</v>
      </c>
    </row>
    <row r="3868" spans="1:12" ht="15" customHeight="1" x14ac:dyDescent="0.3">
      <c r="A3868" s="23" t="s">
        <v>17046</v>
      </c>
      <c r="B3868" s="23" t="s">
        <v>75</v>
      </c>
      <c r="C3868" s="39">
        <v>10498</v>
      </c>
      <c r="D3868" s="24">
        <v>31.49</v>
      </c>
      <c r="E3868" s="24">
        <v>5.67</v>
      </c>
      <c r="F3868" s="23">
        <f>COUNTIFS(mdr_rate_cleaned!$A$2:$A$10,B3868,mdr_rate_cleaned!$B$2:$B$10,"&lt;"&amp;C3868,mdr_rate_cleaned!$F$2:$F$10,"&gt;="&amp;C3868)</f>
        <v>1</v>
      </c>
      <c r="G3868" s="40">
        <f>SUMIFS(mdr_rate_cleaned!$G$2:$G$10,mdr_rate_cleaned!$A$2:$A$10,B3868,mdr_rate_cleaned!$B$2:$B$10,"&lt;"&amp;C3868,mdr_rate_cleaned!$F$2:$F$10,"&gt;="&amp;C3868)</f>
        <v>3.0000000000000001E-3</v>
      </c>
      <c r="H3868" s="24">
        <f t="shared" si="300"/>
        <v>31.49</v>
      </c>
      <c r="I3868" s="23" t="str">
        <f t="shared" si="301"/>
        <v>Match</v>
      </c>
      <c r="J3868" s="23" t="str">
        <f t="shared" si="302"/>
        <v>Match</v>
      </c>
      <c r="K3868" s="24">
        <f t="shared" si="303"/>
        <v>5.67</v>
      </c>
      <c r="L3868" s="24">
        <f t="shared" si="304"/>
        <v>0</v>
      </c>
    </row>
    <row r="3869" spans="1:12" ht="15" customHeight="1" x14ac:dyDescent="0.3">
      <c r="A3869" s="23" t="s">
        <v>17047</v>
      </c>
      <c r="B3869" s="23" t="s">
        <v>75</v>
      </c>
      <c r="C3869" s="39">
        <v>9347</v>
      </c>
      <c r="D3869" s="24">
        <v>28.04</v>
      </c>
      <c r="E3869" s="24">
        <v>5.05</v>
      </c>
      <c r="F3869" s="23">
        <f>COUNTIFS(mdr_rate_cleaned!$A$2:$A$10,B3869,mdr_rate_cleaned!$B$2:$B$10,"&lt;"&amp;C3869,mdr_rate_cleaned!$F$2:$F$10,"&gt;="&amp;C3869)</f>
        <v>1</v>
      </c>
      <c r="G3869" s="40">
        <f>SUMIFS(mdr_rate_cleaned!$G$2:$G$10,mdr_rate_cleaned!$A$2:$A$10,B3869,mdr_rate_cleaned!$B$2:$B$10,"&lt;"&amp;C3869,mdr_rate_cleaned!$F$2:$F$10,"&gt;="&amp;C3869)</f>
        <v>3.0000000000000001E-3</v>
      </c>
      <c r="H3869" s="24">
        <f t="shared" si="300"/>
        <v>28.04</v>
      </c>
      <c r="I3869" s="23" t="str">
        <f t="shared" si="301"/>
        <v>Match</v>
      </c>
      <c r="J3869" s="23" t="str">
        <f t="shared" si="302"/>
        <v>Match</v>
      </c>
      <c r="K3869" s="24">
        <f t="shared" si="303"/>
        <v>5.05</v>
      </c>
      <c r="L3869" s="24">
        <f t="shared" si="304"/>
        <v>0</v>
      </c>
    </row>
    <row r="3870" spans="1:12" ht="15" customHeight="1" x14ac:dyDescent="0.3">
      <c r="A3870" s="23" t="s">
        <v>17048</v>
      </c>
      <c r="B3870" s="23" t="s">
        <v>81</v>
      </c>
      <c r="C3870" s="39">
        <v>499</v>
      </c>
      <c r="D3870" s="24">
        <v>7.49</v>
      </c>
      <c r="E3870" s="24">
        <v>1.35</v>
      </c>
      <c r="F3870" s="23">
        <f>COUNTIFS(mdr_rate_cleaned!$A$2:$A$10,B3870,mdr_rate_cleaned!$B$2:$B$10,"&lt;"&amp;C3870,mdr_rate_cleaned!$F$2:$F$10,"&gt;="&amp;C3870)</f>
        <v>1</v>
      </c>
      <c r="G3870" s="40">
        <f>SUMIFS(mdr_rate_cleaned!$G$2:$G$10,mdr_rate_cleaned!$A$2:$A$10,B3870,mdr_rate_cleaned!$B$2:$B$10,"&lt;"&amp;C3870,mdr_rate_cleaned!$F$2:$F$10,"&gt;="&amp;C3870)</f>
        <v>1.4999999999999999E-2</v>
      </c>
      <c r="H3870" s="24">
        <f t="shared" si="300"/>
        <v>7.49</v>
      </c>
      <c r="I3870" s="23" t="str">
        <f t="shared" si="301"/>
        <v>Match</v>
      </c>
      <c r="J3870" s="23" t="str">
        <f t="shared" si="302"/>
        <v>Match</v>
      </c>
      <c r="K3870" s="24">
        <f t="shared" si="303"/>
        <v>1.35</v>
      </c>
      <c r="L3870" s="24">
        <f t="shared" si="304"/>
        <v>0</v>
      </c>
    </row>
    <row r="3871" spans="1:12" ht="15" customHeight="1" x14ac:dyDescent="0.3">
      <c r="A3871" s="23" t="s">
        <v>17049</v>
      </c>
      <c r="B3871" s="23" t="s">
        <v>79</v>
      </c>
      <c r="C3871" s="39">
        <v>2999</v>
      </c>
      <c r="D3871" s="24">
        <v>47.98</v>
      </c>
      <c r="E3871" s="24">
        <v>8.64</v>
      </c>
      <c r="F3871" s="23">
        <f>COUNTIFS(mdr_rate_cleaned!$A$2:$A$10,B3871,mdr_rate_cleaned!$B$2:$B$10,"&lt;"&amp;C3871,mdr_rate_cleaned!$F$2:$F$10,"&gt;="&amp;C3871)</f>
        <v>1</v>
      </c>
      <c r="G3871" s="40">
        <f>SUMIFS(mdr_rate_cleaned!$G$2:$G$10,mdr_rate_cleaned!$A$2:$A$10,B3871,mdr_rate_cleaned!$B$2:$B$10,"&lt;"&amp;C3871,mdr_rate_cleaned!$F$2:$F$10,"&gt;="&amp;C3871)</f>
        <v>1.6E-2</v>
      </c>
      <c r="H3871" s="24">
        <f t="shared" si="300"/>
        <v>47.98</v>
      </c>
      <c r="I3871" s="23" t="str">
        <f t="shared" si="301"/>
        <v>Match</v>
      </c>
      <c r="J3871" s="23" t="str">
        <f t="shared" si="302"/>
        <v>Match</v>
      </c>
      <c r="K3871" s="24">
        <f t="shared" si="303"/>
        <v>8.64</v>
      </c>
      <c r="L3871" s="24">
        <f t="shared" si="304"/>
        <v>0</v>
      </c>
    </row>
    <row r="3872" spans="1:12" ht="15" customHeight="1" x14ac:dyDescent="0.3">
      <c r="A3872" s="23" t="s">
        <v>17050</v>
      </c>
      <c r="B3872" s="23" t="s">
        <v>75</v>
      </c>
      <c r="C3872" s="39">
        <v>4999</v>
      </c>
      <c r="D3872" s="24">
        <v>15</v>
      </c>
      <c r="E3872" s="24">
        <v>2.7</v>
      </c>
      <c r="F3872" s="23">
        <f>COUNTIFS(mdr_rate_cleaned!$A$2:$A$10,B3872,mdr_rate_cleaned!$B$2:$B$10,"&lt;"&amp;C3872,mdr_rate_cleaned!$F$2:$F$10,"&gt;="&amp;C3872)</f>
        <v>1</v>
      </c>
      <c r="G3872" s="40">
        <f>SUMIFS(mdr_rate_cleaned!$G$2:$G$10,mdr_rate_cleaned!$A$2:$A$10,B3872,mdr_rate_cleaned!$B$2:$B$10,"&lt;"&amp;C3872,mdr_rate_cleaned!$F$2:$F$10,"&gt;="&amp;C3872)</f>
        <v>3.0000000000000001E-3</v>
      </c>
      <c r="H3872" s="24">
        <f t="shared" si="300"/>
        <v>15</v>
      </c>
      <c r="I3872" s="23" t="str">
        <f t="shared" si="301"/>
        <v>Match</v>
      </c>
      <c r="J3872" s="23" t="str">
        <f t="shared" si="302"/>
        <v>Match</v>
      </c>
      <c r="K3872" s="24">
        <f t="shared" si="303"/>
        <v>2.7</v>
      </c>
      <c r="L3872" s="24">
        <f t="shared" si="304"/>
        <v>0</v>
      </c>
    </row>
    <row r="3873" spans="1:12" ht="15" customHeight="1" x14ac:dyDescent="0.3">
      <c r="A3873" s="23" t="s">
        <v>17051</v>
      </c>
      <c r="B3873" s="23" t="s">
        <v>79</v>
      </c>
      <c r="C3873" s="39">
        <v>5998</v>
      </c>
      <c r="D3873" s="24">
        <v>95.97</v>
      </c>
      <c r="E3873" s="24">
        <v>17.27</v>
      </c>
      <c r="F3873" s="23">
        <f>COUNTIFS(mdr_rate_cleaned!$A$2:$A$10,B3873,mdr_rate_cleaned!$B$2:$B$10,"&lt;"&amp;C3873,mdr_rate_cleaned!$F$2:$F$10,"&gt;="&amp;C3873)</f>
        <v>1</v>
      </c>
      <c r="G3873" s="40">
        <f>SUMIFS(mdr_rate_cleaned!$G$2:$G$10,mdr_rate_cleaned!$A$2:$A$10,B3873,mdr_rate_cleaned!$B$2:$B$10,"&lt;"&amp;C3873,mdr_rate_cleaned!$F$2:$F$10,"&gt;="&amp;C3873)</f>
        <v>1.6E-2</v>
      </c>
      <c r="H3873" s="24">
        <f t="shared" si="300"/>
        <v>95.97</v>
      </c>
      <c r="I3873" s="23" t="str">
        <f t="shared" si="301"/>
        <v>Match</v>
      </c>
      <c r="J3873" s="23" t="str">
        <f t="shared" si="302"/>
        <v>Match</v>
      </c>
      <c r="K3873" s="24">
        <f t="shared" si="303"/>
        <v>17.27</v>
      </c>
      <c r="L3873" s="24">
        <f t="shared" si="304"/>
        <v>0</v>
      </c>
    </row>
    <row r="3874" spans="1:12" ht="15" customHeight="1" x14ac:dyDescent="0.3">
      <c r="A3874" s="23" t="s">
        <v>17053</v>
      </c>
      <c r="B3874" s="23" t="s">
        <v>75</v>
      </c>
      <c r="C3874" s="39">
        <v>4999</v>
      </c>
      <c r="D3874" s="24">
        <v>15</v>
      </c>
      <c r="E3874" s="24">
        <v>2.7</v>
      </c>
      <c r="F3874" s="23">
        <f>COUNTIFS(mdr_rate_cleaned!$A$2:$A$10,B3874,mdr_rate_cleaned!$B$2:$B$10,"&lt;"&amp;C3874,mdr_rate_cleaned!$F$2:$F$10,"&gt;="&amp;C3874)</f>
        <v>1</v>
      </c>
      <c r="G3874" s="40">
        <f>SUMIFS(mdr_rate_cleaned!$G$2:$G$10,mdr_rate_cleaned!$A$2:$A$10,B3874,mdr_rate_cleaned!$B$2:$B$10,"&lt;"&amp;C3874,mdr_rate_cleaned!$F$2:$F$10,"&gt;="&amp;C3874)</f>
        <v>3.0000000000000001E-3</v>
      </c>
      <c r="H3874" s="24">
        <f t="shared" si="300"/>
        <v>15</v>
      </c>
      <c r="I3874" s="23" t="str">
        <f t="shared" si="301"/>
        <v>Match</v>
      </c>
      <c r="J3874" s="23" t="str">
        <f t="shared" si="302"/>
        <v>Match</v>
      </c>
      <c r="K3874" s="24">
        <f t="shared" si="303"/>
        <v>2.7</v>
      </c>
      <c r="L3874" s="24">
        <f t="shared" si="304"/>
        <v>0</v>
      </c>
    </row>
    <row r="3875" spans="1:12" ht="15" customHeight="1" x14ac:dyDescent="0.3">
      <c r="A3875" s="23" t="s">
        <v>17054</v>
      </c>
      <c r="B3875" s="23" t="s">
        <v>75</v>
      </c>
      <c r="C3875" s="39">
        <v>3297</v>
      </c>
      <c r="D3875" s="24">
        <v>9.89</v>
      </c>
      <c r="E3875" s="24">
        <v>1.78</v>
      </c>
      <c r="F3875" s="23">
        <f>COUNTIFS(mdr_rate_cleaned!$A$2:$A$10,B3875,mdr_rate_cleaned!$B$2:$B$10,"&lt;"&amp;C3875,mdr_rate_cleaned!$F$2:$F$10,"&gt;="&amp;C3875)</f>
        <v>1</v>
      </c>
      <c r="G3875" s="40">
        <f>SUMIFS(mdr_rate_cleaned!$G$2:$G$10,mdr_rate_cleaned!$A$2:$A$10,B3875,mdr_rate_cleaned!$B$2:$B$10,"&lt;"&amp;C3875,mdr_rate_cleaned!$F$2:$F$10,"&gt;="&amp;C3875)</f>
        <v>3.0000000000000001E-3</v>
      </c>
      <c r="H3875" s="24">
        <f t="shared" si="300"/>
        <v>9.89</v>
      </c>
      <c r="I3875" s="23" t="str">
        <f t="shared" si="301"/>
        <v>Match</v>
      </c>
      <c r="J3875" s="23" t="str">
        <f t="shared" si="302"/>
        <v>Match</v>
      </c>
      <c r="K3875" s="24">
        <f t="shared" si="303"/>
        <v>1.78</v>
      </c>
      <c r="L3875" s="24">
        <f t="shared" si="304"/>
        <v>0</v>
      </c>
    </row>
    <row r="3876" spans="1:12" ht="15" customHeight="1" x14ac:dyDescent="0.3">
      <c r="A3876" s="23" t="s">
        <v>17055</v>
      </c>
      <c r="B3876" s="23" t="s">
        <v>75</v>
      </c>
      <c r="C3876" s="39">
        <v>999</v>
      </c>
      <c r="D3876" s="24">
        <v>0</v>
      </c>
      <c r="E3876" s="24">
        <v>0</v>
      </c>
      <c r="F3876" s="23">
        <f>COUNTIFS(mdr_rate_cleaned!$A$2:$A$10,B3876,mdr_rate_cleaned!$B$2:$B$10,"&lt;"&amp;C3876,mdr_rate_cleaned!$F$2:$F$10,"&gt;="&amp;C3876)</f>
        <v>1</v>
      </c>
      <c r="G3876" s="40">
        <f>SUMIFS(mdr_rate_cleaned!$G$2:$G$10,mdr_rate_cleaned!$A$2:$A$10,B3876,mdr_rate_cleaned!$B$2:$B$10,"&lt;"&amp;C3876,mdr_rate_cleaned!$F$2:$F$10,"&gt;="&amp;C3876)</f>
        <v>0</v>
      </c>
      <c r="H3876" s="24">
        <f t="shared" si="300"/>
        <v>0</v>
      </c>
      <c r="I3876" s="23" t="str">
        <f t="shared" si="301"/>
        <v>Match</v>
      </c>
      <c r="J3876" s="23" t="str">
        <f t="shared" si="302"/>
        <v>Match</v>
      </c>
      <c r="K3876" s="24">
        <f t="shared" si="303"/>
        <v>0</v>
      </c>
      <c r="L3876" s="24">
        <f t="shared" si="304"/>
        <v>0</v>
      </c>
    </row>
    <row r="3877" spans="1:12" ht="15" customHeight="1" x14ac:dyDescent="0.3">
      <c r="A3877" s="23" t="s">
        <v>17056</v>
      </c>
      <c r="B3877" s="23" t="s">
        <v>79</v>
      </c>
      <c r="C3877" s="39">
        <v>3097</v>
      </c>
      <c r="D3877" s="24">
        <v>49.55</v>
      </c>
      <c r="E3877" s="24">
        <v>8.92</v>
      </c>
      <c r="F3877" s="23">
        <f>COUNTIFS(mdr_rate_cleaned!$A$2:$A$10,B3877,mdr_rate_cleaned!$B$2:$B$10,"&lt;"&amp;C3877,mdr_rate_cleaned!$F$2:$F$10,"&gt;="&amp;C3877)</f>
        <v>1</v>
      </c>
      <c r="G3877" s="40">
        <f>SUMIFS(mdr_rate_cleaned!$G$2:$G$10,mdr_rate_cleaned!$A$2:$A$10,B3877,mdr_rate_cleaned!$B$2:$B$10,"&lt;"&amp;C3877,mdr_rate_cleaned!$F$2:$F$10,"&gt;="&amp;C3877)</f>
        <v>1.6E-2</v>
      </c>
      <c r="H3877" s="24">
        <f t="shared" si="300"/>
        <v>49.55</v>
      </c>
      <c r="I3877" s="23" t="str">
        <f t="shared" si="301"/>
        <v>Match</v>
      </c>
      <c r="J3877" s="23" t="str">
        <f t="shared" si="302"/>
        <v>Match</v>
      </c>
      <c r="K3877" s="24">
        <f t="shared" si="303"/>
        <v>8.92</v>
      </c>
      <c r="L3877" s="24">
        <f t="shared" si="304"/>
        <v>0</v>
      </c>
    </row>
    <row r="3878" spans="1:12" ht="15" customHeight="1" x14ac:dyDescent="0.3">
      <c r="A3878" s="23" t="s">
        <v>17057</v>
      </c>
      <c r="B3878" s="23" t="s">
        <v>79</v>
      </c>
      <c r="C3878" s="39">
        <v>499</v>
      </c>
      <c r="D3878" s="24">
        <v>8.98</v>
      </c>
      <c r="E3878" s="24">
        <v>1.62</v>
      </c>
      <c r="F3878" s="23">
        <f>COUNTIFS(mdr_rate_cleaned!$A$2:$A$10,B3878,mdr_rate_cleaned!$B$2:$B$10,"&lt;"&amp;C3878,mdr_rate_cleaned!$F$2:$F$10,"&gt;="&amp;C3878)</f>
        <v>1</v>
      </c>
      <c r="G3878" s="40">
        <f>SUMIFS(mdr_rate_cleaned!$G$2:$G$10,mdr_rate_cleaned!$A$2:$A$10,B3878,mdr_rate_cleaned!$B$2:$B$10,"&lt;"&amp;C3878,mdr_rate_cleaned!$F$2:$F$10,"&gt;="&amp;C3878)</f>
        <v>1.8000000000000002E-2</v>
      </c>
      <c r="H3878" s="24">
        <f t="shared" si="300"/>
        <v>8.98</v>
      </c>
      <c r="I3878" s="23" t="str">
        <f t="shared" si="301"/>
        <v>Match</v>
      </c>
      <c r="J3878" s="23" t="str">
        <f t="shared" si="302"/>
        <v>Match</v>
      </c>
      <c r="K3878" s="24">
        <f t="shared" si="303"/>
        <v>1.62</v>
      </c>
      <c r="L3878" s="24">
        <f t="shared" si="304"/>
        <v>0</v>
      </c>
    </row>
    <row r="3879" spans="1:12" ht="15" customHeight="1" x14ac:dyDescent="0.3">
      <c r="A3879" s="23" t="s">
        <v>17058</v>
      </c>
      <c r="B3879" s="23" t="s">
        <v>75</v>
      </c>
      <c r="C3879" s="39">
        <v>599</v>
      </c>
      <c r="D3879" s="24">
        <v>0</v>
      </c>
      <c r="E3879" s="24">
        <v>0</v>
      </c>
      <c r="F3879" s="23">
        <f>COUNTIFS(mdr_rate_cleaned!$A$2:$A$10,B3879,mdr_rate_cleaned!$B$2:$B$10,"&lt;"&amp;C3879,mdr_rate_cleaned!$F$2:$F$10,"&gt;="&amp;C3879)</f>
        <v>1</v>
      </c>
      <c r="G3879" s="40">
        <f>SUMIFS(mdr_rate_cleaned!$G$2:$G$10,mdr_rate_cleaned!$A$2:$A$10,B3879,mdr_rate_cleaned!$B$2:$B$10,"&lt;"&amp;C3879,mdr_rate_cleaned!$F$2:$F$10,"&gt;="&amp;C3879)</f>
        <v>0</v>
      </c>
      <c r="H3879" s="24">
        <f t="shared" si="300"/>
        <v>0</v>
      </c>
      <c r="I3879" s="23" t="str">
        <f t="shared" si="301"/>
        <v>Match</v>
      </c>
      <c r="J3879" s="23" t="str">
        <f t="shared" si="302"/>
        <v>Match</v>
      </c>
      <c r="K3879" s="24">
        <f t="shared" si="303"/>
        <v>0</v>
      </c>
      <c r="L3879" s="24">
        <f t="shared" si="304"/>
        <v>0</v>
      </c>
    </row>
    <row r="3880" spans="1:12" ht="15" customHeight="1" x14ac:dyDescent="0.3">
      <c r="A3880" s="23" t="s">
        <v>17059</v>
      </c>
      <c r="B3880" s="23" t="s">
        <v>75</v>
      </c>
      <c r="C3880" s="39">
        <v>798</v>
      </c>
      <c r="D3880" s="24">
        <v>0</v>
      </c>
      <c r="E3880" s="24">
        <v>0</v>
      </c>
      <c r="F3880" s="23">
        <f>COUNTIFS(mdr_rate_cleaned!$A$2:$A$10,B3880,mdr_rate_cleaned!$B$2:$B$10,"&lt;"&amp;C3880,mdr_rate_cleaned!$F$2:$F$10,"&gt;="&amp;C3880)</f>
        <v>1</v>
      </c>
      <c r="G3880" s="40">
        <f>SUMIFS(mdr_rate_cleaned!$G$2:$G$10,mdr_rate_cleaned!$A$2:$A$10,B3880,mdr_rate_cleaned!$B$2:$B$10,"&lt;"&amp;C3880,mdr_rate_cleaned!$F$2:$F$10,"&gt;="&amp;C3880)</f>
        <v>0</v>
      </c>
      <c r="H3880" s="24">
        <f t="shared" si="300"/>
        <v>0</v>
      </c>
      <c r="I3880" s="23" t="str">
        <f t="shared" si="301"/>
        <v>Match</v>
      </c>
      <c r="J3880" s="23" t="str">
        <f t="shared" si="302"/>
        <v>Match</v>
      </c>
      <c r="K3880" s="24">
        <f t="shared" si="303"/>
        <v>0</v>
      </c>
      <c r="L3880" s="24">
        <f t="shared" si="304"/>
        <v>0</v>
      </c>
    </row>
    <row r="3881" spans="1:12" ht="15" customHeight="1" x14ac:dyDescent="0.3">
      <c r="A3881" s="23" t="s">
        <v>17060</v>
      </c>
      <c r="B3881" s="23" t="s">
        <v>77</v>
      </c>
      <c r="C3881" s="39">
        <v>6798</v>
      </c>
      <c r="D3881" s="24">
        <v>115.57</v>
      </c>
      <c r="E3881" s="24">
        <v>20.8</v>
      </c>
      <c r="F3881" s="23">
        <f>COUNTIFS(mdr_rate_cleaned!$A$2:$A$10,B3881,mdr_rate_cleaned!$B$2:$B$10,"&lt;"&amp;C3881,mdr_rate_cleaned!$F$2:$F$10,"&gt;="&amp;C3881)</f>
        <v>1</v>
      </c>
      <c r="G3881" s="40">
        <f>SUMIFS(mdr_rate_cleaned!$G$2:$G$10,mdr_rate_cleaned!$A$2:$A$10,B3881,mdr_rate_cleaned!$B$2:$B$10,"&lt;"&amp;C3881,mdr_rate_cleaned!$F$2:$F$10,"&gt;="&amp;C3881)</f>
        <v>1.7000000000000001E-2</v>
      </c>
      <c r="H3881" s="24">
        <f t="shared" si="300"/>
        <v>115.57</v>
      </c>
      <c r="I3881" s="23" t="str">
        <f t="shared" si="301"/>
        <v>Match</v>
      </c>
      <c r="J3881" s="23" t="str">
        <f t="shared" si="302"/>
        <v>Match</v>
      </c>
      <c r="K3881" s="24">
        <f t="shared" si="303"/>
        <v>20.8</v>
      </c>
      <c r="L3881" s="24">
        <f t="shared" si="304"/>
        <v>0</v>
      </c>
    </row>
    <row r="3882" spans="1:12" ht="15" customHeight="1" x14ac:dyDescent="0.3">
      <c r="A3882" s="23" t="s">
        <v>17061</v>
      </c>
      <c r="B3882" s="23" t="s">
        <v>75</v>
      </c>
      <c r="C3882" s="39">
        <v>8998</v>
      </c>
      <c r="D3882" s="24">
        <v>26.99</v>
      </c>
      <c r="E3882" s="24">
        <v>4.8600000000000003</v>
      </c>
      <c r="F3882" s="23">
        <f>COUNTIFS(mdr_rate_cleaned!$A$2:$A$10,B3882,mdr_rate_cleaned!$B$2:$B$10,"&lt;"&amp;C3882,mdr_rate_cleaned!$F$2:$F$10,"&gt;="&amp;C3882)</f>
        <v>1</v>
      </c>
      <c r="G3882" s="40">
        <f>SUMIFS(mdr_rate_cleaned!$G$2:$G$10,mdr_rate_cleaned!$A$2:$A$10,B3882,mdr_rate_cleaned!$B$2:$B$10,"&lt;"&amp;C3882,mdr_rate_cleaned!$F$2:$F$10,"&gt;="&amp;C3882)</f>
        <v>3.0000000000000001E-3</v>
      </c>
      <c r="H3882" s="24">
        <f t="shared" si="300"/>
        <v>26.99</v>
      </c>
      <c r="I3882" s="23" t="str">
        <f t="shared" si="301"/>
        <v>Match</v>
      </c>
      <c r="J3882" s="23" t="str">
        <f t="shared" si="302"/>
        <v>Match</v>
      </c>
      <c r="K3882" s="24">
        <f t="shared" si="303"/>
        <v>4.8600000000000003</v>
      </c>
      <c r="L3882" s="24">
        <f t="shared" si="304"/>
        <v>0</v>
      </c>
    </row>
    <row r="3883" spans="1:12" ht="15" customHeight="1" x14ac:dyDescent="0.3">
      <c r="A3883" s="23" t="s">
        <v>17062</v>
      </c>
      <c r="B3883" s="23" t="s">
        <v>79</v>
      </c>
      <c r="C3883" s="39">
        <v>499</v>
      </c>
      <c r="D3883" s="24">
        <v>8.98</v>
      </c>
      <c r="E3883" s="24">
        <v>1.62</v>
      </c>
      <c r="F3883" s="23">
        <f>COUNTIFS(mdr_rate_cleaned!$A$2:$A$10,B3883,mdr_rate_cleaned!$B$2:$B$10,"&lt;"&amp;C3883,mdr_rate_cleaned!$F$2:$F$10,"&gt;="&amp;C3883)</f>
        <v>1</v>
      </c>
      <c r="G3883" s="40">
        <f>SUMIFS(mdr_rate_cleaned!$G$2:$G$10,mdr_rate_cleaned!$A$2:$A$10,B3883,mdr_rate_cleaned!$B$2:$B$10,"&lt;"&amp;C3883,mdr_rate_cleaned!$F$2:$F$10,"&gt;="&amp;C3883)</f>
        <v>1.8000000000000002E-2</v>
      </c>
      <c r="H3883" s="24">
        <f t="shared" si="300"/>
        <v>8.98</v>
      </c>
      <c r="I3883" s="23" t="str">
        <f t="shared" si="301"/>
        <v>Match</v>
      </c>
      <c r="J3883" s="23" t="str">
        <f t="shared" si="302"/>
        <v>Match</v>
      </c>
      <c r="K3883" s="24">
        <f t="shared" si="303"/>
        <v>1.62</v>
      </c>
      <c r="L3883" s="24">
        <f t="shared" si="304"/>
        <v>0</v>
      </c>
    </row>
    <row r="3884" spans="1:12" ht="15" customHeight="1" x14ac:dyDescent="0.3">
      <c r="A3884" s="23" t="s">
        <v>17063</v>
      </c>
      <c r="B3884" s="23" t="s">
        <v>79</v>
      </c>
      <c r="C3884" s="39">
        <v>1799</v>
      </c>
      <c r="D3884" s="24">
        <v>32.380000000000003</v>
      </c>
      <c r="E3884" s="24">
        <v>5.83</v>
      </c>
      <c r="F3884" s="23">
        <f>COUNTIFS(mdr_rate_cleaned!$A$2:$A$10,B3884,mdr_rate_cleaned!$B$2:$B$10,"&lt;"&amp;C3884,mdr_rate_cleaned!$F$2:$F$10,"&gt;="&amp;C3884)</f>
        <v>1</v>
      </c>
      <c r="G3884" s="40">
        <f>SUMIFS(mdr_rate_cleaned!$G$2:$G$10,mdr_rate_cleaned!$A$2:$A$10,B3884,mdr_rate_cleaned!$B$2:$B$10,"&lt;"&amp;C3884,mdr_rate_cleaned!$F$2:$F$10,"&gt;="&amp;C3884)</f>
        <v>1.8000000000000002E-2</v>
      </c>
      <c r="H3884" s="24">
        <f t="shared" si="300"/>
        <v>32.380000000000003</v>
      </c>
      <c r="I3884" s="23" t="str">
        <f t="shared" si="301"/>
        <v>Match</v>
      </c>
      <c r="J3884" s="23" t="str">
        <f t="shared" si="302"/>
        <v>Match</v>
      </c>
      <c r="K3884" s="24">
        <f t="shared" si="303"/>
        <v>5.83</v>
      </c>
      <c r="L3884" s="24">
        <f t="shared" si="304"/>
        <v>0</v>
      </c>
    </row>
    <row r="3885" spans="1:12" ht="15" customHeight="1" x14ac:dyDescent="0.3">
      <c r="A3885" s="23" t="s">
        <v>17064</v>
      </c>
      <c r="B3885" s="23" t="s">
        <v>79</v>
      </c>
      <c r="C3885" s="39">
        <v>1947</v>
      </c>
      <c r="D3885" s="24">
        <v>35.049999999999997</v>
      </c>
      <c r="E3885" s="24">
        <v>6.31</v>
      </c>
      <c r="F3885" s="23">
        <f>COUNTIFS(mdr_rate_cleaned!$A$2:$A$10,B3885,mdr_rate_cleaned!$B$2:$B$10,"&lt;"&amp;C3885,mdr_rate_cleaned!$F$2:$F$10,"&gt;="&amp;C3885)</f>
        <v>1</v>
      </c>
      <c r="G3885" s="40">
        <f>SUMIFS(mdr_rate_cleaned!$G$2:$G$10,mdr_rate_cleaned!$A$2:$A$10,B3885,mdr_rate_cleaned!$B$2:$B$10,"&lt;"&amp;C3885,mdr_rate_cleaned!$F$2:$F$10,"&gt;="&amp;C3885)</f>
        <v>1.8000000000000002E-2</v>
      </c>
      <c r="H3885" s="24">
        <f t="shared" si="300"/>
        <v>35.049999999999997</v>
      </c>
      <c r="I3885" s="23" t="str">
        <f t="shared" si="301"/>
        <v>Match</v>
      </c>
      <c r="J3885" s="23" t="str">
        <f t="shared" si="302"/>
        <v>Match</v>
      </c>
      <c r="K3885" s="24">
        <f t="shared" si="303"/>
        <v>6.31</v>
      </c>
      <c r="L3885" s="24">
        <f t="shared" si="304"/>
        <v>0</v>
      </c>
    </row>
    <row r="3886" spans="1:12" ht="15" customHeight="1" x14ac:dyDescent="0.3">
      <c r="A3886" s="23" t="s">
        <v>17065</v>
      </c>
      <c r="B3886" s="23" t="s">
        <v>75</v>
      </c>
      <c r="C3886" s="39">
        <v>499</v>
      </c>
      <c r="D3886" s="24">
        <v>0</v>
      </c>
      <c r="E3886" s="24">
        <v>0</v>
      </c>
      <c r="F3886" s="23">
        <f>COUNTIFS(mdr_rate_cleaned!$A$2:$A$10,B3886,mdr_rate_cleaned!$B$2:$B$10,"&lt;"&amp;C3886,mdr_rate_cleaned!$F$2:$F$10,"&gt;="&amp;C3886)</f>
        <v>1</v>
      </c>
      <c r="G3886" s="40">
        <f>SUMIFS(mdr_rate_cleaned!$G$2:$G$10,mdr_rate_cleaned!$A$2:$A$10,B3886,mdr_rate_cleaned!$B$2:$B$10,"&lt;"&amp;C3886,mdr_rate_cleaned!$F$2:$F$10,"&gt;="&amp;C3886)</f>
        <v>0</v>
      </c>
      <c r="H3886" s="24">
        <f t="shared" si="300"/>
        <v>0</v>
      </c>
      <c r="I3886" s="23" t="str">
        <f t="shared" si="301"/>
        <v>Match</v>
      </c>
      <c r="J3886" s="23" t="str">
        <f t="shared" si="302"/>
        <v>Match</v>
      </c>
      <c r="K3886" s="24">
        <f t="shared" si="303"/>
        <v>0</v>
      </c>
      <c r="L3886" s="24">
        <f t="shared" si="304"/>
        <v>0</v>
      </c>
    </row>
    <row r="3887" spans="1:12" ht="15" customHeight="1" x14ac:dyDescent="0.3">
      <c r="A3887" s="23" t="s">
        <v>17066</v>
      </c>
      <c r="B3887" s="23" t="s">
        <v>77</v>
      </c>
      <c r="C3887" s="39">
        <v>1997</v>
      </c>
      <c r="D3887" s="24">
        <v>37.94</v>
      </c>
      <c r="E3887" s="24">
        <v>6.83</v>
      </c>
      <c r="F3887" s="23">
        <f>COUNTIFS(mdr_rate_cleaned!$A$2:$A$10,B3887,mdr_rate_cleaned!$B$2:$B$10,"&lt;"&amp;C3887,mdr_rate_cleaned!$F$2:$F$10,"&gt;="&amp;C3887)</f>
        <v>1</v>
      </c>
      <c r="G3887" s="40">
        <f>SUMIFS(mdr_rate_cleaned!$G$2:$G$10,mdr_rate_cleaned!$A$2:$A$10,B3887,mdr_rate_cleaned!$B$2:$B$10,"&lt;"&amp;C3887,mdr_rate_cleaned!$F$2:$F$10,"&gt;="&amp;C3887)</f>
        <v>1.9E-2</v>
      </c>
      <c r="H3887" s="24">
        <f t="shared" si="300"/>
        <v>37.94</v>
      </c>
      <c r="I3887" s="23" t="str">
        <f t="shared" si="301"/>
        <v>Match</v>
      </c>
      <c r="J3887" s="23" t="str">
        <f t="shared" si="302"/>
        <v>Match</v>
      </c>
      <c r="K3887" s="24">
        <f t="shared" si="303"/>
        <v>6.83</v>
      </c>
      <c r="L3887" s="24">
        <f t="shared" si="304"/>
        <v>0</v>
      </c>
    </row>
    <row r="3888" spans="1:12" ht="15" customHeight="1" x14ac:dyDescent="0.3">
      <c r="A3888" s="23" t="s">
        <v>17068</v>
      </c>
      <c r="B3888" s="23" t="s">
        <v>75</v>
      </c>
      <c r="C3888" s="39">
        <v>11297</v>
      </c>
      <c r="D3888" s="24">
        <v>33.89</v>
      </c>
      <c r="E3888" s="24">
        <v>6.1</v>
      </c>
      <c r="F3888" s="23">
        <f>COUNTIFS(mdr_rate_cleaned!$A$2:$A$10,B3888,mdr_rate_cleaned!$B$2:$B$10,"&lt;"&amp;C3888,mdr_rate_cleaned!$F$2:$F$10,"&gt;="&amp;C3888)</f>
        <v>1</v>
      </c>
      <c r="G3888" s="40">
        <f>SUMIFS(mdr_rate_cleaned!$G$2:$G$10,mdr_rate_cleaned!$A$2:$A$10,B3888,mdr_rate_cleaned!$B$2:$B$10,"&lt;"&amp;C3888,mdr_rate_cleaned!$F$2:$F$10,"&gt;="&amp;C3888)</f>
        <v>3.0000000000000001E-3</v>
      </c>
      <c r="H3888" s="24">
        <f t="shared" si="300"/>
        <v>33.89</v>
      </c>
      <c r="I3888" s="23" t="str">
        <f t="shared" si="301"/>
        <v>Match</v>
      </c>
      <c r="J3888" s="23" t="str">
        <f t="shared" si="302"/>
        <v>Match</v>
      </c>
      <c r="K3888" s="24">
        <f t="shared" si="303"/>
        <v>6.1</v>
      </c>
      <c r="L3888" s="24">
        <f t="shared" si="304"/>
        <v>0</v>
      </c>
    </row>
    <row r="3889" spans="1:12" ht="15" customHeight="1" x14ac:dyDescent="0.3">
      <c r="A3889" s="23" t="s">
        <v>17069</v>
      </c>
      <c r="B3889" s="23" t="s">
        <v>77</v>
      </c>
      <c r="C3889" s="39">
        <v>3348</v>
      </c>
      <c r="D3889" s="24">
        <v>80.349999999999994</v>
      </c>
      <c r="E3889" s="24">
        <v>14.46</v>
      </c>
      <c r="F3889" s="23">
        <f>COUNTIFS(mdr_rate_cleaned!$A$2:$A$10,B3889,mdr_rate_cleaned!$B$2:$B$10,"&lt;"&amp;C3889,mdr_rate_cleaned!$F$2:$F$10,"&gt;="&amp;C3889)</f>
        <v>1</v>
      </c>
      <c r="G3889" s="40">
        <f>SUMIFS(mdr_rate_cleaned!$G$2:$G$10,mdr_rate_cleaned!$A$2:$A$10,B3889,mdr_rate_cleaned!$B$2:$B$10,"&lt;"&amp;C3889,mdr_rate_cleaned!$F$2:$F$10,"&gt;="&amp;C3889)</f>
        <v>1.7000000000000001E-2</v>
      </c>
      <c r="H3889" s="24">
        <f t="shared" si="300"/>
        <v>56.92</v>
      </c>
      <c r="I3889" s="23" t="str">
        <f t="shared" si="301"/>
        <v>Differs</v>
      </c>
      <c r="J3889" s="23" t="str">
        <f t="shared" si="302"/>
        <v>Match</v>
      </c>
      <c r="K3889" s="24">
        <f t="shared" si="303"/>
        <v>10.25</v>
      </c>
      <c r="L3889" s="24">
        <f t="shared" si="304"/>
        <v>27.64</v>
      </c>
    </row>
    <row r="3890" spans="1:12" ht="15" customHeight="1" x14ac:dyDescent="0.3">
      <c r="A3890" s="23" t="s">
        <v>17070</v>
      </c>
      <c r="B3890" s="23" t="s">
        <v>75</v>
      </c>
      <c r="C3890" s="39">
        <v>1648</v>
      </c>
      <c r="D3890" s="24">
        <v>0</v>
      </c>
      <c r="E3890" s="24">
        <v>0</v>
      </c>
      <c r="F3890" s="23">
        <f>COUNTIFS(mdr_rate_cleaned!$A$2:$A$10,B3890,mdr_rate_cleaned!$B$2:$B$10,"&lt;"&amp;C3890,mdr_rate_cleaned!$F$2:$F$10,"&gt;="&amp;C3890)</f>
        <v>1</v>
      </c>
      <c r="G3890" s="40">
        <f>SUMIFS(mdr_rate_cleaned!$G$2:$G$10,mdr_rate_cleaned!$A$2:$A$10,B3890,mdr_rate_cleaned!$B$2:$B$10,"&lt;"&amp;C3890,mdr_rate_cleaned!$F$2:$F$10,"&gt;="&amp;C3890)</f>
        <v>0</v>
      </c>
      <c r="H3890" s="24">
        <f t="shared" si="300"/>
        <v>0</v>
      </c>
      <c r="I3890" s="23" t="str">
        <f t="shared" si="301"/>
        <v>Match</v>
      </c>
      <c r="J3890" s="23" t="str">
        <f t="shared" si="302"/>
        <v>Match</v>
      </c>
      <c r="K3890" s="24">
        <f t="shared" si="303"/>
        <v>0</v>
      </c>
      <c r="L3890" s="24">
        <f t="shared" si="304"/>
        <v>0</v>
      </c>
    </row>
    <row r="3891" spans="1:12" ht="15" customHeight="1" x14ac:dyDescent="0.3">
      <c r="A3891" s="23" t="s">
        <v>17071</v>
      </c>
      <c r="B3891" s="23" t="s">
        <v>75</v>
      </c>
      <c r="C3891" s="39">
        <v>948</v>
      </c>
      <c r="D3891" s="24">
        <v>0</v>
      </c>
      <c r="E3891" s="24">
        <v>0</v>
      </c>
      <c r="F3891" s="23">
        <f>COUNTIFS(mdr_rate_cleaned!$A$2:$A$10,B3891,mdr_rate_cleaned!$B$2:$B$10,"&lt;"&amp;C3891,mdr_rate_cleaned!$F$2:$F$10,"&gt;="&amp;C3891)</f>
        <v>1</v>
      </c>
      <c r="G3891" s="40">
        <f>SUMIFS(mdr_rate_cleaned!$G$2:$G$10,mdr_rate_cleaned!$A$2:$A$10,B3891,mdr_rate_cleaned!$B$2:$B$10,"&lt;"&amp;C3891,mdr_rate_cleaned!$F$2:$F$10,"&gt;="&amp;C3891)</f>
        <v>0</v>
      </c>
      <c r="H3891" s="24">
        <f t="shared" si="300"/>
        <v>0</v>
      </c>
      <c r="I3891" s="23" t="str">
        <f t="shared" si="301"/>
        <v>Match</v>
      </c>
      <c r="J3891" s="23" t="str">
        <f t="shared" si="302"/>
        <v>Match</v>
      </c>
      <c r="K3891" s="24">
        <f t="shared" si="303"/>
        <v>0</v>
      </c>
      <c r="L3891" s="24">
        <f t="shared" si="304"/>
        <v>0</v>
      </c>
    </row>
    <row r="3892" spans="1:12" ht="15" customHeight="1" x14ac:dyDescent="0.3">
      <c r="A3892" s="23" t="s">
        <v>17073</v>
      </c>
      <c r="B3892" s="23" t="s">
        <v>75</v>
      </c>
      <c r="C3892" s="39">
        <v>9847</v>
      </c>
      <c r="D3892" s="24">
        <v>29.54</v>
      </c>
      <c r="E3892" s="24">
        <v>5.32</v>
      </c>
      <c r="F3892" s="23">
        <f>COUNTIFS(mdr_rate_cleaned!$A$2:$A$10,B3892,mdr_rate_cleaned!$B$2:$B$10,"&lt;"&amp;C3892,mdr_rate_cleaned!$F$2:$F$10,"&gt;="&amp;C3892)</f>
        <v>1</v>
      </c>
      <c r="G3892" s="40">
        <f>SUMIFS(mdr_rate_cleaned!$G$2:$G$10,mdr_rate_cleaned!$A$2:$A$10,B3892,mdr_rate_cleaned!$B$2:$B$10,"&lt;"&amp;C3892,mdr_rate_cleaned!$F$2:$F$10,"&gt;="&amp;C3892)</f>
        <v>3.0000000000000001E-3</v>
      </c>
      <c r="H3892" s="24">
        <f t="shared" si="300"/>
        <v>29.54</v>
      </c>
      <c r="I3892" s="23" t="str">
        <f t="shared" si="301"/>
        <v>Match</v>
      </c>
      <c r="J3892" s="23" t="str">
        <f t="shared" si="302"/>
        <v>Match</v>
      </c>
      <c r="K3892" s="24">
        <f t="shared" si="303"/>
        <v>5.32</v>
      </c>
      <c r="L3892" s="24">
        <f t="shared" si="304"/>
        <v>0</v>
      </c>
    </row>
    <row r="3893" spans="1:12" ht="15" customHeight="1" x14ac:dyDescent="0.3">
      <c r="A3893" s="23" t="s">
        <v>17074</v>
      </c>
      <c r="B3893" s="23" t="s">
        <v>79</v>
      </c>
      <c r="C3893" s="39">
        <v>3348</v>
      </c>
      <c r="D3893" s="24">
        <v>53.57</v>
      </c>
      <c r="E3893" s="24">
        <v>9.64</v>
      </c>
      <c r="F3893" s="23">
        <f>COUNTIFS(mdr_rate_cleaned!$A$2:$A$10,B3893,mdr_rate_cleaned!$B$2:$B$10,"&lt;"&amp;C3893,mdr_rate_cleaned!$F$2:$F$10,"&gt;="&amp;C3893)</f>
        <v>1</v>
      </c>
      <c r="G3893" s="40">
        <f>SUMIFS(mdr_rate_cleaned!$G$2:$G$10,mdr_rate_cleaned!$A$2:$A$10,B3893,mdr_rate_cleaned!$B$2:$B$10,"&lt;"&amp;C3893,mdr_rate_cleaned!$F$2:$F$10,"&gt;="&amp;C3893)</f>
        <v>1.6E-2</v>
      </c>
      <c r="H3893" s="24">
        <f t="shared" si="300"/>
        <v>53.57</v>
      </c>
      <c r="I3893" s="23" t="str">
        <f t="shared" si="301"/>
        <v>Match</v>
      </c>
      <c r="J3893" s="23" t="str">
        <f t="shared" si="302"/>
        <v>Match</v>
      </c>
      <c r="K3893" s="24">
        <f t="shared" si="303"/>
        <v>9.64</v>
      </c>
      <c r="L3893" s="24">
        <f t="shared" si="304"/>
        <v>0</v>
      </c>
    </row>
    <row r="3894" spans="1:12" ht="15" customHeight="1" x14ac:dyDescent="0.3">
      <c r="A3894" s="23" t="s">
        <v>17076</v>
      </c>
      <c r="B3894" s="23" t="s">
        <v>75</v>
      </c>
      <c r="C3894" s="39">
        <v>8298</v>
      </c>
      <c r="D3894" s="24">
        <v>24.89</v>
      </c>
      <c r="E3894" s="24">
        <v>4.4800000000000004</v>
      </c>
      <c r="F3894" s="23">
        <f>COUNTIFS(mdr_rate_cleaned!$A$2:$A$10,B3894,mdr_rate_cleaned!$B$2:$B$10,"&lt;"&amp;C3894,mdr_rate_cleaned!$F$2:$F$10,"&gt;="&amp;C3894)</f>
        <v>1</v>
      </c>
      <c r="G3894" s="40">
        <f>SUMIFS(mdr_rate_cleaned!$G$2:$G$10,mdr_rate_cleaned!$A$2:$A$10,B3894,mdr_rate_cleaned!$B$2:$B$10,"&lt;"&amp;C3894,mdr_rate_cleaned!$F$2:$F$10,"&gt;="&amp;C3894)</f>
        <v>3.0000000000000001E-3</v>
      </c>
      <c r="H3894" s="24">
        <f t="shared" si="300"/>
        <v>24.89</v>
      </c>
      <c r="I3894" s="23" t="str">
        <f t="shared" si="301"/>
        <v>Match</v>
      </c>
      <c r="J3894" s="23" t="str">
        <f t="shared" si="302"/>
        <v>Match</v>
      </c>
      <c r="K3894" s="24">
        <f t="shared" si="303"/>
        <v>4.4800000000000004</v>
      </c>
      <c r="L3894" s="24">
        <f t="shared" si="304"/>
        <v>0</v>
      </c>
    </row>
    <row r="3895" spans="1:12" ht="15" customHeight="1" x14ac:dyDescent="0.3">
      <c r="A3895" s="23" t="s">
        <v>17077</v>
      </c>
      <c r="B3895" s="23" t="s">
        <v>75</v>
      </c>
      <c r="C3895" s="39">
        <v>7999</v>
      </c>
      <c r="D3895" s="24">
        <v>24</v>
      </c>
      <c r="E3895" s="24">
        <v>4.32</v>
      </c>
      <c r="F3895" s="23">
        <f>COUNTIFS(mdr_rate_cleaned!$A$2:$A$10,B3895,mdr_rate_cleaned!$B$2:$B$10,"&lt;"&amp;C3895,mdr_rate_cleaned!$F$2:$F$10,"&gt;="&amp;C3895)</f>
        <v>1</v>
      </c>
      <c r="G3895" s="40">
        <f>SUMIFS(mdr_rate_cleaned!$G$2:$G$10,mdr_rate_cleaned!$A$2:$A$10,B3895,mdr_rate_cleaned!$B$2:$B$10,"&lt;"&amp;C3895,mdr_rate_cleaned!$F$2:$F$10,"&gt;="&amp;C3895)</f>
        <v>3.0000000000000001E-3</v>
      </c>
      <c r="H3895" s="24">
        <f t="shared" si="300"/>
        <v>24</v>
      </c>
      <c r="I3895" s="23" t="str">
        <f t="shared" si="301"/>
        <v>Match</v>
      </c>
      <c r="J3895" s="23" t="str">
        <f t="shared" si="302"/>
        <v>Match</v>
      </c>
      <c r="K3895" s="24">
        <f t="shared" si="303"/>
        <v>4.32</v>
      </c>
      <c r="L3895" s="24">
        <f t="shared" si="304"/>
        <v>0</v>
      </c>
    </row>
    <row r="3896" spans="1:12" ht="15" customHeight="1" x14ac:dyDescent="0.3">
      <c r="A3896" s="23" t="s">
        <v>17078</v>
      </c>
      <c r="B3896" s="23" t="s">
        <v>79</v>
      </c>
      <c r="C3896" s="39">
        <v>1299</v>
      </c>
      <c r="D3896" s="24">
        <v>23.38</v>
      </c>
      <c r="E3896" s="24">
        <v>4.21</v>
      </c>
      <c r="F3896" s="23">
        <f>COUNTIFS(mdr_rate_cleaned!$A$2:$A$10,B3896,mdr_rate_cleaned!$B$2:$B$10,"&lt;"&amp;C3896,mdr_rate_cleaned!$F$2:$F$10,"&gt;="&amp;C3896)</f>
        <v>1</v>
      </c>
      <c r="G3896" s="40">
        <f>SUMIFS(mdr_rate_cleaned!$G$2:$G$10,mdr_rate_cleaned!$A$2:$A$10,B3896,mdr_rate_cleaned!$B$2:$B$10,"&lt;"&amp;C3896,mdr_rate_cleaned!$F$2:$F$10,"&gt;="&amp;C3896)</f>
        <v>1.8000000000000002E-2</v>
      </c>
      <c r="H3896" s="24">
        <f t="shared" si="300"/>
        <v>23.38</v>
      </c>
      <c r="I3896" s="23" t="str">
        <f t="shared" si="301"/>
        <v>Match</v>
      </c>
      <c r="J3896" s="23" t="str">
        <f t="shared" si="302"/>
        <v>Match</v>
      </c>
      <c r="K3896" s="24">
        <f t="shared" si="303"/>
        <v>4.21</v>
      </c>
      <c r="L3896" s="24">
        <f t="shared" si="304"/>
        <v>0</v>
      </c>
    </row>
    <row r="3897" spans="1:12" ht="15" customHeight="1" x14ac:dyDescent="0.3">
      <c r="A3897" s="23" t="s">
        <v>17079</v>
      </c>
      <c r="B3897" s="23" t="s">
        <v>79</v>
      </c>
      <c r="C3897" s="39">
        <v>999</v>
      </c>
      <c r="D3897" s="24">
        <v>17.98</v>
      </c>
      <c r="E3897" s="24">
        <v>3.24</v>
      </c>
      <c r="F3897" s="23">
        <f>COUNTIFS(mdr_rate_cleaned!$A$2:$A$10,B3897,mdr_rate_cleaned!$B$2:$B$10,"&lt;"&amp;C3897,mdr_rate_cleaned!$F$2:$F$10,"&gt;="&amp;C3897)</f>
        <v>1</v>
      </c>
      <c r="G3897" s="40">
        <f>SUMIFS(mdr_rate_cleaned!$G$2:$G$10,mdr_rate_cleaned!$A$2:$A$10,B3897,mdr_rate_cleaned!$B$2:$B$10,"&lt;"&amp;C3897,mdr_rate_cleaned!$F$2:$F$10,"&gt;="&amp;C3897)</f>
        <v>1.8000000000000002E-2</v>
      </c>
      <c r="H3897" s="24">
        <f t="shared" si="300"/>
        <v>17.98</v>
      </c>
      <c r="I3897" s="23" t="str">
        <f t="shared" si="301"/>
        <v>Match</v>
      </c>
      <c r="J3897" s="23" t="str">
        <f t="shared" si="302"/>
        <v>Match</v>
      </c>
      <c r="K3897" s="24">
        <f t="shared" si="303"/>
        <v>3.24</v>
      </c>
      <c r="L3897" s="24">
        <f t="shared" si="304"/>
        <v>0</v>
      </c>
    </row>
    <row r="3898" spans="1:12" ht="15" customHeight="1" x14ac:dyDescent="0.3">
      <c r="A3898" s="23" t="s">
        <v>17080</v>
      </c>
      <c r="B3898" s="23" t="s">
        <v>75</v>
      </c>
      <c r="C3898" s="39">
        <v>1098</v>
      </c>
      <c r="D3898" s="24">
        <v>0</v>
      </c>
      <c r="E3898" s="24">
        <v>0</v>
      </c>
      <c r="F3898" s="23">
        <f>COUNTIFS(mdr_rate_cleaned!$A$2:$A$10,B3898,mdr_rate_cleaned!$B$2:$B$10,"&lt;"&amp;C3898,mdr_rate_cleaned!$F$2:$F$10,"&gt;="&amp;C3898)</f>
        <v>1</v>
      </c>
      <c r="G3898" s="40">
        <f>SUMIFS(mdr_rate_cleaned!$G$2:$G$10,mdr_rate_cleaned!$A$2:$A$10,B3898,mdr_rate_cleaned!$B$2:$B$10,"&lt;"&amp;C3898,mdr_rate_cleaned!$F$2:$F$10,"&gt;="&amp;C3898)</f>
        <v>0</v>
      </c>
      <c r="H3898" s="24">
        <f t="shared" si="300"/>
        <v>0</v>
      </c>
      <c r="I3898" s="23" t="str">
        <f t="shared" si="301"/>
        <v>Match</v>
      </c>
      <c r="J3898" s="23" t="str">
        <f t="shared" si="302"/>
        <v>Match</v>
      </c>
      <c r="K3898" s="24">
        <f t="shared" si="303"/>
        <v>0</v>
      </c>
      <c r="L3898" s="24">
        <f t="shared" si="304"/>
        <v>0</v>
      </c>
    </row>
    <row r="3899" spans="1:12" ht="15" customHeight="1" x14ac:dyDescent="0.3">
      <c r="A3899" s="23" t="s">
        <v>17081</v>
      </c>
      <c r="B3899" s="23" t="s">
        <v>79</v>
      </c>
      <c r="C3899" s="39">
        <v>2798</v>
      </c>
      <c r="D3899" s="24">
        <v>44.77</v>
      </c>
      <c r="E3899" s="24">
        <v>8.06</v>
      </c>
      <c r="F3899" s="23">
        <f>COUNTIFS(mdr_rate_cleaned!$A$2:$A$10,B3899,mdr_rate_cleaned!$B$2:$B$10,"&lt;"&amp;C3899,mdr_rate_cleaned!$F$2:$F$10,"&gt;="&amp;C3899)</f>
        <v>1</v>
      </c>
      <c r="G3899" s="40">
        <f>SUMIFS(mdr_rate_cleaned!$G$2:$G$10,mdr_rate_cleaned!$A$2:$A$10,B3899,mdr_rate_cleaned!$B$2:$B$10,"&lt;"&amp;C3899,mdr_rate_cleaned!$F$2:$F$10,"&gt;="&amp;C3899)</f>
        <v>1.6E-2</v>
      </c>
      <c r="H3899" s="24">
        <f t="shared" si="300"/>
        <v>44.77</v>
      </c>
      <c r="I3899" s="23" t="str">
        <f t="shared" si="301"/>
        <v>Match</v>
      </c>
      <c r="J3899" s="23" t="str">
        <f t="shared" si="302"/>
        <v>Match</v>
      </c>
      <c r="K3899" s="24">
        <f t="shared" si="303"/>
        <v>8.06</v>
      </c>
      <c r="L3899" s="24">
        <f t="shared" si="304"/>
        <v>0</v>
      </c>
    </row>
    <row r="3900" spans="1:12" ht="15" customHeight="1" x14ac:dyDescent="0.3">
      <c r="A3900" s="23" t="s">
        <v>17083</v>
      </c>
      <c r="B3900" s="23" t="s">
        <v>75</v>
      </c>
      <c r="C3900" s="39">
        <v>7797</v>
      </c>
      <c r="D3900" s="24">
        <v>23.39</v>
      </c>
      <c r="E3900" s="24">
        <v>4.21</v>
      </c>
      <c r="F3900" s="23">
        <f>COUNTIFS(mdr_rate_cleaned!$A$2:$A$10,B3900,mdr_rate_cleaned!$B$2:$B$10,"&lt;"&amp;C3900,mdr_rate_cleaned!$F$2:$F$10,"&gt;="&amp;C3900)</f>
        <v>1</v>
      </c>
      <c r="G3900" s="40">
        <f>SUMIFS(mdr_rate_cleaned!$G$2:$G$10,mdr_rate_cleaned!$A$2:$A$10,B3900,mdr_rate_cleaned!$B$2:$B$10,"&lt;"&amp;C3900,mdr_rate_cleaned!$F$2:$F$10,"&gt;="&amp;C3900)</f>
        <v>3.0000000000000001E-3</v>
      </c>
      <c r="H3900" s="24">
        <f t="shared" si="300"/>
        <v>23.39</v>
      </c>
      <c r="I3900" s="23" t="str">
        <f t="shared" si="301"/>
        <v>Match</v>
      </c>
      <c r="J3900" s="23" t="str">
        <f t="shared" si="302"/>
        <v>Match</v>
      </c>
      <c r="K3900" s="24">
        <f t="shared" si="303"/>
        <v>4.21</v>
      </c>
      <c r="L3900" s="24">
        <f t="shared" si="304"/>
        <v>0</v>
      </c>
    </row>
    <row r="3901" spans="1:12" ht="15" customHeight="1" x14ac:dyDescent="0.3">
      <c r="A3901" s="23" t="s">
        <v>17084</v>
      </c>
      <c r="B3901" s="23" t="s">
        <v>75</v>
      </c>
      <c r="C3901" s="39">
        <v>1998</v>
      </c>
      <c r="D3901" s="24">
        <v>0</v>
      </c>
      <c r="E3901" s="24">
        <v>0</v>
      </c>
      <c r="F3901" s="23">
        <f>COUNTIFS(mdr_rate_cleaned!$A$2:$A$10,B3901,mdr_rate_cleaned!$B$2:$B$10,"&lt;"&amp;C3901,mdr_rate_cleaned!$F$2:$F$10,"&gt;="&amp;C3901)</f>
        <v>1</v>
      </c>
      <c r="G3901" s="40">
        <f>SUMIFS(mdr_rate_cleaned!$G$2:$G$10,mdr_rate_cleaned!$A$2:$A$10,B3901,mdr_rate_cleaned!$B$2:$B$10,"&lt;"&amp;C3901,mdr_rate_cleaned!$F$2:$F$10,"&gt;="&amp;C3901)</f>
        <v>0</v>
      </c>
      <c r="H3901" s="24">
        <f t="shared" si="300"/>
        <v>0</v>
      </c>
      <c r="I3901" s="23" t="str">
        <f t="shared" si="301"/>
        <v>Match</v>
      </c>
      <c r="J3901" s="23" t="str">
        <f t="shared" si="302"/>
        <v>Match</v>
      </c>
      <c r="K3901" s="24">
        <f t="shared" si="303"/>
        <v>0</v>
      </c>
      <c r="L3901" s="24">
        <f t="shared" si="304"/>
        <v>0</v>
      </c>
    </row>
    <row r="3902" spans="1:12" ht="15" customHeight="1" x14ac:dyDescent="0.3">
      <c r="A3902" s="23" t="s">
        <v>17085</v>
      </c>
      <c r="B3902" s="23" t="s">
        <v>79</v>
      </c>
      <c r="C3902" s="39">
        <v>8798</v>
      </c>
      <c r="D3902" s="24">
        <v>140.77000000000001</v>
      </c>
      <c r="E3902" s="24">
        <v>25.34</v>
      </c>
      <c r="F3902" s="23">
        <f>COUNTIFS(mdr_rate_cleaned!$A$2:$A$10,B3902,mdr_rate_cleaned!$B$2:$B$10,"&lt;"&amp;C3902,mdr_rate_cleaned!$F$2:$F$10,"&gt;="&amp;C3902)</f>
        <v>1</v>
      </c>
      <c r="G3902" s="40">
        <f>SUMIFS(mdr_rate_cleaned!$G$2:$G$10,mdr_rate_cleaned!$A$2:$A$10,B3902,mdr_rate_cleaned!$B$2:$B$10,"&lt;"&amp;C3902,mdr_rate_cleaned!$F$2:$F$10,"&gt;="&amp;C3902)</f>
        <v>1.6E-2</v>
      </c>
      <c r="H3902" s="24">
        <f t="shared" si="300"/>
        <v>140.77000000000001</v>
      </c>
      <c r="I3902" s="23" t="str">
        <f t="shared" si="301"/>
        <v>Match</v>
      </c>
      <c r="J3902" s="23" t="str">
        <f t="shared" si="302"/>
        <v>Match</v>
      </c>
      <c r="K3902" s="24">
        <f t="shared" si="303"/>
        <v>25.34</v>
      </c>
      <c r="L3902" s="24">
        <f t="shared" si="304"/>
        <v>0</v>
      </c>
    </row>
    <row r="3903" spans="1:12" ht="15" customHeight="1" x14ac:dyDescent="0.3">
      <c r="A3903" s="23" t="s">
        <v>17087</v>
      </c>
      <c r="B3903" s="23" t="s">
        <v>75</v>
      </c>
      <c r="C3903" s="39">
        <v>2598</v>
      </c>
      <c r="D3903" s="24">
        <v>7.79</v>
      </c>
      <c r="E3903" s="24">
        <v>1.4</v>
      </c>
      <c r="F3903" s="23">
        <f>COUNTIFS(mdr_rate_cleaned!$A$2:$A$10,B3903,mdr_rate_cleaned!$B$2:$B$10,"&lt;"&amp;C3903,mdr_rate_cleaned!$F$2:$F$10,"&gt;="&amp;C3903)</f>
        <v>1</v>
      </c>
      <c r="G3903" s="40">
        <f>SUMIFS(mdr_rate_cleaned!$G$2:$G$10,mdr_rate_cleaned!$A$2:$A$10,B3903,mdr_rate_cleaned!$B$2:$B$10,"&lt;"&amp;C3903,mdr_rate_cleaned!$F$2:$F$10,"&gt;="&amp;C3903)</f>
        <v>3.0000000000000001E-3</v>
      </c>
      <c r="H3903" s="24">
        <f t="shared" si="300"/>
        <v>7.79</v>
      </c>
      <c r="I3903" s="23" t="str">
        <f t="shared" si="301"/>
        <v>Match</v>
      </c>
      <c r="J3903" s="23" t="str">
        <f t="shared" si="302"/>
        <v>Match</v>
      </c>
      <c r="K3903" s="24">
        <f t="shared" si="303"/>
        <v>1.4</v>
      </c>
      <c r="L3903" s="24">
        <f t="shared" si="304"/>
        <v>0</v>
      </c>
    </row>
    <row r="3904" spans="1:12" ht="15" customHeight="1" x14ac:dyDescent="0.3">
      <c r="A3904" s="23" t="s">
        <v>17088</v>
      </c>
      <c r="B3904" s="23" t="s">
        <v>75</v>
      </c>
      <c r="C3904" s="39">
        <v>3947</v>
      </c>
      <c r="D3904" s="24">
        <v>11.84</v>
      </c>
      <c r="E3904" s="24">
        <v>2.13</v>
      </c>
      <c r="F3904" s="23">
        <f>COUNTIFS(mdr_rate_cleaned!$A$2:$A$10,B3904,mdr_rate_cleaned!$B$2:$B$10,"&lt;"&amp;C3904,mdr_rate_cleaned!$F$2:$F$10,"&gt;="&amp;C3904)</f>
        <v>1</v>
      </c>
      <c r="G3904" s="40">
        <f>SUMIFS(mdr_rate_cleaned!$G$2:$G$10,mdr_rate_cleaned!$A$2:$A$10,B3904,mdr_rate_cleaned!$B$2:$B$10,"&lt;"&amp;C3904,mdr_rate_cleaned!$F$2:$F$10,"&gt;="&amp;C3904)</f>
        <v>3.0000000000000001E-3</v>
      </c>
      <c r="H3904" s="24">
        <f t="shared" si="300"/>
        <v>11.84</v>
      </c>
      <c r="I3904" s="23" t="str">
        <f t="shared" si="301"/>
        <v>Match</v>
      </c>
      <c r="J3904" s="23" t="str">
        <f t="shared" si="302"/>
        <v>Match</v>
      </c>
      <c r="K3904" s="24">
        <f t="shared" si="303"/>
        <v>2.13</v>
      </c>
      <c r="L3904" s="24">
        <f t="shared" si="304"/>
        <v>0</v>
      </c>
    </row>
    <row r="3905" spans="1:12" ht="15" customHeight="1" x14ac:dyDescent="0.3">
      <c r="A3905" s="23" t="s">
        <v>17089</v>
      </c>
      <c r="B3905" s="23" t="s">
        <v>77</v>
      </c>
      <c r="C3905" s="39">
        <v>4298</v>
      </c>
      <c r="D3905" s="24">
        <v>73.069999999999993</v>
      </c>
      <c r="E3905" s="24">
        <v>13.15</v>
      </c>
      <c r="F3905" s="23">
        <f>COUNTIFS(mdr_rate_cleaned!$A$2:$A$10,B3905,mdr_rate_cleaned!$B$2:$B$10,"&lt;"&amp;C3905,mdr_rate_cleaned!$F$2:$F$10,"&gt;="&amp;C3905)</f>
        <v>1</v>
      </c>
      <c r="G3905" s="40">
        <f>SUMIFS(mdr_rate_cleaned!$G$2:$G$10,mdr_rate_cleaned!$A$2:$A$10,B3905,mdr_rate_cleaned!$B$2:$B$10,"&lt;"&amp;C3905,mdr_rate_cleaned!$F$2:$F$10,"&gt;="&amp;C3905)</f>
        <v>1.7000000000000001E-2</v>
      </c>
      <c r="H3905" s="24">
        <f t="shared" si="300"/>
        <v>73.069999999999993</v>
      </c>
      <c r="I3905" s="23" t="str">
        <f t="shared" si="301"/>
        <v>Match</v>
      </c>
      <c r="J3905" s="23" t="str">
        <f t="shared" si="302"/>
        <v>Match</v>
      </c>
      <c r="K3905" s="24">
        <f t="shared" si="303"/>
        <v>13.15</v>
      </c>
      <c r="L3905" s="24">
        <f t="shared" si="304"/>
        <v>0</v>
      </c>
    </row>
    <row r="3906" spans="1:12" ht="15" customHeight="1" x14ac:dyDescent="0.3">
      <c r="A3906" s="23" t="s">
        <v>17090</v>
      </c>
      <c r="B3906" s="23" t="s">
        <v>75</v>
      </c>
      <c r="C3906" s="39">
        <v>999</v>
      </c>
      <c r="D3906" s="24">
        <v>0</v>
      </c>
      <c r="E3906" s="24">
        <v>0</v>
      </c>
      <c r="F3906" s="23">
        <f>COUNTIFS(mdr_rate_cleaned!$A$2:$A$10,B3906,mdr_rate_cleaned!$B$2:$B$10,"&lt;"&amp;C3906,mdr_rate_cleaned!$F$2:$F$10,"&gt;="&amp;C3906)</f>
        <v>1</v>
      </c>
      <c r="G3906" s="40">
        <f>SUMIFS(mdr_rate_cleaned!$G$2:$G$10,mdr_rate_cleaned!$A$2:$A$10,B3906,mdr_rate_cleaned!$B$2:$B$10,"&lt;"&amp;C3906,mdr_rate_cleaned!$F$2:$F$10,"&gt;="&amp;C3906)</f>
        <v>0</v>
      </c>
      <c r="H3906" s="24">
        <f t="shared" ref="H3906:H3969" si="305">ROUND(C3906*G3906,2)</f>
        <v>0</v>
      </c>
      <c r="I3906" s="23" t="str">
        <f t="shared" ref="I3906:I3969" si="306">IF(ROUND(D3906-H3906,2)=0,"Match","Differs")</f>
        <v>Match</v>
      </c>
      <c r="J3906" s="23" t="str">
        <f t="shared" ref="J3906:J3969" si="307">IF(ROUND(E3906-ROUND(D3906*0.18,2),2)=0,"Match","Differs")</f>
        <v>Match</v>
      </c>
      <c r="K3906" s="24">
        <f t="shared" ref="K3906:K3969" si="308">ROUND(H3906*0.18,2)</f>
        <v>0</v>
      </c>
      <c r="L3906" s="24">
        <f t="shared" ref="L3906:L3969" si="309">ROUND(D3906+E3906-H3906-K3906,2)</f>
        <v>0</v>
      </c>
    </row>
    <row r="3907" spans="1:12" ht="15" customHeight="1" x14ac:dyDescent="0.3">
      <c r="A3907" s="23" t="s">
        <v>17091</v>
      </c>
      <c r="B3907" s="23" t="s">
        <v>79</v>
      </c>
      <c r="C3907" s="39">
        <v>1299</v>
      </c>
      <c r="D3907" s="24">
        <v>23.38</v>
      </c>
      <c r="E3907" s="24">
        <v>4.21</v>
      </c>
      <c r="F3907" s="23">
        <f>COUNTIFS(mdr_rate_cleaned!$A$2:$A$10,B3907,mdr_rate_cleaned!$B$2:$B$10,"&lt;"&amp;C3907,mdr_rate_cleaned!$F$2:$F$10,"&gt;="&amp;C3907)</f>
        <v>1</v>
      </c>
      <c r="G3907" s="40">
        <f>SUMIFS(mdr_rate_cleaned!$G$2:$G$10,mdr_rate_cleaned!$A$2:$A$10,B3907,mdr_rate_cleaned!$B$2:$B$10,"&lt;"&amp;C3907,mdr_rate_cleaned!$F$2:$F$10,"&gt;="&amp;C3907)</f>
        <v>1.8000000000000002E-2</v>
      </c>
      <c r="H3907" s="24">
        <f t="shared" si="305"/>
        <v>23.38</v>
      </c>
      <c r="I3907" s="23" t="str">
        <f t="shared" si="306"/>
        <v>Match</v>
      </c>
      <c r="J3907" s="23" t="str">
        <f t="shared" si="307"/>
        <v>Match</v>
      </c>
      <c r="K3907" s="24">
        <f t="shared" si="308"/>
        <v>4.21</v>
      </c>
      <c r="L3907" s="24">
        <f t="shared" si="309"/>
        <v>0</v>
      </c>
    </row>
    <row r="3908" spans="1:12" ht="15" customHeight="1" x14ac:dyDescent="0.3">
      <c r="A3908" s="23" t="s">
        <v>17092</v>
      </c>
      <c r="B3908" s="23" t="s">
        <v>75</v>
      </c>
      <c r="C3908" s="39">
        <v>2298</v>
      </c>
      <c r="D3908" s="24">
        <v>6.89</v>
      </c>
      <c r="E3908" s="24">
        <v>1.24</v>
      </c>
      <c r="F3908" s="23">
        <f>COUNTIFS(mdr_rate_cleaned!$A$2:$A$10,B3908,mdr_rate_cleaned!$B$2:$B$10,"&lt;"&amp;C3908,mdr_rate_cleaned!$F$2:$F$10,"&gt;="&amp;C3908)</f>
        <v>1</v>
      </c>
      <c r="G3908" s="40">
        <f>SUMIFS(mdr_rate_cleaned!$G$2:$G$10,mdr_rate_cleaned!$A$2:$A$10,B3908,mdr_rate_cleaned!$B$2:$B$10,"&lt;"&amp;C3908,mdr_rate_cleaned!$F$2:$F$10,"&gt;="&amp;C3908)</f>
        <v>3.0000000000000001E-3</v>
      </c>
      <c r="H3908" s="24">
        <f t="shared" si="305"/>
        <v>6.89</v>
      </c>
      <c r="I3908" s="23" t="str">
        <f t="shared" si="306"/>
        <v>Match</v>
      </c>
      <c r="J3908" s="23" t="str">
        <f t="shared" si="307"/>
        <v>Match</v>
      </c>
      <c r="K3908" s="24">
        <f t="shared" si="308"/>
        <v>1.24</v>
      </c>
      <c r="L3908" s="24">
        <f t="shared" si="309"/>
        <v>0</v>
      </c>
    </row>
    <row r="3909" spans="1:12" ht="15" customHeight="1" x14ac:dyDescent="0.3">
      <c r="A3909" s="23" t="s">
        <v>17093</v>
      </c>
      <c r="B3909" s="23" t="s">
        <v>79</v>
      </c>
      <c r="C3909" s="39">
        <v>9997</v>
      </c>
      <c r="D3909" s="24">
        <v>159.94999999999999</v>
      </c>
      <c r="E3909" s="24">
        <v>28.79</v>
      </c>
      <c r="F3909" s="23">
        <f>COUNTIFS(mdr_rate_cleaned!$A$2:$A$10,B3909,mdr_rate_cleaned!$B$2:$B$10,"&lt;"&amp;C3909,mdr_rate_cleaned!$F$2:$F$10,"&gt;="&amp;C3909)</f>
        <v>1</v>
      </c>
      <c r="G3909" s="40">
        <f>SUMIFS(mdr_rate_cleaned!$G$2:$G$10,mdr_rate_cleaned!$A$2:$A$10,B3909,mdr_rate_cleaned!$B$2:$B$10,"&lt;"&amp;C3909,mdr_rate_cleaned!$F$2:$F$10,"&gt;="&amp;C3909)</f>
        <v>1.6E-2</v>
      </c>
      <c r="H3909" s="24">
        <f t="shared" si="305"/>
        <v>159.94999999999999</v>
      </c>
      <c r="I3909" s="23" t="str">
        <f t="shared" si="306"/>
        <v>Match</v>
      </c>
      <c r="J3909" s="23" t="str">
        <f t="shared" si="307"/>
        <v>Match</v>
      </c>
      <c r="K3909" s="24">
        <f t="shared" si="308"/>
        <v>28.79</v>
      </c>
      <c r="L3909" s="24">
        <f t="shared" si="309"/>
        <v>0</v>
      </c>
    </row>
    <row r="3910" spans="1:12" ht="15" customHeight="1" x14ac:dyDescent="0.3">
      <c r="A3910" s="23" t="s">
        <v>17095</v>
      </c>
      <c r="B3910" s="23" t="s">
        <v>75</v>
      </c>
      <c r="C3910" s="39">
        <v>1499</v>
      </c>
      <c r="D3910" s="24">
        <v>0</v>
      </c>
      <c r="E3910" s="24">
        <v>0</v>
      </c>
      <c r="F3910" s="23">
        <f>COUNTIFS(mdr_rate_cleaned!$A$2:$A$10,B3910,mdr_rate_cleaned!$B$2:$B$10,"&lt;"&amp;C3910,mdr_rate_cleaned!$F$2:$F$10,"&gt;="&amp;C3910)</f>
        <v>1</v>
      </c>
      <c r="G3910" s="40">
        <f>SUMIFS(mdr_rate_cleaned!$G$2:$G$10,mdr_rate_cleaned!$A$2:$A$10,B3910,mdr_rate_cleaned!$B$2:$B$10,"&lt;"&amp;C3910,mdr_rate_cleaned!$F$2:$F$10,"&gt;="&amp;C3910)</f>
        <v>0</v>
      </c>
      <c r="H3910" s="24">
        <f t="shared" si="305"/>
        <v>0</v>
      </c>
      <c r="I3910" s="23" t="str">
        <f t="shared" si="306"/>
        <v>Match</v>
      </c>
      <c r="J3910" s="23" t="str">
        <f t="shared" si="307"/>
        <v>Match</v>
      </c>
      <c r="K3910" s="24">
        <f t="shared" si="308"/>
        <v>0</v>
      </c>
      <c r="L3910" s="24">
        <f t="shared" si="309"/>
        <v>0</v>
      </c>
    </row>
    <row r="3911" spans="1:12" ht="15" customHeight="1" x14ac:dyDescent="0.3">
      <c r="A3911" s="23" t="s">
        <v>17096</v>
      </c>
      <c r="B3911" s="23" t="s">
        <v>79</v>
      </c>
      <c r="C3911" s="39">
        <v>1299</v>
      </c>
      <c r="D3911" s="24">
        <v>23.38</v>
      </c>
      <c r="E3911" s="24">
        <v>4.21</v>
      </c>
      <c r="F3911" s="23">
        <f>COUNTIFS(mdr_rate_cleaned!$A$2:$A$10,B3911,mdr_rate_cleaned!$B$2:$B$10,"&lt;"&amp;C3911,mdr_rate_cleaned!$F$2:$F$10,"&gt;="&amp;C3911)</f>
        <v>1</v>
      </c>
      <c r="G3911" s="40">
        <f>SUMIFS(mdr_rate_cleaned!$G$2:$G$10,mdr_rate_cleaned!$A$2:$A$10,B3911,mdr_rate_cleaned!$B$2:$B$10,"&lt;"&amp;C3911,mdr_rate_cleaned!$F$2:$F$10,"&gt;="&amp;C3911)</f>
        <v>1.8000000000000002E-2</v>
      </c>
      <c r="H3911" s="24">
        <f t="shared" si="305"/>
        <v>23.38</v>
      </c>
      <c r="I3911" s="23" t="str">
        <f t="shared" si="306"/>
        <v>Match</v>
      </c>
      <c r="J3911" s="23" t="str">
        <f t="shared" si="307"/>
        <v>Match</v>
      </c>
      <c r="K3911" s="24">
        <f t="shared" si="308"/>
        <v>4.21</v>
      </c>
      <c r="L3911" s="24">
        <f t="shared" si="309"/>
        <v>0</v>
      </c>
    </row>
    <row r="3912" spans="1:12" ht="15" customHeight="1" x14ac:dyDescent="0.3">
      <c r="A3912" s="23" t="s">
        <v>17097</v>
      </c>
      <c r="B3912" s="23" t="s">
        <v>75</v>
      </c>
      <c r="C3912" s="39">
        <v>8497</v>
      </c>
      <c r="D3912" s="24">
        <v>25.49</v>
      </c>
      <c r="E3912" s="24">
        <v>4.59</v>
      </c>
      <c r="F3912" s="23">
        <f>COUNTIFS(mdr_rate_cleaned!$A$2:$A$10,B3912,mdr_rate_cleaned!$B$2:$B$10,"&lt;"&amp;C3912,mdr_rate_cleaned!$F$2:$F$10,"&gt;="&amp;C3912)</f>
        <v>1</v>
      </c>
      <c r="G3912" s="40">
        <f>SUMIFS(mdr_rate_cleaned!$G$2:$G$10,mdr_rate_cleaned!$A$2:$A$10,B3912,mdr_rate_cleaned!$B$2:$B$10,"&lt;"&amp;C3912,mdr_rate_cleaned!$F$2:$F$10,"&gt;="&amp;C3912)</f>
        <v>3.0000000000000001E-3</v>
      </c>
      <c r="H3912" s="24">
        <f t="shared" si="305"/>
        <v>25.49</v>
      </c>
      <c r="I3912" s="23" t="str">
        <f t="shared" si="306"/>
        <v>Match</v>
      </c>
      <c r="J3912" s="23" t="str">
        <f t="shared" si="307"/>
        <v>Match</v>
      </c>
      <c r="K3912" s="24">
        <f t="shared" si="308"/>
        <v>4.59</v>
      </c>
      <c r="L3912" s="24">
        <f t="shared" si="309"/>
        <v>0</v>
      </c>
    </row>
    <row r="3913" spans="1:12" ht="15" customHeight="1" x14ac:dyDescent="0.3">
      <c r="A3913" s="23" t="s">
        <v>17098</v>
      </c>
      <c r="B3913" s="23" t="s">
        <v>75</v>
      </c>
      <c r="C3913" s="39">
        <v>648</v>
      </c>
      <c r="D3913" s="24">
        <v>1.94</v>
      </c>
      <c r="E3913" s="24">
        <v>0.35</v>
      </c>
      <c r="F3913" s="23">
        <f>COUNTIFS(mdr_rate_cleaned!$A$2:$A$10,B3913,mdr_rate_cleaned!$B$2:$B$10,"&lt;"&amp;C3913,mdr_rate_cleaned!$F$2:$F$10,"&gt;="&amp;C3913)</f>
        <v>1</v>
      </c>
      <c r="G3913" s="40">
        <f>SUMIFS(mdr_rate_cleaned!$G$2:$G$10,mdr_rate_cleaned!$A$2:$A$10,B3913,mdr_rate_cleaned!$B$2:$B$10,"&lt;"&amp;C3913,mdr_rate_cleaned!$F$2:$F$10,"&gt;="&amp;C3913)</f>
        <v>0</v>
      </c>
      <c r="H3913" s="24">
        <f t="shared" si="305"/>
        <v>0</v>
      </c>
      <c r="I3913" s="23" t="str">
        <f t="shared" si="306"/>
        <v>Differs</v>
      </c>
      <c r="J3913" s="23" t="str">
        <f t="shared" si="307"/>
        <v>Match</v>
      </c>
      <c r="K3913" s="24">
        <f t="shared" si="308"/>
        <v>0</v>
      </c>
      <c r="L3913" s="24">
        <f t="shared" si="309"/>
        <v>2.29</v>
      </c>
    </row>
    <row r="3914" spans="1:12" ht="15" customHeight="1" x14ac:dyDescent="0.3">
      <c r="A3914" s="23" t="s">
        <v>17099</v>
      </c>
      <c r="B3914" s="23" t="s">
        <v>79</v>
      </c>
      <c r="C3914" s="39">
        <v>3647</v>
      </c>
      <c r="D3914" s="24">
        <v>58.35</v>
      </c>
      <c r="E3914" s="24">
        <v>10.5</v>
      </c>
      <c r="F3914" s="23">
        <f>COUNTIFS(mdr_rate_cleaned!$A$2:$A$10,B3914,mdr_rate_cleaned!$B$2:$B$10,"&lt;"&amp;C3914,mdr_rate_cleaned!$F$2:$F$10,"&gt;="&amp;C3914)</f>
        <v>1</v>
      </c>
      <c r="G3914" s="40">
        <f>SUMIFS(mdr_rate_cleaned!$G$2:$G$10,mdr_rate_cleaned!$A$2:$A$10,B3914,mdr_rate_cleaned!$B$2:$B$10,"&lt;"&amp;C3914,mdr_rate_cleaned!$F$2:$F$10,"&gt;="&amp;C3914)</f>
        <v>1.6E-2</v>
      </c>
      <c r="H3914" s="24">
        <f t="shared" si="305"/>
        <v>58.35</v>
      </c>
      <c r="I3914" s="23" t="str">
        <f t="shared" si="306"/>
        <v>Match</v>
      </c>
      <c r="J3914" s="23" t="str">
        <f t="shared" si="307"/>
        <v>Match</v>
      </c>
      <c r="K3914" s="24">
        <f t="shared" si="308"/>
        <v>10.5</v>
      </c>
      <c r="L3914" s="24">
        <f t="shared" si="309"/>
        <v>0</v>
      </c>
    </row>
    <row r="3915" spans="1:12" ht="15" customHeight="1" x14ac:dyDescent="0.3">
      <c r="A3915" s="23" t="s">
        <v>17100</v>
      </c>
      <c r="B3915" s="23" t="s">
        <v>75</v>
      </c>
      <c r="C3915" s="39">
        <v>1299</v>
      </c>
      <c r="D3915" s="24">
        <v>0</v>
      </c>
      <c r="E3915" s="24">
        <v>0</v>
      </c>
      <c r="F3915" s="23">
        <f>COUNTIFS(mdr_rate_cleaned!$A$2:$A$10,B3915,mdr_rate_cleaned!$B$2:$B$10,"&lt;"&amp;C3915,mdr_rate_cleaned!$F$2:$F$10,"&gt;="&amp;C3915)</f>
        <v>1</v>
      </c>
      <c r="G3915" s="40">
        <f>SUMIFS(mdr_rate_cleaned!$G$2:$G$10,mdr_rate_cleaned!$A$2:$A$10,B3915,mdr_rate_cleaned!$B$2:$B$10,"&lt;"&amp;C3915,mdr_rate_cleaned!$F$2:$F$10,"&gt;="&amp;C3915)</f>
        <v>0</v>
      </c>
      <c r="H3915" s="24">
        <f t="shared" si="305"/>
        <v>0</v>
      </c>
      <c r="I3915" s="23" t="str">
        <f t="shared" si="306"/>
        <v>Match</v>
      </c>
      <c r="J3915" s="23" t="str">
        <f t="shared" si="307"/>
        <v>Match</v>
      </c>
      <c r="K3915" s="24">
        <f t="shared" si="308"/>
        <v>0</v>
      </c>
      <c r="L3915" s="24">
        <f t="shared" si="309"/>
        <v>0</v>
      </c>
    </row>
    <row r="3916" spans="1:12" ht="15" customHeight="1" x14ac:dyDescent="0.3">
      <c r="A3916" s="23" t="s">
        <v>17101</v>
      </c>
      <c r="B3916" s="23" t="s">
        <v>77</v>
      </c>
      <c r="C3916" s="39">
        <v>11797</v>
      </c>
      <c r="D3916" s="24">
        <v>200.55</v>
      </c>
      <c r="E3916" s="24">
        <v>36.1</v>
      </c>
      <c r="F3916" s="23">
        <f>COUNTIFS(mdr_rate_cleaned!$A$2:$A$10,B3916,mdr_rate_cleaned!$B$2:$B$10,"&lt;"&amp;C3916,mdr_rate_cleaned!$F$2:$F$10,"&gt;="&amp;C3916)</f>
        <v>1</v>
      </c>
      <c r="G3916" s="40">
        <f>SUMIFS(mdr_rate_cleaned!$G$2:$G$10,mdr_rate_cleaned!$A$2:$A$10,B3916,mdr_rate_cleaned!$B$2:$B$10,"&lt;"&amp;C3916,mdr_rate_cleaned!$F$2:$F$10,"&gt;="&amp;C3916)</f>
        <v>1.7000000000000001E-2</v>
      </c>
      <c r="H3916" s="24">
        <f t="shared" si="305"/>
        <v>200.55</v>
      </c>
      <c r="I3916" s="23" t="str">
        <f t="shared" si="306"/>
        <v>Match</v>
      </c>
      <c r="J3916" s="23" t="str">
        <f t="shared" si="307"/>
        <v>Match</v>
      </c>
      <c r="K3916" s="24">
        <f t="shared" si="308"/>
        <v>36.1</v>
      </c>
      <c r="L3916" s="24">
        <f t="shared" si="309"/>
        <v>0</v>
      </c>
    </row>
    <row r="3917" spans="1:12" ht="15" customHeight="1" x14ac:dyDescent="0.3">
      <c r="A3917" s="23" t="s">
        <v>17102</v>
      </c>
      <c r="B3917" s="23" t="s">
        <v>79</v>
      </c>
      <c r="C3917" s="39">
        <v>2098</v>
      </c>
      <c r="D3917" s="24">
        <v>33.57</v>
      </c>
      <c r="E3917" s="24">
        <v>6.04</v>
      </c>
      <c r="F3917" s="23">
        <f>COUNTIFS(mdr_rate_cleaned!$A$2:$A$10,B3917,mdr_rate_cleaned!$B$2:$B$10,"&lt;"&amp;C3917,mdr_rate_cleaned!$F$2:$F$10,"&gt;="&amp;C3917)</f>
        <v>1</v>
      </c>
      <c r="G3917" s="40">
        <f>SUMIFS(mdr_rate_cleaned!$G$2:$G$10,mdr_rate_cleaned!$A$2:$A$10,B3917,mdr_rate_cleaned!$B$2:$B$10,"&lt;"&amp;C3917,mdr_rate_cleaned!$F$2:$F$10,"&gt;="&amp;C3917)</f>
        <v>1.6E-2</v>
      </c>
      <c r="H3917" s="24">
        <f t="shared" si="305"/>
        <v>33.57</v>
      </c>
      <c r="I3917" s="23" t="str">
        <f t="shared" si="306"/>
        <v>Match</v>
      </c>
      <c r="J3917" s="23" t="str">
        <f t="shared" si="307"/>
        <v>Match</v>
      </c>
      <c r="K3917" s="24">
        <f t="shared" si="308"/>
        <v>6.04</v>
      </c>
      <c r="L3917" s="24">
        <f t="shared" si="309"/>
        <v>0</v>
      </c>
    </row>
    <row r="3918" spans="1:12" ht="15" customHeight="1" x14ac:dyDescent="0.3">
      <c r="A3918" s="23" t="s">
        <v>17103</v>
      </c>
      <c r="B3918" s="23" t="s">
        <v>75</v>
      </c>
      <c r="C3918" s="39">
        <v>1299</v>
      </c>
      <c r="D3918" s="24">
        <v>0</v>
      </c>
      <c r="E3918" s="24">
        <v>0</v>
      </c>
      <c r="F3918" s="23">
        <f>COUNTIFS(mdr_rate_cleaned!$A$2:$A$10,B3918,mdr_rate_cleaned!$B$2:$B$10,"&lt;"&amp;C3918,mdr_rate_cleaned!$F$2:$F$10,"&gt;="&amp;C3918)</f>
        <v>1</v>
      </c>
      <c r="G3918" s="40">
        <f>SUMIFS(mdr_rate_cleaned!$G$2:$G$10,mdr_rate_cleaned!$A$2:$A$10,B3918,mdr_rate_cleaned!$B$2:$B$10,"&lt;"&amp;C3918,mdr_rate_cleaned!$F$2:$F$10,"&gt;="&amp;C3918)</f>
        <v>0</v>
      </c>
      <c r="H3918" s="24">
        <f t="shared" si="305"/>
        <v>0</v>
      </c>
      <c r="I3918" s="23" t="str">
        <f t="shared" si="306"/>
        <v>Match</v>
      </c>
      <c r="J3918" s="23" t="str">
        <f t="shared" si="307"/>
        <v>Match</v>
      </c>
      <c r="K3918" s="24">
        <f t="shared" si="308"/>
        <v>0</v>
      </c>
      <c r="L3918" s="24">
        <f t="shared" si="309"/>
        <v>0</v>
      </c>
    </row>
    <row r="3919" spans="1:12" ht="15" customHeight="1" x14ac:dyDescent="0.3">
      <c r="A3919" s="23" t="s">
        <v>17104</v>
      </c>
      <c r="B3919" s="23" t="s">
        <v>75</v>
      </c>
      <c r="C3919" s="39">
        <v>599</v>
      </c>
      <c r="D3919" s="24">
        <v>0</v>
      </c>
      <c r="E3919" s="24">
        <v>0</v>
      </c>
      <c r="F3919" s="23">
        <f>COUNTIFS(mdr_rate_cleaned!$A$2:$A$10,B3919,mdr_rate_cleaned!$B$2:$B$10,"&lt;"&amp;C3919,mdr_rate_cleaned!$F$2:$F$10,"&gt;="&amp;C3919)</f>
        <v>1</v>
      </c>
      <c r="G3919" s="40">
        <f>SUMIFS(mdr_rate_cleaned!$G$2:$G$10,mdr_rate_cleaned!$A$2:$A$10,B3919,mdr_rate_cleaned!$B$2:$B$10,"&lt;"&amp;C3919,mdr_rate_cleaned!$F$2:$F$10,"&gt;="&amp;C3919)</f>
        <v>0</v>
      </c>
      <c r="H3919" s="24">
        <f t="shared" si="305"/>
        <v>0</v>
      </c>
      <c r="I3919" s="23" t="str">
        <f t="shared" si="306"/>
        <v>Match</v>
      </c>
      <c r="J3919" s="23" t="str">
        <f t="shared" si="307"/>
        <v>Match</v>
      </c>
      <c r="K3919" s="24">
        <f t="shared" si="308"/>
        <v>0</v>
      </c>
      <c r="L3919" s="24">
        <f t="shared" si="309"/>
        <v>0</v>
      </c>
    </row>
    <row r="3920" spans="1:12" ht="15" customHeight="1" x14ac:dyDescent="0.3">
      <c r="A3920" s="23" t="s">
        <v>17105</v>
      </c>
      <c r="B3920" s="23" t="s">
        <v>77</v>
      </c>
      <c r="C3920" s="39">
        <v>799</v>
      </c>
      <c r="D3920" s="24">
        <v>15.18</v>
      </c>
      <c r="E3920" s="24">
        <v>2.73</v>
      </c>
      <c r="F3920" s="23">
        <f>COUNTIFS(mdr_rate_cleaned!$A$2:$A$10,B3920,mdr_rate_cleaned!$B$2:$B$10,"&lt;"&amp;C3920,mdr_rate_cleaned!$F$2:$F$10,"&gt;="&amp;C3920)</f>
        <v>1</v>
      </c>
      <c r="G3920" s="40">
        <f>SUMIFS(mdr_rate_cleaned!$G$2:$G$10,mdr_rate_cleaned!$A$2:$A$10,B3920,mdr_rate_cleaned!$B$2:$B$10,"&lt;"&amp;C3920,mdr_rate_cleaned!$F$2:$F$10,"&gt;="&amp;C3920)</f>
        <v>1.9E-2</v>
      </c>
      <c r="H3920" s="24">
        <f t="shared" si="305"/>
        <v>15.18</v>
      </c>
      <c r="I3920" s="23" t="str">
        <f t="shared" si="306"/>
        <v>Match</v>
      </c>
      <c r="J3920" s="23" t="str">
        <f t="shared" si="307"/>
        <v>Match</v>
      </c>
      <c r="K3920" s="24">
        <f t="shared" si="308"/>
        <v>2.73</v>
      </c>
      <c r="L3920" s="24">
        <f t="shared" si="309"/>
        <v>0</v>
      </c>
    </row>
    <row r="3921" spans="1:12" ht="15" customHeight="1" x14ac:dyDescent="0.3">
      <c r="A3921" s="23" t="s">
        <v>17107</v>
      </c>
      <c r="B3921" s="23" t="s">
        <v>77</v>
      </c>
      <c r="C3921" s="39">
        <v>999</v>
      </c>
      <c r="D3921" s="24">
        <v>18.98</v>
      </c>
      <c r="E3921" s="24">
        <v>3.42</v>
      </c>
      <c r="F3921" s="23">
        <f>COUNTIFS(mdr_rate_cleaned!$A$2:$A$10,B3921,mdr_rate_cleaned!$B$2:$B$10,"&lt;"&amp;C3921,mdr_rate_cleaned!$F$2:$F$10,"&gt;="&amp;C3921)</f>
        <v>1</v>
      </c>
      <c r="G3921" s="40">
        <f>SUMIFS(mdr_rate_cleaned!$G$2:$G$10,mdr_rate_cleaned!$A$2:$A$10,B3921,mdr_rate_cleaned!$B$2:$B$10,"&lt;"&amp;C3921,mdr_rate_cleaned!$F$2:$F$10,"&gt;="&amp;C3921)</f>
        <v>1.9E-2</v>
      </c>
      <c r="H3921" s="24">
        <f t="shared" si="305"/>
        <v>18.98</v>
      </c>
      <c r="I3921" s="23" t="str">
        <f t="shared" si="306"/>
        <v>Match</v>
      </c>
      <c r="J3921" s="23" t="str">
        <f t="shared" si="307"/>
        <v>Match</v>
      </c>
      <c r="K3921" s="24">
        <f t="shared" si="308"/>
        <v>3.42</v>
      </c>
      <c r="L3921" s="24">
        <f t="shared" si="309"/>
        <v>0</v>
      </c>
    </row>
    <row r="3922" spans="1:12" ht="15" customHeight="1" x14ac:dyDescent="0.3">
      <c r="A3922" s="23" t="s">
        <v>17108</v>
      </c>
      <c r="B3922" s="23" t="s">
        <v>75</v>
      </c>
      <c r="C3922" s="39">
        <v>2499</v>
      </c>
      <c r="D3922" s="24">
        <v>7.5</v>
      </c>
      <c r="E3922" s="24">
        <v>1.35</v>
      </c>
      <c r="F3922" s="23">
        <f>COUNTIFS(mdr_rate_cleaned!$A$2:$A$10,B3922,mdr_rate_cleaned!$B$2:$B$10,"&lt;"&amp;C3922,mdr_rate_cleaned!$F$2:$F$10,"&gt;="&amp;C3922)</f>
        <v>1</v>
      </c>
      <c r="G3922" s="40">
        <f>SUMIFS(mdr_rate_cleaned!$G$2:$G$10,mdr_rate_cleaned!$A$2:$A$10,B3922,mdr_rate_cleaned!$B$2:$B$10,"&lt;"&amp;C3922,mdr_rate_cleaned!$F$2:$F$10,"&gt;="&amp;C3922)</f>
        <v>3.0000000000000001E-3</v>
      </c>
      <c r="H3922" s="24">
        <f t="shared" si="305"/>
        <v>7.5</v>
      </c>
      <c r="I3922" s="23" t="str">
        <f t="shared" si="306"/>
        <v>Match</v>
      </c>
      <c r="J3922" s="23" t="str">
        <f t="shared" si="307"/>
        <v>Match</v>
      </c>
      <c r="K3922" s="24">
        <f t="shared" si="308"/>
        <v>1.35</v>
      </c>
      <c r="L3922" s="24">
        <f t="shared" si="309"/>
        <v>0</v>
      </c>
    </row>
    <row r="3923" spans="1:12" ht="15" customHeight="1" x14ac:dyDescent="0.3">
      <c r="A3923" s="23" t="s">
        <v>17110</v>
      </c>
      <c r="B3923" s="23" t="s">
        <v>75</v>
      </c>
      <c r="C3923" s="39">
        <v>1498</v>
      </c>
      <c r="D3923" s="24">
        <v>0</v>
      </c>
      <c r="E3923" s="24">
        <v>0</v>
      </c>
      <c r="F3923" s="23">
        <f>COUNTIFS(mdr_rate_cleaned!$A$2:$A$10,B3923,mdr_rate_cleaned!$B$2:$B$10,"&lt;"&amp;C3923,mdr_rate_cleaned!$F$2:$F$10,"&gt;="&amp;C3923)</f>
        <v>1</v>
      </c>
      <c r="G3923" s="40">
        <f>SUMIFS(mdr_rate_cleaned!$G$2:$G$10,mdr_rate_cleaned!$A$2:$A$10,B3923,mdr_rate_cleaned!$B$2:$B$10,"&lt;"&amp;C3923,mdr_rate_cleaned!$F$2:$F$10,"&gt;="&amp;C3923)</f>
        <v>0</v>
      </c>
      <c r="H3923" s="24">
        <f t="shared" si="305"/>
        <v>0</v>
      </c>
      <c r="I3923" s="23" t="str">
        <f t="shared" si="306"/>
        <v>Match</v>
      </c>
      <c r="J3923" s="23" t="str">
        <f t="shared" si="307"/>
        <v>Match</v>
      </c>
      <c r="K3923" s="24">
        <f t="shared" si="308"/>
        <v>0</v>
      </c>
      <c r="L3923" s="24">
        <f t="shared" si="309"/>
        <v>0</v>
      </c>
    </row>
    <row r="3924" spans="1:12" ht="15" customHeight="1" x14ac:dyDescent="0.3">
      <c r="A3924" s="23" t="s">
        <v>17111</v>
      </c>
      <c r="B3924" s="23" t="s">
        <v>79</v>
      </c>
      <c r="C3924" s="39">
        <v>8498</v>
      </c>
      <c r="D3924" s="24">
        <v>135.97</v>
      </c>
      <c r="E3924" s="24">
        <v>24.47</v>
      </c>
      <c r="F3924" s="23">
        <f>COUNTIFS(mdr_rate_cleaned!$A$2:$A$10,B3924,mdr_rate_cleaned!$B$2:$B$10,"&lt;"&amp;C3924,mdr_rate_cleaned!$F$2:$F$10,"&gt;="&amp;C3924)</f>
        <v>1</v>
      </c>
      <c r="G3924" s="40">
        <f>SUMIFS(mdr_rate_cleaned!$G$2:$G$10,mdr_rate_cleaned!$A$2:$A$10,B3924,mdr_rate_cleaned!$B$2:$B$10,"&lt;"&amp;C3924,mdr_rate_cleaned!$F$2:$F$10,"&gt;="&amp;C3924)</f>
        <v>1.6E-2</v>
      </c>
      <c r="H3924" s="24">
        <f t="shared" si="305"/>
        <v>135.97</v>
      </c>
      <c r="I3924" s="23" t="str">
        <f t="shared" si="306"/>
        <v>Match</v>
      </c>
      <c r="J3924" s="23" t="str">
        <f t="shared" si="307"/>
        <v>Match</v>
      </c>
      <c r="K3924" s="24">
        <f t="shared" si="308"/>
        <v>24.47</v>
      </c>
      <c r="L3924" s="24">
        <f t="shared" si="309"/>
        <v>0</v>
      </c>
    </row>
    <row r="3925" spans="1:12" ht="15" customHeight="1" x14ac:dyDescent="0.3">
      <c r="A3925" s="23" t="s">
        <v>17112</v>
      </c>
      <c r="B3925" s="23" t="s">
        <v>75</v>
      </c>
      <c r="C3925" s="39">
        <v>6498</v>
      </c>
      <c r="D3925" s="24">
        <v>19.489999999999998</v>
      </c>
      <c r="E3925" s="24">
        <v>3.51</v>
      </c>
      <c r="F3925" s="23">
        <f>COUNTIFS(mdr_rate_cleaned!$A$2:$A$10,B3925,mdr_rate_cleaned!$B$2:$B$10,"&lt;"&amp;C3925,mdr_rate_cleaned!$F$2:$F$10,"&gt;="&amp;C3925)</f>
        <v>1</v>
      </c>
      <c r="G3925" s="40">
        <f>SUMIFS(mdr_rate_cleaned!$G$2:$G$10,mdr_rate_cleaned!$A$2:$A$10,B3925,mdr_rate_cleaned!$B$2:$B$10,"&lt;"&amp;C3925,mdr_rate_cleaned!$F$2:$F$10,"&gt;="&amp;C3925)</f>
        <v>3.0000000000000001E-3</v>
      </c>
      <c r="H3925" s="24">
        <f t="shared" si="305"/>
        <v>19.489999999999998</v>
      </c>
      <c r="I3925" s="23" t="str">
        <f t="shared" si="306"/>
        <v>Match</v>
      </c>
      <c r="J3925" s="23" t="str">
        <f t="shared" si="307"/>
        <v>Match</v>
      </c>
      <c r="K3925" s="24">
        <f t="shared" si="308"/>
        <v>3.51</v>
      </c>
      <c r="L3925" s="24">
        <f t="shared" si="309"/>
        <v>0</v>
      </c>
    </row>
    <row r="3926" spans="1:12" ht="15" customHeight="1" x14ac:dyDescent="0.3">
      <c r="A3926" s="23" t="s">
        <v>17114</v>
      </c>
      <c r="B3926" s="23" t="s">
        <v>75</v>
      </c>
      <c r="C3926" s="39">
        <v>4498</v>
      </c>
      <c r="D3926" s="24">
        <v>13.49</v>
      </c>
      <c r="E3926" s="24">
        <v>2.4300000000000002</v>
      </c>
      <c r="F3926" s="23">
        <f>COUNTIFS(mdr_rate_cleaned!$A$2:$A$10,B3926,mdr_rate_cleaned!$B$2:$B$10,"&lt;"&amp;C3926,mdr_rate_cleaned!$F$2:$F$10,"&gt;="&amp;C3926)</f>
        <v>1</v>
      </c>
      <c r="G3926" s="40">
        <f>SUMIFS(mdr_rate_cleaned!$G$2:$G$10,mdr_rate_cleaned!$A$2:$A$10,B3926,mdr_rate_cleaned!$B$2:$B$10,"&lt;"&amp;C3926,mdr_rate_cleaned!$F$2:$F$10,"&gt;="&amp;C3926)</f>
        <v>3.0000000000000001E-3</v>
      </c>
      <c r="H3926" s="24">
        <f t="shared" si="305"/>
        <v>13.49</v>
      </c>
      <c r="I3926" s="23" t="str">
        <f t="shared" si="306"/>
        <v>Match</v>
      </c>
      <c r="J3926" s="23" t="str">
        <f t="shared" si="307"/>
        <v>Match</v>
      </c>
      <c r="K3926" s="24">
        <f t="shared" si="308"/>
        <v>2.4300000000000002</v>
      </c>
      <c r="L3926" s="24">
        <f t="shared" si="309"/>
        <v>0</v>
      </c>
    </row>
    <row r="3927" spans="1:12" ht="15" customHeight="1" x14ac:dyDescent="0.3">
      <c r="A3927" s="23" t="s">
        <v>17115</v>
      </c>
      <c r="B3927" s="23" t="s">
        <v>77</v>
      </c>
      <c r="C3927" s="39">
        <v>3098</v>
      </c>
      <c r="D3927" s="24">
        <v>52.67</v>
      </c>
      <c r="E3927" s="24">
        <v>9.48</v>
      </c>
      <c r="F3927" s="23">
        <f>COUNTIFS(mdr_rate_cleaned!$A$2:$A$10,B3927,mdr_rate_cleaned!$B$2:$B$10,"&lt;"&amp;C3927,mdr_rate_cleaned!$F$2:$F$10,"&gt;="&amp;C3927)</f>
        <v>1</v>
      </c>
      <c r="G3927" s="40">
        <f>SUMIFS(mdr_rate_cleaned!$G$2:$G$10,mdr_rate_cleaned!$A$2:$A$10,B3927,mdr_rate_cleaned!$B$2:$B$10,"&lt;"&amp;C3927,mdr_rate_cleaned!$F$2:$F$10,"&gt;="&amp;C3927)</f>
        <v>1.7000000000000001E-2</v>
      </c>
      <c r="H3927" s="24">
        <f t="shared" si="305"/>
        <v>52.67</v>
      </c>
      <c r="I3927" s="23" t="str">
        <f t="shared" si="306"/>
        <v>Match</v>
      </c>
      <c r="J3927" s="23" t="str">
        <f t="shared" si="307"/>
        <v>Match</v>
      </c>
      <c r="K3927" s="24">
        <f t="shared" si="308"/>
        <v>9.48</v>
      </c>
      <c r="L3927" s="24">
        <f t="shared" si="309"/>
        <v>0</v>
      </c>
    </row>
    <row r="3928" spans="1:12" ht="15" customHeight="1" x14ac:dyDescent="0.3">
      <c r="A3928" s="23" t="s">
        <v>17117</v>
      </c>
      <c r="B3928" s="23" t="s">
        <v>79</v>
      </c>
      <c r="C3928" s="39">
        <v>349</v>
      </c>
      <c r="D3928" s="24">
        <v>6.28</v>
      </c>
      <c r="E3928" s="24">
        <v>1.1299999999999999</v>
      </c>
      <c r="F3928" s="23">
        <f>COUNTIFS(mdr_rate_cleaned!$A$2:$A$10,B3928,mdr_rate_cleaned!$B$2:$B$10,"&lt;"&amp;C3928,mdr_rate_cleaned!$F$2:$F$10,"&gt;="&amp;C3928)</f>
        <v>1</v>
      </c>
      <c r="G3928" s="40">
        <f>SUMIFS(mdr_rate_cleaned!$G$2:$G$10,mdr_rate_cleaned!$A$2:$A$10,B3928,mdr_rate_cleaned!$B$2:$B$10,"&lt;"&amp;C3928,mdr_rate_cleaned!$F$2:$F$10,"&gt;="&amp;C3928)</f>
        <v>1.8000000000000002E-2</v>
      </c>
      <c r="H3928" s="24">
        <f t="shared" si="305"/>
        <v>6.28</v>
      </c>
      <c r="I3928" s="23" t="str">
        <f t="shared" si="306"/>
        <v>Match</v>
      </c>
      <c r="J3928" s="23" t="str">
        <f t="shared" si="307"/>
        <v>Match</v>
      </c>
      <c r="K3928" s="24">
        <f t="shared" si="308"/>
        <v>1.1299999999999999</v>
      </c>
      <c r="L3928" s="24">
        <f t="shared" si="309"/>
        <v>0</v>
      </c>
    </row>
    <row r="3929" spans="1:12" ht="15" customHeight="1" x14ac:dyDescent="0.3">
      <c r="A3929" s="23" t="s">
        <v>17118</v>
      </c>
      <c r="B3929" s="23" t="s">
        <v>75</v>
      </c>
      <c r="C3929" s="39">
        <v>3797</v>
      </c>
      <c r="D3929" s="24">
        <v>11.39</v>
      </c>
      <c r="E3929" s="24">
        <v>2.0499999999999998</v>
      </c>
      <c r="F3929" s="23">
        <f>COUNTIFS(mdr_rate_cleaned!$A$2:$A$10,B3929,mdr_rate_cleaned!$B$2:$B$10,"&lt;"&amp;C3929,mdr_rate_cleaned!$F$2:$F$10,"&gt;="&amp;C3929)</f>
        <v>1</v>
      </c>
      <c r="G3929" s="40">
        <f>SUMIFS(mdr_rate_cleaned!$G$2:$G$10,mdr_rate_cleaned!$A$2:$A$10,B3929,mdr_rate_cleaned!$B$2:$B$10,"&lt;"&amp;C3929,mdr_rate_cleaned!$F$2:$F$10,"&gt;="&amp;C3929)</f>
        <v>3.0000000000000001E-3</v>
      </c>
      <c r="H3929" s="24">
        <f t="shared" si="305"/>
        <v>11.39</v>
      </c>
      <c r="I3929" s="23" t="str">
        <f t="shared" si="306"/>
        <v>Match</v>
      </c>
      <c r="J3929" s="23" t="str">
        <f t="shared" si="307"/>
        <v>Match</v>
      </c>
      <c r="K3929" s="24">
        <f t="shared" si="308"/>
        <v>2.0499999999999998</v>
      </c>
      <c r="L3929" s="24">
        <f t="shared" si="309"/>
        <v>0</v>
      </c>
    </row>
    <row r="3930" spans="1:12" ht="15" customHeight="1" x14ac:dyDescent="0.3">
      <c r="A3930" s="23" t="s">
        <v>17119</v>
      </c>
      <c r="B3930" s="23" t="s">
        <v>75</v>
      </c>
      <c r="C3930" s="39">
        <v>4998</v>
      </c>
      <c r="D3930" s="24">
        <v>14.99</v>
      </c>
      <c r="E3930" s="24">
        <v>2.7</v>
      </c>
      <c r="F3930" s="23">
        <f>COUNTIFS(mdr_rate_cleaned!$A$2:$A$10,B3930,mdr_rate_cleaned!$B$2:$B$10,"&lt;"&amp;C3930,mdr_rate_cleaned!$F$2:$F$10,"&gt;="&amp;C3930)</f>
        <v>1</v>
      </c>
      <c r="G3930" s="40">
        <f>SUMIFS(mdr_rate_cleaned!$G$2:$G$10,mdr_rate_cleaned!$A$2:$A$10,B3930,mdr_rate_cleaned!$B$2:$B$10,"&lt;"&amp;C3930,mdr_rate_cleaned!$F$2:$F$10,"&gt;="&amp;C3930)</f>
        <v>3.0000000000000001E-3</v>
      </c>
      <c r="H3930" s="24">
        <f t="shared" si="305"/>
        <v>14.99</v>
      </c>
      <c r="I3930" s="23" t="str">
        <f t="shared" si="306"/>
        <v>Match</v>
      </c>
      <c r="J3930" s="23" t="str">
        <f t="shared" si="307"/>
        <v>Match</v>
      </c>
      <c r="K3930" s="24">
        <f t="shared" si="308"/>
        <v>2.7</v>
      </c>
      <c r="L3930" s="24">
        <f t="shared" si="309"/>
        <v>0</v>
      </c>
    </row>
    <row r="3931" spans="1:12" ht="15" customHeight="1" x14ac:dyDescent="0.3">
      <c r="A3931" s="23" t="s">
        <v>17120</v>
      </c>
      <c r="B3931" s="23" t="s">
        <v>75</v>
      </c>
      <c r="C3931" s="39">
        <v>3597</v>
      </c>
      <c r="D3931" s="24">
        <v>10.79</v>
      </c>
      <c r="E3931" s="24">
        <v>1.94</v>
      </c>
      <c r="F3931" s="23">
        <f>COUNTIFS(mdr_rate_cleaned!$A$2:$A$10,B3931,mdr_rate_cleaned!$B$2:$B$10,"&lt;"&amp;C3931,mdr_rate_cleaned!$F$2:$F$10,"&gt;="&amp;C3931)</f>
        <v>1</v>
      </c>
      <c r="G3931" s="40">
        <f>SUMIFS(mdr_rate_cleaned!$G$2:$G$10,mdr_rate_cleaned!$A$2:$A$10,B3931,mdr_rate_cleaned!$B$2:$B$10,"&lt;"&amp;C3931,mdr_rate_cleaned!$F$2:$F$10,"&gt;="&amp;C3931)</f>
        <v>3.0000000000000001E-3</v>
      </c>
      <c r="H3931" s="24">
        <f t="shared" si="305"/>
        <v>10.79</v>
      </c>
      <c r="I3931" s="23" t="str">
        <f t="shared" si="306"/>
        <v>Match</v>
      </c>
      <c r="J3931" s="23" t="str">
        <f t="shared" si="307"/>
        <v>Match</v>
      </c>
      <c r="K3931" s="24">
        <f t="shared" si="308"/>
        <v>1.94</v>
      </c>
      <c r="L3931" s="24">
        <f t="shared" si="309"/>
        <v>0</v>
      </c>
    </row>
    <row r="3932" spans="1:12" ht="15" customHeight="1" x14ac:dyDescent="0.3">
      <c r="A3932" s="23" t="s">
        <v>17122</v>
      </c>
      <c r="B3932" s="23" t="s">
        <v>75</v>
      </c>
      <c r="C3932" s="39">
        <v>9798</v>
      </c>
      <c r="D3932" s="24">
        <v>29.39</v>
      </c>
      <c r="E3932" s="24">
        <v>5.29</v>
      </c>
      <c r="F3932" s="23">
        <f>COUNTIFS(mdr_rate_cleaned!$A$2:$A$10,B3932,mdr_rate_cleaned!$B$2:$B$10,"&lt;"&amp;C3932,mdr_rate_cleaned!$F$2:$F$10,"&gt;="&amp;C3932)</f>
        <v>1</v>
      </c>
      <c r="G3932" s="40">
        <f>SUMIFS(mdr_rate_cleaned!$G$2:$G$10,mdr_rate_cleaned!$A$2:$A$10,B3932,mdr_rate_cleaned!$B$2:$B$10,"&lt;"&amp;C3932,mdr_rate_cleaned!$F$2:$F$10,"&gt;="&amp;C3932)</f>
        <v>3.0000000000000001E-3</v>
      </c>
      <c r="H3932" s="24">
        <f t="shared" si="305"/>
        <v>29.39</v>
      </c>
      <c r="I3932" s="23" t="str">
        <f t="shared" si="306"/>
        <v>Match</v>
      </c>
      <c r="J3932" s="23" t="str">
        <f t="shared" si="307"/>
        <v>Match</v>
      </c>
      <c r="K3932" s="24">
        <f t="shared" si="308"/>
        <v>5.29</v>
      </c>
      <c r="L3932" s="24">
        <f t="shared" si="309"/>
        <v>0</v>
      </c>
    </row>
    <row r="3933" spans="1:12" ht="15" customHeight="1" x14ac:dyDescent="0.3">
      <c r="A3933" s="23" t="s">
        <v>17123</v>
      </c>
      <c r="B3933" s="23" t="s">
        <v>77</v>
      </c>
      <c r="C3933" s="39">
        <v>3998</v>
      </c>
      <c r="D3933" s="24">
        <v>67.97</v>
      </c>
      <c r="E3933" s="24">
        <v>12.23</v>
      </c>
      <c r="F3933" s="23">
        <f>COUNTIFS(mdr_rate_cleaned!$A$2:$A$10,B3933,mdr_rate_cleaned!$B$2:$B$10,"&lt;"&amp;C3933,mdr_rate_cleaned!$F$2:$F$10,"&gt;="&amp;C3933)</f>
        <v>1</v>
      </c>
      <c r="G3933" s="40">
        <f>SUMIFS(mdr_rate_cleaned!$G$2:$G$10,mdr_rate_cleaned!$A$2:$A$10,B3933,mdr_rate_cleaned!$B$2:$B$10,"&lt;"&amp;C3933,mdr_rate_cleaned!$F$2:$F$10,"&gt;="&amp;C3933)</f>
        <v>1.7000000000000001E-2</v>
      </c>
      <c r="H3933" s="24">
        <f t="shared" si="305"/>
        <v>67.97</v>
      </c>
      <c r="I3933" s="23" t="str">
        <f t="shared" si="306"/>
        <v>Match</v>
      </c>
      <c r="J3933" s="23" t="str">
        <f t="shared" si="307"/>
        <v>Match</v>
      </c>
      <c r="K3933" s="24">
        <f t="shared" si="308"/>
        <v>12.23</v>
      </c>
      <c r="L3933" s="24">
        <f t="shared" si="309"/>
        <v>0</v>
      </c>
    </row>
    <row r="3934" spans="1:12" ht="15" customHeight="1" x14ac:dyDescent="0.3">
      <c r="A3934" s="23" t="s">
        <v>17124</v>
      </c>
      <c r="B3934" s="23" t="s">
        <v>79</v>
      </c>
      <c r="C3934" s="39">
        <v>1299</v>
      </c>
      <c r="D3934" s="24">
        <v>23.38</v>
      </c>
      <c r="E3934" s="24">
        <v>4.21</v>
      </c>
      <c r="F3934" s="23">
        <f>COUNTIFS(mdr_rate_cleaned!$A$2:$A$10,B3934,mdr_rate_cleaned!$B$2:$B$10,"&lt;"&amp;C3934,mdr_rate_cleaned!$F$2:$F$10,"&gt;="&amp;C3934)</f>
        <v>1</v>
      </c>
      <c r="G3934" s="40">
        <f>SUMIFS(mdr_rate_cleaned!$G$2:$G$10,mdr_rate_cleaned!$A$2:$A$10,B3934,mdr_rate_cleaned!$B$2:$B$10,"&lt;"&amp;C3934,mdr_rate_cleaned!$F$2:$F$10,"&gt;="&amp;C3934)</f>
        <v>1.8000000000000002E-2</v>
      </c>
      <c r="H3934" s="24">
        <f t="shared" si="305"/>
        <v>23.38</v>
      </c>
      <c r="I3934" s="23" t="str">
        <f t="shared" si="306"/>
        <v>Match</v>
      </c>
      <c r="J3934" s="23" t="str">
        <f t="shared" si="307"/>
        <v>Match</v>
      </c>
      <c r="K3934" s="24">
        <f t="shared" si="308"/>
        <v>4.21</v>
      </c>
      <c r="L3934" s="24">
        <f t="shared" si="309"/>
        <v>0</v>
      </c>
    </row>
    <row r="3935" spans="1:12" ht="15" customHeight="1" x14ac:dyDescent="0.3">
      <c r="A3935" s="23" t="s">
        <v>17126</v>
      </c>
      <c r="B3935" s="23" t="s">
        <v>75</v>
      </c>
      <c r="C3935" s="39">
        <v>13497</v>
      </c>
      <c r="D3935" s="24">
        <v>40.49</v>
      </c>
      <c r="E3935" s="24">
        <v>7.29</v>
      </c>
      <c r="F3935" s="23">
        <f>COUNTIFS(mdr_rate_cleaned!$A$2:$A$10,B3935,mdr_rate_cleaned!$B$2:$B$10,"&lt;"&amp;C3935,mdr_rate_cleaned!$F$2:$F$10,"&gt;="&amp;C3935)</f>
        <v>1</v>
      </c>
      <c r="G3935" s="40">
        <f>SUMIFS(mdr_rate_cleaned!$G$2:$G$10,mdr_rate_cleaned!$A$2:$A$10,B3935,mdr_rate_cleaned!$B$2:$B$10,"&lt;"&amp;C3935,mdr_rate_cleaned!$F$2:$F$10,"&gt;="&amp;C3935)</f>
        <v>3.0000000000000001E-3</v>
      </c>
      <c r="H3935" s="24">
        <f t="shared" si="305"/>
        <v>40.49</v>
      </c>
      <c r="I3935" s="23" t="str">
        <f t="shared" si="306"/>
        <v>Match</v>
      </c>
      <c r="J3935" s="23" t="str">
        <f t="shared" si="307"/>
        <v>Match</v>
      </c>
      <c r="K3935" s="24">
        <f t="shared" si="308"/>
        <v>7.29</v>
      </c>
      <c r="L3935" s="24">
        <f t="shared" si="309"/>
        <v>0</v>
      </c>
    </row>
    <row r="3936" spans="1:12" ht="15" customHeight="1" x14ac:dyDescent="0.3">
      <c r="A3936" s="23" t="s">
        <v>17128</v>
      </c>
      <c r="B3936" s="23" t="s">
        <v>79</v>
      </c>
      <c r="C3936" s="39">
        <v>8997</v>
      </c>
      <c r="D3936" s="24">
        <v>143.94999999999999</v>
      </c>
      <c r="E3936" s="24">
        <v>25.91</v>
      </c>
      <c r="F3936" s="23">
        <f>COUNTIFS(mdr_rate_cleaned!$A$2:$A$10,B3936,mdr_rate_cleaned!$B$2:$B$10,"&lt;"&amp;C3936,mdr_rate_cleaned!$F$2:$F$10,"&gt;="&amp;C3936)</f>
        <v>1</v>
      </c>
      <c r="G3936" s="40">
        <f>SUMIFS(mdr_rate_cleaned!$G$2:$G$10,mdr_rate_cleaned!$A$2:$A$10,B3936,mdr_rate_cleaned!$B$2:$B$10,"&lt;"&amp;C3936,mdr_rate_cleaned!$F$2:$F$10,"&gt;="&amp;C3936)</f>
        <v>1.6E-2</v>
      </c>
      <c r="H3936" s="24">
        <f t="shared" si="305"/>
        <v>143.94999999999999</v>
      </c>
      <c r="I3936" s="23" t="str">
        <f t="shared" si="306"/>
        <v>Match</v>
      </c>
      <c r="J3936" s="23" t="str">
        <f t="shared" si="307"/>
        <v>Match</v>
      </c>
      <c r="K3936" s="24">
        <f t="shared" si="308"/>
        <v>25.91</v>
      </c>
      <c r="L3936" s="24">
        <f t="shared" si="309"/>
        <v>0</v>
      </c>
    </row>
    <row r="3937" spans="1:12" ht="15" customHeight="1" x14ac:dyDescent="0.3">
      <c r="A3937" s="23" t="s">
        <v>17130</v>
      </c>
      <c r="B3937" s="23" t="s">
        <v>75</v>
      </c>
      <c r="C3937" s="39">
        <v>2298</v>
      </c>
      <c r="D3937" s="24">
        <v>6.89</v>
      </c>
      <c r="E3937" s="24">
        <v>1.24</v>
      </c>
      <c r="F3937" s="23">
        <f>COUNTIFS(mdr_rate_cleaned!$A$2:$A$10,B3937,mdr_rate_cleaned!$B$2:$B$10,"&lt;"&amp;C3937,mdr_rate_cleaned!$F$2:$F$10,"&gt;="&amp;C3937)</f>
        <v>1</v>
      </c>
      <c r="G3937" s="40">
        <f>SUMIFS(mdr_rate_cleaned!$G$2:$G$10,mdr_rate_cleaned!$A$2:$A$10,B3937,mdr_rate_cleaned!$B$2:$B$10,"&lt;"&amp;C3937,mdr_rate_cleaned!$F$2:$F$10,"&gt;="&amp;C3937)</f>
        <v>3.0000000000000001E-3</v>
      </c>
      <c r="H3937" s="24">
        <f t="shared" si="305"/>
        <v>6.89</v>
      </c>
      <c r="I3937" s="23" t="str">
        <f t="shared" si="306"/>
        <v>Match</v>
      </c>
      <c r="J3937" s="23" t="str">
        <f t="shared" si="307"/>
        <v>Match</v>
      </c>
      <c r="K3937" s="24">
        <f t="shared" si="308"/>
        <v>1.24</v>
      </c>
      <c r="L3937" s="24">
        <f t="shared" si="309"/>
        <v>0</v>
      </c>
    </row>
    <row r="3938" spans="1:12" ht="15" customHeight="1" x14ac:dyDescent="0.3">
      <c r="A3938" s="23" t="s">
        <v>17132</v>
      </c>
      <c r="B3938" s="23" t="s">
        <v>75</v>
      </c>
      <c r="C3938" s="39">
        <v>299</v>
      </c>
      <c r="D3938" s="24">
        <v>0</v>
      </c>
      <c r="E3938" s="24">
        <v>0</v>
      </c>
      <c r="F3938" s="23">
        <f>COUNTIFS(mdr_rate_cleaned!$A$2:$A$10,B3938,mdr_rate_cleaned!$B$2:$B$10,"&lt;"&amp;C3938,mdr_rate_cleaned!$F$2:$F$10,"&gt;="&amp;C3938)</f>
        <v>1</v>
      </c>
      <c r="G3938" s="40">
        <f>SUMIFS(mdr_rate_cleaned!$G$2:$G$10,mdr_rate_cleaned!$A$2:$A$10,B3938,mdr_rate_cleaned!$B$2:$B$10,"&lt;"&amp;C3938,mdr_rate_cleaned!$F$2:$F$10,"&gt;="&amp;C3938)</f>
        <v>0</v>
      </c>
      <c r="H3938" s="24">
        <f t="shared" si="305"/>
        <v>0</v>
      </c>
      <c r="I3938" s="23" t="str">
        <f t="shared" si="306"/>
        <v>Match</v>
      </c>
      <c r="J3938" s="23" t="str">
        <f t="shared" si="307"/>
        <v>Match</v>
      </c>
      <c r="K3938" s="24">
        <f t="shared" si="308"/>
        <v>0</v>
      </c>
      <c r="L3938" s="24">
        <f t="shared" si="309"/>
        <v>0</v>
      </c>
    </row>
    <row r="3939" spans="1:12" ht="15" customHeight="1" x14ac:dyDescent="0.3">
      <c r="A3939" s="23" t="s">
        <v>17133</v>
      </c>
      <c r="B3939" s="23" t="s">
        <v>79</v>
      </c>
      <c r="C3939" s="39">
        <v>3498</v>
      </c>
      <c r="D3939" s="24">
        <v>55.97</v>
      </c>
      <c r="E3939" s="24">
        <v>10.07</v>
      </c>
      <c r="F3939" s="23">
        <f>COUNTIFS(mdr_rate_cleaned!$A$2:$A$10,B3939,mdr_rate_cleaned!$B$2:$B$10,"&lt;"&amp;C3939,mdr_rate_cleaned!$F$2:$F$10,"&gt;="&amp;C3939)</f>
        <v>1</v>
      </c>
      <c r="G3939" s="40">
        <f>SUMIFS(mdr_rate_cleaned!$G$2:$G$10,mdr_rate_cleaned!$A$2:$A$10,B3939,mdr_rate_cleaned!$B$2:$B$10,"&lt;"&amp;C3939,mdr_rate_cleaned!$F$2:$F$10,"&gt;="&amp;C3939)</f>
        <v>1.6E-2</v>
      </c>
      <c r="H3939" s="24">
        <f t="shared" si="305"/>
        <v>55.97</v>
      </c>
      <c r="I3939" s="23" t="str">
        <f t="shared" si="306"/>
        <v>Match</v>
      </c>
      <c r="J3939" s="23" t="str">
        <f t="shared" si="307"/>
        <v>Match</v>
      </c>
      <c r="K3939" s="24">
        <f t="shared" si="308"/>
        <v>10.07</v>
      </c>
      <c r="L3939" s="24">
        <f t="shared" si="309"/>
        <v>0</v>
      </c>
    </row>
    <row r="3940" spans="1:12" ht="15" customHeight="1" x14ac:dyDescent="0.3">
      <c r="A3940" s="23" t="s">
        <v>17134</v>
      </c>
      <c r="B3940" s="23" t="s">
        <v>75</v>
      </c>
      <c r="C3940" s="39">
        <v>599</v>
      </c>
      <c r="D3940" s="24">
        <v>0</v>
      </c>
      <c r="E3940" s="24">
        <v>0</v>
      </c>
      <c r="F3940" s="23">
        <f>COUNTIFS(mdr_rate_cleaned!$A$2:$A$10,B3940,mdr_rate_cleaned!$B$2:$B$10,"&lt;"&amp;C3940,mdr_rate_cleaned!$F$2:$F$10,"&gt;="&amp;C3940)</f>
        <v>1</v>
      </c>
      <c r="G3940" s="40">
        <f>SUMIFS(mdr_rate_cleaned!$G$2:$G$10,mdr_rate_cleaned!$A$2:$A$10,B3940,mdr_rate_cleaned!$B$2:$B$10,"&lt;"&amp;C3940,mdr_rate_cleaned!$F$2:$F$10,"&gt;="&amp;C3940)</f>
        <v>0</v>
      </c>
      <c r="H3940" s="24">
        <f t="shared" si="305"/>
        <v>0</v>
      </c>
      <c r="I3940" s="23" t="str">
        <f t="shared" si="306"/>
        <v>Match</v>
      </c>
      <c r="J3940" s="23" t="str">
        <f t="shared" si="307"/>
        <v>Match</v>
      </c>
      <c r="K3940" s="24">
        <f t="shared" si="308"/>
        <v>0</v>
      </c>
      <c r="L3940" s="24">
        <f t="shared" si="309"/>
        <v>0</v>
      </c>
    </row>
    <row r="3941" spans="1:12" ht="15" customHeight="1" x14ac:dyDescent="0.3">
      <c r="A3941" s="23" t="s">
        <v>17135</v>
      </c>
      <c r="B3941" s="23" t="s">
        <v>75</v>
      </c>
      <c r="C3941" s="39">
        <v>3598</v>
      </c>
      <c r="D3941" s="24">
        <v>10.79</v>
      </c>
      <c r="E3941" s="24">
        <v>1.94</v>
      </c>
      <c r="F3941" s="23">
        <f>COUNTIFS(mdr_rate_cleaned!$A$2:$A$10,B3941,mdr_rate_cleaned!$B$2:$B$10,"&lt;"&amp;C3941,mdr_rate_cleaned!$F$2:$F$10,"&gt;="&amp;C3941)</f>
        <v>1</v>
      </c>
      <c r="G3941" s="40">
        <f>SUMIFS(mdr_rate_cleaned!$G$2:$G$10,mdr_rate_cleaned!$A$2:$A$10,B3941,mdr_rate_cleaned!$B$2:$B$10,"&lt;"&amp;C3941,mdr_rate_cleaned!$F$2:$F$10,"&gt;="&amp;C3941)</f>
        <v>3.0000000000000001E-3</v>
      </c>
      <c r="H3941" s="24">
        <f t="shared" si="305"/>
        <v>10.79</v>
      </c>
      <c r="I3941" s="23" t="str">
        <f t="shared" si="306"/>
        <v>Match</v>
      </c>
      <c r="J3941" s="23" t="str">
        <f t="shared" si="307"/>
        <v>Match</v>
      </c>
      <c r="K3941" s="24">
        <f t="shared" si="308"/>
        <v>1.94</v>
      </c>
      <c r="L3941" s="24">
        <f t="shared" si="309"/>
        <v>0</v>
      </c>
    </row>
    <row r="3942" spans="1:12" ht="15" customHeight="1" x14ac:dyDescent="0.3">
      <c r="A3942" s="23" t="s">
        <v>17136</v>
      </c>
      <c r="B3942" s="23" t="s">
        <v>75</v>
      </c>
      <c r="C3942" s="39">
        <v>6347</v>
      </c>
      <c r="D3942" s="24">
        <v>19.04</v>
      </c>
      <c r="E3942" s="24">
        <v>3.43</v>
      </c>
      <c r="F3942" s="23">
        <f>COUNTIFS(mdr_rate_cleaned!$A$2:$A$10,B3942,mdr_rate_cleaned!$B$2:$B$10,"&lt;"&amp;C3942,mdr_rate_cleaned!$F$2:$F$10,"&gt;="&amp;C3942)</f>
        <v>1</v>
      </c>
      <c r="G3942" s="40">
        <f>SUMIFS(mdr_rate_cleaned!$G$2:$G$10,mdr_rate_cleaned!$A$2:$A$10,B3942,mdr_rate_cleaned!$B$2:$B$10,"&lt;"&amp;C3942,mdr_rate_cleaned!$F$2:$F$10,"&gt;="&amp;C3942)</f>
        <v>3.0000000000000001E-3</v>
      </c>
      <c r="H3942" s="24">
        <f t="shared" si="305"/>
        <v>19.04</v>
      </c>
      <c r="I3942" s="23" t="str">
        <f t="shared" si="306"/>
        <v>Match</v>
      </c>
      <c r="J3942" s="23" t="str">
        <f t="shared" si="307"/>
        <v>Match</v>
      </c>
      <c r="K3942" s="24">
        <f t="shared" si="308"/>
        <v>3.43</v>
      </c>
      <c r="L3942" s="24">
        <f t="shared" si="309"/>
        <v>0</v>
      </c>
    </row>
    <row r="3943" spans="1:12" ht="15" customHeight="1" x14ac:dyDescent="0.3">
      <c r="A3943" s="23" t="s">
        <v>17137</v>
      </c>
      <c r="B3943" s="23" t="s">
        <v>75</v>
      </c>
      <c r="C3943" s="39">
        <v>3848</v>
      </c>
      <c r="D3943" s="24">
        <v>11.54</v>
      </c>
      <c r="E3943" s="24">
        <v>2.08</v>
      </c>
      <c r="F3943" s="23">
        <f>COUNTIFS(mdr_rate_cleaned!$A$2:$A$10,B3943,mdr_rate_cleaned!$B$2:$B$10,"&lt;"&amp;C3943,mdr_rate_cleaned!$F$2:$F$10,"&gt;="&amp;C3943)</f>
        <v>1</v>
      </c>
      <c r="G3943" s="40">
        <f>SUMIFS(mdr_rate_cleaned!$G$2:$G$10,mdr_rate_cleaned!$A$2:$A$10,B3943,mdr_rate_cleaned!$B$2:$B$10,"&lt;"&amp;C3943,mdr_rate_cleaned!$F$2:$F$10,"&gt;="&amp;C3943)</f>
        <v>3.0000000000000001E-3</v>
      </c>
      <c r="H3943" s="24">
        <f t="shared" si="305"/>
        <v>11.54</v>
      </c>
      <c r="I3943" s="23" t="str">
        <f t="shared" si="306"/>
        <v>Match</v>
      </c>
      <c r="J3943" s="23" t="str">
        <f t="shared" si="307"/>
        <v>Match</v>
      </c>
      <c r="K3943" s="24">
        <f t="shared" si="308"/>
        <v>2.08</v>
      </c>
      <c r="L3943" s="24">
        <f t="shared" si="309"/>
        <v>0</v>
      </c>
    </row>
    <row r="3944" spans="1:12" ht="15" customHeight="1" x14ac:dyDescent="0.3">
      <c r="A3944" s="23" t="s">
        <v>17138</v>
      </c>
      <c r="B3944" s="23" t="s">
        <v>79</v>
      </c>
      <c r="C3944" s="39">
        <v>3298</v>
      </c>
      <c r="D3944" s="24">
        <v>52.77</v>
      </c>
      <c r="E3944" s="24">
        <v>9.5</v>
      </c>
      <c r="F3944" s="23">
        <f>COUNTIFS(mdr_rate_cleaned!$A$2:$A$10,B3944,mdr_rate_cleaned!$B$2:$B$10,"&lt;"&amp;C3944,mdr_rate_cleaned!$F$2:$F$10,"&gt;="&amp;C3944)</f>
        <v>1</v>
      </c>
      <c r="G3944" s="40">
        <f>SUMIFS(mdr_rate_cleaned!$G$2:$G$10,mdr_rate_cleaned!$A$2:$A$10,B3944,mdr_rate_cleaned!$B$2:$B$10,"&lt;"&amp;C3944,mdr_rate_cleaned!$F$2:$F$10,"&gt;="&amp;C3944)</f>
        <v>1.6E-2</v>
      </c>
      <c r="H3944" s="24">
        <f t="shared" si="305"/>
        <v>52.77</v>
      </c>
      <c r="I3944" s="23" t="str">
        <f t="shared" si="306"/>
        <v>Match</v>
      </c>
      <c r="J3944" s="23" t="str">
        <f t="shared" si="307"/>
        <v>Match</v>
      </c>
      <c r="K3944" s="24">
        <f t="shared" si="308"/>
        <v>9.5</v>
      </c>
      <c r="L3944" s="24">
        <f t="shared" si="309"/>
        <v>0</v>
      </c>
    </row>
    <row r="3945" spans="1:12" ht="15" customHeight="1" x14ac:dyDescent="0.3">
      <c r="A3945" s="23" t="s">
        <v>17139</v>
      </c>
      <c r="B3945" s="23" t="s">
        <v>77</v>
      </c>
      <c r="C3945" s="39">
        <v>948</v>
      </c>
      <c r="D3945" s="24">
        <v>18.010000000000002</v>
      </c>
      <c r="E3945" s="24">
        <v>3.24</v>
      </c>
      <c r="F3945" s="23">
        <f>COUNTIFS(mdr_rate_cleaned!$A$2:$A$10,B3945,mdr_rate_cleaned!$B$2:$B$10,"&lt;"&amp;C3945,mdr_rate_cleaned!$F$2:$F$10,"&gt;="&amp;C3945)</f>
        <v>1</v>
      </c>
      <c r="G3945" s="40">
        <f>SUMIFS(mdr_rate_cleaned!$G$2:$G$10,mdr_rate_cleaned!$A$2:$A$10,B3945,mdr_rate_cleaned!$B$2:$B$10,"&lt;"&amp;C3945,mdr_rate_cleaned!$F$2:$F$10,"&gt;="&amp;C3945)</f>
        <v>1.9E-2</v>
      </c>
      <c r="H3945" s="24">
        <f t="shared" si="305"/>
        <v>18.010000000000002</v>
      </c>
      <c r="I3945" s="23" t="str">
        <f t="shared" si="306"/>
        <v>Match</v>
      </c>
      <c r="J3945" s="23" t="str">
        <f t="shared" si="307"/>
        <v>Match</v>
      </c>
      <c r="K3945" s="24">
        <f t="shared" si="308"/>
        <v>3.24</v>
      </c>
      <c r="L3945" s="24">
        <f t="shared" si="309"/>
        <v>0</v>
      </c>
    </row>
    <row r="3946" spans="1:12" ht="15" customHeight="1" x14ac:dyDescent="0.3">
      <c r="A3946" s="23" t="s">
        <v>17140</v>
      </c>
      <c r="B3946" s="23" t="s">
        <v>75</v>
      </c>
      <c r="C3946" s="39">
        <v>3897</v>
      </c>
      <c r="D3946" s="24">
        <v>11.69</v>
      </c>
      <c r="E3946" s="24">
        <v>2.1</v>
      </c>
      <c r="F3946" s="23">
        <f>COUNTIFS(mdr_rate_cleaned!$A$2:$A$10,B3946,mdr_rate_cleaned!$B$2:$B$10,"&lt;"&amp;C3946,mdr_rate_cleaned!$F$2:$F$10,"&gt;="&amp;C3946)</f>
        <v>1</v>
      </c>
      <c r="G3946" s="40">
        <f>SUMIFS(mdr_rate_cleaned!$G$2:$G$10,mdr_rate_cleaned!$A$2:$A$10,B3946,mdr_rate_cleaned!$B$2:$B$10,"&lt;"&amp;C3946,mdr_rate_cleaned!$F$2:$F$10,"&gt;="&amp;C3946)</f>
        <v>3.0000000000000001E-3</v>
      </c>
      <c r="H3946" s="24">
        <f t="shared" si="305"/>
        <v>11.69</v>
      </c>
      <c r="I3946" s="23" t="str">
        <f t="shared" si="306"/>
        <v>Match</v>
      </c>
      <c r="J3946" s="23" t="str">
        <f t="shared" si="307"/>
        <v>Match</v>
      </c>
      <c r="K3946" s="24">
        <f t="shared" si="308"/>
        <v>2.1</v>
      </c>
      <c r="L3946" s="24">
        <f t="shared" si="309"/>
        <v>0</v>
      </c>
    </row>
    <row r="3947" spans="1:12" ht="15" customHeight="1" x14ac:dyDescent="0.3">
      <c r="A3947" s="23" t="s">
        <v>17141</v>
      </c>
      <c r="B3947" s="23" t="s">
        <v>75</v>
      </c>
      <c r="C3947" s="39">
        <v>4798</v>
      </c>
      <c r="D3947" s="24">
        <v>14.39</v>
      </c>
      <c r="E3947" s="24">
        <v>2.59</v>
      </c>
      <c r="F3947" s="23">
        <f>COUNTIFS(mdr_rate_cleaned!$A$2:$A$10,B3947,mdr_rate_cleaned!$B$2:$B$10,"&lt;"&amp;C3947,mdr_rate_cleaned!$F$2:$F$10,"&gt;="&amp;C3947)</f>
        <v>1</v>
      </c>
      <c r="G3947" s="40">
        <f>SUMIFS(mdr_rate_cleaned!$G$2:$G$10,mdr_rate_cleaned!$A$2:$A$10,B3947,mdr_rate_cleaned!$B$2:$B$10,"&lt;"&amp;C3947,mdr_rate_cleaned!$F$2:$F$10,"&gt;="&amp;C3947)</f>
        <v>3.0000000000000001E-3</v>
      </c>
      <c r="H3947" s="24">
        <f t="shared" si="305"/>
        <v>14.39</v>
      </c>
      <c r="I3947" s="23" t="str">
        <f t="shared" si="306"/>
        <v>Match</v>
      </c>
      <c r="J3947" s="23" t="str">
        <f t="shared" si="307"/>
        <v>Match</v>
      </c>
      <c r="K3947" s="24">
        <f t="shared" si="308"/>
        <v>2.59</v>
      </c>
      <c r="L3947" s="24">
        <f t="shared" si="309"/>
        <v>0</v>
      </c>
    </row>
    <row r="3948" spans="1:12" ht="15" customHeight="1" x14ac:dyDescent="0.3">
      <c r="A3948" s="23" t="s">
        <v>17142</v>
      </c>
      <c r="B3948" s="23" t="s">
        <v>79</v>
      </c>
      <c r="C3948" s="39">
        <v>499</v>
      </c>
      <c r="D3948" s="24">
        <v>8.98</v>
      </c>
      <c r="E3948" s="24">
        <v>1.62</v>
      </c>
      <c r="F3948" s="23">
        <f>COUNTIFS(mdr_rate_cleaned!$A$2:$A$10,B3948,mdr_rate_cleaned!$B$2:$B$10,"&lt;"&amp;C3948,mdr_rate_cleaned!$F$2:$F$10,"&gt;="&amp;C3948)</f>
        <v>1</v>
      </c>
      <c r="G3948" s="40">
        <f>SUMIFS(mdr_rate_cleaned!$G$2:$G$10,mdr_rate_cleaned!$A$2:$A$10,B3948,mdr_rate_cleaned!$B$2:$B$10,"&lt;"&amp;C3948,mdr_rate_cleaned!$F$2:$F$10,"&gt;="&amp;C3948)</f>
        <v>1.8000000000000002E-2</v>
      </c>
      <c r="H3948" s="24">
        <f t="shared" si="305"/>
        <v>8.98</v>
      </c>
      <c r="I3948" s="23" t="str">
        <f t="shared" si="306"/>
        <v>Match</v>
      </c>
      <c r="J3948" s="23" t="str">
        <f t="shared" si="307"/>
        <v>Match</v>
      </c>
      <c r="K3948" s="24">
        <f t="shared" si="308"/>
        <v>1.62</v>
      </c>
      <c r="L3948" s="24">
        <f t="shared" si="309"/>
        <v>0</v>
      </c>
    </row>
    <row r="3949" spans="1:12" ht="15" customHeight="1" x14ac:dyDescent="0.3">
      <c r="A3949" s="23" t="s">
        <v>17143</v>
      </c>
      <c r="B3949" s="23" t="s">
        <v>79</v>
      </c>
      <c r="C3949" s="39">
        <v>1198</v>
      </c>
      <c r="D3949" s="24">
        <v>21.56</v>
      </c>
      <c r="E3949" s="24">
        <v>3.88</v>
      </c>
      <c r="F3949" s="23">
        <f>COUNTIFS(mdr_rate_cleaned!$A$2:$A$10,B3949,mdr_rate_cleaned!$B$2:$B$10,"&lt;"&amp;C3949,mdr_rate_cleaned!$F$2:$F$10,"&gt;="&amp;C3949)</f>
        <v>1</v>
      </c>
      <c r="G3949" s="40">
        <f>SUMIFS(mdr_rate_cleaned!$G$2:$G$10,mdr_rate_cleaned!$A$2:$A$10,B3949,mdr_rate_cleaned!$B$2:$B$10,"&lt;"&amp;C3949,mdr_rate_cleaned!$F$2:$F$10,"&gt;="&amp;C3949)</f>
        <v>1.8000000000000002E-2</v>
      </c>
      <c r="H3949" s="24">
        <f t="shared" si="305"/>
        <v>21.56</v>
      </c>
      <c r="I3949" s="23" t="str">
        <f t="shared" si="306"/>
        <v>Match</v>
      </c>
      <c r="J3949" s="23" t="str">
        <f t="shared" si="307"/>
        <v>Match</v>
      </c>
      <c r="K3949" s="24">
        <f t="shared" si="308"/>
        <v>3.88</v>
      </c>
      <c r="L3949" s="24">
        <f t="shared" si="309"/>
        <v>0</v>
      </c>
    </row>
    <row r="3950" spans="1:12" ht="15" customHeight="1" x14ac:dyDescent="0.3">
      <c r="A3950" s="23" t="s">
        <v>17144</v>
      </c>
      <c r="B3950" s="23" t="s">
        <v>79</v>
      </c>
      <c r="C3950" s="39">
        <v>2499</v>
      </c>
      <c r="D3950" s="24">
        <v>39.979999999999997</v>
      </c>
      <c r="E3950" s="24">
        <v>7.2</v>
      </c>
      <c r="F3950" s="23">
        <f>COUNTIFS(mdr_rate_cleaned!$A$2:$A$10,B3950,mdr_rate_cleaned!$B$2:$B$10,"&lt;"&amp;C3950,mdr_rate_cleaned!$F$2:$F$10,"&gt;="&amp;C3950)</f>
        <v>1</v>
      </c>
      <c r="G3950" s="40">
        <f>SUMIFS(mdr_rate_cleaned!$G$2:$G$10,mdr_rate_cleaned!$A$2:$A$10,B3950,mdr_rate_cleaned!$B$2:$B$10,"&lt;"&amp;C3950,mdr_rate_cleaned!$F$2:$F$10,"&gt;="&amp;C3950)</f>
        <v>1.6E-2</v>
      </c>
      <c r="H3950" s="24">
        <f t="shared" si="305"/>
        <v>39.979999999999997</v>
      </c>
      <c r="I3950" s="23" t="str">
        <f t="shared" si="306"/>
        <v>Match</v>
      </c>
      <c r="J3950" s="23" t="str">
        <f t="shared" si="307"/>
        <v>Match</v>
      </c>
      <c r="K3950" s="24">
        <f t="shared" si="308"/>
        <v>7.2</v>
      </c>
      <c r="L3950" s="24">
        <f t="shared" si="309"/>
        <v>0</v>
      </c>
    </row>
    <row r="3951" spans="1:12" ht="15" customHeight="1" x14ac:dyDescent="0.3">
      <c r="A3951" s="23" t="s">
        <v>17145</v>
      </c>
      <c r="B3951" s="23" t="s">
        <v>79</v>
      </c>
      <c r="C3951" s="39">
        <v>2798</v>
      </c>
      <c r="D3951" s="24">
        <v>44.77</v>
      </c>
      <c r="E3951" s="24">
        <v>8.06</v>
      </c>
      <c r="F3951" s="23">
        <f>COUNTIFS(mdr_rate_cleaned!$A$2:$A$10,B3951,mdr_rate_cleaned!$B$2:$B$10,"&lt;"&amp;C3951,mdr_rate_cleaned!$F$2:$F$10,"&gt;="&amp;C3951)</f>
        <v>1</v>
      </c>
      <c r="G3951" s="40">
        <f>SUMIFS(mdr_rate_cleaned!$G$2:$G$10,mdr_rate_cleaned!$A$2:$A$10,B3951,mdr_rate_cleaned!$B$2:$B$10,"&lt;"&amp;C3951,mdr_rate_cleaned!$F$2:$F$10,"&gt;="&amp;C3951)</f>
        <v>1.6E-2</v>
      </c>
      <c r="H3951" s="24">
        <f t="shared" si="305"/>
        <v>44.77</v>
      </c>
      <c r="I3951" s="23" t="str">
        <f t="shared" si="306"/>
        <v>Match</v>
      </c>
      <c r="J3951" s="23" t="str">
        <f t="shared" si="307"/>
        <v>Match</v>
      </c>
      <c r="K3951" s="24">
        <f t="shared" si="308"/>
        <v>8.06</v>
      </c>
      <c r="L3951" s="24">
        <f t="shared" si="309"/>
        <v>0</v>
      </c>
    </row>
    <row r="3952" spans="1:12" ht="15" customHeight="1" x14ac:dyDescent="0.3">
      <c r="A3952" s="23" t="s">
        <v>17147</v>
      </c>
      <c r="B3952" s="23" t="s">
        <v>79</v>
      </c>
      <c r="C3952" s="39">
        <v>6498</v>
      </c>
      <c r="D3952" s="24">
        <v>103.97</v>
      </c>
      <c r="E3952" s="24">
        <v>18.71</v>
      </c>
      <c r="F3952" s="23">
        <f>COUNTIFS(mdr_rate_cleaned!$A$2:$A$10,B3952,mdr_rate_cleaned!$B$2:$B$10,"&lt;"&amp;C3952,mdr_rate_cleaned!$F$2:$F$10,"&gt;="&amp;C3952)</f>
        <v>1</v>
      </c>
      <c r="G3952" s="40">
        <f>SUMIFS(mdr_rate_cleaned!$G$2:$G$10,mdr_rate_cleaned!$A$2:$A$10,B3952,mdr_rate_cleaned!$B$2:$B$10,"&lt;"&amp;C3952,mdr_rate_cleaned!$F$2:$F$10,"&gt;="&amp;C3952)</f>
        <v>1.6E-2</v>
      </c>
      <c r="H3952" s="24">
        <f t="shared" si="305"/>
        <v>103.97</v>
      </c>
      <c r="I3952" s="23" t="str">
        <f t="shared" si="306"/>
        <v>Match</v>
      </c>
      <c r="J3952" s="23" t="str">
        <f t="shared" si="307"/>
        <v>Match</v>
      </c>
      <c r="K3952" s="24">
        <f t="shared" si="308"/>
        <v>18.71</v>
      </c>
      <c r="L3952" s="24">
        <f t="shared" si="309"/>
        <v>0</v>
      </c>
    </row>
    <row r="3953" spans="1:12" ht="15" customHeight="1" x14ac:dyDescent="0.3">
      <c r="A3953" s="23" t="s">
        <v>17148</v>
      </c>
      <c r="B3953" s="23" t="s">
        <v>75</v>
      </c>
      <c r="C3953" s="39">
        <v>3098</v>
      </c>
      <c r="D3953" s="24">
        <v>9.2899999999999991</v>
      </c>
      <c r="E3953" s="24">
        <v>1.67</v>
      </c>
      <c r="F3953" s="23">
        <f>COUNTIFS(mdr_rate_cleaned!$A$2:$A$10,B3953,mdr_rate_cleaned!$B$2:$B$10,"&lt;"&amp;C3953,mdr_rate_cleaned!$F$2:$F$10,"&gt;="&amp;C3953)</f>
        <v>1</v>
      </c>
      <c r="G3953" s="40">
        <f>SUMIFS(mdr_rate_cleaned!$G$2:$G$10,mdr_rate_cleaned!$A$2:$A$10,B3953,mdr_rate_cleaned!$B$2:$B$10,"&lt;"&amp;C3953,mdr_rate_cleaned!$F$2:$F$10,"&gt;="&amp;C3953)</f>
        <v>3.0000000000000001E-3</v>
      </c>
      <c r="H3953" s="24">
        <f t="shared" si="305"/>
        <v>9.2899999999999991</v>
      </c>
      <c r="I3953" s="23" t="str">
        <f t="shared" si="306"/>
        <v>Match</v>
      </c>
      <c r="J3953" s="23" t="str">
        <f t="shared" si="307"/>
        <v>Match</v>
      </c>
      <c r="K3953" s="24">
        <f t="shared" si="308"/>
        <v>1.67</v>
      </c>
      <c r="L3953" s="24">
        <f t="shared" si="309"/>
        <v>0</v>
      </c>
    </row>
    <row r="3954" spans="1:12" ht="15" customHeight="1" x14ac:dyDescent="0.3">
      <c r="A3954" s="23" t="s">
        <v>17149</v>
      </c>
      <c r="B3954" s="23" t="s">
        <v>79</v>
      </c>
      <c r="C3954" s="39">
        <v>4597</v>
      </c>
      <c r="D3954" s="24">
        <v>73.55</v>
      </c>
      <c r="E3954" s="24">
        <v>13.24</v>
      </c>
      <c r="F3954" s="23">
        <f>COUNTIFS(mdr_rate_cleaned!$A$2:$A$10,B3954,mdr_rate_cleaned!$B$2:$B$10,"&lt;"&amp;C3954,mdr_rate_cleaned!$F$2:$F$10,"&gt;="&amp;C3954)</f>
        <v>1</v>
      </c>
      <c r="G3954" s="40">
        <f>SUMIFS(mdr_rate_cleaned!$G$2:$G$10,mdr_rate_cleaned!$A$2:$A$10,B3954,mdr_rate_cleaned!$B$2:$B$10,"&lt;"&amp;C3954,mdr_rate_cleaned!$F$2:$F$10,"&gt;="&amp;C3954)</f>
        <v>1.6E-2</v>
      </c>
      <c r="H3954" s="24">
        <f t="shared" si="305"/>
        <v>73.55</v>
      </c>
      <c r="I3954" s="23" t="str">
        <f t="shared" si="306"/>
        <v>Match</v>
      </c>
      <c r="J3954" s="23" t="str">
        <f t="shared" si="307"/>
        <v>Match</v>
      </c>
      <c r="K3954" s="24">
        <f t="shared" si="308"/>
        <v>13.24</v>
      </c>
      <c r="L3954" s="24">
        <f t="shared" si="309"/>
        <v>0</v>
      </c>
    </row>
    <row r="3955" spans="1:12" ht="15" customHeight="1" x14ac:dyDescent="0.3">
      <c r="A3955" s="23" t="s">
        <v>17150</v>
      </c>
      <c r="B3955" s="23" t="s">
        <v>75</v>
      </c>
      <c r="C3955" s="39">
        <v>10597</v>
      </c>
      <c r="D3955" s="24">
        <v>31.79</v>
      </c>
      <c r="E3955" s="24">
        <v>5.72</v>
      </c>
      <c r="F3955" s="23">
        <f>COUNTIFS(mdr_rate_cleaned!$A$2:$A$10,B3955,mdr_rate_cleaned!$B$2:$B$10,"&lt;"&amp;C3955,mdr_rate_cleaned!$F$2:$F$10,"&gt;="&amp;C3955)</f>
        <v>1</v>
      </c>
      <c r="G3955" s="40">
        <f>SUMIFS(mdr_rate_cleaned!$G$2:$G$10,mdr_rate_cleaned!$A$2:$A$10,B3955,mdr_rate_cleaned!$B$2:$B$10,"&lt;"&amp;C3955,mdr_rate_cleaned!$F$2:$F$10,"&gt;="&amp;C3955)</f>
        <v>3.0000000000000001E-3</v>
      </c>
      <c r="H3955" s="24">
        <f t="shared" si="305"/>
        <v>31.79</v>
      </c>
      <c r="I3955" s="23" t="str">
        <f t="shared" si="306"/>
        <v>Match</v>
      </c>
      <c r="J3955" s="23" t="str">
        <f t="shared" si="307"/>
        <v>Match</v>
      </c>
      <c r="K3955" s="24">
        <f t="shared" si="308"/>
        <v>5.72</v>
      </c>
      <c r="L3955" s="24">
        <f t="shared" si="309"/>
        <v>0</v>
      </c>
    </row>
    <row r="3956" spans="1:12" ht="15" customHeight="1" x14ac:dyDescent="0.3">
      <c r="A3956" s="23" t="s">
        <v>17151</v>
      </c>
      <c r="B3956" s="23" t="s">
        <v>75</v>
      </c>
      <c r="C3956" s="39">
        <v>8347</v>
      </c>
      <c r="D3956" s="24">
        <v>25.04</v>
      </c>
      <c r="E3956" s="24">
        <v>4.51</v>
      </c>
      <c r="F3956" s="23">
        <f>COUNTIFS(mdr_rate_cleaned!$A$2:$A$10,B3956,mdr_rate_cleaned!$B$2:$B$10,"&lt;"&amp;C3956,mdr_rate_cleaned!$F$2:$F$10,"&gt;="&amp;C3956)</f>
        <v>1</v>
      </c>
      <c r="G3956" s="40">
        <f>SUMIFS(mdr_rate_cleaned!$G$2:$G$10,mdr_rate_cleaned!$A$2:$A$10,B3956,mdr_rate_cleaned!$B$2:$B$10,"&lt;"&amp;C3956,mdr_rate_cleaned!$F$2:$F$10,"&gt;="&amp;C3956)</f>
        <v>3.0000000000000001E-3</v>
      </c>
      <c r="H3956" s="24">
        <f t="shared" si="305"/>
        <v>25.04</v>
      </c>
      <c r="I3956" s="23" t="str">
        <f t="shared" si="306"/>
        <v>Match</v>
      </c>
      <c r="J3956" s="23" t="str">
        <f t="shared" si="307"/>
        <v>Match</v>
      </c>
      <c r="K3956" s="24">
        <f t="shared" si="308"/>
        <v>4.51</v>
      </c>
      <c r="L3956" s="24">
        <f t="shared" si="309"/>
        <v>0</v>
      </c>
    </row>
    <row r="3957" spans="1:12" ht="15" customHeight="1" x14ac:dyDescent="0.3">
      <c r="A3957" s="23" t="s">
        <v>17152</v>
      </c>
      <c r="B3957" s="23" t="s">
        <v>75</v>
      </c>
      <c r="C3957" s="39">
        <v>5597</v>
      </c>
      <c r="D3957" s="24">
        <v>16.79</v>
      </c>
      <c r="E3957" s="24">
        <v>3.02</v>
      </c>
      <c r="F3957" s="23">
        <f>COUNTIFS(mdr_rate_cleaned!$A$2:$A$10,B3957,mdr_rate_cleaned!$B$2:$B$10,"&lt;"&amp;C3957,mdr_rate_cleaned!$F$2:$F$10,"&gt;="&amp;C3957)</f>
        <v>1</v>
      </c>
      <c r="G3957" s="40">
        <f>SUMIFS(mdr_rate_cleaned!$G$2:$G$10,mdr_rate_cleaned!$A$2:$A$10,B3957,mdr_rate_cleaned!$B$2:$B$10,"&lt;"&amp;C3957,mdr_rate_cleaned!$F$2:$F$10,"&gt;="&amp;C3957)</f>
        <v>3.0000000000000001E-3</v>
      </c>
      <c r="H3957" s="24">
        <f t="shared" si="305"/>
        <v>16.79</v>
      </c>
      <c r="I3957" s="23" t="str">
        <f t="shared" si="306"/>
        <v>Match</v>
      </c>
      <c r="J3957" s="23" t="str">
        <f t="shared" si="307"/>
        <v>Match</v>
      </c>
      <c r="K3957" s="24">
        <f t="shared" si="308"/>
        <v>3.02</v>
      </c>
      <c r="L3957" s="24">
        <f t="shared" si="309"/>
        <v>0</v>
      </c>
    </row>
    <row r="3958" spans="1:12" ht="15" customHeight="1" x14ac:dyDescent="0.3">
      <c r="A3958" s="23" t="s">
        <v>17153</v>
      </c>
      <c r="B3958" s="23" t="s">
        <v>75</v>
      </c>
      <c r="C3958" s="39">
        <v>6097</v>
      </c>
      <c r="D3958" s="24">
        <v>18.29</v>
      </c>
      <c r="E3958" s="24">
        <v>3.29</v>
      </c>
      <c r="F3958" s="23">
        <f>COUNTIFS(mdr_rate_cleaned!$A$2:$A$10,B3958,mdr_rate_cleaned!$B$2:$B$10,"&lt;"&amp;C3958,mdr_rate_cleaned!$F$2:$F$10,"&gt;="&amp;C3958)</f>
        <v>1</v>
      </c>
      <c r="G3958" s="40">
        <f>SUMIFS(mdr_rate_cleaned!$G$2:$G$10,mdr_rate_cleaned!$A$2:$A$10,B3958,mdr_rate_cleaned!$B$2:$B$10,"&lt;"&amp;C3958,mdr_rate_cleaned!$F$2:$F$10,"&gt;="&amp;C3958)</f>
        <v>3.0000000000000001E-3</v>
      </c>
      <c r="H3958" s="24">
        <f t="shared" si="305"/>
        <v>18.29</v>
      </c>
      <c r="I3958" s="23" t="str">
        <f t="shared" si="306"/>
        <v>Match</v>
      </c>
      <c r="J3958" s="23" t="str">
        <f t="shared" si="307"/>
        <v>Match</v>
      </c>
      <c r="K3958" s="24">
        <f t="shared" si="308"/>
        <v>3.29</v>
      </c>
      <c r="L3958" s="24">
        <f t="shared" si="309"/>
        <v>0</v>
      </c>
    </row>
    <row r="3959" spans="1:12" ht="15" customHeight="1" x14ac:dyDescent="0.3">
      <c r="A3959" s="23" t="s">
        <v>17154</v>
      </c>
      <c r="B3959" s="23" t="s">
        <v>75</v>
      </c>
      <c r="C3959" s="39">
        <v>349</v>
      </c>
      <c r="D3959" s="24">
        <v>0</v>
      </c>
      <c r="E3959" s="24">
        <v>0</v>
      </c>
      <c r="F3959" s="23">
        <f>COUNTIFS(mdr_rate_cleaned!$A$2:$A$10,B3959,mdr_rate_cleaned!$B$2:$B$10,"&lt;"&amp;C3959,mdr_rate_cleaned!$F$2:$F$10,"&gt;="&amp;C3959)</f>
        <v>1</v>
      </c>
      <c r="G3959" s="40">
        <f>SUMIFS(mdr_rate_cleaned!$G$2:$G$10,mdr_rate_cleaned!$A$2:$A$10,B3959,mdr_rate_cleaned!$B$2:$B$10,"&lt;"&amp;C3959,mdr_rate_cleaned!$F$2:$F$10,"&gt;="&amp;C3959)</f>
        <v>0</v>
      </c>
      <c r="H3959" s="24">
        <f t="shared" si="305"/>
        <v>0</v>
      </c>
      <c r="I3959" s="23" t="str">
        <f t="shared" si="306"/>
        <v>Match</v>
      </c>
      <c r="J3959" s="23" t="str">
        <f t="shared" si="307"/>
        <v>Match</v>
      </c>
      <c r="K3959" s="24">
        <f t="shared" si="308"/>
        <v>0</v>
      </c>
      <c r="L3959" s="24">
        <f t="shared" si="309"/>
        <v>0</v>
      </c>
    </row>
    <row r="3960" spans="1:12" ht="15" customHeight="1" x14ac:dyDescent="0.3">
      <c r="A3960" s="23" t="s">
        <v>17155</v>
      </c>
      <c r="B3960" s="23" t="s">
        <v>75</v>
      </c>
      <c r="C3960" s="39">
        <v>8297</v>
      </c>
      <c r="D3960" s="24">
        <v>24.89</v>
      </c>
      <c r="E3960" s="24">
        <v>4.4800000000000004</v>
      </c>
      <c r="F3960" s="23">
        <f>COUNTIFS(mdr_rate_cleaned!$A$2:$A$10,B3960,mdr_rate_cleaned!$B$2:$B$10,"&lt;"&amp;C3960,mdr_rate_cleaned!$F$2:$F$10,"&gt;="&amp;C3960)</f>
        <v>1</v>
      </c>
      <c r="G3960" s="40">
        <f>SUMIFS(mdr_rate_cleaned!$G$2:$G$10,mdr_rate_cleaned!$A$2:$A$10,B3960,mdr_rate_cleaned!$B$2:$B$10,"&lt;"&amp;C3960,mdr_rate_cleaned!$F$2:$F$10,"&gt;="&amp;C3960)</f>
        <v>3.0000000000000001E-3</v>
      </c>
      <c r="H3960" s="24">
        <f t="shared" si="305"/>
        <v>24.89</v>
      </c>
      <c r="I3960" s="23" t="str">
        <f t="shared" si="306"/>
        <v>Match</v>
      </c>
      <c r="J3960" s="23" t="str">
        <f t="shared" si="307"/>
        <v>Match</v>
      </c>
      <c r="K3960" s="24">
        <f t="shared" si="308"/>
        <v>4.4800000000000004</v>
      </c>
      <c r="L3960" s="24">
        <f t="shared" si="309"/>
        <v>0</v>
      </c>
    </row>
    <row r="3961" spans="1:12" ht="15" customHeight="1" x14ac:dyDescent="0.3">
      <c r="A3961" s="23" t="s">
        <v>17156</v>
      </c>
      <c r="B3961" s="23" t="s">
        <v>77</v>
      </c>
      <c r="C3961" s="39">
        <v>1299</v>
      </c>
      <c r="D3961" s="24">
        <v>24.68</v>
      </c>
      <c r="E3961" s="24">
        <v>4.4400000000000004</v>
      </c>
      <c r="F3961" s="23">
        <f>COUNTIFS(mdr_rate_cleaned!$A$2:$A$10,B3961,mdr_rate_cleaned!$B$2:$B$10,"&lt;"&amp;C3961,mdr_rate_cleaned!$F$2:$F$10,"&gt;="&amp;C3961)</f>
        <v>1</v>
      </c>
      <c r="G3961" s="40">
        <f>SUMIFS(mdr_rate_cleaned!$G$2:$G$10,mdr_rate_cleaned!$A$2:$A$10,B3961,mdr_rate_cleaned!$B$2:$B$10,"&lt;"&amp;C3961,mdr_rate_cleaned!$F$2:$F$10,"&gt;="&amp;C3961)</f>
        <v>1.9E-2</v>
      </c>
      <c r="H3961" s="24">
        <f t="shared" si="305"/>
        <v>24.68</v>
      </c>
      <c r="I3961" s="23" t="str">
        <f t="shared" si="306"/>
        <v>Match</v>
      </c>
      <c r="J3961" s="23" t="str">
        <f t="shared" si="307"/>
        <v>Match</v>
      </c>
      <c r="K3961" s="24">
        <f t="shared" si="308"/>
        <v>4.4400000000000004</v>
      </c>
      <c r="L3961" s="24">
        <f t="shared" si="309"/>
        <v>0</v>
      </c>
    </row>
    <row r="3962" spans="1:12" ht="15" customHeight="1" x14ac:dyDescent="0.3">
      <c r="A3962" s="23" t="s">
        <v>17157</v>
      </c>
      <c r="B3962" s="23" t="s">
        <v>75</v>
      </c>
      <c r="C3962" s="39">
        <v>3097</v>
      </c>
      <c r="D3962" s="24">
        <v>9.2899999999999991</v>
      </c>
      <c r="E3962" s="24">
        <v>1.67</v>
      </c>
      <c r="F3962" s="23">
        <f>COUNTIFS(mdr_rate_cleaned!$A$2:$A$10,B3962,mdr_rate_cleaned!$B$2:$B$10,"&lt;"&amp;C3962,mdr_rate_cleaned!$F$2:$F$10,"&gt;="&amp;C3962)</f>
        <v>1</v>
      </c>
      <c r="G3962" s="40">
        <f>SUMIFS(mdr_rate_cleaned!$G$2:$G$10,mdr_rate_cleaned!$A$2:$A$10,B3962,mdr_rate_cleaned!$B$2:$B$10,"&lt;"&amp;C3962,mdr_rate_cleaned!$F$2:$F$10,"&gt;="&amp;C3962)</f>
        <v>3.0000000000000001E-3</v>
      </c>
      <c r="H3962" s="24">
        <f t="shared" si="305"/>
        <v>9.2899999999999991</v>
      </c>
      <c r="I3962" s="23" t="str">
        <f t="shared" si="306"/>
        <v>Match</v>
      </c>
      <c r="J3962" s="23" t="str">
        <f t="shared" si="307"/>
        <v>Match</v>
      </c>
      <c r="K3962" s="24">
        <f t="shared" si="308"/>
        <v>1.67</v>
      </c>
      <c r="L3962" s="24">
        <f t="shared" si="309"/>
        <v>0</v>
      </c>
    </row>
    <row r="3963" spans="1:12" ht="15" customHeight="1" x14ac:dyDescent="0.3">
      <c r="A3963" s="23" t="s">
        <v>17158</v>
      </c>
      <c r="B3963" s="23" t="s">
        <v>75</v>
      </c>
      <c r="C3963" s="39">
        <v>499</v>
      </c>
      <c r="D3963" s="24">
        <v>0</v>
      </c>
      <c r="E3963" s="24">
        <v>0</v>
      </c>
      <c r="F3963" s="23">
        <f>COUNTIFS(mdr_rate_cleaned!$A$2:$A$10,B3963,mdr_rate_cleaned!$B$2:$B$10,"&lt;"&amp;C3963,mdr_rate_cleaned!$F$2:$F$10,"&gt;="&amp;C3963)</f>
        <v>1</v>
      </c>
      <c r="G3963" s="40">
        <f>SUMIFS(mdr_rate_cleaned!$G$2:$G$10,mdr_rate_cleaned!$A$2:$A$10,B3963,mdr_rate_cleaned!$B$2:$B$10,"&lt;"&amp;C3963,mdr_rate_cleaned!$F$2:$F$10,"&gt;="&amp;C3963)</f>
        <v>0</v>
      </c>
      <c r="H3963" s="24">
        <f t="shared" si="305"/>
        <v>0</v>
      </c>
      <c r="I3963" s="23" t="str">
        <f t="shared" si="306"/>
        <v>Match</v>
      </c>
      <c r="J3963" s="23" t="str">
        <f t="shared" si="307"/>
        <v>Match</v>
      </c>
      <c r="K3963" s="24">
        <f t="shared" si="308"/>
        <v>0</v>
      </c>
      <c r="L3963" s="24">
        <f t="shared" si="309"/>
        <v>0</v>
      </c>
    </row>
    <row r="3964" spans="1:12" ht="15" customHeight="1" x14ac:dyDescent="0.3">
      <c r="A3964" s="23" t="s">
        <v>17159</v>
      </c>
      <c r="B3964" s="23" t="s">
        <v>75</v>
      </c>
      <c r="C3964" s="39">
        <v>1499</v>
      </c>
      <c r="D3964" s="24">
        <v>0</v>
      </c>
      <c r="E3964" s="24">
        <v>0</v>
      </c>
      <c r="F3964" s="23">
        <f>COUNTIFS(mdr_rate_cleaned!$A$2:$A$10,B3964,mdr_rate_cleaned!$B$2:$B$10,"&lt;"&amp;C3964,mdr_rate_cleaned!$F$2:$F$10,"&gt;="&amp;C3964)</f>
        <v>1</v>
      </c>
      <c r="G3964" s="40">
        <f>SUMIFS(mdr_rate_cleaned!$G$2:$G$10,mdr_rate_cleaned!$A$2:$A$10,B3964,mdr_rate_cleaned!$B$2:$B$10,"&lt;"&amp;C3964,mdr_rate_cleaned!$F$2:$F$10,"&gt;="&amp;C3964)</f>
        <v>0</v>
      </c>
      <c r="H3964" s="24">
        <f t="shared" si="305"/>
        <v>0</v>
      </c>
      <c r="I3964" s="23" t="str">
        <f t="shared" si="306"/>
        <v>Match</v>
      </c>
      <c r="J3964" s="23" t="str">
        <f t="shared" si="307"/>
        <v>Match</v>
      </c>
      <c r="K3964" s="24">
        <f t="shared" si="308"/>
        <v>0</v>
      </c>
      <c r="L3964" s="24">
        <f t="shared" si="309"/>
        <v>0</v>
      </c>
    </row>
    <row r="3965" spans="1:12" ht="15" customHeight="1" x14ac:dyDescent="0.3">
      <c r="A3965" s="23" t="s">
        <v>17160</v>
      </c>
      <c r="B3965" s="23" t="s">
        <v>79</v>
      </c>
      <c r="C3965" s="39">
        <v>349</v>
      </c>
      <c r="D3965" s="24">
        <v>6.28</v>
      </c>
      <c r="E3965" s="24">
        <v>1.1299999999999999</v>
      </c>
      <c r="F3965" s="23">
        <f>COUNTIFS(mdr_rate_cleaned!$A$2:$A$10,B3965,mdr_rate_cleaned!$B$2:$B$10,"&lt;"&amp;C3965,mdr_rate_cleaned!$F$2:$F$10,"&gt;="&amp;C3965)</f>
        <v>1</v>
      </c>
      <c r="G3965" s="40">
        <f>SUMIFS(mdr_rate_cleaned!$G$2:$G$10,mdr_rate_cleaned!$A$2:$A$10,B3965,mdr_rate_cleaned!$B$2:$B$10,"&lt;"&amp;C3965,mdr_rate_cleaned!$F$2:$F$10,"&gt;="&amp;C3965)</f>
        <v>1.8000000000000002E-2</v>
      </c>
      <c r="H3965" s="24">
        <f t="shared" si="305"/>
        <v>6.28</v>
      </c>
      <c r="I3965" s="23" t="str">
        <f t="shared" si="306"/>
        <v>Match</v>
      </c>
      <c r="J3965" s="23" t="str">
        <f t="shared" si="307"/>
        <v>Match</v>
      </c>
      <c r="K3965" s="24">
        <f t="shared" si="308"/>
        <v>1.1299999999999999</v>
      </c>
      <c r="L3965" s="24">
        <f t="shared" si="309"/>
        <v>0</v>
      </c>
    </row>
    <row r="3966" spans="1:12" ht="15" customHeight="1" x14ac:dyDescent="0.3">
      <c r="A3966" s="23" t="s">
        <v>17161</v>
      </c>
      <c r="B3966" s="23" t="s">
        <v>79</v>
      </c>
      <c r="C3966" s="39">
        <v>11597</v>
      </c>
      <c r="D3966" s="24">
        <v>185.55</v>
      </c>
      <c r="E3966" s="24">
        <v>33.4</v>
      </c>
      <c r="F3966" s="23">
        <f>COUNTIFS(mdr_rate_cleaned!$A$2:$A$10,B3966,mdr_rate_cleaned!$B$2:$B$10,"&lt;"&amp;C3966,mdr_rate_cleaned!$F$2:$F$10,"&gt;="&amp;C3966)</f>
        <v>1</v>
      </c>
      <c r="G3966" s="40">
        <f>SUMIFS(mdr_rate_cleaned!$G$2:$G$10,mdr_rate_cleaned!$A$2:$A$10,B3966,mdr_rate_cleaned!$B$2:$B$10,"&lt;"&amp;C3966,mdr_rate_cleaned!$F$2:$F$10,"&gt;="&amp;C3966)</f>
        <v>1.6E-2</v>
      </c>
      <c r="H3966" s="24">
        <f t="shared" si="305"/>
        <v>185.55</v>
      </c>
      <c r="I3966" s="23" t="str">
        <f t="shared" si="306"/>
        <v>Match</v>
      </c>
      <c r="J3966" s="23" t="str">
        <f t="shared" si="307"/>
        <v>Match</v>
      </c>
      <c r="K3966" s="24">
        <f t="shared" si="308"/>
        <v>33.4</v>
      </c>
      <c r="L3966" s="24">
        <f t="shared" si="309"/>
        <v>0</v>
      </c>
    </row>
    <row r="3967" spans="1:12" ht="15" customHeight="1" x14ac:dyDescent="0.3">
      <c r="A3967" s="23" t="s">
        <v>17162</v>
      </c>
      <c r="B3967" s="23" t="s">
        <v>75</v>
      </c>
      <c r="C3967" s="39">
        <v>5298</v>
      </c>
      <c r="D3967" s="24">
        <v>15.89</v>
      </c>
      <c r="E3967" s="24">
        <v>2.86</v>
      </c>
      <c r="F3967" s="23">
        <f>COUNTIFS(mdr_rate_cleaned!$A$2:$A$10,B3967,mdr_rate_cleaned!$B$2:$B$10,"&lt;"&amp;C3967,mdr_rate_cleaned!$F$2:$F$10,"&gt;="&amp;C3967)</f>
        <v>1</v>
      </c>
      <c r="G3967" s="40">
        <f>SUMIFS(mdr_rate_cleaned!$G$2:$G$10,mdr_rate_cleaned!$A$2:$A$10,B3967,mdr_rate_cleaned!$B$2:$B$10,"&lt;"&amp;C3967,mdr_rate_cleaned!$F$2:$F$10,"&gt;="&amp;C3967)</f>
        <v>3.0000000000000001E-3</v>
      </c>
      <c r="H3967" s="24">
        <f t="shared" si="305"/>
        <v>15.89</v>
      </c>
      <c r="I3967" s="23" t="str">
        <f t="shared" si="306"/>
        <v>Match</v>
      </c>
      <c r="J3967" s="23" t="str">
        <f t="shared" si="307"/>
        <v>Match</v>
      </c>
      <c r="K3967" s="24">
        <f t="shared" si="308"/>
        <v>2.86</v>
      </c>
      <c r="L3967" s="24">
        <f t="shared" si="309"/>
        <v>0</v>
      </c>
    </row>
    <row r="3968" spans="1:12" ht="15" customHeight="1" x14ac:dyDescent="0.3">
      <c r="A3968" s="23" t="s">
        <v>17163</v>
      </c>
      <c r="B3968" s="23" t="s">
        <v>79</v>
      </c>
      <c r="C3968" s="39">
        <v>3499</v>
      </c>
      <c r="D3968" s="24">
        <v>55.98</v>
      </c>
      <c r="E3968" s="24">
        <v>10.08</v>
      </c>
      <c r="F3968" s="23">
        <f>COUNTIFS(mdr_rate_cleaned!$A$2:$A$10,B3968,mdr_rate_cleaned!$B$2:$B$10,"&lt;"&amp;C3968,mdr_rate_cleaned!$F$2:$F$10,"&gt;="&amp;C3968)</f>
        <v>1</v>
      </c>
      <c r="G3968" s="40">
        <f>SUMIFS(mdr_rate_cleaned!$G$2:$G$10,mdr_rate_cleaned!$A$2:$A$10,B3968,mdr_rate_cleaned!$B$2:$B$10,"&lt;"&amp;C3968,mdr_rate_cleaned!$F$2:$F$10,"&gt;="&amp;C3968)</f>
        <v>1.6E-2</v>
      </c>
      <c r="H3968" s="24">
        <f t="shared" si="305"/>
        <v>55.98</v>
      </c>
      <c r="I3968" s="23" t="str">
        <f t="shared" si="306"/>
        <v>Match</v>
      </c>
      <c r="J3968" s="23" t="str">
        <f t="shared" si="307"/>
        <v>Match</v>
      </c>
      <c r="K3968" s="24">
        <f t="shared" si="308"/>
        <v>10.08</v>
      </c>
      <c r="L3968" s="24">
        <f t="shared" si="309"/>
        <v>0</v>
      </c>
    </row>
    <row r="3969" spans="1:12" ht="15" customHeight="1" x14ac:dyDescent="0.3">
      <c r="A3969" s="23" t="s">
        <v>17164</v>
      </c>
      <c r="B3969" s="23" t="s">
        <v>79</v>
      </c>
      <c r="C3969" s="39">
        <v>6798</v>
      </c>
      <c r="D3969" s="24">
        <v>108.77</v>
      </c>
      <c r="E3969" s="24">
        <v>19.579999999999998</v>
      </c>
      <c r="F3969" s="23">
        <f>COUNTIFS(mdr_rate_cleaned!$A$2:$A$10,B3969,mdr_rate_cleaned!$B$2:$B$10,"&lt;"&amp;C3969,mdr_rate_cleaned!$F$2:$F$10,"&gt;="&amp;C3969)</f>
        <v>1</v>
      </c>
      <c r="G3969" s="40">
        <f>SUMIFS(mdr_rate_cleaned!$G$2:$G$10,mdr_rate_cleaned!$A$2:$A$10,B3969,mdr_rate_cleaned!$B$2:$B$10,"&lt;"&amp;C3969,mdr_rate_cleaned!$F$2:$F$10,"&gt;="&amp;C3969)</f>
        <v>1.6E-2</v>
      </c>
      <c r="H3969" s="24">
        <f t="shared" si="305"/>
        <v>108.77</v>
      </c>
      <c r="I3969" s="23" t="str">
        <f t="shared" si="306"/>
        <v>Match</v>
      </c>
      <c r="J3969" s="23" t="str">
        <f t="shared" si="307"/>
        <v>Match</v>
      </c>
      <c r="K3969" s="24">
        <f t="shared" si="308"/>
        <v>19.579999999999998</v>
      </c>
      <c r="L3969" s="24">
        <f t="shared" si="309"/>
        <v>0</v>
      </c>
    </row>
    <row r="3970" spans="1:12" ht="15" customHeight="1" x14ac:dyDescent="0.3">
      <c r="A3970" s="23" t="s">
        <v>17165</v>
      </c>
      <c r="B3970" s="23" t="s">
        <v>75</v>
      </c>
      <c r="C3970" s="39">
        <v>1598</v>
      </c>
      <c r="D3970" s="24">
        <v>0</v>
      </c>
      <c r="E3970" s="24">
        <v>0</v>
      </c>
      <c r="F3970" s="23">
        <f>COUNTIFS(mdr_rate_cleaned!$A$2:$A$10,B3970,mdr_rate_cleaned!$B$2:$B$10,"&lt;"&amp;C3970,mdr_rate_cleaned!$F$2:$F$10,"&gt;="&amp;C3970)</f>
        <v>1</v>
      </c>
      <c r="G3970" s="40">
        <f>SUMIFS(mdr_rate_cleaned!$G$2:$G$10,mdr_rate_cleaned!$A$2:$A$10,B3970,mdr_rate_cleaned!$B$2:$B$10,"&lt;"&amp;C3970,mdr_rate_cleaned!$F$2:$F$10,"&gt;="&amp;C3970)</f>
        <v>0</v>
      </c>
      <c r="H3970" s="24">
        <f t="shared" ref="H3970:H4033" si="310">ROUND(C3970*G3970,2)</f>
        <v>0</v>
      </c>
      <c r="I3970" s="23" t="str">
        <f t="shared" ref="I3970:I4033" si="311">IF(ROUND(D3970-H3970,2)=0,"Match","Differs")</f>
        <v>Match</v>
      </c>
      <c r="J3970" s="23" t="str">
        <f t="shared" ref="J3970:J4033" si="312">IF(ROUND(E3970-ROUND(D3970*0.18,2),2)=0,"Match","Differs")</f>
        <v>Match</v>
      </c>
      <c r="K3970" s="24">
        <f t="shared" ref="K3970:K4033" si="313">ROUND(H3970*0.18,2)</f>
        <v>0</v>
      </c>
      <c r="L3970" s="24">
        <f t="shared" ref="L3970:L4033" si="314">ROUND(D3970+E3970-H3970-K3970,2)</f>
        <v>0</v>
      </c>
    </row>
    <row r="3971" spans="1:12" ht="15" customHeight="1" x14ac:dyDescent="0.3">
      <c r="A3971" s="23" t="s">
        <v>17166</v>
      </c>
      <c r="B3971" s="23" t="s">
        <v>77</v>
      </c>
      <c r="C3971" s="39">
        <v>799</v>
      </c>
      <c r="D3971" s="24">
        <v>15.18</v>
      </c>
      <c r="E3971" s="24">
        <v>2.73</v>
      </c>
      <c r="F3971" s="23">
        <f>COUNTIFS(mdr_rate_cleaned!$A$2:$A$10,B3971,mdr_rate_cleaned!$B$2:$B$10,"&lt;"&amp;C3971,mdr_rate_cleaned!$F$2:$F$10,"&gt;="&amp;C3971)</f>
        <v>1</v>
      </c>
      <c r="G3971" s="40">
        <f>SUMIFS(mdr_rate_cleaned!$G$2:$G$10,mdr_rate_cleaned!$A$2:$A$10,B3971,mdr_rate_cleaned!$B$2:$B$10,"&lt;"&amp;C3971,mdr_rate_cleaned!$F$2:$F$10,"&gt;="&amp;C3971)</f>
        <v>1.9E-2</v>
      </c>
      <c r="H3971" s="24">
        <f t="shared" si="310"/>
        <v>15.18</v>
      </c>
      <c r="I3971" s="23" t="str">
        <f t="shared" si="311"/>
        <v>Match</v>
      </c>
      <c r="J3971" s="23" t="str">
        <f t="shared" si="312"/>
        <v>Match</v>
      </c>
      <c r="K3971" s="24">
        <f t="shared" si="313"/>
        <v>2.73</v>
      </c>
      <c r="L3971" s="24">
        <f t="shared" si="314"/>
        <v>0</v>
      </c>
    </row>
    <row r="3972" spans="1:12" ht="15" customHeight="1" x14ac:dyDescent="0.3">
      <c r="A3972" s="23" t="s">
        <v>17167</v>
      </c>
      <c r="B3972" s="23" t="s">
        <v>77</v>
      </c>
      <c r="C3972" s="39">
        <v>1499</v>
      </c>
      <c r="D3972" s="24">
        <v>28.48</v>
      </c>
      <c r="E3972" s="24">
        <v>5.13</v>
      </c>
      <c r="F3972" s="23">
        <f>COUNTIFS(mdr_rate_cleaned!$A$2:$A$10,B3972,mdr_rate_cleaned!$B$2:$B$10,"&lt;"&amp;C3972,mdr_rate_cleaned!$F$2:$F$10,"&gt;="&amp;C3972)</f>
        <v>1</v>
      </c>
      <c r="G3972" s="40">
        <f>SUMIFS(mdr_rate_cleaned!$G$2:$G$10,mdr_rate_cleaned!$A$2:$A$10,B3972,mdr_rate_cleaned!$B$2:$B$10,"&lt;"&amp;C3972,mdr_rate_cleaned!$F$2:$F$10,"&gt;="&amp;C3972)</f>
        <v>1.9E-2</v>
      </c>
      <c r="H3972" s="24">
        <f t="shared" si="310"/>
        <v>28.48</v>
      </c>
      <c r="I3972" s="23" t="str">
        <f t="shared" si="311"/>
        <v>Match</v>
      </c>
      <c r="J3972" s="23" t="str">
        <f t="shared" si="312"/>
        <v>Match</v>
      </c>
      <c r="K3972" s="24">
        <f t="shared" si="313"/>
        <v>5.13</v>
      </c>
      <c r="L3972" s="24">
        <f t="shared" si="314"/>
        <v>0</v>
      </c>
    </row>
    <row r="3973" spans="1:12" ht="15" customHeight="1" x14ac:dyDescent="0.3">
      <c r="A3973" s="23" t="s">
        <v>17168</v>
      </c>
      <c r="B3973" s="23" t="s">
        <v>79</v>
      </c>
      <c r="C3973" s="39">
        <v>1799</v>
      </c>
      <c r="D3973" s="24">
        <v>32.380000000000003</v>
      </c>
      <c r="E3973" s="24">
        <v>5.83</v>
      </c>
      <c r="F3973" s="23">
        <f>COUNTIFS(mdr_rate_cleaned!$A$2:$A$10,B3973,mdr_rate_cleaned!$B$2:$B$10,"&lt;"&amp;C3973,mdr_rate_cleaned!$F$2:$F$10,"&gt;="&amp;C3973)</f>
        <v>1</v>
      </c>
      <c r="G3973" s="40">
        <f>SUMIFS(mdr_rate_cleaned!$G$2:$G$10,mdr_rate_cleaned!$A$2:$A$10,B3973,mdr_rate_cleaned!$B$2:$B$10,"&lt;"&amp;C3973,mdr_rate_cleaned!$F$2:$F$10,"&gt;="&amp;C3973)</f>
        <v>1.8000000000000002E-2</v>
      </c>
      <c r="H3973" s="24">
        <f t="shared" si="310"/>
        <v>32.380000000000003</v>
      </c>
      <c r="I3973" s="23" t="str">
        <f t="shared" si="311"/>
        <v>Match</v>
      </c>
      <c r="J3973" s="23" t="str">
        <f t="shared" si="312"/>
        <v>Match</v>
      </c>
      <c r="K3973" s="24">
        <f t="shared" si="313"/>
        <v>5.83</v>
      </c>
      <c r="L3973" s="24">
        <f t="shared" si="314"/>
        <v>0</v>
      </c>
    </row>
    <row r="3974" spans="1:12" ht="15" customHeight="1" x14ac:dyDescent="0.3">
      <c r="A3974" s="23" t="s">
        <v>17169</v>
      </c>
      <c r="B3974" s="23" t="s">
        <v>77</v>
      </c>
      <c r="C3974" s="39">
        <v>999</v>
      </c>
      <c r="D3974" s="24">
        <v>18.98</v>
      </c>
      <c r="E3974" s="24">
        <v>3.42</v>
      </c>
      <c r="F3974" s="23">
        <f>COUNTIFS(mdr_rate_cleaned!$A$2:$A$10,B3974,mdr_rate_cleaned!$B$2:$B$10,"&lt;"&amp;C3974,mdr_rate_cleaned!$F$2:$F$10,"&gt;="&amp;C3974)</f>
        <v>1</v>
      </c>
      <c r="G3974" s="40">
        <f>SUMIFS(mdr_rate_cleaned!$G$2:$G$10,mdr_rate_cleaned!$A$2:$A$10,B3974,mdr_rate_cleaned!$B$2:$B$10,"&lt;"&amp;C3974,mdr_rate_cleaned!$F$2:$F$10,"&gt;="&amp;C3974)</f>
        <v>1.9E-2</v>
      </c>
      <c r="H3974" s="24">
        <f t="shared" si="310"/>
        <v>18.98</v>
      </c>
      <c r="I3974" s="23" t="str">
        <f t="shared" si="311"/>
        <v>Match</v>
      </c>
      <c r="J3974" s="23" t="str">
        <f t="shared" si="312"/>
        <v>Match</v>
      </c>
      <c r="K3974" s="24">
        <f t="shared" si="313"/>
        <v>3.42</v>
      </c>
      <c r="L3974" s="24">
        <f t="shared" si="314"/>
        <v>0</v>
      </c>
    </row>
    <row r="3975" spans="1:12" ht="15" customHeight="1" x14ac:dyDescent="0.3">
      <c r="A3975" s="23" t="s">
        <v>17170</v>
      </c>
      <c r="B3975" s="23" t="s">
        <v>75</v>
      </c>
      <c r="C3975" s="39">
        <v>1298</v>
      </c>
      <c r="D3975" s="24">
        <v>0</v>
      </c>
      <c r="E3975" s="24">
        <v>0</v>
      </c>
      <c r="F3975" s="23">
        <f>COUNTIFS(mdr_rate_cleaned!$A$2:$A$10,B3975,mdr_rate_cleaned!$B$2:$B$10,"&lt;"&amp;C3975,mdr_rate_cleaned!$F$2:$F$10,"&gt;="&amp;C3975)</f>
        <v>1</v>
      </c>
      <c r="G3975" s="40">
        <f>SUMIFS(mdr_rate_cleaned!$G$2:$G$10,mdr_rate_cleaned!$A$2:$A$10,B3975,mdr_rate_cleaned!$B$2:$B$10,"&lt;"&amp;C3975,mdr_rate_cleaned!$F$2:$F$10,"&gt;="&amp;C3975)</f>
        <v>0</v>
      </c>
      <c r="H3975" s="24">
        <f t="shared" si="310"/>
        <v>0</v>
      </c>
      <c r="I3975" s="23" t="str">
        <f t="shared" si="311"/>
        <v>Match</v>
      </c>
      <c r="J3975" s="23" t="str">
        <f t="shared" si="312"/>
        <v>Match</v>
      </c>
      <c r="K3975" s="24">
        <f t="shared" si="313"/>
        <v>0</v>
      </c>
      <c r="L3975" s="24">
        <f t="shared" si="314"/>
        <v>0</v>
      </c>
    </row>
    <row r="3976" spans="1:12" ht="15" customHeight="1" x14ac:dyDescent="0.3">
      <c r="A3976" s="23" t="s">
        <v>17171</v>
      </c>
      <c r="B3976" s="23" t="s">
        <v>75</v>
      </c>
      <c r="C3976" s="39">
        <v>599</v>
      </c>
      <c r="D3976" s="24">
        <v>0</v>
      </c>
      <c r="E3976" s="24">
        <v>0</v>
      </c>
      <c r="F3976" s="23">
        <f>COUNTIFS(mdr_rate_cleaned!$A$2:$A$10,B3976,mdr_rate_cleaned!$B$2:$B$10,"&lt;"&amp;C3976,mdr_rate_cleaned!$F$2:$F$10,"&gt;="&amp;C3976)</f>
        <v>1</v>
      </c>
      <c r="G3976" s="40">
        <f>SUMIFS(mdr_rate_cleaned!$G$2:$G$10,mdr_rate_cleaned!$A$2:$A$10,B3976,mdr_rate_cleaned!$B$2:$B$10,"&lt;"&amp;C3976,mdr_rate_cleaned!$F$2:$F$10,"&gt;="&amp;C3976)</f>
        <v>0</v>
      </c>
      <c r="H3976" s="24">
        <f t="shared" si="310"/>
        <v>0</v>
      </c>
      <c r="I3976" s="23" t="str">
        <f t="shared" si="311"/>
        <v>Match</v>
      </c>
      <c r="J3976" s="23" t="str">
        <f t="shared" si="312"/>
        <v>Match</v>
      </c>
      <c r="K3976" s="24">
        <f t="shared" si="313"/>
        <v>0</v>
      </c>
      <c r="L3976" s="24">
        <f t="shared" si="314"/>
        <v>0</v>
      </c>
    </row>
    <row r="3977" spans="1:12" ht="15" customHeight="1" x14ac:dyDescent="0.3">
      <c r="A3977" s="23" t="s">
        <v>17172</v>
      </c>
      <c r="B3977" s="23" t="s">
        <v>79</v>
      </c>
      <c r="C3977" s="39">
        <v>3847</v>
      </c>
      <c r="D3977" s="24">
        <v>61.55</v>
      </c>
      <c r="E3977" s="24">
        <v>11.08</v>
      </c>
      <c r="F3977" s="23">
        <f>COUNTIFS(mdr_rate_cleaned!$A$2:$A$10,B3977,mdr_rate_cleaned!$B$2:$B$10,"&lt;"&amp;C3977,mdr_rate_cleaned!$F$2:$F$10,"&gt;="&amp;C3977)</f>
        <v>1</v>
      </c>
      <c r="G3977" s="40">
        <f>SUMIFS(mdr_rate_cleaned!$G$2:$G$10,mdr_rate_cleaned!$A$2:$A$10,B3977,mdr_rate_cleaned!$B$2:$B$10,"&lt;"&amp;C3977,mdr_rate_cleaned!$F$2:$F$10,"&gt;="&amp;C3977)</f>
        <v>1.6E-2</v>
      </c>
      <c r="H3977" s="24">
        <f t="shared" si="310"/>
        <v>61.55</v>
      </c>
      <c r="I3977" s="23" t="str">
        <f t="shared" si="311"/>
        <v>Match</v>
      </c>
      <c r="J3977" s="23" t="str">
        <f t="shared" si="312"/>
        <v>Match</v>
      </c>
      <c r="K3977" s="24">
        <f t="shared" si="313"/>
        <v>11.08</v>
      </c>
      <c r="L3977" s="24">
        <f t="shared" si="314"/>
        <v>0</v>
      </c>
    </row>
    <row r="3978" spans="1:12" ht="15" customHeight="1" x14ac:dyDescent="0.3">
      <c r="A3978" s="23" t="s">
        <v>17174</v>
      </c>
      <c r="B3978" s="23" t="s">
        <v>75</v>
      </c>
      <c r="C3978" s="39">
        <v>3597</v>
      </c>
      <c r="D3978" s="24">
        <v>10.79</v>
      </c>
      <c r="E3978" s="24">
        <v>1.94</v>
      </c>
      <c r="F3978" s="23">
        <f>COUNTIFS(mdr_rate_cleaned!$A$2:$A$10,B3978,mdr_rate_cleaned!$B$2:$B$10,"&lt;"&amp;C3978,mdr_rate_cleaned!$F$2:$F$10,"&gt;="&amp;C3978)</f>
        <v>1</v>
      </c>
      <c r="G3978" s="40">
        <f>SUMIFS(mdr_rate_cleaned!$G$2:$G$10,mdr_rate_cleaned!$A$2:$A$10,B3978,mdr_rate_cleaned!$B$2:$B$10,"&lt;"&amp;C3978,mdr_rate_cleaned!$F$2:$F$10,"&gt;="&amp;C3978)</f>
        <v>3.0000000000000001E-3</v>
      </c>
      <c r="H3978" s="24">
        <f t="shared" si="310"/>
        <v>10.79</v>
      </c>
      <c r="I3978" s="23" t="str">
        <f t="shared" si="311"/>
        <v>Match</v>
      </c>
      <c r="J3978" s="23" t="str">
        <f t="shared" si="312"/>
        <v>Match</v>
      </c>
      <c r="K3978" s="24">
        <f t="shared" si="313"/>
        <v>1.94</v>
      </c>
      <c r="L3978" s="24">
        <f t="shared" si="314"/>
        <v>0</v>
      </c>
    </row>
    <row r="3979" spans="1:12" ht="15" customHeight="1" x14ac:dyDescent="0.3">
      <c r="A3979" s="23" t="s">
        <v>17175</v>
      </c>
      <c r="B3979" s="23" t="s">
        <v>75</v>
      </c>
      <c r="C3979" s="39">
        <v>1799</v>
      </c>
      <c r="D3979" s="24">
        <v>0</v>
      </c>
      <c r="E3979" s="24">
        <v>0</v>
      </c>
      <c r="F3979" s="23">
        <f>COUNTIFS(mdr_rate_cleaned!$A$2:$A$10,B3979,mdr_rate_cleaned!$B$2:$B$10,"&lt;"&amp;C3979,mdr_rate_cleaned!$F$2:$F$10,"&gt;="&amp;C3979)</f>
        <v>1</v>
      </c>
      <c r="G3979" s="40">
        <f>SUMIFS(mdr_rate_cleaned!$G$2:$G$10,mdr_rate_cleaned!$A$2:$A$10,B3979,mdr_rate_cleaned!$B$2:$B$10,"&lt;"&amp;C3979,mdr_rate_cleaned!$F$2:$F$10,"&gt;="&amp;C3979)</f>
        <v>0</v>
      </c>
      <c r="H3979" s="24">
        <f t="shared" si="310"/>
        <v>0</v>
      </c>
      <c r="I3979" s="23" t="str">
        <f t="shared" si="311"/>
        <v>Match</v>
      </c>
      <c r="J3979" s="23" t="str">
        <f t="shared" si="312"/>
        <v>Match</v>
      </c>
      <c r="K3979" s="24">
        <f t="shared" si="313"/>
        <v>0</v>
      </c>
      <c r="L3979" s="24">
        <f t="shared" si="314"/>
        <v>0</v>
      </c>
    </row>
    <row r="3980" spans="1:12" ht="15" customHeight="1" x14ac:dyDescent="0.3">
      <c r="A3980" s="23" t="s">
        <v>17176</v>
      </c>
      <c r="B3980" s="23" t="s">
        <v>75</v>
      </c>
      <c r="C3980" s="39">
        <v>2499</v>
      </c>
      <c r="D3980" s="24">
        <v>7.5</v>
      </c>
      <c r="E3980" s="24">
        <v>1.35</v>
      </c>
      <c r="F3980" s="23">
        <f>COUNTIFS(mdr_rate_cleaned!$A$2:$A$10,B3980,mdr_rate_cleaned!$B$2:$B$10,"&lt;"&amp;C3980,mdr_rate_cleaned!$F$2:$F$10,"&gt;="&amp;C3980)</f>
        <v>1</v>
      </c>
      <c r="G3980" s="40">
        <f>SUMIFS(mdr_rate_cleaned!$G$2:$G$10,mdr_rate_cleaned!$A$2:$A$10,B3980,mdr_rate_cleaned!$B$2:$B$10,"&lt;"&amp;C3980,mdr_rate_cleaned!$F$2:$F$10,"&gt;="&amp;C3980)</f>
        <v>3.0000000000000001E-3</v>
      </c>
      <c r="H3980" s="24">
        <f t="shared" si="310"/>
        <v>7.5</v>
      </c>
      <c r="I3980" s="23" t="str">
        <f t="shared" si="311"/>
        <v>Match</v>
      </c>
      <c r="J3980" s="23" t="str">
        <f t="shared" si="312"/>
        <v>Match</v>
      </c>
      <c r="K3980" s="24">
        <f t="shared" si="313"/>
        <v>1.35</v>
      </c>
      <c r="L3980" s="24">
        <f t="shared" si="314"/>
        <v>0</v>
      </c>
    </row>
    <row r="3981" spans="1:12" ht="15" customHeight="1" x14ac:dyDescent="0.3">
      <c r="A3981" s="23" t="s">
        <v>17177</v>
      </c>
      <c r="B3981" s="23" t="s">
        <v>75</v>
      </c>
      <c r="C3981" s="39">
        <v>3498</v>
      </c>
      <c r="D3981" s="24">
        <v>10.49</v>
      </c>
      <c r="E3981" s="24">
        <v>1.89</v>
      </c>
      <c r="F3981" s="23">
        <f>COUNTIFS(mdr_rate_cleaned!$A$2:$A$10,B3981,mdr_rate_cleaned!$B$2:$B$10,"&lt;"&amp;C3981,mdr_rate_cleaned!$F$2:$F$10,"&gt;="&amp;C3981)</f>
        <v>1</v>
      </c>
      <c r="G3981" s="40">
        <f>SUMIFS(mdr_rate_cleaned!$G$2:$G$10,mdr_rate_cleaned!$A$2:$A$10,B3981,mdr_rate_cleaned!$B$2:$B$10,"&lt;"&amp;C3981,mdr_rate_cleaned!$F$2:$F$10,"&gt;="&amp;C3981)</f>
        <v>3.0000000000000001E-3</v>
      </c>
      <c r="H3981" s="24">
        <f t="shared" si="310"/>
        <v>10.49</v>
      </c>
      <c r="I3981" s="23" t="str">
        <f t="shared" si="311"/>
        <v>Match</v>
      </c>
      <c r="J3981" s="23" t="str">
        <f t="shared" si="312"/>
        <v>Match</v>
      </c>
      <c r="K3981" s="24">
        <f t="shared" si="313"/>
        <v>1.89</v>
      </c>
      <c r="L3981" s="24">
        <f t="shared" si="314"/>
        <v>0</v>
      </c>
    </row>
    <row r="3982" spans="1:12" ht="15" customHeight="1" x14ac:dyDescent="0.3">
      <c r="A3982" s="23" t="s">
        <v>17179</v>
      </c>
      <c r="B3982" s="23" t="s">
        <v>75</v>
      </c>
      <c r="C3982" s="39">
        <v>999</v>
      </c>
      <c r="D3982" s="24">
        <v>0</v>
      </c>
      <c r="E3982" s="24">
        <v>0</v>
      </c>
      <c r="F3982" s="23">
        <f>COUNTIFS(mdr_rate_cleaned!$A$2:$A$10,B3982,mdr_rate_cleaned!$B$2:$B$10,"&lt;"&amp;C3982,mdr_rate_cleaned!$F$2:$F$10,"&gt;="&amp;C3982)</f>
        <v>1</v>
      </c>
      <c r="G3982" s="40">
        <f>SUMIFS(mdr_rate_cleaned!$G$2:$G$10,mdr_rate_cleaned!$A$2:$A$10,B3982,mdr_rate_cleaned!$B$2:$B$10,"&lt;"&amp;C3982,mdr_rate_cleaned!$F$2:$F$10,"&gt;="&amp;C3982)</f>
        <v>0</v>
      </c>
      <c r="H3982" s="24">
        <f t="shared" si="310"/>
        <v>0</v>
      </c>
      <c r="I3982" s="23" t="str">
        <f t="shared" si="311"/>
        <v>Match</v>
      </c>
      <c r="J3982" s="23" t="str">
        <f t="shared" si="312"/>
        <v>Match</v>
      </c>
      <c r="K3982" s="24">
        <f t="shared" si="313"/>
        <v>0</v>
      </c>
      <c r="L3982" s="24">
        <f t="shared" si="314"/>
        <v>0</v>
      </c>
    </row>
    <row r="3983" spans="1:12" ht="15" customHeight="1" x14ac:dyDescent="0.3">
      <c r="A3983" s="23" t="s">
        <v>17181</v>
      </c>
      <c r="B3983" s="23" t="s">
        <v>77</v>
      </c>
      <c r="C3983" s="39">
        <v>8598</v>
      </c>
      <c r="D3983" s="24">
        <v>146.16999999999999</v>
      </c>
      <c r="E3983" s="24">
        <v>26.31</v>
      </c>
      <c r="F3983" s="23">
        <f>COUNTIFS(mdr_rate_cleaned!$A$2:$A$10,B3983,mdr_rate_cleaned!$B$2:$B$10,"&lt;"&amp;C3983,mdr_rate_cleaned!$F$2:$F$10,"&gt;="&amp;C3983)</f>
        <v>1</v>
      </c>
      <c r="G3983" s="40">
        <f>SUMIFS(mdr_rate_cleaned!$G$2:$G$10,mdr_rate_cleaned!$A$2:$A$10,B3983,mdr_rate_cleaned!$B$2:$B$10,"&lt;"&amp;C3983,mdr_rate_cleaned!$F$2:$F$10,"&gt;="&amp;C3983)</f>
        <v>1.7000000000000001E-2</v>
      </c>
      <c r="H3983" s="24">
        <f t="shared" si="310"/>
        <v>146.16999999999999</v>
      </c>
      <c r="I3983" s="23" t="str">
        <f t="shared" si="311"/>
        <v>Match</v>
      </c>
      <c r="J3983" s="23" t="str">
        <f t="shared" si="312"/>
        <v>Match</v>
      </c>
      <c r="K3983" s="24">
        <f t="shared" si="313"/>
        <v>26.31</v>
      </c>
      <c r="L3983" s="24">
        <f t="shared" si="314"/>
        <v>0</v>
      </c>
    </row>
    <row r="3984" spans="1:12" ht="15" customHeight="1" x14ac:dyDescent="0.3">
      <c r="A3984" s="23" t="s">
        <v>17183</v>
      </c>
      <c r="B3984" s="23" t="s">
        <v>75</v>
      </c>
      <c r="C3984" s="39">
        <v>1799</v>
      </c>
      <c r="D3984" s="24">
        <v>0</v>
      </c>
      <c r="E3984" s="24">
        <v>0</v>
      </c>
      <c r="F3984" s="23">
        <f>COUNTIFS(mdr_rate_cleaned!$A$2:$A$10,B3984,mdr_rate_cleaned!$B$2:$B$10,"&lt;"&amp;C3984,mdr_rate_cleaned!$F$2:$F$10,"&gt;="&amp;C3984)</f>
        <v>1</v>
      </c>
      <c r="G3984" s="40">
        <f>SUMIFS(mdr_rate_cleaned!$G$2:$G$10,mdr_rate_cleaned!$A$2:$A$10,B3984,mdr_rate_cleaned!$B$2:$B$10,"&lt;"&amp;C3984,mdr_rate_cleaned!$F$2:$F$10,"&gt;="&amp;C3984)</f>
        <v>0</v>
      </c>
      <c r="H3984" s="24">
        <f t="shared" si="310"/>
        <v>0</v>
      </c>
      <c r="I3984" s="23" t="str">
        <f t="shared" si="311"/>
        <v>Match</v>
      </c>
      <c r="J3984" s="23" t="str">
        <f t="shared" si="312"/>
        <v>Match</v>
      </c>
      <c r="K3984" s="24">
        <f t="shared" si="313"/>
        <v>0</v>
      </c>
      <c r="L3984" s="24">
        <f t="shared" si="314"/>
        <v>0</v>
      </c>
    </row>
    <row r="3985" spans="1:12" ht="15" customHeight="1" x14ac:dyDescent="0.3">
      <c r="A3985" s="23" t="s">
        <v>17184</v>
      </c>
      <c r="B3985" s="23" t="s">
        <v>79</v>
      </c>
      <c r="C3985" s="39">
        <v>2798</v>
      </c>
      <c r="D3985" s="24">
        <v>44.77</v>
      </c>
      <c r="E3985" s="24">
        <v>8.06</v>
      </c>
      <c r="F3985" s="23">
        <f>COUNTIFS(mdr_rate_cleaned!$A$2:$A$10,B3985,mdr_rate_cleaned!$B$2:$B$10,"&lt;"&amp;C3985,mdr_rate_cleaned!$F$2:$F$10,"&gt;="&amp;C3985)</f>
        <v>1</v>
      </c>
      <c r="G3985" s="40">
        <f>SUMIFS(mdr_rate_cleaned!$G$2:$G$10,mdr_rate_cleaned!$A$2:$A$10,B3985,mdr_rate_cleaned!$B$2:$B$10,"&lt;"&amp;C3985,mdr_rate_cleaned!$F$2:$F$10,"&gt;="&amp;C3985)</f>
        <v>1.6E-2</v>
      </c>
      <c r="H3985" s="24">
        <f t="shared" si="310"/>
        <v>44.77</v>
      </c>
      <c r="I3985" s="23" t="str">
        <f t="shared" si="311"/>
        <v>Match</v>
      </c>
      <c r="J3985" s="23" t="str">
        <f t="shared" si="312"/>
        <v>Match</v>
      </c>
      <c r="K3985" s="24">
        <f t="shared" si="313"/>
        <v>8.06</v>
      </c>
      <c r="L3985" s="24">
        <f t="shared" si="314"/>
        <v>0</v>
      </c>
    </row>
    <row r="3986" spans="1:12" ht="15" customHeight="1" x14ac:dyDescent="0.3">
      <c r="A3986" s="23" t="s">
        <v>17185</v>
      </c>
      <c r="B3986" s="23" t="s">
        <v>79</v>
      </c>
      <c r="C3986" s="39">
        <v>648</v>
      </c>
      <c r="D3986" s="24">
        <v>11.66</v>
      </c>
      <c r="E3986" s="24">
        <v>2.1</v>
      </c>
      <c r="F3986" s="23">
        <f>COUNTIFS(mdr_rate_cleaned!$A$2:$A$10,B3986,mdr_rate_cleaned!$B$2:$B$10,"&lt;"&amp;C3986,mdr_rate_cleaned!$F$2:$F$10,"&gt;="&amp;C3986)</f>
        <v>1</v>
      </c>
      <c r="G3986" s="40">
        <f>SUMIFS(mdr_rate_cleaned!$G$2:$G$10,mdr_rate_cleaned!$A$2:$A$10,B3986,mdr_rate_cleaned!$B$2:$B$10,"&lt;"&amp;C3986,mdr_rate_cleaned!$F$2:$F$10,"&gt;="&amp;C3986)</f>
        <v>1.8000000000000002E-2</v>
      </c>
      <c r="H3986" s="24">
        <f t="shared" si="310"/>
        <v>11.66</v>
      </c>
      <c r="I3986" s="23" t="str">
        <f t="shared" si="311"/>
        <v>Match</v>
      </c>
      <c r="J3986" s="23" t="str">
        <f t="shared" si="312"/>
        <v>Match</v>
      </c>
      <c r="K3986" s="24">
        <f t="shared" si="313"/>
        <v>2.1</v>
      </c>
      <c r="L3986" s="24">
        <f t="shared" si="314"/>
        <v>0</v>
      </c>
    </row>
    <row r="3987" spans="1:12" ht="15" customHeight="1" x14ac:dyDescent="0.3">
      <c r="A3987" s="23" t="s">
        <v>17186</v>
      </c>
      <c r="B3987" s="23" t="s">
        <v>75</v>
      </c>
      <c r="C3987" s="39">
        <v>1997</v>
      </c>
      <c r="D3987" s="24">
        <v>0</v>
      </c>
      <c r="E3987" s="24">
        <v>0</v>
      </c>
      <c r="F3987" s="23">
        <f>COUNTIFS(mdr_rate_cleaned!$A$2:$A$10,B3987,mdr_rate_cleaned!$B$2:$B$10,"&lt;"&amp;C3987,mdr_rate_cleaned!$F$2:$F$10,"&gt;="&amp;C3987)</f>
        <v>1</v>
      </c>
      <c r="G3987" s="40">
        <f>SUMIFS(mdr_rate_cleaned!$G$2:$G$10,mdr_rate_cleaned!$A$2:$A$10,B3987,mdr_rate_cleaned!$B$2:$B$10,"&lt;"&amp;C3987,mdr_rate_cleaned!$F$2:$F$10,"&gt;="&amp;C3987)</f>
        <v>0</v>
      </c>
      <c r="H3987" s="24">
        <f t="shared" si="310"/>
        <v>0</v>
      </c>
      <c r="I3987" s="23" t="str">
        <f t="shared" si="311"/>
        <v>Match</v>
      </c>
      <c r="J3987" s="23" t="str">
        <f t="shared" si="312"/>
        <v>Match</v>
      </c>
      <c r="K3987" s="24">
        <f t="shared" si="313"/>
        <v>0</v>
      </c>
      <c r="L3987" s="24">
        <f t="shared" si="314"/>
        <v>0</v>
      </c>
    </row>
    <row r="3988" spans="1:12" ht="15" customHeight="1" x14ac:dyDescent="0.3">
      <c r="A3988" s="23" t="s">
        <v>17187</v>
      </c>
      <c r="B3988" s="23" t="s">
        <v>81</v>
      </c>
      <c r="C3988" s="39">
        <v>7999</v>
      </c>
      <c r="D3988" s="24">
        <v>95.99</v>
      </c>
      <c r="E3988" s="24">
        <v>17.28</v>
      </c>
      <c r="F3988" s="23">
        <f>COUNTIFS(mdr_rate_cleaned!$A$2:$A$10,B3988,mdr_rate_cleaned!$B$2:$B$10,"&lt;"&amp;C3988,mdr_rate_cleaned!$F$2:$F$10,"&gt;="&amp;C3988)</f>
        <v>1</v>
      </c>
      <c r="G3988" s="40">
        <f>SUMIFS(mdr_rate_cleaned!$G$2:$G$10,mdr_rate_cleaned!$A$2:$A$10,B3988,mdr_rate_cleaned!$B$2:$B$10,"&lt;"&amp;C3988,mdr_rate_cleaned!$F$2:$F$10,"&gt;="&amp;C3988)</f>
        <v>1.2E-2</v>
      </c>
      <c r="H3988" s="24">
        <f t="shared" si="310"/>
        <v>95.99</v>
      </c>
      <c r="I3988" s="23" t="str">
        <f t="shared" si="311"/>
        <v>Match</v>
      </c>
      <c r="J3988" s="23" t="str">
        <f t="shared" si="312"/>
        <v>Match</v>
      </c>
      <c r="K3988" s="24">
        <f t="shared" si="313"/>
        <v>17.28</v>
      </c>
      <c r="L3988" s="24">
        <f t="shared" si="314"/>
        <v>0</v>
      </c>
    </row>
    <row r="3989" spans="1:12" ht="15" customHeight="1" x14ac:dyDescent="0.3">
      <c r="A3989" s="23" t="s">
        <v>17188</v>
      </c>
      <c r="B3989" s="23" t="s">
        <v>75</v>
      </c>
      <c r="C3989" s="39">
        <v>3499</v>
      </c>
      <c r="D3989" s="24">
        <v>10.5</v>
      </c>
      <c r="E3989" s="24">
        <v>1.89</v>
      </c>
      <c r="F3989" s="23">
        <f>COUNTIFS(mdr_rate_cleaned!$A$2:$A$10,B3989,mdr_rate_cleaned!$B$2:$B$10,"&lt;"&amp;C3989,mdr_rate_cleaned!$F$2:$F$10,"&gt;="&amp;C3989)</f>
        <v>1</v>
      </c>
      <c r="G3989" s="40">
        <f>SUMIFS(mdr_rate_cleaned!$G$2:$G$10,mdr_rate_cleaned!$A$2:$A$10,B3989,mdr_rate_cleaned!$B$2:$B$10,"&lt;"&amp;C3989,mdr_rate_cleaned!$F$2:$F$10,"&gt;="&amp;C3989)</f>
        <v>3.0000000000000001E-3</v>
      </c>
      <c r="H3989" s="24">
        <f t="shared" si="310"/>
        <v>10.5</v>
      </c>
      <c r="I3989" s="23" t="str">
        <f t="shared" si="311"/>
        <v>Match</v>
      </c>
      <c r="J3989" s="23" t="str">
        <f t="shared" si="312"/>
        <v>Match</v>
      </c>
      <c r="K3989" s="24">
        <f t="shared" si="313"/>
        <v>1.89</v>
      </c>
      <c r="L3989" s="24">
        <f t="shared" si="314"/>
        <v>0</v>
      </c>
    </row>
    <row r="3990" spans="1:12" ht="15" customHeight="1" x14ac:dyDescent="0.3">
      <c r="A3990" s="23" t="s">
        <v>17189</v>
      </c>
      <c r="B3990" s="23" t="s">
        <v>75</v>
      </c>
      <c r="C3990" s="39">
        <v>799</v>
      </c>
      <c r="D3990" s="24">
        <v>0</v>
      </c>
      <c r="E3990" s="24">
        <v>0</v>
      </c>
      <c r="F3990" s="23">
        <f>COUNTIFS(mdr_rate_cleaned!$A$2:$A$10,B3990,mdr_rate_cleaned!$B$2:$B$10,"&lt;"&amp;C3990,mdr_rate_cleaned!$F$2:$F$10,"&gt;="&amp;C3990)</f>
        <v>1</v>
      </c>
      <c r="G3990" s="40">
        <f>SUMIFS(mdr_rate_cleaned!$G$2:$G$10,mdr_rate_cleaned!$A$2:$A$10,B3990,mdr_rate_cleaned!$B$2:$B$10,"&lt;"&amp;C3990,mdr_rate_cleaned!$F$2:$F$10,"&gt;="&amp;C3990)</f>
        <v>0</v>
      </c>
      <c r="H3990" s="24">
        <f t="shared" si="310"/>
        <v>0</v>
      </c>
      <c r="I3990" s="23" t="str">
        <f t="shared" si="311"/>
        <v>Match</v>
      </c>
      <c r="J3990" s="23" t="str">
        <f t="shared" si="312"/>
        <v>Match</v>
      </c>
      <c r="K3990" s="24">
        <f t="shared" si="313"/>
        <v>0</v>
      </c>
      <c r="L3990" s="24">
        <f t="shared" si="314"/>
        <v>0</v>
      </c>
    </row>
    <row r="3991" spans="1:12" ht="15" customHeight="1" x14ac:dyDescent="0.3">
      <c r="A3991" s="23" t="s">
        <v>17190</v>
      </c>
      <c r="B3991" s="23" t="s">
        <v>79</v>
      </c>
      <c r="C3991" s="39">
        <v>9998</v>
      </c>
      <c r="D3991" s="24">
        <v>159.97</v>
      </c>
      <c r="E3991" s="24">
        <v>28.79</v>
      </c>
      <c r="F3991" s="23">
        <f>COUNTIFS(mdr_rate_cleaned!$A$2:$A$10,B3991,mdr_rate_cleaned!$B$2:$B$10,"&lt;"&amp;C3991,mdr_rate_cleaned!$F$2:$F$10,"&gt;="&amp;C3991)</f>
        <v>1</v>
      </c>
      <c r="G3991" s="40">
        <f>SUMIFS(mdr_rate_cleaned!$G$2:$G$10,mdr_rate_cleaned!$A$2:$A$10,B3991,mdr_rate_cleaned!$B$2:$B$10,"&lt;"&amp;C3991,mdr_rate_cleaned!$F$2:$F$10,"&gt;="&amp;C3991)</f>
        <v>1.6E-2</v>
      </c>
      <c r="H3991" s="24">
        <f t="shared" si="310"/>
        <v>159.97</v>
      </c>
      <c r="I3991" s="23" t="str">
        <f t="shared" si="311"/>
        <v>Match</v>
      </c>
      <c r="J3991" s="23" t="str">
        <f t="shared" si="312"/>
        <v>Match</v>
      </c>
      <c r="K3991" s="24">
        <f t="shared" si="313"/>
        <v>28.79</v>
      </c>
      <c r="L3991" s="24">
        <f t="shared" si="314"/>
        <v>0</v>
      </c>
    </row>
    <row r="3992" spans="1:12" ht="15" customHeight="1" x14ac:dyDescent="0.3">
      <c r="A3992" s="23" t="s">
        <v>17192</v>
      </c>
      <c r="B3992" s="23" t="s">
        <v>75</v>
      </c>
      <c r="C3992" s="39">
        <v>499</v>
      </c>
      <c r="D3992" s="24">
        <v>0</v>
      </c>
      <c r="E3992" s="24">
        <v>0</v>
      </c>
      <c r="F3992" s="23">
        <f>COUNTIFS(mdr_rate_cleaned!$A$2:$A$10,B3992,mdr_rate_cleaned!$B$2:$B$10,"&lt;"&amp;C3992,mdr_rate_cleaned!$F$2:$F$10,"&gt;="&amp;C3992)</f>
        <v>1</v>
      </c>
      <c r="G3992" s="40">
        <f>SUMIFS(mdr_rate_cleaned!$G$2:$G$10,mdr_rate_cleaned!$A$2:$A$10,B3992,mdr_rate_cleaned!$B$2:$B$10,"&lt;"&amp;C3992,mdr_rate_cleaned!$F$2:$F$10,"&gt;="&amp;C3992)</f>
        <v>0</v>
      </c>
      <c r="H3992" s="24">
        <f t="shared" si="310"/>
        <v>0</v>
      </c>
      <c r="I3992" s="23" t="str">
        <f t="shared" si="311"/>
        <v>Match</v>
      </c>
      <c r="J3992" s="23" t="str">
        <f t="shared" si="312"/>
        <v>Match</v>
      </c>
      <c r="K3992" s="24">
        <f t="shared" si="313"/>
        <v>0</v>
      </c>
      <c r="L3992" s="24">
        <f t="shared" si="314"/>
        <v>0</v>
      </c>
    </row>
    <row r="3993" spans="1:12" ht="15" customHeight="1" x14ac:dyDescent="0.3">
      <c r="A3993" s="23" t="s">
        <v>17193</v>
      </c>
      <c r="B3993" s="23" t="s">
        <v>75</v>
      </c>
      <c r="C3993" s="39">
        <v>4498</v>
      </c>
      <c r="D3993" s="24">
        <v>13.49</v>
      </c>
      <c r="E3993" s="24">
        <v>2.4300000000000002</v>
      </c>
      <c r="F3993" s="23">
        <f>COUNTIFS(mdr_rate_cleaned!$A$2:$A$10,B3993,mdr_rate_cleaned!$B$2:$B$10,"&lt;"&amp;C3993,mdr_rate_cleaned!$F$2:$F$10,"&gt;="&amp;C3993)</f>
        <v>1</v>
      </c>
      <c r="G3993" s="40">
        <f>SUMIFS(mdr_rate_cleaned!$G$2:$G$10,mdr_rate_cleaned!$A$2:$A$10,B3993,mdr_rate_cleaned!$B$2:$B$10,"&lt;"&amp;C3993,mdr_rate_cleaned!$F$2:$F$10,"&gt;="&amp;C3993)</f>
        <v>3.0000000000000001E-3</v>
      </c>
      <c r="H3993" s="24">
        <f t="shared" si="310"/>
        <v>13.49</v>
      </c>
      <c r="I3993" s="23" t="str">
        <f t="shared" si="311"/>
        <v>Match</v>
      </c>
      <c r="J3993" s="23" t="str">
        <f t="shared" si="312"/>
        <v>Match</v>
      </c>
      <c r="K3993" s="24">
        <f t="shared" si="313"/>
        <v>2.4300000000000002</v>
      </c>
      <c r="L3993" s="24">
        <f t="shared" si="314"/>
        <v>0</v>
      </c>
    </row>
    <row r="3994" spans="1:12" ht="15" customHeight="1" x14ac:dyDescent="0.3">
      <c r="A3994" s="23" t="s">
        <v>17194</v>
      </c>
      <c r="B3994" s="23" t="s">
        <v>75</v>
      </c>
      <c r="C3994" s="39">
        <v>1098</v>
      </c>
      <c r="D3994" s="24">
        <v>0</v>
      </c>
      <c r="E3994" s="24">
        <v>0</v>
      </c>
      <c r="F3994" s="23">
        <f>COUNTIFS(mdr_rate_cleaned!$A$2:$A$10,B3994,mdr_rate_cleaned!$B$2:$B$10,"&lt;"&amp;C3994,mdr_rate_cleaned!$F$2:$F$10,"&gt;="&amp;C3994)</f>
        <v>1</v>
      </c>
      <c r="G3994" s="40">
        <f>SUMIFS(mdr_rate_cleaned!$G$2:$G$10,mdr_rate_cleaned!$A$2:$A$10,B3994,mdr_rate_cleaned!$B$2:$B$10,"&lt;"&amp;C3994,mdr_rate_cleaned!$F$2:$F$10,"&gt;="&amp;C3994)</f>
        <v>0</v>
      </c>
      <c r="H3994" s="24">
        <f t="shared" si="310"/>
        <v>0</v>
      </c>
      <c r="I3994" s="23" t="str">
        <f t="shared" si="311"/>
        <v>Match</v>
      </c>
      <c r="J3994" s="23" t="str">
        <f t="shared" si="312"/>
        <v>Match</v>
      </c>
      <c r="K3994" s="24">
        <f t="shared" si="313"/>
        <v>0</v>
      </c>
      <c r="L3994" s="24">
        <f t="shared" si="314"/>
        <v>0</v>
      </c>
    </row>
    <row r="3995" spans="1:12" ht="15" customHeight="1" x14ac:dyDescent="0.3">
      <c r="A3995" s="23" t="s">
        <v>17196</v>
      </c>
      <c r="B3995" s="23" t="s">
        <v>75</v>
      </c>
      <c r="C3995" s="39">
        <v>1499</v>
      </c>
      <c r="D3995" s="24">
        <v>0</v>
      </c>
      <c r="E3995" s="24">
        <v>0</v>
      </c>
      <c r="F3995" s="23">
        <f>COUNTIFS(mdr_rate_cleaned!$A$2:$A$10,B3995,mdr_rate_cleaned!$B$2:$B$10,"&lt;"&amp;C3995,mdr_rate_cleaned!$F$2:$F$10,"&gt;="&amp;C3995)</f>
        <v>1</v>
      </c>
      <c r="G3995" s="40">
        <f>SUMIFS(mdr_rate_cleaned!$G$2:$G$10,mdr_rate_cleaned!$A$2:$A$10,B3995,mdr_rate_cleaned!$B$2:$B$10,"&lt;"&amp;C3995,mdr_rate_cleaned!$F$2:$F$10,"&gt;="&amp;C3995)</f>
        <v>0</v>
      </c>
      <c r="H3995" s="24">
        <f t="shared" si="310"/>
        <v>0</v>
      </c>
      <c r="I3995" s="23" t="str">
        <f t="shared" si="311"/>
        <v>Match</v>
      </c>
      <c r="J3995" s="23" t="str">
        <f t="shared" si="312"/>
        <v>Match</v>
      </c>
      <c r="K3995" s="24">
        <f t="shared" si="313"/>
        <v>0</v>
      </c>
      <c r="L3995" s="24">
        <f t="shared" si="314"/>
        <v>0</v>
      </c>
    </row>
    <row r="3996" spans="1:12" ht="15" customHeight="1" x14ac:dyDescent="0.3">
      <c r="A3996" s="23" t="s">
        <v>17197</v>
      </c>
      <c r="B3996" s="23" t="s">
        <v>77</v>
      </c>
      <c r="C3996" s="39">
        <v>2747</v>
      </c>
      <c r="D3996" s="24">
        <v>46.7</v>
      </c>
      <c r="E3996" s="24">
        <v>8.41</v>
      </c>
      <c r="F3996" s="23">
        <f>COUNTIFS(mdr_rate_cleaned!$A$2:$A$10,B3996,mdr_rate_cleaned!$B$2:$B$10,"&lt;"&amp;C3996,mdr_rate_cleaned!$F$2:$F$10,"&gt;="&amp;C3996)</f>
        <v>1</v>
      </c>
      <c r="G3996" s="40">
        <f>SUMIFS(mdr_rate_cleaned!$G$2:$G$10,mdr_rate_cleaned!$A$2:$A$10,B3996,mdr_rate_cleaned!$B$2:$B$10,"&lt;"&amp;C3996,mdr_rate_cleaned!$F$2:$F$10,"&gt;="&amp;C3996)</f>
        <v>1.7000000000000001E-2</v>
      </c>
      <c r="H3996" s="24">
        <f t="shared" si="310"/>
        <v>46.7</v>
      </c>
      <c r="I3996" s="23" t="str">
        <f t="shared" si="311"/>
        <v>Match</v>
      </c>
      <c r="J3996" s="23" t="str">
        <f t="shared" si="312"/>
        <v>Match</v>
      </c>
      <c r="K3996" s="24">
        <f t="shared" si="313"/>
        <v>8.41</v>
      </c>
      <c r="L3996" s="24">
        <f t="shared" si="314"/>
        <v>0</v>
      </c>
    </row>
    <row r="3997" spans="1:12" ht="15" customHeight="1" x14ac:dyDescent="0.3">
      <c r="A3997" s="23" t="s">
        <v>17199</v>
      </c>
      <c r="B3997" s="23" t="s">
        <v>75</v>
      </c>
      <c r="C3997" s="39">
        <v>1299</v>
      </c>
      <c r="D3997" s="24">
        <v>0</v>
      </c>
      <c r="E3997" s="24">
        <v>0</v>
      </c>
      <c r="F3997" s="23">
        <f>COUNTIFS(mdr_rate_cleaned!$A$2:$A$10,B3997,mdr_rate_cleaned!$B$2:$B$10,"&lt;"&amp;C3997,mdr_rate_cleaned!$F$2:$F$10,"&gt;="&amp;C3997)</f>
        <v>1</v>
      </c>
      <c r="G3997" s="40">
        <f>SUMIFS(mdr_rate_cleaned!$G$2:$G$10,mdr_rate_cleaned!$A$2:$A$10,B3997,mdr_rate_cleaned!$B$2:$B$10,"&lt;"&amp;C3997,mdr_rate_cleaned!$F$2:$F$10,"&gt;="&amp;C3997)</f>
        <v>0</v>
      </c>
      <c r="H3997" s="24">
        <f t="shared" si="310"/>
        <v>0</v>
      </c>
      <c r="I3997" s="23" t="str">
        <f t="shared" si="311"/>
        <v>Match</v>
      </c>
      <c r="J3997" s="23" t="str">
        <f t="shared" si="312"/>
        <v>Match</v>
      </c>
      <c r="K3997" s="24">
        <f t="shared" si="313"/>
        <v>0</v>
      </c>
      <c r="L3997" s="24">
        <f t="shared" si="314"/>
        <v>0</v>
      </c>
    </row>
    <row r="3998" spans="1:12" ht="15" customHeight="1" x14ac:dyDescent="0.3">
      <c r="A3998" s="23" t="s">
        <v>17200</v>
      </c>
      <c r="B3998" s="23" t="s">
        <v>75</v>
      </c>
      <c r="C3998" s="39">
        <v>1998</v>
      </c>
      <c r="D3998" s="24">
        <v>5.99</v>
      </c>
      <c r="E3998" s="24">
        <v>1.08</v>
      </c>
      <c r="F3998" s="23">
        <f>COUNTIFS(mdr_rate_cleaned!$A$2:$A$10,B3998,mdr_rate_cleaned!$B$2:$B$10,"&lt;"&amp;C3998,mdr_rate_cleaned!$F$2:$F$10,"&gt;="&amp;C3998)</f>
        <v>1</v>
      </c>
      <c r="G3998" s="40">
        <f>SUMIFS(mdr_rate_cleaned!$G$2:$G$10,mdr_rate_cleaned!$A$2:$A$10,B3998,mdr_rate_cleaned!$B$2:$B$10,"&lt;"&amp;C3998,mdr_rate_cleaned!$F$2:$F$10,"&gt;="&amp;C3998)</f>
        <v>0</v>
      </c>
      <c r="H3998" s="24">
        <f t="shared" si="310"/>
        <v>0</v>
      </c>
      <c r="I3998" s="23" t="str">
        <f t="shared" si="311"/>
        <v>Differs</v>
      </c>
      <c r="J3998" s="23" t="str">
        <f t="shared" si="312"/>
        <v>Match</v>
      </c>
      <c r="K3998" s="24">
        <f t="shared" si="313"/>
        <v>0</v>
      </c>
      <c r="L3998" s="24">
        <f t="shared" si="314"/>
        <v>7.07</v>
      </c>
    </row>
    <row r="3999" spans="1:12" ht="15" customHeight="1" x14ac:dyDescent="0.3">
      <c r="A3999" s="23" t="s">
        <v>17202</v>
      </c>
      <c r="B3999" s="23" t="s">
        <v>75</v>
      </c>
      <c r="C3999" s="39">
        <v>599</v>
      </c>
      <c r="D3999" s="24">
        <v>0</v>
      </c>
      <c r="E3999" s="24">
        <v>0</v>
      </c>
      <c r="F3999" s="23">
        <f>COUNTIFS(mdr_rate_cleaned!$A$2:$A$10,B3999,mdr_rate_cleaned!$B$2:$B$10,"&lt;"&amp;C3999,mdr_rate_cleaned!$F$2:$F$10,"&gt;="&amp;C3999)</f>
        <v>1</v>
      </c>
      <c r="G3999" s="40">
        <f>SUMIFS(mdr_rate_cleaned!$G$2:$G$10,mdr_rate_cleaned!$A$2:$A$10,B3999,mdr_rate_cleaned!$B$2:$B$10,"&lt;"&amp;C3999,mdr_rate_cleaned!$F$2:$F$10,"&gt;="&amp;C3999)</f>
        <v>0</v>
      </c>
      <c r="H3999" s="24">
        <f t="shared" si="310"/>
        <v>0</v>
      </c>
      <c r="I3999" s="23" t="str">
        <f t="shared" si="311"/>
        <v>Match</v>
      </c>
      <c r="J3999" s="23" t="str">
        <f t="shared" si="312"/>
        <v>Match</v>
      </c>
      <c r="K3999" s="24">
        <f t="shared" si="313"/>
        <v>0</v>
      </c>
      <c r="L3999" s="24">
        <f t="shared" si="314"/>
        <v>0</v>
      </c>
    </row>
    <row r="4000" spans="1:12" ht="15" customHeight="1" x14ac:dyDescent="0.3">
      <c r="A4000" s="23" t="s">
        <v>17203</v>
      </c>
      <c r="B4000" s="23" t="s">
        <v>75</v>
      </c>
      <c r="C4000" s="39">
        <v>4347</v>
      </c>
      <c r="D4000" s="24">
        <v>13.04</v>
      </c>
      <c r="E4000" s="24">
        <v>2.35</v>
      </c>
      <c r="F4000" s="23">
        <f>COUNTIFS(mdr_rate_cleaned!$A$2:$A$10,B4000,mdr_rate_cleaned!$B$2:$B$10,"&lt;"&amp;C4000,mdr_rate_cleaned!$F$2:$F$10,"&gt;="&amp;C4000)</f>
        <v>1</v>
      </c>
      <c r="G4000" s="40">
        <f>SUMIFS(mdr_rate_cleaned!$G$2:$G$10,mdr_rate_cleaned!$A$2:$A$10,B4000,mdr_rate_cleaned!$B$2:$B$10,"&lt;"&amp;C4000,mdr_rate_cleaned!$F$2:$F$10,"&gt;="&amp;C4000)</f>
        <v>3.0000000000000001E-3</v>
      </c>
      <c r="H4000" s="24">
        <f t="shared" si="310"/>
        <v>13.04</v>
      </c>
      <c r="I4000" s="23" t="str">
        <f t="shared" si="311"/>
        <v>Match</v>
      </c>
      <c r="J4000" s="23" t="str">
        <f t="shared" si="312"/>
        <v>Match</v>
      </c>
      <c r="K4000" s="24">
        <f t="shared" si="313"/>
        <v>2.35</v>
      </c>
      <c r="L4000" s="24">
        <f t="shared" si="314"/>
        <v>0</v>
      </c>
    </row>
    <row r="4001" spans="1:12" ht="15" customHeight="1" x14ac:dyDescent="0.3">
      <c r="A4001" s="23" t="s">
        <v>17204</v>
      </c>
      <c r="B4001" s="23" t="s">
        <v>77</v>
      </c>
      <c r="C4001" s="39">
        <v>2499</v>
      </c>
      <c r="D4001" s="24">
        <v>42.48</v>
      </c>
      <c r="E4001" s="24">
        <v>7.65</v>
      </c>
      <c r="F4001" s="23">
        <f>COUNTIFS(mdr_rate_cleaned!$A$2:$A$10,B4001,mdr_rate_cleaned!$B$2:$B$10,"&lt;"&amp;C4001,mdr_rate_cleaned!$F$2:$F$10,"&gt;="&amp;C4001)</f>
        <v>1</v>
      </c>
      <c r="G4001" s="40">
        <f>SUMIFS(mdr_rate_cleaned!$G$2:$G$10,mdr_rate_cleaned!$A$2:$A$10,B4001,mdr_rate_cleaned!$B$2:$B$10,"&lt;"&amp;C4001,mdr_rate_cleaned!$F$2:$F$10,"&gt;="&amp;C4001)</f>
        <v>1.7000000000000001E-2</v>
      </c>
      <c r="H4001" s="24">
        <f t="shared" si="310"/>
        <v>42.48</v>
      </c>
      <c r="I4001" s="23" t="str">
        <f t="shared" si="311"/>
        <v>Match</v>
      </c>
      <c r="J4001" s="23" t="str">
        <f t="shared" si="312"/>
        <v>Match</v>
      </c>
      <c r="K4001" s="24">
        <f t="shared" si="313"/>
        <v>7.65</v>
      </c>
      <c r="L4001" s="24">
        <f t="shared" si="314"/>
        <v>0</v>
      </c>
    </row>
    <row r="4002" spans="1:12" ht="15" customHeight="1" x14ac:dyDescent="0.3">
      <c r="A4002" s="23" t="s">
        <v>17205</v>
      </c>
      <c r="B4002" s="23" t="s">
        <v>79</v>
      </c>
      <c r="C4002" s="39">
        <v>299</v>
      </c>
      <c r="D4002" s="24">
        <v>5.38</v>
      </c>
      <c r="E4002" s="24">
        <v>0.97</v>
      </c>
      <c r="F4002" s="23">
        <f>COUNTIFS(mdr_rate_cleaned!$A$2:$A$10,B4002,mdr_rate_cleaned!$B$2:$B$10,"&lt;"&amp;C4002,mdr_rate_cleaned!$F$2:$F$10,"&gt;="&amp;C4002)</f>
        <v>1</v>
      </c>
      <c r="G4002" s="40">
        <f>SUMIFS(mdr_rate_cleaned!$G$2:$G$10,mdr_rate_cleaned!$A$2:$A$10,B4002,mdr_rate_cleaned!$B$2:$B$10,"&lt;"&amp;C4002,mdr_rate_cleaned!$F$2:$F$10,"&gt;="&amp;C4002)</f>
        <v>1.8000000000000002E-2</v>
      </c>
      <c r="H4002" s="24">
        <f t="shared" si="310"/>
        <v>5.38</v>
      </c>
      <c r="I4002" s="23" t="str">
        <f t="shared" si="311"/>
        <v>Match</v>
      </c>
      <c r="J4002" s="23" t="str">
        <f t="shared" si="312"/>
        <v>Match</v>
      </c>
      <c r="K4002" s="24">
        <f t="shared" si="313"/>
        <v>0.97</v>
      </c>
      <c r="L4002" s="24">
        <f t="shared" si="314"/>
        <v>0</v>
      </c>
    </row>
    <row r="4003" spans="1:12" ht="15" customHeight="1" x14ac:dyDescent="0.3">
      <c r="A4003" s="23" t="s">
        <v>17206</v>
      </c>
      <c r="B4003" s="23" t="s">
        <v>77</v>
      </c>
      <c r="C4003" s="39">
        <v>2499</v>
      </c>
      <c r="D4003" s="24">
        <v>42.48</v>
      </c>
      <c r="E4003" s="24">
        <v>7.65</v>
      </c>
      <c r="F4003" s="23">
        <f>COUNTIFS(mdr_rate_cleaned!$A$2:$A$10,B4003,mdr_rate_cleaned!$B$2:$B$10,"&lt;"&amp;C4003,mdr_rate_cleaned!$F$2:$F$10,"&gt;="&amp;C4003)</f>
        <v>1</v>
      </c>
      <c r="G4003" s="40">
        <f>SUMIFS(mdr_rate_cleaned!$G$2:$G$10,mdr_rate_cleaned!$A$2:$A$10,B4003,mdr_rate_cleaned!$B$2:$B$10,"&lt;"&amp;C4003,mdr_rate_cleaned!$F$2:$F$10,"&gt;="&amp;C4003)</f>
        <v>1.7000000000000001E-2</v>
      </c>
      <c r="H4003" s="24">
        <f t="shared" si="310"/>
        <v>42.48</v>
      </c>
      <c r="I4003" s="23" t="str">
        <f t="shared" si="311"/>
        <v>Match</v>
      </c>
      <c r="J4003" s="23" t="str">
        <f t="shared" si="312"/>
        <v>Match</v>
      </c>
      <c r="K4003" s="24">
        <f t="shared" si="313"/>
        <v>7.65</v>
      </c>
      <c r="L4003" s="24">
        <f t="shared" si="314"/>
        <v>0</v>
      </c>
    </row>
    <row r="4004" spans="1:12" ht="15" customHeight="1" x14ac:dyDescent="0.3">
      <c r="A4004" s="23" t="s">
        <v>17207</v>
      </c>
      <c r="B4004" s="23" t="s">
        <v>81</v>
      </c>
      <c r="C4004" s="39">
        <v>2597</v>
      </c>
      <c r="D4004" s="24">
        <v>31.16</v>
      </c>
      <c r="E4004" s="24">
        <v>5.61</v>
      </c>
      <c r="F4004" s="23">
        <f>COUNTIFS(mdr_rate_cleaned!$A$2:$A$10,B4004,mdr_rate_cleaned!$B$2:$B$10,"&lt;"&amp;C4004,mdr_rate_cleaned!$F$2:$F$10,"&gt;="&amp;C4004)</f>
        <v>1</v>
      </c>
      <c r="G4004" s="40">
        <f>SUMIFS(mdr_rate_cleaned!$G$2:$G$10,mdr_rate_cleaned!$A$2:$A$10,B4004,mdr_rate_cleaned!$B$2:$B$10,"&lt;"&amp;C4004,mdr_rate_cleaned!$F$2:$F$10,"&gt;="&amp;C4004)</f>
        <v>1.2E-2</v>
      </c>
      <c r="H4004" s="24">
        <f t="shared" si="310"/>
        <v>31.16</v>
      </c>
      <c r="I4004" s="23" t="str">
        <f t="shared" si="311"/>
        <v>Match</v>
      </c>
      <c r="J4004" s="23" t="str">
        <f t="shared" si="312"/>
        <v>Match</v>
      </c>
      <c r="K4004" s="24">
        <f t="shared" si="313"/>
        <v>5.61</v>
      </c>
      <c r="L4004" s="24">
        <f t="shared" si="314"/>
        <v>0</v>
      </c>
    </row>
    <row r="4005" spans="1:12" ht="15" customHeight="1" x14ac:dyDescent="0.3">
      <c r="A4005" s="23" t="s">
        <v>17208</v>
      </c>
      <c r="B4005" s="23" t="s">
        <v>81</v>
      </c>
      <c r="C4005" s="39">
        <v>5597</v>
      </c>
      <c r="D4005" s="24">
        <v>67.16</v>
      </c>
      <c r="E4005" s="24">
        <v>12.09</v>
      </c>
      <c r="F4005" s="23">
        <f>COUNTIFS(mdr_rate_cleaned!$A$2:$A$10,B4005,mdr_rate_cleaned!$B$2:$B$10,"&lt;"&amp;C4005,mdr_rate_cleaned!$F$2:$F$10,"&gt;="&amp;C4005)</f>
        <v>1</v>
      </c>
      <c r="G4005" s="40">
        <f>SUMIFS(mdr_rate_cleaned!$G$2:$G$10,mdr_rate_cleaned!$A$2:$A$10,B4005,mdr_rate_cleaned!$B$2:$B$10,"&lt;"&amp;C4005,mdr_rate_cleaned!$F$2:$F$10,"&gt;="&amp;C4005)</f>
        <v>1.2E-2</v>
      </c>
      <c r="H4005" s="24">
        <f t="shared" si="310"/>
        <v>67.16</v>
      </c>
      <c r="I4005" s="23" t="str">
        <f t="shared" si="311"/>
        <v>Match</v>
      </c>
      <c r="J4005" s="23" t="str">
        <f t="shared" si="312"/>
        <v>Match</v>
      </c>
      <c r="K4005" s="24">
        <f t="shared" si="313"/>
        <v>12.09</v>
      </c>
      <c r="L4005" s="24">
        <f t="shared" si="314"/>
        <v>0</v>
      </c>
    </row>
    <row r="4006" spans="1:12" ht="15" customHeight="1" x14ac:dyDescent="0.3">
      <c r="A4006" s="23" t="s">
        <v>17209</v>
      </c>
      <c r="B4006" s="23" t="s">
        <v>77</v>
      </c>
      <c r="C4006" s="39">
        <v>3499</v>
      </c>
      <c r="D4006" s="24">
        <v>59.48</v>
      </c>
      <c r="E4006" s="24">
        <v>10.71</v>
      </c>
      <c r="F4006" s="23">
        <f>COUNTIFS(mdr_rate_cleaned!$A$2:$A$10,B4006,mdr_rate_cleaned!$B$2:$B$10,"&lt;"&amp;C4006,mdr_rate_cleaned!$F$2:$F$10,"&gt;="&amp;C4006)</f>
        <v>1</v>
      </c>
      <c r="G4006" s="40">
        <f>SUMIFS(mdr_rate_cleaned!$G$2:$G$10,mdr_rate_cleaned!$A$2:$A$10,B4006,mdr_rate_cleaned!$B$2:$B$10,"&lt;"&amp;C4006,mdr_rate_cleaned!$F$2:$F$10,"&gt;="&amp;C4006)</f>
        <v>1.7000000000000001E-2</v>
      </c>
      <c r="H4006" s="24">
        <f t="shared" si="310"/>
        <v>59.48</v>
      </c>
      <c r="I4006" s="23" t="str">
        <f t="shared" si="311"/>
        <v>Match</v>
      </c>
      <c r="J4006" s="23" t="str">
        <f t="shared" si="312"/>
        <v>Match</v>
      </c>
      <c r="K4006" s="24">
        <f t="shared" si="313"/>
        <v>10.71</v>
      </c>
      <c r="L4006" s="24">
        <f t="shared" si="314"/>
        <v>0</v>
      </c>
    </row>
    <row r="4007" spans="1:12" ht="15" customHeight="1" x14ac:dyDescent="0.3">
      <c r="A4007" s="23" t="s">
        <v>17211</v>
      </c>
      <c r="B4007" s="23" t="s">
        <v>75</v>
      </c>
      <c r="C4007" s="39">
        <v>599</v>
      </c>
      <c r="D4007" s="24">
        <v>0</v>
      </c>
      <c r="E4007" s="24">
        <v>0</v>
      </c>
      <c r="F4007" s="23">
        <f>COUNTIFS(mdr_rate_cleaned!$A$2:$A$10,B4007,mdr_rate_cleaned!$B$2:$B$10,"&lt;"&amp;C4007,mdr_rate_cleaned!$F$2:$F$10,"&gt;="&amp;C4007)</f>
        <v>1</v>
      </c>
      <c r="G4007" s="40">
        <f>SUMIFS(mdr_rate_cleaned!$G$2:$G$10,mdr_rate_cleaned!$A$2:$A$10,B4007,mdr_rate_cleaned!$B$2:$B$10,"&lt;"&amp;C4007,mdr_rate_cleaned!$F$2:$F$10,"&gt;="&amp;C4007)</f>
        <v>0</v>
      </c>
      <c r="H4007" s="24">
        <f t="shared" si="310"/>
        <v>0</v>
      </c>
      <c r="I4007" s="23" t="str">
        <f t="shared" si="311"/>
        <v>Match</v>
      </c>
      <c r="J4007" s="23" t="str">
        <f t="shared" si="312"/>
        <v>Match</v>
      </c>
      <c r="K4007" s="24">
        <f t="shared" si="313"/>
        <v>0</v>
      </c>
      <c r="L4007" s="24">
        <f t="shared" si="314"/>
        <v>0</v>
      </c>
    </row>
    <row r="4008" spans="1:12" ht="15" customHeight="1" x14ac:dyDescent="0.3">
      <c r="A4008" s="23" t="s">
        <v>17212</v>
      </c>
      <c r="B4008" s="23" t="s">
        <v>79</v>
      </c>
      <c r="C4008" s="39">
        <v>799</v>
      </c>
      <c r="D4008" s="24">
        <v>14.38</v>
      </c>
      <c r="E4008" s="24">
        <v>2.59</v>
      </c>
      <c r="F4008" s="23">
        <f>COUNTIFS(mdr_rate_cleaned!$A$2:$A$10,B4008,mdr_rate_cleaned!$B$2:$B$10,"&lt;"&amp;C4008,mdr_rate_cleaned!$F$2:$F$10,"&gt;="&amp;C4008)</f>
        <v>1</v>
      </c>
      <c r="G4008" s="40">
        <f>SUMIFS(mdr_rate_cleaned!$G$2:$G$10,mdr_rate_cleaned!$A$2:$A$10,B4008,mdr_rate_cleaned!$B$2:$B$10,"&lt;"&amp;C4008,mdr_rate_cleaned!$F$2:$F$10,"&gt;="&amp;C4008)</f>
        <v>1.8000000000000002E-2</v>
      </c>
      <c r="H4008" s="24">
        <f t="shared" si="310"/>
        <v>14.38</v>
      </c>
      <c r="I4008" s="23" t="str">
        <f t="shared" si="311"/>
        <v>Match</v>
      </c>
      <c r="J4008" s="23" t="str">
        <f t="shared" si="312"/>
        <v>Match</v>
      </c>
      <c r="K4008" s="24">
        <f t="shared" si="313"/>
        <v>2.59</v>
      </c>
      <c r="L4008" s="24">
        <f t="shared" si="314"/>
        <v>0</v>
      </c>
    </row>
    <row r="4009" spans="1:12" ht="15" customHeight="1" x14ac:dyDescent="0.3">
      <c r="A4009" s="23" t="s">
        <v>17213</v>
      </c>
      <c r="B4009" s="23" t="s">
        <v>81</v>
      </c>
      <c r="C4009" s="39">
        <v>3147</v>
      </c>
      <c r="D4009" s="24">
        <v>37.76</v>
      </c>
      <c r="E4009" s="24">
        <v>6.8</v>
      </c>
      <c r="F4009" s="23">
        <f>COUNTIFS(mdr_rate_cleaned!$A$2:$A$10,B4009,mdr_rate_cleaned!$B$2:$B$10,"&lt;"&amp;C4009,mdr_rate_cleaned!$F$2:$F$10,"&gt;="&amp;C4009)</f>
        <v>1</v>
      </c>
      <c r="G4009" s="40">
        <f>SUMIFS(mdr_rate_cleaned!$G$2:$G$10,mdr_rate_cleaned!$A$2:$A$10,B4009,mdr_rate_cleaned!$B$2:$B$10,"&lt;"&amp;C4009,mdr_rate_cleaned!$F$2:$F$10,"&gt;="&amp;C4009)</f>
        <v>1.2E-2</v>
      </c>
      <c r="H4009" s="24">
        <f t="shared" si="310"/>
        <v>37.76</v>
      </c>
      <c r="I4009" s="23" t="str">
        <f t="shared" si="311"/>
        <v>Match</v>
      </c>
      <c r="J4009" s="23" t="str">
        <f t="shared" si="312"/>
        <v>Match</v>
      </c>
      <c r="K4009" s="24">
        <f t="shared" si="313"/>
        <v>6.8</v>
      </c>
      <c r="L4009" s="24">
        <f t="shared" si="314"/>
        <v>0</v>
      </c>
    </row>
    <row r="4010" spans="1:12" ht="15" customHeight="1" x14ac:dyDescent="0.3">
      <c r="A4010" s="23" t="s">
        <v>17223</v>
      </c>
      <c r="B4010" s="23" t="s">
        <v>75</v>
      </c>
      <c r="C4010" s="39">
        <v>4647</v>
      </c>
      <c r="D4010" s="24">
        <v>13.94</v>
      </c>
      <c r="E4010" s="24">
        <v>2.5099999999999998</v>
      </c>
      <c r="F4010" s="23">
        <f>COUNTIFS(mdr_rate_cleaned!$A$2:$A$10,B4010,mdr_rate_cleaned!$B$2:$B$10,"&lt;"&amp;C4010,mdr_rate_cleaned!$F$2:$F$10,"&gt;="&amp;C4010)</f>
        <v>1</v>
      </c>
      <c r="G4010" s="40">
        <f>SUMIFS(mdr_rate_cleaned!$G$2:$G$10,mdr_rate_cleaned!$A$2:$A$10,B4010,mdr_rate_cleaned!$B$2:$B$10,"&lt;"&amp;C4010,mdr_rate_cleaned!$F$2:$F$10,"&gt;="&amp;C4010)</f>
        <v>3.0000000000000001E-3</v>
      </c>
      <c r="H4010" s="24">
        <f t="shared" si="310"/>
        <v>13.94</v>
      </c>
      <c r="I4010" s="23" t="str">
        <f t="shared" si="311"/>
        <v>Match</v>
      </c>
      <c r="J4010" s="23" t="str">
        <f t="shared" si="312"/>
        <v>Match</v>
      </c>
      <c r="K4010" s="24">
        <f t="shared" si="313"/>
        <v>2.5099999999999998</v>
      </c>
      <c r="L4010" s="24">
        <f t="shared" si="314"/>
        <v>0</v>
      </c>
    </row>
    <row r="4011" spans="1:12" ht="15" customHeight="1" x14ac:dyDescent="0.3">
      <c r="A4011" s="23" t="s">
        <v>17224</v>
      </c>
      <c r="B4011" s="23" t="s">
        <v>75</v>
      </c>
      <c r="C4011" s="39">
        <v>5798</v>
      </c>
      <c r="D4011" s="24">
        <v>17.39</v>
      </c>
      <c r="E4011" s="24">
        <v>3.13</v>
      </c>
      <c r="F4011" s="23">
        <f>COUNTIFS(mdr_rate_cleaned!$A$2:$A$10,B4011,mdr_rate_cleaned!$B$2:$B$10,"&lt;"&amp;C4011,mdr_rate_cleaned!$F$2:$F$10,"&gt;="&amp;C4011)</f>
        <v>1</v>
      </c>
      <c r="G4011" s="40">
        <f>SUMIFS(mdr_rate_cleaned!$G$2:$G$10,mdr_rate_cleaned!$A$2:$A$10,B4011,mdr_rate_cleaned!$B$2:$B$10,"&lt;"&amp;C4011,mdr_rate_cleaned!$F$2:$F$10,"&gt;="&amp;C4011)</f>
        <v>3.0000000000000001E-3</v>
      </c>
      <c r="H4011" s="24">
        <f t="shared" si="310"/>
        <v>17.39</v>
      </c>
      <c r="I4011" s="23" t="str">
        <f t="shared" si="311"/>
        <v>Match</v>
      </c>
      <c r="J4011" s="23" t="str">
        <f t="shared" si="312"/>
        <v>Match</v>
      </c>
      <c r="K4011" s="24">
        <f t="shared" si="313"/>
        <v>3.13</v>
      </c>
      <c r="L4011" s="24">
        <f t="shared" si="314"/>
        <v>0</v>
      </c>
    </row>
    <row r="4012" spans="1:12" ht="15" customHeight="1" x14ac:dyDescent="0.3">
      <c r="A4012" s="23" t="s">
        <v>17225</v>
      </c>
      <c r="B4012" s="23" t="s">
        <v>79</v>
      </c>
      <c r="C4012" s="39">
        <v>1299</v>
      </c>
      <c r="D4012" s="24">
        <v>23.38</v>
      </c>
      <c r="E4012" s="24">
        <v>4.21</v>
      </c>
      <c r="F4012" s="23">
        <f>COUNTIFS(mdr_rate_cleaned!$A$2:$A$10,B4012,mdr_rate_cleaned!$B$2:$B$10,"&lt;"&amp;C4012,mdr_rate_cleaned!$F$2:$F$10,"&gt;="&amp;C4012)</f>
        <v>1</v>
      </c>
      <c r="G4012" s="40">
        <f>SUMIFS(mdr_rate_cleaned!$G$2:$G$10,mdr_rate_cleaned!$A$2:$A$10,B4012,mdr_rate_cleaned!$B$2:$B$10,"&lt;"&amp;C4012,mdr_rate_cleaned!$F$2:$F$10,"&gt;="&amp;C4012)</f>
        <v>1.8000000000000002E-2</v>
      </c>
      <c r="H4012" s="24">
        <f t="shared" si="310"/>
        <v>23.38</v>
      </c>
      <c r="I4012" s="23" t="str">
        <f t="shared" si="311"/>
        <v>Match</v>
      </c>
      <c r="J4012" s="23" t="str">
        <f t="shared" si="312"/>
        <v>Match</v>
      </c>
      <c r="K4012" s="24">
        <f t="shared" si="313"/>
        <v>4.21</v>
      </c>
      <c r="L4012" s="24">
        <f t="shared" si="314"/>
        <v>0</v>
      </c>
    </row>
    <row r="4013" spans="1:12" ht="15" customHeight="1" x14ac:dyDescent="0.3">
      <c r="A4013" s="23" t="s">
        <v>17226</v>
      </c>
      <c r="B4013" s="23" t="s">
        <v>77</v>
      </c>
      <c r="C4013" s="39">
        <v>2098</v>
      </c>
      <c r="D4013" s="24">
        <v>35.67</v>
      </c>
      <c r="E4013" s="24">
        <v>6.42</v>
      </c>
      <c r="F4013" s="23">
        <f>COUNTIFS(mdr_rate_cleaned!$A$2:$A$10,B4013,mdr_rate_cleaned!$B$2:$B$10,"&lt;"&amp;C4013,mdr_rate_cleaned!$F$2:$F$10,"&gt;="&amp;C4013)</f>
        <v>1</v>
      </c>
      <c r="G4013" s="40">
        <f>SUMIFS(mdr_rate_cleaned!$G$2:$G$10,mdr_rate_cleaned!$A$2:$A$10,B4013,mdr_rate_cleaned!$B$2:$B$10,"&lt;"&amp;C4013,mdr_rate_cleaned!$F$2:$F$10,"&gt;="&amp;C4013)</f>
        <v>1.7000000000000001E-2</v>
      </c>
      <c r="H4013" s="24">
        <f t="shared" si="310"/>
        <v>35.67</v>
      </c>
      <c r="I4013" s="23" t="str">
        <f t="shared" si="311"/>
        <v>Match</v>
      </c>
      <c r="J4013" s="23" t="str">
        <f t="shared" si="312"/>
        <v>Match</v>
      </c>
      <c r="K4013" s="24">
        <f t="shared" si="313"/>
        <v>6.42</v>
      </c>
      <c r="L4013" s="24">
        <f t="shared" si="314"/>
        <v>0</v>
      </c>
    </row>
    <row r="4014" spans="1:12" ht="15" customHeight="1" x14ac:dyDescent="0.3">
      <c r="A4014" s="23" t="s">
        <v>17227</v>
      </c>
      <c r="B4014" s="23" t="s">
        <v>75</v>
      </c>
      <c r="C4014" s="39">
        <v>349</v>
      </c>
      <c r="D4014" s="24">
        <v>0</v>
      </c>
      <c r="E4014" s="24">
        <v>0</v>
      </c>
      <c r="F4014" s="23">
        <f>COUNTIFS(mdr_rate_cleaned!$A$2:$A$10,B4014,mdr_rate_cleaned!$B$2:$B$10,"&lt;"&amp;C4014,mdr_rate_cleaned!$F$2:$F$10,"&gt;="&amp;C4014)</f>
        <v>1</v>
      </c>
      <c r="G4014" s="40">
        <f>SUMIFS(mdr_rate_cleaned!$G$2:$G$10,mdr_rate_cleaned!$A$2:$A$10,B4014,mdr_rate_cleaned!$B$2:$B$10,"&lt;"&amp;C4014,mdr_rate_cleaned!$F$2:$F$10,"&gt;="&amp;C4014)</f>
        <v>0</v>
      </c>
      <c r="H4014" s="24">
        <f t="shared" si="310"/>
        <v>0</v>
      </c>
      <c r="I4014" s="23" t="str">
        <f t="shared" si="311"/>
        <v>Match</v>
      </c>
      <c r="J4014" s="23" t="str">
        <f t="shared" si="312"/>
        <v>Match</v>
      </c>
      <c r="K4014" s="24">
        <f t="shared" si="313"/>
        <v>0</v>
      </c>
      <c r="L4014" s="24">
        <f t="shared" si="314"/>
        <v>0</v>
      </c>
    </row>
    <row r="4015" spans="1:12" ht="15" customHeight="1" x14ac:dyDescent="0.3">
      <c r="A4015" s="23" t="s">
        <v>17228</v>
      </c>
      <c r="B4015" s="23" t="s">
        <v>81</v>
      </c>
      <c r="C4015" s="39">
        <v>349</v>
      </c>
      <c r="D4015" s="24">
        <v>5.24</v>
      </c>
      <c r="E4015" s="24">
        <v>0.94</v>
      </c>
      <c r="F4015" s="23">
        <f>COUNTIFS(mdr_rate_cleaned!$A$2:$A$10,B4015,mdr_rate_cleaned!$B$2:$B$10,"&lt;"&amp;C4015,mdr_rate_cleaned!$F$2:$F$10,"&gt;="&amp;C4015)</f>
        <v>1</v>
      </c>
      <c r="G4015" s="40">
        <f>SUMIFS(mdr_rate_cleaned!$G$2:$G$10,mdr_rate_cleaned!$A$2:$A$10,B4015,mdr_rate_cleaned!$B$2:$B$10,"&lt;"&amp;C4015,mdr_rate_cleaned!$F$2:$F$10,"&gt;="&amp;C4015)</f>
        <v>1.4999999999999999E-2</v>
      </c>
      <c r="H4015" s="24">
        <f t="shared" si="310"/>
        <v>5.24</v>
      </c>
      <c r="I4015" s="23" t="str">
        <f t="shared" si="311"/>
        <v>Match</v>
      </c>
      <c r="J4015" s="23" t="str">
        <f t="shared" si="312"/>
        <v>Match</v>
      </c>
      <c r="K4015" s="24">
        <f t="shared" si="313"/>
        <v>0.94</v>
      </c>
      <c r="L4015" s="24">
        <f t="shared" si="314"/>
        <v>0</v>
      </c>
    </row>
    <row r="4016" spans="1:12" ht="15" customHeight="1" x14ac:dyDescent="0.3">
      <c r="A4016" s="23" t="s">
        <v>17229</v>
      </c>
      <c r="B4016" s="23" t="s">
        <v>81</v>
      </c>
      <c r="C4016" s="39">
        <v>7999</v>
      </c>
      <c r="D4016" s="24">
        <v>95.99</v>
      </c>
      <c r="E4016" s="24">
        <v>17.28</v>
      </c>
      <c r="F4016" s="23">
        <f>COUNTIFS(mdr_rate_cleaned!$A$2:$A$10,B4016,mdr_rate_cleaned!$B$2:$B$10,"&lt;"&amp;C4016,mdr_rate_cleaned!$F$2:$F$10,"&gt;="&amp;C4016)</f>
        <v>1</v>
      </c>
      <c r="G4016" s="40">
        <f>SUMIFS(mdr_rate_cleaned!$G$2:$G$10,mdr_rate_cleaned!$A$2:$A$10,B4016,mdr_rate_cleaned!$B$2:$B$10,"&lt;"&amp;C4016,mdr_rate_cleaned!$F$2:$F$10,"&gt;="&amp;C4016)</f>
        <v>1.2E-2</v>
      </c>
      <c r="H4016" s="24">
        <f t="shared" si="310"/>
        <v>95.99</v>
      </c>
      <c r="I4016" s="23" t="str">
        <f t="shared" si="311"/>
        <v>Match</v>
      </c>
      <c r="J4016" s="23" t="str">
        <f t="shared" si="312"/>
        <v>Match</v>
      </c>
      <c r="K4016" s="24">
        <f t="shared" si="313"/>
        <v>17.28</v>
      </c>
      <c r="L4016" s="24">
        <f t="shared" si="314"/>
        <v>0</v>
      </c>
    </row>
    <row r="4017" spans="1:12" ht="15" customHeight="1" x14ac:dyDescent="0.3">
      <c r="A4017" s="23" t="s">
        <v>17230</v>
      </c>
      <c r="B4017" s="23" t="s">
        <v>75</v>
      </c>
      <c r="C4017" s="39">
        <v>1299</v>
      </c>
      <c r="D4017" s="24">
        <v>0</v>
      </c>
      <c r="E4017" s="24">
        <v>0</v>
      </c>
      <c r="F4017" s="23">
        <f>COUNTIFS(mdr_rate_cleaned!$A$2:$A$10,B4017,mdr_rate_cleaned!$B$2:$B$10,"&lt;"&amp;C4017,mdr_rate_cleaned!$F$2:$F$10,"&gt;="&amp;C4017)</f>
        <v>1</v>
      </c>
      <c r="G4017" s="40">
        <f>SUMIFS(mdr_rate_cleaned!$G$2:$G$10,mdr_rate_cleaned!$A$2:$A$10,B4017,mdr_rate_cleaned!$B$2:$B$10,"&lt;"&amp;C4017,mdr_rate_cleaned!$F$2:$F$10,"&gt;="&amp;C4017)</f>
        <v>0</v>
      </c>
      <c r="H4017" s="24">
        <f t="shared" si="310"/>
        <v>0</v>
      </c>
      <c r="I4017" s="23" t="str">
        <f t="shared" si="311"/>
        <v>Match</v>
      </c>
      <c r="J4017" s="23" t="str">
        <f t="shared" si="312"/>
        <v>Match</v>
      </c>
      <c r="K4017" s="24">
        <f t="shared" si="313"/>
        <v>0</v>
      </c>
      <c r="L4017" s="24">
        <f t="shared" si="314"/>
        <v>0</v>
      </c>
    </row>
    <row r="4018" spans="1:12" ht="15" customHeight="1" x14ac:dyDescent="0.3">
      <c r="A4018" s="23" t="s">
        <v>17231</v>
      </c>
      <c r="B4018" s="23" t="s">
        <v>79</v>
      </c>
      <c r="C4018" s="39">
        <v>299</v>
      </c>
      <c r="D4018" s="24">
        <v>5.38</v>
      </c>
      <c r="E4018" s="24">
        <v>0.97</v>
      </c>
      <c r="F4018" s="23">
        <f>COUNTIFS(mdr_rate_cleaned!$A$2:$A$10,B4018,mdr_rate_cleaned!$B$2:$B$10,"&lt;"&amp;C4018,mdr_rate_cleaned!$F$2:$F$10,"&gt;="&amp;C4018)</f>
        <v>1</v>
      </c>
      <c r="G4018" s="40">
        <f>SUMIFS(mdr_rate_cleaned!$G$2:$G$10,mdr_rate_cleaned!$A$2:$A$10,B4018,mdr_rate_cleaned!$B$2:$B$10,"&lt;"&amp;C4018,mdr_rate_cleaned!$F$2:$F$10,"&gt;="&amp;C4018)</f>
        <v>1.8000000000000002E-2</v>
      </c>
      <c r="H4018" s="24">
        <f t="shared" si="310"/>
        <v>5.38</v>
      </c>
      <c r="I4018" s="23" t="str">
        <f t="shared" si="311"/>
        <v>Match</v>
      </c>
      <c r="J4018" s="23" t="str">
        <f t="shared" si="312"/>
        <v>Match</v>
      </c>
      <c r="K4018" s="24">
        <f t="shared" si="313"/>
        <v>0.97</v>
      </c>
      <c r="L4018" s="24">
        <f t="shared" si="314"/>
        <v>0</v>
      </c>
    </row>
    <row r="4019" spans="1:12" ht="15" customHeight="1" x14ac:dyDescent="0.3">
      <c r="A4019" s="23" t="s">
        <v>17232</v>
      </c>
      <c r="B4019" s="23" t="s">
        <v>77</v>
      </c>
      <c r="C4019" s="39">
        <v>599</v>
      </c>
      <c r="D4019" s="24">
        <v>11.38</v>
      </c>
      <c r="E4019" s="24">
        <v>2.0499999999999998</v>
      </c>
      <c r="F4019" s="23">
        <f>COUNTIFS(mdr_rate_cleaned!$A$2:$A$10,B4019,mdr_rate_cleaned!$B$2:$B$10,"&lt;"&amp;C4019,mdr_rate_cleaned!$F$2:$F$10,"&gt;="&amp;C4019)</f>
        <v>1</v>
      </c>
      <c r="G4019" s="40">
        <f>SUMIFS(mdr_rate_cleaned!$G$2:$G$10,mdr_rate_cleaned!$A$2:$A$10,B4019,mdr_rate_cleaned!$B$2:$B$10,"&lt;"&amp;C4019,mdr_rate_cleaned!$F$2:$F$10,"&gt;="&amp;C4019)</f>
        <v>1.9E-2</v>
      </c>
      <c r="H4019" s="24">
        <f t="shared" si="310"/>
        <v>11.38</v>
      </c>
      <c r="I4019" s="23" t="str">
        <f t="shared" si="311"/>
        <v>Match</v>
      </c>
      <c r="J4019" s="23" t="str">
        <f t="shared" si="312"/>
        <v>Match</v>
      </c>
      <c r="K4019" s="24">
        <f t="shared" si="313"/>
        <v>2.0499999999999998</v>
      </c>
      <c r="L4019" s="24">
        <f t="shared" si="314"/>
        <v>0</v>
      </c>
    </row>
    <row r="4020" spans="1:12" ht="15" customHeight="1" x14ac:dyDescent="0.3">
      <c r="A4020" s="23" t="s">
        <v>17233</v>
      </c>
      <c r="B4020" s="23" t="s">
        <v>81</v>
      </c>
      <c r="C4020" s="39">
        <v>5998</v>
      </c>
      <c r="D4020" s="24">
        <v>71.98</v>
      </c>
      <c r="E4020" s="24">
        <v>12.96</v>
      </c>
      <c r="F4020" s="23">
        <f>COUNTIFS(mdr_rate_cleaned!$A$2:$A$10,B4020,mdr_rate_cleaned!$B$2:$B$10,"&lt;"&amp;C4020,mdr_rate_cleaned!$F$2:$F$10,"&gt;="&amp;C4020)</f>
        <v>1</v>
      </c>
      <c r="G4020" s="40">
        <f>SUMIFS(mdr_rate_cleaned!$G$2:$G$10,mdr_rate_cleaned!$A$2:$A$10,B4020,mdr_rate_cleaned!$B$2:$B$10,"&lt;"&amp;C4020,mdr_rate_cleaned!$F$2:$F$10,"&gt;="&amp;C4020)</f>
        <v>1.2E-2</v>
      </c>
      <c r="H4020" s="24">
        <f t="shared" si="310"/>
        <v>71.98</v>
      </c>
      <c r="I4020" s="23" t="str">
        <f t="shared" si="311"/>
        <v>Match</v>
      </c>
      <c r="J4020" s="23" t="str">
        <f t="shared" si="312"/>
        <v>Match</v>
      </c>
      <c r="K4020" s="24">
        <f t="shared" si="313"/>
        <v>12.96</v>
      </c>
      <c r="L4020" s="24">
        <f t="shared" si="314"/>
        <v>0</v>
      </c>
    </row>
    <row r="4021" spans="1:12" ht="15" customHeight="1" x14ac:dyDescent="0.3">
      <c r="A4021" s="23" t="s">
        <v>17234</v>
      </c>
      <c r="B4021" s="23" t="s">
        <v>75</v>
      </c>
      <c r="C4021" s="39">
        <v>3499</v>
      </c>
      <c r="D4021" s="24">
        <v>10.5</v>
      </c>
      <c r="E4021" s="24">
        <v>1.89</v>
      </c>
      <c r="F4021" s="23">
        <f>COUNTIFS(mdr_rate_cleaned!$A$2:$A$10,B4021,mdr_rate_cleaned!$B$2:$B$10,"&lt;"&amp;C4021,mdr_rate_cleaned!$F$2:$F$10,"&gt;="&amp;C4021)</f>
        <v>1</v>
      </c>
      <c r="G4021" s="40">
        <f>SUMIFS(mdr_rate_cleaned!$G$2:$G$10,mdr_rate_cleaned!$A$2:$A$10,B4021,mdr_rate_cleaned!$B$2:$B$10,"&lt;"&amp;C4021,mdr_rate_cleaned!$F$2:$F$10,"&gt;="&amp;C4021)</f>
        <v>3.0000000000000001E-3</v>
      </c>
      <c r="H4021" s="24">
        <f t="shared" si="310"/>
        <v>10.5</v>
      </c>
      <c r="I4021" s="23" t="str">
        <f t="shared" si="311"/>
        <v>Match</v>
      </c>
      <c r="J4021" s="23" t="str">
        <f t="shared" si="312"/>
        <v>Match</v>
      </c>
      <c r="K4021" s="24">
        <f t="shared" si="313"/>
        <v>1.89</v>
      </c>
      <c r="L4021" s="24">
        <f t="shared" si="314"/>
        <v>0</v>
      </c>
    </row>
    <row r="4022" spans="1:12" ht="15" customHeight="1" x14ac:dyDescent="0.3">
      <c r="A4022" s="23" t="s">
        <v>17235</v>
      </c>
      <c r="B4022" s="23" t="s">
        <v>79</v>
      </c>
      <c r="C4022" s="39">
        <v>299</v>
      </c>
      <c r="D4022" s="24">
        <v>5.38</v>
      </c>
      <c r="E4022" s="24">
        <v>0.97</v>
      </c>
      <c r="F4022" s="23">
        <f>COUNTIFS(mdr_rate_cleaned!$A$2:$A$10,B4022,mdr_rate_cleaned!$B$2:$B$10,"&lt;"&amp;C4022,mdr_rate_cleaned!$F$2:$F$10,"&gt;="&amp;C4022)</f>
        <v>1</v>
      </c>
      <c r="G4022" s="40">
        <f>SUMIFS(mdr_rate_cleaned!$G$2:$G$10,mdr_rate_cleaned!$A$2:$A$10,B4022,mdr_rate_cleaned!$B$2:$B$10,"&lt;"&amp;C4022,mdr_rate_cleaned!$F$2:$F$10,"&gt;="&amp;C4022)</f>
        <v>1.8000000000000002E-2</v>
      </c>
      <c r="H4022" s="24">
        <f t="shared" si="310"/>
        <v>5.38</v>
      </c>
      <c r="I4022" s="23" t="str">
        <f t="shared" si="311"/>
        <v>Match</v>
      </c>
      <c r="J4022" s="23" t="str">
        <f t="shared" si="312"/>
        <v>Match</v>
      </c>
      <c r="K4022" s="24">
        <f t="shared" si="313"/>
        <v>0.97</v>
      </c>
      <c r="L4022" s="24">
        <f t="shared" si="314"/>
        <v>0</v>
      </c>
    </row>
    <row r="4023" spans="1:12" ht="15" customHeight="1" x14ac:dyDescent="0.3">
      <c r="A4023" s="23" t="s">
        <v>17236</v>
      </c>
      <c r="B4023" s="23" t="s">
        <v>75</v>
      </c>
      <c r="C4023" s="39">
        <v>1798</v>
      </c>
      <c r="D4023" s="24">
        <v>0</v>
      </c>
      <c r="E4023" s="24">
        <v>0</v>
      </c>
      <c r="F4023" s="23">
        <f>COUNTIFS(mdr_rate_cleaned!$A$2:$A$10,B4023,mdr_rate_cleaned!$B$2:$B$10,"&lt;"&amp;C4023,mdr_rate_cleaned!$F$2:$F$10,"&gt;="&amp;C4023)</f>
        <v>1</v>
      </c>
      <c r="G4023" s="40">
        <f>SUMIFS(mdr_rate_cleaned!$G$2:$G$10,mdr_rate_cleaned!$A$2:$A$10,B4023,mdr_rate_cleaned!$B$2:$B$10,"&lt;"&amp;C4023,mdr_rate_cleaned!$F$2:$F$10,"&gt;="&amp;C4023)</f>
        <v>0</v>
      </c>
      <c r="H4023" s="24">
        <f t="shared" si="310"/>
        <v>0</v>
      </c>
      <c r="I4023" s="23" t="str">
        <f t="shared" si="311"/>
        <v>Match</v>
      </c>
      <c r="J4023" s="23" t="str">
        <f t="shared" si="312"/>
        <v>Match</v>
      </c>
      <c r="K4023" s="24">
        <f t="shared" si="313"/>
        <v>0</v>
      </c>
      <c r="L4023" s="24">
        <f t="shared" si="314"/>
        <v>0</v>
      </c>
    </row>
    <row r="4024" spans="1:12" ht="15" customHeight="1" x14ac:dyDescent="0.3">
      <c r="A4024" s="23" t="s">
        <v>17237</v>
      </c>
      <c r="B4024" s="23" t="s">
        <v>75</v>
      </c>
      <c r="C4024" s="39">
        <v>4098</v>
      </c>
      <c r="D4024" s="24">
        <v>12.29</v>
      </c>
      <c r="E4024" s="24">
        <v>2.21</v>
      </c>
      <c r="F4024" s="23">
        <f>COUNTIFS(mdr_rate_cleaned!$A$2:$A$10,B4024,mdr_rate_cleaned!$B$2:$B$10,"&lt;"&amp;C4024,mdr_rate_cleaned!$F$2:$F$10,"&gt;="&amp;C4024)</f>
        <v>1</v>
      </c>
      <c r="G4024" s="40">
        <f>SUMIFS(mdr_rate_cleaned!$G$2:$G$10,mdr_rate_cleaned!$A$2:$A$10,B4024,mdr_rate_cleaned!$B$2:$B$10,"&lt;"&amp;C4024,mdr_rate_cleaned!$F$2:$F$10,"&gt;="&amp;C4024)</f>
        <v>3.0000000000000001E-3</v>
      </c>
      <c r="H4024" s="24">
        <f t="shared" si="310"/>
        <v>12.29</v>
      </c>
      <c r="I4024" s="23" t="str">
        <f t="shared" si="311"/>
        <v>Match</v>
      </c>
      <c r="J4024" s="23" t="str">
        <f t="shared" si="312"/>
        <v>Match</v>
      </c>
      <c r="K4024" s="24">
        <f t="shared" si="313"/>
        <v>2.21</v>
      </c>
      <c r="L4024" s="24">
        <f t="shared" si="314"/>
        <v>0</v>
      </c>
    </row>
    <row r="4025" spans="1:12" ht="15" customHeight="1" x14ac:dyDescent="0.3">
      <c r="A4025" s="23" t="s">
        <v>17238</v>
      </c>
      <c r="B4025" s="23" t="s">
        <v>79</v>
      </c>
      <c r="C4025" s="39">
        <v>4298</v>
      </c>
      <c r="D4025" s="24">
        <v>68.77</v>
      </c>
      <c r="E4025" s="24">
        <v>12.38</v>
      </c>
      <c r="F4025" s="23">
        <f>COUNTIFS(mdr_rate_cleaned!$A$2:$A$10,B4025,mdr_rate_cleaned!$B$2:$B$10,"&lt;"&amp;C4025,mdr_rate_cleaned!$F$2:$F$10,"&gt;="&amp;C4025)</f>
        <v>1</v>
      </c>
      <c r="G4025" s="40">
        <f>SUMIFS(mdr_rate_cleaned!$G$2:$G$10,mdr_rate_cleaned!$A$2:$A$10,B4025,mdr_rate_cleaned!$B$2:$B$10,"&lt;"&amp;C4025,mdr_rate_cleaned!$F$2:$F$10,"&gt;="&amp;C4025)</f>
        <v>1.6E-2</v>
      </c>
      <c r="H4025" s="24">
        <f t="shared" si="310"/>
        <v>68.77</v>
      </c>
      <c r="I4025" s="23" t="str">
        <f t="shared" si="311"/>
        <v>Match</v>
      </c>
      <c r="J4025" s="23" t="str">
        <f t="shared" si="312"/>
        <v>Match</v>
      </c>
      <c r="K4025" s="24">
        <f t="shared" si="313"/>
        <v>12.38</v>
      </c>
      <c r="L4025" s="24">
        <f t="shared" si="314"/>
        <v>0</v>
      </c>
    </row>
    <row r="4026" spans="1:12" ht="15" customHeight="1" x14ac:dyDescent="0.3">
      <c r="A4026" s="23" t="s">
        <v>17240</v>
      </c>
      <c r="B4026" s="23" t="s">
        <v>75</v>
      </c>
      <c r="C4026" s="39">
        <v>2098</v>
      </c>
      <c r="D4026" s="24">
        <v>6.29</v>
      </c>
      <c r="E4026" s="24">
        <v>1.1299999999999999</v>
      </c>
      <c r="F4026" s="23">
        <f>COUNTIFS(mdr_rate_cleaned!$A$2:$A$10,B4026,mdr_rate_cleaned!$B$2:$B$10,"&lt;"&amp;C4026,mdr_rate_cleaned!$F$2:$F$10,"&gt;="&amp;C4026)</f>
        <v>1</v>
      </c>
      <c r="G4026" s="40">
        <f>SUMIFS(mdr_rate_cleaned!$G$2:$G$10,mdr_rate_cleaned!$A$2:$A$10,B4026,mdr_rate_cleaned!$B$2:$B$10,"&lt;"&amp;C4026,mdr_rate_cleaned!$F$2:$F$10,"&gt;="&amp;C4026)</f>
        <v>3.0000000000000001E-3</v>
      </c>
      <c r="H4026" s="24">
        <f t="shared" si="310"/>
        <v>6.29</v>
      </c>
      <c r="I4026" s="23" t="str">
        <f t="shared" si="311"/>
        <v>Match</v>
      </c>
      <c r="J4026" s="23" t="str">
        <f t="shared" si="312"/>
        <v>Match</v>
      </c>
      <c r="K4026" s="24">
        <f t="shared" si="313"/>
        <v>1.1299999999999999</v>
      </c>
      <c r="L4026" s="24">
        <f t="shared" si="314"/>
        <v>0</v>
      </c>
    </row>
    <row r="4027" spans="1:12" ht="15" customHeight="1" x14ac:dyDescent="0.3">
      <c r="A4027" s="23" t="s">
        <v>17241</v>
      </c>
      <c r="B4027" s="23" t="s">
        <v>75</v>
      </c>
      <c r="C4027" s="39">
        <v>1498</v>
      </c>
      <c r="D4027" s="24">
        <v>0</v>
      </c>
      <c r="E4027" s="24">
        <v>0</v>
      </c>
      <c r="F4027" s="23">
        <f>COUNTIFS(mdr_rate_cleaned!$A$2:$A$10,B4027,mdr_rate_cleaned!$B$2:$B$10,"&lt;"&amp;C4027,mdr_rate_cleaned!$F$2:$F$10,"&gt;="&amp;C4027)</f>
        <v>1</v>
      </c>
      <c r="G4027" s="40">
        <f>SUMIFS(mdr_rate_cleaned!$G$2:$G$10,mdr_rate_cleaned!$A$2:$A$10,B4027,mdr_rate_cleaned!$B$2:$B$10,"&lt;"&amp;C4027,mdr_rate_cleaned!$F$2:$F$10,"&gt;="&amp;C4027)</f>
        <v>0</v>
      </c>
      <c r="H4027" s="24">
        <f t="shared" si="310"/>
        <v>0</v>
      </c>
      <c r="I4027" s="23" t="str">
        <f t="shared" si="311"/>
        <v>Match</v>
      </c>
      <c r="J4027" s="23" t="str">
        <f t="shared" si="312"/>
        <v>Match</v>
      </c>
      <c r="K4027" s="24">
        <f t="shared" si="313"/>
        <v>0</v>
      </c>
      <c r="L4027" s="24">
        <f t="shared" si="314"/>
        <v>0</v>
      </c>
    </row>
    <row r="4028" spans="1:12" ht="15" customHeight="1" x14ac:dyDescent="0.3">
      <c r="A4028" s="23" t="s">
        <v>17242</v>
      </c>
      <c r="B4028" s="23" t="s">
        <v>75</v>
      </c>
      <c r="C4028" s="39">
        <v>299</v>
      </c>
      <c r="D4028" s="24">
        <v>0</v>
      </c>
      <c r="E4028" s="24">
        <v>0</v>
      </c>
      <c r="F4028" s="23">
        <f>COUNTIFS(mdr_rate_cleaned!$A$2:$A$10,B4028,mdr_rate_cleaned!$B$2:$B$10,"&lt;"&amp;C4028,mdr_rate_cleaned!$F$2:$F$10,"&gt;="&amp;C4028)</f>
        <v>1</v>
      </c>
      <c r="G4028" s="40">
        <f>SUMIFS(mdr_rate_cleaned!$G$2:$G$10,mdr_rate_cleaned!$A$2:$A$10,B4028,mdr_rate_cleaned!$B$2:$B$10,"&lt;"&amp;C4028,mdr_rate_cleaned!$F$2:$F$10,"&gt;="&amp;C4028)</f>
        <v>0</v>
      </c>
      <c r="H4028" s="24">
        <f t="shared" si="310"/>
        <v>0</v>
      </c>
      <c r="I4028" s="23" t="str">
        <f t="shared" si="311"/>
        <v>Match</v>
      </c>
      <c r="J4028" s="23" t="str">
        <f t="shared" si="312"/>
        <v>Match</v>
      </c>
      <c r="K4028" s="24">
        <f t="shared" si="313"/>
        <v>0</v>
      </c>
      <c r="L4028" s="24">
        <f t="shared" si="314"/>
        <v>0</v>
      </c>
    </row>
    <row r="4029" spans="1:12" ht="15" customHeight="1" x14ac:dyDescent="0.3">
      <c r="A4029" s="23" t="s">
        <v>17243</v>
      </c>
      <c r="B4029" s="23" t="s">
        <v>75</v>
      </c>
      <c r="C4029" s="39">
        <v>4999</v>
      </c>
      <c r="D4029" s="24">
        <v>15</v>
      </c>
      <c r="E4029" s="24">
        <v>2.7</v>
      </c>
      <c r="F4029" s="23">
        <f>COUNTIFS(mdr_rate_cleaned!$A$2:$A$10,B4029,mdr_rate_cleaned!$B$2:$B$10,"&lt;"&amp;C4029,mdr_rate_cleaned!$F$2:$F$10,"&gt;="&amp;C4029)</f>
        <v>1</v>
      </c>
      <c r="G4029" s="40">
        <f>SUMIFS(mdr_rate_cleaned!$G$2:$G$10,mdr_rate_cleaned!$A$2:$A$10,B4029,mdr_rate_cleaned!$B$2:$B$10,"&lt;"&amp;C4029,mdr_rate_cleaned!$F$2:$F$10,"&gt;="&amp;C4029)</f>
        <v>3.0000000000000001E-3</v>
      </c>
      <c r="H4029" s="24">
        <f t="shared" si="310"/>
        <v>15</v>
      </c>
      <c r="I4029" s="23" t="str">
        <f t="shared" si="311"/>
        <v>Match</v>
      </c>
      <c r="J4029" s="23" t="str">
        <f t="shared" si="312"/>
        <v>Match</v>
      </c>
      <c r="K4029" s="24">
        <f t="shared" si="313"/>
        <v>2.7</v>
      </c>
      <c r="L4029" s="24">
        <f t="shared" si="314"/>
        <v>0</v>
      </c>
    </row>
    <row r="4030" spans="1:12" ht="15" customHeight="1" x14ac:dyDescent="0.3">
      <c r="A4030" s="23" t="s">
        <v>17244</v>
      </c>
      <c r="B4030" s="23" t="s">
        <v>75</v>
      </c>
      <c r="C4030" s="39">
        <v>4147</v>
      </c>
      <c r="D4030" s="24">
        <v>12.44</v>
      </c>
      <c r="E4030" s="24">
        <v>2.2400000000000002</v>
      </c>
      <c r="F4030" s="23">
        <f>COUNTIFS(mdr_rate_cleaned!$A$2:$A$10,B4030,mdr_rate_cleaned!$B$2:$B$10,"&lt;"&amp;C4030,mdr_rate_cleaned!$F$2:$F$10,"&gt;="&amp;C4030)</f>
        <v>1</v>
      </c>
      <c r="G4030" s="40">
        <f>SUMIFS(mdr_rate_cleaned!$G$2:$G$10,mdr_rate_cleaned!$A$2:$A$10,B4030,mdr_rate_cleaned!$B$2:$B$10,"&lt;"&amp;C4030,mdr_rate_cleaned!$F$2:$F$10,"&gt;="&amp;C4030)</f>
        <v>3.0000000000000001E-3</v>
      </c>
      <c r="H4030" s="24">
        <f t="shared" si="310"/>
        <v>12.44</v>
      </c>
      <c r="I4030" s="23" t="str">
        <f t="shared" si="311"/>
        <v>Match</v>
      </c>
      <c r="J4030" s="23" t="str">
        <f t="shared" si="312"/>
        <v>Match</v>
      </c>
      <c r="K4030" s="24">
        <f t="shared" si="313"/>
        <v>2.2400000000000002</v>
      </c>
      <c r="L4030" s="24">
        <f t="shared" si="314"/>
        <v>0</v>
      </c>
    </row>
    <row r="4031" spans="1:12" ht="15" customHeight="1" x14ac:dyDescent="0.3">
      <c r="A4031" s="23" t="s">
        <v>17245</v>
      </c>
      <c r="B4031" s="23" t="s">
        <v>75</v>
      </c>
      <c r="C4031" s="39">
        <v>2999</v>
      </c>
      <c r="D4031" s="24">
        <v>9</v>
      </c>
      <c r="E4031" s="24">
        <v>1.62</v>
      </c>
      <c r="F4031" s="23">
        <f>COUNTIFS(mdr_rate_cleaned!$A$2:$A$10,B4031,mdr_rate_cleaned!$B$2:$B$10,"&lt;"&amp;C4031,mdr_rate_cleaned!$F$2:$F$10,"&gt;="&amp;C4031)</f>
        <v>1</v>
      </c>
      <c r="G4031" s="40">
        <f>SUMIFS(mdr_rate_cleaned!$G$2:$G$10,mdr_rate_cleaned!$A$2:$A$10,B4031,mdr_rate_cleaned!$B$2:$B$10,"&lt;"&amp;C4031,mdr_rate_cleaned!$F$2:$F$10,"&gt;="&amp;C4031)</f>
        <v>3.0000000000000001E-3</v>
      </c>
      <c r="H4031" s="24">
        <f t="shared" si="310"/>
        <v>9</v>
      </c>
      <c r="I4031" s="23" t="str">
        <f t="shared" si="311"/>
        <v>Match</v>
      </c>
      <c r="J4031" s="23" t="str">
        <f t="shared" si="312"/>
        <v>Match</v>
      </c>
      <c r="K4031" s="24">
        <f t="shared" si="313"/>
        <v>1.62</v>
      </c>
      <c r="L4031" s="24">
        <f t="shared" si="314"/>
        <v>0</v>
      </c>
    </row>
    <row r="4032" spans="1:12" ht="15" customHeight="1" x14ac:dyDescent="0.3">
      <c r="A4032" s="23" t="s">
        <v>17246</v>
      </c>
      <c r="B4032" s="23" t="s">
        <v>75</v>
      </c>
      <c r="C4032" s="39">
        <v>848</v>
      </c>
      <c r="D4032" s="24">
        <v>0</v>
      </c>
      <c r="E4032" s="24">
        <v>0</v>
      </c>
      <c r="F4032" s="23">
        <f>COUNTIFS(mdr_rate_cleaned!$A$2:$A$10,B4032,mdr_rate_cleaned!$B$2:$B$10,"&lt;"&amp;C4032,mdr_rate_cleaned!$F$2:$F$10,"&gt;="&amp;C4032)</f>
        <v>1</v>
      </c>
      <c r="G4032" s="40">
        <f>SUMIFS(mdr_rate_cleaned!$G$2:$G$10,mdr_rate_cleaned!$A$2:$A$10,B4032,mdr_rate_cleaned!$B$2:$B$10,"&lt;"&amp;C4032,mdr_rate_cleaned!$F$2:$F$10,"&gt;="&amp;C4032)</f>
        <v>0</v>
      </c>
      <c r="H4032" s="24">
        <f t="shared" si="310"/>
        <v>0</v>
      </c>
      <c r="I4032" s="23" t="str">
        <f t="shared" si="311"/>
        <v>Match</v>
      </c>
      <c r="J4032" s="23" t="str">
        <f t="shared" si="312"/>
        <v>Match</v>
      </c>
      <c r="K4032" s="24">
        <f t="shared" si="313"/>
        <v>0</v>
      </c>
      <c r="L4032" s="24">
        <f t="shared" si="314"/>
        <v>0</v>
      </c>
    </row>
    <row r="4033" spans="1:12" ht="15" customHeight="1" x14ac:dyDescent="0.3">
      <c r="A4033" s="23" t="s">
        <v>17248</v>
      </c>
      <c r="B4033" s="23" t="s">
        <v>75</v>
      </c>
      <c r="C4033" s="39">
        <v>4097</v>
      </c>
      <c r="D4033" s="24">
        <v>12.29</v>
      </c>
      <c r="E4033" s="24">
        <v>2.21</v>
      </c>
      <c r="F4033" s="23">
        <f>COUNTIFS(mdr_rate_cleaned!$A$2:$A$10,B4033,mdr_rate_cleaned!$B$2:$B$10,"&lt;"&amp;C4033,mdr_rate_cleaned!$F$2:$F$10,"&gt;="&amp;C4033)</f>
        <v>1</v>
      </c>
      <c r="G4033" s="40">
        <f>SUMIFS(mdr_rate_cleaned!$G$2:$G$10,mdr_rate_cleaned!$A$2:$A$10,B4033,mdr_rate_cleaned!$B$2:$B$10,"&lt;"&amp;C4033,mdr_rate_cleaned!$F$2:$F$10,"&gt;="&amp;C4033)</f>
        <v>3.0000000000000001E-3</v>
      </c>
      <c r="H4033" s="24">
        <f t="shared" si="310"/>
        <v>12.29</v>
      </c>
      <c r="I4033" s="23" t="str">
        <f t="shared" si="311"/>
        <v>Match</v>
      </c>
      <c r="J4033" s="23" t="str">
        <f t="shared" si="312"/>
        <v>Match</v>
      </c>
      <c r="K4033" s="24">
        <f t="shared" si="313"/>
        <v>2.21</v>
      </c>
      <c r="L4033" s="24">
        <f t="shared" si="314"/>
        <v>0</v>
      </c>
    </row>
    <row r="4034" spans="1:12" ht="15" customHeight="1" x14ac:dyDescent="0.3">
      <c r="A4034" s="23" t="s">
        <v>17249</v>
      </c>
      <c r="B4034" s="23" t="s">
        <v>79</v>
      </c>
      <c r="C4034" s="39">
        <v>599</v>
      </c>
      <c r="D4034" s="24">
        <v>10.78</v>
      </c>
      <c r="E4034" s="24">
        <v>1.94</v>
      </c>
      <c r="F4034" s="23">
        <f>COUNTIFS(mdr_rate_cleaned!$A$2:$A$10,B4034,mdr_rate_cleaned!$B$2:$B$10,"&lt;"&amp;C4034,mdr_rate_cleaned!$F$2:$F$10,"&gt;="&amp;C4034)</f>
        <v>1</v>
      </c>
      <c r="G4034" s="40">
        <f>SUMIFS(mdr_rate_cleaned!$G$2:$G$10,mdr_rate_cleaned!$A$2:$A$10,B4034,mdr_rate_cleaned!$B$2:$B$10,"&lt;"&amp;C4034,mdr_rate_cleaned!$F$2:$F$10,"&gt;="&amp;C4034)</f>
        <v>1.8000000000000002E-2</v>
      </c>
      <c r="H4034" s="24">
        <f t="shared" ref="H4034:H4097" si="315">ROUND(C4034*G4034,2)</f>
        <v>10.78</v>
      </c>
      <c r="I4034" s="23" t="str">
        <f t="shared" ref="I4034:I4097" si="316">IF(ROUND(D4034-H4034,2)=0,"Match","Differs")</f>
        <v>Match</v>
      </c>
      <c r="J4034" s="23" t="str">
        <f t="shared" ref="J4034:J4097" si="317">IF(ROUND(E4034-ROUND(D4034*0.18,2),2)=0,"Match","Differs")</f>
        <v>Match</v>
      </c>
      <c r="K4034" s="24">
        <f t="shared" ref="K4034:K4097" si="318">ROUND(H4034*0.18,2)</f>
        <v>1.94</v>
      </c>
      <c r="L4034" s="24">
        <f t="shared" ref="L4034:L4097" si="319">ROUND(D4034+E4034-H4034-K4034,2)</f>
        <v>0</v>
      </c>
    </row>
    <row r="4035" spans="1:12" ht="15" customHeight="1" x14ac:dyDescent="0.3">
      <c r="A4035" s="23" t="s">
        <v>17250</v>
      </c>
      <c r="B4035" s="23" t="s">
        <v>75</v>
      </c>
      <c r="C4035" s="39">
        <v>1799</v>
      </c>
      <c r="D4035" s="24">
        <v>0</v>
      </c>
      <c r="E4035" s="24">
        <v>0</v>
      </c>
      <c r="F4035" s="23">
        <f>COUNTIFS(mdr_rate_cleaned!$A$2:$A$10,B4035,mdr_rate_cleaned!$B$2:$B$10,"&lt;"&amp;C4035,mdr_rate_cleaned!$F$2:$F$10,"&gt;="&amp;C4035)</f>
        <v>1</v>
      </c>
      <c r="G4035" s="40">
        <f>SUMIFS(mdr_rate_cleaned!$G$2:$G$10,mdr_rate_cleaned!$A$2:$A$10,B4035,mdr_rate_cleaned!$B$2:$B$10,"&lt;"&amp;C4035,mdr_rate_cleaned!$F$2:$F$10,"&gt;="&amp;C4035)</f>
        <v>0</v>
      </c>
      <c r="H4035" s="24">
        <f t="shared" si="315"/>
        <v>0</v>
      </c>
      <c r="I4035" s="23" t="str">
        <f t="shared" si="316"/>
        <v>Match</v>
      </c>
      <c r="J4035" s="23" t="str">
        <f t="shared" si="317"/>
        <v>Match</v>
      </c>
      <c r="K4035" s="24">
        <f t="shared" si="318"/>
        <v>0</v>
      </c>
      <c r="L4035" s="24">
        <f t="shared" si="319"/>
        <v>0</v>
      </c>
    </row>
    <row r="4036" spans="1:12" ht="15" customHeight="1" x14ac:dyDescent="0.3">
      <c r="A4036" s="23" t="s">
        <v>17251</v>
      </c>
      <c r="B4036" s="23" t="s">
        <v>75</v>
      </c>
      <c r="C4036" s="39">
        <v>799</v>
      </c>
      <c r="D4036" s="24">
        <v>0</v>
      </c>
      <c r="E4036" s="24">
        <v>0</v>
      </c>
      <c r="F4036" s="23">
        <f>COUNTIFS(mdr_rate_cleaned!$A$2:$A$10,B4036,mdr_rate_cleaned!$B$2:$B$10,"&lt;"&amp;C4036,mdr_rate_cleaned!$F$2:$F$10,"&gt;="&amp;C4036)</f>
        <v>1</v>
      </c>
      <c r="G4036" s="40">
        <f>SUMIFS(mdr_rate_cleaned!$G$2:$G$10,mdr_rate_cleaned!$A$2:$A$10,B4036,mdr_rate_cleaned!$B$2:$B$10,"&lt;"&amp;C4036,mdr_rate_cleaned!$F$2:$F$10,"&gt;="&amp;C4036)</f>
        <v>0</v>
      </c>
      <c r="H4036" s="24">
        <f t="shared" si="315"/>
        <v>0</v>
      </c>
      <c r="I4036" s="23" t="str">
        <f t="shared" si="316"/>
        <v>Match</v>
      </c>
      <c r="J4036" s="23" t="str">
        <f t="shared" si="317"/>
        <v>Match</v>
      </c>
      <c r="K4036" s="24">
        <f t="shared" si="318"/>
        <v>0</v>
      </c>
      <c r="L4036" s="24">
        <f t="shared" si="319"/>
        <v>0</v>
      </c>
    </row>
    <row r="4037" spans="1:12" ht="15" customHeight="1" x14ac:dyDescent="0.3">
      <c r="A4037" s="23" t="s">
        <v>17252</v>
      </c>
      <c r="B4037" s="23" t="s">
        <v>75</v>
      </c>
      <c r="C4037" s="39">
        <v>499</v>
      </c>
      <c r="D4037" s="24">
        <v>0</v>
      </c>
      <c r="E4037" s="24">
        <v>0</v>
      </c>
      <c r="F4037" s="23">
        <f>COUNTIFS(mdr_rate_cleaned!$A$2:$A$10,B4037,mdr_rate_cleaned!$B$2:$B$10,"&lt;"&amp;C4037,mdr_rate_cleaned!$F$2:$F$10,"&gt;="&amp;C4037)</f>
        <v>1</v>
      </c>
      <c r="G4037" s="40">
        <f>SUMIFS(mdr_rate_cleaned!$G$2:$G$10,mdr_rate_cleaned!$A$2:$A$10,B4037,mdr_rate_cleaned!$B$2:$B$10,"&lt;"&amp;C4037,mdr_rate_cleaned!$F$2:$F$10,"&gt;="&amp;C4037)</f>
        <v>0</v>
      </c>
      <c r="H4037" s="24">
        <f t="shared" si="315"/>
        <v>0</v>
      </c>
      <c r="I4037" s="23" t="str">
        <f t="shared" si="316"/>
        <v>Match</v>
      </c>
      <c r="J4037" s="23" t="str">
        <f t="shared" si="317"/>
        <v>Match</v>
      </c>
      <c r="K4037" s="24">
        <f t="shared" si="318"/>
        <v>0</v>
      </c>
      <c r="L4037" s="24">
        <f t="shared" si="319"/>
        <v>0</v>
      </c>
    </row>
    <row r="4038" spans="1:12" ht="15" customHeight="1" x14ac:dyDescent="0.3">
      <c r="A4038" s="23" t="s">
        <v>17253</v>
      </c>
      <c r="B4038" s="23" t="s">
        <v>75</v>
      </c>
      <c r="C4038" s="39">
        <v>9297</v>
      </c>
      <c r="D4038" s="24">
        <v>27.89</v>
      </c>
      <c r="E4038" s="24">
        <v>5.0199999999999996</v>
      </c>
      <c r="F4038" s="23">
        <f>COUNTIFS(mdr_rate_cleaned!$A$2:$A$10,B4038,mdr_rate_cleaned!$B$2:$B$10,"&lt;"&amp;C4038,mdr_rate_cleaned!$F$2:$F$10,"&gt;="&amp;C4038)</f>
        <v>1</v>
      </c>
      <c r="G4038" s="40">
        <f>SUMIFS(mdr_rate_cleaned!$G$2:$G$10,mdr_rate_cleaned!$A$2:$A$10,B4038,mdr_rate_cleaned!$B$2:$B$10,"&lt;"&amp;C4038,mdr_rate_cleaned!$F$2:$F$10,"&gt;="&amp;C4038)</f>
        <v>3.0000000000000001E-3</v>
      </c>
      <c r="H4038" s="24">
        <f t="shared" si="315"/>
        <v>27.89</v>
      </c>
      <c r="I4038" s="23" t="str">
        <f t="shared" si="316"/>
        <v>Match</v>
      </c>
      <c r="J4038" s="23" t="str">
        <f t="shared" si="317"/>
        <v>Match</v>
      </c>
      <c r="K4038" s="24">
        <f t="shared" si="318"/>
        <v>5.0199999999999996</v>
      </c>
      <c r="L4038" s="24">
        <f t="shared" si="319"/>
        <v>0</v>
      </c>
    </row>
    <row r="4039" spans="1:12" ht="15" customHeight="1" x14ac:dyDescent="0.3">
      <c r="A4039" s="23" t="s">
        <v>17254</v>
      </c>
      <c r="B4039" s="23" t="s">
        <v>79</v>
      </c>
      <c r="C4039" s="39">
        <v>6498</v>
      </c>
      <c r="D4039" s="24">
        <v>103.97</v>
      </c>
      <c r="E4039" s="24">
        <v>18.71</v>
      </c>
      <c r="F4039" s="23">
        <f>COUNTIFS(mdr_rate_cleaned!$A$2:$A$10,B4039,mdr_rate_cleaned!$B$2:$B$10,"&lt;"&amp;C4039,mdr_rate_cleaned!$F$2:$F$10,"&gt;="&amp;C4039)</f>
        <v>1</v>
      </c>
      <c r="G4039" s="40">
        <f>SUMIFS(mdr_rate_cleaned!$G$2:$G$10,mdr_rate_cleaned!$A$2:$A$10,B4039,mdr_rate_cleaned!$B$2:$B$10,"&lt;"&amp;C4039,mdr_rate_cleaned!$F$2:$F$10,"&gt;="&amp;C4039)</f>
        <v>1.6E-2</v>
      </c>
      <c r="H4039" s="24">
        <f t="shared" si="315"/>
        <v>103.97</v>
      </c>
      <c r="I4039" s="23" t="str">
        <f t="shared" si="316"/>
        <v>Match</v>
      </c>
      <c r="J4039" s="23" t="str">
        <f t="shared" si="317"/>
        <v>Match</v>
      </c>
      <c r="K4039" s="24">
        <f t="shared" si="318"/>
        <v>18.71</v>
      </c>
      <c r="L4039" s="24">
        <f t="shared" si="319"/>
        <v>0</v>
      </c>
    </row>
    <row r="4040" spans="1:12" ht="15" customHeight="1" x14ac:dyDescent="0.3">
      <c r="A4040" s="23" t="s">
        <v>17255</v>
      </c>
      <c r="B4040" s="23" t="s">
        <v>75</v>
      </c>
      <c r="C4040" s="39">
        <v>1799</v>
      </c>
      <c r="D4040" s="24">
        <v>0</v>
      </c>
      <c r="E4040" s="24">
        <v>0</v>
      </c>
      <c r="F4040" s="23">
        <f>COUNTIFS(mdr_rate_cleaned!$A$2:$A$10,B4040,mdr_rate_cleaned!$B$2:$B$10,"&lt;"&amp;C4040,mdr_rate_cleaned!$F$2:$F$10,"&gt;="&amp;C4040)</f>
        <v>1</v>
      </c>
      <c r="G4040" s="40">
        <f>SUMIFS(mdr_rate_cleaned!$G$2:$G$10,mdr_rate_cleaned!$A$2:$A$10,B4040,mdr_rate_cleaned!$B$2:$B$10,"&lt;"&amp;C4040,mdr_rate_cleaned!$F$2:$F$10,"&gt;="&amp;C4040)</f>
        <v>0</v>
      </c>
      <c r="H4040" s="24">
        <f t="shared" si="315"/>
        <v>0</v>
      </c>
      <c r="I4040" s="23" t="str">
        <f t="shared" si="316"/>
        <v>Match</v>
      </c>
      <c r="J4040" s="23" t="str">
        <f t="shared" si="317"/>
        <v>Match</v>
      </c>
      <c r="K4040" s="24">
        <f t="shared" si="318"/>
        <v>0</v>
      </c>
      <c r="L4040" s="24">
        <f t="shared" si="319"/>
        <v>0</v>
      </c>
    </row>
    <row r="4041" spans="1:12" ht="15" customHeight="1" x14ac:dyDescent="0.3">
      <c r="A4041" s="23" t="s">
        <v>17256</v>
      </c>
      <c r="B4041" s="23" t="s">
        <v>81</v>
      </c>
      <c r="C4041" s="39">
        <v>499</v>
      </c>
      <c r="D4041" s="24">
        <v>7.49</v>
      </c>
      <c r="E4041" s="24">
        <v>1.35</v>
      </c>
      <c r="F4041" s="23">
        <f>COUNTIFS(mdr_rate_cleaned!$A$2:$A$10,B4041,mdr_rate_cleaned!$B$2:$B$10,"&lt;"&amp;C4041,mdr_rate_cleaned!$F$2:$F$10,"&gt;="&amp;C4041)</f>
        <v>1</v>
      </c>
      <c r="G4041" s="40">
        <f>SUMIFS(mdr_rate_cleaned!$G$2:$G$10,mdr_rate_cleaned!$A$2:$A$10,B4041,mdr_rate_cleaned!$B$2:$B$10,"&lt;"&amp;C4041,mdr_rate_cleaned!$F$2:$F$10,"&gt;="&amp;C4041)</f>
        <v>1.4999999999999999E-2</v>
      </c>
      <c r="H4041" s="24">
        <f t="shared" si="315"/>
        <v>7.49</v>
      </c>
      <c r="I4041" s="23" t="str">
        <f t="shared" si="316"/>
        <v>Match</v>
      </c>
      <c r="J4041" s="23" t="str">
        <f t="shared" si="317"/>
        <v>Match</v>
      </c>
      <c r="K4041" s="24">
        <f t="shared" si="318"/>
        <v>1.35</v>
      </c>
      <c r="L4041" s="24">
        <f t="shared" si="319"/>
        <v>0</v>
      </c>
    </row>
    <row r="4042" spans="1:12" ht="15" customHeight="1" x14ac:dyDescent="0.3">
      <c r="A4042" s="23" t="s">
        <v>17257</v>
      </c>
      <c r="B4042" s="23" t="s">
        <v>75</v>
      </c>
      <c r="C4042" s="39">
        <v>4999</v>
      </c>
      <c r="D4042" s="24">
        <v>15</v>
      </c>
      <c r="E4042" s="24">
        <v>2.7</v>
      </c>
      <c r="F4042" s="23">
        <f>COUNTIFS(mdr_rate_cleaned!$A$2:$A$10,B4042,mdr_rate_cleaned!$B$2:$B$10,"&lt;"&amp;C4042,mdr_rate_cleaned!$F$2:$F$10,"&gt;="&amp;C4042)</f>
        <v>1</v>
      </c>
      <c r="G4042" s="40">
        <f>SUMIFS(mdr_rate_cleaned!$G$2:$G$10,mdr_rate_cleaned!$A$2:$A$10,B4042,mdr_rate_cleaned!$B$2:$B$10,"&lt;"&amp;C4042,mdr_rate_cleaned!$F$2:$F$10,"&gt;="&amp;C4042)</f>
        <v>3.0000000000000001E-3</v>
      </c>
      <c r="H4042" s="24">
        <f t="shared" si="315"/>
        <v>15</v>
      </c>
      <c r="I4042" s="23" t="str">
        <f t="shared" si="316"/>
        <v>Match</v>
      </c>
      <c r="J4042" s="23" t="str">
        <f t="shared" si="317"/>
        <v>Match</v>
      </c>
      <c r="K4042" s="24">
        <f t="shared" si="318"/>
        <v>2.7</v>
      </c>
      <c r="L4042" s="24">
        <f t="shared" si="319"/>
        <v>0</v>
      </c>
    </row>
    <row r="4043" spans="1:12" ht="15" customHeight="1" x14ac:dyDescent="0.3">
      <c r="A4043" s="23" t="s">
        <v>17258</v>
      </c>
      <c r="B4043" s="23" t="s">
        <v>79</v>
      </c>
      <c r="C4043" s="39">
        <v>8248</v>
      </c>
      <c r="D4043" s="24">
        <v>131.97</v>
      </c>
      <c r="E4043" s="24">
        <v>23.75</v>
      </c>
      <c r="F4043" s="23">
        <f>COUNTIFS(mdr_rate_cleaned!$A$2:$A$10,B4043,mdr_rate_cleaned!$B$2:$B$10,"&lt;"&amp;C4043,mdr_rate_cleaned!$F$2:$F$10,"&gt;="&amp;C4043)</f>
        <v>1</v>
      </c>
      <c r="G4043" s="40">
        <f>SUMIFS(mdr_rate_cleaned!$G$2:$G$10,mdr_rate_cleaned!$A$2:$A$10,B4043,mdr_rate_cleaned!$B$2:$B$10,"&lt;"&amp;C4043,mdr_rate_cleaned!$F$2:$F$10,"&gt;="&amp;C4043)</f>
        <v>1.6E-2</v>
      </c>
      <c r="H4043" s="24">
        <f t="shared" si="315"/>
        <v>131.97</v>
      </c>
      <c r="I4043" s="23" t="str">
        <f t="shared" si="316"/>
        <v>Match</v>
      </c>
      <c r="J4043" s="23" t="str">
        <f t="shared" si="317"/>
        <v>Match</v>
      </c>
      <c r="K4043" s="24">
        <f t="shared" si="318"/>
        <v>23.75</v>
      </c>
      <c r="L4043" s="24">
        <f t="shared" si="319"/>
        <v>0</v>
      </c>
    </row>
    <row r="4044" spans="1:12" ht="15" customHeight="1" x14ac:dyDescent="0.3">
      <c r="A4044" s="23" t="s">
        <v>17259</v>
      </c>
      <c r="B4044" s="23" t="s">
        <v>75</v>
      </c>
      <c r="C4044" s="39">
        <v>299</v>
      </c>
      <c r="D4044" s="24">
        <v>0</v>
      </c>
      <c r="E4044" s="24">
        <v>0</v>
      </c>
      <c r="F4044" s="23">
        <f>COUNTIFS(mdr_rate_cleaned!$A$2:$A$10,B4044,mdr_rate_cleaned!$B$2:$B$10,"&lt;"&amp;C4044,mdr_rate_cleaned!$F$2:$F$10,"&gt;="&amp;C4044)</f>
        <v>1</v>
      </c>
      <c r="G4044" s="40">
        <f>SUMIFS(mdr_rate_cleaned!$G$2:$G$10,mdr_rate_cleaned!$A$2:$A$10,B4044,mdr_rate_cleaned!$B$2:$B$10,"&lt;"&amp;C4044,mdr_rate_cleaned!$F$2:$F$10,"&gt;="&amp;C4044)</f>
        <v>0</v>
      </c>
      <c r="H4044" s="24">
        <f t="shared" si="315"/>
        <v>0</v>
      </c>
      <c r="I4044" s="23" t="str">
        <f t="shared" si="316"/>
        <v>Match</v>
      </c>
      <c r="J4044" s="23" t="str">
        <f t="shared" si="317"/>
        <v>Match</v>
      </c>
      <c r="K4044" s="24">
        <f t="shared" si="318"/>
        <v>0</v>
      </c>
      <c r="L4044" s="24">
        <f t="shared" si="319"/>
        <v>0</v>
      </c>
    </row>
    <row r="4045" spans="1:12" ht="15" customHeight="1" x14ac:dyDescent="0.3">
      <c r="A4045" s="23" t="s">
        <v>17260</v>
      </c>
      <c r="B4045" s="23" t="s">
        <v>75</v>
      </c>
      <c r="C4045" s="39">
        <v>5998</v>
      </c>
      <c r="D4045" s="24">
        <v>17.989999999999998</v>
      </c>
      <c r="E4045" s="24">
        <v>3.24</v>
      </c>
      <c r="F4045" s="23">
        <f>COUNTIFS(mdr_rate_cleaned!$A$2:$A$10,B4045,mdr_rate_cleaned!$B$2:$B$10,"&lt;"&amp;C4045,mdr_rate_cleaned!$F$2:$F$10,"&gt;="&amp;C4045)</f>
        <v>1</v>
      </c>
      <c r="G4045" s="40">
        <f>SUMIFS(mdr_rate_cleaned!$G$2:$G$10,mdr_rate_cleaned!$A$2:$A$10,B4045,mdr_rate_cleaned!$B$2:$B$10,"&lt;"&amp;C4045,mdr_rate_cleaned!$F$2:$F$10,"&gt;="&amp;C4045)</f>
        <v>3.0000000000000001E-3</v>
      </c>
      <c r="H4045" s="24">
        <f t="shared" si="315"/>
        <v>17.989999999999998</v>
      </c>
      <c r="I4045" s="23" t="str">
        <f t="shared" si="316"/>
        <v>Match</v>
      </c>
      <c r="J4045" s="23" t="str">
        <f t="shared" si="317"/>
        <v>Match</v>
      </c>
      <c r="K4045" s="24">
        <f t="shared" si="318"/>
        <v>3.24</v>
      </c>
      <c r="L4045" s="24">
        <f t="shared" si="319"/>
        <v>0</v>
      </c>
    </row>
    <row r="4046" spans="1:12" ht="15" customHeight="1" x14ac:dyDescent="0.3">
      <c r="A4046" s="23" t="s">
        <v>17261</v>
      </c>
      <c r="B4046" s="23" t="s">
        <v>75</v>
      </c>
      <c r="C4046" s="39">
        <v>798</v>
      </c>
      <c r="D4046" s="24">
        <v>0</v>
      </c>
      <c r="E4046" s="24">
        <v>0</v>
      </c>
      <c r="F4046" s="23">
        <f>COUNTIFS(mdr_rate_cleaned!$A$2:$A$10,B4046,mdr_rate_cleaned!$B$2:$B$10,"&lt;"&amp;C4046,mdr_rate_cleaned!$F$2:$F$10,"&gt;="&amp;C4046)</f>
        <v>1</v>
      </c>
      <c r="G4046" s="40">
        <f>SUMIFS(mdr_rate_cleaned!$G$2:$G$10,mdr_rate_cleaned!$A$2:$A$10,B4046,mdr_rate_cleaned!$B$2:$B$10,"&lt;"&amp;C4046,mdr_rate_cleaned!$F$2:$F$10,"&gt;="&amp;C4046)</f>
        <v>0</v>
      </c>
      <c r="H4046" s="24">
        <f t="shared" si="315"/>
        <v>0</v>
      </c>
      <c r="I4046" s="23" t="str">
        <f t="shared" si="316"/>
        <v>Match</v>
      </c>
      <c r="J4046" s="23" t="str">
        <f t="shared" si="317"/>
        <v>Match</v>
      </c>
      <c r="K4046" s="24">
        <f t="shared" si="318"/>
        <v>0</v>
      </c>
      <c r="L4046" s="24">
        <f t="shared" si="319"/>
        <v>0</v>
      </c>
    </row>
    <row r="4047" spans="1:12" ht="15" customHeight="1" x14ac:dyDescent="0.3">
      <c r="A4047" s="23" t="s">
        <v>17262</v>
      </c>
      <c r="B4047" s="23" t="s">
        <v>75</v>
      </c>
      <c r="C4047" s="39">
        <v>5298</v>
      </c>
      <c r="D4047" s="24">
        <v>15.89</v>
      </c>
      <c r="E4047" s="24">
        <v>2.86</v>
      </c>
      <c r="F4047" s="23">
        <f>COUNTIFS(mdr_rate_cleaned!$A$2:$A$10,B4047,mdr_rate_cleaned!$B$2:$B$10,"&lt;"&amp;C4047,mdr_rate_cleaned!$F$2:$F$10,"&gt;="&amp;C4047)</f>
        <v>1</v>
      </c>
      <c r="G4047" s="40">
        <f>SUMIFS(mdr_rate_cleaned!$G$2:$G$10,mdr_rate_cleaned!$A$2:$A$10,B4047,mdr_rate_cleaned!$B$2:$B$10,"&lt;"&amp;C4047,mdr_rate_cleaned!$F$2:$F$10,"&gt;="&amp;C4047)</f>
        <v>3.0000000000000001E-3</v>
      </c>
      <c r="H4047" s="24">
        <f t="shared" si="315"/>
        <v>15.89</v>
      </c>
      <c r="I4047" s="23" t="str">
        <f t="shared" si="316"/>
        <v>Match</v>
      </c>
      <c r="J4047" s="23" t="str">
        <f t="shared" si="317"/>
        <v>Match</v>
      </c>
      <c r="K4047" s="24">
        <f t="shared" si="318"/>
        <v>2.86</v>
      </c>
      <c r="L4047" s="24">
        <f t="shared" si="319"/>
        <v>0</v>
      </c>
    </row>
    <row r="4048" spans="1:12" ht="15" customHeight="1" x14ac:dyDescent="0.3">
      <c r="A4048" s="23" t="s">
        <v>17263</v>
      </c>
      <c r="B4048" s="23" t="s">
        <v>77</v>
      </c>
      <c r="C4048" s="39">
        <v>3499</v>
      </c>
      <c r="D4048" s="24">
        <v>59.48</v>
      </c>
      <c r="E4048" s="24">
        <v>10.71</v>
      </c>
      <c r="F4048" s="23">
        <f>COUNTIFS(mdr_rate_cleaned!$A$2:$A$10,B4048,mdr_rate_cleaned!$B$2:$B$10,"&lt;"&amp;C4048,mdr_rate_cleaned!$F$2:$F$10,"&gt;="&amp;C4048)</f>
        <v>1</v>
      </c>
      <c r="G4048" s="40">
        <f>SUMIFS(mdr_rate_cleaned!$G$2:$G$10,mdr_rate_cleaned!$A$2:$A$10,B4048,mdr_rate_cleaned!$B$2:$B$10,"&lt;"&amp;C4048,mdr_rate_cleaned!$F$2:$F$10,"&gt;="&amp;C4048)</f>
        <v>1.7000000000000001E-2</v>
      </c>
      <c r="H4048" s="24">
        <f t="shared" si="315"/>
        <v>59.48</v>
      </c>
      <c r="I4048" s="23" t="str">
        <f t="shared" si="316"/>
        <v>Match</v>
      </c>
      <c r="J4048" s="23" t="str">
        <f t="shared" si="317"/>
        <v>Match</v>
      </c>
      <c r="K4048" s="24">
        <f t="shared" si="318"/>
        <v>10.71</v>
      </c>
      <c r="L4048" s="24">
        <f t="shared" si="319"/>
        <v>0</v>
      </c>
    </row>
    <row r="4049" spans="1:12" ht="15" customHeight="1" x14ac:dyDescent="0.3">
      <c r="A4049" s="23" t="s">
        <v>17264</v>
      </c>
      <c r="B4049" s="23" t="s">
        <v>77</v>
      </c>
      <c r="C4049" s="39">
        <v>4297</v>
      </c>
      <c r="D4049" s="24">
        <v>73.05</v>
      </c>
      <c r="E4049" s="24">
        <v>13.15</v>
      </c>
      <c r="F4049" s="23">
        <f>COUNTIFS(mdr_rate_cleaned!$A$2:$A$10,B4049,mdr_rate_cleaned!$B$2:$B$10,"&lt;"&amp;C4049,mdr_rate_cleaned!$F$2:$F$10,"&gt;="&amp;C4049)</f>
        <v>1</v>
      </c>
      <c r="G4049" s="40">
        <f>SUMIFS(mdr_rate_cleaned!$G$2:$G$10,mdr_rate_cleaned!$A$2:$A$10,B4049,mdr_rate_cleaned!$B$2:$B$10,"&lt;"&amp;C4049,mdr_rate_cleaned!$F$2:$F$10,"&gt;="&amp;C4049)</f>
        <v>1.7000000000000001E-2</v>
      </c>
      <c r="H4049" s="24">
        <f t="shared" si="315"/>
        <v>73.05</v>
      </c>
      <c r="I4049" s="23" t="str">
        <f t="shared" si="316"/>
        <v>Match</v>
      </c>
      <c r="J4049" s="23" t="str">
        <f t="shared" si="317"/>
        <v>Match</v>
      </c>
      <c r="K4049" s="24">
        <f t="shared" si="318"/>
        <v>13.15</v>
      </c>
      <c r="L4049" s="24">
        <f t="shared" si="319"/>
        <v>0</v>
      </c>
    </row>
    <row r="4050" spans="1:12" ht="15" customHeight="1" x14ac:dyDescent="0.3">
      <c r="A4050" s="23" t="s">
        <v>17265</v>
      </c>
      <c r="B4050" s="23" t="s">
        <v>79</v>
      </c>
      <c r="C4050" s="39">
        <v>299</v>
      </c>
      <c r="D4050" s="24">
        <v>5.38</v>
      </c>
      <c r="E4050" s="24">
        <v>0.97</v>
      </c>
      <c r="F4050" s="23">
        <f>COUNTIFS(mdr_rate_cleaned!$A$2:$A$10,B4050,mdr_rate_cleaned!$B$2:$B$10,"&lt;"&amp;C4050,mdr_rate_cleaned!$F$2:$F$10,"&gt;="&amp;C4050)</f>
        <v>1</v>
      </c>
      <c r="G4050" s="40">
        <f>SUMIFS(mdr_rate_cleaned!$G$2:$G$10,mdr_rate_cleaned!$A$2:$A$10,B4050,mdr_rate_cleaned!$B$2:$B$10,"&lt;"&amp;C4050,mdr_rate_cleaned!$F$2:$F$10,"&gt;="&amp;C4050)</f>
        <v>1.8000000000000002E-2</v>
      </c>
      <c r="H4050" s="24">
        <f t="shared" si="315"/>
        <v>5.38</v>
      </c>
      <c r="I4050" s="23" t="str">
        <f t="shared" si="316"/>
        <v>Match</v>
      </c>
      <c r="J4050" s="23" t="str">
        <f t="shared" si="317"/>
        <v>Match</v>
      </c>
      <c r="K4050" s="24">
        <f t="shared" si="318"/>
        <v>0.97</v>
      </c>
      <c r="L4050" s="24">
        <f t="shared" si="319"/>
        <v>0</v>
      </c>
    </row>
    <row r="4051" spans="1:12" ht="15" customHeight="1" x14ac:dyDescent="0.3">
      <c r="A4051" s="23" t="s">
        <v>17266</v>
      </c>
      <c r="B4051" s="23" t="s">
        <v>81</v>
      </c>
      <c r="C4051" s="39">
        <v>12297</v>
      </c>
      <c r="D4051" s="24">
        <v>110.67</v>
      </c>
      <c r="E4051" s="24">
        <v>19.920000000000002</v>
      </c>
      <c r="F4051" s="23">
        <f>COUNTIFS(mdr_rate_cleaned!$A$2:$A$10,B4051,mdr_rate_cleaned!$B$2:$B$10,"&lt;"&amp;C4051,mdr_rate_cleaned!$F$2:$F$10,"&gt;="&amp;C4051)</f>
        <v>1</v>
      </c>
      <c r="G4051" s="40">
        <f>SUMIFS(mdr_rate_cleaned!$G$2:$G$10,mdr_rate_cleaned!$A$2:$A$10,B4051,mdr_rate_cleaned!$B$2:$B$10,"&lt;"&amp;C4051,mdr_rate_cleaned!$F$2:$F$10,"&gt;="&amp;C4051)</f>
        <v>9.0000000000000011E-3</v>
      </c>
      <c r="H4051" s="24">
        <f t="shared" si="315"/>
        <v>110.67</v>
      </c>
      <c r="I4051" s="23" t="str">
        <f t="shared" si="316"/>
        <v>Match</v>
      </c>
      <c r="J4051" s="23" t="str">
        <f t="shared" si="317"/>
        <v>Match</v>
      </c>
      <c r="K4051" s="24">
        <f t="shared" si="318"/>
        <v>19.920000000000002</v>
      </c>
      <c r="L4051" s="24">
        <f t="shared" si="319"/>
        <v>0</v>
      </c>
    </row>
    <row r="4052" spans="1:12" ht="15" customHeight="1" x14ac:dyDescent="0.3">
      <c r="A4052" s="23" t="s">
        <v>17268</v>
      </c>
      <c r="B4052" s="23" t="s">
        <v>79</v>
      </c>
      <c r="C4052" s="39">
        <v>4498</v>
      </c>
      <c r="D4052" s="24">
        <v>71.97</v>
      </c>
      <c r="E4052" s="24">
        <v>12.95</v>
      </c>
      <c r="F4052" s="23">
        <f>COUNTIFS(mdr_rate_cleaned!$A$2:$A$10,B4052,mdr_rate_cleaned!$B$2:$B$10,"&lt;"&amp;C4052,mdr_rate_cleaned!$F$2:$F$10,"&gt;="&amp;C4052)</f>
        <v>1</v>
      </c>
      <c r="G4052" s="40">
        <f>SUMIFS(mdr_rate_cleaned!$G$2:$G$10,mdr_rate_cleaned!$A$2:$A$10,B4052,mdr_rate_cleaned!$B$2:$B$10,"&lt;"&amp;C4052,mdr_rate_cleaned!$F$2:$F$10,"&gt;="&amp;C4052)</f>
        <v>1.6E-2</v>
      </c>
      <c r="H4052" s="24">
        <f t="shared" si="315"/>
        <v>71.97</v>
      </c>
      <c r="I4052" s="23" t="str">
        <f t="shared" si="316"/>
        <v>Match</v>
      </c>
      <c r="J4052" s="23" t="str">
        <f t="shared" si="317"/>
        <v>Match</v>
      </c>
      <c r="K4052" s="24">
        <f t="shared" si="318"/>
        <v>12.95</v>
      </c>
      <c r="L4052" s="24">
        <f t="shared" si="319"/>
        <v>0</v>
      </c>
    </row>
    <row r="4053" spans="1:12" ht="15" customHeight="1" x14ac:dyDescent="0.3">
      <c r="A4053" s="23" t="s">
        <v>17270</v>
      </c>
      <c r="B4053" s="23" t="s">
        <v>75</v>
      </c>
      <c r="C4053" s="39">
        <v>3397</v>
      </c>
      <c r="D4053" s="24">
        <v>10.19</v>
      </c>
      <c r="E4053" s="24">
        <v>1.83</v>
      </c>
      <c r="F4053" s="23">
        <f>COUNTIFS(mdr_rate_cleaned!$A$2:$A$10,B4053,mdr_rate_cleaned!$B$2:$B$10,"&lt;"&amp;C4053,mdr_rate_cleaned!$F$2:$F$10,"&gt;="&amp;C4053)</f>
        <v>1</v>
      </c>
      <c r="G4053" s="40">
        <f>SUMIFS(mdr_rate_cleaned!$G$2:$G$10,mdr_rate_cleaned!$A$2:$A$10,B4053,mdr_rate_cleaned!$B$2:$B$10,"&lt;"&amp;C4053,mdr_rate_cleaned!$F$2:$F$10,"&gt;="&amp;C4053)</f>
        <v>3.0000000000000001E-3</v>
      </c>
      <c r="H4053" s="24">
        <f t="shared" si="315"/>
        <v>10.19</v>
      </c>
      <c r="I4053" s="23" t="str">
        <f t="shared" si="316"/>
        <v>Match</v>
      </c>
      <c r="J4053" s="23" t="str">
        <f t="shared" si="317"/>
        <v>Match</v>
      </c>
      <c r="K4053" s="24">
        <f t="shared" si="318"/>
        <v>1.83</v>
      </c>
      <c r="L4053" s="24">
        <f t="shared" si="319"/>
        <v>0</v>
      </c>
    </row>
    <row r="4054" spans="1:12" ht="15" customHeight="1" x14ac:dyDescent="0.3">
      <c r="A4054" s="23" t="s">
        <v>17272</v>
      </c>
      <c r="B4054" s="23" t="s">
        <v>77</v>
      </c>
      <c r="C4054" s="39">
        <v>5298</v>
      </c>
      <c r="D4054" s="24">
        <v>90.07</v>
      </c>
      <c r="E4054" s="24">
        <v>16.21</v>
      </c>
      <c r="F4054" s="23">
        <f>COUNTIFS(mdr_rate_cleaned!$A$2:$A$10,B4054,mdr_rate_cleaned!$B$2:$B$10,"&lt;"&amp;C4054,mdr_rate_cleaned!$F$2:$F$10,"&gt;="&amp;C4054)</f>
        <v>1</v>
      </c>
      <c r="G4054" s="40">
        <f>SUMIFS(mdr_rate_cleaned!$G$2:$G$10,mdr_rate_cleaned!$A$2:$A$10,B4054,mdr_rate_cleaned!$B$2:$B$10,"&lt;"&amp;C4054,mdr_rate_cleaned!$F$2:$F$10,"&gt;="&amp;C4054)</f>
        <v>1.7000000000000001E-2</v>
      </c>
      <c r="H4054" s="24">
        <f t="shared" si="315"/>
        <v>90.07</v>
      </c>
      <c r="I4054" s="23" t="str">
        <f t="shared" si="316"/>
        <v>Match</v>
      </c>
      <c r="J4054" s="23" t="str">
        <f t="shared" si="317"/>
        <v>Match</v>
      </c>
      <c r="K4054" s="24">
        <f t="shared" si="318"/>
        <v>16.21</v>
      </c>
      <c r="L4054" s="24">
        <f t="shared" si="319"/>
        <v>0</v>
      </c>
    </row>
    <row r="4055" spans="1:12" ht="15" customHeight="1" x14ac:dyDescent="0.3">
      <c r="A4055" s="23" t="s">
        <v>17274</v>
      </c>
      <c r="B4055" s="23" t="s">
        <v>81</v>
      </c>
      <c r="C4055" s="39">
        <v>3298</v>
      </c>
      <c r="D4055" s="24">
        <v>39.58</v>
      </c>
      <c r="E4055" s="24">
        <v>7.12</v>
      </c>
      <c r="F4055" s="23">
        <f>COUNTIFS(mdr_rate_cleaned!$A$2:$A$10,B4055,mdr_rate_cleaned!$B$2:$B$10,"&lt;"&amp;C4055,mdr_rate_cleaned!$F$2:$F$10,"&gt;="&amp;C4055)</f>
        <v>1</v>
      </c>
      <c r="G4055" s="40">
        <f>SUMIFS(mdr_rate_cleaned!$G$2:$G$10,mdr_rate_cleaned!$A$2:$A$10,B4055,mdr_rate_cleaned!$B$2:$B$10,"&lt;"&amp;C4055,mdr_rate_cleaned!$F$2:$F$10,"&gt;="&amp;C4055)</f>
        <v>1.2E-2</v>
      </c>
      <c r="H4055" s="24">
        <f t="shared" si="315"/>
        <v>39.58</v>
      </c>
      <c r="I4055" s="23" t="str">
        <f t="shared" si="316"/>
        <v>Match</v>
      </c>
      <c r="J4055" s="23" t="str">
        <f t="shared" si="317"/>
        <v>Match</v>
      </c>
      <c r="K4055" s="24">
        <f t="shared" si="318"/>
        <v>7.12</v>
      </c>
      <c r="L4055" s="24">
        <f t="shared" si="319"/>
        <v>0</v>
      </c>
    </row>
    <row r="4056" spans="1:12" ht="15" customHeight="1" x14ac:dyDescent="0.3">
      <c r="A4056" s="23" t="s">
        <v>17275</v>
      </c>
      <c r="B4056" s="23" t="s">
        <v>75</v>
      </c>
      <c r="C4056" s="39">
        <v>2647</v>
      </c>
      <c r="D4056" s="24">
        <v>7.94</v>
      </c>
      <c r="E4056" s="24">
        <v>1.43</v>
      </c>
      <c r="F4056" s="23">
        <f>COUNTIFS(mdr_rate_cleaned!$A$2:$A$10,B4056,mdr_rate_cleaned!$B$2:$B$10,"&lt;"&amp;C4056,mdr_rate_cleaned!$F$2:$F$10,"&gt;="&amp;C4056)</f>
        <v>1</v>
      </c>
      <c r="G4056" s="40">
        <f>SUMIFS(mdr_rate_cleaned!$G$2:$G$10,mdr_rate_cleaned!$A$2:$A$10,B4056,mdr_rate_cleaned!$B$2:$B$10,"&lt;"&amp;C4056,mdr_rate_cleaned!$F$2:$F$10,"&gt;="&amp;C4056)</f>
        <v>3.0000000000000001E-3</v>
      </c>
      <c r="H4056" s="24">
        <f t="shared" si="315"/>
        <v>7.94</v>
      </c>
      <c r="I4056" s="23" t="str">
        <f t="shared" si="316"/>
        <v>Match</v>
      </c>
      <c r="J4056" s="23" t="str">
        <f t="shared" si="317"/>
        <v>Match</v>
      </c>
      <c r="K4056" s="24">
        <f t="shared" si="318"/>
        <v>1.43</v>
      </c>
      <c r="L4056" s="24">
        <f t="shared" si="319"/>
        <v>0</v>
      </c>
    </row>
    <row r="4057" spans="1:12" ht="15" customHeight="1" x14ac:dyDescent="0.3">
      <c r="A4057" s="23" t="s">
        <v>17276</v>
      </c>
      <c r="B4057" s="23" t="s">
        <v>75</v>
      </c>
      <c r="C4057" s="39">
        <v>499</v>
      </c>
      <c r="D4057" s="24">
        <v>0</v>
      </c>
      <c r="E4057" s="24">
        <v>0</v>
      </c>
      <c r="F4057" s="23">
        <f>COUNTIFS(mdr_rate_cleaned!$A$2:$A$10,B4057,mdr_rate_cleaned!$B$2:$B$10,"&lt;"&amp;C4057,mdr_rate_cleaned!$F$2:$F$10,"&gt;="&amp;C4057)</f>
        <v>1</v>
      </c>
      <c r="G4057" s="40">
        <f>SUMIFS(mdr_rate_cleaned!$G$2:$G$10,mdr_rate_cleaned!$A$2:$A$10,B4057,mdr_rate_cleaned!$B$2:$B$10,"&lt;"&amp;C4057,mdr_rate_cleaned!$F$2:$F$10,"&gt;="&amp;C4057)</f>
        <v>0</v>
      </c>
      <c r="H4057" s="24">
        <f t="shared" si="315"/>
        <v>0</v>
      </c>
      <c r="I4057" s="23" t="str">
        <f t="shared" si="316"/>
        <v>Match</v>
      </c>
      <c r="J4057" s="23" t="str">
        <f t="shared" si="317"/>
        <v>Match</v>
      </c>
      <c r="K4057" s="24">
        <f t="shared" si="318"/>
        <v>0</v>
      </c>
      <c r="L4057" s="24">
        <f t="shared" si="319"/>
        <v>0</v>
      </c>
    </row>
    <row r="4058" spans="1:12" ht="15" customHeight="1" x14ac:dyDescent="0.3">
      <c r="A4058" s="23" t="s">
        <v>17277</v>
      </c>
      <c r="B4058" s="23" t="s">
        <v>75</v>
      </c>
      <c r="C4058" s="39">
        <v>12097</v>
      </c>
      <c r="D4058" s="24">
        <v>36.29</v>
      </c>
      <c r="E4058" s="24">
        <v>6.53</v>
      </c>
      <c r="F4058" s="23">
        <f>COUNTIFS(mdr_rate_cleaned!$A$2:$A$10,B4058,mdr_rate_cleaned!$B$2:$B$10,"&lt;"&amp;C4058,mdr_rate_cleaned!$F$2:$F$10,"&gt;="&amp;C4058)</f>
        <v>1</v>
      </c>
      <c r="G4058" s="40">
        <f>SUMIFS(mdr_rate_cleaned!$G$2:$G$10,mdr_rate_cleaned!$A$2:$A$10,B4058,mdr_rate_cleaned!$B$2:$B$10,"&lt;"&amp;C4058,mdr_rate_cleaned!$F$2:$F$10,"&gt;="&amp;C4058)</f>
        <v>3.0000000000000001E-3</v>
      </c>
      <c r="H4058" s="24">
        <f t="shared" si="315"/>
        <v>36.29</v>
      </c>
      <c r="I4058" s="23" t="str">
        <f t="shared" si="316"/>
        <v>Match</v>
      </c>
      <c r="J4058" s="23" t="str">
        <f t="shared" si="317"/>
        <v>Match</v>
      </c>
      <c r="K4058" s="24">
        <f t="shared" si="318"/>
        <v>6.53</v>
      </c>
      <c r="L4058" s="24">
        <f t="shared" si="319"/>
        <v>0</v>
      </c>
    </row>
    <row r="4059" spans="1:12" ht="15" customHeight="1" x14ac:dyDescent="0.3">
      <c r="A4059" s="23" t="s">
        <v>17278</v>
      </c>
      <c r="B4059" s="23" t="s">
        <v>75</v>
      </c>
      <c r="C4059" s="39">
        <v>2499</v>
      </c>
      <c r="D4059" s="24">
        <v>7.5</v>
      </c>
      <c r="E4059" s="24">
        <v>1.35</v>
      </c>
      <c r="F4059" s="23">
        <f>COUNTIFS(mdr_rate_cleaned!$A$2:$A$10,B4059,mdr_rate_cleaned!$B$2:$B$10,"&lt;"&amp;C4059,mdr_rate_cleaned!$F$2:$F$10,"&gt;="&amp;C4059)</f>
        <v>1</v>
      </c>
      <c r="G4059" s="40">
        <f>SUMIFS(mdr_rate_cleaned!$G$2:$G$10,mdr_rate_cleaned!$A$2:$A$10,B4059,mdr_rate_cleaned!$B$2:$B$10,"&lt;"&amp;C4059,mdr_rate_cleaned!$F$2:$F$10,"&gt;="&amp;C4059)</f>
        <v>3.0000000000000001E-3</v>
      </c>
      <c r="H4059" s="24">
        <f t="shared" si="315"/>
        <v>7.5</v>
      </c>
      <c r="I4059" s="23" t="str">
        <f t="shared" si="316"/>
        <v>Match</v>
      </c>
      <c r="J4059" s="23" t="str">
        <f t="shared" si="317"/>
        <v>Match</v>
      </c>
      <c r="K4059" s="24">
        <f t="shared" si="318"/>
        <v>1.35</v>
      </c>
      <c r="L4059" s="24">
        <f t="shared" si="319"/>
        <v>0</v>
      </c>
    </row>
    <row r="4060" spans="1:12" ht="15" customHeight="1" x14ac:dyDescent="0.3">
      <c r="A4060" s="23" t="s">
        <v>17279</v>
      </c>
      <c r="B4060" s="23" t="s">
        <v>81</v>
      </c>
      <c r="C4060" s="39">
        <v>799</v>
      </c>
      <c r="D4060" s="24">
        <v>11.99</v>
      </c>
      <c r="E4060" s="24">
        <v>2.16</v>
      </c>
      <c r="F4060" s="23">
        <f>COUNTIFS(mdr_rate_cleaned!$A$2:$A$10,B4060,mdr_rate_cleaned!$B$2:$B$10,"&lt;"&amp;C4060,mdr_rate_cleaned!$F$2:$F$10,"&gt;="&amp;C4060)</f>
        <v>1</v>
      </c>
      <c r="G4060" s="40">
        <f>SUMIFS(mdr_rate_cleaned!$G$2:$G$10,mdr_rate_cleaned!$A$2:$A$10,B4060,mdr_rate_cleaned!$B$2:$B$10,"&lt;"&amp;C4060,mdr_rate_cleaned!$F$2:$F$10,"&gt;="&amp;C4060)</f>
        <v>1.4999999999999999E-2</v>
      </c>
      <c r="H4060" s="24">
        <f t="shared" si="315"/>
        <v>11.99</v>
      </c>
      <c r="I4060" s="23" t="str">
        <f t="shared" si="316"/>
        <v>Match</v>
      </c>
      <c r="J4060" s="23" t="str">
        <f t="shared" si="317"/>
        <v>Match</v>
      </c>
      <c r="K4060" s="24">
        <f t="shared" si="318"/>
        <v>2.16</v>
      </c>
      <c r="L4060" s="24">
        <f t="shared" si="319"/>
        <v>0</v>
      </c>
    </row>
    <row r="4061" spans="1:12" ht="15" customHeight="1" x14ac:dyDescent="0.3">
      <c r="A4061" s="23" t="s">
        <v>17280</v>
      </c>
      <c r="B4061" s="23" t="s">
        <v>77</v>
      </c>
      <c r="C4061" s="39">
        <v>9297</v>
      </c>
      <c r="D4061" s="24">
        <v>158.05000000000001</v>
      </c>
      <c r="E4061" s="24">
        <v>28.45</v>
      </c>
      <c r="F4061" s="23">
        <f>COUNTIFS(mdr_rate_cleaned!$A$2:$A$10,B4061,mdr_rate_cleaned!$B$2:$B$10,"&lt;"&amp;C4061,mdr_rate_cleaned!$F$2:$F$10,"&gt;="&amp;C4061)</f>
        <v>1</v>
      </c>
      <c r="G4061" s="40">
        <f>SUMIFS(mdr_rate_cleaned!$G$2:$G$10,mdr_rate_cleaned!$A$2:$A$10,B4061,mdr_rate_cleaned!$B$2:$B$10,"&lt;"&amp;C4061,mdr_rate_cleaned!$F$2:$F$10,"&gt;="&amp;C4061)</f>
        <v>1.7000000000000001E-2</v>
      </c>
      <c r="H4061" s="24">
        <f t="shared" si="315"/>
        <v>158.05000000000001</v>
      </c>
      <c r="I4061" s="23" t="str">
        <f t="shared" si="316"/>
        <v>Match</v>
      </c>
      <c r="J4061" s="23" t="str">
        <f t="shared" si="317"/>
        <v>Match</v>
      </c>
      <c r="K4061" s="24">
        <f t="shared" si="318"/>
        <v>28.45</v>
      </c>
      <c r="L4061" s="24">
        <f t="shared" si="319"/>
        <v>0</v>
      </c>
    </row>
    <row r="4062" spans="1:12" ht="15" customHeight="1" x14ac:dyDescent="0.3">
      <c r="A4062" s="23" t="s">
        <v>17281</v>
      </c>
      <c r="B4062" s="23" t="s">
        <v>79</v>
      </c>
      <c r="C4062" s="39">
        <v>2597</v>
      </c>
      <c r="D4062" s="24">
        <v>41.55</v>
      </c>
      <c r="E4062" s="24">
        <v>7.48</v>
      </c>
      <c r="F4062" s="23">
        <f>COUNTIFS(mdr_rate_cleaned!$A$2:$A$10,B4062,mdr_rate_cleaned!$B$2:$B$10,"&lt;"&amp;C4062,mdr_rate_cleaned!$F$2:$F$10,"&gt;="&amp;C4062)</f>
        <v>1</v>
      </c>
      <c r="G4062" s="40">
        <f>SUMIFS(mdr_rate_cleaned!$G$2:$G$10,mdr_rate_cleaned!$A$2:$A$10,B4062,mdr_rate_cleaned!$B$2:$B$10,"&lt;"&amp;C4062,mdr_rate_cleaned!$F$2:$F$10,"&gt;="&amp;C4062)</f>
        <v>1.6E-2</v>
      </c>
      <c r="H4062" s="24">
        <f t="shared" si="315"/>
        <v>41.55</v>
      </c>
      <c r="I4062" s="23" t="str">
        <f t="shared" si="316"/>
        <v>Match</v>
      </c>
      <c r="J4062" s="23" t="str">
        <f t="shared" si="317"/>
        <v>Match</v>
      </c>
      <c r="K4062" s="24">
        <f t="shared" si="318"/>
        <v>7.48</v>
      </c>
      <c r="L4062" s="24">
        <f t="shared" si="319"/>
        <v>0</v>
      </c>
    </row>
    <row r="4063" spans="1:12" ht="15" customHeight="1" x14ac:dyDescent="0.3">
      <c r="A4063" s="23" t="s">
        <v>17282</v>
      </c>
      <c r="B4063" s="23" t="s">
        <v>75</v>
      </c>
      <c r="C4063" s="39">
        <v>4798</v>
      </c>
      <c r="D4063" s="24">
        <v>14.39</v>
      </c>
      <c r="E4063" s="24">
        <v>2.59</v>
      </c>
      <c r="F4063" s="23">
        <f>COUNTIFS(mdr_rate_cleaned!$A$2:$A$10,B4063,mdr_rate_cleaned!$B$2:$B$10,"&lt;"&amp;C4063,mdr_rate_cleaned!$F$2:$F$10,"&gt;="&amp;C4063)</f>
        <v>1</v>
      </c>
      <c r="G4063" s="40">
        <f>SUMIFS(mdr_rate_cleaned!$G$2:$G$10,mdr_rate_cleaned!$A$2:$A$10,B4063,mdr_rate_cleaned!$B$2:$B$10,"&lt;"&amp;C4063,mdr_rate_cleaned!$F$2:$F$10,"&gt;="&amp;C4063)</f>
        <v>3.0000000000000001E-3</v>
      </c>
      <c r="H4063" s="24">
        <f t="shared" si="315"/>
        <v>14.39</v>
      </c>
      <c r="I4063" s="23" t="str">
        <f t="shared" si="316"/>
        <v>Match</v>
      </c>
      <c r="J4063" s="23" t="str">
        <f t="shared" si="317"/>
        <v>Match</v>
      </c>
      <c r="K4063" s="24">
        <f t="shared" si="318"/>
        <v>2.59</v>
      </c>
      <c r="L4063" s="24">
        <f t="shared" si="319"/>
        <v>0</v>
      </c>
    </row>
    <row r="4064" spans="1:12" ht="15" customHeight="1" x14ac:dyDescent="0.3">
      <c r="A4064" s="23" t="s">
        <v>17283</v>
      </c>
      <c r="B4064" s="23" t="s">
        <v>75</v>
      </c>
      <c r="C4064" s="39">
        <v>9197</v>
      </c>
      <c r="D4064" s="24">
        <v>27.59</v>
      </c>
      <c r="E4064" s="24">
        <v>4.97</v>
      </c>
      <c r="F4064" s="23">
        <f>COUNTIFS(mdr_rate_cleaned!$A$2:$A$10,B4064,mdr_rate_cleaned!$B$2:$B$10,"&lt;"&amp;C4064,mdr_rate_cleaned!$F$2:$F$10,"&gt;="&amp;C4064)</f>
        <v>1</v>
      </c>
      <c r="G4064" s="40">
        <f>SUMIFS(mdr_rate_cleaned!$G$2:$G$10,mdr_rate_cleaned!$A$2:$A$10,B4064,mdr_rate_cleaned!$B$2:$B$10,"&lt;"&amp;C4064,mdr_rate_cleaned!$F$2:$F$10,"&gt;="&amp;C4064)</f>
        <v>3.0000000000000001E-3</v>
      </c>
      <c r="H4064" s="24">
        <f t="shared" si="315"/>
        <v>27.59</v>
      </c>
      <c r="I4064" s="23" t="str">
        <f t="shared" si="316"/>
        <v>Match</v>
      </c>
      <c r="J4064" s="23" t="str">
        <f t="shared" si="317"/>
        <v>Match</v>
      </c>
      <c r="K4064" s="24">
        <f t="shared" si="318"/>
        <v>4.97</v>
      </c>
      <c r="L4064" s="24">
        <f t="shared" si="319"/>
        <v>0</v>
      </c>
    </row>
    <row r="4065" spans="1:12" ht="15" customHeight="1" x14ac:dyDescent="0.3">
      <c r="A4065" s="23" t="s">
        <v>17284</v>
      </c>
      <c r="B4065" s="23" t="s">
        <v>79</v>
      </c>
      <c r="C4065" s="39">
        <v>2897</v>
      </c>
      <c r="D4065" s="24">
        <v>46.35</v>
      </c>
      <c r="E4065" s="24">
        <v>8.34</v>
      </c>
      <c r="F4065" s="23">
        <f>COUNTIFS(mdr_rate_cleaned!$A$2:$A$10,B4065,mdr_rate_cleaned!$B$2:$B$10,"&lt;"&amp;C4065,mdr_rate_cleaned!$F$2:$F$10,"&gt;="&amp;C4065)</f>
        <v>1</v>
      </c>
      <c r="G4065" s="40">
        <f>SUMIFS(mdr_rate_cleaned!$G$2:$G$10,mdr_rate_cleaned!$A$2:$A$10,B4065,mdr_rate_cleaned!$B$2:$B$10,"&lt;"&amp;C4065,mdr_rate_cleaned!$F$2:$F$10,"&gt;="&amp;C4065)</f>
        <v>1.6E-2</v>
      </c>
      <c r="H4065" s="24">
        <f t="shared" si="315"/>
        <v>46.35</v>
      </c>
      <c r="I4065" s="23" t="str">
        <f t="shared" si="316"/>
        <v>Match</v>
      </c>
      <c r="J4065" s="23" t="str">
        <f t="shared" si="317"/>
        <v>Match</v>
      </c>
      <c r="K4065" s="24">
        <f t="shared" si="318"/>
        <v>8.34</v>
      </c>
      <c r="L4065" s="24">
        <f t="shared" si="319"/>
        <v>0</v>
      </c>
    </row>
    <row r="4066" spans="1:12" ht="15" customHeight="1" x14ac:dyDescent="0.3">
      <c r="A4066" s="23" t="s">
        <v>17285</v>
      </c>
      <c r="B4066" s="23" t="s">
        <v>77</v>
      </c>
      <c r="C4066" s="39">
        <v>2798</v>
      </c>
      <c r="D4066" s="24">
        <v>47.57</v>
      </c>
      <c r="E4066" s="24">
        <v>8.56</v>
      </c>
      <c r="F4066" s="23">
        <f>COUNTIFS(mdr_rate_cleaned!$A$2:$A$10,B4066,mdr_rate_cleaned!$B$2:$B$10,"&lt;"&amp;C4066,mdr_rate_cleaned!$F$2:$F$10,"&gt;="&amp;C4066)</f>
        <v>1</v>
      </c>
      <c r="G4066" s="40">
        <f>SUMIFS(mdr_rate_cleaned!$G$2:$G$10,mdr_rate_cleaned!$A$2:$A$10,B4066,mdr_rate_cleaned!$B$2:$B$10,"&lt;"&amp;C4066,mdr_rate_cleaned!$F$2:$F$10,"&gt;="&amp;C4066)</f>
        <v>1.7000000000000001E-2</v>
      </c>
      <c r="H4066" s="24">
        <f t="shared" si="315"/>
        <v>47.57</v>
      </c>
      <c r="I4066" s="23" t="str">
        <f t="shared" si="316"/>
        <v>Match</v>
      </c>
      <c r="J4066" s="23" t="str">
        <f t="shared" si="317"/>
        <v>Match</v>
      </c>
      <c r="K4066" s="24">
        <f t="shared" si="318"/>
        <v>8.56</v>
      </c>
      <c r="L4066" s="24">
        <f t="shared" si="319"/>
        <v>0</v>
      </c>
    </row>
    <row r="4067" spans="1:12" ht="15" customHeight="1" x14ac:dyDescent="0.3">
      <c r="A4067" s="23" t="s">
        <v>17287</v>
      </c>
      <c r="B4067" s="23" t="s">
        <v>79</v>
      </c>
      <c r="C4067" s="39">
        <v>3098</v>
      </c>
      <c r="D4067" s="24">
        <v>49.57</v>
      </c>
      <c r="E4067" s="24">
        <v>8.92</v>
      </c>
      <c r="F4067" s="23">
        <f>COUNTIFS(mdr_rate_cleaned!$A$2:$A$10,B4067,mdr_rate_cleaned!$B$2:$B$10,"&lt;"&amp;C4067,mdr_rate_cleaned!$F$2:$F$10,"&gt;="&amp;C4067)</f>
        <v>1</v>
      </c>
      <c r="G4067" s="40">
        <f>SUMIFS(mdr_rate_cleaned!$G$2:$G$10,mdr_rate_cleaned!$A$2:$A$10,B4067,mdr_rate_cleaned!$B$2:$B$10,"&lt;"&amp;C4067,mdr_rate_cleaned!$F$2:$F$10,"&gt;="&amp;C4067)</f>
        <v>1.6E-2</v>
      </c>
      <c r="H4067" s="24">
        <f t="shared" si="315"/>
        <v>49.57</v>
      </c>
      <c r="I4067" s="23" t="str">
        <f t="shared" si="316"/>
        <v>Match</v>
      </c>
      <c r="J4067" s="23" t="str">
        <f t="shared" si="317"/>
        <v>Match</v>
      </c>
      <c r="K4067" s="24">
        <f t="shared" si="318"/>
        <v>8.92</v>
      </c>
      <c r="L4067" s="24">
        <f t="shared" si="319"/>
        <v>0</v>
      </c>
    </row>
    <row r="4068" spans="1:12" ht="15" customHeight="1" x14ac:dyDescent="0.3">
      <c r="A4068" s="23" t="s">
        <v>17288</v>
      </c>
      <c r="B4068" s="23" t="s">
        <v>75</v>
      </c>
      <c r="C4068" s="39">
        <v>4397</v>
      </c>
      <c r="D4068" s="24">
        <v>13.19</v>
      </c>
      <c r="E4068" s="24">
        <v>2.37</v>
      </c>
      <c r="F4068" s="23">
        <f>COUNTIFS(mdr_rate_cleaned!$A$2:$A$10,B4068,mdr_rate_cleaned!$B$2:$B$10,"&lt;"&amp;C4068,mdr_rate_cleaned!$F$2:$F$10,"&gt;="&amp;C4068)</f>
        <v>1</v>
      </c>
      <c r="G4068" s="40">
        <f>SUMIFS(mdr_rate_cleaned!$G$2:$G$10,mdr_rate_cleaned!$A$2:$A$10,B4068,mdr_rate_cleaned!$B$2:$B$10,"&lt;"&amp;C4068,mdr_rate_cleaned!$F$2:$F$10,"&gt;="&amp;C4068)</f>
        <v>3.0000000000000001E-3</v>
      </c>
      <c r="H4068" s="24">
        <f t="shared" si="315"/>
        <v>13.19</v>
      </c>
      <c r="I4068" s="23" t="str">
        <f t="shared" si="316"/>
        <v>Match</v>
      </c>
      <c r="J4068" s="23" t="str">
        <f t="shared" si="317"/>
        <v>Match</v>
      </c>
      <c r="K4068" s="24">
        <f t="shared" si="318"/>
        <v>2.37</v>
      </c>
      <c r="L4068" s="24">
        <f t="shared" si="319"/>
        <v>0</v>
      </c>
    </row>
    <row r="4069" spans="1:12" ht="15" customHeight="1" x14ac:dyDescent="0.3">
      <c r="A4069" s="23" t="s">
        <v>17289</v>
      </c>
      <c r="B4069" s="23" t="s">
        <v>75</v>
      </c>
      <c r="C4069" s="39">
        <v>5298</v>
      </c>
      <c r="D4069" s="24">
        <v>15.89</v>
      </c>
      <c r="E4069" s="24">
        <v>2.86</v>
      </c>
      <c r="F4069" s="23">
        <f>COUNTIFS(mdr_rate_cleaned!$A$2:$A$10,B4069,mdr_rate_cleaned!$B$2:$B$10,"&lt;"&amp;C4069,mdr_rate_cleaned!$F$2:$F$10,"&gt;="&amp;C4069)</f>
        <v>1</v>
      </c>
      <c r="G4069" s="40">
        <f>SUMIFS(mdr_rate_cleaned!$G$2:$G$10,mdr_rate_cleaned!$A$2:$A$10,B4069,mdr_rate_cleaned!$B$2:$B$10,"&lt;"&amp;C4069,mdr_rate_cleaned!$F$2:$F$10,"&gt;="&amp;C4069)</f>
        <v>3.0000000000000001E-3</v>
      </c>
      <c r="H4069" s="24">
        <f t="shared" si="315"/>
        <v>15.89</v>
      </c>
      <c r="I4069" s="23" t="str">
        <f t="shared" si="316"/>
        <v>Match</v>
      </c>
      <c r="J4069" s="23" t="str">
        <f t="shared" si="317"/>
        <v>Match</v>
      </c>
      <c r="K4069" s="24">
        <f t="shared" si="318"/>
        <v>2.86</v>
      </c>
      <c r="L4069" s="24">
        <f t="shared" si="319"/>
        <v>0</v>
      </c>
    </row>
    <row r="4070" spans="1:12" ht="15" customHeight="1" x14ac:dyDescent="0.3">
      <c r="A4070" s="23" t="s">
        <v>17290</v>
      </c>
      <c r="B4070" s="23" t="s">
        <v>81</v>
      </c>
      <c r="C4070" s="39">
        <v>7999</v>
      </c>
      <c r="D4070" s="24">
        <v>95.99</v>
      </c>
      <c r="E4070" s="24">
        <v>17.28</v>
      </c>
      <c r="F4070" s="23">
        <f>COUNTIFS(mdr_rate_cleaned!$A$2:$A$10,B4070,mdr_rate_cleaned!$B$2:$B$10,"&lt;"&amp;C4070,mdr_rate_cleaned!$F$2:$F$10,"&gt;="&amp;C4070)</f>
        <v>1</v>
      </c>
      <c r="G4070" s="40">
        <f>SUMIFS(mdr_rate_cleaned!$G$2:$G$10,mdr_rate_cleaned!$A$2:$A$10,B4070,mdr_rate_cleaned!$B$2:$B$10,"&lt;"&amp;C4070,mdr_rate_cleaned!$F$2:$F$10,"&gt;="&amp;C4070)</f>
        <v>1.2E-2</v>
      </c>
      <c r="H4070" s="24">
        <f t="shared" si="315"/>
        <v>95.99</v>
      </c>
      <c r="I4070" s="23" t="str">
        <f t="shared" si="316"/>
        <v>Match</v>
      </c>
      <c r="J4070" s="23" t="str">
        <f t="shared" si="317"/>
        <v>Match</v>
      </c>
      <c r="K4070" s="24">
        <f t="shared" si="318"/>
        <v>17.28</v>
      </c>
      <c r="L4070" s="24">
        <f t="shared" si="319"/>
        <v>0</v>
      </c>
    </row>
    <row r="4071" spans="1:12" ht="15" customHeight="1" x14ac:dyDescent="0.3">
      <c r="A4071" s="23" t="s">
        <v>17291</v>
      </c>
      <c r="B4071" s="23" t="s">
        <v>75</v>
      </c>
      <c r="C4071" s="39">
        <v>1299</v>
      </c>
      <c r="D4071" s="24">
        <v>0</v>
      </c>
      <c r="E4071" s="24">
        <v>0</v>
      </c>
      <c r="F4071" s="23">
        <f>COUNTIFS(mdr_rate_cleaned!$A$2:$A$10,B4071,mdr_rate_cleaned!$B$2:$B$10,"&lt;"&amp;C4071,mdr_rate_cleaned!$F$2:$F$10,"&gt;="&amp;C4071)</f>
        <v>1</v>
      </c>
      <c r="G4071" s="40">
        <f>SUMIFS(mdr_rate_cleaned!$G$2:$G$10,mdr_rate_cleaned!$A$2:$A$10,B4071,mdr_rate_cleaned!$B$2:$B$10,"&lt;"&amp;C4071,mdr_rate_cleaned!$F$2:$F$10,"&gt;="&amp;C4071)</f>
        <v>0</v>
      </c>
      <c r="H4071" s="24">
        <f t="shared" si="315"/>
        <v>0</v>
      </c>
      <c r="I4071" s="23" t="str">
        <f t="shared" si="316"/>
        <v>Match</v>
      </c>
      <c r="J4071" s="23" t="str">
        <f t="shared" si="317"/>
        <v>Match</v>
      </c>
      <c r="K4071" s="24">
        <f t="shared" si="318"/>
        <v>0</v>
      </c>
      <c r="L4071" s="24">
        <f t="shared" si="319"/>
        <v>0</v>
      </c>
    </row>
    <row r="4072" spans="1:12" ht="15" customHeight="1" x14ac:dyDescent="0.3">
      <c r="A4072" s="23" t="s">
        <v>17292</v>
      </c>
      <c r="B4072" s="23" t="s">
        <v>75</v>
      </c>
      <c r="C4072" s="39">
        <v>349</v>
      </c>
      <c r="D4072" s="24">
        <v>0</v>
      </c>
      <c r="E4072" s="24">
        <v>0</v>
      </c>
      <c r="F4072" s="23">
        <f>COUNTIFS(mdr_rate_cleaned!$A$2:$A$10,B4072,mdr_rate_cleaned!$B$2:$B$10,"&lt;"&amp;C4072,mdr_rate_cleaned!$F$2:$F$10,"&gt;="&amp;C4072)</f>
        <v>1</v>
      </c>
      <c r="G4072" s="40">
        <f>SUMIFS(mdr_rate_cleaned!$G$2:$G$10,mdr_rate_cleaned!$A$2:$A$10,B4072,mdr_rate_cleaned!$B$2:$B$10,"&lt;"&amp;C4072,mdr_rate_cleaned!$F$2:$F$10,"&gt;="&amp;C4072)</f>
        <v>0</v>
      </c>
      <c r="H4072" s="24">
        <f t="shared" si="315"/>
        <v>0</v>
      </c>
      <c r="I4072" s="23" t="str">
        <f t="shared" si="316"/>
        <v>Match</v>
      </c>
      <c r="J4072" s="23" t="str">
        <f t="shared" si="317"/>
        <v>Match</v>
      </c>
      <c r="K4072" s="24">
        <f t="shared" si="318"/>
        <v>0</v>
      </c>
      <c r="L4072" s="24">
        <f t="shared" si="319"/>
        <v>0</v>
      </c>
    </row>
    <row r="4073" spans="1:12" ht="15" customHeight="1" x14ac:dyDescent="0.3">
      <c r="A4073" s="23" t="s">
        <v>17293</v>
      </c>
      <c r="B4073" s="23" t="s">
        <v>75</v>
      </c>
      <c r="C4073" s="39">
        <v>4999</v>
      </c>
      <c r="D4073" s="24">
        <v>15</v>
      </c>
      <c r="E4073" s="24">
        <v>2.7</v>
      </c>
      <c r="F4073" s="23">
        <f>COUNTIFS(mdr_rate_cleaned!$A$2:$A$10,B4073,mdr_rate_cleaned!$B$2:$B$10,"&lt;"&amp;C4073,mdr_rate_cleaned!$F$2:$F$10,"&gt;="&amp;C4073)</f>
        <v>1</v>
      </c>
      <c r="G4073" s="40">
        <f>SUMIFS(mdr_rate_cleaned!$G$2:$G$10,mdr_rate_cleaned!$A$2:$A$10,B4073,mdr_rate_cleaned!$B$2:$B$10,"&lt;"&amp;C4073,mdr_rate_cleaned!$F$2:$F$10,"&gt;="&amp;C4073)</f>
        <v>3.0000000000000001E-3</v>
      </c>
      <c r="H4073" s="24">
        <f t="shared" si="315"/>
        <v>15</v>
      </c>
      <c r="I4073" s="23" t="str">
        <f t="shared" si="316"/>
        <v>Match</v>
      </c>
      <c r="J4073" s="23" t="str">
        <f t="shared" si="317"/>
        <v>Match</v>
      </c>
      <c r="K4073" s="24">
        <f t="shared" si="318"/>
        <v>2.7</v>
      </c>
      <c r="L4073" s="24">
        <f t="shared" si="319"/>
        <v>0</v>
      </c>
    </row>
    <row r="4074" spans="1:12" ht="15" customHeight="1" x14ac:dyDescent="0.3">
      <c r="A4074" s="23" t="s">
        <v>17294</v>
      </c>
      <c r="B4074" s="23" t="s">
        <v>75</v>
      </c>
      <c r="C4074" s="39">
        <v>2999</v>
      </c>
      <c r="D4074" s="24">
        <v>9</v>
      </c>
      <c r="E4074" s="24">
        <v>1.62</v>
      </c>
      <c r="F4074" s="23">
        <f>COUNTIFS(mdr_rate_cleaned!$A$2:$A$10,B4074,mdr_rate_cleaned!$B$2:$B$10,"&lt;"&amp;C4074,mdr_rate_cleaned!$F$2:$F$10,"&gt;="&amp;C4074)</f>
        <v>1</v>
      </c>
      <c r="G4074" s="40">
        <f>SUMIFS(mdr_rate_cleaned!$G$2:$G$10,mdr_rate_cleaned!$A$2:$A$10,B4074,mdr_rate_cleaned!$B$2:$B$10,"&lt;"&amp;C4074,mdr_rate_cleaned!$F$2:$F$10,"&gt;="&amp;C4074)</f>
        <v>3.0000000000000001E-3</v>
      </c>
      <c r="H4074" s="24">
        <f t="shared" si="315"/>
        <v>9</v>
      </c>
      <c r="I4074" s="23" t="str">
        <f t="shared" si="316"/>
        <v>Match</v>
      </c>
      <c r="J4074" s="23" t="str">
        <f t="shared" si="317"/>
        <v>Match</v>
      </c>
      <c r="K4074" s="24">
        <f t="shared" si="318"/>
        <v>1.62</v>
      </c>
      <c r="L4074" s="24">
        <f t="shared" si="319"/>
        <v>0</v>
      </c>
    </row>
    <row r="4075" spans="1:12" ht="15" customHeight="1" x14ac:dyDescent="0.3">
      <c r="A4075" s="23" t="s">
        <v>17295</v>
      </c>
      <c r="B4075" s="23" t="s">
        <v>75</v>
      </c>
      <c r="C4075" s="39">
        <v>7999</v>
      </c>
      <c r="D4075" s="24">
        <v>24</v>
      </c>
      <c r="E4075" s="24">
        <v>4.32</v>
      </c>
      <c r="F4075" s="23">
        <f>COUNTIFS(mdr_rate_cleaned!$A$2:$A$10,B4075,mdr_rate_cleaned!$B$2:$B$10,"&lt;"&amp;C4075,mdr_rate_cleaned!$F$2:$F$10,"&gt;="&amp;C4075)</f>
        <v>1</v>
      </c>
      <c r="G4075" s="40">
        <f>SUMIFS(mdr_rate_cleaned!$G$2:$G$10,mdr_rate_cleaned!$A$2:$A$10,B4075,mdr_rate_cleaned!$B$2:$B$10,"&lt;"&amp;C4075,mdr_rate_cleaned!$F$2:$F$10,"&gt;="&amp;C4075)</f>
        <v>3.0000000000000001E-3</v>
      </c>
      <c r="H4075" s="24">
        <f t="shared" si="315"/>
        <v>24</v>
      </c>
      <c r="I4075" s="23" t="str">
        <f t="shared" si="316"/>
        <v>Match</v>
      </c>
      <c r="J4075" s="23" t="str">
        <f t="shared" si="317"/>
        <v>Match</v>
      </c>
      <c r="K4075" s="24">
        <f t="shared" si="318"/>
        <v>4.32</v>
      </c>
      <c r="L4075" s="24">
        <f t="shared" si="319"/>
        <v>0</v>
      </c>
    </row>
    <row r="4076" spans="1:12" ht="15" customHeight="1" x14ac:dyDescent="0.3">
      <c r="A4076" s="23" t="s">
        <v>17296</v>
      </c>
      <c r="B4076" s="23" t="s">
        <v>79</v>
      </c>
      <c r="C4076" s="39">
        <v>2499</v>
      </c>
      <c r="D4076" s="24">
        <v>39.979999999999997</v>
      </c>
      <c r="E4076" s="24">
        <v>7.2</v>
      </c>
      <c r="F4076" s="23">
        <f>COUNTIFS(mdr_rate_cleaned!$A$2:$A$10,B4076,mdr_rate_cleaned!$B$2:$B$10,"&lt;"&amp;C4076,mdr_rate_cleaned!$F$2:$F$10,"&gt;="&amp;C4076)</f>
        <v>1</v>
      </c>
      <c r="G4076" s="40">
        <f>SUMIFS(mdr_rate_cleaned!$G$2:$G$10,mdr_rate_cleaned!$A$2:$A$10,B4076,mdr_rate_cleaned!$B$2:$B$10,"&lt;"&amp;C4076,mdr_rate_cleaned!$F$2:$F$10,"&gt;="&amp;C4076)</f>
        <v>1.6E-2</v>
      </c>
      <c r="H4076" s="24">
        <f t="shared" si="315"/>
        <v>39.979999999999997</v>
      </c>
      <c r="I4076" s="23" t="str">
        <f t="shared" si="316"/>
        <v>Match</v>
      </c>
      <c r="J4076" s="23" t="str">
        <f t="shared" si="317"/>
        <v>Match</v>
      </c>
      <c r="K4076" s="24">
        <f t="shared" si="318"/>
        <v>7.2</v>
      </c>
      <c r="L4076" s="24">
        <f t="shared" si="319"/>
        <v>0</v>
      </c>
    </row>
    <row r="4077" spans="1:12" ht="15" customHeight="1" x14ac:dyDescent="0.3">
      <c r="A4077" s="23" t="s">
        <v>17297</v>
      </c>
      <c r="B4077" s="23" t="s">
        <v>75</v>
      </c>
      <c r="C4077" s="39">
        <v>7999</v>
      </c>
      <c r="D4077" s="24">
        <v>24</v>
      </c>
      <c r="E4077" s="24">
        <v>4.32</v>
      </c>
      <c r="F4077" s="23">
        <f>COUNTIFS(mdr_rate_cleaned!$A$2:$A$10,B4077,mdr_rate_cleaned!$B$2:$B$10,"&lt;"&amp;C4077,mdr_rate_cleaned!$F$2:$F$10,"&gt;="&amp;C4077)</f>
        <v>1</v>
      </c>
      <c r="G4077" s="40">
        <f>SUMIFS(mdr_rate_cleaned!$G$2:$G$10,mdr_rate_cleaned!$A$2:$A$10,B4077,mdr_rate_cleaned!$B$2:$B$10,"&lt;"&amp;C4077,mdr_rate_cleaned!$F$2:$F$10,"&gt;="&amp;C4077)</f>
        <v>3.0000000000000001E-3</v>
      </c>
      <c r="H4077" s="24">
        <f t="shared" si="315"/>
        <v>24</v>
      </c>
      <c r="I4077" s="23" t="str">
        <f t="shared" si="316"/>
        <v>Match</v>
      </c>
      <c r="J4077" s="23" t="str">
        <f t="shared" si="317"/>
        <v>Match</v>
      </c>
      <c r="K4077" s="24">
        <f t="shared" si="318"/>
        <v>4.32</v>
      </c>
      <c r="L4077" s="24">
        <f t="shared" si="319"/>
        <v>0</v>
      </c>
    </row>
    <row r="4078" spans="1:12" ht="15" customHeight="1" x14ac:dyDescent="0.3">
      <c r="A4078" s="23" t="s">
        <v>17298</v>
      </c>
      <c r="B4078" s="23" t="s">
        <v>75</v>
      </c>
      <c r="C4078" s="39">
        <v>799</v>
      </c>
      <c r="D4078" s="24">
        <v>0</v>
      </c>
      <c r="E4078" s="24">
        <v>0</v>
      </c>
      <c r="F4078" s="23">
        <f>COUNTIFS(mdr_rate_cleaned!$A$2:$A$10,B4078,mdr_rate_cleaned!$B$2:$B$10,"&lt;"&amp;C4078,mdr_rate_cleaned!$F$2:$F$10,"&gt;="&amp;C4078)</f>
        <v>1</v>
      </c>
      <c r="G4078" s="40">
        <f>SUMIFS(mdr_rate_cleaned!$G$2:$G$10,mdr_rate_cleaned!$A$2:$A$10,B4078,mdr_rate_cleaned!$B$2:$B$10,"&lt;"&amp;C4078,mdr_rate_cleaned!$F$2:$F$10,"&gt;="&amp;C4078)</f>
        <v>0</v>
      </c>
      <c r="H4078" s="24">
        <f t="shared" si="315"/>
        <v>0</v>
      </c>
      <c r="I4078" s="23" t="str">
        <f t="shared" si="316"/>
        <v>Match</v>
      </c>
      <c r="J4078" s="23" t="str">
        <f t="shared" si="317"/>
        <v>Match</v>
      </c>
      <c r="K4078" s="24">
        <f t="shared" si="318"/>
        <v>0</v>
      </c>
      <c r="L4078" s="24">
        <f t="shared" si="319"/>
        <v>0</v>
      </c>
    </row>
    <row r="4079" spans="1:12" ht="15" customHeight="1" x14ac:dyDescent="0.3">
      <c r="A4079" s="23" t="s">
        <v>17299</v>
      </c>
      <c r="B4079" s="23" t="s">
        <v>75</v>
      </c>
      <c r="C4079" s="39">
        <v>349</v>
      </c>
      <c r="D4079" s="24">
        <v>0</v>
      </c>
      <c r="E4079" s="24">
        <v>0</v>
      </c>
      <c r="F4079" s="23">
        <f>COUNTIFS(mdr_rate_cleaned!$A$2:$A$10,B4079,mdr_rate_cleaned!$B$2:$B$10,"&lt;"&amp;C4079,mdr_rate_cleaned!$F$2:$F$10,"&gt;="&amp;C4079)</f>
        <v>1</v>
      </c>
      <c r="G4079" s="40">
        <f>SUMIFS(mdr_rate_cleaned!$G$2:$G$10,mdr_rate_cleaned!$A$2:$A$10,B4079,mdr_rate_cleaned!$B$2:$B$10,"&lt;"&amp;C4079,mdr_rate_cleaned!$F$2:$F$10,"&gt;="&amp;C4079)</f>
        <v>0</v>
      </c>
      <c r="H4079" s="24">
        <f t="shared" si="315"/>
        <v>0</v>
      </c>
      <c r="I4079" s="23" t="str">
        <f t="shared" si="316"/>
        <v>Match</v>
      </c>
      <c r="J4079" s="23" t="str">
        <f t="shared" si="317"/>
        <v>Match</v>
      </c>
      <c r="K4079" s="24">
        <f t="shared" si="318"/>
        <v>0</v>
      </c>
      <c r="L4079" s="24">
        <f t="shared" si="319"/>
        <v>0</v>
      </c>
    </row>
    <row r="4080" spans="1:12" ht="15" customHeight="1" x14ac:dyDescent="0.3">
      <c r="A4080" s="23" t="s">
        <v>17301</v>
      </c>
      <c r="B4080" s="23" t="s">
        <v>79</v>
      </c>
      <c r="C4080" s="39">
        <v>799</v>
      </c>
      <c r="D4080" s="24">
        <v>14.38</v>
      </c>
      <c r="E4080" s="24">
        <v>2.59</v>
      </c>
      <c r="F4080" s="23">
        <f>COUNTIFS(mdr_rate_cleaned!$A$2:$A$10,B4080,mdr_rate_cleaned!$B$2:$B$10,"&lt;"&amp;C4080,mdr_rate_cleaned!$F$2:$F$10,"&gt;="&amp;C4080)</f>
        <v>1</v>
      </c>
      <c r="G4080" s="40">
        <f>SUMIFS(mdr_rate_cleaned!$G$2:$G$10,mdr_rate_cleaned!$A$2:$A$10,B4080,mdr_rate_cleaned!$B$2:$B$10,"&lt;"&amp;C4080,mdr_rate_cleaned!$F$2:$F$10,"&gt;="&amp;C4080)</f>
        <v>1.8000000000000002E-2</v>
      </c>
      <c r="H4080" s="24">
        <f t="shared" si="315"/>
        <v>14.38</v>
      </c>
      <c r="I4080" s="23" t="str">
        <f t="shared" si="316"/>
        <v>Match</v>
      </c>
      <c r="J4080" s="23" t="str">
        <f t="shared" si="317"/>
        <v>Match</v>
      </c>
      <c r="K4080" s="24">
        <f t="shared" si="318"/>
        <v>2.59</v>
      </c>
      <c r="L4080" s="24">
        <f t="shared" si="319"/>
        <v>0</v>
      </c>
    </row>
    <row r="4081" spans="1:12" ht="15" customHeight="1" x14ac:dyDescent="0.3">
      <c r="A4081" s="23" t="s">
        <v>17302</v>
      </c>
      <c r="B4081" s="23" t="s">
        <v>75</v>
      </c>
      <c r="C4081" s="39">
        <v>2999</v>
      </c>
      <c r="D4081" s="24">
        <v>9</v>
      </c>
      <c r="E4081" s="24">
        <v>1.62</v>
      </c>
      <c r="F4081" s="23">
        <f>COUNTIFS(mdr_rate_cleaned!$A$2:$A$10,B4081,mdr_rate_cleaned!$B$2:$B$10,"&lt;"&amp;C4081,mdr_rate_cleaned!$F$2:$F$10,"&gt;="&amp;C4081)</f>
        <v>1</v>
      </c>
      <c r="G4081" s="40">
        <f>SUMIFS(mdr_rate_cleaned!$G$2:$G$10,mdr_rate_cleaned!$A$2:$A$10,B4081,mdr_rate_cleaned!$B$2:$B$10,"&lt;"&amp;C4081,mdr_rate_cleaned!$F$2:$F$10,"&gt;="&amp;C4081)</f>
        <v>3.0000000000000001E-3</v>
      </c>
      <c r="H4081" s="24">
        <f t="shared" si="315"/>
        <v>9</v>
      </c>
      <c r="I4081" s="23" t="str">
        <f t="shared" si="316"/>
        <v>Match</v>
      </c>
      <c r="J4081" s="23" t="str">
        <f t="shared" si="317"/>
        <v>Match</v>
      </c>
      <c r="K4081" s="24">
        <f t="shared" si="318"/>
        <v>1.62</v>
      </c>
      <c r="L4081" s="24">
        <f t="shared" si="319"/>
        <v>0</v>
      </c>
    </row>
    <row r="4082" spans="1:12" ht="15" customHeight="1" x14ac:dyDescent="0.3">
      <c r="A4082" s="23" t="s">
        <v>17303</v>
      </c>
      <c r="B4082" s="23" t="s">
        <v>79</v>
      </c>
      <c r="C4082" s="39">
        <v>4798</v>
      </c>
      <c r="D4082" s="24">
        <v>76.77</v>
      </c>
      <c r="E4082" s="24">
        <v>13.82</v>
      </c>
      <c r="F4082" s="23">
        <f>COUNTIFS(mdr_rate_cleaned!$A$2:$A$10,B4082,mdr_rate_cleaned!$B$2:$B$10,"&lt;"&amp;C4082,mdr_rate_cleaned!$F$2:$F$10,"&gt;="&amp;C4082)</f>
        <v>1</v>
      </c>
      <c r="G4082" s="40">
        <f>SUMIFS(mdr_rate_cleaned!$G$2:$G$10,mdr_rate_cleaned!$A$2:$A$10,B4082,mdr_rate_cleaned!$B$2:$B$10,"&lt;"&amp;C4082,mdr_rate_cleaned!$F$2:$F$10,"&gt;="&amp;C4082)</f>
        <v>1.6E-2</v>
      </c>
      <c r="H4082" s="24">
        <f t="shared" si="315"/>
        <v>76.77</v>
      </c>
      <c r="I4082" s="23" t="str">
        <f t="shared" si="316"/>
        <v>Match</v>
      </c>
      <c r="J4082" s="23" t="str">
        <f t="shared" si="317"/>
        <v>Match</v>
      </c>
      <c r="K4082" s="24">
        <f t="shared" si="318"/>
        <v>13.82</v>
      </c>
      <c r="L4082" s="24">
        <f t="shared" si="319"/>
        <v>0</v>
      </c>
    </row>
    <row r="4083" spans="1:12" ht="15" customHeight="1" x14ac:dyDescent="0.3">
      <c r="A4083" s="23" t="s">
        <v>17304</v>
      </c>
      <c r="B4083" s="23" t="s">
        <v>81</v>
      </c>
      <c r="C4083" s="39">
        <v>2347</v>
      </c>
      <c r="D4083" s="24">
        <v>28.16</v>
      </c>
      <c r="E4083" s="24">
        <v>5.07</v>
      </c>
      <c r="F4083" s="23">
        <f>COUNTIFS(mdr_rate_cleaned!$A$2:$A$10,B4083,mdr_rate_cleaned!$B$2:$B$10,"&lt;"&amp;C4083,mdr_rate_cleaned!$F$2:$F$10,"&gt;="&amp;C4083)</f>
        <v>1</v>
      </c>
      <c r="G4083" s="40">
        <f>SUMIFS(mdr_rate_cleaned!$G$2:$G$10,mdr_rate_cleaned!$A$2:$A$10,B4083,mdr_rate_cleaned!$B$2:$B$10,"&lt;"&amp;C4083,mdr_rate_cleaned!$F$2:$F$10,"&gt;="&amp;C4083)</f>
        <v>1.2E-2</v>
      </c>
      <c r="H4083" s="24">
        <f t="shared" si="315"/>
        <v>28.16</v>
      </c>
      <c r="I4083" s="23" t="str">
        <f t="shared" si="316"/>
        <v>Match</v>
      </c>
      <c r="J4083" s="23" t="str">
        <f t="shared" si="317"/>
        <v>Match</v>
      </c>
      <c r="K4083" s="24">
        <f t="shared" si="318"/>
        <v>5.07</v>
      </c>
      <c r="L4083" s="24">
        <f t="shared" si="319"/>
        <v>0</v>
      </c>
    </row>
    <row r="4084" spans="1:12" ht="15" customHeight="1" x14ac:dyDescent="0.3">
      <c r="A4084" s="23" t="s">
        <v>17305</v>
      </c>
      <c r="B4084" s="23" t="s">
        <v>75</v>
      </c>
      <c r="C4084" s="39">
        <v>7997</v>
      </c>
      <c r="D4084" s="24">
        <v>23.99</v>
      </c>
      <c r="E4084" s="24">
        <v>4.32</v>
      </c>
      <c r="F4084" s="23">
        <f>COUNTIFS(mdr_rate_cleaned!$A$2:$A$10,B4084,mdr_rate_cleaned!$B$2:$B$10,"&lt;"&amp;C4084,mdr_rate_cleaned!$F$2:$F$10,"&gt;="&amp;C4084)</f>
        <v>1</v>
      </c>
      <c r="G4084" s="40">
        <f>SUMIFS(mdr_rate_cleaned!$G$2:$G$10,mdr_rate_cleaned!$A$2:$A$10,B4084,mdr_rate_cleaned!$B$2:$B$10,"&lt;"&amp;C4084,mdr_rate_cleaned!$F$2:$F$10,"&gt;="&amp;C4084)</f>
        <v>3.0000000000000001E-3</v>
      </c>
      <c r="H4084" s="24">
        <f t="shared" si="315"/>
        <v>23.99</v>
      </c>
      <c r="I4084" s="23" t="str">
        <f t="shared" si="316"/>
        <v>Match</v>
      </c>
      <c r="J4084" s="23" t="str">
        <f t="shared" si="317"/>
        <v>Match</v>
      </c>
      <c r="K4084" s="24">
        <f t="shared" si="318"/>
        <v>4.32</v>
      </c>
      <c r="L4084" s="24">
        <f t="shared" si="319"/>
        <v>0</v>
      </c>
    </row>
    <row r="4085" spans="1:12" ht="15" customHeight="1" x14ac:dyDescent="0.3">
      <c r="A4085" s="23" t="s">
        <v>17306</v>
      </c>
      <c r="B4085" s="23" t="s">
        <v>81</v>
      </c>
      <c r="C4085" s="39">
        <v>999</v>
      </c>
      <c r="D4085" s="24">
        <v>14.99</v>
      </c>
      <c r="E4085" s="24">
        <v>2.7</v>
      </c>
      <c r="F4085" s="23">
        <f>COUNTIFS(mdr_rate_cleaned!$A$2:$A$10,B4085,mdr_rate_cleaned!$B$2:$B$10,"&lt;"&amp;C4085,mdr_rate_cleaned!$F$2:$F$10,"&gt;="&amp;C4085)</f>
        <v>1</v>
      </c>
      <c r="G4085" s="40">
        <f>SUMIFS(mdr_rate_cleaned!$G$2:$G$10,mdr_rate_cleaned!$A$2:$A$10,B4085,mdr_rate_cleaned!$B$2:$B$10,"&lt;"&amp;C4085,mdr_rate_cleaned!$F$2:$F$10,"&gt;="&amp;C4085)</f>
        <v>1.4999999999999999E-2</v>
      </c>
      <c r="H4085" s="24">
        <f t="shared" si="315"/>
        <v>14.99</v>
      </c>
      <c r="I4085" s="23" t="str">
        <f t="shared" si="316"/>
        <v>Match</v>
      </c>
      <c r="J4085" s="23" t="str">
        <f t="shared" si="317"/>
        <v>Match</v>
      </c>
      <c r="K4085" s="24">
        <f t="shared" si="318"/>
        <v>2.7</v>
      </c>
      <c r="L4085" s="24">
        <f t="shared" si="319"/>
        <v>0</v>
      </c>
    </row>
    <row r="4086" spans="1:12" ht="15" customHeight="1" x14ac:dyDescent="0.3">
      <c r="A4086" s="23" t="s">
        <v>17307</v>
      </c>
      <c r="B4086" s="23" t="s">
        <v>75</v>
      </c>
      <c r="C4086" s="39">
        <v>3298</v>
      </c>
      <c r="D4086" s="24">
        <v>9.89</v>
      </c>
      <c r="E4086" s="24">
        <v>1.78</v>
      </c>
      <c r="F4086" s="23">
        <f>COUNTIFS(mdr_rate_cleaned!$A$2:$A$10,B4086,mdr_rate_cleaned!$B$2:$B$10,"&lt;"&amp;C4086,mdr_rate_cleaned!$F$2:$F$10,"&gt;="&amp;C4086)</f>
        <v>1</v>
      </c>
      <c r="G4086" s="40">
        <f>SUMIFS(mdr_rate_cleaned!$G$2:$G$10,mdr_rate_cleaned!$A$2:$A$10,B4086,mdr_rate_cleaned!$B$2:$B$10,"&lt;"&amp;C4086,mdr_rate_cleaned!$F$2:$F$10,"&gt;="&amp;C4086)</f>
        <v>3.0000000000000001E-3</v>
      </c>
      <c r="H4086" s="24">
        <f t="shared" si="315"/>
        <v>9.89</v>
      </c>
      <c r="I4086" s="23" t="str">
        <f t="shared" si="316"/>
        <v>Match</v>
      </c>
      <c r="J4086" s="23" t="str">
        <f t="shared" si="317"/>
        <v>Match</v>
      </c>
      <c r="K4086" s="24">
        <f t="shared" si="318"/>
        <v>1.78</v>
      </c>
      <c r="L4086" s="24">
        <f t="shared" si="319"/>
        <v>0</v>
      </c>
    </row>
    <row r="4087" spans="1:12" ht="15" customHeight="1" x14ac:dyDescent="0.3">
      <c r="A4087" s="23" t="s">
        <v>17308</v>
      </c>
      <c r="B4087" s="23" t="s">
        <v>75</v>
      </c>
      <c r="C4087" s="39">
        <v>3098</v>
      </c>
      <c r="D4087" s="24">
        <v>9.2899999999999991</v>
      </c>
      <c r="E4087" s="24">
        <v>1.67</v>
      </c>
      <c r="F4087" s="23">
        <f>COUNTIFS(mdr_rate_cleaned!$A$2:$A$10,B4087,mdr_rate_cleaned!$B$2:$B$10,"&lt;"&amp;C4087,mdr_rate_cleaned!$F$2:$F$10,"&gt;="&amp;C4087)</f>
        <v>1</v>
      </c>
      <c r="G4087" s="40">
        <f>SUMIFS(mdr_rate_cleaned!$G$2:$G$10,mdr_rate_cleaned!$A$2:$A$10,B4087,mdr_rate_cleaned!$B$2:$B$10,"&lt;"&amp;C4087,mdr_rate_cleaned!$F$2:$F$10,"&gt;="&amp;C4087)</f>
        <v>3.0000000000000001E-3</v>
      </c>
      <c r="H4087" s="24">
        <f t="shared" si="315"/>
        <v>9.2899999999999991</v>
      </c>
      <c r="I4087" s="23" t="str">
        <f t="shared" si="316"/>
        <v>Match</v>
      </c>
      <c r="J4087" s="23" t="str">
        <f t="shared" si="317"/>
        <v>Match</v>
      </c>
      <c r="K4087" s="24">
        <f t="shared" si="318"/>
        <v>1.67</v>
      </c>
      <c r="L4087" s="24">
        <f t="shared" si="319"/>
        <v>0</v>
      </c>
    </row>
    <row r="4088" spans="1:12" ht="15" customHeight="1" x14ac:dyDescent="0.3">
      <c r="A4088" s="23" t="s">
        <v>17310</v>
      </c>
      <c r="B4088" s="23" t="s">
        <v>79</v>
      </c>
      <c r="C4088" s="39">
        <v>948</v>
      </c>
      <c r="D4088" s="24">
        <v>17.059999999999999</v>
      </c>
      <c r="E4088" s="24">
        <v>3.07</v>
      </c>
      <c r="F4088" s="23">
        <f>COUNTIFS(mdr_rate_cleaned!$A$2:$A$10,B4088,mdr_rate_cleaned!$B$2:$B$10,"&lt;"&amp;C4088,mdr_rate_cleaned!$F$2:$F$10,"&gt;="&amp;C4088)</f>
        <v>1</v>
      </c>
      <c r="G4088" s="40">
        <f>SUMIFS(mdr_rate_cleaned!$G$2:$G$10,mdr_rate_cleaned!$A$2:$A$10,B4088,mdr_rate_cleaned!$B$2:$B$10,"&lt;"&amp;C4088,mdr_rate_cleaned!$F$2:$F$10,"&gt;="&amp;C4088)</f>
        <v>1.8000000000000002E-2</v>
      </c>
      <c r="H4088" s="24">
        <f t="shared" si="315"/>
        <v>17.059999999999999</v>
      </c>
      <c r="I4088" s="23" t="str">
        <f t="shared" si="316"/>
        <v>Match</v>
      </c>
      <c r="J4088" s="23" t="str">
        <f t="shared" si="317"/>
        <v>Match</v>
      </c>
      <c r="K4088" s="24">
        <f t="shared" si="318"/>
        <v>3.07</v>
      </c>
      <c r="L4088" s="24">
        <f t="shared" si="319"/>
        <v>0</v>
      </c>
    </row>
    <row r="4089" spans="1:12" ht="15" customHeight="1" x14ac:dyDescent="0.3">
      <c r="A4089" s="23" t="s">
        <v>17312</v>
      </c>
      <c r="B4089" s="23" t="s">
        <v>75</v>
      </c>
      <c r="C4089" s="39">
        <v>999</v>
      </c>
      <c r="D4089" s="24">
        <v>0</v>
      </c>
      <c r="E4089" s="24">
        <v>0</v>
      </c>
      <c r="F4089" s="23">
        <f>COUNTIFS(mdr_rate_cleaned!$A$2:$A$10,B4089,mdr_rate_cleaned!$B$2:$B$10,"&lt;"&amp;C4089,mdr_rate_cleaned!$F$2:$F$10,"&gt;="&amp;C4089)</f>
        <v>1</v>
      </c>
      <c r="G4089" s="40">
        <f>SUMIFS(mdr_rate_cleaned!$G$2:$G$10,mdr_rate_cleaned!$A$2:$A$10,B4089,mdr_rate_cleaned!$B$2:$B$10,"&lt;"&amp;C4089,mdr_rate_cleaned!$F$2:$F$10,"&gt;="&amp;C4089)</f>
        <v>0</v>
      </c>
      <c r="H4089" s="24">
        <f t="shared" si="315"/>
        <v>0</v>
      </c>
      <c r="I4089" s="23" t="str">
        <f t="shared" si="316"/>
        <v>Match</v>
      </c>
      <c r="J4089" s="23" t="str">
        <f t="shared" si="317"/>
        <v>Match</v>
      </c>
      <c r="K4089" s="24">
        <f t="shared" si="318"/>
        <v>0</v>
      </c>
      <c r="L4089" s="24">
        <f t="shared" si="319"/>
        <v>0</v>
      </c>
    </row>
    <row r="4090" spans="1:12" ht="15" customHeight="1" x14ac:dyDescent="0.3">
      <c r="A4090" s="23" t="s">
        <v>17314</v>
      </c>
      <c r="B4090" s="23" t="s">
        <v>75</v>
      </c>
      <c r="C4090" s="39">
        <v>7999</v>
      </c>
      <c r="D4090" s="24">
        <v>24</v>
      </c>
      <c r="E4090" s="24">
        <v>4.32</v>
      </c>
      <c r="F4090" s="23">
        <f>COUNTIFS(mdr_rate_cleaned!$A$2:$A$10,B4090,mdr_rate_cleaned!$B$2:$B$10,"&lt;"&amp;C4090,mdr_rate_cleaned!$F$2:$F$10,"&gt;="&amp;C4090)</f>
        <v>1</v>
      </c>
      <c r="G4090" s="40">
        <f>SUMIFS(mdr_rate_cleaned!$G$2:$G$10,mdr_rate_cleaned!$A$2:$A$10,B4090,mdr_rate_cleaned!$B$2:$B$10,"&lt;"&amp;C4090,mdr_rate_cleaned!$F$2:$F$10,"&gt;="&amp;C4090)</f>
        <v>3.0000000000000001E-3</v>
      </c>
      <c r="H4090" s="24">
        <f t="shared" si="315"/>
        <v>24</v>
      </c>
      <c r="I4090" s="23" t="str">
        <f t="shared" si="316"/>
        <v>Match</v>
      </c>
      <c r="J4090" s="23" t="str">
        <f t="shared" si="317"/>
        <v>Match</v>
      </c>
      <c r="K4090" s="24">
        <f t="shared" si="318"/>
        <v>4.32</v>
      </c>
      <c r="L4090" s="24">
        <f t="shared" si="319"/>
        <v>0</v>
      </c>
    </row>
    <row r="4091" spans="1:12" ht="15" customHeight="1" x14ac:dyDescent="0.3">
      <c r="A4091" s="23" t="s">
        <v>17315</v>
      </c>
      <c r="B4091" s="23" t="s">
        <v>75</v>
      </c>
      <c r="C4091" s="39">
        <v>7998</v>
      </c>
      <c r="D4091" s="24">
        <v>23.99</v>
      </c>
      <c r="E4091" s="24">
        <v>4.32</v>
      </c>
      <c r="F4091" s="23">
        <f>COUNTIFS(mdr_rate_cleaned!$A$2:$A$10,B4091,mdr_rate_cleaned!$B$2:$B$10,"&lt;"&amp;C4091,mdr_rate_cleaned!$F$2:$F$10,"&gt;="&amp;C4091)</f>
        <v>1</v>
      </c>
      <c r="G4091" s="40">
        <f>SUMIFS(mdr_rate_cleaned!$G$2:$G$10,mdr_rate_cleaned!$A$2:$A$10,B4091,mdr_rate_cleaned!$B$2:$B$10,"&lt;"&amp;C4091,mdr_rate_cleaned!$F$2:$F$10,"&gt;="&amp;C4091)</f>
        <v>3.0000000000000001E-3</v>
      </c>
      <c r="H4091" s="24">
        <f t="shared" si="315"/>
        <v>23.99</v>
      </c>
      <c r="I4091" s="23" t="str">
        <f t="shared" si="316"/>
        <v>Match</v>
      </c>
      <c r="J4091" s="23" t="str">
        <f t="shared" si="317"/>
        <v>Match</v>
      </c>
      <c r="K4091" s="24">
        <f t="shared" si="318"/>
        <v>4.32</v>
      </c>
      <c r="L4091" s="24">
        <f t="shared" si="319"/>
        <v>0</v>
      </c>
    </row>
    <row r="4092" spans="1:12" ht="15" customHeight="1" x14ac:dyDescent="0.3">
      <c r="A4092" s="23" t="s">
        <v>17316</v>
      </c>
      <c r="B4092" s="23" t="s">
        <v>79</v>
      </c>
      <c r="C4092" s="39">
        <v>798</v>
      </c>
      <c r="D4092" s="24">
        <v>14.36</v>
      </c>
      <c r="E4092" s="24">
        <v>2.58</v>
      </c>
      <c r="F4092" s="23">
        <f>COUNTIFS(mdr_rate_cleaned!$A$2:$A$10,B4092,mdr_rate_cleaned!$B$2:$B$10,"&lt;"&amp;C4092,mdr_rate_cleaned!$F$2:$F$10,"&gt;="&amp;C4092)</f>
        <v>1</v>
      </c>
      <c r="G4092" s="40">
        <f>SUMIFS(mdr_rate_cleaned!$G$2:$G$10,mdr_rate_cleaned!$A$2:$A$10,B4092,mdr_rate_cleaned!$B$2:$B$10,"&lt;"&amp;C4092,mdr_rate_cleaned!$F$2:$F$10,"&gt;="&amp;C4092)</f>
        <v>1.8000000000000002E-2</v>
      </c>
      <c r="H4092" s="24">
        <f t="shared" si="315"/>
        <v>14.36</v>
      </c>
      <c r="I4092" s="23" t="str">
        <f t="shared" si="316"/>
        <v>Match</v>
      </c>
      <c r="J4092" s="23" t="str">
        <f t="shared" si="317"/>
        <v>Match</v>
      </c>
      <c r="K4092" s="24">
        <f t="shared" si="318"/>
        <v>2.58</v>
      </c>
      <c r="L4092" s="24">
        <f t="shared" si="319"/>
        <v>0</v>
      </c>
    </row>
    <row r="4093" spans="1:12" ht="15" customHeight="1" x14ac:dyDescent="0.3">
      <c r="A4093" s="23" t="s">
        <v>17317</v>
      </c>
      <c r="B4093" s="23" t="s">
        <v>79</v>
      </c>
      <c r="C4093" s="39">
        <v>1799</v>
      </c>
      <c r="D4093" s="24">
        <v>32.380000000000003</v>
      </c>
      <c r="E4093" s="24">
        <v>5.83</v>
      </c>
      <c r="F4093" s="23">
        <f>COUNTIFS(mdr_rate_cleaned!$A$2:$A$10,B4093,mdr_rate_cleaned!$B$2:$B$10,"&lt;"&amp;C4093,mdr_rate_cleaned!$F$2:$F$10,"&gt;="&amp;C4093)</f>
        <v>1</v>
      </c>
      <c r="G4093" s="40">
        <f>SUMIFS(mdr_rate_cleaned!$G$2:$G$10,mdr_rate_cleaned!$A$2:$A$10,B4093,mdr_rate_cleaned!$B$2:$B$10,"&lt;"&amp;C4093,mdr_rate_cleaned!$F$2:$F$10,"&gt;="&amp;C4093)</f>
        <v>1.8000000000000002E-2</v>
      </c>
      <c r="H4093" s="24">
        <f t="shared" si="315"/>
        <v>32.380000000000003</v>
      </c>
      <c r="I4093" s="23" t="str">
        <f t="shared" si="316"/>
        <v>Match</v>
      </c>
      <c r="J4093" s="23" t="str">
        <f t="shared" si="317"/>
        <v>Match</v>
      </c>
      <c r="K4093" s="24">
        <f t="shared" si="318"/>
        <v>5.83</v>
      </c>
      <c r="L4093" s="24">
        <f t="shared" si="319"/>
        <v>0</v>
      </c>
    </row>
    <row r="4094" spans="1:12" ht="15" customHeight="1" x14ac:dyDescent="0.3">
      <c r="A4094" s="23" t="s">
        <v>17318</v>
      </c>
      <c r="B4094" s="23" t="s">
        <v>77</v>
      </c>
      <c r="C4094" s="39">
        <v>9297</v>
      </c>
      <c r="D4094" s="24">
        <v>158.05000000000001</v>
      </c>
      <c r="E4094" s="24">
        <v>28.45</v>
      </c>
      <c r="F4094" s="23">
        <f>COUNTIFS(mdr_rate_cleaned!$A$2:$A$10,B4094,mdr_rate_cleaned!$B$2:$B$10,"&lt;"&amp;C4094,mdr_rate_cleaned!$F$2:$F$10,"&gt;="&amp;C4094)</f>
        <v>1</v>
      </c>
      <c r="G4094" s="40">
        <f>SUMIFS(mdr_rate_cleaned!$G$2:$G$10,mdr_rate_cleaned!$A$2:$A$10,B4094,mdr_rate_cleaned!$B$2:$B$10,"&lt;"&amp;C4094,mdr_rate_cleaned!$F$2:$F$10,"&gt;="&amp;C4094)</f>
        <v>1.7000000000000001E-2</v>
      </c>
      <c r="H4094" s="24">
        <f t="shared" si="315"/>
        <v>158.05000000000001</v>
      </c>
      <c r="I4094" s="23" t="str">
        <f t="shared" si="316"/>
        <v>Match</v>
      </c>
      <c r="J4094" s="23" t="str">
        <f t="shared" si="317"/>
        <v>Match</v>
      </c>
      <c r="K4094" s="24">
        <f t="shared" si="318"/>
        <v>28.45</v>
      </c>
      <c r="L4094" s="24">
        <f t="shared" si="319"/>
        <v>0</v>
      </c>
    </row>
    <row r="4095" spans="1:12" ht="15" customHeight="1" x14ac:dyDescent="0.3">
      <c r="A4095" s="23" t="s">
        <v>17319</v>
      </c>
      <c r="B4095" s="23" t="s">
        <v>79</v>
      </c>
      <c r="C4095" s="39">
        <v>13997</v>
      </c>
      <c r="D4095" s="24">
        <v>223.95</v>
      </c>
      <c r="E4095" s="24">
        <v>40.31</v>
      </c>
      <c r="F4095" s="23">
        <f>COUNTIFS(mdr_rate_cleaned!$A$2:$A$10,B4095,mdr_rate_cleaned!$B$2:$B$10,"&lt;"&amp;C4095,mdr_rate_cleaned!$F$2:$F$10,"&gt;="&amp;C4095)</f>
        <v>1</v>
      </c>
      <c r="G4095" s="40">
        <f>SUMIFS(mdr_rate_cleaned!$G$2:$G$10,mdr_rate_cleaned!$A$2:$A$10,B4095,mdr_rate_cleaned!$B$2:$B$10,"&lt;"&amp;C4095,mdr_rate_cleaned!$F$2:$F$10,"&gt;="&amp;C4095)</f>
        <v>1.6E-2</v>
      </c>
      <c r="H4095" s="24">
        <f t="shared" si="315"/>
        <v>223.95</v>
      </c>
      <c r="I4095" s="23" t="str">
        <f t="shared" si="316"/>
        <v>Match</v>
      </c>
      <c r="J4095" s="23" t="str">
        <f t="shared" si="317"/>
        <v>Match</v>
      </c>
      <c r="K4095" s="24">
        <f t="shared" si="318"/>
        <v>40.31</v>
      </c>
      <c r="L4095" s="24">
        <f t="shared" si="319"/>
        <v>0</v>
      </c>
    </row>
    <row r="4096" spans="1:12" ht="15" customHeight="1" x14ac:dyDescent="0.3">
      <c r="A4096" s="23" t="s">
        <v>17320</v>
      </c>
      <c r="B4096" s="23" t="s">
        <v>79</v>
      </c>
      <c r="C4096" s="39">
        <v>499</v>
      </c>
      <c r="D4096" s="24">
        <v>8.98</v>
      </c>
      <c r="E4096" s="24">
        <v>1.62</v>
      </c>
      <c r="F4096" s="23">
        <f>COUNTIFS(mdr_rate_cleaned!$A$2:$A$10,B4096,mdr_rate_cleaned!$B$2:$B$10,"&lt;"&amp;C4096,mdr_rate_cleaned!$F$2:$F$10,"&gt;="&amp;C4096)</f>
        <v>1</v>
      </c>
      <c r="G4096" s="40">
        <f>SUMIFS(mdr_rate_cleaned!$G$2:$G$10,mdr_rate_cleaned!$A$2:$A$10,B4096,mdr_rate_cleaned!$B$2:$B$10,"&lt;"&amp;C4096,mdr_rate_cleaned!$F$2:$F$10,"&gt;="&amp;C4096)</f>
        <v>1.8000000000000002E-2</v>
      </c>
      <c r="H4096" s="24">
        <f t="shared" si="315"/>
        <v>8.98</v>
      </c>
      <c r="I4096" s="23" t="str">
        <f t="shared" si="316"/>
        <v>Match</v>
      </c>
      <c r="J4096" s="23" t="str">
        <f t="shared" si="317"/>
        <v>Match</v>
      </c>
      <c r="K4096" s="24">
        <f t="shared" si="318"/>
        <v>1.62</v>
      </c>
      <c r="L4096" s="24">
        <f t="shared" si="319"/>
        <v>0</v>
      </c>
    </row>
    <row r="4097" spans="1:12" ht="15" customHeight="1" x14ac:dyDescent="0.3">
      <c r="A4097" s="23" t="s">
        <v>17321</v>
      </c>
      <c r="B4097" s="23" t="s">
        <v>75</v>
      </c>
      <c r="C4097" s="39">
        <v>999</v>
      </c>
      <c r="D4097" s="24">
        <v>0</v>
      </c>
      <c r="E4097" s="24">
        <v>0</v>
      </c>
      <c r="F4097" s="23">
        <f>COUNTIFS(mdr_rate_cleaned!$A$2:$A$10,B4097,mdr_rate_cleaned!$B$2:$B$10,"&lt;"&amp;C4097,mdr_rate_cleaned!$F$2:$F$10,"&gt;="&amp;C4097)</f>
        <v>1</v>
      </c>
      <c r="G4097" s="40">
        <f>SUMIFS(mdr_rate_cleaned!$G$2:$G$10,mdr_rate_cleaned!$A$2:$A$10,B4097,mdr_rate_cleaned!$B$2:$B$10,"&lt;"&amp;C4097,mdr_rate_cleaned!$F$2:$F$10,"&gt;="&amp;C4097)</f>
        <v>0</v>
      </c>
      <c r="H4097" s="24">
        <f t="shared" si="315"/>
        <v>0</v>
      </c>
      <c r="I4097" s="23" t="str">
        <f t="shared" si="316"/>
        <v>Match</v>
      </c>
      <c r="J4097" s="23" t="str">
        <f t="shared" si="317"/>
        <v>Match</v>
      </c>
      <c r="K4097" s="24">
        <f t="shared" si="318"/>
        <v>0</v>
      </c>
      <c r="L4097" s="24">
        <f t="shared" si="319"/>
        <v>0</v>
      </c>
    </row>
    <row r="4098" spans="1:12" ht="15" customHeight="1" x14ac:dyDescent="0.3">
      <c r="A4098" s="23" t="s">
        <v>17322</v>
      </c>
      <c r="B4098" s="23" t="s">
        <v>75</v>
      </c>
      <c r="C4098" s="39">
        <v>8498</v>
      </c>
      <c r="D4098" s="24">
        <v>25.49</v>
      </c>
      <c r="E4098" s="24">
        <v>4.59</v>
      </c>
      <c r="F4098" s="23">
        <f>COUNTIFS(mdr_rate_cleaned!$A$2:$A$10,B4098,mdr_rate_cleaned!$B$2:$B$10,"&lt;"&amp;C4098,mdr_rate_cleaned!$F$2:$F$10,"&gt;="&amp;C4098)</f>
        <v>1</v>
      </c>
      <c r="G4098" s="40">
        <f>SUMIFS(mdr_rate_cleaned!$G$2:$G$10,mdr_rate_cleaned!$A$2:$A$10,B4098,mdr_rate_cleaned!$B$2:$B$10,"&lt;"&amp;C4098,mdr_rate_cleaned!$F$2:$F$10,"&gt;="&amp;C4098)</f>
        <v>3.0000000000000001E-3</v>
      </c>
      <c r="H4098" s="24">
        <f t="shared" ref="H4098:H4161" si="320">ROUND(C4098*G4098,2)</f>
        <v>25.49</v>
      </c>
      <c r="I4098" s="23" t="str">
        <f t="shared" ref="I4098:I4161" si="321">IF(ROUND(D4098-H4098,2)=0,"Match","Differs")</f>
        <v>Match</v>
      </c>
      <c r="J4098" s="23" t="str">
        <f t="shared" ref="J4098:J4161" si="322">IF(ROUND(E4098-ROUND(D4098*0.18,2),2)=0,"Match","Differs")</f>
        <v>Match</v>
      </c>
      <c r="K4098" s="24">
        <f t="shared" ref="K4098:K4161" si="323">ROUND(H4098*0.18,2)</f>
        <v>4.59</v>
      </c>
      <c r="L4098" s="24">
        <f t="shared" ref="L4098:L4161" si="324">ROUND(D4098+E4098-H4098-K4098,2)</f>
        <v>0</v>
      </c>
    </row>
    <row r="4099" spans="1:12" ht="15" customHeight="1" x14ac:dyDescent="0.3">
      <c r="A4099" s="23" t="s">
        <v>17323</v>
      </c>
      <c r="B4099" s="23" t="s">
        <v>75</v>
      </c>
      <c r="C4099" s="39">
        <v>999</v>
      </c>
      <c r="D4099" s="24">
        <v>0</v>
      </c>
      <c r="E4099" s="24">
        <v>0</v>
      </c>
      <c r="F4099" s="23">
        <f>COUNTIFS(mdr_rate_cleaned!$A$2:$A$10,B4099,mdr_rate_cleaned!$B$2:$B$10,"&lt;"&amp;C4099,mdr_rate_cleaned!$F$2:$F$10,"&gt;="&amp;C4099)</f>
        <v>1</v>
      </c>
      <c r="G4099" s="40">
        <f>SUMIFS(mdr_rate_cleaned!$G$2:$G$10,mdr_rate_cleaned!$A$2:$A$10,B4099,mdr_rate_cleaned!$B$2:$B$10,"&lt;"&amp;C4099,mdr_rate_cleaned!$F$2:$F$10,"&gt;="&amp;C4099)</f>
        <v>0</v>
      </c>
      <c r="H4099" s="24">
        <f t="shared" si="320"/>
        <v>0</v>
      </c>
      <c r="I4099" s="23" t="str">
        <f t="shared" si="321"/>
        <v>Match</v>
      </c>
      <c r="J4099" s="23" t="str">
        <f t="shared" si="322"/>
        <v>Match</v>
      </c>
      <c r="K4099" s="24">
        <f t="shared" si="323"/>
        <v>0</v>
      </c>
      <c r="L4099" s="24">
        <f t="shared" si="324"/>
        <v>0</v>
      </c>
    </row>
    <row r="4100" spans="1:12" ht="15" customHeight="1" x14ac:dyDescent="0.3">
      <c r="A4100" s="23" t="s">
        <v>17325</v>
      </c>
      <c r="B4100" s="23" t="s">
        <v>75</v>
      </c>
      <c r="C4100" s="39">
        <v>1598</v>
      </c>
      <c r="D4100" s="24">
        <v>0</v>
      </c>
      <c r="E4100" s="24">
        <v>0</v>
      </c>
      <c r="F4100" s="23">
        <f>COUNTIFS(mdr_rate_cleaned!$A$2:$A$10,B4100,mdr_rate_cleaned!$B$2:$B$10,"&lt;"&amp;C4100,mdr_rate_cleaned!$F$2:$F$10,"&gt;="&amp;C4100)</f>
        <v>1</v>
      </c>
      <c r="G4100" s="40">
        <f>SUMIFS(mdr_rate_cleaned!$G$2:$G$10,mdr_rate_cleaned!$A$2:$A$10,B4100,mdr_rate_cleaned!$B$2:$B$10,"&lt;"&amp;C4100,mdr_rate_cleaned!$F$2:$F$10,"&gt;="&amp;C4100)</f>
        <v>0</v>
      </c>
      <c r="H4100" s="24">
        <f t="shared" si="320"/>
        <v>0</v>
      </c>
      <c r="I4100" s="23" t="str">
        <f t="shared" si="321"/>
        <v>Match</v>
      </c>
      <c r="J4100" s="23" t="str">
        <f t="shared" si="322"/>
        <v>Match</v>
      </c>
      <c r="K4100" s="24">
        <f t="shared" si="323"/>
        <v>0</v>
      </c>
      <c r="L4100" s="24">
        <f t="shared" si="324"/>
        <v>0</v>
      </c>
    </row>
    <row r="4101" spans="1:12" ht="15" customHeight="1" x14ac:dyDescent="0.3">
      <c r="A4101" s="23" t="s">
        <v>17326</v>
      </c>
      <c r="B4101" s="23" t="s">
        <v>75</v>
      </c>
      <c r="C4101" s="39">
        <v>2999</v>
      </c>
      <c r="D4101" s="24">
        <v>9</v>
      </c>
      <c r="E4101" s="24">
        <v>1.62</v>
      </c>
      <c r="F4101" s="23">
        <f>COUNTIFS(mdr_rate_cleaned!$A$2:$A$10,B4101,mdr_rate_cleaned!$B$2:$B$10,"&lt;"&amp;C4101,mdr_rate_cleaned!$F$2:$F$10,"&gt;="&amp;C4101)</f>
        <v>1</v>
      </c>
      <c r="G4101" s="40">
        <f>SUMIFS(mdr_rate_cleaned!$G$2:$G$10,mdr_rate_cleaned!$A$2:$A$10,B4101,mdr_rate_cleaned!$B$2:$B$10,"&lt;"&amp;C4101,mdr_rate_cleaned!$F$2:$F$10,"&gt;="&amp;C4101)</f>
        <v>3.0000000000000001E-3</v>
      </c>
      <c r="H4101" s="24">
        <f t="shared" si="320"/>
        <v>9</v>
      </c>
      <c r="I4101" s="23" t="str">
        <f t="shared" si="321"/>
        <v>Match</v>
      </c>
      <c r="J4101" s="23" t="str">
        <f t="shared" si="322"/>
        <v>Match</v>
      </c>
      <c r="K4101" s="24">
        <f t="shared" si="323"/>
        <v>1.62</v>
      </c>
      <c r="L4101" s="24">
        <f t="shared" si="324"/>
        <v>0</v>
      </c>
    </row>
    <row r="4102" spans="1:12" ht="15" customHeight="1" x14ac:dyDescent="0.3">
      <c r="A4102" s="23" t="s">
        <v>17327</v>
      </c>
      <c r="B4102" s="23" t="s">
        <v>79</v>
      </c>
      <c r="C4102" s="39">
        <v>349</v>
      </c>
      <c r="D4102" s="24">
        <v>6.28</v>
      </c>
      <c r="E4102" s="24">
        <v>1.1299999999999999</v>
      </c>
      <c r="F4102" s="23">
        <f>COUNTIFS(mdr_rate_cleaned!$A$2:$A$10,B4102,mdr_rate_cleaned!$B$2:$B$10,"&lt;"&amp;C4102,mdr_rate_cleaned!$F$2:$F$10,"&gt;="&amp;C4102)</f>
        <v>1</v>
      </c>
      <c r="G4102" s="40">
        <f>SUMIFS(mdr_rate_cleaned!$G$2:$G$10,mdr_rate_cleaned!$A$2:$A$10,B4102,mdr_rate_cleaned!$B$2:$B$10,"&lt;"&amp;C4102,mdr_rate_cleaned!$F$2:$F$10,"&gt;="&amp;C4102)</f>
        <v>1.8000000000000002E-2</v>
      </c>
      <c r="H4102" s="24">
        <f t="shared" si="320"/>
        <v>6.28</v>
      </c>
      <c r="I4102" s="23" t="str">
        <f t="shared" si="321"/>
        <v>Match</v>
      </c>
      <c r="J4102" s="23" t="str">
        <f t="shared" si="322"/>
        <v>Match</v>
      </c>
      <c r="K4102" s="24">
        <f t="shared" si="323"/>
        <v>1.1299999999999999</v>
      </c>
      <c r="L4102" s="24">
        <f t="shared" si="324"/>
        <v>0</v>
      </c>
    </row>
    <row r="4103" spans="1:12" ht="15" customHeight="1" x14ac:dyDescent="0.3">
      <c r="A4103" s="23" t="s">
        <v>17328</v>
      </c>
      <c r="B4103" s="23" t="s">
        <v>75</v>
      </c>
      <c r="C4103" s="39">
        <v>1299</v>
      </c>
      <c r="D4103" s="24">
        <v>0</v>
      </c>
      <c r="E4103" s="24">
        <v>0</v>
      </c>
      <c r="F4103" s="23">
        <f>COUNTIFS(mdr_rate_cleaned!$A$2:$A$10,B4103,mdr_rate_cleaned!$B$2:$B$10,"&lt;"&amp;C4103,mdr_rate_cleaned!$F$2:$F$10,"&gt;="&amp;C4103)</f>
        <v>1</v>
      </c>
      <c r="G4103" s="40">
        <f>SUMIFS(mdr_rate_cleaned!$G$2:$G$10,mdr_rate_cleaned!$A$2:$A$10,B4103,mdr_rate_cleaned!$B$2:$B$10,"&lt;"&amp;C4103,mdr_rate_cleaned!$F$2:$F$10,"&gt;="&amp;C4103)</f>
        <v>0</v>
      </c>
      <c r="H4103" s="24">
        <f t="shared" si="320"/>
        <v>0</v>
      </c>
      <c r="I4103" s="23" t="str">
        <f t="shared" si="321"/>
        <v>Match</v>
      </c>
      <c r="J4103" s="23" t="str">
        <f t="shared" si="322"/>
        <v>Match</v>
      </c>
      <c r="K4103" s="24">
        <f t="shared" si="323"/>
        <v>0</v>
      </c>
      <c r="L4103" s="24">
        <f t="shared" si="324"/>
        <v>0</v>
      </c>
    </row>
    <row r="4104" spans="1:12" ht="15" customHeight="1" x14ac:dyDescent="0.3">
      <c r="A4104" s="23" t="s">
        <v>17329</v>
      </c>
      <c r="B4104" s="23" t="s">
        <v>75</v>
      </c>
      <c r="C4104" s="39">
        <v>999</v>
      </c>
      <c r="D4104" s="24">
        <v>0</v>
      </c>
      <c r="E4104" s="24">
        <v>0</v>
      </c>
      <c r="F4104" s="23">
        <f>COUNTIFS(mdr_rate_cleaned!$A$2:$A$10,B4104,mdr_rate_cleaned!$B$2:$B$10,"&lt;"&amp;C4104,mdr_rate_cleaned!$F$2:$F$10,"&gt;="&amp;C4104)</f>
        <v>1</v>
      </c>
      <c r="G4104" s="40">
        <f>SUMIFS(mdr_rate_cleaned!$G$2:$G$10,mdr_rate_cleaned!$A$2:$A$10,B4104,mdr_rate_cleaned!$B$2:$B$10,"&lt;"&amp;C4104,mdr_rate_cleaned!$F$2:$F$10,"&gt;="&amp;C4104)</f>
        <v>0</v>
      </c>
      <c r="H4104" s="24">
        <f t="shared" si="320"/>
        <v>0</v>
      </c>
      <c r="I4104" s="23" t="str">
        <f t="shared" si="321"/>
        <v>Match</v>
      </c>
      <c r="J4104" s="23" t="str">
        <f t="shared" si="322"/>
        <v>Match</v>
      </c>
      <c r="K4104" s="24">
        <f t="shared" si="323"/>
        <v>0</v>
      </c>
      <c r="L4104" s="24">
        <f t="shared" si="324"/>
        <v>0</v>
      </c>
    </row>
    <row r="4105" spans="1:12" ht="15" customHeight="1" x14ac:dyDescent="0.3">
      <c r="A4105" s="23" t="s">
        <v>17330</v>
      </c>
      <c r="B4105" s="23" t="s">
        <v>75</v>
      </c>
      <c r="C4105" s="39">
        <v>599</v>
      </c>
      <c r="D4105" s="24">
        <v>0</v>
      </c>
      <c r="E4105" s="24">
        <v>0</v>
      </c>
      <c r="F4105" s="23">
        <f>COUNTIFS(mdr_rate_cleaned!$A$2:$A$10,B4105,mdr_rate_cleaned!$B$2:$B$10,"&lt;"&amp;C4105,mdr_rate_cleaned!$F$2:$F$10,"&gt;="&amp;C4105)</f>
        <v>1</v>
      </c>
      <c r="G4105" s="40">
        <f>SUMIFS(mdr_rate_cleaned!$G$2:$G$10,mdr_rate_cleaned!$A$2:$A$10,B4105,mdr_rate_cleaned!$B$2:$B$10,"&lt;"&amp;C4105,mdr_rate_cleaned!$F$2:$F$10,"&gt;="&amp;C4105)</f>
        <v>0</v>
      </c>
      <c r="H4105" s="24">
        <f t="shared" si="320"/>
        <v>0</v>
      </c>
      <c r="I4105" s="23" t="str">
        <f t="shared" si="321"/>
        <v>Match</v>
      </c>
      <c r="J4105" s="23" t="str">
        <f t="shared" si="322"/>
        <v>Match</v>
      </c>
      <c r="K4105" s="24">
        <f t="shared" si="323"/>
        <v>0</v>
      </c>
      <c r="L4105" s="24">
        <f t="shared" si="324"/>
        <v>0</v>
      </c>
    </row>
    <row r="4106" spans="1:12" ht="15" customHeight="1" x14ac:dyDescent="0.3">
      <c r="A4106" s="23" t="s">
        <v>17331</v>
      </c>
      <c r="B4106" s="23" t="s">
        <v>81</v>
      </c>
      <c r="C4106" s="39">
        <v>2798</v>
      </c>
      <c r="D4106" s="24">
        <v>33.58</v>
      </c>
      <c r="E4106" s="24">
        <v>6.04</v>
      </c>
      <c r="F4106" s="23">
        <f>COUNTIFS(mdr_rate_cleaned!$A$2:$A$10,B4106,mdr_rate_cleaned!$B$2:$B$10,"&lt;"&amp;C4106,mdr_rate_cleaned!$F$2:$F$10,"&gt;="&amp;C4106)</f>
        <v>1</v>
      </c>
      <c r="G4106" s="40">
        <f>SUMIFS(mdr_rate_cleaned!$G$2:$G$10,mdr_rate_cleaned!$A$2:$A$10,B4106,mdr_rate_cleaned!$B$2:$B$10,"&lt;"&amp;C4106,mdr_rate_cleaned!$F$2:$F$10,"&gt;="&amp;C4106)</f>
        <v>1.2E-2</v>
      </c>
      <c r="H4106" s="24">
        <f t="shared" si="320"/>
        <v>33.58</v>
      </c>
      <c r="I4106" s="23" t="str">
        <f t="shared" si="321"/>
        <v>Match</v>
      </c>
      <c r="J4106" s="23" t="str">
        <f t="shared" si="322"/>
        <v>Match</v>
      </c>
      <c r="K4106" s="24">
        <f t="shared" si="323"/>
        <v>6.04</v>
      </c>
      <c r="L4106" s="24">
        <f t="shared" si="324"/>
        <v>0</v>
      </c>
    </row>
    <row r="4107" spans="1:12" ht="15" customHeight="1" x14ac:dyDescent="0.3">
      <c r="A4107" s="23" t="s">
        <v>17332</v>
      </c>
      <c r="B4107" s="23" t="s">
        <v>75</v>
      </c>
      <c r="C4107" s="39">
        <v>349</v>
      </c>
      <c r="D4107" s="24">
        <v>0</v>
      </c>
      <c r="E4107" s="24">
        <v>0</v>
      </c>
      <c r="F4107" s="23">
        <f>COUNTIFS(mdr_rate_cleaned!$A$2:$A$10,B4107,mdr_rate_cleaned!$B$2:$B$10,"&lt;"&amp;C4107,mdr_rate_cleaned!$F$2:$F$10,"&gt;="&amp;C4107)</f>
        <v>1</v>
      </c>
      <c r="G4107" s="40">
        <f>SUMIFS(mdr_rate_cleaned!$G$2:$G$10,mdr_rate_cleaned!$A$2:$A$10,B4107,mdr_rate_cleaned!$B$2:$B$10,"&lt;"&amp;C4107,mdr_rate_cleaned!$F$2:$F$10,"&gt;="&amp;C4107)</f>
        <v>0</v>
      </c>
      <c r="H4107" s="24">
        <f t="shared" si="320"/>
        <v>0</v>
      </c>
      <c r="I4107" s="23" t="str">
        <f t="shared" si="321"/>
        <v>Match</v>
      </c>
      <c r="J4107" s="23" t="str">
        <f t="shared" si="322"/>
        <v>Match</v>
      </c>
      <c r="K4107" s="24">
        <f t="shared" si="323"/>
        <v>0</v>
      </c>
      <c r="L4107" s="24">
        <f t="shared" si="324"/>
        <v>0</v>
      </c>
    </row>
    <row r="4108" spans="1:12" ht="15" customHeight="1" x14ac:dyDescent="0.3">
      <c r="A4108" s="23" t="s">
        <v>17333</v>
      </c>
      <c r="B4108" s="23" t="s">
        <v>75</v>
      </c>
      <c r="C4108" s="39">
        <v>9297</v>
      </c>
      <c r="D4108" s="24">
        <v>27.89</v>
      </c>
      <c r="E4108" s="24">
        <v>5.0199999999999996</v>
      </c>
      <c r="F4108" s="23">
        <f>COUNTIFS(mdr_rate_cleaned!$A$2:$A$10,B4108,mdr_rate_cleaned!$B$2:$B$10,"&lt;"&amp;C4108,mdr_rate_cleaned!$F$2:$F$10,"&gt;="&amp;C4108)</f>
        <v>1</v>
      </c>
      <c r="G4108" s="40">
        <f>SUMIFS(mdr_rate_cleaned!$G$2:$G$10,mdr_rate_cleaned!$A$2:$A$10,B4108,mdr_rate_cleaned!$B$2:$B$10,"&lt;"&amp;C4108,mdr_rate_cleaned!$F$2:$F$10,"&gt;="&amp;C4108)</f>
        <v>3.0000000000000001E-3</v>
      </c>
      <c r="H4108" s="24">
        <f t="shared" si="320"/>
        <v>27.89</v>
      </c>
      <c r="I4108" s="23" t="str">
        <f t="shared" si="321"/>
        <v>Match</v>
      </c>
      <c r="J4108" s="23" t="str">
        <f t="shared" si="322"/>
        <v>Match</v>
      </c>
      <c r="K4108" s="24">
        <f t="shared" si="323"/>
        <v>5.0199999999999996</v>
      </c>
      <c r="L4108" s="24">
        <f t="shared" si="324"/>
        <v>0</v>
      </c>
    </row>
    <row r="4109" spans="1:12" ht="15" customHeight="1" x14ac:dyDescent="0.3">
      <c r="A4109" s="23" t="s">
        <v>17334</v>
      </c>
      <c r="B4109" s="23" t="s">
        <v>75</v>
      </c>
      <c r="C4109" s="39">
        <v>2999</v>
      </c>
      <c r="D4109" s="24">
        <v>9</v>
      </c>
      <c r="E4109" s="24">
        <v>1.62</v>
      </c>
      <c r="F4109" s="23">
        <f>COUNTIFS(mdr_rate_cleaned!$A$2:$A$10,B4109,mdr_rate_cleaned!$B$2:$B$10,"&lt;"&amp;C4109,mdr_rate_cleaned!$F$2:$F$10,"&gt;="&amp;C4109)</f>
        <v>1</v>
      </c>
      <c r="G4109" s="40">
        <f>SUMIFS(mdr_rate_cleaned!$G$2:$G$10,mdr_rate_cleaned!$A$2:$A$10,B4109,mdr_rate_cleaned!$B$2:$B$10,"&lt;"&amp;C4109,mdr_rate_cleaned!$F$2:$F$10,"&gt;="&amp;C4109)</f>
        <v>3.0000000000000001E-3</v>
      </c>
      <c r="H4109" s="24">
        <f t="shared" si="320"/>
        <v>9</v>
      </c>
      <c r="I4109" s="23" t="str">
        <f t="shared" si="321"/>
        <v>Match</v>
      </c>
      <c r="J4109" s="23" t="str">
        <f t="shared" si="322"/>
        <v>Match</v>
      </c>
      <c r="K4109" s="24">
        <f t="shared" si="323"/>
        <v>1.62</v>
      </c>
      <c r="L4109" s="24">
        <f t="shared" si="324"/>
        <v>0</v>
      </c>
    </row>
    <row r="4110" spans="1:12" ht="15" customHeight="1" x14ac:dyDescent="0.3">
      <c r="A4110" s="23" t="s">
        <v>17335</v>
      </c>
      <c r="B4110" s="23" t="s">
        <v>77</v>
      </c>
      <c r="C4110" s="39">
        <v>5498</v>
      </c>
      <c r="D4110" s="24">
        <v>131.94999999999999</v>
      </c>
      <c r="E4110" s="24">
        <v>23.75</v>
      </c>
      <c r="F4110" s="23">
        <f>COUNTIFS(mdr_rate_cleaned!$A$2:$A$10,B4110,mdr_rate_cleaned!$B$2:$B$10,"&lt;"&amp;C4110,mdr_rate_cleaned!$F$2:$F$10,"&gt;="&amp;C4110)</f>
        <v>1</v>
      </c>
      <c r="G4110" s="40">
        <f>SUMIFS(mdr_rate_cleaned!$G$2:$G$10,mdr_rate_cleaned!$A$2:$A$10,B4110,mdr_rate_cleaned!$B$2:$B$10,"&lt;"&amp;C4110,mdr_rate_cleaned!$F$2:$F$10,"&gt;="&amp;C4110)</f>
        <v>1.7000000000000001E-2</v>
      </c>
      <c r="H4110" s="24">
        <f t="shared" si="320"/>
        <v>93.47</v>
      </c>
      <c r="I4110" s="23" t="str">
        <f t="shared" si="321"/>
        <v>Differs</v>
      </c>
      <c r="J4110" s="23" t="str">
        <f t="shared" si="322"/>
        <v>Match</v>
      </c>
      <c r="K4110" s="24">
        <f t="shared" si="323"/>
        <v>16.82</v>
      </c>
      <c r="L4110" s="24">
        <f t="shared" si="324"/>
        <v>45.41</v>
      </c>
    </row>
    <row r="4111" spans="1:12" ht="15" customHeight="1" x14ac:dyDescent="0.3">
      <c r="A4111" s="23" t="s">
        <v>17336</v>
      </c>
      <c r="B4111" s="23" t="s">
        <v>79</v>
      </c>
      <c r="C4111" s="39">
        <v>9498</v>
      </c>
      <c r="D4111" s="24">
        <v>151.97</v>
      </c>
      <c r="E4111" s="24">
        <v>27.35</v>
      </c>
      <c r="F4111" s="23">
        <f>COUNTIFS(mdr_rate_cleaned!$A$2:$A$10,B4111,mdr_rate_cleaned!$B$2:$B$10,"&lt;"&amp;C4111,mdr_rate_cleaned!$F$2:$F$10,"&gt;="&amp;C4111)</f>
        <v>1</v>
      </c>
      <c r="G4111" s="40">
        <f>SUMIFS(mdr_rate_cleaned!$G$2:$G$10,mdr_rate_cleaned!$A$2:$A$10,B4111,mdr_rate_cleaned!$B$2:$B$10,"&lt;"&amp;C4111,mdr_rate_cleaned!$F$2:$F$10,"&gt;="&amp;C4111)</f>
        <v>1.6E-2</v>
      </c>
      <c r="H4111" s="24">
        <f t="shared" si="320"/>
        <v>151.97</v>
      </c>
      <c r="I4111" s="23" t="str">
        <f t="shared" si="321"/>
        <v>Match</v>
      </c>
      <c r="J4111" s="23" t="str">
        <f t="shared" si="322"/>
        <v>Match</v>
      </c>
      <c r="K4111" s="24">
        <f t="shared" si="323"/>
        <v>27.35</v>
      </c>
      <c r="L4111" s="24">
        <f t="shared" si="324"/>
        <v>0</v>
      </c>
    </row>
    <row r="4112" spans="1:12" ht="15" customHeight="1" x14ac:dyDescent="0.3">
      <c r="A4112" s="23" t="s">
        <v>17337</v>
      </c>
      <c r="B4112" s="23" t="s">
        <v>75</v>
      </c>
      <c r="C4112" s="39">
        <v>349</v>
      </c>
      <c r="D4112" s="24">
        <v>0</v>
      </c>
      <c r="E4112" s="24">
        <v>0</v>
      </c>
      <c r="F4112" s="23">
        <f>COUNTIFS(mdr_rate_cleaned!$A$2:$A$10,B4112,mdr_rate_cleaned!$B$2:$B$10,"&lt;"&amp;C4112,mdr_rate_cleaned!$F$2:$F$10,"&gt;="&amp;C4112)</f>
        <v>1</v>
      </c>
      <c r="G4112" s="40">
        <f>SUMIFS(mdr_rate_cleaned!$G$2:$G$10,mdr_rate_cleaned!$A$2:$A$10,B4112,mdr_rate_cleaned!$B$2:$B$10,"&lt;"&amp;C4112,mdr_rate_cleaned!$F$2:$F$10,"&gt;="&amp;C4112)</f>
        <v>0</v>
      </c>
      <c r="H4112" s="24">
        <f t="shared" si="320"/>
        <v>0</v>
      </c>
      <c r="I4112" s="23" t="str">
        <f t="shared" si="321"/>
        <v>Match</v>
      </c>
      <c r="J4112" s="23" t="str">
        <f t="shared" si="322"/>
        <v>Match</v>
      </c>
      <c r="K4112" s="24">
        <f t="shared" si="323"/>
        <v>0</v>
      </c>
      <c r="L4112" s="24">
        <f t="shared" si="324"/>
        <v>0</v>
      </c>
    </row>
    <row r="4113" spans="1:12" ht="15" customHeight="1" x14ac:dyDescent="0.3">
      <c r="A4113" s="23" t="s">
        <v>17338</v>
      </c>
      <c r="B4113" s="23" t="s">
        <v>75</v>
      </c>
      <c r="C4113" s="39">
        <v>999</v>
      </c>
      <c r="D4113" s="24">
        <v>0</v>
      </c>
      <c r="E4113" s="24">
        <v>0</v>
      </c>
      <c r="F4113" s="23">
        <f>COUNTIFS(mdr_rate_cleaned!$A$2:$A$10,B4113,mdr_rate_cleaned!$B$2:$B$10,"&lt;"&amp;C4113,mdr_rate_cleaned!$F$2:$F$10,"&gt;="&amp;C4113)</f>
        <v>1</v>
      </c>
      <c r="G4113" s="40">
        <f>SUMIFS(mdr_rate_cleaned!$G$2:$G$10,mdr_rate_cleaned!$A$2:$A$10,B4113,mdr_rate_cleaned!$B$2:$B$10,"&lt;"&amp;C4113,mdr_rate_cleaned!$F$2:$F$10,"&gt;="&amp;C4113)</f>
        <v>0</v>
      </c>
      <c r="H4113" s="24">
        <f t="shared" si="320"/>
        <v>0</v>
      </c>
      <c r="I4113" s="23" t="str">
        <f t="shared" si="321"/>
        <v>Match</v>
      </c>
      <c r="J4113" s="23" t="str">
        <f t="shared" si="322"/>
        <v>Match</v>
      </c>
      <c r="K4113" s="24">
        <f t="shared" si="323"/>
        <v>0</v>
      </c>
      <c r="L4113" s="24">
        <f t="shared" si="324"/>
        <v>0</v>
      </c>
    </row>
    <row r="4114" spans="1:12" ht="15" customHeight="1" x14ac:dyDescent="0.3">
      <c r="A4114" s="23" t="s">
        <v>17340</v>
      </c>
      <c r="B4114" s="23" t="s">
        <v>75</v>
      </c>
      <c r="C4114" s="39">
        <v>5598</v>
      </c>
      <c r="D4114" s="24">
        <v>16.79</v>
      </c>
      <c r="E4114" s="24">
        <v>3.02</v>
      </c>
      <c r="F4114" s="23">
        <f>COUNTIFS(mdr_rate_cleaned!$A$2:$A$10,B4114,mdr_rate_cleaned!$B$2:$B$10,"&lt;"&amp;C4114,mdr_rate_cleaned!$F$2:$F$10,"&gt;="&amp;C4114)</f>
        <v>1</v>
      </c>
      <c r="G4114" s="40">
        <f>SUMIFS(mdr_rate_cleaned!$G$2:$G$10,mdr_rate_cleaned!$A$2:$A$10,B4114,mdr_rate_cleaned!$B$2:$B$10,"&lt;"&amp;C4114,mdr_rate_cleaned!$F$2:$F$10,"&gt;="&amp;C4114)</f>
        <v>3.0000000000000001E-3</v>
      </c>
      <c r="H4114" s="24">
        <f t="shared" si="320"/>
        <v>16.79</v>
      </c>
      <c r="I4114" s="23" t="str">
        <f t="shared" si="321"/>
        <v>Match</v>
      </c>
      <c r="J4114" s="23" t="str">
        <f t="shared" si="322"/>
        <v>Match</v>
      </c>
      <c r="K4114" s="24">
        <f t="shared" si="323"/>
        <v>3.02</v>
      </c>
      <c r="L4114" s="24">
        <f t="shared" si="324"/>
        <v>0</v>
      </c>
    </row>
    <row r="4115" spans="1:12" ht="15" customHeight="1" x14ac:dyDescent="0.3">
      <c r="A4115" s="23" t="s">
        <v>17341</v>
      </c>
      <c r="B4115" s="23" t="s">
        <v>81</v>
      </c>
      <c r="C4115" s="39">
        <v>7998</v>
      </c>
      <c r="D4115" s="24">
        <v>95.98</v>
      </c>
      <c r="E4115" s="24">
        <v>17.28</v>
      </c>
      <c r="F4115" s="23">
        <f>COUNTIFS(mdr_rate_cleaned!$A$2:$A$10,B4115,mdr_rate_cleaned!$B$2:$B$10,"&lt;"&amp;C4115,mdr_rate_cleaned!$F$2:$F$10,"&gt;="&amp;C4115)</f>
        <v>1</v>
      </c>
      <c r="G4115" s="40">
        <f>SUMIFS(mdr_rate_cleaned!$G$2:$G$10,mdr_rate_cleaned!$A$2:$A$10,B4115,mdr_rate_cleaned!$B$2:$B$10,"&lt;"&amp;C4115,mdr_rate_cleaned!$F$2:$F$10,"&gt;="&amp;C4115)</f>
        <v>1.2E-2</v>
      </c>
      <c r="H4115" s="24">
        <f t="shared" si="320"/>
        <v>95.98</v>
      </c>
      <c r="I4115" s="23" t="str">
        <f t="shared" si="321"/>
        <v>Match</v>
      </c>
      <c r="J4115" s="23" t="str">
        <f t="shared" si="322"/>
        <v>Match</v>
      </c>
      <c r="K4115" s="24">
        <f t="shared" si="323"/>
        <v>17.28</v>
      </c>
      <c r="L4115" s="24">
        <f t="shared" si="324"/>
        <v>0</v>
      </c>
    </row>
    <row r="4116" spans="1:12" ht="15" customHeight="1" x14ac:dyDescent="0.3">
      <c r="A4116" s="23" t="s">
        <v>17343</v>
      </c>
      <c r="B4116" s="23" t="s">
        <v>75</v>
      </c>
      <c r="C4116" s="39">
        <v>499</v>
      </c>
      <c r="D4116" s="24">
        <v>0</v>
      </c>
      <c r="E4116" s="24">
        <v>0</v>
      </c>
      <c r="F4116" s="23">
        <f>COUNTIFS(mdr_rate_cleaned!$A$2:$A$10,B4116,mdr_rate_cleaned!$B$2:$B$10,"&lt;"&amp;C4116,mdr_rate_cleaned!$F$2:$F$10,"&gt;="&amp;C4116)</f>
        <v>1</v>
      </c>
      <c r="G4116" s="40">
        <f>SUMIFS(mdr_rate_cleaned!$G$2:$G$10,mdr_rate_cleaned!$A$2:$A$10,B4116,mdr_rate_cleaned!$B$2:$B$10,"&lt;"&amp;C4116,mdr_rate_cleaned!$F$2:$F$10,"&gt;="&amp;C4116)</f>
        <v>0</v>
      </c>
      <c r="H4116" s="24">
        <f t="shared" si="320"/>
        <v>0</v>
      </c>
      <c r="I4116" s="23" t="str">
        <f t="shared" si="321"/>
        <v>Match</v>
      </c>
      <c r="J4116" s="23" t="str">
        <f t="shared" si="322"/>
        <v>Match</v>
      </c>
      <c r="K4116" s="24">
        <f t="shared" si="323"/>
        <v>0</v>
      </c>
      <c r="L4116" s="24">
        <f t="shared" si="324"/>
        <v>0</v>
      </c>
    </row>
    <row r="4117" spans="1:12" ht="15" customHeight="1" x14ac:dyDescent="0.3">
      <c r="A4117" s="23" t="s">
        <v>17345</v>
      </c>
      <c r="B4117" s="23" t="s">
        <v>75</v>
      </c>
      <c r="C4117" s="39">
        <v>5298</v>
      </c>
      <c r="D4117" s="24">
        <v>15.89</v>
      </c>
      <c r="E4117" s="24">
        <v>2.86</v>
      </c>
      <c r="F4117" s="23">
        <f>COUNTIFS(mdr_rate_cleaned!$A$2:$A$10,B4117,mdr_rate_cleaned!$B$2:$B$10,"&lt;"&amp;C4117,mdr_rate_cleaned!$F$2:$F$10,"&gt;="&amp;C4117)</f>
        <v>1</v>
      </c>
      <c r="G4117" s="40">
        <f>SUMIFS(mdr_rate_cleaned!$G$2:$G$10,mdr_rate_cleaned!$A$2:$A$10,B4117,mdr_rate_cleaned!$B$2:$B$10,"&lt;"&amp;C4117,mdr_rate_cleaned!$F$2:$F$10,"&gt;="&amp;C4117)</f>
        <v>3.0000000000000001E-3</v>
      </c>
      <c r="H4117" s="24">
        <f t="shared" si="320"/>
        <v>15.89</v>
      </c>
      <c r="I4117" s="23" t="str">
        <f t="shared" si="321"/>
        <v>Match</v>
      </c>
      <c r="J4117" s="23" t="str">
        <f t="shared" si="322"/>
        <v>Match</v>
      </c>
      <c r="K4117" s="24">
        <f t="shared" si="323"/>
        <v>2.86</v>
      </c>
      <c r="L4117" s="24">
        <f t="shared" si="324"/>
        <v>0</v>
      </c>
    </row>
    <row r="4118" spans="1:12" ht="15" customHeight="1" x14ac:dyDescent="0.3">
      <c r="A4118" s="23" t="s">
        <v>17346</v>
      </c>
      <c r="B4118" s="23" t="s">
        <v>75</v>
      </c>
      <c r="C4118" s="39">
        <v>798</v>
      </c>
      <c r="D4118" s="24">
        <v>0</v>
      </c>
      <c r="E4118" s="24">
        <v>0</v>
      </c>
      <c r="F4118" s="23">
        <f>COUNTIFS(mdr_rate_cleaned!$A$2:$A$10,B4118,mdr_rate_cleaned!$B$2:$B$10,"&lt;"&amp;C4118,mdr_rate_cleaned!$F$2:$F$10,"&gt;="&amp;C4118)</f>
        <v>1</v>
      </c>
      <c r="G4118" s="40">
        <f>SUMIFS(mdr_rate_cleaned!$G$2:$G$10,mdr_rate_cleaned!$A$2:$A$10,B4118,mdr_rate_cleaned!$B$2:$B$10,"&lt;"&amp;C4118,mdr_rate_cleaned!$F$2:$F$10,"&gt;="&amp;C4118)</f>
        <v>0</v>
      </c>
      <c r="H4118" s="24">
        <f t="shared" si="320"/>
        <v>0</v>
      </c>
      <c r="I4118" s="23" t="str">
        <f t="shared" si="321"/>
        <v>Match</v>
      </c>
      <c r="J4118" s="23" t="str">
        <f t="shared" si="322"/>
        <v>Match</v>
      </c>
      <c r="K4118" s="24">
        <f t="shared" si="323"/>
        <v>0</v>
      </c>
      <c r="L4118" s="24">
        <f t="shared" si="324"/>
        <v>0</v>
      </c>
    </row>
    <row r="4119" spans="1:12" ht="15" customHeight="1" x14ac:dyDescent="0.3">
      <c r="A4119" s="23" t="s">
        <v>17347</v>
      </c>
      <c r="B4119" s="23" t="s">
        <v>75</v>
      </c>
      <c r="C4119" s="39">
        <v>349</v>
      </c>
      <c r="D4119" s="24">
        <v>0</v>
      </c>
      <c r="E4119" s="24">
        <v>0</v>
      </c>
      <c r="F4119" s="23">
        <f>COUNTIFS(mdr_rate_cleaned!$A$2:$A$10,B4119,mdr_rate_cleaned!$B$2:$B$10,"&lt;"&amp;C4119,mdr_rate_cleaned!$F$2:$F$10,"&gt;="&amp;C4119)</f>
        <v>1</v>
      </c>
      <c r="G4119" s="40">
        <f>SUMIFS(mdr_rate_cleaned!$G$2:$G$10,mdr_rate_cleaned!$A$2:$A$10,B4119,mdr_rate_cleaned!$B$2:$B$10,"&lt;"&amp;C4119,mdr_rate_cleaned!$F$2:$F$10,"&gt;="&amp;C4119)</f>
        <v>0</v>
      </c>
      <c r="H4119" s="24">
        <f t="shared" si="320"/>
        <v>0</v>
      </c>
      <c r="I4119" s="23" t="str">
        <f t="shared" si="321"/>
        <v>Match</v>
      </c>
      <c r="J4119" s="23" t="str">
        <f t="shared" si="322"/>
        <v>Match</v>
      </c>
      <c r="K4119" s="24">
        <f t="shared" si="323"/>
        <v>0</v>
      </c>
      <c r="L4119" s="24">
        <f t="shared" si="324"/>
        <v>0</v>
      </c>
    </row>
    <row r="4120" spans="1:12" ht="15" customHeight="1" x14ac:dyDescent="0.3">
      <c r="A4120" s="23" t="s">
        <v>17348</v>
      </c>
      <c r="B4120" s="23" t="s">
        <v>75</v>
      </c>
      <c r="C4120" s="39">
        <v>3197</v>
      </c>
      <c r="D4120" s="24">
        <v>9.59</v>
      </c>
      <c r="E4120" s="24">
        <v>1.73</v>
      </c>
      <c r="F4120" s="23">
        <f>COUNTIFS(mdr_rate_cleaned!$A$2:$A$10,B4120,mdr_rate_cleaned!$B$2:$B$10,"&lt;"&amp;C4120,mdr_rate_cleaned!$F$2:$F$10,"&gt;="&amp;C4120)</f>
        <v>1</v>
      </c>
      <c r="G4120" s="40">
        <f>SUMIFS(mdr_rate_cleaned!$G$2:$G$10,mdr_rate_cleaned!$A$2:$A$10,B4120,mdr_rate_cleaned!$B$2:$B$10,"&lt;"&amp;C4120,mdr_rate_cleaned!$F$2:$F$10,"&gt;="&amp;C4120)</f>
        <v>3.0000000000000001E-3</v>
      </c>
      <c r="H4120" s="24">
        <f t="shared" si="320"/>
        <v>9.59</v>
      </c>
      <c r="I4120" s="23" t="str">
        <f t="shared" si="321"/>
        <v>Match</v>
      </c>
      <c r="J4120" s="23" t="str">
        <f t="shared" si="322"/>
        <v>Match</v>
      </c>
      <c r="K4120" s="24">
        <f t="shared" si="323"/>
        <v>1.73</v>
      </c>
      <c r="L4120" s="24">
        <f t="shared" si="324"/>
        <v>0</v>
      </c>
    </row>
    <row r="4121" spans="1:12" ht="15" customHeight="1" x14ac:dyDescent="0.3">
      <c r="A4121" s="23" t="s">
        <v>17349</v>
      </c>
      <c r="B4121" s="23" t="s">
        <v>75</v>
      </c>
      <c r="C4121" s="39">
        <v>3298</v>
      </c>
      <c r="D4121" s="24">
        <v>9.89</v>
      </c>
      <c r="E4121" s="24">
        <v>1.78</v>
      </c>
      <c r="F4121" s="23">
        <f>COUNTIFS(mdr_rate_cleaned!$A$2:$A$10,B4121,mdr_rate_cleaned!$B$2:$B$10,"&lt;"&amp;C4121,mdr_rate_cleaned!$F$2:$F$10,"&gt;="&amp;C4121)</f>
        <v>1</v>
      </c>
      <c r="G4121" s="40">
        <f>SUMIFS(mdr_rate_cleaned!$G$2:$G$10,mdr_rate_cleaned!$A$2:$A$10,B4121,mdr_rate_cleaned!$B$2:$B$10,"&lt;"&amp;C4121,mdr_rate_cleaned!$F$2:$F$10,"&gt;="&amp;C4121)</f>
        <v>3.0000000000000001E-3</v>
      </c>
      <c r="H4121" s="24">
        <f t="shared" si="320"/>
        <v>9.89</v>
      </c>
      <c r="I4121" s="23" t="str">
        <f t="shared" si="321"/>
        <v>Match</v>
      </c>
      <c r="J4121" s="23" t="str">
        <f t="shared" si="322"/>
        <v>Match</v>
      </c>
      <c r="K4121" s="24">
        <f t="shared" si="323"/>
        <v>1.78</v>
      </c>
      <c r="L4121" s="24">
        <f t="shared" si="324"/>
        <v>0</v>
      </c>
    </row>
    <row r="4122" spans="1:12" ht="15" customHeight="1" x14ac:dyDescent="0.3">
      <c r="A4122" s="23" t="s">
        <v>17350</v>
      </c>
      <c r="B4122" s="23" t="s">
        <v>75</v>
      </c>
      <c r="C4122" s="39">
        <v>2499</v>
      </c>
      <c r="D4122" s="24">
        <v>7.5</v>
      </c>
      <c r="E4122" s="24">
        <v>1.35</v>
      </c>
      <c r="F4122" s="23">
        <f>COUNTIFS(mdr_rate_cleaned!$A$2:$A$10,B4122,mdr_rate_cleaned!$B$2:$B$10,"&lt;"&amp;C4122,mdr_rate_cleaned!$F$2:$F$10,"&gt;="&amp;C4122)</f>
        <v>1</v>
      </c>
      <c r="G4122" s="40">
        <f>SUMIFS(mdr_rate_cleaned!$G$2:$G$10,mdr_rate_cleaned!$A$2:$A$10,B4122,mdr_rate_cleaned!$B$2:$B$10,"&lt;"&amp;C4122,mdr_rate_cleaned!$F$2:$F$10,"&gt;="&amp;C4122)</f>
        <v>3.0000000000000001E-3</v>
      </c>
      <c r="H4122" s="24">
        <f t="shared" si="320"/>
        <v>7.5</v>
      </c>
      <c r="I4122" s="23" t="str">
        <f t="shared" si="321"/>
        <v>Match</v>
      </c>
      <c r="J4122" s="23" t="str">
        <f t="shared" si="322"/>
        <v>Match</v>
      </c>
      <c r="K4122" s="24">
        <f t="shared" si="323"/>
        <v>1.35</v>
      </c>
      <c r="L4122" s="24">
        <f t="shared" si="324"/>
        <v>0</v>
      </c>
    </row>
    <row r="4123" spans="1:12" ht="15" customHeight="1" x14ac:dyDescent="0.3">
      <c r="A4123" s="23" t="s">
        <v>17351</v>
      </c>
      <c r="B4123" s="23" t="s">
        <v>75</v>
      </c>
      <c r="C4123" s="39">
        <v>1598</v>
      </c>
      <c r="D4123" s="24">
        <v>0</v>
      </c>
      <c r="E4123" s="24">
        <v>0</v>
      </c>
      <c r="F4123" s="23">
        <f>COUNTIFS(mdr_rate_cleaned!$A$2:$A$10,B4123,mdr_rate_cleaned!$B$2:$B$10,"&lt;"&amp;C4123,mdr_rate_cleaned!$F$2:$F$10,"&gt;="&amp;C4123)</f>
        <v>1</v>
      </c>
      <c r="G4123" s="40">
        <f>SUMIFS(mdr_rate_cleaned!$G$2:$G$10,mdr_rate_cleaned!$A$2:$A$10,B4123,mdr_rate_cleaned!$B$2:$B$10,"&lt;"&amp;C4123,mdr_rate_cleaned!$F$2:$F$10,"&gt;="&amp;C4123)</f>
        <v>0</v>
      </c>
      <c r="H4123" s="24">
        <f t="shared" si="320"/>
        <v>0</v>
      </c>
      <c r="I4123" s="23" t="str">
        <f t="shared" si="321"/>
        <v>Match</v>
      </c>
      <c r="J4123" s="23" t="str">
        <f t="shared" si="322"/>
        <v>Match</v>
      </c>
      <c r="K4123" s="24">
        <f t="shared" si="323"/>
        <v>0</v>
      </c>
      <c r="L4123" s="24">
        <f t="shared" si="324"/>
        <v>0</v>
      </c>
    </row>
    <row r="4124" spans="1:12" ht="15" customHeight="1" x14ac:dyDescent="0.3">
      <c r="A4124" s="23" t="s">
        <v>17352</v>
      </c>
      <c r="B4124" s="23" t="s">
        <v>79</v>
      </c>
      <c r="C4124" s="39">
        <v>2097</v>
      </c>
      <c r="D4124" s="24">
        <v>33.549999999999997</v>
      </c>
      <c r="E4124" s="24">
        <v>6.04</v>
      </c>
      <c r="F4124" s="23">
        <f>COUNTIFS(mdr_rate_cleaned!$A$2:$A$10,B4124,mdr_rate_cleaned!$B$2:$B$10,"&lt;"&amp;C4124,mdr_rate_cleaned!$F$2:$F$10,"&gt;="&amp;C4124)</f>
        <v>1</v>
      </c>
      <c r="G4124" s="40">
        <f>SUMIFS(mdr_rate_cleaned!$G$2:$G$10,mdr_rate_cleaned!$A$2:$A$10,B4124,mdr_rate_cleaned!$B$2:$B$10,"&lt;"&amp;C4124,mdr_rate_cleaned!$F$2:$F$10,"&gt;="&amp;C4124)</f>
        <v>1.6E-2</v>
      </c>
      <c r="H4124" s="24">
        <f t="shared" si="320"/>
        <v>33.549999999999997</v>
      </c>
      <c r="I4124" s="23" t="str">
        <f t="shared" si="321"/>
        <v>Match</v>
      </c>
      <c r="J4124" s="23" t="str">
        <f t="shared" si="322"/>
        <v>Match</v>
      </c>
      <c r="K4124" s="24">
        <f t="shared" si="323"/>
        <v>6.04</v>
      </c>
      <c r="L4124" s="24">
        <f t="shared" si="324"/>
        <v>0</v>
      </c>
    </row>
    <row r="4125" spans="1:12" ht="15" customHeight="1" x14ac:dyDescent="0.3">
      <c r="A4125" s="23" t="s">
        <v>17353</v>
      </c>
      <c r="B4125" s="23" t="s">
        <v>79</v>
      </c>
      <c r="C4125" s="39">
        <v>3798</v>
      </c>
      <c r="D4125" s="24">
        <v>60.77</v>
      </c>
      <c r="E4125" s="24">
        <v>10.94</v>
      </c>
      <c r="F4125" s="23">
        <f>COUNTIFS(mdr_rate_cleaned!$A$2:$A$10,B4125,mdr_rate_cleaned!$B$2:$B$10,"&lt;"&amp;C4125,mdr_rate_cleaned!$F$2:$F$10,"&gt;="&amp;C4125)</f>
        <v>1</v>
      </c>
      <c r="G4125" s="40">
        <f>SUMIFS(mdr_rate_cleaned!$G$2:$G$10,mdr_rate_cleaned!$A$2:$A$10,B4125,mdr_rate_cleaned!$B$2:$B$10,"&lt;"&amp;C4125,mdr_rate_cleaned!$F$2:$F$10,"&gt;="&amp;C4125)</f>
        <v>1.6E-2</v>
      </c>
      <c r="H4125" s="24">
        <f t="shared" si="320"/>
        <v>60.77</v>
      </c>
      <c r="I4125" s="23" t="str">
        <f t="shared" si="321"/>
        <v>Match</v>
      </c>
      <c r="J4125" s="23" t="str">
        <f t="shared" si="322"/>
        <v>Match</v>
      </c>
      <c r="K4125" s="24">
        <f t="shared" si="323"/>
        <v>10.94</v>
      </c>
      <c r="L4125" s="24">
        <f t="shared" si="324"/>
        <v>0</v>
      </c>
    </row>
    <row r="4126" spans="1:12" ht="15" customHeight="1" x14ac:dyDescent="0.3">
      <c r="A4126" s="23" t="s">
        <v>17354</v>
      </c>
      <c r="B4126" s="23" t="s">
        <v>75</v>
      </c>
      <c r="C4126" s="39">
        <v>6797</v>
      </c>
      <c r="D4126" s="24">
        <v>20.39</v>
      </c>
      <c r="E4126" s="24">
        <v>3.67</v>
      </c>
      <c r="F4126" s="23">
        <f>COUNTIFS(mdr_rate_cleaned!$A$2:$A$10,B4126,mdr_rate_cleaned!$B$2:$B$10,"&lt;"&amp;C4126,mdr_rate_cleaned!$F$2:$F$10,"&gt;="&amp;C4126)</f>
        <v>1</v>
      </c>
      <c r="G4126" s="40">
        <f>SUMIFS(mdr_rate_cleaned!$G$2:$G$10,mdr_rate_cleaned!$A$2:$A$10,B4126,mdr_rate_cleaned!$B$2:$B$10,"&lt;"&amp;C4126,mdr_rate_cleaned!$F$2:$F$10,"&gt;="&amp;C4126)</f>
        <v>3.0000000000000001E-3</v>
      </c>
      <c r="H4126" s="24">
        <f t="shared" si="320"/>
        <v>20.39</v>
      </c>
      <c r="I4126" s="23" t="str">
        <f t="shared" si="321"/>
        <v>Match</v>
      </c>
      <c r="J4126" s="23" t="str">
        <f t="shared" si="322"/>
        <v>Match</v>
      </c>
      <c r="K4126" s="24">
        <f t="shared" si="323"/>
        <v>3.67</v>
      </c>
      <c r="L4126" s="24">
        <f t="shared" si="324"/>
        <v>0</v>
      </c>
    </row>
    <row r="4127" spans="1:12" ht="15" customHeight="1" x14ac:dyDescent="0.3">
      <c r="A4127" s="23" t="s">
        <v>17355</v>
      </c>
      <c r="B4127" s="23" t="s">
        <v>81</v>
      </c>
      <c r="C4127" s="39">
        <v>499</v>
      </c>
      <c r="D4127" s="24">
        <v>7.49</v>
      </c>
      <c r="E4127" s="24">
        <v>1.35</v>
      </c>
      <c r="F4127" s="23">
        <f>COUNTIFS(mdr_rate_cleaned!$A$2:$A$10,B4127,mdr_rate_cleaned!$B$2:$B$10,"&lt;"&amp;C4127,mdr_rate_cleaned!$F$2:$F$10,"&gt;="&amp;C4127)</f>
        <v>1</v>
      </c>
      <c r="G4127" s="40">
        <f>SUMIFS(mdr_rate_cleaned!$G$2:$G$10,mdr_rate_cleaned!$A$2:$A$10,B4127,mdr_rate_cleaned!$B$2:$B$10,"&lt;"&amp;C4127,mdr_rate_cleaned!$F$2:$F$10,"&gt;="&amp;C4127)</f>
        <v>1.4999999999999999E-2</v>
      </c>
      <c r="H4127" s="24">
        <f t="shared" si="320"/>
        <v>7.49</v>
      </c>
      <c r="I4127" s="23" t="str">
        <f t="shared" si="321"/>
        <v>Match</v>
      </c>
      <c r="J4127" s="23" t="str">
        <f t="shared" si="322"/>
        <v>Match</v>
      </c>
      <c r="K4127" s="24">
        <f t="shared" si="323"/>
        <v>1.35</v>
      </c>
      <c r="L4127" s="24">
        <f t="shared" si="324"/>
        <v>0</v>
      </c>
    </row>
    <row r="4128" spans="1:12" ht="15" customHeight="1" x14ac:dyDescent="0.3">
      <c r="A4128" s="23" t="s">
        <v>17356</v>
      </c>
      <c r="B4128" s="23" t="s">
        <v>75</v>
      </c>
      <c r="C4128" s="39">
        <v>7999</v>
      </c>
      <c r="D4128" s="24">
        <v>24</v>
      </c>
      <c r="E4128" s="24">
        <v>4.32</v>
      </c>
      <c r="F4128" s="23">
        <f>COUNTIFS(mdr_rate_cleaned!$A$2:$A$10,B4128,mdr_rate_cleaned!$B$2:$B$10,"&lt;"&amp;C4128,mdr_rate_cleaned!$F$2:$F$10,"&gt;="&amp;C4128)</f>
        <v>1</v>
      </c>
      <c r="G4128" s="40">
        <f>SUMIFS(mdr_rate_cleaned!$G$2:$G$10,mdr_rate_cleaned!$A$2:$A$10,B4128,mdr_rate_cleaned!$B$2:$B$10,"&lt;"&amp;C4128,mdr_rate_cleaned!$F$2:$F$10,"&gt;="&amp;C4128)</f>
        <v>3.0000000000000001E-3</v>
      </c>
      <c r="H4128" s="24">
        <f t="shared" si="320"/>
        <v>24</v>
      </c>
      <c r="I4128" s="23" t="str">
        <f t="shared" si="321"/>
        <v>Match</v>
      </c>
      <c r="J4128" s="23" t="str">
        <f t="shared" si="322"/>
        <v>Match</v>
      </c>
      <c r="K4128" s="24">
        <f t="shared" si="323"/>
        <v>4.32</v>
      </c>
      <c r="L4128" s="24">
        <f t="shared" si="324"/>
        <v>0</v>
      </c>
    </row>
    <row r="4129" spans="1:12" ht="15" customHeight="1" x14ac:dyDescent="0.3">
      <c r="A4129" s="23" t="s">
        <v>17357</v>
      </c>
      <c r="B4129" s="23" t="s">
        <v>77</v>
      </c>
      <c r="C4129" s="39">
        <v>7999</v>
      </c>
      <c r="D4129" s="24">
        <v>135.97999999999999</v>
      </c>
      <c r="E4129" s="24">
        <v>24.48</v>
      </c>
      <c r="F4129" s="23">
        <f>COUNTIFS(mdr_rate_cleaned!$A$2:$A$10,B4129,mdr_rate_cleaned!$B$2:$B$10,"&lt;"&amp;C4129,mdr_rate_cleaned!$F$2:$F$10,"&gt;="&amp;C4129)</f>
        <v>1</v>
      </c>
      <c r="G4129" s="40">
        <f>SUMIFS(mdr_rate_cleaned!$G$2:$G$10,mdr_rate_cleaned!$A$2:$A$10,B4129,mdr_rate_cleaned!$B$2:$B$10,"&lt;"&amp;C4129,mdr_rate_cleaned!$F$2:$F$10,"&gt;="&amp;C4129)</f>
        <v>1.7000000000000001E-2</v>
      </c>
      <c r="H4129" s="24">
        <f t="shared" si="320"/>
        <v>135.97999999999999</v>
      </c>
      <c r="I4129" s="23" t="str">
        <f t="shared" si="321"/>
        <v>Match</v>
      </c>
      <c r="J4129" s="23" t="str">
        <f t="shared" si="322"/>
        <v>Match</v>
      </c>
      <c r="K4129" s="24">
        <f t="shared" si="323"/>
        <v>24.48</v>
      </c>
      <c r="L4129" s="24">
        <f t="shared" si="324"/>
        <v>0</v>
      </c>
    </row>
    <row r="4130" spans="1:12" ht="15" customHeight="1" x14ac:dyDescent="0.3">
      <c r="A4130" s="23" t="s">
        <v>17358</v>
      </c>
      <c r="B4130" s="23" t="s">
        <v>79</v>
      </c>
      <c r="C4130" s="39">
        <v>8298</v>
      </c>
      <c r="D4130" s="24">
        <v>132.77000000000001</v>
      </c>
      <c r="E4130" s="24">
        <v>23.9</v>
      </c>
      <c r="F4130" s="23">
        <f>COUNTIFS(mdr_rate_cleaned!$A$2:$A$10,B4130,mdr_rate_cleaned!$B$2:$B$10,"&lt;"&amp;C4130,mdr_rate_cleaned!$F$2:$F$10,"&gt;="&amp;C4130)</f>
        <v>1</v>
      </c>
      <c r="G4130" s="40">
        <f>SUMIFS(mdr_rate_cleaned!$G$2:$G$10,mdr_rate_cleaned!$A$2:$A$10,B4130,mdr_rate_cleaned!$B$2:$B$10,"&lt;"&amp;C4130,mdr_rate_cleaned!$F$2:$F$10,"&gt;="&amp;C4130)</f>
        <v>1.6E-2</v>
      </c>
      <c r="H4130" s="24">
        <f t="shared" si="320"/>
        <v>132.77000000000001</v>
      </c>
      <c r="I4130" s="23" t="str">
        <f t="shared" si="321"/>
        <v>Match</v>
      </c>
      <c r="J4130" s="23" t="str">
        <f t="shared" si="322"/>
        <v>Match</v>
      </c>
      <c r="K4130" s="24">
        <f t="shared" si="323"/>
        <v>23.9</v>
      </c>
      <c r="L4130" s="24">
        <f t="shared" si="324"/>
        <v>0</v>
      </c>
    </row>
    <row r="4131" spans="1:12" ht="15" customHeight="1" x14ac:dyDescent="0.3">
      <c r="A4131" s="23" t="s">
        <v>17359</v>
      </c>
      <c r="B4131" s="23" t="s">
        <v>79</v>
      </c>
      <c r="C4131" s="39">
        <v>15998</v>
      </c>
      <c r="D4131" s="24">
        <v>255.97</v>
      </c>
      <c r="E4131" s="24">
        <v>46.07</v>
      </c>
      <c r="F4131" s="23">
        <f>COUNTIFS(mdr_rate_cleaned!$A$2:$A$10,B4131,mdr_rate_cleaned!$B$2:$B$10,"&lt;"&amp;C4131,mdr_rate_cleaned!$F$2:$F$10,"&gt;="&amp;C4131)</f>
        <v>1</v>
      </c>
      <c r="G4131" s="40">
        <f>SUMIFS(mdr_rate_cleaned!$G$2:$G$10,mdr_rate_cleaned!$A$2:$A$10,B4131,mdr_rate_cleaned!$B$2:$B$10,"&lt;"&amp;C4131,mdr_rate_cleaned!$F$2:$F$10,"&gt;="&amp;C4131)</f>
        <v>1.6E-2</v>
      </c>
      <c r="H4131" s="24">
        <f t="shared" si="320"/>
        <v>255.97</v>
      </c>
      <c r="I4131" s="23" t="str">
        <f t="shared" si="321"/>
        <v>Match</v>
      </c>
      <c r="J4131" s="23" t="str">
        <f t="shared" si="322"/>
        <v>Match</v>
      </c>
      <c r="K4131" s="24">
        <f t="shared" si="323"/>
        <v>46.07</v>
      </c>
      <c r="L4131" s="24">
        <f t="shared" si="324"/>
        <v>0</v>
      </c>
    </row>
    <row r="4132" spans="1:12" ht="15" customHeight="1" x14ac:dyDescent="0.3">
      <c r="A4132" s="23" t="s">
        <v>17360</v>
      </c>
      <c r="B4132" s="23" t="s">
        <v>75</v>
      </c>
      <c r="C4132" s="39">
        <v>4298</v>
      </c>
      <c r="D4132" s="24">
        <v>12.89</v>
      </c>
      <c r="E4132" s="24">
        <v>2.3199999999999998</v>
      </c>
      <c r="F4132" s="23">
        <f>COUNTIFS(mdr_rate_cleaned!$A$2:$A$10,B4132,mdr_rate_cleaned!$B$2:$B$10,"&lt;"&amp;C4132,mdr_rate_cleaned!$F$2:$F$10,"&gt;="&amp;C4132)</f>
        <v>1</v>
      </c>
      <c r="G4132" s="40">
        <f>SUMIFS(mdr_rate_cleaned!$G$2:$G$10,mdr_rate_cleaned!$A$2:$A$10,B4132,mdr_rate_cleaned!$B$2:$B$10,"&lt;"&amp;C4132,mdr_rate_cleaned!$F$2:$F$10,"&gt;="&amp;C4132)</f>
        <v>3.0000000000000001E-3</v>
      </c>
      <c r="H4132" s="24">
        <f t="shared" si="320"/>
        <v>12.89</v>
      </c>
      <c r="I4132" s="23" t="str">
        <f t="shared" si="321"/>
        <v>Match</v>
      </c>
      <c r="J4132" s="23" t="str">
        <f t="shared" si="322"/>
        <v>Match</v>
      </c>
      <c r="K4132" s="24">
        <f t="shared" si="323"/>
        <v>2.3199999999999998</v>
      </c>
      <c r="L4132" s="24">
        <f t="shared" si="324"/>
        <v>0</v>
      </c>
    </row>
    <row r="4133" spans="1:12" ht="15" customHeight="1" x14ac:dyDescent="0.3">
      <c r="A4133" s="23" t="s">
        <v>17361</v>
      </c>
      <c r="B4133" s="23" t="s">
        <v>79</v>
      </c>
      <c r="C4133" s="39">
        <v>3098</v>
      </c>
      <c r="D4133" s="24">
        <v>49.57</v>
      </c>
      <c r="E4133" s="24">
        <v>8.92</v>
      </c>
      <c r="F4133" s="23">
        <f>COUNTIFS(mdr_rate_cleaned!$A$2:$A$10,B4133,mdr_rate_cleaned!$B$2:$B$10,"&lt;"&amp;C4133,mdr_rate_cleaned!$F$2:$F$10,"&gt;="&amp;C4133)</f>
        <v>1</v>
      </c>
      <c r="G4133" s="40">
        <f>SUMIFS(mdr_rate_cleaned!$G$2:$G$10,mdr_rate_cleaned!$A$2:$A$10,B4133,mdr_rate_cleaned!$B$2:$B$10,"&lt;"&amp;C4133,mdr_rate_cleaned!$F$2:$F$10,"&gt;="&amp;C4133)</f>
        <v>1.6E-2</v>
      </c>
      <c r="H4133" s="24">
        <f t="shared" si="320"/>
        <v>49.57</v>
      </c>
      <c r="I4133" s="23" t="str">
        <f t="shared" si="321"/>
        <v>Match</v>
      </c>
      <c r="J4133" s="23" t="str">
        <f t="shared" si="322"/>
        <v>Match</v>
      </c>
      <c r="K4133" s="24">
        <f t="shared" si="323"/>
        <v>8.92</v>
      </c>
      <c r="L4133" s="24">
        <f t="shared" si="324"/>
        <v>0</v>
      </c>
    </row>
    <row r="4134" spans="1:12" ht="15" customHeight="1" x14ac:dyDescent="0.3">
      <c r="A4134" s="23" t="s">
        <v>17362</v>
      </c>
      <c r="B4134" s="23" t="s">
        <v>75</v>
      </c>
      <c r="C4134" s="39">
        <v>1298</v>
      </c>
      <c r="D4134" s="24">
        <v>0</v>
      </c>
      <c r="E4134" s="24">
        <v>0</v>
      </c>
      <c r="F4134" s="23">
        <f>COUNTIFS(mdr_rate_cleaned!$A$2:$A$10,B4134,mdr_rate_cleaned!$B$2:$B$10,"&lt;"&amp;C4134,mdr_rate_cleaned!$F$2:$F$10,"&gt;="&amp;C4134)</f>
        <v>1</v>
      </c>
      <c r="G4134" s="40">
        <f>SUMIFS(mdr_rate_cleaned!$G$2:$G$10,mdr_rate_cleaned!$A$2:$A$10,B4134,mdr_rate_cleaned!$B$2:$B$10,"&lt;"&amp;C4134,mdr_rate_cleaned!$F$2:$F$10,"&gt;="&amp;C4134)</f>
        <v>0</v>
      </c>
      <c r="H4134" s="24">
        <f t="shared" si="320"/>
        <v>0</v>
      </c>
      <c r="I4134" s="23" t="str">
        <f t="shared" si="321"/>
        <v>Match</v>
      </c>
      <c r="J4134" s="23" t="str">
        <f t="shared" si="322"/>
        <v>Match</v>
      </c>
      <c r="K4134" s="24">
        <f t="shared" si="323"/>
        <v>0</v>
      </c>
      <c r="L4134" s="24">
        <f t="shared" si="324"/>
        <v>0</v>
      </c>
    </row>
    <row r="4135" spans="1:12" ht="15" customHeight="1" x14ac:dyDescent="0.3">
      <c r="A4135" s="23" t="s">
        <v>17363</v>
      </c>
      <c r="B4135" s="23" t="s">
        <v>75</v>
      </c>
      <c r="C4135" s="39">
        <v>2498</v>
      </c>
      <c r="D4135" s="24">
        <v>7.49</v>
      </c>
      <c r="E4135" s="24">
        <v>1.35</v>
      </c>
      <c r="F4135" s="23">
        <f>COUNTIFS(mdr_rate_cleaned!$A$2:$A$10,B4135,mdr_rate_cleaned!$B$2:$B$10,"&lt;"&amp;C4135,mdr_rate_cleaned!$F$2:$F$10,"&gt;="&amp;C4135)</f>
        <v>1</v>
      </c>
      <c r="G4135" s="40">
        <f>SUMIFS(mdr_rate_cleaned!$G$2:$G$10,mdr_rate_cleaned!$A$2:$A$10,B4135,mdr_rate_cleaned!$B$2:$B$10,"&lt;"&amp;C4135,mdr_rate_cleaned!$F$2:$F$10,"&gt;="&amp;C4135)</f>
        <v>3.0000000000000001E-3</v>
      </c>
      <c r="H4135" s="24">
        <f t="shared" si="320"/>
        <v>7.49</v>
      </c>
      <c r="I4135" s="23" t="str">
        <f t="shared" si="321"/>
        <v>Match</v>
      </c>
      <c r="J4135" s="23" t="str">
        <f t="shared" si="322"/>
        <v>Match</v>
      </c>
      <c r="K4135" s="24">
        <f t="shared" si="323"/>
        <v>1.35</v>
      </c>
      <c r="L4135" s="24">
        <f t="shared" si="324"/>
        <v>0</v>
      </c>
    </row>
    <row r="4136" spans="1:12" ht="15" customHeight="1" x14ac:dyDescent="0.3">
      <c r="A4136" s="23" t="s">
        <v>17364</v>
      </c>
      <c r="B4136" s="23" t="s">
        <v>81</v>
      </c>
      <c r="C4136" s="39">
        <v>4498</v>
      </c>
      <c r="D4136" s="24">
        <v>53.98</v>
      </c>
      <c r="E4136" s="24">
        <v>9.7200000000000006</v>
      </c>
      <c r="F4136" s="23">
        <f>COUNTIFS(mdr_rate_cleaned!$A$2:$A$10,B4136,mdr_rate_cleaned!$B$2:$B$10,"&lt;"&amp;C4136,mdr_rate_cleaned!$F$2:$F$10,"&gt;="&amp;C4136)</f>
        <v>1</v>
      </c>
      <c r="G4136" s="40">
        <f>SUMIFS(mdr_rate_cleaned!$G$2:$G$10,mdr_rate_cleaned!$A$2:$A$10,B4136,mdr_rate_cleaned!$B$2:$B$10,"&lt;"&amp;C4136,mdr_rate_cleaned!$F$2:$F$10,"&gt;="&amp;C4136)</f>
        <v>1.2E-2</v>
      </c>
      <c r="H4136" s="24">
        <f t="shared" si="320"/>
        <v>53.98</v>
      </c>
      <c r="I4136" s="23" t="str">
        <f t="shared" si="321"/>
        <v>Match</v>
      </c>
      <c r="J4136" s="23" t="str">
        <f t="shared" si="322"/>
        <v>Match</v>
      </c>
      <c r="K4136" s="24">
        <f t="shared" si="323"/>
        <v>9.7200000000000006</v>
      </c>
      <c r="L4136" s="24">
        <f t="shared" si="324"/>
        <v>0</v>
      </c>
    </row>
    <row r="4137" spans="1:12" ht="15" customHeight="1" x14ac:dyDescent="0.3">
      <c r="A4137" s="23" t="s">
        <v>17366</v>
      </c>
      <c r="B4137" s="23" t="s">
        <v>79</v>
      </c>
      <c r="C4137" s="39">
        <v>999</v>
      </c>
      <c r="D4137" s="24">
        <v>17.98</v>
      </c>
      <c r="E4137" s="24">
        <v>3.24</v>
      </c>
      <c r="F4137" s="23">
        <f>COUNTIFS(mdr_rate_cleaned!$A$2:$A$10,B4137,mdr_rate_cleaned!$B$2:$B$10,"&lt;"&amp;C4137,mdr_rate_cleaned!$F$2:$F$10,"&gt;="&amp;C4137)</f>
        <v>1</v>
      </c>
      <c r="G4137" s="40">
        <f>SUMIFS(mdr_rate_cleaned!$G$2:$G$10,mdr_rate_cleaned!$A$2:$A$10,B4137,mdr_rate_cleaned!$B$2:$B$10,"&lt;"&amp;C4137,mdr_rate_cleaned!$F$2:$F$10,"&gt;="&amp;C4137)</f>
        <v>1.8000000000000002E-2</v>
      </c>
      <c r="H4137" s="24">
        <f t="shared" si="320"/>
        <v>17.98</v>
      </c>
      <c r="I4137" s="23" t="str">
        <f t="shared" si="321"/>
        <v>Match</v>
      </c>
      <c r="J4137" s="23" t="str">
        <f t="shared" si="322"/>
        <v>Match</v>
      </c>
      <c r="K4137" s="24">
        <f t="shared" si="323"/>
        <v>3.24</v>
      </c>
      <c r="L4137" s="24">
        <f t="shared" si="324"/>
        <v>0</v>
      </c>
    </row>
    <row r="4138" spans="1:12" ht="15" customHeight="1" x14ac:dyDescent="0.3">
      <c r="A4138" s="23" t="s">
        <v>17367</v>
      </c>
      <c r="B4138" s="23" t="s">
        <v>75</v>
      </c>
      <c r="C4138" s="39">
        <v>8298</v>
      </c>
      <c r="D4138" s="24">
        <v>24.89</v>
      </c>
      <c r="E4138" s="24">
        <v>4.4800000000000004</v>
      </c>
      <c r="F4138" s="23">
        <f>COUNTIFS(mdr_rate_cleaned!$A$2:$A$10,B4138,mdr_rate_cleaned!$B$2:$B$10,"&lt;"&amp;C4138,mdr_rate_cleaned!$F$2:$F$10,"&gt;="&amp;C4138)</f>
        <v>1</v>
      </c>
      <c r="G4138" s="40">
        <f>SUMIFS(mdr_rate_cleaned!$G$2:$G$10,mdr_rate_cleaned!$A$2:$A$10,B4138,mdr_rate_cleaned!$B$2:$B$10,"&lt;"&amp;C4138,mdr_rate_cleaned!$F$2:$F$10,"&gt;="&amp;C4138)</f>
        <v>3.0000000000000001E-3</v>
      </c>
      <c r="H4138" s="24">
        <f t="shared" si="320"/>
        <v>24.89</v>
      </c>
      <c r="I4138" s="23" t="str">
        <f t="shared" si="321"/>
        <v>Match</v>
      </c>
      <c r="J4138" s="23" t="str">
        <f t="shared" si="322"/>
        <v>Match</v>
      </c>
      <c r="K4138" s="24">
        <f t="shared" si="323"/>
        <v>4.4800000000000004</v>
      </c>
      <c r="L4138" s="24">
        <f t="shared" si="324"/>
        <v>0</v>
      </c>
    </row>
    <row r="4139" spans="1:12" ht="15" customHeight="1" x14ac:dyDescent="0.3">
      <c r="A4139" s="23" t="s">
        <v>17368</v>
      </c>
      <c r="B4139" s="23" t="s">
        <v>75</v>
      </c>
      <c r="C4139" s="39">
        <v>2998</v>
      </c>
      <c r="D4139" s="24">
        <v>8.99</v>
      </c>
      <c r="E4139" s="24">
        <v>1.62</v>
      </c>
      <c r="F4139" s="23">
        <f>COUNTIFS(mdr_rate_cleaned!$A$2:$A$10,B4139,mdr_rate_cleaned!$B$2:$B$10,"&lt;"&amp;C4139,mdr_rate_cleaned!$F$2:$F$10,"&gt;="&amp;C4139)</f>
        <v>1</v>
      </c>
      <c r="G4139" s="40">
        <f>SUMIFS(mdr_rate_cleaned!$G$2:$G$10,mdr_rate_cleaned!$A$2:$A$10,B4139,mdr_rate_cleaned!$B$2:$B$10,"&lt;"&amp;C4139,mdr_rate_cleaned!$F$2:$F$10,"&gt;="&amp;C4139)</f>
        <v>3.0000000000000001E-3</v>
      </c>
      <c r="H4139" s="24">
        <f t="shared" si="320"/>
        <v>8.99</v>
      </c>
      <c r="I4139" s="23" t="str">
        <f t="shared" si="321"/>
        <v>Match</v>
      </c>
      <c r="J4139" s="23" t="str">
        <f t="shared" si="322"/>
        <v>Match</v>
      </c>
      <c r="K4139" s="24">
        <f t="shared" si="323"/>
        <v>1.62</v>
      </c>
      <c r="L4139" s="24">
        <f t="shared" si="324"/>
        <v>0</v>
      </c>
    </row>
    <row r="4140" spans="1:12" ht="15" customHeight="1" x14ac:dyDescent="0.3">
      <c r="A4140" s="23" t="s">
        <v>17370</v>
      </c>
      <c r="B4140" s="23" t="s">
        <v>79</v>
      </c>
      <c r="C4140" s="39">
        <v>799</v>
      </c>
      <c r="D4140" s="24">
        <v>14.38</v>
      </c>
      <c r="E4140" s="24">
        <v>2.59</v>
      </c>
      <c r="F4140" s="23">
        <f>COUNTIFS(mdr_rate_cleaned!$A$2:$A$10,B4140,mdr_rate_cleaned!$B$2:$B$10,"&lt;"&amp;C4140,mdr_rate_cleaned!$F$2:$F$10,"&gt;="&amp;C4140)</f>
        <v>1</v>
      </c>
      <c r="G4140" s="40">
        <f>SUMIFS(mdr_rate_cleaned!$G$2:$G$10,mdr_rate_cleaned!$A$2:$A$10,B4140,mdr_rate_cleaned!$B$2:$B$10,"&lt;"&amp;C4140,mdr_rate_cleaned!$F$2:$F$10,"&gt;="&amp;C4140)</f>
        <v>1.8000000000000002E-2</v>
      </c>
      <c r="H4140" s="24">
        <f t="shared" si="320"/>
        <v>14.38</v>
      </c>
      <c r="I4140" s="23" t="str">
        <f t="shared" si="321"/>
        <v>Match</v>
      </c>
      <c r="J4140" s="23" t="str">
        <f t="shared" si="322"/>
        <v>Match</v>
      </c>
      <c r="K4140" s="24">
        <f t="shared" si="323"/>
        <v>2.59</v>
      </c>
      <c r="L4140" s="24">
        <f t="shared" si="324"/>
        <v>0</v>
      </c>
    </row>
    <row r="4141" spans="1:12" ht="15" customHeight="1" x14ac:dyDescent="0.3">
      <c r="A4141" s="23" t="s">
        <v>17371</v>
      </c>
      <c r="B4141" s="23" t="s">
        <v>77</v>
      </c>
      <c r="C4141" s="39">
        <v>8797</v>
      </c>
      <c r="D4141" s="24">
        <v>149.55000000000001</v>
      </c>
      <c r="E4141" s="24">
        <v>26.92</v>
      </c>
      <c r="F4141" s="23">
        <f>COUNTIFS(mdr_rate_cleaned!$A$2:$A$10,B4141,mdr_rate_cleaned!$B$2:$B$10,"&lt;"&amp;C4141,mdr_rate_cleaned!$F$2:$F$10,"&gt;="&amp;C4141)</f>
        <v>1</v>
      </c>
      <c r="G4141" s="40">
        <f>SUMIFS(mdr_rate_cleaned!$G$2:$G$10,mdr_rate_cleaned!$A$2:$A$10,B4141,mdr_rate_cleaned!$B$2:$B$10,"&lt;"&amp;C4141,mdr_rate_cleaned!$F$2:$F$10,"&gt;="&amp;C4141)</f>
        <v>1.7000000000000001E-2</v>
      </c>
      <c r="H4141" s="24">
        <f t="shared" si="320"/>
        <v>149.55000000000001</v>
      </c>
      <c r="I4141" s="23" t="str">
        <f t="shared" si="321"/>
        <v>Match</v>
      </c>
      <c r="J4141" s="23" t="str">
        <f t="shared" si="322"/>
        <v>Match</v>
      </c>
      <c r="K4141" s="24">
        <f t="shared" si="323"/>
        <v>26.92</v>
      </c>
      <c r="L4141" s="24">
        <f t="shared" si="324"/>
        <v>0</v>
      </c>
    </row>
    <row r="4142" spans="1:12" ht="15" customHeight="1" x14ac:dyDescent="0.3">
      <c r="A4142" s="23" t="s">
        <v>17372</v>
      </c>
      <c r="B4142" s="23" t="s">
        <v>79</v>
      </c>
      <c r="C4142" s="39">
        <v>4497</v>
      </c>
      <c r="D4142" s="24">
        <v>71.95</v>
      </c>
      <c r="E4142" s="24">
        <v>12.95</v>
      </c>
      <c r="F4142" s="23">
        <f>COUNTIFS(mdr_rate_cleaned!$A$2:$A$10,B4142,mdr_rate_cleaned!$B$2:$B$10,"&lt;"&amp;C4142,mdr_rate_cleaned!$F$2:$F$10,"&gt;="&amp;C4142)</f>
        <v>1</v>
      </c>
      <c r="G4142" s="40">
        <f>SUMIFS(mdr_rate_cleaned!$G$2:$G$10,mdr_rate_cleaned!$A$2:$A$10,B4142,mdr_rate_cleaned!$B$2:$B$10,"&lt;"&amp;C4142,mdr_rate_cleaned!$F$2:$F$10,"&gt;="&amp;C4142)</f>
        <v>1.6E-2</v>
      </c>
      <c r="H4142" s="24">
        <f t="shared" si="320"/>
        <v>71.95</v>
      </c>
      <c r="I4142" s="23" t="str">
        <f t="shared" si="321"/>
        <v>Match</v>
      </c>
      <c r="J4142" s="23" t="str">
        <f t="shared" si="322"/>
        <v>Match</v>
      </c>
      <c r="K4142" s="24">
        <f t="shared" si="323"/>
        <v>12.95</v>
      </c>
      <c r="L4142" s="24">
        <f t="shared" si="324"/>
        <v>0</v>
      </c>
    </row>
    <row r="4143" spans="1:12" ht="15" customHeight="1" x14ac:dyDescent="0.3">
      <c r="A4143" s="23" t="s">
        <v>17373</v>
      </c>
      <c r="B4143" s="23" t="s">
        <v>79</v>
      </c>
      <c r="C4143" s="39">
        <v>3499</v>
      </c>
      <c r="D4143" s="24">
        <v>55.98</v>
      </c>
      <c r="E4143" s="24">
        <v>10.08</v>
      </c>
      <c r="F4143" s="23">
        <f>COUNTIFS(mdr_rate_cleaned!$A$2:$A$10,B4143,mdr_rate_cleaned!$B$2:$B$10,"&lt;"&amp;C4143,mdr_rate_cleaned!$F$2:$F$10,"&gt;="&amp;C4143)</f>
        <v>1</v>
      </c>
      <c r="G4143" s="40">
        <f>SUMIFS(mdr_rate_cleaned!$G$2:$G$10,mdr_rate_cleaned!$A$2:$A$10,B4143,mdr_rate_cleaned!$B$2:$B$10,"&lt;"&amp;C4143,mdr_rate_cleaned!$F$2:$F$10,"&gt;="&amp;C4143)</f>
        <v>1.6E-2</v>
      </c>
      <c r="H4143" s="24">
        <f t="shared" si="320"/>
        <v>55.98</v>
      </c>
      <c r="I4143" s="23" t="str">
        <f t="shared" si="321"/>
        <v>Match</v>
      </c>
      <c r="J4143" s="23" t="str">
        <f t="shared" si="322"/>
        <v>Match</v>
      </c>
      <c r="K4143" s="24">
        <f t="shared" si="323"/>
        <v>10.08</v>
      </c>
      <c r="L4143" s="24">
        <f t="shared" si="324"/>
        <v>0</v>
      </c>
    </row>
    <row r="4144" spans="1:12" ht="15" customHeight="1" x14ac:dyDescent="0.3">
      <c r="A4144" s="23" t="s">
        <v>17374</v>
      </c>
      <c r="B4144" s="23" t="s">
        <v>79</v>
      </c>
      <c r="C4144" s="39">
        <v>4999</v>
      </c>
      <c r="D4144" s="24">
        <v>79.98</v>
      </c>
      <c r="E4144" s="24">
        <v>14.4</v>
      </c>
      <c r="F4144" s="23">
        <f>COUNTIFS(mdr_rate_cleaned!$A$2:$A$10,B4144,mdr_rate_cleaned!$B$2:$B$10,"&lt;"&amp;C4144,mdr_rate_cleaned!$F$2:$F$10,"&gt;="&amp;C4144)</f>
        <v>1</v>
      </c>
      <c r="G4144" s="40">
        <f>SUMIFS(mdr_rate_cleaned!$G$2:$G$10,mdr_rate_cleaned!$A$2:$A$10,B4144,mdr_rate_cleaned!$B$2:$B$10,"&lt;"&amp;C4144,mdr_rate_cleaned!$F$2:$F$10,"&gt;="&amp;C4144)</f>
        <v>1.6E-2</v>
      </c>
      <c r="H4144" s="24">
        <f t="shared" si="320"/>
        <v>79.98</v>
      </c>
      <c r="I4144" s="23" t="str">
        <f t="shared" si="321"/>
        <v>Match</v>
      </c>
      <c r="J4144" s="23" t="str">
        <f t="shared" si="322"/>
        <v>Match</v>
      </c>
      <c r="K4144" s="24">
        <f t="shared" si="323"/>
        <v>14.4</v>
      </c>
      <c r="L4144" s="24">
        <f t="shared" si="324"/>
        <v>0</v>
      </c>
    </row>
    <row r="4145" spans="1:12" ht="15" customHeight="1" x14ac:dyDescent="0.3">
      <c r="A4145" s="23" t="s">
        <v>17375</v>
      </c>
      <c r="B4145" s="23" t="s">
        <v>77</v>
      </c>
      <c r="C4145" s="39">
        <v>1299</v>
      </c>
      <c r="D4145" s="24">
        <v>24.68</v>
      </c>
      <c r="E4145" s="24">
        <v>4.4400000000000004</v>
      </c>
      <c r="F4145" s="23">
        <f>COUNTIFS(mdr_rate_cleaned!$A$2:$A$10,B4145,mdr_rate_cleaned!$B$2:$B$10,"&lt;"&amp;C4145,mdr_rate_cleaned!$F$2:$F$10,"&gt;="&amp;C4145)</f>
        <v>1</v>
      </c>
      <c r="G4145" s="40">
        <f>SUMIFS(mdr_rate_cleaned!$G$2:$G$10,mdr_rate_cleaned!$A$2:$A$10,B4145,mdr_rate_cleaned!$B$2:$B$10,"&lt;"&amp;C4145,mdr_rate_cleaned!$F$2:$F$10,"&gt;="&amp;C4145)</f>
        <v>1.9E-2</v>
      </c>
      <c r="H4145" s="24">
        <f t="shared" si="320"/>
        <v>24.68</v>
      </c>
      <c r="I4145" s="23" t="str">
        <f t="shared" si="321"/>
        <v>Match</v>
      </c>
      <c r="J4145" s="23" t="str">
        <f t="shared" si="322"/>
        <v>Match</v>
      </c>
      <c r="K4145" s="24">
        <f t="shared" si="323"/>
        <v>4.4400000000000004</v>
      </c>
      <c r="L4145" s="24">
        <f t="shared" si="324"/>
        <v>0</v>
      </c>
    </row>
    <row r="4146" spans="1:12" ht="15" customHeight="1" x14ac:dyDescent="0.3">
      <c r="A4146" s="23" t="s">
        <v>17376</v>
      </c>
      <c r="B4146" s="23" t="s">
        <v>75</v>
      </c>
      <c r="C4146" s="39">
        <v>349</v>
      </c>
      <c r="D4146" s="24">
        <v>0</v>
      </c>
      <c r="E4146" s="24">
        <v>0</v>
      </c>
      <c r="F4146" s="23">
        <f>COUNTIFS(mdr_rate_cleaned!$A$2:$A$10,B4146,mdr_rate_cleaned!$B$2:$B$10,"&lt;"&amp;C4146,mdr_rate_cleaned!$F$2:$F$10,"&gt;="&amp;C4146)</f>
        <v>1</v>
      </c>
      <c r="G4146" s="40">
        <f>SUMIFS(mdr_rate_cleaned!$G$2:$G$10,mdr_rate_cleaned!$A$2:$A$10,B4146,mdr_rate_cleaned!$B$2:$B$10,"&lt;"&amp;C4146,mdr_rate_cleaned!$F$2:$F$10,"&gt;="&amp;C4146)</f>
        <v>0</v>
      </c>
      <c r="H4146" s="24">
        <f t="shared" si="320"/>
        <v>0</v>
      </c>
      <c r="I4146" s="23" t="str">
        <f t="shared" si="321"/>
        <v>Match</v>
      </c>
      <c r="J4146" s="23" t="str">
        <f t="shared" si="322"/>
        <v>Match</v>
      </c>
      <c r="K4146" s="24">
        <f t="shared" si="323"/>
        <v>0</v>
      </c>
      <c r="L4146" s="24">
        <f t="shared" si="324"/>
        <v>0</v>
      </c>
    </row>
    <row r="4147" spans="1:12" ht="15" customHeight="1" x14ac:dyDescent="0.3">
      <c r="A4147" s="23" t="s">
        <v>17377</v>
      </c>
      <c r="B4147" s="23" t="s">
        <v>77</v>
      </c>
      <c r="C4147" s="39">
        <v>1498</v>
      </c>
      <c r="D4147" s="24">
        <v>28.46</v>
      </c>
      <c r="E4147" s="24">
        <v>5.12</v>
      </c>
      <c r="F4147" s="23">
        <f>COUNTIFS(mdr_rate_cleaned!$A$2:$A$10,B4147,mdr_rate_cleaned!$B$2:$B$10,"&lt;"&amp;C4147,mdr_rate_cleaned!$F$2:$F$10,"&gt;="&amp;C4147)</f>
        <v>1</v>
      </c>
      <c r="G4147" s="40">
        <f>SUMIFS(mdr_rate_cleaned!$G$2:$G$10,mdr_rate_cleaned!$A$2:$A$10,B4147,mdr_rate_cleaned!$B$2:$B$10,"&lt;"&amp;C4147,mdr_rate_cleaned!$F$2:$F$10,"&gt;="&amp;C4147)</f>
        <v>1.9E-2</v>
      </c>
      <c r="H4147" s="24">
        <f t="shared" si="320"/>
        <v>28.46</v>
      </c>
      <c r="I4147" s="23" t="str">
        <f t="shared" si="321"/>
        <v>Match</v>
      </c>
      <c r="J4147" s="23" t="str">
        <f t="shared" si="322"/>
        <v>Match</v>
      </c>
      <c r="K4147" s="24">
        <f t="shared" si="323"/>
        <v>5.12</v>
      </c>
      <c r="L4147" s="24">
        <f t="shared" si="324"/>
        <v>0</v>
      </c>
    </row>
    <row r="4148" spans="1:12" ht="15" customHeight="1" x14ac:dyDescent="0.3">
      <c r="A4148" s="23" t="s">
        <v>17378</v>
      </c>
      <c r="B4148" s="23" t="s">
        <v>77</v>
      </c>
      <c r="C4148" s="39">
        <v>2598</v>
      </c>
      <c r="D4148" s="24">
        <v>44.17</v>
      </c>
      <c r="E4148" s="24">
        <v>7.95</v>
      </c>
      <c r="F4148" s="23">
        <f>COUNTIFS(mdr_rate_cleaned!$A$2:$A$10,B4148,mdr_rate_cleaned!$B$2:$B$10,"&lt;"&amp;C4148,mdr_rate_cleaned!$F$2:$F$10,"&gt;="&amp;C4148)</f>
        <v>1</v>
      </c>
      <c r="G4148" s="40">
        <f>SUMIFS(mdr_rate_cleaned!$G$2:$G$10,mdr_rate_cleaned!$A$2:$A$10,B4148,mdr_rate_cleaned!$B$2:$B$10,"&lt;"&amp;C4148,mdr_rate_cleaned!$F$2:$F$10,"&gt;="&amp;C4148)</f>
        <v>1.7000000000000001E-2</v>
      </c>
      <c r="H4148" s="24">
        <f t="shared" si="320"/>
        <v>44.17</v>
      </c>
      <c r="I4148" s="23" t="str">
        <f t="shared" si="321"/>
        <v>Match</v>
      </c>
      <c r="J4148" s="23" t="str">
        <f t="shared" si="322"/>
        <v>Match</v>
      </c>
      <c r="K4148" s="24">
        <f t="shared" si="323"/>
        <v>7.95</v>
      </c>
      <c r="L4148" s="24">
        <f t="shared" si="324"/>
        <v>0</v>
      </c>
    </row>
    <row r="4149" spans="1:12" ht="15" customHeight="1" x14ac:dyDescent="0.3">
      <c r="A4149" s="23" t="s">
        <v>17379</v>
      </c>
      <c r="B4149" s="23" t="s">
        <v>75</v>
      </c>
      <c r="C4149" s="39">
        <v>4297</v>
      </c>
      <c r="D4149" s="24">
        <v>12.89</v>
      </c>
      <c r="E4149" s="24">
        <v>2.3199999999999998</v>
      </c>
      <c r="F4149" s="23">
        <f>COUNTIFS(mdr_rate_cleaned!$A$2:$A$10,B4149,mdr_rate_cleaned!$B$2:$B$10,"&lt;"&amp;C4149,mdr_rate_cleaned!$F$2:$F$10,"&gt;="&amp;C4149)</f>
        <v>1</v>
      </c>
      <c r="G4149" s="40">
        <f>SUMIFS(mdr_rate_cleaned!$G$2:$G$10,mdr_rate_cleaned!$A$2:$A$10,B4149,mdr_rate_cleaned!$B$2:$B$10,"&lt;"&amp;C4149,mdr_rate_cleaned!$F$2:$F$10,"&gt;="&amp;C4149)</f>
        <v>3.0000000000000001E-3</v>
      </c>
      <c r="H4149" s="24">
        <f t="shared" si="320"/>
        <v>12.89</v>
      </c>
      <c r="I4149" s="23" t="str">
        <f t="shared" si="321"/>
        <v>Match</v>
      </c>
      <c r="J4149" s="23" t="str">
        <f t="shared" si="322"/>
        <v>Match</v>
      </c>
      <c r="K4149" s="24">
        <f t="shared" si="323"/>
        <v>2.3199999999999998</v>
      </c>
      <c r="L4149" s="24">
        <f t="shared" si="324"/>
        <v>0</v>
      </c>
    </row>
    <row r="4150" spans="1:12" ht="15" customHeight="1" x14ac:dyDescent="0.3">
      <c r="A4150" s="23" t="s">
        <v>17380</v>
      </c>
      <c r="B4150" s="23" t="s">
        <v>79</v>
      </c>
      <c r="C4150" s="39">
        <v>598</v>
      </c>
      <c r="D4150" s="24">
        <v>10.76</v>
      </c>
      <c r="E4150" s="24">
        <v>1.94</v>
      </c>
      <c r="F4150" s="23">
        <f>COUNTIFS(mdr_rate_cleaned!$A$2:$A$10,B4150,mdr_rate_cleaned!$B$2:$B$10,"&lt;"&amp;C4150,mdr_rate_cleaned!$F$2:$F$10,"&gt;="&amp;C4150)</f>
        <v>1</v>
      </c>
      <c r="G4150" s="40">
        <f>SUMIFS(mdr_rate_cleaned!$G$2:$G$10,mdr_rate_cleaned!$A$2:$A$10,B4150,mdr_rate_cleaned!$B$2:$B$10,"&lt;"&amp;C4150,mdr_rate_cleaned!$F$2:$F$10,"&gt;="&amp;C4150)</f>
        <v>1.8000000000000002E-2</v>
      </c>
      <c r="H4150" s="24">
        <f t="shared" si="320"/>
        <v>10.76</v>
      </c>
      <c r="I4150" s="23" t="str">
        <f t="shared" si="321"/>
        <v>Match</v>
      </c>
      <c r="J4150" s="23" t="str">
        <f t="shared" si="322"/>
        <v>Match</v>
      </c>
      <c r="K4150" s="24">
        <f t="shared" si="323"/>
        <v>1.94</v>
      </c>
      <c r="L4150" s="24">
        <f t="shared" si="324"/>
        <v>0</v>
      </c>
    </row>
    <row r="4151" spans="1:12" ht="15" customHeight="1" x14ac:dyDescent="0.3">
      <c r="A4151" s="23" t="s">
        <v>17381</v>
      </c>
      <c r="B4151" s="23" t="s">
        <v>75</v>
      </c>
      <c r="C4151" s="39">
        <v>8348</v>
      </c>
      <c r="D4151" s="24">
        <v>25.04</v>
      </c>
      <c r="E4151" s="24">
        <v>4.51</v>
      </c>
      <c r="F4151" s="23">
        <f>COUNTIFS(mdr_rate_cleaned!$A$2:$A$10,B4151,mdr_rate_cleaned!$B$2:$B$10,"&lt;"&amp;C4151,mdr_rate_cleaned!$F$2:$F$10,"&gt;="&amp;C4151)</f>
        <v>1</v>
      </c>
      <c r="G4151" s="40">
        <f>SUMIFS(mdr_rate_cleaned!$G$2:$G$10,mdr_rate_cleaned!$A$2:$A$10,B4151,mdr_rate_cleaned!$B$2:$B$10,"&lt;"&amp;C4151,mdr_rate_cleaned!$F$2:$F$10,"&gt;="&amp;C4151)</f>
        <v>3.0000000000000001E-3</v>
      </c>
      <c r="H4151" s="24">
        <f t="shared" si="320"/>
        <v>25.04</v>
      </c>
      <c r="I4151" s="23" t="str">
        <f t="shared" si="321"/>
        <v>Match</v>
      </c>
      <c r="J4151" s="23" t="str">
        <f t="shared" si="322"/>
        <v>Match</v>
      </c>
      <c r="K4151" s="24">
        <f t="shared" si="323"/>
        <v>4.51</v>
      </c>
      <c r="L4151" s="24">
        <f t="shared" si="324"/>
        <v>0</v>
      </c>
    </row>
    <row r="4152" spans="1:12" ht="15" customHeight="1" x14ac:dyDescent="0.3">
      <c r="A4152" s="23" t="s">
        <v>17382</v>
      </c>
      <c r="B4152" s="23" t="s">
        <v>75</v>
      </c>
      <c r="C4152" s="39">
        <v>3197</v>
      </c>
      <c r="D4152" s="24">
        <v>9.59</v>
      </c>
      <c r="E4152" s="24">
        <v>1.73</v>
      </c>
      <c r="F4152" s="23">
        <f>COUNTIFS(mdr_rate_cleaned!$A$2:$A$10,B4152,mdr_rate_cleaned!$B$2:$B$10,"&lt;"&amp;C4152,mdr_rate_cleaned!$F$2:$F$10,"&gt;="&amp;C4152)</f>
        <v>1</v>
      </c>
      <c r="G4152" s="40">
        <f>SUMIFS(mdr_rate_cleaned!$G$2:$G$10,mdr_rate_cleaned!$A$2:$A$10,B4152,mdr_rate_cleaned!$B$2:$B$10,"&lt;"&amp;C4152,mdr_rate_cleaned!$F$2:$F$10,"&gt;="&amp;C4152)</f>
        <v>3.0000000000000001E-3</v>
      </c>
      <c r="H4152" s="24">
        <f t="shared" si="320"/>
        <v>9.59</v>
      </c>
      <c r="I4152" s="23" t="str">
        <f t="shared" si="321"/>
        <v>Match</v>
      </c>
      <c r="J4152" s="23" t="str">
        <f t="shared" si="322"/>
        <v>Match</v>
      </c>
      <c r="K4152" s="24">
        <f t="shared" si="323"/>
        <v>1.73</v>
      </c>
      <c r="L4152" s="24">
        <f t="shared" si="324"/>
        <v>0</v>
      </c>
    </row>
    <row r="4153" spans="1:12" ht="15" customHeight="1" x14ac:dyDescent="0.3">
      <c r="A4153" s="23" t="s">
        <v>17383</v>
      </c>
      <c r="B4153" s="23" t="s">
        <v>79</v>
      </c>
      <c r="C4153" s="39">
        <v>12998</v>
      </c>
      <c r="D4153" s="24">
        <v>207.97</v>
      </c>
      <c r="E4153" s="24">
        <v>37.43</v>
      </c>
      <c r="F4153" s="23">
        <f>COUNTIFS(mdr_rate_cleaned!$A$2:$A$10,B4153,mdr_rate_cleaned!$B$2:$B$10,"&lt;"&amp;C4153,mdr_rate_cleaned!$F$2:$F$10,"&gt;="&amp;C4153)</f>
        <v>1</v>
      </c>
      <c r="G4153" s="40">
        <f>SUMIFS(mdr_rate_cleaned!$G$2:$G$10,mdr_rate_cleaned!$A$2:$A$10,B4153,mdr_rate_cleaned!$B$2:$B$10,"&lt;"&amp;C4153,mdr_rate_cleaned!$F$2:$F$10,"&gt;="&amp;C4153)</f>
        <v>1.6E-2</v>
      </c>
      <c r="H4153" s="24">
        <f t="shared" si="320"/>
        <v>207.97</v>
      </c>
      <c r="I4153" s="23" t="str">
        <f t="shared" si="321"/>
        <v>Match</v>
      </c>
      <c r="J4153" s="23" t="str">
        <f t="shared" si="322"/>
        <v>Match</v>
      </c>
      <c r="K4153" s="24">
        <f t="shared" si="323"/>
        <v>37.43</v>
      </c>
      <c r="L4153" s="24">
        <f t="shared" si="324"/>
        <v>0</v>
      </c>
    </row>
    <row r="4154" spans="1:12" ht="15" customHeight="1" x14ac:dyDescent="0.3">
      <c r="A4154" s="23" t="s">
        <v>17384</v>
      </c>
      <c r="B4154" s="23" t="s">
        <v>77</v>
      </c>
      <c r="C4154" s="39">
        <v>3499</v>
      </c>
      <c r="D4154" s="24">
        <v>59.48</v>
      </c>
      <c r="E4154" s="24">
        <v>10.71</v>
      </c>
      <c r="F4154" s="23">
        <f>COUNTIFS(mdr_rate_cleaned!$A$2:$A$10,B4154,mdr_rate_cleaned!$B$2:$B$10,"&lt;"&amp;C4154,mdr_rate_cleaned!$F$2:$F$10,"&gt;="&amp;C4154)</f>
        <v>1</v>
      </c>
      <c r="G4154" s="40">
        <f>SUMIFS(mdr_rate_cleaned!$G$2:$G$10,mdr_rate_cleaned!$A$2:$A$10,B4154,mdr_rate_cleaned!$B$2:$B$10,"&lt;"&amp;C4154,mdr_rate_cleaned!$F$2:$F$10,"&gt;="&amp;C4154)</f>
        <v>1.7000000000000001E-2</v>
      </c>
      <c r="H4154" s="24">
        <f t="shared" si="320"/>
        <v>59.48</v>
      </c>
      <c r="I4154" s="23" t="str">
        <f t="shared" si="321"/>
        <v>Match</v>
      </c>
      <c r="J4154" s="23" t="str">
        <f t="shared" si="322"/>
        <v>Match</v>
      </c>
      <c r="K4154" s="24">
        <f t="shared" si="323"/>
        <v>10.71</v>
      </c>
      <c r="L4154" s="24">
        <f t="shared" si="324"/>
        <v>0</v>
      </c>
    </row>
    <row r="4155" spans="1:12" ht="15" customHeight="1" x14ac:dyDescent="0.3">
      <c r="A4155" s="23" t="s">
        <v>17385</v>
      </c>
      <c r="B4155" s="23" t="s">
        <v>75</v>
      </c>
      <c r="C4155" s="39">
        <v>1799</v>
      </c>
      <c r="D4155" s="24">
        <v>0</v>
      </c>
      <c r="E4155" s="24">
        <v>0</v>
      </c>
      <c r="F4155" s="23">
        <f>COUNTIFS(mdr_rate_cleaned!$A$2:$A$10,B4155,mdr_rate_cleaned!$B$2:$B$10,"&lt;"&amp;C4155,mdr_rate_cleaned!$F$2:$F$10,"&gt;="&amp;C4155)</f>
        <v>1</v>
      </c>
      <c r="G4155" s="40">
        <f>SUMIFS(mdr_rate_cleaned!$G$2:$G$10,mdr_rate_cleaned!$A$2:$A$10,B4155,mdr_rate_cleaned!$B$2:$B$10,"&lt;"&amp;C4155,mdr_rate_cleaned!$F$2:$F$10,"&gt;="&amp;C4155)</f>
        <v>0</v>
      </c>
      <c r="H4155" s="24">
        <f t="shared" si="320"/>
        <v>0</v>
      </c>
      <c r="I4155" s="23" t="str">
        <f t="shared" si="321"/>
        <v>Match</v>
      </c>
      <c r="J4155" s="23" t="str">
        <f t="shared" si="322"/>
        <v>Match</v>
      </c>
      <c r="K4155" s="24">
        <f t="shared" si="323"/>
        <v>0</v>
      </c>
      <c r="L4155" s="24">
        <f t="shared" si="324"/>
        <v>0</v>
      </c>
    </row>
    <row r="4156" spans="1:12" ht="15" customHeight="1" x14ac:dyDescent="0.3">
      <c r="A4156" s="23" t="s">
        <v>17386</v>
      </c>
      <c r="B4156" s="23" t="s">
        <v>75</v>
      </c>
      <c r="C4156" s="39">
        <v>8798</v>
      </c>
      <c r="D4156" s="24">
        <v>26.39</v>
      </c>
      <c r="E4156" s="24">
        <v>4.75</v>
      </c>
      <c r="F4156" s="23">
        <f>COUNTIFS(mdr_rate_cleaned!$A$2:$A$10,B4156,mdr_rate_cleaned!$B$2:$B$10,"&lt;"&amp;C4156,mdr_rate_cleaned!$F$2:$F$10,"&gt;="&amp;C4156)</f>
        <v>1</v>
      </c>
      <c r="G4156" s="40">
        <f>SUMIFS(mdr_rate_cleaned!$G$2:$G$10,mdr_rate_cleaned!$A$2:$A$10,B4156,mdr_rate_cleaned!$B$2:$B$10,"&lt;"&amp;C4156,mdr_rate_cleaned!$F$2:$F$10,"&gt;="&amp;C4156)</f>
        <v>3.0000000000000001E-3</v>
      </c>
      <c r="H4156" s="24">
        <f t="shared" si="320"/>
        <v>26.39</v>
      </c>
      <c r="I4156" s="23" t="str">
        <f t="shared" si="321"/>
        <v>Match</v>
      </c>
      <c r="J4156" s="23" t="str">
        <f t="shared" si="322"/>
        <v>Match</v>
      </c>
      <c r="K4156" s="24">
        <f t="shared" si="323"/>
        <v>4.75</v>
      </c>
      <c r="L4156" s="24">
        <f t="shared" si="324"/>
        <v>0</v>
      </c>
    </row>
    <row r="4157" spans="1:12" ht="15" customHeight="1" x14ac:dyDescent="0.3">
      <c r="A4157" s="23" t="s">
        <v>17387</v>
      </c>
      <c r="B4157" s="23" t="s">
        <v>79</v>
      </c>
      <c r="C4157" s="39">
        <v>6798</v>
      </c>
      <c r="D4157" s="24">
        <v>108.77</v>
      </c>
      <c r="E4157" s="24">
        <v>19.579999999999998</v>
      </c>
      <c r="F4157" s="23">
        <f>COUNTIFS(mdr_rate_cleaned!$A$2:$A$10,B4157,mdr_rate_cleaned!$B$2:$B$10,"&lt;"&amp;C4157,mdr_rate_cleaned!$F$2:$F$10,"&gt;="&amp;C4157)</f>
        <v>1</v>
      </c>
      <c r="G4157" s="40">
        <f>SUMIFS(mdr_rate_cleaned!$G$2:$G$10,mdr_rate_cleaned!$A$2:$A$10,B4157,mdr_rate_cleaned!$B$2:$B$10,"&lt;"&amp;C4157,mdr_rate_cleaned!$F$2:$F$10,"&gt;="&amp;C4157)</f>
        <v>1.6E-2</v>
      </c>
      <c r="H4157" s="24">
        <f t="shared" si="320"/>
        <v>108.77</v>
      </c>
      <c r="I4157" s="23" t="str">
        <f t="shared" si="321"/>
        <v>Match</v>
      </c>
      <c r="J4157" s="23" t="str">
        <f t="shared" si="322"/>
        <v>Match</v>
      </c>
      <c r="K4157" s="24">
        <f t="shared" si="323"/>
        <v>19.579999999999998</v>
      </c>
      <c r="L4157" s="24">
        <f t="shared" si="324"/>
        <v>0</v>
      </c>
    </row>
    <row r="4158" spans="1:12" ht="15" customHeight="1" x14ac:dyDescent="0.3">
      <c r="A4158" s="23" t="s">
        <v>17388</v>
      </c>
      <c r="B4158" s="23" t="s">
        <v>79</v>
      </c>
      <c r="C4158" s="39">
        <v>7999</v>
      </c>
      <c r="D4158" s="24">
        <v>127.98</v>
      </c>
      <c r="E4158" s="24">
        <v>23.04</v>
      </c>
      <c r="F4158" s="23">
        <f>COUNTIFS(mdr_rate_cleaned!$A$2:$A$10,B4158,mdr_rate_cleaned!$B$2:$B$10,"&lt;"&amp;C4158,mdr_rate_cleaned!$F$2:$F$10,"&gt;="&amp;C4158)</f>
        <v>1</v>
      </c>
      <c r="G4158" s="40">
        <f>SUMIFS(mdr_rate_cleaned!$G$2:$G$10,mdr_rate_cleaned!$A$2:$A$10,B4158,mdr_rate_cleaned!$B$2:$B$10,"&lt;"&amp;C4158,mdr_rate_cleaned!$F$2:$F$10,"&gt;="&amp;C4158)</f>
        <v>1.6E-2</v>
      </c>
      <c r="H4158" s="24">
        <f t="shared" si="320"/>
        <v>127.98</v>
      </c>
      <c r="I4158" s="23" t="str">
        <f t="shared" si="321"/>
        <v>Match</v>
      </c>
      <c r="J4158" s="23" t="str">
        <f t="shared" si="322"/>
        <v>Match</v>
      </c>
      <c r="K4158" s="24">
        <f t="shared" si="323"/>
        <v>23.04</v>
      </c>
      <c r="L4158" s="24">
        <f t="shared" si="324"/>
        <v>0</v>
      </c>
    </row>
    <row r="4159" spans="1:12" ht="15" customHeight="1" x14ac:dyDescent="0.3">
      <c r="A4159" s="23" t="s">
        <v>17389</v>
      </c>
      <c r="B4159" s="23" t="s">
        <v>75</v>
      </c>
      <c r="C4159" s="39">
        <v>599</v>
      </c>
      <c r="D4159" s="24">
        <v>1.8</v>
      </c>
      <c r="E4159" s="24">
        <v>0.32</v>
      </c>
      <c r="F4159" s="23">
        <f>COUNTIFS(mdr_rate_cleaned!$A$2:$A$10,B4159,mdr_rate_cleaned!$B$2:$B$10,"&lt;"&amp;C4159,mdr_rate_cleaned!$F$2:$F$10,"&gt;="&amp;C4159)</f>
        <v>1</v>
      </c>
      <c r="G4159" s="40">
        <f>SUMIFS(mdr_rate_cleaned!$G$2:$G$10,mdr_rate_cleaned!$A$2:$A$10,B4159,mdr_rate_cleaned!$B$2:$B$10,"&lt;"&amp;C4159,mdr_rate_cleaned!$F$2:$F$10,"&gt;="&amp;C4159)</f>
        <v>0</v>
      </c>
      <c r="H4159" s="24">
        <f t="shared" si="320"/>
        <v>0</v>
      </c>
      <c r="I4159" s="23" t="str">
        <f t="shared" si="321"/>
        <v>Differs</v>
      </c>
      <c r="J4159" s="23" t="str">
        <f t="shared" si="322"/>
        <v>Match</v>
      </c>
      <c r="K4159" s="24">
        <f t="shared" si="323"/>
        <v>0</v>
      </c>
      <c r="L4159" s="24">
        <f t="shared" si="324"/>
        <v>2.12</v>
      </c>
    </row>
    <row r="4160" spans="1:12" ht="15" customHeight="1" x14ac:dyDescent="0.3">
      <c r="A4160" s="23" t="s">
        <v>17390</v>
      </c>
      <c r="B4160" s="23" t="s">
        <v>75</v>
      </c>
      <c r="C4160" s="39">
        <v>349</v>
      </c>
      <c r="D4160" s="24">
        <v>0</v>
      </c>
      <c r="E4160" s="24">
        <v>0</v>
      </c>
      <c r="F4160" s="23">
        <f>COUNTIFS(mdr_rate_cleaned!$A$2:$A$10,B4160,mdr_rate_cleaned!$B$2:$B$10,"&lt;"&amp;C4160,mdr_rate_cleaned!$F$2:$F$10,"&gt;="&amp;C4160)</f>
        <v>1</v>
      </c>
      <c r="G4160" s="40">
        <f>SUMIFS(mdr_rate_cleaned!$G$2:$G$10,mdr_rate_cleaned!$A$2:$A$10,B4160,mdr_rate_cleaned!$B$2:$B$10,"&lt;"&amp;C4160,mdr_rate_cleaned!$F$2:$F$10,"&gt;="&amp;C4160)</f>
        <v>0</v>
      </c>
      <c r="H4160" s="24">
        <f t="shared" si="320"/>
        <v>0</v>
      </c>
      <c r="I4160" s="23" t="str">
        <f t="shared" si="321"/>
        <v>Match</v>
      </c>
      <c r="J4160" s="23" t="str">
        <f t="shared" si="322"/>
        <v>Match</v>
      </c>
      <c r="K4160" s="24">
        <f t="shared" si="323"/>
        <v>0</v>
      </c>
      <c r="L4160" s="24">
        <f t="shared" si="324"/>
        <v>0</v>
      </c>
    </row>
    <row r="4161" spans="1:12" ht="15" customHeight="1" x14ac:dyDescent="0.3">
      <c r="A4161" s="23" t="s">
        <v>17391</v>
      </c>
      <c r="B4161" s="23" t="s">
        <v>75</v>
      </c>
      <c r="C4161" s="39">
        <v>3499</v>
      </c>
      <c r="D4161" s="24">
        <v>10.5</v>
      </c>
      <c r="E4161" s="24">
        <v>1.89</v>
      </c>
      <c r="F4161" s="23">
        <f>COUNTIFS(mdr_rate_cleaned!$A$2:$A$10,B4161,mdr_rate_cleaned!$B$2:$B$10,"&lt;"&amp;C4161,mdr_rate_cleaned!$F$2:$F$10,"&gt;="&amp;C4161)</f>
        <v>1</v>
      </c>
      <c r="G4161" s="40">
        <f>SUMIFS(mdr_rate_cleaned!$G$2:$G$10,mdr_rate_cleaned!$A$2:$A$10,B4161,mdr_rate_cleaned!$B$2:$B$10,"&lt;"&amp;C4161,mdr_rate_cleaned!$F$2:$F$10,"&gt;="&amp;C4161)</f>
        <v>3.0000000000000001E-3</v>
      </c>
      <c r="H4161" s="24">
        <f t="shared" si="320"/>
        <v>10.5</v>
      </c>
      <c r="I4161" s="23" t="str">
        <f t="shared" si="321"/>
        <v>Match</v>
      </c>
      <c r="J4161" s="23" t="str">
        <f t="shared" si="322"/>
        <v>Match</v>
      </c>
      <c r="K4161" s="24">
        <f t="shared" si="323"/>
        <v>1.89</v>
      </c>
      <c r="L4161" s="24">
        <f t="shared" si="324"/>
        <v>0</v>
      </c>
    </row>
    <row r="4162" spans="1:12" ht="15" customHeight="1" x14ac:dyDescent="0.3">
      <c r="A4162" s="23" t="s">
        <v>17392</v>
      </c>
      <c r="B4162" s="23" t="s">
        <v>77</v>
      </c>
      <c r="C4162" s="39">
        <v>1499</v>
      </c>
      <c r="D4162" s="24">
        <v>28.48</v>
      </c>
      <c r="E4162" s="24">
        <v>5.13</v>
      </c>
      <c r="F4162" s="23">
        <f>COUNTIFS(mdr_rate_cleaned!$A$2:$A$10,B4162,mdr_rate_cleaned!$B$2:$B$10,"&lt;"&amp;C4162,mdr_rate_cleaned!$F$2:$F$10,"&gt;="&amp;C4162)</f>
        <v>1</v>
      </c>
      <c r="G4162" s="40">
        <f>SUMIFS(mdr_rate_cleaned!$G$2:$G$10,mdr_rate_cleaned!$A$2:$A$10,B4162,mdr_rate_cleaned!$B$2:$B$10,"&lt;"&amp;C4162,mdr_rate_cleaned!$F$2:$F$10,"&gt;="&amp;C4162)</f>
        <v>1.9E-2</v>
      </c>
      <c r="H4162" s="24">
        <f t="shared" ref="H4162:H4225" si="325">ROUND(C4162*G4162,2)</f>
        <v>28.48</v>
      </c>
      <c r="I4162" s="23" t="str">
        <f t="shared" ref="I4162:I4225" si="326">IF(ROUND(D4162-H4162,2)=0,"Match","Differs")</f>
        <v>Match</v>
      </c>
      <c r="J4162" s="23" t="str">
        <f t="shared" ref="J4162:J4225" si="327">IF(ROUND(E4162-ROUND(D4162*0.18,2),2)=0,"Match","Differs")</f>
        <v>Match</v>
      </c>
      <c r="K4162" s="24">
        <f t="shared" ref="K4162:K4225" si="328">ROUND(H4162*0.18,2)</f>
        <v>5.13</v>
      </c>
      <c r="L4162" s="24">
        <f t="shared" ref="L4162:L4225" si="329">ROUND(D4162+E4162-H4162-K4162,2)</f>
        <v>0</v>
      </c>
    </row>
    <row r="4163" spans="1:12" ht="15" customHeight="1" x14ac:dyDescent="0.3">
      <c r="A4163" s="23" t="s">
        <v>17393</v>
      </c>
      <c r="B4163" s="23" t="s">
        <v>75</v>
      </c>
      <c r="C4163" s="39">
        <v>1299</v>
      </c>
      <c r="D4163" s="24">
        <v>0</v>
      </c>
      <c r="E4163" s="24">
        <v>0</v>
      </c>
      <c r="F4163" s="23">
        <f>COUNTIFS(mdr_rate_cleaned!$A$2:$A$10,B4163,mdr_rate_cleaned!$B$2:$B$10,"&lt;"&amp;C4163,mdr_rate_cleaned!$F$2:$F$10,"&gt;="&amp;C4163)</f>
        <v>1</v>
      </c>
      <c r="G4163" s="40">
        <f>SUMIFS(mdr_rate_cleaned!$G$2:$G$10,mdr_rate_cleaned!$A$2:$A$10,B4163,mdr_rate_cleaned!$B$2:$B$10,"&lt;"&amp;C4163,mdr_rate_cleaned!$F$2:$F$10,"&gt;="&amp;C4163)</f>
        <v>0</v>
      </c>
      <c r="H4163" s="24">
        <f t="shared" si="325"/>
        <v>0</v>
      </c>
      <c r="I4163" s="23" t="str">
        <f t="shared" si="326"/>
        <v>Match</v>
      </c>
      <c r="J4163" s="23" t="str">
        <f t="shared" si="327"/>
        <v>Match</v>
      </c>
      <c r="K4163" s="24">
        <f t="shared" si="328"/>
        <v>0</v>
      </c>
      <c r="L4163" s="24">
        <f t="shared" si="329"/>
        <v>0</v>
      </c>
    </row>
    <row r="4164" spans="1:12" ht="15" customHeight="1" x14ac:dyDescent="0.3">
      <c r="A4164" s="23" t="s">
        <v>17394</v>
      </c>
      <c r="B4164" s="23" t="s">
        <v>81</v>
      </c>
      <c r="C4164" s="39">
        <v>3798</v>
      </c>
      <c r="D4164" s="24">
        <v>45.58</v>
      </c>
      <c r="E4164" s="24">
        <v>8.1999999999999993</v>
      </c>
      <c r="F4164" s="23">
        <f>COUNTIFS(mdr_rate_cleaned!$A$2:$A$10,B4164,mdr_rate_cleaned!$B$2:$B$10,"&lt;"&amp;C4164,mdr_rate_cleaned!$F$2:$F$10,"&gt;="&amp;C4164)</f>
        <v>1</v>
      </c>
      <c r="G4164" s="40">
        <f>SUMIFS(mdr_rate_cleaned!$G$2:$G$10,mdr_rate_cleaned!$A$2:$A$10,B4164,mdr_rate_cleaned!$B$2:$B$10,"&lt;"&amp;C4164,mdr_rate_cleaned!$F$2:$F$10,"&gt;="&amp;C4164)</f>
        <v>1.2E-2</v>
      </c>
      <c r="H4164" s="24">
        <f t="shared" si="325"/>
        <v>45.58</v>
      </c>
      <c r="I4164" s="23" t="str">
        <f t="shared" si="326"/>
        <v>Match</v>
      </c>
      <c r="J4164" s="23" t="str">
        <f t="shared" si="327"/>
        <v>Match</v>
      </c>
      <c r="K4164" s="24">
        <f t="shared" si="328"/>
        <v>8.1999999999999993</v>
      </c>
      <c r="L4164" s="24">
        <f t="shared" si="329"/>
        <v>0</v>
      </c>
    </row>
    <row r="4165" spans="1:12" ht="15" customHeight="1" x14ac:dyDescent="0.3">
      <c r="A4165" s="23" t="s">
        <v>17395</v>
      </c>
      <c r="B4165" s="23" t="s">
        <v>75</v>
      </c>
      <c r="C4165" s="39">
        <v>2499</v>
      </c>
      <c r="D4165" s="24">
        <v>7.5</v>
      </c>
      <c r="E4165" s="24">
        <v>1.35</v>
      </c>
      <c r="F4165" s="23">
        <f>COUNTIFS(mdr_rate_cleaned!$A$2:$A$10,B4165,mdr_rate_cleaned!$B$2:$B$10,"&lt;"&amp;C4165,mdr_rate_cleaned!$F$2:$F$10,"&gt;="&amp;C4165)</f>
        <v>1</v>
      </c>
      <c r="G4165" s="40">
        <f>SUMIFS(mdr_rate_cleaned!$G$2:$G$10,mdr_rate_cleaned!$A$2:$A$10,B4165,mdr_rate_cleaned!$B$2:$B$10,"&lt;"&amp;C4165,mdr_rate_cleaned!$F$2:$F$10,"&gt;="&amp;C4165)</f>
        <v>3.0000000000000001E-3</v>
      </c>
      <c r="H4165" s="24">
        <f t="shared" si="325"/>
        <v>7.5</v>
      </c>
      <c r="I4165" s="23" t="str">
        <f t="shared" si="326"/>
        <v>Match</v>
      </c>
      <c r="J4165" s="23" t="str">
        <f t="shared" si="327"/>
        <v>Match</v>
      </c>
      <c r="K4165" s="24">
        <f t="shared" si="328"/>
        <v>1.35</v>
      </c>
      <c r="L4165" s="24">
        <f t="shared" si="329"/>
        <v>0</v>
      </c>
    </row>
    <row r="4166" spans="1:12" ht="15" customHeight="1" x14ac:dyDescent="0.3">
      <c r="A4166" s="23" t="s">
        <v>17396</v>
      </c>
      <c r="B4166" s="23" t="s">
        <v>75</v>
      </c>
      <c r="C4166" s="39">
        <v>3499</v>
      </c>
      <c r="D4166" s="24">
        <v>10.5</v>
      </c>
      <c r="E4166" s="24">
        <v>1.89</v>
      </c>
      <c r="F4166" s="23">
        <f>COUNTIFS(mdr_rate_cleaned!$A$2:$A$10,B4166,mdr_rate_cleaned!$B$2:$B$10,"&lt;"&amp;C4166,mdr_rate_cleaned!$F$2:$F$10,"&gt;="&amp;C4166)</f>
        <v>1</v>
      </c>
      <c r="G4166" s="40">
        <f>SUMIFS(mdr_rate_cleaned!$G$2:$G$10,mdr_rate_cleaned!$A$2:$A$10,B4166,mdr_rate_cleaned!$B$2:$B$10,"&lt;"&amp;C4166,mdr_rate_cleaned!$F$2:$F$10,"&gt;="&amp;C4166)</f>
        <v>3.0000000000000001E-3</v>
      </c>
      <c r="H4166" s="24">
        <f t="shared" si="325"/>
        <v>10.5</v>
      </c>
      <c r="I4166" s="23" t="str">
        <f t="shared" si="326"/>
        <v>Match</v>
      </c>
      <c r="J4166" s="23" t="str">
        <f t="shared" si="327"/>
        <v>Match</v>
      </c>
      <c r="K4166" s="24">
        <f t="shared" si="328"/>
        <v>1.89</v>
      </c>
      <c r="L4166" s="24">
        <f t="shared" si="329"/>
        <v>0</v>
      </c>
    </row>
    <row r="4167" spans="1:12" ht="15" customHeight="1" x14ac:dyDescent="0.3">
      <c r="A4167" s="23" t="s">
        <v>17397</v>
      </c>
      <c r="B4167" s="23" t="s">
        <v>79</v>
      </c>
      <c r="C4167" s="39">
        <v>5798</v>
      </c>
      <c r="D4167" s="24">
        <v>92.77</v>
      </c>
      <c r="E4167" s="24">
        <v>16.7</v>
      </c>
      <c r="F4167" s="23">
        <f>COUNTIFS(mdr_rate_cleaned!$A$2:$A$10,B4167,mdr_rate_cleaned!$B$2:$B$10,"&lt;"&amp;C4167,mdr_rate_cleaned!$F$2:$F$10,"&gt;="&amp;C4167)</f>
        <v>1</v>
      </c>
      <c r="G4167" s="40">
        <f>SUMIFS(mdr_rate_cleaned!$G$2:$G$10,mdr_rate_cleaned!$A$2:$A$10,B4167,mdr_rate_cleaned!$B$2:$B$10,"&lt;"&amp;C4167,mdr_rate_cleaned!$F$2:$F$10,"&gt;="&amp;C4167)</f>
        <v>1.6E-2</v>
      </c>
      <c r="H4167" s="24">
        <f t="shared" si="325"/>
        <v>92.77</v>
      </c>
      <c r="I4167" s="23" t="str">
        <f t="shared" si="326"/>
        <v>Match</v>
      </c>
      <c r="J4167" s="23" t="str">
        <f t="shared" si="327"/>
        <v>Match</v>
      </c>
      <c r="K4167" s="24">
        <f t="shared" si="328"/>
        <v>16.7</v>
      </c>
      <c r="L4167" s="24">
        <f t="shared" si="329"/>
        <v>0</v>
      </c>
    </row>
    <row r="4168" spans="1:12" ht="15" customHeight="1" x14ac:dyDescent="0.3">
      <c r="A4168" s="23" t="s">
        <v>17398</v>
      </c>
      <c r="B4168" s="23" t="s">
        <v>75</v>
      </c>
      <c r="C4168" s="39">
        <v>1299</v>
      </c>
      <c r="D4168" s="24">
        <v>0</v>
      </c>
      <c r="E4168" s="24">
        <v>0</v>
      </c>
      <c r="F4168" s="23">
        <f>COUNTIFS(mdr_rate_cleaned!$A$2:$A$10,B4168,mdr_rate_cleaned!$B$2:$B$10,"&lt;"&amp;C4168,mdr_rate_cleaned!$F$2:$F$10,"&gt;="&amp;C4168)</f>
        <v>1</v>
      </c>
      <c r="G4168" s="40">
        <f>SUMIFS(mdr_rate_cleaned!$G$2:$G$10,mdr_rate_cleaned!$A$2:$A$10,B4168,mdr_rate_cleaned!$B$2:$B$10,"&lt;"&amp;C4168,mdr_rate_cleaned!$F$2:$F$10,"&gt;="&amp;C4168)</f>
        <v>0</v>
      </c>
      <c r="H4168" s="24">
        <f t="shared" si="325"/>
        <v>0</v>
      </c>
      <c r="I4168" s="23" t="str">
        <f t="shared" si="326"/>
        <v>Match</v>
      </c>
      <c r="J4168" s="23" t="str">
        <f t="shared" si="327"/>
        <v>Match</v>
      </c>
      <c r="K4168" s="24">
        <f t="shared" si="328"/>
        <v>0</v>
      </c>
      <c r="L4168" s="24">
        <f t="shared" si="329"/>
        <v>0</v>
      </c>
    </row>
    <row r="4169" spans="1:12" ht="15" customHeight="1" x14ac:dyDescent="0.3">
      <c r="A4169" s="23" t="s">
        <v>17400</v>
      </c>
      <c r="B4169" s="23" t="s">
        <v>79</v>
      </c>
      <c r="C4169" s="39">
        <v>4999</v>
      </c>
      <c r="D4169" s="24">
        <v>79.98</v>
      </c>
      <c r="E4169" s="24">
        <v>14.4</v>
      </c>
      <c r="F4169" s="23">
        <f>COUNTIFS(mdr_rate_cleaned!$A$2:$A$10,B4169,mdr_rate_cleaned!$B$2:$B$10,"&lt;"&amp;C4169,mdr_rate_cleaned!$F$2:$F$10,"&gt;="&amp;C4169)</f>
        <v>1</v>
      </c>
      <c r="G4169" s="40">
        <f>SUMIFS(mdr_rate_cleaned!$G$2:$G$10,mdr_rate_cleaned!$A$2:$A$10,B4169,mdr_rate_cleaned!$B$2:$B$10,"&lt;"&amp;C4169,mdr_rate_cleaned!$F$2:$F$10,"&gt;="&amp;C4169)</f>
        <v>1.6E-2</v>
      </c>
      <c r="H4169" s="24">
        <f t="shared" si="325"/>
        <v>79.98</v>
      </c>
      <c r="I4169" s="23" t="str">
        <f t="shared" si="326"/>
        <v>Match</v>
      </c>
      <c r="J4169" s="23" t="str">
        <f t="shared" si="327"/>
        <v>Match</v>
      </c>
      <c r="K4169" s="24">
        <f t="shared" si="328"/>
        <v>14.4</v>
      </c>
      <c r="L4169" s="24">
        <f t="shared" si="329"/>
        <v>0</v>
      </c>
    </row>
    <row r="4170" spans="1:12" ht="15" customHeight="1" x14ac:dyDescent="0.3">
      <c r="A4170" s="23" t="s">
        <v>17401</v>
      </c>
      <c r="B4170" s="23" t="s">
        <v>75</v>
      </c>
      <c r="C4170" s="39">
        <v>3597</v>
      </c>
      <c r="D4170" s="24">
        <v>10.79</v>
      </c>
      <c r="E4170" s="24">
        <v>1.94</v>
      </c>
      <c r="F4170" s="23">
        <f>COUNTIFS(mdr_rate_cleaned!$A$2:$A$10,B4170,mdr_rate_cleaned!$B$2:$B$10,"&lt;"&amp;C4170,mdr_rate_cleaned!$F$2:$F$10,"&gt;="&amp;C4170)</f>
        <v>1</v>
      </c>
      <c r="G4170" s="40">
        <f>SUMIFS(mdr_rate_cleaned!$G$2:$G$10,mdr_rate_cleaned!$A$2:$A$10,B4170,mdr_rate_cleaned!$B$2:$B$10,"&lt;"&amp;C4170,mdr_rate_cleaned!$F$2:$F$10,"&gt;="&amp;C4170)</f>
        <v>3.0000000000000001E-3</v>
      </c>
      <c r="H4170" s="24">
        <f t="shared" si="325"/>
        <v>10.79</v>
      </c>
      <c r="I4170" s="23" t="str">
        <f t="shared" si="326"/>
        <v>Match</v>
      </c>
      <c r="J4170" s="23" t="str">
        <f t="shared" si="327"/>
        <v>Match</v>
      </c>
      <c r="K4170" s="24">
        <f t="shared" si="328"/>
        <v>1.94</v>
      </c>
      <c r="L4170" s="24">
        <f t="shared" si="329"/>
        <v>0</v>
      </c>
    </row>
    <row r="4171" spans="1:12" ht="15" customHeight="1" x14ac:dyDescent="0.3">
      <c r="A4171" s="23" t="s">
        <v>17402</v>
      </c>
      <c r="B4171" s="23" t="s">
        <v>75</v>
      </c>
      <c r="C4171" s="39">
        <v>4498</v>
      </c>
      <c r="D4171" s="24">
        <v>13.49</v>
      </c>
      <c r="E4171" s="24">
        <v>2.4300000000000002</v>
      </c>
      <c r="F4171" s="23">
        <f>COUNTIFS(mdr_rate_cleaned!$A$2:$A$10,B4171,mdr_rate_cleaned!$B$2:$B$10,"&lt;"&amp;C4171,mdr_rate_cleaned!$F$2:$F$10,"&gt;="&amp;C4171)</f>
        <v>1</v>
      </c>
      <c r="G4171" s="40">
        <f>SUMIFS(mdr_rate_cleaned!$G$2:$G$10,mdr_rate_cleaned!$A$2:$A$10,B4171,mdr_rate_cleaned!$B$2:$B$10,"&lt;"&amp;C4171,mdr_rate_cleaned!$F$2:$F$10,"&gt;="&amp;C4171)</f>
        <v>3.0000000000000001E-3</v>
      </c>
      <c r="H4171" s="24">
        <f t="shared" si="325"/>
        <v>13.49</v>
      </c>
      <c r="I4171" s="23" t="str">
        <f t="shared" si="326"/>
        <v>Match</v>
      </c>
      <c r="J4171" s="23" t="str">
        <f t="shared" si="327"/>
        <v>Match</v>
      </c>
      <c r="K4171" s="24">
        <f t="shared" si="328"/>
        <v>2.4300000000000002</v>
      </c>
      <c r="L4171" s="24">
        <f t="shared" si="329"/>
        <v>0</v>
      </c>
    </row>
    <row r="4172" spans="1:12" ht="15" customHeight="1" x14ac:dyDescent="0.3">
      <c r="A4172" s="23" t="s">
        <v>17404</v>
      </c>
      <c r="B4172" s="23" t="s">
        <v>79</v>
      </c>
      <c r="C4172" s="39">
        <v>1499</v>
      </c>
      <c r="D4172" s="24">
        <v>26.98</v>
      </c>
      <c r="E4172" s="24">
        <v>4.8600000000000003</v>
      </c>
      <c r="F4172" s="23">
        <f>COUNTIFS(mdr_rate_cleaned!$A$2:$A$10,B4172,mdr_rate_cleaned!$B$2:$B$10,"&lt;"&amp;C4172,mdr_rate_cleaned!$F$2:$F$10,"&gt;="&amp;C4172)</f>
        <v>1</v>
      </c>
      <c r="G4172" s="40">
        <f>SUMIFS(mdr_rate_cleaned!$G$2:$G$10,mdr_rate_cleaned!$A$2:$A$10,B4172,mdr_rate_cleaned!$B$2:$B$10,"&lt;"&amp;C4172,mdr_rate_cleaned!$F$2:$F$10,"&gt;="&amp;C4172)</f>
        <v>1.8000000000000002E-2</v>
      </c>
      <c r="H4172" s="24">
        <f t="shared" si="325"/>
        <v>26.98</v>
      </c>
      <c r="I4172" s="23" t="str">
        <f t="shared" si="326"/>
        <v>Match</v>
      </c>
      <c r="J4172" s="23" t="str">
        <f t="shared" si="327"/>
        <v>Match</v>
      </c>
      <c r="K4172" s="24">
        <f t="shared" si="328"/>
        <v>4.8600000000000003</v>
      </c>
      <c r="L4172" s="24">
        <f t="shared" si="329"/>
        <v>0</v>
      </c>
    </row>
    <row r="4173" spans="1:12" ht="15" customHeight="1" x14ac:dyDescent="0.3">
      <c r="A4173" s="23" t="s">
        <v>17406</v>
      </c>
      <c r="B4173" s="23" t="s">
        <v>77</v>
      </c>
      <c r="C4173" s="39">
        <v>1998</v>
      </c>
      <c r="D4173" s="24">
        <v>37.96</v>
      </c>
      <c r="E4173" s="24">
        <v>6.83</v>
      </c>
      <c r="F4173" s="23">
        <f>COUNTIFS(mdr_rate_cleaned!$A$2:$A$10,B4173,mdr_rate_cleaned!$B$2:$B$10,"&lt;"&amp;C4173,mdr_rate_cleaned!$F$2:$F$10,"&gt;="&amp;C4173)</f>
        <v>1</v>
      </c>
      <c r="G4173" s="40">
        <f>SUMIFS(mdr_rate_cleaned!$G$2:$G$10,mdr_rate_cleaned!$A$2:$A$10,B4173,mdr_rate_cleaned!$B$2:$B$10,"&lt;"&amp;C4173,mdr_rate_cleaned!$F$2:$F$10,"&gt;="&amp;C4173)</f>
        <v>1.9E-2</v>
      </c>
      <c r="H4173" s="24">
        <f t="shared" si="325"/>
        <v>37.96</v>
      </c>
      <c r="I4173" s="23" t="str">
        <f t="shared" si="326"/>
        <v>Match</v>
      </c>
      <c r="J4173" s="23" t="str">
        <f t="shared" si="327"/>
        <v>Match</v>
      </c>
      <c r="K4173" s="24">
        <f t="shared" si="328"/>
        <v>6.83</v>
      </c>
      <c r="L4173" s="24">
        <f t="shared" si="329"/>
        <v>0</v>
      </c>
    </row>
    <row r="4174" spans="1:12" ht="15" customHeight="1" x14ac:dyDescent="0.3">
      <c r="A4174" s="23" t="s">
        <v>17407</v>
      </c>
      <c r="B4174" s="23" t="s">
        <v>79</v>
      </c>
      <c r="C4174" s="39">
        <v>3499</v>
      </c>
      <c r="D4174" s="24">
        <v>55.98</v>
      </c>
      <c r="E4174" s="24">
        <v>10.08</v>
      </c>
      <c r="F4174" s="23">
        <f>COUNTIFS(mdr_rate_cleaned!$A$2:$A$10,B4174,mdr_rate_cleaned!$B$2:$B$10,"&lt;"&amp;C4174,mdr_rate_cleaned!$F$2:$F$10,"&gt;="&amp;C4174)</f>
        <v>1</v>
      </c>
      <c r="G4174" s="40">
        <f>SUMIFS(mdr_rate_cleaned!$G$2:$G$10,mdr_rate_cleaned!$A$2:$A$10,B4174,mdr_rate_cleaned!$B$2:$B$10,"&lt;"&amp;C4174,mdr_rate_cleaned!$F$2:$F$10,"&gt;="&amp;C4174)</f>
        <v>1.6E-2</v>
      </c>
      <c r="H4174" s="24">
        <f t="shared" si="325"/>
        <v>55.98</v>
      </c>
      <c r="I4174" s="23" t="str">
        <f t="shared" si="326"/>
        <v>Match</v>
      </c>
      <c r="J4174" s="23" t="str">
        <f t="shared" si="327"/>
        <v>Match</v>
      </c>
      <c r="K4174" s="24">
        <f t="shared" si="328"/>
        <v>10.08</v>
      </c>
      <c r="L4174" s="24">
        <f t="shared" si="329"/>
        <v>0</v>
      </c>
    </row>
    <row r="4175" spans="1:12" ht="15" customHeight="1" x14ac:dyDescent="0.3">
      <c r="A4175" s="23" t="s">
        <v>17412</v>
      </c>
      <c r="B4175" s="23" t="s">
        <v>81</v>
      </c>
      <c r="C4175" s="39">
        <v>599</v>
      </c>
      <c r="D4175" s="24">
        <v>8.99</v>
      </c>
      <c r="E4175" s="24">
        <v>1.62</v>
      </c>
      <c r="F4175" s="23">
        <f>COUNTIFS(mdr_rate_cleaned!$A$2:$A$10,B4175,mdr_rate_cleaned!$B$2:$B$10,"&lt;"&amp;C4175,mdr_rate_cleaned!$F$2:$F$10,"&gt;="&amp;C4175)</f>
        <v>1</v>
      </c>
      <c r="G4175" s="40">
        <f>SUMIFS(mdr_rate_cleaned!$G$2:$G$10,mdr_rate_cleaned!$A$2:$A$10,B4175,mdr_rate_cleaned!$B$2:$B$10,"&lt;"&amp;C4175,mdr_rate_cleaned!$F$2:$F$10,"&gt;="&amp;C4175)</f>
        <v>1.4999999999999999E-2</v>
      </c>
      <c r="H4175" s="24">
        <f t="shared" si="325"/>
        <v>8.99</v>
      </c>
      <c r="I4175" s="23" t="str">
        <f t="shared" si="326"/>
        <v>Match</v>
      </c>
      <c r="J4175" s="23" t="str">
        <f t="shared" si="327"/>
        <v>Match</v>
      </c>
      <c r="K4175" s="24">
        <f t="shared" si="328"/>
        <v>1.62</v>
      </c>
      <c r="L4175" s="24">
        <f t="shared" si="329"/>
        <v>0</v>
      </c>
    </row>
    <row r="4176" spans="1:12" ht="15" customHeight="1" x14ac:dyDescent="0.3">
      <c r="A4176" s="23" t="s">
        <v>17413</v>
      </c>
      <c r="B4176" s="23" t="s">
        <v>75</v>
      </c>
      <c r="C4176" s="39">
        <v>1799</v>
      </c>
      <c r="D4176" s="24">
        <v>0</v>
      </c>
      <c r="E4176" s="24">
        <v>0</v>
      </c>
      <c r="F4176" s="23">
        <f>COUNTIFS(mdr_rate_cleaned!$A$2:$A$10,B4176,mdr_rate_cleaned!$B$2:$B$10,"&lt;"&amp;C4176,mdr_rate_cleaned!$F$2:$F$10,"&gt;="&amp;C4176)</f>
        <v>1</v>
      </c>
      <c r="G4176" s="40">
        <f>SUMIFS(mdr_rate_cleaned!$G$2:$G$10,mdr_rate_cleaned!$A$2:$A$10,B4176,mdr_rate_cleaned!$B$2:$B$10,"&lt;"&amp;C4176,mdr_rate_cleaned!$F$2:$F$10,"&gt;="&amp;C4176)</f>
        <v>0</v>
      </c>
      <c r="H4176" s="24">
        <f t="shared" si="325"/>
        <v>0</v>
      </c>
      <c r="I4176" s="23" t="str">
        <f t="shared" si="326"/>
        <v>Match</v>
      </c>
      <c r="J4176" s="23" t="str">
        <f t="shared" si="327"/>
        <v>Match</v>
      </c>
      <c r="K4176" s="24">
        <f t="shared" si="328"/>
        <v>0</v>
      </c>
      <c r="L4176" s="24">
        <f t="shared" si="329"/>
        <v>0</v>
      </c>
    </row>
    <row r="4177" spans="1:12" ht="15" customHeight="1" x14ac:dyDescent="0.3">
      <c r="A4177" s="23" t="s">
        <v>17414</v>
      </c>
      <c r="B4177" s="23" t="s">
        <v>77</v>
      </c>
      <c r="C4177" s="39">
        <v>6798</v>
      </c>
      <c r="D4177" s="24">
        <v>115.57</v>
      </c>
      <c r="E4177" s="24">
        <v>20.8</v>
      </c>
      <c r="F4177" s="23">
        <f>COUNTIFS(mdr_rate_cleaned!$A$2:$A$10,B4177,mdr_rate_cleaned!$B$2:$B$10,"&lt;"&amp;C4177,mdr_rate_cleaned!$F$2:$F$10,"&gt;="&amp;C4177)</f>
        <v>1</v>
      </c>
      <c r="G4177" s="40">
        <f>SUMIFS(mdr_rate_cleaned!$G$2:$G$10,mdr_rate_cleaned!$A$2:$A$10,B4177,mdr_rate_cleaned!$B$2:$B$10,"&lt;"&amp;C4177,mdr_rate_cleaned!$F$2:$F$10,"&gt;="&amp;C4177)</f>
        <v>1.7000000000000001E-2</v>
      </c>
      <c r="H4177" s="24">
        <f t="shared" si="325"/>
        <v>115.57</v>
      </c>
      <c r="I4177" s="23" t="str">
        <f t="shared" si="326"/>
        <v>Match</v>
      </c>
      <c r="J4177" s="23" t="str">
        <f t="shared" si="327"/>
        <v>Match</v>
      </c>
      <c r="K4177" s="24">
        <f t="shared" si="328"/>
        <v>20.8</v>
      </c>
      <c r="L4177" s="24">
        <f t="shared" si="329"/>
        <v>0</v>
      </c>
    </row>
    <row r="4178" spans="1:12" ht="15" customHeight="1" x14ac:dyDescent="0.3">
      <c r="A4178" s="23" t="s">
        <v>17415</v>
      </c>
      <c r="B4178" s="23" t="s">
        <v>75</v>
      </c>
      <c r="C4178" s="39">
        <v>8798</v>
      </c>
      <c r="D4178" s="24">
        <v>26.39</v>
      </c>
      <c r="E4178" s="24">
        <v>4.75</v>
      </c>
      <c r="F4178" s="23">
        <f>COUNTIFS(mdr_rate_cleaned!$A$2:$A$10,B4178,mdr_rate_cleaned!$B$2:$B$10,"&lt;"&amp;C4178,mdr_rate_cleaned!$F$2:$F$10,"&gt;="&amp;C4178)</f>
        <v>1</v>
      </c>
      <c r="G4178" s="40">
        <f>SUMIFS(mdr_rate_cleaned!$G$2:$G$10,mdr_rate_cleaned!$A$2:$A$10,B4178,mdr_rate_cleaned!$B$2:$B$10,"&lt;"&amp;C4178,mdr_rate_cleaned!$F$2:$F$10,"&gt;="&amp;C4178)</f>
        <v>3.0000000000000001E-3</v>
      </c>
      <c r="H4178" s="24">
        <f t="shared" si="325"/>
        <v>26.39</v>
      </c>
      <c r="I4178" s="23" t="str">
        <f t="shared" si="326"/>
        <v>Match</v>
      </c>
      <c r="J4178" s="23" t="str">
        <f t="shared" si="327"/>
        <v>Match</v>
      </c>
      <c r="K4178" s="24">
        <f t="shared" si="328"/>
        <v>4.75</v>
      </c>
      <c r="L4178" s="24">
        <f t="shared" si="329"/>
        <v>0</v>
      </c>
    </row>
    <row r="4179" spans="1:12" ht="15" customHeight="1" x14ac:dyDescent="0.3">
      <c r="A4179" s="23" t="s">
        <v>17416</v>
      </c>
      <c r="B4179" s="23" t="s">
        <v>77</v>
      </c>
      <c r="C4179" s="39">
        <v>4999</v>
      </c>
      <c r="D4179" s="24">
        <v>84.98</v>
      </c>
      <c r="E4179" s="24">
        <v>15.3</v>
      </c>
      <c r="F4179" s="23">
        <f>COUNTIFS(mdr_rate_cleaned!$A$2:$A$10,B4179,mdr_rate_cleaned!$B$2:$B$10,"&lt;"&amp;C4179,mdr_rate_cleaned!$F$2:$F$10,"&gt;="&amp;C4179)</f>
        <v>1</v>
      </c>
      <c r="G4179" s="40">
        <f>SUMIFS(mdr_rate_cleaned!$G$2:$G$10,mdr_rate_cleaned!$A$2:$A$10,B4179,mdr_rate_cleaned!$B$2:$B$10,"&lt;"&amp;C4179,mdr_rate_cleaned!$F$2:$F$10,"&gt;="&amp;C4179)</f>
        <v>1.7000000000000001E-2</v>
      </c>
      <c r="H4179" s="24">
        <f t="shared" si="325"/>
        <v>84.98</v>
      </c>
      <c r="I4179" s="23" t="str">
        <f t="shared" si="326"/>
        <v>Match</v>
      </c>
      <c r="J4179" s="23" t="str">
        <f t="shared" si="327"/>
        <v>Match</v>
      </c>
      <c r="K4179" s="24">
        <f t="shared" si="328"/>
        <v>15.3</v>
      </c>
      <c r="L4179" s="24">
        <f t="shared" si="329"/>
        <v>0</v>
      </c>
    </row>
    <row r="4180" spans="1:12" ht="15" customHeight="1" x14ac:dyDescent="0.3">
      <c r="A4180" s="23" t="s">
        <v>17417</v>
      </c>
      <c r="B4180" s="23" t="s">
        <v>75</v>
      </c>
      <c r="C4180" s="39">
        <v>1299</v>
      </c>
      <c r="D4180" s="24">
        <v>0</v>
      </c>
      <c r="E4180" s="24">
        <v>0</v>
      </c>
      <c r="F4180" s="23">
        <f>COUNTIFS(mdr_rate_cleaned!$A$2:$A$10,B4180,mdr_rate_cleaned!$B$2:$B$10,"&lt;"&amp;C4180,mdr_rate_cleaned!$F$2:$F$10,"&gt;="&amp;C4180)</f>
        <v>1</v>
      </c>
      <c r="G4180" s="40">
        <f>SUMIFS(mdr_rate_cleaned!$G$2:$G$10,mdr_rate_cleaned!$A$2:$A$10,B4180,mdr_rate_cleaned!$B$2:$B$10,"&lt;"&amp;C4180,mdr_rate_cleaned!$F$2:$F$10,"&gt;="&amp;C4180)</f>
        <v>0</v>
      </c>
      <c r="H4180" s="24">
        <f t="shared" si="325"/>
        <v>0</v>
      </c>
      <c r="I4180" s="23" t="str">
        <f t="shared" si="326"/>
        <v>Match</v>
      </c>
      <c r="J4180" s="23" t="str">
        <f t="shared" si="327"/>
        <v>Match</v>
      </c>
      <c r="K4180" s="24">
        <f t="shared" si="328"/>
        <v>0</v>
      </c>
      <c r="L4180" s="24">
        <f t="shared" si="329"/>
        <v>0</v>
      </c>
    </row>
    <row r="4181" spans="1:12" ht="15" customHeight="1" x14ac:dyDescent="0.3">
      <c r="A4181" s="23" t="s">
        <v>17418</v>
      </c>
      <c r="B4181" s="23" t="s">
        <v>79</v>
      </c>
      <c r="C4181" s="39">
        <v>1598</v>
      </c>
      <c r="D4181" s="24">
        <v>28.76</v>
      </c>
      <c r="E4181" s="24">
        <v>5.18</v>
      </c>
      <c r="F4181" s="23">
        <f>COUNTIFS(mdr_rate_cleaned!$A$2:$A$10,B4181,mdr_rate_cleaned!$B$2:$B$10,"&lt;"&amp;C4181,mdr_rate_cleaned!$F$2:$F$10,"&gt;="&amp;C4181)</f>
        <v>1</v>
      </c>
      <c r="G4181" s="40">
        <f>SUMIFS(mdr_rate_cleaned!$G$2:$G$10,mdr_rate_cleaned!$A$2:$A$10,B4181,mdr_rate_cleaned!$B$2:$B$10,"&lt;"&amp;C4181,mdr_rate_cleaned!$F$2:$F$10,"&gt;="&amp;C4181)</f>
        <v>1.8000000000000002E-2</v>
      </c>
      <c r="H4181" s="24">
        <f t="shared" si="325"/>
        <v>28.76</v>
      </c>
      <c r="I4181" s="23" t="str">
        <f t="shared" si="326"/>
        <v>Match</v>
      </c>
      <c r="J4181" s="23" t="str">
        <f t="shared" si="327"/>
        <v>Match</v>
      </c>
      <c r="K4181" s="24">
        <f t="shared" si="328"/>
        <v>5.18</v>
      </c>
      <c r="L4181" s="24">
        <f t="shared" si="329"/>
        <v>0</v>
      </c>
    </row>
    <row r="4182" spans="1:12" ht="15" customHeight="1" x14ac:dyDescent="0.3">
      <c r="A4182" s="23" t="s">
        <v>17419</v>
      </c>
      <c r="B4182" s="23" t="s">
        <v>75</v>
      </c>
      <c r="C4182" s="39">
        <v>3098</v>
      </c>
      <c r="D4182" s="24">
        <v>9.2899999999999991</v>
      </c>
      <c r="E4182" s="24">
        <v>1.67</v>
      </c>
      <c r="F4182" s="23">
        <f>COUNTIFS(mdr_rate_cleaned!$A$2:$A$10,B4182,mdr_rate_cleaned!$B$2:$B$10,"&lt;"&amp;C4182,mdr_rate_cleaned!$F$2:$F$10,"&gt;="&amp;C4182)</f>
        <v>1</v>
      </c>
      <c r="G4182" s="40">
        <f>SUMIFS(mdr_rate_cleaned!$G$2:$G$10,mdr_rate_cleaned!$A$2:$A$10,B4182,mdr_rate_cleaned!$B$2:$B$10,"&lt;"&amp;C4182,mdr_rate_cleaned!$F$2:$F$10,"&gt;="&amp;C4182)</f>
        <v>3.0000000000000001E-3</v>
      </c>
      <c r="H4182" s="24">
        <f t="shared" si="325"/>
        <v>9.2899999999999991</v>
      </c>
      <c r="I4182" s="23" t="str">
        <f t="shared" si="326"/>
        <v>Match</v>
      </c>
      <c r="J4182" s="23" t="str">
        <f t="shared" si="327"/>
        <v>Match</v>
      </c>
      <c r="K4182" s="24">
        <f t="shared" si="328"/>
        <v>1.67</v>
      </c>
      <c r="L4182" s="24">
        <f t="shared" si="329"/>
        <v>0</v>
      </c>
    </row>
    <row r="4183" spans="1:12" ht="15" customHeight="1" x14ac:dyDescent="0.3">
      <c r="A4183" s="23" t="s">
        <v>17421</v>
      </c>
      <c r="B4183" s="23" t="s">
        <v>75</v>
      </c>
      <c r="C4183" s="39">
        <v>999</v>
      </c>
      <c r="D4183" s="24">
        <v>0</v>
      </c>
      <c r="E4183" s="24">
        <v>0</v>
      </c>
      <c r="F4183" s="23">
        <f>COUNTIFS(mdr_rate_cleaned!$A$2:$A$10,B4183,mdr_rate_cleaned!$B$2:$B$10,"&lt;"&amp;C4183,mdr_rate_cleaned!$F$2:$F$10,"&gt;="&amp;C4183)</f>
        <v>1</v>
      </c>
      <c r="G4183" s="40">
        <f>SUMIFS(mdr_rate_cleaned!$G$2:$G$10,mdr_rate_cleaned!$A$2:$A$10,B4183,mdr_rate_cleaned!$B$2:$B$10,"&lt;"&amp;C4183,mdr_rate_cleaned!$F$2:$F$10,"&gt;="&amp;C4183)</f>
        <v>0</v>
      </c>
      <c r="H4183" s="24">
        <f t="shared" si="325"/>
        <v>0</v>
      </c>
      <c r="I4183" s="23" t="str">
        <f t="shared" si="326"/>
        <v>Match</v>
      </c>
      <c r="J4183" s="23" t="str">
        <f t="shared" si="327"/>
        <v>Match</v>
      </c>
      <c r="K4183" s="24">
        <f t="shared" si="328"/>
        <v>0</v>
      </c>
      <c r="L4183" s="24">
        <f t="shared" si="329"/>
        <v>0</v>
      </c>
    </row>
    <row r="4184" spans="1:12" ht="15" customHeight="1" x14ac:dyDescent="0.3">
      <c r="A4184" s="23" t="s">
        <v>17422</v>
      </c>
      <c r="B4184" s="23" t="s">
        <v>75</v>
      </c>
      <c r="C4184" s="39">
        <v>7999</v>
      </c>
      <c r="D4184" s="24">
        <v>24</v>
      </c>
      <c r="E4184" s="24">
        <v>4.32</v>
      </c>
      <c r="F4184" s="23">
        <f>COUNTIFS(mdr_rate_cleaned!$A$2:$A$10,B4184,mdr_rate_cleaned!$B$2:$B$10,"&lt;"&amp;C4184,mdr_rate_cleaned!$F$2:$F$10,"&gt;="&amp;C4184)</f>
        <v>1</v>
      </c>
      <c r="G4184" s="40">
        <f>SUMIFS(mdr_rate_cleaned!$G$2:$G$10,mdr_rate_cleaned!$A$2:$A$10,B4184,mdr_rate_cleaned!$B$2:$B$10,"&lt;"&amp;C4184,mdr_rate_cleaned!$F$2:$F$10,"&gt;="&amp;C4184)</f>
        <v>3.0000000000000001E-3</v>
      </c>
      <c r="H4184" s="24">
        <f t="shared" si="325"/>
        <v>24</v>
      </c>
      <c r="I4184" s="23" t="str">
        <f t="shared" si="326"/>
        <v>Match</v>
      </c>
      <c r="J4184" s="23" t="str">
        <f t="shared" si="327"/>
        <v>Match</v>
      </c>
      <c r="K4184" s="24">
        <f t="shared" si="328"/>
        <v>4.32</v>
      </c>
      <c r="L4184" s="24">
        <f t="shared" si="329"/>
        <v>0</v>
      </c>
    </row>
    <row r="4185" spans="1:12" ht="15" customHeight="1" x14ac:dyDescent="0.3">
      <c r="A4185" s="23" t="s">
        <v>17423</v>
      </c>
      <c r="B4185" s="23" t="s">
        <v>75</v>
      </c>
      <c r="C4185" s="39">
        <v>1299</v>
      </c>
      <c r="D4185" s="24">
        <v>0</v>
      </c>
      <c r="E4185" s="24">
        <v>0</v>
      </c>
      <c r="F4185" s="23">
        <f>COUNTIFS(mdr_rate_cleaned!$A$2:$A$10,B4185,mdr_rate_cleaned!$B$2:$B$10,"&lt;"&amp;C4185,mdr_rate_cleaned!$F$2:$F$10,"&gt;="&amp;C4185)</f>
        <v>1</v>
      </c>
      <c r="G4185" s="40">
        <f>SUMIFS(mdr_rate_cleaned!$G$2:$G$10,mdr_rate_cleaned!$A$2:$A$10,B4185,mdr_rate_cleaned!$B$2:$B$10,"&lt;"&amp;C4185,mdr_rate_cleaned!$F$2:$F$10,"&gt;="&amp;C4185)</f>
        <v>0</v>
      </c>
      <c r="H4185" s="24">
        <f t="shared" si="325"/>
        <v>0</v>
      </c>
      <c r="I4185" s="23" t="str">
        <f t="shared" si="326"/>
        <v>Match</v>
      </c>
      <c r="J4185" s="23" t="str">
        <f t="shared" si="327"/>
        <v>Match</v>
      </c>
      <c r="K4185" s="24">
        <f t="shared" si="328"/>
        <v>0</v>
      </c>
      <c r="L4185" s="24">
        <f t="shared" si="329"/>
        <v>0</v>
      </c>
    </row>
    <row r="4186" spans="1:12" ht="15" customHeight="1" x14ac:dyDescent="0.3">
      <c r="A4186" s="23" t="s">
        <v>17424</v>
      </c>
      <c r="B4186" s="23" t="s">
        <v>75</v>
      </c>
      <c r="C4186" s="39">
        <v>299</v>
      </c>
      <c r="D4186" s="24">
        <v>0</v>
      </c>
      <c r="E4186" s="24">
        <v>0</v>
      </c>
      <c r="F4186" s="23">
        <f>COUNTIFS(mdr_rate_cleaned!$A$2:$A$10,B4186,mdr_rate_cleaned!$B$2:$B$10,"&lt;"&amp;C4186,mdr_rate_cleaned!$F$2:$F$10,"&gt;="&amp;C4186)</f>
        <v>1</v>
      </c>
      <c r="G4186" s="40">
        <f>SUMIFS(mdr_rate_cleaned!$G$2:$G$10,mdr_rate_cleaned!$A$2:$A$10,B4186,mdr_rate_cleaned!$B$2:$B$10,"&lt;"&amp;C4186,mdr_rate_cleaned!$F$2:$F$10,"&gt;="&amp;C4186)</f>
        <v>0</v>
      </c>
      <c r="H4186" s="24">
        <f t="shared" si="325"/>
        <v>0</v>
      </c>
      <c r="I4186" s="23" t="str">
        <f t="shared" si="326"/>
        <v>Match</v>
      </c>
      <c r="J4186" s="23" t="str">
        <f t="shared" si="327"/>
        <v>Match</v>
      </c>
      <c r="K4186" s="24">
        <f t="shared" si="328"/>
        <v>0</v>
      </c>
      <c r="L4186" s="24">
        <f t="shared" si="329"/>
        <v>0</v>
      </c>
    </row>
    <row r="4187" spans="1:12" ht="15" customHeight="1" x14ac:dyDescent="0.3">
      <c r="A4187" s="23" t="s">
        <v>17425</v>
      </c>
      <c r="B4187" s="23" t="s">
        <v>81</v>
      </c>
      <c r="C4187" s="39">
        <v>2847</v>
      </c>
      <c r="D4187" s="24">
        <v>34.159999999999997</v>
      </c>
      <c r="E4187" s="24">
        <v>6.15</v>
      </c>
      <c r="F4187" s="23">
        <f>COUNTIFS(mdr_rate_cleaned!$A$2:$A$10,B4187,mdr_rate_cleaned!$B$2:$B$10,"&lt;"&amp;C4187,mdr_rate_cleaned!$F$2:$F$10,"&gt;="&amp;C4187)</f>
        <v>1</v>
      </c>
      <c r="G4187" s="40">
        <f>SUMIFS(mdr_rate_cleaned!$G$2:$G$10,mdr_rate_cleaned!$A$2:$A$10,B4187,mdr_rate_cleaned!$B$2:$B$10,"&lt;"&amp;C4187,mdr_rate_cleaned!$F$2:$F$10,"&gt;="&amp;C4187)</f>
        <v>1.2E-2</v>
      </c>
      <c r="H4187" s="24">
        <f t="shared" si="325"/>
        <v>34.159999999999997</v>
      </c>
      <c r="I4187" s="23" t="str">
        <f t="shared" si="326"/>
        <v>Match</v>
      </c>
      <c r="J4187" s="23" t="str">
        <f t="shared" si="327"/>
        <v>Match</v>
      </c>
      <c r="K4187" s="24">
        <f t="shared" si="328"/>
        <v>6.15</v>
      </c>
      <c r="L4187" s="24">
        <f t="shared" si="329"/>
        <v>0</v>
      </c>
    </row>
    <row r="4188" spans="1:12" ht="15" customHeight="1" x14ac:dyDescent="0.3">
      <c r="A4188" s="23" t="s">
        <v>17426</v>
      </c>
      <c r="B4188" s="23" t="s">
        <v>75</v>
      </c>
      <c r="C4188" s="39">
        <v>6397</v>
      </c>
      <c r="D4188" s="24">
        <v>19.190000000000001</v>
      </c>
      <c r="E4188" s="24">
        <v>3.45</v>
      </c>
      <c r="F4188" s="23">
        <f>COUNTIFS(mdr_rate_cleaned!$A$2:$A$10,B4188,mdr_rate_cleaned!$B$2:$B$10,"&lt;"&amp;C4188,mdr_rate_cleaned!$F$2:$F$10,"&gt;="&amp;C4188)</f>
        <v>1</v>
      </c>
      <c r="G4188" s="40">
        <f>SUMIFS(mdr_rate_cleaned!$G$2:$G$10,mdr_rate_cleaned!$A$2:$A$10,B4188,mdr_rate_cleaned!$B$2:$B$10,"&lt;"&amp;C4188,mdr_rate_cleaned!$F$2:$F$10,"&gt;="&amp;C4188)</f>
        <v>3.0000000000000001E-3</v>
      </c>
      <c r="H4188" s="24">
        <f t="shared" si="325"/>
        <v>19.190000000000001</v>
      </c>
      <c r="I4188" s="23" t="str">
        <f t="shared" si="326"/>
        <v>Match</v>
      </c>
      <c r="J4188" s="23" t="str">
        <f t="shared" si="327"/>
        <v>Match</v>
      </c>
      <c r="K4188" s="24">
        <f t="shared" si="328"/>
        <v>3.45</v>
      </c>
      <c r="L4188" s="24">
        <f t="shared" si="329"/>
        <v>0</v>
      </c>
    </row>
    <row r="4189" spans="1:12" ht="15" customHeight="1" x14ac:dyDescent="0.3">
      <c r="A4189" s="23" t="s">
        <v>17427</v>
      </c>
      <c r="B4189" s="23" t="s">
        <v>75</v>
      </c>
      <c r="C4189" s="39">
        <v>3348</v>
      </c>
      <c r="D4189" s="24">
        <v>10.039999999999999</v>
      </c>
      <c r="E4189" s="24">
        <v>1.81</v>
      </c>
      <c r="F4189" s="23">
        <f>COUNTIFS(mdr_rate_cleaned!$A$2:$A$10,B4189,mdr_rate_cleaned!$B$2:$B$10,"&lt;"&amp;C4189,mdr_rate_cleaned!$F$2:$F$10,"&gt;="&amp;C4189)</f>
        <v>1</v>
      </c>
      <c r="G4189" s="40">
        <f>SUMIFS(mdr_rate_cleaned!$G$2:$G$10,mdr_rate_cleaned!$A$2:$A$10,B4189,mdr_rate_cleaned!$B$2:$B$10,"&lt;"&amp;C4189,mdr_rate_cleaned!$F$2:$F$10,"&gt;="&amp;C4189)</f>
        <v>3.0000000000000001E-3</v>
      </c>
      <c r="H4189" s="24">
        <f t="shared" si="325"/>
        <v>10.039999999999999</v>
      </c>
      <c r="I4189" s="23" t="str">
        <f t="shared" si="326"/>
        <v>Match</v>
      </c>
      <c r="J4189" s="23" t="str">
        <f t="shared" si="327"/>
        <v>Match</v>
      </c>
      <c r="K4189" s="24">
        <f t="shared" si="328"/>
        <v>1.81</v>
      </c>
      <c r="L4189" s="24">
        <f t="shared" si="329"/>
        <v>0</v>
      </c>
    </row>
    <row r="4190" spans="1:12" ht="15" customHeight="1" x14ac:dyDescent="0.3">
      <c r="A4190" s="23" t="s">
        <v>17428</v>
      </c>
      <c r="B4190" s="23" t="s">
        <v>79</v>
      </c>
      <c r="C4190" s="39">
        <v>299</v>
      </c>
      <c r="D4190" s="24">
        <v>5.38</v>
      </c>
      <c r="E4190" s="24">
        <v>0.97</v>
      </c>
      <c r="F4190" s="23">
        <f>COUNTIFS(mdr_rate_cleaned!$A$2:$A$10,B4190,mdr_rate_cleaned!$B$2:$B$10,"&lt;"&amp;C4190,mdr_rate_cleaned!$F$2:$F$10,"&gt;="&amp;C4190)</f>
        <v>1</v>
      </c>
      <c r="G4190" s="40">
        <f>SUMIFS(mdr_rate_cleaned!$G$2:$G$10,mdr_rate_cleaned!$A$2:$A$10,B4190,mdr_rate_cleaned!$B$2:$B$10,"&lt;"&amp;C4190,mdr_rate_cleaned!$F$2:$F$10,"&gt;="&amp;C4190)</f>
        <v>1.8000000000000002E-2</v>
      </c>
      <c r="H4190" s="24">
        <f t="shared" si="325"/>
        <v>5.38</v>
      </c>
      <c r="I4190" s="23" t="str">
        <f t="shared" si="326"/>
        <v>Match</v>
      </c>
      <c r="J4190" s="23" t="str">
        <f t="shared" si="327"/>
        <v>Match</v>
      </c>
      <c r="K4190" s="24">
        <f t="shared" si="328"/>
        <v>0.97</v>
      </c>
      <c r="L4190" s="24">
        <f t="shared" si="329"/>
        <v>0</v>
      </c>
    </row>
    <row r="4191" spans="1:12" ht="15" customHeight="1" x14ac:dyDescent="0.3">
      <c r="A4191" s="23" t="s">
        <v>17429</v>
      </c>
      <c r="B4191" s="23" t="s">
        <v>75</v>
      </c>
      <c r="C4191" s="39">
        <v>5498</v>
      </c>
      <c r="D4191" s="24">
        <v>16.489999999999998</v>
      </c>
      <c r="E4191" s="24">
        <v>2.97</v>
      </c>
      <c r="F4191" s="23">
        <f>COUNTIFS(mdr_rate_cleaned!$A$2:$A$10,B4191,mdr_rate_cleaned!$B$2:$B$10,"&lt;"&amp;C4191,mdr_rate_cleaned!$F$2:$F$10,"&gt;="&amp;C4191)</f>
        <v>1</v>
      </c>
      <c r="G4191" s="40">
        <f>SUMIFS(mdr_rate_cleaned!$G$2:$G$10,mdr_rate_cleaned!$A$2:$A$10,B4191,mdr_rate_cleaned!$B$2:$B$10,"&lt;"&amp;C4191,mdr_rate_cleaned!$F$2:$F$10,"&gt;="&amp;C4191)</f>
        <v>3.0000000000000001E-3</v>
      </c>
      <c r="H4191" s="24">
        <f t="shared" si="325"/>
        <v>16.489999999999998</v>
      </c>
      <c r="I4191" s="23" t="str">
        <f t="shared" si="326"/>
        <v>Match</v>
      </c>
      <c r="J4191" s="23" t="str">
        <f t="shared" si="327"/>
        <v>Match</v>
      </c>
      <c r="K4191" s="24">
        <f t="shared" si="328"/>
        <v>2.97</v>
      </c>
      <c r="L4191" s="24">
        <f t="shared" si="329"/>
        <v>0</v>
      </c>
    </row>
    <row r="4192" spans="1:12" ht="15" customHeight="1" x14ac:dyDescent="0.3">
      <c r="A4192" s="23" t="s">
        <v>17430</v>
      </c>
      <c r="B4192" s="23" t="s">
        <v>77</v>
      </c>
      <c r="C4192" s="39">
        <v>4298</v>
      </c>
      <c r="D4192" s="24">
        <v>73.069999999999993</v>
      </c>
      <c r="E4192" s="24">
        <v>13.15</v>
      </c>
      <c r="F4192" s="23">
        <f>COUNTIFS(mdr_rate_cleaned!$A$2:$A$10,B4192,mdr_rate_cleaned!$B$2:$B$10,"&lt;"&amp;C4192,mdr_rate_cleaned!$F$2:$F$10,"&gt;="&amp;C4192)</f>
        <v>1</v>
      </c>
      <c r="G4192" s="40">
        <f>SUMIFS(mdr_rate_cleaned!$G$2:$G$10,mdr_rate_cleaned!$A$2:$A$10,B4192,mdr_rate_cleaned!$B$2:$B$10,"&lt;"&amp;C4192,mdr_rate_cleaned!$F$2:$F$10,"&gt;="&amp;C4192)</f>
        <v>1.7000000000000001E-2</v>
      </c>
      <c r="H4192" s="24">
        <f t="shared" si="325"/>
        <v>73.069999999999993</v>
      </c>
      <c r="I4192" s="23" t="str">
        <f t="shared" si="326"/>
        <v>Match</v>
      </c>
      <c r="J4192" s="23" t="str">
        <f t="shared" si="327"/>
        <v>Match</v>
      </c>
      <c r="K4192" s="24">
        <f t="shared" si="328"/>
        <v>13.15</v>
      </c>
      <c r="L4192" s="24">
        <f t="shared" si="329"/>
        <v>0</v>
      </c>
    </row>
    <row r="4193" spans="1:12" ht="15" customHeight="1" x14ac:dyDescent="0.3">
      <c r="A4193" s="23" t="s">
        <v>17431</v>
      </c>
      <c r="B4193" s="23" t="s">
        <v>75</v>
      </c>
      <c r="C4193" s="39">
        <v>1648</v>
      </c>
      <c r="D4193" s="24">
        <v>0</v>
      </c>
      <c r="E4193" s="24">
        <v>0</v>
      </c>
      <c r="F4193" s="23">
        <f>COUNTIFS(mdr_rate_cleaned!$A$2:$A$10,B4193,mdr_rate_cleaned!$B$2:$B$10,"&lt;"&amp;C4193,mdr_rate_cleaned!$F$2:$F$10,"&gt;="&amp;C4193)</f>
        <v>1</v>
      </c>
      <c r="G4193" s="40">
        <f>SUMIFS(mdr_rate_cleaned!$G$2:$G$10,mdr_rate_cleaned!$A$2:$A$10,B4193,mdr_rate_cleaned!$B$2:$B$10,"&lt;"&amp;C4193,mdr_rate_cleaned!$F$2:$F$10,"&gt;="&amp;C4193)</f>
        <v>0</v>
      </c>
      <c r="H4193" s="24">
        <f t="shared" si="325"/>
        <v>0</v>
      </c>
      <c r="I4193" s="23" t="str">
        <f t="shared" si="326"/>
        <v>Match</v>
      </c>
      <c r="J4193" s="23" t="str">
        <f t="shared" si="327"/>
        <v>Match</v>
      </c>
      <c r="K4193" s="24">
        <f t="shared" si="328"/>
        <v>0</v>
      </c>
      <c r="L4193" s="24">
        <f t="shared" si="329"/>
        <v>0</v>
      </c>
    </row>
    <row r="4194" spans="1:12" ht="15" customHeight="1" x14ac:dyDescent="0.3">
      <c r="A4194" s="23" t="s">
        <v>17432</v>
      </c>
      <c r="B4194" s="23" t="s">
        <v>81</v>
      </c>
      <c r="C4194" s="39">
        <v>2998</v>
      </c>
      <c r="D4194" s="24">
        <v>35.979999999999997</v>
      </c>
      <c r="E4194" s="24">
        <v>6.48</v>
      </c>
      <c r="F4194" s="23">
        <f>COUNTIFS(mdr_rate_cleaned!$A$2:$A$10,B4194,mdr_rate_cleaned!$B$2:$B$10,"&lt;"&amp;C4194,mdr_rate_cleaned!$F$2:$F$10,"&gt;="&amp;C4194)</f>
        <v>1</v>
      </c>
      <c r="G4194" s="40">
        <f>SUMIFS(mdr_rate_cleaned!$G$2:$G$10,mdr_rate_cleaned!$A$2:$A$10,B4194,mdr_rate_cleaned!$B$2:$B$10,"&lt;"&amp;C4194,mdr_rate_cleaned!$F$2:$F$10,"&gt;="&amp;C4194)</f>
        <v>1.2E-2</v>
      </c>
      <c r="H4194" s="24">
        <f t="shared" si="325"/>
        <v>35.979999999999997</v>
      </c>
      <c r="I4194" s="23" t="str">
        <f t="shared" si="326"/>
        <v>Match</v>
      </c>
      <c r="J4194" s="23" t="str">
        <f t="shared" si="327"/>
        <v>Match</v>
      </c>
      <c r="K4194" s="24">
        <f t="shared" si="328"/>
        <v>6.48</v>
      </c>
      <c r="L4194" s="24">
        <f t="shared" si="329"/>
        <v>0</v>
      </c>
    </row>
    <row r="4195" spans="1:12" ht="15" customHeight="1" x14ac:dyDescent="0.3">
      <c r="A4195" s="23" t="s">
        <v>17433</v>
      </c>
      <c r="B4195" s="23" t="s">
        <v>75</v>
      </c>
      <c r="C4195" s="39">
        <v>2797</v>
      </c>
      <c r="D4195" s="24">
        <v>8.39</v>
      </c>
      <c r="E4195" s="24">
        <v>1.51</v>
      </c>
      <c r="F4195" s="23">
        <f>COUNTIFS(mdr_rate_cleaned!$A$2:$A$10,B4195,mdr_rate_cleaned!$B$2:$B$10,"&lt;"&amp;C4195,mdr_rate_cleaned!$F$2:$F$10,"&gt;="&amp;C4195)</f>
        <v>1</v>
      </c>
      <c r="G4195" s="40">
        <f>SUMIFS(mdr_rate_cleaned!$G$2:$G$10,mdr_rate_cleaned!$A$2:$A$10,B4195,mdr_rate_cleaned!$B$2:$B$10,"&lt;"&amp;C4195,mdr_rate_cleaned!$F$2:$F$10,"&gt;="&amp;C4195)</f>
        <v>3.0000000000000001E-3</v>
      </c>
      <c r="H4195" s="24">
        <f t="shared" si="325"/>
        <v>8.39</v>
      </c>
      <c r="I4195" s="23" t="str">
        <f t="shared" si="326"/>
        <v>Match</v>
      </c>
      <c r="J4195" s="23" t="str">
        <f t="shared" si="327"/>
        <v>Match</v>
      </c>
      <c r="K4195" s="24">
        <f t="shared" si="328"/>
        <v>1.51</v>
      </c>
      <c r="L4195" s="24">
        <f t="shared" si="329"/>
        <v>0</v>
      </c>
    </row>
    <row r="4196" spans="1:12" ht="15" customHeight="1" x14ac:dyDescent="0.3">
      <c r="A4196" s="23" t="s">
        <v>17435</v>
      </c>
      <c r="B4196" s="23" t="s">
        <v>75</v>
      </c>
      <c r="C4196" s="39">
        <v>4997</v>
      </c>
      <c r="D4196" s="24">
        <v>14.99</v>
      </c>
      <c r="E4196" s="24">
        <v>2.7</v>
      </c>
      <c r="F4196" s="23">
        <f>COUNTIFS(mdr_rate_cleaned!$A$2:$A$10,B4196,mdr_rate_cleaned!$B$2:$B$10,"&lt;"&amp;C4196,mdr_rate_cleaned!$F$2:$F$10,"&gt;="&amp;C4196)</f>
        <v>1</v>
      </c>
      <c r="G4196" s="40">
        <f>SUMIFS(mdr_rate_cleaned!$G$2:$G$10,mdr_rate_cleaned!$A$2:$A$10,B4196,mdr_rate_cleaned!$B$2:$B$10,"&lt;"&amp;C4196,mdr_rate_cleaned!$F$2:$F$10,"&gt;="&amp;C4196)</f>
        <v>3.0000000000000001E-3</v>
      </c>
      <c r="H4196" s="24">
        <f t="shared" si="325"/>
        <v>14.99</v>
      </c>
      <c r="I4196" s="23" t="str">
        <f t="shared" si="326"/>
        <v>Match</v>
      </c>
      <c r="J4196" s="23" t="str">
        <f t="shared" si="327"/>
        <v>Match</v>
      </c>
      <c r="K4196" s="24">
        <f t="shared" si="328"/>
        <v>2.7</v>
      </c>
      <c r="L4196" s="24">
        <f t="shared" si="329"/>
        <v>0</v>
      </c>
    </row>
    <row r="4197" spans="1:12" ht="15" customHeight="1" x14ac:dyDescent="0.3">
      <c r="A4197" s="23" t="s">
        <v>17436</v>
      </c>
      <c r="B4197" s="23" t="s">
        <v>77</v>
      </c>
      <c r="C4197" s="39">
        <v>1499</v>
      </c>
      <c r="D4197" s="24">
        <v>28.48</v>
      </c>
      <c r="E4197" s="24">
        <v>5.13</v>
      </c>
      <c r="F4197" s="23">
        <f>COUNTIFS(mdr_rate_cleaned!$A$2:$A$10,B4197,mdr_rate_cleaned!$B$2:$B$10,"&lt;"&amp;C4197,mdr_rate_cleaned!$F$2:$F$10,"&gt;="&amp;C4197)</f>
        <v>1</v>
      </c>
      <c r="G4197" s="40">
        <f>SUMIFS(mdr_rate_cleaned!$G$2:$G$10,mdr_rate_cleaned!$A$2:$A$10,B4197,mdr_rate_cleaned!$B$2:$B$10,"&lt;"&amp;C4197,mdr_rate_cleaned!$F$2:$F$10,"&gt;="&amp;C4197)</f>
        <v>1.9E-2</v>
      </c>
      <c r="H4197" s="24">
        <f t="shared" si="325"/>
        <v>28.48</v>
      </c>
      <c r="I4197" s="23" t="str">
        <f t="shared" si="326"/>
        <v>Match</v>
      </c>
      <c r="J4197" s="23" t="str">
        <f t="shared" si="327"/>
        <v>Match</v>
      </c>
      <c r="K4197" s="24">
        <f t="shared" si="328"/>
        <v>5.13</v>
      </c>
      <c r="L4197" s="24">
        <f t="shared" si="329"/>
        <v>0</v>
      </c>
    </row>
    <row r="4198" spans="1:12" ht="15" customHeight="1" x14ac:dyDescent="0.3">
      <c r="A4198" s="23" t="s">
        <v>17437</v>
      </c>
      <c r="B4198" s="23" t="s">
        <v>75</v>
      </c>
      <c r="C4198" s="39">
        <v>3798</v>
      </c>
      <c r="D4198" s="24">
        <v>11.39</v>
      </c>
      <c r="E4198" s="24">
        <v>2.0499999999999998</v>
      </c>
      <c r="F4198" s="23">
        <f>COUNTIFS(mdr_rate_cleaned!$A$2:$A$10,B4198,mdr_rate_cleaned!$B$2:$B$10,"&lt;"&amp;C4198,mdr_rate_cleaned!$F$2:$F$10,"&gt;="&amp;C4198)</f>
        <v>1</v>
      </c>
      <c r="G4198" s="40">
        <f>SUMIFS(mdr_rate_cleaned!$G$2:$G$10,mdr_rate_cleaned!$A$2:$A$10,B4198,mdr_rate_cleaned!$B$2:$B$10,"&lt;"&amp;C4198,mdr_rate_cleaned!$F$2:$F$10,"&gt;="&amp;C4198)</f>
        <v>3.0000000000000001E-3</v>
      </c>
      <c r="H4198" s="24">
        <f t="shared" si="325"/>
        <v>11.39</v>
      </c>
      <c r="I4198" s="23" t="str">
        <f t="shared" si="326"/>
        <v>Match</v>
      </c>
      <c r="J4198" s="23" t="str">
        <f t="shared" si="327"/>
        <v>Match</v>
      </c>
      <c r="K4198" s="24">
        <f t="shared" si="328"/>
        <v>2.0499999999999998</v>
      </c>
      <c r="L4198" s="24">
        <f t="shared" si="329"/>
        <v>0</v>
      </c>
    </row>
    <row r="4199" spans="1:12" ht="15" customHeight="1" x14ac:dyDescent="0.3">
      <c r="A4199" s="23" t="s">
        <v>17439</v>
      </c>
      <c r="B4199" s="23" t="s">
        <v>81</v>
      </c>
      <c r="C4199" s="39">
        <v>2497</v>
      </c>
      <c r="D4199" s="24">
        <v>29.96</v>
      </c>
      <c r="E4199" s="24">
        <v>5.39</v>
      </c>
      <c r="F4199" s="23">
        <f>COUNTIFS(mdr_rate_cleaned!$A$2:$A$10,B4199,mdr_rate_cleaned!$B$2:$B$10,"&lt;"&amp;C4199,mdr_rate_cleaned!$F$2:$F$10,"&gt;="&amp;C4199)</f>
        <v>1</v>
      </c>
      <c r="G4199" s="40">
        <f>SUMIFS(mdr_rate_cleaned!$G$2:$G$10,mdr_rate_cleaned!$A$2:$A$10,B4199,mdr_rate_cleaned!$B$2:$B$10,"&lt;"&amp;C4199,mdr_rate_cleaned!$F$2:$F$10,"&gt;="&amp;C4199)</f>
        <v>1.2E-2</v>
      </c>
      <c r="H4199" s="24">
        <f t="shared" si="325"/>
        <v>29.96</v>
      </c>
      <c r="I4199" s="23" t="str">
        <f t="shared" si="326"/>
        <v>Match</v>
      </c>
      <c r="J4199" s="23" t="str">
        <f t="shared" si="327"/>
        <v>Match</v>
      </c>
      <c r="K4199" s="24">
        <f t="shared" si="328"/>
        <v>5.39</v>
      </c>
      <c r="L4199" s="24">
        <f t="shared" si="329"/>
        <v>0</v>
      </c>
    </row>
    <row r="4200" spans="1:12" ht="15" customHeight="1" x14ac:dyDescent="0.3">
      <c r="A4200" s="23" t="s">
        <v>17440</v>
      </c>
      <c r="B4200" s="23" t="s">
        <v>81</v>
      </c>
      <c r="C4200" s="39">
        <v>599</v>
      </c>
      <c r="D4200" s="24">
        <v>8.99</v>
      </c>
      <c r="E4200" s="24">
        <v>1.62</v>
      </c>
      <c r="F4200" s="23">
        <f>COUNTIFS(mdr_rate_cleaned!$A$2:$A$10,B4200,mdr_rate_cleaned!$B$2:$B$10,"&lt;"&amp;C4200,mdr_rate_cleaned!$F$2:$F$10,"&gt;="&amp;C4200)</f>
        <v>1</v>
      </c>
      <c r="G4200" s="40">
        <f>SUMIFS(mdr_rate_cleaned!$G$2:$G$10,mdr_rate_cleaned!$A$2:$A$10,B4200,mdr_rate_cleaned!$B$2:$B$10,"&lt;"&amp;C4200,mdr_rate_cleaned!$F$2:$F$10,"&gt;="&amp;C4200)</f>
        <v>1.4999999999999999E-2</v>
      </c>
      <c r="H4200" s="24">
        <f t="shared" si="325"/>
        <v>8.99</v>
      </c>
      <c r="I4200" s="23" t="str">
        <f t="shared" si="326"/>
        <v>Match</v>
      </c>
      <c r="J4200" s="23" t="str">
        <f t="shared" si="327"/>
        <v>Match</v>
      </c>
      <c r="K4200" s="24">
        <f t="shared" si="328"/>
        <v>1.62</v>
      </c>
      <c r="L4200" s="24">
        <f t="shared" si="329"/>
        <v>0</v>
      </c>
    </row>
    <row r="4201" spans="1:12" ht="15" customHeight="1" x14ac:dyDescent="0.3">
      <c r="A4201" s="23" t="s">
        <v>17441</v>
      </c>
      <c r="B4201" s="23" t="s">
        <v>75</v>
      </c>
      <c r="C4201" s="39">
        <v>2498</v>
      </c>
      <c r="D4201" s="24">
        <v>7.49</v>
      </c>
      <c r="E4201" s="24">
        <v>1.35</v>
      </c>
      <c r="F4201" s="23">
        <f>COUNTIFS(mdr_rate_cleaned!$A$2:$A$10,B4201,mdr_rate_cleaned!$B$2:$B$10,"&lt;"&amp;C4201,mdr_rate_cleaned!$F$2:$F$10,"&gt;="&amp;C4201)</f>
        <v>1</v>
      </c>
      <c r="G4201" s="40">
        <f>SUMIFS(mdr_rate_cleaned!$G$2:$G$10,mdr_rate_cleaned!$A$2:$A$10,B4201,mdr_rate_cleaned!$B$2:$B$10,"&lt;"&amp;C4201,mdr_rate_cleaned!$F$2:$F$10,"&gt;="&amp;C4201)</f>
        <v>3.0000000000000001E-3</v>
      </c>
      <c r="H4201" s="24">
        <f t="shared" si="325"/>
        <v>7.49</v>
      </c>
      <c r="I4201" s="23" t="str">
        <f t="shared" si="326"/>
        <v>Match</v>
      </c>
      <c r="J4201" s="23" t="str">
        <f t="shared" si="327"/>
        <v>Match</v>
      </c>
      <c r="K4201" s="24">
        <f t="shared" si="328"/>
        <v>1.35</v>
      </c>
      <c r="L4201" s="24">
        <f t="shared" si="329"/>
        <v>0</v>
      </c>
    </row>
    <row r="4202" spans="1:12" ht="15" customHeight="1" x14ac:dyDescent="0.3">
      <c r="A4202" s="23" t="s">
        <v>17442</v>
      </c>
      <c r="B4202" s="23" t="s">
        <v>75</v>
      </c>
      <c r="C4202" s="39">
        <v>4447</v>
      </c>
      <c r="D4202" s="24">
        <v>13.34</v>
      </c>
      <c r="E4202" s="24">
        <v>2.4</v>
      </c>
      <c r="F4202" s="23">
        <f>COUNTIFS(mdr_rate_cleaned!$A$2:$A$10,B4202,mdr_rate_cleaned!$B$2:$B$10,"&lt;"&amp;C4202,mdr_rate_cleaned!$F$2:$F$10,"&gt;="&amp;C4202)</f>
        <v>1</v>
      </c>
      <c r="G4202" s="40">
        <f>SUMIFS(mdr_rate_cleaned!$G$2:$G$10,mdr_rate_cleaned!$A$2:$A$10,B4202,mdr_rate_cleaned!$B$2:$B$10,"&lt;"&amp;C4202,mdr_rate_cleaned!$F$2:$F$10,"&gt;="&amp;C4202)</f>
        <v>3.0000000000000001E-3</v>
      </c>
      <c r="H4202" s="24">
        <f t="shared" si="325"/>
        <v>13.34</v>
      </c>
      <c r="I4202" s="23" t="str">
        <f t="shared" si="326"/>
        <v>Match</v>
      </c>
      <c r="J4202" s="23" t="str">
        <f t="shared" si="327"/>
        <v>Match</v>
      </c>
      <c r="K4202" s="24">
        <f t="shared" si="328"/>
        <v>2.4</v>
      </c>
      <c r="L4202" s="24">
        <f t="shared" si="329"/>
        <v>0</v>
      </c>
    </row>
    <row r="4203" spans="1:12" ht="15" customHeight="1" x14ac:dyDescent="0.3">
      <c r="A4203" s="23" t="s">
        <v>17443</v>
      </c>
      <c r="B4203" s="23" t="s">
        <v>75</v>
      </c>
      <c r="C4203" s="39">
        <v>599</v>
      </c>
      <c r="D4203" s="24">
        <v>0</v>
      </c>
      <c r="E4203" s="24">
        <v>0</v>
      </c>
      <c r="F4203" s="23">
        <f>COUNTIFS(mdr_rate_cleaned!$A$2:$A$10,B4203,mdr_rate_cleaned!$B$2:$B$10,"&lt;"&amp;C4203,mdr_rate_cleaned!$F$2:$F$10,"&gt;="&amp;C4203)</f>
        <v>1</v>
      </c>
      <c r="G4203" s="40">
        <f>SUMIFS(mdr_rate_cleaned!$G$2:$G$10,mdr_rate_cleaned!$A$2:$A$10,B4203,mdr_rate_cleaned!$B$2:$B$10,"&lt;"&amp;C4203,mdr_rate_cleaned!$F$2:$F$10,"&gt;="&amp;C4203)</f>
        <v>0</v>
      </c>
      <c r="H4203" s="24">
        <f t="shared" si="325"/>
        <v>0</v>
      </c>
      <c r="I4203" s="23" t="str">
        <f t="shared" si="326"/>
        <v>Match</v>
      </c>
      <c r="J4203" s="23" t="str">
        <f t="shared" si="327"/>
        <v>Match</v>
      </c>
      <c r="K4203" s="24">
        <f t="shared" si="328"/>
        <v>0</v>
      </c>
      <c r="L4203" s="24">
        <f t="shared" si="329"/>
        <v>0</v>
      </c>
    </row>
    <row r="4204" spans="1:12" ht="15" customHeight="1" x14ac:dyDescent="0.3">
      <c r="A4204" s="23" t="s">
        <v>17444</v>
      </c>
      <c r="B4204" s="23" t="s">
        <v>75</v>
      </c>
      <c r="C4204" s="39">
        <v>299</v>
      </c>
      <c r="D4204" s="24">
        <v>0</v>
      </c>
      <c r="E4204" s="24">
        <v>0</v>
      </c>
      <c r="F4204" s="23">
        <f>COUNTIFS(mdr_rate_cleaned!$A$2:$A$10,B4204,mdr_rate_cleaned!$B$2:$B$10,"&lt;"&amp;C4204,mdr_rate_cleaned!$F$2:$F$10,"&gt;="&amp;C4204)</f>
        <v>1</v>
      </c>
      <c r="G4204" s="40">
        <f>SUMIFS(mdr_rate_cleaned!$G$2:$G$10,mdr_rate_cleaned!$A$2:$A$10,B4204,mdr_rate_cleaned!$B$2:$B$10,"&lt;"&amp;C4204,mdr_rate_cleaned!$F$2:$F$10,"&gt;="&amp;C4204)</f>
        <v>0</v>
      </c>
      <c r="H4204" s="24">
        <f t="shared" si="325"/>
        <v>0</v>
      </c>
      <c r="I4204" s="23" t="str">
        <f t="shared" si="326"/>
        <v>Match</v>
      </c>
      <c r="J4204" s="23" t="str">
        <f t="shared" si="327"/>
        <v>Match</v>
      </c>
      <c r="K4204" s="24">
        <f t="shared" si="328"/>
        <v>0</v>
      </c>
      <c r="L4204" s="24">
        <f t="shared" si="329"/>
        <v>0</v>
      </c>
    </row>
    <row r="4205" spans="1:12" ht="15" customHeight="1" x14ac:dyDescent="0.3">
      <c r="A4205" s="23" t="s">
        <v>17446</v>
      </c>
      <c r="B4205" s="23" t="s">
        <v>75</v>
      </c>
      <c r="C4205" s="39">
        <v>4999</v>
      </c>
      <c r="D4205" s="24">
        <v>15</v>
      </c>
      <c r="E4205" s="24">
        <v>2.7</v>
      </c>
      <c r="F4205" s="23">
        <f>COUNTIFS(mdr_rate_cleaned!$A$2:$A$10,B4205,mdr_rate_cleaned!$B$2:$B$10,"&lt;"&amp;C4205,mdr_rate_cleaned!$F$2:$F$10,"&gt;="&amp;C4205)</f>
        <v>1</v>
      </c>
      <c r="G4205" s="40">
        <f>SUMIFS(mdr_rate_cleaned!$G$2:$G$10,mdr_rate_cleaned!$A$2:$A$10,B4205,mdr_rate_cleaned!$B$2:$B$10,"&lt;"&amp;C4205,mdr_rate_cleaned!$F$2:$F$10,"&gt;="&amp;C4205)</f>
        <v>3.0000000000000001E-3</v>
      </c>
      <c r="H4205" s="24">
        <f t="shared" si="325"/>
        <v>15</v>
      </c>
      <c r="I4205" s="23" t="str">
        <f t="shared" si="326"/>
        <v>Match</v>
      </c>
      <c r="J4205" s="23" t="str">
        <f t="shared" si="327"/>
        <v>Match</v>
      </c>
      <c r="K4205" s="24">
        <f t="shared" si="328"/>
        <v>2.7</v>
      </c>
      <c r="L4205" s="24">
        <f t="shared" si="329"/>
        <v>0</v>
      </c>
    </row>
    <row r="4206" spans="1:12" ht="15" customHeight="1" x14ac:dyDescent="0.3">
      <c r="A4206" s="23" t="s">
        <v>17448</v>
      </c>
      <c r="B4206" s="23" t="s">
        <v>77</v>
      </c>
      <c r="C4206" s="39">
        <v>1648</v>
      </c>
      <c r="D4206" s="24">
        <v>31.31</v>
      </c>
      <c r="E4206" s="24">
        <v>5.64</v>
      </c>
      <c r="F4206" s="23">
        <f>COUNTIFS(mdr_rate_cleaned!$A$2:$A$10,B4206,mdr_rate_cleaned!$B$2:$B$10,"&lt;"&amp;C4206,mdr_rate_cleaned!$F$2:$F$10,"&gt;="&amp;C4206)</f>
        <v>1</v>
      </c>
      <c r="G4206" s="40">
        <f>SUMIFS(mdr_rate_cleaned!$G$2:$G$10,mdr_rate_cleaned!$A$2:$A$10,B4206,mdr_rate_cleaned!$B$2:$B$10,"&lt;"&amp;C4206,mdr_rate_cleaned!$F$2:$F$10,"&gt;="&amp;C4206)</f>
        <v>1.9E-2</v>
      </c>
      <c r="H4206" s="24">
        <f t="shared" si="325"/>
        <v>31.31</v>
      </c>
      <c r="I4206" s="23" t="str">
        <f t="shared" si="326"/>
        <v>Match</v>
      </c>
      <c r="J4206" s="23" t="str">
        <f t="shared" si="327"/>
        <v>Match</v>
      </c>
      <c r="K4206" s="24">
        <f t="shared" si="328"/>
        <v>5.64</v>
      </c>
      <c r="L4206" s="24">
        <f t="shared" si="329"/>
        <v>0</v>
      </c>
    </row>
    <row r="4207" spans="1:12" ht="15" customHeight="1" x14ac:dyDescent="0.3">
      <c r="A4207" s="23" t="s">
        <v>17450</v>
      </c>
      <c r="B4207" s="23" t="s">
        <v>75</v>
      </c>
      <c r="C4207" s="39">
        <v>2798</v>
      </c>
      <c r="D4207" s="24">
        <v>8.39</v>
      </c>
      <c r="E4207" s="24">
        <v>1.51</v>
      </c>
      <c r="F4207" s="23">
        <f>COUNTIFS(mdr_rate_cleaned!$A$2:$A$10,B4207,mdr_rate_cleaned!$B$2:$B$10,"&lt;"&amp;C4207,mdr_rate_cleaned!$F$2:$F$10,"&gt;="&amp;C4207)</f>
        <v>1</v>
      </c>
      <c r="G4207" s="40">
        <f>SUMIFS(mdr_rate_cleaned!$G$2:$G$10,mdr_rate_cleaned!$A$2:$A$10,B4207,mdr_rate_cleaned!$B$2:$B$10,"&lt;"&amp;C4207,mdr_rate_cleaned!$F$2:$F$10,"&gt;="&amp;C4207)</f>
        <v>3.0000000000000001E-3</v>
      </c>
      <c r="H4207" s="24">
        <f t="shared" si="325"/>
        <v>8.39</v>
      </c>
      <c r="I4207" s="23" t="str">
        <f t="shared" si="326"/>
        <v>Match</v>
      </c>
      <c r="J4207" s="23" t="str">
        <f t="shared" si="327"/>
        <v>Match</v>
      </c>
      <c r="K4207" s="24">
        <f t="shared" si="328"/>
        <v>1.51</v>
      </c>
      <c r="L4207" s="24">
        <f t="shared" si="329"/>
        <v>0</v>
      </c>
    </row>
    <row r="4208" spans="1:12" ht="15" customHeight="1" x14ac:dyDescent="0.3">
      <c r="A4208" s="23" t="s">
        <v>17451</v>
      </c>
      <c r="B4208" s="23" t="s">
        <v>77</v>
      </c>
      <c r="C4208" s="39">
        <v>11297</v>
      </c>
      <c r="D4208" s="24">
        <v>192.05</v>
      </c>
      <c r="E4208" s="24">
        <v>34.57</v>
      </c>
      <c r="F4208" s="23">
        <f>COUNTIFS(mdr_rate_cleaned!$A$2:$A$10,B4208,mdr_rate_cleaned!$B$2:$B$10,"&lt;"&amp;C4208,mdr_rate_cleaned!$F$2:$F$10,"&gt;="&amp;C4208)</f>
        <v>1</v>
      </c>
      <c r="G4208" s="40">
        <f>SUMIFS(mdr_rate_cleaned!$G$2:$G$10,mdr_rate_cleaned!$A$2:$A$10,B4208,mdr_rate_cleaned!$B$2:$B$10,"&lt;"&amp;C4208,mdr_rate_cleaned!$F$2:$F$10,"&gt;="&amp;C4208)</f>
        <v>1.7000000000000001E-2</v>
      </c>
      <c r="H4208" s="24">
        <f t="shared" si="325"/>
        <v>192.05</v>
      </c>
      <c r="I4208" s="23" t="str">
        <f t="shared" si="326"/>
        <v>Match</v>
      </c>
      <c r="J4208" s="23" t="str">
        <f t="shared" si="327"/>
        <v>Match</v>
      </c>
      <c r="K4208" s="24">
        <f t="shared" si="328"/>
        <v>34.57</v>
      </c>
      <c r="L4208" s="24">
        <f t="shared" si="329"/>
        <v>0</v>
      </c>
    </row>
    <row r="4209" spans="1:12" ht="15" customHeight="1" x14ac:dyDescent="0.3">
      <c r="A4209" s="23" t="s">
        <v>17452</v>
      </c>
      <c r="B4209" s="23" t="s">
        <v>79</v>
      </c>
      <c r="C4209" s="39">
        <v>799</v>
      </c>
      <c r="D4209" s="24">
        <v>14.38</v>
      </c>
      <c r="E4209" s="24">
        <v>2.59</v>
      </c>
      <c r="F4209" s="23">
        <f>COUNTIFS(mdr_rate_cleaned!$A$2:$A$10,B4209,mdr_rate_cleaned!$B$2:$B$10,"&lt;"&amp;C4209,mdr_rate_cleaned!$F$2:$F$10,"&gt;="&amp;C4209)</f>
        <v>1</v>
      </c>
      <c r="G4209" s="40">
        <f>SUMIFS(mdr_rate_cleaned!$G$2:$G$10,mdr_rate_cleaned!$A$2:$A$10,B4209,mdr_rate_cleaned!$B$2:$B$10,"&lt;"&amp;C4209,mdr_rate_cleaned!$F$2:$F$10,"&gt;="&amp;C4209)</f>
        <v>1.8000000000000002E-2</v>
      </c>
      <c r="H4209" s="24">
        <f t="shared" si="325"/>
        <v>14.38</v>
      </c>
      <c r="I4209" s="23" t="str">
        <f t="shared" si="326"/>
        <v>Match</v>
      </c>
      <c r="J4209" s="23" t="str">
        <f t="shared" si="327"/>
        <v>Match</v>
      </c>
      <c r="K4209" s="24">
        <f t="shared" si="328"/>
        <v>2.59</v>
      </c>
      <c r="L4209" s="24">
        <f t="shared" si="329"/>
        <v>0</v>
      </c>
    </row>
    <row r="4210" spans="1:12" ht="15" customHeight="1" x14ac:dyDescent="0.3">
      <c r="A4210" s="23" t="s">
        <v>17453</v>
      </c>
      <c r="B4210" s="23" t="s">
        <v>79</v>
      </c>
      <c r="C4210" s="39">
        <v>5597</v>
      </c>
      <c r="D4210" s="24">
        <v>89.55</v>
      </c>
      <c r="E4210" s="24">
        <v>16.12</v>
      </c>
      <c r="F4210" s="23">
        <f>COUNTIFS(mdr_rate_cleaned!$A$2:$A$10,B4210,mdr_rate_cleaned!$B$2:$B$10,"&lt;"&amp;C4210,mdr_rate_cleaned!$F$2:$F$10,"&gt;="&amp;C4210)</f>
        <v>1</v>
      </c>
      <c r="G4210" s="40">
        <f>SUMIFS(mdr_rate_cleaned!$G$2:$G$10,mdr_rate_cleaned!$A$2:$A$10,B4210,mdr_rate_cleaned!$B$2:$B$10,"&lt;"&amp;C4210,mdr_rate_cleaned!$F$2:$F$10,"&gt;="&amp;C4210)</f>
        <v>1.6E-2</v>
      </c>
      <c r="H4210" s="24">
        <f t="shared" si="325"/>
        <v>89.55</v>
      </c>
      <c r="I4210" s="23" t="str">
        <f t="shared" si="326"/>
        <v>Match</v>
      </c>
      <c r="J4210" s="23" t="str">
        <f t="shared" si="327"/>
        <v>Match</v>
      </c>
      <c r="K4210" s="24">
        <f t="shared" si="328"/>
        <v>16.12</v>
      </c>
      <c r="L4210" s="24">
        <f t="shared" si="329"/>
        <v>0</v>
      </c>
    </row>
    <row r="4211" spans="1:12" ht="15" customHeight="1" x14ac:dyDescent="0.3">
      <c r="A4211" s="23" t="s">
        <v>17454</v>
      </c>
      <c r="B4211" s="23" t="s">
        <v>75</v>
      </c>
      <c r="C4211" s="39">
        <v>3499</v>
      </c>
      <c r="D4211" s="24">
        <v>10.5</v>
      </c>
      <c r="E4211" s="24">
        <v>1.89</v>
      </c>
      <c r="F4211" s="23">
        <f>COUNTIFS(mdr_rate_cleaned!$A$2:$A$10,B4211,mdr_rate_cleaned!$B$2:$B$10,"&lt;"&amp;C4211,mdr_rate_cleaned!$F$2:$F$10,"&gt;="&amp;C4211)</f>
        <v>1</v>
      </c>
      <c r="G4211" s="40">
        <f>SUMIFS(mdr_rate_cleaned!$G$2:$G$10,mdr_rate_cleaned!$A$2:$A$10,B4211,mdr_rate_cleaned!$B$2:$B$10,"&lt;"&amp;C4211,mdr_rate_cleaned!$F$2:$F$10,"&gt;="&amp;C4211)</f>
        <v>3.0000000000000001E-3</v>
      </c>
      <c r="H4211" s="24">
        <f t="shared" si="325"/>
        <v>10.5</v>
      </c>
      <c r="I4211" s="23" t="str">
        <f t="shared" si="326"/>
        <v>Match</v>
      </c>
      <c r="J4211" s="23" t="str">
        <f t="shared" si="327"/>
        <v>Match</v>
      </c>
      <c r="K4211" s="24">
        <f t="shared" si="328"/>
        <v>1.89</v>
      </c>
      <c r="L4211" s="24">
        <f t="shared" si="329"/>
        <v>0</v>
      </c>
    </row>
    <row r="4212" spans="1:12" ht="15" customHeight="1" x14ac:dyDescent="0.3">
      <c r="A4212" s="23" t="s">
        <v>17455</v>
      </c>
      <c r="B4212" s="23" t="s">
        <v>75</v>
      </c>
      <c r="C4212" s="39">
        <v>3499</v>
      </c>
      <c r="D4212" s="24">
        <v>10.5</v>
      </c>
      <c r="E4212" s="24">
        <v>1.89</v>
      </c>
      <c r="F4212" s="23">
        <f>COUNTIFS(mdr_rate_cleaned!$A$2:$A$10,B4212,mdr_rate_cleaned!$B$2:$B$10,"&lt;"&amp;C4212,mdr_rate_cleaned!$F$2:$F$10,"&gt;="&amp;C4212)</f>
        <v>1</v>
      </c>
      <c r="G4212" s="40">
        <f>SUMIFS(mdr_rate_cleaned!$G$2:$G$10,mdr_rate_cleaned!$A$2:$A$10,B4212,mdr_rate_cleaned!$B$2:$B$10,"&lt;"&amp;C4212,mdr_rate_cleaned!$F$2:$F$10,"&gt;="&amp;C4212)</f>
        <v>3.0000000000000001E-3</v>
      </c>
      <c r="H4212" s="24">
        <f t="shared" si="325"/>
        <v>10.5</v>
      </c>
      <c r="I4212" s="23" t="str">
        <f t="shared" si="326"/>
        <v>Match</v>
      </c>
      <c r="J4212" s="23" t="str">
        <f t="shared" si="327"/>
        <v>Match</v>
      </c>
      <c r="K4212" s="24">
        <f t="shared" si="328"/>
        <v>1.89</v>
      </c>
      <c r="L4212" s="24">
        <f t="shared" si="329"/>
        <v>0</v>
      </c>
    </row>
    <row r="4213" spans="1:12" ht="15" customHeight="1" x14ac:dyDescent="0.3">
      <c r="A4213" s="23" t="s">
        <v>17456</v>
      </c>
      <c r="B4213" s="23" t="s">
        <v>77</v>
      </c>
      <c r="C4213" s="39">
        <v>7999</v>
      </c>
      <c r="D4213" s="24">
        <v>135.97999999999999</v>
      </c>
      <c r="E4213" s="24">
        <v>24.48</v>
      </c>
      <c r="F4213" s="23">
        <f>COUNTIFS(mdr_rate_cleaned!$A$2:$A$10,B4213,mdr_rate_cleaned!$B$2:$B$10,"&lt;"&amp;C4213,mdr_rate_cleaned!$F$2:$F$10,"&gt;="&amp;C4213)</f>
        <v>1</v>
      </c>
      <c r="G4213" s="40">
        <f>SUMIFS(mdr_rate_cleaned!$G$2:$G$10,mdr_rate_cleaned!$A$2:$A$10,B4213,mdr_rate_cleaned!$B$2:$B$10,"&lt;"&amp;C4213,mdr_rate_cleaned!$F$2:$F$10,"&gt;="&amp;C4213)</f>
        <v>1.7000000000000001E-2</v>
      </c>
      <c r="H4213" s="24">
        <f t="shared" si="325"/>
        <v>135.97999999999999</v>
      </c>
      <c r="I4213" s="23" t="str">
        <f t="shared" si="326"/>
        <v>Match</v>
      </c>
      <c r="J4213" s="23" t="str">
        <f t="shared" si="327"/>
        <v>Match</v>
      </c>
      <c r="K4213" s="24">
        <f t="shared" si="328"/>
        <v>24.48</v>
      </c>
      <c r="L4213" s="24">
        <f t="shared" si="329"/>
        <v>0</v>
      </c>
    </row>
    <row r="4214" spans="1:12" ht="15" customHeight="1" x14ac:dyDescent="0.3">
      <c r="A4214" s="23" t="s">
        <v>17457</v>
      </c>
      <c r="B4214" s="23" t="s">
        <v>77</v>
      </c>
      <c r="C4214" s="39">
        <v>799</v>
      </c>
      <c r="D4214" s="24">
        <v>15.18</v>
      </c>
      <c r="E4214" s="24">
        <v>2.73</v>
      </c>
      <c r="F4214" s="23">
        <f>COUNTIFS(mdr_rate_cleaned!$A$2:$A$10,B4214,mdr_rate_cleaned!$B$2:$B$10,"&lt;"&amp;C4214,mdr_rate_cleaned!$F$2:$F$10,"&gt;="&amp;C4214)</f>
        <v>1</v>
      </c>
      <c r="G4214" s="40">
        <f>SUMIFS(mdr_rate_cleaned!$G$2:$G$10,mdr_rate_cleaned!$A$2:$A$10,B4214,mdr_rate_cleaned!$B$2:$B$10,"&lt;"&amp;C4214,mdr_rate_cleaned!$F$2:$F$10,"&gt;="&amp;C4214)</f>
        <v>1.9E-2</v>
      </c>
      <c r="H4214" s="24">
        <f t="shared" si="325"/>
        <v>15.18</v>
      </c>
      <c r="I4214" s="23" t="str">
        <f t="shared" si="326"/>
        <v>Match</v>
      </c>
      <c r="J4214" s="23" t="str">
        <f t="shared" si="327"/>
        <v>Match</v>
      </c>
      <c r="K4214" s="24">
        <f t="shared" si="328"/>
        <v>2.73</v>
      </c>
      <c r="L4214" s="24">
        <f t="shared" si="329"/>
        <v>0</v>
      </c>
    </row>
    <row r="4215" spans="1:12" ht="15" customHeight="1" x14ac:dyDescent="0.3">
      <c r="A4215" s="23" t="s">
        <v>17458</v>
      </c>
      <c r="B4215" s="23" t="s">
        <v>75</v>
      </c>
      <c r="C4215" s="39">
        <v>6498</v>
      </c>
      <c r="D4215" s="24">
        <v>19.489999999999998</v>
      </c>
      <c r="E4215" s="24">
        <v>3.51</v>
      </c>
      <c r="F4215" s="23">
        <f>COUNTIFS(mdr_rate_cleaned!$A$2:$A$10,B4215,mdr_rate_cleaned!$B$2:$B$10,"&lt;"&amp;C4215,mdr_rate_cleaned!$F$2:$F$10,"&gt;="&amp;C4215)</f>
        <v>1</v>
      </c>
      <c r="G4215" s="40">
        <f>SUMIFS(mdr_rate_cleaned!$G$2:$G$10,mdr_rate_cleaned!$A$2:$A$10,B4215,mdr_rate_cleaned!$B$2:$B$10,"&lt;"&amp;C4215,mdr_rate_cleaned!$F$2:$F$10,"&gt;="&amp;C4215)</f>
        <v>3.0000000000000001E-3</v>
      </c>
      <c r="H4215" s="24">
        <f t="shared" si="325"/>
        <v>19.489999999999998</v>
      </c>
      <c r="I4215" s="23" t="str">
        <f t="shared" si="326"/>
        <v>Match</v>
      </c>
      <c r="J4215" s="23" t="str">
        <f t="shared" si="327"/>
        <v>Match</v>
      </c>
      <c r="K4215" s="24">
        <f t="shared" si="328"/>
        <v>3.51</v>
      </c>
      <c r="L4215" s="24">
        <f t="shared" si="329"/>
        <v>0</v>
      </c>
    </row>
    <row r="4216" spans="1:12" ht="15" customHeight="1" x14ac:dyDescent="0.3">
      <c r="A4216" s="23" t="s">
        <v>17459</v>
      </c>
      <c r="B4216" s="23" t="s">
        <v>77</v>
      </c>
      <c r="C4216" s="39">
        <v>599</v>
      </c>
      <c r="D4216" s="24">
        <v>11.38</v>
      </c>
      <c r="E4216" s="24">
        <v>2.0499999999999998</v>
      </c>
      <c r="F4216" s="23">
        <f>COUNTIFS(mdr_rate_cleaned!$A$2:$A$10,B4216,mdr_rate_cleaned!$B$2:$B$10,"&lt;"&amp;C4216,mdr_rate_cleaned!$F$2:$F$10,"&gt;="&amp;C4216)</f>
        <v>1</v>
      </c>
      <c r="G4216" s="40">
        <f>SUMIFS(mdr_rate_cleaned!$G$2:$G$10,mdr_rate_cleaned!$A$2:$A$10,B4216,mdr_rate_cleaned!$B$2:$B$10,"&lt;"&amp;C4216,mdr_rate_cleaned!$F$2:$F$10,"&gt;="&amp;C4216)</f>
        <v>1.9E-2</v>
      </c>
      <c r="H4216" s="24">
        <f t="shared" si="325"/>
        <v>11.38</v>
      </c>
      <c r="I4216" s="23" t="str">
        <f t="shared" si="326"/>
        <v>Match</v>
      </c>
      <c r="J4216" s="23" t="str">
        <f t="shared" si="327"/>
        <v>Match</v>
      </c>
      <c r="K4216" s="24">
        <f t="shared" si="328"/>
        <v>2.0499999999999998</v>
      </c>
      <c r="L4216" s="24">
        <f t="shared" si="329"/>
        <v>0</v>
      </c>
    </row>
    <row r="4217" spans="1:12" ht="15" customHeight="1" x14ac:dyDescent="0.3">
      <c r="A4217" s="23" t="s">
        <v>17461</v>
      </c>
      <c r="B4217" s="23" t="s">
        <v>79</v>
      </c>
      <c r="C4217" s="39">
        <v>998</v>
      </c>
      <c r="D4217" s="24">
        <v>17.96</v>
      </c>
      <c r="E4217" s="24">
        <v>3.23</v>
      </c>
      <c r="F4217" s="23">
        <f>COUNTIFS(mdr_rate_cleaned!$A$2:$A$10,B4217,mdr_rate_cleaned!$B$2:$B$10,"&lt;"&amp;C4217,mdr_rate_cleaned!$F$2:$F$10,"&gt;="&amp;C4217)</f>
        <v>1</v>
      </c>
      <c r="G4217" s="40">
        <f>SUMIFS(mdr_rate_cleaned!$G$2:$G$10,mdr_rate_cleaned!$A$2:$A$10,B4217,mdr_rate_cleaned!$B$2:$B$10,"&lt;"&amp;C4217,mdr_rate_cleaned!$F$2:$F$10,"&gt;="&amp;C4217)</f>
        <v>1.8000000000000002E-2</v>
      </c>
      <c r="H4217" s="24">
        <f t="shared" si="325"/>
        <v>17.96</v>
      </c>
      <c r="I4217" s="23" t="str">
        <f t="shared" si="326"/>
        <v>Match</v>
      </c>
      <c r="J4217" s="23" t="str">
        <f t="shared" si="327"/>
        <v>Match</v>
      </c>
      <c r="K4217" s="24">
        <f t="shared" si="328"/>
        <v>3.23</v>
      </c>
      <c r="L4217" s="24">
        <f t="shared" si="329"/>
        <v>0</v>
      </c>
    </row>
    <row r="4218" spans="1:12" ht="15" customHeight="1" x14ac:dyDescent="0.3">
      <c r="A4218" s="23" t="s">
        <v>17462</v>
      </c>
      <c r="B4218" s="23" t="s">
        <v>75</v>
      </c>
      <c r="C4218" s="39">
        <v>4999</v>
      </c>
      <c r="D4218" s="24">
        <v>15</v>
      </c>
      <c r="E4218" s="24">
        <v>2.7</v>
      </c>
      <c r="F4218" s="23">
        <f>COUNTIFS(mdr_rate_cleaned!$A$2:$A$10,B4218,mdr_rate_cleaned!$B$2:$B$10,"&lt;"&amp;C4218,mdr_rate_cleaned!$F$2:$F$10,"&gt;="&amp;C4218)</f>
        <v>1</v>
      </c>
      <c r="G4218" s="40">
        <f>SUMIFS(mdr_rate_cleaned!$G$2:$G$10,mdr_rate_cleaned!$A$2:$A$10,B4218,mdr_rate_cleaned!$B$2:$B$10,"&lt;"&amp;C4218,mdr_rate_cleaned!$F$2:$F$10,"&gt;="&amp;C4218)</f>
        <v>3.0000000000000001E-3</v>
      </c>
      <c r="H4218" s="24">
        <f t="shared" si="325"/>
        <v>15</v>
      </c>
      <c r="I4218" s="23" t="str">
        <f t="shared" si="326"/>
        <v>Match</v>
      </c>
      <c r="J4218" s="23" t="str">
        <f t="shared" si="327"/>
        <v>Match</v>
      </c>
      <c r="K4218" s="24">
        <f t="shared" si="328"/>
        <v>2.7</v>
      </c>
      <c r="L4218" s="24">
        <f t="shared" si="329"/>
        <v>0</v>
      </c>
    </row>
    <row r="4219" spans="1:12" ht="15" customHeight="1" x14ac:dyDescent="0.3">
      <c r="A4219" s="23" t="s">
        <v>17463</v>
      </c>
      <c r="B4219" s="23" t="s">
        <v>79</v>
      </c>
      <c r="C4219" s="39">
        <v>2999</v>
      </c>
      <c r="D4219" s="24">
        <v>47.98</v>
      </c>
      <c r="E4219" s="24">
        <v>8.64</v>
      </c>
      <c r="F4219" s="23">
        <f>COUNTIFS(mdr_rate_cleaned!$A$2:$A$10,B4219,mdr_rate_cleaned!$B$2:$B$10,"&lt;"&amp;C4219,mdr_rate_cleaned!$F$2:$F$10,"&gt;="&amp;C4219)</f>
        <v>1</v>
      </c>
      <c r="G4219" s="40">
        <f>SUMIFS(mdr_rate_cleaned!$G$2:$G$10,mdr_rate_cleaned!$A$2:$A$10,B4219,mdr_rate_cleaned!$B$2:$B$10,"&lt;"&amp;C4219,mdr_rate_cleaned!$F$2:$F$10,"&gt;="&amp;C4219)</f>
        <v>1.6E-2</v>
      </c>
      <c r="H4219" s="24">
        <f t="shared" si="325"/>
        <v>47.98</v>
      </c>
      <c r="I4219" s="23" t="str">
        <f t="shared" si="326"/>
        <v>Match</v>
      </c>
      <c r="J4219" s="23" t="str">
        <f t="shared" si="327"/>
        <v>Match</v>
      </c>
      <c r="K4219" s="24">
        <f t="shared" si="328"/>
        <v>8.64</v>
      </c>
      <c r="L4219" s="24">
        <f t="shared" si="329"/>
        <v>0</v>
      </c>
    </row>
    <row r="4220" spans="1:12" ht="15" customHeight="1" x14ac:dyDescent="0.3">
      <c r="A4220" s="23" t="s">
        <v>17465</v>
      </c>
      <c r="B4220" s="23" t="s">
        <v>77</v>
      </c>
      <c r="C4220" s="39">
        <v>17297</v>
      </c>
      <c r="D4220" s="24">
        <v>294.05</v>
      </c>
      <c r="E4220" s="24">
        <v>52.93</v>
      </c>
      <c r="F4220" s="23">
        <f>COUNTIFS(mdr_rate_cleaned!$A$2:$A$10,B4220,mdr_rate_cleaned!$B$2:$B$10,"&lt;"&amp;C4220,mdr_rate_cleaned!$F$2:$F$10,"&gt;="&amp;C4220)</f>
        <v>1</v>
      </c>
      <c r="G4220" s="40">
        <f>SUMIFS(mdr_rate_cleaned!$G$2:$G$10,mdr_rate_cleaned!$A$2:$A$10,B4220,mdr_rate_cleaned!$B$2:$B$10,"&lt;"&amp;C4220,mdr_rate_cleaned!$F$2:$F$10,"&gt;="&amp;C4220)</f>
        <v>1.7000000000000001E-2</v>
      </c>
      <c r="H4220" s="24">
        <f t="shared" si="325"/>
        <v>294.05</v>
      </c>
      <c r="I4220" s="23" t="str">
        <f t="shared" si="326"/>
        <v>Match</v>
      </c>
      <c r="J4220" s="23" t="str">
        <f t="shared" si="327"/>
        <v>Match</v>
      </c>
      <c r="K4220" s="24">
        <f t="shared" si="328"/>
        <v>52.93</v>
      </c>
      <c r="L4220" s="24">
        <f t="shared" si="329"/>
        <v>0</v>
      </c>
    </row>
    <row r="4221" spans="1:12" ht="15" customHeight="1" x14ac:dyDescent="0.3">
      <c r="A4221" s="23" t="s">
        <v>17466</v>
      </c>
      <c r="B4221" s="23" t="s">
        <v>75</v>
      </c>
      <c r="C4221" s="39">
        <v>2197</v>
      </c>
      <c r="D4221" s="24">
        <v>6.59</v>
      </c>
      <c r="E4221" s="24">
        <v>1.19</v>
      </c>
      <c r="F4221" s="23">
        <f>COUNTIFS(mdr_rate_cleaned!$A$2:$A$10,B4221,mdr_rate_cleaned!$B$2:$B$10,"&lt;"&amp;C4221,mdr_rate_cleaned!$F$2:$F$10,"&gt;="&amp;C4221)</f>
        <v>1</v>
      </c>
      <c r="G4221" s="40">
        <f>SUMIFS(mdr_rate_cleaned!$G$2:$G$10,mdr_rate_cleaned!$A$2:$A$10,B4221,mdr_rate_cleaned!$B$2:$B$10,"&lt;"&amp;C4221,mdr_rate_cleaned!$F$2:$F$10,"&gt;="&amp;C4221)</f>
        <v>3.0000000000000001E-3</v>
      </c>
      <c r="H4221" s="24">
        <f t="shared" si="325"/>
        <v>6.59</v>
      </c>
      <c r="I4221" s="23" t="str">
        <f t="shared" si="326"/>
        <v>Match</v>
      </c>
      <c r="J4221" s="23" t="str">
        <f t="shared" si="327"/>
        <v>Match</v>
      </c>
      <c r="K4221" s="24">
        <f t="shared" si="328"/>
        <v>1.19</v>
      </c>
      <c r="L4221" s="24">
        <f t="shared" si="329"/>
        <v>0</v>
      </c>
    </row>
    <row r="4222" spans="1:12" ht="15" customHeight="1" x14ac:dyDescent="0.3">
      <c r="A4222" s="23" t="s">
        <v>17467</v>
      </c>
      <c r="B4222" s="23" t="s">
        <v>75</v>
      </c>
      <c r="C4222" s="39">
        <v>299</v>
      </c>
      <c r="D4222" s="24">
        <v>0</v>
      </c>
      <c r="E4222" s="24">
        <v>0</v>
      </c>
      <c r="F4222" s="23">
        <f>COUNTIFS(mdr_rate_cleaned!$A$2:$A$10,B4222,mdr_rate_cleaned!$B$2:$B$10,"&lt;"&amp;C4222,mdr_rate_cleaned!$F$2:$F$10,"&gt;="&amp;C4222)</f>
        <v>1</v>
      </c>
      <c r="G4222" s="40">
        <f>SUMIFS(mdr_rate_cleaned!$G$2:$G$10,mdr_rate_cleaned!$A$2:$A$10,B4222,mdr_rate_cleaned!$B$2:$B$10,"&lt;"&amp;C4222,mdr_rate_cleaned!$F$2:$F$10,"&gt;="&amp;C4222)</f>
        <v>0</v>
      </c>
      <c r="H4222" s="24">
        <f t="shared" si="325"/>
        <v>0</v>
      </c>
      <c r="I4222" s="23" t="str">
        <f t="shared" si="326"/>
        <v>Match</v>
      </c>
      <c r="J4222" s="23" t="str">
        <f t="shared" si="327"/>
        <v>Match</v>
      </c>
      <c r="K4222" s="24">
        <f t="shared" si="328"/>
        <v>0</v>
      </c>
      <c r="L4222" s="24">
        <f t="shared" si="329"/>
        <v>0</v>
      </c>
    </row>
    <row r="4223" spans="1:12" ht="15" customHeight="1" x14ac:dyDescent="0.3">
      <c r="A4223" s="23" t="s">
        <v>17468</v>
      </c>
      <c r="B4223" s="23" t="s">
        <v>79</v>
      </c>
      <c r="C4223" s="39">
        <v>7797</v>
      </c>
      <c r="D4223" s="24">
        <v>124.75</v>
      </c>
      <c r="E4223" s="24">
        <v>22.46</v>
      </c>
      <c r="F4223" s="23">
        <f>COUNTIFS(mdr_rate_cleaned!$A$2:$A$10,B4223,mdr_rate_cleaned!$B$2:$B$10,"&lt;"&amp;C4223,mdr_rate_cleaned!$F$2:$F$10,"&gt;="&amp;C4223)</f>
        <v>1</v>
      </c>
      <c r="G4223" s="40">
        <f>SUMIFS(mdr_rate_cleaned!$G$2:$G$10,mdr_rate_cleaned!$A$2:$A$10,B4223,mdr_rate_cleaned!$B$2:$B$10,"&lt;"&amp;C4223,mdr_rate_cleaned!$F$2:$F$10,"&gt;="&amp;C4223)</f>
        <v>1.6E-2</v>
      </c>
      <c r="H4223" s="24">
        <f t="shared" si="325"/>
        <v>124.75</v>
      </c>
      <c r="I4223" s="23" t="str">
        <f t="shared" si="326"/>
        <v>Match</v>
      </c>
      <c r="J4223" s="23" t="str">
        <f t="shared" si="327"/>
        <v>Match</v>
      </c>
      <c r="K4223" s="24">
        <f t="shared" si="328"/>
        <v>22.46</v>
      </c>
      <c r="L4223" s="24">
        <f t="shared" si="329"/>
        <v>0</v>
      </c>
    </row>
    <row r="4224" spans="1:12" ht="15" customHeight="1" x14ac:dyDescent="0.3">
      <c r="A4224" s="23" t="s">
        <v>17469</v>
      </c>
      <c r="B4224" s="23" t="s">
        <v>75</v>
      </c>
      <c r="C4224" s="39">
        <v>8348</v>
      </c>
      <c r="D4224" s="24">
        <v>25.04</v>
      </c>
      <c r="E4224" s="24">
        <v>4.51</v>
      </c>
      <c r="F4224" s="23">
        <f>COUNTIFS(mdr_rate_cleaned!$A$2:$A$10,B4224,mdr_rate_cleaned!$B$2:$B$10,"&lt;"&amp;C4224,mdr_rate_cleaned!$F$2:$F$10,"&gt;="&amp;C4224)</f>
        <v>1</v>
      </c>
      <c r="G4224" s="40">
        <f>SUMIFS(mdr_rate_cleaned!$G$2:$G$10,mdr_rate_cleaned!$A$2:$A$10,B4224,mdr_rate_cleaned!$B$2:$B$10,"&lt;"&amp;C4224,mdr_rate_cleaned!$F$2:$F$10,"&gt;="&amp;C4224)</f>
        <v>3.0000000000000001E-3</v>
      </c>
      <c r="H4224" s="24">
        <f t="shared" si="325"/>
        <v>25.04</v>
      </c>
      <c r="I4224" s="23" t="str">
        <f t="shared" si="326"/>
        <v>Match</v>
      </c>
      <c r="J4224" s="23" t="str">
        <f t="shared" si="327"/>
        <v>Match</v>
      </c>
      <c r="K4224" s="24">
        <f t="shared" si="328"/>
        <v>4.51</v>
      </c>
      <c r="L4224" s="24">
        <f t="shared" si="329"/>
        <v>0</v>
      </c>
    </row>
    <row r="4225" spans="1:12" ht="15" customHeight="1" x14ac:dyDescent="0.3">
      <c r="A4225" s="23" t="s">
        <v>17470</v>
      </c>
      <c r="B4225" s="23" t="s">
        <v>75</v>
      </c>
      <c r="C4225" s="39">
        <v>3499</v>
      </c>
      <c r="D4225" s="24">
        <v>10.5</v>
      </c>
      <c r="E4225" s="24">
        <v>1.89</v>
      </c>
      <c r="F4225" s="23">
        <f>COUNTIFS(mdr_rate_cleaned!$A$2:$A$10,B4225,mdr_rate_cleaned!$B$2:$B$10,"&lt;"&amp;C4225,mdr_rate_cleaned!$F$2:$F$10,"&gt;="&amp;C4225)</f>
        <v>1</v>
      </c>
      <c r="G4225" s="40">
        <f>SUMIFS(mdr_rate_cleaned!$G$2:$G$10,mdr_rate_cleaned!$A$2:$A$10,B4225,mdr_rate_cleaned!$B$2:$B$10,"&lt;"&amp;C4225,mdr_rate_cleaned!$F$2:$F$10,"&gt;="&amp;C4225)</f>
        <v>3.0000000000000001E-3</v>
      </c>
      <c r="H4225" s="24">
        <f t="shared" si="325"/>
        <v>10.5</v>
      </c>
      <c r="I4225" s="23" t="str">
        <f t="shared" si="326"/>
        <v>Match</v>
      </c>
      <c r="J4225" s="23" t="str">
        <f t="shared" si="327"/>
        <v>Match</v>
      </c>
      <c r="K4225" s="24">
        <f t="shared" si="328"/>
        <v>1.89</v>
      </c>
      <c r="L4225" s="24">
        <f t="shared" si="329"/>
        <v>0</v>
      </c>
    </row>
    <row r="4226" spans="1:12" ht="15" customHeight="1" x14ac:dyDescent="0.3">
      <c r="A4226" s="23" t="s">
        <v>17471</v>
      </c>
      <c r="B4226" s="23" t="s">
        <v>81</v>
      </c>
      <c r="C4226" s="39">
        <v>8348</v>
      </c>
      <c r="D4226" s="24">
        <v>100.18</v>
      </c>
      <c r="E4226" s="24">
        <v>18.03</v>
      </c>
      <c r="F4226" s="23">
        <f>COUNTIFS(mdr_rate_cleaned!$A$2:$A$10,B4226,mdr_rate_cleaned!$B$2:$B$10,"&lt;"&amp;C4226,mdr_rate_cleaned!$F$2:$F$10,"&gt;="&amp;C4226)</f>
        <v>1</v>
      </c>
      <c r="G4226" s="40">
        <f>SUMIFS(mdr_rate_cleaned!$G$2:$G$10,mdr_rate_cleaned!$A$2:$A$10,B4226,mdr_rate_cleaned!$B$2:$B$10,"&lt;"&amp;C4226,mdr_rate_cleaned!$F$2:$F$10,"&gt;="&amp;C4226)</f>
        <v>1.2E-2</v>
      </c>
      <c r="H4226" s="24">
        <f t="shared" ref="H4226:H4289" si="330">ROUND(C4226*G4226,2)</f>
        <v>100.18</v>
      </c>
      <c r="I4226" s="23" t="str">
        <f t="shared" ref="I4226:I4289" si="331">IF(ROUND(D4226-H4226,2)=0,"Match","Differs")</f>
        <v>Match</v>
      </c>
      <c r="J4226" s="23" t="str">
        <f t="shared" ref="J4226:J4289" si="332">IF(ROUND(E4226-ROUND(D4226*0.18,2),2)=0,"Match","Differs")</f>
        <v>Match</v>
      </c>
      <c r="K4226" s="24">
        <f t="shared" ref="K4226:K4289" si="333">ROUND(H4226*0.18,2)</f>
        <v>18.03</v>
      </c>
      <c r="L4226" s="24">
        <f t="shared" ref="L4226:L4289" si="334">ROUND(D4226+E4226-H4226-K4226,2)</f>
        <v>0</v>
      </c>
    </row>
    <row r="4227" spans="1:12" ht="15" customHeight="1" x14ac:dyDescent="0.3">
      <c r="A4227" s="23" t="s">
        <v>17472</v>
      </c>
      <c r="B4227" s="23" t="s">
        <v>75</v>
      </c>
      <c r="C4227" s="39">
        <v>5798</v>
      </c>
      <c r="D4227" s="24">
        <v>17.39</v>
      </c>
      <c r="E4227" s="24">
        <v>3.13</v>
      </c>
      <c r="F4227" s="23">
        <f>COUNTIFS(mdr_rate_cleaned!$A$2:$A$10,B4227,mdr_rate_cleaned!$B$2:$B$10,"&lt;"&amp;C4227,mdr_rate_cleaned!$F$2:$F$10,"&gt;="&amp;C4227)</f>
        <v>1</v>
      </c>
      <c r="G4227" s="40">
        <f>SUMIFS(mdr_rate_cleaned!$G$2:$G$10,mdr_rate_cleaned!$A$2:$A$10,B4227,mdr_rate_cleaned!$B$2:$B$10,"&lt;"&amp;C4227,mdr_rate_cleaned!$F$2:$F$10,"&gt;="&amp;C4227)</f>
        <v>3.0000000000000001E-3</v>
      </c>
      <c r="H4227" s="24">
        <f t="shared" si="330"/>
        <v>17.39</v>
      </c>
      <c r="I4227" s="23" t="str">
        <f t="shared" si="331"/>
        <v>Match</v>
      </c>
      <c r="J4227" s="23" t="str">
        <f t="shared" si="332"/>
        <v>Match</v>
      </c>
      <c r="K4227" s="24">
        <f t="shared" si="333"/>
        <v>3.13</v>
      </c>
      <c r="L4227" s="24">
        <f t="shared" si="334"/>
        <v>0</v>
      </c>
    </row>
    <row r="4228" spans="1:12" ht="15" customHeight="1" x14ac:dyDescent="0.3">
      <c r="A4228" s="23" t="s">
        <v>17473</v>
      </c>
      <c r="B4228" s="23" t="s">
        <v>81</v>
      </c>
      <c r="C4228" s="39">
        <v>3798</v>
      </c>
      <c r="D4228" s="24">
        <v>45.58</v>
      </c>
      <c r="E4228" s="24">
        <v>8.1999999999999993</v>
      </c>
      <c r="F4228" s="23">
        <f>COUNTIFS(mdr_rate_cleaned!$A$2:$A$10,B4228,mdr_rate_cleaned!$B$2:$B$10,"&lt;"&amp;C4228,mdr_rate_cleaned!$F$2:$F$10,"&gt;="&amp;C4228)</f>
        <v>1</v>
      </c>
      <c r="G4228" s="40">
        <f>SUMIFS(mdr_rate_cleaned!$G$2:$G$10,mdr_rate_cleaned!$A$2:$A$10,B4228,mdr_rate_cleaned!$B$2:$B$10,"&lt;"&amp;C4228,mdr_rate_cleaned!$F$2:$F$10,"&gt;="&amp;C4228)</f>
        <v>1.2E-2</v>
      </c>
      <c r="H4228" s="24">
        <f t="shared" si="330"/>
        <v>45.58</v>
      </c>
      <c r="I4228" s="23" t="str">
        <f t="shared" si="331"/>
        <v>Match</v>
      </c>
      <c r="J4228" s="23" t="str">
        <f t="shared" si="332"/>
        <v>Match</v>
      </c>
      <c r="K4228" s="24">
        <f t="shared" si="333"/>
        <v>8.1999999999999993</v>
      </c>
      <c r="L4228" s="24">
        <f t="shared" si="334"/>
        <v>0</v>
      </c>
    </row>
    <row r="4229" spans="1:12" ht="15" customHeight="1" x14ac:dyDescent="0.3">
      <c r="A4229" s="23" t="s">
        <v>17475</v>
      </c>
      <c r="B4229" s="23" t="s">
        <v>75</v>
      </c>
      <c r="C4229" s="39">
        <v>599</v>
      </c>
      <c r="D4229" s="24">
        <v>0</v>
      </c>
      <c r="E4229" s="24">
        <v>0</v>
      </c>
      <c r="F4229" s="23">
        <f>COUNTIFS(mdr_rate_cleaned!$A$2:$A$10,B4229,mdr_rate_cleaned!$B$2:$B$10,"&lt;"&amp;C4229,mdr_rate_cleaned!$F$2:$F$10,"&gt;="&amp;C4229)</f>
        <v>1</v>
      </c>
      <c r="G4229" s="40">
        <f>SUMIFS(mdr_rate_cleaned!$G$2:$G$10,mdr_rate_cleaned!$A$2:$A$10,B4229,mdr_rate_cleaned!$B$2:$B$10,"&lt;"&amp;C4229,mdr_rate_cleaned!$F$2:$F$10,"&gt;="&amp;C4229)</f>
        <v>0</v>
      </c>
      <c r="H4229" s="24">
        <f t="shared" si="330"/>
        <v>0</v>
      </c>
      <c r="I4229" s="23" t="str">
        <f t="shared" si="331"/>
        <v>Match</v>
      </c>
      <c r="J4229" s="23" t="str">
        <f t="shared" si="332"/>
        <v>Match</v>
      </c>
      <c r="K4229" s="24">
        <f t="shared" si="333"/>
        <v>0</v>
      </c>
      <c r="L4229" s="24">
        <f t="shared" si="334"/>
        <v>0</v>
      </c>
    </row>
    <row r="4230" spans="1:12" ht="15" customHeight="1" x14ac:dyDescent="0.3">
      <c r="A4230" s="23" t="s">
        <v>17477</v>
      </c>
      <c r="B4230" s="23" t="s">
        <v>75</v>
      </c>
      <c r="C4230" s="39">
        <v>349</v>
      </c>
      <c r="D4230" s="24">
        <v>0</v>
      </c>
      <c r="E4230" s="24">
        <v>0</v>
      </c>
      <c r="F4230" s="23">
        <f>COUNTIFS(mdr_rate_cleaned!$A$2:$A$10,B4230,mdr_rate_cleaned!$B$2:$B$10,"&lt;"&amp;C4230,mdr_rate_cleaned!$F$2:$F$10,"&gt;="&amp;C4230)</f>
        <v>1</v>
      </c>
      <c r="G4230" s="40">
        <f>SUMIFS(mdr_rate_cleaned!$G$2:$G$10,mdr_rate_cleaned!$A$2:$A$10,B4230,mdr_rate_cleaned!$B$2:$B$10,"&lt;"&amp;C4230,mdr_rate_cleaned!$F$2:$F$10,"&gt;="&amp;C4230)</f>
        <v>0</v>
      </c>
      <c r="H4230" s="24">
        <f t="shared" si="330"/>
        <v>0</v>
      </c>
      <c r="I4230" s="23" t="str">
        <f t="shared" si="331"/>
        <v>Match</v>
      </c>
      <c r="J4230" s="23" t="str">
        <f t="shared" si="332"/>
        <v>Match</v>
      </c>
      <c r="K4230" s="24">
        <f t="shared" si="333"/>
        <v>0</v>
      </c>
      <c r="L4230" s="24">
        <f t="shared" si="334"/>
        <v>0</v>
      </c>
    </row>
    <row r="4231" spans="1:12" ht="15" customHeight="1" x14ac:dyDescent="0.3">
      <c r="A4231" s="23" t="s">
        <v>17478</v>
      </c>
      <c r="B4231" s="23" t="s">
        <v>77</v>
      </c>
      <c r="C4231" s="39">
        <v>6798</v>
      </c>
      <c r="D4231" s="24">
        <v>115.57</v>
      </c>
      <c r="E4231" s="24">
        <v>20.8</v>
      </c>
      <c r="F4231" s="23">
        <f>COUNTIFS(mdr_rate_cleaned!$A$2:$A$10,B4231,mdr_rate_cleaned!$B$2:$B$10,"&lt;"&amp;C4231,mdr_rate_cleaned!$F$2:$F$10,"&gt;="&amp;C4231)</f>
        <v>1</v>
      </c>
      <c r="G4231" s="40">
        <f>SUMIFS(mdr_rate_cleaned!$G$2:$G$10,mdr_rate_cleaned!$A$2:$A$10,B4231,mdr_rate_cleaned!$B$2:$B$10,"&lt;"&amp;C4231,mdr_rate_cleaned!$F$2:$F$10,"&gt;="&amp;C4231)</f>
        <v>1.7000000000000001E-2</v>
      </c>
      <c r="H4231" s="24">
        <f t="shared" si="330"/>
        <v>115.57</v>
      </c>
      <c r="I4231" s="23" t="str">
        <f t="shared" si="331"/>
        <v>Match</v>
      </c>
      <c r="J4231" s="23" t="str">
        <f t="shared" si="332"/>
        <v>Match</v>
      </c>
      <c r="K4231" s="24">
        <f t="shared" si="333"/>
        <v>20.8</v>
      </c>
      <c r="L4231" s="24">
        <f t="shared" si="334"/>
        <v>0</v>
      </c>
    </row>
    <row r="4232" spans="1:12" ht="15" customHeight="1" x14ac:dyDescent="0.3">
      <c r="A4232" s="23" t="s">
        <v>17479</v>
      </c>
      <c r="B4232" s="23" t="s">
        <v>75</v>
      </c>
      <c r="C4232" s="39">
        <v>2499</v>
      </c>
      <c r="D4232" s="24">
        <v>7.5</v>
      </c>
      <c r="E4232" s="24">
        <v>1.35</v>
      </c>
      <c r="F4232" s="23">
        <f>COUNTIFS(mdr_rate_cleaned!$A$2:$A$10,B4232,mdr_rate_cleaned!$B$2:$B$10,"&lt;"&amp;C4232,mdr_rate_cleaned!$F$2:$F$10,"&gt;="&amp;C4232)</f>
        <v>1</v>
      </c>
      <c r="G4232" s="40">
        <f>SUMIFS(mdr_rate_cleaned!$G$2:$G$10,mdr_rate_cleaned!$A$2:$A$10,B4232,mdr_rate_cleaned!$B$2:$B$10,"&lt;"&amp;C4232,mdr_rate_cleaned!$F$2:$F$10,"&gt;="&amp;C4232)</f>
        <v>3.0000000000000001E-3</v>
      </c>
      <c r="H4232" s="24">
        <f t="shared" si="330"/>
        <v>7.5</v>
      </c>
      <c r="I4232" s="23" t="str">
        <f t="shared" si="331"/>
        <v>Match</v>
      </c>
      <c r="J4232" s="23" t="str">
        <f t="shared" si="332"/>
        <v>Match</v>
      </c>
      <c r="K4232" s="24">
        <f t="shared" si="333"/>
        <v>1.35</v>
      </c>
      <c r="L4232" s="24">
        <f t="shared" si="334"/>
        <v>0</v>
      </c>
    </row>
    <row r="4233" spans="1:12" ht="15" customHeight="1" x14ac:dyDescent="0.3">
      <c r="A4233" s="23" t="s">
        <v>17480</v>
      </c>
      <c r="B4233" s="23" t="s">
        <v>75</v>
      </c>
      <c r="C4233" s="39">
        <v>5598</v>
      </c>
      <c r="D4233" s="24">
        <v>16.79</v>
      </c>
      <c r="E4233" s="24">
        <v>3.02</v>
      </c>
      <c r="F4233" s="23">
        <f>COUNTIFS(mdr_rate_cleaned!$A$2:$A$10,B4233,mdr_rate_cleaned!$B$2:$B$10,"&lt;"&amp;C4233,mdr_rate_cleaned!$F$2:$F$10,"&gt;="&amp;C4233)</f>
        <v>1</v>
      </c>
      <c r="G4233" s="40">
        <f>SUMIFS(mdr_rate_cleaned!$G$2:$G$10,mdr_rate_cleaned!$A$2:$A$10,B4233,mdr_rate_cleaned!$B$2:$B$10,"&lt;"&amp;C4233,mdr_rate_cleaned!$F$2:$F$10,"&gt;="&amp;C4233)</f>
        <v>3.0000000000000001E-3</v>
      </c>
      <c r="H4233" s="24">
        <f t="shared" si="330"/>
        <v>16.79</v>
      </c>
      <c r="I4233" s="23" t="str">
        <f t="shared" si="331"/>
        <v>Match</v>
      </c>
      <c r="J4233" s="23" t="str">
        <f t="shared" si="332"/>
        <v>Match</v>
      </c>
      <c r="K4233" s="24">
        <f t="shared" si="333"/>
        <v>3.02</v>
      </c>
      <c r="L4233" s="24">
        <f t="shared" si="334"/>
        <v>0</v>
      </c>
    </row>
    <row r="4234" spans="1:12" ht="15" customHeight="1" x14ac:dyDescent="0.3">
      <c r="A4234" s="23" t="s">
        <v>17481</v>
      </c>
      <c r="B4234" s="23" t="s">
        <v>75</v>
      </c>
      <c r="C4234" s="39">
        <v>7999</v>
      </c>
      <c r="D4234" s="24">
        <v>24</v>
      </c>
      <c r="E4234" s="24">
        <v>4.32</v>
      </c>
      <c r="F4234" s="23">
        <f>COUNTIFS(mdr_rate_cleaned!$A$2:$A$10,B4234,mdr_rate_cleaned!$B$2:$B$10,"&lt;"&amp;C4234,mdr_rate_cleaned!$F$2:$F$10,"&gt;="&amp;C4234)</f>
        <v>1</v>
      </c>
      <c r="G4234" s="40">
        <f>SUMIFS(mdr_rate_cleaned!$G$2:$G$10,mdr_rate_cleaned!$A$2:$A$10,B4234,mdr_rate_cleaned!$B$2:$B$10,"&lt;"&amp;C4234,mdr_rate_cleaned!$F$2:$F$10,"&gt;="&amp;C4234)</f>
        <v>3.0000000000000001E-3</v>
      </c>
      <c r="H4234" s="24">
        <f t="shared" si="330"/>
        <v>24</v>
      </c>
      <c r="I4234" s="23" t="str">
        <f t="shared" si="331"/>
        <v>Match</v>
      </c>
      <c r="J4234" s="23" t="str">
        <f t="shared" si="332"/>
        <v>Match</v>
      </c>
      <c r="K4234" s="24">
        <f t="shared" si="333"/>
        <v>4.32</v>
      </c>
      <c r="L4234" s="24">
        <f t="shared" si="334"/>
        <v>0</v>
      </c>
    </row>
    <row r="4235" spans="1:12" ht="15" customHeight="1" x14ac:dyDescent="0.3">
      <c r="A4235" s="23" t="s">
        <v>17483</v>
      </c>
      <c r="B4235" s="23" t="s">
        <v>77</v>
      </c>
      <c r="C4235" s="39">
        <v>3098</v>
      </c>
      <c r="D4235" s="24">
        <v>52.67</v>
      </c>
      <c r="E4235" s="24">
        <v>9.48</v>
      </c>
      <c r="F4235" s="23">
        <f>COUNTIFS(mdr_rate_cleaned!$A$2:$A$10,B4235,mdr_rate_cleaned!$B$2:$B$10,"&lt;"&amp;C4235,mdr_rate_cleaned!$F$2:$F$10,"&gt;="&amp;C4235)</f>
        <v>1</v>
      </c>
      <c r="G4235" s="40">
        <f>SUMIFS(mdr_rate_cleaned!$G$2:$G$10,mdr_rate_cleaned!$A$2:$A$10,B4235,mdr_rate_cleaned!$B$2:$B$10,"&lt;"&amp;C4235,mdr_rate_cleaned!$F$2:$F$10,"&gt;="&amp;C4235)</f>
        <v>1.7000000000000001E-2</v>
      </c>
      <c r="H4235" s="24">
        <f t="shared" si="330"/>
        <v>52.67</v>
      </c>
      <c r="I4235" s="23" t="str">
        <f t="shared" si="331"/>
        <v>Match</v>
      </c>
      <c r="J4235" s="23" t="str">
        <f t="shared" si="332"/>
        <v>Match</v>
      </c>
      <c r="K4235" s="24">
        <f t="shared" si="333"/>
        <v>9.48</v>
      </c>
      <c r="L4235" s="24">
        <f t="shared" si="334"/>
        <v>0</v>
      </c>
    </row>
    <row r="4236" spans="1:12" ht="15" customHeight="1" x14ac:dyDescent="0.3">
      <c r="A4236" s="23" t="s">
        <v>17484</v>
      </c>
      <c r="B4236" s="23" t="s">
        <v>75</v>
      </c>
      <c r="C4236" s="39">
        <v>1597</v>
      </c>
      <c r="D4236" s="24">
        <v>0</v>
      </c>
      <c r="E4236" s="24">
        <v>0</v>
      </c>
      <c r="F4236" s="23">
        <f>COUNTIFS(mdr_rate_cleaned!$A$2:$A$10,B4236,mdr_rate_cleaned!$B$2:$B$10,"&lt;"&amp;C4236,mdr_rate_cleaned!$F$2:$F$10,"&gt;="&amp;C4236)</f>
        <v>1</v>
      </c>
      <c r="G4236" s="40">
        <f>SUMIFS(mdr_rate_cleaned!$G$2:$G$10,mdr_rate_cleaned!$A$2:$A$10,B4236,mdr_rate_cleaned!$B$2:$B$10,"&lt;"&amp;C4236,mdr_rate_cleaned!$F$2:$F$10,"&gt;="&amp;C4236)</f>
        <v>0</v>
      </c>
      <c r="H4236" s="24">
        <f t="shared" si="330"/>
        <v>0</v>
      </c>
      <c r="I4236" s="23" t="str">
        <f t="shared" si="331"/>
        <v>Match</v>
      </c>
      <c r="J4236" s="23" t="str">
        <f t="shared" si="332"/>
        <v>Match</v>
      </c>
      <c r="K4236" s="24">
        <f t="shared" si="333"/>
        <v>0</v>
      </c>
      <c r="L4236" s="24">
        <f t="shared" si="334"/>
        <v>0</v>
      </c>
    </row>
    <row r="4237" spans="1:12" ht="15" customHeight="1" x14ac:dyDescent="0.3">
      <c r="A4237" s="23" t="s">
        <v>17485</v>
      </c>
      <c r="B4237" s="23" t="s">
        <v>79</v>
      </c>
      <c r="C4237" s="39">
        <v>2499</v>
      </c>
      <c r="D4237" s="24">
        <v>39.979999999999997</v>
      </c>
      <c r="E4237" s="24">
        <v>7.2</v>
      </c>
      <c r="F4237" s="23">
        <f>COUNTIFS(mdr_rate_cleaned!$A$2:$A$10,B4237,mdr_rate_cleaned!$B$2:$B$10,"&lt;"&amp;C4237,mdr_rate_cleaned!$F$2:$F$10,"&gt;="&amp;C4237)</f>
        <v>1</v>
      </c>
      <c r="G4237" s="40">
        <f>SUMIFS(mdr_rate_cleaned!$G$2:$G$10,mdr_rate_cleaned!$A$2:$A$10,B4237,mdr_rate_cleaned!$B$2:$B$10,"&lt;"&amp;C4237,mdr_rate_cleaned!$F$2:$F$10,"&gt;="&amp;C4237)</f>
        <v>1.6E-2</v>
      </c>
      <c r="H4237" s="24">
        <f t="shared" si="330"/>
        <v>39.979999999999997</v>
      </c>
      <c r="I4237" s="23" t="str">
        <f t="shared" si="331"/>
        <v>Match</v>
      </c>
      <c r="J4237" s="23" t="str">
        <f t="shared" si="332"/>
        <v>Match</v>
      </c>
      <c r="K4237" s="24">
        <f t="shared" si="333"/>
        <v>7.2</v>
      </c>
      <c r="L4237" s="24">
        <f t="shared" si="334"/>
        <v>0</v>
      </c>
    </row>
    <row r="4238" spans="1:12" ht="15" customHeight="1" x14ac:dyDescent="0.3">
      <c r="A4238" s="23" t="s">
        <v>17486</v>
      </c>
      <c r="B4238" s="23" t="s">
        <v>79</v>
      </c>
      <c r="C4238" s="39">
        <v>299</v>
      </c>
      <c r="D4238" s="24">
        <v>5.38</v>
      </c>
      <c r="E4238" s="24">
        <v>0.97</v>
      </c>
      <c r="F4238" s="23">
        <f>COUNTIFS(mdr_rate_cleaned!$A$2:$A$10,B4238,mdr_rate_cleaned!$B$2:$B$10,"&lt;"&amp;C4238,mdr_rate_cleaned!$F$2:$F$10,"&gt;="&amp;C4238)</f>
        <v>1</v>
      </c>
      <c r="G4238" s="40">
        <f>SUMIFS(mdr_rate_cleaned!$G$2:$G$10,mdr_rate_cleaned!$A$2:$A$10,B4238,mdr_rate_cleaned!$B$2:$B$10,"&lt;"&amp;C4238,mdr_rate_cleaned!$F$2:$F$10,"&gt;="&amp;C4238)</f>
        <v>1.8000000000000002E-2</v>
      </c>
      <c r="H4238" s="24">
        <f t="shared" si="330"/>
        <v>5.38</v>
      </c>
      <c r="I4238" s="23" t="str">
        <f t="shared" si="331"/>
        <v>Match</v>
      </c>
      <c r="J4238" s="23" t="str">
        <f t="shared" si="332"/>
        <v>Match</v>
      </c>
      <c r="K4238" s="24">
        <f t="shared" si="333"/>
        <v>0.97</v>
      </c>
      <c r="L4238" s="24">
        <f t="shared" si="334"/>
        <v>0</v>
      </c>
    </row>
    <row r="4239" spans="1:12" ht="15" customHeight="1" x14ac:dyDescent="0.3">
      <c r="A4239" s="23" t="s">
        <v>17487</v>
      </c>
      <c r="B4239" s="23" t="s">
        <v>79</v>
      </c>
      <c r="C4239" s="39">
        <v>3098</v>
      </c>
      <c r="D4239" s="24">
        <v>49.57</v>
      </c>
      <c r="E4239" s="24">
        <v>8.92</v>
      </c>
      <c r="F4239" s="23">
        <f>COUNTIFS(mdr_rate_cleaned!$A$2:$A$10,B4239,mdr_rate_cleaned!$B$2:$B$10,"&lt;"&amp;C4239,mdr_rate_cleaned!$F$2:$F$10,"&gt;="&amp;C4239)</f>
        <v>1</v>
      </c>
      <c r="G4239" s="40">
        <f>SUMIFS(mdr_rate_cleaned!$G$2:$G$10,mdr_rate_cleaned!$A$2:$A$10,B4239,mdr_rate_cleaned!$B$2:$B$10,"&lt;"&amp;C4239,mdr_rate_cleaned!$F$2:$F$10,"&gt;="&amp;C4239)</f>
        <v>1.6E-2</v>
      </c>
      <c r="H4239" s="24">
        <f t="shared" si="330"/>
        <v>49.57</v>
      </c>
      <c r="I4239" s="23" t="str">
        <f t="shared" si="331"/>
        <v>Match</v>
      </c>
      <c r="J4239" s="23" t="str">
        <f t="shared" si="332"/>
        <v>Match</v>
      </c>
      <c r="K4239" s="24">
        <f t="shared" si="333"/>
        <v>8.92</v>
      </c>
      <c r="L4239" s="24">
        <f t="shared" si="334"/>
        <v>0</v>
      </c>
    </row>
    <row r="4240" spans="1:12" ht="15" customHeight="1" x14ac:dyDescent="0.3">
      <c r="A4240" s="23" t="s">
        <v>17488</v>
      </c>
      <c r="B4240" s="23" t="s">
        <v>77</v>
      </c>
      <c r="C4240" s="39">
        <v>999</v>
      </c>
      <c r="D4240" s="24">
        <v>18.98</v>
      </c>
      <c r="E4240" s="24">
        <v>3.42</v>
      </c>
      <c r="F4240" s="23">
        <f>COUNTIFS(mdr_rate_cleaned!$A$2:$A$10,B4240,mdr_rate_cleaned!$B$2:$B$10,"&lt;"&amp;C4240,mdr_rate_cleaned!$F$2:$F$10,"&gt;="&amp;C4240)</f>
        <v>1</v>
      </c>
      <c r="G4240" s="40">
        <f>SUMIFS(mdr_rate_cleaned!$G$2:$G$10,mdr_rate_cleaned!$A$2:$A$10,B4240,mdr_rate_cleaned!$B$2:$B$10,"&lt;"&amp;C4240,mdr_rate_cleaned!$F$2:$F$10,"&gt;="&amp;C4240)</f>
        <v>1.9E-2</v>
      </c>
      <c r="H4240" s="24">
        <f t="shared" si="330"/>
        <v>18.98</v>
      </c>
      <c r="I4240" s="23" t="str">
        <f t="shared" si="331"/>
        <v>Match</v>
      </c>
      <c r="J4240" s="23" t="str">
        <f t="shared" si="332"/>
        <v>Match</v>
      </c>
      <c r="K4240" s="24">
        <f t="shared" si="333"/>
        <v>3.42</v>
      </c>
      <c r="L4240" s="24">
        <f t="shared" si="334"/>
        <v>0</v>
      </c>
    </row>
    <row r="4241" spans="1:12" ht="15" customHeight="1" x14ac:dyDescent="0.3">
      <c r="A4241" s="23" t="s">
        <v>17489</v>
      </c>
      <c r="B4241" s="23" t="s">
        <v>75</v>
      </c>
      <c r="C4241" s="39">
        <v>9798</v>
      </c>
      <c r="D4241" s="24">
        <v>29.39</v>
      </c>
      <c r="E4241" s="24">
        <v>5.29</v>
      </c>
      <c r="F4241" s="23">
        <f>COUNTIFS(mdr_rate_cleaned!$A$2:$A$10,B4241,mdr_rate_cleaned!$B$2:$B$10,"&lt;"&amp;C4241,mdr_rate_cleaned!$F$2:$F$10,"&gt;="&amp;C4241)</f>
        <v>1</v>
      </c>
      <c r="G4241" s="40">
        <f>SUMIFS(mdr_rate_cleaned!$G$2:$G$10,mdr_rate_cleaned!$A$2:$A$10,B4241,mdr_rate_cleaned!$B$2:$B$10,"&lt;"&amp;C4241,mdr_rate_cleaned!$F$2:$F$10,"&gt;="&amp;C4241)</f>
        <v>3.0000000000000001E-3</v>
      </c>
      <c r="H4241" s="24">
        <f t="shared" si="330"/>
        <v>29.39</v>
      </c>
      <c r="I4241" s="23" t="str">
        <f t="shared" si="331"/>
        <v>Match</v>
      </c>
      <c r="J4241" s="23" t="str">
        <f t="shared" si="332"/>
        <v>Match</v>
      </c>
      <c r="K4241" s="24">
        <f t="shared" si="333"/>
        <v>5.29</v>
      </c>
      <c r="L4241" s="24">
        <f t="shared" si="334"/>
        <v>0</v>
      </c>
    </row>
    <row r="4242" spans="1:12" ht="15" customHeight="1" x14ac:dyDescent="0.3">
      <c r="A4242" s="23" t="s">
        <v>17490</v>
      </c>
      <c r="B4242" s="23" t="s">
        <v>77</v>
      </c>
      <c r="C4242" s="39">
        <v>299</v>
      </c>
      <c r="D4242" s="24">
        <v>5.68</v>
      </c>
      <c r="E4242" s="24">
        <v>1.02</v>
      </c>
      <c r="F4242" s="23">
        <f>COUNTIFS(mdr_rate_cleaned!$A$2:$A$10,B4242,mdr_rate_cleaned!$B$2:$B$10,"&lt;"&amp;C4242,mdr_rate_cleaned!$F$2:$F$10,"&gt;="&amp;C4242)</f>
        <v>1</v>
      </c>
      <c r="G4242" s="40">
        <f>SUMIFS(mdr_rate_cleaned!$G$2:$G$10,mdr_rate_cleaned!$A$2:$A$10,B4242,mdr_rate_cleaned!$B$2:$B$10,"&lt;"&amp;C4242,mdr_rate_cleaned!$F$2:$F$10,"&gt;="&amp;C4242)</f>
        <v>1.9E-2</v>
      </c>
      <c r="H4242" s="24">
        <f t="shared" si="330"/>
        <v>5.68</v>
      </c>
      <c r="I4242" s="23" t="str">
        <f t="shared" si="331"/>
        <v>Match</v>
      </c>
      <c r="J4242" s="23" t="str">
        <f t="shared" si="332"/>
        <v>Match</v>
      </c>
      <c r="K4242" s="24">
        <f t="shared" si="333"/>
        <v>1.02</v>
      </c>
      <c r="L4242" s="24">
        <f t="shared" si="334"/>
        <v>0</v>
      </c>
    </row>
    <row r="4243" spans="1:12" ht="15" customHeight="1" x14ac:dyDescent="0.3">
      <c r="A4243" s="23" t="s">
        <v>17491</v>
      </c>
      <c r="B4243" s="23" t="s">
        <v>77</v>
      </c>
      <c r="C4243" s="39">
        <v>1098</v>
      </c>
      <c r="D4243" s="24">
        <v>20.86</v>
      </c>
      <c r="E4243" s="24">
        <v>3.75</v>
      </c>
      <c r="F4243" s="23">
        <f>COUNTIFS(mdr_rate_cleaned!$A$2:$A$10,B4243,mdr_rate_cleaned!$B$2:$B$10,"&lt;"&amp;C4243,mdr_rate_cleaned!$F$2:$F$10,"&gt;="&amp;C4243)</f>
        <v>1</v>
      </c>
      <c r="G4243" s="40">
        <f>SUMIFS(mdr_rate_cleaned!$G$2:$G$10,mdr_rate_cleaned!$A$2:$A$10,B4243,mdr_rate_cleaned!$B$2:$B$10,"&lt;"&amp;C4243,mdr_rate_cleaned!$F$2:$F$10,"&gt;="&amp;C4243)</f>
        <v>1.9E-2</v>
      </c>
      <c r="H4243" s="24">
        <f t="shared" si="330"/>
        <v>20.86</v>
      </c>
      <c r="I4243" s="23" t="str">
        <f t="shared" si="331"/>
        <v>Match</v>
      </c>
      <c r="J4243" s="23" t="str">
        <f t="shared" si="332"/>
        <v>Match</v>
      </c>
      <c r="K4243" s="24">
        <f t="shared" si="333"/>
        <v>3.75</v>
      </c>
      <c r="L4243" s="24">
        <f t="shared" si="334"/>
        <v>0</v>
      </c>
    </row>
    <row r="4244" spans="1:12" ht="15" customHeight="1" x14ac:dyDescent="0.3">
      <c r="A4244" s="23" t="s">
        <v>17493</v>
      </c>
      <c r="B4244" s="23" t="s">
        <v>79</v>
      </c>
      <c r="C4244" s="39">
        <v>5598</v>
      </c>
      <c r="D4244" s="24">
        <v>89.57</v>
      </c>
      <c r="E4244" s="24">
        <v>16.12</v>
      </c>
      <c r="F4244" s="23">
        <f>COUNTIFS(mdr_rate_cleaned!$A$2:$A$10,B4244,mdr_rate_cleaned!$B$2:$B$10,"&lt;"&amp;C4244,mdr_rate_cleaned!$F$2:$F$10,"&gt;="&amp;C4244)</f>
        <v>1</v>
      </c>
      <c r="G4244" s="40">
        <f>SUMIFS(mdr_rate_cleaned!$G$2:$G$10,mdr_rate_cleaned!$A$2:$A$10,B4244,mdr_rate_cleaned!$B$2:$B$10,"&lt;"&amp;C4244,mdr_rate_cleaned!$F$2:$F$10,"&gt;="&amp;C4244)</f>
        <v>1.6E-2</v>
      </c>
      <c r="H4244" s="24">
        <f t="shared" si="330"/>
        <v>89.57</v>
      </c>
      <c r="I4244" s="23" t="str">
        <f t="shared" si="331"/>
        <v>Match</v>
      </c>
      <c r="J4244" s="23" t="str">
        <f t="shared" si="332"/>
        <v>Match</v>
      </c>
      <c r="K4244" s="24">
        <f t="shared" si="333"/>
        <v>16.12</v>
      </c>
      <c r="L4244" s="24">
        <f t="shared" si="334"/>
        <v>0</v>
      </c>
    </row>
    <row r="4245" spans="1:12" ht="15" customHeight="1" x14ac:dyDescent="0.3">
      <c r="A4245" s="23" t="s">
        <v>17495</v>
      </c>
      <c r="B4245" s="23" t="s">
        <v>79</v>
      </c>
      <c r="C4245" s="39">
        <v>2298</v>
      </c>
      <c r="D4245" s="24">
        <v>36.770000000000003</v>
      </c>
      <c r="E4245" s="24">
        <v>6.62</v>
      </c>
      <c r="F4245" s="23">
        <f>COUNTIFS(mdr_rate_cleaned!$A$2:$A$10,B4245,mdr_rate_cleaned!$B$2:$B$10,"&lt;"&amp;C4245,mdr_rate_cleaned!$F$2:$F$10,"&gt;="&amp;C4245)</f>
        <v>1</v>
      </c>
      <c r="G4245" s="40">
        <f>SUMIFS(mdr_rate_cleaned!$G$2:$G$10,mdr_rate_cleaned!$A$2:$A$10,B4245,mdr_rate_cleaned!$B$2:$B$10,"&lt;"&amp;C4245,mdr_rate_cleaned!$F$2:$F$10,"&gt;="&amp;C4245)</f>
        <v>1.6E-2</v>
      </c>
      <c r="H4245" s="24">
        <f t="shared" si="330"/>
        <v>36.770000000000003</v>
      </c>
      <c r="I4245" s="23" t="str">
        <f t="shared" si="331"/>
        <v>Match</v>
      </c>
      <c r="J4245" s="23" t="str">
        <f t="shared" si="332"/>
        <v>Match</v>
      </c>
      <c r="K4245" s="24">
        <f t="shared" si="333"/>
        <v>6.62</v>
      </c>
      <c r="L4245" s="24">
        <f t="shared" si="334"/>
        <v>0</v>
      </c>
    </row>
    <row r="4246" spans="1:12" ht="15" customHeight="1" x14ac:dyDescent="0.3">
      <c r="A4246" s="23" t="s">
        <v>17496</v>
      </c>
      <c r="B4246" s="23" t="s">
        <v>75</v>
      </c>
      <c r="C4246" s="39">
        <v>2999</v>
      </c>
      <c r="D4246" s="24">
        <v>9</v>
      </c>
      <c r="E4246" s="24">
        <v>1.62</v>
      </c>
      <c r="F4246" s="23">
        <f>COUNTIFS(mdr_rate_cleaned!$A$2:$A$10,B4246,mdr_rate_cleaned!$B$2:$B$10,"&lt;"&amp;C4246,mdr_rate_cleaned!$F$2:$F$10,"&gt;="&amp;C4246)</f>
        <v>1</v>
      </c>
      <c r="G4246" s="40">
        <f>SUMIFS(mdr_rate_cleaned!$G$2:$G$10,mdr_rate_cleaned!$A$2:$A$10,B4246,mdr_rate_cleaned!$B$2:$B$10,"&lt;"&amp;C4246,mdr_rate_cleaned!$F$2:$F$10,"&gt;="&amp;C4246)</f>
        <v>3.0000000000000001E-3</v>
      </c>
      <c r="H4246" s="24">
        <f t="shared" si="330"/>
        <v>9</v>
      </c>
      <c r="I4246" s="23" t="str">
        <f t="shared" si="331"/>
        <v>Match</v>
      </c>
      <c r="J4246" s="23" t="str">
        <f t="shared" si="332"/>
        <v>Match</v>
      </c>
      <c r="K4246" s="24">
        <f t="shared" si="333"/>
        <v>1.62</v>
      </c>
      <c r="L4246" s="24">
        <f t="shared" si="334"/>
        <v>0</v>
      </c>
    </row>
    <row r="4247" spans="1:12" ht="15" customHeight="1" x14ac:dyDescent="0.3">
      <c r="A4247" s="23" t="s">
        <v>17497</v>
      </c>
      <c r="B4247" s="23" t="s">
        <v>77</v>
      </c>
      <c r="C4247" s="39">
        <v>999</v>
      </c>
      <c r="D4247" s="24">
        <v>18.98</v>
      </c>
      <c r="E4247" s="24">
        <v>3.42</v>
      </c>
      <c r="F4247" s="23">
        <f>COUNTIFS(mdr_rate_cleaned!$A$2:$A$10,B4247,mdr_rate_cleaned!$B$2:$B$10,"&lt;"&amp;C4247,mdr_rate_cleaned!$F$2:$F$10,"&gt;="&amp;C4247)</f>
        <v>1</v>
      </c>
      <c r="G4247" s="40">
        <f>SUMIFS(mdr_rate_cleaned!$G$2:$G$10,mdr_rate_cleaned!$A$2:$A$10,B4247,mdr_rate_cleaned!$B$2:$B$10,"&lt;"&amp;C4247,mdr_rate_cleaned!$F$2:$F$10,"&gt;="&amp;C4247)</f>
        <v>1.9E-2</v>
      </c>
      <c r="H4247" s="24">
        <f t="shared" si="330"/>
        <v>18.98</v>
      </c>
      <c r="I4247" s="23" t="str">
        <f t="shared" si="331"/>
        <v>Match</v>
      </c>
      <c r="J4247" s="23" t="str">
        <f t="shared" si="332"/>
        <v>Match</v>
      </c>
      <c r="K4247" s="24">
        <f t="shared" si="333"/>
        <v>3.42</v>
      </c>
      <c r="L4247" s="24">
        <f t="shared" si="334"/>
        <v>0</v>
      </c>
    </row>
    <row r="4248" spans="1:12" ht="15" customHeight="1" x14ac:dyDescent="0.3">
      <c r="A4248" s="23" t="s">
        <v>17498</v>
      </c>
      <c r="B4248" s="23" t="s">
        <v>75</v>
      </c>
      <c r="C4248" s="39">
        <v>3348</v>
      </c>
      <c r="D4248" s="24">
        <v>10.039999999999999</v>
      </c>
      <c r="E4248" s="24">
        <v>1.81</v>
      </c>
      <c r="F4248" s="23">
        <f>COUNTIFS(mdr_rate_cleaned!$A$2:$A$10,B4248,mdr_rate_cleaned!$B$2:$B$10,"&lt;"&amp;C4248,mdr_rate_cleaned!$F$2:$F$10,"&gt;="&amp;C4248)</f>
        <v>1</v>
      </c>
      <c r="G4248" s="40">
        <f>SUMIFS(mdr_rate_cleaned!$G$2:$G$10,mdr_rate_cleaned!$A$2:$A$10,B4248,mdr_rate_cleaned!$B$2:$B$10,"&lt;"&amp;C4248,mdr_rate_cleaned!$F$2:$F$10,"&gt;="&amp;C4248)</f>
        <v>3.0000000000000001E-3</v>
      </c>
      <c r="H4248" s="24">
        <f t="shared" si="330"/>
        <v>10.039999999999999</v>
      </c>
      <c r="I4248" s="23" t="str">
        <f t="shared" si="331"/>
        <v>Match</v>
      </c>
      <c r="J4248" s="23" t="str">
        <f t="shared" si="332"/>
        <v>Match</v>
      </c>
      <c r="K4248" s="24">
        <f t="shared" si="333"/>
        <v>1.81</v>
      </c>
      <c r="L4248" s="24">
        <f t="shared" si="334"/>
        <v>0</v>
      </c>
    </row>
    <row r="4249" spans="1:12" ht="15" customHeight="1" x14ac:dyDescent="0.3">
      <c r="A4249" s="23" t="s">
        <v>17499</v>
      </c>
      <c r="B4249" s="23" t="s">
        <v>79</v>
      </c>
      <c r="C4249" s="39">
        <v>2499</v>
      </c>
      <c r="D4249" s="24">
        <v>39.979999999999997</v>
      </c>
      <c r="E4249" s="24">
        <v>7.2</v>
      </c>
      <c r="F4249" s="23">
        <f>COUNTIFS(mdr_rate_cleaned!$A$2:$A$10,B4249,mdr_rate_cleaned!$B$2:$B$10,"&lt;"&amp;C4249,mdr_rate_cleaned!$F$2:$F$10,"&gt;="&amp;C4249)</f>
        <v>1</v>
      </c>
      <c r="G4249" s="40">
        <f>SUMIFS(mdr_rate_cleaned!$G$2:$G$10,mdr_rate_cleaned!$A$2:$A$10,B4249,mdr_rate_cleaned!$B$2:$B$10,"&lt;"&amp;C4249,mdr_rate_cleaned!$F$2:$F$10,"&gt;="&amp;C4249)</f>
        <v>1.6E-2</v>
      </c>
      <c r="H4249" s="24">
        <f t="shared" si="330"/>
        <v>39.979999999999997</v>
      </c>
      <c r="I4249" s="23" t="str">
        <f t="shared" si="331"/>
        <v>Match</v>
      </c>
      <c r="J4249" s="23" t="str">
        <f t="shared" si="332"/>
        <v>Match</v>
      </c>
      <c r="K4249" s="24">
        <f t="shared" si="333"/>
        <v>7.2</v>
      </c>
      <c r="L4249" s="24">
        <f t="shared" si="334"/>
        <v>0</v>
      </c>
    </row>
    <row r="4250" spans="1:12" ht="15" customHeight="1" x14ac:dyDescent="0.3">
      <c r="A4250" s="23" t="s">
        <v>17500</v>
      </c>
      <c r="B4250" s="23" t="s">
        <v>75</v>
      </c>
      <c r="C4250" s="39">
        <v>2999</v>
      </c>
      <c r="D4250" s="24">
        <v>9</v>
      </c>
      <c r="E4250" s="24">
        <v>1.62</v>
      </c>
      <c r="F4250" s="23">
        <f>COUNTIFS(mdr_rate_cleaned!$A$2:$A$10,B4250,mdr_rate_cleaned!$B$2:$B$10,"&lt;"&amp;C4250,mdr_rate_cleaned!$F$2:$F$10,"&gt;="&amp;C4250)</f>
        <v>1</v>
      </c>
      <c r="G4250" s="40">
        <f>SUMIFS(mdr_rate_cleaned!$G$2:$G$10,mdr_rate_cleaned!$A$2:$A$10,B4250,mdr_rate_cleaned!$B$2:$B$10,"&lt;"&amp;C4250,mdr_rate_cleaned!$F$2:$F$10,"&gt;="&amp;C4250)</f>
        <v>3.0000000000000001E-3</v>
      </c>
      <c r="H4250" s="24">
        <f t="shared" si="330"/>
        <v>9</v>
      </c>
      <c r="I4250" s="23" t="str">
        <f t="shared" si="331"/>
        <v>Match</v>
      </c>
      <c r="J4250" s="23" t="str">
        <f t="shared" si="332"/>
        <v>Match</v>
      </c>
      <c r="K4250" s="24">
        <f t="shared" si="333"/>
        <v>1.62</v>
      </c>
      <c r="L4250" s="24">
        <f t="shared" si="334"/>
        <v>0</v>
      </c>
    </row>
    <row r="4251" spans="1:12" ht="15" customHeight="1" x14ac:dyDescent="0.3">
      <c r="A4251" s="23" t="s">
        <v>17501</v>
      </c>
      <c r="B4251" s="23" t="s">
        <v>75</v>
      </c>
      <c r="C4251" s="39">
        <v>3697</v>
      </c>
      <c r="D4251" s="24">
        <v>11.09</v>
      </c>
      <c r="E4251" s="24">
        <v>2</v>
      </c>
      <c r="F4251" s="23">
        <f>COUNTIFS(mdr_rate_cleaned!$A$2:$A$10,B4251,mdr_rate_cleaned!$B$2:$B$10,"&lt;"&amp;C4251,mdr_rate_cleaned!$F$2:$F$10,"&gt;="&amp;C4251)</f>
        <v>1</v>
      </c>
      <c r="G4251" s="40">
        <f>SUMIFS(mdr_rate_cleaned!$G$2:$G$10,mdr_rate_cleaned!$A$2:$A$10,B4251,mdr_rate_cleaned!$B$2:$B$10,"&lt;"&amp;C4251,mdr_rate_cleaned!$F$2:$F$10,"&gt;="&amp;C4251)</f>
        <v>3.0000000000000001E-3</v>
      </c>
      <c r="H4251" s="24">
        <f t="shared" si="330"/>
        <v>11.09</v>
      </c>
      <c r="I4251" s="23" t="str">
        <f t="shared" si="331"/>
        <v>Match</v>
      </c>
      <c r="J4251" s="23" t="str">
        <f t="shared" si="332"/>
        <v>Match</v>
      </c>
      <c r="K4251" s="24">
        <f t="shared" si="333"/>
        <v>2</v>
      </c>
      <c r="L4251" s="24">
        <f t="shared" si="334"/>
        <v>0</v>
      </c>
    </row>
    <row r="4252" spans="1:12" ht="15" customHeight="1" x14ac:dyDescent="0.3">
      <c r="A4252" s="23" t="s">
        <v>17502</v>
      </c>
      <c r="B4252" s="23" t="s">
        <v>75</v>
      </c>
      <c r="C4252" s="39">
        <v>5498</v>
      </c>
      <c r="D4252" s="24">
        <v>16.489999999999998</v>
      </c>
      <c r="E4252" s="24">
        <v>2.97</v>
      </c>
      <c r="F4252" s="23">
        <f>COUNTIFS(mdr_rate_cleaned!$A$2:$A$10,B4252,mdr_rate_cleaned!$B$2:$B$10,"&lt;"&amp;C4252,mdr_rate_cleaned!$F$2:$F$10,"&gt;="&amp;C4252)</f>
        <v>1</v>
      </c>
      <c r="G4252" s="40">
        <f>SUMIFS(mdr_rate_cleaned!$G$2:$G$10,mdr_rate_cleaned!$A$2:$A$10,B4252,mdr_rate_cleaned!$B$2:$B$10,"&lt;"&amp;C4252,mdr_rate_cleaned!$F$2:$F$10,"&gt;="&amp;C4252)</f>
        <v>3.0000000000000001E-3</v>
      </c>
      <c r="H4252" s="24">
        <f t="shared" si="330"/>
        <v>16.489999999999998</v>
      </c>
      <c r="I4252" s="23" t="str">
        <f t="shared" si="331"/>
        <v>Match</v>
      </c>
      <c r="J4252" s="23" t="str">
        <f t="shared" si="332"/>
        <v>Match</v>
      </c>
      <c r="K4252" s="24">
        <f t="shared" si="333"/>
        <v>2.97</v>
      </c>
      <c r="L4252" s="24">
        <f t="shared" si="334"/>
        <v>0</v>
      </c>
    </row>
    <row r="4253" spans="1:12" ht="15" customHeight="1" x14ac:dyDescent="0.3">
      <c r="A4253" s="23" t="s">
        <v>17503</v>
      </c>
      <c r="B4253" s="23" t="s">
        <v>77</v>
      </c>
      <c r="C4253" s="39">
        <v>349</v>
      </c>
      <c r="D4253" s="24">
        <v>6.63</v>
      </c>
      <c r="E4253" s="24">
        <v>1.19</v>
      </c>
      <c r="F4253" s="23">
        <f>COUNTIFS(mdr_rate_cleaned!$A$2:$A$10,B4253,mdr_rate_cleaned!$B$2:$B$10,"&lt;"&amp;C4253,mdr_rate_cleaned!$F$2:$F$10,"&gt;="&amp;C4253)</f>
        <v>1</v>
      </c>
      <c r="G4253" s="40">
        <f>SUMIFS(mdr_rate_cleaned!$G$2:$G$10,mdr_rate_cleaned!$A$2:$A$10,B4253,mdr_rate_cleaned!$B$2:$B$10,"&lt;"&amp;C4253,mdr_rate_cleaned!$F$2:$F$10,"&gt;="&amp;C4253)</f>
        <v>1.9E-2</v>
      </c>
      <c r="H4253" s="24">
        <f t="shared" si="330"/>
        <v>6.63</v>
      </c>
      <c r="I4253" s="23" t="str">
        <f t="shared" si="331"/>
        <v>Match</v>
      </c>
      <c r="J4253" s="23" t="str">
        <f t="shared" si="332"/>
        <v>Match</v>
      </c>
      <c r="K4253" s="24">
        <f t="shared" si="333"/>
        <v>1.19</v>
      </c>
      <c r="L4253" s="24">
        <f t="shared" si="334"/>
        <v>0</v>
      </c>
    </row>
    <row r="4254" spans="1:12" ht="15" customHeight="1" x14ac:dyDescent="0.3">
      <c r="A4254" s="23" t="s">
        <v>17505</v>
      </c>
      <c r="B4254" s="23" t="s">
        <v>75</v>
      </c>
      <c r="C4254" s="39">
        <v>12998</v>
      </c>
      <c r="D4254" s="24">
        <v>38.99</v>
      </c>
      <c r="E4254" s="24">
        <v>7.02</v>
      </c>
      <c r="F4254" s="23">
        <f>COUNTIFS(mdr_rate_cleaned!$A$2:$A$10,B4254,mdr_rate_cleaned!$B$2:$B$10,"&lt;"&amp;C4254,mdr_rate_cleaned!$F$2:$F$10,"&gt;="&amp;C4254)</f>
        <v>1</v>
      </c>
      <c r="G4254" s="40">
        <f>SUMIFS(mdr_rate_cleaned!$G$2:$G$10,mdr_rate_cleaned!$A$2:$A$10,B4254,mdr_rate_cleaned!$B$2:$B$10,"&lt;"&amp;C4254,mdr_rate_cleaned!$F$2:$F$10,"&gt;="&amp;C4254)</f>
        <v>3.0000000000000001E-3</v>
      </c>
      <c r="H4254" s="24">
        <f t="shared" si="330"/>
        <v>38.99</v>
      </c>
      <c r="I4254" s="23" t="str">
        <f t="shared" si="331"/>
        <v>Match</v>
      </c>
      <c r="J4254" s="23" t="str">
        <f t="shared" si="332"/>
        <v>Match</v>
      </c>
      <c r="K4254" s="24">
        <f t="shared" si="333"/>
        <v>7.02</v>
      </c>
      <c r="L4254" s="24">
        <f t="shared" si="334"/>
        <v>0</v>
      </c>
    </row>
    <row r="4255" spans="1:12" ht="15" customHeight="1" x14ac:dyDescent="0.3">
      <c r="A4255" s="23" t="s">
        <v>17506</v>
      </c>
      <c r="B4255" s="23" t="s">
        <v>77</v>
      </c>
      <c r="C4255" s="39">
        <v>599</v>
      </c>
      <c r="D4255" s="24">
        <v>11.38</v>
      </c>
      <c r="E4255" s="24">
        <v>2.0499999999999998</v>
      </c>
      <c r="F4255" s="23">
        <f>COUNTIFS(mdr_rate_cleaned!$A$2:$A$10,B4255,mdr_rate_cleaned!$B$2:$B$10,"&lt;"&amp;C4255,mdr_rate_cleaned!$F$2:$F$10,"&gt;="&amp;C4255)</f>
        <v>1</v>
      </c>
      <c r="G4255" s="40">
        <f>SUMIFS(mdr_rate_cleaned!$G$2:$G$10,mdr_rate_cleaned!$A$2:$A$10,B4255,mdr_rate_cleaned!$B$2:$B$10,"&lt;"&amp;C4255,mdr_rate_cleaned!$F$2:$F$10,"&gt;="&amp;C4255)</f>
        <v>1.9E-2</v>
      </c>
      <c r="H4255" s="24">
        <f t="shared" si="330"/>
        <v>11.38</v>
      </c>
      <c r="I4255" s="23" t="str">
        <f t="shared" si="331"/>
        <v>Match</v>
      </c>
      <c r="J4255" s="23" t="str">
        <f t="shared" si="332"/>
        <v>Match</v>
      </c>
      <c r="K4255" s="24">
        <f t="shared" si="333"/>
        <v>2.0499999999999998</v>
      </c>
      <c r="L4255" s="24">
        <f t="shared" si="334"/>
        <v>0</v>
      </c>
    </row>
    <row r="4256" spans="1:12" ht="15" customHeight="1" x14ac:dyDescent="0.3">
      <c r="A4256" s="23" t="s">
        <v>17507</v>
      </c>
      <c r="B4256" s="23" t="s">
        <v>75</v>
      </c>
      <c r="C4256" s="39">
        <v>4798</v>
      </c>
      <c r="D4256" s="24">
        <v>14.39</v>
      </c>
      <c r="E4256" s="24">
        <v>2.59</v>
      </c>
      <c r="F4256" s="23">
        <f>COUNTIFS(mdr_rate_cleaned!$A$2:$A$10,B4256,mdr_rate_cleaned!$B$2:$B$10,"&lt;"&amp;C4256,mdr_rate_cleaned!$F$2:$F$10,"&gt;="&amp;C4256)</f>
        <v>1</v>
      </c>
      <c r="G4256" s="40">
        <f>SUMIFS(mdr_rate_cleaned!$G$2:$G$10,mdr_rate_cleaned!$A$2:$A$10,B4256,mdr_rate_cleaned!$B$2:$B$10,"&lt;"&amp;C4256,mdr_rate_cleaned!$F$2:$F$10,"&gt;="&amp;C4256)</f>
        <v>3.0000000000000001E-3</v>
      </c>
      <c r="H4256" s="24">
        <f t="shared" si="330"/>
        <v>14.39</v>
      </c>
      <c r="I4256" s="23" t="str">
        <f t="shared" si="331"/>
        <v>Match</v>
      </c>
      <c r="J4256" s="23" t="str">
        <f t="shared" si="332"/>
        <v>Match</v>
      </c>
      <c r="K4256" s="24">
        <f t="shared" si="333"/>
        <v>2.59</v>
      </c>
      <c r="L4256" s="24">
        <f t="shared" si="334"/>
        <v>0</v>
      </c>
    </row>
    <row r="4257" spans="1:12" ht="15" customHeight="1" x14ac:dyDescent="0.3">
      <c r="A4257" s="23" t="s">
        <v>17508</v>
      </c>
      <c r="B4257" s="23" t="s">
        <v>75</v>
      </c>
      <c r="C4257" s="39">
        <v>5997</v>
      </c>
      <c r="D4257" s="24">
        <v>17.989999999999998</v>
      </c>
      <c r="E4257" s="24">
        <v>3.24</v>
      </c>
      <c r="F4257" s="23">
        <f>COUNTIFS(mdr_rate_cleaned!$A$2:$A$10,B4257,mdr_rate_cleaned!$B$2:$B$10,"&lt;"&amp;C4257,mdr_rate_cleaned!$F$2:$F$10,"&gt;="&amp;C4257)</f>
        <v>1</v>
      </c>
      <c r="G4257" s="40">
        <f>SUMIFS(mdr_rate_cleaned!$G$2:$G$10,mdr_rate_cleaned!$A$2:$A$10,B4257,mdr_rate_cleaned!$B$2:$B$10,"&lt;"&amp;C4257,mdr_rate_cleaned!$F$2:$F$10,"&gt;="&amp;C4257)</f>
        <v>3.0000000000000001E-3</v>
      </c>
      <c r="H4257" s="24">
        <f t="shared" si="330"/>
        <v>17.989999999999998</v>
      </c>
      <c r="I4257" s="23" t="str">
        <f t="shared" si="331"/>
        <v>Match</v>
      </c>
      <c r="J4257" s="23" t="str">
        <f t="shared" si="332"/>
        <v>Match</v>
      </c>
      <c r="K4257" s="24">
        <f t="shared" si="333"/>
        <v>3.24</v>
      </c>
      <c r="L4257" s="24">
        <f t="shared" si="334"/>
        <v>0</v>
      </c>
    </row>
    <row r="4258" spans="1:12" ht="15" customHeight="1" x14ac:dyDescent="0.3">
      <c r="A4258" s="23" t="s">
        <v>17509</v>
      </c>
      <c r="B4258" s="23" t="s">
        <v>75</v>
      </c>
      <c r="C4258" s="39">
        <v>3998</v>
      </c>
      <c r="D4258" s="24">
        <v>11.99</v>
      </c>
      <c r="E4258" s="24">
        <v>2.16</v>
      </c>
      <c r="F4258" s="23">
        <f>COUNTIFS(mdr_rate_cleaned!$A$2:$A$10,B4258,mdr_rate_cleaned!$B$2:$B$10,"&lt;"&amp;C4258,mdr_rate_cleaned!$F$2:$F$10,"&gt;="&amp;C4258)</f>
        <v>1</v>
      </c>
      <c r="G4258" s="40">
        <f>SUMIFS(mdr_rate_cleaned!$G$2:$G$10,mdr_rate_cleaned!$A$2:$A$10,B4258,mdr_rate_cleaned!$B$2:$B$10,"&lt;"&amp;C4258,mdr_rate_cleaned!$F$2:$F$10,"&gt;="&amp;C4258)</f>
        <v>3.0000000000000001E-3</v>
      </c>
      <c r="H4258" s="24">
        <f t="shared" si="330"/>
        <v>11.99</v>
      </c>
      <c r="I4258" s="23" t="str">
        <f t="shared" si="331"/>
        <v>Match</v>
      </c>
      <c r="J4258" s="23" t="str">
        <f t="shared" si="332"/>
        <v>Match</v>
      </c>
      <c r="K4258" s="24">
        <f t="shared" si="333"/>
        <v>2.16</v>
      </c>
      <c r="L4258" s="24">
        <f t="shared" si="334"/>
        <v>0</v>
      </c>
    </row>
    <row r="4259" spans="1:12" ht="15" customHeight="1" x14ac:dyDescent="0.3">
      <c r="A4259" s="23" t="s">
        <v>17510</v>
      </c>
      <c r="B4259" s="23" t="s">
        <v>81</v>
      </c>
      <c r="C4259" s="39">
        <v>8798</v>
      </c>
      <c r="D4259" s="24">
        <v>105.58</v>
      </c>
      <c r="E4259" s="24">
        <v>19</v>
      </c>
      <c r="F4259" s="23">
        <f>COUNTIFS(mdr_rate_cleaned!$A$2:$A$10,B4259,mdr_rate_cleaned!$B$2:$B$10,"&lt;"&amp;C4259,mdr_rate_cleaned!$F$2:$F$10,"&gt;="&amp;C4259)</f>
        <v>1</v>
      </c>
      <c r="G4259" s="40">
        <f>SUMIFS(mdr_rate_cleaned!$G$2:$G$10,mdr_rate_cleaned!$A$2:$A$10,B4259,mdr_rate_cleaned!$B$2:$B$10,"&lt;"&amp;C4259,mdr_rate_cleaned!$F$2:$F$10,"&gt;="&amp;C4259)</f>
        <v>1.2E-2</v>
      </c>
      <c r="H4259" s="24">
        <f t="shared" si="330"/>
        <v>105.58</v>
      </c>
      <c r="I4259" s="23" t="str">
        <f t="shared" si="331"/>
        <v>Match</v>
      </c>
      <c r="J4259" s="23" t="str">
        <f t="shared" si="332"/>
        <v>Match</v>
      </c>
      <c r="K4259" s="24">
        <f t="shared" si="333"/>
        <v>19</v>
      </c>
      <c r="L4259" s="24">
        <f t="shared" si="334"/>
        <v>0</v>
      </c>
    </row>
    <row r="4260" spans="1:12" ht="15" customHeight="1" x14ac:dyDescent="0.3">
      <c r="A4260" s="23" t="s">
        <v>17511</v>
      </c>
      <c r="B4260" s="23" t="s">
        <v>75</v>
      </c>
      <c r="C4260" s="39">
        <v>4999</v>
      </c>
      <c r="D4260" s="24">
        <v>15</v>
      </c>
      <c r="E4260" s="24">
        <v>2.7</v>
      </c>
      <c r="F4260" s="23">
        <f>COUNTIFS(mdr_rate_cleaned!$A$2:$A$10,B4260,mdr_rate_cleaned!$B$2:$B$10,"&lt;"&amp;C4260,mdr_rate_cleaned!$F$2:$F$10,"&gt;="&amp;C4260)</f>
        <v>1</v>
      </c>
      <c r="G4260" s="40">
        <f>SUMIFS(mdr_rate_cleaned!$G$2:$G$10,mdr_rate_cleaned!$A$2:$A$10,B4260,mdr_rate_cleaned!$B$2:$B$10,"&lt;"&amp;C4260,mdr_rate_cleaned!$F$2:$F$10,"&gt;="&amp;C4260)</f>
        <v>3.0000000000000001E-3</v>
      </c>
      <c r="H4260" s="24">
        <f t="shared" si="330"/>
        <v>15</v>
      </c>
      <c r="I4260" s="23" t="str">
        <f t="shared" si="331"/>
        <v>Match</v>
      </c>
      <c r="J4260" s="23" t="str">
        <f t="shared" si="332"/>
        <v>Match</v>
      </c>
      <c r="K4260" s="24">
        <f t="shared" si="333"/>
        <v>2.7</v>
      </c>
      <c r="L4260" s="24">
        <f t="shared" si="334"/>
        <v>0</v>
      </c>
    </row>
    <row r="4261" spans="1:12" ht="15" customHeight="1" x14ac:dyDescent="0.3">
      <c r="A4261" s="23" t="s">
        <v>17512</v>
      </c>
      <c r="B4261" s="23" t="s">
        <v>79</v>
      </c>
      <c r="C4261" s="39">
        <v>848</v>
      </c>
      <c r="D4261" s="24">
        <v>15.26</v>
      </c>
      <c r="E4261" s="24">
        <v>2.75</v>
      </c>
      <c r="F4261" s="23">
        <f>COUNTIFS(mdr_rate_cleaned!$A$2:$A$10,B4261,mdr_rate_cleaned!$B$2:$B$10,"&lt;"&amp;C4261,mdr_rate_cleaned!$F$2:$F$10,"&gt;="&amp;C4261)</f>
        <v>1</v>
      </c>
      <c r="G4261" s="40">
        <f>SUMIFS(mdr_rate_cleaned!$G$2:$G$10,mdr_rate_cleaned!$A$2:$A$10,B4261,mdr_rate_cleaned!$B$2:$B$10,"&lt;"&amp;C4261,mdr_rate_cleaned!$F$2:$F$10,"&gt;="&amp;C4261)</f>
        <v>1.8000000000000002E-2</v>
      </c>
      <c r="H4261" s="24">
        <f t="shared" si="330"/>
        <v>15.26</v>
      </c>
      <c r="I4261" s="23" t="str">
        <f t="shared" si="331"/>
        <v>Match</v>
      </c>
      <c r="J4261" s="23" t="str">
        <f t="shared" si="332"/>
        <v>Match</v>
      </c>
      <c r="K4261" s="24">
        <f t="shared" si="333"/>
        <v>2.75</v>
      </c>
      <c r="L4261" s="24">
        <f t="shared" si="334"/>
        <v>0</v>
      </c>
    </row>
    <row r="4262" spans="1:12" ht="15" customHeight="1" x14ac:dyDescent="0.3">
      <c r="A4262" s="23" t="s">
        <v>17513</v>
      </c>
      <c r="B4262" s="23" t="s">
        <v>75</v>
      </c>
      <c r="C4262" s="39">
        <v>2597</v>
      </c>
      <c r="D4262" s="24">
        <v>7.79</v>
      </c>
      <c r="E4262" s="24">
        <v>1.4</v>
      </c>
      <c r="F4262" s="23">
        <f>COUNTIFS(mdr_rate_cleaned!$A$2:$A$10,B4262,mdr_rate_cleaned!$B$2:$B$10,"&lt;"&amp;C4262,mdr_rate_cleaned!$F$2:$F$10,"&gt;="&amp;C4262)</f>
        <v>1</v>
      </c>
      <c r="G4262" s="40">
        <f>SUMIFS(mdr_rate_cleaned!$G$2:$G$10,mdr_rate_cleaned!$A$2:$A$10,B4262,mdr_rate_cleaned!$B$2:$B$10,"&lt;"&amp;C4262,mdr_rate_cleaned!$F$2:$F$10,"&gt;="&amp;C4262)</f>
        <v>3.0000000000000001E-3</v>
      </c>
      <c r="H4262" s="24">
        <f t="shared" si="330"/>
        <v>7.79</v>
      </c>
      <c r="I4262" s="23" t="str">
        <f t="shared" si="331"/>
        <v>Match</v>
      </c>
      <c r="J4262" s="23" t="str">
        <f t="shared" si="332"/>
        <v>Match</v>
      </c>
      <c r="K4262" s="24">
        <f t="shared" si="333"/>
        <v>1.4</v>
      </c>
      <c r="L4262" s="24">
        <f t="shared" si="334"/>
        <v>0</v>
      </c>
    </row>
    <row r="4263" spans="1:12" ht="15" customHeight="1" x14ac:dyDescent="0.3">
      <c r="A4263" s="23" t="s">
        <v>17514</v>
      </c>
      <c r="B4263" s="23" t="s">
        <v>75</v>
      </c>
      <c r="C4263" s="39">
        <v>1499</v>
      </c>
      <c r="D4263" s="24">
        <v>0</v>
      </c>
      <c r="E4263" s="24">
        <v>0</v>
      </c>
      <c r="F4263" s="23">
        <f>COUNTIFS(mdr_rate_cleaned!$A$2:$A$10,B4263,mdr_rate_cleaned!$B$2:$B$10,"&lt;"&amp;C4263,mdr_rate_cleaned!$F$2:$F$10,"&gt;="&amp;C4263)</f>
        <v>1</v>
      </c>
      <c r="G4263" s="40">
        <f>SUMIFS(mdr_rate_cleaned!$G$2:$G$10,mdr_rate_cleaned!$A$2:$A$10,B4263,mdr_rate_cleaned!$B$2:$B$10,"&lt;"&amp;C4263,mdr_rate_cleaned!$F$2:$F$10,"&gt;="&amp;C4263)</f>
        <v>0</v>
      </c>
      <c r="H4263" s="24">
        <f t="shared" si="330"/>
        <v>0</v>
      </c>
      <c r="I4263" s="23" t="str">
        <f t="shared" si="331"/>
        <v>Match</v>
      </c>
      <c r="J4263" s="23" t="str">
        <f t="shared" si="332"/>
        <v>Match</v>
      </c>
      <c r="K4263" s="24">
        <f t="shared" si="333"/>
        <v>0</v>
      </c>
      <c r="L4263" s="24">
        <f t="shared" si="334"/>
        <v>0</v>
      </c>
    </row>
    <row r="4264" spans="1:12" ht="15" customHeight="1" x14ac:dyDescent="0.3">
      <c r="A4264" s="23" t="s">
        <v>17515</v>
      </c>
      <c r="B4264" s="23" t="s">
        <v>75</v>
      </c>
      <c r="C4264" s="39">
        <v>1499</v>
      </c>
      <c r="D4264" s="24">
        <v>0</v>
      </c>
      <c r="E4264" s="24">
        <v>0</v>
      </c>
      <c r="F4264" s="23">
        <f>COUNTIFS(mdr_rate_cleaned!$A$2:$A$10,B4264,mdr_rate_cleaned!$B$2:$B$10,"&lt;"&amp;C4264,mdr_rate_cleaned!$F$2:$F$10,"&gt;="&amp;C4264)</f>
        <v>1</v>
      </c>
      <c r="G4264" s="40">
        <f>SUMIFS(mdr_rate_cleaned!$G$2:$G$10,mdr_rate_cleaned!$A$2:$A$10,B4264,mdr_rate_cleaned!$B$2:$B$10,"&lt;"&amp;C4264,mdr_rate_cleaned!$F$2:$F$10,"&gt;="&amp;C4264)</f>
        <v>0</v>
      </c>
      <c r="H4264" s="24">
        <f t="shared" si="330"/>
        <v>0</v>
      </c>
      <c r="I4264" s="23" t="str">
        <f t="shared" si="331"/>
        <v>Match</v>
      </c>
      <c r="J4264" s="23" t="str">
        <f t="shared" si="332"/>
        <v>Match</v>
      </c>
      <c r="K4264" s="24">
        <f t="shared" si="333"/>
        <v>0</v>
      </c>
      <c r="L4264" s="24">
        <f t="shared" si="334"/>
        <v>0</v>
      </c>
    </row>
    <row r="4265" spans="1:12" ht="15" customHeight="1" x14ac:dyDescent="0.3">
      <c r="A4265" s="23" t="s">
        <v>17516</v>
      </c>
      <c r="B4265" s="23" t="s">
        <v>75</v>
      </c>
      <c r="C4265" s="39">
        <v>4798</v>
      </c>
      <c r="D4265" s="24">
        <v>14.39</v>
      </c>
      <c r="E4265" s="24">
        <v>2.59</v>
      </c>
      <c r="F4265" s="23">
        <f>COUNTIFS(mdr_rate_cleaned!$A$2:$A$10,B4265,mdr_rate_cleaned!$B$2:$B$10,"&lt;"&amp;C4265,mdr_rate_cleaned!$F$2:$F$10,"&gt;="&amp;C4265)</f>
        <v>1</v>
      </c>
      <c r="G4265" s="40">
        <f>SUMIFS(mdr_rate_cleaned!$G$2:$G$10,mdr_rate_cleaned!$A$2:$A$10,B4265,mdr_rate_cleaned!$B$2:$B$10,"&lt;"&amp;C4265,mdr_rate_cleaned!$F$2:$F$10,"&gt;="&amp;C4265)</f>
        <v>3.0000000000000001E-3</v>
      </c>
      <c r="H4265" s="24">
        <f t="shared" si="330"/>
        <v>14.39</v>
      </c>
      <c r="I4265" s="23" t="str">
        <f t="shared" si="331"/>
        <v>Match</v>
      </c>
      <c r="J4265" s="23" t="str">
        <f t="shared" si="332"/>
        <v>Match</v>
      </c>
      <c r="K4265" s="24">
        <f t="shared" si="333"/>
        <v>2.59</v>
      </c>
      <c r="L4265" s="24">
        <f t="shared" si="334"/>
        <v>0</v>
      </c>
    </row>
    <row r="4266" spans="1:12" ht="15" customHeight="1" x14ac:dyDescent="0.3">
      <c r="A4266" s="23" t="s">
        <v>17517</v>
      </c>
      <c r="B4266" s="23" t="s">
        <v>75</v>
      </c>
      <c r="C4266" s="39">
        <v>2298</v>
      </c>
      <c r="D4266" s="24">
        <v>6.89</v>
      </c>
      <c r="E4266" s="24">
        <v>1.24</v>
      </c>
      <c r="F4266" s="23">
        <f>COUNTIFS(mdr_rate_cleaned!$A$2:$A$10,B4266,mdr_rate_cleaned!$B$2:$B$10,"&lt;"&amp;C4266,mdr_rate_cleaned!$F$2:$F$10,"&gt;="&amp;C4266)</f>
        <v>1</v>
      </c>
      <c r="G4266" s="40">
        <f>SUMIFS(mdr_rate_cleaned!$G$2:$G$10,mdr_rate_cleaned!$A$2:$A$10,B4266,mdr_rate_cleaned!$B$2:$B$10,"&lt;"&amp;C4266,mdr_rate_cleaned!$F$2:$F$10,"&gt;="&amp;C4266)</f>
        <v>3.0000000000000001E-3</v>
      </c>
      <c r="H4266" s="24">
        <f t="shared" si="330"/>
        <v>6.89</v>
      </c>
      <c r="I4266" s="23" t="str">
        <f t="shared" si="331"/>
        <v>Match</v>
      </c>
      <c r="J4266" s="23" t="str">
        <f t="shared" si="332"/>
        <v>Match</v>
      </c>
      <c r="K4266" s="24">
        <f t="shared" si="333"/>
        <v>1.24</v>
      </c>
      <c r="L4266" s="24">
        <f t="shared" si="334"/>
        <v>0</v>
      </c>
    </row>
    <row r="4267" spans="1:12" ht="15" customHeight="1" x14ac:dyDescent="0.3">
      <c r="A4267" s="23" t="s">
        <v>17518</v>
      </c>
      <c r="B4267" s="23" t="s">
        <v>77</v>
      </c>
      <c r="C4267" s="39">
        <v>7999</v>
      </c>
      <c r="D4267" s="24">
        <v>135.97999999999999</v>
      </c>
      <c r="E4267" s="24">
        <v>24.48</v>
      </c>
      <c r="F4267" s="23">
        <f>COUNTIFS(mdr_rate_cleaned!$A$2:$A$10,B4267,mdr_rate_cleaned!$B$2:$B$10,"&lt;"&amp;C4267,mdr_rate_cleaned!$F$2:$F$10,"&gt;="&amp;C4267)</f>
        <v>1</v>
      </c>
      <c r="G4267" s="40">
        <f>SUMIFS(mdr_rate_cleaned!$G$2:$G$10,mdr_rate_cleaned!$A$2:$A$10,B4267,mdr_rate_cleaned!$B$2:$B$10,"&lt;"&amp;C4267,mdr_rate_cleaned!$F$2:$F$10,"&gt;="&amp;C4267)</f>
        <v>1.7000000000000001E-2</v>
      </c>
      <c r="H4267" s="24">
        <f t="shared" si="330"/>
        <v>135.97999999999999</v>
      </c>
      <c r="I4267" s="23" t="str">
        <f t="shared" si="331"/>
        <v>Match</v>
      </c>
      <c r="J4267" s="23" t="str">
        <f t="shared" si="332"/>
        <v>Match</v>
      </c>
      <c r="K4267" s="24">
        <f t="shared" si="333"/>
        <v>24.48</v>
      </c>
      <c r="L4267" s="24">
        <f t="shared" si="334"/>
        <v>0</v>
      </c>
    </row>
    <row r="4268" spans="1:12" ht="15" customHeight="1" x14ac:dyDescent="0.3">
      <c r="A4268" s="23" t="s">
        <v>17519</v>
      </c>
      <c r="B4268" s="23" t="s">
        <v>79</v>
      </c>
      <c r="C4268" s="39">
        <v>9798</v>
      </c>
      <c r="D4268" s="24">
        <v>156.77000000000001</v>
      </c>
      <c r="E4268" s="24">
        <v>28.22</v>
      </c>
      <c r="F4268" s="23">
        <f>COUNTIFS(mdr_rate_cleaned!$A$2:$A$10,B4268,mdr_rate_cleaned!$B$2:$B$10,"&lt;"&amp;C4268,mdr_rate_cleaned!$F$2:$F$10,"&gt;="&amp;C4268)</f>
        <v>1</v>
      </c>
      <c r="G4268" s="40">
        <f>SUMIFS(mdr_rate_cleaned!$G$2:$G$10,mdr_rate_cleaned!$A$2:$A$10,B4268,mdr_rate_cleaned!$B$2:$B$10,"&lt;"&amp;C4268,mdr_rate_cleaned!$F$2:$F$10,"&gt;="&amp;C4268)</f>
        <v>1.6E-2</v>
      </c>
      <c r="H4268" s="24">
        <f t="shared" si="330"/>
        <v>156.77000000000001</v>
      </c>
      <c r="I4268" s="23" t="str">
        <f t="shared" si="331"/>
        <v>Match</v>
      </c>
      <c r="J4268" s="23" t="str">
        <f t="shared" si="332"/>
        <v>Match</v>
      </c>
      <c r="K4268" s="24">
        <f t="shared" si="333"/>
        <v>28.22</v>
      </c>
      <c r="L4268" s="24">
        <f t="shared" si="334"/>
        <v>0</v>
      </c>
    </row>
    <row r="4269" spans="1:12" ht="15" customHeight="1" x14ac:dyDescent="0.3">
      <c r="A4269" s="23" t="s">
        <v>17520</v>
      </c>
      <c r="B4269" s="23" t="s">
        <v>79</v>
      </c>
      <c r="C4269" s="39">
        <v>648</v>
      </c>
      <c r="D4269" s="24">
        <v>11.66</v>
      </c>
      <c r="E4269" s="24">
        <v>2.1</v>
      </c>
      <c r="F4269" s="23">
        <f>COUNTIFS(mdr_rate_cleaned!$A$2:$A$10,B4269,mdr_rate_cleaned!$B$2:$B$10,"&lt;"&amp;C4269,mdr_rate_cleaned!$F$2:$F$10,"&gt;="&amp;C4269)</f>
        <v>1</v>
      </c>
      <c r="G4269" s="40">
        <f>SUMIFS(mdr_rate_cleaned!$G$2:$G$10,mdr_rate_cleaned!$A$2:$A$10,B4269,mdr_rate_cleaned!$B$2:$B$10,"&lt;"&amp;C4269,mdr_rate_cleaned!$F$2:$F$10,"&gt;="&amp;C4269)</f>
        <v>1.8000000000000002E-2</v>
      </c>
      <c r="H4269" s="24">
        <f t="shared" si="330"/>
        <v>11.66</v>
      </c>
      <c r="I4269" s="23" t="str">
        <f t="shared" si="331"/>
        <v>Match</v>
      </c>
      <c r="J4269" s="23" t="str">
        <f t="shared" si="332"/>
        <v>Match</v>
      </c>
      <c r="K4269" s="24">
        <f t="shared" si="333"/>
        <v>2.1</v>
      </c>
      <c r="L4269" s="24">
        <f t="shared" si="334"/>
        <v>0</v>
      </c>
    </row>
    <row r="4270" spans="1:12" ht="15" customHeight="1" x14ac:dyDescent="0.3">
      <c r="A4270" s="23" t="s">
        <v>17521</v>
      </c>
      <c r="B4270" s="23" t="s">
        <v>77</v>
      </c>
      <c r="C4270" s="39">
        <v>2499</v>
      </c>
      <c r="D4270" s="24">
        <v>42.48</v>
      </c>
      <c r="E4270" s="24">
        <v>7.65</v>
      </c>
      <c r="F4270" s="23">
        <f>COUNTIFS(mdr_rate_cleaned!$A$2:$A$10,B4270,mdr_rate_cleaned!$B$2:$B$10,"&lt;"&amp;C4270,mdr_rate_cleaned!$F$2:$F$10,"&gt;="&amp;C4270)</f>
        <v>1</v>
      </c>
      <c r="G4270" s="40">
        <f>SUMIFS(mdr_rate_cleaned!$G$2:$G$10,mdr_rate_cleaned!$A$2:$A$10,B4270,mdr_rate_cleaned!$B$2:$B$10,"&lt;"&amp;C4270,mdr_rate_cleaned!$F$2:$F$10,"&gt;="&amp;C4270)</f>
        <v>1.7000000000000001E-2</v>
      </c>
      <c r="H4270" s="24">
        <f t="shared" si="330"/>
        <v>42.48</v>
      </c>
      <c r="I4270" s="23" t="str">
        <f t="shared" si="331"/>
        <v>Match</v>
      </c>
      <c r="J4270" s="23" t="str">
        <f t="shared" si="332"/>
        <v>Match</v>
      </c>
      <c r="K4270" s="24">
        <f t="shared" si="333"/>
        <v>7.65</v>
      </c>
      <c r="L4270" s="24">
        <f t="shared" si="334"/>
        <v>0</v>
      </c>
    </row>
    <row r="4271" spans="1:12" ht="15" customHeight="1" x14ac:dyDescent="0.3">
      <c r="A4271" s="23" t="s">
        <v>17522</v>
      </c>
      <c r="B4271" s="23" t="s">
        <v>79</v>
      </c>
      <c r="C4271" s="39">
        <v>4298</v>
      </c>
      <c r="D4271" s="24">
        <v>68.77</v>
      </c>
      <c r="E4271" s="24">
        <v>12.38</v>
      </c>
      <c r="F4271" s="23">
        <f>COUNTIFS(mdr_rate_cleaned!$A$2:$A$10,B4271,mdr_rate_cleaned!$B$2:$B$10,"&lt;"&amp;C4271,mdr_rate_cleaned!$F$2:$F$10,"&gt;="&amp;C4271)</f>
        <v>1</v>
      </c>
      <c r="G4271" s="40">
        <f>SUMIFS(mdr_rate_cleaned!$G$2:$G$10,mdr_rate_cleaned!$A$2:$A$10,B4271,mdr_rate_cleaned!$B$2:$B$10,"&lt;"&amp;C4271,mdr_rate_cleaned!$F$2:$F$10,"&gt;="&amp;C4271)</f>
        <v>1.6E-2</v>
      </c>
      <c r="H4271" s="24">
        <f t="shared" si="330"/>
        <v>68.77</v>
      </c>
      <c r="I4271" s="23" t="str">
        <f t="shared" si="331"/>
        <v>Match</v>
      </c>
      <c r="J4271" s="23" t="str">
        <f t="shared" si="332"/>
        <v>Match</v>
      </c>
      <c r="K4271" s="24">
        <f t="shared" si="333"/>
        <v>12.38</v>
      </c>
      <c r="L4271" s="24">
        <f t="shared" si="334"/>
        <v>0</v>
      </c>
    </row>
    <row r="4272" spans="1:12" ht="15" customHeight="1" x14ac:dyDescent="0.3">
      <c r="A4272" s="23" t="s">
        <v>17523</v>
      </c>
      <c r="B4272" s="23" t="s">
        <v>75</v>
      </c>
      <c r="C4272" s="39">
        <v>6298</v>
      </c>
      <c r="D4272" s="24">
        <v>18.89</v>
      </c>
      <c r="E4272" s="24">
        <v>3.4</v>
      </c>
      <c r="F4272" s="23">
        <f>COUNTIFS(mdr_rate_cleaned!$A$2:$A$10,B4272,mdr_rate_cleaned!$B$2:$B$10,"&lt;"&amp;C4272,mdr_rate_cleaned!$F$2:$F$10,"&gt;="&amp;C4272)</f>
        <v>1</v>
      </c>
      <c r="G4272" s="40">
        <f>SUMIFS(mdr_rate_cleaned!$G$2:$G$10,mdr_rate_cleaned!$A$2:$A$10,B4272,mdr_rate_cleaned!$B$2:$B$10,"&lt;"&amp;C4272,mdr_rate_cleaned!$F$2:$F$10,"&gt;="&amp;C4272)</f>
        <v>3.0000000000000001E-3</v>
      </c>
      <c r="H4272" s="24">
        <f t="shared" si="330"/>
        <v>18.89</v>
      </c>
      <c r="I4272" s="23" t="str">
        <f t="shared" si="331"/>
        <v>Match</v>
      </c>
      <c r="J4272" s="23" t="str">
        <f t="shared" si="332"/>
        <v>Match</v>
      </c>
      <c r="K4272" s="24">
        <f t="shared" si="333"/>
        <v>3.4</v>
      </c>
      <c r="L4272" s="24">
        <f t="shared" si="334"/>
        <v>0</v>
      </c>
    </row>
    <row r="4273" spans="1:12" ht="15" customHeight="1" x14ac:dyDescent="0.3">
      <c r="A4273" s="23" t="s">
        <v>17524</v>
      </c>
      <c r="B4273" s="23" t="s">
        <v>77</v>
      </c>
      <c r="C4273" s="39">
        <v>349</v>
      </c>
      <c r="D4273" s="24">
        <v>6.63</v>
      </c>
      <c r="E4273" s="24">
        <v>1.19</v>
      </c>
      <c r="F4273" s="23">
        <f>COUNTIFS(mdr_rate_cleaned!$A$2:$A$10,B4273,mdr_rate_cleaned!$B$2:$B$10,"&lt;"&amp;C4273,mdr_rate_cleaned!$F$2:$F$10,"&gt;="&amp;C4273)</f>
        <v>1</v>
      </c>
      <c r="G4273" s="40">
        <f>SUMIFS(mdr_rate_cleaned!$G$2:$G$10,mdr_rate_cleaned!$A$2:$A$10,B4273,mdr_rate_cleaned!$B$2:$B$10,"&lt;"&amp;C4273,mdr_rate_cleaned!$F$2:$F$10,"&gt;="&amp;C4273)</f>
        <v>1.9E-2</v>
      </c>
      <c r="H4273" s="24">
        <f t="shared" si="330"/>
        <v>6.63</v>
      </c>
      <c r="I4273" s="23" t="str">
        <f t="shared" si="331"/>
        <v>Match</v>
      </c>
      <c r="J4273" s="23" t="str">
        <f t="shared" si="332"/>
        <v>Match</v>
      </c>
      <c r="K4273" s="24">
        <f t="shared" si="333"/>
        <v>1.19</v>
      </c>
      <c r="L4273" s="24">
        <f t="shared" si="334"/>
        <v>0</v>
      </c>
    </row>
    <row r="4274" spans="1:12" ht="15" customHeight="1" x14ac:dyDescent="0.3">
      <c r="A4274" s="23" t="s">
        <v>17525</v>
      </c>
      <c r="B4274" s="23" t="s">
        <v>75</v>
      </c>
      <c r="C4274" s="39">
        <v>1499</v>
      </c>
      <c r="D4274" s="24">
        <v>0</v>
      </c>
      <c r="E4274" s="24">
        <v>0</v>
      </c>
      <c r="F4274" s="23">
        <f>COUNTIFS(mdr_rate_cleaned!$A$2:$A$10,B4274,mdr_rate_cleaned!$B$2:$B$10,"&lt;"&amp;C4274,mdr_rate_cleaned!$F$2:$F$10,"&gt;="&amp;C4274)</f>
        <v>1</v>
      </c>
      <c r="G4274" s="40">
        <f>SUMIFS(mdr_rate_cleaned!$G$2:$G$10,mdr_rate_cleaned!$A$2:$A$10,B4274,mdr_rate_cleaned!$B$2:$B$10,"&lt;"&amp;C4274,mdr_rate_cleaned!$F$2:$F$10,"&gt;="&amp;C4274)</f>
        <v>0</v>
      </c>
      <c r="H4274" s="24">
        <f t="shared" si="330"/>
        <v>0</v>
      </c>
      <c r="I4274" s="23" t="str">
        <f t="shared" si="331"/>
        <v>Match</v>
      </c>
      <c r="J4274" s="23" t="str">
        <f t="shared" si="332"/>
        <v>Match</v>
      </c>
      <c r="K4274" s="24">
        <f t="shared" si="333"/>
        <v>0</v>
      </c>
      <c r="L4274" s="24">
        <f t="shared" si="334"/>
        <v>0</v>
      </c>
    </row>
    <row r="4275" spans="1:12" ht="15" customHeight="1" x14ac:dyDescent="0.3">
      <c r="A4275" s="23" t="s">
        <v>17526</v>
      </c>
      <c r="B4275" s="23" t="s">
        <v>75</v>
      </c>
      <c r="C4275" s="39">
        <v>2398</v>
      </c>
      <c r="D4275" s="24">
        <v>7.19</v>
      </c>
      <c r="E4275" s="24">
        <v>1.29</v>
      </c>
      <c r="F4275" s="23">
        <f>COUNTIFS(mdr_rate_cleaned!$A$2:$A$10,B4275,mdr_rate_cleaned!$B$2:$B$10,"&lt;"&amp;C4275,mdr_rate_cleaned!$F$2:$F$10,"&gt;="&amp;C4275)</f>
        <v>1</v>
      </c>
      <c r="G4275" s="40">
        <f>SUMIFS(mdr_rate_cleaned!$G$2:$G$10,mdr_rate_cleaned!$A$2:$A$10,B4275,mdr_rate_cleaned!$B$2:$B$10,"&lt;"&amp;C4275,mdr_rate_cleaned!$F$2:$F$10,"&gt;="&amp;C4275)</f>
        <v>3.0000000000000001E-3</v>
      </c>
      <c r="H4275" s="24">
        <f t="shared" si="330"/>
        <v>7.19</v>
      </c>
      <c r="I4275" s="23" t="str">
        <f t="shared" si="331"/>
        <v>Match</v>
      </c>
      <c r="J4275" s="23" t="str">
        <f t="shared" si="332"/>
        <v>Match</v>
      </c>
      <c r="K4275" s="24">
        <f t="shared" si="333"/>
        <v>1.29</v>
      </c>
      <c r="L4275" s="24">
        <f t="shared" si="334"/>
        <v>0</v>
      </c>
    </row>
    <row r="4276" spans="1:12" ht="15" customHeight="1" x14ac:dyDescent="0.3">
      <c r="A4276" s="23" t="s">
        <v>17527</v>
      </c>
      <c r="B4276" s="23" t="s">
        <v>75</v>
      </c>
      <c r="C4276" s="39">
        <v>1647</v>
      </c>
      <c r="D4276" s="24">
        <v>0</v>
      </c>
      <c r="E4276" s="24">
        <v>0</v>
      </c>
      <c r="F4276" s="23">
        <f>COUNTIFS(mdr_rate_cleaned!$A$2:$A$10,B4276,mdr_rate_cleaned!$B$2:$B$10,"&lt;"&amp;C4276,mdr_rate_cleaned!$F$2:$F$10,"&gt;="&amp;C4276)</f>
        <v>1</v>
      </c>
      <c r="G4276" s="40">
        <f>SUMIFS(mdr_rate_cleaned!$G$2:$G$10,mdr_rate_cleaned!$A$2:$A$10,B4276,mdr_rate_cleaned!$B$2:$B$10,"&lt;"&amp;C4276,mdr_rate_cleaned!$F$2:$F$10,"&gt;="&amp;C4276)</f>
        <v>0</v>
      </c>
      <c r="H4276" s="24">
        <f t="shared" si="330"/>
        <v>0</v>
      </c>
      <c r="I4276" s="23" t="str">
        <f t="shared" si="331"/>
        <v>Match</v>
      </c>
      <c r="J4276" s="23" t="str">
        <f t="shared" si="332"/>
        <v>Match</v>
      </c>
      <c r="K4276" s="24">
        <f t="shared" si="333"/>
        <v>0</v>
      </c>
      <c r="L4276" s="24">
        <f t="shared" si="334"/>
        <v>0</v>
      </c>
    </row>
    <row r="4277" spans="1:12" ht="15" customHeight="1" x14ac:dyDescent="0.3">
      <c r="A4277" s="23" t="s">
        <v>17528</v>
      </c>
      <c r="B4277" s="23" t="s">
        <v>75</v>
      </c>
      <c r="C4277" s="39">
        <v>299</v>
      </c>
      <c r="D4277" s="24">
        <v>0</v>
      </c>
      <c r="E4277" s="24">
        <v>0</v>
      </c>
      <c r="F4277" s="23">
        <f>COUNTIFS(mdr_rate_cleaned!$A$2:$A$10,B4277,mdr_rate_cleaned!$B$2:$B$10,"&lt;"&amp;C4277,mdr_rate_cleaned!$F$2:$F$10,"&gt;="&amp;C4277)</f>
        <v>1</v>
      </c>
      <c r="G4277" s="40">
        <f>SUMIFS(mdr_rate_cleaned!$G$2:$G$10,mdr_rate_cleaned!$A$2:$A$10,B4277,mdr_rate_cleaned!$B$2:$B$10,"&lt;"&amp;C4277,mdr_rate_cleaned!$F$2:$F$10,"&gt;="&amp;C4277)</f>
        <v>0</v>
      </c>
      <c r="H4277" s="24">
        <f t="shared" si="330"/>
        <v>0</v>
      </c>
      <c r="I4277" s="23" t="str">
        <f t="shared" si="331"/>
        <v>Match</v>
      </c>
      <c r="J4277" s="23" t="str">
        <f t="shared" si="332"/>
        <v>Match</v>
      </c>
      <c r="K4277" s="24">
        <f t="shared" si="333"/>
        <v>0</v>
      </c>
      <c r="L4277" s="24">
        <f t="shared" si="334"/>
        <v>0</v>
      </c>
    </row>
    <row r="4278" spans="1:12" ht="15" customHeight="1" x14ac:dyDescent="0.3">
      <c r="A4278" s="23" t="s">
        <v>17529</v>
      </c>
      <c r="B4278" s="23" t="s">
        <v>75</v>
      </c>
      <c r="C4278" s="39">
        <v>349</v>
      </c>
      <c r="D4278" s="24">
        <v>0</v>
      </c>
      <c r="E4278" s="24">
        <v>0</v>
      </c>
      <c r="F4278" s="23">
        <f>COUNTIFS(mdr_rate_cleaned!$A$2:$A$10,B4278,mdr_rate_cleaned!$B$2:$B$10,"&lt;"&amp;C4278,mdr_rate_cleaned!$F$2:$F$10,"&gt;="&amp;C4278)</f>
        <v>1</v>
      </c>
      <c r="G4278" s="40">
        <f>SUMIFS(mdr_rate_cleaned!$G$2:$G$10,mdr_rate_cleaned!$A$2:$A$10,B4278,mdr_rate_cleaned!$B$2:$B$10,"&lt;"&amp;C4278,mdr_rate_cleaned!$F$2:$F$10,"&gt;="&amp;C4278)</f>
        <v>0</v>
      </c>
      <c r="H4278" s="24">
        <f t="shared" si="330"/>
        <v>0</v>
      </c>
      <c r="I4278" s="23" t="str">
        <f t="shared" si="331"/>
        <v>Match</v>
      </c>
      <c r="J4278" s="23" t="str">
        <f t="shared" si="332"/>
        <v>Match</v>
      </c>
      <c r="K4278" s="24">
        <f t="shared" si="333"/>
        <v>0</v>
      </c>
      <c r="L4278" s="24">
        <f t="shared" si="334"/>
        <v>0</v>
      </c>
    </row>
    <row r="4279" spans="1:12" ht="15" customHeight="1" x14ac:dyDescent="0.3">
      <c r="A4279" s="23" t="s">
        <v>17530</v>
      </c>
      <c r="B4279" s="23" t="s">
        <v>75</v>
      </c>
      <c r="C4279" s="39">
        <v>11498</v>
      </c>
      <c r="D4279" s="24">
        <v>34.49</v>
      </c>
      <c r="E4279" s="24">
        <v>6.21</v>
      </c>
      <c r="F4279" s="23">
        <f>COUNTIFS(mdr_rate_cleaned!$A$2:$A$10,B4279,mdr_rate_cleaned!$B$2:$B$10,"&lt;"&amp;C4279,mdr_rate_cleaned!$F$2:$F$10,"&gt;="&amp;C4279)</f>
        <v>1</v>
      </c>
      <c r="G4279" s="40">
        <f>SUMIFS(mdr_rate_cleaned!$G$2:$G$10,mdr_rate_cleaned!$A$2:$A$10,B4279,mdr_rate_cleaned!$B$2:$B$10,"&lt;"&amp;C4279,mdr_rate_cleaned!$F$2:$F$10,"&gt;="&amp;C4279)</f>
        <v>3.0000000000000001E-3</v>
      </c>
      <c r="H4279" s="24">
        <f t="shared" si="330"/>
        <v>34.49</v>
      </c>
      <c r="I4279" s="23" t="str">
        <f t="shared" si="331"/>
        <v>Match</v>
      </c>
      <c r="J4279" s="23" t="str">
        <f t="shared" si="332"/>
        <v>Match</v>
      </c>
      <c r="K4279" s="24">
        <f t="shared" si="333"/>
        <v>6.21</v>
      </c>
      <c r="L4279" s="24">
        <f t="shared" si="334"/>
        <v>0</v>
      </c>
    </row>
    <row r="4280" spans="1:12" ht="15" customHeight="1" x14ac:dyDescent="0.3">
      <c r="A4280" s="23" t="s">
        <v>17532</v>
      </c>
      <c r="B4280" s="23" t="s">
        <v>79</v>
      </c>
      <c r="C4280" s="39">
        <v>2998</v>
      </c>
      <c r="D4280" s="24">
        <v>47.97</v>
      </c>
      <c r="E4280" s="24">
        <v>8.6300000000000008</v>
      </c>
      <c r="F4280" s="23">
        <f>COUNTIFS(mdr_rate_cleaned!$A$2:$A$10,B4280,mdr_rate_cleaned!$B$2:$B$10,"&lt;"&amp;C4280,mdr_rate_cleaned!$F$2:$F$10,"&gt;="&amp;C4280)</f>
        <v>1</v>
      </c>
      <c r="G4280" s="40">
        <f>SUMIFS(mdr_rate_cleaned!$G$2:$G$10,mdr_rate_cleaned!$A$2:$A$10,B4280,mdr_rate_cleaned!$B$2:$B$10,"&lt;"&amp;C4280,mdr_rate_cleaned!$F$2:$F$10,"&gt;="&amp;C4280)</f>
        <v>1.6E-2</v>
      </c>
      <c r="H4280" s="24">
        <f t="shared" si="330"/>
        <v>47.97</v>
      </c>
      <c r="I4280" s="23" t="str">
        <f t="shared" si="331"/>
        <v>Match</v>
      </c>
      <c r="J4280" s="23" t="str">
        <f t="shared" si="332"/>
        <v>Match</v>
      </c>
      <c r="K4280" s="24">
        <f t="shared" si="333"/>
        <v>8.6300000000000008</v>
      </c>
      <c r="L4280" s="24">
        <f t="shared" si="334"/>
        <v>0</v>
      </c>
    </row>
    <row r="4281" spans="1:12" ht="15" customHeight="1" x14ac:dyDescent="0.3">
      <c r="A4281" s="23" t="s">
        <v>17533</v>
      </c>
      <c r="B4281" s="23" t="s">
        <v>79</v>
      </c>
      <c r="C4281" s="39">
        <v>3498</v>
      </c>
      <c r="D4281" s="24">
        <v>55.97</v>
      </c>
      <c r="E4281" s="24">
        <v>10.07</v>
      </c>
      <c r="F4281" s="23">
        <f>COUNTIFS(mdr_rate_cleaned!$A$2:$A$10,B4281,mdr_rate_cleaned!$B$2:$B$10,"&lt;"&amp;C4281,mdr_rate_cleaned!$F$2:$F$10,"&gt;="&amp;C4281)</f>
        <v>1</v>
      </c>
      <c r="G4281" s="40">
        <f>SUMIFS(mdr_rate_cleaned!$G$2:$G$10,mdr_rate_cleaned!$A$2:$A$10,B4281,mdr_rate_cleaned!$B$2:$B$10,"&lt;"&amp;C4281,mdr_rate_cleaned!$F$2:$F$10,"&gt;="&amp;C4281)</f>
        <v>1.6E-2</v>
      </c>
      <c r="H4281" s="24">
        <f t="shared" si="330"/>
        <v>55.97</v>
      </c>
      <c r="I4281" s="23" t="str">
        <f t="shared" si="331"/>
        <v>Match</v>
      </c>
      <c r="J4281" s="23" t="str">
        <f t="shared" si="332"/>
        <v>Match</v>
      </c>
      <c r="K4281" s="24">
        <f t="shared" si="333"/>
        <v>10.07</v>
      </c>
      <c r="L4281" s="24">
        <f t="shared" si="334"/>
        <v>0</v>
      </c>
    </row>
    <row r="4282" spans="1:12" ht="15" customHeight="1" x14ac:dyDescent="0.3">
      <c r="A4282" s="23" t="s">
        <v>17534</v>
      </c>
      <c r="B4282" s="23" t="s">
        <v>75</v>
      </c>
      <c r="C4282" s="39">
        <v>3997</v>
      </c>
      <c r="D4282" s="24">
        <v>11.99</v>
      </c>
      <c r="E4282" s="24">
        <v>2.16</v>
      </c>
      <c r="F4282" s="23">
        <f>COUNTIFS(mdr_rate_cleaned!$A$2:$A$10,B4282,mdr_rate_cleaned!$B$2:$B$10,"&lt;"&amp;C4282,mdr_rate_cleaned!$F$2:$F$10,"&gt;="&amp;C4282)</f>
        <v>1</v>
      </c>
      <c r="G4282" s="40">
        <f>SUMIFS(mdr_rate_cleaned!$G$2:$G$10,mdr_rate_cleaned!$A$2:$A$10,B4282,mdr_rate_cleaned!$B$2:$B$10,"&lt;"&amp;C4282,mdr_rate_cleaned!$F$2:$F$10,"&gt;="&amp;C4282)</f>
        <v>3.0000000000000001E-3</v>
      </c>
      <c r="H4282" s="24">
        <f t="shared" si="330"/>
        <v>11.99</v>
      </c>
      <c r="I4282" s="23" t="str">
        <f t="shared" si="331"/>
        <v>Match</v>
      </c>
      <c r="J4282" s="23" t="str">
        <f t="shared" si="332"/>
        <v>Match</v>
      </c>
      <c r="K4282" s="24">
        <f t="shared" si="333"/>
        <v>2.16</v>
      </c>
      <c r="L4282" s="24">
        <f t="shared" si="334"/>
        <v>0</v>
      </c>
    </row>
    <row r="4283" spans="1:12" ht="15" customHeight="1" x14ac:dyDescent="0.3">
      <c r="A4283" s="23" t="s">
        <v>17535</v>
      </c>
      <c r="B4283" s="23" t="s">
        <v>75</v>
      </c>
      <c r="C4283" s="39">
        <v>6998</v>
      </c>
      <c r="D4283" s="24">
        <v>20.99</v>
      </c>
      <c r="E4283" s="24">
        <v>3.78</v>
      </c>
      <c r="F4283" s="23">
        <f>COUNTIFS(mdr_rate_cleaned!$A$2:$A$10,B4283,mdr_rate_cleaned!$B$2:$B$10,"&lt;"&amp;C4283,mdr_rate_cleaned!$F$2:$F$10,"&gt;="&amp;C4283)</f>
        <v>1</v>
      </c>
      <c r="G4283" s="40">
        <f>SUMIFS(mdr_rate_cleaned!$G$2:$G$10,mdr_rate_cleaned!$A$2:$A$10,B4283,mdr_rate_cleaned!$B$2:$B$10,"&lt;"&amp;C4283,mdr_rate_cleaned!$F$2:$F$10,"&gt;="&amp;C4283)</f>
        <v>3.0000000000000001E-3</v>
      </c>
      <c r="H4283" s="24">
        <f t="shared" si="330"/>
        <v>20.99</v>
      </c>
      <c r="I4283" s="23" t="str">
        <f t="shared" si="331"/>
        <v>Match</v>
      </c>
      <c r="J4283" s="23" t="str">
        <f t="shared" si="332"/>
        <v>Match</v>
      </c>
      <c r="K4283" s="24">
        <f t="shared" si="333"/>
        <v>3.78</v>
      </c>
      <c r="L4283" s="24">
        <f t="shared" si="334"/>
        <v>0</v>
      </c>
    </row>
    <row r="4284" spans="1:12" ht="15" customHeight="1" x14ac:dyDescent="0.3">
      <c r="A4284" s="23" t="s">
        <v>17536</v>
      </c>
      <c r="B4284" s="23" t="s">
        <v>75</v>
      </c>
      <c r="C4284" s="39">
        <v>1499</v>
      </c>
      <c r="D4284" s="24">
        <v>0</v>
      </c>
      <c r="E4284" s="24">
        <v>0</v>
      </c>
      <c r="F4284" s="23">
        <f>COUNTIFS(mdr_rate_cleaned!$A$2:$A$10,B4284,mdr_rate_cleaned!$B$2:$B$10,"&lt;"&amp;C4284,mdr_rate_cleaned!$F$2:$F$10,"&gt;="&amp;C4284)</f>
        <v>1</v>
      </c>
      <c r="G4284" s="40">
        <f>SUMIFS(mdr_rate_cleaned!$G$2:$G$10,mdr_rate_cleaned!$A$2:$A$10,B4284,mdr_rate_cleaned!$B$2:$B$10,"&lt;"&amp;C4284,mdr_rate_cleaned!$F$2:$F$10,"&gt;="&amp;C4284)</f>
        <v>0</v>
      </c>
      <c r="H4284" s="24">
        <f t="shared" si="330"/>
        <v>0</v>
      </c>
      <c r="I4284" s="23" t="str">
        <f t="shared" si="331"/>
        <v>Match</v>
      </c>
      <c r="J4284" s="23" t="str">
        <f t="shared" si="332"/>
        <v>Match</v>
      </c>
      <c r="K4284" s="24">
        <f t="shared" si="333"/>
        <v>0</v>
      </c>
      <c r="L4284" s="24">
        <f t="shared" si="334"/>
        <v>0</v>
      </c>
    </row>
    <row r="4285" spans="1:12" ht="15" customHeight="1" x14ac:dyDescent="0.3">
      <c r="A4285" s="23" t="s">
        <v>17537</v>
      </c>
      <c r="B4285" s="23" t="s">
        <v>77</v>
      </c>
      <c r="C4285" s="39">
        <v>12797</v>
      </c>
      <c r="D4285" s="24">
        <v>217.55</v>
      </c>
      <c r="E4285" s="24">
        <v>39.159999999999997</v>
      </c>
      <c r="F4285" s="23">
        <f>COUNTIFS(mdr_rate_cleaned!$A$2:$A$10,B4285,mdr_rate_cleaned!$B$2:$B$10,"&lt;"&amp;C4285,mdr_rate_cleaned!$F$2:$F$10,"&gt;="&amp;C4285)</f>
        <v>1</v>
      </c>
      <c r="G4285" s="40">
        <f>SUMIFS(mdr_rate_cleaned!$G$2:$G$10,mdr_rate_cleaned!$A$2:$A$10,B4285,mdr_rate_cleaned!$B$2:$B$10,"&lt;"&amp;C4285,mdr_rate_cleaned!$F$2:$F$10,"&gt;="&amp;C4285)</f>
        <v>1.7000000000000001E-2</v>
      </c>
      <c r="H4285" s="24">
        <f t="shared" si="330"/>
        <v>217.55</v>
      </c>
      <c r="I4285" s="23" t="str">
        <f t="shared" si="331"/>
        <v>Match</v>
      </c>
      <c r="J4285" s="23" t="str">
        <f t="shared" si="332"/>
        <v>Match</v>
      </c>
      <c r="K4285" s="24">
        <f t="shared" si="333"/>
        <v>39.159999999999997</v>
      </c>
      <c r="L4285" s="24">
        <f t="shared" si="334"/>
        <v>0</v>
      </c>
    </row>
    <row r="4286" spans="1:12" ht="15" customHeight="1" x14ac:dyDescent="0.3">
      <c r="A4286" s="23" t="s">
        <v>17538</v>
      </c>
      <c r="B4286" s="23" t="s">
        <v>75</v>
      </c>
      <c r="C4286" s="39">
        <v>1499</v>
      </c>
      <c r="D4286" s="24">
        <v>0</v>
      </c>
      <c r="E4286" s="24">
        <v>0</v>
      </c>
      <c r="F4286" s="23">
        <f>COUNTIFS(mdr_rate_cleaned!$A$2:$A$10,B4286,mdr_rate_cleaned!$B$2:$B$10,"&lt;"&amp;C4286,mdr_rate_cleaned!$F$2:$F$10,"&gt;="&amp;C4286)</f>
        <v>1</v>
      </c>
      <c r="G4286" s="40">
        <f>SUMIFS(mdr_rate_cleaned!$G$2:$G$10,mdr_rate_cleaned!$A$2:$A$10,B4286,mdr_rate_cleaned!$B$2:$B$10,"&lt;"&amp;C4286,mdr_rate_cleaned!$F$2:$F$10,"&gt;="&amp;C4286)</f>
        <v>0</v>
      </c>
      <c r="H4286" s="24">
        <f t="shared" si="330"/>
        <v>0</v>
      </c>
      <c r="I4286" s="23" t="str">
        <f t="shared" si="331"/>
        <v>Match</v>
      </c>
      <c r="J4286" s="23" t="str">
        <f t="shared" si="332"/>
        <v>Match</v>
      </c>
      <c r="K4286" s="24">
        <f t="shared" si="333"/>
        <v>0</v>
      </c>
      <c r="L4286" s="24">
        <f t="shared" si="334"/>
        <v>0</v>
      </c>
    </row>
    <row r="4287" spans="1:12" ht="15" customHeight="1" x14ac:dyDescent="0.3">
      <c r="A4287" s="23" t="s">
        <v>17540</v>
      </c>
      <c r="B4287" s="23" t="s">
        <v>75</v>
      </c>
      <c r="C4287" s="39">
        <v>2798</v>
      </c>
      <c r="D4287" s="24">
        <v>8.39</v>
      </c>
      <c r="E4287" s="24">
        <v>1.51</v>
      </c>
      <c r="F4287" s="23">
        <f>COUNTIFS(mdr_rate_cleaned!$A$2:$A$10,B4287,mdr_rate_cleaned!$B$2:$B$10,"&lt;"&amp;C4287,mdr_rate_cleaned!$F$2:$F$10,"&gt;="&amp;C4287)</f>
        <v>1</v>
      </c>
      <c r="G4287" s="40">
        <f>SUMIFS(mdr_rate_cleaned!$G$2:$G$10,mdr_rate_cleaned!$A$2:$A$10,B4287,mdr_rate_cleaned!$B$2:$B$10,"&lt;"&amp;C4287,mdr_rate_cleaned!$F$2:$F$10,"&gt;="&amp;C4287)</f>
        <v>3.0000000000000001E-3</v>
      </c>
      <c r="H4287" s="24">
        <f t="shared" si="330"/>
        <v>8.39</v>
      </c>
      <c r="I4287" s="23" t="str">
        <f t="shared" si="331"/>
        <v>Match</v>
      </c>
      <c r="J4287" s="23" t="str">
        <f t="shared" si="332"/>
        <v>Match</v>
      </c>
      <c r="K4287" s="24">
        <f t="shared" si="333"/>
        <v>1.51</v>
      </c>
      <c r="L4287" s="24">
        <f t="shared" si="334"/>
        <v>0</v>
      </c>
    </row>
    <row r="4288" spans="1:12" ht="15" customHeight="1" x14ac:dyDescent="0.3">
      <c r="A4288" s="23" t="s">
        <v>17541</v>
      </c>
      <c r="B4288" s="23" t="s">
        <v>75</v>
      </c>
      <c r="C4288" s="39">
        <v>7498</v>
      </c>
      <c r="D4288" s="24">
        <v>22.49</v>
      </c>
      <c r="E4288" s="24">
        <v>4.05</v>
      </c>
      <c r="F4288" s="23">
        <f>COUNTIFS(mdr_rate_cleaned!$A$2:$A$10,B4288,mdr_rate_cleaned!$B$2:$B$10,"&lt;"&amp;C4288,mdr_rate_cleaned!$F$2:$F$10,"&gt;="&amp;C4288)</f>
        <v>1</v>
      </c>
      <c r="G4288" s="40">
        <f>SUMIFS(mdr_rate_cleaned!$G$2:$G$10,mdr_rate_cleaned!$A$2:$A$10,B4288,mdr_rate_cleaned!$B$2:$B$10,"&lt;"&amp;C4288,mdr_rate_cleaned!$F$2:$F$10,"&gt;="&amp;C4288)</f>
        <v>3.0000000000000001E-3</v>
      </c>
      <c r="H4288" s="24">
        <f t="shared" si="330"/>
        <v>22.49</v>
      </c>
      <c r="I4288" s="23" t="str">
        <f t="shared" si="331"/>
        <v>Match</v>
      </c>
      <c r="J4288" s="23" t="str">
        <f t="shared" si="332"/>
        <v>Match</v>
      </c>
      <c r="K4288" s="24">
        <f t="shared" si="333"/>
        <v>4.05</v>
      </c>
      <c r="L4288" s="24">
        <f t="shared" si="334"/>
        <v>0</v>
      </c>
    </row>
    <row r="4289" spans="1:12" ht="15" customHeight="1" x14ac:dyDescent="0.3">
      <c r="A4289" s="23" t="s">
        <v>17543</v>
      </c>
      <c r="B4289" s="23" t="s">
        <v>75</v>
      </c>
      <c r="C4289" s="39">
        <v>349</v>
      </c>
      <c r="D4289" s="24">
        <v>0</v>
      </c>
      <c r="E4289" s="24">
        <v>0</v>
      </c>
      <c r="F4289" s="23">
        <f>COUNTIFS(mdr_rate_cleaned!$A$2:$A$10,B4289,mdr_rate_cleaned!$B$2:$B$10,"&lt;"&amp;C4289,mdr_rate_cleaned!$F$2:$F$10,"&gt;="&amp;C4289)</f>
        <v>1</v>
      </c>
      <c r="G4289" s="40">
        <f>SUMIFS(mdr_rate_cleaned!$G$2:$G$10,mdr_rate_cleaned!$A$2:$A$10,B4289,mdr_rate_cleaned!$B$2:$B$10,"&lt;"&amp;C4289,mdr_rate_cleaned!$F$2:$F$10,"&gt;="&amp;C4289)</f>
        <v>0</v>
      </c>
      <c r="H4289" s="24">
        <f t="shared" si="330"/>
        <v>0</v>
      </c>
      <c r="I4289" s="23" t="str">
        <f t="shared" si="331"/>
        <v>Match</v>
      </c>
      <c r="J4289" s="23" t="str">
        <f t="shared" si="332"/>
        <v>Match</v>
      </c>
      <c r="K4289" s="24">
        <f t="shared" si="333"/>
        <v>0</v>
      </c>
      <c r="L4289" s="24">
        <f t="shared" si="334"/>
        <v>0</v>
      </c>
    </row>
    <row r="4290" spans="1:12" ht="15" customHeight="1" x14ac:dyDescent="0.3">
      <c r="A4290" s="23" t="s">
        <v>17544</v>
      </c>
      <c r="B4290" s="23" t="s">
        <v>75</v>
      </c>
      <c r="C4290" s="39">
        <v>799</v>
      </c>
      <c r="D4290" s="24">
        <v>0</v>
      </c>
      <c r="E4290" s="24">
        <v>0</v>
      </c>
      <c r="F4290" s="23">
        <f>COUNTIFS(mdr_rate_cleaned!$A$2:$A$10,B4290,mdr_rate_cleaned!$B$2:$B$10,"&lt;"&amp;C4290,mdr_rate_cleaned!$F$2:$F$10,"&gt;="&amp;C4290)</f>
        <v>1</v>
      </c>
      <c r="G4290" s="40">
        <f>SUMIFS(mdr_rate_cleaned!$G$2:$G$10,mdr_rate_cleaned!$A$2:$A$10,B4290,mdr_rate_cleaned!$B$2:$B$10,"&lt;"&amp;C4290,mdr_rate_cleaned!$F$2:$F$10,"&gt;="&amp;C4290)</f>
        <v>0</v>
      </c>
      <c r="H4290" s="24">
        <f t="shared" ref="H4290:H4353" si="335">ROUND(C4290*G4290,2)</f>
        <v>0</v>
      </c>
      <c r="I4290" s="23" t="str">
        <f t="shared" ref="I4290:I4353" si="336">IF(ROUND(D4290-H4290,2)=0,"Match","Differs")</f>
        <v>Match</v>
      </c>
      <c r="J4290" s="23" t="str">
        <f t="shared" ref="J4290:J4353" si="337">IF(ROUND(E4290-ROUND(D4290*0.18,2),2)=0,"Match","Differs")</f>
        <v>Match</v>
      </c>
      <c r="K4290" s="24">
        <f t="shared" ref="K4290:K4353" si="338">ROUND(H4290*0.18,2)</f>
        <v>0</v>
      </c>
      <c r="L4290" s="24">
        <f t="shared" ref="L4290:L4353" si="339">ROUND(D4290+E4290-H4290-K4290,2)</f>
        <v>0</v>
      </c>
    </row>
    <row r="4291" spans="1:12" ht="15" customHeight="1" x14ac:dyDescent="0.3">
      <c r="A4291" s="23" t="s">
        <v>17545</v>
      </c>
      <c r="B4291" s="23" t="s">
        <v>79</v>
      </c>
      <c r="C4291" s="39">
        <v>349</v>
      </c>
      <c r="D4291" s="24">
        <v>6.28</v>
      </c>
      <c r="E4291" s="24">
        <v>1.1299999999999999</v>
      </c>
      <c r="F4291" s="23">
        <f>COUNTIFS(mdr_rate_cleaned!$A$2:$A$10,B4291,mdr_rate_cleaned!$B$2:$B$10,"&lt;"&amp;C4291,mdr_rate_cleaned!$F$2:$F$10,"&gt;="&amp;C4291)</f>
        <v>1</v>
      </c>
      <c r="G4291" s="40">
        <f>SUMIFS(mdr_rate_cleaned!$G$2:$G$10,mdr_rate_cleaned!$A$2:$A$10,B4291,mdr_rate_cleaned!$B$2:$B$10,"&lt;"&amp;C4291,mdr_rate_cleaned!$F$2:$F$10,"&gt;="&amp;C4291)</f>
        <v>1.8000000000000002E-2</v>
      </c>
      <c r="H4291" s="24">
        <f t="shared" si="335"/>
        <v>6.28</v>
      </c>
      <c r="I4291" s="23" t="str">
        <f t="shared" si="336"/>
        <v>Match</v>
      </c>
      <c r="J4291" s="23" t="str">
        <f t="shared" si="337"/>
        <v>Match</v>
      </c>
      <c r="K4291" s="24">
        <f t="shared" si="338"/>
        <v>1.1299999999999999</v>
      </c>
      <c r="L4291" s="24">
        <f t="shared" si="339"/>
        <v>0</v>
      </c>
    </row>
    <row r="4292" spans="1:12" ht="15" customHeight="1" x14ac:dyDescent="0.3">
      <c r="A4292" s="23" t="s">
        <v>17547</v>
      </c>
      <c r="B4292" s="23" t="s">
        <v>79</v>
      </c>
      <c r="C4292" s="39">
        <v>9298</v>
      </c>
      <c r="D4292" s="24">
        <v>148.77000000000001</v>
      </c>
      <c r="E4292" s="24">
        <v>26.78</v>
      </c>
      <c r="F4292" s="23">
        <f>COUNTIFS(mdr_rate_cleaned!$A$2:$A$10,B4292,mdr_rate_cleaned!$B$2:$B$10,"&lt;"&amp;C4292,mdr_rate_cleaned!$F$2:$F$10,"&gt;="&amp;C4292)</f>
        <v>1</v>
      </c>
      <c r="G4292" s="40">
        <f>SUMIFS(mdr_rate_cleaned!$G$2:$G$10,mdr_rate_cleaned!$A$2:$A$10,B4292,mdr_rate_cleaned!$B$2:$B$10,"&lt;"&amp;C4292,mdr_rate_cleaned!$F$2:$F$10,"&gt;="&amp;C4292)</f>
        <v>1.6E-2</v>
      </c>
      <c r="H4292" s="24">
        <f t="shared" si="335"/>
        <v>148.77000000000001</v>
      </c>
      <c r="I4292" s="23" t="str">
        <f t="shared" si="336"/>
        <v>Match</v>
      </c>
      <c r="J4292" s="23" t="str">
        <f t="shared" si="337"/>
        <v>Match</v>
      </c>
      <c r="K4292" s="24">
        <f t="shared" si="338"/>
        <v>26.78</v>
      </c>
      <c r="L4292" s="24">
        <f t="shared" si="339"/>
        <v>0</v>
      </c>
    </row>
    <row r="4293" spans="1:12" ht="15" customHeight="1" x14ac:dyDescent="0.3">
      <c r="A4293" s="23" t="s">
        <v>17548</v>
      </c>
      <c r="B4293" s="23" t="s">
        <v>75</v>
      </c>
      <c r="C4293" s="39">
        <v>3298</v>
      </c>
      <c r="D4293" s="24">
        <v>9.89</v>
      </c>
      <c r="E4293" s="24">
        <v>1.78</v>
      </c>
      <c r="F4293" s="23">
        <f>COUNTIFS(mdr_rate_cleaned!$A$2:$A$10,B4293,mdr_rate_cleaned!$B$2:$B$10,"&lt;"&amp;C4293,mdr_rate_cleaned!$F$2:$F$10,"&gt;="&amp;C4293)</f>
        <v>1</v>
      </c>
      <c r="G4293" s="40">
        <f>SUMIFS(mdr_rate_cleaned!$G$2:$G$10,mdr_rate_cleaned!$A$2:$A$10,B4293,mdr_rate_cleaned!$B$2:$B$10,"&lt;"&amp;C4293,mdr_rate_cleaned!$F$2:$F$10,"&gt;="&amp;C4293)</f>
        <v>3.0000000000000001E-3</v>
      </c>
      <c r="H4293" s="24">
        <f t="shared" si="335"/>
        <v>9.89</v>
      </c>
      <c r="I4293" s="23" t="str">
        <f t="shared" si="336"/>
        <v>Match</v>
      </c>
      <c r="J4293" s="23" t="str">
        <f t="shared" si="337"/>
        <v>Match</v>
      </c>
      <c r="K4293" s="24">
        <f t="shared" si="338"/>
        <v>1.78</v>
      </c>
      <c r="L4293" s="24">
        <f t="shared" si="339"/>
        <v>0</v>
      </c>
    </row>
    <row r="4294" spans="1:12" ht="15" customHeight="1" x14ac:dyDescent="0.3">
      <c r="A4294" s="23" t="s">
        <v>17549</v>
      </c>
      <c r="B4294" s="23" t="s">
        <v>75</v>
      </c>
      <c r="C4294" s="39">
        <v>1947</v>
      </c>
      <c r="D4294" s="24">
        <v>0</v>
      </c>
      <c r="E4294" s="24">
        <v>0</v>
      </c>
      <c r="F4294" s="23">
        <f>COUNTIFS(mdr_rate_cleaned!$A$2:$A$10,B4294,mdr_rate_cleaned!$B$2:$B$10,"&lt;"&amp;C4294,mdr_rate_cleaned!$F$2:$F$10,"&gt;="&amp;C4294)</f>
        <v>1</v>
      </c>
      <c r="G4294" s="40">
        <f>SUMIFS(mdr_rate_cleaned!$G$2:$G$10,mdr_rate_cleaned!$A$2:$A$10,B4294,mdr_rate_cleaned!$B$2:$B$10,"&lt;"&amp;C4294,mdr_rate_cleaned!$F$2:$F$10,"&gt;="&amp;C4294)</f>
        <v>0</v>
      </c>
      <c r="H4294" s="24">
        <f t="shared" si="335"/>
        <v>0</v>
      </c>
      <c r="I4294" s="23" t="str">
        <f t="shared" si="336"/>
        <v>Match</v>
      </c>
      <c r="J4294" s="23" t="str">
        <f t="shared" si="337"/>
        <v>Match</v>
      </c>
      <c r="K4294" s="24">
        <f t="shared" si="338"/>
        <v>0</v>
      </c>
      <c r="L4294" s="24">
        <f t="shared" si="339"/>
        <v>0</v>
      </c>
    </row>
    <row r="4295" spans="1:12" ht="15" customHeight="1" x14ac:dyDescent="0.3">
      <c r="A4295" s="23" t="s">
        <v>17551</v>
      </c>
      <c r="B4295" s="23" t="s">
        <v>75</v>
      </c>
      <c r="C4295" s="39">
        <v>10997</v>
      </c>
      <c r="D4295" s="24">
        <v>32.99</v>
      </c>
      <c r="E4295" s="24">
        <v>5.94</v>
      </c>
      <c r="F4295" s="23">
        <f>COUNTIFS(mdr_rate_cleaned!$A$2:$A$10,B4295,mdr_rate_cleaned!$B$2:$B$10,"&lt;"&amp;C4295,mdr_rate_cleaned!$F$2:$F$10,"&gt;="&amp;C4295)</f>
        <v>1</v>
      </c>
      <c r="G4295" s="40">
        <f>SUMIFS(mdr_rate_cleaned!$G$2:$G$10,mdr_rate_cleaned!$A$2:$A$10,B4295,mdr_rate_cleaned!$B$2:$B$10,"&lt;"&amp;C4295,mdr_rate_cleaned!$F$2:$F$10,"&gt;="&amp;C4295)</f>
        <v>3.0000000000000001E-3</v>
      </c>
      <c r="H4295" s="24">
        <f t="shared" si="335"/>
        <v>32.99</v>
      </c>
      <c r="I4295" s="23" t="str">
        <f t="shared" si="336"/>
        <v>Match</v>
      </c>
      <c r="J4295" s="23" t="str">
        <f t="shared" si="337"/>
        <v>Match</v>
      </c>
      <c r="K4295" s="24">
        <f t="shared" si="338"/>
        <v>5.94</v>
      </c>
      <c r="L4295" s="24">
        <f t="shared" si="339"/>
        <v>0</v>
      </c>
    </row>
    <row r="4296" spans="1:12" ht="15" customHeight="1" x14ac:dyDescent="0.3">
      <c r="A4296" s="23" t="s">
        <v>17552</v>
      </c>
      <c r="B4296" s="23" t="s">
        <v>81</v>
      </c>
      <c r="C4296" s="39">
        <v>9798</v>
      </c>
      <c r="D4296" s="24">
        <v>117.58</v>
      </c>
      <c r="E4296" s="24">
        <v>21.16</v>
      </c>
      <c r="F4296" s="23">
        <f>COUNTIFS(mdr_rate_cleaned!$A$2:$A$10,B4296,mdr_rate_cleaned!$B$2:$B$10,"&lt;"&amp;C4296,mdr_rate_cleaned!$F$2:$F$10,"&gt;="&amp;C4296)</f>
        <v>1</v>
      </c>
      <c r="G4296" s="40">
        <f>SUMIFS(mdr_rate_cleaned!$G$2:$G$10,mdr_rate_cleaned!$A$2:$A$10,B4296,mdr_rate_cleaned!$B$2:$B$10,"&lt;"&amp;C4296,mdr_rate_cleaned!$F$2:$F$10,"&gt;="&amp;C4296)</f>
        <v>1.2E-2</v>
      </c>
      <c r="H4296" s="24">
        <f t="shared" si="335"/>
        <v>117.58</v>
      </c>
      <c r="I4296" s="23" t="str">
        <f t="shared" si="336"/>
        <v>Match</v>
      </c>
      <c r="J4296" s="23" t="str">
        <f t="shared" si="337"/>
        <v>Match</v>
      </c>
      <c r="K4296" s="24">
        <f t="shared" si="338"/>
        <v>21.16</v>
      </c>
      <c r="L4296" s="24">
        <f t="shared" si="339"/>
        <v>0</v>
      </c>
    </row>
    <row r="4297" spans="1:12" ht="15" customHeight="1" x14ac:dyDescent="0.3">
      <c r="A4297" s="23" t="s">
        <v>17553</v>
      </c>
      <c r="B4297" s="23" t="s">
        <v>79</v>
      </c>
      <c r="C4297" s="39">
        <v>6297</v>
      </c>
      <c r="D4297" s="24">
        <v>100.75</v>
      </c>
      <c r="E4297" s="24">
        <v>18.14</v>
      </c>
      <c r="F4297" s="23">
        <f>COUNTIFS(mdr_rate_cleaned!$A$2:$A$10,B4297,mdr_rate_cleaned!$B$2:$B$10,"&lt;"&amp;C4297,mdr_rate_cleaned!$F$2:$F$10,"&gt;="&amp;C4297)</f>
        <v>1</v>
      </c>
      <c r="G4297" s="40">
        <f>SUMIFS(mdr_rate_cleaned!$G$2:$G$10,mdr_rate_cleaned!$A$2:$A$10,B4297,mdr_rate_cleaned!$B$2:$B$10,"&lt;"&amp;C4297,mdr_rate_cleaned!$F$2:$F$10,"&gt;="&amp;C4297)</f>
        <v>1.6E-2</v>
      </c>
      <c r="H4297" s="24">
        <f t="shared" si="335"/>
        <v>100.75</v>
      </c>
      <c r="I4297" s="23" t="str">
        <f t="shared" si="336"/>
        <v>Match</v>
      </c>
      <c r="J4297" s="23" t="str">
        <f t="shared" si="337"/>
        <v>Match</v>
      </c>
      <c r="K4297" s="24">
        <f t="shared" si="338"/>
        <v>18.14</v>
      </c>
      <c r="L4297" s="24">
        <f t="shared" si="339"/>
        <v>0</v>
      </c>
    </row>
    <row r="4298" spans="1:12" ht="15" customHeight="1" x14ac:dyDescent="0.3">
      <c r="A4298" s="23" t="s">
        <v>17554</v>
      </c>
      <c r="B4298" s="23" t="s">
        <v>75</v>
      </c>
      <c r="C4298" s="39">
        <v>5297</v>
      </c>
      <c r="D4298" s="24">
        <v>15.89</v>
      </c>
      <c r="E4298" s="24">
        <v>2.86</v>
      </c>
      <c r="F4298" s="23">
        <f>COUNTIFS(mdr_rate_cleaned!$A$2:$A$10,B4298,mdr_rate_cleaned!$B$2:$B$10,"&lt;"&amp;C4298,mdr_rate_cleaned!$F$2:$F$10,"&gt;="&amp;C4298)</f>
        <v>1</v>
      </c>
      <c r="G4298" s="40">
        <f>SUMIFS(mdr_rate_cleaned!$G$2:$G$10,mdr_rate_cleaned!$A$2:$A$10,B4298,mdr_rate_cleaned!$B$2:$B$10,"&lt;"&amp;C4298,mdr_rate_cleaned!$F$2:$F$10,"&gt;="&amp;C4298)</f>
        <v>3.0000000000000001E-3</v>
      </c>
      <c r="H4298" s="24">
        <f t="shared" si="335"/>
        <v>15.89</v>
      </c>
      <c r="I4298" s="23" t="str">
        <f t="shared" si="336"/>
        <v>Match</v>
      </c>
      <c r="J4298" s="23" t="str">
        <f t="shared" si="337"/>
        <v>Match</v>
      </c>
      <c r="K4298" s="24">
        <f t="shared" si="338"/>
        <v>2.86</v>
      </c>
      <c r="L4298" s="24">
        <f t="shared" si="339"/>
        <v>0</v>
      </c>
    </row>
    <row r="4299" spans="1:12" ht="15" customHeight="1" x14ac:dyDescent="0.3">
      <c r="A4299" s="23" t="s">
        <v>17555</v>
      </c>
      <c r="B4299" s="23" t="s">
        <v>75</v>
      </c>
      <c r="C4299" s="39">
        <v>7297</v>
      </c>
      <c r="D4299" s="24">
        <v>21.89</v>
      </c>
      <c r="E4299" s="24">
        <v>3.94</v>
      </c>
      <c r="F4299" s="23">
        <f>COUNTIFS(mdr_rate_cleaned!$A$2:$A$10,B4299,mdr_rate_cleaned!$B$2:$B$10,"&lt;"&amp;C4299,mdr_rate_cleaned!$F$2:$F$10,"&gt;="&amp;C4299)</f>
        <v>1</v>
      </c>
      <c r="G4299" s="40">
        <f>SUMIFS(mdr_rate_cleaned!$G$2:$G$10,mdr_rate_cleaned!$A$2:$A$10,B4299,mdr_rate_cleaned!$B$2:$B$10,"&lt;"&amp;C4299,mdr_rate_cleaned!$F$2:$F$10,"&gt;="&amp;C4299)</f>
        <v>3.0000000000000001E-3</v>
      </c>
      <c r="H4299" s="24">
        <f t="shared" si="335"/>
        <v>21.89</v>
      </c>
      <c r="I4299" s="23" t="str">
        <f t="shared" si="336"/>
        <v>Match</v>
      </c>
      <c r="J4299" s="23" t="str">
        <f t="shared" si="337"/>
        <v>Match</v>
      </c>
      <c r="K4299" s="24">
        <f t="shared" si="338"/>
        <v>3.94</v>
      </c>
      <c r="L4299" s="24">
        <f t="shared" si="339"/>
        <v>0</v>
      </c>
    </row>
    <row r="4300" spans="1:12" ht="15" customHeight="1" x14ac:dyDescent="0.3">
      <c r="A4300" s="23" t="s">
        <v>17556</v>
      </c>
      <c r="B4300" s="23" t="s">
        <v>77</v>
      </c>
      <c r="C4300" s="39">
        <v>2998</v>
      </c>
      <c r="D4300" s="24">
        <v>50.97</v>
      </c>
      <c r="E4300" s="24">
        <v>9.17</v>
      </c>
      <c r="F4300" s="23">
        <f>COUNTIFS(mdr_rate_cleaned!$A$2:$A$10,B4300,mdr_rate_cleaned!$B$2:$B$10,"&lt;"&amp;C4300,mdr_rate_cleaned!$F$2:$F$10,"&gt;="&amp;C4300)</f>
        <v>1</v>
      </c>
      <c r="G4300" s="40">
        <f>SUMIFS(mdr_rate_cleaned!$G$2:$G$10,mdr_rate_cleaned!$A$2:$A$10,B4300,mdr_rate_cleaned!$B$2:$B$10,"&lt;"&amp;C4300,mdr_rate_cleaned!$F$2:$F$10,"&gt;="&amp;C4300)</f>
        <v>1.7000000000000001E-2</v>
      </c>
      <c r="H4300" s="24">
        <f t="shared" si="335"/>
        <v>50.97</v>
      </c>
      <c r="I4300" s="23" t="str">
        <f t="shared" si="336"/>
        <v>Match</v>
      </c>
      <c r="J4300" s="23" t="str">
        <f t="shared" si="337"/>
        <v>Match</v>
      </c>
      <c r="K4300" s="24">
        <f t="shared" si="338"/>
        <v>9.17</v>
      </c>
      <c r="L4300" s="24">
        <f t="shared" si="339"/>
        <v>0</v>
      </c>
    </row>
    <row r="4301" spans="1:12" ht="15" customHeight="1" x14ac:dyDescent="0.3">
      <c r="A4301" s="23" t="s">
        <v>17557</v>
      </c>
      <c r="B4301" s="23" t="s">
        <v>75</v>
      </c>
      <c r="C4301" s="39">
        <v>7999</v>
      </c>
      <c r="D4301" s="24">
        <v>24</v>
      </c>
      <c r="E4301" s="24">
        <v>4.32</v>
      </c>
      <c r="F4301" s="23">
        <f>COUNTIFS(mdr_rate_cleaned!$A$2:$A$10,B4301,mdr_rate_cleaned!$B$2:$B$10,"&lt;"&amp;C4301,mdr_rate_cleaned!$F$2:$F$10,"&gt;="&amp;C4301)</f>
        <v>1</v>
      </c>
      <c r="G4301" s="40">
        <f>SUMIFS(mdr_rate_cleaned!$G$2:$G$10,mdr_rate_cleaned!$A$2:$A$10,B4301,mdr_rate_cleaned!$B$2:$B$10,"&lt;"&amp;C4301,mdr_rate_cleaned!$F$2:$F$10,"&gt;="&amp;C4301)</f>
        <v>3.0000000000000001E-3</v>
      </c>
      <c r="H4301" s="24">
        <f t="shared" si="335"/>
        <v>24</v>
      </c>
      <c r="I4301" s="23" t="str">
        <f t="shared" si="336"/>
        <v>Match</v>
      </c>
      <c r="J4301" s="23" t="str">
        <f t="shared" si="337"/>
        <v>Match</v>
      </c>
      <c r="K4301" s="24">
        <f t="shared" si="338"/>
        <v>4.32</v>
      </c>
      <c r="L4301" s="24">
        <f t="shared" si="339"/>
        <v>0</v>
      </c>
    </row>
    <row r="4302" spans="1:12" ht="15" customHeight="1" x14ac:dyDescent="0.3">
      <c r="A4302" s="23" t="s">
        <v>17558</v>
      </c>
      <c r="B4302" s="23" t="s">
        <v>75</v>
      </c>
      <c r="C4302" s="39">
        <v>9498</v>
      </c>
      <c r="D4302" s="24">
        <v>28.49</v>
      </c>
      <c r="E4302" s="24">
        <v>5.13</v>
      </c>
      <c r="F4302" s="23">
        <f>COUNTIFS(mdr_rate_cleaned!$A$2:$A$10,B4302,mdr_rate_cleaned!$B$2:$B$10,"&lt;"&amp;C4302,mdr_rate_cleaned!$F$2:$F$10,"&gt;="&amp;C4302)</f>
        <v>1</v>
      </c>
      <c r="G4302" s="40">
        <f>SUMIFS(mdr_rate_cleaned!$G$2:$G$10,mdr_rate_cleaned!$A$2:$A$10,B4302,mdr_rate_cleaned!$B$2:$B$10,"&lt;"&amp;C4302,mdr_rate_cleaned!$F$2:$F$10,"&gt;="&amp;C4302)</f>
        <v>3.0000000000000001E-3</v>
      </c>
      <c r="H4302" s="24">
        <f t="shared" si="335"/>
        <v>28.49</v>
      </c>
      <c r="I4302" s="23" t="str">
        <f t="shared" si="336"/>
        <v>Match</v>
      </c>
      <c r="J4302" s="23" t="str">
        <f t="shared" si="337"/>
        <v>Match</v>
      </c>
      <c r="K4302" s="24">
        <f t="shared" si="338"/>
        <v>5.13</v>
      </c>
      <c r="L4302" s="24">
        <f t="shared" si="339"/>
        <v>0</v>
      </c>
    </row>
    <row r="4303" spans="1:12" ht="15" customHeight="1" x14ac:dyDescent="0.3">
      <c r="A4303" s="23" t="s">
        <v>17560</v>
      </c>
      <c r="B4303" s="23" t="s">
        <v>75</v>
      </c>
      <c r="C4303" s="39">
        <v>1299</v>
      </c>
      <c r="D4303" s="24">
        <v>0</v>
      </c>
      <c r="E4303" s="24">
        <v>0</v>
      </c>
      <c r="F4303" s="23">
        <f>COUNTIFS(mdr_rate_cleaned!$A$2:$A$10,B4303,mdr_rate_cleaned!$B$2:$B$10,"&lt;"&amp;C4303,mdr_rate_cleaned!$F$2:$F$10,"&gt;="&amp;C4303)</f>
        <v>1</v>
      </c>
      <c r="G4303" s="40">
        <f>SUMIFS(mdr_rate_cleaned!$G$2:$G$10,mdr_rate_cleaned!$A$2:$A$10,B4303,mdr_rate_cleaned!$B$2:$B$10,"&lt;"&amp;C4303,mdr_rate_cleaned!$F$2:$F$10,"&gt;="&amp;C4303)</f>
        <v>0</v>
      </c>
      <c r="H4303" s="24">
        <f t="shared" si="335"/>
        <v>0</v>
      </c>
      <c r="I4303" s="23" t="str">
        <f t="shared" si="336"/>
        <v>Match</v>
      </c>
      <c r="J4303" s="23" t="str">
        <f t="shared" si="337"/>
        <v>Match</v>
      </c>
      <c r="K4303" s="24">
        <f t="shared" si="338"/>
        <v>0</v>
      </c>
      <c r="L4303" s="24">
        <f t="shared" si="339"/>
        <v>0</v>
      </c>
    </row>
    <row r="4304" spans="1:12" ht="15" customHeight="1" x14ac:dyDescent="0.3">
      <c r="A4304" s="23" t="s">
        <v>17561</v>
      </c>
      <c r="B4304" s="23" t="s">
        <v>79</v>
      </c>
      <c r="C4304" s="39">
        <v>499</v>
      </c>
      <c r="D4304" s="24">
        <v>8.98</v>
      </c>
      <c r="E4304" s="24">
        <v>1.62</v>
      </c>
      <c r="F4304" s="23">
        <f>COUNTIFS(mdr_rate_cleaned!$A$2:$A$10,B4304,mdr_rate_cleaned!$B$2:$B$10,"&lt;"&amp;C4304,mdr_rate_cleaned!$F$2:$F$10,"&gt;="&amp;C4304)</f>
        <v>1</v>
      </c>
      <c r="G4304" s="40">
        <f>SUMIFS(mdr_rate_cleaned!$G$2:$G$10,mdr_rate_cleaned!$A$2:$A$10,B4304,mdr_rate_cleaned!$B$2:$B$10,"&lt;"&amp;C4304,mdr_rate_cleaned!$F$2:$F$10,"&gt;="&amp;C4304)</f>
        <v>1.8000000000000002E-2</v>
      </c>
      <c r="H4304" s="24">
        <f t="shared" si="335"/>
        <v>8.98</v>
      </c>
      <c r="I4304" s="23" t="str">
        <f t="shared" si="336"/>
        <v>Match</v>
      </c>
      <c r="J4304" s="23" t="str">
        <f t="shared" si="337"/>
        <v>Match</v>
      </c>
      <c r="K4304" s="24">
        <f t="shared" si="338"/>
        <v>1.62</v>
      </c>
      <c r="L4304" s="24">
        <f t="shared" si="339"/>
        <v>0</v>
      </c>
    </row>
    <row r="4305" spans="1:12" ht="15" customHeight="1" x14ac:dyDescent="0.3">
      <c r="A4305" s="23" t="s">
        <v>17562</v>
      </c>
      <c r="B4305" s="23" t="s">
        <v>75</v>
      </c>
      <c r="C4305" s="39">
        <v>2999</v>
      </c>
      <c r="D4305" s="24">
        <v>9</v>
      </c>
      <c r="E4305" s="24">
        <v>1.62</v>
      </c>
      <c r="F4305" s="23">
        <f>COUNTIFS(mdr_rate_cleaned!$A$2:$A$10,B4305,mdr_rate_cleaned!$B$2:$B$10,"&lt;"&amp;C4305,mdr_rate_cleaned!$F$2:$F$10,"&gt;="&amp;C4305)</f>
        <v>1</v>
      </c>
      <c r="G4305" s="40">
        <f>SUMIFS(mdr_rate_cleaned!$G$2:$G$10,mdr_rate_cleaned!$A$2:$A$10,B4305,mdr_rate_cleaned!$B$2:$B$10,"&lt;"&amp;C4305,mdr_rate_cleaned!$F$2:$F$10,"&gt;="&amp;C4305)</f>
        <v>3.0000000000000001E-3</v>
      </c>
      <c r="H4305" s="24">
        <f t="shared" si="335"/>
        <v>9</v>
      </c>
      <c r="I4305" s="23" t="str">
        <f t="shared" si="336"/>
        <v>Match</v>
      </c>
      <c r="J4305" s="23" t="str">
        <f t="shared" si="337"/>
        <v>Match</v>
      </c>
      <c r="K4305" s="24">
        <f t="shared" si="338"/>
        <v>1.62</v>
      </c>
      <c r="L4305" s="24">
        <f t="shared" si="339"/>
        <v>0</v>
      </c>
    </row>
    <row r="4306" spans="1:12" ht="15" customHeight="1" x14ac:dyDescent="0.3">
      <c r="A4306" s="23" t="s">
        <v>17563</v>
      </c>
      <c r="B4306" s="23" t="s">
        <v>77</v>
      </c>
      <c r="C4306" s="39">
        <v>349</v>
      </c>
      <c r="D4306" s="24">
        <v>6.63</v>
      </c>
      <c r="E4306" s="24">
        <v>1.19</v>
      </c>
      <c r="F4306" s="23">
        <f>COUNTIFS(mdr_rate_cleaned!$A$2:$A$10,B4306,mdr_rate_cleaned!$B$2:$B$10,"&lt;"&amp;C4306,mdr_rate_cleaned!$F$2:$F$10,"&gt;="&amp;C4306)</f>
        <v>1</v>
      </c>
      <c r="G4306" s="40">
        <f>SUMIFS(mdr_rate_cleaned!$G$2:$G$10,mdr_rate_cleaned!$A$2:$A$10,B4306,mdr_rate_cleaned!$B$2:$B$10,"&lt;"&amp;C4306,mdr_rate_cleaned!$F$2:$F$10,"&gt;="&amp;C4306)</f>
        <v>1.9E-2</v>
      </c>
      <c r="H4306" s="24">
        <f t="shared" si="335"/>
        <v>6.63</v>
      </c>
      <c r="I4306" s="23" t="str">
        <f t="shared" si="336"/>
        <v>Match</v>
      </c>
      <c r="J4306" s="23" t="str">
        <f t="shared" si="337"/>
        <v>Match</v>
      </c>
      <c r="K4306" s="24">
        <f t="shared" si="338"/>
        <v>1.19</v>
      </c>
      <c r="L4306" s="24">
        <f t="shared" si="339"/>
        <v>0</v>
      </c>
    </row>
    <row r="4307" spans="1:12" ht="15" customHeight="1" x14ac:dyDescent="0.3">
      <c r="A4307" s="23" t="s">
        <v>17564</v>
      </c>
      <c r="B4307" s="23" t="s">
        <v>75</v>
      </c>
      <c r="C4307" s="39">
        <v>4999</v>
      </c>
      <c r="D4307" s="24">
        <v>15</v>
      </c>
      <c r="E4307" s="24">
        <v>2.7</v>
      </c>
      <c r="F4307" s="23">
        <f>COUNTIFS(mdr_rate_cleaned!$A$2:$A$10,B4307,mdr_rate_cleaned!$B$2:$B$10,"&lt;"&amp;C4307,mdr_rate_cleaned!$F$2:$F$10,"&gt;="&amp;C4307)</f>
        <v>1</v>
      </c>
      <c r="G4307" s="40">
        <f>SUMIFS(mdr_rate_cleaned!$G$2:$G$10,mdr_rate_cleaned!$A$2:$A$10,B4307,mdr_rate_cleaned!$B$2:$B$10,"&lt;"&amp;C4307,mdr_rate_cleaned!$F$2:$F$10,"&gt;="&amp;C4307)</f>
        <v>3.0000000000000001E-3</v>
      </c>
      <c r="H4307" s="24">
        <f t="shared" si="335"/>
        <v>15</v>
      </c>
      <c r="I4307" s="23" t="str">
        <f t="shared" si="336"/>
        <v>Match</v>
      </c>
      <c r="J4307" s="23" t="str">
        <f t="shared" si="337"/>
        <v>Match</v>
      </c>
      <c r="K4307" s="24">
        <f t="shared" si="338"/>
        <v>2.7</v>
      </c>
      <c r="L4307" s="24">
        <f t="shared" si="339"/>
        <v>0</v>
      </c>
    </row>
    <row r="4308" spans="1:12" ht="15" customHeight="1" x14ac:dyDescent="0.3">
      <c r="A4308" s="23" t="s">
        <v>17565</v>
      </c>
      <c r="B4308" s="23" t="s">
        <v>75</v>
      </c>
      <c r="C4308" s="39">
        <v>2999</v>
      </c>
      <c r="D4308" s="24">
        <v>9</v>
      </c>
      <c r="E4308" s="24">
        <v>1.62</v>
      </c>
      <c r="F4308" s="23">
        <f>COUNTIFS(mdr_rate_cleaned!$A$2:$A$10,B4308,mdr_rate_cleaned!$B$2:$B$10,"&lt;"&amp;C4308,mdr_rate_cleaned!$F$2:$F$10,"&gt;="&amp;C4308)</f>
        <v>1</v>
      </c>
      <c r="G4308" s="40">
        <f>SUMIFS(mdr_rate_cleaned!$G$2:$G$10,mdr_rate_cleaned!$A$2:$A$10,B4308,mdr_rate_cleaned!$B$2:$B$10,"&lt;"&amp;C4308,mdr_rate_cleaned!$F$2:$F$10,"&gt;="&amp;C4308)</f>
        <v>3.0000000000000001E-3</v>
      </c>
      <c r="H4308" s="24">
        <f t="shared" si="335"/>
        <v>9</v>
      </c>
      <c r="I4308" s="23" t="str">
        <f t="shared" si="336"/>
        <v>Match</v>
      </c>
      <c r="J4308" s="23" t="str">
        <f t="shared" si="337"/>
        <v>Match</v>
      </c>
      <c r="K4308" s="24">
        <f t="shared" si="338"/>
        <v>1.62</v>
      </c>
      <c r="L4308" s="24">
        <f t="shared" si="339"/>
        <v>0</v>
      </c>
    </row>
    <row r="4309" spans="1:12" ht="15" customHeight="1" x14ac:dyDescent="0.3">
      <c r="A4309" s="23" t="s">
        <v>17566</v>
      </c>
      <c r="B4309" s="23" t="s">
        <v>75</v>
      </c>
      <c r="C4309" s="39">
        <v>3347</v>
      </c>
      <c r="D4309" s="24">
        <v>10.039999999999999</v>
      </c>
      <c r="E4309" s="24">
        <v>1.81</v>
      </c>
      <c r="F4309" s="23">
        <f>COUNTIFS(mdr_rate_cleaned!$A$2:$A$10,B4309,mdr_rate_cleaned!$B$2:$B$10,"&lt;"&amp;C4309,mdr_rate_cleaned!$F$2:$F$10,"&gt;="&amp;C4309)</f>
        <v>1</v>
      </c>
      <c r="G4309" s="40">
        <f>SUMIFS(mdr_rate_cleaned!$G$2:$G$10,mdr_rate_cleaned!$A$2:$A$10,B4309,mdr_rate_cleaned!$B$2:$B$10,"&lt;"&amp;C4309,mdr_rate_cleaned!$F$2:$F$10,"&gt;="&amp;C4309)</f>
        <v>3.0000000000000001E-3</v>
      </c>
      <c r="H4309" s="24">
        <f t="shared" si="335"/>
        <v>10.039999999999999</v>
      </c>
      <c r="I4309" s="23" t="str">
        <f t="shared" si="336"/>
        <v>Match</v>
      </c>
      <c r="J4309" s="23" t="str">
        <f t="shared" si="337"/>
        <v>Match</v>
      </c>
      <c r="K4309" s="24">
        <f t="shared" si="338"/>
        <v>1.81</v>
      </c>
      <c r="L4309" s="24">
        <f t="shared" si="339"/>
        <v>0</v>
      </c>
    </row>
    <row r="4310" spans="1:12" ht="15" customHeight="1" x14ac:dyDescent="0.3">
      <c r="A4310" s="23" t="s">
        <v>17567</v>
      </c>
      <c r="B4310" s="23" t="s">
        <v>75</v>
      </c>
      <c r="C4310" s="39">
        <v>999</v>
      </c>
      <c r="D4310" s="24">
        <v>0</v>
      </c>
      <c r="E4310" s="24">
        <v>0</v>
      </c>
      <c r="F4310" s="23">
        <f>COUNTIFS(mdr_rate_cleaned!$A$2:$A$10,B4310,mdr_rate_cleaned!$B$2:$B$10,"&lt;"&amp;C4310,mdr_rate_cleaned!$F$2:$F$10,"&gt;="&amp;C4310)</f>
        <v>1</v>
      </c>
      <c r="G4310" s="40">
        <f>SUMIFS(mdr_rate_cleaned!$G$2:$G$10,mdr_rate_cleaned!$A$2:$A$10,B4310,mdr_rate_cleaned!$B$2:$B$10,"&lt;"&amp;C4310,mdr_rate_cleaned!$F$2:$F$10,"&gt;="&amp;C4310)</f>
        <v>0</v>
      </c>
      <c r="H4310" s="24">
        <f t="shared" si="335"/>
        <v>0</v>
      </c>
      <c r="I4310" s="23" t="str">
        <f t="shared" si="336"/>
        <v>Match</v>
      </c>
      <c r="J4310" s="23" t="str">
        <f t="shared" si="337"/>
        <v>Match</v>
      </c>
      <c r="K4310" s="24">
        <f t="shared" si="338"/>
        <v>0</v>
      </c>
      <c r="L4310" s="24">
        <f t="shared" si="339"/>
        <v>0</v>
      </c>
    </row>
    <row r="4311" spans="1:12" ht="15" customHeight="1" x14ac:dyDescent="0.3">
      <c r="A4311" s="23" t="s">
        <v>17568</v>
      </c>
      <c r="B4311" s="23" t="s">
        <v>75</v>
      </c>
      <c r="C4311" s="39">
        <v>10498</v>
      </c>
      <c r="D4311" s="24">
        <v>31.49</v>
      </c>
      <c r="E4311" s="24">
        <v>5.67</v>
      </c>
      <c r="F4311" s="23">
        <f>COUNTIFS(mdr_rate_cleaned!$A$2:$A$10,B4311,mdr_rate_cleaned!$B$2:$B$10,"&lt;"&amp;C4311,mdr_rate_cleaned!$F$2:$F$10,"&gt;="&amp;C4311)</f>
        <v>1</v>
      </c>
      <c r="G4311" s="40">
        <f>SUMIFS(mdr_rate_cleaned!$G$2:$G$10,mdr_rate_cleaned!$A$2:$A$10,B4311,mdr_rate_cleaned!$B$2:$B$10,"&lt;"&amp;C4311,mdr_rate_cleaned!$F$2:$F$10,"&gt;="&amp;C4311)</f>
        <v>3.0000000000000001E-3</v>
      </c>
      <c r="H4311" s="24">
        <f t="shared" si="335"/>
        <v>31.49</v>
      </c>
      <c r="I4311" s="23" t="str">
        <f t="shared" si="336"/>
        <v>Match</v>
      </c>
      <c r="J4311" s="23" t="str">
        <f t="shared" si="337"/>
        <v>Match</v>
      </c>
      <c r="K4311" s="24">
        <f t="shared" si="338"/>
        <v>5.67</v>
      </c>
      <c r="L4311" s="24">
        <f t="shared" si="339"/>
        <v>0</v>
      </c>
    </row>
    <row r="4312" spans="1:12" ht="15" customHeight="1" x14ac:dyDescent="0.3">
      <c r="A4312" s="23" t="s">
        <v>17569</v>
      </c>
      <c r="B4312" s="23" t="s">
        <v>77</v>
      </c>
      <c r="C4312" s="39">
        <v>1299</v>
      </c>
      <c r="D4312" s="24">
        <v>24.68</v>
      </c>
      <c r="E4312" s="24">
        <v>4.4400000000000004</v>
      </c>
      <c r="F4312" s="23">
        <f>COUNTIFS(mdr_rate_cleaned!$A$2:$A$10,B4312,mdr_rate_cleaned!$B$2:$B$10,"&lt;"&amp;C4312,mdr_rate_cleaned!$F$2:$F$10,"&gt;="&amp;C4312)</f>
        <v>1</v>
      </c>
      <c r="G4312" s="40">
        <f>SUMIFS(mdr_rate_cleaned!$G$2:$G$10,mdr_rate_cleaned!$A$2:$A$10,B4312,mdr_rate_cleaned!$B$2:$B$10,"&lt;"&amp;C4312,mdr_rate_cleaned!$F$2:$F$10,"&gt;="&amp;C4312)</f>
        <v>1.9E-2</v>
      </c>
      <c r="H4312" s="24">
        <f t="shared" si="335"/>
        <v>24.68</v>
      </c>
      <c r="I4312" s="23" t="str">
        <f t="shared" si="336"/>
        <v>Match</v>
      </c>
      <c r="J4312" s="23" t="str">
        <f t="shared" si="337"/>
        <v>Match</v>
      </c>
      <c r="K4312" s="24">
        <f t="shared" si="338"/>
        <v>4.4400000000000004</v>
      </c>
      <c r="L4312" s="24">
        <f t="shared" si="339"/>
        <v>0</v>
      </c>
    </row>
    <row r="4313" spans="1:12" ht="15" customHeight="1" x14ac:dyDescent="0.3">
      <c r="A4313" s="23" t="s">
        <v>17571</v>
      </c>
      <c r="B4313" s="23" t="s">
        <v>79</v>
      </c>
      <c r="C4313" s="39">
        <v>2298</v>
      </c>
      <c r="D4313" s="24">
        <v>36.770000000000003</v>
      </c>
      <c r="E4313" s="24">
        <v>6.62</v>
      </c>
      <c r="F4313" s="23">
        <f>COUNTIFS(mdr_rate_cleaned!$A$2:$A$10,B4313,mdr_rate_cleaned!$B$2:$B$10,"&lt;"&amp;C4313,mdr_rate_cleaned!$F$2:$F$10,"&gt;="&amp;C4313)</f>
        <v>1</v>
      </c>
      <c r="G4313" s="40">
        <f>SUMIFS(mdr_rate_cleaned!$G$2:$G$10,mdr_rate_cleaned!$A$2:$A$10,B4313,mdr_rate_cleaned!$B$2:$B$10,"&lt;"&amp;C4313,mdr_rate_cleaned!$F$2:$F$10,"&gt;="&amp;C4313)</f>
        <v>1.6E-2</v>
      </c>
      <c r="H4313" s="24">
        <f t="shared" si="335"/>
        <v>36.770000000000003</v>
      </c>
      <c r="I4313" s="23" t="str">
        <f t="shared" si="336"/>
        <v>Match</v>
      </c>
      <c r="J4313" s="23" t="str">
        <f t="shared" si="337"/>
        <v>Match</v>
      </c>
      <c r="K4313" s="24">
        <f t="shared" si="338"/>
        <v>6.62</v>
      </c>
      <c r="L4313" s="24">
        <f t="shared" si="339"/>
        <v>0</v>
      </c>
    </row>
    <row r="4314" spans="1:12" ht="15" customHeight="1" x14ac:dyDescent="0.3">
      <c r="A4314" s="23" t="s">
        <v>17572</v>
      </c>
      <c r="B4314" s="23" t="s">
        <v>81</v>
      </c>
      <c r="C4314" s="39">
        <v>1799</v>
      </c>
      <c r="D4314" s="24">
        <v>26.99</v>
      </c>
      <c r="E4314" s="24">
        <v>4.8600000000000003</v>
      </c>
      <c r="F4314" s="23">
        <f>COUNTIFS(mdr_rate_cleaned!$A$2:$A$10,B4314,mdr_rate_cleaned!$B$2:$B$10,"&lt;"&amp;C4314,mdr_rate_cleaned!$F$2:$F$10,"&gt;="&amp;C4314)</f>
        <v>1</v>
      </c>
      <c r="G4314" s="40">
        <f>SUMIFS(mdr_rate_cleaned!$G$2:$G$10,mdr_rate_cleaned!$A$2:$A$10,B4314,mdr_rate_cleaned!$B$2:$B$10,"&lt;"&amp;C4314,mdr_rate_cleaned!$F$2:$F$10,"&gt;="&amp;C4314)</f>
        <v>1.4999999999999999E-2</v>
      </c>
      <c r="H4314" s="24">
        <f t="shared" si="335"/>
        <v>26.99</v>
      </c>
      <c r="I4314" s="23" t="str">
        <f t="shared" si="336"/>
        <v>Match</v>
      </c>
      <c r="J4314" s="23" t="str">
        <f t="shared" si="337"/>
        <v>Match</v>
      </c>
      <c r="K4314" s="24">
        <f t="shared" si="338"/>
        <v>4.8600000000000003</v>
      </c>
      <c r="L4314" s="24">
        <f t="shared" si="339"/>
        <v>0</v>
      </c>
    </row>
    <row r="4315" spans="1:12" ht="15" customHeight="1" x14ac:dyDescent="0.3">
      <c r="A4315" s="23" t="s">
        <v>17573</v>
      </c>
      <c r="B4315" s="23" t="s">
        <v>75</v>
      </c>
      <c r="C4315" s="39">
        <v>4697</v>
      </c>
      <c r="D4315" s="24">
        <v>14.09</v>
      </c>
      <c r="E4315" s="24">
        <v>2.54</v>
      </c>
      <c r="F4315" s="23">
        <f>COUNTIFS(mdr_rate_cleaned!$A$2:$A$10,B4315,mdr_rate_cleaned!$B$2:$B$10,"&lt;"&amp;C4315,mdr_rate_cleaned!$F$2:$F$10,"&gt;="&amp;C4315)</f>
        <v>1</v>
      </c>
      <c r="G4315" s="40">
        <f>SUMIFS(mdr_rate_cleaned!$G$2:$G$10,mdr_rate_cleaned!$A$2:$A$10,B4315,mdr_rate_cleaned!$B$2:$B$10,"&lt;"&amp;C4315,mdr_rate_cleaned!$F$2:$F$10,"&gt;="&amp;C4315)</f>
        <v>3.0000000000000001E-3</v>
      </c>
      <c r="H4315" s="24">
        <f t="shared" si="335"/>
        <v>14.09</v>
      </c>
      <c r="I4315" s="23" t="str">
        <f t="shared" si="336"/>
        <v>Match</v>
      </c>
      <c r="J4315" s="23" t="str">
        <f t="shared" si="337"/>
        <v>Match</v>
      </c>
      <c r="K4315" s="24">
        <f t="shared" si="338"/>
        <v>2.54</v>
      </c>
      <c r="L4315" s="24">
        <f t="shared" si="339"/>
        <v>0</v>
      </c>
    </row>
    <row r="4316" spans="1:12" ht="15" customHeight="1" x14ac:dyDescent="0.3">
      <c r="A4316" s="23" t="s">
        <v>17574</v>
      </c>
      <c r="B4316" s="23" t="s">
        <v>81</v>
      </c>
      <c r="C4316" s="39">
        <v>2598</v>
      </c>
      <c r="D4316" s="24">
        <v>31.18</v>
      </c>
      <c r="E4316" s="24">
        <v>5.61</v>
      </c>
      <c r="F4316" s="23">
        <f>COUNTIFS(mdr_rate_cleaned!$A$2:$A$10,B4316,mdr_rate_cleaned!$B$2:$B$10,"&lt;"&amp;C4316,mdr_rate_cleaned!$F$2:$F$10,"&gt;="&amp;C4316)</f>
        <v>1</v>
      </c>
      <c r="G4316" s="40">
        <f>SUMIFS(mdr_rate_cleaned!$G$2:$G$10,mdr_rate_cleaned!$A$2:$A$10,B4316,mdr_rate_cleaned!$B$2:$B$10,"&lt;"&amp;C4316,mdr_rate_cleaned!$F$2:$F$10,"&gt;="&amp;C4316)</f>
        <v>1.2E-2</v>
      </c>
      <c r="H4316" s="24">
        <f t="shared" si="335"/>
        <v>31.18</v>
      </c>
      <c r="I4316" s="23" t="str">
        <f t="shared" si="336"/>
        <v>Match</v>
      </c>
      <c r="J4316" s="23" t="str">
        <f t="shared" si="337"/>
        <v>Match</v>
      </c>
      <c r="K4316" s="24">
        <f t="shared" si="338"/>
        <v>5.61</v>
      </c>
      <c r="L4316" s="24">
        <f t="shared" si="339"/>
        <v>0</v>
      </c>
    </row>
    <row r="4317" spans="1:12" ht="15" customHeight="1" x14ac:dyDescent="0.3">
      <c r="A4317" s="23" t="s">
        <v>17575</v>
      </c>
      <c r="B4317" s="23" t="s">
        <v>81</v>
      </c>
      <c r="C4317" s="39">
        <v>4999</v>
      </c>
      <c r="D4317" s="24">
        <v>59.99</v>
      </c>
      <c r="E4317" s="24">
        <v>10.8</v>
      </c>
      <c r="F4317" s="23">
        <f>COUNTIFS(mdr_rate_cleaned!$A$2:$A$10,B4317,mdr_rate_cleaned!$B$2:$B$10,"&lt;"&amp;C4317,mdr_rate_cleaned!$F$2:$F$10,"&gt;="&amp;C4317)</f>
        <v>1</v>
      </c>
      <c r="G4317" s="40">
        <f>SUMIFS(mdr_rate_cleaned!$G$2:$G$10,mdr_rate_cleaned!$A$2:$A$10,B4317,mdr_rate_cleaned!$B$2:$B$10,"&lt;"&amp;C4317,mdr_rate_cleaned!$F$2:$F$10,"&gt;="&amp;C4317)</f>
        <v>1.2E-2</v>
      </c>
      <c r="H4317" s="24">
        <f t="shared" si="335"/>
        <v>59.99</v>
      </c>
      <c r="I4317" s="23" t="str">
        <f t="shared" si="336"/>
        <v>Match</v>
      </c>
      <c r="J4317" s="23" t="str">
        <f t="shared" si="337"/>
        <v>Match</v>
      </c>
      <c r="K4317" s="24">
        <f t="shared" si="338"/>
        <v>10.8</v>
      </c>
      <c r="L4317" s="24">
        <f t="shared" si="339"/>
        <v>0</v>
      </c>
    </row>
    <row r="4318" spans="1:12" ht="15" customHeight="1" x14ac:dyDescent="0.3">
      <c r="A4318" s="23" t="s">
        <v>17576</v>
      </c>
      <c r="B4318" s="23" t="s">
        <v>75</v>
      </c>
      <c r="C4318" s="39">
        <v>299</v>
      </c>
      <c r="D4318" s="24">
        <v>0</v>
      </c>
      <c r="E4318" s="24">
        <v>0</v>
      </c>
      <c r="F4318" s="23">
        <f>COUNTIFS(mdr_rate_cleaned!$A$2:$A$10,B4318,mdr_rate_cleaned!$B$2:$B$10,"&lt;"&amp;C4318,mdr_rate_cleaned!$F$2:$F$10,"&gt;="&amp;C4318)</f>
        <v>1</v>
      </c>
      <c r="G4318" s="40">
        <f>SUMIFS(mdr_rate_cleaned!$G$2:$G$10,mdr_rate_cleaned!$A$2:$A$10,B4318,mdr_rate_cleaned!$B$2:$B$10,"&lt;"&amp;C4318,mdr_rate_cleaned!$F$2:$F$10,"&gt;="&amp;C4318)</f>
        <v>0</v>
      </c>
      <c r="H4318" s="24">
        <f t="shared" si="335"/>
        <v>0</v>
      </c>
      <c r="I4318" s="23" t="str">
        <f t="shared" si="336"/>
        <v>Match</v>
      </c>
      <c r="J4318" s="23" t="str">
        <f t="shared" si="337"/>
        <v>Match</v>
      </c>
      <c r="K4318" s="24">
        <f t="shared" si="338"/>
        <v>0</v>
      </c>
      <c r="L4318" s="24">
        <f t="shared" si="339"/>
        <v>0</v>
      </c>
    </row>
    <row r="4319" spans="1:12" ht="15" customHeight="1" x14ac:dyDescent="0.3">
      <c r="A4319" s="23" t="s">
        <v>17577</v>
      </c>
      <c r="B4319" s="23" t="s">
        <v>77</v>
      </c>
      <c r="C4319" s="39">
        <v>2798</v>
      </c>
      <c r="D4319" s="24">
        <v>47.57</v>
      </c>
      <c r="E4319" s="24">
        <v>8.56</v>
      </c>
      <c r="F4319" s="23">
        <f>COUNTIFS(mdr_rate_cleaned!$A$2:$A$10,B4319,mdr_rate_cleaned!$B$2:$B$10,"&lt;"&amp;C4319,mdr_rate_cleaned!$F$2:$F$10,"&gt;="&amp;C4319)</f>
        <v>1</v>
      </c>
      <c r="G4319" s="40">
        <f>SUMIFS(mdr_rate_cleaned!$G$2:$G$10,mdr_rate_cleaned!$A$2:$A$10,B4319,mdr_rate_cleaned!$B$2:$B$10,"&lt;"&amp;C4319,mdr_rate_cleaned!$F$2:$F$10,"&gt;="&amp;C4319)</f>
        <v>1.7000000000000001E-2</v>
      </c>
      <c r="H4319" s="24">
        <f t="shared" si="335"/>
        <v>47.57</v>
      </c>
      <c r="I4319" s="23" t="str">
        <f t="shared" si="336"/>
        <v>Match</v>
      </c>
      <c r="J4319" s="23" t="str">
        <f t="shared" si="337"/>
        <v>Match</v>
      </c>
      <c r="K4319" s="24">
        <f t="shared" si="338"/>
        <v>8.56</v>
      </c>
      <c r="L4319" s="24">
        <f t="shared" si="339"/>
        <v>0</v>
      </c>
    </row>
    <row r="4320" spans="1:12" ht="15" customHeight="1" x14ac:dyDescent="0.3">
      <c r="A4320" s="23" t="s">
        <v>17578</v>
      </c>
      <c r="B4320" s="23" t="s">
        <v>81</v>
      </c>
      <c r="C4320" s="39">
        <v>11597</v>
      </c>
      <c r="D4320" s="24">
        <v>104.37</v>
      </c>
      <c r="E4320" s="24">
        <v>18.79</v>
      </c>
      <c r="F4320" s="23">
        <f>COUNTIFS(mdr_rate_cleaned!$A$2:$A$10,B4320,mdr_rate_cleaned!$B$2:$B$10,"&lt;"&amp;C4320,mdr_rate_cleaned!$F$2:$F$10,"&gt;="&amp;C4320)</f>
        <v>1</v>
      </c>
      <c r="G4320" s="40">
        <f>SUMIFS(mdr_rate_cleaned!$G$2:$G$10,mdr_rate_cleaned!$A$2:$A$10,B4320,mdr_rate_cleaned!$B$2:$B$10,"&lt;"&amp;C4320,mdr_rate_cleaned!$F$2:$F$10,"&gt;="&amp;C4320)</f>
        <v>9.0000000000000011E-3</v>
      </c>
      <c r="H4320" s="24">
        <f t="shared" si="335"/>
        <v>104.37</v>
      </c>
      <c r="I4320" s="23" t="str">
        <f t="shared" si="336"/>
        <v>Match</v>
      </c>
      <c r="J4320" s="23" t="str">
        <f t="shared" si="337"/>
        <v>Match</v>
      </c>
      <c r="K4320" s="24">
        <f t="shared" si="338"/>
        <v>18.79</v>
      </c>
      <c r="L4320" s="24">
        <f t="shared" si="339"/>
        <v>0</v>
      </c>
    </row>
    <row r="4321" spans="1:12" ht="15" customHeight="1" x14ac:dyDescent="0.3">
      <c r="A4321" s="23" t="s">
        <v>17579</v>
      </c>
      <c r="B4321" s="23" t="s">
        <v>79</v>
      </c>
      <c r="C4321" s="39">
        <v>1747</v>
      </c>
      <c r="D4321" s="24">
        <v>31.45</v>
      </c>
      <c r="E4321" s="24">
        <v>5.66</v>
      </c>
      <c r="F4321" s="23">
        <f>COUNTIFS(mdr_rate_cleaned!$A$2:$A$10,B4321,mdr_rate_cleaned!$B$2:$B$10,"&lt;"&amp;C4321,mdr_rate_cleaned!$F$2:$F$10,"&gt;="&amp;C4321)</f>
        <v>1</v>
      </c>
      <c r="G4321" s="40">
        <f>SUMIFS(mdr_rate_cleaned!$G$2:$G$10,mdr_rate_cleaned!$A$2:$A$10,B4321,mdr_rate_cleaned!$B$2:$B$10,"&lt;"&amp;C4321,mdr_rate_cleaned!$F$2:$F$10,"&gt;="&amp;C4321)</f>
        <v>1.8000000000000002E-2</v>
      </c>
      <c r="H4321" s="24">
        <f t="shared" si="335"/>
        <v>31.45</v>
      </c>
      <c r="I4321" s="23" t="str">
        <f t="shared" si="336"/>
        <v>Match</v>
      </c>
      <c r="J4321" s="23" t="str">
        <f t="shared" si="337"/>
        <v>Match</v>
      </c>
      <c r="K4321" s="24">
        <f t="shared" si="338"/>
        <v>5.66</v>
      </c>
      <c r="L4321" s="24">
        <f t="shared" si="339"/>
        <v>0</v>
      </c>
    </row>
    <row r="4322" spans="1:12" ht="15" customHeight="1" x14ac:dyDescent="0.3">
      <c r="A4322" s="23" t="s">
        <v>17580</v>
      </c>
      <c r="B4322" s="23" t="s">
        <v>79</v>
      </c>
      <c r="C4322" s="39">
        <v>2098</v>
      </c>
      <c r="D4322" s="24">
        <v>33.57</v>
      </c>
      <c r="E4322" s="24">
        <v>6.04</v>
      </c>
      <c r="F4322" s="23">
        <f>COUNTIFS(mdr_rate_cleaned!$A$2:$A$10,B4322,mdr_rate_cleaned!$B$2:$B$10,"&lt;"&amp;C4322,mdr_rate_cleaned!$F$2:$F$10,"&gt;="&amp;C4322)</f>
        <v>1</v>
      </c>
      <c r="G4322" s="40">
        <f>SUMIFS(mdr_rate_cleaned!$G$2:$G$10,mdr_rate_cleaned!$A$2:$A$10,B4322,mdr_rate_cleaned!$B$2:$B$10,"&lt;"&amp;C4322,mdr_rate_cleaned!$F$2:$F$10,"&gt;="&amp;C4322)</f>
        <v>1.6E-2</v>
      </c>
      <c r="H4322" s="24">
        <f t="shared" si="335"/>
        <v>33.57</v>
      </c>
      <c r="I4322" s="23" t="str">
        <f t="shared" si="336"/>
        <v>Match</v>
      </c>
      <c r="J4322" s="23" t="str">
        <f t="shared" si="337"/>
        <v>Match</v>
      </c>
      <c r="K4322" s="24">
        <f t="shared" si="338"/>
        <v>6.04</v>
      </c>
      <c r="L4322" s="24">
        <f t="shared" si="339"/>
        <v>0</v>
      </c>
    </row>
    <row r="4323" spans="1:12" ht="15" customHeight="1" x14ac:dyDescent="0.3">
      <c r="A4323" s="23" t="s">
        <v>17582</v>
      </c>
      <c r="B4323" s="23" t="s">
        <v>75</v>
      </c>
      <c r="C4323" s="39">
        <v>1598</v>
      </c>
      <c r="D4323" s="24">
        <v>0</v>
      </c>
      <c r="E4323" s="24">
        <v>0</v>
      </c>
      <c r="F4323" s="23">
        <f>COUNTIFS(mdr_rate_cleaned!$A$2:$A$10,B4323,mdr_rate_cleaned!$B$2:$B$10,"&lt;"&amp;C4323,mdr_rate_cleaned!$F$2:$F$10,"&gt;="&amp;C4323)</f>
        <v>1</v>
      </c>
      <c r="G4323" s="40">
        <f>SUMIFS(mdr_rate_cleaned!$G$2:$G$10,mdr_rate_cleaned!$A$2:$A$10,B4323,mdr_rate_cleaned!$B$2:$B$10,"&lt;"&amp;C4323,mdr_rate_cleaned!$F$2:$F$10,"&gt;="&amp;C4323)</f>
        <v>0</v>
      </c>
      <c r="H4323" s="24">
        <f t="shared" si="335"/>
        <v>0</v>
      </c>
      <c r="I4323" s="23" t="str">
        <f t="shared" si="336"/>
        <v>Match</v>
      </c>
      <c r="J4323" s="23" t="str">
        <f t="shared" si="337"/>
        <v>Match</v>
      </c>
      <c r="K4323" s="24">
        <f t="shared" si="338"/>
        <v>0</v>
      </c>
      <c r="L4323" s="24">
        <f t="shared" si="339"/>
        <v>0</v>
      </c>
    </row>
    <row r="4324" spans="1:12" ht="15" customHeight="1" x14ac:dyDescent="0.3">
      <c r="A4324" s="23" t="s">
        <v>17583</v>
      </c>
      <c r="B4324" s="23" t="s">
        <v>75</v>
      </c>
      <c r="C4324" s="39">
        <v>4998</v>
      </c>
      <c r="D4324" s="24">
        <v>14.99</v>
      </c>
      <c r="E4324" s="24">
        <v>2.7</v>
      </c>
      <c r="F4324" s="23">
        <f>COUNTIFS(mdr_rate_cleaned!$A$2:$A$10,B4324,mdr_rate_cleaned!$B$2:$B$10,"&lt;"&amp;C4324,mdr_rate_cleaned!$F$2:$F$10,"&gt;="&amp;C4324)</f>
        <v>1</v>
      </c>
      <c r="G4324" s="40">
        <f>SUMIFS(mdr_rate_cleaned!$G$2:$G$10,mdr_rate_cleaned!$A$2:$A$10,B4324,mdr_rate_cleaned!$B$2:$B$10,"&lt;"&amp;C4324,mdr_rate_cleaned!$F$2:$F$10,"&gt;="&amp;C4324)</f>
        <v>3.0000000000000001E-3</v>
      </c>
      <c r="H4324" s="24">
        <f t="shared" si="335"/>
        <v>14.99</v>
      </c>
      <c r="I4324" s="23" t="str">
        <f t="shared" si="336"/>
        <v>Match</v>
      </c>
      <c r="J4324" s="23" t="str">
        <f t="shared" si="337"/>
        <v>Match</v>
      </c>
      <c r="K4324" s="24">
        <f t="shared" si="338"/>
        <v>2.7</v>
      </c>
      <c r="L4324" s="24">
        <f t="shared" si="339"/>
        <v>0</v>
      </c>
    </row>
    <row r="4325" spans="1:12" ht="15" customHeight="1" x14ac:dyDescent="0.3">
      <c r="A4325" s="23" t="s">
        <v>17584</v>
      </c>
      <c r="B4325" s="23" t="s">
        <v>79</v>
      </c>
      <c r="C4325" s="39">
        <v>4597</v>
      </c>
      <c r="D4325" s="24">
        <v>73.55</v>
      </c>
      <c r="E4325" s="24">
        <v>13.24</v>
      </c>
      <c r="F4325" s="23">
        <f>COUNTIFS(mdr_rate_cleaned!$A$2:$A$10,B4325,mdr_rate_cleaned!$B$2:$B$10,"&lt;"&amp;C4325,mdr_rate_cleaned!$F$2:$F$10,"&gt;="&amp;C4325)</f>
        <v>1</v>
      </c>
      <c r="G4325" s="40">
        <f>SUMIFS(mdr_rate_cleaned!$G$2:$G$10,mdr_rate_cleaned!$A$2:$A$10,B4325,mdr_rate_cleaned!$B$2:$B$10,"&lt;"&amp;C4325,mdr_rate_cleaned!$F$2:$F$10,"&gt;="&amp;C4325)</f>
        <v>1.6E-2</v>
      </c>
      <c r="H4325" s="24">
        <f t="shared" si="335"/>
        <v>73.55</v>
      </c>
      <c r="I4325" s="23" t="str">
        <f t="shared" si="336"/>
        <v>Match</v>
      </c>
      <c r="J4325" s="23" t="str">
        <f t="shared" si="337"/>
        <v>Match</v>
      </c>
      <c r="K4325" s="24">
        <f t="shared" si="338"/>
        <v>13.24</v>
      </c>
      <c r="L4325" s="24">
        <f t="shared" si="339"/>
        <v>0</v>
      </c>
    </row>
    <row r="4326" spans="1:12" ht="15" customHeight="1" x14ac:dyDescent="0.3">
      <c r="A4326" s="23" t="s">
        <v>17585</v>
      </c>
      <c r="B4326" s="23" t="s">
        <v>79</v>
      </c>
      <c r="C4326" s="39">
        <v>3098</v>
      </c>
      <c r="D4326" s="24">
        <v>49.57</v>
      </c>
      <c r="E4326" s="24">
        <v>8.92</v>
      </c>
      <c r="F4326" s="23">
        <f>COUNTIFS(mdr_rate_cleaned!$A$2:$A$10,B4326,mdr_rate_cleaned!$B$2:$B$10,"&lt;"&amp;C4326,mdr_rate_cleaned!$F$2:$F$10,"&gt;="&amp;C4326)</f>
        <v>1</v>
      </c>
      <c r="G4326" s="40">
        <f>SUMIFS(mdr_rate_cleaned!$G$2:$G$10,mdr_rate_cleaned!$A$2:$A$10,B4326,mdr_rate_cleaned!$B$2:$B$10,"&lt;"&amp;C4326,mdr_rate_cleaned!$F$2:$F$10,"&gt;="&amp;C4326)</f>
        <v>1.6E-2</v>
      </c>
      <c r="H4326" s="24">
        <f t="shared" si="335"/>
        <v>49.57</v>
      </c>
      <c r="I4326" s="23" t="str">
        <f t="shared" si="336"/>
        <v>Match</v>
      </c>
      <c r="J4326" s="23" t="str">
        <f t="shared" si="337"/>
        <v>Match</v>
      </c>
      <c r="K4326" s="24">
        <f t="shared" si="338"/>
        <v>8.92</v>
      </c>
      <c r="L4326" s="24">
        <f t="shared" si="339"/>
        <v>0</v>
      </c>
    </row>
    <row r="4327" spans="1:12" ht="15" customHeight="1" x14ac:dyDescent="0.3">
      <c r="A4327" s="23" t="s">
        <v>17587</v>
      </c>
      <c r="B4327" s="23" t="s">
        <v>79</v>
      </c>
      <c r="C4327" s="39">
        <v>3147</v>
      </c>
      <c r="D4327" s="24">
        <v>50.35</v>
      </c>
      <c r="E4327" s="24">
        <v>9.06</v>
      </c>
      <c r="F4327" s="23">
        <f>COUNTIFS(mdr_rate_cleaned!$A$2:$A$10,B4327,mdr_rate_cleaned!$B$2:$B$10,"&lt;"&amp;C4327,mdr_rate_cleaned!$F$2:$F$10,"&gt;="&amp;C4327)</f>
        <v>1</v>
      </c>
      <c r="G4327" s="40">
        <f>SUMIFS(mdr_rate_cleaned!$G$2:$G$10,mdr_rate_cleaned!$A$2:$A$10,B4327,mdr_rate_cleaned!$B$2:$B$10,"&lt;"&amp;C4327,mdr_rate_cleaned!$F$2:$F$10,"&gt;="&amp;C4327)</f>
        <v>1.6E-2</v>
      </c>
      <c r="H4327" s="24">
        <f t="shared" si="335"/>
        <v>50.35</v>
      </c>
      <c r="I4327" s="23" t="str">
        <f t="shared" si="336"/>
        <v>Match</v>
      </c>
      <c r="J4327" s="23" t="str">
        <f t="shared" si="337"/>
        <v>Match</v>
      </c>
      <c r="K4327" s="24">
        <f t="shared" si="338"/>
        <v>9.06</v>
      </c>
      <c r="L4327" s="24">
        <f t="shared" si="339"/>
        <v>0</v>
      </c>
    </row>
    <row r="4328" spans="1:12" ht="15" customHeight="1" x14ac:dyDescent="0.3">
      <c r="A4328" s="23" t="s">
        <v>17588</v>
      </c>
      <c r="B4328" s="23" t="s">
        <v>75</v>
      </c>
      <c r="C4328" s="39">
        <v>3848</v>
      </c>
      <c r="D4328" s="24">
        <v>11.54</v>
      </c>
      <c r="E4328" s="24">
        <v>2.08</v>
      </c>
      <c r="F4328" s="23">
        <f>COUNTIFS(mdr_rate_cleaned!$A$2:$A$10,B4328,mdr_rate_cleaned!$B$2:$B$10,"&lt;"&amp;C4328,mdr_rate_cleaned!$F$2:$F$10,"&gt;="&amp;C4328)</f>
        <v>1</v>
      </c>
      <c r="G4328" s="40">
        <f>SUMIFS(mdr_rate_cleaned!$G$2:$G$10,mdr_rate_cleaned!$A$2:$A$10,B4328,mdr_rate_cleaned!$B$2:$B$10,"&lt;"&amp;C4328,mdr_rate_cleaned!$F$2:$F$10,"&gt;="&amp;C4328)</f>
        <v>3.0000000000000001E-3</v>
      </c>
      <c r="H4328" s="24">
        <f t="shared" si="335"/>
        <v>11.54</v>
      </c>
      <c r="I4328" s="23" t="str">
        <f t="shared" si="336"/>
        <v>Match</v>
      </c>
      <c r="J4328" s="23" t="str">
        <f t="shared" si="337"/>
        <v>Match</v>
      </c>
      <c r="K4328" s="24">
        <f t="shared" si="338"/>
        <v>2.08</v>
      </c>
      <c r="L4328" s="24">
        <f t="shared" si="339"/>
        <v>0</v>
      </c>
    </row>
    <row r="4329" spans="1:12" ht="15" customHeight="1" x14ac:dyDescent="0.3">
      <c r="A4329" s="23" t="s">
        <v>17589</v>
      </c>
      <c r="B4329" s="23" t="s">
        <v>75</v>
      </c>
      <c r="C4329" s="39">
        <v>999</v>
      </c>
      <c r="D4329" s="24">
        <v>0</v>
      </c>
      <c r="E4329" s="24">
        <v>0</v>
      </c>
      <c r="F4329" s="23">
        <f>COUNTIFS(mdr_rate_cleaned!$A$2:$A$10,B4329,mdr_rate_cleaned!$B$2:$B$10,"&lt;"&amp;C4329,mdr_rate_cleaned!$F$2:$F$10,"&gt;="&amp;C4329)</f>
        <v>1</v>
      </c>
      <c r="G4329" s="40">
        <f>SUMIFS(mdr_rate_cleaned!$G$2:$G$10,mdr_rate_cleaned!$A$2:$A$10,B4329,mdr_rate_cleaned!$B$2:$B$10,"&lt;"&amp;C4329,mdr_rate_cleaned!$F$2:$F$10,"&gt;="&amp;C4329)</f>
        <v>0</v>
      </c>
      <c r="H4329" s="24">
        <f t="shared" si="335"/>
        <v>0</v>
      </c>
      <c r="I4329" s="23" t="str">
        <f t="shared" si="336"/>
        <v>Match</v>
      </c>
      <c r="J4329" s="23" t="str">
        <f t="shared" si="337"/>
        <v>Match</v>
      </c>
      <c r="K4329" s="24">
        <f t="shared" si="338"/>
        <v>0</v>
      </c>
      <c r="L4329" s="24">
        <f t="shared" si="339"/>
        <v>0</v>
      </c>
    </row>
    <row r="4330" spans="1:12" ht="15" customHeight="1" x14ac:dyDescent="0.3">
      <c r="A4330" s="23" t="s">
        <v>17591</v>
      </c>
      <c r="B4330" s="23" t="s">
        <v>81</v>
      </c>
      <c r="C4330" s="39">
        <v>3499</v>
      </c>
      <c r="D4330" s="24">
        <v>41.99</v>
      </c>
      <c r="E4330" s="24">
        <v>7.56</v>
      </c>
      <c r="F4330" s="23">
        <f>COUNTIFS(mdr_rate_cleaned!$A$2:$A$10,B4330,mdr_rate_cleaned!$B$2:$B$10,"&lt;"&amp;C4330,mdr_rate_cleaned!$F$2:$F$10,"&gt;="&amp;C4330)</f>
        <v>1</v>
      </c>
      <c r="G4330" s="40">
        <f>SUMIFS(mdr_rate_cleaned!$G$2:$G$10,mdr_rate_cleaned!$A$2:$A$10,B4330,mdr_rate_cleaned!$B$2:$B$10,"&lt;"&amp;C4330,mdr_rate_cleaned!$F$2:$F$10,"&gt;="&amp;C4330)</f>
        <v>1.2E-2</v>
      </c>
      <c r="H4330" s="24">
        <f t="shared" si="335"/>
        <v>41.99</v>
      </c>
      <c r="I4330" s="23" t="str">
        <f t="shared" si="336"/>
        <v>Match</v>
      </c>
      <c r="J4330" s="23" t="str">
        <f t="shared" si="337"/>
        <v>Match</v>
      </c>
      <c r="K4330" s="24">
        <f t="shared" si="338"/>
        <v>7.56</v>
      </c>
      <c r="L4330" s="24">
        <f t="shared" si="339"/>
        <v>0</v>
      </c>
    </row>
    <row r="4331" spans="1:12" ht="15" customHeight="1" x14ac:dyDescent="0.3">
      <c r="A4331" s="23" t="s">
        <v>17592</v>
      </c>
      <c r="B4331" s="23" t="s">
        <v>81</v>
      </c>
      <c r="C4331" s="39">
        <v>4798</v>
      </c>
      <c r="D4331" s="24">
        <v>57.58</v>
      </c>
      <c r="E4331" s="24">
        <v>10.36</v>
      </c>
      <c r="F4331" s="23">
        <f>COUNTIFS(mdr_rate_cleaned!$A$2:$A$10,B4331,mdr_rate_cleaned!$B$2:$B$10,"&lt;"&amp;C4331,mdr_rate_cleaned!$F$2:$F$10,"&gt;="&amp;C4331)</f>
        <v>1</v>
      </c>
      <c r="G4331" s="40">
        <f>SUMIFS(mdr_rate_cleaned!$G$2:$G$10,mdr_rate_cleaned!$A$2:$A$10,B4331,mdr_rate_cleaned!$B$2:$B$10,"&lt;"&amp;C4331,mdr_rate_cleaned!$F$2:$F$10,"&gt;="&amp;C4331)</f>
        <v>1.2E-2</v>
      </c>
      <c r="H4331" s="24">
        <f t="shared" si="335"/>
        <v>57.58</v>
      </c>
      <c r="I4331" s="23" t="str">
        <f t="shared" si="336"/>
        <v>Match</v>
      </c>
      <c r="J4331" s="23" t="str">
        <f t="shared" si="337"/>
        <v>Match</v>
      </c>
      <c r="K4331" s="24">
        <f t="shared" si="338"/>
        <v>10.36</v>
      </c>
      <c r="L4331" s="24">
        <f t="shared" si="339"/>
        <v>0</v>
      </c>
    </row>
    <row r="4332" spans="1:12" ht="15" customHeight="1" x14ac:dyDescent="0.3">
      <c r="A4332" s="23" t="s">
        <v>17593</v>
      </c>
      <c r="B4332" s="23" t="s">
        <v>75</v>
      </c>
      <c r="C4332" s="39">
        <v>12297</v>
      </c>
      <c r="D4332" s="24">
        <v>36.89</v>
      </c>
      <c r="E4332" s="24">
        <v>6.64</v>
      </c>
      <c r="F4332" s="23">
        <f>COUNTIFS(mdr_rate_cleaned!$A$2:$A$10,B4332,mdr_rate_cleaned!$B$2:$B$10,"&lt;"&amp;C4332,mdr_rate_cleaned!$F$2:$F$10,"&gt;="&amp;C4332)</f>
        <v>1</v>
      </c>
      <c r="G4332" s="40">
        <f>SUMIFS(mdr_rate_cleaned!$G$2:$G$10,mdr_rate_cleaned!$A$2:$A$10,B4332,mdr_rate_cleaned!$B$2:$B$10,"&lt;"&amp;C4332,mdr_rate_cleaned!$F$2:$F$10,"&gt;="&amp;C4332)</f>
        <v>3.0000000000000001E-3</v>
      </c>
      <c r="H4332" s="24">
        <f t="shared" si="335"/>
        <v>36.89</v>
      </c>
      <c r="I4332" s="23" t="str">
        <f t="shared" si="336"/>
        <v>Match</v>
      </c>
      <c r="J4332" s="23" t="str">
        <f t="shared" si="337"/>
        <v>Match</v>
      </c>
      <c r="K4332" s="24">
        <f t="shared" si="338"/>
        <v>6.64</v>
      </c>
      <c r="L4332" s="24">
        <f t="shared" si="339"/>
        <v>0</v>
      </c>
    </row>
    <row r="4333" spans="1:12" ht="15" customHeight="1" x14ac:dyDescent="0.3">
      <c r="A4333" s="23" t="s">
        <v>17594</v>
      </c>
      <c r="B4333" s="23" t="s">
        <v>75</v>
      </c>
      <c r="C4333" s="39">
        <v>1098</v>
      </c>
      <c r="D4333" s="24">
        <v>0</v>
      </c>
      <c r="E4333" s="24">
        <v>0</v>
      </c>
      <c r="F4333" s="23">
        <f>COUNTIFS(mdr_rate_cleaned!$A$2:$A$10,B4333,mdr_rate_cleaned!$B$2:$B$10,"&lt;"&amp;C4333,mdr_rate_cleaned!$F$2:$F$10,"&gt;="&amp;C4333)</f>
        <v>1</v>
      </c>
      <c r="G4333" s="40">
        <f>SUMIFS(mdr_rate_cleaned!$G$2:$G$10,mdr_rate_cleaned!$A$2:$A$10,B4333,mdr_rate_cleaned!$B$2:$B$10,"&lt;"&amp;C4333,mdr_rate_cleaned!$F$2:$F$10,"&gt;="&amp;C4333)</f>
        <v>0</v>
      </c>
      <c r="H4333" s="24">
        <f t="shared" si="335"/>
        <v>0</v>
      </c>
      <c r="I4333" s="23" t="str">
        <f t="shared" si="336"/>
        <v>Match</v>
      </c>
      <c r="J4333" s="23" t="str">
        <f t="shared" si="337"/>
        <v>Match</v>
      </c>
      <c r="K4333" s="24">
        <f t="shared" si="338"/>
        <v>0</v>
      </c>
      <c r="L4333" s="24">
        <f t="shared" si="339"/>
        <v>0</v>
      </c>
    </row>
    <row r="4334" spans="1:12" ht="15" customHeight="1" x14ac:dyDescent="0.3">
      <c r="A4334" s="23" t="s">
        <v>17595</v>
      </c>
      <c r="B4334" s="23" t="s">
        <v>75</v>
      </c>
      <c r="C4334" s="39">
        <v>299</v>
      </c>
      <c r="D4334" s="24">
        <v>0.9</v>
      </c>
      <c r="E4334" s="24">
        <v>0.16</v>
      </c>
      <c r="F4334" s="23">
        <f>COUNTIFS(mdr_rate_cleaned!$A$2:$A$10,B4334,mdr_rate_cleaned!$B$2:$B$10,"&lt;"&amp;C4334,mdr_rate_cleaned!$F$2:$F$10,"&gt;="&amp;C4334)</f>
        <v>1</v>
      </c>
      <c r="G4334" s="40">
        <f>SUMIFS(mdr_rate_cleaned!$G$2:$G$10,mdr_rate_cleaned!$A$2:$A$10,B4334,mdr_rate_cleaned!$B$2:$B$10,"&lt;"&amp;C4334,mdr_rate_cleaned!$F$2:$F$10,"&gt;="&amp;C4334)</f>
        <v>0</v>
      </c>
      <c r="H4334" s="24">
        <f t="shared" si="335"/>
        <v>0</v>
      </c>
      <c r="I4334" s="23" t="str">
        <f t="shared" si="336"/>
        <v>Differs</v>
      </c>
      <c r="J4334" s="23" t="str">
        <f t="shared" si="337"/>
        <v>Match</v>
      </c>
      <c r="K4334" s="24">
        <f t="shared" si="338"/>
        <v>0</v>
      </c>
      <c r="L4334" s="24">
        <f t="shared" si="339"/>
        <v>1.06</v>
      </c>
    </row>
    <row r="4335" spans="1:12" ht="15" customHeight="1" x14ac:dyDescent="0.3">
      <c r="A4335" s="23" t="s">
        <v>17596</v>
      </c>
      <c r="B4335" s="23" t="s">
        <v>81</v>
      </c>
      <c r="C4335" s="39">
        <v>4397</v>
      </c>
      <c r="D4335" s="24">
        <v>52.76</v>
      </c>
      <c r="E4335" s="24">
        <v>9.5</v>
      </c>
      <c r="F4335" s="23">
        <f>COUNTIFS(mdr_rate_cleaned!$A$2:$A$10,B4335,mdr_rate_cleaned!$B$2:$B$10,"&lt;"&amp;C4335,mdr_rate_cleaned!$F$2:$F$10,"&gt;="&amp;C4335)</f>
        <v>1</v>
      </c>
      <c r="G4335" s="40">
        <f>SUMIFS(mdr_rate_cleaned!$G$2:$G$10,mdr_rate_cleaned!$A$2:$A$10,B4335,mdr_rate_cleaned!$B$2:$B$10,"&lt;"&amp;C4335,mdr_rate_cleaned!$F$2:$F$10,"&gt;="&amp;C4335)</f>
        <v>1.2E-2</v>
      </c>
      <c r="H4335" s="24">
        <f t="shared" si="335"/>
        <v>52.76</v>
      </c>
      <c r="I4335" s="23" t="str">
        <f t="shared" si="336"/>
        <v>Match</v>
      </c>
      <c r="J4335" s="23" t="str">
        <f t="shared" si="337"/>
        <v>Match</v>
      </c>
      <c r="K4335" s="24">
        <f t="shared" si="338"/>
        <v>9.5</v>
      </c>
      <c r="L4335" s="24">
        <f t="shared" si="339"/>
        <v>0</v>
      </c>
    </row>
    <row r="4336" spans="1:12" ht="15" customHeight="1" x14ac:dyDescent="0.3">
      <c r="A4336" s="23" t="s">
        <v>17597</v>
      </c>
      <c r="B4336" s="23" t="s">
        <v>79</v>
      </c>
      <c r="C4336" s="39">
        <v>3798</v>
      </c>
      <c r="D4336" s="24">
        <v>60.77</v>
      </c>
      <c r="E4336" s="24">
        <v>10.94</v>
      </c>
      <c r="F4336" s="23">
        <f>COUNTIFS(mdr_rate_cleaned!$A$2:$A$10,B4336,mdr_rate_cleaned!$B$2:$B$10,"&lt;"&amp;C4336,mdr_rate_cleaned!$F$2:$F$10,"&gt;="&amp;C4336)</f>
        <v>1</v>
      </c>
      <c r="G4336" s="40">
        <f>SUMIFS(mdr_rate_cleaned!$G$2:$G$10,mdr_rate_cleaned!$A$2:$A$10,B4336,mdr_rate_cleaned!$B$2:$B$10,"&lt;"&amp;C4336,mdr_rate_cleaned!$F$2:$F$10,"&gt;="&amp;C4336)</f>
        <v>1.6E-2</v>
      </c>
      <c r="H4336" s="24">
        <f t="shared" si="335"/>
        <v>60.77</v>
      </c>
      <c r="I4336" s="23" t="str">
        <f t="shared" si="336"/>
        <v>Match</v>
      </c>
      <c r="J4336" s="23" t="str">
        <f t="shared" si="337"/>
        <v>Match</v>
      </c>
      <c r="K4336" s="24">
        <f t="shared" si="338"/>
        <v>10.94</v>
      </c>
      <c r="L4336" s="24">
        <f t="shared" si="339"/>
        <v>0</v>
      </c>
    </row>
    <row r="4337" spans="1:12" ht="15" customHeight="1" x14ac:dyDescent="0.3">
      <c r="A4337" s="23" t="s">
        <v>17599</v>
      </c>
      <c r="B4337" s="23" t="s">
        <v>75</v>
      </c>
      <c r="C4337" s="39">
        <v>6297</v>
      </c>
      <c r="D4337" s="24">
        <v>18.89</v>
      </c>
      <c r="E4337" s="24">
        <v>3.4</v>
      </c>
      <c r="F4337" s="23">
        <f>COUNTIFS(mdr_rate_cleaned!$A$2:$A$10,B4337,mdr_rate_cleaned!$B$2:$B$10,"&lt;"&amp;C4337,mdr_rate_cleaned!$F$2:$F$10,"&gt;="&amp;C4337)</f>
        <v>1</v>
      </c>
      <c r="G4337" s="40">
        <f>SUMIFS(mdr_rate_cleaned!$G$2:$G$10,mdr_rate_cleaned!$A$2:$A$10,B4337,mdr_rate_cleaned!$B$2:$B$10,"&lt;"&amp;C4337,mdr_rate_cleaned!$F$2:$F$10,"&gt;="&amp;C4337)</f>
        <v>3.0000000000000001E-3</v>
      </c>
      <c r="H4337" s="24">
        <f t="shared" si="335"/>
        <v>18.89</v>
      </c>
      <c r="I4337" s="23" t="str">
        <f t="shared" si="336"/>
        <v>Match</v>
      </c>
      <c r="J4337" s="23" t="str">
        <f t="shared" si="337"/>
        <v>Match</v>
      </c>
      <c r="K4337" s="24">
        <f t="shared" si="338"/>
        <v>3.4</v>
      </c>
      <c r="L4337" s="24">
        <f t="shared" si="339"/>
        <v>0</v>
      </c>
    </row>
    <row r="4338" spans="1:12" ht="15" customHeight="1" x14ac:dyDescent="0.3">
      <c r="A4338" s="23" t="s">
        <v>17600</v>
      </c>
      <c r="B4338" s="23" t="s">
        <v>75</v>
      </c>
      <c r="C4338" s="39">
        <v>3597</v>
      </c>
      <c r="D4338" s="24">
        <v>10.79</v>
      </c>
      <c r="E4338" s="24">
        <v>1.94</v>
      </c>
      <c r="F4338" s="23">
        <f>COUNTIFS(mdr_rate_cleaned!$A$2:$A$10,B4338,mdr_rate_cleaned!$B$2:$B$10,"&lt;"&amp;C4338,mdr_rate_cleaned!$F$2:$F$10,"&gt;="&amp;C4338)</f>
        <v>1</v>
      </c>
      <c r="G4338" s="40">
        <f>SUMIFS(mdr_rate_cleaned!$G$2:$G$10,mdr_rate_cleaned!$A$2:$A$10,B4338,mdr_rate_cleaned!$B$2:$B$10,"&lt;"&amp;C4338,mdr_rate_cleaned!$F$2:$F$10,"&gt;="&amp;C4338)</f>
        <v>3.0000000000000001E-3</v>
      </c>
      <c r="H4338" s="24">
        <f t="shared" si="335"/>
        <v>10.79</v>
      </c>
      <c r="I4338" s="23" t="str">
        <f t="shared" si="336"/>
        <v>Match</v>
      </c>
      <c r="J4338" s="23" t="str">
        <f t="shared" si="337"/>
        <v>Match</v>
      </c>
      <c r="K4338" s="24">
        <f t="shared" si="338"/>
        <v>1.94</v>
      </c>
      <c r="L4338" s="24">
        <f t="shared" si="339"/>
        <v>0</v>
      </c>
    </row>
    <row r="4339" spans="1:12" ht="15" customHeight="1" x14ac:dyDescent="0.3">
      <c r="A4339" s="23" t="s">
        <v>17601</v>
      </c>
      <c r="B4339" s="23" t="s">
        <v>81</v>
      </c>
      <c r="C4339" s="39">
        <v>349</v>
      </c>
      <c r="D4339" s="24">
        <v>5.24</v>
      </c>
      <c r="E4339" s="24">
        <v>0.94</v>
      </c>
      <c r="F4339" s="23">
        <f>COUNTIFS(mdr_rate_cleaned!$A$2:$A$10,B4339,mdr_rate_cleaned!$B$2:$B$10,"&lt;"&amp;C4339,mdr_rate_cleaned!$F$2:$F$10,"&gt;="&amp;C4339)</f>
        <v>1</v>
      </c>
      <c r="G4339" s="40">
        <f>SUMIFS(mdr_rate_cleaned!$G$2:$G$10,mdr_rate_cleaned!$A$2:$A$10,B4339,mdr_rate_cleaned!$B$2:$B$10,"&lt;"&amp;C4339,mdr_rate_cleaned!$F$2:$F$10,"&gt;="&amp;C4339)</f>
        <v>1.4999999999999999E-2</v>
      </c>
      <c r="H4339" s="24">
        <f t="shared" si="335"/>
        <v>5.24</v>
      </c>
      <c r="I4339" s="23" t="str">
        <f t="shared" si="336"/>
        <v>Match</v>
      </c>
      <c r="J4339" s="23" t="str">
        <f t="shared" si="337"/>
        <v>Match</v>
      </c>
      <c r="K4339" s="24">
        <f t="shared" si="338"/>
        <v>0.94</v>
      </c>
      <c r="L4339" s="24">
        <f t="shared" si="339"/>
        <v>0</v>
      </c>
    </row>
    <row r="4340" spans="1:12" ht="15" customHeight="1" x14ac:dyDescent="0.3">
      <c r="A4340" s="23" t="s">
        <v>17602</v>
      </c>
      <c r="B4340" s="23" t="s">
        <v>75</v>
      </c>
      <c r="C4340" s="39">
        <v>1299</v>
      </c>
      <c r="D4340" s="24">
        <v>0</v>
      </c>
      <c r="E4340" s="24">
        <v>0</v>
      </c>
      <c r="F4340" s="23">
        <f>COUNTIFS(mdr_rate_cleaned!$A$2:$A$10,B4340,mdr_rate_cleaned!$B$2:$B$10,"&lt;"&amp;C4340,mdr_rate_cleaned!$F$2:$F$10,"&gt;="&amp;C4340)</f>
        <v>1</v>
      </c>
      <c r="G4340" s="40">
        <f>SUMIFS(mdr_rate_cleaned!$G$2:$G$10,mdr_rate_cleaned!$A$2:$A$10,B4340,mdr_rate_cleaned!$B$2:$B$10,"&lt;"&amp;C4340,mdr_rate_cleaned!$F$2:$F$10,"&gt;="&amp;C4340)</f>
        <v>0</v>
      </c>
      <c r="H4340" s="24">
        <f t="shared" si="335"/>
        <v>0</v>
      </c>
      <c r="I4340" s="23" t="str">
        <f t="shared" si="336"/>
        <v>Match</v>
      </c>
      <c r="J4340" s="23" t="str">
        <f t="shared" si="337"/>
        <v>Match</v>
      </c>
      <c r="K4340" s="24">
        <f t="shared" si="338"/>
        <v>0</v>
      </c>
      <c r="L4340" s="24">
        <f t="shared" si="339"/>
        <v>0</v>
      </c>
    </row>
    <row r="4341" spans="1:12" ht="15" customHeight="1" x14ac:dyDescent="0.3">
      <c r="A4341" s="23" t="s">
        <v>17603</v>
      </c>
      <c r="B4341" s="23" t="s">
        <v>75</v>
      </c>
      <c r="C4341" s="39">
        <v>1098</v>
      </c>
      <c r="D4341" s="24">
        <v>0</v>
      </c>
      <c r="E4341" s="24">
        <v>0</v>
      </c>
      <c r="F4341" s="23">
        <f>COUNTIFS(mdr_rate_cleaned!$A$2:$A$10,B4341,mdr_rate_cleaned!$B$2:$B$10,"&lt;"&amp;C4341,mdr_rate_cleaned!$F$2:$F$10,"&gt;="&amp;C4341)</f>
        <v>1</v>
      </c>
      <c r="G4341" s="40">
        <f>SUMIFS(mdr_rate_cleaned!$G$2:$G$10,mdr_rate_cleaned!$A$2:$A$10,B4341,mdr_rate_cleaned!$B$2:$B$10,"&lt;"&amp;C4341,mdr_rate_cleaned!$F$2:$F$10,"&gt;="&amp;C4341)</f>
        <v>0</v>
      </c>
      <c r="H4341" s="24">
        <f t="shared" si="335"/>
        <v>0</v>
      </c>
      <c r="I4341" s="23" t="str">
        <f t="shared" si="336"/>
        <v>Match</v>
      </c>
      <c r="J4341" s="23" t="str">
        <f t="shared" si="337"/>
        <v>Match</v>
      </c>
      <c r="K4341" s="24">
        <f t="shared" si="338"/>
        <v>0</v>
      </c>
      <c r="L4341" s="24">
        <f t="shared" si="339"/>
        <v>0</v>
      </c>
    </row>
    <row r="4342" spans="1:12" ht="15" customHeight="1" x14ac:dyDescent="0.3">
      <c r="A4342" s="23" t="s">
        <v>17605</v>
      </c>
      <c r="B4342" s="23" t="s">
        <v>79</v>
      </c>
      <c r="C4342" s="39">
        <v>1847</v>
      </c>
      <c r="D4342" s="24">
        <v>33.25</v>
      </c>
      <c r="E4342" s="24">
        <v>5.99</v>
      </c>
      <c r="F4342" s="23">
        <f>COUNTIFS(mdr_rate_cleaned!$A$2:$A$10,B4342,mdr_rate_cleaned!$B$2:$B$10,"&lt;"&amp;C4342,mdr_rate_cleaned!$F$2:$F$10,"&gt;="&amp;C4342)</f>
        <v>1</v>
      </c>
      <c r="G4342" s="40">
        <f>SUMIFS(mdr_rate_cleaned!$G$2:$G$10,mdr_rate_cleaned!$A$2:$A$10,B4342,mdr_rate_cleaned!$B$2:$B$10,"&lt;"&amp;C4342,mdr_rate_cleaned!$F$2:$F$10,"&gt;="&amp;C4342)</f>
        <v>1.8000000000000002E-2</v>
      </c>
      <c r="H4342" s="24">
        <f t="shared" si="335"/>
        <v>33.25</v>
      </c>
      <c r="I4342" s="23" t="str">
        <f t="shared" si="336"/>
        <v>Match</v>
      </c>
      <c r="J4342" s="23" t="str">
        <f t="shared" si="337"/>
        <v>Match</v>
      </c>
      <c r="K4342" s="24">
        <f t="shared" si="338"/>
        <v>5.99</v>
      </c>
      <c r="L4342" s="24">
        <f t="shared" si="339"/>
        <v>0</v>
      </c>
    </row>
    <row r="4343" spans="1:12" ht="15" customHeight="1" x14ac:dyDescent="0.3">
      <c r="A4343" s="23" t="s">
        <v>17606</v>
      </c>
      <c r="B4343" s="23" t="s">
        <v>75</v>
      </c>
      <c r="C4343" s="39">
        <v>1898</v>
      </c>
      <c r="D4343" s="24">
        <v>0</v>
      </c>
      <c r="E4343" s="24">
        <v>0</v>
      </c>
      <c r="F4343" s="23">
        <f>COUNTIFS(mdr_rate_cleaned!$A$2:$A$10,B4343,mdr_rate_cleaned!$B$2:$B$10,"&lt;"&amp;C4343,mdr_rate_cleaned!$F$2:$F$10,"&gt;="&amp;C4343)</f>
        <v>1</v>
      </c>
      <c r="G4343" s="40">
        <f>SUMIFS(mdr_rate_cleaned!$G$2:$G$10,mdr_rate_cleaned!$A$2:$A$10,B4343,mdr_rate_cleaned!$B$2:$B$10,"&lt;"&amp;C4343,mdr_rate_cleaned!$F$2:$F$10,"&gt;="&amp;C4343)</f>
        <v>0</v>
      </c>
      <c r="H4343" s="24">
        <f t="shared" si="335"/>
        <v>0</v>
      </c>
      <c r="I4343" s="23" t="str">
        <f t="shared" si="336"/>
        <v>Match</v>
      </c>
      <c r="J4343" s="23" t="str">
        <f t="shared" si="337"/>
        <v>Match</v>
      </c>
      <c r="K4343" s="24">
        <f t="shared" si="338"/>
        <v>0</v>
      </c>
      <c r="L4343" s="24">
        <f t="shared" si="339"/>
        <v>0</v>
      </c>
    </row>
    <row r="4344" spans="1:12" ht="15" customHeight="1" x14ac:dyDescent="0.3">
      <c r="A4344" s="23" t="s">
        <v>17607</v>
      </c>
      <c r="B4344" s="23" t="s">
        <v>79</v>
      </c>
      <c r="C4344" s="39">
        <v>7998</v>
      </c>
      <c r="D4344" s="24">
        <v>127.97</v>
      </c>
      <c r="E4344" s="24">
        <v>23.03</v>
      </c>
      <c r="F4344" s="23">
        <f>COUNTIFS(mdr_rate_cleaned!$A$2:$A$10,B4344,mdr_rate_cleaned!$B$2:$B$10,"&lt;"&amp;C4344,mdr_rate_cleaned!$F$2:$F$10,"&gt;="&amp;C4344)</f>
        <v>1</v>
      </c>
      <c r="G4344" s="40">
        <f>SUMIFS(mdr_rate_cleaned!$G$2:$G$10,mdr_rate_cleaned!$A$2:$A$10,B4344,mdr_rate_cleaned!$B$2:$B$10,"&lt;"&amp;C4344,mdr_rate_cleaned!$F$2:$F$10,"&gt;="&amp;C4344)</f>
        <v>1.6E-2</v>
      </c>
      <c r="H4344" s="24">
        <f t="shared" si="335"/>
        <v>127.97</v>
      </c>
      <c r="I4344" s="23" t="str">
        <f t="shared" si="336"/>
        <v>Match</v>
      </c>
      <c r="J4344" s="23" t="str">
        <f t="shared" si="337"/>
        <v>Match</v>
      </c>
      <c r="K4344" s="24">
        <f t="shared" si="338"/>
        <v>23.03</v>
      </c>
      <c r="L4344" s="24">
        <f t="shared" si="339"/>
        <v>0</v>
      </c>
    </row>
    <row r="4345" spans="1:12" ht="15" customHeight="1" x14ac:dyDescent="0.3">
      <c r="A4345" s="23" t="s">
        <v>17608</v>
      </c>
      <c r="B4345" s="23" t="s">
        <v>75</v>
      </c>
      <c r="C4345" s="39">
        <v>4999</v>
      </c>
      <c r="D4345" s="24">
        <v>15</v>
      </c>
      <c r="E4345" s="24">
        <v>2.7</v>
      </c>
      <c r="F4345" s="23">
        <f>COUNTIFS(mdr_rate_cleaned!$A$2:$A$10,B4345,mdr_rate_cleaned!$B$2:$B$10,"&lt;"&amp;C4345,mdr_rate_cleaned!$F$2:$F$10,"&gt;="&amp;C4345)</f>
        <v>1</v>
      </c>
      <c r="G4345" s="40">
        <f>SUMIFS(mdr_rate_cleaned!$G$2:$G$10,mdr_rate_cleaned!$A$2:$A$10,B4345,mdr_rate_cleaned!$B$2:$B$10,"&lt;"&amp;C4345,mdr_rate_cleaned!$F$2:$F$10,"&gt;="&amp;C4345)</f>
        <v>3.0000000000000001E-3</v>
      </c>
      <c r="H4345" s="24">
        <f t="shared" si="335"/>
        <v>15</v>
      </c>
      <c r="I4345" s="23" t="str">
        <f t="shared" si="336"/>
        <v>Match</v>
      </c>
      <c r="J4345" s="23" t="str">
        <f t="shared" si="337"/>
        <v>Match</v>
      </c>
      <c r="K4345" s="24">
        <f t="shared" si="338"/>
        <v>2.7</v>
      </c>
      <c r="L4345" s="24">
        <f t="shared" si="339"/>
        <v>0</v>
      </c>
    </row>
    <row r="4346" spans="1:12" ht="15" customHeight="1" x14ac:dyDescent="0.3">
      <c r="A4346" s="23" t="s">
        <v>17609</v>
      </c>
      <c r="B4346" s="23" t="s">
        <v>75</v>
      </c>
      <c r="C4346" s="39">
        <v>2697</v>
      </c>
      <c r="D4346" s="24">
        <v>8.09</v>
      </c>
      <c r="E4346" s="24">
        <v>1.46</v>
      </c>
      <c r="F4346" s="23">
        <f>COUNTIFS(mdr_rate_cleaned!$A$2:$A$10,B4346,mdr_rate_cleaned!$B$2:$B$10,"&lt;"&amp;C4346,mdr_rate_cleaned!$F$2:$F$10,"&gt;="&amp;C4346)</f>
        <v>1</v>
      </c>
      <c r="G4346" s="40">
        <f>SUMIFS(mdr_rate_cleaned!$G$2:$G$10,mdr_rate_cleaned!$A$2:$A$10,B4346,mdr_rate_cleaned!$B$2:$B$10,"&lt;"&amp;C4346,mdr_rate_cleaned!$F$2:$F$10,"&gt;="&amp;C4346)</f>
        <v>3.0000000000000001E-3</v>
      </c>
      <c r="H4346" s="24">
        <f t="shared" si="335"/>
        <v>8.09</v>
      </c>
      <c r="I4346" s="23" t="str">
        <f t="shared" si="336"/>
        <v>Match</v>
      </c>
      <c r="J4346" s="23" t="str">
        <f t="shared" si="337"/>
        <v>Match</v>
      </c>
      <c r="K4346" s="24">
        <f t="shared" si="338"/>
        <v>1.46</v>
      </c>
      <c r="L4346" s="24">
        <f t="shared" si="339"/>
        <v>0</v>
      </c>
    </row>
    <row r="4347" spans="1:12" ht="15" customHeight="1" x14ac:dyDescent="0.3">
      <c r="A4347" s="23" t="s">
        <v>17610</v>
      </c>
      <c r="B4347" s="23" t="s">
        <v>81</v>
      </c>
      <c r="C4347" s="39">
        <v>1799</v>
      </c>
      <c r="D4347" s="24">
        <v>26.99</v>
      </c>
      <c r="E4347" s="24">
        <v>4.8600000000000003</v>
      </c>
      <c r="F4347" s="23">
        <f>COUNTIFS(mdr_rate_cleaned!$A$2:$A$10,B4347,mdr_rate_cleaned!$B$2:$B$10,"&lt;"&amp;C4347,mdr_rate_cleaned!$F$2:$F$10,"&gt;="&amp;C4347)</f>
        <v>1</v>
      </c>
      <c r="G4347" s="40">
        <f>SUMIFS(mdr_rate_cleaned!$G$2:$G$10,mdr_rate_cleaned!$A$2:$A$10,B4347,mdr_rate_cleaned!$B$2:$B$10,"&lt;"&amp;C4347,mdr_rate_cleaned!$F$2:$F$10,"&gt;="&amp;C4347)</f>
        <v>1.4999999999999999E-2</v>
      </c>
      <c r="H4347" s="24">
        <f t="shared" si="335"/>
        <v>26.99</v>
      </c>
      <c r="I4347" s="23" t="str">
        <f t="shared" si="336"/>
        <v>Match</v>
      </c>
      <c r="J4347" s="23" t="str">
        <f t="shared" si="337"/>
        <v>Match</v>
      </c>
      <c r="K4347" s="24">
        <f t="shared" si="338"/>
        <v>4.8600000000000003</v>
      </c>
      <c r="L4347" s="24">
        <f t="shared" si="339"/>
        <v>0</v>
      </c>
    </row>
    <row r="4348" spans="1:12" ht="15" customHeight="1" x14ac:dyDescent="0.3">
      <c r="A4348" s="23" t="s">
        <v>17611</v>
      </c>
      <c r="B4348" s="23" t="s">
        <v>79</v>
      </c>
      <c r="C4348" s="39">
        <v>9097</v>
      </c>
      <c r="D4348" s="24">
        <v>145.55000000000001</v>
      </c>
      <c r="E4348" s="24">
        <v>26.2</v>
      </c>
      <c r="F4348" s="23">
        <f>COUNTIFS(mdr_rate_cleaned!$A$2:$A$10,B4348,mdr_rate_cleaned!$B$2:$B$10,"&lt;"&amp;C4348,mdr_rate_cleaned!$F$2:$F$10,"&gt;="&amp;C4348)</f>
        <v>1</v>
      </c>
      <c r="G4348" s="40">
        <f>SUMIFS(mdr_rate_cleaned!$G$2:$G$10,mdr_rate_cleaned!$A$2:$A$10,B4348,mdr_rate_cleaned!$B$2:$B$10,"&lt;"&amp;C4348,mdr_rate_cleaned!$F$2:$F$10,"&gt;="&amp;C4348)</f>
        <v>1.6E-2</v>
      </c>
      <c r="H4348" s="24">
        <f t="shared" si="335"/>
        <v>145.55000000000001</v>
      </c>
      <c r="I4348" s="23" t="str">
        <f t="shared" si="336"/>
        <v>Match</v>
      </c>
      <c r="J4348" s="23" t="str">
        <f t="shared" si="337"/>
        <v>Match</v>
      </c>
      <c r="K4348" s="24">
        <f t="shared" si="338"/>
        <v>26.2</v>
      </c>
      <c r="L4348" s="24">
        <f t="shared" si="339"/>
        <v>0</v>
      </c>
    </row>
    <row r="4349" spans="1:12" ht="15" customHeight="1" x14ac:dyDescent="0.3">
      <c r="A4349" s="23" t="s">
        <v>17612</v>
      </c>
      <c r="B4349" s="23" t="s">
        <v>75</v>
      </c>
      <c r="C4349" s="39">
        <v>1299</v>
      </c>
      <c r="D4349" s="24">
        <v>0</v>
      </c>
      <c r="E4349" s="24">
        <v>0</v>
      </c>
      <c r="F4349" s="23">
        <f>COUNTIFS(mdr_rate_cleaned!$A$2:$A$10,B4349,mdr_rate_cleaned!$B$2:$B$10,"&lt;"&amp;C4349,mdr_rate_cleaned!$F$2:$F$10,"&gt;="&amp;C4349)</f>
        <v>1</v>
      </c>
      <c r="G4349" s="40">
        <f>SUMIFS(mdr_rate_cleaned!$G$2:$G$10,mdr_rate_cleaned!$A$2:$A$10,B4349,mdr_rate_cleaned!$B$2:$B$10,"&lt;"&amp;C4349,mdr_rate_cleaned!$F$2:$F$10,"&gt;="&amp;C4349)</f>
        <v>0</v>
      </c>
      <c r="H4349" s="24">
        <f t="shared" si="335"/>
        <v>0</v>
      </c>
      <c r="I4349" s="23" t="str">
        <f t="shared" si="336"/>
        <v>Match</v>
      </c>
      <c r="J4349" s="23" t="str">
        <f t="shared" si="337"/>
        <v>Match</v>
      </c>
      <c r="K4349" s="24">
        <f t="shared" si="338"/>
        <v>0</v>
      </c>
      <c r="L4349" s="24">
        <f t="shared" si="339"/>
        <v>0</v>
      </c>
    </row>
    <row r="4350" spans="1:12" ht="15" customHeight="1" x14ac:dyDescent="0.3">
      <c r="A4350" s="23" t="s">
        <v>17613</v>
      </c>
      <c r="B4350" s="23" t="s">
        <v>79</v>
      </c>
      <c r="C4350" s="39">
        <v>2798</v>
      </c>
      <c r="D4350" s="24">
        <v>44.77</v>
      </c>
      <c r="E4350" s="24">
        <v>8.06</v>
      </c>
      <c r="F4350" s="23">
        <f>COUNTIFS(mdr_rate_cleaned!$A$2:$A$10,B4350,mdr_rate_cleaned!$B$2:$B$10,"&lt;"&amp;C4350,mdr_rate_cleaned!$F$2:$F$10,"&gt;="&amp;C4350)</f>
        <v>1</v>
      </c>
      <c r="G4350" s="40">
        <f>SUMIFS(mdr_rate_cleaned!$G$2:$G$10,mdr_rate_cleaned!$A$2:$A$10,B4350,mdr_rate_cleaned!$B$2:$B$10,"&lt;"&amp;C4350,mdr_rate_cleaned!$F$2:$F$10,"&gt;="&amp;C4350)</f>
        <v>1.6E-2</v>
      </c>
      <c r="H4350" s="24">
        <f t="shared" si="335"/>
        <v>44.77</v>
      </c>
      <c r="I4350" s="23" t="str">
        <f t="shared" si="336"/>
        <v>Match</v>
      </c>
      <c r="J4350" s="23" t="str">
        <f t="shared" si="337"/>
        <v>Match</v>
      </c>
      <c r="K4350" s="24">
        <f t="shared" si="338"/>
        <v>8.06</v>
      </c>
      <c r="L4350" s="24">
        <f t="shared" si="339"/>
        <v>0</v>
      </c>
    </row>
    <row r="4351" spans="1:12" ht="15" customHeight="1" x14ac:dyDescent="0.3">
      <c r="A4351" s="23" t="s">
        <v>17614</v>
      </c>
      <c r="B4351" s="23" t="s">
        <v>81</v>
      </c>
      <c r="C4351" s="39">
        <v>1848</v>
      </c>
      <c r="D4351" s="24">
        <v>27.72</v>
      </c>
      <c r="E4351" s="24">
        <v>4.99</v>
      </c>
      <c r="F4351" s="23">
        <f>COUNTIFS(mdr_rate_cleaned!$A$2:$A$10,B4351,mdr_rate_cleaned!$B$2:$B$10,"&lt;"&amp;C4351,mdr_rate_cleaned!$F$2:$F$10,"&gt;="&amp;C4351)</f>
        <v>1</v>
      </c>
      <c r="G4351" s="40">
        <f>SUMIFS(mdr_rate_cleaned!$G$2:$G$10,mdr_rate_cleaned!$A$2:$A$10,B4351,mdr_rate_cleaned!$B$2:$B$10,"&lt;"&amp;C4351,mdr_rate_cleaned!$F$2:$F$10,"&gt;="&amp;C4351)</f>
        <v>1.4999999999999999E-2</v>
      </c>
      <c r="H4351" s="24">
        <f t="shared" si="335"/>
        <v>27.72</v>
      </c>
      <c r="I4351" s="23" t="str">
        <f t="shared" si="336"/>
        <v>Match</v>
      </c>
      <c r="J4351" s="23" t="str">
        <f t="shared" si="337"/>
        <v>Match</v>
      </c>
      <c r="K4351" s="24">
        <f t="shared" si="338"/>
        <v>4.99</v>
      </c>
      <c r="L4351" s="24">
        <f t="shared" si="339"/>
        <v>0</v>
      </c>
    </row>
    <row r="4352" spans="1:12" ht="15" customHeight="1" x14ac:dyDescent="0.3">
      <c r="A4352" s="23" t="s">
        <v>17615</v>
      </c>
      <c r="B4352" s="23" t="s">
        <v>77</v>
      </c>
      <c r="C4352" s="39">
        <v>2598</v>
      </c>
      <c r="D4352" s="24">
        <v>44.17</v>
      </c>
      <c r="E4352" s="24">
        <v>7.95</v>
      </c>
      <c r="F4352" s="23">
        <f>COUNTIFS(mdr_rate_cleaned!$A$2:$A$10,B4352,mdr_rate_cleaned!$B$2:$B$10,"&lt;"&amp;C4352,mdr_rate_cleaned!$F$2:$F$10,"&gt;="&amp;C4352)</f>
        <v>1</v>
      </c>
      <c r="G4352" s="40">
        <f>SUMIFS(mdr_rate_cleaned!$G$2:$G$10,mdr_rate_cleaned!$A$2:$A$10,B4352,mdr_rate_cleaned!$B$2:$B$10,"&lt;"&amp;C4352,mdr_rate_cleaned!$F$2:$F$10,"&gt;="&amp;C4352)</f>
        <v>1.7000000000000001E-2</v>
      </c>
      <c r="H4352" s="24">
        <f t="shared" si="335"/>
        <v>44.17</v>
      </c>
      <c r="I4352" s="23" t="str">
        <f t="shared" si="336"/>
        <v>Match</v>
      </c>
      <c r="J4352" s="23" t="str">
        <f t="shared" si="337"/>
        <v>Match</v>
      </c>
      <c r="K4352" s="24">
        <f t="shared" si="338"/>
        <v>7.95</v>
      </c>
      <c r="L4352" s="24">
        <f t="shared" si="339"/>
        <v>0</v>
      </c>
    </row>
    <row r="4353" spans="1:12" ht="15" customHeight="1" x14ac:dyDescent="0.3">
      <c r="A4353" s="23" t="s">
        <v>17616</v>
      </c>
      <c r="B4353" s="23" t="s">
        <v>75</v>
      </c>
      <c r="C4353" s="39">
        <v>12998</v>
      </c>
      <c r="D4353" s="24">
        <v>38.99</v>
      </c>
      <c r="E4353" s="24">
        <v>7.02</v>
      </c>
      <c r="F4353" s="23">
        <f>COUNTIFS(mdr_rate_cleaned!$A$2:$A$10,B4353,mdr_rate_cleaned!$B$2:$B$10,"&lt;"&amp;C4353,mdr_rate_cleaned!$F$2:$F$10,"&gt;="&amp;C4353)</f>
        <v>1</v>
      </c>
      <c r="G4353" s="40">
        <f>SUMIFS(mdr_rate_cleaned!$G$2:$G$10,mdr_rate_cleaned!$A$2:$A$10,B4353,mdr_rate_cleaned!$B$2:$B$10,"&lt;"&amp;C4353,mdr_rate_cleaned!$F$2:$F$10,"&gt;="&amp;C4353)</f>
        <v>3.0000000000000001E-3</v>
      </c>
      <c r="H4353" s="24">
        <f t="shared" si="335"/>
        <v>38.99</v>
      </c>
      <c r="I4353" s="23" t="str">
        <f t="shared" si="336"/>
        <v>Match</v>
      </c>
      <c r="J4353" s="23" t="str">
        <f t="shared" si="337"/>
        <v>Match</v>
      </c>
      <c r="K4353" s="24">
        <f t="shared" si="338"/>
        <v>7.02</v>
      </c>
      <c r="L4353" s="24">
        <f t="shared" si="339"/>
        <v>0</v>
      </c>
    </row>
    <row r="4354" spans="1:12" ht="15" customHeight="1" x14ac:dyDescent="0.3">
      <c r="A4354" s="23" t="s">
        <v>17617</v>
      </c>
      <c r="B4354" s="23" t="s">
        <v>75</v>
      </c>
      <c r="C4354" s="39">
        <v>2499</v>
      </c>
      <c r="D4354" s="24">
        <v>7.5</v>
      </c>
      <c r="E4354" s="24">
        <v>1.35</v>
      </c>
      <c r="F4354" s="23">
        <f>COUNTIFS(mdr_rate_cleaned!$A$2:$A$10,B4354,mdr_rate_cleaned!$B$2:$B$10,"&lt;"&amp;C4354,mdr_rate_cleaned!$F$2:$F$10,"&gt;="&amp;C4354)</f>
        <v>1</v>
      </c>
      <c r="G4354" s="40">
        <f>SUMIFS(mdr_rate_cleaned!$G$2:$G$10,mdr_rate_cleaned!$A$2:$A$10,B4354,mdr_rate_cleaned!$B$2:$B$10,"&lt;"&amp;C4354,mdr_rate_cleaned!$F$2:$F$10,"&gt;="&amp;C4354)</f>
        <v>3.0000000000000001E-3</v>
      </c>
      <c r="H4354" s="24">
        <f t="shared" ref="H4354:H4417" si="340">ROUND(C4354*G4354,2)</f>
        <v>7.5</v>
      </c>
      <c r="I4354" s="23" t="str">
        <f t="shared" ref="I4354:I4417" si="341">IF(ROUND(D4354-H4354,2)=0,"Match","Differs")</f>
        <v>Match</v>
      </c>
      <c r="J4354" s="23" t="str">
        <f t="shared" ref="J4354:J4417" si="342">IF(ROUND(E4354-ROUND(D4354*0.18,2),2)=0,"Match","Differs")</f>
        <v>Match</v>
      </c>
      <c r="K4354" s="24">
        <f t="shared" ref="K4354:K4417" si="343">ROUND(H4354*0.18,2)</f>
        <v>1.35</v>
      </c>
      <c r="L4354" s="24">
        <f t="shared" ref="L4354:L4417" si="344">ROUND(D4354+E4354-H4354-K4354,2)</f>
        <v>0</v>
      </c>
    </row>
    <row r="4355" spans="1:12" ht="15" customHeight="1" x14ac:dyDescent="0.3">
      <c r="A4355" s="23" t="s">
        <v>17618</v>
      </c>
      <c r="B4355" s="23" t="s">
        <v>75</v>
      </c>
      <c r="C4355" s="39">
        <v>3348</v>
      </c>
      <c r="D4355" s="24">
        <v>10.039999999999999</v>
      </c>
      <c r="E4355" s="24">
        <v>1.81</v>
      </c>
      <c r="F4355" s="23">
        <f>COUNTIFS(mdr_rate_cleaned!$A$2:$A$10,B4355,mdr_rate_cleaned!$B$2:$B$10,"&lt;"&amp;C4355,mdr_rate_cleaned!$F$2:$F$10,"&gt;="&amp;C4355)</f>
        <v>1</v>
      </c>
      <c r="G4355" s="40">
        <f>SUMIFS(mdr_rate_cleaned!$G$2:$G$10,mdr_rate_cleaned!$A$2:$A$10,B4355,mdr_rate_cleaned!$B$2:$B$10,"&lt;"&amp;C4355,mdr_rate_cleaned!$F$2:$F$10,"&gt;="&amp;C4355)</f>
        <v>3.0000000000000001E-3</v>
      </c>
      <c r="H4355" s="24">
        <f t="shared" si="340"/>
        <v>10.039999999999999</v>
      </c>
      <c r="I4355" s="23" t="str">
        <f t="shared" si="341"/>
        <v>Match</v>
      </c>
      <c r="J4355" s="23" t="str">
        <f t="shared" si="342"/>
        <v>Match</v>
      </c>
      <c r="K4355" s="24">
        <f t="shared" si="343"/>
        <v>1.81</v>
      </c>
      <c r="L4355" s="24">
        <f t="shared" si="344"/>
        <v>0</v>
      </c>
    </row>
    <row r="4356" spans="1:12" ht="15" customHeight="1" x14ac:dyDescent="0.3">
      <c r="A4356" s="23" t="s">
        <v>17619</v>
      </c>
      <c r="B4356" s="23" t="s">
        <v>75</v>
      </c>
      <c r="C4356" s="39">
        <v>4999</v>
      </c>
      <c r="D4356" s="24">
        <v>15</v>
      </c>
      <c r="E4356" s="24">
        <v>2.7</v>
      </c>
      <c r="F4356" s="23">
        <f>COUNTIFS(mdr_rate_cleaned!$A$2:$A$10,B4356,mdr_rate_cleaned!$B$2:$B$10,"&lt;"&amp;C4356,mdr_rate_cleaned!$F$2:$F$10,"&gt;="&amp;C4356)</f>
        <v>1</v>
      </c>
      <c r="G4356" s="40">
        <f>SUMIFS(mdr_rate_cleaned!$G$2:$G$10,mdr_rate_cleaned!$A$2:$A$10,B4356,mdr_rate_cleaned!$B$2:$B$10,"&lt;"&amp;C4356,mdr_rate_cleaned!$F$2:$F$10,"&gt;="&amp;C4356)</f>
        <v>3.0000000000000001E-3</v>
      </c>
      <c r="H4356" s="24">
        <f t="shared" si="340"/>
        <v>15</v>
      </c>
      <c r="I4356" s="23" t="str">
        <f t="shared" si="341"/>
        <v>Match</v>
      </c>
      <c r="J4356" s="23" t="str">
        <f t="shared" si="342"/>
        <v>Match</v>
      </c>
      <c r="K4356" s="24">
        <f t="shared" si="343"/>
        <v>2.7</v>
      </c>
      <c r="L4356" s="24">
        <f t="shared" si="344"/>
        <v>0</v>
      </c>
    </row>
    <row r="4357" spans="1:12" ht="15" customHeight="1" x14ac:dyDescent="0.3">
      <c r="A4357" s="23" t="s">
        <v>17620</v>
      </c>
      <c r="B4357" s="23" t="s">
        <v>75</v>
      </c>
      <c r="C4357" s="39">
        <v>6097</v>
      </c>
      <c r="D4357" s="24">
        <v>18.29</v>
      </c>
      <c r="E4357" s="24">
        <v>3.29</v>
      </c>
      <c r="F4357" s="23">
        <f>COUNTIFS(mdr_rate_cleaned!$A$2:$A$10,B4357,mdr_rate_cleaned!$B$2:$B$10,"&lt;"&amp;C4357,mdr_rate_cleaned!$F$2:$F$10,"&gt;="&amp;C4357)</f>
        <v>1</v>
      </c>
      <c r="G4357" s="40">
        <f>SUMIFS(mdr_rate_cleaned!$G$2:$G$10,mdr_rate_cleaned!$A$2:$A$10,B4357,mdr_rate_cleaned!$B$2:$B$10,"&lt;"&amp;C4357,mdr_rate_cleaned!$F$2:$F$10,"&gt;="&amp;C4357)</f>
        <v>3.0000000000000001E-3</v>
      </c>
      <c r="H4357" s="24">
        <f t="shared" si="340"/>
        <v>18.29</v>
      </c>
      <c r="I4357" s="23" t="str">
        <f t="shared" si="341"/>
        <v>Match</v>
      </c>
      <c r="J4357" s="23" t="str">
        <f t="shared" si="342"/>
        <v>Match</v>
      </c>
      <c r="K4357" s="24">
        <f t="shared" si="343"/>
        <v>3.29</v>
      </c>
      <c r="L4357" s="24">
        <f t="shared" si="344"/>
        <v>0</v>
      </c>
    </row>
    <row r="4358" spans="1:12" ht="15" customHeight="1" x14ac:dyDescent="0.3">
      <c r="A4358" s="23" t="s">
        <v>17621</v>
      </c>
      <c r="B4358" s="23" t="s">
        <v>75</v>
      </c>
      <c r="C4358" s="39">
        <v>1299</v>
      </c>
      <c r="D4358" s="24">
        <v>0</v>
      </c>
      <c r="E4358" s="24">
        <v>0</v>
      </c>
      <c r="F4358" s="23">
        <f>COUNTIFS(mdr_rate_cleaned!$A$2:$A$10,B4358,mdr_rate_cleaned!$B$2:$B$10,"&lt;"&amp;C4358,mdr_rate_cleaned!$F$2:$F$10,"&gt;="&amp;C4358)</f>
        <v>1</v>
      </c>
      <c r="G4358" s="40">
        <f>SUMIFS(mdr_rate_cleaned!$G$2:$G$10,mdr_rate_cleaned!$A$2:$A$10,B4358,mdr_rate_cleaned!$B$2:$B$10,"&lt;"&amp;C4358,mdr_rate_cleaned!$F$2:$F$10,"&gt;="&amp;C4358)</f>
        <v>0</v>
      </c>
      <c r="H4358" s="24">
        <f t="shared" si="340"/>
        <v>0</v>
      </c>
      <c r="I4358" s="23" t="str">
        <f t="shared" si="341"/>
        <v>Match</v>
      </c>
      <c r="J4358" s="23" t="str">
        <f t="shared" si="342"/>
        <v>Match</v>
      </c>
      <c r="K4358" s="24">
        <f t="shared" si="343"/>
        <v>0</v>
      </c>
      <c r="L4358" s="24">
        <f t="shared" si="344"/>
        <v>0</v>
      </c>
    </row>
    <row r="4359" spans="1:12" ht="15" customHeight="1" x14ac:dyDescent="0.3">
      <c r="A4359" s="23" t="s">
        <v>17622</v>
      </c>
      <c r="B4359" s="23" t="s">
        <v>81</v>
      </c>
      <c r="C4359" s="39">
        <v>499</v>
      </c>
      <c r="D4359" s="24">
        <v>7.49</v>
      </c>
      <c r="E4359" s="24">
        <v>1.35</v>
      </c>
      <c r="F4359" s="23">
        <f>COUNTIFS(mdr_rate_cleaned!$A$2:$A$10,B4359,mdr_rate_cleaned!$B$2:$B$10,"&lt;"&amp;C4359,mdr_rate_cleaned!$F$2:$F$10,"&gt;="&amp;C4359)</f>
        <v>1</v>
      </c>
      <c r="G4359" s="40">
        <f>SUMIFS(mdr_rate_cleaned!$G$2:$G$10,mdr_rate_cleaned!$A$2:$A$10,B4359,mdr_rate_cleaned!$B$2:$B$10,"&lt;"&amp;C4359,mdr_rate_cleaned!$F$2:$F$10,"&gt;="&amp;C4359)</f>
        <v>1.4999999999999999E-2</v>
      </c>
      <c r="H4359" s="24">
        <f t="shared" si="340"/>
        <v>7.49</v>
      </c>
      <c r="I4359" s="23" t="str">
        <f t="shared" si="341"/>
        <v>Match</v>
      </c>
      <c r="J4359" s="23" t="str">
        <f t="shared" si="342"/>
        <v>Match</v>
      </c>
      <c r="K4359" s="24">
        <f t="shared" si="343"/>
        <v>1.35</v>
      </c>
      <c r="L4359" s="24">
        <f t="shared" si="344"/>
        <v>0</v>
      </c>
    </row>
    <row r="4360" spans="1:12" ht="15" customHeight="1" x14ac:dyDescent="0.3">
      <c r="A4360" s="23" t="s">
        <v>17623</v>
      </c>
      <c r="B4360" s="23" t="s">
        <v>75</v>
      </c>
      <c r="C4360" s="39">
        <v>2499</v>
      </c>
      <c r="D4360" s="24">
        <v>7.5</v>
      </c>
      <c r="E4360" s="24">
        <v>1.35</v>
      </c>
      <c r="F4360" s="23">
        <f>COUNTIFS(mdr_rate_cleaned!$A$2:$A$10,B4360,mdr_rate_cleaned!$B$2:$B$10,"&lt;"&amp;C4360,mdr_rate_cleaned!$F$2:$F$10,"&gt;="&amp;C4360)</f>
        <v>1</v>
      </c>
      <c r="G4360" s="40">
        <f>SUMIFS(mdr_rate_cleaned!$G$2:$G$10,mdr_rate_cleaned!$A$2:$A$10,B4360,mdr_rate_cleaned!$B$2:$B$10,"&lt;"&amp;C4360,mdr_rate_cleaned!$F$2:$F$10,"&gt;="&amp;C4360)</f>
        <v>3.0000000000000001E-3</v>
      </c>
      <c r="H4360" s="24">
        <f t="shared" si="340"/>
        <v>7.5</v>
      </c>
      <c r="I4360" s="23" t="str">
        <f t="shared" si="341"/>
        <v>Match</v>
      </c>
      <c r="J4360" s="23" t="str">
        <f t="shared" si="342"/>
        <v>Match</v>
      </c>
      <c r="K4360" s="24">
        <f t="shared" si="343"/>
        <v>1.35</v>
      </c>
      <c r="L4360" s="24">
        <f t="shared" si="344"/>
        <v>0</v>
      </c>
    </row>
    <row r="4361" spans="1:12" ht="15" customHeight="1" x14ac:dyDescent="0.3">
      <c r="A4361" s="23" t="s">
        <v>17625</v>
      </c>
      <c r="B4361" s="23" t="s">
        <v>75</v>
      </c>
      <c r="C4361" s="39">
        <v>9998</v>
      </c>
      <c r="D4361" s="24">
        <v>29.99</v>
      </c>
      <c r="E4361" s="24">
        <v>5.4</v>
      </c>
      <c r="F4361" s="23">
        <f>COUNTIFS(mdr_rate_cleaned!$A$2:$A$10,B4361,mdr_rate_cleaned!$B$2:$B$10,"&lt;"&amp;C4361,mdr_rate_cleaned!$F$2:$F$10,"&gt;="&amp;C4361)</f>
        <v>1</v>
      </c>
      <c r="G4361" s="40">
        <f>SUMIFS(mdr_rate_cleaned!$G$2:$G$10,mdr_rate_cleaned!$A$2:$A$10,B4361,mdr_rate_cleaned!$B$2:$B$10,"&lt;"&amp;C4361,mdr_rate_cleaned!$F$2:$F$10,"&gt;="&amp;C4361)</f>
        <v>3.0000000000000001E-3</v>
      </c>
      <c r="H4361" s="24">
        <f t="shared" si="340"/>
        <v>29.99</v>
      </c>
      <c r="I4361" s="23" t="str">
        <f t="shared" si="341"/>
        <v>Match</v>
      </c>
      <c r="J4361" s="23" t="str">
        <f t="shared" si="342"/>
        <v>Match</v>
      </c>
      <c r="K4361" s="24">
        <f t="shared" si="343"/>
        <v>5.4</v>
      </c>
      <c r="L4361" s="24">
        <f t="shared" si="344"/>
        <v>0</v>
      </c>
    </row>
    <row r="4362" spans="1:12" ht="15" customHeight="1" x14ac:dyDescent="0.3">
      <c r="A4362" s="23" t="s">
        <v>17626</v>
      </c>
      <c r="B4362" s="23" t="s">
        <v>75</v>
      </c>
      <c r="C4362" s="39">
        <v>1598</v>
      </c>
      <c r="D4362" s="24">
        <v>0</v>
      </c>
      <c r="E4362" s="24">
        <v>0</v>
      </c>
      <c r="F4362" s="23">
        <f>COUNTIFS(mdr_rate_cleaned!$A$2:$A$10,B4362,mdr_rate_cleaned!$B$2:$B$10,"&lt;"&amp;C4362,mdr_rate_cleaned!$F$2:$F$10,"&gt;="&amp;C4362)</f>
        <v>1</v>
      </c>
      <c r="G4362" s="40">
        <f>SUMIFS(mdr_rate_cleaned!$G$2:$G$10,mdr_rate_cleaned!$A$2:$A$10,B4362,mdr_rate_cleaned!$B$2:$B$10,"&lt;"&amp;C4362,mdr_rate_cleaned!$F$2:$F$10,"&gt;="&amp;C4362)</f>
        <v>0</v>
      </c>
      <c r="H4362" s="24">
        <f t="shared" si="340"/>
        <v>0</v>
      </c>
      <c r="I4362" s="23" t="str">
        <f t="shared" si="341"/>
        <v>Match</v>
      </c>
      <c r="J4362" s="23" t="str">
        <f t="shared" si="342"/>
        <v>Match</v>
      </c>
      <c r="K4362" s="24">
        <f t="shared" si="343"/>
        <v>0</v>
      </c>
      <c r="L4362" s="24">
        <f t="shared" si="344"/>
        <v>0</v>
      </c>
    </row>
    <row r="4363" spans="1:12" ht="15" customHeight="1" x14ac:dyDescent="0.3">
      <c r="A4363" s="23" t="s">
        <v>17627</v>
      </c>
      <c r="B4363" s="23" t="s">
        <v>75</v>
      </c>
      <c r="C4363" s="39">
        <v>6297</v>
      </c>
      <c r="D4363" s="24">
        <v>18.89</v>
      </c>
      <c r="E4363" s="24">
        <v>3.4</v>
      </c>
      <c r="F4363" s="23">
        <f>COUNTIFS(mdr_rate_cleaned!$A$2:$A$10,B4363,mdr_rate_cleaned!$B$2:$B$10,"&lt;"&amp;C4363,mdr_rate_cleaned!$F$2:$F$10,"&gt;="&amp;C4363)</f>
        <v>1</v>
      </c>
      <c r="G4363" s="40">
        <f>SUMIFS(mdr_rate_cleaned!$G$2:$G$10,mdr_rate_cleaned!$A$2:$A$10,B4363,mdr_rate_cleaned!$B$2:$B$10,"&lt;"&amp;C4363,mdr_rate_cleaned!$F$2:$F$10,"&gt;="&amp;C4363)</f>
        <v>3.0000000000000001E-3</v>
      </c>
      <c r="H4363" s="24">
        <f t="shared" si="340"/>
        <v>18.89</v>
      </c>
      <c r="I4363" s="23" t="str">
        <f t="shared" si="341"/>
        <v>Match</v>
      </c>
      <c r="J4363" s="23" t="str">
        <f t="shared" si="342"/>
        <v>Match</v>
      </c>
      <c r="K4363" s="24">
        <f t="shared" si="343"/>
        <v>3.4</v>
      </c>
      <c r="L4363" s="24">
        <f t="shared" si="344"/>
        <v>0</v>
      </c>
    </row>
    <row r="4364" spans="1:12" ht="15" customHeight="1" x14ac:dyDescent="0.3">
      <c r="A4364" s="23" t="s">
        <v>17628</v>
      </c>
      <c r="B4364" s="23" t="s">
        <v>75</v>
      </c>
      <c r="C4364" s="39">
        <v>3447</v>
      </c>
      <c r="D4364" s="24">
        <v>10.34</v>
      </c>
      <c r="E4364" s="24">
        <v>1.86</v>
      </c>
      <c r="F4364" s="23">
        <f>COUNTIFS(mdr_rate_cleaned!$A$2:$A$10,B4364,mdr_rate_cleaned!$B$2:$B$10,"&lt;"&amp;C4364,mdr_rate_cleaned!$F$2:$F$10,"&gt;="&amp;C4364)</f>
        <v>1</v>
      </c>
      <c r="G4364" s="40">
        <f>SUMIFS(mdr_rate_cleaned!$G$2:$G$10,mdr_rate_cleaned!$A$2:$A$10,B4364,mdr_rate_cleaned!$B$2:$B$10,"&lt;"&amp;C4364,mdr_rate_cleaned!$F$2:$F$10,"&gt;="&amp;C4364)</f>
        <v>3.0000000000000001E-3</v>
      </c>
      <c r="H4364" s="24">
        <f t="shared" si="340"/>
        <v>10.34</v>
      </c>
      <c r="I4364" s="23" t="str">
        <f t="shared" si="341"/>
        <v>Match</v>
      </c>
      <c r="J4364" s="23" t="str">
        <f t="shared" si="342"/>
        <v>Match</v>
      </c>
      <c r="K4364" s="24">
        <f t="shared" si="343"/>
        <v>1.86</v>
      </c>
      <c r="L4364" s="24">
        <f t="shared" si="344"/>
        <v>0</v>
      </c>
    </row>
    <row r="4365" spans="1:12" ht="15" customHeight="1" x14ac:dyDescent="0.3">
      <c r="A4365" s="23" t="s">
        <v>17629</v>
      </c>
      <c r="B4365" s="23" t="s">
        <v>79</v>
      </c>
      <c r="C4365" s="39">
        <v>7998</v>
      </c>
      <c r="D4365" s="24">
        <v>127.97</v>
      </c>
      <c r="E4365" s="24">
        <v>23.03</v>
      </c>
      <c r="F4365" s="23">
        <f>COUNTIFS(mdr_rate_cleaned!$A$2:$A$10,B4365,mdr_rate_cleaned!$B$2:$B$10,"&lt;"&amp;C4365,mdr_rate_cleaned!$F$2:$F$10,"&gt;="&amp;C4365)</f>
        <v>1</v>
      </c>
      <c r="G4365" s="40">
        <f>SUMIFS(mdr_rate_cleaned!$G$2:$G$10,mdr_rate_cleaned!$A$2:$A$10,B4365,mdr_rate_cleaned!$B$2:$B$10,"&lt;"&amp;C4365,mdr_rate_cleaned!$F$2:$F$10,"&gt;="&amp;C4365)</f>
        <v>1.6E-2</v>
      </c>
      <c r="H4365" s="24">
        <f t="shared" si="340"/>
        <v>127.97</v>
      </c>
      <c r="I4365" s="23" t="str">
        <f t="shared" si="341"/>
        <v>Match</v>
      </c>
      <c r="J4365" s="23" t="str">
        <f t="shared" si="342"/>
        <v>Match</v>
      </c>
      <c r="K4365" s="24">
        <f t="shared" si="343"/>
        <v>23.03</v>
      </c>
      <c r="L4365" s="24">
        <f t="shared" si="344"/>
        <v>0</v>
      </c>
    </row>
    <row r="4366" spans="1:12" ht="15" customHeight="1" x14ac:dyDescent="0.3">
      <c r="A4366" s="23" t="s">
        <v>17637</v>
      </c>
      <c r="B4366" s="23" t="s">
        <v>81</v>
      </c>
      <c r="C4366" s="39">
        <v>349</v>
      </c>
      <c r="D4366" s="24">
        <v>5.24</v>
      </c>
      <c r="E4366" s="24">
        <v>0.94</v>
      </c>
      <c r="F4366" s="23">
        <f>COUNTIFS(mdr_rate_cleaned!$A$2:$A$10,B4366,mdr_rate_cleaned!$B$2:$B$10,"&lt;"&amp;C4366,mdr_rate_cleaned!$F$2:$F$10,"&gt;="&amp;C4366)</f>
        <v>1</v>
      </c>
      <c r="G4366" s="40">
        <f>SUMIFS(mdr_rate_cleaned!$G$2:$G$10,mdr_rate_cleaned!$A$2:$A$10,B4366,mdr_rate_cleaned!$B$2:$B$10,"&lt;"&amp;C4366,mdr_rate_cleaned!$F$2:$F$10,"&gt;="&amp;C4366)</f>
        <v>1.4999999999999999E-2</v>
      </c>
      <c r="H4366" s="24">
        <f t="shared" si="340"/>
        <v>5.24</v>
      </c>
      <c r="I4366" s="23" t="str">
        <f t="shared" si="341"/>
        <v>Match</v>
      </c>
      <c r="J4366" s="23" t="str">
        <f t="shared" si="342"/>
        <v>Match</v>
      </c>
      <c r="K4366" s="24">
        <f t="shared" si="343"/>
        <v>0.94</v>
      </c>
      <c r="L4366" s="24">
        <f t="shared" si="344"/>
        <v>0</v>
      </c>
    </row>
    <row r="4367" spans="1:12" ht="15" customHeight="1" x14ac:dyDescent="0.3">
      <c r="A4367" s="23" t="s">
        <v>17638</v>
      </c>
      <c r="B4367" s="23" t="s">
        <v>75</v>
      </c>
      <c r="C4367" s="39">
        <v>5498</v>
      </c>
      <c r="D4367" s="24">
        <v>16.489999999999998</v>
      </c>
      <c r="E4367" s="24">
        <v>2.97</v>
      </c>
      <c r="F4367" s="23">
        <f>COUNTIFS(mdr_rate_cleaned!$A$2:$A$10,B4367,mdr_rate_cleaned!$B$2:$B$10,"&lt;"&amp;C4367,mdr_rate_cleaned!$F$2:$F$10,"&gt;="&amp;C4367)</f>
        <v>1</v>
      </c>
      <c r="G4367" s="40">
        <f>SUMIFS(mdr_rate_cleaned!$G$2:$G$10,mdr_rate_cleaned!$A$2:$A$10,B4367,mdr_rate_cleaned!$B$2:$B$10,"&lt;"&amp;C4367,mdr_rate_cleaned!$F$2:$F$10,"&gt;="&amp;C4367)</f>
        <v>3.0000000000000001E-3</v>
      </c>
      <c r="H4367" s="24">
        <f t="shared" si="340"/>
        <v>16.489999999999998</v>
      </c>
      <c r="I4367" s="23" t="str">
        <f t="shared" si="341"/>
        <v>Match</v>
      </c>
      <c r="J4367" s="23" t="str">
        <f t="shared" si="342"/>
        <v>Match</v>
      </c>
      <c r="K4367" s="24">
        <f t="shared" si="343"/>
        <v>2.97</v>
      </c>
      <c r="L4367" s="24">
        <f t="shared" si="344"/>
        <v>0</v>
      </c>
    </row>
    <row r="4368" spans="1:12" ht="15" customHeight="1" x14ac:dyDescent="0.3">
      <c r="A4368" s="23" t="s">
        <v>17639</v>
      </c>
      <c r="B4368" s="23" t="s">
        <v>75</v>
      </c>
      <c r="C4368" s="39">
        <v>4998</v>
      </c>
      <c r="D4368" s="24">
        <v>14.99</v>
      </c>
      <c r="E4368" s="24">
        <v>2.7</v>
      </c>
      <c r="F4368" s="23">
        <f>COUNTIFS(mdr_rate_cleaned!$A$2:$A$10,B4368,mdr_rate_cleaned!$B$2:$B$10,"&lt;"&amp;C4368,mdr_rate_cleaned!$F$2:$F$10,"&gt;="&amp;C4368)</f>
        <v>1</v>
      </c>
      <c r="G4368" s="40">
        <f>SUMIFS(mdr_rate_cleaned!$G$2:$G$10,mdr_rate_cleaned!$A$2:$A$10,B4368,mdr_rate_cleaned!$B$2:$B$10,"&lt;"&amp;C4368,mdr_rate_cleaned!$F$2:$F$10,"&gt;="&amp;C4368)</f>
        <v>3.0000000000000001E-3</v>
      </c>
      <c r="H4368" s="24">
        <f t="shared" si="340"/>
        <v>14.99</v>
      </c>
      <c r="I4368" s="23" t="str">
        <f t="shared" si="341"/>
        <v>Match</v>
      </c>
      <c r="J4368" s="23" t="str">
        <f t="shared" si="342"/>
        <v>Match</v>
      </c>
      <c r="K4368" s="24">
        <f t="shared" si="343"/>
        <v>2.7</v>
      </c>
      <c r="L4368" s="24">
        <f t="shared" si="344"/>
        <v>0</v>
      </c>
    </row>
    <row r="4369" spans="1:12" ht="15" customHeight="1" x14ac:dyDescent="0.3">
      <c r="A4369" s="23" t="s">
        <v>17640</v>
      </c>
      <c r="B4369" s="23" t="s">
        <v>75</v>
      </c>
      <c r="C4369" s="39">
        <v>1348</v>
      </c>
      <c r="D4369" s="24">
        <v>0</v>
      </c>
      <c r="E4369" s="24">
        <v>0</v>
      </c>
      <c r="F4369" s="23">
        <f>COUNTIFS(mdr_rate_cleaned!$A$2:$A$10,B4369,mdr_rate_cleaned!$B$2:$B$10,"&lt;"&amp;C4369,mdr_rate_cleaned!$F$2:$F$10,"&gt;="&amp;C4369)</f>
        <v>1</v>
      </c>
      <c r="G4369" s="40">
        <f>SUMIFS(mdr_rate_cleaned!$G$2:$G$10,mdr_rate_cleaned!$A$2:$A$10,B4369,mdr_rate_cleaned!$B$2:$B$10,"&lt;"&amp;C4369,mdr_rate_cleaned!$F$2:$F$10,"&gt;="&amp;C4369)</f>
        <v>0</v>
      </c>
      <c r="H4369" s="24">
        <f t="shared" si="340"/>
        <v>0</v>
      </c>
      <c r="I4369" s="23" t="str">
        <f t="shared" si="341"/>
        <v>Match</v>
      </c>
      <c r="J4369" s="23" t="str">
        <f t="shared" si="342"/>
        <v>Match</v>
      </c>
      <c r="K4369" s="24">
        <f t="shared" si="343"/>
        <v>0</v>
      </c>
      <c r="L4369" s="24">
        <f t="shared" si="344"/>
        <v>0</v>
      </c>
    </row>
    <row r="4370" spans="1:12" ht="15" customHeight="1" x14ac:dyDescent="0.3">
      <c r="A4370" s="23" t="s">
        <v>17642</v>
      </c>
      <c r="B4370" s="23" t="s">
        <v>75</v>
      </c>
      <c r="C4370" s="39">
        <v>1198</v>
      </c>
      <c r="D4370" s="24">
        <v>0</v>
      </c>
      <c r="E4370" s="24">
        <v>0</v>
      </c>
      <c r="F4370" s="23">
        <f>COUNTIFS(mdr_rate_cleaned!$A$2:$A$10,B4370,mdr_rate_cleaned!$B$2:$B$10,"&lt;"&amp;C4370,mdr_rate_cleaned!$F$2:$F$10,"&gt;="&amp;C4370)</f>
        <v>1</v>
      </c>
      <c r="G4370" s="40">
        <f>SUMIFS(mdr_rate_cleaned!$G$2:$G$10,mdr_rate_cleaned!$A$2:$A$10,B4370,mdr_rate_cleaned!$B$2:$B$10,"&lt;"&amp;C4370,mdr_rate_cleaned!$F$2:$F$10,"&gt;="&amp;C4370)</f>
        <v>0</v>
      </c>
      <c r="H4370" s="24">
        <f t="shared" si="340"/>
        <v>0</v>
      </c>
      <c r="I4370" s="23" t="str">
        <f t="shared" si="341"/>
        <v>Match</v>
      </c>
      <c r="J4370" s="23" t="str">
        <f t="shared" si="342"/>
        <v>Match</v>
      </c>
      <c r="K4370" s="24">
        <f t="shared" si="343"/>
        <v>0</v>
      </c>
      <c r="L4370" s="24">
        <f t="shared" si="344"/>
        <v>0</v>
      </c>
    </row>
    <row r="4371" spans="1:12" ht="15" customHeight="1" x14ac:dyDescent="0.3">
      <c r="A4371" s="23" t="s">
        <v>17643</v>
      </c>
      <c r="B4371" s="23" t="s">
        <v>75</v>
      </c>
      <c r="C4371" s="39">
        <v>599</v>
      </c>
      <c r="D4371" s="24">
        <v>0</v>
      </c>
      <c r="E4371" s="24">
        <v>0</v>
      </c>
      <c r="F4371" s="23">
        <f>COUNTIFS(mdr_rate_cleaned!$A$2:$A$10,B4371,mdr_rate_cleaned!$B$2:$B$10,"&lt;"&amp;C4371,mdr_rate_cleaned!$F$2:$F$10,"&gt;="&amp;C4371)</f>
        <v>1</v>
      </c>
      <c r="G4371" s="40">
        <f>SUMIFS(mdr_rate_cleaned!$G$2:$G$10,mdr_rate_cleaned!$A$2:$A$10,B4371,mdr_rate_cleaned!$B$2:$B$10,"&lt;"&amp;C4371,mdr_rate_cleaned!$F$2:$F$10,"&gt;="&amp;C4371)</f>
        <v>0</v>
      </c>
      <c r="H4371" s="24">
        <f t="shared" si="340"/>
        <v>0</v>
      </c>
      <c r="I4371" s="23" t="str">
        <f t="shared" si="341"/>
        <v>Match</v>
      </c>
      <c r="J4371" s="23" t="str">
        <f t="shared" si="342"/>
        <v>Match</v>
      </c>
      <c r="K4371" s="24">
        <f t="shared" si="343"/>
        <v>0</v>
      </c>
      <c r="L4371" s="24">
        <f t="shared" si="344"/>
        <v>0</v>
      </c>
    </row>
    <row r="4372" spans="1:12" ht="15" customHeight="1" x14ac:dyDescent="0.3">
      <c r="A4372" s="23" t="s">
        <v>17644</v>
      </c>
      <c r="B4372" s="23" t="s">
        <v>75</v>
      </c>
      <c r="C4372" s="39">
        <v>8498</v>
      </c>
      <c r="D4372" s="24">
        <v>25.49</v>
      </c>
      <c r="E4372" s="24">
        <v>4.59</v>
      </c>
      <c r="F4372" s="23">
        <f>COUNTIFS(mdr_rate_cleaned!$A$2:$A$10,B4372,mdr_rate_cleaned!$B$2:$B$10,"&lt;"&amp;C4372,mdr_rate_cleaned!$F$2:$F$10,"&gt;="&amp;C4372)</f>
        <v>1</v>
      </c>
      <c r="G4372" s="40">
        <f>SUMIFS(mdr_rate_cleaned!$G$2:$G$10,mdr_rate_cleaned!$A$2:$A$10,B4372,mdr_rate_cleaned!$B$2:$B$10,"&lt;"&amp;C4372,mdr_rate_cleaned!$F$2:$F$10,"&gt;="&amp;C4372)</f>
        <v>3.0000000000000001E-3</v>
      </c>
      <c r="H4372" s="24">
        <f t="shared" si="340"/>
        <v>25.49</v>
      </c>
      <c r="I4372" s="23" t="str">
        <f t="shared" si="341"/>
        <v>Match</v>
      </c>
      <c r="J4372" s="23" t="str">
        <f t="shared" si="342"/>
        <v>Match</v>
      </c>
      <c r="K4372" s="24">
        <f t="shared" si="343"/>
        <v>4.59</v>
      </c>
      <c r="L4372" s="24">
        <f t="shared" si="344"/>
        <v>0</v>
      </c>
    </row>
    <row r="4373" spans="1:12" ht="15" customHeight="1" x14ac:dyDescent="0.3">
      <c r="A4373" s="23" t="s">
        <v>17645</v>
      </c>
      <c r="B4373" s="23" t="s">
        <v>79</v>
      </c>
      <c r="C4373" s="39">
        <v>9498</v>
      </c>
      <c r="D4373" s="24">
        <v>151.97</v>
      </c>
      <c r="E4373" s="24">
        <v>27.35</v>
      </c>
      <c r="F4373" s="23">
        <f>COUNTIFS(mdr_rate_cleaned!$A$2:$A$10,B4373,mdr_rate_cleaned!$B$2:$B$10,"&lt;"&amp;C4373,mdr_rate_cleaned!$F$2:$F$10,"&gt;="&amp;C4373)</f>
        <v>1</v>
      </c>
      <c r="G4373" s="40">
        <f>SUMIFS(mdr_rate_cleaned!$G$2:$G$10,mdr_rate_cleaned!$A$2:$A$10,B4373,mdr_rate_cleaned!$B$2:$B$10,"&lt;"&amp;C4373,mdr_rate_cleaned!$F$2:$F$10,"&gt;="&amp;C4373)</f>
        <v>1.6E-2</v>
      </c>
      <c r="H4373" s="24">
        <f t="shared" si="340"/>
        <v>151.97</v>
      </c>
      <c r="I4373" s="23" t="str">
        <f t="shared" si="341"/>
        <v>Match</v>
      </c>
      <c r="J4373" s="23" t="str">
        <f t="shared" si="342"/>
        <v>Match</v>
      </c>
      <c r="K4373" s="24">
        <f t="shared" si="343"/>
        <v>27.35</v>
      </c>
      <c r="L4373" s="24">
        <f t="shared" si="344"/>
        <v>0</v>
      </c>
    </row>
    <row r="4374" spans="1:12" ht="15" customHeight="1" x14ac:dyDescent="0.3">
      <c r="A4374" s="23" t="s">
        <v>17646</v>
      </c>
      <c r="B4374" s="23" t="s">
        <v>77</v>
      </c>
      <c r="C4374" s="39">
        <v>799</v>
      </c>
      <c r="D4374" s="24">
        <v>15.18</v>
      </c>
      <c r="E4374" s="24">
        <v>2.73</v>
      </c>
      <c r="F4374" s="23">
        <f>COUNTIFS(mdr_rate_cleaned!$A$2:$A$10,B4374,mdr_rate_cleaned!$B$2:$B$10,"&lt;"&amp;C4374,mdr_rate_cleaned!$F$2:$F$10,"&gt;="&amp;C4374)</f>
        <v>1</v>
      </c>
      <c r="G4374" s="40">
        <f>SUMIFS(mdr_rate_cleaned!$G$2:$G$10,mdr_rate_cleaned!$A$2:$A$10,B4374,mdr_rate_cleaned!$B$2:$B$10,"&lt;"&amp;C4374,mdr_rate_cleaned!$F$2:$F$10,"&gt;="&amp;C4374)</f>
        <v>1.9E-2</v>
      </c>
      <c r="H4374" s="24">
        <f t="shared" si="340"/>
        <v>15.18</v>
      </c>
      <c r="I4374" s="23" t="str">
        <f t="shared" si="341"/>
        <v>Match</v>
      </c>
      <c r="J4374" s="23" t="str">
        <f t="shared" si="342"/>
        <v>Match</v>
      </c>
      <c r="K4374" s="24">
        <f t="shared" si="343"/>
        <v>2.73</v>
      </c>
      <c r="L4374" s="24">
        <f t="shared" si="344"/>
        <v>0</v>
      </c>
    </row>
    <row r="4375" spans="1:12" ht="15" customHeight="1" x14ac:dyDescent="0.3">
      <c r="A4375" s="23" t="s">
        <v>17647</v>
      </c>
      <c r="B4375" s="23" t="s">
        <v>77</v>
      </c>
      <c r="C4375" s="39">
        <v>3897</v>
      </c>
      <c r="D4375" s="24">
        <v>66.25</v>
      </c>
      <c r="E4375" s="24">
        <v>11.93</v>
      </c>
      <c r="F4375" s="23">
        <f>COUNTIFS(mdr_rate_cleaned!$A$2:$A$10,B4375,mdr_rate_cleaned!$B$2:$B$10,"&lt;"&amp;C4375,mdr_rate_cleaned!$F$2:$F$10,"&gt;="&amp;C4375)</f>
        <v>1</v>
      </c>
      <c r="G4375" s="40">
        <f>SUMIFS(mdr_rate_cleaned!$G$2:$G$10,mdr_rate_cleaned!$A$2:$A$10,B4375,mdr_rate_cleaned!$B$2:$B$10,"&lt;"&amp;C4375,mdr_rate_cleaned!$F$2:$F$10,"&gt;="&amp;C4375)</f>
        <v>1.7000000000000001E-2</v>
      </c>
      <c r="H4375" s="24">
        <f t="shared" si="340"/>
        <v>66.25</v>
      </c>
      <c r="I4375" s="23" t="str">
        <f t="shared" si="341"/>
        <v>Match</v>
      </c>
      <c r="J4375" s="23" t="str">
        <f t="shared" si="342"/>
        <v>Match</v>
      </c>
      <c r="K4375" s="24">
        <f t="shared" si="343"/>
        <v>11.93</v>
      </c>
      <c r="L4375" s="24">
        <f t="shared" si="344"/>
        <v>0</v>
      </c>
    </row>
    <row r="4376" spans="1:12" ht="15" customHeight="1" x14ac:dyDescent="0.3">
      <c r="A4376" s="23" t="s">
        <v>17648</v>
      </c>
      <c r="B4376" s="23" t="s">
        <v>79</v>
      </c>
      <c r="C4376" s="39">
        <v>1299</v>
      </c>
      <c r="D4376" s="24">
        <v>23.38</v>
      </c>
      <c r="E4376" s="24">
        <v>4.21</v>
      </c>
      <c r="F4376" s="23">
        <f>COUNTIFS(mdr_rate_cleaned!$A$2:$A$10,B4376,mdr_rate_cleaned!$B$2:$B$10,"&lt;"&amp;C4376,mdr_rate_cleaned!$F$2:$F$10,"&gt;="&amp;C4376)</f>
        <v>1</v>
      </c>
      <c r="G4376" s="40">
        <f>SUMIFS(mdr_rate_cleaned!$G$2:$G$10,mdr_rate_cleaned!$A$2:$A$10,B4376,mdr_rate_cleaned!$B$2:$B$10,"&lt;"&amp;C4376,mdr_rate_cleaned!$F$2:$F$10,"&gt;="&amp;C4376)</f>
        <v>1.8000000000000002E-2</v>
      </c>
      <c r="H4376" s="24">
        <f t="shared" si="340"/>
        <v>23.38</v>
      </c>
      <c r="I4376" s="23" t="str">
        <f t="shared" si="341"/>
        <v>Match</v>
      </c>
      <c r="J4376" s="23" t="str">
        <f t="shared" si="342"/>
        <v>Match</v>
      </c>
      <c r="K4376" s="24">
        <f t="shared" si="343"/>
        <v>4.21</v>
      </c>
      <c r="L4376" s="24">
        <f t="shared" si="344"/>
        <v>0</v>
      </c>
    </row>
    <row r="4377" spans="1:12" ht="15" customHeight="1" x14ac:dyDescent="0.3">
      <c r="A4377" s="23" t="s">
        <v>17649</v>
      </c>
      <c r="B4377" s="23" t="s">
        <v>75</v>
      </c>
      <c r="C4377" s="39">
        <v>349</v>
      </c>
      <c r="D4377" s="24">
        <v>0</v>
      </c>
      <c r="E4377" s="24">
        <v>0</v>
      </c>
      <c r="F4377" s="23">
        <f>COUNTIFS(mdr_rate_cleaned!$A$2:$A$10,B4377,mdr_rate_cleaned!$B$2:$B$10,"&lt;"&amp;C4377,mdr_rate_cleaned!$F$2:$F$10,"&gt;="&amp;C4377)</f>
        <v>1</v>
      </c>
      <c r="G4377" s="40">
        <f>SUMIFS(mdr_rate_cleaned!$G$2:$G$10,mdr_rate_cleaned!$A$2:$A$10,B4377,mdr_rate_cleaned!$B$2:$B$10,"&lt;"&amp;C4377,mdr_rate_cleaned!$F$2:$F$10,"&gt;="&amp;C4377)</f>
        <v>0</v>
      </c>
      <c r="H4377" s="24">
        <f t="shared" si="340"/>
        <v>0</v>
      </c>
      <c r="I4377" s="23" t="str">
        <f t="shared" si="341"/>
        <v>Match</v>
      </c>
      <c r="J4377" s="23" t="str">
        <f t="shared" si="342"/>
        <v>Match</v>
      </c>
      <c r="K4377" s="24">
        <f t="shared" si="343"/>
        <v>0</v>
      </c>
      <c r="L4377" s="24">
        <f t="shared" si="344"/>
        <v>0</v>
      </c>
    </row>
    <row r="4378" spans="1:12" ht="15" customHeight="1" x14ac:dyDescent="0.3">
      <c r="A4378" s="23" t="s">
        <v>17650</v>
      </c>
      <c r="B4378" s="23" t="s">
        <v>79</v>
      </c>
      <c r="C4378" s="39">
        <v>3098</v>
      </c>
      <c r="D4378" s="24">
        <v>49.57</v>
      </c>
      <c r="E4378" s="24">
        <v>8.92</v>
      </c>
      <c r="F4378" s="23">
        <f>COUNTIFS(mdr_rate_cleaned!$A$2:$A$10,B4378,mdr_rate_cleaned!$B$2:$B$10,"&lt;"&amp;C4378,mdr_rate_cleaned!$F$2:$F$10,"&gt;="&amp;C4378)</f>
        <v>1</v>
      </c>
      <c r="G4378" s="40">
        <f>SUMIFS(mdr_rate_cleaned!$G$2:$G$10,mdr_rate_cleaned!$A$2:$A$10,B4378,mdr_rate_cleaned!$B$2:$B$10,"&lt;"&amp;C4378,mdr_rate_cleaned!$F$2:$F$10,"&gt;="&amp;C4378)</f>
        <v>1.6E-2</v>
      </c>
      <c r="H4378" s="24">
        <f t="shared" si="340"/>
        <v>49.57</v>
      </c>
      <c r="I4378" s="23" t="str">
        <f t="shared" si="341"/>
        <v>Match</v>
      </c>
      <c r="J4378" s="23" t="str">
        <f t="shared" si="342"/>
        <v>Match</v>
      </c>
      <c r="K4378" s="24">
        <f t="shared" si="343"/>
        <v>8.92</v>
      </c>
      <c r="L4378" s="24">
        <f t="shared" si="344"/>
        <v>0</v>
      </c>
    </row>
    <row r="4379" spans="1:12" ht="15" customHeight="1" x14ac:dyDescent="0.3">
      <c r="A4379" s="23" t="s">
        <v>17651</v>
      </c>
      <c r="B4379" s="23" t="s">
        <v>75</v>
      </c>
      <c r="C4379" s="39">
        <v>1098</v>
      </c>
      <c r="D4379" s="24">
        <v>0</v>
      </c>
      <c r="E4379" s="24">
        <v>0</v>
      </c>
      <c r="F4379" s="23">
        <f>COUNTIFS(mdr_rate_cleaned!$A$2:$A$10,B4379,mdr_rate_cleaned!$B$2:$B$10,"&lt;"&amp;C4379,mdr_rate_cleaned!$F$2:$F$10,"&gt;="&amp;C4379)</f>
        <v>1</v>
      </c>
      <c r="G4379" s="40">
        <f>SUMIFS(mdr_rate_cleaned!$G$2:$G$10,mdr_rate_cleaned!$A$2:$A$10,B4379,mdr_rate_cleaned!$B$2:$B$10,"&lt;"&amp;C4379,mdr_rate_cleaned!$F$2:$F$10,"&gt;="&amp;C4379)</f>
        <v>0</v>
      </c>
      <c r="H4379" s="24">
        <f t="shared" si="340"/>
        <v>0</v>
      </c>
      <c r="I4379" s="23" t="str">
        <f t="shared" si="341"/>
        <v>Match</v>
      </c>
      <c r="J4379" s="23" t="str">
        <f t="shared" si="342"/>
        <v>Match</v>
      </c>
      <c r="K4379" s="24">
        <f t="shared" si="343"/>
        <v>0</v>
      </c>
      <c r="L4379" s="24">
        <f t="shared" si="344"/>
        <v>0</v>
      </c>
    </row>
    <row r="4380" spans="1:12" ht="15" customHeight="1" x14ac:dyDescent="0.3">
      <c r="A4380" s="23" t="s">
        <v>17652</v>
      </c>
      <c r="B4380" s="23" t="s">
        <v>75</v>
      </c>
      <c r="C4380" s="39">
        <v>999</v>
      </c>
      <c r="D4380" s="24">
        <v>0</v>
      </c>
      <c r="E4380" s="24">
        <v>0</v>
      </c>
      <c r="F4380" s="23">
        <f>COUNTIFS(mdr_rate_cleaned!$A$2:$A$10,B4380,mdr_rate_cleaned!$B$2:$B$10,"&lt;"&amp;C4380,mdr_rate_cleaned!$F$2:$F$10,"&gt;="&amp;C4380)</f>
        <v>1</v>
      </c>
      <c r="G4380" s="40">
        <f>SUMIFS(mdr_rate_cleaned!$G$2:$G$10,mdr_rate_cleaned!$A$2:$A$10,B4380,mdr_rate_cleaned!$B$2:$B$10,"&lt;"&amp;C4380,mdr_rate_cleaned!$F$2:$F$10,"&gt;="&amp;C4380)</f>
        <v>0</v>
      </c>
      <c r="H4380" s="24">
        <f t="shared" si="340"/>
        <v>0</v>
      </c>
      <c r="I4380" s="23" t="str">
        <f t="shared" si="341"/>
        <v>Match</v>
      </c>
      <c r="J4380" s="23" t="str">
        <f t="shared" si="342"/>
        <v>Match</v>
      </c>
      <c r="K4380" s="24">
        <f t="shared" si="343"/>
        <v>0</v>
      </c>
      <c r="L4380" s="24">
        <f t="shared" si="344"/>
        <v>0</v>
      </c>
    </row>
    <row r="4381" spans="1:12" ht="15" customHeight="1" x14ac:dyDescent="0.3">
      <c r="A4381" s="23" t="s">
        <v>17653</v>
      </c>
      <c r="B4381" s="23" t="s">
        <v>75</v>
      </c>
      <c r="C4381" s="39">
        <v>8998</v>
      </c>
      <c r="D4381" s="24">
        <v>26.99</v>
      </c>
      <c r="E4381" s="24">
        <v>4.8600000000000003</v>
      </c>
      <c r="F4381" s="23">
        <f>COUNTIFS(mdr_rate_cleaned!$A$2:$A$10,B4381,mdr_rate_cleaned!$B$2:$B$10,"&lt;"&amp;C4381,mdr_rate_cleaned!$F$2:$F$10,"&gt;="&amp;C4381)</f>
        <v>1</v>
      </c>
      <c r="G4381" s="40">
        <f>SUMIFS(mdr_rate_cleaned!$G$2:$G$10,mdr_rate_cleaned!$A$2:$A$10,B4381,mdr_rate_cleaned!$B$2:$B$10,"&lt;"&amp;C4381,mdr_rate_cleaned!$F$2:$F$10,"&gt;="&amp;C4381)</f>
        <v>3.0000000000000001E-3</v>
      </c>
      <c r="H4381" s="24">
        <f t="shared" si="340"/>
        <v>26.99</v>
      </c>
      <c r="I4381" s="23" t="str">
        <f t="shared" si="341"/>
        <v>Match</v>
      </c>
      <c r="J4381" s="23" t="str">
        <f t="shared" si="342"/>
        <v>Match</v>
      </c>
      <c r="K4381" s="24">
        <f t="shared" si="343"/>
        <v>4.8600000000000003</v>
      </c>
      <c r="L4381" s="24">
        <f t="shared" si="344"/>
        <v>0</v>
      </c>
    </row>
    <row r="4382" spans="1:12" ht="15" customHeight="1" x14ac:dyDescent="0.3">
      <c r="A4382" s="23" t="s">
        <v>17654</v>
      </c>
      <c r="B4382" s="23" t="s">
        <v>77</v>
      </c>
      <c r="C4382" s="39">
        <v>8497</v>
      </c>
      <c r="D4382" s="24">
        <v>203.93</v>
      </c>
      <c r="E4382" s="24">
        <v>36.71</v>
      </c>
      <c r="F4382" s="23">
        <f>COUNTIFS(mdr_rate_cleaned!$A$2:$A$10,B4382,mdr_rate_cleaned!$B$2:$B$10,"&lt;"&amp;C4382,mdr_rate_cleaned!$F$2:$F$10,"&gt;="&amp;C4382)</f>
        <v>1</v>
      </c>
      <c r="G4382" s="40">
        <f>SUMIFS(mdr_rate_cleaned!$G$2:$G$10,mdr_rate_cleaned!$A$2:$A$10,B4382,mdr_rate_cleaned!$B$2:$B$10,"&lt;"&amp;C4382,mdr_rate_cleaned!$F$2:$F$10,"&gt;="&amp;C4382)</f>
        <v>1.7000000000000001E-2</v>
      </c>
      <c r="H4382" s="24">
        <f t="shared" si="340"/>
        <v>144.44999999999999</v>
      </c>
      <c r="I4382" s="23" t="str">
        <f t="shared" si="341"/>
        <v>Differs</v>
      </c>
      <c r="J4382" s="23" t="str">
        <f t="shared" si="342"/>
        <v>Match</v>
      </c>
      <c r="K4382" s="24">
        <f t="shared" si="343"/>
        <v>26</v>
      </c>
      <c r="L4382" s="24">
        <f t="shared" si="344"/>
        <v>70.19</v>
      </c>
    </row>
    <row r="4383" spans="1:12" ht="15" customHeight="1" x14ac:dyDescent="0.3">
      <c r="A4383" s="23" t="s">
        <v>17655</v>
      </c>
      <c r="B4383" s="23" t="s">
        <v>79</v>
      </c>
      <c r="C4383" s="39">
        <v>3298</v>
      </c>
      <c r="D4383" s="24">
        <v>52.77</v>
      </c>
      <c r="E4383" s="24">
        <v>9.5</v>
      </c>
      <c r="F4383" s="23">
        <f>COUNTIFS(mdr_rate_cleaned!$A$2:$A$10,B4383,mdr_rate_cleaned!$B$2:$B$10,"&lt;"&amp;C4383,mdr_rate_cleaned!$F$2:$F$10,"&gt;="&amp;C4383)</f>
        <v>1</v>
      </c>
      <c r="G4383" s="40">
        <f>SUMIFS(mdr_rate_cleaned!$G$2:$G$10,mdr_rate_cleaned!$A$2:$A$10,B4383,mdr_rate_cleaned!$B$2:$B$10,"&lt;"&amp;C4383,mdr_rate_cleaned!$F$2:$F$10,"&gt;="&amp;C4383)</f>
        <v>1.6E-2</v>
      </c>
      <c r="H4383" s="24">
        <f t="shared" si="340"/>
        <v>52.77</v>
      </c>
      <c r="I4383" s="23" t="str">
        <f t="shared" si="341"/>
        <v>Match</v>
      </c>
      <c r="J4383" s="23" t="str">
        <f t="shared" si="342"/>
        <v>Match</v>
      </c>
      <c r="K4383" s="24">
        <f t="shared" si="343"/>
        <v>9.5</v>
      </c>
      <c r="L4383" s="24">
        <f t="shared" si="344"/>
        <v>0</v>
      </c>
    </row>
    <row r="4384" spans="1:12" ht="15" customHeight="1" x14ac:dyDescent="0.3">
      <c r="A4384" s="23" t="s">
        <v>17656</v>
      </c>
      <c r="B4384" s="23" t="s">
        <v>79</v>
      </c>
      <c r="C4384" s="39">
        <v>2897</v>
      </c>
      <c r="D4384" s="24">
        <v>46.35</v>
      </c>
      <c r="E4384" s="24">
        <v>8.34</v>
      </c>
      <c r="F4384" s="23">
        <f>COUNTIFS(mdr_rate_cleaned!$A$2:$A$10,B4384,mdr_rate_cleaned!$B$2:$B$10,"&lt;"&amp;C4384,mdr_rate_cleaned!$F$2:$F$10,"&gt;="&amp;C4384)</f>
        <v>1</v>
      </c>
      <c r="G4384" s="40">
        <f>SUMIFS(mdr_rate_cleaned!$G$2:$G$10,mdr_rate_cleaned!$A$2:$A$10,B4384,mdr_rate_cleaned!$B$2:$B$10,"&lt;"&amp;C4384,mdr_rate_cleaned!$F$2:$F$10,"&gt;="&amp;C4384)</f>
        <v>1.6E-2</v>
      </c>
      <c r="H4384" s="24">
        <f t="shared" si="340"/>
        <v>46.35</v>
      </c>
      <c r="I4384" s="23" t="str">
        <f t="shared" si="341"/>
        <v>Match</v>
      </c>
      <c r="J4384" s="23" t="str">
        <f t="shared" si="342"/>
        <v>Match</v>
      </c>
      <c r="K4384" s="24">
        <f t="shared" si="343"/>
        <v>8.34</v>
      </c>
      <c r="L4384" s="24">
        <f t="shared" si="344"/>
        <v>0</v>
      </c>
    </row>
    <row r="4385" spans="1:12" ht="15" customHeight="1" x14ac:dyDescent="0.3">
      <c r="A4385" s="23" t="s">
        <v>17657</v>
      </c>
      <c r="B4385" s="23" t="s">
        <v>75</v>
      </c>
      <c r="C4385" s="39">
        <v>2098</v>
      </c>
      <c r="D4385" s="24">
        <v>6.29</v>
      </c>
      <c r="E4385" s="24">
        <v>1.1299999999999999</v>
      </c>
      <c r="F4385" s="23">
        <f>COUNTIFS(mdr_rate_cleaned!$A$2:$A$10,B4385,mdr_rate_cleaned!$B$2:$B$10,"&lt;"&amp;C4385,mdr_rate_cleaned!$F$2:$F$10,"&gt;="&amp;C4385)</f>
        <v>1</v>
      </c>
      <c r="G4385" s="40">
        <f>SUMIFS(mdr_rate_cleaned!$G$2:$G$10,mdr_rate_cleaned!$A$2:$A$10,B4385,mdr_rate_cleaned!$B$2:$B$10,"&lt;"&amp;C4385,mdr_rate_cleaned!$F$2:$F$10,"&gt;="&amp;C4385)</f>
        <v>3.0000000000000001E-3</v>
      </c>
      <c r="H4385" s="24">
        <f t="shared" si="340"/>
        <v>6.29</v>
      </c>
      <c r="I4385" s="23" t="str">
        <f t="shared" si="341"/>
        <v>Match</v>
      </c>
      <c r="J4385" s="23" t="str">
        <f t="shared" si="342"/>
        <v>Match</v>
      </c>
      <c r="K4385" s="24">
        <f t="shared" si="343"/>
        <v>1.1299999999999999</v>
      </c>
      <c r="L4385" s="24">
        <f t="shared" si="344"/>
        <v>0</v>
      </c>
    </row>
    <row r="4386" spans="1:12" ht="15" customHeight="1" x14ac:dyDescent="0.3">
      <c r="A4386" s="23" t="s">
        <v>17658</v>
      </c>
      <c r="B4386" s="23" t="s">
        <v>75</v>
      </c>
      <c r="C4386" s="39">
        <v>2297</v>
      </c>
      <c r="D4386" s="24">
        <v>6.89</v>
      </c>
      <c r="E4386" s="24">
        <v>1.24</v>
      </c>
      <c r="F4386" s="23">
        <f>COUNTIFS(mdr_rate_cleaned!$A$2:$A$10,B4386,mdr_rate_cleaned!$B$2:$B$10,"&lt;"&amp;C4386,mdr_rate_cleaned!$F$2:$F$10,"&gt;="&amp;C4386)</f>
        <v>1</v>
      </c>
      <c r="G4386" s="40">
        <f>SUMIFS(mdr_rate_cleaned!$G$2:$G$10,mdr_rate_cleaned!$A$2:$A$10,B4386,mdr_rate_cleaned!$B$2:$B$10,"&lt;"&amp;C4386,mdr_rate_cleaned!$F$2:$F$10,"&gt;="&amp;C4386)</f>
        <v>3.0000000000000001E-3</v>
      </c>
      <c r="H4386" s="24">
        <f t="shared" si="340"/>
        <v>6.89</v>
      </c>
      <c r="I4386" s="23" t="str">
        <f t="shared" si="341"/>
        <v>Match</v>
      </c>
      <c r="J4386" s="23" t="str">
        <f t="shared" si="342"/>
        <v>Match</v>
      </c>
      <c r="K4386" s="24">
        <f t="shared" si="343"/>
        <v>1.24</v>
      </c>
      <c r="L4386" s="24">
        <f t="shared" si="344"/>
        <v>0</v>
      </c>
    </row>
    <row r="4387" spans="1:12" ht="15" customHeight="1" x14ac:dyDescent="0.3">
      <c r="A4387" s="23" t="s">
        <v>17660</v>
      </c>
      <c r="B4387" s="23" t="s">
        <v>79</v>
      </c>
      <c r="C4387" s="39">
        <v>1998</v>
      </c>
      <c r="D4387" s="24">
        <v>35.96</v>
      </c>
      <c r="E4387" s="24">
        <v>6.47</v>
      </c>
      <c r="F4387" s="23">
        <f>COUNTIFS(mdr_rate_cleaned!$A$2:$A$10,B4387,mdr_rate_cleaned!$B$2:$B$10,"&lt;"&amp;C4387,mdr_rate_cleaned!$F$2:$F$10,"&gt;="&amp;C4387)</f>
        <v>1</v>
      </c>
      <c r="G4387" s="40">
        <f>SUMIFS(mdr_rate_cleaned!$G$2:$G$10,mdr_rate_cleaned!$A$2:$A$10,B4387,mdr_rate_cleaned!$B$2:$B$10,"&lt;"&amp;C4387,mdr_rate_cleaned!$F$2:$F$10,"&gt;="&amp;C4387)</f>
        <v>1.8000000000000002E-2</v>
      </c>
      <c r="H4387" s="24">
        <f t="shared" si="340"/>
        <v>35.96</v>
      </c>
      <c r="I4387" s="23" t="str">
        <f t="shared" si="341"/>
        <v>Match</v>
      </c>
      <c r="J4387" s="23" t="str">
        <f t="shared" si="342"/>
        <v>Match</v>
      </c>
      <c r="K4387" s="24">
        <f t="shared" si="343"/>
        <v>6.47</v>
      </c>
      <c r="L4387" s="24">
        <f t="shared" si="344"/>
        <v>0</v>
      </c>
    </row>
    <row r="4388" spans="1:12" ht="15" customHeight="1" x14ac:dyDescent="0.3">
      <c r="A4388" s="23" t="s">
        <v>17661</v>
      </c>
      <c r="B4388" s="23" t="s">
        <v>75</v>
      </c>
      <c r="C4388" s="39">
        <v>2999</v>
      </c>
      <c r="D4388" s="24">
        <v>9</v>
      </c>
      <c r="E4388" s="24">
        <v>1.62</v>
      </c>
      <c r="F4388" s="23">
        <f>COUNTIFS(mdr_rate_cleaned!$A$2:$A$10,B4388,mdr_rate_cleaned!$B$2:$B$10,"&lt;"&amp;C4388,mdr_rate_cleaned!$F$2:$F$10,"&gt;="&amp;C4388)</f>
        <v>1</v>
      </c>
      <c r="G4388" s="40">
        <f>SUMIFS(mdr_rate_cleaned!$G$2:$G$10,mdr_rate_cleaned!$A$2:$A$10,B4388,mdr_rate_cleaned!$B$2:$B$10,"&lt;"&amp;C4388,mdr_rate_cleaned!$F$2:$F$10,"&gt;="&amp;C4388)</f>
        <v>3.0000000000000001E-3</v>
      </c>
      <c r="H4388" s="24">
        <f t="shared" si="340"/>
        <v>9</v>
      </c>
      <c r="I4388" s="23" t="str">
        <f t="shared" si="341"/>
        <v>Match</v>
      </c>
      <c r="J4388" s="23" t="str">
        <f t="shared" si="342"/>
        <v>Match</v>
      </c>
      <c r="K4388" s="24">
        <f t="shared" si="343"/>
        <v>1.62</v>
      </c>
      <c r="L4388" s="24">
        <f t="shared" si="344"/>
        <v>0</v>
      </c>
    </row>
    <row r="4389" spans="1:12" ht="15" customHeight="1" x14ac:dyDescent="0.3">
      <c r="A4389" s="23" t="s">
        <v>17662</v>
      </c>
      <c r="B4389" s="23" t="s">
        <v>79</v>
      </c>
      <c r="C4389" s="39">
        <v>3998</v>
      </c>
      <c r="D4389" s="24">
        <v>63.97</v>
      </c>
      <c r="E4389" s="24">
        <v>11.51</v>
      </c>
      <c r="F4389" s="23">
        <f>COUNTIFS(mdr_rate_cleaned!$A$2:$A$10,B4389,mdr_rate_cleaned!$B$2:$B$10,"&lt;"&amp;C4389,mdr_rate_cleaned!$F$2:$F$10,"&gt;="&amp;C4389)</f>
        <v>1</v>
      </c>
      <c r="G4389" s="40">
        <f>SUMIFS(mdr_rate_cleaned!$G$2:$G$10,mdr_rate_cleaned!$A$2:$A$10,B4389,mdr_rate_cleaned!$B$2:$B$10,"&lt;"&amp;C4389,mdr_rate_cleaned!$F$2:$F$10,"&gt;="&amp;C4389)</f>
        <v>1.6E-2</v>
      </c>
      <c r="H4389" s="24">
        <f t="shared" si="340"/>
        <v>63.97</v>
      </c>
      <c r="I4389" s="23" t="str">
        <f t="shared" si="341"/>
        <v>Match</v>
      </c>
      <c r="J4389" s="23" t="str">
        <f t="shared" si="342"/>
        <v>Match</v>
      </c>
      <c r="K4389" s="24">
        <f t="shared" si="343"/>
        <v>11.51</v>
      </c>
      <c r="L4389" s="24">
        <f t="shared" si="344"/>
        <v>0</v>
      </c>
    </row>
    <row r="4390" spans="1:12" ht="15" customHeight="1" x14ac:dyDescent="0.3">
      <c r="A4390" s="23" t="s">
        <v>17663</v>
      </c>
      <c r="B4390" s="23" t="s">
        <v>75</v>
      </c>
      <c r="C4390" s="39">
        <v>4999</v>
      </c>
      <c r="D4390" s="24">
        <v>15</v>
      </c>
      <c r="E4390" s="24">
        <v>2.7</v>
      </c>
      <c r="F4390" s="23">
        <f>COUNTIFS(mdr_rate_cleaned!$A$2:$A$10,B4390,mdr_rate_cleaned!$B$2:$B$10,"&lt;"&amp;C4390,mdr_rate_cleaned!$F$2:$F$10,"&gt;="&amp;C4390)</f>
        <v>1</v>
      </c>
      <c r="G4390" s="40">
        <f>SUMIFS(mdr_rate_cleaned!$G$2:$G$10,mdr_rate_cleaned!$A$2:$A$10,B4390,mdr_rate_cleaned!$B$2:$B$10,"&lt;"&amp;C4390,mdr_rate_cleaned!$F$2:$F$10,"&gt;="&amp;C4390)</f>
        <v>3.0000000000000001E-3</v>
      </c>
      <c r="H4390" s="24">
        <f t="shared" si="340"/>
        <v>15</v>
      </c>
      <c r="I4390" s="23" t="str">
        <f t="shared" si="341"/>
        <v>Match</v>
      </c>
      <c r="J4390" s="23" t="str">
        <f t="shared" si="342"/>
        <v>Match</v>
      </c>
      <c r="K4390" s="24">
        <f t="shared" si="343"/>
        <v>2.7</v>
      </c>
      <c r="L4390" s="24">
        <f t="shared" si="344"/>
        <v>0</v>
      </c>
    </row>
    <row r="4391" spans="1:12" ht="15" customHeight="1" x14ac:dyDescent="0.3">
      <c r="A4391" s="23" t="s">
        <v>17664</v>
      </c>
      <c r="B4391" s="23" t="s">
        <v>75</v>
      </c>
      <c r="C4391" s="39">
        <v>299</v>
      </c>
      <c r="D4391" s="24">
        <v>0</v>
      </c>
      <c r="E4391" s="24">
        <v>0</v>
      </c>
      <c r="F4391" s="23">
        <f>COUNTIFS(mdr_rate_cleaned!$A$2:$A$10,B4391,mdr_rate_cleaned!$B$2:$B$10,"&lt;"&amp;C4391,mdr_rate_cleaned!$F$2:$F$10,"&gt;="&amp;C4391)</f>
        <v>1</v>
      </c>
      <c r="G4391" s="40">
        <f>SUMIFS(mdr_rate_cleaned!$G$2:$G$10,mdr_rate_cleaned!$A$2:$A$10,B4391,mdr_rate_cleaned!$B$2:$B$10,"&lt;"&amp;C4391,mdr_rate_cleaned!$F$2:$F$10,"&gt;="&amp;C4391)</f>
        <v>0</v>
      </c>
      <c r="H4391" s="24">
        <f t="shared" si="340"/>
        <v>0</v>
      </c>
      <c r="I4391" s="23" t="str">
        <f t="shared" si="341"/>
        <v>Match</v>
      </c>
      <c r="J4391" s="23" t="str">
        <f t="shared" si="342"/>
        <v>Match</v>
      </c>
      <c r="K4391" s="24">
        <f t="shared" si="343"/>
        <v>0</v>
      </c>
      <c r="L4391" s="24">
        <f t="shared" si="344"/>
        <v>0</v>
      </c>
    </row>
    <row r="4392" spans="1:12" ht="15" customHeight="1" x14ac:dyDescent="0.3">
      <c r="A4392" s="23" t="s">
        <v>17665</v>
      </c>
      <c r="B4392" s="23" t="s">
        <v>75</v>
      </c>
      <c r="C4392" s="39">
        <v>1299</v>
      </c>
      <c r="D4392" s="24">
        <v>0</v>
      </c>
      <c r="E4392" s="24">
        <v>0</v>
      </c>
      <c r="F4392" s="23">
        <f>COUNTIFS(mdr_rate_cleaned!$A$2:$A$10,B4392,mdr_rate_cleaned!$B$2:$B$10,"&lt;"&amp;C4392,mdr_rate_cleaned!$F$2:$F$10,"&gt;="&amp;C4392)</f>
        <v>1</v>
      </c>
      <c r="G4392" s="40">
        <f>SUMIFS(mdr_rate_cleaned!$G$2:$G$10,mdr_rate_cleaned!$A$2:$A$10,B4392,mdr_rate_cleaned!$B$2:$B$10,"&lt;"&amp;C4392,mdr_rate_cleaned!$F$2:$F$10,"&gt;="&amp;C4392)</f>
        <v>0</v>
      </c>
      <c r="H4392" s="24">
        <f t="shared" si="340"/>
        <v>0</v>
      </c>
      <c r="I4392" s="23" t="str">
        <f t="shared" si="341"/>
        <v>Match</v>
      </c>
      <c r="J4392" s="23" t="str">
        <f t="shared" si="342"/>
        <v>Match</v>
      </c>
      <c r="K4392" s="24">
        <f t="shared" si="343"/>
        <v>0</v>
      </c>
      <c r="L4392" s="24">
        <f t="shared" si="344"/>
        <v>0</v>
      </c>
    </row>
    <row r="4393" spans="1:12" ht="15" customHeight="1" x14ac:dyDescent="0.3">
      <c r="A4393" s="23" t="s">
        <v>17666</v>
      </c>
      <c r="B4393" s="23" t="s">
        <v>77</v>
      </c>
      <c r="C4393" s="39">
        <v>349</v>
      </c>
      <c r="D4393" s="24">
        <v>6.63</v>
      </c>
      <c r="E4393" s="24">
        <v>1.19</v>
      </c>
      <c r="F4393" s="23">
        <f>COUNTIFS(mdr_rate_cleaned!$A$2:$A$10,B4393,mdr_rate_cleaned!$B$2:$B$10,"&lt;"&amp;C4393,mdr_rate_cleaned!$F$2:$F$10,"&gt;="&amp;C4393)</f>
        <v>1</v>
      </c>
      <c r="G4393" s="40">
        <f>SUMIFS(mdr_rate_cleaned!$G$2:$G$10,mdr_rate_cleaned!$A$2:$A$10,B4393,mdr_rate_cleaned!$B$2:$B$10,"&lt;"&amp;C4393,mdr_rate_cleaned!$F$2:$F$10,"&gt;="&amp;C4393)</f>
        <v>1.9E-2</v>
      </c>
      <c r="H4393" s="24">
        <f t="shared" si="340"/>
        <v>6.63</v>
      </c>
      <c r="I4393" s="23" t="str">
        <f t="shared" si="341"/>
        <v>Match</v>
      </c>
      <c r="J4393" s="23" t="str">
        <f t="shared" si="342"/>
        <v>Match</v>
      </c>
      <c r="K4393" s="24">
        <f t="shared" si="343"/>
        <v>1.19</v>
      </c>
      <c r="L4393" s="24">
        <f t="shared" si="344"/>
        <v>0</v>
      </c>
    </row>
    <row r="4394" spans="1:12" ht="15" customHeight="1" x14ac:dyDescent="0.3">
      <c r="A4394" s="23" t="s">
        <v>17667</v>
      </c>
      <c r="B4394" s="23" t="s">
        <v>77</v>
      </c>
      <c r="C4394" s="39">
        <v>4498</v>
      </c>
      <c r="D4394" s="24">
        <v>76.47</v>
      </c>
      <c r="E4394" s="24">
        <v>13.76</v>
      </c>
      <c r="F4394" s="23">
        <f>COUNTIFS(mdr_rate_cleaned!$A$2:$A$10,B4394,mdr_rate_cleaned!$B$2:$B$10,"&lt;"&amp;C4394,mdr_rate_cleaned!$F$2:$F$10,"&gt;="&amp;C4394)</f>
        <v>1</v>
      </c>
      <c r="G4394" s="40">
        <f>SUMIFS(mdr_rate_cleaned!$G$2:$G$10,mdr_rate_cleaned!$A$2:$A$10,B4394,mdr_rate_cleaned!$B$2:$B$10,"&lt;"&amp;C4394,mdr_rate_cleaned!$F$2:$F$10,"&gt;="&amp;C4394)</f>
        <v>1.7000000000000001E-2</v>
      </c>
      <c r="H4394" s="24">
        <f t="shared" si="340"/>
        <v>76.47</v>
      </c>
      <c r="I4394" s="23" t="str">
        <f t="shared" si="341"/>
        <v>Match</v>
      </c>
      <c r="J4394" s="23" t="str">
        <f t="shared" si="342"/>
        <v>Match</v>
      </c>
      <c r="K4394" s="24">
        <f t="shared" si="343"/>
        <v>13.76</v>
      </c>
      <c r="L4394" s="24">
        <f t="shared" si="344"/>
        <v>0</v>
      </c>
    </row>
    <row r="4395" spans="1:12" ht="15" customHeight="1" x14ac:dyDescent="0.3">
      <c r="A4395" s="23" t="s">
        <v>17668</v>
      </c>
      <c r="B4395" s="23" t="s">
        <v>75</v>
      </c>
      <c r="C4395" s="39">
        <v>2998</v>
      </c>
      <c r="D4395" s="24">
        <v>8.99</v>
      </c>
      <c r="E4395" s="24">
        <v>1.62</v>
      </c>
      <c r="F4395" s="23">
        <f>COUNTIFS(mdr_rate_cleaned!$A$2:$A$10,B4395,mdr_rate_cleaned!$B$2:$B$10,"&lt;"&amp;C4395,mdr_rate_cleaned!$F$2:$F$10,"&gt;="&amp;C4395)</f>
        <v>1</v>
      </c>
      <c r="G4395" s="40">
        <f>SUMIFS(mdr_rate_cleaned!$G$2:$G$10,mdr_rate_cleaned!$A$2:$A$10,B4395,mdr_rate_cleaned!$B$2:$B$10,"&lt;"&amp;C4395,mdr_rate_cleaned!$F$2:$F$10,"&gt;="&amp;C4395)</f>
        <v>3.0000000000000001E-3</v>
      </c>
      <c r="H4395" s="24">
        <f t="shared" si="340"/>
        <v>8.99</v>
      </c>
      <c r="I4395" s="23" t="str">
        <f t="shared" si="341"/>
        <v>Match</v>
      </c>
      <c r="J4395" s="23" t="str">
        <f t="shared" si="342"/>
        <v>Match</v>
      </c>
      <c r="K4395" s="24">
        <f t="shared" si="343"/>
        <v>1.62</v>
      </c>
      <c r="L4395" s="24">
        <f t="shared" si="344"/>
        <v>0</v>
      </c>
    </row>
    <row r="4396" spans="1:12" ht="15" customHeight="1" x14ac:dyDescent="0.3">
      <c r="A4396" s="23" t="s">
        <v>17669</v>
      </c>
      <c r="B4396" s="23" t="s">
        <v>75</v>
      </c>
      <c r="C4396" s="39">
        <v>499</v>
      </c>
      <c r="D4396" s="24">
        <v>0</v>
      </c>
      <c r="E4396" s="24">
        <v>0</v>
      </c>
      <c r="F4396" s="23">
        <f>COUNTIFS(mdr_rate_cleaned!$A$2:$A$10,B4396,mdr_rate_cleaned!$B$2:$B$10,"&lt;"&amp;C4396,mdr_rate_cleaned!$F$2:$F$10,"&gt;="&amp;C4396)</f>
        <v>1</v>
      </c>
      <c r="G4396" s="40">
        <f>SUMIFS(mdr_rate_cleaned!$G$2:$G$10,mdr_rate_cleaned!$A$2:$A$10,B4396,mdr_rate_cleaned!$B$2:$B$10,"&lt;"&amp;C4396,mdr_rate_cleaned!$F$2:$F$10,"&gt;="&amp;C4396)</f>
        <v>0</v>
      </c>
      <c r="H4396" s="24">
        <f t="shared" si="340"/>
        <v>0</v>
      </c>
      <c r="I4396" s="23" t="str">
        <f t="shared" si="341"/>
        <v>Match</v>
      </c>
      <c r="J4396" s="23" t="str">
        <f t="shared" si="342"/>
        <v>Match</v>
      </c>
      <c r="K4396" s="24">
        <f t="shared" si="343"/>
        <v>0</v>
      </c>
      <c r="L4396" s="24">
        <f t="shared" si="344"/>
        <v>0</v>
      </c>
    </row>
    <row r="4397" spans="1:12" ht="15" customHeight="1" x14ac:dyDescent="0.3">
      <c r="A4397" s="23" t="s">
        <v>17670</v>
      </c>
      <c r="B4397" s="23" t="s">
        <v>75</v>
      </c>
      <c r="C4397" s="39">
        <v>2999</v>
      </c>
      <c r="D4397" s="24">
        <v>9</v>
      </c>
      <c r="E4397" s="24">
        <v>1.62</v>
      </c>
      <c r="F4397" s="23">
        <f>COUNTIFS(mdr_rate_cleaned!$A$2:$A$10,B4397,mdr_rate_cleaned!$B$2:$B$10,"&lt;"&amp;C4397,mdr_rate_cleaned!$F$2:$F$10,"&gt;="&amp;C4397)</f>
        <v>1</v>
      </c>
      <c r="G4397" s="40">
        <f>SUMIFS(mdr_rate_cleaned!$G$2:$G$10,mdr_rate_cleaned!$A$2:$A$10,B4397,mdr_rate_cleaned!$B$2:$B$10,"&lt;"&amp;C4397,mdr_rate_cleaned!$F$2:$F$10,"&gt;="&amp;C4397)</f>
        <v>3.0000000000000001E-3</v>
      </c>
      <c r="H4397" s="24">
        <f t="shared" si="340"/>
        <v>9</v>
      </c>
      <c r="I4397" s="23" t="str">
        <f t="shared" si="341"/>
        <v>Match</v>
      </c>
      <c r="J4397" s="23" t="str">
        <f t="shared" si="342"/>
        <v>Match</v>
      </c>
      <c r="K4397" s="24">
        <f t="shared" si="343"/>
        <v>1.62</v>
      </c>
      <c r="L4397" s="24">
        <f t="shared" si="344"/>
        <v>0</v>
      </c>
    </row>
    <row r="4398" spans="1:12" ht="15" customHeight="1" x14ac:dyDescent="0.3">
      <c r="A4398" s="23" t="s">
        <v>17671</v>
      </c>
      <c r="B4398" s="23" t="s">
        <v>75</v>
      </c>
      <c r="C4398" s="39">
        <v>14797</v>
      </c>
      <c r="D4398" s="24">
        <v>44.39</v>
      </c>
      <c r="E4398" s="24">
        <v>7.99</v>
      </c>
      <c r="F4398" s="23">
        <f>COUNTIFS(mdr_rate_cleaned!$A$2:$A$10,B4398,mdr_rate_cleaned!$B$2:$B$10,"&lt;"&amp;C4398,mdr_rate_cleaned!$F$2:$F$10,"&gt;="&amp;C4398)</f>
        <v>1</v>
      </c>
      <c r="G4398" s="40">
        <f>SUMIFS(mdr_rate_cleaned!$G$2:$G$10,mdr_rate_cleaned!$A$2:$A$10,B4398,mdr_rate_cleaned!$B$2:$B$10,"&lt;"&amp;C4398,mdr_rate_cleaned!$F$2:$F$10,"&gt;="&amp;C4398)</f>
        <v>3.0000000000000001E-3</v>
      </c>
      <c r="H4398" s="24">
        <f t="shared" si="340"/>
        <v>44.39</v>
      </c>
      <c r="I4398" s="23" t="str">
        <f t="shared" si="341"/>
        <v>Match</v>
      </c>
      <c r="J4398" s="23" t="str">
        <f t="shared" si="342"/>
        <v>Match</v>
      </c>
      <c r="K4398" s="24">
        <f t="shared" si="343"/>
        <v>7.99</v>
      </c>
      <c r="L4398" s="24">
        <f t="shared" si="344"/>
        <v>0</v>
      </c>
    </row>
    <row r="4399" spans="1:12" ht="15" customHeight="1" x14ac:dyDescent="0.3">
      <c r="A4399" s="23" t="s">
        <v>17672</v>
      </c>
      <c r="B4399" s="23" t="s">
        <v>79</v>
      </c>
      <c r="C4399" s="39">
        <v>1098</v>
      </c>
      <c r="D4399" s="24">
        <v>19.760000000000002</v>
      </c>
      <c r="E4399" s="24">
        <v>3.56</v>
      </c>
      <c r="F4399" s="23">
        <f>COUNTIFS(mdr_rate_cleaned!$A$2:$A$10,B4399,mdr_rate_cleaned!$B$2:$B$10,"&lt;"&amp;C4399,mdr_rate_cleaned!$F$2:$F$10,"&gt;="&amp;C4399)</f>
        <v>1</v>
      </c>
      <c r="G4399" s="40">
        <f>SUMIFS(mdr_rate_cleaned!$G$2:$G$10,mdr_rate_cleaned!$A$2:$A$10,B4399,mdr_rate_cleaned!$B$2:$B$10,"&lt;"&amp;C4399,mdr_rate_cleaned!$F$2:$F$10,"&gt;="&amp;C4399)</f>
        <v>1.8000000000000002E-2</v>
      </c>
      <c r="H4399" s="24">
        <f t="shared" si="340"/>
        <v>19.760000000000002</v>
      </c>
      <c r="I4399" s="23" t="str">
        <f t="shared" si="341"/>
        <v>Match</v>
      </c>
      <c r="J4399" s="23" t="str">
        <f t="shared" si="342"/>
        <v>Match</v>
      </c>
      <c r="K4399" s="24">
        <f t="shared" si="343"/>
        <v>3.56</v>
      </c>
      <c r="L4399" s="24">
        <f t="shared" si="344"/>
        <v>0</v>
      </c>
    </row>
    <row r="4400" spans="1:12" ht="15" customHeight="1" x14ac:dyDescent="0.3">
      <c r="A4400" s="23" t="s">
        <v>17673</v>
      </c>
      <c r="B4400" s="23" t="s">
        <v>77</v>
      </c>
      <c r="C4400" s="39">
        <v>4999</v>
      </c>
      <c r="D4400" s="24">
        <v>84.98</v>
      </c>
      <c r="E4400" s="24">
        <v>15.3</v>
      </c>
      <c r="F4400" s="23">
        <f>COUNTIFS(mdr_rate_cleaned!$A$2:$A$10,B4400,mdr_rate_cleaned!$B$2:$B$10,"&lt;"&amp;C4400,mdr_rate_cleaned!$F$2:$F$10,"&gt;="&amp;C4400)</f>
        <v>1</v>
      </c>
      <c r="G4400" s="40">
        <f>SUMIFS(mdr_rate_cleaned!$G$2:$G$10,mdr_rate_cleaned!$A$2:$A$10,B4400,mdr_rate_cleaned!$B$2:$B$10,"&lt;"&amp;C4400,mdr_rate_cleaned!$F$2:$F$10,"&gt;="&amp;C4400)</f>
        <v>1.7000000000000001E-2</v>
      </c>
      <c r="H4400" s="24">
        <f t="shared" si="340"/>
        <v>84.98</v>
      </c>
      <c r="I4400" s="23" t="str">
        <f t="shared" si="341"/>
        <v>Match</v>
      </c>
      <c r="J4400" s="23" t="str">
        <f t="shared" si="342"/>
        <v>Match</v>
      </c>
      <c r="K4400" s="24">
        <f t="shared" si="343"/>
        <v>15.3</v>
      </c>
      <c r="L4400" s="24">
        <f t="shared" si="344"/>
        <v>0</v>
      </c>
    </row>
    <row r="4401" spans="1:12" ht="15" customHeight="1" x14ac:dyDescent="0.3">
      <c r="A4401" s="23" t="s">
        <v>17675</v>
      </c>
      <c r="B4401" s="23" t="s">
        <v>75</v>
      </c>
      <c r="C4401" s="39">
        <v>948</v>
      </c>
      <c r="D4401" s="24">
        <v>0</v>
      </c>
      <c r="E4401" s="24">
        <v>0</v>
      </c>
      <c r="F4401" s="23">
        <f>COUNTIFS(mdr_rate_cleaned!$A$2:$A$10,B4401,mdr_rate_cleaned!$B$2:$B$10,"&lt;"&amp;C4401,mdr_rate_cleaned!$F$2:$F$10,"&gt;="&amp;C4401)</f>
        <v>1</v>
      </c>
      <c r="G4401" s="40">
        <f>SUMIFS(mdr_rate_cleaned!$G$2:$G$10,mdr_rate_cleaned!$A$2:$A$10,B4401,mdr_rate_cleaned!$B$2:$B$10,"&lt;"&amp;C4401,mdr_rate_cleaned!$F$2:$F$10,"&gt;="&amp;C4401)</f>
        <v>0</v>
      </c>
      <c r="H4401" s="24">
        <f t="shared" si="340"/>
        <v>0</v>
      </c>
      <c r="I4401" s="23" t="str">
        <f t="shared" si="341"/>
        <v>Match</v>
      </c>
      <c r="J4401" s="23" t="str">
        <f t="shared" si="342"/>
        <v>Match</v>
      </c>
      <c r="K4401" s="24">
        <f t="shared" si="343"/>
        <v>0</v>
      </c>
      <c r="L4401" s="24">
        <f t="shared" si="344"/>
        <v>0</v>
      </c>
    </row>
    <row r="4402" spans="1:12" ht="15" customHeight="1" x14ac:dyDescent="0.3">
      <c r="A4402" s="23" t="s">
        <v>17676</v>
      </c>
      <c r="B4402" s="23" t="s">
        <v>75</v>
      </c>
      <c r="C4402" s="39">
        <v>4397</v>
      </c>
      <c r="D4402" s="24">
        <v>13.19</v>
      </c>
      <c r="E4402" s="24">
        <v>2.37</v>
      </c>
      <c r="F4402" s="23">
        <f>COUNTIFS(mdr_rate_cleaned!$A$2:$A$10,B4402,mdr_rate_cleaned!$B$2:$B$10,"&lt;"&amp;C4402,mdr_rate_cleaned!$F$2:$F$10,"&gt;="&amp;C4402)</f>
        <v>1</v>
      </c>
      <c r="G4402" s="40">
        <f>SUMIFS(mdr_rate_cleaned!$G$2:$G$10,mdr_rate_cleaned!$A$2:$A$10,B4402,mdr_rate_cleaned!$B$2:$B$10,"&lt;"&amp;C4402,mdr_rate_cleaned!$F$2:$F$10,"&gt;="&amp;C4402)</f>
        <v>3.0000000000000001E-3</v>
      </c>
      <c r="H4402" s="24">
        <f t="shared" si="340"/>
        <v>13.19</v>
      </c>
      <c r="I4402" s="23" t="str">
        <f t="shared" si="341"/>
        <v>Match</v>
      </c>
      <c r="J4402" s="23" t="str">
        <f t="shared" si="342"/>
        <v>Match</v>
      </c>
      <c r="K4402" s="24">
        <f t="shared" si="343"/>
        <v>2.37</v>
      </c>
      <c r="L4402" s="24">
        <f t="shared" si="344"/>
        <v>0</v>
      </c>
    </row>
    <row r="4403" spans="1:12" ht="15" customHeight="1" x14ac:dyDescent="0.3">
      <c r="A4403" s="23" t="s">
        <v>17677</v>
      </c>
      <c r="B4403" s="23" t="s">
        <v>75</v>
      </c>
      <c r="C4403" s="39">
        <v>6597</v>
      </c>
      <c r="D4403" s="24">
        <v>19.79</v>
      </c>
      <c r="E4403" s="24">
        <v>3.56</v>
      </c>
      <c r="F4403" s="23">
        <f>COUNTIFS(mdr_rate_cleaned!$A$2:$A$10,B4403,mdr_rate_cleaned!$B$2:$B$10,"&lt;"&amp;C4403,mdr_rate_cleaned!$F$2:$F$10,"&gt;="&amp;C4403)</f>
        <v>1</v>
      </c>
      <c r="G4403" s="40">
        <f>SUMIFS(mdr_rate_cleaned!$G$2:$G$10,mdr_rate_cleaned!$A$2:$A$10,B4403,mdr_rate_cleaned!$B$2:$B$10,"&lt;"&amp;C4403,mdr_rate_cleaned!$F$2:$F$10,"&gt;="&amp;C4403)</f>
        <v>3.0000000000000001E-3</v>
      </c>
      <c r="H4403" s="24">
        <f t="shared" si="340"/>
        <v>19.79</v>
      </c>
      <c r="I4403" s="23" t="str">
        <f t="shared" si="341"/>
        <v>Match</v>
      </c>
      <c r="J4403" s="23" t="str">
        <f t="shared" si="342"/>
        <v>Match</v>
      </c>
      <c r="K4403" s="24">
        <f t="shared" si="343"/>
        <v>3.56</v>
      </c>
      <c r="L4403" s="24">
        <f t="shared" si="344"/>
        <v>0</v>
      </c>
    </row>
    <row r="4404" spans="1:12" ht="15" customHeight="1" x14ac:dyDescent="0.3">
      <c r="A4404" s="23" t="s">
        <v>17679</v>
      </c>
      <c r="B4404" s="23" t="s">
        <v>75</v>
      </c>
      <c r="C4404" s="39">
        <v>6597</v>
      </c>
      <c r="D4404" s="24">
        <v>19.79</v>
      </c>
      <c r="E4404" s="24">
        <v>3.56</v>
      </c>
      <c r="F4404" s="23">
        <f>COUNTIFS(mdr_rate_cleaned!$A$2:$A$10,B4404,mdr_rate_cleaned!$B$2:$B$10,"&lt;"&amp;C4404,mdr_rate_cleaned!$F$2:$F$10,"&gt;="&amp;C4404)</f>
        <v>1</v>
      </c>
      <c r="G4404" s="40">
        <f>SUMIFS(mdr_rate_cleaned!$G$2:$G$10,mdr_rate_cleaned!$A$2:$A$10,B4404,mdr_rate_cleaned!$B$2:$B$10,"&lt;"&amp;C4404,mdr_rate_cleaned!$F$2:$F$10,"&gt;="&amp;C4404)</f>
        <v>3.0000000000000001E-3</v>
      </c>
      <c r="H4404" s="24">
        <f t="shared" si="340"/>
        <v>19.79</v>
      </c>
      <c r="I4404" s="23" t="str">
        <f t="shared" si="341"/>
        <v>Match</v>
      </c>
      <c r="J4404" s="23" t="str">
        <f t="shared" si="342"/>
        <v>Match</v>
      </c>
      <c r="K4404" s="24">
        <f t="shared" si="343"/>
        <v>3.56</v>
      </c>
      <c r="L4404" s="24">
        <f t="shared" si="344"/>
        <v>0</v>
      </c>
    </row>
    <row r="4405" spans="1:12" ht="15" customHeight="1" x14ac:dyDescent="0.3">
      <c r="A4405" s="23" t="s">
        <v>17680</v>
      </c>
      <c r="B4405" s="23" t="s">
        <v>75</v>
      </c>
      <c r="C4405" s="39">
        <v>1499</v>
      </c>
      <c r="D4405" s="24">
        <v>0</v>
      </c>
      <c r="E4405" s="24">
        <v>0</v>
      </c>
      <c r="F4405" s="23">
        <f>COUNTIFS(mdr_rate_cleaned!$A$2:$A$10,B4405,mdr_rate_cleaned!$B$2:$B$10,"&lt;"&amp;C4405,mdr_rate_cleaned!$F$2:$F$10,"&gt;="&amp;C4405)</f>
        <v>1</v>
      </c>
      <c r="G4405" s="40">
        <f>SUMIFS(mdr_rate_cleaned!$G$2:$G$10,mdr_rate_cleaned!$A$2:$A$10,B4405,mdr_rate_cleaned!$B$2:$B$10,"&lt;"&amp;C4405,mdr_rate_cleaned!$F$2:$F$10,"&gt;="&amp;C4405)</f>
        <v>0</v>
      </c>
      <c r="H4405" s="24">
        <f t="shared" si="340"/>
        <v>0</v>
      </c>
      <c r="I4405" s="23" t="str">
        <f t="shared" si="341"/>
        <v>Match</v>
      </c>
      <c r="J4405" s="23" t="str">
        <f t="shared" si="342"/>
        <v>Match</v>
      </c>
      <c r="K4405" s="24">
        <f t="shared" si="343"/>
        <v>0</v>
      </c>
      <c r="L4405" s="24">
        <f t="shared" si="344"/>
        <v>0</v>
      </c>
    </row>
    <row r="4406" spans="1:12" ht="15" customHeight="1" x14ac:dyDescent="0.3">
      <c r="A4406" s="23" t="s">
        <v>17681</v>
      </c>
      <c r="B4406" s="23" t="s">
        <v>75</v>
      </c>
      <c r="C4406" s="39">
        <v>5847</v>
      </c>
      <c r="D4406" s="24">
        <v>17.54</v>
      </c>
      <c r="E4406" s="24">
        <v>3.16</v>
      </c>
      <c r="F4406" s="23">
        <f>COUNTIFS(mdr_rate_cleaned!$A$2:$A$10,B4406,mdr_rate_cleaned!$B$2:$B$10,"&lt;"&amp;C4406,mdr_rate_cleaned!$F$2:$F$10,"&gt;="&amp;C4406)</f>
        <v>1</v>
      </c>
      <c r="G4406" s="40">
        <f>SUMIFS(mdr_rate_cleaned!$G$2:$G$10,mdr_rate_cleaned!$A$2:$A$10,B4406,mdr_rate_cleaned!$B$2:$B$10,"&lt;"&amp;C4406,mdr_rate_cleaned!$F$2:$F$10,"&gt;="&amp;C4406)</f>
        <v>3.0000000000000001E-3</v>
      </c>
      <c r="H4406" s="24">
        <f t="shared" si="340"/>
        <v>17.54</v>
      </c>
      <c r="I4406" s="23" t="str">
        <f t="shared" si="341"/>
        <v>Match</v>
      </c>
      <c r="J4406" s="23" t="str">
        <f t="shared" si="342"/>
        <v>Match</v>
      </c>
      <c r="K4406" s="24">
        <f t="shared" si="343"/>
        <v>3.16</v>
      </c>
      <c r="L4406" s="24">
        <f t="shared" si="344"/>
        <v>0</v>
      </c>
    </row>
    <row r="4407" spans="1:12" ht="15" customHeight="1" x14ac:dyDescent="0.3">
      <c r="A4407" s="23" t="s">
        <v>17682</v>
      </c>
      <c r="B4407" s="23" t="s">
        <v>79</v>
      </c>
      <c r="C4407" s="39">
        <v>2999</v>
      </c>
      <c r="D4407" s="24">
        <v>47.98</v>
      </c>
      <c r="E4407" s="24">
        <v>8.64</v>
      </c>
      <c r="F4407" s="23">
        <f>COUNTIFS(mdr_rate_cleaned!$A$2:$A$10,B4407,mdr_rate_cleaned!$B$2:$B$10,"&lt;"&amp;C4407,mdr_rate_cleaned!$F$2:$F$10,"&gt;="&amp;C4407)</f>
        <v>1</v>
      </c>
      <c r="G4407" s="40">
        <f>SUMIFS(mdr_rate_cleaned!$G$2:$G$10,mdr_rate_cleaned!$A$2:$A$10,B4407,mdr_rate_cleaned!$B$2:$B$10,"&lt;"&amp;C4407,mdr_rate_cleaned!$F$2:$F$10,"&gt;="&amp;C4407)</f>
        <v>1.6E-2</v>
      </c>
      <c r="H4407" s="24">
        <f t="shared" si="340"/>
        <v>47.98</v>
      </c>
      <c r="I4407" s="23" t="str">
        <f t="shared" si="341"/>
        <v>Match</v>
      </c>
      <c r="J4407" s="23" t="str">
        <f t="shared" si="342"/>
        <v>Match</v>
      </c>
      <c r="K4407" s="24">
        <f t="shared" si="343"/>
        <v>8.64</v>
      </c>
      <c r="L4407" s="24">
        <f t="shared" si="344"/>
        <v>0</v>
      </c>
    </row>
    <row r="4408" spans="1:12" ht="15" customHeight="1" x14ac:dyDescent="0.3">
      <c r="A4408" s="23" t="s">
        <v>17683</v>
      </c>
      <c r="B4408" s="23" t="s">
        <v>75</v>
      </c>
      <c r="C4408" s="39">
        <v>10998</v>
      </c>
      <c r="D4408" s="24">
        <v>32.99</v>
      </c>
      <c r="E4408" s="24">
        <v>5.94</v>
      </c>
      <c r="F4408" s="23">
        <f>COUNTIFS(mdr_rate_cleaned!$A$2:$A$10,B4408,mdr_rate_cleaned!$B$2:$B$10,"&lt;"&amp;C4408,mdr_rate_cleaned!$F$2:$F$10,"&gt;="&amp;C4408)</f>
        <v>1</v>
      </c>
      <c r="G4408" s="40">
        <f>SUMIFS(mdr_rate_cleaned!$G$2:$G$10,mdr_rate_cleaned!$A$2:$A$10,B4408,mdr_rate_cleaned!$B$2:$B$10,"&lt;"&amp;C4408,mdr_rate_cleaned!$F$2:$F$10,"&gt;="&amp;C4408)</f>
        <v>3.0000000000000001E-3</v>
      </c>
      <c r="H4408" s="24">
        <f t="shared" si="340"/>
        <v>32.99</v>
      </c>
      <c r="I4408" s="23" t="str">
        <f t="shared" si="341"/>
        <v>Match</v>
      </c>
      <c r="J4408" s="23" t="str">
        <f t="shared" si="342"/>
        <v>Match</v>
      </c>
      <c r="K4408" s="24">
        <f t="shared" si="343"/>
        <v>5.94</v>
      </c>
      <c r="L4408" s="24">
        <f t="shared" si="344"/>
        <v>0</v>
      </c>
    </row>
    <row r="4409" spans="1:12" ht="15" customHeight="1" x14ac:dyDescent="0.3">
      <c r="A4409" s="23" t="s">
        <v>17684</v>
      </c>
      <c r="B4409" s="23" t="s">
        <v>75</v>
      </c>
      <c r="C4409" s="39">
        <v>2647</v>
      </c>
      <c r="D4409" s="24">
        <v>7.94</v>
      </c>
      <c r="E4409" s="24">
        <v>1.43</v>
      </c>
      <c r="F4409" s="23">
        <f>COUNTIFS(mdr_rate_cleaned!$A$2:$A$10,B4409,mdr_rate_cleaned!$B$2:$B$10,"&lt;"&amp;C4409,mdr_rate_cleaned!$F$2:$F$10,"&gt;="&amp;C4409)</f>
        <v>1</v>
      </c>
      <c r="G4409" s="40">
        <f>SUMIFS(mdr_rate_cleaned!$G$2:$G$10,mdr_rate_cleaned!$A$2:$A$10,B4409,mdr_rate_cleaned!$B$2:$B$10,"&lt;"&amp;C4409,mdr_rate_cleaned!$F$2:$F$10,"&gt;="&amp;C4409)</f>
        <v>3.0000000000000001E-3</v>
      </c>
      <c r="H4409" s="24">
        <f t="shared" si="340"/>
        <v>7.94</v>
      </c>
      <c r="I4409" s="23" t="str">
        <f t="shared" si="341"/>
        <v>Match</v>
      </c>
      <c r="J4409" s="23" t="str">
        <f t="shared" si="342"/>
        <v>Match</v>
      </c>
      <c r="K4409" s="24">
        <f t="shared" si="343"/>
        <v>1.43</v>
      </c>
      <c r="L4409" s="24">
        <f t="shared" si="344"/>
        <v>0</v>
      </c>
    </row>
    <row r="4410" spans="1:12" ht="15" customHeight="1" x14ac:dyDescent="0.3">
      <c r="A4410" s="23" t="s">
        <v>17685</v>
      </c>
      <c r="B4410" s="23" t="s">
        <v>79</v>
      </c>
      <c r="C4410" s="39">
        <v>1799</v>
      </c>
      <c r="D4410" s="24">
        <v>32.380000000000003</v>
      </c>
      <c r="E4410" s="24">
        <v>5.83</v>
      </c>
      <c r="F4410" s="23">
        <f>COUNTIFS(mdr_rate_cleaned!$A$2:$A$10,B4410,mdr_rate_cleaned!$B$2:$B$10,"&lt;"&amp;C4410,mdr_rate_cleaned!$F$2:$F$10,"&gt;="&amp;C4410)</f>
        <v>1</v>
      </c>
      <c r="G4410" s="40">
        <f>SUMIFS(mdr_rate_cleaned!$G$2:$G$10,mdr_rate_cleaned!$A$2:$A$10,B4410,mdr_rate_cleaned!$B$2:$B$10,"&lt;"&amp;C4410,mdr_rate_cleaned!$F$2:$F$10,"&gt;="&amp;C4410)</f>
        <v>1.8000000000000002E-2</v>
      </c>
      <c r="H4410" s="24">
        <f t="shared" si="340"/>
        <v>32.380000000000003</v>
      </c>
      <c r="I4410" s="23" t="str">
        <f t="shared" si="341"/>
        <v>Match</v>
      </c>
      <c r="J4410" s="23" t="str">
        <f t="shared" si="342"/>
        <v>Match</v>
      </c>
      <c r="K4410" s="24">
        <f t="shared" si="343"/>
        <v>5.83</v>
      </c>
      <c r="L4410" s="24">
        <f t="shared" si="344"/>
        <v>0</v>
      </c>
    </row>
    <row r="4411" spans="1:12" ht="15" customHeight="1" x14ac:dyDescent="0.3">
      <c r="A4411" s="23" t="s">
        <v>17686</v>
      </c>
      <c r="B4411" s="23" t="s">
        <v>79</v>
      </c>
      <c r="C4411" s="39">
        <v>2499</v>
      </c>
      <c r="D4411" s="24">
        <v>39.979999999999997</v>
      </c>
      <c r="E4411" s="24">
        <v>7.2</v>
      </c>
      <c r="F4411" s="23">
        <f>COUNTIFS(mdr_rate_cleaned!$A$2:$A$10,B4411,mdr_rate_cleaned!$B$2:$B$10,"&lt;"&amp;C4411,mdr_rate_cleaned!$F$2:$F$10,"&gt;="&amp;C4411)</f>
        <v>1</v>
      </c>
      <c r="G4411" s="40">
        <f>SUMIFS(mdr_rate_cleaned!$G$2:$G$10,mdr_rate_cleaned!$A$2:$A$10,B4411,mdr_rate_cleaned!$B$2:$B$10,"&lt;"&amp;C4411,mdr_rate_cleaned!$F$2:$F$10,"&gt;="&amp;C4411)</f>
        <v>1.6E-2</v>
      </c>
      <c r="H4411" s="24">
        <f t="shared" si="340"/>
        <v>39.979999999999997</v>
      </c>
      <c r="I4411" s="23" t="str">
        <f t="shared" si="341"/>
        <v>Match</v>
      </c>
      <c r="J4411" s="23" t="str">
        <f t="shared" si="342"/>
        <v>Match</v>
      </c>
      <c r="K4411" s="24">
        <f t="shared" si="343"/>
        <v>7.2</v>
      </c>
      <c r="L4411" s="24">
        <f t="shared" si="344"/>
        <v>0</v>
      </c>
    </row>
    <row r="4412" spans="1:12" ht="15" customHeight="1" x14ac:dyDescent="0.3">
      <c r="A4412" s="23" t="s">
        <v>17687</v>
      </c>
      <c r="B4412" s="23" t="s">
        <v>75</v>
      </c>
      <c r="C4412" s="39">
        <v>3499</v>
      </c>
      <c r="D4412" s="24">
        <v>10.5</v>
      </c>
      <c r="E4412" s="24">
        <v>1.89</v>
      </c>
      <c r="F4412" s="23">
        <f>COUNTIFS(mdr_rate_cleaned!$A$2:$A$10,B4412,mdr_rate_cleaned!$B$2:$B$10,"&lt;"&amp;C4412,mdr_rate_cleaned!$F$2:$F$10,"&gt;="&amp;C4412)</f>
        <v>1</v>
      </c>
      <c r="G4412" s="40">
        <f>SUMIFS(mdr_rate_cleaned!$G$2:$G$10,mdr_rate_cleaned!$A$2:$A$10,B4412,mdr_rate_cleaned!$B$2:$B$10,"&lt;"&amp;C4412,mdr_rate_cleaned!$F$2:$F$10,"&gt;="&amp;C4412)</f>
        <v>3.0000000000000001E-3</v>
      </c>
      <c r="H4412" s="24">
        <f t="shared" si="340"/>
        <v>10.5</v>
      </c>
      <c r="I4412" s="23" t="str">
        <f t="shared" si="341"/>
        <v>Match</v>
      </c>
      <c r="J4412" s="23" t="str">
        <f t="shared" si="342"/>
        <v>Match</v>
      </c>
      <c r="K4412" s="24">
        <f t="shared" si="343"/>
        <v>1.89</v>
      </c>
      <c r="L4412" s="24">
        <f t="shared" si="344"/>
        <v>0</v>
      </c>
    </row>
    <row r="4413" spans="1:12" ht="15" customHeight="1" x14ac:dyDescent="0.3">
      <c r="A4413" s="23" t="s">
        <v>17688</v>
      </c>
      <c r="B4413" s="23" t="s">
        <v>79</v>
      </c>
      <c r="C4413" s="39">
        <v>799</v>
      </c>
      <c r="D4413" s="24">
        <v>14.38</v>
      </c>
      <c r="E4413" s="24">
        <v>2.59</v>
      </c>
      <c r="F4413" s="23">
        <f>COUNTIFS(mdr_rate_cleaned!$A$2:$A$10,B4413,mdr_rate_cleaned!$B$2:$B$10,"&lt;"&amp;C4413,mdr_rate_cleaned!$F$2:$F$10,"&gt;="&amp;C4413)</f>
        <v>1</v>
      </c>
      <c r="G4413" s="40">
        <f>SUMIFS(mdr_rate_cleaned!$G$2:$G$10,mdr_rate_cleaned!$A$2:$A$10,B4413,mdr_rate_cleaned!$B$2:$B$10,"&lt;"&amp;C4413,mdr_rate_cleaned!$F$2:$F$10,"&gt;="&amp;C4413)</f>
        <v>1.8000000000000002E-2</v>
      </c>
      <c r="H4413" s="24">
        <f t="shared" si="340"/>
        <v>14.38</v>
      </c>
      <c r="I4413" s="23" t="str">
        <f t="shared" si="341"/>
        <v>Match</v>
      </c>
      <c r="J4413" s="23" t="str">
        <f t="shared" si="342"/>
        <v>Match</v>
      </c>
      <c r="K4413" s="24">
        <f t="shared" si="343"/>
        <v>2.59</v>
      </c>
      <c r="L4413" s="24">
        <f t="shared" si="344"/>
        <v>0</v>
      </c>
    </row>
    <row r="4414" spans="1:12" ht="15" customHeight="1" x14ac:dyDescent="0.3">
      <c r="A4414" s="23" t="s">
        <v>17689</v>
      </c>
      <c r="B4414" s="23" t="s">
        <v>75</v>
      </c>
      <c r="C4414" s="39">
        <v>1348</v>
      </c>
      <c r="D4414" s="24">
        <v>0</v>
      </c>
      <c r="E4414" s="24">
        <v>0</v>
      </c>
      <c r="F4414" s="23">
        <f>COUNTIFS(mdr_rate_cleaned!$A$2:$A$10,B4414,mdr_rate_cleaned!$B$2:$B$10,"&lt;"&amp;C4414,mdr_rate_cleaned!$F$2:$F$10,"&gt;="&amp;C4414)</f>
        <v>1</v>
      </c>
      <c r="G4414" s="40">
        <f>SUMIFS(mdr_rate_cleaned!$G$2:$G$10,mdr_rate_cleaned!$A$2:$A$10,B4414,mdr_rate_cleaned!$B$2:$B$10,"&lt;"&amp;C4414,mdr_rate_cleaned!$F$2:$F$10,"&gt;="&amp;C4414)</f>
        <v>0</v>
      </c>
      <c r="H4414" s="24">
        <f t="shared" si="340"/>
        <v>0</v>
      </c>
      <c r="I4414" s="23" t="str">
        <f t="shared" si="341"/>
        <v>Match</v>
      </c>
      <c r="J4414" s="23" t="str">
        <f t="shared" si="342"/>
        <v>Match</v>
      </c>
      <c r="K4414" s="24">
        <f t="shared" si="343"/>
        <v>0</v>
      </c>
      <c r="L4414" s="24">
        <f t="shared" si="344"/>
        <v>0</v>
      </c>
    </row>
    <row r="4415" spans="1:12" ht="15" customHeight="1" x14ac:dyDescent="0.3">
      <c r="A4415" s="23" t="s">
        <v>17690</v>
      </c>
      <c r="B4415" s="23" t="s">
        <v>77</v>
      </c>
      <c r="C4415" s="39">
        <v>9298</v>
      </c>
      <c r="D4415" s="24">
        <v>158.07</v>
      </c>
      <c r="E4415" s="24">
        <v>28.45</v>
      </c>
      <c r="F4415" s="23">
        <f>COUNTIFS(mdr_rate_cleaned!$A$2:$A$10,B4415,mdr_rate_cleaned!$B$2:$B$10,"&lt;"&amp;C4415,mdr_rate_cleaned!$F$2:$F$10,"&gt;="&amp;C4415)</f>
        <v>1</v>
      </c>
      <c r="G4415" s="40">
        <f>SUMIFS(mdr_rate_cleaned!$G$2:$G$10,mdr_rate_cleaned!$A$2:$A$10,B4415,mdr_rate_cleaned!$B$2:$B$10,"&lt;"&amp;C4415,mdr_rate_cleaned!$F$2:$F$10,"&gt;="&amp;C4415)</f>
        <v>1.7000000000000001E-2</v>
      </c>
      <c r="H4415" s="24">
        <f t="shared" si="340"/>
        <v>158.07</v>
      </c>
      <c r="I4415" s="23" t="str">
        <f t="shared" si="341"/>
        <v>Match</v>
      </c>
      <c r="J4415" s="23" t="str">
        <f t="shared" si="342"/>
        <v>Match</v>
      </c>
      <c r="K4415" s="24">
        <f t="shared" si="343"/>
        <v>28.45</v>
      </c>
      <c r="L4415" s="24">
        <f t="shared" si="344"/>
        <v>0</v>
      </c>
    </row>
    <row r="4416" spans="1:12" ht="15" customHeight="1" x14ac:dyDescent="0.3">
      <c r="A4416" s="23" t="s">
        <v>17691</v>
      </c>
      <c r="B4416" s="23" t="s">
        <v>79</v>
      </c>
      <c r="C4416" s="39">
        <v>8697</v>
      </c>
      <c r="D4416" s="24">
        <v>139.15</v>
      </c>
      <c r="E4416" s="24">
        <v>25.05</v>
      </c>
      <c r="F4416" s="23">
        <f>COUNTIFS(mdr_rate_cleaned!$A$2:$A$10,B4416,mdr_rate_cleaned!$B$2:$B$10,"&lt;"&amp;C4416,mdr_rate_cleaned!$F$2:$F$10,"&gt;="&amp;C4416)</f>
        <v>1</v>
      </c>
      <c r="G4416" s="40">
        <f>SUMIFS(mdr_rate_cleaned!$G$2:$G$10,mdr_rate_cleaned!$A$2:$A$10,B4416,mdr_rate_cleaned!$B$2:$B$10,"&lt;"&amp;C4416,mdr_rate_cleaned!$F$2:$F$10,"&gt;="&amp;C4416)</f>
        <v>1.6E-2</v>
      </c>
      <c r="H4416" s="24">
        <f t="shared" si="340"/>
        <v>139.15</v>
      </c>
      <c r="I4416" s="23" t="str">
        <f t="shared" si="341"/>
        <v>Match</v>
      </c>
      <c r="J4416" s="23" t="str">
        <f t="shared" si="342"/>
        <v>Match</v>
      </c>
      <c r="K4416" s="24">
        <f t="shared" si="343"/>
        <v>25.05</v>
      </c>
      <c r="L4416" s="24">
        <f t="shared" si="344"/>
        <v>0</v>
      </c>
    </row>
    <row r="4417" spans="1:12" ht="15" customHeight="1" x14ac:dyDescent="0.3">
      <c r="A4417" s="23" t="s">
        <v>17692</v>
      </c>
      <c r="B4417" s="23" t="s">
        <v>75</v>
      </c>
      <c r="C4417" s="39">
        <v>15998</v>
      </c>
      <c r="D4417" s="24">
        <v>47.99</v>
      </c>
      <c r="E4417" s="24">
        <v>8.64</v>
      </c>
      <c r="F4417" s="23">
        <f>COUNTIFS(mdr_rate_cleaned!$A$2:$A$10,B4417,mdr_rate_cleaned!$B$2:$B$10,"&lt;"&amp;C4417,mdr_rate_cleaned!$F$2:$F$10,"&gt;="&amp;C4417)</f>
        <v>1</v>
      </c>
      <c r="G4417" s="40">
        <f>SUMIFS(mdr_rate_cleaned!$G$2:$G$10,mdr_rate_cleaned!$A$2:$A$10,B4417,mdr_rate_cleaned!$B$2:$B$10,"&lt;"&amp;C4417,mdr_rate_cleaned!$F$2:$F$10,"&gt;="&amp;C4417)</f>
        <v>3.0000000000000001E-3</v>
      </c>
      <c r="H4417" s="24">
        <f t="shared" si="340"/>
        <v>47.99</v>
      </c>
      <c r="I4417" s="23" t="str">
        <f t="shared" si="341"/>
        <v>Match</v>
      </c>
      <c r="J4417" s="23" t="str">
        <f t="shared" si="342"/>
        <v>Match</v>
      </c>
      <c r="K4417" s="24">
        <f t="shared" si="343"/>
        <v>8.64</v>
      </c>
      <c r="L4417" s="24">
        <f t="shared" si="344"/>
        <v>0</v>
      </c>
    </row>
    <row r="4418" spans="1:12" ht="15" customHeight="1" x14ac:dyDescent="0.3">
      <c r="A4418" s="23" t="s">
        <v>17694</v>
      </c>
      <c r="B4418" s="23" t="s">
        <v>75</v>
      </c>
      <c r="C4418" s="39">
        <v>3098</v>
      </c>
      <c r="D4418" s="24">
        <v>9.2899999999999991</v>
      </c>
      <c r="E4418" s="24">
        <v>1.67</v>
      </c>
      <c r="F4418" s="23">
        <f>COUNTIFS(mdr_rate_cleaned!$A$2:$A$10,B4418,mdr_rate_cleaned!$B$2:$B$10,"&lt;"&amp;C4418,mdr_rate_cleaned!$F$2:$F$10,"&gt;="&amp;C4418)</f>
        <v>1</v>
      </c>
      <c r="G4418" s="40">
        <f>SUMIFS(mdr_rate_cleaned!$G$2:$G$10,mdr_rate_cleaned!$A$2:$A$10,B4418,mdr_rate_cleaned!$B$2:$B$10,"&lt;"&amp;C4418,mdr_rate_cleaned!$F$2:$F$10,"&gt;="&amp;C4418)</f>
        <v>3.0000000000000001E-3</v>
      </c>
      <c r="H4418" s="24">
        <f t="shared" ref="H4418:H4481" si="345">ROUND(C4418*G4418,2)</f>
        <v>9.2899999999999991</v>
      </c>
      <c r="I4418" s="23" t="str">
        <f t="shared" ref="I4418:I4481" si="346">IF(ROUND(D4418-H4418,2)=0,"Match","Differs")</f>
        <v>Match</v>
      </c>
      <c r="J4418" s="23" t="str">
        <f t="shared" ref="J4418:J4481" si="347">IF(ROUND(E4418-ROUND(D4418*0.18,2),2)=0,"Match","Differs")</f>
        <v>Match</v>
      </c>
      <c r="K4418" s="24">
        <f t="shared" ref="K4418:K4481" si="348">ROUND(H4418*0.18,2)</f>
        <v>1.67</v>
      </c>
      <c r="L4418" s="24">
        <f t="shared" ref="L4418:L4481" si="349">ROUND(D4418+E4418-H4418-K4418,2)</f>
        <v>0</v>
      </c>
    </row>
    <row r="4419" spans="1:12" ht="15" customHeight="1" x14ac:dyDescent="0.3">
      <c r="A4419" s="23" t="s">
        <v>17695</v>
      </c>
      <c r="B4419" s="23" t="s">
        <v>79</v>
      </c>
      <c r="C4419" s="39">
        <v>7999</v>
      </c>
      <c r="D4419" s="24">
        <v>127.98</v>
      </c>
      <c r="E4419" s="24">
        <v>23.04</v>
      </c>
      <c r="F4419" s="23">
        <f>COUNTIFS(mdr_rate_cleaned!$A$2:$A$10,B4419,mdr_rate_cleaned!$B$2:$B$10,"&lt;"&amp;C4419,mdr_rate_cleaned!$F$2:$F$10,"&gt;="&amp;C4419)</f>
        <v>1</v>
      </c>
      <c r="G4419" s="40">
        <f>SUMIFS(mdr_rate_cleaned!$G$2:$G$10,mdr_rate_cleaned!$A$2:$A$10,B4419,mdr_rate_cleaned!$B$2:$B$10,"&lt;"&amp;C4419,mdr_rate_cleaned!$F$2:$F$10,"&gt;="&amp;C4419)</f>
        <v>1.6E-2</v>
      </c>
      <c r="H4419" s="24">
        <f t="shared" si="345"/>
        <v>127.98</v>
      </c>
      <c r="I4419" s="23" t="str">
        <f t="shared" si="346"/>
        <v>Match</v>
      </c>
      <c r="J4419" s="23" t="str">
        <f t="shared" si="347"/>
        <v>Match</v>
      </c>
      <c r="K4419" s="24">
        <f t="shared" si="348"/>
        <v>23.04</v>
      </c>
      <c r="L4419" s="24">
        <f t="shared" si="349"/>
        <v>0</v>
      </c>
    </row>
    <row r="4420" spans="1:12" ht="15" customHeight="1" x14ac:dyDescent="0.3">
      <c r="A4420" s="23" t="s">
        <v>17697</v>
      </c>
      <c r="B4420" s="23" t="s">
        <v>79</v>
      </c>
      <c r="C4420" s="39">
        <v>599</v>
      </c>
      <c r="D4420" s="24">
        <v>10.78</v>
      </c>
      <c r="E4420" s="24">
        <v>1.94</v>
      </c>
      <c r="F4420" s="23">
        <f>COUNTIFS(mdr_rate_cleaned!$A$2:$A$10,B4420,mdr_rate_cleaned!$B$2:$B$10,"&lt;"&amp;C4420,mdr_rate_cleaned!$F$2:$F$10,"&gt;="&amp;C4420)</f>
        <v>1</v>
      </c>
      <c r="G4420" s="40">
        <f>SUMIFS(mdr_rate_cleaned!$G$2:$G$10,mdr_rate_cleaned!$A$2:$A$10,B4420,mdr_rate_cleaned!$B$2:$B$10,"&lt;"&amp;C4420,mdr_rate_cleaned!$F$2:$F$10,"&gt;="&amp;C4420)</f>
        <v>1.8000000000000002E-2</v>
      </c>
      <c r="H4420" s="24">
        <f t="shared" si="345"/>
        <v>10.78</v>
      </c>
      <c r="I4420" s="23" t="str">
        <f t="shared" si="346"/>
        <v>Match</v>
      </c>
      <c r="J4420" s="23" t="str">
        <f t="shared" si="347"/>
        <v>Match</v>
      </c>
      <c r="K4420" s="24">
        <f t="shared" si="348"/>
        <v>1.94</v>
      </c>
      <c r="L4420" s="24">
        <f t="shared" si="349"/>
        <v>0</v>
      </c>
    </row>
    <row r="4421" spans="1:12" ht="15" customHeight="1" x14ac:dyDescent="0.3">
      <c r="A4421" s="23" t="s">
        <v>17698</v>
      </c>
      <c r="B4421" s="23" t="s">
        <v>79</v>
      </c>
      <c r="C4421" s="39">
        <v>4097</v>
      </c>
      <c r="D4421" s="24">
        <v>65.55</v>
      </c>
      <c r="E4421" s="24">
        <v>11.8</v>
      </c>
      <c r="F4421" s="23">
        <f>COUNTIFS(mdr_rate_cleaned!$A$2:$A$10,B4421,mdr_rate_cleaned!$B$2:$B$10,"&lt;"&amp;C4421,mdr_rate_cleaned!$F$2:$F$10,"&gt;="&amp;C4421)</f>
        <v>1</v>
      </c>
      <c r="G4421" s="40">
        <f>SUMIFS(mdr_rate_cleaned!$G$2:$G$10,mdr_rate_cleaned!$A$2:$A$10,B4421,mdr_rate_cleaned!$B$2:$B$10,"&lt;"&amp;C4421,mdr_rate_cleaned!$F$2:$F$10,"&gt;="&amp;C4421)</f>
        <v>1.6E-2</v>
      </c>
      <c r="H4421" s="24">
        <f t="shared" si="345"/>
        <v>65.55</v>
      </c>
      <c r="I4421" s="23" t="str">
        <f t="shared" si="346"/>
        <v>Match</v>
      </c>
      <c r="J4421" s="23" t="str">
        <f t="shared" si="347"/>
        <v>Match</v>
      </c>
      <c r="K4421" s="24">
        <f t="shared" si="348"/>
        <v>11.8</v>
      </c>
      <c r="L4421" s="24">
        <f t="shared" si="349"/>
        <v>0</v>
      </c>
    </row>
    <row r="4422" spans="1:12" ht="15" customHeight="1" x14ac:dyDescent="0.3">
      <c r="A4422" s="23" t="s">
        <v>17699</v>
      </c>
      <c r="B4422" s="23" t="s">
        <v>75</v>
      </c>
      <c r="C4422" s="39">
        <v>2499</v>
      </c>
      <c r="D4422" s="24">
        <v>7.5</v>
      </c>
      <c r="E4422" s="24">
        <v>1.35</v>
      </c>
      <c r="F4422" s="23">
        <f>COUNTIFS(mdr_rate_cleaned!$A$2:$A$10,B4422,mdr_rate_cleaned!$B$2:$B$10,"&lt;"&amp;C4422,mdr_rate_cleaned!$F$2:$F$10,"&gt;="&amp;C4422)</f>
        <v>1</v>
      </c>
      <c r="G4422" s="40">
        <f>SUMIFS(mdr_rate_cleaned!$G$2:$G$10,mdr_rate_cleaned!$A$2:$A$10,B4422,mdr_rate_cleaned!$B$2:$B$10,"&lt;"&amp;C4422,mdr_rate_cleaned!$F$2:$F$10,"&gt;="&amp;C4422)</f>
        <v>3.0000000000000001E-3</v>
      </c>
      <c r="H4422" s="24">
        <f t="shared" si="345"/>
        <v>7.5</v>
      </c>
      <c r="I4422" s="23" t="str">
        <f t="shared" si="346"/>
        <v>Match</v>
      </c>
      <c r="J4422" s="23" t="str">
        <f t="shared" si="347"/>
        <v>Match</v>
      </c>
      <c r="K4422" s="24">
        <f t="shared" si="348"/>
        <v>1.35</v>
      </c>
      <c r="L4422" s="24">
        <f t="shared" si="349"/>
        <v>0</v>
      </c>
    </row>
    <row r="4423" spans="1:12" ht="15" customHeight="1" x14ac:dyDescent="0.3">
      <c r="A4423" s="23" t="s">
        <v>17701</v>
      </c>
      <c r="B4423" s="23" t="s">
        <v>75</v>
      </c>
      <c r="C4423" s="39">
        <v>23997</v>
      </c>
      <c r="D4423" s="24">
        <v>71.989999999999995</v>
      </c>
      <c r="E4423" s="24">
        <v>12.96</v>
      </c>
      <c r="F4423" s="23">
        <f>COUNTIFS(mdr_rate_cleaned!$A$2:$A$10,B4423,mdr_rate_cleaned!$B$2:$B$10,"&lt;"&amp;C4423,mdr_rate_cleaned!$F$2:$F$10,"&gt;="&amp;C4423)</f>
        <v>1</v>
      </c>
      <c r="G4423" s="40">
        <f>SUMIFS(mdr_rate_cleaned!$G$2:$G$10,mdr_rate_cleaned!$A$2:$A$10,B4423,mdr_rate_cleaned!$B$2:$B$10,"&lt;"&amp;C4423,mdr_rate_cleaned!$F$2:$F$10,"&gt;="&amp;C4423)</f>
        <v>3.0000000000000001E-3</v>
      </c>
      <c r="H4423" s="24">
        <f t="shared" si="345"/>
        <v>71.989999999999995</v>
      </c>
      <c r="I4423" s="23" t="str">
        <f t="shared" si="346"/>
        <v>Match</v>
      </c>
      <c r="J4423" s="23" t="str">
        <f t="shared" si="347"/>
        <v>Match</v>
      </c>
      <c r="K4423" s="24">
        <f t="shared" si="348"/>
        <v>12.96</v>
      </c>
      <c r="L4423" s="24">
        <f t="shared" si="349"/>
        <v>0</v>
      </c>
    </row>
    <row r="4424" spans="1:12" ht="15" customHeight="1" x14ac:dyDescent="0.3">
      <c r="A4424" s="23" t="s">
        <v>17702</v>
      </c>
      <c r="B4424" s="23" t="s">
        <v>79</v>
      </c>
      <c r="C4424" s="39">
        <v>2097</v>
      </c>
      <c r="D4424" s="24">
        <v>33.549999999999997</v>
      </c>
      <c r="E4424" s="24">
        <v>6.04</v>
      </c>
      <c r="F4424" s="23">
        <f>COUNTIFS(mdr_rate_cleaned!$A$2:$A$10,B4424,mdr_rate_cleaned!$B$2:$B$10,"&lt;"&amp;C4424,mdr_rate_cleaned!$F$2:$F$10,"&gt;="&amp;C4424)</f>
        <v>1</v>
      </c>
      <c r="G4424" s="40">
        <f>SUMIFS(mdr_rate_cleaned!$G$2:$G$10,mdr_rate_cleaned!$A$2:$A$10,B4424,mdr_rate_cleaned!$B$2:$B$10,"&lt;"&amp;C4424,mdr_rate_cleaned!$F$2:$F$10,"&gt;="&amp;C4424)</f>
        <v>1.6E-2</v>
      </c>
      <c r="H4424" s="24">
        <f t="shared" si="345"/>
        <v>33.549999999999997</v>
      </c>
      <c r="I4424" s="23" t="str">
        <f t="shared" si="346"/>
        <v>Match</v>
      </c>
      <c r="J4424" s="23" t="str">
        <f t="shared" si="347"/>
        <v>Match</v>
      </c>
      <c r="K4424" s="24">
        <f t="shared" si="348"/>
        <v>6.04</v>
      </c>
      <c r="L4424" s="24">
        <f t="shared" si="349"/>
        <v>0</v>
      </c>
    </row>
    <row r="4425" spans="1:12" ht="15" customHeight="1" x14ac:dyDescent="0.3">
      <c r="A4425" s="23" t="s">
        <v>17704</v>
      </c>
      <c r="B4425" s="23" t="s">
        <v>75</v>
      </c>
      <c r="C4425" s="39">
        <v>3998</v>
      </c>
      <c r="D4425" s="24">
        <v>11.99</v>
      </c>
      <c r="E4425" s="24">
        <v>2.16</v>
      </c>
      <c r="F4425" s="23">
        <f>COUNTIFS(mdr_rate_cleaned!$A$2:$A$10,B4425,mdr_rate_cleaned!$B$2:$B$10,"&lt;"&amp;C4425,mdr_rate_cleaned!$F$2:$F$10,"&gt;="&amp;C4425)</f>
        <v>1</v>
      </c>
      <c r="G4425" s="40">
        <f>SUMIFS(mdr_rate_cleaned!$G$2:$G$10,mdr_rate_cleaned!$A$2:$A$10,B4425,mdr_rate_cleaned!$B$2:$B$10,"&lt;"&amp;C4425,mdr_rate_cleaned!$F$2:$F$10,"&gt;="&amp;C4425)</f>
        <v>3.0000000000000001E-3</v>
      </c>
      <c r="H4425" s="24">
        <f t="shared" si="345"/>
        <v>11.99</v>
      </c>
      <c r="I4425" s="23" t="str">
        <f t="shared" si="346"/>
        <v>Match</v>
      </c>
      <c r="J4425" s="23" t="str">
        <f t="shared" si="347"/>
        <v>Match</v>
      </c>
      <c r="K4425" s="24">
        <f t="shared" si="348"/>
        <v>2.16</v>
      </c>
      <c r="L4425" s="24">
        <f t="shared" si="349"/>
        <v>0</v>
      </c>
    </row>
    <row r="4426" spans="1:12" ht="15" customHeight="1" x14ac:dyDescent="0.3">
      <c r="A4426" s="23" t="s">
        <v>17705</v>
      </c>
      <c r="B4426" s="23" t="s">
        <v>75</v>
      </c>
      <c r="C4426" s="39">
        <v>2798</v>
      </c>
      <c r="D4426" s="24">
        <v>8.39</v>
      </c>
      <c r="E4426" s="24">
        <v>1.51</v>
      </c>
      <c r="F4426" s="23">
        <f>COUNTIFS(mdr_rate_cleaned!$A$2:$A$10,B4426,mdr_rate_cleaned!$B$2:$B$10,"&lt;"&amp;C4426,mdr_rate_cleaned!$F$2:$F$10,"&gt;="&amp;C4426)</f>
        <v>1</v>
      </c>
      <c r="G4426" s="40">
        <f>SUMIFS(mdr_rate_cleaned!$G$2:$G$10,mdr_rate_cleaned!$A$2:$A$10,B4426,mdr_rate_cleaned!$B$2:$B$10,"&lt;"&amp;C4426,mdr_rate_cleaned!$F$2:$F$10,"&gt;="&amp;C4426)</f>
        <v>3.0000000000000001E-3</v>
      </c>
      <c r="H4426" s="24">
        <f t="shared" si="345"/>
        <v>8.39</v>
      </c>
      <c r="I4426" s="23" t="str">
        <f t="shared" si="346"/>
        <v>Match</v>
      </c>
      <c r="J4426" s="23" t="str">
        <f t="shared" si="347"/>
        <v>Match</v>
      </c>
      <c r="K4426" s="24">
        <f t="shared" si="348"/>
        <v>1.51</v>
      </c>
      <c r="L4426" s="24">
        <f t="shared" si="349"/>
        <v>0</v>
      </c>
    </row>
    <row r="4427" spans="1:12" ht="15" customHeight="1" x14ac:dyDescent="0.3">
      <c r="A4427" s="23" t="s">
        <v>17706</v>
      </c>
      <c r="B4427" s="23" t="s">
        <v>75</v>
      </c>
      <c r="C4427" s="39">
        <v>1798</v>
      </c>
      <c r="D4427" s="24">
        <v>0</v>
      </c>
      <c r="E4427" s="24">
        <v>0</v>
      </c>
      <c r="F4427" s="23">
        <f>COUNTIFS(mdr_rate_cleaned!$A$2:$A$10,B4427,mdr_rate_cleaned!$B$2:$B$10,"&lt;"&amp;C4427,mdr_rate_cleaned!$F$2:$F$10,"&gt;="&amp;C4427)</f>
        <v>1</v>
      </c>
      <c r="G4427" s="40">
        <f>SUMIFS(mdr_rate_cleaned!$G$2:$G$10,mdr_rate_cleaned!$A$2:$A$10,B4427,mdr_rate_cleaned!$B$2:$B$10,"&lt;"&amp;C4427,mdr_rate_cleaned!$F$2:$F$10,"&gt;="&amp;C4427)</f>
        <v>0</v>
      </c>
      <c r="H4427" s="24">
        <f t="shared" si="345"/>
        <v>0</v>
      </c>
      <c r="I4427" s="23" t="str">
        <f t="shared" si="346"/>
        <v>Match</v>
      </c>
      <c r="J4427" s="23" t="str">
        <f t="shared" si="347"/>
        <v>Match</v>
      </c>
      <c r="K4427" s="24">
        <f t="shared" si="348"/>
        <v>0</v>
      </c>
      <c r="L4427" s="24">
        <f t="shared" si="349"/>
        <v>0</v>
      </c>
    </row>
    <row r="4428" spans="1:12" ht="15" customHeight="1" x14ac:dyDescent="0.3">
      <c r="A4428" s="23" t="s">
        <v>17707</v>
      </c>
      <c r="B4428" s="23" t="s">
        <v>79</v>
      </c>
      <c r="C4428" s="39">
        <v>1499</v>
      </c>
      <c r="D4428" s="24">
        <v>26.98</v>
      </c>
      <c r="E4428" s="24">
        <v>4.8600000000000003</v>
      </c>
      <c r="F4428" s="23">
        <f>COUNTIFS(mdr_rate_cleaned!$A$2:$A$10,B4428,mdr_rate_cleaned!$B$2:$B$10,"&lt;"&amp;C4428,mdr_rate_cleaned!$F$2:$F$10,"&gt;="&amp;C4428)</f>
        <v>1</v>
      </c>
      <c r="G4428" s="40">
        <f>SUMIFS(mdr_rate_cleaned!$G$2:$G$10,mdr_rate_cleaned!$A$2:$A$10,B4428,mdr_rate_cleaned!$B$2:$B$10,"&lt;"&amp;C4428,mdr_rate_cleaned!$F$2:$F$10,"&gt;="&amp;C4428)</f>
        <v>1.8000000000000002E-2</v>
      </c>
      <c r="H4428" s="24">
        <f t="shared" si="345"/>
        <v>26.98</v>
      </c>
      <c r="I4428" s="23" t="str">
        <f t="shared" si="346"/>
        <v>Match</v>
      </c>
      <c r="J4428" s="23" t="str">
        <f t="shared" si="347"/>
        <v>Match</v>
      </c>
      <c r="K4428" s="24">
        <f t="shared" si="348"/>
        <v>4.8600000000000003</v>
      </c>
      <c r="L4428" s="24">
        <f t="shared" si="349"/>
        <v>0</v>
      </c>
    </row>
    <row r="4429" spans="1:12" ht="15" customHeight="1" x14ac:dyDescent="0.3">
      <c r="A4429" s="23" t="s">
        <v>17708</v>
      </c>
      <c r="B4429" s="23" t="s">
        <v>75</v>
      </c>
      <c r="C4429" s="39">
        <v>299</v>
      </c>
      <c r="D4429" s="24">
        <v>0</v>
      </c>
      <c r="E4429" s="24">
        <v>0</v>
      </c>
      <c r="F4429" s="23">
        <f>COUNTIFS(mdr_rate_cleaned!$A$2:$A$10,B4429,mdr_rate_cleaned!$B$2:$B$10,"&lt;"&amp;C4429,mdr_rate_cleaned!$F$2:$F$10,"&gt;="&amp;C4429)</f>
        <v>1</v>
      </c>
      <c r="G4429" s="40">
        <f>SUMIFS(mdr_rate_cleaned!$G$2:$G$10,mdr_rate_cleaned!$A$2:$A$10,B4429,mdr_rate_cleaned!$B$2:$B$10,"&lt;"&amp;C4429,mdr_rate_cleaned!$F$2:$F$10,"&gt;="&amp;C4429)</f>
        <v>0</v>
      </c>
      <c r="H4429" s="24">
        <f t="shared" si="345"/>
        <v>0</v>
      </c>
      <c r="I4429" s="23" t="str">
        <f t="shared" si="346"/>
        <v>Match</v>
      </c>
      <c r="J4429" s="23" t="str">
        <f t="shared" si="347"/>
        <v>Match</v>
      </c>
      <c r="K4429" s="24">
        <f t="shared" si="348"/>
        <v>0</v>
      </c>
      <c r="L4429" s="24">
        <f t="shared" si="349"/>
        <v>0</v>
      </c>
    </row>
    <row r="4430" spans="1:12" ht="15" customHeight="1" x14ac:dyDescent="0.3">
      <c r="A4430" s="23" t="s">
        <v>17709</v>
      </c>
      <c r="B4430" s="23" t="s">
        <v>81</v>
      </c>
      <c r="C4430" s="39">
        <v>4998</v>
      </c>
      <c r="D4430" s="24">
        <v>59.98</v>
      </c>
      <c r="E4430" s="24">
        <v>10.8</v>
      </c>
      <c r="F4430" s="23">
        <f>COUNTIFS(mdr_rate_cleaned!$A$2:$A$10,B4430,mdr_rate_cleaned!$B$2:$B$10,"&lt;"&amp;C4430,mdr_rate_cleaned!$F$2:$F$10,"&gt;="&amp;C4430)</f>
        <v>1</v>
      </c>
      <c r="G4430" s="40">
        <f>SUMIFS(mdr_rate_cleaned!$G$2:$G$10,mdr_rate_cleaned!$A$2:$A$10,B4430,mdr_rate_cleaned!$B$2:$B$10,"&lt;"&amp;C4430,mdr_rate_cleaned!$F$2:$F$10,"&gt;="&amp;C4430)</f>
        <v>1.2E-2</v>
      </c>
      <c r="H4430" s="24">
        <f t="shared" si="345"/>
        <v>59.98</v>
      </c>
      <c r="I4430" s="23" t="str">
        <f t="shared" si="346"/>
        <v>Match</v>
      </c>
      <c r="J4430" s="23" t="str">
        <f t="shared" si="347"/>
        <v>Match</v>
      </c>
      <c r="K4430" s="24">
        <f t="shared" si="348"/>
        <v>10.8</v>
      </c>
      <c r="L4430" s="24">
        <f t="shared" si="349"/>
        <v>0</v>
      </c>
    </row>
    <row r="4431" spans="1:12" ht="15" customHeight="1" x14ac:dyDescent="0.3">
      <c r="A4431" s="23" t="s">
        <v>17711</v>
      </c>
      <c r="B4431" s="23" t="s">
        <v>79</v>
      </c>
      <c r="C4431" s="39">
        <v>499</v>
      </c>
      <c r="D4431" s="24">
        <v>8.98</v>
      </c>
      <c r="E4431" s="24">
        <v>1.62</v>
      </c>
      <c r="F4431" s="23">
        <f>COUNTIFS(mdr_rate_cleaned!$A$2:$A$10,B4431,mdr_rate_cleaned!$B$2:$B$10,"&lt;"&amp;C4431,mdr_rate_cleaned!$F$2:$F$10,"&gt;="&amp;C4431)</f>
        <v>1</v>
      </c>
      <c r="G4431" s="40">
        <f>SUMIFS(mdr_rate_cleaned!$G$2:$G$10,mdr_rate_cleaned!$A$2:$A$10,B4431,mdr_rate_cleaned!$B$2:$B$10,"&lt;"&amp;C4431,mdr_rate_cleaned!$F$2:$F$10,"&gt;="&amp;C4431)</f>
        <v>1.8000000000000002E-2</v>
      </c>
      <c r="H4431" s="24">
        <f t="shared" si="345"/>
        <v>8.98</v>
      </c>
      <c r="I4431" s="23" t="str">
        <f t="shared" si="346"/>
        <v>Match</v>
      </c>
      <c r="J4431" s="23" t="str">
        <f t="shared" si="347"/>
        <v>Match</v>
      </c>
      <c r="K4431" s="24">
        <f t="shared" si="348"/>
        <v>1.62</v>
      </c>
      <c r="L4431" s="24">
        <f t="shared" si="349"/>
        <v>0</v>
      </c>
    </row>
    <row r="4432" spans="1:12" ht="15" customHeight="1" x14ac:dyDescent="0.3">
      <c r="A4432" s="23" t="s">
        <v>17712</v>
      </c>
      <c r="B4432" s="23" t="s">
        <v>79</v>
      </c>
      <c r="C4432" s="39">
        <v>799</v>
      </c>
      <c r="D4432" s="24">
        <v>14.38</v>
      </c>
      <c r="E4432" s="24">
        <v>2.59</v>
      </c>
      <c r="F4432" s="23">
        <f>COUNTIFS(mdr_rate_cleaned!$A$2:$A$10,B4432,mdr_rate_cleaned!$B$2:$B$10,"&lt;"&amp;C4432,mdr_rate_cleaned!$F$2:$F$10,"&gt;="&amp;C4432)</f>
        <v>1</v>
      </c>
      <c r="G4432" s="40">
        <f>SUMIFS(mdr_rate_cleaned!$G$2:$G$10,mdr_rate_cleaned!$A$2:$A$10,B4432,mdr_rate_cleaned!$B$2:$B$10,"&lt;"&amp;C4432,mdr_rate_cleaned!$F$2:$F$10,"&gt;="&amp;C4432)</f>
        <v>1.8000000000000002E-2</v>
      </c>
      <c r="H4432" s="24">
        <f t="shared" si="345"/>
        <v>14.38</v>
      </c>
      <c r="I4432" s="23" t="str">
        <f t="shared" si="346"/>
        <v>Match</v>
      </c>
      <c r="J4432" s="23" t="str">
        <f t="shared" si="347"/>
        <v>Match</v>
      </c>
      <c r="K4432" s="24">
        <f t="shared" si="348"/>
        <v>2.59</v>
      </c>
      <c r="L4432" s="24">
        <f t="shared" si="349"/>
        <v>0</v>
      </c>
    </row>
    <row r="4433" spans="1:12" ht="15" customHeight="1" x14ac:dyDescent="0.3">
      <c r="A4433" s="23" t="s">
        <v>17713</v>
      </c>
      <c r="B4433" s="23" t="s">
        <v>75</v>
      </c>
      <c r="C4433" s="39">
        <v>3498</v>
      </c>
      <c r="D4433" s="24">
        <v>10.49</v>
      </c>
      <c r="E4433" s="24">
        <v>1.89</v>
      </c>
      <c r="F4433" s="23">
        <f>COUNTIFS(mdr_rate_cleaned!$A$2:$A$10,B4433,mdr_rate_cleaned!$B$2:$B$10,"&lt;"&amp;C4433,mdr_rate_cleaned!$F$2:$F$10,"&gt;="&amp;C4433)</f>
        <v>1</v>
      </c>
      <c r="G4433" s="40">
        <f>SUMIFS(mdr_rate_cleaned!$G$2:$G$10,mdr_rate_cleaned!$A$2:$A$10,B4433,mdr_rate_cleaned!$B$2:$B$10,"&lt;"&amp;C4433,mdr_rate_cleaned!$F$2:$F$10,"&gt;="&amp;C4433)</f>
        <v>3.0000000000000001E-3</v>
      </c>
      <c r="H4433" s="24">
        <f t="shared" si="345"/>
        <v>10.49</v>
      </c>
      <c r="I4433" s="23" t="str">
        <f t="shared" si="346"/>
        <v>Match</v>
      </c>
      <c r="J4433" s="23" t="str">
        <f t="shared" si="347"/>
        <v>Match</v>
      </c>
      <c r="K4433" s="24">
        <f t="shared" si="348"/>
        <v>1.89</v>
      </c>
      <c r="L4433" s="24">
        <f t="shared" si="349"/>
        <v>0</v>
      </c>
    </row>
    <row r="4434" spans="1:12" ht="15" customHeight="1" x14ac:dyDescent="0.3">
      <c r="A4434" s="23" t="s">
        <v>17714</v>
      </c>
      <c r="B4434" s="23" t="s">
        <v>75</v>
      </c>
      <c r="C4434" s="39">
        <v>3499</v>
      </c>
      <c r="D4434" s="24">
        <v>10.5</v>
      </c>
      <c r="E4434" s="24">
        <v>1.89</v>
      </c>
      <c r="F4434" s="23">
        <f>COUNTIFS(mdr_rate_cleaned!$A$2:$A$10,B4434,mdr_rate_cleaned!$B$2:$B$10,"&lt;"&amp;C4434,mdr_rate_cleaned!$F$2:$F$10,"&gt;="&amp;C4434)</f>
        <v>1</v>
      </c>
      <c r="G4434" s="40">
        <f>SUMIFS(mdr_rate_cleaned!$G$2:$G$10,mdr_rate_cleaned!$A$2:$A$10,B4434,mdr_rate_cleaned!$B$2:$B$10,"&lt;"&amp;C4434,mdr_rate_cleaned!$F$2:$F$10,"&gt;="&amp;C4434)</f>
        <v>3.0000000000000001E-3</v>
      </c>
      <c r="H4434" s="24">
        <f t="shared" si="345"/>
        <v>10.5</v>
      </c>
      <c r="I4434" s="23" t="str">
        <f t="shared" si="346"/>
        <v>Match</v>
      </c>
      <c r="J4434" s="23" t="str">
        <f t="shared" si="347"/>
        <v>Match</v>
      </c>
      <c r="K4434" s="24">
        <f t="shared" si="348"/>
        <v>1.89</v>
      </c>
      <c r="L4434" s="24">
        <f t="shared" si="349"/>
        <v>0</v>
      </c>
    </row>
    <row r="4435" spans="1:12" ht="15" customHeight="1" x14ac:dyDescent="0.3">
      <c r="A4435" s="23" t="s">
        <v>17715</v>
      </c>
      <c r="B4435" s="23" t="s">
        <v>75</v>
      </c>
      <c r="C4435" s="39">
        <v>999</v>
      </c>
      <c r="D4435" s="24">
        <v>0</v>
      </c>
      <c r="E4435" s="24">
        <v>0</v>
      </c>
      <c r="F4435" s="23">
        <f>COUNTIFS(mdr_rate_cleaned!$A$2:$A$10,B4435,mdr_rate_cleaned!$B$2:$B$10,"&lt;"&amp;C4435,mdr_rate_cleaned!$F$2:$F$10,"&gt;="&amp;C4435)</f>
        <v>1</v>
      </c>
      <c r="G4435" s="40">
        <f>SUMIFS(mdr_rate_cleaned!$G$2:$G$10,mdr_rate_cleaned!$A$2:$A$10,B4435,mdr_rate_cleaned!$B$2:$B$10,"&lt;"&amp;C4435,mdr_rate_cleaned!$F$2:$F$10,"&gt;="&amp;C4435)</f>
        <v>0</v>
      </c>
      <c r="H4435" s="24">
        <f t="shared" si="345"/>
        <v>0</v>
      </c>
      <c r="I4435" s="23" t="str">
        <f t="shared" si="346"/>
        <v>Match</v>
      </c>
      <c r="J4435" s="23" t="str">
        <f t="shared" si="347"/>
        <v>Match</v>
      </c>
      <c r="K4435" s="24">
        <f t="shared" si="348"/>
        <v>0</v>
      </c>
      <c r="L4435" s="24">
        <f t="shared" si="349"/>
        <v>0</v>
      </c>
    </row>
    <row r="4436" spans="1:12" ht="15" customHeight="1" x14ac:dyDescent="0.3">
      <c r="A4436" s="23" t="s">
        <v>17716</v>
      </c>
      <c r="B4436" s="23" t="s">
        <v>79</v>
      </c>
      <c r="C4436" s="39">
        <v>8097</v>
      </c>
      <c r="D4436" s="24">
        <v>129.55000000000001</v>
      </c>
      <c r="E4436" s="24">
        <v>23.32</v>
      </c>
      <c r="F4436" s="23">
        <f>COUNTIFS(mdr_rate_cleaned!$A$2:$A$10,B4436,mdr_rate_cleaned!$B$2:$B$10,"&lt;"&amp;C4436,mdr_rate_cleaned!$F$2:$F$10,"&gt;="&amp;C4436)</f>
        <v>1</v>
      </c>
      <c r="G4436" s="40">
        <f>SUMIFS(mdr_rate_cleaned!$G$2:$G$10,mdr_rate_cleaned!$A$2:$A$10,B4436,mdr_rate_cleaned!$B$2:$B$10,"&lt;"&amp;C4436,mdr_rate_cleaned!$F$2:$F$10,"&gt;="&amp;C4436)</f>
        <v>1.6E-2</v>
      </c>
      <c r="H4436" s="24">
        <f t="shared" si="345"/>
        <v>129.55000000000001</v>
      </c>
      <c r="I4436" s="23" t="str">
        <f t="shared" si="346"/>
        <v>Match</v>
      </c>
      <c r="J4436" s="23" t="str">
        <f t="shared" si="347"/>
        <v>Match</v>
      </c>
      <c r="K4436" s="24">
        <f t="shared" si="348"/>
        <v>23.32</v>
      </c>
      <c r="L4436" s="24">
        <f t="shared" si="349"/>
        <v>0</v>
      </c>
    </row>
    <row r="4437" spans="1:12" ht="15" customHeight="1" x14ac:dyDescent="0.3">
      <c r="A4437" s="23" t="s">
        <v>17717</v>
      </c>
      <c r="B4437" s="23" t="s">
        <v>75</v>
      </c>
      <c r="C4437" s="39">
        <v>3298</v>
      </c>
      <c r="D4437" s="24">
        <v>9.89</v>
      </c>
      <c r="E4437" s="24">
        <v>1.78</v>
      </c>
      <c r="F4437" s="23">
        <f>COUNTIFS(mdr_rate_cleaned!$A$2:$A$10,B4437,mdr_rate_cleaned!$B$2:$B$10,"&lt;"&amp;C4437,mdr_rate_cleaned!$F$2:$F$10,"&gt;="&amp;C4437)</f>
        <v>1</v>
      </c>
      <c r="G4437" s="40">
        <f>SUMIFS(mdr_rate_cleaned!$G$2:$G$10,mdr_rate_cleaned!$A$2:$A$10,B4437,mdr_rate_cleaned!$B$2:$B$10,"&lt;"&amp;C4437,mdr_rate_cleaned!$F$2:$F$10,"&gt;="&amp;C4437)</f>
        <v>3.0000000000000001E-3</v>
      </c>
      <c r="H4437" s="24">
        <f t="shared" si="345"/>
        <v>9.89</v>
      </c>
      <c r="I4437" s="23" t="str">
        <f t="shared" si="346"/>
        <v>Match</v>
      </c>
      <c r="J4437" s="23" t="str">
        <f t="shared" si="347"/>
        <v>Match</v>
      </c>
      <c r="K4437" s="24">
        <f t="shared" si="348"/>
        <v>1.78</v>
      </c>
      <c r="L4437" s="24">
        <f t="shared" si="349"/>
        <v>0</v>
      </c>
    </row>
    <row r="4438" spans="1:12" ht="15" customHeight="1" x14ac:dyDescent="0.3">
      <c r="A4438" s="23" t="s">
        <v>17718</v>
      </c>
      <c r="B4438" s="23" t="s">
        <v>79</v>
      </c>
      <c r="C4438" s="39">
        <v>4397</v>
      </c>
      <c r="D4438" s="24">
        <v>70.349999999999994</v>
      </c>
      <c r="E4438" s="24">
        <v>12.66</v>
      </c>
      <c r="F4438" s="23">
        <f>COUNTIFS(mdr_rate_cleaned!$A$2:$A$10,B4438,mdr_rate_cleaned!$B$2:$B$10,"&lt;"&amp;C4438,mdr_rate_cleaned!$F$2:$F$10,"&gt;="&amp;C4438)</f>
        <v>1</v>
      </c>
      <c r="G4438" s="40">
        <f>SUMIFS(mdr_rate_cleaned!$G$2:$G$10,mdr_rate_cleaned!$A$2:$A$10,B4438,mdr_rate_cleaned!$B$2:$B$10,"&lt;"&amp;C4438,mdr_rate_cleaned!$F$2:$F$10,"&gt;="&amp;C4438)</f>
        <v>1.6E-2</v>
      </c>
      <c r="H4438" s="24">
        <f t="shared" si="345"/>
        <v>70.349999999999994</v>
      </c>
      <c r="I4438" s="23" t="str">
        <f t="shared" si="346"/>
        <v>Match</v>
      </c>
      <c r="J4438" s="23" t="str">
        <f t="shared" si="347"/>
        <v>Match</v>
      </c>
      <c r="K4438" s="24">
        <f t="shared" si="348"/>
        <v>12.66</v>
      </c>
      <c r="L4438" s="24">
        <f t="shared" si="349"/>
        <v>0</v>
      </c>
    </row>
    <row r="4439" spans="1:12" ht="15" customHeight="1" x14ac:dyDescent="0.3">
      <c r="A4439" s="23" t="s">
        <v>17719</v>
      </c>
      <c r="B4439" s="23" t="s">
        <v>81</v>
      </c>
      <c r="C4439" s="39">
        <v>4498</v>
      </c>
      <c r="D4439" s="24">
        <v>53.98</v>
      </c>
      <c r="E4439" s="24">
        <v>9.7200000000000006</v>
      </c>
      <c r="F4439" s="23">
        <f>COUNTIFS(mdr_rate_cleaned!$A$2:$A$10,B4439,mdr_rate_cleaned!$B$2:$B$10,"&lt;"&amp;C4439,mdr_rate_cleaned!$F$2:$F$10,"&gt;="&amp;C4439)</f>
        <v>1</v>
      </c>
      <c r="G4439" s="40">
        <f>SUMIFS(mdr_rate_cleaned!$G$2:$G$10,mdr_rate_cleaned!$A$2:$A$10,B4439,mdr_rate_cleaned!$B$2:$B$10,"&lt;"&amp;C4439,mdr_rate_cleaned!$F$2:$F$10,"&gt;="&amp;C4439)</f>
        <v>1.2E-2</v>
      </c>
      <c r="H4439" s="24">
        <f t="shared" si="345"/>
        <v>53.98</v>
      </c>
      <c r="I4439" s="23" t="str">
        <f t="shared" si="346"/>
        <v>Match</v>
      </c>
      <c r="J4439" s="23" t="str">
        <f t="shared" si="347"/>
        <v>Match</v>
      </c>
      <c r="K4439" s="24">
        <f t="shared" si="348"/>
        <v>9.7200000000000006</v>
      </c>
      <c r="L4439" s="24">
        <f t="shared" si="349"/>
        <v>0</v>
      </c>
    </row>
    <row r="4440" spans="1:12" ht="15" customHeight="1" x14ac:dyDescent="0.3">
      <c r="A4440" s="23" t="s">
        <v>17720</v>
      </c>
      <c r="B4440" s="23" t="s">
        <v>79</v>
      </c>
      <c r="C4440" s="39">
        <v>5297</v>
      </c>
      <c r="D4440" s="24">
        <v>84.75</v>
      </c>
      <c r="E4440" s="24">
        <v>15.26</v>
      </c>
      <c r="F4440" s="23">
        <f>COUNTIFS(mdr_rate_cleaned!$A$2:$A$10,B4440,mdr_rate_cleaned!$B$2:$B$10,"&lt;"&amp;C4440,mdr_rate_cleaned!$F$2:$F$10,"&gt;="&amp;C4440)</f>
        <v>1</v>
      </c>
      <c r="G4440" s="40">
        <f>SUMIFS(mdr_rate_cleaned!$G$2:$G$10,mdr_rate_cleaned!$A$2:$A$10,B4440,mdr_rate_cleaned!$B$2:$B$10,"&lt;"&amp;C4440,mdr_rate_cleaned!$F$2:$F$10,"&gt;="&amp;C4440)</f>
        <v>1.6E-2</v>
      </c>
      <c r="H4440" s="24">
        <f t="shared" si="345"/>
        <v>84.75</v>
      </c>
      <c r="I4440" s="23" t="str">
        <f t="shared" si="346"/>
        <v>Match</v>
      </c>
      <c r="J4440" s="23" t="str">
        <f t="shared" si="347"/>
        <v>Match</v>
      </c>
      <c r="K4440" s="24">
        <f t="shared" si="348"/>
        <v>15.26</v>
      </c>
      <c r="L4440" s="24">
        <f t="shared" si="349"/>
        <v>0</v>
      </c>
    </row>
    <row r="4441" spans="1:12" ht="15" customHeight="1" x14ac:dyDescent="0.3">
      <c r="A4441" s="23" t="s">
        <v>17721</v>
      </c>
      <c r="B4441" s="23" t="s">
        <v>81</v>
      </c>
      <c r="C4441" s="39">
        <v>599</v>
      </c>
      <c r="D4441" s="24">
        <v>8.99</v>
      </c>
      <c r="E4441" s="24">
        <v>1.62</v>
      </c>
      <c r="F4441" s="23">
        <f>COUNTIFS(mdr_rate_cleaned!$A$2:$A$10,B4441,mdr_rate_cleaned!$B$2:$B$10,"&lt;"&amp;C4441,mdr_rate_cleaned!$F$2:$F$10,"&gt;="&amp;C4441)</f>
        <v>1</v>
      </c>
      <c r="G4441" s="40">
        <f>SUMIFS(mdr_rate_cleaned!$G$2:$G$10,mdr_rate_cleaned!$A$2:$A$10,B4441,mdr_rate_cleaned!$B$2:$B$10,"&lt;"&amp;C4441,mdr_rate_cleaned!$F$2:$F$10,"&gt;="&amp;C4441)</f>
        <v>1.4999999999999999E-2</v>
      </c>
      <c r="H4441" s="24">
        <f t="shared" si="345"/>
        <v>8.99</v>
      </c>
      <c r="I4441" s="23" t="str">
        <f t="shared" si="346"/>
        <v>Match</v>
      </c>
      <c r="J4441" s="23" t="str">
        <f t="shared" si="347"/>
        <v>Match</v>
      </c>
      <c r="K4441" s="24">
        <f t="shared" si="348"/>
        <v>1.62</v>
      </c>
      <c r="L4441" s="24">
        <f t="shared" si="349"/>
        <v>0</v>
      </c>
    </row>
    <row r="4442" spans="1:12" ht="15" customHeight="1" x14ac:dyDescent="0.3">
      <c r="A4442" s="23" t="s">
        <v>17722</v>
      </c>
      <c r="B4442" s="23" t="s">
        <v>75</v>
      </c>
      <c r="C4442" s="39">
        <v>5998</v>
      </c>
      <c r="D4442" s="24">
        <v>17.989999999999998</v>
      </c>
      <c r="E4442" s="24">
        <v>3.24</v>
      </c>
      <c r="F4442" s="23">
        <f>COUNTIFS(mdr_rate_cleaned!$A$2:$A$10,B4442,mdr_rate_cleaned!$B$2:$B$10,"&lt;"&amp;C4442,mdr_rate_cleaned!$F$2:$F$10,"&gt;="&amp;C4442)</f>
        <v>1</v>
      </c>
      <c r="G4442" s="40">
        <f>SUMIFS(mdr_rate_cleaned!$G$2:$G$10,mdr_rate_cleaned!$A$2:$A$10,B4442,mdr_rate_cleaned!$B$2:$B$10,"&lt;"&amp;C4442,mdr_rate_cleaned!$F$2:$F$10,"&gt;="&amp;C4442)</f>
        <v>3.0000000000000001E-3</v>
      </c>
      <c r="H4442" s="24">
        <f t="shared" si="345"/>
        <v>17.989999999999998</v>
      </c>
      <c r="I4442" s="23" t="str">
        <f t="shared" si="346"/>
        <v>Match</v>
      </c>
      <c r="J4442" s="23" t="str">
        <f t="shared" si="347"/>
        <v>Match</v>
      </c>
      <c r="K4442" s="24">
        <f t="shared" si="348"/>
        <v>3.24</v>
      </c>
      <c r="L4442" s="24">
        <f t="shared" si="349"/>
        <v>0</v>
      </c>
    </row>
    <row r="4443" spans="1:12" ht="15" customHeight="1" x14ac:dyDescent="0.3">
      <c r="A4443" s="23" t="s">
        <v>17723</v>
      </c>
      <c r="B4443" s="23" t="s">
        <v>77</v>
      </c>
      <c r="C4443" s="39">
        <v>1799</v>
      </c>
      <c r="D4443" s="24">
        <v>34.18</v>
      </c>
      <c r="E4443" s="24">
        <v>6.15</v>
      </c>
      <c r="F4443" s="23">
        <f>COUNTIFS(mdr_rate_cleaned!$A$2:$A$10,B4443,mdr_rate_cleaned!$B$2:$B$10,"&lt;"&amp;C4443,mdr_rate_cleaned!$F$2:$F$10,"&gt;="&amp;C4443)</f>
        <v>1</v>
      </c>
      <c r="G4443" s="40">
        <f>SUMIFS(mdr_rate_cleaned!$G$2:$G$10,mdr_rate_cleaned!$A$2:$A$10,B4443,mdr_rate_cleaned!$B$2:$B$10,"&lt;"&amp;C4443,mdr_rate_cleaned!$F$2:$F$10,"&gt;="&amp;C4443)</f>
        <v>1.9E-2</v>
      </c>
      <c r="H4443" s="24">
        <f t="shared" si="345"/>
        <v>34.18</v>
      </c>
      <c r="I4443" s="23" t="str">
        <f t="shared" si="346"/>
        <v>Match</v>
      </c>
      <c r="J4443" s="23" t="str">
        <f t="shared" si="347"/>
        <v>Match</v>
      </c>
      <c r="K4443" s="24">
        <f t="shared" si="348"/>
        <v>6.15</v>
      </c>
      <c r="L4443" s="24">
        <f t="shared" si="349"/>
        <v>0</v>
      </c>
    </row>
    <row r="4444" spans="1:12" ht="15" customHeight="1" x14ac:dyDescent="0.3">
      <c r="A4444" s="23" t="s">
        <v>17724</v>
      </c>
      <c r="B4444" s="23" t="s">
        <v>75</v>
      </c>
      <c r="C4444" s="39">
        <v>999</v>
      </c>
      <c r="D4444" s="24">
        <v>0</v>
      </c>
      <c r="E4444" s="24">
        <v>0</v>
      </c>
      <c r="F4444" s="23">
        <f>COUNTIFS(mdr_rate_cleaned!$A$2:$A$10,B4444,mdr_rate_cleaned!$B$2:$B$10,"&lt;"&amp;C4444,mdr_rate_cleaned!$F$2:$F$10,"&gt;="&amp;C4444)</f>
        <v>1</v>
      </c>
      <c r="G4444" s="40">
        <f>SUMIFS(mdr_rate_cleaned!$G$2:$G$10,mdr_rate_cleaned!$A$2:$A$10,B4444,mdr_rate_cleaned!$B$2:$B$10,"&lt;"&amp;C4444,mdr_rate_cleaned!$F$2:$F$10,"&gt;="&amp;C4444)</f>
        <v>0</v>
      </c>
      <c r="H4444" s="24">
        <f t="shared" si="345"/>
        <v>0</v>
      </c>
      <c r="I4444" s="23" t="str">
        <f t="shared" si="346"/>
        <v>Match</v>
      </c>
      <c r="J4444" s="23" t="str">
        <f t="shared" si="347"/>
        <v>Match</v>
      </c>
      <c r="K4444" s="24">
        <f t="shared" si="348"/>
        <v>0</v>
      </c>
      <c r="L4444" s="24">
        <f t="shared" si="349"/>
        <v>0</v>
      </c>
    </row>
    <row r="4445" spans="1:12" ht="15" customHeight="1" x14ac:dyDescent="0.3">
      <c r="A4445" s="23" t="s">
        <v>17725</v>
      </c>
      <c r="B4445" s="23" t="s">
        <v>79</v>
      </c>
      <c r="C4445" s="39">
        <v>6998</v>
      </c>
      <c r="D4445" s="24">
        <v>111.97</v>
      </c>
      <c r="E4445" s="24">
        <v>20.149999999999999</v>
      </c>
      <c r="F4445" s="23">
        <f>COUNTIFS(mdr_rate_cleaned!$A$2:$A$10,B4445,mdr_rate_cleaned!$B$2:$B$10,"&lt;"&amp;C4445,mdr_rate_cleaned!$F$2:$F$10,"&gt;="&amp;C4445)</f>
        <v>1</v>
      </c>
      <c r="G4445" s="40">
        <f>SUMIFS(mdr_rate_cleaned!$G$2:$G$10,mdr_rate_cleaned!$A$2:$A$10,B4445,mdr_rate_cleaned!$B$2:$B$10,"&lt;"&amp;C4445,mdr_rate_cleaned!$F$2:$F$10,"&gt;="&amp;C4445)</f>
        <v>1.6E-2</v>
      </c>
      <c r="H4445" s="24">
        <f t="shared" si="345"/>
        <v>111.97</v>
      </c>
      <c r="I4445" s="23" t="str">
        <f t="shared" si="346"/>
        <v>Match</v>
      </c>
      <c r="J4445" s="23" t="str">
        <f t="shared" si="347"/>
        <v>Match</v>
      </c>
      <c r="K4445" s="24">
        <f t="shared" si="348"/>
        <v>20.149999999999999</v>
      </c>
      <c r="L4445" s="24">
        <f t="shared" si="349"/>
        <v>0</v>
      </c>
    </row>
    <row r="4446" spans="1:12" ht="15" customHeight="1" x14ac:dyDescent="0.3">
      <c r="A4446" s="23" t="s">
        <v>17726</v>
      </c>
      <c r="B4446" s="23" t="s">
        <v>79</v>
      </c>
      <c r="C4446" s="39">
        <v>8798</v>
      </c>
      <c r="D4446" s="24">
        <v>140.77000000000001</v>
      </c>
      <c r="E4446" s="24">
        <v>25.34</v>
      </c>
      <c r="F4446" s="23">
        <f>COUNTIFS(mdr_rate_cleaned!$A$2:$A$10,B4446,mdr_rate_cleaned!$B$2:$B$10,"&lt;"&amp;C4446,mdr_rate_cleaned!$F$2:$F$10,"&gt;="&amp;C4446)</f>
        <v>1</v>
      </c>
      <c r="G4446" s="40">
        <f>SUMIFS(mdr_rate_cleaned!$G$2:$G$10,mdr_rate_cleaned!$A$2:$A$10,B4446,mdr_rate_cleaned!$B$2:$B$10,"&lt;"&amp;C4446,mdr_rate_cleaned!$F$2:$F$10,"&gt;="&amp;C4446)</f>
        <v>1.6E-2</v>
      </c>
      <c r="H4446" s="24">
        <f t="shared" si="345"/>
        <v>140.77000000000001</v>
      </c>
      <c r="I4446" s="23" t="str">
        <f t="shared" si="346"/>
        <v>Match</v>
      </c>
      <c r="J4446" s="23" t="str">
        <f t="shared" si="347"/>
        <v>Match</v>
      </c>
      <c r="K4446" s="24">
        <f t="shared" si="348"/>
        <v>25.34</v>
      </c>
      <c r="L4446" s="24">
        <f t="shared" si="349"/>
        <v>0</v>
      </c>
    </row>
    <row r="4447" spans="1:12" ht="15" customHeight="1" x14ac:dyDescent="0.3">
      <c r="A4447" s="23" t="s">
        <v>17727</v>
      </c>
      <c r="B4447" s="23" t="s">
        <v>75</v>
      </c>
      <c r="C4447" s="39">
        <v>10097</v>
      </c>
      <c r="D4447" s="24">
        <v>30.29</v>
      </c>
      <c r="E4447" s="24">
        <v>5.45</v>
      </c>
      <c r="F4447" s="23">
        <f>COUNTIFS(mdr_rate_cleaned!$A$2:$A$10,B4447,mdr_rate_cleaned!$B$2:$B$10,"&lt;"&amp;C4447,mdr_rate_cleaned!$F$2:$F$10,"&gt;="&amp;C4447)</f>
        <v>1</v>
      </c>
      <c r="G4447" s="40">
        <f>SUMIFS(mdr_rate_cleaned!$G$2:$G$10,mdr_rate_cleaned!$A$2:$A$10,B4447,mdr_rate_cleaned!$B$2:$B$10,"&lt;"&amp;C4447,mdr_rate_cleaned!$F$2:$F$10,"&gt;="&amp;C4447)</f>
        <v>3.0000000000000001E-3</v>
      </c>
      <c r="H4447" s="24">
        <f t="shared" si="345"/>
        <v>30.29</v>
      </c>
      <c r="I4447" s="23" t="str">
        <f t="shared" si="346"/>
        <v>Match</v>
      </c>
      <c r="J4447" s="23" t="str">
        <f t="shared" si="347"/>
        <v>Match</v>
      </c>
      <c r="K4447" s="24">
        <f t="shared" si="348"/>
        <v>5.45</v>
      </c>
      <c r="L4447" s="24">
        <f t="shared" si="349"/>
        <v>0</v>
      </c>
    </row>
    <row r="4448" spans="1:12" ht="15" customHeight="1" x14ac:dyDescent="0.3">
      <c r="A4448" s="23" t="s">
        <v>17728</v>
      </c>
      <c r="B4448" s="23" t="s">
        <v>75</v>
      </c>
      <c r="C4448" s="39">
        <v>1098</v>
      </c>
      <c r="D4448" s="24">
        <v>0</v>
      </c>
      <c r="E4448" s="24">
        <v>0</v>
      </c>
      <c r="F4448" s="23">
        <f>COUNTIFS(mdr_rate_cleaned!$A$2:$A$10,B4448,mdr_rate_cleaned!$B$2:$B$10,"&lt;"&amp;C4448,mdr_rate_cleaned!$F$2:$F$10,"&gt;="&amp;C4448)</f>
        <v>1</v>
      </c>
      <c r="G4448" s="40">
        <f>SUMIFS(mdr_rate_cleaned!$G$2:$G$10,mdr_rate_cleaned!$A$2:$A$10,B4448,mdr_rate_cleaned!$B$2:$B$10,"&lt;"&amp;C4448,mdr_rate_cleaned!$F$2:$F$10,"&gt;="&amp;C4448)</f>
        <v>0</v>
      </c>
      <c r="H4448" s="24">
        <f t="shared" si="345"/>
        <v>0</v>
      </c>
      <c r="I4448" s="23" t="str">
        <f t="shared" si="346"/>
        <v>Match</v>
      </c>
      <c r="J4448" s="23" t="str">
        <f t="shared" si="347"/>
        <v>Match</v>
      </c>
      <c r="K4448" s="24">
        <f t="shared" si="348"/>
        <v>0</v>
      </c>
      <c r="L4448" s="24">
        <f t="shared" si="349"/>
        <v>0</v>
      </c>
    </row>
    <row r="4449" spans="1:12" ht="15" customHeight="1" x14ac:dyDescent="0.3">
      <c r="A4449" s="23" t="s">
        <v>17729</v>
      </c>
      <c r="B4449" s="23" t="s">
        <v>75</v>
      </c>
      <c r="C4449" s="39">
        <v>349</v>
      </c>
      <c r="D4449" s="24">
        <v>0</v>
      </c>
      <c r="E4449" s="24">
        <v>0</v>
      </c>
      <c r="F4449" s="23">
        <f>COUNTIFS(mdr_rate_cleaned!$A$2:$A$10,B4449,mdr_rate_cleaned!$B$2:$B$10,"&lt;"&amp;C4449,mdr_rate_cleaned!$F$2:$F$10,"&gt;="&amp;C4449)</f>
        <v>1</v>
      </c>
      <c r="G4449" s="40">
        <f>SUMIFS(mdr_rate_cleaned!$G$2:$G$10,mdr_rate_cleaned!$A$2:$A$10,B4449,mdr_rate_cleaned!$B$2:$B$10,"&lt;"&amp;C4449,mdr_rate_cleaned!$F$2:$F$10,"&gt;="&amp;C4449)</f>
        <v>0</v>
      </c>
      <c r="H4449" s="24">
        <f t="shared" si="345"/>
        <v>0</v>
      </c>
      <c r="I4449" s="23" t="str">
        <f t="shared" si="346"/>
        <v>Match</v>
      </c>
      <c r="J4449" s="23" t="str">
        <f t="shared" si="347"/>
        <v>Match</v>
      </c>
      <c r="K4449" s="24">
        <f t="shared" si="348"/>
        <v>0</v>
      </c>
      <c r="L4449" s="24">
        <f t="shared" si="349"/>
        <v>0</v>
      </c>
    </row>
    <row r="4450" spans="1:12" ht="15" customHeight="1" x14ac:dyDescent="0.3">
      <c r="A4450" s="23" t="s">
        <v>17731</v>
      </c>
      <c r="B4450" s="23" t="s">
        <v>75</v>
      </c>
      <c r="C4450" s="39">
        <v>4647</v>
      </c>
      <c r="D4450" s="24">
        <v>13.94</v>
      </c>
      <c r="E4450" s="24">
        <v>2.5099999999999998</v>
      </c>
      <c r="F4450" s="23">
        <f>COUNTIFS(mdr_rate_cleaned!$A$2:$A$10,B4450,mdr_rate_cleaned!$B$2:$B$10,"&lt;"&amp;C4450,mdr_rate_cleaned!$F$2:$F$10,"&gt;="&amp;C4450)</f>
        <v>1</v>
      </c>
      <c r="G4450" s="40">
        <f>SUMIFS(mdr_rate_cleaned!$G$2:$G$10,mdr_rate_cleaned!$A$2:$A$10,B4450,mdr_rate_cleaned!$B$2:$B$10,"&lt;"&amp;C4450,mdr_rate_cleaned!$F$2:$F$10,"&gt;="&amp;C4450)</f>
        <v>3.0000000000000001E-3</v>
      </c>
      <c r="H4450" s="24">
        <f t="shared" si="345"/>
        <v>13.94</v>
      </c>
      <c r="I4450" s="23" t="str">
        <f t="shared" si="346"/>
        <v>Match</v>
      </c>
      <c r="J4450" s="23" t="str">
        <f t="shared" si="347"/>
        <v>Match</v>
      </c>
      <c r="K4450" s="24">
        <f t="shared" si="348"/>
        <v>2.5099999999999998</v>
      </c>
      <c r="L4450" s="24">
        <f t="shared" si="349"/>
        <v>0</v>
      </c>
    </row>
    <row r="4451" spans="1:12" ht="15" customHeight="1" x14ac:dyDescent="0.3">
      <c r="A4451" s="23" t="s">
        <v>17732</v>
      </c>
      <c r="B4451" s="23" t="s">
        <v>77</v>
      </c>
      <c r="C4451" s="39">
        <v>5348</v>
      </c>
      <c r="D4451" s="24">
        <v>90.92</v>
      </c>
      <c r="E4451" s="24">
        <v>16.37</v>
      </c>
      <c r="F4451" s="23">
        <f>COUNTIFS(mdr_rate_cleaned!$A$2:$A$10,B4451,mdr_rate_cleaned!$B$2:$B$10,"&lt;"&amp;C4451,mdr_rate_cleaned!$F$2:$F$10,"&gt;="&amp;C4451)</f>
        <v>1</v>
      </c>
      <c r="G4451" s="40">
        <f>SUMIFS(mdr_rate_cleaned!$G$2:$G$10,mdr_rate_cleaned!$A$2:$A$10,B4451,mdr_rate_cleaned!$B$2:$B$10,"&lt;"&amp;C4451,mdr_rate_cleaned!$F$2:$F$10,"&gt;="&amp;C4451)</f>
        <v>1.7000000000000001E-2</v>
      </c>
      <c r="H4451" s="24">
        <f t="shared" si="345"/>
        <v>90.92</v>
      </c>
      <c r="I4451" s="23" t="str">
        <f t="shared" si="346"/>
        <v>Match</v>
      </c>
      <c r="J4451" s="23" t="str">
        <f t="shared" si="347"/>
        <v>Match</v>
      </c>
      <c r="K4451" s="24">
        <f t="shared" si="348"/>
        <v>16.37</v>
      </c>
      <c r="L4451" s="24">
        <f t="shared" si="349"/>
        <v>0</v>
      </c>
    </row>
    <row r="4452" spans="1:12" ht="15" customHeight="1" x14ac:dyDescent="0.3">
      <c r="A4452" s="23" t="s">
        <v>17733</v>
      </c>
      <c r="B4452" s="23" t="s">
        <v>81</v>
      </c>
      <c r="C4452" s="39">
        <v>299</v>
      </c>
      <c r="D4452" s="24">
        <v>4.49</v>
      </c>
      <c r="E4452" s="24">
        <v>0.81</v>
      </c>
      <c r="F4452" s="23">
        <f>COUNTIFS(mdr_rate_cleaned!$A$2:$A$10,B4452,mdr_rate_cleaned!$B$2:$B$10,"&lt;"&amp;C4452,mdr_rate_cleaned!$F$2:$F$10,"&gt;="&amp;C4452)</f>
        <v>1</v>
      </c>
      <c r="G4452" s="40">
        <f>SUMIFS(mdr_rate_cleaned!$G$2:$G$10,mdr_rate_cleaned!$A$2:$A$10,B4452,mdr_rate_cleaned!$B$2:$B$10,"&lt;"&amp;C4452,mdr_rate_cleaned!$F$2:$F$10,"&gt;="&amp;C4452)</f>
        <v>1.4999999999999999E-2</v>
      </c>
      <c r="H4452" s="24">
        <f t="shared" si="345"/>
        <v>4.49</v>
      </c>
      <c r="I4452" s="23" t="str">
        <f t="shared" si="346"/>
        <v>Match</v>
      </c>
      <c r="J4452" s="23" t="str">
        <f t="shared" si="347"/>
        <v>Match</v>
      </c>
      <c r="K4452" s="24">
        <f t="shared" si="348"/>
        <v>0.81</v>
      </c>
      <c r="L4452" s="24">
        <f t="shared" si="349"/>
        <v>0</v>
      </c>
    </row>
    <row r="4453" spans="1:12" ht="15" customHeight="1" x14ac:dyDescent="0.3">
      <c r="A4453" s="23" t="s">
        <v>17734</v>
      </c>
      <c r="B4453" s="23" t="s">
        <v>75</v>
      </c>
      <c r="C4453" s="39">
        <v>4298</v>
      </c>
      <c r="D4453" s="24">
        <v>12.89</v>
      </c>
      <c r="E4453" s="24">
        <v>2.3199999999999998</v>
      </c>
      <c r="F4453" s="23">
        <f>COUNTIFS(mdr_rate_cleaned!$A$2:$A$10,B4453,mdr_rate_cleaned!$B$2:$B$10,"&lt;"&amp;C4453,mdr_rate_cleaned!$F$2:$F$10,"&gt;="&amp;C4453)</f>
        <v>1</v>
      </c>
      <c r="G4453" s="40">
        <f>SUMIFS(mdr_rate_cleaned!$G$2:$G$10,mdr_rate_cleaned!$A$2:$A$10,B4453,mdr_rate_cleaned!$B$2:$B$10,"&lt;"&amp;C4453,mdr_rate_cleaned!$F$2:$F$10,"&gt;="&amp;C4453)</f>
        <v>3.0000000000000001E-3</v>
      </c>
      <c r="H4453" s="24">
        <f t="shared" si="345"/>
        <v>12.89</v>
      </c>
      <c r="I4453" s="23" t="str">
        <f t="shared" si="346"/>
        <v>Match</v>
      </c>
      <c r="J4453" s="23" t="str">
        <f t="shared" si="347"/>
        <v>Match</v>
      </c>
      <c r="K4453" s="24">
        <f t="shared" si="348"/>
        <v>2.3199999999999998</v>
      </c>
      <c r="L4453" s="24">
        <f t="shared" si="349"/>
        <v>0</v>
      </c>
    </row>
    <row r="4454" spans="1:12" ht="15" customHeight="1" x14ac:dyDescent="0.3">
      <c r="A4454" s="23" t="s">
        <v>17735</v>
      </c>
      <c r="B4454" s="23" t="s">
        <v>79</v>
      </c>
      <c r="C4454" s="39">
        <v>1198</v>
      </c>
      <c r="D4454" s="24">
        <v>21.56</v>
      </c>
      <c r="E4454" s="24">
        <v>3.88</v>
      </c>
      <c r="F4454" s="23">
        <f>COUNTIFS(mdr_rate_cleaned!$A$2:$A$10,B4454,mdr_rate_cleaned!$B$2:$B$10,"&lt;"&amp;C4454,mdr_rate_cleaned!$F$2:$F$10,"&gt;="&amp;C4454)</f>
        <v>1</v>
      </c>
      <c r="G4454" s="40">
        <f>SUMIFS(mdr_rate_cleaned!$G$2:$G$10,mdr_rate_cleaned!$A$2:$A$10,B4454,mdr_rate_cleaned!$B$2:$B$10,"&lt;"&amp;C4454,mdr_rate_cleaned!$F$2:$F$10,"&gt;="&amp;C4454)</f>
        <v>1.8000000000000002E-2</v>
      </c>
      <c r="H4454" s="24">
        <f t="shared" si="345"/>
        <v>21.56</v>
      </c>
      <c r="I4454" s="23" t="str">
        <f t="shared" si="346"/>
        <v>Match</v>
      </c>
      <c r="J4454" s="23" t="str">
        <f t="shared" si="347"/>
        <v>Match</v>
      </c>
      <c r="K4454" s="24">
        <f t="shared" si="348"/>
        <v>3.88</v>
      </c>
      <c r="L4454" s="24">
        <f t="shared" si="349"/>
        <v>0</v>
      </c>
    </row>
    <row r="4455" spans="1:12" ht="15" customHeight="1" x14ac:dyDescent="0.3">
      <c r="A4455" s="23" t="s">
        <v>17736</v>
      </c>
      <c r="B4455" s="23" t="s">
        <v>81</v>
      </c>
      <c r="C4455" s="39">
        <v>3499</v>
      </c>
      <c r="D4455" s="24">
        <v>41.99</v>
      </c>
      <c r="E4455" s="24">
        <v>7.56</v>
      </c>
      <c r="F4455" s="23">
        <f>COUNTIFS(mdr_rate_cleaned!$A$2:$A$10,B4455,mdr_rate_cleaned!$B$2:$B$10,"&lt;"&amp;C4455,mdr_rate_cleaned!$F$2:$F$10,"&gt;="&amp;C4455)</f>
        <v>1</v>
      </c>
      <c r="G4455" s="40">
        <f>SUMIFS(mdr_rate_cleaned!$G$2:$G$10,mdr_rate_cleaned!$A$2:$A$10,B4455,mdr_rate_cleaned!$B$2:$B$10,"&lt;"&amp;C4455,mdr_rate_cleaned!$F$2:$F$10,"&gt;="&amp;C4455)</f>
        <v>1.2E-2</v>
      </c>
      <c r="H4455" s="24">
        <f t="shared" si="345"/>
        <v>41.99</v>
      </c>
      <c r="I4455" s="23" t="str">
        <f t="shared" si="346"/>
        <v>Match</v>
      </c>
      <c r="J4455" s="23" t="str">
        <f t="shared" si="347"/>
        <v>Match</v>
      </c>
      <c r="K4455" s="24">
        <f t="shared" si="348"/>
        <v>7.56</v>
      </c>
      <c r="L4455" s="24">
        <f t="shared" si="349"/>
        <v>0</v>
      </c>
    </row>
    <row r="4456" spans="1:12" ht="15" customHeight="1" x14ac:dyDescent="0.3">
      <c r="A4456" s="23" t="s">
        <v>17737</v>
      </c>
      <c r="B4456" s="23" t="s">
        <v>79</v>
      </c>
      <c r="C4456" s="39">
        <v>4597</v>
      </c>
      <c r="D4456" s="24">
        <v>73.55</v>
      </c>
      <c r="E4456" s="24">
        <v>13.24</v>
      </c>
      <c r="F4456" s="23">
        <f>COUNTIFS(mdr_rate_cleaned!$A$2:$A$10,B4456,mdr_rate_cleaned!$B$2:$B$10,"&lt;"&amp;C4456,mdr_rate_cleaned!$F$2:$F$10,"&gt;="&amp;C4456)</f>
        <v>1</v>
      </c>
      <c r="G4456" s="40">
        <f>SUMIFS(mdr_rate_cleaned!$G$2:$G$10,mdr_rate_cleaned!$A$2:$A$10,B4456,mdr_rate_cleaned!$B$2:$B$10,"&lt;"&amp;C4456,mdr_rate_cleaned!$F$2:$F$10,"&gt;="&amp;C4456)</f>
        <v>1.6E-2</v>
      </c>
      <c r="H4456" s="24">
        <f t="shared" si="345"/>
        <v>73.55</v>
      </c>
      <c r="I4456" s="23" t="str">
        <f t="shared" si="346"/>
        <v>Match</v>
      </c>
      <c r="J4456" s="23" t="str">
        <f t="shared" si="347"/>
        <v>Match</v>
      </c>
      <c r="K4456" s="24">
        <f t="shared" si="348"/>
        <v>13.24</v>
      </c>
      <c r="L4456" s="24">
        <f t="shared" si="349"/>
        <v>0</v>
      </c>
    </row>
    <row r="4457" spans="1:12" ht="15" customHeight="1" x14ac:dyDescent="0.3">
      <c r="A4457" s="23" t="s">
        <v>17738</v>
      </c>
      <c r="B4457" s="23" t="s">
        <v>75</v>
      </c>
      <c r="C4457" s="39">
        <v>10297</v>
      </c>
      <c r="D4457" s="24">
        <v>30.89</v>
      </c>
      <c r="E4457" s="24">
        <v>5.56</v>
      </c>
      <c r="F4457" s="23">
        <f>COUNTIFS(mdr_rate_cleaned!$A$2:$A$10,B4457,mdr_rate_cleaned!$B$2:$B$10,"&lt;"&amp;C4457,mdr_rate_cleaned!$F$2:$F$10,"&gt;="&amp;C4457)</f>
        <v>1</v>
      </c>
      <c r="G4457" s="40">
        <f>SUMIFS(mdr_rate_cleaned!$G$2:$G$10,mdr_rate_cleaned!$A$2:$A$10,B4457,mdr_rate_cleaned!$B$2:$B$10,"&lt;"&amp;C4457,mdr_rate_cleaned!$F$2:$F$10,"&gt;="&amp;C4457)</f>
        <v>3.0000000000000001E-3</v>
      </c>
      <c r="H4457" s="24">
        <f t="shared" si="345"/>
        <v>30.89</v>
      </c>
      <c r="I4457" s="23" t="str">
        <f t="shared" si="346"/>
        <v>Match</v>
      </c>
      <c r="J4457" s="23" t="str">
        <f t="shared" si="347"/>
        <v>Match</v>
      </c>
      <c r="K4457" s="24">
        <f t="shared" si="348"/>
        <v>5.56</v>
      </c>
      <c r="L4457" s="24">
        <f t="shared" si="349"/>
        <v>0</v>
      </c>
    </row>
    <row r="4458" spans="1:12" ht="15" customHeight="1" x14ac:dyDescent="0.3">
      <c r="A4458" s="23" t="s">
        <v>17739</v>
      </c>
      <c r="B4458" s="23" t="s">
        <v>75</v>
      </c>
      <c r="C4458" s="39">
        <v>11097</v>
      </c>
      <c r="D4458" s="24">
        <v>33.29</v>
      </c>
      <c r="E4458" s="24">
        <v>5.99</v>
      </c>
      <c r="F4458" s="23">
        <f>COUNTIFS(mdr_rate_cleaned!$A$2:$A$10,B4458,mdr_rate_cleaned!$B$2:$B$10,"&lt;"&amp;C4458,mdr_rate_cleaned!$F$2:$F$10,"&gt;="&amp;C4458)</f>
        <v>1</v>
      </c>
      <c r="G4458" s="40">
        <f>SUMIFS(mdr_rate_cleaned!$G$2:$G$10,mdr_rate_cleaned!$A$2:$A$10,B4458,mdr_rate_cleaned!$B$2:$B$10,"&lt;"&amp;C4458,mdr_rate_cleaned!$F$2:$F$10,"&gt;="&amp;C4458)</f>
        <v>3.0000000000000001E-3</v>
      </c>
      <c r="H4458" s="24">
        <f t="shared" si="345"/>
        <v>33.29</v>
      </c>
      <c r="I4458" s="23" t="str">
        <f t="shared" si="346"/>
        <v>Match</v>
      </c>
      <c r="J4458" s="23" t="str">
        <f t="shared" si="347"/>
        <v>Match</v>
      </c>
      <c r="K4458" s="24">
        <f t="shared" si="348"/>
        <v>5.99</v>
      </c>
      <c r="L4458" s="24">
        <f t="shared" si="349"/>
        <v>0</v>
      </c>
    </row>
    <row r="4459" spans="1:12" ht="15" customHeight="1" x14ac:dyDescent="0.3">
      <c r="A4459" s="23" t="s">
        <v>17740</v>
      </c>
      <c r="B4459" s="23" t="s">
        <v>75</v>
      </c>
      <c r="C4459" s="39">
        <v>599</v>
      </c>
      <c r="D4459" s="24">
        <v>0</v>
      </c>
      <c r="E4459" s="24">
        <v>0</v>
      </c>
      <c r="F4459" s="23">
        <f>COUNTIFS(mdr_rate_cleaned!$A$2:$A$10,B4459,mdr_rate_cleaned!$B$2:$B$10,"&lt;"&amp;C4459,mdr_rate_cleaned!$F$2:$F$10,"&gt;="&amp;C4459)</f>
        <v>1</v>
      </c>
      <c r="G4459" s="40">
        <f>SUMIFS(mdr_rate_cleaned!$G$2:$G$10,mdr_rate_cleaned!$A$2:$A$10,B4459,mdr_rate_cleaned!$B$2:$B$10,"&lt;"&amp;C4459,mdr_rate_cleaned!$F$2:$F$10,"&gt;="&amp;C4459)</f>
        <v>0</v>
      </c>
      <c r="H4459" s="24">
        <f t="shared" si="345"/>
        <v>0</v>
      </c>
      <c r="I4459" s="23" t="str">
        <f t="shared" si="346"/>
        <v>Match</v>
      </c>
      <c r="J4459" s="23" t="str">
        <f t="shared" si="347"/>
        <v>Match</v>
      </c>
      <c r="K4459" s="24">
        <f t="shared" si="348"/>
        <v>0</v>
      </c>
      <c r="L4459" s="24">
        <f t="shared" si="349"/>
        <v>0</v>
      </c>
    </row>
    <row r="4460" spans="1:12" ht="15" customHeight="1" x14ac:dyDescent="0.3">
      <c r="A4460" s="23" t="s">
        <v>17742</v>
      </c>
      <c r="B4460" s="23" t="s">
        <v>75</v>
      </c>
      <c r="C4460" s="39">
        <v>1798</v>
      </c>
      <c r="D4460" s="24">
        <v>0</v>
      </c>
      <c r="E4460" s="24">
        <v>0</v>
      </c>
      <c r="F4460" s="23">
        <f>COUNTIFS(mdr_rate_cleaned!$A$2:$A$10,B4460,mdr_rate_cleaned!$B$2:$B$10,"&lt;"&amp;C4460,mdr_rate_cleaned!$F$2:$F$10,"&gt;="&amp;C4460)</f>
        <v>1</v>
      </c>
      <c r="G4460" s="40">
        <f>SUMIFS(mdr_rate_cleaned!$G$2:$G$10,mdr_rate_cleaned!$A$2:$A$10,B4460,mdr_rate_cleaned!$B$2:$B$10,"&lt;"&amp;C4460,mdr_rate_cleaned!$F$2:$F$10,"&gt;="&amp;C4460)</f>
        <v>0</v>
      </c>
      <c r="H4460" s="24">
        <f t="shared" si="345"/>
        <v>0</v>
      </c>
      <c r="I4460" s="23" t="str">
        <f t="shared" si="346"/>
        <v>Match</v>
      </c>
      <c r="J4460" s="23" t="str">
        <f t="shared" si="347"/>
        <v>Match</v>
      </c>
      <c r="K4460" s="24">
        <f t="shared" si="348"/>
        <v>0</v>
      </c>
      <c r="L4460" s="24">
        <f t="shared" si="349"/>
        <v>0</v>
      </c>
    </row>
    <row r="4461" spans="1:12" ht="15" customHeight="1" x14ac:dyDescent="0.3">
      <c r="A4461" s="23" t="s">
        <v>17743</v>
      </c>
      <c r="B4461" s="23" t="s">
        <v>75</v>
      </c>
      <c r="C4461" s="39">
        <v>299</v>
      </c>
      <c r="D4461" s="24">
        <v>0</v>
      </c>
      <c r="E4461" s="24">
        <v>0</v>
      </c>
      <c r="F4461" s="23">
        <f>COUNTIFS(mdr_rate_cleaned!$A$2:$A$10,B4461,mdr_rate_cleaned!$B$2:$B$10,"&lt;"&amp;C4461,mdr_rate_cleaned!$F$2:$F$10,"&gt;="&amp;C4461)</f>
        <v>1</v>
      </c>
      <c r="G4461" s="40">
        <f>SUMIFS(mdr_rate_cleaned!$G$2:$G$10,mdr_rate_cleaned!$A$2:$A$10,B4461,mdr_rate_cleaned!$B$2:$B$10,"&lt;"&amp;C4461,mdr_rate_cleaned!$F$2:$F$10,"&gt;="&amp;C4461)</f>
        <v>0</v>
      </c>
      <c r="H4461" s="24">
        <f t="shared" si="345"/>
        <v>0</v>
      </c>
      <c r="I4461" s="23" t="str">
        <f t="shared" si="346"/>
        <v>Match</v>
      </c>
      <c r="J4461" s="23" t="str">
        <f t="shared" si="347"/>
        <v>Match</v>
      </c>
      <c r="K4461" s="24">
        <f t="shared" si="348"/>
        <v>0</v>
      </c>
      <c r="L4461" s="24">
        <f t="shared" si="349"/>
        <v>0</v>
      </c>
    </row>
    <row r="4462" spans="1:12" ht="15" customHeight="1" x14ac:dyDescent="0.3">
      <c r="A4462" s="23" t="s">
        <v>17744</v>
      </c>
      <c r="B4462" s="23" t="s">
        <v>79</v>
      </c>
      <c r="C4462" s="39">
        <v>7498</v>
      </c>
      <c r="D4462" s="24">
        <v>119.97</v>
      </c>
      <c r="E4462" s="24">
        <v>21.59</v>
      </c>
      <c r="F4462" s="23">
        <f>COUNTIFS(mdr_rate_cleaned!$A$2:$A$10,B4462,mdr_rate_cleaned!$B$2:$B$10,"&lt;"&amp;C4462,mdr_rate_cleaned!$F$2:$F$10,"&gt;="&amp;C4462)</f>
        <v>1</v>
      </c>
      <c r="G4462" s="40">
        <f>SUMIFS(mdr_rate_cleaned!$G$2:$G$10,mdr_rate_cleaned!$A$2:$A$10,B4462,mdr_rate_cleaned!$B$2:$B$10,"&lt;"&amp;C4462,mdr_rate_cleaned!$F$2:$F$10,"&gt;="&amp;C4462)</f>
        <v>1.6E-2</v>
      </c>
      <c r="H4462" s="24">
        <f t="shared" si="345"/>
        <v>119.97</v>
      </c>
      <c r="I4462" s="23" t="str">
        <f t="shared" si="346"/>
        <v>Match</v>
      </c>
      <c r="J4462" s="23" t="str">
        <f t="shared" si="347"/>
        <v>Match</v>
      </c>
      <c r="K4462" s="24">
        <f t="shared" si="348"/>
        <v>21.59</v>
      </c>
      <c r="L4462" s="24">
        <f t="shared" si="349"/>
        <v>0</v>
      </c>
    </row>
    <row r="4463" spans="1:12" ht="15" customHeight="1" x14ac:dyDescent="0.3">
      <c r="A4463" s="23" t="s">
        <v>17745</v>
      </c>
      <c r="B4463" s="23" t="s">
        <v>79</v>
      </c>
      <c r="C4463" s="39">
        <v>4999</v>
      </c>
      <c r="D4463" s="24">
        <v>79.98</v>
      </c>
      <c r="E4463" s="24">
        <v>14.4</v>
      </c>
      <c r="F4463" s="23">
        <f>COUNTIFS(mdr_rate_cleaned!$A$2:$A$10,B4463,mdr_rate_cleaned!$B$2:$B$10,"&lt;"&amp;C4463,mdr_rate_cleaned!$F$2:$F$10,"&gt;="&amp;C4463)</f>
        <v>1</v>
      </c>
      <c r="G4463" s="40">
        <f>SUMIFS(mdr_rate_cleaned!$G$2:$G$10,mdr_rate_cleaned!$A$2:$A$10,B4463,mdr_rate_cleaned!$B$2:$B$10,"&lt;"&amp;C4463,mdr_rate_cleaned!$F$2:$F$10,"&gt;="&amp;C4463)</f>
        <v>1.6E-2</v>
      </c>
      <c r="H4463" s="24">
        <f t="shared" si="345"/>
        <v>79.98</v>
      </c>
      <c r="I4463" s="23" t="str">
        <f t="shared" si="346"/>
        <v>Match</v>
      </c>
      <c r="J4463" s="23" t="str">
        <f t="shared" si="347"/>
        <v>Match</v>
      </c>
      <c r="K4463" s="24">
        <f t="shared" si="348"/>
        <v>14.4</v>
      </c>
      <c r="L4463" s="24">
        <f t="shared" si="349"/>
        <v>0</v>
      </c>
    </row>
    <row r="4464" spans="1:12" ht="15" customHeight="1" x14ac:dyDescent="0.3">
      <c r="A4464" s="23" t="s">
        <v>17746</v>
      </c>
      <c r="B4464" s="23" t="s">
        <v>75</v>
      </c>
      <c r="C4464" s="39">
        <v>1299</v>
      </c>
      <c r="D4464" s="24">
        <v>0</v>
      </c>
      <c r="E4464" s="24">
        <v>0</v>
      </c>
      <c r="F4464" s="23">
        <f>COUNTIFS(mdr_rate_cleaned!$A$2:$A$10,B4464,mdr_rate_cleaned!$B$2:$B$10,"&lt;"&amp;C4464,mdr_rate_cleaned!$F$2:$F$10,"&gt;="&amp;C4464)</f>
        <v>1</v>
      </c>
      <c r="G4464" s="40">
        <f>SUMIFS(mdr_rate_cleaned!$G$2:$G$10,mdr_rate_cleaned!$A$2:$A$10,B4464,mdr_rate_cleaned!$B$2:$B$10,"&lt;"&amp;C4464,mdr_rate_cleaned!$F$2:$F$10,"&gt;="&amp;C4464)</f>
        <v>0</v>
      </c>
      <c r="H4464" s="24">
        <f t="shared" si="345"/>
        <v>0</v>
      </c>
      <c r="I4464" s="23" t="str">
        <f t="shared" si="346"/>
        <v>Match</v>
      </c>
      <c r="J4464" s="23" t="str">
        <f t="shared" si="347"/>
        <v>Match</v>
      </c>
      <c r="K4464" s="24">
        <f t="shared" si="348"/>
        <v>0</v>
      </c>
      <c r="L4464" s="24">
        <f t="shared" si="349"/>
        <v>0</v>
      </c>
    </row>
    <row r="4465" spans="1:12" ht="15" customHeight="1" x14ac:dyDescent="0.3">
      <c r="A4465" s="23" t="s">
        <v>17747</v>
      </c>
      <c r="B4465" s="23" t="s">
        <v>75</v>
      </c>
      <c r="C4465" s="39">
        <v>299</v>
      </c>
      <c r="D4465" s="24">
        <v>0</v>
      </c>
      <c r="E4465" s="24">
        <v>0</v>
      </c>
      <c r="F4465" s="23">
        <f>COUNTIFS(mdr_rate_cleaned!$A$2:$A$10,B4465,mdr_rate_cleaned!$B$2:$B$10,"&lt;"&amp;C4465,mdr_rate_cleaned!$F$2:$F$10,"&gt;="&amp;C4465)</f>
        <v>1</v>
      </c>
      <c r="G4465" s="40">
        <f>SUMIFS(mdr_rate_cleaned!$G$2:$G$10,mdr_rate_cleaned!$A$2:$A$10,B4465,mdr_rate_cleaned!$B$2:$B$10,"&lt;"&amp;C4465,mdr_rate_cleaned!$F$2:$F$10,"&gt;="&amp;C4465)</f>
        <v>0</v>
      </c>
      <c r="H4465" s="24">
        <f t="shared" si="345"/>
        <v>0</v>
      </c>
      <c r="I4465" s="23" t="str">
        <f t="shared" si="346"/>
        <v>Match</v>
      </c>
      <c r="J4465" s="23" t="str">
        <f t="shared" si="347"/>
        <v>Match</v>
      </c>
      <c r="K4465" s="24">
        <f t="shared" si="348"/>
        <v>0</v>
      </c>
      <c r="L4465" s="24">
        <f t="shared" si="349"/>
        <v>0</v>
      </c>
    </row>
    <row r="4466" spans="1:12" ht="15" customHeight="1" x14ac:dyDescent="0.3">
      <c r="A4466" s="23" t="s">
        <v>17748</v>
      </c>
      <c r="B4466" s="23" t="s">
        <v>75</v>
      </c>
      <c r="C4466" s="39">
        <v>6997</v>
      </c>
      <c r="D4466" s="24">
        <v>20.99</v>
      </c>
      <c r="E4466" s="24">
        <v>3.78</v>
      </c>
      <c r="F4466" s="23">
        <f>COUNTIFS(mdr_rate_cleaned!$A$2:$A$10,B4466,mdr_rate_cleaned!$B$2:$B$10,"&lt;"&amp;C4466,mdr_rate_cleaned!$F$2:$F$10,"&gt;="&amp;C4466)</f>
        <v>1</v>
      </c>
      <c r="G4466" s="40">
        <f>SUMIFS(mdr_rate_cleaned!$G$2:$G$10,mdr_rate_cleaned!$A$2:$A$10,B4466,mdr_rate_cleaned!$B$2:$B$10,"&lt;"&amp;C4466,mdr_rate_cleaned!$F$2:$F$10,"&gt;="&amp;C4466)</f>
        <v>3.0000000000000001E-3</v>
      </c>
      <c r="H4466" s="24">
        <f t="shared" si="345"/>
        <v>20.99</v>
      </c>
      <c r="I4466" s="23" t="str">
        <f t="shared" si="346"/>
        <v>Match</v>
      </c>
      <c r="J4466" s="23" t="str">
        <f t="shared" si="347"/>
        <v>Match</v>
      </c>
      <c r="K4466" s="24">
        <f t="shared" si="348"/>
        <v>3.78</v>
      </c>
      <c r="L4466" s="24">
        <f t="shared" si="349"/>
        <v>0</v>
      </c>
    </row>
    <row r="4467" spans="1:12" ht="15" customHeight="1" x14ac:dyDescent="0.3">
      <c r="A4467" s="23" t="s">
        <v>17749</v>
      </c>
      <c r="B4467" s="23" t="s">
        <v>75</v>
      </c>
      <c r="C4467" s="39">
        <v>7999</v>
      </c>
      <c r="D4467" s="24">
        <v>24</v>
      </c>
      <c r="E4467" s="24">
        <v>4.32</v>
      </c>
      <c r="F4467" s="23">
        <f>COUNTIFS(mdr_rate_cleaned!$A$2:$A$10,B4467,mdr_rate_cleaned!$B$2:$B$10,"&lt;"&amp;C4467,mdr_rate_cleaned!$F$2:$F$10,"&gt;="&amp;C4467)</f>
        <v>1</v>
      </c>
      <c r="G4467" s="40">
        <f>SUMIFS(mdr_rate_cleaned!$G$2:$G$10,mdr_rate_cleaned!$A$2:$A$10,B4467,mdr_rate_cleaned!$B$2:$B$10,"&lt;"&amp;C4467,mdr_rate_cleaned!$F$2:$F$10,"&gt;="&amp;C4467)</f>
        <v>3.0000000000000001E-3</v>
      </c>
      <c r="H4467" s="24">
        <f t="shared" si="345"/>
        <v>24</v>
      </c>
      <c r="I4467" s="23" t="str">
        <f t="shared" si="346"/>
        <v>Match</v>
      </c>
      <c r="J4467" s="23" t="str">
        <f t="shared" si="347"/>
        <v>Match</v>
      </c>
      <c r="K4467" s="24">
        <f t="shared" si="348"/>
        <v>4.32</v>
      </c>
      <c r="L4467" s="24">
        <f t="shared" si="349"/>
        <v>0</v>
      </c>
    </row>
    <row r="4468" spans="1:12" ht="15" customHeight="1" x14ac:dyDescent="0.3">
      <c r="A4468" s="23" t="s">
        <v>17750</v>
      </c>
      <c r="B4468" s="23" t="s">
        <v>75</v>
      </c>
      <c r="C4468" s="39">
        <v>3998</v>
      </c>
      <c r="D4468" s="24">
        <v>11.99</v>
      </c>
      <c r="E4468" s="24">
        <v>2.16</v>
      </c>
      <c r="F4468" s="23">
        <f>COUNTIFS(mdr_rate_cleaned!$A$2:$A$10,B4468,mdr_rate_cleaned!$B$2:$B$10,"&lt;"&amp;C4468,mdr_rate_cleaned!$F$2:$F$10,"&gt;="&amp;C4468)</f>
        <v>1</v>
      </c>
      <c r="G4468" s="40">
        <f>SUMIFS(mdr_rate_cleaned!$G$2:$G$10,mdr_rate_cleaned!$A$2:$A$10,B4468,mdr_rate_cleaned!$B$2:$B$10,"&lt;"&amp;C4468,mdr_rate_cleaned!$F$2:$F$10,"&gt;="&amp;C4468)</f>
        <v>3.0000000000000001E-3</v>
      </c>
      <c r="H4468" s="24">
        <f t="shared" si="345"/>
        <v>11.99</v>
      </c>
      <c r="I4468" s="23" t="str">
        <f t="shared" si="346"/>
        <v>Match</v>
      </c>
      <c r="J4468" s="23" t="str">
        <f t="shared" si="347"/>
        <v>Match</v>
      </c>
      <c r="K4468" s="24">
        <f t="shared" si="348"/>
        <v>2.16</v>
      </c>
      <c r="L4468" s="24">
        <f t="shared" si="349"/>
        <v>0</v>
      </c>
    </row>
    <row r="4469" spans="1:12" ht="15" customHeight="1" x14ac:dyDescent="0.3">
      <c r="A4469" s="23" t="s">
        <v>17752</v>
      </c>
      <c r="B4469" s="23" t="s">
        <v>75</v>
      </c>
      <c r="C4469" s="39">
        <v>6798</v>
      </c>
      <c r="D4469" s="24">
        <v>20.39</v>
      </c>
      <c r="E4469" s="24">
        <v>3.67</v>
      </c>
      <c r="F4469" s="23">
        <f>COUNTIFS(mdr_rate_cleaned!$A$2:$A$10,B4469,mdr_rate_cleaned!$B$2:$B$10,"&lt;"&amp;C4469,mdr_rate_cleaned!$F$2:$F$10,"&gt;="&amp;C4469)</f>
        <v>1</v>
      </c>
      <c r="G4469" s="40">
        <f>SUMIFS(mdr_rate_cleaned!$G$2:$G$10,mdr_rate_cleaned!$A$2:$A$10,B4469,mdr_rate_cleaned!$B$2:$B$10,"&lt;"&amp;C4469,mdr_rate_cleaned!$F$2:$F$10,"&gt;="&amp;C4469)</f>
        <v>3.0000000000000001E-3</v>
      </c>
      <c r="H4469" s="24">
        <f t="shared" si="345"/>
        <v>20.39</v>
      </c>
      <c r="I4469" s="23" t="str">
        <f t="shared" si="346"/>
        <v>Match</v>
      </c>
      <c r="J4469" s="23" t="str">
        <f t="shared" si="347"/>
        <v>Match</v>
      </c>
      <c r="K4469" s="24">
        <f t="shared" si="348"/>
        <v>3.67</v>
      </c>
      <c r="L4469" s="24">
        <f t="shared" si="349"/>
        <v>0</v>
      </c>
    </row>
    <row r="4470" spans="1:12" ht="15" customHeight="1" x14ac:dyDescent="0.3">
      <c r="A4470" s="23" t="s">
        <v>17753</v>
      </c>
      <c r="B4470" s="23" t="s">
        <v>79</v>
      </c>
      <c r="C4470" s="39">
        <v>3998</v>
      </c>
      <c r="D4470" s="24">
        <v>63.97</v>
      </c>
      <c r="E4470" s="24">
        <v>11.51</v>
      </c>
      <c r="F4470" s="23">
        <f>COUNTIFS(mdr_rate_cleaned!$A$2:$A$10,B4470,mdr_rate_cleaned!$B$2:$B$10,"&lt;"&amp;C4470,mdr_rate_cleaned!$F$2:$F$10,"&gt;="&amp;C4470)</f>
        <v>1</v>
      </c>
      <c r="G4470" s="40">
        <f>SUMIFS(mdr_rate_cleaned!$G$2:$G$10,mdr_rate_cleaned!$A$2:$A$10,B4470,mdr_rate_cleaned!$B$2:$B$10,"&lt;"&amp;C4470,mdr_rate_cleaned!$F$2:$F$10,"&gt;="&amp;C4470)</f>
        <v>1.6E-2</v>
      </c>
      <c r="H4470" s="24">
        <f t="shared" si="345"/>
        <v>63.97</v>
      </c>
      <c r="I4470" s="23" t="str">
        <f t="shared" si="346"/>
        <v>Match</v>
      </c>
      <c r="J4470" s="23" t="str">
        <f t="shared" si="347"/>
        <v>Match</v>
      </c>
      <c r="K4470" s="24">
        <f t="shared" si="348"/>
        <v>11.51</v>
      </c>
      <c r="L4470" s="24">
        <f t="shared" si="349"/>
        <v>0</v>
      </c>
    </row>
    <row r="4471" spans="1:12" ht="15" customHeight="1" x14ac:dyDescent="0.3">
      <c r="A4471" s="23" t="s">
        <v>17754</v>
      </c>
      <c r="B4471" s="23" t="s">
        <v>75</v>
      </c>
      <c r="C4471" s="39">
        <v>2999</v>
      </c>
      <c r="D4471" s="24">
        <v>9</v>
      </c>
      <c r="E4471" s="24">
        <v>1.62</v>
      </c>
      <c r="F4471" s="23">
        <f>COUNTIFS(mdr_rate_cleaned!$A$2:$A$10,B4471,mdr_rate_cleaned!$B$2:$B$10,"&lt;"&amp;C4471,mdr_rate_cleaned!$F$2:$F$10,"&gt;="&amp;C4471)</f>
        <v>1</v>
      </c>
      <c r="G4471" s="40">
        <f>SUMIFS(mdr_rate_cleaned!$G$2:$G$10,mdr_rate_cleaned!$A$2:$A$10,B4471,mdr_rate_cleaned!$B$2:$B$10,"&lt;"&amp;C4471,mdr_rate_cleaned!$F$2:$F$10,"&gt;="&amp;C4471)</f>
        <v>3.0000000000000001E-3</v>
      </c>
      <c r="H4471" s="24">
        <f t="shared" si="345"/>
        <v>9</v>
      </c>
      <c r="I4471" s="23" t="str">
        <f t="shared" si="346"/>
        <v>Match</v>
      </c>
      <c r="J4471" s="23" t="str">
        <f t="shared" si="347"/>
        <v>Match</v>
      </c>
      <c r="K4471" s="24">
        <f t="shared" si="348"/>
        <v>1.62</v>
      </c>
      <c r="L4471" s="24">
        <f t="shared" si="349"/>
        <v>0</v>
      </c>
    </row>
    <row r="4472" spans="1:12" ht="15" customHeight="1" x14ac:dyDescent="0.3">
      <c r="A4472" s="23" t="s">
        <v>17755</v>
      </c>
      <c r="B4472" s="23" t="s">
        <v>75</v>
      </c>
      <c r="C4472" s="39">
        <v>4999</v>
      </c>
      <c r="D4472" s="24">
        <v>15</v>
      </c>
      <c r="E4472" s="24">
        <v>2.7</v>
      </c>
      <c r="F4472" s="23">
        <f>COUNTIFS(mdr_rate_cleaned!$A$2:$A$10,B4472,mdr_rate_cleaned!$B$2:$B$10,"&lt;"&amp;C4472,mdr_rate_cleaned!$F$2:$F$10,"&gt;="&amp;C4472)</f>
        <v>1</v>
      </c>
      <c r="G4472" s="40">
        <f>SUMIFS(mdr_rate_cleaned!$G$2:$G$10,mdr_rate_cleaned!$A$2:$A$10,B4472,mdr_rate_cleaned!$B$2:$B$10,"&lt;"&amp;C4472,mdr_rate_cleaned!$F$2:$F$10,"&gt;="&amp;C4472)</f>
        <v>3.0000000000000001E-3</v>
      </c>
      <c r="H4472" s="24">
        <f t="shared" si="345"/>
        <v>15</v>
      </c>
      <c r="I4472" s="23" t="str">
        <f t="shared" si="346"/>
        <v>Match</v>
      </c>
      <c r="J4472" s="23" t="str">
        <f t="shared" si="347"/>
        <v>Match</v>
      </c>
      <c r="K4472" s="24">
        <f t="shared" si="348"/>
        <v>2.7</v>
      </c>
      <c r="L4472" s="24">
        <f t="shared" si="349"/>
        <v>0</v>
      </c>
    </row>
    <row r="4473" spans="1:12" ht="15" customHeight="1" x14ac:dyDescent="0.3">
      <c r="A4473" s="23" t="s">
        <v>17757</v>
      </c>
      <c r="B4473" s="23" t="s">
        <v>75</v>
      </c>
      <c r="C4473" s="39">
        <v>2499</v>
      </c>
      <c r="D4473" s="24">
        <v>7.5</v>
      </c>
      <c r="E4473" s="24">
        <v>1.35</v>
      </c>
      <c r="F4473" s="23">
        <f>COUNTIFS(mdr_rate_cleaned!$A$2:$A$10,B4473,mdr_rate_cleaned!$B$2:$B$10,"&lt;"&amp;C4473,mdr_rate_cleaned!$F$2:$F$10,"&gt;="&amp;C4473)</f>
        <v>1</v>
      </c>
      <c r="G4473" s="40">
        <f>SUMIFS(mdr_rate_cleaned!$G$2:$G$10,mdr_rate_cleaned!$A$2:$A$10,B4473,mdr_rate_cleaned!$B$2:$B$10,"&lt;"&amp;C4473,mdr_rate_cleaned!$F$2:$F$10,"&gt;="&amp;C4473)</f>
        <v>3.0000000000000001E-3</v>
      </c>
      <c r="H4473" s="24">
        <f t="shared" si="345"/>
        <v>7.5</v>
      </c>
      <c r="I4473" s="23" t="str">
        <f t="shared" si="346"/>
        <v>Match</v>
      </c>
      <c r="J4473" s="23" t="str">
        <f t="shared" si="347"/>
        <v>Match</v>
      </c>
      <c r="K4473" s="24">
        <f t="shared" si="348"/>
        <v>1.35</v>
      </c>
      <c r="L4473" s="24">
        <f t="shared" si="349"/>
        <v>0</v>
      </c>
    </row>
    <row r="4474" spans="1:12" ht="15" customHeight="1" x14ac:dyDescent="0.3">
      <c r="A4474" s="23" t="s">
        <v>17758</v>
      </c>
      <c r="B4474" s="23" t="s">
        <v>79</v>
      </c>
      <c r="C4474" s="39">
        <v>3998</v>
      </c>
      <c r="D4474" s="24">
        <v>63.97</v>
      </c>
      <c r="E4474" s="24">
        <v>11.51</v>
      </c>
      <c r="F4474" s="23">
        <f>COUNTIFS(mdr_rate_cleaned!$A$2:$A$10,B4474,mdr_rate_cleaned!$B$2:$B$10,"&lt;"&amp;C4474,mdr_rate_cleaned!$F$2:$F$10,"&gt;="&amp;C4474)</f>
        <v>1</v>
      </c>
      <c r="G4474" s="40">
        <f>SUMIFS(mdr_rate_cleaned!$G$2:$G$10,mdr_rate_cleaned!$A$2:$A$10,B4474,mdr_rate_cleaned!$B$2:$B$10,"&lt;"&amp;C4474,mdr_rate_cleaned!$F$2:$F$10,"&gt;="&amp;C4474)</f>
        <v>1.6E-2</v>
      </c>
      <c r="H4474" s="24">
        <f t="shared" si="345"/>
        <v>63.97</v>
      </c>
      <c r="I4474" s="23" t="str">
        <f t="shared" si="346"/>
        <v>Match</v>
      </c>
      <c r="J4474" s="23" t="str">
        <f t="shared" si="347"/>
        <v>Match</v>
      </c>
      <c r="K4474" s="24">
        <f t="shared" si="348"/>
        <v>11.51</v>
      </c>
      <c r="L4474" s="24">
        <f t="shared" si="349"/>
        <v>0</v>
      </c>
    </row>
    <row r="4475" spans="1:12" ht="15" customHeight="1" x14ac:dyDescent="0.3">
      <c r="A4475" s="23" t="s">
        <v>17759</v>
      </c>
      <c r="B4475" s="23" t="s">
        <v>75</v>
      </c>
      <c r="C4475" s="39">
        <v>299</v>
      </c>
      <c r="D4475" s="24">
        <v>0</v>
      </c>
      <c r="E4475" s="24">
        <v>0</v>
      </c>
      <c r="F4475" s="23">
        <f>COUNTIFS(mdr_rate_cleaned!$A$2:$A$10,B4475,mdr_rate_cleaned!$B$2:$B$10,"&lt;"&amp;C4475,mdr_rate_cleaned!$F$2:$F$10,"&gt;="&amp;C4475)</f>
        <v>1</v>
      </c>
      <c r="G4475" s="40">
        <f>SUMIFS(mdr_rate_cleaned!$G$2:$G$10,mdr_rate_cleaned!$A$2:$A$10,B4475,mdr_rate_cleaned!$B$2:$B$10,"&lt;"&amp;C4475,mdr_rate_cleaned!$F$2:$F$10,"&gt;="&amp;C4475)</f>
        <v>0</v>
      </c>
      <c r="H4475" s="24">
        <f t="shared" si="345"/>
        <v>0</v>
      </c>
      <c r="I4475" s="23" t="str">
        <f t="shared" si="346"/>
        <v>Match</v>
      </c>
      <c r="J4475" s="23" t="str">
        <f t="shared" si="347"/>
        <v>Match</v>
      </c>
      <c r="K4475" s="24">
        <f t="shared" si="348"/>
        <v>0</v>
      </c>
      <c r="L4475" s="24">
        <f t="shared" si="349"/>
        <v>0</v>
      </c>
    </row>
    <row r="4476" spans="1:12" ht="15" customHeight="1" x14ac:dyDescent="0.3">
      <c r="A4476" s="23" t="s">
        <v>17761</v>
      </c>
      <c r="B4476" s="23" t="s">
        <v>79</v>
      </c>
      <c r="C4476" s="39">
        <v>4298</v>
      </c>
      <c r="D4476" s="24">
        <v>68.77</v>
      </c>
      <c r="E4476" s="24">
        <v>12.38</v>
      </c>
      <c r="F4476" s="23">
        <f>COUNTIFS(mdr_rate_cleaned!$A$2:$A$10,B4476,mdr_rate_cleaned!$B$2:$B$10,"&lt;"&amp;C4476,mdr_rate_cleaned!$F$2:$F$10,"&gt;="&amp;C4476)</f>
        <v>1</v>
      </c>
      <c r="G4476" s="40">
        <f>SUMIFS(mdr_rate_cleaned!$G$2:$G$10,mdr_rate_cleaned!$A$2:$A$10,B4476,mdr_rate_cleaned!$B$2:$B$10,"&lt;"&amp;C4476,mdr_rate_cleaned!$F$2:$F$10,"&gt;="&amp;C4476)</f>
        <v>1.6E-2</v>
      </c>
      <c r="H4476" s="24">
        <f t="shared" si="345"/>
        <v>68.77</v>
      </c>
      <c r="I4476" s="23" t="str">
        <f t="shared" si="346"/>
        <v>Match</v>
      </c>
      <c r="J4476" s="23" t="str">
        <f t="shared" si="347"/>
        <v>Match</v>
      </c>
      <c r="K4476" s="24">
        <f t="shared" si="348"/>
        <v>12.38</v>
      </c>
      <c r="L4476" s="24">
        <f t="shared" si="349"/>
        <v>0</v>
      </c>
    </row>
    <row r="4477" spans="1:12" ht="15" customHeight="1" x14ac:dyDescent="0.3">
      <c r="A4477" s="23" t="s">
        <v>17762</v>
      </c>
      <c r="B4477" s="23" t="s">
        <v>75</v>
      </c>
      <c r="C4477" s="39">
        <v>299</v>
      </c>
      <c r="D4477" s="24">
        <v>0</v>
      </c>
      <c r="E4477" s="24">
        <v>0</v>
      </c>
      <c r="F4477" s="23">
        <f>COUNTIFS(mdr_rate_cleaned!$A$2:$A$10,B4477,mdr_rate_cleaned!$B$2:$B$10,"&lt;"&amp;C4477,mdr_rate_cleaned!$F$2:$F$10,"&gt;="&amp;C4477)</f>
        <v>1</v>
      </c>
      <c r="G4477" s="40">
        <f>SUMIFS(mdr_rate_cleaned!$G$2:$G$10,mdr_rate_cleaned!$A$2:$A$10,B4477,mdr_rate_cleaned!$B$2:$B$10,"&lt;"&amp;C4477,mdr_rate_cleaned!$F$2:$F$10,"&gt;="&amp;C4477)</f>
        <v>0</v>
      </c>
      <c r="H4477" s="24">
        <f t="shared" si="345"/>
        <v>0</v>
      </c>
      <c r="I4477" s="23" t="str">
        <f t="shared" si="346"/>
        <v>Match</v>
      </c>
      <c r="J4477" s="23" t="str">
        <f t="shared" si="347"/>
        <v>Match</v>
      </c>
      <c r="K4477" s="24">
        <f t="shared" si="348"/>
        <v>0</v>
      </c>
      <c r="L4477" s="24">
        <f t="shared" si="349"/>
        <v>0</v>
      </c>
    </row>
    <row r="4478" spans="1:12" ht="15" customHeight="1" x14ac:dyDescent="0.3">
      <c r="A4478" s="23" t="s">
        <v>17763</v>
      </c>
      <c r="B4478" s="23" t="s">
        <v>75</v>
      </c>
      <c r="C4478" s="39">
        <v>299</v>
      </c>
      <c r="D4478" s="24">
        <v>0</v>
      </c>
      <c r="E4478" s="24">
        <v>0</v>
      </c>
      <c r="F4478" s="23">
        <f>COUNTIFS(mdr_rate_cleaned!$A$2:$A$10,B4478,mdr_rate_cleaned!$B$2:$B$10,"&lt;"&amp;C4478,mdr_rate_cleaned!$F$2:$F$10,"&gt;="&amp;C4478)</f>
        <v>1</v>
      </c>
      <c r="G4478" s="40">
        <f>SUMIFS(mdr_rate_cleaned!$G$2:$G$10,mdr_rate_cleaned!$A$2:$A$10,B4478,mdr_rate_cleaned!$B$2:$B$10,"&lt;"&amp;C4478,mdr_rate_cleaned!$F$2:$F$10,"&gt;="&amp;C4478)</f>
        <v>0</v>
      </c>
      <c r="H4478" s="24">
        <f t="shared" si="345"/>
        <v>0</v>
      </c>
      <c r="I4478" s="23" t="str">
        <f t="shared" si="346"/>
        <v>Match</v>
      </c>
      <c r="J4478" s="23" t="str">
        <f t="shared" si="347"/>
        <v>Match</v>
      </c>
      <c r="K4478" s="24">
        <f t="shared" si="348"/>
        <v>0</v>
      </c>
      <c r="L4478" s="24">
        <f t="shared" si="349"/>
        <v>0</v>
      </c>
    </row>
    <row r="4479" spans="1:12" ht="15" customHeight="1" x14ac:dyDescent="0.3">
      <c r="A4479" s="23" t="s">
        <v>17764</v>
      </c>
      <c r="B4479" s="23" t="s">
        <v>77</v>
      </c>
      <c r="C4479" s="39">
        <v>3298</v>
      </c>
      <c r="D4479" s="24">
        <v>56.07</v>
      </c>
      <c r="E4479" s="24">
        <v>10.09</v>
      </c>
      <c r="F4479" s="23">
        <f>COUNTIFS(mdr_rate_cleaned!$A$2:$A$10,B4479,mdr_rate_cleaned!$B$2:$B$10,"&lt;"&amp;C4479,mdr_rate_cleaned!$F$2:$F$10,"&gt;="&amp;C4479)</f>
        <v>1</v>
      </c>
      <c r="G4479" s="40">
        <f>SUMIFS(mdr_rate_cleaned!$G$2:$G$10,mdr_rate_cleaned!$A$2:$A$10,B4479,mdr_rate_cleaned!$B$2:$B$10,"&lt;"&amp;C4479,mdr_rate_cleaned!$F$2:$F$10,"&gt;="&amp;C4479)</f>
        <v>1.7000000000000001E-2</v>
      </c>
      <c r="H4479" s="24">
        <f t="shared" si="345"/>
        <v>56.07</v>
      </c>
      <c r="I4479" s="23" t="str">
        <f t="shared" si="346"/>
        <v>Match</v>
      </c>
      <c r="J4479" s="23" t="str">
        <f t="shared" si="347"/>
        <v>Match</v>
      </c>
      <c r="K4479" s="24">
        <f t="shared" si="348"/>
        <v>10.09</v>
      </c>
      <c r="L4479" s="24">
        <f t="shared" si="349"/>
        <v>0</v>
      </c>
    </row>
    <row r="4480" spans="1:12" ht="15" customHeight="1" x14ac:dyDescent="0.3">
      <c r="A4480" s="23" t="s">
        <v>17765</v>
      </c>
      <c r="B4480" s="23" t="s">
        <v>79</v>
      </c>
      <c r="C4480" s="39">
        <v>6798</v>
      </c>
      <c r="D4480" s="24">
        <v>108.77</v>
      </c>
      <c r="E4480" s="24">
        <v>19.579999999999998</v>
      </c>
      <c r="F4480" s="23">
        <f>COUNTIFS(mdr_rate_cleaned!$A$2:$A$10,B4480,mdr_rate_cleaned!$B$2:$B$10,"&lt;"&amp;C4480,mdr_rate_cleaned!$F$2:$F$10,"&gt;="&amp;C4480)</f>
        <v>1</v>
      </c>
      <c r="G4480" s="40">
        <f>SUMIFS(mdr_rate_cleaned!$G$2:$G$10,mdr_rate_cleaned!$A$2:$A$10,B4480,mdr_rate_cleaned!$B$2:$B$10,"&lt;"&amp;C4480,mdr_rate_cleaned!$F$2:$F$10,"&gt;="&amp;C4480)</f>
        <v>1.6E-2</v>
      </c>
      <c r="H4480" s="24">
        <f t="shared" si="345"/>
        <v>108.77</v>
      </c>
      <c r="I4480" s="23" t="str">
        <f t="shared" si="346"/>
        <v>Match</v>
      </c>
      <c r="J4480" s="23" t="str">
        <f t="shared" si="347"/>
        <v>Match</v>
      </c>
      <c r="K4480" s="24">
        <f t="shared" si="348"/>
        <v>19.579999999999998</v>
      </c>
      <c r="L4480" s="24">
        <f t="shared" si="349"/>
        <v>0</v>
      </c>
    </row>
    <row r="4481" spans="1:12" ht="15" customHeight="1" x14ac:dyDescent="0.3">
      <c r="A4481" s="23" t="s">
        <v>17766</v>
      </c>
      <c r="B4481" s="23" t="s">
        <v>77</v>
      </c>
      <c r="C4481" s="39">
        <v>6797</v>
      </c>
      <c r="D4481" s="24">
        <v>115.55</v>
      </c>
      <c r="E4481" s="24">
        <v>20.8</v>
      </c>
      <c r="F4481" s="23">
        <f>COUNTIFS(mdr_rate_cleaned!$A$2:$A$10,B4481,mdr_rate_cleaned!$B$2:$B$10,"&lt;"&amp;C4481,mdr_rate_cleaned!$F$2:$F$10,"&gt;="&amp;C4481)</f>
        <v>1</v>
      </c>
      <c r="G4481" s="40">
        <f>SUMIFS(mdr_rate_cleaned!$G$2:$G$10,mdr_rate_cleaned!$A$2:$A$10,B4481,mdr_rate_cleaned!$B$2:$B$10,"&lt;"&amp;C4481,mdr_rate_cleaned!$F$2:$F$10,"&gt;="&amp;C4481)</f>
        <v>1.7000000000000001E-2</v>
      </c>
      <c r="H4481" s="24">
        <f t="shared" si="345"/>
        <v>115.55</v>
      </c>
      <c r="I4481" s="23" t="str">
        <f t="shared" si="346"/>
        <v>Match</v>
      </c>
      <c r="J4481" s="23" t="str">
        <f t="shared" si="347"/>
        <v>Match</v>
      </c>
      <c r="K4481" s="24">
        <f t="shared" si="348"/>
        <v>20.8</v>
      </c>
      <c r="L4481" s="24">
        <f t="shared" si="349"/>
        <v>0</v>
      </c>
    </row>
    <row r="4482" spans="1:12" ht="15" customHeight="1" x14ac:dyDescent="0.3">
      <c r="A4482" s="23" t="s">
        <v>17767</v>
      </c>
      <c r="B4482" s="23" t="s">
        <v>75</v>
      </c>
      <c r="C4482" s="39">
        <v>1148</v>
      </c>
      <c r="D4482" s="24">
        <v>0</v>
      </c>
      <c r="E4482" s="24">
        <v>0</v>
      </c>
      <c r="F4482" s="23">
        <f>COUNTIFS(mdr_rate_cleaned!$A$2:$A$10,B4482,mdr_rate_cleaned!$B$2:$B$10,"&lt;"&amp;C4482,mdr_rate_cleaned!$F$2:$F$10,"&gt;="&amp;C4482)</f>
        <v>1</v>
      </c>
      <c r="G4482" s="40">
        <f>SUMIFS(mdr_rate_cleaned!$G$2:$G$10,mdr_rate_cleaned!$A$2:$A$10,B4482,mdr_rate_cleaned!$B$2:$B$10,"&lt;"&amp;C4482,mdr_rate_cleaned!$F$2:$F$10,"&gt;="&amp;C4482)</f>
        <v>0</v>
      </c>
      <c r="H4482" s="24">
        <f t="shared" ref="H4482:H4545" si="350">ROUND(C4482*G4482,2)</f>
        <v>0</v>
      </c>
      <c r="I4482" s="23" t="str">
        <f t="shared" ref="I4482:I4545" si="351">IF(ROUND(D4482-H4482,2)=0,"Match","Differs")</f>
        <v>Match</v>
      </c>
      <c r="J4482" s="23" t="str">
        <f t="shared" ref="J4482:J4545" si="352">IF(ROUND(E4482-ROUND(D4482*0.18,2),2)=0,"Match","Differs")</f>
        <v>Match</v>
      </c>
      <c r="K4482" s="24">
        <f t="shared" ref="K4482:K4545" si="353">ROUND(H4482*0.18,2)</f>
        <v>0</v>
      </c>
      <c r="L4482" s="24">
        <f t="shared" ref="L4482:L4545" si="354">ROUND(D4482+E4482-H4482-K4482,2)</f>
        <v>0</v>
      </c>
    </row>
    <row r="4483" spans="1:12" ht="15" customHeight="1" x14ac:dyDescent="0.3">
      <c r="A4483" s="23" t="s">
        <v>17768</v>
      </c>
      <c r="B4483" s="23" t="s">
        <v>75</v>
      </c>
      <c r="C4483" s="39">
        <v>7999</v>
      </c>
      <c r="D4483" s="24">
        <v>24</v>
      </c>
      <c r="E4483" s="24">
        <v>4.32</v>
      </c>
      <c r="F4483" s="23">
        <f>COUNTIFS(mdr_rate_cleaned!$A$2:$A$10,B4483,mdr_rate_cleaned!$B$2:$B$10,"&lt;"&amp;C4483,mdr_rate_cleaned!$F$2:$F$10,"&gt;="&amp;C4483)</f>
        <v>1</v>
      </c>
      <c r="G4483" s="40">
        <f>SUMIFS(mdr_rate_cleaned!$G$2:$G$10,mdr_rate_cleaned!$A$2:$A$10,B4483,mdr_rate_cleaned!$B$2:$B$10,"&lt;"&amp;C4483,mdr_rate_cleaned!$F$2:$F$10,"&gt;="&amp;C4483)</f>
        <v>3.0000000000000001E-3</v>
      </c>
      <c r="H4483" s="24">
        <f t="shared" si="350"/>
        <v>24</v>
      </c>
      <c r="I4483" s="23" t="str">
        <f t="shared" si="351"/>
        <v>Match</v>
      </c>
      <c r="J4483" s="23" t="str">
        <f t="shared" si="352"/>
        <v>Match</v>
      </c>
      <c r="K4483" s="24">
        <f t="shared" si="353"/>
        <v>4.32</v>
      </c>
      <c r="L4483" s="24">
        <f t="shared" si="354"/>
        <v>0</v>
      </c>
    </row>
    <row r="4484" spans="1:12" ht="15" customHeight="1" x14ac:dyDescent="0.3">
      <c r="A4484" s="23" t="s">
        <v>17769</v>
      </c>
      <c r="B4484" s="23" t="s">
        <v>79</v>
      </c>
      <c r="C4484" s="39">
        <v>499</v>
      </c>
      <c r="D4484" s="24">
        <v>8.98</v>
      </c>
      <c r="E4484" s="24">
        <v>1.62</v>
      </c>
      <c r="F4484" s="23">
        <f>COUNTIFS(mdr_rate_cleaned!$A$2:$A$10,B4484,mdr_rate_cleaned!$B$2:$B$10,"&lt;"&amp;C4484,mdr_rate_cleaned!$F$2:$F$10,"&gt;="&amp;C4484)</f>
        <v>1</v>
      </c>
      <c r="G4484" s="40">
        <f>SUMIFS(mdr_rate_cleaned!$G$2:$G$10,mdr_rate_cleaned!$A$2:$A$10,B4484,mdr_rate_cleaned!$B$2:$B$10,"&lt;"&amp;C4484,mdr_rate_cleaned!$F$2:$F$10,"&gt;="&amp;C4484)</f>
        <v>1.8000000000000002E-2</v>
      </c>
      <c r="H4484" s="24">
        <f t="shared" si="350"/>
        <v>8.98</v>
      </c>
      <c r="I4484" s="23" t="str">
        <f t="shared" si="351"/>
        <v>Match</v>
      </c>
      <c r="J4484" s="23" t="str">
        <f t="shared" si="352"/>
        <v>Match</v>
      </c>
      <c r="K4484" s="24">
        <f t="shared" si="353"/>
        <v>1.62</v>
      </c>
      <c r="L4484" s="24">
        <f t="shared" si="354"/>
        <v>0</v>
      </c>
    </row>
    <row r="4485" spans="1:12" ht="15" customHeight="1" x14ac:dyDescent="0.3">
      <c r="A4485" s="23" t="s">
        <v>17770</v>
      </c>
      <c r="B4485" s="23" t="s">
        <v>75</v>
      </c>
      <c r="C4485" s="39">
        <v>2798</v>
      </c>
      <c r="D4485" s="24">
        <v>8.39</v>
      </c>
      <c r="E4485" s="24">
        <v>1.51</v>
      </c>
      <c r="F4485" s="23">
        <f>COUNTIFS(mdr_rate_cleaned!$A$2:$A$10,B4485,mdr_rate_cleaned!$B$2:$B$10,"&lt;"&amp;C4485,mdr_rate_cleaned!$F$2:$F$10,"&gt;="&amp;C4485)</f>
        <v>1</v>
      </c>
      <c r="G4485" s="40">
        <f>SUMIFS(mdr_rate_cleaned!$G$2:$G$10,mdr_rate_cleaned!$A$2:$A$10,B4485,mdr_rate_cleaned!$B$2:$B$10,"&lt;"&amp;C4485,mdr_rate_cleaned!$F$2:$F$10,"&gt;="&amp;C4485)</f>
        <v>3.0000000000000001E-3</v>
      </c>
      <c r="H4485" s="24">
        <f t="shared" si="350"/>
        <v>8.39</v>
      </c>
      <c r="I4485" s="23" t="str">
        <f t="shared" si="351"/>
        <v>Match</v>
      </c>
      <c r="J4485" s="23" t="str">
        <f t="shared" si="352"/>
        <v>Match</v>
      </c>
      <c r="K4485" s="24">
        <f t="shared" si="353"/>
        <v>1.51</v>
      </c>
      <c r="L4485" s="24">
        <f t="shared" si="354"/>
        <v>0</v>
      </c>
    </row>
    <row r="4486" spans="1:12" ht="15" customHeight="1" x14ac:dyDescent="0.3">
      <c r="A4486" s="23" t="s">
        <v>17772</v>
      </c>
      <c r="B4486" s="23" t="s">
        <v>75</v>
      </c>
      <c r="C4486" s="39">
        <v>10998</v>
      </c>
      <c r="D4486" s="24">
        <v>32.99</v>
      </c>
      <c r="E4486" s="24">
        <v>5.94</v>
      </c>
      <c r="F4486" s="23">
        <f>COUNTIFS(mdr_rate_cleaned!$A$2:$A$10,B4486,mdr_rate_cleaned!$B$2:$B$10,"&lt;"&amp;C4486,mdr_rate_cleaned!$F$2:$F$10,"&gt;="&amp;C4486)</f>
        <v>1</v>
      </c>
      <c r="G4486" s="40">
        <f>SUMIFS(mdr_rate_cleaned!$G$2:$G$10,mdr_rate_cleaned!$A$2:$A$10,B4486,mdr_rate_cleaned!$B$2:$B$10,"&lt;"&amp;C4486,mdr_rate_cleaned!$F$2:$F$10,"&gt;="&amp;C4486)</f>
        <v>3.0000000000000001E-3</v>
      </c>
      <c r="H4486" s="24">
        <f t="shared" si="350"/>
        <v>32.99</v>
      </c>
      <c r="I4486" s="23" t="str">
        <f t="shared" si="351"/>
        <v>Match</v>
      </c>
      <c r="J4486" s="23" t="str">
        <f t="shared" si="352"/>
        <v>Match</v>
      </c>
      <c r="K4486" s="24">
        <f t="shared" si="353"/>
        <v>5.94</v>
      </c>
      <c r="L4486" s="24">
        <f t="shared" si="354"/>
        <v>0</v>
      </c>
    </row>
    <row r="4487" spans="1:12" ht="15" customHeight="1" x14ac:dyDescent="0.3">
      <c r="A4487" s="23" t="s">
        <v>17774</v>
      </c>
      <c r="B4487" s="23" t="s">
        <v>75</v>
      </c>
      <c r="C4487" s="39">
        <v>3098</v>
      </c>
      <c r="D4487" s="24">
        <v>9.2899999999999991</v>
      </c>
      <c r="E4487" s="24">
        <v>1.67</v>
      </c>
      <c r="F4487" s="23">
        <f>COUNTIFS(mdr_rate_cleaned!$A$2:$A$10,B4487,mdr_rate_cleaned!$B$2:$B$10,"&lt;"&amp;C4487,mdr_rate_cleaned!$F$2:$F$10,"&gt;="&amp;C4487)</f>
        <v>1</v>
      </c>
      <c r="G4487" s="40">
        <f>SUMIFS(mdr_rate_cleaned!$G$2:$G$10,mdr_rate_cleaned!$A$2:$A$10,B4487,mdr_rate_cleaned!$B$2:$B$10,"&lt;"&amp;C4487,mdr_rate_cleaned!$F$2:$F$10,"&gt;="&amp;C4487)</f>
        <v>3.0000000000000001E-3</v>
      </c>
      <c r="H4487" s="24">
        <f t="shared" si="350"/>
        <v>9.2899999999999991</v>
      </c>
      <c r="I4487" s="23" t="str">
        <f t="shared" si="351"/>
        <v>Match</v>
      </c>
      <c r="J4487" s="23" t="str">
        <f t="shared" si="352"/>
        <v>Match</v>
      </c>
      <c r="K4487" s="24">
        <f t="shared" si="353"/>
        <v>1.67</v>
      </c>
      <c r="L4487" s="24">
        <f t="shared" si="354"/>
        <v>0</v>
      </c>
    </row>
    <row r="4488" spans="1:12" ht="15" customHeight="1" x14ac:dyDescent="0.3">
      <c r="A4488" s="23" t="s">
        <v>17775</v>
      </c>
      <c r="B4488" s="23" t="s">
        <v>75</v>
      </c>
      <c r="C4488" s="39">
        <v>11597</v>
      </c>
      <c r="D4488" s="24">
        <v>34.79</v>
      </c>
      <c r="E4488" s="24">
        <v>6.26</v>
      </c>
      <c r="F4488" s="23">
        <f>COUNTIFS(mdr_rate_cleaned!$A$2:$A$10,B4488,mdr_rate_cleaned!$B$2:$B$10,"&lt;"&amp;C4488,mdr_rate_cleaned!$F$2:$F$10,"&gt;="&amp;C4488)</f>
        <v>1</v>
      </c>
      <c r="G4488" s="40">
        <f>SUMIFS(mdr_rate_cleaned!$G$2:$G$10,mdr_rate_cleaned!$A$2:$A$10,B4488,mdr_rate_cleaned!$B$2:$B$10,"&lt;"&amp;C4488,mdr_rate_cleaned!$F$2:$F$10,"&gt;="&amp;C4488)</f>
        <v>3.0000000000000001E-3</v>
      </c>
      <c r="H4488" s="24">
        <f t="shared" si="350"/>
        <v>34.79</v>
      </c>
      <c r="I4488" s="23" t="str">
        <f t="shared" si="351"/>
        <v>Match</v>
      </c>
      <c r="J4488" s="23" t="str">
        <f t="shared" si="352"/>
        <v>Match</v>
      </c>
      <c r="K4488" s="24">
        <f t="shared" si="353"/>
        <v>6.26</v>
      </c>
      <c r="L4488" s="24">
        <f t="shared" si="354"/>
        <v>0</v>
      </c>
    </row>
    <row r="4489" spans="1:12" ht="15" customHeight="1" x14ac:dyDescent="0.3">
      <c r="A4489" s="23" t="s">
        <v>17776</v>
      </c>
      <c r="B4489" s="23" t="s">
        <v>75</v>
      </c>
      <c r="C4489" s="39">
        <v>2499</v>
      </c>
      <c r="D4489" s="24">
        <v>7.5</v>
      </c>
      <c r="E4489" s="24">
        <v>1.35</v>
      </c>
      <c r="F4489" s="23">
        <f>COUNTIFS(mdr_rate_cleaned!$A$2:$A$10,B4489,mdr_rate_cleaned!$B$2:$B$10,"&lt;"&amp;C4489,mdr_rate_cleaned!$F$2:$F$10,"&gt;="&amp;C4489)</f>
        <v>1</v>
      </c>
      <c r="G4489" s="40">
        <f>SUMIFS(mdr_rate_cleaned!$G$2:$G$10,mdr_rate_cleaned!$A$2:$A$10,B4489,mdr_rate_cleaned!$B$2:$B$10,"&lt;"&amp;C4489,mdr_rate_cleaned!$F$2:$F$10,"&gt;="&amp;C4489)</f>
        <v>3.0000000000000001E-3</v>
      </c>
      <c r="H4489" s="24">
        <f t="shared" si="350"/>
        <v>7.5</v>
      </c>
      <c r="I4489" s="23" t="str">
        <f t="shared" si="351"/>
        <v>Match</v>
      </c>
      <c r="J4489" s="23" t="str">
        <f t="shared" si="352"/>
        <v>Match</v>
      </c>
      <c r="K4489" s="24">
        <f t="shared" si="353"/>
        <v>1.35</v>
      </c>
      <c r="L4489" s="24">
        <f t="shared" si="354"/>
        <v>0</v>
      </c>
    </row>
    <row r="4490" spans="1:12" ht="15" customHeight="1" x14ac:dyDescent="0.3">
      <c r="A4490" s="23" t="s">
        <v>17777</v>
      </c>
      <c r="B4490" s="23" t="s">
        <v>79</v>
      </c>
      <c r="C4490" s="39">
        <v>5998</v>
      </c>
      <c r="D4490" s="24">
        <v>95.97</v>
      </c>
      <c r="E4490" s="24">
        <v>17.27</v>
      </c>
      <c r="F4490" s="23">
        <f>COUNTIFS(mdr_rate_cleaned!$A$2:$A$10,B4490,mdr_rate_cleaned!$B$2:$B$10,"&lt;"&amp;C4490,mdr_rate_cleaned!$F$2:$F$10,"&gt;="&amp;C4490)</f>
        <v>1</v>
      </c>
      <c r="G4490" s="40">
        <f>SUMIFS(mdr_rate_cleaned!$G$2:$G$10,mdr_rate_cleaned!$A$2:$A$10,B4490,mdr_rate_cleaned!$B$2:$B$10,"&lt;"&amp;C4490,mdr_rate_cleaned!$F$2:$F$10,"&gt;="&amp;C4490)</f>
        <v>1.6E-2</v>
      </c>
      <c r="H4490" s="24">
        <f t="shared" si="350"/>
        <v>95.97</v>
      </c>
      <c r="I4490" s="23" t="str">
        <f t="shared" si="351"/>
        <v>Match</v>
      </c>
      <c r="J4490" s="23" t="str">
        <f t="shared" si="352"/>
        <v>Match</v>
      </c>
      <c r="K4490" s="24">
        <f t="shared" si="353"/>
        <v>17.27</v>
      </c>
      <c r="L4490" s="24">
        <f t="shared" si="354"/>
        <v>0</v>
      </c>
    </row>
    <row r="4491" spans="1:12" ht="15" customHeight="1" x14ac:dyDescent="0.3">
      <c r="A4491" s="23" t="s">
        <v>17778</v>
      </c>
      <c r="B4491" s="23" t="s">
        <v>75</v>
      </c>
      <c r="C4491" s="39">
        <v>4798</v>
      </c>
      <c r="D4491" s="24">
        <v>14.39</v>
      </c>
      <c r="E4491" s="24">
        <v>2.59</v>
      </c>
      <c r="F4491" s="23">
        <f>COUNTIFS(mdr_rate_cleaned!$A$2:$A$10,B4491,mdr_rate_cleaned!$B$2:$B$10,"&lt;"&amp;C4491,mdr_rate_cleaned!$F$2:$F$10,"&gt;="&amp;C4491)</f>
        <v>1</v>
      </c>
      <c r="G4491" s="40">
        <f>SUMIFS(mdr_rate_cleaned!$G$2:$G$10,mdr_rate_cleaned!$A$2:$A$10,B4491,mdr_rate_cleaned!$B$2:$B$10,"&lt;"&amp;C4491,mdr_rate_cleaned!$F$2:$F$10,"&gt;="&amp;C4491)</f>
        <v>3.0000000000000001E-3</v>
      </c>
      <c r="H4491" s="24">
        <f t="shared" si="350"/>
        <v>14.39</v>
      </c>
      <c r="I4491" s="23" t="str">
        <f t="shared" si="351"/>
        <v>Match</v>
      </c>
      <c r="J4491" s="23" t="str">
        <f t="shared" si="352"/>
        <v>Match</v>
      </c>
      <c r="K4491" s="24">
        <f t="shared" si="353"/>
        <v>2.59</v>
      </c>
      <c r="L4491" s="24">
        <f t="shared" si="354"/>
        <v>0</v>
      </c>
    </row>
    <row r="4492" spans="1:12" ht="15" customHeight="1" x14ac:dyDescent="0.3">
      <c r="A4492" s="23" t="s">
        <v>17779</v>
      </c>
      <c r="B4492" s="23" t="s">
        <v>75</v>
      </c>
      <c r="C4492" s="39">
        <v>599</v>
      </c>
      <c r="D4492" s="24">
        <v>0</v>
      </c>
      <c r="E4492" s="24">
        <v>0</v>
      </c>
      <c r="F4492" s="23">
        <f>COUNTIFS(mdr_rate_cleaned!$A$2:$A$10,B4492,mdr_rate_cleaned!$B$2:$B$10,"&lt;"&amp;C4492,mdr_rate_cleaned!$F$2:$F$10,"&gt;="&amp;C4492)</f>
        <v>1</v>
      </c>
      <c r="G4492" s="40">
        <f>SUMIFS(mdr_rate_cleaned!$G$2:$G$10,mdr_rate_cleaned!$A$2:$A$10,B4492,mdr_rate_cleaned!$B$2:$B$10,"&lt;"&amp;C4492,mdr_rate_cleaned!$F$2:$F$10,"&gt;="&amp;C4492)</f>
        <v>0</v>
      </c>
      <c r="H4492" s="24">
        <f t="shared" si="350"/>
        <v>0</v>
      </c>
      <c r="I4492" s="23" t="str">
        <f t="shared" si="351"/>
        <v>Match</v>
      </c>
      <c r="J4492" s="23" t="str">
        <f t="shared" si="352"/>
        <v>Match</v>
      </c>
      <c r="K4492" s="24">
        <f t="shared" si="353"/>
        <v>0</v>
      </c>
      <c r="L4492" s="24">
        <f t="shared" si="354"/>
        <v>0</v>
      </c>
    </row>
    <row r="4493" spans="1:12" ht="15" customHeight="1" x14ac:dyDescent="0.3">
      <c r="A4493" s="23" t="s">
        <v>17780</v>
      </c>
      <c r="B4493" s="23" t="s">
        <v>77</v>
      </c>
      <c r="C4493" s="39">
        <v>3397</v>
      </c>
      <c r="D4493" s="24">
        <v>57.75</v>
      </c>
      <c r="E4493" s="24">
        <v>10.4</v>
      </c>
      <c r="F4493" s="23">
        <f>COUNTIFS(mdr_rate_cleaned!$A$2:$A$10,B4493,mdr_rate_cleaned!$B$2:$B$10,"&lt;"&amp;C4493,mdr_rate_cleaned!$F$2:$F$10,"&gt;="&amp;C4493)</f>
        <v>1</v>
      </c>
      <c r="G4493" s="40">
        <f>SUMIFS(mdr_rate_cleaned!$G$2:$G$10,mdr_rate_cleaned!$A$2:$A$10,B4493,mdr_rate_cleaned!$B$2:$B$10,"&lt;"&amp;C4493,mdr_rate_cleaned!$F$2:$F$10,"&gt;="&amp;C4493)</f>
        <v>1.7000000000000001E-2</v>
      </c>
      <c r="H4493" s="24">
        <f t="shared" si="350"/>
        <v>57.75</v>
      </c>
      <c r="I4493" s="23" t="str">
        <f t="shared" si="351"/>
        <v>Match</v>
      </c>
      <c r="J4493" s="23" t="str">
        <f t="shared" si="352"/>
        <v>Match</v>
      </c>
      <c r="K4493" s="24">
        <f t="shared" si="353"/>
        <v>10.4</v>
      </c>
      <c r="L4493" s="24">
        <f t="shared" si="354"/>
        <v>0</v>
      </c>
    </row>
    <row r="4494" spans="1:12" ht="15" customHeight="1" x14ac:dyDescent="0.3">
      <c r="A4494" s="23" t="s">
        <v>17781</v>
      </c>
      <c r="B4494" s="23" t="s">
        <v>75</v>
      </c>
      <c r="C4494" s="39">
        <v>349</v>
      </c>
      <c r="D4494" s="24">
        <v>0</v>
      </c>
      <c r="E4494" s="24">
        <v>0</v>
      </c>
      <c r="F4494" s="23">
        <f>COUNTIFS(mdr_rate_cleaned!$A$2:$A$10,B4494,mdr_rate_cleaned!$B$2:$B$10,"&lt;"&amp;C4494,mdr_rate_cleaned!$F$2:$F$10,"&gt;="&amp;C4494)</f>
        <v>1</v>
      </c>
      <c r="G4494" s="40">
        <f>SUMIFS(mdr_rate_cleaned!$G$2:$G$10,mdr_rate_cleaned!$A$2:$A$10,B4494,mdr_rate_cleaned!$B$2:$B$10,"&lt;"&amp;C4494,mdr_rate_cleaned!$F$2:$F$10,"&gt;="&amp;C4494)</f>
        <v>0</v>
      </c>
      <c r="H4494" s="24">
        <f t="shared" si="350"/>
        <v>0</v>
      </c>
      <c r="I4494" s="23" t="str">
        <f t="shared" si="351"/>
        <v>Match</v>
      </c>
      <c r="J4494" s="23" t="str">
        <f t="shared" si="352"/>
        <v>Match</v>
      </c>
      <c r="K4494" s="24">
        <f t="shared" si="353"/>
        <v>0</v>
      </c>
      <c r="L4494" s="24">
        <f t="shared" si="354"/>
        <v>0</v>
      </c>
    </row>
    <row r="4495" spans="1:12" ht="15" customHeight="1" x14ac:dyDescent="0.3">
      <c r="A4495" s="23" t="s">
        <v>17782</v>
      </c>
      <c r="B4495" s="23" t="s">
        <v>79</v>
      </c>
      <c r="C4495" s="39">
        <v>299</v>
      </c>
      <c r="D4495" s="24">
        <v>5.38</v>
      </c>
      <c r="E4495" s="24">
        <v>0.97</v>
      </c>
      <c r="F4495" s="23">
        <f>COUNTIFS(mdr_rate_cleaned!$A$2:$A$10,B4495,mdr_rate_cleaned!$B$2:$B$10,"&lt;"&amp;C4495,mdr_rate_cleaned!$F$2:$F$10,"&gt;="&amp;C4495)</f>
        <v>1</v>
      </c>
      <c r="G4495" s="40">
        <f>SUMIFS(mdr_rate_cleaned!$G$2:$G$10,mdr_rate_cleaned!$A$2:$A$10,B4495,mdr_rate_cleaned!$B$2:$B$10,"&lt;"&amp;C4495,mdr_rate_cleaned!$F$2:$F$10,"&gt;="&amp;C4495)</f>
        <v>1.8000000000000002E-2</v>
      </c>
      <c r="H4495" s="24">
        <f t="shared" si="350"/>
        <v>5.38</v>
      </c>
      <c r="I4495" s="23" t="str">
        <f t="shared" si="351"/>
        <v>Match</v>
      </c>
      <c r="J4495" s="23" t="str">
        <f t="shared" si="352"/>
        <v>Match</v>
      </c>
      <c r="K4495" s="24">
        <f t="shared" si="353"/>
        <v>0.97</v>
      </c>
      <c r="L4495" s="24">
        <f t="shared" si="354"/>
        <v>0</v>
      </c>
    </row>
    <row r="4496" spans="1:12" ht="15" customHeight="1" x14ac:dyDescent="0.3">
      <c r="A4496" s="23" t="s">
        <v>17783</v>
      </c>
      <c r="B4496" s="23" t="s">
        <v>75</v>
      </c>
      <c r="C4496" s="39">
        <v>2999</v>
      </c>
      <c r="D4496" s="24">
        <v>9</v>
      </c>
      <c r="E4496" s="24">
        <v>1.62</v>
      </c>
      <c r="F4496" s="23">
        <f>COUNTIFS(mdr_rate_cleaned!$A$2:$A$10,B4496,mdr_rate_cleaned!$B$2:$B$10,"&lt;"&amp;C4496,mdr_rate_cleaned!$F$2:$F$10,"&gt;="&amp;C4496)</f>
        <v>1</v>
      </c>
      <c r="G4496" s="40">
        <f>SUMIFS(mdr_rate_cleaned!$G$2:$G$10,mdr_rate_cleaned!$A$2:$A$10,B4496,mdr_rate_cleaned!$B$2:$B$10,"&lt;"&amp;C4496,mdr_rate_cleaned!$F$2:$F$10,"&gt;="&amp;C4496)</f>
        <v>3.0000000000000001E-3</v>
      </c>
      <c r="H4496" s="24">
        <f t="shared" si="350"/>
        <v>9</v>
      </c>
      <c r="I4496" s="23" t="str">
        <f t="shared" si="351"/>
        <v>Match</v>
      </c>
      <c r="J4496" s="23" t="str">
        <f t="shared" si="352"/>
        <v>Match</v>
      </c>
      <c r="K4496" s="24">
        <f t="shared" si="353"/>
        <v>1.62</v>
      </c>
      <c r="L4496" s="24">
        <f t="shared" si="354"/>
        <v>0</v>
      </c>
    </row>
    <row r="4497" spans="1:12" ht="15" customHeight="1" x14ac:dyDescent="0.3">
      <c r="A4497" s="23" t="s">
        <v>17784</v>
      </c>
      <c r="B4497" s="23" t="s">
        <v>79</v>
      </c>
      <c r="C4497" s="39">
        <v>349</v>
      </c>
      <c r="D4497" s="24">
        <v>6.28</v>
      </c>
      <c r="E4497" s="24">
        <v>1.1299999999999999</v>
      </c>
      <c r="F4497" s="23">
        <f>COUNTIFS(mdr_rate_cleaned!$A$2:$A$10,B4497,mdr_rate_cleaned!$B$2:$B$10,"&lt;"&amp;C4497,mdr_rate_cleaned!$F$2:$F$10,"&gt;="&amp;C4497)</f>
        <v>1</v>
      </c>
      <c r="G4497" s="40">
        <f>SUMIFS(mdr_rate_cleaned!$G$2:$G$10,mdr_rate_cleaned!$A$2:$A$10,B4497,mdr_rate_cleaned!$B$2:$B$10,"&lt;"&amp;C4497,mdr_rate_cleaned!$F$2:$F$10,"&gt;="&amp;C4497)</f>
        <v>1.8000000000000002E-2</v>
      </c>
      <c r="H4497" s="24">
        <f t="shared" si="350"/>
        <v>6.28</v>
      </c>
      <c r="I4497" s="23" t="str">
        <f t="shared" si="351"/>
        <v>Match</v>
      </c>
      <c r="J4497" s="23" t="str">
        <f t="shared" si="352"/>
        <v>Match</v>
      </c>
      <c r="K4497" s="24">
        <f t="shared" si="353"/>
        <v>1.1299999999999999</v>
      </c>
      <c r="L4497" s="24">
        <f t="shared" si="354"/>
        <v>0</v>
      </c>
    </row>
    <row r="4498" spans="1:12" ht="15" customHeight="1" x14ac:dyDescent="0.3">
      <c r="A4498" s="23" t="s">
        <v>17785</v>
      </c>
      <c r="B4498" s="23" t="s">
        <v>75</v>
      </c>
      <c r="C4498" s="39">
        <v>2999</v>
      </c>
      <c r="D4498" s="24">
        <v>9</v>
      </c>
      <c r="E4498" s="24">
        <v>1.62</v>
      </c>
      <c r="F4498" s="23">
        <f>COUNTIFS(mdr_rate_cleaned!$A$2:$A$10,B4498,mdr_rate_cleaned!$B$2:$B$10,"&lt;"&amp;C4498,mdr_rate_cleaned!$F$2:$F$10,"&gt;="&amp;C4498)</f>
        <v>1</v>
      </c>
      <c r="G4498" s="40">
        <f>SUMIFS(mdr_rate_cleaned!$G$2:$G$10,mdr_rate_cleaned!$A$2:$A$10,B4498,mdr_rate_cleaned!$B$2:$B$10,"&lt;"&amp;C4498,mdr_rate_cleaned!$F$2:$F$10,"&gt;="&amp;C4498)</f>
        <v>3.0000000000000001E-3</v>
      </c>
      <c r="H4498" s="24">
        <f t="shared" si="350"/>
        <v>9</v>
      </c>
      <c r="I4498" s="23" t="str">
        <f t="shared" si="351"/>
        <v>Match</v>
      </c>
      <c r="J4498" s="23" t="str">
        <f t="shared" si="352"/>
        <v>Match</v>
      </c>
      <c r="K4498" s="24">
        <f t="shared" si="353"/>
        <v>1.62</v>
      </c>
      <c r="L4498" s="24">
        <f t="shared" si="354"/>
        <v>0</v>
      </c>
    </row>
    <row r="4499" spans="1:12" ht="15" customHeight="1" x14ac:dyDescent="0.3">
      <c r="A4499" s="23" t="s">
        <v>17786</v>
      </c>
      <c r="B4499" s="23" t="s">
        <v>75</v>
      </c>
      <c r="C4499" s="39">
        <v>4999</v>
      </c>
      <c r="D4499" s="24">
        <v>15</v>
      </c>
      <c r="E4499" s="24">
        <v>2.7</v>
      </c>
      <c r="F4499" s="23">
        <f>COUNTIFS(mdr_rate_cleaned!$A$2:$A$10,B4499,mdr_rate_cleaned!$B$2:$B$10,"&lt;"&amp;C4499,mdr_rate_cleaned!$F$2:$F$10,"&gt;="&amp;C4499)</f>
        <v>1</v>
      </c>
      <c r="G4499" s="40">
        <f>SUMIFS(mdr_rate_cleaned!$G$2:$G$10,mdr_rate_cleaned!$A$2:$A$10,B4499,mdr_rate_cleaned!$B$2:$B$10,"&lt;"&amp;C4499,mdr_rate_cleaned!$F$2:$F$10,"&gt;="&amp;C4499)</f>
        <v>3.0000000000000001E-3</v>
      </c>
      <c r="H4499" s="24">
        <f t="shared" si="350"/>
        <v>15</v>
      </c>
      <c r="I4499" s="23" t="str">
        <f t="shared" si="351"/>
        <v>Match</v>
      </c>
      <c r="J4499" s="23" t="str">
        <f t="shared" si="352"/>
        <v>Match</v>
      </c>
      <c r="K4499" s="24">
        <f t="shared" si="353"/>
        <v>2.7</v>
      </c>
      <c r="L4499" s="24">
        <f t="shared" si="354"/>
        <v>0</v>
      </c>
    </row>
    <row r="4500" spans="1:12" ht="15" customHeight="1" x14ac:dyDescent="0.3">
      <c r="A4500" s="23" t="s">
        <v>17787</v>
      </c>
      <c r="B4500" s="23" t="s">
        <v>75</v>
      </c>
      <c r="C4500" s="39">
        <v>799</v>
      </c>
      <c r="D4500" s="24">
        <v>0</v>
      </c>
      <c r="E4500" s="24">
        <v>0</v>
      </c>
      <c r="F4500" s="23">
        <f>COUNTIFS(mdr_rate_cleaned!$A$2:$A$10,B4500,mdr_rate_cleaned!$B$2:$B$10,"&lt;"&amp;C4500,mdr_rate_cleaned!$F$2:$F$10,"&gt;="&amp;C4500)</f>
        <v>1</v>
      </c>
      <c r="G4500" s="40">
        <f>SUMIFS(mdr_rate_cleaned!$G$2:$G$10,mdr_rate_cleaned!$A$2:$A$10,B4500,mdr_rate_cleaned!$B$2:$B$10,"&lt;"&amp;C4500,mdr_rate_cleaned!$F$2:$F$10,"&gt;="&amp;C4500)</f>
        <v>0</v>
      </c>
      <c r="H4500" s="24">
        <f t="shared" si="350"/>
        <v>0</v>
      </c>
      <c r="I4500" s="23" t="str">
        <f t="shared" si="351"/>
        <v>Match</v>
      </c>
      <c r="J4500" s="23" t="str">
        <f t="shared" si="352"/>
        <v>Match</v>
      </c>
      <c r="K4500" s="24">
        <f t="shared" si="353"/>
        <v>0</v>
      </c>
      <c r="L4500" s="24">
        <f t="shared" si="354"/>
        <v>0</v>
      </c>
    </row>
    <row r="4501" spans="1:12" ht="15" customHeight="1" x14ac:dyDescent="0.3">
      <c r="A4501" s="23" t="s">
        <v>17789</v>
      </c>
      <c r="B4501" s="23" t="s">
        <v>79</v>
      </c>
      <c r="C4501" s="39">
        <v>3798</v>
      </c>
      <c r="D4501" s="24">
        <v>60.77</v>
      </c>
      <c r="E4501" s="24">
        <v>10.94</v>
      </c>
      <c r="F4501" s="23">
        <f>COUNTIFS(mdr_rate_cleaned!$A$2:$A$10,B4501,mdr_rate_cleaned!$B$2:$B$10,"&lt;"&amp;C4501,mdr_rate_cleaned!$F$2:$F$10,"&gt;="&amp;C4501)</f>
        <v>1</v>
      </c>
      <c r="G4501" s="40">
        <f>SUMIFS(mdr_rate_cleaned!$G$2:$G$10,mdr_rate_cleaned!$A$2:$A$10,B4501,mdr_rate_cleaned!$B$2:$B$10,"&lt;"&amp;C4501,mdr_rate_cleaned!$F$2:$F$10,"&gt;="&amp;C4501)</f>
        <v>1.6E-2</v>
      </c>
      <c r="H4501" s="24">
        <f t="shared" si="350"/>
        <v>60.77</v>
      </c>
      <c r="I4501" s="23" t="str">
        <f t="shared" si="351"/>
        <v>Match</v>
      </c>
      <c r="J4501" s="23" t="str">
        <f t="shared" si="352"/>
        <v>Match</v>
      </c>
      <c r="K4501" s="24">
        <f t="shared" si="353"/>
        <v>10.94</v>
      </c>
      <c r="L4501" s="24">
        <f t="shared" si="354"/>
        <v>0</v>
      </c>
    </row>
    <row r="4502" spans="1:12" ht="15" customHeight="1" x14ac:dyDescent="0.3">
      <c r="A4502" s="23" t="s">
        <v>17790</v>
      </c>
      <c r="B4502" s="23" t="s">
        <v>75</v>
      </c>
      <c r="C4502" s="39">
        <v>12998</v>
      </c>
      <c r="D4502" s="24">
        <v>38.99</v>
      </c>
      <c r="E4502" s="24">
        <v>7.02</v>
      </c>
      <c r="F4502" s="23">
        <f>COUNTIFS(mdr_rate_cleaned!$A$2:$A$10,B4502,mdr_rate_cleaned!$B$2:$B$10,"&lt;"&amp;C4502,mdr_rate_cleaned!$F$2:$F$10,"&gt;="&amp;C4502)</f>
        <v>1</v>
      </c>
      <c r="G4502" s="40">
        <f>SUMIFS(mdr_rate_cleaned!$G$2:$G$10,mdr_rate_cleaned!$A$2:$A$10,B4502,mdr_rate_cleaned!$B$2:$B$10,"&lt;"&amp;C4502,mdr_rate_cleaned!$F$2:$F$10,"&gt;="&amp;C4502)</f>
        <v>3.0000000000000001E-3</v>
      </c>
      <c r="H4502" s="24">
        <f t="shared" si="350"/>
        <v>38.99</v>
      </c>
      <c r="I4502" s="23" t="str">
        <f t="shared" si="351"/>
        <v>Match</v>
      </c>
      <c r="J4502" s="23" t="str">
        <f t="shared" si="352"/>
        <v>Match</v>
      </c>
      <c r="K4502" s="24">
        <f t="shared" si="353"/>
        <v>7.02</v>
      </c>
      <c r="L4502" s="24">
        <f t="shared" si="354"/>
        <v>0</v>
      </c>
    </row>
    <row r="4503" spans="1:12" ht="15" customHeight="1" x14ac:dyDescent="0.3">
      <c r="A4503" s="23" t="s">
        <v>17791</v>
      </c>
      <c r="B4503" s="23" t="s">
        <v>75</v>
      </c>
      <c r="C4503" s="39">
        <v>6647</v>
      </c>
      <c r="D4503" s="24">
        <v>19.940000000000001</v>
      </c>
      <c r="E4503" s="24">
        <v>3.59</v>
      </c>
      <c r="F4503" s="23">
        <f>COUNTIFS(mdr_rate_cleaned!$A$2:$A$10,B4503,mdr_rate_cleaned!$B$2:$B$10,"&lt;"&amp;C4503,mdr_rate_cleaned!$F$2:$F$10,"&gt;="&amp;C4503)</f>
        <v>1</v>
      </c>
      <c r="G4503" s="40">
        <f>SUMIFS(mdr_rate_cleaned!$G$2:$G$10,mdr_rate_cleaned!$A$2:$A$10,B4503,mdr_rate_cleaned!$B$2:$B$10,"&lt;"&amp;C4503,mdr_rate_cleaned!$F$2:$F$10,"&gt;="&amp;C4503)</f>
        <v>3.0000000000000001E-3</v>
      </c>
      <c r="H4503" s="24">
        <f t="shared" si="350"/>
        <v>19.940000000000001</v>
      </c>
      <c r="I4503" s="23" t="str">
        <f t="shared" si="351"/>
        <v>Match</v>
      </c>
      <c r="J4503" s="23" t="str">
        <f t="shared" si="352"/>
        <v>Match</v>
      </c>
      <c r="K4503" s="24">
        <f t="shared" si="353"/>
        <v>3.59</v>
      </c>
      <c r="L4503" s="24">
        <f t="shared" si="354"/>
        <v>0</v>
      </c>
    </row>
    <row r="4504" spans="1:12" ht="15" customHeight="1" x14ac:dyDescent="0.3">
      <c r="A4504" s="23" t="s">
        <v>17792</v>
      </c>
      <c r="B4504" s="23" t="s">
        <v>75</v>
      </c>
      <c r="C4504" s="39">
        <v>999</v>
      </c>
      <c r="D4504" s="24">
        <v>0</v>
      </c>
      <c r="E4504" s="24">
        <v>0</v>
      </c>
      <c r="F4504" s="23">
        <f>COUNTIFS(mdr_rate_cleaned!$A$2:$A$10,B4504,mdr_rate_cleaned!$B$2:$B$10,"&lt;"&amp;C4504,mdr_rate_cleaned!$F$2:$F$10,"&gt;="&amp;C4504)</f>
        <v>1</v>
      </c>
      <c r="G4504" s="40">
        <f>SUMIFS(mdr_rate_cleaned!$G$2:$G$10,mdr_rate_cleaned!$A$2:$A$10,B4504,mdr_rate_cleaned!$B$2:$B$10,"&lt;"&amp;C4504,mdr_rate_cleaned!$F$2:$F$10,"&gt;="&amp;C4504)</f>
        <v>0</v>
      </c>
      <c r="H4504" s="24">
        <f t="shared" si="350"/>
        <v>0</v>
      </c>
      <c r="I4504" s="23" t="str">
        <f t="shared" si="351"/>
        <v>Match</v>
      </c>
      <c r="J4504" s="23" t="str">
        <f t="shared" si="352"/>
        <v>Match</v>
      </c>
      <c r="K4504" s="24">
        <f t="shared" si="353"/>
        <v>0</v>
      </c>
      <c r="L4504" s="24">
        <f t="shared" si="354"/>
        <v>0</v>
      </c>
    </row>
    <row r="4505" spans="1:12" ht="15" customHeight="1" x14ac:dyDescent="0.3">
      <c r="A4505" s="23" t="s">
        <v>17793</v>
      </c>
      <c r="B4505" s="23" t="s">
        <v>75</v>
      </c>
      <c r="C4505" s="39">
        <v>5847</v>
      </c>
      <c r="D4505" s="24">
        <v>17.54</v>
      </c>
      <c r="E4505" s="24">
        <v>3.16</v>
      </c>
      <c r="F4505" s="23">
        <f>COUNTIFS(mdr_rate_cleaned!$A$2:$A$10,B4505,mdr_rate_cleaned!$B$2:$B$10,"&lt;"&amp;C4505,mdr_rate_cleaned!$F$2:$F$10,"&gt;="&amp;C4505)</f>
        <v>1</v>
      </c>
      <c r="G4505" s="40">
        <f>SUMIFS(mdr_rate_cleaned!$G$2:$G$10,mdr_rate_cleaned!$A$2:$A$10,B4505,mdr_rate_cleaned!$B$2:$B$10,"&lt;"&amp;C4505,mdr_rate_cleaned!$F$2:$F$10,"&gt;="&amp;C4505)</f>
        <v>3.0000000000000001E-3</v>
      </c>
      <c r="H4505" s="24">
        <f t="shared" si="350"/>
        <v>17.54</v>
      </c>
      <c r="I4505" s="23" t="str">
        <f t="shared" si="351"/>
        <v>Match</v>
      </c>
      <c r="J4505" s="23" t="str">
        <f t="shared" si="352"/>
        <v>Match</v>
      </c>
      <c r="K4505" s="24">
        <f t="shared" si="353"/>
        <v>3.16</v>
      </c>
      <c r="L4505" s="24">
        <f t="shared" si="354"/>
        <v>0</v>
      </c>
    </row>
    <row r="4506" spans="1:12" ht="15" customHeight="1" x14ac:dyDescent="0.3">
      <c r="A4506" s="23" t="s">
        <v>17794</v>
      </c>
      <c r="B4506" s="23" t="s">
        <v>75</v>
      </c>
      <c r="C4506" s="39">
        <v>2999</v>
      </c>
      <c r="D4506" s="24">
        <v>9</v>
      </c>
      <c r="E4506" s="24">
        <v>1.62</v>
      </c>
      <c r="F4506" s="23">
        <f>COUNTIFS(mdr_rate_cleaned!$A$2:$A$10,B4506,mdr_rate_cleaned!$B$2:$B$10,"&lt;"&amp;C4506,mdr_rate_cleaned!$F$2:$F$10,"&gt;="&amp;C4506)</f>
        <v>1</v>
      </c>
      <c r="G4506" s="40">
        <f>SUMIFS(mdr_rate_cleaned!$G$2:$G$10,mdr_rate_cleaned!$A$2:$A$10,B4506,mdr_rate_cleaned!$B$2:$B$10,"&lt;"&amp;C4506,mdr_rate_cleaned!$F$2:$F$10,"&gt;="&amp;C4506)</f>
        <v>3.0000000000000001E-3</v>
      </c>
      <c r="H4506" s="24">
        <f t="shared" si="350"/>
        <v>9</v>
      </c>
      <c r="I4506" s="23" t="str">
        <f t="shared" si="351"/>
        <v>Match</v>
      </c>
      <c r="J4506" s="23" t="str">
        <f t="shared" si="352"/>
        <v>Match</v>
      </c>
      <c r="K4506" s="24">
        <f t="shared" si="353"/>
        <v>1.62</v>
      </c>
      <c r="L4506" s="24">
        <f t="shared" si="354"/>
        <v>0</v>
      </c>
    </row>
    <row r="4507" spans="1:12" ht="15" customHeight="1" x14ac:dyDescent="0.3">
      <c r="A4507" s="23" t="s">
        <v>17795</v>
      </c>
      <c r="B4507" s="23" t="s">
        <v>75</v>
      </c>
      <c r="C4507" s="39">
        <v>499</v>
      </c>
      <c r="D4507" s="24">
        <v>0</v>
      </c>
      <c r="E4507" s="24">
        <v>0</v>
      </c>
      <c r="F4507" s="23">
        <f>COUNTIFS(mdr_rate_cleaned!$A$2:$A$10,B4507,mdr_rate_cleaned!$B$2:$B$10,"&lt;"&amp;C4507,mdr_rate_cleaned!$F$2:$F$10,"&gt;="&amp;C4507)</f>
        <v>1</v>
      </c>
      <c r="G4507" s="40">
        <f>SUMIFS(mdr_rate_cleaned!$G$2:$G$10,mdr_rate_cleaned!$A$2:$A$10,B4507,mdr_rate_cleaned!$B$2:$B$10,"&lt;"&amp;C4507,mdr_rate_cleaned!$F$2:$F$10,"&gt;="&amp;C4507)</f>
        <v>0</v>
      </c>
      <c r="H4507" s="24">
        <f t="shared" si="350"/>
        <v>0</v>
      </c>
      <c r="I4507" s="23" t="str">
        <f t="shared" si="351"/>
        <v>Match</v>
      </c>
      <c r="J4507" s="23" t="str">
        <f t="shared" si="352"/>
        <v>Match</v>
      </c>
      <c r="K4507" s="24">
        <f t="shared" si="353"/>
        <v>0</v>
      </c>
      <c r="L4507" s="24">
        <f t="shared" si="354"/>
        <v>0</v>
      </c>
    </row>
    <row r="4508" spans="1:12" ht="15" customHeight="1" x14ac:dyDescent="0.3">
      <c r="A4508" s="23" t="s">
        <v>17796</v>
      </c>
      <c r="B4508" s="23" t="s">
        <v>79</v>
      </c>
      <c r="C4508" s="39">
        <v>3298</v>
      </c>
      <c r="D4508" s="24">
        <v>52.77</v>
      </c>
      <c r="E4508" s="24">
        <v>9.5</v>
      </c>
      <c r="F4508" s="23">
        <f>COUNTIFS(mdr_rate_cleaned!$A$2:$A$10,B4508,mdr_rate_cleaned!$B$2:$B$10,"&lt;"&amp;C4508,mdr_rate_cleaned!$F$2:$F$10,"&gt;="&amp;C4508)</f>
        <v>1</v>
      </c>
      <c r="G4508" s="40">
        <f>SUMIFS(mdr_rate_cleaned!$G$2:$G$10,mdr_rate_cleaned!$A$2:$A$10,B4508,mdr_rate_cleaned!$B$2:$B$10,"&lt;"&amp;C4508,mdr_rate_cleaned!$F$2:$F$10,"&gt;="&amp;C4508)</f>
        <v>1.6E-2</v>
      </c>
      <c r="H4508" s="24">
        <f t="shared" si="350"/>
        <v>52.77</v>
      </c>
      <c r="I4508" s="23" t="str">
        <f t="shared" si="351"/>
        <v>Match</v>
      </c>
      <c r="J4508" s="23" t="str">
        <f t="shared" si="352"/>
        <v>Match</v>
      </c>
      <c r="K4508" s="24">
        <f t="shared" si="353"/>
        <v>9.5</v>
      </c>
      <c r="L4508" s="24">
        <f t="shared" si="354"/>
        <v>0</v>
      </c>
    </row>
    <row r="4509" spans="1:12" ht="15" customHeight="1" x14ac:dyDescent="0.3">
      <c r="A4509" s="23" t="s">
        <v>17797</v>
      </c>
      <c r="B4509" s="23" t="s">
        <v>75</v>
      </c>
      <c r="C4509" s="39">
        <v>2999</v>
      </c>
      <c r="D4509" s="24">
        <v>9</v>
      </c>
      <c r="E4509" s="24">
        <v>1.62</v>
      </c>
      <c r="F4509" s="23">
        <f>COUNTIFS(mdr_rate_cleaned!$A$2:$A$10,B4509,mdr_rate_cleaned!$B$2:$B$10,"&lt;"&amp;C4509,mdr_rate_cleaned!$F$2:$F$10,"&gt;="&amp;C4509)</f>
        <v>1</v>
      </c>
      <c r="G4509" s="40">
        <f>SUMIFS(mdr_rate_cleaned!$G$2:$G$10,mdr_rate_cleaned!$A$2:$A$10,B4509,mdr_rate_cleaned!$B$2:$B$10,"&lt;"&amp;C4509,mdr_rate_cleaned!$F$2:$F$10,"&gt;="&amp;C4509)</f>
        <v>3.0000000000000001E-3</v>
      </c>
      <c r="H4509" s="24">
        <f t="shared" si="350"/>
        <v>9</v>
      </c>
      <c r="I4509" s="23" t="str">
        <f t="shared" si="351"/>
        <v>Match</v>
      </c>
      <c r="J4509" s="23" t="str">
        <f t="shared" si="352"/>
        <v>Match</v>
      </c>
      <c r="K4509" s="24">
        <f t="shared" si="353"/>
        <v>1.62</v>
      </c>
      <c r="L4509" s="24">
        <f t="shared" si="354"/>
        <v>0</v>
      </c>
    </row>
    <row r="4510" spans="1:12" ht="15" customHeight="1" x14ac:dyDescent="0.3">
      <c r="A4510" s="23" t="s">
        <v>17798</v>
      </c>
      <c r="B4510" s="23" t="s">
        <v>75</v>
      </c>
      <c r="C4510" s="39">
        <v>1499</v>
      </c>
      <c r="D4510" s="24">
        <v>0</v>
      </c>
      <c r="E4510" s="24">
        <v>0</v>
      </c>
      <c r="F4510" s="23">
        <f>COUNTIFS(mdr_rate_cleaned!$A$2:$A$10,B4510,mdr_rate_cleaned!$B$2:$B$10,"&lt;"&amp;C4510,mdr_rate_cleaned!$F$2:$F$10,"&gt;="&amp;C4510)</f>
        <v>1</v>
      </c>
      <c r="G4510" s="40">
        <f>SUMIFS(mdr_rate_cleaned!$G$2:$G$10,mdr_rate_cleaned!$A$2:$A$10,B4510,mdr_rate_cleaned!$B$2:$B$10,"&lt;"&amp;C4510,mdr_rate_cleaned!$F$2:$F$10,"&gt;="&amp;C4510)</f>
        <v>0</v>
      </c>
      <c r="H4510" s="24">
        <f t="shared" si="350"/>
        <v>0</v>
      </c>
      <c r="I4510" s="23" t="str">
        <f t="shared" si="351"/>
        <v>Match</v>
      </c>
      <c r="J4510" s="23" t="str">
        <f t="shared" si="352"/>
        <v>Match</v>
      </c>
      <c r="K4510" s="24">
        <f t="shared" si="353"/>
        <v>0</v>
      </c>
      <c r="L4510" s="24">
        <f t="shared" si="354"/>
        <v>0</v>
      </c>
    </row>
    <row r="4511" spans="1:12" ht="15" customHeight="1" x14ac:dyDescent="0.3">
      <c r="A4511" s="23" t="s">
        <v>17799</v>
      </c>
      <c r="B4511" s="23" t="s">
        <v>79</v>
      </c>
      <c r="C4511" s="39">
        <v>1098</v>
      </c>
      <c r="D4511" s="24">
        <v>19.760000000000002</v>
      </c>
      <c r="E4511" s="24">
        <v>3.56</v>
      </c>
      <c r="F4511" s="23">
        <f>COUNTIFS(mdr_rate_cleaned!$A$2:$A$10,B4511,mdr_rate_cleaned!$B$2:$B$10,"&lt;"&amp;C4511,mdr_rate_cleaned!$F$2:$F$10,"&gt;="&amp;C4511)</f>
        <v>1</v>
      </c>
      <c r="G4511" s="40">
        <f>SUMIFS(mdr_rate_cleaned!$G$2:$G$10,mdr_rate_cleaned!$A$2:$A$10,B4511,mdr_rate_cleaned!$B$2:$B$10,"&lt;"&amp;C4511,mdr_rate_cleaned!$F$2:$F$10,"&gt;="&amp;C4511)</f>
        <v>1.8000000000000002E-2</v>
      </c>
      <c r="H4511" s="24">
        <f t="shared" si="350"/>
        <v>19.760000000000002</v>
      </c>
      <c r="I4511" s="23" t="str">
        <f t="shared" si="351"/>
        <v>Match</v>
      </c>
      <c r="J4511" s="23" t="str">
        <f t="shared" si="352"/>
        <v>Match</v>
      </c>
      <c r="K4511" s="24">
        <f t="shared" si="353"/>
        <v>3.56</v>
      </c>
      <c r="L4511" s="24">
        <f t="shared" si="354"/>
        <v>0</v>
      </c>
    </row>
    <row r="4512" spans="1:12" ht="15" customHeight="1" x14ac:dyDescent="0.3">
      <c r="A4512" s="23" t="s">
        <v>17800</v>
      </c>
      <c r="B4512" s="23" t="s">
        <v>79</v>
      </c>
      <c r="C4512" s="39">
        <v>10297</v>
      </c>
      <c r="D4512" s="24">
        <v>164.75</v>
      </c>
      <c r="E4512" s="24">
        <v>29.66</v>
      </c>
      <c r="F4512" s="23">
        <f>COUNTIFS(mdr_rate_cleaned!$A$2:$A$10,B4512,mdr_rate_cleaned!$B$2:$B$10,"&lt;"&amp;C4512,mdr_rate_cleaned!$F$2:$F$10,"&gt;="&amp;C4512)</f>
        <v>1</v>
      </c>
      <c r="G4512" s="40">
        <f>SUMIFS(mdr_rate_cleaned!$G$2:$G$10,mdr_rate_cleaned!$A$2:$A$10,B4512,mdr_rate_cleaned!$B$2:$B$10,"&lt;"&amp;C4512,mdr_rate_cleaned!$F$2:$F$10,"&gt;="&amp;C4512)</f>
        <v>1.6E-2</v>
      </c>
      <c r="H4512" s="24">
        <f t="shared" si="350"/>
        <v>164.75</v>
      </c>
      <c r="I4512" s="23" t="str">
        <f t="shared" si="351"/>
        <v>Match</v>
      </c>
      <c r="J4512" s="23" t="str">
        <f t="shared" si="352"/>
        <v>Match</v>
      </c>
      <c r="K4512" s="24">
        <f t="shared" si="353"/>
        <v>29.66</v>
      </c>
      <c r="L4512" s="24">
        <f t="shared" si="354"/>
        <v>0</v>
      </c>
    </row>
    <row r="4513" spans="1:12" ht="15" customHeight="1" x14ac:dyDescent="0.3">
      <c r="A4513" s="23" t="s">
        <v>17801</v>
      </c>
      <c r="B4513" s="23" t="s">
        <v>75</v>
      </c>
      <c r="C4513" s="39">
        <v>2499</v>
      </c>
      <c r="D4513" s="24">
        <v>7.5</v>
      </c>
      <c r="E4513" s="24">
        <v>1.35</v>
      </c>
      <c r="F4513" s="23">
        <f>COUNTIFS(mdr_rate_cleaned!$A$2:$A$10,B4513,mdr_rate_cleaned!$B$2:$B$10,"&lt;"&amp;C4513,mdr_rate_cleaned!$F$2:$F$10,"&gt;="&amp;C4513)</f>
        <v>1</v>
      </c>
      <c r="G4513" s="40">
        <f>SUMIFS(mdr_rate_cleaned!$G$2:$G$10,mdr_rate_cleaned!$A$2:$A$10,B4513,mdr_rate_cleaned!$B$2:$B$10,"&lt;"&amp;C4513,mdr_rate_cleaned!$F$2:$F$10,"&gt;="&amp;C4513)</f>
        <v>3.0000000000000001E-3</v>
      </c>
      <c r="H4513" s="24">
        <f t="shared" si="350"/>
        <v>7.5</v>
      </c>
      <c r="I4513" s="23" t="str">
        <f t="shared" si="351"/>
        <v>Match</v>
      </c>
      <c r="J4513" s="23" t="str">
        <f t="shared" si="352"/>
        <v>Match</v>
      </c>
      <c r="K4513" s="24">
        <f t="shared" si="353"/>
        <v>1.35</v>
      </c>
      <c r="L4513" s="24">
        <f t="shared" si="354"/>
        <v>0</v>
      </c>
    </row>
    <row r="4514" spans="1:12" ht="15" customHeight="1" x14ac:dyDescent="0.3">
      <c r="A4514" s="23" t="s">
        <v>17802</v>
      </c>
      <c r="B4514" s="23" t="s">
        <v>75</v>
      </c>
      <c r="C4514" s="39">
        <v>1799</v>
      </c>
      <c r="D4514" s="24">
        <v>0</v>
      </c>
      <c r="E4514" s="24">
        <v>0</v>
      </c>
      <c r="F4514" s="23">
        <f>COUNTIFS(mdr_rate_cleaned!$A$2:$A$10,B4514,mdr_rate_cleaned!$B$2:$B$10,"&lt;"&amp;C4514,mdr_rate_cleaned!$F$2:$F$10,"&gt;="&amp;C4514)</f>
        <v>1</v>
      </c>
      <c r="G4514" s="40">
        <f>SUMIFS(mdr_rate_cleaned!$G$2:$G$10,mdr_rate_cleaned!$A$2:$A$10,B4514,mdr_rate_cleaned!$B$2:$B$10,"&lt;"&amp;C4514,mdr_rate_cleaned!$F$2:$F$10,"&gt;="&amp;C4514)</f>
        <v>0</v>
      </c>
      <c r="H4514" s="24">
        <f t="shared" si="350"/>
        <v>0</v>
      </c>
      <c r="I4514" s="23" t="str">
        <f t="shared" si="351"/>
        <v>Match</v>
      </c>
      <c r="J4514" s="23" t="str">
        <f t="shared" si="352"/>
        <v>Match</v>
      </c>
      <c r="K4514" s="24">
        <f t="shared" si="353"/>
        <v>0</v>
      </c>
      <c r="L4514" s="24">
        <f t="shared" si="354"/>
        <v>0</v>
      </c>
    </row>
    <row r="4515" spans="1:12" ht="15" customHeight="1" x14ac:dyDescent="0.3">
      <c r="A4515" s="23" t="s">
        <v>17804</v>
      </c>
      <c r="B4515" s="23" t="s">
        <v>75</v>
      </c>
      <c r="C4515" s="39">
        <v>3998</v>
      </c>
      <c r="D4515" s="24">
        <v>11.99</v>
      </c>
      <c r="E4515" s="24">
        <v>2.16</v>
      </c>
      <c r="F4515" s="23">
        <f>COUNTIFS(mdr_rate_cleaned!$A$2:$A$10,B4515,mdr_rate_cleaned!$B$2:$B$10,"&lt;"&amp;C4515,mdr_rate_cleaned!$F$2:$F$10,"&gt;="&amp;C4515)</f>
        <v>1</v>
      </c>
      <c r="G4515" s="40">
        <f>SUMIFS(mdr_rate_cleaned!$G$2:$G$10,mdr_rate_cleaned!$A$2:$A$10,B4515,mdr_rate_cleaned!$B$2:$B$10,"&lt;"&amp;C4515,mdr_rate_cleaned!$F$2:$F$10,"&gt;="&amp;C4515)</f>
        <v>3.0000000000000001E-3</v>
      </c>
      <c r="H4515" s="24">
        <f t="shared" si="350"/>
        <v>11.99</v>
      </c>
      <c r="I4515" s="23" t="str">
        <f t="shared" si="351"/>
        <v>Match</v>
      </c>
      <c r="J4515" s="23" t="str">
        <f t="shared" si="352"/>
        <v>Match</v>
      </c>
      <c r="K4515" s="24">
        <f t="shared" si="353"/>
        <v>2.16</v>
      </c>
      <c r="L4515" s="24">
        <f t="shared" si="354"/>
        <v>0</v>
      </c>
    </row>
    <row r="4516" spans="1:12" ht="15" customHeight="1" x14ac:dyDescent="0.3">
      <c r="A4516" s="23" t="s">
        <v>17805</v>
      </c>
      <c r="B4516" s="23" t="s">
        <v>75</v>
      </c>
      <c r="C4516" s="39">
        <v>2798</v>
      </c>
      <c r="D4516" s="24">
        <v>8.39</v>
      </c>
      <c r="E4516" s="24">
        <v>1.51</v>
      </c>
      <c r="F4516" s="23">
        <f>COUNTIFS(mdr_rate_cleaned!$A$2:$A$10,B4516,mdr_rate_cleaned!$B$2:$B$10,"&lt;"&amp;C4516,mdr_rate_cleaned!$F$2:$F$10,"&gt;="&amp;C4516)</f>
        <v>1</v>
      </c>
      <c r="G4516" s="40">
        <f>SUMIFS(mdr_rate_cleaned!$G$2:$G$10,mdr_rate_cleaned!$A$2:$A$10,B4516,mdr_rate_cleaned!$B$2:$B$10,"&lt;"&amp;C4516,mdr_rate_cleaned!$F$2:$F$10,"&gt;="&amp;C4516)</f>
        <v>3.0000000000000001E-3</v>
      </c>
      <c r="H4516" s="24">
        <f t="shared" si="350"/>
        <v>8.39</v>
      </c>
      <c r="I4516" s="23" t="str">
        <f t="shared" si="351"/>
        <v>Match</v>
      </c>
      <c r="J4516" s="23" t="str">
        <f t="shared" si="352"/>
        <v>Match</v>
      </c>
      <c r="K4516" s="24">
        <f t="shared" si="353"/>
        <v>1.51</v>
      </c>
      <c r="L4516" s="24">
        <f t="shared" si="354"/>
        <v>0</v>
      </c>
    </row>
    <row r="4517" spans="1:12" ht="15" customHeight="1" x14ac:dyDescent="0.3">
      <c r="A4517" s="23" t="s">
        <v>17806</v>
      </c>
      <c r="B4517" s="23" t="s">
        <v>79</v>
      </c>
      <c r="C4517" s="39">
        <v>12297</v>
      </c>
      <c r="D4517" s="24">
        <v>196.75</v>
      </c>
      <c r="E4517" s="24">
        <v>35.42</v>
      </c>
      <c r="F4517" s="23">
        <f>COUNTIFS(mdr_rate_cleaned!$A$2:$A$10,B4517,mdr_rate_cleaned!$B$2:$B$10,"&lt;"&amp;C4517,mdr_rate_cleaned!$F$2:$F$10,"&gt;="&amp;C4517)</f>
        <v>1</v>
      </c>
      <c r="G4517" s="40">
        <f>SUMIFS(mdr_rate_cleaned!$G$2:$G$10,mdr_rate_cleaned!$A$2:$A$10,B4517,mdr_rate_cleaned!$B$2:$B$10,"&lt;"&amp;C4517,mdr_rate_cleaned!$F$2:$F$10,"&gt;="&amp;C4517)</f>
        <v>1.6E-2</v>
      </c>
      <c r="H4517" s="24">
        <f t="shared" si="350"/>
        <v>196.75</v>
      </c>
      <c r="I4517" s="23" t="str">
        <f t="shared" si="351"/>
        <v>Match</v>
      </c>
      <c r="J4517" s="23" t="str">
        <f t="shared" si="352"/>
        <v>Match</v>
      </c>
      <c r="K4517" s="24">
        <f t="shared" si="353"/>
        <v>35.42</v>
      </c>
      <c r="L4517" s="24">
        <f t="shared" si="354"/>
        <v>0</v>
      </c>
    </row>
    <row r="4518" spans="1:12" ht="15" customHeight="1" x14ac:dyDescent="0.3">
      <c r="A4518" s="23" t="s">
        <v>17807</v>
      </c>
      <c r="B4518" s="23" t="s">
        <v>81</v>
      </c>
      <c r="C4518" s="39">
        <v>499</v>
      </c>
      <c r="D4518" s="24">
        <v>7.49</v>
      </c>
      <c r="E4518" s="24">
        <v>1.35</v>
      </c>
      <c r="F4518" s="23">
        <f>COUNTIFS(mdr_rate_cleaned!$A$2:$A$10,B4518,mdr_rate_cleaned!$B$2:$B$10,"&lt;"&amp;C4518,mdr_rate_cleaned!$F$2:$F$10,"&gt;="&amp;C4518)</f>
        <v>1</v>
      </c>
      <c r="G4518" s="40">
        <f>SUMIFS(mdr_rate_cleaned!$G$2:$G$10,mdr_rate_cleaned!$A$2:$A$10,B4518,mdr_rate_cleaned!$B$2:$B$10,"&lt;"&amp;C4518,mdr_rate_cleaned!$F$2:$F$10,"&gt;="&amp;C4518)</f>
        <v>1.4999999999999999E-2</v>
      </c>
      <c r="H4518" s="24">
        <f t="shared" si="350"/>
        <v>7.49</v>
      </c>
      <c r="I4518" s="23" t="str">
        <f t="shared" si="351"/>
        <v>Match</v>
      </c>
      <c r="J4518" s="23" t="str">
        <f t="shared" si="352"/>
        <v>Match</v>
      </c>
      <c r="K4518" s="24">
        <f t="shared" si="353"/>
        <v>1.35</v>
      </c>
      <c r="L4518" s="24">
        <f t="shared" si="354"/>
        <v>0</v>
      </c>
    </row>
    <row r="4519" spans="1:12" ht="15" customHeight="1" x14ac:dyDescent="0.3">
      <c r="A4519" s="23" t="s">
        <v>17808</v>
      </c>
      <c r="B4519" s="23" t="s">
        <v>75</v>
      </c>
      <c r="C4519" s="39">
        <v>3298</v>
      </c>
      <c r="D4519" s="24">
        <v>9.89</v>
      </c>
      <c r="E4519" s="24">
        <v>1.78</v>
      </c>
      <c r="F4519" s="23">
        <f>COUNTIFS(mdr_rate_cleaned!$A$2:$A$10,B4519,mdr_rate_cleaned!$B$2:$B$10,"&lt;"&amp;C4519,mdr_rate_cleaned!$F$2:$F$10,"&gt;="&amp;C4519)</f>
        <v>1</v>
      </c>
      <c r="G4519" s="40">
        <f>SUMIFS(mdr_rate_cleaned!$G$2:$G$10,mdr_rate_cleaned!$A$2:$A$10,B4519,mdr_rate_cleaned!$B$2:$B$10,"&lt;"&amp;C4519,mdr_rate_cleaned!$F$2:$F$10,"&gt;="&amp;C4519)</f>
        <v>3.0000000000000001E-3</v>
      </c>
      <c r="H4519" s="24">
        <f t="shared" si="350"/>
        <v>9.89</v>
      </c>
      <c r="I4519" s="23" t="str">
        <f t="shared" si="351"/>
        <v>Match</v>
      </c>
      <c r="J4519" s="23" t="str">
        <f t="shared" si="352"/>
        <v>Match</v>
      </c>
      <c r="K4519" s="24">
        <f t="shared" si="353"/>
        <v>1.78</v>
      </c>
      <c r="L4519" s="24">
        <f t="shared" si="354"/>
        <v>0</v>
      </c>
    </row>
    <row r="4520" spans="1:12" ht="15" customHeight="1" x14ac:dyDescent="0.3">
      <c r="A4520" s="23" t="s">
        <v>17809</v>
      </c>
      <c r="B4520" s="23" t="s">
        <v>77</v>
      </c>
      <c r="C4520" s="39">
        <v>8798</v>
      </c>
      <c r="D4520" s="24">
        <v>149.57</v>
      </c>
      <c r="E4520" s="24">
        <v>26.92</v>
      </c>
      <c r="F4520" s="23">
        <f>COUNTIFS(mdr_rate_cleaned!$A$2:$A$10,B4520,mdr_rate_cleaned!$B$2:$B$10,"&lt;"&amp;C4520,mdr_rate_cleaned!$F$2:$F$10,"&gt;="&amp;C4520)</f>
        <v>1</v>
      </c>
      <c r="G4520" s="40">
        <f>SUMIFS(mdr_rate_cleaned!$G$2:$G$10,mdr_rate_cleaned!$A$2:$A$10,B4520,mdr_rate_cleaned!$B$2:$B$10,"&lt;"&amp;C4520,mdr_rate_cleaned!$F$2:$F$10,"&gt;="&amp;C4520)</f>
        <v>1.7000000000000001E-2</v>
      </c>
      <c r="H4520" s="24">
        <f t="shared" si="350"/>
        <v>149.57</v>
      </c>
      <c r="I4520" s="23" t="str">
        <f t="shared" si="351"/>
        <v>Match</v>
      </c>
      <c r="J4520" s="23" t="str">
        <f t="shared" si="352"/>
        <v>Match</v>
      </c>
      <c r="K4520" s="24">
        <f t="shared" si="353"/>
        <v>26.92</v>
      </c>
      <c r="L4520" s="24">
        <f t="shared" si="354"/>
        <v>0</v>
      </c>
    </row>
    <row r="4521" spans="1:12" ht="15" customHeight="1" x14ac:dyDescent="0.3">
      <c r="A4521" s="23" t="s">
        <v>17811</v>
      </c>
      <c r="B4521" s="23" t="s">
        <v>75</v>
      </c>
      <c r="C4521" s="39">
        <v>1299</v>
      </c>
      <c r="D4521" s="24">
        <v>0</v>
      </c>
      <c r="E4521" s="24">
        <v>0</v>
      </c>
      <c r="F4521" s="23">
        <f>COUNTIFS(mdr_rate_cleaned!$A$2:$A$10,B4521,mdr_rate_cleaned!$B$2:$B$10,"&lt;"&amp;C4521,mdr_rate_cleaned!$F$2:$F$10,"&gt;="&amp;C4521)</f>
        <v>1</v>
      </c>
      <c r="G4521" s="40">
        <f>SUMIFS(mdr_rate_cleaned!$G$2:$G$10,mdr_rate_cleaned!$A$2:$A$10,B4521,mdr_rate_cleaned!$B$2:$B$10,"&lt;"&amp;C4521,mdr_rate_cleaned!$F$2:$F$10,"&gt;="&amp;C4521)</f>
        <v>0</v>
      </c>
      <c r="H4521" s="24">
        <f t="shared" si="350"/>
        <v>0</v>
      </c>
      <c r="I4521" s="23" t="str">
        <f t="shared" si="351"/>
        <v>Match</v>
      </c>
      <c r="J4521" s="23" t="str">
        <f t="shared" si="352"/>
        <v>Match</v>
      </c>
      <c r="K4521" s="24">
        <f t="shared" si="353"/>
        <v>0</v>
      </c>
      <c r="L4521" s="24">
        <f t="shared" si="354"/>
        <v>0</v>
      </c>
    </row>
    <row r="4522" spans="1:12" ht="15" customHeight="1" x14ac:dyDescent="0.3">
      <c r="A4522" s="23" t="s">
        <v>17812</v>
      </c>
      <c r="B4522" s="23" t="s">
        <v>75</v>
      </c>
      <c r="C4522" s="39">
        <v>1799</v>
      </c>
      <c r="D4522" s="24">
        <v>5.4</v>
      </c>
      <c r="E4522" s="24">
        <v>0.97</v>
      </c>
      <c r="F4522" s="23">
        <f>COUNTIFS(mdr_rate_cleaned!$A$2:$A$10,B4522,mdr_rate_cleaned!$B$2:$B$10,"&lt;"&amp;C4522,mdr_rate_cleaned!$F$2:$F$10,"&gt;="&amp;C4522)</f>
        <v>1</v>
      </c>
      <c r="G4522" s="40">
        <f>SUMIFS(mdr_rate_cleaned!$G$2:$G$10,mdr_rate_cleaned!$A$2:$A$10,B4522,mdr_rate_cleaned!$B$2:$B$10,"&lt;"&amp;C4522,mdr_rate_cleaned!$F$2:$F$10,"&gt;="&amp;C4522)</f>
        <v>0</v>
      </c>
      <c r="H4522" s="24">
        <f t="shared" si="350"/>
        <v>0</v>
      </c>
      <c r="I4522" s="23" t="str">
        <f t="shared" si="351"/>
        <v>Differs</v>
      </c>
      <c r="J4522" s="23" t="str">
        <f t="shared" si="352"/>
        <v>Match</v>
      </c>
      <c r="K4522" s="24">
        <f t="shared" si="353"/>
        <v>0</v>
      </c>
      <c r="L4522" s="24">
        <f t="shared" si="354"/>
        <v>6.37</v>
      </c>
    </row>
    <row r="4523" spans="1:12" ht="15" customHeight="1" x14ac:dyDescent="0.3">
      <c r="A4523" s="23" t="s">
        <v>17814</v>
      </c>
      <c r="B4523" s="23" t="s">
        <v>81</v>
      </c>
      <c r="C4523" s="39">
        <v>799</v>
      </c>
      <c r="D4523" s="24">
        <v>11.99</v>
      </c>
      <c r="E4523" s="24">
        <v>2.16</v>
      </c>
      <c r="F4523" s="23">
        <f>COUNTIFS(mdr_rate_cleaned!$A$2:$A$10,B4523,mdr_rate_cleaned!$B$2:$B$10,"&lt;"&amp;C4523,mdr_rate_cleaned!$F$2:$F$10,"&gt;="&amp;C4523)</f>
        <v>1</v>
      </c>
      <c r="G4523" s="40">
        <f>SUMIFS(mdr_rate_cleaned!$G$2:$G$10,mdr_rate_cleaned!$A$2:$A$10,B4523,mdr_rate_cleaned!$B$2:$B$10,"&lt;"&amp;C4523,mdr_rate_cleaned!$F$2:$F$10,"&gt;="&amp;C4523)</f>
        <v>1.4999999999999999E-2</v>
      </c>
      <c r="H4523" s="24">
        <f t="shared" si="350"/>
        <v>11.99</v>
      </c>
      <c r="I4523" s="23" t="str">
        <f t="shared" si="351"/>
        <v>Match</v>
      </c>
      <c r="J4523" s="23" t="str">
        <f t="shared" si="352"/>
        <v>Match</v>
      </c>
      <c r="K4523" s="24">
        <f t="shared" si="353"/>
        <v>2.16</v>
      </c>
      <c r="L4523" s="24">
        <f t="shared" si="354"/>
        <v>0</v>
      </c>
    </row>
    <row r="4524" spans="1:12" ht="15" customHeight="1" x14ac:dyDescent="0.3">
      <c r="A4524" s="23" t="s">
        <v>17815</v>
      </c>
      <c r="B4524" s="23" t="s">
        <v>75</v>
      </c>
      <c r="C4524" s="39">
        <v>2499</v>
      </c>
      <c r="D4524" s="24">
        <v>7.5</v>
      </c>
      <c r="E4524" s="24">
        <v>1.35</v>
      </c>
      <c r="F4524" s="23">
        <f>COUNTIFS(mdr_rate_cleaned!$A$2:$A$10,B4524,mdr_rate_cleaned!$B$2:$B$10,"&lt;"&amp;C4524,mdr_rate_cleaned!$F$2:$F$10,"&gt;="&amp;C4524)</f>
        <v>1</v>
      </c>
      <c r="G4524" s="40">
        <f>SUMIFS(mdr_rate_cleaned!$G$2:$G$10,mdr_rate_cleaned!$A$2:$A$10,B4524,mdr_rate_cleaned!$B$2:$B$10,"&lt;"&amp;C4524,mdr_rate_cleaned!$F$2:$F$10,"&gt;="&amp;C4524)</f>
        <v>3.0000000000000001E-3</v>
      </c>
      <c r="H4524" s="24">
        <f t="shared" si="350"/>
        <v>7.5</v>
      </c>
      <c r="I4524" s="23" t="str">
        <f t="shared" si="351"/>
        <v>Match</v>
      </c>
      <c r="J4524" s="23" t="str">
        <f t="shared" si="352"/>
        <v>Match</v>
      </c>
      <c r="K4524" s="24">
        <f t="shared" si="353"/>
        <v>1.35</v>
      </c>
      <c r="L4524" s="24">
        <f t="shared" si="354"/>
        <v>0</v>
      </c>
    </row>
    <row r="4525" spans="1:12" ht="15" customHeight="1" x14ac:dyDescent="0.3">
      <c r="A4525" s="23" t="s">
        <v>17816</v>
      </c>
      <c r="B4525" s="23" t="s">
        <v>79</v>
      </c>
      <c r="C4525" s="39">
        <v>999</v>
      </c>
      <c r="D4525" s="24">
        <v>17.98</v>
      </c>
      <c r="E4525" s="24">
        <v>3.24</v>
      </c>
      <c r="F4525" s="23">
        <f>COUNTIFS(mdr_rate_cleaned!$A$2:$A$10,B4525,mdr_rate_cleaned!$B$2:$B$10,"&lt;"&amp;C4525,mdr_rate_cleaned!$F$2:$F$10,"&gt;="&amp;C4525)</f>
        <v>1</v>
      </c>
      <c r="G4525" s="40">
        <f>SUMIFS(mdr_rate_cleaned!$G$2:$G$10,mdr_rate_cleaned!$A$2:$A$10,B4525,mdr_rate_cleaned!$B$2:$B$10,"&lt;"&amp;C4525,mdr_rate_cleaned!$F$2:$F$10,"&gt;="&amp;C4525)</f>
        <v>1.8000000000000002E-2</v>
      </c>
      <c r="H4525" s="24">
        <f t="shared" si="350"/>
        <v>17.98</v>
      </c>
      <c r="I4525" s="23" t="str">
        <f t="shared" si="351"/>
        <v>Match</v>
      </c>
      <c r="J4525" s="23" t="str">
        <f t="shared" si="352"/>
        <v>Match</v>
      </c>
      <c r="K4525" s="24">
        <f t="shared" si="353"/>
        <v>3.24</v>
      </c>
      <c r="L4525" s="24">
        <f t="shared" si="354"/>
        <v>0</v>
      </c>
    </row>
    <row r="4526" spans="1:12" ht="15" customHeight="1" x14ac:dyDescent="0.3">
      <c r="A4526" s="23" t="s">
        <v>17818</v>
      </c>
      <c r="B4526" s="23" t="s">
        <v>75</v>
      </c>
      <c r="C4526" s="39">
        <v>8498</v>
      </c>
      <c r="D4526" s="24">
        <v>25.49</v>
      </c>
      <c r="E4526" s="24">
        <v>4.59</v>
      </c>
      <c r="F4526" s="23">
        <f>COUNTIFS(mdr_rate_cleaned!$A$2:$A$10,B4526,mdr_rate_cleaned!$B$2:$B$10,"&lt;"&amp;C4526,mdr_rate_cleaned!$F$2:$F$10,"&gt;="&amp;C4526)</f>
        <v>1</v>
      </c>
      <c r="G4526" s="40">
        <f>SUMIFS(mdr_rate_cleaned!$G$2:$G$10,mdr_rate_cleaned!$A$2:$A$10,B4526,mdr_rate_cleaned!$B$2:$B$10,"&lt;"&amp;C4526,mdr_rate_cleaned!$F$2:$F$10,"&gt;="&amp;C4526)</f>
        <v>3.0000000000000001E-3</v>
      </c>
      <c r="H4526" s="24">
        <f t="shared" si="350"/>
        <v>25.49</v>
      </c>
      <c r="I4526" s="23" t="str">
        <f t="shared" si="351"/>
        <v>Match</v>
      </c>
      <c r="J4526" s="23" t="str">
        <f t="shared" si="352"/>
        <v>Match</v>
      </c>
      <c r="K4526" s="24">
        <f t="shared" si="353"/>
        <v>4.59</v>
      </c>
      <c r="L4526" s="24">
        <f t="shared" si="354"/>
        <v>0</v>
      </c>
    </row>
    <row r="4527" spans="1:12" ht="15" customHeight="1" x14ac:dyDescent="0.3">
      <c r="A4527" s="23" t="s">
        <v>17819</v>
      </c>
      <c r="B4527" s="23" t="s">
        <v>75</v>
      </c>
      <c r="C4527" s="39">
        <v>4998</v>
      </c>
      <c r="D4527" s="24">
        <v>14.99</v>
      </c>
      <c r="E4527" s="24">
        <v>2.7</v>
      </c>
      <c r="F4527" s="23">
        <f>COUNTIFS(mdr_rate_cleaned!$A$2:$A$10,B4527,mdr_rate_cleaned!$B$2:$B$10,"&lt;"&amp;C4527,mdr_rate_cleaned!$F$2:$F$10,"&gt;="&amp;C4527)</f>
        <v>1</v>
      </c>
      <c r="G4527" s="40">
        <f>SUMIFS(mdr_rate_cleaned!$G$2:$G$10,mdr_rate_cleaned!$A$2:$A$10,B4527,mdr_rate_cleaned!$B$2:$B$10,"&lt;"&amp;C4527,mdr_rate_cleaned!$F$2:$F$10,"&gt;="&amp;C4527)</f>
        <v>3.0000000000000001E-3</v>
      </c>
      <c r="H4527" s="24">
        <f t="shared" si="350"/>
        <v>14.99</v>
      </c>
      <c r="I4527" s="23" t="str">
        <f t="shared" si="351"/>
        <v>Match</v>
      </c>
      <c r="J4527" s="23" t="str">
        <f t="shared" si="352"/>
        <v>Match</v>
      </c>
      <c r="K4527" s="24">
        <f t="shared" si="353"/>
        <v>2.7</v>
      </c>
      <c r="L4527" s="24">
        <f t="shared" si="354"/>
        <v>0</v>
      </c>
    </row>
    <row r="4528" spans="1:12" ht="15" customHeight="1" x14ac:dyDescent="0.3">
      <c r="A4528" s="23" t="s">
        <v>17820</v>
      </c>
      <c r="B4528" s="23" t="s">
        <v>75</v>
      </c>
      <c r="C4528" s="39">
        <v>3798</v>
      </c>
      <c r="D4528" s="24">
        <v>11.39</v>
      </c>
      <c r="E4528" s="24">
        <v>2.0499999999999998</v>
      </c>
      <c r="F4528" s="23">
        <f>COUNTIFS(mdr_rate_cleaned!$A$2:$A$10,B4528,mdr_rate_cleaned!$B$2:$B$10,"&lt;"&amp;C4528,mdr_rate_cleaned!$F$2:$F$10,"&gt;="&amp;C4528)</f>
        <v>1</v>
      </c>
      <c r="G4528" s="40">
        <f>SUMIFS(mdr_rate_cleaned!$G$2:$G$10,mdr_rate_cleaned!$A$2:$A$10,B4528,mdr_rate_cleaned!$B$2:$B$10,"&lt;"&amp;C4528,mdr_rate_cleaned!$F$2:$F$10,"&gt;="&amp;C4528)</f>
        <v>3.0000000000000001E-3</v>
      </c>
      <c r="H4528" s="24">
        <f t="shared" si="350"/>
        <v>11.39</v>
      </c>
      <c r="I4528" s="23" t="str">
        <f t="shared" si="351"/>
        <v>Match</v>
      </c>
      <c r="J4528" s="23" t="str">
        <f t="shared" si="352"/>
        <v>Match</v>
      </c>
      <c r="K4528" s="24">
        <f t="shared" si="353"/>
        <v>2.0499999999999998</v>
      </c>
      <c r="L4528" s="24">
        <f t="shared" si="354"/>
        <v>0</v>
      </c>
    </row>
    <row r="4529" spans="1:12" ht="15" customHeight="1" x14ac:dyDescent="0.3">
      <c r="A4529" s="23" t="s">
        <v>17821</v>
      </c>
      <c r="B4529" s="23" t="s">
        <v>79</v>
      </c>
      <c r="C4529" s="39">
        <v>599</v>
      </c>
      <c r="D4529" s="24">
        <v>10.78</v>
      </c>
      <c r="E4529" s="24">
        <v>1.94</v>
      </c>
      <c r="F4529" s="23">
        <f>COUNTIFS(mdr_rate_cleaned!$A$2:$A$10,B4529,mdr_rate_cleaned!$B$2:$B$10,"&lt;"&amp;C4529,mdr_rate_cleaned!$F$2:$F$10,"&gt;="&amp;C4529)</f>
        <v>1</v>
      </c>
      <c r="G4529" s="40">
        <f>SUMIFS(mdr_rate_cleaned!$G$2:$G$10,mdr_rate_cleaned!$A$2:$A$10,B4529,mdr_rate_cleaned!$B$2:$B$10,"&lt;"&amp;C4529,mdr_rate_cleaned!$F$2:$F$10,"&gt;="&amp;C4529)</f>
        <v>1.8000000000000002E-2</v>
      </c>
      <c r="H4529" s="24">
        <f t="shared" si="350"/>
        <v>10.78</v>
      </c>
      <c r="I4529" s="23" t="str">
        <f t="shared" si="351"/>
        <v>Match</v>
      </c>
      <c r="J4529" s="23" t="str">
        <f t="shared" si="352"/>
        <v>Match</v>
      </c>
      <c r="K4529" s="24">
        <f t="shared" si="353"/>
        <v>1.94</v>
      </c>
      <c r="L4529" s="24">
        <f t="shared" si="354"/>
        <v>0</v>
      </c>
    </row>
    <row r="4530" spans="1:12" ht="15" customHeight="1" x14ac:dyDescent="0.3">
      <c r="A4530" s="23" t="s">
        <v>17822</v>
      </c>
      <c r="B4530" s="23" t="s">
        <v>79</v>
      </c>
      <c r="C4530" s="39">
        <v>4999</v>
      </c>
      <c r="D4530" s="24">
        <v>79.98</v>
      </c>
      <c r="E4530" s="24">
        <v>14.4</v>
      </c>
      <c r="F4530" s="23">
        <f>COUNTIFS(mdr_rate_cleaned!$A$2:$A$10,B4530,mdr_rate_cleaned!$B$2:$B$10,"&lt;"&amp;C4530,mdr_rate_cleaned!$F$2:$F$10,"&gt;="&amp;C4530)</f>
        <v>1</v>
      </c>
      <c r="G4530" s="40">
        <f>SUMIFS(mdr_rate_cleaned!$G$2:$G$10,mdr_rate_cleaned!$A$2:$A$10,B4530,mdr_rate_cleaned!$B$2:$B$10,"&lt;"&amp;C4530,mdr_rate_cleaned!$F$2:$F$10,"&gt;="&amp;C4530)</f>
        <v>1.6E-2</v>
      </c>
      <c r="H4530" s="24">
        <f t="shared" si="350"/>
        <v>79.98</v>
      </c>
      <c r="I4530" s="23" t="str">
        <f t="shared" si="351"/>
        <v>Match</v>
      </c>
      <c r="J4530" s="23" t="str">
        <f t="shared" si="352"/>
        <v>Match</v>
      </c>
      <c r="K4530" s="24">
        <f t="shared" si="353"/>
        <v>14.4</v>
      </c>
      <c r="L4530" s="24">
        <f t="shared" si="354"/>
        <v>0</v>
      </c>
    </row>
    <row r="4531" spans="1:12" ht="15" customHeight="1" x14ac:dyDescent="0.3">
      <c r="A4531" s="23" t="s">
        <v>17823</v>
      </c>
      <c r="B4531" s="23" t="s">
        <v>75</v>
      </c>
      <c r="C4531" s="39">
        <v>8998</v>
      </c>
      <c r="D4531" s="24">
        <v>26.99</v>
      </c>
      <c r="E4531" s="24">
        <v>4.8600000000000003</v>
      </c>
      <c r="F4531" s="23">
        <f>COUNTIFS(mdr_rate_cleaned!$A$2:$A$10,B4531,mdr_rate_cleaned!$B$2:$B$10,"&lt;"&amp;C4531,mdr_rate_cleaned!$F$2:$F$10,"&gt;="&amp;C4531)</f>
        <v>1</v>
      </c>
      <c r="G4531" s="40">
        <f>SUMIFS(mdr_rate_cleaned!$G$2:$G$10,mdr_rate_cleaned!$A$2:$A$10,B4531,mdr_rate_cleaned!$B$2:$B$10,"&lt;"&amp;C4531,mdr_rate_cleaned!$F$2:$F$10,"&gt;="&amp;C4531)</f>
        <v>3.0000000000000001E-3</v>
      </c>
      <c r="H4531" s="24">
        <f t="shared" si="350"/>
        <v>26.99</v>
      </c>
      <c r="I4531" s="23" t="str">
        <f t="shared" si="351"/>
        <v>Match</v>
      </c>
      <c r="J4531" s="23" t="str">
        <f t="shared" si="352"/>
        <v>Match</v>
      </c>
      <c r="K4531" s="24">
        <f t="shared" si="353"/>
        <v>4.8600000000000003</v>
      </c>
      <c r="L4531" s="24">
        <f t="shared" si="354"/>
        <v>0</v>
      </c>
    </row>
    <row r="4532" spans="1:12" ht="15" customHeight="1" x14ac:dyDescent="0.3">
      <c r="A4532" s="23" t="s">
        <v>17824</v>
      </c>
      <c r="B4532" s="23" t="s">
        <v>81</v>
      </c>
      <c r="C4532" s="39">
        <v>11097</v>
      </c>
      <c r="D4532" s="24">
        <v>99.87</v>
      </c>
      <c r="E4532" s="24">
        <v>17.98</v>
      </c>
      <c r="F4532" s="23">
        <f>COUNTIFS(mdr_rate_cleaned!$A$2:$A$10,B4532,mdr_rate_cleaned!$B$2:$B$10,"&lt;"&amp;C4532,mdr_rate_cleaned!$F$2:$F$10,"&gt;="&amp;C4532)</f>
        <v>1</v>
      </c>
      <c r="G4532" s="40">
        <f>SUMIFS(mdr_rate_cleaned!$G$2:$G$10,mdr_rate_cleaned!$A$2:$A$10,B4532,mdr_rate_cleaned!$B$2:$B$10,"&lt;"&amp;C4532,mdr_rate_cleaned!$F$2:$F$10,"&gt;="&amp;C4532)</f>
        <v>9.0000000000000011E-3</v>
      </c>
      <c r="H4532" s="24">
        <f t="shared" si="350"/>
        <v>99.87</v>
      </c>
      <c r="I4532" s="23" t="str">
        <f t="shared" si="351"/>
        <v>Match</v>
      </c>
      <c r="J4532" s="23" t="str">
        <f t="shared" si="352"/>
        <v>Match</v>
      </c>
      <c r="K4532" s="24">
        <f t="shared" si="353"/>
        <v>17.98</v>
      </c>
      <c r="L4532" s="24">
        <f t="shared" si="354"/>
        <v>0</v>
      </c>
    </row>
    <row r="4533" spans="1:12" ht="15" customHeight="1" x14ac:dyDescent="0.3">
      <c r="A4533" s="23" t="s">
        <v>17825</v>
      </c>
      <c r="B4533" s="23" t="s">
        <v>75</v>
      </c>
      <c r="C4533" s="39">
        <v>6797</v>
      </c>
      <c r="D4533" s="24">
        <v>20.39</v>
      </c>
      <c r="E4533" s="24">
        <v>3.67</v>
      </c>
      <c r="F4533" s="23">
        <f>COUNTIFS(mdr_rate_cleaned!$A$2:$A$10,B4533,mdr_rate_cleaned!$B$2:$B$10,"&lt;"&amp;C4533,mdr_rate_cleaned!$F$2:$F$10,"&gt;="&amp;C4533)</f>
        <v>1</v>
      </c>
      <c r="G4533" s="40">
        <f>SUMIFS(mdr_rate_cleaned!$G$2:$G$10,mdr_rate_cleaned!$A$2:$A$10,B4533,mdr_rate_cleaned!$B$2:$B$10,"&lt;"&amp;C4533,mdr_rate_cleaned!$F$2:$F$10,"&gt;="&amp;C4533)</f>
        <v>3.0000000000000001E-3</v>
      </c>
      <c r="H4533" s="24">
        <f t="shared" si="350"/>
        <v>20.39</v>
      </c>
      <c r="I4533" s="23" t="str">
        <f t="shared" si="351"/>
        <v>Match</v>
      </c>
      <c r="J4533" s="23" t="str">
        <f t="shared" si="352"/>
        <v>Match</v>
      </c>
      <c r="K4533" s="24">
        <f t="shared" si="353"/>
        <v>3.67</v>
      </c>
      <c r="L4533" s="24">
        <f t="shared" si="354"/>
        <v>0</v>
      </c>
    </row>
    <row r="4534" spans="1:12" ht="15" customHeight="1" x14ac:dyDescent="0.3">
      <c r="A4534" s="23" t="s">
        <v>17827</v>
      </c>
      <c r="B4534" s="23" t="s">
        <v>75</v>
      </c>
      <c r="C4534" s="39">
        <v>299</v>
      </c>
      <c r="D4534" s="24">
        <v>0</v>
      </c>
      <c r="E4534" s="24">
        <v>0</v>
      </c>
      <c r="F4534" s="23">
        <f>COUNTIFS(mdr_rate_cleaned!$A$2:$A$10,B4534,mdr_rate_cleaned!$B$2:$B$10,"&lt;"&amp;C4534,mdr_rate_cleaned!$F$2:$F$10,"&gt;="&amp;C4534)</f>
        <v>1</v>
      </c>
      <c r="G4534" s="40">
        <f>SUMIFS(mdr_rate_cleaned!$G$2:$G$10,mdr_rate_cleaned!$A$2:$A$10,B4534,mdr_rate_cleaned!$B$2:$B$10,"&lt;"&amp;C4534,mdr_rate_cleaned!$F$2:$F$10,"&gt;="&amp;C4534)</f>
        <v>0</v>
      </c>
      <c r="H4534" s="24">
        <f t="shared" si="350"/>
        <v>0</v>
      </c>
      <c r="I4534" s="23" t="str">
        <f t="shared" si="351"/>
        <v>Match</v>
      </c>
      <c r="J4534" s="23" t="str">
        <f t="shared" si="352"/>
        <v>Match</v>
      </c>
      <c r="K4534" s="24">
        <f t="shared" si="353"/>
        <v>0</v>
      </c>
      <c r="L4534" s="24">
        <f t="shared" si="354"/>
        <v>0</v>
      </c>
    </row>
    <row r="4535" spans="1:12" ht="15" customHeight="1" x14ac:dyDescent="0.3">
      <c r="A4535" s="23" t="s">
        <v>17828</v>
      </c>
      <c r="B4535" s="23" t="s">
        <v>75</v>
      </c>
      <c r="C4535" s="39">
        <v>10998</v>
      </c>
      <c r="D4535" s="24">
        <v>32.99</v>
      </c>
      <c r="E4535" s="24">
        <v>5.94</v>
      </c>
      <c r="F4535" s="23">
        <f>COUNTIFS(mdr_rate_cleaned!$A$2:$A$10,B4535,mdr_rate_cleaned!$B$2:$B$10,"&lt;"&amp;C4535,mdr_rate_cleaned!$F$2:$F$10,"&gt;="&amp;C4535)</f>
        <v>1</v>
      </c>
      <c r="G4535" s="40">
        <f>SUMIFS(mdr_rate_cleaned!$G$2:$G$10,mdr_rate_cleaned!$A$2:$A$10,B4535,mdr_rate_cleaned!$B$2:$B$10,"&lt;"&amp;C4535,mdr_rate_cleaned!$F$2:$F$10,"&gt;="&amp;C4535)</f>
        <v>3.0000000000000001E-3</v>
      </c>
      <c r="H4535" s="24">
        <f t="shared" si="350"/>
        <v>32.99</v>
      </c>
      <c r="I4535" s="23" t="str">
        <f t="shared" si="351"/>
        <v>Match</v>
      </c>
      <c r="J4535" s="23" t="str">
        <f t="shared" si="352"/>
        <v>Match</v>
      </c>
      <c r="K4535" s="24">
        <f t="shared" si="353"/>
        <v>5.94</v>
      </c>
      <c r="L4535" s="24">
        <f t="shared" si="354"/>
        <v>0</v>
      </c>
    </row>
    <row r="4536" spans="1:12" ht="15" customHeight="1" x14ac:dyDescent="0.3">
      <c r="A4536" s="23" t="s">
        <v>17829</v>
      </c>
      <c r="B4536" s="23" t="s">
        <v>77</v>
      </c>
      <c r="C4536" s="39">
        <v>14497</v>
      </c>
      <c r="D4536" s="24">
        <v>246.45</v>
      </c>
      <c r="E4536" s="24">
        <v>44.36</v>
      </c>
      <c r="F4536" s="23">
        <f>COUNTIFS(mdr_rate_cleaned!$A$2:$A$10,B4536,mdr_rate_cleaned!$B$2:$B$10,"&lt;"&amp;C4536,mdr_rate_cleaned!$F$2:$F$10,"&gt;="&amp;C4536)</f>
        <v>1</v>
      </c>
      <c r="G4536" s="40">
        <f>SUMIFS(mdr_rate_cleaned!$G$2:$G$10,mdr_rate_cleaned!$A$2:$A$10,B4536,mdr_rate_cleaned!$B$2:$B$10,"&lt;"&amp;C4536,mdr_rate_cleaned!$F$2:$F$10,"&gt;="&amp;C4536)</f>
        <v>1.7000000000000001E-2</v>
      </c>
      <c r="H4536" s="24">
        <f t="shared" si="350"/>
        <v>246.45</v>
      </c>
      <c r="I4536" s="23" t="str">
        <f t="shared" si="351"/>
        <v>Match</v>
      </c>
      <c r="J4536" s="23" t="str">
        <f t="shared" si="352"/>
        <v>Match</v>
      </c>
      <c r="K4536" s="24">
        <f t="shared" si="353"/>
        <v>44.36</v>
      </c>
      <c r="L4536" s="24">
        <f t="shared" si="354"/>
        <v>0</v>
      </c>
    </row>
    <row r="4537" spans="1:12" ht="15" customHeight="1" x14ac:dyDescent="0.3">
      <c r="A4537" s="23" t="s">
        <v>17830</v>
      </c>
      <c r="B4537" s="23" t="s">
        <v>75</v>
      </c>
      <c r="C4537" s="39">
        <v>11597</v>
      </c>
      <c r="D4537" s="24">
        <v>34.79</v>
      </c>
      <c r="E4537" s="24">
        <v>6.26</v>
      </c>
      <c r="F4537" s="23">
        <f>COUNTIFS(mdr_rate_cleaned!$A$2:$A$10,B4537,mdr_rate_cleaned!$B$2:$B$10,"&lt;"&amp;C4537,mdr_rate_cleaned!$F$2:$F$10,"&gt;="&amp;C4537)</f>
        <v>1</v>
      </c>
      <c r="G4537" s="40">
        <f>SUMIFS(mdr_rate_cleaned!$G$2:$G$10,mdr_rate_cleaned!$A$2:$A$10,B4537,mdr_rate_cleaned!$B$2:$B$10,"&lt;"&amp;C4537,mdr_rate_cleaned!$F$2:$F$10,"&gt;="&amp;C4537)</f>
        <v>3.0000000000000001E-3</v>
      </c>
      <c r="H4537" s="24">
        <f t="shared" si="350"/>
        <v>34.79</v>
      </c>
      <c r="I4537" s="23" t="str">
        <f t="shared" si="351"/>
        <v>Match</v>
      </c>
      <c r="J4537" s="23" t="str">
        <f t="shared" si="352"/>
        <v>Match</v>
      </c>
      <c r="K4537" s="24">
        <f t="shared" si="353"/>
        <v>6.26</v>
      </c>
      <c r="L4537" s="24">
        <f t="shared" si="354"/>
        <v>0</v>
      </c>
    </row>
    <row r="4538" spans="1:12" ht="15" customHeight="1" x14ac:dyDescent="0.3">
      <c r="A4538" s="23" t="s">
        <v>17831</v>
      </c>
      <c r="B4538" s="23" t="s">
        <v>79</v>
      </c>
      <c r="C4538" s="39">
        <v>1799</v>
      </c>
      <c r="D4538" s="24">
        <v>32.380000000000003</v>
      </c>
      <c r="E4538" s="24">
        <v>5.83</v>
      </c>
      <c r="F4538" s="23">
        <f>COUNTIFS(mdr_rate_cleaned!$A$2:$A$10,B4538,mdr_rate_cleaned!$B$2:$B$10,"&lt;"&amp;C4538,mdr_rate_cleaned!$F$2:$F$10,"&gt;="&amp;C4538)</f>
        <v>1</v>
      </c>
      <c r="G4538" s="40">
        <f>SUMIFS(mdr_rate_cleaned!$G$2:$G$10,mdr_rate_cleaned!$A$2:$A$10,B4538,mdr_rate_cleaned!$B$2:$B$10,"&lt;"&amp;C4538,mdr_rate_cleaned!$F$2:$F$10,"&gt;="&amp;C4538)</f>
        <v>1.8000000000000002E-2</v>
      </c>
      <c r="H4538" s="24">
        <f t="shared" si="350"/>
        <v>32.380000000000003</v>
      </c>
      <c r="I4538" s="23" t="str">
        <f t="shared" si="351"/>
        <v>Match</v>
      </c>
      <c r="J4538" s="23" t="str">
        <f t="shared" si="352"/>
        <v>Match</v>
      </c>
      <c r="K4538" s="24">
        <f t="shared" si="353"/>
        <v>5.83</v>
      </c>
      <c r="L4538" s="24">
        <f t="shared" si="354"/>
        <v>0</v>
      </c>
    </row>
    <row r="4539" spans="1:12" ht="15" customHeight="1" x14ac:dyDescent="0.3">
      <c r="A4539" s="23" t="s">
        <v>17832</v>
      </c>
      <c r="B4539" s="23" t="s">
        <v>81</v>
      </c>
      <c r="C4539" s="39">
        <v>1098</v>
      </c>
      <c r="D4539" s="24">
        <v>16.47</v>
      </c>
      <c r="E4539" s="24">
        <v>2.96</v>
      </c>
      <c r="F4539" s="23">
        <f>COUNTIFS(mdr_rate_cleaned!$A$2:$A$10,B4539,mdr_rate_cleaned!$B$2:$B$10,"&lt;"&amp;C4539,mdr_rate_cleaned!$F$2:$F$10,"&gt;="&amp;C4539)</f>
        <v>1</v>
      </c>
      <c r="G4539" s="40">
        <f>SUMIFS(mdr_rate_cleaned!$G$2:$G$10,mdr_rate_cleaned!$A$2:$A$10,B4539,mdr_rate_cleaned!$B$2:$B$10,"&lt;"&amp;C4539,mdr_rate_cleaned!$F$2:$F$10,"&gt;="&amp;C4539)</f>
        <v>1.4999999999999999E-2</v>
      </c>
      <c r="H4539" s="24">
        <f t="shared" si="350"/>
        <v>16.47</v>
      </c>
      <c r="I4539" s="23" t="str">
        <f t="shared" si="351"/>
        <v>Match</v>
      </c>
      <c r="J4539" s="23" t="str">
        <f t="shared" si="352"/>
        <v>Match</v>
      </c>
      <c r="K4539" s="24">
        <f t="shared" si="353"/>
        <v>2.96</v>
      </c>
      <c r="L4539" s="24">
        <f t="shared" si="354"/>
        <v>0</v>
      </c>
    </row>
    <row r="4540" spans="1:12" ht="15" customHeight="1" x14ac:dyDescent="0.3">
      <c r="A4540" s="23" t="s">
        <v>17833</v>
      </c>
      <c r="B4540" s="23" t="s">
        <v>75</v>
      </c>
      <c r="C4540" s="39">
        <v>4597</v>
      </c>
      <c r="D4540" s="24">
        <v>13.79</v>
      </c>
      <c r="E4540" s="24">
        <v>2.48</v>
      </c>
      <c r="F4540" s="23">
        <f>COUNTIFS(mdr_rate_cleaned!$A$2:$A$10,B4540,mdr_rate_cleaned!$B$2:$B$10,"&lt;"&amp;C4540,mdr_rate_cleaned!$F$2:$F$10,"&gt;="&amp;C4540)</f>
        <v>1</v>
      </c>
      <c r="G4540" s="40">
        <f>SUMIFS(mdr_rate_cleaned!$G$2:$G$10,mdr_rate_cleaned!$A$2:$A$10,B4540,mdr_rate_cleaned!$B$2:$B$10,"&lt;"&amp;C4540,mdr_rate_cleaned!$F$2:$F$10,"&gt;="&amp;C4540)</f>
        <v>3.0000000000000001E-3</v>
      </c>
      <c r="H4540" s="24">
        <f t="shared" si="350"/>
        <v>13.79</v>
      </c>
      <c r="I4540" s="23" t="str">
        <f t="shared" si="351"/>
        <v>Match</v>
      </c>
      <c r="J4540" s="23" t="str">
        <f t="shared" si="352"/>
        <v>Match</v>
      </c>
      <c r="K4540" s="24">
        <f t="shared" si="353"/>
        <v>2.48</v>
      </c>
      <c r="L4540" s="24">
        <f t="shared" si="354"/>
        <v>0</v>
      </c>
    </row>
    <row r="4541" spans="1:12" ht="15" customHeight="1" x14ac:dyDescent="0.3">
      <c r="A4541" s="23" t="s">
        <v>17834</v>
      </c>
      <c r="B4541" s="23" t="s">
        <v>81</v>
      </c>
      <c r="C4541" s="39">
        <v>5297</v>
      </c>
      <c r="D4541" s="24">
        <v>63.56</v>
      </c>
      <c r="E4541" s="24">
        <v>11.44</v>
      </c>
      <c r="F4541" s="23">
        <f>COUNTIFS(mdr_rate_cleaned!$A$2:$A$10,B4541,mdr_rate_cleaned!$B$2:$B$10,"&lt;"&amp;C4541,mdr_rate_cleaned!$F$2:$F$10,"&gt;="&amp;C4541)</f>
        <v>1</v>
      </c>
      <c r="G4541" s="40">
        <f>SUMIFS(mdr_rate_cleaned!$G$2:$G$10,mdr_rate_cleaned!$A$2:$A$10,B4541,mdr_rate_cleaned!$B$2:$B$10,"&lt;"&amp;C4541,mdr_rate_cleaned!$F$2:$F$10,"&gt;="&amp;C4541)</f>
        <v>1.2E-2</v>
      </c>
      <c r="H4541" s="24">
        <f t="shared" si="350"/>
        <v>63.56</v>
      </c>
      <c r="I4541" s="23" t="str">
        <f t="shared" si="351"/>
        <v>Match</v>
      </c>
      <c r="J4541" s="23" t="str">
        <f t="shared" si="352"/>
        <v>Match</v>
      </c>
      <c r="K4541" s="24">
        <f t="shared" si="353"/>
        <v>11.44</v>
      </c>
      <c r="L4541" s="24">
        <f t="shared" si="354"/>
        <v>0</v>
      </c>
    </row>
    <row r="4542" spans="1:12" ht="15" customHeight="1" x14ac:dyDescent="0.3">
      <c r="A4542" s="23" t="s">
        <v>17836</v>
      </c>
      <c r="B4542" s="23" t="s">
        <v>75</v>
      </c>
      <c r="C4542" s="39">
        <v>999</v>
      </c>
      <c r="D4542" s="24">
        <v>0</v>
      </c>
      <c r="E4542" s="24">
        <v>0</v>
      </c>
      <c r="F4542" s="23">
        <f>COUNTIFS(mdr_rate_cleaned!$A$2:$A$10,B4542,mdr_rate_cleaned!$B$2:$B$10,"&lt;"&amp;C4542,mdr_rate_cleaned!$F$2:$F$10,"&gt;="&amp;C4542)</f>
        <v>1</v>
      </c>
      <c r="G4542" s="40">
        <f>SUMIFS(mdr_rate_cleaned!$G$2:$G$10,mdr_rate_cleaned!$A$2:$A$10,B4542,mdr_rate_cleaned!$B$2:$B$10,"&lt;"&amp;C4542,mdr_rate_cleaned!$F$2:$F$10,"&gt;="&amp;C4542)</f>
        <v>0</v>
      </c>
      <c r="H4542" s="24">
        <f t="shared" si="350"/>
        <v>0</v>
      </c>
      <c r="I4542" s="23" t="str">
        <f t="shared" si="351"/>
        <v>Match</v>
      </c>
      <c r="J4542" s="23" t="str">
        <f t="shared" si="352"/>
        <v>Match</v>
      </c>
      <c r="K4542" s="24">
        <f t="shared" si="353"/>
        <v>0</v>
      </c>
      <c r="L4542" s="24">
        <f t="shared" si="354"/>
        <v>0</v>
      </c>
    </row>
    <row r="4543" spans="1:12" ht="15" customHeight="1" x14ac:dyDescent="0.3">
      <c r="A4543" s="23" t="s">
        <v>17838</v>
      </c>
      <c r="B4543" s="23" t="s">
        <v>79</v>
      </c>
      <c r="C4543" s="39">
        <v>3499</v>
      </c>
      <c r="D4543" s="24">
        <v>55.98</v>
      </c>
      <c r="E4543" s="24">
        <v>10.08</v>
      </c>
      <c r="F4543" s="23">
        <f>COUNTIFS(mdr_rate_cleaned!$A$2:$A$10,B4543,mdr_rate_cleaned!$B$2:$B$10,"&lt;"&amp;C4543,mdr_rate_cleaned!$F$2:$F$10,"&gt;="&amp;C4543)</f>
        <v>1</v>
      </c>
      <c r="G4543" s="40">
        <f>SUMIFS(mdr_rate_cleaned!$G$2:$G$10,mdr_rate_cleaned!$A$2:$A$10,B4543,mdr_rate_cleaned!$B$2:$B$10,"&lt;"&amp;C4543,mdr_rate_cleaned!$F$2:$F$10,"&gt;="&amp;C4543)</f>
        <v>1.6E-2</v>
      </c>
      <c r="H4543" s="24">
        <f t="shared" si="350"/>
        <v>55.98</v>
      </c>
      <c r="I4543" s="23" t="str">
        <f t="shared" si="351"/>
        <v>Match</v>
      </c>
      <c r="J4543" s="23" t="str">
        <f t="shared" si="352"/>
        <v>Match</v>
      </c>
      <c r="K4543" s="24">
        <f t="shared" si="353"/>
        <v>10.08</v>
      </c>
      <c r="L4543" s="24">
        <f t="shared" si="354"/>
        <v>0</v>
      </c>
    </row>
    <row r="4544" spans="1:12" ht="15" customHeight="1" x14ac:dyDescent="0.3">
      <c r="A4544" s="23" t="s">
        <v>17840</v>
      </c>
      <c r="B4544" s="23" t="s">
        <v>75</v>
      </c>
      <c r="C4544" s="39">
        <v>7999</v>
      </c>
      <c r="D4544" s="24">
        <v>24</v>
      </c>
      <c r="E4544" s="24">
        <v>4.32</v>
      </c>
      <c r="F4544" s="23">
        <f>COUNTIFS(mdr_rate_cleaned!$A$2:$A$10,B4544,mdr_rate_cleaned!$B$2:$B$10,"&lt;"&amp;C4544,mdr_rate_cleaned!$F$2:$F$10,"&gt;="&amp;C4544)</f>
        <v>1</v>
      </c>
      <c r="G4544" s="40">
        <f>SUMIFS(mdr_rate_cleaned!$G$2:$G$10,mdr_rate_cleaned!$A$2:$A$10,B4544,mdr_rate_cleaned!$B$2:$B$10,"&lt;"&amp;C4544,mdr_rate_cleaned!$F$2:$F$10,"&gt;="&amp;C4544)</f>
        <v>3.0000000000000001E-3</v>
      </c>
      <c r="H4544" s="24">
        <f t="shared" si="350"/>
        <v>24</v>
      </c>
      <c r="I4544" s="23" t="str">
        <f t="shared" si="351"/>
        <v>Match</v>
      </c>
      <c r="J4544" s="23" t="str">
        <f t="shared" si="352"/>
        <v>Match</v>
      </c>
      <c r="K4544" s="24">
        <f t="shared" si="353"/>
        <v>4.32</v>
      </c>
      <c r="L4544" s="24">
        <f t="shared" si="354"/>
        <v>0</v>
      </c>
    </row>
    <row r="4545" spans="1:12" ht="15" customHeight="1" x14ac:dyDescent="0.3">
      <c r="A4545" s="23" t="s">
        <v>17841</v>
      </c>
      <c r="B4545" s="23" t="s">
        <v>77</v>
      </c>
      <c r="C4545" s="39">
        <v>299</v>
      </c>
      <c r="D4545" s="24">
        <v>5.68</v>
      </c>
      <c r="E4545" s="24">
        <v>1.02</v>
      </c>
      <c r="F4545" s="23">
        <f>COUNTIFS(mdr_rate_cleaned!$A$2:$A$10,B4545,mdr_rate_cleaned!$B$2:$B$10,"&lt;"&amp;C4545,mdr_rate_cleaned!$F$2:$F$10,"&gt;="&amp;C4545)</f>
        <v>1</v>
      </c>
      <c r="G4545" s="40">
        <f>SUMIFS(mdr_rate_cleaned!$G$2:$G$10,mdr_rate_cleaned!$A$2:$A$10,B4545,mdr_rate_cleaned!$B$2:$B$10,"&lt;"&amp;C4545,mdr_rate_cleaned!$F$2:$F$10,"&gt;="&amp;C4545)</f>
        <v>1.9E-2</v>
      </c>
      <c r="H4545" s="24">
        <f t="shared" si="350"/>
        <v>5.68</v>
      </c>
      <c r="I4545" s="23" t="str">
        <f t="shared" si="351"/>
        <v>Match</v>
      </c>
      <c r="J4545" s="23" t="str">
        <f t="shared" si="352"/>
        <v>Match</v>
      </c>
      <c r="K4545" s="24">
        <f t="shared" si="353"/>
        <v>1.02</v>
      </c>
      <c r="L4545" s="24">
        <f t="shared" si="354"/>
        <v>0</v>
      </c>
    </row>
    <row r="4546" spans="1:12" ht="15" customHeight="1" x14ac:dyDescent="0.3">
      <c r="A4546" s="23" t="s">
        <v>17843</v>
      </c>
      <c r="B4546" s="23" t="s">
        <v>75</v>
      </c>
      <c r="C4546" s="39">
        <v>1799</v>
      </c>
      <c r="D4546" s="24">
        <v>0</v>
      </c>
      <c r="E4546" s="24">
        <v>0</v>
      </c>
      <c r="F4546" s="23">
        <f>COUNTIFS(mdr_rate_cleaned!$A$2:$A$10,B4546,mdr_rate_cleaned!$B$2:$B$10,"&lt;"&amp;C4546,mdr_rate_cleaned!$F$2:$F$10,"&gt;="&amp;C4546)</f>
        <v>1</v>
      </c>
      <c r="G4546" s="40">
        <f>SUMIFS(mdr_rate_cleaned!$G$2:$G$10,mdr_rate_cleaned!$A$2:$A$10,B4546,mdr_rate_cleaned!$B$2:$B$10,"&lt;"&amp;C4546,mdr_rate_cleaned!$F$2:$F$10,"&gt;="&amp;C4546)</f>
        <v>0</v>
      </c>
      <c r="H4546" s="24">
        <f t="shared" ref="H4546:H4609" si="355">ROUND(C4546*G4546,2)</f>
        <v>0</v>
      </c>
      <c r="I4546" s="23" t="str">
        <f t="shared" ref="I4546:I4609" si="356">IF(ROUND(D4546-H4546,2)=0,"Match","Differs")</f>
        <v>Match</v>
      </c>
      <c r="J4546" s="23" t="str">
        <f t="shared" ref="J4546:J4609" si="357">IF(ROUND(E4546-ROUND(D4546*0.18,2),2)=0,"Match","Differs")</f>
        <v>Match</v>
      </c>
      <c r="K4546" s="24">
        <f t="shared" ref="K4546:K4609" si="358">ROUND(H4546*0.18,2)</f>
        <v>0</v>
      </c>
      <c r="L4546" s="24">
        <f t="shared" ref="L4546:L4609" si="359">ROUND(D4546+E4546-H4546-K4546,2)</f>
        <v>0</v>
      </c>
    </row>
    <row r="4547" spans="1:12" ht="15" customHeight="1" x14ac:dyDescent="0.3">
      <c r="A4547" s="23" t="s">
        <v>17844</v>
      </c>
      <c r="B4547" s="23" t="s">
        <v>75</v>
      </c>
      <c r="C4547" s="39">
        <v>8498</v>
      </c>
      <c r="D4547" s="24">
        <v>25.49</v>
      </c>
      <c r="E4547" s="24">
        <v>4.59</v>
      </c>
      <c r="F4547" s="23">
        <f>COUNTIFS(mdr_rate_cleaned!$A$2:$A$10,B4547,mdr_rate_cleaned!$B$2:$B$10,"&lt;"&amp;C4547,mdr_rate_cleaned!$F$2:$F$10,"&gt;="&amp;C4547)</f>
        <v>1</v>
      </c>
      <c r="G4547" s="40">
        <f>SUMIFS(mdr_rate_cleaned!$G$2:$G$10,mdr_rate_cleaned!$A$2:$A$10,B4547,mdr_rate_cleaned!$B$2:$B$10,"&lt;"&amp;C4547,mdr_rate_cleaned!$F$2:$F$10,"&gt;="&amp;C4547)</f>
        <v>3.0000000000000001E-3</v>
      </c>
      <c r="H4547" s="24">
        <f t="shared" si="355"/>
        <v>25.49</v>
      </c>
      <c r="I4547" s="23" t="str">
        <f t="shared" si="356"/>
        <v>Match</v>
      </c>
      <c r="J4547" s="23" t="str">
        <f t="shared" si="357"/>
        <v>Match</v>
      </c>
      <c r="K4547" s="24">
        <f t="shared" si="358"/>
        <v>4.59</v>
      </c>
      <c r="L4547" s="24">
        <f t="shared" si="359"/>
        <v>0</v>
      </c>
    </row>
    <row r="4548" spans="1:12" ht="15" customHeight="1" x14ac:dyDescent="0.3">
      <c r="A4548" s="23" t="s">
        <v>17845</v>
      </c>
      <c r="B4548" s="23" t="s">
        <v>79</v>
      </c>
      <c r="C4548" s="39">
        <v>2798</v>
      </c>
      <c r="D4548" s="24">
        <v>44.77</v>
      </c>
      <c r="E4548" s="24">
        <v>8.06</v>
      </c>
      <c r="F4548" s="23">
        <f>COUNTIFS(mdr_rate_cleaned!$A$2:$A$10,B4548,mdr_rate_cleaned!$B$2:$B$10,"&lt;"&amp;C4548,mdr_rate_cleaned!$F$2:$F$10,"&gt;="&amp;C4548)</f>
        <v>1</v>
      </c>
      <c r="G4548" s="40">
        <f>SUMIFS(mdr_rate_cleaned!$G$2:$G$10,mdr_rate_cleaned!$A$2:$A$10,B4548,mdr_rate_cleaned!$B$2:$B$10,"&lt;"&amp;C4548,mdr_rate_cleaned!$F$2:$F$10,"&gt;="&amp;C4548)</f>
        <v>1.6E-2</v>
      </c>
      <c r="H4548" s="24">
        <f t="shared" si="355"/>
        <v>44.77</v>
      </c>
      <c r="I4548" s="23" t="str">
        <f t="shared" si="356"/>
        <v>Match</v>
      </c>
      <c r="J4548" s="23" t="str">
        <f t="shared" si="357"/>
        <v>Match</v>
      </c>
      <c r="K4548" s="24">
        <f t="shared" si="358"/>
        <v>8.06</v>
      </c>
      <c r="L4548" s="24">
        <f t="shared" si="359"/>
        <v>0</v>
      </c>
    </row>
    <row r="4549" spans="1:12" ht="15" customHeight="1" x14ac:dyDescent="0.3">
      <c r="A4549" s="23" t="s">
        <v>17846</v>
      </c>
      <c r="B4549" s="23" t="s">
        <v>75</v>
      </c>
      <c r="C4549" s="39">
        <v>1799</v>
      </c>
      <c r="D4549" s="24">
        <v>0</v>
      </c>
      <c r="E4549" s="24">
        <v>0</v>
      </c>
      <c r="F4549" s="23">
        <f>COUNTIFS(mdr_rate_cleaned!$A$2:$A$10,B4549,mdr_rate_cleaned!$B$2:$B$10,"&lt;"&amp;C4549,mdr_rate_cleaned!$F$2:$F$10,"&gt;="&amp;C4549)</f>
        <v>1</v>
      </c>
      <c r="G4549" s="40">
        <f>SUMIFS(mdr_rate_cleaned!$G$2:$G$10,mdr_rate_cleaned!$A$2:$A$10,B4549,mdr_rate_cleaned!$B$2:$B$10,"&lt;"&amp;C4549,mdr_rate_cleaned!$F$2:$F$10,"&gt;="&amp;C4549)</f>
        <v>0</v>
      </c>
      <c r="H4549" s="24">
        <f t="shared" si="355"/>
        <v>0</v>
      </c>
      <c r="I4549" s="23" t="str">
        <f t="shared" si="356"/>
        <v>Match</v>
      </c>
      <c r="J4549" s="23" t="str">
        <f t="shared" si="357"/>
        <v>Match</v>
      </c>
      <c r="K4549" s="24">
        <f t="shared" si="358"/>
        <v>0</v>
      </c>
      <c r="L4549" s="24">
        <f t="shared" si="359"/>
        <v>0</v>
      </c>
    </row>
    <row r="4550" spans="1:12" ht="15" customHeight="1" x14ac:dyDescent="0.3">
      <c r="A4550" s="23" t="s">
        <v>17848</v>
      </c>
      <c r="B4550" s="23" t="s">
        <v>77</v>
      </c>
      <c r="C4550" s="39">
        <v>2598</v>
      </c>
      <c r="D4550" s="24">
        <v>62.35</v>
      </c>
      <c r="E4550" s="24">
        <v>11.22</v>
      </c>
      <c r="F4550" s="23">
        <f>COUNTIFS(mdr_rate_cleaned!$A$2:$A$10,B4550,mdr_rate_cleaned!$B$2:$B$10,"&lt;"&amp;C4550,mdr_rate_cleaned!$F$2:$F$10,"&gt;="&amp;C4550)</f>
        <v>1</v>
      </c>
      <c r="G4550" s="40">
        <f>SUMIFS(mdr_rate_cleaned!$G$2:$G$10,mdr_rate_cleaned!$A$2:$A$10,B4550,mdr_rate_cleaned!$B$2:$B$10,"&lt;"&amp;C4550,mdr_rate_cleaned!$F$2:$F$10,"&gt;="&amp;C4550)</f>
        <v>1.7000000000000001E-2</v>
      </c>
      <c r="H4550" s="24">
        <f t="shared" si="355"/>
        <v>44.17</v>
      </c>
      <c r="I4550" s="23" t="str">
        <f t="shared" si="356"/>
        <v>Differs</v>
      </c>
      <c r="J4550" s="23" t="str">
        <f t="shared" si="357"/>
        <v>Match</v>
      </c>
      <c r="K4550" s="24">
        <f t="shared" si="358"/>
        <v>7.95</v>
      </c>
      <c r="L4550" s="24">
        <f t="shared" si="359"/>
        <v>21.45</v>
      </c>
    </row>
    <row r="4551" spans="1:12" ht="15" customHeight="1" x14ac:dyDescent="0.3">
      <c r="A4551" s="23" t="s">
        <v>17849</v>
      </c>
      <c r="B4551" s="23" t="s">
        <v>75</v>
      </c>
      <c r="C4551" s="39">
        <v>3897</v>
      </c>
      <c r="D4551" s="24">
        <v>11.69</v>
      </c>
      <c r="E4551" s="24">
        <v>2.1</v>
      </c>
      <c r="F4551" s="23">
        <f>COUNTIFS(mdr_rate_cleaned!$A$2:$A$10,B4551,mdr_rate_cleaned!$B$2:$B$10,"&lt;"&amp;C4551,mdr_rate_cleaned!$F$2:$F$10,"&gt;="&amp;C4551)</f>
        <v>1</v>
      </c>
      <c r="G4551" s="40">
        <f>SUMIFS(mdr_rate_cleaned!$G$2:$G$10,mdr_rate_cleaned!$A$2:$A$10,B4551,mdr_rate_cleaned!$B$2:$B$10,"&lt;"&amp;C4551,mdr_rate_cleaned!$F$2:$F$10,"&gt;="&amp;C4551)</f>
        <v>3.0000000000000001E-3</v>
      </c>
      <c r="H4551" s="24">
        <f t="shared" si="355"/>
        <v>11.69</v>
      </c>
      <c r="I4551" s="23" t="str">
        <f t="shared" si="356"/>
        <v>Match</v>
      </c>
      <c r="J4551" s="23" t="str">
        <f t="shared" si="357"/>
        <v>Match</v>
      </c>
      <c r="K4551" s="24">
        <f t="shared" si="358"/>
        <v>2.1</v>
      </c>
      <c r="L4551" s="24">
        <f t="shared" si="359"/>
        <v>0</v>
      </c>
    </row>
    <row r="4552" spans="1:12" ht="15" customHeight="1" x14ac:dyDescent="0.3">
      <c r="A4552" s="23" t="s">
        <v>17851</v>
      </c>
      <c r="B4552" s="23" t="s">
        <v>75</v>
      </c>
      <c r="C4552" s="39">
        <v>3798</v>
      </c>
      <c r="D4552" s="24">
        <v>11.39</v>
      </c>
      <c r="E4552" s="24">
        <v>2.0499999999999998</v>
      </c>
      <c r="F4552" s="23">
        <f>COUNTIFS(mdr_rate_cleaned!$A$2:$A$10,B4552,mdr_rate_cleaned!$B$2:$B$10,"&lt;"&amp;C4552,mdr_rate_cleaned!$F$2:$F$10,"&gt;="&amp;C4552)</f>
        <v>1</v>
      </c>
      <c r="G4552" s="40">
        <f>SUMIFS(mdr_rate_cleaned!$G$2:$G$10,mdr_rate_cleaned!$A$2:$A$10,B4552,mdr_rate_cleaned!$B$2:$B$10,"&lt;"&amp;C4552,mdr_rate_cleaned!$F$2:$F$10,"&gt;="&amp;C4552)</f>
        <v>3.0000000000000001E-3</v>
      </c>
      <c r="H4552" s="24">
        <f t="shared" si="355"/>
        <v>11.39</v>
      </c>
      <c r="I4552" s="23" t="str">
        <f t="shared" si="356"/>
        <v>Match</v>
      </c>
      <c r="J4552" s="23" t="str">
        <f t="shared" si="357"/>
        <v>Match</v>
      </c>
      <c r="K4552" s="24">
        <f t="shared" si="358"/>
        <v>2.0499999999999998</v>
      </c>
      <c r="L4552" s="24">
        <f t="shared" si="359"/>
        <v>0</v>
      </c>
    </row>
    <row r="4553" spans="1:12" ht="15" customHeight="1" x14ac:dyDescent="0.3">
      <c r="A4553" s="23" t="s">
        <v>17852</v>
      </c>
      <c r="B4553" s="23" t="s">
        <v>75</v>
      </c>
      <c r="C4553" s="39">
        <v>299</v>
      </c>
      <c r="D4553" s="24">
        <v>0</v>
      </c>
      <c r="E4553" s="24">
        <v>0</v>
      </c>
      <c r="F4553" s="23">
        <f>COUNTIFS(mdr_rate_cleaned!$A$2:$A$10,B4553,mdr_rate_cleaned!$B$2:$B$10,"&lt;"&amp;C4553,mdr_rate_cleaned!$F$2:$F$10,"&gt;="&amp;C4553)</f>
        <v>1</v>
      </c>
      <c r="G4553" s="40">
        <f>SUMIFS(mdr_rate_cleaned!$G$2:$G$10,mdr_rate_cleaned!$A$2:$A$10,B4553,mdr_rate_cleaned!$B$2:$B$10,"&lt;"&amp;C4553,mdr_rate_cleaned!$F$2:$F$10,"&gt;="&amp;C4553)</f>
        <v>0</v>
      </c>
      <c r="H4553" s="24">
        <f t="shared" si="355"/>
        <v>0</v>
      </c>
      <c r="I4553" s="23" t="str">
        <f t="shared" si="356"/>
        <v>Match</v>
      </c>
      <c r="J4553" s="23" t="str">
        <f t="shared" si="357"/>
        <v>Match</v>
      </c>
      <c r="K4553" s="24">
        <f t="shared" si="358"/>
        <v>0</v>
      </c>
      <c r="L4553" s="24">
        <f t="shared" si="359"/>
        <v>0</v>
      </c>
    </row>
    <row r="4554" spans="1:12" ht="15" customHeight="1" x14ac:dyDescent="0.3">
      <c r="A4554" s="23" t="s">
        <v>17853</v>
      </c>
      <c r="B4554" s="23" t="s">
        <v>77</v>
      </c>
      <c r="C4554" s="39">
        <v>4498</v>
      </c>
      <c r="D4554" s="24">
        <v>76.47</v>
      </c>
      <c r="E4554" s="24">
        <v>13.76</v>
      </c>
      <c r="F4554" s="23">
        <f>COUNTIFS(mdr_rate_cleaned!$A$2:$A$10,B4554,mdr_rate_cleaned!$B$2:$B$10,"&lt;"&amp;C4554,mdr_rate_cleaned!$F$2:$F$10,"&gt;="&amp;C4554)</f>
        <v>1</v>
      </c>
      <c r="G4554" s="40">
        <f>SUMIFS(mdr_rate_cleaned!$G$2:$G$10,mdr_rate_cleaned!$A$2:$A$10,B4554,mdr_rate_cleaned!$B$2:$B$10,"&lt;"&amp;C4554,mdr_rate_cleaned!$F$2:$F$10,"&gt;="&amp;C4554)</f>
        <v>1.7000000000000001E-2</v>
      </c>
      <c r="H4554" s="24">
        <f t="shared" si="355"/>
        <v>76.47</v>
      </c>
      <c r="I4554" s="23" t="str">
        <f t="shared" si="356"/>
        <v>Match</v>
      </c>
      <c r="J4554" s="23" t="str">
        <f t="shared" si="357"/>
        <v>Match</v>
      </c>
      <c r="K4554" s="24">
        <f t="shared" si="358"/>
        <v>13.76</v>
      </c>
      <c r="L4554" s="24">
        <f t="shared" si="359"/>
        <v>0</v>
      </c>
    </row>
    <row r="4555" spans="1:12" ht="15" customHeight="1" x14ac:dyDescent="0.3">
      <c r="A4555" s="23" t="s">
        <v>17855</v>
      </c>
      <c r="B4555" s="23" t="s">
        <v>75</v>
      </c>
      <c r="C4555" s="39">
        <v>1799</v>
      </c>
      <c r="D4555" s="24">
        <v>0</v>
      </c>
      <c r="E4555" s="24">
        <v>0</v>
      </c>
      <c r="F4555" s="23">
        <f>COUNTIFS(mdr_rate_cleaned!$A$2:$A$10,B4555,mdr_rate_cleaned!$B$2:$B$10,"&lt;"&amp;C4555,mdr_rate_cleaned!$F$2:$F$10,"&gt;="&amp;C4555)</f>
        <v>1</v>
      </c>
      <c r="G4555" s="40">
        <f>SUMIFS(mdr_rate_cleaned!$G$2:$G$10,mdr_rate_cleaned!$A$2:$A$10,B4555,mdr_rate_cleaned!$B$2:$B$10,"&lt;"&amp;C4555,mdr_rate_cleaned!$F$2:$F$10,"&gt;="&amp;C4555)</f>
        <v>0</v>
      </c>
      <c r="H4555" s="24">
        <f t="shared" si="355"/>
        <v>0</v>
      </c>
      <c r="I4555" s="23" t="str">
        <f t="shared" si="356"/>
        <v>Match</v>
      </c>
      <c r="J4555" s="23" t="str">
        <f t="shared" si="357"/>
        <v>Match</v>
      </c>
      <c r="K4555" s="24">
        <f t="shared" si="358"/>
        <v>0</v>
      </c>
      <c r="L4555" s="24">
        <f t="shared" si="359"/>
        <v>0</v>
      </c>
    </row>
    <row r="4556" spans="1:12" ht="15" customHeight="1" x14ac:dyDescent="0.3">
      <c r="A4556" s="23" t="s">
        <v>17856</v>
      </c>
      <c r="B4556" s="23" t="s">
        <v>77</v>
      </c>
      <c r="C4556" s="39">
        <v>12497</v>
      </c>
      <c r="D4556" s="24">
        <v>212.45</v>
      </c>
      <c r="E4556" s="24">
        <v>38.24</v>
      </c>
      <c r="F4556" s="23">
        <f>COUNTIFS(mdr_rate_cleaned!$A$2:$A$10,B4556,mdr_rate_cleaned!$B$2:$B$10,"&lt;"&amp;C4556,mdr_rate_cleaned!$F$2:$F$10,"&gt;="&amp;C4556)</f>
        <v>1</v>
      </c>
      <c r="G4556" s="40">
        <f>SUMIFS(mdr_rate_cleaned!$G$2:$G$10,mdr_rate_cleaned!$A$2:$A$10,B4556,mdr_rate_cleaned!$B$2:$B$10,"&lt;"&amp;C4556,mdr_rate_cleaned!$F$2:$F$10,"&gt;="&amp;C4556)</f>
        <v>1.7000000000000001E-2</v>
      </c>
      <c r="H4556" s="24">
        <f t="shared" si="355"/>
        <v>212.45</v>
      </c>
      <c r="I4556" s="23" t="str">
        <f t="shared" si="356"/>
        <v>Match</v>
      </c>
      <c r="J4556" s="23" t="str">
        <f t="shared" si="357"/>
        <v>Match</v>
      </c>
      <c r="K4556" s="24">
        <f t="shared" si="358"/>
        <v>38.24</v>
      </c>
      <c r="L4556" s="24">
        <f t="shared" si="359"/>
        <v>0</v>
      </c>
    </row>
    <row r="4557" spans="1:12" ht="15" customHeight="1" x14ac:dyDescent="0.3">
      <c r="A4557" s="23" t="s">
        <v>17857</v>
      </c>
      <c r="B4557" s="23" t="s">
        <v>75</v>
      </c>
      <c r="C4557" s="39">
        <v>8598</v>
      </c>
      <c r="D4557" s="24">
        <v>25.79</v>
      </c>
      <c r="E4557" s="24">
        <v>4.6399999999999997</v>
      </c>
      <c r="F4557" s="23">
        <f>COUNTIFS(mdr_rate_cleaned!$A$2:$A$10,B4557,mdr_rate_cleaned!$B$2:$B$10,"&lt;"&amp;C4557,mdr_rate_cleaned!$F$2:$F$10,"&gt;="&amp;C4557)</f>
        <v>1</v>
      </c>
      <c r="G4557" s="40">
        <f>SUMIFS(mdr_rate_cleaned!$G$2:$G$10,mdr_rate_cleaned!$A$2:$A$10,B4557,mdr_rate_cleaned!$B$2:$B$10,"&lt;"&amp;C4557,mdr_rate_cleaned!$F$2:$F$10,"&gt;="&amp;C4557)</f>
        <v>3.0000000000000001E-3</v>
      </c>
      <c r="H4557" s="24">
        <f t="shared" si="355"/>
        <v>25.79</v>
      </c>
      <c r="I4557" s="23" t="str">
        <f t="shared" si="356"/>
        <v>Match</v>
      </c>
      <c r="J4557" s="23" t="str">
        <f t="shared" si="357"/>
        <v>Match</v>
      </c>
      <c r="K4557" s="24">
        <f t="shared" si="358"/>
        <v>4.6399999999999997</v>
      </c>
      <c r="L4557" s="24">
        <f t="shared" si="359"/>
        <v>0</v>
      </c>
    </row>
    <row r="4558" spans="1:12" ht="15" customHeight="1" x14ac:dyDescent="0.3">
      <c r="A4558" s="23" t="s">
        <v>17859</v>
      </c>
      <c r="B4558" s="23" t="s">
        <v>79</v>
      </c>
      <c r="C4558" s="39">
        <v>799</v>
      </c>
      <c r="D4558" s="24">
        <v>14.38</v>
      </c>
      <c r="E4558" s="24">
        <v>2.59</v>
      </c>
      <c r="F4558" s="23">
        <f>COUNTIFS(mdr_rate_cleaned!$A$2:$A$10,B4558,mdr_rate_cleaned!$B$2:$B$10,"&lt;"&amp;C4558,mdr_rate_cleaned!$F$2:$F$10,"&gt;="&amp;C4558)</f>
        <v>1</v>
      </c>
      <c r="G4558" s="40">
        <f>SUMIFS(mdr_rate_cleaned!$G$2:$G$10,mdr_rate_cleaned!$A$2:$A$10,B4558,mdr_rate_cleaned!$B$2:$B$10,"&lt;"&amp;C4558,mdr_rate_cleaned!$F$2:$F$10,"&gt;="&amp;C4558)</f>
        <v>1.8000000000000002E-2</v>
      </c>
      <c r="H4558" s="24">
        <f t="shared" si="355"/>
        <v>14.38</v>
      </c>
      <c r="I4558" s="23" t="str">
        <f t="shared" si="356"/>
        <v>Match</v>
      </c>
      <c r="J4558" s="23" t="str">
        <f t="shared" si="357"/>
        <v>Match</v>
      </c>
      <c r="K4558" s="24">
        <f t="shared" si="358"/>
        <v>2.59</v>
      </c>
      <c r="L4558" s="24">
        <f t="shared" si="359"/>
        <v>0</v>
      </c>
    </row>
    <row r="4559" spans="1:12" ht="15" customHeight="1" x14ac:dyDescent="0.3">
      <c r="A4559" s="23" t="s">
        <v>17860</v>
      </c>
      <c r="B4559" s="23" t="s">
        <v>75</v>
      </c>
      <c r="C4559" s="39">
        <v>3998</v>
      </c>
      <c r="D4559" s="24">
        <v>11.99</v>
      </c>
      <c r="E4559" s="24">
        <v>2.16</v>
      </c>
      <c r="F4559" s="23">
        <f>COUNTIFS(mdr_rate_cleaned!$A$2:$A$10,B4559,mdr_rate_cleaned!$B$2:$B$10,"&lt;"&amp;C4559,mdr_rate_cleaned!$F$2:$F$10,"&gt;="&amp;C4559)</f>
        <v>1</v>
      </c>
      <c r="G4559" s="40">
        <f>SUMIFS(mdr_rate_cleaned!$G$2:$G$10,mdr_rate_cleaned!$A$2:$A$10,B4559,mdr_rate_cleaned!$B$2:$B$10,"&lt;"&amp;C4559,mdr_rate_cleaned!$F$2:$F$10,"&gt;="&amp;C4559)</f>
        <v>3.0000000000000001E-3</v>
      </c>
      <c r="H4559" s="24">
        <f t="shared" si="355"/>
        <v>11.99</v>
      </c>
      <c r="I4559" s="23" t="str">
        <f t="shared" si="356"/>
        <v>Match</v>
      </c>
      <c r="J4559" s="23" t="str">
        <f t="shared" si="357"/>
        <v>Match</v>
      </c>
      <c r="K4559" s="24">
        <f t="shared" si="358"/>
        <v>2.16</v>
      </c>
      <c r="L4559" s="24">
        <f t="shared" si="359"/>
        <v>0</v>
      </c>
    </row>
    <row r="4560" spans="1:12" ht="15" customHeight="1" x14ac:dyDescent="0.3">
      <c r="A4560" s="23" t="s">
        <v>17861</v>
      </c>
      <c r="B4560" s="23" t="s">
        <v>79</v>
      </c>
      <c r="C4560" s="39">
        <v>1499</v>
      </c>
      <c r="D4560" s="24">
        <v>26.98</v>
      </c>
      <c r="E4560" s="24">
        <v>4.8600000000000003</v>
      </c>
      <c r="F4560" s="23">
        <f>COUNTIFS(mdr_rate_cleaned!$A$2:$A$10,B4560,mdr_rate_cleaned!$B$2:$B$10,"&lt;"&amp;C4560,mdr_rate_cleaned!$F$2:$F$10,"&gt;="&amp;C4560)</f>
        <v>1</v>
      </c>
      <c r="G4560" s="40">
        <f>SUMIFS(mdr_rate_cleaned!$G$2:$G$10,mdr_rate_cleaned!$A$2:$A$10,B4560,mdr_rate_cleaned!$B$2:$B$10,"&lt;"&amp;C4560,mdr_rate_cleaned!$F$2:$F$10,"&gt;="&amp;C4560)</f>
        <v>1.8000000000000002E-2</v>
      </c>
      <c r="H4560" s="24">
        <f t="shared" si="355"/>
        <v>26.98</v>
      </c>
      <c r="I4560" s="23" t="str">
        <f t="shared" si="356"/>
        <v>Match</v>
      </c>
      <c r="J4560" s="23" t="str">
        <f t="shared" si="357"/>
        <v>Match</v>
      </c>
      <c r="K4560" s="24">
        <f t="shared" si="358"/>
        <v>4.8600000000000003</v>
      </c>
      <c r="L4560" s="24">
        <f t="shared" si="359"/>
        <v>0</v>
      </c>
    </row>
    <row r="4561" spans="1:12" ht="15" customHeight="1" x14ac:dyDescent="0.3">
      <c r="A4561" s="23" t="s">
        <v>17862</v>
      </c>
      <c r="B4561" s="23" t="s">
        <v>75</v>
      </c>
      <c r="C4561" s="39">
        <v>599</v>
      </c>
      <c r="D4561" s="24">
        <v>0</v>
      </c>
      <c r="E4561" s="24">
        <v>0</v>
      </c>
      <c r="F4561" s="23">
        <f>COUNTIFS(mdr_rate_cleaned!$A$2:$A$10,B4561,mdr_rate_cleaned!$B$2:$B$10,"&lt;"&amp;C4561,mdr_rate_cleaned!$F$2:$F$10,"&gt;="&amp;C4561)</f>
        <v>1</v>
      </c>
      <c r="G4561" s="40">
        <f>SUMIFS(mdr_rate_cleaned!$G$2:$G$10,mdr_rate_cleaned!$A$2:$A$10,B4561,mdr_rate_cleaned!$B$2:$B$10,"&lt;"&amp;C4561,mdr_rate_cleaned!$F$2:$F$10,"&gt;="&amp;C4561)</f>
        <v>0</v>
      </c>
      <c r="H4561" s="24">
        <f t="shared" si="355"/>
        <v>0</v>
      </c>
      <c r="I4561" s="23" t="str">
        <f t="shared" si="356"/>
        <v>Match</v>
      </c>
      <c r="J4561" s="23" t="str">
        <f t="shared" si="357"/>
        <v>Match</v>
      </c>
      <c r="K4561" s="24">
        <f t="shared" si="358"/>
        <v>0</v>
      </c>
      <c r="L4561" s="24">
        <f t="shared" si="359"/>
        <v>0</v>
      </c>
    </row>
    <row r="4562" spans="1:12" ht="15" customHeight="1" x14ac:dyDescent="0.3">
      <c r="A4562" s="23" t="s">
        <v>17863</v>
      </c>
      <c r="B4562" s="23" t="s">
        <v>81</v>
      </c>
      <c r="C4562" s="39">
        <v>1799</v>
      </c>
      <c r="D4562" s="24">
        <v>26.99</v>
      </c>
      <c r="E4562" s="24">
        <v>4.8600000000000003</v>
      </c>
      <c r="F4562" s="23">
        <f>COUNTIFS(mdr_rate_cleaned!$A$2:$A$10,B4562,mdr_rate_cleaned!$B$2:$B$10,"&lt;"&amp;C4562,mdr_rate_cleaned!$F$2:$F$10,"&gt;="&amp;C4562)</f>
        <v>1</v>
      </c>
      <c r="G4562" s="40">
        <f>SUMIFS(mdr_rate_cleaned!$G$2:$G$10,mdr_rate_cleaned!$A$2:$A$10,B4562,mdr_rate_cleaned!$B$2:$B$10,"&lt;"&amp;C4562,mdr_rate_cleaned!$F$2:$F$10,"&gt;="&amp;C4562)</f>
        <v>1.4999999999999999E-2</v>
      </c>
      <c r="H4562" s="24">
        <f t="shared" si="355"/>
        <v>26.99</v>
      </c>
      <c r="I4562" s="23" t="str">
        <f t="shared" si="356"/>
        <v>Match</v>
      </c>
      <c r="J4562" s="23" t="str">
        <f t="shared" si="357"/>
        <v>Match</v>
      </c>
      <c r="K4562" s="24">
        <f t="shared" si="358"/>
        <v>4.8600000000000003</v>
      </c>
      <c r="L4562" s="24">
        <f t="shared" si="359"/>
        <v>0</v>
      </c>
    </row>
    <row r="4563" spans="1:12" ht="15" customHeight="1" x14ac:dyDescent="0.3">
      <c r="A4563" s="23" t="s">
        <v>17865</v>
      </c>
      <c r="B4563" s="23" t="s">
        <v>75</v>
      </c>
      <c r="C4563" s="39">
        <v>2998</v>
      </c>
      <c r="D4563" s="24">
        <v>8.99</v>
      </c>
      <c r="E4563" s="24">
        <v>1.62</v>
      </c>
      <c r="F4563" s="23">
        <f>COUNTIFS(mdr_rate_cleaned!$A$2:$A$10,B4563,mdr_rate_cleaned!$B$2:$B$10,"&lt;"&amp;C4563,mdr_rate_cleaned!$F$2:$F$10,"&gt;="&amp;C4563)</f>
        <v>1</v>
      </c>
      <c r="G4563" s="40">
        <f>SUMIFS(mdr_rate_cleaned!$G$2:$G$10,mdr_rate_cleaned!$A$2:$A$10,B4563,mdr_rate_cleaned!$B$2:$B$10,"&lt;"&amp;C4563,mdr_rate_cleaned!$F$2:$F$10,"&gt;="&amp;C4563)</f>
        <v>3.0000000000000001E-3</v>
      </c>
      <c r="H4563" s="24">
        <f t="shared" si="355"/>
        <v>8.99</v>
      </c>
      <c r="I4563" s="23" t="str">
        <f t="shared" si="356"/>
        <v>Match</v>
      </c>
      <c r="J4563" s="23" t="str">
        <f t="shared" si="357"/>
        <v>Match</v>
      </c>
      <c r="K4563" s="24">
        <f t="shared" si="358"/>
        <v>1.62</v>
      </c>
      <c r="L4563" s="24">
        <f t="shared" si="359"/>
        <v>0</v>
      </c>
    </row>
    <row r="4564" spans="1:12" ht="15" customHeight="1" x14ac:dyDescent="0.3">
      <c r="A4564" s="23" t="s">
        <v>17866</v>
      </c>
      <c r="B4564" s="23" t="s">
        <v>77</v>
      </c>
      <c r="C4564" s="39">
        <v>3499</v>
      </c>
      <c r="D4564" s="24">
        <v>59.48</v>
      </c>
      <c r="E4564" s="24">
        <v>10.71</v>
      </c>
      <c r="F4564" s="23">
        <f>COUNTIFS(mdr_rate_cleaned!$A$2:$A$10,B4564,mdr_rate_cleaned!$B$2:$B$10,"&lt;"&amp;C4564,mdr_rate_cleaned!$F$2:$F$10,"&gt;="&amp;C4564)</f>
        <v>1</v>
      </c>
      <c r="G4564" s="40">
        <f>SUMIFS(mdr_rate_cleaned!$G$2:$G$10,mdr_rate_cleaned!$A$2:$A$10,B4564,mdr_rate_cleaned!$B$2:$B$10,"&lt;"&amp;C4564,mdr_rate_cleaned!$F$2:$F$10,"&gt;="&amp;C4564)</f>
        <v>1.7000000000000001E-2</v>
      </c>
      <c r="H4564" s="24">
        <f t="shared" si="355"/>
        <v>59.48</v>
      </c>
      <c r="I4564" s="23" t="str">
        <f t="shared" si="356"/>
        <v>Match</v>
      </c>
      <c r="J4564" s="23" t="str">
        <f t="shared" si="357"/>
        <v>Match</v>
      </c>
      <c r="K4564" s="24">
        <f t="shared" si="358"/>
        <v>10.71</v>
      </c>
      <c r="L4564" s="24">
        <f t="shared" si="359"/>
        <v>0</v>
      </c>
    </row>
    <row r="4565" spans="1:12" ht="15" customHeight="1" x14ac:dyDescent="0.3">
      <c r="A4565" s="23" t="s">
        <v>17867</v>
      </c>
      <c r="B4565" s="23" t="s">
        <v>75</v>
      </c>
      <c r="C4565" s="39">
        <v>3347</v>
      </c>
      <c r="D4565" s="24">
        <v>10.039999999999999</v>
      </c>
      <c r="E4565" s="24">
        <v>1.81</v>
      </c>
      <c r="F4565" s="23">
        <f>COUNTIFS(mdr_rate_cleaned!$A$2:$A$10,B4565,mdr_rate_cleaned!$B$2:$B$10,"&lt;"&amp;C4565,mdr_rate_cleaned!$F$2:$F$10,"&gt;="&amp;C4565)</f>
        <v>1</v>
      </c>
      <c r="G4565" s="40">
        <f>SUMIFS(mdr_rate_cleaned!$G$2:$G$10,mdr_rate_cleaned!$A$2:$A$10,B4565,mdr_rate_cleaned!$B$2:$B$10,"&lt;"&amp;C4565,mdr_rate_cleaned!$F$2:$F$10,"&gt;="&amp;C4565)</f>
        <v>3.0000000000000001E-3</v>
      </c>
      <c r="H4565" s="24">
        <f t="shared" si="355"/>
        <v>10.039999999999999</v>
      </c>
      <c r="I4565" s="23" t="str">
        <f t="shared" si="356"/>
        <v>Match</v>
      </c>
      <c r="J4565" s="23" t="str">
        <f t="shared" si="357"/>
        <v>Match</v>
      </c>
      <c r="K4565" s="24">
        <f t="shared" si="358"/>
        <v>1.81</v>
      </c>
      <c r="L4565" s="24">
        <f t="shared" si="359"/>
        <v>0</v>
      </c>
    </row>
    <row r="4566" spans="1:12" ht="15" customHeight="1" x14ac:dyDescent="0.3">
      <c r="A4566" s="23" t="s">
        <v>17868</v>
      </c>
      <c r="B4566" s="23" t="s">
        <v>75</v>
      </c>
      <c r="C4566" s="39">
        <v>1348</v>
      </c>
      <c r="D4566" s="24">
        <v>0</v>
      </c>
      <c r="E4566" s="24">
        <v>0</v>
      </c>
      <c r="F4566" s="23">
        <f>COUNTIFS(mdr_rate_cleaned!$A$2:$A$10,B4566,mdr_rate_cleaned!$B$2:$B$10,"&lt;"&amp;C4566,mdr_rate_cleaned!$F$2:$F$10,"&gt;="&amp;C4566)</f>
        <v>1</v>
      </c>
      <c r="G4566" s="40">
        <f>SUMIFS(mdr_rate_cleaned!$G$2:$G$10,mdr_rate_cleaned!$A$2:$A$10,B4566,mdr_rate_cleaned!$B$2:$B$10,"&lt;"&amp;C4566,mdr_rate_cleaned!$F$2:$F$10,"&gt;="&amp;C4566)</f>
        <v>0</v>
      </c>
      <c r="H4566" s="24">
        <f t="shared" si="355"/>
        <v>0</v>
      </c>
      <c r="I4566" s="23" t="str">
        <f t="shared" si="356"/>
        <v>Match</v>
      </c>
      <c r="J4566" s="23" t="str">
        <f t="shared" si="357"/>
        <v>Match</v>
      </c>
      <c r="K4566" s="24">
        <f t="shared" si="358"/>
        <v>0</v>
      </c>
      <c r="L4566" s="24">
        <f t="shared" si="359"/>
        <v>0</v>
      </c>
    </row>
    <row r="4567" spans="1:12" ht="15" customHeight="1" x14ac:dyDescent="0.3">
      <c r="A4567" s="23" t="s">
        <v>17869</v>
      </c>
      <c r="B4567" s="23" t="s">
        <v>75</v>
      </c>
      <c r="C4567" s="39">
        <v>499</v>
      </c>
      <c r="D4567" s="24">
        <v>0</v>
      </c>
      <c r="E4567" s="24">
        <v>0</v>
      </c>
      <c r="F4567" s="23">
        <f>COUNTIFS(mdr_rate_cleaned!$A$2:$A$10,B4567,mdr_rate_cleaned!$B$2:$B$10,"&lt;"&amp;C4567,mdr_rate_cleaned!$F$2:$F$10,"&gt;="&amp;C4567)</f>
        <v>1</v>
      </c>
      <c r="G4567" s="40">
        <f>SUMIFS(mdr_rate_cleaned!$G$2:$G$10,mdr_rate_cleaned!$A$2:$A$10,B4567,mdr_rate_cleaned!$B$2:$B$10,"&lt;"&amp;C4567,mdr_rate_cleaned!$F$2:$F$10,"&gt;="&amp;C4567)</f>
        <v>0</v>
      </c>
      <c r="H4567" s="24">
        <f t="shared" si="355"/>
        <v>0</v>
      </c>
      <c r="I4567" s="23" t="str">
        <f t="shared" si="356"/>
        <v>Match</v>
      </c>
      <c r="J4567" s="23" t="str">
        <f t="shared" si="357"/>
        <v>Match</v>
      </c>
      <c r="K4567" s="24">
        <f t="shared" si="358"/>
        <v>0</v>
      </c>
      <c r="L4567" s="24">
        <f t="shared" si="359"/>
        <v>0</v>
      </c>
    </row>
    <row r="4568" spans="1:12" ht="15" customHeight="1" x14ac:dyDescent="0.3">
      <c r="A4568" s="23" t="s">
        <v>17870</v>
      </c>
      <c r="B4568" s="23" t="s">
        <v>81</v>
      </c>
      <c r="C4568" s="39">
        <v>349</v>
      </c>
      <c r="D4568" s="24">
        <v>5.24</v>
      </c>
      <c r="E4568" s="24">
        <v>0.94</v>
      </c>
      <c r="F4568" s="23">
        <f>COUNTIFS(mdr_rate_cleaned!$A$2:$A$10,B4568,mdr_rate_cleaned!$B$2:$B$10,"&lt;"&amp;C4568,mdr_rate_cleaned!$F$2:$F$10,"&gt;="&amp;C4568)</f>
        <v>1</v>
      </c>
      <c r="G4568" s="40">
        <f>SUMIFS(mdr_rate_cleaned!$G$2:$G$10,mdr_rate_cleaned!$A$2:$A$10,B4568,mdr_rate_cleaned!$B$2:$B$10,"&lt;"&amp;C4568,mdr_rate_cleaned!$F$2:$F$10,"&gt;="&amp;C4568)</f>
        <v>1.4999999999999999E-2</v>
      </c>
      <c r="H4568" s="24">
        <f t="shared" si="355"/>
        <v>5.24</v>
      </c>
      <c r="I4568" s="23" t="str">
        <f t="shared" si="356"/>
        <v>Match</v>
      </c>
      <c r="J4568" s="23" t="str">
        <f t="shared" si="357"/>
        <v>Match</v>
      </c>
      <c r="K4568" s="24">
        <f t="shared" si="358"/>
        <v>0.94</v>
      </c>
      <c r="L4568" s="24">
        <f t="shared" si="359"/>
        <v>0</v>
      </c>
    </row>
    <row r="4569" spans="1:12" ht="15" customHeight="1" x14ac:dyDescent="0.3">
      <c r="A4569" s="23" t="s">
        <v>17871</v>
      </c>
      <c r="B4569" s="23" t="s">
        <v>75</v>
      </c>
      <c r="C4569" s="39">
        <v>5498</v>
      </c>
      <c r="D4569" s="24">
        <v>16.489999999999998</v>
      </c>
      <c r="E4569" s="24">
        <v>2.97</v>
      </c>
      <c r="F4569" s="23">
        <f>COUNTIFS(mdr_rate_cleaned!$A$2:$A$10,B4569,mdr_rate_cleaned!$B$2:$B$10,"&lt;"&amp;C4569,mdr_rate_cleaned!$F$2:$F$10,"&gt;="&amp;C4569)</f>
        <v>1</v>
      </c>
      <c r="G4569" s="40">
        <f>SUMIFS(mdr_rate_cleaned!$G$2:$G$10,mdr_rate_cleaned!$A$2:$A$10,B4569,mdr_rate_cleaned!$B$2:$B$10,"&lt;"&amp;C4569,mdr_rate_cleaned!$F$2:$F$10,"&gt;="&amp;C4569)</f>
        <v>3.0000000000000001E-3</v>
      </c>
      <c r="H4569" s="24">
        <f t="shared" si="355"/>
        <v>16.489999999999998</v>
      </c>
      <c r="I4569" s="23" t="str">
        <f t="shared" si="356"/>
        <v>Match</v>
      </c>
      <c r="J4569" s="23" t="str">
        <f t="shared" si="357"/>
        <v>Match</v>
      </c>
      <c r="K4569" s="24">
        <f t="shared" si="358"/>
        <v>2.97</v>
      </c>
      <c r="L4569" s="24">
        <f t="shared" si="359"/>
        <v>0</v>
      </c>
    </row>
    <row r="4570" spans="1:12" ht="15" customHeight="1" x14ac:dyDescent="0.3">
      <c r="A4570" s="23" t="s">
        <v>17874</v>
      </c>
      <c r="B4570" s="23" t="s">
        <v>79</v>
      </c>
      <c r="C4570" s="39">
        <v>9298</v>
      </c>
      <c r="D4570" s="24">
        <v>148.77000000000001</v>
      </c>
      <c r="E4570" s="24">
        <v>26.78</v>
      </c>
      <c r="F4570" s="23">
        <f>COUNTIFS(mdr_rate_cleaned!$A$2:$A$10,B4570,mdr_rate_cleaned!$B$2:$B$10,"&lt;"&amp;C4570,mdr_rate_cleaned!$F$2:$F$10,"&gt;="&amp;C4570)</f>
        <v>1</v>
      </c>
      <c r="G4570" s="40">
        <f>SUMIFS(mdr_rate_cleaned!$G$2:$G$10,mdr_rate_cleaned!$A$2:$A$10,B4570,mdr_rate_cleaned!$B$2:$B$10,"&lt;"&amp;C4570,mdr_rate_cleaned!$F$2:$F$10,"&gt;="&amp;C4570)</f>
        <v>1.6E-2</v>
      </c>
      <c r="H4570" s="24">
        <f t="shared" si="355"/>
        <v>148.77000000000001</v>
      </c>
      <c r="I4570" s="23" t="str">
        <f t="shared" si="356"/>
        <v>Match</v>
      </c>
      <c r="J4570" s="23" t="str">
        <f t="shared" si="357"/>
        <v>Match</v>
      </c>
      <c r="K4570" s="24">
        <f t="shared" si="358"/>
        <v>26.78</v>
      </c>
      <c r="L4570" s="24">
        <f t="shared" si="359"/>
        <v>0</v>
      </c>
    </row>
    <row r="4571" spans="1:12" ht="15" customHeight="1" x14ac:dyDescent="0.3">
      <c r="A4571" s="23" t="s">
        <v>17875</v>
      </c>
      <c r="B4571" s="23" t="s">
        <v>79</v>
      </c>
      <c r="C4571" s="39">
        <v>1299</v>
      </c>
      <c r="D4571" s="24">
        <v>23.38</v>
      </c>
      <c r="E4571" s="24">
        <v>4.21</v>
      </c>
      <c r="F4571" s="23">
        <f>COUNTIFS(mdr_rate_cleaned!$A$2:$A$10,B4571,mdr_rate_cleaned!$B$2:$B$10,"&lt;"&amp;C4571,mdr_rate_cleaned!$F$2:$F$10,"&gt;="&amp;C4571)</f>
        <v>1</v>
      </c>
      <c r="G4571" s="40">
        <f>SUMIFS(mdr_rate_cleaned!$G$2:$G$10,mdr_rate_cleaned!$A$2:$A$10,B4571,mdr_rate_cleaned!$B$2:$B$10,"&lt;"&amp;C4571,mdr_rate_cleaned!$F$2:$F$10,"&gt;="&amp;C4571)</f>
        <v>1.8000000000000002E-2</v>
      </c>
      <c r="H4571" s="24">
        <f t="shared" si="355"/>
        <v>23.38</v>
      </c>
      <c r="I4571" s="23" t="str">
        <f t="shared" si="356"/>
        <v>Match</v>
      </c>
      <c r="J4571" s="23" t="str">
        <f t="shared" si="357"/>
        <v>Match</v>
      </c>
      <c r="K4571" s="24">
        <f t="shared" si="358"/>
        <v>4.21</v>
      </c>
      <c r="L4571" s="24">
        <f t="shared" si="359"/>
        <v>0</v>
      </c>
    </row>
    <row r="4572" spans="1:12" ht="15" customHeight="1" x14ac:dyDescent="0.3">
      <c r="A4572" s="23" t="s">
        <v>17877</v>
      </c>
      <c r="B4572" s="23" t="s">
        <v>75</v>
      </c>
      <c r="C4572" s="39">
        <v>16497</v>
      </c>
      <c r="D4572" s="24">
        <v>49.49</v>
      </c>
      <c r="E4572" s="24">
        <v>8.91</v>
      </c>
      <c r="F4572" s="23">
        <f>COUNTIFS(mdr_rate_cleaned!$A$2:$A$10,B4572,mdr_rate_cleaned!$B$2:$B$10,"&lt;"&amp;C4572,mdr_rate_cleaned!$F$2:$F$10,"&gt;="&amp;C4572)</f>
        <v>1</v>
      </c>
      <c r="G4572" s="40">
        <f>SUMIFS(mdr_rate_cleaned!$G$2:$G$10,mdr_rate_cleaned!$A$2:$A$10,B4572,mdr_rate_cleaned!$B$2:$B$10,"&lt;"&amp;C4572,mdr_rate_cleaned!$F$2:$F$10,"&gt;="&amp;C4572)</f>
        <v>3.0000000000000001E-3</v>
      </c>
      <c r="H4572" s="24">
        <f t="shared" si="355"/>
        <v>49.49</v>
      </c>
      <c r="I4572" s="23" t="str">
        <f t="shared" si="356"/>
        <v>Match</v>
      </c>
      <c r="J4572" s="23" t="str">
        <f t="shared" si="357"/>
        <v>Match</v>
      </c>
      <c r="K4572" s="24">
        <f t="shared" si="358"/>
        <v>8.91</v>
      </c>
      <c r="L4572" s="24">
        <f t="shared" si="359"/>
        <v>0</v>
      </c>
    </row>
    <row r="4573" spans="1:12" ht="15" customHeight="1" x14ac:dyDescent="0.3">
      <c r="A4573" s="23" t="s">
        <v>17878</v>
      </c>
      <c r="B4573" s="23" t="s">
        <v>75</v>
      </c>
      <c r="C4573" s="39">
        <v>1098</v>
      </c>
      <c r="D4573" s="24">
        <v>0</v>
      </c>
      <c r="E4573" s="24">
        <v>0</v>
      </c>
      <c r="F4573" s="23">
        <f>COUNTIFS(mdr_rate_cleaned!$A$2:$A$10,B4573,mdr_rate_cleaned!$B$2:$B$10,"&lt;"&amp;C4573,mdr_rate_cleaned!$F$2:$F$10,"&gt;="&amp;C4573)</f>
        <v>1</v>
      </c>
      <c r="G4573" s="40">
        <f>SUMIFS(mdr_rate_cleaned!$G$2:$G$10,mdr_rate_cleaned!$A$2:$A$10,B4573,mdr_rate_cleaned!$B$2:$B$10,"&lt;"&amp;C4573,mdr_rate_cleaned!$F$2:$F$10,"&gt;="&amp;C4573)</f>
        <v>0</v>
      </c>
      <c r="H4573" s="24">
        <f t="shared" si="355"/>
        <v>0</v>
      </c>
      <c r="I4573" s="23" t="str">
        <f t="shared" si="356"/>
        <v>Match</v>
      </c>
      <c r="J4573" s="23" t="str">
        <f t="shared" si="357"/>
        <v>Match</v>
      </c>
      <c r="K4573" s="24">
        <f t="shared" si="358"/>
        <v>0</v>
      </c>
      <c r="L4573" s="24">
        <f t="shared" si="359"/>
        <v>0</v>
      </c>
    </row>
    <row r="4574" spans="1:12" ht="15" customHeight="1" x14ac:dyDescent="0.3">
      <c r="A4574" s="23" t="s">
        <v>17879</v>
      </c>
      <c r="B4574" s="23" t="s">
        <v>77</v>
      </c>
      <c r="C4574" s="39">
        <v>1799</v>
      </c>
      <c r="D4574" s="24">
        <v>34.18</v>
      </c>
      <c r="E4574" s="24">
        <v>6.15</v>
      </c>
      <c r="F4574" s="23">
        <f>COUNTIFS(mdr_rate_cleaned!$A$2:$A$10,B4574,mdr_rate_cleaned!$B$2:$B$10,"&lt;"&amp;C4574,mdr_rate_cleaned!$F$2:$F$10,"&gt;="&amp;C4574)</f>
        <v>1</v>
      </c>
      <c r="G4574" s="40">
        <f>SUMIFS(mdr_rate_cleaned!$G$2:$G$10,mdr_rate_cleaned!$A$2:$A$10,B4574,mdr_rate_cleaned!$B$2:$B$10,"&lt;"&amp;C4574,mdr_rate_cleaned!$F$2:$F$10,"&gt;="&amp;C4574)</f>
        <v>1.9E-2</v>
      </c>
      <c r="H4574" s="24">
        <f t="shared" si="355"/>
        <v>34.18</v>
      </c>
      <c r="I4574" s="23" t="str">
        <f t="shared" si="356"/>
        <v>Match</v>
      </c>
      <c r="J4574" s="23" t="str">
        <f t="shared" si="357"/>
        <v>Match</v>
      </c>
      <c r="K4574" s="24">
        <f t="shared" si="358"/>
        <v>6.15</v>
      </c>
      <c r="L4574" s="24">
        <f t="shared" si="359"/>
        <v>0</v>
      </c>
    </row>
    <row r="4575" spans="1:12" ht="15" customHeight="1" x14ac:dyDescent="0.3">
      <c r="A4575" s="23" t="s">
        <v>17880</v>
      </c>
      <c r="B4575" s="23" t="s">
        <v>75</v>
      </c>
      <c r="C4575" s="39">
        <v>8498</v>
      </c>
      <c r="D4575" s="24">
        <v>25.49</v>
      </c>
      <c r="E4575" s="24">
        <v>4.59</v>
      </c>
      <c r="F4575" s="23">
        <f>COUNTIFS(mdr_rate_cleaned!$A$2:$A$10,B4575,mdr_rate_cleaned!$B$2:$B$10,"&lt;"&amp;C4575,mdr_rate_cleaned!$F$2:$F$10,"&gt;="&amp;C4575)</f>
        <v>1</v>
      </c>
      <c r="G4575" s="40">
        <f>SUMIFS(mdr_rate_cleaned!$G$2:$G$10,mdr_rate_cleaned!$A$2:$A$10,B4575,mdr_rate_cleaned!$B$2:$B$10,"&lt;"&amp;C4575,mdr_rate_cleaned!$F$2:$F$10,"&gt;="&amp;C4575)</f>
        <v>3.0000000000000001E-3</v>
      </c>
      <c r="H4575" s="24">
        <f t="shared" si="355"/>
        <v>25.49</v>
      </c>
      <c r="I4575" s="23" t="str">
        <f t="shared" si="356"/>
        <v>Match</v>
      </c>
      <c r="J4575" s="23" t="str">
        <f t="shared" si="357"/>
        <v>Match</v>
      </c>
      <c r="K4575" s="24">
        <f t="shared" si="358"/>
        <v>4.59</v>
      </c>
      <c r="L4575" s="24">
        <f t="shared" si="359"/>
        <v>0</v>
      </c>
    </row>
    <row r="4576" spans="1:12" ht="15" customHeight="1" x14ac:dyDescent="0.3">
      <c r="A4576" s="23" t="s">
        <v>17881</v>
      </c>
      <c r="B4576" s="23" t="s">
        <v>75</v>
      </c>
      <c r="C4576" s="39">
        <v>11997</v>
      </c>
      <c r="D4576" s="24">
        <v>35.99</v>
      </c>
      <c r="E4576" s="24">
        <v>6.48</v>
      </c>
      <c r="F4576" s="23">
        <f>COUNTIFS(mdr_rate_cleaned!$A$2:$A$10,B4576,mdr_rate_cleaned!$B$2:$B$10,"&lt;"&amp;C4576,mdr_rate_cleaned!$F$2:$F$10,"&gt;="&amp;C4576)</f>
        <v>1</v>
      </c>
      <c r="G4576" s="40">
        <f>SUMIFS(mdr_rate_cleaned!$G$2:$G$10,mdr_rate_cleaned!$A$2:$A$10,B4576,mdr_rate_cleaned!$B$2:$B$10,"&lt;"&amp;C4576,mdr_rate_cleaned!$F$2:$F$10,"&gt;="&amp;C4576)</f>
        <v>3.0000000000000001E-3</v>
      </c>
      <c r="H4576" s="24">
        <f t="shared" si="355"/>
        <v>35.99</v>
      </c>
      <c r="I4576" s="23" t="str">
        <f t="shared" si="356"/>
        <v>Match</v>
      </c>
      <c r="J4576" s="23" t="str">
        <f t="shared" si="357"/>
        <v>Match</v>
      </c>
      <c r="K4576" s="24">
        <f t="shared" si="358"/>
        <v>6.48</v>
      </c>
      <c r="L4576" s="24">
        <f t="shared" si="359"/>
        <v>0</v>
      </c>
    </row>
    <row r="4577" spans="1:12" ht="15" customHeight="1" x14ac:dyDescent="0.3">
      <c r="A4577" s="23" t="s">
        <v>17882</v>
      </c>
      <c r="B4577" s="23" t="s">
        <v>77</v>
      </c>
      <c r="C4577" s="39">
        <v>1799</v>
      </c>
      <c r="D4577" s="24">
        <v>34.18</v>
      </c>
      <c r="E4577" s="24">
        <v>6.15</v>
      </c>
      <c r="F4577" s="23">
        <f>COUNTIFS(mdr_rate_cleaned!$A$2:$A$10,B4577,mdr_rate_cleaned!$B$2:$B$10,"&lt;"&amp;C4577,mdr_rate_cleaned!$F$2:$F$10,"&gt;="&amp;C4577)</f>
        <v>1</v>
      </c>
      <c r="G4577" s="40">
        <f>SUMIFS(mdr_rate_cleaned!$G$2:$G$10,mdr_rate_cleaned!$A$2:$A$10,B4577,mdr_rate_cleaned!$B$2:$B$10,"&lt;"&amp;C4577,mdr_rate_cleaned!$F$2:$F$10,"&gt;="&amp;C4577)</f>
        <v>1.9E-2</v>
      </c>
      <c r="H4577" s="24">
        <f t="shared" si="355"/>
        <v>34.18</v>
      </c>
      <c r="I4577" s="23" t="str">
        <f t="shared" si="356"/>
        <v>Match</v>
      </c>
      <c r="J4577" s="23" t="str">
        <f t="shared" si="357"/>
        <v>Match</v>
      </c>
      <c r="K4577" s="24">
        <f t="shared" si="358"/>
        <v>6.15</v>
      </c>
      <c r="L4577" s="24">
        <f t="shared" si="359"/>
        <v>0</v>
      </c>
    </row>
    <row r="4578" spans="1:12" ht="15" customHeight="1" x14ac:dyDescent="0.3">
      <c r="A4578" s="23" t="s">
        <v>17884</v>
      </c>
      <c r="B4578" s="23" t="s">
        <v>79</v>
      </c>
      <c r="C4578" s="39">
        <v>13597</v>
      </c>
      <c r="D4578" s="24">
        <v>217.55</v>
      </c>
      <c r="E4578" s="24">
        <v>39.159999999999997</v>
      </c>
      <c r="F4578" s="23">
        <f>COUNTIFS(mdr_rate_cleaned!$A$2:$A$10,B4578,mdr_rate_cleaned!$B$2:$B$10,"&lt;"&amp;C4578,mdr_rate_cleaned!$F$2:$F$10,"&gt;="&amp;C4578)</f>
        <v>1</v>
      </c>
      <c r="G4578" s="40">
        <f>SUMIFS(mdr_rate_cleaned!$G$2:$G$10,mdr_rate_cleaned!$A$2:$A$10,B4578,mdr_rate_cleaned!$B$2:$B$10,"&lt;"&amp;C4578,mdr_rate_cleaned!$F$2:$F$10,"&gt;="&amp;C4578)</f>
        <v>1.6E-2</v>
      </c>
      <c r="H4578" s="24">
        <f t="shared" si="355"/>
        <v>217.55</v>
      </c>
      <c r="I4578" s="23" t="str">
        <f t="shared" si="356"/>
        <v>Match</v>
      </c>
      <c r="J4578" s="23" t="str">
        <f t="shared" si="357"/>
        <v>Match</v>
      </c>
      <c r="K4578" s="24">
        <f t="shared" si="358"/>
        <v>39.159999999999997</v>
      </c>
      <c r="L4578" s="24">
        <f t="shared" si="359"/>
        <v>0</v>
      </c>
    </row>
    <row r="4579" spans="1:12" ht="15" customHeight="1" x14ac:dyDescent="0.3">
      <c r="A4579" s="23" t="s">
        <v>17885</v>
      </c>
      <c r="B4579" s="23" t="s">
        <v>77</v>
      </c>
      <c r="C4579" s="39">
        <v>8797</v>
      </c>
      <c r="D4579" s="24">
        <v>149.55000000000001</v>
      </c>
      <c r="E4579" s="24">
        <v>26.92</v>
      </c>
      <c r="F4579" s="23">
        <f>COUNTIFS(mdr_rate_cleaned!$A$2:$A$10,B4579,mdr_rate_cleaned!$B$2:$B$10,"&lt;"&amp;C4579,mdr_rate_cleaned!$F$2:$F$10,"&gt;="&amp;C4579)</f>
        <v>1</v>
      </c>
      <c r="G4579" s="40">
        <f>SUMIFS(mdr_rate_cleaned!$G$2:$G$10,mdr_rate_cleaned!$A$2:$A$10,B4579,mdr_rate_cleaned!$B$2:$B$10,"&lt;"&amp;C4579,mdr_rate_cleaned!$F$2:$F$10,"&gt;="&amp;C4579)</f>
        <v>1.7000000000000001E-2</v>
      </c>
      <c r="H4579" s="24">
        <f t="shared" si="355"/>
        <v>149.55000000000001</v>
      </c>
      <c r="I4579" s="23" t="str">
        <f t="shared" si="356"/>
        <v>Match</v>
      </c>
      <c r="J4579" s="23" t="str">
        <f t="shared" si="357"/>
        <v>Match</v>
      </c>
      <c r="K4579" s="24">
        <f t="shared" si="358"/>
        <v>26.92</v>
      </c>
      <c r="L4579" s="24">
        <f t="shared" si="359"/>
        <v>0</v>
      </c>
    </row>
    <row r="4580" spans="1:12" ht="15" customHeight="1" x14ac:dyDescent="0.3">
      <c r="A4580" s="23" t="s">
        <v>17886</v>
      </c>
      <c r="B4580" s="23" t="s">
        <v>77</v>
      </c>
      <c r="C4580" s="39">
        <v>2098</v>
      </c>
      <c r="D4580" s="24">
        <v>50.35</v>
      </c>
      <c r="E4580" s="24">
        <v>9.06</v>
      </c>
      <c r="F4580" s="23">
        <f>COUNTIFS(mdr_rate_cleaned!$A$2:$A$10,B4580,mdr_rate_cleaned!$B$2:$B$10,"&lt;"&amp;C4580,mdr_rate_cleaned!$F$2:$F$10,"&gt;="&amp;C4580)</f>
        <v>1</v>
      </c>
      <c r="G4580" s="40">
        <f>SUMIFS(mdr_rate_cleaned!$G$2:$G$10,mdr_rate_cleaned!$A$2:$A$10,B4580,mdr_rate_cleaned!$B$2:$B$10,"&lt;"&amp;C4580,mdr_rate_cleaned!$F$2:$F$10,"&gt;="&amp;C4580)</f>
        <v>1.7000000000000001E-2</v>
      </c>
      <c r="H4580" s="24">
        <f t="shared" si="355"/>
        <v>35.67</v>
      </c>
      <c r="I4580" s="23" t="str">
        <f t="shared" si="356"/>
        <v>Differs</v>
      </c>
      <c r="J4580" s="23" t="str">
        <f t="shared" si="357"/>
        <v>Match</v>
      </c>
      <c r="K4580" s="24">
        <f t="shared" si="358"/>
        <v>6.42</v>
      </c>
      <c r="L4580" s="24">
        <f t="shared" si="359"/>
        <v>17.32</v>
      </c>
    </row>
    <row r="4581" spans="1:12" ht="15" customHeight="1" x14ac:dyDescent="0.3">
      <c r="A4581" s="23" t="s">
        <v>17887</v>
      </c>
      <c r="B4581" s="23" t="s">
        <v>79</v>
      </c>
      <c r="C4581" s="39">
        <v>6997</v>
      </c>
      <c r="D4581" s="24">
        <v>111.95</v>
      </c>
      <c r="E4581" s="24">
        <v>20.149999999999999</v>
      </c>
      <c r="F4581" s="23">
        <f>COUNTIFS(mdr_rate_cleaned!$A$2:$A$10,B4581,mdr_rate_cleaned!$B$2:$B$10,"&lt;"&amp;C4581,mdr_rate_cleaned!$F$2:$F$10,"&gt;="&amp;C4581)</f>
        <v>1</v>
      </c>
      <c r="G4581" s="40">
        <f>SUMIFS(mdr_rate_cleaned!$G$2:$G$10,mdr_rate_cleaned!$A$2:$A$10,B4581,mdr_rate_cleaned!$B$2:$B$10,"&lt;"&amp;C4581,mdr_rate_cleaned!$F$2:$F$10,"&gt;="&amp;C4581)</f>
        <v>1.6E-2</v>
      </c>
      <c r="H4581" s="24">
        <f t="shared" si="355"/>
        <v>111.95</v>
      </c>
      <c r="I4581" s="23" t="str">
        <f t="shared" si="356"/>
        <v>Match</v>
      </c>
      <c r="J4581" s="23" t="str">
        <f t="shared" si="357"/>
        <v>Match</v>
      </c>
      <c r="K4581" s="24">
        <f t="shared" si="358"/>
        <v>20.149999999999999</v>
      </c>
      <c r="L4581" s="24">
        <f t="shared" si="359"/>
        <v>0</v>
      </c>
    </row>
    <row r="4582" spans="1:12" ht="15" customHeight="1" x14ac:dyDescent="0.3">
      <c r="A4582" s="23" t="s">
        <v>17889</v>
      </c>
      <c r="B4582" s="23" t="s">
        <v>79</v>
      </c>
      <c r="C4582" s="39">
        <v>2297</v>
      </c>
      <c r="D4582" s="24">
        <v>36.75</v>
      </c>
      <c r="E4582" s="24">
        <v>6.62</v>
      </c>
      <c r="F4582" s="23">
        <f>COUNTIFS(mdr_rate_cleaned!$A$2:$A$10,B4582,mdr_rate_cleaned!$B$2:$B$10,"&lt;"&amp;C4582,mdr_rate_cleaned!$F$2:$F$10,"&gt;="&amp;C4582)</f>
        <v>1</v>
      </c>
      <c r="G4582" s="40">
        <f>SUMIFS(mdr_rate_cleaned!$G$2:$G$10,mdr_rate_cleaned!$A$2:$A$10,B4582,mdr_rate_cleaned!$B$2:$B$10,"&lt;"&amp;C4582,mdr_rate_cleaned!$F$2:$F$10,"&gt;="&amp;C4582)</f>
        <v>1.6E-2</v>
      </c>
      <c r="H4582" s="24">
        <f t="shared" si="355"/>
        <v>36.75</v>
      </c>
      <c r="I4582" s="23" t="str">
        <f t="shared" si="356"/>
        <v>Match</v>
      </c>
      <c r="J4582" s="23" t="str">
        <f t="shared" si="357"/>
        <v>Match</v>
      </c>
      <c r="K4582" s="24">
        <f t="shared" si="358"/>
        <v>6.62</v>
      </c>
      <c r="L4582" s="24">
        <f t="shared" si="359"/>
        <v>0</v>
      </c>
    </row>
    <row r="4583" spans="1:12" ht="15" customHeight="1" x14ac:dyDescent="0.3">
      <c r="A4583" s="23" t="s">
        <v>17891</v>
      </c>
      <c r="B4583" s="23" t="s">
        <v>75</v>
      </c>
      <c r="C4583" s="39">
        <v>3499</v>
      </c>
      <c r="D4583" s="24">
        <v>10.5</v>
      </c>
      <c r="E4583" s="24">
        <v>1.89</v>
      </c>
      <c r="F4583" s="23">
        <f>COUNTIFS(mdr_rate_cleaned!$A$2:$A$10,B4583,mdr_rate_cleaned!$B$2:$B$10,"&lt;"&amp;C4583,mdr_rate_cleaned!$F$2:$F$10,"&gt;="&amp;C4583)</f>
        <v>1</v>
      </c>
      <c r="G4583" s="40">
        <f>SUMIFS(mdr_rate_cleaned!$G$2:$G$10,mdr_rate_cleaned!$A$2:$A$10,B4583,mdr_rate_cleaned!$B$2:$B$10,"&lt;"&amp;C4583,mdr_rate_cleaned!$F$2:$F$10,"&gt;="&amp;C4583)</f>
        <v>3.0000000000000001E-3</v>
      </c>
      <c r="H4583" s="24">
        <f t="shared" si="355"/>
        <v>10.5</v>
      </c>
      <c r="I4583" s="23" t="str">
        <f t="shared" si="356"/>
        <v>Match</v>
      </c>
      <c r="J4583" s="23" t="str">
        <f t="shared" si="357"/>
        <v>Match</v>
      </c>
      <c r="K4583" s="24">
        <f t="shared" si="358"/>
        <v>1.89</v>
      </c>
      <c r="L4583" s="24">
        <f t="shared" si="359"/>
        <v>0</v>
      </c>
    </row>
    <row r="4584" spans="1:12" ht="15" customHeight="1" x14ac:dyDescent="0.3">
      <c r="A4584" s="23" t="s">
        <v>17892</v>
      </c>
      <c r="B4584" s="23" t="s">
        <v>77</v>
      </c>
      <c r="C4584" s="39">
        <v>5497</v>
      </c>
      <c r="D4584" s="24">
        <v>93.45</v>
      </c>
      <c r="E4584" s="24">
        <v>16.82</v>
      </c>
      <c r="F4584" s="23">
        <f>COUNTIFS(mdr_rate_cleaned!$A$2:$A$10,B4584,mdr_rate_cleaned!$B$2:$B$10,"&lt;"&amp;C4584,mdr_rate_cleaned!$F$2:$F$10,"&gt;="&amp;C4584)</f>
        <v>1</v>
      </c>
      <c r="G4584" s="40">
        <f>SUMIFS(mdr_rate_cleaned!$G$2:$G$10,mdr_rate_cleaned!$A$2:$A$10,B4584,mdr_rate_cleaned!$B$2:$B$10,"&lt;"&amp;C4584,mdr_rate_cleaned!$F$2:$F$10,"&gt;="&amp;C4584)</f>
        <v>1.7000000000000001E-2</v>
      </c>
      <c r="H4584" s="24">
        <f t="shared" si="355"/>
        <v>93.45</v>
      </c>
      <c r="I4584" s="23" t="str">
        <f t="shared" si="356"/>
        <v>Match</v>
      </c>
      <c r="J4584" s="23" t="str">
        <f t="shared" si="357"/>
        <v>Match</v>
      </c>
      <c r="K4584" s="24">
        <f t="shared" si="358"/>
        <v>16.82</v>
      </c>
      <c r="L4584" s="24">
        <f t="shared" si="359"/>
        <v>0</v>
      </c>
    </row>
    <row r="4585" spans="1:12" ht="15" customHeight="1" x14ac:dyDescent="0.3">
      <c r="A4585" s="23" t="s">
        <v>17893</v>
      </c>
      <c r="B4585" s="23" t="s">
        <v>79</v>
      </c>
      <c r="C4585" s="39">
        <v>1499</v>
      </c>
      <c r="D4585" s="24">
        <v>26.98</v>
      </c>
      <c r="E4585" s="24">
        <v>4.8600000000000003</v>
      </c>
      <c r="F4585" s="23">
        <f>COUNTIFS(mdr_rate_cleaned!$A$2:$A$10,B4585,mdr_rate_cleaned!$B$2:$B$10,"&lt;"&amp;C4585,mdr_rate_cleaned!$F$2:$F$10,"&gt;="&amp;C4585)</f>
        <v>1</v>
      </c>
      <c r="G4585" s="40">
        <f>SUMIFS(mdr_rate_cleaned!$G$2:$G$10,mdr_rate_cleaned!$A$2:$A$10,B4585,mdr_rate_cleaned!$B$2:$B$10,"&lt;"&amp;C4585,mdr_rate_cleaned!$F$2:$F$10,"&gt;="&amp;C4585)</f>
        <v>1.8000000000000002E-2</v>
      </c>
      <c r="H4585" s="24">
        <f t="shared" si="355"/>
        <v>26.98</v>
      </c>
      <c r="I4585" s="23" t="str">
        <f t="shared" si="356"/>
        <v>Match</v>
      </c>
      <c r="J4585" s="23" t="str">
        <f t="shared" si="357"/>
        <v>Match</v>
      </c>
      <c r="K4585" s="24">
        <f t="shared" si="358"/>
        <v>4.8600000000000003</v>
      </c>
      <c r="L4585" s="24">
        <f t="shared" si="359"/>
        <v>0</v>
      </c>
    </row>
    <row r="4586" spans="1:12" ht="15" customHeight="1" x14ac:dyDescent="0.3">
      <c r="A4586" s="23" t="s">
        <v>17894</v>
      </c>
      <c r="B4586" s="23" t="s">
        <v>75</v>
      </c>
      <c r="C4586" s="39">
        <v>4498</v>
      </c>
      <c r="D4586" s="24">
        <v>13.49</v>
      </c>
      <c r="E4586" s="24">
        <v>2.4300000000000002</v>
      </c>
      <c r="F4586" s="23">
        <f>COUNTIFS(mdr_rate_cleaned!$A$2:$A$10,B4586,mdr_rate_cleaned!$B$2:$B$10,"&lt;"&amp;C4586,mdr_rate_cleaned!$F$2:$F$10,"&gt;="&amp;C4586)</f>
        <v>1</v>
      </c>
      <c r="G4586" s="40">
        <f>SUMIFS(mdr_rate_cleaned!$G$2:$G$10,mdr_rate_cleaned!$A$2:$A$10,B4586,mdr_rate_cleaned!$B$2:$B$10,"&lt;"&amp;C4586,mdr_rate_cleaned!$F$2:$F$10,"&gt;="&amp;C4586)</f>
        <v>3.0000000000000001E-3</v>
      </c>
      <c r="H4586" s="24">
        <f t="shared" si="355"/>
        <v>13.49</v>
      </c>
      <c r="I4586" s="23" t="str">
        <f t="shared" si="356"/>
        <v>Match</v>
      </c>
      <c r="J4586" s="23" t="str">
        <f t="shared" si="357"/>
        <v>Match</v>
      </c>
      <c r="K4586" s="24">
        <f t="shared" si="358"/>
        <v>2.4300000000000002</v>
      </c>
      <c r="L4586" s="24">
        <f t="shared" si="359"/>
        <v>0</v>
      </c>
    </row>
    <row r="4587" spans="1:12" ht="15" customHeight="1" x14ac:dyDescent="0.3">
      <c r="A4587" s="23" t="s">
        <v>17895</v>
      </c>
      <c r="B4587" s="23" t="s">
        <v>75</v>
      </c>
      <c r="C4587" s="39">
        <v>1598</v>
      </c>
      <c r="D4587" s="24">
        <v>0</v>
      </c>
      <c r="E4587" s="24">
        <v>0</v>
      </c>
      <c r="F4587" s="23">
        <f>COUNTIFS(mdr_rate_cleaned!$A$2:$A$10,B4587,mdr_rate_cleaned!$B$2:$B$10,"&lt;"&amp;C4587,mdr_rate_cleaned!$F$2:$F$10,"&gt;="&amp;C4587)</f>
        <v>1</v>
      </c>
      <c r="G4587" s="40">
        <f>SUMIFS(mdr_rate_cleaned!$G$2:$G$10,mdr_rate_cleaned!$A$2:$A$10,B4587,mdr_rate_cleaned!$B$2:$B$10,"&lt;"&amp;C4587,mdr_rate_cleaned!$F$2:$F$10,"&gt;="&amp;C4587)</f>
        <v>0</v>
      </c>
      <c r="H4587" s="24">
        <f t="shared" si="355"/>
        <v>0</v>
      </c>
      <c r="I4587" s="23" t="str">
        <f t="shared" si="356"/>
        <v>Match</v>
      </c>
      <c r="J4587" s="23" t="str">
        <f t="shared" si="357"/>
        <v>Match</v>
      </c>
      <c r="K4587" s="24">
        <f t="shared" si="358"/>
        <v>0</v>
      </c>
      <c r="L4587" s="24">
        <f t="shared" si="359"/>
        <v>0</v>
      </c>
    </row>
    <row r="4588" spans="1:12" ht="15" customHeight="1" x14ac:dyDescent="0.3">
      <c r="A4588" s="23" t="s">
        <v>17896</v>
      </c>
      <c r="B4588" s="23" t="s">
        <v>75</v>
      </c>
      <c r="C4588" s="39">
        <v>4597</v>
      </c>
      <c r="D4588" s="24">
        <v>13.79</v>
      </c>
      <c r="E4588" s="24">
        <v>2.48</v>
      </c>
      <c r="F4588" s="23">
        <f>COUNTIFS(mdr_rate_cleaned!$A$2:$A$10,B4588,mdr_rate_cleaned!$B$2:$B$10,"&lt;"&amp;C4588,mdr_rate_cleaned!$F$2:$F$10,"&gt;="&amp;C4588)</f>
        <v>1</v>
      </c>
      <c r="G4588" s="40">
        <f>SUMIFS(mdr_rate_cleaned!$G$2:$G$10,mdr_rate_cleaned!$A$2:$A$10,B4588,mdr_rate_cleaned!$B$2:$B$10,"&lt;"&amp;C4588,mdr_rate_cleaned!$F$2:$F$10,"&gt;="&amp;C4588)</f>
        <v>3.0000000000000001E-3</v>
      </c>
      <c r="H4588" s="24">
        <f t="shared" si="355"/>
        <v>13.79</v>
      </c>
      <c r="I4588" s="23" t="str">
        <f t="shared" si="356"/>
        <v>Match</v>
      </c>
      <c r="J4588" s="23" t="str">
        <f t="shared" si="357"/>
        <v>Match</v>
      </c>
      <c r="K4588" s="24">
        <f t="shared" si="358"/>
        <v>2.48</v>
      </c>
      <c r="L4588" s="24">
        <f t="shared" si="359"/>
        <v>0</v>
      </c>
    </row>
    <row r="4589" spans="1:12" ht="15" customHeight="1" x14ac:dyDescent="0.3">
      <c r="A4589" s="23" t="s">
        <v>17897</v>
      </c>
      <c r="B4589" s="23" t="s">
        <v>77</v>
      </c>
      <c r="C4589" s="39">
        <v>3097</v>
      </c>
      <c r="D4589" s="24">
        <v>52.65</v>
      </c>
      <c r="E4589" s="24">
        <v>9.48</v>
      </c>
      <c r="F4589" s="23">
        <f>COUNTIFS(mdr_rate_cleaned!$A$2:$A$10,B4589,mdr_rate_cleaned!$B$2:$B$10,"&lt;"&amp;C4589,mdr_rate_cleaned!$F$2:$F$10,"&gt;="&amp;C4589)</f>
        <v>1</v>
      </c>
      <c r="G4589" s="40">
        <f>SUMIFS(mdr_rate_cleaned!$G$2:$G$10,mdr_rate_cleaned!$A$2:$A$10,B4589,mdr_rate_cleaned!$B$2:$B$10,"&lt;"&amp;C4589,mdr_rate_cleaned!$F$2:$F$10,"&gt;="&amp;C4589)</f>
        <v>1.7000000000000001E-2</v>
      </c>
      <c r="H4589" s="24">
        <f t="shared" si="355"/>
        <v>52.65</v>
      </c>
      <c r="I4589" s="23" t="str">
        <f t="shared" si="356"/>
        <v>Match</v>
      </c>
      <c r="J4589" s="23" t="str">
        <f t="shared" si="357"/>
        <v>Match</v>
      </c>
      <c r="K4589" s="24">
        <f t="shared" si="358"/>
        <v>9.48</v>
      </c>
      <c r="L4589" s="24">
        <f t="shared" si="359"/>
        <v>0</v>
      </c>
    </row>
    <row r="4590" spans="1:12" ht="15" customHeight="1" x14ac:dyDescent="0.3">
      <c r="A4590" s="23" t="s">
        <v>17898</v>
      </c>
      <c r="B4590" s="23" t="s">
        <v>75</v>
      </c>
      <c r="C4590" s="39">
        <v>1499</v>
      </c>
      <c r="D4590" s="24">
        <v>0</v>
      </c>
      <c r="E4590" s="24">
        <v>0</v>
      </c>
      <c r="F4590" s="23">
        <f>COUNTIFS(mdr_rate_cleaned!$A$2:$A$10,B4590,mdr_rate_cleaned!$B$2:$B$10,"&lt;"&amp;C4590,mdr_rate_cleaned!$F$2:$F$10,"&gt;="&amp;C4590)</f>
        <v>1</v>
      </c>
      <c r="G4590" s="40">
        <f>SUMIFS(mdr_rate_cleaned!$G$2:$G$10,mdr_rate_cleaned!$A$2:$A$10,B4590,mdr_rate_cleaned!$B$2:$B$10,"&lt;"&amp;C4590,mdr_rate_cleaned!$F$2:$F$10,"&gt;="&amp;C4590)</f>
        <v>0</v>
      </c>
      <c r="H4590" s="24">
        <f t="shared" si="355"/>
        <v>0</v>
      </c>
      <c r="I4590" s="23" t="str">
        <f t="shared" si="356"/>
        <v>Match</v>
      </c>
      <c r="J4590" s="23" t="str">
        <f t="shared" si="357"/>
        <v>Match</v>
      </c>
      <c r="K4590" s="24">
        <f t="shared" si="358"/>
        <v>0</v>
      </c>
      <c r="L4590" s="24">
        <f t="shared" si="359"/>
        <v>0</v>
      </c>
    </row>
    <row r="4591" spans="1:12" ht="15" customHeight="1" x14ac:dyDescent="0.3">
      <c r="A4591" s="23" t="s">
        <v>17900</v>
      </c>
      <c r="B4591" s="23" t="s">
        <v>77</v>
      </c>
      <c r="C4591" s="39">
        <v>3597</v>
      </c>
      <c r="D4591" s="24">
        <v>61.15</v>
      </c>
      <c r="E4591" s="24">
        <v>11.01</v>
      </c>
      <c r="F4591" s="23">
        <f>COUNTIFS(mdr_rate_cleaned!$A$2:$A$10,B4591,mdr_rate_cleaned!$B$2:$B$10,"&lt;"&amp;C4591,mdr_rate_cleaned!$F$2:$F$10,"&gt;="&amp;C4591)</f>
        <v>1</v>
      </c>
      <c r="G4591" s="40">
        <f>SUMIFS(mdr_rate_cleaned!$G$2:$G$10,mdr_rate_cleaned!$A$2:$A$10,B4591,mdr_rate_cleaned!$B$2:$B$10,"&lt;"&amp;C4591,mdr_rate_cleaned!$F$2:$F$10,"&gt;="&amp;C4591)</f>
        <v>1.7000000000000001E-2</v>
      </c>
      <c r="H4591" s="24">
        <f t="shared" si="355"/>
        <v>61.15</v>
      </c>
      <c r="I4591" s="23" t="str">
        <f t="shared" si="356"/>
        <v>Match</v>
      </c>
      <c r="J4591" s="23" t="str">
        <f t="shared" si="357"/>
        <v>Match</v>
      </c>
      <c r="K4591" s="24">
        <f t="shared" si="358"/>
        <v>11.01</v>
      </c>
      <c r="L4591" s="24">
        <f t="shared" si="359"/>
        <v>0</v>
      </c>
    </row>
    <row r="4592" spans="1:12" ht="15" customHeight="1" x14ac:dyDescent="0.3">
      <c r="A4592" s="23" t="s">
        <v>17901</v>
      </c>
      <c r="B4592" s="23" t="s">
        <v>75</v>
      </c>
      <c r="C4592" s="39">
        <v>349</v>
      </c>
      <c r="D4592" s="24">
        <v>0</v>
      </c>
      <c r="E4592" s="24">
        <v>0</v>
      </c>
      <c r="F4592" s="23">
        <f>COUNTIFS(mdr_rate_cleaned!$A$2:$A$10,B4592,mdr_rate_cleaned!$B$2:$B$10,"&lt;"&amp;C4592,mdr_rate_cleaned!$F$2:$F$10,"&gt;="&amp;C4592)</f>
        <v>1</v>
      </c>
      <c r="G4592" s="40">
        <f>SUMIFS(mdr_rate_cleaned!$G$2:$G$10,mdr_rate_cleaned!$A$2:$A$10,B4592,mdr_rate_cleaned!$B$2:$B$10,"&lt;"&amp;C4592,mdr_rate_cleaned!$F$2:$F$10,"&gt;="&amp;C4592)</f>
        <v>0</v>
      </c>
      <c r="H4592" s="24">
        <f t="shared" si="355"/>
        <v>0</v>
      </c>
      <c r="I4592" s="23" t="str">
        <f t="shared" si="356"/>
        <v>Match</v>
      </c>
      <c r="J4592" s="23" t="str">
        <f t="shared" si="357"/>
        <v>Match</v>
      </c>
      <c r="K4592" s="24">
        <f t="shared" si="358"/>
        <v>0</v>
      </c>
      <c r="L4592" s="24">
        <f t="shared" si="359"/>
        <v>0</v>
      </c>
    </row>
    <row r="4593" spans="1:12" ht="15" customHeight="1" x14ac:dyDescent="0.3">
      <c r="A4593" s="23" t="s">
        <v>17902</v>
      </c>
      <c r="B4593" s="23" t="s">
        <v>77</v>
      </c>
      <c r="C4593" s="39">
        <v>1499</v>
      </c>
      <c r="D4593" s="24">
        <v>28.48</v>
      </c>
      <c r="E4593" s="24">
        <v>5.13</v>
      </c>
      <c r="F4593" s="23">
        <f>COUNTIFS(mdr_rate_cleaned!$A$2:$A$10,B4593,mdr_rate_cleaned!$B$2:$B$10,"&lt;"&amp;C4593,mdr_rate_cleaned!$F$2:$F$10,"&gt;="&amp;C4593)</f>
        <v>1</v>
      </c>
      <c r="G4593" s="40">
        <f>SUMIFS(mdr_rate_cleaned!$G$2:$G$10,mdr_rate_cleaned!$A$2:$A$10,B4593,mdr_rate_cleaned!$B$2:$B$10,"&lt;"&amp;C4593,mdr_rate_cleaned!$F$2:$F$10,"&gt;="&amp;C4593)</f>
        <v>1.9E-2</v>
      </c>
      <c r="H4593" s="24">
        <f t="shared" si="355"/>
        <v>28.48</v>
      </c>
      <c r="I4593" s="23" t="str">
        <f t="shared" si="356"/>
        <v>Match</v>
      </c>
      <c r="J4593" s="23" t="str">
        <f t="shared" si="357"/>
        <v>Match</v>
      </c>
      <c r="K4593" s="24">
        <f t="shared" si="358"/>
        <v>5.13</v>
      </c>
      <c r="L4593" s="24">
        <f t="shared" si="359"/>
        <v>0</v>
      </c>
    </row>
    <row r="4594" spans="1:12" ht="15" customHeight="1" x14ac:dyDescent="0.3">
      <c r="A4594" s="23" t="s">
        <v>17903</v>
      </c>
      <c r="B4594" s="23" t="s">
        <v>75</v>
      </c>
      <c r="C4594" s="39">
        <v>349</v>
      </c>
      <c r="D4594" s="24">
        <v>0</v>
      </c>
      <c r="E4594" s="24">
        <v>0</v>
      </c>
      <c r="F4594" s="23">
        <f>COUNTIFS(mdr_rate_cleaned!$A$2:$A$10,B4594,mdr_rate_cleaned!$B$2:$B$10,"&lt;"&amp;C4594,mdr_rate_cleaned!$F$2:$F$10,"&gt;="&amp;C4594)</f>
        <v>1</v>
      </c>
      <c r="G4594" s="40">
        <f>SUMIFS(mdr_rate_cleaned!$G$2:$G$10,mdr_rate_cleaned!$A$2:$A$10,B4594,mdr_rate_cleaned!$B$2:$B$10,"&lt;"&amp;C4594,mdr_rate_cleaned!$F$2:$F$10,"&gt;="&amp;C4594)</f>
        <v>0</v>
      </c>
      <c r="H4594" s="24">
        <f t="shared" si="355"/>
        <v>0</v>
      </c>
      <c r="I4594" s="23" t="str">
        <f t="shared" si="356"/>
        <v>Match</v>
      </c>
      <c r="J4594" s="23" t="str">
        <f t="shared" si="357"/>
        <v>Match</v>
      </c>
      <c r="K4594" s="24">
        <f t="shared" si="358"/>
        <v>0</v>
      </c>
      <c r="L4594" s="24">
        <f t="shared" si="359"/>
        <v>0</v>
      </c>
    </row>
    <row r="4595" spans="1:12" ht="15" customHeight="1" x14ac:dyDescent="0.3">
      <c r="A4595" s="23" t="s">
        <v>17904</v>
      </c>
      <c r="B4595" s="23" t="s">
        <v>81</v>
      </c>
      <c r="C4595" s="39">
        <v>1299</v>
      </c>
      <c r="D4595" s="24">
        <v>19.489999999999998</v>
      </c>
      <c r="E4595" s="24">
        <v>3.51</v>
      </c>
      <c r="F4595" s="23">
        <f>COUNTIFS(mdr_rate_cleaned!$A$2:$A$10,B4595,mdr_rate_cleaned!$B$2:$B$10,"&lt;"&amp;C4595,mdr_rate_cleaned!$F$2:$F$10,"&gt;="&amp;C4595)</f>
        <v>1</v>
      </c>
      <c r="G4595" s="40">
        <f>SUMIFS(mdr_rate_cleaned!$G$2:$G$10,mdr_rate_cleaned!$A$2:$A$10,B4595,mdr_rate_cleaned!$B$2:$B$10,"&lt;"&amp;C4595,mdr_rate_cleaned!$F$2:$F$10,"&gt;="&amp;C4595)</f>
        <v>1.4999999999999999E-2</v>
      </c>
      <c r="H4595" s="24">
        <f t="shared" si="355"/>
        <v>19.489999999999998</v>
      </c>
      <c r="I4595" s="23" t="str">
        <f t="shared" si="356"/>
        <v>Match</v>
      </c>
      <c r="J4595" s="23" t="str">
        <f t="shared" si="357"/>
        <v>Match</v>
      </c>
      <c r="K4595" s="24">
        <f t="shared" si="358"/>
        <v>3.51</v>
      </c>
      <c r="L4595" s="24">
        <f t="shared" si="359"/>
        <v>0</v>
      </c>
    </row>
    <row r="4596" spans="1:12" ht="15" customHeight="1" x14ac:dyDescent="0.3">
      <c r="A4596" s="23" t="s">
        <v>17905</v>
      </c>
      <c r="B4596" s="23" t="s">
        <v>81</v>
      </c>
      <c r="C4596" s="39">
        <v>5497</v>
      </c>
      <c r="D4596" s="24">
        <v>65.959999999999994</v>
      </c>
      <c r="E4596" s="24">
        <v>11.87</v>
      </c>
      <c r="F4596" s="23">
        <f>COUNTIFS(mdr_rate_cleaned!$A$2:$A$10,B4596,mdr_rate_cleaned!$B$2:$B$10,"&lt;"&amp;C4596,mdr_rate_cleaned!$F$2:$F$10,"&gt;="&amp;C4596)</f>
        <v>1</v>
      </c>
      <c r="G4596" s="40">
        <f>SUMIFS(mdr_rate_cleaned!$G$2:$G$10,mdr_rate_cleaned!$A$2:$A$10,B4596,mdr_rate_cleaned!$B$2:$B$10,"&lt;"&amp;C4596,mdr_rate_cleaned!$F$2:$F$10,"&gt;="&amp;C4596)</f>
        <v>1.2E-2</v>
      </c>
      <c r="H4596" s="24">
        <f t="shared" si="355"/>
        <v>65.959999999999994</v>
      </c>
      <c r="I4596" s="23" t="str">
        <f t="shared" si="356"/>
        <v>Match</v>
      </c>
      <c r="J4596" s="23" t="str">
        <f t="shared" si="357"/>
        <v>Match</v>
      </c>
      <c r="K4596" s="24">
        <f t="shared" si="358"/>
        <v>11.87</v>
      </c>
      <c r="L4596" s="24">
        <f t="shared" si="359"/>
        <v>0</v>
      </c>
    </row>
    <row r="4597" spans="1:12" ht="15" customHeight="1" x14ac:dyDescent="0.3">
      <c r="A4597" s="23" t="s">
        <v>17906</v>
      </c>
      <c r="B4597" s="23" t="s">
        <v>75</v>
      </c>
      <c r="C4597" s="39">
        <v>2499</v>
      </c>
      <c r="D4597" s="24">
        <v>7.5</v>
      </c>
      <c r="E4597" s="24">
        <v>1.35</v>
      </c>
      <c r="F4597" s="23">
        <f>COUNTIFS(mdr_rate_cleaned!$A$2:$A$10,B4597,mdr_rate_cleaned!$B$2:$B$10,"&lt;"&amp;C4597,mdr_rate_cleaned!$F$2:$F$10,"&gt;="&amp;C4597)</f>
        <v>1</v>
      </c>
      <c r="G4597" s="40">
        <f>SUMIFS(mdr_rate_cleaned!$G$2:$G$10,mdr_rate_cleaned!$A$2:$A$10,B4597,mdr_rate_cleaned!$B$2:$B$10,"&lt;"&amp;C4597,mdr_rate_cleaned!$F$2:$F$10,"&gt;="&amp;C4597)</f>
        <v>3.0000000000000001E-3</v>
      </c>
      <c r="H4597" s="24">
        <f t="shared" si="355"/>
        <v>7.5</v>
      </c>
      <c r="I4597" s="23" t="str">
        <f t="shared" si="356"/>
        <v>Match</v>
      </c>
      <c r="J4597" s="23" t="str">
        <f t="shared" si="357"/>
        <v>Match</v>
      </c>
      <c r="K4597" s="24">
        <f t="shared" si="358"/>
        <v>1.35</v>
      </c>
      <c r="L4597" s="24">
        <f t="shared" si="359"/>
        <v>0</v>
      </c>
    </row>
    <row r="4598" spans="1:12" ht="15" customHeight="1" x14ac:dyDescent="0.3">
      <c r="A4598" s="23" t="s">
        <v>17907</v>
      </c>
      <c r="B4598" s="23" t="s">
        <v>79</v>
      </c>
      <c r="C4598" s="39">
        <v>2999</v>
      </c>
      <c r="D4598" s="24">
        <v>47.98</v>
      </c>
      <c r="E4598" s="24">
        <v>8.64</v>
      </c>
      <c r="F4598" s="23">
        <f>COUNTIFS(mdr_rate_cleaned!$A$2:$A$10,B4598,mdr_rate_cleaned!$B$2:$B$10,"&lt;"&amp;C4598,mdr_rate_cleaned!$F$2:$F$10,"&gt;="&amp;C4598)</f>
        <v>1</v>
      </c>
      <c r="G4598" s="40">
        <f>SUMIFS(mdr_rate_cleaned!$G$2:$G$10,mdr_rate_cleaned!$A$2:$A$10,B4598,mdr_rate_cleaned!$B$2:$B$10,"&lt;"&amp;C4598,mdr_rate_cleaned!$F$2:$F$10,"&gt;="&amp;C4598)</f>
        <v>1.6E-2</v>
      </c>
      <c r="H4598" s="24">
        <f t="shared" si="355"/>
        <v>47.98</v>
      </c>
      <c r="I4598" s="23" t="str">
        <f t="shared" si="356"/>
        <v>Match</v>
      </c>
      <c r="J4598" s="23" t="str">
        <f t="shared" si="357"/>
        <v>Match</v>
      </c>
      <c r="K4598" s="24">
        <f t="shared" si="358"/>
        <v>8.64</v>
      </c>
      <c r="L4598" s="24">
        <f t="shared" si="359"/>
        <v>0</v>
      </c>
    </row>
    <row r="4599" spans="1:12" ht="15" customHeight="1" x14ac:dyDescent="0.3">
      <c r="A4599" s="23" t="s">
        <v>17909</v>
      </c>
      <c r="B4599" s="23" t="s">
        <v>75</v>
      </c>
      <c r="C4599" s="39">
        <v>499</v>
      </c>
      <c r="D4599" s="24">
        <v>0</v>
      </c>
      <c r="E4599" s="24">
        <v>0</v>
      </c>
      <c r="F4599" s="23">
        <f>COUNTIFS(mdr_rate_cleaned!$A$2:$A$10,B4599,mdr_rate_cleaned!$B$2:$B$10,"&lt;"&amp;C4599,mdr_rate_cleaned!$F$2:$F$10,"&gt;="&amp;C4599)</f>
        <v>1</v>
      </c>
      <c r="G4599" s="40">
        <f>SUMIFS(mdr_rate_cleaned!$G$2:$G$10,mdr_rate_cleaned!$A$2:$A$10,B4599,mdr_rate_cleaned!$B$2:$B$10,"&lt;"&amp;C4599,mdr_rate_cleaned!$F$2:$F$10,"&gt;="&amp;C4599)</f>
        <v>0</v>
      </c>
      <c r="H4599" s="24">
        <f t="shared" si="355"/>
        <v>0</v>
      </c>
      <c r="I4599" s="23" t="str">
        <f t="shared" si="356"/>
        <v>Match</v>
      </c>
      <c r="J4599" s="23" t="str">
        <f t="shared" si="357"/>
        <v>Match</v>
      </c>
      <c r="K4599" s="24">
        <f t="shared" si="358"/>
        <v>0</v>
      </c>
      <c r="L4599" s="24">
        <f t="shared" si="359"/>
        <v>0</v>
      </c>
    </row>
    <row r="4600" spans="1:12" ht="15" customHeight="1" x14ac:dyDescent="0.3">
      <c r="A4600" s="23" t="s">
        <v>17910</v>
      </c>
      <c r="B4600" s="23" t="s">
        <v>75</v>
      </c>
      <c r="C4600" s="39">
        <v>999</v>
      </c>
      <c r="D4600" s="24">
        <v>0</v>
      </c>
      <c r="E4600" s="24">
        <v>0</v>
      </c>
      <c r="F4600" s="23">
        <f>COUNTIFS(mdr_rate_cleaned!$A$2:$A$10,B4600,mdr_rate_cleaned!$B$2:$B$10,"&lt;"&amp;C4600,mdr_rate_cleaned!$F$2:$F$10,"&gt;="&amp;C4600)</f>
        <v>1</v>
      </c>
      <c r="G4600" s="40">
        <f>SUMIFS(mdr_rate_cleaned!$G$2:$G$10,mdr_rate_cleaned!$A$2:$A$10,B4600,mdr_rate_cleaned!$B$2:$B$10,"&lt;"&amp;C4600,mdr_rate_cleaned!$F$2:$F$10,"&gt;="&amp;C4600)</f>
        <v>0</v>
      </c>
      <c r="H4600" s="24">
        <f t="shared" si="355"/>
        <v>0</v>
      </c>
      <c r="I4600" s="23" t="str">
        <f t="shared" si="356"/>
        <v>Match</v>
      </c>
      <c r="J4600" s="23" t="str">
        <f t="shared" si="357"/>
        <v>Match</v>
      </c>
      <c r="K4600" s="24">
        <f t="shared" si="358"/>
        <v>0</v>
      </c>
      <c r="L4600" s="24">
        <f t="shared" si="359"/>
        <v>0</v>
      </c>
    </row>
    <row r="4601" spans="1:12" ht="15" customHeight="1" x14ac:dyDescent="0.3">
      <c r="A4601" s="23" t="s">
        <v>17911</v>
      </c>
      <c r="B4601" s="23" t="s">
        <v>79</v>
      </c>
      <c r="C4601" s="39">
        <v>999</v>
      </c>
      <c r="D4601" s="24">
        <v>17.98</v>
      </c>
      <c r="E4601" s="24">
        <v>3.24</v>
      </c>
      <c r="F4601" s="23">
        <f>COUNTIFS(mdr_rate_cleaned!$A$2:$A$10,B4601,mdr_rate_cleaned!$B$2:$B$10,"&lt;"&amp;C4601,mdr_rate_cleaned!$F$2:$F$10,"&gt;="&amp;C4601)</f>
        <v>1</v>
      </c>
      <c r="G4601" s="40">
        <f>SUMIFS(mdr_rate_cleaned!$G$2:$G$10,mdr_rate_cleaned!$A$2:$A$10,B4601,mdr_rate_cleaned!$B$2:$B$10,"&lt;"&amp;C4601,mdr_rate_cleaned!$F$2:$F$10,"&gt;="&amp;C4601)</f>
        <v>1.8000000000000002E-2</v>
      </c>
      <c r="H4601" s="24">
        <f t="shared" si="355"/>
        <v>17.98</v>
      </c>
      <c r="I4601" s="23" t="str">
        <f t="shared" si="356"/>
        <v>Match</v>
      </c>
      <c r="J4601" s="23" t="str">
        <f t="shared" si="357"/>
        <v>Match</v>
      </c>
      <c r="K4601" s="24">
        <f t="shared" si="358"/>
        <v>3.24</v>
      </c>
      <c r="L4601" s="24">
        <f t="shared" si="359"/>
        <v>0</v>
      </c>
    </row>
    <row r="4602" spans="1:12" ht="15" customHeight="1" x14ac:dyDescent="0.3">
      <c r="A4602" s="23" t="s">
        <v>17912</v>
      </c>
      <c r="B4602" s="23" t="s">
        <v>75</v>
      </c>
      <c r="C4602" s="39">
        <v>1798</v>
      </c>
      <c r="D4602" s="24">
        <v>0</v>
      </c>
      <c r="E4602" s="24">
        <v>0</v>
      </c>
      <c r="F4602" s="23">
        <f>COUNTIFS(mdr_rate_cleaned!$A$2:$A$10,B4602,mdr_rate_cleaned!$B$2:$B$10,"&lt;"&amp;C4602,mdr_rate_cleaned!$F$2:$F$10,"&gt;="&amp;C4602)</f>
        <v>1</v>
      </c>
      <c r="G4602" s="40">
        <f>SUMIFS(mdr_rate_cleaned!$G$2:$G$10,mdr_rate_cleaned!$A$2:$A$10,B4602,mdr_rate_cleaned!$B$2:$B$10,"&lt;"&amp;C4602,mdr_rate_cleaned!$F$2:$F$10,"&gt;="&amp;C4602)</f>
        <v>0</v>
      </c>
      <c r="H4602" s="24">
        <f t="shared" si="355"/>
        <v>0</v>
      </c>
      <c r="I4602" s="23" t="str">
        <f t="shared" si="356"/>
        <v>Match</v>
      </c>
      <c r="J4602" s="23" t="str">
        <f t="shared" si="357"/>
        <v>Match</v>
      </c>
      <c r="K4602" s="24">
        <f t="shared" si="358"/>
        <v>0</v>
      </c>
      <c r="L4602" s="24">
        <f t="shared" si="359"/>
        <v>0</v>
      </c>
    </row>
    <row r="4603" spans="1:12" ht="15" customHeight="1" x14ac:dyDescent="0.3">
      <c r="A4603" s="23" t="s">
        <v>17913</v>
      </c>
      <c r="B4603" s="23" t="s">
        <v>75</v>
      </c>
      <c r="C4603" s="39">
        <v>6498</v>
      </c>
      <c r="D4603" s="24">
        <v>19.489999999999998</v>
      </c>
      <c r="E4603" s="24">
        <v>3.51</v>
      </c>
      <c r="F4603" s="23">
        <f>COUNTIFS(mdr_rate_cleaned!$A$2:$A$10,B4603,mdr_rate_cleaned!$B$2:$B$10,"&lt;"&amp;C4603,mdr_rate_cleaned!$F$2:$F$10,"&gt;="&amp;C4603)</f>
        <v>1</v>
      </c>
      <c r="G4603" s="40">
        <f>SUMIFS(mdr_rate_cleaned!$G$2:$G$10,mdr_rate_cleaned!$A$2:$A$10,B4603,mdr_rate_cleaned!$B$2:$B$10,"&lt;"&amp;C4603,mdr_rate_cleaned!$F$2:$F$10,"&gt;="&amp;C4603)</f>
        <v>3.0000000000000001E-3</v>
      </c>
      <c r="H4603" s="24">
        <f t="shared" si="355"/>
        <v>19.489999999999998</v>
      </c>
      <c r="I4603" s="23" t="str">
        <f t="shared" si="356"/>
        <v>Match</v>
      </c>
      <c r="J4603" s="23" t="str">
        <f t="shared" si="357"/>
        <v>Match</v>
      </c>
      <c r="K4603" s="24">
        <f t="shared" si="358"/>
        <v>3.51</v>
      </c>
      <c r="L4603" s="24">
        <f t="shared" si="359"/>
        <v>0</v>
      </c>
    </row>
    <row r="4604" spans="1:12" ht="15" customHeight="1" x14ac:dyDescent="0.3">
      <c r="A4604" s="23" t="s">
        <v>17914</v>
      </c>
      <c r="B4604" s="23" t="s">
        <v>75</v>
      </c>
      <c r="C4604" s="39">
        <v>799</v>
      </c>
      <c r="D4604" s="24">
        <v>0</v>
      </c>
      <c r="E4604" s="24">
        <v>0</v>
      </c>
      <c r="F4604" s="23">
        <f>COUNTIFS(mdr_rate_cleaned!$A$2:$A$10,B4604,mdr_rate_cleaned!$B$2:$B$10,"&lt;"&amp;C4604,mdr_rate_cleaned!$F$2:$F$10,"&gt;="&amp;C4604)</f>
        <v>1</v>
      </c>
      <c r="G4604" s="40">
        <f>SUMIFS(mdr_rate_cleaned!$G$2:$G$10,mdr_rate_cleaned!$A$2:$A$10,B4604,mdr_rate_cleaned!$B$2:$B$10,"&lt;"&amp;C4604,mdr_rate_cleaned!$F$2:$F$10,"&gt;="&amp;C4604)</f>
        <v>0</v>
      </c>
      <c r="H4604" s="24">
        <f t="shared" si="355"/>
        <v>0</v>
      </c>
      <c r="I4604" s="23" t="str">
        <f t="shared" si="356"/>
        <v>Match</v>
      </c>
      <c r="J4604" s="23" t="str">
        <f t="shared" si="357"/>
        <v>Match</v>
      </c>
      <c r="K4604" s="24">
        <f t="shared" si="358"/>
        <v>0</v>
      </c>
      <c r="L4604" s="24">
        <f t="shared" si="359"/>
        <v>0</v>
      </c>
    </row>
    <row r="4605" spans="1:12" ht="15" customHeight="1" x14ac:dyDescent="0.3">
      <c r="A4605" s="23" t="s">
        <v>17915</v>
      </c>
      <c r="B4605" s="23" t="s">
        <v>75</v>
      </c>
      <c r="C4605" s="39">
        <v>599</v>
      </c>
      <c r="D4605" s="24">
        <v>0</v>
      </c>
      <c r="E4605" s="24">
        <v>0</v>
      </c>
      <c r="F4605" s="23">
        <f>COUNTIFS(mdr_rate_cleaned!$A$2:$A$10,B4605,mdr_rate_cleaned!$B$2:$B$10,"&lt;"&amp;C4605,mdr_rate_cleaned!$F$2:$F$10,"&gt;="&amp;C4605)</f>
        <v>1</v>
      </c>
      <c r="G4605" s="40">
        <f>SUMIFS(mdr_rate_cleaned!$G$2:$G$10,mdr_rate_cleaned!$A$2:$A$10,B4605,mdr_rate_cleaned!$B$2:$B$10,"&lt;"&amp;C4605,mdr_rate_cleaned!$F$2:$F$10,"&gt;="&amp;C4605)</f>
        <v>0</v>
      </c>
      <c r="H4605" s="24">
        <f t="shared" si="355"/>
        <v>0</v>
      </c>
      <c r="I4605" s="23" t="str">
        <f t="shared" si="356"/>
        <v>Match</v>
      </c>
      <c r="J4605" s="23" t="str">
        <f t="shared" si="357"/>
        <v>Match</v>
      </c>
      <c r="K4605" s="24">
        <f t="shared" si="358"/>
        <v>0</v>
      </c>
      <c r="L4605" s="24">
        <f t="shared" si="359"/>
        <v>0</v>
      </c>
    </row>
    <row r="4606" spans="1:12" ht="15" customHeight="1" x14ac:dyDescent="0.3">
      <c r="A4606" s="23" t="s">
        <v>17916</v>
      </c>
      <c r="B4606" s="23" t="s">
        <v>79</v>
      </c>
      <c r="C4606" s="39">
        <v>349</v>
      </c>
      <c r="D4606" s="24">
        <v>6.28</v>
      </c>
      <c r="E4606" s="24">
        <v>1.1299999999999999</v>
      </c>
      <c r="F4606" s="23">
        <f>COUNTIFS(mdr_rate_cleaned!$A$2:$A$10,B4606,mdr_rate_cleaned!$B$2:$B$10,"&lt;"&amp;C4606,mdr_rate_cleaned!$F$2:$F$10,"&gt;="&amp;C4606)</f>
        <v>1</v>
      </c>
      <c r="G4606" s="40">
        <f>SUMIFS(mdr_rate_cleaned!$G$2:$G$10,mdr_rate_cleaned!$A$2:$A$10,B4606,mdr_rate_cleaned!$B$2:$B$10,"&lt;"&amp;C4606,mdr_rate_cleaned!$F$2:$F$10,"&gt;="&amp;C4606)</f>
        <v>1.8000000000000002E-2</v>
      </c>
      <c r="H4606" s="24">
        <f t="shared" si="355"/>
        <v>6.28</v>
      </c>
      <c r="I4606" s="23" t="str">
        <f t="shared" si="356"/>
        <v>Match</v>
      </c>
      <c r="J4606" s="23" t="str">
        <f t="shared" si="357"/>
        <v>Match</v>
      </c>
      <c r="K4606" s="24">
        <f t="shared" si="358"/>
        <v>1.1299999999999999</v>
      </c>
      <c r="L4606" s="24">
        <f t="shared" si="359"/>
        <v>0</v>
      </c>
    </row>
    <row r="4607" spans="1:12" ht="15" customHeight="1" x14ac:dyDescent="0.3">
      <c r="A4607" s="23" t="s">
        <v>17917</v>
      </c>
      <c r="B4607" s="23" t="s">
        <v>79</v>
      </c>
      <c r="C4607" s="39">
        <v>1798</v>
      </c>
      <c r="D4607" s="24">
        <v>32.36</v>
      </c>
      <c r="E4607" s="24">
        <v>5.82</v>
      </c>
      <c r="F4607" s="23">
        <f>COUNTIFS(mdr_rate_cleaned!$A$2:$A$10,B4607,mdr_rate_cleaned!$B$2:$B$10,"&lt;"&amp;C4607,mdr_rate_cleaned!$F$2:$F$10,"&gt;="&amp;C4607)</f>
        <v>1</v>
      </c>
      <c r="G4607" s="40">
        <f>SUMIFS(mdr_rate_cleaned!$G$2:$G$10,mdr_rate_cleaned!$A$2:$A$10,B4607,mdr_rate_cleaned!$B$2:$B$10,"&lt;"&amp;C4607,mdr_rate_cleaned!$F$2:$F$10,"&gt;="&amp;C4607)</f>
        <v>1.8000000000000002E-2</v>
      </c>
      <c r="H4607" s="24">
        <f t="shared" si="355"/>
        <v>32.36</v>
      </c>
      <c r="I4607" s="23" t="str">
        <f t="shared" si="356"/>
        <v>Match</v>
      </c>
      <c r="J4607" s="23" t="str">
        <f t="shared" si="357"/>
        <v>Match</v>
      </c>
      <c r="K4607" s="24">
        <f t="shared" si="358"/>
        <v>5.82</v>
      </c>
      <c r="L4607" s="24">
        <f t="shared" si="359"/>
        <v>0</v>
      </c>
    </row>
    <row r="4608" spans="1:12" ht="15" customHeight="1" x14ac:dyDescent="0.3">
      <c r="A4608" s="23" t="s">
        <v>17918</v>
      </c>
      <c r="B4608" s="23" t="s">
        <v>79</v>
      </c>
      <c r="C4608" s="39">
        <v>349</v>
      </c>
      <c r="D4608" s="24">
        <v>6.28</v>
      </c>
      <c r="E4608" s="24">
        <v>1.1299999999999999</v>
      </c>
      <c r="F4608" s="23">
        <f>COUNTIFS(mdr_rate_cleaned!$A$2:$A$10,B4608,mdr_rate_cleaned!$B$2:$B$10,"&lt;"&amp;C4608,mdr_rate_cleaned!$F$2:$F$10,"&gt;="&amp;C4608)</f>
        <v>1</v>
      </c>
      <c r="G4608" s="40">
        <f>SUMIFS(mdr_rate_cleaned!$G$2:$G$10,mdr_rate_cleaned!$A$2:$A$10,B4608,mdr_rate_cleaned!$B$2:$B$10,"&lt;"&amp;C4608,mdr_rate_cleaned!$F$2:$F$10,"&gt;="&amp;C4608)</f>
        <v>1.8000000000000002E-2</v>
      </c>
      <c r="H4608" s="24">
        <f t="shared" si="355"/>
        <v>6.28</v>
      </c>
      <c r="I4608" s="23" t="str">
        <f t="shared" si="356"/>
        <v>Match</v>
      </c>
      <c r="J4608" s="23" t="str">
        <f t="shared" si="357"/>
        <v>Match</v>
      </c>
      <c r="K4608" s="24">
        <f t="shared" si="358"/>
        <v>1.1299999999999999</v>
      </c>
      <c r="L4608" s="24">
        <f t="shared" si="359"/>
        <v>0</v>
      </c>
    </row>
    <row r="4609" spans="1:12" ht="15" customHeight="1" x14ac:dyDescent="0.3">
      <c r="A4609" s="23" t="s">
        <v>17919</v>
      </c>
      <c r="B4609" s="23" t="s">
        <v>79</v>
      </c>
      <c r="C4609" s="39">
        <v>1499</v>
      </c>
      <c r="D4609" s="24">
        <v>26.98</v>
      </c>
      <c r="E4609" s="24">
        <v>4.8600000000000003</v>
      </c>
      <c r="F4609" s="23">
        <f>COUNTIFS(mdr_rate_cleaned!$A$2:$A$10,B4609,mdr_rate_cleaned!$B$2:$B$10,"&lt;"&amp;C4609,mdr_rate_cleaned!$F$2:$F$10,"&gt;="&amp;C4609)</f>
        <v>1</v>
      </c>
      <c r="G4609" s="40">
        <f>SUMIFS(mdr_rate_cleaned!$G$2:$G$10,mdr_rate_cleaned!$A$2:$A$10,B4609,mdr_rate_cleaned!$B$2:$B$10,"&lt;"&amp;C4609,mdr_rate_cleaned!$F$2:$F$10,"&gt;="&amp;C4609)</f>
        <v>1.8000000000000002E-2</v>
      </c>
      <c r="H4609" s="24">
        <f t="shared" si="355"/>
        <v>26.98</v>
      </c>
      <c r="I4609" s="23" t="str">
        <f t="shared" si="356"/>
        <v>Match</v>
      </c>
      <c r="J4609" s="23" t="str">
        <f t="shared" si="357"/>
        <v>Match</v>
      </c>
      <c r="K4609" s="24">
        <f t="shared" si="358"/>
        <v>4.8600000000000003</v>
      </c>
      <c r="L4609" s="24">
        <f t="shared" si="359"/>
        <v>0</v>
      </c>
    </row>
    <row r="4610" spans="1:12" ht="15" customHeight="1" x14ac:dyDescent="0.3">
      <c r="A4610" s="23" t="s">
        <v>17920</v>
      </c>
      <c r="B4610" s="23" t="s">
        <v>75</v>
      </c>
      <c r="C4610" s="39">
        <v>999</v>
      </c>
      <c r="D4610" s="24">
        <v>0</v>
      </c>
      <c r="E4610" s="24">
        <v>0</v>
      </c>
      <c r="F4610" s="23">
        <f>COUNTIFS(mdr_rate_cleaned!$A$2:$A$10,B4610,mdr_rate_cleaned!$B$2:$B$10,"&lt;"&amp;C4610,mdr_rate_cleaned!$F$2:$F$10,"&gt;="&amp;C4610)</f>
        <v>1</v>
      </c>
      <c r="G4610" s="40">
        <f>SUMIFS(mdr_rate_cleaned!$G$2:$G$10,mdr_rate_cleaned!$A$2:$A$10,B4610,mdr_rate_cleaned!$B$2:$B$10,"&lt;"&amp;C4610,mdr_rate_cleaned!$F$2:$F$10,"&gt;="&amp;C4610)</f>
        <v>0</v>
      </c>
      <c r="H4610" s="24">
        <f t="shared" ref="H4610:H4673" si="360">ROUND(C4610*G4610,2)</f>
        <v>0</v>
      </c>
      <c r="I4610" s="23" t="str">
        <f t="shared" ref="I4610:I4673" si="361">IF(ROUND(D4610-H4610,2)=0,"Match","Differs")</f>
        <v>Match</v>
      </c>
      <c r="J4610" s="23" t="str">
        <f t="shared" ref="J4610:J4673" si="362">IF(ROUND(E4610-ROUND(D4610*0.18,2),2)=0,"Match","Differs")</f>
        <v>Match</v>
      </c>
      <c r="K4610" s="24">
        <f t="shared" ref="K4610:K4673" si="363">ROUND(H4610*0.18,2)</f>
        <v>0</v>
      </c>
      <c r="L4610" s="24">
        <f t="shared" ref="L4610:L4673" si="364">ROUND(D4610+E4610-H4610-K4610,2)</f>
        <v>0</v>
      </c>
    </row>
    <row r="4611" spans="1:12" ht="15" customHeight="1" x14ac:dyDescent="0.3">
      <c r="A4611" s="23" t="s">
        <v>17921</v>
      </c>
      <c r="B4611" s="23" t="s">
        <v>79</v>
      </c>
      <c r="C4611" s="39">
        <v>9298</v>
      </c>
      <c r="D4611" s="24">
        <v>148.77000000000001</v>
      </c>
      <c r="E4611" s="24">
        <v>26.78</v>
      </c>
      <c r="F4611" s="23">
        <f>COUNTIFS(mdr_rate_cleaned!$A$2:$A$10,B4611,mdr_rate_cleaned!$B$2:$B$10,"&lt;"&amp;C4611,mdr_rate_cleaned!$F$2:$F$10,"&gt;="&amp;C4611)</f>
        <v>1</v>
      </c>
      <c r="G4611" s="40">
        <f>SUMIFS(mdr_rate_cleaned!$G$2:$G$10,mdr_rate_cleaned!$A$2:$A$10,B4611,mdr_rate_cleaned!$B$2:$B$10,"&lt;"&amp;C4611,mdr_rate_cleaned!$F$2:$F$10,"&gt;="&amp;C4611)</f>
        <v>1.6E-2</v>
      </c>
      <c r="H4611" s="24">
        <f t="shared" si="360"/>
        <v>148.77000000000001</v>
      </c>
      <c r="I4611" s="23" t="str">
        <f t="shared" si="361"/>
        <v>Match</v>
      </c>
      <c r="J4611" s="23" t="str">
        <f t="shared" si="362"/>
        <v>Match</v>
      </c>
      <c r="K4611" s="24">
        <f t="shared" si="363"/>
        <v>26.78</v>
      </c>
      <c r="L4611" s="24">
        <f t="shared" si="364"/>
        <v>0</v>
      </c>
    </row>
    <row r="4612" spans="1:12" ht="15" customHeight="1" x14ac:dyDescent="0.3">
      <c r="A4612" s="23" t="s">
        <v>17922</v>
      </c>
      <c r="B4612" s="23" t="s">
        <v>75</v>
      </c>
      <c r="C4612" s="39">
        <v>3499</v>
      </c>
      <c r="D4612" s="24">
        <v>10.5</v>
      </c>
      <c r="E4612" s="24">
        <v>1.89</v>
      </c>
      <c r="F4612" s="23">
        <f>COUNTIFS(mdr_rate_cleaned!$A$2:$A$10,B4612,mdr_rate_cleaned!$B$2:$B$10,"&lt;"&amp;C4612,mdr_rate_cleaned!$F$2:$F$10,"&gt;="&amp;C4612)</f>
        <v>1</v>
      </c>
      <c r="G4612" s="40">
        <f>SUMIFS(mdr_rate_cleaned!$G$2:$G$10,mdr_rate_cleaned!$A$2:$A$10,B4612,mdr_rate_cleaned!$B$2:$B$10,"&lt;"&amp;C4612,mdr_rate_cleaned!$F$2:$F$10,"&gt;="&amp;C4612)</f>
        <v>3.0000000000000001E-3</v>
      </c>
      <c r="H4612" s="24">
        <f t="shared" si="360"/>
        <v>10.5</v>
      </c>
      <c r="I4612" s="23" t="str">
        <f t="shared" si="361"/>
        <v>Match</v>
      </c>
      <c r="J4612" s="23" t="str">
        <f t="shared" si="362"/>
        <v>Match</v>
      </c>
      <c r="K4612" s="24">
        <f t="shared" si="363"/>
        <v>1.89</v>
      </c>
      <c r="L4612" s="24">
        <f t="shared" si="364"/>
        <v>0</v>
      </c>
    </row>
    <row r="4613" spans="1:12" ht="15" customHeight="1" x14ac:dyDescent="0.3">
      <c r="A4613" s="23" t="s">
        <v>17923</v>
      </c>
      <c r="B4613" s="23" t="s">
        <v>79</v>
      </c>
      <c r="C4613" s="39">
        <v>848</v>
      </c>
      <c r="D4613" s="24">
        <v>15.26</v>
      </c>
      <c r="E4613" s="24">
        <v>2.75</v>
      </c>
      <c r="F4613" s="23">
        <f>COUNTIFS(mdr_rate_cleaned!$A$2:$A$10,B4613,mdr_rate_cleaned!$B$2:$B$10,"&lt;"&amp;C4613,mdr_rate_cleaned!$F$2:$F$10,"&gt;="&amp;C4613)</f>
        <v>1</v>
      </c>
      <c r="G4613" s="40">
        <f>SUMIFS(mdr_rate_cleaned!$G$2:$G$10,mdr_rate_cleaned!$A$2:$A$10,B4613,mdr_rate_cleaned!$B$2:$B$10,"&lt;"&amp;C4613,mdr_rate_cleaned!$F$2:$F$10,"&gt;="&amp;C4613)</f>
        <v>1.8000000000000002E-2</v>
      </c>
      <c r="H4613" s="24">
        <f t="shared" si="360"/>
        <v>15.26</v>
      </c>
      <c r="I4613" s="23" t="str">
        <f t="shared" si="361"/>
        <v>Match</v>
      </c>
      <c r="J4613" s="23" t="str">
        <f t="shared" si="362"/>
        <v>Match</v>
      </c>
      <c r="K4613" s="24">
        <f t="shared" si="363"/>
        <v>2.75</v>
      </c>
      <c r="L4613" s="24">
        <f t="shared" si="364"/>
        <v>0</v>
      </c>
    </row>
    <row r="4614" spans="1:12" ht="15" customHeight="1" x14ac:dyDescent="0.3">
      <c r="A4614" s="23" t="s">
        <v>17925</v>
      </c>
      <c r="B4614" s="23" t="s">
        <v>75</v>
      </c>
      <c r="C4614" s="39">
        <v>2499</v>
      </c>
      <c r="D4614" s="24">
        <v>7.5</v>
      </c>
      <c r="E4614" s="24">
        <v>1.35</v>
      </c>
      <c r="F4614" s="23">
        <f>COUNTIFS(mdr_rate_cleaned!$A$2:$A$10,B4614,mdr_rate_cleaned!$B$2:$B$10,"&lt;"&amp;C4614,mdr_rate_cleaned!$F$2:$F$10,"&gt;="&amp;C4614)</f>
        <v>1</v>
      </c>
      <c r="G4614" s="40">
        <f>SUMIFS(mdr_rate_cleaned!$G$2:$G$10,mdr_rate_cleaned!$A$2:$A$10,B4614,mdr_rate_cleaned!$B$2:$B$10,"&lt;"&amp;C4614,mdr_rate_cleaned!$F$2:$F$10,"&gt;="&amp;C4614)</f>
        <v>3.0000000000000001E-3</v>
      </c>
      <c r="H4614" s="24">
        <f t="shared" si="360"/>
        <v>7.5</v>
      </c>
      <c r="I4614" s="23" t="str">
        <f t="shared" si="361"/>
        <v>Match</v>
      </c>
      <c r="J4614" s="23" t="str">
        <f t="shared" si="362"/>
        <v>Match</v>
      </c>
      <c r="K4614" s="24">
        <f t="shared" si="363"/>
        <v>1.35</v>
      </c>
      <c r="L4614" s="24">
        <f t="shared" si="364"/>
        <v>0</v>
      </c>
    </row>
    <row r="4615" spans="1:12" ht="15" customHeight="1" x14ac:dyDescent="0.3">
      <c r="A4615" s="23" t="s">
        <v>17926</v>
      </c>
      <c r="B4615" s="23" t="s">
        <v>75</v>
      </c>
      <c r="C4615" s="39">
        <v>2499</v>
      </c>
      <c r="D4615" s="24">
        <v>7.5</v>
      </c>
      <c r="E4615" s="24">
        <v>1.35</v>
      </c>
      <c r="F4615" s="23">
        <f>COUNTIFS(mdr_rate_cleaned!$A$2:$A$10,B4615,mdr_rate_cleaned!$B$2:$B$10,"&lt;"&amp;C4615,mdr_rate_cleaned!$F$2:$F$10,"&gt;="&amp;C4615)</f>
        <v>1</v>
      </c>
      <c r="G4615" s="40">
        <f>SUMIFS(mdr_rate_cleaned!$G$2:$G$10,mdr_rate_cleaned!$A$2:$A$10,B4615,mdr_rate_cleaned!$B$2:$B$10,"&lt;"&amp;C4615,mdr_rate_cleaned!$F$2:$F$10,"&gt;="&amp;C4615)</f>
        <v>3.0000000000000001E-3</v>
      </c>
      <c r="H4615" s="24">
        <f t="shared" si="360"/>
        <v>7.5</v>
      </c>
      <c r="I4615" s="23" t="str">
        <f t="shared" si="361"/>
        <v>Match</v>
      </c>
      <c r="J4615" s="23" t="str">
        <f t="shared" si="362"/>
        <v>Match</v>
      </c>
      <c r="K4615" s="24">
        <f t="shared" si="363"/>
        <v>1.35</v>
      </c>
      <c r="L4615" s="24">
        <f t="shared" si="364"/>
        <v>0</v>
      </c>
    </row>
    <row r="4616" spans="1:12" ht="15" customHeight="1" x14ac:dyDescent="0.3">
      <c r="A4616" s="23" t="s">
        <v>17927</v>
      </c>
      <c r="B4616" s="23" t="s">
        <v>79</v>
      </c>
      <c r="C4616" s="39">
        <v>599</v>
      </c>
      <c r="D4616" s="24">
        <v>10.78</v>
      </c>
      <c r="E4616" s="24">
        <v>1.94</v>
      </c>
      <c r="F4616" s="23">
        <f>COUNTIFS(mdr_rate_cleaned!$A$2:$A$10,B4616,mdr_rate_cleaned!$B$2:$B$10,"&lt;"&amp;C4616,mdr_rate_cleaned!$F$2:$F$10,"&gt;="&amp;C4616)</f>
        <v>1</v>
      </c>
      <c r="G4616" s="40">
        <f>SUMIFS(mdr_rate_cleaned!$G$2:$G$10,mdr_rate_cleaned!$A$2:$A$10,B4616,mdr_rate_cleaned!$B$2:$B$10,"&lt;"&amp;C4616,mdr_rate_cleaned!$F$2:$F$10,"&gt;="&amp;C4616)</f>
        <v>1.8000000000000002E-2</v>
      </c>
      <c r="H4616" s="24">
        <f t="shared" si="360"/>
        <v>10.78</v>
      </c>
      <c r="I4616" s="23" t="str">
        <f t="shared" si="361"/>
        <v>Match</v>
      </c>
      <c r="J4616" s="23" t="str">
        <f t="shared" si="362"/>
        <v>Match</v>
      </c>
      <c r="K4616" s="24">
        <f t="shared" si="363"/>
        <v>1.94</v>
      </c>
      <c r="L4616" s="24">
        <f t="shared" si="364"/>
        <v>0</v>
      </c>
    </row>
    <row r="4617" spans="1:12" ht="15" customHeight="1" x14ac:dyDescent="0.3">
      <c r="A4617" s="23" t="s">
        <v>17928</v>
      </c>
      <c r="B4617" s="23" t="s">
        <v>79</v>
      </c>
      <c r="C4617" s="39">
        <v>3998</v>
      </c>
      <c r="D4617" s="24">
        <v>63.97</v>
      </c>
      <c r="E4617" s="24">
        <v>11.51</v>
      </c>
      <c r="F4617" s="23">
        <f>COUNTIFS(mdr_rate_cleaned!$A$2:$A$10,B4617,mdr_rate_cleaned!$B$2:$B$10,"&lt;"&amp;C4617,mdr_rate_cleaned!$F$2:$F$10,"&gt;="&amp;C4617)</f>
        <v>1</v>
      </c>
      <c r="G4617" s="40">
        <f>SUMIFS(mdr_rate_cleaned!$G$2:$G$10,mdr_rate_cleaned!$A$2:$A$10,B4617,mdr_rate_cleaned!$B$2:$B$10,"&lt;"&amp;C4617,mdr_rate_cleaned!$F$2:$F$10,"&gt;="&amp;C4617)</f>
        <v>1.6E-2</v>
      </c>
      <c r="H4617" s="24">
        <f t="shared" si="360"/>
        <v>63.97</v>
      </c>
      <c r="I4617" s="23" t="str">
        <f t="shared" si="361"/>
        <v>Match</v>
      </c>
      <c r="J4617" s="23" t="str">
        <f t="shared" si="362"/>
        <v>Match</v>
      </c>
      <c r="K4617" s="24">
        <f t="shared" si="363"/>
        <v>11.51</v>
      </c>
      <c r="L4617" s="24">
        <f t="shared" si="364"/>
        <v>0</v>
      </c>
    </row>
    <row r="4618" spans="1:12" ht="15" customHeight="1" x14ac:dyDescent="0.3">
      <c r="A4618" s="23" t="s">
        <v>17929</v>
      </c>
      <c r="B4618" s="23" t="s">
        <v>81</v>
      </c>
      <c r="C4618" s="39">
        <v>299</v>
      </c>
      <c r="D4618" s="24">
        <v>4.49</v>
      </c>
      <c r="E4618" s="24">
        <v>0.81</v>
      </c>
      <c r="F4618" s="23">
        <f>COUNTIFS(mdr_rate_cleaned!$A$2:$A$10,B4618,mdr_rate_cleaned!$B$2:$B$10,"&lt;"&amp;C4618,mdr_rate_cleaned!$F$2:$F$10,"&gt;="&amp;C4618)</f>
        <v>1</v>
      </c>
      <c r="G4618" s="40">
        <f>SUMIFS(mdr_rate_cleaned!$G$2:$G$10,mdr_rate_cleaned!$A$2:$A$10,B4618,mdr_rate_cleaned!$B$2:$B$10,"&lt;"&amp;C4618,mdr_rate_cleaned!$F$2:$F$10,"&gt;="&amp;C4618)</f>
        <v>1.4999999999999999E-2</v>
      </c>
      <c r="H4618" s="24">
        <f t="shared" si="360"/>
        <v>4.49</v>
      </c>
      <c r="I4618" s="23" t="str">
        <f t="shared" si="361"/>
        <v>Match</v>
      </c>
      <c r="J4618" s="23" t="str">
        <f t="shared" si="362"/>
        <v>Match</v>
      </c>
      <c r="K4618" s="24">
        <f t="shared" si="363"/>
        <v>0.81</v>
      </c>
      <c r="L4618" s="24">
        <f t="shared" si="364"/>
        <v>0</v>
      </c>
    </row>
    <row r="4619" spans="1:12" ht="15" customHeight="1" x14ac:dyDescent="0.3">
      <c r="A4619" s="23" t="s">
        <v>17931</v>
      </c>
      <c r="B4619" s="23" t="s">
        <v>79</v>
      </c>
      <c r="C4619" s="39">
        <v>3848</v>
      </c>
      <c r="D4619" s="24">
        <v>61.57</v>
      </c>
      <c r="E4619" s="24">
        <v>11.08</v>
      </c>
      <c r="F4619" s="23">
        <f>COUNTIFS(mdr_rate_cleaned!$A$2:$A$10,B4619,mdr_rate_cleaned!$B$2:$B$10,"&lt;"&amp;C4619,mdr_rate_cleaned!$F$2:$F$10,"&gt;="&amp;C4619)</f>
        <v>1</v>
      </c>
      <c r="G4619" s="40">
        <f>SUMIFS(mdr_rate_cleaned!$G$2:$G$10,mdr_rate_cleaned!$A$2:$A$10,B4619,mdr_rate_cleaned!$B$2:$B$10,"&lt;"&amp;C4619,mdr_rate_cleaned!$F$2:$F$10,"&gt;="&amp;C4619)</f>
        <v>1.6E-2</v>
      </c>
      <c r="H4619" s="24">
        <f t="shared" si="360"/>
        <v>61.57</v>
      </c>
      <c r="I4619" s="23" t="str">
        <f t="shared" si="361"/>
        <v>Match</v>
      </c>
      <c r="J4619" s="23" t="str">
        <f t="shared" si="362"/>
        <v>Match</v>
      </c>
      <c r="K4619" s="24">
        <f t="shared" si="363"/>
        <v>11.08</v>
      </c>
      <c r="L4619" s="24">
        <f t="shared" si="364"/>
        <v>0</v>
      </c>
    </row>
    <row r="4620" spans="1:12" ht="15" customHeight="1" x14ac:dyDescent="0.3">
      <c r="A4620" s="23" t="s">
        <v>17933</v>
      </c>
      <c r="B4620" s="23" t="s">
        <v>79</v>
      </c>
      <c r="C4620" s="39">
        <v>1499</v>
      </c>
      <c r="D4620" s="24">
        <v>26.98</v>
      </c>
      <c r="E4620" s="24">
        <v>4.8600000000000003</v>
      </c>
      <c r="F4620" s="23">
        <f>COUNTIFS(mdr_rate_cleaned!$A$2:$A$10,B4620,mdr_rate_cleaned!$B$2:$B$10,"&lt;"&amp;C4620,mdr_rate_cleaned!$F$2:$F$10,"&gt;="&amp;C4620)</f>
        <v>1</v>
      </c>
      <c r="G4620" s="40">
        <f>SUMIFS(mdr_rate_cleaned!$G$2:$G$10,mdr_rate_cleaned!$A$2:$A$10,B4620,mdr_rate_cleaned!$B$2:$B$10,"&lt;"&amp;C4620,mdr_rate_cleaned!$F$2:$F$10,"&gt;="&amp;C4620)</f>
        <v>1.8000000000000002E-2</v>
      </c>
      <c r="H4620" s="24">
        <f t="shared" si="360"/>
        <v>26.98</v>
      </c>
      <c r="I4620" s="23" t="str">
        <f t="shared" si="361"/>
        <v>Match</v>
      </c>
      <c r="J4620" s="23" t="str">
        <f t="shared" si="362"/>
        <v>Match</v>
      </c>
      <c r="K4620" s="24">
        <f t="shared" si="363"/>
        <v>4.8600000000000003</v>
      </c>
      <c r="L4620" s="24">
        <f t="shared" si="364"/>
        <v>0</v>
      </c>
    </row>
    <row r="4621" spans="1:12" ht="15" customHeight="1" x14ac:dyDescent="0.3">
      <c r="A4621" s="23" t="s">
        <v>17934</v>
      </c>
      <c r="B4621" s="23" t="s">
        <v>79</v>
      </c>
      <c r="C4621" s="39">
        <v>1299</v>
      </c>
      <c r="D4621" s="24">
        <v>23.38</v>
      </c>
      <c r="E4621" s="24">
        <v>4.21</v>
      </c>
      <c r="F4621" s="23">
        <f>COUNTIFS(mdr_rate_cleaned!$A$2:$A$10,B4621,mdr_rate_cleaned!$B$2:$B$10,"&lt;"&amp;C4621,mdr_rate_cleaned!$F$2:$F$10,"&gt;="&amp;C4621)</f>
        <v>1</v>
      </c>
      <c r="G4621" s="40">
        <f>SUMIFS(mdr_rate_cleaned!$G$2:$G$10,mdr_rate_cleaned!$A$2:$A$10,B4621,mdr_rate_cleaned!$B$2:$B$10,"&lt;"&amp;C4621,mdr_rate_cleaned!$F$2:$F$10,"&gt;="&amp;C4621)</f>
        <v>1.8000000000000002E-2</v>
      </c>
      <c r="H4621" s="24">
        <f t="shared" si="360"/>
        <v>23.38</v>
      </c>
      <c r="I4621" s="23" t="str">
        <f t="shared" si="361"/>
        <v>Match</v>
      </c>
      <c r="J4621" s="23" t="str">
        <f t="shared" si="362"/>
        <v>Match</v>
      </c>
      <c r="K4621" s="24">
        <f t="shared" si="363"/>
        <v>4.21</v>
      </c>
      <c r="L4621" s="24">
        <f t="shared" si="364"/>
        <v>0</v>
      </c>
    </row>
    <row r="4622" spans="1:12" ht="15" customHeight="1" x14ac:dyDescent="0.3">
      <c r="A4622" s="23" t="s">
        <v>17935</v>
      </c>
      <c r="B4622" s="23" t="s">
        <v>75</v>
      </c>
      <c r="C4622" s="39">
        <v>999</v>
      </c>
      <c r="D4622" s="24">
        <v>0</v>
      </c>
      <c r="E4622" s="24">
        <v>0</v>
      </c>
      <c r="F4622" s="23">
        <f>COUNTIFS(mdr_rate_cleaned!$A$2:$A$10,B4622,mdr_rate_cleaned!$B$2:$B$10,"&lt;"&amp;C4622,mdr_rate_cleaned!$F$2:$F$10,"&gt;="&amp;C4622)</f>
        <v>1</v>
      </c>
      <c r="G4622" s="40">
        <f>SUMIFS(mdr_rate_cleaned!$G$2:$G$10,mdr_rate_cleaned!$A$2:$A$10,B4622,mdr_rate_cleaned!$B$2:$B$10,"&lt;"&amp;C4622,mdr_rate_cleaned!$F$2:$F$10,"&gt;="&amp;C4622)</f>
        <v>0</v>
      </c>
      <c r="H4622" s="24">
        <f t="shared" si="360"/>
        <v>0</v>
      </c>
      <c r="I4622" s="23" t="str">
        <f t="shared" si="361"/>
        <v>Match</v>
      </c>
      <c r="J4622" s="23" t="str">
        <f t="shared" si="362"/>
        <v>Match</v>
      </c>
      <c r="K4622" s="24">
        <f t="shared" si="363"/>
        <v>0</v>
      </c>
      <c r="L4622" s="24">
        <f t="shared" si="364"/>
        <v>0</v>
      </c>
    </row>
    <row r="4623" spans="1:12" ht="15" customHeight="1" x14ac:dyDescent="0.3">
      <c r="A4623" s="23" t="s">
        <v>17936</v>
      </c>
      <c r="B4623" s="23" t="s">
        <v>75</v>
      </c>
      <c r="C4623" s="39">
        <v>4397</v>
      </c>
      <c r="D4623" s="24">
        <v>13.19</v>
      </c>
      <c r="E4623" s="24">
        <v>2.37</v>
      </c>
      <c r="F4623" s="23">
        <f>COUNTIFS(mdr_rate_cleaned!$A$2:$A$10,B4623,mdr_rate_cleaned!$B$2:$B$10,"&lt;"&amp;C4623,mdr_rate_cleaned!$F$2:$F$10,"&gt;="&amp;C4623)</f>
        <v>1</v>
      </c>
      <c r="G4623" s="40">
        <f>SUMIFS(mdr_rate_cleaned!$G$2:$G$10,mdr_rate_cleaned!$A$2:$A$10,B4623,mdr_rate_cleaned!$B$2:$B$10,"&lt;"&amp;C4623,mdr_rate_cleaned!$F$2:$F$10,"&gt;="&amp;C4623)</f>
        <v>3.0000000000000001E-3</v>
      </c>
      <c r="H4623" s="24">
        <f t="shared" si="360"/>
        <v>13.19</v>
      </c>
      <c r="I4623" s="23" t="str">
        <f t="shared" si="361"/>
        <v>Match</v>
      </c>
      <c r="J4623" s="23" t="str">
        <f t="shared" si="362"/>
        <v>Match</v>
      </c>
      <c r="K4623" s="24">
        <f t="shared" si="363"/>
        <v>2.37</v>
      </c>
      <c r="L4623" s="24">
        <f t="shared" si="364"/>
        <v>0</v>
      </c>
    </row>
    <row r="4624" spans="1:12" ht="15" customHeight="1" x14ac:dyDescent="0.3">
      <c r="A4624" s="23" t="s">
        <v>17937</v>
      </c>
      <c r="B4624" s="23" t="s">
        <v>77</v>
      </c>
      <c r="C4624" s="39">
        <v>8998</v>
      </c>
      <c r="D4624" s="24">
        <v>152.97</v>
      </c>
      <c r="E4624" s="24">
        <v>27.53</v>
      </c>
      <c r="F4624" s="23">
        <f>COUNTIFS(mdr_rate_cleaned!$A$2:$A$10,B4624,mdr_rate_cleaned!$B$2:$B$10,"&lt;"&amp;C4624,mdr_rate_cleaned!$F$2:$F$10,"&gt;="&amp;C4624)</f>
        <v>1</v>
      </c>
      <c r="G4624" s="40">
        <f>SUMIFS(mdr_rate_cleaned!$G$2:$G$10,mdr_rate_cleaned!$A$2:$A$10,B4624,mdr_rate_cleaned!$B$2:$B$10,"&lt;"&amp;C4624,mdr_rate_cleaned!$F$2:$F$10,"&gt;="&amp;C4624)</f>
        <v>1.7000000000000001E-2</v>
      </c>
      <c r="H4624" s="24">
        <f t="shared" si="360"/>
        <v>152.97</v>
      </c>
      <c r="I4624" s="23" t="str">
        <f t="shared" si="361"/>
        <v>Match</v>
      </c>
      <c r="J4624" s="23" t="str">
        <f t="shared" si="362"/>
        <v>Match</v>
      </c>
      <c r="K4624" s="24">
        <f t="shared" si="363"/>
        <v>27.53</v>
      </c>
      <c r="L4624" s="24">
        <f t="shared" si="364"/>
        <v>0</v>
      </c>
    </row>
    <row r="4625" spans="1:12" ht="15" customHeight="1" x14ac:dyDescent="0.3">
      <c r="A4625" s="23" t="s">
        <v>17938</v>
      </c>
      <c r="B4625" s="23" t="s">
        <v>75</v>
      </c>
      <c r="C4625" s="39">
        <v>15998</v>
      </c>
      <c r="D4625" s="24">
        <v>47.99</v>
      </c>
      <c r="E4625" s="24">
        <v>8.64</v>
      </c>
      <c r="F4625" s="23">
        <f>COUNTIFS(mdr_rate_cleaned!$A$2:$A$10,B4625,mdr_rate_cleaned!$B$2:$B$10,"&lt;"&amp;C4625,mdr_rate_cleaned!$F$2:$F$10,"&gt;="&amp;C4625)</f>
        <v>1</v>
      </c>
      <c r="G4625" s="40">
        <f>SUMIFS(mdr_rate_cleaned!$G$2:$G$10,mdr_rate_cleaned!$A$2:$A$10,B4625,mdr_rate_cleaned!$B$2:$B$10,"&lt;"&amp;C4625,mdr_rate_cleaned!$F$2:$F$10,"&gt;="&amp;C4625)</f>
        <v>3.0000000000000001E-3</v>
      </c>
      <c r="H4625" s="24">
        <f t="shared" si="360"/>
        <v>47.99</v>
      </c>
      <c r="I4625" s="23" t="str">
        <f t="shared" si="361"/>
        <v>Match</v>
      </c>
      <c r="J4625" s="23" t="str">
        <f t="shared" si="362"/>
        <v>Match</v>
      </c>
      <c r="K4625" s="24">
        <f t="shared" si="363"/>
        <v>8.64</v>
      </c>
      <c r="L4625" s="24">
        <f t="shared" si="364"/>
        <v>0</v>
      </c>
    </row>
    <row r="4626" spans="1:12" ht="15" customHeight="1" x14ac:dyDescent="0.3">
      <c r="A4626" s="23" t="s">
        <v>17939</v>
      </c>
      <c r="B4626" s="23" t="s">
        <v>79</v>
      </c>
      <c r="C4626" s="39">
        <v>4298</v>
      </c>
      <c r="D4626" s="24">
        <v>68.77</v>
      </c>
      <c r="E4626" s="24">
        <v>12.38</v>
      </c>
      <c r="F4626" s="23">
        <f>COUNTIFS(mdr_rate_cleaned!$A$2:$A$10,B4626,mdr_rate_cleaned!$B$2:$B$10,"&lt;"&amp;C4626,mdr_rate_cleaned!$F$2:$F$10,"&gt;="&amp;C4626)</f>
        <v>1</v>
      </c>
      <c r="G4626" s="40">
        <f>SUMIFS(mdr_rate_cleaned!$G$2:$G$10,mdr_rate_cleaned!$A$2:$A$10,B4626,mdr_rate_cleaned!$B$2:$B$10,"&lt;"&amp;C4626,mdr_rate_cleaned!$F$2:$F$10,"&gt;="&amp;C4626)</f>
        <v>1.6E-2</v>
      </c>
      <c r="H4626" s="24">
        <f t="shared" si="360"/>
        <v>68.77</v>
      </c>
      <c r="I4626" s="23" t="str">
        <f t="shared" si="361"/>
        <v>Match</v>
      </c>
      <c r="J4626" s="23" t="str">
        <f t="shared" si="362"/>
        <v>Match</v>
      </c>
      <c r="K4626" s="24">
        <f t="shared" si="363"/>
        <v>12.38</v>
      </c>
      <c r="L4626" s="24">
        <f t="shared" si="364"/>
        <v>0</v>
      </c>
    </row>
    <row r="4627" spans="1:12" ht="15" customHeight="1" x14ac:dyDescent="0.3">
      <c r="A4627" s="23" t="s">
        <v>17940</v>
      </c>
      <c r="B4627" s="23" t="s">
        <v>75</v>
      </c>
      <c r="C4627" s="39">
        <v>1499</v>
      </c>
      <c r="D4627" s="24">
        <v>0</v>
      </c>
      <c r="E4627" s="24">
        <v>0</v>
      </c>
      <c r="F4627" s="23">
        <f>COUNTIFS(mdr_rate_cleaned!$A$2:$A$10,B4627,mdr_rate_cleaned!$B$2:$B$10,"&lt;"&amp;C4627,mdr_rate_cleaned!$F$2:$F$10,"&gt;="&amp;C4627)</f>
        <v>1</v>
      </c>
      <c r="G4627" s="40">
        <f>SUMIFS(mdr_rate_cleaned!$G$2:$G$10,mdr_rate_cleaned!$A$2:$A$10,B4627,mdr_rate_cleaned!$B$2:$B$10,"&lt;"&amp;C4627,mdr_rate_cleaned!$F$2:$F$10,"&gt;="&amp;C4627)</f>
        <v>0</v>
      </c>
      <c r="H4627" s="24">
        <f t="shared" si="360"/>
        <v>0</v>
      </c>
      <c r="I4627" s="23" t="str">
        <f t="shared" si="361"/>
        <v>Match</v>
      </c>
      <c r="J4627" s="23" t="str">
        <f t="shared" si="362"/>
        <v>Match</v>
      </c>
      <c r="K4627" s="24">
        <f t="shared" si="363"/>
        <v>0</v>
      </c>
      <c r="L4627" s="24">
        <f t="shared" si="364"/>
        <v>0</v>
      </c>
    </row>
    <row r="4628" spans="1:12" ht="15" customHeight="1" x14ac:dyDescent="0.3">
      <c r="A4628" s="23" t="s">
        <v>17941</v>
      </c>
      <c r="B4628" s="23" t="s">
        <v>79</v>
      </c>
      <c r="C4628" s="39">
        <v>7999</v>
      </c>
      <c r="D4628" s="24">
        <v>127.98</v>
      </c>
      <c r="E4628" s="24">
        <v>23.04</v>
      </c>
      <c r="F4628" s="23">
        <f>COUNTIFS(mdr_rate_cleaned!$A$2:$A$10,B4628,mdr_rate_cleaned!$B$2:$B$10,"&lt;"&amp;C4628,mdr_rate_cleaned!$F$2:$F$10,"&gt;="&amp;C4628)</f>
        <v>1</v>
      </c>
      <c r="G4628" s="40">
        <f>SUMIFS(mdr_rate_cleaned!$G$2:$G$10,mdr_rate_cleaned!$A$2:$A$10,B4628,mdr_rate_cleaned!$B$2:$B$10,"&lt;"&amp;C4628,mdr_rate_cleaned!$F$2:$F$10,"&gt;="&amp;C4628)</f>
        <v>1.6E-2</v>
      </c>
      <c r="H4628" s="24">
        <f t="shared" si="360"/>
        <v>127.98</v>
      </c>
      <c r="I4628" s="23" t="str">
        <f t="shared" si="361"/>
        <v>Match</v>
      </c>
      <c r="J4628" s="23" t="str">
        <f t="shared" si="362"/>
        <v>Match</v>
      </c>
      <c r="K4628" s="24">
        <f t="shared" si="363"/>
        <v>23.04</v>
      </c>
      <c r="L4628" s="24">
        <f t="shared" si="364"/>
        <v>0</v>
      </c>
    </row>
    <row r="4629" spans="1:12" ht="15" customHeight="1" x14ac:dyDescent="0.3">
      <c r="A4629" s="23" t="s">
        <v>17942</v>
      </c>
      <c r="B4629" s="23" t="s">
        <v>79</v>
      </c>
      <c r="C4629" s="39">
        <v>1299</v>
      </c>
      <c r="D4629" s="24">
        <v>23.38</v>
      </c>
      <c r="E4629" s="24">
        <v>4.21</v>
      </c>
      <c r="F4629" s="23">
        <f>COUNTIFS(mdr_rate_cleaned!$A$2:$A$10,B4629,mdr_rate_cleaned!$B$2:$B$10,"&lt;"&amp;C4629,mdr_rate_cleaned!$F$2:$F$10,"&gt;="&amp;C4629)</f>
        <v>1</v>
      </c>
      <c r="G4629" s="40">
        <f>SUMIFS(mdr_rate_cleaned!$G$2:$G$10,mdr_rate_cleaned!$A$2:$A$10,B4629,mdr_rate_cleaned!$B$2:$B$10,"&lt;"&amp;C4629,mdr_rate_cleaned!$F$2:$F$10,"&gt;="&amp;C4629)</f>
        <v>1.8000000000000002E-2</v>
      </c>
      <c r="H4629" s="24">
        <f t="shared" si="360"/>
        <v>23.38</v>
      </c>
      <c r="I4629" s="23" t="str">
        <f t="shared" si="361"/>
        <v>Match</v>
      </c>
      <c r="J4629" s="23" t="str">
        <f t="shared" si="362"/>
        <v>Match</v>
      </c>
      <c r="K4629" s="24">
        <f t="shared" si="363"/>
        <v>4.21</v>
      </c>
      <c r="L4629" s="24">
        <f t="shared" si="364"/>
        <v>0</v>
      </c>
    </row>
    <row r="4630" spans="1:12" ht="15" customHeight="1" x14ac:dyDescent="0.3">
      <c r="A4630" s="23" t="s">
        <v>17943</v>
      </c>
      <c r="B4630" s="23" t="s">
        <v>77</v>
      </c>
      <c r="C4630" s="39">
        <v>3499</v>
      </c>
      <c r="D4630" s="24">
        <v>59.48</v>
      </c>
      <c r="E4630" s="24">
        <v>10.71</v>
      </c>
      <c r="F4630" s="23">
        <f>COUNTIFS(mdr_rate_cleaned!$A$2:$A$10,B4630,mdr_rate_cleaned!$B$2:$B$10,"&lt;"&amp;C4630,mdr_rate_cleaned!$F$2:$F$10,"&gt;="&amp;C4630)</f>
        <v>1</v>
      </c>
      <c r="G4630" s="40">
        <f>SUMIFS(mdr_rate_cleaned!$G$2:$G$10,mdr_rate_cleaned!$A$2:$A$10,B4630,mdr_rate_cleaned!$B$2:$B$10,"&lt;"&amp;C4630,mdr_rate_cleaned!$F$2:$F$10,"&gt;="&amp;C4630)</f>
        <v>1.7000000000000001E-2</v>
      </c>
      <c r="H4630" s="24">
        <f t="shared" si="360"/>
        <v>59.48</v>
      </c>
      <c r="I4630" s="23" t="str">
        <f t="shared" si="361"/>
        <v>Match</v>
      </c>
      <c r="J4630" s="23" t="str">
        <f t="shared" si="362"/>
        <v>Match</v>
      </c>
      <c r="K4630" s="24">
        <f t="shared" si="363"/>
        <v>10.71</v>
      </c>
      <c r="L4630" s="24">
        <f t="shared" si="364"/>
        <v>0</v>
      </c>
    </row>
    <row r="4631" spans="1:12" ht="15" customHeight="1" x14ac:dyDescent="0.3">
      <c r="A4631" s="23" t="s">
        <v>17944</v>
      </c>
      <c r="B4631" s="23" t="s">
        <v>75</v>
      </c>
      <c r="C4631" s="39">
        <v>2499</v>
      </c>
      <c r="D4631" s="24">
        <v>7.5</v>
      </c>
      <c r="E4631" s="24">
        <v>1.35</v>
      </c>
      <c r="F4631" s="23">
        <f>COUNTIFS(mdr_rate_cleaned!$A$2:$A$10,B4631,mdr_rate_cleaned!$B$2:$B$10,"&lt;"&amp;C4631,mdr_rate_cleaned!$F$2:$F$10,"&gt;="&amp;C4631)</f>
        <v>1</v>
      </c>
      <c r="G4631" s="40">
        <f>SUMIFS(mdr_rate_cleaned!$G$2:$G$10,mdr_rate_cleaned!$A$2:$A$10,B4631,mdr_rate_cleaned!$B$2:$B$10,"&lt;"&amp;C4631,mdr_rate_cleaned!$F$2:$F$10,"&gt;="&amp;C4631)</f>
        <v>3.0000000000000001E-3</v>
      </c>
      <c r="H4631" s="24">
        <f t="shared" si="360"/>
        <v>7.5</v>
      </c>
      <c r="I4631" s="23" t="str">
        <f t="shared" si="361"/>
        <v>Match</v>
      </c>
      <c r="J4631" s="23" t="str">
        <f t="shared" si="362"/>
        <v>Match</v>
      </c>
      <c r="K4631" s="24">
        <f t="shared" si="363"/>
        <v>1.35</v>
      </c>
      <c r="L4631" s="24">
        <f t="shared" si="364"/>
        <v>0</v>
      </c>
    </row>
    <row r="4632" spans="1:12" ht="15" customHeight="1" x14ac:dyDescent="0.3">
      <c r="A4632" s="23" t="s">
        <v>17946</v>
      </c>
      <c r="B4632" s="23" t="s">
        <v>81</v>
      </c>
      <c r="C4632" s="39">
        <v>4798</v>
      </c>
      <c r="D4632" s="24">
        <v>57.58</v>
      </c>
      <c r="E4632" s="24">
        <v>10.36</v>
      </c>
      <c r="F4632" s="23">
        <f>COUNTIFS(mdr_rate_cleaned!$A$2:$A$10,B4632,mdr_rate_cleaned!$B$2:$B$10,"&lt;"&amp;C4632,mdr_rate_cleaned!$F$2:$F$10,"&gt;="&amp;C4632)</f>
        <v>1</v>
      </c>
      <c r="G4632" s="40">
        <f>SUMIFS(mdr_rate_cleaned!$G$2:$G$10,mdr_rate_cleaned!$A$2:$A$10,B4632,mdr_rate_cleaned!$B$2:$B$10,"&lt;"&amp;C4632,mdr_rate_cleaned!$F$2:$F$10,"&gt;="&amp;C4632)</f>
        <v>1.2E-2</v>
      </c>
      <c r="H4632" s="24">
        <f t="shared" si="360"/>
        <v>57.58</v>
      </c>
      <c r="I4632" s="23" t="str">
        <f t="shared" si="361"/>
        <v>Match</v>
      </c>
      <c r="J4632" s="23" t="str">
        <f t="shared" si="362"/>
        <v>Match</v>
      </c>
      <c r="K4632" s="24">
        <f t="shared" si="363"/>
        <v>10.36</v>
      </c>
      <c r="L4632" s="24">
        <f t="shared" si="364"/>
        <v>0</v>
      </c>
    </row>
    <row r="4633" spans="1:12" ht="15" customHeight="1" x14ac:dyDescent="0.3">
      <c r="A4633" s="23" t="s">
        <v>17947</v>
      </c>
      <c r="B4633" s="23" t="s">
        <v>75</v>
      </c>
      <c r="C4633" s="39">
        <v>3197</v>
      </c>
      <c r="D4633" s="24">
        <v>9.59</v>
      </c>
      <c r="E4633" s="24">
        <v>1.73</v>
      </c>
      <c r="F4633" s="23">
        <f>COUNTIFS(mdr_rate_cleaned!$A$2:$A$10,B4633,mdr_rate_cleaned!$B$2:$B$10,"&lt;"&amp;C4633,mdr_rate_cleaned!$F$2:$F$10,"&gt;="&amp;C4633)</f>
        <v>1</v>
      </c>
      <c r="G4633" s="40">
        <f>SUMIFS(mdr_rate_cleaned!$G$2:$G$10,mdr_rate_cleaned!$A$2:$A$10,B4633,mdr_rate_cleaned!$B$2:$B$10,"&lt;"&amp;C4633,mdr_rate_cleaned!$F$2:$F$10,"&gt;="&amp;C4633)</f>
        <v>3.0000000000000001E-3</v>
      </c>
      <c r="H4633" s="24">
        <f t="shared" si="360"/>
        <v>9.59</v>
      </c>
      <c r="I4633" s="23" t="str">
        <f t="shared" si="361"/>
        <v>Match</v>
      </c>
      <c r="J4633" s="23" t="str">
        <f t="shared" si="362"/>
        <v>Match</v>
      </c>
      <c r="K4633" s="24">
        <f t="shared" si="363"/>
        <v>1.73</v>
      </c>
      <c r="L4633" s="24">
        <f t="shared" si="364"/>
        <v>0</v>
      </c>
    </row>
    <row r="4634" spans="1:12" ht="15" customHeight="1" x14ac:dyDescent="0.3">
      <c r="A4634" s="23" t="s">
        <v>17948</v>
      </c>
      <c r="B4634" s="23" t="s">
        <v>79</v>
      </c>
      <c r="C4634" s="39">
        <v>3348</v>
      </c>
      <c r="D4634" s="24">
        <v>53.57</v>
      </c>
      <c r="E4634" s="24">
        <v>9.64</v>
      </c>
      <c r="F4634" s="23">
        <f>COUNTIFS(mdr_rate_cleaned!$A$2:$A$10,B4634,mdr_rate_cleaned!$B$2:$B$10,"&lt;"&amp;C4634,mdr_rate_cleaned!$F$2:$F$10,"&gt;="&amp;C4634)</f>
        <v>1</v>
      </c>
      <c r="G4634" s="40">
        <f>SUMIFS(mdr_rate_cleaned!$G$2:$G$10,mdr_rate_cleaned!$A$2:$A$10,B4634,mdr_rate_cleaned!$B$2:$B$10,"&lt;"&amp;C4634,mdr_rate_cleaned!$F$2:$F$10,"&gt;="&amp;C4634)</f>
        <v>1.6E-2</v>
      </c>
      <c r="H4634" s="24">
        <f t="shared" si="360"/>
        <v>53.57</v>
      </c>
      <c r="I4634" s="23" t="str">
        <f t="shared" si="361"/>
        <v>Match</v>
      </c>
      <c r="J4634" s="23" t="str">
        <f t="shared" si="362"/>
        <v>Match</v>
      </c>
      <c r="K4634" s="24">
        <f t="shared" si="363"/>
        <v>9.64</v>
      </c>
      <c r="L4634" s="24">
        <f t="shared" si="364"/>
        <v>0</v>
      </c>
    </row>
    <row r="4635" spans="1:12" ht="15" customHeight="1" x14ac:dyDescent="0.3">
      <c r="A4635" s="23" t="s">
        <v>17949</v>
      </c>
      <c r="B4635" s="23" t="s">
        <v>77</v>
      </c>
      <c r="C4635" s="39">
        <v>8947</v>
      </c>
      <c r="D4635" s="24">
        <v>152.1</v>
      </c>
      <c r="E4635" s="24">
        <v>27.38</v>
      </c>
      <c r="F4635" s="23">
        <f>COUNTIFS(mdr_rate_cleaned!$A$2:$A$10,B4635,mdr_rate_cleaned!$B$2:$B$10,"&lt;"&amp;C4635,mdr_rate_cleaned!$F$2:$F$10,"&gt;="&amp;C4635)</f>
        <v>1</v>
      </c>
      <c r="G4635" s="40">
        <f>SUMIFS(mdr_rate_cleaned!$G$2:$G$10,mdr_rate_cleaned!$A$2:$A$10,B4635,mdr_rate_cleaned!$B$2:$B$10,"&lt;"&amp;C4635,mdr_rate_cleaned!$F$2:$F$10,"&gt;="&amp;C4635)</f>
        <v>1.7000000000000001E-2</v>
      </c>
      <c r="H4635" s="24">
        <f t="shared" si="360"/>
        <v>152.1</v>
      </c>
      <c r="I4635" s="23" t="str">
        <f t="shared" si="361"/>
        <v>Match</v>
      </c>
      <c r="J4635" s="23" t="str">
        <f t="shared" si="362"/>
        <v>Match</v>
      </c>
      <c r="K4635" s="24">
        <f t="shared" si="363"/>
        <v>27.38</v>
      </c>
      <c r="L4635" s="24">
        <f t="shared" si="364"/>
        <v>0</v>
      </c>
    </row>
    <row r="4636" spans="1:12" ht="15" customHeight="1" x14ac:dyDescent="0.3">
      <c r="A4636" s="23" t="s">
        <v>17950</v>
      </c>
      <c r="B4636" s="23" t="s">
        <v>75</v>
      </c>
      <c r="C4636" s="39">
        <v>1499</v>
      </c>
      <c r="D4636" s="24">
        <v>0</v>
      </c>
      <c r="E4636" s="24">
        <v>0</v>
      </c>
      <c r="F4636" s="23">
        <f>COUNTIFS(mdr_rate_cleaned!$A$2:$A$10,B4636,mdr_rate_cleaned!$B$2:$B$10,"&lt;"&amp;C4636,mdr_rate_cleaned!$F$2:$F$10,"&gt;="&amp;C4636)</f>
        <v>1</v>
      </c>
      <c r="G4636" s="40">
        <f>SUMIFS(mdr_rate_cleaned!$G$2:$G$10,mdr_rate_cleaned!$A$2:$A$10,B4636,mdr_rate_cleaned!$B$2:$B$10,"&lt;"&amp;C4636,mdr_rate_cleaned!$F$2:$F$10,"&gt;="&amp;C4636)</f>
        <v>0</v>
      </c>
      <c r="H4636" s="24">
        <f t="shared" si="360"/>
        <v>0</v>
      </c>
      <c r="I4636" s="23" t="str">
        <f t="shared" si="361"/>
        <v>Match</v>
      </c>
      <c r="J4636" s="23" t="str">
        <f t="shared" si="362"/>
        <v>Match</v>
      </c>
      <c r="K4636" s="24">
        <f t="shared" si="363"/>
        <v>0</v>
      </c>
      <c r="L4636" s="24">
        <f t="shared" si="364"/>
        <v>0</v>
      </c>
    </row>
    <row r="4637" spans="1:12" ht="15" customHeight="1" x14ac:dyDescent="0.3">
      <c r="A4637" s="23" t="s">
        <v>17951</v>
      </c>
      <c r="B4637" s="23" t="s">
        <v>79</v>
      </c>
      <c r="C4637" s="39">
        <v>1299</v>
      </c>
      <c r="D4637" s="24">
        <v>23.38</v>
      </c>
      <c r="E4637" s="24">
        <v>4.21</v>
      </c>
      <c r="F4637" s="23">
        <f>COUNTIFS(mdr_rate_cleaned!$A$2:$A$10,B4637,mdr_rate_cleaned!$B$2:$B$10,"&lt;"&amp;C4637,mdr_rate_cleaned!$F$2:$F$10,"&gt;="&amp;C4637)</f>
        <v>1</v>
      </c>
      <c r="G4637" s="40">
        <f>SUMIFS(mdr_rate_cleaned!$G$2:$G$10,mdr_rate_cleaned!$A$2:$A$10,B4637,mdr_rate_cleaned!$B$2:$B$10,"&lt;"&amp;C4637,mdr_rate_cleaned!$F$2:$F$10,"&gt;="&amp;C4637)</f>
        <v>1.8000000000000002E-2</v>
      </c>
      <c r="H4637" s="24">
        <f t="shared" si="360"/>
        <v>23.38</v>
      </c>
      <c r="I4637" s="23" t="str">
        <f t="shared" si="361"/>
        <v>Match</v>
      </c>
      <c r="J4637" s="23" t="str">
        <f t="shared" si="362"/>
        <v>Match</v>
      </c>
      <c r="K4637" s="24">
        <f t="shared" si="363"/>
        <v>4.21</v>
      </c>
      <c r="L4637" s="24">
        <f t="shared" si="364"/>
        <v>0</v>
      </c>
    </row>
    <row r="4638" spans="1:12" ht="15" customHeight="1" x14ac:dyDescent="0.3">
      <c r="A4638" s="23" t="s">
        <v>17952</v>
      </c>
      <c r="B4638" s="23" t="s">
        <v>75</v>
      </c>
      <c r="C4638" s="39">
        <v>599</v>
      </c>
      <c r="D4638" s="24">
        <v>0</v>
      </c>
      <c r="E4638" s="24">
        <v>0</v>
      </c>
      <c r="F4638" s="23">
        <f>COUNTIFS(mdr_rate_cleaned!$A$2:$A$10,B4638,mdr_rate_cleaned!$B$2:$B$10,"&lt;"&amp;C4638,mdr_rate_cleaned!$F$2:$F$10,"&gt;="&amp;C4638)</f>
        <v>1</v>
      </c>
      <c r="G4638" s="40">
        <f>SUMIFS(mdr_rate_cleaned!$G$2:$G$10,mdr_rate_cleaned!$A$2:$A$10,B4638,mdr_rate_cleaned!$B$2:$B$10,"&lt;"&amp;C4638,mdr_rate_cleaned!$F$2:$F$10,"&gt;="&amp;C4638)</f>
        <v>0</v>
      </c>
      <c r="H4638" s="24">
        <f t="shared" si="360"/>
        <v>0</v>
      </c>
      <c r="I4638" s="23" t="str">
        <f t="shared" si="361"/>
        <v>Match</v>
      </c>
      <c r="J4638" s="23" t="str">
        <f t="shared" si="362"/>
        <v>Match</v>
      </c>
      <c r="K4638" s="24">
        <f t="shared" si="363"/>
        <v>0</v>
      </c>
      <c r="L4638" s="24">
        <f t="shared" si="364"/>
        <v>0</v>
      </c>
    </row>
    <row r="4639" spans="1:12" ht="15" customHeight="1" x14ac:dyDescent="0.3">
      <c r="A4639" s="23" t="s">
        <v>17953</v>
      </c>
      <c r="B4639" s="23" t="s">
        <v>79</v>
      </c>
      <c r="C4639" s="39">
        <v>4397</v>
      </c>
      <c r="D4639" s="24">
        <v>70.349999999999994</v>
      </c>
      <c r="E4639" s="24">
        <v>12.66</v>
      </c>
      <c r="F4639" s="23">
        <f>COUNTIFS(mdr_rate_cleaned!$A$2:$A$10,B4639,mdr_rate_cleaned!$B$2:$B$10,"&lt;"&amp;C4639,mdr_rate_cleaned!$F$2:$F$10,"&gt;="&amp;C4639)</f>
        <v>1</v>
      </c>
      <c r="G4639" s="40">
        <f>SUMIFS(mdr_rate_cleaned!$G$2:$G$10,mdr_rate_cleaned!$A$2:$A$10,B4639,mdr_rate_cleaned!$B$2:$B$10,"&lt;"&amp;C4639,mdr_rate_cleaned!$F$2:$F$10,"&gt;="&amp;C4639)</f>
        <v>1.6E-2</v>
      </c>
      <c r="H4639" s="24">
        <f t="shared" si="360"/>
        <v>70.349999999999994</v>
      </c>
      <c r="I4639" s="23" t="str">
        <f t="shared" si="361"/>
        <v>Match</v>
      </c>
      <c r="J4639" s="23" t="str">
        <f t="shared" si="362"/>
        <v>Match</v>
      </c>
      <c r="K4639" s="24">
        <f t="shared" si="363"/>
        <v>12.66</v>
      </c>
      <c r="L4639" s="24">
        <f t="shared" si="364"/>
        <v>0</v>
      </c>
    </row>
    <row r="4640" spans="1:12" ht="15" customHeight="1" x14ac:dyDescent="0.3">
      <c r="A4640" s="23" t="s">
        <v>17954</v>
      </c>
      <c r="B4640" s="23" t="s">
        <v>75</v>
      </c>
      <c r="C4640" s="39">
        <v>698</v>
      </c>
      <c r="D4640" s="24">
        <v>0</v>
      </c>
      <c r="E4640" s="24">
        <v>0</v>
      </c>
      <c r="F4640" s="23">
        <f>COUNTIFS(mdr_rate_cleaned!$A$2:$A$10,B4640,mdr_rate_cleaned!$B$2:$B$10,"&lt;"&amp;C4640,mdr_rate_cleaned!$F$2:$F$10,"&gt;="&amp;C4640)</f>
        <v>1</v>
      </c>
      <c r="G4640" s="40">
        <f>SUMIFS(mdr_rate_cleaned!$G$2:$G$10,mdr_rate_cleaned!$A$2:$A$10,B4640,mdr_rate_cleaned!$B$2:$B$10,"&lt;"&amp;C4640,mdr_rate_cleaned!$F$2:$F$10,"&gt;="&amp;C4640)</f>
        <v>0</v>
      </c>
      <c r="H4640" s="24">
        <f t="shared" si="360"/>
        <v>0</v>
      </c>
      <c r="I4640" s="23" t="str">
        <f t="shared" si="361"/>
        <v>Match</v>
      </c>
      <c r="J4640" s="23" t="str">
        <f t="shared" si="362"/>
        <v>Match</v>
      </c>
      <c r="K4640" s="24">
        <f t="shared" si="363"/>
        <v>0</v>
      </c>
      <c r="L4640" s="24">
        <f t="shared" si="364"/>
        <v>0</v>
      </c>
    </row>
    <row r="4641" spans="1:12" ht="15" customHeight="1" x14ac:dyDescent="0.3">
      <c r="A4641" s="23" t="s">
        <v>17955</v>
      </c>
      <c r="B4641" s="23" t="s">
        <v>75</v>
      </c>
      <c r="C4641" s="39">
        <v>5598</v>
      </c>
      <c r="D4641" s="24">
        <v>16.79</v>
      </c>
      <c r="E4641" s="24">
        <v>3.02</v>
      </c>
      <c r="F4641" s="23">
        <f>COUNTIFS(mdr_rate_cleaned!$A$2:$A$10,B4641,mdr_rate_cleaned!$B$2:$B$10,"&lt;"&amp;C4641,mdr_rate_cleaned!$F$2:$F$10,"&gt;="&amp;C4641)</f>
        <v>1</v>
      </c>
      <c r="G4641" s="40">
        <f>SUMIFS(mdr_rate_cleaned!$G$2:$G$10,mdr_rate_cleaned!$A$2:$A$10,B4641,mdr_rate_cleaned!$B$2:$B$10,"&lt;"&amp;C4641,mdr_rate_cleaned!$F$2:$F$10,"&gt;="&amp;C4641)</f>
        <v>3.0000000000000001E-3</v>
      </c>
      <c r="H4641" s="24">
        <f t="shared" si="360"/>
        <v>16.79</v>
      </c>
      <c r="I4641" s="23" t="str">
        <f t="shared" si="361"/>
        <v>Match</v>
      </c>
      <c r="J4641" s="23" t="str">
        <f t="shared" si="362"/>
        <v>Match</v>
      </c>
      <c r="K4641" s="24">
        <f t="shared" si="363"/>
        <v>3.02</v>
      </c>
      <c r="L4641" s="24">
        <f t="shared" si="364"/>
        <v>0</v>
      </c>
    </row>
    <row r="4642" spans="1:12" ht="15" customHeight="1" x14ac:dyDescent="0.3">
      <c r="A4642" s="23" t="s">
        <v>17957</v>
      </c>
      <c r="B4642" s="23" t="s">
        <v>75</v>
      </c>
      <c r="C4642" s="39">
        <v>2999</v>
      </c>
      <c r="D4642" s="24">
        <v>9</v>
      </c>
      <c r="E4642" s="24">
        <v>1.62</v>
      </c>
      <c r="F4642" s="23">
        <f>COUNTIFS(mdr_rate_cleaned!$A$2:$A$10,B4642,mdr_rate_cleaned!$B$2:$B$10,"&lt;"&amp;C4642,mdr_rate_cleaned!$F$2:$F$10,"&gt;="&amp;C4642)</f>
        <v>1</v>
      </c>
      <c r="G4642" s="40">
        <f>SUMIFS(mdr_rate_cleaned!$G$2:$G$10,mdr_rate_cleaned!$A$2:$A$10,B4642,mdr_rate_cleaned!$B$2:$B$10,"&lt;"&amp;C4642,mdr_rate_cleaned!$F$2:$F$10,"&gt;="&amp;C4642)</f>
        <v>3.0000000000000001E-3</v>
      </c>
      <c r="H4642" s="24">
        <f t="shared" si="360"/>
        <v>9</v>
      </c>
      <c r="I4642" s="23" t="str">
        <f t="shared" si="361"/>
        <v>Match</v>
      </c>
      <c r="J4642" s="23" t="str">
        <f t="shared" si="362"/>
        <v>Match</v>
      </c>
      <c r="K4642" s="24">
        <f t="shared" si="363"/>
        <v>1.62</v>
      </c>
      <c r="L4642" s="24">
        <f t="shared" si="364"/>
        <v>0</v>
      </c>
    </row>
    <row r="4643" spans="1:12" ht="15" customHeight="1" x14ac:dyDescent="0.3">
      <c r="A4643" s="23" t="s">
        <v>17959</v>
      </c>
      <c r="B4643" s="23" t="s">
        <v>79</v>
      </c>
      <c r="C4643" s="39">
        <v>3298</v>
      </c>
      <c r="D4643" s="24">
        <v>52.77</v>
      </c>
      <c r="E4643" s="24">
        <v>9.5</v>
      </c>
      <c r="F4643" s="23">
        <f>COUNTIFS(mdr_rate_cleaned!$A$2:$A$10,B4643,mdr_rate_cleaned!$B$2:$B$10,"&lt;"&amp;C4643,mdr_rate_cleaned!$F$2:$F$10,"&gt;="&amp;C4643)</f>
        <v>1</v>
      </c>
      <c r="G4643" s="40">
        <f>SUMIFS(mdr_rate_cleaned!$G$2:$G$10,mdr_rate_cleaned!$A$2:$A$10,B4643,mdr_rate_cleaned!$B$2:$B$10,"&lt;"&amp;C4643,mdr_rate_cleaned!$F$2:$F$10,"&gt;="&amp;C4643)</f>
        <v>1.6E-2</v>
      </c>
      <c r="H4643" s="24">
        <f t="shared" si="360"/>
        <v>52.77</v>
      </c>
      <c r="I4643" s="23" t="str">
        <f t="shared" si="361"/>
        <v>Match</v>
      </c>
      <c r="J4643" s="23" t="str">
        <f t="shared" si="362"/>
        <v>Match</v>
      </c>
      <c r="K4643" s="24">
        <f t="shared" si="363"/>
        <v>9.5</v>
      </c>
      <c r="L4643" s="24">
        <f t="shared" si="364"/>
        <v>0</v>
      </c>
    </row>
    <row r="4644" spans="1:12" ht="15" customHeight="1" x14ac:dyDescent="0.3">
      <c r="A4644" s="23" t="s">
        <v>17960</v>
      </c>
      <c r="B4644" s="23" t="s">
        <v>77</v>
      </c>
      <c r="C4644" s="39">
        <v>6998</v>
      </c>
      <c r="D4644" s="24">
        <v>118.97</v>
      </c>
      <c r="E4644" s="24">
        <v>21.41</v>
      </c>
      <c r="F4644" s="23">
        <f>COUNTIFS(mdr_rate_cleaned!$A$2:$A$10,B4644,mdr_rate_cleaned!$B$2:$B$10,"&lt;"&amp;C4644,mdr_rate_cleaned!$F$2:$F$10,"&gt;="&amp;C4644)</f>
        <v>1</v>
      </c>
      <c r="G4644" s="40">
        <f>SUMIFS(mdr_rate_cleaned!$G$2:$G$10,mdr_rate_cleaned!$A$2:$A$10,B4644,mdr_rate_cleaned!$B$2:$B$10,"&lt;"&amp;C4644,mdr_rate_cleaned!$F$2:$F$10,"&gt;="&amp;C4644)</f>
        <v>1.7000000000000001E-2</v>
      </c>
      <c r="H4644" s="24">
        <f t="shared" si="360"/>
        <v>118.97</v>
      </c>
      <c r="I4644" s="23" t="str">
        <f t="shared" si="361"/>
        <v>Match</v>
      </c>
      <c r="J4644" s="23" t="str">
        <f t="shared" si="362"/>
        <v>Match</v>
      </c>
      <c r="K4644" s="24">
        <f t="shared" si="363"/>
        <v>21.41</v>
      </c>
      <c r="L4644" s="24">
        <f t="shared" si="364"/>
        <v>0</v>
      </c>
    </row>
    <row r="4645" spans="1:12" ht="15" customHeight="1" x14ac:dyDescent="0.3">
      <c r="A4645" s="23" t="s">
        <v>17961</v>
      </c>
      <c r="B4645" s="23" t="s">
        <v>75</v>
      </c>
      <c r="C4645" s="39">
        <v>12297</v>
      </c>
      <c r="D4645" s="24">
        <v>36.89</v>
      </c>
      <c r="E4645" s="24">
        <v>6.64</v>
      </c>
      <c r="F4645" s="23">
        <f>COUNTIFS(mdr_rate_cleaned!$A$2:$A$10,B4645,mdr_rate_cleaned!$B$2:$B$10,"&lt;"&amp;C4645,mdr_rate_cleaned!$F$2:$F$10,"&gt;="&amp;C4645)</f>
        <v>1</v>
      </c>
      <c r="G4645" s="40">
        <f>SUMIFS(mdr_rate_cleaned!$G$2:$G$10,mdr_rate_cleaned!$A$2:$A$10,B4645,mdr_rate_cleaned!$B$2:$B$10,"&lt;"&amp;C4645,mdr_rate_cleaned!$F$2:$F$10,"&gt;="&amp;C4645)</f>
        <v>3.0000000000000001E-3</v>
      </c>
      <c r="H4645" s="24">
        <f t="shared" si="360"/>
        <v>36.89</v>
      </c>
      <c r="I4645" s="23" t="str">
        <f t="shared" si="361"/>
        <v>Match</v>
      </c>
      <c r="J4645" s="23" t="str">
        <f t="shared" si="362"/>
        <v>Match</v>
      </c>
      <c r="K4645" s="24">
        <f t="shared" si="363"/>
        <v>6.64</v>
      </c>
      <c r="L4645" s="24">
        <f t="shared" si="364"/>
        <v>0</v>
      </c>
    </row>
    <row r="4646" spans="1:12" ht="15" customHeight="1" x14ac:dyDescent="0.3">
      <c r="A4646" s="23" t="s">
        <v>17962</v>
      </c>
      <c r="B4646" s="23" t="s">
        <v>75</v>
      </c>
      <c r="C4646" s="39">
        <v>13597</v>
      </c>
      <c r="D4646" s="24">
        <v>40.79</v>
      </c>
      <c r="E4646" s="24">
        <v>7.34</v>
      </c>
      <c r="F4646" s="23">
        <f>COUNTIFS(mdr_rate_cleaned!$A$2:$A$10,B4646,mdr_rate_cleaned!$B$2:$B$10,"&lt;"&amp;C4646,mdr_rate_cleaned!$F$2:$F$10,"&gt;="&amp;C4646)</f>
        <v>1</v>
      </c>
      <c r="G4646" s="40">
        <f>SUMIFS(mdr_rate_cleaned!$G$2:$G$10,mdr_rate_cleaned!$A$2:$A$10,B4646,mdr_rate_cleaned!$B$2:$B$10,"&lt;"&amp;C4646,mdr_rate_cleaned!$F$2:$F$10,"&gt;="&amp;C4646)</f>
        <v>3.0000000000000001E-3</v>
      </c>
      <c r="H4646" s="24">
        <f t="shared" si="360"/>
        <v>40.79</v>
      </c>
      <c r="I4646" s="23" t="str">
        <f t="shared" si="361"/>
        <v>Match</v>
      </c>
      <c r="J4646" s="23" t="str">
        <f t="shared" si="362"/>
        <v>Match</v>
      </c>
      <c r="K4646" s="24">
        <f t="shared" si="363"/>
        <v>7.34</v>
      </c>
      <c r="L4646" s="24">
        <f t="shared" si="364"/>
        <v>0</v>
      </c>
    </row>
    <row r="4647" spans="1:12" ht="15" customHeight="1" x14ac:dyDescent="0.3">
      <c r="A4647" s="23" t="s">
        <v>17963</v>
      </c>
      <c r="B4647" s="23" t="s">
        <v>75</v>
      </c>
      <c r="C4647" s="39">
        <v>3498</v>
      </c>
      <c r="D4647" s="24">
        <v>10.49</v>
      </c>
      <c r="E4647" s="24">
        <v>1.89</v>
      </c>
      <c r="F4647" s="23">
        <f>COUNTIFS(mdr_rate_cleaned!$A$2:$A$10,B4647,mdr_rate_cleaned!$B$2:$B$10,"&lt;"&amp;C4647,mdr_rate_cleaned!$F$2:$F$10,"&gt;="&amp;C4647)</f>
        <v>1</v>
      </c>
      <c r="G4647" s="40">
        <f>SUMIFS(mdr_rate_cleaned!$G$2:$G$10,mdr_rate_cleaned!$A$2:$A$10,B4647,mdr_rate_cleaned!$B$2:$B$10,"&lt;"&amp;C4647,mdr_rate_cleaned!$F$2:$F$10,"&gt;="&amp;C4647)</f>
        <v>3.0000000000000001E-3</v>
      </c>
      <c r="H4647" s="24">
        <f t="shared" si="360"/>
        <v>10.49</v>
      </c>
      <c r="I4647" s="23" t="str">
        <f t="shared" si="361"/>
        <v>Match</v>
      </c>
      <c r="J4647" s="23" t="str">
        <f t="shared" si="362"/>
        <v>Match</v>
      </c>
      <c r="K4647" s="24">
        <f t="shared" si="363"/>
        <v>1.89</v>
      </c>
      <c r="L4647" s="24">
        <f t="shared" si="364"/>
        <v>0</v>
      </c>
    </row>
    <row r="4648" spans="1:12" ht="15" customHeight="1" x14ac:dyDescent="0.3">
      <c r="A4648" s="23" t="s">
        <v>17964</v>
      </c>
      <c r="B4648" s="23" t="s">
        <v>75</v>
      </c>
      <c r="C4648" s="39">
        <v>4999</v>
      </c>
      <c r="D4648" s="24">
        <v>15</v>
      </c>
      <c r="E4648" s="24">
        <v>2.7</v>
      </c>
      <c r="F4648" s="23">
        <f>COUNTIFS(mdr_rate_cleaned!$A$2:$A$10,B4648,mdr_rate_cleaned!$B$2:$B$10,"&lt;"&amp;C4648,mdr_rate_cleaned!$F$2:$F$10,"&gt;="&amp;C4648)</f>
        <v>1</v>
      </c>
      <c r="G4648" s="40">
        <f>SUMIFS(mdr_rate_cleaned!$G$2:$G$10,mdr_rate_cleaned!$A$2:$A$10,B4648,mdr_rate_cleaned!$B$2:$B$10,"&lt;"&amp;C4648,mdr_rate_cleaned!$F$2:$F$10,"&gt;="&amp;C4648)</f>
        <v>3.0000000000000001E-3</v>
      </c>
      <c r="H4648" s="24">
        <f t="shared" si="360"/>
        <v>15</v>
      </c>
      <c r="I4648" s="23" t="str">
        <f t="shared" si="361"/>
        <v>Match</v>
      </c>
      <c r="J4648" s="23" t="str">
        <f t="shared" si="362"/>
        <v>Match</v>
      </c>
      <c r="K4648" s="24">
        <f t="shared" si="363"/>
        <v>2.7</v>
      </c>
      <c r="L4648" s="24">
        <f t="shared" si="364"/>
        <v>0</v>
      </c>
    </row>
    <row r="4649" spans="1:12" ht="15" customHeight="1" x14ac:dyDescent="0.3">
      <c r="A4649" s="23" t="s">
        <v>17965</v>
      </c>
      <c r="B4649" s="23" t="s">
        <v>79</v>
      </c>
      <c r="C4649" s="39">
        <v>1299</v>
      </c>
      <c r="D4649" s="24">
        <v>23.38</v>
      </c>
      <c r="E4649" s="24">
        <v>4.21</v>
      </c>
      <c r="F4649" s="23">
        <f>COUNTIFS(mdr_rate_cleaned!$A$2:$A$10,B4649,mdr_rate_cleaned!$B$2:$B$10,"&lt;"&amp;C4649,mdr_rate_cleaned!$F$2:$F$10,"&gt;="&amp;C4649)</f>
        <v>1</v>
      </c>
      <c r="G4649" s="40">
        <f>SUMIFS(mdr_rate_cleaned!$G$2:$G$10,mdr_rate_cleaned!$A$2:$A$10,B4649,mdr_rate_cleaned!$B$2:$B$10,"&lt;"&amp;C4649,mdr_rate_cleaned!$F$2:$F$10,"&gt;="&amp;C4649)</f>
        <v>1.8000000000000002E-2</v>
      </c>
      <c r="H4649" s="24">
        <f t="shared" si="360"/>
        <v>23.38</v>
      </c>
      <c r="I4649" s="23" t="str">
        <f t="shared" si="361"/>
        <v>Match</v>
      </c>
      <c r="J4649" s="23" t="str">
        <f t="shared" si="362"/>
        <v>Match</v>
      </c>
      <c r="K4649" s="24">
        <f t="shared" si="363"/>
        <v>4.21</v>
      </c>
      <c r="L4649" s="24">
        <f t="shared" si="364"/>
        <v>0</v>
      </c>
    </row>
    <row r="4650" spans="1:12" ht="15" customHeight="1" x14ac:dyDescent="0.3">
      <c r="A4650" s="23" t="s">
        <v>17966</v>
      </c>
      <c r="B4650" s="23" t="s">
        <v>79</v>
      </c>
      <c r="C4650" s="39">
        <v>7999</v>
      </c>
      <c r="D4650" s="24">
        <v>127.98</v>
      </c>
      <c r="E4650" s="24">
        <v>23.04</v>
      </c>
      <c r="F4650" s="23">
        <f>COUNTIFS(mdr_rate_cleaned!$A$2:$A$10,B4650,mdr_rate_cleaned!$B$2:$B$10,"&lt;"&amp;C4650,mdr_rate_cleaned!$F$2:$F$10,"&gt;="&amp;C4650)</f>
        <v>1</v>
      </c>
      <c r="G4650" s="40">
        <f>SUMIFS(mdr_rate_cleaned!$G$2:$G$10,mdr_rate_cleaned!$A$2:$A$10,B4650,mdr_rate_cleaned!$B$2:$B$10,"&lt;"&amp;C4650,mdr_rate_cleaned!$F$2:$F$10,"&gt;="&amp;C4650)</f>
        <v>1.6E-2</v>
      </c>
      <c r="H4650" s="24">
        <f t="shared" si="360"/>
        <v>127.98</v>
      </c>
      <c r="I4650" s="23" t="str">
        <f t="shared" si="361"/>
        <v>Match</v>
      </c>
      <c r="J4650" s="23" t="str">
        <f t="shared" si="362"/>
        <v>Match</v>
      </c>
      <c r="K4650" s="24">
        <f t="shared" si="363"/>
        <v>23.04</v>
      </c>
      <c r="L4650" s="24">
        <f t="shared" si="364"/>
        <v>0</v>
      </c>
    </row>
    <row r="4651" spans="1:12" ht="15" customHeight="1" x14ac:dyDescent="0.3">
      <c r="A4651" s="23" t="s">
        <v>17967</v>
      </c>
      <c r="B4651" s="23" t="s">
        <v>79</v>
      </c>
      <c r="C4651" s="39">
        <v>3499</v>
      </c>
      <c r="D4651" s="24">
        <v>55.98</v>
      </c>
      <c r="E4651" s="24">
        <v>10.08</v>
      </c>
      <c r="F4651" s="23">
        <f>COUNTIFS(mdr_rate_cleaned!$A$2:$A$10,B4651,mdr_rate_cleaned!$B$2:$B$10,"&lt;"&amp;C4651,mdr_rate_cleaned!$F$2:$F$10,"&gt;="&amp;C4651)</f>
        <v>1</v>
      </c>
      <c r="G4651" s="40">
        <f>SUMIFS(mdr_rate_cleaned!$G$2:$G$10,mdr_rate_cleaned!$A$2:$A$10,B4651,mdr_rate_cleaned!$B$2:$B$10,"&lt;"&amp;C4651,mdr_rate_cleaned!$F$2:$F$10,"&gt;="&amp;C4651)</f>
        <v>1.6E-2</v>
      </c>
      <c r="H4651" s="24">
        <f t="shared" si="360"/>
        <v>55.98</v>
      </c>
      <c r="I4651" s="23" t="str">
        <f t="shared" si="361"/>
        <v>Match</v>
      </c>
      <c r="J4651" s="23" t="str">
        <f t="shared" si="362"/>
        <v>Match</v>
      </c>
      <c r="K4651" s="24">
        <f t="shared" si="363"/>
        <v>10.08</v>
      </c>
      <c r="L4651" s="24">
        <f t="shared" si="364"/>
        <v>0</v>
      </c>
    </row>
    <row r="4652" spans="1:12" ht="15" customHeight="1" x14ac:dyDescent="0.3">
      <c r="A4652" s="23" t="s">
        <v>17968</v>
      </c>
      <c r="B4652" s="23" t="s">
        <v>79</v>
      </c>
      <c r="C4652" s="39">
        <v>299</v>
      </c>
      <c r="D4652" s="24">
        <v>5.38</v>
      </c>
      <c r="E4652" s="24">
        <v>0.97</v>
      </c>
      <c r="F4652" s="23">
        <f>COUNTIFS(mdr_rate_cleaned!$A$2:$A$10,B4652,mdr_rate_cleaned!$B$2:$B$10,"&lt;"&amp;C4652,mdr_rate_cleaned!$F$2:$F$10,"&gt;="&amp;C4652)</f>
        <v>1</v>
      </c>
      <c r="G4652" s="40">
        <f>SUMIFS(mdr_rate_cleaned!$G$2:$G$10,mdr_rate_cleaned!$A$2:$A$10,B4652,mdr_rate_cleaned!$B$2:$B$10,"&lt;"&amp;C4652,mdr_rate_cleaned!$F$2:$F$10,"&gt;="&amp;C4652)</f>
        <v>1.8000000000000002E-2</v>
      </c>
      <c r="H4652" s="24">
        <f t="shared" si="360"/>
        <v>5.38</v>
      </c>
      <c r="I4652" s="23" t="str">
        <f t="shared" si="361"/>
        <v>Match</v>
      </c>
      <c r="J4652" s="23" t="str">
        <f t="shared" si="362"/>
        <v>Match</v>
      </c>
      <c r="K4652" s="24">
        <f t="shared" si="363"/>
        <v>0.97</v>
      </c>
      <c r="L4652" s="24">
        <f t="shared" si="364"/>
        <v>0</v>
      </c>
    </row>
    <row r="4653" spans="1:12" ht="15" customHeight="1" x14ac:dyDescent="0.3">
      <c r="A4653" s="23" t="s">
        <v>17969</v>
      </c>
      <c r="B4653" s="23" t="s">
        <v>79</v>
      </c>
      <c r="C4653" s="39">
        <v>2499</v>
      </c>
      <c r="D4653" s="24">
        <v>39.979999999999997</v>
      </c>
      <c r="E4653" s="24">
        <v>7.2</v>
      </c>
      <c r="F4653" s="23">
        <f>COUNTIFS(mdr_rate_cleaned!$A$2:$A$10,B4653,mdr_rate_cleaned!$B$2:$B$10,"&lt;"&amp;C4653,mdr_rate_cleaned!$F$2:$F$10,"&gt;="&amp;C4653)</f>
        <v>1</v>
      </c>
      <c r="G4653" s="40">
        <f>SUMIFS(mdr_rate_cleaned!$G$2:$G$10,mdr_rate_cleaned!$A$2:$A$10,B4653,mdr_rate_cleaned!$B$2:$B$10,"&lt;"&amp;C4653,mdr_rate_cleaned!$F$2:$F$10,"&gt;="&amp;C4653)</f>
        <v>1.6E-2</v>
      </c>
      <c r="H4653" s="24">
        <f t="shared" si="360"/>
        <v>39.979999999999997</v>
      </c>
      <c r="I4653" s="23" t="str">
        <f t="shared" si="361"/>
        <v>Match</v>
      </c>
      <c r="J4653" s="23" t="str">
        <f t="shared" si="362"/>
        <v>Match</v>
      </c>
      <c r="K4653" s="24">
        <f t="shared" si="363"/>
        <v>7.2</v>
      </c>
      <c r="L4653" s="24">
        <f t="shared" si="364"/>
        <v>0</v>
      </c>
    </row>
    <row r="4654" spans="1:12" ht="15" customHeight="1" x14ac:dyDescent="0.3">
      <c r="A4654" s="23" t="s">
        <v>17970</v>
      </c>
      <c r="B4654" s="23" t="s">
        <v>75</v>
      </c>
      <c r="C4654" s="39">
        <v>1648</v>
      </c>
      <c r="D4654" s="24">
        <v>0</v>
      </c>
      <c r="E4654" s="24">
        <v>0</v>
      </c>
      <c r="F4654" s="23">
        <f>COUNTIFS(mdr_rate_cleaned!$A$2:$A$10,B4654,mdr_rate_cleaned!$B$2:$B$10,"&lt;"&amp;C4654,mdr_rate_cleaned!$F$2:$F$10,"&gt;="&amp;C4654)</f>
        <v>1</v>
      </c>
      <c r="G4654" s="40">
        <f>SUMIFS(mdr_rate_cleaned!$G$2:$G$10,mdr_rate_cleaned!$A$2:$A$10,B4654,mdr_rate_cleaned!$B$2:$B$10,"&lt;"&amp;C4654,mdr_rate_cleaned!$F$2:$F$10,"&gt;="&amp;C4654)</f>
        <v>0</v>
      </c>
      <c r="H4654" s="24">
        <f t="shared" si="360"/>
        <v>0</v>
      </c>
      <c r="I4654" s="23" t="str">
        <f t="shared" si="361"/>
        <v>Match</v>
      </c>
      <c r="J4654" s="23" t="str">
        <f t="shared" si="362"/>
        <v>Match</v>
      </c>
      <c r="K4654" s="24">
        <f t="shared" si="363"/>
        <v>0</v>
      </c>
      <c r="L4654" s="24">
        <f t="shared" si="364"/>
        <v>0</v>
      </c>
    </row>
    <row r="4655" spans="1:12" ht="15" customHeight="1" x14ac:dyDescent="0.3">
      <c r="A4655" s="23" t="s">
        <v>17971</v>
      </c>
      <c r="B4655" s="23" t="s">
        <v>75</v>
      </c>
      <c r="C4655" s="39">
        <v>12297</v>
      </c>
      <c r="D4655" s="24">
        <v>36.89</v>
      </c>
      <c r="E4655" s="24">
        <v>6.64</v>
      </c>
      <c r="F4655" s="23">
        <f>COUNTIFS(mdr_rate_cleaned!$A$2:$A$10,B4655,mdr_rate_cleaned!$B$2:$B$10,"&lt;"&amp;C4655,mdr_rate_cleaned!$F$2:$F$10,"&gt;="&amp;C4655)</f>
        <v>1</v>
      </c>
      <c r="G4655" s="40">
        <f>SUMIFS(mdr_rate_cleaned!$G$2:$G$10,mdr_rate_cleaned!$A$2:$A$10,B4655,mdr_rate_cleaned!$B$2:$B$10,"&lt;"&amp;C4655,mdr_rate_cleaned!$F$2:$F$10,"&gt;="&amp;C4655)</f>
        <v>3.0000000000000001E-3</v>
      </c>
      <c r="H4655" s="24">
        <f t="shared" si="360"/>
        <v>36.89</v>
      </c>
      <c r="I4655" s="23" t="str">
        <f t="shared" si="361"/>
        <v>Match</v>
      </c>
      <c r="J4655" s="23" t="str">
        <f t="shared" si="362"/>
        <v>Match</v>
      </c>
      <c r="K4655" s="24">
        <f t="shared" si="363"/>
        <v>6.64</v>
      </c>
      <c r="L4655" s="24">
        <f t="shared" si="364"/>
        <v>0</v>
      </c>
    </row>
    <row r="4656" spans="1:12" ht="15" customHeight="1" x14ac:dyDescent="0.3">
      <c r="A4656" s="23" t="s">
        <v>17973</v>
      </c>
      <c r="B4656" s="23" t="s">
        <v>79</v>
      </c>
      <c r="C4656" s="39">
        <v>1298</v>
      </c>
      <c r="D4656" s="24">
        <v>23.36</v>
      </c>
      <c r="E4656" s="24">
        <v>4.2</v>
      </c>
      <c r="F4656" s="23">
        <f>COUNTIFS(mdr_rate_cleaned!$A$2:$A$10,B4656,mdr_rate_cleaned!$B$2:$B$10,"&lt;"&amp;C4656,mdr_rate_cleaned!$F$2:$F$10,"&gt;="&amp;C4656)</f>
        <v>1</v>
      </c>
      <c r="G4656" s="40">
        <f>SUMIFS(mdr_rate_cleaned!$G$2:$G$10,mdr_rate_cleaned!$A$2:$A$10,B4656,mdr_rate_cleaned!$B$2:$B$10,"&lt;"&amp;C4656,mdr_rate_cleaned!$F$2:$F$10,"&gt;="&amp;C4656)</f>
        <v>1.8000000000000002E-2</v>
      </c>
      <c r="H4656" s="24">
        <f t="shared" si="360"/>
        <v>23.36</v>
      </c>
      <c r="I4656" s="23" t="str">
        <f t="shared" si="361"/>
        <v>Match</v>
      </c>
      <c r="J4656" s="23" t="str">
        <f t="shared" si="362"/>
        <v>Match</v>
      </c>
      <c r="K4656" s="24">
        <f t="shared" si="363"/>
        <v>4.2</v>
      </c>
      <c r="L4656" s="24">
        <f t="shared" si="364"/>
        <v>0</v>
      </c>
    </row>
    <row r="4657" spans="1:12" ht="15" customHeight="1" x14ac:dyDescent="0.3">
      <c r="A4657" s="23" t="s">
        <v>17974</v>
      </c>
      <c r="B4657" s="23" t="s">
        <v>79</v>
      </c>
      <c r="C4657" s="39">
        <v>7999</v>
      </c>
      <c r="D4657" s="24">
        <v>127.98</v>
      </c>
      <c r="E4657" s="24">
        <v>23.04</v>
      </c>
      <c r="F4657" s="23">
        <f>COUNTIFS(mdr_rate_cleaned!$A$2:$A$10,B4657,mdr_rate_cleaned!$B$2:$B$10,"&lt;"&amp;C4657,mdr_rate_cleaned!$F$2:$F$10,"&gt;="&amp;C4657)</f>
        <v>1</v>
      </c>
      <c r="G4657" s="40">
        <f>SUMIFS(mdr_rate_cleaned!$G$2:$G$10,mdr_rate_cleaned!$A$2:$A$10,B4657,mdr_rate_cleaned!$B$2:$B$10,"&lt;"&amp;C4657,mdr_rate_cleaned!$F$2:$F$10,"&gt;="&amp;C4657)</f>
        <v>1.6E-2</v>
      </c>
      <c r="H4657" s="24">
        <f t="shared" si="360"/>
        <v>127.98</v>
      </c>
      <c r="I4657" s="23" t="str">
        <f t="shared" si="361"/>
        <v>Match</v>
      </c>
      <c r="J4657" s="23" t="str">
        <f t="shared" si="362"/>
        <v>Match</v>
      </c>
      <c r="K4657" s="24">
        <f t="shared" si="363"/>
        <v>23.04</v>
      </c>
      <c r="L4657" s="24">
        <f t="shared" si="364"/>
        <v>0</v>
      </c>
    </row>
    <row r="4658" spans="1:12" ht="15" customHeight="1" x14ac:dyDescent="0.3">
      <c r="A4658" s="23" t="s">
        <v>17975</v>
      </c>
      <c r="B4658" s="23" t="s">
        <v>75</v>
      </c>
      <c r="C4658" s="39">
        <v>1798</v>
      </c>
      <c r="D4658" s="24">
        <v>0</v>
      </c>
      <c r="E4658" s="24">
        <v>0</v>
      </c>
      <c r="F4658" s="23">
        <f>COUNTIFS(mdr_rate_cleaned!$A$2:$A$10,B4658,mdr_rate_cleaned!$B$2:$B$10,"&lt;"&amp;C4658,mdr_rate_cleaned!$F$2:$F$10,"&gt;="&amp;C4658)</f>
        <v>1</v>
      </c>
      <c r="G4658" s="40">
        <f>SUMIFS(mdr_rate_cleaned!$G$2:$G$10,mdr_rate_cleaned!$A$2:$A$10,B4658,mdr_rate_cleaned!$B$2:$B$10,"&lt;"&amp;C4658,mdr_rate_cleaned!$F$2:$F$10,"&gt;="&amp;C4658)</f>
        <v>0</v>
      </c>
      <c r="H4658" s="24">
        <f t="shared" si="360"/>
        <v>0</v>
      </c>
      <c r="I4658" s="23" t="str">
        <f t="shared" si="361"/>
        <v>Match</v>
      </c>
      <c r="J4658" s="23" t="str">
        <f t="shared" si="362"/>
        <v>Match</v>
      </c>
      <c r="K4658" s="24">
        <f t="shared" si="363"/>
        <v>0</v>
      </c>
      <c r="L4658" s="24">
        <f t="shared" si="364"/>
        <v>0</v>
      </c>
    </row>
    <row r="4659" spans="1:12" ht="15" customHeight="1" x14ac:dyDescent="0.3">
      <c r="A4659" s="23" t="s">
        <v>17976</v>
      </c>
      <c r="B4659" s="23" t="s">
        <v>75</v>
      </c>
      <c r="C4659" s="39">
        <v>4999</v>
      </c>
      <c r="D4659" s="24">
        <v>15</v>
      </c>
      <c r="E4659" s="24">
        <v>2.7</v>
      </c>
      <c r="F4659" s="23">
        <f>COUNTIFS(mdr_rate_cleaned!$A$2:$A$10,B4659,mdr_rate_cleaned!$B$2:$B$10,"&lt;"&amp;C4659,mdr_rate_cleaned!$F$2:$F$10,"&gt;="&amp;C4659)</f>
        <v>1</v>
      </c>
      <c r="G4659" s="40">
        <f>SUMIFS(mdr_rate_cleaned!$G$2:$G$10,mdr_rate_cleaned!$A$2:$A$10,B4659,mdr_rate_cleaned!$B$2:$B$10,"&lt;"&amp;C4659,mdr_rate_cleaned!$F$2:$F$10,"&gt;="&amp;C4659)</f>
        <v>3.0000000000000001E-3</v>
      </c>
      <c r="H4659" s="24">
        <f t="shared" si="360"/>
        <v>15</v>
      </c>
      <c r="I4659" s="23" t="str">
        <f t="shared" si="361"/>
        <v>Match</v>
      </c>
      <c r="J4659" s="23" t="str">
        <f t="shared" si="362"/>
        <v>Match</v>
      </c>
      <c r="K4659" s="24">
        <f t="shared" si="363"/>
        <v>2.7</v>
      </c>
      <c r="L4659" s="24">
        <f t="shared" si="364"/>
        <v>0</v>
      </c>
    </row>
    <row r="4660" spans="1:12" ht="15" customHeight="1" x14ac:dyDescent="0.3">
      <c r="A4660" s="23" t="s">
        <v>17977</v>
      </c>
      <c r="B4660" s="23" t="s">
        <v>75</v>
      </c>
      <c r="C4660" s="39">
        <v>1299</v>
      </c>
      <c r="D4660" s="24">
        <v>0</v>
      </c>
      <c r="E4660" s="24">
        <v>0</v>
      </c>
      <c r="F4660" s="23">
        <f>COUNTIFS(mdr_rate_cleaned!$A$2:$A$10,B4660,mdr_rate_cleaned!$B$2:$B$10,"&lt;"&amp;C4660,mdr_rate_cleaned!$F$2:$F$10,"&gt;="&amp;C4660)</f>
        <v>1</v>
      </c>
      <c r="G4660" s="40">
        <f>SUMIFS(mdr_rate_cleaned!$G$2:$G$10,mdr_rate_cleaned!$A$2:$A$10,B4660,mdr_rate_cleaned!$B$2:$B$10,"&lt;"&amp;C4660,mdr_rate_cleaned!$F$2:$F$10,"&gt;="&amp;C4660)</f>
        <v>0</v>
      </c>
      <c r="H4660" s="24">
        <f t="shared" si="360"/>
        <v>0</v>
      </c>
      <c r="I4660" s="23" t="str">
        <f t="shared" si="361"/>
        <v>Match</v>
      </c>
      <c r="J4660" s="23" t="str">
        <f t="shared" si="362"/>
        <v>Match</v>
      </c>
      <c r="K4660" s="24">
        <f t="shared" si="363"/>
        <v>0</v>
      </c>
      <c r="L4660" s="24">
        <f t="shared" si="364"/>
        <v>0</v>
      </c>
    </row>
    <row r="4661" spans="1:12" ht="15" customHeight="1" x14ac:dyDescent="0.3">
      <c r="A4661" s="23" t="s">
        <v>17978</v>
      </c>
      <c r="B4661" s="23" t="s">
        <v>75</v>
      </c>
      <c r="C4661" s="39">
        <v>799</v>
      </c>
      <c r="D4661" s="24">
        <v>0</v>
      </c>
      <c r="E4661" s="24">
        <v>0</v>
      </c>
      <c r="F4661" s="23">
        <f>COUNTIFS(mdr_rate_cleaned!$A$2:$A$10,B4661,mdr_rate_cleaned!$B$2:$B$10,"&lt;"&amp;C4661,mdr_rate_cleaned!$F$2:$F$10,"&gt;="&amp;C4661)</f>
        <v>1</v>
      </c>
      <c r="G4661" s="40">
        <f>SUMIFS(mdr_rate_cleaned!$G$2:$G$10,mdr_rate_cleaned!$A$2:$A$10,B4661,mdr_rate_cleaned!$B$2:$B$10,"&lt;"&amp;C4661,mdr_rate_cleaned!$F$2:$F$10,"&gt;="&amp;C4661)</f>
        <v>0</v>
      </c>
      <c r="H4661" s="24">
        <f t="shared" si="360"/>
        <v>0</v>
      </c>
      <c r="I4661" s="23" t="str">
        <f t="shared" si="361"/>
        <v>Match</v>
      </c>
      <c r="J4661" s="23" t="str">
        <f t="shared" si="362"/>
        <v>Match</v>
      </c>
      <c r="K4661" s="24">
        <f t="shared" si="363"/>
        <v>0</v>
      </c>
      <c r="L4661" s="24">
        <f t="shared" si="364"/>
        <v>0</v>
      </c>
    </row>
    <row r="4662" spans="1:12" ht="15" customHeight="1" x14ac:dyDescent="0.3">
      <c r="A4662" s="23" t="s">
        <v>17979</v>
      </c>
      <c r="B4662" s="23" t="s">
        <v>77</v>
      </c>
      <c r="C4662" s="39">
        <v>2499</v>
      </c>
      <c r="D4662" s="24">
        <v>42.48</v>
      </c>
      <c r="E4662" s="24">
        <v>7.65</v>
      </c>
      <c r="F4662" s="23">
        <f>COUNTIFS(mdr_rate_cleaned!$A$2:$A$10,B4662,mdr_rate_cleaned!$B$2:$B$10,"&lt;"&amp;C4662,mdr_rate_cleaned!$F$2:$F$10,"&gt;="&amp;C4662)</f>
        <v>1</v>
      </c>
      <c r="G4662" s="40">
        <f>SUMIFS(mdr_rate_cleaned!$G$2:$G$10,mdr_rate_cleaned!$A$2:$A$10,B4662,mdr_rate_cleaned!$B$2:$B$10,"&lt;"&amp;C4662,mdr_rate_cleaned!$F$2:$F$10,"&gt;="&amp;C4662)</f>
        <v>1.7000000000000001E-2</v>
      </c>
      <c r="H4662" s="24">
        <f t="shared" si="360"/>
        <v>42.48</v>
      </c>
      <c r="I4662" s="23" t="str">
        <f t="shared" si="361"/>
        <v>Match</v>
      </c>
      <c r="J4662" s="23" t="str">
        <f t="shared" si="362"/>
        <v>Match</v>
      </c>
      <c r="K4662" s="24">
        <f t="shared" si="363"/>
        <v>7.65</v>
      </c>
      <c r="L4662" s="24">
        <f t="shared" si="364"/>
        <v>0</v>
      </c>
    </row>
    <row r="4663" spans="1:12" ht="15" customHeight="1" x14ac:dyDescent="0.3">
      <c r="A4663" s="23" t="s">
        <v>17981</v>
      </c>
      <c r="B4663" s="23" t="s">
        <v>75</v>
      </c>
      <c r="C4663" s="39">
        <v>799</v>
      </c>
      <c r="D4663" s="24">
        <v>0</v>
      </c>
      <c r="E4663" s="24">
        <v>0</v>
      </c>
      <c r="F4663" s="23">
        <f>COUNTIFS(mdr_rate_cleaned!$A$2:$A$10,B4663,mdr_rate_cleaned!$B$2:$B$10,"&lt;"&amp;C4663,mdr_rate_cleaned!$F$2:$F$10,"&gt;="&amp;C4663)</f>
        <v>1</v>
      </c>
      <c r="G4663" s="40">
        <f>SUMIFS(mdr_rate_cleaned!$G$2:$G$10,mdr_rate_cleaned!$A$2:$A$10,B4663,mdr_rate_cleaned!$B$2:$B$10,"&lt;"&amp;C4663,mdr_rate_cleaned!$F$2:$F$10,"&gt;="&amp;C4663)</f>
        <v>0</v>
      </c>
      <c r="H4663" s="24">
        <f t="shared" si="360"/>
        <v>0</v>
      </c>
      <c r="I4663" s="23" t="str">
        <f t="shared" si="361"/>
        <v>Match</v>
      </c>
      <c r="J4663" s="23" t="str">
        <f t="shared" si="362"/>
        <v>Match</v>
      </c>
      <c r="K4663" s="24">
        <f t="shared" si="363"/>
        <v>0</v>
      </c>
      <c r="L4663" s="24">
        <f t="shared" si="364"/>
        <v>0</v>
      </c>
    </row>
    <row r="4664" spans="1:12" ht="15" customHeight="1" x14ac:dyDescent="0.3">
      <c r="A4664" s="23" t="s">
        <v>17982</v>
      </c>
      <c r="B4664" s="23" t="s">
        <v>77</v>
      </c>
      <c r="C4664" s="39">
        <v>1799</v>
      </c>
      <c r="D4664" s="24">
        <v>34.18</v>
      </c>
      <c r="E4664" s="24">
        <v>6.15</v>
      </c>
      <c r="F4664" s="23">
        <f>COUNTIFS(mdr_rate_cleaned!$A$2:$A$10,B4664,mdr_rate_cleaned!$B$2:$B$10,"&lt;"&amp;C4664,mdr_rate_cleaned!$F$2:$F$10,"&gt;="&amp;C4664)</f>
        <v>1</v>
      </c>
      <c r="G4664" s="40">
        <f>SUMIFS(mdr_rate_cleaned!$G$2:$G$10,mdr_rate_cleaned!$A$2:$A$10,B4664,mdr_rate_cleaned!$B$2:$B$10,"&lt;"&amp;C4664,mdr_rate_cleaned!$F$2:$F$10,"&gt;="&amp;C4664)</f>
        <v>1.9E-2</v>
      </c>
      <c r="H4664" s="24">
        <f t="shared" si="360"/>
        <v>34.18</v>
      </c>
      <c r="I4664" s="23" t="str">
        <f t="shared" si="361"/>
        <v>Match</v>
      </c>
      <c r="J4664" s="23" t="str">
        <f t="shared" si="362"/>
        <v>Match</v>
      </c>
      <c r="K4664" s="24">
        <f t="shared" si="363"/>
        <v>6.15</v>
      </c>
      <c r="L4664" s="24">
        <f t="shared" si="364"/>
        <v>0</v>
      </c>
    </row>
    <row r="4665" spans="1:12" ht="15" customHeight="1" x14ac:dyDescent="0.3">
      <c r="A4665" s="23" t="s">
        <v>17983</v>
      </c>
      <c r="B4665" s="23" t="s">
        <v>79</v>
      </c>
      <c r="C4665" s="39">
        <v>2148</v>
      </c>
      <c r="D4665" s="24">
        <v>34.369999999999997</v>
      </c>
      <c r="E4665" s="24">
        <v>6.19</v>
      </c>
      <c r="F4665" s="23">
        <f>COUNTIFS(mdr_rate_cleaned!$A$2:$A$10,B4665,mdr_rate_cleaned!$B$2:$B$10,"&lt;"&amp;C4665,mdr_rate_cleaned!$F$2:$F$10,"&gt;="&amp;C4665)</f>
        <v>1</v>
      </c>
      <c r="G4665" s="40">
        <f>SUMIFS(mdr_rate_cleaned!$G$2:$G$10,mdr_rate_cleaned!$A$2:$A$10,B4665,mdr_rate_cleaned!$B$2:$B$10,"&lt;"&amp;C4665,mdr_rate_cleaned!$F$2:$F$10,"&gt;="&amp;C4665)</f>
        <v>1.6E-2</v>
      </c>
      <c r="H4665" s="24">
        <f t="shared" si="360"/>
        <v>34.369999999999997</v>
      </c>
      <c r="I4665" s="23" t="str">
        <f t="shared" si="361"/>
        <v>Match</v>
      </c>
      <c r="J4665" s="23" t="str">
        <f t="shared" si="362"/>
        <v>Match</v>
      </c>
      <c r="K4665" s="24">
        <f t="shared" si="363"/>
        <v>6.19</v>
      </c>
      <c r="L4665" s="24">
        <f t="shared" si="364"/>
        <v>0</v>
      </c>
    </row>
    <row r="4666" spans="1:12" ht="15" customHeight="1" x14ac:dyDescent="0.3">
      <c r="A4666" s="23" t="s">
        <v>17984</v>
      </c>
      <c r="B4666" s="23" t="s">
        <v>75</v>
      </c>
      <c r="C4666" s="39">
        <v>499</v>
      </c>
      <c r="D4666" s="24">
        <v>0</v>
      </c>
      <c r="E4666" s="24">
        <v>0</v>
      </c>
      <c r="F4666" s="23">
        <f>COUNTIFS(mdr_rate_cleaned!$A$2:$A$10,B4666,mdr_rate_cleaned!$B$2:$B$10,"&lt;"&amp;C4666,mdr_rate_cleaned!$F$2:$F$10,"&gt;="&amp;C4666)</f>
        <v>1</v>
      </c>
      <c r="G4666" s="40">
        <f>SUMIFS(mdr_rate_cleaned!$G$2:$G$10,mdr_rate_cleaned!$A$2:$A$10,B4666,mdr_rate_cleaned!$B$2:$B$10,"&lt;"&amp;C4666,mdr_rate_cleaned!$F$2:$F$10,"&gt;="&amp;C4666)</f>
        <v>0</v>
      </c>
      <c r="H4666" s="24">
        <f t="shared" si="360"/>
        <v>0</v>
      </c>
      <c r="I4666" s="23" t="str">
        <f t="shared" si="361"/>
        <v>Match</v>
      </c>
      <c r="J4666" s="23" t="str">
        <f t="shared" si="362"/>
        <v>Match</v>
      </c>
      <c r="K4666" s="24">
        <f t="shared" si="363"/>
        <v>0</v>
      </c>
      <c r="L4666" s="24">
        <f t="shared" si="364"/>
        <v>0</v>
      </c>
    </row>
    <row r="4667" spans="1:12" ht="15" customHeight="1" x14ac:dyDescent="0.3">
      <c r="A4667" s="23" t="s">
        <v>17985</v>
      </c>
      <c r="B4667" s="23" t="s">
        <v>79</v>
      </c>
      <c r="C4667" s="39">
        <v>4497</v>
      </c>
      <c r="D4667" s="24">
        <v>71.95</v>
      </c>
      <c r="E4667" s="24">
        <v>12.95</v>
      </c>
      <c r="F4667" s="23">
        <f>COUNTIFS(mdr_rate_cleaned!$A$2:$A$10,B4667,mdr_rate_cleaned!$B$2:$B$10,"&lt;"&amp;C4667,mdr_rate_cleaned!$F$2:$F$10,"&gt;="&amp;C4667)</f>
        <v>1</v>
      </c>
      <c r="G4667" s="40">
        <f>SUMIFS(mdr_rate_cleaned!$G$2:$G$10,mdr_rate_cleaned!$A$2:$A$10,B4667,mdr_rate_cleaned!$B$2:$B$10,"&lt;"&amp;C4667,mdr_rate_cleaned!$F$2:$F$10,"&gt;="&amp;C4667)</f>
        <v>1.6E-2</v>
      </c>
      <c r="H4667" s="24">
        <f t="shared" si="360"/>
        <v>71.95</v>
      </c>
      <c r="I4667" s="23" t="str">
        <f t="shared" si="361"/>
        <v>Match</v>
      </c>
      <c r="J4667" s="23" t="str">
        <f t="shared" si="362"/>
        <v>Match</v>
      </c>
      <c r="K4667" s="24">
        <f t="shared" si="363"/>
        <v>12.95</v>
      </c>
      <c r="L4667" s="24">
        <f t="shared" si="364"/>
        <v>0</v>
      </c>
    </row>
    <row r="4668" spans="1:12" ht="15" customHeight="1" x14ac:dyDescent="0.3">
      <c r="A4668" s="23" t="s">
        <v>17986</v>
      </c>
      <c r="B4668" s="23" t="s">
        <v>81</v>
      </c>
      <c r="C4668" s="39">
        <v>3499</v>
      </c>
      <c r="D4668" s="24">
        <v>41.99</v>
      </c>
      <c r="E4668" s="24">
        <v>7.56</v>
      </c>
      <c r="F4668" s="23">
        <f>COUNTIFS(mdr_rate_cleaned!$A$2:$A$10,B4668,mdr_rate_cleaned!$B$2:$B$10,"&lt;"&amp;C4668,mdr_rate_cleaned!$F$2:$F$10,"&gt;="&amp;C4668)</f>
        <v>1</v>
      </c>
      <c r="G4668" s="40">
        <f>SUMIFS(mdr_rate_cleaned!$G$2:$G$10,mdr_rate_cleaned!$A$2:$A$10,B4668,mdr_rate_cleaned!$B$2:$B$10,"&lt;"&amp;C4668,mdr_rate_cleaned!$F$2:$F$10,"&gt;="&amp;C4668)</f>
        <v>1.2E-2</v>
      </c>
      <c r="H4668" s="24">
        <f t="shared" si="360"/>
        <v>41.99</v>
      </c>
      <c r="I4668" s="23" t="str">
        <f t="shared" si="361"/>
        <v>Match</v>
      </c>
      <c r="J4668" s="23" t="str">
        <f t="shared" si="362"/>
        <v>Match</v>
      </c>
      <c r="K4668" s="24">
        <f t="shared" si="363"/>
        <v>7.56</v>
      </c>
      <c r="L4668" s="24">
        <f t="shared" si="364"/>
        <v>0</v>
      </c>
    </row>
    <row r="4669" spans="1:12" ht="15" customHeight="1" x14ac:dyDescent="0.3">
      <c r="A4669" s="23" t="s">
        <v>17987</v>
      </c>
      <c r="B4669" s="23" t="s">
        <v>81</v>
      </c>
      <c r="C4669" s="39">
        <v>3499</v>
      </c>
      <c r="D4669" s="24">
        <v>41.99</v>
      </c>
      <c r="E4669" s="24">
        <v>7.56</v>
      </c>
      <c r="F4669" s="23">
        <f>COUNTIFS(mdr_rate_cleaned!$A$2:$A$10,B4669,mdr_rate_cleaned!$B$2:$B$10,"&lt;"&amp;C4669,mdr_rate_cleaned!$F$2:$F$10,"&gt;="&amp;C4669)</f>
        <v>1</v>
      </c>
      <c r="G4669" s="40">
        <f>SUMIFS(mdr_rate_cleaned!$G$2:$G$10,mdr_rate_cleaned!$A$2:$A$10,B4669,mdr_rate_cleaned!$B$2:$B$10,"&lt;"&amp;C4669,mdr_rate_cleaned!$F$2:$F$10,"&gt;="&amp;C4669)</f>
        <v>1.2E-2</v>
      </c>
      <c r="H4669" s="24">
        <f t="shared" si="360"/>
        <v>41.99</v>
      </c>
      <c r="I4669" s="23" t="str">
        <f t="shared" si="361"/>
        <v>Match</v>
      </c>
      <c r="J4669" s="23" t="str">
        <f t="shared" si="362"/>
        <v>Match</v>
      </c>
      <c r="K4669" s="24">
        <f t="shared" si="363"/>
        <v>7.56</v>
      </c>
      <c r="L4669" s="24">
        <f t="shared" si="364"/>
        <v>0</v>
      </c>
    </row>
    <row r="4670" spans="1:12" ht="15" customHeight="1" x14ac:dyDescent="0.3">
      <c r="A4670" s="23" t="s">
        <v>17988</v>
      </c>
      <c r="B4670" s="23" t="s">
        <v>79</v>
      </c>
      <c r="C4670" s="39">
        <v>799</v>
      </c>
      <c r="D4670" s="24">
        <v>14.38</v>
      </c>
      <c r="E4670" s="24">
        <v>2.59</v>
      </c>
      <c r="F4670" s="23">
        <f>COUNTIFS(mdr_rate_cleaned!$A$2:$A$10,B4670,mdr_rate_cleaned!$B$2:$B$10,"&lt;"&amp;C4670,mdr_rate_cleaned!$F$2:$F$10,"&gt;="&amp;C4670)</f>
        <v>1</v>
      </c>
      <c r="G4670" s="40">
        <f>SUMIFS(mdr_rate_cleaned!$G$2:$G$10,mdr_rate_cleaned!$A$2:$A$10,B4670,mdr_rate_cleaned!$B$2:$B$10,"&lt;"&amp;C4670,mdr_rate_cleaned!$F$2:$F$10,"&gt;="&amp;C4670)</f>
        <v>1.8000000000000002E-2</v>
      </c>
      <c r="H4670" s="24">
        <f t="shared" si="360"/>
        <v>14.38</v>
      </c>
      <c r="I4670" s="23" t="str">
        <f t="shared" si="361"/>
        <v>Match</v>
      </c>
      <c r="J4670" s="23" t="str">
        <f t="shared" si="362"/>
        <v>Match</v>
      </c>
      <c r="K4670" s="24">
        <f t="shared" si="363"/>
        <v>2.59</v>
      </c>
      <c r="L4670" s="24">
        <f t="shared" si="364"/>
        <v>0</v>
      </c>
    </row>
    <row r="4671" spans="1:12" ht="15" customHeight="1" x14ac:dyDescent="0.3">
      <c r="A4671" s="23" t="s">
        <v>17989</v>
      </c>
      <c r="B4671" s="23" t="s">
        <v>77</v>
      </c>
      <c r="C4671" s="39">
        <v>9498</v>
      </c>
      <c r="D4671" s="24">
        <v>161.47</v>
      </c>
      <c r="E4671" s="24">
        <v>29.06</v>
      </c>
      <c r="F4671" s="23">
        <f>COUNTIFS(mdr_rate_cleaned!$A$2:$A$10,B4671,mdr_rate_cleaned!$B$2:$B$10,"&lt;"&amp;C4671,mdr_rate_cleaned!$F$2:$F$10,"&gt;="&amp;C4671)</f>
        <v>1</v>
      </c>
      <c r="G4671" s="40">
        <f>SUMIFS(mdr_rate_cleaned!$G$2:$G$10,mdr_rate_cleaned!$A$2:$A$10,B4671,mdr_rate_cleaned!$B$2:$B$10,"&lt;"&amp;C4671,mdr_rate_cleaned!$F$2:$F$10,"&gt;="&amp;C4671)</f>
        <v>1.7000000000000001E-2</v>
      </c>
      <c r="H4671" s="24">
        <f t="shared" si="360"/>
        <v>161.47</v>
      </c>
      <c r="I4671" s="23" t="str">
        <f t="shared" si="361"/>
        <v>Match</v>
      </c>
      <c r="J4671" s="23" t="str">
        <f t="shared" si="362"/>
        <v>Match</v>
      </c>
      <c r="K4671" s="24">
        <f t="shared" si="363"/>
        <v>29.06</v>
      </c>
      <c r="L4671" s="24">
        <f t="shared" si="364"/>
        <v>0</v>
      </c>
    </row>
    <row r="4672" spans="1:12" ht="15" customHeight="1" x14ac:dyDescent="0.3">
      <c r="A4672" s="23" t="s">
        <v>17990</v>
      </c>
      <c r="B4672" s="23" t="s">
        <v>79</v>
      </c>
      <c r="C4672" s="39">
        <v>5498</v>
      </c>
      <c r="D4672" s="24">
        <v>87.97</v>
      </c>
      <c r="E4672" s="24">
        <v>15.83</v>
      </c>
      <c r="F4672" s="23">
        <f>COUNTIFS(mdr_rate_cleaned!$A$2:$A$10,B4672,mdr_rate_cleaned!$B$2:$B$10,"&lt;"&amp;C4672,mdr_rate_cleaned!$F$2:$F$10,"&gt;="&amp;C4672)</f>
        <v>1</v>
      </c>
      <c r="G4672" s="40">
        <f>SUMIFS(mdr_rate_cleaned!$G$2:$G$10,mdr_rate_cleaned!$A$2:$A$10,B4672,mdr_rate_cleaned!$B$2:$B$10,"&lt;"&amp;C4672,mdr_rate_cleaned!$F$2:$F$10,"&gt;="&amp;C4672)</f>
        <v>1.6E-2</v>
      </c>
      <c r="H4672" s="24">
        <f t="shared" si="360"/>
        <v>87.97</v>
      </c>
      <c r="I4672" s="23" t="str">
        <f t="shared" si="361"/>
        <v>Match</v>
      </c>
      <c r="J4672" s="23" t="str">
        <f t="shared" si="362"/>
        <v>Match</v>
      </c>
      <c r="K4672" s="24">
        <f t="shared" si="363"/>
        <v>15.83</v>
      </c>
      <c r="L4672" s="24">
        <f t="shared" si="364"/>
        <v>0</v>
      </c>
    </row>
    <row r="4673" spans="1:12" ht="15" customHeight="1" x14ac:dyDescent="0.3">
      <c r="A4673" s="23" t="s">
        <v>17992</v>
      </c>
      <c r="B4673" s="23" t="s">
        <v>81</v>
      </c>
      <c r="C4673" s="39">
        <v>7999</v>
      </c>
      <c r="D4673" s="24">
        <v>95.99</v>
      </c>
      <c r="E4673" s="24">
        <v>17.28</v>
      </c>
      <c r="F4673" s="23">
        <f>COUNTIFS(mdr_rate_cleaned!$A$2:$A$10,B4673,mdr_rate_cleaned!$B$2:$B$10,"&lt;"&amp;C4673,mdr_rate_cleaned!$F$2:$F$10,"&gt;="&amp;C4673)</f>
        <v>1</v>
      </c>
      <c r="G4673" s="40">
        <f>SUMIFS(mdr_rate_cleaned!$G$2:$G$10,mdr_rate_cleaned!$A$2:$A$10,B4673,mdr_rate_cleaned!$B$2:$B$10,"&lt;"&amp;C4673,mdr_rate_cleaned!$F$2:$F$10,"&gt;="&amp;C4673)</f>
        <v>1.2E-2</v>
      </c>
      <c r="H4673" s="24">
        <f t="shared" si="360"/>
        <v>95.99</v>
      </c>
      <c r="I4673" s="23" t="str">
        <f t="shared" si="361"/>
        <v>Match</v>
      </c>
      <c r="J4673" s="23" t="str">
        <f t="shared" si="362"/>
        <v>Match</v>
      </c>
      <c r="K4673" s="24">
        <f t="shared" si="363"/>
        <v>17.28</v>
      </c>
      <c r="L4673" s="24">
        <f t="shared" si="364"/>
        <v>0</v>
      </c>
    </row>
    <row r="4674" spans="1:12" ht="15" customHeight="1" x14ac:dyDescent="0.3">
      <c r="A4674" s="23" t="s">
        <v>17993</v>
      </c>
      <c r="B4674" s="23" t="s">
        <v>75</v>
      </c>
      <c r="C4674" s="39">
        <v>299</v>
      </c>
      <c r="D4674" s="24">
        <v>0</v>
      </c>
      <c r="E4674" s="24">
        <v>0</v>
      </c>
      <c r="F4674" s="23">
        <f>COUNTIFS(mdr_rate_cleaned!$A$2:$A$10,B4674,mdr_rate_cleaned!$B$2:$B$10,"&lt;"&amp;C4674,mdr_rate_cleaned!$F$2:$F$10,"&gt;="&amp;C4674)</f>
        <v>1</v>
      </c>
      <c r="G4674" s="40">
        <f>SUMIFS(mdr_rate_cleaned!$G$2:$G$10,mdr_rate_cleaned!$A$2:$A$10,B4674,mdr_rate_cleaned!$B$2:$B$10,"&lt;"&amp;C4674,mdr_rate_cleaned!$F$2:$F$10,"&gt;="&amp;C4674)</f>
        <v>0</v>
      </c>
      <c r="H4674" s="24">
        <f t="shared" ref="H4674:H4737" si="365">ROUND(C4674*G4674,2)</f>
        <v>0</v>
      </c>
      <c r="I4674" s="23" t="str">
        <f t="shared" ref="I4674:I4737" si="366">IF(ROUND(D4674-H4674,2)=0,"Match","Differs")</f>
        <v>Match</v>
      </c>
      <c r="J4674" s="23" t="str">
        <f t="shared" ref="J4674:J4737" si="367">IF(ROUND(E4674-ROUND(D4674*0.18,2),2)=0,"Match","Differs")</f>
        <v>Match</v>
      </c>
      <c r="K4674" s="24">
        <f t="shared" ref="K4674:K4737" si="368">ROUND(H4674*0.18,2)</f>
        <v>0</v>
      </c>
      <c r="L4674" s="24">
        <f t="shared" ref="L4674:L4737" si="369">ROUND(D4674+E4674-H4674-K4674,2)</f>
        <v>0</v>
      </c>
    </row>
    <row r="4675" spans="1:12" ht="15" customHeight="1" x14ac:dyDescent="0.3">
      <c r="A4675" s="23" t="s">
        <v>17994</v>
      </c>
      <c r="B4675" s="23" t="s">
        <v>75</v>
      </c>
      <c r="C4675" s="39">
        <v>1299</v>
      </c>
      <c r="D4675" s="24">
        <v>0</v>
      </c>
      <c r="E4675" s="24">
        <v>0</v>
      </c>
      <c r="F4675" s="23">
        <f>COUNTIFS(mdr_rate_cleaned!$A$2:$A$10,B4675,mdr_rate_cleaned!$B$2:$B$10,"&lt;"&amp;C4675,mdr_rate_cleaned!$F$2:$F$10,"&gt;="&amp;C4675)</f>
        <v>1</v>
      </c>
      <c r="G4675" s="40">
        <f>SUMIFS(mdr_rate_cleaned!$G$2:$G$10,mdr_rate_cleaned!$A$2:$A$10,B4675,mdr_rate_cleaned!$B$2:$B$10,"&lt;"&amp;C4675,mdr_rate_cleaned!$F$2:$F$10,"&gt;="&amp;C4675)</f>
        <v>0</v>
      </c>
      <c r="H4675" s="24">
        <f t="shared" si="365"/>
        <v>0</v>
      </c>
      <c r="I4675" s="23" t="str">
        <f t="shared" si="366"/>
        <v>Match</v>
      </c>
      <c r="J4675" s="23" t="str">
        <f t="shared" si="367"/>
        <v>Match</v>
      </c>
      <c r="K4675" s="24">
        <f t="shared" si="368"/>
        <v>0</v>
      </c>
      <c r="L4675" s="24">
        <f t="shared" si="369"/>
        <v>0</v>
      </c>
    </row>
    <row r="4676" spans="1:12" ht="15" customHeight="1" x14ac:dyDescent="0.3">
      <c r="A4676" s="23" t="s">
        <v>17995</v>
      </c>
      <c r="B4676" s="23" t="s">
        <v>79</v>
      </c>
      <c r="C4676" s="39">
        <v>7147</v>
      </c>
      <c r="D4676" s="24">
        <v>114.35</v>
      </c>
      <c r="E4676" s="24">
        <v>20.58</v>
      </c>
      <c r="F4676" s="23">
        <f>COUNTIFS(mdr_rate_cleaned!$A$2:$A$10,B4676,mdr_rate_cleaned!$B$2:$B$10,"&lt;"&amp;C4676,mdr_rate_cleaned!$F$2:$F$10,"&gt;="&amp;C4676)</f>
        <v>1</v>
      </c>
      <c r="G4676" s="40">
        <f>SUMIFS(mdr_rate_cleaned!$G$2:$G$10,mdr_rate_cleaned!$A$2:$A$10,B4676,mdr_rate_cleaned!$B$2:$B$10,"&lt;"&amp;C4676,mdr_rate_cleaned!$F$2:$F$10,"&gt;="&amp;C4676)</f>
        <v>1.6E-2</v>
      </c>
      <c r="H4676" s="24">
        <f t="shared" si="365"/>
        <v>114.35</v>
      </c>
      <c r="I4676" s="23" t="str">
        <f t="shared" si="366"/>
        <v>Match</v>
      </c>
      <c r="J4676" s="23" t="str">
        <f t="shared" si="367"/>
        <v>Match</v>
      </c>
      <c r="K4676" s="24">
        <f t="shared" si="368"/>
        <v>20.58</v>
      </c>
      <c r="L4676" s="24">
        <f t="shared" si="369"/>
        <v>0</v>
      </c>
    </row>
    <row r="4677" spans="1:12" ht="15" customHeight="1" x14ac:dyDescent="0.3">
      <c r="A4677" s="23" t="s">
        <v>17996</v>
      </c>
      <c r="B4677" s="23" t="s">
        <v>75</v>
      </c>
      <c r="C4677" s="39">
        <v>848</v>
      </c>
      <c r="D4677" s="24">
        <v>0</v>
      </c>
      <c r="E4677" s="24">
        <v>0</v>
      </c>
      <c r="F4677" s="23">
        <f>COUNTIFS(mdr_rate_cleaned!$A$2:$A$10,B4677,mdr_rate_cleaned!$B$2:$B$10,"&lt;"&amp;C4677,mdr_rate_cleaned!$F$2:$F$10,"&gt;="&amp;C4677)</f>
        <v>1</v>
      </c>
      <c r="G4677" s="40">
        <f>SUMIFS(mdr_rate_cleaned!$G$2:$G$10,mdr_rate_cleaned!$A$2:$A$10,B4677,mdr_rate_cleaned!$B$2:$B$10,"&lt;"&amp;C4677,mdr_rate_cleaned!$F$2:$F$10,"&gt;="&amp;C4677)</f>
        <v>0</v>
      </c>
      <c r="H4677" s="24">
        <f t="shared" si="365"/>
        <v>0</v>
      </c>
      <c r="I4677" s="23" t="str">
        <f t="shared" si="366"/>
        <v>Match</v>
      </c>
      <c r="J4677" s="23" t="str">
        <f t="shared" si="367"/>
        <v>Match</v>
      </c>
      <c r="K4677" s="24">
        <f t="shared" si="368"/>
        <v>0</v>
      </c>
      <c r="L4677" s="24">
        <f t="shared" si="369"/>
        <v>0</v>
      </c>
    </row>
    <row r="4678" spans="1:12" ht="15" customHeight="1" x14ac:dyDescent="0.3">
      <c r="A4678" s="23" t="s">
        <v>17997</v>
      </c>
      <c r="B4678" s="23" t="s">
        <v>81</v>
      </c>
      <c r="C4678" s="39">
        <v>11497</v>
      </c>
      <c r="D4678" s="24">
        <v>103.47</v>
      </c>
      <c r="E4678" s="24">
        <v>18.62</v>
      </c>
      <c r="F4678" s="23">
        <f>COUNTIFS(mdr_rate_cleaned!$A$2:$A$10,B4678,mdr_rate_cleaned!$B$2:$B$10,"&lt;"&amp;C4678,mdr_rate_cleaned!$F$2:$F$10,"&gt;="&amp;C4678)</f>
        <v>1</v>
      </c>
      <c r="G4678" s="40">
        <f>SUMIFS(mdr_rate_cleaned!$G$2:$G$10,mdr_rate_cleaned!$A$2:$A$10,B4678,mdr_rate_cleaned!$B$2:$B$10,"&lt;"&amp;C4678,mdr_rate_cleaned!$F$2:$F$10,"&gt;="&amp;C4678)</f>
        <v>9.0000000000000011E-3</v>
      </c>
      <c r="H4678" s="24">
        <f t="shared" si="365"/>
        <v>103.47</v>
      </c>
      <c r="I4678" s="23" t="str">
        <f t="shared" si="366"/>
        <v>Match</v>
      </c>
      <c r="J4678" s="23" t="str">
        <f t="shared" si="367"/>
        <v>Match</v>
      </c>
      <c r="K4678" s="24">
        <f t="shared" si="368"/>
        <v>18.62</v>
      </c>
      <c r="L4678" s="24">
        <f t="shared" si="369"/>
        <v>0</v>
      </c>
    </row>
    <row r="4679" spans="1:12" ht="15" customHeight="1" x14ac:dyDescent="0.3">
      <c r="A4679" s="23" t="s">
        <v>17998</v>
      </c>
      <c r="B4679" s="23" t="s">
        <v>75</v>
      </c>
      <c r="C4679" s="39">
        <v>999</v>
      </c>
      <c r="D4679" s="24">
        <v>0</v>
      </c>
      <c r="E4679" s="24">
        <v>0</v>
      </c>
      <c r="F4679" s="23">
        <f>COUNTIFS(mdr_rate_cleaned!$A$2:$A$10,B4679,mdr_rate_cleaned!$B$2:$B$10,"&lt;"&amp;C4679,mdr_rate_cleaned!$F$2:$F$10,"&gt;="&amp;C4679)</f>
        <v>1</v>
      </c>
      <c r="G4679" s="40">
        <f>SUMIFS(mdr_rate_cleaned!$G$2:$G$10,mdr_rate_cleaned!$A$2:$A$10,B4679,mdr_rate_cleaned!$B$2:$B$10,"&lt;"&amp;C4679,mdr_rate_cleaned!$F$2:$F$10,"&gt;="&amp;C4679)</f>
        <v>0</v>
      </c>
      <c r="H4679" s="24">
        <f t="shared" si="365"/>
        <v>0</v>
      </c>
      <c r="I4679" s="23" t="str">
        <f t="shared" si="366"/>
        <v>Match</v>
      </c>
      <c r="J4679" s="23" t="str">
        <f t="shared" si="367"/>
        <v>Match</v>
      </c>
      <c r="K4679" s="24">
        <f t="shared" si="368"/>
        <v>0</v>
      </c>
      <c r="L4679" s="24">
        <f t="shared" si="369"/>
        <v>0</v>
      </c>
    </row>
    <row r="4680" spans="1:12" ht="15" customHeight="1" x14ac:dyDescent="0.3">
      <c r="A4680" s="23" t="s">
        <v>17999</v>
      </c>
      <c r="B4680" s="23" t="s">
        <v>81</v>
      </c>
      <c r="C4680" s="39">
        <v>7999</v>
      </c>
      <c r="D4680" s="24">
        <v>95.99</v>
      </c>
      <c r="E4680" s="24">
        <v>17.28</v>
      </c>
      <c r="F4680" s="23">
        <f>COUNTIFS(mdr_rate_cleaned!$A$2:$A$10,B4680,mdr_rate_cleaned!$B$2:$B$10,"&lt;"&amp;C4680,mdr_rate_cleaned!$F$2:$F$10,"&gt;="&amp;C4680)</f>
        <v>1</v>
      </c>
      <c r="G4680" s="40">
        <f>SUMIFS(mdr_rate_cleaned!$G$2:$G$10,mdr_rate_cleaned!$A$2:$A$10,B4680,mdr_rate_cleaned!$B$2:$B$10,"&lt;"&amp;C4680,mdr_rate_cleaned!$F$2:$F$10,"&gt;="&amp;C4680)</f>
        <v>1.2E-2</v>
      </c>
      <c r="H4680" s="24">
        <f t="shared" si="365"/>
        <v>95.99</v>
      </c>
      <c r="I4680" s="23" t="str">
        <f t="shared" si="366"/>
        <v>Match</v>
      </c>
      <c r="J4680" s="23" t="str">
        <f t="shared" si="367"/>
        <v>Match</v>
      </c>
      <c r="K4680" s="24">
        <f t="shared" si="368"/>
        <v>17.28</v>
      </c>
      <c r="L4680" s="24">
        <f t="shared" si="369"/>
        <v>0</v>
      </c>
    </row>
    <row r="4681" spans="1:12" ht="15" customHeight="1" x14ac:dyDescent="0.3">
      <c r="A4681" s="23" t="s">
        <v>18000</v>
      </c>
      <c r="B4681" s="23" t="s">
        <v>79</v>
      </c>
      <c r="C4681" s="39">
        <v>3998</v>
      </c>
      <c r="D4681" s="24">
        <v>63.97</v>
      </c>
      <c r="E4681" s="24">
        <v>11.51</v>
      </c>
      <c r="F4681" s="23">
        <f>COUNTIFS(mdr_rate_cleaned!$A$2:$A$10,B4681,mdr_rate_cleaned!$B$2:$B$10,"&lt;"&amp;C4681,mdr_rate_cleaned!$F$2:$F$10,"&gt;="&amp;C4681)</f>
        <v>1</v>
      </c>
      <c r="G4681" s="40">
        <f>SUMIFS(mdr_rate_cleaned!$G$2:$G$10,mdr_rate_cleaned!$A$2:$A$10,B4681,mdr_rate_cleaned!$B$2:$B$10,"&lt;"&amp;C4681,mdr_rate_cleaned!$F$2:$F$10,"&gt;="&amp;C4681)</f>
        <v>1.6E-2</v>
      </c>
      <c r="H4681" s="24">
        <f t="shared" si="365"/>
        <v>63.97</v>
      </c>
      <c r="I4681" s="23" t="str">
        <f t="shared" si="366"/>
        <v>Match</v>
      </c>
      <c r="J4681" s="23" t="str">
        <f t="shared" si="367"/>
        <v>Match</v>
      </c>
      <c r="K4681" s="24">
        <f t="shared" si="368"/>
        <v>11.51</v>
      </c>
      <c r="L4681" s="24">
        <f t="shared" si="369"/>
        <v>0</v>
      </c>
    </row>
    <row r="4682" spans="1:12" ht="15" customHeight="1" x14ac:dyDescent="0.3">
      <c r="A4682" s="23" t="s">
        <v>18001</v>
      </c>
      <c r="B4682" s="23" t="s">
        <v>75</v>
      </c>
      <c r="C4682" s="39">
        <v>349</v>
      </c>
      <c r="D4682" s="24">
        <v>0</v>
      </c>
      <c r="E4682" s="24">
        <v>0</v>
      </c>
      <c r="F4682" s="23">
        <f>COUNTIFS(mdr_rate_cleaned!$A$2:$A$10,B4682,mdr_rate_cleaned!$B$2:$B$10,"&lt;"&amp;C4682,mdr_rate_cleaned!$F$2:$F$10,"&gt;="&amp;C4682)</f>
        <v>1</v>
      </c>
      <c r="G4682" s="40">
        <f>SUMIFS(mdr_rate_cleaned!$G$2:$G$10,mdr_rate_cleaned!$A$2:$A$10,B4682,mdr_rate_cleaned!$B$2:$B$10,"&lt;"&amp;C4682,mdr_rate_cleaned!$F$2:$F$10,"&gt;="&amp;C4682)</f>
        <v>0</v>
      </c>
      <c r="H4682" s="24">
        <f t="shared" si="365"/>
        <v>0</v>
      </c>
      <c r="I4682" s="23" t="str">
        <f t="shared" si="366"/>
        <v>Match</v>
      </c>
      <c r="J4682" s="23" t="str">
        <f t="shared" si="367"/>
        <v>Match</v>
      </c>
      <c r="K4682" s="24">
        <f t="shared" si="368"/>
        <v>0</v>
      </c>
      <c r="L4682" s="24">
        <f t="shared" si="369"/>
        <v>0</v>
      </c>
    </row>
    <row r="4683" spans="1:12" ht="15" customHeight="1" x14ac:dyDescent="0.3">
      <c r="A4683" s="23" t="s">
        <v>18002</v>
      </c>
      <c r="B4683" s="23" t="s">
        <v>79</v>
      </c>
      <c r="C4683" s="39">
        <v>1299</v>
      </c>
      <c r="D4683" s="24">
        <v>23.38</v>
      </c>
      <c r="E4683" s="24">
        <v>4.21</v>
      </c>
      <c r="F4683" s="23">
        <f>COUNTIFS(mdr_rate_cleaned!$A$2:$A$10,B4683,mdr_rate_cleaned!$B$2:$B$10,"&lt;"&amp;C4683,mdr_rate_cleaned!$F$2:$F$10,"&gt;="&amp;C4683)</f>
        <v>1</v>
      </c>
      <c r="G4683" s="40">
        <f>SUMIFS(mdr_rate_cleaned!$G$2:$G$10,mdr_rate_cleaned!$A$2:$A$10,B4683,mdr_rate_cleaned!$B$2:$B$10,"&lt;"&amp;C4683,mdr_rate_cleaned!$F$2:$F$10,"&gt;="&amp;C4683)</f>
        <v>1.8000000000000002E-2</v>
      </c>
      <c r="H4683" s="24">
        <f t="shared" si="365"/>
        <v>23.38</v>
      </c>
      <c r="I4683" s="23" t="str">
        <f t="shared" si="366"/>
        <v>Match</v>
      </c>
      <c r="J4683" s="23" t="str">
        <f t="shared" si="367"/>
        <v>Match</v>
      </c>
      <c r="K4683" s="24">
        <f t="shared" si="368"/>
        <v>4.21</v>
      </c>
      <c r="L4683" s="24">
        <f t="shared" si="369"/>
        <v>0</v>
      </c>
    </row>
    <row r="4684" spans="1:12" ht="15" customHeight="1" x14ac:dyDescent="0.3">
      <c r="A4684" s="23" t="s">
        <v>18004</v>
      </c>
      <c r="B4684" s="23" t="s">
        <v>75</v>
      </c>
      <c r="C4684" s="39">
        <v>2999</v>
      </c>
      <c r="D4684" s="24">
        <v>9</v>
      </c>
      <c r="E4684" s="24">
        <v>1.62</v>
      </c>
      <c r="F4684" s="23">
        <f>COUNTIFS(mdr_rate_cleaned!$A$2:$A$10,B4684,mdr_rate_cleaned!$B$2:$B$10,"&lt;"&amp;C4684,mdr_rate_cleaned!$F$2:$F$10,"&gt;="&amp;C4684)</f>
        <v>1</v>
      </c>
      <c r="G4684" s="40">
        <f>SUMIFS(mdr_rate_cleaned!$G$2:$G$10,mdr_rate_cleaned!$A$2:$A$10,B4684,mdr_rate_cleaned!$B$2:$B$10,"&lt;"&amp;C4684,mdr_rate_cleaned!$F$2:$F$10,"&gt;="&amp;C4684)</f>
        <v>3.0000000000000001E-3</v>
      </c>
      <c r="H4684" s="24">
        <f t="shared" si="365"/>
        <v>9</v>
      </c>
      <c r="I4684" s="23" t="str">
        <f t="shared" si="366"/>
        <v>Match</v>
      </c>
      <c r="J4684" s="23" t="str">
        <f t="shared" si="367"/>
        <v>Match</v>
      </c>
      <c r="K4684" s="24">
        <f t="shared" si="368"/>
        <v>1.62</v>
      </c>
      <c r="L4684" s="24">
        <f t="shared" si="369"/>
        <v>0</v>
      </c>
    </row>
    <row r="4685" spans="1:12" ht="15" customHeight="1" x14ac:dyDescent="0.3">
      <c r="A4685" s="23" t="s">
        <v>18005</v>
      </c>
      <c r="B4685" s="23" t="s">
        <v>75</v>
      </c>
      <c r="C4685" s="39">
        <v>8348</v>
      </c>
      <c r="D4685" s="24">
        <v>25.04</v>
      </c>
      <c r="E4685" s="24">
        <v>4.51</v>
      </c>
      <c r="F4685" s="23">
        <f>COUNTIFS(mdr_rate_cleaned!$A$2:$A$10,B4685,mdr_rate_cleaned!$B$2:$B$10,"&lt;"&amp;C4685,mdr_rate_cleaned!$F$2:$F$10,"&gt;="&amp;C4685)</f>
        <v>1</v>
      </c>
      <c r="G4685" s="40">
        <f>SUMIFS(mdr_rate_cleaned!$G$2:$G$10,mdr_rate_cleaned!$A$2:$A$10,B4685,mdr_rate_cleaned!$B$2:$B$10,"&lt;"&amp;C4685,mdr_rate_cleaned!$F$2:$F$10,"&gt;="&amp;C4685)</f>
        <v>3.0000000000000001E-3</v>
      </c>
      <c r="H4685" s="24">
        <f t="shared" si="365"/>
        <v>25.04</v>
      </c>
      <c r="I4685" s="23" t="str">
        <f t="shared" si="366"/>
        <v>Match</v>
      </c>
      <c r="J4685" s="23" t="str">
        <f t="shared" si="367"/>
        <v>Match</v>
      </c>
      <c r="K4685" s="24">
        <f t="shared" si="368"/>
        <v>4.51</v>
      </c>
      <c r="L4685" s="24">
        <f t="shared" si="369"/>
        <v>0</v>
      </c>
    </row>
    <row r="4686" spans="1:12" ht="15" customHeight="1" x14ac:dyDescent="0.3">
      <c r="A4686" s="23" t="s">
        <v>18006</v>
      </c>
      <c r="B4686" s="23" t="s">
        <v>81</v>
      </c>
      <c r="C4686" s="39">
        <v>1497</v>
      </c>
      <c r="D4686" s="24">
        <v>22.46</v>
      </c>
      <c r="E4686" s="24">
        <v>4.04</v>
      </c>
      <c r="F4686" s="23">
        <f>COUNTIFS(mdr_rate_cleaned!$A$2:$A$10,B4686,mdr_rate_cleaned!$B$2:$B$10,"&lt;"&amp;C4686,mdr_rate_cleaned!$F$2:$F$10,"&gt;="&amp;C4686)</f>
        <v>1</v>
      </c>
      <c r="G4686" s="40">
        <f>SUMIFS(mdr_rate_cleaned!$G$2:$G$10,mdr_rate_cleaned!$A$2:$A$10,B4686,mdr_rate_cleaned!$B$2:$B$10,"&lt;"&amp;C4686,mdr_rate_cleaned!$F$2:$F$10,"&gt;="&amp;C4686)</f>
        <v>1.4999999999999999E-2</v>
      </c>
      <c r="H4686" s="24">
        <f t="shared" si="365"/>
        <v>22.46</v>
      </c>
      <c r="I4686" s="23" t="str">
        <f t="shared" si="366"/>
        <v>Match</v>
      </c>
      <c r="J4686" s="23" t="str">
        <f t="shared" si="367"/>
        <v>Match</v>
      </c>
      <c r="K4686" s="24">
        <f t="shared" si="368"/>
        <v>4.04</v>
      </c>
      <c r="L4686" s="24">
        <f t="shared" si="369"/>
        <v>0</v>
      </c>
    </row>
    <row r="4687" spans="1:12" ht="15" customHeight="1" x14ac:dyDescent="0.3">
      <c r="A4687" s="23" t="s">
        <v>18007</v>
      </c>
      <c r="B4687" s="23" t="s">
        <v>77</v>
      </c>
      <c r="C4687" s="39">
        <v>1148</v>
      </c>
      <c r="D4687" s="24">
        <v>21.81</v>
      </c>
      <c r="E4687" s="24">
        <v>3.93</v>
      </c>
      <c r="F4687" s="23">
        <f>COUNTIFS(mdr_rate_cleaned!$A$2:$A$10,B4687,mdr_rate_cleaned!$B$2:$B$10,"&lt;"&amp;C4687,mdr_rate_cleaned!$F$2:$F$10,"&gt;="&amp;C4687)</f>
        <v>1</v>
      </c>
      <c r="G4687" s="40">
        <f>SUMIFS(mdr_rate_cleaned!$G$2:$G$10,mdr_rate_cleaned!$A$2:$A$10,B4687,mdr_rate_cleaned!$B$2:$B$10,"&lt;"&amp;C4687,mdr_rate_cleaned!$F$2:$F$10,"&gt;="&amp;C4687)</f>
        <v>1.9E-2</v>
      </c>
      <c r="H4687" s="24">
        <f t="shared" si="365"/>
        <v>21.81</v>
      </c>
      <c r="I4687" s="23" t="str">
        <f t="shared" si="366"/>
        <v>Match</v>
      </c>
      <c r="J4687" s="23" t="str">
        <f t="shared" si="367"/>
        <v>Match</v>
      </c>
      <c r="K4687" s="24">
        <f t="shared" si="368"/>
        <v>3.93</v>
      </c>
      <c r="L4687" s="24">
        <f t="shared" si="369"/>
        <v>0</v>
      </c>
    </row>
    <row r="4688" spans="1:12" ht="15" customHeight="1" x14ac:dyDescent="0.3">
      <c r="A4688" s="23" t="s">
        <v>18008</v>
      </c>
      <c r="B4688" s="23" t="s">
        <v>79</v>
      </c>
      <c r="C4688" s="39">
        <v>599</v>
      </c>
      <c r="D4688" s="24">
        <v>10.78</v>
      </c>
      <c r="E4688" s="24">
        <v>1.94</v>
      </c>
      <c r="F4688" s="23">
        <f>COUNTIFS(mdr_rate_cleaned!$A$2:$A$10,B4688,mdr_rate_cleaned!$B$2:$B$10,"&lt;"&amp;C4688,mdr_rate_cleaned!$F$2:$F$10,"&gt;="&amp;C4688)</f>
        <v>1</v>
      </c>
      <c r="G4688" s="40">
        <f>SUMIFS(mdr_rate_cleaned!$G$2:$G$10,mdr_rate_cleaned!$A$2:$A$10,B4688,mdr_rate_cleaned!$B$2:$B$10,"&lt;"&amp;C4688,mdr_rate_cleaned!$F$2:$F$10,"&gt;="&amp;C4688)</f>
        <v>1.8000000000000002E-2</v>
      </c>
      <c r="H4688" s="24">
        <f t="shared" si="365"/>
        <v>10.78</v>
      </c>
      <c r="I4688" s="23" t="str">
        <f t="shared" si="366"/>
        <v>Match</v>
      </c>
      <c r="J4688" s="23" t="str">
        <f t="shared" si="367"/>
        <v>Match</v>
      </c>
      <c r="K4688" s="24">
        <f t="shared" si="368"/>
        <v>1.94</v>
      </c>
      <c r="L4688" s="24">
        <f t="shared" si="369"/>
        <v>0</v>
      </c>
    </row>
    <row r="4689" spans="1:12" ht="15" customHeight="1" x14ac:dyDescent="0.3">
      <c r="A4689" s="23" t="s">
        <v>18009</v>
      </c>
      <c r="B4689" s="23" t="s">
        <v>79</v>
      </c>
      <c r="C4689" s="39">
        <v>1648</v>
      </c>
      <c r="D4689" s="24">
        <v>29.66</v>
      </c>
      <c r="E4689" s="24">
        <v>5.34</v>
      </c>
      <c r="F4689" s="23">
        <f>COUNTIFS(mdr_rate_cleaned!$A$2:$A$10,B4689,mdr_rate_cleaned!$B$2:$B$10,"&lt;"&amp;C4689,mdr_rate_cleaned!$F$2:$F$10,"&gt;="&amp;C4689)</f>
        <v>1</v>
      </c>
      <c r="G4689" s="40">
        <f>SUMIFS(mdr_rate_cleaned!$G$2:$G$10,mdr_rate_cleaned!$A$2:$A$10,B4689,mdr_rate_cleaned!$B$2:$B$10,"&lt;"&amp;C4689,mdr_rate_cleaned!$F$2:$F$10,"&gt;="&amp;C4689)</f>
        <v>1.8000000000000002E-2</v>
      </c>
      <c r="H4689" s="24">
        <f t="shared" si="365"/>
        <v>29.66</v>
      </c>
      <c r="I4689" s="23" t="str">
        <f t="shared" si="366"/>
        <v>Match</v>
      </c>
      <c r="J4689" s="23" t="str">
        <f t="shared" si="367"/>
        <v>Match</v>
      </c>
      <c r="K4689" s="24">
        <f t="shared" si="368"/>
        <v>5.34</v>
      </c>
      <c r="L4689" s="24">
        <f t="shared" si="369"/>
        <v>0</v>
      </c>
    </row>
    <row r="4690" spans="1:12" ht="15" customHeight="1" x14ac:dyDescent="0.3">
      <c r="A4690" s="23" t="s">
        <v>18010</v>
      </c>
      <c r="B4690" s="23" t="s">
        <v>75</v>
      </c>
      <c r="C4690" s="39">
        <v>2499</v>
      </c>
      <c r="D4690" s="24">
        <v>7.5</v>
      </c>
      <c r="E4690" s="24">
        <v>1.35</v>
      </c>
      <c r="F4690" s="23">
        <f>COUNTIFS(mdr_rate_cleaned!$A$2:$A$10,B4690,mdr_rate_cleaned!$B$2:$B$10,"&lt;"&amp;C4690,mdr_rate_cleaned!$F$2:$F$10,"&gt;="&amp;C4690)</f>
        <v>1</v>
      </c>
      <c r="G4690" s="40">
        <f>SUMIFS(mdr_rate_cleaned!$G$2:$G$10,mdr_rate_cleaned!$A$2:$A$10,B4690,mdr_rate_cleaned!$B$2:$B$10,"&lt;"&amp;C4690,mdr_rate_cleaned!$F$2:$F$10,"&gt;="&amp;C4690)</f>
        <v>3.0000000000000001E-3</v>
      </c>
      <c r="H4690" s="24">
        <f t="shared" si="365"/>
        <v>7.5</v>
      </c>
      <c r="I4690" s="23" t="str">
        <f t="shared" si="366"/>
        <v>Match</v>
      </c>
      <c r="J4690" s="23" t="str">
        <f t="shared" si="367"/>
        <v>Match</v>
      </c>
      <c r="K4690" s="24">
        <f t="shared" si="368"/>
        <v>1.35</v>
      </c>
      <c r="L4690" s="24">
        <f t="shared" si="369"/>
        <v>0</v>
      </c>
    </row>
    <row r="4691" spans="1:12" ht="15" customHeight="1" x14ac:dyDescent="0.3">
      <c r="A4691" s="23" t="s">
        <v>18011</v>
      </c>
      <c r="B4691" s="23" t="s">
        <v>75</v>
      </c>
      <c r="C4691" s="39">
        <v>3598</v>
      </c>
      <c r="D4691" s="24">
        <v>10.79</v>
      </c>
      <c r="E4691" s="24">
        <v>1.94</v>
      </c>
      <c r="F4691" s="23">
        <f>COUNTIFS(mdr_rate_cleaned!$A$2:$A$10,B4691,mdr_rate_cleaned!$B$2:$B$10,"&lt;"&amp;C4691,mdr_rate_cleaned!$F$2:$F$10,"&gt;="&amp;C4691)</f>
        <v>1</v>
      </c>
      <c r="G4691" s="40">
        <f>SUMIFS(mdr_rate_cleaned!$G$2:$G$10,mdr_rate_cleaned!$A$2:$A$10,B4691,mdr_rate_cleaned!$B$2:$B$10,"&lt;"&amp;C4691,mdr_rate_cleaned!$F$2:$F$10,"&gt;="&amp;C4691)</f>
        <v>3.0000000000000001E-3</v>
      </c>
      <c r="H4691" s="24">
        <f t="shared" si="365"/>
        <v>10.79</v>
      </c>
      <c r="I4691" s="23" t="str">
        <f t="shared" si="366"/>
        <v>Match</v>
      </c>
      <c r="J4691" s="23" t="str">
        <f t="shared" si="367"/>
        <v>Match</v>
      </c>
      <c r="K4691" s="24">
        <f t="shared" si="368"/>
        <v>1.94</v>
      </c>
      <c r="L4691" s="24">
        <f t="shared" si="369"/>
        <v>0</v>
      </c>
    </row>
    <row r="4692" spans="1:12" ht="15" customHeight="1" x14ac:dyDescent="0.3">
      <c r="A4692" s="23" t="s">
        <v>18012</v>
      </c>
      <c r="B4692" s="23" t="s">
        <v>75</v>
      </c>
      <c r="C4692" s="39">
        <v>999</v>
      </c>
      <c r="D4692" s="24">
        <v>0</v>
      </c>
      <c r="E4692" s="24">
        <v>0</v>
      </c>
      <c r="F4692" s="23">
        <f>COUNTIFS(mdr_rate_cleaned!$A$2:$A$10,B4692,mdr_rate_cleaned!$B$2:$B$10,"&lt;"&amp;C4692,mdr_rate_cleaned!$F$2:$F$10,"&gt;="&amp;C4692)</f>
        <v>1</v>
      </c>
      <c r="G4692" s="40">
        <f>SUMIFS(mdr_rate_cleaned!$G$2:$G$10,mdr_rate_cleaned!$A$2:$A$10,B4692,mdr_rate_cleaned!$B$2:$B$10,"&lt;"&amp;C4692,mdr_rate_cleaned!$F$2:$F$10,"&gt;="&amp;C4692)</f>
        <v>0</v>
      </c>
      <c r="H4692" s="24">
        <f t="shared" si="365"/>
        <v>0</v>
      </c>
      <c r="I4692" s="23" t="str">
        <f t="shared" si="366"/>
        <v>Match</v>
      </c>
      <c r="J4692" s="23" t="str">
        <f t="shared" si="367"/>
        <v>Match</v>
      </c>
      <c r="K4692" s="24">
        <f t="shared" si="368"/>
        <v>0</v>
      </c>
      <c r="L4692" s="24">
        <f t="shared" si="369"/>
        <v>0</v>
      </c>
    </row>
    <row r="4693" spans="1:12" ht="15" customHeight="1" x14ac:dyDescent="0.3">
      <c r="A4693" s="23" t="s">
        <v>18013</v>
      </c>
      <c r="B4693" s="23" t="s">
        <v>75</v>
      </c>
      <c r="C4693" s="39">
        <v>10998</v>
      </c>
      <c r="D4693" s="24">
        <v>32.99</v>
      </c>
      <c r="E4693" s="24">
        <v>5.94</v>
      </c>
      <c r="F4693" s="23">
        <f>COUNTIFS(mdr_rate_cleaned!$A$2:$A$10,B4693,mdr_rate_cleaned!$B$2:$B$10,"&lt;"&amp;C4693,mdr_rate_cleaned!$F$2:$F$10,"&gt;="&amp;C4693)</f>
        <v>1</v>
      </c>
      <c r="G4693" s="40">
        <f>SUMIFS(mdr_rate_cleaned!$G$2:$G$10,mdr_rate_cleaned!$A$2:$A$10,B4693,mdr_rate_cleaned!$B$2:$B$10,"&lt;"&amp;C4693,mdr_rate_cleaned!$F$2:$F$10,"&gt;="&amp;C4693)</f>
        <v>3.0000000000000001E-3</v>
      </c>
      <c r="H4693" s="24">
        <f t="shared" si="365"/>
        <v>32.99</v>
      </c>
      <c r="I4693" s="23" t="str">
        <f t="shared" si="366"/>
        <v>Match</v>
      </c>
      <c r="J4693" s="23" t="str">
        <f t="shared" si="367"/>
        <v>Match</v>
      </c>
      <c r="K4693" s="24">
        <f t="shared" si="368"/>
        <v>5.94</v>
      </c>
      <c r="L4693" s="24">
        <f t="shared" si="369"/>
        <v>0</v>
      </c>
    </row>
    <row r="4694" spans="1:12" ht="15" customHeight="1" x14ac:dyDescent="0.3">
      <c r="A4694" s="23" t="s">
        <v>18014</v>
      </c>
      <c r="B4694" s="23" t="s">
        <v>75</v>
      </c>
      <c r="C4694" s="39">
        <v>2247</v>
      </c>
      <c r="D4694" s="24">
        <v>6.74</v>
      </c>
      <c r="E4694" s="24">
        <v>1.21</v>
      </c>
      <c r="F4694" s="23">
        <f>COUNTIFS(mdr_rate_cleaned!$A$2:$A$10,B4694,mdr_rate_cleaned!$B$2:$B$10,"&lt;"&amp;C4694,mdr_rate_cleaned!$F$2:$F$10,"&gt;="&amp;C4694)</f>
        <v>1</v>
      </c>
      <c r="G4694" s="40">
        <f>SUMIFS(mdr_rate_cleaned!$G$2:$G$10,mdr_rate_cleaned!$A$2:$A$10,B4694,mdr_rate_cleaned!$B$2:$B$10,"&lt;"&amp;C4694,mdr_rate_cleaned!$F$2:$F$10,"&gt;="&amp;C4694)</f>
        <v>3.0000000000000001E-3</v>
      </c>
      <c r="H4694" s="24">
        <f t="shared" si="365"/>
        <v>6.74</v>
      </c>
      <c r="I4694" s="23" t="str">
        <f t="shared" si="366"/>
        <v>Match</v>
      </c>
      <c r="J4694" s="23" t="str">
        <f t="shared" si="367"/>
        <v>Match</v>
      </c>
      <c r="K4694" s="24">
        <f t="shared" si="368"/>
        <v>1.21</v>
      </c>
      <c r="L4694" s="24">
        <f t="shared" si="369"/>
        <v>0</v>
      </c>
    </row>
    <row r="4695" spans="1:12" ht="15" customHeight="1" x14ac:dyDescent="0.3">
      <c r="A4695" s="23" t="s">
        <v>18015</v>
      </c>
      <c r="B4695" s="23" t="s">
        <v>75</v>
      </c>
      <c r="C4695" s="39">
        <v>349</v>
      </c>
      <c r="D4695" s="24">
        <v>0</v>
      </c>
      <c r="E4695" s="24">
        <v>0</v>
      </c>
      <c r="F4695" s="23">
        <f>COUNTIFS(mdr_rate_cleaned!$A$2:$A$10,B4695,mdr_rate_cleaned!$B$2:$B$10,"&lt;"&amp;C4695,mdr_rate_cleaned!$F$2:$F$10,"&gt;="&amp;C4695)</f>
        <v>1</v>
      </c>
      <c r="G4695" s="40">
        <f>SUMIFS(mdr_rate_cleaned!$G$2:$G$10,mdr_rate_cleaned!$A$2:$A$10,B4695,mdr_rate_cleaned!$B$2:$B$10,"&lt;"&amp;C4695,mdr_rate_cleaned!$F$2:$F$10,"&gt;="&amp;C4695)</f>
        <v>0</v>
      </c>
      <c r="H4695" s="24">
        <f t="shared" si="365"/>
        <v>0</v>
      </c>
      <c r="I4695" s="23" t="str">
        <f t="shared" si="366"/>
        <v>Match</v>
      </c>
      <c r="J4695" s="23" t="str">
        <f t="shared" si="367"/>
        <v>Match</v>
      </c>
      <c r="K4695" s="24">
        <f t="shared" si="368"/>
        <v>0</v>
      </c>
      <c r="L4695" s="24">
        <f t="shared" si="369"/>
        <v>0</v>
      </c>
    </row>
    <row r="4696" spans="1:12" ht="15" customHeight="1" x14ac:dyDescent="0.3">
      <c r="A4696" s="23" t="s">
        <v>18016</v>
      </c>
      <c r="B4696" s="23" t="s">
        <v>81</v>
      </c>
      <c r="C4696" s="39">
        <v>2499</v>
      </c>
      <c r="D4696" s="24">
        <v>29.99</v>
      </c>
      <c r="E4696" s="24">
        <v>5.4</v>
      </c>
      <c r="F4696" s="23">
        <f>COUNTIFS(mdr_rate_cleaned!$A$2:$A$10,B4696,mdr_rate_cleaned!$B$2:$B$10,"&lt;"&amp;C4696,mdr_rate_cleaned!$F$2:$F$10,"&gt;="&amp;C4696)</f>
        <v>1</v>
      </c>
      <c r="G4696" s="40">
        <f>SUMIFS(mdr_rate_cleaned!$G$2:$G$10,mdr_rate_cleaned!$A$2:$A$10,B4696,mdr_rate_cleaned!$B$2:$B$10,"&lt;"&amp;C4696,mdr_rate_cleaned!$F$2:$F$10,"&gt;="&amp;C4696)</f>
        <v>1.2E-2</v>
      </c>
      <c r="H4696" s="24">
        <f t="shared" si="365"/>
        <v>29.99</v>
      </c>
      <c r="I4696" s="23" t="str">
        <f t="shared" si="366"/>
        <v>Match</v>
      </c>
      <c r="J4696" s="23" t="str">
        <f t="shared" si="367"/>
        <v>Match</v>
      </c>
      <c r="K4696" s="24">
        <f t="shared" si="368"/>
        <v>5.4</v>
      </c>
      <c r="L4696" s="24">
        <f t="shared" si="369"/>
        <v>0</v>
      </c>
    </row>
    <row r="4697" spans="1:12" ht="15" customHeight="1" x14ac:dyDescent="0.3">
      <c r="A4697" s="23" t="s">
        <v>18017</v>
      </c>
      <c r="B4697" s="23" t="s">
        <v>79</v>
      </c>
      <c r="C4697" s="39">
        <v>1648</v>
      </c>
      <c r="D4697" s="24">
        <v>29.66</v>
      </c>
      <c r="E4697" s="24">
        <v>5.34</v>
      </c>
      <c r="F4697" s="23">
        <f>COUNTIFS(mdr_rate_cleaned!$A$2:$A$10,B4697,mdr_rate_cleaned!$B$2:$B$10,"&lt;"&amp;C4697,mdr_rate_cleaned!$F$2:$F$10,"&gt;="&amp;C4697)</f>
        <v>1</v>
      </c>
      <c r="G4697" s="40">
        <f>SUMIFS(mdr_rate_cleaned!$G$2:$G$10,mdr_rate_cleaned!$A$2:$A$10,B4697,mdr_rate_cleaned!$B$2:$B$10,"&lt;"&amp;C4697,mdr_rate_cleaned!$F$2:$F$10,"&gt;="&amp;C4697)</f>
        <v>1.8000000000000002E-2</v>
      </c>
      <c r="H4697" s="24">
        <f t="shared" si="365"/>
        <v>29.66</v>
      </c>
      <c r="I4697" s="23" t="str">
        <f t="shared" si="366"/>
        <v>Match</v>
      </c>
      <c r="J4697" s="23" t="str">
        <f t="shared" si="367"/>
        <v>Match</v>
      </c>
      <c r="K4697" s="24">
        <f t="shared" si="368"/>
        <v>5.34</v>
      </c>
      <c r="L4697" s="24">
        <f t="shared" si="369"/>
        <v>0</v>
      </c>
    </row>
    <row r="4698" spans="1:12" ht="15" customHeight="1" x14ac:dyDescent="0.3">
      <c r="A4698" s="23" t="s">
        <v>18018</v>
      </c>
      <c r="B4698" s="23" t="s">
        <v>79</v>
      </c>
      <c r="C4698" s="39">
        <v>1799</v>
      </c>
      <c r="D4698" s="24">
        <v>32.380000000000003</v>
      </c>
      <c r="E4698" s="24">
        <v>5.83</v>
      </c>
      <c r="F4698" s="23">
        <f>COUNTIFS(mdr_rate_cleaned!$A$2:$A$10,B4698,mdr_rate_cleaned!$B$2:$B$10,"&lt;"&amp;C4698,mdr_rate_cleaned!$F$2:$F$10,"&gt;="&amp;C4698)</f>
        <v>1</v>
      </c>
      <c r="G4698" s="40">
        <f>SUMIFS(mdr_rate_cleaned!$G$2:$G$10,mdr_rate_cleaned!$A$2:$A$10,B4698,mdr_rate_cleaned!$B$2:$B$10,"&lt;"&amp;C4698,mdr_rate_cleaned!$F$2:$F$10,"&gt;="&amp;C4698)</f>
        <v>1.8000000000000002E-2</v>
      </c>
      <c r="H4698" s="24">
        <f t="shared" si="365"/>
        <v>32.380000000000003</v>
      </c>
      <c r="I4698" s="23" t="str">
        <f t="shared" si="366"/>
        <v>Match</v>
      </c>
      <c r="J4698" s="23" t="str">
        <f t="shared" si="367"/>
        <v>Match</v>
      </c>
      <c r="K4698" s="24">
        <f t="shared" si="368"/>
        <v>5.83</v>
      </c>
      <c r="L4698" s="24">
        <f t="shared" si="369"/>
        <v>0</v>
      </c>
    </row>
    <row r="4699" spans="1:12" ht="15" customHeight="1" x14ac:dyDescent="0.3">
      <c r="A4699" s="23" t="s">
        <v>18019</v>
      </c>
      <c r="B4699" s="23" t="s">
        <v>75</v>
      </c>
      <c r="C4699" s="39">
        <v>599</v>
      </c>
      <c r="D4699" s="24">
        <v>0</v>
      </c>
      <c r="E4699" s="24">
        <v>0</v>
      </c>
      <c r="F4699" s="23">
        <f>COUNTIFS(mdr_rate_cleaned!$A$2:$A$10,B4699,mdr_rate_cleaned!$B$2:$B$10,"&lt;"&amp;C4699,mdr_rate_cleaned!$F$2:$F$10,"&gt;="&amp;C4699)</f>
        <v>1</v>
      </c>
      <c r="G4699" s="40">
        <f>SUMIFS(mdr_rate_cleaned!$G$2:$G$10,mdr_rate_cleaned!$A$2:$A$10,B4699,mdr_rate_cleaned!$B$2:$B$10,"&lt;"&amp;C4699,mdr_rate_cleaned!$F$2:$F$10,"&gt;="&amp;C4699)</f>
        <v>0</v>
      </c>
      <c r="H4699" s="24">
        <f t="shared" si="365"/>
        <v>0</v>
      </c>
      <c r="I4699" s="23" t="str">
        <f t="shared" si="366"/>
        <v>Match</v>
      </c>
      <c r="J4699" s="23" t="str">
        <f t="shared" si="367"/>
        <v>Match</v>
      </c>
      <c r="K4699" s="24">
        <f t="shared" si="368"/>
        <v>0</v>
      </c>
      <c r="L4699" s="24">
        <f t="shared" si="369"/>
        <v>0</v>
      </c>
    </row>
    <row r="4700" spans="1:12" ht="15" customHeight="1" x14ac:dyDescent="0.3">
      <c r="A4700" s="23" t="s">
        <v>18020</v>
      </c>
      <c r="B4700" s="23" t="s">
        <v>79</v>
      </c>
      <c r="C4700" s="39">
        <v>349</v>
      </c>
      <c r="D4700" s="24">
        <v>6.28</v>
      </c>
      <c r="E4700" s="24">
        <v>1.1299999999999999</v>
      </c>
      <c r="F4700" s="23">
        <f>COUNTIFS(mdr_rate_cleaned!$A$2:$A$10,B4700,mdr_rate_cleaned!$B$2:$B$10,"&lt;"&amp;C4700,mdr_rate_cleaned!$F$2:$F$10,"&gt;="&amp;C4700)</f>
        <v>1</v>
      </c>
      <c r="G4700" s="40">
        <f>SUMIFS(mdr_rate_cleaned!$G$2:$G$10,mdr_rate_cleaned!$A$2:$A$10,B4700,mdr_rate_cleaned!$B$2:$B$10,"&lt;"&amp;C4700,mdr_rate_cleaned!$F$2:$F$10,"&gt;="&amp;C4700)</f>
        <v>1.8000000000000002E-2</v>
      </c>
      <c r="H4700" s="24">
        <f t="shared" si="365"/>
        <v>6.28</v>
      </c>
      <c r="I4700" s="23" t="str">
        <f t="shared" si="366"/>
        <v>Match</v>
      </c>
      <c r="J4700" s="23" t="str">
        <f t="shared" si="367"/>
        <v>Match</v>
      </c>
      <c r="K4700" s="24">
        <f t="shared" si="368"/>
        <v>1.1299999999999999</v>
      </c>
      <c r="L4700" s="24">
        <f t="shared" si="369"/>
        <v>0</v>
      </c>
    </row>
    <row r="4701" spans="1:12" ht="15" customHeight="1" x14ac:dyDescent="0.3">
      <c r="A4701" s="23" t="s">
        <v>18021</v>
      </c>
      <c r="B4701" s="23" t="s">
        <v>79</v>
      </c>
      <c r="C4701" s="39">
        <v>698</v>
      </c>
      <c r="D4701" s="24">
        <v>12.56</v>
      </c>
      <c r="E4701" s="24">
        <v>2.2599999999999998</v>
      </c>
      <c r="F4701" s="23">
        <f>COUNTIFS(mdr_rate_cleaned!$A$2:$A$10,B4701,mdr_rate_cleaned!$B$2:$B$10,"&lt;"&amp;C4701,mdr_rate_cleaned!$F$2:$F$10,"&gt;="&amp;C4701)</f>
        <v>1</v>
      </c>
      <c r="G4701" s="40">
        <f>SUMIFS(mdr_rate_cleaned!$G$2:$G$10,mdr_rate_cleaned!$A$2:$A$10,B4701,mdr_rate_cleaned!$B$2:$B$10,"&lt;"&amp;C4701,mdr_rate_cleaned!$F$2:$F$10,"&gt;="&amp;C4701)</f>
        <v>1.8000000000000002E-2</v>
      </c>
      <c r="H4701" s="24">
        <f t="shared" si="365"/>
        <v>12.56</v>
      </c>
      <c r="I4701" s="23" t="str">
        <f t="shared" si="366"/>
        <v>Match</v>
      </c>
      <c r="J4701" s="23" t="str">
        <f t="shared" si="367"/>
        <v>Match</v>
      </c>
      <c r="K4701" s="24">
        <f t="shared" si="368"/>
        <v>2.2599999999999998</v>
      </c>
      <c r="L4701" s="24">
        <f t="shared" si="369"/>
        <v>0</v>
      </c>
    </row>
    <row r="4702" spans="1:12" ht="15" customHeight="1" x14ac:dyDescent="0.3">
      <c r="A4702" s="23" t="s">
        <v>18022</v>
      </c>
      <c r="B4702" s="23" t="s">
        <v>79</v>
      </c>
      <c r="C4702" s="39">
        <v>7999</v>
      </c>
      <c r="D4702" s="24">
        <v>127.98</v>
      </c>
      <c r="E4702" s="24">
        <v>23.04</v>
      </c>
      <c r="F4702" s="23">
        <f>COUNTIFS(mdr_rate_cleaned!$A$2:$A$10,B4702,mdr_rate_cleaned!$B$2:$B$10,"&lt;"&amp;C4702,mdr_rate_cleaned!$F$2:$F$10,"&gt;="&amp;C4702)</f>
        <v>1</v>
      </c>
      <c r="G4702" s="40">
        <f>SUMIFS(mdr_rate_cleaned!$G$2:$G$10,mdr_rate_cleaned!$A$2:$A$10,B4702,mdr_rate_cleaned!$B$2:$B$10,"&lt;"&amp;C4702,mdr_rate_cleaned!$F$2:$F$10,"&gt;="&amp;C4702)</f>
        <v>1.6E-2</v>
      </c>
      <c r="H4702" s="24">
        <f t="shared" si="365"/>
        <v>127.98</v>
      </c>
      <c r="I4702" s="23" t="str">
        <f t="shared" si="366"/>
        <v>Match</v>
      </c>
      <c r="J4702" s="23" t="str">
        <f t="shared" si="367"/>
        <v>Match</v>
      </c>
      <c r="K4702" s="24">
        <f t="shared" si="368"/>
        <v>23.04</v>
      </c>
      <c r="L4702" s="24">
        <f t="shared" si="369"/>
        <v>0</v>
      </c>
    </row>
    <row r="4703" spans="1:12" ht="15" customHeight="1" x14ac:dyDescent="0.3">
      <c r="A4703" s="23" t="s">
        <v>18023</v>
      </c>
      <c r="B4703" s="23" t="s">
        <v>79</v>
      </c>
      <c r="C4703" s="39">
        <v>1499</v>
      </c>
      <c r="D4703" s="24">
        <v>26.98</v>
      </c>
      <c r="E4703" s="24">
        <v>4.8600000000000003</v>
      </c>
      <c r="F4703" s="23">
        <f>COUNTIFS(mdr_rate_cleaned!$A$2:$A$10,B4703,mdr_rate_cleaned!$B$2:$B$10,"&lt;"&amp;C4703,mdr_rate_cleaned!$F$2:$F$10,"&gt;="&amp;C4703)</f>
        <v>1</v>
      </c>
      <c r="G4703" s="40">
        <f>SUMIFS(mdr_rate_cleaned!$G$2:$G$10,mdr_rate_cleaned!$A$2:$A$10,B4703,mdr_rate_cleaned!$B$2:$B$10,"&lt;"&amp;C4703,mdr_rate_cleaned!$F$2:$F$10,"&gt;="&amp;C4703)</f>
        <v>1.8000000000000002E-2</v>
      </c>
      <c r="H4703" s="24">
        <f t="shared" si="365"/>
        <v>26.98</v>
      </c>
      <c r="I4703" s="23" t="str">
        <f t="shared" si="366"/>
        <v>Match</v>
      </c>
      <c r="J4703" s="23" t="str">
        <f t="shared" si="367"/>
        <v>Match</v>
      </c>
      <c r="K4703" s="24">
        <f t="shared" si="368"/>
        <v>4.8600000000000003</v>
      </c>
      <c r="L4703" s="24">
        <f t="shared" si="369"/>
        <v>0</v>
      </c>
    </row>
    <row r="4704" spans="1:12" ht="15" customHeight="1" x14ac:dyDescent="0.3">
      <c r="A4704" s="23" t="s">
        <v>18024</v>
      </c>
      <c r="B4704" s="23" t="s">
        <v>77</v>
      </c>
      <c r="C4704" s="39">
        <v>599</v>
      </c>
      <c r="D4704" s="24">
        <v>11.38</v>
      </c>
      <c r="E4704" s="24">
        <v>2.0499999999999998</v>
      </c>
      <c r="F4704" s="23">
        <f>COUNTIFS(mdr_rate_cleaned!$A$2:$A$10,B4704,mdr_rate_cleaned!$B$2:$B$10,"&lt;"&amp;C4704,mdr_rate_cleaned!$F$2:$F$10,"&gt;="&amp;C4704)</f>
        <v>1</v>
      </c>
      <c r="G4704" s="40">
        <f>SUMIFS(mdr_rate_cleaned!$G$2:$G$10,mdr_rate_cleaned!$A$2:$A$10,B4704,mdr_rate_cleaned!$B$2:$B$10,"&lt;"&amp;C4704,mdr_rate_cleaned!$F$2:$F$10,"&gt;="&amp;C4704)</f>
        <v>1.9E-2</v>
      </c>
      <c r="H4704" s="24">
        <f t="shared" si="365"/>
        <v>11.38</v>
      </c>
      <c r="I4704" s="23" t="str">
        <f t="shared" si="366"/>
        <v>Match</v>
      </c>
      <c r="J4704" s="23" t="str">
        <f t="shared" si="367"/>
        <v>Match</v>
      </c>
      <c r="K4704" s="24">
        <f t="shared" si="368"/>
        <v>2.0499999999999998</v>
      </c>
      <c r="L4704" s="24">
        <f t="shared" si="369"/>
        <v>0</v>
      </c>
    </row>
    <row r="4705" spans="1:12" ht="15" customHeight="1" x14ac:dyDescent="0.3">
      <c r="A4705" s="23" t="s">
        <v>18025</v>
      </c>
      <c r="B4705" s="23" t="s">
        <v>75</v>
      </c>
      <c r="C4705" s="39">
        <v>349</v>
      </c>
      <c r="D4705" s="24">
        <v>0</v>
      </c>
      <c r="E4705" s="24">
        <v>0</v>
      </c>
      <c r="F4705" s="23">
        <f>COUNTIFS(mdr_rate_cleaned!$A$2:$A$10,B4705,mdr_rate_cleaned!$B$2:$B$10,"&lt;"&amp;C4705,mdr_rate_cleaned!$F$2:$F$10,"&gt;="&amp;C4705)</f>
        <v>1</v>
      </c>
      <c r="G4705" s="40">
        <f>SUMIFS(mdr_rate_cleaned!$G$2:$G$10,mdr_rate_cleaned!$A$2:$A$10,B4705,mdr_rate_cleaned!$B$2:$B$10,"&lt;"&amp;C4705,mdr_rate_cleaned!$F$2:$F$10,"&gt;="&amp;C4705)</f>
        <v>0</v>
      </c>
      <c r="H4705" s="24">
        <f t="shared" si="365"/>
        <v>0</v>
      </c>
      <c r="I4705" s="23" t="str">
        <f t="shared" si="366"/>
        <v>Match</v>
      </c>
      <c r="J4705" s="23" t="str">
        <f t="shared" si="367"/>
        <v>Match</v>
      </c>
      <c r="K4705" s="24">
        <f t="shared" si="368"/>
        <v>0</v>
      </c>
      <c r="L4705" s="24">
        <f t="shared" si="369"/>
        <v>0</v>
      </c>
    </row>
    <row r="4706" spans="1:12" ht="15" customHeight="1" x14ac:dyDescent="0.3">
      <c r="A4706" s="23" t="s">
        <v>18026</v>
      </c>
      <c r="B4706" s="23" t="s">
        <v>75</v>
      </c>
      <c r="C4706" s="39">
        <v>3798</v>
      </c>
      <c r="D4706" s="24">
        <v>11.39</v>
      </c>
      <c r="E4706" s="24">
        <v>2.0499999999999998</v>
      </c>
      <c r="F4706" s="23">
        <f>COUNTIFS(mdr_rate_cleaned!$A$2:$A$10,B4706,mdr_rate_cleaned!$B$2:$B$10,"&lt;"&amp;C4706,mdr_rate_cleaned!$F$2:$F$10,"&gt;="&amp;C4706)</f>
        <v>1</v>
      </c>
      <c r="G4706" s="40">
        <f>SUMIFS(mdr_rate_cleaned!$G$2:$G$10,mdr_rate_cleaned!$A$2:$A$10,B4706,mdr_rate_cleaned!$B$2:$B$10,"&lt;"&amp;C4706,mdr_rate_cleaned!$F$2:$F$10,"&gt;="&amp;C4706)</f>
        <v>3.0000000000000001E-3</v>
      </c>
      <c r="H4706" s="24">
        <f t="shared" si="365"/>
        <v>11.39</v>
      </c>
      <c r="I4706" s="23" t="str">
        <f t="shared" si="366"/>
        <v>Match</v>
      </c>
      <c r="J4706" s="23" t="str">
        <f t="shared" si="367"/>
        <v>Match</v>
      </c>
      <c r="K4706" s="24">
        <f t="shared" si="368"/>
        <v>2.0499999999999998</v>
      </c>
      <c r="L4706" s="24">
        <f t="shared" si="369"/>
        <v>0</v>
      </c>
    </row>
    <row r="4707" spans="1:12" ht="15" customHeight="1" x14ac:dyDescent="0.3">
      <c r="A4707" s="23" t="s">
        <v>18028</v>
      </c>
      <c r="B4707" s="23" t="s">
        <v>75</v>
      </c>
      <c r="C4707" s="39">
        <v>14797</v>
      </c>
      <c r="D4707" s="24">
        <v>44.39</v>
      </c>
      <c r="E4707" s="24">
        <v>7.99</v>
      </c>
      <c r="F4707" s="23">
        <f>COUNTIFS(mdr_rate_cleaned!$A$2:$A$10,B4707,mdr_rate_cleaned!$B$2:$B$10,"&lt;"&amp;C4707,mdr_rate_cleaned!$F$2:$F$10,"&gt;="&amp;C4707)</f>
        <v>1</v>
      </c>
      <c r="G4707" s="40">
        <f>SUMIFS(mdr_rate_cleaned!$G$2:$G$10,mdr_rate_cleaned!$A$2:$A$10,B4707,mdr_rate_cleaned!$B$2:$B$10,"&lt;"&amp;C4707,mdr_rate_cleaned!$F$2:$F$10,"&gt;="&amp;C4707)</f>
        <v>3.0000000000000001E-3</v>
      </c>
      <c r="H4707" s="24">
        <f t="shared" si="365"/>
        <v>44.39</v>
      </c>
      <c r="I4707" s="23" t="str">
        <f t="shared" si="366"/>
        <v>Match</v>
      </c>
      <c r="J4707" s="23" t="str">
        <f t="shared" si="367"/>
        <v>Match</v>
      </c>
      <c r="K4707" s="24">
        <f t="shared" si="368"/>
        <v>7.99</v>
      </c>
      <c r="L4707" s="24">
        <f t="shared" si="369"/>
        <v>0</v>
      </c>
    </row>
    <row r="4708" spans="1:12" ht="15" customHeight="1" x14ac:dyDescent="0.3">
      <c r="A4708" s="23" t="s">
        <v>18029</v>
      </c>
      <c r="B4708" s="23" t="s">
        <v>79</v>
      </c>
      <c r="C4708" s="39">
        <v>349</v>
      </c>
      <c r="D4708" s="24">
        <v>6.28</v>
      </c>
      <c r="E4708" s="24">
        <v>1.1299999999999999</v>
      </c>
      <c r="F4708" s="23">
        <f>COUNTIFS(mdr_rate_cleaned!$A$2:$A$10,B4708,mdr_rate_cleaned!$B$2:$B$10,"&lt;"&amp;C4708,mdr_rate_cleaned!$F$2:$F$10,"&gt;="&amp;C4708)</f>
        <v>1</v>
      </c>
      <c r="G4708" s="40">
        <f>SUMIFS(mdr_rate_cleaned!$G$2:$G$10,mdr_rate_cleaned!$A$2:$A$10,B4708,mdr_rate_cleaned!$B$2:$B$10,"&lt;"&amp;C4708,mdr_rate_cleaned!$F$2:$F$10,"&gt;="&amp;C4708)</f>
        <v>1.8000000000000002E-2</v>
      </c>
      <c r="H4708" s="24">
        <f t="shared" si="365"/>
        <v>6.28</v>
      </c>
      <c r="I4708" s="23" t="str">
        <f t="shared" si="366"/>
        <v>Match</v>
      </c>
      <c r="J4708" s="23" t="str">
        <f t="shared" si="367"/>
        <v>Match</v>
      </c>
      <c r="K4708" s="24">
        <f t="shared" si="368"/>
        <v>1.1299999999999999</v>
      </c>
      <c r="L4708" s="24">
        <f t="shared" si="369"/>
        <v>0</v>
      </c>
    </row>
    <row r="4709" spans="1:12" ht="15" customHeight="1" x14ac:dyDescent="0.3">
      <c r="A4709" s="23" t="s">
        <v>18030</v>
      </c>
      <c r="B4709" s="23" t="s">
        <v>75</v>
      </c>
      <c r="C4709" s="39">
        <v>8498</v>
      </c>
      <c r="D4709" s="24">
        <v>25.49</v>
      </c>
      <c r="E4709" s="24">
        <v>4.59</v>
      </c>
      <c r="F4709" s="23">
        <f>COUNTIFS(mdr_rate_cleaned!$A$2:$A$10,B4709,mdr_rate_cleaned!$B$2:$B$10,"&lt;"&amp;C4709,mdr_rate_cleaned!$F$2:$F$10,"&gt;="&amp;C4709)</f>
        <v>1</v>
      </c>
      <c r="G4709" s="40">
        <f>SUMIFS(mdr_rate_cleaned!$G$2:$G$10,mdr_rate_cleaned!$A$2:$A$10,B4709,mdr_rate_cleaned!$B$2:$B$10,"&lt;"&amp;C4709,mdr_rate_cleaned!$F$2:$F$10,"&gt;="&amp;C4709)</f>
        <v>3.0000000000000001E-3</v>
      </c>
      <c r="H4709" s="24">
        <f t="shared" si="365"/>
        <v>25.49</v>
      </c>
      <c r="I4709" s="23" t="str">
        <f t="shared" si="366"/>
        <v>Match</v>
      </c>
      <c r="J4709" s="23" t="str">
        <f t="shared" si="367"/>
        <v>Match</v>
      </c>
      <c r="K4709" s="24">
        <f t="shared" si="368"/>
        <v>4.59</v>
      </c>
      <c r="L4709" s="24">
        <f t="shared" si="369"/>
        <v>0</v>
      </c>
    </row>
    <row r="4710" spans="1:12" ht="15" customHeight="1" x14ac:dyDescent="0.3">
      <c r="A4710" s="23" t="s">
        <v>18031</v>
      </c>
      <c r="B4710" s="23" t="s">
        <v>75</v>
      </c>
      <c r="C4710" s="39">
        <v>799</v>
      </c>
      <c r="D4710" s="24">
        <v>0</v>
      </c>
      <c r="E4710" s="24">
        <v>0</v>
      </c>
      <c r="F4710" s="23">
        <f>COUNTIFS(mdr_rate_cleaned!$A$2:$A$10,B4710,mdr_rate_cleaned!$B$2:$B$10,"&lt;"&amp;C4710,mdr_rate_cleaned!$F$2:$F$10,"&gt;="&amp;C4710)</f>
        <v>1</v>
      </c>
      <c r="G4710" s="40">
        <f>SUMIFS(mdr_rate_cleaned!$G$2:$G$10,mdr_rate_cleaned!$A$2:$A$10,B4710,mdr_rate_cleaned!$B$2:$B$10,"&lt;"&amp;C4710,mdr_rate_cleaned!$F$2:$F$10,"&gt;="&amp;C4710)</f>
        <v>0</v>
      </c>
      <c r="H4710" s="24">
        <f t="shared" si="365"/>
        <v>0</v>
      </c>
      <c r="I4710" s="23" t="str">
        <f t="shared" si="366"/>
        <v>Match</v>
      </c>
      <c r="J4710" s="23" t="str">
        <f t="shared" si="367"/>
        <v>Match</v>
      </c>
      <c r="K4710" s="24">
        <f t="shared" si="368"/>
        <v>0</v>
      </c>
      <c r="L4710" s="24">
        <f t="shared" si="369"/>
        <v>0</v>
      </c>
    </row>
    <row r="4711" spans="1:12" ht="15" customHeight="1" x14ac:dyDescent="0.3">
      <c r="A4711" s="23" t="s">
        <v>18032</v>
      </c>
      <c r="B4711" s="23" t="s">
        <v>75</v>
      </c>
      <c r="C4711" s="39">
        <v>1299</v>
      </c>
      <c r="D4711" s="24">
        <v>0</v>
      </c>
      <c r="E4711" s="24">
        <v>0</v>
      </c>
      <c r="F4711" s="23">
        <f>COUNTIFS(mdr_rate_cleaned!$A$2:$A$10,B4711,mdr_rate_cleaned!$B$2:$B$10,"&lt;"&amp;C4711,mdr_rate_cleaned!$F$2:$F$10,"&gt;="&amp;C4711)</f>
        <v>1</v>
      </c>
      <c r="G4711" s="40">
        <f>SUMIFS(mdr_rate_cleaned!$G$2:$G$10,mdr_rate_cleaned!$A$2:$A$10,B4711,mdr_rate_cleaned!$B$2:$B$10,"&lt;"&amp;C4711,mdr_rate_cleaned!$F$2:$F$10,"&gt;="&amp;C4711)</f>
        <v>0</v>
      </c>
      <c r="H4711" s="24">
        <f t="shared" si="365"/>
        <v>0</v>
      </c>
      <c r="I4711" s="23" t="str">
        <f t="shared" si="366"/>
        <v>Match</v>
      </c>
      <c r="J4711" s="23" t="str">
        <f t="shared" si="367"/>
        <v>Match</v>
      </c>
      <c r="K4711" s="24">
        <f t="shared" si="368"/>
        <v>0</v>
      </c>
      <c r="L4711" s="24">
        <f t="shared" si="369"/>
        <v>0</v>
      </c>
    </row>
    <row r="4712" spans="1:12" ht="15" customHeight="1" x14ac:dyDescent="0.3">
      <c r="A4712" s="23" t="s">
        <v>18033</v>
      </c>
      <c r="B4712" s="23" t="s">
        <v>75</v>
      </c>
      <c r="C4712" s="39">
        <v>2097</v>
      </c>
      <c r="D4712" s="24">
        <v>6.29</v>
      </c>
      <c r="E4712" s="24">
        <v>1.1299999999999999</v>
      </c>
      <c r="F4712" s="23">
        <f>COUNTIFS(mdr_rate_cleaned!$A$2:$A$10,B4712,mdr_rate_cleaned!$B$2:$B$10,"&lt;"&amp;C4712,mdr_rate_cleaned!$F$2:$F$10,"&gt;="&amp;C4712)</f>
        <v>1</v>
      </c>
      <c r="G4712" s="40">
        <f>SUMIFS(mdr_rate_cleaned!$G$2:$G$10,mdr_rate_cleaned!$A$2:$A$10,B4712,mdr_rate_cleaned!$B$2:$B$10,"&lt;"&amp;C4712,mdr_rate_cleaned!$F$2:$F$10,"&gt;="&amp;C4712)</f>
        <v>3.0000000000000001E-3</v>
      </c>
      <c r="H4712" s="24">
        <f t="shared" si="365"/>
        <v>6.29</v>
      </c>
      <c r="I4712" s="23" t="str">
        <f t="shared" si="366"/>
        <v>Match</v>
      </c>
      <c r="J4712" s="23" t="str">
        <f t="shared" si="367"/>
        <v>Match</v>
      </c>
      <c r="K4712" s="24">
        <f t="shared" si="368"/>
        <v>1.1299999999999999</v>
      </c>
      <c r="L4712" s="24">
        <f t="shared" si="369"/>
        <v>0</v>
      </c>
    </row>
    <row r="4713" spans="1:12" ht="15" customHeight="1" x14ac:dyDescent="0.3">
      <c r="A4713" s="23" t="s">
        <v>18034</v>
      </c>
      <c r="B4713" s="23" t="s">
        <v>79</v>
      </c>
      <c r="C4713" s="39">
        <v>2298</v>
      </c>
      <c r="D4713" s="24">
        <v>36.770000000000003</v>
      </c>
      <c r="E4713" s="24">
        <v>6.62</v>
      </c>
      <c r="F4713" s="23">
        <f>COUNTIFS(mdr_rate_cleaned!$A$2:$A$10,B4713,mdr_rate_cleaned!$B$2:$B$10,"&lt;"&amp;C4713,mdr_rate_cleaned!$F$2:$F$10,"&gt;="&amp;C4713)</f>
        <v>1</v>
      </c>
      <c r="G4713" s="40">
        <f>SUMIFS(mdr_rate_cleaned!$G$2:$G$10,mdr_rate_cleaned!$A$2:$A$10,B4713,mdr_rate_cleaned!$B$2:$B$10,"&lt;"&amp;C4713,mdr_rate_cleaned!$F$2:$F$10,"&gt;="&amp;C4713)</f>
        <v>1.6E-2</v>
      </c>
      <c r="H4713" s="24">
        <f t="shared" si="365"/>
        <v>36.770000000000003</v>
      </c>
      <c r="I4713" s="23" t="str">
        <f t="shared" si="366"/>
        <v>Match</v>
      </c>
      <c r="J4713" s="23" t="str">
        <f t="shared" si="367"/>
        <v>Match</v>
      </c>
      <c r="K4713" s="24">
        <f t="shared" si="368"/>
        <v>6.62</v>
      </c>
      <c r="L4713" s="24">
        <f t="shared" si="369"/>
        <v>0</v>
      </c>
    </row>
    <row r="4714" spans="1:12" ht="15" customHeight="1" x14ac:dyDescent="0.3">
      <c r="A4714" s="23" t="s">
        <v>18035</v>
      </c>
      <c r="B4714" s="23" t="s">
        <v>75</v>
      </c>
      <c r="C4714" s="39">
        <v>1299</v>
      </c>
      <c r="D4714" s="24">
        <v>0</v>
      </c>
      <c r="E4714" s="24">
        <v>0</v>
      </c>
      <c r="F4714" s="23">
        <f>COUNTIFS(mdr_rate_cleaned!$A$2:$A$10,B4714,mdr_rate_cleaned!$B$2:$B$10,"&lt;"&amp;C4714,mdr_rate_cleaned!$F$2:$F$10,"&gt;="&amp;C4714)</f>
        <v>1</v>
      </c>
      <c r="G4714" s="40">
        <f>SUMIFS(mdr_rate_cleaned!$G$2:$G$10,mdr_rate_cleaned!$A$2:$A$10,B4714,mdr_rate_cleaned!$B$2:$B$10,"&lt;"&amp;C4714,mdr_rate_cleaned!$F$2:$F$10,"&gt;="&amp;C4714)</f>
        <v>0</v>
      </c>
      <c r="H4714" s="24">
        <f t="shared" si="365"/>
        <v>0</v>
      </c>
      <c r="I4714" s="23" t="str">
        <f t="shared" si="366"/>
        <v>Match</v>
      </c>
      <c r="J4714" s="23" t="str">
        <f t="shared" si="367"/>
        <v>Match</v>
      </c>
      <c r="K4714" s="24">
        <f t="shared" si="368"/>
        <v>0</v>
      </c>
      <c r="L4714" s="24">
        <f t="shared" si="369"/>
        <v>0</v>
      </c>
    </row>
    <row r="4715" spans="1:12" ht="15" customHeight="1" x14ac:dyDescent="0.3">
      <c r="A4715" s="23" t="s">
        <v>18036</v>
      </c>
      <c r="B4715" s="23" t="s">
        <v>75</v>
      </c>
      <c r="C4715" s="39">
        <v>3298</v>
      </c>
      <c r="D4715" s="24">
        <v>9.89</v>
      </c>
      <c r="E4715" s="24">
        <v>1.78</v>
      </c>
      <c r="F4715" s="23">
        <f>COUNTIFS(mdr_rate_cleaned!$A$2:$A$10,B4715,mdr_rate_cleaned!$B$2:$B$10,"&lt;"&amp;C4715,mdr_rate_cleaned!$F$2:$F$10,"&gt;="&amp;C4715)</f>
        <v>1</v>
      </c>
      <c r="G4715" s="40">
        <f>SUMIFS(mdr_rate_cleaned!$G$2:$G$10,mdr_rate_cleaned!$A$2:$A$10,B4715,mdr_rate_cleaned!$B$2:$B$10,"&lt;"&amp;C4715,mdr_rate_cleaned!$F$2:$F$10,"&gt;="&amp;C4715)</f>
        <v>3.0000000000000001E-3</v>
      </c>
      <c r="H4715" s="24">
        <f t="shared" si="365"/>
        <v>9.89</v>
      </c>
      <c r="I4715" s="23" t="str">
        <f t="shared" si="366"/>
        <v>Match</v>
      </c>
      <c r="J4715" s="23" t="str">
        <f t="shared" si="367"/>
        <v>Match</v>
      </c>
      <c r="K4715" s="24">
        <f t="shared" si="368"/>
        <v>1.78</v>
      </c>
      <c r="L4715" s="24">
        <f t="shared" si="369"/>
        <v>0</v>
      </c>
    </row>
    <row r="4716" spans="1:12" ht="15" customHeight="1" x14ac:dyDescent="0.3">
      <c r="A4716" s="23" t="s">
        <v>18037</v>
      </c>
      <c r="B4716" s="23" t="s">
        <v>75</v>
      </c>
      <c r="C4716" s="39">
        <v>499</v>
      </c>
      <c r="D4716" s="24">
        <v>0</v>
      </c>
      <c r="E4716" s="24">
        <v>0</v>
      </c>
      <c r="F4716" s="23">
        <f>COUNTIFS(mdr_rate_cleaned!$A$2:$A$10,B4716,mdr_rate_cleaned!$B$2:$B$10,"&lt;"&amp;C4716,mdr_rate_cleaned!$F$2:$F$10,"&gt;="&amp;C4716)</f>
        <v>1</v>
      </c>
      <c r="G4716" s="40">
        <f>SUMIFS(mdr_rate_cleaned!$G$2:$G$10,mdr_rate_cleaned!$A$2:$A$10,B4716,mdr_rate_cleaned!$B$2:$B$10,"&lt;"&amp;C4716,mdr_rate_cleaned!$F$2:$F$10,"&gt;="&amp;C4716)</f>
        <v>0</v>
      </c>
      <c r="H4716" s="24">
        <f t="shared" si="365"/>
        <v>0</v>
      </c>
      <c r="I4716" s="23" t="str">
        <f t="shared" si="366"/>
        <v>Match</v>
      </c>
      <c r="J4716" s="23" t="str">
        <f t="shared" si="367"/>
        <v>Match</v>
      </c>
      <c r="K4716" s="24">
        <f t="shared" si="368"/>
        <v>0</v>
      </c>
      <c r="L4716" s="24">
        <f t="shared" si="369"/>
        <v>0</v>
      </c>
    </row>
    <row r="4717" spans="1:12" ht="15" customHeight="1" x14ac:dyDescent="0.3">
      <c r="A4717" s="23" t="s">
        <v>18038</v>
      </c>
      <c r="B4717" s="23" t="s">
        <v>77</v>
      </c>
      <c r="C4717" s="39">
        <v>11097</v>
      </c>
      <c r="D4717" s="24">
        <v>188.65</v>
      </c>
      <c r="E4717" s="24">
        <v>33.96</v>
      </c>
      <c r="F4717" s="23">
        <f>COUNTIFS(mdr_rate_cleaned!$A$2:$A$10,B4717,mdr_rate_cleaned!$B$2:$B$10,"&lt;"&amp;C4717,mdr_rate_cleaned!$F$2:$F$10,"&gt;="&amp;C4717)</f>
        <v>1</v>
      </c>
      <c r="G4717" s="40">
        <f>SUMIFS(mdr_rate_cleaned!$G$2:$G$10,mdr_rate_cleaned!$A$2:$A$10,B4717,mdr_rate_cleaned!$B$2:$B$10,"&lt;"&amp;C4717,mdr_rate_cleaned!$F$2:$F$10,"&gt;="&amp;C4717)</f>
        <v>1.7000000000000001E-2</v>
      </c>
      <c r="H4717" s="24">
        <f t="shared" si="365"/>
        <v>188.65</v>
      </c>
      <c r="I4717" s="23" t="str">
        <f t="shared" si="366"/>
        <v>Match</v>
      </c>
      <c r="J4717" s="23" t="str">
        <f t="shared" si="367"/>
        <v>Match</v>
      </c>
      <c r="K4717" s="24">
        <f t="shared" si="368"/>
        <v>33.96</v>
      </c>
      <c r="L4717" s="24">
        <f t="shared" si="369"/>
        <v>0</v>
      </c>
    </row>
    <row r="4718" spans="1:12" ht="15" customHeight="1" x14ac:dyDescent="0.3">
      <c r="A4718" s="23" t="s">
        <v>18039</v>
      </c>
      <c r="B4718" s="23" t="s">
        <v>79</v>
      </c>
      <c r="C4718" s="39">
        <v>3147</v>
      </c>
      <c r="D4718" s="24">
        <v>50.35</v>
      </c>
      <c r="E4718" s="24">
        <v>9.06</v>
      </c>
      <c r="F4718" s="23">
        <f>COUNTIFS(mdr_rate_cleaned!$A$2:$A$10,B4718,mdr_rate_cleaned!$B$2:$B$10,"&lt;"&amp;C4718,mdr_rate_cleaned!$F$2:$F$10,"&gt;="&amp;C4718)</f>
        <v>1</v>
      </c>
      <c r="G4718" s="40">
        <f>SUMIFS(mdr_rate_cleaned!$G$2:$G$10,mdr_rate_cleaned!$A$2:$A$10,B4718,mdr_rate_cleaned!$B$2:$B$10,"&lt;"&amp;C4718,mdr_rate_cleaned!$F$2:$F$10,"&gt;="&amp;C4718)</f>
        <v>1.6E-2</v>
      </c>
      <c r="H4718" s="24">
        <f t="shared" si="365"/>
        <v>50.35</v>
      </c>
      <c r="I4718" s="23" t="str">
        <f t="shared" si="366"/>
        <v>Match</v>
      </c>
      <c r="J4718" s="23" t="str">
        <f t="shared" si="367"/>
        <v>Match</v>
      </c>
      <c r="K4718" s="24">
        <f t="shared" si="368"/>
        <v>9.06</v>
      </c>
      <c r="L4718" s="24">
        <f t="shared" si="369"/>
        <v>0</v>
      </c>
    </row>
    <row r="4719" spans="1:12" ht="15" customHeight="1" x14ac:dyDescent="0.3">
      <c r="A4719" s="23" t="s">
        <v>18040</v>
      </c>
      <c r="B4719" s="23" t="s">
        <v>77</v>
      </c>
      <c r="C4719" s="39">
        <v>5298</v>
      </c>
      <c r="D4719" s="24">
        <v>90.07</v>
      </c>
      <c r="E4719" s="24">
        <v>16.21</v>
      </c>
      <c r="F4719" s="23">
        <f>COUNTIFS(mdr_rate_cleaned!$A$2:$A$10,B4719,mdr_rate_cleaned!$B$2:$B$10,"&lt;"&amp;C4719,mdr_rate_cleaned!$F$2:$F$10,"&gt;="&amp;C4719)</f>
        <v>1</v>
      </c>
      <c r="G4719" s="40">
        <f>SUMIFS(mdr_rate_cleaned!$G$2:$G$10,mdr_rate_cleaned!$A$2:$A$10,B4719,mdr_rate_cleaned!$B$2:$B$10,"&lt;"&amp;C4719,mdr_rate_cleaned!$F$2:$F$10,"&gt;="&amp;C4719)</f>
        <v>1.7000000000000001E-2</v>
      </c>
      <c r="H4719" s="24">
        <f t="shared" si="365"/>
        <v>90.07</v>
      </c>
      <c r="I4719" s="23" t="str">
        <f t="shared" si="366"/>
        <v>Match</v>
      </c>
      <c r="J4719" s="23" t="str">
        <f t="shared" si="367"/>
        <v>Match</v>
      </c>
      <c r="K4719" s="24">
        <f t="shared" si="368"/>
        <v>16.21</v>
      </c>
      <c r="L4719" s="24">
        <f t="shared" si="369"/>
        <v>0</v>
      </c>
    </row>
    <row r="4720" spans="1:12" ht="15" customHeight="1" x14ac:dyDescent="0.3">
      <c r="A4720" s="23" t="s">
        <v>18041</v>
      </c>
      <c r="B4720" s="23" t="s">
        <v>79</v>
      </c>
      <c r="C4720" s="39">
        <v>599</v>
      </c>
      <c r="D4720" s="24">
        <v>10.78</v>
      </c>
      <c r="E4720" s="24">
        <v>1.94</v>
      </c>
      <c r="F4720" s="23">
        <f>COUNTIFS(mdr_rate_cleaned!$A$2:$A$10,B4720,mdr_rate_cleaned!$B$2:$B$10,"&lt;"&amp;C4720,mdr_rate_cleaned!$F$2:$F$10,"&gt;="&amp;C4720)</f>
        <v>1</v>
      </c>
      <c r="G4720" s="40">
        <f>SUMIFS(mdr_rate_cleaned!$G$2:$G$10,mdr_rate_cleaned!$A$2:$A$10,B4720,mdr_rate_cleaned!$B$2:$B$10,"&lt;"&amp;C4720,mdr_rate_cleaned!$F$2:$F$10,"&gt;="&amp;C4720)</f>
        <v>1.8000000000000002E-2</v>
      </c>
      <c r="H4720" s="24">
        <f t="shared" si="365"/>
        <v>10.78</v>
      </c>
      <c r="I4720" s="23" t="str">
        <f t="shared" si="366"/>
        <v>Match</v>
      </c>
      <c r="J4720" s="23" t="str">
        <f t="shared" si="367"/>
        <v>Match</v>
      </c>
      <c r="K4720" s="24">
        <f t="shared" si="368"/>
        <v>1.94</v>
      </c>
      <c r="L4720" s="24">
        <f t="shared" si="369"/>
        <v>0</v>
      </c>
    </row>
    <row r="4721" spans="1:12" ht="15" customHeight="1" x14ac:dyDescent="0.3">
      <c r="A4721" s="23" t="s">
        <v>18042</v>
      </c>
      <c r="B4721" s="23" t="s">
        <v>75</v>
      </c>
      <c r="C4721" s="39">
        <v>7498</v>
      </c>
      <c r="D4721" s="24">
        <v>22.49</v>
      </c>
      <c r="E4721" s="24">
        <v>4.05</v>
      </c>
      <c r="F4721" s="23">
        <f>COUNTIFS(mdr_rate_cleaned!$A$2:$A$10,B4721,mdr_rate_cleaned!$B$2:$B$10,"&lt;"&amp;C4721,mdr_rate_cleaned!$F$2:$F$10,"&gt;="&amp;C4721)</f>
        <v>1</v>
      </c>
      <c r="G4721" s="40">
        <f>SUMIFS(mdr_rate_cleaned!$G$2:$G$10,mdr_rate_cleaned!$A$2:$A$10,B4721,mdr_rate_cleaned!$B$2:$B$10,"&lt;"&amp;C4721,mdr_rate_cleaned!$F$2:$F$10,"&gt;="&amp;C4721)</f>
        <v>3.0000000000000001E-3</v>
      </c>
      <c r="H4721" s="24">
        <f t="shared" si="365"/>
        <v>22.49</v>
      </c>
      <c r="I4721" s="23" t="str">
        <f t="shared" si="366"/>
        <v>Match</v>
      </c>
      <c r="J4721" s="23" t="str">
        <f t="shared" si="367"/>
        <v>Match</v>
      </c>
      <c r="K4721" s="24">
        <f t="shared" si="368"/>
        <v>4.05</v>
      </c>
      <c r="L4721" s="24">
        <f t="shared" si="369"/>
        <v>0</v>
      </c>
    </row>
    <row r="4722" spans="1:12" ht="15" customHeight="1" x14ac:dyDescent="0.3">
      <c r="A4722" s="23" t="s">
        <v>18043</v>
      </c>
      <c r="B4722" s="23" t="s">
        <v>75</v>
      </c>
      <c r="C4722" s="39">
        <v>8697</v>
      </c>
      <c r="D4722" s="24">
        <v>26.09</v>
      </c>
      <c r="E4722" s="24">
        <v>4.7</v>
      </c>
      <c r="F4722" s="23">
        <f>COUNTIFS(mdr_rate_cleaned!$A$2:$A$10,B4722,mdr_rate_cleaned!$B$2:$B$10,"&lt;"&amp;C4722,mdr_rate_cleaned!$F$2:$F$10,"&gt;="&amp;C4722)</f>
        <v>1</v>
      </c>
      <c r="G4722" s="40">
        <f>SUMIFS(mdr_rate_cleaned!$G$2:$G$10,mdr_rate_cleaned!$A$2:$A$10,B4722,mdr_rate_cleaned!$B$2:$B$10,"&lt;"&amp;C4722,mdr_rate_cleaned!$F$2:$F$10,"&gt;="&amp;C4722)</f>
        <v>3.0000000000000001E-3</v>
      </c>
      <c r="H4722" s="24">
        <f t="shared" si="365"/>
        <v>26.09</v>
      </c>
      <c r="I4722" s="23" t="str">
        <f t="shared" si="366"/>
        <v>Match</v>
      </c>
      <c r="J4722" s="23" t="str">
        <f t="shared" si="367"/>
        <v>Match</v>
      </c>
      <c r="K4722" s="24">
        <f t="shared" si="368"/>
        <v>4.7</v>
      </c>
      <c r="L4722" s="24">
        <f t="shared" si="369"/>
        <v>0</v>
      </c>
    </row>
    <row r="4723" spans="1:12" ht="15" customHeight="1" x14ac:dyDescent="0.3">
      <c r="A4723" s="23" t="s">
        <v>18045</v>
      </c>
      <c r="B4723" s="23" t="s">
        <v>79</v>
      </c>
      <c r="C4723" s="39">
        <v>3499</v>
      </c>
      <c r="D4723" s="24">
        <v>55.98</v>
      </c>
      <c r="E4723" s="24">
        <v>10.08</v>
      </c>
      <c r="F4723" s="23">
        <f>COUNTIFS(mdr_rate_cleaned!$A$2:$A$10,B4723,mdr_rate_cleaned!$B$2:$B$10,"&lt;"&amp;C4723,mdr_rate_cleaned!$F$2:$F$10,"&gt;="&amp;C4723)</f>
        <v>1</v>
      </c>
      <c r="G4723" s="40">
        <f>SUMIFS(mdr_rate_cleaned!$G$2:$G$10,mdr_rate_cleaned!$A$2:$A$10,B4723,mdr_rate_cleaned!$B$2:$B$10,"&lt;"&amp;C4723,mdr_rate_cleaned!$F$2:$F$10,"&gt;="&amp;C4723)</f>
        <v>1.6E-2</v>
      </c>
      <c r="H4723" s="24">
        <f t="shared" si="365"/>
        <v>55.98</v>
      </c>
      <c r="I4723" s="23" t="str">
        <f t="shared" si="366"/>
        <v>Match</v>
      </c>
      <c r="J4723" s="23" t="str">
        <f t="shared" si="367"/>
        <v>Match</v>
      </c>
      <c r="K4723" s="24">
        <f t="shared" si="368"/>
        <v>10.08</v>
      </c>
      <c r="L4723" s="24">
        <f t="shared" si="369"/>
        <v>0</v>
      </c>
    </row>
    <row r="4724" spans="1:12" ht="15" customHeight="1" x14ac:dyDescent="0.3">
      <c r="A4724" s="23" t="s">
        <v>18046</v>
      </c>
      <c r="B4724" s="23" t="s">
        <v>75</v>
      </c>
      <c r="C4724" s="39">
        <v>3348</v>
      </c>
      <c r="D4724" s="24">
        <v>10.039999999999999</v>
      </c>
      <c r="E4724" s="24">
        <v>1.81</v>
      </c>
      <c r="F4724" s="23">
        <f>COUNTIFS(mdr_rate_cleaned!$A$2:$A$10,B4724,mdr_rate_cleaned!$B$2:$B$10,"&lt;"&amp;C4724,mdr_rate_cleaned!$F$2:$F$10,"&gt;="&amp;C4724)</f>
        <v>1</v>
      </c>
      <c r="G4724" s="40">
        <f>SUMIFS(mdr_rate_cleaned!$G$2:$G$10,mdr_rate_cleaned!$A$2:$A$10,B4724,mdr_rate_cleaned!$B$2:$B$10,"&lt;"&amp;C4724,mdr_rate_cleaned!$F$2:$F$10,"&gt;="&amp;C4724)</f>
        <v>3.0000000000000001E-3</v>
      </c>
      <c r="H4724" s="24">
        <f t="shared" si="365"/>
        <v>10.039999999999999</v>
      </c>
      <c r="I4724" s="23" t="str">
        <f t="shared" si="366"/>
        <v>Match</v>
      </c>
      <c r="J4724" s="23" t="str">
        <f t="shared" si="367"/>
        <v>Match</v>
      </c>
      <c r="K4724" s="24">
        <f t="shared" si="368"/>
        <v>1.81</v>
      </c>
      <c r="L4724" s="24">
        <f t="shared" si="369"/>
        <v>0</v>
      </c>
    </row>
    <row r="4725" spans="1:12" ht="15" customHeight="1" x14ac:dyDescent="0.3">
      <c r="A4725" s="23" t="s">
        <v>18047</v>
      </c>
      <c r="B4725" s="23" t="s">
        <v>75</v>
      </c>
      <c r="C4725" s="39">
        <v>4798</v>
      </c>
      <c r="D4725" s="24">
        <v>14.39</v>
      </c>
      <c r="E4725" s="24">
        <v>2.59</v>
      </c>
      <c r="F4725" s="23">
        <f>COUNTIFS(mdr_rate_cleaned!$A$2:$A$10,B4725,mdr_rate_cleaned!$B$2:$B$10,"&lt;"&amp;C4725,mdr_rate_cleaned!$F$2:$F$10,"&gt;="&amp;C4725)</f>
        <v>1</v>
      </c>
      <c r="G4725" s="40">
        <f>SUMIFS(mdr_rate_cleaned!$G$2:$G$10,mdr_rate_cleaned!$A$2:$A$10,B4725,mdr_rate_cleaned!$B$2:$B$10,"&lt;"&amp;C4725,mdr_rate_cleaned!$F$2:$F$10,"&gt;="&amp;C4725)</f>
        <v>3.0000000000000001E-3</v>
      </c>
      <c r="H4725" s="24">
        <f t="shared" si="365"/>
        <v>14.39</v>
      </c>
      <c r="I4725" s="23" t="str">
        <f t="shared" si="366"/>
        <v>Match</v>
      </c>
      <c r="J4725" s="23" t="str">
        <f t="shared" si="367"/>
        <v>Match</v>
      </c>
      <c r="K4725" s="24">
        <f t="shared" si="368"/>
        <v>2.59</v>
      </c>
      <c r="L4725" s="24">
        <f t="shared" si="369"/>
        <v>0</v>
      </c>
    </row>
    <row r="4726" spans="1:12" ht="15" customHeight="1" x14ac:dyDescent="0.3">
      <c r="A4726" s="23" t="s">
        <v>18048</v>
      </c>
      <c r="B4726" s="23" t="s">
        <v>75</v>
      </c>
      <c r="C4726" s="39">
        <v>3499</v>
      </c>
      <c r="D4726" s="24">
        <v>10.5</v>
      </c>
      <c r="E4726" s="24">
        <v>1.89</v>
      </c>
      <c r="F4726" s="23">
        <f>COUNTIFS(mdr_rate_cleaned!$A$2:$A$10,B4726,mdr_rate_cleaned!$B$2:$B$10,"&lt;"&amp;C4726,mdr_rate_cleaned!$F$2:$F$10,"&gt;="&amp;C4726)</f>
        <v>1</v>
      </c>
      <c r="G4726" s="40">
        <f>SUMIFS(mdr_rate_cleaned!$G$2:$G$10,mdr_rate_cleaned!$A$2:$A$10,B4726,mdr_rate_cleaned!$B$2:$B$10,"&lt;"&amp;C4726,mdr_rate_cleaned!$F$2:$F$10,"&gt;="&amp;C4726)</f>
        <v>3.0000000000000001E-3</v>
      </c>
      <c r="H4726" s="24">
        <f t="shared" si="365"/>
        <v>10.5</v>
      </c>
      <c r="I4726" s="23" t="str">
        <f t="shared" si="366"/>
        <v>Match</v>
      </c>
      <c r="J4726" s="23" t="str">
        <f t="shared" si="367"/>
        <v>Match</v>
      </c>
      <c r="K4726" s="24">
        <f t="shared" si="368"/>
        <v>1.89</v>
      </c>
      <c r="L4726" s="24">
        <f t="shared" si="369"/>
        <v>0</v>
      </c>
    </row>
    <row r="4727" spans="1:12" ht="15" customHeight="1" x14ac:dyDescent="0.3">
      <c r="A4727" s="23" t="s">
        <v>18049</v>
      </c>
      <c r="B4727" s="23" t="s">
        <v>75</v>
      </c>
      <c r="C4727" s="39">
        <v>599</v>
      </c>
      <c r="D4727" s="24">
        <v>0</v>
      </c>
      <c r="E4727" s="24">
        <v>0</v>
      </c>
      <c r="F4727" s="23">
        <f>COUNTIFS(mdr_rate_cleaned!$A$2:$A$10,B4727,mdr_rate_cleaned!$B$2:$B$10,"&lt;"&amp;C4727,mdr_rate_cleaned!$F$2:$F$10,"&gt;="&amp;C4727)</f>
        <v>1</v>
      </c>
      <c r="G4727" s="40">
        <f>SUMIFS(mdr_rate_cleaned!$G$2:$G$10,mdr_rate_cleaned!$A$2:$A$10,B4727,mdr_rate_cleaned!$B$2:$B$10,"&lt;"&amp;C4727,mdr_rate_cleaned!$F$2:$F$10,"&gt;="&amp;C4727)</f>
        <v>0</v>
      </c>
      <c r="H4727" s="24">
        <f t="shared" si="365"/>
        <v>0</v>
      </c>
      <c r="I4727" s="23" t="str">
        <f t="shared" si="366"/>
        <v>Match</v>
      </c>
      <c r="J4727" s="23" t="str">
        <f t="shared" si="367"/>
        <v>Match</v>
      </c>
      <c r="K4727" s="24">
        <f t="shared" si="368"/>
        <v>0</v>
      </c>
      <c r="L4727" s="24">
        <f t="shared" si="369"/>
        <v>0</v>
      </c>
    </row>
    <row r="4728" spans="1:12" ht="15" customHeight="1" x14ac:dyDescent="0.3">
      <c r="A4728" s="23" t="s">
        <v>18050</v>
      </c>
      <c r="B4728" s="23" t="s">
        <v>75</v>
      </c>
      <c r="C4728" s="39">
        <v>1299</v>
      </c>
      <c r="D4728" s="24">
        <v>0</v>
      </c>
      <c r="E4728" s="24">
        <v>0</v>
      </c>
      <c r="F4728" s="23">
        <f>COUNTIFS(mdr_rate_cleaned!$A$2:$A$10,B4728,mdr_rate_cleaned!$B$2:$B$10,"&lt;"&amp;C4728,mdr_rate_cleaned!$F$2:$F$10,"&gt;="&amp;C4728)</f>
        <v>1</v>
      </c>
      <c r="G4728" s="40">
        <f>SUMIFS(mdr_rate_cleaned!$G$2:$G$10,mdr_rate_cleaned!$A$2:$A$10,B4728,mdr_rate_cleaned!$B$2:$B$10,"&lt;"&amp;C4728,mdr_rate_cleaned!$F$2:$F$10,"&gt;="&amp;C4728)</f>
        <v>0</v>
      </c>
      <c r="H4728" s="24">
        <f t="shared" si="365"/>
        <v>0</v>
      </c>
      <c r="I4728" s="23" t="str">
        <f t="shared" si="366"/>
        <v>Match</v>
      </c>
      <c r="J4728" s="23" t="str">
        <f t="shared" si="367"/>
        <v>Match</v>
      </c>
      <c r="K4728" s="24">
        <f t="shared" si="368"/>
        <v>0</v>
      </c>
      <c r="L4728" s="24">
        <f t="shared" si="369"/>
        <v>0</v>
      </c>
    </row>
    <row r="4729" spans="1:12" ht="15" customHeight="1" x14ac:dyDescent="0.3">
      <c r="A4729" s="23" t="s">
        <v>18051</v>
      </c>
      <c r="B4729" s="23" t="s">
        <v>79</v>
      </c>
      <c r="C4729" s="39">
        <v>3499</v>
      </c>
      <c r="D4729" s="24">
        <v>55.98</v>
      </c>
      <c r="E4729" s="24">
        <v>10.08</v>
      </c>
      <c r="F4729" s="23">
        <f>COUNTIFS(mdr_rate_cleaned!$A$2:$A$10,B4729,mdr_rate_cleaned!$B$2:$B$10,"&lt;"&amp;C4729,mdr_rate_cleaned!$F$2:$F$10,"&gt;="&amp;C4729)</f>
        <v>1</v>
      </c>
      <c r="G4729" s="40">
        <f>SUMIFS(mdr_rate_cleaned!$G$2:$G$10,mdr_rate_cleaned!$A$2:$A$10,B4729,mdr_rate_cleaned!$B$2:$B$10,"&lt;"&amp;C4729,mdr_rate_cleaned!$F$2:$F$10,"&gt;="&amp;C4729)</f>
        <v>1.6E-2</v>
      </c>
      <c r="H4729" s="24">
        <f t="shared" si="365"/>
        <v>55.98</v>
      </c>
      <c r="I4729" s="23" t="str">
        <f t="shared" si="366"/>
        <v>Match</v>
      </c>
      <c r="J4729" s="23" t="str">
        <f t="shared" si="367"/>
        <v>Match</v>
      </c>
      <c r="K4729" s="24">
        <f t="shared" si="368"/>
        <v>10.08</v>
      </c>
      <c r="L4729" s="24">
        <f t="shared" si="369"/>
        <v>0</v>
      </c>
    </row>
    <row r="4730" spans="1:12" ht="15" customHeight="1" x14ac:dyDescent="0.3">
      <c r="A4730" s="23" t="s">
        <v>18052</v>
      </c>
      <c r="B4730" s="23" t="s">
        <v>79</v>
      </c>
      <c r="C4730" s="39">
        <v>5397</v>
      </c>
      <c r="D4730" s="24">
        <v>86.35</v>
      </c>
      <c r="E4730" s="24">
        <v>15.54</v>
      </c>
      <c r="F4730" s="23">
        <f>COUNTIFS(mdr_rate_cleaned!$A$2:$A$10,B4730,mdr_rate_cleaned!$B$2:$B$10,"&lt;"&amp;C4730,mdr_rate_cleaned!$F$2:$F$10,"&gt;="&amp;C4730)</f>
        <v>1</v>
      </c>
      <c r="G4730" s="40">
        <f>SUMIFS(mdr_rate_cleaned!$G$2:$G$10,mdr_rate_cleaned!$A$2:$A$10,B4730,mdr_rate_cleaned!$B$2:$B$10,"&lt;"&amp;C4730,mdr_rate_cleaned!$F$2:$F$10,"&gt;="&amp;C4730)</f>
        <v>1.6E-2</v>
      </c>
      <c r="H4730" s="24">
        <f t="shared" si="365"/>
        <v>86.35</v>
      </c>
      <c r="I4730" s="23" t="str">
        <f t="shared" si="366"/>
        <v>Match</v>
      </c>
      <c r="J4730" s="23" t="str">
        <f t="shared" si="367"/>
        <v>Match</v>
      </c>
      <c r="K4730" s="24">
        <f t="shared" si="368"/>
        <v>15.54</v>
      </c>
      <c r="L4730" s="24">
        <f t="shared" si="369"/>
        <v>0</v>
      </c>
    </row>
    <row r="4731" spans="1:12" ht="15" customHeight="1" x14ac:dyDescent="0.3">
      <c r="A4731" s="23" t="s">
        <v>18053</v>
      </c>
      <c r="B4731" s="23" t="s">
        <v>77</v>
      </c>
      <c r="C4731" s="39">
        <v>2597</v>
      </c>
      <c r="D4731" s="24">
        <v>44.15</v>
      </c>
      <c r="E4731" s="24">
        <v>7.95</v>
      </c>
      <c r="F4731" s="23">
        <f>COUNTIFS(mdr_rate_cleaned!$A$2:$A$10,B4731,mdr_rate_cleaned!$B$2:$B$10,"&lt;"&amp;C4731,mdr_rate_cleaned!$F$2:$F$10,"&gt;="&amp;C4731)</f>
        <v>1</v>
      </c>
      <c r="G4731" s="40">
        <f>SUMIFS(mdr_rate_cleaned!$G$2:$G$10,mdr_rate_cleaned!$A$2:$A$10,B4731,mdr_rate_cleaned!$B$2:$B$10,"&lt;"&amp;C4731,mdr_rate_cleaned!$F$2:$F$10,"&gt;="&amp;C4731)</f>
        <v>1.7000000000000001E-2</v>
      </c>
      <c r="H4731" s="24">
        <f t="shared" si="365"/>
        <v>44.15</v>
      </c>
      <c r="I4731" s="23" t="str">
        <f t="shared" si="366"/>
        <v>Match</v>
      </c>
      <c r="J4731" s="23" t="str">
        <f t="shared" si="367"/>
        <v>Match</v>
      </c>
      <c r="K4731" s="24">
        <f t="shared" si="368"/>
        <v>7.95</v>
      </c>
      <c r="L4731" s="24">
        <f t="shared" si="369"/>
        <v>0</v>
      </c>
    </row>
    <row r="4732" spans="1:12" ht="15" customHeight="1" x14ac:dyDescent="0.3">
      <c r="A4732" s="23" t="s">
        <v>18054</v>
      </c>
      <c r="B4732" s="23" t="s">
        <v>75</v>
      </c>
      <c r="C4732" s="39">
        <v>8798</v>
      </c>
      <c r="D4732" s="24">
        <v>26.39</v>
      </c>
      <c r="E4732" s="24">
        <v>4.75</v>
      </c>
      <c r="F4732" s="23">
        <f>COUNTIFS(mdr_rate_cleaned!$A$2:$A$10,B4732,mdr_rate_cleaned!$B$2:$B$10,"&lt;"&amp;C4732,mdr_rate_cleaned!$F$2:$F$10,"&gt;="&amp;C4732)</f>
        <v>1</v>
      </c>
      <c r="G4732" s="40">
        <f>SUMIFS(mdr_rate_cleaned!$G$2:$G$10,mdr_rate_cleaned!$A$2:$A$10,B4732,mdr_rate_cleaned!$B$2:$B$10,"&lt;"&amp;C4732,mdr_rate_cleaned!$F$2:$F$10,"&gt;="&amp;C4732)</f>
        <v>3.0000000000000001E-3</v>
      </c>
      <c r="H4732" s="24">
        <f t="shared" si="365"/>
        <v>26.39</v>
      </c>
      <c r="I4732" s="23" t="str">
        <f t="shared" si="366"/>
        <v>Match</v>
      </c>
      <c r="J4732" s="23" t="str">
        <f t="shared" si="367"/>
        <v>Match</v>
      </c>
      <c r="K4732" s="24">
        <f t="shared" si="368"/>
        <v>4.75</v>
      </c>
      <c r="L4732" s="24">
        <f t="shared" si="369"/>
        <v>0</v>
      </c>
    </row>
    <row r="4733" spans="1:12" ht="15" customHeight="1" x14ac:dyDescent="0.3">
      <c r="A4733" s="23" t="s">
        <v>18055</v>
      </c>
      <c r="B4733" s="23" t="s">
        <v>75</v>
      </c>
      <c r="C4733" s="39">
        <v>2798</v>
      </c>
      <c r="D4733" s="24">
        <v>8.39</v>
      </c>
      <c r="E4733" s="24">
        <v>1.51</v>
      </c>
      <c r="F4733" s="23">
        <f>COUNTIFS(mdr_rate_cleaned!$A$2:$A$10,B4733,mdr_rate_cleaned!$B$2:$B$10,"&lt;"&amp;C4733,mdr_rate_cleaned!$F$2:$F$10,"&gt;="&amp;C4733)</f>
        <v>1</v>
      </c>
      <c r="G4733" s="40">
        <f>SUMIFS(mdr_rate_cleaned!$G$2:$G$10,mdr_rate_cleaned!$A$2:$A$10,B4733,mdr_rate_cleaned!$B$2:$B$10,"&lt;"&amp;C4733,mdr_rate_cleaned!$F$2:$F$10,"&gt;="&amp;C4733)</f>
        <v>3.0000000000000001E-3</v>
      </c>
      <c r="H4733" s="24">
        <f t="shared" si="365"/>
        <v>8.39</v>
      </c>
      <c r="I4733" s="23" t="str">
        <f t="shared" si="366"/>
        <v>Match</v>
      </c>
      <c r="J4733" s="23" t="str">
        <f t="shared" si="367"/>
        <v>Match</v>
      </c>
      <c r="K4733" s="24">
        <f t="shared" si="368"/>
        <v>1.51</v>
      </c>
      <c r="L4733" s="24">
        <f t="shared" si="369"/>
        <v>0</v>
      </c>
    </row>
    <row r="4734" spans="1:12" ht="15" customHeight="1" x14ac:dyDescent="0.3">
      <c r="A4734" s="23" t="s">
        <v>18056</v>
      </c>
      <c r="B4734" s="23" t="s">
        <v>81</v>
      </c>
      <c r="C4734" s="39">
        <v>999</v>
      </c>
      <c r="D4734" s="24">
        <v>14.99</v>
      </c>
      <c r="E4734" s="24">
        <v>2.7</v>
      </c>
      <c r="F4734" s="23">
        <f>COUNTIFS(mdr_rate_cleaned!$A$2:$A$10,B4734,mdr_rate_cleaned!$B$2:$B$10,"&lt;"&amp;C4734,mdr_rate_cleaned!$F$2:$F$10,"&gt;="&amp;C4734)</f>
        <v>1</v>
      </c>
      <c r="G4734" s="40">
        <f>SUMIFS(mdr_rate_cleaned!$G$2:$G$10,mdr_rate_cleaned!$A$2:$A$10,B4734,mdr_rate_cleaned!$B$2:$B$10,"&lt;"&amp;C4734,mdr_rate_cleaned!$F$2:$F$10,"&gt;="&amp;C4734)</f>
        <v>1.4999999999999999E-2</v>
      </c>
      <c r="H4734" s="24">
        <f t="shared" si="365"/>
        <v>14.99</v>
      </c>
      <c r="I4734" s="23" t="str">
        <f t="shared" si="366"/>
        <v>Match</v>
      </c>
      <c r="J4734" s="23" t="str">
        <f t="shared" si="367"/>
        <v>Match</v>
      </c>
      <c r="K4734" s="24">
        <f t="shared" si="368"/>
        <v>2.7</v>
      </c>
      <c r="L4734" s="24">
        <f t="shared" si="369"/>
        <v>0</v>
      </c>
    </row>
    <row r="4735" spans="1:12" ht="15" customHeight="1" x14ac:dyDescent="0.3">
      <c r="A4735" s="23" t="s">
        <v>18057</v>
      </c>
      <c r="B4735" s="23" t="s">
        <v>75</v>
      </c>
      <c r="C4735" s="39">
        <v>3499</v>
      </c>
      <c r="D4735" s="24">
        <v>10.5</v>
      </c>
      <c r="E4735" s="24">
        <v>1.89</v>
      </c>
      <c r="F4735" s="23">
        <f>COUNTIFS(mdr_rate_cleaned!$A$2:$A$10,B4735,mdr_rate_cleaned!$B$2:$B$10,"&lt;"&amp;C4735,mdr_rate_cleaned!$F$2:$F$10,"&gt;="&amp;C4735)</f>
        <v>1</v>
      </c>
      <c r="G4735" s="40">
        <f>SUMIFS(mdr_rate_cleaned!$G$2:$G$10,mdr_rate_cleaned!$A$2:$A$10,B4735,mdr_rate_cleaned!$B$2:$B$10,"&lt;"&amp;C4735,mdr_rate_cleaned!$F$2:$F$10,"&gt;="&amp;C4735)</f>
        <v>3.0000000000000001E-3</v>
      </c>
      <c r="H4735" s="24">
        <f t="shared" si="365"/>
        <v>10.5</v>
      </c>
      <c r="I4735" s="23" t="str">
        <f t="shared" si="366"/>
        <v>Match</v>
      </c>
      <c r="J4735" s="23" t="str">
        <f t="shared" si="367"/>
        <v>Match</v>
      </c>
      <c r="K4735" s="24">
        <f t="shared" si="368"/>
        <v>1.89</v>
      </c>
      <c r="L4735" s="24">
        <f t="shared" si="369"/>
        <v>0</v>
      </c>
    </row>
    <row r="4736" spans="1:12" ht="15" customHeight="1" x14ac:dyDescent="0.3">
      <c r="A4736" s="23" t="s">
        <v>18058</v>
      </c>
      <c r="B4736" s="23" t="s">
        <v>77</v>
      </c>
      <c r="C4736" s="39">
        <v>7999</v>
      </c>
      <c r="D4736" s="24">
        <v>135.97999999999999</v>
      </c>
      <c r="E4736" s="24">
        <v>24.48</v>
      </c>
      <c r="F4736" s="23">
        <f>COUNTIFS(mdr_rate_cleaned!$A$2:$A$10,B4736,mdr_rate_cleaned!$B$2:$B$10,"&lt;"&amp;C4736,mdr_rate_cleaned!$F$2:$F$10,"&gt;="&amp;C4736)</f>
        <v>1</v>
      </c>
      <c r="G4736" s="40">
        <f>SUMIFS(mdr_rate_cleaned!$G$2:$G$10,mdr_rate_cleaned!$A$2:$A$10,B4736,mdr_rate_cleaned!$B$2:$B$10,"&lt;"&amp;C4736,mdr_rate_cleaned!$F$2:$F$10,"&gt;="&amp;C4736)</f>
        <v>1.7000000000000001E-2</v>
      </c>
      <c r="H4736" s="24">
        <f t="shared" si="365"/>
        <v>135.97999999999999</v>
      </c>
      <c r="I4736" s="23" t="str">
        <f t="shared" si="366"/>
        <v>Match</v>
      </c>
      <c r="J4736" s="23" t="str">
        <f t="shared" si="367"/>
        <v>Match</v>
      </c>
      <c r="K4736" s="24">
        <f t="shared" si="368"/>
        <v>24.48</v>
      </c>
      <c r="L4736" s="24">
        <f t="shared" si="369"/>
        <v>0</v>
      </c>
    </row>
    <row r="4737" spans="1:12" ht="15" customHeight="1" x14ac:dyDescent="0.3">
      <c r="A4737" s="23" t="s">
        <v>18074</v>
      </c>
      <c r="B4737" s="23" t="s">
        <v>75</v>
      </c>
      <c r="C4737" s="39">
        <v>6298</v>
      </c>
      <c r="D4737" s="24">
        <v>18.89</v>
      </c>
      <c r="E4737" s="24">
        <v>3.4</v>
      </c>
      <c r="F4737" s="23">
        <f>COUNTIFS(mdr_rate_cleaned!$A$2:$A$10,B4737,mdr_rate_cleaned!$B$2:$B$10,"&lt;"&amp;C4737,mdr_rate_cleaned!$F$2:$F$10,"&gt;="&amp;C4737)</f>
        <v>1</v>
      </c>
      <c r="G4737" s="40">
        <f>SUMIFS(mdr_rate_cleaned!$G$2:$G$10,mdr_rate_cleaned!$A$2:$A$10,B4737,mdr_rate_cleaned!$B$2:$B$10,"&lt;"&amp;C4737,mdr_rate_cleaned!$F$2:$F$10,"&gt;="&amp;C4737)</f>
        <v>3.0000000000000001E-3</v>
      </c>
      <c r="H4737" s="24">
        <f t="shared" si="365"/>
        <v>18.89</v>
      </c>
      <c r="I4737" s="23" t="str">
        <f t="shared" si="366"/>
        <v>Match</v>
      </c>
      <c r="J4737" s="23" t="str">
        <f t="shared" si="367"/>
        <v>Match</v>
      </c>
      <c r="K4737" s="24">
        <f t="shared" si="368"/>
        <v>3.4</v>
      </c>
      <c r="L4737" s="24">
        <f t="shared" si="369"/>
        <v>0</v>
      </c>
    </row>
    <row r="4738" spans="1:12" ht="15" customHeight="1" x14ac:dyDescent="0.3">
      <c r="A4738" s="23" t="s">
        <v>18075</v>
      </c>
      <c r="B4738" s="23" t="s">
        <v>75</v>
      </c>
      <c r="C4738" s="39">
        <v>648</v>
      </c>
      <c r="D4738" s="24">
        <v>0</v>
      </c>
      <c r="E4738" s="24">
        <v>0</v>
      </c>
      <c r="F4738" s="23">
        <f>COUNTIFS(mdr_rate_cleaned!$A$2:$A$10,B4738,mdr_rate_cleaned!$B$2:$B$10,"&lt;"&amp;C4738,mdr_rate_cleaned!$F$2:$F$10,"&gt;="&amp;C4738)</f>
        <v>1</v>
      </c>
      <c r="G4738" s="40">
        <f>SUMIFS(mdr_rate_cleaned!$G$2:$G$10,mdr_rate_cleaned!$A$2:$A$10,B4738,mdr_rate_cleaned!$B$2:$B$10,"&lt;"&amp;C4738,mdr_rate_cleaned!$F$2:$F$10,"&gt;="&amp;C4738)</f>
        <v>0</v>
      </c>
      <c r="H4738" s="24">
        <f t="shared" ref="H4738:H4801" si="370">ROUND(C4738*G4738,2)</f>
        <v>0</v>
      </c>
      <c r="I4738" s="23" t="str">
        <f t="shared" ref="I4738:I4801" si="371">IF(ROUND(D4738-H4738,2)=0,"Match","Differs")</f>
        <v>Match</v>
      </c>
      <c r="J4738" s="23" t="str">
        <f t="shared" ref="J4738:J4801" si="372">IF(ROUND(E4738-ROUND(D4738*0.18,2),2)=0,"Match","Differs")</f>
        <v>Match</v>
      </c>
      <c r="K4738" s="24">
        <f t="shared" ref="K4738:K4801" si="373">ROUND(H4738*0.18,2)</f>
        <v>0</v>
      </c>
      <c r="L4738" s="24">
        <f t="shared" ref="L4738:L4801" si="374">ROUND(D4738+E4738-H4738-K4738,2)</f>
        <v>0</v>
      </c>
    </row>
    <row r="4739" spans="1:12" ht="15" customHeight="1" x14ac:dyDescent="0.3">
      <c r="A4739" s="23" t="s">
        <v>18076</v>
      </c>
      <c r="B4739" s="23" t="s">
        <v>77</v>
      </c>
      <c r="C4739" s="39">
        <v>4298</v>
      </c>
      <c r="D4739" s="24">
        <v>73.069999999999993</v>
      </c>
      <c r="E4739" s="24">
        <v>13.15</v>
      </c>
      <c r="F4739" s="23">
        <f>COUNTIFS(mdr_rate_cleaned!$A$2:$A$10,B4739,mdr_rate_cleaned!$B$2:$B$10,"&lt;"&amp;C4739,mdr_rate_cleaned!$F$2:$F$10,"&gt;="&amp;C4739)</f>
        <v>1</v>
      </c>
      <c r="G4739" s="40">
        <f>SUMIFS(mdr_rate_cleaned!$G$2:$G$10,mdr_rate_cleaned!$A$2:$A$10,B4739,mdr_rate_cleaned!$B$2:$B$10,"&lt;"&amp;C4739,mdr_rate_cleaned!$F$2:$F$10,"&gt;="&amp;C4739)</f>
        <v>1.7000000000000001E-2</v>
      </c>
      <c r="H4739" s="24">
        <f t="shared" si="370"/>
        <v>73.069999999999993</v>
      </c>
      <c r="I4739" s="23" t="str">
        <f t="shared" si="371"/>
        <v>Match</v>
      </c>
      <c r="J4739" s="23" t="str">
        <f t="shared" si="372"/>
        <v>Match</v>
      </c>
      <c r="K4739" s="24">
        <f t="shared" si="373"/>
        <v>13.15</v>
      </c>
      <c r="L4739" s="24">
        <f t="shared" si="374"/>
        <v>0</v>
      </c>
    </row>
    <row r="4740" spans="1:12" ht="15" customHeight="1" x14ac:dyDescent="0.3">
      <c r="A4740" s="23" t="s">
        <v>18077</v>
      </c>
      <c r="B4740" s="23" t="s">
        <v>75</v>
      </c>
      <c r="C4740" s="39">
        <v>1998</v>
      </c>
      <c r="D4740" s="24">
        <v>0</v>
      </c>
      <c r="E4740" s="24">
        <v>0</v>
      </c>
      <c r="F4740" s="23">
        <f>COUNTIFS(mdr_rate_cleaned!$A$2:$A$10,B4740,mdr_rate_cleaned!$B$2:$B$10,"&lt;"&amp;C4740,mdr_rate_cleaned!$F$2:$F$10,"&gt;="&amp;C4740)</f>
        <v>1</v>
      </c>
      <c r="G4740" s="40">
        <f>SUMIFS(mdr_rate_cleaned!$G$2:$G$10,mdr_rate_cleaned!$A$2:$A$10,B4740,mdr_rate_cleaned!$B$2:$B$10,"&lt;"&amp;C4740,mdr_rate_cleaned!$F$2:$F$10,"&gt;="&amp;C4740)</f>
        <v>0</v>
      </c>
      <c r="H4740" s="24">
        <f t="shared" si="370"/>
        <v>0</v>
      </c>
      <c r="I4740" s="23" t="str">
        <f t="shared" si="371"/>
        <v>Match</v>
      </c>
      <c r="J4740" s="23" t="str">
        <f t="shared" si="372"/>
        <v>Match</v>
      </c>
      <c r="K4740" s="24">
        <f t="shared" si="373"/>
        <v>0</v>
      </c>
      <c r="L4740" s="24">
        <f t="shared" si="374"/>
        <v>0</v>
      </c>
    </row>
    <row r="4741" spans="1:12" ht="15" customHeight="1" x14ac:dyDescent="0.3">
      <c r="A4741" s="23" t="s">
        <v>18078</v>
      </c>
      <c r="B4741" s="23" t="s">
        <v>79</v>
      </c>
      <c r="C4741" s="39">
        <v>10797</v>
      </c>
      <c r="D4741" s="24">
        <v>172.75</v>
      </c>
      <c r="E4741" s="24">
        <v>31.1</v>
      </c>
      <c r="F4741" s="23">
        <f>COUNTIFS(mdr_rate_cleaned!$A$2:$A$10,B4741,mdr_rate_cleaned!$B$2:$B$10,"&lt;"&amp;C4741,mdr_rate_cleaned!$F$2:$F$10,"&gt;="&amp;C4741)</f>
        <v>1</v>
      </c>
      <c r="G4741" s="40">
        <f>SUMIFS(mdr_rate_cleaned!$G$2:$G$10,mdr_rate_cleaned!$A$2:$A$10,B4741,mdr_rate_cleaned!$B$2:$B$10,"&lt;"&amp;C4741,mdr_rate_cleaned!$F$2:$F$10,"&gt;="&amp;C4741)</f>
        <v>1.6E-2</v>
      </c>
      <c r="H4741" s="24">
        <f t="shared" si="370"/>
        <v>172.75</v>
      </c>
      <c r="I4741" s="23" t="str">
        <f t="shared" si="371"/>
        <v>Match</v>
      </c>
      <c r="J4741" s="23" t="str">
        <f t="shared" si="372"/>
        <v>Match</v>
      </c>
      <c r="K4741" s="24">
        <f t="shared" si="373"/>
        <v>31.1</v>
      </c>
      <c r="L4741" s="24">
        <f t="shared" si="374"/>
        <v>0</v>
      </c>
    </row>
    <row r="4742" spans="1:12" ht="15" customHeight="1" x14ac:dyDescent="0.3">
      <c r="A4742" s="23" t="s">
        <v>18079</v>
      </c>
      <c r="B4742" s="23" t="s">
        <v>77</v>
      </c>
      <c r="C4742" s="39">
        <v>2998</v>
      </c>
      <c r="D4742" s="24">
        <v>50.97</v>
      </c>
      <c r="E4742" s="24">
        <v>9.17</v>
      </c>
      <c r="F4742" s="23">
        <f>COUNTIFS(mdr_rate_cleaned!$A$2:$A$10,B4742,mdr_rate_cleaned!$B$2:$B$10,"&lt;"&amp;C4742,mdr_rate_cleaned!$F$2:$F$10,"&gt;="&amp;C4742)</f>
        <v>1</v>
      </c>
      <c r="G4742" s="40">
        <f>SUMIFS(mdr_rate_cleaned!$G$2:$G$10,mdr_rate_cleaned!$A$2:$A$10,B4742,mdr_rate_cleaned!$B$2:$B$10,"&lt;"&amp;C4742,mdr_rate_cleaned!$F$2:$F$10,"&gt;="&amp;C4742)</f>
        <v>1.7000000000000001E-2</v>
      </c>
      <c r="H4742" s="24">
        <f t="shared" si="370"/>
        <v>50.97</v>
      </c>
      <c r="I4742" s="23" t="str">
        <f t="shared" si="371"/>
        <v>Match</v>
      </c>
      <c r="J4742" s="23" t="str">
        <f t="shared" si="372"/>
        <v>Match</v>
      </c>
      <c r="K4742" s="24">
        <f t="shared" si="373"/>
        <v>9.17</v>
      </c>
      <c r="L4742" s="24">
        <f t="shared" si="374"/>
        <v>0</v>
      </c>
    </row>
    <row r="4743" spans="1:12" ht="15" customHeight="1" x14ac:dyDescent="0.3">
      <c r="A4743" s="23" t="s">
        <v>18080</v>
      </c>
      <c r="B4743" s="23" t="s">
        <v>75</v>
      </c>
      <c r="C4743" s="39">
        <v>2999</v>
      </c>
      <c r="D4743" s="24">
        <v>9</v>
      </c>
      <c r="E4743" s="24">
        <v>1.62</v>
      </c>
      <c r="F4743" s="23">
        <f>COUNTIFS(mdr_rate_cleaned!$A$2:$A$10,B4743,mdr_rate_cleaned!$B$2:$B$10,"&lt;"&amp;C4743,mdr_rate_cleaned!$F$2:$F$10,"&gt;="&amp;C4743)</f>
        <v>1</v>
      </c>
      <c r="G4743" s="40">
        <f>SUMIFS(mdr_rate_cleaned!$G$2:$G$10,mdr_rate_cleaned!$A$2:$A$10,B4743,mdr_rate_cleaned!$B$2:$B$10,"&lt;"&amp;C4743,mdr_rate_cleaned!$F$2:$F$10,"&gt;="&amp;C4743)</f>
        <v>3.0000000000000001E-3</v>
      </c>
      <c r="H4743" s="24">
        <f t="shared" si="370"/>
        <v>9</v>
      </c>
      <c r="I4743" s="23" t="str">
        <f t="shared" si="371"/>
        <v>Match</v>
      </c>
      <c r="J4743" s="23" t="str">
        <f t="shared" si="372"/>
        <v>Match</v>
      </c>
      <c r="K4743" s="24">
        <f t="shared" si="373"/>
        <v>1.62</v>
      </c>
      <c r="L4743" s="24">
        <f t="shared" si="374"/>
        <v>0</v>
      </c>
    </row>
    <row r="4744" spans="1:12" ht="15" customHeight="1" x14ac:dyDescent="0.3">
      <c r="A4744" s="23" t="s">
        <v>18081</v>
      </c>
      <c r="B4744" s="23" t="s">
        <v>75</v>
      </c>
      <c r="C4744" s="39">
        <v>2098</v>
      </c>
      <c r="D4744" s="24">
        <v>6.29</v>
      </c>
      <c r="E4744" s="24">
        <v>1.1299999999999999</v>
      </c>
      <c r="F4744" s="23">
        <f>COUNTIFS(mdr_rate_cleaned!$A$2:$A$10,B4744,mdr_rate_cleaned!$B$2:$B$10,"&lt;"&amp;C4744,mdr_rate_cleaned!$F$2:$F$10,"&gt;="&amp;C4744)</f>
        <v>1</v>
      </c>
      <c r="G4744" s="40">
        <f>SUMIFS(mdr_rate_cleaned!$G$2:$G$10,mdr_rate_cleaned!$A$2:$A$10,B4744,mdr_rate_cleaned!$B$2:$B$10,"&lt;"&amp;C4744,mdr_rate_cleaned!$F$2:$F$10,"&gt;="&amp;C4744)</f>
        <v>3.0000000000000001E-3</v>
      </c>
      <c r="H4744" s="24">
        <f t="shared" si="370"/>
        <v>6.29</v>
      </c>
      <c r="I4744" s="23" t="str">
        <f t="shared" si="371"/>
        <v>Match</v>
      </c>
      <c r="J4744" s="23" t="str">
        <f t="shared" si="372"/>
        <v>Match</v>
      </c>
      <c r="K4744" s="24">
        <f t="shared" si="373"/>
        <v>1.1299999999999999</v>
      </c>
      <c r="L4744" s="24">
        <f t="shared" si="374"/>
        <v>0</v>
      </c>
    </row>
    <row r="4745" spans="1:12" ht="15" customHeight="1" x14ac:dyDescent="0.3">
      <c r="A4745" s="23" t="s">
        <v>18082</v>
      </c>
      <c r="B4745" s="23" t="s">
        <v>79</v>
      </c>
      <c r="C4745" s="39">
        <v>2397</v>
      </c>
      <c r="D4745" s="24">
        <v>38.35</v>
      </c>
      <c r="E4745" s="24">
        <v>6.9</v>
      </c>
      <c r="F4745" s="23">
        <f>COUNTIFS(mdr_rate_cleaned!$A$2:$A$10,B4745,mdr_rate_cleaned!$B$2:$B$10,"&lt;"&amp;C4745,mdr_rate_cleaned!$F$2:$F$10,"&gt;="&amp;C4745)</f>
        <v>1</v>
      </c>
      <c r="G4745" s="40">
        <f>SUMIFS(mdr_rate_cleaned!$G$2:$G$10,mdr_rate_cleaned!$A$2:$A$10,B4745,mdr_rate_cleaned!$B$2:$B$10,"&lt;"&amp;C4745,mdr_rate_cleaned!$F$2:$F$10,"&gt;="&amp;C4745)</f>
        <v>1.6E-2</v>
      </c>
      <c r="H4745" s="24">
        <f t="shared" si="370"/>
        <v>38.35</v>
      </c>
      <c r="I4745" s="23" t="str">
        <f t="shared" si="371"/>
        <v>Match</v>
      </c>
      <c r="J4745" s="23" t="str">
        <f t="shared" si="372"/>
        <v>Match</v>
      </c>
      <c r="K4745" s="24">
        <f t="shared" si="373"/>
        <v>6.9</v>
      </c>
      <c r="L4745" s="24">
        <f t="shared" si="374"/>
        <v>0</v>
      </c>
    </row>
    <row r="4746" spans="1:12" ht="15" customHeight="1" x14ac:dyDescent="0.3">
      <c r="A4746" s="23" t="s">
        <v>18084</v>
      </c>
      <c r="B4746" s="23" t="s">
        <v>75</v>
      </c>
      <c r="C4746" s="39">
        <v>6797</v>
      </c>
      <c r="D4746" s="24">
        <v>20.39</v>
      </c>
      <c r="E4746" s="24">
        <v>3.67</v>
      </c>
      <c r="F4746" s="23">
        <f>COUNTIFS(mdr_rate_cleaned!$A$2:$A$10,B4746,mdr_rate_cleaned!$B$2:$B$10,"&lt;"&amp;C4746,mdr_rate_cleaned!$F$2:$F$10,"&gt;="&amp;C4746)</f>
        <v>1</v>
      </c>
      <c r="G4746" s="40">
        <f>SUMIFS(mdr_rate_cleaned!$G$2:$G$10,mdr_rate_cleaned!$A$2:$A$10,B4746,mdr_rate_cleaned!$B$2:$B$10,"&lt;"&amp;C4746,mdr_rate_cleaned!$F$2:$F$10,"&gt;="&amp;C4746)</f>
        <v>3.0000000000000001E-3</v>
      </c>
      <c r="H4746" s="24">
        <f t="shared" si="370"/>
        <v>20.39</v>
      </c>
      <c r="I4746" s="23" t="str">
        <f t="shared" si="371"/>
        <v>Match</v>
      </c>
      <c r="J4746" s="23" t="str">
        <f t="shared" si="372"/>
        <v>Match</v>
      </c>
      <c r="K4746" s="24">
        <f t="shared" si="373"/>
        <v>3.67</v>
      </c>
      <c r="L4746" s="24">
        <f t="shared" si="374"/>
        <v>0</v>
      </c>
    </row>
    <row r="4747" spans="1:12" ht="15" customHeight="1" x14ac:dyDescent="0.3">
      <c r="A4747" s="23" t="s">
        <v>18086</v>
      </c>
      <c r="B4747" s="23" t="s">
        <v>77</v>
      </c>
      <c r="C4747" s="39">
        <v>948</v>
      </c>
      <c r="D4747" s="24">
        <v>18.010000000000002</v>
      </c>
      <c r="E4747" s="24">
        <v>3.24</v>
      </c>
      <c r="F4747" s="23">
        <f>COUNTIFS(mdr_rate_cleaned!$A$2:$A$10,B4747,mdr_rate_cleaned!$B$2:$B$10,"&lt;"&amp;C4747,mdr_rate_cleaned!$F$2:$F$10,"&gt;="&amp;C4747)</f>
        <v>1</v>
      </c>
      <c r="G4747" s="40">
        <f>SUMIFS(mdr_rate_cleaned!$G$2:$G$10,mdr_rate_cleaned!$A$2:$A$10,B4747,mdr_rate_cleaned!$B$2:$B$10,"&lt;"&amp;C4747,mdr_rate_cleaned!$F$2:$F$10,"&gt;="&amp;C4747)</f>
        <v>1.9E-2</v>
      </c>
      <c r="H4747" s="24">
        <f t="shared" si="370"/>
        <v>18.010000000000002</v>
      </c>
      <c r="I4747" s="23" t="str">
        <f t="shared" si="371"/>
        <v>Match</v>
      </c>
      <c r="J4747" s="23" t="str">
        <f t="shared" si="372"/>
        <v>Match</v>
      </c>
      <c r="K4747" s="24">
        <f t="shared" si="373"/>
        <v>3.24</v>
      </c>
      <c r="L4747" s="24">
        <f t="shared" si="374"/>
        <v>0</v>
      </c>
    </row>
    <row r="4748" spans="1:12" ht="15" customHeight="1" x14ac:dyDescent="0.3">
      <c r="A4748" s="23" t="s">
        <v>18087</v>
      </c>
      <c r="B4748" s="23" t="s">
        <v>75</v>
      </c>
      <c r="C4748" s="39">
        <v>4298</v>
      </c>
      <c r="D4748" s="24">
        <v>12.89</v>
      </c>
      <c r="E4748" s="24">
        <v>2.3199999999999998</v>
      </c>
      <c r="F4748" s="23">
        <f>COUNTIFS(mdr_rate_cleaned!$A$2:$A$10,B4748,mdr_rate_cleaned!$B$2:$B$10,"&lt;"&amp;C4748,mdr_rate_cleaned!$F$2:$F$10,"&gt;="&amp;C4748)</f>
        <v>1</v>
      </c>
      <c r="G4748" s="40">
        <f>SUMIFS(mdr_rate_cleaned!$G$2:$G$10,mdr_rate_cleaned!$A$2:$A$10,B4748,mdr_rate_cleaned!$B$2:$B$10,"&lt;"&amp;C4748,mdr_rate_cleaned!$F$2:$F$10,"&gt;="&amp;C4748)</f>
        <v>3.0000000000000001E-3</v>
      </c>
      <c r="H4748" s="24">
        <f t="shared" si="370"/>
        <v>12.89</v>
      </c>
      <c r="I4748" s="23" t="str">
        <f t="shared" si="371"/>
        <v>Match</v>
      </c>
      <c r="J4748" s="23" t="str">
        <f t="shared" si="372"/>
        <v>Match</v>
      </c>
      <c r="K4748" s="24">
        <f t="shared" si="373"/>
        <v>2.3199999999999998</v>
      </c>
      <c r="L4748" s="24">
        <f t="shared" si="374"/>
        <v>0</v>
      </c>
    </row>
    <row r="4749" spans="1:12" ht="15" customHeight="1" x14ac:dyDescent="0.3">
      <c r="A4749" s="23" t="s">
        <v>18088</v>
      </c>
      <c r="B4749" s="23" t="s">
        <v>77</v>
      </c>
      <c r="C4749" s="39">
        <v>13497</v>
      </c>
      <c r="D4749" s="24">
        <v>229.45</v>
      </c>
      <c r="E4749" s="24">
        <v>41.3</v>
      </c>
      <c r="F4749" s="23">
        <f>COUNTIFS(mdr_rate_cleaned!$A$2:$A$10,B4749,mdr_rate_cleaned!$B$2:$B$10,"&lt;"&amp;C4749,mdr_rate_cleaned!$F$2:$F$10,"&gt;="&amp;C4749)</f>
        <v>1</v>
      </c>
      <c r="G4749" s="40">
        <f>SUMIFS(mdr_rate_cleaned!$G$2:$G$10,mdr_rate_cleaned!$A$2:$A$10,B4749,mdr_rate_cleaned!$B$2:$B$10,"&lt;"&amp;C4749,mdr_rate_cleaned!$F$2:$F$10,"&gt;="&amp;C4749)</f>
        <v>1.7000000000000001E-2</v>
      </c>
      <c r="H4749" s="24">
        <f t="shared" si="370"/>
        <v>229.45</v>
      </c>
      <c r="I4749" s="23" t="str">
        <f t="shared" si="371"/>
        <v>Match</v>
      </c>
      <c r="J4749" s="23" t="str">
        <f t="shared" si="372"/>
        <v>Match</v>
      </c>
      <c r="K4749" s="24">
        <f t="shared" si="373"/>
        <v>41.3</v>
      </c>
      <c r="L4749" s="24">
        <f t="shared" si="374"/>
        <v>0</v>
      </c>
    </row>
    <row r="4750" spans="1:12" ht="15" customHeight="1" x14ac:dyDescent="0.3">
      <c r="A4750" s="23" t="s">
        <v>18089</v>
      </c>
      <c r="B4750" s="23" t="s">
        <v>77</v>
      </c>
      <c r="C4750" s="39">
        <v>349</v>
      </c>
      <c r="D4750" s="24">
        <v>6.63</v>
      </c>
      <c r="E4750" s="24">
        <v>1.19</v>
      </c>
      <c r="F4750" s="23">
        <f>COUNTIFS(mdr_rate_cleaned!$A$2:$A$10,B4750,mdr_rate_cleaned!$B$2:$B$10,"&lt;"&amp;C4750,mdr_rate_cleaned!$F$2:$F$10,"&gt;="&amp;C4750)</f>
        <v>1</v>
      </c>
      <c r="G4750" s="40">
        <f>SUMIFS(mdr_rate_cleaned!$G$2:$G$10,mdr_rate_cleaned!$A$2:$A$10,B4750,mdr_rate_cleaned!$B$2:$B$10,"&lt;"&amp;C4750,mdr_rate_cleaned!$F$2:$F$10,"&gt;="&amp;C4750)</f>
        <v>1.9E-2</v>
      </c>
      <c r="H4750" s="24">
        <f t="shared" si="370"/>
        <v>6.63</v>
      </c>
      <c r="I4750" s="23" t="str">
        <f t="shared" si="371"/>
        <v>Match</v>
      </c>
      <c r="J4750" s="23" t="str">
        <f t="shared" si="372"/>
        <v>Match</v>
      </c>
      <c r="K4750" s="24">
        <f t="shared" si="373"/>
        <v>1.19</v>
      </c>
      <c r="L4750" s="24">
        <f t="shared" si="374"/>
        <v>0</v>
      </c>
    </row>
    <row r="4751" spans="1:12" ht="15" customHeight="1" x14ac:dyDescent="0.3">
      <c r="A4751" s="23" t="s">
        <v>18090</v>
      </c>
      <c r="B4751" s="23" t="s">
        <v>75</v>
      </c>
      <c r="C4751" s="39">
        <v>1298</v>
      </c>
      <c r="D4751" s="24">
        <v>0</v>
      </c>
      <c r="E4751" s="24">
        <v>0</v>
      </c>
      <c r="F4751" s="23">
        <f>COUNTIFS(mdr_rate_cleaned!$A$2:$A$10,B4751,mdr_rate_cleaned!$B$2:$B$10,"&lt;"&amp;C4751,mdr_rate_cleaned!$F$2:$F$10,"&gt;="&amp;C4751)</f>
        <v>1</v>
      </c>
      <c r="G4751" s="40">
        <f>SUMIFS(mdr_rate_cleaned!$G$2:$G$10,mdr_rate_cleaned!$A$2:$A$10,B4751,mdr_rate_cleaned!$B$2:$B$10,"&lt;"&amp;C4751,mdr_rate_cleaned!$F$2:$F$10,"&gt;="&amp;C4751)</f>
        <v>0</v>
      </c>
      <c r="H4751" s="24">
        <f t="shared" si="370"/>
        <v>0</v>
      </c>
      <c r="I4751" s="23" t="str">
        <f t="shared" si="371"/>
        <v>Match</v>
      </c>
      <c r="J4751" s="23" t="str">
        <f t="shared" si="372"/>
        <v>Match</v>
      </c>
      <c r="K4751" s="24">
        <f t="shared" si="373"/>
        <v>0</v>
      </c>
      <c r="L4751" s="24">
        <f t="shared" si="374"/>
        <v>0</v>
      </c>
    </row>
    <row r="4752" spans="1:12" ht="15" customHeight="1" x14ac:dyDescent="0.3">
      <c r="A4752" s="23" t="s">
        <v>18091</v>
      </c>
      <c r="B4752" s="23" t="s">
        <v>75</v>
      </c>
      <c r="C4752" s="39">
        <v>999</v>
      </c>
      <c r="D4752" s="24">
        <v>0</v>
      </c>
      <c r="E4752" s="24">
        <v>0</v>
      </c>
      <c r="F4752" s="23">
        <f>COUNTIFS(mdr_rate_cleaned!$A$2:$A$10,B4752,mdr_rate_cleaned!$B$2:$B$10,"&lt;"&amp;C4752,mdr_rate_cleaned!$F$2:$F$10,"&gt;="&amp;C4752)</f>
        <v>1</v>
      </c>
      <c r="G4752" s="40">
        <f>SUMIFS(mdr_rate_cleaned!$G$2:$G$10,mdr_rate_cleaned!$A$2:$A$10,B4752,mdr_rate_cleaned!$B$2:$B$10,"&lt;"&amp;C4752,mdr_rate_cleaned!$F$2:$F$10,"&gt;="&amp;C4752)</f>
        <v>0</v>
      </c>
      <c r="H4752" s="24">
        <f t="shared" si="370"/>
        <v>0</v>
      </c>
      <c r="I4752" s="23" t="str">
        <f t="shared" si="371"/>
        <v>Match</v>
      </c>
      <c r="J4752" s="23" t="str">
        <f t="shared" si="372"/>
        <v>Match</v>
      </c>
      <c r="K4752" s="24">
        <f t="shared" si="373"/>
        <v>0</v>
      </c>
      <c r="L4752" s="24">
        <f t="shared" si="374"/>
        <v>0</v>
      </c>
    </row>
    <row r="4753" spans="1:12" ht="15" customHeight="1" x14ac:dyDescent="0.3">
      <c r="A4753" s="23" t="s">
        <v>18092</v>
      </c>
      <c r="B4753" s="23" t="s">
        <v>75</v>
      </c>
      <c r="C4753" s="39">
        <v>6298</v>
      </c>
      <c r="D4753" s="24">
        <v>18.89</v>
      </c>
      <c r="E4753" s="24">
        <v>3.4</v>
      </c>
      <c r="F4753" s="23">
        <f>COUNTIFS(mdr_rate_cleaned!$A$2:$A$10,B4753,mdr_rate_cleaned!$B$2:$B$10,"&lt;"&amp;C4753,mdr_rate_cleaned!$F$2:$F$10,"&gt;="&amp;C4753)</f>
        <v>1</v>
      </c>
      <c r="G4753" s="40">
        <f>SUMIFS(mdr_rate_cleaned!$G$2:$G$10,mdr_rate_cleaned!$A$2:$A$10,B4753,mdr_rate_cleaned!$B$2:$B$10,"&lt;"&amp;C4753,mdr_rate_cleaned!$F$2:$F$10,"&gt;="&amp;C4753)</f>
        <v>3.0000000000000001E-3</v>
      </c>
      <c r="H4753" s="24">
        <f t="shared" si="370"/>
        <v>18.89</v>
      </c>
      <c r="I4753" s="23" t="str">
        <f t="shared" si="371"/>
        <v>Match</v>
      </c>
      <c r="J4753" s="23" t="str">
        <f t="shared" si="372"/>
        <v>Match</v>
      </c>
      <c r="K4753" s="24">
        <f t="shared" si="373"/>
        <v>3.4</v>
      </c>
      <c r="L4753" s="24">
        <f t="shared" si="374"/>
        <v>0</v>
      </c>
    </row>
    <row r="4754" spans="1:12" ht="15" customHeight="1" x14ac:dyDescent="0.3">
      <c r="A4754" s="23" t="s">
        <v>18093</v>
      </c>
      <c r="B4754" s="23" t="s">
        <v>75</v>
      </c>
      <c r="C4754" s="39">
        <v>1499</v>
      </c>
      <c r="D4754" s="24">
        <v>0</v>
      </c>
      <c r="E4754" s="24">
        <v>0</v>
      </c>
      <c r="F4754" s="23">
        <f>COUNTIFS(mdr_rate_cleaned!$A$2:$A$10,B4754,mdr_rate_cleaned!$B$2:$B$10,"&lt;"&amp;C4754,mdr_rate_cleaned!$F$2:$F$10,"&gt;="&amp;C4754)</f>
        <v>1</v>
      </c>
      <c r="G4754" s="40">
        <f>SUMIFS(mdr_rate_cleaned!$G$2:$G$10,mdr_rate_cleaned!$A$2:$A$10,B4754,mdr_rate_cleaned!$B$2:$B$10,"&lt;"&amp;C4754,mdr_rate_cleaned!$F$2:$F$10,"&gt;="&amp;C4754)</f>
        <v>0</v>
      </c>
      <c r="H4754" s="24">
        <f t="shared" si="370"/>
        <v>0</v>
      </c>
      <c r="I4754" s="23" t="str">
        <f t="shared" si="371"/>
        <v>Match</v>
      </c>
      <c r="J4754" s="23" t="str">
        <f t="shared" si="372"/>
        <v>Match</v>
      </c>
      <c r="K4754" s="24">
        <f t="shared" si="373"/>
        <v>0</v>
      </c>
      <c r="L4754" s="24">
        <f t="shared" si="374"/>
        <v>0</v>
      </c>
    </row>
    <row r="4755" spans="1:12" ht="15" customHeight="1" x14ac:dyDescent="0.3">
      <c r="A4755" s="23" t="s">
        <v>18094</v>
      </c>
      <c r="B4755" s="23" t="s">
        <v>75</v>
      </c>
      <c r="C4755" s="39">
        <v>1598</v>
      </c>
      <c r="D4755" s="24">
        <v>0</v>
      </c>
      <c r="E4755" s="24">
        <v>0</v>
      </c>
      <c r="F4755" s="23">
        <f>COUNTIFS(mdr_rate_cleaned!$A$2:$A$10,B4755,mdr_rate_cleaned!$B$2:$B$10,"&lt;"&amp;C4755,mdr_rate_cleaned!$F$2:$F$10,"&gt;="&amp;C4755)</f>
        <v>1</v>
      </c>
      <c r="G4755" s="40">
        <f>SUMIFS(mdr_rate_cleaned!$G$2:$G$10,mdr_rate_cleaned!$A$2:$A$10,B4755,mdr_rate_cleaned!$B$2:$B$10,"&lt;"&amp;C4755,mdr_rate_cleaned!$F$2:$F$10,"&gt;="&amp;C4755)</f>
        <v>0</v>
      </c>
      <c r="H4755" s="24">
        <f t="shared" si="370"/>
        <v>0</v>
      </c>
      <c r="I4755" s="23" t="str">
        <f t="shared" si="371"/>
        <v>Match</v>
      </c>
      <c r="J4755" s="23" t="str">
        <f t="shared" si="372"/>
        <v>Match</v>
      </c>
      <c r="K4755" s="24">
        <f t="shared" si="373"/>
        <v>0</v>
      </c>
      <c r="L4755" s="24">
        <f t="shared" si="374"/>
        <v>0</v>
      </c>
    </row>
    <row r="4756" spans="1:12" ht="15" customHeight="1" x14ac:dyDescent="0.3">
      <c r="A4756" s="23" t="s">
        <v>18095</v>
      </c>
      <c r="B4756" s="23" t="s">
        <v>75</v>
      </c>
      <c r="C4756" s="39">
        <v>4297</v>
      </c>
      <c r="D4756" s="24">
        <v>12.89</v>
      </c>
      <c r="E4756" s="24">
        <v>2.3199999999999998</v>
      </c>
      <c r="F4756" s="23">
        <f>COUNTIFS(mdr_rate_cleaned!$A$2:$A$10,B4756,mdr_rate_cleaned!$B$2:$B$10,"&lt;"&amp;C4756,mdr_rate_cleaned!$F$2:$F$10,"&gt;="&amp;C4756)</f>
        <v>1</v>
      </c>
      <c r="G4756" s="40">
        <f>SUMIFS(mdr_rate_cleaned!$G$2:$G$10,mdr_rate_cleaned!$A$2:$A$10,B4756,mdr_rate_cleaned!$B$2:$B$10,"&lt;"&amp;C4756,mdr_rate_cleaned!$F$2:$F$10,"&gt;="&amp;C4756)</f>
        <v>3.0000000000000001E-3</v>
      </c>
      <c r="H4756" s="24">
        <f t="shared" si="370"/>
        <v>12.89</v>
      </c>
      <c r="I4756" s="23" t="str">
        <f t="shared" si="371"/>
        <v>Match</v>
      </c>
      <c r="J4756" s="23" t="str">
        <f t="shared" si="372"/>
        <v>Match</v>
      </c>
      <c r="K4756" s="24">
        <f t="shared" si="373"/>
        <v>2.3199999999999998</v>
      </c>
      <c r="L4756" s="24">
        <f t="shared" si="374"/>
        <v>0</v>
      </c>
    </row>
    <row r="4757" spans="1:12" ht="15" customHeight="1" x14ac:dyDescent="0.3">
      <c r="A4757" s="23" t="s">
        <v>18097</v>
      </c>
      <c r="B4757" s="23" t="s">
        <v>79</v>
      </c>
      <c r="C4757" s="39">
        <v>6298</v>
      </c>
      <c r="D4757" s="24">
        <v>100.77</v>
      </c>
      <c r="E4757" s="24">
        <v>18.14</v>
      </c>
      <c r="F4757" s="23">
        <f>COUNTIFS(mdr_rate_cleaned!$A$2:$A$10,B4757,mdr_rate_cleaned!$B$2:$B$10,"&lt;"&amp;C4757,mdr_rate_cleaned!$F$2:$F$10,"&gt;="&amp;C4757)</f>
        <v>1</v>
      </c>
      <c r="G4757" s="40">
        <f>SUMIFS(mdr_rate_cleaned!$G$2:$G$10,mdr_rate_cleaned!$A$2:$A$10,B4757,mdr_rate_cleaned!$B$2:$B$10,"&lt;"&amp;C4757,mdr_rate_cleaned!$F$2:$F$10,"&gt;="&amp;C4757)</f>
        <v>1.6E-2</v>
      </c>
      <c r="H4757" s="24">
        <f t="shared" si="370"/>
        <v>100.77</v>
      </c>
      <c r="I4757" s="23" t="str">
        <f t="shared" si="371"/>
        <v>Match</v>
      </c>
      <c r="J4757" s="23" t="str">
        <f t="shared" si="372"/>
        <v>Match</v>
      </c>
      <c r="K4757" s="24">
        <f t="shared" si="373"/>
        <v>18.14</v>
      </c>
      <c r="L4757" s="24">
        <f t="shared" si="374"/>
        <v>0</v>
      </c>
    </row>
    <row r="4758" spans="1:12" ht="15" customHeight="1" x14ac:dyDescent="0.3">
      <c r="A4758" s="23" t="s">
        <v>18098</v>
      </c>
      <c r="B4758" s="23" t="s">
        <v>75</v>
      </c>
      <c r="C4758" s="39">
        <v>3798</v>
      </c>
      <c r="D4758" s="24">
        <v>11.39</v>
      </c>
      <c r="E4758" s="24">
        <v>2.0499999999999998</v>
      </c>
      <c r="F4758" s="23">
        <f>COUNTIFS(mdr_rate_cleaned!$A$2:$A$10,B4758,mdr_rate_cleaned!$B$2:$B$10,"&lt;"&amp;C4758,mdr_rate_cleaned!$F$2:$F$10,"&gt;="&amp;C4758)</f>
        <v>1</v>
      </c>
      <c r="G4758" s="40">
        <f>SUMIFS(mdr_rate_cleaned!$G$2:$G$10,mdr_rate_cleaned!$A$2:$A$10,B4758,mdr_rate_cleaned!$B$2:$B$10,"&lt;"&amp;C4758,mdr_rate_cleaned!$F$2:$F$10,"&gt;="&amp;C4758)</f>
        <v>3.0000000000000001E-3</v>
      </c>
      <c r="H4758" s="24">
        <f t="shared" si="370"/>
        <v>11.39</v>
      </c>
      <c r="I4758" s="23" t="str">
        <f t="shared" si="371"/>
        <v>Match</v>
      </c>
      <c r="J4758" s="23" t="str">
        <f t="shared" si="372"/>
        <v>Match</v>
      </c>
      <c r="K4758" s="24">
        <f t="shared" si="373"/>
        <v>2.0499999999999998</v>
      </c>
      <c r="L4758" s="24">
        <f t="shared" si="374"/>
        <v>0</v>
      </c>
    </row>
    <row r="4759" spans="1:12" ht="15" customHeight="1" x14ac:dyDescent="0.3">
      <c r="A4759" s="23" t="s">
        <v>18099</v>
      </c>
      <c r="B4759" s="23" t="s">
        <v>75</v>
      </c>
      <c r="C4759" s="39">
        <v>999</v>
      </c>
      <c r="D4759" s="24">
        <v>0</v>
      </c>
      <c r="E4759" s="24">
        <v>0</v>
      </c>
      <c r="F4759" s="23">
        <f>COUNTIFS(mdr_rate_cleaned!$A$2:$A$10,B4759,mdr_rate_cleaned!$B$2:$B$10,"&lt;"&amp;C4759,mdr_rate_cleaned!$F$2:$F$10,"&gt;="&amp;C4759)</f>
        <v>1</v>
      </c>
      <c r="G4759" s="40">
        <f>SUMIFS(mdr_rate_cleaned!$G$2:$G$10,mdr_rate_cleaned!$A$2:$A$10,B4759,mdr_rate_cleaned!$B$2:$B$10,"&lt;"&amp;C4759,mdr_rate_cleaned!$F$2:$F$10,"&gt;="&amp;C4759)</f>
        <v>0</v>
      </c>
      <c r="H4759" s="24">
        <f t="shared" si="370"/>
        <v>0</v>
      </c>
      <c r="I4759" s="23" t="str">
        <f t="shared" si="371"/>
        <v>Match</v>
      </c>
      <c r="J4759" s="23" t="str">
        <f t="shared" si="372"/>
        <v>Match</v>
      </c>
      <c r="K4759" s="24">
        <f t="shared" si="373"/>
        <v>0</v>
      </c>
      <c r="L4759" s="24">
        <f t="shared" si="374"/>
        <v>0</v>
      </c>
    </row>
    <row r="4760" spans="1:12" ht="15" customHeight="1" x14ac:dyDescent="0.3">
      <c r="A4760" s="23" t="s">
        <v>18100</v>
      </c>
      <c r="B4760" s="23" t="s">
        <v>75</v>
      </c>
      <c r="C4760" s="39">
        <v>499</v>
      </c>
      <c r="D4760" s="24">
        <v>0</v>
      </c>
      <c r="E4760" s="24">
        <v>0</v>
      </c>
      <c r="F4760" s="23">
        <f>COUNTIFS(mdr_rate_cleaned!$A$2:$A$10,B4760,mdr_rate_cleaned!$B$2:$B$10,"&lt;"&amp;C4760,mdr_rate_cleaned!$F$2:$F$10,"&gt;="&amp;C4760)</f>
        <v>1</v>
      </c>
      <c r="G4760" s="40">
        <f>SUMIFS(mdr_rate_cleaned!$G$2:$G$10,mdr_rate_cleaned!$A$2:$A$10,B4760,mdr_rate_cleaned!$B$2:$B$10,"&lt;"&amp;C4760,mdr_rate_cleaned!$F$2:$F$10,"&gt;="&amp;C4760)</f>
        <v>0</v>
      </c>
      <c r="H4760" s="24">
        <f t="shared" si="370"/>
        <v>0</v>
      </c>
      <c r="I4760" s="23" t="str">
        <f t="shared" si="371"/>
        <v>Match</v>
      </c>
      <c r="J4760" s="23" t="str">
        <f t="shared" si="372"/>
        <v>Match</v>
      </c>
      <c r="K4760" s="24">
        <f t="shared" si="373"/>
        <v>0</v>
      </c>
      <c r="L4760" s="24">
        <f t="shared" si="374"/>
        <v>0</v>
      </c>
    </row>
    <row r="4761" spans="1:12" ht="15" customHeight="1" x14ac:dyDescent="0.3">
      <c r="A4761" s="23" t="s">
        <v>18101</v>
      </c>
      <c r="B4761" s="23" t="s">
        <v>75</v>
      </c>
      <c r="C4761" s="39">
        <v>7999</v>
      </c>
      <c r="D4761" s="24">
        <v>24</v>
      </c>
      <c r="E4761" s="24">
        <v>4.32</v>
      </c>
      <c r="F4761" s="23">
        <f>COUNTIFS(mdr_rate_cleaned!$A$2:$A$10,B4761,mdr_rate_cleaned!$B$2:$B$10,"&lt;"&amp;C4761,mdr_rate_cleaned!$F$2:$F$10,"&gt;="&amp;C4761)</f>
        <v>1</v>
      </c>
      <c r="G4761" s="40">
        <f>SUMIFS(mdr_rate_cleaned!$G$2:$G$10,mdr_rate_cleaned!$A$2:$A$10,B4761,mdr_rate_cleaned!$B$2:$B$10,"&lt;"&amp;C4761,mdr_rate_cleaned!$F$2:$F$10,"&gt;="&amp;C4761)</f>
        <v>3.0000000000000001E-3</v>
      </c>
      <c r="H4761" s="24">
        <f t="shared" si="370"/>
        <v>24</v>
      </c>
      <c r="I4761" s="23" t="str">
        <f t="shared" si="371"/>
        <v>Match</v>
      </c>
      <c r="J4761" s="23" t="str">
        <f t="shared" si="372"/>
        <v>Match</v>
      </c>
      <c r="K4761" s="24">
        <f t="shared" si="373"/>
        <v>4.32</v>
      </c>
      <c r="L4761" s="24">
        <f t="shared" si="374"/>
        <v>0</v>
      </c>
    </row>
    <row r="4762" spans="1:12" ht="15" customHeight="1" x14ac:dyDescent="0.3">
      <c r="A4762" s="23" t="s">
        <v>18102</v>
      </c>
      <c r="B4762" s="23" t="s">
        <v>75</v>
      </c>
      <c r="C4762" s="39">
        <v>2499</v>
      </c>
      <c r="D4762" s="24">
        <v>7.5</v>
      </c>
      <c r="E4762" s="24">
        <v>1.35</v>
      </c>
      <c r="F4762" s="23">
        <f>COUNTIFS(mdr_rate_cleaned!$A$2:$A$10,B4762,mdr_rate_cleaned!$B$2:$B$10,"&lt;"&amp;C4762,mdr_rate_cleaned!$F$2:$F$10,"&gt;="&amp;C4762)</f>
        <v>1</v>
      </c>
      <c r="G4762" s="40">
        <f>SUMIFS(mdr_rate_cleaned!$G$2:$G$10,mdr_rate_cleaned!$A$2:$A$10,B4762,mdr_rate_cleaned!$B$2:$B$10,"&lt;"&amp;C4762,mdr_rate_cleaned!$F$2:$F$10,"&gt;="&amp;C4762)</f>
        <v>3.0000000000000001E-3</v>
      </c>
      <c r="H4762" s="24">
        <f t="shared" si="370"/>
        <v>7.5</v>
      </c>
      <c r="I4762" s="23" t="str">
        <f t="shared" si="371"/>
        <v>Match</v>
      </c>
      <c r="J4762" s="23" t="str">
        <f t="shared" si="372"/>
        <v>Match</v>
      </c>
      <c r="K4762" s="24">
        <f t="shared" si="373"/>
        <v>1.35</v>
      </c>
      <c r="L4762" s="24">
        <f t="shared" si="374"/>
        <v>0</v>
      </c>
    </row>
    <row r="4763" spans="1:12" ht="15" customHeight="1" x14ac:dyDescent="0.3">
      <c r="A4763" s="23" t="s">
        <v>18104</v>
      </c>
      <c r="B4763" s="23" t="s">
        <v>79</v>
      </c>
      <c r="C4763" s="39">
        <v>1398</v>
      </c>
      <c r="D4763" s="24">
        <v>25.16</v>
      </c>
      <c r="E4763" s="24">
        <v>4.53</v>
      </c>
      <c r="F4763" s="23">
        <f>COUNTIFS(mdr_rate_cleaned!$A$2:$A$10,B4763,mdr_rate_cleaned!$B$2:$B$10,"&lt;"&amp;C4763,mdr_rate_cleaned!$F$2:$F$10,"&gt;="&amp;C4763)</f>
        <v>1</v>
      </c>
      <c r="G4763" s="40">
        <f>SUMIFS(mdr_rate_cleaned!$G$2:$G$10,mdr_rate_cleaned!$A$2:$A$10,B4763,mdr_rate_cleaned!$B$2:$B$10,"&lt;"&amp;C4763,mdr_rate_cleaned!$F$2:$F$10,"&gt;="&amp;C4763)</f>
        <v>1.8000000000000002E-2</v>
      </c>
      <c r="H4763" s="24">
        <f t="shared" si="370"/>
        <v>25.16</v>
      </c>
      <c r="I4763" s="23" t="str">
        <f t="shared" si="371"/>
        <v>Match</v>
      </c>
      <c r="J4763" s="23" t="str">
        <f t="shared" si="372"/>
        <v>Match</v>
      </c>
      <c r="K4763" s="24">
        <f t="shared" si="373"/>
        <v>4.53</v>
      </c>
      <c r="L4763" s="24">
        <f t="shared" si="374"/>
        <v>0</v>
      </c>
    </row>
    <row r="4764" spans="1:12" ht="15" customHeight="1" x14ac:dyDescent="0.3">
      <c r="A4764" s="23" t="s">
        <v>18105</v>
      </c>
      <c r="B4764" s="23" t="s">
        <v>79</v>
      </c>
      <c r="C4764" s="39">
        <v>2398</v>
      </c>
      <c r="D4764" s="24">
        <v>38.369999999999997</v>
      </c>
      <c r="E4764" s="24">
        <v>6.91</v>
      </c>
      <c r="F4764" s="23">
        <f>COUNTIFS(mdr_rate_cleaned!$A$2:$A$10,B4764,mdr_rate_cleaned!$B$2:$B$10,"&lt;"&amp;C4764,mdr_rate_cleaned!$F$2:$F$10,"&gt;="&amp;C4764)</f>
        <v>1</v>
      </c>
      <c r="G4764" s="40">
        <f>SUMIFS(mdr_rate_cleaned!$G$2:$G$10,mdr_rate_cleaned!$A$2:$A$10,B4764,mdr_rate_cleaned!$B$2:$B$10,"&lt;"&amp;C4764,mdr_rate_cleaned!$F$2:$F$10,"&gt;="&amp;C4764)</f>
        <v>1.6E-2</v>
      </c>
      <c r="H4764" s="24">
        <f t="shared" si="370"/>
        <v>38.369999999999997</v>
      </c>
      <c r="I4764" s="23" t="str">
        <f t="shared" si="371"/>
        <v>Match</v>
      </c>
      <c r="J4764" s="23" t="str">
        <f t="shared" si="372"/>
        <v>Match</v>
      </c>
      <c r="K4764" s="24">
        <f t="shared" si="373"/>
        <v>6.91</v>
      </c>
      <c r="L4764" s="24">
        <f t="shared" si="374"/>
        <v>0</v>
      </c>
    </row>
    <row r="4765" spans="1:12" ht="15" customHeight="1" x14ac:dyDescent="0.3">
      <c r="A4765" s="23" t="s">
        <v>18107</v>
      </c>
      <c r="B4765" s="23" t="s">
        <v>75</v>
      </c>
      <c r="C4765" s="39">
        <v>2598</v>
      </c>
      <c r="D4765" s="24">
        <v>7.79</v>
      </c>
      <c r="E4765" s="24">
        <v>1.4</v>
      </c>
      <c r="F4765" s="23">
        <f>COUNTIFS(mdr_rate_cleaned!$A$2:$A$10,B4765,mdr_rate_cleaned!$B$2:$B$10,"&lt;"&amp;C4765,mdr_rate_cleaned!$F$2:$F$10,"&gt;="&amp;C4765)</f>
        <v>1</v>
      </c>
      <c r="G4765" s="40">
        <f>SUMIFS(mdr_rate_cleaned!$G$2:$G$10,mdr_rate_cleaned!$A$2:$A$10,B4765,mdr_rate_cleaned!$B$2:$B$10,"&lt;"&amp;C4765,mdr_rate_cleaned!$F$2:$F$10,"&gt;="&amp;C4765)</f>
        <v>3.0000000000000001E-3</v>
      </c>
      <c r="H4765" s="24">
        <f t="shared" si="370"/>
        <v>7.79</v>
      </c>
      <c r="I4765" s="23" t="str">
        <f t="shared" si="371"/>
        <v>Match</v>
      </c>
      <c r="J4765" s="23" t="str">
        <f t="shared" si="372"/>
        <v>Match</v>
      </c>
      <c r="K4765" s="24">
        <f t="shared" si="373"/>
        <v>1.4</v>
      </c>
      <c r="L4765" s="24">
        <f t="shared" si="374"/>
        <v>0</v>
      </c>
    </row>
    <row r="4766" spans="1:12" ht="15" customHeight="1" x14ac:dyDescent="0.3">
      <c r="A4766" s="23" t="s">
        <v>18108</v>
      </c>
      <c r="B4766" s="23" t="s">
        <v>75</v>
      </c>
      <c r="C4766" s="39">
        <v>599</v>
      </c>
      <c r="D4766" s="24">
        <v>0</v>
      </c>
      <c r="E4766" s="24">
        <v>0</v>
      </c>
      <c r="F4766" s="23">
        <f>COUNTIFS(mdr_rate_cleaned!$A$2:$A$10,B4766,mdr_rate_cleaned!$B$2:$B$10,"&lt;"&amp;C4766,mdr_rate_cleaned!$F$2:$F$10,"&gt;="&amp;C4766)</f>
        <v>1</v>
      </c>
      <c r="G4766" s="40">
        <f>SUMIFS(mdr_rate_cleaned!$G$2:$G$10,mdr_rate_cleaned!$A$2:$A$10,B4766,mdr_rate_cleaned!$B$2:$B$10,"&lt;"&amp;C4766,mdr_rate_cleaned!$F$2:$F$10,"&gt;="&amp;C4766)</f>
        <v>0</v>
      </c>
      <c r="H4766" s="24">
        <f t="shared" si="370"/>
        <v>0</v>
      </c>
      <c r="I4766" s="23" t="str">
        <f t="shared" si="371"/>
        <v>Match</v>
      </c>
      <c r="J4766" s="23" t="str">
        <f t="shared" si="372"/>
        <v>Match</v>
      </c>
      <c r="K4766" s="24">
        <f t="shared" si="373"/>
        <v>0</v>
      </c>
      <c r="L4766" s="24">
        <f t="shared" si="374"/>
        <v>0</v>
      </c>
    </row>
    <row r="4767" spans="1:12" ht="15" customHeight="1" x14ac:dyDescent="0.3">
      <c r="A4767" s="23" t="s">
        <v>18109</v>
      </c>
      <c r="B4767" s="23" t="s">
        <v>79</v>
      </c>
      <c r="C4767" s="39">
        <v>4999</v>
      </c>
      <c r="D4767" s="24">
        <v>79.98</v>
      </c>
      <c r="E4767" s="24">
        <v>14.4</v>
      </c>
      <c r="F4767" s="23">
        <f>COUNTIFS(mdr_rate_cleaned!$A$2:$A$10,B4767,mdr_rate_cleaned!$B$2:$B$10,"&lt;"&amp;C4767,mdr_rate_cleaned!$F$2:$F$10,"&gt;="&amp;C4767)</f>
        <v>1</v>
      </c>
      <c r="G4767" s="40">
        <f>SUMIFS(mdr_rate_cleaned!$G$2:$G$10,mdr_rate_cleaned!$A$2:$A$10,B4767,mdr_rate_cleaned!$B$2:$B$10,"&lt;"&amp;C4767,mdr_rate_cleaned!$F$2:$F$10,"&gt;="&amp;C4767)</f>
        <v>1.6E-2</v>
      </c>
      <c r="H4767" s="24">
        <f t="shared" si="370"/>
        <v>79.98</v>
      </c>
      <c r="I4767" s="23" t="str">
        <f t="shared" si="371"/>
        <v>Match</v>
      </c>
      <c r="J4767" s="23" t="str">
        <f t="shared" si="372"/>
        <v>Match</v>
      </c>
      <c r="K4767" s="24">
        <f t="shared" si="373"/>
        <v>14.4</v>
      </c>
      <c r="L4767" s="24">
        <f t="shared" si="374"/>
        <v>0</v>
      </c>
    </row>
    <row r="4768" spans="1:12" ht="15" customHeight="1" x14ac:dyDescent="0.3">
      <c r="A4768" s="23" t="s">
        <v>18111</v>
      </c>
      <c r="B4768" s="23" t="s">
        <v>75</v>
      </c>
      <c r="C4768" s="39">
        <v>2598</v>
      </c>
      <c r="D4768" s="24">
        <v>7.79</v>
      </c>
      <c r="E4768" s="24">
        <v>1.4</v>
      </c>
      <c r="F4768" s="23">
        <f>COUNTIFS(mdr_rate_cleaned!$A$2:$A$10,B4768,mdr_rate_cleaned!$B$2:$B$10,"&lt;"&amp;C4768,mdr_rate_cleaned!$F$2:$F$10,"&gt;="&amp;C4768)</f>
        <v>1</v>
      </c>
      <c r="G4768" s="40">
        <f>SUMIFS(mdr_rate_cleaned!$G$2:$G$10,mdr_rate_cleaned!$A$2:$A$10,B4768,mdr_rate_cleaned!$B$2:$B$10,"&lt;"&amp;C4768,mdr_rate_cleaned!$F$2:$F$10,"&gt;="&amp;C4768)</f>
        <v>3.0000000000000001E-3</v>
      </c>
      <c r="H4768" s="24">
        <f t="shared" si="370"/>
        <v>7.79</v>
      </c>
      <c r="I4768" s="23" t="str">
        <f t="shared" si="371"/>
        <v>Match</v>
      </c>
      <c r="J4768" s="23" t="str">
        <f t="shared" si="372"/>
        <v>Match</v>
      </c>
      <c r="K4768" s="24">
        <f t="shared" si="373"/>
        <v>1.4</v>
      </c>
      <c r="L4768" s="24">
        <f t="shared" si="374"/>
        <v>0</v>
      </c>
    </row>
    <row r="4769" spans="1:12" ht="15" customHeight="1" x14ac:dyDescent="0.3">
      <c r="A4769" s="23" t="s">
        <v>18112</v>
      </c>
      <c r="B4769" s="23" t="s">
        <v>75</v>
      </c>
      <c r="C4769" s="39">
        <v>4998</v>
      </c>
      <c r="D4769" s="24">
        <v>14.99</v>
      </c>
      <c r="E4769" s="24">
        <v>2.7</v>
      </c>
      <c r="F4769" s="23">
        <f>COUNTIFS(mdr_rate_cleaned!$A$2:$A$10,B4769,mdr_rate_cleaned!$B$2:$B$10,"&lt;"&amp;C4769,mdr_rate_cleaned!$F$2:$F$10,"&gt;="&amp;C4769)</f>
        <v>1</v>
      </c>
      <c r="G4769" s="40">
        <f>SUMIFS(mdr_rate_cleaned!$G$2:$G$10,mdr_rate_cleaned!$A$2:$A$10,B4769,mdr_rate_cleaned!$B$2:$B$10,"&lt;"&amp;C4769,mdr_rate_cleaned!$F$2:$F$10,"&gt;="&amp;C4769)</f>
        <v>3.0000000000000001E-3</v>
      </c>
      <c r="H4769" s="24">
        <f t="shared" si="370"/>
        <v>14.99</v>
      </c>
      <c r="I4769" s="23" t="str">
        <f t="shared" si="371"/>
        <v>Match</v>
      </c>
      <c r="J4769" s="23" t="str">
        <f t="shared" si="372"/>
        <v>Match</v>
      </c>
      <c r="K4769" s="24">
        <f t="shared" si="373"/>
        <v>2.7</v>
      </c>
      <c r="L4769" s="24">
        <f t="shared" si="374"/>
        <v>0</v>
      </c>
    </row>
    <row r="4770" spans="1:12" ht="15" customHeight="1" x14ac:dyDescent="0.3">
      <c r="A4770" s="23" t="s">
        <v>18114</v>
      </c>
      <c r="B4770" s="23" t="s">
        <v>79</v>
      </c>
      <c r="C4770" s="39">
        <v>999</v>
      </c>
      <c r="D4770" s="24">
        <v>17.98</v>
      </c>
      <c r="E4770" s="24">
        <v>3.24</v>
      </c>
      <c r="F4770" s="23">
        <f>COUNTIFS(mdr_rate_cleaned!$A$2:$A$10,B4770,mdr_rate_cleaned!$B$2:$B$10,"&lt;"&amp;C4770,mdr_rate_cleaned!$F$2:$F$10,"&gt;="&amp;C4770)</f>
        <v>1</v>
      </c>
      <c r="G4770" s="40">
        <f>SUMIFS(mdr_rate_cleaned!$G$2:$G$10,mdr_rate_cleaned!$A$2:$A$10,B4770,mdr_rate_cleaned!$B$2:$B$10,"&lt;"&amp;C4770,mdr_rate_cleaned!$F$2:$F$10,"&gt;="&amp;C4770)</f>
        <v>1.8000000000000002E-2</v>
      </c>
      <c r="H4770" s="24">
        <f t="shared" si="370"/>
        <v>17.98</v>
      </c>
      <c r="I4770" s="23" t="str">
        <f t="shared" si="371"/>
        <v>Match</v>
      </c>
      <c r="J4770" s="23" t="str">
        <f t="shared" si="372"/>
        <v>Match</v>
      </c>
      <c r="K4770" s="24">
        <f t="shared" si="373"/>
        <v>3.24</v>
      </c>
      <c r="L4770" s="24">
        <f t="shared" si="374"/>
        <v>0</v>
      </c>
    </row>
    <row r="4771" spans="1:12" ht="15" customHeight="1" x14ac:dyDescent="0.3">
      <c r="A4771" s="23" t="s">
        <v>18115</v>
      </c>
      <c r="B4771" s="23" t="s">
        <v>75</v>
      </c>
      <c r="C4771" s="39">
        <v>3848</v>
      </c>
      <c r="D4771" s="24">
        <v>11.54</v>
      </c>
      <c r="E4771" s="24">
        <v>2.08</v>
      </c>
      <c r="F4771" s="23">
        <f>COUNTIFS(mdr_rate_cleaned!$A$2:$A$10,B4771,mdr_rate_cleaned!$B$2:$B$10,"&lt;"&amp;C4771,mdr_rate_cleaned!$F$2:$F$10,"&gt;="&amp;C4771)</f>
        <v>1</v>
      </c>
      <c r="G4771" s="40">
        <f>SUMIFS(mdr_rate_cleaned!$G$2:$G$10,mdr_rate_cleaned!$A$2:$A$10,B4771,mdr_rate_cleaned!$B$2:$B$10,"&lt;"&amp;C4771,mdr_rate_cleaned!$F$2:$F$10,"&gt;="&amp;C4771)</f>
        <v>3.0000000000000001E-3</v>
      </c>
      <c r="H4771" s="24">
        <f t="shared" si="370"/>
        <v>11.54</v>
      </c>
      <c r="I4771" s="23" t="str">
        <f t="shared" si="371"/>
        <v>Match</v>
      </c>
      <c r="J4771" s="23" t="str">
        <f t="shared" si="372"/>
        <v>Match</v>
      </c>
      <c r="K4771" s="24">
        <f t="shared" si="373"/>
        <v>2.08</v>
      </c>
      <c r="L4771" s="24">
        <f t="shared" si="374"/>
        <v>0</v>
      </c>
    </row>
    <row r="4772" spans="1:12" ht="15" customHeight="1" x14ac:dyDescent="0.3">
      <c r="A4772" s="23" t="s">
        <v>18116</v>
      </c>
      <c r="B4772" s="23" t="s">
        <v>79</v>
      </c>
      <c r="C4772" s="39">
        <v>1499</v>
      </c>
      <c r="D4772" s="24">
        <v>26.98</v>
      </c>
      <c r="E4772" s="24">
        <v>4.8600000000000003</v>
      </c>
      <c r="F4772" s="23">
        <f>COUNTIFS(mdr_rate_cleaned!$A$2:$A$10,B4772,mdr_rate_cleaned!$B$2:$B$10,"&lt;"&amp;C4772,mdr_rate_cleaned!$F$2:$F$10,"&gt;="&amp;C4772)</f>
        <v>1</v>
      </c>
      <c r="G4772" s="40">
        <f>SUMIFS(mdr_rate_cleaned!$G$2:$G$10,mdr_rate_cleaned!$A$2:$A$10,B4772,mdr_rate_cleaned!$B$2:$B$10,"&lt;"&amp;C4772,mdr_rate_cleaned!$F$2:$F$10,"&gt;="&amp;C4772)</f>
        <v>1.8000000000000002E-2</v>
      </c>
      <c r="H4772" s="24">
        <f t="shared" si="370"/>
        <v>26.98</v>
      </c>
      <c r="I4772" s="23" t="str">
        <f t="shared" si="371"/>
        <v>Match</v>
      </c>
      <c r="J4772" s="23" t="str">
        <f t="shared" si="372"/>
        <v>Match</v>
      </c>
      <c r="K4772" s="24">
        <f t="shared" si="373"/>
        <v>4.8600000000000003</v>
      </c>
      <c r="L4772" s="24">
        <f t="shared" si="374"/>
        <v>0</v>
      </c>
    </row>
    <row r="4773" spans="1:12" ht="15" customHeight="1" x14ac:dyDescent="0.3">
      <c r="A4773" s="23" t="s">
        <v>18117</v>
      </c>
      <c r="B4773" s="23" t="s">
        <v>75</v>
      </c>
      <c r="C4773" s="39">
        <v>14797</v>
      </c>
      <c r="D4773" s="24">
        <v>44.39</v>
      </c>
      <c r="E4773" s="24">
        <v>7.99</v>
      </c>
      <c r="F4773" s="23">
        <f>COUNTIFS(mdr_rate_cleaned!$A$2:$A$10,B4773,mdr_rate_cleaned!$B$2:$B$10,"&lt;"&amp;C4773,mdr_rate_cleaned!$F$2:$F$10,"&gt;="&amp;C4773)</f>
        <v>1</v>
      </c>
      <c r="G4773" s="40">
        <f>SUMIFS(mdr_rate_cleaned!$G$2:$G$10,mdr_rate_cleaned!$A$2:$A$10,B4773,mdr_rate_cleaned!$B$2:$B$10,"&lt;"&amp;C4773,mdr_rate_cleaned!$F$2:$F$10,"&gt;="&amp;C4773)</f>
        <v>3.0000000000000001E-3</v>
      </c>
      <c r="H4773" s="24">
        <f t="shared" si="370"/>
        <v>44.39</v>
      </c>
      <c r="I4773" s="23" t="str">
        <f t="shared" si="371"/>
        <v>Match</v>
      </c>
      <c r="J4773" s="23" t="str">
        <f t="shared" si="372"/>
        <v>Match</v>
      </c>
      <c r="K4773" s="24">
        <f t="shared" si="373"/>
        <v>7.99</v>
      </c>
      <c r="L4773" s="24">
        <f t="shared" si="374"/>
        <v>0</v>
      </c>
    </row>
    <row r="4774" spans="1:12" ht="15" customHeight="1" x14ac:dyDescent="0.3">
      <c r="A4774" s="23" t="s">
        <v>18118</v>
      </c>
      <c r="B4774" s="23" t="s">
        <v>79</v>
      </c>
      <c r="C4774" s="39">
        <v>1298</v>
      </c>
      <c r="D4774" s="24">
        <v>23.36</v>
      </c>
      <c r="E4774" s="24">
        <v>4.2</v>
      </c>
      <c r="F4774" s="23">
        <f>COUNTIFS(mdr_rate_cleaned!$A$2:$A$10,B4774,mdr_rate_cleaned!$B$2:$B$10,"&lt;"&amp;C4774,mdr_rate_cleaned!$F$2:$F$10,"&gt;="&amp;C4774)</f>
        <v>1</v>
      </c>
      <c r="G4774" s="40">
        <f>SUMIFS(mdr_rate_cleaned!$G$2:$G$10,mdr_rate_cleaned!$A$2:$A$10,B4774,mdr_rate_cleaned!$B$2:$B$10,"&lt;"&amp;C4774,mdr_rate_cleaned!$F$2:$F$10,"&gt;="&amp;C4774)</f>
        <v>1.8000000000000002E-2</v>
      </c>
      <c r="H4774" s="24">
        <f t="shared" si="370"/>
        <v>23.36</v>
      </c>
      <c r="I4774" s="23" t="str">
        <f t="shared" si="371"/>
        <v>Match</v>
      </c>
      <c r="J4774" s="23" t="str">
        <f t="shared" si="372"/>
        <v>Match</v>
      </c>
      <c r="K4774" s="24">
        <f t="shared" si="373"/>
        <v>4.2</v>
      </c>
      <c r="L4774" s="24">
        <f t="shared" si="374"/>
        <v>0</v>
      </c>
    </row>
    <row r="4775" spans="1:12" ht="15" customHeight="1" x14ac:dyDescent="0.3">
      <c r="A4775" s="23" t="s">
        <v>18119</v>
      </c>
      <c r="B4775" s="23" t="s">
        <v>75</v>
      </c>
      <c r="C4775" s="39">
        <v>12998</v>
      </c>
      <c r="D4775" s="24">
        <v>38.99</v>
      </c>
      <c r="E4775" s="24">
        <v>7.02</v>
      </c>
      <c r="F4775" s="23">
        <f>COUNTIFS(mdr_rate_cleaned!$A$2:$A$10,B4775,mdr_rate_cleaned!$B$2:$B$10,"&lt;"&amp;C4775,mdr_rate_cleaned!$F$2:$F$10,"&gt;="&amp;C4775)</f>
        <v>1</v>
      </c>
      <c r="G4775" s="40">
        <f>SUMIFS(mdr_rate_cleaned!$G$2:$G$10,mdr_rate_cleaned!$A$2:$A$10,B4775,mdr_rate_cleaned!$B$2:$B$10,"&lt;"&amp;C4775,mdr_rate_cleaned!$F$2:$F$10,"&gt;="&amp;C4775)</f>
        <v>3.0000000000000001E-3</v>
      </c>
      <c r="H4775" s="24">
        <f t="shared" si="370"/>
        <v>38.99</v>
      </c>
      <c r="I4775" s="23" t="str">
        <f t="shared" si="371"/>
        <v>Match</v>
      </c>
      <c r="J4775" s="23" t="str">
        <f t="shared" si="372"/>
        <v>Match</v>
      </c>
      <c r="K4775" s="24">
        <f t="shared" si="373"/>
        <v>7.02</v>
      </c>
      <c r="L4775" s="24">
        <f t="shared" si="374"/>
        <v>0</v>
      </c>
    </row>
    <row r="4776" spans="1:12" ht="15" customHeight="1" x14ac:dyDescent="0.3">
      <c r="A4776" s="23" t="s">
        <v>18120</v>
      </c>
      <c r="B4776" s="23" t="s">
        <v>79</v>
      </c>
      <c r="C4776" s="39">
        <v>349</v>
      </c>
      <c r="D4776" s="24">
        <v>6.28</v>
      </c>
      <c r="E4776" s="24">
        <v>1.1299999999999999</v>
      </c>
      <c r="F4776" s="23">
        <f>COUNTIFS(mdr_rate_cleaned!$A$2:$A$10,B4776,mdr_rate_cleaned!$B$2:$B$10,"&lt;"&amp;C4776,mdr_rate_cleaned!$F$2:$F$10,"&gt;="&amp;C4776)</f>
        <v>1</v>
      </c>
      <c r="G4776" s="40">
        <f>SUMIFS(mdr_rate_cleaned!$G$2:$G$10,mdr_rate_cleaned!$A$2:$A$10,B4776,mdr_rate_cleaned!$B$2:$B$10,"&lt;"&amp;C4776,mdr_rate_cleaned!$F$2:$F$10,"&gt;="&amp;C4776)</f>
        <v>1.8000000000000002E-2</v>
      </c>
      <c r="H4776" s="24">
        <f t="shared" si="370"/>
        <v>6.28</v>
      </c>
      <c r="I4776" s="23" t="str">
        <f t="shared" si="371"/>
        <v>Match</v>
      </c>
      <c r="J4776" s="23" t="str">
        <f t="shared" si="372"/>
        <v>Match</v>
      </c>
      <c r="K4776" s="24">
        <f t="shared" si="373"/>
        <v>1.1299999999999999</v>
      </c>
      <c r="L4776" s="24">
        <f t="shared" si="374"/>
        <v>0</v>
      </c>
    </row>
    <row r="4777" spans="1:12" ht="15" customHeight="1" x14ac:dyDescent="0.3">
      <c r="A4777" s="23" t="s">
        <v>18121</v>
      </c>
      <c r="B4777" s="23" t="s">
        <v>79</v>
      </c>
      <c r="C4777" s="39">
        <v>1499</v>
      </c>
      <c r="D4777" s="24">
        <v>26.98</v>
      </c>
      <c r="E4777" s="24">
        <v>4.8600000000000003</v>
      </c>
      <c r="F4777" s="23">
        <f>COUNTIFS(mdr_rate_cleaned!$A$2:$A$10,B4777,mdr_rate_cleaned!$B$2:$B$10,"&lt;"&amp;C4777,mdr_rate_cleaned!$F$2:$F$10,"&gt;="&amp;C4777)</f>
        <v>1</v>
      </c>
      <c r="G4777" s="40">
        <f>SUMIFS(mdr_rate_cleaned!$G$2:$G$10,mdr_rate_cleaned!$A$2:$A$10,B4777,mdr_rate_cleaned!$B$2:$B$10,"&lt;"&amp;C4777,mdr_rate_cleaned!$F$2:$F$10,"&gt;="&amp;C4777)</f>
        <v>1.8000000000000002E-2</v>
      </c>
      <c r="H4777" s="24">
        <f t="shared" si="370"/>
        <v>26.98</v>
      </c>
      <c r="I4777" s="23" t="str">
        <f t="shared" si="371"/>
        <v>Match</v>
      </c>
      <c r="J4777" s="23" t="str">
        <f t="shared" si="372"/>
        <v>Match</v>
      </c>
      <c r="K4777" s="24">
        <f t="shared" si="373"/>
        <v>4.8600000000000003</v>
      </c>
      <c r="L4777" s="24">
        <f t="shared" si="374"/>
        <v>0</v>
      </c>
    </row>
    <row r="4778" spans="1:12" ht="15" customHeight="1" x14ac:dyDescent="0.3">
      <c r="A4778" s="23" t="s">
        <v>18122</v>
      </c>
      <c r="B4778" s="23" t="s">
        <v>79</v>
      </c>
      <c r="C4778" s="39">
        <v>7297</v>
      </c>
      <c r="D4778" s="24">
        <v>116.75</v>
      </c>
      <c r="E4778" s="24">
        <v>21.02</v>
      </c>
      <c r="F4778" s="23">
        <f>COUNTIFS(mdr_rate_cleaned!$A$2:$A$10,B4778,mdr_rate_cleaned!$B$2:$B$10,"&lt;"&amp;C4778,mdr_rate_cleaned!$F$2:$F$10,"&gt;="&amp;C4778)</f>
        <v>1</v>
      </c>
      <c r="G4778" s="40">
        <f>SUMIFS(mdr_rate_cleaned!$G$2:$G$10,mdr_rate_cleaned!$A$2:$A$10,B4778,mdr_rate_cleaned!$B$2:$B$10,"&lt;"&amp;C4778,mdr_rate_cleaned!$F$2:$F$10,"&gt;="&amp;C4778)</f>
        <v>1.6E-2</v>
      </c>
      <c r="H4778" s="24">
        <f t="shared" si="370"/>
        <v>116.75</v>
      </c>
      <c r="I4778" s="23" t="str">
        <f t="shared" si="371"/>
        <v>Match</v>
      </c>
      <c r="J4778" s="23" t="str">
        <f t="shared" si="372"/>
        <v>Match</v>
      </c>
      <c r="K4778" s="24">
        <f t="shared" si="373"/>
        <v>21.02</v>
      </c>
      <c r="L4778" s="24">
        <f t="shared" si="374"/>
        <v>0</v>
      </c>
    </row>
    <row r="4779" spans="1:12" ht="15" customHeight="1" x14ac:dyDescent="0.3">
      <c r="A4779" s="23" t="s">
        <v>18123</v>
      </c>
      <c r="B4779" s="23" t="s">
        <v>77</v>
      </c>
      <c r="C4779" s="39">
        <v>9797</v>
      </c>
      <c r="D4779" s="24">
        <v>166.55</v>
      </c>
      <c r="E4779" s="24">
        <v>29.98</v>
      </c>
      <c r="F4779" s="23">
        <f>COUNTIFS(mdr_rate_cleaned!$A$2:$A$10,B4779,mdr_rate_cleaned!$B$2:$B$10,"&lt;"&amp;C4779,mdr_rate_cleaned!$F$2:$F$10,"&gt;="&amp;C4779)</f>
        <v>1</v>
      </c>
      <c r="G4779" s="40">
        <f>SUMIFS(mdr_rate_cleaned!$G$2:$G$10,mdr_rate_cleaned!$A$2:$A$10,B4779,mdr_rate_cleaned!$B$2:$B$10,"&lt;"&amp;C4779,mdr_rate_cleaned!$F$2:$F$10,"&gt;="&amp;C4779)</f>
        <v>1.7000000000000001E-2</v>
      </c>
      <c r="H4779" s="24">
        <f t="shared" si="370"/>
        <v>166.55</v>
      </c>
      <c r="I4779" s="23" t="str">
        <f t="shared" si="371"/>
        <v>Match</v>
      </c>
      <c r="J4779" s="23" t="str">
        <f t="shared" si="372"/>
        <v>Match</v>
      </c>
      <c r="K4779" s="24">
        <f t="shared" si="373"/>
        <v>29.98</v>
      </c>
      <c r="L4779" s="24">
        <f t="shared" si="374"/>
        <v>0</v>
      </c>
    </row>
    <row r="4780" spans="1:12" ht="15" customHeight="1" x14ac:dyDescent="0.3">
      <c r="A4780" s="23" t="s">
        <v>18124</v>
      </c>
      <c r="B4780" s="23" t="s">
        <v>75</v>
      </c>
      <c r="C4780" s="39">
        <v>12998</v>
      </c>
      <c r="D4780" s="24">
        <v>38.99</v>
      </c>
      <c r="E4780" s="24">
        <v>7.02</v>
      </c>
      <c r="F4780" s="23">
        <f>COUNTIFS(mdr_rate_cleaned!$A$2:$A$10,B4780,mdr_rate_cleaned!$B$2:$B$10,"&lt;"&amp;C4780,mdr_rate_cleaned!$F$2:$F$10,"&gt;="&amp;C4780)</f>
        <v>1</v>
      </c>
      <c r="G4780" s="40">
        <f>SUMIFS(mdr_rate_cleaned!$G$2:$G$10,mdr_rate_cleaned!$A$2:$A$10,B4780,mdr_rate_cleaned!$B$2:$B$10,"&lt;"&amp;C4780,mdr_rate_cleaned!$F$2:$F$10,"&gt;="&amp;C4780)</f>
        <v>3.0000000000000001E-3</v>
      </c>
      <c r="H4780" s="24">
        <f t="shared" si="370"/>
        <v>38.99</v>
      </c>
      <c r="I4780" s="23" t="str">
        <f t="shared" si="371"/>
        <v>Match</v>
      </c>
      <c r="J4780" s="23" t="str">
        <f t="shared" si="372"/>
        <v>Match</v>
      </c>
      <c r="K4780" s="24">
        <f t="shared" si="373"/>
        <v>7.02</v>
      </c>
      <c r="L4780" s="24">
        <f t="shared" si="374"/>
        <v>0</v>
      </c>
    </row>
    <row r="4781" spans="1:12" ht="15" customHeight="1" x14ac:dyDescent="0.3">
      <c r="A4781" s="23" t="s">
        <v>18126</v>
      </c>
      <c r="B4781" s="23" t="s">
        <v>79</v>
      </c>
      <c r="C4781" s="39">
        <v>9298</v>
      </c>
      <c r="D4781" s="24">
        <v>148.77000000000001</v>
      </c>
      <c r="E4781" s="24">
        <v>26.78</v>
      </c>
      <c r="F4781" s="23">
        <f>COUNTIFS(mdr_rate_cleaned!$A$2:$A$10,B4781,mdr_rate_cleaned!$B$2:$B$10,"&lt;"&amp;C4781,mdr_rate_cleaned!$F$2:$F$10,"&gt;="&amp;C4781)</f>
        <v>1</v>
      </c>
      <c r="G4781" s="40">
        <f>SUMIFS(mdr_rate_cleaned!$G$2:$G$10,mdr_rate_cleaned!$A$2:$A$10,B4781,mdr_rate_cleaned!$B$2:$B$10,"&lt;"&amp;C4781,mdr_rate_cleaned!$F$2:$F$10,"&gt;="&amp;C4781)</f>
        <v>1.6E-2</v>
      </c>
      <c r="H4781" s="24">
        <f t="shared" si="370"/>
        <v>148.77000000000001</v>
      </c>
      <c r="I4781" s="23" t="str">
        <f t="shared" si="371"/>
        <v>Match</v>
      </c>
      <c r="J4781" s="23" t="str">
        <f t="shared" si="372"/>
        <v>Match</v>
      </c>
      <c r="K4781" s="24">
        <f t="shared" si="373"/>
        <v>26.78</v>
      </c>
      <c r="L4781" s="24">
        <f t="shared" si="374"/>
        <v>0</v>
      </c>
    </row>
    <row r="4782" spans="1:12" ht="15" customHeight="1" x14ac:dyDescent="0.3">
      <c r="A4782" s="23" t="s">
        <v>18127</v>
      </c>
      <c r="B4782" s="23" t="s">
        <v>75</v>
      </c>
      <c r="C4782" s="39">
        <v>1498</v>
      </c>
      <c r="D4782" s="24">
        <v>0</v>
      </c>
      <c r="E4782" s="24">
        <v>0</v>
      </c>
      <c r="F4782" s="23">
        <f>COUNTIFS(mdr_rate_cleaned!$A$2:$A$10,B4782,mdr_rate_cleaned!$B$2:$B$10,"&lt;"&amp;C4782,mdr_rate_cleaned!$F$2:$F$10,"&gt;="&amp;C4782)</f>
        <v>1</v>
      </c>
      <c r="G4782" s="40">
        <f>SUMIFS(mdr_rate_cleaned!$G$2:$G$10,mdr_rate_cleaned!$A$2:$A$10,B4782,mdr_rate_cleaned!$B$2:$B$10,"&lt;"&amp;C4782,mdr_rate_cleaned!$F$2:$F$10,"&gt;="&amp;C4782)</f>
        <v>0</v>
      </c>
      <c r="H4782" s="24">
        <f t="shared" si="370"/>
        <v>0</v>
      </c>
      <c r="I4782" s="23" t="str">
        <f t="shared" si="371"/>
        <v>Match</v>
      </c>
      <c r="J4782" s="23" t="str">
        <f t="shared" si="372"/>
        <v>Match</v>
      </c>
      <c r="K4782" s="24">
        <f t="shared" si="373"/>
        <v>0</v>
      </c>
      <c r="L4782" s="24">
        <f t="shared" si="374"/>
        <v>0</v>
      </c>
    </row>
    <row r="4783" spans="1:12" ht="15" customHeight="1" x14ac:dyDescent="0.3">
      <c r="A4783" s="23" t="s">
        <v>18128</v>
      </c>
      <c r="B4783" s="23" t="s">
        <v>77</v>
      </c>
      <c r="C4783" s="39">
        <v>499</v>
      </c>
      <c r="D4783" s="24">
        <v>9.48</v>
      </c>
      <c r="E4783" s="24">
        <v>1.71</v>
      </c>
      <c r="F4783" s="23">
        <f>COUNTIFS(mdr_rate_cleaned!$A$2:$A$10,B4783,mdr_rate_cleaned!$B$2:$B$10,"&lt;"&amp;C4783,mdr_rate_cleaned!$F$2:$F$10,"&gt;="&amp;C4783)</f>
        <v>1</v>
      </c>
      <c r="G4783" s="40">
        <f>SUMIFS(mdr_rate_cleaned!$G$2:$G$10,mdr_rate_cleaned!$A$2:$A$10,B4783,mdr_rate_cleaned!$B$2:$B$10,"&lt;"&amp;C4783,mdr_rate_cleaned!$F$2:$F$10,"&gt;="&amp;C4783)</f>
        <v>1.9E-2</v>
      </c>
      <c r="H4783" s="24">
        <f t="shared" si="370"/>
        <v>9.48</v>
      </c>
      <c r="I4783" s="23" t="str">
        <f t="shared" si="371"/>
        <v>Match</v>
      </c>
      <c r="J4783" s="23" t="str">
        <f t="shared" si="372"/>
        <v>Match</v>
      </c>
      <c r="K4783" s="24">
        <f t="shared" si="373"/>
        <v>1.71</v>
      </c>
      <c r="L4783" s="24">
        <f t="shared" si="374"/>
        <v>0</v>
      </c>
    </row>
    <row r="4784" spans="1:12" ht="15" customHeight="1" x14ac:dyDescent="0.3">
      <c r="A4784" s="23" t="s">
        <v>18129</v>
      </c>
      <c r="B4784" s="23" t="s">
        <v>79</v>
      </c>
      <c r="C4784" s="39">
        <v>4298</v>
      </c>
      <c r="D4784" s="24">
        <v>68.77</v>
      </c>
      <c r="E4784" s="24">
        <v>12.38</v>
      </c>
      <c r="F4784" s="23">
        <f>COUNTIFS(mdr_rate_cleaned!$A$2:$A$10,B4784,mdr_rate_cleaned!$B$2:$B$10,"&lt;"&amp;C4784,mdr_rate_cleaned!$F$2:$F$10,"&gt;="&amp;C4784)</f>
        <v>1</v>
      </c>
      <c r="G4784" s="40">
        <f>SUMIFS(mdr_rate_cleaned!$G$2:$G$10,mdr_rate_cleaned!$A$2:$A$10,B4784,mdr_rate_cleaned!$B$2:$B$10,"&lt;"&amp;C4784,mdr_rate_cleaned!$F$2:$F$10,"&gt;="&amp;C4784)</f>
        <v>1.6E-2</v>
      </c>
      <c r="H4784" s="24">
        <f t="shared" si="370"/>
        <v>68.77</v>
      </c>
      <c r="I4784" s="23" t="str">
        <f t="shared" si="371"/>
        <v>Match</v>
      </c>
      <c r="J4784" s="23" t="str">
        <f t="shared" si="372"/>
        <v>Match</v>
      </c>
      <c r="K4784" s="24">
        <f t="shared" si="373"/>
        <v>12.38</v>
      </c>
      <c r="L4784" s="24">
        <f t="shared" si="374"/>
        <v>0</v>
      </c>
    </row>
    <row r="4785" spans="1:12" ht="15" customHeight="1" x14ac:dyDescent="0.3">
      <c r="A4785" s="23" t="s">
        <v>18130</v>
      </c>
      <c r="B4785" s="23" t="s">
        <v>79</v>
      </c>
      <c r="C4785" s="39">
        <v>1799</v>
      </c>
      <c r="D4785" s="24">
        <v>32.380000000000003</v>
      </c>
      <c r="E4785" s="24">
        <v>5.83</v>
      </c>
      <c r="F4785" s="23">
        <f>COUNTIFS(mdr_rate_cleaned!$A$2:$A$10,B4785,mdr_rate_cleaned!$B$2:$B$10,"&lt;"&amp;C4785,mdr_rate_cleaned!$F$2:$F$10,"&gt;="&amp;C4785)</f>
        <v>1</v>
      </c>
      <c r="G4785" s="40">
        <f>SUMIFS(mdr_rate_cleaned!$G$2:$G$10,mdr_rate_cleaned!$A$2:$A$10,B4785,mdr_rate_cleaned!$B$2:$B$10,"&lt;"&amp;C4785,mdr_rate_cleaned!$F$2:$F$10,"&gt;="&amp;C4785)</f>
        <v>1.8000000000000002E-2</v>
      </c>
      <c r="H4785" s="24">
        <f t="shared" si="370"/>
        <v>32.380000000000003</v>
      </c>
      <c r="I4785" s="23" t="str">
        <f t="shared" si="371"/>
        <v>Match</v>
      </c>
      <c r="J4785" s="23" t="str">
        <f t="shared" si="372"/>
        <v>Match</v>
      </c>
      <c r="K4785" s="24">
        <f t="shared" si="373"/>
        <v>5.83</v>
      </c>
      <c r="L4785" s="24">
        <f t="shared" si="374"/>
        <v>0</v>
      </c>
    </row>
    <row r="4786" spans="1:12" ht="15" customHeight="1" x14ac:dyDescent="0.3">
      <c r="A4786" s="23" t="s">
        <v>18132</v>
      </c>
      <c r="B4786" s="23" t="s">
        <v>77</v>
      </c>
      <c r="C4786" s="39">
        <v>5597</v>
      </c>
      <c r="D4786" s="24">
        <v>95.15</v>
      </c>
      <c r="E4786" s="24">
        <v>17.13</v>
      </c>
      <c r="F4786" s="23">
        <f>COUNTIFS(mdr_rate_cleaned!$A$2:$A$10,B4786,mdr_rate_cleaned!$B$2:$B$10,"&lt;"&amp;C4786,mdr_rate_cleaned!$F$2:$F$10,"&gt;="&amp;C4786)</f>
        <v>1</v>
      </c>
      <c r="G4786" s="40">
        <f>SUMIFS(mdr_rate_cleaned!$G$2:$G$10,mdr_rate_cleaned!$A$2:$A$10,B4786,mdr_rate_cleaned!$B$2:$B$10,"&lt;"&amp;C4786,mdr_rate_cleaned!$F$2:$F$10,"&gt;="&amp;C4786)</f>
        <v>1.7000000000000001E-2</v>
      </c>
      <c r="H4786" s="24">
        <f t="shared" si="370"/>
        <v>95.15</v>
      </c>
      <c r="I4786" s="23" t="str">
        <f t="shared" si="371"/>
        <v>Match</v>
      </c>
      <c r="J4786" s="23" t="str">
        <f t="shared" si="372"/>
        <v>Match</v>
      </c>
      <c r="K4786" s="24">
        <f t="shared" si="373"/>
        <v>17.13</v>
      </c>
      <c r="L4786" s="24">
        <f t="shared" si="374"/>
        <v>0</v>
      </c>
    </row>
    <row r="4787" spans="1:12" ht="15" customHeight="1" x14ac:dyDescent="0.3">
      <c r="A4787" s="23" t="s">
        <v>18133</v>
      </c>
      <c r="B4787" s="23" t="s">
        <v>77</v>
      </c>
      <c r="C4787" s="39">
        <v>2798</v>
      </c>
      <c r="D4787" s="24">
        <v>47.57</v>
      </c>
      <c r="E4787" s="24">
        <v>8.56</v>
      </c>
      <c r="F4787" s="23">
        <f>COUNTIFS(mdr_rate_cleaned!$A$2:$A$10,B4787,mdr_rate_cleaned!$B$2:$B$10,"&lt;"&amp;C4787,mdr_rate_cleaned!$F$2:$F$10,"&gt;="&amp;C4787)</f>
        <v>1</v>
      </c>
      <c r="G4787" s="40">
        <f>SUMIFS(mdr_rate_cleaned!$G$2:$G$10,mdr_rate_cleaned!$A$2:$A$10,B4787,mdr_rate_cleaned!$B$2:$B$10,"&lt;"&amp;C4787,mdr_rate_cleaned!$F$2:$F$10,"&gt;="&amp;C4787)</f>
        <v>1.7000000000000001E-2</v>
      </c>
      <c r="H4787" s="24">
        <f t="shared" si="370"/>
        <v>47.57</v>
      </c>
      <c r="I4787" s="23" t="str">
        <f t="shared" si="371"/>
        <v>Match</v>
      </c>
      <c r="J4787" s="23" t="str">
        <f t="shared" si="372"/>
        <v>Match</v>
      </c>
      <c r="K4787" s="24">
        <f t="shared" si="373"/>
        <v>8.56</v>
      </c>
      <c r="L4787" s="24">
        <f t="shared" si="374"/>
        <v>0</v>
      </c>
    </row>
    <row r="4788" spans="1:12" ht="15" customHeight="1" x14ac:dyDescent="0.3">
      <c r="A4788" s="23" t="s">
        <v>18134</v>
      </c>
      <c r="B4788" s="23" t="s">
        <v>79</v>
      </c>
      <c r="C4788" s="39">
        <v>5598</v>
      </c>
      <c r="D4788" s="24">
        <v>89.57</v>
      </c>
      <c r="E4788" s="24">
        <v>16.12</v>
      </c>
      <c r="F4788" s="23">
        <f>COUNTIFS(mdr_rate_cleaned!$A$2:$A$10,B4788,mdr_rate_cleaned!$B$2:$B$10,"&lt;"&amp;C4788,mdr_rate_cleaned!$F$2:$F$10,"&gt;="&amp;C4788)</f>
        <v>1</v>
      </c>
      <c r="G4788" s="40">
        <f>SUMIFS(mdr_rate_cleaned!$G$2:$G$10,mdr_rate_cleaned!$A$2:$A$10,B4788,mdr_rate_cleaned!$B$2:$B$10,"&lt;"&amp;C4788,mdr_rate_cleaned!$F$2:$F$10,"&gt;="&amp;C4788)</f>
        <v>1.6E-2</v>
      </c>
      <c r="H4788" s="24">
        <f t="shared" si="370"/>
        <v>89.57</v>
      </c>
      <c r="I4788" s="23" t="str">
        <f t="shared" si="371"/>
        <v>Match</v>
      </c>
      <c r="J4788" s="23" t="str">
        <f t="shared" si="372"/>
        <v>Match</v>
      </c>
      <c r="K4788" s="24">
        <f t="shared" si="373"/>
        <v>16.12</v>
      </c>
      <c r="L4788" s="24">
        <f t="shared" si="374"/>
        <v>0</v>
      </c>
    </row>
    <row r="4789" spans="1:12" ht="15" customHeight="1" x14ac:dyDescent="0.3">
      <c r="A4789" s="23" t="s">
        <v>18135</v>
      </c>
      <c r="B4789" s="23" t="s">
        <v>79</v>
      </c>
      <c r="C4789" s="39">
        <v>5397</v>
      </c>
      <c r="D4789" s="24">
        <v>86.35</v>
      </c>
      <c r="E4789" s="24">
        <v>15.54</v>
      </c>
      <c r="F4789" s="23">
        <f>COUNTIFS(mdr_rate_cleaned!$A$2:$A$10,B4789,mdr_rate_cleaned!$B$2:$B$10,"&lt;"&amp;C4789,mdr_rate_cleaned!$F$2:$F$10,"&gt;="&amp;C4789)</f>
        <v>1</v>
      </c>
      <c r="G4789" s="40">
        <f>SUMIFS(mdr_rate_cleaned!$G$2:$G$10,mdr_rate_cleaned!$A$2:$A$10,B4789,mdr_rate_cleaned!$B$2:$B$10,"&lt;"&amp;C4789,mdr_rate_cleaned!$F$2:$F$10,"&gt;="&amp;C4789)</f>
        <v>1.6E-2</v>
      </c>
      <c r="H4789" s="24">
        <f t="shared" si="370"/>
        <v>86.35</v>
      </c>
      <c r="I4789" s="23" t="str">
        <f t="shared" si="371"/>
        <v>Match</v>
      </c>
      <c r="J4789" s="23" t="str">
        <f t="shared" si="372"/>
        <v>Match</v>
      </c>
      <c r="K4789" s="24">
        <f t="shared" si="373"/>
        <v>15.54</v>
      </c>
      <c r="L4789" s="24">
        <f t="shared" si="374"/>
        <v>0</v>
      </c>
    </row>
    <row r="4790" spans="1:12" ht="15" customHeight="1" x14ac:dyDescent="0.3">
      <c r="A4790" s="23" t="s">
        <v>18137</v>
      </c>
      <c r="B4790" s="23" t="s">
        <v>75</v>
      </c>
      <c r="C4790" s="39">
        <v>799</v>
      </c>
      <c r="D4790" s="24">
        <v>0</v>
      </c>
      <c r="E4790" s="24">
        <v>0</v>
      </c>
      <c r="F4790" s="23">
        <f>COUNTIFS(mdr_rate_cleaned!$A$2:$A$10,B4790,mdr_rate_cleaned!$B$2:$B$10,"&lt;"&amp;C4790,mdr_rate_cleaned!$F$2:$F$10,"&gt;="&amp;C4790)</f>
        <v>1</v>
      </c>
      <c r="G4790" s="40">
        <f>SUMIFS(mdr_rate_cleaned!$G$2:$G$10,mdr_rate_cleaned!$A$2:$A$10,B4790,mdr_rate_cleaned!$B$2:$B$10,"&lt;"&amp;C4790,mdr_rate_cleaned!$F$2:$F$10,"&gt;="&amp;C4790)</f>
        <v>0</v>
      </c>
      <c r="H4790" s="24">
        <f t="shared" si="370"/>
        <v>0</v>
      </c>
      <c r="I4790" s="23" t="str">
        <f t="shared" si="371"/>
        <v>Match</v>
      </c>
      <c r="J4790" s="23" t="str">
        <f t="shared" si="372"/>
        <v>Match</v>
      </c>
      <c r="K4790" s="24">
        <f t="shared" si="373"/>
        <v>0</v>
      </c>
      <c r="L4790" s="24">
        <f t="shared" si="374"/>
        <v>0</v>
      </c>
    </row>
    <row r="4791" spans="1:12" ht="15" customHeight="1" x14ac:dyDescent="0.3">
      <c r="A4791" s="23" t="s">
        <v>18138</v>
      </c>
      <c r="B4791" s="23" t="s">
        <v>79</v>
      </c>
      <c r="C4791" s="39">
        <v>5998</v>
      </c>
      <c r="D4791" s="24">
        <v>95.97</v>
      </c>
      <c r="E4791" s="24">
        <v>17.27</v>
      </c>
      <c r="F4791" s="23">
        <f>COUNTIFS(mdr_rate_cleaned!$A$2:$A$10,B4791,mdr_rate_cleaned!$B$2:$B$10,"&lt;"&amp;C4791,mdr_rate_cleaned!$F$2:$F$10,"&gt;="&amp;C4791)</f>
        <v>1</v>
      </c>
      <c r="G4791" s="40">
        <f>SUMIFS(mdr_rate_cleaned!$G$2:$G$10,mdr_rate_cleaned!$A$2:$A$10,B4791,mdr_rate_cleaned!$B$2:$B$10,"&lt;"&amp;C4791,mdr_rate_cleaned!$F$2:$F$10,"&gt;="&amp;C4791)</f>
        <v>1.6E-2</v>
      </c>
      <c r="H4791" s="24">
        <f t="shared" si="370"/>
        <v>95.97</v>
      </c>
      <c r="I4791" s="23" t="str">
        <f t="shared" si="371"/>
        <v>Match</v>
      </c>
      <c r="J4791" s="23" t="str">
        <f t="shared" si="372"/>
        <v>Match</v>
      </c>
      <c r="K4791" s="24">
        <f t="shared" si="373"/>
        <v>17.27</v>
      </c>
      <c r="L4791" s="24">
        <f t="shared" si="374"/>
        <v>0</v>
      </c>
    </row>
    <row r="4792" spans="1:12" ht="15" customHeight="1" x14ac:dyDescent="0.3">
      <c r="A4792" s="23" t="s">
        <v>18139</v>
      </c>
      <c r="B4792" s="23" t="s">
        <v>79</v>
      </c>
      <c r="C4792" s="39">
        <v>3298</v>
      </c>
      <c r="D4792" s="24">
        <v>52.77</v>
      </c>
      <c r="E4792" s="24">
        <v>9.5</v>
      </c>
      <c r="F4792" s="23">
        <f>COUNTIFS(mdr_rate_cleaned!$A$2:$A$10,B4792,mdr_rate_cleaned!$B$2:$B$10,"&lt;"&amp;C4792,mdr_rate_cleaned!$F$2:$F$10,"&gt;="&amp;C4792)</f>
        <v>1</v>
      </c>
      <c r="G4792" s="40">
        <f>SUMIFS(mdr_rate_cleaned!$G$2:$G$10,mdr_rate_cleaned!$A$2:$A$10,B4792,mdr_rate_cleaned!$B$2:$B$10,"&lt;"&amp;C4792,mdr_rate_cleaned!$F$2:$F$10,"&gt;="&amp;C4792)</f>
        <v>1.6E-2</v>
      </c>
      <c r="H4792" s="24">
        <f t="shared" si="370"/>
        <v>52.77</v>
      </c>
      <c r="I4792" s="23" t="str">
        <f t="shared" si="371"/>
        <v>Match</v>
      </c>
      <c r="J4792" s="23" t="str">
        <f t="shared" si="372"/>
        <v>Match</v>
      </c>
      <c r="K4792" s="24">
        <f t="shared" si="373"/>
        <v>9.5</v>
      </c>
      <c r="L4792" s="24">
        <f t="shared" si="374"/>
        <v>0</v>
      </c>
    </row>
    <row r="4793" spans="1:12" ht="15" customHeight="1" x14ac:dyDescent="0.3">
      <c r="A4793" s="23" t="s">
        <v>18140</v>
      </c>
      <c r="B4793" s="23" t="s">
        <v>75</v>
      </c>
      <c r="C4793" s="39">
        <v>5348</v>
      </c>
      <c r="D4793" s="24">
        <v>16.04</v>
      </c>
      <c r="E4793" s="24">
        <v>2.89</v>
      </c>
      <c r="F4793" s="23">
        <f>COUNTIFS(mdr_rate_cleaned!$A$2:$A$10,B4793,mdr_rate_cleaned!$B$2:$B$10,"&lt;"&amp;C4793,mdr_rate_cleaned!$F$2:$F$10,"&gt;="&amp;C4793)</f>
        <v>1</v>
      </c>
      <c r="G4793" s="40">
        <f>SUMIFS(mdr_rate_cleaned!$G$2:$G$10,mdr_rate_cleaned!$A$2:$A$10,B4793,mdr_rate_cleaned!$B$2:$B$10,"&lt;"&amp;C4793,mdr_rate_cleaned!$F$2:$F$10,"&gt;="&amp;C4793)</f>
        <v>3.0000000000000001E-3</v>
      </c>
      <c r="H4793" s="24">
        <f t="shared" si="370"/>
        <v>16.04</v>
      </c>
      <c r="I4793" s="23" t="str">
        <f t="shared" si="371"/>
        <v>Match</v>
      </c>
      <c r="J4793" s="23" t="str">
        <f t="shared" si="372"/>
        <v>Match</v>
      </c>
      <c r="K4793" s="24">
        <f t="shared" si="373"/>
        <v>2.89</v>
      </c>
      <c r="L4793" s="24">
        <f t="shared" si="374"/>
        <v>0</v>
      </c>
    </row>
    <row r="4794" spans="1:12" ht="15" customHeight="1" x14ac:dyDescent="0.3">
      <c r="A4794" s="23" t="s">
        <v>18141</v>
      </c>
      <c r="B4794" s="23" t="s">
        <v>75</v>
      </c>
      <c r="C4794" s="39">
        <v>8498</v>
      </c>
      <c r="D4794" s="24">
        <v>25.49</v>
      </c>
      <c r="E4794" s="24">
        <v>4.59</v>
      </c>
      <c r="F4794" s="23">
        <f>COUNTIFS(mdr_rate_cleaned!$A$2:$A$10,B4794,mdr_rate_cleaned!$B$2:$B$10,"&lt;"&amp;C4794,mdr_rate_cleaned!$F$2:$F$10,"&gt;="&amp;C4794)</f>
        <v>1</v>
      </c>
      <c r="G4794" s="40">
        <f>SUMIFS(mdr_rate_cleaned!$G$2:$G$10,mdr_rate_cleaned!$A$2:$A$10,B4794,mdr_rate_cleaned!$B$2:$B$10,"&lt;"&amp;C4794,mdr_rate_cleaned!$F$2:$F$10,"&gt;="&amp;C4794)</f>
        <v>3.0000000000000001E-3</v>
      </c>
      <c r="H4794" s="24">
        <f t="shared" si="370"/>
        <v>25.49</v>
      </c>
      <c r="I4794" s="23" t="str">
        <f t="shared" si="371"/>
        <v>Match</v>
      </c>
      <c r="J4794" s="23" t="str">
        <f t="shared" si="372"/>
        <v>Match</v>
      </c>
      <c r="K4794" s="24">
        <f t="shared" si="373"/>
        <v>4.59</v>
      </c>
      <c r="L4794" s="24">
        <f t="shared" si="374"/>
        <v>0</v>
      </c>
    </row>
    <row r="4795" spans="1:12" ht="15" customHeight="1" x14ac:dyDescent="0.3">
      <c r="A4795" s="23" t="s">
        <v>18142</v>
      </c>
      <c r="B4795" s="23" t="s">
        <v>79</v>
      </c>
      <c r="C4795" s="39">
        <v>599</v>
      </c>
      <c r="D4795" s="24">
        <v>10.78</v>
      </c>
      <c r="E4795" s="24">
        <v>1.94</v>
      </c>
      <c r="F4795" s="23">
        <f>COUNTIFS(mdr_rate_cleaned!$A$2:$A$10,B4795,mdr_rate_cleaned!$B$2:$B$10,"&lt;"&amp;C4795,mdr_rate_cleaned!$F$2:$F$10,"&gt;="&amp;C4795)</f>
        <v>1</v>
      </c>
      <c r="G4795" s="40">
        <f>SUMIFS(mdr_rate_cleaned!$G$2:$G$10,mdr_rate_cleaned!$A$2:$A$10,B4795,mdr_rate_cleaned!$B$2:$B$10,"&lt;"&amp;C4795,mdr_rate_cleaned!$F$2:$F$10,"&gt;="&amp;C4795)</f>
        <v>1.8000000000000002E-2</v>
      </c>
      <c r="H4795" s="24">
        <f t="shared" si="370"/>
        <v>10.78</v>
      </c>
      <c r="I4795" s="23" t="str">
        <f t="shared" si="371"/>
        <v>Match</v>
      </c>
      <c r="J4795" s="23" t="str">
        <f t="shared" si="372"/>
        <v>Match</v>
      </c>
      <c r="K4795" s="24">
        <f t="shared" si="373"/>
        <v>1.94</v>
      </c>
      <c r="L4795" s="24">
        <f t="shared" si="374"/>
        <v>0</v>
      </c>
    </row>
    <row r="4796" spans="1:12" ht="15" customHeight="1" x14ac:dyDescent="0.3">
      <c r="A4796" s="23" t="s">
        <v>18144</v>
      </c>
      <c r="B4796" s="23" t="s">
        <v>75</v>
      </c>
      <c r="C4796" s="39">
        <v>4197</v>
      </c>
      <c r="D4796" s="24">
        <v>12.59</v>
      </c>
      <c r="E4796" s="24">
        <v>2.27</v>
      </c>
      <c r="F4796" s="23">
        <f>COUNTIFS(mdr_rate_cleaned!$A$2:$A$10,B4796,mdr_rate_cleaned!$B$2:$B$10,"&lt;"&amp;C4796,mdr_rate_cleaned!$F$2:$F$10,"&gt;="&amp;C4796)</f>
        <v>1</v>
      </c>
      <c r="G4796" s="40">
        <f>SUMIFS(mdr_rate_cleaned!$G$2:$G$10,mdr_rate_cleaned!$A$2:$A$10,B4796,mdr_rate_cleaned!$B$2:$B$10,"&lt;"&amp;C4796,mdr_rate_cleaned!$F$2:$F$10,"&gt;="&amp;C4796)</f>
        <v>3.0000000000000001E-3</v>
      </c>
      <c r="H4796" s="24">
        <f t="shared" si="370"/>
        <v>12.59</v>
      </c>
      <c r="I4796" s="23" t="str">
        <f t="shared" si="371"/>
        <v>Match</v>
      </c>
      <c r="J4796" s="23" t="str">
        <f t="shared" si="372"/>
        <v>Match</v>
      </c>
      <c r="K4796" s="24">
        <f t="shared" si="373"/>
        <v>2.27</v>
      </c>
      <c r="L4796" s="24">
        <f t="shared" si="374"/>
        <v>0</v>
      </c>
    </row>
    <row r="4797" spans="1:12" ht="15" customHeight="1" x14ac:dyDescent="0.3">
      <c r="A4797" s="23" t="s">
        <v>18145</v>
      </c>
      <c r="B4797" s="23" t="s">
        <v>75</v>
      </c>
      <c r="C4797" s="39">
        <v>5298</v>
      </c>
      <c r="D4797" s="24">
        <v>15.89</v>
      </c>
      <c r="E4797" s="24">
        <v>2.86</v>
      </c>
      <c r="F4797" s="23">
        <f>COUNTIFS(mdr_rate_cleaned!$A$2:$A$10,B4797,mdr_rate_cleaned!$B$2:$B$10,"&lt;"&amp;C4797,mdr_rate_cleaned!$F$2:$F$10,"&gt;="&amp;C4797)</f>
        <v>1</v>
      </c>
      <c r="G4797" s="40">
        <f>SUMIFS(mdr_rate_cleaned!$G$2:$G$10,mdr_rate_cleaned!$A$2:$A$10,B4797,mdr_rate_cleaned!$B$2:$B$10,"&lt;"&amp;C4797,mdr_rate_cleaned!$F$2:$F$10,"&gt;="&amp;C4797)</f>
        <v>3.0000000000000001E-3</v>
      </c>
      <c r="H4797" s="24">
        <f t="shared" si="370"/>
        <v>15.89</v>
      </c>
      <c r="I4797" s="23" t="str">
        <f t="shared" si="371"/>
        <v>Match</v>
      </c>
      <c r="J4797" s="23" t="str">
        <f t="shared" si="372"/>
        <v>Match</v>
      </c>
      <c r="K4797" s="24">
        <f t="shared" si="373"/>
        <v>2.86</v>
      </c>
      <c r="L4797" s="24">
        <f t="shared" si="374"/>
        <v>0</v>
      </c>
    </row>
    <row r="4798" spans="1:12" ht="15" customHeight="1" x14ac:dyDescent="0.3">
      <c r="A4798" s="23" t="s">
        <v>18146</v>
      </c>
      <c r="B4798" s="23" t="s">
        <v>77</v>
      </c>
      <c r="C4798" s="39">
        <v>1499</v>
      </c>
      <c r="D4798" s="24">
        <v>28.48</v>
      </c>
      <c r="E4798" s="24">
        <v>5.13</v>
      </c>
      <c r="F4798" s="23">
        <f>COUNTIFS(mdr_rate_cleaned!$A$2:$A$10,B4798,mdr_rate_cleaned!$B$2:$B$10,"&lt;"&amp;C4798,mdr_rate_cleaned!$F$2:$F$10,"&gt;="&amp;C4798)</f>
        <v>1</v>
      </c>
      <c r="G4798" s="40">
        <f>SUMIFS(mdr_rate_cleaned!$G$2:$G$10,mdr_rate_cleaned!$A$2:$A$10,B4798,mdr_rate_cleaned!$B$2:$B$10,"&lt;"&amp;C4798,mdr_rate_cleaned!$F$2:$F$10,"&gt;="&amp;C4798)</f>
        <v>1.9E-2</v>
      </c>
      <c r="H4798" s="24">
        <f t="shared" si="370"/>
        <v>28.48</v>
      </c>
      <c r="I4798" s="23" t="str">
        <f t="shared" si="371"/>
        <v>Match</v>
      </c>
      <c r="J4798" s="23" t="str">
        <f t="shared" si="372"/>
        <v>Match</v>
      </c>
      <c r="K4798" s="24">
        <f t="shared" si="373"/>
        <v>5.13</v>
      </c>
      <c r="L4798" s="24">
        <f t="shared" si="374"/>
        <v>0</v>
      </c>
    </row>
    <row r="4799" spans="1:12" ht="15" customHeight="1" x14ac:dyDescent="0.3">
      <c r="A4799" s="23" t="s">
        <v>18148</v>
      </c>
      <c r="B4799" s="23" t="s">
        <v>75</v>
      </c>
      <c r="C4799" s="39">
        <v>4797</v>
      </c>
      <c r="D4799" s="24">
        <v>14.39</v>
      </c>
      <c r="E4799" s="24">
        <v>2.59</v>
      </c>
      <c r="F4799" s="23">
        <f>COUNTIFS(mdr_rate_cleaned!$A$2:$A$10,B4799,mdr_rate_cleaned!$B$2:$B$10,"&lt;"&amp;C4799,mdr_rate_cleaned!$F$2:$F$10,"&gt;="&amp;C4799)</f>
        <v>1</v>
      </c>
      <c r="G4799" s="40">
        <f>SUMIFS(mdr_rate_cleaned!$G$2:$G$10,mdr_rate_cleaned!$A$2:$A$10,B4799,mdr_rate_cleaned!$B$2:$B$10,"&lt;"&amp;C4799,mdr_rate_cleaned!$F$2:$F$10,"&gt;="&amp;C4799)</f>
        <v>3.0000000000000001E-3</v>
      </c>
      <c r="H4799" s="24">
        <f t="shared" si="370"/>
        <v>14.39</v>
      </c>
      <c r="I4799" s="23" t="str">
        <f t="shared" si="371"/>
        <v>Match</v>
      </c>
      <c r="J4799" s="23" t="str">
        <f t="shared" si="372"/>
        <v>Match</v>
      </c>
      <c r="K4799" s="24">
        <f t="shared" si="373"/>
        <v>2.59</v>
      </c>
      <c r="L4799" s="24">
        <f t="shared" si="374"/>
        <v>0</v>
      </c>
    </row>
    <row r="4800" spans="1:12" ht="15" customHeight="1" x14ac:dyDescent="0.3">
      <c r="A4800" s="23" t="s">
        <v>18149</v>
      </c>
      <c r="B4800" s="23" t="s">
        <v>79</v>
      </c>
      <c r="C4800" s="39">
        <v>6998</v>
      </c>
      <c r="D4800" s="24">
        <v>111.97</v>
      </c>
      <c r="E4800" s="24">
        <v>20.149999999999999</v>
      </c>
      <c r="F4800" s="23">
        <f>COUNTIFS(mdr_rate_cleaned!$A$2:$A$10,B4800,mdr_rate_cleaned!$B$2:$B$10,"&lt;"&amp;C4800,mdr_rate_cleaned!$F$2:$F$10,"&gt;="&amp;C4800)</f>
        <v>1</v>
      </c>
      <c r="G4800" s="40">
        <f>SUMIFS(mdr_rate_cleaned!$G$2:$G$10,mdr_rate_cleaned!$A$2:$A$10,B4800,mdr_rate_cleaned!$B$2:$B$10,"&lt;"&amp;C4800,mdr_rate_cleaned!$F$2:$F$10,"&gt;="&amp;C4800)</f>
        <v>1.6E-2</v>
      </c>
      <c r="H4800" s="24">
        <f t="shared" si="370"/>
        <v>111.97</v>
      </c>
      <c r="I4800" s="23" t="str">
        <f t="shared" si="371"/>
        <v>Match</v>
      </c>
      <c r="J4800" s="23" t="str">
        <f t="shared" si="372"/>
        <v>Match</v>
      </c>
      <c r="K4800" s="24">
        <f t="shared" si="373"/>
        <v>20.149999999999999</v>
      </c>
      <c r="L4800" s="24">
        <f t="shared" si="374"/>
        <v>0</v>
      </c>
    </row>
    <row r="4801" spans="1:12" ht="15" customHeight="1" x14ac:dyDescent="0.3">
      <c r="A4801" s="23" t="s">
        <v>18150</v>
      </c>
      <c r="B4801" s="23" t="s">
        <v>81</v>
      </c>
      <c r="C4801" s="39">
        <v>1499</v>
      </c>
      <c r="D4801" s="24">
        <v>22.49</v>
      </c>
      <c r="E4801" s="24">
        <v>4.05</v>
      </c>
      <c r="F4801" s="23">
        <f>COUNTIFS(mdr_rate_cleaned!$A$2:$A$10,B4801,mdr_rate_cleaned!$B$2:$B$10,"&lt;"&amp;C4801,mdr_rate_cleaned!$F$2:$F$10,"&gt;="&amp;C4801)</f>
        <v>1</v>
      </c>
      <c r="G4801" s="40">
        <f>SUMIFS(mdr_rate_cleaned!$G$2:$G$10,mdr_rate_cleaned!$A$2:$A$10,B4801,mdr_rate_cleaned!$B$2:$B$10,"&lt;"&amp;C4801,mdr_rate_cleaned!$F$2:$F$10,"&gt;="&amp;C4801)</f>
        <v>1.4999999999999999E-2</v>
      </c>
      <c r="H4801" s="24">
        <f t="shared" si="370"/>
        <v>22.49</v>
      </c>
      <c r="I4801" s="23" t="str">
        <f t="shared" si="371"/>
        <v>Match</v>
      </c>
      <c r="J4801" s="23" t="str">
        <f t="shared" si="372"/>
        <v>Match</v>
      </c>
      <c r="K4801" s="24">
        <f t="shared" si="373"/>
        <v>4.05</v>
      </c>
      <c r="L4801" s="24">
        <f t="shared" si="374"/>
        <v>0</v>
      </c>
    </row>
    <row r="4802" spans="1:12" ht="15" customHeight="1" x14ac:dyDescent="0.3">
      <c r="A4802" s="23" t="s">
        <v>18151</v>
      </c>
      <c r="B4802" s="23" t="s">
        <v>77</v>
      </c>
      <c r="C4802" s="39">
        <v>1798</v>
      </c>
      <c r="D4802" s="24">
        <v>34.159999999999997</v>
      </c>
      <c r="E4802" s="24">
        <v>6.15</v>
      </c>
      <c r="F4802" s="23">
        <f>COUNTIFS(mdr_rate_cleaned!$A$2:$A$10,B4802,mdr_rate_cleaned!$B$2:$B$10,"&lt;"&amp;C4802,mdr_rate_cleaned!$F$2:$F$10,"&gt;="&amp;C4802)</f>
        <v>1</v>
      </c>
      <c r="G4802" s="40">
        <f>SUMIFS(mdr_rate_cleaned!$G$2:$G$10,mdr_rate_cleaned!$A$2:$A$10,B4802,mdr_rate_cleaned!$B$2:$B$10,"&lt;"&amp;C4802,mdr_rate_cleaned!$F$2:$F$10,"&gt;="&amp;C4802)</f>
        <v>1.9E-2</v>
      </c>
      <c r="H4802" s="24">
        <f t="shared" ref="H4802:H4865" si="375">ROUND(C4802*G4802,2)</f>
        <v>34.159999999999997</v>
      </c>
      <c r="I4802" s="23" t="str">
        <f t="shared" ref="I4802:I4865" si="376">IF(ROUND(D4802-H4802,2)=0,"Match","Differs")</f>
        <v>Match</v>
      </c>
      <c r="J4802" s="23" t="str">
        <f t="shared" ref="J4802:J4865" si="377">IF(ROUND(E4802-ROUND(D4802*0.18,2),2)=0,"Match","Differs")</f>
        <v>Match</v>
      </c>
      <c r="K4802" s="24">
        <f t="shared" ref="K4802:K4865" si="378">ROUND(H4802*0.18,2)</f>
        <v>6.15</v>
      </c>
      <c r="L4802" s="24">
        <f t="shared" ref="L4802:L4865" si="379">ROUND(D4802+E4802-H4802-K4802,2)</f>
        <v>0</v>
      </c>
    </row>
    <row r="4803" spans="1:12" ht="15" customHeight="1" x14ac:dyDescent="0.3">
      <c r="A4803" s="23" t="s">
        <v>18152</v>
      </c>
      <c r="B4803" s="23" t="s">
        <v>77</v>
      </c>
      <c r="C4803" s="39">
        <v>1298</v>
      </c>
      <c r="D4803" s="24">
        <v>24.66</v>
      </c>
      <c r="E4803" s="24">
        <v>4.4400000000000004</v>
      </c>
      <c r="F4803" s="23">
        <f>COUNTIFS(mdr_rate_cleaned!$A$2:$A$10,B4803,mdr_rate_cleaned!$B$2:$B$10,"&lt;"&amp;C4803,mdr_rate_cleaned!$F$2:$F$10,"&gt;="&amp;C4803)</f>
        <v>1</v>
      </c>
      <c r="G4803" s="40">
        <f>SUMIFS(mdr_rate_cleaned!$G$2:$G$10,mdr_rate_cleaned!$A$2:$A$10,B4803,mdr_rate_cleaned!$B$2:$B$10,"&lt;"&amp;C4803,mdr_rate_cleaned!$F$2:$F$10,"&gt;="&amp;C4803)</f>
        <v>1.9E-2</v>
      </c>
      <c r="H4803" s="24">
        <f t="shared" si="375"/>
        <v>24.66</v>
      </c>
      <c r="I4803" s="23" t="str">
        <f t="shared" si="376"/>
        <v>Match</v>
      </c>
      <c r="J4803" s="23" t="str">
        <f t="shared" si="377"/>
        <v>Match</v>
      </c>
      <c r="K4803" s="24">
        <f t="shared" si="378"/>
        <v>4.4400000000000004</v>
      </c>
      <c r="L4803" s="24">
        <f t="shared" si="379"/>
        <v>0</v>
      </c>
    </row>
    <row r="4804" spans="1:12" ht="15" customHeight="1" x14ac:dyDescent="0.3">
      <c r="A4804" s="23" t="s">
        <v>18153</v>
      </c>
      <c r="B4804" s="23" t="s">
        <v>75</v>
      </c>
      <c r="C4804" s="39">
        <v>2098</v>
      </c>
      <c r="D4804" s="24">
        <v>6.29</v>
      </c>
      <c r="E4804" s="24">
        <v>1.1299999999999999</v>
      </c>
      <c r="F4804" s="23">
        <f>COUNTIFS(mdr_rate_cleaned!$A$2:$A$10,B4804,mdr_rate_cleaned!$B$2:$B$10,"&lt;"&amp;C4804,mdr_rate_cleaned!$F$2:$F$10,"&gt;="&amp;C4804)</f>
        <v>1</v>
      </c>
      <c r="G4804" s="40">
        <f>SUMIFS(mdr_rate_cleaned!$G$2:$G$10,mdr_rate_cleaned!$A$2:$A$10,B4804,mdr_rate_cleaned!$B$2:$B$10,"&lt;"&amp;C4804,mdr_rate_cleaned!$F$2:$F$10,"&gt;="&amp;C4804)</f>
        <v>3.0000000000000001E-3</v>
      </c>
      <c r="H4804" s="24">
        <f t="shared" si="375"/>
        <v>6.29</v>
      </c>
      <c r="I4804" s="23" t="str">
        <f t="shared" si="376"/>
        <v>Match</v>
      </c>
      <c r="J4804" s="23" t="str">
        <f t="shared" si="377"/>
        <v>Match</v>
      </c>
      <c r="K4804" s="24">
        <f t="shared" si="378"/>
        <v>1.1299999999999999</v>
      </c>
      <c r="L4804" s="24">
        <f t="shared" si="379"/>
        <v>0</v>
      </c>
    </row>
    <row r="4805" spans="1:12" ht="15" customHeight="1" x14ac:dyDescent="0.3">
      <c r="A4805" s="23" t="s">
        <v>18154</v>
      </c>
      <c r="B4805" s="23" t="s">
        <v>75</v>
      </c>
      <c r="C4805" s="39">
        <v>349</v>
      </c>
      <c r="D4805" s="24">
        <v>0</v>
      </c>
      <c r="E4805" s="24">
        <v>0</v>
      </c>
      <c r="F4805" s="23">
        <f>COUNTIFS(mdr_rate_cleaned!$A$2:$A$10,B4805,mdr_rate_cleaned!$B$2:$B$10,"&lt;"&amp;C4805,mdr_rate_cleaned!$F$2:$F$10,"&gt;="&amp;C4805)</f>
        <v>1</v>
      </c>
      <c r="G4805" s="40">
        <f>SUMIFS(mdr_rate_cleaned!$G$2:$G$10,mdr_rate_cleaned!$A$2:$A$10,B4805,mdr_rate_cleaned!$B$2:$B$10,"&lt;"&amp;C4805,mdr_rate_cleaned!$F$2:$F$10,"&gt;="&amp;C4805)</f>
        <v>0</v>
      </c>
      <c r="H4805" s="24">
        <f t="shared" si="375"/>
        <v>0</v>
      </c>
      <c r="I4805" s="23" t="str">
        <f t="shared" si="376"/>
        <v>Match</v>
      </c>
      <c r="J4805" s="23" t="str">
        <f t="shared" si="377"/>
        <v>Match</v>
      </c>
      <c r="K4805" s="24">
        <f t="shared" si="378"/>
        <v>0</v>
      </c>
      <c r="L4805" s="24">
        <f t="shared" si="379"/>
        <v>0</v>
      </c>
    </row>
    <row r="4806" spans="1:12" ht="15" customHeight="1" x14ac:dyDescent="0.3">
      <c r="A4806" s="23" t="s">
        <v>18155</v>
      </c>
      <c r="B4806" s="23" t="s">
        <v>75</v>
      </c>
      <c r="C4806" s="39">
        <v>2897</v>
      </c>
      <c r="D4806" s="24">
        <v>8.69</v>
      </c>
      <c r="E4806" s="24">
        <v>1.56</v>
      </c>
      <c r="F4806" s="23">
        <f>COUNTIFS(mdr_rate_cleaned!$A$2:$A$10,B4806,mdr_rate_cleaned!$B$2:$B$10,"&lt;"&amp;C4806,mdr_rate_cleaned!$F$2:$F$10,"&gt;="&amp;C4806)</f>
        <v>1</v>
      </c>
      <c r="G4806" s="40">
        <f>SUMIFS(mdr_rate_cleaned!$G$2:$G$10,mdr_rate_cleaned!$A$2:$A$10,B4806,mdr_rate_cleaned!$B$2:$B$10,"&lt;"&amp;C4806,mdr_rate_cleaned!$F$2:$F$10,"&gt;="&amp;C4806)</f>
        <v>3.0000000000000001E-3</v>
      </c>
      <c r="H4806" s="24">
        <f t="shared" si="375"/>
        <v>8.69</v>
      </c>
      <c r="I4806" s="23" t="str">
        <f t="shared" si="376"/>
        <v>Match</v>
      </c>
      <c r="J4806" s="23" t="str">
        <f t="shared" si="377"/>
        <v>Match</v>
      </c>
      <c r="K4806" s="24">
        <f t="shared" si="378"/>
        <v>1.56</v>
      </c>
      <c r="L4806" s="24">
        <f t="shared" si="379"/>
        <v>0</v>
      </c>
    </row>
    <row r="4807" spans="1:12" ht="15" customHeight="1" x14ac:dyDescent="0.3">
      <c r="A4807" s="23" t="s">
        <v>18156</v>
      </c>
      <c r="B4807" s="23" t="s">
        <v>77</v>
      </c>
      <c r="C4807" s="39">
        <v>349</v>
      </c>
      <c r="D4807" s="24">
        <v>6.63</v>
      </c>
      <c r="E4807" s="24">
        <v>1.19</v>
      </c>
      <c r="F4807" s="23">
        <f>COUNTIFS(mdr_rate_cleaned!$A$2:$A$10,B4807,mdr_rate_cleaned!$B$2:$B$10,"&lt;"&amp;C4807,mdr_rate_cleaned!$F$2:$F$10,"&gt;="&amp;C4807)</f>
        <v>1</v>
      </c>
      <c r="G4807" s="40">
        <f>SUMIFS(mdr_rate_cleaned!$G$2:$G$10,mdr_rate_cleaned!$A$2:$A$10,B4807,mdr_rate_cleaned!$B$2:$B$10,"&lt;"&amp;C4807,mdr_rate_cleaned!$F$2:$F$10,"&gt;="&amp;C4807)</f>
        <v>1.9E-2</v>
      </c>
      <c r="H4807" s="24">
        <f t="shared" si="375"/>
        <v>6.63</v>
      </c>
      <c r="I4807" s="23" t="str">
        <f t="shared" si="376"/>
        <v>Match</v>
      </c>
      <c r="J4807" s="23" t="str">
        <f t="shared" si="377"/>
        <v>Match</v>
      </c>
      <c r="K4807" s="24">
        <f t="shared" si="378"/>
        <v>1.19</v>
      </c>
      <c r="L4807" s="24">
        <f t="shared" si="379"/>
        <v>0</v>
      </c>
    </row>
    <row r="4808" spans="1:12" ht="15" customHeight="1" x14ac:dyDescent="0.3">
      <c r="A4808" s="23" t="s">
        <v>18157</v>
      </c>
      <c r="B4808" s="23" t="s">
        <v>75</v>
      </c>
      <c r="C4808" s="39">
        <v>6597</v>
      </c>
      <c r="D4808" s="24">
        <v>19.79</v>
      </c>
      <c r="E4808" s="24">
        <v>3.56</v>
      </c>
      <c r="F4808" s="23">
        <f>COUNTIFS(mdr_rate_cleaned!$A$2:$A$10,B4808,mdr_rate_cleaned!$B$2:$B$10,"&lt;"&amp;C4808,mdr_rate_cleaned!$F$2:$F$10,"&gt;="&amp;C4808)</f>
        <v>1</v>
      </c>
      <c r="G4808" s="40">
        <f>SUMIFS(mdr_rate_cleaned!$G$2:$G$10,mdr_rate_cleaned!$A$2:$A$10,B4808,mdr_rate_cleaned!$B$2:$B$10,"&lt;"&amp;C4808,mdr_rate_cleaned!$F$2:$F$10,"&gt;="&amp;C4808)</f>
        <v>3.0000000000000001E-3</v>
      </c>
      <c r="H4808" s="24">
        <f t="shared" si="375"/>
        <v>19.79</v>
      </c>
      <c r="I4808" s="23" t="str">
        <f t="shared" si="376"/>
        <v>Match</v>
      </c>
      <c r="J4808" s="23" t="str">
        <f t="shared" si="377"/>
        <v>Match</v>
      </c>
      <c r="K4808" s="24">
        <f t="shared" si="378"/>
        <v>3.56</v>
      </c>
      <c r="L4808" s="24">
        <f t="shared" si="379"/>
        <v>0</v>
      </c>
    </row>
    <row r="4809" spans="1:12" ht="15" customHeight="1" x14ac:dyDescent="0.3">
      <c r="A4809" s="23" t="s">
        <v>18158</v>
      </c>
      <c r="B4809" s="23" t="s">
        <v>75</v>
      </c>
      <c r="C4809" s="39">
        <v>7999</v>
      </c>
      <c r="D4809" s="24">
        <v>24</v>
      </c>
      <c r="E4809" s="24">
        <v>4.32</v>
      </c>
      <c r="F4809" s="23">
        <f>COUNTIFS(mdr_rate_cleaned!$A$2:$A$10,B4809,mdr_rate_cleaned!$B$2:$B$10,"&lt;"&amp;C4809,mdr_rate_cleaned!$F$2:$F$10,"&gt;="&amp;C4809)</f>
        <v>1</v>
      </c>
      <c r="G4809" s="40">
        <f>SUMIFS(mdr_rate_cleaned!$G$2:$G$10,mdr_rate_cleaned!$A$2:$A$10,B4809,mdr_rate_cleaned!$B$2:$B$10,"&lt;"&amp;C4809,mdr_rate_cleaned!$F$2:$F$10,"&gt;="&amp;C4809)</f>
        <v>3.0000000000000001E-3</v>
      </c>
      <c r="H4809" s="24">
        <f t="shared" si="375"/>
        <v>24</v>
      </c>
      <c r="I4809" s="23" t="str">
        <f t="shared" si="376"/>
        <v>Match</v>
      </c>
      <c r="J4809" s="23" t="str">
        <f t="shared" si="377"/>
        <v>Match</v>
      </c>
      <c r="K4809" s="24">
        <f t="shared" si="378"/>
        <v>4.32</v>
      </c>
      <c r="L4809" s="24">
        <f t="shared" si="379"/>
        <v>0</v>
      </c>
    </row>
    <row r="4810" spans="1:12" ht="15" customHeight="1" x14ac:dyDescent="0.3">
      <c r="A4810" s="23" t="s">
        <v>18159</v>
      </c>
      <c r="B4810" s="23" t="s">
        <v>79</v>
      </c>
      <c r="C4810" s="39">
        <v>999</v>
      </c>
      <c r="D4810" s="24">
        <v>17.98</v>
      </c>
      <c r="E4810" s="24">
        <v>3.24</v>
      </c>
      <c r="F4810" s="23">
        <f>COUNTIFS(mdr_rate_cleaned!$A$2:$A$10,B4810,mdr_rate_cleaned!$B$2:$B$10,"&lt;"&amp;C4810,mdr_rate_cleaned!$F$2:$F$10,"&gt;="&amp;C4810)</f>
        <v>1</v>
      </c>
      <c r="G4810" s="40">
        <f>SUMIFS(mdr_rate_cleaned!$G$2:$G$10,mdr_rate_cleaned!$A$2:$A$10,B4810,mdr_rate_cleaned!$B$2:$B$10,"&lt;"&amp;C4810,mdr_rate_cleaned!$F$2:$F$10,"&gt;="&amp;C4810)</f>
        <v>1.8000000000000002E-2</v>
      </c>
      <c r="H4810" s="24">
        <f t="shared" si="375"/>
        <v>17.98</v>
      </c>
      <c r="I4810" s="23" t="str">
        <f t="shared" si="376"/>
        <v>Match</v>
      </c>
      <c r="J4810" s="23" t="str">
        <f t="shared" si="377"/>
        <v>Match</v>
      </c>
      <c r="K4810" s="24">
        <f t="shared" si="378"/>
        <v>3.24</v>
      </c>
      <c r="L4810" s="24">
        <f t="shared" si="379"/>
        <v>0</v>
      </c>
    </row>
    <row r="4811" spans="1:12" ht="15" customHeight="1" x14ac:dyDescent="0.3">
      <c r="A4811" s="23" t="s">
        <v>18160</v>
      </c>
      <c r="B4811" s="23" t="s">
        <v>75</v>
      </c>
      <c r="C4811" s="39">
        <v>7999</v>
      </c>
      <c r="D4811" s="24">
        <v>24</v>
      </c>
      <c r="E4811" s="24">
        <v>4.32</v>
      </c>
      <c r="F4811" s="23">
        <f>COUNTIFS(mdr_rate_cleaned!$A$2:$A$10,B4811,mdr_rate_cleaned!$B$2:$B$10,"&lt;"&amp;C4811,mdr_rate_cleaned!$F$2:$F$10,"&gt;="&amp;C4811)</f>
        <v>1</v>
      </c>
      <c r="G4811" s="40">
        <f>SUMIFS(mdr_rate_cleaned!$G$2:$G$10,mdr_rate_cleaned!$A$2:$A$10,B4811,mdr_rate_cleaned!$B$2:$B$10,"&lt;"&amp;C4811,mdr_rate_cleaned!$F$2:$F$10,"&gt;="&amp;C4811)</f>
        <v>3.0000000000000001E-3</v>
      </c>
      <c r="H4811" s="24">
        <f t="shared" si="375"/>
        <v>24</v>
      </c>
      <c r="I4811" s="23" t="str">
        <f t="shared" si="376"/>
        <v>Match</v>
      </c>
      <c r="J4811" s="23" t="str">
        <f t="shared" si="377"/>
        <v>Match</v>
      </c>
      <c r="K4811" s="24">
        <f t="shared" si="378"/>
        <v>4.32</v>
      </c>
      <c r="L4811" s="24">
        <f t="shared" si="379"/>
        <v>0</v>
      </c>
    </row>
    <row r="4812" spans="1:12" ht="15" customHeight="1" x14ac:dyDescent="0.3">
      <c r="A4812" s="23" t="s">
        <v>18161</v>
      </c>
      <c r="B4812" s="23" t="s">
        <v>81</v>
      </c>
      <c r="C4812" s="39">
        <v>1598</v>
      </c>
      <c r="D4812" s="24">
        <v>23.97</v>
      </c>
      <c r="E4812" s="24">
        <v>4.3099999999999996</v>
      </c>
      <c r="F4812" s="23">
        <f>COUNTIFS(mdr_rate_cleaned!$A$2:$A$10,B4812,mdr_rate_cleaned!$B$2:$B$10,"&lt;"&amp;C4812,mdr_rate_cleaned!$F$2:$F$10,"&gt;="&amp;C4812)</f>
        <v>1</v>
      </c>
      <c r="G4812" s="40">
        <f>SUMIFS(mdr_rate_cleaned!$G$2:$G$10,mdr_rate_cleaned!$A$2:$A$10,B4812,mdr_rate_cleaned!$B$2:$B$10,"&lt;"&amp;C4812,mdr_rate_cleaned!$F$2:$F$10,"&gt;="&amp;C4812)</f>
        <v>1.4999999999999999E-2</v>
      </c>
      <c r="H4812" s="24">
        <f t="shared" si="375"/>
        <v>23.97</v>
      </c>
      <c r="I4812" s="23" t="str">
        <f t="shared" si="376"/>
        <v>Match</v>
      </c>
      <c r="J4812" s="23" t="str">
        <f t="shared" si="377"/>
        <v>Match</v>
      </c>
      <c r="K4812" s="24">
        <f t="shared" si="378"/>
        <v>4.3099999999999996</v>
      </c>
      <c r="L4812" s="24">
        <f t="shared" si="379"/>
        <v>0</v>
      </c>
    </row>
    <row r="4813" spans="1:12" ht="15" customHeight="1" x14ac:dyDescent="0.3">
      <c r="A4813" s="23" t="s">
        <v>18162</v>
      </c>
      <c r="B4813" s="23" t="s">
        <v>77</v>
      </c>
      <c r="C4813" s="39">
        <v>1598</v>
      </c>
      <c r="D4813" s="24">
        <v>30.36</v>
      </c>
      <c r="E4813" s="24">
        <v>5.46</v>
      </c>
      <c r="F4813" s="23">
        <f>COUNTIFS(mdr_rate_cleaned!$A$2:$A$10,B4813,mdr_rate_cleaned!$B$2:$B$10,"&lt;"&amp;C4813,mdr_rate_cleaned!$F$2:$F$10,"&gt;="&amp;C4813)</f>
        <v>1</v>
      </c>
      <c r="G4813" s="40">
        <f>SUMIFS(mdr_rate_cleaned!$G$2:$G$10,mdr_rate_cleaned!$A$2:$A$10,B4813,mdr_rate_cleaned!$B$2:$B$10,"&lt;"&amp;C4813,mdr_rate_cleaned!$F$2:$F$10,"&gt;="&amp;C4813)</f>
        <v>1.9E-2</v>
      </c>
      <c r="H4813" s="24">
        <f t="shared" si="375"/>
        <v>30.36</v>
      </c>
      <c r="I4813" s="23" t="str">
        <f t="shared" si="376"/>
        <v>Match</v>
      </c>
      <c r="J4813" s="23" t="str">
        <f t="shared" si="377"/>
        <v>Match</v>
      </c>
      <c r="K4813" s="24">
        <f t="shared" si="378"/>
        <v>5.46</v>
      </c>
      <c r="L4813" s="24">
        <f t="shared" si="379"/>
        <v>0</v>
      </c>
    </row>
    <row r="4814" spans="1:12" ht="15" customHeight="1" x14ac:dyDescent="0.3">
      <c r="A4814" s="23" t="s">
        <v>18164</v>
      </c>
      <c r="B4814" s="23" t="s">
        <v>81</v>
      </c>
      <c r="C4814" s="39">
        <v>999</v>
      </c>
      <c r="D4814" s="24">
        <v>14.99</v>
      </c>
      <c r="E4814" s="24">
        <v>2.7</v>
      </c>
      <c r="F4814" s="23">
        <f>COUNTIFS(mdr_rate_cleaned!$A$2:$A$10,B4814,mdr_rate_cleaned!$B$2:$B$10,"&lt;"&amp;C4814,mdr_rate_cleaned!$F$2:$F$10,"&gt;="&amp;C4814)</f>
        <v>1</v>
      </c>
      <c r="G4814" s="40">
        <f>SUMIFS(mdr_rate_cleaned!$G$2:$G$10,mdr_rate_cleaned!$A$2:$A$10,B4814,mdr_rate_cleaned!$B$2:$B$10,"&lt;"&amp;C4814,mdr_rate_cleaned!$F$2:$F$10,"&gt;="&amp;C4814)</f>
        <v>1.4999999999999999E-2</v>
      </c>
      <c r="H4814" s="24">
        <f t="shared" si="375"/>
        <v>14.99</v>
      </c>
      <c r="I4814" s="23" t="str">
        <f t="shared" si="376"/>
        <v>Match</v>
      </c>
      <c r="J4814" s="23" t="str">
        <f t="shared" si="377"/>
        <v>Match</v>
      </c>
      <c r="K4814" s="24">
        <f t="shared" si="378"/>
        <v>2.7</v>
      </c>
      <c r="L4814" s="24">
        <f t="shared" si="379"/>
        <v>0</v>
      </c>
    </row>
    <row r="4815" spans="1:12" ht="15" customHeight="1" x14ac:dyDescent="0.3">
      <c r="A4815" s="23" t="s">
        <v>18165</v>
      </c>
      <c r="B4815" s="23" t="s">
        <v>75</v>
      </c>
      <c r="C4815" s="39">
        <v>9998</v>
      </c>
      <c r="D4815" s="24">
        <v>29.99</v>
      </c>
      <c r="E4815" s="24">
        <v>5.4</v>
      </c>
      <c r="F4815" s="23">
        <f>COUNTIFS(mdr_rate_cleaned!$A$2:$A$10,B4815,mdr_rate_cleaned!$B$2:$B$10,"&lt;"&amp;C4815,mdr_rate_cleaned!$F$2:$F$10,"&gt;="&amp;C4815)</f>
        <v>1</v>
      </c>
      <c r="G4815" s="40">
        <f>SUMIFS(mdr_rate_cleaned!$G$2:$G$10,mdr_rate_cleaned!$A$2:$A$10,B4815,mdr_rate_cleaned!$B$2:$B$10,"&lt;"&amp;C4815,mdr_rate_cleaned!$F$2:$F$10,"&gt;="&amp;C4815)</f>
        <v>3.0000000000000001E-3</v>
      </c>
      <c r="H4815" s="24">
        <f t="shared" si="375"/>
        <v>29.99</v>
      </c>
      <c r="I4815" s="23" t="str">
        <f t="shared" si="376"/>
        <v>Match</v>
      </c>
      <c r="J4815" s="23" t="str">
        <f t="shared" si="377"/>
        <v>Match</v>
      </c>
      <c r="K4815" s="24">
        <f t="shared" si="378"/>
        <v>5.4</v>
      </c>
      <c r="L4815" s="24">
        <f t="shared" si="379"/>
        <v>0</v>
      </c>
    </row>
    <row r="4816" spans="1:12" ht="15" customHeight="1" x14ac:dyDescent="0.3">
      <c r="A4816" s="23" t="s">
        <v>18166</v>
      </c>
      <c r="B4816" s="23" t="s">
        <v>75</v>
      </c>
      <c r="C4816" s="39">
        <v>1098</v>
      </c>
      <c r="D4816" s="24">
        <v>0</v>
      </c>
      <c r="E4816" s="24">
        <v>0</v>
      </c>
      <c r="F4816" s="23">
        <f>COUNTIFS(mdr_rate_cleaned!$A$2:$A$10,B4816,mdr_rate_cleaned!$B$2:$B$10,"&lt;"&amp;C4816,mdr_rate_cleaned!$F$2:$F$10,"&gt;="&amp;C4816)</f>
        <v>1</v>
      </c>
      <c r="G4816" s="40">
        <f>SUMIFS(mdr_rate_cleaned!$G$2:$G$10,mdr_rate_cleaned!$A$2:$A$10,B4816,mdr_rate_cleaned!$B$2:$B$10,"&lt;"&amp;C4816,mdr_rate_cleaned!$F$2:$F$10,"&gt;="&amp;C4816)</f>
        <v>0</v>
      </c>
      <c r="H4816" s="24">
        <f t="shared" si="375"/>
        <v>0</v>
      </c>
      <c r="I4816" s="23" t="str">
        <f t="shared" si="376"/>
        <v>Match</v>
      </c>
      <c r="J4816" s="23" t="str">
        <f t="shared" si="377"/>
        <v>Match</v>
      </c>
      <c r="K4816" s="24">
        <f t="shared" si="378"/>
        <v>0</v>
      </c>
      <c r="L4816" s="24">
        <f t="shared" si="379"/>
        <v>0</v>
      </c>
    </row>
    <row r="4817" spans="1:12" ht="15" customHeight="1" x14ac:dyDescent="0.3">
      <c r="A4817" s="23" t="s">
        <v>18167</v>
      </c>
      <c r="B4817" s="23" t="s">
        <v>75</v>
      </c>
      <c r="C4817" s="39">
        <v>2848</v>
      </c>
      <c r="D4817" s="24">
        <v>8.5399999999999991</v>
      </c>
      <c r="E4817" s="24">
        <v>1.54</v>
      </c>
      <c r="F4817" s="23">
        <f>COUNTIFS(mdr_rate_cleaned!$A$2:$A$10,B4817,mdr_rate_cleaned!$B$2:$B$10,"&lt;"&amp;C4817,mdr_rate_cleaned!$F$2:$F$10,"&gt;="&amp;C4817)</f>
        <v>1</v>
      </c>
      <c r="G4817" s="40">
        <f>SUMIFS(mdr_rate_cleaned!$G$2:$G$10,mdr_rate_cleaned!$A$2:$A$10,B4817,mdr_rate_cleaned!$B$2:$B$10,"&lt;"&amp;C4817,mdr_rate_cleaned!$F$2:$F$10,"&gt;="&amp;C4817)</f>
        <v>3.0000000000000001E-3</v>
      </c>
      <c r="H4817" s="24">
        <f t="shared" si="375"/>
        <v>8.5399999999999991</v>
      </c>
      <c r="I4817" s="23" t="str">
        <f t="shared" si="376"/>
        <v>Match</v>
      </c>
      <c r="J4817" s="23" t="str">
        <f t="shared" si="377"/>
        <v>Match</v>
      </c>
      <c r="K4817" s="24">
        <f t="shared" si="378"/>
        <v>1.54</v>
      </c>
      <c r="L4817" s="24">
        <f t="shared" si="379"/>
        <v>0</v>
      </c>
    </row>
    <row r="4818" spans="1:12" ht="15" customHeight="1" x14ac:dyDescent="0.3">
      <c r="A4818" s="23" t="s">
        <v>18168</v>
      </c>
      <c r="B4818" s="23" t="s">
        <v>75</v>
      </c>
      <c r="C4818" s="39">
        <v>1799</v>
      </c>
      <c r="D4818" s="24">
        <v>0</v>
      </c>
      <c r="E4818" s="24">
        <v>0</v>
      </c>
      <c r="F4818" s="23">
        <f>COUNTIFS(mdr_rate_cleaned!$A$2:$A$10,B4818,mdr_rate_cleaned!$B$2:$B$10,"&lt;"&amp;C4818,mdr_rate_cleaned!$F$2:$F$10,"&gt;="&amp;C4818)</f>
        <v>1</v>
      </c>
      <c r="G4818" s="40">
        <f>SUMIFS(mdr_rate_cleaned!$G$2:$G$10,mdr_rate_cleaned!$A$2:$A$10,B4818,mdr_rate_cleaned!$B$2:$B$10,"&lt;"&amp;C4818,mdr_rate_cleaned!$F$2:$F$10,"&gt;="&amp;C4818)</f>
        <v>0</v>
      </c>
      <c r="H4818" s="24">
        <f t="shared" si="375"/>
        <v>0</v>
      </c>
      <c r="I4818" s="23" t="str">
        <f t="shared" si="376"/>
        <v>Match</v>
      </c>
      <c r="J4818" s="23" t="str">
        <f t="shared" si="377"/>
        <v>Match</v>
      </c>
      <c r="K4818" s="24">
        <f t="shared" si="378"/>
        <v>0</v>
      </c>
      <c r="L4818" s="24">
        <f t="shared" si="379"/>
        <v>0</v>
      </c>
    </row>
    <row r="4819" spans="1:12" ht="15" customHeight="1" x14ac:dyDescent="0.3">
      <c r="A4819" s="23" t="s">
        <v>18169</v>
      </c>
      <c r="B4819" s="23" t="s">
        <v>75</v>
      </c>
      <c r="C4819" s="39">
        <v>1799</v>
      </c>
      <c r="D4819" s="24">
        <v>0</v>
      </c>
      <c r="E4819" s="24">
        <v>0</v>
      </c>
      <c r="F4819" s="23">
        <f>COUNTIFS(mdr_rate_cleaned!$A$2:$A$10,B4819,mdr_rate_cleaned!$B$2:$B$10,"&lt;"&amp;C4819,mdr_rate_cleaned!$F$2:$F$10,"&gt;="&amp;C4819)</f>
        <v>1</v>
      </c>
      <c r="G4819" s="40">
        <f>SUMIFS(mdr_rate_cleaned!$G$2:$G$10,mdr_rate_cleaned!$A$2:$A$10,B4819,mdr_rate_cleaned!$B$2:$B$10,"&lt;"&amp;C4819,mdr_rate_cleaned!$F$2:$F$10,"&gt;="&amp;C4819)</f>
        <v>0</v>
      </c>
      <c r="H4819" s="24">
        <f t="shared" si="375"/>
        <v>0</v>
      </c>
      <c r="I4819" s="23" t="str">
        <f t="shared" si="376"/>
        <v>Match</v>
      </c>
      <c r="J4819" s="23" t="str">
        <f t="shared" si="377"/>
        <v>Match</v>
      </c>
      <c r="K4819" s="24">
        <f t="shared" si="378"/>
        <v>0</v>
      </c>
      <c r="L4819" s="24">
        <f t="shared" si="379"/>
        <v>0</v>
      </c>
    </row>
    <row r="4820" spans="1:12" ht="15" customHeight="1" x14ac:dyDescent="0.3">
      <c r="A4820" s="23" t="s">
        <v>18170</v>
      </c>
      <c r="B4820" s="23" t="s">
        <v>79</v>
      </c>
      <c r="C4820" s="39">
        <v>2098</v>
      </c>
      <c r="D4820" s="24">
        <v>33.57</v>
      </c>
      <c r="E4820" s="24">
        <v>6.04</v>
      </c>
      <c r="F4820" s="23">
        <f>COUNTIFS(mdr_rate_cleaned!$A$2:$A$10,B4820,mdr_rate_cleaned!$B$2:$B$10,"&lt;"&amp;C4820,mdr_rate_cleaned!$F$2:$F$10,"&gt;="&amp;C4820)</f>
        <v>1</v>
      </c>
      <c r="G4820" s="40">
        <f>SUMIFS(mdr_rate_cleaned!$G$2:$G$10,mdr_rate_cleaned!$A$2:$A$10,B4820,mdr_rate_cleaned!$B$2:$B$10,"&lt;"&amp;C4820,mdr_rate_cleaned!$F$2:$F$10,"&gt;="&amp;C4820)</f>
        <v>1.6E-2</v>
      </c>
      <c r="H4820" s="24">
        <f t="shared" si="375"/>
        <v>33.57</v>
      </c>
      <c r="I4820" s="23" t="str">
        <f t="shared" si="376"/>
        <v>Match</v>
      </c>
      <c r="J4820" s="23" t="str">
        <f t="shared" si="377"/>
        <v>Match</v>
      </c>
      <c r="K4820" s="24">
        <f t="shared" si="378"/>
        <v>6.04</v>
      </c>
      <c r="L4820" s="24">
        <f t="shared" si="379"/>
        <v>0</v>
      </c>
    </row>
    <row r="4821" spans="1:12" ht="15" customHeight="1" x14ac:dyDescent="0.3">
      <c r="A4821" s="23" t="s">
        <v>18172</v>
      </c>
      <c r="B4821" s="23" t="s">
        <v>79</v>
      </c>
      <c r="C4821" s="39">
        <v>3298</v>
      </c>
      <c r="D4821" s="24">
        <v>52.77</v>
      </c>
      <c r="E4821" s="24">
        <v>9.5</v>
      </c>
      <c r="F4821" s="23">
        <f>COUNTIFS(mdr_rate_cleaned!$A$2:$A$10,B4821,mdr_rate_cleaned!$B$2:$B$10,"&lt;"&amp;C4821,mdr_rate_cleaned!$F$2:$F$10,"&gt;="&amp;C4821)</f>
        <v>1</v>
      </c>
      <c r="G4821" s="40">
        <f>SUMIFS(mdr_rate_cleaned!$G$2:$G$10,mdr_rate_cleaned!$A$2:$A$10,B4821,mdr_rate_cleaned!$B$2:$B$10,"&lt;"&amp;C4821,mdr_rate_cleaned!$F$2:$F$10,"&gt;="&amp;C4821)</f>
        <v>1.6E-2</v>
      </c>
      <c r="H4821" s="24">
        <f t="shared" si="375"/>
        <v>52.77</v>
      </c>
      <c r="I4821" s="23" t="str">
        <f t="shared" si="376"/>
        <v>Match</v>
      </c>
      <c r="J4821" s="23" t="str">
        <f t="shared" si="377"/>
        <v>Match</v>
      </c>
      <c r="K4821" s="24">
        <f t="shared" si="378"/>
        <v>9.5</v>
      </c>
      <c r="L4821" s="24">
        <f t="shared" si="379"/>
        <v>0</v>
      </c>
    </row>
    <row r="4822" spans="1:12" ht="15" customHeight="1" x14ac:dyDescent="0.3">
      <c r="A4822" s="23" t="s">
        <v>18173</v>
      </c>
      <c r="B4822" s="23" t="s">
        <v>79</v>
      </c>
      <c r="C4822" s="39">
        <v>1799</v>
      </c>
      <c r="D4822" s="24">
        <v>32.380000000000003</v>
      </c>
      <c r="E4822" s="24">
        <v>5.83</v>
      </c>
      <c r="F4822" s="23">
        <f>COUNTIFS(mdr_rate_cleaned!$A$2:$A$10,B4822,mdr_rate_cleaned!$B$2:$B$10,"&lt;"&amp;C4822,mdr_rate_cleaned!$F$2:$F$10,"&gt;="&amp;C4822)</f>
        <v>1</v>
      </c>
      <c r="G4822" s="40">
        <f>SUMIFS(mdr_rate_cleaned!$G$2:$G$10,mdr_rate_cleaned!$A$2:$A$10,B4822,mdr_rate_cleaned!$B$2:$B$10,"&lt;"&amp;C4822,mdr_rate_cleaned!$F$2:$F$10,"&gt;="&amp;C4822)</f>
        <v>1.8000000000000002E-2</v>
      </c>
      <c r="H4822" s="24">
        <f t="shared" si="375"/>
        <v>32.380000000000003</v>
      </c>
      <c r="I4822" s="23" t="str">
        <f t="shared" si="376"/>
        <v>Match</v>
      </c>
      <c r="J4822" s="23" t="str">
        <f t="shared" si="377"/>
        <v>Match</v>
      </c>
      <c r="K4822" s="24">
        <f t="shared" si="378"/>
        <v>5.83</v>
      </c>
      <c r="L4822" s="24">
        <f t="shared" si="379"/>
        <v>0</v>
      </c>
    </row>
    <row r="4823" spans="1:12" ht="15" customHeight="1" x14ac:dyDescent="0.3">
      <c r="A4823" s="23" t="s">
        <v>18174</v>
      </c>
      <c r="B4823" s="23" t="s">
        <v>75</v>
      </c>
      <c r="C4823" s="39">
        <v>3798</v>
      </c>
      <c r="D4823" s="24">
        <v>11.39</v>
      </c>
      <c r="E4823" s="24">
        <v>2.0499999999999998</v>
      </c>
      <c r="F4823" s="23">
        <f>COUNTIFS(mdr_rate_cleaned!$A$2:$A$10,B4823,mdr_rate_cleaned!$B$2:$B$10,"&lt;"&amp;C4823,mdr_rate_cleaned!$F$2:$F$10,"&gt;="&amp;C4823)</f>
        <v>1</v>
      </c>
      <c r="G4823" s="40">
        <f>SUMIFS(mdr_rate_cleaned!$G$2:$G$10,mdr_rate_cleaned!$A$2:$A$10,B4823,mdr_rate_cleaned!$B$2:$B$10,"&lt;"&amp;C4823,mdr_rate_cleaned!$F$2:$F$10,"&gt;="&amp;C4823)</f>
        <v>3.0000000000000001E-3</v>
      </c>
      <c r="H4823" s="24">
        <f t="shared" si="375"/>
        <v>11.39</v>
      </c>
      <c r="I4823" s="23" t="str">
        <f t="shared" si="376"/>
        <v>Match</v>
      </c>
      <c r="J4823" s="23" t="str">
        <f t="shared" si="377"/>
        <v>Match</v>
      </c>
      <c r="K4823" s="24">
        <f t="shared" si="378"/>
        <v>2.0499999999999998</v>
      </c>
      <c r="L4823" s="24">
        <f t="shared" si="379"/>
        <v>0</v>
      </c>
    </row>
    <row r="4824" spans="1:12" ht="15" customHeight="1" x14ac:dyDescent="0.3">
      <c r="A4824" s="23" t="s">
        <v>18175</v>
      </c>
      <c r="B4824" s="23" t="s">
        <v>75</v>
      </c>
      <c r="C4824" s="39">
        <v>1499</v>
      </c>
      <c r="D4824" s="24">
        <v>0</v>
      </c>
      <c r="E4824" s="24">
        <v>0</v>
      </c>
      <c r="F4824" s="23">
        <f>COUNTIFS(mdr_rate_cleaned!$A$2:$A$10,B4824,mdr_rate_cleaned!$B$2:$B$10,"&lt;"&amp;C4824,mdr_rate_cleaned!$F$2:$F$10,"&gt;="&amp;C4824)</f>
        <v>1</v>
      </c>
      <c r="G4824" s="40">
        <f>SUMIFS(mdr_rate_cleaned!$G$2:$G$10,mdr_rate_cleaned!$A$2:$A$10,B4824,mdr_rate_cleaned!$B$2:$B$10,"&lt;"&amp;C4824,mdr_rate_cleaned!$F$2:$F$10,"&gt;="&amp;C4824)</f>
        <v>0</v>
      </c>
      <c r="H4824" s="24">
        <f t="shared" si="375"/>
        <v>0</v>
      </c>
      <c r="I4824" s="23" t="str">
        <f t="shared" si="376"/>
        <v>Match</v>
      </c>
      <c r="J4824" s="23" t="str">
        <f t="shared" si="377"/>
        <v>Match</v>
      </c>
      <c r="K4824" s="24">
        <f t="shared" si="378"/>
        <v>0</v>
      </c>
      <c r="L4824" s="24">
        <f t="shared" si="379"/>
        <v>0</v>
      </c>
    </row>
    <row r="4825" spans="1:12" ht="15" customHeight="1" x14ac:dyDescent="0.3">
      <c r="A4825" s="23" t="s">
        <v>18176</v>
      </c>
      <c r="B4825" s="23" t="s">
        <v>75</v>
      </c>
      <c r="C4825" s="39">
        <v>3998</v>
      </c>
      <c r="D4825" s="24">
        <v>11.99</v>
      </c>
      <c r="E4825" s="24">
        <v>2.16</v>
      </c>
      <c r="F4825" s="23">
        <f>COUNTIFS(mdr_rate_cleaned!$A$2:$A$10,B4825,mdr_rate_cleaned!$B$2:$B$10,"&lt;"&amp;C4825,mdr_rate_cleaned!$F$2:$F$10,"&gt;="&amp;C4825)</f>
        <v>1</v>
      </c>
      <c r="G4825" s="40">
        <f>SUMIFS(mdr_rate_cleaned!$G$2:$G$10,mdr_rate_cleaned!$A$2:$A$10,B4825,mdr_rate_cleaned!$B$2:$B$10,"&lt;"&amp;C4825,mdr_rate_cleaned!$F$2:$F$10,"&gt;="&amp;C4825)</f>
        <v>3.0000000000000001E-3</v>
      </c>
      <c r="H4825" s="24">
        <f t="shared" si="375"/>
        <v>11.99</v>
      </c>
      <c r="I4825" s="23" t="str">
        <f t="shared" si="376"/>
        <v>Match</v>
      </c>
      <c r="J4825" s="23" t="str">
        <f t="shared" si="377"/>
        <v>Match</v>
      </c>
      <c r="K4825" s="24">
        <f t="shared" si="378"/>
        <v>2.16</v>
      </c>
      <c r="L4825" s="24">
        <f t="shared" si="379"/>
        <v>0</v>
      </c>
    </row>
    <row r="4826" spans="1:12" ht="15" customHeight="1" x14ac:dyDescent="0.3">
      <c r="A4826" s="23" t="s">
        <v>18177</v>
      </c>
      <c r="B4826" s="23" t="s">
        <v>75</v>
      </c>
      <c r="C4826" s="39">
        <v>1299</v>
      </c>
      <c r="D4826" s="24">
        <v>0</v>
      </c>
      <c r="E4826" s="24">
        <v>0</v>
      </c>
      <c r="F4826" s="23">
        <f>COUNTIFS(mdr_rate_cleaned!$A$2:$A$10,B4826,mdr_rate_cleaned!$B$2:$B$10,"&lt;"&amp;C4826,mdr_rate_cleaned!$F$2:$F$10,"&gt;="&amp;C4826)</f>
        <v>1</v>
      </c>
      <c r="G4826" s="40">
        <f>SUMIFS(mdr_rate_cleaned!$G$2:$G$10,mdr_rate_cleaned!$A$2:$A$10,B4826,mdr_rate_cleaned!$B$2:$B$10,"&lt;"&amp;C4826,mdr_rate_cleaned!$F$2:$F$10,"&gt;="&amp;C4826)</f>
        <v>0</v>
      </c>
      <c r="H4826" s="24">
        <f t="shared" si="375"/>
        <v>0</v>
      </c>
      <c r="I4826" s="23" t="str">
        <f t="shared" si="376"/>
        <v>Match</v>
      </c>
      <c r="J4826" s="23" t="str">
        <f t="shared" si="377"/>
        <v>Match</v>
      </c>
      <c r="K4826" s="24">
        <f t="shared" si="378"/>
        <v>0</v>
      </c>
      <c r="L4826" s="24">
        <f t="shared" si="379"/>
        <v>0</v>
      </c>
    </row>
    <row r="4827" spans="1:12" ht="15" customHeight="1" x14ac:dyDescent="0.3">
      <c r="A4827" s="23" t="s">
        <v>18179</v>
      </c>
      <c r="B4827" s="23" t="s">
        <v>79</v>
      </c>
      <c r="C4827" s="39">
        <v>4999</v>
      </c>
      <c r="D4827" s="24">
        <v>79.98</v>
      </c>
      <c r="E4827" s="24">
        <v>14.4</v>
      </c>
      <c r="F4827" s="23">
        <f>COUNTIFS(mdr_rate_cleaned!$A$2:$A$10,B4827,mdr_rate_cleaned!$B$2:$B$10,"&lt;"&amp;C4827,mdr_rate_cleaned!$F$2:$F$10,"&gt;="&amp;C4827)</f>
        <v>1</v>
      </c>
      <c r="G4827" s="40">
        <f>SUMIFS(mdr_rate_cleaned!$G$2:$G$10,mdr_rate_cleaned!$A$2:$A$10,B4827,mdr_rate_cleaned!$B$2:$B$10,"&lt;"&amp;C4827,mdr_rate_cleaned!$F$2:$F$10,"&gt;="&amp;C4827)</f>
        <v>1.6E-2</v>
      </c>
      <c r="H4827" s="24">
        <f t="shared" si="375"/>
        <v>79.98</v>
      </c>
      <c r="I4827" s="23" t="str">
        <f t="shared" si="376"/>
        <v>Match</v>
      </c>
      <c r="J4827" s="23" t="str">
        <f t="shared" si="377"/>
        <v>Match</v>
      </c>
      <c r="K4827" s="24">
        <f t="shared" si="378"/>
        <v>14.4</v>
      </c>
      <c r="L4827" s="24">
        <f t="shared" si="379"/>
        <v>0</v>
      </c>
    </row>
    <row r="4828" spans="1:12" ht="15" customHeight="1" x14ac:dyDescent="0.3">
      <c r="A4828" s="23" t="s">
        <v>18180</v>
      </c>
      <c r="B4828" s="23" t="s">
        <v>81</v>
      </c>
      <c r="C4828" s="39">
        <v>3499</v>
      </c>
      <c r="D4828" s="24">
        <v>41.99</v>
      </c>
      <c r="E4828" s="24">
        <v>7.56</v>
      </c>
      <c r="F4828" s="23">
        <f>COUNTIFS(mdr_rate_cleaned!$A$2:$A$10,B4828,mdr_rate_cleaned!$B$2:$B$10,"&lt;"&amp;C4828,mdr_rate_cleaned!$F$2:$F$10,"&gt;="&amp;C4828)</f>
        <v>1</v>
      </c>
      <c r="G4828" s="40">
        <f>SUMIFS(mdr_rate_cleaned!$G$2:$G$10,mdr_rate_cleaned!$A$2:$A$10,B4828,mdr_rate_cleaned!$B$2:$B$10,"&lt;"&amp;C4828,mdr_rate_cleaned!$F$2:$F$10,"&gt;="&amp;C4828)</f>
        <v>1.2E-2</v>
      </c>
      <c r="H4828" s="24">
        <f t="shared" si="375"/>
        <v>41.99</v>
      </c>
      <c r="I4828" s="23" t="str">
        <f t="shared" si="376"/>
        <v>Match</v>
      </c>
      <c r="J4828" s="23" t="str">
        <f t="shared" si="377"/>
        <v>Match</v>
      </c>
      <c r="K4828" s="24">
        <f t="shared" si="378"/>
        <v>7.56</v>
      </c>
      <c r="L4828" s="24">
        <f t="shared" si="379"/>
        <v>0</v>
      </c>
    </row>
    <row r="4829" spans="1:12" ht="15" customHeight="1" x14ac:dyDescent="0.3">
      <c r="A4829" s="23" t="s">
        <v>18181</v>
      </c>
      <c r="B4829" s="23" t="s">
        <v>79</v>
      </c>
      <c r="C4829" s="39">
        <v>1299</v>
      </c>
      <c r="D4829" s="24">
        <v>23.38</v>
      </c>
      <c r="E4829" s="24">
        <v>4.21</v>
      </c>
      <c r="F4829" s="23">
        <f>COUNTIFS(mdr_rate_cleaned!$A$2:$A$10,B4829,mdr_rate_cleaned!$B$2:$B$10,"&lt;"&amp;C4829,mdr_rate_cleaned!$F$2:$F$10,"&gt;="&amp;C4829)</f>
        <v>1</v>
      </c>
      <c r="G4829" s="40">
        <f>SUMIFS(mdr_rate_cleaned!$G$2:$G$10,mdr_rate_cleaned!$A$2:$A$10,B4829,mdr_rate_cleaned!$B$2:$B$10,"&lt;"&amp;C4829,mdr_rate_cleaned!$F$2:$F$10,"&gt;="&amp;C4829)</f>
        <v>1.8000000000000002E-2</v>
      </c>
      <c r="H4829" s="24">
        <f t="shared" si="375"/>
        <v>23.38</v>
      </c>
      <c r="I4829" s="23" t="str">
        <f t="shared" si="376"/>
        <v>Match</v>
      </c>
      <c r="J4829" s="23" t="str">
        <f t="shared" si="377"/>
        <v>Match</v>
      </c>
      <c r="K4829" s="24">
        <f t="shared" si="378"/>
        <v>4.21</v>
      </c>
      <c r="L4829" s="24">
        <f t="shared" si="379"/>
        <v>0</v>
      </c>
    </row>
    <row r="4830" spans="1:12" ht="15" customHeight="1" x14ac:dyDescent="0.3">
      <c r="A4830" s="23" t="s">
        <v>18182</v>
      </c>
      <c r="B4830" s="23" t="s">
        <v>75</v>
      </c>
      <c r="C4830" s="39">
        <v>499</v>
      </c>
      <c r="D4830" s="24">
        <v>0</v>
      </c>
      <c r="E4830" s="24">
        <v>0</v>
      </c>
      <c r="F4830" s="23">
        <f>COUNTIFS(mdr_rate_cleaned!$A$2:$A$10,B4830,mdr_rate_cleaned!$B$2:$B$10,"&lt;"&amp;C4830,mdr_rate_cleaned!$F$2:$F$10,"&gt;="&amp;C4830)</f>
        <v>1</v>
      </c>
      <c r="G4830" s="40">
        <f>SUMIFS(mdr_rate_cleaned!$G$2:$G$10,mdr_rate_cleaned!$A$2:$A$10,B4830,mdr_rate_cleaned!$B$2:$B$10,"&lt;"&amp;C4830,mdr_rate_cleaned!$F$2:$F$10,"&gt;="&amp;C4830)</f>
        <v>0</v>
      </c>
      <c r="H4830" s="24">
        <f t="shared" si="375"/>
        <v>0</v>
      </c>
      <c r="I4830" s="23" t="str">
        <f t="shared" si="376"/>
        <v>Match</v>
      </c>
      <c r="J4830" s="23" t="str">
        <f t="shared" si="377"/>
        <v>Match</v>
      </c>
      <c r="K4830" s="24">
        <f t="shared" si="378"/>
        <v>0</v>
      </c>
      <c r="L4830" s="24">
        <f t="shared" si="379"/>
        <v>0</v>
      </c>
    </row>
    <row r="4831" spans="1:12" ht="15" customHeight="1" x14ac:dyDescent="0.3">
      <c r="A4831" s="23" t="s">
        <v>18183</v>
      </c>
      <c r="B4831" s="23" t="s">
        <v>77</v>
      </c>
      <c r="C4831" s="39">
        <v>999</v>
      </c>
      <c r="D4831" s="24">
        <v>18.98</v>
      </c>
      <c r="E4831" s="24">
        <v>3.42</v>
      </c>
      <c r="F4831" s="23">
        <f>COUNTIFS(mdr_rate_cleaned!$A$2:$A$10,B4831,mdr_rate_cleaned!$B$2:$B$10,"&lt;"&amp;C4831,mdr_rate_cleaned!$F$2:$F$10,"&gt;="&amp;C4831)</f>
        <v>1</v>
      </c>
      <c r="G4831" s="40">
        <f>SUMIFS(mdr_rate_cleaned!$G$2:$G$10,mdr_rate_cleaned!$A$2:$A$10,B4831,mdr_rate_cleaned!$B$2:$B$10,"&lt;"&amp;C4831,mdr_rate_cleaned!$F$2:$F$10,"&gt;="&amp;C4831)</f>
        <v>1.9E-2</v>
      </c>
      <c r="H4831" s="24">
        <f t="shared" si="375"/>
        <v>18.98</v>
      </c>
      <c r="I4831" s="23" t="str">
        <f t="shared" si="376"/>
        <v>Match</v>
      </c>
      <c r="J4831" s="23" t="str">
        <f t="shared" si="377"/>
        <v>Match</v>
      </c>
      <c r="K4831" s="24">
        <f t="shared" si="378"/>
        <v>3.42</v>
      </c>
      <c r="L4831" s="24">
        <f t="shared" si="379"/>
        <v>0</v>
      </c>
    </row>
    <row r="4832" spans="1:12" ht="15" customHeight="1" x14ac:dyDescent="0.3">
      <c r="A4832" s="23" t="s">
        <v>18184</v>
      </c>
      <c r="B4832" s="23" t="s">
        <v>79</v>
      </c>
      <c r="C4832" s="39">
        <v>2598</v>
      </c>
      <c r="D4832" s="24">
        <v>41.57</v>
      </c>
      <c r="E4832" s="24">
        <v>7.48</v>
      </c>
      <c r="F4832" s="23">
        <f>COUNTIFS(mdr_rate_cleaned!$A$2:$A$10,B4832,mdr_rate_cleaned!$B$2:$B$10,"&lt;"&amp;C4832,mdr_rate_cleaned!$F$2:$F$10,"&gt;="&amp;C4832)</f>
        <v>1</v>
      </c>
      <c r="G4832" s="40">
        <f>SUMIFS(mdr_rate_cleaned!$G$2:$G$10,mdr_rate_cleaned!$A$2:$A$10,B4832,mdr_rate_cleaned!$B$2:$B$10,"&lt;"&amp;C4832,mdr_rate_cleaned!$F$2:$F$10,"&gt;="&amp;C4832)</f>
        <v>1.6E-2</v>
      </c>
      <c r="H4832" s="24">
        <f t="shared" si="375"/>
        <v>41.57</v>
      </c>
      <c r="I4832" s="23" t="str">
        <f t="shared" si="376"/>
        <v>Match</v>
      </c>
      <c r="J4832" s="23" t="str">
        <f t="shared" si="377"/>
        <v>Match</v>
      </c>
      <c r="K4832" s="24">
        <f t="shared" si="378"/>
        <v>7.48</v>
      </c>
      <c r="L4832" s="24">
        <f t="shared" si="379"/>
        <v>0</v>
      </c>
    </row>
    <row r="4833" spans="1:12" ht="15" customHeight="1" x14ac:dyDescent="0.3">
      <c r="A4833" s="23" t="s">
        <v>18186</v>
      </c>
      <c r="B4833" s="23" t="s">
        <v>81</v>
      </c>
      <c r="C4833" s="39">
        <v>6798</v>
      </c>
      <c r="D4833" s="24">
        <v>81.58</v>
      </c>
      <c r="E4833" s="24">
        <v>14.68</v>
      </c>
      <c r="F4833" s="23">
        <f>COUNTIFS(mdr_rate_cleaned!$A$2:$A$10,B4833,mdr_rate_cleaned!$B$2:$B$10,"&lt;"&amp;C4833,mdr_rate_cleaned!$F$2:$F$10,"&gt;="&amp;C4833)</f>
        <v>1</v>
      </c>
      <c r="G4833" s="40">
        <f>SUMIFS(mdr_rate_cleaned!$G$2:$G$10,mdr_rate_cleaned!$A$2:$A$10,B4833,mdr_rate_cleaned!$B$2:$B$10,"&lt;"&amp;C4833,mdr_rate_cleaned!$F$2:$F$10,"&gt;="&amp;C4833)</f>
        <v>1.2E-2</v>
      </c>
      <c r="H4833" s="24">
        <f t="shared" si="375"/>
        <v>81.58</v>
      </c>
      <c r="I4833" s="23" t="str">
        <f t="shared" si="376"/>
        <v>Match</v>
      </c>
      <c r="J4833" s="23" t="str">
        <f t="shared" si="377"/>
        <v>Match</v>
      </c>
      <c r="K4833" s="24">
        <f t="shared" si="378"/>
        <v>14.68</v>
      </c>
      <c r="L4833" s="24">
        <f t="shared" si="379"/>
        <v>0</v>
      </c>
    </row>
    <row r="4834" spans="1:12" ht="15" customHeight="1" x14ac:dyDescent="0.3">
      <c r="A4834" s="23" t="s">
        <v>18187</v>
      </c>
      <c r="B4834" s="23" t="s">
        <v>77</v>
      </c>
      <c r="C4834" s="39">
        <v>499</v>
      </c>
      <c r="D4834" s="24">
        <v>9.48</v>
      </c>
      <c r="E4834" s="24">
        <v>1.71</v>
      </c>
      <c r="F4834" s="23">
        <f>COUNTIFS(mdr_rate_cleaned!$A$2:$A$10,B4834,mdr_rate_cleaned!$B$2:$B$10,"&lt;"&amp;C4834,mdr_rate_cleaned!$F$2:$F$10,"&gt;="&amp;C4834)</f>
        <v>1</v>
      </c>
      <c r="G4834" s="40">
        <f>SUMIFS(mdr_rate_cleaned!$G$2:$G$10,mdr_rate_cleaned!$A$2:$A$10,B4834,mdr_rate_cleaned!$B$2:$B$10,"&lt;"&amp;C4834,mdr_rate_cleaned!$F$2:$F$10,"&gt;="&amp;C4834)</f>
        <v>1.9E-2</v>
      </c>
      <c r="H4834" s="24">
        <f t="shared" si="375"/>
        <v>9.48</v>
      </c>
      <c r="I4834" s="23" t="str">
        <f t="shared" si="376"/>
        <v>Match</v>
      </c>
      <c r="J4834" s="23" t="str">
        <f t="shared" si="377"/>
        <v>Match</v>
      </c>
      <c r="K4834" s="24">
        <f t="shared" si="378"/>
        <v>1.71</v>
      </c>
      <c r="L4834" s="24">
        <f t="shared" si="379"/>
        <v>0</v>
      </c>
    </row>
    <row r="4835" spans="1:12" ht="15" customHeight="1" x14ac:dyDescent="0.3">
      <c r="A4835" s="23" t="s">
        <v>18188</v>
      </c>
      <c r="B4835" s="23" t="s">
        <v>75</v>
      </c>
      <c r="C4835" s="39">
        <v>7997</v>
      </c>
      <c r="D4835" s="24">
        <v>23.99</v>
      </c>
      <c r="E4835" s="24">
        <v>4.32</v>
      </c>
      <c r="F4835" s="23">
        <f>COUNTIFS(mdr_rate_cleaned!$A$2:$A$10,B4835,mdr_rate_cleaned!$B$2:$B$10,"&lt;"&amp;C4835,mdr_rate_cleaned!$F$2:$F$10,"&gt;="&amp;C4835)</f>
        <v>1</v>
      </c>
      <c r="G4835" s="40">
        <f>SUMIFS(mdr_rate_cleaned!$G$2:$G$10,mdr_rate_cleaned!$A$2:$A$10,B4835,mdr_rate_cleaned!$B$2:$B$10,"&lt;"&amp;C4835,mdr_rate_cleaned!$F$2:$F$10,"&gt;="&amp;C4835)</f>
        <v>3.0000000000000001E-3</v>
      </c>
      <c r="H4835" s="24">
        <f t="shared" si="375"/>
        <v>23.99</v>
      </c>
      <c r="I4835" s="23" t="str">
        <f t="shared" si="376"/>
        <v>Match</v>
      </c>
      <c r="J4835" s="23" t="str">
        <f t="shared" si="377"/>
        <v>Match</v>
      </c>
      <c r="K4835" s="24">
        <f t="shared" si="378"/>
        <v>4.32</v>
      </c>
      <c r="L4835" s="24">
        <f t="shared" si="379"/>
        <v>0</v>
      </c>
    </row>
    <row r="4836" spans="1:12" ht="15" customHeight="1" x14ac:dyDescent="0.3">
      <c r="A4836" s="23" t="s">
        <v>18189</v>
      </c>
      <c r="B4836" s="23" t="s">
        <v>75</v>
      </c>
      <c r="C4836" s="39">
        <v>349</v>
      </c>
      <c r="D4836" s="24">
        <v>0</v>
      </c>
      <c r="E4836" s="24">
        <v>0</v>
      </c>
      <c r="F4836" s="23">
        <f>COUNTIFS(mdr_rate_cleaned!$A$2:$A$10,B4836,mdr_rate_cleaned!$B$2:$B$10,"&lt;"&amp;C4836,mdr_rate_cleaned!$F$2:$F$10,"&gt;="&amp;C4836)</f>
        <v>1</v>
      </c>
      <c r="G4836" s="40">
        <f>SUMIFS(mdr_rate_cleaned!$G$2:$G$10,mdr_rate_cleaned!$A$2:$A$10,B4836,mdr_rate_cleaned!$B$2:$B$10,"&lt;"&amp;C4836,mdr_rate_cleaned!$F$2:$F$10,"&gt;="&amp;C4836)</f>
        <v>0</v>
      </c>
      <c r="H4836" s="24">
        <f t="shared" si="375"/>
        <v>0</v>
      </c>
      <c r="I4836" s="23" t="str">
        <f t="shared" si="376"/>
        <v>Match</v>
      </c>
      <c r="J4836" s="23" t="str">
        <f t="shared" si="377"/>
        <v>Match</v>
      </c>
      <c r="K4836" s="24">
        <f t="shared" si="378"/>
        <v>0</v>
      </c>
      <c r="L4836" s="24">
        <f t="shared" si="379"/>
        <v>0</v>
      </c>
    </row>
    <row r="4837" spans="1:12" ht="15" customHeight="1" x14ac:dyDescent="0.3">
      <c r="A4837" s="23" t="s">
        <v>18190</v>
      </c>
      <c r="B4837" s="23" t="s">
        <v>75</v>
      </c>
      <c r="C4837" s="39">
        <v>999</v>
      </c>
      <c r="D4837" s="24">
        <v>0</v>
      </c>
      <c r="E4837" s="24">
        <v>0</v>
      </c>
      <c r="F4837" s="23">
        <f>COUNTIFS(mdr_rate_cleaned!$A$2:$A$10,B4837,mdr_rate_cleaned!$B$2:$B$10,"&lt;"&amp;C4837,mdr_rate_cleaned!$F$2:$F$10,"&gt;="&amp;C4837)</f>
        <v>1</v>
      </c>
      <c r="G4837" s="40">
        <f>SUMIFS(mdr_rate_cleaned!$G$2:$G$10,mdr_rate_cleaned!$A$2:$A$10,B4837,mdr_rate_cleaned!$B$2:$B$10,"&lt;"&amp;C4837,mdr_rate_cleaned!$F$2:$F$10,"&gt;="&amp;C4837)</f>
        <v>0</v>
      </c>
      <c r="H4837" s="24">
        <f t="shared" si="375"/>
        <v>0</v>
      </c>
      <c r="I4837" s="23" t="str">
        <f t="shared" si="376"/>
        <v>Match</v>
      </c>
      <c r="J4837" s="23" t="str">
        <f t="shared" si="377"/>
        <v>Match</v>
      </c>
      <c r="K4837" s="24">
        <f t="shared" si="378"/>
        <v>0</v>
      </c>
      <c r="L4837" s="24">
        <f t="shared" si="379"/>
        <v>0</v>
      </c>
    </row>
    <row r="4838" spans="1:12" ht="15" customHeight="1" x14ac:dyDescent="0.3">
      <c r="A4838" s="23" t="s">
        <v>18191</v>
      </c>
      <c r="B4838" s="23" t="s">
        <v>79</v>
      </c>
      <c r="C4838" s="39">
        <v>10297</v>
      </c>
      <c r="D4838" s="24">
        <v>164.75</v>
      </c>
      <c r="E4838" s="24">
        <v>29.66</v>
      </c>
      <c r="F4838" s="23">
        <f>COUNTIFS(mdr_rate_cleaned!$A$2:$A$10,B4838,mdr_rate_cleaned!$B$2:$B$10,"&lt;"&amp;C4838,mdr_rate_cleaned!$F$2:$F$10,"&gt;="&amp;C4838)</f>
        <v>1</v>
      </c>
      <c r="G4838" s="40">
        <f>SUMIFS(mdr_rate_cleaned!$G$2:$G$10,mdr_rate_cleaned!$A$2:$A$10,B4838,mdr_rate_cleaned!$B$2:$B$10,"&lt;"&amp;C4838,mdr_rate_cleaned!$F$2:$F$10,"&gt;="&amp;C4838)</f>
        <v>1.6E-2</v>
      </c>
      <c r="H4838" s="24">
        <f t="shared" si="375"/>
        <v>164.75</v>
      </c>
      <c r="I4838" s="23" t="str">
        <f t="shared" si="376"/>
        <v>Match</v>
      </c>
      <c r="J4838" s="23" t="str">
        <f t="shared" si="377"/>
        <v>Match</v>
      </c>
      <c r="K4838" s="24">
        <f t="shared" si="378"/>
        <v>29.66</v>
      </c>
      <c r="L4838" s="24">
        <f t="shared" si="379"/>
        <v>0</v>
      </c>
    </row>
    <row r="4839" spans="1:12" ht="15" customHeight="1" x14ac:dyDescent="0.3">
      <c r="A4839" s="23" t="s">
        <v>18192</v>
      </c>
      <c r="B4839" s="23" t="s">
        <v>77</v>
      </c>
      <c r="C4839" s="39">
        <v>3797</v>
      </c>
      <c r="D4839" s="24">
        <v>64.55</v>
      </c>
      <c r="E4839" s="24">
        <v>11.62</v>
      </c>
      <c r="F4839" s="23">
        <f>COUNTIFS(mdr_rate_cleaned!$A$2:$A$10,B4839,mdr_rate_cleaned!$B$2:$B$10,"&lt;"&amp;C4839,mdr_rate_cleaned!$F$2:$F$10,"&gt;="&amp;C4839)</f>
        <v>1</v>
      </c>
      <c r="G4839" s="40">
        <f>SUMIFS(mdr_rate_cleaned!$G$2:$G$10,mdr_rate_cleaned!$A$2:$A$10,B4839,mdr_rate_cleaned!$B$2:$B$10,"&lt;"&amp;C4839,mdr_rate_cleaned!$F$2:$F$10,"&gt;="&amp;C4839)</f>
        <v>1.7000000000000001E-2</v>
      </c>
      <c r="H4839" s="24">
        <f t="shared" si="375"/>
        <v>64.55</v>
      </c>
      <c r="I4839" s="23" t="str">
        <f t="shared" si="376"/>
        <v>Match</v>
      </c>
      <c r="J4839" s="23" t="str">
        <f t="shared" si="377"/>
        <v>Match</v>
      </c>
      <c r="K4839" s="24">
        <f t="shared" si="378"/>
        <v>11.62</v>
      </c>
      <c r="L4839" s="24">
        <f t="shared" si="379"/>
        <v>0</v>
      </c>
    </row>
    <row r="4840" spans="1:12" ht="15" customHeight="1" x14ac:dyDescent="0.3">
      <c r="A4840" s="23" t="s">
        <v>18194</v>
      </c>
      <c r="B4840" s="23" t="s">
        <v>77</v>
      </c>
      <c r="C4840" s="39">
        <v>798</v>
      </c>
      <c r="D4840" s="24">
        <v>15.16</v>
      </c>
      <c r="E4840" s="24">
        <v>2.73</v>
      </c>
      <c r="F4840" s="23">
        <f>COUNTIFS(mdr_rate_cleaned!$A$2:$A$10,B4840,mdr_rate_cleaned!$B$2:$B$10,"&lt;"&amp;C4840,mdr_rate_cleaned!$F$2:$F$10,"&gt;="&amp;C4840)</f>
        <v>1</v>
      </c>
      <c r="G4840" s="40">
        <f>SUMIFS(mdr_rate_cleaned!$G$2:$G$10,mdr_rate_cleaned!$A$2:$A$10,B4840,mdr_rate_cleaned!$B$2:$B$10,"&lt;"&amp;C4840,mdr_rate_cleaned!$F$2:$F$10,"&gt;="&amp;C4840)</f>
        <v>1.9E-2</v>
      </c>
      <c r="H4840" s="24">
        <f t="shared" si="375"/>
        <v>15.16</v>
      </c>
      <c r="I4840" s="23" t="str">
        <f t="shared" si="376"/>
        <v>Match</v>
      </c>
      <c r="J4840" s="23" t="str">
        <f t="shared" si="377"/>
        <v>Match</v>
      </c>
      <c r="K4840" s="24">
        <f t="shared" si="378"/>
        <v>2.73</v>
      </c>
      <c r="L4840" s="24">
        <f t="shared" si="379"/>
        <v>0</v>
      </c>
    </row>
    <row r="4841" spans="1:12" ht="15" customHeight="1" x14ac:dyDescent="0.3">
      <c r="A4841" s="23" t="s">
        <v>18195</v>
      </c>
      <c r="B4841" s="23" t="s">
        <v>75</v>
      </c>
      <c r="C4841" s="39">
        <v>1298</v>
      </c>
      <c r="D4841" s="24">
        <v>0</v>
      </c>
      <c r="E4841" s="24">
        <v>0</v>
      </c>
      <c r="F4841" s="23">
        <f>COUNTIFS(mdr_rate_cleaned!$A$2:$A$10,B4841,mdr_rate_cleaned!$B$2:$B$10,"&lt;"&amp;C4841,mdr_rate_cleaned!$F$2:$F$10,"&gt;="&amp;C4841)</f>
        <v>1</v>
      </c>
      <c r="G4841" s="40">
        <f>SUMIFS(mdr_rate_cleaned!$G$2:$G$10,mdr_rate_cleaned!$A$2:$A$10,B4841,mdr_rate_cleaned!$B$2:$B$10,"&lt;"&amp;C4841,mdr_rate_cleaned!$F$2:$F$10,"&gt;="&amp;C4841)</f>
        <v>0</v>
      </c>
      <c r="H4841" s="24">
        <f t="shared" si="375"/>
        <v>0</v>
      </c>
      <c r="I4841" s="23" t="str">
        <f t="shared" si="376"/>
        <v>Match</v>
      </c>
      <c r="J4841" s="23" t="str">
        <f t="shared" si="377"/>
        <v>Match</v>
      </c>
      <c r="K4841" s="24">
        <f t="shared" si="378"/>
        <v>0</v>
      </c>
      <c r="L4841" s="24">
        <f t="shared" si="379"/>
        <v>0</v>
      </c>
    </row>
    <row r="4842" spans="1:12" ht="15" customHeight="1" x14ac:dyDescent="0.3">
      <c r="A4842" s="23" t="s">
        <v>18196</v>
      </c>
      <c r="B4842" s="23" t="s">
        <v>75</v>
      </c>
      <c r="C4842" s="39">
        <v>499</v>
      </c>
      <c r="D4842" s="24">
        <v>0</v>
      </c>
      <c r="E4842" s="24">
        <v>0</v>
      </c>
      <c r="F4842" s="23">
        <f>COUNTIFS(mdr_rate_cleaned!$A$2:$A$10,B4842,mdr_rate_cleaned!$B$2:$B$10,"&lt;"&amp;C4842,mdr_rate_cleaned!$F$2:$F$10,"&gt;="&amp;C4842)</f>
        <v>1</v>
      </c>
      <c r="G4842" s="40">
        <f>SUMIFS(mdr_rate_cleaned!$G$2:$G$10,mdr_rate_cleaned!$A$2:$A$10,B4842,mdr_rate_cleaned!$B$2:$B$10,"&lt;"&amp;C4842,mdr_rate_cleaned!$F$2:$F$10,"&gt;="&amp;C4842)</f>
        <v>0</v>
      </c>
      <c r="H4842" s="24">
        <f t="shared" si="375"/>
        <v>0</v>
      </c>
      <c r="I4842" s="23" t="str">
        <f t="shared" si="376"/>
        <v>Match</v>
      </c>
      <c r="J4842" s="23" t="str">
        <f t="shared" si="377"/>
        <v>Match</v>
      </c>
      <c r="K4842" s="24">
        <f t="shared" si="378"/>
        <v>0</v>
      </c>
      <c r="L4842" s="24">
        <f t="shared" si="379"/>
        <v>0</v>
      </c>
    </row>
    <row r="4843" spans="1:12" ht="15" customHeight="1" x14ac:dyDescent="0.3">
      <c r="A4843" s="23" t="s">
        <v>18197</v>
      </c>
      <c r="B4843" s="23" t="s">
        <v>75</v>
      </c>
      <c r="C4843" s="39">
        <v>4997</v>
      </c>
      <c r="D4843" s="24">
        <v>14.99</v>
      </c>
      <c r="E4843" s="24">
        <v>2.7</v>
      </c>
      <c r="F4843" s="23">
        <f>COUNTIFS(mdr_rate_cleaned!$A$2:$A$10,B4843,mdr_rate_cleaned!$B$2:$B$10,"&lt;"&amp;C4843,mdr_rate_cleaned!$F$2:$F$10,"&gt;="&amp;C4843)</f>
        <v>1</v>
      </c>
      <c r="G4843" s="40">
        <f>SUMIFS(mdr_rate_cleaned!$G$2:$G$10,mdr_rate_cleaned!$A$2:$A$10,B4843,mdr_rate_cleaned!$B$2:$B$10,"&lt;"&amp;C4843,mdr_rate_cleaned!$F$2:$F$10,"&gt;="&amp;C4843)</f>
        <v>3.0000000000000001E-3</v>
      </c>
      <c r="H4843" s="24">
        <f t="shared" si="375"/>
        <v>14.99</v>
      </c>
      <c r="I4843" s="23" t="str">
        <f t="shared" si="376"/>
        <v>Match</v>
      </c>
      <c r="J4843" s="23" t="str">
        <f t="shared" si="377"/>
        <v>Match</v>
      </c>
      <c r="K4843" s="24">
        <f t="shared" si="378"/>
        <v>2.7</v>
      </c>
      <c r="L4843" s="24">
        <f t="shared" si="379"/>
        <v>0</v>
      </c>
    </row>
    <row r="4844" spans="1:12" ht="15" customHeight="1" x14ac:dyDescent="0.3">
      <c r="A4844" s="23" t="s">
        <v>18198</v>
      </c>
      <c r="B4844" s="23" t="s">
        <v>75</v>
      </c>
      <c r="C4844" s="39">
        <v>798</v>
      </c>
      <c r="D4844" s="24">
        <v>0</v>
      </c>
      <c r="E4844" s="24">
        <v>0</v>
      </c>
      <c r="F4844" s="23">
        <f>COUNTIFS(mdr_rate_cleaned!$A$2:$A$10,B4844,mdr_rate_cleaned!$B$2:$B$10,"&lt;"&amp;C4844,mdr_rate_cleaned!$F$2:$F$10,"&gt;="&amp;C4844)</f>
        <v>1</v>
      </c>
      <c r="G4844" s="40">
        <f>SUMIFS(mdr_rate_cleaned!$G$2:$G$10,mdr_rate_cleaned!$A$2:$A$10,B4844,mdr_rate_cleaned!$B$2:$B$10,"&lt;"&amp;C4844,mdr_rate_cleaned!$F$2:$F$10,"&gt;="&amp;C4844)</f>
        <v>0</v>
      </c>
      <c r="H4844" s="24">
        <f t="shared" si="375"/>
        <v>0</v>
      </c>
      <c r="I4844" s="23" t="str">
        <f t="shared" si="376"/>
        <v>Match</v>
      </c>
      <c r="J4844" s="23" t="str">
        <f t="shared" si="377"/>
        <v>Match</v>
      </c>
      <c r="K4844" s="24">
        <f t="shared" si="378"/>
        <v>0</v>
      </c>
      <c r="L4844" s="24">
        <f t="shared" si="379"/>
        <v>0</v>
      </c>
    </row>
    <row r="4845" spans="1:12" ht="15" customHeight="1" x14ac:dyDescent="0.3">
      <c r="A4845" s="23" t="s">
        <v>18199</v>
      </c>
      <c r="B4845" s="23" t="s">
        <v>77</v>
      </c>
      <c r="C4845" s="39">
        <v>4999</v>
      </c>
      <c r="D4845" s="24">
        <v>84.98</v>
      </c>
      <c r="E4845" s="24">
        <v>15.3</v>
      </c>
      <c r="F4845" s="23">
        <f>COUNTIFS(mdr_rate_cleaned!$A$2:$A$10,B4845,mdr_rate_cleaned!$B$2:$B$10,"&lt;"&amp;C4845,mdr_rate_cleaned!$F$2:$F$10,"&gt;="&amp;C4845)</f>
        <v>1</v>
      </c>
      <c r="G4845" s="40">
        <f>SUMIFS(mdr_rate_cleaned!$G$2:$G$10,mdr_rate_cleaned!$A$2:$A$10,B4845,mdr_rate_cleaned!$B$2:$B$10,"&lt;"&amp;C4845,mdr_rate_cleaned!$F$2:$F$10,"&gt;="&amp;C4845)</f>
        <v>1.7000000000000001E-2</v>
      </c>
      <c r="H4845" s="24">
        <f t="shared" si="375"/>
        <v>84.98</v>
      </c>
      <c r="I4845" s="23" t="str">
        <f t="shared" si="376"/>
        <v>Match</v>
      </c>
      <c r="J4845" s="23" t="str">
        <f t="shared" si="377"/>
        <v>Match</v>
      </c>
      <c r="K4845" s="24">
        <f t="shared" si="378"/>
        <v>15.3</v>
      </c>
      <c r="L4845" s="24">
        <f t="shared" si="379"/>
        <v>0</v>
      </c>
    </row>
    <row r="4846" spans="1:12" ht="15" customHeight="1" x14ac:dyDescent="0.3">
      <c r="A4846" s="23" t="s">
        <v>18200</v>
      </c>
      <c r="B4846" s="23" t="s">
        <v>75</v>
      </c>
      <c r="C4846" s="39">
        <v>2098</v>
      </c>
      <c r="D4846" s="24">
        <v>6.29</v>
      </c>
      <c r="E4846" s="24">
        <v>1.1299999999999999</v>
      </c>
      <c r="F4846" s="23">
        <f>COUNTIFS(mdr_rate_cleaned!$A$2:$A$10,B4846,mdr_rate_cleaned!$B$2:$B$10,"&lt;"&amp;C4846,mdr_rate_cleaned!$F$2:$F$10,"&gt;="&amp;C4846)</f>
        <v>1</v>
      </c>
      <c r="G4846" s="40">
        <f>SUMIFS(mdr_rate_cleaned!$G$2:$G$10,mdr_rate_cleaned!$A$2:$A$10,B4846,mdr_rate_cleaned!$B$2:$B$10,"&lt;"&amp;C4846,mdr_rate_cleaned!$F$2:$F$10,"&gt;="&amp;C4846)</f>
        <v>3.0000000000000001E-3</v>
      </c>
      <c r="H4846" s="24">
        <f t="shared" si="375"/>
        <v>6.29</v>
      </c>
      <c r="I4846" s="23" t="str">
        <f t="shared" si="376"/>
        <v>Match</v>
      </c>
      <c r="J4846" s="23" t="str">
        <f t="shared" si="377"/>
        <v>Match</v>
      </c>
      <c r="K4846" s="24">
        <f t="shared" si="378"/>
        <v>1.1299999999999999</v>
      </c>
      <c r="L4846" s="24">
        <f t="shared" si="379"/>
        <v>0</v>
      </c>
    </row>
    <row r="4847" spans="1:12" ht="15" customHeight="1" x14ac:dyDescent="0.3">
      <c r="A4847" s="23" t="s">
        <v>18201</v>
      </c>
      <c r="B4847" s="23" t="s">
        <v>75</v>
      </c>
      <c r="C4847" s="39">
        <v>1499</v>
      </c>
      <c r="D4847" s="24">
        <v>0</v>
      </c>
      <c r="E4847" s="24">
        <v>0</v>
      </c>
      <c r="F4847" s="23">
        <f>COUNTIFS(mdr_rate_cleaned!$A$2:$A$10,B4847,mdr_rate_cleaned!$B$2:$B$10,"&lt;"&amp;C4847,mdr_rate_cleaned!$F$2:$F$10,"&gt;="&amp;C4847)</f>
        <v>1</v>
      </c>
      <c r="G4847" s="40">
        <f>SUMIFS(mdr_rate_cleaned!$G$2:$G$10,mdr_rate_cleaned!$A$2:$A$10,B4847,mdr_rate_cleaned!$B$2:$B$10,"&lt;"&amp;C4847,mdr_rate_cleaned!$F$2:$F$10,"&gt;="&amp;C4847)</f>
        <v>0</v>
      </c>
      <c r="H4847" s="24">
        <f t="shared" si="375"/>
        <v>0</v>
      </c>
      <c r="I4847" s="23" t="str">
        <f t="shared" si="376"/>
        <v>Match</v>
      </c>
      <c r="J4847" s="23" t="str">
        <f t="shared" si="377"/>
        <v>Match</v>
      </c>
      <c r="K4847" s="24">
        <f t="shared" si="378"/>
        <v>0</v>
      </c>
      <c r="L4847" s="24">
        <f t="shared" si="379"/>
        <v>0</v>
      </c>
    </row>
    <row r="4848" spans="1:12" ht="15" customHeight="1" x14ac:dyDescent="0.3">
      <c r="A4848" s="23" t="s">
        <v>18202</v>
      </c>
      <c r="B4848" s="23" t="s">
        <v>75</v>
      </c>
      <c r="C4848" s="39">
        <v>1499</v>
      </c>
      <c r="D4848" s="24">
        <v>0</v>
      </c>
      <c r="E4848" s="24">
        <v>0</v>
      </c>
      <c r="F4848" s="23">
        <f>COUNTIFS(mdr_rate_cleaned!$A$2:$A$10,B4848,mdr_rate_cleaned!$B$2:$B$10,"&lt;"&amp;C4848,mdr_rate_cleaned!$F$2:$F$10,"&gt;="&amp;C4848)</f>
        <v>1</v>
      </c>
      <c r="G4848" s="40">
        <f>SUMIFS(mdr_rate_cleaned!$G$2:$G$10,mdr_rate_cleaned!$A$2:$A$10,B4848,mdr_rate_cleaned!$B$2:$B$10,"&lt;"&amp;C4848,mdr_rate_cleaned!$F$2:$F$10,"&gt;="&amp;C4848)</f>
        <v>0</v>
      </c>
      <c r="H4848" s="24">
        <f t="shared" si="375"/>
        <v>0</v>
      </c>
      <c r="I4848" s="23" t="str">
        <f t="shared" si="376"/>
        <v>Match</v>
      </c>
      <c r="J4848" s="23" t="str">
        <f t="shared" si="377"/>
        <v>Match</v>
      </c>
      <c r="K4848" s="24">
        <f t="shared" si="378"/>
        <v>0</v>
      </c>
      <c r="L4848" s="24">
        <f t="shared" si="379"/>
        <v>0</v>
      </c>
    </row>
    <row r="4849" spans="1:12" ht="15" customHeight="1" x14ac:dyDescent="0.3">
      <c r="A4849" s="23" t="s">
        <v>18203</v>
      </c>
      <c r="B4849" s="23" t="s">
        <v>81</v>
      </c>
      <c r="C4849" s="39">
        <v>4999</v>
      </c>
      <c r="D4849" s="24">
        <v>59.99</v>
      </c>
      <c r="E4849" s="24">
        <v>10.8</v>
      </c>
      <c r="F4849" s="23">
        <f>COUNTIFS(mdr_rate_cleaned!$A$2:$A$10,B4849,mdr_rate_cleaned!$B$2:$B$10,"&lt;"&amp;C4849,mdr_rate_cleaned!$F$2:$F$10,"&gt;="&amp;C4849)</f>
        <v>1</v>
      </c>
      <c r="G4849" s="40">
        <f>SUMIFS(mdr_rate_cleaned!$G$2:$G$10,mdr_rate_cleaned!$A$2:$A$10,B4849,mdr_rate_cleaned!$B$2:$B$10,"&lt;"&amp;C4849,mdr_rate_cleaned!$F$2:$F$10,"&gt;="&amp;C4849)</f>
        <v>1.2E-2</v>
      </c>
      <c r="H4849" s="24">
        <f t="shared" si="375"/>
        <v>59.99</v>
      </c>
      <c r="I4849" s="23" t="str">
        <f t="shared" si="376"/>
        <v>Match</v>
      </c>
      <c r="J4849" s="23" t="str">
        <f t="shared" si="377"/>
        <v>Match</v>
      </c>
      <c r="K4849" s="24">
        <f t="shared" si="378"/>
        <v>10.8</v>
      </c>
      <c r="L4849" s="24">
        <f t="shared" si="379"/>
        <v>0</v>
      </c>
    </row>
    <row r="4850" spans="1:12" ht="15" customHeight="1" x14ac:dyDescent="0.3">
      <c r="A4850" s="23" t="s">
        <v>18204</v>
      </c>
      <c r="B4850" s="23" t="s">
        <v>75</v>
      </c>
      <c r="C4850" s="39">
        <v>8998</v>
      </c>
      <c r="D4850" s="24">
        <v>26.99</v>
      </c>
      <c r="E4850" s="24">
        <v>4.8600000000000003</v>
      </c>
      <c r="F4850" s="23">
        <f>COUNTIFS(mdr_rate_cleaned!$A$2:$A$10,B4850,mdr_rate_cleaned!$B$2:$B$10,"&lt;"&amp;C4850,mdr_rate_cleaned!$F$2:$F$10,"&gt;="&amp;C4850)</f>
        <v>1</v>
      </c>
      <c r="G4850" s="40">
        <f>SUMIFS(mdr_rate_cleaned!$G$2:$G$10,mdr_rate_cleaned!$A$2:$A$10,B4850,mdr_rate_cleaned!$B$2:$B$10,"&lt;"&amp;C4850,mdr_rate_cleaned!$F$2:$F$10,"&gt;="&amp;C4850)</f>
        <v>3.0000000000000001E-3</v>
      </c>
      <c r="H4850" s="24">
        <f t="shared" si="375"/>
        <v>26.99</v>
      </c>
      <c r="I4850" s="23" t="str">
        <f t="shared" si="376"/>
        <v>Match</v>
      </c>
      <c r="J4850" s="23" t="str">
        <f t="shared" si="377"/>
        <v>Match</v>
      </c>
      <c r="K4850" s="24">
        <f t="shared" si="378"/>
        <v>4.8600000000000003</v>
      </c>
      <c r="L4850" s="24">
        <f t="shared" si="379"/>
        <v>0</v>
      </c>
    </row>
    <row r="4851" spans="1:12" ht="15" customHeight="1" x14ac:dyDescent="0.3">
      <c r="A4851" s="23" t="s">
        <v>18205</v>
      </c>
      <c r="B4851" s="23" t="s">
        <v>81</v>
      </c>
      <c r="C4851" s="39">
        <v>1848</v>
      </c>
      <c r="D4851" s="24">
        <v>27.72</v>
      </c>
      <c r="E4851" s="24">
        <v>4.99</v>
      </c>
      <c r="F4851" s="23">
        <f>COUNTIFS(mdr_rate_cleaned!$A$2:$A$10,B4851,mdr_rate_cleaned!$B$2:$B$10,"&lt;"&amp;C4851,mdr_rate_cleaned!$F$2:$F$10,"&gt;="&amp;C4851)</f>
        <v>1</v>
      </c>
      <c r="G4851" s="40">
        <f>SUMIFS(mdr_rate_cleaned!$G$2:$G$10,mdr_rate_cleaned!$A$2:$A$10,B4851,mdr_rate_cleaned!$B$2:$B$10,"&lt;"&amp;C4851,mdr_rate_cleaned!$F$2:$F$10,"&gt;="&amp;C4851)</f>
        <v>1.4999999999999999E-2</v>
      </c>
      <c r="H4851" s="24">
        <f t="shared" si="375"/>
        <v>27.72</v>
      </c>
      <c r="I4851" s="23" t="str">
        <f t="shared" si="376"/>
        <v>Match</v>
      </c>
      <c r="J4851" s="23" t="str">
        <f t="shared" si="377"/>
        <v>Match</v>
      </c>
      <c r="K4851" s="24">
        <f t="shared" si="378"/>
        <v>4.99</v>
      </c>
      <c r="L4851" s="24">
        <f t="shared" si="379"/>
        <v>0</v>
      </c>
    </row>
    <row r="4852" spans="1:12" ht="15" customHeight="1" x14ac:dyDescent="0.3">
      <c r="A4852" s="23" t="s">
        <v>18206</v>
      </c>
      <c r="B4852" s="23" t="s">
        <v>81</v>
      </c>
      <c r="C4852" s="39">
        <v>7999</v>
      </c>
      <c r="D4852" s="24">
        <v>95.99</v>
      </c>
      <c r="E4852" s="24">
        <v>17.28</v>
      </c>
      <c r="F4852" s="23">
        <f>COUNTIFS(mdr_rate_cleaned!$A$2:$A$10,B4852,mdr_rate_cleaned!$B$2:$B$10,"&lt;"&amp;C4852,mdr_rate_cleaned!$F$2:$F$10,"&gt;="&amp;C4852)</f>
        <v>1</v>
      </c>
      <c r="G4852" s="40">
        <f>SUMIFS(mdr_rate_cleaned!$G$2:$G$10,mdr_rate_cleaned!$A$2:$A$10,B4852,mdr_rate_cleaned!$B$2:$B$10,"&lt;"&amp;C4852,mdr_rate_cleaned!$F$2:$F$10,"&gt;="&amp;C4852)</f>
        <v>1.2E-2</v>
      </c>
      <c r="H4852" s="24">
        <f t="shared" si="375"/>
        <v>95.99</v>
      </c>
      <c r="I4852" s="23" t="str">
        <f t="shared" si="376"/>
        <v>Match</v>
      </c>
      <c r="J4852" s="23" t="str">
        <f t="shared" si="377"/>
        <v>Match</v>
      </c>
      <c r="K4852" s="24">
        <f t="shared" si="378"/>
        <v>17.28</v>
      </c>
      <c r="L4852" s="24">
        <f t="shared" si="379"/>
        <v>0</v>
      </c>
    </row>
    <row r="4853" spans="1:12" ht="15" customHeight="1" x14ac:dyDescent="0.3">
      <c r="A4853" s="23" t="s">
        <v>18207</v>
      </c>
      <c r="B4853" s="23" t="s">
        <v>75</v>
      </c>
      <c r="C4853" s="39">
        <v>2499</v>
      </c>
      <c r="D4853" s="24">
        <v>7.5</v>
      </c>
      <c r="E4853" s="24">
        <v>1.35</v>
      </c>
      <c r="F4853" s="23">
        <f>COUNTIFS(mdr_rate_cleaned!$A$2:$A$10,B4853,mdr_rate_cleaned!$B$2:$B$10,"&lt;"&amp;C4853,mdr_rate_cleaned!$F$2:$F$10,"&gt;="&amp;C4853)</f>
        <v>1</v>
      </c>
      <c r="G4853" s="40">
        <f>SUMIFS(mdr_rate_cleaned!$G$2:$G$10,mdr_rate_cleaned!$A$2:$A$10,B4853,mdr_rate_cleaned!$B$2:$B$10,"&lt;"&amp;C4853,mdr_rate_cleaned!$F$2:$F$10,"&gt;="&amp;C4853)</f>
        <v>3.0000000000000001E-3</v>
      </c>
      <c r="H4853" s="24">
        <f t="shared" si="375"/>
        <v>7.5</v>
      </c>
      <c r="I4853" s="23" t="str">
        <f t="shared" si="376"/>
        <v>Match</v>
      </c>
      <c r="J4853" s="23" t="str">
        <f t="shared" si="377"/>
        <v>Match</v>
      </c>
      <c r="K4853" s="24">
        <f t="shared" si="378"/>
        <v>1.35</v>
      </c>
      <c r="L4853" s="24">
        <f t="shared" si="379"/>
        <v>0</v>
      </c>
    </row>
    <row r="4854" spans="1:12" ht="15" customHeight="1" x14ac:dyDescent="0.3">
      <c r="A4854" s="23" t="s">
        <v>18208</v>
      </c>
      <c r="B4854" s="23" t="s">
        <v>79</v>
      </c>
      <c r="C4854" s="39">
        <v>1298</v>
      </c>
      <c r="D4854" s="24">
        <v>23.36</v>
      </c>
      <c r="E4854" s="24">
        <v>4.2</v>
      </c>
      <c r="F4854" s="23">
        <f>COUNTIFS(mdr_rate_cleaned!$A$2:$A$10,B4854,mdr_rate_cleaned!$B$2:$B$10,"&lt;"&amp;C4854,mdr_rate_cleaned!$F$2:$F$10,"&gt;="&amp;C4854)</f>
        <v>1</v>
      </c>
      <c r="G4854" s="40">
        <f>SUMIFS(mdr_rate_cleaned!$G$2:$G$10,mdr_rate_cleaned!$A$2:$A$10,B4854,mdr_rate_cleaned!$B$2:$B$10,"&lt;"&amp;C4854,mdr_rate_cleaned!$F$2:$F$10,"&gt;="&amp;C4854)</f>
        <v>1.8000000000000002E-2</v>
      </c>
      <c r="H4854" s="24">
        <f t="shared" si="375"/>
        <v>23.36</v>
      </c>
      <c r="I4854" s="23" t="str">
        <f t="shared" si="376"/>
        <v>Match</v>
      </c>
      <c r="J4854" s="23" t="str">
        <f t="shared" si="377"/>
        <v>Match</v>
      </c>
      <c r="K4854" s="24">
        <f t="shared" si="378"/>
        <v>4.2</v>
      </c>
      <c r="L4854" s="24">
        <f t="shared" si="379"/>
        <v>0</v>
      </c>
    </row>
    <row r="4855" spans="1:12" ht="15" customHeight="1" x14ac:dyDescent="0.3">
      <c r="A4855" s="23" t="s">
        <v>18209</v>
      </c>
      <c r="B4855" s="23" t="s">
        <v>75</v>
      </c>
      <c r="C4855" s="39">
        <v>3499</v>
      </c>
      <c r="D4855" s="24">
        <v>10.5</v>
      </c>
      <c r="E4855" s="24">
        <v>1.89</v>
      </c>
      <c r="F4855" s="23">
        <f>COUNTIFS(mdr_rate_cleaned!$A$2:$A$10,B4855,mdr_rate_cleaned!$B$2:$B$10,"&lt;"&amp;C4855,mdr_rate_cleaned!$F$2:$F$10,"&gt;="&amp;C4855)</f>
        <v>1</v>
      </c>
      <c r="G4855" s="40">
        <f>SUMIFS(mdr_rate_cleaned!$G$2:$G$10,mdr_rate_cleaned!$A$2:$A$10,B4855,mdr_rate_cleaned!$B$2:$B$10,"&lt;"&amp;C4855,mdr_rate_cleaned!$F$2:$F$10,"&gt;="&amp;C4855)</f>
        <v>3.0000000000000001E-3</v>
      </c>
      <c r="H4855" s="24">
        <f t="shared" si="375"/>
        <v>10.5</v>
      </c>
      <c r="I4855" s="23" t="str">
        <f t="shared" si="376"/>
        <v>Match</v>
      </c>
      <c r="J4855" s="23" t="str">
        <f t="shared" si="377"/>
        <v>Match</v>
      </c>
      <c r="K4855" s="24">
        <f t="shared" si="378"/>
        <v>1.89</v>
      </c>
      <c r="L4855" s="24">
        <f t="shared" si="379"/>
        <v>0</v>
      </c>
    </row>
    <row r="4856" spans="1:12" ht="15" customHeight="1" x14ac:dyDescent="0.3">
      <c r="A4856" s="23" t="s">
        <v>18211</v>
      </c>
      <c r="B4856" s="23" t="s">
        <v>81</v>
      </c>
      <c r="C4856" s="39">
        <v>3348</v>
      </c>
      <c r="D4856" s="24">
        <v>40.18</v>
      </c>
      <c r="E4856" s="24">
        <v>7.23</v>
      </c>
      <c r="F4856" s="23">
        <f>COUNTIFS(mdr_rate_cleaned!$A$2:$A$10,B4856,mdr_rate_cleaned!$B$2:$B$10,"&lt;"&amp;C4856,mdr_rate_cleaned!$F$2:$F$10,"&gt;="&amp;C4856)</f>
        <v>1</v>
      </c>
      <c r="G4856" s="40">
        <f>SUMIFS(mdr_rate_cleaned!$G$2:$G$10,mdr_rate_cleaned!$A$2:$A$10,B4856,mdr_rate_cleaned!$B$2:$B$10,"&lt;"&amp;C4856,mdr_rate_cleaned!$F$2:$F$10,"&gt;="&amp;C4856)</f>
        <v>1.2E-2</v>
      </c>
      <c r="H4856" s="24">
        <f t="shared" si="375"/>
        <v>40.18</v>
      </c>
      <c r="I4856" s="23" t="str">
        <f t="shared" si="376"/>
        <v>Match</v>
      </c>
      <c r="J4856" s="23" t="str">
        <f t="shared" si="377"/>
        <v>Match</v>
      </c>
      <c r="K4856" s="24">
        <f t="shared" si="378"/>
        <v>7.23</v>
      </c>
      <c r="L4856" s="24">
        <f t="shared" si="379"/>
        <v>0</v>
      </c>
    </row>
    <row r="4857" spans="1:12" ht="15" customHeight="1" x14ac:dyDescent="0.3">
      <c r="A4857" s="23" t="s">
        <v>18212</v>
      </c>
      <c r="B4857" s="23" t="s">
        <v>75</v>
      </c>
      <c r="C4857" s="39">
        <v>2499</v>
      </c>
      <c r="D4857" s="24">
        <v>7.5</v>
      </c>
      <c r="E4857" s="24">
        <v>1.35</v>
      </c>
      <c r="F4857" s="23">
        <f>COUNTIFS(mdr_rate_cleaned!$A$2:$A$10,B4857,mdr_rate_cleaned!$B$2:$B$10,"&lt;"&amp;C4857,mdr_rate_cleaned!$F$2:$F$10,"&gt;="&amp;C4857)</f>
        <v>1</v>
      </c>
      <c r="G4857" s="40">
        <f>SUMIFS(mdr_rate_cleaned!$G$2:$G$10,mdr_rate_cleaned!$A$2:$A$10,B4857,mdr_rate_cleaned!$B$2:$B$10,"&lt;"&amp;C4857,mdr_rate_cleaned!$F$2:$F$10,"&gt;="&amp;C4857)</f>
        <v>3.0000000000000001E-3</v>
      </c>
      <c r="H4857" s="24">
        <f t="shared" si="375"/>
        <v>7.5</v>
      </c>
      <c r="I4857" s="23" t="str">
        <f t="shared" si="376"/>
        <v>Match</v>
      </c>
      <c r="J4857" s="23" t="str">
        <f t="shared" si="377"/>
        <v>Match</v>
      </c>
      <c r="K4857" s="24">
        <f t="shared" si="378"/>
        <v>1.35</v>
      </c>
      <c r="L4857" s="24">
        <f t="shared" si="379"/>
        <v>0</v>
      </c>
    </row>
    <row r="4858" spans="1:12" ht="15" customHeight="1" x14ac:dyDescent="0.3">
      <c r="A4858" s="23" t="s">
        <v>18213</v>
      </c>
      <c r="B4858" s="23" t="s">
        <v>81</v>
      </c>
      <c r="C4858" s="39">
        <v>3499</v>
      </c>
      <c r="D4858" s="24">
        <v>41.99</v>
      </c>
      <c r="E4858" s="24">
        <v>7.56</v>
      </c>
      <c r="F4858" s="23">
        <f>COUNTIFS(mdr_rate_cleaned!$A$2:$A$10,B4858,mdr_rate_cleaned!$B$2:$B$10,"&lt;"&amp;C4858,mdr_rate_cleaned!$F$2:$F$10,"&gt;="&amp;C4858)</f>
        <v>1</v>
      </c>
      <c r="G4858" s="40">
        <f>SUMIFS(mdr_rate_cleaned!$G$2:$G$10,mdr_rate_cleaned!$A$2:$A$10,B4858,mdr_rate_cleaned!$B$2:$B$10,"&lt;"&amp;C4858,mdr_rate_cleaned!$F$2:$F$10,"&gt;="&amp;C4858)</f>
        <v>1.2E-2</v>
      </c>
      <c r="H4858" s="24">
        <f t="shared" si="375"/>
        <v>41.99</v>
      </c>
      <c r="I4858" s="23" t="str">
        <f t="shared" si="376"/>
        <v>Match</v>
      </c>
      <c r="J4858" s="23" t="str">
        <f t="shared" si="377"/>
        <v>Match</v>
      </c>
      <c r="K4858" s="24">
        <f t="shared" si="378"/>
        <v>7.56</v>
      </c>
      <c r="L4858" s="24">
        <f t="shared" si="379"/>
        <v>0</v>
      </c>
    </row>
    <row r="4859" spans="1:12" ht="15" customHeight="1" x14ac:dyDescent="0.3">
      <c r="A4859" s="23" t="s">
        <v>18214</v>
      </c>
      <c r="B4859" s="23" t="s">
        <v>79</v>
      </c>
      <c r="C4859" s="39">
        <v>1499</v>
      </c>
      <c r="D4859" s="24">
        <v>26.98</v>
      </c>
      <c r="E4859" s="24">
        <v>4.8600000000000003</v>
      </c>
      <c r="F4859" s="23">
        <f>COUNTIFS(mdr_rate_cleaned!$A$2:$A$10,B4859,mdr_rate_cleaned!$B$2:$B$10,"&lt;"&amp;C4859,mdr_rate_cleaned!$F$2:$F$10,"&gt;="&amp;C4859)</f>
        <v>1</v>
      </c>
      <c r="G4859" s="40">
        <f>SUMIFS(mdr_rate_cleaned!$G$2:$G$10,mdr_rate_cleaned!$A$2:$A$10,B4859,mdr_rate_cleaned!$B$2:$B$10,"&lt;"&amp;C4859,mdr_rate_cleaned!$F$2:$F$10,"&gt;="&amp;C4859)</f>
        <v>1.8000000000000002E-2</v>
      </c>
      <c r="H4859" s="24">
        <f t="shared" si="375"/>
        <v>26.98</v>
      </c>
      <c r="I4859" s="23" t="str">
        <f t="shared" si="376"/>
        <v>Match</v>
      </c>
      <c r="J4859" s="23" t="str">
        <f t="shared" si="377"/>
        <v>Match</v>
      </c>
      <c r="K4859" s="24">
        <f t="shared" si="378"/>
        <v>4.8600000000000003</v>
      </c>
      <c r="L4859" s="24">
        <f t="shared" si="379"/>
        <v>0</v>
      </c>
    </row>
    <row r="4860" spans="1:12" ht="15" customHeight="1" x14ac:dyDescent="0.3">
      <c r="A4860" s="23" t="s">
        <v>18215</v>
      </c>
      <c r="B4860" s="23" t="s">
        <v>75</v>
      </c>
      <c r="C4860" s="39">
        <v>8498</v>
      </c>
      <c r="D4860" s="24">
        <v>25.49</v>
      </c>
      <c r="E4860" s="24">
        <v>4.59</v>
      </c>
      <c r="F4860" s="23">
        <f>COUNTIFS(mdr_rate_cleaned!$A$2:$A$10,B4860,mdr_rate_cleaned!$B$2:$B$10,"&lt;"&amp;C4860,mdr_rate_cleaned!$F$2:$F$10,"&gt;="&amp;C4860)</f>
        <v>1</v>
      </c>
      <c r="G4860" s="40">
        <f>SUMIFS(mdr_rate_cleaned!$G$2:$G$10,mdr_rate_cleaned!$A$2:$A$10,B4860,mdr_rate_cleaned!$B$2:$B$10,"&lt;"&amp;C4860,mdr_rate_cleaned!$F$2:$F$10,"&gt;="&amp;C4860)</f>
        <v>3.0000000000000001E-3</v>
      </c>
      <c r="H4860" s="24">
        <f t="shared" si="375"/>
        <v>25.49</v>
      </c>
      <c r="I4860" s="23" t="str">
        <f t="shared" si="376"/>
        <v>Match</v>
      </c>
      <c r="J4860" s="23" t="str">
        <f t="shared" si="377"/>
        <v>Match</v>
      </c>
      <c r="K4860" s="24">
        <f t="shared" si="378"/>
        <v>4.59</v>
      </c>
      <c r="L4860" s="24">
        <f t="shared" si="379"/>
        <v>0</v>
      </c>
    </row>
    <row r="4861" spans="1:12" ht="15" customHeight="1" x14ac:dyDescent="0.3">
      <c r="A4861" s="23" t="s">
        <v>18216</v>
      </c>
      <c r="B4861" s="23" t="s">
        <v>79</v>
      </c>
      <c r="C4861" s="39">
        <v>299</v>
      </c>
      <c r="D4861" s="24">
        <v>5.38</v>
      </c>
      <c r="E4861" s="24">
        <v>0.97</v>
      </c>
      <c r="F4861" s="23">
        <f>COUNTIFS(mdr_rate_cleaned!$A$2:$A$10,B4861,mdr_rate_cleaned!$B$2:$B$10,"&lt;"&amp;C4861,mdr_rate_cleaned!$F$2:$F$10,"&gt;="&amp;C4861)</f>
        <v>1</v>
      </c>
      <c r="G4861" s="40">
        <f>SUMIFS(mdr_rate_cleaned!$G$2:$G$10,mdr_rate_cleaned!$A$2:$A$10,B4861,mdr_rate_cleaned!$B$2:$B$10,"&lt;"&amp;C4861,mdr_rate_cleaned!$F$2:$F$10,"&gt;="&amp;C4861)</f>
        <v>1.8000000000000002E-2</v>
      </c>
      <c r="H4861" s="24">
        <f t="shared" si="375"/>
        <v>5.38</v>
      </c>
      <c r="I4861" s="23" t="str">
        <f t="shared" si="376"/>
        <v>Match</v>
      </c>
      <c r="J4861" s="23" t="str">
        <f t="shared" si="377"/>
        <v>Match</v>
      </c>
      <c r="K4861" s="24">
        <f t="shared" si="378"/>
        <v>0.97</v>
      </c>
      <c r="L4861" s="24">
        <f t="shared" si="379"/>
        <v>0</v>
      </c>
    </row>
    <row r="4862" spans="1:12" ht="15" customHeight="1" x14ac:dyDescent="0.3">
      <c r="A4862" s="23" t="s">
        <v>18217</v>
      </c>
      <c r="B4862" s="23" t="s">
        <v>75</v>
      </c>
      <c r="C4862" s="39">
        <v>7999</v>
      </c>
      <c r="D4862" s="24">
        <v>24</v>
      </c>
      <c r="E4862" s="24">
        <v>4.32</v>
      </c>
      <c r="F4862" s="23">
        <f>COUNTIFS(mdr_rate_cleaned!$A$2:$A$10,B4862,mdr_rate_cleaned!$B$2:$B$10,"&lt;"&amp;C4862,mdr_rate_cleaned!$F$2:$F$10,"&gt;="&amp;C4862)</f>
        <v>1</v>
      </c>
      <c r="G4862" s="40">
        <f>SUMIFS(mdr_rate_cleaned!$G$2:$G$10,mdr_rate_cleaned!$A$2:$A$10,B4862,mdr_rate_cleaned!$B$2:$B$10,"&lt;"&amp;C4862,mdr_rate_cleaned!$F$2:$F$10,"&gt;="&amp;C4862)</f>
        <v>3.0000000000000001E-3</v>
      </c>
      <c r="H4862" s="24">
        <f t="shared" si="375"/>
        <v>24</v>
      </c>
      <c r="I4862" s="23" t="str">
        <f t="shared" si="376"/>
        <v>Match</v>
      </c>
      <c r="J4862" s="23" t="str">
        <f t="shared" si="377"/>
        <v>Match</v>
      </c>
      <c r="K4862" s="24">
        <f t="shared" si="378"/>
        <v>4.32</v>
      </c>
      <c r="L4862" s="24">
        <f t="shared" si="379"/>
        <v>0</v>
      </c>
    </row>
    <row r="4863" spans="1:12" ht="15" customHeight="1" x14ac:dyDescent="0.3">
      <c r="A4863" s="23" t="s">
        <v>18218</v>
      </c>
      <c r="B4863" s="23" t="s">
        <v>79</v>
      </c>
      <c r="C4863" s="39">
        <v>1947</v>
      </c>
      <c r="D4863" s="24">
        <v>35.049999999999997</v>
      </c>
      <c r="E4863" s="24">
        <v>6.31</v>
      </c>
      <c r="F4863" s="23">
        <f>COUNTIFS(mdr_rate_cleaned!$A$2:$A$10,B4863,mdr_rate_cleaned!$B$2:$B$10,"&lt;"&amp;C4863,mdr_rate_cleaned!$F$2:$F$10,"&gt;="&amp;C4863)</f>
        <v>1</v>
      </c>
      <c r="G4863" s="40">
        <f>SUMIFS(mdr_rate_cleaned!$G$2:$G$10,mdr_rate_cleaned!$A$2:$A$10,B4863,mdr_rate_cleaned!$B$2:$B$10,"&lt;"&amp;C4863,mdr_rate_cleaned!$F$2:$F$10,"&gt;="&amp;C4863)</f>
        <v>1.8000000000000002E-2</v>
      </c>
      <c r="H4863" s="24">
        <f t="shared" si="375"/>
        <v>35.049999999999997</v>
      </c>
      <c r="I4863" s="23" t="str">
        <f t="shared" si="376"/>
        <v>Match</v>
      </c>
      <c r="J4863" s="23" t="str">
        <f t="shared" si="377"/>
        <v>Match</v>
      </c>
      <c r="K4863" s="24">
        <f t="shared" si="378"/>
        <v>6.31</v>
      </c>
      <c r="L4863" s="24">
        <f t="shared" si="379"/>
        <v>0</v>
      </c>
    </row>
    <row r="4864" spans="1:12" ht="15" customHeight="1" x14ac:dyDescent="0.3">
      <c r="A4864" s="23" t="s">
        <v>18219</v>
      </c>
      <c r="B4864" s="23" t="s">
        <v>75</v>
      </c>
      <c r="C4864" s="39">
        <v>1799</v>
      </c>
      <c r="D4864" s="24">
        <v>0</v>
      </c>
      <c r="E4864" s="24">
        <v>0</v>
      </c>
      <c r="F4864" s="23">
        <f>COUNTIFS(mdr_rate_cleaned!$A$2:$A$10,B4864,mdr_rate_cleaned!$B$2:$B$10,"&lt;"&amp;C4864,mdr_rate_cleaned!$F$2:$F$10,"&gt;="&amp;C4864)</f>
        <v>1</v>
      </c>
      <c r="G4864" s="40">
        <f>SUMIFS(mdr_rate_cleaned!$G$2:$G$10,mdr_rate_cleaned!$A$2:$A$10,B4864,mdr_rate_cleaned!$B$2:$B$10,"&lt;"&amp;C4864,mdr_rate_cleaned!$F$2:$F$10,"&gt;="&amp;C4864)</f>
        <v>0</v>
      </c>
      <c r="H4864" s="24">
        <f t="shared" si="375"/>
        <v>0</v>
      </c>
      <c r="I4864" s="23" t="str">
        <f t="shared" si="376"/>
        <v>Match</v>
      </c>
      <c r="J4864" s="23" t="str">
        <f t="shared" si="377"/>
        <v>Match</v>
      </c>
      <c r="K4864" s="24">
        <f t="shared" si="378"/>
        <v>0</v>
      </c>
      <c r="L4864" s="24">
        <f t="shared" si="379"/>
        <v>0</v>
      </c>
    </row>
    <row r="4865" spans="1:12" ht="15" customHeight="1" x14ac:dyDescent="0.3">
      <c r="A4865" s="23" t="s">
        <v>18221</v>
      </c>
      <c r="B4865" s="23" t="s">
        <v>79</v>
      </c>
      <c r="C4865" s="39">
        <v>1499</v>
      </c>
      <c r="D4865" s="24">
        <v>26.98</v>
      </c>
      <c r="E4865" s="24">
        <v>4.8600000000000003</v>
      </c>
      <c r="F4865" s="23">
        <f>COUNTIFS(mdr_rate_cleaned!$A$2:$A$10,B4865,mdr_rate_cleaned!$B$2:$B$10,"&lt;"&amp;C4865,mdr_rate_cleaned!$F$2:$F$10,"&gt;="&amp;C4865)</f>
        <v>1</v>
      </c>
      <c r="G4865" s="40">
        <f>SUMIFS(mdr_rate_cleaned!$G$2:$G$10,mdr_rate_cleaned!$A$2:$A$10,B4865,mdr_rate_cleaned!$B$2:$B$10,"&lt;"&amp;C4865,mdr_rate_cleaned!$F$2:$F$10,"&gt;="&amp;C4865)</f>
        <v>1.8000000000000002E-2</v>
      </c>
      <c r="H4865" s="24">
        <f t="shared" si="375"/>
        <v>26.98</v>
      </c>
      <c r="I4865" s="23" t="str">
        <f t="shared" si="376"/>
        <v>Match</v>
      </c>
      <c r="J4865" s="23" t="str">
        <f t="shared" si="377"/>
        <v>Match</v>
      </c>
      <c r="K4865" s="24">
        <f t="shared" si="378"/>
        <v>4.8600000000000003</v>
      </c>
      <c r="L4865" s="24">
        <f t="shared" si="379"/>
        <v>0</v>
      </c>
    </row>
    <row r="4866" spans="1:12" ht="15" customHeight="1" x14ac:dyDescent="0.3">
      <c r="A4866" s="23" t="s">
        <v>18222</v>
      </c>
      <c r="B4866" s="23" t="s">
        <v>75</v>
      </c>
      <c r="C4866" s="39">
        <v>3499</v>
      </c>
      <c r="D4866" s="24">
        <v>10.5</v>
      </c>
      <c r="E4866" s="24">
        <v>1.89</v>
      </c>
      <c r="F4866" s="23">
        <f>COUNTIFS(mdr_rate_cleaned!$A$2:$A$10,B4866,mdr_rate_cleaned!$B$2:$B$10,"&lt;"&amp;C4866,mdr_rate_cleaned!$F$2:$F$10,"&gt;="&amp;C4866)</f>
        <v>1</v>
      </c>
      <c r="G4866" s="40">
        <f>SUMIFS(mdr_rate_cleaned!$G$2:$G$10,mdr_rate_cleaned!$A$2:$A$10,B4866,mdr_rate_cleaned!$B$2:$B$10,"&lt;"&amp;C4866,mdr_rate_cleaned!$F$2:$F$10,"&gt;="&amp;C4866)</f>
        <v>3.0000000000000001E-3</v>
      </c>
      <c r="H4866" s="24">
        <f t="shared" ref="H4866:H4929" si="380">ROUND(C4866*G4866,2)</f>
        <v>10.5</v>
      </c>
      <c r="I4866" s="23" t="str">
        <f t="shared" ref="I4866:I4929" si="381">IF(ROUND(D4866-H4866,2)=0,"Match","Differs")</f>
        <v>Match</v>
      </c>
      <c r="J4866" s="23" t="str">
        <f t="shared" ref="J4866:J4929" si="382">IF(ROUND(E4866-ROUND(D4866*0.18,2),2)=0,"Match","Differs")</f>
        <v>Match</v>
      </c>
      <c r="K4866" s="24">
        <f t="shared" ref="K4866:K4929" si="383">ROUND(H4866*0.18,2)</f>
        <v>1.89</v>
      </c>
      <c r="L4866" s="24">
        <f t="shared" ref="L4866:L4929" si="384">ROUND(D4866+E4866-H4866-K4866,2)</f>
        <v>0</v>
      </c>
    </row>
    <row r="4867" spans="1:12" ht="15" customHeight="1" x14ac:dyDescent="0.3">
      <c r="A4867" s="23" t="s">
        <v>18223</v>
      </c>
      <c r="B4867" s="23" t="s">
        <v>79</v>
      </c>
      <c r="C4867" s="39">
        <v>4147</v>
      </c>
      <c r="D4867" s="24">
        <v>66.349999999999994</v>
      </c>
      <c r="E4867" s="24">
        <v>11.94</v>
      </c>
      <c r="F4867" s="23">
        <f>COUNTIFS(mdr_rate_cleaned!$A$2:$A$10,B4867,mdr_rate_cleaned!$B$2:$B$10,"&lt;"&amp;C4867,mdr_rate_cleaned!$F$2:$F$10,"&gt;="&amp;C4867)</f>
        <v>1</v>
      </c>
      <c r="G4867" s="40">
        <f>SUMIFS(mdr_rate_cleaned!$G$2:$G$10,mdr_rate_cleaned!$A$2:$A$10,B4867,mdr_rate_cleaned!$B$2:$B$10,"&lt;"&amp;C4867,mdr_rate_cleaned!$F$2:$F$10,"&gt;="&amp;C4867)</f>
        <v>1.6E-2</v>
      </c>
      <c r="H4867" s="24">
        <f t="shared" si="380"/>
        <v>66.349999999999994</v>
      </c>
      <c r="I4867" s="23" t="str">
        <f t="shared" si="381"/>
        <v>Match</v>
      </c>
      <c r="J4867" s="23" t="str">
        <f t="shared" si="382"/>
        <v>Match</v>
      </c>
      <c r="K4867" s="24">
        <f t="shared" si="383"/>
        <v>11.94</v>
      </c>
      <c r="L4867" s="24">
        <f t="shared" si="384"/>
        <v>0</v>
      </c>
    </row>
    <row r="4868" spans="1:12" ht="15" customHeight="1" x14ac:dyDescent="0.3">
      <c r="A4868" s="23" t="s">
        <v>18224</v>
      </c>
      <c r="B4868" s="23" t="s">
        <v>79</v>
      </c>
      <c r="C4868" s="39">
        <v>299</v>
      </c>
      <c r="D4868" s="24">
        <v>5.38</v>
      </c>
      <c r="E4868" s="24">
        <v>0.97</v>
      </c>
      <c r="F4868" s="23">
        <f>COUNTIFS(mdr_rate_cleaned!$A$2:$A$10,B4868,mdr_rate_cleaned!$B$2:$B$10,"&lt;"&amp;C4868,mdr_rate_cleaned!$F$2:$F$10,"&gt;="&amp;C4868)</f>
        <v>1</v>
      </c>
      <c r="G4868" s="40">
        <f>SUMIFS(mdr_rate_cleaned!$G$2:$G$10,mdr_rate_cleaned!$A$2:$A$10,B4868,mdr_rate_cleaned!$B$2:$B$10,"&lt;"&amp;C4868,mdr_rate_cleaned!$F$2:$F$10,"&gt;="&amp;C4868)</f>
        <v>1.8000000000000002E-2</v>
      </c>
      <c r="H4868" s="24">
        <f t="shared" si="380"/>
        <v>5.38</v>
      </c>
      <c r="I4868" s="23" t="str">
        <f t="shared" si="381"/>
        <v>Match</v>
      </c>
      <c r="J4868" s="23" t="str">
        <f t="shared" si="382"/>
        <v>Match</v>
      </c>
      <c r="K4868" s="24">
        <f t="shared" si="383"/>
        <v>0.97</v>
      </c>
      <c r="L4868" s="24">
        <f t="shared" si="384"/>
        <v>0</v>
      </c>
    </row>
    <row r="4869" spans="1:12" ht="15" customHeight="1" x14ac:dyDescent="0.3">
      <c r="A4869" s="23" t="s">
        <v>18225</v>
      </c>
      <c r="B4869" s="23" t="s">
        <v>79</v>
      </c>
      <c r="C4869" s="39">
        <v>299</v>
      </c>
      <c r="D4869" s="24">
        <v>5.38</v>
      </c>
      <c r="E4869" s="24">
        <v>0.97</v>
      </c>
      <c r="F4869" s="23">
        <f>COUNTIFS(mdr_rate_cleaned!$A$2:$A$10,B4869,mdr_rate_cleaned!$B$2:$B$10,"&lt;"&amp;C4869,mdr_rate_cleaned!$F$2:$F$10,"&gt;="&amp;C4869)</f>
        <v>1</v>
      </c>
      <c r="G4869" s="40">
        <f>SUMIFS(mdr_rate_cleaned!$G$2:$G$10,mdr_rate_cleaned!$A$2:$A$10,B4869,mdr_rate_cleaned!$B$2:$B$10,"&lt;"&amp;C4869,mdr_rate_cleaned!$F$2:$F$10,"&gt;="&amp;C4869)</f>
        <v>1.8000000000000002E-2</v>
      </c>
      <c r="H4869" s="24">
        <f t="shared" si="380"/>
        <v>5.38</v>
      </c>
      <c r="I4869" s="23" t="str">
        <f t="shared" si="381"/>
        <v>Match</v>
      </c>
      <c r="J4869" s="23" t="str">
        <f t="shared" si="382"/>
        <v>Match</v>
      </c>
      <c r="K4869" s="24">
        <f t="shared" si="383"/>
        <v>0.97</v>
      </c>
      <c r="L4869" s="24">
        <f t="shared" si="384"/>
        <v>0</v>
      </c>
    </row>
    <row r="4870" spans="1:12" ht="15" customHeight="1" x14ac:dyDescent="0.3">
      <c r="A4870" s="23" t="s">
        <v>18226</v>
      </c>
      <c r="B4870" s="23" t="s">
        <v>81</v>
      </c>
      <c r="C4870" s="39">
        <v>4999</v>
      </c>
      <c r="D4870" s="24">
        <v>59.99</v>
      </c>
      <c r="E4870" s="24">
        <v>10.8</v>
      </c>
      <c r="F4870" s="23">
        <f>COUNTIFS(mdr_rate_cleaned!$A$2:$A$10,B4870,mdr_rate_cleaned!$B$2:$B$10,"&lt;"&amp;C4870,mdr_rate_cleaned!$F$2:$F$10,"&gt;="&amp;C4870)</f>
        <v>1</v>
      </c>
      <c r="G4870" s="40">
        <f>SUMIFS(mdr_rate_cleaned!$G$2:$G$10,mdr_rate_cleaned!$A$2:$A$10,B4870,mdr_rate_cleaned!$B$2:$B$10,"&lt;"&amp;C4870,mdr_rate_cleaned!$F$2:$F$10,"&gt;="&amp;C4870)</f>
        <v>1.2E-2</v>
      </c>
      <c r="H4870" s="24">
        <f t="shared" si="380"/>
        <v>59.99</v>
      </c>
      <c r="I4870" s="23" t="str">
        <f t="shared" si="381"/>
        <v>Match</v>
      </c>
      <c r="J4870" s="23" t="str">
        <f t="shared" si="382"/>
        <v>Match</v>
      </c>
      <c r="K4870" s="24">
        <f t="shared" si="383"/>
        <v>10.8</v>
      </c>
      <c r="L4870" s="24">
        <f t="shared" si="384"/>
        <v>0</v>
      </c>
    </row>
    <row r="4871" spans="1:12" ht="15" customHeight="1" x14ac:dyDescent="0.3">
      <c r="A4871" s="23" t="s">
        <v>18227</v>
      </c>
      <c r="B4871" s="23" t="s">
        <v>75</v>
      </c>
      <c r="C4871" s="39">
        <v>1499</v>
      </c>
      <c r="D4871" s="24">
        <v>0</v>
      </c>
      <c r="E4871" s="24">
        <v>0</v>
      </c>
      <c r="F4871" s="23">
        <f>COUNTIFS(mdr_rate_cleaned!$A$2:$A$10,B4871,mdr_rate_cleaned!$B$2:$B$10,"&lt;"&amp;C4871,mdr_rate_cleaned!$F$2:$F$10,"&gt;="&amp;C4871)</f>
        <v>1</v>
      </c>
      <c r="G4871" s="40">
        <f>SUMIFS(mdr_rate_cleaned!$G$2:$G$10,mdr_rate_cleaned!$A$2:$A$10,B4871,mdr_rate_cleaned!$B$2:$B$10,"&lt;"&amp;C4871,mdr_rate_cleaned!$F$2:$F$10,"&gt;="&amp;C4871)</f>
        <v>0</v>
      </c>
      <c r="H4871" s="24">
        <f t="shared" si="380"/>
        <v>0</v>
      </c>
      <c r="I4871" s="23" t="str">
        <f t="shared" si="381"/>
        <v>Match</v>
      </c>
      <c r="J4871" s="23" t="str">
        <f t="shared" si="382"/>
        <v>Match</v>
      </c>
      <c r="K4871" s="24">
        <f t="shared" si="383"/>
        <v>0</v>
      </c>
      <c r="L4871" s="24">
        <f t="shared" si="384"/>
        <v>0</v>
      </c>
    </row>
    <row r="4872" spans="1:12" ht="15" customHeight="1" x14ac:dyDescent="0.3">
      <c r="A4872" s="23" t="s">
        <v>18228</v>
      </c>
      <c r="B4872" s="23" t="s">
        <v>75</v>
      </c>
      <c r="C4872" s="39">
        <v>1499</v>
      </c>
      <c r="D4872" s="24">
        <v>0</v>
      </c>
      <c r="E4872" s="24">
        <v>0</v>
      </c>
      <c r="F4872" s="23">
        <f>COUNTIFS(mdr_rate_cleaned!$A$2:$A$10,B4872,mdr_rate_cleaned!$B$2:$B$10,"&lt;"&amp;C4872,mdr_rate_cleaned!$F$2:$F$10,"&gt;="&amp;C4872)</f>
        <v>1</v>
      </c>
      <c r="G4872" s="40">
        <f>SUMIFS(mdr_rate_cleaned!$G$2:$G$10,mdr_rate_cleaned!$A$2:$A$10,B4872,mdr_rate_cleaned!$B$2:$B$10,"&lt;"&amp;C4872,mdr_rate_cleaned!$F$2:$F$10,"&gt;="&amp;C4872)</f>
        <v>0</v>
      </c>
      <c r="H4872" s="24">
        <f t="shared" si="380"/>
        <v>0</v>
      </c>
      <c r="I4872" s="23" t="str">
        <f t="shared" si="381"/>
        <v>Match</v>
      </c>
      <c r="J4872" s="23" t="str">
        <f t="shared" si="382"/>
        <v>Match</v>
      </c>
      <c r="K4872" s="24">
        <f t="shared" si="383"/>
        <v>0</v>
      </c>
      <c r="L4872" s="24">
        <f t="shared" si="384"/>
        <v>0</v>
      </c>
    </row>
    <row r="4873" spans="1:12" ht="15" customHeight="1" x14ac:dyDescent="0.3">
      <c r="A4873" s="23" t="s">
        <v>18229</v>
      </c>
      <c r="B4873" s="23" t="s">
        <v>77</v>
      </c>
      <c r="C4873" s="39">
        <v>3498</v>
      </c>
      <c r="D4873" s="24">
        <v>59.47</v>
      </c>
      <c r="E4873" s="24">
        <v>10.7</v>
      </c>
      <c r="F4873" s="23">
        <f>COUNTIFS(mdr_rate_cleaned!$A$2:$A$10,B4873,mdr_rate_cleaned!$B$2:$B$10,"&lt;"&amp;C4873,mdr_rate_cleaned!$F$2:$F$10,"&gt;="&amp;C4873)</f>
        <v>1</v>
      </c>
      <c r="G4873" s="40">
        <f>SUMIFS(mdr_rate_cleaned!$G$2:$G$10,mdr_rate_cleaned!$A$2:$A$10,B4873,mdr_rate_cleaned!$B$2:$B$10,"&lt;"&amp;C4873,mdr_rate_cleaned!$F$2:$F$10,"&gt;="&amp;C4873)</f>
        <v>1.7000000000000001E-2</v>
      </c>
      <c r="H4873" s="24">
        <f t="shared" si="380"/>
        <v>59.47</v>
      </c>
      <c r="I4873" s="23" t="str">
        <f t="shared" si="381"/>
        <v>Match</v>
      </c>
      <c r="J4873" s="23" t="str">
        <f t="shared" si="382"/>
        <v>Match</v>
      </c>
      <c r="K4873" s="24">
        <f t="shared" si="383"/>
        <v>10.7</v>
      </c>
      <c r="L4873" s="24">
        <f t="shared" si="384"/>
        <v>0</v>
      </c>
    </row>
    <row r="4874" spans="1:12" ht="15" customHeight="1" x14ac:dyDescent="0.3">
      <c r="A4874" s="23" t="s">
        <v>18230</v>
      </c>
      <c r="B4874" s="23" t="s">
        <v>75</v>
      </c>
      <c r="C4874" s="39">
        <v>7999</v>
      </c>
      <c r="D4874" s="24">
        <v>24</v>
      </c>
      <c r="E4874" s="24">
        <v>4.32</v>
      </c>
      <c r="F4874" s="23">
        <f>COUNTIFS(mdr_rate_cleaned!$A$2:$A$10,B4874,mdr_rate_cleaned!$B$2:$B$10,"&lt;"&amp;C4874,mdr_rate_cleaned!$F$2:$F$10,"&gt;="&amp;C4874)</f>
        <v>1</v>
      </c>
      <c r="G4874" s="40">
        <f>SUMIFS(mdr_rate_cleaned!$G$2:$G$10,mdr_rate_cleaned!$A$2:$A$10,B4874,mdr_rate_cleaned!$B$2:$B$10,"&lt;"&amp;C4874,mdr_rate_cleaned!$F$2:$F$10,"&gt;="&amp;C4874)</f>
        <v>3.0000000000000001E-3</v>
      </c>
      <c r="H4874" s="24">
        <f t="shared" si="380"/>
        <v>24</v>
      </c>
      <c r="I4874" s="23" t="str">
        <f t="shared" si="381"/>
        <v>Match</v>
      </c>
      <c r="J4874" s="23" t="str">
        <f t="shared" si="382"/>
        <v>Match</v>
      </c>
      <c r="K4874" s="24">
        <f t="shared" si="383"/>
        <v>4.32</v>
      </c>
      <c r="L4874" s="24">
        <f t="shared" si="384"/>
        <v>0</v>
      </c>
    </row>
    <row r="4875" spans="1:12" ht="15" customHeight="1" x14ac:dyDescent="0.3">
      <c r="A4875" s="23" t="s">
        <v>18231</v>
      </c>
      <c r="B4875" s="23" t="s">
        <v>79</v>
      </c>
      <c r="C4875" s="39">
        <v>998</v>
      </c>
      <c r="D4875" s="24">
        <v>17.96</v>
      </c>
      <c r="E4875" s="24">
        <v>3.23</v>
      </c>
      <c r="F4875" s="23">
        <f>COUNTIFS(mdr_rate_cleaned!$A$2:$A$10,B4875,mdr_rate_cleaned!$B$2:$B$10,"&lt;"&amp;C4875,mdr_rate_cleaned!$F$2:$F$10,"&gt;="&amp;C4875)</f>
        <v>1</v>
      </c>
      <c r="G4875" s="40">
        <f>SUMIFS(mdr_rate_cleaned!$G$2:$G$10,mdr_rate_cleaned!$A$2:$A$10,B4875,mdr_rate_cleaned!$B$2:$B$10,"&lt;"&amp;C4875,mdr_rate_cleaned!$F$2:$F$10,"&gt;="&amp;C4875)</f>
        <v>1.8000000000000002E-2</v>
      </c>
      <c r="H4875" s="24">
        <f t="shared" si="380"/>
        <v>17.96</v>
      </c>
      <c r="I4875" s="23" t="str">
        <f t="shared" si="381"/>
        <v>Match</v>
      </c>
      <c r="J4875" s="23" t="str">
        <f t="shared" si="382"/>
        <v>Match</v>
      </c>
      <c r="K4875" s="24">
        <f t="shared" si="383"/>
        <v>3.23</v>
      </c>
      <c r="L4875" s="24">
        <f t="shared" si="384"/>
        <v>0</v>
      </c>
    </row>
    <row r="4876" spans="1:12" ht="15" customHeight="1" x14ac:dyDescent="0.3">
      <c r="A4876" s="23" t="s">
        <v>18232</v>
      </c>
      <c r="B4876" s="23" t="s">
        <v>75</v>
      </c>
      <c r="C4876" s="39">
        <v>2498</v>
      </c>
      <c r="D4876" s="24">
        <v>7.49</v>
      </c>
      <c r="E4876" s="24">
        <v>1.35</v>
      </c>
      <c r="F4876" s="23">
        <f>COUNTIFS(mdr_rate_cleaned!$A$2:$A$10,B4876,mdr_rate_cleaned!$B$2:$B$10,"&lt;"&amp;C4876,mdr_rate_cleaned!$F$2:$F$10,"&gt;="&amp;C4876)</f>
        <v>1</v>
      </c>
      <c r="G4876" s="40">
        <f>SUMIFS(mdr_rate_cleaned!$G$2:$G$10,mdr_rate_cleaned!$A$2:$A$10,B4876,mdr_rate_cleaned!$B$2:$B$10,"&lt;"&amp;C4876,mdr_rate_cleaned!$F$2:$F$10,"&gt;="&amp;C4876)</f>
        <v>3.0000000000000001E-3</v>
      </c>
      <c r="H4876" s="24">
        <f t="shared" si="380"/>
        <v>7.49</v>
      </c>
      <c r="I4876" s="23" t="str">
        <f t="shared" si="381"/>
        <v>Match</v>
      </c>
      <c r="J4876" s="23" t="str">
        <f t="shared" si="382"/>
        <v>Match</v>
      </c>
      <c r="K4876" s="24">
        <f t="shared" si="383"/>
        <v>1.35</v>
      </c>
      <c r="L4876" s="24">
        <f t="shared" si="384"/>
        <v>0</v>
      </c>
    </row>
    <row r="4877" spans="1:12" ht="15" customHeight="1" x14ac:dyDescent="0.3">
      <c r="A4877" s="23" t="s">
        <v>18233</v>
      </c>
      <c r="B4877" s="23" t="s">
        <v>79</v>
      </c>
      <c r="C4877" s="39">
        <v>349</v>
      </c>
      <c r="D4877" s="24">
        <v>6.28</v>
      </c>
      <c r="E4877" s="24">
        <v>1.1299999999999999</v>
      </c>
      <c r="F4877" s="23">
        <f>COUNTIFS(mdr_rate_cleaned!$A$2:$A$10,B4877,mdr_rate_cleaned!$B$2:$B$10,"&lt;"&amp;C4877,mdr_rate_cleaned!$F$2:$F$10,"&gt;="&amp;C4877)</f>
        <v>1</v>
      </c>
      <c r="G4877" s="40">
        <f>SUMIFS(mdr_rate_cleaned!$G$2:$G$10,mdr_rate_cleaned!$A$2:$A$10,B4877,mdr_rate_cleaned!$B$2:$B$10,"&lt;"&amp;C4877,mdr_rate_cleaned!$F$2:$F$10,"&gt;="&amp;C4877)</f>
        <v>1.8000000000000002E-2</v>
      </c>
      <c r="H4877" s="24">
        <f t="shared" si="380"/>
        <v>6.28</v>
      </c>
      <c r="I4877" s="23" t="str">
        <f t="shared" si="381"/>
        <v>Match</v>
      </c>
      <c r="J4877" s="23" t="str">
        <f t="shared" si="382"/>
        <v>Match</v>
      </c>
      <c r="K4877" s="24">
        <f t="shared" si="383"/>
        <v>1.1299999999999999</v>
      </c>
      <c r="L4877" s="24">
        <f t="shared" si="384"/>
        <v>0</v>
      </c>
    </row>
    <row r="4878" spans="1:12" ht="15" customHeight="1" x14ac:dyDescent="0.3">
      <c r="A4878" s="23" t="s">
        <v>18234</v>
      </c>
      <c r="B4878" s="23" t="s">
        <v>79</v>
      </c>
      <c r="C4878" s="39">
        <v>8998</v>
      </c>
      <c r="D4878" s="24">
        <v>143.97</v>
      </c>
      <c r="E4878" s="24">
        <v>25.91</v>
      </c>
      <c r="F4878" s="23">
        <f>COUNTIFS(mdr_rate_cleaned!$A$2:$A$10,B4878,mdr_rate_cleaned!$B$2:$B$10,"&lt;"&amp;C4878,mdr_rate_cleaned!$F$2:$F$10,"&gt;="&amp;C4878)</f>
        <v>1</v>
      </c>
      <c r="G4878" s="40">
        <f>SUMIFS(mdr_rate_cleaned!$G$2:$G$10,mdr_rate_cleaned!$A$2:$A$10,B4878,mdr_rate_cleaned!$B$2:$B$10,"&lt;"&amp;C4878,mdr_rate_cleaned!$F$2:$F$10,"&gt;="&amp;C4878)</f>
        <v>1.6E-2</v>
      </c>
      <c r="H4878" s="24">
        <f t="shared" si="380"/>
        <v>143.97</v>
      </c>
      <c r="I4878" s="23" t="str">
        <f t="shared" si="381"/>
        <v>Match</v>
      </c>
      <c r="J4878" s="23" t="str">
        <f t="shared" si="382"/>
        <v>Match</v>
      </c>
      <c r="K4878" s="24">
        <f t="shared" si="383"/>
        <v>25.91</v>
      </c>
      <c r="L4878" s="24">
        <f t="shared" si="384"/>
        <v>0</v>
      </c>
    </row>
    <row r="4879" spans="1:12" ht="15" customHeight="1" x14ac:dyDescent="0.3">
      <c r="A4879" s="23" t="s">
        <v>18235</v>
      </c>
      <c r="B4879" s="23" t="s">
        <v>79</v>
      </c>
      <c r="C4879" s="39">
        <v>2999</v>
      </c>
      <c r="D4879" s="24">
        <v>47.98</v>
      </c>
      <c r="E4879" s="24">
        <v>8.64</v>
      </c>
      <c r="F4879" s="23">
        <f>COUNTIFS(mdr_rate_cleaned!$A$2:$A$10,B4879,mdr_rate_cleaned!$B$2:$B$10,"&lt;"&amp;C4879,mdr_rate_cleaned!$F$2:$F$10,"&gt;="&amp;C4879)</f>
        <v>1</v>
      </c>
      <c r="G4879" s="40">
        <f>SUMIFS(mdr_rate_cleaned!$G$2:$G$10,mdr_rate_cleaned!$A$2:$A$10,B4879,mdr_rate_cleaned!$B$2:$B$10,"&lt;"&amp;C4879,mdr_rate_cleaned!$F$2:$F$10,"&gt;="&amp;C4879)</f>
        <v>1.6E-2</v>
      </c>
      <c r="H4879" s="24">
        <f t="shared" si="380"/>
        <v>47.98</v>
      </c>
      <c r="I4879" s="23" t="str">
        <f t="shared" si="381"/>
        <v>Match</v>
      </c>
      <c r="J4879" s="23" t="str">
        <f t="shared" si="382"/>
        <v>Match</v>
      </c>
      <c r="K4879" s="24">
        <f t="shared" si="383"/>
        <v>8.64</v>
      </c>
      <c r="L4879" s="24">
        <f t="shared" si="384"/>
        <v>0</v>
      </c>
    </row>
    <row r="4880" spans="1:12" ht="15" customHeight="1" x14ac:dyDescent="0.3">
      <c r="A4880" s="23" t="s">
        <v>18236</v>
      </c>
      <c r="B4880" s="23" t="s">
        <v>75</v>
      </c>
      <c r="C4880" s="39">
        <v>4298</v>
      </c>
      <c r="D4880" s="24">
        <v>12.89</v>
      </c>
      <c r="E4880" s="24">
        <v>2.3199999999999998</v>
      </c>
      <c r="F4880" s="23">
        <f>COUNTIFS(mdr_rate_cleaned!$A$2:$A$10,B4880,mdr_rate_cleaned!$B$2:$B$10,"&lt;"&amp;C4880,mdr_rate_cleaned!$F$2:$F$10,"&gt;="&amp;C4880)</f>
        <v>1</v>
      </c>
      <c r="G4880" s="40">
        <f>SUMIFS(mdr_rate_cleaned!$G$2:$G$10,mdr_rate_cleaned!$A$2:$A$10,B4880,mdr_rate_cleaned!$B$2:$B$10,"&lt;"&amp;C4880,mdr_rate_cleaned!$F$2:$F$10,"&gt;="&amp;C4880)</f>
        <v>3.0000000000000001E-3</v>
      </c>
      <c r="H4880" s="24">
        <f t="shared" si="380"/>
        <v>12.89</v>
      </c>
      <c r="I4880" s="23" t="str">
        <f t="shared" si="381"/>
        <v>Match</v>
      </c>
      <c r="J4880" s="23" t="str">
        <f t="shared" si="382"/>
        <v>Match</v>
      </c>
      <c r="K4880" s="24">
        <f t="shared" si="383"/>
        <v>2.3199999999999998</v>
      </c>
      <c r="L4880" s="24">
        <f t="shared" si="384"/>
        <v>0</v>
      </c>
    </row>
    <row r="4881" spans="1:12" ht="15" customHeight="1" x14ac:dyDescent="0.3">
      <c r="A4881" s="23" t="s">
        <v>18237</v>
      </c>
      <c r="B4881" s="23" t="s">
        <v>75</v>
      </c>
      <c r="C4881" s="39">
        <v>4298</v>
      </c>
      <c r="D4881" s="24">
        <v>12.89</v>
      </c>
      <c r="E4881" s="24">
        <v>2.3199999999999998</v>
      </c>
      <c r="F4881" s="23">
        <f>COUNTIFS(mdr_rate_cleaned!$A$2:$A$10,B4881,mdr_rate_cleaned!$B$2:$B$10,"&lt;"&amp;C4881,mdr_rate_cleaned!$F$2:$F$10,"&gt;="&amp;C4881)</f>
        <v>1</v>
      </c>
      <c r="G4881" s="40">
        <f>SUMIFS(mdr_rate_cleaned!$G$2:$G$10,mdr_rate_cleaned!$A$2:$A$10,B4881,mdr_rate_cleaned!$B$2:$B$10,"&lt;"&amp;C4881,mdr_rate_cleaned!$F$2:$F$10,"&gt;="&amp;C4881)</f>
        <v>3.0000000000000001E-3</v>
      </c>
      <c r="H4881" s="24">
        <f t="shared" si="380"/>
        <v>12.89</v>
      </c>
      <c r="I4881" s="23" t="str">
        <f t="shared" si="381"/>
        <v>Match</v>
      </c>
      <c r="J4881" s="23" t="str">
        <f t="shared" si="382"/>
        <v>Match</v>
      </c>
      <c r="K4881" s="24">
        <f t="shared" si="383"/>
        <v>2.3199999999999998</v>
      </c>
      <c r="L4881" s="24">
        <f t="shared" si="384"/>
        <v>0</v>
      </c>
    </row>
    <row r="4882" spans="1:12" ht="15" customHeight="1" x14ac:dyDescent="0.3">
      <c r="A4882" s="23" t="s">
        <v>18238</v>
      </c>
      <c r="B4882" s="23" t="s">
        <v>75</v>
      </c>
      <c r="C4882" s="39">
        <v>6147</v>
      </c>
      <c r="D4882" s="24">
        <v>18.440000000000001</v>
      </c>
      <c r="E4882" s="24">
        <v>3.32</v>
      </c>
      <c r="F4882" s="23">
        <f>COUNTIFS(mdr_rate_cleaned!$A$2:$A$10,B4882,mdr_rate_cleaned!$B$2:$B$10,"&lt;"&amp;C4882,mdr_rate_cleaned!$F$2:$F$10,"&gt;="&amp;C4882)</f>
        <v>1</v>
      </c>
      <c r="G4882" s="40">
        <f>SUMIFS(mdr_rate_cleaned!$G$2:$G$10,mdr_rate_cleaned!$A$2:$A$10,B4882,mdr_rate_cleaned!$B$2:$B$10,"&lt;"&amp;C4882,mdr_rate_cleaned!$F$2:$F$10,"&gt;="&amp;C4882)</f>
        <v>3.0000000000000001E-3</v>
      </c>
      <c r="H4882" s="24">
        <f t="shared" si="380"/>
        <v>18.440000000000001</v>
      </c>
      <c r="I4882" s="23" t="str">
        <f t="shared" si="381"/>
        <v>Match</v>
      </c>
      <c r="J4882" s="23" t="str">
        <f t="shared" si="382"/>
        <v>Match</v>
      </c>
      <c r="K4882" s="24">
        <f t="shared" si="383"/>
        <v>3.32</v>
      </c>
      <c r="L4882" s="24">
        <f t="shared" si="384"/>
        <v>0</v>
      </c>
    </row>
    <row r="4883" spans="1:12" ht="15" customHeight="1" x14ac:dyDescent="0.3">
      <c r="A4883" s="23" t="s">
        <v>18239</v>
      </c>
      <c r="B4883" s="23" t="s">
        <v>77</v>
      </c>
      <c r="C4883" s="39">
        <v>4298</v>
      </c>
      <c r="D4883" s="24">
        <v>73.069999999999993</v>
      </c>
      <c r="E4883" s="24">
        <v>13.15</v>
      </c>
      <c r="F4883" s="23">
        <f>COUNTIFS(mdr_rate_cleaned!$A$2:$A$10,B4883,mdr_rate_cleaned!$B$2:$B$10,"&lt;"&amp;C4883,mdr_rate_cleaned!$F$2:$F$10,"&gt;="&amp;C4883)</f>
        <v>1</v>
      </c>
      <c r="G4883" s="40">
        <f>SUMIFS(mdr_rate_cleaned!$G$2:$G$10,mdr_rate_cleaned!$A$2:$A$10,B4883,mdr_rate_cleaned!$B$2:$B$10,"&lt;"&amp;C4883,mdr_rate_cleaned!$F$2:$F$10,"&gt;="&amp;C4883)</f>
        <v>1.7000000000000001E-2</v>
      </c>
      <c r="H4883" s="24">
        <f t="shared" si="380"/>
        <v>73.069999999999993</v>
      </c>
      <c r="I4883" s="23" t="str">
        <f t="shared" si="381"/>
        <v>Match</v>
      </c>
      <c r="J4883" s="23" t="str">
        <f t="shared" si="382"/>
        <v>Match</v>
      </c>
      <c r="K4883" s="24">
        <f t="shared" si="383"/>
        <v>13.15</v>
      </c>
      <c r="L4883" s="24">
        <f t="shared" si="384"/>
        <v>0</v>
      </c>
    </row>
    <row r="4884" spans="1:12" ht="15" customHeight="1" x14ac:dyDescent="0.3">
      <c r="A4884" s="23" t="s">
        <v>18240</v>
      </c>
      <c r="B4884" s="23" t="s">
        <v>77</v>
      </c>
      <c r="C4884" s="39">
        <v>948</v>
      </c>
      <c r="D4884" s="24">
        <v>18.010000000000002</v>
      </c>
      <c r="E4884" s="24">
        <v>3.24</v>
      </c>
      <c r="F4884" s="23">
        <f>COUNTIFS(mdr_rate_cleaned!$A$2:$A$10,B4884,mdr_rate_cleaned!$B$2:$B$10,"&lt;"&amp;C4884,mdr_rate_cleaned!$F$2:$F$10,"&gt;="&amp;C4884)</f>
        <v>1</v>
      </c>
      <c r="G4884" s="40">
        <f>SUMIFS(mdr_rate_cleaned!$G$2:$G$10,mdr_rate_cleaned!$A$2:$A$10,B4884,mdr_rate_cleaned!$B$2:$B$10,"&lt;"&amp;C4884,mdr_rate_cleaned!$F$2:$F$10,"&gt;="&amp;C4884)</f>
        <v>1.9E-2</v>
      </c>
      <c r="H4884" s="24">
        <f t="shared" si="380"/>
        <v>18.010000000000002</v>
      </c>
      <c r="I4884" s="23" t="str">
        <f t="shared" si="381"/>
        <v>Match</v>
      </c>
      <c r="J4884" s="23" t="str">
        <f t="shared" si="382"/>
        <v>Match</v>
      </c>
      <c r="K4884" s="24">
        <f t="shared" si="383"/>
        <v>3.24</v>
      </c>
      <c r="L4884" s="24">
        <f t="shared" si="384"/>
        <v>0</v>
      </c>
    </row>
    <row r="4885" spans="1:12" ht="15" customHeight="1" x14ac:dyDescent="0.3">
      <c r="A4885" s="23" t="s">
        <v>18242</v>
      </c>
      <c r="B4885" s="23" t="s">
        <v>79</v>
      </c>
      <c r="C4885" s="39">
        <v>1398</v>
      </c>
      <c r="D4885" s="24">
        <v>25.16</v>
      </c>
      <c r="E4885" s="24">
        <v>4.53</v>
      </c>
      <c r="F4885" s="23">
        <f>COUNTIFS(mdr_rate_cleaned!$A$2:$A$10,B4885,mdr_rate_cleaned!$B$2:$B$10,"&lt;"&amp;C4885,mdr_rate_cleaned!$F$2:$F$10,"&gt;="&amp;C4885)</f>
        <v>1</v>
      </c>
      <c r="G4885" s="40">
        <f>SUMIFS(mdr_rate_cleaned!$G$2:$G$10,mdr_rate_cleaned!$A$2:$A$10,B4885,mdr_rate_cleaned!$B$2:$B$10,"&lt;"&amp;C4885,mdr_rate_cleaned!$F$2:$F$10,"&gt;="&amp;C4885)</f>
        <v>1.8000000000000002E-2</v>
      </c>
      <c r="H4885" s="24">
        <f t="shared" si="380"/>
        <v>25.16</v>
      </c>
      <c r="I4885" s="23" t="str">
        <f t="shared" si="381"/>
        <v>Match</v>
      </c>
      <c r="J4885" s="23" t="str">
        <f t="shared" si="382"/>
        <v>Match</v>
      </c>
      <c r="K4885" s="24">
        <f t="shared" si="383"/>
        <v>4.53</v>
      </c>
      <c r="L4885" s="24">
        <f t="shared" si="384"/>
        <v>0</v>
      </c>
    </row>
    <row r="4886" spans="1:12" ht="15" customHeight="1" x14ac:dyDescent="0.3">
      <c r="A4886" s="23" t="s">
        <v>18243</v>
      </c>
      <c r="B4886" s="23" t="s">
        <v>75</v>
      </c>
      <c r="C4886" s="39">
        <v>1799</v>
      </c>
      <c r="D4886" s="24">
        <v>0</v>
      </c>
      <c r="E4886" s="24">
        <v>0</v>
      </c>
      <c r="F4886" s="23">
        <f>COUNTIFS(mdr_rate_cleaned!$A$2:$A$10,B4886,mdr_rate_cleaned!$B$2:$B$10,"&lt;"&amp;C4886,mdr_rate_cleaned!$F$2:$F$10,"&gt;="&amp;C4886)</f>
        <v>1</v>
      </c>
      <c r="G4886" s="40">
        <f>SUMIFS(mdr_rate_cleaned!$G$2:$G$10,mdr_rate_cleaned!$A$2:$A$10,B4886,mdr_rate_cleaned!$B$2:$B$10,"&lt;"&amp;C4886,mdr_rate_cleaned!$F$2:$F$10,"&gt;="&amp;C4886)</f>
        <v>0</v>
      </c>
      <c r="H4886" s="24">
        <f t="shared" si="380"/>
        <v>0</v>
      </c>
      <c r="I4886" s="23" t="str">
        <f t="shared" si="381"/>
        <v>Match</v>
      </c>
      <c r="J4886" s="23" t="str">
        <f t="shared" si="382"/>
        <v>Match</v>
      </c>
      <c r="K4886" s="24">
        <f t="shared" si="383"/>
        <v>0</v>
      </c>
      <c r="L4886" s="24">
        <f t="shared" si="384"/>
        <v>0</v>
      </c>
    </row>
    <row r="4887" spans="1:12" ht="15" customHeight="1" x14ac:dyDescent="0.3">
      <c r="A4887" s="23" t="s">
        <v>18244</v>
      </c>
      <c r="B4887" s="23" t="s">
        <v>81</v>
      </c>
      <c r="C4887" s="39">
        <v>8498</v>
      </c>
      <c r="D4887" s="24">
        <v>101.98</v>
      </c>
      <c r="E4887" s="24">
        <v>18.36</v>
      </c>
      <c r="F4887" s="23">
        <f>COUNTIFS(mdr_rate_cleaned!$A$2:$A$10,B4887,mdr_rate_cleaned!$B$2:$B$10,"&lt;"&amp;C4887,mdr_rate_cleaned!$F$2:$F$10,"&gt;="&amp;C4887)</f>
        <v>1</v>
      </c>
      <c r="G4887" s="40">
        <f>SUMIFS(mdr_rate_cleaned!$G$2:$G$10,mdr_rate_cleaned!$A$2:$A$10,B4887,mdr_rate_cleaned!$B$2:$B$10,"&lt;"&amp;C4887,mdr_rate_cleaned!$F$2:$F$10,"&gt;="&amp;C4887)</f>
        <v>1.2E-2</v>
      </c>
      <c r="H4887" s="24">
        <f t="shared" si="380"/>
        <v>101.98</v>
      </c>
      <c r="I4887" s="23" t="str">
        <f t="shared" si="381"/>
        <v>Match</v>
      </c>
      <c r="J4887" s="23" t="str">
        <f t="shared" si="382"/>
        <v>Match</v>
      </c>
      <c r="K4887" s="24">
        <f t="shared" si="383"/>
        <v>18.36</v>
      </c>
      <c r="L4887" s="24">
        <f t="shared" si="384"/>
        <v>0</v>
      </c>
    </row>
    <row r="4888" spans="1:12" ht="15" customHeight="1" x14ac:dyDescent="0.3">
      <c r="A4888" s="23" t="s">
        <v>18245</v>
      </c>
      <c r="B4888" s="23" t="s">
        <v>75</v>
      </c>
      <c r="C4888" s="39">
        <v>5298</v>
      </c>
      <c r="D4888" s="24">
        <v>15.89</v>
      </c>
      <c r="E4888" s="24">
        <v>2.86</v>
      </c>
      <c r="F4888" s="23">
        <f>COUNTIFS(mdr_rate_cleaned!$A$2:$A$10,B4888,mdr_rate_cleaned!$B$2:$B$10,"&lt;"&amp;C4888,mdr_rate_cleaned!$F$2:$F$10,"&gt;="&amp;C4888)</f>
        <v>1</v>
      </c>
      <c r="G4888" s="40">
        <f>SUMIFS(mdr_rate_cleaned!$G$2:$G$10,mdr_rate_cleaned!$A$2:$A$10,B4888,mdr_rate_cleaned!$B$2:$B$10,"&lt;"&amp;C4888,mdr_rate_cleaned!$F$2:$F$10,"&gt;="&amp;C4888)</f>
        <v>3.0000000000000001E-3</v>
      </c>
      <c r="H4888" s="24">
        <f t="shared" si="380"/>
        <v>15.89</v>
      </c>
      <c r="I4888" s="23" t="str">
        <f t="shared" si="381"/>
        <v>Match</v>
      </c>
      <c r="J4888" s="23" t="str">
        <f t="shared" si="382"/>
        <v>Match</v>
      </c>
      <c r="K4888" s="24">
        <f t="shared" si="383"/>
        <v>2.86</v>
      </c>
      <c r="L4888" s="24">
        <f t="shared" si="384"/>
        <v>0</v>
      </c>
    </row>
    <row r="4889" spans="1:12" ht="15" customHeight="1" x14ac:dyDescent="0.3">
      <c r="A4889" s="23" t="s">
        <v>18246</v>
      </c>
      <c r="B4889" s="23" t="s">
        <v>75</v>
      </c>
      <c r="C4889" s="39">
        <v>1299</v>
      </c>
      <c r="D4889" s="24">
        <v>0</v>
      </c>
      <c r="E4889" s="24">
        <v>0</v>
      </c>
      <c r="F4889" s="23">
        <f>COUNTIFS(mdr_rate_cleaned!$A$2:$A$10,B4889,mdr_rate_cleaned!$B$2:$B$10,"&lt;"&amp;C4889,mdr_rate_cleaned!$F$2:$F$10,"&gt;="&amp;C4889)</f>
        <v>1</v>
      </c>
      <c r="G4889" s="40">
        <f>SUMIFS(mdr_rate_cleaned!$G$2:$G$10,mdr_rate_cleaned!$A$2:$A$10,B4889,mdr_rate_cleaned!$B$2:$B$10,"&lt;"&amp;C4889,mdr_rate_cleaned!$F$2:$F$10,"&gt;="&amp;C4889)</f>
        <v>0</v>
      </c>
      <c r="H4889" s="24">
        <f t="shared" si="380"/>
        <v>0</v>
      </c>
      <c r="I4889" s="23" t="str">
        <f t="shared" si="381"/>
        <v>Match</v>
      </c>
      <c r="J4889" s="23" t="str">
        <f t="shared" si="382"/>
        <v>Match</v>
      </c>
      <c r="K4889" s="24">
        <f t="shared" si="383"/>
        <v>0</v>
      </c>
      <c r="L4889" s="24">
        <f t="shared" si="384"/>
        <v>0</v>
      </c>
    </row>
    <row r="4890" spans="1:12" ht="15" customHeight="1" x14ac:dyDescent="0.3">
      <c r="A4890" s="23" t="s">
        <v>18247</v>
      </c>
      <c r="B4890" s="23" t="s">
        <v>79</v>
      </c>
      <c r="C4890" s="39">
        <v>2798</v>
      </c>
      <c r="D4890" s="24">
        <v>44.77</v>
      </c>
      <c r="E4890" s="24">
        <v>8.06</v>
      </c>
      <c r="F4890" s="23">
        <f>COUNTIFS(mdr_rate_cleaned!$A$2:$A$10,B4890,mdr_rate_cleaned!$B$2:$B$10,"&lt;"&amp;C4890,mdr_rate_cleaned!$F$2:$F$10,"&gt;="&amp;C4890)</f>
        <v>1</v>
      </c>
      <c r="G4890" s="40">
        <f>SUMIFS(mdr_rate_cleaned!$G$2:$G$10,mdr_rate_cleaned!$A$2:$A$10,B4890,mdr_rate_cleaned!$B$2:$B$10,"&lt;"&amp;C4890,mdr_rate_cleaned!$F$2:$F$10,"&gt;="&amp;C4890)</f>
        <v>1.6E-2</v>
      </c>
      <c r="H4890" s="24">
        <f t="shared" si="380"/>
        <v>44.77</v>
      </c>
      <c r="I4890" s="23" t="str">
        <f t="shared" si="381"/>
        <v>Match</v>
      </c>
      <c r="J4890" s="23" t="str">
        <f t="shared" si="382"/>
        <v>Match</v>
      </c>
      <c r="K4890" s="24">
        <f t="shared" si="383"/>
        <v>8.06</v>
      </c>
      <c r="L4890" s="24">
        <f t="shared" si="384"/>
        <v>0</v>
      </c>
    </row>
    <row r="4891" spans="1:12" ht="15" customHeight="1" x14ac:dyDescent="0.3">
      <c r="A4891" s="23" t="s">
        <v>18248</v>
      </c>
      <c r="B4891" s="23" t="s">
        <v>79</v>
      </c>
      <c r="C4891" s="39">
        <v>848</v>
      </c>
      <c r="D4891" s="24">
        <v>15.26</v>
      </c>
      <c r="E4891" s="24">
        <v>2.75</v>
      </c>
      <c r="F4891" s="23">
        <f>COUNTIFS(mdr_rate_cleaned!$A$2:$A$10,B4891,mdr_rate_cleaned!$B$2:$B$10,"&lt;"&amp;C4891,mdr_rate_cleaned!$F$2:$F$10,"&gt;="&amp;C4891)</f>
        <v>1</v>
      </c>
      <c r="G4891" s="40">
        <f>SUMIFS(mdr_rate_cleaned!$G$2:$G$10,mdr_rate_cleaned!$A$2:$A$10,B4891,mdr_rate_cleaned!$B$2:$B$10,"&lt;"&amp;C4891,mdr_rate_cleaned!$F$2:$F$10,"&gt;="&amp;C4891)</f>
        <v>1.8000000000000002E-2</v>
      </c>
      <c r="H4891" s="24">
        <f t="shared" si="380"/>
        <v>15.26</v>
      </c>
      <c r="I4891" s="23" t="str">
        <f t="shared" si="381"/>
        <v>Match</v>
      </c>
      <c r="J4891" s="23" t="str">
        <f t="shared" si="382"/>
        <v>Match</v>
      </c>
      <c r="K4891" s="24">
        <f t="shared" si="383"/>
        <v>2.75</v>
      </c>
      <c r="L4891" s="24">
        <f t="shared" si="384"/>
        <v>0</v>
      </c>
    </row>
    <row r="4892" spans="1:12" ht="15" customHeight="1" x14ac:dyDescent="0.3">
      <c r="A4892" s="23" t="s">
        <v>18249</v>
      </c>
      <c r="B4892" s="23" t="s">
        <v>75</v>
      </c>
      <c r="C4892" s="39">
        <v>299</v>
      </c>
      <c r="D4892" s="24">
        <v>0</v>
      </c>
      <c r="E4892" s="24">
        <v>0</v>
      </c>
      <c r="F4892" s="23">
        <f>COUNTIFS(mdr_rate_cleaned!$A$2:$A$10,B4892,mdr_rate_cleaned!$B$2:$B$10,"&lt;"&amp;C4892,mdr_rate_cleaned!$F$2:$F$10,"&gt;="&amp;C4892)</f>
        <v>1</v>
      </c>
      <c r="G4892" s="40">
        <f>SUMIFS(mdr_rate_cleaned!$G$2:$G$10,mdr_rate_cleaned!$A$2:$A$10,B4892,mdr_rate_cleaned!$B$2:$B$10,"&lt;"&amp;C4892,mdr_rate_cleaned!$F$2:$F$10,"&gt;="&amp;C4892)</f>
        <v>0</v>
      </c>
      <c r="H4892" s="24">
        <f t="shared" si="380"/>
        <v>0</v>
      </c>
      <c r="I4892" s="23" t="str">
        <f t="shared" si="381"/>
        <v>Match</v>
      </c>
      <c r="J4892" s="23" t="str">
        <f t="shared" si="382"/>
        <v>Match</v>
      </c>
      <c r="K4892" s="24">
        <f t="shared" si="383"/>
        <v>0</v>
      </c>
      <c r="L4892" s="24">
        <f t="shared" si="384"/>
        <v>0</v>
      </c>
    </row>
    <row r="4893" spans="1:12" ht="15" customHeight="1" x14ac:dyDescent="0.3">
      <c r="A4893" s="23" t="s">
        <v>18250</v>
      </c>
      <c r="B4893" s="23" t="s">
        <v>75</v>
      </c>
      <c r="C4893" s="39">
        <v>1648</v>
      </c>
      <c r="D4893" s="24">
        <v>0</v>
      </c>
      <c r="E4893" s="24">
        <v>0</v>
      </c>
      <c r="F4893" s="23">
        <f>COUNTIFS(mdr_rate_cleaned!$A$2:$A$10,B4893,mdr_rate_cleaned!$B$2:$B$10,"&lt;"&amp;C4893,mdr_rate_cleaned!$F$2:$F$10,"&gt;="&amp;C4893)</f>
        <v>1</v>
      </c>
      <c r="G4893" s="40">
        <f>SUMIFS(mdr_rate_cleaned!$G$2:$G$10,mdr_rate_cleaned!$A$2:$A$10,B4893,mdr_rate_cleaned!$B$2:$B$10,"&lt;"&amp;C4893,mdr_rate_cleaned!$F$2:$F$10,"&gt;="&amp;C4893)</f>
        <v>0</v>
      </c>
      <c r="H4893" s="24">
        <f t="shared" si="380"/>
        <v>0</v>
      </c>
      <c r="I4893" s="23" t="str">
        <f t="shared" si="381"/>
        <v>Match</v>
      </c>
      <c r="J4893" s="23" t="str">
        <f t="shared" si="382"/>
        <v>Match</v>
      </c>
      <c r="K4893" s="24">
        <f t="shared" si="383"/>
        <v>0</v>
      </c>
      <c r="L4893" s="24">
        <f t="shared" si="384"/>
        <v>0</v>
      </c>
    </row>
    <row r="4894" spans="1:12" ht="15" customHeight="1" x14ac:dyDescent="0.3">
      <c r="A4894" s="23" t="s">
        <v>18251</v>
      </c>
      <c r="B4894" s="23" t="s">
        <v>81</v>
      </c>
      <c r="C4894" s="39">
        <v>7999</v>
      </c>
      <c r="D4894" s="24">
        <v>95.99</v>
      </c>
      <c r="E4894" s="24">
        <v>17.28</v>
      </c>
      <c r="F4894" s="23">
        <f>COUNTIFS(mdr_rate_cleaned!$A$2:$A$10,B4894,mdr_rate_cleaned!$B$2:$B$10,"&lt;"&amp;C4894,mdr_rate_cleaned!$F$2:$F$10,"&gt;="&amp;C4894)</f>
        <v>1</v>
      </c>
      <c r="G4894" s="40">
        <f>SUMIFS(mdr_rate_cleaned!$G$2:$G$10,mdr_rate_cleaned!$A$2:$A$10,B4894,mdr_rate_cleaned!$B$2:$B$10,"&lt;"&amp;C4894,mdr_rate_cleaned!$F$2:$F$10,"&gt;="&amp;C4894)</f>
        <v>1.2E-2</v>
      </c>
      <c r="H4894" s="24">
        <f t="shared" si="380"/>
        <v>95.99</v>
      </c>
      <c r="I4894" s="23" t="str">
        <f t="shared" si="381"/>
        <v>Match</v>
      </c>
      <c r="J4894" s="23" t="str">
        <f t="shared" si="382"/>
        <v>Match</v>
      </c>
      <c r="K4894" s="24">
        <f t="shared" si="383"/>
        <v>17.28</v>
      </c>
      <c r="L4894" s="24">
        <f t="shared" si="384"/>
        <v>0</v>
      </c>
    </row>
    <row r="4895" spans="1:12" ht="15" customHeight="1" x14ac:dyDescent="0.3">
      <c r="A4895" s="23" t="s">
        <v>18252</v>
      </c>
      <c r="B4895" s="23" t="s">
        <v>75</v>
      </c>
      <c r="C4895" s="39">
        <v>3598</v>
      </c>
      <c r="D4895" s="24">
        <v>10.79</v>
      </c>
      <c r="E4895" s="24">
        <v>1.94</v>
      </c>
      <c r="F4895" s="23">
        <f>COUNTIFS(mdr_rate_cleaned!$A$2:$A$10,B4895,mdr_rate_cleaned!$B$2:$B$10,"&lt;"&amp;C4895,mdr_rate_cleaned!$F$2:$F$10,"&gt;="&amp;C4895)</f>
        <v>1</v>
      </c>
      <c r="G4895" s="40">
        <f>SUMIFS(mdr_rate_cleaned!$G$2:$G$10,mdr_rate_cleaned!$A$2:$A$10,B4895,mdr_rate_cleaned!$B$2:$B$10,"&lt;"&amp;C4895,mdr_rate_cleaned!$F$2:$F$10,"&gt;="&amp;C4895)</f>
        <v>3.0000000000000001E-3</v>
      </c>
      <c r="H4895" s="24">
        <f t="shared" si="380"/>
        <v>10.79</v>
      </c>
      <c r="I4895" s="23" t="str">
        <f t="shared" si="381"/>
        <v>Match</v>
      </c>
      <c r="J4895" s="23" t="str">
        <f t="shared" si="382"/>
        <v>Match</v>
      </c>
      <c r="K4895" s="24">
        <f t="shared" si="383"/>
        <v>1.94</v>
      </c>
      <c r="L4895" s="24">
        <f t="shared" si="384"/>
        <v>0</v>
      </c>
    </row>
    <row r="4896" spans="1:12" ht="15" customHeight="1" x14ac:dyDescent="0.3">
      <c r="A4896" s="23" t="s">
        <v>18253</v>
      </c>
      <c r="B4896" s="23" t="s">
        <v>77</v>
      </c>
      <c r="C4896" s="39">
        <v>1499</v>
      </c>
      <c r="D4896" s="24">
        <v>28.48</v>
      </c>
      <c r="E4896" s="24">
        <v>5.13</v>
      </c>
      <c r="F4896" s="23">
        <f>COUNTIFS(mdr_rate_cleaned!$A$2:$A$10,B4896,mdr_rate_cleaned!$B$2:$B$10,"&lt;"&amp;C4896,mdr_rate_cleaned!$F$2:$F$10,"&gt;="&amp;C4896)</f>
        <v>1</v>
      </c>
      <c r="G4896" s="40">
        <f>SUMIFS(mdr_rate_cleaned!$G$2:$G$10,mdr_rate_cleaned!$A$2:$A$10,B4896,mdr_rate_cleaned!$B$2:$B$10,"&lt;"&amp;C4896,mdr_rate_cleaned!$F$2:$F$10,"&gt;="&amp;C4896)</f>
        <v>1.9E-2</v>
      </c>
      <c r="H4896" s="24">
        <f t="shared" si="380"/>
        <v>28.48</v>
      </c>
      <c r="I4896" s="23" t="str">
        <f t="shared" si="381"/>
        <v>Match</v>
      </c>
      <c r="J4896" s="23" t="str">
        <f t="shared" si="382"/>
        <v>Match</v>
      </c>
      <c r="K4896" s="24">
        <f t="shared" si="383"/>
        <v>5.13</v>
      </c>
      <c r="L4896" s="24">
        <f t="shared" si="384"/>
        <v>0</v>
      </c>
    </row>
    <row r="4897" spans="1:12" ht="15" customHeight="1" x14ac:dyDescent="0.3">
      <c r="A4897" s="23" t="s">
        <v>18254</v>
      </c>
      <c r="B4897" s="23" t="s">
        <v>75</v>
      </c>
      <c r="C4897" s="39">
        <v>4498</v>
      </c>
      <c r="D4897" s="24">
        <v>13.49</v>
      </c>
      <c r="E4897" s="24">
        <v>2.4300000000000002</v>
      </c>
      <c r="F4897" s="23">
        <f>COUNTIFS(mdr_rate_cleaned!$A$2:$A$10,B4897,mdr_rate_cleaned!$B$2:$B$10,"&lt;"&amp;C4897,mdr_rate_cleaned!$F$2:$F$10,"&gt;="&amp;C4897)</f>
        <v>1</v>
      </c>
      <c r="G4897" s="40">
        <f>SUMIFS(mdr_rate_cleaned!$G$2:$G$10,mdr_rate_cleaned!$A$2:$A$10,B4897,mdr_rate_cleaned!$B$2:$B$10,"&lt;"&amp;C4897,mdr_rate_cleaned!$F$2:$F$10,"&gt;="&amp;C4897)</f>
        <v>3.0000000000000001E-3</v>
      </c>
      <c r="H4897" s="24">
        <f t="shared" si="380"/>
        <v>13.49</v>
      </c>
      <c r="I4897" s="23" t="str">
        <f t="shared" si="381"/>
        <v>Match</v>
      </c>
      <c r="J4897" s="23" t="str">
        <f t="shared" si="382"/>
        <v>Match</v>
      </c>
      <c r="K4897" s="24">
        <f t="shared" si="383"/>
        <v>2.4300000000000002</v>
      </c>
      <c r="L4897" s="24">
        <f t="shared" si="384"/>
        <v>0</v>
      </c>
    </row>
    <row r="4898" spans="1:12" ht="15" customHeight="1" x14ac:dyDescent="0.3">
      <c r="A4898" s="23" t="s">
        <v>18256</v>
      </c>
      <c r="B4898" s="23" t="s">
        <v>75</v>
      </c>
      <c r="C4898" s="39">
        <v>349</v>
      </c>
      <c r="D4898" s="24">
        <v>0</v>
      </c>
      <c r="E4898" s="24">
        <v>0</v>
      </c>
      <c r="F4898" s="23">
        <f>COUNTIFS(mdr_rate_cleaned!$A$2:$A$10,B4898,mdr_rate_cleaned!$B$2:$B$10,"&lt;"&amp;C4898,mdr_rate_cleaned!$F$2:$F$10,"&gt;="&amp;C4898)</f>
        <v>1</v>
      </c>
      <c r="G4898" s="40">
        <f>SUMIFS(mdr_rate_cleaned!$G$2:$G$10,mdr_rate_cleaned!$A$2:$A$10,B4898,mdr_rate_cleaned!$B$2:$B$10,"&lt;"&amp;C4898,mdr_rate_cleaned!$F$2:$F$10,"&gt;="&amp;C4898)</f>
        <v>0</v>
      </c>
      <c r="H4898" s="24">
        <f t="shared" si="380"/>
        <v>0</v>
      </c>
      <c r="I4898" s="23" t="str">
        <f t="shared" si="381"/>
        <v>Match</v>
      </c>
      <c r="J4898" s="23" t="str">
        <f t="shared" si="382"/>
        <v>Match</v>
      </c>
      <c r="K4898" s="24">
        <f t="shared" si="383"/>
        <v>0</v>
      </c>
      <c r="L4898" s="24">
        <f t="shared" si="384"/>
        <v>0</v>
      </c>
    </row>
    <row r="4899" spans="1:12" ht="15" customHeight="1" x14ac:dyDescent="0.3">
      <c r="A4899" s="23" t="s">
        <v>18257</v>
      </c>
      <c r="B4899" s="23" t="s">
        <v>75</v>
      </c>
      <c r="C4899" s="39">
        <v>4999</v>
      </c>
      <c r="D4899" s="24">
        <v>15</v>
      </c>
      <c r="E4899" s="24">
        <v>2.7</v>
      </c>
      <c r="F4899" s="23">
        <f>COUNTIFS(mdr_rate_cleaned!$A$2:$A$10,B4899,mdr_rate_cleaned!$B$2:$B$10,"&lt;"&amp;C4899,mdr_rate_cleaned!$F$2:$F$10,"&gt;="&amp;C4899)</f>
        <v>1</v>
      </c>
      <c r="G4899" s="40">
        <f>SUMIFS(mdr_rate_cleaned!$G$2:$G$10,mdr_rate_cleaned!$A$2:$A$10,B4899,mdr_rate_cleaned!$B$2:$B$10,"&lt;"&amp;C4899,mdr_rate_cleaned!$F$2:$F$10,"&gt;="&amp;C4899)</f>
        <v>3.0000000000000001E-3</v>
      </c>
      <c r="H4899" s="24">
        <f t="shared" si="380"/>
        <v>15</v>
      </c>
      <c r="I4899" s="23" t="str">
        <f t="shared" si="381"/>
        <v>Match</v>
      </c>
      <c r="J4899" s="23" t="str">
        <f t="shared" si="382"/>
        <v>Match</v>
      </c>
      <c r="K4899" s="24">
        <f t="shared" si="383"/>
        <v>2.7</v>
      </c>
      <c r="L4899" s="24">
        <f t="shared" si="384"/>
        <v>0</v>
      </c>
    </row>
    <row r="4900" spans="1:12" ht="15" customHeight="1" x14ac:dyDescent="0.3">
      <c r="A4900" s="23" t="s">
        <v>18258</v>
      </c>
      <c r="B4900" s="23" t="s">
        <v>79</v>
      </c>
      <c r="C4900" s="39">
        <v>1299</v>
      </c>
      <c r="D4900" s="24">
        <v>23.38</v>
      </c>
      <c r="E4900" s="24">
        <v>4.21</v>
      </c>
      <c r="F4900" s="23">
        <f>COUNTIFS(mdr_rate_cleaned!$A$2:$A$10,B4900,mdr_rate_cleaned!$B$2:$B$10,"&lt;"&amp;C4900,mdr_rate_cleaned!$F$2:$F$10,"&gt;="&amp;C4900)</f>
        <v>1</v>
      </c>
      <c r="G4900" s="40">
        <f>SUMIFS(mdr_rate_cleaned!$G$2:$G$10,mdr_rate_cleaned!$A$2:$A$10,B4900,mdr_rate_cleaned!$B$2:$B$10,"&lt;"&amp;C4900,mdr_rate_cleaned!$F$2:$F$10,"&gt;="&amp;C4900)</f>
        <v>1.8000000000000002E-2</v>
      </c>
      <c r="H4900" s="24">
        <f t="shared" si="380"/>
        <v>23.38</v>
      </c>
      <c r="I4900" s="23" t="str">
        <f t="shared" si="381"/>
        <v>Match</v>
      </c>
      <c r="J4900" s="23" t="str">
        <f t="shared" si="382"/>
        <v>Match</v>
      </c>
      <c r="K4900" s="24">
        <f t="shared" si="383"/>
        <v>4.21</v>
      </c>
      <c r="L4900" s="24">
        <f t="shared" si="384"/>
        <v>0</v>
      </c>
    </row>
    <row r="4901" spans="1:12" ht="15" customHeight="1" x14ac:dyDescent="0.3">
      <c r="A4901" s="23" t="s">
        <v>18259</v>
      </c>
      <c r="B4901" s="23" t="s">
        <v>75</v>
      </c>
      <c r="C4901" s="39">
        <v>7297</v>
      </c>
      <c r="D4901" s="24">
        <v>21.89</v>
      </c>
      <c r="E4901" s="24">
        <v>3.94</v>
      </c>
      <c r="F4901" s="23">
        <f>COUNTIFS(mdr_rate_cleaned!$A$2:$A$10,B4901,mdr_rate_cleaned!$B$2:$B$10,"&lt;"&amp;C4901,mdr_rate_cleaned!$F$2:$F$10,"&gt;="&amp;C4901)</f>
        <v>1</v>
      </c>
      <c r="G4901" s="40">
        <f>SUMIFS(mdr_rate_cleaned!$G$2:$G$10,mdr_rate_cleaned!$A$2:$A$10,B4901,mdr_rate_cleaned!$B$2:$B$10,"&lt;"&amp;C4901,mdr_rate_cleaned!$F$2:$F$10,"&gt;="&amp;C4901)</f>
        <v>3.0000000000000001E-3</v>
      </c>
      <c r="H4901" s="24">
        <f t="shared" si="380"/>
        <v>21.89</v>
      </c>
      <c r="I4901" s="23" t="str">
        <f t="shared" si="381"/>
        <v>Match</v>
      </c>
      <c r="J4901" s="23" t="str">
        <f t="shared" si="382"/>
        <v>Match</v>
      </c>
      <c r="K4901" s="24">
        <f t="shared" si="383"/>
        <v>3.94</v>
      </c>
      <c r="L4901" s="24">
        <f t="shared" si="384"/>
        <v>0</v>
      </c>
    </row>
    <row r="4902" spans="1:12" ht="15" customHeight="1" x14ac:dyDescent="0.3">
      <c r="A4902" s="23" t="s">
        <v>18260</v>
      </c>
      <c r="B4902" s="23" t="s">
        <v>81</v>
      </c>
      <c r="C4902" s="39">
        <v>999</v>
      </c>
      <c r="D4902" s="24">
        <v>14.99</v>
      </c>
      <c r="E4902" s="24">
        <v>2.7</v>
      </c>
      <c r="F4902" s="23">
        <f>COUNTIFS(mdr_rate_cleaned!$A$2:$A$10,B4902,mdr_rate_cleaned!$B$2:$B$10,"&lt;"&amp;C4902,mdr_rate_cleaned!$F$2:$F$10,"&gt;="&amp;C4902)</f>
        <v>1</v>
      </c>
      <c r="G4902" s="40">
        <f>SUMIFS(mdr_rate_cleaned!$G$2:$G$10,mdr_rate_cleaned!$A$2:$A$10,B4902,mdr_rate_cleaned!$B$2:$B$10,"&lt;"&amp;C4902,mdr_rate_cleaned!$F$2:$F$10,"&gt;="&amp;C4902)</f>
        <v>1.4999999999999999E-2</v>
      </c>
      <c r="H4902" s="24">
        <f t="shared" si="380"/>
        <v>14.99</v>
      </c>
      <c r="I4902" s="23" t="str">
        <f t="shared" si="381"/>
        <v>Match</v>
      </c>
      <c r="J4902" s="23" t="str">
        <f t="shared" si="382"/>
        <v>Match</v>
      </c>
      <c r="K4902" s="24">
        <f t="shared" si="383"/>
        <v>2.7</v>
      </c>
      <c r="L4902" s="24">
        <f t="shared" si="384"/>
        <v>0</v>
      </c>
    </row>
    <row r="4903" spans="1:12" ht="15" customHeight="1" x14ac:dyDescent="0.3">
      <c r="A4903" s="23" t="s">
        <v>18261</v>
      </c>
      <c r="B4903" s="23" t="s">
        <v>77</v>
      </c>
      <c r="C4903" s="39">
        <v>4297</v>
      </c>
      <c r="D4903" s="24">
        <v>73.05</v>
      </c>
      <c r="E4903" s="24">
        <v>13.15</v>
      </c>
      <c r="F4903" s="23">
        <f>COUNTIFS(mdr_rate_cleaned!$A$2:$A$10,B4903,mdr_rate_cleaned!$B$2:$B$10,"&lt;"&amp;C4903,mdr_rate_cleaned!$F$2:$F$10,"&gt;="&amp;C4903)</f>
        <v>1</v>
      </c>
      <c r="G4903" s="40">
        <f>SUMIFS(mdr_rate_cleaned!$G$2:$G$10,mdr_rate_cleaned!$A$2:$A$10,B4903,mdr_rate_cleaned!$B$2:$B$10,"&lt;"&amp;C4903,mdr_rate_cleaned!$F$2:$F$10,"&gt;="&amp;C4903)</f>
        <v>1.7000000000000001E-2</v>
      </c>
      <c r="H4903" s="24">
        <f t="shared" si="380"/>
        <v>73.05</v>
      </c>
      <c r="I4903" s="23" t="str">
        <f t="shared" si="381"/>
        <v>Match</v>
      </c>
      <c r="J4903" s="23" t="str">
        <f t="shared" si="382"/>
        <v>Match</v>
      </c>
      <c r="K4903" s="24">
        <f t="shared" si="383"/>
        <v>13.15</v>
      </c>
      <c r="L4903" s="24">
        <f t="shared" si="384"/>
        <v>0</v>
      </c>
    </row>
    <row r="4904" spans="1:12" ht="15" customHeight="1" x14ac:dyDescent="0.3">
      <c r="A4904" s="23" t="s">
        <v>18263</v>
      </c>
      <c r="B4904" s="23" t="s">
        <v>75</v>
      </c>
      <c r="C4904" s="39">
        <v>349</v>
      </c>
      <c r="D4904" s="24">
        <v>0</v>
      </c>
      <c r="E4904" s="24">
        <v>0</v>
      </c>
      <c r="F4904" s="23">
        <f>COUNTIFS(mdr_rate_cleaned!$A$2:$A$10,B4904,mdr_rate_cleaned!$B$2:$B$10,"&lt;"&amp;C4904,mdr_rate_cleaned!$F$2:$F$10,"&gt;="&amp;C4904)</f>
        <v>1</v>
      </c>
      <c r="G4904" s="40">
        <f>SUMIFS(mdr_rate_cleaned!$G$2:$G$10,mdr_rate_cleaned!$A$2:$A$10,B4904,mdr_rate_cleaned!$B$2:$B$10,"&lt;"&amp;C4904,mdr_rate_cleaned!$F$2:$F$10,"&gt;="&amp;C4904)</f>
        <v>0</v>
      </c>
      <c r="H4904" s="24">
        <f t="shared" si="380"/>
        <v>0</v>
      </c>
      <c r="I4904" s="23" t="str">
        <f t="shared" si="381"/>
        <v>Match</v>
      </c>
      <c r="J4904" s="23" t="str">
        <f t="shared" si="382"/>
        <v>Match</v>
      </c>
      <c r="K4904" s="24">
        <f t="shared" si="383"/>
        <v>0</v>
      </c>
      <c r="L4904" s="24">
        <f t="shared" si="384"/>
        <v>0</v>
      </c>
    </row>
    <row r="4905" spans="1:12" ht="15" customHeight="1" x14ac:dyDescent="0.3">
      <c r="A4905" s="23" t="s">
        <v>18264</v>
      </c>
      <c r="B4905" s="23" t="s">
        <v>79</v>
      </c>
      <c r="C4905" s="39">
        <v>8598</v>
      </c>
      <c r="D4905" s="24">
        <v>137.57</v>
      </c>
      <c r="E4905" s="24">
        <v>24.76</v>
      </c>
      <c r="F4905" s="23">
        <f>COUNTIFS(mdr_rate_cleaned!$A$2:$A$10,B4905,mdr_rate_cleaned!$B$2:$B$10,"&lt;"&amp;C4905,mdr_rate_cleaned!$F$2:$F$10,"&gt;="&amp;C4905)</f>
        <v>1</v>
      </c>
      <c r="G4905" s="40">
        <f>SUMIFS(mdr_rate_cleaned!$G$2:$G$10,mdr_rate_cleaned!$A$2:$A$10,B4905,mdr_rate_cleaned!$B$2:$B$10,"&lt;"&amp;C4905,mdr_rate_cleaned!$F$2:$F$10,"&gt;="&amp;C4905)</f>
        <v>1.6E-2</v>
      </c>
      <c r="H4905" s="24">
        <f t="shared" si="380"/>
        <v>137.57</v>
      </c>
      <c r="I4905" s="23" t="str">
        <f t="shared" si="381"/>
        <v>Match</v>
      </c>
      <c r="J4905" s="23" t="str">
        <f t="shared" si="382"/>
        <v>Match</v>
      </c>
      <c r="K4905" s="24">
        <f t="shared" si="383"/>
        <v>24.76</v>
      </c>
      <c r="L4905" s="24">
        <f t="shared" si="384"/>
        <v>0</v>
      </c>
    </row>
    <row r="4906" spans="1:12" ht="15" customHeight="1" x14ac:dyDescent="0.3">
      <c r="A4906" s="23" t="s">
        <v>18265</v>
      </c>
      <c r="B4906" s="23" t="s">
        <v>79</v>
      </c>
      <c r="C4906" s="39">
        <v>1598</v>
      </c>
      <c r="D4906" s="24">
        <v>28.76</v>
      </c>
      <c r="E4906" s="24">
        <v>5.18</v>
      </c>
      <c r="F4906" s="23">
        <f>COUNTIFS(mdr_rate_cleaned!$A$2:$A$10,B4906,mdr_rate_cleaned!$B$2:$B$10,"&lt;"&amp;C4906,mdr_rate_cleaned!$F$2:$F$10,"&gt;="&amp;C4906)</f>
        <v>1</v>
      </c>
      <c r="G4906" s="40">
        <f>SUMIFS(mdr_rate_cleaned!$G$2:$G$10,mdr_rate_cleaned!$A$2:$A$10,B4906,mdr_rate_cleaned!$B$2:$B$10,"&lt;"&amp;C4906,mdr_rate_cleaned!$F$2:$F$10,"&gt;="&amp;C4906)</f>
        <v>1.8000000000000002E-2</v>
      </c>
      <c r="H4906" s="24">
        <f t="shared" si="380"/>
        <v>28.76</v>
      </c>
      <c r="I4906" s="23" t="str">
        <f t="shared" si="381"/>
        <v>Match</v>
      </c>
      <c r="J4906" s="23" t="str">
        <f t="shared" si="382"/>
        <v>Match</v>
      </c>
      <c r="K4906" s="24">
        <f t="shared" si="383"/>
        <v>5.18</v>
      </c>
      <c r="L4906" s="24">
        <f t="shared" si="384"/>
        <v>0</v>
      </c>
    </row>
    <row r="4907" spans="1:12" ht="15" customHeight="1" x14ac:dyDescent="0.3">
      <c r="A4907" s="23" t="s">
        <v>18267</v>
      </c>
      <c r="B4907" s="23" t="s">
        <v>75</v>
      </c>
      <c r="C4907" s="39">
        <v>1597</v>
      </c>
      <c r="D4907" s="24">
        <v>0</v>
      </c>
      <c r="E4907" s="24">
        <v>0</v>
      </c>
      <c r="F4907" s="23">
        <f>COUNTIFS(mdr_rate_cleaned!$A$2:$A$10,B4907,mdr_rate_cleaned!$B$2:$B$10,"&lt;"&amp;C4907,mdr_rate_cleaned!$F$2:$F$10,"&gt;="&amp;C4907)</f>
        <v>1</v>
      </c>
      <c r="G4907" s="40">
        <f>SUMIFS(mdr_rate_cleaned!$G$2:$G$10,mdr_rate_cleaned!$A$2:$A$10,B4907,mdr_rate_cleaned!$B$2:$B$10,"&lt;"&amp;C4907,mdr_rate_cleaned!$F$2:$F$10,"&gt;="&amp;C4907)</f>
        <v>0</v>
      </c>
      <c r="H4907" s="24">
        <f t="shared" si="380"/>
        <v>0</v>
      </c>
      <c r="I4907" s="23" t="str">
        <f t="shared" si="381"/>
        <v>Match</v>
      </c>
      <c r="J4907" s="23" t="str">
        <f t="shared" si="382"/>
        <v>Match</v>
      </c>
      <c r="K4907" s="24">
        <f t="shared" si="383"/>
        <v>0</v>
      </c>
      <c r="L4907" s="24">
        <f t="shared" si="384"/>
        <v>0</v>
      </c>
    </row>
    <row r="4908" spans="1:12" ht="15" customHeight="1" x14ac:dyDescent="0.3">
      <c r="A4908" s="23" t="s">
        <v>18269</v>
      </c>
      <c r="B4908" s="23" t="s">
        <v>75</v>
      </c>
      <c r="C4908" s="39">
        <v>3499</v>
      </c>
      <c r="D4908" s="24">
        <v>10.5</v>
      </c>
      <c r="E4908" s="24">
        <v>1.89</v>
      </c>
      <c r="F4908" s="23">
        <f>COUNTIFS(mdr_rate_cleaned!$A$2:$A$10,B4908,mdr_rate_cleaned!$B$2:$B$10,"&lt;"&amp;C4908,mdr_rate_cleaned!$F$2:$F$10,"&gt;="&amp;C4908)</f>
        <v>1</v>
      </c>
      <c r="G4908" s="40">
        <f>SUMIFS(mdr_rate_cleaned!$G$2:$G$10,mdr_rate_cleaned!$A$2:$A$10,B4908,mdr_rate_cleaned!$B$2:$B$10,"&lt;"&amp;C4908,mdr_rate_cleaned!$F$2:$F$10,"&gt;="&amp;C4908)</f>
        <v>3.0000000000000001E-3</v>
      </c>
      <c r="H4908" s="24">
        <f t="shared" si="380"/>
        <v>10.5</v>
      </c>
      <c r="I4908" s="23" t="str">
        <f t="shared" si="381"/>
        <v>Match</v>
      </c>
      <c r="J4908" s="23" t="str">
        <f t="shared" si="382"/>
        <v>Match</v>
      </c>
      <c r="K4908" s="24">
        <f t="shared" si="383"/>
        <v>1.89</v>
      </c>
      <c r="L4908" s="24">
        <f t="shared" si="384"/>
        <v>0</v>
      </c>
    </row>
    <row r="4909" spans="1:12" ht="15" customHeight="1" x14ac:dyDescent="0.3">
      <c r="A4909" s="23" t="s">
        <v>18270</v>
      </c>
      <c r="B4909" s="23" t="s">
        <v>77</v>
      </c>
      <c r="C4909" s="39">
        <v>799</v>
      </c>
      <c r="D4909" s="24">
        <v>15.18</v>
      </c>
      <c r="E4909" s="24">
        <v>2.73</v>
      </c>
      <c r="F4909" s="23">
        <f>COUNTIFS(mdr_rate_cleaned!$A$2:$A$10,B4909,mdr_rate_cleaned!$B$2:$B$10,"&lt;"&amp;C4909,mdr_rate_cleaned!$F$2:$F$10,"&gt;="&amp;C4909)</f>
        <v>1</v>
      </c>
      <c r="G4909" s="40">
        <f>SUMIFS(mdr_rate_cleaned!$G$2:$G$10,mdr_rate_cleaned!$A$2:$A$10,B4909,mdr_rate_cleaned!$B$2:$B$10,"&lt;"&amp;C4909,mdr_rate_cleaned!$F$2:$F$10,"&gt;="&amp;C4909)</f>
        <v>1.9E-2</v>
      </c>
      <c r="H4909" s="24">
        <f t="shared" si="380"/>
        <v>15.18</v>
      </c>
      <c r="I4909" s="23" t="str">
        <f t="shared" si="381"/>
        <v>Match</v>
      </c>
      <c r="J4909" s="23" t="str">
        <f t="shared" si="382"/>
        <v>Match</v>
      </c>
      <c r="K4909" s="24">
        <f t="shared" si="383"/>
        <v>2.73</v>
      </c>
      <c r="L4909" s="24">
        <f t="shared" si="384"/>
        <v>0</v>
      </c>
    </row>
    <row r="4910" spans="1:12" ht="15" customHeight="1" x14ac:dyDescent="0.3">
      <c r="A4910" s="23" t="s">
        <v>18272</v>
      </c>
      <c r="B4910" s="23" t="s">
        <v>79</v>
      </c>
      <c r="C4910" s="39">
        <v>1499</v>
      </c>
      <c r="D4910" s="24">
        <v>26.98</v>
      </c>
      <c r="E4910" s="24">
        <v>4.8600000000000003</v>
      </c>
      <c r="F4910" s="23">
        <f>COUNTIFS(mdr_rate_cleaned!$A$2:$A$10,B4910,mdr_rate_cleaned!$B$2:$B$10,"&lt;"&amp;C4910,mdr_rate_cleaned!$F$2:$F$10,"&gt;="&amp;C4910)</f>
        <v>1</v>
      </c>
      <c r="G4910" s="40">
        <f>SUMIFS(mdr_rate_cleaned!$G$2:$G$10,mdr_rate_cleaned!$A$2:$A$10,B4910,mdr_rate_cleaned!$B$2:$B$10,"&lt;"&amp;C4910,mdr_rate_cleaned!$F$2:$F$10,"&gt;="&amp;C4910)</f>
        <v>1.8000000000000002E-2</v>
      </c>
      <c r="H4910" s="24">
        <f t="shared" si="380"/>
        <v>26.98</v>
      </c>
      <c r="I4910" s="23" t="str">
        <f t="shared" si="381"/>
        <v>Match</v>
      </c>
      <c r="J4910" s="23" t="str">
        <f t="shared" si="382"/>
        <v>Match</v>
      </c>
      <c r="K4910" s="24">
        <f t="shared" si="383"/>
        <v>4.8600000000000003</v>
      </c>
      <c r="L4910" s="24">
        <f t="shared" si="384"/>
        <v>0</v>
      </c>
    </row>
    <row r="4911" spans="1:12" ht="15" customHeight="1" x14ac:dyDescent="0.3">
      <c r="A4911" s="23" t="s">
        <v>18273</v>
      </c>
      <c r="B4911" s="23" t="s">
        <v>75</v>
      </c>
      <c r="C4911" s="39">
        <v>2499</v>
      </c>
      <c r="D4911" s="24">
        <v>7.5</v>
      </c>
      <c r="E4911" s="24">
        <v>1.35</v>
      </c>
      <c r="F4911" s="23">
        <f>COUNTIFS(mdr_rate_cleaned!$A$2:$A$10,B4911,mdr_rate_cleaned!$B$2:$B$10,"&lt;"&amp;C4911,mdr_rate_cleaned!$F$2:$F$10,"&gt;="&amp;C4911)</f>
        <v>1</v>
      </c>
      <c r="G4911" s="40">
        <f>SUMIFS(mdr_rate_cleaned!$G$2:$G$10,mdr_rate_cleaned!$A$2:$A$10,B4911,mdr_rate_cleaned!$B$2:$B$10,"&lt;"&amp;C4911,mdr_rate_cleaned!$F$2:$F$10,"&gt;="&amp;C4911)</f>
        <v>3.0000000000000001E-3</v>
      </c>
      <c r="H4911" s="24">
        <f t="shared" si="380"/>
        <v>7.5</v>
      </c>
      <c r="I4911" s="23" t="str">
        <f t="shared" si="381"/>
        <v>Match</v>
      </c>
      <c r="J4911" s="23" t="str">
        <f t="shared" si="382"/>
        <v>Match</v>
      </c>
      <c r="K4911" s="24">
        <f t="shared" si="383"/>
        <v>1.35</v>
      </c>
      <c r="L4911" s="24">
        <f t="shared" si="384"/>
        <v>0</v>
      </c>
    </row>
    <row r="4912" spans="1:12" ht="15" customHeight="1" x14ac:dyDescent="0.3">
      <c r="A4912" s="23" t="s">
        <v>18274</v>
      </c>
      <c r="B4912" s="23" t="s">
        <v>79</v>
      </c>
      <c r="C4912" s="39">
        <v>349</v>
      </c>
      <c r="D4912" s="24">
        <v>6.28</v>
      </c>
      <c r="E4912" s="24">
        <v>1.1299999999999999</v>
      </c>
      <c r="F4912" s="23">
        <f>COUNTIFS(mdr_rate_cleaned!$A$2:$A$10,B4912,mdr_rate_cleaned!$B$2:$B$10,"&lt;"&amp;C4912,mdr_rate_cleaned!$F$2:$F$10,"&gt;="&amp;C4912)</f>
        <v>1</v>
      </c>
      <c r="G4912" s="40">
        <f>SUMIFS(mdr_rate_cleaned!$G$2:$G$10,mdr_rate_cleaned!$A$2:$A$10,B4912,mdr_rate_cleaned!$B$2:$B$10,"&lt;"&amp;C4912,mdr_rate_cleaned!$F$2:$F$10,"&gt;="&amp;C4912)</f>
        <v>1.8000000000000002E-2</v>
      </c>
      <c r="H4912" s="24">
        <f t="shared" si="380"/>
        <v>6.28</v>
      </c>
      <c r="I4912" s="23" t="str">
        <f t="shared" si="381"/>
        <v>Match</v>
      </c>
      <c r="J4912" s="23" t="str">
        <f t="shared" si="382"/>
        <v>Match</v>
      </c>
      <c r="K4912" s="24">
        <f t="shared" si="383"/>
        <v>1.1299999999999999</v>
      </c>
      <c r="L4912" s="24">
        <f t="shared" si="384"/>
        <v>0</v>
      </c>
    </row>
    <row r="4913" spans="1:12" ht="15" customHeight="1" x14ac:dyDescent="0.3">
      <c r="A4913" s="23" t="s">
        <v>18275</v>
      </c>
      <c r="B4913" s="23" t="s">
        <v>75</v>
      </c>
      <c r="C4913" s="39">
        <v>3098</v>
      </c>
      <c r="D4913" s="24">
        <v>9.2899999999999991</v>
      </c>
      <c r="E4913" s="24">
        <v>1.67</v>
      </c>
      <c r="F4913" s="23">
        <f>COUNTIFS(mdr_rate_cleaned!$A$2:$A$10,B4913,mdr_rate_cleaned!$B$2:$B$10,"&lt;"&amp;C4913,mdr_rate_cleaned!$F$2:$F$10,"&gt;="&amp;C4913)</f>
        <v>1</v>
      </c>
      <c r="G4913" s="40">
        <f>SUMIFS(mdr_rate_cleaned!$G$2:$G$10,mdr_rate_cleaned!$A$2:$A$10,B4913,mdr_rate_cleaned!$B$2:$B$10,"&lt;"&amp;C4913,mdr_rate_cleaned!$F$2:$F$10,"&gt;="&amp;C4913)</f>
        <v>3.0000000000000001E-3</v>
      </c>
      <c r="H4913" s="24">
        <f t="shared" si="380"/>
        <v>9.2899999999999991</v>
      </c>
      <c r="I4913" s="23" t="str">
        <f t="shared" si="381"/>
        <v>Match</v>
      </c>
      <c r="J4913" s="23" t="str">
        <f t="shared" si="382"/>
        <v>Match</v>
      </c>
      <c r="K4913" s="24">
        <f t="shared" si="383"/>
        <v>1.67</v>
      </c>
      <c r="L4913" s="24">
        <f t="shared" si="384"/>
        <v>0</v>
      </c>
    </row>
    <row r="4914" spans="1:12" ht="15" customHeight="1" x14ac:dyDescent="0.3">
      <c r="A4914" s="23" t="s">
        <v>18276</v>
      </c>
      <c r="B4914" s="23" t="s">
        <v>75</v>
      </c>
      <c r="C4914" s="39">
        <v>299</v>
      </c>
      <c r="D4914" s="24">
        <v>0</v>
      </c>
      <c r="E4914" s="24">
        <v>0</v>
      </c>
      <c r="F4914" s="23">
        <f>COUNTIFS(mdr_rate_cleaned!$A$2:$A$10,B4914,mdr_rate_cleaned!$B$2:$B$10,"&lt;"&amp;C4914,mdr_rate_cleaned!$F$2:$F$10,"&gt;="&amp;C4914)</f>
        <v>1</v>
      </c>
      <c r="G4914" s="40">
        <f>SUMIFS(mdr_rate_cleaned!$G$2:$G$10,mdr_rate_cleaned!$A$2:$A$10,B4914,mdr_rate_cleaned!$B$2:$B$10,"&lt;"&amp;C4914,mdr_rate_cleaned!$F$2:$F$10,"&gt;="&amp;C4914)</f>
        <v>0</v>
      </c>
      <c r="H4914" s="24">
        <f t="shared" si="380"/>
        <v>0</v>
      </c>
      <c r="I4914" s="23" t="str">
        <f t="shared" si="381"/>
        <v>Match</v>
      </c>
      <c r="J4914" s="23" t="str">
        <f t="shared" si="382"/>
        <v>Match</v>
      </c>
      <c r="K4914" s="24">
        <f t="shared" si="383"/>
        <v>0</v>
      </c>
      <c r="L4914" s="24">
        <f t="shared" si="384"/>
        <v>0</v>
      </c>
    </row>
    <row r="4915" spans="1:12" ht="15" customHeight="1" x14ac:dyDescent="0.3">
      <c r="A4915" s="23" t="s">
        <v>18277</v>
      </c>
      <c r="B4915" s="23" t="s">
        <v>81</v>
      </c>
      <c r="C4915" s="39">
        <v>999</v>
      </c>
      <c r="D4915" s="24">
        <v>14.99</v>
      </c>
      <c r="E4915" s="24">
        <v>2.7</v>
      </c>
      <c r="F4915" s="23">
        <f>COUNTIFS(mdr_rate_cleaned!$A$2:$A$10,B4915,mdr_rate_cleaned!$B$2:$B$10,"&lt;"&amp;C4915,mdr_rate_cleaned!$F$2:$F$10,"&gt;="&amp;C4915)</f>
        <v>1</v>
      </c>
      <c r="G4915" s="40">
        <f>SUMIFS(mdr_rate_cleaned!$G$2:$G$10,mdr_rate_cleaned!$A$2:$A$10,B4915,mdr_rate_cleaned!$B$2:$B$10,"&lt;"&amp;C4915,mdr_rate_cleaned!$F$2:$F$10,"&gt;="&amp;C4915)</f>
        <v>1.4999999999999999E-2</v>
      </c>
      <c r="H4915" s="24">
        <f t="shared" si="380"/>
        <v>14.99</v>
      </c>
      <c r="I4915" s="23" t="str">
        <f t="shared" si="381"/>
        <v>Match</v>
      </c>
      <c r="J4915" s="23" t="str">
        <f t="shared" si="382"/>
        <v>Match</v>
      </c>
      <c r="K4915" s="24">
        <f t="shared" si="383"/>
        <v>2.7</v>
      </c>
      <c r="L4915" s="24">
        <f t="shared" si="384"/>
        <v>0</v>
      </c>
    </row>
    <row r="4916" spans="1:12" ht="15" customHeight="1" x14ac:dyDescent="0.3">
      <c r="A4916" s="23" t="s">
        <v>18278</v>
      </c>
      <c r="B4916" s="23" t="s">
        <v>75</v>
      </c>
      <c r="C4916" s="39">
        <v>499</v>
      </c>
      <c r="D4916" s="24">
        <v>0</v>
      </c>
      <c r="E4916" s="24">
        <v>0</v>
      </c>
      <c r="F4916" s="23">
        <f>COUNTIFS(mdr_rate_cleaned!$A$2:$A$10,B4916,mdr_rate_cleaned!$B$2:$B$10,"&lt;"&amp;C4916,mdr_rate_cleaned!$F$2:$F$10,"&gt;="&amp;C4916)</f>
        <v>1</v>
      </c>
      <c r="G4916" s="40">
        <f>SUMIFS(mdr_rate_cleaned!$G$2:$G$10,mdr_rate_cleaned!$A$2:$A$10,B4916,mdr_rate_cleaned!$B$2:$B$10,"&lt;"&amp;C4916,mdr_rate_cleaned!$F$2:$F$10,"&gt;="&amp;C4916)</f>
        <v>0</v>
      </c>
      <c r="H4916" s="24">
        <f t="shared" si="380"/>
        <v>0</v>
      </c>
      <c r="I4916" s="23" t="str">
        <f t="shared" si="381"/>
        <v>Match</v>
      </c>
      <c r="J4916" s="23" t="str">
        <f t="shared" si="382"/>
        <v>Match</v>
      </c>
      <c r="K4916" s="24">
        <f t="shared" si="383"/>
        <v>0</v>
      </c>
      <c r="L4916" s="24">
        <f t="shared" si="384"/>
        <v>0</v>
      </c>
    </row>
    <row r="4917" spans="1:12" ht="15" customHeight="1" x14ac:dyDescent="0.3">
      <c r="A4917" s="23" t="s">
        <v>18279</v>
      </c>
      <c r="B4917" s="23" t="s">
        <v>77</v>
      </c>
      <c r="C4917" s="39">
        <v>8498</v>
      </c>
      <c r="D4917" s="24">
        <v>144.47</v>
      </c>
      <c r="E4917" s="24">
        <v>26</v>
      </c>
      <c r="F4917" s="23">
        <f>COUNTIFS(mdr_rate_cleaned!$A$2:$A$10,B4917,mdr_rate_cleaned!$B$2:$B$10,"&lt;"&amp;C4917,mdr_rate_cleaned!$F$2:$F$10,"&gt;="&amp;C4917)</f>
        <v>1</v>
      </c>
      <c r="G4917" s="40">
        <f>SUMIFS(mdr_rate_cleaned!$G$2:$G$10,mdr_rate_cleaned!$A$2:$A$10,B4917,mdr_rate_cleaned!$B$2:$B$10,"&lt;"&amp;C4917,mdr_rate_cleaned!$F$2:$F$10,"&gt;="&amp;C4917)</f>
        <v>1.7000000000000001E-2</v>
      </c>
      <c r="H4917" s="24">
        <f t="shared" si="380"/>
        <v>144.47</v>
      </c>
      <c r="I4917" s="23" t="str">
        <f t="shared" si="381"/>
        <v>Match</v>
      </c>
      <c r="J4917" s="23" t="str">
        <f t="shared" si="382"/>
        <v>Match</v>
      </c>
      <c r="K4917" s="24">
        <f t="shared" si="383"/>
        <v>26</v>
      </c>
      <c r="L4917" s="24">
        <f t="shared" si="384"/>
        <v>0</v>
      </c>
    </row>
    <row r="4918" spans="1:12" ht="15" customHeight="1" x14ac:dyDescent="0.3">
      <c r="A4918" s="23" t="s">
        <v>18280</v>
      </c>
      <c r="B4918" s="23" t="s">
        <v>77</v>
      </c>
      <c r="C4918" s="39">
        <v>1747</v>
      </c>
      <c r="D4918" s="24">
        <v>33.19</v>
      </c>
      <c r="E4918" s="24">
        <v>5.97</v>
      </c>
      <c r="F4918" s="23">
        <f>COUNTIFS(mdr_rate_cleaned!$A$2:$A$10,B4918,mdr_rate_cleaned!$B$2:$B$10,"&lt;"&amp;C4918,mdr_rate_cleaned!$F$2:$F$10,"&gt;="&amp;C4918)</f>
        <v>1</v>
      </c>
      <c r="G4918" s="40">
        <f>SUMIFS(mdr_rate_cleaned!$G$2:$G$10,mdr_rate_cleaned!$A$2:$A$10,B4918,mdr_rate_cleaned!$B$2:$B$10,"&lt;"&amp;C4918,mdr_rate_cleaned!$F$2:$F$10,"&gt;="&amp;C4918)</f>
        <v>1.9E-2</v>
      </c>
      <c r="H4918" s="24">
        <f t="shared" si="380"/>
        <v>33.19</v>
      </c>
      <c r="I4918" s="23" t="str">
        <f t="shared" si="381"/>
        <v>Match</v>
      </c>
      <c r="J4918" s="23" t="str">
        <f t="shared" si="382"/>
        <v>Match</v>
      </c>
      <c r="K4918" s="24">
        <f t="shared" si="383"/>
        <v>5.97</v>
      </c>
      <c r="L4918" s="24">
        <f t="shared" si="384"/>
        <v>0</v>
      </c>
    </row>
    <row r="4919" spans="1:12" ht="15" customHeight="1" x14ac:dyDescent="0.3">
      <c r="A4919" s="23" t="s">
        <v>18281</v>
      </c>
      <c r="B4919" s="23" t="s">
        <v>79</v>
      </c>
      <c r="C4919" s="39">
        <v>999</v>
      </c>
      <c r="D4919" s="24">
        <v>17.98</v>
      </c>
      <c r="E4919" s="24">
        <v>3.24</v>
      </c>
      <c r="F4919" s="23">
        <f>COUNTIFS(mdr_rate_cleaned!$A$2:$A$10,B4919,mdr_rate_cleaned!$B$2:$B$10,"&lt;"&amp;C4919,mdr_rate_cleaned!$F$2:$F$10,"&gt;="&amp;C4919)</f>
        <v>1</v>
      </c>
      <c r="G4919" s="40">
        <f>SUMIFS(mdr_rate_cleaned!$G$2:$G$10,mdr_rate_cleaned!$A$2:$A$10,B4919,mdr_rate_cleaned!$B$2:$B$10,"&lt;"&amp;C4919,mdr_rate_cleaned!$F$2:$F$10,"&gt;="&amp;C4919)</f>
        <v>1.8000000000000002E-2</v>
      </c>
      <c r="H4919" s="24">
        <f t="shared" si="380"/>
        <v>17.98</v>
      </c>
      <c r="I4919" s="23" t="str">
        <f t="shared" si="381"/>
        <v>Match</v>
      </c>
      <c r="J4919" s="23" t="str">
        <f t="shared" si="382"/>
        <v>Match</v>
      </c>
      <c r="K4919" s="24">
        <f t="shared" si="383"/>
        <v>3.24</v>
      </c>
      <c r="L4919" s="24">
        <f t="shared" si="384"/>
        <v>0</v>
      </c>
    </row>
    <row r="4920" spans="1:12" ht="15" customHeight="1" x14ac:dyDescent="0.3">
      <c r="A4920" s="23" t="s">
        <v>18282</v>
      </c>
      <c r="B4920" s="23" t="s">
        <v>75</v>
      </c>
      <c r="C4920" s="39">
        <v>16297</v>
      </c>
      <c r="D4920" s="24">
        <v>48.89</v>
      </c>
      <c r="E4920" s="24">
        <v>8.8000000000000007</v>
      </c>
      <c r="F4920" s="23">
        <f>COUNTIFS(mdr_rate_cleaned!$A$2:$A$10,B4920,mdr_rate_cleaned!$B$2:$B$10,"&lt;"&amp;C4920,mdr_rate_cleaned!$F$2:$F$10,"&gt;="&amp;C4920)</f>
        <v>1</v>
      </c>
      <c r="G4920" s="40">
        <f>SUMIFS(mdr_rate_cleaned!$G$2:$G$10,mdr_rate_cleaned!$A$2:$A$10,B4920,mdr_rate_cleaned!$B$2:$B$10,"&lt;"&amp;C4920,mdr_rate_cleaned!$F$2:$F$10,"&gt;="&amp;C4920)</f>
        <v>3.0000000000000001E-3</v>
      </c>
      <c r="H4920" s="24">
        <f t="shared" si="380"/>
        <v>48.89</v>
      </c>
      <c r="I4920" s="23" t="str">
        <f t="shared" si="381"/>
        <v>Match</v>
      </c>
      <c r="J4920" s="23" t="str">
        <f t="shared" si="382"/>
        <v>Match</v>
      </c>
      <c r="K4920" s="24">
        <f t="shared" si="383"/>
        <v>8.8000000000000007</v>
      </c>
      <c r="L4920" s="24">
        <f t="shared" si="384"/>
        <v>0</v>
      </c>
    </row>
    <row r="4921" spans="1:12" ht="15" customHeight="1" x14ac:dyDescent="0.3">
      <c r="A4921" s="23" t="s">
        <v>18283</v>
      </c>
      <c r="B4921" s="23" t="s">
        <v>75</v>
      </c>
      <c r="C4921" s="39">
        <v>2598</v>
      </c>
      <c r="D4921" s="24">
        <v>7.79</v>
      </c>
      <c r="E4921" s="24">
        <v>1.4</v>
      </c>
      <c r="F4921" s="23">
        <f>COUNTIFS(mdr_rate_cleaned!$A$2:$A$10,B4921,mdr_rate_cleaned!$B$2:$B$10,"&lt;"&amp;C4921,mdr_rate_cleaned!$F$2:$F$10,"&gt;="&amp;C4921)</f>
        <v>1</v>
      </c>
      <c r="G4921" s="40">
        <f>SUMIFS(mdr_rate_cleaned!$G$2:$G$10,mdr_rate_cleaned!$A$2:$A$10,B4921,mdr_rate_cleaned!$B$2:$B$10,"&lt;"&amp;C4921,mdr_rate_cleaned!$F$2:$F$10,"&gt;="&amp;C4921)</f>
        <v>3.0000000000000001E-3</v>
      </c>
      <c r="H4921" s="24">
        <f t="shared" si="380"/>
        <v>7.79</v>
      </c>
      <c r="I4921" s="23" t="str">
        <f t="shared" si="381"/>
        <v>Match</v>
      </c>
      <c r="J4921" s="23" t="str">
        <f t="shared" si="382"/>
        <v>Match</v>
      </c>
      <c r="K4921" s="24">
        <f t="shared" si="383"/>
        <v>1.4</v>
      </c>
      <c r="L4921" s="24">
        <f t="shared" si="384"/>
        <v>0</v>
      </c>
    </row>
    <row r="4922" spans="1:12" ht="15" customHeight="1" x14ac:dyDescent="0.3">
      <c r="A4922" s="23" t="s">
        <v>18284</v>
      </c>
      <c r="B4922" s="23" t="s">
        <v>81</v>
      </c>
      <c r="C4922" s="39">
        <v>4798</v>
      </c>
      <c r="D4922" s="24">
        <v>57.58</v>
      </c>
      <c r="E4922" s="24">
        <v>10.36</v>
      </c>
      <c r="F4922" s="23">
        <f>COUNTIFS(mdr_rate_cleaned!$A$2:$A$10,B4922,mdr_rate_cleaned!$B$2:$B$10,"&lt;"&amp;C4922,mdr_rate_cleaned!$F$2:$F$10,"&gt;="&amp;C4922)</f>
        <v>1</v>
      </c>
      <c r="G4922" s="40">
        <f>SUMIFS(mdr_rate_cleaned!$G$2:$G$10,mdr_rate_cleaned!$A$2:$A$10,B4922,mdr_rate_cleaned!$B$2:$B$10,"&lt;"&amp;C4922,mdr_rate_cleaned!$F$2:$F$10,"&gt;="&amp;C4922)</f>
        <v>1.2E-2</v>
      </c>
      <c r="H4922" s="24">
        <f t="shared" si="380"/>
        <v>57.58</v>
      </c>
      <c r="I4922" s="23" t="str">
        <f t="shared" si="381"/>
        <v>Match</v>
      </c>
      <c r="J4922" s="23" t="str">
        <f t="shared" si="382"/>
        <v>Match</v>
      </c>
      <c r="K4922" s="24">
        <f t="shared" si="383"/>
        <v>10.36</v>
      </c>
      <c r="L4922" s="24">
        <f t="shared" si="384"/>
        <v>0</v>
      </c>
    </row>
    <row r="4923" spans="1:12" ht="15" customHeight="1" x14ac:dyDescent="0.3">
      <c r="A4923" s="23" t="s">
        <v>18285</v>
      </c>
      <c r="B4923" s="23" t="s">
        <v>77</v>
      </c>
      <c r="C4923" s="39">
        <v>499</v>
      </c>
      <c r="D4923" s="24">
        <v>9.48</v>
      </c>
      <c r="E4923" s="24">
        <v>1.71</v>
      </c>
      <c r="F4923" s="23">
        <f>COUNTIFS(mdr_rate_cleaned!$A$2:$A$10,B4923,mdr_rate_cleaned!$B$2:$B$10,"&lt;"&amp;C4923,mdr_rate_cleaned!$F$2:$F$10,"&gt;="&amp;C4923)</f>
        <v>1</v>
      </c>
      <c r="G4923" s="40">
        <f>SUMIFS(mdr_rate_cleaned!$G$2:$G$10,mdr_rate_cleaned!$A$2:$A$10,B4923,mdr_rate_cleaned!$B$2:$B$10,"&lt;"&amp;C4923,mdr_rate_cleaned!$F$2:$F$10,"&gt;="&amp;C4923)</f>
        <v>1.9E-2</v>
      </c>
      <c r="H4923" s="24">
        <f t="shared" si="380"/>
        <v>9.48</v>
      </c>
      <c r="I4923" s="23" t="str">
        <f t="shared" si="381"/>
        <v>Match</v>
      </c>
      <c r="J4923" s="23" t="str">
        <f t="shared" si="382"/>
        <v>Match</v>
      </c>
      <c r="K4923" s="24">
        <f t="shared" si="383"/>
        <v>1.71</v>
      </c>
      <c r="L4923" s="24">
        <f t="shared" si="384"/>
        <v>0</v>
      </c>
    </row>
    <row r="4924" spans="1:12" ht="15" customHeight="1" x14ac:dyDescent="0.3">
      <c r="A4924" s="23" t="s">
        <v>18287</v>
      </c>
      <c r="B4924" s="23" t="s">
        <v>75</v>
      </c>
      <c r="C4924" s="39">
        <v>7999</v>
      </c>
      <c r="D4924" s="24">
        <v>24</v>
      </c>
      <c r="E4924" s="24">
        <v>4.32</v>
      </c>
      <c r="F4924" s="23">
        <f>COUNTIFS(mdr_rate_cleaned!$A$2:$A$10,B4924,mdr_rate_cleaned!$B$2:$B$10,"&lt;"&amp;C4924,mdr_rate_cleaned!$F$2:$F$10,"&gt;="&amp;C4924)</f>
        <v>1</v>
      </c>
      <c r="G4924" s="40">
        <f>SUMIFS(mdr_rate_cleaned!$G$2:$G$10,mdr_rate_cleaned!$A$2:$A$10,B4924,mdr_rate_cleaned!$B$2:$B$10,"&lt;"&amp;C4924,mdr_rate_cleaned!$F$2:$F$10,"&gt;="&amp;C4924)</f>
        <v>3.0000000000000001E-3</v>
      </c>
      <c r="H4924" s="24">
        <f t="shared" si="380"/>
        <v>24</v>
      </c>
      <c r="I4924" s="23" t="str">
        <f t="shared" si="381"/>
        <v>Match</v>
      </c>
      <c r="J4924" s="23" t="str">
        <f t="shared" si="382"/>
        <v>Match</v>
      </c>
      <c r="K4924" s="24">
        <f t="shared" si="383"/>
        <v>4.32</v>
      </c>
      <c r="L4924" s="24">
        <f t="shared" si="384"/>
        <v>0</v>
      </c>
    </row>
    <row r="4925" spans="1:12" ht="15" customHeight="1" x14ac:dyDescent="0.3">
      <c r="A4925" s="23" t="s">
        <v>18288</v>
      </c>
      <c r="B4925" s="23" t="s">
        <v>75</v>
      </c>
      <c r="C4925" s="39">
        <v>599</v>
      </c>
      <c r="D4925" s="24">
        <v>0</v>
      </c>
      <c r="E4925" s="24">
        <v>0</v>
      </c>
      <c r="F4925" s="23">
        <f>COUNTIFS(mdr_rate_cleaned!$A$2:$A$10,B4925,mdr_rate_cleaned!$B$2:$B$10,"&lt;"&amp;C4925,mdr_rate_cleaned!$F$2:$F$10,"&gt;="&amp;C4925)</f>
        <v>1</v>
      </c>
      <c r="G4925" s="40">
        <f>SUMIFS(mdr_rate_cleaned!$G$2:$G$10,mdr_rate_cleaned!$A$2:$A$10,B4925,mdr_rate_cleaned!$B$2:$B$10,"&lt;"&amp;C4925,mdr_rate_cleaned!$F$2:$F$10,"&gt;="&amp;C4925)</f>
        <v>0</v>
      </c>
      <c r="H4925" s="24">
        <f t="shared" si="380"/>
        <v>0</v>
      </c>
      <c r="I4925" s="23" t="str">
        <f t="shared" si="381"/>
        <v>Match</v>
      </c>
      <c r="J4925" s="23" t="str">
        <f t="shared" si="382"/>
        <v>Match</v>
      </c>
      <c r="K4925" s="24">
        <f t="shared" si="383"/>
        <v>0</v>
      </c>
      <c r="L4925" s="24">
        <f t="shared" si="384"/>
        <v>0</v>
      </c>
    </row>
    <row r="4926" spans="1:12" ht="15" customHeight="1" x14ac:dyDescent="0.3">
      <c r="A4926" s="23" t="s">
        <v>18295</v>
      </c>
      <c r="B4926" s="23" t="s">
        <v>75</v>
      </c>
      <c r="C4926" s="39">
        <v>7999</v>
      </c>
      <c r="D4926" s="24">
        <v>24</v>
      </c>
      <c r="E4926" s="24">
        <v>4.32</v>
      </c>
      <c r="F4926" s="23">
        <f>COUNTIFS(mdr_rate_cleaned!$A$2:$A$10,B4926,mdr_rate_cleaned!$B$2:$B$10,"&lt;"&amp;C4926,mdr_rate_cleaned!$F$2:$F$10,"&gt;="&amp;C4926)</f>
        <v>1</v>
      </c>
      <c r="G4926" s="40">
        <f>SUMIFS(mdr_rate_cleaned!$G$2:$G$10,mdr_rate_cleaned!$A$2:$A$10,B4926,mdr_rate_cleaned!$B$2:$B$10,"&lt;"&amp;C4926,mdr_rate_cleaned!$F$2:$F$10,"&gt;="&amp;C4926)</f>
        <v>3.0000000000000001E-3</v>
      </c>
      <c r="H4926" s="24">
        <f t="shared" si="380"/>
        <v>24</v>
      </c>
      <c r="I4926" s="23" t="str">
        <f t="shared" si="381"/>
        <v>Match</v>
      </c>
      <c r="J4926" s="23" t="str">
        <f t="shared" si="382"/>
        <v>Match</v>
      </c>
      <c r="K4926" s="24">
        <f t="shared" si="383"/>
        <v>4.32</v>
      </c>
      <c r="L4926" s="24">
        <f t="shared" si="384"/>
        <v>0</v>
      </c>
    </row>
    <row r="4927" spans="1:12" ht="15" customHeight="1" x14ac:dyDescent="0.3">
      <c r="A4927" s="23" t="s">
        <v>18296</v>
      </c>
      <c r="B4927" s="23" t="s">
        <v>79</v>
      </c>
      <c r="C4927" s="39">
        <v>4999</v>
      </c>
      <c r="D4927" s="24">
        <v>79.98</v>
      </c>
      <c r="E4927" s="24">
        <v>14.4</v>
      </c>
      <c r="F4927" s="23">
        <f>COUNTIFS(mdr_rate_cleaned!$A$2:$A$10,B4927,mdr_rate_cleaned!$B$2:$B$10,"&lt;"&amp;C4927,mdr_rate_cleaned!$F$2:$F$10,"&gt;="&amp;C4927)</f>
        <v>1</v>
      </c>
      <c r="G4927" s="40">
        <f>SUMIFS(mdr_rate_cleaned!$G$2:$G$10,mdr_rate_cleaned!$A$2:$A$10,B4927,mdr_rate_cleaned!$B$2:$B$10,"&lt;"&amp;C4927,mdr_rate_cleaned!$F$2:$F$10,"&gt;="&amp;C4927)</f>
        <v>1.6E-2</v>
      </c>
      <c r="H4927" s="24">
        <f t="shared" si="380"/>
        <v>79.98</v>
      </c>
      <c r="I4927" s="23" t="str">
        <f t="shared" si="381"/>
        <v>Match</v>
      </c>
      <c r="J4927" s="23" t="str">
        <f t="shared" si="382"/>
        <v>Match</v>
      </c>
      <c r="K4927" s="24">
        <f t="shared" si="383"/>
        <v>14.4</v>
      </c>
      <c r="L4927" s="24">
        <f t="shared" si="384"/>
        <v>0</v>
      </c>
    </row>
    <row r="4928" spans="1:12" ht="15" customHeight="1" x14ac:dyDescent="0.3">
      <c r="A4928" s="23" t="s">
        <v>18298</v>
      </c>
      <c r="B4928" s="23" t="s">
        <v>79</v>
      </c>
      <c r="C4928" s="39">
        <v>1499</v>
      </c>
      <c r="D4928" s="24">
        <v>26.98</v>
      </c>
      <c r="E4928" s="24">
        <v>4.8600000000000003</v>
      </c>
      <c r="F4928" s="23">
        <f>COUNTIFS(mdr_rate_cleaned!$A$2:$A$10,B4928,mdr_rate_cleaned!$B$2:$B$10,"&lt;"&amp;C4928,mdr_rate_cleaned!$F$2:$F$10,"&gt;="&amp;C4928)</f>
        <v>1</v>
      </c>
      <c r="G4928" s="40">
        <f>SUMIFS(mdr_rate_cleaned!$G$2:$G$10,mdr_rate_cleaned!$A$2:$A$10,B4928,mdr_rate_cleaned!$B$2:$B$10,"&lt;"&amp;C4928,mdr_rate_cleaned!$F$2:$F$10,"&gt;="&amp;C4928)</f>
        <v>1.8000000000000002E-2</v>
      </c>
      <c r="H4928" s="24">
        <f t="shared" si="380"/>
        <v>26.98</v>
      </c>
      <c r="I4928" s="23" t="str">
        <f t="shared" si="381"/>
        <v>Match</v>
      </c>
      <c r="J4928" s="23" t="str">
        <f t="shared" si="382"/>
        <v>Match</v>
      </c>
      <c r="K4928" s="24">
        <f t="shared" si="383"/>
        <v>4.8600000000000003</v>
      </c>
      <c r="L4928" s="24">
        <f t="shared" si="384"/>
        <v>0</v>
      </c>
    </row>
    <row r="4929" spans="1:12" ht="15" customHeight="1" x14ac:dyDescent="0.3">
      <c r="A4929" s="23" t="s">
        <v>18300</v>
      </c>
      <c r="B4929" s="23" t="s">
        <v>77</v>
      </c>
      <c r="C4929" s="39">
        <v>9498</v>
      </c>
      <c r="D4929" s="24">
        <v>161.47</v>
      </c>
      <c r="E4929" s="24">
        <v>29.06</v>
      </c>
      <c r="F4929" s="23">
        <f>COUNTIFS(mdr_rate_cleaned!$A$2:$A$10,B4929,mdr_rate_cleaned!$B$2:$B$10,"&lt;"&amp;C4929,mdr_rate_cleaned!$F$2:$F$10,"&gt;="&amp;C4929)</f>
        <v>1</v>
      </c>
      <c r="G4929" s="40">
        <f>SUMIFS(mdr_rate_cleaned!$G$2:$G$10,mdr_rate_cleaned!$A$2:$A$10,B4929,mdr_rate_cleaned!$B$2:$B$10,"&lt;"&amp;C4929,mdr_rate_cleaned!$F$2:$F$10,"&gt;="&amp;C4929)</f>
        <v>1.7000000000000001E-2</v>
      </c>
      <c r="H4929" s="24">
        <f t="shared" si="380"/>
        <v>161.47</v>
      </c>
      <c r="I4929" s="23" t="str">
        <f t="shared" si="381"/>
        <v>Match</v>
      </c>
      <c r="J4929" s="23" t="str">
        <f t="shared" si="382"/>
        <v>Match</v>
      </c>
      <c r="K4929" s="24">
        <f t="shared" si="383"/>
        <v>29.06</v>
      </c>
      <c r="L4929" s="24">
        <f t="shared" si="384"/>
        <v>0</v>
      </c>
    </row>
    <row r="4930" spans="1:12" ht="15" customHeight="1" x14ac:dyDescent="0.3">
      <c r="A4930" s="23" t="s">
        <v>18301</v>
      </c>
      <c r="B4930" s="23" t="s">
        <v>81</v>
      </c>
      <c r="C4930" s="39">
        <v>7797</v>
      </c>
      <c r="D4930" s="24">
        <v>93.56</v>
      </c>
      <c r="E4930" s="24">
        <v>16.84</v>
      </c>
      <c r="F4930" s="23">
        <f>COUNTIFS(mdr_rate_cleaned!$A$2:$A$10,B4930,mdr_rate_cleaned!$B$2:$B$10,"&lt;"&amp;C4930,mdr_rate_cleaned!$F$2:$F$10,"&gt;="&amp;C4930)</f>
        <v>1</v>
      </c>
      <c r="G4930" s="40">
        <f>SUMIFS(mdr_rate_cleaned!$G$2:$G$10,mdr_rate_cleaned!$A$2:$A$10,B4930,mdr_rate_cleaned!$B$2:$B$10,"&lt;"&amp;C4930,mdr_rate_cleaned!$F$2:$F$10,"&gt;="&amp;C4930)</f>
        <v>1.2E-2</v>
      </c>
      <c r="H4930" s="24">
        <f t="shared" ref="H4930:H4993" si="385">ROUND(C4930*G4930,2)</f>
        <v>93.56</v>
      </c>
      <c r="I4930" s="23" t="str">
        <f t="shared" ref="I4930:I4993" si="386">IF(ROUND(D4930-H4930,2)=0,"Match","Differs")</f>
        <v>Match</v>
      </c>
      <c r="J4930" s="23" t="str">
        <f t="shared" ref="J4930:J4993" si="387">IF(ROUND(E4930-ROUND(D4930*0.18,2),2)=0,"Match","Differs")</f>
        <v>Match</v>
      </c>
      <c r="K4930" s="24">
        <f t="shared" ref="K4930:K4993" si="388">ROUND(H4930*0.18,2)</f>
        <v>16.84</v>
      </c>
      <c r="L4930" s="24">
        <f t="shared" ref="L4930:L4993" si="389">ROUND(D4930+E4930-H4930-K4930,2)</f>
        <v>0</v>
      </c>
    </row>
    <row r="4931" spans="1:12" ht="15" customHeight="1" x14ac:dyDescent="0.3">
      <c r="A4931" s="23" t="s">
        <v>18302</v>
      </c>
      <c r="B4931" s="23" t="s">
        <v>81</v>
      </c>
      <c r="C4931" s="39">
        <v>2999</v>
      </c>
      <c r="D4931" s="24">
        <v>35.99</v>
      </c>
      <c r="E4931" s="24">
        <v>6.48</v>
      </c>
      <c r="F4931" s="23">
        <f>COUNTIFS(mdr_rate_cleaned!$A$2:$A$10,B4931,mdr_rate_cleaned!$B$2:$B$10,"&lt;"&amp;C4931,mdr_rate_cleaned!$F$2:$F$10,"&gt;="&amp;C4931)</f>
        <v>1</v>
      </c>
      <c r="G4931" s="40">
        <f>SUMIFS(mdr_rate_cleaned!$G$2:$G$10,mdr_rate_cleaned!$A$2:$A$10,B4931,mdr_rate_cleaned!$B$2:$B$10,"&lt;"&amp;C4931,mdr_rate_cleaned!$F$2:$F$10,"&gt;="&amp;C4931)</f>
        <v>1.2E-2</v>
      </c>
      <c r="H4931" s="24">
        <f t="shared" si="385"/>
        <v>35.99</v>
      </c>
      <c r="I4931" s="23" t="str">
        <f t="shared" si="386"/>
        <v>Match</v>
      </c>
      <c r="J4931" s="23" t="str">
        <f t="shared" si="387"/>
        <v>Match</v>
      </c>
      <c r="K4931" s="24">
        <f t="shared" si="388"/>
        <v>6.48</v>
      </c>
      <c r="L4931" s="24">
        <f t="shared" si="389"/>
        <v>0</v>
      </c>
    </row>
    <row r="4932" spans="1:12" ht="15" customHeight="1" x14ac:dyDescent="0.3">
      <c r="A4932" s="23" t="s">
        <v>18304</v>
      </c>
      <c r="B4932" s="23" t="s">
        <v>75</v>
      </c>
      <c r="C4932" s="39">
        <v>4999</v>
      </c>
      <c r="D4932" s="24">
        <v>15</v>
      </c>
      <c r="E4932" s="24">
        <v>2.7</v>
      </c>
      <c r="F4932" s="23">
        <f>COUNTIFS(mdr_rate_cleaned!$A$2:$A$10,B4932,mdr_rate_cleaned!$B$2:$B$10,"&lt;"&amp;C4932,mdr_rate_cleaned!$F$2:$F$10,"&gt;="&amp;C4932)</f>
        <v>1</v>
      </c>
      <c r="G4932" s="40">
        <f>SUMIFS(mdr_rate_cleaned!$G$2:$G$10,mdr_rate_cleaned!$A$2:$A$10,B4932,mdr_rate_cleaned!$B$2:$B$10,"&lt;"&amp;C4932,mdr_rate_cleaned!$F$2:$F$10,"&gt;="&amp;C4932)</f>
        <v>3.0000000000000001E-3</v>
      </c>
      <c r="H4932" s="24">
        <f t="shared" si="385"/>
        <v>15</v>
      </c>
      <c r="I4932" s="23" t="str">
        <f t="shared" si="386"/>
        <v>Match</v>
      </c>
      <c r="J4932" s="23" t="str">
        <f t="shared" si="387"/>
        <v>Match</v>
      </c>
      <c r="K4932" s="24">
        <f t="shared" si="388"/>
        <v>2.7</v>
      </c>
      <c r="L4932" s="24">
        <f t="shared" si="389"/>
        <v>0</v>
      </c>
    </row>
    <row r="4933" spans="1:12" ht="15" customHeight="1" x14ac:dyDescent="0.3">
      <c r="A4933" s="23" t="s">
        <v>18305</v>
      </c>
      <c r="B4933" s="23" t="s">
        <v>79</v>
      </c>
      <c r="C4933" s="39">
        <v>5347</v>
      </c>
      <c r="D4933" s="24">
        <v>85.55</v>
      </c>
      <c r="E4933" s="24">
        <v>15.4</v>
      </c>
      <c r="F4933" s="23">
        <f>COUNTIFS(mdr_rate_cleaned!$A$2:$A$10,B4933,mdr_rate_cleaned!$B$2:$B$10,"&lt;"&amp;C4933,mdr_rate_cleaned!$F$2:$F$10,"&gt;="&amp;C4933)</f>
        <v>1</v>
      </c>
      <c r="G4933" s="40">
        <f>SUMIFS(mdr_rate_cleaned!$G$2:$G$10,mdr_rate_cleaned!$A$2:$A$10,B4933,mdr_rate_cleaned!$B$2:$B$10,"&lt;"&amp;C4933,mdr_rate_cleaned!$F$2:$F$10,"&gt;="&amp;C4933)</f>
        <v>1.6E-2</v>
      </c>
      <c r="H4933" s="24">
        <f t="shared" si="385"/>
        <v>85.55</v>
      </c>
      <c r="I4933" s="23" t="str">
        <f t="shared" si="386"/>
        <v>Match</v>
      </c>
      <c r="J4933" s="23" t="str">
        <f t="shared" si="387"/>
        <v>Match</v>
      </c>
      <c r="K4933" s="24">
        <f t="shared" si="388"/>
        <v>15.4</v>
      </c>
      <c r="L4933" s="24">
        <f t="shared" si="389"/>
        <v>0</v>
      </c>
    </row>
    <row r="4934" spans="1:12" ht="15" customHeight="1" x14ac:dyDescent="0.3">
      <c r="A4934" s="23" t="s">
        <v>18306</v>
      </c>
      <c r="B4934" s="23" t="s">
        <v>79</v>
      </c>
      <c r="C4934" s="39">
        <v>1498</v>
      </c>
      <c r="D4934" s="24">
        <v>26.96</v>
      </c>
      <c r="E4934" s="24">
        <v>4.8499999999999996</v>
      </c>
      <c r="F4934" s="23">
        <f>COUNTIFS(mdr_rate_cleaned!$A$2:$A$10,B4934,mdr_rate_cleaned!$B$2:$B$10,"&lt;"&amp;C4934,mdr_rate_cleaned!$F$2:$F$10,"&gt;="&amp;C4934)</f>
        <v>1</v>
      </c>
      <c r="G4934" s="40">
        <f>SUMIFS(mdr_rate_cleaned!$G$2:$G$10,mdr_rate_cleaned!$A$2:$A$10,B4934,mdr_rate_cleaned!$B$2:$B$10,"&lt;"&amp;C4934,mdr_rate_cleaned!$F$2:$F$10,"&gt;="&amp;C4934)</f>
        <v>1.8000000000000002E-2</v>
      </c>
      <c r="H4934" s="24">
        <f t="shared" si="385"/>
        <v>26.96</v>
      </c>
      <c r="I4934" s="23" t="str">
        <f t="shared" si="386"/>
        <v>Match</v>
      </c>
      <c r="J4934" s="23" t="str">
        <f t="shared" si="387"/>
        <v>Match</v>
      </c>
      <c r="K4934" s="24">
        <f t="shared" si="388"/>
        <v>4.8499999999999996</v>
      </c>
      <c r="L4934" s="24">
        <f t="shared" si="389"/>
        <v>0</v>
      </c>
    </row>
    <row r="4935" spans="1:12" ht="15" customHeight="1" x14ac:dyDescent="0.3">
      <c r="A4935" s="23" t="s">
        <v>18307</v>
      </c>
      <c r="B4935" s="23" t="s">
        <v>79</v>
      </c>
      <c r="C4935" s="39">
        <v>499</v>
      </c>
      <c r="D4935" s="24">
        <v>8.98</v>
      </c>
      <c r="E4935" s="24">
        <v>1.62</v>
      </c>
      <c r="F4935" s="23">
        <f>COUNTIFS(mdr_rate_cleaned!$A$2:$A$10,B4935,mdr_rate_cleaned!$B$2:$B$10,"&lt;"&amp;C4935,mdr_rate_cleaned!$F$2:$F$10,"&gt;="&amp;C4935)</f>
        <v>1</v>
      </c>
      <c r="G4935" s="40">
        <f>SUMIFS(mdr_rate_cleaned!$G$2:$G$10,mdr_rate_cleaned!$A$2:$A$10,B4935,mdr_rate_cleaned!$B$2:$B$10,"&lt;"&amp;C4935,mdr_rate_cleaned!$F$2:$F$10,"&gt;="&amp;C4935)</f>
        <v>1.8000000000000002E-2</v>
      </c>
      <c r="H4935" s="24">
        <f t="shared" si="385"/>
        <v>8.98</v>
      </c>
      <c r="I4935" s="23" t="str">
        <f t="shared" si="386"/>
        <v>Match</v>
      </c>
      <c r="J4935" s="23" t="str">
        <f t="shared" si="387"/>
        <v>Match</v>
      </c>
      <c r="K4935" s="24">
        <f t="shared" si="388"/>
        <v>1.62</v>
      </c>
      <c r="L4935" s="24">
        <f t="shared" si="389"/>
        <v>0</v>
      </c>
    </row>
    <row r="4936" spans="1:12" ht="15" customHeight="1" x14ac:dyDescent="0.3">
      <c r="A4936" s="23" t="s">
        <v>18309</v>
      </c>
      <c r="B4936" s="23" t="s">
        <v>75</v>
      </c>
      <c r="C4936" s="39">
        <v>11498</v>
      </c>
      <c r="D4936" s="24">
        <v>34.49</v>
      </c>
      <c r="E4936" s="24">
        <v>6.21</v>
      </c>
      <c r="F4936" s="23">
        <f>COUNTIFS(mdr_rate_cleaned!$A$2:$A$10,B4936,mdr_rate_cleaned!$B$2:$B$10,"&lt;"&amp;C4936,mdr_rate_cleaned!$F$2:$F$10,"&gt;="&amp;C4936)</f>
        <v>1</v>
      </c>
      <c r="G4936" s="40">
        <f>SUMIFS(mdr_rate_cleaned!$G$2:$G$10,mdr_rate_cleaned!$A$2:$A$10,B4936,mdr_rate_cleaned!$B$2:$B$10,"&lt;"&amp;C4936,mdr_rate_cleaned!$F$2:$F$10,"&gt;="&amp;C4936)</f>
        <v>3.0000000000000001E-3</v>
      </c>
      <c r="H4936" s="24">
        <f t="shared" si="385"/>
        <v>34.49</v>
      </c>
      <c r="I4936" s="23" t="str">
        <f t="shared" si="386"/>
        <v>Match</v>
      </c>
      <c r="J4936" s="23" t="str">
        <f t="shared" si="387"/>
        <v>Match</v>
      </c>
      <c r="K4936" s="24">
        <f t="shared" si="388"/>
        <v>6.21</v>
      </c>
      <c r="L4936" s="24">
        <f t="shared" si="389"/>
        <v>0</v>
      </c>
    </row>
    <row r="4937" spans="1:12" ht="15" customHeight="1" x14ac:dyDescent="0.3">
      <c r="A4937" s="23" t="s">
        <v>18310</v>
      </c>
      <c r="B4937" s="23" t="s">
        <v>79</v>
      </c>
      <c r="C4937" s="39">
        <v>8297</v>
      </c>
      <c r="D4937" s="24">
        <v>132.75</v>
      </c>
      <c r="E4937" s="24">
        <v>23.9</v>
      </c>
      <c r="F4937" s="23">
        <f>COUNTIFS(mdr_rate_cleaned!$A$2:$A$10,B4937,mdr_rate_cleaned!$B$2:$B$10,"&lt;"&amp;C4937,mdr_rate_cleaned!$F$2:$F$10,"&gt;="&amp;C4937)</f>
        <v>1</v>
      </c>
      <c r="G4937" s="40">
        <f>SUMIFS(mdr_rate_cleaned!$G$2:$G$10,mdr_rate_cleaned!$A$2:$A$10,B4937,mdr_rate_cleaned!$B$2:$B$10,"&lt;"&amp;C4937,mdr_rate_cleaned!$F$2:$F$10,"&gt;="&amp;C4937)</f>
        <v>1.6E-2</v>
      </c>
      <c r="H4937" s="24">
        <f t="shared" si="385"/>
        <v>132.75</v>
      </c>
      <c r="I4937" s="23" t="str">
        <f t="shared" si="386"/>
        <v>Match</v>
      </c>
      <c r="J4937" s="23" t="str">
        <f t="shared" si="387"/>
        <v>Match</v>
      </c>
      <c r="K4937" s="24">
        <f t="shared" si="388"/>
        <v>23.9</v>
      </c>
      <c r="L4937" s="24">
        <f t="shared" si="389"/>
        <v>0</v>
      </c>
    </row>
    <row r="4938" spans="1:12" ht="15" customHeight="1" x14ac:dyDescent="0.3">
      <c r="A4938" s="23" t="s">
        <v>18311</v>
      </c>
      <c r="B4938" s="23" t="s">
        <v>75</v>
      </c>
      <c r="C4938" s="39">
        <v>3798</v>
      </c>
      <c r="D4938" s="24">
        <v>11.39</v>
      </c>
      <c r="E4938" s="24">
        <v>2.0499999999999998</v>
      </c>
      <c r="F4938" s="23">
        <f>COUNTIFS(mdr_rate_cleaned!$A$2:$A$10,B4938,mdr_rate_cleaned!$B$2:$B$10,"&lt;"&amp;C4938,mdr_rate_cleaned!$F$2:$F$10,"&gt;="&amp;C4938)</f>
        <v>1</v>
      </c>
      <c r="G4938" s="40">
        <f>SUMIFS(mdr_rate_cleaned!$G$2:$G$10,mdr_rate_cleaned!$A$2:$A$10,B4938,mdr_rate_cleaned!$B$2:$B$10,"&lt;"&amp;C4938,mdr_rate_cleaned!$F$2:$F$10,"&gt;="&amp;C4938)</f>
        <v>3.0000000000000001E-3</v>
      </c>
      <c r="H4938" s="24">
        <f t="shared" si="385"/>
        <v>11.39</v>
      </c>
      <c r="I4938" s="23" t="str">
        <f t="shared" si="386"/>
        <v>Match</v>
      </c>
      <c r="J4938" s="23" t="str">
        <f t="shared" si="387"/>
        <v>Match</v>
      </c>
      <c r="K4938" s="24">
        <f t="shared" si="388"/>
        <v>2.0499999999999998</v>
      </c>
      <c r="L4938" s="24">
        <f t="shared" si="389"/>
        <v>0</v>
      </c>
    </row>
    <row r="4939" spans="1:12" ht="15" customHeight="1" x14ac:dyDescent="0.3">
      <c r="A4939" s="23" t="s">
        <v>18312</v>
      </c>
      <c r="B4939" s="23" t="s">
        <v>75</v>
      </c>
      <c r="C4939" s="39">
        <v>5097</v>
      </c>
      <c r="D4939" s="24">
        <v>15.29</v>
      </c>
      <c r="E4939" s="24">
        <v>2.75</v>
      </c>
      <c r="F4939" s="23">
        <f>COUNTIFS(mdr_rate_cleaned!$A$2:$A$10,B4939,mdr_rate_cleaned!$B$2:$B$10,"&lt;"&amp;C4939,mdr_rate_cleaned!$F$2:$F$10,"&gt;="&amp;C4939)</f>
        <v>1</v>
      </c>
      <c r="G4939" s="40">
        <f>SUMIFS(mdr_rate_cleaned!$G$2:$G$10,mdr_rate_cleaned!$A$2:$A$10,B4939,mdr_rate_cleaned!$B$2:$B$10,"&lt;"&amp;C4939,mdr_rate_cleaned!$F$2:$F$10,"&gt;="&amp;C4939)</f>
        <v>3.0000000000000001E-3</v>
      </c>
      <c r="H4939" s="24">
        <f t="shared" si="385"/>
        <v>15.29</v>
      </c>
      <c r="I4939" s="23" t="str">
        <f t="shared" si="386"/>
        <v>Match</v>
      </c>
      <c r="J4939" s="23" t="str">
        <f t="shared" si="387"/>
        <v>Match</v>
      </c>
      <c r="K4939" s="24">
        <f t="shared" si="388"/>
        <v>2.75</v>
      </c>
      <c r="L4939" s="24">
        <f t="shared" si="389"/>
        <v>0</v>
      </c>
    </row>
    <row r="4940" spans="1:12" ht="15" customHeight="1" x14ac:dyDescent="0.3">
      <c r="A4940" s="23" t="s">
        <v>18313</v>
      </c>
      <c r="B4940" s="23" t="s">
        <v>75</v>
      </c>
      <c r="C4940" s="39">
        <v>3499</v>
      </c>
      <c r="D4940" s="24">
        <v>10.5</v>
      </c>
      <c r="E4940" s="24">
        <v>1.89</v>
      </c>
      <c r="F4940" s="23">
        <f>COUNTIFS(mdr_rate_cleaned!$A$2:$A$10,B4940,mdr_rate_cleaned!$B$2:$B$10,"&lt;"&amp;C4940,mdr_rate_cleaned!$F$2:$F$10,"&gt;="&amp;C4940)</f>
        <v>1</v>
      </c>
      <c r="G4940" s="40">
        <f>SUMIFS(mdr_rate_cleaned!$G$2:$G$10,mdr_rate_cleaned!$A$2:$A$10,B4940,mdr_rate_cleaned!$B$2:$B$10,"&lt;"&amp;C4940,mdr_rate_cleaned!$F$2:$F$10,"&gt;="&amp;C4940)</f>
        <v>3.0000000000000001E-3</v>
      </c>
      <c r="H4940" s="24">
        <f t="shared" si="385"/>
        <v>10.5</v>
      </c>
      <c r="I4940" s="23" t="str">
        <f t="shared" si="386"/>
        <v>Match</v>
      </c>
      <c r="J4940" s="23" t="str">
        <f t="shared" si="387"/>
        <v>Match</v>
      </c>
      <c r="K4940" s="24">
        <f t="shared" si="388"/>
        <v>1.89</v>
      </c>
      <c r="L4940" s="24">
        <f t="shared" si="389"/>
        <v>0</v>
      </c>
    </row>
    <row r="4941" spans="1:12" ht="15" customHeight="1" x14ac:dyDescent="0.3">
      <c r="A4941" s="23" t="s">
        <v>18315</v>
      </c>
      <c r="B4941" s="23" t="s">
        <v>75</v>
      </c>
      <c r="C4941" s="39">
        <v>5347</v>
      </c>
      <c r="D4941" s="24">
        <v>16.04</v>
      </c>
      <c r="E4941" s="24">
        <v>2.89</v>
      </c>
      <c r="F4941" s="23">
        <f>COUNTIFS(mdr_rate_cleaned!$A$2:$A$10,B4941,mdr_rate_cleaned!$B$2:$B$10,"&lt;"&amp;C4941,mdr_rate_cleaned!$F$2:$F$10,"&gt;="&amp;C4941)</f>
        <v>1</v>
      </c>
      <c r="G4941" s="40">
        <f>SUMIFS(mdr_rate_cleaned!$G$2:$G$10,mdr_rate_cleaned!$A$2:$A$10,B4941,mdr_rate_cleaned!$B$2:$B$10,"&lt;"&amp;C4941,mdr_rate_cleaned!$F$2:$F$10,"&gt;="&amp;C4941)</f>
        <v>3.0000000000000001E-3</v>
      </c>
      <c r="H4941" s="24">
        <f t="shared" si="385"/>
        <v>16.04</v>
      </c>
      <c r="I4941" s="23" t="str">
        <f t="shared" si="386"/>
        <v>Match</v>
      </c>
      <c r="J4941" s="23" t="str">
        <f t="shared" si="387"/>
        <v>Match</v>
      </c>
      <c r="K4941" s="24">
        <f t="shared" si="388"/>
        <v>2.89</v>
      </c>
      <c r="L4941" s="24">
        <f t="shared" si="389"/>
        <v>0</v>
      </c>
    </row>
    <row r="4942" spans="1:12" ht="15" customHeight="1" x14ac:dyDescent="0.3">
      <c r="A4942" s="23" t="s">
        <v>18317</v>
      </c>
      <c r="B4942" s="23" t="s">
        <v>75</v>
      </c>
      <c r="C4942" s="39">
        <v>7999</v>
      </c>
      <c r="D4942" s="24">
        <v>24</v>
      </c>
      <c r="E4942" s="24">
        <v>4.32</v>
      </c>
      <c r="F4942" s="23">
        <f>COUNTIFS(mdr_rate_cleaned!$A$2:$A$10,B4942,mdr_rate_cleaned!$B$2:$B$10,"&lt;"&amp;C4942,mdr_rate_cleaned!$F$2:$F$10,"&gt;="&amp;C4942)</f>
        <v>1</v>
      </c>
      <c r="G4942" s="40">
        <f>SUMIFS(mdr_rate_cleaned!$G$2:$G$10,mdr_rate_cleaned!$A$2:$A$10,B4942,mdr_rate_cleaned!$B$2:$B$10,"&lt;"&amp;C4942,mdr_rate_cleaned!$F$2:$F$10,"&gt;="&amp;C4942)</f>
        <v>3.0000000000000001E-3</v>
      </c>
      <c r="H4942" s="24">
        <f t="shared" si="385"/>
        <v>24</v>
      </c>
      <c r="I4942" s="23" t="str">
        <f t="shared" si="386"/>
        <v>Match</v>
      </c>
      <c r="J4942" s="23" t="str">
        <f t="shared" si="387"/>
        <v>Match</v>
      </c>
      <c r="K4942" s="24">
        <f t="shared" si="388"/>
        <v>4.32</v>
      </c>
      <c r="L4942" s="24">
        <f t="shared" si="389"/>
        <v>0</v>
      </c>
    </row>
    <row r="4943" spans="1:12" ht="15" customHeight="1" x14ac:dyDescent="0.3">
      <c r="A4943" s="23" t="s">
        <v>18318</v>
      </c>
      <c r="B4943" s="23" t="s">
        <v>79</v>
      </c>
      <c r="C4943" s="39">
        <v>1499</v>
      </c>
      <c r="D4943" s="24">
        <v>26.98</v>
      </c>
      <c r="E4943" s="24">
        <v>4.8600000000000003</v>
      </c>
      <c r="F4943" s="23">
        <f>COUNTIFS(mdr_rate_cleaned!$A$2:$A$10,B4943,mdr_rate_cleaned!$B$2:$B$10,"&lt;"&amp;C4943,mdr_rate_cleaned!$F$2:$F$10,"&gt;="&amp;C4943)</f>
        <v>1</v>
      </c>
      <c r="G4943" s="40">
        <f>SUMIFS(mdr_rate_cleaned!$G$2:$G$10,mdr_rate_cleaned!$A$2:$A$10,B4943,mdr_rate_cleaned!$B$2:$B$10,"&lt;"&amp;C4943,mdr_rate_cleaned!$F$2:$F$10,"&gt;="&amp;C4943)</f>
        <v>1.8000000000000002E-2</v>
      </c>
      <c r="H4943" s="24">
        <f t="shared" si="385"/>
        <v>26.98</v>
      </c>
      <c r="I4943" s="23" t="str">
        <f t="shared" si="386"/>
        <v>Match</v>
      </c>
      <c r="J4943" s="23" t="str">
        <f t="shared" si="387"/>
        <v>Match</v>
      </c>
      <c r="K4943" s="24">
        <f t="shared" si="388"/>
        <v>4.8600000000000003</v>
      </c>
      <c r="L4943" s="24">
        <f t="shared" si="389"/>
        <v>0</v>
      </c>
    </row>
    <row r="4944" spans="1:12" ht="15" customHeight="1" x14ac:dyDescent="0.3">
      <c r="A4944" s="23" t="s">
        <v>18319</v>
      </c>
      <c r="B4944" s="23" t="s">
        <v>81</v>
      </c>
      <c r="C4944" s="39">
        <v>2598</v>
      </c>
      <c r="D4944" s="24">
        <v>31.18</v>
      </c>
      <c r="E4944" s="24">
        <v>5.61</v>
      </c>
      <c r="F4944" s="23">
        <f>COUNTIFS(mdr_rate_cleaned!$A$2:$A$10,B4944,mdr_rate_cleaned!$B$2:$B$10,"&lt;"&amp;C4944,mdr_rate_cleaned!$F$2:$F$10,"&gt;="&amp;C4944)</f>
        <v>1</v>
      </c>
      <c r="G4944" s="40">
        <f>SUMIFS(mdr_rate_cleaned!$G$2:$G$10,mdr_rate_cleaned!$A$2:$A$10,B4944,mdr_rate_cleaned!$B$2:$B$10,"&lt;"&amp;C4944,mdr_rate_cleaned!$F$2:$F$10,"&gt;="&amp;C4944)</f>
        <v>1.2E-2</v>
      </c>
      <c r="H4944" s="24">
        <f t="shared" si="385"/>
        <v>31.18</v>
      </c>
      <c r="I4944" s="23" t="str">
        <f t="shared" si="386"/>
        <v>Match</v>
      </c>
      <c r="J4944" s="23" t="str">
        <f t="shared" si="387"/>
        <v>Match</v>
      </c>
      <c r="K4944" s="24">
        <f t="shared" si="388"/>
        <v>5.61</v>
      </c>
      <c r="L4944" s="24">
        <f t="shared" si="389"/>
        <v>0</v>
      </c>
    </row>
    <row r="4945" spans="1:12" ht="15" customHeight="1" x14ac:dyDescent="0.3">
      <c r="A4945" s="23" t="s">
        <v>18320</v>
      </c>
      <c r="B4945" s="23" t="s">
        <v>79</v>
      </c>
      <c r="C4945" s="39">
        <v>6597</v>
      </c>
      <c r="D4945" s="24">
        <v>105.55</v>
      </c>
      <c r="E4945" s="24">
        <v>19</v>
      </c>
      <c r="F4945" s="23">
        <f>COUNTIFS(mdr_rate_cleaned!$A$2:$A$10,B4945,mdr_rate_cleaned!$B$2:$B$10,"&lt;"&amp;C4945,mdr_rate_cleaned!$F$2:$F$10,"&gt;="&amp;C4945)</f>
        <v>1</v>
      </c>
      <c r="G4945" s="40">
        <f>SUMIFS(mdr_rate_cleaned!$G$2:$G$10,mdr_rate_cleaned!$A$2:$A$10,B4945,mdr_rate_cleaned!$B$2:$B$10,"&lt;"&amp;C4945,mdr_rate_cleaned!$F$2:$F$10,"&gt;="&amp;C4945)</f>
        <v>1.6E-2</v>
      </c>
      <c r="H4945" s="24">
        <f t="shared" si="385"/>
        <v>105.55</v>
      </c>
      <c r="I4945" s="23" t="str">
        <f t="shared" si="386"/>
        <v>Match</v>
      </c>
      <c r="J4945" s="23" t="str">
        <f t="shared" si="387"/>
        <v>Match</v>
      </c>
      <c r="K4945" s="24">
        <f t="shared" si="388"/>
        <v>19</v>
      </c>
      <c r="L4945" s="24">
        <f t="shared" si="389"/>
        <v>0</v>
      </c>
    </row>
    <row r="4946" spans="1:12" ht="15" customHeight="1" x14ac:dyDescent="0.3">
      <c r="A4946" s="23" t="s">
        <v>18322</v>
      </c>
      <c r="B4946" s="23" t="s">
        <v>81</v>
      </c>
      <c r="C4946" s="39">
        <v>5298</v>
      </c>
      <c r="D4946" s="24">
        <v>63.58</v>
      </c>
      <c r="E4946" s="24">
        <v>11.44</v>
      </c>
      <c r="F4946" s="23">
        <f>COUNTIFS(mdr_rate_cleaned!$A$2:$A$10,B4946,mdr_rate_cleaned!$B$2:$B$10,"&lt;"&amp;C4946,mdr_rate_cleaned!$F$2:$F$10,"&gt;="&amp;C4946)</f>
        <v>1</v>
      </c>
      <c r="G4946" s="40">
        <f>SUMIFS(mdr_rate_cleaned!$G$2:$G$10,mdr_rate_cleaned!$A$2:$A$10,B4946,mdr_rate_cleaned!$B$2:$B$10,"&lt;"&amp;C4946,mdr_rate_cleaned!$F$2:$F$10,"&gt;="&amp;C4946)</f>
        <v>1.2E-2</v>
      </c>
      <c r="H4946" s="24">
        <f t="shared" si="385"/>
        <v>63.58</v>
      </c>
      <c r="I4946" s="23" t="str">
        <f t="shared" si="386"/>
        <v>Match</v>
      </c>
      <c r="J4946" s="23" t="str">
        <f t="shared" si="387"/>
        <v>Match</v>
      </c>
      <c r="K4946" s="24">
        <f t="shared" si="388"/>
        <v>11.44</v>
      </c>
      <c r="L4946" s="24">
        <f t="shared" si="389"/>
        <v>0</v>
      </c>
    </row>
    <row r="4947" spans="1:12" ht="15" customHeight="1" x14ac:dyDescent="0.3">
      <c r="A4947" s="23" t="s">
        <v>18324</v>
      </c>
      <c r="B4947" s="23" t="s">
        <v>79</v>
      </c>
      <c r="C4947" s="39">
        <v>4998</v>
      </c>
      <c r="D4947" s="24">
        <v>79.97</v>
      </c>
      <c r="E4947" s="24">
        <v>14.39</v>
      </c>
      <c r="F4947" s="23">
        <f>COUNTIFS(mdr_rate_cleaned!$A$2:$A$10,B4947,mdr_rate_cleaned!$B$2:$B$10,"&lt;"&amp;C4947,mdr_rate_cleaned!$F$2:$F$10,"&gt;="&amp;C4947)</f>
        <v>1</v>
      </c>
      <c r="G4947" s="40">
        <f>SUMIFS(mdr_rate_cleaned!$G$2:$G$10,mdr_rate_cleaned!$A$2:$A$10,B4947,mdr_rate_cleaned!$B$2:$B$10,"&lt;"&amp;C4947,mdr_rate_cleaned!$F$2:$F$10,"&gt;="&amp;C4947)</f>
        <v>1.6E-2</v>
      </c>
      <c r="H4947" s="24">
        <f t="shared" si="385"/>
        <v>79.97</v>
      </c>
      <c r="I4947" s="23" t="str">
        <f t="shared" si="386"/>
        <v>Match</v>
      </c>
      <c r="J4947" s="23" t="str">
        <f t="shared" si="387"/>
        <v>Match</v>
      </c>
      <c r="K4947" s="24">
        <f t="shared" si="388"/>
        <v>14.39</v>
      </c>
      <c r="L4947" s="24">
        <f t="shared" si="389"/>
        <v>0</v>
      </c>
    </row>
    <row r="4948" spans="1:12" ht="15" customHeight="1" x14ac:dyDescent="0.3">
      <c r="A4948" s="23" t="s">
        <v>18325</v>
      </c>
      <c r="B4948" s="23" t="s">
        <v>75</v>
      </c>
      <c r="C4948" s="39">
        <v>2998</v>
      </c>
      <c r="D4948" s="24">
        <v>8.99</v>
      </c>
      <c r="E4948" s="24">
        <v>1.62</v>
      </c>
      <c r="F4948" s="23">
        <f>COUNTIFS(mdr_rate_cleaned!$A$2:$A$10,B4948,mdr_rate_cleaned!$B$2:$B$10,"&lt;"&amp;C4948,mdr_rate_cleaned!$F$2:$F$10,"&gt;="&amp;C4948)</f>
        <v>1</v>
      </c>
      <c r="G4948" s="40">
        <f>SUMIFS(mdr_rate_cleaned!$G$2:$G$10,mdr_rate_cleaned!$A$2:$A$10,B4948,mdr_rate_cleaned!$B$2:$B$10,"&lt;"&amp;C4948,mdr_rate_cleaned!$F$2:$F$10,"&gt;="&amp;C4948)</f>
        <v>3.0000000000000001E-3</v>
      </c>
      <c r="H4948" s="24">
        <f t="shared" si="385"/>
        <v>8.99</v>
      </c>
      <c r="I4948" s="23" t="str">
        <f t="shared" si="386"/>
        <v>Match</v>
      </c>
      <c r="J4948" s="23" t="str">
        <f t="shared" si="387"/>
        <v>Match</v>
      </c>
      <c r="K4948" s="24">
        <f t="shared" si="388"/>
        <v>1.62</v>
      </c>
      <c r="L4948" s="24">
        <f t="shared" si="389"/>
        <v>0</v>
      </c>
    </row>
    <row r="4949" spans="1:12" ht="15" customHeight="1" x14ac:dyDescent="0.3">
      <c r="A4949" s="23" t="s">
        <v>18327</v>
      </c>
      <c r="B4949" s="23" t="s">
        <v>75</v>
      </c>
      <c r="C4949" s="39">
        <v>1398</v>
      </c>
      <c r="D4949" s="24">
        <v>0</v>
      </c>
      <c r="E4949" s="24">
        <v>0</v>
      </c>
      <c r="F4949" s="23">
        <f>COUNTIFS(mdr_rate_cleaned!$A$2:$A$10,B4949,mdr_rate_cleaned!$B$2:$B$10,"&lt;"&amp;C4949,mdr_rate_cleaned!$F$2:$F$10,"&gt;="&amp;C4949)</f>
        <v>1</v>
      </c>
      <c r="G4949" s="40">
        <f>SUMIFS(mdr_rate_cleaned!$G$2:$G$10,mdr_rate_cleaned!$A$2:$A$10,B4949,mdr_rate_cleaned!$B$2:$B$10,"&lt;"&amp;C4949,mdr_rate_cleaned!$F$2:$F$10,"&gt;="&amp;C4949)</f>
        <v>0</v>
      </c>
      <c r="H4949" s="24">
        <f t="shared" si="385"/>
        <v>0</v>
      </c>
      <c r="I4949" s="23" t="str">
        <f t="shared" si="386"/>
        <v>Match</v>
      </c>
      <c r="J4949" s="23" t="str">
        <f t="shared" si="387"/>
        <v>Match</v>
      </c>
      <c r="K4949" s="24">
        <f t="shared" si="388"/>
        <v>0</v>
      </c>
      <c r="L4949" s="24">
        <f t="shared" si="389"/>
        <v>0</v>
      </c>
    </row>
    <row r="4950" spans="1:12" ht="15" customHeight="1" x14ac:dyDescent="0.3">
      <c r="A4950" s="23" t="s">
        <v>18329</v>
      </c>
      <c r="B4950" s="23" t="s">
        <v>75</v>
      </c>
      <c r="C4950" s="39">
        <v>8798</v>
      </c>
      <c r="D4950" s="24">
        <v>26.39</v>
      </c>
      <c r="E4950" s="24">
        <v>4.75</v>
      </c>
      <c r="F4950" s="23">
        <f>COUNTIFS(mdr_rate_cleaned!$A$2:$A$10,B4950,mdr_rate_cleaned!$B$2:$B$10,"&lt;"&amp;C4950,mdr_rate_cleaned!$F$2:$F$10,"&gt;="&amp;C4950)</f>
        <v>1</v>
      </c>
      <c r="G4950" s="40">
        <f>SUMIFS(mdr_rate_cleaned!$G$2:$G$10,mdr_rate_cleaned!$A$2:$A$10,B4950,mdr_rate_cleaned!$B$2:$B$10,"&lt;"&amp;C4950,mdr_rate_cleaned!$F$2:$F$10,"&gt;="&amp;C4950)</f>
        <v>3.0000000000000001E-3</v>
      </c>
      <c r="H4950" s="24">
        <f t="shared" si="385"/>
        <v>26.39</v>
      </c>
      <c r="I4950" s="23" t="str">
        <f t="shared" si="386"/>
        <v>Match</v>
      </c>
      <c r="J4950" s="23" t="str">
        <f t="shared" si="387"/>
        <v>Match</v>
      </c>
      <c r="K4950" s="24">
        <f t="shared" si="388"/>
        <v>4.75</v>
      </c>
      <c r="L4950" s="24">
        <f t="shared" si="389"/>
        <v>0</v>
      </c>
    </row>
    <row r="4951" spans="1:12" ht="15" customHeight="1" x14ac:dyDescent="0.3">
      <c r="A4951" s="23" t="s">
        <v>18330</v>
      </c>
      <c r="B4951" s="23" t="s">
        <v>79</v>
      </c>
      <c r="C4951" s="39">
        <v>8297</v>
      </c>
      <c r="D4951" s="24">
        <v>132.75</v>
      </c>
      <c r="E4951" s="24">
        <v>23.9</v>
      </c>
      <c r="F4951" s="23">
        <f>COUNTIFS(mdr_rate_cleaned!$A$2:$A$10,B4951,mdr_rate_cleaned!$B$2:$B$10,"&lt;"&amp;C4951,mdr_rate_cleaned!$F$2:$F$10,"&gt;="&amp;C4951)</f>
        <v>1</v>
      </c>
      <c r="G4951" s="40">
        <f>SUMIFS(mdr_rate_cleaned!$G$2:$G$10,mdr_rate_cleaned!$A$2:$A$10,B4951,mdr_rate_cleaned!$B$2:$B$10,"&lt;"&amp;C4951,mdr_rate_cleaned!$F$2:$F$10,"&gt;="&amp;C4951)</f>
        <v>1.6E-2</v>
      </c>
      <c r="H4951" s="24">
        <f t="shared" si="385"/>
        <v>132.75</v>
      </c>
      <c r="I4951" s="23" t="str">
        <f t="shared" si="386"/>
        <v>Match</v>
      </c>
      <c r="J4951" s="23" t="str">
        <f t="shared" si="387"/>
        <v>Match</v>
      </c>
      <c r="K4951" s="24">
        <f t="shared" si="388"/>
        <v>23.9</v>
      </c>
      <c r="L4951" s="24">
        <f t="shared" si="389"/>
        <v>0</v>
      </c>
    </row>
    <row r="4952" spans="1:12" ht="15" customHeight="1" x14ac:dyDescent="0.3">
      <c r="A4952" s="23" t="s">
        <v>18332</v>
      </c>
      <c r="B4952" s="23" t="s">
        <v>75</v>
      </c>
      <c r="C4952" s="39">
        <v>7999</v>
      </c>
      <c r="D4952" s="24">
        <v>24</v>
      </c>
      <c r="E4952" s="24">
        <v>4.32</v>
      </c>
      <c r="F4952" s="23">
        <f>COUNTIFS(mdr_rate_cleaned!$A$2:$A$10,B4952,mdr_rate_cleaned!$B$2:$B$10,"&lt;"&amp;C4952,mdr_rate_cleaned!$F$2:$F$10,"&gt;="&amp;C4952)</f>
        <v>1</v>
      </c>
      <c r="G4952" s="40">
        <f>SUMIFS(mdr_rate_cleaned!$G$2:$G$10,mdr_rate_cleaned!$A$2:$A$10,B4952,mdr_rate_cleaned!$B$2:$B$10,"&lt;"&amp;C4952,mdr_rate_cleaned!$F$2:$F$10,"&gt;="&amp;C4952)</f>
        <v>3.0000000000000001E-3</v>
      </c>
      <c r="H4952" s="24">
        <f t="shared" si="385"/>
        <v>24</v>
      </c>
      <c r="I4952" s="23" t="str">
        <f t="shared" si="386"/>
        <v>Match</v>
      </c>
      <c r="J4952" s="23" t="str">
        <f t="shared" si="387"/>
        <v>Match</v>
      </c>
      <c r="K4952" s="24">
        <f t="shared" si="388"/>
        <v>4.32</v>
      </c>
      <c r="L4952" s="24">
        <f t="shared" si="389"/>
        <v>0</v>
      </c>
    </row>
    <row r="4953" spans="1:12" ht="15" customHeight="1" x14ac:dyDescent="0.3">
      <c r="A4953" s="23" t="s">
        <v>18333</v>
      </c>
      <c r="B4953" s="23" t="s">
        <v>75</v>
      </c>
      <c r="C4953" s="39">
        <v>9497</v>
      </c>
      <c r="D4953" s="24">
        <v>28.49</v>
      </c>
      <c r="E4953" s="24">
        <v>5.13</v>
      </c>
      <c r="F4953" s="23">
        <f>COUNTIFS(mdr_rate_cleaned!$A$2:$A$10,B4953,mdr_rate_cleaned!$B$2:$B$10,"&lt;"&amp;C4953,mdr_rate_cleaned!$F$2:$F$10,"&gt;="&amp;C4953)</f>
        <v>1</v>
      </c>
      <c r="G4953" s="40">
        <f>SUMIFS(mdr_rate_cleaned!$G$2:$G$10,mdr_rate_cleaned!$A$2:$A$10,B4953,mdr_rate_cleaned!$B$2:$B$10,"&lt;"&amp;C4953,mdr_rate_cleaned!$F$2:$F$10,"&gt;="&amp;C4953)</f>
        <v>3.0000000000000001E-3</v>
      </c>
      <c r="H4953" s="24">
        <f t="shared" si="385"/>
        <v>28.49</v>
      </c>
      <c r="I4953" s="23" t="str">
        <f t="shared" si="386"/>
        <v>Match</v>
      </c>
      <c r="J4953" s="23" t="str">
        <f t="shared" si="387"/>
        <v>Match</v>
      </c>
      <c r="K4953" s="24">
        <f t="shared" si="388"/>
        <v>5.13</v>
      </c>
      <c r="L4953" s="24">
        <f t="shared" si="389"/>
        <v>0</v>
      </c>
    </row>
    <row r="4954" spans="1:12" ht="15" customHeight="1" x14ac:dyDescent="0.3">
      <c r="A4954" s="23" t="s">
        <v>18334</v>
      </c>
      <c r="B4954" s="23" t="s">
        <v>75</v>
      </c>
      <c r="C4954" s="39">
        <v>599</v>
      </c>
      <c r="D4954" s="24">
        <v>0</v>
      </c>
      <c r="E4954" s="24">
        <v>0</v>
      </c>
      <c r="F4954" s="23">
        <f>COUNTIFS(mdr_rate_cleaned!$A$2:$A$10,B4954,mdr_rate_cleaned!$B$2:$B$10,"&lt;"&amp;C4954,mdr_rate_cleaned!$F$2:$F$10,"&gt;="&amp;C4954)</f>
        <v>1</v>
      </c>
      <c r="G4954" s="40">
        <f>SUMIFS(mdr_rate_cleaned!$G$2:$G$10,mdr_rate_cleaned!$A$2:$A$10,B4954,mdr_rate_cleaned!$B$2:$B$10,"&lt;"&amp;C4954,mdr_rate_cleaned!$F$2:$F$10,"&gt;="&amp;C4954)</f>
        <v>0</v>
      </c>
      <c r="H4954" s="24">
        <f t="shared" si="385"/>
        <v>0</v>
      </c>
      <c r="I4954" s="23" t="str">
        <f t="shared" si="386"/>
        <v>Match</v>
      </c>
      <c r="J4954" s="23" t="str">
        <f t="shared" si="387"/>
        <v>Match</v>
      </c>
      <c r="K4954" s="24">
        <f t="shared" si="388"/>
        <v>0</v>
      </c>
      <c r="L4954" s="24">
        <f t="shared" si="389"/>
        <v>0</v>
      </c>
    </row>
    <row r="4955" spans="1:12" ht="15" customHeight="1" x14ac:dyDescent="0.3">
      <c r="A4955" s="23" t="s">
        <v>18335</v>
      </c>
      <c r="B4955" s="23" t="s">
        <v>79</v>
      </c>
      <c r="C4955" s="39">
        <v>5998</v>
      </c>
      <c r="D4955" s="24">
        <v>95.97</v>
      </c>
      <c r="E4955" s="24">
        <v>17.27</v>
      </c>
      <c r="F4955" s="23">
        <f>COUNTIFS(mdr_rate_cleaned!$A$2:$A$10,B4955,mdr_rate_cleaned!$B$2:$B$10,"&lt;"&amp;C4955,mdr_rate_cleaned!$F$2:$F$10,"&gt;="&amp;C4955)</f>
        <v>1</v>
      </c>
      <c r="G4955" s="40">
        <f>SUMIFS(mdr_rate_cleaned!$G$2:$G$10,mdr_rate_cleaned!$A$2:$A$10,B4955,mdr_rate_cleaned!$B$2:$B$10,"&lt;"&amp;C4955,mdr_rate_cleaned!$F$2:$F$10,"&gt;="&amp;C4955)</f>
        <v>1.6E-2</v>
      </c>
      <c r="H4955" s="24">
        <f t="shared" si="385"/>
        <v>95.97</v>
      </c>
      <c r="I4955" s="23" t="str">
        <f t="shared" si="386"/>
        <v>Match</v>
      </c>
      <c r="J4955" s="23" t="str">
        <f t="shared" si="387"/>
        <v>Match</v>
      </c>
      <c r="K4955" s="24">
        <f t="shared" si="388"/>
        <v>17.27</v>
      </c>
      <c r="L4955" s="24">
        <f t="shared" si="389"/>
        <v>0</v>
      </c>
    </row>
    <row r="4956" spans="1:12" ht="15" customHeight="1" x14ac:dyDescent="0.3">
      <c r="A4956" s="23" t="s">
        <v>18336</v>
      </c>
      <c r="B4956" s="23" t="s">
        <v>79</v>
      </c>
      <c r="C4956" s="39">
        <v>12297</v>
      </c>
      <c r="D4956" s="24">
        <v>196.75</v>
      </c>
      <c r="E4956" s="24">
        <v>35.42</v>
      </c>
      <c r="F4956" s="23">
        <f>COUNTIFS(mdr_rate_cleaned!$A$2:$A$10,B4956,mdr_rate_cleaned!$B$2:$B$10,"&lt;"&amp;C4956,mdr_rate_cleaned!$F$2:$F$10,"&gt;="&amp;C4956)</f>
        <v>1</v>
      </c>
      <c r="G4956" s="40">
        <f>SUMIFS(mdr_rate_cleaned!$G$2:$G$10,mdr_rate_cleaned!$A$2:$A$10,B4956,mdr_rate_cleaned!$B$2:$B$10,"&lt;"&amp;C4956,mdr_rate_cleaned!$F$2:$F$10,"&gt;="&amp;C4956)</f>
        <v>1.6E-2</v>
      </c>
      <c r="H4956" s="24">
        <f t="shared" si="385"/>
        <v>196.75</v>
      </c>
      <c r="I4956" s="23" t="str">
        <f t="shared" si="386"/>
        <v>Match</v>
      </c>
      <c r="J4956" s="23" t="str">
        <f t="shared" si="387"/>
        <v>Match</v>
      </c>
      <c r="K4956" s="24">
        <f t="shared" si="388"/>
        <v>35.42</v>
      </c>
      <c r="L4956" s="24">
        <f t="shared" si="389"/>
        <v>0</v>
      </c>
    </row>
    <row r="4957" spans="1:12" ht="15" customHeight="1" x14ac:dyDescent="0.3">
      <c r="A4957" s="23" t="s">
        <v>18338</v>
      </c>
      <c r="B4957" s="23" t="s">
        <v>75</v>
      </c>
      <c r="C4957" s="39">
        <v>6797</v>
      </c>
      <c r="D4957" s="24">
        <v>20.39</v>
      </c>
      <c r="E4957" s="24">
        <v>3.67</v>
      </c>
      <c r="F4957" s="23">
        <f>COUNTIFS(mdr_rate_cleaned!$A$2:$A$10,B4957,mdr_rate_cleaned!$B$2:$B$10,"&lt;"&amp;C4957,mdr_rate_cleaned!$F$2:$F$10,"&gt;="&amp;C4957)</f>
        <v>1</v>
      </c>
      <c r="G4957" s="40">
        <f>SUMIFS(mdr_rate_cleaned!$G$2:$G$10,mdr_rate_cleaned!$A$2:$A$10,B4957,mdr_rate_cleaned!$B$2:$B$10,"&lt;"&amp;C4957,mdr_rate_cleaned!$F$2:$F$10,"&gt;="&amp;C4957)</f>
        <v>3.0000000000000001E-3</v>
      </c>
      <c r="H4957" s="24">
        <f t="shared" si="385"/>
        <v>20.39</v>
      </c>
      <c r="I4957" s="23" t="str">
        <f t="shared" si="386"/>
        <v>Match</v>
      </c>
      <c r="J4957" s="23" t="str">
        <f t="shared" si="387"/>
        <v>Match</v>
      </c>
      <c r="K4957" s="24">
        <f t="shared" si="388"/>
        <v>3.67</v>
      </c>
      <c r="L4957" s="24">
        <f t="shared" si="389"/>
        <v>0</v>
      </c>
    </row>
    <row r="4958" spans="1:12" ht="15" customHeight="1" x14ac:dyDescent="0.3">
      <c r="A4958" s="23" t="s">
        <v>18339</v>
      </c>
      <c r="B4958" s="23" t="s">
        <v>75</v>
      </c>
      <c r="C4958" s="39">
        <v>1148</v>
      </c>
      <c r="D4958" s="24">
        <v>0</v>
      </c>
      <c r="E4958" s="24">
        <v>0</v>
      </c>
      <c r="F4958" s="23">
        <f>COUNTIFS(mdr_rate_cleaned!$A$2:$A$10,B4958,mdr_rate_cleaned!$B$2:$B$10,"&lt;"&amp;C4958,mdr_rate_cleaned!$F$2:$F$10,"&gt;="&amp;C4958)</f>
        <v>1</v>
      </c>
      <c r="G4958" s="40">
        <f>SUMIFS(mdr_rate_cleaned!$G$2:$G$10,mdr_rate_cleaned!$A$2:$A$10,B4958,mdr_rate_cleaned!$B$2:$B$10,"&lt;"&amp;C4958,mdr_rate_cleaned!$F$2:$F$10,"&gt;="&amp;C4958)</f>
        <v>0</v>
      </c>
      <c r="H4958" s="24">
        <f t="shared" si="385"/>
        <v>0</v>
      </c>
      <c r="I4958" s="23" t="str">
        <f t="shared" si="386"/>
        <v>Match</v>
      </c>
      <c r="J4958" s="23" t="str">
        <f t="shared" si="387"/>
        <v>Match</v>
      </c>
      <c r="K4958" s="24">
        <f t="shared" si="388"/>
        <v>0</v>
      </c>
      <c r="L4958" s="24">
        <f t="shared" si="389"/>
        <v>0</v>
      </c>
    </row>
    <row r="4959" spans="1:12" ht="15" customHeight="1" x14ac:dyDescent="0.3">
      <c r="A4959" s="23" t="s">
        <v>18340</v>
      </c>
      <c r="B4959" s="23" t="s">
        <v>75</v>
      </c>
      <c r="C4959" s="39">
        <v>3998</v>
      </c>
      <c r="D4959" s="24">
        <v>11.99</v>
      </c>
      <c r="E4959" s="24">
        <v>2.16</v>
      </c>
      <c r="F4959" s="23">
        <f>COUNTIFS(mdr_rate_cleaned!$A$2:$A$10,B4959,mdr_rate_cleaned!$B$2:$B$10,"&lt;"&amp;C4959,mdr_rate_cleaned!$F$2:$F$10,"&gt;="&amp;C4959)</f>
        <v>1</v>
      </c>
      <c r="G4959" s="40">
        <f>SUMIFS(mdr_rate_cleaned!$G$2:$G$10,mdr_rate_cleaned!$A$2:$A$10,B4959,mdr_rate_cleaned!$B$2:$B$10,"&lt;"&amp;C4959,mdr_rate_cleaned!$F$2:$F$10,"&gt;="&amp;C4959)</f>
        <v>3.0000000000000001E-3</v>
      </c>
      <c r="H4959" s="24">
        <f t="shared" si="385"/>
        <v>11.99</v>
      </c>
      <c r="I4959" s="23" t="str">
        <f t="shared" si="386"/>
        <v>Match</v>
      </c>
      <c r="J4959" s="23" t="str">
        <f t="shared" si="387"/>
        <v>Match</v>
      </c>
      <c r="K4959" s="24">
        <f t="shared" si="388"/>
        <v>2.16</v>
      </c>
      <c r="L4959" s="24">
        <f t="shared" si="389"/>
        <v>0</v>
      </c>
    </row>
    <row r="4960" spans="1:12" ht="15" customHeight="1" x14ac:dyDescent="0.3">
      <c r="A4960" s="23" t="s">
        <v>18342</v>
      </c>
      <c r="B4960" s="23" t="s">
        <v>79</v>
      </c>
      <c r="C4960" s="39">
        <v>7998</v>
      </c>
      <c r="D4960" s="24">
        <v>127.97</v>
      </c>
      <c r="E4960" s="24">
        <v>23.03</v>
      </c>
      <c r="F4960" s="23">
        <f>COUNTIFS(mdr_rate_cleaned!$A$2:$A$10,B4960,mdr_rate_cleaned!$B$2:$B$10,"&lt;"&amp;C4960,mdr_rate_cleaned!$F$2:$F$10,"&gt;="&amp;C4960)</f>
        <v>1</v>
      </c>
      <c r="G4960" s="40">
        <f>SUMIFS(mdr_rate_cleaned!$G$2:$G$10,mdr_rate_cleaned!$A$2:$A$10,B4960,mdr_rate_cleaned!$B$2:$B$10,"&lt;"&amp;C4960,mdr_rate_cleaned!$F$2:$F$10,"&gt;="&amp;C4960)</f>
        <v>1.6E-2</v>
      </c>
      <c r="H4960" s="24">
        <f t="shared" si="385"/>
        <v>127.97</v>
      </c>
      <c r="I4960" s="23" t="str">
        <f t="shared" si="386"/>
        <v>Match</v>
      </c>
      <c r="J4960" s="23" t="str">
        <f t="shared" si="387"/>
        <v>Match</v>
      </c>
      <c r="K4960" s="24">
        <f t="shared" si="388"/>
        <v>23.03</v>
      </c>
      <c r="L4960" s="24">
        <f t="shared" si="389"/>
        <v>0</v>
      </c>
    </row>
    <row r="4961" spans="1:12" ht="15" customHeight="1" x14ac:dyDescent="0.3">
      <c r="A4961" s="23" t="s">
        <v>18343</v>
      </c>
      <c r="B4961" s="23" t="s">
        <v>79</v>
      </c>
      <c r="C4961" s="39">
        <v>1299</v>
      </c>
      <c r="D4961" s="24">
        <v>23.38</v>
      </c>
      <c r="E4961" s="24">
        <v>4.21</v>
      </c>
      <c r="F4961" s="23">
        <f>COUNTIFS(mdr_rate_cleaned!$A$2:$A$10,B4961,mdr_rate_cleaned!$B$2:$B$10,"&lt;"&amp;C4961,mdr_rate_cleaned!$F$2:$F$10,"&gt;="&amp;C4961)</f>
        <v>1</v>
      </c>
      <c r="G4961" s="40">
        <f>SUMIFS(mdr_rate_cleaned!$G$2:$G$10,mdr_rate_cleaned!$A$2:$A$10,B4961,mdr_rate_cleaned!$B$2:$B$10,"&lt;"&amp;C4961,mdr_rate_cleaned!$F$2:$F$10,"&gt;="&amp;C4961)</f>
        <v>1.8000000000000002E-2</v>
      </c>
      <c r="H4961" s="24">
        <f t="shared" si="385"/>
        <v>23.38</v>
      </c>
      <c r="I4961" s="23" t="str">
        <f t="shared" si="386"/>
        <v>Match</v>
      </c>
      <c r="J4961" s="23" t="str">
        <f t="shared" si="387"/>
        <v>Match</v>
      </c>
      <c r="K4961" s="24">
        <f t="shared" si="388"/>
        <v>4.21</v>
      </c>
      <c r="L4961" s="24">
        <f t="shared" si="389"/>
        <v>0</v>
      </c>
    </row>
    <row r="4962" spans="1:12" ht="15" customHeight="1" x14ac:dyDescent="0.3">
      <c r="A4962" s="23" t="s">
        <v>18344</v>
      </c>
      <c r="B4962" s="23" t="s">
        <v>79</v>
      </c>
      <c r="C4962" s="39">
        <v>2798</v>
      </c>
      <c r="D4962" s="24">
        <v>44.77</v>
      </c>
      <c r="E4962" s="24">
        <v>8.06</v>
      </c>
      <c r="F4962" s="23">
        <f>COUNTIFS(mdr_rate_cleaned!$A$2:$A$10,B4962,mdr_rate_cleaned!$B$2:$B$10,"&lt;"&amp;C4962,mdr_rate_cleaned!$F$2:$F$10,"&gt;="&amp;C4962)</f>
        <v>1</v>
      </c>
      <c r="G4962" s="40">
        <f>SUMIFS(mdr_rate_cleaned!$G$2:$G$10,mdr_rate_cleaned!$A$2:$A$10,B4962,mdr_rate_cleaned!$B$2:$B$10,"&lt;"&amp;C4962,mdr_rate_cleaned!$F$2:$F$10,"&gt;="&amp;C4962)</f>
        <v>1.6E-2</v>
      </c>
      <c r="H4962" s="24">
        <f t="shared" si="385"/>
        <v>44.77</v>
      </c>
      <c r="I4962" s="23" t="str">
        <f t="shared" si="386"/>
        <v>Match</v>
      </c>
      <c r="J4962" s="23" t="str">
        <f t="shared" si="387"/>
        <v>Match</v>
      </c>
      <c r="K4962" s="24">
        <f t="shared" si="388"/>
        <v>8.06</v>
      </c>
      <c r="L4962" s="24">
        <f t="shared" si="389"/>
        <v>0</v>
      </c>
    </row>
    <row r="4963" spans="1:12" ht="15" customHeight="1" x14ac:dyDescent="0.3">
      <c r="A4963" s="23" t="s">
        <v>18345</v>
      </c>
      <c r="B4963" s="23" t="s">
        <v>75</v>
      </c>
      <c r="C4963" s="39">
        <v>4298</v>
      </c>
      <c r="D4963" s="24">
        <v>12.89</v>
      </c>
      <c r="E4963" s="24">
        <v>2.3199999999999998</v>
      </c>
      <c r="F4963" s="23">
        <f>COUNTIFS(mdr_rate_cleaned!$A$2:$A$10,B4963,mdr_rate_cleaned!$B$2:$B$10,"&lt;"&amp;C4963,mdr_rate_cleaned!$F$2:$F$10,"&gt;="&amp;C4963)</f>
        <v>1</v>
      </c>
      <c r="G4963" s="40">
        <f>SUMIFS(mdr_rate_cleaned!$G$2:$G$10,mdr_rate_cleaned!$A$2:$A$10,B4963,mdr_rate_cleaned!$B$2:$B$10,"&lt;"&amp;C4963,mdr_rate_cleaned!$F$2:$F$10,"&gt;="&amp;C4963)</f>
        <v>3.0000000000000001E-3</v>
      </c>
      <c r="H4963" s="24">
        <f t="shared" si="385"/>
        <v>12.89</v>
      </c>
      <c r="I4963" s="23" t="str">
        <f t="shared" si="386"/>
        <v>Match</v>
      </c>
      <c r="J4963" s="23" t="str">
        <f t="shared" si="387"/>
        <v>Match</v>
      </c>
      <c r="K4963" s="24">
        <f t="shared" si="388"/>
        <v>2.3199999999999998</v>
      </c>
      <c r="L4963" s="24">
        <f t="shared" si="389"/>
        <v>0</v>
      </c>
    </row>
    <row r="4964" spans="1:12" ht="15" customHeight="1" x14ac:dyDescent="0.3">
      <c r="A4964" s="23" t="s">
        <v>18346</v>
      </c>
      <c r="B4964" s="23" t="s">
        <v>81</v>
      </c>
      <c r="C4964" s="39">
        <v>4798</v>
      </c>
      <c r="D4964" s="24">
        <v>57.58</v>
      </c>
      <c r="E4964" s="24">
        <v>10.36</v>
      </c>
      <c r="F4964" s="23">
        <f>COUNTIFS(mdr_rate_cleaned!$A$2:$A$10,B4964,mdr_rate_cleaned!$B$2:$B$10,"&lt;"&amp;C4964,mdr_rate_cleaned!$F$2:$F$10,"&gt;="&amp;C4964)</f>
        <v>1</v>
      </c>
      <c r="G4964" s="40">
        <f>SUMIFS(mdr_rate_cleaned!$G$2:$G$10,mdr_rate_cleaned!$A$2:$A$10,B4964,mdr_rate_cleaned!$B$2:$B$10,"&lt;"&amp;C4964,mdr_rate_cleaned!$F$2:$F$10,"&gt;="&amp;C4964)</f>
        <v>1.2E-2</v>
      </c>
      <c r="H4964" s="24">
        <f t="shared" si="385"/>
        <v>57.58</v>
      </c>
      <c r="I4964" s="23" t="str">
        <f t="shared" si="386"/>
        <v>Match</v>
      </c>
      <c r="J4964" s="23" t="str">
        <f t="shared" si="387"/>
        <v>Match</v>
      </c>
      <c r="K4964" s="24">
        <f t="shared" si="388"/>
        <v>10.36</v>
      </c>
      <c r="L4964" s="24">
        <f t="shared" si="389"/>
        <v>0</v>
      </c>
    </row>
    <row r="4965" spans="1:12" ht="15" customHeight="1" x14ac:dyDescent="0.3">
      <c r="A4965" s="23" t="s">
        <v>18347</v>
      </c>
      <c r="B4965" s="23" t="s">
        <v>79</v>
      </c>
      <c r="C4965" s="39">
        <v>1799</v>
      </c>
      <c r="D4965" s="24">
        <v>32.380000000000003</v>
      </c>
      <c r="E4965" s="24">
        <v>5.83</v>
      </c>
      <c r="F4965" s="23">
        <f>COUNTIFS(mdr_rate_cleaned!$A$2:$A$10,B4965,mdr_rate_cleaned!$B$2:$B$10,"&lt;"&amp;C4965,mdr_rate_cleaned!$F$2:$F$10,"&gt;="&amp;C4965)</f>
        <v>1</v>
      </c>
      <c r="G4965" s="40">
        <f>SUMIFS(mdr_rate_cleaned!$G$2:$G$10,mdr_rate_cleaned!$A$2:$A$10,B4965,mdr_rate_cleaned!$B$2:$B$10,"&lt;"&amp;C4965,mdr_rate_cleaned!$F$2:$F$10,"&gt;="&amp;C4965)</f>
        <v>1.8000000000000002E-2</v>
      </c>
      <c r="H4965" s="24">
        <f t="shared" si="385"/>
        <v>32.380000000000003</v>
      </c>
      <c r="I4965" s="23" t="str">
        <f t="shared" si="386"/>
        <v>Match</v>
      </c>
      <c r="J4965" s="23" t="str">
        <f t="shared" si="387"/>
        <v>Match</v>
      </c>
      <c r="K4965" s="24">
        <f t="shared" si="388"/>
        <v>5.83</v>
      </c>
      <c r="L4965" s="24">
        <f t="shared" si="389"/>
        <v>0</v>
      </c>
    </row>
    <row r="4966" spans="1:12" ht="15" customHeight="1" x14ac:dyDescent="0.3">
      <c r="A4966" s="23" t="s">
        <v>18348</v>
      </c>
      <c r="B4966" s="23" t="s">
        <v>75</v>
      </c>
      <c r="C4966" s="39">
        <v>4999</v>
      </c>
      <c r="D4966" s="24">
        <v>15</v>
      </c>
      <c r="E4966" s="24">
        <v>2.7</v>
      </c>
      <c r="F4966" s="23">
        <f>COUNTIFS(mdr_rate_cleaned!$A$2:$A$10,B4966,mdr_rate_cleaned!$B$2:$B$10,"&lt;"&amp;C4966,mdr_rate_cleaned!$F$2:$F$10,"&gt;="&amp;C4966)</f>
        <v>1</v>
      </c>
      <c r="G4966" s="40">
        <f>SUMIFS(mdr_rate_cleaned!$G$2:$G$10,mdr_rate_cleaned!$A$2:$A$10,B4966,mdr_rate_cleaned!$B$2:$B$10,"&lt;"&amp;C4966,mdr_rate_cleaned!$F$2:$F$10,"&gt;="&amp;C4966)</f>
        <v>3.0000000000000001E-3</v>
      </c>
      <c r="H4966" s="24">
        <f t="shared" si="385"/>
        <v>15</v>
      </c>
      <c r="I4966" s="23" t="str">
        <f t="shared" si="386"/>
        <v>Match</v>
      </c>
      <c r="J4966" s="23" t="str">
        <f t="shared" si="387"/>
        <v>Match</v>
      </c>
      <c r="K4966" s="24">
        <f t="shared" si="388"/>
        <v>2.7</v>
      </c>
      <c r="L4966" s="24">
        <f t="shared" si="389"/>
        <v>0</v>
      </c>
    </row>
    <row r="4967" spans="1:12" ht="15" customHeight="1" x14ac:dyDescent="0.3">
      <c r="A4967" s="23" t="s">
        <v>18350</v>
      </c>
      <c r="B4967" s="23" t="s">
        <v>75</v>
      </c>
      <c r="C4967" s="39">
        <v>1499</v>
      </c>
      <c r="D4967" s="24">
        <v>0</v>
      </c>
      <c r="E4967" s="24">
        <v>0</v>
      </c>
      <c r="F4967" s="23">
        <f>COUNTIFS(mdr_rate_cleaned!$A$2:$A$10,B4967,mdr_rate_cleaned!$B$2:$B$10,"&lt;"&amp;C4967,mdr_rate_cleaned!$F$2:$F$10,"&gt;="&amp;C4967)</f>
        <v>1</v>
      </c>
      <c r="G4967" s="40">
        <f>SUMIFS(mdr_rate_cleaned!$G$2:$G$10,mdr_rate_cleaned!$A$2:$A$10,B4967,mdr_rate_cleaned!$B$2:$B$10,"&lt;"&amp;C4967,mdr_rate_cleaned!$F$2:$F$10,"&gt;="&amp;C4967)</f>
        <v>0</v>
      </c>
      <c r="H4967" s="24">
        <f t="shared" si="385"/>
        <v>0</v>
      </c>
      <c r="I4967" s="23" t="str">
        <f t="shared" si="386"/>
        <v>Match</v>
      </c>
      <c r="J4967" s="23" t="str">
        <f t="shared" si="387"/>
        <v>Match</v>
      </c>
      <c r="K4967" s="24">
        <f t="shared" si="388"/>
        <v>0</v>
      </c>
      <c r="L4967" s="24">
        <f t="shared" si="389"/>
        <v>0</v>
      </c>
    </row>
    <row r="4968" spans="1:12" ht="15" customHeight="1" x14ac:dyDescent="0.3">
      <c r="A4968" s="23" t="s">
        <v>18352</v>
      </c>
      <c r="B4968" s="23" t="s">
        <v>75</v>
      </c>
      <c r="C4968" s="39">
        <v>4999</v>
      </c>
      <c r="D4968" s="24">
        <v>15</v>
      </c>
      <c r="E4968" s="24">
        <v>2.7</v>
      </c>
      <c r="F4968" s="23">
        <f>COUNTIFS(mdr_rate_cleaned!$A$2:$A$10,B4968,mdr_rate_cleaned!$B$2:$B$10,"&lt;"&amp;C4968,mdr_rate_cleaned!$F$2:$F$10,"&gt;="&amp;C4968)</f>
        <v>1</v>
      </c>
      <c r="G4968" s="40">
        <f>SUMIFS(mdr_rate_cleaned!$G$2:$G$10,mdr_rate_cleaned!$A$2:$A$10,B4968,mdr_rate_cleaned!$B$2:$B$10,"&lt;"&amp;C4968,mdr_rate_cleaned!$F$2:$F$10,"&gt;="&amp;C4968)</f>
        <v>3.0000000000000001E-3</v>
      </c>
      <c r="H4968" s="24">
        <f t="shared" si="385"/>
        <v>15</v>
      </c>
      <c r="I4968" s="23" t="str">
        <f t="shared" si="386"/>
        <v>Match</v>
      </c>
      <c r="J4968" s="23" t="str">
        <f t="shared" si="387"/>
        <v>Match</v>
      </c>
      <c r="K4968" s="24">
        <f t="shared" si="388"/>
        <v>2.7</v>
      </c>
      <c r="L4968" s="24">
        <f t="shared" si="389"/>
        <v>0</v>
      </c>
    </row>
    <row r="4969" spans="1:12" ht="15" customHeight="1" x14ac:dyDescent="0.3">
      <c r="A4969" s="23" t="s">
        <v>18353</v>
      </c>
      <c r="B4969" s="23" t="s">
        <v>77</v>
      </c>
      <c r="C4969" s="39">
        <v>3499</v>
      </c>
      <c r="D4969" s="24">
        <v>59.48</v>
      </c>
      <c r="E4969" s="24">
        <v>10.71</v>
      </c>
      <c r="F4969" s="23">
        <f>COUNTIFS(mdr_rate_cleaned!$A$2:$A$10,B4969,mdr_rate_cleaned!$B$2:$B$10,"&lt;"&amp;C4969,mdr_rate_cleaned!$F$2:$F$10,"&gt;="&amp;C4969)</f>
        <v>1</v>
      </c>
      <c r="G4969" s="40">
        <f>SUMIFS(mdr_rate_cleaned!$G$2:$G$10,mdr_rate_cleaned!$A$2:$A$10,B4969,mdr_rate_cleaned!$B$2:$B$10,"&lt;"&amp;C4969,mdr_rate_cleaned!$F$2:$F$10,"&gt;="&amp;C4969)</f>
        <v>1.7000000000000001E-2</v>
      </c>
      <c r="H4969" s="24">
        <f t="shared" si="385"/>
        <v>59.48</v>
      </c>
      <c r="I4969" s="23" t="str">
        <f t="shared" si="386"/>
        <v>Match</v>
      </c>
      <c r="J4969" s="23" t="str">
        <f t="shared" si="387"/>
        <v>Match</v>
      </c>
      <c r="K4969" s="24">
        <f t="shared" si="388"/>
        <v>10.71</v>
      </c>
      <c r="L4969" s="24">
        <f t="shared" si="389"/>
        <v>0</v>
      </c>
    </row>
    <row r="4970" spans="1:12" ht="15" customHeight="1" x14ac:dyDescent="0.3">
      <c r="A4970" s="23" t="s">
        <v>18354</v>
      </c>
      <c r="B4970" s="23" t="s">
        <v>77</v>
      </c>
      <c r="C4970" s="39">
        <v>3598</v>
      </c>
      <c r="D4970" s="24">
        <v>61.17</v>
      </c>
      <c r="E4970" s="24">
        <v>11.01</v>
      </c>
      <c r="F4970" s="23">
        <f>COUNTIFS(mdr_rate_cleaned!$A$2:$A$10,B4970,mdr_rate_cleaned!$B$2:$B$10,"&lt;"&amp;C4970,mdr_rate_cleaned!$F$2:$F$10,"&gt;="&amp;C4970)</f>
        <v>1</v>
      </c>
      <c r="G4970" s="40">
        <f>SUMIFS(mdr_rate_cleaned!$G$2:$G$10,mdr_rate_cleaned!$A$2:$A$10,B4970,mdr_rate_cleaned!$B$2:$B$10,"&lt;"&amp;C4970,mdr_rate_cleaned!$F$2:$F$10,"&gt;="&amp;C4970)</f>
        <v>1.7000000000000001E-2</v>
      </c>
      <c r="H4970" s="24">
        <f t="shared" si="385"/>
        <v>61.17</v>
      </c>
      <c r="I4970" s="23" t="str">
        <f t="shared" si="386"/>
        <v>Match</v>
      </c>
      <c r="J4970" s="23" t="str">
        <f t="shared" si="387"/>
        <v>Match</v>
      </c>
      <c r="K4970" s="24">
        <f t="shared" si="388"/>
        <v>11.01</v>
      </c>
      <c r="L4970" s="24">
        <f t="shared" si="389"/>
        <v>0</v>
      </c>
    </row>
    <row r="4971" spans="1:12" ht="15" customHeight="1" x14ac:dyDescent="0.3">
      <c r="A4971" s="23" t="s">
        <v>18355</v>
      </c>
      <c r="B4971" s="23" t="s">
        <v>75</v>
      </c>
      <c r="C4971" s="39">
        <v>499</v>
      </c>
      <c r="D4971" s="24">
        <v>0</v>
      </c>
      <c r="E4971" s="24">
        <v>0</v>
      </c>
      <c r="F4971" s="23">
        <f>COUNTIFS(mdr_rate_cleaned!$A$2:$A$10,B4971,mdr_rate_cleaned!$B$2:$B$10,"&lt;"&amp;C4971,mdr_rate_cleaned!$F$2:$F$10,"&gt;="&amp;C4971)</f>
        <v>1</v>
      </c>
      <c r="G4971" s="40">
        <f>SUMIFS(mdr_rate_cleaned!$G$2:$G$10,mdr_rate_cleaned!$A$2:$A$10,B4971,mdr_rate_cleaned!$B$2:$B$10,"&lt;"&amp;C4971,mdr_rate_cleaned!$F$2:$F$10,"&gt;="&amp;C4971)</f>
        <v>0</v>
      </c>
      <c r="H4971" s="24">
        <f t="shared" si="385"/>
        <v>0</v>
      </c>
      <c r="I4971" s="23" t="str">
        <f t="shared" si="386"/>
        <v>Match</v>
      </c>
      <c r="J4971" s="23" t="str">
        <f t="shared" si="387"/>
        <v>Match</v>
      </c>
      <c r="K4971" s="24">
        <f t="shared" si="388"/>
        <v>0</v>
      </c>
      <c r="L4971" s="24">
        <f t="shared" si="389"/>
        <v>0</v>
      </c>
    </row>
    <row r="4972" spans="1:12" ht="15" customHeight="1" x14ac:dyDescent="0.3">
      <c r="A4972" s="23" t="s">
        <v>18357</v>
      </c>
      <c r="B4972" s="23" t="s">
        <v>75</v>
      </c>
      <c r="C4972" s="39">
        <v>6397</v>
      </c>
      <c r="D4972" s="24">
        <v>19.190000000000001</v>
      </c>
      <c r="E4972" s="24">
        <v>3.45</v>
      </c>
      <c r="F4972" s="23">
        <f>COUNTIFS(mdr_rate_cleaned!$A$2:$A$10,B4972,mdr_rate_cleaned!$B$2:$B$10,"&lt;"&amp;C4972,mdr_rate_cleaned!$F$2:$F$10,"&gt;="&amp;C4972)</f>
        <v>1</v>
      </c>
      <c r="G4972" s="40">
        <f>SUMIFS(mdr_rate_cleaned!$G$2:$G$10,mdr_rate_cleaned!$A$2:$A$10,B4972,mdr_rate_cleaned!$B$2:$B$10,"&lt;"&amp;C4972,mdr_rate_cleaned!$F$2:$F$10,"&gt;="&amp;C4972)</f>
        <v>3.0000000000000001E-3</v>
      </c>
      <c r="H4972" s="24">
        <f t="shared" si="385"/>
        <v>19.190000000000001</v>
      </c>
      <c r="I4972" s="23" t="str">
        <f t="shared" si="386"/>
        <v>Match</v>
      </c>
      <c r="J4972" s="23" t="str">
        <f t="shared" si="387"/>
        <v>Match</v>
      </c>
      <c r="K4972" s="24">
        <f t="shared" si="388"/>
        <v>3.45</v>
      </c>
      <c r="L4972" s="24">
        <f t="shared" si="389"/>
        <v>0</v>
      </c>
    </row>
    <row r="4973" spans="1:12" ht="15" customHeight="1" x14ac:dyDescent="0.3">
      <c r="A4973" s="23" t="s">
        <v>18358</v>
      </c>
      <c r="B4973" s="23" t="s">
        <v>75</v>
      </c>
      <c r="C4973" s="39">
        <v>7999</v>
      </c>
      <c r="D4973" s="24">
        <v>24</v>
      </c>
      <c r="E4973" s="24">
        <v>4.32</v>
      </c>
      <c r="F4973" s="23">
        <f>COUNTIFS(mdr_rate_cleaned!$A$2:$A$10,B4973,mdr_rate_cleaned!$B$2:$B$10,"&lt;"&amp;C4973,mdr_rate_cleaned!$F$2:$F$10,"&gt;="&amp;C4973)</f>
        <v>1</v>
      </c>
      <c r="G4973" s="40">
        <f>SUMIFS(mdr_rate_cleaned!$G$2:$G$10,mdr_rate_cleaned!$A$2:$A$10,B4973,mdr_rate_cleaned!$B$2:$B$10,"&lt;"&amp;C4973,mdr_rate_cleaned!$F$2:$F$10,"&gt;="&amp;C4973)</f>
        <v>3.0000000000000001E-3</v>
      </c>
      <c r="H4973" s="24">
        <f t="shared" si="385"/>
        <v>24</v>
      </c>
      <c r="I4973" s="23" t="str">
        <f t="shared" si="386"/>
        <v>Match</v>
      </c>
      <c r="J4973" s="23" t="str">
        <f t="shared" si="387"/>
        <v>Match</v>
      </c>
      <c r="K4973" s="24">
        <f t="shared" si="388"/>
        <v>4.32</v>
      </c>
      <c r="L4973" s="24">
        <f t="shared" si="389"/>
        <v>0</v>
      </c>
    </row>
    <row r="4974" spans="1:12" ht="15" customHeight="1" x14ac:dyDescent="0.3">
      <c r="A4974" s="23" t="s">
        <v>18359</v>
      </c>
      <c r="B4974" s="23" t="s">
        <v>77</v>
      </c>
      <c r="C4974" s="39">
        <v>12497</v>
      </c>
      <c r="D4974" s="24">
        <v>212.45</v>
      </c>
      <c r="E4974" s="24">
        <v>38.24</v>
      </c>
      <c r="F4974" s="23">
        <f>COUNTIFS(mdr_rate_cleaned!$A$2:$A$10,B4974,mdr_rate_cleaned!$B$2:$B$10,"&lt;"&amp;C4974,mdr_rate_cleaned!$F$2:$F$10,"&gt;="&amp;C4974)</f>
        <v>1</v>
      </c>
      <c r="G4974" s="40">
        <f>SUMIFS(mdr_rate_cleaned!$G$2:$G$10,mdr_rate_cleaned!$A$2:$A$10,B4974,mdr_rate_cleaned!$B$2:$B$10,"&lt;"&amp;C4974,mdr_rate_cleaned!$F$2:$F$10,"&gt;="&amp;C4974)</f>
        <v>1.7000000000000001E-2</v>
      </c>
      <c r="H4974" s="24">
        <f t="shared" si="385"/>
        <v>212.45</v>
      </c>
      <c r="I4974" s="23" t="str">
        <f t="shared" si="386"/>
        <v>Match</v>
      </c>
      <c r="J4974" s="23" t="str">
        <f t="shared" si="387"/>
        <v>Match</v>
      </c>
      <c r="K4974" s="24">
        <f t="shared" si="388"/>
        <v>38.24</v>
      </c>
      <c r="L4974" s="24">
        <f t="shared" si="389"/>
        <v>0</v>
      </c>
    </row>
    <row r="4975" spans="1:12" ht="15" customHeight="1" x14ac:dyDescent="0.3">
      <c r="A4975" s="23" t="s">
        <v>18360</v>
      </c>
      <c r="B4975" s="23" t="s">
        <v>75</v>
      </c>
      <c r="C4975" s="39">
        <v>299</v>
      </c>
      <c r="D4975" s="24">
        <v>0</v>
      </c>
      <c r="E4975" s="24">
        <v>0</v>
      </c>
      <c r="F4975" s="23">
        <f>COUNTIFS(mdr_rate_cleaned!$A$2:$A$10,B4975,mdr_rate_cleaned!$B$2:$B$10,"&lt;"&amp;C4975,mdr_rate_cleaned!$F$2:$F$10,"&gt;="&amp;C4975)</f>
        <v>1</v>
      </c>
      <c r="G4975" s="40">
        <f>SUMIFS(mdr_rate_cleaned!$G$2:$G$10,mdr_rate_cleaned!$A$2:$A$10,B4975,mdr_rate_cleaned!$B$2:$B$10,"&lt;"&amp;C4975,mdr_rate_cleaned!$F$2:$F$10,"&gt;="&amp;C4975)</f>
        <v>0</v>
      </c>
      <c r="H4975" s="24">
        <f t="shared" si="385"/>
        <v>0</v>
      </c>
      <c r="I4975" s="23" t="str">
        <f t="shared" si="386"/>
        <v>Match</v>
      </c>
      <c r="J4975" s="23" t="str">
        <f t="shared" si="387"/>
        <v>Match</v>
      </c>
      <c r="K4975" s="24">
        <f t="shared" si="388"/>
        <v>0</v>
      </c>
      <c r="L4975" s="24">
        <f t="shared" si="389"/>
        <v>0</v>
      </c>
    </row>
    <row r="4976" spans="1:12" ht="15" customHeight="1" x14ac:dyDescent="0.3">
      <c r="A4976" s="23" t="s">
        <v>18361</v>
      </c>
      <c r="B4976" s="23" t="s">
        <v>75</v>
      </c>
      <c r="C4976" s="39">
        <v>4999</v>
      </c>
      <c r="D4976" s="24">
        <v>15</v>
      </c>
      <c r="E4976" s="24">
        <v>2.7</v>
      </c>
      <c r="F4976" s="23">
        <f>COUNTIFS(mdr_rate_cleaned!$A$2:$A$10,B4976,mdr_rate_cleaned!$B$2:$B$10,"&lt;"&amp;C4976,mdr_rate_cleaned!$F$2:$F$10,"&gt;="&amp;C4976)</f>
        <v>1</v>
      </c>
      <c r="G4976" s="40">
        <f>SUMIFS(mdr_rate_cleaned!$G$2:$G$10,mdr_rate_cleaned!$A$2:$A$10,B4976,mdr_rate_cleaned!$B$2:$B$10,"&lt;"&amp;C4976,mdr_rate_cleaned!$F$2:$F$10,"&gt;="&amp;C4976)</f>
        <v>3.0000000000000001E-3</v>
      </c>
      <c r="H4976" s="24">
        <f t="shared" si="385"/>
        <v>15</v>
      </c>
      <c r="I4976" s="23" t="str">
        <f t="shared" si="386"/>
        <v>Match</v>
      </c>
      <c r="J4976" s="23" t="str">
        <f t="shared" si="387"/>
        <v>Match</v>
      </c>
      <c r="K4976" s="24">
        <f t="shared" si="388"/>
        <v>2.7</v>
      </c>
      <c r="L4976" s="24">
        <f t="shared" si="389"/>
        <v>0</v>
      </c>
    </row>
    <row r="4977" spans="1:12" ht="15" customHeight="1" x14ac:dyDescent="0.3">
      <c r="A4977" s="23" t="s">
        <v>18362</v>
      </c>
      <c r="B4977" s="23" t="s">
        <v>75</v>
      </c>
      <c r="C4977" s="39">
        <v>599</v>
      </c>
      <c r="D4977" s="24">
        <v>0</v>
      </c>
      <c r="E4977" s="24">
        <v>0</v>
      </c>
      <c r="F4977" s="23">
        <f>COUNTIFS(mdr_rate_cleaned!$A$2:$A$10,B4977,mdr_rate_cleaned!$B$2:$B$10,"&lt;"&amp;C4977,mdr_rate_cleaned!$F$2:$F$10,"&gt;="&amp;C4977)</f>
        <v>1</v>
      </c>
      <c r="G4977" s="40">
        <f>SUMIFS(mdr_rate_cleaned!$G$2:$G$10,mdr_rate_cleaned!$A$2:$A$10,B4977,mdr_rate_cleaned!$B$2:$B$10,"&lt;"&amp;C4977,mdr_rate_cleaned!$F$2:$F$10,"&gt;="&amp;C4977)</f>
        <v>0</v>
      </c>
      <c r="H4977" s="24">
        <f t="shared" si="385"/>
        <v>0</v>
      </c>
      <c r="I4977" s="23" t="str">
        <f t="shared" si="386"/>
        <v>Match</v>
      </c>
      <c r="J4977" s="23" t="str">
        <f t="shared" si="387"/>
        <v>Match</v>
      </c>
      <c r="K4977" s="24">
        <f t="shared" si="388"/>
        <v>0</v>
      </c>
      <c r="L4977" s="24">
        <f t="shared" si="389"/>
        <v>0</v>
      </c>
    </row>
    <row r="4978" spans="1:12" ht="15" customHeight="1" x14ac:dyDescent="0.3">
      <c r="A4978" s="23" t="s">
        <v>18363</v>
      </c>
      <c r="B4978" s="23" t="s">
        <v>81</v>
      </c>
      <c r="C4978" s="39">
        <v>1798</v>
      </c>
      <c r="D4978" s="24">
        <v>26.97</v>
      </c>
      <c r="E4978" s="24">
        <v>4.8499999999999996</v>
      </c>
      <c r="F4978" s="23">
        <f>COUNTIFS(mdr_rate_cleaned!$A$2:$A$10,B4978,mdr_rate_cleaned!$B$2:$B$10,"&lt;"&amp;C4978,mdr_rate_cleaned!$F$2:$F$10,"&gt;="&amp;C4978)</f>
        <v>1</v>
      </c>
      <c r="G4978" s="40">
        <f>SUMIFS(mdr_rate_cleaned!$G$2:$G$10,mdr_rate_cleaned!$A$2:$A$10,B4978,mdr_rate_cleaned!$B$2:$B$10,"&lt;"&amp;C4978,mdr_rate_cleaned!$F$2:$F$10,"&gt;="&amp;C4978)</f>
        <v>1.4999999999999999E-2</v>
      </c>
      <c r="H4978" s="24">
        <f t="shared" si="385"/>
        <v>26.97</v>
      </c>
      <c r="I4978" s="23" t="str">
        <f t="shared" si="386"/>
        <v>Match</v>
      </c>
      <c r="J4978" s="23" t="str">
        <f t="shared" si="387"/>
        <v>Match</v>
      </c>
      <c r="K4978" s="24">
        <f t="shared" si="388"/>
        <v>4.8499999999999996</v>
      </c>
      <c r="L4978" s="24">
        <f t="shared" si="389"/>
        <v>0</v>
      </c>
    </row>
    <row r="4979" spans="1:12" ht="15" customHeight="1" x14ac:dyDescent="0.3">
      <c r="A4979" s="23" t="s">
        <v>18364</v>
      </c>
      <c r="B4979" s="23" t="s">
        <v>75</v>
      </c>
      <c r="C4979" s="39">
        <v>999</v>
      </c>
      <c r="D4979" s="24">
        <v>0</v>
      </c>
      <c r="E4979" s="24">
        <v>0</v>
      </c>
      <c r="F4979" s="23">
        <f>COUNTIFS(mdr_rate_cleaned!$A$2:$A$10,B4979,mdr_rate_cleaned!$B$2:$B$10,"&lt;"&amp;C4979,mdr_rate_cleaned!$F$2:$F$10,"&gt;="&amp;C4979)</f>
        <v>1</v>
      </c>
      <c r="G4979" s="40">
        <f>SUMIFS(mdr_rate_cleaned!$G$2:$G$10,mdr_rate_cleaned!$A$2:$A$10,B4979,mdr_rate_cleaned!$B$2:$B$10,"&lt;"&amp;C4979,mdr_rate_cleaned!$F$2:$F$10,"&gt;="&amp;C4979)</f>
        <v>0</v>
      </c>
      <c r="H4979" s="24">
        <f t="shared" si="385"/>
        <v>0</v>
      </c>
      <c r="I4979" s="23" t="str">
        <f t="shared" si="386"/>
        <v>Match</v>
      </c>
      <c r="J4979" s="23" t="str">
        <f t="shared" si="387"/>
        <v>Match</v>
      </c>
      <c r="K4979" s="24">
        <f t="shared" si="388"/>
        <v>0</v>
      </c>
      <c r="L4979" s="24">
        <f t="shared" si="389"/>
        <v>0</v>
      </c>
    </row>
    <row r="4980" spans="1:12" ht="15" customHeight="1" x14ac:dyDescent="0.3">
      <c r="A4980" s="23" t="s">
        <v>18365</v>
      </c>
      <c r="B4980" s="23" t="s">
        <v>75</v>
      </c>
      <c r="C4980" s="39">
        <v>499</v>
      </c>
      <c r="D4980" s="24">
        <v>0</v>
      </c>
      <c r="E4980" s="24">
        <v>0</v>
      </c>
      <c r="F4980" s="23">
        <f>COUNTIFS(mdr_rate_cleaned!$A$2:$A$10,B4980,mdr_rate_cleaned!$B$2:$B$10,"&lt;"&amp;C4980,mdr_rate_cleaned!$F$2:$F$10,"&gt;="&amp;C4980)</f>
        <v>1</v>
      </c>
      <c r="G4980" s="40">
        <f>SUMIFS(mdr_rate_cleaned!$G$2:$G$10,mdr_rate_cleaned!$A$2:$A$10,B4980,mdr_rate_cleaned!$B$2:$B$10,"&lt;"&amp;C4980,mdr_rate_cleaned!$F$2:$F$10,"&gt;="&amp;C4980)</f>
        <v>0</v>
      </c>
      <c r="H4980" s="24">
        <f t="shared" si="385"/>
        <v>0</v>
      </c>
      <c r="I4980" s="23" t="str">
        <f t="shared" si="386"/>
        <v>Match</v>
      </c>
      <c r="J4980" s="23" t="str">
        <f t="shared" si="387"/>
        <v>Match</v>
      </c>
      <c r="K4980" s="24">
        <f t="shared" si="388"/>
        <v>0</v>
      </c>
      <c r="L4980" s="24">
        <f t="shared" si="389"/>
        <v>0</v>
      </c>
    </row>
    <row r="4981" spans="1:12" ht="15" customHeight="1" x14ac:dyDescent="0.3">
      <c r="A4981" s="23" t="s">
        <v>18366</v>
      </c>
      <c r="B4981" s="23" t="s">
        <v>81</v>
      </c>
      <c r="C4981" s="39">
        <v>599</v>
      </c>
      <c r="D4981" s="24">
        <v>8.99</v>
      </c>
      <c r="E4981" s="24">
        <v>1.62</v>
      </c>
      <c r="F4981" s="23">
        <f>COUNTIFS(mdr_rate_cleaned!$A$2:$A$10,B4981,mdr_rate_cleaned!$B$2:$B$10,"&lt;"&amp;C4981,mdr_rate_cleaned!$F$2:$F$10,"&gt;="&amp;C4981)</f>
        <v>1</v>
      </c>
      <c r="G4981" s="40">
        <f>SUMIFS(mdr_rate_cleaned!$G$2:$G$10,mdr_rate_cleaned!$A$2:$A$10,B4981,mdr_rate_cleaned!$B$2:$B$10,"&lt;"&amp;C4981,mdr_rate_cleaned!$F$2:$F$10,"&gt;="&amp;C4981)</f>
        <v>1.4999999999999999E-2</v>
      </c>
      <c r="H4981" s="24">
        <f t="shared" si="385"/>
        <v>8.99</v>
      </c>
      <c r="I4981" s="23" t="str">
        <f t="shared" si="386"/>
        <v>Match</v>
      </c>
      <c r="J4981" s="23" t="str">
        <f t="shared" si="387"/>
        <v>Match</v>
      </c>
      <c r="K4981" s="24">
        <f t="shared" si="388"/>
        <v>1.62</v>
      </c>
      <c r="L4981" s="24">
        <f t="shared" si="389"/>
        <v>0</v>
      </c>
    </row>
    <row r="4982" spans="1:12" ht="15" customHeight="1" x14ac:dyDescent="0.3">
      <c r="A4982" s="23" t="s">
        <v>18367</v>
      </c>
      <c r="B4982" s="23" t="s">
        <v>75</v>
      </c>
      <c r="C4982" s="39">
        <v>7999</v>
      </c>
      <c r="D4982" s="24">
        <v>24</v>
      </c>
      <c r="E4982" s="24">
        <v>4.32</v>
      </c>
      <c r="F4982" s="23">
        <f>COUNTIFS(mdr_rate_cleaned!$A$2:$A$10,B4982,mdr_rate_cleaned!$B$2:$B$10,"&lt;"&amp;C4982,mdr_rate_cleaned!$F$2:$F$10,"&gt;="&amp;C4982)</f>
        <v>1</v>
      </c>
      <c r="G4982" s="40">
        <f>SUMIFS(mdr_rate_cleaned!$G$2:$G$10,mdr_rate_cleaned!$A$2:$A$10,B4982,mdr_rate_cleaned!$B$2:$B$10,"&lt;"&amp;C4982,mdr_rate_cleaned!$F$2:$F$10,"&gt;="&amp;C4982)</f>
        <v>3.0000000000000001E-3</v>
      </c>
      <c r="H4982" s="24">
        <f t="shared" si="385"/>
        <v>24</v>
      </c>
      <c r="I4982" s="23" t="str">
        <f t="shared" si="386"/>
        <v>Match</v>
      </c>
      <c r="J4982" s="23" t="str">
        <f t="shared" si="387"/>
        <v>Match</v>
      </c>
      <c r="K4982" s="24">
        <f t="shared" si="388"/>
        <v>4.32</v>
      </c>
      <c r="L4982" s="24">
        <f t="shared" si="389"/>
        <v>0</v>
      </c>
    </row>
    <row r="4983" spans="1:12" ht="15" customHeight="1" x14ac:dyDescent="0.3">
      <c r="A4983" s="23" t="s">
        <v>18368</v>
      </c>
      <c r="B4983" s="23" t="s">
        <v>75</v>
      </c>
      <c r="C4983" s="39">
        <v>499</v>
      </c>
      <c r="D4983" s="24">
        <v>0</v>
      </c>
      <c r="E4983" s="24">
        <v>0</v>
      </c>
      <c r="F4983" s="23">
        <f>COUNTIFS(mdr_rate_cleaned!$A$2:$A$10,B4983,mdr_rate_cleaned!$B$2:$B$10,"&lt;"&amp;C4983,mdr_rate_cleaned!$F$2:$F$10,"&gt;="&amp;C4983)</f>
        <v>1</v>
      </c>
      <c r="G4983" s="40">
        <f>SUMIFS(mdr_rate_cleaned!$G$2:$G$10,mdr_rate_cleaned!$A$2:$A$10,B4983,mdr_rate_cleaned!$B$2:$B$10,"&lt;"&amp;C4983,mdr_rate_cleaned!$F$2:$F$10,"&gt;="&amp;C4983)</f>
        <v>0</v>
      </c>
      <c r="H4983" s="24">
        <f t="shared" si="385"/>
        <v>0</v>
      </c>
      <c r="I4983" s="23" t="str">
        <f t="shared" si="386"/>
        <v>Match</v>
      </c>
      <c r="J4983" s="23" t="str">
        <f t="shared" si="387"/>
        <v>Match</v>
      </c>
      <c r="K4983" s="24">
        <f t="shared" si="388"/>
        <v>0</v>
      </c>
      <c r="L4983" s="24">
        <f t="shared" si="389"/>
        <v>0</v>
      </c>
    </row>
    <row r="4984" spans="1:12" ht="15" customHeight="1" x14ac:dyDescent="0.3">
      <c r="A4984" s="23" t="s">
        <v>18369</v>
      </c>
      <c r="B4984" s="23" t="s">
        <v>75</v>
      </c>
      <c r="C4984" s="39">
        <v>7397</v>
      </c>
      <c r="D4984" s="24">
        <v>22.19</v>
      </c>
      <c r="E4984" s="24">
        <v>3.99</v>
      </c>
      <c r="F4984" s="23">
        <f>COUNTIFS(mdr_rate_cleaned!$A$2:$A$10,B4984,mdr_rate_cleaned!$B$2:$B$10,"&lt;"&amp;C4984,mdr_rate_cleaned!$F$2:$F$10,"&gt;="&amp;C4984)</f>
        <v>1</v>
      </c>
      <c r="G4984" s="40">
        <f>SUMIFS(mdr_rate_cleaned!$G$2:$G$10,mdr_rate_cleaned!$A$2:$A$10,B4984,mdr_rate_cleaned!$B$2:$B$10,"&lt;"&amp;C4984,mdr_rate_cleaned!$F$2:$F$10,"&gt;="&amp;C4984)</f>
        <v>3.0000000000000001E-3</v>
      </c>
      <c r="H4984" s="24">
        <f t="shared" si="385"/>
        <v>22.19</v>
      </c>
      <c r="I4984" s="23" t="str">
        <f t="shared" si="386"/>
        <v>Match</v>
      </c>
      <c r="J4984" s="23" t="str">
        <f t="shared" si="387"/>
        <v>Match</v>
      </c>
      <c r="K4984" s="24">
        <f t="shared" si="388"/>
        <v>3.99</v>
      </c>
      <c r="L4984" s="24">
        <f t="shared" si="389"/>
        <v>0</v>
      </c>
    </row>
    <row r="4985" spans="1:12" ht="15" customHeight="1" x14ac:dyDescent="0.3">
      <c r="A4985" s="23" t="s">
        <v>18370</v>
      </c>
      <c r="B4985" s="23" t="s">
        <v>79</v>
      </c>
      <c r="C4985" s="39">
        <v>2499</v>
      </c>
      <c r="D4985" s="24">
        <v>39.979999999999997</v>
      </c>
      <c r="E4985" s="24">
        <v>7.2</v>
      </c>
      <c r="F4985" s="23">
        <f>COUNTIFS(mdr_rate_cleaned!$A$2:$A$10,B4985,mdr_rate_cleaned!$B$2:$B$10,"&lt;"&amp;C4985,mdr_rate_cleaned!$F$2:$F$10,"&gt;="&amp;C4985)</f>
        <v>1</v>
      </c>
      <c r="G4985" s="40">
        <f>SUMIFS(mdr_rate_cleaned!$G$2:$G$10,mdr_rate_cleaned!$A$2:$A$10,B4985,mdr_rate_cleaned!$B$2:$B$10,"&lt;"&amp;C4985,mdr_rate_cleaned!$F$2:$F$10,"&gt;="&amp;C4985)</f>
        <v>1.6E-2</v>
      </c>
      <c r="H4985" s="24">
        <f t="shared" si="385"/>
        <v>39.979999999999997</v>
      </c>
      <c r="I4985" s="23" t="str">
        <f t="shared" si="386"/>
        <v>Match</v>
      </c>
      <c r="J4985" s="23" t="str">
        <f t="shared" si="387"/>
        <v>Match</v>
      </c>
      <c r="K4985" s="24">
        <f t="shared" si="388"/>
        <v>7.2</v>
      </c>
      <c r="L4985" s="24">
        <f t="shared" si="389"/>
        <v>0</v>
      </c>
    </row>
    <row r="4986" spans="1:12" ht="15" customHeight="1" x14ac:dyDescent="0.3">
      <c r="A4986" s="23" t="s">
        <v>18371</v>
      </c>
      <c r="B4986" s="23" t="s">
        <v>77</v>
      </c>
      <c r="C4986" s="39">
        <v>599</v>
      </c>
      <c r="D4986" s="24">
        <v>11.38</v>
      </c>
      <c r="E4986" s="24">
        <v>2.0499999999999998</v>
      </c>
      <c r="F4986" s="23">
        <f>COUNTIFS(mdr_rate_cleaned!$A$2:$A$10,B4986,mdr_rate_cleaned!$B$2:$B$10,"&lt;"&amp;C4986,mdr_rate_cleaned!$F$2:$F$10,"&gt;="&amp;C4986)</f>
        <v>1</v>
      </c>
      <c r="G4986" s="40">
        <f>SUMIFS(mdr_rate_cleaned!$G$2:$G$10,mdr_rate_cleaned!$A$2:$A$10,B4986,mdr_rate_cleaned!$B$2:$B$10,"&lt;"&amp;C4986,mdr_rate_cleaned!$F$2:$F$10,"&gt;="&amp;C4986)</f>
        <v>1.9E-2</v>
      </c>
      <c r="H4986" s="24">
        <f t="shared" si="385"/>
        <v>11.38</v>
      </c>
      <c r="I4986" s="23" t="str">
        <f t="shared" si="386"/>
        <v>Match</v>
      </c>
      <c r="J4986" s="23" t="str">
        <f t="shared" si="387"/>
        <v>Match</v>
      </c>
      <c r="K4986" s="24">
        <f t="shared" si="388"/>
        <v>2.0499999999999998</v>
      </c>
      <c r="L4986" s="24">
        <f t="shared" si="389"/>
        <v>0</v>
      </c>
    </row>
    <row r="4987" spans="1:12" ht="15" customHeight="1" x14ac:dyDescent="0.3">
      <c r="A4987" s="23" t="s">
        <v>18372</v>
      </c>
      <c r="B4987" s="23" t="s">
        <v>81</v>
      </c>
      <c r="C4987" s="39">
        <v>648</v>
      </c>
      <c r="D4987" s="24">
        <v>9.7200000000000006</v>
      </c>
      <c r="E4987" s="24">
        <v>1.75</v>
      </c>
      <c r="F4987" s="23">
        <f>COUNTIFS(mdr_rate_cleaned!$A$2:$A$10,B4987,mdr_rate_cleaned!$B$2:$B$10,"&lt;"&amp;C4987,mdr_rate_cleaned!$F$2:$F$10,"&gt;="&amp;C4987)</f>
        <v>1</v>
      </c>
      <c r="G4987" s="40">
        <f>SUMIFS(mdr_rate_cleaned!$G$2:$G$10,mdr_rate_cleaned!$A$2:$A$10,B4987,mdr_rate_cleaned!$B$2:$B$10,"&lt;"&amp;C4987,mdr_rate_cleaned!$F$2:$F$10,"&gt;="&amp;C4987)</f>
        <v>1.4999999999999999E-2</v>
      </c>
      <c r="H4987" s="24">
        <f t="shared" si="385"/>
        <v>9.7200000000000006</v>
      </c>
      <c r="I4987" s="23" t="str">
        <f t="shared" si="386"/>
        <v>Match</v>
      </c>
      <c r="J4987" s="23" t="str">
        <f t="shared" si="387"/>
        <v>Match</v>
      </c>
      <c r="K4987" s="24">
        <f t="shared" si="388"/>
        <v>1.75</v>
      </c>
      <c r="L4987" s="24">
        <f t="shared" si="389"/>
        <v>0</v>
      </c>
    </row>
    <row r="4988" spans="1:12" ht="15" customHeight="1" x14ac:dyDescent="0.3">
      <c r="A4988" s="23" t="s">
        <v>18373</v>
      </c>
      <c r="B4988" s="23" t="s">
        <v>79</v>
      </c>
      <c r="C4988" s="39">
        <v>299</v>
      </c>
      <c r="D4988" s="24">
        <v>5.38</v>
      </c>
      <c r="E4988" s="24">
        <v>0.97</v>
      </c>
      <c r="F4988" s="23">
        <f>COUNTIFS(mdr_rate_cleaned!$A$2:$A$10,B4988,mdr_rate_cleaned!$B$2:$B$10,"&lt;"&amp;C4988,mdr_rate_cleaned!$F$2:$F$10,"&gt;="&amp;C4988)</f>
        <v>1</v>
      </c>
      <c r="G4988" s="40">
        <f>SUMIFS(mdr_rate_cleaned!$G$2:$G$10,mdr_rate_cleaned!$A$2:$A$10,B4988,mdr_rate_cleaned!$B$2:$B$10,"&lt;"&amp;C4988,mdr_rate_cleaned!$F$2:$F$10,"&gt;="&amp;C4988)</f>
        <v>1.8000000000000002E-2</v>
      </c>
      <c r="H4988" s="24">
        <f t="shared" si="385"/>
        <v>5.38</v>
      </c>
      <c r="I4988" s="23" t="str">
        <f t="shared" si="386"/>
        <v>Match</v>
      </c>
      <c r="J4988" s="23" t="str">
        <f t="shared" si="387"/>
        <v>Match</v>
      </c>
      <c r="K4988" s="24">
        <f t="shared" si="388"/>
        <v>0.97</v>
      </c>
      <c r="L4988" s="24">
        <f t="shared" si="389"/>
        <v>0</v>
      </c>
    </row>
    <row r="4989" spans="1:12" ht="15" customHeight="1" x14ac:dyDescent="0.3">
      <c r="A4989" s="23" t="s">
        <v>18374</v>
      </c>
      <c r="B4989" s="23" t="s">
        <v>75</v>
      </c>
      <c r="C4989" s="39">
        <v>4999</v>
      </c>
      <c r="D4989" s="24">
        <v>15</v>
      </c>
      <c r="E4989" s="24">
        <v>2.7</v>
      </c>
      <c r="F4989" s="23">
        <f>COUNTIFS(mdr_rate_cleaned!$A$2:$A$10,B4989,mdr_rate_cleaned!$B$2:$B$10,"&lt;"&amp;C4989,mdr_rate_cleaned!$F$2:$F$10,"&gt;="&amp;C4989)</f>
        <v>1</v>
      </c>
      <c r="G4989" s="40">
        <f>SUMIFS(mdr_rate_cleaned!$G$2:$G$10,mdr_rate_cleaned!$A$2:$A$10,B4989,mdr_rate_cleaned!$B$2:$B$10,"&lt;"&amp;C4989,mdr_rate_cleaned!$F$2:$F$10,"&gt;="&amp;C4989)</f>
        <v>3.0000000000000001E-3</v>
      </c>
      <c r="H4989" s="24">
        <f t="shared" si="385"/>
        <v>15</v>
      </c>
      <c r="I4989" s="23" t="str">
        <f t="shared" si="386"/>
        <v>Match</v>
      </c>
      <c r="J4989" s="23" t="str">
        <f t="shared" si="387"/>
        <v>Match</v>
      </c>
      <c r="K4989" s="24">
        <f t="shared" si="388"/>
        <v>2.7</v>
      </c>
      <c r="L4989" s="24">
        <f t="shared" si="389"/>
        <v>0</v>
      </c>
    </row>
    <row r="4990" spans="1:12" ht="15" customHeight="1" x14ac:dyDescent="0.3">
      <c r="A4990" s="23" t="s">
        <v>18375</v>
      </c>
      <c r="B4990" s="23" t="s">
        <v>79</v>
      </c>
      <c r="C4990" s="39">
        <v>1998</v>
      </c>
      <c r="D4990" s="24">
        <v>35.96</v>
      </c>
      <c r="E4990" s="24">
        <v>6.47</v>
      </c>
      <c r="F4990" s="23">
        <f>COUNTIFS(mdr_rate_cleaned!$A$2:$A$10,B4990,mdr_rate_cleaned!$B$2:$B$10,"&lt;"&amp;C4990,mdr_rate_cleaned!$F$2:$F$10,"&gt;="&amp;C4990)</f>
        <v>1</v>
      </c>
      <c r="G4990" s="40">
        <f>SUMIFS(mdr_rate_cleaned!$G$2:$G$10,mdr_rate_cleaned!$A$2:$A$10,B4990,mdr_rate_cleaned!$B$2:$B$10,"&lt;"&amp;C4990,mdr_rate_cleaned!$F$2:$F$10,"&gt;="&amp;C4990)</f>
        <v>1.8000000000000002E-2</v>
      </c>
      <c r="H4990" s="24">
        <f t="shared" si="385"/>
        <v>35.96</v>
      </c>
      <c r="I4990" s="23" t="str">
        <f t="shared" si="386"/>
        <v>Match</v>
      </c>
      <c r="J4990" s="23" t="str">
        <f t="shared" si="387"/>
        <v>Match</v>
      </c>
      <c r="K4990" s="24">
        <f t="shared" si="388"/>
        <v>6.47</v>
      </c>
      <c r="L4990" s="24">
        <f t="shared" si="389"/>
        <v>0</v>
      </c>
    </row>
    <row r="4991" spans="1:12" ht="15" customHeight="1" x14ac:dyDescent="0.3">
      <c r="A4991" s="23" t="s">
        <v>18376</v>
      </c>
      <c r="B4991" s="23" t="s">
        <v>77</v>
      </c>
      <c r="C4991" s="39">
        <v>4999</v>
      </c>
      <c r="D4991" s="24">
        <v>84.98</v>
      </c>
      <c r="E4991" s="24">
        <v>15.3</v>
      </c>
      <c r="F4991" s="23">
        <f>COUNTIFS(mdr_rate_cleaned!$A$2:$A$10,B4991,mdr_rate_cleaned!$B$2:$B$10,"&lt;"&amp;C4991,mdr_rate_cleaned!$F$2:$F$10,"&gt;="&amp;C4991)</f>
        <v>1</v>
      </c>
      <c r="G4991" s="40">
        <f>SUMIFS(mdr_rate_cleaned!$G$2:$G$10,mdr_rate_cleaned!$A$2:$A$10,B4991,mdr_rate_cleaned!$B$2:$B$10,"&lt;"&amp;C4991,mdr_rate_cleaned!$F$2:$F$10,"&gt;="&amp;C4991)</f>
        <v>1.7000000000000001E-2</v>
      </c>
      <c r="H4991" s="24">
        <f t="shared" si="385"/>
        <v>84.98</v>
      </c>
      <c r="I4991" s="23" t="str">
        <f t="shared" si="386"/>
        <v>Match</v>
      </c>
      <c r="J4991" s="23" t="str">
        <f t="shared" si="387"/>
        <v>Match</v>
      </c>
      <c r="K4991" s="24">
        <f t="shared" si="388"/>
        <v>15.3</v>
      </c>
      <c r="L4991" s="24">
        <f t="shared" si="389"/>
        <v>0</v>
      </c>
    </row>
    <row r="4992" spans="1:12" ht="15" customHeight="1" x14ac:dyDescent="0.3">
      <c r="A4992" s="23" t="s">
        <v>18377</v>
      </c>
      <c r="B4992" s="23" t="s">
        <v>79</v>
      </c>
      <c r="C4992" s="39">
        <v>1499</v>
      </c>
      <c r="D4992" s="24">
        <v>26.98</v>
      </c>
      <c r="E4992" s="24">
        <v>4.8600000000000003</v>
      </c>
      <c r="F4992" s="23">
        <f>COUNTIFS(mdr_rate_cleaned!$A$2:$A$10,B4992,mdr_rate_cleaned!$B$2:$B$10,"&lt;"&amp;C4992,mdr_rate_cleaned!$F$2:$F$10,"&gt;="&amp;C4992)</f>
        <v>1</v>
      </c>
      <c r="G4992" s="40">
        <f>SUMIFS(mdr_rate_cleaned!$G$2:$G$10,mdr_rate_cleaned!$A$2:$A$10,B4992,mdr_rate_cleaned!$B$2:$B$10,"&lt;"&amp;C4992,mdr_rate_cleaned!$F$2:$F$10,"&gt;="&amp;C4992)</f>
        <v>1.8000000000000002E-2</v>
      </c>
      <c r="H4992" s="24">
        <f t="shared" si="385"/>
        <v>26.98</v>
      </c>
      <c r="I4992" s="23" t="str">
        <f t="shared" si="386"/>
        <v>Match</v>
      </c>
      <c r="J4992" s="23" t="str">
        <f t="shared" si="387"/>
        <v>Match</v>
      </c>
      <c r="K4992" s="24">
        <f t="shared" si="388"/>
        <v>4.8600000000000003</v>
      </c>
      <c r="L4992" s="24">
        <f t="shared" si="389"/>
        <v>0</v>
      </c>
    </row>
    <row r="4993" spans="1:12" ht="15" customHeight="1" x14ac:dyDescent="0.3">
      <c r="A4993" s="23" t="s">
        <v>18378</v>
      </c>
      <c r="B4993" s="23" t="s">
        <v>75</v>
      </c>
      <c r="C4993" s="39">
        <v>3298</v>
      </c>
      <c r="D4993" s="24">
        <v>9.89</v>
      </c>
      <c r="E4993" s="24">
        <v>1.78</v>
      </c>
      <c r="F4993" s="23">
        <f>COUNTIFS(mdr_rate_cleaned!$A$2:$A$10,B4993,mdr_rate_cleaned!$B$2:$B$10,"&lt;"&amp;C4993,mdr_rate_cleaned!$F$2:$F$10,"&gt;="&amp;C4993)</f>
        <v>1</v>
      </c>
      <c r="G4993" s="40">
        <f>SUMIFS(mdr_rate_cleaned!$G$2:$G$10,mdr_rate_cleaned!$A$2:$A$10,B4993,mdr_rate_cleaned!$B$2:$B$10,"&lt;"&amp;C4993,mdr_rate_cleaned!$F$2:$F$10,"&gt;="&amp;C4993)</f>
        <v>3.0000000000000001E-3</v>
      </c>
      <c r="H4993" s="24">
        <f t="shared" si="385"/>
        <v>9.89</v>
      </c>
      <c r="I4993" s="23" t="str">
        <f t="shared" si="386"/>
        <v>Match</v>
      </c>
      <c r="J4993" s="23" t="str">
        <f t="shared" si="387"/>
        <v>Match</v>
      </c>
      <c r="K4993" s="24">
        <f t="shared" si="388"/>
        <v>1.78</v>
      </c>
      <c r="L4993" s="24">
        <f t="shared" si="389"/>
        <v>0</v>
      </c>
    </row>
    <row r="4994" spans="1:12" ht="15" customHeight="1" x14ac:dyDescent="0.3">
      <c r="A4994" s="23" t="s">
        <v>18379</v>
      </c>
      <c r="B4994" s="23" t="s">
        <v>75</v>
      </c>
      <c r="C4994" s="39">
        <v>599</v>
      </c>
      <c r="D4994" s="24">
        <v>0</v>
      </c>
      <c r="E4994" s="24">
        <v>0</v>
      </c>
      <c r="F4994" s="23">
        <f>COUNTIFS(mdr_rate_cleaned!$A$2:$A$10,B4994,mdr_rate_cleaned!$B$2:$B$10,"&lt;"&amp;C4994,mdr_rate_cleaned!$F$2:$F$10,"&gt;="&amp;C4994)</f>
        <v>1</v>
      </c>
      <c r="G4994" s="40">
        <f>SUMIFS(mdr_rate_cleaned!$G$2:$G$10,mdr_rate_cleaned!$A$2:$A$10,B4994,mdr_rate_cleaned!$B$2:$B$10,"&lt;"&amp;C4994,mdr_rate_cleaned!$F$2:$F$10,"&gt;="&amp;C4994)</f>
        <v>0</v>
      </c>
      <c r="H4994" s="24">
        <f t="shared" ref="H4994:H5057" si="390">ROUND(C4994*G4994,2)</f>
        <v>0</v>
      </c>
      <c r="I4994" s="23" t="str">
        <f t="shared" ref="I4994:I5057" si="391">IF(ROUND(D4994-H4994,2)=0,"Match","Differs")</f>
        <v>Match</v>
      </c>
      <c r="J4994" s="23" t="str">
        <f t="shared" ref="J4994:J5057" si="392">IF(ROUND(E4994-ROUND(D4994*0.18,2),2)=0,"Match","Differs")</f>
        <v>Match</v>
      </c>
      <c r="K4994" s="24">
        <f t="shared" ref="K4994:K5057" si="393">ROUND(H4994*0.18,2)</f>
        <v>0</v>
      </c>
      <c r="L4994" s="24">
        <f t="shared" ref="L4994:L5057" si="394">ROUND(D4994+E4994-H4994-K4994,2)</f>
        <v>0</v>
      </c>
    </row>
    <row r="4995" spans="1:12" ht="15" customHeight="1" x14ac:dyDescent="0.3">
      <c r="A4995" s="23" t="s">
        <v>18380</v>
      </c>
      <c r="B4995" s="23" t="s">
        <v>79</v>
      </c>
      <c r="C4995" s="39">
        <v>4098</v>
      </c>
      <c r="D4995" s="24">
        <v>65.569999999999993</v>
      </c>
      <c r="E4995" s="24">
        <v>11.8</v>
      </c>
      <c r="F4995" s="23">
        <f>COUNTIFS(mdr_rate_cleaned!$A$2:$A$10,B4995,mdr_rate_cleaned!$B$2:$B$10,"&lt;"&amp;C4995,mdr_rate_cleaned!$F$2:$F$10,"&gt;="&amp;C4995)</f>
        <v>1</v>
      </c>
      <c r="G4995" s="40">
        <f>SUMIFS(mdr_rate_cleaned!$G$2:$G$10,mdr_rate_cleaned!$A$2:$A$10,B4995,mdr_rate_cleaned!$B$2:$B$10,"&lt;"&amp;C4995,mdr_rate_cleaned!$F$2:$F$10,"&gt;="&amp;C4995)</f>
        <v>1.6E-2</v>
      </c>
      <c r="H4995" s="24">
        <f t="shared" si="390"/>
        <v>65.569999999999993</v>
      </c>
      <c r="I4995" s="23" t="str">
        <f t="shared" si="391"/>
        <v>Match</v>
      </c>
      <c r="J4995" s="23" t="str">
        <f t="shared" si="392"/>
        <v>Match</v>
      </c>
      <c r="K4995" s="24">
        <f t="shared" si="393"/>
        <v>11.8</v>
      </c>
      <c r="L4995" s="24">
        <f t="shared" si="394"/>
        <v>0</v>
      </c>
    </row>
    <row r="4996" spans="1:12" ht="15" customHeight="1" x14ac:dyDescent="0.3">
      <c r="A4996" s="23" t="s">
        <v>18381</v>
      </c>
      <c r="B4996" s="23" t="s">
        <v>77</v>
      </c>
      <c r="C4996" s="39">
        <v>3298</v>
      </c>
      <c r="D4996" s="24">
        <v>56.07</v>
      </c>
      <c r="E4996" s="24">
        <v>10.09</v>
      </c>
      <c r="F4996" s="23">
        <f>COUNTIFS(mdr_rate_cleaned!$A$2:$A$10,B4996,mdr_rate_cleaned!$B$2:$B$10,"&lt;"&amp;C4996,mdr_rate_cleaned!$F$2:$F$10,"&gt;="&amp;C4996)</f>
        <v>1</v>
      </c>
      <c r="G4996" s="40">
        <f>SUMIFS(mdr_rate_cleaned!$G$2:$G$10,mdr_rate_cleaned!$A$2:$A$10,B4996,mdr_rate_cleaned!$B$2:$B$10,"&lt;"&amp;C4996,mdr_rate_cleaned!$F$2:$F$10,"&gt;="&amp;C4996)</f>
        <v>1.7000000000000001E-2</v>
      </c>
      <c r="H4996" s="24">
        <f t="shared" si="390"/>
        <v>56.07</v>
      </c>
      <c r="I4996" s="23" t="str">
        <f t="shared" si="391"/>
        <v>Match</v>
      </c>
      <c r="J4996" s="23" t="str">
        <f t="shared" si="392"/>
        <v>Match</v>
      </c>
      <c r="K4996" s="24">
        <f t="shared" si="393"/>
        <v>10.09</v>
      </c>
      <c r="L4996" s="24">
        <f t="shared" si="394"/>
        <v>0</v>
      </c>
    </row>
    <row r="4997" spans="1:12" ht="15" customHeight="1" x14ac:dyDescent="0.3">
      <c r="A4997" s="23" t="s">
        <v>18382</v>
      </c>
      <c r="B4997" s="23" t="s">
        <v>79</v>
      </c>
      <c r="C4997" s="39">
        <v>349</v>
      </c>
      <c r="D4997" s="24">
        <v>6.28</v>
      </c>
      <c r="E4997" s="24">
        <v>1.1299999999999999</v>
      </c>
      <c r="F4997" s="23">
        <f>COUNTIFS(mdr_rate_cleaned!$A$2:$A$10,B4997,mdr_rate_cleaned!$B$2:$B$10,"&lt;"&amp;C4997,mdr_rate_cleaned!$F$2:$F$10,"&gt;="&amp;C4997)</f>
        <v>1</v>
      </c>
      <c r="G4997" s="40">
        <f>SUMIFS(mdr_rate_cleaned!$G$2:$G$10,mdr_rate_cleaned!$A$2:$A$10,B4997,mdr_rate_cleaned!$B$2:$B$10,"&lt;"&amp;C4997,mdr_rate_cleaned!$F$2:$F$10,"&gt;="&amp;C4997)</f>
        <v>1.8000000000000002E-2</v>
      </c>
      <c r="H4997" s="24">
        <f t="shared" si="390"/>
        <v>6.28</v>
      </c>
      <c r="I4997" s="23" t="str">
        <f t="shared" si="391"/>
        <v>Match</v>
      </c>
      <c r="J4997" s="23" t="str">
        <f t="shared" si="392"/>
        <v>Match</v>
      </c>
      <c r="K4997" s="24">
        <f t="shared" si="393"/>
        <v>1.1299999999999999</v>
      </c>
      <c r="L4997" s="24">
        <f t="shared" si="394"/>
        <v>0</v>
      </c>
    </row>
    <row r="4998" spans="1:12" ht="15" customHeight="1" x14ac:dyDescent="0.3">
      <c r="A4998" s="23" t="s">
        <v>18383</v>
      </c>
      <c r="B4998" s="23" t="s">
        <v>75</v>
      </c>
      <c r="C4998" s="39">
        <v>2999</v>
      </c>
      <c r="D4998" s="24">
        <v>9</v>
      </c>
      <c r="E4998" s="24">
        <v>1.62</v>
      </c>
      <c r="F4998" s="23">
        <f>COUNTIFS(mdr_rate_cleaned!$A$2:$A$10,B4998,mdr_rate_cleaned!$B$2:$B$10,"&lt;"&amp;C4998,mdr_rate_cleaned!$F$2:$F$10,"&gt;="&amp;C4998)</f>
        <v>1</v>
      </c>
      <c r="G4998" s="40">
        <f>SUMIFS(mdr_rate_cleaned!$G$2:$G$10,mdr_rate_cleaned!$A$2:$A$10,B4998,mdr_rate_cleaned!$B$2:$B$10,"&lt;"&amp;C4998,mdr_rate_cleaned!$F$2:$F$10,"&gt;="&amp;C4998)</f>
        <v>3.0000000000000001E-3</v>
      </c>
      <c r="H4998" s="24">
        <f t="shared" si="390"/>
        <v>9</v>
      </c>
      <c r="I4998" s="23" t="str">
        <f t="shared" si="391"/>
        <v>Match</v>
      </c>
      <c r="J4998" s="23" t="str">
        <f t="shared" si="392"/>
        <v>Match</v>
      </c>
      <c r="K4998" s="24">
        <f t="shared" si="393"/>
        <v>1.62</v>
      </c>
      <c r="L4998" s="24">
        <f t="shared" si="394"/>
        <v>0</v>
      </c>
    </row>
    <row r="4999" spans="1:12" ht="15" customHeight="1" x14ac:dyDescent="0.3">
      <c r="A4999" s="23" t="s">
        <v>18384</v>
      </c>
      <c r="B4999" s="23" t="s">
        <v>77</v>
      </c>
      <c r="C4999" s="39">
        <v>3998</v>
      </c>
      <c r="D4999" s="24">
        <v>67.97</v>
      </c>
      <c r="E4999" s="24">
        <v>12.23</v>
      </c>
      <c r="F4999" s="23">
        <f>COUNTIFS(mdr_rate_cleaned!$A$2:$A$10,B4999,mdr_rate_cleaned!$B$2:$B$10,"&lt;"&amp;C4999,mdr_rate_cleaned!$F$2:$F$10,"&gt;="&amp;C4999)</f>
        <v>1</v>
      </c>
      <c r="G4999" s="40">
        <f>SUMIFS(mdr_rate_cleaned!$G$2:$G$10,mdr_rate_cleaned!$A$2:$A$10,B4999,mdr_rate_cleaned!$B$2:$B$10,"&lt;"&amp;C4999,mdr_rate_cleaned!$F$2:$F$10,"&gt;="&amp;C4999)</f>
        <v>1.7000000000000001E-2</v>
      </c>
      <c r="H4999" s="24">
        <f t="shared" si="390"/>
        <v>67.97</v>
      </c>
      <c r="I4999" s="23" t="str">
        <f t="shared" si="391"/>
        <v>Match</v>
      </c>
      <c r="J4999" s="23" t="str">
        <f t="shared" si="392"/>
        <v>Match</v>
      </c>
      <c r="K4999" s="24">
        <f t="shared" si="393"/>
        <v>12.23</v>
      </c>
      <c r="L4999" s="24">
        <f t="shared" si="394"/>
        <v>0</v>
      </c>
    </row>
    <row r="5000" spans="1:12" ht="15" customHeight="1" x14ac:dyDescent="0.3">
      <c r="A5000" s="23" t="s">
        <v>18386</v>
      </c>
      <c r="B5000" s="23" t="s">
        <v>77</v>
      </c>
      <c r="C5000" s="39">
        <v>8798</v>
      </c>
      <c r="D5000" s="24">
        <v>149.57</v>
      </c>
      <c r="E5000" s="24">
        <v>26.92</v>
      </c>
      <c r="F5000" s="23">
        <f>COUNTIFS(mdr_rate_cleaned!$A$2:$A$10,B5000,mdr_rate_cleaned!$B$2:$B$10,"&lt;"&amp;C5000,mdr_rate_cleaned!$F$2:$F$10,"&gt;="&amp;C5000)</f>
        <v>1</v>
      </c>
      <c r="G5000" s="40">
        <f>SUMIFS(mdr_rate_cleaned!$G$2:$G$10,mdr_rate_cleaned!$A$2:$A$10,B5000,mdr_rate_cleaned!$B$2:$B$10,"&lt;"&amp;C5000,mdr_rate_cleaned!$F$2:$F$10,"&gt;="&amp;C5000)</f>
        <v>1.7000000000000001E-2</v>
      </c>
      <c r="H5000" s="24">
        <f t="shared" si="390"/>
        <v>149.57</v>
      </c>
      <c r="I5000" s="23" t="str">
        <f t="shared" si="391"/>
        <v>Match</v>
      </c>
      <c r="J5000" s="23" t="str">
        <f t="shared" si="392"/>
        <v>Match</v>
      </c>
      <c r="K5000" s="24">
        <f t="shared" si="393"/>
        <v>26.92</v>
      </c>
      <c r="L5000" s="24">
        <f t="shared" si="394"/>
        <v>0</v>
      </c>
    </row>
    <row r="5001" spans="1:12" ht="15" customHeight="1" x14ac:dyDescent="0.3">
      <c r="A5001" s="23" t="s">
        <v>18387</v>
      </c>
      <c r="B5001" s="23" t="s">
        <v>79</v>
      </c>
      <c r="C5001" s="39">
        <v>3598</v>
      </c>
      <c r="D5001" s="24">
        <v>57.57</v>
      </c>
      <c r="E5001" s="24">
        <v>10.36</v>
      </c>
      <c r="F5001" s="23">
        <f>COUNTIFS(mdr_rate_cleaned!$A$2:$A$10,B5001,mdr_rate_cleaned!$B$2:$B$10,"&lt;"&amp;C5001,mdr_rate_cleaned!$F$2:$F$10,"&gt;="&amp;C5001)</f>
        <v>1</v>
      </c>
      <c r="G5001" s="40">
        <f>SUMIFS(mdr_rate_cleaned!$G$2:$G$10,mdr_rate_cleaned!$A$2:$A$10,B5001,mdr_rate_cleaned!$B$2:$B$10,"&lt;"&amp;C5001,mdr_rate_cleaned!$F$2:$F$10,"&gt;="&amp;C5001)</f>
        <v>1.6E-2</v>
      </c>
      <c r="H5001" s="24">
        <f t="shared" si="390"/>
        <v>57.57</v>
      </c>
      <c r="I5001" s="23" t="str">
        <f t="shared" si="391"/>
        <v>Match</v>
      </c>
      <c r="J5001" s="23" t="str">
        <f t="shared" si="392"/>
        <v>Match</v>
      </c>
      <c r="K5001" s="24">
        <f t="shared" si="393"/>
        <v>10.36</v>
      </c>
      <c r="L5001" s="24">
        <f t="shared" si="394"/>
        <v>0</v>
      </c>
    </row>
    <row r="5002" spans="1:12" ht="15" customHeight="1" x14ac:dyDescent="0.3">
      <c r="A5002" s="23" t="s">
        <v>18388</v>
      </c>
      <c r="B5002" s="23" t="s">
        <v>75</v>
      </c>
      <c r="C5002" s="39">
        <v>4999</v>
      </c>
      <c r="D5002" s="24">
        <v>15</v>
      </c>
      <c r="E5002" s="24">
        <v>2.7</v>
      </c>
      <c r="F5002" s="23">
        <f>COUNTIFS(mdr_rate_cleaned!$A$2:$A$10,B5002,mdr_rate_cleaned!$B$2:$B$10,"&lt;"&amp;C5002,mdr_rate_cleaned!$F$2:$F$10,"&gt;="&amp;C5002)</f>
        <v>1</v>
      </c>
      <c r="G5002" s="40">
        <f>SUMIFS(mdr_rate_cleaned!$G$2:$G$10,mdr_rate_cleaned!$A$2:$A$10,B5002,mdr_rate_cleaned!$B$2:$B$10,"&lt;"&amp;C5002,mdr_rate_cleaned!$F$2:$F$10,"&gt;="&amp;C5002)</f>
        <v>3.0000000000000001E-3</v>
      </c>
      <c r="H5002" s="24">
        <f t="shared" si="390"/>
        <v>15</v>
      </c>
      <c r="I5002" s="23" t="str">
        <f t="shared" si="391"/>
        <v>Match</v>
      </c>
      <c r="J5002" s="23" t="str">
        <f t="shared" si="392"/>
        <v>Match</v>
      </c>
      <c r="K5002" s="24">
        <f t="shared" si="393"/>
        <v>2.7</v>
      </c>
      <c r="L5002" s="24">
        <f t="shared" si="394"/>
        <v>0</v>
      </c>
    </row>
    <row r="5003" spans="1:12" ht="15" customHeight="1" x14ac:dyDescent="0.3">
      <c r="A5003" s="23" t="s">
        <v>18389</v>
      </c>
      <c r="B5003" s="23" t="s">
        <v>75</v>
      </c>
      <c r="C5003" s="39">
        <v>10397</v>
      </c>
      <c r="D5003" s="24">
        <v>31.19</v>
      </c>
      <c r="E5003" s="24">
        <v>5.61</v>
      </c>
      <c r="F5003" s="23">
        <f>COUNTIFS(mdr_rate_cleaned!$A$2:$A$10,B5003,mdr_rate_cleaned!$B$2:$B$10,"&lt;"&amp;C5003,mdr_rate_cleaned!$F$2:$F$10,"&gt;="&amp;C5003)</f>
        <v>1</v>
      </c>
      <c r="G5003" s="40">
        <f>SUMIFS(mdr_rate_cleaned!$G$2:$G$10,mdr_rate_cleaned!$A$2:$A$10,B5003,mdr_rate_cleaned!$B$2:$B$10,"&lt;"&amp;C5003,mdr_rate_cleaned!$F$2:$F$10,"&gt;="&amp;C5003)</f>
        <v>3.0000000000000001E-3</v>
      </c>
      <c r="H5003" s="24">
        <f t="shared" si="390"/>
        <v>31.19</v>
      </c>
      <c r="I5003" s="23" t="str">
        <f t="shared" si="391"/>
        <v>Match</v>
      </c>
      <c r="J5003" s="23" t="str">
        <f t="shared" si="392"/>
        <v>Match</v>
      </c>
      <c r="K5003" s="24">
        <f t="shared" si="393"/>
        <v>5.61</v>
      </c>
      <c r="L5003" s="24">
        <f t="shared" si="394"/>
        <v>0</v>
      </c>
    </row>
    <row r="5004" spans="1:12" ht="15" customHeight="1" x14ac:dyDescent="0.3">
      <c r="A5004" s="23" t="s">
        <v>18390</v>
      </c>
      <c r="B5004" s="23" t="s">
        <v>79</v>
      </c>
      <c r="C5004" s="39">
        <v>3798</v>
      </c>
      <c r="D5004" s="24">
        <v>60.77</v>
      </c>
      <c r="E5004" s="24">
        <v>10.94</v>
      </c>
      <c r="F5004" s="23">
        <f>COUNTIFS(mdr_rate_cleaned!$A$2:$A$10,B5004,mdr_rate_cleaned!$B$2:$B$10,"&lt;"&amp;C5004,mdr_rate_cleaned!$F$2:$F$10,"&gt;="&amp;C5004)</f>
        <v>1</v>
      </c>
      <c r="G5004" s="40">
        <f>SUMIFS(mdr_rate_cleaned!$G$2:$G$10,mdr_rate_cleaned!$A$2:$A$10,B5004,mdr_rate_cleaned!$B$2:$B$10,"&lt;"&amp;C5004,mdr_rate_cleaned!$F$2:$F$10,"&gt;="&amp;C5004)</f>
        <v>1.6E-2</v>
      </c>
      <c r="H5004" s="24">
        <f t="shared" si="390"/>
        <v>60.77</v>
      </c>
      <c r="I5004" s="23" t="str">
        <f t="shared" si="391"/>
        <v>Match</v>
      </c>
      <c r="J5004" s="23" t="str">
        <f t="shared" si="392"/>
        <v>Match</v>
      </c>
      <c r="K5004" s="24">
        <f t="shared" si="393"/>
        <v>10.94</v>
      </c>
      <c r="L5004" s="24">
        <f t="shared" si="394"/>
        <v>0</v>
      </c>
    </row>
    <row r="5005" spans="1:12" ht="15" customHeight="1" x14ac:dyDescent="0.3">
      <c r="A5005" s="23" t="s">
        <v>18391</v>
      </c>
      <c r="B5005" s="23" t="s">
        <v>75</v>
      </c>
      <c r="C5005" s="39">
        <v>599</v>
      </c>
      <c r="D5005" s="24">
        <v>0</v>
      </c>
      <c r="E5005" s="24">
        <v>0</v>
      </c>
      <c r="F5005" s="23">
        <f>COUNTIFS(mdr_rate_cleaned!$A$2:$A$10,B5005,mdr_rate_cleaned!$B$2:$B$10,"&lt;"&amp;C5005,mdr_rate_cleaned!$F$2:$F$10,"&gt;="&amp;C5005)</f>
        <v>1</v>
      </c>
      <c r="G5005" s="40">
        <f>SUMIFS(mdr_rate_cleaned!$G$2:$G$10,mdr_rate_cleaned!$A$2:$A$10,B5005,mdr_rate_cleaned!$B$2:$B$10,"&lt;"&amp;C5005,mdr_rate_cleaned!$F$2:$F$10,"&gt;="&amp;C5005)</f>
        <v>0</v>
      </c>
      <c r="H5005" s="24">
        <f t="shared" si="390"/>
        <v>0</v>
      </c>
      <c r="I5005" s="23" t="str">
        <f t="shared" si="391"/>
        <v>Match</v>
      </c>
      <c r="J5005" s="23" t="str">
        <f t="shared" si="392"/>
        <v>Match</v>
      </c>
      <c r="K5005" s="24">
        <f t="shared" si="393"/>
        <v>0</v>
      </c>
      <c r="L5005" s="24">
        <f t="shared" si="394"/>
        <v>0</v>
      </c>
    </row>
    <row r="5006" spans="1:12" ht="15" customHeight="1" x14ac:dyDescent="0.3">
      <c r="A5006" s="23" t="s">
        <v>18392</v>
      </c>
      <c r="B5006" s="23" t="s">
        <v>75</v>
      </c>
      <c r="C5006" s="39">
        <v>3598</v>
      </c>
      <c r="D5006" s="24">
        <v>10.79</v>
      </c>
      <c r="E5006" s="24">
        <v>1.94</v>
      </c>
      <c r="F5006" s="23">
        <f>COUNTIFS(mdr_rate_cleaned!$A$2:$A$10,B5006,mdr_rate_cleaned!$B$2:$B$10,"&lt;"&amp;C5006,mdr_rate_cleaned!$F$2:$F$10,"&gt;="&amp;C5006)</f>
        <v>1</v>
      </c>
      <c r="G5006" s="40">
        <f>SUMIFS(mdr_rate_cleaned!$G$2:$G$10,mdr_rate_cleaned!$A$2:$A$10,B5006,mdr_rate_cleaned!$B$2:$B$10,"&lt;"&amp;C5006,mdr_rate_cleaned!$F$2:$F$10,"&gt;="&amp;C5006)</f>
        <v>3.0000000000000001E-3</v>
      </c>
      <c r="H5006" s="24">
        <f t="shared" si="390"/>
        <v>10.79</v>
      </c>
      <c r="I5006" s="23" t="str">
        <f t="shared" si="391"/>
        <v>Match</v>
      </c>
      <c r="J5006" s="23" t="str">
        <f t="shared" si="392"/>
        <v>Match</v>
      </c>
      <c r="K5006" s="24">
        <f t="shared" si="393"/>
        <v>1.94</v>
      </c>
      <c r="L5006" s="24">
        <f t="shared" si="394"/>
        <v>0</v>
      </c>
    </row>
    <row r="5007" spans="1:12" ht="15" customHeight="1" x14ac:dyDescent="0.3">
      <c r="A5007" s="23" t="s">
        <v>18393</v>
      </c>
      <c r="B5007" s="23" t="s">
        <v>75</v>
      </c>
      <c r="C5007" s="39">
        <v>1348</v>
      </c>
      <c r="D5007" s="24">
        <v>0</v>
      </c>
      <c r="E5007" s="24">
        <v>0</v>
      </c>
      <c r="F5007" s="23">
        <f>COUNTIFS(mdr_rate_cleaned!$A$2:$A$10,B5007,mdr_rate_cleaned!$B$2:$B$10,"&lt;"&amp;C5007,mdr_rate_cleaned!$F$2:$F$10,"&gt;="&amp;C5007)</f>
        <v>1</v>
      </c>
      <c r="G5007" s="40">
        <f>SUMIFS(mdr_rate_cleaned!$G$2:$G$10,mdr_rate_cleaned!$A$2:$A$10,B5007,mdr_rate_cleaned!$B$2:$B$10,"&lt;"&amp;C5007,mdr_rate_cleaned!$F$2:$F$10,"&gt;="&amp;C5007)</f>
        <v>0</v>
      </c>
      <c r="H5007" s="24">
        <f t="shared" si="390"/>
        <v>0</v>
      </c>
      <c r="I5007" s="23" t="str">
        <f t="shared" si="391"/>
        <v>Match</v>
      </c>
      <c r="J5007" s="23" t="str">
        <f t="shared" si="392"/>
        <v>Match</v>
      </c>
      <c r="K5007" s="24">
        <f t="shared" si="393"/>
        <v>0</v>
      </c>
      <c r="L5007" s="24">
        <f t="shared" si="394"/>
        <v>0</v>
      </c>
    </row>
    <row r="5008" spans="1:12" ht="15" customHeight="1" x14ac:dyDescent="0.3">
      <c r="A5008" s="23" t="s">
        <v>18394</v>
      </c>
      <c r="B5008" s="23" t="s">
        <v>75</v>
      </c>
      <c r="C5008" s="39">
        <v>3798</v>
      </c>
      <c r="D5008" s="24">
        <v>11.39</v>
      </c>
      <c r="E5008" s="24">
        <v>2.0499999999999998</v>
      </c>
      <c r="F5008" s="23">
        <f>COUNTIFS(mdr_rate_cleaned!$A$2:$A$10,B5008,mdr_rate_cleaned!$B$2:$B$10,"&lt;"&amp;C5008,mdr_rate_cleaned!$F$2:$F$10,"&gt;="&amp;C5008)</f>
        <v>1</v>
      </c>
      <c r="G5008" s="40">
        <f>SUMIFS(mdr_rate_cleaned!$G$2:$G$10,mdr_rate_cleaned!$A$2:$A$10,B5008,mdr_rate_cleaned!$B$2:$B$10,"&lt;"&amp;C5008,mdr_rate_cleaned!$F$2:$F$10,"&gt;="&amp;C5008)</f>
        <v>3.0000000000000001E-3</v>
      </c>
      <c r="H5008" s="24">
        <f t="shared" si="390"/>
        <v>11.39</v>
      </c>
      <c r="I5008" s="23" t="str">
        <f t="shared" si="391"/>
        <v>Match</v>
      </c>
      <c r="J5008" s="23" t="str">
        <f t="shared" si="392"/>
        <v>Match</v>
      </c>
      <c r="K5008" s="24">
        <f t="shared" si="393"/>
        <v>2.0499999999999998</v>
      </c>
      <c r="L5008" s="24">
        <f t="shared" si="394"/>
        <v>0</v>
      </c>
    </row>
    <row r="5009" spans="1:12" ht="15" customHeight="1" x14ac:dyDescent="0.3">
      <c r="A5009" s="23" t="s">
        <v>18395</v>
      </c>
      <c r="B5009" s="23" t="s">
        <v>75</v>
      </c>
      <c r="C5009" s="39">
        <v>2499</v>
      </c>
      <c r="D5009" s="24">
        <v>7.5</v>
      </c>
      <c r="E5009" s="24">
        <v>1.35</v>
      </c>
      <c r="F5009" s="23">
        <f>COUNTIFS(mdr_rate_cleaned!$A$2:$A$10,B5009,mdr_rate_cleaned!$B$2:$B$10,"&lt;"&amp;C5009,mdr_rate_cleaned!$F$2:$F$10,"&gt;="&amp;C5009)</f>
        <v>1</v>
      </c>
      <c r="G5009" s="40">
        <f>SUMIFS(mdr_rate_cleaned!$G$2:$G$10,mdr_rate_cleaned!$A$2:$A$10,B5009,mdr_rate_cleaned!$B$2:$B$10,"&lt;"&amp;C5009,mdr_rate_cleaned!$F$2:$F$10,"&gt;="&amp;C5009)</f>
        <v>3.0000000000000001E-3</v>
      </c>
      <c r="H5009" s="24">
        <f t="shared" si="390"/>
        <v>7.5</v>
      </c>
      <c r="I5009" s="23" t="str">
        <f t="shared" si="391"/>
        <v>Match</v>
      </c>
      <c r="J5009" s="23" t="str">
        <f t="shared" si="392"/>
        <v>Match</v>
      </c>
      <c r="K5009" s="24">
        <f t="shared" si="393"/>
        <v>1.35</v>
      </c>
      <c r="L5009" s="24">
        <f t="shared" si="394"/>
        <v>0</v>
      </c>
    </row>
    <row r="5010" spans="1:12" ht="15" customHeight="1" x14ac:dyDescent="0.3">
      <c r="A5010" s="23" t="s">
        <v>18396</v>
      </c>
      <c r="B5010" s="23" t="s">
        <v>81</v>
      </c>
      <c r="C5010" s="39">
        <v>799</v>
      </c>
      <c r="D5010" s="24">
        <v>11.99</v>
      </c>
      <c r="E5010" s="24">
        <v>2.16</v>
      </c>
      <c r="F5010" s="23">
        <f>COUNTIFS(mdr_rate_cleaned!$A$2:$A$10,B5010,mdr_rate_cleaned!$B$2:$B$10,"&lt;"&amp;C5010,mdr_rate_cleaned!$F$2:$F$10,"&gt;="&amp;C5010)</f>
        <v>1</v>
      </c>
      <c r="G5010" s="40">
        <f>SUMIFS(mdr_rate_cleaned!$G$2:$G$10,mdr_rate_cleaned!$A$2:$A$10,B5010,mdr_rate_cleaned!$B$2:$B$10,"&lt;"&amp;C5010,mdr_rate_cleaned!$F$2:$F$10,"&gt;="&amp;C5010)</f>
        <v>1.4999999999999999E-2</v>
      </c>
      <c r="H5010" s="24">
        <f t="shared" si="390"/>
        <v>11.99</v>
      </c>
      <c r="I5010" s="23" t="str">
        <f t="shared" si="391"/>
        <v>Match</v>
      </c>
      <c r="J5010" s="23" t="str">
        <f t="shared" si="392"/>
        <v>Match</v>
      </c>
      <c r="K5010" s="24">
        <f t="shared" si="393"/>
        <v>2.16</v>
      </c>
      <c r="L5010" s="24">
        <f t="shared" si="394"/>
        <v>0</v>
      </c>
    </row>
    <row r="5011" spans="1:12" ht="15" customHeight="1" x14ac:dyDescent="0.3">
      <c r="A5011" s="23" t="s">
        <v>18397</v>
      </c>
      <c r="B5011" s="23" t="s">
        <v>79</v>
      </c>
      <c r="C5011" s="39">
        <v>4798</v>
      </c>
      <c r="D5011" s="24">
        <v>76.77</v>
      </c>
      <c r="E5011" s="24">
        <v>13.82</v>
      </c>
      <c r="F5011" s="23">
        <f>COUNTIFS(mdr_rate_cleaned!$A$2:$A$10,B5011,mdr_rate_cleaned!$B$2:$B$10,"&lt;"&amp;C5011,mdr_rate_cleaned!$F$2:$F$10,"&gt;="&amp;C5011)</f>
        <v>1</v>
      </c>
      <c r="G5011" s="40">
        <f>SUMIFS(mdr_rate_cleaned!$G$2:$G$10,mdr_rate_cleaned!$A$2:$A$10,B5011,mdr_rate_cleaned!$B$2:$B$10,"&lt;"&amp;C5011,mdr_rate_cleaned!$F$2:$F$10,"&gt;="&amp;C5011)</f>
        <v>1.6E-2</v>
      </c>
      <c r="H5011" s="24">
        <f t="shared" si="390"/>
        <v>76.77</v>
      </c>
      <c r="I5011" s="23" t="str">
        <f t="shared" si="391"/>
        <v>Match</v>
      </c>
      <c r="J5011" s="23" t="str">
        <f t="shared" si="392"/>
        <v>Match</v>
      </c>
      <c r="K5011" s="24">
        <f t="shared" si="393"/>
        <v>13.82</v>
      </c>
      <c r="L5011" s="24">
        <f t="shared" si="394"/>
        <v>0</v>
      </c>
    </row>
    <row r="5012" spans="1:12" ht="15" customHeight="1" x14ac:dyDescent="0.3">
      <c r="A5012" s="23" t="s">
        <v>18398</v>
      </c>
      <c r="B5012" s="23" t="s">
        <v>75</v>
      </c>
      <c r="C5012" s="39">
        <v>1299</v>
      </c>
      <c r="D5012" s="24">
        <v>0</v>
      </c>
      <c r="E5012" s="24">
        <v>0</v>
      </c>
      <c r="F5012" s="23">
        <f>COUNTIFS(mdr_rate_cleaned!$A$2:$A$10,B5012,mdr_rate_cleaned!$B$2:$B$10,"&lt;"&amp;C5012,mdr_rate_cleaned!$F$2:$F$10,"&gt;="&amp;C5012)</f>
        <v>1</v>
      </c>
      <c r="G5012" s="40">
        <f>SUMIFS(mdr_rate_cleaned!$G$2:$G$10,mdr_rate_cleaned!$A$2:$A$10,B5012,mdr_rate_cleaned!$B$2:$B$10,"&lt;"&amp;C5012,mdr_rate_cleaned!$F$2:$F$10,"&gt;="&amp;C5012)</f>
        <v>0</v>
      </c>
      <c r="H5012" s="24">
        <f t="shared" si="390"/>
        <v>0</v>
      </c>
      <c r="I5012" s="23" t="str">
        <f t="shared" si="391"/>
        <v>Match</v>
      </c>
      <c r="J5012" s="23" t="str">
        <f t="shared" si="392"/>
        <v>Match</v>
      </c>
      <c r="K5012" s="24">
        <f t="shared" si="393"/>
        <v>0</v>
      </c>
      <c r="L5012" s="24">
        <f t="shared" si="394"/>
        <v>0</v>
      </c>
    </row>
    <row r="5013" spans="1:12" ht="15" customHeight="1" x14ac:dyDescent="0.3">
      <c r="A5013" s="23" t="s">
        <v>18399</v>
      </c>
      <c r="B5013" s="23" t="s">
        <v>79</v>
      </c>
      <c r="C5013" s="39">
        <v>349</v>
      </c>
      <c r="D5013" s="24">
        <v>6.28</v>
      </c>
      <c r="E5013" s="24">
        <v>1.1299999999999999</v>
      </c>
      <c r="F5013" s="23">
        <f>COUNTIFS(mdr_rate_cleaned!$A$2:$A$10,B5013,mdr_rate_cleaned!$B$2:$B$10,"&lt;"&amp;C5013,mdr_rate_cleaned!$F$2:$F$10,"&gt;="&amp;C5013)</f>
        <v>1</v>
      </c>
      <c r="G5013" s="40">
        <f>SUMIFS(mdr_rate_cleaned!$G$2:$G$10,mdr_rate_cleaned!$A$2:$A$10,B5013,mdr_rate_cleaned!$B$2:$B$10,"&lt;"&amp;C5013,mdr_rate_cleaned!$F$2:$F$10,"&gt;="&amp;C5013)</f>
        <v>1.8000000000000002E-2</v>
      </c>
      <c r="H5013" s="24">
        <f t="shared" si="390"/>
        <v>6.28</v>
      </c>
      <c r="I5013" s="23" t="str">
        <f t="shared" si="391"/>
        <v>Match</v>
      </c>
      <c r="J5013" s="23" t="str">
        <f t="shared" si="392"/>
        <v>Match</v>
      </c>
      <c r="K5013" s="24">
        <f t="shared" si="393"/>
        <v>1.1299999999999999</v>
      </c>
      <c r="L5013" s="24">
        <f t="shared" si="394"/>
        <v>0</v>
      </c>
    </row>
    <row r="5014" spans="1:12" ht="15" customHeight="1" x14ac:dyDescent="0.3">
      <c r="A5014" s="23" t="s">
        <v>18400</v>
      </c>
      <c r="B5014" s="23" t="s">
        <v>77</v>
      </c>
      <c r="C5014" s="39">
        <v>1299</v>
      </c>
      <c r="D5014" s="24">
        <v>24.68</v>
      </c>
      <c r="E5014" s="24">
        <v>4.4400000000000004</v>
      </c>
      <c r="F5014" s="23">
        <f>COUNTIFS(mdr_rate_cleaned!$A$2:$A$10,B5014,mdr_rate_cleaned!$B$2:$B$10,"&lt;"&amp;C5014,mdr_rate_cleaned!$F$2:$F$10,"&gt;="&amp;C5014)</f>
        <v>1</v>
      </c>
      <c r="G5014" s="40">
        <f>SUMIFS(mdr_rate_cleaned!$G$2:$G$10,mdr_rate_cleaned!$A$2:$A$10,B5014,mdr_rate_cleaned!$B$2:$B$10,"&lt;"&amp;C5014,mdr_rate_cleaned!$F$2:$F$10,"&gt;="&amp;C5014)</f>
        <v>1.9E-2</v>
      </c>
      <c r="H5014" s="24">
        <f t="shared" si="390"/>
        <v>24.68</v>
      </c>
      <c r="I5014" s="23" t="str">
        <f t="shared" si="391"/>
        <v>Match</v>
      </c>
      <c r="J5014" s="23" t="str">
        <f t="shared" si="392"/>
        <v>Match</v>
      </c>
      <c r="K5014" s="24">
        <f t="shared" si="393"/>
        <v>4.4400000000000004</v>
      </c>
      <c r="L5014" s="24">
        <f t="shared" si="394"/>
        <v>0</v>
      </c>
    </row>
    <row r="5015" spans="1:12" ht="15" customHeight="1" x14ac:dyDescent="0.3">
      <c r="A5015" s="23" t="s">
        <v>18401</v>
      </c>
      <c r="B5015" s="23" t="s">
        <v>75</v>
      </c>
      <c r="C5015" s="39">
        <v>4197</v>
      </c>
      <c r="D5015" s="24">
        <v>12.59</v>
      </c>
      <c r="E5015" s="24">
        <v>2.27</v>
      </c>
      <c r="F5015" s="23">
        <f>COUNTIFS(mdr_rate_cleaned!$A$2:$A$10,B5015,mdr_rate_cleaned!$B$2:$B$10,"&lt;"&amp;C5015,mdr_rate_cleaned!$F$2:$F$10,"&gt;="&amp;C5015)</f>
        <v>1</v>
      </c>
      <c r="G5015" s="40">
        <f>SUMIFS(mdr_rate_cleaned!$G$2:$G$10,mdr_rate_cleaned!$A$2:$A$10,B5015,mdr_rate_cleaned!$B$2:$B$10,"&lt;"&amp;C5015,mdr_rate_cleaned!$F$2:$F$10,"&gt;="&amp;C5015)</f>
        <v>3.0000000000000001E-3</v>
      </c>
      <c r="H5015" s="24">
        <f t="shared" si="390"/>
        <v>12.59</v>
      </c>
      <c r="I5015" s="23" t="str">
        <f t="shared" si="391"/>
        <v>Match</v>
      </c>
      <c r="J5015" s="23" t="str">
        <f t="shared" si="392"/>
        <v>Match</v>
      </c>
      <c r="K5015" s="24">
        <f t="shared" si="393"/>
        <v>2.27</v>
      </c>
      <c r="L5015" s="24">
        <f t="shared" si="394"/>
        <v>0</v>
      </c>
    </row>
    <row r="5016" spans="1:12" ht="15" customHeight="1" x14ac:dyDescent="0.3">
      <c r="A5016" s="23" t="s">
        <v>18402</v>
      </c>
      <c r="B5016" s="23" t="s">
        <v>79</v>
      </c>
      <c r="C5016" s="39">
        <v>6998</v>
      </c>
      <c r="D5016" s="24">
        <v>111.97</v>
      </c>
      <c r="E5016" s="24">
        <v>20.149999999999999</v>
      </c>
      <c r="F5016" s="23">
        <f>COUNTIFS(mdr_rate_cleaned!$A$2:$A$10,B5016,mdr_rate_cleaned!$B$2:$B$10,"&lt;"&amp;C5016,mdr_rate_cleaned!$F$2:$F$10,"&gt;="&amp;C5016)</f>
        <v>1</v>
      </c>
      <c r="G5016" s="40">
        <f>SUMIFS(mdr_rate_cleaned!$G$2:$G$10,mdr_rate_cleaned!$A$2:$A$10,B5016,mdr_rate_cleaned!$B$2:$B$10,"&lt;"&amp;C5016,mdr_rate_cleaned!$F$2:$F$10,"&gt;="&amp;C5016)</f>
        <v>1.6E-2</v>
      </c>
      <c r="H5016" s="24">
        <f t="shared" si="390"/>
        <v>111.97</v>
      </c>
      <c r="I5016" s="23" t="str">
        <f t="shared" si="391"/>
        <v>Match</v>
      </c>
      <c r="J5016" s="23" t="str">
        <f t="shared" si="392"/>
        <v>Match</v>
      </c>
      <c r="K5016" s="24">
        <f t="shared" si="393"/>
        <v>20.149999999999999</v>
      </c>
      <c r="L5016" s="24">
        <f t="shared" si="394"/>
        <v>0</v>
      </c>
    </row>
    <row r="5017" spans="1:12" ht="15" customHeight="1" x14ac:dyDescent="0.3">
      <c r="A5017" s="23" t="s">
        <v>18403</v>
      </c>
      <c r="B5017" s="23" t="s">
        <v>75</v>
      </c>
      <c r="C5017" s="39">
        <v>299</v>
      </c>
      <c r="D5017" s="24">
        <v>0</v>
      </c>
      <c r="E5017" s="24">
        <v>0</v>
      </c>
      <c r="F5017" s="23">
        <f>COUNTIFS(mdr_rate_cleaned!$A$2:$A$10,B5017,mdr_rate_cleaned!$B$2:$B$10,"&lt;"&amp;C5017,mdr_rate_cleaned!$F$2:$F$10,"&gt;="&amp;C5017)</f>
        <v>1</v>
      </c>
      <c r="G5017" s="40">
        <f>SUMIFS(mdr_rate_cleaned!$G$2:$G$10,mdr_rate_cleaned!$A$2:$A$10,B5017,mdr_rate_cleaned!$B$2:$B$10,"&lt;"&amp;C5017,mdr_rate_cleaned!$F$2:$F$10,"&gt;="&amp;C5017)</f>
        <v>0</v>
      </c>
      <c r="H5017" s="24">
        <f t="shared" si="390"/>
        <v>0</v>
      </c>
      <c r="I5017" s="23" t="str">
        <f t="shared" si="391"/>
        <v>Match</v>
      </c>
      <c r="J5017" s="23" t="str">
        <f t="shared" si="392"/>
        <v>Match</v>
      </c>
      <c r="K5017" s="24">
        <f t="shared" si="393"/>
        <v>0</v>
      </c>
      <c r="L5017" s="24">
        <f t="shared" si="394"/>
        <v>0</v>
      </c>
    </row>
    <row r="5018" spans="1:12" ht="15" customHeight="1" x14ac:dyDescent="0.3">
      <c r="A5018" s="23" t="s">
        <v>18404</v>
      </c>
      <c r="B5018" s="23" t="s">
        <v>75</v>
      </c>
      <c r="C5018" s="39">
        <v>349</v>
      </c>
      <c r="D5018" s="24">
        <v>0</v>
      </c>
      <c r="E5018" s="24">
        <v>0</v>
      </c>
      <c r="F5018" s="23">
        <f>COUNTIFS(mdr_rate_cleaned!$A$2:$A$10,B5018,mdr_rate_cleaned!$B$2:$B$10,"&lt;"&amp;C5018,mdr_rate_cleaned!$F$2:$F$10,"&gt;="&amp;C5018)</f>
        <v>1</v>
      </c>
      <c r="G5018" s="40">
        <f>SUMIFS(mdr_rate_cleaned!$G$2:$G$10,mdr_rate_cleaned!$A$2:$A$10,B5018,mdr_rate_cleaned!$B$2:$B$10,"&lt;"&amp;C5018,mdr_rate_cleaned!$F$2:$F$10,"&gt;="&amp;C5018)</f>
        <v>0</v>
      </c>
      <c r="H5018" s="24">
        <f t="shared" si="390"/>
        <v>0</v>
      </c>
      <c r="I5018" s="23" t="str">
        <f t="shared" si="391"/>
        <v>Match</v>
      </c>
      <c r="J5018" s="23" t="str">
        <f t="shared" si="392"/>
        <v>Match</v>
      </c>
      <c r="K5018" s="24">
        <f t="shared" si="393"/>
        <v>0</v>
      </c>
      <c r="L5018" s="24">
        <f t="shared" si="394"/>
        <v>0</v>
      </c>
    </row>
    <row r="5019" spans="1:12" ht="15" customHeight="1" x14ac:dyDescent="0.3">
      <c r="A5019" s="23" t="s">
        <v>18405</v>
      </c>
      <c r="B5019" s="23" t="s">
        <v>79</v>
      </c>
      <c r="C5019" s="39">
        <v>8998</v>
      </c>
      <c r="D5019" s="24">
        <v>143.97</v>
      </c>
      <c r="E5019" s="24">
        <v>25.91</v>
      </c>
      <c r="F5019" s="23">
        <f>COUNTIFS(mdr_rate_cleaned!$A$2:$A$10,B5019,mdr_rate_cleaned!$B$2:$B$10,"&lt;"&amp;C5019,mdr_rate_cleaned!$F$2:$F$10,"&gt;="&amp;C5019)</f>
        <v>1</v>
      </c>
      <c r="G5019" s="40">
        <f>SUMIFS(mdr_rate_cleaned!$G$2:$G$10,mdr_rate_cleaned!$A$2:$A$10,B5019,mdr_rate_cleaned!$B$2:$B$10,"&lt;"&amp;C5019,mdr_rate_cleaned!$F$2:$F$10,"&gt;="&amp;C5019)</f>
        <v>1.6E-2</v>
      </c>
      <c r="H5019" s="24">
        <f t="shared" si="390"/>
        <v>143.97</v>
      </c>
      <c r="I5019" s="23" t="str">
        <f t="shared" si="391"/>
        <v>Match</v>
      </c>
      <c r="J5019" s="23" t="str">
        <f t="shared" si="392"/>
        <v>Match</v>
      </c>
      <c r="K5019" s="24">
        <f t="shared" si="393"/>
        <v>25.91</v>
      </c>
      <c r="L5019" s="24">
        <f t="shared" si="394"/>
        <v>0</v>
      </c>
    </row>
    <row r="5020" spans="1:12" ht="15" customHeight="1" x14ac:dyDescent="0.3">
      <c r="A5020" s="23" t="s">
        <v>18406</v>
      </c>
      <c r="B5020" s="23" t="s">
        <v>79</v>
      </c>
      <c r="C5020" s="39">
        <v>5498</v>
      </c>
      <c r="D5020" s="24">
        <v>87.97</v>
      </c>
      <c r="E5020" s="24">
        <v>15.83</v>
      </c>
      <c r="F5020" s="23">
        <f>COUNTIFS(mdr_rate_cleaned!$A$2:$A$10,B5020,mdr_rate_cleaned!$B$2:$B$10,"&lt;"&amp;C5020,mdr_rate_cleaned!$F$2:$F$10,"&gt;="&amp;C5020)</f>
        <v>1</v>
      </c>
      <c r="G5020" s="40">
        <f>SUMIFS(mdr_rate_cleaned!$G$2:$G$10,mdr_rate_cleaned!$A$2:$A$10,B5020,mdr_rate_cleaned!$B$2:$B$10,"&lt;"&amp;C5020,mdr_rate_cleaned!$F$2:$F$10,"&gt;="&amp;C5020)</f>
        <v>1.6E-2</v>
      </c>
      <c r="H5020" s="24">
        <f t="shared" si="390"/>
        <v>87.97</v>
      </c>
      <c r="I5020" s="23" t="str">
        <f t="shared" si="391"/>
        <v>Match</v>
      </c>
      <c r="J5020" s="23" t="str">
        <f t="shared" si="392"/>
        <v>Match</v>
      </c>
      <c r="K5020" s="24">
        <f t="shared" si="393"/>
        <v>15.83</v>
      </c>
      <c r="L5020" s="24">
        <f t="shared" si="394"/>
        <v>0</v>
      </c>
    </row>
    <row r="5021" spans="1:12" ht="15" customHeight="1" x14ac:dyDescent="0.3">
      <c r="A5021" s="23" t="s">
        <v>18407</v>
      </c>
      <c r="B5021" s="23" t="s">
        <v>79</v>
      </c>
      <c r="C5021" s="39">
        <v>499</v>
      </c>
      <c r="D5021" s="24">
        <v>8.98</v>
      </c>
      <c r="E5021" s="24">
        <v>1.62</v>
      </c>
      <c r="F5021" s="23">
        <f>COUNTIFS(mdr_rate_cleaned!$A$2:$A$10,B5021,mdr_rate_cleaned!$B$2:$B$10,"&lt;"&amp;C5021,mdr_rate_cleaned!$F$2:$F$10,"&gt;="&amp;C5021)</f>
        <v>1</v>
      </c>
      <c r="G5021" s="40">
        <f>SUMIFS(mdr_rate_cleaned!$G$2:$G$10,mdr_rate_cleaned!$A$2:$A$10,B5021,mdr_rate_cleaned!$B$2:$B$10,"&lt;"&amp;C5021,mdr_rate_cleaned!$F$2:$F$10,"&gt;="&amp;C5021)</f>
        <v>1.8000000000000002E-2</v>
      </c>
      <c r="H5021" s="24">
        <f t="shared" si="390"/>
        <v>8.98</v>
      </c>
      <c r="I5021" s="23" t="str">
        <f t="shared" si="391"/>
        <v>Match</v>
      </c>
      <c r="J5021" s="23" t="str">
        <f t="shared" si="392"/>
        <v>Match</v>
      </c>
      <c r="K5021" s="24">
        <f t="shared" si="393"/>
        <v>1.62</v>
      </c>
      <c r="L5021" s="24">
        <f t="shared" si="394"/>
        <v>0</v>
      </c>
    </row>
    <row r="5022" spans="1:12" ht="15" customHeight="1" x14ac:dyDescent="0.3">
      <c r="A5022" s="23" t="s">
        <v>18408</v>
      </c>
      <c r="B5022" s="23" t="s">
        <v>75</v>
      </c>
      <c r="C5022" s="39">
        <v>7999</v>
      </c>
      <c r="D5022" s="24">
        <v>24</v>
      </c>
      <c r="E5022" s="24">
        <v>4.32</v>
      </c>
      <c r="F5022" s="23">
        <f>COUNTIFS(mdr_rate_cleaned!$A$2:$A$10,B5022,mdr_rate_cleaned!$B$2:$B$10,"&lt;"&amp;C5022,mdr_rate_cleaned!$F$2:$F$10,"&gt;="&amp;C5022)</f>
        <v>1</v>
      </c>
      <c r="G5022" s="40">
        <f>SUMIFS(mdr_rate_cleaned!$G$2:$G$10,mdr_rate_cleaned!$A$2:$A$10,B5022,mdr_rate_cleaned!$B$2:$B$10,"&lt;"&amp;C5022,mdr_rate_cleaned!$F$2:$F$10,"&gt;="&amp;C5022)</f>
        <v>3.0000000000000001E-3</v>
      </c>
      <c r="H5022" s="24">
        <f t="shared" si="390"/>
        <v>24</v>
      </c>
      <c r="I5022" s="23" t="str">
        <f t="shared" si="391"/>
        <v>Match</v>
      </c>
      <c r="J5022" s="23" t="str">
        <f t="shared" si="392"/>
        <v>Match</v>
      </c>
      <c r="K5022" s="24">
        <f t="shared" si="393"/>
        <v>4.32</v>
      </c>
      <c r="L5022" s="24">
        <f t="shared" si="394"/>
        <v>0</v>
      </c>
    </row>
    <row r="5023" spans="1:12" ht="15" customHeight="1" x14ac:dyDescent="0.3">
      <c r="A5023" s="23" t="s">
        <v>18409</v>
      </c>
      <c r="B5023" s="23" t="s">
        <v>75</v>
      </c>
      <c r="C5023" s="39">
        <v>599</v>
      </c>
      <c r="D5023" s="24">
        <v>0</v>
      </c>
      <c r="E5023" s="24">
        <v>0</v>
      </c>
      <c r="F5023" s="23">
        <f>COUNTIFS(mdr_rate_cleaned!$A$2:$A$10,B5023,mdr_rate_cleaned!$B$2:$B$10,"&lt;"&amp;C5023,mdr_rate_cleaned!$F$2:$F$10,"&gt;="&amp;C5023)</f>
        <v>1</v>
      </c>
      <c r="G5023" s="40">
        <f>SUMIFS(mdr_rate_cleaned!$G$2:$G$10,mdr_rate_cleaned!$A$2:$A$10,B5023,mdr_rate_cleaned!$B$2:$B$10,"&lt;"&amp;C5023,mdr_rate_cleaned!$F$2:$F$10,"&gt;="&amp;C5023)</f>
        <v>0</v>
      </c>
      <c r="H5023" s="24">
        <f t="shared" si="390"/>
        <v>0</v>
      </c>
      <c r="I5023" s="23" t="str">
        <f t="shared" si="391"/>
        <v>Match</v>
      </c>
      <c r="J5023" s="23" t="str">
        <f t="shared" si="392"/>
        <v>Match</v>
      </c>
      <c r="K5023" s="24">
        <f t="shared" si="393"/>
        <v>0</v>
      </c>
      <c r="L5023" s="24">
        <f t="shared" si="394"/>
        <v>0</v>
      </c>
    </row>
    <row r="5024" spans="1:12" ht="15" customHeight="1" x14ac:dyDescent="0.3">
      <c r="A5024" s="23" t="s">
        <v>18411</v>
      </c>
      <c r="B5024" s="23" t="s">
        <v>75</v>
      </c>
      <c r="C5024" s="39">
        <v>349</v>
      </c>
      <c r="D5024" s="24">
        <v>0</v>
      </c>
      <c r="E5024" s="24">
        <v>0</v>
      </c>
      <c r="F5024" s="23">
        <f>COUNTIFS(mdr_rate_cleaned!$A$2:$A$10,B5024,mdr_rate_cleaned!$B$2:$B$10,"&lt;"&amp;C5024,mdr_rate_cleaned!$F$2:$F$10,"&gt;="&amp;C5024)</f>
        <v>1</v>
      </c>
      <c r="G5024" s="40">
        <f>SUMIFS(mdr_rate_cleaned!$G$2:$G$10,mdr_rate_cleaned!$A$2:$A$10,B5024,mdr_rate_cleaned!$B$2:$B$10,"&lt;"&amp;C5024,mdr_rate_cleaned!$F$2:$F$10,"&gt;="&amp;C5024)</f>
        <v>0</v>
      </c>
      <c r="H5024" s="24">
        <f t="shared" si="390"/>
        <v>0</v>
      </c>
      <c r="I5024" s="23" t="str">
        <f t="shared" si="391"/>
        <v>Match</v>
      </c>
      <c r="J5024" s="23" t="str">
        <f t="shared" si="392"/>
        <v>Match</v>
      </c>
      <c r="K5024" s="24">
        <f t="shared" si="393"/>
        <v>0</v>
      </c>
      <c r="L5024" s="24">
        <f t="shared" si="394"/>
        <v>0</v>
      </c>
    </row>
    <row r="5025" spans="1:12" ht="15" customHeight="1" x14ac:dyDescent="0.3">
      <c r="A5025" s="23" t="s">
        <v>18412</v>
      </c>
      <c r="B5025" s="23" t="s">
        <v>77</v>
      </c>
      <c r="C5025" s="39">
        <v>4798</v>
      </c>
      <c r="D5025" s="24">
        <v>81.569999999999993</v>
      </c>
      <c r="E5025" s="24">
        <v>14.68</v>
      </c>
      <c r="F5025" s="23">
        <f>COUNTIFS(mdr_rate_cleaned!$A$2:$A$10,B5025,mdr_rate_cleaned!$B$2:$B$10,"&lt;"&amp;C5025,mdr_rate_cleaned!$F$2:$F$10,"&gt;="&amp;C5025)</f>
        <v>1</v>
      </c>
      <c r="G5025" s="40">
        <f>SUMIFS(mdr_rate_cleaned!$G$2:$G$10,mdr_rate_cleaned!$A$2:$A$10,B5025,mdr_rate_cleaned!$B$2:$B$10,"&lt;"&amp;C5025,mdr_rate_cleaned!$F$2:$F$10,"&gt;="&amp;C5025)</f>
        <v>1.7000000000000001E-2</v>
      </c>
      <c r="H5025" s="24">
        <f t="shared" si="390"/>
        <v>81.569999999999993</v>
      </c>
      <c r="I5025" s="23" t="str">
        <f t="shared" si="391"/>
        <v>Match</v>
      </c>
      <c r="J5025" s="23" t="str">
        <f t="shared" si="392"/>
        <v>Match</v>
      </c>
      <c r="K5025" s="24">
        <f t="shared" si="393"/>
        <v>14.68</v>
      </c>
      <c r="L5025" s="24">
        <f t="shared" si="394"/>
        <v>0</v>
      </c>
    </row>
    <row r="5026" spans="1:12" ht="15" customHeight="1" x14ac:dyDescent="0.3">
      <c r="A5026" s="23" t="s">
        <v>18414</v>
      </c>
      <c r="B5026" s="23" t="s">
        <v>75</v>
      </c>
      <c r="C5026" s="39">
        <v>2097</v>
      </c>
      <c r="D5026" s="24">
        <v>6.29</v>
      </c>
      <c r="E5026" s="24">
        <v>1.1299999999999999</v>
      </c>
      <c r="F5026" s="23">
        <f>COUNTIFS(mdr_rate_cleaned!$A$2:$A$10,B5026,mdr_rate_cleaned!$B$2:$B$10,"&lt;"&amp;C5026,mdr_rate_cleaned!$F$2:$F$10,"&gt;="&amp;C5026)</f>
        <v>1</v>
      </c>
      <c r="G5026" s="40">
        <f>SUMIFS(mdr_rate_cleaned!$G$2:$G$10,mdr_rate_cleaned!$A$2:$A$10,B5026,mdr_rate_cleaned!$B$2:$B$10,"&lt;"&amp;C5026,mdr_rate_cleaned!$F$2:$F$10,"&gt;="&amp;C5026)</f>
        <v>3.0000000000000001E-3</v>
      </c>
      <c r="H5026" s="24">
        <f t="shared" si="390"/>
        <v>6.29</v>
      </c>
      <c r="I5026" s="23" t="str">
        <f t="shared" si="391"/>
        <v>Match</v>
      </c>
      <c r="J5026" s="23" t="str">
        <f t="shared" si="392"/>
        <v>Match</v>
      </c>
      <c r="K5026" s="24">
        <f t="shared" si="393"/>
        <v>1.1299999999999999</v>
      </c>
      <c r="L5026" s="24">
        <f t="shared" si="394"/>
        <v>0</v>
      </c>
    </row>
    <row r="5027" spans="1:12" ht="15" customHeight="1" x14ac:dyDescent="0.3">
      <c r="A5027" s="23" t="s">
        <v>18416</v>
      </c>
      <c r="B5027" s="23" t="s">
        <v>81</v>
      </c>
      <c r="C5027" s="39">
        <v>2298</v>
      </c>
      <c r="D5027" s="24">
        <v>27.58</v>
      </c>
      <c r="E5027" s="24">
        <v>4.96</v>
      </c>
      <c r="F5027" s="23">
        <f>COUNTIFS(mdr_rate_cleaned!$A$2:$A$10,B5027,mdr_rate_cleaned!$B$2:$B$10,"&lt;"&amp;C5027,mdr_rate_cleaned!$F$2:$F$10,"&gt;="&amp;C5027)</f>
        <v>1</v>
      </c>
      <c r="G5027" s="40">
        <f>SUMIFS(mdr_rate_cleaned!$G$2:$G$10,mdr_rate_cleaned!$A$2:$A$10,B5027,mdr_rate_cleaned!$B$2:$B$10,"&lt;"&amp;C5027,mdr_rate_cleaned!$F$2:$F$10,"&gt;="&amp;C5027)</f>
        <v>1.2E-2</v>
      </c>
      <c r="H5027" s="24">
        <f t="shared" si="390"/>
        <v>27.58</v>
      </c>
      <c r="I5027" s="23" t="str">
        <f t="shared" si="391"/>
        <v>Match</v>
      </c>
      <c r="J5027" s="23" t="str">
        <f t="shared" si="392"/>
        <v>Match</v>
      </c>
      <c r="K5027" s="24">
        <f t="shared" si="393"/>
        <v>4.96</v>
      </c>
      <c r="L5027" s="24">
        <f t="shared" si="394"/>
        <v>0</v>
      </c>
    </row>
    <row r="5028" spans="1:12" ht="15" customHeight="1" x14ac:dyDescent="0.3">
      <c r="A5028" s="23" t="s">
        <v>18417</v>
      </c>
      <c r="B5028" s="23" t="s">
        <v>75</v>
      </c>
      <c r="C5028" s="39">
        <v>3848</v>
      </c>
      <c r="D5028" s="24">
        <v>11.54</v>
      </c>
      <c r="E5028" s="24">
        <v>2.08</v>
      </c>
      <c r="F5028" s="23">
        <f>COUNTIFS(mdr_rate_cleaned!$A$2:$A$10,B5028,mdr_rate_cleaned!$B$2:$B$10,"&lt;"&amp;C5028,mdr_rate_cleaned!$F$2:$F$10,"&gt;="&amp;C5028)</f>
        <v>1</v>
      </c>
      <c r="G5028" s="40">
        <f>SUMIFS(mdr_rate_cleaned!$G$2:$G$10,mdr_rate_cleaned!$A$2:$A$10,B5028,mdr_rate_cleaned!$B$2:$B$10,"&lt;"&amp;C5028,mdr_rate_cleaned!$F$2:$F$10,"&gt;="&amp;C5028)</f>
        <v>3.0000000000000001E-3</v>
      </c>
      <c r="H5028" s="24">
        <f t="shared" si="390"/>
        <v>11.54</v>
      </c>
      <c r="I5028" s="23" t="str">
        <f t="shared" si="391"/>
        <v>Match</v>
      </c>
      <c r="J5028" s="23" t="str">
        <f t="shared" si="392"/>
        <v>Match</v>
      </c>
      <c r="K5028" s="24">
        <f t="shared" si="393"/>
        <v>2.08</v>
      </c>
      <c r="L5028" s="24">
        <f t="shared" si="394"/>
        <v>0</v>
      </c>
    </row>
    <row r="5029" spans="1:12" ht="15" customHeight="1" x14ac:dyDescent="0.3">
      <c r="A5029" s="23" t="s">
        <v>18418</v>
      </c>
      <c r="B5029" s="23" t="s">
        <v>75</v>
      </c>
      <c r="C5029" s="39">
        <v>16597</v>
      </c>
      <c r="D5029" s="24">
        <v>49.79</v>
      </c>
      <c r="E5029" s="24">
        <v>8.9600000000000009</v>
      </c>
      <c r="F5029" s="23">
        <f>COUNTIFS(mdr_rate_cleaned!$A$2:$A$10,B5029,mdr_rate_cleaned!$B$2:$B$10,"&lt;"&amp;C5029,mdr_rate_cleaned!$F$2:$F$10,"&gt;="&amp;C5029)</f>
        <v>1</v>
      </c>
      <c r="G5029" s="40">
        <f>SUMIFS(mdr_rate_cleaned!$G$2:$G$10,mdr_rate_cleaned!$A$2:$A$10,B5029,mdr_rate_cleaned!$B$2:$B$10,"&lt;"&amp;C5029,mdr_rate_cleaned!$F$2:$F$10,"&gt;="&amp;C5029)</f>
        <v>3.0000000000000001E-3</v>
      </c>
      <c r="H5029" s="24">
        <f t="shared" si="390"/>
        <v>49.79</v>
      </c>
      <c r="I5029" s="23" t="str">
        <f t="shared" si="391"/>
        <v>Match</v>
      </c>
      <c r="J5029" s="23" t="str">
        <f t="shared" si="392"/>
        <v>Match</v>
      </c>
      <c r="K5029" s="24">
        <f t="shared" si="393"/>
        <v>8.9600000000000009</v>
      </c>
      <c r="L5029" s="24">
        <f t="shared" si="394"/>
        <v>0</v>
      </c>
    </row>
    <row r="5030" spans="1:12" ht="15" customHeight="1" x14ac:dyDescent="0.3">
      <c r="A5030" s="23" t="s">
        <v>18419</v>
      </c>
      <c r="B5030" s="23" t="s">
        <v>75</v>
      </c>
      <c r="C5030" s="39">
        <v>299</v>
      </c>
      <c r="D5030" s="24">
        <v>0</v>
      </c>
      <c r="E5030" s="24">
        <v>0</v>
      </c>
      <c r="F5030" s="23">
        <f>COUNTIFS(mdr_rate_cleaned!$A$2:$A$10,B5030,mdr_rate_cleaned!$B$2:$B$10,"&lt;"&amp;C5030,mdr_rate_cleaned!$F$2:$F$10,"&gt;="&amp;C5030)</f>
        <v>1</v>
      </c>
      <c r="G5030" s="40">
        <f>SUMIFS(mdr_rate_cleaned!$G$2:$G$10,mdr_rate_cleaned!$A$2:$A$10,B5030,mdr_rate_cleaned!$B$2:$B$10,"&lt;"&amp;C5030,mdr_rate_cleaned!$F$2:$F$10,"&gt;="&amp;C5030)</f>
        <v>0</v>
      </c>
      <c r="H5030" s="24">
        <f t="shared" si="390"/>
        <v>0</v>
      </c>
      <c r="I5030" s="23" t="str">
        <f t="shared" si="391"/>
        <v>Match</v>
      </c>
      <c r="J5030" s="23" t="str">
        <f t="shared" si="392"/>
        <v>Match</v>
      </c>
      <c r="K5030" s="24">
        <f t="shared" si="393"/>
        <v>0</v>
      </c>
      <c r="L5030" s="24">
        <f t="shared" si="394"/>
        <v>0</v>
      </c>
    </row>
    <row r="5031" spans="1:12" ht="15" customHeight="1" x14ac:dyDescent="0.3">
      <c r="A5031" s="23" t="s">
        <v>18420</v>
      </c>
      <c r="B5031" s="23" t="s">
        <v>75</v>
      </c>
      <c r="C5031" s="39">
        <v>2098</v>
      </c>
      <c r="D5031" s="24">
        <v>6.29</v>
      </c>
      <c r="E5031" s="24">
        <v>1.1299999999999999</v>
      </c>
      <c r="F5031" s="23">
        <f>COUNTIFS(mdr_rate_cleaned!$A$2:$A$10,B5031,mdr_rate_cleaned!$B$2:$B$10,"&lt;"&amp;C5031,mdr_rate_cleaned!$F$2:$F$10,"&gt;="&amp;C5031)</f>
        <v>1</v>
      </c>
      <c r="G5031" s="40">
        <f>SUMIFS(mdr_rate_cleaned!$G$2:$G$10,mdr_rate_cleaned!$A$2:$A$10,B5031,mdr_rate_cleaned!$B$2:$B$10,"&lt;"&amp;C5031,mdr_rate_cleaned!$F$2:$F$10,"&gt;="&amp;C5031)</f>
        <v>3.0000000000000001E-3</v>
      </c>
      <c r="H5031" s="24">
        <f t="shared" si="390"/>
        <v>6.29</v>
      </c>
      <c r="I5031" s="23" t="str">
        <f t="shared" si="391"/>
        <v>Match</v>
      </c>
      <c r="J5031" s="23" t="str">
        <f t="shared" si="392"/>
        <v>Match</v>
      </c>
      <c r="K5031" s="24">
        <f t="shared" si="393"/>
        <v>1.1299999999999999</v>
      </c>
      <c r="L5031" s="24">
        <f t="shared" si="394"/>
        <v>0</v>
      </c>
    </row>
    <row r="5032" spans="1:12" ht="15" customHeight="1" x14ac:dyDescent="0.3">
      <c r="A5032" s="23" t="s">
        <v>18421</v>
      </c>
      <c r="B5032" s="23" t="s">
        <v>77</v>
      </c>
      <c r="C5032" s="39">
        <v>1499</v>
      </c>
      <c r="D5032" s="24">
        <v>28.48</v>
      </c>
      <c r="E5032" s="24">
        <v>5.13</v>
      </c>
      <c r="F5032" s="23">
        <f>COUNTIFS(mdr_rate_cleaned!$A$2:$A$10,B5032,mdr_rate_cleaned!$B$2:$B$10,"&lt;"&amp;C5032,mdr_rate_cleaned!$F$2:$F$10,"&gt;="&amp;C5032)</f>
        <v>1</v>
      </c>
      <c r="G5032" s="40">
        <f>SUMIFS(mdr_rate_cleaned!$G$2:$G$10,mdr_rate_cleaned!$A$2:$A$10,B5032,mdr_rate_cleaned!$B$2:$B$10,"&lt;"&amp;C5032,mdr_rate_cleaned!$F$2:$F$10,"&gt;="&amp;C5032)</f>
        <v>1.9E-2</v>
      </c>
      <c r="H5032" s="24">
        <f t="shared" si="390"/>
        <v>28.48</v>
      </c>
      <c r="I5032" s="23" t="str">
        <f t="shared" si="391"/>
        <v>Match</v>
      </c>
      <c r="J5032" s="23" t="str">
        <f t="shared" si="392"/>
        <v>Match</v>
      </c>
      <c r="K5032" s="24">
        <f t="shared" si="393"/>
        <v>5.13</v>
      </c>
      <c r="L5032" s="24">
        <f t="shared" si="394"/>
        <v>0</v>
      </c>
    </row>
    <row r="5033" spans="1:12" ht="15" customHeight="1" x14ac:dyDescent="0.3">
      <c r="A5033" s="23" t="s">
        <v>18422</v>
      </c>
      <c r="B5033" s="23" t="s">
        <v>75</v>
      </c>
      <c r="C5033" s="39">
        <v>2998</v>
      </c>
      <c r="D5033" s="24">
        <v>8.99</v>
      </c>
      <c r="E5033" s="24">
        <v>1.62</v>
      </c>
      <c r="F5033" s="23">
        <f>COUNTIFS(mdr_rate_cleaned!$A$2:$A$10,B5033,mdr_rate_cleaned!$B$2:$B$10,"&lt;"&amp;C5033,mdr_rate_cleaned!$F$2:$F$10,"&gt;="&amp;C5033)</f>
        <v>1</v>
      </c>
      <c r="G5033" s="40">
        <f>SUMIFS(mdr_rate_cleaned!$G$2:$G$10,mdr_rate_cleaned!$A$2:$A$10,B5033,mdr_rate_cleaned!$B$2:$B$10,"&lt;"&amp;C5033,mdr_rate_cleaned!$F$2:$F$10,"&gt;="&amp;C5033)</f>
        <v>3.0000000000000001E-3</v>
      </c>
      <c r="H5033" s="24">
        <f t="shared" si="390"/>
        <v>8.99</v>
      </c>
      <c r="I5033" s="23" t="str">
        <f t="shared" si="391"/>
        <v>Match</v>
      </c>
      <c r="J5033" s="23" t="str">
        <f t="shared" si="392"/>
        <v>Match</v>
      </c>
      <c r="K5033" s="24">
        <f t="shared" si="393"/>
        <v>1.62</v>
      </c>
      <c r="L5033" s="24">
        <f t="shared" si="394"/>
        <v>0</v>
      </c>
    </row>
    <row r="5034" spans="1:12" ht="15" customHeight="1" x14ac:dyDescent="0.3">
      <c r="A5034" s="23" t="s">
        <v>18423</v>
      </c>
      <c r="B5034" s="23" t="s">
        <v>79</v>
      </c>
      <c r="C5034" s="39">
        <v>349</v>
      </c>
      <c r="D5034" s="24">
        <v>6.28</v>
      </c>
      <c r="E5034" s="24">
        <v>1.1299999999999999</v>
      </c>
      <c r="F5034" s="23">
        <f>COUNTIFS(mdr_rate_cleaned!$A$2:$A$10,B5034,mdr_rate_cleaned!$B$2:$B$10,"&lt;"&amp;C5034,mdr_rate_cleaned!$F$2:$F$10,"&gt;="&amp;C5034)</f>
        <v>1</v>
      </c>
      <c r="G5034" s="40">
        <f>SUMIFS(mdr_rate_cleaned!$G$2:$G$10,mdr_rate_cleaned!$A$2:$A$10,B5034,mdr_rate_cleaned!$B$2:$B$10,"&lt;"&amp;C5034,mdr_rate_cleaned!$F$2:$F$10,"&gt;="&amp;C5034)</f>
        <v>1.8000000000000002E-2</v>
      </c>
      <c r="H5034" s="24">
        <f t="shared" si="390"/>
        <v>6.28</v>
      </c>
      <c r="I5034" s="23" t="str">
        <f t="shared" si="391"/>
        <v>Match</v>
      </c>
      <c r="J5034" s="23" t="str">
        <f t="shared" si="392"/>
        <v>Match</v>
      </c>
      <c r="K5034" s="24">
        <f t="shared" si="393"/>
        <v>1.1299999999999999</v>
      </c>
      <c r="L5034" s="24">
        <f t="shared" si="394"/>
        <v>0</v>
      </c>
    </row>
    <row r="5035" spans="1:12" ht="15" customHeight="1" x14ac:dyDescent="0.3">
      <c r="A5035" s="23" t="s">
        <v>18424</v>
      </c>
      <c r="B5035" s="23" t="s">
        <v>75</v>
      </c>
      <c r="C5035" s="39">
        <v>7999</v>
      </c>
      <c r="D5035" s="24">
        <v>24</v>
      </c>
      <c r="E5035" s="24">
        <v>4.32</v>
      </c>
      <c r="F5035" s="23">
        <f>COUNTIFS(mdr_rate_cleaned!$A$2:$A$10,B5035,mdr_rate_cleaned!$B$2:$B$10,"&lt;"&amp;C5035,mdr_rate_cleaned!$F$2:$F$10,"&gt;="&amp;C5035)</f>
        <v>1</v>
      </c>
      <c r="G5035" s="40">
        <f>SUMIFS(mdr_rate_cleaned!$G$2:$G$10,mdr_rate_cleaned!$A$2:$A$10,B5035,mdr_rate_cleaned!$B$2:$B$10,"&lt;"&amp;C5035,mdr_rate_cleaned!$F$2:$F$10,"&gt;="&amp;C5035)</f>
        <v>3.0000000000000001E-3</v>
      </c>
      <c r="H5035" s="24">
        <f t="shared" si="390"/>
        <v>24</v>
      </c>
      <c r="I5035" s="23" t="str">
        <f t="shared" si="391"/>
        <v>Match</v>
      </c>
      <c r="J5035" s="23" t="str">
        <f t="shared" si="392"/>
        <v>Match</v>
      </c>
      <c r="K5035" s="24">
        <f t="shared" si="393"/>
        <v>4.32</v>
      </c>
      <c r="L5035" s="24">
        <f t="shared" si="394"/>
        <v>0</v>
      </c>
    </row>
    <row r="5036" spans="1:12" ht="15" customHeight="1" x14ac:dyDescent="0.3">
      <c r="A5036" s="23" t="s">
        <v>18425</v>
      </c>
      <c r="B5036" s="23" t="s">
        <v>79</v>
      </c>
      <c r="C5036" s="39">
        <v>2598</v>
      </c>
      <c r="D5036" s="24">
        <v>41.57</v>
      </c>
      <c r="E5036" s="24">
        <v>7.48</v>
      </c>
      <c r="F5036" s="23">
        <f>COUNTIFS(mdr_rate_cleaned!$A$2:$A$10,B5036,mdr_rate_cleaned!$B$2:$B$10,"&lt;"&amp;C5036,mdr_rate_cleaned!$F$2:$F$10,"&gt;="&amp;C5036)</f>
        <v>1</v>
      </c>
      <c r="G5036" s="40">
        <f>SUMIFS(mdr_rate_cleaned!$G$2:$G$10,mdr_rate_cleaned!$A$2:$A$10,B5036,mdr_rate_cleaned!$B$2:$B$10,"&lt;"&amp;C5036,mdr_rate_cleaned!$F$2:$F$10,"&gt;="&amp;C5036)</f>
        <v>1.6E-2</v>
      </c>
      <c r="H5036" s="24">
        <f t="shared" si="390"/>
        <v>41.57</v>
      </c>
      <c r="I5036" s="23" t="str">
        <f t="shared" si="391"/>
        <v>Match</v>
      </c>
      <c r="J5036" s="23" t="str">
        <f t="shared" si="392"/>
        <v>Match</v>
      </c>
      <c r="K5036" s="24">
        <f t="shared" si="393"/>
        <v>7.48</v>
      </c>
      <c r="L5036" s="24">
        <f t="shared" si="394"/>
        <v>0</v>
      </c>
    </row>
    <row r="5037" spans="1:12" ht="15" customHeight="1" x14ac:dyDescent="0.3">
      <c r="A5037" s="23" t="s">
        <v>18426</v>
      </c>
      <c r="B5037" s="23" t="s">
        <v>79</v>
      </c>
      <c r="C5037" s="39">
        <v>349</v>
      </c>
      <c r="D5037" s="24">
        <v>6.28</v>
      </c>
      <c r="E5037" s="24">
        <v>1.1299999999999999</v>
      </c>
      <c r="F5037" s="23">
        <f>COUNTIFS(mdr_rate_cleaned!$A$2:$A$10,B5037,mdr_rate_cleaned!$B$2:$B$10,"&lt;"&amp;C5037,mdr_rate_cleaned!$F$2:$F$10,"&gt;="&amp;C5037)</f>
        <v>1</v>
      </c>
      <c r="G5037" s="40">
        <f>SUMIFS(mdr_rate_cleaned!$G$2:$G$10,mdr_rate_cleaned!$A$2:$A$10,B5037,mdr_rate_cleaned!$B$2:$B$10,"&lt;"&amp;C5037,mdr_rate_cleaned!$F$2:$F$10,"&gt;="&amp;C5037)</f>
        <v>1.8000000000000002E-2</v>
      </c>
      <c r="H5037" s="24">
        <f t="shared" si="390"/>
        <v>6.28</v>
      </c>
      <c r="I5037" s="23" t="str">
        <f t="shared" si="391"/>
        <v>Match</v>
      </c>
      <c r="J5037" s="23" t="str">
        <f t="shared" si="392"/>
        <v>Match</v>
      </c>
      <c r="K5037" s="24">
        <f t="shared" si="393"/>
        <v>1.1299999999999999</v>
      </c>
      <c r="L5037" s="24">
        <f t="shared" si="394"/>
        <v>0</v>
      </c>
    </row>
    <row r="5038" spans="1:12" ht="15" customHeight="1" x14ac:dyDescent="0.3">
      <c r="A5038" s="23" t="s">
        <v>18427</v>
      </c>
      <c r="B5038" s="23" t="s">
        <v>75</v>
      </c>
      <c r="C5038" s="39">
        <v>2499</v>
      </c>
      <c r="D5038" s="24">
        <v>7.5</v>
      </c>
      <c r="E5038" s="24">
        <v>1.35</v>
      </c>
      <c r="F5038" s="23">
        <f>COUNTIFS(mdr_rate_cleaned!$A$2:$A$10,B5038,mdr_rate_cleaned!$B$2:$B$10,"&lt;"&amp;C5038,mdr_rate_cleaned!$F$2:$F$10,"&gt;="&amp;C5038)</f>
        <v>1</v>
      </c>
      <c r="G5038" s="40">
        <f>SUMIFS(mdr_rate_cleaned!$G$2:$G$10,mdr_rate_cleaned!$A$2:$A$10,B5038,mdr_rate_cleaned!$B$2:$B$10,"&lt;"&amp;C5038,mdr_rate_cleaned!$F$2:$F$10,"&gt;="&amp;C5038)</f>
        <v>3.0000000000000001E-3</v>
      </c>
      <c r="H5038" s="24">
        <f t="shared" si="390"/>
        <v>7.5</v>
      </c>
      <c r="I5038" s="23" t="str">
        <f t="shared" si="391"/>
        <v>Match</v>
      </c>
      <c r="J5038" s="23" t="str">
        <f t="shared" si="392"/>
        <v>Match</v>
      </c>
      <c r="K5038" s="24">
        <f t="shared" si="393"/>
        <v>1.35</v>
      </c>
      <c r="L5038" s="24">
        <f t="shared" si="394"/>
        <v>0</v>
      </c>
    </row>
    <row r="5039" spans="1:12" ht="15" customHeight="1" x14ac:dyDescent="0.3">
      <c r="A5039" s="23" t="s">
        <v>18428</v>
      </c>
      <c r="B5039" s="23" t="s">
        <v>79</v>
      </c>
      <c r="C5039" s="39">
        <v>4999</v>
      </c>
      <c r="D5039" s="24">
        <v>79.98</v>
      </c>
      <c r="E5039" s="24">
        <v>14.4</v>
      </c>
      <c r="F5039" s="23">
        <f>COUNTIFS(mdr_rate_cleaned!$A$2:$A$10,B5039,mdr_rate_cleaned!$B$2:$B$10,"&lt;"&amp;C5039,mdr_rate_cleaned!$F$2:$F$10,"&gt;="&amp;C5039)</f>
        <v>1</v>
      </c>
      <c r="G5039" s="40">
        <f>SUMIFS(mdr_rate_cleaned!$G$2:$G$10,mdr_rate_cleaned!$A$2:$A$10,B5039,mdr_rate_cleaned!$B$2:$B$10,"&lt;"&amp;C5039,mdr_rate_cleaned!$F$2:$F$10,"&gt;="&amp;C5039)</f>
        <v>1.6E-2</v>
      </c>
      <c r="H5039" s="24">
        <f t="shared" si="390"/>
        <v>79.98</v>
      </c>
      <c r="I5039" s="23" t="str">
        <f t="shared" si="391"/>
        <v>Match</v>
      </c>
      <c r="J5039" s="23" t="str">
        <f t="shared" si="392"/>
        <v>Match</v>
      </c>
      <c r="K5039" s="24">
        <f t="shared" si="393"/>
        <v>14.4</v>
      </c>
      <c r="L5039" s="24">
        <f t="shared" si="394"/>
        <v>0</v>
      </c>
    </row>
    <row r="5040" spans="1:12" ht="15" customHeight="1" x14ac:dyDescent="0.3">
      <c r="A5040" s="23" t="s">
        <v>18430</v>
      </c>
      <c r="B5040" s="23" t="s">
        <v>79</v>
      </c>
      <c r="C5040" s="39">
        <v>999</v>
      </c>
      <c r="D5040" s="24">
        <v>17.98</v>
      </c>
      <c r="E5040" s="24">
        <v>3.24</v>
      </c>
      <c r="F5040" s="23">
        <f>COUNTIFS(mdr_rate_cleaned!$A$2:$A$10,B5040,mdr_rate_cleaned!$B$2:$B$10,"&lt;"&amp;C5040,mdr_rate_cleaned!$F$2:$F$10,"&gt;="&amp;C5040)</f>
        <v>1</v>
      </c>
      <c r="G5040" s="40">
        <f>SUMIFS(mdr_rate_cleaned!$G$2:$G$10,mdr_rate_cleaned!$A$2:$A$10,B5040,mdr_rate_cleaned!$B$2:$B$10,"&lt;"&amp;C5040,mdr_rate_cleaned!$F$2:$F$10,"&gt;="&amp;C5040)</f>
        <v>1.8000000000000002E-2</v>
      </c>
      <c r="H5040" s="24">
        <f t="shared" si="390"/>
        <v>17.98</v>
      </c>
      <c r="I5040" s="23" t="str">
        <f t="shared" si="391"/>
        <v>Match</v>
      </c>
      <c r="J5040" s="23" t="str">
        <f t="shared" si="392"/>
        <v>Match</v>
      </c>
      <c r="K5040" s="24">
        <f t="shared" si="393"/>
        <v>3.24</v>
      </c>
      <c r="L5040" s="24">
        <f t="shared" si="394"/>
        <v>0</v>
      </c>
    </row>
    <row r="5041" spans="1:12" ht="15" customHeight="1" x14ac:dyDescent="0.3">
      <c r="A5041" s="23" t="s">
        <v>18431</v>
      </c>
      <c r="B5041" s="23" t="s">
        <v>79</v>
      </c>
      <c r="C5041" s="39">
        <v>1299</v>
      </c>
      <c r="D5041" s="24">
        <v>23.38</v>
      </c>
      <c r="E5041" s="24">
        <v>4.21</v>
      </c>
      <c r="F5041" s="23">
        <f>COUNTIFS(mdr_rate_cleaned!$A$2:$A$10,B5041,mdr_rate_cleaned!$B$2:$B$10,"&lt;"&amp;C5041,mdr_rate_cleaned!$F$2:$F$10,"&gt;="&amp;C5041)</f>
        <v>1</v>
      </c>
      <c r="G5041" s="40">
        <f>SUMIFS(mdr_rate_cleaned!$G$2:$G$10,mdr_rate_cleaned!$A$2:$A$10,B5041,mdr_rate_cleaned!$B$2:$B$10,"&lt;"&amp;C5041,mdr_rate_cleaned!$F$2:$F$10,"&gt;="&amp;C5041)</f>
        <v>1.8000000000000002E-2</v>
      </c>
      <c r="H5041" s="24">
        <f t="shared" si="390"/>
        <v>23.38</v>
      </c>
      <c r="I5041" s="23" t="str">
        <f t="shared" si="391"/>
        <v>Match</v>
      </c>
      <c r="J5041" s="23" t="str">
        <f t="shared" si="392"/>
        <v>Match</v>
      </c>
      <c r="K5041" s="24">
        <f t="shared" si="393"/>
        <v>4.21</v>
      </c>
      <c r="L5041" s="24">
        <f t="shared" si="394"/>
        <v>0</v>
      </c>
    </row>
    <row r="5042" spans="1:12" ht="15" customHeight="1" x14ac:dyDescent="0.3">
      <c r="A5042" s="23" t="s">
        <v>18432</v>
      </c>
      <c r="B5042" s="23" t="s">
        <v>75</v>
      </c>
      <c r="C5042" s="39">
        <v>3499</v>
      </c>
      <c r="D5042" s="24">
        <v>10.5</v>
      </c>
      <c r="E5042" s="24">
        <v>1.89</v>
      </c>
      <c r="F5042" s="23">
        <f>COUNTIFS(mdr_rate_cleaned!$A$2:$A$10,B5042,mdr_rate_cleaned!$B$2:$B$10,"&lt;"&amp;C5042,mdr_rate_cleaned!$F$2:$F$10,"&gt;="&amp;C5042)</f>
        <v>1</v>
      </c>
      <c r="G5042" s="40">
        <f>SUMIFS(mdr_rate_cleaned!$G$2:$G$10,mdr_rate_cleaned!$A$2:$A$10,B5042,mdr_rate_cleaned!$B$2:$B$10,"&lt;"&amp;C5042,mdr_rate_cleaned!$F$2:$F$10,"&gt;="&amp;C5042)</f>
        <v>3.0000000000000001E-3</v>
      </c>
      <c r="H5042" s="24">
        <f t="shared" si="390"/>
        <v>10.5</v>
      </c>
      <c r="I5042" s="23" t="str">
        <f t="shared" si="391"/>
        <v>Match</v>
      </c>
      <c r="J5042" s="23" t="str">
        <f t="shared" si="392"/>
        <v>Match</v>
      </c>
      <c r="K5042" s="24">
        <f t="shared" si="393"/>
        <v>1.89</v>
      </c>
      <c r="L5042" s="24">
        <f t="shared" si="394"/>
        <v>0</v>
      </c>
    </row>
    <row r="5043" spans="1:12" ht="15" customHeight="1" x14ac:dyDescent="0.3">
      <c r="A5043" s="23" t="s">
        <v>18434</v>
      </c>
      <c r="B5043" s="23" t="s">
        <v>81</v>
      </c>
      <c r="C5043" s="39">
        <v>3998</v>
      </c>
      <c r="D5043" s="24">
        <v>47.98</v>
      </c>
      <c r="E5043" s="24">
        <v>8.64</v>
      </c>
      <c r="F5043" s="23">
        <f>COUNTIFS(mdr_rate_cleaned!$A$2:$A$10,B5043,mdr_rate_cleaned!$B$2:$B$10,"&lt;"&amp;C5043,mdr_rate_cleaned!$F$2:$F$10,"&gt;="&amp;C5043)</f>
        <v>1</v>
      </c>
      <c r="G5043" s="40">
        <f>SUMIFS(mdr_rate_cleaned!$G$2:$G$10,mdr_rate_cleaned!$A$2:$A$10,B5043,mdr_rate_cleaned!$B$2:$B$10,"&lt;"&amp;C5043,mdr_rate_cleaned!$F$2:$F$10,"&gt;="&amp;C5043)</f>
        <v>1.2E-2</v>
      </c>
      <c r="H5043" s="24">
        <f t="shared" si="390"/>
        <v>47.98</v>
      </c>
      <c r="I5043" s="23" t="str">
        <f t="shared" si="391"/>
        <v>Match</v>
      </c>
      <c r="J5043" s="23" t="str">
        <f t="shared" si="392"/>
        <v>Match</v>
      </c>
      <c r="K5043" s="24">
        <f t="shared" si="393"/>
        <v>8.64</v>
      </c>
      <c r="L5043" s="24">
        <f t="shared" si="394"/>
        <v>0</v>
      </c>
    </row>
    <row r="5044" spans="1:12" ht="15" customHeight="1" x14ac:dyDescent="0.3">
      <c r="A5044" s="23" t="s">
        <v>18435</v>
      </c>
      <c r="B5044" s="23" t="s">
        <v>75</v>
      </c>
      <c r="C5044" s="39">
        <v>299</v>
      </c>
      <c r="D5044" s="24">
        <v>0</v>
      </c>
      <c r="E5044" s="24">
        <v>0</v>
      </c>
      <c r="F5044" s="23">
        <f>COUNTIFS(mdr_rate_cleaned!$A$2:$A$10,B5044,mdr_rate_cleaned!$B$2:$B$10,"&lt;"&amp;C5044,mdr_rate_cleaned!$F$2:$F$10,"&gt;="&amp;C5044)</f>
        <v>1</v>
      </c>
      <c r="G5044" s="40">
        <f>SUMIFS(mdr_rate_cleaned!$G$2:$G$10,mdr_rate_cleaned!$A$2:$A$10,B5044,mdr_rate_cleaned!$B$2:$B$10,"&lt;"&amp;C5044,mdr_rate_cleaned!$F$2:$F$10,"&gt;="&amp;C5044)</f>
        <v>0</v>
      </c>
      <c r="H5044" s="24">
        <f t="shared" si="390"/>
        <v>0</v>
      </c>
      <c r="I5044" s="23" t="str">
        <f t="shared" si="391"/>
        <v>Match</v>
      </c>
      <c r="J5044" s="23" t="str">
        <f t="shared" si="392"/>
        <v>Match</v>
      </c>
      <c r="K5044" s="24">
        <f t="shared" si="393"/>
        <v>0</v>
      </c>
      <c r="L5044" s="24">
        <f t="shared" si="394"/>
        <v>0</v>
      </c>
    </row>
    <row r="5045" spans="1:12" ht="15" customHeight="1" x14ac:dyDescent="0.3">
      <c r="A5045" s="23" t="s">
        <v>18436</v>
      </c>
      <c r="B5045" s="23" t="s">
        <v>77</v>
      </c>
      <c r="C5045" s="39">
        <v>8498</v>
      </c>
      <c r="D5045" s="24">
        <v>144.47</v>
      </c>
      <c r="E5045" s="24">
        <v>26</v>
      </c>
      <c r="F5045" s="23">
        <f>COUNTIFS(mdr_rate_cleaned!$A$2:$A$10,B5045,mdr_rate_cleaned!$B$2:$B$10,"&lt;"&amp;C5045,mdr_rate_cleaned!$F$2:$F$10,"&gt;="&amp;C5045)</f>
        <v>1</v>
      </c>
      <c r="G5045" s="40">
        <f>SUMIFS(mdr_rate_cleaned!$G$2:$G$10,mdr_rate_cleaned!$A$2:$A$10,B5045,mdr_rate_cleaned!$B$2:$B$10,"&lt;"&amp;C5045,mdr_rate_cleaned!$F$2:$F$10,"&gt;="&amp;C5045)</f>
        <v>1.7000000000000001E-2</v>
      </c>
      <c r="H5045" s="24">
        <f t="shared" si="390"/>
        <v>144.47</v>
      </c>
      <c r="I5045" s="23" t="str">
        <f t="shared" si="391"/>
        <v>Match</v>
      </c>
      <c r="J5045" s="23" t="str">
        <f t="shared" si="392"/>
        <v>Match</v>
      </c>
      <c r="K5045" s="24">
        <f t="shared" si="393"/>
        <v>26</v>
      </c>
      <c r="L5045" s="24">
        <f t="shared" si="394"/>
        <v>0</v>
      </c>
    </row>
    <row r="5046" spans="1:12" ht="15" customHeight="1" x14ac:dyDescent="0.3">
      <c r="A5046" s="23" t="s">
        <v>18437</v>
      </c>
      <c r="B5046" s="23" t="s">
        <v>77</v>
      </c>
      <c r="C5046" s="39">
        <v>349</v>
      </c>
      <c r="D5046" s="24">
        <v>6.63</v>
      </c>
      <c r="E5046" s="24">
        <v>1.19</v>
      </c>
      <c r="F5046" s="23">
        <f>COUNTIFS(mdr_rate_cleaned!$A$2:$A$10,B5046,mdr_rate_cleaned!$B$2:$B$10,"&lt;"&amp;C5046,mdr_rate_cleaned!$F$2:$F$10,"&gt;="&amp;C5046)</f>
        <v>1</v>
      </c>
      <c r="G5046" s="40">
        <f>SUMIFS(mdr_rate_cleaned!$G$2:$G$10,mdr_rate_cleaned!$A$2:$A$10,B5046,mdr_rate_cleaned!$B$2:$B$10,"&lt;"&amp;C5046,mdr_rate_cleaned!$F$2:$F$10,"&gt;="&amp;C5046)</f>
        <v>1.9E-2</v>
      </c>
      <c r="H5046" s="24">
        <f t="shared" si="390"/>
        <v>6.63</v>
      </c>
      <c r="I5046" s="23" t="str">
        <f t="shared" si="391"/>
        <v>Match</v>
      </c>
      <c r="J5046" s="23" t="str">
        <f t="shared" si="392"/>
        <v>Match</v>
      </c>
      <c r="K5046" s="24">
        <f t="shared" si="393"/>
        <v>1.19</v>
      </c>
      <c r="L5046" s="24">
        <f t="shared" si="394"/>
        <v>0</v>
      </c>
    </row>
    <row r="5047" spans="1:12" ht="15" customHeight="1" x14ac:dyDescent="0.3">
      <c r="A5047" s="23" t="s">
        <v>18438</v>
      </c>
      <c r="B5047" s="23" t="s">
        <v>75</v>
      </c>
      <c r="C5047" s="39">
        <v>8298</v>
      </c>
      <c r="D5047" s="24">
        <v>24.89</v>
      </c>
      <c r="E5047" s="24">
        <v>4.4800000000000004</v>
      </c>
      <c r="F5047" s="23">
        <f>COUNTIFS(mdr_rate_cleaned!$A$2:$A$10,B5047,mdr_rate_cleaned!$B$2:$B$10,"&lt;"&amp;C5047,mdr_rate_cleaned!$F$2:$F$10,"&gt;="&amp;C5047)</f>
        <v>1</v>
      </c>
      <c r="G5047" s="40">
        <f>SUMIFS(mdr_rate_cleaned!$G$2:$G$10,mdr_rate_cleaned!$A$2:$A$10,B5047,mdr_rate_cleaned!$B$2:$B$10,"&lt;"&amp;C5047,mdr_rate_cleaned!$F$2:$F$10,"&gt;="&amp;C5047)</f>
        <v>3.0000000000000001E-3</v>
      </c>
      <c r="H5047" s="24">
        <f t="shared" si="390"/>
        <v>24.89</v>
      </c>
      <c r="I5047" s="23" t="str">
        <f t="shared" si="391"/>
        <v>Match</v>
      </c>
      <c r="J5047" s="23" t="str">
        <f t="shared" si="392"/>
        <v>Match</v>
      </c>
      <c r="K5047" s="24">
        <f t="shared" si="393"/>
        <v>4.4800000000000004</v>
      </c>
      <c r="L5047" s="24">
        <f t="shared" si="394"/>
        <v>0</v>
      </c>
    </row>
    <row r="5048" spans="1:12" ht="15" customHeight="1" x14ac:dyDescent="0.3">
      <c r="A5048" s="23" t="s">
        <v>18439</v>
      </c>
      <c r="B5048" s="23" t="s">
        <v>75</v>
      </c>
      <c r="C5048" s="39">
        <v>2999</v>
      </c>
      <c r="D5048" s="24">
        <v>9</v>
      </c>
      <c r="E5048" s="24">
        <v>1.62</v>
      </c>
      <c r="F5048" s="23">
        <f>COUNTIFS(mdr_rate_cleaned!$A$2:$A$10,B5048,mdr_rate_cleaned!$B$2:$B$10,"&lt;"&amp;C5048,mdr_rate_cleaned!$F$2:$F$10,"&gt;="&amp;C5048)</f>
        <v>1</v>
      </c>
      <c r="G5048" s="40">
        <f>SUMIFS(mdr_rate_cleaned!$G$2:$G$10,mdr_rate_cleaned!$A$2:$A$10,B5048,mdr_rate_cleaned!$B$2:$B$10,"&lt;"&amp;C5048,mdr_rate_cleaned!$F$2:$F$10,"&gt;="&amp;C5048)</f>
        <v>3.0000000000000001E-3</v>
      </c>
      <c r="H5048" s="24">
        <f t="shared" si="390"/>
        <v>9</v>
      </c>
      <c r="I5048" s="23" t="str">
        <f t="shared" si="391"/>
        <v>Match</v>
      </c>
      <c r="J5048" s="23" t="str">
        <f t="shared" si="392"/>
        <v>Match</v>
      </c>
      <c r="K5048" s="24">
        <f t="shared" si="393"/>
        <v>1.62</v>
      </c>
      <c r="L5048" s="24">
        <f t="shared" si="394"/>
        <v>0</v>
      </c>
    </row>
    <row r="5049" spans="1:12" ht="15" customHeight="1" x14ac:dyDescent="0.3">
      <c r="A5049" s="23" t="s">
        <v>18441</v>
      </c>
      <c r="B5049" s="23" t="s">
        <v>79</v>
      </c>
      <c r="C5049" s="39">
        <v>7998</v>
      </c>
      <c r="D5049" s="24">
        <v>127.97</v>
      </c>
      <c r="E5049" s="24">
        <v>23.03</v>
      </c>
      <c r="F5049" s="23">
        <f>COUNTIFS(mdr_rate_cleaned!$A$2:$A$10,B5049,mdr_rate_cleaned!$B$2:$B$10,"&lt;"&amp;C5049,mdr_rate_cleaned!$F$2:$F$10,"&gt;="&amp;C5049)</f>
        <v>1</v>
      </c>
      <c r="G5049" s="40">
        <f>SUMIFS(mdr_rate_cleaned!$G$2:$G$10,mdr_rate_cleaned!$A$2:$A$10,B5049,mdr_rate_cleaned!$B$2:$B$10,"&lt;"&amp;C5049,mdr_rate_cleaned!$F$2:$F$10,"&gt;="&amp;C5049)</f>
        <v>1.6E-2</v>
      </c>
      <c r="H5049" s="24">
        <f t="shared" si="390"/>
        <v>127.97</v>
      </c>
      <c r="I5049" s="23" t="str">
        <f t="shared" si="391"/>
        <v>Match</v>
      </c>
      <c r="J5049" s="23" t="str">
        <f t="shared" si="392"/>
        <v>Match</v>
      </c>
      <c r="K5049" s="24">
        <f t="shared" si="393"/>
        <v>23.03</v>
      </c>
      <c r="L5049" s="24">
        <f t="shared" si="394"/>
        <v>0</v>
      </c>
    </row>
    <row r="5050" spans="1:12" ht="15" customHeight="1" x14ac:dyDescent="0.3">
      <c r="A5050" s="23" t="s">
        <v>18443</v>
      </c>
      <c r="B5050" s="23" t="s">
        <v>77</v>
      </c>
      <c r="C5050" s="39">
        <v>9147</v>
      </c>
      <c r="D5050" s="24">
        <v>155.5</v>
      </c>
      <c r="E5050" s="24">
        <v>27.99</v>
      </c>
      <c r="F5050" s="23">
        <f>COUNTIFS(mdr_rate_cleaned!$A$2:$A$10,B5050,mdr_rate_cleaned!$B$2:$B$10,"&lt;"&amp;C5050,mdr_rate_cleaned!$F$2:$F$10,"&gt;="&amp;C5050)</f>
        <v>1</v>
      </c>
      <c r="G5050" s="40">
        <f>SUMIFS(mdr_rate_cleaned!$G$2:$G$10,mdr_rate_cleaned!$A$2:$A$10,B5050,mdr_rate_cleaned!$B$2:$B$10,"&lt;"&amp;C5050,mdr_rate_cleaned!$F$2:$F$10,"&gt;="&amp;C5050)</f>
        <v>1.7000000000000001E-2</v>
      </c>
      <c r="H5050" s="24">
        <f t="shared" si="390"/>
        <v>155.5</v>
      </c>
      <c r="I5050" s="23" t="str">
        <f t="shared" si="391"/>
        <v>Match</v>
      </c>
      <c r="J5050" s="23" t="str">
        <f t="shared" si="392"/>
        <v>Match</v>
      </c>
      <c r="K5050" s="24">
        <f t="shared" si="393"/>
        <v>27.99</v>
      </c>
      <c r="L5050" s="24">
        <f t="shared" si="394"/>
        <v>0</v>
      </c>
    </row>
    <row r="5051" spans="1:12" ht="15" customHeight="1" x14ac:dyDescent="0.3">
      <c r="A5051" s="23" t="s">
        <v>18444</v>
      </c>
      <c r="B5051" s="23" t="s">
        <v>75</v>
      </c>
      <c r="C5051" s="39">
        <v>1499</v>
      </c>
      <c r="D5051" s="24">
        <v>0</v>
      </c>
      <c r="E5051" s="24">
        <v>0</v>
      </c>
      <c r="F5051" s="23">
        <f>COUNTIFS(mdr_rate_cleaned!$A$2:$A$10,B5051,mdr_rate_cleaned!$B$2:$B$10,"&lt;"&amp;C5051,mdr_rate_cleaned!$F$2:$F$10,"&gt;="&amp;C5051)</f>
        <v>1</v>
      </c>
      <c r="G5051" s="40">
        <f>SUMIFS(mdr_rate_cleaned!$G$2:$G$10,mdr_rate_cleaned!$A$2:$A$10,B5051,mdr_rate_cleaned!$B$2:$B$10,"&lt;"&amp;C5051,mdr_rate_cleaned!$F$2:$F$10,"&gt;="&amp;C5051)</f>
        <v>0</v>
      </c>
      <c r="H5051" s="24">
        <f t="shared" si="390"/>
        <v>0</v>
      </c>
      <c r="I5051" s="23" t="str">
        <f t="shared" si="391"/>
        <v>Match</v>
      </c>
      <c r="J5051" s="23" t="str">
        <f t="shared" si="392"/>
        <v>Match</v>
      </c>
      <c r="K5051" s="24">
        <f t="shared" si="393"/>
        <v>0</v>
      </c>
      <c r="L5051" s="24">
        <f t="shared" si="394"/>
        <v>0</v>
      </c>
    </row>
    <row r="5052" spans="1:12" ht="15" customHeight="1" x14ac:dyDescent="0.3">
      <c r="A5052" s="23" t="s">
        <v>18445</v>
      </c>
      <c r="B5052" s="23" t="s">
        <v>77</v>
      </c>
      <c r="C5052" s="39">
        <v>798</v>
      </c>
      <c r="D5052" s="24">
        <v>15.16</v>
      </c>
      <c r="E5052" s="24">
        <v>2.73</v>
      </c>
      <c r="F5052" s="23">
        <f>COUNTIFS(mdr_rate_cleaned!$A$2:$A$10,B5052,mdr_rate_cleaned!$B$2:$B$10,"&lt;"&amp;C5052,mdr_rate_cleaned!$F$2:$F$10,"&gt;="&amp;C5052)</f>
        <v>1</v>
      </c>
      <c r="G5052" s="40">
        <f>SUMIFS(mdr_rate_cleaned!$G$2:$G$10,mdr_rate_cleaned!$A$2:$A$10,B5052,mdr_rate_cleaned!$B$2:$B$10,"&lt;"&amp;C5052,mdr_rate_cleaned!$F$2:$F$10,"&gt;="&amp;C5052)</f>
        <v>1.9E-2</v>
      </c>
      <c r="H5052" s="24">
        <f t="shared" si="390"/>
        <v>15.16</v>
      </c>
      <c r="I5052" s="23" t="str">
        <f t="shared" si="391"/>
        <v>Match</v>
      </c>
      <c r="J5052" s="23" t="str">
        <f t="shared" si="392"/>
        <v>Match</v>
      </c>
      <c r="K5052" s="24">
        <f t="shared" si="393"/>
        <v>2.73</v>
      </c>
      <c r="L5052" s="24">
        <f t="shared" si="394"/>
        <v>0</v>
      </c>
    </row>
    <row r="5053" spans="1:12" ht="15" customHeight="1" x14ac:dyDescent="0.3">
      <c r="A5053" s="23" t="s">
        <v>18446</v>
      </c>
      <c r="B5053" s="23" t="s">
        <v>79</v>
      </c>
      <c r="C5053" s="39">
        <v>1799</v>
      </c>
      <c r="D5053" s="24">
        <v>32.380000000000003</v>
      </c>
      <c r="E5053" s="24">
        <v>5.83</v>
      </c>
      <c r="F5053" s="23">
        <f>COUNTIFS(mdr_rate_cleaned!$A$2:$A$10,B5053,mdr_rate_cleaned!$B$2:$B$10,"&lt;"&amp;C5053,mdr_rate_cleaned!$F$2:$F$10,"&gt;="&amp;C5053)</f>
        <v>1</v>
      </c>
      <c r="G5053" s="40">
        <f>SUMIFS(mdr_rate_cleaned!$G$2:$G$10,mdr_rate_cleaned!$A$2:$A$10,B5053,mdr_rate_cleaned!$B$2:$B$10,"&lt;"&amp;C5053,mdr_rate_cleaned!$F$2:$F$10,"&gt;="&amp;C5053)</f>
        <v>1.8000000000000002E-2</v>
      </c>
      <c r="H5053" s="24">
        <f t="shared" si="390"/>
        <v>32.380000000000003</v>
      </c>
      <c r="I5053" s="23" t="str">
        <f t="shared" si="391"/>
        <v>Match</v>
      </c>
      <c r="J5053" s="23" t="str">
        <f t="shared" si="392"/>
        <v>Match</v>
      </c>
      <c r="K5053" s="24">
        <f t="shared" si="393"/>
        <v>5.83</v>
      </c>
      <c r="L5053" s="24">
        <f t="shared" si="394"/>
        <v>0</v>
      </c>
    </row>
    <row r="5054" spans="1:12" ht="15" customHeight="1" x14ac:dyDescent="0.3">
      <c r="A5054" s="23" t="s">
        <v>18448</v>
      </c>
      <c r="B5054" s="23" t="s">
        <v>77</v>
      </c>
      <c r="C5054" s="39">
        <v>4397</v>
      </c>
      <c r="D5054" s="24">
        <v>74.75</v>
      </c>
      <c r="E5054" s="24">
        <v>13.46</v>
      </c>
      <c r="F5054" s="23">
        <f>COUNTIFS(mdr_rate_cleaned!$A$2:$A$10,B5054,mdr_rate_cleaned!$B$2:$B$10,"&lt;"&amp;C5054,mdr_rate_cleaned!$F$2:$F$10,"&gt;="&amp;C5054)</f>
        <v>1</v>
      </c>
      <c r="G5054" s="40">
        <f>SUMIFS(mdr_rate_cleaned!$G$2:$G$10,mdr_rate_cleaned!$A$2:$A$10,B5054,mdr_rate_cleaned!$B$2:$B$10,"&lt;"&amp;C5054,mdr_rate_cleaned!$F$2:$F$10,"&gt;="&amp;C5054)</f>
        <v>1.7000000000000001E-2</v>
      </c>
      <c r="H5054" s="24">
        <f t="shared" si="390"/>
        <v>74.75</v>
      </c>
      <c r="I5054" s="23" t="str">
        <f t="shared" si="391"/>
        <v>Match</v>
      </c>
      <c r="J5054" s="23" t="str">
        <f t="shared" si="392"/>
        <v>Match</v>
      </c>
      <c r="K5054" s="24">
        <f t="shared" si="393"/>
        <v>13.46</v>
      </c>
      <c r="L5054" s="24">
        <f t="shared" si="394"/>
        <v>0</v>
      </c>
    </row>
    <row r="5055" spans="1:12" ht="15" customHeight="1" x14ac:dyDescent="0.3">
      <c r="A5055" s="23" t="s">
        <v>18449</v>
      </c>
      <c r="B5055" s="23" t="s">
        <v>75</v>
      </c>
      <c r="C5055" s="39">
        <v>4999</v>
      </c>
      <c r="D5055" s="24">
        <v>15</v>
      </c>
      <c r="E5055" s="24">
        <v>2.7</v>
      </c>
      <c r="F5055" s="23">
        <f>COUNTIFS(mdr_rate_cleaned!$A$2:$A$10,B5055,mdr_rate_cleaned!$B$2:$B$10,"&lt;"&amp;C5055,mdr_rate_cleaned!$F$2:$F$10,"&gt;="&amp;C5055)</f>
        <v>1</v>
      </c>
      <c r="G5055" s="40">
        <f>SUMIFS(mdr_rate_cleaned!$G$2:$G$10,mdr_rate_cleaned!$A$2:$A$10,B5055,mdr_rate_cleaned!$B$2:$B$10,"&lt;"&amp;C5055,mdr_rate_cleaned!$F$2:$F$10,"&gt;="&amp;C5055)</f>
        <v>3.0000000000000001E-3</v>
      </c>
      <c r="H5055" s="24">
        <f t="shared" si="390"/>
        <v>15</v>
      </c>
      <c r="I5055" s="23" t="str">
        <f t="shared" si="391"/>
        <v>Match</v>
      </c>
      <c r="J5055" s="23" t="str">
        <f t="shared" si="392"/>
        <v>Match</v>
      </c>
      <c r="K5055" s="24">
        <f t="shared" si="393"/>
        <v>2.7</v>
      </c>
      <c r="L5055" s="24">
        <f t="shared" si="394"/>
        <v>0</v>
      </c>
    </row>
    <row r="5056" spans="1:12" ht="15" customHeight="1" x14ac:dyDescent="0.3">
      <c r="A5056" s="23" t="s">
        <v>18450</v>
      </c>
      <c r="B5056" s="23" t="s">
        <v>79</v>
      </c>
      <c r="C5056" s="39">
        <v>3998</v>
      </c>
      <c r="D5056" s="24">
        <v>63.97</v>
      </c>
      <c r="E5056" s="24">
        <v>11.51</v>
      </c>
      <c r="F5056" s="23">
        <f>COUNTIFS(mdr_rate_cleaned!$A$2:$A$10,B5056,mdr_rate_cleaned!$B$2:$B$10,"&lt;"&amp;C5056,mdr_rate_cleaned!$F$2:$F$10,"&gt;="&amp;C5056)</f>
        <v>1</v>
      </c>
      <c r="G5056" s="40">
        <f>SUMIFS(mdr_rate_cleaned!$G$2:$G$10,mdr_rate_cleaned!$A$2:$A$10,B5056,mdr_rate_cleaned!$B$2:$B$10,"&lt;"&amp;C5056,mdr_rate_cleaned!$F$2:$F$10,"&gt;="&amp;C5056)</f>
        <v>1.6E-2</v>
      </c>
      <c r="H5056" s="24">
        <f t="shared" si="390"/>
        <v>63.97</v>
      </c>
      <c r="I5056" s="23" t="str">
        <f t="shared" si="391"/>
        <v>Match</v>
      </c>
      <c r="J5056" s="23" t="str">
        <f t="shared" si="392"/>
        <v>Match</v>
      </c>
      <c r="K5056" s="24">
        <f t="shared" si="393"/>
        <v>11.51</v>
      </c>
      <c r="L5056" s="24">
        <f t="shared" si="394"/>
        <v>0</v>
      </c>
    </row>
    <row r="5057" spans="1:12" ht="15" customHeight="1" x14ac:dyDescent="0.3">
      <c r="A5057" s="23" t="s">
        <v>18451</v>
      </c>
      <c r="B5057" s="23" t="s">
        <v>75</v>
      </c>
      <c r="C5057" s="39">
        <v>2298</v>
      </c>
      <c r="D5057" s="24">
        <v>6.89</v>
      </c>
      <c r="E5057" s="24">
        <v>1.24</v>
      </c>
      <c r="F5057" s="23">
        <f>COUNTIFS(mdr_rate_cleaned!$A$2:$A$10,B5057,mdr_rate_cleaned!$B$2:$B$10,"&lt;"&amp;C5057,mdr_rate_cleaned!$F$2:$F$10,"&gt;="&amp;C5057)</f>
        <v>1</v>
      </c>
      <c r="G5057" s="40">
        <f>SUMIFS(mdr_rate_cleaned!$G$2:$G$10,mdr_rate_cleaned!$A$2:$A$10,B5057,mdr_rate_cleaned!$B$2:$B$10,"&lt;"&amp;C5057,mdr_rate_cleaned!$F$2:$F$10,"&gt;="&amp;C5057)</f>
        <v>3.0000000000000001E-3</v>
      </c>
      <c r="H5057" s="24">
        <f t="shared" si="390"/>
        <v>6.89</v>
      </c>
      <c r="I5057" s="23" t="str">
        <f t="shared" si="391"/>
        <v>Match</v>
      </c>
      <c r="J5057" s="23" t="str">
        <f t="shared" si="392"/>
        <v>Match</v>
      </c>
      <c r="K5057" s="24">
        <f t="shared" si="393"/>
        <v>1.24</v>
      </c>
      <c r="L5057" s="24">
        <f t="shared" si="394"/>
        <v>0</v>
      </c>
    </row>
    <row r="5058" spans="1:12" ht="15" customHeight="1" x14ac:dyDescent="0.3">
      <c r="A5058" s="23" t="s">
        <v>18453</v>
      </c>
      <c r="B5058" s="23" t="s">
        <v>75</v>
      </c>
      <c r="C5058" s="39">
        <v>349</v>
      </c>
      <c r="D5058" s="24">
        <v>0</v>
      </c>
      <c r="E5058" s="24">
        <v>0</v>
      </c>
      <c r="F5058" s="23">
        <f>COUNTIFS(mdr_rate_cleaned!$A$2:$A$10,B5058,mdr_rate_cleaned!$B$2:$B$10,"&lt;"&amp;C5058,mdr_rate_cleaned!$F$2:$F$10,"&gt;="&amp;C5058)</f>
        <v>1</v>
      </c>
      <c r="G5058" s="40">
        <f>SUMIFS(mdr_rate_cleaned!$G$2:$G$10,mdr_rate_cleaned!$A$2:$A$10,B5058,mdr_rate_cleaned!$B$2:$B$10,"&lt;"&amp;C5058,mdr_rate_cleaned!$F$2:$F$10,"&gt;="&amp;C5058)</f>
        <v>0</v>
      </c>
      <c r="H5058" s="24">
        <f t="shared" ref="H5058:H5121" si="395">ROUND(C5058*G5058,2)</f>
        <v>0</v>
      </c>
      <c r="I5058" s="23" t="str">
        <f t="shared" ref="I5058:I5121" si="396">IF(ROUND(D5058-H5058,2)=0,"Match","Differs")</f>
        <v>Match</v>
      </c>
      <c r="J5058" s="23" t="str">
        <f t="shared" ref="J5058:J5121" si="397">IF(ROUND(E5058-ROUND(D5058*0.18,2),2)=0,"Match","Differs")</f>
        <v>Match</v>
      </c>
      <c r="K5058" s="24">
        <f t="shared" ref="K5058:K5121" si="398">ROUND(H5058*0.18,2)</f>
        <v>0</v>
      </c>
      <c r="L5058" s="24">
        <f t="shared" ref="L5058:L5121" si="399">ROUND(D5058+E5058-H5058-K5058,2)</f>
        <v>0</v>
      </c>
    </row>
    <row r="5059" spans="1:12" ht="15" customHeight="1" x14ac:dyDescent="0.3">
      <c r="A5059" s="23" t="s">
        <v>18454</v>
      </c>
      <c r="B5059" s="23" t="s">
        <v>75</v>
      </c>
      <c r="C5059" s="39">
        <v>2798</v>
      </c>
      <c r="D5059" s="24">
        <v>8.39</v>
      </c>
      <c r="E5059" s="24">
        <v>1.51</v>
      </c>
      <c r="F5059" s="23">
        <f>COUNTIFS(mdr_rate_cleaned!$A$2:$A$10,B5059,mdr_rate_cleaned!$B$2:$B$10,"&lt;"&amp;C5059,mdr_rate_cleaned!$F$2:$F$10,"&gt;="&amp;C5059)</f>
        <v>1</v>
      </c>
      <c r="G5059" s="40">
        <f>SUMIFS(mdr_rate_cleaned!$G$2:$G$10,mdr_rate_cleaned!$A$2:$A$10,B5059,mdr_rate_cleaned!$B$2:$B$10,"&lt;"&amp;C5059,mdr_rate_cleaned!$F$2:$F$10,"&gt;="&amp;C5059)</f>
        <v>3.0000000000000001E-3</v>
      </c>
      <c r="H5059" s="24">
        <f t="shared" si="395"/>
        <v>8.39</v>
      </c>
      <c r="I5059" s="23" t="str">
        <f t="shared" si="396"/>
        <v>Match</v>
      </c>
      <c r="J5059" s="23" t="str">
        <f t="shared" si="397"/>
        <v>Match</v>
      </c>
      <c r="K5059" s="24">
        <f t="shared" si="398"/>
        <v>1.51</v>
      </c>
      <c r="L5059" s="24">
        <f t="shared" si="399"/>
        <v>0</v>
      </c>
    </row>
    <row r="5060" spans="1:12" ht="15" customHeight="1" x14ac:dyDescent="0.3">
      <c r="A5060" s="23" t="s">
        <v>18455</v>
      </c>
      <c r="B5060" s="23" t="s">
        <v>75</v>
      </c>
      <c r="C5060" s="39">
        <v>2999</v>
      </c>
      <c r="D5060" s="24">
        <v>9</v>
      </c>
      <c r="E5060" s="24">
        <v>1.62</v>
      </c>
      <c r="F5060" s="23">
        <f>COUNTIFS(mdr_rate_cleaned!$A$2:$A$10,B5060,mdr_rate_cleaned!$B$2:$B$10,"&lt;"&amp;C5060,mdr_rate_cleaned!$F$2:$F$10,"&gt;="&amp;C5060)</f>
        <v>1</v>
      </c>
      <c r="G5060" s="40">
        <f>SUMIFS(mdr_rate_cleaned!$G$2:$G$10,mdr_rate_cleaned!$A$2:$A$10,B5060,mdr_rate_cleaned!$B$2:$B$10,"&lt;"&amp;C5060,mdr_rate_cleaned!$F$2:$F$10,"&gt;="&amp;C5060)</f>
        <v>3.0000000000000001E-3</v>
      </c>
      <c r="H5060" s="24">
        <f t="shared" si="395"/>
        <v>9</v>
      </c>
      <c r="I5060" s="23" t="str">
        <f t="shared" si="396"/>
        <v>Match</v>
      </c>
      <c r="J5060" s="23" t="str">
        <f t="shared" si="397"/>
        <v>Match</v>
      </c>
      <c r="K5060" s="24">
        <f t="shared" si="398"/>
        <v>1.62</v>
      </c>
      <c r="L5060" s="24">
        <f t="shared" si="399"/>
        <v>0</v>
      </c>
    </row>
    <row r="5061" spans="1:12" ht="15" customHeight="1" x14ac:dyDescent="0.3">
      <c r="A5061" s="23" t="s">
        <v>18456</v>
      </c>
      <c r="B5061" s="23" t="s">
        <v>75</v>
      </c>
      <c r="C5061" s="39">
        <v>3499</v>
      </c>
      <c r="D5061" s="24">
        <v>10.5</v>
      </c>
      <c r="E5061" s="24">
        <v>1.89</v>
      </c>
      <c r="F5061" s="23">
        <f>COUNTIFS(mdr_rate_cleaned!$A$2:$A$10,B5061,mdr_rate_cleaned!$B$2:$B$10,"&lt;"&amp;C5061,mdr_rate_cleaned!$F$2:$F$10,"&gt;="&amp;C5061)</f>
        <v>1</v>
      </c>
      <c r="G5061" s="40">
        <f>SUMIFS(mdr_rate_cleaned!$G$2:$G$10,mdr_rate_cleaned!$A$2:$A$10,B5061,mdr_rate_cleaned!$B$2:$B$10,"&lt;"&amp;C5061,mdr_rate_cleaned!$F$2:$F$10,"&gt;="&amp;C5061)</f>
        <v>3.0000000000000001E-3</v>
      </c>
      <c r="H5061" s="24">
        <f t="shared" si="395"/>
        <v>10.5</v>
      </c>
      <c r="I5061" s="23" t="str">
        <f t="shared" si="396"/>
        <v>Match</v>
      </c>
      <c r="J5061" s="23" t="str">
        <f t="shared" si="397"/>
        <v>Match</v>
      </c>
      <c r="K5061" s="24">
        <f t="shared" si="398"/>
        <v>1.89</v>
      </c>
      <c r="L5061" s="24">
        <f t="shared" si="399"/>
        <v>0</v>
      </c>
    </row>
    <row r="5062" spans="1:12" ht="15" customHeight="1" x14ac:dyDescent="0.3">
      <c r="A5062" s="23" t="s">
        <v>18457</v>
      </c>
      <c r="B5062" s="23" t="s">
        <v>79</v>
      </c>
      <c r="C5062" s="39">
        <v>3848</v>
      </c>
      <c r="D5062" s="24">
        <v>61.57</v>
      </c>
      <c r="E5062" s="24">
        <v>11.08</v>
      </c>
      <c r="F5062" s="23">
        <f>COUNTIFS(mdr_rate_cleaned!$A$2:$A$10,B5062,mdr_rate_cleaned!$B$2:$B$10,"&lt;"&amp;C5062,mdr_rate_cleaned!$F$2:$F$10,"&gt;="&amp;C5062)</f>
        <v>1</v>
      </c>
      <c r="G5062" s="40">
        <f>SUMIFS(mdr_rate_cleaned!$G$2:$G$10,mdr_rate_cleaned!$A$2:$A$10,B5062,mdr_rate_cleaned!$B$2:$B$10,"&lt;"&amp;C5062,mdr_rate_cleaned!$F$2:$F$10,"&gt;="&amp;C5062)</f>
        <v>1.6E-2</v>
      </c>
      <c r="H5062" s="24">
        <f t="shared" si="395"/>
        <v>61.57</v>
      </c>
      <c r="I5062" s="23" t="str">
        <f t="shared" si="396"/>
        <v>Match</v>
      </c>
      <c r="J5062" s="23" t="str">
        <f t="shared" si="397"/>
        <v>Match</v>
      </c>
      <c r="K5062" s="24">
        <f t="shared" si="398"/>
        <v>11.08</v>
      </c>
      <c r="L5062" s="24">
        <f t="shared" si="399"/>
        <v>0</v>
      </c>
    </row>
    <row r="5063" spans="1:12" ht="15" customHeight="1" x14ac:dyDescent="0.3">
      <c r="A5063" s="23" t="s">
        <v>18458</v>
      </c>
      <c r="B5063" s="23" t="s">
        <v>75</v>
      </c>
      <c r="C5063" s="39">
        <v>1499</v>
      </c>
      <c r="D5063" s="24">
        <v>0</v>
      </c>
      <c r="E5063" s="24">
        <v>0</v>
      </c>
      <c r="F5063" s="23">
        <f>COUNTIFS(mdr_rate_cleaned!$A$2:$A$10,B5063,mdr_rate_cleaned!$B$2:$B$10,"&lt;"&amp;C5063,mdr_rate_cleaned!$F$2:$F$10,"&gt;="&amp;C5063)</f>
        <v>1</v>
      </c>
      <c r="G5063" s="40">
        <f>SUMIFS(mdr_rate_cleaned!$G$2:$G$10,mdr_rate_cleaned!$A$2:$A$10,B5063,mdr_rate_cleaned!$B$2:$B$10,"&lt;"&amp;C5063,mdr_rate_cleaned!$F$2:$F$10,"&gt;="&amp;C5063)</f>
        <v>0</v>
      </c>
      <c r="H5063" s="24">
        <f t="shared" si="395"/>
        <v>0</v>
      </c>
      <c r="I5063" s="23" t="str">
        <f t="shared" si="396"/>
        <v>Match</v>
      </c>
      <c r="J5063" s="23" t="str">
        <f t="shared" si="397"/>
        <v>Match</v>
      </c>
      <c r="K5063" s="24">
        <f t="shared" si="398"/>
        <v>0</v>
      </c>
      <c r="L5063" s="24">
        <f t="shared" si="399"/>
        <v>0</v>
      </c>
    </row>
    <row r="5064" spans="1:12" ht="15" customHeight="1" x14ac:dyDescent="0.3">
      <c r="A5064" s="23" t="s">
        <v>18459</v>
      </c>
      <c r="B5064" s="23" t="s">
        <v>75</v>
      </c>
      <c r="C5064" s="39">
        <v>1799</v>
      </c>
      <c r="D5064" s="24">
        <v>0</v>
      </c>
      <c r="E5064" s="24">
        <v>0</v>
      </c>
      <c r="F5064" s="23">
        <f>COUNTIFS(mdr_rate_cleaned!$A$2:$A$10,B5064,mdr_rate_cleaned!$B$2:$B$10,"&lt;"&amp;C5064,mdr_rate_cleaned!$F$2:$F$10,"&gt;="&amp;C5064)</f>
        <v>1</v>
      </c>
      <c r="G5064" s="40">
        <f>SUMIFS(mdr_rate_cleaned!$G$2:$G$10,mdr_rate_cleaned!$A$2:$A$10,B5064,mdr_rate_cleaned!$B$2:$B$10,"&lt;"&amp;C5064,mdr_rate_cleaned!$F$2:$F$10,"&gt;="&amp;C5064)</f>
        <v>0</v>
      </c>
      <c r="H5064" s="24">
        <f t="shared" si="395"/>
        <v>0</v>
      </c>
      <c r="I5064" s="23" t="str">
        <f t="shared" si="396"/>
        <v>Match</v>
      </c>
      <c r="J5064" s="23" t="str">
        <f t="shared" si="397"/>
        <v>Match</v>
      </c>
      <c r="K5064" s="24">
        <f t="shared" si="398"/>
        <v>0</v>
      </c>
      <c r="L5064" s="24">
        <f t="shared" si="399"/>
        <v>0</v>
      </c>
    </row>
    <row r="5065" spans="1:12" ht="15" customHeight="1" x14ac:dyDescent="0.3">
      <c r="A5065" s="23" t="s">
        <v>18460</v>
      </c>
      <c r="B5065" s="23" t="s">
        <v>75</v>
      </c>
      <c r="C5065" s="39">
        <v>1799</v>
      </c>
      <c r="D5065" s="24">
        <v>0</v>
      </c>
      <c r="E5065" s="24">
        <v>0</v>
      </c>
      <c r="F5065" s="23">
        <f>COUNTIFS(mdr_rate_cleaned!$A$2:$A$10,B5065,mdr_rate_cleaned!$B$2:$B$10,"&lt;"&amp;C5065,mdr_rate_cleaned!$F$2:$F$10,"&gt;="&amp;C5065)</f>
        <v>1</v>
      </c>
      <c r="G5065" s="40">
        <f>SUMIFS(mdr_rate_cleaned!$G$2:$G$10,mdr_rate_cleaned!$A$2:$A$10,B5065,mdr_rate_cleaned!$B$2:$B$10,"&lt;"&amp;C5065,mdr_rate_cleaned!$F$2:$F$10,"&gt;="&amp;C5065)</f>
        <v>0</v>
      </c>
      <c r="H5065" s="24">
        <f t="shared" si="395"/>
        <v>0</v>
      </c>
      <c r="I5065" s="23" t="str">
        <f t="shared" si="396"/>
        <v>Match</v>
      </c>
      <c r="J5065" s="23" t="str">
        <f t="shared" si="397"/>
        <v>Match</v>
      </c>
      <c r="K5065" s="24">
        <f t="shared" si="398"/>
        <v>0</v>
      </c>
      <c r="L5065" s="24">
        <f t="shared" si="399"/>
        <v>0</v>
      </c>
    </row>
    <row r="5066" spans="1:12" ht="15" customHeight="1" x14ac:dyDescent="0.3">
      <c r="A5066" s="23" t="s">
        <v>18461</v>
      </c>
      <c r="B5066" s="23" t="s">
        <v>75</v>
      </c>
      <c r="C5066" s="39">
        <v>499</v>
      </c>
      <c r="D5066" s="24">
        <v>0</v>
      </c>
      <c r="E5066" s="24">
        <v>0</v>
      </c>
      <c r="F5066" s="23">
        <f>COUNTIFS(mdr_rate_cleaned!$A$2:$A$10,B5066,mdr_rate_cleaned!$B$2:$B$10,"&lt;"&amp;C5066,mdr_rate_cleaned!$F$2:$F$10,"&gt;="&amp;C5066)</f>
        <v>1</v>
      </c>
      <c r="G5066" s="40">
        <f>SUMIFS(mdr_rate_cleaned!$G$2:$G$10,mdr_rate_cleaned!$A$2:$A$10,B5066,mdr_rate_cleaned!$B$2:$B$10,"&lt;"&amp;C5066,mdr_rate_cleaned!$F$2:$F$10,"&gt;="&amp;C5066)</f>
        <v>0</v>
      </c>
      <c r="H5066" s="24">
        <f t="shared" si="395"/>
        <v>0</v>
      </c>
      <c r="I5066" s="23" t="str">
        <f t="shared" si="396"/>
        <v>Match</v>
      </c>
      <c r="J5066" s="23" t="str">
        <f t="shared" si="397"/>
        <v>Match</v>
      </c>
      <c r="K5066" s="24">
        <f t="shared" si="398"/>
        <v>0</v>
      </c>
      <c r="L5066" s="24">
        <f t="shared" si="399"/>
        <v>0</v>
      </c>
    </row>
    <row r="5067" spans="1:12" ht="15" customHeight="1" x14ac:dyDescent="0.3">
      <c r="A5067" s="23" t="s">
        <v>18462</v>
      </c>
      <c r="B5067" s="23" t="s">
        <v>75</v>
      </c>
      <c r="C5067" s="39">
        <v>3498</v>
      </c>
      <c r="D5067" s="24">
        <v>10.49</v>
      </c>
      <c r="E5067" s="24">
        <v>1.89</v>
      </c>
      <c r="F5067" s="23">
        <f>COUNTIFS(mdr_rate_cleaned!$A$2:$A$10,B5067,mdr_rate_cleaned!$B$2:$B$10,"&lt;"&amp;C5067,mdr_rate_cleaned!$F$2:$F$10,"&gt;="&amp;C5067)</f>
        <v>1</v>
      </c>
      <c r="G5067" s="40">
        <f>SUMIFS(mdr_rate_cleaned!$G$2:$G$10,mdr_rate_cleaned!$A$2:$A$10,B5067,mdr_rate_cleaned!$B$2:$B$10,"&lt;"&amp;C5067,mdr_rate_cleaned!$F$2:$F$10,"&gt;="&amp;C5067)</f>
        <v>3.0000000000000001E-3</v>
      </c>
      <c r="H5067" s="24">
        <f t="shared" si="395"/>
        <v>10.49</v>
      </c>
      <c r="I5067" s="23" t="str">
        <f t="shared" si="396"/>
        <v>Match</v>
      </c>
      <c r="J5067" s="23" t="str">
        <f t="shared" si="397"/>
        <v>Match</v>
      </c>
      <c r="K5067" s="24">
        <f t="shared" si="398"/>
        <v>1.89</v>
      </c>
      <c r="L5067" s="24">
        <f t="shared" si="399"/>
        <v>0</v>
      </c>
    </row>
    <row r="5068" spans="1:12" ht="15" customHeight="1" x14ac:dyDescent="0.3">
      <c r="A5068" s="23" t="s">
        <v>18463</v>
      </c>
      <c r="B5068" s="23" t="s">
        <v>75</v>
      </c>
      <c r="C5068" s="39">
        <v>3298</v>
      </c>
      <c r="D5068" s="24">
        <v>9.89</v>
      </c>
      <c r="E5068" s="24">
        <v>1.78</v>
      </c>
      <c r="F5068" s="23">
        <f>COUNTIFS(mdr_rate_cleaned!$A$2:$A$10,B5068,mdr_rate_cleaned!$B$2:$B$10,"&lt;"&amp;C5068,mdr_rate_cleaned!$F$2:$F$10,"&gt;="&amp;C5068)</f>
        <v>1</v>
      </c>
      <c r="G5068" s="40">
        <f>SUMIFS(mdr_rate_cleaned!$G$2:$G$10,mdr_rate_cleaned!$A$2:$A$10,B5068,mdr_rate_cleaned!$B$2:$B$10,"&lt;"&amp;C5068,mdr_rate_cleaned!$F$2:$F$10,"&gt;="&amp;C5068)</f>
        <v>3.0000000000000001E-3</v>
      </c>
      <c r="H5068" s="24">
        <f t="shared" si="395"/>
        <v>9.89</v>
      </c>
      <c r="I5068" s="23" t="str">
        <f t="shared" si="396"/>
        <v>Match</v>
      </c>
      <c r="J5068" s="23" t="str">
        <f t="shared" si="397"/>
        <v>Match</v>
      </c>
      <c r="K5068" s="24">
        <f t="shared" si="398"/>
        <v>1.78</v>
      </c>
      <c r="L5068" s="24">
        <f t="shared" si="399"/>
        <v>0</v>
      </c>
    </row>
    <row r="5069" spans="1:12" ht="15" customHeight="1" x14ac:dyDescent="0.3">
      <c r="A5069" s="23" t="s">
        <v>18464</v>
      </c>
      <c r="B5069" s="23" t="s">
        <v>75</v>
      </c>
      <c r="C5069" s="39">
        <v>4298</v>
      </c>
      <c r="D5069" s="24">
        <v>12.89</v>
      </c>
      <c r="E5069" s="24">
        <v>2.3199999999999998</v>
      </c>
      <c r="F5069" s="23">
        <f>COUNTIFS(mdr_rate_cleaned!$A$2:$A$10,B5069,mdr_rate_cleaned!$B$2:$B$10,"&lt;"&amp;C5069,mdr_rate_cleaned!$F$2:$F$10,"&gt;="&amp;C5069)</f>
        <v>1</v>
      </c>
      <c r="G5069" s="40">
        <f>SUMIFS(mdr_rate_cleaned!$G$2:$G$10,mdr_rate_cleaned!$A$2:$A$10,B5069,mdr_rate_cleaned!$B$2:$B$10,"&lt;"&amp;C5069,mdr_rate_cleaned!$F$2:$F$10,"&gt;="&amp;C5069)</f>
        <v>3.0000000000000001E-3</v>
      </c>
      <c r="H5069" s="24">
        <f t="shared" si="395"/>
        <v>12.89</v>
      </c>
      <c r="I5069" s="23" t="str">
        <f t="shared" si="396"/>
        <v>Match</v>
      </c>
      <c r="J5069" s="23" t="str">
        <f t="shared" si="397"/>
        <v>Match</v>
      </c>
      <c r="K5069" s="24">
        <f t="shared" si="398"/>
        <v>2.3199999999999998</v>
      </c>
      <c r="L5069" s="24">
        <f t="shared" si="399"/>
        <v>0</v>
      </c>
    </row>
    <row r="5070" spans="1:12" ht="15" customHeight="1" x14ac:dyDescent="0.3">
      <c r="A5070" s="23" t="s">
        <v>18465</v>
      </c>
      <c r="B5070" s="23" t="s">
        <v>75</v>
      </c>
      <c r="C5070" s="39">
        <v>2098</v>
      </c>
      <c r="D5070" s="24">
        <v>6.29</v>
      </c>
      <c r="E5070" s="24">
        <v>1.1299999999999999</v>
      </c>
      <c r="F5070" s="23">
        <f>COUNTIFS(mdr_rate_cleaned!$A$2:$A$10,B5070,mdr_rate_cleaned!$B$2:$B$10,"&lt;"&amp;C5070,mdr_rate_cleaned!$F$2:$F$10,"&gt;="&amp;C5070)</f>
        <v>1</v>
      </c>
      <c r="G5070" s="40">
        <f>SUMIFS(mdr_rate_cleaned!$G$2:$G$10,mdr_rate_cleaned!$A$2:$A$10,B5070,mdr_rate_cleaned!$B$2:$B$10,"&lt;"&amp;C5070,mdr_rate_cleaned!$F$2:$F$10,"&gt;="&amp;C5070)</f>
        <v>3.0000000000000001E-3</v>
      </c>
      <c r="H5070" s="24">
        <f t="shared" si="395"/>
        <v>6.29</v>
      </c>
      <c r="I5070" s="23" t="str">
        <f t="shared" si="396"/>
        <v>Match</v>
      </c>
      <c r="J5070" s="23" t="str">
        <f t="shared" si="397"/>
        <v>Match</v>
      </c>
      <c r="K5070" s="24">
        <f t="shared" si="398"/>
        <v>1.1299999999999999</v>
      </c>
      <c r="L5070" s="24">
        <f t="shared" si="399"/>
        <v>0</v>
      </c>
    </row>
    <row r="5071" spans="1:12" ht="15" customHeight="1" x14ac:dyDescent="0.3">
      <c r="A5071" s="23" t="s">
        <v>18466</v>
      </c>
      <c r="B5071" s="23" t="s">
        <v>81</v>
      </c>
      <c r="C5071" s="39">
        <v>10498</v>
      </c>
      <c r="D5071" s="24">
        <v>94.48</v>
      </c>
      <c r="E5071" s="24">
        <v>17.010000000000002</v>
      </c>
      <c r="F5071" s="23">
        <f>COUNTIFS(mdr_rate_cleaned!$A$2:$A$10,B5071,mdr_rate_cleaned!$B$2:$B$10,"&lt;"&amp;C5071,mdr_rate_cleaned!$F$2:$F$10,"&gt;="&amp;C5071)</f>
        <v>1</v>
      </c>
      <c r="G5071" s="40">
        <f>SUMIFS(mdr_rate_cleaned!$G$2:$G$10,mdr_rate_cleaned!$A$2:$A$10,B5071,mdr_rate_cleaned!$B$2:$B$10,"&lt;"&amp;C5071,mdr_rate_cleaned!$F$2:$F$10,"&gt;="&amp;C5071)</f>
        <v>9.0000000000000011E-3</v>
      </c>
      <c r="H5071" s="24">
        <f t="shared" si="395"/>
        <v>94.48</v>
      </c>
      <c r="I5071" s="23" t="str">
        <f t="shared" si="396"/>
        <v>Match</v>
      </c>
      <c r="J5071" s="23" t="str">
        <f t="shared" si="397"/>
        <v>Match</v>
      </c>
      <c r="K5071" s="24">
        <f t="shared" si="398"/>
        <v>17.010000000000002</v>
      </c>
      <c r="L5071" s="24">
        <f t="shared" si="399"/>
        <v>0</v>
      </c>
    </row>
    <row r="5072" spans="1:12" ht="15" customHeight="1" x14ac:dyDescent="0.3">
      <c r="A5072" s="23" t="s">
        <v>18467</v>
      </c>
      <c r="B5072" s="23" t="s">
        <v>75</v>
      </c>
      <c r="C5072" s="39">
        <v>2798</v>
      </c>
      <c r="D5072" s="24">
        <v>8.39</v>
      </c>
      <c r="E5072" s="24">
        <v>1.51</v>
      </c>
      <c r="F5072" s="23">
        <f>COUNTIFS(mdr_rate_cleaned!$A$2:$A$10,B5072,mdr_rate_cleaned!$B$2:$B$10,"&lt;"&amp;C5072,mdr_rate_cleaned!$F$2:$F$10,"&gt;="&amp;C5072)</f>
        <v>1</v>
      </c>
      <c r="G5072" s="40">
        <f>SUMIFS(mdr_rate_cleaned!$G$2:$G$10,mdr_rate_cleaned!$A$2:$A$10,B5072,mdr_rate_cleaned!$B$2:$B$10,"&lt;"&amp;C5072,mdr_rate_cleaned!$F$2:$F$10,"&gt;="&amp;C5072)</f>
        <v>3.0000000000000001E-3</v>
      </c>
      <c r="H5072" s="24">
        <f t="shared" si="395"/>
        <v>8.39</v>
      </c>
      <c r="I5072" s="23" t="str">
        <f t="shared" si="396"/>
        <v>Match</v>
      </c>
      <c r="J5072" s="23" t="str">
        <f t="shared" si="397"/>
        <v>Match</v>
      </c>
      <c r="K5072" s="24">
        <f t="shared" si="398"/>
        <v>1.51</v>
      </c>
      <c r="L5072" s="24">
        <f t="shared" si="399"/>
        <v>0</v>
      </c>
    </row>
    <row r="5073" spans="1:12" ht="15" customHeight="1" x14ac:dyDescent="0.3">
      <c r="A5073" s="23" t="s">
        <v>18468</v>
      </c>
      <c r="B5073" s="23" t="s">
        <v>79</v>
      </c>
      <c r="C5073" s="39">
        <v>1799</v>
      </c>
      <c r="D5073" s="24">
        <v>32.380000000000003</v>
      </c>
      <c r="E5073" s="24">
        <v>5.83</v>
      </c>
      <c r="F5073" s="23">
        <f>COUNTIFS(mdr_rate_cleaned!$A$2:$A$10,B5073,mdr_rate_cleaned!$B$2:$B$10,"&lt;"&amp;C5073,mdr_rate_cleaned!$F$2:$F$10,"&gt;="&amp;C5073)</f>
        <v>1</v>
      </c>
      <c r="G5073" s="40">
        <f>SUMIFS(mdr_rate_cleaned!$G$2:$G$10,mdr_rate_cleaned!$A$2:$A$10,B5073,mdr_rate_cleaned!$B$2:$B$10,"&lt;"&amp;C5073,mdr_rate_cleaned!$F$2:$F$10,"&gt;="&amp;C5073)</f>
        <v>1.8000000000000002E-2</v>
      </c>
      <c r="H5073" s="24">
        <f t="shared" si="395"/>
        <v>32.380000000000003</v>
      </c>
      <c r="I5073" s="23" t="str">
        <f t="shared" si="396"/>
        <v>Match</v>
      </c>
      <c r="J5073" s="23" t="str">
        <f t="shared" si="397"/>
        <v>Match</v>
      </c>
      <c r="K5073" s="24">
        <f t="shared" si="398"/>
        <v>5.83</v>
      </c>
      <c r="L5073" s="24">
        <f t="shared" si="399"/>
        <v>0</v>
      </c>
    </row>
    <row r="5074" spans="1:12" ht="15" customHeight="1" x14ac:dyDescent="0.3">
      <c r="A5074" s="23" t="s">
        <v>18469</v>
      </c>
      <c r="B5074" s="23" t="s">
        <v>75</v>
      </c>
      <c r="C5074" s="39">
        <v>1799</v>
      </c>
      <c r="D5074" s="24">
        <v>0</v>
      </c>
      <c r="E5074" s="24">
        <v>0</v>
      </c>
      <c r="F5074" s="23">
        <f>COUNTIFS(mdr_rate_cleaned!$A$2:$A$10,B5074,mdr_rate_cleaned!$B$2:$B$10,"&lt;"&amp;C5074,mdr_rate_cleaned!$F$2:$F$10,"&gt;="&amp;C5074)</f>
        <v>1</v>
      </c>
      <c r="G5074" s="40">
        <f>SUMIFS(mdr_rate_cleaned!$G$2:$G$10,mdr_rate_cleaned!$A$2:$A$10,B5074,mdr_rate_cleaned!$B$2:$B$10,"&lt;"&amp;C5074,mdr_rate_cleaned!$F$2:$F$10,"&gt;="&amp;C5074)</f>
        <v>0</v>
      </c>
      <c r="H5074" s="24">
        <f t="shared" si="395"/>
        <v>0</v>
      </c>
      <c r="I5074" s="23" t="str">
        <f t="shared" si="396"/>
        <v>Match</v>
      </c>
      <c r="J5074" s="23" t="str">
        <f t="shared" si="397"/>
        <v>Match</v>
      </c>
      <c r="K5074" s="24">
        <f t="shared" si="398"/>
        <v>0</v>
      </c>
      <c r="L5074" s="24">
        <f t="shared" si="399"/>
        <v>0</v>
      </c>
    </row>
    <row r="5075" spans="1:12" ht="15" customHeight="1" x14ac:dyDescent="0.3">
      <c r="A5075" s="23" t="s">
        <v>18470</v>
      </c>
      <c r="B5075" s="23" t="s">
        <v>75</v>
      </c>
      <c r="C5075" s="39">
        <v>9298</v>
      </c>
      <c r="D5075" s="24">
        <v>27.89</v>
      </c>
      <c r="E5075" s="24">
        <v>5.0199999999999996</v>
      </c>
      <c r="F5075" s="23">
        <f>COUNTIFS(mdr_rate_cleaned!$A$2:$A$10,B5075,mdr_rate_cleaned!$B$2:$B$10,"&lt;"&amp;C5075,mdr_rate_cleaned!$F$2:$F$10,"&gt;="&amp;C5075)</f>
        <v>1</v>
      </c>
      <c r="G5075" s="40">
        <f>SUMIFS(mdr_rate_cleaned!$G$2:$G$10,mdr_rate_cleaned!$A$2:$A$10,B5075,mdr_rate_cleaned!$B$2:$B$10,"&lt;"&amp;C5075,mdr_rate_cleaned!$F$2:$F$10,"&gt;="&amp;C5075)</f>
        <v>3.0000000000000001E-3</v>
      </c>
      <c r="H5075" s="24">
        <f t="shared" si="395"/>
        <v>27.89</v>
      </c>
      <c r="I5075" s="23" t="str">
        <f t="shared" si="396"/>
        <v>Match</v>
      </c>
      <c r="J5075" s="23" t="str">
        <f t="shared" si="397"/>
        <v>Match</v>
      </c>
      <c r="K5075" s="24">
        <f t="shared" si="398"/>
        <v>5.0199999999999996</v>
      </c>
      <c r="L5075" s="24">
        <f t="shared" si="399"/>
        <v>0</v>
      </c>
    </row>
    <row r="5076" spans="1:12" ht="15" customHeight="1" x14ac:dyDescent="0.3">
      <c r="A5076" s="23" t="s">
        <v>18472</v>
      </c>
      <c r="B5076" s="23" t="s">
        <v>75</v>
      </c>
      <c r="C5076" s="39">
        <v>4498</v>
      </c>
      <c r="D5076" s="24">
        <v>13.49</v>
      </c>
      <c r="E5076" s="24">
        <v>2.4300000000000002</v>
      </c>
      <c r="F5076" s="23">
        <f>COUNTIFS(mdr_rate_cleaned!$A$2:$A$10,B5076,mdr_rate_cleaned!$B$2:$B$10,"&lt;"&amp;C5076,mdr_rate_cleaned!$F$2:$F$10,"&gt;="&amp;C5076)</f>
        <v>1</v>
      </c>
      <c r="G5076" s="40">
        <f>SUMIFS(mdr_rate_cleaned!$G$2:$G$10,mdr_rate_cleaned!$A$2:$A$10,B5076,mdr_rate_cleaned!$B$2:$B$10,"&lt;"&amp;C5076,mdr_rate_cleaned!$F$2:$F$10,"&gt;="&amp;C5076)</f>
        <v>3.0000000000000001E-3</v>
      </c>
      <c r="H5076" s="24">
        <f t="shared" si="395"/>
        <v>13.49</v>
      </c>
      <c r="I5076" s="23" t="str">
        <f t="shared" si="396"/>
        <v>Match</v>
      </c>
      <c r="J5076" s="23" t="str">
        <f t="shared" si="397"/>
        <v>Match</v>
      </c>
      <c r="K5076" s="24">
        <f t="shared" si="398"/>
        <v>2.4300000000000002</v>
      </c>
      <c r="L5076" s="24">
        <f t="shared" si="399"/>
        <v>0</v>
      </c>
    </row>
    <row r="5077" spans="1:12" ht="15" customHeight="1" x14ac:dyDescent="0.3">
      <c r="A5077" s="23" t="s">
        <v>18473</v>
      </c>
      <c r="B5077" s="23" t="s">
        <v>75</v>
      </c>
      <c r="C5077" s="39">
        <v>3499</v>
      </c>
      <c r="D5077" s="24">
        <v>10.5</v>
      </c>
      <c r="E5077" s="24">
        <v>1.89</v>
      </c>
      <c r="F5077" s="23">
        <f>COUNTIFS(mdr_rate_cleaned!$A$2:$A$10,B5077,mdr_rate_cleaned!$B$2:$B$10,"&lt;"&amp;C5077,mdr_rate_cleaned!$F$2:$F$10,"&gt;="&amp;C5077)</f>
        <v>1</v>
      </c>
      <c r="G5077" s="40">
        <f>SUMIFS(mdr_rate_cleaned!$G$2:$G$10,mdr_rate_cleaned!$A$2:$A$10,B5077,mdr_rate_cleaned!$B$2:$B$10,"&lt;"&amp;C5077,mdr_rate_cleaned!$F$2:$F$10,"&gt;="&amp;C5077)</f>
        <v>3.0000000000000001E-3</v>
      </c>
      <c r="H5077" s="24">
        <f t="shared" si="395"/>
        <v>10.5</v>
      </c>
      <c r="I5077" s="23" t="str">
        <f t="shared" si="396"/>
        <v>Match</v>
      </c>
      <c r="J5077" s="23" t="str">
        <f t="shared" si="397"/>
        <v>Match</v>
      </c>
      <c r="K5077" s="24">
        <f t="shared" si="398"/>
        <v>1.89</v>
      </c>
      <c r="L5077" s="24">
        <f t="shared" si="399"/>
        <v>0</v>
      </c>
    </row>
    <row r="5078" spans="1:12" ht="15" customHeight="1" x14ac:dyDescent="0.3">
      <c r="A5078" s="23" t="s">
        <v>18474</v>
      </c>
      <c r="B5078" s="23" t="s">
        <v>79</v>
      </c>
      <c r="C5078" s="39">
        <v>2499</v>
      </c>
      <c r="D5078" s="24">
        <v>39.979999999999997</v>
      </c>
      <c r="E5078" s="24">
        <v>7.2</v>
      </c>
      <c r="F5078" s="23">
        <f>COUNTIFS(mdr_rate_cleaned!$A$2:$A$10,B5078,mdr_rate_cleaned!$B$2:$B$10,"&lt;"&amp;C5078,mdr_rate_cleaned!$F$2:$F$10,"&gt;="&amp;C5078)</f>
        <v>1</v>
      </c>
      <c r="G5078" s="40">
        <f>SUMIFS(mdr_rate_cleaned!$G$2:$G$10,mdr_rate_cleaned!$A$2:$A$10,B5078,mdr_rate_cleaned!$B$2:$B$10,"&lt;"&amp;C5078,mdr_rate_cleaned!$F$2:$F$10,"&gt;="&amp;C5078)</f>
        <v>1.6E-2</v>
      </c>
      <c r="H5078" s="24">
        <f t="shared" si="395"/>
        <v>39.979999999999997</v>
      </c>
      <c r="I5078" s="23" t="str">
        <f t="shared" si="396"/>
        <v>Match</v>
      </c>
      <c r="J5078" s="23" t="str">
        <f t="shared" si="397"/>
        <v>Match</v>
      </c>
      <c r="K5078" s="24">
        <f t="shared" si="398"/>
        <v>7.2</v>
      </c>
      <c r="L5078" s="24">
        <f t="shared" si="399"/>
        <v>0</v>
      </c>
    </row>
    <row r="5079" spans="1:12" ht="15" customHeight="1" x14ac:dyDescent="0.3">
      <c r="A5079" s="23" t="s">
        <v>18475</v>
      </c>
      <c r="B5079" s="23" t="s">
        <v>79</v>
      </c>
      <c r="C5079" s="39">
        <v>2098</v>
      </c>
      <c r="D5079" s="24">
        <v>33.57</v>
      </c>
      <c r="E5079" s="24">
        <v>6.04</v>
      </c>
      <c r="F5079" s="23">
        <f>COUNTIFS(mdr_rate_cleaned!$A$2:$A$10,B5079,mdr_rate_cleaned!$B$2:$B$10,"&lt;"&amp;C5079,mdr_rate_cleaned!$F$2:$F$10,"&gt;="&amp;C5079)</f>
        <v>1</v>
      </c>
      <c r="G5079" s="40">
        <f>SUMIFS(mdr_rate_cleaned!$G$2:$G$10,mdr_rate_cleaned!$A$2:$A$10,B5079,mdr_rate_cleaned!$B$2:$B$10,"&lt;"&amp;C5079,mdr_rate_cleaned!$F$2:$F$10,"&gt;="&amp;C5079)</f>
        <v>1.6E-2</v>
      </c>
      <c r="H5079" s="24">
        <f t="shared" si="395"/>
        <v>33.57</v>
      </c>
      <c r="I5079" s="23" t="str">
        <f t="shared" si="396"/>
        <v>Match</v>
      </c>
      <c r="J5079" s="23" t="str">
        <f t="shared" si="397"/>
        <v>Match</v>
      </c>
      <c r="K5079" s="24">
        <f t="shared" si="398"/>
        <v>6.04</v>
      </c>
      <c r="L5079" s="24">
        <f t="shared" si="399"/>
        <v>0</v>
      </c>
    </row>
    <row r="5080" spans="1:12" ht="15" customHeight="1" x14ac:dyDescent="0.3">
      <c r="A5080" s="23" t="s">
        <v>18476</v>
      </c>
      <c r="B5080" s="23" t="s">
        <v>79</v>
      </c>
      <c r="C5080" s="39">
        <v>10997</v>
      </c>
      <c r="D5080" s="24">
        <v>175.95</v>
      </c>
      <c r="E5080" s="24">
        <v>31.67</v>
      </c>
      <c r="F5080" s="23">
        <f>COUNTIFS(mdr_rate_cleaned!$A$2:$A$10,B5080,mdr_rate_cleaned!$B$2:$B$10,"&lt;"&amp;C5080,mdr_rate_cleaned!$F$2:$F$10,"&gt;="&amp;C5080)</f>
        <v>1</v>
      </c>
      <c r="G5080" s="40">
        <f>SUMIFS(mdr_rate_cleaned!$G$2:$G$10,mdr_rate_cleaned!$A$2:$A$10,B5080,mdr_rate_cleaned!$B$2:$B$10,"&lt;"&amp;C5080,mdr_rate_cleaned!$F$2:$F$10,"&gt;="&amp;C5080)</f>
        <v>1.6E-2</v>
      </c>
      <c r="H5080" s="24">
        <f t="shared" si="395"/>
        <v>175.95</v>
      </c>
      <c r="I5080" s="23" t="str">
        <f t="shared" si="396"/>
        <v>Match</v>
      </c>
      <c r="J5080" s="23" t="str">
        <f t="shared" si="397"/>
        <v>Match</v>
      </c>
      <c r="K5080" s="24">
        <f t="shared" si="398"/>
        <v>31.67</v>
      </c>
      <c r="L5080" s="24">
        <f t="shared" si="399"/>
        <v>0</v>
      </c>
    </row>
    <row r="5081" spans="1:12" ht="15" customHeight="1" x14ac:dyDescent="0.3">
      <c r="A5081" s="23" t="s">
        <v>18477</v>
      </c>
      <c r="B5081" s="23" t="s">
        <v>75</v>
      </c>
      <c r="C5081" s="39">
        <v>1998</v>
      </c>
      <c r="D5081" s="24">
        <v>0</v>
      </c>
      <c r="E5081" s="24">
        <v>0</v>
      </c>
      <c r="F5081" s="23">
        <f>COUNTIFS(mdr_rate_cleaned!$A$2:$A$10,B5081,mdr_rate_cleaned!$B$2:$B$10,"&lt;"&amp;C5081,mdr_rate_cleaned!$F$2:$F$10,"&gt;="&amp;C5081)</f>
        <v>1</v>
      </c>
      <c r="G5081" s="40">
        <f>SUMIFS(mdr_rate_cleaned!$G$2:$G$10,mdr_rate_cleaned!$A$2:$A$10,B5081,mdr_rate_cleaned!$B$2:$B$10,"&lt;"&amp;C5081,mdr_rate_cleaned!$F$2:$F$10,"&gt;="&amp;C5081)</f>
        <v>0</v>
      </c>
      <c r="H5081" s="24">
        <f t="shared" si="395"/>
        <v>0</v>
      </c>
      <c r="I5081" s="23" t="str">
        <f t="shared" si="396"/>
        <v>Match</v>
      </c>
      <c r="J5081" s="23" t="str">
        <f t="shared" si="397"/>
        <v>Match</v>
      </c>
      <c r="K5081" s="24">
        <f t="shared" si="398"/>
        <v>0</v>
      </c>
      <c r="L5081" s="24">
        <f t="shared" si="399"/>
        <v>0</v>
      </c>
    </row>
    <row r="5082" spans="1:12" ht="15" customHeight="1" x14ac:dyDescent="0.3">
      <c r="A5082" s="23" t="s">
        <v>18478</v>
      </c>
      <c r="B5082" s="23" t="s">
        <v>77</v>
      </c>
      <c r="C5082" s="39">
        <v>7999</v>
      </c>
      <c r="D5082" s="24">
        <v>135.97999999999999</v>
      </c>
      <c r="E5082" s="24">
        <v>24.48</v>
      </c>
      <c r="F5082" s="23">
        <f>COUNTIFS(mdr_rate_cleaned!$A$2:$A$10,B5082,mdr_rate_cleaned!$B$2:$B$10,"&lt;"&amp;C5082,mdr_rate_cleaned!$F$2:$F$10,"&gt;="&amp;C5082)</f>
        <v>1</v>
      </c>
      <c r="G5082" s="40">
        <f>SUMIFS(mdr_rate_cleaned!$G$2:$G$10,mdr_rate_cleaned!$A$2:$A$10,B5082,mdr_rate_cleaned!$B$2:$B$10,"&lt;"&amp;C5082,mdr_rate_cleaned!$F$2:$F$10,"&gt;="&amp;C5082)</f>
        <v>1.7000000000000001E-2</v>
      </c>
      <c r="H5082" s="24">
        <f t="shared" si="395"/>
        <v>135.97999999999999</v>
      </c>
      <c r="I5082" s="23" t="str">
        <f t="shared" si="396"/>
        <v>Match</v>
      </c>
      <c r="J5082" s="23" t="str">
        <f t="shared" si="397"/>
        <v>Match</v>
      </c>
      <c r="K5082" s="24">
        <f t="shared" si="398"/>
        <v>24.48</v>
      </c>
      <c r="L5082" s="24">
        <f t="shared" si="399"/>
        <v>0</v>
      </c>
    </row>
    <row r="5083" spans="1:12" ht="15" customHeight="1" x14ac:dyDescent="0.3">
      <c r="A5083" s="23" t="s">
        <v>18480</v>
      </c>
      <c r="B5083" s="23" t="s">
        <v>79</v>
      </c>
      <c r="C5083" s="39">
        <v>4498</v>
      </c>
      <c r="D5083" s="24">
        <v>71.97</v>
      </c>
      <c r="E5083" s="24">
        <v>12.95</v>
      </c>
      <c r="F5083" s="23">
        <f>COUNTIFS(mdr_rate_cleaned!$A$2:$A$10,B5083,mdr_rate_cleaned!$B$2:$B$10,"&lt;"&amp;C5083,mdr_rate_cleaned!$F$2:$F$10,"&gt;="&amp;C5083)</f>
        <v>1</v>
      </c>
      <c r="G5083" s="40">
        <f>SUMIFS(mdr_rate_cleaned!$G$2:$G$10,mdr_rate_cleaned!$A$2:$A$10,B5083,mdr_rate_cleaned!$B$2:$B$10,"&lt;"&amp;C5083,mdr_rate_cleaned!$F$2:$F$10,"&gt;="&amp;C5083)</f>
        <v>1.6E-2</v>
      </c>
      <c r="H5083" s="24">
        <f t="shared" si="395"/>
        <v>71.97</v>
      </c>
      <c r="I5083" s="23" t="str">
        <f t="shared" si="396"/>
        <v>Match</v>
      </c>
      <c r="J5083" s="23" t="str">
        <f t="shared" si="397"/>
        <v>Match</v>
      </c>
      <c r="K5083" s="24">
        <f t="shared" si="398"/>
        <v>12.95</v>
      </c>
      <c r="L5083" s="24">
        <f t="shared" si="399"/>
        <v>0</v>
      </c>
    </row>
    <row r="5084" spans="1:12" ht="15" customHeight="1" x14ac:dyDescent="0.3">
      <c r="A5084" s="23" t="s">
        <v>18481</v>
      </c>
      <c r="B5084" s="23" t="s">
        <v>79</v>
      </c>
      <c r="C5084" s="39">
        <v>1799</v>
      </c>
      <c r="D5084" s="24">
        <v>32.380000000000003</v>
      </c>
      <c r="E5084" s="24">
        <v>5.83</v>
      </c>
      <c r="F5084" s="23">
        <f>COUNTIFS(mdr_rate_cleaned!$A$2:$A$10,B5084,mdr_rate_cleaned!$B$2:$B$10,"&lt;"&amp;C5084,mdr_rate_cleaned!$F$2:$F$10,"&gt;="&amp;C5084)</f>
        <v>1</v>
      </c>
      <c r="G5084" s="40">
        <f>SUMIFS(mdr_rate_cleaned!$G$2:$G$10,mdr_rate_cleaned!$A$2:$A$10,B5084,mdr_rate_cleaned!$B$2:$B$10,"&lt;"&amp;C5084,mdr_rate_cleaned!$F$2:$F$10,"&gt;="&amp;C5084)</f>
        <v>1.8000000000000002E-2</v>
      </c>
      <c r="H5084" s="24">
        <f t="shared" si="395"/>
        <v>32.380000000000003</v>
      </c>
      <c r="I5084" s="23" t="str">
        <f t="shared" si="396"/>
        <v>Match</v>
      </c>
      <c r="J5084" s="23" t="str">
        <f t="shared" si="397"/>
        <v>Match</v>
      </c>
      <c r="K5084" s="24">
        <f t="shared" si="398"/>
        <v>5.83</v>
      </c>
      <c r="L5084" s="24">
        <f t="shared" si="399"/>
        <v>0</v>
      </c>
    </row>
    <row r="5085" spans="1:12" ht="15" customHeight="1" x14ac:dyDescent="0.3">
      <c r="A5085" s="23" t="s">
        <v>18482</v>
      </c>
      <c r="B5085" s="23" t="s">
        <v>81</v>
      </c>
      <c r="C5085" s="39">
        <v>3499</v>
      </c>
      <c r="D5085" s="24">
        <v>41.99</v>
      </c>
      <c r="E5085" s="24">
        <v>7.56</v>
      </c>
      <c r="F5085" s="23">
        <f>COUNTIFS(mdr_rate_cleaned!$A$2:$A$10,B5085,mdr_rate_cleaned!$B$2:$B$10,"&lt;"&amp;C5085,mdr_rate_cleaned!$F$2:$F$10,"&gt;="&amp;C5085)</f>
        <v>1</v>
      </c>
      <c r="G5085" s="40">
        <f>SUMIFS(mdr_rate_cleaned!$G$2:$G$10,mdr_rate_cleaned!$A$2:$A$10,B5085,mdr_rate_cleaned!$B$2:$B$10,"&lt;"&amp;C5085,mdr_rate_cleaned!$F$2:$F$10,"&gt;="&amp;C5085)</f>
        <v>1.2E-2</v>
      </c>
      <c r="H5085" s="24">
        <f t="shared" si="395"/>
        <v>41.99</v>
      </c>
      <c r="I5085" s="23" t="str">
        <f t="shared" si="396"/>
        <v>Match</v>
      </c>
      <c r="J5085" s="23" t="str">
        <f t="shared" si="397"/>
        <v>Match</v>
      </c>
      <c r="K5085" s="24">
        <f t="shared" si="398"/>
        <v>7.56</v>
      </c>
      <c r="L5085" s="24">
        <f t="shared" si="399"/>
        <v>0</v>
      </c>
    </row>
    <row r="5086" spans="1:12" ht="15" customHeight="1" x14ac:dyDescent="0.3">
      <c r="A5086" s="23" t="s">
        <v>18484</v>
      </c>
      <c r="B5086" s="23" t="s">
        <v>77</v>
      </c>
      <c r="C5086" s="39">
        <v>8498</v>
      </c>
      <c r="D5086" s="24">
        <v>144.47</v>
      </c>
      <c r="E5086" s="24">
        <v>26</v>
      </c>
      <c r="F5086" s="23">
        <f>COUNTIFS(mdr_rate_cleaned!$A$2:$A$10,B5086,mdr_rate_cleaned!$B$2:$B$10,"&lt;"&amp;C5086,mdr_rate_cleaned!$F$2:$F$10,"&gt;="&amp;C5086)</f>
        <v>1</v>
      </c>
      <c r="G5086" s="40">
        <f>SUMIFS(mdr_rate_cleaned!$G$2:$G$10,mdr_rate_cleaned!$A$2:$A$10,B5086,mdr_rate_cleaned!$B$2:$B$10,"&lt;"&amp;C5086,mdr_rate_cleaned!$F$2:$F$10,"&gt;="&amp;C5086)</f>
        <v>1.7000000000000001E-2</v>
      </c>
      <c r="H5086" s="24">
        <f t="shared" si="395"/>
        <v>144.47</v>
      </c>
      <c r="I5086" s="23" t="str">
        <f t="shared" si="396"/>
        <v>Match</v>
      </c>
      <c r="J5086" s="23" t="str">
        <f t="shared" si="397"/>
        <v>Match</v>
      </c>
      <c r="K5086" s="24">
        <f t="shared" si="398"/>
        <v>26</v>
      </c>
      <c r="L5086" s="24">
        <f t="shared" si="399"/>
        <v>0</v>
      </c>
    </row>
    <row r="5087" spans="1:12" ht="15" customHeight="1" x14ac:dyDescent="0.3">
      <c r="A5087" s="23" t="s">
        <v>18485</v>
      </c>
      <c r="B5087" s="23" t="s">
        <v>75</v>
      </c>
      <c r="C5087" s="39">
        <v>8798</v>
      </c>
      <c r="D5087" s="24">
        <v>26.39</v>
      </c>
      <c r="E5087" s="24">
        <v>4.75</v>
      </c>
      <c r="F5087" s="23">
        <f>COUNTIFS(mdr_rate_cleaned!$A$2:$A$10,B5087,mdr_rate_cleaned!$B$2:$B$10,"&lt;"&amp;C5087,mdr_rate_cleaned!$F$2:$F$10,"&gt;="&amp;C5087)</f>
        <v>1</v>
      </c>
      <c r="G5087" s="40">
        <f>SUMIFS(mdr_rate_cleaned!$G$2:$G$10,mdr_rate_cleaned!$A$2:$A$10,B5087,mdr_rate_cleaned!$B$2:$B$10,"&lt;"&amp;C5087,mdr_rate_cleaned!$F$2:$F$10,"&gt;="&amp;C5087)</f>
        <v>3.0000000000000001E-3</v>
      </c>
      <c r="H5087" s="24">
        <f t="shared" si="395"/>
        <v>26.39</v>
      </c>
      <c r="I5087" s="23" t="str">
        <f t="shared" si="396"/>
        <v>Match</v>
      </c>
      <c r="J5087" s="23" t="str">
        <f t="shared" si="397"/>
        <v>Match</v>
      </c>
      <c r="K5087" s="24">
        <f t="shared" si="398"/>
        <v>4.75</v>
      </c>
      <c r="L5087" s="24">
        <f t="shared" si="399"/>
        <v>0</v>
      </c>
    </row>
    <row r="5088" spans="1:12" ht="15" customHeight="1" x14ac:dyDescent="0.3">
      <c r="A5088" s="23" t="s">
        <v>18486</v>
      </c>
      <c r="B5088" s="23" t="s">
        <v>81</v>
      </c>
      <c r="C5088" s="39">
        <v>3798</v>
      </c>
      <c r="D5088" s="24">
        <v>45.58</v>
      </c>
      <c r="E5088" s="24">
        <v>8.1999999999999993</v>
      </c>
      <c r="F5088" s="23">
        <f>COUNTIFS(mdr_rate_cleaned!$A$2:$A$10,B5088,mdr_rate_cleaned!$B$2:$B$10,"&lt;"&amp;C5088,mdr_rate_cleaned!$F$2:$F$10,"&gt;="&amp;C5088)</f>
        <v>1</v>
      </c>
      <c r="G5088" s="40">
        <f>SUMIFS(mdr_rate_cleaned!$G$2:$G$10,mdr_rate_cleaned!$A$2:$A$10,B5088,mdr_rate_cleaned!$B$2:$B$10,"&lt;"&amp;C5088,mdr_rate_cleaned!$F$2:$F$10,"&gt;="&amp;C5088)</f>
        <v>1.2E-2</v>
      </c>
      <c r="H5088" s="24">
        <f t="shared" si="395"/>
        <v>45.58</v>
      </c>
      <c r="I5088" s="23" t="str">
        <f t="shared" si="396"/>
        <v>Match</v>
      </c>
      <c r="J5088" s="23" t="str">
        <f t="shared" si="397"/>
        <v>Match</v>
      </c>
      <c r="K5088" s="24">
        <f t="shared" si="398"/>
        <v>8.1999999999999993</v>
      </c>
      <c r="L5088" s="24">
        <f t="shared" si="399"/>
        <v>0</v>
      </c>
    </row>
    <row r="5089" spans="1:12" ht="15" customHeight="1" x14ac:dyDescent="0.3">
      <c r="A5089" s="23" t="s">
        <v>18487</v>
      </c>
      <c r="B5089" s="23" t="s">
        <v>75</v>
      </c>
      <c r="C5089" s="39">
        <v>2499</v>
      </c>
      <c r="D5089" s="24">
        <v>7.5</v>
      </c>
      <c r="E5089" s="24">
        <v>1.35</v>
      </c>
      <c r="F5089" s="23">
        <f>COUNTIFS(mdr_rate_cleaned!$A$2:$A$10,B5089,mdr_rate_cleaned!$B$2:$B$10,"&lt;"&amp;C5089,mdr_rate_cleaned!$F$2:$F$10,"&gt;="&amp;C5089)</f>
        <v>1</v>
      </c>
      <c r="G5089" s="40">
        <f>SUMIFS(mdr_rate_cleaned!$G$2:$G$10,mdr_rate_cleaned!$A$2:$A$10,B5089,mdr_rate_cleaned!$B$2:$B$10,"&lt;"&amp;C5089,mdr_rate_cleaned!$F$2:$F$10,"&gt;="&amp;C5089)</f>
        <v>3.0000000000000001E-3</v>
      </c>
      <c r="H5089" s="24">
        <f t="shared" si="395"/>
        <v>7.5</v>
      </c>
      <c r="I5089" s="23" t="str">
        <f t="shared" si="396"/>
        <v>Match</v>
      </c>
      <c r="J5089" s="23" t="str">
        <f t="shared" si="397"/>
        <v>Match</v>
      </c>
      <c r="K5089" s="24">
        <f t="shared" si="398"/>
        <v>1.35</v>
      </c>
      <c r="L5089" s="24">
        <f t="shared" si="399"/>
        <v>0</v>
      </c>
    </row>
    <row r="5090" spans="1:12" ht="15" customHeight="1" x14ac:dyDescent="0.3">
      <c r="A5090" s="23" t="s">
        <v>18488</v>
      </c>
      <c r="B5090" s="23" t="s">
        <v>75</v>
      </c>
      <c r="C5090" s="39">
        <v>1647</v>
      </c>
      <c r="D5090" s="24">
        <v>0</v>
      </c>
      <c r="E5090" s="24">
        <v>0</v>
      </c>
      <c r="F5090" s="23">
        <f>COUNTIFS(mdr_rate_cleaned!$A$2:$A$10,B5090,mdr_rate_cleaned!$B$2:$B$10,"&lt;"&amp;C5090,mdr_rate_cleaned!$F$2:$F$10,"&gt;="&amp;C5090)</f>
        <v>1</v>
      </c>
      <c r="G5090" s="40">
        <f>SUMIFS(mdr_rate_cleaned!$G$2:$G$10,mdr_rate_cleaned!$A$2:$A$10,B5090,mdr_rate_cleaned!$B$2:$B$10,"&lt;"&amp;C5090,mdr_rate_cleaned!$F$2:$F$10,"&gt;="&amp;C5090)</f>
        <v>0</v>
      </c>
      <c r="H5090" s="24">
        <f t="shared" si="395"/>
        <v>0</v>
      </c>
      <c r="I5090" s="23" t="str">
        <f t="shared" si="396"/>
        <v>Match</v>
      </c>
      <c r="J5090" s="23" t="str">
        <f t="shared" si="397"/>
        <v>Match</v>
      </c>
      <c r="K5090" s="24">
        <f t="shared" si="398"/>
        <v>0</v>
      </c>
      <c r="L5090" s="24">
        <f t="shared" si="399"/>
        <v>0</v>
      </c>
    </row>
    <row r="5091" spans="1:12" ht="15" customHeight="1" x14ac:dyDescent="0.3">
      <c r="A5091" s="23" t="s">
        <v>18490</v>
      </c>
      <c r="B5091" s="23" t="s">
        <v>75</v>
      </c>
      <c r="C5091" s="39">
        <v>5598</v>
      </c>
      <c r="D5091" s="24">
        <v>16.79</v>
      </c>
      <c r="E5091" s="24">
        <v>3.02</v>
      </c>
      <c r="F5091" s="23">
        <f>COUNTIFS(mdr_rate_cleaned!$A$2:$A$10,B5091,mdr_rate_cleaned!$B$2:$B$10,"&lt;"&amp;C5091,mdr_rate_cleaned!$F$2:$F$10,"&gt;="&amp;C5091)</f>
        <v>1</v>
      </c>
      <c r="G5091" s="40">
        <f>SUMIFS(mdr_rate_cleaned!$G$2:$G$10,mdr_rate_cleaned!$A$2:$A$10,B5091,mdr_rate_cleaned!$B$2:$B$10,"&lt;"&amp;C5091,mdr_rate_cleaned!$F$2:$F$10,"&gt;="&amp;C5091)</f>
        <v>3.0000000000000001E-3</v>
      </c>
      <c r="H5091" s="24">
        <f t="shared" si="395"/>
        <v>16.79</v>
      </c>
      <c r="I5091" s="23" t="str">
        <f t="shared" si="396"/>
        <v>Match</v>
      </c>
      <c r="J5091" s="23" t="str">
        <f t="shared" si="397"/>
        <v>Match</v>
      </c>
      <c r="K5091" s="24">
        <f t="shared" si="398"/>
        <v>3.02</v>
      </c>
      <c r="L5091" s="24">
        <f t="shared" si="399"/>
        <v>0</v>
      </c>
    </row>
    <row r="5092" spans="1:12" ht="15" customHeight="1" x14ac:dyDescent="0.3">
      <c r="A5092" s="23" t="s">
        <v>18491</v>
      </c>
      <c r="B5092" s="23" t="s">
        <v>79</v>
      </c>
      <c r="C5092" s="39">
        <v>4999</v>
      </c>
      <c r="D5092" s="24">
        <v>79.98</v>
      </c>
      <c r="E5092" s="24">
        <v>14.4</v>
      </c>
      <c r="F5092" s="23">
        <f>COUNTIFS(mdr_rate_cleaned!$A$2:$A$10,B5092,mdr_rate_cleaned!$B$2:$B$10,"&lt;"&amp;C5092,mdr_rate_cleaned!$F$2:$F$10,"&gt;="&amp;C5092)</f>
        <v>1</v>
      </c>
      <c r="G5092" s="40">
        <f>SUMIFS(mdr_rate_cleaned!$G$2:$G$10,mdr_rate_cleaned!$A$2:$A$10,B5092,mdr_rate_cleaned!$B$2:$B$10,"&lt;"&amp;C5092,mdr_rate_cleaned!$F$2:$F$10,"&gt;="&amp;C5092)</f>
        <v>1.6E-2</v>
      </c>
      <c r="H5092" s="24">
        <f t="shared" si="395"/>
        <v>79.98</v>
      </c>
      <c r="I5092" s="23" t="str">
        <f t="shared" si="396"/>
        <v>Match</v>
      </c>
      <c r="J5092" s="23" t="str">
        <f t="shared" si="397"/>
        <v>Match</v>
      </c>
      <c r="K5092" s="24">
        <f t="shared" si="398"/>
        <v>14.4</v>
      </c>
      <c r="L5092" s="24">
        <f t="shared" si="399"/>
        <v>0</v>
      </c>
    </row>
    <row r="5093" spans="1:12" ht="15" customHeight="1" x14ac:dyDescent="0.3">
      <c r="A5093" s="23" t="s">
        <v>18492</v>
      </c>
      <c r="B5093" s="23" t="s">
        <v>75</v>
      </c>
      <c r="C5093" s="39">
        <v>1799</v>
      </c>
      <c r="D5093" s="24">
        <v>0</v>
      </c>
      <c r="E5093" s="24">
        <v>0</v>
      </c>
      <c r="F5093" s="23">
        <f>COUNTIFS(mdr_rate_cleaned!$A$2:$A$10,B5093,mdr_rate_cleaned!$B$2:$B$10,"&lt;"&amp;C5093,mdr_rate_cleaned!$F$2:$F$10,"&gt;="&amp;C5093)</f>
        <v>1</v>
      </c>
      <c r="G5093" s="40">
        <f>SUMIFS(mdr_rate_cleaned!$G$2:$G$10,mdr_rate_cleaned!$A$2:$A$10,B5093,mdr_rate_cleaned!$B$2:$B$10,"&lt;"&amp;C5093,mdr_rate_cleaned!$F$2:$F$10,"&gt;="&amp;C5093)</f>
        <v>0</v>
      </c>
      <c r="H5093" s="24">
        <f t="shared" si="395"/>
        <v>0</v>
      </c>
      <c r="I5093" s="23" t="str">
        <f t="shared" si="396"/>
        <v>Match</v>
      </c>
      <c r="J5093" s="23" t="str">
        <f t="shared" si="397"/>
        <v>Match</v>
      </c>
      <c r="K5093" s="24">
        <f t="shared" si="398"/>
        <v>0</v>
      </c>
      <c r="L5093" s="24">
        <f t="shared" si="399"/>
        <v>0</v>
      </c>
    </row>
    <row r="5094" spans="1:12" ht="15" customHeight="1" x14ac:dyDescent="0.3">
      <c r="A5094" s="23" t="s">
        <v>18493</v>
      </c>
      <c r="B5094" s="23" t="s">
        <v>81</v>
      </c>
      <c r="C5094" s="39">
        <v>1799</v>
      </c>
      <c r="D5094" s="24">
        <v>26.99</v>
      </c>
      <c r="E5094" s="24">
        <v>4.8600000000000003</v>
      </c>
      <c r="F5094" s="23">
        <f>COUNTIFS(mdr_rate_cleaned!$A$2:$A$10,B5094,mdr_rate_cleaned!$B$2:$B$10,"&lt;"&amp;C5094,mdr_rate_cleaned!$F$2:$F$10,"&gt;="&amp;C5094)</f>
        <v>1</v>
      </c>
      <c r="G5094" s="40">
        <f>SUMIFS(mdr_rate_cleaned!$G$2:$G$10,mdr_rate_cleaned!$A$2:$A$10,B5094,mdr_rate_cleaned!$B$2:$B$10,"&lt;"&amp;C5094,mdr_rate_cleaned!$F$2:$F$10,"&gt;="&amp;C5094)</f>
        <v>1.4999999999999999E-2</v>
      </c>
      <c r="H5094" s="24">
        <f t="shared" si="395"/>
        <v>26.99</v>
      </c>
      <c r="I5094" s="23" t="str">
        <f t="shared" si="396"/>
        <v>Match</v>
      </c>
      <c r="J5094" s="23" t="str">
        <f t="shared" si="397"/>
        <v>Match</v>
      </c>
      <c r="K5094" s="24">
        <f t="shared" si="398"/>
        <v>4.8600000000000003</v>
      </c>
      <c r="L5094" s="24">
        <f t="shared" si="399"/>
        <v>0</v>
      </c>
    </row>
    <row r="5095" spans="1:12" ht="15" customHeight="1" x14ac:dyDescent="0.3">
      <c r="A5095" s="23" t="s">
        <v>18495</v>
      </c>
      <c r="B5095" s="23" t="s">
        <v>75</v>
      </c>
      <c r="C5095" s="39">
        <v>799</v>
      </c>
      <c r="D5095" s="24">
        <v>0</v>
      </c>
      <c r="E5095" s="24">
        <v>0</v>
      </c>
      <c r="F5095" s="23">
        <f>COUNTIFS(mdr_rate_cleaned!$A$2:$A$10,B5095,mdr_rate_cleaned!$B$2:$B$10,"&lt;"&amp;C5095,mdr_rate_cleaned!$F$2:$F$10,"&gt;="&amp;C5095)</f>
        <v>1</v>
      </c>
      <c r="G5095" s="40">
        <f>SUMIFS(mdr_rate_cleaned!$G$2:$G$10,mdr_rate_cleaned!$A$2:$A$10,B5095,mdr_rate_cleaned!$B$2:$B$10,"&lt;"&amp;C5095,mdr_rate_cleaned!$F$2:$F$10,"&gt;="&amp;C5095)</f>
        <v>0</v>
      </c>
      <c r="H5095" s="24">
        <f t="shared" si="395"/>
        <v>0</v>
      </c>
      <c r="I5095" s="23" t="str">
        <f t="shared" si="396"/>
        <v>Match</v>
      </c>
      <c r="J5095" s="23" t="str">
        <f t="shared" si="397"/>
        <v>Match</v>
      </c>
      <c r="K5095" s="24">
        <f t="shared" si="398"/>
        <v>0</v>
      </c>
      <c r="L5095" s="24">
        <f t="shared" si="399"/>
        <v>0</v>
      </c>
    </row>
    <row r="5096" spans="1:12" ht="15" customHeight="1" x14ac:dyDescent="0.3">
      <c r="A5096" s="23" t="s">
        <v>18496</v>
      </c>
      <c r="B5096" s="23" t="s">
        <v>79</v>
      </c>
      <c r="C5096" s="39">
        <v>1499</v>
      </c>
      <c r="D5096" s="24">
        <v>26.98</v>
      </c>
      <c r="E5096" s="24">
        <v>4.8600000000000003</v>
      </c>
      <c r="F5096" s="23">
        <f>COUNTIFS(mdr_rate_cleaned!$A$2:$A$10,B5096,mdr_rate_cleaned!$B$2:$B$10,"&lt;"&amp;C5096,mdr_rate_cleaned!$F$2:$F$10,"&gt;="&amp;C5096)</f>
        <v>1</v>
      </c>
      <c r="G5096" s="40">
        <f>SUMIFS(mdr_rate_cleaned!$G$2:$G$10,mdr_rate_cleaned!$A$2:$A$10,B5096,mdr_rate_cleaned!$B$2:$B$10,"&lt;"&amp;C5096,mdr_rate_cleaned!$F$2:$F$10,"&gt;="&amp;C5096)</f>
        <v>1.8000000000000002E-2</v>
      </c>
      <c r="H5096" s="24">
        <f t="shared" si="395"/>
        <v>26.98</v>
      </c>
      <c r="I5096" s="23" t="str">
        <f t="shared" si="396"/>
        <v>Match</v>
      </c>
      <c r="J5096" s="23" t="str">
        <f t="shared" si="397"/>
        <v>Match</v>
      </c>
      <c r="K5096" s="24">
        <f t="shared" si="398"/>
        <v>4.8600000000000003</v>
      </c>
      <c r="L5096" s="24">
        <f t="shared" si="399"/>
        <v>0</v>
      </c>
    </row>
    <row r="5097" spans="1:12" ht="15" customHeight="1" x14ac:dyDescent="0.3">
      <c r="A5097" s="23" t="s">
        <v>18497</v>
      </c>
      <c r="B5097" s="23" t="s">
        <v>79</v>
      </c>
      <c r="C5097" s="39">
        <v>349</v>
      </c>
      <c r="D5097" s="24">
        <v>6.28</v>
      </c>
      <c r="E5097" s="24">
        <v>1.1299999999999999</v>
      </c>
      <c r="F5097" s="23">
        <f>COUNTIFS(mdr_rate_cleaned!$A$2:$A$10,B5097,mdr_rate_cleaned!$B$2:$B$10,"&lt;"&amp;C5097,mdr_rate_cleaned!$F$2:$F$10,"&gt;="&amp;C5097)</f>
        <v>1</v>
      </c>
      <c r="G5097" s="40">
        <f>SUMIFS(mdr_rate_cleaned!$G$2:$G$10,mdr_rate_cleaned!$A$2:$A$10,B5097,mdr_rate_cleaned!$B$2:$B$10,"&lt;"&amp;C5097,mdr_rate_cleaned!$F$2:$F$10,"&gt;="&amp;C5097)</f>
        <v>1.8000000000000002E-2</v>
      </c>
      <c r="H5097" s="24">
        <f t="shared" si="395"/>
        <v>6.28</v>
      </c>
      <c r="I5097" s="23" t="str">
        <f t="shared" si="396"/>
        <v>Match</v>
      </c>
      <c r="J5097" s="23" t="str">
        <f t="shared" si="397"/>
        <v>Match</v>
      </c>
      <c r="K5097" s="24">
        <f t="shared" si="398"/>
        <v>1.1299999999999999</v>
      </c>
      <c r="L5097" s="24">
        <f t="shared" si="399"/>
        <v>0</v>
      </c>
    </row>
    <row r="5098" spans="1:12" ht="15" customHeight="1" x14ac:dyDescent="0.3">
      <c r="A5098" s="23" t="s">
        <v>18499</v>
      </c>
      <c r="B5098" s="23" t="s">
        <v>79</v>
      </c>
      <c r="C5098" s="39">
        <v>1197</v>
      </c>
      <c r="D5098" s="24">
        <v>21.55</v>
      </c>
      <c r="E5098" s="24">
        <v>3.88</v>
      </c>
      <c r="F5098" s="23">
        <f>COUNTIFS(mdr_rate_cleaned!$A$2:$A$10,B5098,mdr_rate_cleaned!$B$2:$B$10,"&lt;"&amp;C5098,mdr_rate_cleaned!$F$2:$F$10,"&gt;="&amp;C5098)</f>
        <v>1</v>
      </c>
      <c r="G5098" s="40">
        <f>SUMIFS(mdr_rate_cleaned!$G$2:$G$10,mdr_rate_cleaned!$A$2:$A$10,B5098,mdr_rate_cleaned!$B$2:$B$10,"&lt;"&amp;C5098,mdr_rate_cleaned!$F$2:$F$10,"&gt;="&amp;C5098)</f>
        <v>1.8000000000000002E-2</v>
      </c>
      <c r="H5098" s="24">
        <f t="shared" si="395"/>
        <v>21.55</v>
      </c>
      <c r="I5098" s="23" t="str">
        <f t="shared" si="396"/>
        <v>Match</v>
      </c>
      <c r="J5098" s="23" t="str">
        <f t="shared" si="397"/>
        <v>Match</v>
      </c>
      <c r="K5098" s="24">
        <f t="shared" si="398"/>
        <v>3.88</v>
      </c>
      <c r="L5098" s="24">
        <f t="shared" si="399"/>
        <v>0</v>
      </c>
    </row>
    <row r="5099" spans="1:12" ht="15" customHeight="1" x14ac:dyDescent="0.3">
      <c r="A5099" s="23" t="s">
        <v>18500</v>
      </c>
      <c r="B5099" s="23" t="s">
        <v>77</v>
      </c>
      <c r="C5099" s="39">
        <v>3499</v>
      </c>
      <c r="D5099" s="24">
        <v>59.48</v>
      </c>
      <c r="E5099" s="24">
        <v>10.71</v>
      </c>
      <c r="F5099" s="23">
        <f>COUNTIFS(mdr_rate_cleaned!$A$2:$A$10,B5099,mdr_rate_cleaned!$B$2:$B$10,"&lt;"&amp;C5099,mdr_rate_cleaned!$F$2:$F$10,"&gt;="&amp;C5099)</f>
        <v>1</v>
      </c>
      <c r="G5099" s="40">
        <f>SUMIFS(mdr_rate_cleaned!$G$2:$G$10,mdr_rate_cleaned!$A$2:$A$10,B5099,mdr_rate_cleaned!$B$2:$B$10,"&lt;"&amp;C5099,mdr_rate_cleaned!$F$2:$F$10,"&gt;="&amp;C5099)</f>
        <v>1.7000000000000001E-2</v>
      </c>
      <c r="H5099" s="24">
        <f t="shared" si="395"/>
        <v>59.48</v>
      </c>
      <c r="I5099" s="23" t="str">
        <f t="shared" si="396"/>
        <v>Match</v>
      </c>
      <c r="J5099" s="23" t="str">
        <f t="shared" si="397"/>
        <v>Match</v>
      </c>
      <c r="K5099" s="24">
        <f t="shared" si="398"/>
        <v>10.71</v>
      </c>
      <c r="L5099" s="24">
        <f t="shared" si="399"/>
        <v>0</v>
      </c>
    </row>
    <row r="5100" spans="1:12" ht="15" customHeight="1" x14ac:dyDescent="0.3">
      <c r="A5100" s="23" t="s">
        <v>18501</v>
      </c>
      <c r="B5100" s="23" t="s">
        <v>75</v>
      </c>
      <c r="C5100" s="39">
        <v>6498</v>
      </c>
      <c r="D5100" s="24">
        <v>19.489999999999998</v>
      </c>
      <c r="E5100" s="24">
        <v>3.51</v>
      </c>
      <c r="F5100" s="23">
        <f>COUNTIFS(mdr_rate_cleaned!$A$2:$A$10,B5100,mdr_rate_cleaned!$B$2:$B$10,"&lt;"&amp;C5100,mdr_rate_cleaned!$F$2:$F$10,"&gt;="&amp;C5100)</f>
        <v>1</v>
      </c>
      <c r="G5100" s="40">
        <f>SUMIFS(mdr_rate_cleaned!$G$2:$G$10,mdr_rate_cleaned!$A$2:$A$10,B5100,mdr_rate_cleaned!$B$2:$B$10,"&lt;"&amp;C5100,mdr_rate_cleaned!$F$2:$F$10,"&gt;="&amp;C5100)</f>
        <v>3.0000000000000001E-3</v>
      </c>
      <c r="H5100" s="24">
        <f t="shared" si="395"/>
        <v>19.489999999999998</v>
      </c>
      <c r="I5100" s="23" t="str">
        <f t="shared" si="396"/>
        <v>Match</v>
      </c>
      <c r="J5100" s="23" t="str">
        <f t="shared" si="397"/>
        <v>Match</v>
      </c>
      <c r="K5100" s="24">
        <f t="shared" si="398"/>
        <v>3.51</v>
      </c>
      <c r="L5100" s="24">
        <f t="shared" si="399"/>
        <v>0</v>
      </c>
    </row>
    <row r="5101" spans="1:12" ht="15" customHeight="1" x14ac:dyDescent="0.3">
      <c r="A5101" s="23" t="s">
        <v>18502</v>
      </c>
      <c r="B5101" s="23" t="s">
        <v>79</v>
      </c>
      <c r="C5101" s="39">
        <v>3348</v>
      </c>
      <c r="D5101" s="24">
        <v>53.57</v>
      </c>
      <c r="E5101" s="24">
        <v>9.64</v>
      </c>
      <c r="F5101" s="23">
        <f>COUNTIFS(mdr_rate_cleaned!$A$2:$A$10,B5101,mdr_rate_cleaned!$B$2:$B$10,"&lt;"&amp;C5101,mdr_rate_cleaned!$F$2:$F$10,"&gt;="&amp;C5101)</f>
        <v>1</v>
      </c>
      <c r="G5101" s="40">
        <f>SUMIFS(mdr_rate_cleaned!$G$2:$G$10,mdr_rate_cleaned!$A$2:$A$10,B5101,mdr_rate_cleaned!$B$2:$B$10,"&lt;"&amp;C5101,mdr_rate_cleaned!$F$2:$F$10,"&gt;="&amp;C5101)</f>
        <v>1.6E-2</v>
      </c>
      <c r="H5101" s="24">
        <f t="shared" si="395"/>
        <v>53.57</v>
      </c>
      <c r="I5101" s="23" t="str">
        <f t="shared" si="396"/>
        <v>Match</v>
      </c>
      <c r="J5101" s="23" t="str">
        <f t="shared" si="397"/>
        <v>Match</v>
      </c>
      <c r="K5101" s="24">
        <f t="shared" si="398"/>
        <v>9.64</v>
      </c>
      <c r="L5101" s="24">
        <f t="shared" si="399"/>
        <v>0</v>
      </c>
    </row>
    <row r="5102" spans="1:12" ht="15" customHeight="1" x14ac:dyDescent="0.3">
      <c r="A5102" s="23" t="s">
        <v>18503</v>
      </c>
      <c r="B5102" s="23" t="s">
        <v>79</v>
      </c>
      <c r="C5102" s="39">
        <v>4999</v>
      </c>
      <c r="D5102" s="24">
        <v>79.98</v>
      </c>
      <c r="E5102" s="24">
        <v>14.4</v>
      </c>
      <c r="F5102" s="23">
        <f>COUNTIFS(mdr_rate_cleaned!$A$2:$A$10,B5102,mdr_rate_cleaned!$B$2:$B$10,"&lt;"&amp;C5102,mdr_rate_cleaned!$F$2:$F$10,"&gt;="&amp;C5102)</f>
        <v>1</v>
      </c>
      <c r="G5102" s="40">
        <f>SUMIFS(mdr_rate_cleaned!$G$2:$G$10,mdr_rate_cleaned!$A$2:$A$10,B5102,mdr_rate_cleaned!$B$2:$B$10,"&lt;"&amp;C5102,mdr_rate_cleaned!$F$2:$F$10,"&gt;="&amp;C5102)</f>
        <v>1.6E-2</v>
      </c>
      <c r="H5102" s="24">
        <f t="shared" si="395"/>
        <v>79.98</v>
      </c>
      <c r="I5102" s="23" t="str">
        <f t="shared" si="396"/>
        <v>Match</v>
      </c>
      <c r="J5102" s="23" t="str">
        <f t="shared" si="397"/>
        <v>Match</v>
      </c>
      <c r="K5102" s="24">
        <f t="shared" si="398"/>
        <v>14.4</v>
      </c>
      <c r="L5102" s="24">
        <f t="shared" si="399"/>
        <v>0</v>
      </c>
    </row>
    <row r="5103" spans="1:12" ht="15" customHeight="1" x14ac:dyDescent="0.3">
      <c r="A5103" s="23" t="s">
        <v>18504</v>
      </c>
      <c r="B5103" s="23" t="s">
        <v>79</v>
      </c>
      <c r="C5103" s="39">
        <v>2999</v>
      </c>
      <c r="D5103" s="24">
        <v>47.98</v>
      </c>
      <c r="E5103" s="24">
        <v>8.64</v>
      </c>
      <c r="F5103" s="23">
        <f>COUNTIFS(mdr_rate_cleaned!$A$2:$A$10,B5103,mdr_rate_cleaned!$B$2:$B$10,"&lt;"&amp;C5103,mdr_rate_cleaned!$F$2:$F$10,"&gt;="&amp;C5103)</f>
        <v>1</v>
      </c>
      <c r="G5103" s="40">
        <f>SUMIFS(mdr_rate_cleaned!$G$2:$G$10,mdr_rate_cleaned!$A$2:$A$10,B5103,mdr_rate_cleaned!$B$2:$B$10,"&lt;"&amp;C5103,mdr_rate_cleaned!$F$2:$F$10,"&gt;="&amp;C5103)</f>
        <v>1.6E-2</v>
      </c>
      <c r="H5103" s="24">
        <f t="shared" si="395"/>
        <v>47.98</v>
      </c>
      <c r="I5103" s="23" t="str">
        <f t="shared" si="396"/>
        <v>Match</v>
      </c>
      <c r="J5103" s="23" t="str">
        <f t="shared" si="397"/>
        <v>Match</v>
      </c>
      <c r="K5103" s="24">
        <f t="shared" si="398"/>
        <v>8.64</v>
      </c>
      <c r="L5103" s="24">
        <f t="shared" si="399"/>
        <v>0</v>
      </c>
    </row>
    <row r="5104" spans="1:12" ht="15" customHeight="1" x14ac:dyDescent="0.3">
      <c r="A5104" s="23" t="s">
        <v>18505</v>
      </c>
      <c r="B5104" s="23" t="s">
        <v>75</v>
      </c>
      <c r="C5104" s="39">
        <v>5998</v>
      </c>
      <c r="D5104" s="24">
        <v>17.989999999999998</v>
      </c>
      <c r="E5104" s="24">
        <v>3.24</v>
      </c>
      <c r="F5104" s="23">
        <f>COUNTIFS(mdr_rate_cleaned!$A$2:$A$10,B5104,mdr_rate_cleaned!$B$2:$B$10,"&lt;"&amp;C5104,mdr_rate_cleaned!$F$2:$F$10,"&gt;="&amp;C5104)</f>
        <v>1</v>
      </c>
      <c r="G5104" s="40">
        <f>SUMIFS(mdr_rate_cleaned!$G$2:$G$10,mdr_rate_cleaned!$A$2:$A$10,B5104,mdr_rate_cleaned!$B$2:$B$10,"&lt;"&amp;C5104,mdr_rate_cleaned!$F$2:$F$10,"&gt;="&amp;C5104)</f>
        <v>3.0000000000000001E-3</v>
      </c>
      <c r="H5104" s="24">
        <f t="shared" si="395"/>
        <v>17.989999999999998</v>
      </c>
      <c r="I5104" s="23" t="str">
        <f t="shared" si="396"/>
        <v>Match</v>
      </c>
      <c r="J5104" s="23" t="str">
        <f t="shared" si="397"/>
        <v>Match</v>
      </c>
      <c r="K5104" s="24">
        <f t="shared" si="398"/>
        <v>3.24</v>
      </c>
      <c r="L5104" s="24">
        <f t="shared" si="399"/>
        <v>0</v>
      </c>
    </row>
    <row r="5105" spans="1:12" ht="15" customHeight="1" x14ac:dyDescent="0.3">
      <c r="A5105" s="23" t="s">
        <v>18506</v>
      </c>
      <c r="B5105" s="23" t="s">
        <v>75</v>
      </c>
      <c r="C5105" s="39">
        <v>7999</v>
      </c>
      <c r="D5105" s="24">
        <v>24</v>
      </c>
      <c r="E5105" s="24">
        <v>4.32</v>
      </c>
      <c r="F5105" s="23">
        <f>COUNTIFS(mdr_rate_cleaned!$A$2:$A$10,B5105,mdr_rate_cleaned!$B$2:$B$10,"&lt;"&amp;C5105,mdr_rate_cleaned!$F$2:$F$10,"&gt;="&amp;C5105)</f>
        <v>1</v>
      </c>
      <c r="G5105" s="40">
        <f>SUMIFS(mdr_rate_cleaned!$G$2:$G$10,mdr_rate_cleaned!$A$2:$A$10,B5105,mdr_rate_cleaned!$B$2:$B$10,"&lt;"&amp;C5105,mdr_rate_cleaned!$F$2:$F$10,"&gt;="&amp;C5105)</f>
        <v>3.0000000000000001E-3</v>
      </c>
      <c r="H5105" s="24">
        <f t="shared" si="395"/>
        <v>24</v>
      </c>
      <c r="I5105" s="23" t="str">
        <f t="shared" si="396"/>
        <v>Match</v>
      </c>
      <c r="J5105" s="23" t="str">
        <f t="shared" si="397"/>
        <v>Match</v>
      </c>
      <c r="K5105" s="24">
        <f t="shared" si="398"/>
        <v>4.32</v>
      </c>
      <c r="L5105" s="24">
        <f t="shared" si="399"/>
        <v>0</v>
      </c>
    </row>
    <row r="5106" spans="1:12" ht="15" customHeight="1" x14ac:dyDescent="0.3">
      <c r="A5106" s="23" t="s">
        <v>18507</v>
      </c>
      <c r="B5106" s="23" t="s">
        <v>81</v>
      </c>
      <c r="C5106" s="39">
        <v>4999</v>
      </c>
      <c r="D5106" s="24">
        <v>59.99</v>
      </c>
      <c r="E5106" s="24">
        <v>10.8</v>
      </c>
      <c r="F5106" s="23">
        <f>COUNTIFS(mdr_rate_cleaned!$A$2:$A$10,B5106,mdr_rate_cleaned!$B$2:$B$10,"&lt;"&amp;C5106,mdr_rate_cleaned!$F$2:$F$10,"&gt;="&amp;C5106)</f>
        <v>1</v>
      </c>
      <c r="G5106" s="40">
        <f>SUMIFS(mdr_rate_cleaned!$G$2:$G$10,mdr_rate_cleaned!$A$2:$A$10,B5106,mdr_rate_cleaned!$B$2:$B$10,"&lt;"&amp;C5106,mdr_rate_cleaned!$F$2:$F$10,"&gt;="&amp;C5106)</f>
        <v>1.2E-2</v>
      </c>
      <c r="H5106" s="24">
        <f t="shared" si="395"/>
        <v>59.99</v>
      </c>
      <c r="I5106" s="23" t="str">
        <f t="shared" si="396"/>
        <v>Match</v>
      </c>
      <c r="J5106" s="23" t="str">
        <f t="shared" si="397"/>
        <v>Match</v>
      </c>
      <c r="K5106" s="24">
        <f t="shared" si="398"/>
        <v>10.8</v>
      </c>
      <c r="L5106" s="24">
        <f t="shared" si="399"/>
        <v>0</v>
      </c>
    </row>
    <row r="5107" spans="1:12" ht="15" customHeight="1" x14ac:dyDescent="0.3">
      <c r="A5107" s="23" t="s">
        <v>18508</v>
      </c>
      <c r="B5107" s="23" t="s">
        <v>75</v>
      </c>
      <c r="C5107" s="39">
        <v>2999</v>
      </c>
      <c r="D5107" s="24">
        <v>9</v>
      </c>
      <c r="E5107" s="24">
        <v>1.62</v>
      </c>
      <c r="F5107" s="23">
        <f>COUNTIFS(mdr_rate_cleaned!$A$2:$A$10,B5107,mdr_rate_cleaned!$B$2:$B$10,"&lt;"&amp;C5107,mdr_rate_cleaned!$F$2:$F$10,"&gt;="&amp;C5107)</f>
        <v>1</v>
      </c>
      <c r="G5107" s="40">
        <f>SUMIFS(mdr_rate_cleaned!$G$2:$G$10,mdr_rate_cleaned!$A$2:$A$10,B5107,mdr_rate_cleaned!$B$2:$B$10,"&lt;"&amp;C5107,mdr_rate_cleaned!$F$2:$F$10,"&gt;="&amp;C5107)</f>
        <v>3.0000000000000001E-3</v>
      </c>
      <c r="H5107" s="24">
        <f t="shared" si="395"/>
        <v>9</v>
      </c>
      <c r="I5107" s="23" t="str">
        <f t="shared" si="396"/>
        <v>Match</v>
      </c>
      <c r="J5107" s="23" t="str">
        <f t="shared" si="397"/>
        <v>Match</v>
      </c>
      <c r="K5107" s="24">
        <f t="shared" si="398"/>
        <v>1.62</v>
      </c>
      <c r="L5107" s="24">
        <f t="shared" si="399"/>
        <v>0</v>
      </c>
    </row>
    <row r="5108" spans="1:12" ht="15" customHeight="1" x14ac:dyDescent="0.3">
      <c r="A5108" s="23" t="s">
        <v>18510</v>
      </c>
      <c r="B5108" s="23" t="s">
        <v>75</v>
      </c>
      <c r="C5108" s="39">
        <v>349</v>
      </c>
      <c r="D5108" s="24">
        <v>0</v>
      </c>
      <c r="E5108" s="24">
        <v>0</v>
      </c>
      <c r="F5108" s="23">
        <f>COUNTIFS(mdr_rate_cleaned!$A$2:$A$10,B5108,mdr_rate_cleaned!$B$2:$B$10,"&lt;"&amp;C5108,mdr_rate_cleaned!$F$2:$F$10,"&gt;="&amp;C5108)</f>
        <v>1</v>
      </c>
      <c r="G5108" s="40">
        <f>SUMIFS(mdr_rate_cleaned!$G$2:$G$10,mdr_rate_cleaned!$A$2:$A$10,B5108,mdr_rate_cleaned!$B$2:$B$10,"&lt;"&amp;C5108,mdr_rate_cleaned!$F$2:$F$10,"&gt;="&amp;C5108)</f>
        <v>0</v>
      </c>
      <c r="H5108" s="24">
        <f t="shared" si="395"/>
        <v>0</v>
      </c>
      <c r="I5108" s="23" t="str">
        <f t="shared" si="396"/>
        <v>Match</v>
      </c>
      <c r="J5108" s="23" t="str">
        <f t="shared" si="397"/>
        <v>Match</v>
      </c>
      <c r="K5108" s="24">
        <f t="shared" si="398"/>
        <v>0</v>
      </c>
      <c r="L5108" s="24">
        <f t="shared" si="399"/>
        <v>0</v>
      </c>
    </row>
    <row r="5109" spans="1:12" ht="15" customHeight="1" x14ac:dyDescent="0.3">
      <c r="A5109" s="23" t="s">
        <v>18511</v>
      </c>
      <c r="B5109" s="23" t="s">
        <v>79</v>
      </c>
      <c r="C5109" s="39">
        <v>599</v>
      </c>
      <c r="D5109" s="24">
        <v>10.78</v>
      </c>
      <c r="E5109" s="24">
        <v>1.94</v>
      </c>
      <c r="F5109" s="23">
        <f>COUNTIFS(mdr_rate_cleaned!$A$2:$A$10,B5109,mdr_rate_cleaned!$B$2:$B$10,"&lt;"&amp;C5109,mdr_rate_cleaned!$F$2:$F$10,"&gt;="&amp;C5109)</f>
        <v>1</v>
      </c>
      <c r="G5109" s="40">
        <f>SUMIFS(mdr_rate_cleaned!$G$2:$G$10,mdr_rate_cleaned!$A$2:$A$10,B5109,mdr_rate_cleaned!$B$2:$B$10,"&lt;"&amp;C5109,mdr_rate_cleaned!$F$2:$F$10,"&gt;="&amp;C5109)</f>
        <v>1.8000000000000002E-2</v>
      </c>
      <c r="H5109" s="24">
        <f t="shared" si="395"/>
        <v>10.78</v>
      </c>
      <c r="I5109" s="23" t="str">
        <f t="shared" si="396"/>
        <v>Match</v>
      </c>
      <c r="J5109" s="23" t="str">
        <f t="shared" si="397"/>
        <v>Match</v>
      </c>
      <c r="K5109" s="24">
        <f t="shared" si="398"/>
        <v>1.94</v>
      </c>
      <c r="L5109" s="24">
        <f t="shared" si="399"/>
        <v>0</v>
      </c>
    </row>
    <row r="5110" spans="1:12" ht="15" customHeight="1" x14ac:dyDescent="0.3">
      <c r="A5110" s="23" t="s">
        <v>18513</v>
      </c>
      <c r="B5110" s="23" t="s">
        <v>75</v>
      </c>
      <c r="C5110" s="39">
        <v>8798</v>
      </c>
      <c r="D5110" s="24">
        <v>26.39</v>
      </c>
      <c r="E5110" s="24">
        <v>4.75</v>
      </c>
      <c r="F5110" s="23">
        <f>COUNTIFS(mdr_rate_cleaned!$A$2:$A$10,B5110,mdr_rate_cleaned!$B$2:$B$10,"&lt;"&amp;C5110,mdr_rate_cleaned!$F$2:$F$10,"&gt;="&amp;C5110)</f>
        <v>1</v>
      </c>
      <c r="G5110" s="40">
        <f>SUMIFS(mdr_rate_cleaned!$G$2:$G$10,mdr_rate_cleaned!$A$2:$A$10,B5110,mdr_rate_cleaned!$B$2:$B$10,"&lt;"&amp;C5110,mdr_rate_cleaned!$F$2:$F$10,"&gt;="&amp;C5110)</f>
        <v>3.0000000000000001E-3</v>
      </c>
      <c r="H5110" s="24">
        <f t="shared" si="395"/>
        <v>26.39</v>
      </c>
      <c r="I5110" s="23" t="str">
        <f t="shared" si="396"/>
        <v>Match</v>
      </c>
      <c r="J5110" s="23" t="str">
        <f t="shared" si="397"/>
        <v>Match</v>
      </c>
      <c r="K5110" s="24">
        <f t="shared" si="398"/>
        <v>4.75</v>
      </c>
      <c r="L5110" s="24">
        <f t="shared" si="399"/>
        <v>0</v>
      </c>
    </row>
    <row r="5111" spans="1:12" ht="15" customHeight="1" x14ac:dyDescent="0.3">
      <c r="A5111" s="23" t="s">
        <v>18514</v>
      </c>
      <c r="B5111" s="23" t="s">
        <v>81</v>
      </c>
      <c r="C5111" s="39">
        <v>799</v>
      </c>
      <c r="D5111" s="24">
        <v>11.99</v>
      </c>
      <c r="E5111" s="24">
        <v>2.16</v>
      </c>
      <c r="F5111" s="23">
        <f>COUNTIFS(mdr_rate_cleaned!$A$2:$A$10,B5111,mdr_rate_cleaned!$B$2:$B$10,"&lt;"&amp;C5111,mdr_rate_cleaned!$F$2:$F$10,"&gt;="&amp;C5111)</f>
        <v>1</v>
      </c>
      <c r="G5111" s="40">
        <f>SUMIFS(mdr_rate_cleaned!$G$2:$G$10,mdr_rate_cleaned!$A$2:$A$10,B5111,mdr_rate_cleaned!$B$2:$B$10,"&lt;"&amp;C5111,mdr_rate_cleaned!$F$2:$F$10,"&gt;="&amp;C5111)</f>
        <v>1.4999999999999999E-2</v>
      </c>
      <c r="H5111" s="24">
        <f t="shared" si="395"/>
        <v>11.99</v>
      </c>
      <c r="I5111" s="23" t="str">
        <f t="shared" si="396"/>
        <v>Match</v>
      </c>
      <c r="J5111" s="23" t="str">
        <f t="shared" si="397"/>
        <v>Match</v>
      </c>
      <c r="K5111" s="24">
        <f t="shared" si="398"/>
        <v>2.16</v>
      </c>
      <c r="L5111" s="24">
        <f t="shared" si="399"/>
        <v>0</v>
      </c>
    </row>
    <row r="5112" spans="1:12" ht="15" customHeight="1" x14ac:dyDescent="0.3">
      <c r="A5112" s="23" t="s">
        <v>18523</v>
      </c>
      <c r="B5112" s="23" t="s">
        <v>75</v>
      </c>
      <c r="C5112" s="39">
        <v>2499</v>
      </c>
      <c r="D5112" s="24">
        <v>7.5</v>
      </c>
      <c r="E5112" s="24">
        <v>1.35</v>
      </c>
      <c r="F5112" s="23">
        <f>COUNTIFS(mdr_rate_cleaned!$A$2:$A$10,B5112,mdr_rate_cleaned!$B$2:$B$10,"&lt;"&amp;C5112,mdr_rate_cleaned!$F$2:$F$10,"&gt;="&amp;C5112)</f>
        <v>1</v>
      </c>
      <c r="G5112" s="40">
        <f>SUMIFS(mdr_rate_cleaned!$G$2:$G$10,mdr_rate_cleaned!$A$2:$A$10,B5112,mdr_rate_cleaned!$B$2:$B$10,"&lt;"&amp;C5112,mdr_rate_cleaned!$F$2:$F$10,"&gt;="&amp;C5112)</f>
        <v>3.0000000000000001E-3</v>
      </c>
      <c r="H5112" s="24">
        <f t="shared" si="395"/>
        <v>7.5</v>
      </c>
      <c r="I5112" s="23" t="str">
        <f t="shared" si="396"/>
        <v>Match</v>
      </c>
      <c r="J5112" s="23" t="str">
        <f t="shared" si="397"/>
        <v>Match</v>
      </c>
      <c r="K5112" s="24">
        <f t="shared" si="398"/>
        <v>1.35</v>
      </c>
      <c r="L5112" s="24">
        <f t="shared" si="399"/>
        <v>0</v>
      </c>
    </row>
    <row r="5113" spans="1:12" ht="15" customHeight="1" x14ac:dyDescent="0.3">
      <c r="A5113" s="23" t="s">
        <v>18525</v>
      </c>
      <c r="B5113" s="23" t="s">
        <v>79</v>
      </c>
      <c r="C5113" s="39">
        <v>3798</v>
      </c>
      <c r="D5113" s="24">
        <v>60.77</v>
      </c>
      <c r="E5113" s="24">
        <v>10.94</v>
      </c>
      <c r="F5113" s="23">
        <f>COUNTIFS(mdr_rate_cleaned!$A$2:$A$10,B5113,mdr_rate_cleaned!$B$2:$B$10,"&lt;"&amp;C5113,mdr_rate_cleaned!$F$2:$F$10,"&gt;="&amp;C5113)</f>
        <v>1</v>
      </c>
      <c r="G5113" s="40">
        <f>SUMIFS(mdr_rate_cleaned!$G$2:$G$10,mdr_rate_cleaned!$A$2:$A$10,B5113,mdr_rate_cleaned!$B$2:$B$10,"&lt;"&amp;C5113,mdr_rate_cleaned!$F$2:$F$10,"&gt;="&amp;C5113)</f>
        <v>1.6E-2</v>
      </c>
      <c r="H5113" s="24">
        <f t="shared" si="395"/>
        <v>60.77</v>
      </c>
      <c r="I5113" s="23" t="str">
        <f t="shared" si="396"/>
        <v>Match</v>
      </c>
      <c r="J5113" s="23" t="str">
        <f t="shared" si="397"/>
        <v>Match</v>
      </c>
      <c r="K5113" s="24">
        <f t="shared" si="398"/>
        <v>10.94</v>
      </c>
      <c r="L5113" s="24">
        <f t="shared" si="399"/>
        <v>0</v>
      </c>
    </row>
    <row r="5114" spans="1:12" ht="15" customHeight="1" x14ac:dyDescent="0.3">
      <c r="A5114" s="23" t="s">
        <v>18526</v>
      </c>
      <c r="B5114" s="23" t="s">
        <v>75</v>
      </c>
      <c r="C5114" s="39">
        <v>999</v>
      </c>
      <c r="D5114" s="24">
        <v>0</v>
      </c>
      <c r="E5114" s="24">
        <v>0</v>
      </c>
      <c r="F5114" s="23">
        <f>COUNTIFS(mdr_rate_cleaned!$A$2:$A$10,B5114,mdr_rate_cleaned!$B$2:$B$10,"&lt;"&amp;C5114,mdr_rate_cleaned!$F$2:$F$10,"&gt;="&amp;C5114)</f>
        <v>1</v>
      </c>
      <c r="G5114" s="40">
        <f>SUMIFS(mdr_rate_cleaned!$G$2:$G$10,mdr_rate_cleaned!$A$2:$A$10,B5114,mdr_rate_cleaned!$B$2:$B$10,"&lt;"&amp;C5114,mdr_rate_cleaned!$F$2:$F$10,"&gt;="&amp;C5114)</f>
        <v>0</v>
      </c>
      <c r="H5114" s="24">
        <f t="shared" si="395"/>
        <v>0</v>
      </c>
      <c r="I5114" s="23" t="str">
        <f t="shared" si="396"/>
        <v>Match</v>
      </c>
      <c r="J5114" s="23" t="str">
        <f t="shared" si="397"/>
        <v>Match</v>
      </c>
      <c r="K5114" s="24">
        <f t="shared" si="398"/>
        <v>0</v>
      </c>
      <c r="L5114" s="24">
        <f t="shared" si="399"/>
        <v>0</v>
      </c>
    </row>
    <row r="5115" spans="1:12" ht="15" customHeight="1" x14ac:dyDescent="0.3">
      <c r="A5115" s="23" t="s">
        <v>18527</v>
      </c>
      <c r="B5115" s="23" t="s">
        <v>75</v>
      </c>
      <c r="C5115" s="39">
        <v>1897</v>
      </c>
      <c r="D5115" s="24">
        <v>0</v>
      </c>
      <c r="E5115" s="24">
        <v>0</v>
      </c>
      <c r="F5115" s="23">
        <f>COUNTIFS(mdr_rate_cleaned!$A$2:$A$10,B5115,mdr_rate_cleaned!$B$2:$B$10,"&lt;"&amp;C5115,mdr_rate_cleaned!$F$2:$F$10,"&gt;="&amp;C5115)</f>
        <v>1</v>
      </c>
      <c r="G5115" s="40">
        <f>SUMIFS(mdr_rate_cleaned!$G$2:$G$10,mdr_rate_cleaned!$A$2:$A$10,B5115,mdr_rate_cleaned!$B$2:$B$10,"&lt;"&amp;C5115,mdr_rate_cleaned!$F$2:$F$10,"&gt;="&amp;C5115)</f>
        <v>0</v>
      </c>
      <c r="H5115" s="24">
        <f t="shared" si="395"/>
        <v>0</v>
      </c>
      <c r="I5115" s="23" t="str">
        <f t="shared" si="396"/>
        <v>Match</v>
      </c>
      <c r="J5115" s="23" t="str">
        <f t="shared" si="397"/>
        <v>Match</v>
      </c>
      <c r="K5115" s="24">
        <f t="shared" si="398"/>
        <v>0</v>
      </c>
      <c r="L5115" s="24">
        <f t="shared" si="399"/>
        <v>0</v>
      </c>
    </row>
    <row r="5116" spans="1:12" ht="15" customHeight="1" x14ac:dyDescent="0.3">
      <c r="A5116" s="23" t="s">
        <v>18528</v>
      </c>
      <c r="B5116" s="23" t="s">
        <v>75</v>
      </c>
      <c r="C5116" s="39">
        <v>3499</v>
      </c>
      <c r="D5116" s="24">
        <v>10.5</v>
      </c>
      <c r="E5116" s="24">
        <v>1.89</v>
      </c>
      <c r="F5116" s="23">
        <f>COUNTIFS(mdr_rate_cleaned!$A$2:$A$10,B5116,mdr_rate_cleaned!$B$2:$B$10,"&lt;"&amp;C5116,mdr_rate_cleaned!$F$2:$F$10,"&gt;="&amp;C5116)</f>
        <v>1</v>
      </c>
      <c r="G5116" s="40">
        <f>SUMIFS(mdr_rate_cleaned!$G$2:$G$10,mdr_rate_cleaned!$A$2:$A$10,B5116,mdr_rate_cleaned!$B$2:$B$10,"&lt;"&amp;C5116,mdr_rate_cleaned!$F$2:$F$10,"&gt;="&amp;C5116)</f>
        <v>3.0000000000000001E-3</v>
      </c>
      <c r="H5116" s="24">
        <f t="shared" si="395"/>
        <v>10.5</v>
      </c>
      <c r="I5116" s="23" t="str">
        <f t="shared" si="396"/>
        <v>Match</v>
      </c>
      <c r="J5116" s="23" t="str">
        <f t="shared" si="397"/>
        <v>Match</v>
      </c>
      <c r="K5116" s="24">
        <f t="shared" si="398"/>
        <v>1.89</v>
      </c>
      <c r="L5116" s="24">
        <f t="shared" si="399"/>
        <v>0</v>
      </c>
    </row>
    <row r="5117" spans="1:12" ht="15" customHeight="1" x14ac:dyDescent="0.3">
      <c r="A5117" s="23" t="s">
        <v>18529</v>
      </c>
      <c r="B5117" s="23" t="s">
        <v>75</v>
      </c>
      <c r="C5117" s="39">
        <v>7999</v>
      </c>
      <c r="D5117" s="24">
        <v>24</v>
      </c>
      <c r="E5117" s="24">
        <v>4.32</v>
      </c>
      <c r="F5117" s="23">
        <f>COUNTIFS(mdr_rate_cleaned!$A$2:$A$10,B5117,mdr_rate_cleaned!$B$2:$B$10,"&lt;"&amp;C5117,mdr_rate_cleaned!$F$2:$F$10,"&gt;="&amp;C5117)</f>
        <v>1</v>
      </c>
      <c r="G5117" s="40">
        <f>SUMIFS(mdr_rate_cleaned!$G$2:$G$10,mdr_rate_cleaned!$A$2:$A$10,B5117,mdr_rate_cleaned!$B$2:$B$10,"&lt;"&amp;C5117,mdr_rate_cleaned!$F$2:$F$10,"&gt;="&amp;C5117)</f>
        <v>3.0000000000000001E-3</v>
      </c>
      <c r="H5117" s="24">
        <f t="shared" si="395"/>
        <v>24</v>
      </c>
      <c r="I5117" s="23" t="str">
        <f t="shared" si="396"/>
        <v>Match</v>
      </c>
      <c r="J5117" s="23" t="str">
        <f t="shared" si="397"/>
        <v>Match</v>
      </c>
      <c r="K5117" s="24">
        <f t="shared" si="398"/>
        <v>4.32</v>
      </c>
      <c r="L5117" s="24">
        <f t="shared" si="399"/>
        <v>0</v>
      </c>
    </row>
    <row r="5118" spans="1:12" ht="15" customHeight="1" x14ac:dyDescent="0.3">
      <c r="A5118" s="23" t="s">
        <v>18530</v>
      </c>
      <c r="B5118" s="23" t="s">
        <v>79</v>
      </c>
      <c r="C5118" s="39">
        <v>7999</v>
      </c>
      <c r="D5118" s="24">
        <v>127.98</v>
      </c>
      <c r="E5118" s="24">
        <v>23.04</v>
      </c>
      <c r="F5118" s="23">
        <f>COUNTIFS(mdr_rate_cleaned!$A$2:$A$10,B5118,mdr_rate_cleaned!$B$2:$B$10,"&lt;"&amp;C5118,mdr_rate_cleaned!$F$2:$F$10,"&gt;="&amp;C5118)</f>
        <v>1</v>
      </c>
      <c r="G5118" s="40">
        <f>SUMIFS(mdr_rate_cleaned!$G$2:$G$10,mdr_rate_cleaned!$A$2:$A$10,B5118,mdr_rate_cleaned!$B$2:$B$10,"&lt;"&amp;C5118,mdr_rate_cleaned!$F$2:$F$10,"&gt;="&amp;C5118)</f>
        <v>1.6E-2</v>
      </c>
      <c r="H5118" s="24">
        <f t="shared" si="395"/>
        <v>127.98</v>
      </c>
      <c r="I5118" s="23" t="str">
        <f t="shared" si="396"/>
        <v>Match</v>
      </c>
      <c r="J5118" s="23" t="str">
        <f t="shared" si="397"/>
        <v>Match</v>
      </c>
      <c r="K5118" s="24">
        <f t="shared" si="398"/>
        <v>23.04</v>
      </c>
      <c r="L5118" s="24">
        <f t="shared" si="399"/>
        <v>0</v>
      </c>
    </row>
    <row r="5119" spans="1:12" ht="15" customHeight="1" x14ac:dyDescent="0.3">
      <c r="A5119" s="23" t="s">
        <v>18531</v>
      </c>
      <c r="B5119" s="23" t="s">
        <v>81</v>
      </c>
      <c r="C5119" s="39">
        <v>5297</v>
      </c>
      <c r="D5119" s="24">
        <v>63.56</v>
      </c>
      <c r="E5119" s="24">
        <v>11.44</v>
      </c>
      <c r="F5119" s="23">
        <f>COUNTIFS(mdr_rate_cleaned!$A$2:$A$10,B5119,mdr_rate_cleaned!$B$2:$B$10,"&lt;"&amp;C5119,mdr_rate_cleaned!$F$2:$F$10,"&gt;="&amp;C5119)</f>
        <v>1</v>
      </c>
      <c r="G5119" s="40">
        <f>SUMIFS(mdr_rate_cleaned!$G$2:$G$10,mdr_rate_cleaned!$A$2:$A$10,B5119,mdr_rate_cleaned!$B$2:$B$10,"&lt;"&amp;C5119,mdr_rate_cleaned!$F$2:$F$10,"&gt;="&amp;C5119)</f>
        <v>1.2E-2</v>
      </c>
      <c r="H5119" s="24">
        <f t="shared" si="395"/>
        <v>63.56</v>
      </c>
      <c r="I5119" s="23" t="str">
        <f t="shared" si="396"/>
        <v>Match</v>
      </c>
      <c r="J5119" s="23" t="str">
        <f t="shared" si="397"/>
        <v>Match</v>
      </c>
      <c r="K5119" s="24">
        <f t="shared" si="398"/>
        <v>11.44</v>
      </c>
      <c r="L5119" s="24">
        <f t="shared" si="399"/>
        <v>0</v>
      </c>
    </row>
    <row r="5120" spans="1:12" ht="15" customHeight="1" x14ac:dyDescent="0.3">
      <c r="A5120" s="23" t="s">
        <v>18532</v>
      </c>
      <c r="B5120" s="23" t="s">
        <v>75</v>
      </c>
      <c r="C5120" s="39">
        <v>3499</v>
      </c>
      <c r="D5120" s="24">
        <v>10.5</v>
      </c>
      <c r="E5120" s="24">
        <v>1.89</v>
      </c>
      <c r="F5120" s="23">
        <f>COUNTIFS(mdr_rate_cleaned!$A$2:$A$10,B5120,mdr_rate_cleaned!$B$2:$B$10,"&lt;"&amp;C5120,mdr_rate_cleaned!$F$2:$F$10,"&gt;="&amp;C5120)</f>
        <v>1</v>
      </c>
      <c r="G5120" s="40">
        <f>SUMIFS(mdr_rate_cleaned!$G$2:$G$10,mdr_rate_cleaned!$A$2:$A$10,B5120,mdr_rate_cleaned!$B$2:$B$10,"&lt;"&amp;C5120,mdr_rate_cleaned!$F$2:$F$10,"&gt;="&amp;C5120)</f>
        <v>3.0000000000000001E-3</v>
      </c>
      <c r="H5120" s="24">
        <f t="shared" si="395"/>
        <v>10.5</v>
      </c>
      <c r="I5120" s="23" t="str">
        <f t="shared" si="396"/>
        <v>Match</v>
      </c>
      <c r="J5120" s="23" t="str">
        <f t="shared" si="397"/>
        <v>Match</v>
      </c>
      <c r="K5120" s="24">
        <f t="shared" si="398"/>
        <v>1.89</v>
      </c>
      <c r="L5120" s="24">
        <f t="shared" si="399"/>
        <v>0</v>
      </c>
    </row>
    <row r="5121" spans="1:12" ht="15" customHeight="1" x14ac:dyDescent="0.3">
      <c r="A5121" s="23" t="s">
        <v>18533</v>
      </c>
      <c r="B5121" s="23" t="s">
        <v>75</v>
      </c>
      <c r="C5121" s="39">
        <v>3098</v>
      </c>
      <c r="D5121" s="24">
        <v>9.2899999999999991</v>
      </c>
      <c r="E5121" s="24">
        <v>1.67</v>
      </c>
      <c r="F5121" s="23">
        <f>COUNTIFS(mdr_rate_cleaned!$A$2:$A$10,B5121,mdr_rate_cleaned!$B$2:$B$10,"&lt;"&amp;C5121,mdr_rate_cleaned!$F$2:$F$10,"&gt;="&amp;C5121)</f>
        <v>1</v>
      </c>
      <c r="G5121" s="40">
        <f>SUMIFS(mdr_rate_cleaned!$G$2:$G$10,mdr_rate_cleaned!$A$2:$A$10,B5121,mdr_rate_cleaned!$B$2:$B$10,"&lt;"&amp;C5121,mdr_rate_cleaned!$F$2:$F$10,"&gt;="&amp;C5121)</f>
        <v>3.0000000000000001E-3</v>
      </c>
      <c r="H5121" s="24">
        <f t="shared" si="395"/>
        <v>9.2899999999999991</v>
      </c>
      <c r="I5121" s="23" t="str">
        <f t="shared" si="396"/>
        <v>Match</v>
      </c>
      <c r="J5121" s="23" t="str">
        <f t="shared" si="397"/>
        <v>Match</v>
      </c>
      <c r="K5121" s="24">
        <f t="shared" si="398"/>
        <v>1.67</v>
      </c>
      <c r="L5121" s="24">
        <f t="shared" si="399"/>
        <v>0</v>
      </c>
    </row>
    <row r="5122" spans="1:12" ht="15" customHeight="1" x14ac:dyDescent="0.3">
      <c r="A5122" s="23" t="s">
        <v>18534</v>
      </c>
      <c r="B5122" s="23" t="s">
        <v>75</v>
      </c>
      <c r="C5122" s="39">
        <v>1499</v>
      </c>
      <c r="D5122" s="24">
        <v>0</v>
      </c>
      <c r="E5122" s="24">
        <v>0</v>
      </c>
      <c r="F5122" s="23">
        <f>COUNTIFS(mdr_rate_cleaned!$A$2:$A$10,B5122,mdr_rate_cleaned!$B$2:$B$10,"&lt;"&amp;C5122,mdr_rate_cleaned!$F$2:$F$10,"&gt;="&amp;C5122)</f>
        <v>1</v>
      </c>
      <c r="G5122" s="40">
        <f>SUMIFS(mdr_rate_cleaned!$G$2:$G$10,mdr_rate_cleaned!$A$2:$A$10,B5122,mdr_rate_cleaned!$B$2:$B$10,"&lt;"&amp;C5122,mdr_rate_cleaned!$F$2:$F$10,"&gt;="&amp;C5122)</f>
        <v>0</v>
      </c>
      <c r="H5122" s="24">
        <f t="shared" ref="H5122:H5185" si="400">ROUND(C5122*G5122,2)</f>
        <v>0</v>
      </c>
      <c r="I5122" s="23" t="str">
        <f t="shared" ref="I5122:I5185" si="401">IF(ROUND(D5122-H5122,2)=0,"Match","Differs")</f>
        <v>Match</v>
      </c>
      <c r="J5122" s="23" t="str">
        <f t="shared" ref="J5122:J5185" si="402">IF(ROUND(E5122-ROUND(D5122*0.18,2),2)=0,"Match","Differs")</f>
        <v>Match</v>
      </c>
      <c r="K5122" s="24">
        <f t="shared" ref="K5122:K5185" si="403">ROUND(H5122*0.18,2)</f>
        <v>0</v>
      </c>
      <c r="L5122" s="24">
        <f t="shared" ref="L5122:L5185" si="404">ROUND(D5122+E5122-H5122-K5122,2)</f>
        <v>0</v>
      </c>
    </row>
    <row r="5123" spans="1:12" ht="15" customHeight="1" x14ac:dyDescent="0.3">
      <c r="A5123" s="23" t="s">
        <v>18535</v>
      </c>
      <c r="B5123" s="23" t="s">
        <v>75</v>
      </c>
      <c r="C5123" s="39">
        <v>1499</v>
      </c>
      <c r="D5123" s="24">
        <v>0</v>
      </c>
      <c r="E5123" s="24">
        <v>0</v>
      </c>
      <c r="F5123" s="23">
        <f>COUNTIFS(mdr_rate_cleaned!$A$2:$A$10,B5123,mdr_rate_cleaned!$B$2:$B$10,"&lt;"&amp;C5123,mdr_rate_cleaned!$F$2:$F$10,"&gt;="&amp;C5123)</f>
        <v>1</v>
      </c>
      <c r="G5123" s="40">
        <f>SUMIFS(mdr_rate_cleaned!$G$2:$G$10,mdr_rate_cleaned!$A$2:$A$10,B5123,mdr_rate_cleaned!$B$2:$B$10,"&lt;"&amp;C5123,mdr_rate_cleaned!$F$2:$F$10,"&gt;="&amp;C5123)</f>
        <v>0</v>
      </c>
      <c r="H5123" s="24">
        <f t="shared" si="400"/>
        <v>0</v>
      </c>
      <c r="I5123" s="23" t="str">
        <f t="shared" si="401"/>
        <v>Match</v>
      </c>
      <c r="J5123" s="23" t="str">
        <f t="shared" si="402"/>
        <v>Match</v>
      </c>
      <c r="K5123" s="24">
        <f t="shared" si="403"/>
        <v>0</v>
      </c>
      <c r="L5123" s="24">
        <f t="shared" si="404"/>
        <v>0</v>
      </c>
    </row>
    <row r="5124" spans="1:12" ht="15" customHeight="1" x14ac:dyDescent="0.3">
      <c r="A5124" s="23" t="s">
        <v>18536</v>
      </c>
      <c r="B5124" s="23" t="s">
        <v>79</v>
      </c>
      <c r="C5124" s="39">
        <v>999</v>
      </c>
      <c r="D5124" s="24">
        <v>17.98</v>
      </c>
      <c r="E5124" s="24">
        <v>3.24</v>
      </c>
      <c r="F5124" s="23">
        <f>COUNTIFS(mdr_rate_cleaned!$A$2:$A$10,B5124,mdr_rate_cleaned!$B$2:$B$10,"&lt;"&amp;C5124,mdr_rate_cleaned!$F$2:$F$10,"&gt;="&amp;C5124)</f>
        <v>1</v>
      </c>
      <c r="G5124" s="40">
        <f>SUMIFS(mdr_rate_cleaned!$G$2:$G$10,mdr_rate_cleaned!$A$2:$A$10,B5124,mdr_rate_cleaned!$B$2:$B$10,"&lt;"&amp;C5124,mdr_rate_cleaned!$F$2:$F$10,"&gt;="&amp;C5124)</f>
        <v>1.8000000000000002E-2</v>
      </c>
      <c r="H5124" s="24">
        <f t="shared" si="400"/>
        <v>17.98</v>
      </c>
      <c r="I5124" s="23" t="str">
        <f t="shared" si="401"/>
        <v>Match</v>
      </c>
      <c r="J5124" s="23" t="str">
        <f t="shared" si="402"/>
        <v>Match</v>
      </c>
      <c r="K5124" s="24">
        <f t="shared" si="403"/>
        <v>3.24</v>
      </c>
      <c r="L5124" s="24">
        <f t="shared" si="404"/>
        <v>0</v>
      </c>
    </row>
    <row r="5125" spans="1:12" ht="15" customHeight="1" x14ac:dyDescent="0.3">
      <c r="A5125" s="23" t="s">
        <v>18537</v>
      </c>
      <c r="B5125" s="23" t="s">
        <v>79</v>
      </c>
      <c r="C5125" s="39">
        <v>7498</v>
      </c>
      <c r="D5125" s="24">
        <v>119.97</v>
      </c>
      <c r="E5125" s="24">
        <v>21.59</v>
      </c>
      <c r="F5125" s="23">
        <f>COUNTIFS(mdr_rate_cleaned!$A$2:$A$10,B5125,mdr_rate_cleaned!$B$2:$B$10,"&lt;"&amp;C5125,mdr_rate_cleaned!$F$2:$F$10,"&gt;="&amp;C5125)</f>
        <v>1</v>
      </c>
      <c r="G5125" s="40">
        <f>SUMIFS(mdr_rate_cleaned!$G$2:$G$10,mdr_rate_cleaned!$A$2:$A$10,B5125,mdr_rate_cleaned!$B$2:$B$10,"&lt;"&amp;C5125,mdr_rate_cleaned!$F$2:$F$10,"&gt;="&amp;C5125)</f>
        <v>1.6E-2</v>
      </c>
      <c r="H5125" s="24">
        <f t="shared" si="400"/>
        <v>119.97</v>
      </c>
      <c r="I5125" s="23" t="str">
        <f t="shared" si="401"/>
        <v>Match</v>
      </c>
      <c r="J5125" s="23" t="str">
        <f t="shared" si="402"/>
        <v>Match</v>
      </c>
      <c r="K5125" s="24">
        <f t="shared" si="403"/>
        <v>21.59</v>
      </c>
      <c r="L5125" s="24">
        <f t="shared" si="404"/>
        <v>0</v>
      </c>
    </row>
    <row r="5126" spans="1:12" ht="15" customHeight="1" x14ac:dyDescent="0.3">
      <c r="A5126" s="23" t="s">
        <v>18538</v>
      </c>
      <c r="B5126" s="23" t="s">
        <v>75</v>
      </c>
      <c r="C5126" s="39">
        <v>4298</v>
      </c>
      <c r="D5126" s="24">
        <v>12.89</v>
      </c>
      <c r="E5126" s="24">
        <v>2.3199999999999998</v>
      </c>
      <c r="F5126" s="23">
        <f>COUNTIFS(mdr_rate_cleaned!$A$2:$A$10,B5126,mdr_rate_cleaned!$B$2:$B$10,"&lt;"&amp;C5126,mdr_rate_cleaned!$F$2:$F$10,"&gt;="&amp;C5126)</f>
        <v>1</v>
      </c>
      <c r="G5126" s="40">
        <f>SUMIFS(mdr_rate_cleaned!$G$2:$G$10,mdr_rate_cleaned!$A$2:$A$10,B5126,mdr_rate_cleaned!$B$2:$B$10,"&lt;"&amp;C5126,mdr_rate_cleaned!$F$2:$F$10,"&gt;="&amp;C5126)</f>
        <v>3.0000000000000001E-3</v>
      </c>
      <c r="H5126" s="24">
        <f t="shared" si="400"/>
        <v>12.89</v>
      </c>
      <c r="I5126" s="23" t="str">
        <f t="shared" si="401"/>
        <v>Match</v>
      </c>
      <c r="J5126" s="23" t="str">
        <f t="shared" si="402"/>
        <v>Match</v>
      </c>
      <c r="K5126" s="24">
        <f t="shared" si="403"/>
        <v>2.3199999999999998</v>
      </c>
      <c r="L5126" s="24">
        <f t="shared" si="404"/>
        <v>0</v>
      </c>
    </row>
    <row r="5127" spans="1:12" ht="15" customHeight="1" x14ac:dyDescent="0.3">
      <c r="A5127" s="23" t="s">
        <v>18540</v>
      </c>
      <c r="B5127" s="23" t="s">
        <v>79</v>
      </c>
      <c r="C5127" s="39">
        <v>2297</v>
      </c>
      <c r="D5127" s="24">
        <v>36.75</v>
      </c>
      <c r="E5127" s="24">
        <v>6.62</v>
      </c>
      <c r="F5127" s="23">
        <f>COUNTIFS(mdr_rate_cleaned!$A$2:$A$10,B5127,mdr_rate_cleaned!$B$2:$B$10,"&lt;"&amp;C5127,mdr_rate_cleaned!$F$2:$F$10,"&gt;="&amp;C5127)</f>
        <v>1</v>
      </c>
      <c r="G5127" s="40">
        <f>SUMIFS(mdr_rate_cleaned!$G$2:$G$10,mdr_rate_cleaned!$A$2:$A$10,B5127,mdr_rate_cleaned!$B$2:$B$10,"&lt;"&amp;C5127,mdr_rate_cleaned!$F$2:$F$10,"&gt;="&amp;C5127)</f>
        <v>1.6E-2</v>
      </c>
      <c r="H5127" s="24">
        <f t="shared" si="400"/>
        <v>36.75</v>
      </c>
      <c r="I5127" s="23" t="str">
        <f t="shared" si="401"/>
        <v>Match</v>
      </c>
      <c r="J5127" s="23" t="str">
        <f t="shared" si="402"/>
        <v>Match</v>
      </c>
      <c r="K5127" s="24">
        <f t="shared" si="403"/>
        <v>6.62</v>
      </c>
      <c r="L5127" s="24">
        <f t="shared" si="404"/>
        <v>0</v>
      </c>
    </row>
    <row r="5128" spans="1:12" ht="15" customHeight="1" x14ac:dyDescent="0.3">
      <c r="A5128" s="23" t="s">
        <v>18541</v>
      </c>
      <c r="B5128" s="23" t="s">
        <v>81</v>
      </c>
      <c r="C5128" s="39">
        <v>3897</v>
      </c>
      <c r="D5128" s="24">
        <v>46.76</v>
      </c>
      <c r="E5128" s="24">
        <v>8.42</v>
      </c>
      <c r="F5128" s="23">
        <f>COUNTIFS(mdr_rate_cleaned!$A$2:$A$10,B5128,mdr_rate_cleaned!$B$2:$B$10,"&lt;"&amp;C5128,mdr_rate_cleaned!$F$2:$F$10,"&gt;="&amp;C5128)</f>
        <v>1</v>
      </c>
      <c r="G5128" s="40">
        <f>SUMIFS(mdr_rate_cleaned!$G$2:$G$10,mdr_rate_cleaned!$A$2:$A$10,B5128,mdr_rate_cleaned!$B$2:$B$10,"&lt;"&amp;C5128,mdr_rate_cleaned!$F$2:$F$10,"&gt;="&amp;C5128)</f>
        <v>1.2E-2</v>
      </c>
      <c r="H5128" s="24">
        <f t="shared" si="400"/>
        <v>46.76</v>
      </c>
      <c r="I5128" s="23" t="str">
        <f t="shared" si="401"/>
        <v>Match</v>
      </c>
      <c r="J5128" s="23" t="str">
        <f t="shared" si="402"/>
        <v>Match</v>
      </c>
      <c r="K5128" s="24">
        <f t="shared" si="403"/>
        <v>8.42</v>
      </c>
      <c r="L5128" s="24">
        <f t="shared" si="404"/>
        <v>0</v>
      </c>
    </row>
    <row r="5129" spans="1:12" ht="15" customHeight="1" x14ac:dyDescent="0.3">
      <c r="A5129" s="23" t="s">
        <v>18542</v>
      </c>
      <c r="B5129" s="23" t="s">
        <v>79</v>
      </c>
      <c r="C5129" s="39">
        <v>7597</v>
      </c>
      <c r="D5129" s="24">
        <v>121.55</v>
      </c>
      <c r="E5129" s="24">
        <v>21.88</v>
      </c>
      <c r="F5129" s="23">
        <f>COUNTIFS(mdr_rate_cleaned!$A$2:$A$10,B5129,mdr_rate_cleaned!$B$2:$B$10,"&lt;"&amp;C5129,mdr_rate_cleaned!$F$2:$F$10,"&gt;="&amp;C5129)</f>
        <v>1</v>
      </c>
      <c r="G5129" s="40">
        <f>SUMIFS(mdr_rate_cleaned!$G$2:$G$10,mdr_rate_cleaned!$A$2:$A$10,B5129,mdr_rate_cleaned!$B$2:$B$10,"&lt;"&amp;C5129,mdr_rate_cleaned!$F$2:$F$10,"&gt;="&amp;C5129)</f>
        <v>1.6E-2</v>
      </c>
      <c r="H5129" s="24">
        <f t="shared" si="400"/>
        <v>121.55</v>
      </c>
      <c r="I5129" s="23" t="str">
        <f t="shared" si="401"/>
        <v>Match</v>
      </c>
      <c r="J5129" s="23" t="str">
        <f t="shared" si="402"/>
        <v>Match</v>
      </c>
      <c r="K5129" s="24">
        <f t="shared" si="403"/>
        <v>21.88</v>
      </c>
      <c r="L5129" s="24">
        <f t="shared" si="404"/>
        <v>0</v>
      </c>
    </row>
    <row r="5130" spans="1:12" ht="15" customHeight="1" x14ac:dyDescent="0.3">
      <c r="A5130" s="23" t="s">
        <v>18543</v>
      </c>
      <c r="B5130" s="23" t="s">
        <v>81</v>
      </c>
      <c r="C5130" s="39">
        <v>9647</v>
      </c>
      <c r="D5130" s="24">
        <v>115.76</v>
      </c>
      <c r="E5130" s="24">
        <v>20.84</v>
      </c>
      <c r="F5130" s="23">
        <f>COUNTIFS(mdr_rate_cleaned!$A$2:$A$10,B5130,mdr_rate_cleaned!$B$2:$B$10,"&lt;"&amp;C5130,mdr_rate_cleaned!$F$2:$F$10,"&gt;="&amp;C5130)</f>
        <v>1</v>
      </c>
      <c r="G5130" s="40">
        <f>SUMIFS(mdr_rate_cleaned!$G$2:$G$10,mdr_rate_cleaned!$A$2:$A$10,B5130,mdr_rate_cleaned!$B$2:$B$10,"&lt;"&amp;C5130,mdr_rate_cleaned!$F$2:$F$10,"&gt;="&amp;C5130)</f>
        <v>1.2E-2</v>
      </c>
      <c r="H5130" s="24">
        <f t="shared" si="400"/>
        <v>115.76</v>
      </c>
      <c r="I5130" s="23" t="str">
        <f t="shared" si="401"/>
        <v>Match</v>
      </c>
      <c r="J5130" s="23" t="str">
        <f t="shared" si="402"/>
        <v>Match</v>
      </c>
      <c r="K5130" s="24">
        <f t="shared" si="403"/>
        <v>20.84</v>
      </c>
      <c r="L5130" s="24">
        <f t="shared" si="404"/>
        <v>0</v>
      </c>
    </row>
    <row r="5131" spans="1:12" ht="15" customHeight="1" x14ac:dyDescent="0.3">
      <c r="A5131" s="23" t="s">
        <v>18544</v>
      </c>
      <c r="B5131" s="23" t="s">
        <v>75</v>
      </c>
      <c r="C5131" s="39">
        <v>11498</v>
      </c>
      <c r="D5131" s="24">
        <v>34.49</v>
      </c>
      <c r="E5131" s="24">
        <v>6.21</v>
      </c>
      <c r="F5131" s="23">
        <f>COUNTIFS(mdr_rate_cleaned!$A$2:$A$10,B5131,mdr_rate_cleaned!$B$2:$B$10,"&lt;"&amp;C5131,mdr_rate_cleaned!$F$2:$F$10,"&gt;="&amp;C5131)</f>
        <v>1</v>
      </c>
      <c r="G5131" s="40">
        <f>SUMIFS(mdr_rate_cleaned!$G$2:$G$10,mdr_rate_cleaned!$A$2:$A$10,B5131,mdr_rate_cleaned!$B$2:$B$10,"&lt;"&amp;C5131,mdr_rate_cleaned!$F$2:$F$10,"&gt;="&amp;C5131)</f>
        <v>3.0000000000000001E-3</v>
      </c>
      <c r="H5131" s="24">
        <f t="shared" si="400"/>
        <v>34.49</v>
      </c>
      <c r="I5131" s="23" t="str">
        <f t="shared" si="401"/>
        <v>Match</v>
      </c>
      <c r="J5131" s="23" t="str">
        <f t="shared" si="402"/>
        <v>Match</v>
      </c>
      <c r="K5131" s="24">
        <f t="shared" si="403"/>
        <v>6.21</v>
      </c>
      <c r="L5131" s="24">
        <f t="shared" si="404"/>
        <v>0</v>
      </c>
    </row>
    <row r="5132" spans="1:12" ht="15" customHeight="1" x14ac:dyDescent="0.3">
      <c r="A5132" s="23" t="s">
        <v>18546</v>
      </c>
      <c r="B5132" s="23" t="s">
        <v>79</v>
      </c>
      <c r="C5132" s="39">
        <v>1499</v>
      </c>
      <c r="D5132" s="24">
        <v>26.98</v>
      </c>
      <c r="E5132" s="24">
        <v>4.8600000000000003</v>
      </c>
      <c r="F5132" s="23">
        <f>COUNTIFS(mdr_rate_cleaned!$A$2:$A$10,B5132,mdr_rate_cleaned!$B$2:$B$10,"&lt;"&amp;C5132,mdr_rate_cleaned!$F$2:$F$10,"&gt;="&amp;C5132)</f>
        <v>1</v>
      </c>
      <c r="G5132" s="40">
        <f>SUMIFS(mdr_rate_cleaned!$G$2:$G$10,mdr_rate_cleaned!$A$2:$A$10,B5132,mdr_rate_cleaned!$B$2:$B$10,"&lt;"&amp;C5132,mdr_rate_cleaned!$F$2:$F$10,"&gt;="&amp;C5132)</f>
        <v>1.8000000000000002E-2</v>
      </c>
      <c r="H5132" s="24">
        <f t="shared" si="400"/>
        <v>26.98</v>
      </c>
      <c r="I5132" s="23" t="str">
        <f t="shared" si="401"/>
        <v>Match</v>
      </c>
      <c r="J5132" s="23" t="str">
        <f t="shared" si="402"/>
        <v>Match</v>
      </c>
      <c r="K5132" s="24">
        <f t="shared" si="403"/>
        <v>4.8600000000000003</v>
      </c>
      <c r="L5132" s="24">
        <f t="shared" si="404"/>
        <v>0</v>
      </c>
    </row>
    <row r="5133" spans="1:12" ht="15" customHeight="1" x14ac:dyDescent="0.3">
      <c r="A5133" s="23" t="s">
        <v>18548</v>
      </c>
      <c r="B5133" s="23" t="s">
        <v>75</v>
      </c>
      <c r="C5133" s="39">
        <v>499</v>
      </c>
      <c r="D5133" s="24">
        <v>0</v>
      </c>
      <c r="E5133" s="24">
        <v>0</v>
      </c>
      <c r="F5133" s="23">
        <f>COUNTIFS(mdr_rate_cleaned!$A$2:$A$10,B5133,mdr_rate_cleaned!$B$2:$B$10,"&lt;"&amp;C5133,mdr_rate_cleaned!$F$2:$F$10,"&gt;="&amp;C5133)</f>
        <v>1</v>
      </c>
      <c r="G5133" s="40">
        <f>SUMIFS(mdr_rate_cleaned!$G$2:$G$10,mdr_rate_cleaned!$A$2:$A$10,B5133,mdr_rate_cleaned!$B$2:$B$10,"&lt;"&amp;C5133,mdr_rate_cleaned!$F$2:$F$10,"&gt;="&amp;C5133)</f>
        <v>0</v>
      </c>
      <c r="H5133" s="24">
        <f t="shared" si="400"/>
        <v>0</v>
      </c>
      <c r="I5133" s="23" t="str">
        <f t="shared" si="401"/>
        <v>Match</v>
      </c>
      <c r="J5133" s="23" t="str">
        <f t="shared" si="402"/>
        <v>Match</v>
      </c>
      <c r="K5133" s="24">
        <f t="shared" si="403"/>
        <v>0</v>
      </c>
      <c r="L5133" s="24">
        <f t="shared" si="404"/>
        <v>0</v>
      </c>
    </row>
    <row r="5134" spans="1:12" ht="15" customHeight="1" x14ac:dyDescent="0.3">
      <c r="A5134" s="23" t="s">
        <v>18549</v>
      </c>
      <c r="B5134" s="23" t="s">
        <v>79</v>
      </c>
      <c r="C5134" s="39">
        <v>9298</v>
      </c>
      <c r="D5134" s="24">
        <v>148.77000000000001</v>
      </c>
      <c r="E5134" s="24">
        <v>26.78</v>
      </c>
      <c r="F5134" s="23">
        <f>COUNTIFS(mdr_rate_cleaned!$A$2:$A$10,B5134,mdr_rate_cleaned!$B$2:$B$10,"&lt;"&amp;C5134,mdr_rate_cleaned!$F$2:$F$10,"&gt;="&amp;C5134)</f>
        <v>1</v>
      </c>
      <c r="G5134" s="40">
        <f>SUMIFS(mdr_rate_cleaned!$G$2:$G$10,mdr_rate_cleaned!$A$2:$A$10,B5134,mdr_rate_cleaned!$B$2:$B$10,"&lt;"&amp;C5134,mdr_rate_cleaned!$F$2:$F$10,"&gt;="&amp;C5134)</f>
        <v>1.6E-2</v>
      </c>
      <c r="H5134" s="24">
        <f t="shared" si="400"/>
        <v>148.77000000000001</v>
      </c>
      <c r="I5134" s="23" t="str">
        <f t="shared" si="401"/>
        <v>Match</v>
      </c>
      <c r="J5134" s="23" t="str">
        <f t="shared" si="402"/>
        <v>Match</v>
      </c>
      <c r="K5134" s="24">
        <f t="shared" si="403"/>
        <v>26.78</v>
      </c>
      <c r="L5134" s="24">
        <f t="shared" si="404"/>
        <v>0</v>
      </c>
    </row>
    <row r="5135" spans="1:12" ht="15" customHeight="1" x14ac:dyDescent="0.3">
      <c r="A5135" s="23" t="s">
        <v>18551</v>
      </c>
      <c r="B5135" s="23" t="s">
        <v>75</v>
      </c>
      <c r="C5135" s="39">
        <v>2148</v>
      </c>
      <c r="D5135" s="24">
        <v>6.44</v>
      </c>
      <c r="E5135" s="24">
        <v>1.1599999999999999</v>
      </c>
      <c r="F5135" s="23">
        <f>COUNTIFS(mdr_rate_cleaned!$A$2:$A$10,B5135,mdr_rate_cleaned!$B$2:$B$10,"&lt;"&amp;C5135,mdr_rate_cleaned!$F$2:$F$10,"&gt;="&amp;C5135)</f>
        <v>1</v>
      </c>
      <c r="G5135" s="40">
        <f>SUMIFS(mdr_rate_cleaned!$G$2:$G$10,mdr_rate_cleaned!$A$2:$A$10,B5135,mdr_rate_cleaned!$B$2:$B$10,"&lt;"&amp;C5135,mdr_rate_cleaned!$F$2:$F$10,"&gt;="&amp;C5135)</f>
        <v>3.0000000000000001E-3</v>
      </c>
      <c r="H5135" s="24">
        <f t="shared" si="400"/>
        <v>6.44</v>
      </c>
      <c r="I5135" s="23" t="str">
        <f t="shared" si="401"/>
        <v>Match</v>
      </c>
      <c r="J5135" s="23" t="str">
        <f t="shared" si="402"/>
        <v>Match</v>
      </c>
      <c r="K5135" s="24">
        <f t="shared" si="403"/>
        <v>1.1599999999999999</v>
      </c>
      <c r="L5135" s="24">
        <f t="shared" si="404"/>
        <v>0</v>
      </c>
    </row>
    <row r="5136" spans="1:12" ht="15" customHeight="1" x14ac:dyDescent="0.3">
      <c r="A5136" s="23" t="s">
        <v>18552</v>
      </c>
      <c r="B5136" s="23" t="s">
        <v>77</v>
      </c>
      <c r="C5136" s="39">
        <v>799</v>
      </c>
      <c r="D5136" s="24">
        <v>15.18</v>
      </c>
      <c r="E5136" s="24">
        <v>2.73</v>
      </c>
      <c r="F5136" s="23">
        <f>COUNTIFS(mdr_rate_cleaned!$A$2:$A$10,B5136,mdr_rate_cleaned!$B$2:$B$10,"&lt;"&amp;C5136,mdr_rate_cleaned!$F$2:$F$10,"&gt;="&amp;C5136)</f>
        <v>1</v>
      </c>
      <c r="G5136" s="40">
        <f>SUMIFS(mdr_rate_cleaned!$G$2:$G$10,mdr_rate_cleaned!$A$2:$A$10,B5136,mdr_rate_cleaned!$B$2:$B$10,"&lt;"&amp;C5136,mdr_rate_cleaned!$F$2:$F$10,"&gt;="&amp;C5136)</f>
        <v>1.9E-2</v>
      </c>
      <c r="H5136" s="24">
        <f t="shared" si="400"/>
        <v>15.18</v>
      </c>
      <c r="I5136" s="23" t="str">
        <f t="shared" si="401"/>
        <v>Match</v>
      </c>
      <c r="J5136" s="23" t="str">
        <f t="shared" si="402"/>
        <v>Match</v>
      </c>
      <c r="K5136" s="24">
        <f t="shared" si="403"/>
        <v>2.73</v>
      </c>
      <c r="L5136" s="24">
        <f t="shared" si="404"/>
        <v>0</v>
      </c>
    </row>
    <row r="5137" spans="1:12" ht="15" customHeight="1" x14ac:dyDescent="0.3">
      <c r="A5137" s="23" t="s">
        <v>18553</v>
      </c>
      <c r="B5137" s="23" t="s">
        <v>75</v>
      </c>
      <c r="C5137" s="39">
        <v>4999</v>
      </c>
      <c r="D5137" s="24">
        <v>15</v>
      </c>
      <c r="E5137" s="24">
        <v>2.7</v>
      </c>
      <c r="F5137" s="23">
        <f>COUNTIFS(mdr_rate_cleaned!$A$2:$A$10,B5137,mdr_rate_cleaned!$B$2:$B$10,"&lt;"&amp;C5137,mdr_rate_cleaned!$F$2:$F$10,"&gt;="&amp;C5137)</f>
        <v>1</v>
      </c>
      <c r="G5137" s="40">
        <f>SUMIFS(mdr_rate_cleaned!$G$2:$G$10,mdr_rate_cleaned!$A$2:$A$10,B5137,mdr_rate_cleaned!$B$2:$B$10,"&lt;"&amp;C5137,mdr_rate_cleaned!$F$2:$F$10,"&gt;="&amp;C5137)</f>
        <v>3.0000000000000001E-3</v>
      </c>
      <c r="H5137" s="24">
        <f t="shared" si="400"/>
        <v>15</v>
      </c>
      <c r="I5137" s="23" t="str">
        <f t="shared" si="401"/>
        <v>Match</v>
      </c>
      <c r="J5137" s="23" t="str">
        <f t="shared" si="402"/>
        <v>Match</v>
      </c>
      <c r="K5137" s="24">
        <f t="shared" si="403"/>
        <v>2.7</v>
      </c>
      <c r="L5137" s="24">
        <f t="shared" si="404"/>
        <v>0</v>
      </c>
    </row>
    <row r="5138" spans="1:12" ht="15" customHeight="1" x14ac:dyDescent="0.3">
      <c r="A5138" s="23" t="s">
        <v>18554</v>
      </c>
      <c r="B5138" s="23" t="s">
        <v>79</v>
      </c>
      <c r="C5138" s="39">
        <v>349</v>
      </c>
      <c r="D5138" s="24">
        <v>6.28</v>
      </c>
      <c r="E5138" s="24">
        <v>1.1299999999999999</v>
      </c>
      <c r="F5138" s="23">
        <f>COUNTIFS(mdr_rate_cleaned!$A$2:$A$10,B5138,mdr_rate_cleaned!$B$2:$B$10,"&lt;"&amp;C5138,mdr_rate_cleaned!$F$2:$F$10,"&gt;="&amp;C5138)</f>
        <v>1</v>
      </c>
      <c r="G5138" s="40">
        <f>SUMIFS(mdr_rate_cleaned!$G$2:$G$10,mdr_rate_cleaned!$A$2:$A$10,B5138,mdr_rate_cleaned!$B$2:$B$10,"&lt;"&amp;C5138,mdr_rate_cleaned!$F$2:$F$10,"&gt;="&amp;C5138)</f>
        <v>1.8000000000000002E-2</v>
      </c>
      <c r="H5138" s="24">
        <f t="shared" si="400"/>
        <v>6.28</v>
      </c>
      <c r="I5138" s="23" t="str">
        <f t="shared" si="401"/>
        <v>Match</v>
      </c>
      <c r="J5138" s="23" t="str">
        <f t="shared" si="402"/>
        <v>Match</v>
      </c>
      <c r="K5138" s="24">
        <f t="shared" si="403"/>
        <v>1.1299999999999999</v>
      </c>
      <c r="L5138" s="24">
        <f t="shared" si="404"/>
        <v>0</v>
      </c>
    </row>
    <row r="5139" spans="1:12" ht="15" customHeight="1" x14ac:dyDescent="0.3">
      <c r="A5139" s="23" t="s">
        <v>18555</v>
      </c>
      <c r="B5139" s="23" t="s">
        <v>79</v>
      </c>
      <c r="C5139" s="39">
        <v>948</v>
      </c>
      <c r="D5139" s="24">
        <v>17.059999999999999</v>
      </c>
      <c r="E5139" s="24">
        <v>3.07</v>
      </c>
      <c r="F5139" s="23">
        <f>COUNTIFS(mdr_rate_cleaned!$A$2:$A$10,B5139,mdr_rate_cleaned!$B$2:$B$10,"&lt;"&amp;C5139,mdr_rate_cleaned!$F$2:$F$10,"&gt;="&amp;C5139)</f>
        <v>1</v>
      </c>
      <c r="G5139" s="40">
        <f>SUMIFS(mdr_rate_cleaned!$G$2:$G$10,mdr_rate_cleaned!$A$2:$A$10,B5139,mdr_rate_cleaned!$B$2:$B$10,"&lt;"&amp;C5139,mdr_rate_cleaned!$F$2:$F$10,"&gt;="&amp;C5139)</f>
        <v>1.8000000000000002E-2</v>
      </c>
      <c r="H5139" s="24">
        <f t="shared" si="400"/>
        <v>17.059999999999999</v>
      </c>
      <c r="I5139" s="23" t="str">
        <f t="shared" si="401"/>
        <v>Match</v>
      </c>
      <c r="J5139" s="23" t="str">
        <f t="shared" si="402"/>
        <v>Match</v>
      </c>
      <c r="K5139" s="24">
        <f t="shared" si="403"/>
        <v>3.07</v>
      </c>
      <c r="L5139" s="24">
        <f t="shared" si="404"/>
        <v>0</v>
      </c>
    </row>
    <row r="5140" spans="1:12" ht="15" customHeight="1" x14ac:dyDescent="0.3">
      <c r="A5140" s="23" t="s">
        <v>18556</v>
      </c>
      <c r="B5140" s="23" t="s">
        <v>75</v>
      </c>
      <c r="C5140" s="39">
        <v>7999</v>
      </c>
      <c r="D5140" s="24">
        <v>24</v>
      </c>
      <c r="E5140" s="24">
        <v>4.32</v>
      </c>
      <c r="F5140" s="23">
        <f>COUNTIFS(mdr_rate_cleaned!$A$2:$A$10,B5140,mdr_rate_cleaned!$B$2:$B$10,"&lt;"&amp;C5140,mdr_rate_cleaned!$F$2:$F$10,"&gt;="&amp;C5140)</f>
        <v>1</v>
      </c>
      <c r="G5140" s="40">
        <f>SUMIFS(mdr_rate_cleaned!$G$2:$G$10,mdr_rate_cleaned!$A$2:$A$10,B5140,mdr_rate_cleaned!$B$2:$B$10,"&lt;"&amp;C5140,mdr_rate_cleaned!$F$2:$F$10,"&gt;="&amp;C5140)</f>
        <v>3.0000000000000001E-3</v>
      </c>
      <c r="H5140" s="24">
        <f t="shared" si="400"/>
        <v>24</v>
      </c>
      <c r="I5140" s="23" t="str">
        <f t="shared" si="401"/>
        <v>Match</v>
      </c>
      <c r="J5140" s="23" t="str">
        <f t="shared" si="402"/>
        <v>Match</v>
      </c>
      <c r="K5140" s="24">
        <f t="shared" si="403"/>
        <v>4.32</v>
      </c>
      <c r="L5140" s="24">
        <f t="shared" si="404"/>
        <v>0</v>
      </c>
    </row>
    <row r="5141" spans="1:12" ht="15" customHeight="1" x14ac:dyDescent="0.3">
      <c r="A5141" s="23" t="s">
        <v>18557</v>
      </c>
      <c r="B5141" s="23" t="s">
        <v>79</v>
      </c>
      <c r="C5141" s="39">
        <v>1299</v>
      </c>
      <c r="D5141" s="24">
        <v>23.38</v>
      </c>
      <c r="E5141" s="24">
        <v>4.21</v>
      </c>
      <c r="F5141" s="23">
        <f>COUNTIFS(mdr_rate_cleaned!$A$2:$A$10,B5141,mdr_rate_cleaned!$B$2:$B$10,"&lt;"&amp;C5141,mdr_rate_cleaned!$F$2:$F$10,"&gt;="&amp;C5141)</f>
        <v>1</v>
      </c>
      <c r="G5141" s="40">
        <f>SUMIFS(mdr_rate_cleaned!$G$2:$G$10,mdr_rate_cleaned!$A$2:$A$10,B5141,mdr_rate_cleaned!$B$2:$B$10,"&lt;"&amp;C5141,mdr_rate_cleaned!$F$2:$F$10,"&gt;="&amp;C5141)</f>
        <v>1.8000000000000002E-2</v>
      </c>
      <c r="H5141" s="24">
        <f t="shared" si="400"/>
        <v>23.38</v>
      </c>
      <c r="I5141" s="23" t="str">
        <f t="shared" si="401"/>
        <v>Match</v>
      </c>
      <c r="J5141" s="23" t="str">
        <f t="shared" si="402"/>
        <v>Match</v>
      </c>
      <c r="K5141" s="24">
        <f t="shared" si="403"/>
        <v>4.21</v>
      </c>
      <c r="L5141" s="24">
        <f t="shared" si="404"/>
        <v>0</v>
      </c>
    </row>
    <row r="5142" spans="1:12" ht="15" customHeight="1" x14ac:dyDescent="0.3">
      <c r="A5142" s="23" t="s">
        <v>18559</v>
      </c>
      <c r="B5142" s="23" t="s">
        <v>79</v>
      </c>
      <c r="C5142" s="39">
        <v>9498</v>
      </c>
      <c r="D5142" s="24">
        <v>151.97</v>
      </c>
      <c r="E5142" s="24">
        <v>27.35</v>
      </c>
      <c r="F5142" s="23">
        <f>COUNTIFS(mdr_rate_cleaned!$A$2:$A$10,B5142,mdr_rate_cleaned!$B$2:$B$10,"&lt;"&amp;C5142,mdr_rate_cleaned!$F$2:$F$10,"&gt;="&amp;C5142)</f>
        <v>1</v>
      </c>
      <c r="G5142" s="40">
        <f>SUMIFS(mdr_rate_cleaned!$G$2:$G$10,mdr_rate_cleaned!$A$2:$A$10,B5142,mdr_rate_cleaned!$B$2:$B$10,"&lt;"&amp;C5142,mdr_rate_cleaned!$F$2:$F$10,"&gt;="&amp;C5142)</f>
        <v>1.6E-2</v>
      </c>
      <c r="H5142" s="24">
        <f t="shared" si="400"/>
        <v>151.97</v>
      </c>
      <c r="I5142" s="23" t="str">
        <f t="shared" si="401"/>
        <v>Match</v>
      </c>
      <c r="J5142" s="23" t="str">
        <f t="shared" si="402"/>
        <v>Match</v>
      </c>
      <c r="K5142" s="24">
        <f t="shared" si="403"/>
        <v>27.35</v>
      </c>
      <c r="L5142" s="24">
        <f t="shared" si="404"/>
        <v>0</v>
      </c>
    </row>
    <row r="5143" spans="1:12" ht="15" customHeight="1" x14ac:dyDescent="0.3">
      <c r="A5143" s="23" t="s">
        <v>18560</v>
      </c>
      <c r="B5143" s="23" t="s">
        <v>75</v>
      </c>
      <c r="C5143" s="39">
        <v>2998</v>
      </c>
      <c r="D5143" s="24">
        <v>8.99</v>
      </c>
      <c r="E5143" s="24">
        <v>1.62</v>
      </c>
      <c r="F5143" s="23">
        <f>COUNTIFS(mdr_rate_cleaned!$A$2:$A$10,B5143,mdr_rate_cleaned!$B$2:$B$10,"&lt;"&amp;C5143,mdr_rate_cleaned!$F$2:$F$10,"&gt;="&amp;C5143)</f>
        <v>1</v>
      </c>
      <c r="G5143" s="40">
        <f>SUMIFS(mdr_rate_cleaned!$G$2:$G$10,mdr_rate_cleaned!$A$2:$A$10,B5143,mdr_rate_cleaned!$B$2:$B$10,"&lt;"&amp;C5143,mdr_rate_cleaned!$F$2:$F$10,"&gt;="&amp;C5143)</f>
        <v>3.0000000000000001E-3</v>
      </c>
      <c r="H5143" s="24">
        <f t="shared" si="400"/>
        <v>8.99</v>
      </c>
      <c r="I5143" s="23" t="str">
        <f t="shared" si="401"/>
        <v>Match</v>
      </c>
      <c r="J5143" s="23" t="str">
        <f t="shared" si="402"/>
        <v>Match</v>
      </c>
      <c r="K5143" s="24">
        <f t="shared" si="403"/>
        <v>1.62</v>
      </c>
      <c r="L5143" s="24">
        <f t="shared" si="404"/>
        <v>0</v>
      </c>
    </row>
    <row r="5144" spans="1:12" ht="15" customHeight="1" x14ac:dyDescent="0.3">
      <c r="A5144" s="23" t="s">
        <v>18561</v>
      </c>
      <c r="B5144" s="23" t="s">
        <v>75</v>
      </c>
      <c r="C5144" s="39">
        <v>698</v>
      </c>
      <c r="D5144" s="24">
        <v>0</v>
      </c>
      <c r="E5144" s="24">
        <v>0</v>
      </c>
      <c r="F5144" s="23">
        <f>COUNTIFS(mdr_rate_cleaned!$A$2:$A$10,B5144,mdr_rate_cleaned!$B$2:$B$10,"&lt;"&amp;C5144,mdr_rate_cleaned!$F$2:$F$10,"&gt;="&amp;C5144)</f>
        <v>1</v>
      </c>
      <c r="G5144" s="40">
        <f>SUMIFS(mdr_rate_cleaned!$G$2:$G$10,mdr_rate_cleaned!$A$2:$A$10,B5144,mdr_rate_cleaned!$B$2:$B$10,"&lt;"&amp;C5144,mdr_rate_cleaned!$F$2:$F$10,"&gt;="&amp;C5144)</f>
        <v>0</v>
      </c>
      <c r="H5144" s="24">
        <f t="shared" si="400"/>
        <v>0</v>
      </c>
      <c r="I5144" s="23" t="str">
        <f t="shared" si="401"/>
        <v>Match</v>
      </c>
      <c r="J5144" s="23" t="str">
        <f t="shared" si="402"/>
        <v>Match</v>
      </c>
      <c r="K5144" s="24">
        <f t="shared" si="403"/>
        <v>0</v>
      </c>
      <c r="L5144" s="24">
        <f t="shared" si="404"/>
        <v>0</v>
      </c>
    </row>
    <row r="5145" spans="1:12" ht="15" customHeight="1" x14ac:dyDescent="0.3">
      <c r="A5145" s="23" t="s">
        <v>18562</v>
      </c>
      <c r="B5145" s="23" t="s">
        <v>79</v>
      </c>
      <c r="C5145" s="39">
        <v>3297</v>
      </c>
      <c r="D5145" s="24">
        <v>52.75</v>
      </c>
      <c r="E5145" s="24">
        <v>9.5</v>
      </c>
      <c r="F5145" s="23">
        <f>COUNTIFS(mdr_rate_cleaned!$A$2:$A$10,B5145,mdr_rate_cleaned!$B$2:$B$10,"&lt;"&amp;C5145,mdr_rate_cleaned!$F$2:$F$10,"&gt;="&amp;C5145)</f>
        <v>1</v>
      </c>
      <c r="G5145" s="40">
        <f>SUMIFS(mdr_rate_cleaned!$G$2:$G$10,mdr_rate_cleaned!$A$2:$A$10,B5145,mdr_rate_cleaned!$B$2:$B$10,"&lt;"&amp;C5145,mdr_rate_cleaned!$F$2:$F$10,"&gt;="&amp;C5145)</f>
        <v>1.6E-2</v>
      </c>
      <c r="H5145" s="24">
        <f t="shared" si="400"/>
        <v>52.75</v>
      </c>
      <c r="I5145" s="23" t="str">
        <f t="shared" si="401"/>
        <v>Match</v>
      </c>
      <c r="J5145" s="23" t="str">
        <f t="shared" si="402"/>
        <v>Match</v>
      </c>
      <c r="K5145" s="24">
        <f t="shared" si="403"/>
        <v>9.5</v>
      </c>
      <c r="L5145" s="24">
        <f t="shared" si="404"/>
        <v>0</v>
      </c>
    </row>
    <row r="5146" spans="1:12" ht="15" customHeight="1" x14ac:dyDescent="0.3">
      <c r="A5146" s="23" t="s">
        <v>18563</v>
      </c>
      <c r="B5146" s="23" t="s">
        <v>75</v>
      </c>
      <c r="C5146" s="39">
        <v>1799</v>
      </c>
      <c r="D5146" s="24">
        <v>0</v>
      </c>
      <c r="E5146" s="24">
        <v>0</v>
      </c>
      <c r="F5146" s="23">
        <f>COUNTIFS(mdr_rate_cleaned!$A$2:$A$10,B5146,mdr_rate_cleaned!$B$2:$B$10,"&lt;"&amp;C5146,mdr_rate_cleaned!$F$2:$F$10,"&gt;="&amp;C5146)</f>
        <v>1</v>
      </c>
      <c r="G5146" s="40">
        <f>SUMIFS(mdr_rate_cleaned!$G$2:$G$10,mdr_rate_cleaned!$A$2:$A$10,B5146,mdr_rate_cleaned!$B$2:$B$10,"&lt;"&amp;C5146,mdr_rate_cleaned!$F$2:$F$10,"&gt;="&amp;C5146)</f>
        <v>0</v>
      </c>
      <c r="H5146" s="24">
        <f t="shared" si="400"/>
        <v>0</v>
      </c>
      <c r="I5146" s="23" t="str">
        <f t="shared" si="401"/>
        <v>Match</v>
      </c>
      <c r="J5146" s="23" t="str">
        <f t="shared" si="402"/>
        <v>Match</v>
      </c>
      <c r="K5146" s="24">
        <f t="shared" si="403"/>
        <v>0</v>
      </c>
      <c r="L5146" s="24">
        <f t="shared" si="404"/>
        <v>0</v>
      </c>
    </row>
    <row r="5147" spans="1:12" ht="15" customHeight="1" x14ac:dyDescent="0.3">
      <c r="A5147" s="23" t="s">
        <v>18564</v>
      </c>
      <c r="B5147" s="23" t="s">
        <v>75</v>
      </c>
      <c r="C5147" s="39">
        <v>349</v>
      </c>
      <c r="D5147" s="24">
        <v>0</v>
      </c>
      <c r="E5147" s="24">
        <v>0</v>
      </c>
      <c r="F5147" s="23">
        <f>COUNTIFS(mdr_rate_cleaned!$A$2:$A$10,B5147,mdr_rate_cleaned!$B$2:$B$10,"&lt;"&amp;C5147,mdr_rate_cleaned!$F$2:$F$10,"&gt;="&amp;C5147)</f>
        <v>1</v>
      </c>
      <c r="G5147" s="40">
        <f>SUMIFS(mdr_rate_cleaned!$G$2:$G$10,mdr_rate_cleaned!$A$2:$A$10,B5147,mdr_rate_cleaned!$B$2:$B$10,"&lt;"&amp;C5147,mdr_rate_cleaned!$F$2:$F$10,"&gt;="&amp;C5147)</f>
        <v>0</v>
      </c>
      <c r="H5147" s="24">
        <f t="shared" si="400"/>
        <v>0</v>
      </c>
      <c r="I5147" s="23" t="str">
        <f t="shared" si="401"/>
        <v>Match</v>
      </c>
      <c r="J5147" s="23" t="str">
        <f t="shared" si="402"/>
        <v>Match</v>
      </c>
      <c r="K5147" s="24">
        <f t="shared" si="403"/>
        <v>0</v>
      </c>
      <c r="L5147" s="24">
        <f t="shared" si="404"/>
        <v>0</v>
      </c>
    </row>
    <row r="5148" spans="1:12" ht="15" customHeight="1" x14ac:dyDescent="0.3">
      <c r="A5148" s="23" t="s">
        <v>18565</v>
      </c>
      <c r="B5148" s="23" t="s">
        <v>77</v>
      </c>
      <c r="C5148" s="39">
        <v>2298</v>
      </c>
      <c r="D5148" s="24">
        <v>39.07</v>
      </c>
      <c r="E5148" s="24">
        <v>7.03</v>
      </c>
      <c r="F5148" s="23">
        <f>COUNTIFS(mdr_rate_cleaned!$A$2:$A$10,B5148,mdr_rate_cleaned!$B$2:$B$10,"&lt;"&amp;C5148,mdr_rate_cleaned!$F$2:$F$10,"&gt;="&amp;C5148)</f>
        <v>1</v>
      </c>
      <c r="G5148" s="40">
        <f>SUMIFS(mdr_rate_cleaned!$G$2:$G$10,mdr_rate_cleaned!$A$2:$A$10,B5148,mdr_rate_cleaned!$B$2:$B$10,"&lt;"&amp;C5148,mdr_rate_cleaned!$F$2:$F$10,"&gt;="&amp;C5148)</f>
        <v>1.7000000000000001E-2</v>
      </c>
      <c r="H5148" s="24">
        <f t="shared" si="400"/>
        <v>39.07</v>
      </c>
      <c r="I5148" s="23" t="str">
        <f t="shared" si="401"/>
        <v>Match</v>
      </c>
      <c r="J5148" s="23" t="str">
        <f t="shared" si="402"/>
        <v>Match</v>
      </c>
      <c r="K5148" s="24">
        <f t="shared" si="403"/>
        <v>7.03</v>
      </c>
      <c r="L5148" s="24">
        <f t="shared" si="404"/>
        <v>0</v>
      </c>
    </row>
    <row r="5149" spans="1:12" ht="15" customHeight="1" x14ac:dyDescent="0.3">
      <c r="A5149" s="23" t="s">
        <v>18566</v>
      </c>
      <c r="B5149" s="23" t="s">
        <v>75</v>
      </c>
      <c r="C5149" s="39">
        <v>799</v>
      </c>
      <c r="D5149" s="24">
        <v>0</v>
      </c>
      <c r="E5149" s="24">
        <v>0</v>
      </c>
      <c r="F5149" s="23">
        <f>COUNTIFS(mdr_rate_cleaned!$A$2:$A$10,B5149,mdr_rate_cleaned!$B$2:$B$10,"&lt;"&amp;C5149,mdr_rate_cleaned!$F$2:$F$10,"&gt;="&amp;C5149)</f>
        <v>1</v>
      </c>
      <c r="G5149" s="40">
        <f>SUMIFS(mdr_rate_cleaned!$G$2:$G$10,mdr_rate_cleaned!$A$2:$A$10,B5149,mdr_rate_cleaned!$B$2:$B$10,"&lt;"&amp;C5149,mdr_rate_cleaned!$F$2:$F$10,"&gt;="&amp;C5149)</f>
        <v>0</v>
      </c>
      <c r="H5149" s="24">
        <f t="shared" si="400"/>
        <v>0</v>
      </c>
      <c r="I5149" s="23" t="str">
        <f t="shared" si="401"/>
        <v>Match</v>
      </c>
      <c r="J5149" s="23" t="str">
        <f t="shared" si="402"/>
        <v>Match</v>
      </c>
      <c r="K5149" s="24">
        <f t="shared" si="403"/>
        <v>0</v>
      </c>
      <c r="L5149" s="24">
        <f t="shared" si="404"/>
        <v>0</v>
      </c>
    </row>
    <row r="5150" spans="1:12" ht="15" customHeight="1" x14ac:dyDescent="0.3">
      <c r="A5150" s="23" t="s">
        <v>18567</v>
      </c>
      <c r="B5150" s="23" t="s">
        <v>77</v>
      </c>
      <c r="C5150" s="39">
        <v>299</v>
      </c>
      <c r="D5150" s="24">
        <v>5.68</v>
      </c>
      <c r="E5150" s="24">
        <v>1.02</v>
      </c>
      <c r="F5150" s="23">
        <f>COUNTIFS(mdr_rate_cleaned!$A$2:$A$10,B5150,mdr_rate_cleaned!$B$2:$B$10,"&lt;"&amp;C5150,mdr_rate_cleaned!$F$2:$F$10,"&gt;="&amp;C5150)</f>
        <v>1</v>
      </c>
      <c r="G5150" s="40">
        <f>SUMIFS(mdr_rate_cleaned!$G$2:$G$10,mdr_rate_cleaned!$A$2:$A$10,B5150,mdr_rate_cleaned!$B$2:$B$10,"&lt;"&amp;C5150,mdr_rate_cleaned!$F$2:$F$10,"&gt;="&amp;C5150)</f>
        <v>1.9E-2</v>
      </c>
      <c r="H5150" s="24">
        <f t="shared" si="400"/>
        <v>5.68</v>
      </c>
      <c r="I5150" s="23" t="str">
        <f t="shared" si="401"/>
        <v>Match</v>
      </c>
      <c r="J5150" s="23" t="str">
        <f t="shared" si="402"/>
        <v>Match</v>
      </c>
      <c r="K5150" s="24">
        <f t="shared" si="403"/>
        <v>1.02</v>
      </c>
      <c r="L5150" s="24">
        <f t="shared" si="404"/>
        <v>0</v>
      </c>
    </row>
    <row r="5151" spans="1:12" ht="15" customHeight="1" x14ac:dyDescent="0.3">
      <c r="A5151" s="23" t="s">
        <v>18568</v>
      </c>
      <c r="B5151" s="23" t="s">
        <v>75</v>
      </c>
      <c r="C5151" s="39">
        <v>9798</v>
      </c>
      <c r="D5151" s="24">
        <v>29.39</v>
      </c>
      <c r="E5151" s="24">
        <v>5.29</v>
      </c>
      <c r="F5151" s="23">
        <f>COUNTIFS(mdr_rate_cleaned!$A$2:$A$10,B5151,mdr_rate_cleaned!$B$2:$B$10,"&lt;"&amp;C5151,mdr_rate_cleaned!$F$2:$F$10,"&gt;="&amp;C5151)</f>
        <v>1</v>
      </c>
      <c r="G5151" s="40">
        <f>SUMIFS(mdr_rate_cleaned!$G$2:$G$10,mdr_rate_cleaned!$A$2:$A$10,B5151,mdr_rate_cleaned!$B$2:$B$10,"&lt;"&amp;C5151,mdr_rate_cleaned!$F$2:$F$10,"&gt;="&amp;C5151)</f>
        <v>3.0000000000000001E-3</v>
      </c>
      <c r="H5151" s="24">
        <f t="shared" si="400"/>
        <v>29.39</v>
      </c>
      <c r="I5151" s="23" t="str">
        <f t="shared" si="401"/>
        <v>Match</v>
      </c>
      <c r="J5151" s="23" t="str">
        <f t="shared" si="402"/>
        <v>Match</v>
      </c>
      <c r="K5151" s="24">
        <f t="shared" si="403"/>
        <v>5.29</v>
      </c>
      <c r="L5151" s="24">
        <f t="shared" si="404"/>
        <v>0</v>
      </c>
    </row>
    <row r="5152" spans="1:12" ht="15" customHeight="1" x14ac:dyDescent="0.3">
      <c r="A5152" s="23" t="s">
        <v>18569</v>
      </c>
      <c r="B5152" s="23" t="s">
        <v>79</v>
      </c>
      <c r="C5152" s="39">
        <v>3298</v>
      </c>
      <c r="D5152" s="24">
        <v>52.77</v>
      </c>
      <c r="E5152" s="24">
        <v>9.5</v>
      </c>
      <c r="F5152" s="23">
        <f>COUNTIFS(mdr_rate_cleaned!$A$2:$A$10,B5152,mdr_rate_cleaned!$B$2:$B$10,"&lt;"&amp;C5152,mdr_rate_cleaned!$F$2:$F$10,"&gt;="&amp;C5152)</f>
        <v>1</v>
      </c>
      <c r="G5152" s="40">
        <f>SUMIFS(mdr_rate_cleaned!$G$2:$G$10,mdr_rate_cleaned!$A$2:$A$10,B5152,mdr_rate_cleaned!$B$2:$B$10,"&lt;"&amp;C5152,mdr_rate_cleaned!$F$2:$F$10,"&gt;="&amp;C5152)</f>
        <v>1.6E-2</v>
      </c>
      <c r="H5152" s="24">
        <f t="shared" si="400"/>
        <v>52.77</v>
      </c>
      <c r="I5152" s="23" t="str">
        <f t="shared" si="401"/>
        <v>Match</v>
      </c>
      <c r="J5152" s="23" t="str">
        <f t="shared" si="402"/>
        <v>Match</v>
      </c>
      <c r="K5152" s="24">
        <f t="shared" si="403"/>
        <v>9.5</v>
      </c>
      <c r="L5152" s="24">
        <f t="shared" si="404"/>
        <v>0</v>
      </c>
    </row>
    <row r="5153" spans="1:12" ht="15" customHeight="1" x14ac:dyDescent="0.3">
      <c r="A5153" s="23" t="s">
        <v>18570</v>
      </c>
      <c r="B5153" s="23" t="s">
        <v>79</v>
      </c>
      <c r="C5153" s="39">
        <v>3298</v>
      </c>
      <c r="D5153" s="24">
        <v>52.77</v>
      </c>
      <c r="E5153" s="24">
        <v>9.5</v>
      </c>
      <c r="F5153" s="23">
        <f>COUNTIFS(mdr_rate_cleaned!$A$2:$A$10,B5153,mdr_rate_cleaned!$B$2:$B$10,"&lt;"&amp;C5153,mdr_rate_cleaned!$F$2:$F$10,"&gt;="&amp;C5153)</f>
        <v>1</v>
      </c>
      <c r="G5153" s="40">
        <f>SUMIFS(mdr_rate_cleaned!$G$2:$G$10,mdr_rate_cleaned!$A$2:$A$10,B5153,mdr_rate_cleaned!$B$2:$B$10,"&lt;"&amp;C5153,mdr_rate_cleaned!$F$2:$F$10,"&gt;="&amp;C5153)</f>
        <v>1.6E-2</v>
      </c>
      <c r="H5153" s="24">
        <f t="shared" si="400"/>
        <v>52.77</v>
      </c>
      <c r="I5153" s="23" t="str">
        <f t="shared" si="401"/>
        <v>Match</v>
      </c>
      <c r="J5153" s="23" t="str">
        <f t="shared" si="402"/>
        <v>Match</v>
      </c>
      <c r="K5153" s="24">
        <f t="shared" si="403"/>
        <v>9.5</v>
      </c>
      <c r="L5153" s="24">
        <f t="shared" si="404"/>
        <v>0</v>
      </c>
    </row>
    <row r="5154" spans="1:12" ht="15" customHeight="1" x14ac:dyDescent="0.3">
      <c r="A5154" s="23" t="s">
        <v>18571</v>
      </c>
      <c r="B5154" s="23" t="s">
        <v>81</v>
      </c>
      <c r="C5154" s="39">
        <v>4847</v>
      </c>
      <c r="D5154" s="24">
        <v>58.16</v>
      </c>
      <c r="E5154" s="24">
        <v>10.47</v>
      </c>
      <c r="F5154" s="23">
        <f>COUNTIFS(mdr_rate_cleaned!$A$2:$A$10,B5154,mdr_rate_cleaned!$B$2:$B$10,"&lt;"&amp;C5154,mdr_rate_cleaned!$F$2:$F$10,"&gt;="&amp;C5154)</f>
        <v>1</v>
      </c>
      <c r="G5154" s="40">
        <f>SUMIFS(mdr_rate_cleaned!$G$2:$G$10,mdr_rate_cleaned!$A$2:$A$10,B5154,mdr_rate_cleaned!$B$2:$B$10,"&lt;"&amp;C5154,mdr_rate_cleaned!$F$2:$F$10,"&gt;="&amp;C5154)</f>
        <v>1.2E-2</v>
      </c>
      <c r="H5154" s="24">
        <f t="shared" si="400"/>
        <v>58.16</v>
      </c>
      <c r="I5154" s="23" t="str">
        <f t="shared" si="401"/>
        <v>Match</v>
      </c>
      <c r="J5154" s="23" t="str">
        <f t="shared" si="402"/>
        <v>Match</v>
      </c>
      <c r="K5154" s="24">
        <f t="shared" si="403"/>
        <v>10.47</v>
      </c>
      <c r="L5154" s="24">
        <f t="shared" si="404"/>
        <v>0</v>
      </c>
    </row>
    <row r="5155" spans="1:12" ht="15" customHeight="1" x14ac:dyDescent="0.3">
      <c r="A5155" s="23" t="s">
        <v>18572</v>
      </c>
      <c r="B5155" s="23" t="s">
        <v>77</v>
      </c>
      <c r="C5155" s="39">
        <v>2848</v>
      </c>
      <c r="D5155" s="24">
        <v>48.42</v>
      </c>
      <c r="E5155" s="24">
        <v>8.7200000000000006</v>
      </c>
      <c r="F5155" s="23">
        <f>COUNTIFS(mdr_rate_cleaned!$A$2:$A$10,B5155,mdr_rate_cleaned!$B$2:$B$10,"&lt;"&amp;C5155,mdr_rate_cleaned!$F$2:$F$10,"&gt;="&amp;C5155)</f>
        <v>1</v>
      </c>
      <c r="G5155" s="40">
        <f>SUMIFS(mdr_rate_cleaned!$G$2:$G$10,mdr_rate_cleaned!$A$2:$A$10,B5155,mdr_rate_cleaned!$B$2:$B$10,"&lt;"&amp;C5155,mdr_rate_cleaned!$F$2:$F$10,"&gt;="&amp;C5155)</f>
        <v>1.7000000000000001E-2</v>
      </c>
      <c r="H5155" s="24">
        <f t="shared" si="400"/>
        <v>48.42</v>
      </c>
      <c r="I5155" s="23" t="str">
        <f t="shared" si="401"/>
        <v>Match</v>
      </c>
      <c r="J5155" s="23" t="str">
        <f t="shared" si="402"/>
        <v>Match</v>
      </c>
      <c r="K5155" s="24">
        <f t="shared" si="403"/>
        <v>8.7200000000000006</v>
      </c>
      <c r="L5155" s="24">
        <f t="shared" si="404"/>
        <v>0</v>
      </c>
    </row>
    <row r="5156" spans="1:12" ht="15" customHeight="1" x14ac:dyDescent="0.3">
      <c r="A5156" s="23" t="s">
        <v>18573</v>
      </c>
      <c r="B5156" s="23" t="s">
        <v>75</v>
      </c>
      <c r="C5156" s="39">
        <v>5498</v>
      </c>
      <c r="D5156" s="24">
        <v>16.489999999999998</v>
      </c>
      <c r="E5156" s="24">
        <v>2.97</v>
      </c>
      <c r="F5156" s="23">
        <f>COUNTIFS(mdr_rate_cleaned!$A$2:$A$10,B5156,mdr_rate_cleaned!$B$2:$B$10,"&lt;"&amp;C5156,mdr_rate_cleaned!$F$2:$F$10,"&gt;="&amp;C5156)</f>
        <v>1</v>
      </c>
      <c r="G5156" s="40">
        <f>SUMIFS(mdr_rate_cleaned!$G$2:$G$10,mdr_rate_cleaned!$A$2:$A$10,B5156,mdr_rate_cleaned!$B$2:$B$10,"&lt;"&amp;C5156,mdr_rate_cleaned!$F$2:$F$10,"&gt;="&amp;C5156)</f>
        <v>3.0000000000000001E-3</v>
      </c>
      <c r="H5156" s="24">
        <f t="shared" si="400"/>
        <v>16.489999999999998</v>
      </c>
      <c r="I5156" s="23" t="str">
        <f t="shared" si="401"/>
        <v>Match</v>
      </c>
      <c r="J5156" s="23" t="str">
        <f t="shared" si="402"/>
        <v>Match</v>
      </c>
      <c r="K5156" s="24">
        <f t="shared" si="403"/>
        <v>2.97</v>
      </c>
      <c r="L5156" s="24">
        <f t="shared" si="404"/>
        <v>0</v>
      </c>
    </row>
    <row r="5157" spans="1:12" ht="15" customHeight="1" x14ac:dyDescent="0.3">
      <c r="A5157" s="23" t="s">
        <v>18575</v>
      </c>
      <c r="B5157" s="23" t="s">
        <v>77</v>
      </c>
      <c r="C5157" s="39">
        <v>3848</v>
      </c>
      <c r="D5157" s="24">
        <v>92.35</v>
      </c>
      <c r="E5157" s="24">
        <v>16.62</v>
      </c>
      <c r="F5157" s="23">
        <f>COUNTIFS(mdr_rate_cleaned!$A$2:$A$10,B5157,mdr_rate_cleaned!$B$2:$B$10,"&lt;"&amp;C5157,mdr_rate_cleaned!$F$2:$F$10,"&gt;="&amp;C5157)</f>
        <v>1</v>
      </c>
      <c r="G5157" s="40">
        <f>SUMIFS(mdr_rate_cleaned!$G$2:$G$10,mdr_rate_cleaned!$A$2:$A$10,B5157,mdr_rate_cleaned!$B$2:$B$10,"&lt;"&amp;C5157,mdr_rate_cleaned!$F$2:$F$10,"&gt;="&amp;C5157)</f>
        <v>1.7000000000000001E-2</v>
      </c>
      <c r="H5157" s="24">
        <f t="shared" si="400"/>
        <v>65.42</v>
      </c>
      <c r="I5157" s="23" t="str">
        <f t="shared" si="401"/>
        <v>Differs</v>
      </c>
      <c r="J5157" s="23" t="str">
        <f t="shared" si="402"/>
        <v>Match</v>
      </c>
      <c r="K5157" s="24">
        <f t="shared" si="403"/>
        <v>11.78</v>
      </c>
      <c r="L5157" s="24">
        <f t="shared" si="404"/>
        <v>31.77</v>
      </c>
    </row>
    <row r="5158" spans="1:12" ht="15" customHeight="1" x14ac:dyDescent="0.3">
      <c r="A5158" s="23" t="s">
        <v>18576</v>
      </c>
      <c r="B5158" s="23" t="s">
        <v>79</v>
      </c>
      <c r="C5158" s="39">
        <v>4999</v>
      </c>
      <c r="D5158" s="24">
        <v>79.98</v>
      </c>
      <c r="E5158" s="24">
        <v>14.4</v>
      </c>
      <c r="F5158" s="23">
        <f>COUNTIFS(mdr_rate_cleaned!$A$2:$A$10,B5158,mdr_rate_cleaned!$B$2:$B$10,"&lt;"&amp;C5158,mdr_rate_cleaned!$F$2:$F$10,"&gt;="&amp;C5158)</f>
        <v>1</v>
      </c>
      <c r="G5158" s="40">
        <f>SUMIFS(mdr_rate_cleaned!$G$2:$G$10,mdr_rate_cleaned!$A$2:$A$10,B5158,mdr_rate_cleaned!$B$2:$B$10,"&lt;"&amp;C5158,mdr_rate_cleaned!$F$2:$F$10,"&gt;="&amp;C5158)</f>
        <v>1.6E-2</v>
      </c>
      <c r="H5158" s="24">
        <f t="shared" si="400"/>
        <v>79.98</v>
      </c>
      <c r="I5158" s="23" t="str">
        <f t="shared" si="401"/>
        <v>Match</v>
      </c>
      <c r="J5158" s="23" t="str">
        <f t="shared" si="402"/>
        <v>Match</v>
      </c>
      <c r="K5158" s="24">
        <f t="shared" si="403"/>
        <v>14.4</v>
      </c>
      <c r="L5158" s="24">
        <f t="shared" si="404"/>
        <v>0</v>
      </c>
    </row>
    <row r="5159" spans="1:12" ht="15" customHeight="1" x14ac:dyDescent="0.3">
      <c r="A5159" s="23" t="s">
        <v>18577</v>
      </c>
      <c r="B5159" s="23" t="s">
        <v>75</v>
      </c>
      <c r="C5159" s="39">
        <v>5598</v>
      </c>
      <c r="D5159" s="24">
        <v>16.79</v>
      </c>
      <c r="E5159" s="24">
        <v>3.02</v>
      </c>
      <c r="F5159" s="23">
        <f>COUNTIFS(mdr_rate_cleaned!$A$2:$A$10,B5159,mdr_rate_cleaned!$B$2:$B$10,"&lt;"&amp;C5159,mdr_rate_cleaned!$F$2:$F$10,"&gt;="&amp;C5159)</f>
        <v>1</v>
      </c>
      <c r="G5159" s="40">
        <f>SUMIFS(mdr_rate_cleaned!$G$2:$G$10,mdr_rate_cleaned!$A$2:$A$10,B5159,mdr_rate_cleaned!$B$2:$B$10,"&lt;"&amp;C5159,mdr_rate_cleaned!$F$2:$F$10,"&gt;="&amp;C5159)</f>
        <v>3.0000000000000001E-3</v>
      </c>
      <c r="H5159" s="24">
        <f t="shared" si="400"/>
        <v>16.79</v>
      </c>
      <c r="I5159" s="23" t="str">
        <f t="shared" si="401"/>
        <v>Match</v>
      </c>
      <c r="J5159" s="23" t="str">
        <f t="shared" si="402"/>
        <v>Match</v>
      </c>
      <c r="K5159" s="24">
        <f t="shared" si="403"/>
        <v>3.02</v>
      </c>
      <c r="L5159" s="24">
        <f t="shared" si="404"/>
        <v>0</v>
      </c>
    </row>
    <row r="5160" spans="1:12" ht="15" customHeight="1" x14ac:dyDescent="0.3">
      <c r="A5160" s="23" t="s">
        <v>18578</v>
      </c>
      <c r="B5160" s="23" t="s">
        <v>79</v>
      </c>
      <c r="C5160" s="39">
        <v>499</v>
      </c>
      <c r="D5160" s="24">
        <v>8.98</v>
      </c>
      <c r="E5160" s="24">
        <v>1.62</v>
      </c>
      <c r="F5160" s="23">
        <f>COUNTIFS(mdr_rate_cleaned!$A$2:$A$10,B5160,mdr_rate_cleaned!$B$2:$B$10,"&lt;"&amp;C5160,mdr_rate_cleaned!$F$2:$F$10,"&gt;="&amp;C5160)</f>
        <v>1</v>
      </c>
      <c r="G5160" s="40">
        <f>SUMIFS(mdr_rate_cleaned!$G$2:$G$10,mdr_rate_cleaned!$A$2:$A$10,B5160,mdr_rate_cleaned!$B$2:$B$10,"&lt;"&amp;C5160,mdr_rate_cleaned!$F$2:$F$10,"&gt;="&amp;C5160)</f>
        <v>1.8000000000000002E-2</v>
      </c>
      <c r="H5160" s="24">
        <f t="shared" si="400"/>
        <v>8.98</v>
      </c>
      <c r="I5160" s="23" t="str">
        <f t="shared" si="401"/>
        <v>Match</v>
      </c>
      <c r="J5160" s="23" t="str">
        <f t="shared" si="402"/>
        <v>Match</v>
      </c>
      <c r="K5160" s="24">
        <f t="shared" si="403"/>
        <v>1.62</v>
      </c>
      <c r="L5160" s="24">
        <f t="shared" si="404"/>
        <v>0</v>
      </c>
    </row>
    <row r="5161" spans="1:12" ht="15" customHeight="1" x14ac:dyDescent="0.3">
      <c r="A5161" s="23" t="s">
        <v>18579</v>
      </c>
      <c r="B5161" s="23" t="s">
        <v>77</v>
      </c>
      <c r="C5161" s="39">
        <v>9297</v>
      </c>
      <c r="D5161" s="24">
        <v>158.05000000000001</v>
      </c>
      <c r="E5161" s="24">
        <v>28.45</v>
      </c>
      <c r="F5161" s="23">
        <f>COUNTIFS(mdr_rate_cleaned!$A$2:$A$10,B5161,mdr_rate_cleaned!$B$2:$B$10,"&lt;"&amp;C5161,mdr_rate_cleaned!$F$2:$F$10,"&gt;="&amp;C5161)</f>
        <v>1</v>
      </c>
      <c r="G5161" s="40">
        <f>SUMIFS(mdr_rate_cleaned!$G$2:$G$10,mdr_rate_cleaned!$A$2:$A$10,B5161,mdr_rate_cleaned!$B$2:$B$10,"&lt;"&amp;C5161,mdr_rate_cleaned!$F$2:$F$10,"&gt;="&amp;C5161)</f>
        <v>1.7000000000000001E-2</v>
      </c>
      <c r="H5161" s="24">
        <f t="shared" si="400"/>
        <v>158.05000000000001</v>
      </c>
      <c r="I5161" s="23" t="str">
        <f t="shared" si="401"/>
        <v>Match</v>
      </c>
      <c r="J5161" s="23" t="str">
        <f t="shared" si="402"/>
        <v>Match</v>
      </c>
      <c r="K5161" s="24">
        <f t="shared" si="403"/>
        <v>28.45</v>
      </c>
      <c r="L5161" s="24">
        <f t="shared" si="404"/>
        <v>0</v>
      </c>
    </row>
    <row r="5162" spans="1:12" ht="15" customHeight="1" x14ac:dyDescent="0.3">
      <c r="A5162" s="23" t="s">
        <v>18580</v>
      </c>
      <c r="B5162" s="23" t="s">
        <v>79</v>
      </c>
      <c r="C5162" s="39">
        <v>799</v>
      </c>
      <c r="D5162" s="24">
        <v>14.38</v>
      </c>
      <c r="E5162" s="24">
        <v>2.59</v>
      </c>
      <c r="F5162" s="23">
        <f>COUNTIFS(mdr_rate_cleaned!$A$2:$A$10,B5162,mdr_rate_cleaned!$B$2:$B$10,"&lt;"&amp;C5162,mdr_rate_cleaned!$F$2:$F$10,"&gt;="&amp;C5162)</f>
        <v>1</v>
      </c>
      <c r="G5162" s="40">
        <f>SUMIFS(mdr_rate_cleaned!$G$2:$G$10,mdr_rate_cleaned!$A$2:$A$10,B5162,mdr_rate_cleaned!$B$2:$B$10,"&lt;"&amp;C5162,mdr_rate_cleaned!$F$2:$F$10,"&gt;="&amp;C5162)</f>
        <v>1.8000000000000002E-2</v>
      </c>
      <c r="H5162" s="24">
        <f t="shared" si="400"/>
        <v>14.38</v>
      </c>
      <c r="I5162" s="23" t="str">
        <f t="shared" si="401"/>
        <v>Match</v>
      </c>
      <c r="J5162" s="23" t="str">
        <f t="shared" si="402"/>
        <v>Match</v>
      </c>
      <c r="K5162" s="24">
        <f t="shared" si="403"/>
        <v>2.59</v>
      </c>
      <c r="L5162" s="24">
        <f t="shared" si="404"/>
        <v>0</v>
      </c>
    </row>
    <row r="5163" spans="1:12" ht="15" customHeight="1" x14ac:dyDescent="0.3">
      <c r="A5163" s="23" t="s">
        <v>18581</v>
      </c>
      <c r="B5163" s="23" t="s">
        <v>75</v>
      </c>
      <c r="C5163" s="39">
        <v>5998</v>
      </c>
      <c r="D5163" s="24">
        <v>17.989999999999998</v>
      </c>
      <c r="E5163" s="24">
        <v>3.24</v>
      </c>
      <c r="F5163" s="23">
        <f>COUNTIFS(mdr_rate_cleaned!$A$2:$A$10,B5163,mdr_rate_cleaned!$B$2:$B$10,"&lt;"&amp;C5163,mdr_rate_cleaned!$F$2:$F$10,"&gt;="&amp;C5163)</f>
        <v>1</v>
      </c>
      <c r="G5163" s="40">
        <f>SUMIFS(mdr_rate_cleaned!$G$2:$G$10,mdr_rate_cleaned!$A$2:$A$10,B5163,mdr_rate_cleaned!$B$2:$B$10,"&lt;"&amp;C5163,mdr_rate_cleaned!$F$2:$F$10,"&gt;="&amp;C5163)</f>
        <v>3.0000000000000001E-3</v>
      </c>
      <c r="H5163" s="24">
        <f t="shared" si="400"/>
        <v>17.989999999999998</v>
      </c>
      <c r="I5163" s="23" t="str">
        <f t="shared" si="401"/>
        <v>Match</v>
      </c>
      <c r="J5163" s="23" t="str">
        <f t="shared" si="402"/>
        <v>Match</v>
      </c>
      <c r="K5163" s="24">
        <f t="shared" si="403"/>
        <v>3.24</v>
      </c>
      <c r="L5163" s="24">
        <f t="shared" si="404"/>
        <v>0</v>
      </c>
    </row>
    <row r="5164" spans="1:12" ht="15" customHeight="1" x14ac:dyDescent="0.3">
      <c r="A5164" s="23" t="s">
        <v>18582</v>
      </c>
      <c r="B5164" s="23" t="s">
        <v>81</v>
      </c>
      <c r="C5164" s="39">
        <v>1499</v>
      </c>
      <c r="D5164" s="24">
        <v>22.49</v>
      </c>
      <c r="E5164" s="24">
        <v>4.05</v>
      </c>
      <c r="F5164" s="23">
        <f>COUNTIFS(mdr_rate_cleaned!$A$2:$A$10,B5164,mdr_rate_cleaned!$B$2:$B$10,"&lt;"&amp;C5164,mdr_rate_cleaned!$F$2:$F$10,"&gt;="&amp;C5164)</f>
        <v>1</v>
      </c>
      <c r="G5164" s="40">
        <f>SUMIFS(mdr_rate_cleaned!$G$2:$G$10,mdr_rate_cleaned!$A$2:$A$10,B5164,mdr_rate_cleaned!$B$2:$B$10,"&lt;"&amp;C5164,mdr_rate_cleaned!$F$2:$F$10,"&gt;="&amp;C5164)</f>
        <v>1.4999999999999999E-2</v>
      </c>
      <c r="H5164" s="24">
        <f t="shared" si="400"/>
        <v>22.49</v>
      </c>
      <c r="I5164" s="23" t="str">
        <f t="shared" si="401"/>
        <v>Match</v>
      </c>
      <c r="J5164" s="23" t="str">
        <f t="shared" si="402"/>
        <v>Match</v>
      </c>
      <c r="K5164" s="24">
        <f t="shared" si="403"/>
        <v>4.05</v>
      </c>
      <c r="L5164" s="24">
        <f t="shared" si="404"/>
        <v>0</v>
      </c>
    </row>
    <row r="5165" spans="1:12" ht="15" customHeight="1" x14ac:dyDescent="0.3">
      <c r="A5165" s="23" t="s">
        <v>18583</v>
      </c>
      <c r="B5165" s="23" t="s">
        <v>79</v>
      </c>
      <c r="C5165" s="39">
        <v>2298</v>
      </c>
      <c r="D5165" s="24">
        <v>36.770000000000003</v>
      </c>
      <c r="E5165" s="24">
        <v>6.62</v>
      </c>
      <c r="F5165" s="23">
        <f>COUNTIFS(mdr_rate_cleaned!$A$2:$A$10,B5165,mdr_rate_cleaned!$B$2:$B$10,"&lt;"&amp;C5165,mdr_rate_cleaned!$F$2:$F$10,"&gt;="&amp;C5165)</f>
        <v>1</v>
      </c>
      <c r="G5165" s="40">
        <f>SUMIFS(mdr_rate_cleaned!$G$2:$G$10,mdr_rate_cleaned!$A$2:$A$10,B5165,mdr_rate_cleaned!$B$2:$B$10,"&lt;"&amp;C5165,mdr_rate_cleaned!$F$2:$F$10,"&gt;="&amp;C5165)</f>
        <v>1.6E-2</v>
      </c>
      <c r="H5165" s="24">
        <f t="shared" si="400"/>
        <v>36.770000000000003</v>
      </c>
      <c r="I5165" s="23" t="str">
        <f t="shared" si="401"/>
        <v>Match</v>
      </c>
      <c r="J5165" s="23" t="str">
        <f t="shared" si="402"/>
        <v>Match</v>
      </c>
      <c r="K5165" s="24">
        <f t="shared" si="403"/>
        <v>6.62</v>
      </c>
      <c r="L5165" s="24">
        <f t="shared" si="404"/>
        <v>0</v>
      </c>
    </row>
    <row r="5166" spans="1:12" ht="15" customHeight="1" x14ac:dyDescent="0.3">
      <c r="A5166" s="23" t="s">
        <v>18584</v>
      </c>
      <c r="B5166" s="23" t="s">
        <v>75</v>
      </c>
      <c r="C5166" s="39">
        <v>299</v>
      </c>
      <c r="D5166" s="24">
        <v>0</v>
      </c>
      <c r="E5166" s="24">
        <v>0</v>
      </c>
      <c r="F5166" s="23">
        <f>COUNTIFS(mdr_rate_cleaned!$A$2:$A$10,B5166,mdr_rate_cleaned!$B$2:$B$10,"&lt;"&amp;C5166,mdr_rate_cleaned!$F$2:$F$10,"&gt;="&amp;C5166)</f>
        <v>1</v>
      </c>
      <c r="G5166" s="40">
        <f>SUMIFS(mdr_rate_cleaned!$G$2:$G$10,mdr_rate_cleaned!$A$2:$A$10,B5166,mdr_rate_cleaned!$B$2:$B$10,"&lt;"&amp;C5166,mdr_rate_cleaned!$F$2:$F$10,"&gt;="&amp;C5166)</f>
        <v>0</v>
      </c>
      <c r="H5166" s="24">
        <f t="shared" si="400"/>
        <v>0</v>
      </c>
      <c r="I5166" s="23" t="str">
        <f t="shared" si="401"/>
        <v>Match</v>
      </c>
      <c r="J5166" s="23" t="str">
        <f t="shared" si="402"/>
        <v>Match</v>
      </c>
      <c r="K5166" s="24">
        <f t="shared" si="403"/>
        <v>0</v>
      </c>
      <c r="L5166" s="24">
        <f t="shared" si="404"/>
        <v>0</v>
      </c>
    </row>
    <row r="5167" spans="1:12" ht="15" customHeight="1" x14ac:dyDescent="0.3">
      <c r="A5167" s="23" t="s">
        <v>18585</v>
      </c>
      <c r="B5167" s="23" t="s">
        <v>79</v>
      </c>
      <c r="C5167" s="39">
        <v>999</v>
      </c>
      <c r="D5167" s="24">
        <v>17.98</v>
      </c>
      <c r="E5167" s="24">
        <v>3.24</v>
      </c>
      <c r="F5167" s="23">
        <f>COUNTIFS(mdr_rate_cleaned!$A$2:$A$10,B5167,mdr_rate_cleaned!$B$2:$B$10,"&lt;"&amp;C5167,mdr_rate_cleaned!$F$2:$F$10,"&gt;="&amp;C5167)</f>
        <v>1</v>
      </c>
      <c r="G5167" s="40">
        <f>SUMIFS(mdr_rate_cleaned!$G$2:$G$10,mdr_rate_cleaned!$A$2:$A$10,B5167,mdr_rate_cleaned!$B$2:$B$10,"&lt;"&amp;C5167,mdr_rate_cleaned!$F$2:$F$10,"&gt;="&amp;C5167)</f>
        <v>1.8000000000000002E-2</v>
      </c>
      <c r="H5167" s="24">
        <f t="shared" si="400"/>
        <v>17.98</v>
      </c>
      <c r="I5167" s="23" t="str">
        <f t="shared" si="401"/>
        <v>Match</v>
      </c>
      <c r="J5167" s="23" t="str">
        <f t="shared" si="402"/>
        <v>Match</v>
      </c>
      <c r="K5167" s="24">
        <f t="shared" si="403"/>
        <v>3.24</v>
      </c>
      <c r="L5167" s="24">
        <f t="shared" si="404"/>
        <v>0</v>
      </c>
    </row>
    <row r="5168" spans="1:12" ht="15" customHeight="1" x14ac:dyDescent="0.3">
      <c r="A5168" s="23" t="s">
        <v>18587</v>
      </c>
      <c r="B5168" s="23" t="s">
        <v>79</v>
      </c>
      <c r="C5168" s="39">
        <v>5998</v>
      </c>
      <c r="D5168" s="24">
        <v>95.97</v>
      </c>
      <c r="E5168" s="24">
        <v>17.27</v>
      </c>
      <c r="F5168" s="23">
        <f>COUNTIFS(mdr_rate_cleaned!$A$2:$A$10,B5168,mdr_rate_cleaned!$B$2:$B$10,"&lt;"&amp;C5168,mdr_rate_cleaned!$F$2:$F$10,"&gt;="&amp;C5168)</f>
        <v>1</v>
      </c>
      <c r="G5168" s="40">
        <f>SUMIFS(mdr_rate_cleaned!$G$2:$G$10,mdr_rate_cleaned!$A$2:$A$10,B5168,mdr_rate_cleaned!$B$2:$B$10,"&lt;"&amp;C5168,mdr_rate_cleaned!$F$2:$F$10,"&gt;="&amp;C5168)</f>
        <v>1.6E-2</v>
      </c>
      <c r="H5168" s="24">
        <f t="shared" si="400"/>
        <v>95.97</v>
      </c>
      <c r="I5168" s="23" t="str">
        <f t="shared" si="401"/>
        <v>Match</v>
      </c>
      <c r="J5168" s="23" t="str">
        <f t="shared" si="402"/>
        <v>Match</v>
      </c>
      <c r="K5168" s="24">
        <f t="shared" si="403"/>
        <v>17.27</v>
      </c>
      <c r="L5168" s="24">
        <f t="shared" si="404"/>
        <v>0</v>
      </c>
    </row>
    <row r="5169" spans="1:12" ht="15" customHeight="1" x14ac:dyDescent="0.3">
      <c r="A5169" s="23" t="s">
        <v>18588</v>
      </c>
      <c r="B5169" s="23" t="s">
        <v>75</v>
      </c>
      <c r="C5169" s="39">
        <v>1998</v>
      </c>
      <c r="D5169" s="24">
        <v>0</v>
      </c>
      <c r="E5169" s="24">
        <v>0</v>
      </c>
      <c r="F5169" s="23">
        <f>COUNTIFS(mdr_rate_cleaned!$A$2:$A$10,B5169,mdr_rate_cleaned!$B$2:$B$10,"&lt;"&amp;C5169,mdr_rate_cleaned!$F$2:$F$10,"&gt;="&amp;C5169)</f>
        <v>1</v>
      </c>
      <c r="G5169" s="40">
        <f>SUMIFS(mdr_rate_cleaned!$G$2:$G$10,mdr_rate_cleaned!$A$2:$A$10,B5169,mdr_rate_cleaned!$B$2:$B$10,"&lt;"&amp;C5169,mdr_rate_cleaned!$F$2:$F$10,"&gt;="&amp;C5169)</f>
        <v>0</v>
      </c>
      <c r="H5169" s="24">
        <f t="shared" si="400"/>
        <v>0</v>
      </c>
      <c r="I5169" s="23" t="str">
        <f t="shared" si="401"/>
        <v>Match</v>
      </c>
      <c r="J5169" s="23" t="str">
        <f t="shared" si="402"/>
        <v>Match</v>
      </c>
      <c r="K5169" s="24">
        <f t="shared" si="403"/>
        <v>0</v>
      </c>
      <c r="L5169" s="24">
        <f t="shared" si="404"/>
        <v>0</v>
      </c>
    </row>
    <row r="5170" spans="1:12" ht="15" customHeight="1" x14ac:dyDescent="0.3">
      <c r="A5170" s="23" t="s">
        <v>18589</v>
      </c>
      <c r="B5170" s="23" t="s">
        <v>75</v>
      </c>
      <c r="C5170" s="39">
        <v>499</v>
      </c>
      <c r="D5170" s="24">
        <v>0</v>
      </c>
      <c r="E5170" s="24">
        <v>0</v>
      </c>
      <c r="F5170" s="23">
        <f>COUNTIFS(mdr_rate_cleaned!$A$2:$A$10,B5170,mdr_rate_cleaned!$B$2:$B$10,"&lt;"&amp;C5170,mdr_rate_cleaned!$F$2:$F$10,"&gt;="&amp;C5170)</f>
        <v>1</v>
      </c>
      <c r="G5170" s="40">
        <f>SUMIFS(mdr_rate_cleaned!$G$2:$G$10,mdr_rate_cleaned!$A$2:$A$10,B5170,mdr_rate_cleaned!$B$2:$B$10,"&lt;"&amp;C5170,mdr_rate_cleaned!$F$2:$F$10,"&gt;="&amp;C5170)</f>
        <v>0</v>
      </c>
      <c r="H5170" s="24">
        <f t="shared" si="400"/>
        <v>0</v>
      </c>
      <c r="I5170" s="23" t="str">
        <f t="shared" si="401"/>
        <v>Match</v>
      </c>
      <c r="J5170" s="23" t="str">
        <f t="shared" si="402"/>
        <v>Match</v>
      </c>
      <c r="K5170" s="24">
        <f t="shared" si="403"/>
        <v>0</v>
      </c>
      <c r="L5170" s="24">
        <f t="shared" si="404"/>
        <v>0</v>
      </c>
    </row>
    <row r="5171" spans="1:12" ht="15" customHeight="1" x14ac:dyDescent="0.3">
      <c r="A5171" s="23" t="s">
        <v>18590</v>
      </c>
      <c r="B5171" s="23" t="s">
        <v>79</v>
      </c>
      <c r="C5171" s="39">
        <v>4897</v>
      </c>
      <c r="D5171" s="24">
        <v>78.349999999999994</v>
      </c>
      <c r="E5171" s="24">
        <v>14.1</v>
      </c>
      <c r="F5171" s="23">
        <f>COUNTIFS(mdr_rate_cleaned!$A$2:$A$10,B5171,mdr_rate_cleaned!$B$2:$B$10,"&lt;"&amp;C5171,mdr_rate_cleaned!$F$2:$F$10,"&gt;="&amp;C5171)</f>
        <v>1</v>
      </c>
      <c r="G5171" s="40">
        <f>SUMIFS(mdr_rate_cleaned!$G$2:$G$10,mdr_rate_cleaned!$A$2:$A$10,B5171,mdr_rate_cleaned!$B$2:$B$10,"&lt;"&amp;C5171,mdr_rate_cleaned!$F$2:$F$10,"&gt;="&amp;C5171)</f>
        <v>1.6E-2</v>
      </c>
      <c r="H5171" s="24">
        <f t="shared" si="400"/>
        <v>78.349999999999994</v>
      </c>
      <c r="I5171" s="23" t="str">
        <f t="shared" si="401"/>
        <v>Match</v>
      </c>
      <c r="J5171" s="23" t="str">
        <f t="shared" si="402"/>
        <v>Match</v>
      </c>
      <c r="K5171" s="24">
        <f t="shared" si="403"/>
        <v>14.1</v>
      </c>
      <c r="L5171" s="24">
        <f t="shared" si="404"/>
        <v>0</v>
      </c>
    </row>
    <row r="5172" spans="1:12" ht="15" customHeight="1" x14ac:dyDescent="0.3">
      <c r="A5172" s="23" t="s">
        <v>18591</v>
      </c>
      <c r="B5172" s="23" t="s">
        <v>75</v>
      </c>
      <c r="C5172" s="39">
        <v>948</v>
      </c>
      <c r="D5172" s="24">
        <v>0</v>
      </c>
      <c r="E5172" s="24">
        <v>0</v>
      </c>
      <c r="F5172" s="23">
        <f>COUNTIFS(mdr_rate_cleaned!$A$2:$A$10,B5172,mdr_rate_cleaned!$B$2:$B$10,"&lt;"&amp;C5172,mdr_rate_cleaned!$F$2:$F$10,"&gt;="&amp;C5172)</f>
        <v>1</v>
      </c>
      <c r="G5172" s="40">
        <f>SUMIFS(mdr_rate_cleaned!$G$2:$G$10,mdr_rate_cleaned!$A$2:$A$10,B5172,mdr_rate_cleaned!$B$2:$B$10,"&lt;"&amp;C5172,mdr_rate_cleaned!$F$2:$F$10,"&gt;="&amp;C5172)</f>
        <v>0</v>
      </c>
      <c r="H5172" s="24">
        <f t="shared" si="400"/>
        <v>0</v>
      </c>
      <c r="I5172" s="23" t="str">
        <f t="shared" si="401"/>
        <v>Match</v>
      </c>
      <c r="J5172" s="23" t="str">
        <f t="shared" si="402"/>
        <v>Match</v>
      </c>
      <c r="K5172" s="24">
        <f t="shared" si="403"/>
        <v>0</v>
      </c>
      <c r="L5172" s="24">
        <f t="shared" si="404"/>
        <v>0</v>
      </c>
    </row>
    <row r="5173" spans="1:12" ht="15" customHeight="1" x14ac:dyDescent="0.3">
      <c r="A5173" s="23" t="s">
        <v>18593</v>
      </c>
      <c r="B5173" s="23" t="s">
        <v>77</v>
      </c>
      <c r="C5173" s="39">
        <v>4298</v>
      </c>
      <c r="D5173" s="24">
        <v>73.069999999999993</v>
      </c>
      <c r="E5173" s="24">
        <v>13.15</v>
      </c>
      <c r="F5173" s="23">
        <f>COUNTIFS(mdr_rate_cleaned!$A$2:$A$10,B5173,mdr_rate_cleaned!$B$2:$B$10,"&lt;"&amp;C5173,mdr_rate_cleaned!$F$2:$F$10,"&gt;="&amp;C5173)</f>
        <v>1</v>
      </c>
      <c r="G5173" s="40">
        <f>SUMIFS(mdr_rate_cleaned!$G$2:$G$10,mdr_rate_cleaned!$A$2:$A$10,B5173,mdr_rate_cleaned!$B$2:$B$10,"&lt;"&amp;C5173,mdr_rate_cleaned!$F$2:$F$10,"&gt;="&amp;C5173)</f>
        <v>1.7000000000000001E-2</v>
      </c>
      <c r="H5173" s="24">
        <f t="shared" si="400"/>
        <v>73.069999999999993</v>
      </c>
      <c r="I5173" s="23" t="str">
        <f t="shared" si="401"/>
        <v>Match</v>
      </c>
      <c r="J5173" s="23" t="str">
        <f t="shared" si="402"/>
        <v>Match</v>
      </c>
      <c r="K5173" s="24">
        <f t="shared" si="403"/>
        <v>13.15</v>
      </c>
      <c r="L5173" s="24">
        <f t="shared" si="404"/>
        <v>0</v>
      </c>
    </row>
    <row r="5174" spans="1:12" ht="15" customHeight="1" x14ac:dyDescent="0.3">
      <c r="A5174" s="23" t="s">
        <v>18594</v>
      </c>
      <c r="B5174" s="23" t="s">
        <v>75</v>
      </c>
      <c r="C5174" s="39">
        <v>1499</v>
      </c>
      <c r="D5174" s="24">
        <v>0</v>
      </c>
      <c r="E5174" s="24">
        <v>0</v>
      </c>
      <c r="F5174" s="23">
        <f>COUNTIFS(mdr_rate_cleaned!$A$2:$A$10,B5174,mdr_rate_cleaned!$B$2:$B$10,"&lt;"&amp;C5174,mdr_rate_cleaned!$F$2:$F$10,"&gt;="&amp;C5174)</f>
        <v>1</v>
      </c>
      <c r="G5174" s="40">
        <f>SUMIFS(mdr_rate_cleaned!$G$2:$G$10,mdr_rate_cleaned!$A$2:$A$10,B5174,mdr_rate_cleaned!$B$2:$B$10,"&lt;"&amp;C5174,mdr_rate_cleaned!$F$2:$F$10,"&gt;="&amp;C5174)</f>
        <v>0</v>
      </c>
      <c r="H5174" s="24">
        <f t="shared" si="400"/>
        <v>0</v>
      </c>
      <c r="I5174" s="23" t="str">
        <f t="shared" si="401"/>
        <v>Match</v>
      </c>
      <c r="J5174" s="23" t="str">
        <f t="shared" si="402"/>
        <v>Match</v>
      </c>
      <c r="K5174" s="24">
        <f t="shared" si="403"/>
        <v>0</v>
      </c>
      <c r="L5174" s="24">
        <f t="shared" si="404"/>
        <v>0</v>
      </c>
    </row>
    <row r="5175" spans="1:12" ht="15" customHeight="1" x14ac:dyDescent="0.3">
      <c r="A5175" s="23" t="s">
        <v>18595</v>
      </c>
      <c r="B5175" s="23" t="s">
        <v>75</v>
      </c>
      <c r="C5175" s="39">
        <v>599</v>
      </c>
      <c r="D5175" s="24">
        <v>0</v>
      </c>
      <c r="E5175" s="24">
        <v>0</v>
      </c>
      <c r="F5175" s="23">
        <f>COUNTIFS(mdr_rate_cleaned!$A$2:$A$10,B5175,mdr_rate_cleaned!$B$2:$B$10,"&lt;"&amp;C5175,mdr_rate_cleaned!$F$2:$F$10,"&gt;="&amp;C5175)</f>
        <v>1</v>
      </c>
      <c r="G5175" s="40">
        <f>SUMIFS(mdr_rate_cleaned!$G$2:$G$10,mdr_rate_cleaned!$A$2:$A$10,B5175,mdr_rate_cleaned!$B$2:$B$10,"&lt;"&amp;C5175,mdr_rate_cleaned!$F$2:$F$10,"&gt;="&amp;C5175)</f>
        <v>0</v>
      </c>
      <c r="H5175" s="24">
        <f t="shared" si="400"/>
        <v>0</v>
      </c>
      <c r="I5175" s="23" t="str">
        <f t="shared" si="401"/>
        <v>Match</v>
      </c>
      <c r="J5175" s="23" t="str">
        <f t="shared" si="402"/>
        <v>Match</v>
      </c>
      <c r="K5175" s="24">
        <f t="shared" si="403"/>
        <v>0</v>
      </c>
      <c r="L5175" s="24">
        <f t="shared" si="404"/>
        <v>0</v>
      </c>
    </row>
    <row r="5176" spans="1:12" ht="15" customHeight="1" x14ac:dyDescent="0.3">
      <c r="A5176" s="23" t="s">
        <v>18596</v>
      </c>
      <c r="B5176" s="23" t="s">
        <v>79</v>
      </c>
      <c r="C5176" s="39">
        <v>599</v>
      </c>
      <c r="D5176" s="24">
        <v>10.78</v>
      </c>
      <c r="E5176" s="24">
        <v>1.94</v>
      </c>
      <c r="F5176" s="23">
        <f>COUNTIFS(mdr_rate_cleaned!$A$2:$A$10,B5176,mdr_rate_cleaned!$B$2:$B$10,"&lt;"&amp;C5176,mdr_rate_cleaned!$F$2:$F$10,"&gt;="&amp;C5176)</f>
        <v>1</v>
      </c>
      <c r="G5176" s="40">
        <f>SUMIFS(mdr_rate_cleaned!$G$2:$G$10,mdr_rate_cleaned!$A$2:$A$10,B5176,mdr_rate_cleaned!$B$2:$B$10,"&lt;"&amp;C5176,mdr_rate_cleaned!$F$2:$F$10,"&gt;="&amp;C5176)</f>
        <v>1.8000000000000002E-2</v>
      </c>
      <c r="H5176" s="24">
        <f t="shared" si="400"/>
        <v>10.78</v>
      </c>
      <c r="I5176" s="23" t="str">
        <f t="shared" si="401"/>
        <v>Match</v>
      </c>
      <c r="J5176" s="23" t="str">
        <f t="shared" si="402"/>
        <v>Match</v>
      </c>
      <c r="K5176" s="24">
        <f t="shared" si="403"/>
        <v>1.94</v>
      </c>
      <c r="L5176" s="24">
        <f t="shared" si="404"/>
        <v>0</v>
      </c>
    </row>
    <row r="5177" spans="1:12" ht="15" customHeight="1" x14ac:dyDescent="0.3">
      <c r="A5177" s="23" t="s">
        <v>18597</v>
      </c>
      <c r="B5177" s="23" t="s">
        <v>81</v>
      </c>
      <c r="C5177" s="39">
        <v>999</v>
      </c>
      <c r="D5177" s="24">
        <v>14.99</v>
      </c>
      <c r="E5177" s="24">
        <v>2.7</v>
      </c>
      <c r="F5177" s="23">
        <f>COUNTIFS(mdr_rate_cleaned!$A$2:$A$10,B5177,mdr_rate_cleaned!$B$2:$B$10,"&lt;"&amp;C5177,mdr_rate_cleaned!$F$2:$F$10,"&gt;="&amp;C5177)</f>
        <v>1</v>
      </c>
      <c r="G5177" s="40">
        <f>SUMIFS(mdr_rate_cleaned!$G$2:$G$10,mdr_rate_cleaned!$A$2:$A$10,B5177,mdr_rate_cleaned!$B$2:$B$10,"&lt;"&amp;C5177,mdr_rate_cleaned!$F$2:$F$10,"&gt;="&amp;C5177)</f>
        <v>1.4999999999999999E-2</v>
      </c>
      <c r="H5177" s="24">
        <f t="shared" si="400"/>
        <v>14.99</v>
      </c>
      <c r="I5177" s="23" t="str">
        <f t="shared" si="401"/>
        <v>Match</v>
      </c>
      <c r="J5177" s="23" t="str">
        <f t="shared" si="402"/>
        <v>Match</v>
      </c>
      <c r="K5177" s="24">
        <f t="shared" si="403"/>
        <v>2.7</v>
      </c>
      <c r="L5177" s="24">
        <f t="shared" si="404"/>
        <v>0</v>
      </c>
    </row>
    <row r="5178" spans="1:12" ht="15" customHeight="1" x14ac:dyDescent="0.3">
      <c r="A5178" s="23" t="s">
        <v>18598</v>
      </c>
      <c r="B5178" s="23" t="s">
        <v>75</v>
      </c>
      <c r="C5178" s="39">
        <v>299</v>
      </c>
      <c r="D5178" s="24">
        <v>0</v>
      </c>
      <c r="E5178" s="24">
        <v>0</v>
      </c>
      <c r="F5178" s="23">
        <f>COUNTIFS(mdr_rate_cleaned!$A$2:$A$10,B5178,mdr_rate_cleaned!$B$2:$B$10,"&lt;"&amp;C5178,mdr_rate_cleaned!$F$2:$F$10,"&gt;="&amp;C5178)</f>
        <v>1</v>
      </c>
      <c r="G5178" s="40">
        <f>SUMIFS(mdr_rate_cleaned!$G$2:$G$10,mdr_rate_cleaned!$A$2:$A$10,B5178,mdr_rate_cleaned!$B$2:$B$10,"&lt;"&amp;C5178,mdr_rate_cleaned!$F$2:$F$10,"&gt;="&amp;C5178)</f>
        <v>0</v>
      </c>
      <c r="H5178" s="24">
        <f t="shared" si="400"/>
        <v>0</v>
      </c>
      <c r="I5178" s="23" t="str">
        <f t="shared" si="401"/>
        <v>Match</v>
      </c>
      <c r="J5178" s="23" t="str">
        <f t="shared" si="402"/>
        <v>Match</v>
      </c>
      <c r="K5178" s="24">
        <f t="shared" si="403"/>
        <v>0</v>
      </c>
      <c r="L5178" s="24">
        <f t="shared" si="404"/>
        <v>0</v>
      </c>
    </row>
    <row r="5179" spans="1:12" ht="15" customHeight="1" x14ac:dyDescent="0.3">
      <c r="A5179" s="23" t="s">
        <v>18599</v>
      </c>
      <c r="B5179" s="23" t="s">
        <v>75</v>
      </c>
      <c r="C5179" s="39">
        <v>799</v>
      </c>
      <c r="D5179" s="24">
        <v>0</v>
      </c>
      <c r="E5179" s="24">
        <v>0</v>
      </c>
      <c r="F5179" s="23">
        <f>COUNTIFS(mdr_rate_cleaned!$A$2:$A$10,B5179,mdr_rate_cleaned!$B$2:$B$10,"&lt;"&amp;C5179,mdr_rate_cleaned!$F$2:$F$10,"&gt;="&amp;C5179)</f>
        <v>1</v>
      </c>
      <c r="G5179" s="40">
        <f>SUMIFS(mdr_rate_cleaned!$G$2:$G$10,mdr_rate_cleaned!$A$2:$A$10,B5179,mdr_rate_cleaned!$B$2:$B$10,"&lt;"&amp;C5179,mdr_rate_cleaned!$F$2:$F$10,"&gt;="&amp;C5179)</f>
        <v>0</v>
      </c>
      <c r="H5179" s="24">
        <f t="shared" si="400"/>
        <v>0</v>
      </c>
      <c r="I5179" s="23" t="str">
        <f t="shared" si="401"/>
        <v>Match</v>
      </c>
      <c r="J5179" s="23" t="str">
        <f t="shared" si="402"/>
        <v>Match</v>
      </c>
      <c r="K5179" s="24">
        <f t="shared" si="403"/>
        <v>0</v>
      </c>
      <c r="L5179" s="24">
        <f t="shared" si="404"/>
        <v>0</v>
      </c>
    </row>
    <row r="5180" spans="1:12" ht="15" customHeight="1" x14ac:dyDescent="0.3">
      <c r="A5180" s="23" t="s">
        <v>18600</v>
      </c>
      <c r="B5180" s="23" t="s">
        <v>75</v>
      </c>
      <c r="C5180" s="39">
        <v>7797</v>
      </c>
      <c r="D5180" s="24">
        <v>23.39</v>
      </c>
      <c r="E5180" s="24">
        <v>4.21</v>
      </c>
      <c r="F5180" s="23">
        <f>COUNTIFS(mdr_rate_cleaned!$A$2:$A$10,B5180,mdr_rate_cleaned!$B$2:$B$10,"&lt;"&amp;C5180,mdr_rate_cleaned!$F$2:$F$10,"&gt;="&amp;C5180)</f>
        <v>1</v>
      </c>
      <c r="G5180" s="40">
        <f>SUMIFS(mdr_rate_cleaned!$G$2:$G$10,mdr_rate_cleaned!$A$2:$A$10,B5180,mdr_rate_cleaned!$B$2:$B$10,"&lt;"&amp;C5180,mdr_rate_cleaned!$F$2:$F$10,"&gt;="&amp;C5180)</f>
        <v>3.0000000000000001E-3</v>
      </c>
      <c r="H5180" s="24">
        <f t="shared" si="400"/>
        <v>23.39</v>
      </c>
      <c r="I5180" s="23" t="str">
        <f t="shared" si="401"/>
        <v>Match</v>
      </c>
      <c r="J5180" s="23" t="str">
        <f t="shared" si="402"/>
        <v>Match</v>
      </c>
      <c r="K5180" s="24">
        <f t="shared" si="403"/>
        <v>4.21</v>
      </c>
      <c r="L5180" s="24">
        <f t="shared" si="404"/>
        <v>0</v>
      </c>
    </row>
    <row r="5181" spans="1:12" ht="15" customHeight="1" x14ac:dyDescent="0.3">
      <c r="A5181" s="23" t="s">
        <v>18601</v>
      </c>
      <c r="B5181" s="23" t="s">
        <v>75</v>
      </c>
      <c r="C5181" s="39">
        <v>6498</v>
      </c>
      <c r="D5181" s="24">
        <v>19.489999999999998</v>
      </c>
      <c r="E5181" s="24">
        <v>3.51</v>
      </c>
      <c r="F5181" s="23">
        <f>COUNTIFS(mdr_rate_cleaned!$A$2:$A$10,B5181,mdr_rate_cleaned!$B$2:$B$10,"&lt;"&amp;C5181,mdr_rate_cleaned!$F$2:$F$10,"&gt;="&amp;C5181)</f>
        <v>1</v>
      </c>
      <c r="G5181" s="40">
        <f>SUMIFS(mdr_rate_cleaned!$G$2:$G$10,mdr_rate_cleaned!$A$2:$A$10,B5181,mdr_rate_cleaned!$B$2:$B$10,"&lt;"&amp;C5181,mdr_rate_cleaned!$F$2:$F$10,"&gt;="&amp;C5181)</f>
        <v>3.0000000000000001E-3</v>
      </c>
      <c r="H5181" s="24">
        <f t="shared" si="400"/>
        <v>19.489999999999998</v>
      </c>
      <c r="I5181" s="23" t="str">
        <f t="shared" si="401"/>
        <v>Match</v>
      </c>
      <c r="J5181" s="23" t="str">
        <f t="shared" si="402"/>
        <v>Match</v>
      </c>
      <c r="K5181" s="24">
        <f t="shared" si="403"/>
        <v>3.51</v>
      </c>
      <c r="L5181" s="24">
        <f t="shared" si="404"/>
        <v>0</v>
      </c>
    </row>
    <row r="5182" spans="1:12" ht="15" customHeight="1" x14ac:dyDescent="0.3">
      <c r="A5182" s="23" t="s">
        <v>18602</v>
      </c>
      <c r="B5182" s="23" t="s">
        <v>75</v>
      </c>
      <c r="C5182" s="39">
        <v>3798</v>
      </c>
      <c r="D5182" s="24">
        <v>11.39</v>
      </c>
      <c r="E5182" s="24">
        <v>2.0499999999999998</v>
      </c>
      <c r="F5182" s="23">
        <f>COUNTIFS(mdr_rate_cleaned!$A$2:$A$10,B5182,mdr_rate_cleaned!$B$2:$B$10,"&lt;"&amp;C5182,mdr_rate_cleaned!$F$2:$F$10,"&gt;="&amp;C5182)</f>
        <v>1</v>
      </c>
      <c r="G5182" s="40">
        <f>SUMIFS(mdr_rate_cleaned!$G$2:$G$10,mdr_rate_cleaned!$A$2:$A$10,B5182,mdr_rate_cleaned!$B$2:$B$10,"&lt;"&amp;C5182,mdr_rate_cleaned!$F$2:$F$10,"&gt;="&amp;C5182)</f>
        <v>3.0000000000000001E-3</v>
      </c>
      <c r="H5182" s="24">
        <f t="shared" si="400"/>
        <v>11.39</v>
      </c>
      <c r="I5182" s="23" t="str">
        <f t="shared" si="401"/>
        <v>Match</v>
      </c>
      <c r="J5182" s="23" t="str">
        <f t="shared" si="402"/>
        <v>Match</v>
      </c>
      <c r="K5182" s="24">
        <f t="shared" si="403"/>
        <v>2.0499999999999998</v>
      </c>
      <c r="L5182" s="24">
        <f t="shared" si="404"/>
        <v>0</v>
      </c>
    </row>
    <row r="5183" spans="1:12" ht="15" customHeight="1" x14ac:dyDescent="0.3">
      <c r="A5183" s="23" t="s">
        <v>18604</v>
      </c>
      <c r="B5183" s="23" t="s">
        <v>79</v>
      </c>
      <c r="C5183" s="39">
        <v>9498</v>
      </c>
      <c r="D5183" s="24">
        <v>151.97</v>
      </c>
      <c r="E5183" s="24">
        <v>27.35</v>
      </c>
      <c r="F5183" s="23">
        <f>COUNTIFS(mdr_rate_cleaned!$A$2:$A$10,B5183,mdr_rate_cleaned!$B$2:$B$10,"&lt;"&amp;C5183,mdr_rate_cleaned!$F$2:$F$10,"&gt;="&amp;C5183)</f>
        <v>1</v>
      </c>
      <c r="G5183" s="40">
        <f>SUMIFS(mdr_rate_cleaned!$G$2:$G$10,mdr_rate_cleaned!$A$2:$A$10,B5183,mdr_rate_cleaned!$B$2:$B$10,"&lt;"&amp;C5183,mdr_rate_cleaned!$F$2:$F$10,"&gt;="&amp;C5183)</f>
        <v>1.6E-2</v>
      </c>
      <c r="H5183" s="24">
        <f t="shared" si="400"/>
        <v>151.97</v>
      </c>
      <c r="I5183" s="23" t="str">
        <f t="shared" si="401"/>
        <v>Match</v>
      </c>
      <c r="J5183" s="23" t="str">
        <f t="shared" si="402"/>
        <v>Match</v>
      </c>
      <c r="K5183" s="24">
        <f t="shared" si="403"/>
        <v>27.35</v>
      </c>
      <c r="L5183" s="24">
        <f t="shared" si="404"/>
        <v>0</v>
      </c>
    </row>
    <row r="5184" spans="1:12" ht="15" customHeight="1" x14ac:dyDescent="0.3">
      <c r="A5184" s="23" t="s">
        <v>18605</v>
      </c>
      <c r="B5184" s="23" t="s">
        <v>77</v>
      </c>
      <c r="C5184" s="39">
        <v>8797</v>
      </c>
      <c r="D5184" s="24">
        <v>149.55000000000001</v>
      </c>
      <c r="E5184" s="24">
        <v>26.92</v>
      </c>
      <c r="F5184" s="23">
        <f>COUNTIFS(mdr_rate_cleaned!$A$2:$A$10,B5184,mdr_rate_cleaned!$B$2:$B$10,"&lt;"&amp;C5184,mdr_rate_cleaned!$F$2:$F$10,"&gt;="&amp;C5184)</f>
        <v>1</v>
      </c>
      <c r="G5184" s="40">
        <f>SUMIFS(mdr_rate_cleaned!$G$2:$G$10,mdr_rate_cleaned!$A$2:$A$10,B5184,mdr_rate_cleaned!$B$2:$B$10,"&lt;"&amp;C5184,mdr_rate_cleaned!$F$2:$F$10,"&gt;="&amp;C5184)</f>
        <v>1.7000000000000001E-2</v>
      </c>
      <c r="H5184" s="24">
        <f t="shared" si="400"/>
        <v>149.55000000000001</v>
      </c>
      <c r="I5184" s="23" t="str">
        <f t="shared" si="401"/>
        <v>Match</v>
      </c>
      <c r="J5184" s="23" t="str">
        <f t="shared" si="402"/>
        <v>Match</v>
      </c>
      <c r="K5184" s="24">
        <f t="shared" si="403"/>
        <v>26.92</v>
      </c>
      <c r="L5184" s="24">
        <f t="shared" si="404"/>
        <v>0</v>
      </c>
    </row>
    <row r="5185" spans="1:12" ht="15" customHeight="1" x14ac:dyDescent="0.3">
      <c r="A5185" s="23" t="s">
        <v>18606</v>
      </c>
      <c r="B5185" s="23" t="s">
        <v>75</v>
      </c>
      <c r="C5185" s="39">
        <v>1798</v>
      </c>
      <c r="D5185" s="24">
        <v>0</v>
      </c>
      <c r="E5185" s="24">
        <v>0</v>
      </c>
      <c r="F5185" s="23">
        <f>COUNTIFS(mdr_rate_cleaned!$A$2:$A$10,B5185,mdr_rate_cleaned!$B$2:$B$10,"&lt;"&amp;C5185,mdr_rate_cleaned!$F$2:$F$10,"&gt;="&amp;C5185)</f>
        <v>1</v>
      </c>
      <c r="G5185" s="40">
        <f>SUMIFS(mdr_rate_cleaned!$G$2:$G$10,mdr_rate_cleaned!$A$2:$A$10,B5185,mdr_rate_cleaned!$B$2:$B$10,"&lt;"&amp;C5185,mdr_rate_cleaned!$F$2:$F$10,"&gt;="&amp;C5185)</f>
        <v>0</v>
      </c>
      <c r="H5185" s="24">
        <f t="shared" si="400"/>
        <v>0</v>
      </c>
      <c r="I5185" s="23" t="str">
        <f t="shared" si="401"/>
        <v>Match</v>
      </c>
      <c r="J5185" s="23" t="str">
        <f t="shared" si="402"/>
        <v>Match</v>
      </c>
      <c r="K5185" s="24">
        <f t="shared" si="403"/>
        <v>0</v>
      </c>
      <c r="L5185" s="24">
        <f t="shared" si="404"/>
        <v>0</v>
      </c>
    </row>
    <row r="5186" spans="1:12" ht="15" customHeight="1" x14ac:dyDescent="0.3">
      <c r="A5186" s="23" t="s">
        <v>18607</v>
      </c>
      <c r="B5186" s="23" t="s">
        <v>75</v>
      </c>
      <c r="C5186" s="39">
        <v>499</v>
      </c>
      <c r="D5186" s="24">
        <v>0</v>
      </c>
      <c r="E5186" s="24">
        <v>0</v>
      </c>
      <c r="F5186" s="23">
        <f>COUNTIFS(mdr_rate_cleaned!$A$2:$A$10,B5186,mdr_rate_cleaned!$B$2:$B$10,"&lt;"&amp;C5186,mdr_rate_cleaned!$F$2:$F$10,"&gt;="&amp;C5186)</f>
        <v>1</v>
      </c>
      <c r="G5186" s="40">
        <f>SUMIFS(mdr_rate_cleaned!$G$2:$G$10,mdr_rate_cleaned!$A$2:$A$10,B5186,mdr_rate_cleaned!$B$2:$B$10,"&lt;"&amp;C5186,mdr_rate_cleaned!$F$2:$F$10,"&gt;="&amp;C5186)</f>
        <v>0</v>
      </c>
      <c r="H5186" s="24">
        <f t="shared" ref="H5186:H5249" si="405">ROUND(C5186*G5186,2)</f>
        <v>0</v>
      </c>
      <c r="I5186" s="23" t="str">
        <f t="shared" ref="I5186:I5249" si="406">IF(ROUND(D5186-H5186,2)=0,"Match","Differs")</f>
        <v>Match</v>
      </c>
      <c r="J5186" s="23" t="str">
        <f t="shared" ref="J5186:J5249" si="407">IF(ROUND(E5186-ROUND(D5186*0.18,2),2)=0,"Match","Differs")</f>
        <v>Match</v>
      </c>
      <c r="K5186" s="24">
        <f t="shared" ref="K5186:K5249" si="408">ROUND(H5186*0.18,2)</f>
        <v>0</v>
      </c>
      <c r="L5186" s="24">
        <f t="shared" ref="L5186:L5249" si="409">ROUND(D5186+E5186-H5186-K5186,2)</f>
        <v>0</v>
      </c>
    </row>
    <row r="5187" spans="1:12" ht="15" customHeight="1" x14ac:dyDescent="0.3">
      <c r="A5187" s="23" t="s">
        <v>18608</v>
      </c>
      <c r="B5187" s="23" t="s">
        <v>75</v>
      </c>
      <c r="C5187" s="39">
        <v>349</v>
      </c>
      <c r="D5187" s="24">
        <v>0</v>
      </c>
      <c r="E5187" s="24">
        <v>0</v>
      </c>
      <c r="F5187" s="23">
        <f>COUNTIFS(mdr_rate_cleaned!$A$2:$A$10,B5187,mdr_rate_cleaned!$B$2:$B$10,"&lt;"&amp;C5187,mdr_rate_cleaned!$F$2:$F$10,"&gt;="&amp;C5187)</f>
        <v>1</v>
      </c>
      <c r="G5187" s="40">
        <f>SUMIFS(mdr_rate_cleaned!$G$2:$G$10,mdr_rate_cleaned!$A$2:$A$10,B5187,mdr_rate_cleaned!$B$2:$B$10,"&lt;"&amp;C5187,mdr_rate_cleaned!$F$2:$F$10,"&gt;="&amp;C5187)</f>
        <v>0</v>
      </c>
      <c r="H5187" s="24">
        <f t="shared" si="405"/>
        <v>0</v>
      </c>
      <c r="I5187" s="23" t="str">
        <f t="shared" si="406"/>
        <v>Match</v>
      </c>
      <c r="J5187" s="23" t="str">
        <f t="shared" si="407"/>
        <v>Match</v>
      </c>
      <c r="K5187" s="24">
        <f t="shared" si="408"/>
        <v>0</v>
      </c>
      <c r="L5187" s="24">
        <f t="shared" si="409"/>
        <v>0</v>
      </c>
    </row>
    <row r="5188" spans="1:12" ht="15" customHeight="1" x14ac:dyDescent="0.3">
      <c r="A5188" s="23" t="s">
        <v>18609</v>
      </c>
      <c r="B5188" s="23" t="s">
        <v>75</v>
      </c>
      <c r="C5188" s="39">
        <v>1298</v>
      </c>
      <c r="D5188" s="24">
        <v>0</v>
      </c>
      <c r="E5188" s="24">
        <v>0</v>
      </c>
      <c r="F5188" s="23">
        <f>COUNTIFS(mdr_rate_cleaned!$A$2:$A$10,B5188,mdr_rate_cleaned!$B$2:$B$10,"&lt;"&amp;C5188,mdr_rate_cleaned!$F$2:$F$10,"&gt;="&amp;C5188)</f>
        <v>1</v>
      </c>
      <c r="G5188" s="40">
        <f>SUMIFS(mdr_rate_cleaned!$G$2:$G$10,mdr_rate_cleaned!$A$2:$A$10,B5188,mdr_rate_cleaned!$B$2:$B$10,"&lt;"&amp;C5188,mdr_rate_cleaned!$F$2:$F$10,"&gt;="&amp;C5188)</f>
        <v>0</v>
      </c>
      <c r="H5188" s="24">
        <f t="shared" si="405"/>
        <v>0</v>
      </c>
      <c r="I5188" s="23" t="str">
        <f t="shared" si="406"/>
        <v>Match</v>
      </c>
      <c r="J5188" s="23" t="str">
        <f t="shared" si="407"/>
        <v>Match</v>
      </c>
      <c r="K5188" s="24">
        <f t="shared" si="408"/>
        <v>0</v>
      </c>
      <c r="L5188" s="24">
        <f t="shared" si="409"/>
        <v>0</v>
      </c>
    </row>
    <row r="5189" spans="1:12" ht="15" customHeight="1" x14ac:dyDescent="0.3">
      <c r="A5189" s="23" t="s">
        <v>18610</v>
      </c>
      <c r="B5189" s="23" t="s">
        <v>75</v>
      </c>
      <c r="C5189" s="39">
        <v>2298</v>
      </c>
      <c r="D5189" s="24">
        <v>6.89</v>
      </c>
      <c r="E5189" s="24">
        <v>1.24</v>
      </c>
      <c r="F5189" s="23">
        <f>COUNTIFS(mdr_rate_cleaned!$A$2:$A$10,B5189,mdr_rate_cleaned!$B$2:$B$10,"&lt;"&amp;C5189,mdr_rate_cleaned!$F$2:$F$10,"&gt;="&amp;C5189)</f>
        <v>1</v>
      </c>
      <c r="G5189" s="40">
        <f>SUMIFS(mdr_rate_cleaned!$G$2:$G$10,mdr_rate_cleaned!$A$2:$A$10,B5189,mdr_rate_cleaned!$B$2:$B$10,"&lt;"&amp;C5189,mdr_rate_cleaned!$F$2:$F$10,"&gt;="&amp;C5189)</f>
        <v>3.0000000000000001E-3</v>
      </c>
      <c r="H5189" s="24">
        <f t="shared" si="405"/>
        <v>6.89</v>
      </c>
      <c r="I5189" s="23" t="str">
        <f t="shared" si="406"/>
        <v>Match</v>
      </c>
      <c r="J5189" s="23" t="str">
        <f t="shared" si="407"/>
        <v>Match</v>
      </c>
      <c r="K5189" s="24">
        <f t="shared" si="408"/>
        <v>1.24</v>
      </c>
      <c r="L5189" s="24">
        <f t="shared" si="409"/>
        <v>0</v>
      </c>
    </row>
    <row r="5190" spans="1:12" ht="15" customHeight="1" x14ac:dyDescent="0.3">
      <c r="A5190" s="23" t="s">
        <v>18612</v>
      </c>
      <c r="B5190" s="23" t="s">
        <v>75</v>
      </c>
      <c r="C5190" s="39">
        <v>7999</v>
      </c>
      <c r="D5190" s="24">
        <v>24</v>
      </c>
      <c r="E5190" s="24">
        <v>4.32</v>
      </c>
      <c r="F5190" s="23">
        <f>COUNTIFS(mdr_rate_cleaned!$A$2:$A$10,B5190,mdr_rate_cleaned!$B$2:$B$10,"&lt;"&amp;C5190,mdr_rate_cleaned!$F$2:$F$10,"&gt;="&amp;C5190)</f>
        <v>1</v>
      </c>
      <c r="G5190" s="40">
        <f>SUMIFS(mdr_rate_cleaned!$G$2:$G$10,mdr_rate_cleaned!$A$2:$A$10,B5190,mdr_rate_cleaned!$B$2:$B$10,"&lt;"&amp;C5190,mdr_rate_cleaned!$F$2:$F$10,"&gt;="&amp;C5190)</f>
        <v>3.0000000000000001E-3</v>
      </c>
      <c r="H5190" s="24">
        <f t="shared" si="405"/>
        <v>24</v>
      </c>
      <c r="I5190" s="23" t="str">
        <f t="shared" si="406"/>
        <v>Match</v>
      </c>
      <c r="J5190" s="23" t="str">
        <f t="shared" si="407"/>
        <v>Match</v>
      </c>
      <c r="K5190" s="24">
        <f t="shared" si="408"/>
        <v>4.32</v>
      </c>
      <c r="L5190" s="24">
        <f t="shared" si="409"/>
        <v>0</v>
      </c>
    </row>
    <row r="5191" spans="1:12" ht="15" customHeight="1" x14ac:dyDescent="0.3">
      <c r="A5191" s="23" t="s">
        <v>18613</v>
      </c>
      <c r="B5191" s="23" t="s">
        <v>75</v>
      </c>
      <c r="C5191" s="39">
        <v>2798</v>
      </c>
      <c r="D5191" s="24">
        <v>8.39</v>
      </c>
      <c r="E5191" s="24">
        <v>1.51</v>
      </c>
      <c r="F5191" s="23">
        <f>COUNTIFS(mdr_rate_cleaned!$A$2:$A$10,B5191,mdr_rate_cleaned!$B$2:$B$10,"&lt;"&amp;C5191,mdr_rate_cleaned!$F$2:$F$10,"&gt;="&amp;C5191)</f>
        <v>1</v>
      </c>
      <c r="G5191" s="40">
        <f>SUMIFS(mdr_rate_cleaned!$G$2:$G$10,mdr_rate_cleaned!$A$2:$A$10,B5191,mdr_rate_cleaned!$B$2:$B$10,"&lt;"&amp;C5191,mdr_rate_cleaned!$F$2:$F$10,"&gt;="&amp;C5191)</f>
        <v>3.0000000000000001E-3</v>
      </c>
      <c r="H5191" s="24">
        <f t="shared" si="405"/>
        <v>8.39</v>
      </c>
      <c r="I5191" s="23" t="str">
        <f t="shared" si="406"/>
        <v>Match</v>
      </c>
      <c r="J5191" s="23" t="str">
        <f t="shared" si="407"/>
        <v>Match</v>
      </c>
      <c r="K5191" s="24">
        <f t="shared" si="408"/>
        <v>1.51</v>
      </c>
      <c r="L5191" s="24">
        <f t="shared" si="409"/>
        <v>0</v>
      </c>
    </row>
    <row r="5192" spans="1:12" ht="15" customHeight="1" x14ac:dyDescent="0.3">
      <c r="A5192" s="23" t="s">
        <v>18614</v>
      </c>
      <c r="B5192" s="23" t="s">
        <v>81</v>
      </c>
      <c r="C5192" s="39">
        <v>12297</v>
      </c>
      <c r="D5192" s="24">
        <v>110.67</v>
      </c>
      <c r="E5192" s="24">
        <v>19.920000000000002</v>
      </c>
      <c r="F5192" s="23">
        <f>COUNTIFS(mdr_rate_cleaned!$A$2:$A$10,B5192,mdr_rate_cleaned!$B$2:$B$10,"&lt;"&amp;C5192,mdr_rate_cleaned!$F$2:$F$10,"&gt;="&amp;C5192)</f>
        <v>1</v>
      </c>
      <c r="G5192" s="40">
        <f>SUMIFS(mdr_rate_cleaned!$G$2:$G$10,mdr_rate_cleaned!$A$2:$A$10,B5192,mdr_rate_cleaned!$B$2:$B$10,"&lt;"&amp;C5192,mdr_rate_cleaned!$F$2:$F$10,"&gt;="&amp;C5192)</f>
        <v>9.0000000000000011E-3</v>
      </c>
      <c r="H5192" s="24">
        <f t="shared" si="405"/>
        <v>110.67</v>
      </c>
      <c r="I5192" s="23" t="str">
        <f t="shared" si="406"/>
        <v>Match</v>
      </c>
      <c r="J5192" s="23" t="str">
        <f t="shared" si="407"/>
        <v>Match</v>
      </c>
      <c r="K5192" s="24">
        <f t="shared" si="408"/>
        <v>19.920000000000002</v>
      </c>
      <c r="L5192" s="24">
        <f t="shared" si="409"/>
        <v>0</v>
      </c>
    </row>
    <row r="5193" spans="1:12" ht="15" customHeight="1" x14ac:dyDescent="0.3">
      <c r="A5193" s="23" t="s">
        <v>18615</v>
      </c>
      <c r="B5193" s="23" t="s">
        <v>75</v>
      </c>
      <c r="C5193" s="39">
        <v>1499</v>
      </c>
      <c r="D5193" s="24">
        <v>0</v>
      </c>
      <c r="E5193" s="24">
        <v>0</v>
      </c>
      <c r="F5193" s="23">
        <f>COUNTIFS(mdr_rate_cleaned!$A$2:$A$10,B5193,mdr_rate_cleaned!$B$2:$B$10,"&lt;"&amp;C5193,mdr_rate_cleaned!$F$2:$F$10,"&gt;="&amp;C5193)</f>
        <v>1</v>
      </c>
      <c r="G5193" s="40">
        <f>SUMIFS(mdr_rate_cleaned!$G$2:$G$10,mdr_rate_cleaned!$A$2:$A$10,B5193,mdr_rate_cleaned!$B$2:$B$10,"&lt;"&amp;C5193,mdr_rate_cleaned!$F$2:$F$10,"&gt;="&amp;C5193)</f>
        <v>0</v>
      </c>
      <c r="H5193" s="24">
        <f t="shared" si="405"/>
        <v>0</v>
      </c>
      <c r="I5193" s="23" t="str">
        <f t="shared" si="406"/>
        <v>Match</v>
      </c>
      <c r="J5193" s="23" t="str">
        <f t="shared" si="407"/>
        <v>Match</v>
      </c>
      <c r="K5193" s="24">
        <f t="shared" si="408"/>
        <v>0</v>
      </c>
      <c r="L5193" s="24">
        <f t="shared" si="409"/>
        <v>0</v>
      </c>
    </row>
    <row r="5194" spans="1:12" ht="15" customHeight="1" x14ac:dyDescent="0.3">
      <c r="A5194" s="23" t="s">
        <v>18616</v>
      </c>
      <c r="B5194" s="23" t="s">
        <v>75</v>
      </c>
      <c r="C5194" s="39">
        <v>10847</v>
      </c>
      <c r="D5194" s="24">
        <v>32.54</v>
      </c>
      <c r="E5194" s="24">
        <v>5.86</v>
      </c>
      <c r="F5194" s="23">
        <f>COUNTIFS(mdr_rate_cleaned!$A$2:$A$10,B5194,mdr_rate_cleaned!$B$2:$B$10,"&lt;"&amp;C5194,mdr_rate_cleaned!$F$2:$F$10,"&gt;="&amp;C5194)</f>
        <v>1</v>
      </c>
      <c r="G5194" s="40">
        <f>SUMIFS(mdr_rate_cleaned!$G$2:$G$10,mdr_rate_cleaned!$A$2:$A$10,B5194,mdr_rate_cleaned!$B$2:$B$10,"&lt;"&amp;C5194,mdr_rate_cleaned!$F$2:$F$10,"&gt;="&amp;C5194)</f>
        <v>3.0000000000000001E-3</v>
      </c>
      <c r="H5194" s="24">
        <f t="shared" si="405"/>
        <v>32.54</v>
      </c>
      <c r="I5194" s="23" t="str">
        <f t="shared" si="406"/>
        <v>Match</v>
      </c>
      <c r="J5194" s="23" t="str">
        <f t="shared" si="407"/>
        <v>Match</v>
      </c>
      <c r="K5194" s="24">
        <f t="shared" si="408"/>
        <v>5.86</v>
      </c>
      <c r="L5194" s="24">
        <f t="shared" si="409"/>
        <v>0</v>
      </c>
    </row>
    <row r="5195" spans="1:12" ht="15" customHeight="1" x14ac:dyDescent="0.3">
      <c r="A5195" s="23" t="s">
        <v>18617</v>
      </c>
      <c r="B5195" s="23" t="s">
        <v>77</v>
      </c>
      <c r="C5195" s="39">
        <v>7497</v>
      </c>
      <c r="D5195" s="24">
        <v>127.45</v>
      </c>
      <c r="E5195" s="24">
        <v>22.94</v>
      </c>
      <c r="F5195" s="23">
        <f>COUNTIFS(mdr_rate_cleaned!$A$2:$A$10,B5195,mdr_rate_cleaned!$B$2:$B$10,"&lt;"&amp;C5195,mdr_rate_cleaned!$F$2:$F$10,"&gt;="&amp;C5195)</f>
        <v>1</v>
      </c>
      <c r="G5195" s="40">
        <f>SUMIFS(mdr_rate_cleaned!$G$2:$G$10,mdr_rate_cleaned!$A$2:$A$10,B5195,mdr_rate_cleaned!$B$2:$B$10,"&lt;"&amp;C5195,mdr_rate_cleaned!$F$2:$F$10,"&gt;="&amp;C5195)</f>
        <v>1.7000000000000001E-2</v>
      </c>
      <c r="H5195" s="24">
        <f t="shared" si="405"/>
        <v>127.45</v>
      </c>
      <c r="I5195" s="23" t="str">
        <f t="shared" si="406"/>
        <v>Match</v>
      </c>
      <c r="J5195" s="23" t="str">
        <f t="shared" si="407"/>
        <v>Match</v>
      </c>
      <c r="K5195" s="24">
        <f t="shared" si="408"/>
        <v>22.94</v>
      </c>
      <c r="L5195" s="24">
        <f t="shared" si="409"/>
        <v>0</v>
      </c>
    </row>
    <row r="5196" spans="1:12" ht="15" customHeight="1" x14ac:dyDescent="0.3">
      <c r="A5196" s="23" t="s">
        <v>18619</v>
      </c>
      <c r="B5196" s="23" t="s">
        <v>75</v>
      </c>
      <c r="C5196" s="39">
        <v>6498</v>
      </c>
      <c r="D5196" s="24">
        <v>19.489999999999998</v>
      </c>
      <c r="E5196" s="24">
        <v>3.51</v>
      </c>
      <c r="F5196" s="23">
        <f>COUNTIFS(mdr_rate_cleaned!$A$2:$A$10,B5196,mdr_rate_cleaned!$B$2:$B$10,"&lt;"&amp;C5196,mdr_rate_cleaned!$F$2:$F$10,"&gt;="&amp;C5196)</f>
        <v>1</v>
      </c>
      <c r="G5196" s="40">
        <f>SUMIFS(mdr_rate_cleaned!$G$2:$G$10,mdr_rate_cleaned!$A$2:$A$10,B5196,mdr_rate_cleaned!$B$2:$B$10,"&lt;"&amp;C5196,mdr_rate_cleaned!$F$2:$F$10,"&gt;="&amp;C5196)</f>
        <v>3.0000000000000001E-3</v>
      </c>
      <c r="H5196" s="24">
        <f t="shared" si="405"/>
        <v>19.489999999999998</v>
      </c>
      <c r="I5196" s="23" t="str">
        <f t="shared" si="406"/>
        <v>Match</v>
      </c>
      <c r="J5196" s="23" t="str">
        <f t="shared" si="407"/>
        <v>Match</v>
      </c>
      <c r="K5196" s="24">
        <f t="shared" si="408"/>
        <v>3.51</v>
      </c>
      <c r="L5196" s="24">
        <f t="shared" si="409"/>
        <v>0</v>
      </c>
    </row>
    <row r="5197" spans="1:12" ht="15" customHeight="1" x14ac:dyDescent="0.3">
      <c r="A5197" s="23" t="s">
        <v>18621</v>
      </c>
      <c r="B5197" s="23" t="s">
        <v>79</v>
      </c>
      <c r="C5197" s="39">
        <v>3499</v>
      </c>
      <c r="D5197" s="24">
        <v>55.98</v>
      </c>
      <c r="E5197" s="24">
        <v>10.08</v>
      </c>
      <c r="F5197" s="23">
        <f>COUNTIFS(mdr_rate_cleaned!$A$2:$A$10,B5197,mdr_rate_cleaned!$B$2:$B$10,"&lt;"&amp;C5197,mdr_rate_cleaned!$F$2:$F$10,"&gt;="&amp;C5197)</f>
        <v>1</v>
      </c>
      <c r="G5197" s="40">
        <f>SUMIFS(mdr_rate_cleaned!$G$2:$G$10,mdr_rate_cleaned!$A$2:$A$10,B5197,mdr_rate_cleaned!$B$2:$B$10,"&lt;"&amp;C5197,mdr_rate_cleaned!$F$2:$F$10,"&gt;="&amp;C5197)</f>
        <v>1.6E-2</v>
      </c>
      <c r="H5197" s="24">
        <f t="shared" si="405"/>
        <v>55.98</v>
      </c>
      <c r="I5197" s="23" t="str">
        <f t="shared" si="406"/>
        <v>Match</v>
      </c>
      <c r="J5197" s="23" t="str">
        <f t="shared" si="407"/>
        <v>Match</v>
      </c>
      <c r="K5197" s="24">
        <f t="shared" si="408"/>
        <v>10.08</v>
      </c>
      <c r="L5197" s="24">
        <f t="shared" si="409"/>
        <v>0</v>
      </c>
    </row>
    <row r="5198" spans="1:12" ht="15" customHeight="1" x14ac:dyDescent="0.3">
      <c r="A5198" s="23" t="s">
        <v>18622</v>
      </c>
      <c r="B5198" s="23" t="s">
        <v>79</v>
      </c>
      <c r="C5198" s="39">
        <v>7498</v>
      </c>
      <c r="D5198" s="24">
        <v>119.97</v>
      </c>
      <c r="E5198" s="24">
        <v>21.59</v>
      </c>
      <c r="F5198" s="23">
        <f>COUNTIFS(mdr_rate_cleaned!$A$2:$A$10,B5198,mdr_rate_cleaned!$B$2:$B$10,"&lt;"&amp;C5198,mdr_rate_cleaned!$F$2:$F$10,"&gt;="&amp;C5198)</f>
        <v>1</v>
      </c>
      <c r="G5198" s="40">
        <f>SUMIFS(mdr_rate_cleaned!$G$2:$G$10,mdr_rate_cleaned!$A$2:$A$10,B5198,mdr_rate_cleaned!$B$2:$B$10,"&lt;"&amp;C5198,mdr_rate_cleaned!$F$2:$F$10,"&gt;="&amp;C5198)</f>
        <v>1.6E-2</v>
      </c>
      <c r="H5198" s="24">
        <f t="shared" si="405"/>
        <v>119.97</v>
      </c>
      <c r="I5198" s="23" t="str">
        <f t="shared" si="406"/>
        <v>Match</v>
      </c>
      <c r="J5198" s="23" t="str">
        <f t="shared" si="407"/>
        <v>Match</v>
      </c>
      <c r="K5198" s="24">
        <f t="shared" si="408"/>
        <v>21.59</v>
      </c>
      <c r="L5198" s="24">
        <f t="shared" si="409"/>
        <v>0</v>
      </c>
    </row>
    <row r="5199" spans="1:12" ht="15" customHeight="1" x14ac:dyDescent="0.3">
      <c r="A5199" s="23" t="s">
        <v>18623</v>
      </c>
      <c r="B5199" s="23" t="s">
        <v>77</v>
      </c>
      <c r="C5199" s="39">
        <v>3297</v>
      </c>
      <c r="D5199" s="24">
        <v>56.05</v>
      </c>
      <c r="E5199" s="24">
        <v>10.09</v>
      </c>
      <c r="F5199" s="23">
        <f>COUNTIFS(mdr_rate_cleaned!$A$2:$A$10,B5199,mdr_rate_cleaned!$B$2:$B$10,"&lt;"&amp;C5199,mdr_rate_cleaned!$F$2:$F$10,"&gt;="&amp;C5199)</f>
        <v>1</v>
      </c>
      <c r="G5199" s="40">
        <f>SUMIFS(mdr_rate_cleaned!$G$2:$G$10,mdr_rate_cleaned!$A$2:$A$10,B5199,mdr_rate_cleaned!$B$2:$B$10,"&lt;"&amp;C5199,mdr_rate_cleaned!$F$2:$F$10,"&gt;="&amp;C5199)</f>
        <v>1.7000000000000001E-2</v>
      </c>
      <c r="H5199" s="24">
        <f t="shared" si="405"/>
        <v>56.05</v>
      </c>
      <c r="I5199" s="23" t="str">
        <f t="shared" si="406"/>
        <v>Match</v>
      </c>
      <c r="J5199" s="23" t="str">
        <f t="shared" si="407"/>
        <v>Match</v>
      </c>
      <c r="K5199" s="24">
        <f t="shared" si="408"/>
        <v>10.09</v>
      </c>
      <c r="L5199" s="24">
        <f t="shared" si="409"/>
        <v>0</v>
      </c>
    </row>
    <row r="5200" spans="1:12" ht="15" customHeight="1" x14ac:dyDescent="0.3">
      <c r="A5200" s="23" t="s">
        <v>18624</v>
      </c>
      <c r="B5200" s="23" t="s">
        <v>79</v>
      </c>
      <c r="C5200" s="39">
        <v>4999</v>
      </c>
      <c r="D5200" s="24">
        <v>79.98</v>
      </c>
      <c r="E5200" s="24">
        <v>14.4</v>
      </c>
      <c r="F5200" s="23">
        <f>COUNTIFS(mdr_rate_cleaned!$A$2:$A$10,B5200,mdr_rate_cleaned!$B$2:$B$10,"&lt;"&amp;C5200,mdr_rate_cleaned!$F$2:$F$10,"&gt;="&amp;C5200)</f>
        <v>1</v>
      </c>
      <c r="G5200" s="40">
        <f>SUMIFS(mdr_rate_cleaned!$G$2:$G$10,mdr_rate_cleaned!$A$2:$A$10,B5200,mdr_rate_cleaned!$B$2:$B$10,"&lt;"&amp;C5200,mdr_rate_cleaned!$F$2:$F$10,"&gt;="&amp;C5200)</f>
        <v>1.6E-2</v>
      </c>
      <c r="H5200" s="24">
        <f t="shared" si="405"/>
        <v>79.98</v>
      </c>
      <c r="I5200" s="23" t="str">
        <f t="shared" si="406"/>
        <v>Match</v>
      </c>
      <c r="J5200" s="23" t="str">
        <f t="shared" si="407"/>
        <v>Match</v>
      </c>
      <c r="K5200" s="24">
        <f t="shared" si="408"/>
        <v>14.4</v>
      </c>
      <c r="L5200" s="24">
        <f t="shared" si="409"/>
        <v>0</v>
      </c>
    </row>
    <row r="5201" spans="1:12" ht="15" customHeight="1" x14ac:dyDescent="0.3">
      <c r="A5201" s="23" t="s">
        <v>18625</v>
      </c>
      <c r="B5201" s="23" t="s">
        <v>77</v>
      </c>
      <c r="C5201" s="39">
        <v>3497</v>
      </c>
      <c r="D5201" s="24">
        <v>59.45</v>
      </c>
      <c r="E5201" s="24">
        <v>10.7</v>
      </c>
      <c r="F5201" s="23">
        <f>COUNTIFS(mdr_rate_cleaned!$A$2:$A$10,B5201,mdr_rate_cleaned!$B$2:$B$10,"&lt;"&amp;C5201,mdr_rate_cleaned!$F$2:$F$10,"&gt;="&amp;C5201)</f>
        <v>1</v>
      </c>
      <c r="G5201" s="40">
        <f>SUMIFS(mdr_rate_cleaned!$G$2:$G$10,mdr_rate_cleaned!$A$2:$A$10,B5201,mdr_rate_cleaned!$B$2:$B$10,"&lt;"&amp;C5201,mdr_rate_cleaned!$F$2:$F$10,"&gt;="&amp;C5201)</f>
        <v>1.7000000000000001E-2</v>
      </c>
      <c r="H5201" s="24">
        <f t="shared" si="405"/>
        <v>59.45</v>
      </c>
      <c r="I5201" s="23" t="str">
        <f t="shared" si="406"/>
        <v>Match</v>
      </c>
      <c r="J5201" s="23" t="str">
        <f t="shared" si="407"/>
        <v>Match</v>
      </c>
      <c r="K5201" s="24">
        <f t="shared" si="408"/>
        <v>10.7</v>
      </c>
      <c r="L5201" s="24">
        <f t="shared" si="409"/>
        <v>0</v>
      </c>
    </row>
    <row r="5202" spans="1:12" ht="15" customHeight="1" x14ac:dyDescent="0.3">
      <c r="A5202" s="23" t="s">
        <v>18626</v>
      </c>
      <c r="B5202" s="23" t="s">
        <v>75</v>
      </c>
      <c r="C5202" s="39">
        <v>4999</v>
      </c>
      <c r="D5202" s="24">
        <v>15</v>
      </c>
      <c r="E5202" s="24">
        <v>2.7</v>
      </c>
      <c r="F5202" s="23">
        <f>COUNTIFS(mdr_rate_cleaned!$A$2:$A$10,B5202,mdr_rate_cleaned!$B$2:$B$10,"&lt;"&amp;C5202,mdr_rate_cleaned!$F$2:$F$10,"&gt;="&amp;C5202)</f>
        <v>1</v>
      </c>
      <c r="G5202" s="40">
        <f>SUMIFS(mdr_rate_cleaned!$G$2:$G$10,mdr_rate_cleaned!$A$2:$A$10,B5202,mdr_rate_cleaned!$B$2:$B$10,"&lt;"&amp;C5202,mdr_rate_cleaned!$F$2:$F$10,"&gt;="&amp;C5202)</f>
        <v>3.0000000000000001E-3</v>
      </c>
      <c r="H5202" s="24">
        <f t="shared" si="405"/>
        <v>15</v>
      </c>
      <c r="I5202" s="23" t="str">
        <f t="shared" si="406"/>
        <v>Match</v>
      </c>
      <c r="J5202" s="23" t="str">
        <f t="shared" si="407"/>
        <v>Match</v>
      </c>
      <c r="K5202" s="24">
        <f t="shared" si="408"/>
        <v>2.7</v>
      </c>
      <c r="L5202" s="24">
        <f t="shared" si="409"/>
        <v>0</v>
      </c>
    </row>
    <row r="5203" spans="1:12" ht="15" customHeight="1" x14ac:dyDescent="0.3">
      <c r="A5203" s="23" t="s">
        <v>18627</v>
      </c>
      <c r="B5203" s="23" t="s">
        <v>75</v>
      </c>
      <c r="C5203" s="39">
        <v>1299</v>
      </c>
      <c r="D5203" s="24">
        <v>0</v>
      </c>
      <c r="E5203" s="24">
        <v>0</v>
      </c>
      <c r="F5203" s="23">
        <f>COUNTIFS(mdr_rate_cleaned!$A$2:$A$10,B5203,mdr_rate_cleaned!$B$2:$B$10,"&lt;"&amp;C5203,mdr_rate_cleaned!$F$2:$F$10,"&gt;="&amp;C5203)</f>
        <v>1</v>
      </c>
      <c r="G5203" s="40">
        <f>SUMIFS(mdr_rate_cleaned!$G$2:$G$10,mdr_rate_cleaned!$A$2:$A$10,B5203,mdr_rate_cleaned!$B$2:$B$10,"&lt;"&amp;C5203,mdr_rate_cleaned!$F$2:$F$10,"&gt;="&amp;C5203)</f>
        <v>0</v>
      </c>
      <c r="H5203" s="24">
        <f t="shared" si="405"/>
        <v>0</v>
      </c>
      <c r="I5203" s="23" t="str">
        <f t="shared" si="406"/>
        <v>Match</v>
      </c>
      <c r="J5203" s="23" t="str">
        <f t="shared" si="407"/>
        <v>Match</v>
      </c>
      <c r="K5203" s="24">
        <f t="shared" si="408"/>
        <v>0</v>
      </c>
      <c r="L5203" s="24">
        <f t="shared" si="409"/>
        <v>0</v>
      </c>
    </row>
    <row r="5204" spans="1:12" ht="15" customHeight="1" x14ac:dyDescent="0.3">
      <c r="A5204" s="23" t="s">
        <v>18628</v>
      </c>
      <c r="B5204" s="23" t="s">
        <v>75</v>
      </c>
      <c r="C5204" s="39">
        <v>3298</v>
      </c>
      <c r="D5204" s="24">
        <v>9.89</v>
      </c>
      <c r="E5204" s="24">
        <v>1.78</v>
      </c>
      <c r="F5204" s="23">
        <f>COUNTIFS(mdr_rate_cleaned!$A$2:$A$10,B5204,mdr_rate_cleaned!$B$2:$B$10,"&lt;"&amp;C5204,mdr_rate_cleaned!$F$2:$F$10,"&gt;="&amp;C5204)</f>
        <v>1</v>
      </c>
      <c r="G5204" s="40">
        <f>SUMIFS(mdr_rate_cleaned!$G$2:$G$10,mdr_rate_cleaned!$A$2:$A$10,B5204,mdr_rate_cleaned!$B$2:$B$10,"&lt;"&amp;C5204,mdr_rate_cleaned!$F$2:$F$10,"&gt;="&amp;C5204)</f>
        <v>3.0000000000000001E-3</v>
      </c>
      <c r="H5204" s="24">
        <f t="shared" si="405"/>
        <v>9.89</v>
      </c>
      <c r="I5204" s="23" t="str">
        <f t="shared" si="406"/>
        <v>Match</v>
      </c>
      <c r="J5204" s="23" t="str">
        <f t="shared" si="407"/>
        <v>Match</v>
      </c>
      <c r="K5204" s="24">
        <f t="shared" si="408"/>
        <v>1.78</v>
      </c>
      <c r="L5204" s="24">
        <f t="shared" si="409"/>
        <v>0</v>
      </c>
    </row>
    <row r="5205" spans="1:12" ht="15" customHeight="1" x14ac:dyDescent="0.3">
      <c r="A5205" s="23" t="s">
        <v>18629</v>
      </c>
      <c r="B5205" s="23" t="s">
        <v>75</v>
      </c>
      <c r="C5205" s="39">
        <v>499</v>
      </c>
      <c r="D5205" s="24">
        <v>1.5</v>
      </c>
      <c r="E5205" s="24">
        <v>0.27</v>
      </c>
      <c r="F5205" s="23">
        <f>COUNTIFS(mdr_rate_cleaned!$A$2:$A$10,B5205,mdr_rate_cleaned!$B$2:$B$10,"&lt;"&amp;C5205,mdr_rate_cleaned!$F$2:$F$10,"&gt;="&amp;C5205)</f>
        <v>1</v>
      </c>
      <c r="G5205" s="40">
        <f>SUMIFS(mdr_rate_cleaned!$G$2:$G$10,mdr_rate_cleaned!$A$2:$A$10,B5205,mdr_rate_cleaned!$B$2:$B$10,"&lt;"&amp;C5205,mdr_rate_cleaned!$F$2:$F$10,"&gt;="&amp;C5205)</f>
        <v>0</v>
      </c>
      <c r="H5205" s="24">
        <f t="shared" si="405"/>
        <v>0</v>
      </c>
      <c r="I5205" s="23" t="str">
        <f t="shared" si="406"/>
        <v>Differs</v>
      </c>
      <c r="J5205" s="23" t="str">
        <f t="shared" si="407"/>
        <v>Match</v>
      </c>
      <c r="K5205" s="24">
        <f t="shared" si="408"/>
        <v>0</v>
      </c>
      <c r="L5205" s="24">
        <f t="shared" si="409"/>
        <v>1.77</v>
      </c>
    </row>
    <row r="5206" spans="1:12" ht="15" customHeight="1" x14ac:dyDescent="0.3">
      <c r="A5206" s="23" t="s">
        <v>18630</v>
      </c>
      <c r="B5206" s="23" t="s">
        <v>75</v>
      </c>
      <c r="C5206" s="39">
        <v>11297</v>
      </c>
      <c r="D5206" s="24">
        <v>33.89</v>
      </c>
      <c r="E5206" s="24">
        <v>6.1</v>
      </c>
      <c r="F5206" s="23">
        <f>COUNTIFS(mdr_rate_cleaned!$A$2:$A$10,B5206,mdr_rate_cleaned!$B$2:$B$10,"&lt;"&amp;C5206,mdr_rate_cleaned!$F$2:$F$10,"&gt;="&amp;C5206)</f>
        <v>1</v>
      </c>
      <c r="G5206" s="40">
        <f>SUMIFS(mdr_rate_cleaned!$G$2:$G$10,mdr_rate_cleaned!$A$2:$A$10,B5206,mdr_rate_cleaned!$B$2:$B$10,"&lt;"&amp;C5206,mdr_rate_cleaned!$F$2:$F$10,"&gt;="&amp;C5206)</f>
        <v>3.0000000000000001E-3</v>
      </c>
      <c r="H5206" s="24">
        <f t="shared" si="405"/>
        <v>33.89</v>
      </c>
      <c r="I5206" s="23" t="str">
        <f t="shared" si="406"/>
        <v>Match</v>
      </c>
      <c r="J5206" s="23" t="str">
        <f t="shared" si="407"/>
        <v>Match</v>
      </c>
      <c r="K5206" s="24">
        <f t="shared" si="408"/>
        <v>6.1</v>
      </c>
      <c r="L5206" s="24">
        <f t="shared" si="409"/>
        <v>0</v>
      </c>
    </row>
    <row r="5207" spans="1:12" ht="15" customHeight="1" x14ac:dyDescent="0.3">
      <c r="A5207" s="23" t="s">
        <v>18631</v>
      </c>
      <c r="B5207" s="23" t="s">
        <v>79</v>
      </c>
      <c r="C5207" s="39">
        <v>2798</v>
      </c>
      <c r="D5207" s="24">
        <v>44.77</v>
      </c>
      <c r="E5207" s="24">
        <v>8.06</v>
      </c>
      <c r="F5207" s="23">
        <f>COUNTIFS(mdr_rate_cleaned!$A$2:$A$10,B5207,mdr_rate_cleaned!$B$2:$B$10,"&lt;"&amp;C5207,mdr_rate_cleaned!$F$2:$F$10,"&gt;="&amp;C5207)</f>
        <v>1</v>
      </c>
      <c r="G5207" s="40">
        <f>SUMIFS(mdr_rate_cleaned!$G$2:$G$10,mdr_rate_cleaned!$A$2:$A$10,B5207,mdr_rate_cleaned!$B$2:$B$10,"&lt;"&amp;C5207,mdr_rate_cleaned!$F$2:$F$10,"&gt;="&amp;C5207)</f>
        <v>1.6E-2</v>
      </c>
      <c r="H5207" s="24">
        <f t="shared" si="405"/>
        <v>44.77</v>
      </c>
      <c r="I5207" s="23" t="str">
        <f t="shared" si="406"/>
        <v>Match</v>
      </c>
      <c r="J5207" s="23" t="str">
        <f t="shared" si="407"/>
        <v>Match</v>
      </c>
      <c r="K5207" s="24">
        <f t="shared" si="408"/>
        <v>8.06</v>
      </c>
      <c r="L5207" s="24">
        <f t="shared" si="409"/>
        <v>0</v>
      </c>
    </row>
    <row r="5208" spans="1:12" ht="15" customHeight="1" x14ac:dyDescent="0.3">
      <c r="A5208" s="23" t="s">
        <v>18632</v>
      </c>
      <c r="B5208" s="23" t="s">
        <v>75</v>
      </c>
      <c r="C5208" s="39">
        <v>4897</v>
      </c>
      <c r="D5208" s="24">
        <v>14.69</v>
      </c>
      <c r="E5208" s="24">
        <v>2.64</v>
      </c>
      <c r="F5208" s="23">
        <f>COUNTIFS(mdr_rate_cleaned!$A$2:$A$10,B5208,mdr_rate_cleaned!$B$2:$B$10,"&lt;"&amp;C5208,mdr_rate_cleaned!$F$2:$F$10,"&gt;="&amp;C5208)</f>
        <v>1</v>
      </c>
      <c r="G5208" s="40">
        <f>SUMIFS(mdr_rate_cleaned!$G$2:$G$10,mdr_rate_cleaned!$A$2:$A$10,B5208,mdr_rate_cleaned!$B$2:$B$10,"&lt;"&amp;C5208,mdr_rate_cleaned!$F$2:$F$10,"&gt;="&amp;C5208)</f>
        <v>3.0000000000000001E-3</v>
      </c>
      <c r="H5208" s="24">
        <f t="shared" si="405"/>
        <v>14.69</v>
      </c>
      <c r="I5208" s="23" t="str">
        <f t="shared" si="406"/>
        <v>Match</v>
      </c>
      <c r="J5208" s="23" t="str">
        <f t="shared" si="407"/>
        <v>Match</v>
      </c>
      <c r="K5208" s="24">
        <f t="shared" si="408"/>
        <v>2.64</v>
      </c>
      <c r="L5208" s="24">
        <f t="shared" si="409"/>
        <v>0</v>
      </c>
    </row>
    <row r="5209" spans="1:12" ht="15" customHeight="1" x14ac:dyDescent="0.3">
      <c r="A5209" s="23" t="s">
        <v>18633</v>
      </c>
      <c r="B5209" s="23" t="s">
        <v>77</v>
      </c>
      <c r="C5209" s="39">
        <v>1299</v>
      </c>
      <c r="D5209" s="24">
        <v>24.68</v>
      </c>
      <c r="E5209" s="24">
        <v>4.4400000000000004</v>
      </c>
      <c r="F5209" s="23">
        <f>COUNTIFS(mdr_rate_cleaned!$A$2:$A$10,B5209,mdr_rate_cleaned!$B$2:$B$10,"&lt;"&amp;C5209,mdr_rate_cleaned!$F$2:$F$10,"&gt;="&amp;C5209)</f>
        <v>1</v>
      </c>
      <c r="G5209" s="40">
        <f>SUMIFS(mdr_rate_cleaned!$G$2:$G$10,mdr_rate_cleaned!$A$2:$A$10,B5209,mdr_rate_cleaned!$B$2:$B$10,"&lt;"&amp;C5209,mdr_rate_cleaned!$F$2:$F$10,"&gt;="&amp;C5209)</f>
        <v>1.9E-2</v>
      </c>
      <c r="H5209" s="24">
        <f t="shared" si="405"/>
        <v>24.68</v>
      </c>
      <c r="I5209" s="23" t="str">
        <f t="shared" si="406"/>
        <v>Match</v>
      </c>
      <c r="J5209" s="23" t="str">
        <f t="shared" si="407"/>
        <v>Match</v>
      </c>
      <c r="K5209" s="24">
        <f t="shared" si="408"/>
        <v>4.4400000000000004</v>
      </c>
      <c r="L5209" s="24">
        <f t="shared" si="409"/>
        <v>0</v>
      </c>
    </row>
    <row r="5210" spans="1:12" ht="15" customHeight="1" x14ac:dyDescent="0.3">
      <c r="A5210" s="23" t="s">
        <v>18634</v>
      </c>
      <c r="B5210" s="23" t="s">
        <v>79</v>
      </c>
      <c r="C5210" s="39">
        <v>9397</v>
      </c>
      <c r="D5210" s="24">
        <v>150.35</v>
      </c>
      <c r="E5210" s="24">
        <v>27.06</v>
      </c>
      <c r="F5210" s="23">
        <f>COUNTIFS(mdr_rate_cleaned!$A$2:$A$10,B5210,mdr_rate_cleaned!$B$2:$B$10,"&lt;"&amp;C5210,mdr_rate_cleaned!$F$2:$F$10,"&gt;="&amp;C5210)</f>
        <v>1</v>
      </c>
      <c r="G5210" s="40">
        <f>SUMIFS(mdr_rate_cleaned!$G$2:$G$10,mdr_rate_cleaned!$A$2:$A$10,B5210,mdr_rate_cleaned!$B$2:$B$10,"&lt;"&amp;C5210,mdr_rate_cleaned!$F$2:$F$10,"&gt;="&amp;C5210)</f>
        <v>1.6E-2</v>
      </c>
      <c r="H5210" s="24">
        <f t="shared" si="405"/>
        <v>150.35</v>
      </c>
      <c r="I5210" s="23" t="str">
        <f t="shared" si="406"/>
        <v>Match</v>
      </c>
      <c r="J5210" s="23" t="str">
        <f t="shared" si="407"/>
        <v>Match</v>
      </c>
      <c r="K5210" s="24">
        <f t="shared" si="408"/>
        <v>27.06</v>
      </c>
      <c r="L5210" s="24">
        <f t="shared" si="409"/>
        <v>0</v>
      </c>
    </row>
    <row r="5211" spans="1:12" ht="15" customHeight="1" x14ac:dyDescent="0.3">
      <c r="A5211" s="23" t="s">
        <v>18635</v>
      </c>
      <c r="B5211" s="23" t="s">
        <v>75</v>
      </c>
      <c r="C5211" s="39">
        <v>2499</v>
      </c>
      <c r="D5211" s="24">
        <v>7.5</v>
      </c>
      <c r="E5211" s="24">
        <v>1.35</v>
      </c>
      <c r="F5211" s="23">
        <f>COUNTIFS(mdr_rate_cleaned!$A$2:$A$10,B5211,mdr_rate_cleaned!$B$2:$B$10,"&lt;"&amp;C5211,mdr_rate_cleaned!$F$2:$F$10,"&gt;="&amp;C5211)</f>
        <v>1</v>
      </c>
      <c r="G5211" s="40">
        <f>SUMIFS(mdr_rate_cleaned!$G$2:$G$10,mdr_rate_cleaned!$A$2:$A$10,B5211,mdr_rate_cleaned!$B$2:$B$10,"&lt;"&amp;C5211,mdr_rate_cleaned!$F$2:$F$10,"&gt;="&amp;C5211)</f>
        <v>3.0000000000000001E-3</v>
      </c>
      <c r="H5211" s="24">
        <f t="shared" si="405"/>
        <v>7.5</v>
      </c>
      <c r="I5211" s="23" t="str">
        <f t="shared" si="406"/>
        <v>Match</v>
      </c>
      <c r="J5211" s="23" t="str">
        <f t="shared" si="407"/>
        <v>Match</v>
      </c>
      <c r="K5211" s="24">
        <f t="shared" si="408"/>
        <v>1.35</v>
      </c>
      <c r="L5211" s="24">
        <f t="shared" si="409"/>
        <v>0</v>
      </c>
    </row>
    <row r="5212" spans="1:12" ht="15" customHeight="1" x14ac:dyDescent="0.3">
      <c r="A5212" s="23" t="s">
        <v>18636</v>
      </c>
      <c r="B5212" s="23" t="s">
        <v>79</v>
      </c>
      <c r="C5212" s="39">
        <v>6297</v>
      </c>
      <c r="D5212" s="24">
        <v>100.75</v>
      </c>
      <c r="E5212" s="24">
        <v>18.14</v>
      </c>
      <c r="F5212" s="23">
        <f>COUNTIFS(mdr_rate_cleaned!$A$2:$A$10,B5212,mdr_rate_cleaned!$B$2:$B$10,"&lt;"&amp;C5212,mdr_rate_cleaned!$F$2:$F$10,"&gt;="&amp;C5212)</f>
        <v>1</v>
      </c>
      <c r="G5212" s="40">
        <f>SUMIFS(mdr_rate_cleaned!$G$2:$G$10,mdr_rate_cleaned!$A$2:$A$10,B5212,mdr_rate_cleaned!$B$2:$B$10,"&lt;"&amp;C5212,mdr_rate_cleaned!$F$2:$F$10,"&gt;="&amp;C5212)</f>
        <v>1.6E-2</v>
      </c>
      <c r="H5212" s="24">
        <f t="shared" si="405"/>
        <v>100.75</v>
      </c>
      <c r="I5212" s="23" t="str">
        <f t="shared" si="406"/>
        <v>Match</v>
      </c>
      <c r="J5212" s="23" t="str">
        <f t="shared" si="407"/>
        <v>Match</v>
      </c>
      <c r="K5212" s="24">
        <f t="shared" si="408"/>
        <v>18.14</v>
      </c>
      <c r="L5212" s="24">
        <f t="shared" si="409"/>
        <v>0</v>
      </c>
    </row>
    <row r="5213" spans="1:12" ht="15" customHeight="1" x14ac:dyDescent="0.3">
      <c r="A5213" s="23" t="s">
        <v>18637</v>
      </c>
      <c r="B5213" s="23" t="s">
        <v>77</v>
      </c>
      <c r="C5213" s="39">
        <v>7998</v>
      </c>
      <c r="D5213" s="24">
        <v>135.97</v>
      </c>
      <c r="E5213" s="24">
        <v>24.47</v>
      </c>
      <c r="F5213" s="23">
        <f>COUNTIFS(mdr_rate_cleaned!$A$2:$A$10,B5213,mdr_rate_cleaned!$B$2:$B$10,"&lt;"&amp;C5213,mdr_rate_cleaned!$F$2:$F$10,"&gt;="&amp;C5213)</f>
        <v>1</v>
      </c>
      <c r="G5213" s="40">
        <f>SUMIFS(mdr_rate_cleaned!$G$2:$G$10,mdr_rate_cleaned!$A$2:$A$10,B5213,mdr_rate_cleaned!$B$2:$B$10,"&lt;"&amp;C5213,mdr_rate_cleaned!$F$2:$F$10,"&gt;="&amp;C5213)</f>
        <v>1.7000000000000001E-2</v>
      </c>
      <c r="H5213" s="24">
        <f t="shared" si="405"/>
        <v>135.97</v>
      </c>
      <c r="I5213" s="23" t="str">
        <f t="shared" si="406"/>
        <v>Match</v>
      </c>
      <c r="J5213" s="23" t="str">
        <f t="shared" si="407"/>
        <v>Match</v>
      </c>
      <c r="K5213" s="24">
        <f t="shared" si="408"/>
        <v>24.47</v>
      </c>
      <c r="L5213" s="24">
        <f t="shared" si="409"/>
        <v>0</v>
      </c>
    </row>
    <row r="5214" spans="1:12" ht="15" customHeight="1" x14ac:dyDescent="0.3">
      <c r="A5214" s="23" t="s">
        <v>18638</v>
      </c>
      <c r="B5214" s="23" t="s">
        <v>75</v>
      </c>
      <c r="C5214" s="39">
        <v>1848</v>
      </c>
      <c r="D5214" s="24">
        <v>0</v>
      </c>
      <c r="E5214" s="24">
        <v>0</v>
      </c>
      <c r="F5214" s="23">
        <f>COUNTIFS(mdr_rate_cleaned!$A$2:$A$10,B5214,mdr_rate_cleaned!$B$2:$B$10,"&lt;"&amp;C5214,mdr_rate_cleaned!$F$2:$F$10,"&gt;="&amp;C5214)</f>
        <v>1</v>
      </c>
      <c r="G5214" s="40">
        <f>SUMIFS(mdr_rate_cleaned!$G$2:$G$10,mdr_rate_cleaned!$A$2:$A$10,B5214,mdr_rate_cleaned!$B$2:$B$10,"&lt;"&amp;C5214,mdr_rate_cleaned!$F$2:$F$10,"&gt;="&amp;C5214)</f>
        <v>0</v>
      </c>
      <c r="H5214" s="24">
        <f t="shared" si="405"/>
        <v>0</v>
      </c>
      <c r="I5214" s="23" t="str">
        <f t="shared" si="406"/>
        <v>Match</v>
      </c>
      <c r="J5214" s="23" t="str">
        <f t="shared" si="407"/>
        <v>Match</v>
      </c>
      <c r="K5214" s="24">
        <f t="shared" si="408"/>
        <v>0</v>
      </c>
      <c r="L5214" s="24">
        <f t="shared" si="409"/>
        <v>0</v>
      </c>
    </row>
    <row r="5215" spans="1:12" ht="15" customHeight="1" x14ac:dyDescent="0.3">
      <c r="A5215" s="23" t="s">
        <v>18640</v>
      </c>
      <c r="B5215" s="23" t="s">
        <v>75</v>
      </c>
      <c r="C5215" s="39">
        <v>3998</v>
      </c>
      <c r="D5215" s="24">
        <v>11.99</v>
      </c>
      <c r="E5215" s="24">
        <v>2.16</v>
      </c>
      <c r="F5215" s="23">
        <f>COUNTIFS(mdr_rate_cleaned!$A$2:$A$10,B5215,mdr_rate_cleaned!$B$2:$B$10,"&lt;"&amp;C5215,mdr_rate_cleaned!$F$2:$F$10,"&gt;="&amp;C5215)</f>
        <v>1</v>
      </c>
      <c r="G5215" s="40">
        <f>SUMIFS(mdr_rate_cleaned!$G$2:$G$10,mdr_rate_cleaned!$A$2:$A$10,B5215,mdr_rate_cleaned!$B$2:$B$10,"&lt;"&amp;C5215,mdr_rate_cleaned!$F$2:$F$10,"&gt;="&amp;C5215)</f>
        <v>3.0000000000000001E-3</v>
      </c>
      <c r="H5215" s="24">
        <f t="shared" si="405"/>
        <v>11.99</v>
      </c>
      <c r="I5215" s="23" t="str">
        <f t="shared" si="406"/>
        <v>Match</v>
      </c>
      <c r="J5215" s="23" t="str">
        <f t="shared" si="407"/>
        <v>Match</v>
      </c>
      <c r="K5215" s="24">
        <f t="shared" si="408"/>
        <v>2.16</v>
      </c>
      <c r="L5215" s="24">
        <f t="shared" si="409"/>
        <v>0</v>
      </c>
    </row>
    <row r="5216" spans="1:12" ht="15" customHeight="1" x14ac:dyDescent="0.3">
      <c r="A5216" s="23" t="s">
        <v>18641</v>
      </c>
      <c r="B5216" s="23" t="s">
        <v>79</v>
      </c>
      <c r="C5216" s="39">
        <v>299</v>
      </c>
      <c r="D5216" s="24">
        <v>5.38</v>
      </c>
      <c r="E5216" s="24">
        <v>0.97</v>
      </c>
      <c r="F5216" s="23">
        <f>COUNTIFS(mdr_rate_cleaned!$A$2:$A$10,B5216,mdr_rate_cleaned!$B$2:$B$10,"&lt;"&amp;C5216,mdr_rate_cleaned!$F$2:$F$10,"&gt;="&amp;C5216)</f>
        <v>1</v>
      </c>
      <c r="G5216" s="40">
        <f>SUMIFS(mdr_rate_cleaned!$G$2:$G$10,mdr_rate_cleaned!$A$2:$A$10,B5216,mdr_rate_cleaned!$B$2:$B$10,"&lt;"&amp;C5216,mdr_rate_cleaned!$F$2:$F$10,"&gt;="&amp;C5216)</f>
        <v>1.8000000000000002E-2</v>
      </c>
      <c r="H5216" s="24">
        <f t="shared" si="405"/>
        <v>5.38</v>
      </c>
      <c r="I5216" s="23" t="str">
        <f t="shared" si="406"/>
        <v>Match</v>
      </c>
      <c r="J5216" s="23" t="str">
        <f t="shared" si="407"/>
        <v>Match</v>
      </c>
      <c r="K5216" s="24">
        <f t="shared" si="408"/>
        <v>0.97</v>
      </c>
      <c r="L5216" s="24">
        <f t="shared" si="409"/>
        <v>0</v>
      </c>
    </row>
    <row r="5217" spans="1:12" ht="15" customHeight="1" x14ac:dyDescent="0.3">
      <c r="A5217" s="23" t="s">
        <v>18642</v>
      </c>
      <c r="B5217" s="23" t="s">
        <v>75</v>
      </c>
      <c r="C5217" s="39">
        <v>299</v>
      </c>
      <c r="D5217" s="24">
        <v>0</v>
      </c>
      <c r="E5217" s="24">
        <v>0</v>
      </c>
      <c r="F5217" s="23">
        <f>COUNTIFS(mdr_rate_cleaned!$A$2:$A$10,B5217,mdr_rate_cleaned!$B$2:$B$10,"&lt;"&amp;C5217,mdr_rate_cleaned!$F$2:$F$10,"&gt;="&amp;C5217)</f>
        <v>1</v>
      </c>
      <c r="G5217" s="40">
        <f>SUMIFS(mdr_rate_cleaned!$G$2:$G$10,mdr_rate_cleaned!$A$2:$A$10,B5217,mdr_rate_cleaned!$B$2:$B$10,"&lt;"&amp;C5217,mdr_rate_cleaned!$F$2:$F$10,"&gt;="&amp;C5217)</f>
        <v>0</v>
      </c>
      <c r="H5217" s="24">
        <f t="shared" si="405"/>
        <v>0</v>
      </c>
      <c r="I5217" s="23" t="str">
        <f t="shared" si="406"/>
        <v>Match</v>
      </c>
      <c r="J5217" s="23" t="str">
        <f t="shared" si="407"/>
        <v>Match</v>
      </c>
      <c r="K5217" s="24">
        <f t="shared" si="408"/>
        <v>0</v>
      </c>
      <c r="L5217" s="24">
        <f t="shared" si="409"/>
        <v>0</v>
      </c>
    </row>
    <row r="5218" spans="1:12" ht="15" customHeight="1" x14ac:dyDescent="0.3">
      <c r="A5218" s="23" t="s">
        <v>18644</v>
      </c>
      <c r="B5218" s="23" t="s">
        <v>77</v>
      </c>
      <c r="C5218" s="39">
        <v>2499</v>
      </c>
      <c r="D5218" s="24">
        <v>42.48</v>
      </c>
      <c r="E5218" s="24">
        <v>7.65</v>
      </c>
      <c r="F5218" s="23">
        <f>COUNTIFS(mdr_rate_cleaned!$A$2:$A$10,B5218,mdr_rate_cleaned!$B$2:$B$10,"&lt;"&amp;C5218,mdr_rate_cleaned!$F$2:$F$10,"&gt;="&amp;C5218)</f>
        <v>1</v>
      </c>
      <c r="G5218" s="40">
        <f>SUMIFS(mdr_rate_cleaned!$G$2:$G$10,mdr_rate_cleaned!$A$2:$A$10,B5218,mdr_rate_cleaned!$B$2:$B$10,"&lt;"&amp;C5218,mdr_rate_cleaned!$F$2:$F$10,"&gt;="&amp;C5218)</f>
        <v>1.7000000000000001E-2</v>
      </c>
      <c r="H5218" s="24">
        <f t="shared" si="405"/>
        <v>42.48</v>
      </c>
      <c r="I5218" s="23" t="str">
        <f t="shared" si="406"/>
        <v>Match</v>
      </c>
      <c r="J5218" s="23" t="str">
        <f t="shared" si="407"/>
        <v>Match</v>
      </c>
      <c r="K5218" s="24">
        <f t="shared" si="408"/>
        <v>7.65</v>
      </c>
      <c r="L5218" s="24">
        <f t="shared" si="409"/>
        <v>0</v>
      </c>
    </row>
    <row r="5219" spans="1:12" ht="15" customHeight="1" x14ac:dyDescent="0.3">
      <c r="A5219" s="23" t="s">
        <v>18645</v>
      </c>
      <c r="B5219" s="23" t="s">
        <v>75</v>
      </c>
      <c r="C5219" s="39">
        <v>4999</v>
      </c>
      <c r="D5219" s="24">
        <v>15</v>
      </c>
      <c r="E5219" s="24">
        <v>2.7</v>
      </c>
      <c r="F5219" s="23">
        <f>COUNTIFS(mdr_rate_cleaned!$A$2:$A$10,B5219,mdr_rate_cleaned!$B$2:$B$10,"&lt;"&amp;C5219,mdr_rate_cleaned!$F$2:$F$10,"&gt;="&amp;C5219)</f>
        <v>1</v>
      </c>
      <c r="G5219" s="40">
        <f>SUMIFS(mdr_rate_cleaned!$G$2:$G$10,mdr_rate_cleaned!$A$2:$A$10,B5219,mdr_rate_cleaned!$B$2:$B$10,"&lt;"&amp;C5219,mdr_rate_cleaned!$F$2:$F$10,"&gt;="&amp;C5219)</f>
        <v>3.0000000000000001E-3</v>
      </c>
      <c r="H5219" s="24">
        <f t="shared" si="405"/>
        <v>15</v>
      </c>
      <c r="I5219" s="23" t="str">
        <f t="shared" si="406"/>
        <v>Match</v>
      </c>
      <c r="J5219" s="23" t="str">
        <f t="shared" si="407"/>
        <v>Match</v>
      </c>
      <c r="K5219" s="24">
        <f t="shared" si="408"/>
        <v>2.7</v>
      </c>
      <c r="L5219" s="24">
        <f t="shared" si="409"/>
        <v>0</v>
      </c>
    </row>
    <row r="5220" spans="1:12" ht="15" customHeight="1" x14ac:dyDescent="0.3">
      <c r="A5220" s="23" t="s">
        <v>18646</v>
      </c>
      <c r="B5220" s="23" t="s">
        <v>75</v>
      </c>
      <c r="C5220" s="39">
        <v>4298</v>
      </c>
      <c r="D5220" s="24">
        <v>12.89</v>
      </c>
      <c r="E5220" s="24">
        <v>2.3199999999999998</v>
      </c>
      <c r="F5220" s="23">
        <f>COUNTIFS(mdr_rate_cleaned!$A$2:$A$10,B5220,mdr_rate_cleaned!$B$2:$B$10,"&lt;"&amp;C5220,mdr_rate_cleaned!$F$2:$F$10,"&gt;="&amp;C5220)</f>
        <v>1</v>
      </c>
      <c r="G5220" s="40">
        <f>SUMIFS(mdr_rate_cleaned!$G$2:$G$10,mdr_rate_cleaned!$A$2:$A$10,B5220,mdr_rate_cleaned!$B$2:$B$10,"&lt;"&amp;C5220,mdr_rate_cleaned!$F$2:$F$10,"&gt;="&amp;C5220)</f>
        <v>3.0000000000000001E-3</v>
      </c>
      <c r="H5220" s="24">
        <f t="shared" si="405"/>
        <v>12.89</v>
      </c>
      <c r="I5220" s="23" t="str">
        <f t="shared" si="406"/>
        <v>Match</v>
      </c>
      <c r="J5220" s="23" t="str">
        <f t="shared" si="407"/>
        <v>Match</v>
      </c>
      <c r="K5220" s="24">
        <f t="shared" si="408"/>
        <v>2.3199999999999998</v>
      </c>
      <c r="L5220" s="24">
        <f t="shared" si="409"/>
        <v>0</v>
      </c>
    </row>
    <row r="5221" spans="1:12" ht="15" customHeight="1" x14ac:dyDescent="0.3">
      <c r="A5221" s="23" t="s">
        <v>18647</v>
      </c>
      <c r="B5221" s="23" t="s">
        <v>75</v>
      </c>
      <c r="C5221" s="39">
        <v>998</v>
      </c>
      <c r="D5221" s="24">
        <v>0</v>
      </c>
      <c r="E5221" s="24">
        <v>0</v>
      </c>
      <c r="F5221" s="23">
        <f>COUNTIFS(mdr_rate_cleaned!$A$2:$A$10,B5221,mdr_rate_cleaned!$B$2:$B$10,"&lt;"&amp;C5221,mdr_rate_cleaned!$F$2:$F$10,"&gt;="&amp;C5221)</f>
        <v>1</v>
      </c>
      <c r="G5221" s="40">
        <f>SUMIFS(mdr_rate_cleaned!$G$2:$G$10,mdr_rate_cleaned!$A$2:$A$10,B5221,mdr_rate_cleaned!$B$2:$B$10,"&lt;"&amp;C5221,mdr_rate_cleaned!$F$2:$F$10,"&gt;="&amp;C5221)</f>
        <v>0</v>
      </c>
      <c r="H5221" s="24">
        <f t="shared" si="405"/>
        <v>0</v>
      </c>
      <c r="I5221" s="23" t="str">
        <f t="shared" si="406"/>
        <v>Match</v>
      </c>
      <c r="J5221" s="23" t="str">
        <f t="shared" si="407"/>
        <v>Match</v>
      </c>
      <c r="K5221" s="24">
        <f t="shared" si="408"/>
        <v>0</v>
      </c>
      <c r="L5221" s="24">
        <f t="shared" si="409"/>
        <v>0</v>
      </c>
    </row>
    <row r="5222" spans="1:12" ht="15" customHeight="1" x14ac:dyDescent="0.3">
      <c r="A5222" s="23" t="s">
        <v>18648</v>
      </c>
      <c r="B5222" s="23" t="s">
        <v>75</v>
      </c>
      <c r="C5222" s="39">
        <v>599</v>
      </c>
      <c r="D5222" s="24">
        <v>0</v>
      </c>
      <c r="E5222" s="24">
        <v>0</v>
      </c>
      <c r="F5222" s="23">
        <f>COUNTIFS(mdr_rate_cleaned!$A$2:$A$10,B5222,mdr_rate_cleaned!$B$2:$B$10,"&lt;"&amp;C5222,mdr_rate_cleaned!$F$2:$F$10,"&gt;="&amp;C5222)</f>
        <v>1</v>
      </c>
      <c r="G5222" s="40">
        <f>SUMIFS(mdr_rate_cleaned!$G$2:$G$10,mdr_rate_cleaned!$A$2:$A$10,B5222,mdr_rate_cleaned!$B$2:$B$10,"&lt;"&amp;C5222,mdr_rate_cleaned!$F$2:$F$10,"&gt;="&amp;C5222)</f>
        <v>0</v>
      </c>
      <c r="H5222" s="24">
        <f t="shared" si="405"/>
        <v>0</v>
      </c>
      <c r="I5222" s="23" t="str">
        <f t="shared" si="406"/>
        <v>Match</v>
      </c>
      <c r="J5222" s="23" t="str">
        <f t="shared" si="407"/>
        <v>Match</v>
      </c>
      <c r="K5222" s="24">
        <f t="shared" si="408"/>
        <v>0</v>
      </c>
      <c r="L5222" s="24">
        <f t="shared" si="409"/>
        <v>0</v>
      </c>
    </row>
    <row r="5223" spans="1:12" ht="15" customHeight="1" x14ac:dyDescent="0.3">
      <c r="A5223" s="23" t="s">
        <v>18649</v>
      </c>
      <c r="B5223" s="23" t="s">
        <v>77</v>
      </c>
      <c r="C5223" s="39">
        <v>8797</v>
      </c>
      <c r="D5223" s="24">
        <v>149.55000000000001</v>
      </c>
      <c r="E5223" s="24">
        <v>26.92</v>
      </c>
      <c r="F5223" s="23">
        <f>COUNTIFS(mdr_rate_cleaned!$A$2:$A$10,B5223,mdr_rate_cleaned!$B$2:$B$10,"&lt;"&amp;C5223,mdr_rate_cleaned!$F$2:$F$10,"&gt;="&amp;C5223)</f>
        <v>1</v>
      </c>
      <c r="G5223" s="40">
        <f>SUMIFS(mdr_rate_cleaned!$G$2:$G$10,mdr_rate_cleaned!$A$2:$A$10,B5223,mdr_rate_cleaned!$B$2:$B$10,"&lt;"&amp;C5223,mdr_rate_cleaned!$F$2:$F$10,"&gt;="&amp;C5223)</f>
        <v>1.7000000000000001E-2</v>
      </c>
      <c r="H5223" s="24">
        <f t="shared" si="405"/>
        <v>149.55000000000001</v>
      </c>
      <c r="I5223" s="23" t="str">
        <f t="shared" si="406"/>
        <v>Match</v>
      </c>
      <c r="J5223" s="23" t="str">
        <f t="shared" si="407"/>
        <v>Match</v>
      </c>
      <c r="K5223" s="24">
        <f t="shared" si="408"/>
        <v>26.92</v>
      </c>
      <c r="L5223" s="24">
        <f t="shared" si="409"/>
        <v>0</v>
      </c>
    </row>
    <row r="5224" spans="1:12" ht="15" customHeight="1" x14ac:dyDescent="0.3">
      <c r="A5224" s="23" t="s">
        <v>18651</v>
      </c>
      <c r="B5224" s="23" t="s">
        <v>75</v>
      </c>
      <c r="C5224" s="39">
        <v>999</v>
      </c>
      <c r="D5224" s="24">
        <v>0</v>
      </c>
      <c r="E5224" s="24">
        <v>0</v>
      </c>
      <c r="F5224" s="23">
        <f>COUNTIFS(mdr_rate_cleaned!$A$2:$A$10,B5224,mdr_rate_cleaned!$B$2:$B$10,"&lt;"&amp;C5224,mdr_rate_cleaned!$F$2:$F$10,"&gt;="&amp;C5224)</f>
        <v>1</v>
      </c>
      <c r="G5224" s="40">
        <f>SUMIFS(mdr_rate_cleaned!$G$2:$G$10,mdr_rate_cleaned!$A$2:$A$10,B5224,mdr_rate_cleaned!$B$2:$B$10,"&lt;"&amp;C5224,mdr_rate_cleaned!$F$2:$F$10,"&gt;="&amp;C5224)</f>
        <v>0</v>
      </c>
      <c r="H5224" s="24">
        <f t="shared" si="405"/>
        <v>0</v>
      </c>
      <c r="I5224" s="23" t="str">
        <f t="shared" si="406"/>
        <v>Match</v>
      </c>
      <c r="J5224" s="23" t="str">
        <f t="shared" si="407"/>
        <v>Match</v>
      </c>
      <c r="K5224" s="24">
        <f t="shared" si="408"/>
        <v>0</v>
      </c>
      <c r="L5224" s="24">
        <f t="shared" si="409"/>
        <v>0</v>
      </c>
    </row>
    <row r="5225" spans="1:12" ht="15" customHeight="1" x14ac:dyDescent="0.3">
      <c r="A5225" s="23" t="s">
        <v>18652</v>
      </c>
      <c r="B5225" s="23" t="s">
        <v>75</v>
      </c>
      <c r="C5225" s="39">
        <v>1299</v>
      </c>
      <c r="D5225" s="24">
        <v>0</v>
      </c>
      <c r="E5225" s="24">
        <v>0</v>
      </c>
      <c r="F5225" s="23">
        <f>COUNTIFS(mdr_rate_cleaned!$A$2:$A$10,B5225,mdr_rate_cleaned!$B$2:$B$10,"&lt;"&amp;C5225,mdr_rate_cleaned!$F$2:$F$10,"&gt;="&amp;C5225)</f>
        <v>1</v>
      </c>
      <c r="G5225" s="40">
        <f>SUMIFS(mdr_rate_cleaned!$G$2:$G$10,mdr_rate_cleaned!$A$2:$A$10,B5225,mdr_rate_cleaned!$B$2:$B$10,"&lt;"&amp;C5225,mdr_rate_cleaned!$F$2:$F$10,"&gt;="&amp;C5225)</f>
        <v>0</v>
      </c>
      <c r="H5225" s="24">
        <f t="shared" si="405"/>
        <v>0</v>
      </c>
      <c r="I5225" s="23" t="str">
        <f t="shared" si="406"/>
        <v>Match</v>
      </c>
      <c r="J5225" s="23" t="str">
        <f t="shared" si="407"/>
        <v>Match</v>
      </c>
      <c r="K5225" s="24">
        <f t="shared" si="408"/>
        <v>0</v>
      </c>
      <c r="L5225" s="24">
        <f t="shared" si="409"/>
        <v>0</v>
      </c>
    </row>
    <row r="5226" spans="1:12" ht="15" customHeight="1" x14ac:dyDescent="0.3">
      <c r="A5226" s="23" t="s">
        <v>18654</v>
      </c>
      <c r="B5226" s="23" t="s">
        <v>75</v>
      </c>
      <c r="C5226" s="39">
        <v>799</v>
      </c>
      <c r="D5226" s="24">
        <v>2.4</v>
      </c>
      <c r="E5226" s="24">
        <v>0.43</v>
      </c>
      <c r="F5226" s="23">
        <f>COUNTIFS(mdr_rate_cleaned!$A$2:$A$10,B5226,mdr_rate_cleaned!$B$2:$B$10,"&lt;"&amp;C5226,mdr_rate_cleaned!$F$2:$F$10,"&gt;="&amp;C5226)</f>
        <v>1</v>
      </c>
      <c r="G5226" s="40">
        <f>SUMIFS(mdr_rate_cleaned!$G$2:$G$10,mdr_rate_cleaned!$A$2:$A$10,B5226,mdr_rate_cleaned!$B$2:$B$10,"&lt;"&amp;C5226,mdr_rate_cleaned!$F$2:$F$10,"&gt;="&amp;C5226)</f>
        <v>0</v>
      </c>
      <c r="H5226" s="24">
        <f t="shared" si="405"/>
        <v>0</v>
      </c>
      <c r="I5226" s="23" t="str">
        <f t="shared" si="406"/>
        <v>Differs</v>
      </c>
      <c r="J5226" s="23" t="str">
        <f t="shared" si="407"/>
        <v>Match</v>
      </c>
      <c r="K5226" s="24">
        <f t="shared" si="408"/>
        <v>0</v>
      </c>
      <c r="L5226" s="24">
        <f t="shared" si="409"/>
        <v>2.83</v>
      </c>
    </row>
    <row r="5227" spans="1:12" ht="15" customHeight="1" x14ac:dyDescent="0.3">
      <c r="A5227" s="23" t="s">
        <v>18655</v>
      </c>
      <c r="B5227" s="23" t="s">
        <v>77</v>
      </c>
      <c r="C5227" s="39">
        <v>3147</v>
      </c>
      <c r="D5227" s="24">
        <v>53.5</v>
      </c>
      <c r="E5227" s="24">
        <v>9.6300000000000008</v>
      </c>
      <c r="F5227" s="23">
        <f>COUNTIFS(mdr_rate_cleaned!$A$2:$A$10,B5227,mdr_rate_cleaned!$B$2:$B$10,"&lt;"&amp;C5227,mdr_rate_cleaned!$F$2:$F$10,"&gt;="&amp;C5227)</f>
        <v>1</v>
      </c>
      <c r="G5227" s="40">
        <f>SUMIFS(mdr_rate_cleaned!$G$2:$G$10,mdr_rate_cleaned!$A$2:$A$10,B5227,mdr_rate_cleaned!$B$2:$B$10,"&lt;"&amp;C5227,mdr_rate_cleaned!$F$2:$F$10,"&gt;="&amp;C5227)</f>
        <v>1.7000000000000001E-2</v>
      </c>
      <c r="H5227" s="24">
        <f t="shared" si="405"/>
        <v>53.5</v>
      </c>
      <c r="I5227" s="23" t="str">
        <f t="shared" si="406"/>
        <v>Match</v>
      </c>
      <c r="J5227" s="23" t="str">
        <f t="shared" si="407"/>
        <v>Match</v>
      </c>
      <c r="K5227" s="24">
        <f t="shared" si="408"/>
        <v>9.6300000000000008</v>
      </c>
      <c r="L5227" s="24">
        <f t="shared" si="409"/>
        <v>0</v>
      </c>
    </row>
    <row r="5228" spans="1:12" ht="15" customHeight="1" x14ac:dyDescent="0.3">
      <c r="A5228" s="23" t="s">
        <v>18657</v>
      </c>
      <c r="B5228" s="23" t="s">
        <v>75</v>
      </c>
      <c r="C5228" s="39">
        <v>8598</v>
      </c>
      <c r="D5228" s="24">
        <v>25.79</v>
      </c>
      <c r="E5228" s="24">
        <v>4.6399999999999997</v>
      </c>
      <c r="F5228" s="23">
        <f>COUNTIFS(mdr_rate_cleaned!$A$2:$A$10,B5228,mdr_rate_cleaned!$B$2:$B$10,"&lt;"&amp;C5228,mdr_rate_cleaned!$F$2:$F$10,"&gt;="&amp;C5228)</f>
        <v>1</v>
      </c>
      <c r="G5228" s="40">
        <f>SUMIFS(mdr_rate_cleaned!$G$2:$G$10,mdr_rate_cleaned!$A$2:$A$10,B5228,mdr_rate_cleaned!$B$2:$B$10,"&lt;"&amp;C5228,mdr_rate_cleaned!$F$2:$F$10,"&gt;="&amp;C5228)</f>
        <v>3.0000000000000001E-3</v>
      </c>
      <c r="H5228" s="24">
        <f t="shared" si="405"/>
        <v>25.79</v>
      </c>
      <c r="I5228" s="23" t="str">
        <f t="shared" si="406"/>
        <v>Match</v>
      </c>
      <c r="J5228" s="23" t="str">
        <f t="shared" si="407"/>
        <v>Match</v>
      </c>
      <c r="K5228" s="24">
        <f t="shared" si="408"/>
        <v>4.6399999999999997</v>
      </c>
      <c r="L5228" s="24">
        <f t="shared" si="409"/>
        <v>0</v>
      </c>
    </row>
    <row r="5229" spans="1:12" ht="15" customHeight="1" x14ac:dyDescent="0.3">
      <c r="A5229" s="23" t="s">
        <v>18658</v>
      </c>
      <c r="B5229" s="23" t="s">
        <v>79</v>
      </c>
      <c r="C5229" s="39">
        <v>799</v>
      </c>
      <c r="D5229" s="24">
        <v>14.38</v>
      </c>
      <c r="E5229" s="24">
        <v>2.59</v>
      </c>
      <c r="F5229" s="23">
        <f>COUNTIFS(mdr_rate_cleaned!$A$2:$A$10,B5229,mdr_rate_cleaned!$B$2:$B$10,"&lt;"&amp;C5229,mdr_rate_cleaned!$F$2:$F$10,"&gt;="&amp;C5229)</f>
        <v>1</v>
      </c>
      <c r="G5229" s="40">
        <f>SUMIFS(mdr_rate_cleaned!$G$2:$G$10,mdr_rate_cleaned!$A$2:$A$10,B5229,mdr_rate_cleaned!$B$2:$B$10,"&lt;"&amp;C5229,mdr_rate_cleaned!$F$2:$F$10,"&gt;="&amp;C5229)</f>
        <v>1.8000000000000002E-2</v>
      </c>
      <c r="H5229" s="24">
        <f t="shared" si="405"/>
        <v>14.38</v>
      </c>
      <c r="I5229" s="23" t="str">
        <f t="shared" si="406"/>
        <v>Match</v>
      </c>
      <c r="J5229" s="23" t="str">
        <f t="shared" si="407"/>
        <v>Match</v>
      </c>
      <c r="K5229" s="24">
        <f t="shared" si="408"/>
        <v>2.59</v>
      </c>
      <c r="L5229" s="24">
        <f t="shared" si="409"/>
        <v>0</v>
      </c>
    </row>
    <row r="5230" spans="1:12" ht="15" customHeight="1" x14ac:dyDescent="0.3">
      <c r="A5230" s="23" t="s">
        <v>18660</v>
      </c>
      <c r="B5230" s="23" t="s">
        <v>75</v>
      </c>
      <c r="C5230" s="39">
        <v>12797</v>
      </c>
      <c r="D5230" s="24">
        <v>38.39</v>
      </c>
      <c r="E5230" s="24">
        <v>6.91</v>
      </c>
      <c r="F5230" s="23">
        <f>COUNTIFS(mdr_rate_cleaned!$A$2:$A$10,B5230,mdr_rate_cleaned!$B$2:$B$10,"&lt;"&amp;C5230,mdr_rate_cleaned!$F$2:$F$10,"&gt;="&amp;C5230)</f>
        <v>1</v>
      </c>
      <c r="G5230" s="40">
        <f>SUMIFS(mdr_rate_cleaned!$G$2:$G$10,mdr_rate_cleaned!$A$2:$A$10,B5230,mdr_rate_cleaned!$B$2:$B$10,"&lt;"&amp;C5230,mdr_rate_cleaned!$F$2:$F$10,"&gt;="&amp;C5230)</f>
        <v>3.0000000000000001E-3</v>
      </c>
      <c r="H5230" s="24">
        <f t="shared" si="405"/>
        <v>38.39</v>
      </c>
      <c r="I5230" s="23" t="str">
        <f t="shared" si="406"/>
        <v>Match</v>
      </c>
      <c r="J5230" s="23" t="str">
        <f t="shared" si="407"/>
        <v>Match</v>
      </c>
      <c r="K5230" s="24">
        <f t="shared" si="408"/>
        <v>6.91</v>
      </c>
      <c r="L5230" s="24">
        <f t="shared" si="409"/>
        <v>0</v>
      </c>
    </row>
    <row r="5231" spans="1:12" ht="15" customHeight="1" x14ac:dyDescent="0.3">
      <c r="A5231" s="23" t="s">
        <v>18661</v>
      </c>
      <c r="B5231" s="23" t="s">
        <v>79</v>
      </c>
      <c r="C5231" s="39">
        <v>3147</v>
      </c>
      <c r="D5231" s="24">
        <v>50.35</v>
      </c>
      <c r="E5231" s="24">
        <v>9.06</v>
      </c>
      <c r="F5231" s="23">
        <f>COUNTIFS(mdr_rate_cleaned!$A$2:$A$10,B5231,mdr_rate_cleaned!$B$2:$B$10,"&lt;"&amp;C5231,mdr_rate_cleaned!$F$2:$F$10,"&gt;="&amp;C5231)</f>
        <v>1</v>
      </c>
      <c r="G5231" s="40">
        <f>SUMIFS(mdr_rate_cleaned!$G$2:$G$10,mdr_rate_cleaned!$A$2:$A$10,B5231,mdr_rate_cleaned!$B$2:$B$10,"&lt;"&amp;C5231,mdr_rate_cleaned!$F$2:$F$10,"&gt;="&amp;C5231)</f>
        <v>1.6E-2</v>
      </c>
      <c r="H5231" s="24">
        <f t="shared" si="405"/>
        <v>50.35</v>
      </c>
      <c r="I5231" s="23" t="str">
        <f t="shared" si="406"/>
        <v>Match</v>
      </c>
      <c r="J5231" s="23" t="str">
        <f t="shared" si="407"/>
        <v>Match</v>
      </c>
      <c r="K5231" s="24">
        <f t="shared" si="408"/>
        <v>9.06</v>
      </c>
      <c r="L5231" s="24">
        <f t="shared" si="409"/>
        <v>0</v>
      </c>
    </row>
    <row r="5232" spans="1:12" ht="15" customHeight="1" x14ac:dyDescent="0.3">
      <c r="A5232" s="23" t="s">
        <v>18662</v>
      </c>
      <c r="B5232" s="23" t="s">
        <v>75</v>
      </c>
      <c r="C5232" s="39">
        <v>349</v>
      </c>
      <c r="D5232" s="24">
        <v>0</v>
      </c>
      <c r="E5232" s="24">
        <v>0</v>
      </c>
      <c r="F5232" s="23">
        <f>COUNTIFS(mdr_rate_cleaned!$A$2:$A$10,B5232,mdr_rate_cleaned!$B$2:$B$10,"&lt;"&amp;C5232,mdr_rate_cleaned!$F$2:$F$10,"&gt;="&amp;C5232)</f>
        <v>1</v>
      </c>
      <c r="G5232" s="40">
        <f>SUMIFS(mdr_rate_cleaned!$G$2:$G$10,mdr_rate_cleaned!$A$2:$A$10,B5232,mdr_rate_cleaned!$B$2:$B$10,"&lt;"&amp;C5232,mdr_rate_cleaned!$F$2:$F$10,"&gt;="&amp;C5232)</f>
        <v>0</v>
      </c>
      <c r="H5232" s="24">
        <f t="shared" si="405"/>
        <v>0</v>
      </c>
      <c r="I5232" s="23" t="str">
        <f t="shared" si="406"/>
        <v>Match</v>
      </c>
      <c r="J5232" s="23" t="str">
        <f t="shared" si="407"/>
        <v>Match</v>
      </c>
      <c r="K5232" s="24">
        <f t="shared" si="408"/>
        <v>0</v>
      </c>
      <c r="L5232" s="24">
        <f t="shared" si="409"/>
        <v>0</v>
      </c>
    </row>
    <row r="5233" spans="1:12" ht="15" customHeight="1" x14ac:dyDescent="0.3">
      <c r="A5233" s="23" t="s">
        <v>18663</v>
      </c>
      <c r="B5233" s="23" t="s">
        <v>79</v>
      </c>
      <c r="C5233" s="39">
        <v>3998</v>
      </c>
      <c r="D5233" s="24">
        <v>63.97</v>
      </c>
      <c r="E5233" s="24">
        <v>11.51</v>
      </c>
      <c r="F5233" s="23">
        <f>COUNTIFS(mdr_rate_cleaned!$A$2:$A$10,B5233,mdr_rate_cleaned!$B$2:$B$10,"&lt;"&amp;C5233,mdr_rate_cleaned!$F$2:$F$10,"&gt;="&amp;C5233)</f>
        <v>1</v>
      </c>
      <c r="G5233" s="40">
        <f>SUMIFS(mdr_rate_cleaned!$G$2:$G$10,mdr_rate_cleaned!$A$2:$A$10,B5233,mdr_rate_cleaned!$B$2:$B$10,"&lt;"&amp;C5233,mdr_rate_cleaned!$F$2:$F$10,"&gt;="&amp;C5233)</f>
        <v>1.6E-2</v>
      </c>
      <c r="H5233" s="24">
        <f t="shared" si="405"/>
        <v>63.97</v>
      </c>
      <c r="I5233" s="23" t="str">
        <f t="shared" si="406"/>
        <v>Match</v>
      </c>
      <c r="J5233" s="23" t="str">
        <f t="shared" si="407"/>
        <v>Match</v>
      </c>
      <c r="K5233" s="24">
        <f t="shared" si="408"/>
        <v>11.51</v>
      </c>
      <c r="L5233" s="24">
        <f t="shared" si="409"/>
        <v>0</v>
      </c>
    </row>
    <row r="5234" spans="1:12" ht="15" customHeight="1" x14ac:dyDescent="0.3">
      <c r="A5234" s="23" t="s">
        <v>18664</v>
      </c>
      <c r="B5234" s="23" t="s">
        <v>75</v>
      </c>
      <c r="C5234" s="39">
        <v>599</v>
      </c>
      <c r="D5234" s="24">
        <v>0</v>
      </c>
      <c r="E5234" s="24">
        <v>0</v>
      </c>
      <c r="F5234" s="23">
        <f>COUNTIFS(mdr_rate_cleaned!$A$2:$A$10,B5234,mdr_rate_cleaned!$B$2:$B$10,"&lt;"&amp;C5234,mdr_rate_cleaned!$F$2:$F$10,"&gt;="&amp;C5234)</f>
        <v>1</v>
      </c>
      <c r="G5234" s="40">
        <f>SUMIFS(mdr_rate_cleaned!$G$2:$G$10,mdr_rate_cleaned!$A$2:$A$10,B5234,mdr_rate_cleaned!$B$2:$B$10,"&lt;"&amp;C5234,mdr_rate_cleaned!$F$2:$F$10,"&gt;="&amp;C5234)</f>
        <v>0</v>
      </c>
      <c r="H5234" s="24">
        <f t="shared" si="405"/>
        <v>0</v>
      </c>
      <c r="I5234" s="23" t="str">
        <f t="shared" si="406"/>
        <v>Match</v>
      </c>
      <c r="J5234" s="23" t="str">
        <f t="shared" si="407"/>
        <v>Match</v>
      </c>
      <c r="K5234" s="24">
        <f t="shared" si="408"/>
        <v>0</v>
      </c>
      <c r="L5234" s="24">
        <f t="shared" si="409"/>
        <v>0</v>
      </c>
    </row>
    <row r="5235" spans="1:12" ht="15" customHeight="1" x14ac:dyDescent="0.3">
      <c r="A5235" s="23" t="s">
        <v>18665</v>
      </c>
      <c r="B5235" s="23" t="s">
        <v>77</v>
      </c>
      <c r="C5235" s="39">
        <v>799</v>
      </c>
      <c r="D5235" s="24">
        <v>15.18</v>
      </c>
      <c r="E5235" s="24">
        <v>2.73</v>
      </c>
      <c r="F5235" s="23">
        <f>COUNTIFS(mdr_rate_cleaned!$A$2:$A$10,B5235,mdr_rate_cleaned!$B$2:$B$10,"&lt;"&amp;C5235,mdr_rate_cleaned!$F$2:$F$10,"&gt;="&amp;C5235)</f>
        <v>1</v>
      </c>
      <c r="G5235" s="40">
        <f>SUMIFS(mdr_rate_cleaned!$G$2:$G$10,mdr_rate_cleaned!$A$2:$A$10,B5235,mdr_rate_cleaned!$B$2:$B$10,"&lt;"&amp;C5235,mdr_rate_cleaned!$F$2:$F$10,"&gt;="&amp;C5235)</f>
        <v>1.9E-2</v>
      </c>
      <c r="H5235" s="24">
        <f t="shared" si="405"/>
        <v>15.18</v>
      </c>
      <c r="I5235" s="23" t="str">
        <f t="shared" si="406"/>
        <v>Match</v>
      </c>
      <c r="J5235" s="23" t="str">
        <f t="shared" si="407"/>
        <v>Match</v>
      </c>
      <c r="K5235" s="24">
        <f t="shared" si="408"/>
        <v>2.73</v>
      </c>
      <c r="L5235" s="24">
        <f t="shared" si="409"/>
        <v>0</v>
      </c>
    </row>
    <row r="5236" spans="1:12" ht="15" customHeight="1" x14ac:dyDescent="0.3">
      <c r="A5236" s="23" t="s">
        <v>18666</v>
      </c>
      <c r="B5236" s="23" t="s">
        <v>79</v>
      </c>
      <c r="C5236" s="39">
        <v>1299</v>
      </c>
      <c r="D5236" s="24">
        <v>23.38</v>
      </c>
      <c r="E5236" s="24">
        <v>4.21</v>
      </c>
      <c r="F5236" s="23">
        <f>COUNTIFS(mdr_rate_cleaned!$A$2:$A$10,B5236,mdr_rate_cleaned!$B$2:$B$10,"&lt;"&amp;C5236,mdr_rate_cleaned!$F$2:$F$10,"&gt;="&amp;C5236)</f>
        <v>1</v>
      </c>
      <c r="G5236" s="40">
        <f>SUMIFS(mdr_rate_cleaned!$G$2:$G$10,mdr_rate_cleaned!$A$2:$A$10,B5236,mdr_rate_cleaned!$B$2:$B$10,"&lt;"&amp;C5236,mdr_rate_cleaned!$F$2:$F$10,"&gt;="&amp;C5236)</f>
        <v>1.8000000000000002E-2</v>
      </c>
      <c r="H5236" s="24">
        <f t="shared" si="405"/>
        <v>23.38</v>
      </c>
      <c r="I5236" s="23" t="str">
        <f t="shared" si="406"/>
        <v>Match</v>
      </c>
      <c r="J5236" s="23" t="str">
        <f t="shared" si="407"/>
        <v>Match</v>
      </c>
      <c r="K5236" s="24">
        <f t="shared" si="408"/>
        <v>4.21</v>
      </c>
      <c r="L5236" s="24">
        <f t="shared" si="409"/>
        <v>0</v>
      </c>
    </row>
    <row r="5237" spans="1:12" ht="15" customHeight="1" x14ac:dyDescent="0.3">
      <c r="A5237" s="23" t="s">
        <v>18667</v>
      </c>
      <c r="B5237" s="23" t="s">
        <v>81</v>
      </c>
      <c r="C5237" s="39">
        <v>499</v>
      </c>
      <c r="D5237" s="24">
        <v>7.49</v>
      </c>
      <c r="E5237" s="24">
        <v>1.35</v>
      </c>
      <c r="F5237" s="23">
        <f>COUNTIFS(mdr_rate_cleaned!$A$2:$A$10,B5237,mdr_rate_cleaned!$B$2:$B$10,"&lt;"&amp;C5237,mdr_rate_cleaned!$F$2:$F$10,"&gt;="&amp;C5237)</f>
        <v>1</v>
      </c>
      <c r="G5237" s="40">
        <f>SUMIFS(mdr_rate_cleaned!$G$2:$G$10,mdr_rate_cleaned!$A$2:$A$10,B5237,mdr_rate_cleaned!$B$2:$B$10,"&lt;"&amp;C5237,mdr_rate_cleaned!$F$2:$F$10,"&gt;="&amp;C5237)</f>
        <v>1.4999999999999999E-2</v>
      </c>
      <c r="H5237" s="24">
        <f t="shared" si="405"/>
        <v>7.49</v>
      </c>
      <c r="I5237" s="23" t="str">
        <f t="shared" si="406"/>
        <v>Match</v>
      </c>
      <c r="J5237" s="23" t="str">
        <f t="shared" si="407"/>
        <v>Match</v>
      </c>
      <c r="K5237" s="24">
        <f t="shared" si="408"/>
        <v>1.35</v>
      </c>
      <c r="L5237" s="24">
        <f t="shared" si="409"/>
        <v>0</v>
      </c>
    </row>
    <row r="5238" spans="1:12" ht="15" customHeight="1" x14ac:dyDescent="0.3">
      <c r="A5238" s="23" t="s">
        <v>18668</v>
      </c>
      <c r="B5238" s="23" t="s">
        <v>75</v>
      </c>
      <c r="C5238" s="39">
        <v>14497</v>
      </c>
      <c r="D5238" s="24">
        <v>43.49</v>
      </c>
      <c r="E5238" s="24">
        <v>7.83</v>
      </c>
      <c r="F5238" s="23">
        <f>COUNTIFS(mdr_rate_cleaned!$A$2:$A$10,B5238,mdr_rate_cleaned!$B$2:$B$10,"&lt;"&amp;C5238,mdr_rate_cleaned!$F$2:$F$10,"&gt;="&amp;C5238)</f>
        <v>1</v>
      </c>
      <c r="G5238" s="40">
        <f>SUMIFS(mdr_rate_cleaned!$G$2:$G$10,mdr_rate_cleaned!$A$2:$A$10,B5238,mdr_rate_cleaned!$B$2:$B$10,"&lt;"&amp;C5238,mdr_rate_cleaned!$F$2:$F$10,"&gt;="&amp;C5238)</f>
        <v>3.0000000000000001E-3</v>
      </c>
      <c r="H5238" s="24">
        <f t="shared" si="405"/>
        <v>43.49</v>
      </c>
      <c r="I5238" s="23" t="str">
        <f t="shared" si="406"/>
        <v>Match</v>
      </c>
      <c r="J5238" s="23" t="str">
        <f t="shared" si="407"/>
        <v>Match</v>
      </c>
      <c r="K5238" s="24">
        <f t="shared" si="408"/>
        <v>7.83</v>
      </c>
      <c r="L5238" s="24">
        <f t="shared" si="409"/>
        <v>0</v>
      </c>
    </row>
    <row r="5239" spans="1:12" ht="15" customHeight="1" x14ac:dyDescent="0.3">
      <c r="A5239" s="23" t="s">
        <v>18669</v>
      </c>
      <c r="B5239" s="23" t="s">
        <v>77</v>
      </c>
      <c r="C5239" s="39">
        <v>2998</v>
      </c>
      <c r="D5239" s="24">
        <v>50.97</v>
      </c>
      <c r="E5239" s="24">
        <v>9.17</v>
      </c>
      <c r="F5239" s="23">
        <f>COUNTIFS(mdr_rate_cleaned!$A$2:$A$10,B5239,mdr_rate_cleaned!$B$2:$B$10,"&lt;"&amp;C5239,mdr_rate_cleaned!$F$2:$F$10,"&gt;="&amp;C5239)</f>
        <v>1</v>
      </c>
      <c r="G5239" s="40">
        <f>SUMIFS(mdr_rate_cleaned!$G$2:$G$10,mdr_rate_cleaned!$A$2:$A$10,B5239,mdr_rate_cleaned!$B$2:$B$10,"&lt;"&amp;C5239,mdr_rate_cleaned!$F$2:$F$10,"&gt;="&amp;C5239)</f>
        <v>1.7000000000000001E-2</v>
      </c>
      <c r="H5239" s="24">
        <f t="shared" si="405"/>
        <v>50.97</v>
      </c>
      <c r="I5239" s="23" t="str">
        <f t="shared" si="406"/>
        <v>Match</v>
      </c>
      <c r="J5239" s="23" t="str">
        <f t="shared" si="407"/>
        <v>Match</v>
      </c>
      <c r="K5239" s="24">
        <f t="shared" si="408"/>
        <v>9.17</v>
      </c>
      <c r="L5239" s="24">
        <f t="shared" si="409"/>
        <v>0</v>
      </c>
    </row>
    <row r="5240" spans="1:12" ht="15" customHeight="1" x14ac:dyDescent="0.3">
      <c r="A5240" s="23" t="s">
        <v>18670</v>
      </c>
      <c r="B5240" s="23" t="s">
        <v>79</v>
      </c>
      <c r="C5240" s="39">
        <v>1298</v>
      </c>
      <c r="D5240" s="24">
        <v>23.36</v>
      </c>
      <c r="E5240" s="24">
        <v>4.2</v>
      </c>
      <c r="F5240" s="23">
        <f>COUNTIFS(mdr_rate_cleaned!$A$2:$A$10,B5240,mdr_rate_cleaned!$B$2:$B$10,"&lt;"&amp;C5240,mdr_rate_cleaned!$F$2:$F$10,"&gt;="&amp;C5240)</f>
        <v>1</v>
      </c>
      <c r="G5240" s="40">
        <f>SUMIFS(mdr_rate_cleaned!$G$2:$G$10,mdr_rate_cleaned!$A$2:$A$10,B5240,mdr_rate_cleaned!$B$2:$B$10,"&lt;"&amp;C5240,mdr_rate_cleaned!$F$2:$F$10,"&gt;="&amp;C5240)</f>
        <v>1.8000000000000002E-2</v>
      </c>
      <c r="H5240" s="24">
        <f t="shared" si="405"/>
        <v>23.36</v>
      </c>
      <c r="I5240" s="23" t="str">
        <f t="shared" si="406"/>
        <v>Match</v>
      </c>
      <c r="J5240" s="23" t="str">
        <f t="shared" si="407"/>
        <v>Match</v>
      </c>
      <c r="K5240" s="24">
        <f t="shared" si="408"/>
        <v>4.2</v>
      </c>
      <c r="L5240" s="24">
        <f t="shared" si="409"/>
        <v>0</v>
      </c>
    </row>
    <row r="5241" spans="1:12" ht="15" customHeight="1" x14ac:dyDescent="0.3">
      <c r="A5241" s="23" t="s">
        <v>18671</v>
      </c>
      <c r="B5241" s="23" t="s">
        <v>81</v>
      </c>
      <c r="C5241" s="39">
        <v>7297</v>
      </c>
      <c r="D5241" s="24">
        <v>87.56</v>
      </c>
      <c r="E5241" s="24">
        <v>15.76</v>
      </c>
      <c r="F5241" s="23">
        <f>COUNTIFS(mdr_rate_cleaned!$A$2:$A$10,B5241,mdr_rate_cleaned!$B$2:$B$10,"&lt;"&amp;C5241,mdr_rate_cleaned!$F$2:$F$10,"&gt;="&amp;C5241)</f>
        <v>1</v>
      </c>
      <c r="G5241" s="40">
        <f>SUMIFS(mdr_rate_cleaned!$G$2:$G$10,mdr_rate_cleaned!$A$2:$A$10,B5241,mdr_rate_cleaned!$B$2:$B$10,"&lt;"&amp;C5241,mdr_rate_cleaned!$F$2:$F$10,"&gt;="&amp;C5241)</f>
        <v>1.2E-2</v>
      </c>
      <c r="H5241" s="24">
        <f t="shared" si="405"/>
        <v>87.56</v>
      </c>
      <c r="I5241" s="23" t="str">
        <f t="shared" si="406"/>
        <v>Match</v>
      </c>
      <c r="J5241" s="23" t="str">
        <f t="shared" si="407"/>
        <v>Match</v>
      </c>
      <c r="K5241" s="24">
        <f t="shared" si="408"/>
        <v>15.76</v>
      </c>
      <c r="L5241" s="24">
        <f t="shared" si="409"/>
        <v>0</v>
      </c>
    </row>
    <row r="5242" spans="1:12" ht="15" customHeight="1" x14ac:dyDescent="0.3">
      <c r="A5242" s="23" t="s">
        <v>18672</v>
      </c>
      <c r="B5242" s="23" t="s">
        <v>75</v>
      </c>
      <c r="C5242" s="39">
        <v>6498</v>
      </c>
      <c r="D5242" s="24">
        <v>19.489999999999998</v>
      </c>
      <c r="E5242" s="24">
        <v>3.51</v>
      </c>
      <c r="F5242" s="23">
        <f>COUNTIFS(mdr_rate_cleaned!$A$2:$A$10,B5242,mdr_rate_cleaned!$B$2:$B$10,"&lt;"&amp;C5242,mdr_rate_cleaned!$F$2:$F$10,"&gt;="&amp;C5242)</f>
        <v>1</v>
      </c>
      <c r="G5242" s="40">
        <f>SUMIFS(mdr_rate_cleaned!$G$2:$G$10,mdr_rate_cleaned!$A$2:$A$10,B5242,mdr_rate_cleaned!$B$2:$B$10,"&lt;"&amp;C5242,mdr_rate_cleaned!$F$2:$F$10,"&gt;="&amp;C5242)</f>
        <v>3.0000000000000001E-3</v>
      </c>
      <c r="H5242" s="24">
        <f t="shared" si="405"/>
        <v>19.489999999999998</v>
      </c>
      <c r="I5242" s="23" t="str">
        <f t="shared" si="406"/>
        <v>Match</v>
      </c>
      <c r="J5242" s="23" t="str">
        <f t="shared" si="407"/>
        <v>Match</v>
      </c>
      <c r="K5242" s="24">
        <f t="shared" si="408"/>
        <v>3.51</v>
      </c>
      <c r="L5242" s="24">
        <f t="shared" si="409"/>
        <v>0</v>
      </c>
    </row>
    <row r="5243" spans="1:12" ht="15" customHeight="1" x14ac:dyDescent="0.3">
      <c r="A5243" s="23" t="s">
        <v>18673</v>
      </c>
      <c r="B5243" s="23" t="s">
        <v>75</v>
      </c>
      <c r="C5243" s="39">
        <v>499</v>
      </c>
      <c r="D5243" s="24">
        <v>0</v>
      </c>
      <c r="E5243" s="24">
        <v>0</v>
      </c>
      <c r="F5243" s="23">
        <f>COUNTIFS(mdr_rate_cleaned!$A$2:$A$10,B5243,mdr_rate_cleaned!$B$2:$B$10,"&lt;"&amp;C5243,mdr_rate_cleaned!$F$2:$F$10,"&gt;="&amp;C5243)</f>
        <v>1</v>
      </c>
      <c r="G5243" s="40">
        <f>SUMIFS(mdr_rate_cleaned!$G$2:$G$10,mdr_rate_cleaned!$A$2:$A$10,B5243,mdr_rate_cleaned!$B$2:$B$10,"&lt;"&amp;C5243,mdr_rate_cleaned!$F$2:$F$10,"&gt;="&amp;C5243)</f>
        <v>0</v>
      </c>
      <c r="H5243" s="24">
        <f t="shared" si="405"/>
        <v>0</v>
      </c>
      <c r="I5243" s="23" t="str">
        <f t="shared" si="406"/>
        <v>Match</v>
      </c>
      <c r="J5243" s="23" t="str">
        <f t="shared" si="407"/>
        <v>Match</v>
      </c>
      <c r="K5243" s="24">
        <f t="shared" si="408"/>
        <v>0</v>
      </c>
      <c r="L5243" s="24">
        <f t="shared" si="409"/>
        <v>0</v>
      </c>
    </row>
    <row r="5244" spans="1:12" ht="15" customHeight="1" x14ac:dyDescent="0.3">
      <c r="A5244" s="23" t="s">
        <v>18674</v>
      </c>
      <c r="B5244" s="23" t="s">
        <v>79</v>
      </c>
      <c r="C5244" s="39">
        <v>1798</v>
      </c>
      <c r="D5244" s="24">
        <v>32.36</v>
      </c>
      <c r="E5244" s="24">
        <v>5.82</v>
      </c>
      <c r="F5244" s="23">
        <f>COUNTIFS(mdr_rate_cleaned!$A$2:$A$10,B5244,mdr_rate_cleaned!$B$2:$B$10,"&lt;"&amp;C5244,mdr_rate_cleaned!$F$2:$F$10,"&gt;="&amp;C5244)</f>
        <v>1</v>
      </c>
      <c r="G5244" s="40">
        <f>SUMIFS(mdr_rate_cleaned!$G$2:$G$10,mdr_rate_cleaned!$A$2:$A$10,B5244,mdr_rate_cleaned!$B$2:$B$10,"&lt;"&amp;C5244,mdr_rate_cleaned!$F$2:$F$10,"&gt;="&amp;C5244)</f>
        <v>1.8000000000000002E-2</v>
      </c>
      <c r="H5244" s="24">
        <f t="shared" si="405"/>
        <v>32.36</v>
      </c>
      <c r="I5244" s="23" t="str">
        <f t="shared" si="406"/>
        <v>Match</v>
      </c>
      <c r="J5244" s="23" t="str">
        <f t="shared" si="407"/>
        <v>Match</v>
      </c>
      <c r="K5244" s="24">
        <f t="shared" si="408"/>
        <v>5.82</v>
      </c>
      <c r="L5244" s="24">
        <f t="shared" si="409"/>
        <v>0</v>
      </c>
    </row>
    <row r="5245" spans="1:12" ht="15" customHeight="1" x14ac:dyDescent="0.3">
      <c r="A5245" s="23" t="s">
        <v>18675</v>
      </c>
      <c r="B5245" s="23" t="s">
        <v>77</v>
      </c>
      <c r="C5245" s="39">
        <v>848</v>
      </c>
      <c r="D5245" s="24">
        <v>16.11</v>
      </c>
      <c r="E5245" s="24">
        <v>2.9</v>
      </c>
      <c r="F5245" s="23">
        <f>COUNTIFS(mdr_rate_cleaned!$A$2:$A$10,B5245,mdr_rate_cleaned!$B$2:$B$10,"&lt;"&amp;C5245,mdr_rate_cleaned!$F$2:$F$10,"&gt;="&amp;C5245)</f>
        <v>1</v>
      </c>
      <c r="G5245" s="40">
        <f>SUMIFS(mdr_rate_cleaned!$G$2:$G$10,mdr_rate_cleaned!$A$2:$A$10,B5245,mdr_rate_cleaned!$B$2:$B$10,"&lt;"&amp;C5245,mdr_rate_cleaned!$F$2:$F$10,"&gt;="&amp;C5245)</f>
        <v>1.9E-2</v>
      </c>
      <c r="H5245" s="24">
        <f t="shared" si="405"/>
        <v>16.11</v>
      </c>
      <c r="I5245" s="23" t="str">
        <f t="shared" si="406"/>
        <v>Match</v>
      </c>
      <c r="J5245" s="23" t="str">
        <f t="shared" si="407"/>
        <v>Match</v>
      </c>
      <c r="K5245" s="24">
        <f t="shared" si="408"/>
        <v>2.9</v>
      </c>
      <c r="L5245" s="24">
        <f t="shared" si="409"/>
        <v>0</v>
      </c>
    </row>
    <row r="5246" spans="1:12" ht="15" customHeight="1" x14ac:dyDescent="0.3">
      <c r="A5246" s="23" t="s">
        <v>18676</v>
      </c>
      <c r="B5246" s="23" t="s">
        <v>75</v>
      </c>
      <c r="C5246" s="39">
        <v>3298</v>
      </c>
      <c r="D5246" s="24">
        <v>9.89</v>
      </c>
      <c r="E5246" s="24">
        <v>1.78</v>
      </c>
      <c r="F5246" s="23">
        <f>COUNTIFS(mdr_rate_cleaned!$A$2:$A$10,B5246,mdr_rate_cleaned!$B$2:$B$10,"&lt;"&amp;C5246,mdr_rate_cleaned!$F$2:$F$10,"&gt;="&amp;C5246)</f>
        <v>1</v>
      </c>
      <c r="G5246" s="40">
        <f>SUMIFS(mdr_rate_cleaned!$G$2:$G$10,mdr_rate_cleaned!$A$2:$A$10,B5246,mdr_rate_cleaned!$B$2:$B$10,"&lt;"&amp;C5246,mdr_rate_cleaned!$F$2:$F$10,"&gt;="&amp;C5246)</f>
        <v>3.0000000000000001E-3</v>
      </c>
      <c r="H5246" s="24">
        <f t="shared" si="405"/>
        <v>9.89</v>
      </c>
      <c r="I5246" s="23" t="str">
        <f t="shared" si="406"/>
        <v>Match</v>
      </c>
      <c r="J5246" s="23" t="str">
        <f t="shared" si="407"/>
        <v>Match</v>
      </c>
      <c r="K5246" s="24">
        <f t="shared" si="408"/>
        <v>1.78</v>
      </c>
      <c r="L5246" s="24">
        <f t="shared" si="409"/>
        <v>0</v>
      </c>
    </row>
    <row r="5247" spans="1:12" ht="15" customHeight="1" x14ac:dyDescent="0.3">
      <c r="A5247" s="23" t="s">
        <v>18678</v>
      </c>
      <c r="B5247" s="23" t="s">
        <v>75</v>
      </c>
      <c r="C5247" s="39">
        <v>7999</v>
      </c>
      <c r="D5247" s="24">
        <v>24</v>
      </c>
      <c r="E5247" s="24">
        <v>4.32</v>
      </c>
      <c r="F5247" s="23">
        <f>COUNTIFS(mdr_rate_cleaned!$A$2:$A$10,B5247,mdr_rate_cleaned!$B$2:$B$10,"&lt;"&amp;C5247,mdr_rate_cleaned!$F$2:$F$10,"&gt;="&amp;C5247)</f>
        <v>1</v>
      </c>
      <c r="G5247" s="40">
        <f>SUMIFS(mdr_rate_cleaned!$G$2:$G$10,mdr_rate_cleaned!$A$2:$A$10,B5247,mdr_rate_cleaned!$B$2:$B$10,"&lt;"&amp;C5247,mdr_rate_cleaned!$F$2:$F$10,"&gt;="&amp;C5247)</f>
        <v>3.0000000000000001E-3</v>
      </c>
      <c r="H5247" s="24">
        <f t="shared" si="405"/>
        <v>24</v>
      </c>
      <c r="I5247" s="23" t="str">
        <f t="shared" si="406"/>
        <v>Match</v>
      </c>
      <c r="J5247" s="23" t="str">
        <f t="shared" si="407"/>
        <v>Match</v>
      </c>
      <c r="K5247" s="24">
        <f t="shared" si="408"/>
        <v>4.32</v>
      </c>
      <c r="L5247" s="24">
        <f t="shared" si="409"/>
        <v>0</v>
      </c>
    </row>
    <row r="5248" spans="1:12" ht="15" customHeight="1" x14ac:dyDescent="0.3">
      <c r="A5248" s="23" t="s">
        <v>18679</v>
      </c>
      <c r="B5248" s="23" t="s">
        <v>75</v>
      </c>
      <c r="C5248" s="39">
        <v>6297</v>
      </c>
      <c r="D5248" s="24">
        <v>18.89</v>
      </c>
      <c r="E5248" s="24">
        <v>3.4</v>
      </c>
      <c r="F5248" s="23">
        <f>COUNTIFS(mdr_rate_cleaned!$A$2:$A$10,B5248,mdr_rate_cleaned!$B$2:$B$10,"&lt;"&amp;C5248,mdr_rate_cleaned!$F$2:$F$10,"&gt;="&amp;C5248)</f>
        <v>1</v>
      </c>
      <c r="G5248" s="40">
        <f>SUMIFS(mdr_rate_cleaned!$G$2:$G$10,mdr_rate_cleaned!$A$2:$A$10,B5248,mdr_rate_cleaned!$B$2:$B$10,"&lt;"&amp;C5248,mdr_rate_cleaned!$F$2:$F$10,"&gt;="&amp;C5248)</f>
        <v>3.0000000000000001E-3</v>
      </c>
      <c r="H5248" s="24">
        <f t="shared" si="405"/>
        <v>18.89</v>
      </c>
      <c r="I5248" s="23" t="str">
        <f t="shared" si="406"/>
        <v>Match</v>
      </c>
      <c r="J5248" s="23" t="str">
        <f t="shared" si="407"/>
        <v>Match</v>
      </c>
      <c r="K5248" s="24">
        <f t="shared" si="408"/>
        <v>3.4</v>
      </c>
      <c r="L5248" s="24">
        <f t="shared" si="409"/>
        <v>0</v>
      </c>
    </row>
    <row r="5249" spans="1:12" ht="15" customHeight="1" x14ac:dyDescent="0.3">
      <c r="A5249" s="23" t="s">
        <v>18680</v>
      </c>
      <c r="B5249" s="23" t="s">
        <v>75</v>
      </c>
      <c r="C5249" s="39">
        <v>2499</v>
      </c>
      <c r="D5249" s="24">
        <v>7.5</v>
      </c>
      <c r="E5249" s="24">
        <v>1.35</v>
      </c>
      <c r="F5249" s="23">
        <f>COUNTIFS(mdr_rate_cleaned!$A$2:$A$10,B5249,mdr_rate_cleaned!$B$2:$B$10,"&lt;"&amp;C5249,mdr_rate_cleaned!$F$2:$F$10,"&gt;="&amp;C5249)</f>
        <v>1</v>
      </c>
      <c r="G5249" s="40">
        <f>SUMIFS(mdr_rate_cleaned!$G$2:$G$10,mdr_rate_cleaned!$A$2:$A$10,B5249,mdr_rate_cleaned!$B$2:$B$10,"&lt;"&amp;C5249,mdr_rate_cleaned!$F$2:$F$10,"&gt;="&amp;C5249)</f>
        <v>3.0000000000000001E-3</v>
      </c>
      <c r="H5249" s="24">
        <f t="shared" si="405"/>
        <v>7.5</v>
      </c>
      <c r="I5249" s="23" t="str">
        <f t="shared" si="406"/>
        <v>Match</v>
      </c>
      <c r="J5249" s="23" t="str">
        <f t="shared" si="407"/>
        <v>Match</v>
      </c>
      <c r="K5249" s="24">
        <f t="shared" si="408"/>
        <v>1.35</v>
      </c>
      <c r="L5249" s="24">
        <f t="shared" si="409"/>
        <v>0</v>
      </c>
    </row>
    <row r="5250" spans="1:12" ht="15" customHeight="1" x14ac:dyDescent="0.3">
      <c r="A5250" s="23" t="s">
        <v>18681</v>
      </c>
      <c r="B5250" s="23" t="s">
        <v>75</v>
      </c>
      <c r="C5250" s="39">
        <v>9797</v>
      </c>
      <c r="D5250" s="24">
        <v>29.39</v>
      </c>
      <c r="E5250" s="24">
        <v>5.29</v>
      </c>
      <c r="F5250" s="23">
        <f>COUNTIFS(mdr_rate_cleaned!$A$2:$A$10,B5250,mdr_rate_cleaned!$B$2:$B$10,"&lt;"&amp;C5250,mdr_rate_cleaned!$F$2:$F$10,"&gt;="&amp;C5250)</f>
        <v>1</v>
      </c>
      <c r="G5250" s="40">
        <f>SUMIFS(mdr_rate_cleaned!$G$2:$G$10,mdr_rate_cleaned!$A$2:$A$10,B5250,mdr_rate_cleaned!$B$2:$B$10,"&lt;"&amp;C5250,mdr_rate_cleaned!$F$2:$F$10,"&gt;="&amp;C5250)</f>
        <v>3.0000000000000001E-3</v>
      </c>
      <c r="H5250" s="24">
        <f t="shared" ref="H5250:H5313" si="410">ROUND(C5250*G5250,2)</f>
        <v>29.39</v>
      </c>
      <c r="I5250" s="23" t="str">
        <f t="shared" ref="I5250:I5313" si="411">IF(ROUND(D5250-H5250,2)=0,"Match","Differs")</f>
        <v>Match</v>
      </c>
      <c r="J5250" s="23" t="str">
        <f t="shared" ref="J5250:J5313" si="412">IF(ROUND(E5250-ROUND(D5250*0.18,2),2)=0,"Match","Differs")</f>
        <v>Match</v>
      </c>
      <c r="K5250" s="24">
        <f t="shared" ref="K5250:K5313" si="413">ROUND(H5250*0.18,2)</f>
        <v>5.29</v>
      </c>
      <c r="L5250" s="24">
        <f t="shared" ref="L5250:L5313" si="414">ROUND(D5250+E5250-H5250-K5250,2)</f>
        <v>0</v>
      </c>
    </row>
    <row r="5251" spans="1:12" ht="15" customHeight="1" x14ac:dyDescent="0.3">
      <c r="A5251" s="23" t="s">
        <v>18682</v>
      </c>
      <c r="B5251" s="23" t="s">
        <v>75</v>
      </c>
      <c r="C5251" s="39">
        <v>7999</v>
      </c>
      <c r="D5251" s="24">
        <v>24</v>
      </c>
      <c r="E5251" s="24">
        <v>4.32</v>
      </c>
      <c r="F5251" s="23">
        <f>COUNTIFS(mdr_rate_cleaned!$A$2:$A$10,B5251,mdr_rate_cleaned!$B$2:$B$10,"&lt;"&amp;C5251,mdr_rate_cleaned!$F$2:$F$10,"&gt;="&amp;C5251)</f>
        <v>1</v>
      </c>
      <c r="G5251" s="40">
        <f>SUMIFS(mdr_rate_cleaned!$G$2:$G$10,mdr_rate_cleaned!$A$2:$A$10,B5251,mdr_rate_cleaned!$B$2:$B$10,"&lt;"&amp;C5251,mdr_rate_cleaned!$F$2:$F$10,"&gt;="&amp;C5251)</f>
        <v>3.0000000000000001E-3</v>
      </c>
      <c r="H5251" s="24">
        <f t="shared" si="410"/>
        <v>24</v>
      </c>
      <c r="I5251" s="23" t="str">
        <f t="shared" si="411"/>
        <v>Match</v>
      </c>
      <c r="J5251" s="23" t="str">
        <f t="shared" si="412"/>
        <v>Match</v>
      </c>
      <c r="K5251" s="24">
        <f t="shared" si="413"/>
        <v>4.32</v>
      </c>
      <c r="L5251" s="24">
        <f t="shared" si="414"/>
        <v>0</v>
      </c>
    </row>
    <row r="5252" spans="1:12" ht="15" customHeight="1" x14ac:dyDescent="0.3">
      <c r="A5252" s="23" t="s">
        <v>18683</v>
      </c>
      <c r="B5252" s="23" t="s">
        <v>75</v>
      </c>
      <c r="C5252" s="39">
        <v>1798</v>
      </c>
      <c r="D5252" s="24">
        <v>0</v>
      </c>
      <c r="E5252" s="24">
        <v>0</v>
      </c>
      <c r="F5252" s="23">
        <f>COUNTIFS(mdr_rate_cleaned!$A$2:$A$10,B5252,mdr_rate_cleaned!$B$2:$B$10,"&lt;"&amp;C5252,mdr_rate_cleaned!$F$2:$F$10,"&gt;="&amp;C5252)</f>
        <v>1</v>
      </c>
      <c r="G5252" s="40">
        <f>SUMIFS(mdr_rate_cleaned!$G$2:$G$10,mdr_rate_cleaned!$A$2:$A$10,B5252,mdr_rate_cleaned!$B$2:$B$10,"&lt;"&amp;C5252,mdr_rate_cleaned!$F$2:$F$10,"&gt;="&amp;C5252)</f>
        <v>0</v>
      </c>
      <c r="H5252" s="24">
        <f t="shared" si="410"/>
        <v>0</v>
      </c>
      <c r="I5252" s="23" t="str">
        <f t="shared" si="411"/>
        <v>Match</v>
      </c>
      <c r="J5252" s="23" t="str">
        <f t="shared" si="412"/>
        <v>Match</v>
      </c>
      <c r="K5252" s="24">
        <f t="shared" si="413"/>
        <v>0</v>
      </c>
      <c r="L5252" s="24">
        <f t="shared" si="414"/>
        <v>0</v>
      </c>
    </row>
    <row r="5253" spans="1:12" ht="15" customHeight="1" x14ac:dyDescent="0.3">
      <c r="A5253" s="23" t="s">
        <v>18684</v>
      </c>
      <c r="B5253" s="23" t="s">
        <v>75</v>
      </c>
      <c r="C5253" s="39">
        <v>2998</v>
      </c>
      <c r="D5253" s="24">
        <v>8.99</v>
      </c>
      <c r="E5253" s="24">
        <v>1.62</v>
      </c>
      <c r="F5253" s="23">
        <f>COUNTIFS(mdr_rate_cleaned!$A$2:$A$10,B5253,mdr_rate_cleaned!$B$2:$B$10,"&lt;"&amp;C5253,mdr_rate_cleaned!$F$2:$F$10,"&gt;="&amp;C5253)</f>
        <v>1</v>
      </c>
      <c r="G5253" s="40">
        <f>SUMIFS(mdr_rate_cleaned!$G$2:$G$10,mdr_rate_cleaned!$A$2:$A$10,B5253,mdr_rate_cleaned!$B$2:$B$10,"&lt;"&amp;C5253,mdr_rate_cleaned!$F$2:$F$10,"&gt;="&amp;C5253)</f>
        <v>3.0000000000000001E-3</v>
      </c>
      <c r="H5253" s="24">
        <f t="shared" si="410"/>
        <v>8.99</v>
      </c>
      <c r="I5253" s="23" t="str">
        <f t="shared" si="411"/>
        <v>Match</v>
      </c>
      <c r="J5253" s="23" t="str">
        <f t="shared" si="412"/>
        <v>Match</v>
      </c>
      <c r="K5253" s="24">
        <f t="shared" si="413"/>
        <v>1.62</v>
      </c>
      <c r="L5253" s="24">
        <f t="shared" si="414"/>
        <v>0</v>
      </c>
    </row>
    <row r="5254" spans="1:12" ht="15" customHeight="1" x14ac:dyDescent="0.3">
      <c r="A5254" s="23" t="s">
        <v>18685</v>
      </c>
      <c r="B5254" s="23" t="s">
        <v>77</v>
      </c>
      <c r="C5254" s="39">
        <v>2499</v>
      </c>
      <c r="D5254" s="24">
        <v>42.48</v>
      </c>
      <c r="E5254" s="24">
        <v>7.65</v>
      </c>
      <c r="F5254" s="23">
        <f>COUNTIFS(mdr_rate_cleaned!$A$2:$A$10,B5254,mdr_rate_cleaned!$B$2:$B$10,"&lt;"&amp;C5254,mdr_rate_cleaned!$F$2:$F$10,"&gt;="&amp;C5254)</f>
        <v>1</v>
      </c>
      <c r="G5254" s="40">
        <f>SUMIFS(mdr_rate_cleaned!$G$2:$G$10,mdr_rate_cleaned!$A$2:$A$10,B5254,mdr_rate_cleaned!$B$2:$B$10,"&lt;"&amp;C5254,mdr_rate_cleaned!$F$2:$F$10,"&gt;="&amp;C5254)</f>
        <v>1.7000000000000001E-2</v>
      </c>
      <c r="H5254" s="24">
        <f t="shared" si="410"/>
        <v>42.48</v>
      </c>
      <c r="I5254" s="23" t="str">
        <f t="shared" si="411"/>
        <v>Match</v>
      </c>
      <c r="J5254" s="23" t="str">
        <f t="shared" si="412"/>
        <v>Match</v>
      </c>
      <c r="K5254" s="24">
        <f t="shared" si="413"/>
        <v>7.65</v>
      </c>
      <c r="L5254" s="24">
        <f t="shared" si="414"/>
        <v>0</v>
      </c>
    </row>
    <row r="5255" spans="1:12" ht="15" customHeight="1" x14ac:dyDescent="0.3">
      <c r="A5255" s="23" t="s">
        <v>18686</v>
      </c>
      <c r="B5255" s="23" t="s">
        <v>75</v>
      </c>
      <c r="C5255" s="39">
        <v>2897</v>
      </c>
      <c r="D5255" s="24">
        <v>8.69</v>
      </c>
      <c r="E5255" s="24">
        <v>1.56</v>
      </c>
      <c r="F5255" s="23">
        <f>COUNTIFS(mdr_rate_cleaned!$A$2:$A$10,B5255,mdr_rate_cleaned!$B$2:$B$10,"&lt;"&amp;C5255,mdr_rate_cleaned!$F$2:$F$10,"&gt;="&amp;C5255)</f>
        <v>1</v>
      </c>
      <c r="G5255" s="40">
        <f>SUMIFS(mdr_rate_cleaned!$G$2:$G$10,mdr_rate_cleaned!$A$2:$A$10,B5255,mdr_rate_cleaned!$B$2:$B$10,"&lt;"&amp;C5255,mdr_rate_cleaned!$F$2:$F$10,"&gt;="&amp;C5255)</f>
        <v>3.0000000000000001E-3</v>
      </c>
      <c r="H5255" s="24">
        <f t="shared" si="410"/>
        <v>8.69</v>
      </c>
      <c r="I5255" s="23" t="str">
        <f t="shared" si="411"/>
        <v>Match</v>
      </c>
      <c r="J5255" s="23" t="str">
        <f t="shared" si="412"/>
        <v>Match</v>
      </c>
      <c r="K5255" s="24">
        <f t="shared" si="413"/>
        <v>1.56</v>
      </c>
      <c r="L5255" s="24">
        <f t="shared" si="414"/>
        <v>0</v>
      </c>
    </row>
    <row r="5256" spans="1:12" ht="15" customHeight="1" x14ac:dyDescent="0.3">
      <c r="A5256" s="23" t="s">
        <v>18687</v>
      </c>
      <c r="B5256" s="23" t="s">
        <v>75</v>
      </c>
      <c r="C5256" s="39">
        <v>4798</v>
      </c>
      <c r="D5256" s="24">
        <v>14.39</v>
      </c>
      <c r="E5256" s="24">
        <v>2.59</v>
      </c>
      <c r="F5256" s="23">
        <f>COUNTIFS(mdr_rate_cleaned!$A$2:$A$10,B5256,mdr_rate_cleaned!$B$2:$B$10,"&lt;"&amp;C5256,mdr_rate_cleaned!$F$2:$F$10,"&gt;="&amp;C5256)</f>
        <v>1</v>
      </c>
      <c r="G5256" s="40">
        <f>SUMIFS(mdr_rate_cleaned!$G$2:$G$10,mdr_rate_cleaned!$A$2:$A$10,B5256,mdr_rate_cleaned!$B$2:$B$10,"&lt;"&amp;C5256,mdr_rate_cleaned!$F$2:$F$10,"&gt;="&amp;C5256)</f>
        <v>3.0000000000000001E-3</v>
      </c>
      <c r="H5256" s="24">
        <f t="shared" si="410"/>
        <v>14.39</v>
      </c>
      <c r="I5256" s="23" t="str">
        <f t="shared" si="411"/>
        <v>Match</v>
      </c>
      <c r="J5256" s="23" t="str">
        <f t="shared" si="412"/>
        <v>Match</v>
      </c>
      <c r="K5256" s="24">
        <f t="shared" si="413"/>
        <v>2.59</v>
      </c>
      <c r="L5256" s="24">
        <f t="shared" si="414"/>
        <v>0</v>
      </c>
    </row>
    <row r="5257" spans="1:12" ht="15" customHeight="1" x14ac:dyDescent="0.3">
      <c r="A5257" s="23" t="s">
        <v>18688</v>
      </c>
      <c r="B5257" s="23" t="s">
        <v>75</v>
      </c>
      <c r="C5257" s="39">
        <v>3798</v>
      </c>
      <c r="D5257" s="24">
        <v>11.39</v>
      </c>
      <c r="E5257" s="24">
        <v>2.0499999999999998</v>
      </c>
      <c r="F5257" s="23">
        <f>COUNTIFS(mdr_rate_cleaned!$A$2:$A$10,B5257,mdr_rate_cleaned!$B$2:$B$10,"&lt;"&amp;C5257,mdr_rate_cleaned!$F$2:$F$10,"&gt;="&amp;C5257)</f>
        <v>1</v>
      </c>
      <c r="G5257" s="40">
        <f>SUMIFS(mdr_rate_cleaned!$G$2:$G$10,mdr_rate_cleaned!$A$2:$A$10,B5257,mdr_rate_cleaned!$B$2:$B$10,"&lt;"&amp;C5257,mdr_rate_cleaned!$F$2:$F$10,"&gt;="&amp;C5257)</f>
        <v>3.0000000000000001E-3</v>
      </c>
      <c r="H5257" s="24">
        <f t="shared" si="410"/>
        <v>11.39</v>
      </c>
      <c r="I5257" s="23" t="str">
        <f t="shared" si="411"/>
        <v>Match</v>
      </c>
      <c r="J5257" s="23" t="str">
        <f t="shared" si="412"/>
        <v>Match</v>
      </c>
      <c r="K5257" s="24">
        <f t="shared" si="413"/>
        <v>2.0499999999999998</v>
      </c>
      <c r="L5257" s="24">
        <f t="shared" si="414"/>
        <v>0</v>
      </c>
    </row>
    <row r="5258" spans="1:12" ht="15" customHeight="1" x14ac:dyDescent="0.3">
      <c r="A5258" s="23" t="s">
        <v>18689</v>
      </c>
      <c r="B5258" s="23" t="s">
        <v>79</v>
      </c>
      <c r="C5258" s="39">
        <v>299</v>
      </c>
      <c r="D5258" s="24">
        <v>5.38</v>
      </c>
      <c r="E5258" s="24">
        <v>0.97</v>
      </c>
      <c r="F5258" s="23">
        <f>COUNTIFS(mdr_rate_cleaned!$A$2:$A$10,B5258,mdr_rate_cleaned!$B$2:$B$10,"&lt;"&amp;C5258,mdr_rate_cleaned!$F$2:$F$10,"&gt;="&amp;C5258)</f>
        <v>1</v>
      </c>
      <c r="G5258" s="40">
        <f>SUMIFS(mdr_rate_cleaned!$G$2:$G$10,mdr_rate_cleaned!$A$2:$A$10,B5258,mdr_rate_cleaned!$B$2:$B$10,"&lt;"&amp;C5258,mdr_rate_cleaned!$F$2:$F$10,"&gt;="&amp;C5258)</f>
        <v>1.8000000000000002E-2</v>
      </c>
      <c r="H5258" s="24">
        <f t="shared" si="410"/>
        <v>5.38</v>
      </c>
      <c r="I5258" s="23" t="str">
        <f t="shared" si="411"/>
        <v>Match</v>
      </c>
      <c r="J5258" s="23" t="str">
        <f t="shared" si="412"/>
        <v>Match</v>
      </c>
      <c r="K5258" s="24">
        <f t="shared" si="413"/>
        <v>0.97</v>
      </c>
      <c r="L5258" s="24">
        <f t="shared" si="414"/>
        <v>0</v>
      </c>
    </row>
    <row r="5259" spans="1:12" ht="15" customHeight="1" x14ac:dyDescent="0.3">
      <c r="A5259" s="23" t="s">
        <v>18690</v>
      </c>
      <c r="B5259" s="23" t="s">
        <v>75</v>
      </c>
      <c r="C5259" s="39">
        <v>6298</v>
      </c>
      <c r="D5259" s="24">
        <v>18.89</v>
      </c>
      <c r="E5259" s="24">
        <v>3.4</v>
      </c>
      <c r="F5259" s="23">
        <f>COUNTIFS(mdr_rate_cleaned!$A$2:$A$10,B5259,mdr_rate_cleaned!$B$2:$B$10,"&lt;"&amp;C5259,mdr_rate_cleaned!$F$2:$F$10,"&gt;="&amp;C5259)</f>
        <v>1</v>
      </c>
      <c r="G5259" s="40">
        <f>SUMIFS(mdr_rate_cleaned!$G$2:$G$10,mdr_rate_cleaned!$A$2:$A$10,B5259,mdr_rate_cleaned!$B$2:$B$10,"&lt;"&amp;C5259,mdr_rate_cleaned!$F$2:$F$10,"&gt;="&amp;C5259)</f>
        <v>3.0000000000000001E-3</v>
      </c>
      <c r="H5259" s="24">
        <f t="shared" si="410"/>
        <v>18.89</v>
      </c>
      <c r="I5259" s="23" t="str">
        <f t="shared" si="411"/>
        <v>Match</v>
      </c>
      <c r="J5259" s="23" t="str">
        <f t="shared" si="412"/>
        <v>Match</v>
      </c>
      <c r="K5259" s="24">
        <f t="shared" si="413"/>
        <v>3.4</v>
      </c>
      <c r="L5259" s="24">
        <f t="shared" si="414"/>
        <v>0</v>
      </c>
    </row>
    <row r="5260" spans="1:12" ht="15" customHeight="1" x14ac:dyDescent="0.3">
      <c r="A5260" s="23" t="s">
        <v>18691</v>
      </c>
      <c r="B5260" s="23" t="s">
        <v>77</v>
      </c>
      <c r="C5260" s="39">
        <v>3499</v>
      </c>
      <c r="D5260" s="24">
        <v>59.48</v>
      </c>
      <c r="E5260" s="24">
        <v>10.71</v>
      </c>
      <c r="F5260" s="23">
        <f>COUNTIFS(mdr_rate_cleaned!$A$2:$A$10,B5260,mdr_rate_cleaned!$B$2:$B$10,"&lt;"&amp;C5260,mdr_rate_cleaned!$F$2:$F$10,"&gt;="&amp;C5260)</f>
        <v>1</v>
      </c>
      <c r="G5260" s="40">
        <f>SUMIFS(mdr_rate_cleaned!$G$2:$G$10,mdr_rate_cleaned!$A$2:$A$10,B5260,mdr_rate_cleaned!$B$2:$B$10,"&lt;"&amp;C5260,mdr_rate_cleaned!$F$2:$F$10,"&gt;="&amp;C5260)</f>
        <v>1.7000000000000001E-2</v>
      </c>
      <c r="H5260" s="24">
        <f t="shared" si="410"/>
        <v>59.48</v>
      </c>
      <c r="I5260" s="23" t="str">
        <f t="shared" si="411"/>
        <v>Match</v>
      </c>
      <c r="J5260" s="23" t="str">
        <f t="shared" si="412"/>
        <v>Match</v>
      </c>
      <c r="K5260" s="24">
        <f t="shared" si="413"/>
        <v>10.71</v>
      </c>
      <c r="L5260" s="24">
        <f t="shared" si="414"/>
        <v>0</v>
      </c>
    </row>
    <row r="5261" spans="1:12" ht="15" customHeight="1" x14ac:dyDescent="0.3">
      <c r="A5261" s="23" t="s">
        <v>18692</v>
      </c>
      <c r="B5261" s="23" t="s">
        <v>79</v>
      </c>
      <c r="C5261" s="39">
        <v>2597</v>
      </c>
      <c r="D5261" s="24">
        <v>41.55</v>
      </c>
      <c r="E5261" s="24">
        <v>7.48</v>
      </c>
      <c r="F5261" s="23">
        <f>COUNTIFS(mdr_rate_cleaned!$A$2:$A$10,B5261,mdr_rate_cleaned!$B$2:$B$10,"&lt;"&amp;C5261,mdr_rate_cleaned!$F$2:$F$10,"&gt;="&amp;C5261)</f>
        <v>1</v>
      </c>
      <c r="G5261" s="40">
        <f>SUMIFS(mdr_rate_cleaned!$G$2:$G$10,mdr_rate_cleaned!$A$2:$A$10,B5261,mdr_rate_cleaned!$B$2:$B$10,"&lt;"&amp;C5261,mdr_rate_cleaned!$F$2:$F$10,"&gt;="&amp;C5261)</f>
        <v>1.6E-2</v>
      </c>
      <c r="H5261" s="24">
        <f t="shared" si="410"/>
        <v>41.55</v>
      </c>
      <c r="I5261" s="23" t="str">
        <f t="shared" si="411"/>
        <v>Match</v>
      </c>
      <c r="J5261" s="23" t="str">
        <f t="shared" si="412"/>
        <v>Match</v>
      </c>
      <c r="K5261" s="24">
        <f t="shared" si="413"/>
        <v>7.48</v>
      </c>
      <c r="L5261" s="24">
        <f t="shared" si="414"/>
        <v>0</v>
      </c>
    </row>
    <row r="5262" spans="1:12" ht="15" customHeight="1" x14ac:dyDescent="0.3">
      <c r="A5262" s="23" t="s">
        <v>18693</v>
      </c>
      <c r="B5262" s="23" t="s">
        <v>75</v>
      </c>
      <c r="C5262" s="39">
        <v>599</v>
      </c>
      <c r="D5262" s="24">
        <v>0</v>
      </c>
      <c r="E5262" s="24">
        <v>0</v>
      </c>
      <c r="F5262" s="23">
        <f>COUNTIFS(mdr_rate_cleaned!$A$2:$A$10,B5262,mdr_rate_cleaned!$B$2:$B$10,"&lt;"&amp;C5262,mdr_rate_cleaned!$F$2:$F$10,"&gt;="&amp;C5262)</f>
        <v>1</v>
      </c>
      <c r="G5262" s="40">
        <f>SUMIFS(mdr_rate_cleaned!$G$2:$G$10,mdr_rate_cleaned!$A$2:$A$10,B5262,mdr_rate_cleaned!$B$2:$B$10,"&lt;"&amp;C5262,mdr_rate_cleaned!$F$2:$F$10,"&gt;="&amp;C5262)</f>
        <v>0</v>
      </c>
      <c r="H5262" s="24">
        <f t="shared" si="410"/>
        <v>0</v>
      </c>
      <c r="I5262" s="23" t="str">
        <f t="shared" si="411"/>
        <v>Match</v>
      </c>
      <c r="J5262" s="23" t="str">
        <f t="shared" si="412"/>
        <v>Match</v>
      </c>
      <c r="K5262" s="24">
        <f t="shared" si="413"/>
        <v>0</v>
      </c>
      <c r="L5262" s="24">
        <f t="shared" si="414"/>
        <v>0</v>
      </c>
    </row>
    <row r="5263" spans="1:12" ht="15" customHeight="1" x14ac:dyDescent="0.3">
      <c r="A5263" s="23" t="s">
        <v>18694</v>
      </c>
      <c r="B5263" s="23" t="s">
        <v>79</v>
      </c>
      <c r="C5263" s="39">
        <v>1398</v>
      </c>
      <c r="D5263" s="24">
        <v>25.16</v>
      </c>
      <c r="E5263" s="24">
        <v>4.53</v>
      </c>
      <c r="F5263" s="23">
        <f>COUNTIFS(mdr_rate_cleaned!$A$2:$A$10,B5263,mdr_rate_cleaned!$B$2:$B$10,"&lt;"&amp;C5263,mdr_rate_cleaned!$F$2:$F$10,"&gt;="&amp;C5263)</f>
        <v>1</v>
      </c>
      <c r="G5263" s="40">
        <f>SUMIFS(mdr_rate_cleaned!$G$2:$G$10,mdr_rate_cleaned!$A$2:$A$10,B5263,mdr_rate_cleaned!$B$2:$B$10,"&lt;"&amp;C5263,mdr_rate_cleaned!$F$2:$F$10,"&gt;="&amp;C5263)</f>
        <v>1.8000000000000002E-2</v>
      </c>
      <c r="H5263" s="24">
        <f t="shared" si="410"/>
        <v>25.16</v>
      </c>
      <c r="I5263" s="23" t="str">
        <f t="shared" si="411"/>
        <v>Match</v>
      </c>
      <c r="J5263" s="23" t="str">
        <f t="shared" si="412"/>
        <v>Match</v>
      </c>
      <c r="K5263" s="24">
        <f t="shared" si="413"/>
        <v>4.53</v>
      </c>
      <c r="L5263" s="24">
        <f t="shared" si="414"/>
        <v>0</v>
      </c>
    </row>
    <row r="5264" spans="1:12" ht="15" customHeight="1" x14ac:dyDescent="0.3">
      <c r="A5264" s="23" t="s">
        <v>18695</v>
      </c>
      <c r="B5264" s="23" t="s">
        <v>75</v>
      </c>
      <c r="C5264" s="39">
        <v>2697</v>
      </c>
      <c r="D5264" s="24">
        <v>8.09</v>
      </c>
      <c r="E5264" s="24">
        <v>1.46</v>
      </c>
      <c r="F5264" s="23">
        <f>COUNTIFS(mdr_rate_cleaned!$A$2:$A$10,B5264,mdr_rate_cleaned!$B$2:$B$10,"&lt;"&amp;C5264,mdr_rate_cleaned!$F$2:$F$10,"&gt;="&amp;C5264)</f>
        <v>1</v>
      </c>
      <c r="G5264" s="40">
        <f>SUMIFS(mdr_rate_cleaned!$G$2:$G$10,mdr_rate_cleaned!$A$2:$A$10,B5264,mdr_rate_cleaned!$B$2:$B$10,"&lt;"&amp;C5264,mdr_rate_cleaned!$F$2:$F$10,"&gt;="&amp;C5264)</f>
        <v>3.0000000000000001E-3</v>
      </c>
      <c r="H5264" s="24">
        <f t="shared" si="410"/>
        <v>8.09</v>
      </c>
      <c r="I5264" s="23" t="str">
        <f t="shared" si="411"/>
        <v>Match</v>
      </c>
      <c r="J5264" s="23" t="str">
        <f t="shared" si="412"/>
        <v>Match</v>
      </c>
      <c r="K5264" s="24">
        <f t="shared" si="413"/>
        <v>1.46</v>
      </c>
      <c r="L5264" s="24">
        <f t="shared" si="414"/>
        <v>0</v>
      </c>
    </row>
    <row r="5265" spans="1:12" ht="15" customHeight="1" x14ac:dyDescent="0.3">
      <c r="A5265" s="23" t="s">
        <v>18697</v>
      </c>
      <c r="B5265" s="23" t="s">
        <v>75</v>
      </c>
      <c r="C5265" s="39">
        <v>5597</v>
      </c>
      <c r="D5265" s="24">
        <v>16.79</v>
      </c>
      <c r="E5265" s="24">
        <v>3.02</v>
      </c>
      <c r="F5265" s="23">
        <f>COUNTIFS(mdr_rate_cleaned!$A$2:$A$10,B5265,mdr_rate_cleaned!$B$2:$B$10,"&lt;"&amp;C5265,mdr_rate_cleaned!$F$2:$F$10,"&gt;="&amp;C5265)</f>
        <v>1</v>
      </c>
      <c r="G5265" s="40">
        <f>SUMIFS(mdr_rate_cleaned!$G$2:$G$10,mdr_rate_cleaned!$A$2:$A$10,B5265,mdr_rate_cleaned!$B$2:$B$10,"&lt;"&amp;C5265,mdr_rate_cleaned!$F$2:$F$10,"&gt;="&amp;C5265)</f>
        <v>3.0000000000000001E-3</v>
      </c>
      <c r="H5265" s="24">
        <f t="shared" si="410"/>
        <v>16.79</v>
      </c>
      <c r="I5265" s="23" t="str">
        <f t="shared" si="411"/>
        <v>Match</v>
      </c>
      <c r="J5265" s="23" t="str">
        <f t="shared" si="412"/>
        <v>Match</v>
      </c>
      <c r="K5265" s="24">
        <f t="shared" si="413"/>
        <v>3.02</v>
      </c>
      <c r="L5265" s="24">
        <f t="shared" si="414"/>
        <v>0</v>
      </c>
    </row>
    <row r="5266" spans="1:12" ht="15" customHeight="1" x14ac:dyDescent="0.3">
      <c r="A5266" s="23" t="s">
        <v>18699</v>
      </c>
      <c r="B5266" s="23" t="s">
        <v>79</v>
      </c>
      <c r="C5266" s="39">
        <v>4798</v>
      </c>
      <c r="D5266" s="24">
        <v>76.77</v>
      </c>
      <c r="E5266" s="24">
        <v>13.82</v>
      </c>
      <c r="F5266" s="23">
        <f>COUNTIFS(mdr_rate_cleaned!$A$2:$A$10,B5266,mdr_rate_cleaned!$B$2:$B$10,"&lt;"&amp;C5266,mdr_rate_cleaned!$F$2:$F$10,"&gt;="&amp;C5266)</f>
        <v>1</v>
      </c>
      <c r="G5266" s="40">
        <f>SUMIFS(mdr_rate_cleaned!$G$2:$G$10,mdr_rate_cleaned!$A$2:$A$10,B5266,mdr_rate_cleaned!$B$2:$B$10,"&lt;"&amp;C5266,mdr_rate_cleaned!$F$2:$F$10,"&gt;="&amp;C5266)</f>
        <v>1.6E-2</v>
      </c>
      <c r="H5266" s="24">
        <f t="shared" si="410"/>
        <v>76.77</v>
      </c>
      <c r="I5266" s="23" t="str">
        <f t="shared" si="411"/>
        <v>Match</v>
      </c>
      <c r="J5266" s="23" t="str">
        <f t="shared" si="412"/>
        <v>Match</v>
      </c>
      <c r="K5266" s="24">
        <f t="shared" si="413"/>
        <v>13.82</v>
      </c>
      <c r="L5266" s="24">
        <f t="shared" si="414"/>
        <v>0</v>
      </c>
    </row>
    <row r="5267" spans="1:12" ht="15" customHeight="1" x14ac:dyDescent="0.3">
      <c r="A5267" s="23" t="s">
        <v>18700</v>
      </c>
      <c r="B5267" s="23" t="s">
        <v>79</v>
      </c>
      <c r="C5267" s="39">
        <v>7498</v>
      </c>
      <c r="D5267" s="24">
        <v>119.97</v>
      </c>
      <c r="E5267" s="24">
        <v>21.59</v>
      </c>
      <c r="F5267" s="23">
        <f>COUNTIFS(mdr_rate_cleaned!$A$2:$A$10,B5267,mdr_rate_cleaned!$B$2:$B$10,"&lt;"&amp;C5267,mdr_rate_cleaned!$F$2:$F$10,"&gt;="&amp;C5267)</f>
        <v>1</v>
      </c>
      <c r="G5267" s="40">
        <f>SUMIFS(mdr_rate_cleaned!$G$2:$G$10,mdr_rate_cleaned!$A$2:$A$10,B5267,mdr_rate_cleaned!$B$2:$B$10,"&lt;"&amp;C5267,mdr_rate_cleaned!$F$2:$F$10,"&gt;="&amp;C5267)</f>
        <v>1.6E-2</v>
      </c>
      <c r="H5267" s="24">
        <f t="shared" si="410"/>
        <v>119.97</v>
      </c>
      <c r="I5267" s="23" t="str">
        <f t="shared" si="411"/>
        <v>Match</v>
      </c>
      <c r="J5267" s="23" t="str">
        <f t="shared" si="412"/>
        <v>Match</v>
      </c>
      <c r="K5267" s="24">
        <f t="shared" si="413"/>
        <v>21.59</v>
      </c>
      <c r="L5267" s="24">
        <f t="shared" si="414"/>
        <v>0</v>
      </c>
    </row>
    <row r="5268" spans="1:12" ht="15" customHeight="1" x14ac:dyDescent="0.3">
      <c r="A5268" s="23" t="s">
        <v>18701</v>
      </c>
      <c r="B5268" s="23" t="s">
        <v>75</v>
      </c>
      <c r="C5268" s="39">
        <v>1998</v>
      </c>
      <c r="D5268" s="24">
        <v>0</v>
      </c>
      <c r="E5268" s="24">
        <v>0</v>
      </c>
      <c r="F5268" s="23">
        <f>COUNTIFS(mdr_rate_cleaned!$A$2:$A$10,B5268,mdr_rate_cleaned!$B$2:$B$10,"&lt;"&amp;C5268,mdr_rate_cleaned!$F$2:$F$10,"&gt;="&amp;C5268)</f>
        <v>1</v>
      </c>
      <c r="G5268" s="40">
        <f>SUMIFS(mdr_rate_cleaned!$G$2:$G$10,mdr_rate_cleaned!$A$2:$A$10,B5268,mdr_rate_cleaned!$B$2:$B$10,"&lt;"&amp;C5268,mdr_rate_cleaned!$F$2:$F$10,"&gt;="&amp;C5268)</f>
        <v>0</v>
      </c>
      <c r="H5268" s="24">
        <f t="shared" si="410"/>
        <v>0</v>
      </c>
      <c r="I5268" s="23" t="str">
        <f t="shared" si="411"/>
        <v>Match</v>
      </c>
      <c r="J5268" s="23" t="str">
        <f t="shared" si="412"/>
        <v>Match</v>
      </c>
      <c r="K5268" s="24">
        <f t="shared" si="413"/>
        <v>0</v>
      </c>
      <c r="L5268" s="24">
        <f t="shared" si="414"/>
        <v>0</v>
      </c>
    </row>
    <row r="5269" spans="1:12" ht="15" customHeight="1" x14ac:dyDescent="0.3">
      <c r="A5269" s="23" t="s">
        <v>18703</v>
      </c>
      <c r="B5269" s="23" t="s">
        <v>75</v>
      </c>
      <c r="C5269" s="39">
        <v>2499</v>
      </c>
      <c r="D5269" s="24">
        <v>7.5</v>
      </c>
      <c r="E5269" s="24">
        <v>1.35</v>
      </c>
      <c r="F5269" s="23">
        <f>COUNTIFS(mdr_rate_cleaned!$A$2:$A$10,B5269,mdr_rate_cleaned!$B$2:$B$10,"&lt;"&amp;C5269,mdr_rate_cleaned!$F$2:$F$10,"&gt;="&amp;C5269)</f>
        <v>1</v>
      </c>
      <c r="G5269" s="40">
        <f>SUMIFS(mdr_rate_cleaned!$G$2:$G$10,mdr_rate_cleaned!$A$2:$A$10,B5269,mdr_rate_cleaned!$B$2:$B$10,"&lt;"&amp;C5269,mdr_rate_cleaned!$F$2:$F$10,"&gt;="&amp;C5269)</f>
        <v>3.0000000000000001E-3</v>
      </c>
      <c r="H5269" s="24">
        <f t="shared" si="410"/>
        <v>7.5</v>
      </c>
      <c r="I5269" s="23" t="str">
        <f t="shared" si="411"/>
        <v>Match</v>
      </c>
      <c r="J5269" s="23" t="str">
        <f t="shared" si="412"/>
        <v>Match</v>
      </c>
      <c r="K5269" s="24">
        <f t="shared" si="413"/>
        <v>1.35</v>
      </c>
      <c r="L5269" s="24">
        <f t="shared" si="414"/>
        <v>0</v>
      </c>
    </row>
    <row r="5270" spans="1:12" ht="15" customHeight="1" x14ac:dyDescent="0.3">
      <c r="A5270" s="23" t="s">
        <v>18704</v>
      </c>
      <c r="B5270" s="23" t="s">
        <v>75</v>
      </c>
      <c r="C5270" s="39">
        <v>1447</v>
      </c>
      <c r="D5270" s="24">
        <v>0</v>
      </c>
      <c r="E5270" s="24">
        <v>0</v>
      </c>
      <c r="F5270" s="23">
        <f>COUNTIFS(mdr_rate_cleaned!$A$2:$A$10,B5270,mdr_rate_cleaned!$B$2:$B$10,"&lt;"&amp;C5270,mdr_rate_cleaned!$F$2:$F$10,"&gt;="&amp;C5270)</f>
        <v>1</v>
      </c>
      <c r="G5270" s="40">
        <f>SUMIFS(mdr_rate_cleaned!$G$2:$G$10,mdr_rate_cleaned!$A$2:$A$10,B5270,mdr_rate_cleaned!$B$2:$B$10,"&lt;"&amp;C5270,mdr_rate_cleaned!$F$2:$F$10,"&gt;="&amp;C5270)</f>
        <v>0</v>
      </c>
      <c r="H5270" s="24">
        <f t="shared" si="410"/>
        <v>0</v>
      </c>
      <c r="I5270" s="23" t="str">
        <f t="shared" si="411"/>
        <v>Match</v>
      </c>
      <c r="J5270" s="23" t="str">
        <f t="shared" si="412"/>
        <v>Match</v>
      </c>
      <c r="K5270" s="24">
        <f t="shared" si="413"/>
        <v>0</v>
      </c>
      <c r="L5270" s="24">
        <f t="shared" si="414"/>
        <v>0</v>
      </c>
    </row>
    <row r="5271" spans="1:12" ht="15" customHeight="1" x14ac:dyDescent="0.3">
      <c r="A5271" s="23" t="s">
        <v>18706</v>
      </c>
      <c r="B5271" s="23" t="s">
        <v>75</v>
      </c>
      <c r="C5271" s="39">
        <v>2999</v>
      </c>
      <c r="D5271" s="24">
        <v>9</v>
      </c>
      <c r="E5271" s="24">
        <v>1.62</v>
      </c>
      <c r="F5271" s="23">
        <f>COUNTIFS(mdr_rate_cleaned!$A$2:$A$10,B5271,mdr_rate_cleaned!$B$2:$B$10,"&lt;"&amp;C5271,mdr_rate_cleaned!$F$2:$F$10,"&gt;="&amp;C5271)</f>
        <v>1</v>
      </c>
      <c r="G5271" s="40">
        <f>SUMIFS(mdr_rate_cleaned!$G$2:$G$10,mdr_rate_cleaned!$A$2:$A$10,B5271,mdr_rate_cleaned!$B$2:$B$10,"&lt;"&amp;C5271,mdr_rate_cleaned!$F$2:$F$10,"&gt;="&amp;C5271)</f>
        <v>3.0000000000000001E-3</v>
      </c>
      <c r="H5271" s="24">
        <f t="shared" si="410"/>
        <v>9</v>
      </c>
      <c r="I5271" s="23" t="str">
        <f t="shared" si="411"/>
        <v>Match</v>
      </c>
      <c r="J5271" s="23" t="str">
        <f t="shared" si="412"/>
        <v>Match</v>
      </c>
      <c r="K5271" s="24">
        <f t="shared" si="413"/>
        <v>1.62</v>
      </c>
      <c r="L5271" s="24">
        <f t="shared" si="414"/>
        <v>0</v>
      </c>
    </row>
    <row r="5272" spans="1:12" ht="15" customHeight="1" x14ac:dyDescent="0.3">
      <c r="A5272" s="23" t="s">
        <v>18707</v>
      </c>
      <c r="B5272" s="23" t="s">
        <v>75</v>
      </c>
      <c r="C5272" s="39">
        <v>4999</v>
      </c>
      <c r="D5272" s="24">
        <v>15</v>
      </c>
      <c r="E5272" s="24">
        <v>2.7</v>
      </c>
      <c r="F5272" s="23">
        <f>COUNTIFS(mdr_rate_cleaned!$A$2:$A$10,B5272,mdr_rate_cleaned!$B$2:$B$10,"&lt;"&amp;C5272,mdr_rate_cleaned!$F$2:$F$10,"&gt;="&amp;C5272)</f>
        <v>1</v>
      </c>
      <c r="G5272" s="40">
        <f>SUMIFS(mdr_rate_cleaned!$G$2:$G$10,mdr_rate_cleaned!$A$2:$A$10,B5272,mdr_rate_cleaned!$B$2:$B$10,"&lt;"&amp;C5272,mdr_rate_cleaned!$F$2:$F$10,"&gt;="&amp;C5272)</f>
        <v>3.0000000000000001E-3</v>
      </c>
      <c r="H5272" s="24">
        <f t="shared" si="410"/>
        <v>15</v>
      </c>
      <c r="I5272" s="23" t="str">
        <f t="shared" si="411"/>
        <v>Match</v>
      </c>
      <c r="J5272" s="23" t="str">
        <f t="shared" si="412"/>
        <v>Match</v>
      </c>
      <c r="K5272" s="24">
        <f t="shared" si="413"/>
        <v>2.7</v>
      </c>
      <c r="L5272" s="24">
        <f t="shared" si="414"/>
        <v>0</v>
      </c>
    </row>
    <row r="5273" spans="1:12" ht="15" customHeight="1" x14ac:dyDescent="0.3">
      <c r="A5273" s="23" t="s">
        <v>18708</v>
      </c>
      <c r="B5273" s="23" t="s">
        <v>81</v>
      </c>
      <c r="C5273" s="39">
        <v>3298</v>
      </c>
      <c r="D5273" s="24">
        <v>39.58</v>
      </c>
      <c r="E5273" s="24">
        <v>7.12</v>
      </c>
      <c r="F5273" s="23">
        <f>COUNTIFS(mdr_rate_cleaned!$A$2:$A$10,B5273,mdr_rate_cleaned!$B$2:$B$10,"&lt;"&amp;C5273,mdr_rate_cleaned!$F$2:$F$10,"&gt;="&amp;C5273)</f>
        <v>1</v>
      </c>
      <c r="G5273" s="40">
        <f>SUMIFS(mdr_rate_cleaned!$G$2:$G$10,mdr_rate_cleaned!$A$2:$A$10,B5273,mdr_rate_cleaned!$B$2:$B$10,"&lt;"&amp;C5273,mdr_rate_cleaned!$F$2:$F$10,"&gt;="&amp;C5273)</f>
        <v>1.2E-2</v>
      </c>
      <c r="H5273" s="24">
        <f t="shared" si="410"/>
        <v>39.58</v>
      </c>
      <c r="I5273" s="23" t="str">
        <f t="shared" si="411"/>
        <v>Match</v>
      </c>
      <c r="J5273" s="23" t="str">
        <f t="shared" si="412"/>
        <v>Match</v>
      </c>
      <c r="K5273" s="24">
        <f t="shared" si="413"/>
        <v>7.12</v>
      </c>
      <c r="L5273" s="24">
        <f t="shared" si="414"/>
        <v>0</v>
      </c>
    </row>
    <row r="5274" spans="1:12" ht="15" customHeight="1" x14ac:dyDescent="0.3">
      <c r="A5274" s="23" t="s">
        <v>18709</v>
      </c>
      <c r="B5274" s="23" t="s">
        <v>77</v>
      </c>
      <c r="C5274" s="39">
        <v>13597</v>
      </c>
      <c r="D5274" s="24">
        <v>231.15</v>
      </c>
      <c r="E5274" s="24">
        <v>41.61</v>
      </c>
      <c r="F5274" s="23">
        <f>COUNTIFS(mdr_rate_cleaned!$A$2:$A$10,B5274,mdr_rate_cleaned!$B$2:$B$10,"&lt;"&amp;C5274,mdr_rate_cleaned!$F$2:$F$10,"&gt;="&amp;C5274)</f>
        <v>1</v>
      </c>
      <c r="G5274" s="40">
        <f>SUMIFS(mdr_rate_cleaned!$G$2:$G$10,mdr_rate_cleaned!$A$2:$A$10,B5274,mdr_rate_cleaned!$B$2:$B$10,"&lt;"&amp;C5274,mdr_rate_cleaned!$F$2:$F$10,"&gt;="&amp;C5274)</f>
        <v>1.7000000000000001E-2</v>
      </c>
      <c r="H5274" s="24">
        <f t="shared" si="410"/>
        <v>231.15</v>
      </c>
      <c r="I5274" s="23" t="str">
        <f t="shared" si="411"/>
        <v>Match</v>
      </c>
      <c r="J5274" s="23" t="str">
        <f t="shared" si="412"/>
        <v>Match</v>
      </c>
      <c r="K5274" s="24">
        <f t="shared" si="413"/>
        <v>41.61</v>
      </c>
      <c r="L5274" s="24">
        <f t="shared" si="414"/>
        <v>0</v>
      </c>
    </row>
    <row r="5275" spans="1:12" ht="15" customHeight="1" x14ac:dyDescent="0.3">
      <c r="A5275" s="23" t="s">
        <v>18711</v>
      </c>
      <c r="B5275" s="23" t="s">
        <v>75</v>
      </c>
      <c r="C5275" s="39">
        <v>349</v>
      </c>
      <c r="D5275" s="24">
        <v>0</v>
      </c>
      <c r="E5275" s="24">
        <v>0</v>
      </c>
      <c r="F5275" s="23">
        <f>COUNTIFS(mdr_rate_cleaned!$A$2:$A$10,B5275,mdr_rate_cleaned!$B$2:$B$10,"&lt;"&amp;C5275,mdr_rate_cleaned!$F$2:$F$10,"&gt;="&amp;C5275)</f>
        <v>1</v>
      </c>
      <c r="G5275" s="40">
        <f>SUMIFS(mdr_rate_cleaned!$G$2:$G$10,mdr_rate_cleaned!$A$2:$A$10,B5275,mdr_rate_cleaned!$B$2:$B$10,"&lt;"&amp;C5275,mdr_rate_cleaned!$F$2:$F$10,"&gt;="&amp;C5275)</f>
        <v>0</v>
      </c>
      <c r="H5275" s="24">
        <f t="shared" si="410"/>
        <v>0</v>
      </c>
      <c r="I5275" s="23" t="str">
        <f t="shared" si="411"/>
        <v>Match</v>
      </c>
      <c r="J5275" s="23" t="str">
        <f t="shared" si="412"/>
        <v>Match</v>
      </c>
      <c r="K5275" s="24">
        <f t="shared" si="413"/>
        <v>0</v>
      </c>
      <c r="L5275" s="24">
        <f t="shared" si="414"/>
        <v>0</v>
      </c>
    </row>
    <row r="5276" spans="1:12" ht="15" customHeight="1" x14ac:dyDescent="0.3">
      <c r="A5276" s="23" t="s">
        <v>18712</v>
      </c>
      <c r="B5276" s="23" t="s">
        <v>79</v>
      </c>
      <c r="C5276" s="39">
        <v>1299</v>
      </c>
      <c r="D5276" s="24">
        <v>23.38</v>
      </c>
      <c r="E5276" s="24">
        <v>4.21</v>
      </c>
      <c r="F5276" s="23">
        <f>COUNTIFS(mdr_rate_cleaned!$A$2:$A$10,B5276,mdr_rate_cleaned!$B$2:$B$10,"&lt;"&amp;C5276,mdr_rate_cleaned!$F$2:$F$10,"&gt;="&amp;C5276)</f>
        <v>1</v>
      </c>
      <c r="G5276" s="40">
        <f>SUMIFS(mdr_rate_cleaned!$G$2:$G$10,mdr_rate_cleaned!$A$2:$A$10,B5276,mdr_rate_cleaned!$B$2:$B$10,"&lt;"&amp;C5276,mdr_rate_cleaned!$F$2:$F$10,"&gt;="&amp;C5276)</f>
        <v>1.8000000000000002E-2</v>
      </c>
      <c r="H5276" s="24">
        <f t="shared" si="410"/>
        <v>23.38</v>
      </c>
      <c r="I5276" s="23" t="str">
        <f t="shared" si="411"/>
        <v>Match</v>
      </c>
      <c r="J5276" s="23" t="str">
        <f t="shared" si="412"/>
        <v>Match</v>
      </c>
      <c r="K5276" s="24">
        <f t="shared" si="413"/>
        <v>4.21</v>
      </c>
      <c r="L5276" s="24">
        <f t="shared" si="414"/>
        <v>0</v>
      </c>
    </row>
    <row r="5277" spans="1:12" ht="15" customHeight="1" x14ac:dyDescent="0.3">
      <c r="A5277" s="23" t="s">
        <v>18713</v>
      </c>
      <c r="B5277" s="23" t="s">
        <v>75</v>
      </c>
      <c r="C5277" s="39">
        <v>2499</v>
      </c>
      <c r="D5277" s="24">
        <v>7.5</v>
      </c>
      <c r="E5277" s="24">
        <v>1.35</v>
      </c>
      <c r="F5277" s="23">
        <f>COUNTIFS(mdr_rate_cleaned!$A$2:$A$10,B5277,mdr_rate_cleaned!$B$2:$B$10,"&lt;"&amp;C5277,mdr_rate_cleaned!$F$2:$F$10,"&gt;="&amp;C5277)</f>
        <v>1</v>
      </c>
      <c r="G5277" s="40">
        <f>SUMIFS(mdr_rate_cleaned!$G$2:$G$10,mdr_rate_cleaned!$A$2:$A$10,B5277,mdr_rate_cleaned!$B$2:$B$10,"&lt;"&amp;C5277,mdr_rate_cleaned!$F$2:$F$10,"&gt;="&amp;C5277)</f>
        <v>3.0000000000000001E-3</v>
      </c>
      <c r="H5277" s="24">
        <f t="shared" si="410"/>
        <v>7.5</v>
      </c>
      <c r="I5277" s="23" t="str">
        <f t="shared" si="411"/>
        <v>Match</v>
      </c>
      <c r="J5277" s="23" t="str">
        <f t="shared" si="412"/>
        <v>Match</v>
      </c>
      <c r="K5277" s="24">
        <f t="shared" si="413"/>
        <v>1.35</v>
      </c>
      <c r="L5277" s="24">
        <f t="shared" si="414"/>
        <v>0</v>
      </c>
    </row>
    <row r="5278" spans="1:12" ht="15" customHeight="1" x14ac:dyDescent="0.3">
      <c r="A5278" s="23" t="s">
        <v>18714</v>
      </c>
      <c r="B5278" s="23" t="s">
        <v>77</v>
      </c>
      <c r="C5278" s="39">
        <v>1499</v>
      </c>
      <c r="D5278" s="24">
        <v>28.48</v>
      </c>
      <c r="E5278" s="24">
        <v>5.13</v>
      </c>
      <c r="F5278" s="23">
        <f>COUNTIFS(mdr_rate_cleaned!$A$2:$A$10,B5278,mdr_rate_cleaned!$B$2:$B$10,"&lt;"&amp;C5278,mdr_rate_cleaned!$F$2:$F$10,"&gt;="&amp;C5278)</f>
        <v>1</v>
      </c>
      <c r="G5278" s="40">
        <f>SUMIFS(mdr_rate_cleaned!$G$2:$G$10,mdr_rate_cleaned!$A$2:$A$10,B5278,mdr_rate_cleaned!$B$2:$B$10,"&lt;"&amp;C5278,mdr_rate_cleaned!$F$2:$F$10,"&gt;="&amp;C5278)</f>
        <v>1.9E-2</v>
      </c>
      <c r="H5278" s="24">
        <f t="shared" si="410"/>
        <v>28.48</v>
      </c>
      <c r="I5278" s="23" t="str">
        <f t="shared" si="411"/>
        <v>Match</v>
      </c>
      <c r="J5278" s="23" t="str">
        <f t="shared" si="412"/>
        <v>Match</v>
      </c>
      <c r="K5278" s="24">
        <f t="shared" si="413"/>
        <v>5.13</v>
      </c>
      <c r="L5278" s="24">
        <f t="shared" si="414"/>
        <v>0</v>
      </c>
    </row>
    <row r="5279" spans="1:12" ht="15" customHeight="1" x14ac:dyDescent="0.3">
      <c r="A5279" s="23" t="s">
        <v>18715</v>
      </c>
      <c r="B5279" s="23" t="s">
        <v>75</v>
      </c>
      <c r="C5279" s="39">
        <v>4097</v>
      </c>
      <c r="D5279" s="24">
        <v>12.29</v>
      </c>
      <c r="E5279" s="24">
        <v>2.21</v>
      </c>
      <c r="F5279" s="23">
        <f>COUNTIFS(mdr_rate_cleaned!$A$2:$A$10,B5279,mdr_rate_cleaned!$B$2:$B$10,"&lt;"&amp;C5279,mdr_rate_cleaned!$F$2:$F$10,"&gt;="&amp;C5279)</f>
        <v>1</v>
      </c>
      <c r="G5279" s="40">
        <f>SUMIFS(mdr_rate_cleaned!$G$2:$G$10,mdr_rate_cleaned!$A$2:$A$10,B5279,mdr_rate_cleaned!$B$2:$B$10,"&lt;"&amp;C5279,mdr_rate_cleaned!$F$2:$F$10,"&gt;="&amp;C5279)</f>
        <v>3.0000000000000001E-3</v>
      </c>
      <c r="H5279" s="24">
        <f t="shared" si="410"/>
        <v>12.29</v>
      </c>
      <c r="I5279" s="23" t="str">
        <f t="shared" si="411"/>
        <v>Match</v>
      </c>
      <c r="J5279" s="23" t="str">
        <f t="shared" si="412"/>
        <v>Match</v>
      </c>
      <c r="K5279" s="24">
        <f t="shared" si="413"/>
        <v>2.21</v>
      </c>
      <c r="L5279" s="24">
        <f t="shared" si="414"/>
        <v>0</v>
      </c>
    </row>
    <row r="5280" spans="1:12" ht="15" customHeight="1" x14ac:dyDescent="0.3">
      <c r="A5280" s="23" t="s">
        <v>18716</v>
      </c>
      <c r="B5280" s="23" t="s">
        <v>75</v>
      </c>
      <c r="C5280" s="39">
        <v>11797</v>
      </c>
      <c r="D5280" s="24">
        <v>35.39</v>
      </c>
      <c r="E5280" s="24">
        <v>6.37</v>
      </c>
      <c r="F5280" s="23">
        <f>COUNTIFS(mdr_rate_cleaned!$A$2:$A$10,B5280,mdr_rate_cleaned!$B$2:$B$10,"&lt;"&amp;C5280,mdr_rate_cleaned!$F$2:$F$10,"&gt;="&amp;C5280)</f>
        <v>1</v>
      </c>
      <c r="G5280" s="40">
        <f>SUMIFS(mdr_rate_cleaned!$G$2:$G$10,mdr_rate_cleaned!$A$2:$A$10,B5280,mdr_rate_cleaned!$B$2:$B$10,"&lt;"&amp;C5280,mdr_rate_cleaned!$F$2:$F$10,"&gt;="&amp;C5280)</f>
        <v>3.0000000000000001E-3</v>
      </c>
      <c r="H5280" s="24">
        <f t="shared" si="410"/>
        <v>35.39</v>
      </c>
      <c r="I5280" s="23" t="str">
        <f t="shared" si="411"/>
        <v>Match</v>
      </c>
      <c r="J5280" s="23" t="str">
        <f t="shared" si="412"/>
        <v>Match</v>
      </c>
      <c r="K5280" s="24">
        <f t="shared" si="413"/>
        <v>6.37</v>
      </c>
      <c r="L5280" s="24">
        <f t="shared" si="414"/>
        <v>0</v>
      </c>
    </row>
    <row r="5281" spans="1:12" ht="15" customHeight="1" x14ac:dyDescent="0.3">
      <c r="A5281" s="23" t="s">
        <v>18718</v>
      </c>
      <c r="B5281" s="23" t="s">
        <v>77</v>
      </c>
      <c r="C5281" s="39">
        <v>499</v>
      </c>
      <c r="D5281" s="24">
        <v>9.48</v>
      </c>
      <c r="E5281" s="24">
        <v>1.71</v>
      </c>
      <c r="F5281" s="23">
        <f>COUNTIFS(mdr_rate_cleaned!$A$2:$A$10,B5281,mdr_rate_cleaned!$B$2:$B$10,"&lt;"&amp;C5281,mdr_rate_cleaned!$F$2:$F$10,"&gt;="&amp;C5281)</f>
        <v>1</v>
      </c>
      <c r="G5281" s="40">
        <f>SUMIFS(mdr_rate_cleaned!$G$2:$G$10,mdr_rate_cleaned!$A$2:$A$10,B5281,mdr_rate_cleaned!$B$2:$B$10,"&lt;"&amp;C5281,mdr_rate_cleaned!$F$2:$F$10,"&gt;="&amp;C5281)</f>
        <v>1.9E-2</v>
      </c>
      <c r="H5281" s="24">
        <f t="shared" si="410"/>
        <v>9.48</v>
      </c>
      <c r="I5281" s="23" t="str">
        <f t="shared" si="411"/>
        <v>Match</v>
      </c>
      <c r="J5281" s="23" t="str">
        <f t="shared" si="412"/>
        <v>Match</v>
      </c>
      <c r="K5281" s="24">
        <f t="shared" si="413"/>
        <v>1.71</v>
      </c>
      <c r="L5281" s="24">
        <f t="shared" si="414"/>
        <v>0</v>
      </c>
    </row>
    <row r="5282" spans="1:12" ht="15" customHeight="1" x14ac:dyDescent="0.3">
      <c r="A5282" s="23" t="s">
        <v>18719</v>
      </c>
      <c r="B5282" s="23" t="s">
        <v>77</v>
      </c>
      <c r="C5282" s="39">
        <v>7297</v>
      </c>
      <c r="D5282" s="24">
        <v>124.05</v>
      </c>
      <c r="E5282" s="24">
        <v>22.33</v>
      </c>
      <c r="F5282" s="23">
        <f>COUNTIFS(mdr_rate_cleaned!$A$2:$A$10,B5282,mdr_rate_cleaned!$B$2:$B$10,"&lt;"&amp;C5282,mdr_rate_cleaned!$F$2:$F$10,"&gt;="&amp;C5282)</f>
        <v>1</v>
      </c>
      <c r="G5282" s="40">
        <f>SUMIFS(mdr_rate_cleaned!$G$2:$G$10,mdr_rate_cleaned!$A$2:$A$10,B5282,mdr_rate_cleaned!$B$2:$B$10,"&lt;"&amp;C5282,mdr_rate_cleaned!$F$2:$F$10,"&gt;="&amp;C5282)</f>
        <v>1.7000000000000001E-2</v>
      </c>
      <c r="H5282" s="24">
        <f t="shared" si="410"/>
        <v>124.05</v>
      </c>
      <c r="I5282" s="23" t="str">
        <f t="shared" si="411"/>
        <v>Match</v>
      </c>
      <c r="J5282" s="23" t="str">
        <f t="shared" si="412"/>
        <v>Match</v>
      </c>
      <c r="K5282" s="24">
        <f t="shared" si="413"/>
        <v>22.33</v>
      </c>
      <c r="L5282" s="24">
        <f t="shared" si="414"/>
        <v>0</v>
      </c>
    </row>
    <row r="5283" spans="1:12" ht="15" customHeight="1" x14ac:dyDescent="0.3">
      <c r="A5283" s="23" t="s">
        <v>18720</v>
      </c>
      <c r="B5283" s="23" t="s">
        <v>81</v>
      </c>
      <c r="C5283" s="39">
        <v>11498</v>
      </c>
      <c r="D5283" s="24">
        <v>103.48</v>
      </c>
      <c r="E5283" s="24">
        <v>18.63</v>
      </c>
      <c r="F5283" s="23">
        <f>COUNTIFS(mdr_rate_cleaned!$A$2:$A$10,B5283,mdr_rate_cleaned!$B$2:$B$10,"&lt;"&amp;C5283,mdr_rate_cleaned!$F$2:$F$10,"&gt;="&amp;C5283)</f>
        <v>1</v>
      </c>
      <c r="G5283" s="40">
        <f>SUMIFS(mdr_rate_cleaned!$G$2:$G$10,mdr_rate_cleaned!$A$2:$A$10,B5283,mdr_rate_cleaned!$B$2:$B$10,"&lt;"&amp;C5283,mdr_rate_cleaned!$F$2:$F$10,"&gt;="&amp;C5283)</f>
        <v>9.0000000000000011E-3</v>
      </c>
      <c r="H5283" s="24">
        <f t="shared" si="410"/>
        <v>103.48</v>
      </c>
      <c r="I5283" s="23" t="str">
        <f t="shared" si="411"/>
        <v>Match</v>
      </c>
      <c r="J5283" s="23" t="str">
        <f t="shared" si="412"/>
        <v>Match</v>
      </c>
      <c r="K5283" s="24">
        <f t="shared" si="413"/>
        <v>18.63</v>
      </c>
      <c r="L5283" s="24">
        <f t="shared" si="414"/>
        <v>0</v>
      </c>
    </row>
    <row r="5284" spans="1:12" ht="15" customHeight="1" x14ac:dyDescent="0.3">
      <c r="A5284" s="23" t="s">
        <v>18721</v>
      </c>
      <c r="B5284" s="23" t="s">
        <v>75</v>
      </c>
      <c r="C5284" s="39">
        <v>2798</v>
      </c>
      <c r="D5284" s="24">
        <v>8.39</v>
      </c>
      <c r="E5284" s="24">
        <v>1.51</v>
      </c>
      <c r="F5284" s="23">
        <f>COUNTIFS(mdr_rate_cleaned!$A$2:$A$10,B5284,mdr_rate_cleaned!$B$2:$B$10,"&lt;"&amp;C5284,mdr_rate_cleaned!$F$2:$F$10,"&gt;="&amp;C5284)</f>
        <v>1</v>
      </c>
      <c r="G5284" s="40">
        <f>SUMIFS(mdr_rate_cleaned!$G$2:$G$10,mdr_rate_cleaned!$A$2:$A$10,B5284,mdr_rate_cleaned!$B$2:$B$10,"&lt;"&amp;C5284,mdr_rate_cleaned!$F$2:$F$10,"&gt;="&amp;C5284)</f>
        <v>3.0000000000000001E-3</v>
      </c>
      <c r="H5284" s="24">
        <f t="shared" si="410"/>
        <v>8.39</v>
      </c>
      <c r="I5284" s="23" t="str">
        <f t="shared" si="411"/>
        <v>Match</v>
      </c>
      <c r="J5284" s="23" t="str">
        <f t="shared" si="412"/>
        <v>Match</v>
      </c>
      <c r="K5284" s="24">
        <f t="shared" si="413"/>
        <v>1.51</v>
      </c>
      <c r="L5284" s="24">
        <f t="shared" si="414"/>
        <v>0</v>
      </c>
    </row>
    <row r="5285" spans="1:12" ht="15" customHeight="1" x14ac:dyDescent="0.3">
      <c r="A5285" s="23" t="s">
        <v>18722</v>
      </c>
      <c r="B5285" s="23" t="s">
        <v>75</v>
      </c>
      <c r="C5285" s="39">
        <v>3097</v>
      </c>
      <c r="D5285" s="24">
        <v>9.2899999999999991</v>
      </c>
      <c r="E5285" s="24">
        <v>1.67</v>
      </c>
      <c r="F5285" s="23">
        <f>COUNTIFS(mdr_rate_cleaned!$A$2:$A$10,B5285,mdr_rate_cleaned!$B$2:$B$10,"&lt;"&amp;C5285,mdr_rate_cleaned!$F$2:$F$10,"&gt;="&amp;C5285)</f>
        <v>1</v>
      </c>
      <c r="G5285" s="40">
        <f>SUMIFS(mdr_rate_cleaned!$G$2:$G$10,mdr_rate_cleaned!$A$2:$A$10,B5285,mdr_rate_cleaned!$B$2:$B$10,"&lt;"&amp;C5285,mdr_rate_cleaned!$F$2:$F$10,"&gt;="&amp;C5285)</f>
        <v>3.0000000000000001E-3</v>
      </c>
      <c r="H5285" s="24">
        <f t="shared" si="410"/>
        <v>9.2899999999999991</v>
      </c>
      <c r="I5285" s="23" t="str">
        <f t="shared" si="411"/>
        <v>Match</v>
      </c>
      <c r="J5285" s="23" t="str">
        <f t="shared" si="412"/>
        <v>Match</v>
      </c>
      <c r="K5285" s="24">
        <f t="shared" si="413"/>
        <v>1.67</v>
      </c>
      <c r="L5285" s="24">
        <f t="shared" si="414"/>
        <v>0</v>
      </c>
    </row>
    <row r="5286" spans="1:12" ht="15" customHeight="1" x14ac:dyDescent="0.3">
      <c r="A5286" s="23" t="s">
        <v>18724</v>
      </c>
      <c r="B5286" s="23" t="s">
        <v>75</v>
      </c>
      <c r="C5286" s="39">
        <v>2598</v>
      </c>
      <c r="D5286" s="24">
        <v>7.79</v>
      </c>
      <c r="E5286" s="24">
        <v>1.4</v>
      </c>
      <c r="F5286" s="23">
        <f>COUNTIFS(mdr_rate_cleaned!$A$2:$A$10,B5286,mdr_rate_cleaned!$B$2:$B$10,"&lt;"&amp;C5286,mdr_rate_cleaned!$F$2:$F$10,"&gt;="&amp;C5286)</f>
        <v>1</v>
      </c>
      <c r="G5286" s="40">
        <f>SUMIFS(mdr_rate_cleaned!$G$2:$G$10,mdr_rate_cleaned!$A$2:$A$10,B5286,mdr_rate_cleaned!$B$2:$B$10,"&lt;"&amp;C5286,mdr_rate_cleaned!$F$2:$F$10,"&gt;="&amp;C5286)</f>
        <v>3.0000000000000001E-3</v>
      </c>
      <c r="H5286" s="24">
        <f t="shared" si="410"/>
        <v>7.79</v>
      </c>
      <c r="I5286" s="23" t="str">
        <f t="shared" si="411"/>
        <v>Match</v>
      </c>
      <c r="J5286" s="23" t="str">
        <f t="shared" si="412"/>
        <v>Match</v>
      </c>
      <c r="K5286" s="24">
        <f t="shared" si="413"/>
        <v>1.4</v>
      </c>
      <c r="L5286" s="24">
        <f t="shared" si="414"/>
        <v>0</v>
      </c>
    </row>
    <row r="5287" spans="1:12" ht="15" customHeight="1" x14ac:dyDescent="0.3">
      <c r="A5287" s="23" t="s">
        <v>18725</v>
      </c>
      <c r="B5287" s="23" t="s">
        <v>75</v>
      </c>
      <c r="C5287" s="39">
        <v>349</v>
      </c>
      <c r="D5287" s="24">
        <v>0</v>
      </c>
      <c r="E5287" s="24">
        <v>0</v>
      </c>
      <c r="F5287" s="23">
        <f>COUNTIFS(mdr_rate_cleaned!$A$2:$A$10,B5287,mdr_rate_cleaned!$B$2:$B$10,"&lt;"&amp;C5287,mdr_rate_cleaned!$F$2:$F$10,"&gt;="&amp;C5287)</f>
        <v>1</v>
      </c>
      <c r="G5287" s="40">
        <f>SUMIFS(mdr_rate_cleaned!$G$2:$G$10,mdr_rate_cleaned!$A$2:$A$10,B5287,mdr_rate_cleaned!$B$2:$B$10,"&lt;"&amp;C5287,mdr_rate_cleaned!$F$2:$F$10,"&gt;="&amp;C5287)</f>
        <v>0</v>
      </c>
      <c r="H5287" s="24">
        <f t="shared" si="410"/>
        <v>0</v>
      </c>
      <c r="I5287" s="23" t="str">
        <f t="shared" si="411"/>
        <v>Match</v>
      </c>
      <c r="J5287" s="23" t="str">
        <f t="shared" si="412"/>
        <v>Match</v>
      </c>
      <c r="K5287" s="24">
        <f t="shared" si="413"/>
        <v>0</v>
      </c>
      <c r="L5287" s="24">
        <f t="shared" si="414"/>
        <v>0</v>
      </c>
    </row>
    <row r="5288" spans="1:12" ht="15" customHeight="1" x14ac:dyDescent="0.3">
      <c r="A5288" s="23" t="s">
        <v>18726</v>
      </c>
      <c r="B5288" s="23" t="s">
        <v>79</v>
      </c>
      <c r="C5288" s="39">
        <v>4098</v>
      </c>
      <c r="D5288" s="24">
        <v>65.569999999999993</v>
      </c>
      <c r="E5288" s="24">
        <v>11.8</v>
      </c>
      <c r="F5288" s="23">
        <f>COUNTIFS(mdr_rate_cleaned!$A$2:$A$10,B5288,mdr_rate_cleaned!$B$2:$B$10,"&lt;"&amp;C5288,mdr_rate_cleaned!$F$2:$F$10,"&gt;="&amp;C5288)</f>
        <v>1</v>
      </c>
      <c r="G5288" s="40">
        <f>SUMIFS(mdr_rate_cleaned!$G$2:$G$10,mdr_rate_cleaned!$A$2:$A$10,B5288,mdr_rate_cleaned!$B$2:$B$10,"&lt;"&amp;C5288,mdr_rate_cleaned!$F$2:$F$10,"&gt;="&amp;C5288)</f>
        <v>1.6E-2</v>
      </c>
      <c r="H5288" s="24">
        <f t="shared" si="410"/>
        <v>65.569999999999993</v>
      </c>
      <c r="I5288" s="23" t="str">
        <f t="shared" si="411"/>
        <v>Match</v>
      </c>
      <c r="J5288" s="23" t="str">
        <f t="shared" si="412"/>
        <v>Match</v>
      </c>
      <c r="K5288" s="24">
        <f t="shared" si="413"/>
        <v>11.8</v>
      </c>
      <c r="L5288" s="24">
        <f t="shared" si="414"/>
        <v>0</v>
      </c>
    </row>
    <row r="5289" spans="1:12" ht="15" customHeight="1" x14ac:dyDescent="0.3">
      <c r="A5289" s="23" t="s">
        <v>18727</v>
      </c>
      <c r="B5289" s="23" t="s">
        <v>79</v>
      </c>
      <c r="C5289" s="39">
        <v>3499</v>
      </c>
      <c r="D5289" s="24">
        <v>55.98</v>
      </c>
      <c r="E5289" s="24">
        <v>10.08</v>
      </c>
      <c r="F5289" s="23">
        <f>COUNTIFS(mdr_rate_cleaned!$A$2:$A$10,B5289,mdr_rate_cleaned!$B$2:$B$10,"&lt;"&amp;C5289,mdr_rate_cleaned!$F$2:$F$10,"&gt;="&amp;C5289)</f>
        <v>1</v>
      </c>
      <c r="G5289" s="40">
        <f>SUMIFS(mdr_rate_cleaned!$G$2:$G$10,mdr_rate_cleaned!$A$2:$A$10,B5289,mdr_rate_cleaned!$B$2:$B$10,"&lt;"&amp;C5289,mdr_rate_cleaned!$F$2:$F$10,"&gt;="&amp;C5289)</f>
        <v>1.6E-2</v>
      </c>
      <c r="H5289" s="24">
        <f t="shared" si="410"/>
        <v>55.98</v>
      </c>
      <c r="I5289" s="23" t="str">
        <f t="shared" si="411"/>
        <v>Match</v>
      </c>
      <c r="J5289" s="23" t="str">
        <f t="shared" si="412"/>
        <v>Match</v>
      </c>
      <c r="K5289" s="24">
        <f t="shared" si="413"/>
        <v>10.08</v>
      </c>
      <c r="L5289" s="24">
        <f t="shared" si="414"/>
        <v>0</v>
      </c>
    </row>
    <row r="5290" spans="1:12" ht="15" customHeight="1" x14ac:dyDescent="0.3">
      <c r="A5290" s="23" t="s">
        <v>18728</v>
      </c>
      <c r="B5290" s="23" t="s">
        <v>75</v>
      </c>
      <c r="C5290" s="39">
        <v>599</v>
      </c>
      <c r="D5290" s="24">
        <v>0</v>
      </c>
      <c r="E5290" s="24">
        <v>0</v>
      </c>
      <c r="F5290" s="23">
        <f>COUNTIFS(mdr_rate_cleaned!$A$2:$A$10,B5290,mdr_rate_cleaned!$B$2:$B$10,"&lt;"&amp;C5290,mdr_rate_cleaned!$F$2:$F$10,"&gt;="&amp;C5290)</f>
        <v>1</v>
      </c>
      <c r="G5290" s="40">
        <f>SUMIFS(mdr_rate_cleaned!$G$2:$G$10,mdr_rate_cleaned!$A$2:$A$10,B5290,mdr_rate_cleaned!$B$2:$B$10,"&lt;"&amp;C5290,mdr_rate_cleaned!$F$2:$F$10,"&gt;="&amp;C5290)</f>
        <v>0</v>
      </c>
      <c r="H5290" s="24">
        <f t="shared" si="410"/>
        <v>0</v>
      </c>
      <c r="I5290" s="23" t="str">
        <f t="shared" si="411"/>
        <v>Match</v>
      </c>
      <c r="J5290" s="23" t="str">
        <f t="shared" si="412"/>
        <v>Match</v>
      </c>
      <c r="K5290" s="24">
        <f t="shared" si="413"/>
        <v>0</v>
      </c>
      <c r="L5290" s="24">
        <f t="shared" si="414"/>
        <v>0</v>
      </c>
    </row>
    <row r="5291" spans="1:12" ht="15" customHeight="1" x14ac:dyDescent="0.3">
      <c r="A5291" s="23" t="s">
        <v>18741</v>
      </c>
      <c r="B5291" s="23" t="s">
        <v>75</v>
      </c>
      <c r="C5291" s="39">
        <v>7999</v>
      </c>
      <c r="D5291" s="24">
        <v>24</v>
      </c>
      <c r="E5291" s="24">
        <v>4.32</v>
      </c>
      <c r="F5291" s="23">
        <f>COUNTIFS(mdr_rate_cleaned!$A$2:$A$10,B5291,mdr_rate_cleaned!$B$2:$B$10,"&lt;"&amp;C5291,mdr_rate_cleaned!$F$2:$F$10,"&gt;="&amp;C5291)</f>
        <v>1</v>
      </c>
      <c r="G5291" s="40">
        <f>SUMIFS(mdr_rate_cleaned!$G$2:$G$10,mdr_rate_cleaned!$A$2:$A$10,B5291,mdr_rate_cleaned!$B$2:$B$10,"&lt;"&amp;C5291,mdr_rate_cleaned!$F$2:$F$10,"&gt;="&amp;C5291)</f>
        <v>3.0000000000000001E-3</v>
      </c>
      <c r="H5291" s="24">
        <f t="shared" si="410"/>
        <v>24</v>
      </c>
      <c r="I5291" s="23" t="str">
        <f t="shared" si="411"/>
        <v>Match</v>
      </c>
      <c r="J5291" s="23" t="str">
        <f t="shared" si="412"/>
        <v>Match</v>
      </c>
      <c r="K5291" s="24">
        <f t="shared" si="413"/>
        <v>4.32</v>
      </c>
      <c r="L5291" s="24">
        <f t="shared" si="414"/>
        <v>0</v>
      </c>
    </row>
    <row r="5292" spans="1:12" ht="15" customHeight="1" x14ac:dyDescent="0.3">
      <c r="A5292" s="23" t="s">
        <v>18743</v>
      </c>
      <c r="B5292" s="23" t="s">
        <v>75</v>
      </c>
      <c r="C5292" s="39">
        <v>499</v>
      </c>
      <c r="D5292" s="24">
        <v>0</v>
      </c>
      <c r="E5292" s="24">
        <v>0</v>
      </c>
      <c r="F5292" s="23">
        <f>COUNTIFS(mdr_rate_cleaned!$A$2:$A$10,B5292,mdr_rate_cleaned!$B$2:$B$10,"&lt;"&amp;C5292,mdr_rate_cleaned!$F$2:$F$10,"&gt;="&amp;C5292)</f>
        <v>1</v>
      </c>
      <c r="G5292" s="40">
        <f>SUMIFS(mdr_rate_cleaned!$G$2:$G$10,mdr_rate_cleaned!$A$2:$A$10,B5292,mdr_rate_cleaned!$B$2:$B$10,"&lt;"&amp;C5292,mdr_rate_cleaned!$F$2:$F$10,"&gt;="&amp;C5292)</f>
        <v>0</v>
      </c>
      <c r="H5292" s="24">
        <f t="shared" si="410"/>
        <v>0</v>
      </c>
      <c r="I5292" s="23" t="str">
        <f t="shared" si="411"/>
        <v>Match</v>
      </c>
      <c r="J5292" s="23" t="str">
        <f t="shared" si="412"/>
        <v>Match</v>
      </c>
      <c r="K5292" s="24">
        <f t="shared" si="413"/>
        <v>0</v>
      </c>
      <c r="L5292" s="24">
        <f t="shared" si="414"/>
        <v>0</v>
      </c>
    </row>
    <row r="5293" spans="1:12" ht="15" customHeight="1" x14ac:dyDescent="0.3">
      <c r="A5293" s="23" t="s">
        <v>18744</v>
      </c>
      <c r="B5293" s="23" t="s">
        <v>75</v>
      </c>
      <c r="C5293" s="39">
        <v>349</v>
      </c>
      <c r="D5293" s="24">
        <v>0</v>
      </c>
      <c r="E5293" s="24">
        <v>0</v>
      </c>
      <c r="F5293" s="23">
        <f>COUNTIFS(mdr_rate_cleaned!$A$2:$A$10,B5293,mdr_rate_cleaned!$B$2:$B$10,"&lt;"&amp;C5293,mdr_rate_cleaned!$F$2:$F$10,"&gt;="&amp;C5293)</f>
        <v>1</v>
      </c>
      <c r="G5293" s="40">
        <f>SUMIFS(mdr_rate_cleaned!$G$2:$G$10,mdr_rate_cleaned!$A$2:$A$10,B5293,mdr_rate_cleaned!$B$2:$B$10,"&lt;"&amp;C5293,mdr_rate_cleaned!$F$2:$F$10,"&gt;="&amp;C5293)</f>
        <v>0</v>
      </c>
      <c r="H5293" s="24">
        <f t="shared" si="410"/>
        <v>0</v>
      </c>
      <c r="I5293" s="23" t="str">
        <f t="shared" si="411"/>
        <v>Match</v>
      </c>
      <c r="J5293" s="23" t="str">
        <f t="shared" si="412"/>
        <v>Match</v>
      </c>
      <c r="K5293" s="24">
        <f t="shared" si="413"/>
        <v>0</v>
      </c>
      <c r="L5293" s="24">
        <f t="shared" si="414"/>
        <v>0</v>
      </c>
    </row>
    <row r="5294" spans="1:12" ht="15" customHeight="1" x14ac:dyDescent="0.3">
      <c r="A5294" s="23" t="s">
        <v>18746</v>
      </c>
      <c r="B5294" s="23" t="s">
        <v>79</v>
      </c>
      <c r="C5294" s="39">
        <v>8798</v>
      </c>
      <c r="D5294" s="24">
        <v>140.77000000000001</v>
      </c>
      <c r="E5294" s="24">
        <v>25.34</v>
      </c>
      <c r="F5294" s="23">
        <f>COUNTIFS(mdr_rate_cleaned!$A$2:$A$10,B5294,mdr_rate_cleaned!$B$2:$B$10,"&lt;"&amp;C5294,mdr_rate_cleaned!$F$2:$F$10,"&gt;="&amp;C5294)</f>
        <v>1</v>
      </c>
      <c r="G5294" s="40">
        <f>SUMIFS(mdr_rate_cleaned!$G$2:$G$10,mdr_rate_cleaned!$A$2:$A$10,B5294,mdr_rate_cleaned!$B$2:$B$10,"&lt;"&amp;C5294,mdr_rate_cleaned!$F$2:$F$10,"&gt;="&amp;C5294)</f>
        <v>1.6E-2</v>
      </c>
      <c r="H5294" s="24">
        <f t="shared" si="410"/>
        <v>140.77000000000001</v>
      </c>
      <c r="I5294" s="23" t="str">
        <f t="shared" si="411"/>
        <v>Match</v>
      </c>
      <c r="J5294" s="23" t="str">
        <f t="shared" si="412"/>
        <v>Match</v>
      </c>
      <c r="K5294" s="24">
        <f t="shared" si="413"/>
        <v>25.34</v>
      </c>
      <c r="L5294" s="24">
        <f t="shared" si="414"/>
        <v>0</v>
      </c>
    </row>
    <row r="5295" spans="1:12" ht="15" customHeight="1" x14ac:dyDescent="0.3">
      <c r="A5295" s="23" t="s">
        <v>18747</v>
      </c>
      <c r="B5295" s="23" t="s">
        <v>81</v>
      </c>
      <c r="C5295" s="39">
        <v>3798</v>
      </c>
      <c r="D5295" s="24">
        <v>45.58</v>
      </c>
      <c r="E5295" s="24">
        <v>8.1999999999999993</v>
      </c>
      <c r="F5295" s="23">
        <f>COUNTIFS(mdr_rate_cleaned!$A$2:$A$10,B5295,mdr_rate_cleaned!$B$2:$B$10,"&lt;"&amp;C5295,mdr_rate_cleaned!$F$2:$F$10,"&gt;="&amp;C5295)</f>
        <v>1</v>
      </c>
      <c r="G5295" s="40">
        <f>SUMIFS(mdr_rate_cleaned!$G$2:$G$10,mdr_rate_cleaned!$A$2:$A$10,B5295,mdr_rate_cleaned!$B$2:$B$10,"&lt;"&amp;C5295,mdr_rate_cleaned!$F$2:$F$10,"&gt;="&amp;C5295)</f>
        <v>1.2E-2</v>
      </c>
      <c r="H5295" s="24">
        <f t="shared" si="410"/>
        <v>45.58</v>
      </c>
      <c r="I5295" s="23" t="str">
        <f t="shared" si="411"/>
        <v>Match</v>
      </c>
      <c r="J5295" s="23" t="str">
        <f t="shared" si="412"/>
        <v>Match</v>
      </c>
      <c r="K5295" s="24">
        <f t="shared" si="413"/>
        <v>8.1999999999999993</v>
      </c>
      <c r="L5295" s="24">
        <f t="shared" si="414"/>
        <v>0</v>
      </c>
    </row>
    <row r="5296" spans="1:12" ht="15" customHeight="1" x14ac:dyDescent="0.3">
      <c r="A5296" s="23" t="s">
        <v>18748</v>
      </c>
      <c r="B5296" s="23" t="s">
        <v>75</v>
      </c>
      <c r="C5296" s="39">
        <v>1098</v>
      </c>
      <c r="D5296" s="24">
        <v>0</v>
      </c>
      <c r="E5296" s="24">
        <v>0</v>
      </c>
      <c r="F5296" s="23">
        <f>COUNTIFS(mdr_rate_cleaned!$A$2:$A$10,B5296,mdr_rate_cleaned!$B$2:$B$10,"&lt;"&amp;C5296,mdr_rate_cleaned!$F$2:$F$10,"&gt;="&amp;C5296)</f>
        <v>1</v>
      </c>
      <c r="G5296" s="40">
        <f>SUMIFS(mdr_rate_cleaned!$G$2:$G$10,mdr_rate_cleaned!$A$2:$A$10,B5296,mdr_rate_cleaned!$B$2:$B$10,"&lt;"&amp;C5296,mdr_rate_cleaned!$F$2:$F$10,"&gt;="&amp;C5296)</f>
        <v>0</v>
      </c>
      <c r="H5296" s="24">
        <f t="shared" si="410"/>
        <v>0</v>
      </c>
      <c r="I5296" s="23" t="str">
        <f t="shared" si="411"/>
        <v>Match</v>
      </c>
      <c r="J5296" s="23" t="str">
        <f t="shared" si="412"/>
        <v>Match</v>
      </c>
      <c r="K5296" s="24">
        <f t="shared" si="413"/>
        <v>0</v>
      </c>
      <c r="L5296" s="24">
        <f t="shared" si="414"/>
        <v>0</v>
      </c>
    </row>
    <row r="5297" spans="1:12" ht="15" customHeight="1" x14ac:dyDescent="0.3">
      <c r="A5297" s="23" t="s">
        <v>18749</v>
      </c>
      <c r="B5297" s="23" t="s">
        <v>75</v>
      </c>
      <c r="C5297" s="39">
        <v>3798</v>
      </c>
      <c r="D5297" s="24">
        <v>11.39</v>
      </c>
      <c r="E5297" s="24">
        <v>2.0499999999999998</v>
      </c>
      <c r="F5297" s="23">
        <f>COUNTIFS(mdr_rate_cleaned!$A$2:$A$10,B5297,mdr_rate_cleaned!$B$2:$B$10,"&lt;"&amp;C5297,mdr_rate_cleaned!$F$2:$F$10,"&gt;="&amp;C5297)</f>
        <v>1</v>
      </c>
      <c r="G5297" s="40">
        <f>SUMIFS(mdr_rate_cleaned!$G$2:$G$10,mdr_rate_cleaned!$A$2:$A$10,B5297,mdr_rate_cleaned!$B$2:$B$10,"&lt;"&amp;C5297,mdr_rate_cleaned!$F$2:$F$10,"&gt;="&amp;C5297)</f>
        <v>3.0000000000000001E-3</v>
      </c>
      <c r="H5297" s="24">
        <f t="shared" si="410"/>
        <v>11.39</v>
      </c>
      <c r="I5297" s="23" t="str">
        <f t="shared" si="411"/>
        <v>Match</v>
      </c>
      <c r="J5297" s="23" t="str">
        <f t="shared" si="412"/>
        <v>Match</v>
      </c>
      <c r="K5297" s="24">
        <f t="shared" si="413"/>
        <v>2.0499999999999998</v>
      </c>
      <c r="L5297" s="24">
        <f t="shared" si="414"/>
        <v>0</v>
      </c>
    </row>
    <row r="5298" spans="1:12" ht="15" customHeight="1" x14ac:dyDescent="0.3">
      <c r="A5298" s="23" t="s">
        <v>18751</v>
      </c>
      <c r="B5298" s="23" t="s">
        <v>75</v>
      </c>
      <c r="C5298" s="39">
        <v>5097</v>
      </c>
      <c r="D5298" s="24">
        <v>15.29</v>
      </c>
      <c r="E5298" s="24">
        <v>2.75</v>
      </c>
      <c r="F5298" s="23">
        <f>COUNTIFS(mdr_rate_cleaned!$A$2:$A$10,B5298,mdr_rate_cleaned!$B$2:$B$10,"&lt;"&amp;C5298,mdr_rate_cleaned!$F$2:$F$10,"&gt;="&amp;C5298)</f>
        <v>1</v>
      </c>
      <c r="G5298" s="40">
        <f>SUMIFS(mdr_rate_cleaned!$G$2:$G$10,mdr_rate_cleaned!$A$2:$A$10,B5298,mdr_rate_cleaned!$B$2:$B$10,"&lt;"&amp;C5298,mdr_rate_cleaned!$F$2:$F$10,"&gt;="&amp;C5298)</f>
        <v>3.0000000000000001E-3</v>
      </c>
      <c r="H5298" s="24">
        <f t="shared" si="410"/>
        <v>15.29</v>
      </c>
      <c r="I5298" s="23" t="str">
        <f t="shared" si="411"/>
        <v>Match</v>
      </c>
      <c r="J5298" s="23" t="str">
        <f t="shared" si="412"/>
        <v>Match</v>
      </c>
      <c r="K5298" s="24">
        <f t="shared" si="413"/>
        <v>2.75</v>
      </c>
      <c r="L5298" s="24">
        <f t="shared" si="414"/>
        <v>0</v>
      </c>
    </row>
    <row r="5299" spans="1:12" ht="15" customHeight="1" x14ac:dyDescent="0.3">
      <c r="A5299" s="23" t="s">
        <v>18752</v>
      </c>
      <c r="B5299" s="23" t="s">
        <v>81</v>
      </c>
      <c r="C5299" s="39">
        <v>999</v>
      </c>
      <c r="D5299" s="24">
        <v>14.99</v>
      </c>
      <c r="E5299" s="24">
        <v>2.7</v>
      </c>
      <c r="F5299" s="23">
        <f>COUNTIFS(mdr_rate_cleaned!$A$2:$A$10,B5299,mdr_rate_cleaned!$B$2:$B$10,"&lt;"&amp;C5299,mdr_rate_cleaned!$F$2:$F$10,"&gt;="&amp;C5299)</f>
        <v>1</v>
      </c>
      <c r="G5299" s="40">
        <f>SUMIFS(mdr_rate_cleaned!$G$2:$G$10,mdr_rate_cleaned!$A$2:$A$10,B5299,mdr_rate_cleaned!$B$2:$B$10,"&lt;"&amp;C5299,mdr_rate_cleaned!$F$2:$F$10,"&gt;="&amp;C5299)</f>
        <v>1.4999999999999999E-2</v>
      </c>
      <c r="H5299" s="24">
        <f t="shared" si="410"/>
        <v>14.99</v>
      </c>
      <c r="I5299" s="23" t="str">
        <f t="shared" si="411"/>
        <v>Match</v>
      </c>
      <c r="J5299" s="23" t="str">
        <f t="shared" si="412"/>
        <v>Match</v>
      </c>
      <c r="K5299" s="24">
        <f t="shared" si="413"/>
        <v>2.7</v>
      </c>
      <c r="L5299" s="24">
        <f t="shared" si="414"/>
        <v>0</v>
      </c>
    </row>
    <row r="5300" spans="1:12" ht="15" customHeight="1" x14ac:dyDescent="0.3">
      <c r="A5300" s="23" t="s">
        <v>18753</v>
      </c>
      <c r="B5300" s="23" t="s">
        <v>79</v>
      </c>
      <c r="C5300" s="39">
        <v>1498</v>
      </c>
      <c r="D5300" s="24">
        <v>26.96</v>
      </c>
      <c r="E5300" s="24">
        <v>4.8499999999999996</v>
      </c>
      <c r="F5300" s="23">
        <f>COUNTIFS(mdr_rate_cleaned!$A$2:$A$10,B5300,mdr_rate_cleaned!$B$2:$B$10,"&lt;"&amp;C5300,mdr_rate_cleaned!$F$2:$F$10,"&gt;="&amp;C5300)</f>
        <v>1</v>
      </c>
      <c r="G5300" s="40">
        <f>SUMIFS(mdr_rate_cleaned!$G$2:$G$10,mdr_rate_cleaned!$A$2:$A$10,B5300,mdr_rate_cleaned!$B$2:$B$10,"&lt;"&amp;C5300,mdr_rate_cleaned!$F$2:$F$10,"&gt;="&amp;C5300)</f>
        <v>1.8000000000000002E-2</v>
      </c>
      <c r="H5300" s="24">
        <f t="shared" si="410"/>
        <v>26.96</v>
      </c>
      <c r="I5300" s="23" t="str">
        <f t="shared" si="411"/>
        <v>Match</v>
      </c>
      <c r="J5300" s="23" t="str">
        <f t="shared" si="412"/>
        <v>Match</v>
      </c>
      <c r="K5300" s="24">
        <f t="shared" si="413"/>
        <v>4.8499999999999996</v>
      </c>
      <c r="L5300" s="24">
        <f t="shared" si="414"/>
        <v>0</v>
      </c>
    </row>
    <row r="5301" spans="1:12" ht="15" customHeight="1" x14ac:dyDescent="0.3">
      <c r="A5301" s="23" t="s">
        <v>18754</v>
      </c>
      <c r="B5301" s="23" t="s">
        <v>79</v>
      </c>
      <c r="C5301" s="39">
        <v>2798</v>
      </c>
      <c r="D5301" s="24">
        <v>44.77</v>
      </c>
      <c r="E5301" s="24">
        <v>8.06</v>
      </c>
      <c r="F5301" s="23">
        <f>COUNTIFS(mdr_rate_cleaned!$A$2:$A$10,B5301,mdr_rate_cleaned!$B$2:$B$10,"&lt;"&amp;C5301,mdr_rate_cleaned!$F$2:$F$10,"&gt;="&amp;C5301)</f>
        <v>1</v>
      </c>
      <c r="G5301" s="40">
        <f>SUMIFS(mdr_rate_cleaned!$G$2:$G$10,mdr_rate_cleaned!$A$2:$A$10,B5301,mdr_rate_cleaned!$B$2:$B$10,"&lt;"&amp;C5301,mdr_rate_cleaned!$F$2:$F$10,"&gt;="&amp;C5301)</f>
        <v>1.6E-2</v>
      </c>
      <c r="H5301" s="24">
        <f t="shared" si="410"/>
        <v>44.77</v>
      </c>
      <c r="I5301" s="23" t="str">
        <f t="shared" si="411"/>
        <v>Match</v>
      </c>
      <c r="J5301" s="23" t="str">
        <f t="shared" si="412"/>
        <v>Match</v>
      </c>
      <c r="K5301" s="24">
        <f t="shared" si="413"/>
        <v>8.06</v>
      </c>
      <c r="L5301" s="24">
        <f t="shared" si="414"/>
        <v>0</v>
      </c>
    </row>
    <row r="5302" spans="1:12" ht="15" customHeight="1" x14ac:dyDescent="0.3">
      <c r="A5302" s="23" t="s">
        <v>18756</v>
      </c>
      <c r="B5302" s="23" t="s">
        <v>75</v>
      </c>
      <c r="C5302" s="39">
        <v>1947</v>
      </c>
      <c r="D5302" s="24">
        <v>0</v>
      </c>
      <c r="E5302" s="24">
        <v>0</v>
      </c>
      <c r="F5302" s="23">
        <f>COUNTIFS(mdr_rate_cleaned!$A$2:$A$10,B5302,mdr_rate_cleaned!$B$2:$B$10,"&lt;"&amp;C5302,mdr_rate_cleaned!$F$2:$F$10,"&gt;="&amp;C5302)</f>
        <v>1</v>
      </c>
      <c r="G5302" s="40">
        <f>SUMIFS(mdr_rate_cleaned!$G$2:$G$10,mdr_rate_cleaned!$A$2:$A$10,B5302,mdr_rate_cleaned!$B$2:$B$10,"&lt;"&amp;C5302,mdr_rate_cleaned!$F$2:$F$10,"&gt;="&amp;C5302)</f>
        <v>0</v>
      </c>
      <c r="H5302" s="24">
        <f t="shared" si="410"/>
        <v>0</v>
      </c>
      <c r="I5302" s="23" t="str">
        <f t="shared" si="411"/>
        <v>Match</v>
      </c>
      <c r="J5302" s="23" t="str">
        <f t="shared" si="412"/>
        <v>Match</v>
      </c>
      <c r="K5302" s="24">
        <f t="shared" si="413"/>
        <v>0</v>
      </c>
      <c r="L5302" s="24">
        <f t="shared" si="414"/>
        <v>0</v>
      </c>
    </row>
    <row r="5303" spans="1:12" ht="15" customHeight="1" x14ac:dyDescent="0.3">
      <c r="A5303" s="23" t="s">
        <v>18757</v>
      </c>
      <c r="B5303" s="23" t="s">
        <v>75</v>
      </c>
      <c r="C5303" s="39">
        <v>1947</v>
      </c>
      <c r="D5303" s="24">
        <v>0</v>
      </c>
      <c r="E5303" s="24">
        <v>0</v>
      </c>
      <c r="F5303" s="23">
        <f>COUNTIFS(mdr_rate_cleaned!$A$2:$A$10,B5303,mdr_rate_cleaned!$B$2:$B$10,"&lt;"&amp;C5303,mdr_rate_cleaned!$F$2:$F$10,"&gt;="&amp;C5303)</f>
        <v>1</v>
      </c>
      <c r="G5303" s="40">
        <f>SUMIFS(mdr_rate_cleaned!$G$2:$G$10,mdr_rate_cleaned!$A$2:$A$10,B5303,mdr_rate_cleaned!$B$2:$B$10,"&lt;"&amp;C5303,mdr_rate_cleaned!$F$2:$F$10,"&gt;="&amp;C5303)</f>
        <v>0</v>
      </c>
      <c r="H5303" s="24">
        <f t="shared" si="410"/>
        <v>0</v>
      </c>
      <c r="I5303" s="23" t="str">
        <f t="shared" si="411"/>
        <v>Match</v>
      </c>
      <c r="J5303" s="23" t="str">
        <f t="shared" si="412"/>
        <v>Match</v>
      </c>
      <c r="K5303" s="24">
        <f t="shared" si="413"/>
        <v>0</v>
      </c>
      <c r="L5303" s="24">
        <f t="shared" si="414"/>
        <v>0</v>
      </c>
    </row>
    <row r="5304" spans="1:12" ht="15" customHeight="1" x14ac:dyDescent="0.3">
      <c r="A5304" s="23" t="s">
        <v>18758</v>
      </c>
      <c r="B5304" s="23" t="s">
        <v>75</v>
      </c>
      <c r="C5304" s="39">
        <v>3798</v>
      </c>
      <c r="D5304" s="24">
        <v>11.39</v>
      </c>
      <c r="E5304" s="24">
        <v>2.0499999999999998</v>
      </c>
      <c r="F5304" s="23">
        <f>COUNTIFS(mdr_rate_cleaned!$A$2:$A$10,B5304,mdr_rate_cleaned!$B$2:$B$10,"&lt;"&amp;C5304,mdr_rate_cleaned!$F$2:$F$10,"&gt;="&amp;C5304)</f>
        <v>1</v>
      </c>
      <c r="G5304" s="40">
        <f>SUMIFS(mdr_rate_cleaned!$G$2:$G$10,mdr_rate_cleaned!$A$2:$A$10,B5304,mdr_rate_cleaned!$B$2:$B$10,"&lt;"&amp;C5304,mdr_rate_cleaned!$F$2:$F$10,"&gt;="&amp;C5304)</f>
        <v>3.0000000000000001E-3</v>
      </c>
      <c r="H5304" s="24">
        <f t="shared" si="410"/>
        <v>11.39</v>
      </c>
      <c r="I5304" s="23" t="str">
        <f t="shared" si="411"/>
        <v>Match</v>
      </c>
      <c r="J5304" s="23" t="str">
        <f t="shared" si="412"/>
        <v>Match</v>
      </c>
      <c r="K5304" s="24">
        <f t="shared" si="413"/>
        <v>2.0499999999999998</v>
      </c>
      <c r="L5304" s="24">
        <f t="shared" si="414"/>
        <v>0</v>
      </c>
    </row>
    <row r="5305" spans="1:12" ht="15" customHeight="1" x14ac:dyDescent="0.3">
      <c r="A5305" s="23" t="s">
        <v>18759</v>
      </c>
      <c r="B5305" s="23" t="s">
        <v>79</v>
      </c>
      <c r="C5305" s="39">
        <v>4298</v>
      </c>
      <c r="D5305" s="24">
        <v>68.77</v>
      </c>
      <c r="E5305" s="24">
        <v>12.38</v>
      </c>
      <c r="F5305" s="23">
        <f>COUNTIFS(mdr_rate_cleaned!$A$2:$A$10,B5305,mdr_rate_cleaned!$B$2:$B$10,"&lt;"&amp;C5305,mdr_rate_cleaned!$F$2:$F$10,"&gt;="&amp;C5305)</f>
        <v>1</v>
      </c>
      <c r="G5305" s="40">
        <f>SUMIFS(mdr_rate_cleaned!$G$2:$G$10,mdr_rate_cleaned!$A$2:$A$10,B5305,mdr_rate_cleaned!$B$2:$B$10,"&lt;"&amp;C5305,mdr_rate_cleaned!$F$2:$F$10,"&gt;="&amp;C5305)</f>
        <v>1.6E-2</v>
      </c>
      <c r="H5305" s="24">
        <f t="shared" si="410"/>
        <v>68.77</v>
      </c>
      <c r="I5305" s="23" t="str">
        <f t="shared" si="411"/>
        <v>Match</v>
      </c>
      <c r="J5305" s="23" t="str">
        <f t="shared" si="412"/>
        <v>Match</v>
      </c>
      <c r="K5305" s="24">
        <f t="shared" si="413"/>
        <v>12.38</v>
      </c>
      <c r="L5305" s="24">
        <f t="shared" si="414"/>
        <v>0</v>
      </c>
    </row>
    <row r="5306" spans="1:12" ht="15" customHeight="1" x14ac:dyDescent="0.3">
      <c r="A5306" s="23" t="s">
        <v>18760</v>
      </c>
      <c r="B5306" s="23" t="s">
        <v>75</v>
      </c>
      <c r="C5306" s="39">
        <v>2999</v>
      </c>
      <c r="D5306" s="24">
        <v>9</v>
      </c>
      <c r="E5306" s="24">
        <v>1.62</v>
      </c>
      <c r="F5306" s="23">
        <f>COUNTIFS(mdr_rate_cleaned!$A$2:$A$10,B5306,mdr_rate_cleaned!$B$2:$B$10,"&lt;"&amp;C5306,mdr_rate_cleaned!$F$2:$F$10,"&gt;="&amp;C5306)</f>
        <v>1</v>
      </c>
      <c r="G5306" s="40">
        <f>SUMIFS(mdr_rate_cleaned!$G$2:$G$10,mdr_rate_cleaned!$A$2:$A$10,B5306,mdr_rate_cleaned!$B$2:$B$10,"&lt;"&amp;C5306,mdr_rate_cleaned!$F$2:$F$10,"&gt;="&amp;C5306)</f>
        <v>3.0000000000000001E-3</v>
      </c>
      <c r="H5306" s="24">
        <f t="shared" si="410"/>
        <v>9</v>
      </c>
      <c r="I5306" s="23" t="str">
        <f t="shared" si="411"/>
        <v>Match</v>
      </c>
      <c r="J5306" s="23" t="str">
        <f t="shared" si="412"/>
        <v>Match</v>
      </c>
      <c r="K5306" s="24">
        <f t="shared" si="413"/>
        <v>1.62</v>
      </c>
      <c r="L5306" s="24">
        <f t="shared" si="414"/>
        <v>0</v>
      </c>
    </row>
    <row r="5307" spans="1:12" ht="15" customHeight="1" x14ac:dyDescent="0.3">
      <c r="A5307" s="23" t="s">
        <v>18761</v>
      </c>
      <c r="B5307" s="23" t="s">
        <v>79</v>
      </c>
      <c r="C5307" s="39">
        <v>9097</v>
      </c>
      <c r="D5307" s="24">
        <v>145.55000000000001</v>
      </c>
      <c r="E5307" s="24">
        <v>26.2</v>
      </c>
      <c r="F5307" s="23">
        <f>COUNTIFS(mdr_rate_cleaned!$A$2:$A$10,B5307,mdr_rate_cleaned!$B$2:$B$10,"&lt;"&amp;C5307,mdr_rate_cleaned!$F$2:$F$10,"&gt;="&amp;C5307)</f>
        <v>1</v>
      </c>
      <c r="G5307" s="40">
        <f>SUMIFS(mdr_rate_cleaned!$G$2:$G$10,mdr_rate_cleaned!$A$2:$A$10,B5307,mdr_rate_cleaned!$B$2:$B$10,"&lt;"&amp;C5307,mdr_rate_cleaned!$F$2:$F$10,"&gt;="&amp;C5307)</f>
        <v>1.6E-2</v>
      </c>
      <c r="H5307" s="24">
        <f t="shared" si="410"/>
        <v>145.55000000000001</v>
      </c>
      <c r="I5307" s="23" t="str">
        <f t="shared" si="411"/>
        <v>Match</v>
      </c>
      <c r="J5307" s="23" t="str">
        <f t="shared" si="412"/>
        <v>Match</v>
      </c>
      <c r="K5307" s="24">
        <f t="shared" si="413"/>
        <v>26.2</v>
      </c>
      <c r="L5307" s="24">
        <f t="shared" si="414"/>
        <v>0</v>
      </c>
    </row>
    <row r="5308" spans="1:12" ht="15" customHeight="1" x14ac:dyDescent="0.3">
      <c r="A5308" s="23" t="s">
        <v>18762</v>
      </c>
      <c r="B5308" s="23" t="s">
        <v>75</v>
      </c>
      <c r="C5308" s="39">
        <v>1499</v>
      </c>
      <c r="D5308" s="24">
        <v>0</v>
      </c>
      <c r="E5308" s="24">
        <v>0</v>
      </c>
      <c r="F5308" s="23">
        <f>COUNTIFS(mdr_rate_cleaned!$A$2:$A$10,B5308,mdr_rate_cleaned!$B$2:$B$10,"&lt;"&amp;C5308,mdr_rate_cleaned!$F$2:$F$10,"&gt;="&amp;C5308)</f>
        <v>1</v>
      </c>
      <c r="G5308" s="40">
        <f>SUMIFS(mdr_rate_cleaned!$G$2:$G$10,mdr_rate_cleaned!$A$2:$A$10,B5308,mdr_rate_cleaned!$B$2:$B$10,"&lt;"&amp;C5308,mdr_rate_cleaned!$F$2:$F$10,"&gt;="&amp;C5308)</f>
        <v>0</v>
      </c>
      <c r="H5308" s="24">
        <f t="shared" si="410"/>
        <v>0</v>
      </c>
      <c r="I5308" s="23" t="str">
        <f t="shared" si="411"/>
        <v>Match</v>
      </c>
      <c r="J5308" s="23" t="str">
        <f t="shared" si="412"/>
        <v>Match</v>
      </c>
      <c r="K5308" s="24">
        <f t="shared" si="413"/>
        <v>0</v>
      </c>
      <c r="L5308" s="24">
        <f t="shared" si="414"/>
        <v>0</v>
      </c>
    </row>
    <row r="5309" spans="1:12" ht="15" customHeight="1" x14ac:dyDescent="0.3">
      <c r="A5309" s="23" t="s">
        <v>18764</v>
      </c>
      <c r="B5309" s="23" t="s">
        <v>75</v>
      </c>
      <c r="C5309" s="39">
        <v>4498</v>
      </c>
      <c r="D5309" s="24">
        <v>13.49</v>
      </c>
      <c r="E5309" s="24">
        <v>2.4300000000000002</v>
      </c>
      <c r="F5309" s="23">
        <f>COUNTIFS(mdr_rate_cleaned!$A$2:$A$10,B5309,mdr_rate_cleaned!$B$2:$B$10,"&lt;"&amp;C5309,mdr_rate_cleaned!$F$2:$F$10,"&gt;="&amp;C5309)</f>
        <v>1</v>
      </c>
      <c r="G5309" s="40">
        <f>SUMIFS(mdr_rate_cleaned!$G$2:$G$10,mdr_rate_cleaned!$A$2:$A$10,B5309,mdr_rate_cleaned!$B$2:$B$10,"&lt;"&amp;C5309,mdr_rate_cleaned!$F$2:$F$10,"&gt;="&amp;C5309)</f>
        <v>3.0000000000000001E-3</v>
      </c>
      <c r="H5309" s="24">
        <f t="shared" si="410"/>
        <v>13.49</v>
      </c>
      <c r="I5309" s="23" t="str">
        <f t="shared" si="411"/>
        <v>Match</v>
      </c>
      <c r="J5309" s="23" t="str">
        <f t="shared" si="412"/>
        <v>Match</v>
      </c>
      <c r="K5309" s="24">
        <f t="shared" si="413"/>
        <v>2.4300000000000002</v>
      </c>
      <c r="L5309" s="24">
        <f t="shared" si="414"/>
        <v>0</v>
      </c>
    </row>
    <row r="5310" spans="1:12" ht="15" customHeight="1" x14ac:dyDescent="0.3">
      <c r="A5310" s="23" t="s">
        <v>18765</v>
      </c>
      <c r="B5310" s="23" t="s">
        <v>79</v>
      </c>
      <c r="C5310" s="39">
        <v>349</v>
      </c>
      <c r="D5310" s="24">
        <v>6.28</v>
      </c>
      <c r="E5310" s="24">
        <v>1.1299999999999999</v>
      </c>
      <c r="F5310" s="23">
        <f>COUNTIFS(mdr_rate_cleaned!$A$2:$A$10,B5310,mdr_rate_cleaned!$B$2:$B$10,"&lt;"&amp;C5310,mdr_rate_cleaned!$F$2:$F$10,"&gt;="&amp;C5310)</f>
        <v>1</v>
      </c>
      <c r="G5310" s="40">
        <f>SUMIFS(mdr_rate_cleaned!$G$2:$G$10,mdr_rate_cleaned!$A$2:$A$10,B5310,mdr_rate_cleaned!$B$2:$B$10,"&lt;"&amp;C5310,mdr_rate_cleaned!$F$2:$F$10,"&gt;="&amp;C5310)</f>
        <v>1.8000000000000002E-2</v>
      </c>
      <c r="H5310" s="24">
        <f t="shared" si="410"/>
        <v>6.28</v>
      </c>
      <c r="I5310" s="23" t="str">
        <f t="shared" si="411"/>
        <v>Match</v>
      </c>
      <c r="J5310" s="23" t="str">
        <f t="shared" si="412"/>
        <v>Match</v>
      </c>
      <c r="K5310" s="24">
        <f t="shared" si="413"/>
        <v>1.1299999999999999</v>
      </c>
      <c r="L5310" s="24">
        <f t="shared" si="414"/>
        <v>0</v>
      </c>
    </row>
    <row r="5311" spans="1:12" ht="15" customHeight="1" x14ac:dyDescent="0.3">
      <c r="A5311" s="23" t="s">
        <v>18766</v>
      </c>
      <c r="B5311" s="23" t="s">
        <v>75</v>
      </c>
      <c r="C5311" s="39">
        <v>4999</v>
      </c>
      <c r="D5311" s="24">
        <v>15</v>
      </c>
      <c r="E5311" s="24">
        <v>2.7</v>
      </c>
      <c r="F5311" s="23">
        <f>COUNTIFS(mdr_rate_cleaned!$A$2:$A$10,B5311,mdr_rate_cleaned!$B$2:$B$10,"&lt;"&amp;C5311,mdr_rate_cleaned!$F$2:$F$10,"&gt;="&amp;C5311)</f>
        <v>1</v>
      </c>
      <c r="G5311" s="40">
        <f>SUMIFS(mdr_rate_cleaned!$G$2:$G$10,mdr_rate_cleaned!$A$2:$A$10,B5311,mdr_rate_cleaned!$B$2:$B$10,"&lt;"&amp;C5311,mdr_rate_cleaned!$F$2:$F$10,"&gt;="&amp;C5311)</f>
        <v>3.0000000000000001E-3</v>
      </c>
      <c r="H5311" s="24">
        <f t="shared" si="410"/>
        <v>15</v>
      </c>
      <c r="I5311" s="23" t="str">
        <f t="shared" si="411"/>
        <v>Match</v>
      </c>
      <c r="J5311" s="23" t="str">
        <f t="shared" si="412"/>
        <v>Match</v>
      </c>
      <c r="K5311" s="24">
        <f t="shared" si="413"/>
        <v>2.7</v>
      </c>
      <c r="L5311" s="24">
        <f t="shared" si="414"/>
        <v>0</v>
      </c>
    </row>
    <row r="5312" spans="1:12" ht="15" customHeight="1" x14ac:dyDescent="0.3">
      <c r="A5312" s="23" t="s">
        <v>18767</v>
      </c>
      <c r="B5312" s="23" t="s">
        <v>75</v>
      </c>
      <c r="C5312" s="39">
        <v>1498</v>
      </c>
      <c r="D5312" s="24">
        <v>0</v>
      </c>
      <c r="E5312" s="24">
        <v>0</v>
      </c>
      <c r="F5312" s="23">
        <f>COUNTIFS(mdr_rate_cleaned!$A$2:$A$10,B5312,mdr_rate_cleaned!$B$2:$B$10,"&lt;"&amp;C5312,mdr_rate_cleaned!$F$2:$F$10,"&gt;="&amp;C5312)</f>
        <v>1</v>
      </c>
      <c r="G5312" s="40">
        <f>SUMIFS(mdr_rate_cleaned!$G$2:$G$10,mdr_rate_cleaned!$A$2:$A$10,B5312,mdr_rate_cleaned!$B$2:$B$10,"&lt;"&amp;C5312,mdr_rate_cleaned!$F$2:$F$10,"&gt;="&amp;C5312)</f>
        <v>0</v>
      </c>
      <c r="H5312" s="24">
        <f t="shared" si="410"/>
        <v>0</v>
      </c>
      <c r="I5312" s="23" t="str">
        <f t="shared" si="411"/>
        <v>Match</v>
      </c>
      <c r="J5312" s="23" t="str">
        <f t="shared" si="412"/>
        <v>Match</v>
      </c>
      <c r="K5312" s="24">
        <f t="shared" si="413"/>
        <v>0</v>
      </c>
      <c r="L5312" s="24">
        <f t="shared" si="414"/>
        <v>0</v>
      </c>
    </row>
    <row r="5313" spans="1:12" ht="15" customHeight="1" x14ac:dyDescent="0.3">
      <c r="A5313" s="23" t="s">
        <v>18768</v>
      </c>
      <c r="B5313" s="23" t="s">
        <v>75</v>
      </c>
      <c r="C5313" s="39">
        <v>5697</v>
      </c>
      <c r="D5313" s="24">
        <v>17.09</v>
      </c>
      <c r="E5313" s="24">
        <v>3.08</v>
      </c>
      <c r="F5313" s="23">
        <f>COUNTIFS(mdr_rate_cleaned!$A$2:$A$10,B5313,mdr_rate_cleaned!$B$2:$B$10,"&lt;"&amp;C5313,mdr_rate_cleaned!$F$2:$F$10,"&gt;="&amp;C5313)</f>
        <v>1</v>
      </c>
      <c r="G5313" s="40">
        <f>SUMIFS(mdr_rate_cleaned!$G$2:$G$10,mdr_rate_cleaned!$A$2:$A$10,B5313,mdr_rate_cleaned!$B$2:$B$10,"&lt;"&amp;C5313,mdr_rate_cleaned!$F$2:$F$10,"&gt;="&amp;C5313)</f>
        <v>3.0000000000000001E-3</v>
      </c>
      <c r="H5313" s="24">
        <f t="shared" si="410"/>
        <v>17.09</v>
      </c>
      <c r="I5313" s="23" t="str">
        <f t="shared" si="411"/>
        <v>Match</v>
      </c>
      <c r="J5313" s="23" t="str">
        <f t="shared" si="412"/>
        <v>Match</v>
      </c>
      <c r="K5313" s="24">
        <f t="shared" si="413"/>
        <v>3.08</v>
      </c>
      <c r="L5313" s="24">
        <f t="shared" si="414"/>
        <v>0</v>
      </c>
    </row>
    <row r="5314" spans="1:12" ht="15" customHeight="1" x14ac:dyDescent="0.3">
      <c r="A5314" s="23" t="s">
        <v>18769</v>
      </c>
      <c r="B5314" s="23" t="s">
        <v>79</v>
      </c>
      <c r="C5314" s="39">
        <v>3499</v>
      </c>
      <c r="D5314" s="24">
        <v>55.98</v>
      </c>
      <c r="E5314" s="24">
        <v>10.08</v>
      </c>
      <c r="F5314" s="23">
        <f>COUNTIFS(mdr_rate_cleaned!$A$2:$A$10,B5314,mdr_rate_cleaned!$B$2:$B$10,"&lt;"&amp;C5314,mdr_rate_cleaned!$F$2:$F$10,"&gt;="&amp;C5314)</f>
        <v>1</v>
      </c>
      <c r="G5314" s="40">
        <f>SUMIFS(mdr_rate_cleaned!$G$2:$G$10,mdr_rate_cleaned!$A$2:$A$10,B5314,mdr_rate_cleaned!$B$2:$B$10,"&lt;"&amp;C5314,mdr_rate_cleaned!$F$2:$F$10,"&gt;="&amp;C5314)</f>
        <v>1.6E-2</v>
      </c>
      <c r="H5314" s="24">
        <f t="shared" ref="H5314:H5377" si="415">ROUND(C5314*G5314,2)</f>
        <v>55.98</v>
      </c>
      <c r="I5314" s="23" t="str">
        <f t="shared" ref="I5314:I5377" si="416">IF(ROUND(D5314-H5314,2)=0,"Match","Differs")</f>
        <v>Match</v>
      </c>
      <c r="J5314" s="23" t="str">
        <f t="shared" ref="J5314:J5377" si="417">IF(ROUND(E5314-ROUND(D5314*0.18,2),2)=0,"Match","Differs")</f>
        <v>Match</v>
      </c>
      <c r="K5314" s="24">
        <f t="shared" ref="K5314:K5377" si="418">ROUND(H5314*0.18,2)</f>
        <v>10.08</v>
      </c>
      <c r="L5314" s="24">
        <f t="shared" ref="L5314:L5377" si="419">ROUND(D5314+E5314-H5314-K5314,2)</f>
        <v>0</v>
      </c>
    </row>
    <row r="5315" spans="1:12" ht="15" customHeight="1" x14ac:dyDescent="0.3">
      <c r="A5315" s="23" t="s">
        <v>18770</v>
      </c>
      <c r="B5315" s="23" t="s">
        <v>75</v>
      </c>
      <c r="C5315" s="39">
        <v>8998</v>
      </c>
      <c r="D5315" s="24">
        <v>26.99</v>
      </c>
      <c r="E5315" s="24">
        <v>4.8600000000000003</v>
      </c>
      <c r="F5315" s="23">
        <f>COUNTIFS(mdr_rate_cleaned!$A$2:$A$10,B5315,mdr_rate_cleaned!$B$2:$B$10,"&lt;"&amp;C5315,mdr_rate_cleaned!$F$2:$F$10,"&gt;="&amp;C5315)</f>
        <v>1</v>
      </c>
      <c r="G5315" s="40">
        <f>SUMIFS(mdr_rate_cleaned!$G$2:$G$10,mdr_rate_cleaned!$A$2:$A$10,B5315,mdr_rate_cleaned!$B$2:$B$10,"&lt;"&amp;C5315,mdr_rate_cleaned!$F$2:$F$10,"&gt;="&amp;C5315)</f>
        <v>3.0000000000000001E-3</v>
      </c>
      <c r="H5315" s="24">
        <f t="shared" si="415"/>
        <v>26.99</v>
      </c>
      <c r="I5315" s="23" t="str">
        <f t="shared" si="416"/>
        <v>Match</v>
      </c>
      <c r="J5315" s="23" t="str">
        <f t="shared" si="417"/>
        <v>Match</v>
      </c>
      <c r="K5315" s="24">
        <f t="shared" si="418"/>
        <v>4.8600000000000003</v>
      </c>
      <c r="L5315" s="24">
        <f t="shared" si="419"/>
        <v>0</v>
      </c>
    </row>
    <row r="5316" spans="1:12" ht="15" customHeight="1" x14ac:dyDescent="0.3">
      <c r="A5316" s="23" t="s">
        <v>18771</v>
      </c>
      <c r="B5316" s="23" t="s">
        <v>77</v>
      </c>
      <c r="C5316" s="39">
        <v>5998</v>
      </c>
      <c r="D5316" s="24">
        <v>143.94999999999999</v>
      </c>
      <c r="E5316" s="24">
        <v>25.91</v>
      </c>
      <c r="F5316" s="23">
        <f>COUNTIFS(mdr_rate_cleaned!$A$2:$A$10,B5316,mdr_rate_cleaned!$B$2:$B$10,"&lt;"&amp;C5316,mdr_rate_cleaned!$F$2:$F$10,"&gt;="&amp;C5316)</f>
        <v>1</v>
      </c>
      <c r="G5316" s="40">
        <f>SUMIFS(mdr_rate_cleaned!$G$2:$G$10,mdr_rate_cleaned!$A$2:$A$10,B5316,mdr_rate_cleaned!$B$2:$B$10,"&lt;"&amp;C5316,mdr_rate_cleaned!$F$2:$F$10,"&gt;="&amp;C5316)</f>
        <v>1.7000000000000001E-2</v>
      </c>
      <c r="H5316" s="24">
        <f t="shared" si="415"/>
        <v>101.97</v>
      </c>
      <c r="I5316" s="23" t="str">
        <f t="shared" si="416"/>
        <v>Differs</v>
      </c>
      <c r="J5316" s="23" t="str">
        <f t="shared" si="417"/>
        <v>Match</v>
      </c>
      <c r="K5316" s="24">
        <f t="shared" si="418"/>
        <v>18.350000000000001</v>
      </c>
      <c r="L5316" s="24">
        <f t="shared" si="419"/>
        <v>49.54</v>
      </c>
    </row>
    <row r="5317" spans="1:12" ht="15" customHeight="1" x14ac:dyDescent="0.3">
      <c r="A5317" s="23" t="s">
        <v>18772</v>
      </c>
      <c r="B5317" s="23" t="s">
        <v>75</v>
      </c>
      <c r="C5317" s="39">
        <v>2098</v>
      </c>
      <c r="D5317" s="24">
        <v>6.29</v>
      </c>
      <c r="E5317" s="24">
        <v>1.1299999999999999</v>
      </c>
      <c r="F5317" s="23">
        <f>COUNTIFS(mdr_rate_cleaned!$A$2:$A$10,B5317,mdr_rate_cleaned!$B$2:$B$10,"&lt;"&amp;C5317,mdr_rate_cleaned!$F$2:$F$10,"&gt;="&amp;C5317)</f>
        <v>1</v>
      </c>
      <c r="G5317" s="40">
        <f>SUMIFS(mdr_rate_cleaned!$G$2:$G$10,mdr_rate_cleaned!$A$2:$A$10,B5317,mdr_rate_cleaned!$B$2:$B$10,"&lt;"&amp;C5317,mdr_rate_cleaned!$F$2:$F$10,"&gt;="&amp;C5317)</f>
        <v>3.0000000000000001E-3</v>
      </c>
      <c r="H5317" s="24">
        <f t="shared" si="415"/>
        <v>6.29</v>
      </c>
      <c r="I5317" s="23" t="str">
        <f t="shared" si="416"/>
        <v>Match</v>
      </c>
      <c r="J5317" s="23" t="str">
        <f t="shared" si="417"/>
        <v>Match</v>
      </c>
      <c r="K5317" s="24">
        <f t="shared" si="418"/>
        <v>1.1299999999999999</v>
      </c>
      <c r="L5317" s="24">
        <f t="shared" si="419"/>
        <v>0</v>
      </c>
    </row>
    <row r="5318" spans="1:12" ht="15" customHeight="1" x14ac:dyDescent="0.3">
      <c r="A5318" s="23" t="s">
        <v>18774</v>
      </c>
      <c r="B5318" s="23" t="s">
        <v>75</v>
      </c>
      <c r="C5318" s="39">
        <v>10498</v>
      </c>
      <c r="D5318" s="24">
        <v>31.49</v>
      </c>
      <c r="E5318" s="24">
        <v>5.67</v>
      </c>
      <c r="F5318" s="23">
        <f>COUNTIFS(mdr_rate_cleaned!$A$2:$A$10,B5318,mdr_rate_cleaned!$B$2:$B$10,"&lt;"&amp;C5318,mdr_rate_cleaned!$F$2:$F$10,"&gt;="&amp;C5318)</f>
        <v>1</v>
      </c>
      <c r="G5318" s="40">
        <f>SUMIFS(mdr_rate_cleaned!$G$2:$G$10,mdr_rate_cleaned!$A$2:$A$10,B5318,mdr_rate_cleaned!$B$2:$B$10,"&lt;"&amp;C5318,mdr_rate_cleaned!$F$2:$F$10,"&gt;="&amp;C5318)</f>
        <v>3.0000000000000001E-3</v>
      </c>
      <c r="H5318" s="24">
        <f t="shared" si="415"/>
        <v>31.49</v>
      </c>
      <c r="I5318" s="23" t="str">
        <f t="shared" si="416"/>
        <v>Match</v>
      </c>
      <c r="J5318" s="23" t="str">
        <f t="shared" si="417"/>
        <v>Match</v>
      </c>
      <c r="K5318" s="24">
        <f t="shared" si="418"/>
        <v>5.67</v>
      </c>
      <c r="L5318" s="24">
        <f t="shared" si="419"/>
        <v>0</v>
      </c>
    </row>
    <row r="5319" spans="1:12" ht="15" customHeight="1" x14ac:dyDescent="0.3">
      <c r="A5319" s="23" t="s">
        <v>18775</v>
      </c>
      <c r="B5319" s="23" t="s">
        <v>79</v>
      </c>
      <c r="C5319" s="39">
        <v>9997</v>
      </c>
      <c r="D5319" s="24">
        <v>159.94999999999999</v>
      </c>
      <c r="E5319" s="24">
        <v>28.79</v>
      </c>
      <c r="F5319" s="23">
        <f>COUNTIFS(mdr_rate_cleaned!$A$2:$A$10,B5319,mdr_rate_cleaned!$B$2:$B$10,"&lt;"&amp;C5319,mdr_rate_cleaned!$F$2:$F$10,"&gt;="&amp;C5319)</f>
        <v>1</v>
      </c>
      <c r="G5319" s="40">
        <f>SUMIFS(mdr_rate_cleaned!$G$2:$G$10,mdr_rate_cleaned!$A$2:$A$10,B5319,mdr_rate_cleaned!$B$2:$B$10,"&lt;"&amp;C5319,mdr_rate_cleaned!$F$2:$F$10,"&gt;="&amp;C5319)</f>
        <v>1.6E-2</v>
      </c>
      <c r="H5319" s="24">
        <f t="shared" si="415"/>
        <v>159.94999999999999</v>
      </c>
      <c r="I5319" s="23" t="str">
        <f t="shared" si="416"/>
        <v>Match</v>
      </c>
      <c r="J5319" s="23" t="str">
        <f t="shared" si="417"/>
        <v>Match</v>
      </c>
      <c r="K5319" s="24">
        <f t="shared" si="418"/>
        <v>28.79</v>
      </c>
      <c r="L5319" s="24">
        <f t="shared" si="419"/>
        <v>0</v>
      </c>
    </row>
    <row r="5320" spans="1:12" ht="15" customHeight="1" x14ac:dyDescent="0.3">
      <c r="A5320" s="23" t="s">
        <v>18776</v>
      </c>
      <c r="B5320" s="23" t="s">
        <v>75</v>
      </c>
      <c r="C5320" s="39">
        <v>999</v>
      </c>
      <c r="D5320" s="24">
        <v>0</v>
      </c>
      <c r="E5320" s="24">
        <v>0</v>
      </c>
      <c r="F5320" s="23">
        <f>COUNTIFS(mdr_rate_cleaned!$A$2:$A$10,B5320,mdr_rate_cleaned!$B$2:$B$10,"&lt;"&amp;C5320,mdr_rate_cleaned!$F$2:$F$10,"&gt;="&amp;C5320)</f>
        <v>1</v>
      </c>
      <c r="G5320" s="40">
        <f>SUMIFS(mdr_rate_cleaned!$G$2:$G$10,mdr_rate_cleaned!$A$2:$A$10,B5320,mdr_rate_cleaned!$B$2:$B$10,"&lt;"&amp;C5320,mdr_rate_cleaned!$F$2:$F$10,"&gt;="&amp;C5320)</f>
        <v>0</v>
      </c>
      <c r="H5320" s="24">
        <f t="shared" si="415"/>
        <v>0</v>
      </c>
      <c r="I5320" s="23" t="str">
        <f t="shared" si="416"/>
        <v>Match</v>
      </c>
      <c r="J5320" s="23" t="str">
        <f t="shared" si="417"/>
        <v>Match</v>
      </c>
      <c r="K5320" s="24">
        <f t="shared" si="418"/>
        <v>0</v>
      </c>
      <c r="L5320" s="24">
        <f t="shared" si="419"/>
        <v>0</v>
      </c>
    </row>
    <row r="5321" spans="1:12" ht="15" customHeight="1" x14ac:dyDescent="0.3">
      <c r="A5321" s="23" t="s">
        <v>18777</v>
      </c>
      <c r="B5321" s="23" t="s">
        <v>75</v>
      </c>
      <c r="C5321" s="39">
        <v>499</v>
      </c>
      <c r="D5321" s="24">
        <v>0</v>
      </c>
      <c r="E5321" s="24">
        <v>0</v>
      </c>
      <c r="F5321" s="23">
        <f>COUNTIFS(mdr_rate_cleaned!$A$2:$A$10,B5321,mdr_rate_cleaned!$B$2:$B$10,"&lt;"&amp;C5321,mdr_rate_cleaned!$F$2:$F$10,"&gt;="&amp;C5321)</f>
        <v>1</v>
      </c>
      <c r="G5321" s="40">
        <f>SUMIFS(mdr_rate_cleaned!$G$2:$G$10,mdr_rate_cleaned!$A$2:$A$10,B5321,mdr_rate_cleaned!$B$2:$B$10,"&lt;"&amp;C5321,mdr_rate_cleaned!$F$2:$F$10,"&gt;="&amp;C5321)</f>
        <v>0</v>
      </c>
      <c r="H5321" s="24">
        <f t="shared" si="415"/>
        <v>0</v>
      </c>
      <c r="I5321" s="23" t="str">
        <f t="shared" si="416"/>
        <v>Match</v>
      </c>
      <c r="J5321" s="23" t="str">
        <f t="shared" si="417"/>
        <v>Match</v>
      </c>
      <c r="K5321" s="24">
        <f t="shared" si="418"/>
        <v>0</v>
      </c>
      <c r="L5321" s="24">
        <f t="shared" si="419"/>
        <v>0</v>
      </c>
    </row>
    <row r="5322" spans="1:12" ht="15" customHeight="1" x14ac:dyDescent="0.3">
      <c r="A5322" s="23" t="s">
        <v>18778</v>
      </c>
      <c r="B5322" s="23" t="s">
        <v>75</v>
      </c>
      <c r="C5322" s="39">
        <v>848</v>
      </c>
      <c r="D5322" s="24">
        <v>0</v>
      </c>
      <c r="E5322" s="24">
        <v>0</v>
      </c>
      <c r="F5322" s="23">
        <f>COUNTIFS(mdr_rate_cleaned!$A$2:$A$10,B5322,mdr_rate_cleaned!$B$2:$B$10,"&lt;"&amp;C5322,mdr_rate_cleaned!$F$2:$F$10,"&gt;="&amp;C5322)</f>
        <v>1</v>
      </c>
      <c r="G5322" s="40">
        <f>SUMIFS(mdr_rate_cleaned!$G$2:$G$10,mdr_rate_cleaned!$A$2:$A$10,B5322,mdr_rate_cleaned!$B$2:$B$10,"&lt;"&amp;C5322,mdr_rate_cleaned!$F$2:$F$10,"&gt;="&amp;C5322)</f>
        <v>0</v>
      </c>
      <c r="H5322" s="24">
        <f t="shared" si="415"/>
        <v>0</v>
      </c>
      <c r="I5322" s="23" t="str">
        <f t="shared" si="416"/>
        <v>Match</v>
      </c>
      <c r="J5322" s="23" t="str">
        <f t="shared" si="417"/>
        <v>Match</v>
      </c>
      <c r="K5322" s="24">
        <f t="shared" si="418"/>
        <v>0</v>
      </c>
      <c r="L5322" s="24">
        <f t="shared" si="419"/>
        <v>0</v>
      </c>
    </row>
    <row r="5323" spans="1:12" ht="15" customHeight="1" x14ac:dyDescent="0.3">
      <c r="A5323" s="23" t="s">
        <v>18779</v>
      </c>
      <c r="B5323" s="23" t="s">
        <v>77</v>
      </c>
      <c r="C5323" s="39">
        <v>2999</v>
      </c>
      <c r="D5323" s="24">
        <v>50.98</v>
      </c>
      <c r="E5323" s="24">
        <v>9.18</v>
      </c>
      <c r="F5323" s="23">
        <f>COUNTIFS(mdr_rate_cleaned!$A$2:$A$10,B5323,mdr_rate_cleaned!$B$2:$B$10,"&lt;"&amp;C5323,mdr_rate_cleaned!$F$2:$F$10,"&gt;="&amp;C5323)</f>
        <v>1</v>
      </c>
      <c r="G5323" s="40">
        <f>SUMIFS(mdr_rate_cleaned!$G$2:$G$10,mdr_rate_cleaned!$A$2:$A$10,B5323,mdr_rate_cleaned!$B$2:$B$10,"&lt;"&amp;C5323,mdr_rate_cleaned!$F$2:$F$10,"&gt;="&amp;C5323)</f>
        <v>1.7000000000000001E-2</v>
      </c>
      <c r="H5323" s="24">
        <f t="shared" si="415"/>
        <v>50.98</v>
      </c>
      <c r="I5323" s="23" t="str">
        <f t="shared" si="416"/>
        <v>Match</v>
      </c>
      <c r="J5323" s="23" t="str">
        <f t="shared" si="417"/>
        <v>Match</v>
      </c>
      <c r="K5323" s="24">
        <f t="shared" si="418"/>
        <v>9.18</v>
      </c>
      <c r="L5323" s="24">
        <f t="shared" si="419"/>
        <v>0</v>
      </c>
    </row>
    <row r="5324" spans="1:12" ht="15" customHeight="1" x14ac:dyDescent="0.3">
      <c r="A5324" s="23" t="s">
        <v>18780</v>
      </c>
      <c r="B5324" s="23" t="s">
        <v>75</v>
      </c>
      <c r="C5324" s="39">
        <v>3499</v>
      </c>
      <c r="D5324" s="24">
        <v>10.5</v>
      </c>
      <c r="E5324" s="24">
        <v>1.89</v>
      </c>
      <c r="F5324" s="23">
        <f>COUNTIFS(mdr_rate_cleaned!$A$2:$A$10,B5324,mdr_rate_cleaned!$B$2:$B$10,"&lt;"&amp;C5324,mdr_rate_cleaned!$F$2:$F$10,"&gt;="&amp;C5324)</f>
        <v>1</v>
      </c>
      <c r="G5324" s="40">
        <f>SUMIFS(mdr_rate_cleaned!$G$2:$G$10,mdr_rate_cleaned!$A$2:$A$10,B5324,mdr_rate_cleaned!$B$2:$B$10,"&lt;"&amp;C5324,mdr_rate_cleaned!$F$2:$F$10,"&gt;="&amp;C5324)</f>
        <v>3.0000000000000001E-3</v>
      </c>
      <c r="H5324" s="24">
        <f t="shared" si="415"/>
        <v>10.5</v>
      </c>
      <c r="I5324" s="23" t="str">
        <f t="shared" si="416"/>
        <v>Match</v>
      </c>
      <c r="J5324" s="23" t="str">
        <f t="shared" si="417"/>
        <v>Match</v>
      </c>
      <c r="K5324" s="24">
        <f t="shared" si="418"/>
        <v>1.89</v>
      </c>
      <c r="L5324" s="24">
        <f t="shared" si="419"/>
        <v>0</v>
      </c>
    </row>
    <row r="5325" spans="1:12" ht="15" customHeight="1" x14ac:dyDescent="0.3">
      <c r="A5325" s="23" t="s">
        <v>18781</v>
      </c>
      <c r="B5325" s="23" t="s">
        <v>75</v>
      </c>
      <c r="C5325" s="39">
        <v>2999</v>
      </c>
      <c r="D5325" s="24">
        <v>9</v>
      </c>
      <c r="E5325" s="24">
        <v>1.62</v>
      </c>
      <c r="F5325" s="23">
        <f>COUNTIFS(mdr_rate_cleaned!$A$2:$A$10,B5325,mdr_rate_cleaned!$B$2:$B$10,"&lt;"&amp;C5325,mdr_rate_cleaned!$F$2:$F$10,"&gt;="&amp;C5325)</f>
        <v>1</v>
      </c>
      <c r="G5325" s="40">
        <f>SUMIFS(mdr_rate_cleaned!$G$2:$G$10,mdr_rate_cleaned!$A$2:$A$10,B5325,mdr_rate_cleaned!$B$2:$B$10,"&lt;"&amp;C5325,mdr_rate_cleaned!$F$2:$F$10,"&gt;="&amp;C5325)</f>
        <v>3.0000000000000001E-3</v>
      </c>
      <c r="H5325" s="24">
        <f t="shared" si="415"/>
        <v>9</v>
      </c>
      <c r="I5325" s="23" t="str">
        <f t="shared" si="416"/>
        <v>Match</v>
      </c>
      <c r="J5325" s="23" t="str">
        <f t="shared" si="417"/>
        <v>Match</v>
      </c>
      <c r="K5325" s="24">
        <f t="shared" si="418"/>
        <v>1.62</v>
      </c>
      <c r="L5325" s="24">
        <f t="shared" si="419"/>
        <v>0</v>
      </c>
    </row>
    <row r="5326" spans="1:12" ht="15" customHeight="1" x14ac:dyDescent="0.3">
      <c r="A5326" s="23" t="s">
        <v>18782</v>
      </c>
      <c r="B5326" s="23" t="s">
        <v>81</v>
      </c>
      <c r="C5326" s="39">
        <v>3298</v>
      </c>
      <c r="D5326" s="24">
        <v>39.58</v>
      </c>
      <c r="E5326" s="24">
        <v>7.12</v>
      </c>
      <c r="F5326" s="23">
        <f>COUNTIFS(mdr_rate_cleaned!$A$2:$A$10,B5326,mdr_rate_cleaned!$B$2:$B$10,"&lt;"&amp;C5326,mdr_rate_cleaned!$F$2:$F$10,"&gt;="&amp;C5326)</f>
        <v>1</v>
      </c>
      <c r="G5326" s="40">
        <f>SUMIFS(mdr_rate_cleaned!$G$2:$G$10,mdr_rate_cleaned!$A$2:$A$10,B5326,mdr_rate_cleaned!$B$2:$B$10,"&lt;"&amp;C5326,mdr_rate_cleaned!$F$2:$F$10,"&gt;="&amp;C5326)</f>
        <v>1.2E-2</v>
      </c>
      <c r="H5326" s="24">
        <f t="shared" si="415"/>
        <v>39.58</v>
      </c>
      <c r="I5326" s="23" t="str">
        <f t="shared" si="416"/>
        <v>Match</v>
      </c>
      <c r="J5326" s="23" t="str">
        <f t="shared" si="417"/>
        <v>Match</v>
      </c>
      <c r="K5326" s="24">
        <f t="shared" si="418"/>
        <v>7.12</v>
      </c>
      <c r="L5326" s="24">
        <f t="shared" si="419"/>
        <v>0</v>
      </c>
    </row>
    <row r="5327" spans="1:12" ht="15" customHeight="1" x14ac:dyDescent="0.3">
      <c r="A5327" s="23" t="s">
        <v>18784</v>
      </c>
      <c r="B5327" s="23" t="s">
        <v>75</v>
      </c>
      <c r="C5327" s="39">
        <v>5298</v>
      </c>
      <c r="D5327" s="24">
        <v>15.89</v>
      </c>
      <c r="E5327" s="24">
        <v>2.86</v>
      </c>
      <c r="F5327" s="23">
        <f>COUNTIFS(mdr_rate_cleaned!$A$2:$A$10,B5327,mdr_rate_cleaned!$B$2:$B$10,"&lt;"&amp;C5327,mdr_rate_cleaned!$F$2:$F$10,"&gt;="&amp;C5327)</f>
        <v>1</v>
      </c>
      <c r="G5327" s="40">
        <f>SUMIFS(mdr_rate_cleaned!$G$2:$G$10,mdr_rate_cleaned!$A$2:$A$10,B5327,mdr_rate_cleaned!$B$2:$B$10,"&lt;"&amp;C5327,mdr_rate_cleaned!$F$2:$F$10,"&gt;="&amp;C5327)</f>
        <v>3.0000000000000001E-3</v>
      </c>
      <c r="H5327" s="24">
        <f t="shared" si="415"/>
        <v>15.89</v>
      </c>
      <c r="I5327" s="23" t="str">
        <f t="shared" si="416"/>
        <v>Match</v>
      </c>
      <c r="J5327" s="23" t="str">
        <f t="shared" si="417"/>
        <v>Match</v>
      </c>
      <c r="K5327" s="24">
        <f t="shared" si="418"/>
        <v>2.86</v>
      </c>
      <c r="L5327" s="24">
        <f t="shared" si="419"/>
        <v>0</v>
      </c>
    </row>
    <row r="5328" spans="1:12" ht="15" customHeight="1" x14ac:dyDescent="0.3">
      <c r="A5328" s="23" t="s">
        <v>18785</v>
      </c>
      <c r="B5328" s="23" t="s">
        <v>75</v>
      </c>
      <c r="C5328" s="39">
        <v>2498</v>
      </c>
      <c r="D5328" s="24">
        <v>7.49</v>
      </c>
      <c r="E5328" s="24">
        <v>1.35</v>
      </c>
      <c r="F5328" s="23">
        <f>COUNTIFS(mdr_rate_cleaned!$A$2:$A$10,B5328,mdr_rate_cleaned!$B$2:$B$10,"&lt;"&amp;C5328,mdr_rate_cleaned!$F$2:$F$10,"&gt;="&amp;C5328)</f>
        <v>1</v>
      </c>
      <c r="G5328" s="40">
        <f>SUMIFS(mdr_rate_cleaned!$G$2:$G$10,mdr_rate_cleaned!$A$2:$A$10,B5328,mdr_rate_cleaned!$B$2:$B$10,"&lt;"&amp;C5328,mdr_rate_cleaned!$F$2:$F$10,"&gt;="&amp;C5328)</f>
        <v>3.0000000000000001E-3</v>
      </c>
      <c r="H5328" s="24">
        <f t="shared" si="415"/>
        <v>7.49</v>
      </c>
      <c r="I5328" s="23" t="str">
        <f t="shared" si="416"/>
        <v>Match</v>
      </c>
      <c r="J5328" s="23" t="str">
        <f t="shared" si="417"/>
        <v>Match</v>
      </c>
      <c r="K5328" s="24">
        <f t="shared" si="418"/>
        <v>1.35</v>
      </c>
      <c r="L5328" s="24">
        <f t="shared" si="419"/>
        <v>0</v>
      </c>
    </row>
    <row r="5329" spans="1:12" ht="15" customHeight="1" x14ac:dyDescent="0.3">
      <c r="A5329" s="23" t="s">
        <v>18786</v>
      </c>
      <c r="B5329" s="23" t="s">
        <v>81</v>
      </c>
      <c r="C5329" s="39">
        <v>2999</v>
      </c>
      <c r="D5329" s="24">
        <v>35.99</v>
      </c>
      <c r="E5329" s="24">
        <v>6.48</v>
      </c>
      <c r="F5329" s="23">
        <f>COUNTIFS(mdr_rate_cleaned!$A$2:$A$10,B5329,mdr_rate_cleaned!$B$2:$B$10,"&lt;"&amp;C5329,mdr_rate_cleaned!$F$2:$F$10,"&gt;="&amp;C5329)</f>
        <v>1</v>
      </c>
      <c r="G5329" s="40">
        <f>SUMIFS(mdr_rate_cleaned!$G$2:$G$10,mdr_rate_cleaned!$A$2:$A$10,B5329,mdr_rate_cleaned!$B$2:$B$10,"&lt;"&amp;C5329,mdr_rate_cleaned!$F$2:$F$10,"&gt;="&amp;C5329)</f>
        <v>1.2E-2</v>
      </c>
      <c r="H5329" s="24">
        <f t="shared" si="415"/>
        <v>35.99</v>
      </c>
      <c r="I5329" s="23" t="str">
        <f t="shared" si="416"/>
        <v>Match</v>
      </c>
      <c r="J5329" s="23" t="str">
        <f t="shared" si="417"/>
        <v>Match</v>
      </c>
      <c r="K5329" s="24">
        <f t="shared" si="418"/>
        <v>6.48</v>
      </c>
      <c r="L5329" s="24">
        <f t="shared" si="419"/>
        <v>0</v>
      </c>
    </row>
    <row r="5330" spans="1:12" ht="15" customHeight="1" x14ac:dyDescent="0.3">
      <c r="A5330" s="23" t="s">
        <v>18787</v>
      </c>
      <c r="B5330" s="23" t="s">
        <v>79</v>
      </c>
      <c r="C5330" s="39">
        <v>4498</v>
      </c>
      <c r="D5330" s="24">
        <v>71.97</v>
      </c>
      <c r="E5330" s="24">
        <v>12.95</v>
      </c>
      <c r="F5330" s="23">
        <f>COUNTIFS(mdr_rate_cleaned!$A$2:$A$10,B5330,mdr_rate_cleaned!$B$2:$B$10,"&lt;"&amp;C5330,mdr_rate_cleaned!$F$2:$F$10,"&gt;="&amp;C5330)</f>
        <v>1</v>
      </c>
      <c r="G5330" s="40">
        <f>SUMIFS(mdr_rate_cleaned!$G$2:$G$10,mdr_rate_cleaned!$A$2:$A$10,B5330,mdr_rate_cleaned!$B$2:$B$10,"&lt;"&amp;C5330,mdr_rate_cleaned!$F$2:$F$10,"&gt;="&amp;C5330)</f>
        <v>1.6E-2</v>
      </c>
      <c r="H5330" s="24">
        <f t="shared" si="415"/>
        <v>71.97</v>
      </c>
      <c r="I5330" s="23" t="str">
        <f t="shared" si="416"/>
        <v>Match</v>
      </c>
      <c r="J5330" s="23" t="str">
        <f t="shared" si="417"/>
        <v>Match</v>
      </c>
      <c r="K5330" s="24">
        <f t="shared" si="418"/>
        <v>12.95</v>
      </c>
      <c r="L5330" s="24">
        <f t="shared" si="419"/>
        <v>0</v>
      </c>
    </row>
    <row r="5331" spans="1:12" ht="15" customHeight="1" x14ac:dyDescent="0.3">
      <c r="A5331" s="23" t="s">
        <v>18789</v>
      </c>
      <c r="B5331" s="23" t="s">
        <v>75</v>
      </c>
      <c r="C5331" s="39">
        <v>2998</v>
      </c>
      <c r="D5331" s="24">
        <v>8.99</v>
      </c>
      <c r="E5331" s="24">
        <v>1.62</v>
      </c>
      <c r="F5331" s="23">
        <f>COUNTIFS(mdr_rate_cleaned!$A$2:$A$10,B5331,mdr_rate_cleaned!$B$2:$B$10,"&lt;"&amp;C5331,mdr_rate_cleaned!$F$2:$F$10,"&gt;="&amp;C5331)</f>
        <v>1</v>
      </c>
      <c r="G5331" s="40">
        <f>SUMIFS(mdr_rate_cleaned!$G$2:$G$10,mdr_rate_cleaned!$A$2:$A$10,B5331,mdr_rate_cleaned!$B$2:$B$10,"&lt;"&amp;C5331,mdr_rate_cleaned!$F$2:$F$10,"&gt;="&amp;C5331)</f>
        <v>3.0000000000000001E-3</v>
      </c>
      <c r="H5331" s="24">
        <f t="shared" si="415"/>
        <v>8.99</v>
      </c>
      <c r="I5331" s="23" t="str">
        <f t="shared" si="416"/>
        <v>Match</v>
      </c>
      <c r="J5331" s="23" t="str">
        <f t="shared" si="417"/>
        <v>Match</v>
      </c>
      <c r="K5331" s="24">
        <f t="shared" si="418"/>
        <v>1.62</v>
      </c>
      <c r="L5331" s="24">
        <f t="shared" si="419"/>
        <v>0</v>
      </c>
    </row>
    <row r="5332" spans="1:12" ht="15" customHeight="1" x14ac:dyDescent="0.3">
      <c r="A5332" s="23" t="s">
        <v>18791</v>
      </c>
      <c r="B5332" s="23" t="s">
        <v>77</v>
      </c>
      <c r="C5332" s="39">
        <v>7999</v>
      </c>
      <c r="D5332" s="24">
        <v>135.97999999999999</v>
      </c>
      <c r="E5332" s="24">
        <v>24.48</v>
      </c>
      <c r="F5332" s="23">
        <f>COUNTIFS(mdr_rate_cleaned!$A$2:$A$10,B5332,mdr_rate_cleaned!$B$2:$B$10,"&lt;"&amp;C5332,mdr_rate_cleaned!$F$2:$F$10,"&gt;="&amp;C5332)</f>
        <v>1</v>
      </c>
      <c r="G5332" s="40">
        <f>SUMIFS(mdr_rate_cleaned!$G$2:$G$10,mdr_rate_cleaned!$A$2:$A$10,B5332,mdr_rate_cleaned!$B$2:$B$10,"&lt;"&amp;C5332,mdr_rate_cleaned!$F$2:$F$10,"&gt;="&amp;C5332)</f>
        <v>1.7000000000000001E-2</v>
      </c>
      <c r="H5332" s="24">
        <f t="shared" si="415"/>
        <v>135.97999999999999</v>
      </c>
      <c r="I5332" s="23" t="str">
        <f t="shared" si="416"/>
        <v>Match</v>
      </c>
      <c r="J5332" s="23" t="str">
        <f t="shared" si="417"/>
        <v>Match</v>
      </c>
      <c r="K5332" s="24">
        <f t="shared" si="418"/>
        <v>24.48</v>
      </c>
      <c r="L5332" s="24">
        <f t="shared" si="419"/>
        <v>0</v>
      </c>
    </row>
    <row r="5333" spans="1:12" ht="15" customHeight="1" x14ac:dyDescent="0.3">
      <c r="A5333" s="23" t="s">
        <v>18792</v>
      </c>
      <c r="B5333" s="23" t="s">
        <v>75</v>
      </c>
      <c r="C5333" s="39">
        <v>2999</v>
      </c>
      <c r="D5333" s="24">
        <v>9</v>
      </c>
      <c r="E5333" s="24">
        <v>1.62</v>
      </c>
      <c r="F5333" s="23">
        <f>COUNTIFS(mdr_rate_cleaned!$A$2:$A$10,B5333,mdr_rate_cleaned!$B$2:$B$10,"&lt;"&amp;C5333,mdr_rate_cleaned!$F$2:$F$10,"&gt;="&amp;C5333)</f>
        <v>1</v>
      </c>
      <c r="G5333" s="40">
        <f>SUMIFS(mdr_rate_cleaned!$G$2:$G$10,mdr_rate_cleaned!$A$2:$A$10,B5333,mdr_rate_cleaned!$B$2:$B$10,"&lt;"&amp;C5333,mdr_rate_cleaned!$F$2:$F$10,"&gt;="&amp;C5333)</f>
        <v>3.0000000000000001E-3</v>
      </c>
      <c r="H5333" s="24">
        <f t="shared" si="415"/>
        <v>9</v>
      </c>
      <c r="I5333" s="23" t="str">
        <f t="shared" si="416"/>
        <v>Match</v>
      </c>
      <c r="J5333" s="23" t="str">
        <f t="shared" si="417"/>
        <v>Match</v>
      </c>
      <c r="K5333" s="24">
        <f t="shared" si="418"/>
        <v>1.62</v>
      </c>
      <c r="L5333" s="24">
        <f t="shared" si="419"/>
        <v>0</v>
      </c>
    </row>
    <row r="5334" spans="1:12" ht="15" customHeight="1" x14ac:dyDescent="0.3">
      <c r="A5334" s="23" t="s">
        <v>18793</v>
      </c>
      <c r="B5334" s="23" t="s">
        <v>77</v>
      </c>
      <c r="C5334" s="39">
        <v>648</v>
      </c>
      <c r="D5334" s="24">
        <v>12.31</v>
      </c>
      <c r="E5334" s="24">
        <v>2.2200000000000002</v>
      </c>
      <c r="F5334" s="23">
        <f>COUNTIFS(mdr_rate_cleaned!$A$2:$A$10,B5334,mdr_rate_cleaned!$B$2:$B$10,"&lt;"&amp;C5334,mdr_rate_cleaned!$F$2:$F$10,"&gt;="&amp;C5334)</f>
        <v>1</v>
      </c>
      <c r="G5334" s="40">
        <f>SUMIFS(mdr_rate_cleaned!$G$2:$G$10,mdr_rate_cleaned!$A$2:$A$10,B5334,mdr_rate_cleaned!$B$2:$B$10,"&lt;"&amp;C5334,mdr_rate_cleaned!$F$2:$F$10,"&gt;="&amp;C5334)</f>
        <v>1.9E-2</v>
      </c>
      <c r="H5334" s="24">
        <f t="shared" si="415"/>
        <v>12.31</v>
      </c>
      <c r="I5334" s="23" t="str">
        <f t="shared" si="416"/>
        <v>Match</v>
      </c>
      <c r="J5334" s="23" t="str">
        <f t="shared" si="417"/>
        <v>Match</v>
      </c>
      <c r="K5334" s="24">
        <f t="shared" si="418"/>
        <v>2.2200000000000002</v>
      </c>
      <c r="L5334" s="24">
        <f t="shared" si="419"/>
        <v>0</v>
      </c>
    </row>
    <row r="5335" spans="1:12" ht="15" customHeight="1" x14ac:dyDescent="0.3">
      <c r="A5335" s="23" t="s">
        <v>18794</v>
      </c>
      <c r="B5335" s="23" t="s">
        <v>79</v>
      </c>
      <c r="C5335" s="39">
        <v>499</v>
      </c>
      <c r="D5335" s="24">
        <v>8.98</v>
      </c>
      <c r="E5335" s="24">
        <v>1.62</v>
      </c>
      <c r="F5335" s="23">
        <f>COUNTIFS(mdr_rate_cleaned!$A$2:$A$10,B5335,mdr_rate_cleaned!$B$2:$B$10,"&lt;"&amp;C5335,mdr_rate_cleaned!$F$2:$F$10,"&gt;="&amp;C5335)</f>
        <v>1</v>
      </c>
      <c r="G5335" s="40">
        <f>SUMIFS(mdr_rate_cleaned!$G$2:$G$10,mdr_rate_cleaned!$A$2:$A$10,B5335,mdr_rate_cleaned!$B$2:$B$10,"&lt;"&amp;C5335,mdr_rate_cleaned!$F$2:$F$10,"&gt;="&amp;C5335)</f>
        <v>1.8000000000000002E-2</v>
      </c>
      <c r="H5335" s="24">
        <f t="shared" si="415"/>
        <v>8.98</v>
      </c>
      <c r="I5335" s="23" t="str">
        <f t="shared" si="416"/>
        <v>Match</v>
      </c>
      <c r="J5335" s="23" t="str">
        <f t="shared" si="417"/>
        <v>Match</v>
      </c>
      <c r="K5335" s="24">
        <f t="shared" si="418"/>
        <v>1.62</v>
      </c>
      <c r="L5335" s="24">
        <f t="shared" si="419"/>
        <v>0</v>
      </c>
    </row>
    <row r="5336" spans="1:12" ht="15" customHeight="1" x14ac:dyDescent="0.3">
      <c r="A5336" s="23" t="s">
        <v>18795</v>
      </c>
      <c r="B5336" s="23" t="s">
        <v>77</v>
      </c>
      <c r="C5336" s="39">
        <v>349</v>
      </c>
      <c r="D5336" s="24">
        <v>6.63</v>
      </c>
      <c r="E5336" s="24">
        <v>1.19</v>
      </c>
      <c r="F5336" s="23">
        <f>COUNTIFS(mdr_rate_cleaned!$A$2:$A$10,B5336,mdr_rate_cleaned!$B$2:$B$10,"&lt;"&amp;C5336,mdr_rate_cleaned!$F$2:$F$10,"&gt;="&amp;C5336)</f>
        <v>1</v>
      </c>
      <c r="G5336" s="40">
        <f>SUMIFS(mdr_rate_cleaned!$G$2:$G$10,mdr_rate_cleaned!$A$2:$A$10,B5336,mdr_rate_cleaned!$B$2:$B$10,"&lt;"&amp;C5336,mdr_rate_cleaned!$F$2:$F$10,"&gt;="&amp;C5336)</f>
        <v>1.9E-2</v>
      </c>
      <c r="H5336" s="24">
        <f t="shared" si="415"/>
        <v>6.63</v>
      </c>
      <c r="I5336" s="23" t="str">
        <f t="shared" si="416"/>
        <v>Match</v>
      </c>
      <c r="J5336" s="23" t="str">
        <f t="shared" si="417"/>
        <v>Match</v>
      </c>
      <c r="K5336" s="24">
        <f t="shared" si="418"/>
        <v>1.19</v>
      </c>
      <c r="L5336" s="24">
        <f t="shared" si="419"/>
        <v>0</v>
      </c>
    </row>
    <row r="5337" spans="1:12" ht="15" customHeight="1" x14ac:dyDescent="0.3">
      <c r="A5337" s="23" t="s">
        <v>18796</v>
      </c>
      <c r="B5337" s="23" t="s">
        <v>75</v>
      </c>
      <c r="C5337" s="39">
        <v>1799</v>
      </c>
      <c r="D5337" s="24">
        <v>0</v>
      </c>
      <c r="E5337" s="24">
        <v>0</v>
      </c>
      <c r="F5337" s="23">
        <f>COUNTIFS(mdr_rate_cleaned!$A$2:$A$10,B5337,mdr_rate_cleaned!$B$2:$B$10,"&lt;"&amp;C5337,mdr_rate_cleaned!$F$2:$F$10,"&gt;="&amp;C5337)</f>
        <v>1</v>
      </c>
      <c r="G5337" s="40">
        <f>SUMIFS(mdr_rate_cleaned!$G$2:$G$10,mdr_rate_cleaned!$A$2:$A$10,B5337,mdr_rate_cleaned!$B$2:$B$10,"&lt;"&amp;C5337,mdr_rate_cleaned!$F$2:$F$10,"&gt;="&amp;C5337)</f>
        <v>0</v>
      </c>
      <c r="H5337" s="24">
        <f t="shared" si="415"/>
        <v>0</v>
      </c>
      <c r="I5337" s="23" t="str">
        <f t="shared" si="416"/>
        <v>Match</v>
      </c>
      <c r="J5337" s="23" t="str">
        <f t="shared" si="417"/>
        <v>Match</v>
      </c>
      <c r="K5337" s="24">
        <f t="shared" si="418"/>
        <v>0</v>
      </c>
      <c r="L5337" s="24">
        <f t="shared" si="419"/>
        <v>0</v>
      </c>
    </row>
    <row r="5338" spans="1:12" ht="15" customHeight="1" x14ac:dyDescent="0.3">
      <c r="A5338" s="23" t="s">
        <v>18797</v>
      </c>
      <c r="B5338" s="23" t="s">
        <v>77</v>
      </c>
      <c r="C5338" s="39">
        <v>9297</v>
      </c>
      <c r="D5338" s="24">
        <v>158.05000000000001</v>
      </c>
      <c r="E5338" s="24">
        <v>28.45</v>
      </c>
      <c r="F5338" s="23">
        <f>COUNTIFS(mdr_rate_cleaned!$A$2:$A$10,B5338,mdr_rate_cleaned!$B$2:$B$10,"&lt;"&amp;C5338,mdr_rate_cleaned!$F$2:$F$10,"&gt;="&amp;C5338)</f>
        <v>1</v>
      </c>
      <c r="G5338" s="40">
        <f>SUMIFS(mdr_rate_cleaned!$G$2:$G$10,mdr_rate_cleaned!$A$2:$A$10,B5338,mdr_rate_cleaned!$B$2:$B$10,"&lt;"&amp;C5338,mdr_rate_cleaned!$F$2:$F$10,"&gt;="&amp;C5338)</f>
        <v>1.7000000000000001E-2</v>
      </c>
      <c r="H5338" s="24">
        <f t="shared" si="415"/>
        <v>158.05000000000001</v>
      </c>
      <c r="I5338" s="23" t="str">
        <f t="shared" si="416"/>
        <v>Match</v>
      </c>
      <c r="J5338" s="23" t="str">
        <f t="shared" si="417"/>
        <v>Match</v>
      </c>
      <c r="K5338" s="24">
        <f t="shared" si="418"/>
        <v>28.45</v>
      </c>
      <c r="L5338" s="24">
        <f t="shared" si="419"/>
        <v>0</v>
      </c>
    </row>
    <row r="5339" spans="1:12" ht="15" customHeight="1" x14ac:dyDescent="0.3">
      <c r="A5339" s="23" t="s">
        <v>18799</v>
      </c>
      <c r="B5339" s="23" t="s">
        <v>79</v>
      </c>
      <c r="C5339" s="39">
        <v>999</v>
      </c>
      <c r="D5339" s="24">
        <v>17.98</v>
      </c>
      <c r="E5339" s="24">
        <v>3.24</v>
      </c>
      <c r="F5339" s="23">
        <f>COUNTIFS(mdr_rate_cleaned!$A$2:$A$10,B5339,mdr_rate_cleaned!$B$2:$B$10,"&lt;"&amp;C5339,mdr_rate_cleaned!$F$2:$F$10,"&gt;="&amp;C5339)</f>
        <v>1</v>
      </c>
      <c r="G5339" s="40">
        <f>SUMIFS(mdr_rate_cleaned!$G$2:$G$10,mdr_rate_cleaned!$A$2:$A$10,B5339,mdr_rate_cleaned!$B$2:$B$10,"&lt;"&amp;C5339,mdr_rate_cleaned!$F$2:$F$10,"&gt;="&amp;C5339)</f>
        <v>1.8000000000000002E-2</v>
      </c>
      <c r="H5339" s="24">
        <f t="shared" si="415"/>
        <v>17.98</v>
      </c>
      <c r="I5339" s="23" t="str">
        <f t="shared" si="416"/>
        <v>Match</v>
      </c>
      <c r="J5339" s="23" t="str">
        <f t="shared" si="417"/>
        <v>Match</v>
      </c>
      <c r="K5339" s="24">
        <f t="shared" si="418"/>
        <v>3.24</v>
      </c>
      <c r="L5339" s="24">
        <f t="shared" si="419"/>
        <v>0</v>
      </c>
    </row>
    <row r="5340" spans="1:12" ht="15" customHeight="1" x14ac:dyDescent="0.3">
      <c r="A5340" s="23" t="s">
        <v>18800</v>
      </c>
      <c r="B5340" s="23" t="s">
        <v>77</v>
      </c>
      <c r="C5340" s="39">
        <v>3147</v>
      </c>
      <c r="D5340" s="24">
        <v>53.5</v>
      </c>
      <c r="E5340" s="24">
        <v>9.6300000000000008</v>
      </c>
      <c r="F5340" s="23">
        <f>COUNTIFS(mdr_rate_cleaned!$A$2:$A$10,B5340,mdr_rate_cleaned!$B$2:$B$10,"&lt;"&amp;C5340,mdr_rate_cleaned!$F$2:$F$10,"&gt;="&amp;C5340)</f>
        <v>1</v>
      </c>
      <c r="G5340" s="40">
        <f>SUMIFS(mdr_rate_cleaned!$G$2:$G$10,mdr_rate_cleaned!$A$2:$A$10,B5340,mdr_rate_cleaned!$B$2:$B$10,"&lt;"&amp;C5340,mdr_rate_cleaned!$F$2:$F$10,"&gt;="&amp;C5340)</f>
        <v>1.7000000000000001E-2</v>
      </c>
      <c r="H5340" s="24">
        <f t="shared" si="415"/>
        <v>53.5</v>
      </c>
      <c r="I5340" s="23" t="str">
        <f t="shared" si="416"/>
        <v>Match</v>
      </c>
      <c r="J5340" s="23" t="str">
        <f t="shared" si="417"/>
        <v>Match</v>
      </c>
      <c r="K5340" s="24">
        <f t="shared" si="418"/>
        <v>9.6300000000000008</v>
      </c>
      <c r="L5340" s="24">
        <f t="shared" si="419"/>
        <v>0</v>
      </c>
    </row>
    <row r="5341" spans="1:12" ht="15" customHeight="1" x14ac:dyDescent="0.3">
      <c r="A5341" s="23" t="s">
        <v>18801</v>
      </c>
      <c r="B5341" s="23" t="s">
        <v>75</v>
      </c>
      <c r="C5341" s="39">
        <v>2499</v>
      </c>
      <c r="D5341" s="24">
        <v>7.5</v>
      </c>
      <c r="E5341" s="24">
        <v>1.35</v>
      </c>
      <c r="F5341" s="23">
        <f>COUNTIFS(mdr_rate_cleaned!$A$2:$A$10,B5341,mdr_rate_cleaned!$B$2:$B$10,"&lt;"&amp;C5341,mdr_rate_cleaned!$F$2:$F$10,"&gt;="&amp;C5341)</f>
        <v>1</v>
      </c>
      <c r="G5341" s="40">
        <f>SUMIFS(mdr_rate_cleaned!$G$2:$G$10,mdr_rate_cleaned!$A$2:$A$10,B5341,mdr_rate_cleaned!$B$2:$B$10,"&lt;"&amp;C5341,mdr_rate_cleaned!$F$2:$F$10,"&gt;="&amp;C5341)</f>
        <v>3.0000000000000001E-3</v>
      </c>
      <c r="H5341" s="24">
        <f t="shared" si="415"/>
        <v>7.5</v>
      </c>
      <c r="I5341" s="23" t="str">
        <f t="shared" si="416"/>
        <v>Match</v>
      </c>
      <c r="J5341" s="23" t="str">
        <f t="shared" si="417"/>
        <v>Match</v>
      </c>
      <c r="K5341" s="24">
        <f t="shared" si="418"/>
        <v>1.35</v>
      </c>
      <c r="L5341" s="24">
        <f t="shared" si="419"/>
        <v>0</v>
      </c>
    </row>
    <row r="5342" spans="1:12" ht="15" customHeight="1" x14ac:dyDescent="0.3">
      <c r="A5342" s="23" t="s">
        <v>18802</v>
      </c>
      <c r="B5342" s="23" t="s">
        <v>81</v>
      </c>
      <c r="C5342" s="39">
        <v>799</v>
      </c>
      <c r="D5342" s="24">
        <v>11.99</v>
      </c>
      <c r="E5342" s="24">
        <v>2.16</v>
      </c>
      <c r="F5342" s="23">
        <f>COUNTIFS(mdr_rate_cleaned!$A$2:$A$10,B5342,mdr_rate_cleaned!$B$2:$B$10,"&lt;"&amp;C5342,mdr_rate_cleaned!$F$2:$F$10,"&gt;="&amp;C5342)</f>
        <v>1</v>
      </c>
      <c r="G5342" s="40">
        <f>SUMIFS(mdr_rate_cleaned!$G$2:$G$10,mdr_rate_cleaned!$A$2:$A$10,B5342,mdr_rate_cleaned!$B$2:$B$10,"&lt;"&amp;C5342,mdr_rate_cleaned!$F$2:$F$10,"&gt;="&amp;C5342)</f>
        <v>1.4999999999999999E-2</v>
      </c>
      <c r="H5342" s="24">
        <f t="shared" si="415"/>
        <v>11.99</v>
      </c>
      <c r="I5342" s="23" t="str">
        <f t="shared" si="416"/>
        <v>Match</v>
      </c>
      <c r="J5342" s="23" t="str">
        <f t="shared" si="417"/>
        <v>Match</v>
      </c>
      <c r="K5342" s="24">
        <f t="shared" si="418"/>
        <v>2.16</v>
      </c>
      <c r="L5342" s="24">
        <f t="shared" si="419"/>
        <v>0</v>
      </c>
    </row>
    <row r="5343" spans="1:12" ht="15" customHeight="1" x14ac:dyDescent="0.3">
      <c r="A5343" s="23" t="s">
        <v>18804</v>
      </c>
      <c r="B5343" s="23" t="s">
        <v>79</v>
      </c>
      <c r="C5343" s="39">
        <v>2798</v>
      </c>
      <c r="D5343" s="24">
        <v>44.77</v>
      </c>
      <c r="E5343" s="24">
        <v>8.06</v>
      </c>
      <c r="F5343" s="23">
        <f>COUNTIFS(mdr_rate_cleaned!$A$2:$A$10,B5343,mdr_rate_cleaned!$B$2:$B$10,"&lt;"&amp;C5343,mdr_rate_cleaned!$F$2:$F$10,"&gt;="&amp;C5343)</f>
        <v>1</v>
      </c>
      <c r="G5343" s="40">
        <f>SUMIFS(mdr_rate_cleaned!$G$2:$G$10,mdr_rate_cleaned!$A$2:$A$10,B5343,mdr_rate_cleaned!$B$2:$B$10,"&lt;"&amp;C5343,mdr_rate_cleaned!$F$2:$F$10,"&gt;="&amp;C5343)</f>
        <v>1.6E-2</v>
      </c>
      <c r="H5343" s="24">
        <f t="shared" si="415"/>
        <v>44.77</v>
      </c>
      <c r="I5343" s="23" t="str">
        <f t="shared" si="416"/>
        <v>Match</v>
      </c>
      <c r="J5343" s="23" t="str">
        <f t="shared" si="417"/>
        <v>Match</v>
      </c>
      <c r="K5343" s="24">
        <f t="shared" si="418"/>
        <v>8.06</v>
      </c>
      <c r="L5343" s="24">
        <f t="shared" si="419"/>
        <v>0</v>
      </c>
    </row>
    <row r="5344" spans="1:12" ht="15" customHeight="1" x14ac:dyDescent="0.3">
      <c r="A5344" s="23" t="s">
        <v>18805</v>
      </c>
      <c r="B5344" s="23" t="s">
        <v>75</v>
      </c>
      <c r="C5344" s="39">
        <v>4999</v>
      </c>
      <c r="D5344" s="24">
        <v>15</v>
      </c>
      <c r="E5344" s="24">
        <v>2.7</v>
      </c>
      <c r="F5344" s="23">
        <f>COUNTIFS(mdr_rate_cleaned!$A$2:$A$10,B5344,mdr_rate_cleaned!$B$2:$B$10,"&lt;"&amp;C5344,mdr_rate_cleaned!$F$2:$F$10,"&gt;="&amp;C5344)</f>
        <v>1</v>
      </c>
      <c r="G5344" s="40">
        <f>SUMIFS(mdr_rate_cleaned!$G$2:$G$10,mdr_rate_cleaned!$A$2:$A$10,B5344,mdr_rate_cleaned!$B$2:$B$10,"&lt;"&amp;C5344,mdr_rate_cleaned!$F$2:$F$10,"&gt;="&amp;C5344)</f>
        <v>3.0000000000000001E-3</v>
      </c>
      <c r="H5344" s="24">
        <f t="shared" si="415"/>
        <v>15</v>
      </c>
      <c r="I5344" s="23" t="str">
        <f t="shared" si="416"/>
        <v>Match</v>
      </c>
      <c r="J5344" s="23" t="str">
        <f t="shared" si="417"/>
        <v>Match</v>
      </c>
      <c r="K5344" s="24">
        <f t="shared" si="418"/>
        <v>2.7</v>
      </c>
      <c r="L5344" s="24">
        <f t="shared" si="419"/>
        <v>0</v>
      </c>
    </row>
    <row r="5345" spans="1:12" ht="15" customHeight="1" x14ac:dyDescent="0.3">
      <c r="A5345" s="23" t="s">
        <v>18806</v>
      </c>
      <c r="B5345" s="23" t="s">
        <v>77</v>
      </c>
      <c r="C5345" s="39">
        <v>1098</v>
      </c>
      <c r="D5345" s="24">
        <v>20.86</v>
      </c>
      <c r="E5345" s="24">
        <v>3.75</v>
      </c>
      <c r="F5345" s="23">
        <f>COUNTIFS(mdr_rate_cleaned!$A$2:$A$10,B5345,mdr_rate_cleaned!$B$2:$B$10,"&lt;"&amp;C5345,mdr_rate_cleaned!$F$2:$F$10,"&gt;="&amp;C5345)</f>
        <v>1</v>
      </c>
      <c r="G5345" s="40">
        <f>SUMIFS(mdr_rate_cleaned!$G$2:$G$10,mdr_rate_cleaned!$A$2:$A$10,B5345,mdr_rate_cleaned!$B$2:$B$10,"&lt;"&amp;C5345,mdr_rate_cleaned!$F$2:$F$10,"&gt;="&amp;C5345)</f>
        <v>1.9E-2</v>
      </c>
      <c r="H5345" s="24">
        <f t="shared" si="415"/>
        <v>20.86</v>
      </c>
      <c r="I5345" s="23" t="str">
        <f t="shared" si="416"/>
        <v>Match</v>
      </c>
      <c r="J5345" s="23" t="str">
        <f t="shared" si="417"/>
        <v>Match</v>
      </c>
      <c r="K5345" s="24">
        <f t="shared" si="418"/>
        <v>3.75</v>
      </c>
      <c r="L5345" s="24">
        <f t="shared" si="419"/>
        <v>0</v>
      </c>
    </row>
    <row r="5346" spans="1:12" ht="15" customHeight="1" x14ac:dyDescent="0.3">
      <c r="A5346" s="23" t="s">
        <v>18807</v>
      </c>
      <c r="B5346" s="23" t="s">
        <v>75</v>
      </c>
      <c r="C5346" s="39">
        <v>10998</v>
      </c>
      <c r="D5346" s="24">
        <v>32.99</v>
      </c>
      <c r="E5346" s="24">
        <v>5.94</v>
      </c>
      <c r="F5346" s="23">
        <f>COUNTIFS(mdr_rate_cleaned!$A$2:$A$10,B5346,mdr_rate_cleaned!$B$2:$B$10,"&lt;"&amp;C5346,mdr_rate_cleaned!$F$2:$F$10,"&gt;="&amp;C5346)</f>
        <v>1</v>
      </c>
      <c r="G5346" s="40">
        <f>SUMIFS(mdr_rate_cleaned!$G$2:$G$10,mdr_rate_cleaned!$A$2:$A$10,B5346,mdr_rate_cleaned!$B$2:$B$10,"&lt;"&amp;C5346,mdr_rate_cleaned!$F$2:$F$10,"&gt;="&amp;C5346)</f>
        <v>3.0000000000000001E-3</v>
      </c>
      <c r="H5346" s="24">
        <f t="shared" si="415"/>
        <v>32.99</v>
      </c>
      <c r="I5346" s="23" t="str">
        <f t="shared" si="416"/>
        <v>Match</v>
      </c>
      <c r="J5346" s="23" t="str">
        <f t="shared" si="417"/>
        <v>Match</v>
      </c>
      <c r="K5346" s="24">
        <f t="shared" si="418"/>
        <v>5.94</v>
      </c>
      <c r="L5346" s="24">
        <f t="shared" si="419"/>
        <v>0</v>
      </c>
    </row>
    <row r="5347" spans="1:12" ht="15" customHeight="1" x14ac:dyDescent="0.3">
      <c r="A5347" s="23" t="s">
        <v>18808</v>
      </c>
      <c r="B5347" s="23" t="s">
        <v>77</v>
      </c>
      <c r="C5347" s="39">
        <v>12998</v>
      </c>
      <c r="D5347" s="24">
        <v>220.97</v>
      </c>
      <c r="E5347" s="24">
        <v>39.770000000000003</v>
      </c>
      <c r="F5347" s="23">
        <f>COUNTIFS(mdr_rate_cleaned!$A$2:$A$10,B5347,mdr_rate_cleaned!$B$2:$B$10,"&lt;"&amp;C5347,mdr_rate_cleaned!$F$2:$F$10,"&gt;="&amp;C5347)</f>
        <v>1</v>
      </c>
      <c r="G5347" s="40">
        <f>SUMIFS(mdr_rate_cleaned!$G$2:$G$10,mdr_rate_cleaned!$A$2:$A$10,B5347,mdr_rate_cleaned!$B$2:$B$10,"&lt;"&amp;C5347,mdr_rate_cleaned!$F$2:$F$10,"&gt;="&amp;C5347)</f>
        <v>1.7000000000000001E-2</v>
      </c>
      <c r="H5347" s="24">
        <f t="shared" si="415"/>
        <v>220.97</v>
      </c>
      <c r="I5347" s="23" t="str">
        <f t="shared" si="416"/>
        <v>Match</v>
      </c>
      <c r="J5347" s="23" t="str">
        <f t="shared" si="417"/>
        <v>Match</v>
      </c>
      <c r="K5347" s="24">
        <f t="shared" si="418"/>
        <v>39.770000000000003</v>
      </c>
      <c r="L5347" s="24">
        <f t="shared" si="419"/>
        <v>0</v>
      </c>
    </row>
    <row r="5348" spans="1:12" ht="15" customHeight="1" x14ac:dyDescent="0.3">
      <c r="A5348" s="23" t="s">
        <v>18809</v>
      </c>
      <c r="B5348" s="23" t="s">
        <v>77</v>
      </c>
      <c r="C5348" s="39">
        <v>12998</v>
      </c>
      <c r="D5348" s="24">
        <v>220.97</v>
      </c>
      <c r="E5348" s="24">
        <v>39.770000000000003</v>
      </c>
      <c r="F5348" s="23">
        <f>COUNTIFS(mdr_rate_cleaned!$A$2:$A$10,B5348,mdr_rate_cleaned!$B$2:$B$10,"&lt;"&amp;C5348,mdr_rate_cleaned!$F$2:$F$10,"&gt;="&amp;C5348)</f>
        <v>1</v>
      </c>
      <c r="G5348" s="40">
        <f>SUMIFS(mdr_rate_cleaned!$G$2:$G$10,mdr_rate_cleaned!$A$2:$A$10,B5348,mdr_rate_cleaned!$B$2:$B$10,"&lt;"&amp;C5348,mdr_rate_cleaned!$F$2:$F$10,"&gt;="&amp;C5348)</f>
        <v>1.7000000000000001E-2</v>
      </c>
      <c r="H5348" s="24">
        <f t="shared" si="415"/>
        <v>220.97</v>
      </c>
      <c r="I5348" s="23" t="str">
        <f t="shared" si="416"/>
        <v>Match</v>
      </c>
      <c r="J5348" s="23" t="str">
        <f t="shared" si="417"/>
        <v>Match</v>
      </c>
      <c r="K5348" s="24">
        <f t="shared" si="418"/>
        <v>39.770000000000003</v>
      </c>
      <c r="L5348" s="24">
        <f t="shared" si="419"/>
        <v>0</v>
      </c>
    </row>
    <row r="5349" spans="1:12" ht="15" customHeight="1" x14ac:dyDescent="0.3">
      <c r="A5349" s="23" t="s">
        <v>18811</v>
      </c>
      <c r="B5349" s="23" t="s">
        <v>77</v>
      </c>
      <c r="C5349" s="39">
        <v>3497</v>
      </c>
      <c r="D5349" s="24">
        <v>59.45</v>
      </c>
      <c r="E5349" s="24">
        <v>10.7</v>
      </c>
      <c r="F5349" s="23">
        <f>COUNTIFS(mdr_rate_cleaned!$A$2:$A$10,B5349,mdr_rate_cleaned!$B$2:$B$10,"&lt;"&amp;C5349,mdr_rate_cleaned!$F$2:$F$10,"&gt;="&amp;C5349)</f>
        <v>1</v>
      </c>
      <c r="G5349" s="40">
        <f>SUMIFS(mdr_rate_cleaned!$G$2:$G$10,mdr_rate_cleaned!$A$2:$A$10,B5349,mdr_rate_cleaned!$B$2:$B$10,"&lt;"&amp;C5349,mdr_rate_cleaned!$F$2:$F$10,"&gt;="&amp;C5349)</f>
        <v>1.7000000000000001E-2</v>
      </c>
      <c r="H5349" s="24">
        <f t="shared" si="415"/>
        <v>59.45</v>
      </c>
      <c r="I5349" s="23" t="str">
        <f t="shared" si="416"/>
        <v>Match</v>
      </c>
      <c r="J5349" s="23" t="str">
        <f t="shared" si="417"/>
        <v>Match</v>
      </c>
      <c r="K5349" s="24">
        <f t="shared" si="418"/>
        <v>10.7</v>
      </c>
      <c r="L5349" s="24">
        <f t="shared" si="419"/>
        <v>0</v>
      </c>
    </row>
    <row r="5350" spans="1:12" ht="15" customHeight="1" x14ac:dyDescent="0.3">
      <c r="A5350" s="23" t="s">
        <v>18812</v>
      </c>
      <c r="B5350" s="23" t="s">
        <v>77</v>
      </c>
      <c r="C5350" s="39">
        <v>9197</v>
      </c>
      <c r="D5350" s="24">
        <v>156.35</v>
      </c>
      <c r="E5350" s="24">
        <v>28.14</v>
      </c>
      <c r="F5350" s="23">
        <f>COUNTIFS(mdr_rate_cleaned!$A$2:$A$10,B5350,mdr_rate_cleaned!$B$2:$B$10,"&lt;"&amp;C5350,mdr_rate_cleaned!$F$2:$F$10,"&gt;="&amp;C5350)</f>
        <v>1</v>
      </c>
      <c r="G5350" s="40">
        <f>SUMIFS(mdr_rate_cleaned!$G$2:$G$10,mdr_rate_cleaned!$A$2:$A$10,B5350,mdr_rate_cleaned!$B$2:$B$10,"&lt;"&amp;C5350,mdr_rate_cleaned!$F$2:$F$10,"&gt;="&amp;C5350)</f>
        <v>1.7000000000000001E-2</v>
      </c>
      <c r="H5350" s="24">
        <f t="shared" si="415"/>
        <v>156.35</v>
      </c>
      <c r="I5350" s="23" t="str">
        <f t="shared" si="416"/>
        <v>Match</v>
      </c>
      <c r="J5350" s="23" t="str">
        <f t="shared" si="417"/>
        <v>Match</v>
      </c>
      <c r="K5350" s="24">
        <f t="shared" si="418"/>
        <v>28.14</v>
      </c>
      <c r="L5350" s="24">
        <f t="shared" si="419"/>
        <v>0</v>
      </c>
    </row>
    <row r="5351" spans="1:12" ht="15" customHeight="1" x14ac:dyDescent="0.3">
      <c r="A5351" s="23" t="s">
        <v>18814</v>
      </c>
      <c r="B5351" s="23" t="s">
        <v>79</v>
      </c>
      <c r="C5351" s="39">
        <v>499</v>
      </c>
      <c r="D5351" s="24">
        <v>8.98</v>
      </c>
      <c r="E5351" s="24">
        <v>1.62</v>
      </c>
      <c r="F5351" s="23">
        <f>COUNTIFS(mdr_rate_cleaned!$A$2:$A$10,B5351,mdr_rate_cleaned!$B$2:$B$10,"&lt;"&amp;C5351,mdr_rate_cleaned!$F$2:$F$10,"&gt;="&amp;C5351)</f>
        <v>1</v>
      </c>
      <c r="G5351" s="40">
        <f>SUMIFS(mdr_rate_cleaned!$G$2:$G$10,mdr_rate_cleaned!$A$2:$A$10,B5351,mdr_rate_cleaned!$B$2:$B$10,"&lt;"&amp;C5351,mdr_rate_cleaned!$F$2:$F$10,"&gt;="&amp;C5351)</f>
        <v>1.8000000000000002E-2</v>
      </c>
      <c r="H5351" s="24">
        <f t="shared" si="415"/>
        <v>8.98</v>
      </c>
      <c r="I5351" s="23" t="str">
        <f t="shared" si="416"/>
        <v>Match</v>
      </c>
      <c r="J5351" s="23" t="str">
        <f t="shared" si="417"/>
        <v>Match</v>
      </c>
      <c r="K5351" s="24">
        <f t="shared" si="418"/>
        <v>1.62</v>
      </c>
      <c r="L5351" s="24">
        <f t="shared" si="419"/>
        <v>0</v>
      </c>
    </row>
    <row r="5352" spans="1:12" ht="15" customHeight="1" x14ac:dyDescent="0.3">
      <c r="A5352" s="23" t="s">
        <v>18815</v>
      </c>
      <c r="B5352" s="23" t="s">
        <v>75</v>
      </c>
      <c r="C5352" s="39">
        <v>4999</v>
      </c>
      <c r="D5352" s="24">
        <v>15</v>
      </c>
      <c r="E5352" s="24">
        <v>2.7</v>
      </c>
      <c r="F5352" s="23">
        <f>COUNTIFS(mdr_rate_cleaned!$A$2:$A$10,B5352,mdr_rate_cleaned!$B$2:$B$10,"&lt;"&amp;C5352,mdr_rate_cleaned!$F$2:$F$10,"&gt;="&amp;C5352)</f>
        <v>1</v>
      </c>
      <c r="G5352" s="40">
        <f>SUMIFS(mdr_rate_cleaned!$G$2:$G$10,mdr_rate_cleaned!$A$2:$A$10,B5352,mdr_rate_cleaned!$B$2:$B$10,"&lt;"&amp;C5352,mdr_rate_cleaned!$F$2:$F$10,"&gt;="&amp;C5352)</f>
        <v>3.0000000000000001E-3</v>
      </c>
      <c r="H5352" s="24">
        <f t="shared" si="415"/>
        <v>15</v>
      </c>
      <c r="I5352" s="23" t="str">
        <f t="shared" si="416"/>
        <v>Match</v>
      </c>
      <c r="J5352" s="23" t="str">
        <f t="shared" si="417"/>
        <v>Match</v>
      </c>
      <c r="K5352" s="24">
        <f t="shared" si="418"/>
        <v>2.7</v>
      </c>
      <c r="L5352" s="24">
        <f t="shared" si="419"/>
        <v>0</v>
      </c>
    </row>
    <row r="5353" spans="1:12" ht="15" customHeight="1" x14ac:dyDescent="0.3">
      <c r="A5353" s="23" t="s">
        <v>18816</v>
      </c>
      <c r="B5353" s="23" t="s">
        <v>75</v>
      </c>
      <c r="C5353" s="39">
        <v>1499</v>
      </c>
      <c r="D5353" s="24">
        <v>0</v>
      </c>
      <c r="E5353" s="24">
        <v>0</v>
      </c>
      <c r="F5353" s="23">
        <f>COUNTIFS(mdr_rate_cleaned!$A$2:$A$10,B5353,mdr_rate_cleaned!$B$2:$B$10,"&lt;"&amp;C5353,mdr_rate_cleaned!$F$2:$F$10,"&gt;="&amp;C5353)</f>
        <v>1</v>
      </c>
      <c r="G5353" s="40">
        <f>SUMIFS(mdr_rate_cleaned!$G$2:$G$10,mdr_rate_cleaned!$A$2:$A$10,B5353,mdr_rate_cleaned!$B$2:$B$10,"&lt;"&amp;C5353,mdr_rate_cleaned!$F$2:$F$10,"&gt;="&amp;C5353)</f>
        <v>0</v>
      </c>
      <c r="H5353" s="24">
        <f t="shared" si="415"/>
        <v>0</v>
      </c>
      <c r="I5353" s="23" t="str">
        <f t="shared" si="416"/>
        <v>Match</v>
      </c>
      <c r="J5353" s="23" t="str">
        <f t="shared" si="417"/>
        <v>Match</v>
      </c>
      <c r="K5353" s="24">
        <f t="shared" si="418"/>
        <v>0</v>
      </c>
      <c r="L5353" s="24">
        <f t="shared" si="419"/>
        <v>0</v>
      </c>
    </row>
    <row r="5354" spans="1:12" ht="15" customHeight="1" x14ac:dyDescent="0.3">
      <c r="A5354" s="23" t="s">
        <v>18817</v>
      </c>
      <c r="B5354" s="23" t="s">
        <v>79</v>
      </c>
      <c r="C5354" s="39">
        <v>1299</v>
      </c>
      <c r="D5354" s="24">
        <v>23.38</v>
      </c>
      <c r="E5354" s="24">
        <v>4.21</v>
      </c>
      <c r="F5354" s="23">
        <f>COUNTIFS(mdr_rate_cleaned!$A$2:$A$10,B5354,mdr_rate_cleaned!$B$2:$B$10,"&lt;"&amp;C5354,mdr_rate_cleaned!$F$2:$F$10,"&gt;="&amp;C5354)</f>
        <v>1</v>
      </c>
      <c r="G5354" s="40">
        <f>SUMIFS(mdr_rate_cleaned!$G$2:$G$10,mdr_rate_cleaned!$A$2:$A$10,B5354,mdr_rate_cleaned!$B$2:$B$10,"&lt;"&amp;C5354,mdr_rate_cleaned!$F$2:$F$10,"&gt;="&amp;C5354)</f>
        <v>1.8000000000000002E-2</v>
      </c>
      <c r="H5354" s="24">
        <f t="shared" si="415"/>
        <v>23.38</v>
      </c>
      <c r="I5354" s="23" t="str">
        <f t="shared" si="416"/>
        <v>Match</v>
      </c>
      <c r="J5354" s="23" t="str">
        <f t="shared" si="417"/>
        <v>Match</v>
      </c>
      <c r="K5354" s="24">
        <f t="shared" si="418"/>
        <v>4.21</v>
      </c>
      <c r="L5354" s="24">
        <f t="shared" si="419"/>
        <v>0</v>
      </c>
    </row>
    <row r="5355" spans="1:12" ht="15" customHeight="1" x14ac:dyDescent="0.3">
      <c r="A5355" s="23" t="s">
        <v>18818</v>
      </c>
      <c r="B5355" s="23" t="s">
        <v>75</v>
      </c>
      <c r="C5355" s="39">
        <v>2098</v>
      </c>
      <c r="D5355" s="24">
        <v>6.29</v>
      </c>
      <c r="E5355" s="24">
        <v>1.1299999999999999</v>
      </c>
      <c r="F5355" s="23">
        <f>COUNTIFS(mdr_rate_cleaned!$A$2:$A$10,B5355,mdr_rate_cleaned!$B$2:$B$10,"&lt;"&amp;C5355,mdr_rate_cleaned!$F$2:$F$10,"&gt;="&amp;C5355)</f>
        <v>1</v>
      </c>
      <c r="G5355" s="40">
        <f>SUMIFS(mdr_rate_cleaned!$G$2:$G$10,mdr_rate_cleaned!$A$2:$A$10,B5355,mdr_rate_cleaned!$B$2:$B$10,"&lt;"&amp;C5355,mdr_rate_cleaned!$F$2:$F$10,"&gt;="&amp;C5355)</f>
        <v>3.0000000000000001E-3</v>
      </c>
      <c r="H5355" s="24">
        <f t="shared" si="415"/>
        <v>6.29</v>
      </c>
      <c r="I5355" s="23" t="str">
        <f t="shared" si="416"/>
        <v>Match</v>
      </c>
      <c r="J5355" s="23" t="str">
        <f t="shared" si="417"/>
        <v>Match</v>
      </c>
      <c r="K5355" s="24">
        <f t="shared" si="418"/>
        <v>1.1299999999999999</v>
      </c>
      <c r="L5355" s="24">
        <f t="shared" si="419"/>
        <v>0</v>
      </c>
    </row>
    <row r="5356" spans="1:12" ht="15" customHeight="1" x14ac:dyDescent="0.3">
      <c r="A5356" s="23" t="s">
        <v>18820</v>
      </c>
      <c r="B5356" s="23" t="s">
        <v>79</v>
      </c>
      <c r="C5356" s="39">
        <v>5298</v>
      </c>
      <c r="D5356" s="24">
        <v>84.77</v>
      </c>
      <c r="E5356" s="24">
        <v>15.26</v>
      </c>
      <c r="F5356" s="23">
        <f>COUNTIFS(mdr_rate_cleaned!$A$2:$A$10,B5356,mdr_rate_cleaned!$B$2:$B$10,"&lt;"&amp;C5356,mdr_rate_cleaned!$F$2:$F$10,"&gt;="&amp;C5356)</f>
        <v>1</v>
      </c>
      <c r="G5356" s="40">
        <f>SUMIFS(mdr_rate_cleaned!$G$2:$G$10,mdr_rate_cleaned!$A$2:$A$10,B5356,mdr_rate_cleaned!$B$2:$B$10,"&lt;"&amp;C5356,mdr_rate_cleaned!$F$2:$F$10,"&gt;="&amp;C5356)</f>
        <v>1.6E-2</v>
      </c>
      <c r="H5356" s="24">
        <f t="shared" si="415"/>
        <v>84.77</v>
      </c>
      <c r="I5356" s="23" t="str">
        <f t="shared" si="416"/>
        <v>Match</v>
      </c>
      <c r="J5356" s="23" t="str">
        <f t="shared" si="417"/>
        <v>Match</v>
      </c>
      <c r="K5356" s="24">
        <f t="shared" si="418"/>
        <v>15.26</v>
      </c>
      <c r="L5356" s="24">
        <f t="shared" si="419"/>
        <v>0</v>
      </c>
    </row>
    <row r="5357" spans="1:12" ht="15" customHeight="1" x14ac:dyDescent="0.3">
      <c r="A5357" s="23" t="s">
        <v>18821</v>
      </c>
      <c r="B5357" s="23" t="s">
        <v>77</v>
      </c>
      <c r="C5357" s="39">
        <v>799</v>
      </c>
      <c r="D5357" s="24">
        <v>15.18</v>
      </c>
      <c r="E5357" s="24">
        <v>2.73</v>
      </c>
      <c r="F5357" s="23">
        <f>COUNTIFS(mdr_rate_cleaned!$A$2:$A$10,B5357,mdr_rate_cleaned!$B$2:$B$10,"&lt;"&amp;C5357,mdr_rate_cleaned!$F$2:$F$10,"&gt;="&amp;C5357)</f>
        <v>1</v>
      </c>
      <c r="G5357" s="40">
        <f>SUMIFS(mdr_rate_cleaned!$G$2:$G$10,mdr_rate_cleaned!$A$2:$A$10,B5357,mdr_rate_cleaned!$B$2:$B$10,"&lt;"&amp;C5357,mdr_rate_cleaned!$F$2:$F$10,"&gt;="&amp;C5357)</f>
        <v>1.9E-2</v>
      </c>
      <c r="H5357" s="24">
        <f t="shared" si="415"/>
        <v>15.18</v>
      </c>
      <c r="I5357" s="23" t="str">
        <f t="shared" si="416"/>
        <v>Match</v>
      </c>
      <c r="J5357" s="23" t="str">
        <f t="shared" si="417"/>
        <v>Match</v>
      </c>
      <c r="K5357" s="24">
        <f t="shared" si="418"/>
        <v>2.73</v>
      </c>
      <c r="L5357" s="24">
        <f t="shared" si="419"/>
        <v>0</v>
      </c>
    </row>
    <row r="5358" spans="1:12" ht="15" customHeight="1" x14ac:dyDescent="0.3">
      <c r="A5358" s="23" t="s">
        <v>18822</v>
      </c>
      <c r="B5358" s="23" t="s">
        <v>81</v>
      </c>
      <c r="C5358" s="39">
        <v>299</v>
      </c>
      <c r="D5358" s="24">
        <v>4.49</v>
      </c>
      <c r="E5358" s="24">
        <v>0.81</v>
      </c>
      <c r="F5358" s="23">
        <f>COUNTIFS(mdr_rate_cleaned!$A$2:$A$10,B5358,mdr_rate_cleaned!$B$2:$B$10,"&lt;"&amp;C5358,mdr_rate_cleaned!$F$2:$F$10,"&gt;="&amp;C5358)</f>
        <v>1</v>
      </c>
      <c r="G5358" s="40">
        <f>SUMIFS(mdr_rate_cleaned!$G$2:$G$10,mdr_rate_cleaned!$A$2:$A$10,B5358,mdr_rate_cleaned!$B$2:$B$10,"&lt;"&amp;C5358,mdr_rate_cleaned!$F$2:$F$10,"&gt;="&amp;C5358)</f>
        <v>1.4999999999999999E-2</v>
      </c>
      <c r="H5358" s="24">
        <f t="shared" si="415"/>
        <v>4.49</v>
      </c>
      <c r="I5358" s="23" t="str">
        <f t="shared" si="416"/>
        <v>Match</v>
      </c>
      <c r="J5358" s="23" t="str">
        <f t="shared" si="417"/>
        <v>Match</v>
      </c>
      <c r="K5358" s="24">
        <f t="shared" si="418"/>
        <v>0.81</v>
      </c>
      <c r="L5358" s="24">
        <f t="shared" si="419"/>
        <v>0</v>
      </c>
    </row>
    <row r="5359" spans="1:12" ht="15" customHeight="1" x14ac:dyDescent="0.3">
      <c r="A5359" s="23" t="s">
        <v>18823</v>
      </c>
      <c r="B5359" s="23" t="s">
        <v>75</v>
      </c>
      <c r="C5359" s="39">
        <v>999</v>
      </c>
      <c r="D5359" s="24">
        <v>0</v>
      </c>
      <c r="E5359" s="24">
        <v>0</v>
      </c>
      <c r="F5359" s="23">
        <f>COUNTIFS(mdr_rate_cleaned!$A$2:$A$10,B5359,mdr_rate_cleaned!$B$2:$B$10,"&lt;"&amp;C5359,mdr_rate_cleaned!$F$2:$F$10,"&gt;="&amp;C5359)</f>
        <v>1</v>
      </c>
      <c r="G5359" s="40">
        <f>SUMIFS(mdr_rate_cleaned!$G$2:$G$10,mdr_rate_cleaned!$A$2:$A$10,B5359,mdr_rate_cleaned!$B$2:$B$10,"&lt;"&amp;C5359,mdr_rate_cleaned!$F$2:$F$10,"&gt;="&amp;C5359)</f>
        <v>0</v>
      </c>
      <c r="H5359" s="24">
        <f t="shared" si="415"/>
        <v>0</v>
      </c>
      <c r="I5359" s="23" t="str">
        <f t="shared" si="416"/>
        <v>Match</v>
      </c>
      <c r="J5359" s="23" t="str">
        <f t="shared" si="417"/>
        <v>Match</v>
      </c>
      <c r="K5359" s="24">
        <f t="shared" si="418"/>
        <v>0</v>
      </c>
      <c r="L5359" s="24">
        <f t="shared" si="419"/>
        <v>0</v>
      </c>
    </row>
    <row r="5360" spans="1:12" ht="15" customHeight="1" x14ac:dyDescent="0.3">
      <c r="A5360" s="23" t="s">
        <v>18824</v>
      </c>
      <c r="B5360" s="23" t="s">
        <v>75</v>
      </c>
      <c r="C5360" s="39">
        <v>5998</v>
      </c>
      <c r="D5360" s="24">
        <v>17.989999999999998</v>
      </c>
      <c r="E5360" s="24">
        <v>3.24</v>
      </c>
      <c r="F5360" s="23">
        <f>COUNTIFS(mdr_rate_cleaned!$A$2:$A$10,B5360,mdr_rate_cleaned!$B$2:$B$10,"&lt;"&amp;C5360,mdr_rate_cleaned!$F$2:$F$10,"&gt;="&amp;C5360)</f>
        <v>1</v>
      </c>
      <c r="G5360" s="40">
        <f>SUMIFS(mdr_rate_cleaned!$G$2:$G$10,mdr_rate_cleaned!$A$2:$A$10,B5360,mdr_rate_cleaned!$B$2:$B$10,"&lt;"&amp;C5360,mdr_rate_cleaned!$F$2:$F$10,"&gt;="&amp;C5360)</f>
        <v>3.0000000000000001E-3</v>
      </c>
      <c r="H5360" s="24">
        <f t="shared" si="415"/>
        <v>17.989999999999998</v>
      </c>
      <c r="I5360" s="23" t="str">
        <f t="shared" si="416"/>
        <v>Match</v>
      </c>
      <c r="J5360" s="23" t="str">
        <f t="shared" si="417"/>
        <v>Match</v>
      </c>
      <c r="K5360" s="24">
        <f t="shared" si="418"/>
        <v>3.24</v>
      </c>
      <c r="L5360" s="24">
        <f t="shared" si="419"/>
        <v>0</v>
      </c>
    </row>
    <row r="5361" spans="1:12" ht="15" customHeight="1" x14ac:dyDescent="0.3">
      <c r="A5361" s="23" t="s">
        <v>18825</v>
      </c>
      <c r="B5361" s="23" t="s">
        <v>79</v>
      </c>
      <c r="C5361" s="39">
        <v>2499</v>
      </c>
      <c r="D5361" s="24">
        <v>39.979999999999997</v>
      </c>
      <c r="E5361" s="24">
        <v>7.2</v>
      </c>
      <c r="F5361" s="23">
        <f>COUNTIFS(mdr_rate_cleaned!$A$2:$A$10,B5361,mdr_rate_cleaned!$B$2:$B$10,"&lt;"&amp;C5361,mdr_rate_cleaned!$F$2:$F$10,"&gt;="&amp;C5361)</f>
        <v>1</v>
      </c>
      <c r="G5361" s="40">
        <f>SUMIFS(mdr_rate_cleaned!$G$2:$G$10,mdr_rate_cleaned!$A$2:$A$10,B5361,mdr_rate_cleaned!$B$2:$B$10,"&lt;"&amp;C5361,mdr_rate_cleaned!$F$2:$F$10,"&gt;="&amp;C5361)</f>
        <v>1.6E-2</v>
      </c>
      <c r="H5361" s="24">
        <f t="shared" si="415"/>
        <v>39.979999999999997</v>
      </c>
      <c r="I5361" s="23" t="str">
        <f t="shared" si="416"/>
        <v>Match</v>
      </c>
      <c r="J5361" s="23" t="str">
        <f t="shared" si="417"/>
        <v>Match</v>
      </c>
      <c r="K5361" s="24">
        <f t="shared" si="418"/>
        <v>7.2</v>
      </c>
      <c r="L5361" s="24">
        <f t="shared" si="419"/>
        <v>0</v>
      </c>
    </row>
    <row r="5362" spans="1:12" ht="15" customHeight="1" x14ac:dyDescent="0.3">
      <c r="A5362" s="23" t="s">
        <v>18826</v>
      </c>
      <c r="B5362" s="23" t="s">
        <v>75</v>
      </c>
      <c r="C5362" s="39">
        <v>2999</v>
      </c>
      <c r="D5362" s="24">
        <v>9</v>
      </c>
      <c r="E5362" s="24">
        <v>1.62</v>
      </c>
      <c r="F5362" s="23">
        <f>COUNTIFS(mdr_rate_cleaned!$A$2:$A$10,B5362,mdr_rate_cleaned!$B$2:$B$10,"&lt;"&amp;C5362,mdr_rate_cleaned!$F$2:$F$10,"&gt;="&amp;C5362)</f>
        <v>1</v>
      </c>
      <c r="G5362" s="40">
        <f>SUMIFS(mdr_rate_cleaned!$G$2:$G$10,mdr_rate_cleaned!$A$2:$A$10,B5362,mdr_rate_cleaned!$B$2:$B$10,"&lt;"&amp;C5362,mdr_rate_cleaned!$F$2:$F$10,"&gt;="&amp;C5362)</f>
        <v>3.0000000000000001E-3</v>
      </c>
      <c r="H5362" s="24">
        <f t="shared" si="415"/>
        <v>9</v>
      </c>
      <c r="I5362" s="23" t="str">
        <f t="shared" si="416"/>
        <v>Match</v>
      </c>
      <c r="J5362" s="23" t="str">
        <f t="shared" si="417"/>
        <v>Match</v>
      </c>
      <c r="K5362" s="24">
        <f t="shared" si="418"/>
        <v>1.62</v>
      </c>
      <c r="L5362" s="24">
        <f t="shared" si="419"/>
        <v>0</v>
      </c>
    </row>
    <row r="5363" spans="1:12" ht="15" customHeight="1" x14ac:dyDescent="0.3">
      <c r="A5363" s="23" t="s">
        <v>18827</v>
      </c>
      <c r="B5363" s="23" t="s">
        <v>81</v>
      </c>
      <c r="C5363" s="39">
        <v>3499</v>
      </c>
      <c r="D5363" s="24">
        <v>41.99</v>
      </c>
      <c r="E5363" s="24">
        <v>7.56</v>
      </c>
      <c r="F5363" s="23">
        <f>COUNTIFS(mdr_rate_cleaned!$A$2:$A$10,B5363,mdr_rate_cleaned!$B$2:$B$10,"&lt;"&amp;C5363,mdr_rate_cleaned!$F$2:$F$10,"&gt;="&amp;C5363)</f>
        <v>1</v>
      </c>
      <c r="G5363" s="40">
        <f>SUMIFS(mdr_rate_cleaned!$G$2:$G$10,mdr_rate_cleaned!$A$2:$A$10,B5363,mdr_rate_cleaned!$B$2:$B$10,"&lt;"&amp;C5363,mdr_rate_cleaned!$F$2:$F$10,"&gt;="&amp;C5363)</f>
        <v>1.2E-2</v>
      </c>
      <c r="H5363" s="24">
        <f t="shared" si="415"/>
        <v>41.99</v>
      </c>
      <c r="I5363" s="23" t="str">
        <f t="shared" si="416"/>
        <v>Match</v>
      </c>
      <c r="J5363" s="23" t="str">
        <f t="shared" si="417"/>
        <v>Match</v>
      </c>
      <c r="K5363" s="24">
        <f t="shared" si="418"/>
        <v>7.56</v>
      </c>
      <c r="L5363" s="24">
        <f t="shared" si="419"/>
        <v>0</v>
      </c>
    </row>
    <row r="5364" spans="1:12" ht="15" customHeight="1" x14ac:dyDescent="0.3">
      <c r="A5364" s="23" t="s">
        <v>18828</v>
      </c>
      <c r="B5364" s="23" t="s">
        <v>77</v>
      </c>
      <c r="C5364" s="39">
        <v>4197</v>
      </c>
      <c r="D5364" s="24">
        <v>71.349999999999994</v>
      </c>
      <c r="E5364" s="24">
        <v>12.84</v>
      </c>
      <c r="F5364" s="23">
        <f>COUNTIFS(mdr_rate_cleaned!$A$2:$A$10,B5364,mdr_rate_cleaned!$B$2:$B$10,"&lt;"&amp;C5364,mdr_rate_cleaned!$F$2:$F$10,"&gt;="&amp;C5364)</f>
        <v>1</v>
      </c>
      <c r="G5364" s="40">
        <f>SUMIFS(mdr_rate_cleaned!$G$2:$G$10,mdr_rate_cleaned!$A$2:$A$10,B5364,mdr_rate_cleaned!$B$2:$B$10,"&lt;"&amp;C5364,mdr_rate_cleaned!$F$2:$F$10,"&gt;="&amp;C5364)</f>
        <v>1.7000000000000001E-2</v>
      </c>
      <c r="H5364" s="24">
        <f t="shared" si="415"/>
        <v>71.349999999999994</v>
      </c>
      <c r="I5364" s="23" t="str">
        <f t="shared" si="416"/>
        <v>Match</v>
      </c>
      <c r="J5364" s="23" t="str">
        <f t="shared" si="417"/>
        <v>Match</v>
      </c>
      <c r="K5364" s="24">
        <f t="shared" si="418"/>
        <v>12.84</v>
      </c>
      <c r="L5364" s="24">
        <f t="shared" si="419"/>
        <v>0</v>
      </c>
    </row>
    <row r="5365" spans="1:12" ht="15" customHeight="1" x14ac:dyDescent="0.3">
      <c r="A5365" s="23" t="s">
        <v>18829</v>
      </c>
      <c r="B5365" s="23" t="s">
        <v>81</v>
      </c>
      <c r="C5365" s="39">
        <v>998</v>
      </c>
      <c r="D5365" s="24">
        <v>14.97</v>
      </c>
      <c r="E5365" s="24">
        <v>2.69</v>
      </c>
      <c r="F5365" s="23">
        <f>COUNTIFS(mdr_rate_cleaned!$A$2:$A$10,B5365,mdr_rate_cleaned!$B$2:$B$10,"&lt;"&amp;C5365,mdr_rate_cleaned!$F$2:$F$10,"&gt;="&amp;C5365)</f>
        <v>1</v>
      </c>
      <c r="G5365" s="40">
        <f>SUMIFS(mdr_rate_cleaned!$G$2:$G$10,mdr_rate_cleaned!$A$2:$A$10,B5365,mdr_rate_cleaned!$B$2:$B$10,"&lt;"&amp;C5365,mdr_rate_cleaned!$F$2:$F$10,"&gt;="&amp;C5365)</f>
        <v>1.4999999999999999E-2</v>
      </c>
      <c r="H5365" s="24">
        <f t="shared" si="415"/>
        <v>14.97</v>
      </c>
      <c r="I5365" s="23" t="str">
        <f t="shared" si="416"/>
        <v>Match</v>
      </c>
      <c r="J5365" s="23" t="str">
        <f t="shared" si="417"/>
        <v>Match</v>
      </c>
      <c r="K5365" s="24">
        <f t="shared" si="418"/>
        <v>2.69</v>
      </c>
      <c r="L5365" s="24">
        <f t="shared" si="419"/>
        <v>0</v>
      </c>
    </row>
    <row r="5366" spans="1:12" ht="15" customHeight="1" x14ac:dyDescent="0.3">
      <c r="A5366" s="23" t="s">
        <v>18830</v>
      </c>
      <c r="B5366" s="23" t="s">
        <v>77</v>
      </c>
      <c r="C5366" s="39">
        <v>2499</v>
      </c>
      <c r="D5366" s="24">
        <v>42.48</v>
      </c>
      <c r="E5366" s="24">
        <v>7.65</v>
      </c>
      <c r="F5366" s="23">
        <f>COUNTIFS(mdr_rate_cleaned!$A$2:$A$10,B5366,mdr_rate_cleaned!$B$2:$B$10,"&lt;"&amp;C5366,mdr_rate_cleaned!$F$2:$F$10,"&gt;="&amp;C5366)</f>
        <v>1</v>
      </c>
      <c r="G5366" s="40">
        <f>SUMIFS(mdr_rate_cleaned!$G$2:$G$10,mdr_rate_cleaned!$A$2:$A$10,B5366,mdr_rate_cleaned!$B$2:$B$10,"&lt;"&amp;C5366,mdr_rate_cleaned!$F$2:$F$10,"&gt;="&amp;C5366)</f>
        <v>1.7000000000000001E-2</v>
      </c>
      <c r="H5366" s="24">
        <f t="shared" si="415"/>
        <v>42.48</v>
      </c>
      <c r="I5366" s="23" t="str">
        <f t="shared" si="416"/>
        <v>Match</v>
      </c>
      <c r="J5366" s="23" t="str">
        <f t="shared" si="417"/>
        <v>Match</v>
      </c>
      <c r="K5366" s="24">
        <f t="shared" si="418"/>
        <v>7.65</v>
      </c>
      <c r="L5366" s="24">
        <f t="shared" si="419"/>
        <v>0</v>
      </c>
    </row>
    <row r="5367" spans="1:12" ht="15" customHeight="1" x14ac:dyDescent="0.3">
      <c r="A5367" s="23" t="s">
        <v>18831</v>
      </c>
      <c r="B5367" s="23" t="s">
        <v>75</v>
      </c>
      <c r="C5367" s="39">
        <v>4999</v>
      </c>
      <c r="D5367" s="24">
        <v>15</v>
      </c>
      <c r="E5367" s="24">
        <v>2.7</v>
      </c>
      <c r="F5367" s="23">
        <f>COUNTIFS(mdr_rate_cleaned!$A$2:$A$10,B5367,mdr_rate_cleaned!$B$2:$B$10,"&lt;"&amp;C5367,mdr_rate_cleaned!$F$2:$F$10,"&gt;="&amp;C5367)</f>
        <v>1</v>
      </c>
      <c r="G5367" s="40">
        <f>SUMIFS(mdr_rate_cleaned!$G$2:$G$10,mdr_rate_cleaned!$A$2:$A$10,B5367,mdr_rate_cleaned!$B$2:$B$10,"&lt;"&amp;C5367,mdr_rate_cleaned!$F$2:$F$10,"&gt;="&amp;C5367)</f>
        <v>3.0000000000000001E-3</v>
      </c>
      <c r="H5367" s="24">
        <f t="shared" si="415"/>
        <v>15</v>
      </c>
      <c r="I5367" s="23" t="str">
        <f t="shared" si="416"/>
        <v>Match</v>
      </c>
      <c r="J5367" s="23" t="str">
        <f t="shared" si="417"/>
        <v>Match</v>
      </c>
      <c r="K5367" s="24">
        <f t="shared" si="418"/>
        <v>2.7</v>
      </c>
      <c r="L5367" s="24">
        <f t="shared" si="419"/>
        <v>0</v>
      </c>
    </row>
    <row r="5368" spans="1:12" ht="15" customHeight="1" x14ac:dyDescent="0.3">
      <c r="A5368" s="23" t="s">
        <v>18832</v>
      </c>
      <c r="B5368" s="23" t="s">
        <v>75</v>
      </c>
      <c r="C5368" s="39">
        <v>3098</v>
      </c>
      <c r="D5368" s="24">
        <v>9.2899999999999991</v>
      </c>
      <c r="E5368" s="24">
        <v>1.67</v>
      </c>
      <c r="F5368" s="23">
        <f>COUNTIFS(mdr_rate_cleaned!$A$2:$A$10,B5368,mdr_rate_cleaned!$B$2:$B$10,"&lt;"&amp;C5368,mdr_rate_cleaned!$F$2:$F$10,"&gt;="&amp;C5368)</f>
        <v>1</v>
      </c>
      <c r="G5368" s="40">
        <f>SUMIFS(mdr_rate_cleaned!$G$2:$G$10,mdr_rate_cleaned!$A$2:$A$10,B5368,mdr_rate_cleaned!$B$2:$B$10,"&lt;"&amp;C5368,mdr_rate_cleaned!$F$2:$F$10,"&gt;="&amp;C5368)</f>
        <v>3.0000000000000001E-3</v>
      </c>
      <c r="H5368" s="24">
        <f t="shared" si="415"/>
        <v>9.2899999999999991</v>
      </c>
      <c r="I5368" s="23" t="str">
        <f t="shared" si="416"/>
        <v>Match</v>
      </c>
      <c r="J5368" s="23" t="str">
        <f t="shared" si="417"/>
        <v>Match</v>
      </c>
      <c r="K5368" s="24">
        <f t="shared" si="418"/>
        <v>1.67</v>
      </c>
      <c r="L5368" s="24">
        <f t="shared" si="419"/>
        <v>0</v>
      </c>
    </row>
    <row r="5369" spans="1:12" ht="15" customHeight="1" x14ac:dyDescent="0.3">
      <c r="A5369" s="23" t="s">
        <v>18834</v>
      </c>
      <c r="B5369" s="23" t="s">
        <v>75</v>
      </c>
      <c r="C5369" s="39">
        <v>999</v>
      </c>
      <c r="D5369" s="24">
        <v>0</v>
      </c>
      <c r="E5369" s="24">
        <v>0</v>
      </c>
      <c r="F5369" s="23">
        <f>COUNTIFS(mdr_rate_cleaned!$A$2:$A$10,B5369,mdr_rate_cleaned!$B$2:$B$10,"&lt;"&amp;C5369,mdr_rate_cleaned!$F$2:$F$10,"&gt;="&amp;C5369)</f>
        <v>1</v>
      </c>
      <c r="G5369" s="40">
        <f>SUMIFS(mdr_rate_cleaned!$G$2:$G$10,mdr_rate_cleaned!$A$2:$A$10,B5369,mdr_rate_cleaned!$B$2:$B$10,"&lt;"&amp;C5369,mdr_rate_cleaned!$F$2:$F$10,"&gt;="&amp;C5369)</f>
        <v>0</v>
      </c>
      <c r="H5369" s="24">
        <f t="shared" si="415"/>
        <v>0</v>
      </c>
      <c r="I5369" s="23" t="str">
        <f t="shared" si="416"/>
        <v>Match</v>
      </c>
      <c r="J5369" s="23" t="str">
        <f t="shared" si="417"/>
        <v>Match</v>
      </c>
      <c r="K5369" s="24">
        <f t="shared" si="418"/>
        <v>0</v>
      </c>
      <c r="L5369" s="24">
        <f t="shared" si="419"/>
        <v>0</v>
      </c>
    </row>
    <row r="5370" spans="1:12" ht="15" customHeight="1" x14ac:dyDescent="0.3">
      <c r="A5370" s="23" t="s">
        <v>18835</v>
      </c>
      <c r="B5370" s="23" t="s">
        <v>79</v>
      </c>
      <c r="C5370" s="39">
        <v>5498</v>
      </c>
      <c r="D5370" s="24">
        <v>87.97</v>
      </c>
      <c r="E5370" s="24">
        <v>15.83</v>
      </c>
      <c r="F5370" s="23">
        <f>COUNTIFS(mdr_rate_cleaned!$A$2:$A$10,B5370,mdr_rate_cleaned!$B$2:$B$10,"&lt;"&amp;C5370,mdr_rate_cleaned!$F$2:$F$10,"&gt;="&amp;C5370)</f>
        <v>1</v>
      </c>
      <c r="G5370" s="40">
        <f>SUMIFS(mdr_rate_cleaned!$G$2:$G$10,mdr_rate_cleaned!$A$2:$A$10,B5370,mdr_rate_cleaned!$B$2:$B$10,"&lt;"&amp;C5370,mdr_rate_cleaned!$F$2:$F$10,"&gt;="&amp;C5370)</f>
        <v>1.6E-2</v>
      </c>
      <c r="H5370" s="24">
        <f t="shared" si="415"/>
        <v>87.97</v>
      </c>
      <c r="I5370" s="23" t="str">
        <f t="shared" si="416"/>
        <v>Match</v>
      </c>
      <c r="J5370" s="23" t="str">
        <f t="shared" si="417"/>
        <v>Match</v>
      </c>
      <c r="K5370" s="24">
        <f t="shared" si="418"/>
        <v>15.83</v>
      </c>
      <c r="L5370" s="24">
        <f t="shared" si="419"/>
        <v>0</v>
      </c>
    </row>
    <row r="5371" spans="1:12" ht="15" customHeight="1" x14ac:dyDescent="0.3">
      <c r="A5371" s="23" t="s">
        <v>18836</v>
      </c>
      <c r="B5371" s="23" t="s">
        <v>77</v>
      </c>
      <c r="C5371" s="39">
        <v>3848</v>
      </c>
      <c r="D5371" s="24">
        <v>65.42</v>
      </c>
      <c r="E5371" s="24">
        <v>11.78</v>
      </c>
      <c r="F5371" s="23">
        <f>COUNTIFS(mdr_rate_cleaned!$A$2:$A$10,B5371,mdr_rate_cleaned!$B$2:$B$10,"&lt;"&amp;C5371,mdr_rate_cleaned!$F$2:$F$10,"&gt;="&amp;C5371)</f>
        <v>1</v>
      </c>
      <c r="G5371" s="40">
        <f>SUMIFS(mdr_rate_cleaned!$G$2:$G$10,mdr_rate_cleaned!$A$2:$A$10,B5371,mdr_rate_cleaned!$B$2:$B$10,"&lt;"&amp;C5371,mdr_rate_cleaned!$F$2:$F$10,"&gt;="&amp;C5371)</f>
        <v>1.7000000000000001E-2</v>
      </c>
      <c r="H5371" s="24">
        <f t="shared" si="415"/>
        <v>65.42</v>
      </c>
      <c r="I5371" s="23" t="str">
        <f t="shared" si="416"/>
        <v>Match</v>
      </c>
      <c r="J5371" s="23" t="str">
        <f t="shared" si="417"/>
        <v>Match</v>
      </c>
      <c r="K5371" s="24">
        <f t="shared" si="418"/>
        <v>11.78</v>
      </c>
      <c r="L5371" s="24">
        <f t="shared" si="419"/>
        <v>0</v>
      </c>
    </row>
    <row r="5372" spans="1:12" ht="15" customHeight="1" x14ac:dyDescent="0.3">
      <c r="A5372" s="23" t="s">
        <v>18838</v>
      </c>
      <c r="B5372" s="23" t="s">
        <v>75</v>
      </c>
      <c r="C5372" s="39">
        <v>349</v>
      </c>
      <c r="D5372" s="24">
        <v>0</v>
      </c>
      <c r="E5372" s="24">
        <v>0</v>
      </c>
      <c r="F5372" s="23">
        <f>COUNTIFS(mdr_rate_cleaned!$A$2:$A$10,B5372,mdr_rate_cleaned!$B$2:$B$10,"&lt;"&amp;C5372,mdr_rate_cleaned!$F$2:$F$10,"&gt;="&amp;C5372)</f>
        <v>1</v>
      </c>
      <c r="G5372" s="40">
        <f>SUMIFS(mdr_rate_cleaned!$G$2:$G$10,mdr_rate_cleaned!$A$2:$A$10,B5372,mdr_rate_cleaned!$B$2:$B$10,"&lt;"&amp;C5372,mdr_rate_cleaned!$F$2:$F$10,"&gt;="&amp;C5372)</f>
        <v>0</v>
      </c>
      <c r="H5372" s="24">
        <f t="shared" si="415"/>
        <v>0</v>
      </c>
      <c r="I5372" s="23" t="str">
        <f t="shared" si="416"/>
        <v>Match</v>
      </c>
      <c r="J5372" s="23" t="str">
        <f t="shared" si="417"/>
        <v>Match</v>
      </c>
      <c r="K5372" s="24">
        <f t="shared" si="418"/>
        <v>0</v>
      </c>
      <c r="L5372" s="24">
        <f t="shared" si="419"/>
        <v>0</v>
      </c>
    </row>
    <row r="5373" spans="1:12" ht="15" customHeight="1" x14ac:dyDescent="0.3">
      <c r="A5373" s="23" t="s">
        <v>18839</v>
      </c>
      <c r="B5373" s="23" t="s">
        <v>77</v>
      </c>
      <c r="C5373" s="39">
        <v>999</v>
      </c>
      <c r="D5373" s="24">
        <v>18.98</v>
      </c>
      <c r="E5373" s="24">
        <v>3.42</v>
      </c>
      <c r="F5373" s="23">
        <f>COUNTIFS(mdr_rate_cleaned!$A$2:$A$10,B5373,mdr_rate_cleaned!$B$2:$B$10,"&lt;"&amp;C5373,mdr_rate_cleaned!$F$2:$F$10,"&gt;="&amp;C5373)</f>
        <v>1</v>
      </c>
      <c r="G5373" s="40">
        <f>SUMIFS(mdr_rate_cleaned!$G$2:$G$10,mdr_rate_cleaned!$A$2:$A$10,B5373,mdr_rate_cleaned!$B$2:$B$10,"&lt;"&amp;C5373,mdr_rate_cleaned!$F$2:$F$10,"&gt;="&amp;C5373)</f>
        <v>1.9E-2</v>
      </c>
      <c r="H5373" s="24">
        <f t="shared" si="415"/>
        <v>18.98</v>
      </c>
      <c r="I5373" s="23" t="str">
        <f t="shared" si="416"/>
        <v>Match</v>
      </c>
      <c r="J5373" s="23" t="str">
        <f t="shared" si="417"/>
        <v>Match</v>
      </c>
      <c r="K5373" s="24">
        <f t="shared" si="418"/>
        <v>3.42</v>
      </c>
      <c r="L5373" s="24">
        <f t="shared" si="419"/>
        <v>0</v>
      </c>
    </row>
    <row r="5374" spans="1:12" ht="15" customHeight="1" x14ac:dyDescent="0.3">
      <c r="A5374" s="23" t="s">
        <v>18840</v>
      </c>
      <c r="B5374" s="23" t="s">
        <v>77</v>
      </c>
      <c r="C5374" s="39">
        <v>5348</v>
      </c>
      <c r="D5374" s="24">
        <v>90.92</v>
      </c>
      <c r="E5374" s="24">
        <v>16.37</v>
      </c>
      <c r="F5374" s="23">
        <f>COUNTIFS(mdr_rate_cleaned!$A$2:$A$10,B5374,mdr_rate_cleaned!$B$2:$B$10,"&lt;"&amp;C5374,mdr_rate_cleaned!$F$2:$F$10,"&gt;="&amp;C5374)</f>
        <v>1</v>
      </c>
      <c r="G5374" s="40">
        <f>SUMIFS(mdr_rate_cleaned!$G$2:$G$10,mdr_rate_cleaned!$A$2:$A$10,B5374,mdr_rate_cleaned!$B$2:$B$10,"&lt;"&amp;C5374,mdr_rate_cleaned!$F$2:$F$10,"&gt;="&amp;C5374)</f>
        <v>1.7000000000000001E-2</v>
      </c>
      <c r="H5374" s="24">
        <f t="shared" si="415"/>
        <v>90.92</v>
      </c>
      <c r="I5374" s="23" t="str">
        <f t="shared" si="416"/>
        <v>Match</v>
      </c>
      <c r="J5374" s="23" t="str">
        <f t="shared" si="417"/>
        <v>Match</v>
      </c>
      <c r="K5374" s="24">
        <f t="shared" si="418"/>
        <v>16.37</v>
      </c>
      <c r="L5374" s="24">
        <f t="shared" si="419"/>
        <v>0</v>
      </c>
    </row>
    <row r="5375" spans="1:12" ht="15" customHeight="1" x14ac:dyDescent="0.3">
      <c r="A5375" s="23" t="s">
        <v>18842</v>
      </c>
      <c r="B5375" s="23" t="s">
        <v>77</v>
      </c>
      <c r="C5375" s="39">
        <v>11497</v>
      </c>
      <c r="D5375" s="24">
        <v>195.45</v>
      </c>
      <c r="E5375" s="24">
        <v>35.18</v>
      </c>
      <c r="F5375" s="23">
        <f>COUNTIFS(mdr_rate_cleaned!$A$2:$A$10,B5375,mdr_rate_cleaned!$B$2:$B$10,"&lt;"&amp;C5375,mdr_rate_cleaned!$F$2:$F$10,"&gt;="&amp;C5375)</f>
        <v>1</v>
      </c>
      <c r="G5375" s="40">
        <f>SUMIFS(mdr_rate_cleaned!$G$2:$G$10,mdr_rate_cleaned!$A$2:$A$10,B5375,mdr_rate_cleaned!$B$2:$B$10,"&lt;"&amp;C5375,mdr_rate_cleaned!$F$2:$F$10,"&gt;="&amp;C5375)</f>
        <v>1.7000000000000001E-2</v>
      </c>
      <c r="H5375" s="24">
        <f t="shared" si="415"/>
        <v>195.45</v>
      </c>
      <c r="I5375" s="23" t="str">
        <f t="shared" si="416"/>
        <v>Match</v>
      </c>
      <c r="J5375" s="23" t="str">
        <f t="shared" si="417"/>
        <v>Match</v>
      </c>
      <c r="K5375" s="24">
        <f t="shared" si="418"/>
        <v>35.18</v>
      </c>
      <c r="L5375" s="24">
        <f t="shared" si="419"/>
        <v>0</v>
      </c>
    </row>
    <row r="5376" spans="1:12" ht="15" customHeight="1" x14ac:dyDescent="0.3">
      <c r="A5376" s="23" t="s">
        <v>18843</v>
      </c>
      <c r="B5376" s="23" t="s">
        <v>79</v>
      </c>
      <c r="C5376" s="39">
        <v>4897</v>
      </c>
      <c r="D5376" s="24">
        <v>78.349999999999994</v>
      </c>
      <c r="E5376" s="24">
        <v>14.1</v>
      </c>
      <c r="F5376" s="23">
        <f>COUNTIFS(mdr_rate_cleaned!$A$2:$A$10,B5376,mdr_rate_cleaned!$B$2:$B$10,"&lt;"&amp;C5376,mdr_rate_cleaned!$F$2:$F$10,"&gt;="&amp;C5376)</f>
        <v>1</v>
      </c>
      <c r="G5376" s="40">
        <f>SUMIFS(mdr_rate_cleaned!$G$2:$G$10,mdr_rate_cleaned!$A$2:$A$10,B5376,mdr_rate_cleaned!$B$2:$B$10,"&lt;"&amp;C5376,mdr_rate_cleaned!$F$2:$F$10,"&gt;="&amp;C5376)</f>
        <v>1.6E-2</v>
      </c>
      <c r="H5376" s="24">
        <f t="shared" si="415"/>
        <v>78.349999999999994</v>
      </c>
      <c r="I5376" s="23" t="str">
        <f t="shared" si="416"/>
        <v>Match</v>
      </c>
      <c r="J5376" s="23" t="str">
        <f t="shared" si="417"/>
        <v>Match</v>
      </c>
      <c r="K5376" s="24">
        <f t="shared" si="418"/>
        <v>14.1</v>
      </c>
      <c r="L5376" s="24">
        <f t="shared" si="419"/>
        <v>0</v>
      </c>
    </row>
    <row r="5377" spans="1:12" ht="15" customHeight="1" x14ac:dyDescent="0.3">
      <c r="A5377" s="23" t="s">
        <v>18844</v>
      </c>
      <c r="B5377" s="23" t="s">
        <v>75</v>
      </c>
      <c r="C5377" s="39">
        <v>1499</v>
      </c>
      <c r="D5377" s="24">
        <v>0</v>
      </c>
      <c r="E5377" s="24">
        <v>0</v>
      </c>
      <c r="F5377" s="23">
        <f>COUNTIFS(mdr_rate_cleaned!$A$2:$A$10,B5377,mdr_rate_cleaned!$B$2:$B$10,"&lt;"&amp;C5377,mdr_rate_cleaned!$F$2:$F$10,"&gt;="&amp;C5377)</f>
        <v>1</v>
      </c>
      <c r="G5377" s="40">
        <f>SUMIFS(mdr_rate_cleaned!$G$2:$G$10,mdr_rate_cleaned!$A$2:$A$10,B5377,mdr_rate_cleaned!$B$2:$B$10,"&lt;"&amp;C5377,mdr_rate_cleaned!$F$2:$F$10,"&gt;="&amp;C5377)</f>
        <v>0</v>
      </c>
      <c r="H5377" s="24">
        <f t="shared" si="415"/>
        <v>0</v>
      </c>
      <c r="I5377" s="23" t="str">
        <f t="shared" si="416"/>
        <v>Match</v>
      </c>
      <c r="J5377" s="23" t="str">
        <f t="shared" si="417"/>
        <v>Match</v>
      </c>
      <c r="K5377" s="24">
        <f t="shared" si="418"/>
        <v>0</v>
      </c>
      <c r="L5377" s="24">
        <f t="shared" si="419"/>
        <v>0</v>
      </c>
    </row>
    <row r="5378" spans="1:12" ht="15" customHeight="1" x14ac:dyDescent="0.3">
      <c r="A5378" s="23" t="s">
        <v>18846</v>
      </c>
      <c r="B5378" s="23" t="s">
        <v>75</v>
      </c>
      <c r="C5378" s="39">
        <v>2298</v>
      </c>
      <c r="D5378" s="24">
        <v>6.89</v>
      </c>
      <c r="E5378" s="24">
        <v>1.24</v>
      </c>
      <c r="F5378" s="23">
        <f>COUNTIFS(mdr_rate_cleaned!$A$2:$A$10,B5378,mdr_rate_cleaned!$B$2:$B$10,"&lt;"&amp;C5378,mdr_rate_cleaned!$F$2:$F$10,"&gt;="&amp;C5378)</f>
        <v>1</v>
      </c>
      <c r="G5378" s="40">
        <f>SUMIFS(mdr_rate_cleaned!$G$2:$G$10,mdr_rate_cleaned!$A$2:$A$10,B5378,mdr_rate_cleaned!$B$2:$B$10,"&lt;"&amp;C5378,mdr_rate_cleaned!$F$2:$F$10,"&gt;="&amp;C5378)</f>
        <v>3.0000000000000001E-3</v>
      </c>
      <c r="H5378" s="24">
        <f t="shared" ref="H5378:H5441" si="420">ROUND(C5378*G5378,2)</f>
        <v>6.89</v>
      </c>
      <c r="I5378" s="23" t="str">
        <f t="shared" ref="I5378:I5441" si="421">IF(ROUND(D5378-H5378,2)=0,"Match","Differs")</f>
        <v>Match</v>
      </c>
      <c r="J5378" s="23" t="str">
        <f t="shared" ref="J5378:J5441" si="422">IF(ROUND(E5378-ROUND(D5378*0.18,2),2)=0,"Match","Differs")</f>
        <v>Match</v>
      </c>
      <c r="K5378" s="24">
        <f t="shared" ref="K5378:K5441" si="423">ROUND(H5378*0.18,2)</f>
        <v>1.24</v>
      </c>
      <c r="L5378" s="24">
        <f t="shared" ref="L5378:L5441" si="424">ROUND(D5378+E5378-H5378-K5378,2)</f>
        <v>0</v>
      </c>
    </row>
    <row r="5379" spans="1:12" ht="15" customHeight="1" x14ac:dyDescent="0.3">
      <c r="A5379" s="23" t="s">
        <v>18847</v>
      </c>
      <c r="B5379" s="23" t="s">
        <v>75</v>
      </c>
      <c r="C5379" s="39">
        <v>1299</v>
      </c>
      <c r="D5379" s="24">
        <v>0</v>
      </c>
      <c r="E5379" s="24">
        <v>0</v>
      </c>
      <c r="F5379" s="23">
        <f>COUNTIFS(mdr_rate_cleaned!$A$2:$A$10,B5379,mdr_rate_cleaned!$B$2:$B$10,"&lt;"&amp;C5379,mdr_rate_cleaned!$F$2:$F$10,"&gt;="&amp;C5379)</f>
        <v>1</v>
      </c>
      <c r="G5379" s="40">
        <f>SUMIFS(mdr_rate_cleaned!$G$2:$G$10,mdr_rate_cleaned!$A$2:$A$10,B5379,mdr_rate_cleaned!$B$2:$B$10,"&lt;"&amp;C5379,mdr_rate_cleaned!$F$2:$F$10,"&gt;="&amp;C5379)</f>
        <v>0</v>
      </c>
      <c r="H5379" s="24">
        <f t="shared" si="420"/>
        <v>0</v>
      </c>
      <c r="I5379" s="23" t="str">
        <f t="shared" si="421"/>
        <v>Match</v>
      </c>
      <c r="J5379" s="23" t="str">
        <f t="shared" si="422"/>
        <v>Match</v>
      </c>
      <c r="K5379" s="24">
        <f t="shared" si="423"/>
        <v>0</v>
      </c>
      <c r="L5379" s="24">
        <f t="shared" si="424"/>
        <v>0</v>
      </c>
    </row>
    <row r="5380" spans="1:12" ht="15" customHeight="1" x14ac:dyDescent="0.3">
      <c r="A5380" s="23" t="s">
        <v>18848</v>
      </c>
      <c r="B5380" s="23" t="s">
        <v>79</v>
      </c>
      <c r="C5380" s="39">
        <v>1799</v>
      </c>
      <c r="D5380" s="24">
        <v>32.380000000000003</v>
      </c>
      <c r="E5380" s="24">
        <v>5.83</v>
      </c>
      <c r="F5380" s="23">
        <f>COUNTIFS(mdr_rate_cleaned!$A$2:$A$10,B5380,mdr_rate_cleaned!$B$2:$B$10,"&lt;"&amp;C5380,mdr_rate_cleaned!$F$2:$F$10,"&gt;="&amp;C5380)</f>
        <v>1</v>
      </c>
      <c r="G5380" s="40">
        <f>SUMIFS(mdr_rate_cleaned!$G$2:$G$10,mdr_rate_cleaned!$A$2:$A$10,B5380,mdr_rate_cleaned!$B$2:$B$10,"&lt;"&amp;C5380,mdr_rate_cleaned!$F$2:$F$10,"&gt;="&amp;C5380)</f>
        <v>1.8000000000000002E-2</v>
      </c>
      <c r="H5380" s="24">
        <f t="shared" si="420"/>
        <v>32.380000000000003</v>
      </c>
      <c r="I5380" s="23" t="str">
        <f t="shared" si="421"/>
        <v>Match</v>
      </c>
      <c r="J5380" s="23" t="str">
        <f t="shared" si="422"/>
        <v>Match</v>
      </c>
      <c r="K5380" s="24">
        <f t="shared" si="423"/>
        <v>5.83</v>
      </c>
      <c r="L5380" s="24">
        <f t="shared" si="424"/>
        <v>0</v>
      </c>
    </row>
    <row r="5381" spans="1:12" ht="15" customHeight="1" x14ac:dyDescent="0.3">
      <c r="A5381" s="23" t="s">
        <v>18849</v>
      </c>
      <c r="B5381" s="23" t="s">
        <v>75</v>
      </c>
      <c r="C5381" s="39">
        <v>599</v>
      </c>
      <c r="D5381" s="24">
        <v>0</v>
      </c>
      <c r="E5381" s="24">
        <v>0</v>
      </c>
      <c r="F5381" s="23">
        <f>COUNTIFS(mdr_rate_cleaned!$A$2:$A$10,B5381,mdr_rate_cleaned!$B$2:$B$10,"&lt;"&amp;C5381,mdr_rate_cleaned!$F$2:$F$10,"&gt;="&amp;C5381)</f>
        <v>1</v>
      </c>
      <c r="G5381" s="40">
        <f>SUMIFS(mdr_rate_cleaned!$G$2:$G$10,mdr_rate_cleaned!$A$2:$A$10,B5381,mdr_rate_cleaned!$B$2:$B$10,"&lt;"&amp;C5381,mdr_rate_cleaned!$F$2:$F$10,"&gt;="&amp;C5381)</f>
        <v>0</v>
      </c>
      <c r="H5381" s="24">
        <f t="shared" si="420"/>
        <v>0</v>
      </c>
      <c r="I5381" s="23" t="str">
        <f t="shared" si="421"/>
        <v>Match</v>
      </c>
      <c r="J5381" s="23" t="str">
        <f t="shared" si="422"/>
        <v>Match</v>
      </c>
      <c r="K5381" s="24">
        <f t="shared" si="423"/>
        <v>0</v>
      </c>
      <c r="L5381" s="24">
        <f t="shared" si="424"/>
        <v>0</v>
      </c>
    </row>
    <row r="5382" spans="1:12" ht="15" customHeight="1" x14ac:dyDescent="0.3">
      <c r="A5382" s="23" t="s">
        <v>18850</v>
      </c>
      <c r="B5382" s="23" t="s">
        <v>79</v>
      </c>
      <c r="C5382" s="39">
        <v>3598</v>
      </c>
      <c r="D5382" s="24">
        <v>57.57</v>
      </c>
      <c r="E5382" s="24">
        <v>10.36</v>
      </c>
      <c r="F5382" s="23">
        <f>COUNTIFS(mdr_rate_cleaned!$A$2:$A$10,B5382,mdr_rate_cleaned!$B$2:$B$10,"&lt;"&amp;C5382,mdr_rate_cleaned!$F$2:$F$10,"&gt;="&amp;C5382)</f>
        <v>1</v>
      </c>
      <c r="G5382" s="40">
        <f>SUMIFS(mdr_rate_cleaned!$G$2:$G$10,mdr_rate_cleaned!$A$2:$A$10,B5382,mdr_rate_cleaned!$B$2:$B$10,"&lt;"&amp;C5382,mdr_rate_cleaned!$F$2:$F$10,"&gt;="&amp;C5382)</f>
        <v>1.6E-2</v>
      </c>
      <c r="H5382" s="24">
        <f t="shared" si="420"/>
        <v>57.57</v>
      </c>
      <c r="I5382" s="23" t="str">
        <f t="shared" si="421"/>
        <v>Match</v>
      </c>
      <c r="J5382" s="23" t="str">
        <f t="shared" si="422"/>
        <v>Match</v>
      </c>
      <c r="K5382" s="24">
        <f t="shared" si="423"/>
        <v>10.36</v>
      </c>
      <c r="L5382" s="24">
        <f t="shared" si="424"/>
        <v>0</v>
      </c>
    </row>
    <row r="5383" spans="1:12" ht="15" customHeight="1" x14ac:dyDescent="0.3">
      <c r="A5383" s="23" t="s">
        <v>18851</v>
      </c>
      <c r="B5383" s="23" t="s">
        <v>77</v>
      </c>
      <c r="C5383" s="39">
        <v>798</v>
      </c>
      <c r="D5383" s="24">
        <v>15.16</v>
      </c>
      <c r="E5383" s="24">
        <v>2.73</v>
      </c>
      <c r="F5383" s="23">
        <f>COUNTIFS(mdr_rate_cleaned!$A$2:$A$10,B5383,mdr_rate_cleaned!$B$2:$B$10,"&lt;"&amp;C5383,mdr_rate_cleaned!$F$2:$F$10,"&gt;="&amp;C5383)</f>
        <v>1</v>
      </c>
      <c r="G5383" s="40">
        <f>SUMIFS(mdr_rate_cleaned!$G$2:$G$10,mdr_rate_cleaned!$A$2:$A$10,B5383,mdr_rate_cleaned!$B$2:$B$10,"&lt;"&amp;C5383,mdr_rate_cleaned!$F$2:$F$10,"&gt;="&amp;C5383)</f>
        <v>1.9E-2</v>
      </c>
      <c r="H5383" s="24">
        <f t="shared" si="420"/>
        <v>15.16</v>
      </c>
      <c r="I5383" s="23" t="str">
        <f t="shared" si="421"/>
        <v>Match</v>
      </c>
      <c r="J5383" s="23" t="str">
        <f t="shared" si="422"/>
        <v>Match</v>
      </c>
      <c r="K5383" s="24">
        <f t="shared" si="423"/>
        <v>2.73</v>
      </c>
      <c r="L5383" s="24">
        <f t="shared" si="424"/>
        <v>0</v>
      </c>
    </row>
    <row r="5384" spans="1:12" ht="15" customHeight="1" x14ac:dyDescent="0.3">
      <c r="A5384" s="23" t="s">
        <v>18852</v>
      </c>
      <c r="B5384" s="23" t="s">
        <v>81</v>
      </c>
      <c r="C5384" s="39">
        <v>1799</v>
      </c>
      <c r="D5384" s="24">
        <v>26.99</v>
      </c>
      <c r="E5384" s="24">
        <v>4.8600000000000003</v>
      </c>
      <c r="F5384" s="23">
        <f>COUNTIFS(mdr_rate_cleaned!$A$2:$A$10,B5384,mdr_rate_cleaned!$B$2:$B$10,"&lt;"&amp;C5384,mdr_rate_cleaned!$F$2:$F$10,"&gt;="&amp;C5384)</f>
        <v>1</v>
      </c>
      <c r="G5384" s="40">
        <f>SUMIFS(mdr_rate_cleaned!$G$2:$G$10,mdr_rate_cleaned!$A$2:$A$10,B5384,mdr_rate_cleaned!$B$2:$B$10,"&lt;"&amp;C5384,mdr_rate_cleaned!$F$2:$F$10,"&gt;="&amp;C5384)</f>
        <v>1.4999999999999999E-2</v>
      </c>
      <c r="H5384" s="24">
        <f t="shared" si="420"/>
        <v>26.99</v>
      </c>
      <c r="I5384" s="23" t="str">
        <f t="shared" si="421"/>
        <v>Match</v>
      </c>
      <c r="J5384" s="23" t="str">
        <f t="shared" si="422"/>
        <v>Match</v>
      </c>
      <c r="K5384" s="24">
        <f t="shared" si="423"/>
        <v>4.8600000000000003</v>
      </c>
      <c r="L5384" s="24">
        <f t="shared" si="424"/>
        <v>0</v>
      </c>
    </row>
    <row r="5385" spans="1:12" ht="15" customHeight="1" x14ac:dyDescent="0.3">
      <c r="A5385" s="23" t="s">
        <v>18853</v>
      </c>
      <c r="B5385" s="23" t="s">
        <v>77</v>
      </c>
      <c r="C5385" s="39">
        <v>5498</v>
      </c>
      <c r="D5385" s="24">
        <v>93.47</v>
      </c>
      <c r="E5385" s="24">
        <v>16.82</v>
      </c>
      <c r="F5385" s="23">
        <f>COUNTIFS(mdr_rate_cleaned!$A$2:$A$10,B5385,mdr_rate_cleaned!$B$2:$B$10,"&lt;"&amp;C5385,mdr_rate_cleaned!$F$2:$F$10,"&gt;="&amp;C5385)</f>
        <v>1</v>
      </c>
      <c r="G5385" s="40">
        <f>SUMIFS(mdr_rate_cleaned!$G$2:$G$10,mdr_rate_cleaned!$A$2:$A$10,B5385,mdr_rate_cleaned!$B$2:$B$10,"&lt;"&amp;C5385,mdr_rate_cleaned!$F$2:$F$10,"&gt;="&amp;C5385)</f>
        <v>1.7000000000000001E-2</v>
      </c>
      <c r="H5385" s="24">
        <f t="shared" si="420"/>
        <v>93.47</v>
      </c>
      <c r="I5385" s="23" t="str">
        <f t="shared" si="421"/>
        <v>Match</v>
      </c>
      <c r="J5385" s="23" t="str">
        <f t="shared" si="422"/>
        <v>Match</v>
      </c>
      <c r="K5385" s="24">
        <f t="shared" si="423"/>
        <v>16.82</v>
      </c>
      <c r="L5385" s="24">
        <f t="shared" si="424"/>
        <v>0</v>
      </c>
    </row>
    <row r="5386" spans="1:12" ht="15" customHeight="1" x14ac:dyDescent="0.3">
      <c r="A5386" s="23" t="s">
        <v>18854</v>
      </c>
      <c r="B5386" s="23" t="s">
        <v>75</v>
      </c>
      <c r="C5386" s="39">
        <v>2499</v>
      </c>
      <c r="D5386" s="24">
        <v>7.5</v>
      </c>
      <c r="E5386" s="24">
        <v>1.35</v>
      </c>
      <c r="F5386" s="23">
        <f>COUNTIFS(mdr_rate_cleaned!$A$2:$A$10,B5386,mdr_rate_cleaned!$B$2:$B$10,"&lt;"&amp;C5386,mdr_rate_cleaned!$F$2:$F$10,"&gt;="&amp;C5386)</f>
        <v>1</v>
      </c>
      <c r="G5386" s="40">
        <f>SUMIFS(mdr_rate_cleaned!$G$2:$G$10,mdr_rate_cleaned!$A$2:$A$10,B5386,mdr_rate_cleaned!$B$2:$B$10,"&lt;"&amp;C5386,mdr_rate_cleaned!$F$2:$F$10,"&gt;="&amp;C5386)</f>
        <v>3.0000000000000001E-3</v>
      </c>
      <c r="H5386" s="24">
        <f t="shared" si="420"/>
        <v>7.5</v>
      </c>
      <c r="I5386" s="23" t="str">
        <f t="shared" si="421"/>
        <v>Match</v>
      </c>
      <c r="J5386" s="23" t="str">
        <f t="shared" si="422"/>
        <v>Match</v>
      </c>
      <c r="K5386" s="24">
        <f t="shared" si="423"/>
        <v>1.35</v>
      </c>
      <c r="L5386" s="24">
        <f t="shared" si="424"/>
        <v>0</v>
      </c>
    </row>
    <row r="5387" spans="1:12" ht="15" customHeight="1" x14ac:dyDescent="0.3">
      <c r="A5387" s="23" t="s">
        <v>18855</v>
      </c>
      <c r="B5387" s="23" t="s">
        <v>79</v>
      </c>
      <c r="C5387" s="39">
        <v>4597</v>
      </c>
      <c r="D5387" s="24">
        <v>73.55</v>
      </c>
      <c r="E5387" s="24">
        <v>13.24</v>
      </c>
      <c r="F5387" s="23">
        <f>COUNTIFS(mdr_rate_cleaned!$A$2:$A$10,B5387,mdr_rate_cleaned!$B$2:$B$10,"&lt;"&amp;C5387,mdr_rate_cleaned!$F$2:$F$10,"&gt;="&amp;C5387)</f>
        <v>1</v>
      </c>
      <c r="G5387" s="40">
        <f>SUMIFS(mdr_rate_cleaned!$G$2:$G$10,mdr_rate_cleaned!$A$2:$A$10,B5387,mdr_rate_cleaned!$B$2:$B$10,"&lt;"&amp;C5387,mdr_rate_cleaned!$F$2:$F$10,"&gt;="&amp;C5387)</f>
        <v>1.6E-2</v>
      </c>
      <c r="H5387" s="24">
        <f t="shared" si="420"/>
        <v>73.55</v>
      </c>
      <c r="I5387" s="23" t="str">
        <f t="shared" si="421"/>
        <v>Match</v>
      </c>
      <c r="J5387" s="23" t="str">
        <f t="shared" si="422"/>
        <v>Match</v>
      </c>
      <c r="K5387" s="24">
        <f t="shared" si="423"/>
        <v>13.24</v>
      </c>
      <c r="L5387" s="24">
        <f t="shared" si="424"/>
        <v>0</v>
      </c>
    </row>
    <row r="5388" spans="1:12" ht="15" customHeight="1" x14ac:dyDescent="0.3">
      <c r="A5388" s="23" t="s">
        <v>18856</v>
      </c>
      <c r="B5388" s="23" t="s">
        <v>75</v>
      </c>
      <c r="C5388" s="39">
        <v>4999</v>
      </c>
      <c r="D5388" s="24">
        <v>15</v>
      </c>
      <c r="E5388" s="24">
        <v>2.7</v>
      </c>
      <c r="F5388" s="23">
        <f>COUNTIFS(mdr_rate_cleaned!$A$2:$A$10,B5388,mdr_rate_cleaned!$B$2:$B$10,"&lt;"&amp;C5388,mdr_rate_cleaned!$F$2:$F$10,"&gt;="&amp;C5388)</f>
        <v>1</v>
      </c>
      <c r="G5388" s="40">
        <f>SUMIFS(mdr_rate_cleaned!$G$2:$G$10,mdr_rate_cleaned!$A$2:$A$10,B5388,mdr_rate_cleaned!$B$2:$B$10,"&lt;"&amp;C5388,mdr_rate_cleaned!$F$2:$F$10,"&gt;="&amp;C5388)</f>
        <v>3.0000000000000001E-3</v>
      </c>
      <c r="H5388" s="24">
        <f t="shared" si="420"/>
        <v>15</v>
      </c>
      <c r="I5388" s="23" t="str">
        <f t="shared" si="421"/>
        <v>Match</v>
      </c>
      <c r="J5388" s="23" t="str">
        <f t="shared" si="422"/>
        <v>Match</v>
      </c>
      <c r="K5388" s="24">
        <f t="shared" si="423"/>
        <v>2.7</v>
      </c>
      <c r="L5388" s="24">
        <f t="shared" si="424"/>
        <v>0</v>
      </c>
    </row>
    <row r="5389" spans="1:12" ht="15" customHeight="1" x14ac:dyDescent="0.3">
      <c r="A5389" s="23" t="s">
        <v>18857</v>
      </c>
      <c r="B5389" s="23" t="s">
        <v>79</v>
      </c>
      <c r="C5389" s="39">
        <v>299</v>
      </c>
      <c r="D5389" s="24">
        <v>5.38</v>
      </c>
      <c r="E5389" s="24">
        <v>0.97</v>
      </c>
      <c r="F5389" s="23">
        <f>COUNTIFS(mdr_rate_cleaned!$A$2:$A$10,B5389,mdr_rate_cleaned!$B$2:$B$10,"&lt;"&amp;C5389,mdr_rate_cleaned!$F$2:$F$10,"&gt;="&amp;C5389)</f>
        <v>1</v>
      </c>
      <c r="G5389" s="40">
        <f>SUMIFS(mdr_rate_cleaned!$G$2:$G$10,mdr_rate_cleaned!$A$2:$A$10,B5389,mdr_rate_cleaned!$B$2:$B$10,"&lt;"&amp;C5389,mdr_rate_cleaned!$F$2:$F$10,"&gt;="&amp;C5389)</f>
        <v>1.8000000000000002E-2</v>
      </c>
      <c r="H5389" s="24">
        <f t="shared" si="420"/>
        <v>5.38</v>
      </c>
      <c r="I5389" s="23" t="str">
        <f t="shared" si="421"/>
        <v>Match</v>
      </c>
      <c r="J5389" s="23" t="str">
        <f t="shared" si="422"/>
        <v>Match</v>
      </c>
      <c r="K5389" s="24">
        <f t="shared" si="423"/>
        <v>0.97</v>
      </c>
      <c r="L5389" s="24">
        <f t="shared" si="424"/>
        <v>0</v>
      </c>
    </row>
    <row r="5390" spans="1:12" ht="15" customHeight="1" x14ac:dyDescent="0.3">
      <c r="A5390" s="23" t="s">
        <v>18859</v>
      </c>
      <c r="B5390" s="23" t="s">
        <v>81</v>
      </c>
      <c r="C5390" s="39">
        <v>299</v>
      </c>
      <c r="D5390" s="24">
        <v>4.49</v>
      </c>
      <c r="E5390" s="24">
        <v>0.81</v>
      </c>
      <c r="F5390" s="23">
        <f>COUNTIFS(mdr_rate_cleaned!$A$2:$A$10,B5390,mdr_rate_cleaned!$B$2:$B$10,"&lt;"&amp;C5390,mdr_rate_cleaned!$F$2:$F$10,"&gt;="&amp;C5390)</f>
        <v>1</v>
      </c>
      <c r="G5390" s="40">
        <f>SUMIFS(mdr_rate_cleaned!$G$2:$G$10,mdr_rate_cleaned!$A$2:$A$10,B5390,mdr_rate_cleaned!$B$2:$B$10,"&lt;"&amp;C5390,mdr_rate_cleaned!$F$2:$F$10,"&gt;="&amp;C5390)</f>
        <v>1.4999999999999999E-2</v>
      </c>
      <c r="H5390" s="24">
        <f t="shared" si="420"/>
        <v>4.49</v>
      </c>
      <c r="I5390" s="23" t="str">
        <f t="shared" si="421"/>
        <v>Match</v>
      </c>
      <c r="J5390" s="23" t="str">
        <f t="shared" si="422"/>
        <v>Match</v>
      </c>
      <c r="K5390" s="24">
        <f t="shared" si="423"/>
        <v>0.81</v>
      </c>
      <c r="L5390" s="24">
        <f t="shared" si="424"/>
        <v>0</v>
      </c>
    </row>
    <row r="5391" spans="1:12" ht="15" customHeight="1" x14ac:dyDescent="0.3">
      <c r="A5391" s="23" t="s">
        <v>18860</v>
      </c>
      <c r="B5391" s="23" t="s">
        <v>79</v>
      </c>
      <c r="C5391" s="39">
        <v>799</v>
      </c>
      <c r="D5391" s="24">
        <v>14.38</v>
      </c>
      <c r="E5391" s="24">
        <v>2.59</v>
      </c>
      <c r="F5391" s="23">
        <f>COUNTIFS(mdr_rate_cleaned!$A$2:$A$10,B5391,mdr_rate_cleaned!$B$2:$B$10,"&lt;"&amp;C5391,mdr_rate_cleaned!$F$2:$F$10,"&gt;="&amp;C5391)</f>
        <v>1</v>
      </c>
      <c r="G5391" s="40">
        <f>SUMIFS(mdr_rate_cleaned!$G$2:$G$10,mdr_rate_cleaned!$A$2:$A$10,B5391,mdr_rate_cleaned!$B$2:$B$10,"&lt;"&amp;C5391,mdr_rate_cleaned!$F$2:$F$10,"&gt;="&amp;C5391)</f>
        <v>1.8000000000000002E-2</v>
      </c>
      <c r="H5391" s="24">
        <f t="shared" si="420"/>
        <v>14.38</v>
      </c>
      <c r="I5391" s="23" t="str">
        <f t="shared" si="421"/>
        <v>Match</v>
      </c>
      <c r="J5391" s="23" t="str">
        <f t="shared" si="422"/>
        <v>Match</v>
      </c>
      <c r="K5391" s="24">
        <f t="shared" si="423"/>
        <v>2.59</v>
      </c>
      <c r="L5391" s="24">
        <f t="shared" si="424"/>
        <v>0</v>
      </c>
    </row>
    <row r="5392" spans="1:12" ht="15" customHeight="1" x14ac:dyDescent="0.3">
      <c r="A5392" s="23" t="s">
        <v>18861</v>
      </c>
      <c r="B5392" s="23" t="s">
        <v>75</v>
      </c>
      <c r="C5392" s="39">
        <v>3499</v>
      </c>
      <c r="D5392" s="24">
        <v>10.5</v>
      </c>
      <c r="E5392" s="24">
        <v>1.89</v>
      </c>
      <c r="F5392" s="23">
        <f>COUNTIFS(mdr_rate_cleaned!$A$2:$A$10,B5392,mdr_rate_cleaned!$B$2:$B$10,"&lt;"&amp;C5392,mdr_rate_cleaned!$F$2:$F$10,"&gt;="&amp;C5392)</f>
        <v>1</v>
      </c>
      <c r="G5392" s="40">
        <f>SUMIFS(mdr_rate_cleaned!$G$2:$G$10,mdr_rate_cleaned!$A$2:$A$10,B5392,mdr_rate_cleaned!$B$2:$B$10,"&lt;"&amp;C5392,mdr_rate_cleaned!$F$2:$F$10,"&gt;="&amp;C5392)</f>
        <v>3.0000000000000001E-3</v>
      </c>
      <c r="H5392" s="24">
        <f t="shared" si="420"/>
        <v>10.5</v>
      </c>
      <c r="I5392" s="23" t="str">
        <f t="shared" si="421"/>
        <v>Match</v>
      </c>
      <c r="J5392" s="23" t="str">
        <f t="shared" si="422"/>
        <v>Match</v>
      </c>
      <c r="K5392" s="24">
        <f t="shared" si="423"/>
        <v>1.89</v>
      </c>
      <c r="L5392" s="24">
        <f t="shared" si="424"/>
        <v>0</v>
      </c>
    </row>
    <row r="5393" spans="1:12" ht="15" customHeight="1" x14ac:dyDescent="0.3">
      <c r="A5393" s="23" t="s">
        <v>18862</v>
      </c>
      <c r="B5393" s="23" t="s">
        <v>79</v>
      </c>
      <c r="C5393" s="39">
        <v>3499</v>
      </c>
      <c r="D5393" s="24">
        <v>55.98</v>
      </c>
      <c r="E5393" s="24">
        <v>10.08</v>
      </c>
      <c r="F5393" s="23">
        <f>COUNTIFS(mdr_rate_cleaned!$A$2:$A$10,B5393,mdr_rate_cleaned!$B$2:$B$10,"&lt;"&amp;C5393,mdr_rate_cleaned!$F$2:$F$10,"&gt;="&amp;C5393)</f>
        <v>1</v>
      </c>
      <c r="G5393" s="40">
        <f>SUMIFS(mdr_rate_cleaned!$G$2:$G$10,mdr_rate_cleaned!$A$2:$A$10,B5393,mdr_rate_cleaned!$B$2:$B$10,"&lt;"&amp;C5393,mdr_rate_cleaned!$F$2:$F$10,"&gt;="&amp;C5393)</f>
        <v>1.6E-2</v>
      </c>
      <c r="H5393" s="24">
        <f t="shared" si="420"/>
        <v>55.98</v>
      </c>
      <c r="I5393" s="23" t="str">
        <f t="shared" si="421"/>
        <v>Match</v>
      </c>
      <c r="J5393" s="23" t="str">
        <f t="shared" si="422"/>
        <v>Match</v>
      </c>
      <c r="K5393" s="24">
        <f t="shared" si="423"/>
        <v>10.08</v>
      </c>
      <c r="L5393" s="24">
        <f t="shared" si="424"/>
        <v>0</v>
      </c>
    </row>
    <row r="5394" spans="1:12" ht="15" customHeight="1" x14ac:dyDescent="0.3">
      <c r="A5394" s="23" t="s">
        <v>18863</v>
      </c>
      <c r="B5394" s="23" t="s">
        <v>75</v>
      </c>
      <c r="C5394" s="39">
        <v>2999</v>
      </c>
      <c r="D5394" s="24">
        <v>9</v>
      </c>
      <c r="E5394" s="24">
        <v>1.62</v>
      </c>
      <c r="F5394" s="23">
        <f>COUNTIFS(mdr_rate_cleaned!$A$2:$A$10,B5394,mdr_rate_cleaned!$B$2:$B$10,"&lt;"&amp;C5394,mdr_rate_cleaned!$F$2:$F$10,"&gt;="&amp;C5394)</f>
        <v>1</v>
      </c>
      <c r="G5394" s="40">
        <f>SUMIFS(mdr_rate_cleaned!$G$2:$G$10,mdr_rate_cleaned!$A$2:$A$10,B5394,mdr_rate_cleaned!$B$2:$B$10,"&lt;"&amp;C5394,mdr_rate_cleaned!$F$2:$F$10,"&gt;="&amp;C5394)</f>
        <v>3.0000000000000001E-3</v>
      </c>
      <c r="H5394" s="24">
        <f t="shared" si="420"/>
        <v>9</v>
      </c>
      <c r="I5394" s="23" t="str">
        <f t="shared" si="421"/>
        <v>Match</v>
      </c>
      <c r="J5394" s="23" t="str">
        <f t="shared" si="422"/>
        <v>Match</v>
      </c>
      <c r="K5394" s="24">
        <f t="shared" si="423"/>
        <v>1.62</v>
      </c>
      <c r="L5394" s="24">
        <f t="shared" si="424"/>
        <v>0</v>
      </c>
    </row>
    <row r="5395" spans="1:12" ht="15" customHeight="1" x14ac:dyDescent="0.3">
      <c r="A5395" s="23" t="s">
        <v>18864</v>
      </c>
      <c r="B5395" s="23" t="s">
        <v>79</v>
      </c>
      <c r="C5395" s="39">
        <v>1799</v>
      </c>
      <c r="D5395" s="24">
        <v>32.380000000000003</v>
      </c>
      <c r="E5395" s="24">
        <v>5.83</v>
      </c>
      <c r="F5395" s="23">
        <f>COUNTIFS(mdr_rate_cleaned!$A$2:$A$10,B5395,mdr_rate_cleaned!$B$2:$B$10,"&lt;"&amp;C5395,mdr_rate_cleaned!$F$2:$F$10,"&gt;="&amp;C5395)</f>
        <v>1</v>
      </c>
      <c r="G5395" s="40">
        <f>SUMIFS(mdr_rate_cleaned!$G$2:$G$10,mdr_rate_cleaned!$A$2:$A$10,B5395,mdr_rate_cleaned!$B$2:$B$10,"&lt;"&amp;C5395,mdr_rate_cleaned!$F$2:$F$10,"&gt;="&amp;C5395)</f>
        <v>1.8000000000000002E-2</v>
      </c>
      <c r="H5395" s="24">
        <f t="shared" si="420"/>
        <v>32.380000000000003</v>
      </c>
      <c r="I5395" s="23" t="str">
        <f t="shared" si="421"/>
        <v>Match</v>
      </c>
      <c r="J5395" s="23" t="str">
        <f t="shared" si="422"/>
        <v>Match</v>
      </c>
      <c r="K5395" s="24">
        <f t="shared" si="423"/>
        <v>5.83</v>
      </c>
      <c r="L5395" s="24">
        <f t="shared" si="424"/>
        <v>0</v>
      </c>
    </row>
    <row r="5396" spans="1:12" ht="15" customHeight="1" x14ac:dyDescent="0.3">
      <c r="A5396" s="23" t="s">
        <v>18865</v>
      </c>
      <c r="B5396" s="23" t="s">
        <v>79</v>
      </c>
      <c r="C5396" s="39">
        <v>648</v>
      </c>
      <c r="D5396" s="24">
        <v>11.66</v>
      </c>
      <c r="E5396" s="24">
        <v>2.1</v>
      </c>
      <c r="F5396" s="23">
        <f>COUNTIFS(mdr_rate_cleaned!$A$2:$A$10,B5396,mdr_rate_cleaned!$B$2:$B$10,"&lt;"&amp;C5396,mdr_rate_cleaned!$F$2:$F$10,"&gt;="&amp;C5396)</f>
        <v>1</v>
      </c>
      <c r="G5396" s="40">
        <f>SUMIFS(mdr_rate_cleaned!$G$2:$G$10,mdr_rate_cleaned!$A$2:$A$10,B5396,mdr_rate_cleaned!$B$2:$B$10,"&lt;"&amp;C5396,mdr_rate_cleaned!$F$2:$F$10,"&gt;="&amp;C5396)</f>
        <v>1.8000000000000002E-2</v>
      </c>
      <c r="H5396" s="24">
        <f t="shared" si="420"/>
        <v>11.66</v>
      </c>
      <c r="I5396" s="23" t="str">
        <f t="shared" si="421"/>
        <v>Match</v>
      </c>
      <c r="J5396" s="23" t="str">
        <f t="shared" si="422"/>
        <v>Match</v>
      </c>
      <c r="K5396" s="24">
        <f t="shared" si="423"/>
        <v>2.1</v>
      </c>
      <c r="L5396" s="24">
        <f t="shared" si="424"/>
        <v>0</v>
      </c>
    </row>
    <row r="5397" spans="1:12" ht="15" customHeight="1" x14ac:dyDescent="0.3">
      <c r="A5397" s="23" t="s">
        <v>18866</v>
      </c>
      <c r="B5397" s="23" t="s">
        <v>81</v>
      </c>
      <c r="C5397" s="39">
        <v>1499</v>
      </c>
      <c r="D5397" s="24">
        <v>22.49</v>
      </c>
      <c r="E5397" s="24">
        <v>4.05</v>
      </c>
      <c r="F5397" s="23">
        <f>COUNTIFS(mdr_rate_cleaned!$A$2:$A$10,B5397,mdr_rate_cleaned!$B$2:$B$10,"&lt;"&amp;C5397,mdr_rate_cleaned!$F$2:$F$10,"&gt;="&amp;C5397)</f>
        <v>1</v>
      </c>
      <c r="G5397" s="40">
        <f>SUMIFS(mdr_rate_cleaned!$G$2:$G$10,mdr_rate_cleaned!$A$2:$A$10,B5397,mdr_rate_cleaned!$B$2:$B$10,"&lt;"&amp;C5397,mdr_rate_cleaned!$F$2:$F$10,"&gt;="&amp;C5397)</f>
        <v>1.4999999999999999E-2</v>
      </c>
      <c r="H5397" s="24">
        <f t="shared" si="420"/>
        <v>22.49</v>
      </c>
      <c r="I5397" s="23" t="str">
        <f t="shared" si="421"/>
        <v>Match</v>
      </c>
      <c r="J5397" s="23" t="str">
        <f t="shared" si="422"/>
        <v>Match</v>
      </c>
      <c r="K5397" s="24">
        <f t="shared" si="423"/>
        <v>4.05</v>
      </c>
      <c r="L5397" s="24">
        <f t="shared" si="424"/>
        <v>0</v>
      </c>
    </row>
    <row r="5398" spans="1:12" ht="15" customHeight="1" x14ac:dyDescent="0.3">
      <c r="A5398" s="23" t="s">
        <v>18867</v>
      </c>
      <c r="B5398" s="23" t="s">
        <v>79</v>
      </c>
      <c r="C5398" s="39">
        <v>6297</v>
      </c>
      <c r="D5398" s="24">
        <v>100.75</v>
      </c>
      <c r="E5398" s="24">
        <v>18.14</v>
      </c>
      <c r="F5398" s="23">
        <f>COUNTIFS(mdr_rate_cleaned!$A$2:$A$10,B5398,mdr_rate_cleaned!$B$2:$B$10,"&lt;"&amp;C5398,mdr_rate_cleaned!$F$2:$F$10,"&gt;="&amp;C5398)</f>
        <v>1</v>
      </c>
      <c r="G5398" s="40">
        <f>SUMIFS(mdr_rate_cleaned!$G$2:$G$10,mdr_rate_cleaned!$A$2:$A$10,B5398,mdr_rate_cleaned!$B$2:$B$10,"&lt;"&amp;C5398,mdr_rate_cleaned!$F$2:$F$10,"&gt;="&amp;C5398)</f>
        <v>1.6E-2</v>
      </c>
      <c r="H5398" s="24">
        <f t="shared" si="420"/>
        <v>100.75</v>
      </c>
      <c r="I5398" s="23" t="str">
        <f t="shared" si="421"/>
        <v>Match</v>
      </c>
      <c r="J5398" s="23" t="str">
        <f t="shared" si="422"/>
        <v>Match</v>
      </c>
      <c r="K5398" s="24">
        <f t="shared" si="423"/>
        <v>18.14</v>
      </c>
      <c r="L5398" s="24">
        <f t="shared" si="424"/>
        <v>0</v>
      </c>
    </row>
    <row r="5399" spans="1:12" ht="15" customHeight="1" x14ac:dyDescent="0.3">
      <c r="A5399" s="23" t="s">
        <v>18868</v>
      </c>
      <c r="B5399" s="23" t="s">
        <v>75</v>
      </c>
      <c r="C5399" s="39">
        <v>12497</v>
      </c>
      <c r="D5399" s="24">
        <v>37.49</v>
      </c>
      <c r="E5399" s="24">
        <v>6.75</v>
      </c>
      <c r="F5399" s="23">
        <f>COUNTIFS(mdr_rate_cleaned!$A$2:$A$10,B5399,mdr_rate_cleaned!$B$2:$B$10,"&lt;"&amp;C5399,mdr_rate_cleaned!$F$2:$F$10,"&gt;="&amp;C5399)</f>
        <v>1</v>
      </c>
      <c r="G5399" s="40">
        <f>SUMIFS(mdr_rate_cleaned!$G$2:$G$10,mdr_rate_cleaned!$A$2:$A$10,B5399,mdr_rate_cleaned!$B$2:$B$10,"&lt;"&amp;C5399,mdr_rate_cleaned!$F$2:$F$10,"&gt;="&amp;C5399)</f>
        <v>3.0000000000000001E-3</v>
      </c>
      <c r="H5399" s="24">
        <f t="shared" si="420"/>
        <v>37.49</v>
      </c>
      <c r="I5399" s="23" t="str">
        <f t="shared" si="421"/>
        <v>Match</v>
      </c>
      <c r="J5399" s="23" t="str">
        <f t="shared" si="422"/>
        <v>Match</v>
      </c>
      <c r="K5399" s="24">
        <f t="shared" si="423"/>
        <v>6.75</v>
      </c>
      <c r="L5399" s="24">
        <f t="shared" si="424"/>
        <v>0</v>
      </c>
    </row>
    <row r="5400" spans="1:12" ht="15" customHeight="1" x14ac:dyDescent="0.3">
      <c r="A5400" s="23" t="s">
        <v>18869</v>
      </c>
      <c r="B5400" s="23" t="s">
        <v>79</v>
      </c>
      <c r="C5400" s="39">
        <v>7597</v>
      </c>
      <c r="D5400" s="24">
        <v>121.55</v>
      </c>
      <c r="E5400" s="24">
        <v>21.88</v>
      </c>
      <c r="F5400" s="23">
        <f>COUNTIFS(mdr_rate_cleaned!$A$2:$A$10,B5400,mdr_rate_cleaned!$B$2:$B$10,"&lt;"&amp;C5400,mdr_rate_cleaned!$F$2:$F$10,"&gt;="&amp;C5400)</f>
        <v>1</v>
      </c>
      <c r="G5400" s="40">
        <f>SUMIFS(mdr_rate_cleaned!$G$2:$G$10,mdr_rate_cleaned!$A$2:$A$10,B5400,mdr_rate_cleaned!$B$2:$B$10,"&lt;"&amp;C5400,mdr_rate_cleaned!$F$2:$F$10,"&gt;="&amp;C5400)</f>
        <v>1.6E-2</v>
      </c>
      <c r="H5400" s="24">
        <f t="shared" si="420"/>
        <v>121.55</v>
      </c>
      <c r="I5400" s="23" t="str">
        <f t="shared" si="421"/>
        <v>Match</v>
      </c>
      <c r="J5400" s="23" t="str">
        <f t="shared" si="422"/>
        <v>Match</v>
      </c>
      <c r="K5400" s="24">
        <f t="shared" si="423"/>
        <v>21.88</v>
      </c>
      <c r="L5400" s="24">
        <f t="shared" si="424"/>
        <v>0</v>
      </c>
    </row>
    <row r="5401" spans="1:12" ht="15" customHeight="1" x14ac:dyDescent="0.3">
      <c r="A5401" s="23" t="s">
        <v>18870</v>
      </c>
      <c r="B5401" s="23" t="s">
        <v>79</v>
      </c>
      <c r="C5401" s="39">
        <v>299</v>
      </c>
      <c r="D5401" s="24">
        <v>5.38</v>
      </c>
      <c r="E5401" s="24">
        <v>0.97</v>
      </c>
      <c r="F5401" s="23">
        <f>COUNTIFS(mdr_rate_cleaned!$A$2:$A$10,B5401,mdr_rate_cleaned!$B$2:$B$10,"&lt;"&amp;C5401,mdr_rate_cleaned!$F$2:$F$10,"&gt;="&amp;C5401)</f>
        <v>1</v>
      </c>
      <c r="G5401" s="40">
        <f>SUMIFS(mdr_rate_cleaned!$G$2:$G$10,mdr_rate_cleaned!$A$2:$A$10,B5401,mdr_rate_cleaned!$B$2:$B$10,"&lt;"&amp;C5401,mdr_rate_cleaned!$F$2:$F$10,"&gt;="&amp;C5401)</f>
        <v>1.8000000000000002E-2</v>
      </c>
      <c r="H5401" s="24">
        <f t="shared" si="420"/>
        <v>5.38</v>
      </c>
      <c r="I5401" s="23" t="str">
        <f t="shared" si="421"/>
        <v>Match</v>
      </c>
      <c r="J5401" s="23" t="str">
        <f t="shared" si="422"/>
        <v>Match</v>
      </c>
      <c r="K5401" s="24">
        <f t="shared" si="423"/>
        <v>0.97</v>
      </c>
      <c r="L5401" s="24">
        <f t="shared" si="424"/>
        <v>0</v>
      </c>
    </row>
    <row r="5402" spans="1:12" ht="15" customHeight="1" x14ac:dyDescent="0.3">
      <c r="A5402" s="23" t="s">
        <v>18872</v>
      </c>
      <c r="B5402" s="23" t="s">
        <v>75</v>
      </c>
      <c r="C5402" s="39">
        <v>1798</v>
      </c>
      <c r="D5402" s="24">
        <v>0</v>
      </c>
      <c r="E5402" s="24">
        <v>0</v>
      </c>
      <c r="F5402" s="23">
        <f>COUNTIFS(mdr_rate_cleaned!$A$2:$A$10,B5402,mdr_rate_cleaned!$B$2:$B$10,"&lt;"&amp;C5402,mdr_rate_cleaned!$F$2:$F$10,"&gt;="&amp;C5402)</f>
        <v>1</v>
      </c>
      <c r="G5402" s="40">
        <f>SUMIFS(mdr_rate_cleaned!$G$2:$G$10,mdr_rate_cleaned!$A$2:$A$10,B5402,mdr_rate_cleaned!$B$2:$B$10,"&lt;"&amp;C5402,mdr_rate_cleaned!$F$2:$F$10,"&gt;="&amp;C5402)</f>
        <v>0</v>
      </c>
      <c r="H5402" s="24">
        <f t="shared" si="420"/>
        <v>0</v>
      </c>
      <c r="I5402" s="23" t="str">
        <f t="shared" si="421"/>
        <v>Match</v>
      </c>
      <c r="J5402" s="23" t="str">
        <f t="shared" si="422"/>
        <v>Match</v>
      </c>
      <c r="K5402" s="24">
        <f t="shared" si="423"/>
        <v>0</v>
      </c>
      <c r="L5402" s="24">
        <f t="shared" si="424"/>
        <v>0</v>
      </c>
    </row>
    <row r="5403" spans="1:12" ht="15" customHeight="1" x14ac:dyDescent="0.3">
      <c r="A5403" s="23" t="s">
        <v>18873</v>
      </c>
      <c r="B5403" s="23" t="s">
        <v>75</v>
      </c>
      <c r="C5403" s="39">
        <v>2798</v>
      </c>
      <c r="D5403" s="24">
        <v>8.39</v>
      </c>
      <c r="E5403" s="24">
        <v>1.51</v>
      </c>
      <c r="F5403" s="23">
        <f>COUNTIFS(mdr_rate_cleaned!$A$2:$A$10,B5403,mdr_rate_cleaned!$B$2:$B$10,"&lt;"&amp;C5403,mdr_rate_cleaned!$F$2:$F$10,"&gt;="&amp;C5403)</f>
        <v>1</v>
      </c>
      <c r="G5403" s="40">
        <f>SUMIFS(mdr_rate_cleaned!$G$2:$G$10,mdr_rate_cleaned!$A$2:$A$10,B5403,mdr_rate_cleaned!$B$2:$B$10,"&lt;"&amp;C5403,mdr_rate_cleaned!$F$2:$F$10,"&gt;="&amp;C5403)</f>
        <v>3.0000000000000001E-3</v>
      </c>
      <c r="H5403" s="24">
        <f t="shared" si="420"/>
        <v>8.39</v>
      </c>
      <c r="I5403" s="23" t="str">
        <f t="shared" si="421"/>
        <v>Match</v>
      </c>
      <c r="J5403" s="23" t="str">
        <f t="shared" si="422"/>
        <v>Match</v>
      </c>
      <c r="K5403" s="24">
        <f t="shared" si="423"/>
        <v>1.51</v>
      </c>
      <c r="L5403" s="24">
        <f t="shared" si="424"/>
        <v>0</v>
      </c>
    </row>
    <row r="5404" spans="1:12" ht="15" customHeight="1" x14ac:dyDescent="0.3">
      <c r="A5404" s="23" t="s">
        <v>18874</v>
      </c>
      <c r="B5404" s="23" t="s">
        <v>75</v>
      </c>
      <c r="C5404" s="39">
        <v>299</v>
      </c>
      <c r="D5404" s="24">
        <v>0</v>
      </c>
      <c r="E5404" s="24">
        <v>0</v>
      </c>
      <c r="F5404" s="23">
        <f>COUNTIFS(mdr_rate_cleaned!$A$2:$A$10,B5404,mdr_rate_cleaned!$B$2:$B$10,"&lt;"&amp;C5404,mdr_rate_cleaned!$F$2:$F$10,"&gt;="&amp;C5404)</f>
        <v>1</v>
      </c>
      <c r="G5404" s="40">
        <f>SUMIFS(mdr_rate_cleaned!$G$2:$G$10,mdr_rate_cleaned!$A$2:$A$10,B5404,mdr_rate_cleaned!$B$2:$B$10,"&lt;"&amp;C5404,mdr_rate_cleaned!$F$2:$F$10,"&gt;="&amp;C5404)</f>
        <v>0</v>
      </c>
      <c r="H5404" s="24">
        <f t="shared" si="420"/>
        <v>0</v>
      </c>
      <c r="I5404" s="23" t="str">
        <f t="shared" si="421"/>
        <v>Match</v>
      </c>
      <c r="J5404" s="23" t="str">
        <f t="shared" si="422"/>
        <v>Match</v>
      </c>
      <c r="K5404" s="24">
        <f t="shared" si="423"/>
        <v>0</v>
      </c>
      <c r="L5404" s="24">
        <f t="shared" si="424"/>
        <v>0</v>
      </c>
    </row>
    <row r="5405" spans="1:12" ht="15" customHeight="1" x14ac:dyDescent="0.3">
      <c r="A5405" s="23" t="s">
        <v>18875</v>
      </c>
      <c r="B5405" s="23" t="s">
        <v>79</v>
      </c>
      <c r="C5405" s="39">
        <v>4999</v>
      </c>
      <c r="D5405" s="24">
        <v>79.98</v>
      </c>
      <c r="E5405" s="24">
        <v>14.4</v>
      </c>
      <c r="F5405" s="23">
        <f>COUNTIFS(mdr_rate_cleaned!$A$2:$A$10,B5405,mdr_rate_cleaned!$B$2:$B$10,"&lt;"&amp;C5405,mdr_rate_cleaned!$F$2:$F$10,"&gt;="&amp;C5405)</f>
        <v>1</v>
      </c>
      <c r="G5405" s="40">
        <f>SUMIFS(mdr_rate_cleaned!$G$2:$G$10,mdr_rate_cleaned!$A$2:$A$10,B5405,mdr_rate_cleaned!$B$2:$B$10,"&lt;"&amp;C5405,mdr_rate_cleaned!$F$2:$F$10,"&gt;="&amp;C5405)</f>
        <v>1.6E-2</v>
      </c>
      <c r="H5405" s="24">
        <f t="shared" si="420"/>
        <v>79.98</v>
      </c>
      <c r="I5405" s="23" t="str">
        <f t="shared" si="421"/>
        <v>Match</v>
      </c>
      <c r="J5405" s="23" t="str">
        <f t="shared" si="422"/>
        <v>Match</v>
      </c>
      <c r="K5405" s="24">
        <f t="shared" si="423"/>
        <v>14.4</v>
      </c>
      <c r="L5405" s="24">
        <f t="shared" si="424"/>
        <v>0</v>
      </c>
    </row>
    <row r="5406" spans="1:12" ht="15" customHeight="1" x14ac:dyDescent="0.3">
      <c r="A5406" s="23" t="s">
        <v>18876</v>
      </c>
      <c r="B5406" s="23" t="s">
        <v>81</v>
      </c>
      <c r="C5406" s="39">
        <v>10498</v>
      </c>
      <c r="D5406" s="24">
        <v>94.48</v>
      </c>
      <c r="E5406" s="24">
        <v>17.010000000000002</v>
      </c>
      <c r="F5406" s="23">
        <f>COUNTIFS(mdr_rate_cleaned!$A$2:$A$10,B5406,mdr_rate_cleaned!$B$2:$B$10,"&lt;"&amp;C5406,mdr_rate_cleaned!$F$2:$F$10,"&gt;="&amp;C5406)</f>
        <v>1</v>
      </c>
      <c r="G5406" s="40">
        <f>SUMIFS(mdr_rate_cleaned!$G$2:$G$10,mdr_rate_cleaned!$A$2:$A$10,B5406,mdr_rate_cleaned!$B$2:$B$10,"&lt;"&amp;C5406,mdr_rate_cleaned!$F$2:$F$10,"&gt;="&amp;C5406)</f>
        <v>9.0000000000000011E-3</v>
      </c>
      <c r="H5406" s="24">
        <f t="shared" si="420"/>
        <v>94.48</v>
      </c>
      <c r="I5406" s="23" t="str">
        <f t="shared" si="421"/>
        <v>Match</v>
      </c>
      <c r="J5406" s="23" t="str">
        <f t="shared" si="422"/>
        <v>Match</v>
      </c>
      <c r="K5406" s="24">
        <f t="shared" si="423"/>
        <v>17.010000000000002</v>
      </c>
      <c r="L5406" s="24">
        <f t="shared" si="424"/>
        <v>0</v>
      </c>
    </row>
    <row r="5407" spans="1:12" ht="15" customHeight="1" x14ac:dyDescent="0.3">
      <c r="A5407" s="23" t="s">
        <v>18877</v>
      </c>
      <c r="B5407" s="23" t="s">
        <v>77</v>
      </c>
      <c r="C5407" s="39">
        <v>3499</v>
      </c>
      <c r="D5407" s="24">
        <v>59.48</v>
      </c>
      <c r="E5407" s="24">
        <v>10.71</v>
      </c>
      <c r="F5407" s="23">
        <f>COUNTIFS(mdr_rate_cleaned!$A$2:$A$10,B5407,mdr_rate_cleaned!$B$2:$B$10,"&lt;"&amp;C5407,mdr_rate_cleaned!$F$2:$F$10,"&gt;="&amp;C5407)</f>
        <v>1</v>
      </c>
      <c r="G5407" s="40">
        <f>SUMIFS(mdr_rate_cleaned!$G$2:$G$10,mdr_rate_cleaned!$A$2:$A$10,B5407,mdr_rate_cleaned!$B$2:$B$10,"&lt;"&amp;C5407,mdr_rate_cleaned!$F$2:$F$10,"&gt;="&amp;C5407)</f>
        <v>1.7000000000000001E-2</v>
      </c>
      <c r="H5407" s="24">
        <f t="shared" si="420"/>
        <v>59.48</v>
      </c>
      <c r="I5407" s="23" t="str">
        <f t="shared" si="421"/>
        <v>Match</v>
      </c>
      <c r="J5407" s="23" t="str">
        <f t="shared" si="422"/>
        <v>Match</v>
      </c>
      <c r="K5407" s="24">
        <f t="shared" si="423"/>
        <v>10.71</v>
      </c>
      <c r="L5407" s="24">
        <f t="shared" si="424"/>
        <v>0</v>
      </c>
    </row>
    <row r="5408" spans="1:12" ht="15" customHeight="1" x14ac:dyDescent="0.3">
      <c r="A5408" s="23" t="s">
        <v>18878</v>
      </c>
      <c r="B5408" s="23" t="s">
        <v>75</v>
      </c>
      <c r="C5408" s="39">
        <v>6797</v>
      </c>
      <c r="D5408" s="24">
        <v>20.39</v>
      </c>
      <c r="E5408" s="24">
        <v>3.67</v>
      </c>
      <c r="F5408" s="23">
        <f>COUNTIFS(mdr_rate_cleaned!$A$2:$A$10,B5408,mdr_rate_cleaned!$B$2:$B$10,"&lt;"&amp;C5408,mdr_rate_cleaned!$F$2:$F$10,"&gt;="&amp;C5408)</f>
        <v>1</v>
      </c>
      <c r="G5408" s="40">
        <f>SUMIFS(mdr_rate_cleaned!$G$2:$G$10,mdr_rate_cleaned!$A$2:$A$10,B5408,mdr_rate_cleaned!$B$2:$B$10,"&lt;"&amp;C5408,mdr_rate_cleaned!$F$2:$F$10,"&gt;="&amp;C5408)</f>
        <v>3.0000000000000001E-3</v>
      </c>
      <c r="H5408" s="24">
        <f t="shared" si="420"/>
        <v>20.39</v>
      </c>
      <c r="I5408" s="23" t="str">
        <f t="shared" si="421"/>
        <v>Match</v>
      </c>
      <c r="J5408" s="23" t="str">
        <f t="shared" si="422"/>
        <v>Match</v>
      </c>
      <c r="K5408" s="24">
        <f t="shared" si="423"/>
        <v>3.67</v>
      </c>
      <c r="L5408" s="24">
        <f t="shared" si="424"/>
        <v>0</v>
      </c>
    </row>
    <row r="5409" spans="1:12" ht="15" customHeight="1" x14ac:dyDescent="0.3">
      <c r="A5409" s="23" t="s">
        <v>18879</v>
      </c>
      <c r="B5409" s="23" t="s">
        <v>75</v>
      </c>
      <c r="C5409" s="39">
        <v>9298</v>
      </c>
      <c r="D5409" s="24">
        <v>27.89</v>
      </c>
      <c r="E5409" s="24">
        <v>5.0199999999999996</v>
      </c>
      <c r="F5409" s="23">
        <f>COUNTIFS(mdr_rate_cleaned!$A$2:$A$10,B5409,mdr_rate_cleaned!$B$2:$B$10,"&lt;"&amp;C5409,mdr_rate_cleaned!$F$2:$F$10,"&gt;="&amp;C5409)</f>
        <v>1</v>
      </c>
      <c r="G5409" s="40">
        <f>SUMIFS(mdr_rate_cleaned!$G$2:$G$10,mdr_rate_cleaned!$A$2:$A$10,B5409,mdr_rate_cleaned!$B$2:$B$10,"&lt;"&amp;C5409,mdr_rate_cleaned!$F$2:$F$10,"&gt;="&amp;C5409)</f>
        <v>3.0000000000000001E-3</v>
      </c>
      <c r="H5409" s="24">
        <f t="shared" si="420"/>
        <v>27.89</v>
      </c>
      <c r="I5409" s="23" t="str">
        <f t="shared" si="421"/>
        <v>Match</v>
      </c>
      <c r="J5409" s="23" t="str">
        <f t="shared" si="422"/>
        <v>Match</v>
      </c>
      <c r="K5409" s="24">
        <f t="shared" si="423"/>
        <v>5.0199999999999996</v>
      </c>
      <c r="L5409" s="24">
        <f t="shared" si="424"/>
        <v>0</v>
      </c>
    </row>
    <row r="5410" spans="1:12" ht="15" customHeight="1" x14ac:dyDescent="0.3">
      <c r="A5410" s="23" t="s">
        <v>18880</v>
      </c>
      <c r="B5410" s="23" t="s">
        <v>75</v>
      </c>
      <c r="C5410" s="39">
        <v>349</v>
      </c>
      <c r="D5410" s="24">
        <v>0</v>
      </c>
      <c r="E5410" s="24">
        <v>0</v>
      </c>
      <c r="F5410" s="23">
        <f>COUNTIFS(mdr_rate_cleaned!$A$2:$A$10,B5410,mdr_rate_cleaned!$B$2:$B$10,"&lt;"&amp;C5410,mdr_rate_cleaned!$F$2:$F$10,"&gt;="&amp;C5410)</f>
        <v>1</v>
      </c>
      <c r="G5410" s="40">
        <f>SUMIFS(mdr_rate_cleaned!$G$2:$G$10,mdr_rate_cleaned!$A$2:$A$10,B5410,mdr_rate_cleaned!$B$2:$B$10,"&lt;"&amp;C5410,mdr_rate_cleaned!$F$2:$F$10,"&gt;="&amp;C5410)</f>
        <v>0</v>
      </c>
      <c r="H5410" s="24">
        <f t="shared" si="420"/>
        <v>0</v>
      </c>
      <c r="I5410" s="23" t="str">
        <f t="shared" si="421"/>
        <v>Match</v>
      </c>
      <c r="J5410" s="23" t="str">
        <f t="shared" si="422"/>
        <v>Match</v>
      </c>
      <c r="K5410" s="24">
        <f t="shared" si="423"/>
        <v>0</v>
      </c>
      <c r="L5410" s="24">
        <f t="shared" si="424"/>
        <v>0</v>
      </c>
    </row>
    <row r="5411" spans="1:12" ht="15" customHeight="1" x14ac:dyDescent="0.3">
      <c r="A5411" s="23" t="s">
        <v>18881</v>
      </c>
      <c r="B5411" s="23" t="s">
        <v>75</v>
      </c>
      <c r="C5411" s="39">
        <v>4998</v>
      </c>
      <c r="D5411" s="24">
        <v>14.99</v>
      </c>
      <c r="E5411" s="24">
        <v>2.7</v>
      </c>
      <c r="F5411" s="23">
        <f>COUNTIFS(mdr_rate_cleaned!$A$2:$A$10,B5411,mdr_rate_cleaned!$B$2:$B$10,"&lt;"&amp;C5411,mdr_rate_cleaned!$F$2:$F$10,"&gt;="&amp;C5411)</f>
        <v>1</v>
      </c>
      <c r="G5411" s="40">
        <f>SUMIFS(mdr_rate_cleaned!$G$2:$G$10,mdr_rate_cleaned!$A$2:$A$10,B5411,mdr_rate_cleaned!$B$2:$B$10,"&lt;"&amp;C5411,mdr_rate_cleaned!$F$2:$F$10,"&gt;="&amp;C5411)</f>
        <v>3.0000000000000001E-3</v>
      </c>
      <c r="H5411" s="24">
        <f t="shared" si="420"/>
        <v>14.99</v>
      </c>
      <c r="I5411" s="23" t="str">
        <f t="shared" si="421"/>
        <v>Match</v>
      </c>
      <c r="J5411" s="23" t="str">
        <f t="shared" si="422"/>
        <v>Match</v>
      </c>
      <c r="K5411" s="24">
        <f t="shared" si="423"/>
        <v>2.7</v>
      </c>
      <c r="L5411" s="24">
        <f t="shared" si="424"/>
        <v>0</v>
      </c>
    </row>
    <row r="5412" spans="1:12" ht="15" customHeight="1" x14ac:dyDescent="0.3">
      <c r="A5412" s="23" t="s">
        <v>18882</v>
      </c>
      <c r="B5412" s="23" t="s">
        <v>75</v>
      </c>
      <c r="C5412" s="39">
        <v>4498</v>
      </c>
      <c r="D5412" s="24">
        <v>13.49</v>
      </c>
      <c r="E5412" s="24">
        <v>2.4300000000000002</v>
      </c>
      <c r="F5412" s="23">
        <f>COUNTIFS(mdr_rate_cleaned!$A$2:$A$10,B5412,mdr_rate_cleaned!$B$2:$B$10,"&lt;"&amp;C5412,mdr_rate_cleaned!$F$2:$F$10,"&gt;="&amp;C5412)</f>
        <v>1</v>
      </c>
      <c r="G5412" s="40">
        <f>SUMIFS(mdr_rate_cleaned!$G$2:$G$10,mdr_rate_cleaned!$A$2:$A$10,B5412,mdr_rate_cleaned!$B$2:$B$10,"&lt;"&amp;C5412,mdr_rate_cleaned!$F$2:$F$10,"&gt;="&amp;C5412)</f>
        <v>3.0000000000000001E-3</v>
      </c>
      <c r="H5412" s="24">
        <f t="shared" si="420"/>
        <v>13.49</v>
      </c>
      <c r="I5412" s="23" t="str">
        <f t="shared" si="421"/>
        <v>Match</v>
      </c>
      <c r="J5412" s="23" t="str">
        <f t="shared" si="422"/>
        <v>Match</v>
      </c>
      <c r="K5412" s="24">
        <f t="shared" si="423"/>
        <v>2.4300000000000002</v>
      </c>
      <c r="L5412" s="24">
        <f t="shared" si="424"/>
        <v>0</v>
      </c>
    </row>
    <row r="5413" spans="1:12" ht="15" customHeight="1" x14ac:dyDescent="0.3">
      <c r="A5413" s="23" t="s">
        <v>18883</v>
      </c>
      <c r="B5413" s="23" t="s">
        <v>81</v>
      </c>
      <c r="C5413" s="39">
        <v>9498</v>
      </c>
      <c r="D5413" s="24">
        <v>113.98</v>
      </c>
      <c r="E5413" s="24">
        <v>20.52</v>
      </c>
      <c r="F5413" s="23">
        <f>COUNTIFS(mdr_rate_cleaned!$A$2:$A$10,B5413,mdr_rate_cleaned!$B$2:$B$10,"&lt;"&amp;C5413,mdr_rate_cleaned!$F$2:$F$10,"&gt;="&amp;C5413)</f>
        <v>1</v>
      </c>
      <c r="G5413" s="40">
        <f>SUMIFS(mdr_rate_cleaned!$G$2:$G$10,mdr_rate_cleaned!$A$2:$A$10,B5413,mdr_rate_cleaned!$B$2:$B$10,"&lt;"&amp;C5413,mdr_rate_cleaned!$F$2:$F$10,"&gt;="&amp;C5413)</f>
        <v>1.2E-2</v>
      </c>
      <c r="H5413" s="24">
        <f t="shared" si="420"/>
        <v>113.98</v>
      </c>
      <c r="I5413" s="23" t="str">
        <f t="shared" si="421"/>
        <v>Match</v>
      </c>
      <c r="J5413" s="23" t="str">
        <f t="shared" si="422"/>
        <v>Match</v>
      </c>
      <c r="K5413" s="24">
        <f t="shared" si="423"/>
        <v>20.52</v>
      </c>
      <c r="L5413" s="24">
        <f t="shared" si="424"/>
        <v>0</v>
      </c>
    </row>
    <row r="5414" spans="1:12" ht="15" customHeight="1" x14ac:dyDescent="0.3">
      <c r="A5414" s="23" t="s">
        <v>18885</v>
      </c>
      <c r="B5414" s="23" t="s">
        <v>75</v>
      </c>
      <c r="C5414" s="39">
        <v>499</v>
      </c>
      <c r="D5414" s="24">
        <v>0</v>
      </c>
      <c r="E5414" s="24">
        <v>0</v>
      </c>
      <c r="F5414" s="23">
        <f>COUNTIFS(mdr_rate_cleaned!$A$2:$A$10,B5414,mdr_rate_cleaned!$B$2:$B$10,"&lt;"&amp;C5414,mdr_rate_cleaned!$F$2:$F$10,"&gt;="&amp;C5414)</f>
        <v>1</v>
      </c>
      <c r="G5414" s="40">
        <f>SUMIFS(mdr_rate_cleaned!$G$2:$G$10,mdr_rate_cleaned!$A$2:$A$10,B5414,mdr_rate_cleaned!$B$2:$B$10,"&lt;"&amp;C5414,mdr_rate_cleaned!$F$2:$F$10,"&gt;="&amp;C5414)</f>
        <v>0</v>
      </c>
      <c r="H5414" s="24">
        <f t="shared" si="420"/>
        <v>0</v>
      </c>
      <c r="I5414" s="23" t="str">
        <f t="shared" si="421"/>
        <v>Match</v>
      </c>
      <c r="J5414" s="23" t="str">
        <f t="shared" si="422"/>
        <v>Match</v>
      </c>
      <c r="K5414" s="24">
        <f t="shared" si="423"/>
        <v>0</v>
      </c>
      <c r="L5414" s="24">
        <f t="shared" si="424"/>
        <v>0</v>
      </c>
    </row>
    <row r="5415" spans="1:12" ht="15" customHeight="1" x14ac:dyDescent="0.3">
      <c r="A5415" s="23" t="s">
        <v>18886</v>
      </c>
      <c r="B5415" s="23" t="s">
        <v>77</v>
      </c>
      <c r="C5415" s="39">
        <v>2999</v>
      </c>
      <c r="D5415" s="24">
        <v>71.98</v>
      </c>
      <c r="E5415" s="24">
        <v>12.96</v>
      </c>
      <c r="F5415" s="23">
        <f>COUNTIFS(mdr_rate_cleaned!$A$2:$A$10,B5415,mdr_rate_cleaned!$B$2:$B$10,"&lt;"&amp;C5415,mdr_rate_cleaned!$F$2:$F$10,"&gt;="&amp;C5415)</f>
        <v>1</v>
      </c>
      <c r="G5415" s="40">
        <f>SUMIFS(mdr_rate_cleaned!$G$2:$G$10,mdr_rate_cleaned!$A$2:$A$10,B5415,mdr_rate_cleaned!$B$2:$B$10,"&lt;"&amp;C5415,mdr_rate_cleaned!$F$2:$F$10,"&gt;="&amp;C5415)</f>
        <v>1.7000000000000001E-2</v>
      </c>
      <c r="H5415" s="24">
        <f t="shared" si="420"/>
        <v>50.98</v>
      </c>
      <c r="I5415" s="23" t="str">
        <f t="shared" si="421"/>
        <v>Differs</v>
      </c>
      <c r="J5415" s="23" t="str">
        <f t="shared" si="422"/>
        <v>Match</v>
      </c>
      <c r="K5415" s="24">
        <f t="shared" si="423"/>
        <v>9.18</v>
      </c>
      <c r="L5415" s="24">
        <f t="shared" si="424"/>
        <v>24.78</v>
      </c>
    </row>
    <row r="5416" spans="1:12" ht="15" customHeight="1" x14ac:dyDescent="0.3">
      <c r="A5416" s="23" t="s">
        <v>18887</v>
      </c>
      <c r="B5416" s="23" t="s">
        <v>79</v>
      </c>
      <c r="C5416" s="39">
        <v>8498</v>
      </c>
      <c r="D5416" s="24">
        <v>135.97</v>
      </c>
      <c r="E5416" s="24">
        <v>24.47</v>
      </c>
      <c r="F5416" s="23">
        <f>COUNTIFS(mdr_rate_cleaned!$A$2:$A$10,B5416,mdr_rate_cleaned!$B$2:$B$10,"&lt;"&amp;C5416,mdr_rate_cleaned!$F$2:$F$10,"&gt;="&amp;C5416)</f>
        <v>1</v>
      </c>
      <c r="G5416" s="40">
        <f>SUMIFS(mdr_rate_cleaned!$G$2:$G$10,mdr_rate_cleaned!$A$2:$A$10,B5416,mdr_rate_cleaned!$B$2:$B$10,"&lt;"&amp;C5416,mdr_rate_cleaned!$F$2:$F$10,"&gt;="&amp;C5416)</f>
        <v>1.6E-2</v>
      </c>
      <c r="H5416" s="24">
        <f t="shared" si="420"/>
        <v>135.97</v>
      </c>
      <c r="I5416" s="23" t="str">
        <f t="shared" si="421"/>
        <v>Match</v>
      </c>
      <c r="J5416" s="23" t="str">
        <f t="shared" si="422"/>
        <v>Match</v>
      </c>
      <c r="K5416" s="24">
        <f t="shared" si="423"/>
        <v>24.47</v>
      </c>
      <c r="L5416" s="24">
        <f t="shared" si="424"/>
        <v>0</v>
      </c>
    </row>
    <row r="5417" spans="1:12" ht="15" customHeight="1" x14ac:dyDescent="0.3">
      <c r="A5417" s="23" t="s">
        <v>18888</v>
      </c>
      <c r="B5417" s="23" t="s">
        <v>79</v>
      </c>
      <c r="C5417" s="39">
        <v>1598</v>
      </c>
      <c r="D5417" s="24">
        <v>28.76</v>
      </c>
      <c r="E5417" s="24">
        <v>5.18</v>
      </c>
      <c r="F5417" s="23">
        <f>COUNTIFS(mdr_rate_cleaned!$A$2:$A$10,B5417,mdr_rate_cleaned!$B$2:$B$10,"&lt;"&amp;C5417,mdr_rate_cleaned!$F$2:$F$10,"&gt;="&amp;C5417)</f>
        <v>1</v>
      </c>
      <c r="G5417" s="40">
        <f>SUMIFS(mdr_rate_cleaned!$G$2:$G$10,mdr_rate_cleaned!$A$2:$A$10,B5417,mdr_rate_cleaned!$B$2:$B$10,"&lt;"&amp;C5417,mdr_rate_cleaned!$F$2:$F$10,"&gt;="&amp;C5417)</f>
        <v>1.8000000000000002E-2</v>
      </c>
      <c r="H5417" s="24">
        <f t="shared" si="420"/>
        <v>28.76</v>
      </c>
      <c r="I5417" s="23" t="str">
        <f t="shared" si="421"/>
        <v>Match</v>
      </c>
      <c r="J5417" s="23" t="str">
        <f t="shared" si="422"/>
        <v>Match</v>
      </c>
      <c r="K5417" s="24">
        <f t="shared" si="423"/>
        <v>5.18</v>
      </c>
      <c r="L5417" s="24">
        <f t="shared" si="424"/>
        <v>0</v>
      </c>
    </row>
    <row r="5418" spans="1:12" ht="15" customHeight="1" x14ac:dyDescent="0.3">
      <c r="A5418" s="23" t="s">
        <v>18889</v>
      </c>
      <c r="B5418" s="23" t="s">
        <v>75</v>
      </c>
      <c r="C5418" s="39">
        <v>2797</v>
      </c>
      <c r="D5418" s="24">
        <v>8.39</v>
      </c>
      <c r="E5418" s="24">
        <v>1.51</v>
      </c>
      <c r="F5418" s="23">
        <f>COUNTIFS(mdr_rate_cleaned!$A$2:$A$10,B5418,mdr_rate_cleaned!$B$2:$B$10,"&lt;"&amp;C5418,mdr_rate_cleaned!$F$2:$F$10,"&gt;="&amp;C5418)</f>
        <v>1</v>
      </c>
      <c r="G5418" s="40">
        <f>SUMIFS(mdr_rate_cleaned!$G$2:$G$10,mdr_rate_cleaned!$A$2:$A$10,B5418,mdr_rate_cleaned!$B$2:$B$10,"&lt;"&amp;C5418,mdr_rate_cleaned!$F$2:$F$10,"&gt;="&amp;C5418)</f>
        <v>3.0000000000000001E-3</v>
      </c>
      <c r="H5418" s="24">
        <f t="shared" si="420"/>
        <v>8.39</v>
      </c>
      <c r="I5418" s="23" t="str">
        <f t="shared" si="421"/>
        <v>Match</v>
      </c>
      <c r="J5418" s="23" t="str">
        <f t="shared" si="422"/>
        <v>Match</v>
      </c>
      <c r="K5418" s="24">
        <f t="shared" si="423"/>
        <v>1.51</v>
      </c>
      <c r="L5418" s="24">
        <f t="shared" si="424"/>
        <v>0</v>
      </c>
    </row>
    <row r="5419" spans="1:12" ht="15" customHeight="1" x14ac:dyDescent="0.3">
      <c r="A5419" s="23" t="s">
        <v>18890</v>
      </c>
      <c r="B5419" s="23" t="s">
        <v>75</v>
      </c>
      <c r="C5419" s="39">
        <v>5298</v>
      </c>
      <c r="D5419" s="24">
        <v>15.89</v>
      </c>
      <c r="E5419" s="24">
        <v>2.86</v>
      </c>
      <c r="F5419" s="23">
        <f>COUNTIFS(mdr_rate_cleaned!$A$2:$A$10,B5419,mdr_rate_cleaned!$B$2:$B$10,"&lt;"&amp;C5419,mdr_rate_cleaned!$F$2:$F$10,"&gt;="&amp;C5419)</f>
        <v>1</v>
      </c>
      <c r="G5419" s="40">
        <f>SUMIFS(mdr_rate_cleaned!$G$2:$G$10,mdr_rate_cleaned!$A$2:$A$10,B5419,mdr_rate_cleaned!$B$2:$B$10,"&lt;"&amp;C5419,mdr_rate_cleaned!$F$2:$F$10,"&gt;="&amp;C5419)</f>
        <v>3.0000000000000001E-3</v>
      </c>
      <c r="H5419" s="24">
        <f t="shared" si="420"/>
        <v>15.89</v>
      </c>
      <c r="I5419" s="23" t="str">
        <f t="shared" si="421"/>
        <v>Match</v>
      </c>
      <c r="J5419" s="23" t="str">
        <f t="shared" si="422"/>
        <v>Match</v>
      </c>
      <c r="K5419" s="24">
        <f t="shared" si="423"/>
        <v>2.86</v>
      </c>
      <c r="L5419" s="24">
        <f t="shared" si="424"/>
        <v>0</v>
      </c>
    </row>
    <row r="5420" spans="1:12" ht="15" customHeight="1" x14ac:dyDescent="0.3">
      <c r="A5420" s="23" t="s">
        <v>18891</v>
      </c>
      <c r="B5420" s="23" t="s">
        <v>81</v>
      </c>
      <c r="C5420" s="39">
        <v>3798</v>
      </c>
      <c r="D5420" s="24">
        <v>45.58</v>
      </c>
      <c r="E5420" s="24">
        <v>8.1999999999999993</v>
      </c>
      <c r="F5420" s="23">
        <f>COUNTIFS(mdr_rate_cleaned!$A$2:$A$10,B5420,mdr_rate_cleaned!$B$2:$B$10,"&lt;"&amp;C5420,mdr_rate_cleaned!$F$2:$F$10,"&gt;="&amp;C5420)</f>
        <v>1</v>
      </c>
      <c r="G5420" s="40">
        <f>SUMIFS(mdr_rate_cleaned!$G$2:$G$10,mdr_rate_cleaned!$A$2:$A$10,B5420,mdr_rate_cleaned!$B$2:$B$10,"&lt;"&amp;C5420,mdr_rate_cleaned!$F$2:$F$10,"&gt;="&amp;C5420)</f>
        <v>1.2E-2</v>
      </c>
      <c r="H5420" s="24">
        <f t="shared" si="420"/>
        <v>45.58</v>
      </c>
      <c r="I5420" s="23" t="str">
        <f t="shared" si="421"/>
        <v>Match</v>
      </c>
      <c r="J5420" s="23" t="str">
        <f t="shared" si="422"/>
        <v>Match</v>
      </c>
      <c r="K5420" s="24">
        <f t="shared" si="423"/>
        <v>8.1999999999999993</v>
      </c>
      <c r="L5420" s="24">
        <f t="shared" si="424"/>
        <v>0</v>
      </c>
    </row>
    <row r="5421" spans="1:12" ht="15" customHeight="1" x14ac:dyDescent="0.3">
      <c r="A5421" s="23" t="s">
        <v>18893</v>
      </c>
      <c r="B5421" s="23" t="s">
        <v>75</v>
      </c>
      <c r="C5421" s="39">
        <v>4597</v>
      </c>
      <c r="D5421" s="24">
        <v>13.79</v>
      </c>
      <c r="E5421" s="24">
        <v>2.48</v>
      </c>
      <c r="F5421" s="23">
        <f>COUNTIFS(mdr_rate_cleaned!$A$2:$A$10,B5421,mdr_rate_cleaned!$B$2:$B$10,"&lt;"&amp;C5421,mdr_rate_cleaned!$F$2:$F$10,"&gt;="&amp;C5421)</f>
        <v>1</v>
      </c>
      <c r="G5421" s="40">
        <f>SUMIFS(mdr_rate_cleaned!$G$2:$G$10,mdr_rate_cleaned!$A$2:$A$10,B5421,mdr_rate_cleaned!$B$2:$B$10,"&lt;"&amp;C5421,mdr_rate_cleaned!$F$2:$F$10,"&gt;="&amp;C5421)</f>
        <v>3.0000000000000001E-3</v>
      </c>
      <c r="H5421" s="24">
        <f t="shared" si="420"/>
        <v>13.79</v>
      </c>
      <c r="I5421" s="23" t="str">
        <f t="shared" si="421"/>
        <v>Match</v>
      </c>
      <c r="J5421" s="23" t="str">
        <f t="shared" si="422"/>
        <v>Match</v>
      </c>
      <c r="K5421" s="24">
        <f t="shared" si="423"/>
        <v>2.48</v>
      </c>
      <c r="L5421" s="24">
        <f t="shared" si="424"/>
        <v>0</v>
      </c>
    </row>
    <row r="5422" spans="1:12" ht="15" customHeight="1" x14ac:dyDescent="0.3">
      <c r="A5422" s="23" t="s">
        <v>18895</v>
      </c>
      <c r="B5422" s="23" t="s">
        <v>75</v>
      </c>
      <c r="C5422" s="39">
        <v>1499</v>
      </c>
      <c r="D5422" s="24">
        <v>0</v>
      </c>
      <c r="E5422" s="24">
        <v>0</v>
      </c>
      <c r="F5422" s="23">
        <f>COUNTIFS(mdr_rate_cleaned!$A$2:$A$10,B5422,mdr_rate_cleaned!$B$2:$B$10,"&lt;"&amp;C5422,mdr_rate_cleaned!$F$2:$F$10,"&gt;="&amp;C5422)</f>
        <v>1</v>
      </c>
      <c r="G5422" s="40">
        <f>SUMIFS(mdr_rate_cleaned!$G$2:$G$10,mdr_rate_cleaned!$A$2:$A$10,B5422,mdr_rate_cleaned!$B$2:$B$10,"&lt;"&amp;C5422,mdr_rate_cleaned!$F$2:$F$10,"&gt;="&amp;C5422)</f>
        <v>0</v>
      </c>
      <c r="H5422" s="24">
        <f t="shared" si="420"/>
        <v>0</v>
      </c>
      <c r="I5422" s="23" t="str">
        <f t="shared" si="421"/>
        <v>Match</v>
      </c>
      <c r="J5422" s="23" t="str">
        <f t="shared" si="422"/>
        <v>Match</v>
      </c>
      <c r="K5422" s="24">
        <f t="shared" si="423"/>
        <v>0</v>
      </c>
      <c r="L5422" s="24">
        <f t="shared" si="424"/>
        <v>0</v>
      </c>
    </row>
    <row r="5423" spans="1:12" ht="15" customHeight="1" x14ac:dyDescent="0.3">
      <c r="A5423" s="23" t="s">
        <v>18896</v>
      </c>
      <c r="B5423" s="23" t="s">
        <v>81</v>
      </c>
      <c r="C5423" s="39">
        <v>1098</v>
      </c>
      <c r="D5423" s="24">
        <v>16.47</v>
      </c>
      <c r="E5423" s="24">
        <v>2.96</v>
      </c>
      <c r="F5423" s="23">
        <f>COUNTIFS(mdr_rate_cleaned!$A$2:$A$10,B5423,mdr_rate_cleaned!$B$2:$B$10,"&lt;"&amp;C5423,mdr_rate_cleaned!$F$2:$F$10,"&gt;="&amp;C5423)</f>
        <v>1</v>
      </c>
      <c r="G5423" s="40">
        <f>SUMIFS(mdr_rate_cleaned!$G$2:$G$10,mdr_rate_cleaned!$A$2:$A$10,B5423,mdr_rate_cleaned!$B$2:$B$10,"&lt;"&amp;C5423,mdr_rate_cleaned!$F$2:$F$10,"&gt;="&amp;C5423)</f>
        <v>1.4999999999999999E-2</v>
      </c>
      <c r="H5423" s="24">
        <f t="shared" si="420"/>
        <v>16.47</v>
      </c>
      <c r="I5423" s="23" t="str">
        <f t="shared" si="421"/>
        <v>Match</v>
      </c>
      <c r="J5423" s="23" t="str">
        <f t="shared" si="422"/>
        <v>Match</v>
      </c>
      <c r="K5423" s="24">
        <f t="shared" si="423"/>
        <v>2.96</v>
      </c>
      <c r="L5423" s="24">
        <f t="shared" si="424"/>
        <v>0</v>
      </c>
    </row>
    <row r="5424" spans="1:12" ht="15" customHeight="1" x14ac:dyDescent="0.3">
      <c r="A5424" s="23" t="s">
        <v>18897</v>
      </c>
      <c r="B5424" s="23" t="s">
        <v>75</v>
      </c>
      <c r="C5424" s="39">
        <v>7999</v>
      </c>
      <c r="D5424" s="24">
        <v>24</v>
      </c>
      <c r="E5424" s="24">
        <v>4.32</v>
      </c>
      <c r="F5424" s="23">
        <f>COUNTIFS(mdr_rate_cleaned!$A$2:$A$10,B5424,mdr_rate_cleaned!$B$2:$B$10,"&lt;"&amp;C5424,mdr_rate_cleaned!$F$2:$F$10,"&gt;="&amp;C5424)</f>
        <v>1</v>
      </c>
      <c r="G5424" s="40">
        <f>SUMIFS(mdr_rate_cleaned!$G$2:$G$10,mdr_rate_cleaned!$A$2:$A$10,B5424,mdr_rate_cleaned!$B$2:$B$10,"&lt;"&amp;C5424,mdr_rate_cleaned!$F$2:$F$10,"&gt;="&amp;C5424)</f>
        <v>3.0000000000000001E-3</v>
      </c>
      <c r="H5424" s="24">
        <f t="shared" si="420"/>
        <v>24</v>
      </c>
      <c r="I5424" s="23" t="str">
        <f t="shared" si="421"/>
        <v>Match</v>
      </c>
      <c r="J5424" s="23" t="str">
        <f t="shared" si="422"/>
        <v>Match</v>
      </c>
      <c r="K5424" s="24">
        <f t="shared" si="423"/>
        <v>4.32</v>
      </c>
      <c r="L5424" s="24">
        <f t="shared" si="424"/>
        <v>0</v>
      </c>
    </row>
    <row r="5425" spans="1:12" ht="15" customHeight="1" x14ac:dyDescent="0.3">
      <c r="A5425" s="23" t="s">
        <v>18898</v>
      </c>
      <c r="B5425" s="23" t="s">
        <v>79</v>
      </c>
      <c r="C5425" s="39">
        <v>599</v>
      </c>
      <c r="D5425" s="24">
        <v>10.78</v>
      </c>
      <c r="E5425" s="24">
        <v>1.94</v>
      </c>
      <c r="F5425" s="23">
        <f>COUNTIFS(mdr_rate_cleaned!$A$2:$A$10,B5425,mdr_rate_cleaned!$B$2:$B$10,"&lt;"&amp;C5425,mdr_rate_cleaned!$F$2:$F$10,"&gt;="&amp;C5425)</f>
        <v>1</v>
      </c>
      <c r="G5425" s="40">
        <f>SUMIFS(mdr_rate_cleaned!$G$2:$G$10,mdr_rate_cleaned!$A$2:$A$10,B5425,mdr_rate_cleaned!$B$2:$B$10,"&lt;"&amp;C5425,mdr_rate_cleaned!$F$2:$F$10,"&gt;="&amp;C5425)</f>
        <v>1.8000000000000002E-2</v>
      </c>
      <c r="H5425" s="24">
        <f t="shared" si="420"/>
        <v>10.78</v>
      </c>
      <c r="I5425" s="23" t="str">
        <f t="shared" si="421"/>
        <v>Match</v>
      </c>
      <c r="J5425" s="23" t="str">
        <f t="shared" si="422"/>
        <v>Match</v>
      </c>
      <c r="K5425" s="24">
        <f t="shared" si="423"/>
        <v>1.94</v>
      </c>
      <c r="L5425" s="24">
        <f t="shared" si="424"/>
        <v>0</v>
      </c>
    </row>
    <row r="5426" spans="1:12" ht="15" customHeight="1" x14ac:dyDescent="0.3">
      <c r="A5426" s="23" t="s">
        <v>18899</v>
      </c>
      <c r="B5426" s="23" t="s">
        <v>79</v>
      </c>
      <c r="C5426" s="39">
        <v>7999</v>
      </c>
      <c r="D5426" s="24">
        <v>127.98</v>
      </c>
      <c r="E5426" s="24">
        <v>23.04</v>
      </c>
      <c r="F5426" s="23">
        <f>COUNTIFS(mdr_rate_cleaned!$A$2:$A$10,B5426,mdr_rate_cleaned!$B$2:$B$10,"&lt;"&amp;C5426,mdr_rate_cleaned!$F$2:$F$10,"&gt;="&amp;C5426)</f>
        <v>1</v>
      </c>
      <c r="G5426" s="40">
        <f>SUMIFS(mdr_rate_cleaned!$G$2:$G$10,mdr_rate_cleaned!$A$2:$A$10,B5426,mdr_rate_cleaned!$B$2:$B$10,"&lt;"&amp;C5426,mdr_rate_cleaned!$F$2:$F$10,"&gt;="&amp;C5426)</f>
        <v>1.6E-2</v>
      </c>
      <c r="H5426" s="24">
        <f t="shared" si="420"/>
        <v>127.98</v>
      </c>
      <c r="I5426" s="23" t="str">
        <f t="shared" si="421"/>
        <v>Match</v>
      </c>
      <c r="J5426" s="23" t="str">
        <f t="shared" si="422"/>
        <v>Match</v>
      </c>
      <c r="K5426" s="24">
        <f t="shared" si="423"/>
        <v>23.04</v>
      </c>
      <c r="L5426" s="24">
        <f t="shared" si="424"/>
        <v>0</v>
      </c>
    </row>
    <row r="5427" spans="1:12" ht="15" customHeight="1" x14ac:dyDescent="0.3">
      <c r="A5427" s="23" t="s">
        <v>18900</v>
      </c>
      <c r="B5427" s="23" t="s">
        <v>75</v>
      </c>
      <c r="C5427" s="39">
        <v>499</v>
      </c>
      <c r="D5427" s="24">
        <v>0</v>
      </c>
      <c r="E5427" s="24">
        <v>0</v>
      </c>
      <c r="F5427" s="23">
        <f>COUNTIFS(mdr_rate_cleaned!$A$2:$A$10,B5427,mdr_rate_cleaned!$B$2:$B$10,"&lt;"&amp;C5427,mdr_rate_cleaned!$F$2:$F$10,"&gt;="&amp;C5427)</f>
        <v>1</v>
      </c>
      <c r="G5427" s="40">
        <f>SUMIFS(mdr_rate_cleaned!$G$2:$G$10,mdr_rate_cleaned!$A$2:$A$10,B5427,mdr_rate_cleaned!$B$2:$B$10,"&lt;"&amp;C5427,mdr_rate_cleaned!$F$2:$F$10,"&gt;="&amp;C5427)</f>
        <v>0</v>
      </c>
      <c r="H5427" s="24">
        <f t="shared" si="420"/>
        <v>0</v>
      </c>
      <c r="I5427" s="23" t="str">
        <f t="shared" si="421"/>
        <v>Match</v>
      </c>
      <c r="J5427" s="23" t="str">
        <f t="shared" si="422"/>
        <v>Match</v>
      </c>
      <c r="K5427" s="24">
        <f t="shared" si="423"/>
        <v>0</v>
      </c>
      <c r="L5427" s="24">
        <f t="shared" si="424"/>
        <v>0</v>
      </c>
    </row>
    <row r="5428" spans="1:12" ht="15" customHeight="1" x14ac:dyDescent="0.3">
      <c r="A5428" s="23" t="s">
        <v>18901</v>
      </c>
      <c r="B5428" s="23" t="s">
        <v>81</v>
      </c>
      <c r="C5428" s="39">
        <v>999</v>
      </c>
      <c r="D5428" s="24">
        <v>14.99</v>
      </c>
      <c r="E5428" s="24">
        <v>2.7</v>
      </c>
      <c r="F5428" s="23">
        <f>COUNTIFS(mdr_rate_cleaned!$A$2:$A$10,B5428,mdr_rate_cleaned!$B$2:$B$10,"&lt;"&amp;C5428,mdr_rate_cleaned!$F$2:$F$10,"&gt;="&amp;C5428)</f>
        <v>1</v>
      </c>
      <c r="G5428" s="40">
        <f>SUMIFS(mdr_rate_cleaned!$G$2:$G$10,mdr_rate_cleaned!$A$2:$A$10,B5428,mdr_rate_cleaned!$B$2:$B$10,"&lt;"&amp;C5428,mdr_rate_cleaned!$F$2:$F$10,"&gt;="&amp;C5428)</f>
        <v>1.4999999999999999E-2</v>
      </c>
      <c r="H5428" s="24">
        <f t="shared" si="420"/>
        <v>14.99</v>
      </c>
      <c r="I5428" s="23" t="str">
        <f t="shared" si="421"/>
        <v>Match</v>
      </c>
      <c r="J5428" s="23" t="str">
        <f t="shared" si="422"/>
        <v>Match</v>
      </c>
      <c r="K5428" s="24">
        <f t="shared" si="423"/>
        <v>2.7</v>
      </c>
      <c r="L5428" s="24">
        <f t="shared" si="424"/>
        <v>0</v>
      </c>
    </row>
    <row r="5429" spans="1:12" ht="15" customHeight="1" x14ac:dyDescent="0.3">
      <c r="A5429" s="23" t="s">
        <v>18902</v>
      </c>
      <c r="B5429" s="23" t="s">
        <v>77</v>
      </c>
      <c r="C5429" s="39">
        <v>8298</v>
      </c>
      <c r="D5429" s="24">
        <v>141.07</v>
      </c>
      <c r="E5429" s="24">
        <v>25.39</v>
      </c>
      <c r="F5429" s="23">
        <f>COUNTIFS(mdr_rate_cleaned!$A$2:$A$10,B5429,mdr_rate_cleaned!$B$2:$B$10,"&lt;"&amp;C5429,mdr_rate_cleaned!$F$2:$F$10,"&gt;="&amp;C5429)</f>
        <v>1</v>
      </c>
      <c r="G5429" s="40">
        <f>SUMIFS(mdr_rate_cleaned!$G$2:$G$10,mdr_rate_cleaned!$A$2:$A$10,B5429,mdr_rate_cleaned!$B$2:$B$10,"&lt;"&amp;C5429,mdr_rate_cleaned!$F$2:$F$10,"&gt;="&amp;C5429)</f>
        <v>1.7000000000000001E-2</v>
      </c>
      <c r="H5429" s="24">
        <f t="shared" si="420"/>
        <v>141.07</v>
      </c>
      <c r="I5429" s="23" t="str">
        <f t="shared" si="421"/>
        <v>Match</v>
      </c>
      <c r="J5429" s="23" t="str">
        <f t="shared" si="422"/>
        <v>Match</v>
      </c>
      <c r="K5429" s="24">
        <f t="shared" si="423"/>
        <v>25.39</v>
      </c>
      <c r="L5429" s="24">
        <f t="shared" si="424"/>
        <v>0</v>
      </c>
    </row>
    <row r="5430" spans="1:12" ht="15" customHeight="1" x14ac:dyDescent="0.3">
      <c r="A5430" s="23" t="s">
        <v>18904</v>
      </c>
      <c r="B5430" s="23" t="s">
        <v>79</v>
      </c>
      <c r="C5430" s="39">
        <v>898</v>
      </c>
      <c r="D5430" s="24">
        <v>16.16</v>
      </c>
      <c r="E5430" s="24">
        <v>2.91</v>
      </c>
      <c r="F5430" s="23">
        <f>COUNTIFS(mdr_rate_cleaned!$A$2:$A$10,B5430,mdr_rate_cleaned!$B$2:$B$10,"&lt;"&amp;C5430,mdr_rate_cleaned!$F$2:$F$10,"&gt;="&amp;C5430)</f>
        <v>1</v>
      </c>
      <c r="G5430" s="40">
        <f>SUMIFS(mdr_rate_cleaned!$G$2:$G$10,mdr_rate_cleaned!$A$2:$A$10,B5430,mdr_rate_cleaned!$B$2:$B$10,"&lt;"&amp;C5430,mdr_rate_cleaned!$F$2:$F$10,"&gt;="&amp;C5430)</f>
        <v>1.8000000000000002E-2</v>
      </c>
      <c r="H5430" s="24">
        <f t="shared" si="420"/>
        <v>16.16</v>
      </c>
      <c r="I5430" s="23" t="str">
        <f t="shared" si="421"/>
        <v>Match</v>
      </c>
      <c r="J5430" s="23" t="str">
        <f t="shared" si="422"/>
        <v>Match</v>
      </c>
      <c r="K5430" s="24">
        <f t="shared" si="423"/>
        <v>2.91</v>
      </c>
      <c r="L5430" s="24">
        <f t="shared" si="424"/>
        <v>0</v>
      </c>
    </row>
    <row r="5431" spans="1:12" ht="15" customHeight="1" x14ac:dyDescent="0.3">
      <c r="A5431" s="23" t="s">
        <v>18905</v>
      </c>
      <c r="B5431" s="23" t="s">
        <v>79</v>
      </c>
      <c r="C5431" s="39">
        <v>7999</v>
      </c>
      <c r="D5431" s="24">
        <v>127.98</v>
      </c>
      <c r="E5431" s="24">
        <v>23.04</v>
      </c>
      <c r="F5431" s="23">
        <f>COUNTIFS(mdr_rate_cleaned!$A$2:$A$10,B5431,mdr_rate_cleaned!$B$2:$B$10,"&lt;"&amp;C5431,mdr_rate_cleaned!$F$2:$F$10,"&gt;="&amp;C5431)</f>
        <v>1</v>
      </c>
      <c r="G5431" s="40">
        <f>SUMIFS(mdr_rate_cleaned!$G$2:$G$10,mdr_rate_cleaned!$A$2:$A$10,B5431,mdr_rate_cleaned!$B$2:$B$10,"&lt;"&amp;C5431,mdr_rate_cleaned!$F$2:$F$10,"&gt;="&amp;C5431)</f>
        <v>1.6E-2</v>
      </c>
      <c r="H5431" s="24">
        <f t="shared" si="420"/>
        <v>127.98</v>
      </c>
      <c r="I5431" s="23" t="str">
        <f t="shared" si="421"/>
        <v>Match</v>
      </c>
      <c r="J5431" s="23" t="str">
        <f t="shared" si="422"/>
        <v>Match</v>
      </c>
      <c r="K5431" s="24">
        <f t="shared" si="423"/>
        <v>23.04</v>
      </c>
      <c r="L5431" s="24">
        <f t="shared" si="424"/>
        <v>0</v>
      </c>
    </row>
    <row r="5432" spans="1:12" ht="15" customHeight="1" x14ac:dyDescent="0.3">
      <c r="A5432" s="23" t="s">
        <v>18906</v>
      </c>
      <c r="B5432" s="23" t="s">
        <v>75</v>
      </c>
      <c r="C5432" s="39">
        <v>5348</v>
      </c>
      <c r="D5432" s="24">
        <v>16.04</v>
      </c>
      <c r="E5432" s="24">
        <v>2.89</v>
      </c>
      <c r="F5432" s="23">
        <f>COUNTIFS(mdr_rate_cleaned!$A$2:$A$10,B5432,mdr_rate_cleaned!$B$2:$B$10,"&lt;"&amp;C5432,mdr_rate_cleaned!$F$2:$F$10,"&gt;="&amp;C5432)</f>
        <v>1</v>
      </c>
      <c r="G5432" s="40">
        <f>SUMIFS(mdr_rate_cleaned!$G$2:$G$10,mdr_rate_cleaned!$A$2:$A$10,B5432,mdr_rate_cleaned!$B$2:$B$10,"&lt;"&amp;C5432,mdr_rate_cleaned!$F$2:$F$10,"&gt;="&amp;C5432)</f>
        <v>3.0000000000000001E-3</v>
      </c>
      <c r="H5432" s="24">
        <f t="shared" si="420"/>
        <v>16.04</v>
      </c>
      <c r="I5432" s="23" t="str">
        <f t="shared" si="421"/>
        <v>Match</v>
      </c>
      <c r="J5432" s="23" t="str">
        <f t="shared" si="422"/>
        <v>Match</v>
      </c>
      <c r="K5432" s="24">
        <f t="shared" si="423"/>
        <v>2.89</v>
      </c>
      <c r="L5432" s="24">
        <f t="shared" si="424"/>
        <v>0</v>
      </c>
    </row>
    <row r="5433" spans="1:12" ht="15" customHeight="1" x14ac:dyDescent="0.3">
      <c r="A5433" s="23" t="s">
        <v>18907</v>
      </c>
      <c r="B5433" s="23" t="s">
        <v>75</v>
      </c>
      <c r="C5433" s="39">
        <v>3998</v>
      </c>
      <c r="D5433" s="24">
        <v>11.99</v>
      </c>
      <c r="E5433" s="24">
        <v>2.16</v>
      </c>
      <c r="F5433" s="23">
        <f>COUNTIFS(mdr_rate_cleaned!$A$2:$A$10,B5433,mdr_rate_cleaned!$B$2:$B$10,"&lt;"&amp;C5433,mdr_rate_cleaned!$F$2:$F$10,"&gt;="&amp;C5433)</f>
        <v>1</v>
      </c>
      <c r="G5433" s="40">
        <f>SUMIFS(mdr_rate_cleaned!$G$2:$G$10,mdr_rate_cleaned!$A$2:$A$10,B5433,mdr_rate_cleaned!$B$2:$B$10,"&lt;"&amp;C5433,mdr_rate_cleaned!$F$2:$F$10,"&gt;="&amp;C5433)</f>
        <v>3.0000000000000001E-3</v>
      </c>
      <c r="H5433" s="24">
        <f t="shared" si="420"/>
        <v>11.99</v>
      </c>
      <c r="I5433" s="23" t="str">
        <f t="shared" si="421"/>
        <v>Match</v>
      </c>
      <c r="J5433" s="23" t="str">
        <f t="shared" si="422"/>
        <v>Match</v>
      </c>
      <c r="K5433" s="24">
        <f t="shared" si="423"/>
        <v>2.16</v>
      </c>
      <c r="L5433" s="24">
        <f t="shared" si="424"/>
        <v>0</v>
      </c>
    </row>
    <row r="5434" spans="1:12" ht="15" customHeight="1" x14ac:dyDescent="0.3">
      <c r="A5434" s="23" t="s">
        <v>18908</v>
      </c>
      <c r="B5434" s="23" t="s">
        <v>75</v>
      </c>
      <c r="C5434" s="39">
        <v>1299</v>
      </c>
      <c r="D5434" s="24">
        <v>0</v>
      </c>
      <c r="E5434" s="24">
        <v>0</v>
      </c>
      <c r="F5434" s="23">
        <f>COUNTIFS(mdr_rate_cleaned!$A$2:$A$10,B5434,mdr_rate_cleaned!$B$2:$B$10,"&lt;"&amp;C5434,mdr_rate_cleaned!$F$2:$F$10,"&gt;="&amp;C5434)</f>
        <v>1</v>
      </c>
      <c r="G5434" s="40">
        <f>SUMIFS(mdr_rate_cleaned!$G$2:$G$10,mdr_rate_cleaned!$A$2:$A$10,B5434,mdr_rate_cleaned!$B$2:$B$10,"&lt;"&amp;C5434,mdr_rate_cleaned!$F$2:$F$10,"&gt;="&amp;C5434)</f>
        <v>0</v>
      </c>
      <c r="H5434" s="24">
        <f t="shared" si="420"/>
        <v>0</v>
      </c>
      <c r="I5434" s="23" t="str">
        <f t="shared" si="421"/>
        <v>Match</v>
      </c>
      <c r="J5434" s="23" t="str">
        <f t="shared" si="422"/>
        <v>Match</v>
      </c>
      <c r="K5434" s="24">
        <f t="shared" si="423"/>
        <v>0</v>
      </c>
      <c r="L5434" s="24">
        <f t="shared" si="424"/>
        <v>0</v>
      </c>
    </row>
    <row r="5435" spans="1:12" ht="15" customHeight="1" x14ac:dyDescent="0.3">
      <c r="A5435" s="23" t="s">
        <v>18910</v>
      </c>
      <c r="B5435" s="23" t="s">
        <v>81</v>
      </c>
      <c r="C5435" s="39">
        <v>11297</v>
      </c>
      <c r="D5435" s="24">
        <v>101.67</v>
      </c>
      <c r="E5435" s="24">
        <v>18.3</v>
      </c>
      <c r="F5435" s="23">
        <f>COUNTIFS(mdr_rate_cleaned!$A$2:$A$10,B5435,mdr_rate_cleaned!$B$2:$B$10,"&lt;"&amp;C5435,mdr_rate_cleaned!$F$2:$F$10,"&gt;="&amp;C5435)</f>
        <v>1</v>
      </c>
      <c r="G5435" s="40">
        <f>SUMIFS(mdr_rate_cleaned!$G$2:$G$10,mdr_rate_cleaned!$A$2:$A$10,B5435,mdr_rate_cleaned!$B$2:$B$10,"&lt;"&amp;C5435,mdr_rate_cleaned!$F$2:$F$10,"&gt;="&amp;C5435)</f>
        <v>9.0000000000000011E-3</v>
      </c>
      <c r="H5435" s="24">
        <f t="shared" si="420"/>
        <v>101.67</v>
      </c>
      <c r="I5435" s="23" t="str">
        <f t="shared" si="421"/>
        <v>Match</v>
      </c>
      <c r="J5435" s="23" t="str">
        <f t="shared" si="422"/>
        <v>Match</v>
      </c>
      <c r="K5435" s="24">
        <f t="shared" si="423"/>
        <v>18.3</v>
      </c>
      <c r="L5435" s="24">
        <f t="shared" si="424"/>
        <v>0</v>
      </c>
    </row>
    <row r="5436" spans="1:12" ht="15" customHeight="1" x14ac:dyDescent="0.3">
      <c r="A5436" s="23" t="s">
        <v>18911</v>
      </c>
      <c r="B5436" s="23" t="s">
        <v>75</v>
      </c>
      <c r="C5436" s="39">
        <v>898</v>
      </c>
      <c r="D5436" s="24">
        <v>0</v>
      </c>
      <c r="E5436" s="24">
        <v>0</v>
      </c>
      <c r="F5436" s="23">
        <f>COUNTIFS(mdr_rate_cleaned!$A$2:$A$10,B5436,mdr_rate_cleaned!$B$2:$B$10,"&lt;"&amp;C5436,mdr_rate_cleaned!$F$2:$F$10,"&gt;="&amp;C5436)</f>
        <v>1</v>
      </c>
      <c r="G5436" s="40">
        <f>SUMIFS(mdr_rate_cleaned!$G$2:$G$10,mdr_rate_cleaned!$A$2:$A$10,B5436,mdr_rate_cleaned!$B$2:$B$10,"&lt;"&amp;C5436,mdr_rate_cleaned!$F$2:$F$10,"&gt;="&amp;C5436)</f>
        <v>0</v>
      </c>
      <c r="H5436" s="24">
        <f t="shared" si="420"/>
        <v>0</v>
      </c>
      <c r="I5436" s="23" t="str">
        <f t="shared" si="421"/>
        <v>Match</v>
      </c>
      <c r="J5436" s="23" t="str">
        <f t="shared" si="422"/>
        <v>Match</v>
      </c>
      <c r="K5436" s="24">
        <f t="shared" si="423"/>
        <v>0</v>
      </c>
      <c r="L5436" s="24">
        <f t="shared" si="424"/>
        <v>0</v>
      </c>
    </row>
    <row r="5437" spans="1:12" ht="15" customHeight="1" x14ac:dyDescent="0.3">
      <c r="A5437" s="23" t="s">
        <v>18912</v>
      </c>
      <c r="B5437" s="23" t="s">
        <v>75</v>
      </c>
      <c r="C5437" s="39">
        <v>2498</v>
      </c>
      <c r="D5437" s="24">
        <v>7.49</v>
      </c>
      <c r="E5437" s="24">
        <v>1.35</v>
      </c>
      <c r="F5437" s="23">
        <f>COUNTIFS(mdr_rate_cleaned!$A$2:$A$10,B5437,mdr_rate_cleaned!$B$2:$B$10,"&lt;"&amp;C5437,mdr_rate_cleaned!$F$2:$F$10,"&gt;="&amp;C5437)</f>
        <v>1</v>
      </c>
      <c r="G5437" s="40">
        <f>SUMIFS(mdr_rate_cleaned!$G$2:$G$10,mdr_rate_cleaned!$A$2:$A$10,B5437,mdr_rate_cleaned!$B$2:$B$10,"&lt;"&amp;C5437,mdr_rate_cleaned!$F$2:$F$10,"&gt;="&amp;C5437)</f>
        <v>3.0000000000000001E-3</v>
      </c>
      <c r="H5437" s="24">
        <f t="shared" si="420"/>
        <v>7.49</v>
      </c>
      <c r="I5437" s="23" t="str">
        <f t="shared" si="421"/>
        <v>Match</v>
      </c>
      <c r="J5437" s="23" t="str">
        <f t="shared" si="422"/>
        <v>Match</v>
      </c>
      <c r="K5437" s="24">
        <f t="shared" si="423"/>
        <v>1.35</v>
      </c>
      <c r="L5437" s="24">
        <f t="shared" si="424"/>
        <v>0</v>
      </c>
    </row>
    <row r="5438" spans="1:12" ht="15" customHeight="1" x14ac:dyDescent="0.3">
      <c r="A5438" s="23" t="s">
        <v>18913</v>
      </c>
      <c r="B5438" s="23" t="s">
        <v>75</v>
      </c>
      <c r="C5438" s="39">
        <v>4798</v>
      </c>
      <c r="D5438" s="24">
        <v>14.39</v>
      </c>
      <c r="E5438" s="24">
        <v>2.59</v>
      </c>
      <c r="F5438" s="23">
        <f>COUNTIFS(mdr_rate_cleaned!$A$2:$A$10,B5438,mdr_rate_cleaned!$B$2:$B$10,"&lt;"&amp;C5438,mdr_rate_cleaned!$F$2:$F$10,"&gt;="&amp;C5438)</f>
        <v>1</v>
      </c>
      <c r="G5438" s="40">
        <f>SUMIFS(mdr_rate_cleaned!$G$2:$G$10,mdr_rate_cleaned!$A$2:$A$10,B5438,mdr_rate_cleaned!$B$2:$B$10,"&lt;"&amp;C5438,mdr_rate_cleaned!$F$2:$F$10,"&gt;="&amp;C5438)</f>
        <v>3.0000000000000001E-3</v>
      </c>
      <c r="H5438" s="24">
        <f t="shared" si="420"/>
        <v>14.39</v>
      </c>
      <c r="I5438" s="23" t="str">
        <f t="shared" si="421"/>
        <v>Match</v>
      </c>
      <c r="J5438" s="23" t="str">
        <f t="shared" si="422"/>
        <v>Match</v>
      </c>
      <c r="K5438" s="24">
        <f t="shared" si="423"/>
        <v>2.59</v>
      </c>
      <c r="L5438" s="24">
        <f t="shared" si="424"/>
        <v>0</v>
      </c>
    </row>
    <row r="5439" spans="1:12" ht="15" customHeight="1" x14ac:dyDescent="0.3">
      <c r="A5439" s="23" t="s">
        <v>18914</v>
      </c>
      <c r="B5439" s="23" t="s">
        <v>75</v>
      </c>
      <c r="C5439" s="39">
        <v>349</v>
      </c>
      <c r="D5439" s="24">
        <v>0</v>
      </c>
      <c r="E5439" s="24">
        <v>0</v>
      </c>
      <c r="F5439" s="23">
        <f>COUNTIFS(mdr_rate_cleaned!$A$2:$A$10,B5439,mdr_rate_cleaned!$B$2:$B$10,"&lt;"&amp;C5439,mdr_rate_cleaned!$F$2:$F$10,"&gt;="&amp;C5439)</f>
        <v>1</v>
      </c>
      <c r="G5439" s="40">
        <f>SUMIFS(mdr_rate_cleaned!$G$2:$G$10,mdr_rate_cleaned!$A$2:$A$10,B5439,mdr_rate_cleaned!$B$2:$B$10,"&lt;"&amp;C5439,mdr_rate_cleaned!$F$2:$F$10,"&gt;="&amp;C5439)</f>
        <v>0</v>
      </c>
      <c r="H5439" s="24">
        <f t="shared" si="420"/>
        <v>0</v>
      </c>
      <c r="I5439" s="23" t="str">
        <f t="shared" si="421"/>
        <v>Match</v>
      </c>
      <c r="J5439" s="23" t="str">
        <f t="shared" si="422"/>
        <v>Match</v>
      </c>
      <c r="K5439" s="24">
        <f t="shared" si="423"/>
        <v>0</v>
      </c>
      <c r="L5439" s="24">
        <f t="shared" si="424"/>
        <v>0</v>
      </c>
    </row>
    <row r="5440" spans="1:12" ht="15" customHeight="1" x14ac:dyDescent="0.3">
      <c r="A5440" s="23" t="s">
        <v>18915</v>
      </c>
      <c r="B5440" s="23" t="s">
        <v>75</v>
      </c>
      <c r="C5440" s="39">
        <v>1299</v>
      </c>
      <c r="D5440" s="24">
        <v>0</v>
      </c>
      <c r="E5440" s="24">
        <v>0</v>
      </c>
      <c r="F5440" s="23">
        <f>COUNTIFS(mdr_rate_cleaned!$A$2:$A$10,B5440,mdr_rate_cleaned!$B$2:$B$10,"&lt;"&amp;C5440,mdr_rate_cleaned!$F$2:$F$10,"&gt;="&amp;C5440)</f>
        <v>1</v>
      </c>
      <c r="G5440" s="40">
        <f>SUMIFS(mdr_rate_cleaned!$G$2:$G$10,mdr_rate_cleaned!$A$2:$A$10,B5440,mdr_rate_cleaned!$B$2:$B$10,"&lt;"&amp;C5440,mdr_rate_cleaned!$F$2:$F$10,"&gt;="&amp;C5440)</f>
        <v>0</v>
      </c>
      <c r="H5440" s="24">
        <f t="shared" si="420"/>
        <v>0</v>
      </c>
      <c r="I5440" s="23" t="str">
        <f t="shared" si="421"/>
        <v>Match</v>
      </c>
      <c r="J5440" s="23" t="str">
        <f t="shared" si="422"/>
        <v>Match</v>
      </c>
      <c r="K5440" s="24">
        <f t="shared" si="423"/>
        <v>0</v>
      </c>
      <c r="L5440" s="24">
        <f t="shared" si="424"/>
        <v>0</v>
      </c>
    </row>
    <row r="5441" spans="1:12" ht="15" customHeight="1" x14ac:dyDescent="0.3">
      <c r="A5441" s="23" t="s">
        <v>18916</v>
      </c>
      <c r="B5441" s="23" t="s">
        <v>75</v>
      </c>
      <c r="C5441" s="39">
        <v>2098</v>
      </c>
      <c r="D5441" s="24">
        <v>6.29</v>
      </c>
      <c r="E5441" s="24">
        <v>1.1299999999999999</v>
      </c>
      <c r="F5441" s="23">
        <f>COUNTIFS(mdr_rate_cleaned!$A$2:$A$10,B5441,mdr_rate_cleaned!$B$2:$B$10,"&lt;"&amp;C5441,mdr_rate_cleaned!$F$2:$F$10,"&gt;="&amp;C5441)</f>
        <v>1</v>
      </c>
      <c r="G5441" s="40">
        <f>SUMIFS(mdr_rate_cleaned!$G$2:$G$10,mdr_rate_cleaned!$A$2:$A$10,B5441,mdr_rate_cleaned!$B$2:$B$10,"&lt;"&amp;C5441,mdr_rate_cleaned!$F$2:$F$10,"&gt;="&amp;C5441)</f>
        <v>3.0000000000000001E-3</v>
      </c>
      <c r="H5441" s="24">
        <f t="shared" si="420"/>
        <v>6.29</v>
      </c>
      <c r="I5441" s="23" t="str">
        <f t="shared" si="421"/>
        <v>Match</v>
      </c>
      <c r="J5441" s="23" t="str">
        <f t="shared" si="422"/>
        <v>Match</v>
      </c>
      <c r="K5441" s="24">
        <f t="shared" si="423"/>
        <v>1.1299999999999999</v>
      </c>
      <c r="L5441" s="24">
        <f t="shared" si="424"/>
        <v>0</v>
      </c>
    </row>
    <row r="5442" spans="1:12" ht="15" customHeight="1" x14ac:dyDescent="0.3">
      <c r="A5442" s="23" t="s">
        <v>18918</v>
      </c>
      <c r="B5442" s="23" t="s">
        <v>81</v>
      </c>
      <c r="C5442" s="39">
        <v>299</v>
      </c>
      <c r="D5442" s="24">
        <v>4.49</v>
      </c>
      <c r="E5442" s="24">
        <v>0.81</v>
      </c>
      <c r="F5442" s="23">
        <f>COUNTIFS(mdr_rate_cleaned!$A$2:$A$10,B5442,mdr_rate_cleaned!$B$2:$B$10,"&lt;"&amp;C5442,mdr_rate_cleaned!$F$2:$F$10,"&gt;="&amp;C5442)</f>
        <v>1</v>
      </c>
      <c r="G5442" s="40">
        <f>SUMIFS(mdr_rate_cleaned!$G$2:$G$10,mdr_rate_cleaned!$A$2:$A$10,B5442,mdr_rate_cleaned!$B$2:$B$10,"&lt;"&amp;C5442,mdr_rate_cleaned!$F$2:$F$10,"&gt;="&amp;C5442)</f>
        <v>1.4999999999999999E-2</v>
      </c>
      <c r="H5442" s="24">
        <f t="shared" ref="H5442:H5500" si="425">ROUND(C5442*G5442,2)</f>
        <v>4.49</v>
      </c>
      <c r="I5442" s="23" t="str">
        <f t="shared" ref="I5442:I5500" si="426">IF(ROUND(D5442-H5442,2)=0,"Match","Differs")</f>
        <v>Match</v>
      </c>
      <c r="J5442" s="23" t="str">
        <f t="shared" ref="J5442:J5500" si="427">IF(ROUND(E5442-ROUND(D5442*0.18,2),2)=0,"Match","Differs")</f>
        <v>Match</v>
      </c>
      <c r="K5442" s="24">
        <f t="shared" ref="K5442:K5500" si="428">ROUND(H5442*0.18,2)</f>
        <v>0.81</v>
      </c>
      <c r="L5442" s="24">
        <f t="shared" ref="L5442:L5500" si="429">ROUND(D5442+E5442-H5442-K5442,2)</f>
        <v>0</v>
      </c>
    </row>
    <row r="5443" spans="1:12" ht="15" customHeight="1" x14ac:dyDescent="0.3">
      <c r="A5443" s="23" t="s">
        <v>18919</v>
      </c>
      <c r="B5443" s="23" t="s">
        <v>79</v>
      </c>
      <c r="C5443" s="39">
        <v>5348</v>
      </c>
      <c r="D5443" s="24">
        <v>85.57</v>
      </c>
      <c r="E5443" s="24">
        <v>15.4</v>
      </c>
      <c r="F5443" s="23">
        <f>COUNTIFS(mdr_rate_cleaned!$A$2:$A$10,B5443,mdr_rate_cleaned!$B$2:$B$10,"&lt;"&amp;C5443,mdr_rate_cleaned!$F$2:$F$10,"&gt;="&amp;C5443)</f>
        <v>1</v>
      </c>
      <c r="G5443" s="40">
        <f>SUMIFS(mdr_rate_cleaned!$G$2:$G$10,mdr_rate_cleaned!$A$2:$A$10,B5443,mdr_rate_cleaned!$B$2:$B$10,"&lt;"&amp;C5443,mdr_rate_cleaned!$F$2:$F$10,"&gt;="&amp;C5443)</f>
        <v>1.6E-2</v>
      </c>
      <c r="H5443" s="24">
        <f t="shared" si="425"/>
        <v>85.57</v>
      </c>
      <c r="I5443" s="23" t="str">
        <f t="shared" si="426"/>
        <v>Match</v>
      </c>
      <c r="J5443" s="23" t="str">
        <f t="shared" si="427"/>
        <v>Match</v>
      </c>
      <c r="K5443" s="24">
        <f t="shared" si="428"/>
        <v>15.4</v>
      </c>
      <c r="L5443" s="24">
        <f t="shared" si="429"/>
        <v>0</v>
      </c>
    </row>
    <row r="5444" spans="1:12" ht="15" customHeight="1" x14ac:dyDescent="0.3">
      <c r="A5444" s="23" t="s">
        <v>18920</v>
      </c>
      <c r="B5444" s="23" t="s">
        <v>77</v>
      </c>
      <c r="C5444" s="39">
        <v>1598</v>
      </c>
      <c r="D5444" s="24">
        <v>30.36</v>
      </c>
      <c r="E5444" s="24">
        <v>5.46</v>
      </c>
      <c r="F5444" s="23">
        <f>COUNTIFS(mdr_rate_cleaned!$A$2:$A$10,B5444,mdr_rate_cleaned!$B$2:$B$10,"&lt;"&amp;C5444,mdr_rate_cleaned!$F$2:$F$10,"&gt;="&amp;C5444)</f>
        <v>1</v>
      </c>
      <c r="G5444" s="40">
        <f>SUMIFS(mdr_rate_cleaned!$G$2:$G$10,mdr_rate_cleaned!$A$2:$A$10,B5444,mdr_rate_cleaned!$B$2:$B$10,"&lt;"&amp;C5444,mdr_rate_cleaned!$F$2:$F$10,"&gt;="&amp;C5444)</f>
        <v>1.9E-2</v>
      </c>
      <c r="H5444" s="24">
        <f t="shared" si="425"/>
        <v>30.36</v>
      </c>
      <c r="I5444" s="23" t="str">
        <f t="shared" si="426"/>
        <v>Match</v>
      </c>
      <c r="J5444" s="23" t="str">
        <f t="shared" si="427"/>
        <v>Match</v>
      </c>
      <c r="K5444" s="24">
        <f t="shared" si="428"/>
        <v>5.46</v>
      </c>
      <c r="L5444" s="24">
        <f t="shared" si="429"/>
        <v>0</v>
      </c>
    </row>
    <row r="5445" spans="1:12" ht="15" customHeight="1" x14ac:dyDescent="0.3">
      <c r="A5445" s="23" t="s">
        <v>18922</v>
      </c>
      <c r="B5445" s="23" t="s">
        <v>75</v>
      </c>
      <c r="C5445" s="39">
        <v>4999</v>
      </c>
      <c r="D5445" s="24">
        <v>15</v>
      </c>
      <c r="E5445" s="24">
        <v>2.7</v>
      </c>
      <c r="F5445" s="23">
        <f>COUNTIFS(mdr_rate_cleaned!$A$2:$A$10,B5445,mdr_rate_cleaned!$B$2:$B$10,"&lt;"&amp;C5445,mdr_rate_cleaned!$F$2:$F$10,"&gt;="&amp;C5445)</f>
        <v>1</v>
      </c>
      <c r="G5445" s="40">
        <f>SUMIFS(mdr_rate_cleaned!$G$2:$G$10,mdr_rate_cleaned!$A$2:$A$10,B5445,mdr_rate_cleaned!$B$2:$B$10,"&lt;"&amp;C5445,mdr_rate_cleaned!$F$2:$F$10,"&gt;="&amp;C5445)</f>
        <v>3.0000000000000001E-3</v>
      </c>
      <c r="H5445" s="24">
        <f t="shared" si="425"/>
        <v>15</v>
      </c>
      <c r="I5445" s="23" t="str">
        <f t="shared" si="426"/>
        <v>Match</v>
      </c>
      <c r="J5445" s="23" t="str">
        <f t="shared" si="427"/>
        <v>Match</v>
      </c>
      <c r="K5445" s="24">
        <f t="shared" si="428"/>
        <v>2.7</v>
      </c>
      <c r="L5445" s="24">
        <f t="shared" si="429"/>
        <v>0</v>
      </c>
    </row>
    <row r="5446" spans="1:12" ht="15" customHeight="1" x14ac:dyDescent="0.3">
      <c r="A5446" s="23" t="s">
        <v>18923</v>
      </c>
      <c r="B5446" s="23" t="s">
        <v>77</v>
      </c>
      <c r="C5446" s="39">
        <v>7999</v>
      </c>
      <c r="D5446" s="24">
        <v>135.97999999999999</v>
      </c>
      <c r="E5446" s="24">
        <v>24.48</v>
      </c>
      <c r="F5446" s="23">
        <f>COUNTIFS(mdr_rate_cleaned!$A$2:$A$10,B5446,mdr_rate_cleaned!$B$2:$B$10,"&lt;"&amp;C5446,mdr_rate_cleaned!$F$2:$F$10,"&gt;="&amp;C5446)</f>
        <v>1</v>
      </c>
      <c r="G5446" s="40">
        <f>SUMIFS(mdr_rate_cleaned!$G$2:$G$10,mdr_rate_cleaned!$A$2:$A$10,B5446,mdr_rate_cleaned!$B$2:$B$10,"&lt;"&amp;C5446,mdr_rate_cleaned!$F$2:$F$10,"&gt;="&amp;C5446)</f>
        <v>1.7000000000000001E-2</v>
      </c>
      <c r="H5446" s="24">
        <f t="shared" si="425"/>
        <v>135.97999999999999</v>
      </c>
      <c r="I5446" s="23" t="str">
        <f t="shared" si="426"/>
        <v>Match</v>
      </c>
      <c r="J5446" s="23" t="str">
        <f t="shared" si="427"/>
        <v>Match</v>
      </c>
      <c r="K5446" s="24">
        <f t="shared" si="428"/>
        <v>24.48</v>
      </c>
      <c r="L5446" s="24">
        <f t="shared" si="429"/>
        <v>0</v>
      </c>
    </row>
    <row r="5447" spans="1:12" ht="15" customHeight="1" x14ac:dyDescent="0.3">
      <c r="A5447" s="23" t="s">
        <v>18924</v>
      </c>
      <c r="B5447" s="23" t="s">
        <v>79</v>
      </c>
      <c r="C5447" s="39">
        <v>3499</v>
      </c>
      <c r="D5447" s="24">
        <v>55.98</v>
      </c>
      <c r="E5447" s="24">
        <v>10.08</v>
      </c>
      <c r="F5447" s="23">
        <f>COUNTIFS(mdr_rate_cleaned!$A$2:$A$10,B5447,mdr_rate_cleaned!$B$2:$B$10,"&lt;"&amp;C5447,mdr_rate_cleaned!$F$2:$F$10,"&gt;="&amp;C5447)</f>
        <v>1</v>
      </c>
      <c r="G5447" s="40">
        <f>SUMIFS(mdr_rate_cleaned!$G$2:$G$10,mdr_rate_cleaned!$A$2:$A$10,B5447,mdr_rate_cleaned!$B$2:$B$10,"&lt;"&amp;C5447,mdr_rate_cleaned!$F$2:$F$10,"&gt;="&amp;C5447)</f>
        <v>1.6E-2</v>
      </c>
      <c r="H5447" s="24">
        <f t="shared" si="425"/>
        <v>55.98</v>
      </c>
      <c r="I5447" s="23" t="str">
        <f t="shared" si="426"/>
        <v>Match</v>
      </c>
      <c r="J5447" s="23" t="str">
        <f t="shared" si="427"/>
        <v>Match</v>
      </c>
      <c r="K5447" s="24">
        <f t="shared" si="428"/>
        <v>10.08</v>
      </c>
      <c r="L5447" s="24">
        <f t="shared" si="429"/>
        <v>0</v>
      </c>
    </row>
    <row r="5448" spans="1:12" ht="15" customHeight="1" x14ac:dyDescent="0.3">
      <c r="A5448" s="23" t="s">
        <v>18925</v>
      </c>
      <c r="B5448" s="23" t="s">
        <v>75</v>
      </c>
      <c r="C5448" s="39">
        <v>7397</v>
      </c>
      <c r="D5448" s="24">
        <v>22.19</v>
      </c>
      <c r="E5448" s="24">
        <v>3.99</v>
      </c>
      <c r="F5448" s="23">
        <f>COUNTIFS(mdr_rate_cleaned!$A$2:$A$10,B5448,mdr_rate_cleaned!$B$2:$B$10,"&lt;"&amp;C5448,mdr_rate_cleaned!$F$2:$F$10,"&gt;="&amp;C5448)</f>
        <v>1</v>
      </c>
      <c r="G5448" s="40">
        <f>SUMIFS(mdr_rate_cleaned!$G$2:$G$10,mdr_rate_cleaned!$A$2:$A$10,B5448,mdr_rate_cleaned!$B$2:$B$10,"&lt;"&amp;C5448,mdr_rate_cleaned!$F$2:$F$10,"&gt;="&amp;C5448)</f>
        <v>3.0000000000000001E-3</v>
      </c>
      <c r="H5448" s="24">
        <f t="shared" si="425"/>
        <v>22.19</v>
      </c>
      <c r="I5448" s="23" t="str">
        <f t="shared" si="426"/>
        <v>Match</v>
      </c>
      <c r="J5448" s="23" t="str">
        <f t="shared" si="427"/>
        <v>Match</v>
      </c>
      <c r="K5448" s="24">
        <f t="shared" si="428"/>
        <v>3.99</v>
      </c>
      <c r="L5448" s="24">
        <f t="shared" si="429"/>
        <v>0</v>
      </c>
    </row>
    <row r="5449" spans="1:12" ht="15" customHeight="1" x14ac:dyDescent="0.3">
      <c r="A5449" s="23" t="s">
        <v>18926</v>
      </c>
      <c r="B5449" s="23" t="s">
        <v>75</v>
      </c>
      <c r="C5449" s="39">
        <v>8797</v>
      </c>
      <c r="D5449" s="24">
        <v>26.39</v>
      </c>
      <c r="E5449" s="24">
        <v>4.75</v>
      </c>
      <c r="F5449" s="23">
        <f>COUNTIFS(mdr_rate_cleaned!$A$2:$A$10,B5449,mdr_rate_cleaned!$B$2:$B$10,"&lt;"&amp;C5449,mdr_rate_cleaned!$F$2:$F$10,"&gt;="&amp;C5449)</f>
        <v>1</v>
      </c>
      <c r="G5449" s="40">
        <f>SUMIFS(mdr_rate_cleaned!$G$2:$G$10,mdr_rate_cleaned!$A$2:$A$10,B5449,mdr_rate_cleaned!$B$2:$B$10,"&lt;"&amp;C5449,mdr_rate_cleaned!$F$2:$F$10,"&gt;="&amp;C5449)</f>
        <v>3.0000000000000001E-3</v>
      </c>
      <c r="H5449" s="24">
        <f t="shared" si="425"/>
        <v>26.39</v>
      </c>
      <c r="I5449" s="23" t="str">
        <f t="shared" si="426"/>
        <v>Match</v>
      </c>
      <c r="J5449" s="23" t="str">
        <f t="shared" si="427"/>
        <v>Match</v>
      </c>
      <c r="K5449" s="24">
        <f t="shared" si="428"/>
        <v>4.75</v>
      </c>
      <c r="L5449" s="24">
        <f t="shared" si="429"/>
        <v>0</v>
      </c>
    </row>
    <row r="5450" spans="1:12" ht="15" customHeight="1" x14ac:dyDescent="0.3">
      <c r="A5450" s="23" t="s">
        <v>18927</v>
      </c>
      <c r="B5450" s="23" t="s">
        <v>81</v>
      </c>
      <c r="C5450" s="39">
        <v>4797</v>
      </c>
      <c r="D5450" s="24">
        <v>57.56</v>
      </c>
      <c r="E5450" s="24">
        <v>10.36</v>
      </c>
      <c r="F5450" s="23">
        <f>COUNTIFS(mdr_rate_cleaned!$A$2:$A$10,B5450,mdr_rate_cleaned!$B$2:$B$10,"&lt;"&amp;C5450,mdr_rate_cleaned!$F$2:$F$10,"&gt;="&amp;C5450)</f>
        <v>1</v>
      </c>
      <c r="G5450" s="40">
        <f>SUMIFS(mdr_rate_cleaned!$G$2:$G$10,mdr_rate_cleaned!$A$2:$A$10,B5450,mdr_rate_cleaned!$B$2:$B$10,"&lt;"&amp;C5450,mdr_rate_cleaned!$F$2:$F$10,"&gt;="&amp;C5450)</f>
        <v>1.2E-2</v>
      </c>
      <c r="H5450" s="24">
        <f t="shared" si="425"/>
        <v>57.56</v>
      </c>
      <c r="I5450" s="23" t="str">
        <f t="shared" si="426"/>
        <v>Match</v>
      </c>
      <c r="J5450" s="23" t="str">
        <f t="shared" si="427"/>
        <v>Match</v>
      </c>
      <c r="K5450" s="24">
        <f t="shared" si="428"/>
        <v>10.36</v>
      </c>
      <c r="L5450" s="24">
        <f t="shared" si="429"/>
        <v>0</v>
      </c>
    </row>
    <row r="5451" spans="1:12" ht="15" customHeight="1" x14ac:dyDescent="0.3">
      <c r="A5451" s="23" t="s">
        <v>18928</v>
      </c>
      <c r="B5451" s="23" t="s">
        <v>79</v>
      </c>
      <c r="C5451" s="39">
        <v>4498</v>
      </c>
      <c r="D5451" s="24">
        <v>71.97</v>
      </c>
      <c r="E5451" s="24">
        <v>12.95</v>
      </c>
      <c r="F5451" s="23">
        <f>COUNTIFS(mdr_rate_cleaned!$A$2:$A$10,B5451,mdr_rate_cleaned!$B$2:$B$10,"&lt;"&amp;C5451,mdr_rate_cleaned!$F$2:$F$10,"&gt;="&amp;C5451)</f>
        <v>1</v>
      </c>
      <c r="G5451" s="40">
        <f>SUMIFS(mdr_rate_cleaned!$G$2:$G$10,mdr_rate_cleaned!$A$2:$A$10,B5451,mdr_rate_cleaned!$B$2:$B$10,"&lt;"&amp;C5451,mdr_rate_cleaned!$F$2:$F$10,"&gt;="&amp;C5451)</f>
        <v>1.6E-2</v>
      </c>
      <c r="H5451" s="24">
        <f t="shared" si="425"/>
        <v>71.97</v>
      </c>
      <c r="I5451" s="23" t="str">
        <f t="shared" si="426"/>
        <v>Match</v>
      </c>
      <c r="J5451" s="23" t="str">
        <f t="shared" si="427"/>
        <v>Match</v>
      </c>
      <c r="K5451" s="24">
        <f t="shared" si="428"/>
        <v>12.95</v>
      </c>
      <c r="L5451" s="24">
        <f t="shared" si="429"/>
        <v>0</v>
      </c>
    </row>
    <row r="5452" spans="1:12" ht="15" customHeight="1" x14ac:dyDescent="0.3">
      <c r="A5452" s="23" t="s">
        <v>18929</v>
      </c>
      <c r="B5452" s="23" t="s">
        <v>75</v>
      </c>
      <c r="C5452" s="39">
        <v>5998</v>
      </c>
      <c r="D5452" s="24">
        <v>17.989999999999998</v>
      </c>
      <c r="E5452" s="24">
        <v>3.24</v>
      </c>
      <c r="F5452" s="23">
        <f>COUNTIFS(mdr_rate_cleaned!$A$2:$A$10,B5452,mdr_rate_cleaned!$B$2:$B$10,"&lt;"&amp;C5452,mdr_rate_cleaned!$F$2:$F$10,"&gt;="&amp;C5452)</f>
        <v>1</v>
      </c>
      <c r="G5452" s="40">
        <f>SUMIFS(mdr_rate_cleaned!$G$2:$G$10,mdr_rate_cleaned!$A$2:$A$10,B5452,mdr_rate_cleaned!$B$2:$B$10,"&lt;"&amp;C5452,mdr_rate_cleaned!$F$2:$F$10,"&gt;="&amp;C5452)</f>
        <v>3.0000000000000001E-3</v>
      </c>
      <c r="H5452" s="24">
        <f t="shared" si="425"/>
        <v>17.989999999999998</v>
      </c>
      <c r="I5452" s="23" t="str">
        <f t="shared" si="426"/>
        <v>Match</v>
      </c>
      <c r="J5452" s="23" t="str">
        <f t="shared" si="427"/>
        <v>Match</v>
      </c>
      <c r="K5452" s="24">
        <f t="shared" si="428"/>
        <v>3.24</v>
      </c>
      <c r="L5452" s="24">
        <f t="shared" si="429"/>
        <v>0</v>
      </c>
    </row>
    <row r="5453" spans="1:12" ht="15" customHeight="1" x14ac:dyDescent="0.3">
      <c r="A5453" s="23" t="s">
        <v>18931</v>
      </c>
      <c r="B5453" s="23" t="s">
        <v>75</v>
      </c>
      <c r="C5453" s="39">
        <v>5597</v>
      </c>
      <c r="D5453" s="24">
        <v>16.79</v>
      </c>
      <c r="E5453" s="24">
        <v>3.02</v>
      </c>
      <c r="F5453" s="23">
        <f>COUNTIFS(mdr_rate_cleaned!$A$2:$A$10,B5453,mdr_rate_cleaned!$B$2:$B$10,"&lt;"&amp;C5453,mdr_rate_cleaned!$F$2:$F$10,"&gt;="&amp;C5453)</f>
        <v>1</v>
      </c>
      <c r="G5453" s="40">
        <f>SUMIFS(mdr_rate_cleaned!$G$2:$G$10,mdr_rate_cleaned!$A$2:$A$10,B5453,mdr_rate_cleaned!$B$2:$B$10,"&lt;"&amp;C5453,mdr_rate_cleaned!$F$2:$F$10,"&gt;="&amp;C5453)</f>
        <v>3.0000000000000001E-3</v>
      </c>
      <c r="H5453" s="24">
        <f t="shared" si="425"/>
        <v>16.79</v>
      </c>
      <c r="I5453" s="23" t="str">
        <f t="shared" si="426"/>
        <v>Match</v>
      </c>
      <c r="J5453" s="23" t="str">
        <f t="shared" si="427"/>
        <v>Match</v>
      </c>
      <c r="K5453" s="24">
        <f t="shared" si="428"/>
        <v>3.02</v>
      </c>
      <c r="L5453" s="24">
        <f t="shared" si="429"/>
        <v>0</v>
      </c>
    </row>
    <row r="5454" spans="1:12" ht="15" customHeight="1" x14ac:dyDescent="0.3">
      <c r="A5454" s="23" t="s">
        <v>18932</v>
      </c>
      <c r="B5454" s="23" t="s">
        <v>75</v>
      </c>
      <c r="C5454" s="39">
        <v>12297</v>
      </c>
      <c r="D5454" s="24">
        <v>36.89</v>
      </c>
      <c r="E5454" s="24">
        <v>6.64</v>
      </c>
      <c r="F5454" s="23">
        <f>COUNTIFS(mdr_rate_cleaned!$A$2:$A$10,B5454,mdr_rate_cleaned!$B$2:$B$10,"&lt;"&amp;C5454,mdr_rate_cleaned!$F$2:$F$10,"&gt;="&amp;C5454)</f>
        <v>1</v>
      </c>
      <c r="G5454" s="40">
        <f>SUMIFS(mdr_rate_cleaned!$G$2:$G$10,mdr_rate_cleaned!$A$2:$A$10,B5454,mdr_rate_cleaned!$B$2:$B$10,"&lt;"&amp;C5454,mdr_rate_cleaned!$F$2:$F$10,"&gt;="&amp;C5454)</f>
        <v>3.0000000000000001E-3</v>
      </c>
      <c r="H5454" s="24">
        <f t="shared" si="425"/>
        <v>36.89</v>
      </c>
      <c r="I5454" s="23" t="str">
        <f t="shared" si="426"/>
        <v>Match</v>
      </c>
      <c r="J5454" s="23" t="str">
        <f t="shared" si="427"/>
        <v>Match</v>
      </c>
      <c r="K5454" s="24">
        <f t="shared" si="428"/>
        <v>6.64</v>
      </c>
      <c r="L5454" s="24">
        <f t="shared" si="429"/>
        <v>0</v>
      </c>
    </row>
    <row r="5455" spans="1:12" ht="15" customHeight="1" x14ac:dyDescent="0.3">
      <c r="A5455" s="23" t="s">
        <v>18934</v>
      </c>
      <c r="B5455" s="23" t="s">
        <v>75</v>
      </c>
      <c r="C5455" s="39">
        <v>3499</v>
      </c>
      <c r="D5455" s="24">
        <v>10.5</v>
      </c>
      <c r="E5455" s="24">
        <v>1.89</v>
      </c>
      <c r="F5455" s="23">
        <f>COUNTIFS(mdr_rate_cleaned!$A$2:$A$10,B5455,mdr_rate_cleaned!$B$2:$B$10,"&lt;"&amp;C5455,mdr_rate_cleaned!$F$2:$F$10,"&gt;="&amp;C5455)</f>
        <v>1</v>
      </c>
      <c r="G5455" s="40">
        <f>SUMIFS(mdr_rate_cleaned!$G$2:$G$10,mdr_rate_cleaned!$A$2:$A$10,B5455,mdr_rate_cleaned!$B$2:$B$10,"&lt;"&amp;C5455,mdr_rate_cleaned!$F$2:$F$10,"&gt;="&amp;C5455)</f>
        <v>3.0000000000000001E-3</v>
      </c>
      <c r="H5455" s="24">
        <f t="shared" si="425"/>
        <v>10.5</v>
      </c>
      <c r="I5455" s="23" t="str">
        <f t="shared" si="426"/>
        <v>Match</v>
      </c>
      <c r="J5455" s="23" t="str">
        <f t="shared" si="427"/>
        <v>Match</v>
      </c>
      <c r="K5455" s="24">
        <f t="shared" si="428"/>
        <v>1.89</v>
      </c>
      <c r="L5455" s="24">
        <f t="shared" si="429"/>
        <v>0</v>
      </c>
    </row>
    <row r="5456" spans="1:12" ht="15" customHeight="1" x14ac:dyDescent="0.3">
      <c r="A5456" s="23" t="s">
        <v>18935</v>
      </c>
      <c r="B5456" s="23" t="s">
        <v>75</v>
      </c>
      <c r="C5456" s="39">
        <v>1198</v>
      </c>
      <c r="D5456" s="24">
        <v>0</v>
      </c>
      <c r="E5456" s="24">
        <v>0</v>
      </c>
      <c r="F5456" s="23">
        <f>COUNTIFS(mdr_rate_cleaned!$A$2:$A$10,B5456,mdr_rate_cleaned!$B$2:$B$10,"&lt;"&amp;C5456,mdr_rate_cleaned!$F$2:$F$10,"&gt;="&amp;C5456)</f>
        <v>1</v>
      </c>
      <c r="G5456" s="40">
        <f>SUMIFS(mdr_rate_cleaned!$G$2:$G$10,mdr_rate_cleaned!$A$2:$A$10,B5456,mdr_rate_cleaned!$B$2:$B$10,"&lt;"&amp;C5456,mdr_rate_cleaned!$F$2:$F$10,"&gt;="&amp;C5456)</f>
        <v>0</v>
      </c>
      <c r="H5456" s="24">
        <f t="shared" si="425"/>
        <v>0</v>
      </c>
      <c r="I5456" s="23" t="str">
        <f t="shared" si="426"/>
        <v>Match</v>
      </c>
      <c r="J5456" s="23" t="str">
        <f t="shared" si="427"/>
        <v>Match</v>
      </c>
      <c r="K5456" s="24">
        <f t="shared" si="428"/>
        <v>0</v>
      </c>
      <c r="L5456" s="24">
        <f t="shared" si="429"/>
        <v>0</v>
      </c>
    </row>
    <row r="5457" spans="1:12" ht="15" customHeight="1" x14ac:dyDescent="0.3">
      <c r="A5457" s="23" t="s">
        <v>18936</v>
      </c>
      <c r="B5457" s="23" t="s">
        <v>77</v>
      </c>
      <c r="C5457" s="39">
        <v>799</v>
      </c>
      <c r="D5457" s="24">
        <v>15.18</v>
      </c>
      <c r="E5457" s="24">
        <v>2.73</v>
      </c>
      <c r="F5457" s="23">
        <f>COUNTIFS(mdr_rate_cleaned!$A$2:$A$10,B5457,mdr_rate_cleaned!$B$2:$B$10,"&lt;"&amp;C5457,mdr_rate_cleaned!$F$2:$F$10,"&gt;="&amp;C5457)</f>
        <v>1</v>
      </c>
      <c r="G5457" s="40">
        <f>SUMIFS(mdr_rate_cleaned!$G$2:$G$10,mdr_rate_cleaned!$A$2:$A$10,B5457,mdr_rate_cleaned!$B$2:$B$10,"&lt;"&amp;C5457,mdr_rate_cleaned!$F$2:$F$10,"&gt;="&amp;C5457)</f>
        <v>1.9E-2</v>
      </c>
      <c r="H5457" s="24">
        <f t="shared" si="425"/>
        <v>15.18</v>
      </c>
      <c r="I5457" s="23" t="str">
        <f t="shared" si="426"/>
        <v>Match</v>
      </c>
      <c r="J5457" s="23" t="str">
        <f t="shared" si="427"/>
        <v>Match</v>
      </c>
      <c r="K5457" s="24">
        <f t="shared" si="428"/>
        <v>2.73</v>
      </c>
      <c r="L5457" s="24">
        <f t="shared" si="429"/>
        <v>0</v>
      </c>
    </row>
    <row r="5458" spans="1:12" ht="15" customHeight="1" x14ac:dyDescent="0.3">
      <c r="A5458" s="23" t="s">
        <v>18937</v>
      </c>
      <c r="B5458" s="23" t="s">
        <v>77</v>
      </c>
      <c r="C5458" s="39">
        <v>999</v>
      </c>
      <c r="D5458" s="24">
        <v>18.98</v>
      </c>
      <c r="E5458" s="24">
        <v>3.42</v>
      </c>
      <c r="F5458" s="23">
        <f>COUNTIFS(mdr_rate_cleaned!$A$2:$A$10,B5458,mdr_rate_cleaned!$B$2:$B$10,"&lt;"&amp;C5458,mdr_rate_cleaned!$F$2:$F$10,"&gt;="&amp;C5458)</f>
        <v>1</v>
      </c>
      <c r="G5458" s="40">
        <f>SUMIFS(mdr_rate_cleaned!$G$2:$G$10,mdr_rate_cleaned!$A$2:$A$10,B5458,mdr_rate_cleaned!$B$2:$B$10,"&lt;"&amp;C5458,mdr_rate_cleaned!$F$2:$F$10,"&gt;="&amp;C5458)</f>
        <v>1.9E-2</v>
      </c>
      <c r="H5458" s="24">
        <f t="shared" si="425"/>
        <v>18.98</v>
      </c>
      <c r="I5458" s="23" t="str">
        <f t="shared" si="426"/>
        <v>Match</v>
      </c>
      <c r="J5458" s="23" t="str">
        <f t="shared" si="427"/>
        <v>Match</v>
      </c>
      <c r="K5458" s="24">
        <f t="shared" si="428"/>
        <v>3.42</v>
      </c>
      <c r="L5458" s="24">
        <f t="shared" si="429"/>
        <v>0</v>
      </c>
    </row>
    <row r="5459" spans="1:12" ht="15" customHeight="1" x14ac:dyDescent="0.3">
      <c r="A5459" s="23" t="s">
        <v>18939</v>
      </c>
      <c r="B5459" s="23" t="s">
        <v>75</v>
      </c>
      <c r="C5459" s="39">
        <v>3298</v>
      </c>
      <c r="D5459" s="24">
        <v>9.89</v>
      </c>
      <c r="E5459" s="24">
        <v>1.78</v>
      </c>
      <c r="F5459" s="23">
        <f>COUNTIFS(mdr_rate_cleaned!$A$2:$A$10,B5459,mdr_rate_cleaned!$B$2:$B$10,"&lt;"&amp;C5459,mdr_rate_cleaned!$F$2:$F$10,"&gt;="&amp;C5459)</f>
        <v>1</v>
      </c>
      <c r="G5459" s="40">
        <f>SUMIFS(mdr_rate_cleaned!$G$2:$G$10,mdr_rate_cleaned!$A$2:$A$10,B5459,mdr_rate_cleaned!$B$2:$B$10,"&lt;"&amp;C5459,mdr_rate_cleaned!$F$2:$F$10,"&gt;="&amp;C5459)</f>
        <v>3.0000000000000001E-3</v>
      </c>
      <c r="H5459" s="24">
        <f t="shared" si="425"/>
        <v>9.89</v>
      </c>
      <c r="I5459" s="23" t="str">
        <f t="shared" si="426"/>
        <v>Match</v>
      </c>
      <c r="J5459" s="23" t="str">
        <f t="shared" si="427"/>
        <v>Match</v>
      </c>
      <c r="K5459" s="24">
        <f t="shared" si="428"/>
        <v>1.78</v>
      </c>
      <c r="L5459" s="24">
        <f t="shared" si="429"/>
        <v>0</v>
      </c>
    </row>
    <row r="5460" spans="1:12" ht="15" customHeight="1" x14ac:dyDescent="0.3">
      <c r="A5460" s="23" t="s">
        <v>18940</v>
      </c>
      <c r="B5460" s="23" t="s">
        <v>75</v>
      </c>
      <c r="C5460" s="39">
        <v>2999</v>
      </c>
      <c r="D5460" s="24">
        <v>9</v>
      </c>
      <c r="E5460" s="24">
        <v>1.62</v>
      </c>
      <c r="F5460" s="23">
        <f>COUNTIFS(mdr_rate_cleaned!$A$2:$A$10,B5460,mdr_rate_cleaned!$B$2:$B$10,"&lt;"&amp;C5460,mdr_rate_cleaned!$F$2:$F$10,"&gt;="&amp;C5460)</f>
        <v>1</v>
      </c>
      <c r="G5460" s="40">
        <f>SUMIFS(mdr_rate_cleaned!$G$2:$G$10,mdr_rate_cleaned!$A$2:$A$10,B5460,mdr_rate_cleaned!$B$2:$B$10,"&lt;"&amp;C5460,mdr_rate_cleaned!$F$2:$F$10,"&gt;="&amp;C5460)</f>
        <v>3.0000000000000001E-3</v>
      </c>
      <c r="H5460" s="24">
        <f t="shared" si="425"/>
        <v>9</v>
      </c>
      <c r="I5460" s="23" t="str">
        <f t="shared" si="426"/>
        <v>Match</v>
      </c>
      <c r="J5460" s="23" t="str">
        <f t="shared" si="427"/>
        <v>Match</v>
      </c>
      <c r="K5460" s="24">
        <f t="shared" si="428"/>
        <v>1.62</v>
      </c>
      <c r="L5460" s="24">
        <f t="shared" si="429"/>
        <v>0</v>
      </c>
    </row>
    <row r="5461" spans="1:12" ht="15" customHeight="1" x14ac:dyDescent="0.3">
      <c r="A5461" s="23" t="s">
        <v>18941</v>
      </c>
      <c r="B5461" s="23" t="s">
        <v>75</v>
      </c>
      <c r="C5461" s="39">
        <v>13997</v>
      </c>
      <c r="D5461" s="24">
        <v>41.99</v>
      </c>
      <c r="E5461" s="24">
        <v>7.56</v>
      </c>
      <c r="F5461" s="23">
        <f>COUNTIFS(mdr_rate_cleaned!$A$2:$A$10,B5461,mdr_rate_cleaned!$B$2:$B$10,"&lt;"&amp;C5461,mdr_rate_cleaned!$F$2:$F$10,"&gt;="&amp;C5461)</f>
        <v>1</v>
      </c>
      <c r="G5461" s="40">
        <f>SUMIFS(mdr_rate_cleaned!$G$2:$G$10,mdr_rate_cleaned!$A$2:$A$10,B5461,mdr_rate_cleaned!$B$2:$B$10,"&lt;"&amp;C5461,mdr_rate_cleaned!$F$2:$F$10,"&gt;="&amp;C5461)</f>
        <v>3.0000000000000001E-3</v>
      </c>
      <c r="H5461" s="24">
        <f t="shared" si="425"/>
        <v>41.99</v>
      </c>
      <c r="I5461" s="23" t="str">
        <f t="shared" si="426"/>
        <v>Match</v>
      </c>
      <c r="J5461" s="23" t="str">
        <f t="shared" si="427"/>
        <v>Match</v>
      </c>
      <c r="K5461" s="24">
        <f t="shared" si="428"/>
        <v>7.56</v>
      </c>
      <c r="L5461" s="24">
        <f t="shared" si="429"/>
        <v>0</v>
      </c>
    </row>
    <row r="5462" spans="1:12" ht="15" customHeight="1" x14ac:dyDescent="0.3">
      <c r="A5462" s="23" t="s">
        <v>18943</v>
      </c>
      <c r="B5462" s="23" t="s">
        <v>75</v>
      </c>
      <c r="C5462" s="39">
        <v>3798</v>
      </c>
      <c r="D5462" s="24">
        <v>11.39</v>
      </c>
      <c r="E5462" s="24">
        <v>2.0499999999999998</v>
      </c>
      <c r="F5462" s="23">
        <f>COUNTIFS(mdr_rate_cleaned!$A$2:$A$10,B5462,mdr_rate_cleaned!$B$2:$B$10,"&lt;"&amp;C5462,mdr_rate_cleaned!$F$2:$F$10,"&gt;="&amp;C5462)</f>
        <v>1</v>
      </c>
      <c r="G5462" s="40">
        <f>SUMIFS(mdr_rate_cleaned!$G$2:$G$10,mdr_rate_cleaned!$A$2:$A$10,B5462,mdr_rate_cleaned!$B$2:$B$10,"&lt;"&amp;C5462,mdr_rate_cleaned!$F$2:$F$10,"&gt;="&amp;C5462)</f>
        <v>3.0000000000000001E-3</v>
      </c>
      <c r="H5462" s="24">
        <f t="shared" si="425"/>
        <v>11.39</v>
      </c>
      <c r="I5462" s="23" t="str">
        <f t="shared" si="426"/>
        <v>Match</v>
      </c>
      <c r="J5462" s="23" t="str">
        <f t="shared" si="427"/>
        <v>Match</v>
      </c>
      <c r="K5462" s="24">
        <f t="shared" si="428"/>
        <v>2.0499999999999998</v>
      </c>
      <c r="L5462" s="24">
        <f t="shared" si="429"/>
        <v>0</v>
      </c>
    </row>
    <row r="5463" spans="1:12" ht="15" customHeight="1" x14ac:dyDescent="0.3">
      <c r="A5463" s="23" t="s">
        <v>18944</v>
      </c>
      <c r="B5463" s="23" t="s">
        <v>79</v>
      </c>
      <c r="C5463" s="39">
        <v>4999</v>
      </c>
      <c r="D5463" s="24">
        <v>79.98</v>
      </c>
      <c r="E5463" s="24">
        <v>14.4</v>
      </c>
      <c r="F5463" s="23">
        <f>COUNTIFS(mdr_rate_cleaned!$A$2:$A$10,B5463,mdr_rate_cleaned!$B$2:$B$10,"&lt;"&amp;C5463,mdr_rate_cleaned!$F$2:$F$10,"&gt;="&amp;C5463)</f>
        <v>1</v>
      </c>
      <c r="G5463" s="40">
        <f>SUMIFS(mdr_rate_cleaned!$G$2:$G$10,mdr_rate_cleaned!$A$2:$A$10,B5463,mdr_rate_cleaned!$B$2:$B$10,"&lt;"&amp;C5463,mdr_rate_cleaned!$F$2:$F$10,"&gt;="&amp;C5463)</f>
        <v>1.6E-2</v>
      </c>
      <c r="H5463" s="24">
        <f t="shared" si="425"/>
        <v>79.98</v>
      </c>
      <c r="I5463" s="23" t="str">
        <f t="shared" si="426"/>
        <v>Match</v>
      </c>
      <c r="J5463" s="23" t="str">
        <f t="shared" si="427"/>
        <v>Match</v>
      </c>
      <c r="K5463" s="24">
        <f t="shared" si="428"/>
        <v>14.4</v>
      </c>
      <c r="L5463" s="24">
        <f t="shared" si="429"/>
        <v>0</v>
      </c>
    </row>
    <row r="5464" spans="1:12" ht="15" customHeight="1" x14ac:dyDescent="0.3">
      <c r="A5464" s="23" t="s">
        <v>18945</v>
      </c>
      <c r="B5464" s="23" t="s">
        <v>79</v>
      </c>
      <c r="C5464" s="39">
        <v>1298</v>
      </c>
      <c r="D5464" s="24">
        <v>23.36</v>
      </c>
      <c r="E5464" s="24">
        <v>4.2</v>
      </c>
      <c r="F5464" s="23">
        <f>COUNTIFS(mdr_rate_cleaned!$A$2:$A$10,B5464,mdr_rate_cleaned!$B$2:$B$10,"&lt;"&amp;C5464,mdr_rate_cleaned!$F$2:$F$10,"&gt;="&amp;C5464)</f>
        <v>1</v>
      </c>
      <c r="G5464" s="40">
        <f>SUMIFS(mdr_rate_cleaned!$G$2:$G$10,mdr_rate_cleaned!$A$2:$A$10,B5464,mdr_rate_cleaned!$B$2:$B$10,"&lt;"&amp;C5464,mdr_rate_cleaned!$F$2:$F$10,"&gt;="&amp;C5464)</f>
        <v>1.8000000000000002E-2</v>
      </c>
      <c r="H5464" s="24">
        <f t="shared" si="425"/>
        <v>23.36</v>
      </c>
      <c r="I5464" s="23" t="str">
        <f t="shared" si="426"/>
        <v>Match</v>
      </c>
      <c r="J5464" s="23" t="str">
        <f t="shared" si="427"/>
        <v>Match</v>
      </c>
      <c r="K5464" s="24">
        <f t="shared" si="428"/>
        <v>4.2</v>
      </c>
      <c r="L5464" s="24">
        <f t="shared" si="429"/>
        <v>0</v>
      </c>
    </row>
    <row r="5465" spans="1:12" ht="15" customHeight="1" x14ac:dyDescent="0.3">
      <c r="A5465" s="23" t="s">
        <v>18946</v>
      </c>
      <c r="B5465" s="23" t="s">
        <v>75</v>
      </c>
      <c r="C5465" s="39">
        <v>5097</v>
      </c>
      <c r="D5465" s="24">
        <v>15.29</v>
      </c>
      <c r="E5465" s="24">
        <v>2.75</v>
      </c>
      <c r="F5465" s="23">
        <f>COUNTIFS(mdr_rate_cleaned!$A$2:$A$10,B5465,mdr_rate_cleaned!$B$2:$B$10,"&lt;"&amp;C5465,mdr_rate_cleaned!$F$2:$F$10,"&gt;="&amp;C5465)</f>
        <v>1</v>
      </c>
      <c r="G5465" s="40">
        <f>SUMIFS(mdr_rate_cleaned!$G$2:$G$10,mdr_rate_cleaned!$A$2:$A$10,B5465,mdr_rate_cleaned!$B$2:$B$10,"&lt;"&amp;C5465,mdr_rate_cleaned!$F$2:$F$10,"&gt;="&amp;C5465)</f>
        <v>3.0000000000000001E-3</v>
      </c>
      <c r="H5465" s="24">
        <f t="shared" si="425"/>
        <v>15.29</v>
      </c>
      <c r="I5465" s="23" t="str">
        <f t="shared" si="426"/>
        <v>Match</v>
      </c>
      <c r="J5465" s="23" t="str">
        <f t="shared" si="427"/>
        <v>Match</v>
      </c>
      <c r="K5465" s="24">
        <f t="shared" si="428"/>
        <v>2.75</v>
      </c>
      <c r="L5465" s="24">
        <f t="shared" si="429"/>
        <v>0</v>
      </c>
    </row>
    <row r="5466" spans="1:12" ht="15" customHeight="1" x14ac:dyDescent="0.3">
      <c r="A5466" s="23" t="s">
        <v>18947</v>
      </c>
      <c r="B5466" s="23" t="s">
        <v>75</v>
      </c>
      <c r="C5466" s="39">
        <v>799</v>
      </c>
      <c r="D5466" s="24">
        <v>0</v>
      </c>
      <c r="E5466" s="24">
        <v>0</v>
      </c>
      <c r="F5466" s="23">
        <f>COUNTIFS(mdr_rate_cleaned!$A$2:$A$10,B5466,mdr_rate_cleaned!$B$2:$B$10,"&lt;"&amp;C5466,mdr_rate_cleaned!$F$2:$F$10,"&gt;="&amp;C5466)</f>
        <v>1</v>
      </c>
      <c r="G5466" s="40">
        <f>SUMIFS(mdr_rate_cleaned!$G$2:$G$10,mdr_rate_cleaned!$A$2:$A$10,B5466,mdr_rate_cleaned!$B$2:$B$10,"&lt;"&amp;C5466,mdr_rate_cleaned!$F$2:$F$10,"&gt;="&amp;C5466)</f>
        <v>0</v>
      </c>
      <c r="H5466" s="24">
        <f t="shared" si="425"/>
        <v>0</v>
      </c>
      <c r="I5466" s="23" t="str">
        <f t="shared" si="426"/>
        <v>Match</v>
      </c>
      <c r="J5466" s="23" t="str">
        <f t="shared" si="427"/>
        <v>Match</v>
      </c>
      <c r="K5466" s="24">
        <f t="shared" si="428"/>
        <v>0</v>
      </c>
      <c r="L5466" s="24">
        <f t="shared" si="429"/>
        <v>0</v>
      </c>
    </row>
    <row r="5467" spans="1:12" ht="15" customHeight="1" x14ac:dyDescent="0.3">
      <c r="A5467" s="23" t="s">
        <v>18948</v>
      </c>
      <c r="B5467" s="23" t="s">
        <v>77</v>
      </c>
      <c r="C5467" s="39">
        <v>3098</v>
      </c>
      <c r="D5467" s="24">
        <v>52.67</v>
      </c>
      <c r="E5467" s="24">
        <v>9.48</v>
      </c>
      <c r="F5467" s="23">
        <f>COUNTIFS(mdr_rate_cleaned!$A$2:$A$10,B5467,mdr_rate_cleaned!$B$2:$B$10,"&lt;"&amp;C5467,mdr_rate_cleaned!$F$2:$F$10,"&gt;="&amp;C5467)</f>
        <v>1</v>
      </c>
      <c r="G5467" s="40">
        <f>SUMIFS(mdr_rate_cleaned!$G$2:$G$10,mdr_rate_cleaned!$A$2:$A$10,B5467,mdr_rate_cleaned!$B$2:$B$10,"&lt;"&amp;C5467,mdr_rate_cleaned!$F$2:$F$10,"&gt;="&amp;C5467)</f>
        <v>1.7000000000000001E-2</v>
      </c>
      <c r="H5467" s="24">
        <f t="shared" si="425"/>
        <v>52.67</v>
      </c>
      <c r="I5467" s="23" t="str">
        <f t="shared" si="426"/>
        <v>Match</v>
      </c>
      <c r="J5467" s="23" t="str">
        <f t="shared" si="427"/>
        <v>Match</v>
      </c>
      <c r="K5467" s="24">
        <f t="shared" si="428"/>
        <v>9.48</v>
      </c>
      <c r="L5467" s="24">
        <f t="shared" si="429"/>
        <v>0</v>
      </c>
    </row>
    <row r="5468" spans="1:12" ht="15" customHeight="1" x14ac:dyDescent="0.3">
      <c r="A5468" s="23" t="s">
        <v>18949</v>
      </c>
      <c r="B5468" s="23" t="s">
        <v>75</v>
      </c>
      <c r="C5468" s="39">
        <v>4999</v>
      </c>
      <c r="D5468" s="24">
        <v>15</v>
      </c>
      <c r="E5468" s="24">
        <v>2.7</v>
      </c>
      <c r="F5468" s="23">
        <f>COUNTIFS(mdr_rate_cleaned!$A$2:$A$10,B5468,mdr_rate_cleaned!$B$2:$B$10,"&lt;"&amp;C5468,mdr_rate_cleaned!$F$2:$F$10,"&gt;="&amp;C5468)</f>
        <v>1</v>
      </c>
      <c r="G5468" s="40">
        <f>SUMIFS(mdr_rate_cleaned!$G$2:$G$10,mdr_rate_cleaned!$A$2:$A$10,B5468,mdr_rate_cleaned!$B$2:$B$10,"&lt;"&amp;C5468,mdr_rate_cleaned!$F$2:$F$10,"&gt;="&amp;C5468)</f>
        <v>3.0000000000000001E-3</v>
      </c>
      <c r="H5468" s="24">
        <f t="shared" si="425"/>
        <v>15</v>
      </c>
      <c r="I5468" s="23" t="str">
        <f t="shared" si="426"/>
        <v>Match</v>
      </c>
      <c r="J5468" s="23" t="str">
        <f t="shared" si="427"/>
        <v>Match</v>
      </c>
      <c r="K5468" s="24">
        <f t="shared" si="428"/>
        <v>2.7</v>
      </c>
      <c r="L5468" s="24">
        <f t="shared" si="429"/>
        <v>0</v>
      </c>
    </row>
    <row r="5469" spans="1:12" ht="15" customHeight="1" x14ac:dyDescent="0.3">
      <c r="A5469" s="23" t="s">
        <v>18951</v>
      </c>
      <c r="B5469" s="23" t="s">
        <v>77</v>
      </c>
      <c r="C5469" s="39">
        <v>2397</v>
      </c>
      <c r="D5469" s="24">
        <v>40.75</v>
      </c>
      <c r="E5469" s="24">
        <v>7.34</v>
      </c>
      <c r="F5469" s="23">
        <f>COUNTIFS(mdr_rate_cleaned!$A$2:$A$10,B5469,mdr_rate_cleaned!$B$2:$B$10,"&lt;"&amp;C5469,mdr_rate_cleaned!$F$2:$F$10,"&gt;="&amp;C5469)</f>
        <v>1</v>
      </c>
      <c r="G5469" s="40">
        <f>SUMIFS(mdr_rate_cleaned!$G$2:$G$10,mdr_rate_cleaned!$A$2:$A$10,B5469,mdr_rate_cleaned!$B$2:$B$10,"&lt;"&amp;C5469,mdr_rate_cleaned!$F$2:$F$10,"&gt;="&amp;C5469)</f>
        <v>1.7000000000000001E-2</v>
      </c>
      <c r="H5469" s="24">
        <f t="shared" si="425"/>
        <v>40.75</v>
      </c>
      <c r="I5469" s="23" t="str">
        <f t="shared" si="426"/>
        <v>Match</v>
      </c>
      <c r="J5469" s="23" t="str">
        <f t="shared" si="427"/>
        <v>Match</v>
      </c>
      <c r="K5469" s="24">
        <f t="shared" si="428"/>
        <v>7.34</v>
      </c>
      <c r="L5469" s="24">
        <f t="shared" si="429"/>
        <v>0</v>
      </c>
    </row>
    <row r="5470" spans="1:12" ht="15" customHeight="1" x14ac:dyDescent="0.3">
      <c r="A5470" s="23" t="s">
        <v>18952</v>
      </c>
      <c r="B5470" s="23" t="s">
        <v>79</v>
      </c>
      <c r="C5470" s="39">
        <v>1299</v>
      </c>
      <c r="D5470" s="24">
        <v>23.38</v>
      </c>
      <c r="E5470" s="24">
        <v>4.21</v>
      </c>
      <c r="F5470" s="23">
        <f>COUNTIFS(mdr_rate_cleaned!$A$2:$A$10,B5470,mdr_rate_cleaned!$B$2:$B$10,"&lt;"&amp;C5470,mdr_rate_cleaned!$F$2:$F$10,"&gt;="&amp;C5470)</f>
        <v>1</v>
      </c>
      <c r="G5470" s="40">
        <f>SUMIFS(mdr_rate_cleaned!$G$2:$G$10,mdr_rate_cleaned!$A$2:$A$10,B5470,mdr_rate_cleaned!$B$2:$B$10,"&lt;"&amp;C5470,mdr_rate_cleaned!$F$2:$F$10,"&gt;="&amp;C5470)</f>
        <v>1.8000000000000002E-2</v>
      </c>
      <c r="H5470" s="24">
        <f t="shared" si="425"/>
        <v>23.38</v>
      </c>
      <c r="I5470" s="23" t="str">
        <f t="shared" si="426"/>
        <v>Match</v>
      </c>
      <c r="J5470" s="23" t="str">
        <f t="shared" si="427"/>
        <v>Match</v>
      </c>
      <c r="K5470" s="24">
        <f t="shared" si="428"/>
        <v>4.21</v>
      </c>
      <c r="L5470" s="24">
        <f t="shared" si="429"/>
        <v>0</v>
      </c>
    </row>
    <row r="5471" spans="1:12" ht="15" customHeight="1" x14ac:dyDescent="0.3">
      <c r="A5471" s="23" t="s">
        <v>18953</v>
      </c>
      <c r="B5471" s="23" t="s">
        <v>81</v>
      </c>
      <c r="C5471" s="39">
        <v>999</v>
      </c>
      <c r="D5471" s="24">
        <v>14.99</v>
      </c>
      <c r="E5471" s="24">
        <v>2.7</v>
      </c>
      <c r="F5471" s="23">
        <f>COUNTIFS(mdr_rate_cleaned!$A$2:$A$10,B5471,mdr_rate_cleaned!$B$2:$B$10,"&lt;"&amp;C5471,mdr_rate_cleaned!$F$2:$F$10,"&gt;="&amp;C5471)</f>
        <v>1</v>
      </c>
      <c r="G5471" s="40">
        <f>SUMIFS(mdr_rate_cleaned!$G$2:$G$10,mdr_rate_cleaned!$A$2:$A$10,B5471,mdr_rate_cleaned!$B$2:$B$10,"&lt;"&amp;C5471,mdr_rate_cleaned!$F$2:$F$10,"&gt;="&amp;C5471)</f>
        <v>1.4999999999999999E-2</v>
      </c>
      <c r="H5471" s="24">
        <f t="shared" si="425"/>
        <v>14.99</v>
      </c>
      <c r="I5471" s="23" t="str">
        <f t="shared" si="426"/>
        <v>Match</v>
      </c>
      <c r="J5471" s="23" t="str">
        <f t="shared" si="427"/>
        <v>Match</v>
      </c>
      <c r="K5471" s="24">
        <f t="shared" si="428"/>
        <v>2.7</v>
      </c>
      <c r="L5471" s="24">
        <f t="shared" si="429"/>
        <v>0</v>
      </c>
    </row>
    <row r="5472" spans="1:12" ht="15" customHeight="1" x14ac:dyDescent="0.3">
      <c r="A5472" s="23" t="s">
        <v>18954</v>
      </c>
      <c r="B5472" s="23" t="s">
        <v>75</v>
      </c>
      <c r="C5472" s="39">
        <v>599</v>
      </c>
      <c r="D5472" s="24">
        <v>0</v>
      </c>
      <c r="E5472" s="24">
        <v>0</v>
      </c>
      <c r="F5472" s="23">
        <f>COUNTIFS(mdr_rate_cleaned!$A$2:$A$10,B5472,mdr_rate_cleaned!$B$2:$B$10,"&lt;"&amp;C5472,mdr_rate_cleaned!$F$2:$F$10,"&gt;="&amp;C5472)</f>
        <v>1</v>
      </c>
      <c r="G5472" s="40">
        <f>SUMIFS(mdr_rate_cleaned!$G$2:$G$10,mdr_rate_cleaned!$A$2:$A$10,B5472,mdr_rate_cleaned!$B$2:$B$10,"&lt;"&amp;C5472,mdr_rate_cleaned!$F$2:$F$10,"&gt;="&amp;C5472)</f>
        <v>0</v>
      </c>
      <c r="H5472" s="24">
        <f t="shared" si="425"/>
        <v>0</v>
      </c>
      <c r="I5472" s="23" t="str">
        <f t="shared" si="426"/>
        <v>Match</v>
      </c>
      <c r="J5472" s="23" t="str">
        <f t="shared" si="427"/>
        <v>Match</v>
      </c>
      <c r="K5472" s="24">
        <f t="shared" si="428"/>
        <v>0</v>
      </c>
      <c r="L5472" s="24">
        <f t="shared" si="429"/>
        <v>0</v>
      </c>
    </row>
    <row r="5473" spans="1:12" ht="15" customHeight="1" x14ac:dyDescent="0.3">
      <c r="A5473" s="23" t="s">
        <v>18956</v>
      </c>
      <c r="B5473" s="23" t="s">
        <v>75</v>
      </c>
      <c r="C5473" s="39">
        <v>299</v>
      </c>
      <c r="D5473" s="24">
        <v>0</v>
      </c>
      <c r="E5473" s="24">
        <v>0</v>
      </c>
      <c r="F5473" s="23">
        <f>COUNTIFS(mdr_rate_cleaned!$A$2:$A$10,B5473,mdr_rate_cleaned!$B$2:$B$10,"&lt;"&amp;C5473,mdr_rate_cleaned!$F$2:$F$10,"&gt;="&amp;C5473)</f>
        <v>1</v>
      </c>
      <c r="G5473" s="40">
        <f>SUMIFS(mdr_rate_cleaned!$G$2:$G$10,mdr_rate_cleaned!$A$2:$A$10,B5473,mdr_rate_cleaned!$B$2:$B$10,"&lt;"&amp;C5473,mdr_rate_cleaned!$F$2:$F$10,"&gt;="&amp;C5473)</f>
        <v>0</v>
      </c>
      <c r="H5473" s="24">
        <f t="shared" si="425"/>
        <v>0</v>
      </c>
      <c r="I5473" s="23" t="str">
        <f t="shared" si="426"/>
        <v>Match</v>
      </c>
      <c r="J5473" s="23" t="str">
        <f t="shared" si="427"/>
        <v>Match</v>
      </c>
      <c r="K5473" s="24">
        <f t="shared" si="428"/>
        <v>0</v>
      </c>
      <c r="L5473" s="24">
        <f t="shared" si="429"/>
        <v>0</v>
      </c>
    </row>
    <row r="5474" spans="1:12" ht="15" customHeight="1" x14ac:dyDescent="0.3">
      <c r="A5474" s="23" t="s">
        <v>18957</v>
      </c>
      <c r="B5474" s="23" t="s">
        <v>75</v>
      </c>
      <c r="C5474" s="39">
        <v>499</v>
      </c>
      <c r="D5474" s="24">
        <v>0</v>
      </c>
      <c r="E5474" s="24">
        <v>0</v>
      </c>
      <c r="F5474" s="23">
        <f>COUNTIFS(mdr_rate_cleaned!$A$2:$A$10,B5474,mdr_rate_cleaned!$B$2:$B$10,"&lt;"&amp;C5474,mdr_rate_cleaned!$F$2:$F$10,"&gt;="&amp;C5474)</f>
        <v>1</v>
      </c>
      <c r="G5474" s="40">
        <f>SUMIFS(mdr_rate_cleaned!$G$2:$G$10,mdr_rate_cleaned!$A$2:$A$10,B5474,mdr_rate_cleaned!$B$2:$B$10,"&lt;"&amp;C5474,mdr_rate_cleaned!$F$2:$F$10,"&gt;="&amp;C5474)</f>
        <v>0</v>
      </c>
      <c r="H5474" s="24">
        <f t="shared" si="425"/>
        <v>0</v>
      </c>
      <c r="I5474" s="23" t="str">
        <f t="shared" si="426"/>
        <v>Match</v>
      </c>
      <c r="J5474" s="23" t="str">
        <f t="shared" si="427"/>
        <v>Match</v>
      </c>
      <c r="K5474" s="24">
        <f t="shared" si="428"/>
        <v>0</v>
      </c>
      <c r="L5474" s="24">
        <f t="shared" si="429"/>
        <v>0</v>
      </c>
    </row>
    <row r="5475" spans="1:12" ht="15" customHeight="1" x14ac:dyDescent="0.3">
      <c r="A5475" s="23" t="s">
        <v>18958</v>
      </c>
      <c r="B5475" s="23" t="s">
        <v>81</v>
      </c>
      <c r="C5475" s="39">
        <v>999</v>
      </c>
      <c r="D5475" s="24">
        <v>14.99</v>
      </c>
      <c r="E5475" s="24">
        <v>2.7</v>
      </c>
      <c r="F5475" s="23">
        <f>COUNTIFS(mdr_rate_cleaned!$A$2:$A$10,B5475,mdr_rate_cleaned!$B$2:$B$10,"&lt;"&amp;C5475,mdr_rate_cleaned!$F$2:$F$10,"&gt;="&amp;C5475)</f>
        <v>1</v>
      </c>
      <c r="G5475" s="40">
        <f>SUMIFS(mdr_rate_cleaned!$G$2:$G$10,mdr_rate_cleaned!$A$2:$A$10,B5475,mdr_rate_cleaned!$B$2:$B$10,"&lt;"&amp;C5475,mdr_rate_cleaned!$F$2:$F$10,"&gt;="&amp;C5475)</f>
        <v>1.4999999999999999E-2</v>
      </c>
      <c r="H5475" s="24">
        <f t="shared" si="425"/>
        <v>14.99</v>
      </c>
      <c r="I5475" s="23" t="str">
        <f t="shared" si="426"/>
        <v>Match</v>
      </c>
      <c r="J5475" s="23" t="str">
        <f t="shared" si="427"/>
        <v>Match</v>
      </c>
      <c r="K5475" s="24">
        <f t="shared" si="428"/>
        <v>2.7</v>
      </c>
      <c r="L5475" s="24">
        <f t="shared" si="429"/>
        <v>0</v>
      </c>
    </row>
    <row r="5476" spans="1:12" ht="15" customHeight="1" x14ac:dyDescent="0.3">
      <c r="A5476" s="23" t="s">
        <v>18960</v>
      </c>
      <c r="B5476" s="23" t="s">
        <v>79</v>
      </c>
      <c r="C5476" s="39">
        <v>3498</v>
      </c>
      <c r="D5476" s="24">
        <v>55.97</v>
      </c>
      <c r="E5476" s="24">
        <v>10.07</v>
      </c>
      <c r="F5476" s="23">
        <f>COUNTIFS(mdr_rate_cleaned!$A$2:$A$10,B5476,mdr_rate_cleaned!$B$2:$B$10,"&lt;"&amp;C5476,mdr_rate_cleaned!$F$2:$F$10,"&gt;="&amp;C5476)</f>
        <v>1</v>
      </c>
      <c r="G5476" s="40">
        <f>SUMIFS(mdr_rate_cleaned!$G$2:$G$10,mdr_rate_cleaned!$A$2:$A$10,B5476,mdr_rate_cleaned!$B$2:$B$10,"&lt;"&amp;C5476,mdr_rate_cleaned!$F$2:$F$10,"&gt;="&amp;C5476)</f>
        <v>1.6E-2</v>
      </c>
      <c r="H5476" s="24">
        <f t="shared" si="425"/>
        <v>55.97</v>
      </c>
      <c r="I5476" s="23" t="str">
        <f t="shared" si="426"/>
        <v>Match</v>
      </c>
      <c r="J5476" s="23" t="str">
        <f t="shared" si="427"/>
        <v>Match</v>
      </c>
      <c r="K5476" s="24">
        <f t="shared" si="428"/>
        <v>10.07</v>
      </c>
      <c r="L5476" s="24">
        <f t="shared" si="429"/>
        <v>0</v>
      </c>
    </row>
    <row r="5477" spans="1:12" ht="15" customHeight="1" x14ac:dyDescent="0.3">
      <c r="A5477" s="23" t="s">
        <v>18961</v>
      </c>
      <c r="B5477" s="23" t="s">
        <v>75</v>
      </c>
      <c r="C5477" s="39">
        <v>648</v>
      </c>
      <c r="D5477" s="24">
        <v>0</v>
      </c>
      <c r="E5477" s="24">
        <v>0</v>
      </c>
      <c r="F5477" s="23">
        <f>COUNTIFS(mdr_rate_cleaned!$A$2:$A$10,B5477,mdr_rate_cleaned!$B$2:$B$10,"&lt;"&amp;C5477,mdr_rate_cleaned!$F$2:$F$10,"&gt;="&amp;C5477)</f>
        <v>1</v>
      </c>
      <c r="G5477" s="40">
        <f>SUMIFS(mdr_rate_cleaned!$G$2:$G$10,mdr_rate_cleaned!$A$2:$A$10,B5477,mdr_rate_cleaned!$B$2:$B$10,"&lt;"&amp;C5477,mdr_rate_cleaned!$F$2:$F$10,"&gt;="&amp;C5477)</f>
        <v>0</v>
      </c>
      <c r="H5477" s="24">
        <f t="shared" si="425"/>
        <v>0</v>
      </c>
      <c r="I5477" s="23" t="str">
        <f t="shared" si="426"/>
        <v>Match</v>
      </c>
      <c r="J5477" s="23" t="str">
        <f t="shared" si="427"/>
        <v>Match</v>
      </c>
      <c r="K5477" s="24">
        <f t="shared" si="428"/>
        <v>0</v>
      </c>
      <c r="L5477" s="24">
        <f t="shared" si="429"/>
        <v>0</v>
      </c>
    </row>
    <row r="5478" spans="1:12" ht="15" customHeight="1" x14ac:dyDescent="0.3">
      <c r="A5478" s="23" t="s">
        <v>18962</v>
      </c>
      <c r="B5478" s="23" t="s">
        <v>75</v>
      </c>
      <c r="C5478" s="39">
        <v>4498</v>
      </c>
      <c r="D5478" s="24">
        <v>13.49</v>
      </c>
      <c r="E5478" s="24">
        <v>2.4300000000000002</v>
      </c>
      <c r="F5478" s="23">
        <f>COUNTIFS(mdr_rate_cleaned!$A$2:$A$10,B5478,mdr_rate_cleaned!$B$2:$B$10,"&lt;"&amp;C5478,mdr_rate_cleaned!$F$2:$F$10,"&gt;="&amp;C5478)</f>
        <v>1</v>
      </c>
      <c r="G5478" s="40">
        <f>SUMIFS(mdr_rate_cleaned!$G$2:$G$10,mdr_rate_cleaned!$A$2:$A$10,B5478,mdr_rate_cleaned!$B$2:$B$10,"&lt;"&amp;C5478,mdr_rate_cleaned!$F$2:$F$10,"&gt;="&amp;C5478)</f>
        <v>3.0000000000000001E-3</v>
      </c>
      <c r="H5478" s="24">
        <f t="shared" si="425"/>
        <v>13.49</v>
      </c>
      <c r="I5478" s="23" t="str">
        <f t="shared" si="426"/>
        <v>Match</v>
      </c>
      <c r="J5478" s="23" t="str">
        <f t="shared" si="427"/>
        <v>Match</v>
      </c>
      <c r="K5478" s="24">
        <f t="shared" si="428"/>
        <v>2.4300000000000002</v>
      </c>
      <c r="L5478" s="24">
        <f t="shared" si="429"/>
        <v>0</v>
      </c>
    </row>
    <row r="5479" spans="1:12" ht="15" customHeight="1" x14ac:dyDescent="0.3">
      <c r="A5479" s="23" t="s">
        <v>18963</v>
      </c>
      <c r="B5479" s="23" t="s">
        <v>81</v>
      </c>
      <c r="C5479" s="39">
        <v>6797</v>
      </c>
      <c r="D5479" s="24">
        <v>81.56</v>
      </c>
      <c r="E5479" s="24">
        <v>14.68</v>
      </c>
      <c r="F5479" s="23">
        <f>COUNTIFS(mdr_rate_cleaned!$A$2:$A$10,B5479,mdr_rate_cleaned!$B$2:$B$10,"&lt;"&amp;C5479,mdr_rate_cleaned!$F$2:$F$10,"&gt;="&amp;C5479)</f>
        <v>1</v>
      </c>
      <c r="G5479" s="40">
        <f>SUMIFS(mdr_rate_cleaned!$G$2:$G$10,mdr_rate_cleaned!$A$2:$A$10,B5479,mdr_rate_cleaned!$B$2:$B$10,"&lt;"&amp;C5479,mdr_rate_cleaned!$F$2:$F$10,"&gt;="&amp;C5479)</f>
        <v>1.2E-2</v>
      </c>
      <c r="H5479" s="24">
        <f t="shared" si="425"/>
        <v>81.56</v>
      </c>
      <c r="I5479" s="23" t="str">
        <f t="shared" si="426"/>
        <v>Match</v>
      </c>
      <c r="J5479" s="23" t="str">
        <f t="shared" si="427"/>
        <v>Match</v>
      </c>
      <c r="K5479" s="24">
        <f t="shared" si="428"/>
        <v>14.68</v>
      </c>
      <c r="L5479" s="24">
        <f t="shared" si="429"/>
        <v>0</v>
      </c>
    </row>
    <row r="5480" spans="1:12" ht="15" customHeight="1" x14ac:dyDescent="0.3">
      <c r="A5480" s="23" t="s">
        <v>18964</v>
      </c>
      <c r="B5480" s="23" t="s">
        <v>77</v>
      </c>
      <c r="C5480" s="39">
        <v>2897</v>
      </c>
      <c r="D5480" s="24">
        <v>49.25</v>
      </c>
      <c r="E5480" s="24">
        <v>8.8699999999999992</v>
      </c>
      <c r="F5480" s="23">
        <f>COUNTIFS(mdr_rate_cleaned!$A$2:$A$10,B5480,mdr_rate_cleaned!$B$2:$B$10,"&lt;"&amp;C5480,mdr_rate_cleaned!$F$2:$F$10,"&gt;="&amp;C5480)</f>
        <v>1</v>
      </c>
      <c r="G5480" s="40">
        <f>SUMIFS(mdr_rate_cleaned!$G$2:$G$10,mdr_rate_cleaned!$A$2:$A$10,B5480,mdr_rate_cleaned!$B$2:$B$10,"&lt;"&amp;C5480,mdr_rate_cleaned!$F$2:$F$10,"&gt;="&amp;C5480)</f>
        <v>1.7000000000000001E-2</v>
      </c>
      <c r="H5480" s="24">
        <f t="shared" si="425"/>
        <v>49.25</v>
      </c>
      <c r="I5480" s="23" t="str">
        <f t="shared" si="426"/>
        <v>Match</v>
      </c>
      <c r="J5480" s="23" t="str">
        <f t="shared" si="427"/>
        <v>Match</v>
      </c>
      <c r="K5480" s="24">
        <f t="shared" si="428"/>
        <v>8.8699999999999992</v>
      </c>
      <c r="L5480" s="24">
        <f t="shared" si="429"/>
        <v>0</v>
      </c>
    </row>
    <row r="5481" spans="1:12" ht="15" customHeight="1" x14ac:dyDescent="0.3">
      <c r="A5481" s="23" t="s">
        <v>18965</v>
      </c>
      <c r="B5481" s="23" t="s">
        <v>75</v>
      </c>
      <c r="C5481" s="39">
        <v>2499</v>
      </c>
      <c r="D5481" s="24">
        <v>7.5</v>
      </c>
      <c r="E5481" s="24">
        <v>1.35</v>
      </c>
      <c r="F5481" s="23">
        <f>COUNTIFS(mdr_rate_cleaned!$A$2:$A$10,B5481,mdr_rate_cleaned!$B$2:$B$10,"&lt;"&amp;C5481,mdr_rate_cleaned!$F$2:$F$10,"&gt;="&amp;C5481)</f>
        <v>1</v>
      </c>
      <c r="G5481" s="40">
        <f>SUMIFS(mdr_rate_cleaned!$G$2:$G$10,mdr_rate_cleaned!$A$2:$A$10,B5481,mdr_rate_cleaned!$B$2:$B$10,"&lt;"&amp;C5481,mdr_rate_cleaned!$F$2:$F$10,"&gt;="&amp;C5481)</f>
        <v>3.0000000000000001E-3</v>
      </c>
      <c r="H5481" s="24">
        <f t="shared" si="425"/>
        <v>7.5</v>
      </c>
      <c r="I5481" s="23" t="str">
        <f t="shared" si="426"/>
        <v>Match</v>
      </c>
      <c r="J5481" s="23" t="str">
        <f t="shared" si="427"/>
        <v>Match</v>
      </c>
      <c r="K5481" s="24">
        <f t="shared" si="428"/>
        <v>1.35</v>
      </c>
      <c r="L5481" s="24">
        <f t="shared" si="429"/>
        <v>0</v>
      </c>
    </row>
    <row r="5482" spans="1:12" ht="15" customHeight="1" x14ac:dyDescent="0.3">
      <c r="A5482" s="23" t="s">
        <v>18966</v>
      </c>
      <c r="B5482" s="23" t="s">
        <v>77</v>
      </c>
      <c r="C5482" s="39">
        <v>2398</v>
      </c>
      <c r="D5482" s="24">
        <v>57.55</v>
      </c>
      <c r="E5482" s="24">
        <v>10.36</v>
      </c>
      <c r="F5482" s="23">
        <f>COUNTIFS(mdr_rate_cleaned!$A$2:$A$10,B5482,mdr_rate_cleaned!$B$2:$B$10,"&lt;"&amp;C5482,mdr_rate_cleaned!$F$2:$F$10,"&gt;="&amp;C5482)</f>
        <v>1</v>
      </c>
      <c r="G5482" s="40">
        <f>SUMIFS(mdr_rate_cleaned!$G$2:$G$10,mdr_rate_cleaned!$A$2:$A$10,B5482,mdr_rate_cleaned!$B$2:$B$10,"&lt;"&amp;C5482,mdr_rate_cleaned!$F$2:$F$10,"&gt;="&amp;C5482)</f>
        <v>1.7000000000000001E-2</v>
      </c>
      <c r="H5482" s="24">
        <f t="shared" si="425"/>
        <v>40.770000000000003</v>
      </c>
      <c r="I5482" s="23" t="str">
        <f t="shared" si="426"/>
        <v>Differs</v>
      </c>
      <c r="J5482" s="23" t="str">
        <f t="shared" si="427"/>
        <v>Match</v>
      </c>
      <c r="K5482" s="24">
        <f t="shared" si="428"/>
        <v>7.34</v>
      </c>
      <c r="L5482" s="24">
        <f t="shared" si="429"/>
        <v>19.8</v>
      </c>
    </row>
    <row r="5483" spans="1:12" ht="15" customHeight="1" x14ac:dyDescent="0.3">
      <c r="A5483" s="23" t="s">
        <v>18967</v>
      </c>
      <c r="B5483" s="23" t="s">
        <v>75</v>
      </c>
      <c r="C5483" s="39">
        <v>999</v>
      </c>
      <c r="D5483" s="24">
        <v>0</v>
      </c>
      <c r="E5483" s="24">
        <v>0</v>
      </c>
      <c r="F5483" s="23">
        <f>COUNTIFS(mdr_rate_cleaned!$A$2:$A$10,B5483,mdr_rate_cleaned!$B$2:$B$10,"&lt;"&amp;C5483,mdr_rate_cleaned!$F$2:$F$10,"&gt;="&amp;C5483)</f>
        <v>1</v>
      </c>
      <c r="G5483" s="40">
        <f>SUMIFS(mdr_rate_cleaned!$G$2:$G$10,mdr_rate_cleaned!$A$2:$A$10,B5483,mdr_rate_cleaned!$B$2:$B$10,"&lt;"&amp;C5483,mdr_rate_cleaned!$F$2:$F$10,"&gt;="&amp;C5483)</f>
        <v>0</v>
      </c>
      <c r="H5483" s="24">
        <f t="shared" si="425"/>
        <v>0</v>
      </c>
      <c r="I5483" s="23" t="str">
        <f t="shared" si="426"/>
        <v>Match</v>
      </c>
      <c r="J5483" s="23" t="str">
        <f t="shared" si="427"/>
        <v>Match</v>
      </c>
      <c r="K5483" s="24">
        <f t="shared" si="428"/>
        <v>0</v>
      </c>
      <c r="L5483" s="24">
        <f t="shared" si="429"/>
        <v>0</v>
      </c>
    </row>
    <row r="5484" spans="1:12" ht="15" customHeight="1" x14ac:dyDescent="0.3">
      <c r="A5484" s="23" t="s">
        <v>18968</v>
      </c>
      <c r="B5484" s="23" t="s">
        <v>77</v>
      </c>
      <c r="C5484" s="39">
        <v>1799</v>
      </c>
      <c r="D5484" s="24">
        <v>34.18</v>
      </c>
      <c r="E5484" s="24">
        <v>6.15</v>
      </c>
      <c r="F5484" s="23">
        <f>COUNTIFS(mdr_rate_cleaned!$A$2:$A$10,B5484,mdr_rate_cleaned!$B$2:$B$10,"&lt;"&amp;C5484,mdr_rate_cleaned!$F$2:$F$10,"&gt;="&amp;C5484)</f>
        <v>1</v>
      </c>
      <c r="G5484" s="40">
        <f>SUMIFS(mdr_rate_cleaned!$G$2:$G$10,mdr_rate_cleaned!$A$2:$A$10,B5484,mdr_rate_cleaned!$B$2:$B$10,"&lt;"&amp;C5484,mdr_rate_cleaned!$F$2:$F$10,"&gt;="&amp;C5484)</f>
        <v>1.9E-2</v>
      </c>
      <c r="H5484" s="24">
        <f t="shared" si="425"/>
        <v>34.18</v>
      </c>
      <c r="I5484" s="23" t="str">
        <f t="shared" si="426"/>
        <v>Match</v>
      </c>
      <c r="J5484" s="23" t="str">
        <f t="shared" si="427"/>
        <v>Match</v>
      </c>
      <c r="K5484" s="24">
        <f t="shared" si="428"/>
        <v>6.15</v>
      </c>
      <c r="L5484" s="24">
        <f t="shared" si="429"/>
        <v>0</v>
      </c>
    </row>
    <row r="5485" spans="1:12" ht="15" customHeight="1" x14ac:dyDescent="0.3">
      <c r="A5485" s="23" t="s">
        <v>18969</v>
      </c>
      <c r="B5485" s="23" t="s">
        <v>75</v>
      </c>
      <c r="C5485" s="39">
        <v>599</v>
      </c>
      <c r="D5485" s="24">
        <v>0</v>
      </c>
      <c r="E5485" s="24">
        <v>0</v>
      </c>
      <c r="F5485" s="23">
        <f>COUNTIFS(mdr_rate_cleaned!$A$2:$A$10,B5485,mdr_rate_cleaned!$B$2:$B$10,"&lt;"&amp;C5485,mdr_rate_cleaned!$F$2:$F$10,"&gt;="&amp;C5485)</f>
        <v>1</v>
      </c>
      <c r="G5485" s="40">
        <f>SUMIFS(mdr_rate_cleaned!$G$2:$G$10,mdr_rate_cleaned!$A$2:$A$10,B5485,mdr_rate_cleaned!$B$2:$B$10,"&lt;"&amp;C5485,mdr_rate_cleaned!$F$2:$F$10,"&gt;="&amp;C5485)</f>
        <v>0</v>
      </c>
      <c r="H5485" s="24">
        <f t="shared" si="425"/>
        <v>0</v>
      </c>
      <c r="I5485" s="23" t="str">
        <f t="shared" si="426"/>
        <v>Match</v>
      </c>
      <c r="J5485" s="23" t="str">
        <f t="shared" si="427"/>
        <v>Match</v>
      </c>
      <c r="K5485" s="24">
        <f t="shared" si="428"/>
        <v>0</v>
      </c>
      <c r="L5485" s="24">
        <f t="shared" si="429"/>
        <v>0</v>
      </c>
    </row>
    <row r="5486" spans="1:12" ht="15" customHeight="1" x14ac:dyDescent="0.3">
      <c r="A5486" s="23" t="s">
        <v>18970</v>
      </c>
      <c r="B5486" s="23" t="s">
        <v>79</v>
      </c>
      <c r="C5486" s="39">
        <v>3499</v>
      </c>
      <c r="D5486" s="24">
        <v>55.98</v>
      </c>
      <c r="E5486" s="24">
        <v>10.08</v>
      </c>
      <c r="F5486" s="23">
        <f>COUNTIFS(mdr_rate_cleaned!$A$2:$A$10,B5486,mdr_rate_cleaned!$B$2:$B$10,"&lt;"&amp;C5486,mdr_rate_cleaned!$F$2:$F$10,"&gt;="&amp;C5486)</f>
        <v>1</v>
      </c>
      <c r="G5486" s="40">
        <f>SUMIFS(mdr_rate_cleaned!$G$2:$G$10,mdr_rate_cleaned!$A$2:$A$10,B5486,mdr_rate_cleaned!$B$2:$B$10,"&lt;"&amp;C5486,mdr_rate_cleaned!$F$2:$F$10,"&gt;="&amp;C5486)</f>
        <v>1.6E-2</v>
      </c>
      <c r="H5486" s="24">
        <f t="shared" si="425"/>
        <v>55.98</v>
      </c>
      <c r="I5486" s="23" t="str">
        <f t="shared" si="426"/>
        <v>Match</v>
      </c>
      <c r="J5486" s="23" t="str">
        <f t="shared" si="427"/>
        <v>Match</v>
      </c>
      <c r="K5486" s="24">
        <f t="shared" si="428"/>
        <v>10.08</v>
      </c>
      <c r="L5486" s="24">
        <f t="shared" si="429"/>
        <v>0</v>
      </c>
    </row>
    <row r="5487" spans="1:12" ht="15" customHeight="1" x14ac:dyDescent="0.3">
      <c r="A5487" s="23" t="s">
        <v>18971</v>
      </c>
      <c r="B5487" s="23" t="s">
        <v>79</v>
      </c>
      <c r="C5487" s="39">
        <v>3499</v>
      </c>
      <c r="D5487" s="24">
        <v>55.98</v>
      </c>
      <c r="E5487" s="24">
        <v>10.08</v>
      </c>
      <c r="F5487" s="23">
        <f>COUNTIFS(mdr_rate_cleaned!$A$2:$A$10,B5487,mdr_rate_cleaned!$B$2:$B$10,"&lt;"&amp;C5487,mdr_rate_cleaned!$F$2:$F$10,"&gt;="&amp;C5487)</f>
        <v>1</v>
      </c>
      <c r="G5487" s="40">
        <f>SUMIFS(mdr_rate_cleaned!$G$2:$G$10,mdr_rate_cleaned!$A$2:$A$10,B5487,mdr_rate_cleaned!$B$2:$B$10,"&lt;"&amp;C5487,mdr_rate_cleaned!$F$2:$F$10,"&gt;="&amp;C5487)</f>
        <v>1.6E-2</v>
      </c>
      <c r="H5487" s="24">
        <f t="shared" si="425"/>
        <v>55.98</v>
      </c>
      <c r="I5487" s="23" t="str">
        <f t="shared" si="426"/>
        <v>Match</v>
      </c>
      <c r="J5487" s="23" t="str">
        <f t="shared" si="427"/>
        <v>Match</v>
      </c>
      <c r="K5487" s="24">
        <f t="shared" si="428"/>
        <v>10.08</v>
      </c>
      <c r="L5487" s="24">
        <f t="shared" si="429"/>
        <v>0</v>
      </c>
    </row>
    <row r="5488" spans="1:12" ht="15" customHeight="1" x14ac:dyDescent="0.3">
      <c r="A5488" s="23" t="s">
        <v>18972</v>
      </c>
      <c r="B5488" s="23" t="s">
        <v>75</v>
      </c>
      <c r="C5488" s="39">
        <v>599</v>
      </c>
      <c r="D5488" s="24">
        <v>0</v>
      </c>
      <c r="E5488" s="24">
        <v>0</v>
      </c>
      <c r="F5488" s="23">
        <f>COUNTIFS(mdr_rate_cleaned!$A$2:$A$10,B5488,mdr_rate_cleaned!$B$2:$B$10,"&lt;"&amp;C5488,mdr_rate_cleaned!$F$2:$F$10,"&gt;="&amp;C5488)</f>
        <v>1</v>
      </c>
      <c r="G5488" s="40">
        <f>SUMIFS(mdr_rate_cleaned!$G$2:$G$10,mdr_rate_cleaned!$A$2:$A$10,B5488,mdr_rate_cleaned!$B$2:$B$10,"&lt;"&amp;C5488,mdr_rate_cleaned!$F$2:$F$10,"&gt;="&amp;C5488)</f>
        <v>0</v>
      </c>
      <c r="H5488" s="24">
        <f t="shared" si="425"/>
        <v>0</v>
      </c>
      <c r="I5488" s="23" t="str">
        <f t="shared" si="426"/>
        <v>Match</v>
      </c>
      <c r="J5488" s="23" t="str">
        <f t="shared" si="427"/>
        <v>Match</v>
      </c>
      <c r="K5488" s="24">
        <f t="shared" si="428"/>
        <v>0</v>
      </c>
      <c r="L5488" s="24">
        <f t="shared" si="429"/>
        <v>0</v>
      </c>
    </row>
    <row r="5489" spans="1:12" ht="15" customHeight="1" x14ac:dyDescent="0.3">
      <c r="A5489" s="23" t="s">
        <v>18973</v>
      </c>
      <c r="B5489" s="23" t="s">
        <v>79</v>
      </c>
      <c r="C5489" s="39">
        <v>3098</v>
      </c>
      <c r="D5489" s="24">
        <v>49.57</v>
      </c>
      <c r="E5489" s="24">
        <v>8.92</v>
      </c>
      <c r="F5489" s="23">
        <f>COUNTIFS(mdr_rate_cleaned!$A$2:$A$10,B5489,mdr_rate_cleaned!$B$2:$B$10,"&lt;"&amp;C5489,mdr_rate_cleaned!$F$2:$F$10,"&gt;="&amp;C5489)</f>
        <v>1</v>
      </c>
      <c r="G5489" s="40">
        <f>SUMIFS(mdr_rate_cleaned!$G$2:$G$10,mdr_rate_cleaned!$A$2:$A$10,B5489,mdr_rate_cleaned!$B$2:$B$10,"&lt;"&amp;C5489,mdr_rate_cleaned!$F$2:$F$10,"&gt;="&amp;C5489)</f>
        <v>1.6E-2</v>
      </c>
      <c r="H5489" s="24">
        <f t="shared" si="425"/>
        <v>49.57</v>
      </c>
      <c r="I5489" s="23" t="str">
        <f t="shared" si="426"/>
        <v>Match</v>
      </c>
      <c r="J5489" s="23" t="str">
        <f t="shared" si="427"/>
        <v>Match</v>
      </c>
      <c r="K5489" s="24">
        <f t="shared" si="428"/>
        <v>8.92</v>
      </c>
      <c r="L5489" s="24">
        <f t="shared" si="429"/>
        <v>0</v>
      </c>
    </row>
    <row r="5490" spans="1:12" ht="15" customHeight="1" x14ac:dyDescent="0.3">
      <c r="A5490" s="23" t="s">
        <v>18974</v>
      </c>
      <c r="B5490" s="23" t="s">
        <v>75</v>
      </c>
      <c r="C5490" s="39">
        <v>7097</v>
      </c>
      <c r="D5490" s="24">
        <v>21.29</v>
      </c>
      <c r="E5490" s="24">
        <v>3.83</v>
      </c>
      <c r="F5490" s="23">
        <f>COUNTIFS(mdr_rate_cleaned!$A$2:$A$10,B5490,mdr_rate_cleaned!$B$2:$B$10,"&lt;"&amp;C5490,mdr_rate_cleaned!$F$2:$F$10,"&gt;="&amp;C5490)</f>
        <v>1</v>
      </c>
      <c r="G5490" s="40">
        <f>SUMIFS(mdr_rate_cleaned!$G$2:$G$10,mdr_rate_cleaned!$A$2:$A$10,B5490,mdr_rate_cleaned!$B$2:$B$10,"&lt;"&amp;C5490,mdr_rate_cleaned!$F$2:$F$10,"&gt;="&amp;C5490)</f>
        <v>3.0000000000000001E-3</v>
      </c>
      <c r="H5490" s="24">
        <f t="shared" si="425"/>
        <v>21.29</v>
      </c>
      <c r="I5490" s="23" t="str">
        <f t="shared" si="426"/>
        <v>Match</v>
      </c>
      <c r="J5490" s="23" t="str">
        <f t="shared" si="427"/>
        <v>Match</v>
      </c>
      <c r="K5490" s="24">
        <f t="shared" si="428"/>
        <v>3.83</v>
      </c>
      <c r="L5490" s="24">
        <f t="shared" si="429"/>
        <v>0</v>
      </c>
    </row>
    <row r="5491" spans="1:12" ht="15" customHeight="1" x14ac:dyDescent="0.3">
      <c r="A5491" s="23" t="s">
        <v>18975</v>
      </c>
      <c r="B5491" s="23" t="s">
        <v>79</v>
      </c>
      <c r="C5491" s="39">
        <v>7999</v>
      </c>
      <c r="D5491" s="24">
        <v>127.98</v>
      </c>
      <c r="E5491" s="24">
        <v>23.04</v>
      </c>
      <c r="F5491" s="23">
        <f>COUNTIFS(mdr_rate_cleaned!$A$2:$A$10,B5491,mdr_rate_cleaned!$B$2:$B$10,"&lt;"&amp;C5491,mdr_rate_cleaned!$F$2:$F$10,"&gt;="&amp;C5491)</f>
        <v>1</v>
      </c>
      <c r="G5491" s="40">
        <f>SUMIFS(mdr_rate_cleaned!$G$2:$G$10,mdr_rate_cleaned!$A$2:$A$10,B5491,mdr_rate_cleaned!$B$2:$B$10,"&lt;"&amp;C5491,mdr_rate_cleaned!$F$2:$F$10,"&gt;="&amp;C5491)</f>
        <v>1.6E-2</v>
      </c>
      <c r="H5491" s="24">
        <f t="shared" si="425"/>
        <v>127.98</v>
      </c>
      <c r="I5491" s="23" t="str">
        <f t="shared" si="426"/>
        <v>Match</v>
      </c>
      <c r="J5491" s="23" t="str">
        <f t="shared" si="427"/>
        <v>Match</v>
      </c>
      <c r="K5491" s="24">
        <f t="shared" si="428"/>
        <v>23.04</v>
      </c>
      <c r="L5491" s="24">
        <f t="shared" si="429"/>
        <v>0</v>
      </c>
    </row>
    <row r="5492" spans="1:12" ht="15" customHeight="1" x14ac:dyDescent="0.3">
      <c r="A5492" s="23" t="s">
        <v>18976</v>
      </c>
      <c r="B5492" s="23" t="s">
        <v>75</v>
      </c>
      <c r="C5492" s="39">
        <v>1499</v>
      </c>
      <c r="D5492" s="24">
        <v>0</v>
      </c>
      <c r="E5492" s="24">
        <v>0</v>
      </c>
      <c r="F5492" s="23">
        <f>COUNTIFS(mdr_rate_cleaned!$A$2:$A$10,B5492,mdr_rate_cleaned!$B$2:$B$10,"&lt;"&amp;C5492,mdr_rate_cleaned!$F$2:$F$10,"&gt;="&amp;C5492)</f>
        <v>1</v>
      </c>
      <c r="G5492" s="40">
        <f>SUMIFS(mdr_rate_cleaned!$G$2:$G$10,mdr_rate_cleaned!$A$2:$A$10,B5492,mdr_rate_cleaned!$B$2:$B$10,"&lt;"&amp;C5492,mdr_rate_cleaned!$F$2:$F$10,"&gt;="&amp;C5492)</f>
        <v>0</v>
      </c>
      <c r="H5492" s="24">
        <f t="shared" si="425"/>
        <v>0</v>
      </c>
      <c r="I5492" s="23" t="str">
        <f t="shared" si="426"/>
        <v>Match</v>
      </c>
      <c r="J5492" s="23" t="str">
        <f t="shared" si="427"/>
        <v>Match</v>
      </c>
      <c r="K5492" s="24">
        <f t="shared" si="428"/>
        <v>0</v>
      </c>
      <c r="L5492" s="24">
        <f t="shared" si="429"/>
        <v>0</v>
      </c>
    </row>
    <row r="5493" spans="1:12" ht="15" customHeight="1" x14ac:dyDescent="0.3">
      <c r="A5493" s="23" t="s">
        <v>18977</v>
      </c>
      <c r="B5493" s="23" t="s">
        <v>75</v>
      </c>
      <c r="C5493" s="39">
        <v>2999</v>
      </c>
      <c r="D5493" s="24">
        <v>9</v>
      </c>
      <c r="E5493" s="24">
        <v>1.62</v>
      </c>
      <c r="F5493" s="23">
        <f>COUNTIFS(mdr_rate_cleaned!$A$2:$A$10,B5493,mdr_rate_cleaned!$B$2:$B$10,"&lt;"&amp;C5493,mdr_rate_cleaned!$F$2:$F$10,"&gt;="&amp;C5493)</f>
        <v>1</v>
      </c>
      <c r="G5493" s="40">
        <f>SUMIFS(mdr_rate_cleaned!$G$2:$G$10,mdr_rate_cleaned!$A$2:$A$10,B5493,mdr_rate_cleaned!$B$2:$B$10,"&lt;"&amp;C5493,mdr_rate_cleaned!$F$2:$F$10,"&gt;="&amp;C5493)</f>
        <v>3.0000000000000001E-3</v>
      </c>
      <c r="H5493" s="24">
        <f t="shared" si="425"/>
        <v>9</v>
      </c>
      <c r="I5493" s="23" t="str">
        <f t="shared" si="426"/>
        <v>Match</v>
      </c>
      <c r="J5493" s="23" t="str">
        <f t="shared" si="427"/>
        <v>Match</v>
      </c>
      <c r="K5493" s="24">
        <f t="shared" si="428"/>
        <v>1.62</v>
      </c>
      <c r="L5493" s="24">
        <f t="shared" si="429"/>
        <v>0</v>
      </c>
    </row>
    <row r="5494" spans="1:12" ht="15" customHeight="1" x14ac:dyDescent="0.3">
      <c r="A5494" s="23" t="s">
        <v>18978</v>
      </c>
      <c r="B5494" s="23" t="s">
        <v>75</v>
      </c>
      <c r="C5494" s="39">
        <v>499</v>
      </c>
      <c r="D5494" s="24">
        <v>0</v>
      </c>
      <c r="E5494" s="24">
        <v>0</v>
      </c>
      <c r="F5494" s="23">
        <f>COUNTIFS(mdr_rate_cleaned!$A$2:$A$10,B5494,mdr_rate_cleaned!$B$2:$B$10,"&lt;"&amp;C5494,mdr_rate_cleaned!$F$2:$F$10,"&gt;="&amp;C5494)</f>
        <v>1</v>
      </c>
      <c r="G5494" s="40">
        <f>SUMIFS(mdr_rate_cleaned!$G$2:$G$10,mdr_rate_cleaned!$A$2:$A$10,B5494,mdr_rate_cleaned!$B$2:$B$10,"&lt;"&amp;C5494,mdr_rate_cleaned!$F$2:$F$10,"&gt;="&amp;C5494)</f>
        <v>0</v>
      </c>
      <c r="H5494" s="24">
        <f t="shared" si="425"/>
        <v>0</v>
      </c>
      <c r="I5494" s="23" t="str">
        <f t="shared" si="426"/>
        <v>Match</v>
      </c>
      <c r="J5494" s="23" t="str">
        <f t="shared" si="427"/>
        <v>Match</v>
      </c>
      <c r="K5494" s="24">
        <f t="shared" si="428"/>
        <v>0</v>
      </c>
      <c r="L5494" s="24">
        <f t="shared" si="429"/>
        <v>0</v>
      </c>
    </row>
    <row r="5495" spans="1:12" ht="15" customHeight="1" x14ac:dyDescent="0.3">
      <c r="A5495" s="23" t="s">
        <v>18979</v>
      </c>
      <c r="B5495" s="23" t="s">
        <v>79</v>
      </c>
      <c r="C5495" s="39">
        <v>299</v>
      </c>
      <c r="D5495" s="24">
        <v>5.38</v>
      </c>
      <c r="E5495" s="24">
        <v>0.97</v>
      </c>
      <c r="F5495" s="23">
        <f>COUNTIFS(mdr_rate_cleaned!$A$2:$A$10,B5495,mdr_rate_cleaned!$B$2:$B$10,"&lt;"&amp;C5495,mdr_rate_cleaned!$F$2:$F$10,"&gt;="&amp;C5495)</f>
        <v>1</v>
      </c>
      <c r="G5495" s="40">
        <f>SUMIFS(mdr_rate_cleaned!$G$2:$G$10,mdr_rate_cleaned!$A$2:$A$10,B5495,mdr_rate_cleaned!$B$2:$B$10,"&lt;"&amp;C5495,mdr_rate_cleaned!$F$2:$F$10,"&gt;="&amp;C5495)</f>
        <v>1.8000000000000002E-2</v>
      </c>
      <c r="H5495" s="24">
        <f t="shared" si="425"/>
        <v>5.38</v>
      </c>
      <c r="I5495" s="23" t="str">
        <f t="shared" si="426"/>
        <v>Match</v>
      </c>
      <c r="J5495" s="23" t="str">
        <f t="shared" si="427"/>
        <v>Match</v>
      </c>
      <c r="K5495" s="24">
        <f t="shared" si="428"/>
        <v>0.97</v>
      </c>
      <c r="L5495" s="24">
        <f t="shared" si="429"/>
        <v>0</v>
      </c>
    </row>
    <row r="5496" spans="1:12" ht="15" customHeight="1" x14ac:dyDescent="0.3">
      <c r="A5496" s="23" t="s">
        <v>18980</v>
      </c>
      <c r="B5496" s="23" t="s">
        <v>81</v>
      </c>
      <c r="C5496" s="39">
        <v>2499</v>
      </c>
      <c r="D5496" s="24">
        <v>29.99</v>
      </c>
      <c r="E5496" s="24">
        <v>5.4</v>
      </c>
      <c r="F5496" s="23">
        <f>COUNTIFS(mdr_rate_cleaned!$A$2:$A$10,B5496,mdr_rate_cleaned!$B$2:$B$10,"&lt;"&amp;C5496,mdr_rate_cleaned!$F$2:$F$10,"&gt;="&amp;C5496)</f>
        <v>1</v>
      </c>
      <c r="G5496" s="40">
        <f>SUMIFS(mdr_rate_cleaned!$G$2:$G$10,mdr_rate_cleaned!$A$2:$A$10,B5496,mdr_rate_cleaned!$B$2:$B$10,"&lt;"&amp;C5496,mdr_rate_cleaned!$F$2:$F$10,"&gt;="&amp;C5496)</f>
        <v>1.2E-2</v>
      </c>
      <c r="H5496" s="24">
        <f t="shared" si="425"/>
        <v>29.99</v>
      </c>
      <c r="I5496" s="23" t="str">
        <f t="shared" si="426"/>
        <v>Match</v>
      </c>
      <c r="J5496" s="23" t="str">
        <f t="shared" si="427"/>
        <v>Match</v>
      </c>
      <c r="K5496" s="24">
        <f t="shared" si="428"/>
        <v>5.4</v>
      </c>
      <c r="L5496" s="24">
        <f t="shared" si="429"/>
        <v>0</v>
      </c>
    </row>
    <row r="5497" spans="1:12" ht="15" customHeight="1" x14ac:dyDescent="0.3">
      <c r="A5497" s="23" t="s">
        <v>18982</v>
      </c>
      <c r="B5497" s="23" t="s">
        <v>77</v>
      </c>
      <c r="C5497" s="39">
        <v>999</v>
      </c>
      <c r="D5497" s="24">
        <v>18.98</v>
      </c>
      <c r="E5497" s="24">
        <v>3.42</v>
      </c>
      <c r="F5497" s="23">
        <f>COUNTIFS(mdr_rate_cleaned!$A$2:$A$10,B5497,mdr_rate_cleaned!$B$2:$B$10,"&lt;"&amp;C5497,mdr_rate_cleaned!$F$2:$F$10,"&gt;="&amp;C5497)</f>
        <v>1</v>
      </c>
      <c r="G5497" s="40">
        <f>SUMIFS(mdr_rate_cleaned!$G$2:$G$10,mdr_rate_cleaned!$A$2:$A$10,B5497,mdr_rate_cleaned!$B$2:$B$10,"&lt;"&amp;C5497,mdr_rate_cleaned!$F$2:$F$10,"&gt;="&amp;C5497)</f>
        <v>1.9E-2</v>
      </c>
      <c r="H5497" s="24">
        <f t="shared" si="425"/>
        <v>18.98</v>
      </c>
      <c r="I5497" s="23" t="str">
        <f t="shared" si="426"/>
        <v>Match</v>
      </c>
      <c r="J5497" s="23" t="str">
        <f t="shared" si="427"/>
        <v>Match</v>
      </c>
      <c r="K5497" s="24">
        <f t="shared" si="428"/>
        <v>3.42</v>
      </c>
      <c r="L5497" s="24">
        <f t="shared" si="429"/>
        <v>0</v>
      </c>
    </row>
    <row r="5498" spans="1:12" ht="15" customHeight="1" x14ac:dyDescent="0.3">
      <c r="A5498" s="23" t="s">
        <v>18984</v>
      </c>
      <c r="B5498" s="23" t="s">
        <v>81</v>
      </c>
      <c r="C5498" s="39">
        <v>349</v>
      </c>
      <c r="D5498" s="24">
        <v>5.24</v>
      </c>
      <c r="E5498" s="24">
        <v>0.94</v>
      </c>
      <c r="F5498" s="23">
        <f>COUNTIFS(mdr_rate_cleaned!$A$2:$A$10,B5498,mdr_rate_cleaned!$B$2:$B$10,"&lt;"&amp;C5498,mdr_rate_cleaned!$F$2:$F$10,"&gt;="&amp;C5498)</f>
        <v>1</v>
      </c>
      <c r="G5498" s="40">
        <f>SUMIFS(mdr_rate_cleaned!$G$2:$G$10,mdr_rate_cleaned!$A$2:$A$10,B5498,mdr_rate_cleaned!$B$2:$B$10,"&lt;"&amp;C5498,mdr_rate_cleaned!$F$2:$F$10,"&gt;="&amp;C5498)</f>
        <v>1.4999999999999999E-2</v>
      </c>
      <c r="H5498" s="24">
        <f t="shared" si="425"/>
        <v>5.24</v>
      </c>
      <c r="I5498" s="23" t="str">
        <f t="shared" si="426"/>
        <v>Match</v>
      </c>
      <c r="J5498" s="23" t="str">
        <f t="shared" si="427"/>
        <v>Match</v>
      </c>
      <c r="K5498" s="24">
        <f t="shared" si="428"/>
        <v>0.94</v>
      </c>
      <c r="L5498" s="24">
        <f t="shared" si="429"/>
        <v>0</v>
      </c>
    </row>
    <row r="5499" spans="1:12" ht="15" customHeight="1" x14ac:dyDescent="0.3">
      <c r="A5499" s="23" t="s">
        <v>18985</v>
      </c>
      <c r="B5499" s="23" t="s">
        <v>79</v>
      </c>
      <c r="C5499" s="39">
        <v>2999</v>
      </c>
      <c r="D5499" s="24">
        <v>47.98</v>
      </c>
      <c r="E5499" s="24">
        <v>8.64</v>
      </c>
      <c r="F5499" s="23">
        <f>COUNTIFS(mdr_rate_cleaned!$A$2:$A$10,B5499,mdr_rate_cleaned!$B$2:$B$10,"&lt;"&amp;C5499,mdr_rate_cleaned!$F$2:$F$10,"&gt;="&amp;C5499)</f>
        <v>1</v>
      </c>
      <c r="G5499" s="40">
        <f>SUMIFS(mdr_rate_cleaned!$G$2:$G$10,mdr_rate_cleaned!$A$2:$A$10,B5499,mdr_rate_cleaned!$B$2:$B$10,"&lt;"&amp;C5499,mdr_rate_cleaned!$F$2:$F$10,"&gt;="&amp;C5499)</f>
        <v>1.6E-2</v>
      </c>
      <c r="H5499" s="24">
        <f t="shared" si="425"/>
        <v>47.98</v>
      </c>
      <c r="I5499" s="23" t="str">
        <f t="shared" si="426"/>
        <v>Match</v>
      </c>
      <c r="J5499" s="23" t="str">
        <f t="shared" si="427"/>
        <v>Match</v>
      </c>
      <c r="K5499" s="24">
        <f t="shared" si="428"/>
        <v>8.64</v>
      </c>
      <c r="L5499" s="24">
        <f t="shared" si="429"/>
        <v>0</v>
      </c>
    </row>
    <row r="5500" spans="1:12" ht="15" customHeight="1" x14ac:dyDescent="0.3">
      <c r="A5500" s="23" t="s">
        <v>18986</v>
      </c>
      <c r="B5500" s="23" t="s">
        <v>75</v>
      </c>
      <c r="C5500" s="39">
        <v>599</v>
      </c>
      <c r="D5500" s="24">
        <v>0</v>
      </c>
      <c r="E5500" s="24">
        <v>0</v>
      </c>
      <c r="F5500" s="23">
        <f>COUNTIFS(mdr_rate_cleaned!$A$2:$A$10,B5500,mdr_rate_cleaned!$B$2:$B$10,"&lt;"&amp;C5500,mdr_rate_cleaned!$F$2:$F$10,"&gt;="&amp;C5500)</f>
        <v>1</v>
      </c>
      <c r="G5500" s="40">
        <f>SUMIFS(mdr_rate_cleaned!$G$2:$G$10,mdr_rate_cleaned!$A$2:$A$10,B5500,mdr_rate_cleaned!$B$2:$B$10,"&lt;"&amp;C5500,mdr_rate_cleaned!$F$2:$F$10,"&gt;="&amp;C5500)</f>
        <v>0</v>
      </c>
      <c r="H5500" s="24">
        <f t="shared" si="425"/>
        <v>0</v>
      </c>
      <c r="I5500" s="23" t="str">
        <f t="shared" si="426"/>
        <v>Match</v>
      </c>
      <c r="J5500" s="23" t="str">
        <f t="shared" si="427"/>
        <v>Match</v>
      </c>
      <c r="K5500" s="24">
        <f t="shared" si="428"/>
        <v>0</v>
      </c>
      <c r="L5500" s="24">
        <f t="shared" si="429"/>
        <v>0</v>
      </c>
    </row>
  </sheetData>
  <autoFilter ref="A1:L5500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zoomScaleNormal="100" workbookViewId="0"/>
  </sheetViews>
  <sheetFormatPr defaultColWidth="8.6640625" defaultRowHeight="14.4" x14ac:dyDescent="0.3"/>
  <cols>
    <col min="1" max="1" width="16" customWidth="1"/>
    <col min="2" max="3" width="14" customWidth="1"/>
    <col min="4" max="4" width="10" customWidth="1"/>
    <col min="5" max="5" width="15" customWidth="1"/>
    <col min="6" max="6" width="19" customWidth="1"/>
    <col min="7" max="8" width="10" customWidth="1"/>
  </cols>
  <sheetData>
    <row r="1" spans="1:8" ht="15" customHeight="1" x14ac:dyDescent="0.3">
      <c r="A1" s="17" t="s">
        <v>236</v>
      </c>
      <c r="B1" s="17" t="s">
        <v>19030</v>
      </c>
      <c r="C1" s="17" t="s">
        <v>19031</v>
      </c>
      <c r="D1" s="17" t="s">
        <v>19032</v>
      </c>
      <c r="E1" s="17" t="s">
        <v>19033</v>
      </c>
      <c r="F1" s="36" t="s">
        <v>19034</v>
      </c>
      <c r="G1" s="36" t="s">
        <v>19024</v>
      </c>
      <c r="H1" s="36" t="s">
        <v>19035</v>
      </c>
    </row>
    <row r="2" spans="1:8" ht="15" customHeight="1" x14ac:dyDescent="0.3">
      <c r="A2" s="23" t="s">
        <v>75</v>
      </c>
      <c r="B2" s="23">
        <v>0</v>
      </c>
      <c r="C2" s="23">
        <v>2000</v>
      </c>
      <c r="D2" s="23">
        <v>0</v>
      </c>
      <c r="E2" s="23">
        <v>18</v>
      </c>
      <c r="F2" s="41">
        <f t="shared" ref="F2:F10" si="0">IF(C2="",999999999,C2)</f>
        <v>2000</v>
      </c>
      <c r="G2" s="40">
        <f t="shared" ref="G2:G10" si="1">D2/100</f>
        <v>0</v>
      </c>
      <c r="H2" s="42">
        <f t="shared" ref="H2:H10" si="2">E2/100</f>
        <v>0.18</v>
      </c>
    </row>
    <row r="3" spans="1:8" ht="15" customHeight="1" x14ac:dyDescent="0.3">
      <c r="A3" s="23" t="s">
        <v>75</v>
      </c>
      <c r="B3" s="23">
        <v>2000</v>
      </c>
      <c r="C3" s="23"/>
      <c r="D3" s="23">
        <v>0.3</v>
      </c>
      <c r="E3" s="23">
        <v>18</v>
      </c>
      <c r="F3" s="41">
        <f t="shared" si="0"/>
        <v>999999999</v>
      </c>
      <c r="G3" s="40">
        <f t="shared" si="1"/>
        <v>3.0000000000000001E-3</v>
      </c>
      <c r="H3" s="42">
        <f t="shared" si="2"/>
        <v>0.18</v>
      </c>
    </row>
    <row r="4" spans="1:8" ht="15" customHeight="1" x14ac:dyDescent="0.3">
      <c r="A4" s="23" t="s">
        <v>79</v>
      </c>
      <c r="B4" s="23">
        <v>0</v>
      </c>
      <c r="C4" s="23">
        <v>2000</v>
      </c>
      <c r="D4" s="23">
        <v>1.8</v>
      </c>
      <c r="E4" s="23">
        <v>18</v>
      </c>
      <c r="F4" s="41">
        <f t="shared" si="0"/>
        <v>2000</v>
      </c>
      <c r="G4" s="40">
        <f t="shared" si="1"/>
        <v>1.8000000000000002E-2</v>
      </c>
      <c r="H4" s="42">
        <f t="shared" si="2"/>
        <v>0.18</v>
      </c>
    </row>
    <row r="5" spans="1:8" ht="15" customHeight="1" x14ac:dyDescent="0.3">
      <c r="A5" s="23" t="s">
        <v>79</v>
      </c>
      <c r="B5" s="23">
        <v>2000</v>
      </c>
      <c r="C5" s="23"/>
      <c r="D5" s="23">
        <v>1.6</v>
      </c>
      <c r="E5" s="23">
        <v>18</v>
      </c>
      <c r="F5" s="41">
        <f t="shared" si="0"/>
        <v>999999999</v>
      </c>
      <c r="G5" s="40">
        <f t="shared" si="1"/>
        <v>1.6E-2</v>
      </c>
      <c r="H5" s="42">
        <f t="shared" si="2"/>
        <v>0.18</v>
      </c>
    </row>
    <row r="6" spans="1:8" ht="15" customHeight="1" x14ac:dyDescent="0.3">
      <c r="A6" s="23" t="s">
        <v>81</v>
      </c>
      <c r="B6" s="23">
        <v>0</v>
      </c>
      <c r="C6" s="23">
        <v>2000</v>
      </c>
      <c r="D6" s="23">
        <v>1.5</v>
      </c>
      <c r="E6" s="23">
        <v>18</v>
      </c>
      <c r="F6" s="41">
        <f t="shared" si="0"/>
        <v>2000</v>
      </c>
      <c r="G6" s="40">
        <f t="shared" si="1"/>
        <v>1.4999999999999999E-2</v>
      </c>
      <c r="H6" s="42">
        <f t="shared" si="2"/>
        <v>0.18</v>
      </c>
    </row>
    <row r="7" spans="1:8" ht="15" customHeight="1" x14ac:dyDescent="0.3">
      <c r="A7" s="23" t="s">
        <v>81</v>
      </c>
      <c r="B7" s="23">
        <v>2000</v>
      </c>
      <c r="C7" s="23">
        <v>10000</v>
      </c>
      <c r="D7" s="23">
        <v>1.2</v>
      </c>
      <c r="E7" s="23">
        <v>18</v>
      </c>
      <c r="F7" s="41">
        <f t="shared" si="0"/>
        <v>10000</v>
      </c>
      <c r="G7" s="40">
        <f t="shared" si="1"/>
        <v>1.2E-2</v>
      </c>
      <c r="H7" s="42">
        <f t="shared" si="2"/>
        <v>0.18</v>
      </c>
    </row>
    <row r="8" spans="1:8" ht="15" customHeight="1" x14ac:dyDescent="0.3">
      <c r="A8" s="23" t="s">
        <v>81</v>
      </c>
      <c r="B8" s="23">
        <v>10000</v>
      </c>
      <c r="C8" s="23"/>
      <c r="D8" s="23">
        <v>0.9</v>
      </c>
      <c r="E8" s="23">
        <v>18</v>
      </c>
      <c r="F8" s="41">
        <f t="shared" si="0"/>
        <v>999999999</v>
      </c>
      <c r="G8" s="40">
        <f t="shared" si="1"/>
        <v>9.0000000000000011E-3</v>
      </c>
      <c r="H8" s="42">
        <f t="shared" si="2"/>
        <v>0.18</v>
      </c>
    </row>
    <row r="9" spans="1:8" ht="15" customHeight="1" x14ac:dyDescent="0.3">
      <c r="A9" s="23" t="s">
        <v>77</v>
      </c>
      <c r="B9" s="23">
        <v>0</v>
      </c>
      <c r="C9" s="23">
        <v>2000</v>
      </c>
      <c r="D9" s="23">
        <v>1.9</v>
      </c>
      <c r="E9" s="23">
        <v>18</v>
      </c>
      <c r="F9" s="41">
        <f t="shared" si="0"/>
        <v>2000</v>
      </c>
      <c r="G9" s="40">
        <f t="shared" si="1"/>
        <v>1.9E-2</v>
      </c>
      <c r="H9" s="42">
        <f t="shared" si="2"/>
        <v>0.18</v>
      </c>
    </row>
    <row r="10" spans="1:8" ht="15" customHeight="1" x14ac:dyDescent="0.3">
      <c r="A10" s="23" t="s">
        <v>77</v>
      </c>
      <c r="B10" s="23">
        <v>2000</v>
      </c>
      <c r="C10" s="23"/>
      <c r="D10" s="23">
        <v>1.7</v>
      </c>
      <c r="E10" s="23">
        <v>18</v>
      </c>
      <c r="F10" s="41">
        <f t="shared" si="0"/>
        <v>999999999</v>
      </c>
      <c r="G10" s="40">
        <f t="shared" si="1"/>
        <v>1.7000000000000001E-2</v>
      </c>
      <c r="H10" s="42">
        <f t="shared" si="2"/>
        <v>0.18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70" customWidth="1"/>
    <col min="3" max="3" width="19" customWidth="1"/>
    <col min="4" max="5" width="12" customWidth="1"/>
    <col min="6" max="7" width="14" customWidth="1"/>
    <col min="8" max="8" width="15" customWidth="1"/>
    <col min="9" max="9" width="10" customWidth="1"/>
    <col min="10" max="10" width="20" customWidth="1"/>
    <col min="11" max="11" width="14" customWidth="1"/>
  </cols>
  <sheetData>
    <row r="1" spans="1:11" ht="15" customHeight="1" x14ac:dyDescent="0.3">
      <c r="A1" s="17" t="s">
        <v>19036</v>
      </c>
      <c r="B1" s="17" t="s">
        <v>19037</v>
      </c>
      <c r="C1" s="17" t="s">
        <v>19038</v>
      </c>
      <c r="D1" s="17" t="s">
        <v>19039</v>
      </c>
      <c r="E1" s="17" t="s">
        <v>19040</v>
      </c>
      <c r="F1" s="17" t="s">
        <v>19041</v>
      </c>
      <c r="G1" s="17" t="s">
        <v>19042</v>
      </c>
      <c r="H1" s="17" t="s">
        <v>174</v>
      </c>
      <c r="I1" s="17" t="s">
        <v>19043</v>
      </c>
      <c r="J1" s="17" t="s">
        <v>19044</v>
      </c>
      <c r="K1" s="17" t="s">
        <v>19045</v>
      </c>
    </row>
    <row r="2" spans="1:11" ht="15" customHeight="1" x14ac:dyDescent="0.3">
      <c r="A2" s="38">
        <v>46266</v>
      </c>
      <c r="B2" s="23" t="s">
        <v>19046</v>
      </c>
      <c r="C2" s="23" t="s">
        <v>19047</v>
      </c>
      <c r="D2" s="24"/>
      <c r="E2" s="24">
        <v>132980</v>
      </c>
      <c r="F2" s="24">
        <f t="shared" ref="F2:F36" si="0">IF(D2="",0,VALUE(D2))</f>
        <v>0</v>
      </c>
      <c r="G2" s="24">
        <f t="shared" ref="G2:G36" si="1">IF(E2="",0,VALUE(E2))</f>
        <v>132980</v>
      </c>
      <c r="H2" s="23" t="str">
        <f t="shared" ref="H2:H36" si="2">IFERROR(MID(B2,FIND("STL-",B2),12),"")</f>
        <v/>
      </c>
      <c r="I2" s="23" t="str">
        <f t="shared" ref="I2:I36" si="3">IF(ISNUMBER(SEARCH("PAYGATE",B2)),"Gateway","Other")</f>
        <v>Other</v>
      </c>
      <c r="J2" s="23" t="str">
        <f t="shared" ref="J2:J36" si="4">IF(I2="Gateway","Gateway settlement",IF(ISNUMBER(SEARCH("COD",B2)),"COD remittance",IF(ISNUMBER(SEARCH("MARKETPLACE",B2)),"Marketplace payout",IF(ISNUMBER(SEARCH("GST",B2)),"GST payment",IF(ISNUMBER(SEARCH("SALARY",B2)),"Salary",IF(ISNUMBER(SEARCH("AWS",B2)),"Cloud (AWS)",IF(ISNUMBER(SEARCH("RENT",B2)),"Rent",IF(ISNUMBER(SEARCH("PACKAGING",B2)),"Packaging vendor",IF(ISNUMBER(SEARCH("BANK CHARGES",B2)),"Bank charges","Unclassified")))))))))</f>
        <v>COD remittance</v>
      </c>
      <c r="K2" s="24">
        <f t="shared" ref="K2:K36" si="5">G2-F2</f>
        <v>132980</v>
      </c>
    </row>
    <row r="3" spans="1:11" ht="15" customHeight="1" x14ac:dyDescent="0.3">
      <c r="A3" s="38">
        <v>46268</v>
      </c>
      <c r="B3" s="23" t="s">
        <v>19048</v>
      </c>
      <c r="C3" s="23" t="s">
        <v>19049</v>
      </c>
      <c r="D3" s="24"/>
      <c r="E3" s="24">
        <v>463778.55</v>
      </c>
      <c r="F3" s="24">
        <f t="shared" si="0"/>
        <v>0</v>
      </c>
      <c r="G3" s="24">
        <f t="shared" si="1"/>
        <v>463778.55</v>
      </c>
      <c r="H3" s="23" t="str">
        <f t="shared" si="2"/>
        <v>STL-20260903</v>
      </c>
      <c r="I3" s="23" t="str">
        <f t="shared" si="3"/>
        <v>Gateway</v>
      </c>
      <c r="J3" s="23" t="str">
        <f t="shared" si="4"/>
        <v>Gateway settlement</v>
      </c>
      <c r="K3" s="24">
        <f t="shared" si="5"/>
        <v>463778.55</v>
      </c>
    </row>
    <row r="4" spans="1:11" ht="15" customHeight="1" x14ac:dyDescent="0.3">
      <c r="A4" s="38">
        <v>46269</v>
      </c>
      <c r="B4" s="23" t="s">
        <v>19050</v>
      </c>
      <c r="C4" s="23" t="s">
        <v>19051</v>
      </c>
      <c r="D4" s="24"/>
      <c r="E4" s="24">
        <v>680913.82</v>
      </c>
      <c r="F4" s="24">
        <f t="shared" si="0"/>
        <v>0</v>
      </c>
      <c r="G4" s="24">
        <f t="shared" si="1"/>
        <v>680913.82</v>
      </c>
      <c r="H4" s="23" t="str">
        <f t="shared" si="2"/>
        <v>STL-20260904</v>
      </c>
      <c r="I4" s="23" t="str">
        <f t="shared" si="3"/>
        <v>Gateway</v>
      </c>
      <c r="J4" s="23" t="str">
        <f t="shared" si="4"/>
        <v>Gateway settlement</v>
      </c>
      <c r="K4" s="24">
        <f t="shared" si="5"/>
        <v>680913.82</v>
      </c>
    </row>
    <row r="5" spans="1:11" ht="15" customHeight="1" x14ac:dyDescent="0.3">
      <c r="A5" s="38">
        <v>46270</v>
      </c>
      <c r="B5" s="23" t="s">
        <v>19052</v>
      </c>
      <c r="C5" s="23" t="s">
        <v>19053</v>
      </c>
      <c r="D5" s="24"/>
      <c r="E5" s="24">
        <v>578249.99</v>
      </c>
      <c r="F5" s="24">
        <f t="shared" si="0"/>
        <v>0</v>
      </c>
      <c r="G5" s="24">
        <f t="shared" si="1"/>
        <v>578249.99</v>
      </c>
      <c r="H5" s="23" t="str">
        <f t="shared" si="2"/>
        <v>STL-20260905</v>
      </c>
      <c r="I5" s="23" t="str">
        <f t="shared" si="3"/>
        <v>Gateway</v>
      </c>
      <c r="J5" s="23" t="str">
        <f t="shared" si="4"/>
        <v>Gateway settlement</v>
      </c>
      <c r="K5" s="24">
        <f t="shared" si="5"/>
        <v>578249.99</v>
      </c>
    </row>
    <row r="6" spans="1:11" ht="15" customHeight="1" x14ac:dyDescent="0.3">
      <c r="A6" s="38">
        <v>46271</v>
      </c>
      <c r="B6" s="23" t="s">
        <v>19054</v>
      </c>
      <c r="C6" s="23" t="s">
        <v>19055</v>
      </c>
      <c r="D6" s="24"/>
      <c r="E6" s="24">
        <v>655139.18000000005</v>
      </c>
      <c r="F6" s="24">
        <f t="shared" si="0"/>
        <v>0</v>
      </c>
      <c r="G6" s="24">
        <f t="shared" si="1"/>
        <v>655139.18000000005</v>
      </c>
      <c r="H6" s="23" t="str">
        <f t="shared" si="2"/>
        <v>STL-20260906</v>
      </c>
      <c r="I6" s="23" t="str">
        <f t="shared" si="3"/>
        <v>Gateway</v>
      </c>
      <c r="J6" s="23" t="str">
        <f t="shared" si="4"/>
        <v>Gateway settlement</v>
      </c>
      <c r="K6" s="24">
        <f t="shared" si="5"/>
        <v>655139.18000000005</v>
      </c>
    </row>
    <row r="7" spans="1:11" ht="15" customHeight="1" x14ac:dyDescent="0.3">
      <c r="A7" s="38">
        <v>46272</v>
      </c>
      <c r="B7" s="23" t="s">
        <v>19056</v>
      </c>
      <c r="C7" s="23" t="s">
        <v>19057</v>
      </c>
      <c r="D7" s="24"/>
      <c r="E7" s="24">
        <v>614451.5</v>
      </c>
      <c r="F7" s="24">
        <f t="shared" si="0"/>
        <v>0</v>
      </c>
      <c r="G7" s="24">
        <f t="shared" si="1"/>
        <v>614451.5</v>
      </c>
      <c r="H7" s="23" t="str">
        <f t="shared" si="2"/>
        <v>STL-20260907</v>
      </c>
      <c r="I7" s="23" t="str">
        <f t="shared" si="3"/>
        <v>Gateway</v>
      </c>
      <c r="J7" s="23" t="str">
        <f t="shared" si="4"/>
        <v>Gateway settlement</v>
      </c>
      <c r="K7" s="24">
        <f t="shared" si="5"/>
        <v>614451.5</v>
      </c>
    </row>
    <row r="8" spans="1:11" ht="15" customHeight="1" x14ac:dyDescent="0.3">
      <c r="A8" s="38">
        <v>46273</v>
      </c>
      <c r="B8" s="23" t="s">
        <v>19058</v>
      </c>
      <c r="C8" s="23" t="s">
        <v>19059</v>
      </c>
      <c r="D8" s="24"/>
      <c r="E8" s="24">
        <v>704983.27</v>
      </c>
      <c r="F8" s="24">
        <f t="shared" si="0"/>
        <v>0</v>
      </c>
      <c r="G8" s="24">
        <f t="shared" si="1"/>
        <v>704983.27</v>
      </c>
      <c r="H8" s="23" t="str">
        <f t="shared" si="2"/>
        <v>STL-20260908</v>
      </c>
      <c r="I8" s="23" t="str">
        <f t="shared" si="3"/>
        <v>Gateway</v>
      </c>
      <c r="J8" s="23" t="str">
        <f t="shared" si="4"/>
        <v>Gateway settlement</v>
      </c>
      <c r="K8" s="24">
        <f t="shared" si="5"/>
        <v>704983.27</v>
      </c>
    </row>
    <row r="9" spans="1:11" ht="15" customHeight="1" x14ac:dyDescent="0.3">
      <c r="A9" s="38">
        <v>46274</v>
      </c>
      <c r="B9" s="23" t="s">
        <v>19060</v>
      </c>
      <c r="C9" s="23" t="s">
        <v>19061</v>
      </c>
      <c r="D9" s="24"/>
      <c r="E9" s="24">
        <v>606316.51</v>
      </c>
      <c r="F9" s="24">
        <f t="shared" si="0"/>
        <v>0</v>
      </c>
      <c r="G9" s="24">
        <f t="shared" si="1"/>
        <v>606316.51</v>
      </c>
      <c r="H9" s="23" t="str">
        <f t="shared" si="2"/>
        <v>STL-20260909</v>
      </c>
      <c r="I9" s="23" t="str">
        <f t="shared" si="3"/>
        <v>Gateway</v>
      </c>
      <c r="J9" s="23" t="str">
        <f t="shared" si="4"/>
        <v>Gateway settlement</v>
      </c>
      <c r="K9" s="24">
        <f t="shared" si="5"/>
        <v>606316.51</v>
      </c>
    </row>
    <row r="10" spans="1:11" ht="15" customHeight="1" x14ac:dyDescent="0.3">
      <c r="A10" s="38">
        <v>46275</v>
      </c>
      <c r="B10" s="23" t="s">
        <v>19062</v>
      </c>
      <c r="C10" s="23" t="s">
        <v>19063</v>
      </c>
      <c r="D10" s="24"/>
      <c r="E10" s="24">
        <v>740734.12</v>
      </c>
      <c r="F10" s="24">
        <f t="shared" si="0"/>
        <v>0</v>
      </c>
      <c r="G10" s="24">
        <f t="shared" si="1"/>
        <v>740734.12</v>
      </c>
      <c r="H10" s="23" t="str">
        <f t="shared" si="2"/>
        <v>STL-20260910</v>
      </c>
      <c r="I10" s="23" t="str">
        <f t="shared" si="3"/>
        <v>Gateway</v>
      </c>
      <c r="J10" s="23" t="str">
        <f t="shared" si="4"/>
        <v>Gateway settlement</v>
      </c>
      <c r="K10" s="24">
        <f t="shared" si="5"/>
        <v>740734.12</v>
      </c>
    </row>
    <row r="11" spans="1:11" ht="15" customHeight="1" x14ac:dyDescent="0.3">
      <c r="A11" s="38">
        <v>46276</v>
      </c>
      <c r="B11" s="23" t="s">
        <v>19064</v>
      </c>
      <c r="C11" s="23" t="s">
        <v>19065</v>
      </c>
      <c r="D11" s="24"/>
      <c r="E11" s="24">
        <v>555161.99</v>
      </c>
      <c r="F11" s="24">
        <f t="shared" si="0"/>
        <v>0</v>
      </c>
      <c r="G11" s="24">
        <f t="shared" si="1"/>
        <v>555161.99</v>
      </c>
      <c r="H11" s="23" t="str">
        <f t="shared" si="2"/>
        <v>STL-20260911</v>
      </c>
      <c r="I11" s="23" t="str">
        <f t="shared" si="3"/>
        <v>Gateway</v>
      </c>
      <c r="J11" s="23" t="str">
        <f t="shared" si="4"/>
        <v>Gateway settlement</v>
      </c>
      <c r="K11" s="24">
        <f t="shared" si="5"/>
        <v>555161.99</v>
      </c>
    </row>
    <row r="12" spans="1:11" ht="15" customHeight="1" x14ac:dyDescent="0.3">
      <c r="A12" s="38">
        <v>46278</v>
      </c>
      <c r="B12" s="23" t="s">
        <v>19066</v>
      </c>
      <c r="C12" s="23" t="s">
        <v>19067</v>
      </c>
      <c r="D12" s="24"/>
      <c r="E12" s="24">
        <v>654313.30000000005</v>
      </c>
      <c r="F12" s="24">
        <f t="shared" si="0"/>
        <v>0</v>
      </c>
      <c r="G12" s="24">
        <f t="shared" si="1"/>
        <v>654313.30000000005</v>
      </c>
      <c r="H12" s="23" t="str">
        <f t="shared" si="2"/>
        <v>STL-20260913</v>
      </c>
      <c r="I12" s="23" t="str">
        <f t="shared" si="3"/>
        <v>Gateway</v>
      </c>
      <c r="J12" s="23" t="str">
        <f t="shared" si="4"/>
        <v>Gateway settlement</v>
      </c>
      <c r="K12" s="24">
        <f t="shared" si="5"/>
        <v>654313.30000000005</v>
      </c>
    </row>
    <row r="13" spans="1:11" ht="15" customHeight="1" x14ac:dyDescent="0.3">
      <c r="A13" s="38">
        <v>46279</v>
      </c>
      <c r="B13" s="23" t="s">
        <v>19068</v>
      </c>
      <c r="C13" s="23" t="s">
        <v>19069</v>
      </c>
      <c r="D13" s="24">
        <v>212450</v>
      </c>
      <c r="E13" s="24"/>
      <c r="F13" s="24">
        <f t="shared" si="0"/>
        <v>212450</v>
      </c>
      <c r="G13" s="24">
        <f t="shared" si="1"/>
        <v>0</v>
      </c>
      <c r="H13" s="23" t="str">
        <f t="shared" si="2"/>
        <v/>
      </c>
      <c r="I13" s="23" t="str">
        <f t="shared" si="3"/>
        <v>Other</v>
      </c>
      <c r="J13" s="23" t="str">
        <f t="shared" si="4"/>
        <v>GST payment</v>
      </c>
      <c r="K13" s="24">
        <f t="shared" si="5"/>
        <v>-212450</v>
      </c>
    </row>
    <row r="14" spans="1:11" ht="15" customHeight="1" x14ac:dyDescent="0.3">
      <c r="A14" s="38">
        <v>46279</v>
      </c>
      <c r="B14" s="23" t="s">
        <v>19070</v>
      </c>
      <c r="C14" s="23" t="s">
        <v>19071</v>
      </c>
      <c r="D14" s="24"/>
      <c r="E14" s="24">
        <v>596289.91</v>
      </c>
      <c r="F14" s="24">
        <f t="shared" si="0"/>
        <v>0</v>
      </c>
      <c r="G14" s="24">
        <f t="shared" si="1"/>
        <v>596289.91</v>
      </c>
      <c r="H14" s="23" t="str">
        <f t="shared" si="2"/>
        <v>STL-20260914</v>
      </c>
      <c r="I14" s="23" t="str">
        <f t="shared" si="3"/>
        <v>Gateway</v>
      </c>
      <c r="J14" s="23" t="str">
        <f t="shared" si="4"/>
        <v>Gateway settlement</v>
      </c>
      <c r="K14" s="24">
        <f t="shared" si="5"/>
        <v>596289.91</v>
      </c>
    </row>
    <row r="15" spans="1:11" ht="15" customHeight="1" x14ac:dyDescent="0.3">
      <c r="A15" s="38">
        <v>46280</v>
      </c>
      <c r="B15" s="23" t="s">
        <v>19072</v>
      </c>
      <c r="C15" s="23" t="s">
        <v>19073</v>
      </c>
      <c r="D15" s="24"/>
      <c r="E15" s="24">
        <v>773297.25</v>
      </c>
      <c r="F15" s="24">
        <f t="shared" si="0"/>
        <v>0</v>
      </c>
      <c r="G15" s="24">
        <f t="shared" si="1"/>
        <v>773297.25</v>
      </c>
      <c r="H15" s="23" t="str">
        <f t="shared" si="2"/>
        <v>STL-20260915</v>
      </c>
      <c r="I15" s="23" t="str">
        <f t="shared" si="3"/>
        <v>Gateway</v>
      </c>
      <c r="J15" s="23" t="str">
        <f t="shared" si="4"/>
        <v>Gateway settlement</v>
      </c>
      <c r="K15" s="24">
        <f t="shared" si="5"/>
        <v>773297.25</v>
      </c>
    </row>
    <row r="16" spans="1:11" ht="15" customHeight="1" x14ac:dyDescent="0.3">
      <c r="A16" s="38">
        <v>46281</v>
      </c>
      <c r="B16" s="23" t="s">
        <v>19074</v>
      </c>
      <c r="C16" s="23" t="s">
        <v>19075</v>
      </c>
      <c r="D16" s="24"/>
      <c r="E16" s="24">
        <v>614772.68000000005</v>
      </c>
      <c r="F16" s="24">
        <f t="shared" si="0"/>
        <v>0</v>
      </c>
      <c r="G16" s="24">
        <f t="shared" si="1"/>
        <v>614772.68000000005</v>
      </c>
      <c r="H16" s="23" t="str">
        <f t="shared" si="2"/>
        <v>STL-20260916</v>
      </c>
      <c r="I16" s="23" t="str">
        <f t="shared" si="3"/>
        <v>Gateway</v>
      </c>
      <c r="J16" s="23" t="str">
        <f t="shared" si="4"/>
        <v>Gateway settlement</v>
      </c>
      <c r="K16" s="24">
        <f t="shared" si="5"/>
        <v>614772.68000000005</v>
      </c>
    </row>
    <row r="17" spans="1:11" ht="15" customHeight="1" x14ac:dyDescent="0.3">
      <c r="A17" s="38">
        <v>46282</v>
      </c>
      <c r="B17" s="23" t="s">
        <v>19076</v>
      </c>
      <c r="C17" s="23" t="s">
        <v>19077</v>
      </c>
      <c r="D17" s="24"/>
      <c r="E17" s="24">
        <v>671270.49</v>
      </c>
      <c r="F17" s="24">
        <f t="shared" si="0"/>
        <v>0</v>
      </c>
      <c r="G17" s="24">
        <f t="shared" si="1"/>
        <v>671270.49</v>
      </c>
      <c r="H17" s="23" t="str">
        <f t="shared" si="2"/>
        <v>STL-20260917</v>
      </c>
      <c r="I17" s="23" t="str">
        <f t="shared" si="3"/>
        <v>Gateway</v>
      </c>
      <c r="J17" s="23" t="str">
        <f t="shared" si="4"/>
        <v>Gateway settlement</v>
      </c>
      <c r="K17" s="24">
        <f t="shared" si="5"/>
        <v>671270.49</v>
      </c>
    </row>
    <row r="18" spans="1:11" ht="15" customHeight="1" x14ac:dyDescent="0.3">
      <c r="A18" s="38">
        <v>46282</v>
      </c>
      <c r="B18" s="23" t="s">
        <v>19078</v>
      </c>
      <c r="C18" s="23" t="s">
        <v>19079</v>
      </c>
      <c r="D18" s="24"/>
      <c r="E18" s="24">
        <v>74320.55</v>
      </c>
      <c r="F18" s="24">
        <f t="shared" si="0"/>
        <v>0</v>
      </c>
      <c r="G18" s="24">
        <f t="shared" si="1"/>
        <v>74320.55</v>
      </c>
      <c r="H18" s="23" t="str">
        <f t="shared" si="2"/>
        <v/>
      </c>
      <c r="I18" s="23" t="str">
        <f t="shared" si="3"/>
        <v>Other</v>
      </c>
      <c r="J18" s="23" t="str">
        <f t="shared" si="4"/>
        <v>Marketplace payout</v>
      </c>
      <c r="K18" s="24">
        <f t="shared" si="5"/>
        <v>74320.55</v>
      </c>
    </row>
    <row r="19" spans="1:11" ht="15" customHeight="1" x14ac:dyDescent="0.3">
      <c r="A19" s="38">
        <v>46283</v>
      </c>
      <c r="B19" s="23" t="s">
        <v>19080</v>
      </c>
      <c r="C19" s="23" t="s">
        <v>19081</v>
      </c>
      <c r="D19" s="24"/>
      <c r="E19" s="24">
        <v>589645.35</v>
      </c>
      <c r="F19" s="24">
        <f t="shared" si="0"/>
        <v>0</v>
      </c>
      <c r="G19" s="24">
        <f t="shared" si="1"/>
        <v>589645.35</v>
      </c>
      <c r="H19" s="23" t="str">
        <f t="shared" si="2"/>
        <v>STL-20260918</v>
      </c>
      <c r="I19" s="23" t="str">
        <f t="shared" si="3"/>
        <v>Gateway</v>
      </c>
      <c r="J19" s="23" t="str">
        <f t="shared" si="4"/>
        <v>Gateway settlement</v>
      </c>
      <c r="K19" s="24">
        <f t="shared" si="5"/>
        <v>589645.35</v>
      </c>
    </row>
    <row r="20" spans="1:11" ht="15" customHeight="1" x14ac:dyDescent="0.3">
      <c r="A20" s="38">
        <v>46284</v>
      </c>
      <c r="B20" s="23" t="s">
        <v>19082</v>
      </c>
      <c r="C20" s="23" t="s">
        <v>19083</v>
      </c>
      <c r="D20" s="24"/>
      <c r="E20" s="24">
        <v>610773.29</v>
      </c>
      <c r="F20" s="24">
        <f t="shared" si="0"/>
        <v>0</v>
      </c>
      <c r="G20" s="24">
        <f t="shared" si="1"/>
        <v>610773.29</v>
      </c>
      <c r="H20" s="23" t="str">
        <f t="shared" si="2"/>
        <v>STL-20260919</v>
      </c>
      <c r="I20" s="23" t="str">
        <f t="shared" si="3"/>
        <v>Gateway</v>
      </c>
      <c r="J20" s="23" t="str">
        <f t="shared" si="4"/>
        <v>Gateway settlement</v>
      </c>
      <c r="K20" s="24">
        <f t="shared" si="5"/>
        <v>610773.29</v>
      </c>
    </row>
    <row r="21" spans="1:11" ht="15" customHeight="1" x14ac:dyDescent="0.3">
      <c r="A21" s="38">
        <v>46285</v>
      </c>
      <c r="B21" s="23" t="s">
        <v>19084</v>
      </c>
      <c r="C21" s="23" t="s">
        <v>19085</v>
      </c>
      <c r="D21" s="24"/>
      <c r="E21" s="24">
        <v>548940.41</v>
      </c>
      <c r="F21" s="24">
        <f t="shared" si="0"/>
        <v>0</v>
      </c>
      <c r="G21" s="24">
        <f t="shared" si="1"/>
        <v>548940.41</v>
      </c>
      <c r="H21" s="23" t="str">
        <f t="shared" si="2"/>
        <v>STL-20260920</v>
      </c>
      <c r="I21" s="23" t="str">
        <f t="shared" si="3"/>
        <v>Gateway</v>
      </c>
      <c r="J21" s="23" t="str">
        <f t="shared" si="4"/>
        <v>Gateway settlement</v>
      </c>
      <c r="K21" s="24">
        <f t="shared" si="5"/>
        <v>548940.41</v>
      </c>
    </row>
    <row r="22" spans="1:11" ht="15" customHeight="1" x14ac:dyDescent="0.3">
      <c r="A22" s="38">
        <v>46286</v>
      </c>
      <c r="B22" s="23" t="s">
        <v>19086</v>
      </c>
      <c r="C22" s="23" t="s">
        <v>19087</v>
      </c>
      <c r="D22" s="24"/>
      <c r="E22" s="24">
        <v>592258.61</v>
      </c>
      <c r="F22" s="24">
        <f t="shared" si="0"/>
        <v>0</v>
      </c>
      <c r="G22" s="24">
        <f t="shared" si="1"/>
        <v>592258.61</v>
      </c>
      <c r="H22" s="23" t="str">
        <f t="shared" si="2"/>
        <v>STL-20260921</v>
      </c>
      <c r="I22" s="23" t="str">
        <f t="shared" si="3"/>
        <v>Gateway</v>
      </c>
      <c r="J22" s="23" t="str">
        <f t="shared" si="4"/>
        <v>Gateway settlement</v>
      </c>
      <c r="K22" s="24">
        <f t="shared" si="5"/>
        <v>592258.61</v>
      </c>
    </row>
    <row r="23" spans="1:11" ht="15" customHeight="1" x14ac:dyDescent="0.3">
      <c r="A23" s="38">
        <v>46287</v>
      </c>
      <c r="B23" s="23" t="s">
        <v>19088</v>
      </c>
      <c r="C23" s="23" t="s">
        <v>19089</v>
      </c>
      <c r="D23" s="24"/>
      <c r="E23" s="24">
        <v>584876.78</v>
      </c>
      <c r="F23" s="24">
        <f t="shared" si="0"/>
        <v>0</v>
      </c>
      <c r="G23" s="24">
        <f t="shared" si="1"/>
        <v>584876.78</v>
      </c>
      <c r="H23" s="23" t="str">
        <f t="shared" si="2"/>
        <v>STL-20260922</v>
      </c>
      <c r="I23" s="23" t="str">
        <f t="shared" si="3"/>
        <v>Gateway</v>
      </c>
      <c r="J23" s="23" t="str">
        <f t="shared" si="4"/>
        <v>Gateway settlement</v>
      </c>
      <c r="K23" s="24">
        <f t="shared" si="5"/>
        <v>584876.78</v>
      </c>
    </row>
    <row r="24" spans="1:11" ht="15" customHeight="1" x14ac:dyDescent="0.3">
      <c r="A24" s="38">
        <v>46287</v>
      </c>
      <c r="B24" s="23" t="s">
        <v>19090</v>
      </c>
      <c r="C24" s="23" t="s">
        <v>19091</v>
      </c>
      <c r="D24" s="24">
        <v>640000</v>
      </c>
      <c r="E24" s="24"/>
      <c r="F24" s="24">
        <f t="shared" si="0"/>
        <v>640000</v>
      </c>
      <c r="G24" s="24">
        <f t="shared" si="1"/>
        <v>0</v>
      </c>
      <c r="H24" s="23" t="str">
        <f t="shared" si="2"/>
        <v/>
      </c>
      <c r="I24" s="23" t="str">
        <f t="shared" si="3"/>
        <v>Other</v>
      </c>
      <c r="J24" s="23" t="str">
        <f t="shared" si="4"/>
        <v>Salary</v>
      </c>
      <c r="K24" s="24">
        <f t="shared" si="5"/>
        <v>-640000</v>
      </c>
    </row>
    <row r="25" spans="1:11" ht="15" customHeight="1" x14ac:dyDescent="0.3">
      <c r="A25" s="38">
        <v>46288</v>
      </c>
      <c r="B25" s="23" t="s">
        <v>19092</v>
      </c>
      <c r="C25" s="23" t="s">
        <v>19093</v>
      </c>
      <c r="D25" s="24"/>
      <c r="E25" s="24">
        <v>590273.39</v>
      </c>
      <c r="F25" s="24">
        <f t="shared" si="0"/>
        <v>0</v>
      </c>
      <c r="G25" s="24">
        <f t="shared" si="1"/>
        <v>590273.39</v>
      </c>
      <c r="H25" s="23" t="str">
        <f t="shared" si="2"/>
        <v>STL-20260923</v>
      </c>
      <c r="I25" s="23" t="str">
        <f t="shared" si="3"/>
        <v>Gateway</v>
      </c>
      <c r="J25" s="23" t="str">
        <f t="shared" si="4"/>
        <v>Gateway settlement</v>
      </c>
      <c r="K25" s="24">
        <f t="shared" si="5"/>
        <v>590273.39</v>
      </c>
    </row>
    <row r="26" spans="1:11" ht="15" customHeight="1" x14ac:dyDescent="0.3">
      <c r="A26" s="38">
        <v>46289</v>
      </c>
      <c r="B26" s="23" t="s">
        <v>19094</v>
      </c>
      <c r="C26" s="23" t="s">
        <v>19095</v>
      </c>
      <c r="D26" s="24"/>
      <c r="E26" s="24">
        <v>540644.22</v>
      </c>
      <c r="F26" s="24">
        <f t="shared" si="0"/>
        <v>0</v>
      </c>
      <c r="G26" s="24">
        <f t="shared" si="1"/>
        <v>540644.22</v>
      </c>
      <c r="H26" s="23" t="str">
        <f t="shared" si="2"/>
        <v>STL-20260924</v>
      </c>
      <c r="I26" s="23" t="str">
        <f t="shared" si="3"/>
        <v>Gateway</v>
      </c>
      <c r="J26" s="23" t="str">
        <f t="shared" si="4"/>
        <v>Gateway settlement</v>
      </c>
      <c r="K26" s="24">
        <f t="shared" si="5"/>
        <v>540644.22</v>
      </c>
    </row>
    <row r="27" spans="1:11" ht="15" customHeight="1" x14ac:dyDescent="0.3">
      <c r="A27" s="38">
        <v>46290</v>
      </c>
      <c r="B27" s="23" t="s">
        <v>19096</v>
      </c>
      <c r="C27" s="23" t="s">
        <v>19097</v>
      </c>
      <c r="D27" s="24"/>
      <c r="E27" s="24">
        <v>594966.59</v>
      </c>
      <c r="F27" s="24">
        <f t="shared" si="0"/>
        <v>0</v>
      </c>
      <c r="G27" s="24">
        <f t="shared" si="1"/>
        <v>594966.59</v>
      </c>
      <c r="H27" s="23" t="str">
        <f t="shared" si="2"/>
        <v>STL-20260925</v>
      </c>
      <c r="I27" s="23" t="str">
        <f t="shared" si="3"/>
        <v>Gateway</v>
      </c>
      <c r="J27" s="23" t="str">
        <f t="shared" si="4"/>
        <v>Gateway settlement</v>
      </c>
      <c r="K27" s="24">
        <f t="shared" si="5"/>
        <v>594966.59</v>
      </c>
    </row>
    <row r="28" spans="1:11" ht="15" customHeight="1" x14ac:dyDescent="0.3">
      <c r="A28" s="38">
        <v>46290</v>
      </c>
      <c r="B28" s="23" t="s">
        <v>19098</v>
      </c>
      <c r="C28" s="23" t="s">
        <v>19099</v>
      </c>
      <c r="D28" s="24">
        <v>48231.199999999997</v>
      </c>
      <c r="E28" s="24"/>
      <c r="F28" s="24">
        <f t="shared" si="0"/>
        <v>48231.199999999997</v>
      </c>
      <c r="G28" s="24">
        <f t="shared" si="1"/>
        <v>0</v>
      </c>
      <c r="H28" s="23" t="str">
        <f t="shared" si="2"/>
        <v/>
      </c>
      <c r="I28" s="23" t="str">
        <f t="shared" si="3"/>
        <v>Other</v>
      </c>
      <c r="J28" s="23" t="str">
        <f t="shared" si="4"/>
        <v>Cloud (AWS)</v>
      </c>
      <c r="K28" s="24">
        <f t="shared" si="5"/>
        <v>-48231.199999999997</v>
      </c>
    </row>
    <row r="29" spans="1:11" ht="15" customHeight="1" x14ac:dyDescent="0.3">
      <c r="A29" s="38">
        <v>46291</v>
      </c>
      <c r="B29" s="23" t="s">
        <v>19100</v>
      </c>
      <c r="C29" s="23" t="s">
        <v>19101</v>
      </c>
      <c r="D29" s="24"/>
      <c r="E29" s="24">
        <v>711251.32</v>
      </c>
      <c r="F29" s="24">
        <f t="shared" si="0"/>
        <v>0</v>
      </c>
      <c r="G29" s="24">
        <f t="shared" si="1"/>
        <v>711251.32</v>
      </c>
      <c r="H29" s="23" t="str">
        <f t="shared" si="2"/>
        <v>STL-20260926</v>
      </c>
      <c r="I29" s="23" t="str">
        <f t="shared" si="3"/>
        <v>Gateway</v>
      </c>
      <c r="J29" s="23" t="str">
        <f t="shared" si="4"/>
        <v>Gateway settlement</v>
      </c>
      <c r="K29" s="24">
        <f t="shared" si="5"/>
        <v>711251.32</v>
      </c>
    </row>
    <row r="30" spans="1:11" ht="15" customHeight="1" x14ac:dyDescent="0.3">
      <c r="A30" s="38">
        <v>46291</v>
      </c>
      <c r="B30" s="23" t="s">
        <v>19102</v>
      </c>
      <c r="C30" s="23" t="s">
        <v>19103</v>
      </c>
      <c r="D30" s="24">
        <v>185000</v>
      </c>
      <c r="E30" s="24"/>
      <c r="F30" s="24">
        <f t="shared" si="0"/>
        <v>185000</v>
      </c>
      <c r="G30" s="24">
        <f t="shared" si="1"/>
        <v>0</v>
      </c>
      <c r="H30" s="23" t="str">
        <f t="shared" si="2"/>
        <v/>
      </c>
      <c r="I30" s="23" t="str">
        <f t="shared" si="3"/>
        <v>Other</v>
      </c>
      <c r="J30" s="23" t="str">
        <f t="shared" si="4"/>
        <v>Rent</v>
      </c>
      <c r="K30" s="24">
        <f t="shared" si="5"/>
        <v>-185000</v>
      </c>
    </row>
    <row r="31" spans="1:11" ht="15" customHeight="1" x14ac:dyDescent="0.3">
      <c r="A31" s="38">
        <v>46292</v>
      </c>
      <c r="B31" s="23" t="s">
        <v>19104</v>
      </c>
      <c r="C31" s="23" t="s">
        <v>19105</v>
      </c>
      <c r="D31" s="24"/>
      <c r="E31" s="24">
        <v>805057.1</v>
      </c>
      <c r="F31" s="24">
        <f t="shared" si="0"/>
        <v>0</v>
      </c>
      <c r="G31" s="24">
        <f t="shared" si="1"/>
        <v>805057.1</v>
      </c>
      <c r="H31" s="23" t="str">
        <f t="shared" si="2"/>
        <v>STL-20260927</v>
      </c>
      <c r="I31" s="23" t="str">
        <f t="shared" si="3"/>
        <v>Gateway</v>
      </c>
      <c r="J31" s="23" t="str">
        <f t="shared" si="4"/>
        <v>Gateway settlement</v>
      </c>
      <c r="K31" s="24">
        <f t="shared" si="5"/>
        <v>805057.1</v>
      </c>
    </row>
    <row r="32" spans="1:11" ht="15" customHeight="1" x14ac:dyDescent="0.3">
      <c r="A32" s="38">
        <v>46292</v>
      </c>
      <c r="B32" s="23" t="s">
        <v>19106</v>
      </c>
      <c r="C32" s="23" t="s">
        <v>19107</v>
      </c>
      <c r="D32" s="24">
        <v>96500</v>
      </c>
      <c r="E32" s="24"/>
      <c r="F32" s="24">
        <f t="shared" si="0"/>
        <v>96500</v>
      </c>
      <c r="G32" s="24">
        <f t="shared" si="1"/>
        <v>0</v>
      </c>
      <c r="H32" s="23" t="str">
        <f t="shared" si="2"/>
        <v/>
      </c>
      <c r="I32" s="23" t="str">
        <f t="shared" si="3"/>
        <v>Other</v>
      </c>
      <c r="J32" s="23" t="str">
        <f t="shared" si="4"/>
        <v>Packaging vendor</v>
      </c>
      <c r="K32" s="24">
        <f t="shared" si="5"/>
        <v>-96500</v>
      </c>
    </row>
    <row r="33" spans="1:11" ht="15" customHeight="1" x14ac:dyDescent="0.3">
      <c r="A33" s="38">
        <v>46293</v>
      </c>
      <c r="B33" s="23" t="s">
        <v>19108</v>
      </c>
      <c r="C33" s="23" t="s">
        <v>19109</v>
      </c>
      <c r="D33" s="24"/>
      <c r="E33" s="24">
        <v>569672.43000000005</v>
      </c>
      <c r="F33" s="24">
        <f t="shared" si="0"/>
        <v>0</v>
      </c>
      <c r="G33" s="24">
        <f t="shared" si="1"/>
        <v>569672.43000000005</v>
      </c>
      <c r="H33" s="23" t="str">
        <f t="shared" si="2"/>
        <v>STL-20260928</v>
      </c>
      <c r="I33" s="23" t="str">
        <f t="shared" si="3"/>
        <v>Gateway</v>
      </c>
      <c r="J33" s="23" t="str">
        <f t="shared" si="4"/>
        <v>Gateway settlement</v>
      </c>
      <c r="K33" s="24">
        <f t="shared" si="5"/>
        <v>569672.43000000005</v>
      </c>
    </row>
    <row r="34" spans="1:11" ht="15" customHeight="1" x14ac:dyDescent="0.3">
      <c r="A34" s="38">
        <v>46294</v>
      </c>
      <c r="B34" s="23" t="s">
        <v>19110</v>
      </c>
      <c r="C34" s="23" t="s">
        <v>19111</v>
      </c>
      <c r="D34" s="24"/>
      <c r="E34" s="24">
        <v>641930.73</v>
      </c>
      <c r="F34" s="24">
        <f t="shared" si="0"/>
        <v>0</v>
      </c>
      <c r="G34" s="24">
        <f t="shared" si="1"/>
        <v>641930.73</v>
      </c>
      <c r="H34" s="23" t="str">
        <f t="shared" si="2"/>
        <v>STL-20260929</v>
      </c>
      <c r="I34" s="23" t="str">
        <f t="shared" si="3"/>
        <v>Gateway</v>
      </c>
      <c r="J34" s="23" t="str">
        <f t="shared" si="4"/>
        <v>Gateway settlement</v>
      </c>
      <c r="K34" s="24">
        <f t="shared" si="5"/>
        <v>641930.73</v>
      </c>
    </row>
    <row r="35" spans="1:11" ht="15" customHeight="1" x14ac:dyDescent="0.3">
      <c r="A35" s="38">
        <v>46295</v>
      </c>
      <c r="B35" s="23" t="s">
        <v>19112</v>
      </c>
      <c r="C35" s="23" t="s">
        <v>19113</v>
      </c>
      <c r="D35" s="24"/>
      <c r="E35" s="24">
        <v>694085.78</v>
      </c>
      <c r="F35" s="24">
        <f t="shared" si="0"/>
        <v>0</v>
      </c>
      <c r="G35" s="24">
        <f t="shared" si="1"/>
        <v>694085.78</v>
      </c>
      <c r="H35" s="23" t="str">
        <f t="shared" si="2"/>
        <v>STL-20260930</v>
      </c>
      <c r="I35" s="23" t="str">
        <f t="shared" si="3"/>
        <v>Gateway</v>
      </c>
      <c r="J35" s="23" t="str">
        <f t="shared" si="4"/>
        <v>Gateway settlement</v>
      </c>
      <c r="K35" s="24">
        <f t="shared" si="5"/>
        <v>694085.78</v>
      </c>
    </row>
    <row r="36" spans="1:11" ht="15" customHeight="1" x14ac:dyDescent="0.3">
      <c r="A36" s="38">
        <v>46295</v>
      </c>
      <c r="B36" s="23" t="s">
        <v>19114</v>
      </c>
      <c r="C36" s="23" t="s">
        <v>19115</v>
      </c>
      <c r="D36" s="24">
        <v>59</v>
      </c>
      <c r="E36" s="24"/>
      <c r="F36" s="24">
        <f t="shared" si="0"/>
        <v>59</v>
      </c>
      <c r="G36" s="24">
        <f t="shared" si="1"/>
        <v>0</v>
      </c>
      <c r="H36" s="23" t="str">
        <f t="shared" si="2"/>
        <v/>
      </c>
      <c r="I36" s="23" t="str">
        <f t="shared" si="3"/>
        <v>Other</v>
      </c>
      <c r="J36" s="23" t="str">
        <f t="shared" si="4"/>
        <v>Bank charges</v>
      </c>
      <c r="K36" s="24">
        <f t="shared" si="5"/>
        <v>-59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8" customWidth="1"/>
    <col min="3" max="3" width="12" customWidth="1"/>
    <col min="4" max="4" width="11" customWidth="1"/>
    <col min="5" max="5" width="15" customWidth="1"/>
    <col min="6" max="7" width="13" customWidth="1"/>
    <col min="8" max="8" width="20" customWidth="1"/>
  </cols>
  <sheetData>
    <row r="1" spans="1:8" ht="23.25" customHeight="1" x14ac:dyDescent="0.3">
      <c r="A1" s="17" t="s">
        <v>12394</v>
      </c>
      <c r="B1" s="17" t="s">
        <v>12396</v>
      </c>
      <c r="C1" s="17" t="s">
        <v>12398</v>
      </c>
      <c r="D1" s="17" t="s">
        <v>12399</v>
      </c>
      <c r="E1" s="17" t="s">
        <v>236</v>
      </c>
      <c r="F1" s="17" t="s">
        <v>12400</v>
      </c>
      <c r="G1" s="17" t="s">
        <v>12403</v>
      </c>
      <c r="H1" s="17" t="s">
        <v>12404</v>
      </c>
    </row>
    <row r="2" spans="1:8" ht="15" customHeight="1" x14ac:dyDescent="0.3">
      <c r="A2" s="23" t="s">
        <v>13684</v>
      </c>
      <c r="B2" s="23" t="s">
        <v>662</v>
      </c>
      <c r="C2" s="38">
        <v>46272</v>
      </c>
      <c r="D2" s="23" t="s">
        <v>12410</v>
      </c>
      <c r="E2" s="23" t="s">
        <v>81</v>
      </c>
      <c r="F2" s="39">
        <v>499</v>
      </c>
      <c r="G2" s="39">
        <v>490.16</v>
      </c>
      <c r="H2" s="23" t="s">
        <v>193</v>
      </c>
    </row>
    <row r="3" spans="1:8" ht="15" customHeight="1" x14ac:dyDescent="0.3">
      <c r="A3" s="23" t="s">
        <v>13731</v>
      </c>
      <c r="B3" s="23" t="s">
        <v>13732</v>
      </c>
      <c r="C3" s="38">
        <v>46272</v>
      </c>
      <c r="D3" s="23" t="s">
        <v>12410</v>
      </c>
      <c r="E3" s="23" t="s">
        <v>75</v>
      </c>
      <c r="F3" s="39">
        <v>799</v>
      </c>
      <c r="G3" s="39">
        <v>799</v>
      </c>
      <c r="H3" s="23" t="s">
        <v>193</v>
      </c>
    </row>
    <row r="4" spans="1:8" ht="15" customHeight="1" x14ac:dyDescent="0.3">
      <c r="A4" s="23" t="s">
        <v>13855</v>
      </c>
      <c r="B4" s="23" t="s">
        <v>11012</v>
      </c>
      <c r="C4" s="38">
        <v>46272</v>
      </c>
      <c r="D4" s="23" t="s">
        <v>12410</v>
      </c>
      <c r="E4" s="23" t="s">
        <v>79</v>
      </c>
      <c r="F4" s="39">
        <v>499</v>
      </c>
      <c r="G4" s="39">
        <v>488.4</v>
      </c>
      <c r="H4" s="23" t="s">
        <v>193</v>
      </c>
    </row>
    <row r="5" spans="1:8" ht="15" customHeight="1" x14ac:dyDescent="0.3">
      <c r="A5" s="23" t="s">
        <v>13992</v>
      </c>
      <c r="B5" s="23" t="s">
        <v>5343</v>
      </c>
      <c r="C5" s="38">
        <v>46273</v>
      </c>
      <c r="D5" s="23" t="s">
        <v>12410</v>
      </c>
      <c r="E5" s="23" t="s">
        <v>81</v>
      </c>
      <c r="F5" s="39">
        <v>3098</v>
      </c>
      <c r="G5" s="39">
        <v>3054.13</v>
      </c>
      <c r="H5" s="23" t="s">
        <v>194</v>
      </c>
    </row>
    <row r="6" spans="1:8" ht="15" customHeight="1" x14ac:dyDescent="0.3">
      <c r="A6" s="23" t="s">
        <v>14794</v>
      </c>
      <c r="B6" s="23" t="s">
        <v>11780</v>
      </c>
      <c r="C6" s="38">
        <v>46276</v>
      </c>
      <c r="D6" s="23" t="s">
        <v>12410</v>
      </c>
      <c r="E6" s="23" t="s">
        <v>77</v>
      </c>
      <c r="F6" s="39">
        <v>3499</v>
      </c>
      <c r="G6" s="39">
        <v>3428.81</v>
      </c>
      <c r="H6" s="23" t="s">
        <v>196</v>
      </c>
    </row>
    <row r="7" spans="1:8" ht="15" customHeight="1" x14ac:dyDescent="0.3">
      <c r="A7" s="23" t="s">
        <v>16185</v>
      </c>
      <c r="B7" s="23" t="s">
        <v>2128</v>
      </c>
      <c r="C7" s="38">
        <v>46283</v>
      </c>
      <c r="D7" s="23" t="s">
        <v>12410</v>
      </c>
      <c r="E7" s="23" t="s">
        <v>79</v>
      </c>
      <c r="F7" s="39">
        <v>599</v>
      </c>
      <c r="G7" s="39">
        <v>586.28</v>
      </c>
      <c r="H7" s="23" t="s">
        <v>212</v>
      </c>
    </row>
    <row r="8" spans="1:8" ht="15" customHeight="1" x14ac:dyDescent="0.3">
      <c r="A8" s="23" t="s">
        <v>16292</v>
      </c>
      <c r="B8" s="23" t="s">
        <v>9092</v>
      </c>
      <c r="C8" s="38">
        <v>46283</v>
      </c>
      <c r="D8" s="23" t="s">
        <v>12410</v>
      </c>
      <c r="E8" s="23" t="s">
        <v>75</v>
      </c>
      <c r="F8" s="39">
        <v>5998</v>
      </c>
      <c r="G8" s="39">
        <v>5976.77</v>
      </c>
      <c r="H8" s="23" t="s">
        <v>212</v>
      </c>
    </row>
    <row r="9" spans="1:8" ht="15" customHeight="1" x14ac:dyDescent="0.3">
      <c r="A9" s="23" t="s">
        <v>17488</v>
      </c>
      <c r="B9" s="23" t="s">
        <v>4770</v>
      </c>
      <c r="C9" s="38">
        <v>46289</v>
      </c>
      <c r="D9" s="23" t="s">
        <v>12410</v>
      </c>
      <c r="E9" s="23" t="s">
        <v>77</v>
      </c>
      <c r="F9" s="39">
        <v>999</v>
      </c>
      <c r="G9" s="39">
        <v>976.6</v>
      </c>
      <c r="H9" s="23" t="s">
        <v>224</v>
      </c>
    </row>
    <row r="10" spans="1:8" ht="15" customHeight="1" x14ac:dyDescent="0.3">
      <c r="A10" s="23" t="s">
        <v>17936</v>
      </c>
      <c r="B10" s="23" t="s">
        <v>4423</v>
      </c>
      <c r="C10" s="38">
        <v>46291</v>
      </c>
      <c r="D10" s="23" t="s">
        <v>12410</v>
      </c>
      <c r="E10" s="23" t="s">
        <v>75</v>
      </c>
      <c r="F10" s="39">
        <v>4397</v>
      </c>
      <c r="G10" s="39">
        <v>4381.4399999999996</v>
      </c>
      <c r="H10" s="23" t="s">
        <v>228</v>
      </c>
    </row>
    <row r="11" spans="1:8" ht="15" customHeight="1" x14ac:dyDescent="0.3">
      <c r="A11" s="23" t="s">
        <v>18348</v>
      </c>
      <c r="B11" s="23" t="s">
        <v>18349</v>
      </c>
      <c r="C11" s="38">
        <v>46293</v>
      </c>
      <c r="D11" s="23" t="s">
        <v>12410</v>
      </c>
      <c r="E11" s="23" t="s">
        <v>75</v>
      </c>
      <c r="F11" s="39">
        <v>4999</v>
      </c>
      <c r="G11" s="39">
        <v>4981.3</v>
      </c>
      <c r="H11" s="23" t="s">
        <v>231</v>
      </c>
    </row>
    <row r="12" spans="1:8" ht="15" customHeight="1" x14ac:dyDescent="0.3">
      <c r="E12" s="22" t="s">
        <v>127</v>
      </c>
      <c r="F12" s="43">
        <f>SUM(F2:F11)</f>
        <v>25386</v>
      </c>
      <c r="G12" s="43">
        <f>SUM(G2:G11)</f>
        <v>25162.89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8" customWidth="1"/>
    <col min="3" max="3" width="14" customWidth="1"/>
    <col min="4" max="4" width="100" customWidth="1"/>
  </cols>
  <sheetData>
    <row r="1" spans="1:4" ht="15" customHeight="1" x14ac:dyDescent="0.3">
      <c r="A1" s="17" t="s">
        <v>19116</v>
      </c>
      <c r="B1" s="17" t="s">
        <v>19117</v>
      </c>
      <c r="C1" s="17" t="s">
        <v>19118</v>
      </c>
      <c r="D1" s="17" t="s">
        <v>19119</v>
      </c>
    </row>
    <row r="2" spans="1:4" ht="15" customHeight="1" x14ac:dyDescent="0.3">
      <c r="A2" s="23" t="s">
        <v>19120</v>
      </c>
      <c r="B2" s="23" t="s">
        <v>970</v>
      </c>
      <c r="C2" s="24">
        <v>3298</v>
      </c>
      <c r="D2" s="23" t="s">
        <v>19121</v>
      </c>
    </row>
    <row r="3" spans="1:4" ht="15" customHeight="1" x14ac:dyDescent="0.3">
      <c r="A3" s="23" t="s">
        <v>19120</v>
      </c>
      <c r="B3" s="23" t="s">
        <v>1302</v>
      </c>
      <c r="C3" s="24">
        <v>799</v>
      </c>
      <c r="D3" s="23" t="s">
        <v>19122</v>
      </c>
    </row>
    <row r="4" spans="1:4" ht="15" customHeight="1" x14ac:dyDescent="0.3">
      <c r="A4" s="23" t="s">
        <v>19120</v>
      </c>
      <c r="B4" s="23" t="s">
        <v>1311</v>
      </c>
      <c r="C4" s="24">
        <v>599</v>
      </c>
      <c r="D4" s="23" t="s">
        <v>19123</v>
      </c>
    </row>
    <row r="5" spans="1:4" ht="15" customHeight="1" x14ac:dyDescent="0.3">
      <c r="A5" s="23" t="s">
        <v>19120</v>
      </c>
      <c r="B5" s="23" t="s">
        <v>1482</v>
      </c>
      <c r="C5" s="24">
        <v>1499</v>
      </c>
      <c r="D5" s="23" t="s">
        <v>19124</v>
      </c>
    </row>
    <row r="6" spans="1:4" ht="15" customHeight="1" x14ac:dyDescent="0.3">
      <c r="A6" s="23" t="s">
        <v>19120</v>
      </c>
      <c r="B6" s="23" t="s">
        <v>1767</v>
      </c>
      <c r="C6" s="24">
        <v>1148</v>
      </c>
      <c r="D6" s="23" t="s">
        <v>19125</v>
      </c>
    </row>
    <row r="7" spans="1:4" ht="15" customHeight="1" x14ac:dyDescent="0.3">
      <c r="A7" s="23" t="s">
        <v>19120</v>
      </c>
      <c r="B7" s="23" t="s">
        <v>2913</v>
      </c>
      <c r="C7" s="24">
        <v>2598</v>
      </c>
      <c r="D7" s="23" t="s">
        <v>19126</v>
      </c>
    </row>
    <row r="8" spans="1:4" ht="15" customHeight="1" x14ac:dyDescent="0.3">
      <c r="A8" s="23" t="s">
        <v>19120</v>
      </c>
      <c r="B8" s="23" t="s">
        <v>3645</v>
      </c>
      <c r="C8" s="24">
        <v>5298</v>
      </c>
      <c r="D8" s="23" t="s">
        <v>19127</v>
      </c>
    </row>
    <row r="9" spans="1:4" ht="15" customHeight="1" x14ac:dyDescent="0.3">
      <c r="A9" s="23" t="s">
        <v>19120</v>
      </c>
      <c r="B9" s="23" t="s">
        <v>3705</v>
      </c>
      <c r="C9" s="24">
        <v>648</v>
      </c>
      <c r="D9" s="23" t="s">
        <v>19128</v>
      </c>
    </row>
    <row r="10" spans="1:4" ht="15" customHeight="1" x14ac:dyDescent="0.3">
      <c r="A10" s="23" t="s">
        <v>19120</v>
      </c>
      <c r="B10" s="23" t="s">
        <v>4541</v>
      </c>
      <c r="C10" s="24">
        <v>5998</v>
      </c>
      <c r="D10" s="23" t="s">
        <v>19129</v>
      </c>
    </row>
    <row r="11" spans="1:4" ht="15" customHeight="1" x14ac:dyDescent="0.3">
      <c r="A11" s="23" t="s">
        <v>19120</v>
      </c>
      <c r="B11" s="23" t="s">
        <v>5683</v>
      </c>
      <c r="C11" s="24">
        <v>599</v>
      </c>
      <c r="D11" s="23" t="s">
        <v>19123</v>
      </c>
    </row>
    <row r="12" spans="1:4" ht="15" customHeight="1" x14ac:dyDescent="0.3">
      <c r="A12" s="23" t="s">
        <v>19120</v>
      </c>
      <c r="B12" s="23" t="s">
        <v>5730</v>
      </c>
      <c r="C12" s="24">
        <v>4999</v>
      </c>
      <c r="D12" s="23" t="s">
        <v>19130</v>
      </c>
    </row>
    <row r="13" spans="1:4" ht="15" customHeight="1" x14ac:dyDescent="0.3">
      <c r="A13" s="23" t="s">
        <v>19120</v>
      </c>
      <c r="B13" s="23" t="s">
        <v>6196</v>
      </c>
      <c r="C13" s="24">
        <v>8348</v>
      </c>
      <c r="D13" s="23" t="s">
        <v>19131</v>
      </c>
    </row>
    <row r="14" spans="1:4" ht="15" customHeight="1" x14ac:dyDescent="0.3">
      <c r="A14" s="23" t="s">
        <v>19120</v>
      </c>
      <c r="B14" s="23" t="s">
        <v>6799</v>
      </c>
      <c r="C14" s="24">
        <v>299</v>
      </c>
      <c r="D14" s="23" t="s">
        <v>19132</v>
      </c>
    </row>
    <row r="15" spans="1:4" ht="15" customHeight="1" x14ac:dyDescent="0.3">
      <c r="A15" s="23" t="s">
        <v>19120</v>
      </c>
      <c r="B15" s="23" t="s">
        <v>7617</v>
      </c>
      <c r="C15" s="24">
        <v>299</v>
      </c>
      <c r="D15" s="23" t="s">
        <v>19133</v>
      </c>
    </row>
    <row r="16" spans="1:4" ht="15" customHeight="1" x14ac:dyDescent="0.3">
      <c r="A16" s="23" t="s">
        <v>19120</v>
      </c>
      <c r="B16" s="23" t="s">
        <v>8331</v>
      </c>
      <c r="C16" s="24">
        <v>3499</v>
      </c>
      <c r="D16" s="23" t="s">
        <v>19134</v>
      </c>
    </row>
    <row r="17" spans="1:4" ht="15" customHeight="1" x14ac:dyDescent="0.3">
      <c r="A17" s="23" t="s">
        <v>19120</v>
      </c>
      <c r="B17" s="23" t="s">
        <v>8437</v>
      </c>
      <c r="C17" s="24">
        <v>5597</v>
      </c>
      <c r="D17" s="23" t="s">
        <v>19135</v>
      </c>
    </row>
    <row r="18" spans="1:4" ht="15" customHeight="1" x14ac:dyDescent="0.3">
      <c r="A18" s="23" t="s">
        <v>19120</v>
      </c>
      <c r="B18" s="23" t="s">
        <v>9049</v>
      </c>
      <c r="C18" s="24">
        <v>3499</v>
      </c>
      <c r="D18" s="23" t="s">
        <v>19136</v>
      </c>
    </row>
    <row r="19" spans="1:4" ht="15" customHeight="1" x14ac:dyDescent="0.3">
      <c r="A19" s="23" t="s">
        <v>19120</v>
      </c>
      <c r="B19" s="23" t="s">
        <v>9890</v>
      </c>
      <c r="C19" s="24">
        <v>2999</v>
      </c>
      <c r="D19" s="23" t="s">
        <v>19137</v>
      </c>
    </row>
    <row r="20" spans="1:4" ht="15" customHeight="1" x14ac:dyDescent="0.3">
      <c r="A20" s="23" t="s">
        <v>19120</v>
      </c>
      <c r="B20" s="23" t="s">
        <v>10729</v>
      </c>
      <c r="C20" s="24">
        <v>5497</v>
      </c>
      <c r="D20" s="23" t="s">
        <v>19138</v>
      </c>
    </row>
    <row r="21" spans="1:4" ht="15" customHeight="1" x14ac:dyDescent="0.3">
      <c r="A21" s="23" t="s">
        <v>19120</v>
      </c>
      <c r="B21" s="23" t="s">
        <v>12184</v>
      </c>
      <c r="C21" s="24">
        <v>10097</v>
      </c>
      <c r="D21" s="23" t="s">
        <v>19139</v>
      </c>
    </row>
    <row r="22" spans="1:4" ht="15" customHeight="1" x14ac:dyDescent="0.3">
      <c r="A22" s="23" t="s">
        <v>19140</v>
      </c>
      <c r="B22" s="23" t="s">
        <v>18058</v>
      </c>
      <c r="C22" s="24">
        <v>7999</v>
      </c>
      <c r="D22" s="23" t="s">
        <v>19141</v>
      </c>
    </row>
    <row r="23" spans="1:4" ht="15" customHeight="1" x14ac:dyDescent="0.3">
      <c r="A23" s="23" t="s">
        <v>19140</v>
      </c>
      <c r="B23" s="23" t="s">
        <v>18514</v>
      </c>
      <c r="C23" s="24">
        <v>799</v>
      </c>
      <c r="D23" s="23" t="s">
        <v>19142</v>
      </c>
    </row>
    <row r="24" spans="1:4" ht="15" customHeight="1" x14ac:dyDescent="0.3">
      <c r="A24" s="23" t="s">
        <v>19140</v>
      </c>
      <c r="B24" s="23" t="s">
        <v>14145</v>
      </c>
      <c r="C24" s="24">
        <v>1799</v>
      </c>
      <c r="D24" s="23" t="s">
        <v>19143</v>
      </c>
    </row>
    <row r="25" spans="1:4" ht="15" customHeight="1" x14ac:dyDescent="0.3">
      <c r="A25" s="23" t="s">
        <v>19140</v>
      </c>
      <c r="B25" s="23" t="s">
        <v>13892</v>
      </c>
      <c r="C25" s="24">
        <v>1299</v>
      </c>
      <c r="D25" s="23" t="s">
        <v>19144</v>
      </c>
    </row>
    <row r="26" spans="1:4" ht="15" customHeight="1" x14ac:dyDescent="0.3">
      <c r="A26" s="23" t="s">
        <v>19140</v>
      </c>
      <c r="B26" s="23" t="s">
        <v>13678</v>
      </c>
      <c r="C26" s="24">
        <v>999</v>
      </c>
      <c r="D26" s="23" t="s">
        <v>19145</v>
      </c>
    </row>
    <row r="27" spans="1:4" ht="15" customHeight="1" x14ac:dyDescent="0.3">
      <c r="A27" s="23" t="s">
        <v>19140</v>
      </c>
      <c r="B27" s="23" t="s">
        <v>12557</v>
      </c>
      <c r="C27" s="24">
        <v>7999</v>
      </c>
      <c r="D27" s="23" t="s">
        <v>19146</v>
      </c>
    </row>
    <row r="28" spans="1:4" ht="15" customHeight="1" x14ac:dyDescent="0.3">
      <c r="A28" s="23" t="s">
        <v>19140</v>
      </c>
      <c r="B28" s="23" t="s">
        <v>15031</v>
      </c>
      <c r="C28" s="24">
        <v>599</v>
      </c>
      <c r="D28" s="23" t="s">
        <v>19147</v>
      </c>
    </row>
    <row r="29" spans="1:4" ht="15" customHeight="1" x14ac:dyDescent="0.3">
      <c r="A29" s="23" t="s">
        <v>19140</v>
      </c>
      <c r="B29" s="23" t="s">
        <v>17407</v>
      </c>
      <c r="C29" s="24">
        <v>3499</v>
      </c>
      <c r="D29" s="23" t="s">
        <v>19148</v>
      </c>
    </row>
    <row r="30" spans="1:4" ht="15" customHeight="1" x14ac:dyDescent="0.3">
      <c r="A30" s="23" t="s">
        <v>19149</v>
      </c>
      <c r="B30" s="23" t="s">
        <v>903</v>
      </c>
      <c r="C30" s="24">
        <v>-399</v>
      </c>
      <c r="D30" s="23" t="s">
        <v>19150</v>
      </c>
    </row>
    <row r="31" spans="1:4" ht="15" customHeight="1" x14ac:dyDescent="0.3">
      <c r="A31" s="23" t="s">
        <v>19149</v>
      </c>
      <c r="B31" s="23" t="s">
        <v>1435</v>
      </c>
      <c r="C31" s="24">
        <v>-149</v>
      </c>
      <c r="D31" s="23" t="s">
        <v>19151</v>
      </c>
    </row>
    <row r="32" spans="1:4" ht="15" customHeight="1" x14ac:dyDescent="0.3">
      <c r="A32" s="23" t="s">
        <v>19149</v>
      </c>
      <c r="B32" s="23" t="s">
        <v>1721</v>
      </c>
      <c r="C32" s="24">
        <v>-149</v>
      </c>
      <c r="D32" s="23" t="s">
        <v>19152</v>
      </c>
    </row>
    <row r="33" spans="1:4" ht="15" customHeight="1" x14ac:dyDescent="0.3">
      <c r="A33" s="23" t="s">
        <v>19149</v>
      </c>
      <c r="B33" s="23" t="s">
        <v>2487</v>
      </c>
      <c r="C33" s="24">
        <v>-149</v>
      </c>
      <c r="D33" s="23" t="s">
        <v>19153</v>
      </c>
    </row>
    <row r="34" spans="1:4" ht="15" customHeight="1" x14ac:dyDescent="0.3">
      <c r="A34" s="23" t="s">
        <v>19149</v>
      </c>
      <c r="B34" s="23" t="s">
        <v>2728</v>
      </c>
      <c r="C34" s="24">
        <v>-100</v>
      </c>
      <c r="D34" s="23" t="s">
        <v>19154</v>
      </c>
    </row>
    <row r="35" spans="1:4" ht="15" customHeight="1" x14ac:dyDescent="0.3">
      <c r="A35" s="23" t="s">
        <v>19149</v>
      </c>
      <c r="B35" s="23" t="s">
        <v>3306</v>
      </c>
      <c r="C35" s="24">
        <v>-50</v>
      </c>
      <c r="D35" s="23" t="s">
        <v>19155</v>
      </c>
    </row>
    <row r="36" spans="1:4" ht="15" customHeight="1" x14ac:dyDescent="0.3">
      <c r="A36" s="23" t="s">
        <v>19149</v>
      </c>
      <c r="B36" s="23" t="s">
        <v>3554</v>
      </c>
      <c r="C36" s="24">
        <v>-149</v>
      </c>
      <c r="D36" s="23" t="s">
        <v>19156</v>
      </c>
    </row>
    <row r="37" spans="1:4" ht="15" customHeight="1" x14ac:dyDescent="0.3">
      <c r="A37" s="23" t="s">
        <v>19149</v>
      </c>
      <c r="B37" s="23" t="s">
        <v>3853</v>
      </c>
      <c r="C37" s="24">
        <v>-200</v>
      </c>
      <c r="D37" s="23" t="s">
        <v>19157</v>
      </c>
    </row>
    <row r="38" spans="1:4" ht="15" customHeight="1" x14ac:dyDescent="0.3">
      <c r="A38" s="23" t="s">
        <v>19149</v>
      </c>
      <c r="B38" s="23" t="s">
        <v>3964</v>
      </c>
      <c r="C38" s="24">
        <v>-200</v>
      </c>
      <c r="D38" s="23" t="s">
        <v>19158</v>
      </c>
    </row>
    <row r="39" spans="1:4" ht="15" customHeight="1" x14ac:dyDescent="0.3">
      <c r="A39" s="23" t="s">
        <v>19149</v>
      </c>
      <c r="B39" s="23" t="s">
        <v>4503</v>
      </c>
      <c r="C39" s="24">
        <v>-500</v>
      </c>
      <c r="D39" s="23" t="s">
        <v>19159</v>
      </c>
    </row>
    <row r="40" spans="1:4" ht="15" customHeight="1" x14ac:dyDescent="0.3">
      <c r="A40" s="23" t="s">
        <v>19149</v>
      </c>
      <c r="B40" s="23" t="s">
        <v>5303</v>
      </c>
      <c r="C40" s="24">
        <v>-500</v>
      </c>
      <c r="D40" s="23" t="s">
        <v>19160</v>
      </c>
    </row>
    <row r="41" spans="1:4" ht="15" customHeight="1" x14ac:dyDescent="0.3">
      <c r="A41" s="23" t="s">
        <v>19149</v>
      </c>
      <c r="B41" s="23" t="s">
        <v>6682</v>
      </c>
      <c r="C41" s="24">
        <v>-250</v>
      </c>
      <c r="D41" s="23" t="s">
        <v>19161</v>
      </c>
    </row>
    <row r="42" spans="1:4" ht="15" customHeight="1" x14ac:dyDescent="0.3">
      <c r="A42" s="23" t="s">
        <v>19149</v>
      </c>
      <c r="B42" s="23" t="s">
        <v>6783</v>
      </c>
      <c r="C42" s="24">
        <v>-100</v>
      </c>
      <c r="D42" s="23" t="s">
        <v>19162</v>
      </c>
    </row>
    <row r="43" spans="1:4" ht="15" customHeight="1" x14ac:dyDescent="0.3">
      <c r="A43" s="23" t="s">
        <v>19149</v>
      </c>
      <c r="B43" s="23" t="s">
        <v>7482</v>
      </c>
      <c r="C43" s="24">
        <v>-50</v>
      </c>
      <c r="D43" s="23" t="s">
        <v>19163</v>
      </c>
    </row>
    <row r="44" spans="1:4" ht="15" customHeight="1" x14ac:dyDescent="0.3">
      <c r="A44" s="23" t="s">
        <v>19149</v>
      </c>
      <c r="B44" s="23" t="s">
        <v>11724</v>
      </c>
      <c r="C44" s="24">
        <v>-200</v>
      </c>
      <c r="D44" s="23" t="s">
        <v>19164</v>
      </c>
    </row>
    <row r="45" spans="1:4" ht="15" customHeight="1" x14ac:dyDescent="0.3">
      <c r="A45" s="23" t="s">
        <v>19165</v>
      </c>
      <c r="B45" s="23" t="s">
        <v>997</v>
      </c>
      <c r="C45" s="24">
        <v>1947</v>
      </c>
      <c r="D45" s="23" t="s">
        <v>19166</v>
      </c>
    </row>
    <row r="46" spans="1:4" ht="15" customHeight="1" x14ac:dyDescent="0.3">
      <c r="A46" s="23" t="s">
        <v>19165</v>
      </c>
      <c r="B46" s="23" t="s">
        <v>3443</v>
      </c>
      <c r="C46" s="24">
        <v>12998</v>
      </c>
      <c r="D46" s="23" t="s">
        <v>19167</v>
      </c>
    </row>
    <row r="47" spans="1:4" ht="15" customHeight="1" x14ac:dyDescent="0.3">
      <c r="A47" s="23" t="s">
        <v>19165</v>
      </c>
      <c r="B47" s="23" t="s">
        <v>5269</v>
      </c>
      <c r="C47" s="24">
        <v>4797</v>
      </c>
      <c r="D47" s="23" t="s">
        <v>19168</v>
      </c>
    </row>
    <row r="48" spans="1:4" ht="15" customHeight="1" x14ac:dyDescent="0.3">
      <c r="A48" s="23" t="s">
        <v>19165</v>
      </c>
      <c r="B48" s="23" t="s">
        <v>7379</v>
      </c>
      <c r="C48" s="24">
        <v>3499</v>
      </c>
      <c r="D48" s="23" t="s">
        <v>19169</v>
      </c>
    </row>
    <row r="49" spans="1:4" ht="15" customHeight="1" x14ac:dyDescent="0.3">
      <c r="A49" s="23" t="s">
        <v>19165</v>
      </c>
      <c r="B49" s="23" t="s">
        <v>8410</v>
      </c>
      <c r="C49" s="24">
        <v>1499</v>
      </c>
      <c r="D49" s="23" t="s">
        <v>19170</v>
      </c>
    </row>
    <row r="50" spans="1:4" ht="15" customHeight="1" x14ac:dyDescent="0.3">
      <c r="A50" s="23" t="s">
        <v>19165</v>
      </c>
      <c r="B50" s="23" t="s">
        <v>11875</v>
      </c>
      <c r="C50" s="24">
        <v>799</v>
      </c>
      <c r="D50" s="23" t="s">
        <v>19171</v>
      </c>
    </row>
    <row r="51" spans="1:4" ht="15" customHeight="1" x14ac:dyDescent="0.3">
      <c r="A51" s="23" t="s">
        <v>19172</v>
      </c>
      <c r="B51" s="23" t="s">
        <v>1075</v>
      </c>
      <c r="C51" s="24">
        <v>8797</v>
      </c>
      <c r="D51" s="23" t="s">
        <v>19173</v>
      </c>
    </row>
    <row r="52" spans="1:4" ht="15" customHeight="1" x14ac:dyDescent="0.3">
      <c r="A52" s="23" t="s">
        <v>19172</v>
      </c>
      <c r="B52" s="23" t="s">
        <v>1149</v>
      </c>
      <c r="C52" s="24">
        <v>499</v>
      </c>
      <c r="D52" s="23" t="s">
        <v>19174</v>
      </c>
    </row>
    <row r="53" spans="1:4" ht="15" customHeight="1" x14ac:dyDescent="0.3">
      <c r="A53" s="23" t="s">
        <v>19172</v>
      </c>
      <c r="B53" s="23" t="s">
        <v>2466</v>
      </c>
      <c r="C53" s="24">
        <v>2998</v>
      </c>
      <c r="D53" s="23" t="s">
        <v>19175</v>
      </c>
    </row>
    <row r="54" spans="1:4" ht="15" customHeight="1" x14ac:dyDescent="0.3">
      <c r="A54" s="23" t="s">
        <v>19172</v>
      </c>
      <c r="B54" s="23" t="s">
        <v>3067</v>
      </c>
      <c r="C54" s="24">
        <v>3098</v>
      </c>
      <c r="D54" s="23" t="s">
        <v>19176</v>
      </c>
    </row>
    <row r="55" spans="1:4" ht="15" customHeight="1" x14ac:dyDescent="0.3">
      <c r="A55" s="23" t="s">
        <v>19172</v>
      </c>
      <c r="B55" s="23" t="s">
        <v>3978</v>
      </c>
      <c r="C55" s="24">
        <v>2999</v>
      </c>
      <c r="D55" s="23" t="s">
        <v>19177</v>
      </c>
    </row>
    <row r="56" spans="1:4" ht="15" customHeight="1" x14ac:dyDescent="0.3">
      <c r="A56" s="23" t="s">
        <v>19172</v>
      </c>
      <c r="B56" s="23" t="s">
        <v>4113</v>
      </c>
      <c r="C56" s="24">
        <v>1499</v>
      </c>
      <c r="D56" s="23" t="s">
        <v>19178</v>
      </c>
    </row>
    <row r="57" spans="1:4" ht="15" customHeight="1" x14ac:dyDescent="0.3">
      <c r="A57" s="23" t="s">
        <v>19172</v>
      </c>
      <c r="B57" s="23" t="s">
        <v>4355</v>
      </c>
      <c r="C57" s="24">
        <v>6298</v>
      </c>
      <c r="D57" s="23" t="s">
        <v>19179</v>
      </c>
    </row>
    <row r="58" spans="1:4" ht="15" customHeight="1" x14ac:dyDescent="0.3">
      <c r="A58" s="23" t="s">
        <v>19172</v>
      </c>
      <c r="B58" s="23" t="s">
        <v>7876</v>
      </c>
      <c r="C58" s="24">
        <v>2499</v>
      </c>
      <c r="D58" s="23" t="s">
        <v>19180</v>
      </c>
    </row>
    <row r="59" spans="1:4" ht="15" customHeight="1" x14ac:dyDescent="0.3">
      <c r="A59" s="23" t="s">
        <v>19181</v>
      </c>
      <c r="B59" s="23" t="s">
        <v>1754</v>
      </c>
      <c r="C59" s="24">
        <v>1799</v>
      </c>
      <c r="D59" s="23" t="s">
        <v>19182</v>
      </c>
    </row>
    <row r="60" spans="1:4" ht="15" customHeight="1" x14ac:dyDescent="0.3">
      <c r="A60" s="23" t="s">
        <v>19181</v>
      </c>
      <c r="B60" s="23" t="s">
        <v>1765</v>
      </c>
      <c r="C60" s="24">
        <v>2999</v>
      </c>
      <c r="D60" s="23" t="s">
        <v>19183</v>
      </c>
    </row>
    <row r="61" spans="1:4" ht="15" customHeight="1" x14ac:dyDescent="0.3">
      <c r="A61" s="23" t="s">
        <v>19181</v>
      </c>
      <c r="B61" s="23" t="s">
        <v>4290</v>
      </c>
      <c r="C61" s="24">
        <v>1647</v>
      </c>
      <c r="D61" s="23" t="s">
        <v>19184</v>
      </c>
    </row>
    <row r="62" spans="1:4" ht="15" customHeight="1" x14ac:dyDescent="0.3">
      <c r="A62" s="23" t="s">
        <v>19181</v>
      </c>
      <c r="B62" s="23" t="s">
        <v>4320</v>
      </c>
      <c r="C62" s="24">
        <v>3797</v>
      </c>
      <c r="D62" s="23" t="s">
        <v>19185</v>
      </c>
    </row>
    <row r="63" spans="1:4" ht="15" customHeight="1" x14ac:dyDescent="0.3">
      <c r="A63" s="23" t="s">
        <v>19181</v>
      </c>
      <c r="B63" s="23" t="s">
        <v>6684</v>
      </c>
      <c r="C63" s="24">
        <v>648</v>
      </c>
      <c r="D63" s="23" t="s">
        <v>19186</v>
      </c>
    </row>
    <row r="64" spans="1:4" ht="15" customHeight="1" x14ac:dyDescent="0.3">
      <c r="A64" s="23" t="s">
        <v>19181</v>
      </c>
      <c r="B64" s="23" t="s">
        <v>8605</v>
      </c>
      <c r="C64" s="24">
        <v>299</v>
      </c>
      <c r="D64" s="23" t="s">
        <v>19187</v>
      </c>
    </row>
    <row r="65" spans="1:4" ht="15" customHeight="1" x14ac:dyDescent="0.3">
      <c r="A65" s="23" t="s">
        <v>19181</v>
      </c>
      <c r="B65" s="23" t="s">
        <v>10850</v>
      </c>
      <c r="C65" s="24">
        <v>2697</v>
      </c>
      <c r="D65" s="23" t="s">
        <v>19188</v>
      </c>
    </row>
    <row r="66" spans="1:4" ht="15" customHeight="1" x14ac:dyDescent="0.3">
      <c r="A66" s="23" t="s">
        <v>19189</v>
      </c>
      <c r="B66" s="23" t="s">
        <v>1422</v>
      </c>
      <c r="C66" s="24">
        <v>8998</v>
      </c>
      <c r="D66" s="23" t="s">
        <v>19190</v>
      </c>
    </row>
    <row r="67" spans="1:4" ht="15" customHeight="1" x14ac:dyDescent="0.3">
      <c r="A67" s="23" t="s">
        <v>19189</v>
      </c>
      <c r="B67" s="23" t="s">
        <v>1802</v>
      </c>
      <c r="C67" s="24">
        <v>598</v>
      </c>
      <c r="D67" s="23" t="s">
        <v>19190</v>
      </c>
    </row>
    <row r="68" spans="1:4" ht="15" customHeight="1" x14ac:dyDescent="0.3">
      <c r="A68" s="23" t="s">
        <v>19189</v>
      </c>
      <c r="B68" s="23" t="s">
        <v>2282</v>
      </c>
      <c r="C68" s="24">
        <v>8797</v>
      </c>
      <c r="D68" s="23" t="s">
        <v>19190</v>
      </c>
    </row>
    <row r="69" spans="1:4" ht="15" customHeight="1" x14ac:dyDescent="0.3">
      <c r="A69" s="23" t="s">
        <v>19189</v>
      </c>
      <c r="B69" s="23" t="s">
        <v>2769</v>
      </c>
      <c r="C69" s="24">
        <v>499</v>
      </c>
      <c r="D69" s="23" t="s">
        <v>19190</v>
      </c>
    </row>
    <row r="70" spans="1:4" ht="15" customHeight="1" x14ac:dyDescent="0.3">
      <c r="A70" s="23" t="s">
        <v>19189</v>
      </c>
      <c r="B70" s="23" t="s">
        <v>7838</v>
      </c>
      <c r="C70" s="24">
        <v>9498</v>
      </c>
      <c r="D70" s="23" t="s">
        <v>19190</v>
      </c>
    </row>
    <row r="71" spans="1:4" ht="15" customHeight="1" x14ac:dyDescent="0.3">
      <c r="A71" s="23" t="s">
        <v>19189</v>
      </c>
      <c r="B71" s="23" t="s">
        <v>12234</v>
      </c>
      <c r="C71" s="24">
        <v>1499</v>
      </c>
      <c r="D71" s="23" t="s">
        <v>19190</v>
      </c>
    </row>
    <row r="72" spans="1:4" ht="15" customHeight="1" x14ac:dyDescent="0.3">
      <c r="A72" s="23" t="s">
        <v>159</v>
      </c>
      <c r="B72" s="23" t="s">
        <v>12409</v>
      </c>
      <c r="C72" s="24">
        <v>56.15</v>
      </c>
      <c r="D72" s="23" t="s">
        <v>19191</v>
      </c>
    </row>
    <row r="73" spans="1:4" ht="15" customHeight="1" x14ac:dyDescent="0.3">
      <c r="A73" s="23" t="s">
        <v>159</v>
      </c>
      <c r="B73" s="23" t="s">
        <v>16822</v>
      </c>
      <c r="C73" s="24">
        <v>43.76</v>
      </c>
      <c r="D73" s="23" t="s">
        <v>19192</v>
      </c>
    </row>
    <row r="74" spans="1:4" ht="15" customHeight="1" x14ac:dyDescent="0.3">
      <c r="A74" s="23" t="s">
        <v>159</v>
      </c>
      <c r="B74" s="23" t="s">
        <v>13691</v>
      </c>
      <c r="C74" s="24">
        <v>28.91</v>
      </c>
      <c r="D74" s="23" t="s">
        <v>19193</v>
      </c>
    </row>
    <row r="75" spans="1:4" ht="15" customHeight="1" x14ac:dyDescent="0.3">
      <c r="A75" s="23" t="s">
        <v>159</v>
      </c>
      <c r="B75" s="23" t="s">
        <v>17886</v>
      </c>
      <c r="C75" s="24">
        <v>17.32</v>
      </c>
      <c r="D75" s="23" t="s">
        <v>19194</v>
      </c>
    </row>
    <row r="76" spans="1:4" ht="15" customHeight="1" x14ac:dyDescent="0.3">
      <c r="A76" s="23" t="s">
        <v>159</v>
      </c>
      <c r="B76" s="23" t="s">
        <v>15058</v>
      </c>
      <c r="C76" s="24">
        <v>2.12</v>
      </c>
      <c r="D76" s="23" t="s">
        <v>19195</v>
      </c>
    </row>
    <row r="77" spans="1:4" ht="15" customHeight="1" x14ac:dyDescent="0.3">
      <c r="A77" s="23" t="s">
        <v>159</v>
      </c>
      <c r="B77" s="23" t="s">
        <v>18771</v>
      </c>
      <c r="C77" s="24">
        <v>49.54</v>
      </c>
      <c r="D77" s="23" t="s">
        <v>19196</v>
      </c>
    </row>
    <row r="78" spans="1:4" ht="15" customHeight="1" x14ac:dyDescent="0.3">
      <c r="A78" s="23" t="s">
        <v>159</v>
      </c>
      <c r="B78" s="23" t="s">
        <v>12581</v>
      </c>
      <c r="C78" s="24">
        <v>2.83</v>
      </c>
      <c r="D78" s="23" t="s">
        <v>19197</v>
      </c>
    </row>
    <row r="79" spans="1:4" ht="15" customHeight="1" x14ac:dyDescent="0.3">
      <c r="A79" s="23" t="s">
        <v>159</v>
      </c>
      <c r="B79" s="23" t="s">
        <v>17654</v>
      </c>
      <c r="C79" s="24">
        <v>70.19</v>
      </c>
      <c r="D79" s="23" t="s">
        <v>19198</v>
      </c>
    </row>
    <row r="80" spans="1:4" ht="15" customHeight="1" x14ac:dyDescent="0.3">
      <c r="A80" s="23" t="s">
        <v>159</v>
      </c>
      <c r="B80" s="23" t="s">
        <v>16380</v>
      </c>
      <c r="C80" s="24">
        <v>83.82</v>
      </c>
      <c r="D80" s="23" t="s">
        <v>19199</v>
      </c>
    </row>
    <row r="81" spans="1:4" ht="15" customHeight="1" x14ac:dyDescent="0.3">
      <c r="A81" s="23" t="s">
        <v>159</v>
      </c>
      <c r="B81" s="23" t="s">
        <v>12589</v>
      </c>
      <c r="C81" s="24">
        <v>28.89</v>
      </c>
      <c r="D81" s="23" t="s">
        <v>19200</v>
      </c>
    </row>
    <row r="82" spans="1:4" ht="15" customHeight="1" x14ac:dyDescent="0.3">
      <c r="A82" s="23" t="s">
        <v>159</v>
      </c>
      <c r="B82" s="23" t="s">
        <v>14856</v>
      </c>
      <c r="C82" s="24">
        <v>1.77</v>
      </c>
      <c r="D82" s="23" t="s">
        <v>19201</v>
      </c>
    </row>
    <row r="83" spans="1:4" ht="15" customHeight="1" x14ac:dyDescent="0.3">
      <c r="A83" s="23" t="s">
        <v>159</v>
      </c>
      <c r="B83" s="23" t="s">
        <v>16612</v>
      </c>
      <c r="C83" s="24">
        <v>1.77</v>
      </c>
      <c r="D83" s="23" t="s">
        <v>19201</v>
      </c>
    </row>
    <row r="84" spans="1:4" ht="15" customHeight="1" x14ac:dyDescent="0.3">
      <c r="A84" s="23" t="s">
        <v>159</v>
      </c>
      <c r="B84" s="23" t="s">
        <v>18575</v>
      </c>
      <c r="C84" s="24">
        <v>31.77</v>
      </c>
      <c r="D84" s="23" t="s">
        <v>19202</v>
      </c>
    </row>
    <row r="85" spans="1:4" ht="15" customHeight="1" x14ac:dyDescent="0.3">
      <c r="A85" s="23" t="s">
        <v>159</v>
      </c>
      <c r="B85" s="23" t="s">
        <v>17069</v>
      </c>
      <c r="C85" s="24">
        <v>27.64</v>
      </c>
      <c r="D85" s="23" t="s">
        <v>19203</v>
      </c>
    </row>
    <row r="86" spans="1:4" ht="15" customHeight="1" x14ac:dyDescent="0.3">
      <c r="A86" s="23" t="s">
        <v>159</v>
      </c>
      <c r="B86" s="23" t="s">
        <v>12621</v>
      </c>
      <c r="C86" s="24">
        <v>19.8</v>
      </c>
      <c r="D86" s="23" t="s">
        <v>19204</v>
      </c>
    </row>
    <row r="87" spans="1:4" ht="15" customHeight="1" x14ac:dyDescent="0.3">
      <c r="A87" s="23" t="s">
        <v>159</v>
      </c>
      <c r="B87" s="23" t="s">
        <v>14423</v>
      </c>
      <c r="C87" s="24">
        <v>20.65</v>
      </c>
      <c r="D87" s="23" t="s">
        <v>19205</v>
      </c>
    </row>
    <row r="88" spans="1:4" ht="15" customHeight="1" x14ac:dyDescent="0.3">
      <c r="A88" s="23" t="s">
        <v>159</v>
      </c>
      <c r="B88" s="23" t="s">
        <v>12847</v>
      </c>
      <c r="C88" s="24">
        <v>1.77</v>
      </c>
      <c r="D88" s="23" t="s">
        <v>19201</v>
      </c>
    </row>
    <row r="89" spans="1:4" ht="15" customHeight="1" x14ac:dyDescent="0.3">
      <c r="A89" s="23" t="s">
        <v>159</v>
      </c>
      <c r="B89" s="23" t="s">
        <v>16007</v>
      </c>
      <c r="C89" s="24">
        <v>61.93</v>
      </c>
      <c r="D89" s="23" t="s">
        <v>19206</v>
      </c>
    </row>
    <row r="90" spans="1:4" ht="15" customHeight="1" x14ac:dyDescent="0.3">
      <c r="A90" s="23" t="s">
        <v>159</v>
      </c>
      <c r="B90" s="23" t="s">
        <v>13740</v>
      </c>
      <c r="C90" s="24">
        <v>18.559999999999999</v>
      </c>
      <c r="D90" s="23" t="s">
        <v>19207</v>
      </c>
    </row>
    <row r="91" spans="1:4" ht="15" customHeight="1" x14ac:dyDescent="0.3">
      <c r="A91" s="23" t="s">
        <v>159</v>
      </c>
      <c r="B91" s="23" t="s">
        <v>13307</v>
      </c>
      <c r="C91" s="24">
        <v>28.91</v>
      </c>
      <c r="D91" s="23" t="s">
        <v>19193</v>
      </c>
    </row>
    <row r="92" spans="1:4" ht="15" customHeight="1" x14ac:dyDescent="0.3">
      <c r="A92" s="23" t="s">
        <v>159</v>
      </c>
      <c r="B92" s="23" t="s">
        <v>17098</v>
      </c>
      <c r="C92" s="24">
        <v>2.29</v>
      </c>
      <c r="D92" s="23" t="s">
        <v>19208</v>
      </c>
    </row>
    <row r="93" spans="1:4" ht="15" customHeight="1" x14ac:dyDescent="0.3">
      <c r="A93" s="23" t="s">
        <v>159</v>
      </c>
      <c r="B93" s="23" t="s">
        <v>15140</v>
      </c>
      <c r="C93" s="24">
        <v>2.12</v>
      </c>
      <c r="D93" s="23" t="s">
        <v>19195</v>
      </c>
    </row>
    <row r="94" spans="1:4" ht="15" customHeight="1" x14ac:dyDescent="0.3">
      <c r="A94" s="23" t="s">
        <v>159</v>
      </c>
      <c r="B94" s="23" t="s">
        <v>13119</v>
      </c>
      <c r="C94" s="24">
        <v>6.37</v>
      </c>
      <c r="D94" s="23" t="s">
        <v>19209</v>
      </c>
    </row>
    <row r="95" spans="1:4" ht="15" customHeight="1" x14ac:dyDescent="0.3">
      <c r="A95" s="23" t="s">
        <v>159</v>
      </c>
      <c r="B95" s="23" t="s">
        <v>12673</v>
      </c>
      <c r="C95" s="24">
        <v>20.65</v>
      </c>
      <c r="D95" s="23" t="s">
        <v>19205</v>
      </c>
    </row>
    <row r="96" spans="1:4" ht="15" customHeight="1" x14ac:dyDescent="0.3">
      <c r="A96" s="23" t="s">
        <v>159</v>
      </c>
      <c r="B96" s="23" t="s">
        <v>13573</v>
      </c>
      <c r="C96" s="24">
        <v>18.98</v>
      </c>
      <c r="D96" s="23" t="s">
        <v>19210</v>
      </c>
    </row>
    <row r="97" spans="1:4" ht="15" customHeight="1" x14ac:dyDescent="0.3">
      <c r="A97" s="23" t="s">
        <v>159</v>
      </c>
      <c r="B97" s="23" t="s">
        <v>18629</v>
      </c>
      <c r="C97" s="24">
        <v>1.77</v>
      </c>
      <c r="D97" s="23" t="s">
        <v>19201</v>
      </c>
    </row>
    <row r="98" spans="1:4" ht="15" customHeight="1" x14ac:dyDescent="0.3">
      <c r="A98" s="23" t="s">
        <v>159</v>
      </c>
      <c r="B98" s="23" t="s">
        <v>15419</v>
      </c>
      <c r="C98" s="24">
        <v>1.77</v>
      </c>
      <c r="D98" s="23" t="s">
        <v>19201</v>
      </c>
    </row>
    <row r="99" spans="1:4" ht="15" customHeight="1" x14ac:dyDescent="0.3">
      <c r="A99" s="23" t="s">
        <v>159</v>
      </c>
      <c r="B99" s="23" t="s">
        <v>15644</v>
      </c>
      <c r="C99" s="24">
        <v>2.83</v>
      </c>
      <c r="D99" s="23" t="s">
        <v>19197</v>
      </c>
    </row>
    <row r="100" spans="1:4" ht="15" customHeight="1" x14ac:dyDescent="0.3">
      <c r="A100" s="23" t="s">
        <v>159</v>
      </c>
      <c r="B100" s="23" t="s">
        <v>14687</v>
      </c>
      <c r="C100" s="24">
        <v>3.17</v>
      </c>
      <c r="D100" s="23" t="s">
        <v>19211</v>
      </c>
    </row>
    <row r="101" spans="1:4" ht="15" customHeight="1" x14ac:dyDescent="0.3">
      <c r="A101" s="23" t="s">
        <v>159</v>
      </c>
      <c r="B101" s="23" t="s">
        <v>12915</v>
      </c>
      <c r="C101" s="24">
        <v>2.12</v>
      </c>
      <c r="D101" s="23" t="s">
        <v>19195</v>
      </c>
    </row>
    <row r="102" spans="1:4" ht="15" customHeight="1" x14ac:dyDescent="0.3">
      <c r="A102" s="23" t="s">
        <v>159</v>
      </c>
      <c r="B102" s="23" t="s">
        <v>17335</v>
      </c>
      <c r="C102" s="24">
        <v>45.41</v>
      </c>
      <c r="D102" s="23" t="s">
        <v>19212</v>
      </c>
    </row>
    <row r="103" spans="1:4" ht="15" customHeight="1" x14ac:dyDescent="0.3">
      <c r="A103" s="23" t="s">
        <v>159</v>
      </c>
      <c r="B103" s="23" t="s">
        <v>18654</v>
      </c>
      <c r="C103" s="24">
        <v>2.83</v>
      </c>
      <c r="D103" s="23" t="s">
        <v>19197</v>
      </c>
    </row>
    <row r="104" spans="1:4" ht="15" customHeight="1" x14ac:dyDescent="0.3">
      <c r="A104" s="23" t="s">
        <v>159</v>
      </c>
      <c r="B104" s="23" t="s">
        <v>18886</v>
      </c>
      <c r="C104" s="24">
        <v>24.78</v>
      </c>
      <c r="D104" s="23" t="s">
        <v>19213</v>
      </c>
    </row>
    <row r="105" spans="1:4" ht="15" customHeight="1" x14ac:dyDescent="0.3">
      <c r="A105" s="23" t="s">
        <v>159</v>
      </c>
      <c r="B105" s="23" t="s">
        <v>12925</v>
      </c>
      <c r="C105" s="24">
        <v>1.06</v>
      </c>
      <c r="D105" s="23" t="s">
        <v>19214</v>
      </c>
    </row>
    <row r="106" spans="1:4" ht="15" customHeight="1" x14ac:dyDescent="0.3">
      <c r="A106" s="23" t="s">
        <v>159</v>
      </c>
      <c r="B106" s="23" t="s">
        <v>14282</v>
      </c>
      <c r="C106" s="24">
        <v>1.77</v>
      </c>
      <c r="D106" s="23" t="s">
        <v>19201</v>
      </c>
    </row>
    <row r="107" spans="1:4" ht="15" customHeight="1" x14ac:dyDescent="0.3">
      <c r="A107" s="23" t="s">
        <v>159</v>
      </c>
      <c r="B107" s="23" t="s">
        <v>15670</v>
      </c>
      <c r="C107" s="24">
        <v>24.78</v>
      </c>
      <c r="D107" s="23" t="s">
        <v>19213</v>
      </c>
    </row>
    <row r="108" spans="1:4" ht="15" customHeight="1" x14ac:dyDescent="0.3">
      <c r="A108" s="23" t="s">
        <v>159</v>
      </c>
      <c r="B108" s="23" t="s">
        <v>15449</v>
      </c>
      <c r="C108" s="24">
        <v>56.14</v>
      </c>
      <c r="D108" s="23" t="s">
        <v>19215</v>
      </c>
    </row>
    <row r="109" spans="1:4" ht="15" customHeight="1" x14ac:dyDescent="0.3">
      <c r="A109" s="23" t="s">
        <v>159</v>
      </c>
      <c r="B109" s="23" t="s">
        <v>16719</v>
      </c>
      <c r="C109" s="24">
        <v>52.01</v>
      </c>
      <c r="D109" s="23" t="s">
        <v>19216</v>
      </c>
    </row>
    <row r="110" spans="1:4" ht="15" customHeight="1" x14ac:dyDescent="0.3">
      <c r="A110" s="23" t="s">
        <v>159</v>
      </c>
      <c r="B110" s="23" t="s">
        <v>14958</v>
      </c>
      <c r="C110" s="24">
        <v>1.06</v>
      </c>
      <c r="D110" s="23" t="s">
        <v>19214</v>
      </c>
    </row>
    <row r="111" spans="1:4" ht="15" customHeight="1" x14ac:dyDescent="0.3">
      <c r="A111" s="23" t="s">
        <v>159</v>
      </c>
      <c r="B111" s="23" t="s">
        <v>16293</v>
      </c>
      <c r="C111" s="24">
        <v>24.78</v>
      </c>
      <c r="D111" s="23" t="s">
        <v>19213</v>
      </c>
    </row>
    <row r="112" spans="1:4" ht="15" customHeight="1" x14ac:dyDescent="0.3">
      <c r="A112" s="23" t="s">
        <v>159</v>
      </c>
      <c r="B112" s="23" t="s">
        <v>16294</v>
      </c>
      <c r="C112" s="24">
        <v>31.37</v>
      </c>
      <c r="D112" s="23" t="s">
        <v>19217</v>
      </c>
    </row>
    <row r="113" spans="1:4" ht="15" customHeight="1" x14ac:dyDescent="0.3">
      <c r="A113" s="23" t="s">
        <v>159</v>
      </c>
      <c r="B113" s="23" t="s">
        <v>12736</v>
      </c>
      <c r="C113" s="24">
        <v>66.08</v>
      </c>
      <c r="D113" s="23" t="s">
        <v>19218</v>
      </c>
    </row>
    <row r="114" spans="1:4" ht="15" customHeight="1" x14ac:dyDescent="0.3">
      <c r="A114" s="23" t="s">
        <v>159</v>
      </c>
      <c r="B114" s="23" t="s">
        <v>16525</v>
      </c>
      <c r="C114" s="24">
        <v>49.54</v>
      </c>
      <c r="D114" s="23" t="s">
        <v>19196</v>
      </c>
    </row>
    <row r="115" spans="1:4" ht="15" customHeight="1" x14ac:dyDescent="0.3">
      <c r="A115" s="23" t="s">
        <v>159</v>
      </c>
      <c r="B115" s="23" t="s">
        <v>17812</v>
      </c>
      <c r="C115" s="24">
        <v>6.37</v>
      </c>
      <c r="D115" s="23" t="s">
        <v>19209</v>
      </c>
    </row>
    <row r="116" spans="1:4" ht="15" customHeight="1" x14ac:dyDescent="0.3">
      <c r="A116" s="23" t="s">
        <v>159</v>
      </c>
      <c r="B116" s="23" t="s">
        <v>16538</v>
      </c>
      <c r="C116" s="24">
        <v>4.5999999999999996</v>
      </c>
      <c r="D116" s="23" t="s">
        <v>19219</v>
      </c>
    </row>
    <row r="117" spans="1:4" ht="15" customHeight="1" x14ac:dyDescent="0.3">
      <c r="A117" s="23" t="s">
        <v>159</v>
      </c>
      <c r="B117" s="23" t="s">
        <v>17595</v>
      </c>
      <c r="C117" s="24">
        <v>1.06</v>
      </c>
      <c r="D117" s="23" t="s">
        <v>19214</v>
      </c>
    </row>
    <row r="118" spans="1:4" ht="15" customHeight="1" x14ac:dyDescent="0.3">
      <c r="A118" s="23" t="s">
        <v>159</v>
      </c>
      <c r="B118" s="23" t="s">
        <v>16771</v>
      </c>
      <c r="C118" s="24">
        <v>5.83</v>
      </c>
      <c r="D118" s="23" t="s">
        <v>19220</v>
      </c>
    </row>
    <row r="119" spans="1:4" ht="15" customHeight="1" x14ac:dyDescent="0.3">
      <c r="A119" s="23" t="s">
        <v>159</v>
      </c>
      <c r="B119" s="23" t="s">
        <v>18966</v>
      </c>
      <c r="C119" s="24">
        <v>19.8</v>
      </c>
      <c r="D119" s="23" t="s">
        <v>19204</v>
      </c>
    </row>
    <row r="120" spans="1:4" ht="15" customHeight="1" x14ac:dyDescent="0.3">
      <c r="A120" s="23" t="s">
        <v>159</v>
      </c>
      <c r="B120" s="23" t="s">
        <v>15267</v>
      </c>
      <c r="C120" s="24">
        <v>2.12</v>
      </c>
      <c r="D120" s="23" t="s">
        <v>19195</v>
      </c>
    </row>
    <row r="121" spans="1:4" ht="15" customHeight="1" x14ac:dyDescent="0.3">
      <c r="A121" s="23" t="s">
        <v>159</v>
      </c>
      <c r="B121" s="23" t="s">
        <v>13219</v>
      </c>
      <c r="C121" s="24">
        <v>36.32</v>
      </c>
      <c r="D121" s="23" t="s">
        <v>19221</v>
      </c>
    </row>
    <row r="122" spans="1:4" ht="15" customHeight="1" x14ac:dyDescent="0.3">
      <c r="A122" s="23" t="s">
        <v>159</v>
      </c>
      <c r="B122" s="23" t="s">
        <v>17389</v>
      </c>
      <c r="C122" s="24">
        <v>2.12</v>
      </c>
      <c r="D122" s="23" t="s">
        <v>19195</v>
      </c>
    </row>
    <row r="123" spans="1:4" ht="15" customHeight="1" x14ac:dyDescent="0.3">
      <c r="A123" s="23" t="s">
        <v>159</v>
      </c>
      <c r="B123" s="23" t="s">
        <v>17848</v>
      </c>
      <c r="C123" s="24">
        <v>21.45</v>
      </c>
      <c r="D123" s="23" t="s">
        <v>19222</v>
      </c>
    </row>
    <row r="124" spans="1:4" ht="15" customHeight="1" x14ac:dyDescent="0.3">
      <c r="A124" s="23" t="s">
        <v>159</v>
      </c>
      <c r="B124" s="23" t="s">
        <v>17200</v>
      </c>
      <c r="C124" s="24">
        <v>7.07</v>
      </c>
      <c r="D124" s="23" t="s">
        <v>19223</v>
      </c>
    </row>
    <row r="125" spans="1:4" ht="15" customHeight="1" x14ac:dyDescent="0.3">
      <c r="A125" s="23" t="s">
        <v>159</v>
      </c>
      <c r="B125" s="23" t="s">
        <v>12776</v>
      </c>
      <c r="C125" s="24">
        <v>5.31</v>
      </c>
      <c r="D125" s="23" t="s">
        <v>19224</v>
      </c>
    </row>
    <row r="126" spans="1:4" ht="15" customHeight="1" x14ac:dyDescent="0.3">
      <c r="A126" s="23" t="s">
        <v>159</v>
      </c>
      <c r="B126" s="23" t="s">
        <v>13660</v>
      </c>
      <c r="C126" s="24">
        <v>31.37</v>
      </c>
      <c r="D126" s="23" t="s">
        <v>19217</v>
      </c>
    </row>
    <row r="127" spans="1:4" ht="15" customHeight="1" x14ac:dyDescent="0.3">
      <c r="A127" s="23" t="s">
        <v>19225</v>
      </c>
      <c r="B127" s="23" t="s">
        <v>104</v>
      </c>
      <c r="C127" s="24">
        <f>-(INDEX(batch_recon!$E$2:$E$31,MATCH(B127,batch_recon!$A$2:$A$31,0)))</f>
        <v>551074.03000000026</v>
      </c>
      <c r="D127" s="23" t="s">
        <v>19226</v>
      </c>
    </row>
    <row r="128" spans="1:4" ht="15" customHeight="1" x14ac:dyDescent="0.3">
      <c r="A128" s="23" t="s">
        <v>19227</v>
      </c>
      <c r="B128" s="23" t="s">
        <v>106</v>
      </c>
      <c r="C128" s="24">
        <f>-(INDEX(batch_recon!$E$2:$E$31,MATCH(B128,batch_recon!$A$2:$A$31,0)))</f>
        <v>1250.0000000001164</v>
      </c>
      <c r="D128" s="23" t="s">
        <v>19226</v>
      </c>
    </row>
    <row r="129" spans="1:4" ht="15" customHeight="1" x14ac:dyDescent="0.3">
      <c r="A129" s="23" t="s">
        <v>24</v>
      </c>
      <c r="B129" s="23" t="s">
        <v>108</v>
      </c>
      <c r="C129" s="24">
        <f>-(INDEX(batch_recon!$E$2:$E$31,MATCH(B129,batch_recon!$A$2:$A$31,0)))</f>
        <v>650622.70000000019</v>
      </c>
      <c r="D129" s="23" t="s">
        <v>19226</v>
      </c>
    </row>
    <row r="130" spans="1:4" ht="15" customHeight="1" x14ac:dyDescent="0.3">
      <c r="A130" s="23" t="s">
        <v>24</v>
      </c>
      <c r="B130" s="23" t="s">
        <v>110</v>
      </c>
      <c r="C130" s="24">
        <f>-(INDEX(batch_recon!$E$2:$E$31,MATCH(B130,batch_recon!$A$2:$A$31,0)))</f>
        <v>614904.19999999972</v>
      </c>
      <c r="D130" s="23" t="s">
        <v>19226</v>
      </c>
    </row>
  </sheetData>
  <autoFilter ref="A1:D130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6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7.44140625" customWidth="1"/>
    <col min="2" max="2" width="19.6640625" customWidth="1"/>
    <col min="3" max="3" width="20" customWidth="1"/>
    <col min="4" max="4" width="48" customWidth="1"/>
    <col min="5" max="5" width="53.88671875" customWidth="1"/>
    <col min="6" max="6" width="34" customWidth="1"/>
    <col min="7" max="7" width="60" customWidth="1"/>
    <col min="8" max="8" width="32" customWidth="1"/>
    <col min="9" max="9" width="44" customWidth="1"/>
  </cols>
  <sheetData>
    <row r="1" spans="1:9" ht="16.5" customHeight="1" x14ac:dyDescent="0.3">
      <c r="A1" s="44" t="s">
        <v>19228</v>
      </c>
    </row>
    <row r="2" spans="1:9" ht="15" customHeight="1" x14ac:dyDescent="0.3">
      <c r="A2" s="45" t="s">
        <v>19229</v>
      </c>
    </row>
    <row r="4" spans="1:9" ht="15" customHeight="1" x14ac:dyDescent="0.3">
      <c r="A4" s="46" t="s">
        <v>19230</v>
      </c>
      <c r="B4" s="46" t="s">
        <v>19231</v>
      </c>
      <c r="C4" s="46" t="s">
        <v>19232</v>
      </c>
      <c r="D4" s="46" t="s">
        <v>19233</v>
      </c>
      <c r="E4" s="46" t="s">
        <v>19234</v>
      </c>
      <c r="F4" s="46" t="s">
        <v>19235</v>
      </c>
      <c r="G4" s="46" t="s">
        <v>19236</v>
      </c>
      <c r="H4" s="46" t="s">
        <v>19237</v>
      </c>
      <c r="I4" s="46" t="s">
        <v>19238</v>
      </c>
    </row>
    <row r="5" spans="1:9" ht="26.25" customHeight="1" x14ac:dyDescent="0.3">
      <c r="A5" s="47">
        <v>1</v>
      </c>
      <c r="B5" s="48" t="s">
        <v>19239</v>
      </c>
      <c r="C5" s="47" t="s">
        <v>19240</v>
      </c>
      <c r="D5" s="47" t="s">
        <v>19241</v>
      </c>
      <c r="E5" s="47" t="s">
        <v>19242</v>
      </c>
      <c r="F5" s="47" t="s">
        <v>19243</v>
      </c>
      <c r="G5" s="47" t="s">
        <v>19244</v>
      </c>
      <c r="H5" s="47" t="s">
        <v>19245</v>
      </c>
      <c r="I5" s="47" t="s">
        <v>19246</v>
      </c>
    </row>
    <row r="6" spans="1:9" ht="26.25" customHeight="1" x14ac:dyDescent="0.3">
      <c r="A6" s="47">
        <v>2</v>
      </c>
      <c r="B6" s="48" t="s">
        <v>19239</v>
      </c>
      <c r="C6" s="47" t="s">
        <v>19240</v>
      </c>
      <c r="D6" s="47" t="s">
        <v>19247</v>
      </c>
      <c r="E6" s="47" t="s">
        <v>19248</v>
      </c>
      <c r="F6" s="47" t="s">
        <v>321</v>
      </c>
      <c r="G6" s="47" t="s">
        <v>19249</v>
      </c>
      <c r="H6" s="47" t="s">
        <v>19250</v>
      </c>
      <c r="I6" s="47" t="s">
        <v>19251</v>
      </c>
    </row>
    <row r="7" spans="1:9" ht="26.25" customHeight="1" x14ac:dyDescent="0.3">
      <c r="A7" s="47">
        <v>3</v>
      </c>
      <c r="B7" s="48" t="s">
        <v>19239</v>
      </c>
      <c r="C7" s="47" t="s">
        <v>19240</v>
      </c>
      <c r="D7" s="47" t="s">
        <v>19252</v>
      </c>
      <c r="E7" s="47" t="s">
        <v>19253</v>
      </c>
      <c r="F7" s="47" t="s">
        <v>458</v>
      </c>
      <c r="G7" s="47" t="s">
        <v>19254</v>
      </c>
      <c r="H7" s="47" t="s">
        <v>19255</v>
      </c>
      <c r="I7" s="47" t="s">
        <v>19256</v>
      </c>
    </row>
    <row r="8" spans="1:9" ht="39" customHeight="1" x14ac:dyDescent="0.3">
      <c r="A8" s="47">
        <v>4</v>
      </c>
      <c r="B8" s="48" t="s">
        <v>19239</v>
      </c>
      <c r="C8" s="47" t="s">
        <v>19257</v>
      </c>
      <c r="D8" s="47" t="s">
        <v>19258</v>
      </c>
      <c r="E8" s="47" t="s">
        <v>19259</v>
      </c>
      <c r="F8" s="47" t="s">
        <v>19260</v>
      </c>
      <c r="G8" s="47" t="s">
        <v>19261</v>
      </c>
      <c r="H8" s="47" t="s">
        <v>19262</v>
      </c>
      <c r="I8" s="47" t="s">
        <v>19263</v>
      </c>
    </row>
    <row r="9" spans="1:9" ht="26.25" customHeight="1" x14ac:dyDescent="0.3">
      <c r="A9" s="47">
        <v>5</v>
      </c>
      <c r="B9" s="48" t="s">
        <v>19239</v>
      </c>
      <c r="C9" s="47" t="s">
        <v>19257</v>
      </c>
      <c r="D9" s="47" t="s">
        <v>19264</v>
      </c>
      <c r="E9" s="47" t="s">
        <v>19265</v>
      </c>
      <c r="F9" s="47" t="s">
        <v>12442</v>
      </c>
      <c r="G9" s="47" t="s">
        <v>19266</v>
      </c>
      <c r="H9" s="47" t="s">
        <v>19267</v>
      </c>
      <c r="I9" s="47" t="s">
        <v>19268</v>
      </c>
    </row>
    <row r="10" spans="1:9" ht="15" customHeight="1" x14ac:dyDescent="0.3">
      <c r="A10" s="47">
        <v>6</v>
      </c>
      <c r="B10" s="48" t="s">
        <v>19239</v>
      </c>
      <c r="C10" s="47" t="s">
        <v>19257</v>
      </c>
      <c r="D10" s="47" t="s">
        <v>19269</v>
      </c>
      <c r="E10" s="47" t="s">
        <v>19270</v>
      </c>
      <c r="F10" s="47" t="s">
        <v>12412</v>
      </c>
      <c r="G10" s="47" t="s">
        <v>19271</v>
      </c>
      <c r="H10" s="47" t="s">
        <v>19267</v>
      </c>
      <c r="I10" s="47" t="s">
        <v>19272</v>
      </c>
    </row>
    <row r="11" spans="1:9" ht="15" customHeight="1" x14ac:dyDescent="0.3">
      <c r="A11" s="47">
        <v>7</v>
      </c>
      <c r="B11" s="48" t="s">
        <v>19239</v>
      </c>
      <c r="C11" s="47" t="s">
        <v>19257</v>
      </c>
      <c r="D11" s="47" t="s">
        <v>19273</v>
      </c>
      <c r="E11" s="47" t="s">
        <v>19274</v>
      </c>
      <c r="F11" s="47" t="s">
        <v>19275</v>
      </c>
      <c r="G11" s="47" t="s">
        <v>19276</v>
      </c>
      <c r="H11" s="47" t="s">
        <v>19267</v>
      </c>
      <c r="I11" s="47" t="s">
        <v>19272</v>
      </c>
    </row>
    <row r="12" spans="1:9" ht="26.25" customHeight="1" x14ac:dyDescent="0.3">
      <c r="A12" s="47">
        <v>8</v>
      </c>
      <c r="B12" s="48" t="s">
        <v>19239</v>
      </c>
      <c r="C12" s="47" t="s">
        <v>19257</v>
      </c>
      <c r="D12" s="47" t="s">
        <v>19277</v>
      </c>
      <c r="E12" s="47" t="s">
        <v>19278</v>
      </c>
      <c r="F12" s="47" t="s">
        <v>19279</v>
      </c>
      <c r="G12" s="47" t="s">
        <v>19280</v>
      </c>
      <c r="H12" s="47" t="s">
        <v>19281</v>
      </c>
      <c r="I12" s="47" t="s">
        <v>19282</v>
      </c>
    </row>
    <row r="13" spans="1:9" ht="39" customHeight="1" x14ac:dyDescent="0.3">
      <c r="A13" s="47">
        <v>9</v>
      </c>
      <c r="B13" s="48" t="s">
        <v>19239</v>
      </c>
      <c r="C13" s="47" t="s">
        <v>19283</v>
      </c>
      <c r="D13" s="47" t="s">
        <v>19284</v>
      </c>
      <c r="E13" s="47" t="s">
        <v>19285</v>
      </c>
      <c r="F13" s="47" t="s">
        <v>19046</v>
      </c>
      <c r="G13" s="47" t="s">
        <v>19286</v>
      </c>
      <c r="H13" s="47" t="s">
        <v>19287</v>
      </c>
      <c r="I13" s="47" t="s">
        <v>19288</v>
      </c>
    </row>
    <row r="14" spans="1:9" ht="26.25" customHeight="1" x14ac:dyDescent="0.3">
      <c r="A14" s="47">
        <v>10</v>
      </c>
      <c r="B14" s="48" t="s">
        <v>19239</v>
      </c>
      <c r="C14" s="47" t="s">
        <v>19283</v>
      </c>
      <c r="D14" s="47" t="s">
        <v>19289</v>
      </c>
      <c r="E14" s="47" t="s">
        <v>19290</v>
      </c>
      <c r="F14" s="47" t="s">
        <v>19291</v>
      </c>
      <c r="G14" s="47" t="s">
        <v>19292</v>
      </c>
      <c r="H14" s="47" t="s">
        <v>19293</v>
      </c>
      <c r="I14" s="47" t="s">
        <v>19294</v>
      </c>
    </row>
    <row r="15" spans="1:9" ht="26.25" customHeight="1" x14ac:dyDescent="0.3">
      <c r="A15" s="47">
        <v>11</v>
      </c>
      <c r="B15" s="48" t="s">
        <v>19239</v>
      </c>
      <c r="C15" s="47" t="s">
        <v>19283</v>
      </c>
      <c r="D15" s="47" t="s">
        <v>19295</v>
      </c>
      <c r="E15" s="47" t="s">
        <v>19296</v>
      </c>
      <c r="F15" s="47" t="s">
        <v>19297</v>
      </c>
      <c r="G15" s="47" t="s">
        <v>19298</v>
      </c>
      <c r="H15" s="47" t="s">
        <v>19299</v>
      </c>
      <c r="I15" s="47" t="s">
        <v>19300</v>
      </c>
    </row>
    <row r="16" spans="1:9" ht="15" customHeight="1" x14ac:dyDescent="0.3">
      <c r="A16" s="47">
        <v>12</v>
      </c>
      <c r="B16" s="48" t="s">
        <v>19239</v>
      </c>
      <c r="C16" s="47" t="s">
        <v>19301</v>
      </c>
      <c r="D16" s="47" t="s">
        <v>19302</v>
      </c>
      <c r="E16" s="47" t="s">
        <v>19303</v>
      </c>
      <c r="F16" s="47" t="s">
        <v>19304</v>
      </c>
      <c r="G16" s="47" t="s">
        <v>19305</v>
      </c>
      <c r="H16" s="47" t="s">
        <v>19306</v>
      </c>
      <c r="I16" s="47" t="s">
        <v>19307</v>
      </c>
    </row>
    <row r="17" spans="1:9" ht="15" customHeight="1" x14ac:dyDescent="0.3">
      <c r="A17" s="47">
        <v>13</v>
      </c>
      <c r="B17" s="48" t="s">
        <v>19239</v>
      </c>
      <c r="C17" s="47" t="s">
        <v>19301</v>
      </c>
      <c r="D17" s="47" t="s">
        <v>19308</v>
      </c>
      <c r="E17" s="47" t="s">
        <v>19309</v>
      </c>
      <c r="F17" s="47" t="s">
        <v>19310</v>
      </c>
      <c r="G17" s="47" t="s">
        <v>19311</v>
      </c>
      <c r="H17" s="47" t="s">
        <v>19312</v>
      </c>
      <c r="I17" s="47" t="s">
        <v>19313</v>
      </c>
    </row>
    <row r="18" spans="1:9" ht="26.25" customHeight="1" x14ac:dyDescent="0.3">
      <c r="A18" s="47">
        <v>14</v>
      </c>
      <c r="B18" s="49" t="s">
        <v>19314</v>
      </c>
      <c r="C18" s="47" t="s">
        <v>19257</v>
      </c>
      <c r="D18" s="47" t="s">
        <v>19315</v>
      </c>
      <c r="E18" s="47" t="s">
        <v>19316</v>
      </c>
      <c r="F18" s="47" t="s">
        <v>19317</v>
      </c>
      <c r="G18" s="47" t="s">
        <v>19318</v>
      </c>
      <c r="H18" s="47" t="s">
        <v>19319</v>
      </c>
      <c r="I18" s="47" t="s">
        <v>19320</v>
      </c>
    </row>
    <row r="19" spans="1:9" ht="15" customHeight="1" x14ac:dyDescent="0.3">
      <c r="A19" s="47">
        <v>15</v>
      </c>
      <c r="B19" s="49" t="s">
        <v>19314</v>
      </c>
      <c r="C19" s="47" t="s">
        <v>19257</v>
      </c>
      <c r="D19" s="47" t="s">
        <v>19321</v>
      </c>
      <c r="E19" s="47" t="s">
        <v>19278</v>
      </c>
      <c r="F19" s="47" t="s">
        <v>12790</v>
      </c>
      <c r="G19" s="47" t="s">
        <v>19322</v>
      </c>
      <c r="H19" s="47" t="s">
        <v>19323</v>
      </c>
      <c r="I19" s="47" t="s">
        <v>19324</v>
      </c>
    </row>
    <row r="20" spans="1:9" ht="15" customHeight="1" x14ac:dyDescent="0.3">
      <c r="A20" s="47">
        <v>16</v>
      </c>
      <c r="B20" s="50" t="s">
        <v>19325</v>
      </c>
      <c r="C20" s="47" t="s">
        <v>19240</v>
      </c>
      <c r="D20" s="47" t="s">
        <v>19326</v>
      </c>
      <c r="E20" s="47" t="s">
        <v>19327</v>
      </c>
      <c r="F20" s="47"/>
      <c r="G20" s="47" t="s">
        <v>19328</v>
      </c>
      <c r="H20" s="47"/>
      <c r="I20" s="47"/>
    </row>
    <row r="21" spans="1:9" ht="26.25" customHeight="1" x14ac:dyDescent="0.3">
      <c r="A21" s="47">
        <v>17</v>
      </c>
      <c r="B21" s="50" t="s">
        <v>19325</v>
      </c>
      <c r="C21" s="47" t="s">
        <v>19240</v>
      </c>
      <c r="D21" s="47" t="s">
        <v>19329</v>
      </c>
      <c r="E21" s="47" t="s">
        <v>19330</v>
      </c>
      <c r="F21" s="47"/>
      <c r="G21" s="47" t="s">
        <v>19328</v>
      </c>
      <c r="H21" s="47"/>
      <c r="I21" s="47"/>
    </row>
    <row r="22" spans="1:9" ht="26.25" customHeight="1" x14ac:dyDescent="0.3">
      <c r="A22" s="47">
        <v>18</v>
      </c>
      <c r="B22" s="50" t="s">
        <v>19325</v>
      </c>
      <c r="C22" s="47" t="s">
        <v>19257</v>
      </c>
      <c r="D22" s="47" t="s">
        <v>19331</v>
      </c>
      <c r="E22" s="47" t="s">
        <v>19332</v>
      </c>
      <c r="F22" s="47"/>
      <c r="G22" s="47" t="s">
        <v>19328</v>
      </c>
      <c r="H22" s="47"/>
      <c r="I22" s="47"/>
    </row>
    <row r="23" spans="1:9" ht="26.25" customHeight="1" x14ac:dyDescent="0.3">
      <c r="A23" s="47">
        <v>19</v>
      </c>
      <c r="B23" s="50" t="s">
        <v>19325</v>
      </c>
      <c r="C23" s="47" t="s">
        <v>19257</v>
      </c>
      <c r="D23" s="47" t="s">
        <v>19333</v>
      </c>
      <c r="E23" s="47" t="s">
        <v>19334</v>
      </c>
      <c r="F23" s="47"/>
      <c r="G23" s="47" t="s">
        <v>19328</v>
      </c>
      <c r="H23" s="47"/>
      <c r="I23" s="47"/>
    </row>
    <row r="24" spans="1:9" ht="26.25" customHeight="1" x14ac:dyDescent="0.3">
      <c r="A24" s="47">
        <v>20</v>
      </c>
      <c r="B24" s="50" t="s">
        <v>19325</v>
      </c>
      <c r="C24" s="47" t="s">
        <v>19257</v>
      </c>
      <c r="D24" s="47" t="s">
        <v>19335</v>
      </c>
      <c r="E24" s="47" t="s">
        <v>19336</v>
      </c>
      <c r="F24" s="47"/>
      <c r="G24" s="47" t="s">
        <v>19328</v>
      </c>
      <c r="H24" s="47"/>
      <c r="I24" s="47"/>
    </row>
    <row r="25" spans="1:9" ht="15" customHeight="1" x14ac:dyDescent="0.3">
      <c r="A25" s="47">
        <v>21</v>
      </c>
      <c r="B25" s="50" t="s">
        <v>19325</v>
      </c>
      <c r="C25" s="47" t="s">
        <v>19283</v>
      </c>
      <c r="D25" s="47" t="s">
        <v>19337</v>
      </c>
      <c r="E25" s="47" t="s">
        <v>19338</v>
      </c>
      <c r="F25" s="47"/>
      <c r="G25" s="47" t="s">
        <v>19328</v>
      </c>
      <c r="H25" s="47"/>
      <c r="I25" s="47"/>
    </row>
    <row r="27" spans="1:9" ht="15" customHeight="1" x14ac:dyDescent="0.3">
      <c r="D27" s="51" t="s">
        <v>19239</v>
      </c>
      <c r="E27" s="45">
        <f>COUNTIF($B$5:$B$25,D27)</f>
        <v>13</v>
      </c>
    </row>
    <row r="28" spans="1:9" ht="15" customHeight="1" x14ac:dyDescent="0.3">
      <c r="D28" s="51" t="s">
        <v>19314</v>
      </c>
      <c r="E28" s="45">
        <f>COUNTIF($B$5:$B$25,D28)</f>
        <v>2</v>
      </c>
    </row>
    <row r="29" spans="1:9" ht="15" customHeight="1" x14ac:dyDescent="0.3">
      <c r="D29" s="51" t="s">
        <v>19325</v>
      </c>
      <c r="E29" s="45">
        <f>COUNTIF($B$5:$B$25,D29)</f>
        <v>6</v>
      </c>
    </row>
    <row r="32" spans="1:9" ht="15" customHeight="1" x14ac:dyDescent="0.3">
      <c r="A32" s="52" t="s">
        <v>19232</v>
      </c>
      <c r="B32" s="52" t="s">
        <v>19339</v>
      </c>
      <c r="C32" s="52" t="s">
        <v>19340</v>
      </c>
      <c r="D32" s="52" t="s">
        <v>19341</v>
      </c>
      <c r="E32" s="52" t="s">
        <v>19342</v>
      </c>
    </row>
    <row r="33" spans="1:5" ht="15" customHeight="1" x14ac:dyDescent="0.3">
      <c r="A33" s="53" t="s">
        <v>19240</v>
      </c>
      <c r="B33" s="54">
        <v>6000</v>
      </c>
      <c r="C33" s="54">
        <v>0</v>
      </c>
      <c r="D33" s="55">
        <f>B33-C33</f>
        <v>6000</v>
      </c>
      <c r="E33" s="53" t="s">
        <v>19343</v>
      </c>
    </row>
    <row r="34" spans="1:5" ht="15" customHeight="1" x14ac:dyDescent="0.3">
      <c r="A34" s="53" t="s">
        <v>19257</v>
      </c>
      <c r="B34" s="54">
        <v>5752</v>
      </c>
      <c r="C34" s="54">
        <v>10</v>
      </c>
      <c r="D34" s="55">
        <f>B34-C34</f>
        <v>5742</v>
      </c>
      <c r="E34" s="53" t="s">
        <v>19344</v>
      </c>
    </row>
    <row r="35" spans="1:5" ht="15" customHeight="1" x14ac:dyDescent="0.3">
      <c r="A35" s="53" t="s">
        <v>19283</v>
      </c>
      <c r="B35" s="54">
        <v>35</v>
      </c>
      <c r="C35" s="54">
        <v>0</v>
      </c>
      <c r="D35" s="55">
        <f>B35-C35</f>
        <v>35</v>
      </c>
      <c r="E35" s="53" t="s">
        <v>19345</v>
      </c>
    </row>
    <row r="36" spans="1:5" ht="15" customHeight="1" x14ac:dyDescent="0.3">
      <c r="A36" s="53" t="s">
        <v>19301</v>
      </c>
      <c r="B36" s="54">
        <v>9</v>
      </c>
      <c r="C36" s="54">
        <v>0</v>
      </c>
      <c r="D36" s="55">
        <f>B36-C36</f>
        <v>9</v>
      </c>
      <c r="E36" s="53" t="s">
        <v>19346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14" customWidth="1"/>
    <col min="3" max="3" width="8" customWidth="1"/>
    <col min="4" max="8" width="14" customWidth="1"/>
    <col min="10" max="10" width="10" customWidth="1"/>
    <col min="11" max="12" width="14" customWidth="1"/>
  </cols>
  <sheetData>
    <row r="1" spans="1:12" ht="15" customHeight="1" x14ac:dyDescent="0.3">
      <c r="A1" t="s">
        <v>19347</v>
      </c>
    </row>
    <row r="2" spans="1:12" ht="15" customHeight="1" x14ac:dyDescent="0.3">
      <c r="A2" s="17" t="s">
        <v>19348</v>
      </c>
      <c r="B2" s="17" t="s">
        <v>19349</v>
      </c>
      <c r="C2" s="17" t="s">
        <v>19116</v>
      </c>
      <c r="D2" s="17" t="s">
        <v>19350</v>
      </c>
      <c r="E2" s="17" t="s">
        <v>19351</v>
      </c>
      <c r="F2" s="17" t="s">
        <v>19352</v>
      </c>
      <c r="G2" s="17" t="s">
        <v>19353</v>
      </c>
      <c r="H2" s="17" t="s">
        <v>19354</v>
      </c>
      <c r="J2" s="22" t="s">
        <v>19355</v>
      </c>
      <c r="K2" s="22" t="s">
        <v>98</v>
      </c>
      <c r="L2" s="22" t="s">
        <v>99</v>
      </c>
    </row>
    <row r="3" spans="1:12" ht="15" customHeight="1" x14ac:dyDescent="0.3">
      <c r="A3" s="23" t="s">
        <v>19356</v>
      </c>
      <c r="B3" s="41">
        <f>bridge!B4</f>
        <v>19894293</v>
      </c>
      <c r="C3" s="23" t="s">
        <v>19351</v>
      </c>
      <c r="D3" s="41">
        <f>IF(C3="total",0,MIN(0,H3))</f>
        <v>0</v>
      </c>
      <c r="E3" s="41">
        <f t="shared" ref="E3:E18" si="0">IF(C3="total",B3,0)</f>
        <v>19894293</v>
      </c>
      <c r="F3" s="41">
        <f t="shared" ref="F3:F18" si="1">IF(AND(C3="delta",B3&gt;0),B3,0)</f>
        <v>0</v>
      </c>
      <c r="G3" s="41">
        <f t="shared" ref="G3:G18" si="2">IF(AND(C3="delta",B3&lt;0),-B3,0)</f>
        <v>0</v>
      </c>
      <c r="H3" s="41">
        <f>IF(C3="total",B3,0+B3)</f>
        <v>19894293</v>
      </c>
      <c r="I3" s="23"/>
      <c r="J3" s="23" t="str">
        <f>TEXT(batch_recon!B2,"dd-mmm")</f>
        <v>03-Sep</v>
      </c>
      <c r="K3" s="41">
        <f>batch_recon!C2</f>
        <v>463778.55000000005</v>
      </c>
      <c r="L3" s="41">
        <f>batch_recon!D2</f>
        <v>463778.55</v>
      </c>
    </row>
    <row r="4" spans="1:12" ht="15" customHeight="1" x14ac:dyDescent="0.3">
      <c r="A4" s="23" t="s">
        <v>19120</v>
      </c>
      <c r="B4" s="41">
        <f>bridge!B5</f>
        <v>-67617</v>
      </c>
      <c r="C4" s="23" t="s">
        <v>19357</v>
      </c>
      <c r="D4" s="41">
        <f t="shared" ref="D4:D18" si="3">IF(C4="total",0,MIN(H3,H4))</f>
        <v>19826676</v>
      </c>
      <c r="E4" s="41">
        <f t="shared" si="0"/>
        <v>0</v>
      </c>
      <c r="F4" s="41">
        <f t="shared" si="1"/>
        <v>0</v>
      </c>
      <c r="G4" s="41">
        <f t="shared" si="2"/>
        <v>67617</v>
      </c>
      <c r="H4" s="41">
        <f t="shared" ref="H4:H18" si="4">IF(C4="total",B4,H3+B4)</f>
        <v>19826676</v>
      </c>
      <c r="I4" s="23"/>
      <c r="J4" s="23" t="str">
        <f>TEXT(batch_recon!B3,"dd-mmm")</f>
        <v>04-Sep</v>
      </c>
      <c r="K4" s="41">
        <f>batch_recon!C3</f>
        <v>680913.82</v>
      </c>
      <c r="L4" s="41">
        <f>batch_recon!D3</f>
        <v>680913.82</v>
      </c>
    </row>
    <row r="5" spans="1:12" ht="15" customHeight="1" x14ac:dyDescent="0.3">
      <c r="A5" s="23" t="s">
        <v>19358</v>
      </c>
      <c r="B5" s="41">
        <f>bridge!B6</f>
        <v>-3145</v>
      </c>
      <c r="C5" s="23" t="s">
        <v>19357</v>
      </c>
      <c r="D5" s="41">
        <f t="shared" si="3"/>
        <v>19823531</v>
      </c>
      <c r="E5" s="41">
        <f t="shared" si="0"/>
        <v>0</v>
      </c>
      <c r="F5" s="41">
        <f t="shared" si="1"/>
        <v>0</v>
      </c>
      <c r="G5" s="41">
        <f t="shared" si="2"/>
        <v>3145</v>
      </c>
      <c r="H5" s="41">
        <f t="shared" si="4"/>
        <v>19823531</v>
      </c>
      <c r="I5" s="23"/>
      <c r="J5" s="23" t="str">
        <f>TEXT(batch_recon!B4,"dd-mmm")</f>
        <v>05-Sep</v>
      </c>
      <c r="K5" s="41">
        <f>batch_recon!C4</f>
        <v>578249.99000000022</v>
      </c>
      <c r="L5" s="41">
        <f>batch_recon!D4</f>
        <v>578249.99</v>
      </c>
    </row>
    <row r="6" spans="1:12" ht="15" customHeight="1" x14ac:dyDescent="0.3">
      <c r="A6" s="23" t="s">
        <v>41</v>
      </c>
      <c r="B6" s="41">
        <f>bridge!B7</f>
        <v>25539</v>
      </c>
      <c r="C6" s="23" t="s">
        <v>19357</v>
      </c>
      <c r="D6" s="41">
        <f t="shared" si="3"/>
        <v>19823531</v>
      </c>
      <c r="E6" s="41">
        <f t="shared" si="0"/>
        <v>0</v>
      </c>
      <c r="F6" s="41">
        <f t="shared" si="1"/>
        <v>25539</v>
      </c>
      <c r="G6" s="41">
        <f t="shared" si="2"/>
        <v>0</v>
      </c>
      <c r="H6" s="41">
        <f t="shared" si="4"/>
        <v>19849070</v>
      </c>
      <c r="I6" s="23"/>
      <c r="J6" s="23" t="str">
        <f>TEXT(batch_recon!B5,"dd-mmm")</f>
        <v>06-Sep</v>
      </c>
      <c r="K6" s="41">
        <f>batch_recon!C5</f>
        <v>655139.18000000052</v>
      </c>
      <c r="L6" s="41">
        <f>batch_recon!D5</f>
        <v>655139.18000000005</v>
      </c>
    </row>
    <row r="7" spans="1:12" ht="15" customHeight="1" x14ac:dyDescent="0.3">
      <c r="A7" s="23" t="s">
        <v>19359</v>
      </c>
      <c r="B7" s="41">
        <f>bridge!B8</f>
        <v>24992</v>
      </c>
      <c r="C7" s="23" t="s">
        <v>19357</v>
      </c>
      <c r="D7" s="41">
        <f t="shared" si="3"/>
        <v>19849070</v>
      </c>
      <c r="E7" s="41">
        <f t="shared" si="0"/>
        <v>0</v>
      </c>
      <c r="F7" s="41">
        <f t="shared" si="1"/>
        <v>24992</v>
      </c>
      <c r="G7" s="41">
        <f t="shared" si="2"/>
        <v>0</v>
      </c>
      <c r="H7" s="41">
        <f t="shared" si="4"/>
        <v>19874062</v>
      </c>
      <c r="I7" s="23"/>
      <c r="J7" s="23" t="str">
        <f>TEXT(batch_recon!B6,"dd-mmm")</f>
        <v>07-Sep</v>
      </c>
      <c r="K7" s="41">
        <f>batch_recon!C6</f>
        <v>614451.50000000012</v>
      </c>
      <c r="L7" s="41">
        <f>batch_recon!D6</f>
        <v>614451.5</v>
      </c>
    </row>
    <row r="8" spans="1:12" ht="15" customHeight="1" x14ac:dyDescent="0.3">
      <c r="A8" s="23" t="s">
        <v>19360</v>
      </c>
      <c r="B8" s="41">
        <f>bridge!B9</f>
        <v>28687</v>
      </c>
      <c r="C8" s="23" t="s">
        <v>19357</v>
      </c>
      <c r="D8" s="41">
        <f t="shared" si="3"/>
        <v>19874062</v>
      </c>
      <c r="E8" s="41">
        <f t="shared" si="0"/>
        <v>0</v>
      </c>
      <c r="F8" s="41">
        <f t="shared" si="1"/>
        <v>28687</v>
      </c>
      <c r="G8" s="41">
        <f t="shared" si="2"/>
        <v>0</v>
      </c>
      <c r="H8" s="41">
        <f t="shared" si="4"/>
        <v>19902749</v>
      </c>
      <c r="I8" s="23"/>
      <c r="J8" s="23" t="str">
        <f>TEXT(batch_recon!B7,"dd-mmm")</f>
        <v>08-Sep</v>
      </c>
      <c r="K8" s="41">
        <f>batch_recon!C7</f>
        <v>704983.27000000025</v>
      </c>
      <c r="L8" s="41">
        <f>batch_recon!D7</f>
        <v>704983.27</v>
      </c>
    </row>
    <row r="9" spans="1:12" ht="15" customHeight="1" x14ac:dyDescent="0.3">
      <c r="A9" s="23" t="s">
        <v>19361</v>
      </c>
      <c r="B9" s="41">
        <f>bridge!B10</f>
        <v>19902749</v>
      </c>
      <c r="C9" s="23" t="s">
        <v>19351</v>
      </c>
      <c r="D9" s="41">
        <f t="shared" si="3"/>
        <v>0</v>
      </c>
      <c r="E9" s="41">
        <f t="shared" si="0"/>
        <v>19902749</v>
      </c>
      <c r="F9" s="41">
        <f t="shared" si="1"/>
        <v>0</v>
      </c>
      <c r="G9" s="41">
        <f t="shared" si="2"/>
        <v>0</v>
      </c>
      <c r="H9" s="41">
        <f t="shared" si="4"/>
        <v>19902749</v>
      </c>
      <c r="I9" s="23"/>
      <c r="J9" s="23" t="str">
        <f>TEXT(batch_recon!B8,"dd-mmm")</f>
        <v>09-Sep</v>
      </c>
      <c r="K9" s="41">
        <f>batch_recon!C8</f>
        <v>606316.51000000024</v>
      </c>
      <c r="L9" s="41">
        <f>batch_recon!D8</f>
        <v>606316.51</v>
      </c>
    </row>
    <row r="10" spans="1:12" ht="15" customHeight="1" x14ac:dyDescent="0.3">
      <c r="A10" s="23" t="s">
        <v>153</v>
      </c>
      <c r="B10" s="41">
        <f>bridge!B11</f>
        <v>-893888</v>
      </c>
      <c r="C10" s="23" t="s">
        <v>19357</v>
      </c>
      <c r="D10" s="41">
        <f t="shared" si="3"/>
        <v>19008861</v>
      </c>
      <c r="E10" s="41">
        <f t="shared" si="0"/>
        <v>0</v>
      </c>
      <c r="F10" s="41">
        <f t="shared" si="1"/>
        <v>0</v>
      </c>
      <c r="G10" s="41">
        <f t="shared" si="2"/>
        <v>893888</v>
      </c>
      <c r="H10" s="41">
        <f t="shared" si="4"/>
        <v>19008861</v>
      </c>
      <c r="I10" s="23"/>
      <c r="J10" s="23" t="str">
        <f>TEXT(batch_recon!B9,"dd-mmm")</f>
        <v>10-Sep</v>
      </c>
      <c r="K10" s="41">
        <f>batch_recon!C9</f>
        <v>740734.11999999976</v>
      </c>
      <c r="L10" s="41">
        <f>batch_recon!D9</f>
        <v>740734.12</v>
      </c>
    </row>
    <row r="11" spans="1:12" ht="15" customHeight="1" x14ac:dyDescent="0.3">
      <c r="A11" s="23" t="s">
        <v>19362</v>
      </c>
      <c r="B11" s="41">
        <f>bridge!B12</f>
        <v>-174385.11000000167</v>
      </c>
      <c r="C11" s="23" t="s">
        <v>19357</v>
      </c>
      <c r="D11" s="41">
        <f t="shared" si="3"/>
        <v>18834475.889999997</v>
      </c>
      <c r="E11" s="41">
        <f t="shared" si="0"/>
        <v>0</v>
      </c>
      <c r="F11" s="41">
        <f t="shared" si="1"/>
        <v>0</v>
      </c>
      <c r="G11" s="41">
        <f t="shared" si="2"/>
        <v>174385.11000000167</v>
      </c>
      <c r="H11" s="41">
        <f t="shared" si="4"/>
        <v>18834475.889999997</v>
      </c>
      <c r="I11" s="23"/>
      <c r="J11" s="23" t="str">
        <f>TEXT(batch_recon!B10,"dd-mmm")</f>
        <v>11-Sep</v>
      </c>
      <c r="K11" s="41">
        <f>batch_recon!C10</f>
        <v>556411.99000000011</v>
      </c>
      <c r="L11" s="41">
        <f>batch_recon!D10</f>
        <v>555161.99</v>
      </c>
    </row>
    <row r="12" spans="1:12" ht="15" customHeight="1" x14ac:dyDescent="0.3">
      <c r="A12" s="23" t="s">
        <v>19363</v>
      </c>
      <c r="B12" s="41">
        <f>bridge!B13</f>
        <v>-31391.199999999917</v>
      </c>
      <c r="C12" s="23" t="s">
        <v>19357</v>
      </c>
      <c r="D12" s="41">
        <f t="shared" si="3"/>
        <v>18803084.689999998</v>
      </c>
      <c r="E12" s="41">
        <f t="shared" si="0"/>
        <v>0</v>
      </c>
      <c r="F12" s="41">
        <f t="shared" si="1"/>
        <v>0</v>
      </c>
      <c r="G12" s="41">
        <f t="shared" si="2"/>
        <v>31391.199999999917</v>
      </c>
      <c r="H12" s="41">
        <f t="shared" si="4"/>
        <v>18803084.689999998</v>
      </c>
      <c r="I12" s="23"/>
      <c r="J12" s="23" t="str">
        <f>TEXT(batch_recon!B11,"dd-mmm")</f>
        <v>12-Sep</v>
      </c>
      <c r="K12" s="41">
        <f>batch_recon!C11</f>
        <v>551074.03000000026</v>
      </c>
      <c r="L12" s="41">
        <f>batch_recon!D11</f>
        <v>0</v>
      </c>
    </row>
    <row r="13" spans="1:12" ht="15" customHeight="1" x14ac:dyDescent="0.3">
      <c r="A13" s="23" t="s">
        <v>19364</v>
      </c>
      <c r="B13" s="41">
        <f>bridge!B14</f>
        <v>-1185.1999999999996</v>
      </c>
      <c r="C13" s="23" t="s">
        <v>19357</v>
      </c>
      <c r="D13" s="41">
        <f t="shared" si="3"/>
        <v>18801899.489999998</v>
      </c>
      <c r="E13" s="41">
        <f t="shared" si="0"/>
        <v>0</v>
      </c>
      <c r="F13" s="41">
        <f t="shared" si="1"/>
        <v>0</v>
      </c>
      <c r="G13" s="41">
        <f t="shared" si="2"/>
        <v>1185.1999999999996</v>
      </c>
      <c r="H13" s="41">
        <f t="shared" si="4"/>
        <v>18801899.489999998</v>
      </c>
      <c r="I13" s="23"/>
      <c r="J13" s="23" t="str">
        <f>TEXT(batch_recon!B12,"dd-mmm")</f>
        <v>13-Sep</v>
      </c>
      <c r="K13" s="41">
        <f>batch_recon!C12</f>
        <v>654313.30000000016</v>
      </c>
      <c r="L13" s="41">
        <f>batch_recon!D12</f>
        <v>654313.30000000005</v>
      </c>
    </row>
    <row r="14" spans="1:12" ht="15" customHeight="1" x14ac:dyDescent="0.3">
      <c r="A14" s="23" t="s">
        <v>19365</v>
      </c>
      <c r="B14" s="41">
        <f>bridge!B15</f>
        <v>18801899.489999998</v>
      </c>
      <c r="C14" s="23" t="s">
        <v>19351</v>
      </c>
      <c r="D14" s="41">
        <f t="shared" si="3"/>
        <v>0</v>
      </c>
      <c r="E14" s="41">
        <f t="shared" si="0"/>
        <v>18801899.489999998</v>
      </c>
      <c r="F14" s="41">
        <f t="shared" si="1"/>
        <v>0</v>
      </c>
      <c r="G14" s="41">
        <f t="shared" si="2"/>
        <v>0</v>
      </c>
      <c r="H14" s="41">
        <f t="shared" si="4"/>
        <v>18801899.489999998</v>
      </c>
      <c r="I14" s="23"/>
      <c r="J14" s="23" t="str">
        <f>TEXT(batch_recon!B13,"dd-mmm")</f>
        <v>14-Sep</v>
      </c>
      <c r="K14" s="41">
        <f>batch_recon!C13</f>
        <v>596289.91000000015</v>
      </c>
      <c r="L14" s="41">
        <f>batch_recon!D13</f>
        <v>596289.91</v>
      </c>
    </row>
    <row r="15" spans="1:12" ht="15" customHeight="1" x14ac:dyDescent="0.3">
      <c r="A15" s="23" t="s">
        <v>19366</v>
      </c>
      <c r="B15" s="41">
        <f>bridge!B16</f>
        <v>-1265526.8999999999</v>
      </c>
      <c r="C15" s="23" t="s">
        <v>19357</v>
      </c>
      <c r="D15" s="41">
        <f t="shared" si="3"/>
        <v>17536372.59</v>
      </c>
      <c r="E15" s="41">
        <f t="shared" si="0"/>
        <v>0</v>
      </c>
      <c r="F15" s="41">
        <f t="shared" si="1"/>
        <v>0</v>
      </c>
      <c r="G15" s="41">
        <f t="shared" si="2"/>
        <v>1265526.8999999999</v>
      </c>
      <c r="H15" s="41">
        <f t="shared" si="4"/>
        <v>17536372.59</v>
      </c>
      <c r="I15" s="23"/>
      <c r="J15" s="23" t="str">
        <f>TEXT(batch_recon!B14,"dd-mmm")</f>
        <v>15-Sep</v>
      </c>
      <c r="K15" s="41">
        <f>batch_recon!C14</f>
        <v>773297.25000000058</v>
      </c>
      <c r="L15" s="41">
        <f>batch_recon!D14</f>
        <v>773297.25</v>
      </c>
    </row>
    <row r="16" spans="1:12" ht="15" customHeight="1" x14ac:dyDescent="0.3">
      <c r="A16" s="23" t="s">
        <v>19367</v>
      </c>
      <c r="B16" s="41">
        <f>bridge!B17</f>
        <v>-551074.03000000026</v>
      </c>
      <c r="C16" s="23" t="s">
        <v>19357</v>
      </c>
      <c r="D16" s="41">
        <f t="shared" si="3"/>
        <v>16985298.559999999</v>
      </c>
      <c r="E16" s="41">
        <f t="shared" si="0"/>
        <v>0</v>
      </c>
      <c r="F16" s="41">
        <f t="shared" si="1"/>
        <v>0</v>
      </c>
      <c r="G16" s="41">
        <f t="shared" si="2"/>
        <v>551074.03000000026</v>
      </c>
      <c r="H16" s="41">
        <f t="shared" si="4"/>
        <v>16985298.559999999</v>
      </c>
      <c r="I16" s="23"/>
      <c r="J16" s="23" t="str">
        <f>TEXT(batch_recon!B15,"dd-mmm")</f>
        <v>16-Sep</v>
      </c>
      <c r="K16" s="41">
        <f>batch_recon!C15</f>
        <v>614772.67999999993</v>
      </c>
      <c r="L16" s="41">
        <f>batch_recon!D15</f>
        <v>614772.68000000005</v>
      </c>
    </row>
    <row r="17" spans="1:12" ht="15" customHeight="1" x14ac:dyDescent="0.3">
      <c r="A17" s="23" t="s">
        <v>187</v>
      </c>
      <c r="B17" s="41">
        <f>bridge!B18</f>
        <v>-1250.0000000001164</v>
      </c>
      <c r="C17" s="23" t="s">
        <v>19357</v>
      </c>
      <c r="D17" s="41">
        <f t="shared" si="3"/>
        <v>16984048.559999999</v>
      </c>
      <c r="E17" s="41">
        <f t="shared" si="0"/>
        <v>0</v>
      </c>
      <c r="F17" s="41">
        <f t="shared" si="1"/>
        <v>0</v>
      </c>
      <c r="G17" s="41">
        <f t="shared" si="2"/>
        <v>1250.0000000001164</v>
      </c>
      <c r="H17" s="41">
        <f t="shared" si="4"/>
        <v>16984048.559999999</v>
      </c>
      <c r="I17" s="23"/>
      <c r="J17" s="23" t="str">
        <f>TEXT(batch_recon!B16,"dd-mmm")</f>
        <v>17-Sep</v>
      </c>
      <c r="K17" s="41">
        <f>batch_recon!C16</f>
        <v>671270.49000000022</v>
      </c>
      <c r="L17" s="41">
        <f>batch_recon!D16</f>
        <v>671270.49</v>
      </c>
    </row>
    <row r="18" spans="1:12" ht="15" customHeight="1" x14ac:dyDescent="0.3">
      <c r="A18" s="23" t="s">
        <v>165</v>
      </c>
      <c r="B18" s="41">
        <f>bridge!B19</f>
        <v>16984048.559999999</v>
      </c>
      <c r="C18" s="23" t="s">
        <v>19351</v>
      </c>
      <c r="D18" s="41">
        <f t="shared" si="3"/>
        <v>0</v>
      </c>
      <c r="E18" s="41">
        <f t="shared" si="0"/>
        <v>16984048.559999999</v>
      </c>
      <c r="F18" s="41">
        <f t="shared" si="1"/>
        <v>0</v>
      </c>
      <c r="G18" s="41">
        <f t="shared" si="2"/>
        <v>0</v>
      </c>
      <c r="H18" s="41">
        <f t="shared" si="4"/>
        <v>16984048.559999999</v>
      </c>
      <c r="I18" s="23"/>
      <c r="J18" s="23" t="str">
        <f>TEXT(batch_recon!B17,"dd-mmm")</f>
        <v>18-Sep</v>
      </c>
      <c r="K18" s="41">
        <f>batch_recon!C17</f>
        <v>589645.34999999963</v>
      </c>
      <c r="L18" s="41">
        <f>batch_recon!D17</f>
        <v>589645.35</v>
      </c>
    </row>
    <row r="19" spans="1:12" ht="15" customHeight="1" x14ac:dyDescent="0.3">
      <c r="A19" s="23"/>
      <c r="B19" s="41"/>
      <c r="C19" s="23"/>
      <c r="D19" s="41"/>
      <c r="E19" s="41"/>
      <c r="F19" s="41"/>
      <c r="G19" s="41"/>
      <c r="H19" s="41"/>
      <c r="I19" s="23"/>
      <c r="J19" s="23" t="str">
        <f>TEXT(batch_recon!B18,"dd-mmm")</f>
        <v>19-Sep</v>
      </c>
      <c r="K19" s="41">
        <f>batch_recon!C18</f>
        <v>610773.29000000027</v>
      </c>
      <c r="L19" s="41">
        <f>batch_recon!D18</f>
        <v>610773.29</v>
      </c>
    </row>
    <row r="20" spans="1:12" ht="15" customHeight="1" x14ac:dyDescent="0.3">
      <c r="A20" s="23"/>
      <c r="B20" s="41"/>
      <c r="C20" s="23"/>
      <c r="D20" s="41"/>
      <c r="E20" s="41"/>
      <c r="F20" s="41"/>
      <c r="G20" s="41"/>
      <c r="H20" s="41"/>
      <c r="I20" s="23"/>
      <c r="J20" s="23" t="str">
        <f>TEXT(batch_recon!B19,"dd-mmm")</f>
        <v>20-Sep</v>
      </c>
      <c r="K20" s="41">
        <f>batch_recon!C19</f>
        <v>548940.40999999992</v>
      </c>
      <c r="L20" s="41">
        <f>batch_recon!D19</f>
        <v>548940.41</v>
      </c>
    </row>
    <row r="21" spans="1:12" ht="15" customHeight="1" x14ac:dyDescent="0.3">
      <c r="A21" s="23"/>
      <c r="B21" s="41"/>
      <c r="C21" s="23"/>
      <c r="D21" s="41"/>
      <c r="E21" s="41"/>
      <c r="F21" s="41"/>
      <c r="G21" s="41"/>
      <c r="H21" s="41"/>
      <c r="I21" s="23"/>
      <c r="J21" s="23" t="str">
        <f>TEXT(batch_recon!B20,"dd-mmm")</f>
        <v>21-Sep</v>
      </c>
      <c r="K21" s="41">
        <f>batch_recon!C20</f>
        <v>592258.60999999987</v>
      </c>
      <c r="L21" s="41">
        <f>batch_recon!D20</f>
        <v>592258.61</v>
      </c>
    </row>
    <row r="22" spans="1:12" ht="15" customHeight="1" x14ac:dyDescent="0.3">
      <c r="A22" s="23"/>
      <c r="B22" s="41"/>
      <c r="C22" s="23"/>
      <c r="D22" s="41"/>
      <c r="E22" s="41"/>
      <c r="F22" s="41"/>
      <c r="G22" s="41"/>
      <c r="H22" s="41"/>
      <c r="I22" s="23"/>
      <c r="J22" s="23" t="str">
        <f>TEXT(batch_recon!B21,"dd-mmm")</f>
        <v>22-Sep</v>
      </c>
      <c r="K22" s="41">
        <f>batch_recon!C21</f>
        <v>584876.78000000014</v>
      </c>
      <c r="L22" s="41">
        <f>batch_recon!D21</f>
        <v>584876.78</v>
      </c>
    </row>
    <row r="23" spans="1:12" ht="15" customHeight="1" x14ac:dyDescent="0.3">
      <c r="A23" s="23"/>
      <c r="B23" s="41"/>
      <c r="C23" s="23"/>
      <c r="D23" s="41"/>
      <c r="E23" s="41"/>
      <c r="F23" s="41"/>
      <c r="G23" s="41"/>
      <c r="H23" s="41"/>
      <c r="I23" s="23"/>
      <c r="J23" s="23" t="str">
        <f>TEXT(batch_recon!B22,"dd-mmm")</f>
        <v>23-Sep</v>
      </c>
      <c r="K23" s="41">
        <f>batch_recon!C22</f>
        <v>590273.39000000025</v>
      </c>
      <c r="L23" s="41">
        <f>batch_recon!D22</f>
        <v>590273.39</v>
      </c>
    </row>
    <row r="24" spans="1:12" ht="15" customHeight="1" x14ac:dyDescent="0.3">
      <c r="A24" s="23"/>
      <c r="B24" s="41"/>
      <c r="C24" s="23"/>
      <c r="D24" s="41"/>
      <c r="E24" s="41"/>
      <c r="F24" s="41"/>
      <c r="G24" s="41"/>
      <c r="H24" s="41"/>
      <c r="I24" s="23"/>
      <c r="J24" s="23" t="str">
        <f>TEXT(batch_recon!B23,"dd-mmm")</f>
        <v>24-Sep</v>
      </c>
      <c r="K24" s="41">
        <f>batch_recon!C23</f>
        <v>540644.2200000002</v>
      </c>
      <c r="L24" s="41">
        <f>batch_recon!D23</f>
        <v>540644.22</v>
      </c>
    </row>
    <row r="25" spans="1:12" ht="15" customHeight="1" x14ac:dyDescent="0.3">
      <c r="A25" s="23"/>
      <c r="B25" s="41"/>
      <c r="C25" s="23"/>
      <c r="D25" s="41"/>
      <c r="E25" s="41"/>
      <c r="F25" s="41"/>
      <c r="G25" s="41"/>
      <c r="H25" s="41"/>
      <c r="I25" s="23"/>
      <c r="J25" s="23" t="str">
        <f>TEXT(batch_recon!B24,"dd-mmm")</f>
        <v>25-Sep</v>
      </c>
      <c r="K25" s="41">
        <f>batch_recon!C24</f>
        <v>594966.58999999985</v>
      </c>
      <c r="L25" s="41">
        <f>batch_recon!D24</f>
        <v>594966.59</v>
      </c>
    </row>
    <row r="26" spans="1:12" ht="15" customHeight="1" x14ac:dyDescent="0.3">
      <c r="A26" s="23"/>
      <c r="B26" s="41"/>
      <c r="C26" s="23"/>
      <c r="D26" s="41"/>
      <c r="E26" s="41"/>
      <c r="F26" s="41"/>
      <c r="G26" s="41"/>
      <c r="H26" s="41"/>
      <c r="I26" s="23"/>
      <c r="J26" s="23" t="str">
        <f>TEXT(batch_recon!B25,"dd-mmm")</f>
        <v>26-Sep</v>
      </c>
      <c r="K26" s="41">
        <f>batch_recon!C25</f>
        <v>711251.32000000007</v>
      </c>
      <c r="L26" s="41">
        <f>batch_recon!D25</f>
        <v>711251.32</v>
      </c>
    </row>
    <row r="27" spans="1:12" ht="15" customHeight="1" x14ac:dyDescent="0.3">
      <c r="A27" s="23"/>
      <c r="B27" s="41"/>
      <c r="C27" s="23"/>
      <c r="D27" s="41"/>
      <c r="E27" s="41"/>
      <c r="F27" s="41"/>
      <c r="G27" s="41"/>
      <c r="H27" s="41"/>
      <c r="I27" s="23"/>
      <c r="J27" s="23" t="str">
        <f>TEXT(batch_recon!B26,"dd-mmm")</f>
        <v>27-Sep</v>
      </c>
      <c r="K27" s="41">
        <f>batch_recon!C26</f>
        <v>805057.10000000056</v>
      </c>
      <c r="L27" s="41">
        <f>batch_recon!D26</f>
        <v>805057.1</v>
      </c>
    </row>
    <row r="28" spans="1:12" ht="15" customHeight="1" x14ac:dyDescent="0.3">
      <c r="A28" s="23"/>
      <c r="B28" s="41"/>
      <c r="C28" s="23"/>
      <c r="D28" s="41"/>
      <c r="E28" s="41"/>
      <c r="F28" s="41"/>
      <c r="G28" s="41"/>
      <c r="H28" s="41"/>
      <c r="I28" s="23"/>
      <c r="J28" s="23" t="str">
        <f>TEXT(batch_recon!B27,"dd-mmm")</f>
        <v>28-Sep</v>
      </c>
      <c r="K28" s="41">
        <f>batch_recon!C27</f>
        <v>569672.42999999959</v>
      </c>
      <c r="L28" s="41">
        <f>batch_recon!D27</f>
        <v>569672.43000000005</v>
      </c>
    </row>
    <row r="29" spans="1:12" ht="15" customHeight="1" x14ac:dyDescent="0.3">
      <c r="A29" s="23"/>
      <c r="B29" s="41"/>
      <c r="C29" s="23"/>
      <c r="D29" s="41"/>
      <c r="E29" s="41"/>
      <c r="F29" s="41"/>
      <c r="G29" s="41"/>
      <c r="H29" s="41"/>
      <c r="I29" s="23"/>
      <c r="J29" s="23" t="str">
        <f>TEXT(batch_recon!B28,"dd-mmm")</f>
        <v>29-Sep</v>
      </c>
      <c r="K29" s="41">
        <f>batch_recon!C28</f>
        <v>641930.7300000008</v>
      </c>
      <c r="L29" s="41">
        <f>batch_recon!D28</f>
        <v>641930.73</v>
      </c>
    </row>
    <row r="30" spans="1:12" ht="15" customHeight="1" x14ac:dyDescent="0.3">
      <c r="A30" s="23"/>
      <c r="B30" s="41"/>
      <c r="C30" s="23"/>
      <c r="D30" s="41"/>
      <c r="E30" s="41"/>
      <c r="F30" s="41"/>
      <c r="G30" s="41"/>
      <c r="H30" s="41"/>
      <c r="I30" s="23"/>
      <c r="J30" s="23" t="str">
        <f>TEXT(batch_recon!B29,"dd-mmm")</f>
        <v>30-Sep</v>
      </c>
      <c r="K30" s="41">
        <f>batch_recon!C29</f>
        <v>694085.78</v>
      </c>
      <c r="L30" s="41">
        <f>batch_recon!D29</f>
        <v>694085.78</v>
      </c>
    </row>
    <row r="31" spans="1:12" ht="15" customHeight="1" x14ac:dyDescent="0.3">
      <c r="A31" s="23"/>
      <c r="B31" s="41"/>
      <c r="C31" s="23"/>
      <c r="D31" s="41"/>
      <c r="E31" s="41"/>
      <c r="F31" s="41"/>
      <c r="G31" s="41"/>
      <c r="H31" s="41"/>
      <c r="I31" s="23"/>
      <c r="J31" s="23" t="str">
        <f>TEXT(batch_recon!B30,"dd-mmm")</f>
        <v>01-Oct</v>
      </c>
      <c r="K31" s="41">
        <f>batch_recon!C30</f>
        <v>650622.70000000019</v>
      </c>
      <c r="L31" s="41">
        <f>batch_recon!D30</f>
        <v>0</v>
      </c>
    </row>
    <row r="32" spans="1:12" ht="15" customHeight="1" x14ac:dyDescent="0.3">
      <c r="A32" s="23"/>
      <c r="B32" s="41"/>
      <c r="C32" s="23"/>
      <c r="D32" s="41"/>
      <c r="E32" s="41"/>
      <c r="F32" s="41"/>
      <c r="G32" s="41"/>
      <c r="H32" s="41"/>
      <c r="I32" s="23"/>
      <c r="J32" s="23" t="str">
        <f>TEXT(batch_recon!B31,"dd-mmm")</f>
        <v>02-Oct</v>
      </c>
      <c r="K32" s="41">
        <f>batch_recon!C31</f>
        <v>614904.19999999972</v>
      </c>
      <c r="L32" s="41">
        <f>batch_recon!D31</f>
        <v>0</v>
      </c>
    </row>
    <row r="33" spans="1:12" ht="15" customHeight="1" x14ac:dyDescent="0.3">
      <c r="A33" s="23"/>
      <c r="B33" s="41"/>
      <c r="C33" s="23"/>
      <c r="D33" s="41"/>
      <c r="E33" s="41"/>
      <c r="F33" s="41"/>
      <c r="G33" s="41"/>
      <c r="H33" s="41"/>
      <c r="I33" s="23"/>
      <c r="J33" s="23"/>
      <c r="K33" s="41"/>
      <c r="L33" s="41"/>
    </row>
    <row r="34" spans="1:12" ht="15" customHeight="1" x14ac:dyDescent="0.3">
      <c r="A34" s="23"/>
      <c r="B34" s="41"/>
      <c r="C34" s="23"/>
      <c r="D34" s="41"/>
      <c r="E34" s="41"/>
      <c r="F34" s="41"/>
      <c r="G34" s="41"/>
      <c r="H34" s="41"/>
      <c r="I34" s="23"/>
      <c r="J34" s="23"/>
      <c r="K34" s="41"/>
      <c r="L34" s="41"/>
    </row>
    <row r="35" spans="1:12" ht="15" customHeight="1" x14ac:dyDescent="0.3">
      <c r="A35" s="23"/>
      <c r="B35" s="41"/>
      <c r="C35" s="23"/>
      <c r="D35" s="41"/>
      <c r="E35" s="41"/>
      <c r="F35" s="41"/>
      <c r="G35" s="41"/>
      <c r="H35" s="41"/>
      <c r="I35" s="23"/>
      <c r="J35" s="23"/>
      <c r="K35" s="41"/>
      <c r="L35" s="41"/>
    </row>
    <row r="36" spans="1:12" ht="15" customHeight="1" x14ac:dyDescent="0.3">
      <c r="A36" s="23"/>
      <c r="B36" s="41"/>
      <c r="C36" s="23"/>
      <c r="D36" s="41"/>
      <c r="E36" s="41"/>
      <c r="F36" s="41"/>
      <c r="G36" s="41"/>
      <c r="H36" s="41"/>
      <c r="I36" s="23"/>
      <c r="J36" s="23"/>
      <c r="K36" s="41"/>
      <c r="L36" s="41"/>
    </row>
    <row r="37" spans="1:12" ht="15" customHeight="1" x14ac:dyDescent="0.3">
      <c r="A37" s="23"/>
      <c r="B37" s="41"/>
      <c r="C37" s="23"/>
      <c r="D37" s="41"/>
      <c r="E37" s="41"/>
      <c r="F37" s="41"/>
      <c r="G37" s="41"/>
      <c r="H37" s="41"/>
      <c r="I37" s="23"/>
      <c r="J37" s="23"/>
      <c r="K37" s="41"/>
      <c r="L37" s="41"/>
    </row>
    <row r="38" spans="1:12" ht="15" customHeight="1" x14ac:dyDescent="0.3">
      <c r="A38" s="23"/>
      <c r="B38" s="41"/>
      <c r="C38" s="23"/>
      <c r="D38" s="41"/>
      <c r="E38" s="41"/>
      <c r="F38" s="41"/>
      <c r="G38" s="41"/>
      <c r="H38" s="41"/>
      <c r="I38" s="23"/>
      <c r="J38" s="23"/>
      <c r="K38" s="41"/>
      <c r="L38" s="41"/>
    </row>
    <row r="39" spans="1:12" ht="15" customHeight="1" x14ac:dyDescent="0.3">
      <c r="A39" s="23"/>
      <c r="B39" s="41"/>
      <c r="C39" s="23"/>
      <c r="D39" s="41"/>
      <c r="E39" s="41"/>
      <c r="F39" s="41"/>
      <c r="G39" s="41"/>
      <c r="H39" s="41"/>
      <c r="I39" s="23"/>
      <c r="J39" s="23"/>
      <c r="K39" s="41"/>
      <c r="L39" s="41"/>
    </row>
    <row r="40" spans="1:12" ht="15" customHeight="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bridge</vt:lpstr>
      <vt:lpstr>batch_recon</vt:lpstr>
      <vt:lpstr>orders</vt:lpstr>
      <vt:lpstr>pg_transaction_cleaned</vt:lpstr>
      <vt:lpstr>mdr_check</vt:lpstr>
      <vt:lpstr>mdr_rate_cleaned</vt:lpstr>
      <vt:lpstr>bank_statement_cleaned</vt:lpstr>
      <vt:lpstr>pg_dup_removed</vt:lpstr>
      <vt:lpstr>exceptions</vt:lpstr>
      <vt:lpstr>Data Quality Log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KRISHNAN</cp:lastModifiedBy>
  <dcterms:modified xsi:type="dcterms:W3CDTF">2026-10-21T13:41:17Z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2026-10-20T10:56:00Z</dcterms:created>
  <dc:creator>openpyxl</dc:creator>
  <dc:description/>
  <dc:language>en-US</dc:language>
  <cp:lastModifiedBy/>
  <dcterms:modified xsi:type="dcterms:W3CDTF">2026-10-20T11:21:04Z</dcterms:modified>
  <cp:revision>1</cp:revision>
  <dc:subject/>
  <dc:title/>
</cp:coreProperties>
</file>